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372AB895-14C1-FC20-EB20-F1B4BCFD95AE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N:\2024\Concorrência\33. Edital Concorrência 033 - Creche padrão FNDE - PA 1304-24\"/>
    </mc:Choice>
  </mc:AlternateContent>
  <bookViews>
    <workbookView xWindow="-120" yWindow="-120" windowWidth="29040" windowHeight="15840" tabRatio="801" activeTab="4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BM!$C$15:$C$727</definedName>
    <definedName name="_xlnm._FilterDatabase" localSheetId="5" hidden="1">CÁLCULO!$C$15:$C$727</definedName>
    <definedName name="_xlnm._FilterDatabase" localSheetId="7" hidden="1">CRONO!$F$13:$F$276</definedName>
    <definedName name="_xlnm._FilterDatabase" localSheetId="8" hidden="1">CRONOPLE!$A$13:$A$15</definedName>
    <definedName name="_xlnm._FilterDatabase" localSheetId="4" hidden="1">ORÇAMENTO!$L$15:$L$727</definedName>
    <definedName name="_xlnm._FilterDatabase" localSheetId="9" hidden="1">PLE!$A$13:$A$111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BM!$D$1:$O$742</definedName>
    <definedName name="_xlnm.Print_Area" localSheetId="5">CÁLCULO!$E$1:$AI$735</definedName>
    <definedName name="_xlnm.Print_Area" localSheetId="7">CRONO!$H$1:$AF$276</definedName>
    <definedName name="_xlnm.Print_Area" localSheetId="0">MENU!$A$1:$I$25</definedName>
    <definedName name="_xlnm.Print_Area" localSheetId="13">OFÍCIO!$A$1:$G$56</definedName>
    <definedName name="_xlnm.Print_Area" localSheetId="4">ORÇAMENTO!$O$1:$Y$744</definedName>
    <definedName name="_xlnm.Print_Area" localSheetId="9">PLE!$B$3:$AG$112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BM!$C$15:$C$727</definedName>
    <definedName name="BM.firstrow" hidden="1">BM!$15:$15</definedName>
    <definedName name="BM.FormulaMed" hidden="1">BM!$AO$7</definedName>
    <definedName name="BM.lastrow" hidden="1">BM!$727:$727</definedName>
    <definedName name="BM.LinhaPadrão" hidden="1">BM!$14:$14</definedName>
    <definedName name="BM.MaxMed" hidden="1">IF(RegimeExecucao="Global",1,BM!$G1)</definedName>
    <definedName name="BM.MCAIXA.Filter" hidden="1">BM!$C$15:$Z$727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CÁLCULO!$C$15:$C$727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CÁLCULO!$AI:$AI</definedName>
    <definedName name="CÁLCULO.lastrow" hidden="1">CÁLCULO!$727:$727</definedName>
    <definedName name="CÁLCULO.LinhaPadrão" hidden="1">CÁLCULO!$14:$14</definedName>
    <definedName name="CÁLCULO.margemrow" hidden="1">CÁLCULO!$735:$735</definedName>
    <definedName name="CÁLCULO.MATRIZ1.ColunaPadrão" hidden="1">CÁLCULO!$AK:$AK</definedName>
    <definedName name="CÁLCULO.MATRIZ1.firstcol" hidden="1">CÁLCULO!$AI:$AI</definedName>
    <definedName name="CÁLCULO.MATRIZ1.lastcol" hidden="1">CÁLCULO!$BB:$BB</definedName>
    <definedName name="CÁLCULO.MATRIZ1.lastrow" hidden="1">CÁLCULO!$727:$727</definedName>
    <definedName name="CÁLCULO.MATRIZ2.ColunaPadrão" hidden="1">CÁLCULO!$BD:$BD</definedName>
    <definedName name="CÁLCULO.MATRIZ2.firstcol" hidden="1">CÁLCULO!$BB:$BB</definedName>
    <definedName name="CÁLCULO.MATRIZ2.lastcol" hidden="1">CÁLCULO!$BU:$BU</definedName>
    <definedName name="CÁLCULO.MATRIZ2.lastrow" hidden="1">CÁLCULO!$727:$727</definedName>
    <definedName name="CÁLCULO.MATRIZ3.ColunaPadrão" hidden="1">CÁLCULO!$BW:$BW</definedName>
    <definedName name="CÁLCULO.MATRIZ3.firstcol" hidden="1">CÁLCULO!$BU:$BU</definedName>
    <definedName name="CÁLCULO.MATRIZ3.lastcol" hidden="1">CÁLCULO!$CN:$CN</definedName>
    <definedName name="CÁLCULO.MATRIZ3.lastrow" hidden="1">CÁLCULO!$727:$727</definedName>
    <definedName name="CÁLCULO.NúmeroDeEventos" hidden="1">IF(AUTOEVENTO&lt;&gt;"manual",MAX(CÁLCULO!$M$15:$M$727),MAX(OFFSET(EVENTOS!$C$14:$C$97,1,0)))</definedName>
    <definedName name="CÁLCULO.NúmeroDeFrentes" hidden="1">COLUMN(CÁLCULO!$AI$15)-COLUMN(CÁLCULO!$Q$15)</definedName>
    <definedName name="CÁLCULO.TotalAdmLocal" hidden="1">IF(AUTOEVENTO="manual",SUMIF(CÁLCULO!$M$15:$M$727,1,ORÇAMENTO!$X$15:$X$727),0)</definedName>
    <definedName name="CRONO.ColunaPadrão" hidden="1">CRONO!$D:$D</definedName>
    <definedName name="CRONO.Filtro" hidden="1">CRONO!$F$13:$F$276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CRONO!$271:$271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CRONO!$276:$276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CRONOPLE!$97:$97</definedName>
    <definedName name="CRONOPLE.LinhaPadrão" hidden="1">CRONOPLE!$1:$1</definedName>
    <definedName name="CRONOPLE.margemrow" hidden="1">CRONOPLE!$98:$98</definedName>
    <definedName name="CRONOPLE.ValorDoEvento" hidden="1">SUMIF(CÁLCULO!$M$15:$M$727,CRONOPLE!$B1,OFFSET(CÁLCULO!$AI$15:$AI$727,0,CRONOPLE!A$12))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EVENTOS!$97:$97</definedName>
    <definedName name="EVENTOS.LinhaPadrão" hidden="1">EVENTOS!$14:$14</definedName>
    <definedName name="EVENTOS.Lista" hidden="1">EVENTOS!$C$15:OFFSET(EVENTOS!$C$97,-1,0)</definedName>
    <definedName name="EVENTOS.ListaValidacao" hidden="1">EVENTOS!$B$15:OFFSET(EVENTOS!$B$97,-1,0)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BM!$D$730</definedName>
    <definedName name="Import.BMAFAcumulado" hidden="1">OFFSET(BM!$R$15,1,0):OFFSET(BM!$R$727,-1,0)</definedName>
    <definedName name="Import.BMArred" hidden="1">BM!$A$9</definedName>
    <definedName name="Import.CNPJ" hidden="1">DADOS!$F$39</definedName>
    <definedName name="Import.Código" hidden="1">OFFSET(ORÇAMENTO!$Q$15,1,0):OFFSET(ORÇAMENTO!$Q$727,-1,0)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OFFSET(CRONOPLE!$F$15,1,1):OFFSET(CRONOPLE!$AF$97,-1,-1)</definedName>
    <definedName name="Import.CTEF" hidden="1">DADOS!$F$37</definedName>
    <definedName name="Import.CustoUnitário" hidden="1">OFFSET(ORÇAMENTO!$U$15,1,0):OFFSET(ORÇAMENTO!$U$727,-1,0)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OFFSET(ORÇAMENTO!$R$15,1,0):OFFSET(ORÇAMENTO!$R$727,-1,0)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OFFSET(EVENTOS!$D$15,1,0):OFFSET(EVENTOS!$D$97,-1,0)</definedName>
    <definedName name="Import.Fonte" hidden="1">OFFSET(ORÇAMENTO!$P$15,1,0):OFFSET(ORÇAMENTO!$P$727,-1,0)</definedName>
    <definedName name="Import.FrenteDeObra" hidden="1">CÁLCULO!$Q$12:OFFSET(CÁLCULO!$AI$12,0,-1)</definedName>
    <definedName name="Import.Município" hidden="1">DADOS!$F$6</definedName>
    <definedName name="Import.Nível" hidden="1">OFFSET(ORÇAMENTO!$M$15,1,0):OFFSET(ORÇAMENTO!$M$727,-1,0)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OFFSET(ORÇAMENTO!$V$15,1,0):OFFSET(ORÇAMENTO!$V$727,-1,0)</definedName>
    <definedName name="Import.ORÇAMENTO.DivRecurso" hidden="1">OFFSET(ORÇAMENTO!$Y$15,1,0):OFFSET(ORÇAMENTO!$Y$727,-1,0)</definedName>
    <definedName name="Import.ORÇAMENTO.Obs" hidden="1">ORÇAMENTO!$O$733</definedName>
    <definedName name="Import.PLE" hidden="1">OFFSET(PLE!$G$15,1,1):OFFSET(PLE!$AG$97,-1,-1)</definedName>
    <definedName name="Import.PLE.Datas" hidden="1">PLE!$I$100:$AF$100</definedName>
    <definedName name="Import.PLQ" hidden="1">OFFSET(CÁLCULO!$P$15,1,1):OFFSET(CÁLCULO!$AI$727,-1,-1)</definedName>
    <definedName name="Import.PLQ.MemCalc" hidden="1">OFFSET(CÁLCULO!$I$15,1,0):OFFSET(CÁLCULO!$I$727,-1,0)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OFFSET(ORÇAMENTO!$AJ$15,1,0):OFFSET(ORÇAMENTO!$AJ$727,-1,0)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OFFSET(ORÇAMENTO!$S$15,1,0):OFFSET(ORÇAMENTO!$S$727,-1,0)</definedName>
    <definedName name="Import.UnitarioLicitado" hidden="1">OFFSET(ORÇAMENTO!$AL$15,1,0):OFFSET(ORÇAMENTO!$AL$727,-1,0)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ORÇAMENTO!$L$15:$L$727</definedName>
    <definedName name="ORÇAMENTO.firstrow" hidden="1">ORÇAMENTO!$15:$15</definedName>
    <definedName name="ORÇAMENTO.Fonte" hidden="1">ORÇAMENTO!$P1</definedName>
    <definedName name="ORÇAMENTO.lastrow" hidden="1">ORÇAMENTO!$727:$727</definedName>
    <definedName name="ORÇAMENTO.LinhaPadrão" hidden="1">ORÇAMENTO!$14:$14</definedName>
    <definedName name="ORÇAMENTO.ListaCrono" hidden="1">OFFSET(ORÇAMENTO!$AD$15,1,0):OFFSET(ORÇAMENTO!$AD$727,-1,0)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OFFSET(ORÇAMENTO!$P$15,1,0):OFFSET(ORÇAMENTO!$S$727,-1,0)</definedName>
    <definedName name="ORÇAMENTO.PasteFormat2" hidden="1">OFFSET(ORÇAMENTO!$U$15,1,0):OFFSET(ORÇAMENTO!$V$727,-1,0)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OFFSET(ORÇAMENTO!$T$15,1,0):OFFSET(ORÇAMENTO!$T$727,-1,0)</definedName>
    <definedName name="ORÇAMENTO.SumCPMANUAL" hidden="1">SUMIF(ORÇAMENTO!$Z$15:$Z$727,"CP",ORÇAMENTO!$AA$15:$AA$727)</definedName>
    <definedName name="ORÇAMENTO.SumINVMANUAL" hidden="1">SUMIF(ORÇAMENTO!$Z$15:$Z$727,"RP",ORÇAMENTO!$X$15:$X$727)+SUMIF(ORÇAMENTO!$Z$15:$Z$727,"CP",ORÇAMENTO!$X$15:$X$727)+SUMIF(ORÇAMENTO!$Z$15:$Z$727,"OU",ORÇAMENTO!$X$15:$X$727)</definedName>
    <definedName name="ORÇAMENTO.SumOUTROSMANUAL" hidden="1">SUMIF(ORÇAMENTO!$Z$15:$Z$727,"OU",ORÇAMENTO!$AB$15:$AB$727)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PLE!$A$13:$A$111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PLE!$97:$97</definedName>
    <definedName name="PLE.LinhaPadrão" hidden="1">PLE!$1:$1</definedName>
    <definedName name="PLE.margemrow" hidden="1">PLE!$112:$112</definedName>
    <definedName name="PLE.Medicao" hidden="1">PLE!$J$9</definedName>
    <definedName name="PLE.MEDIÇÕES.firstrow" hidden="1">PLE!$98:$98</definedName>
    <definedName name="PLE.MEDIÇÕES.lastrow" hidden="1">PLE!$106:$106</definedName>
    <definedName name="PLE.MEDIÇÕES.LinhaPadrão" hidden="1">PLE!$98:$105</definedName>
    <definedName name="PLE.ValorDoEvento" hidden="1">SUMIF(CÁLCULO!$M$15:$M$727,PLE!$B1,OFFSET(CÁLCULO!$AI$15:$AI$727,0,PLE!A$12))</definedName>
    <definedName name="PO.ValoresBDI" hidden="1">OFFSET(ORÇAMENTO!$AH$15,1,0):OFFSET(ORÇAMENTO!$AH$727,-1,0)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62913"/>
</workbook>
</file>

<file path=xl/calcChain.xml><?xml version="1.0" encoding="utf-8"?>
<calcChain xmlns="http://schemas.openxmlformats.org/spreadsheetml/2006/main">
  <c r="CM15" i="6" l="1"/>
  <c r="CL15" i="6"/>
  <c r="CK15" i="6"/>
  <c r="CJ15" i="6"/>
  <c r="CI15" i="6"/>
  <c r="CH15" i="6"/>
  <c r="CG15" i="6"/>
  <c r="CF15" i="6"/>
  <c r="BT15" i="6"/>
  <c r="BS15" i="6"/>
  <c r="BR15" i="6"/>
  <c r="BQ15" i="6"/>
  <c r="BP15" i="6"/>
  <c r="BO15" i="6"/>
  <c r="BN15" i="6"/>
  <c r="BM15" i="6"/>
  <c r="AB733" i="6" a="1"/>
  <c r="AB734" i="6" s="1"/>
  <c r="AB6" i="6"/>
  <c r="AC5" i="6"/>
  <c r="AA5" i="6"/>
  <c r="AB733" i="6" l="1"/>
  <c r="AB735" i="6"/>
  <c r="A23" i="5"/>
  <c r="A22" i="5"/>
  <c r="A21" i="5"/>
  <c r="A20" i="5"/>
  <c r="A681" i="5"/>
  <c r="A680" i="5"/>
  <c r="A679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687" i="5"/>
  <c r="A726" i="5"/>
  <c r="A725" i="5"/>
  <c r="A724" i="5"/>
  <c r="A723" i="5"/>
  <c r="A722" i="5"/>
  <c r="A721" i="5"/>
  <c r="A686" i="5"/>
  <c r="A685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612" i="5"/>
  <c r="A611" i="5"/>
  <c r="A610" i="5"/>
  <c r="A609" i="5"/>
  <c r="A608" i="5"/>
  <c r="A607" i="5"/>
  <c r="A606" i="5"/>
  <c r="A605" i="5"/>
  <c r="A604" i="5"/>
  <c r="A586" i="5"/>
  <c r="A585" i="5"/>
  <c r="A584" i="5"/>
  <c r="A583" i="5"/>
  <c r="A582" i="5"/>
  <c r="A581" i="5"/>
  <c r="A580" i="5"/>
  <c r="A57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57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577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576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03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02" i="5"/>
  <c r="A501" i="5"/>
  <c r="A500" i="5"/>
  <c r="A499" i="5"/>
  <c r="A498" i="5"/>
  <c r="A497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496" i="5"/>
  <c r="A684" i="5"/>
  <c r="A683" i="5"/>
  <c r="A682" i="5"/>
  <c r="A575" i="5"/>
  <c r="A574" i="5"/>
  <c r="A573" i="5"/>
  <c r="A572" i="5"/>
  <c r="A571" i="5"/>
  <c r="A570" i="5"/>
  <c r="A569" i="5"/>
  <c r="A495" i="5"/>
  <c r="A476" i="5"/>
  <c r="A475" i="5"/>
  <c r="A474" i="5"/>
  <c r="A473" i="5"/>
  <c r="A472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387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386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385" i="5"/>
  <c r="A316" i="5" l="1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282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45" i="5"/>
  <c r="A463" i="5"/>
  <c r="A462" i="5"/>
  <c r="A461" i="5"/>
  <c r="A460" i="5"/>
  <c r="A459" i="5"/>
  <c r="A458" i="5"/>
  <c r="A384" i="5"/>
  <c r="A383" i="5"/>
  <c r="A382" i="5"/>
  <c r="A381" i="5"/>
  <c r="A380" i="5"/>
  <c r="A344" i="5"/>
  <c r="A343" i="5"/>
  <c r="A342" i="5"/>
  <c r="A341" i="5"/>
  <c r="A340" i="5"/>
  <c r="A339" i="5"/>
  <c r="A338" i="5"/>
  <c r="A337" i="5"/>
  <c r="A336" i="5"/>
  <c r="A334" i="5"/>
  <c r="A333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467" i="5"/>
  <c r="A466" i="5"/>
  <c r="A465" i="5"/>
  <c r="A464" i="5"/>
  <c r="A335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S26" i="4"/>
  <c r="AO23" i="13"/>
  <c r="AN23" i="13"/>
  <c r="AM23" i="13"/>
  <c r="AL23" i="13"/>
  <c r="AK23" i="13"/>
  <c r="AJ23" i="13"/>
  <c r="H23" i="13"/>
  <c r="G23" i="13"/>
  <c r="AO22" i="13"/>
  <c r="AN22" i="13"/>
  <c r="AM22" i="13"/>
  <c r="AL22" i="13"/>
  <c r="AK22" i="13"/>
  <c r="AJ22" i="13"/>
  <c r="H22" i="13"/>
  <c r="G22" i="13"/>
  <c r="AO21" i="13"/>
  <c r="AN21" i="13"/>
  <c r="AM21" i="13"/>
  <c r="AL21" i="13"/>
  <c r="AK21" i="13"/>
  <c r="AJ21" i="13"/>
  <c r="H21" i="13"/>
  <c r="G21" i="13"/>
  <c r="AO20" i="13"/>
  <c r="AN20" i="13"/>
  <c r="AM20" i="13"/>
  <c r="AL20" i="13"/>
  <c r="AK20" i="13"/>
  <c r="AJ20" i="13"/>
  <c r="H20" i="13"/>
  <c r="G20" i="13"/>
  <c r="AO19" i="13"/>
  <c r="AN19" i="13"/>
  <c r="AM19" i="13"/>
  <c r="AL19" i="13"/>
  <c r="AK19" i="13"/>
  <c r="AJ19" i="13"/>
  <c r="H19" i="13"/>
  <c r="G19" i="13"/>
  <c r="AO18" i="13"/>
  <c r="AN18" i="13"/>
  <c r="AM18" i="13"/>
  <c r="AL18" i="13"/>
  <c r="AK18" i="13"/>
  <c r="AJ18" i="13"/>
  <c r="H18" i="13"/>
  <c r="G18" i="13"/>
  <c r="AO17" i="13"/>
  <c r="AN17" i="13"/>
  <c r="AM17" i="13"/>
  <c r="AL17" i="13"/>
  <c r="AK17" i="13"/>
  <c r="AJ17" i="13"/>
  <c r="H17" i="13"/>
  <c r="G17" i="13"/>
  <c r="AO16" i="13"/>
  <c r="AN16" i="13"/>
  <c r="AM16" i="13"/>
  <c r="AL16" i="13"/>
  <c r="AK16" i="13"/>
  <c r="AJ16" i="13"/>
  <c r="H16" i="13"/>
  <c r="G16" i="13"/>
  <c r="AO15" i="13"/>
  <c r="AN15" i="13"/>
  <c r="AM15" i="13"/>
  <c r="AL15" i="13"/>
  <c r="AK15" i="13"/>
  <c r="AJ15" i="13"/>
  <c r="H15" i="13"/>
  <c r="G15" i="13"/>
  <c r="AO14" i="13"/>
  <c r="AN14" i="13"/>
  <c r="AM14" i="13"/>
  <c r="AL14" i="13"/>
  <c r="AK14" i="13"/>
  <c r="AJ14" i="13"/>
  <c r="H14" i="13"/>
  <c r="G14" i="13"/>
  <c r="J23" i="11"/>
  <c r="I23" i="13" s="1"/>
  <c r="D23" i="11"/>
  <c r="E23" i="13" s="1"/>
  <c r="J22" i="11"/>
  <c r="I22" i="13" s="1"/>
  <c r="D22" i="11"/>
  <c r="E22" i="13" s="1"/>
  <c r="J21" i="11"/>
  <c r="I21" i="13" s="1"/>
  <c r="D21" i="11"/>
  <c r="A21" i="11" s="1"/>
  <c r="J20" i="11"/>
  <c r="I20" i="13" s="1"/>
  <c r="D20" i="11"/>
  <c r="E20" i="13" s="1"/>
  <c r="A20" i="11"/>
  <c r="J19" i="11"/>
  <c r="I19" i="13" s="1"/>
  <c r="D19" i="11"/>
  <c r="E19" i="13" s="1"/>
  <c r="A19" i="11"/>
  <c r="J18" i="11"/>
  <c r="I18" i="13" s="1"/>
  <c r="D18" i="11"/>
  <c r="E18" i="13" s="1"/>
  <c r="A18" i="1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471" i="5"/>
  <c r="A470" i="5"/>
  <c r="A469" i="5"/>
  <c r="A468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19" i="5"/>
  <c r="A18" i="5"/>
  <c r="A17" i="5"/>
  <c r="C16" i="5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A13" i="6" s="1"/>
  <c r="A12" i="6"/>
  <c r="BV13" i="6"/>
  <c r="BW13" i="6" s="1"/>
  <c r="BX13" i="6" s="1"/>
  <c r="AJ13" i="6"/>
  <c r="AJ12" i="6" s="1"/>
  <c r="BC13" i="6"/>
  <c r="BC12" i="6" s="1"/>
  <c r="H12" i="10"/>
  <c r="H11" i="10" s="1"/>
  <c r="CE15" i="6"/>
  <c r="CD15" i="6"/>
  <c r="CC15" i="6"/>
  <c r="CB15" i="6"/>
  <c r="CA15" i="6"/>
  <c r="BZ15" i="6"/>
  <c r="BY15" i="6"/>
  <c r="BX15" i="6"/>
  <c r="BW15" i="6"/>
  <c r="BV15" i="6"/>
  <c r="I101" i="10"/>
  <c r="N9" i="10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274" i="8" a="1"/>
  <c r="T733" i="6" a="1"/>
  <c r="T735" i="6" s="1"/>
  <c r="I733" i="6" a="1"/>
  <c r="I734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BL15" i="6"/>
  <c r="BK15" i="6"/>
  <c r="BJ15" i="6"/>
  <c r="BI15" i="6"/>
  <c r="BH15" i="6"/>
  <c r="BG15" i="6"/>
  <c r="BF15" i="6"/>
  <c r="BE15" i="6"/>
  <c r="BD15" i="6"/>
  <c r="BC15" i="6"/>
  <c r="D12" i="11"/>
  <c r="A12" i="11" s="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A17" i="4" s="1"/>
  <c r="A18" i="4" s="1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736" i="12"/>
  <c r="E737" i="12"/>
  <c r="K739" i="12" a="1"/>
  <c r="K741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727" i="6"/>
  <c r="C727" i="6"/>
  <c r="F731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262" i="8"/>
  <c r="S267" i="8"/>
  <c r="H272" i="8"/>
  <c r="B1" i="9"/>
  <c r="E12" i="9"/>
  <c r="E11" i="9" s="1"/>
  <c r="L2" i="2"/>
  <c r="J14" i="11" s="1"/>
  <c r="I14" i="13" s="1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737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740" i="5"/>
  <c r="T742" i="5" a="1"/>
  <c r="T742" i="5" s="1"/>
  <c r="B1" i="10"/>
  <c r="H4" i="10"/>
  <c r="V6" i="10"/>
  <c r="AE6" i="10"/>
  <c r="B7" i="10"/>
  <c r="H7" i="10"/>
  <c r="O7" i="10"/>
  <c r="V7" i="10"/>
  <c r="AE7" i="10"/>
  <c r="F12" i="10"/>
  <c r="F11" i="10" s="1"/>
  <c r="B107" i="10"/>
  <c r="W109" i="10" a="1"/>
  <c r="W110" i="10" s="1"/>
  <c r="D4" i="11"/>
  <c r="G4" i="11"/>
  <c r="J4" i="11"/>
  <c r="M6" i="11"/>
  <c r="D7" i="11"/>
  <c r="L7" i="11"/>
  <c r="M7" i="11"/>
  <c r="N7" i="11"/>
  <c r="O7" i="11" s="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734" i="12"/>
  <c r="I15" i="12"/>
  <c r="O15" i="12"/>
  <c r="M15" i="12"/>
  <c r="J15" i="12" s="1"/>
  <c r="K130" i="4"/>
  <c r="AO12" i="13"/>
  <c r="AL12" i="13"/>
  <c r="AK12" i="13"/>
  <c r="AJ12" i="13"/>
  <c r="AM12" i="13"/>
  <c r="AN12" i="13"/>
  <c r="K101" i="10"/>
  <c r="M101" i="10" s="1"/>
  <c r="O101" i="10" s="1"/>
  <c r="Q101" i="10" s="1"/>
  <c r="S101" i="10" s="1"/>
  <c r="U101" i="10" s="1"/>
  <c r="W101" i="10" s="1"/>
  <c r="Y101" i="10" s="1"/>
  <c r="AA101" i="10" s="1"/>
  <c r="AC101" i="10" s="1"/>
  <c r="AE101" i="10" s="1"/>
  <c r="C45" i="4"/>
  <c r="A46" i="4"/>
  <c r="A47" i="4" s="1"/>
  <c r="A48" i="4" s="1"/>
  <c r="C48" i="4" s="1"/>
  <c r="A28" i="4"/>
  <c r="A29" i="4" s="1"/>
  <c r="C29" i="4" s="1"/>
  <c r="C27" i="4"/>
  <c r="O8" i="5"/>
  <c r="A22" i="11" l="1"/>
  <c r="K50" i="4"/>
  <c r="A49" i="4"/>
  <c r="C49" i="4" s="1"/>
  <c r="E12" i="13"/>
  <c r="C16" i="4"/>
  <c r="C33" i="4"/>
  <c r="C34" i="4"/>
  <c r="W112" i="10"/>
  <c r="F96" i="7"/>
  <c r="F92" i="7"/>
  <c r="F88" i="7"/>
  <c r="F84" i="7"/>
  <c r="F80" i="7"/>
  <c r="F76" i="7"/>
  <c r="F72" i="7"/>
  <c r="F68" i="7"/>
  <c r="F81" i="7"/>
  <c r="F69" i="7"/>
  <c r="F95" i="7"/>
  <c r="F91" i="7"/>
  <c r="F87" i="7"/>
  <c r="F83" i="7"/>
  <c r="F79" i="7"/>
  <c r="F75" i="7"/>
  <c r="F71" i="7"/>
  <c r="F67" i="7"/>
  <c r="F85" i="7"/>
  <c r="F66" i="7"/>
  <c r="F93" i="7"/>
  <c r="F65" i="7"/>
  <c r="F94" i="7"/>
  <c r="F90" i="7"/>
  <c r="F86" i="7"/>
  <c r="F82" i="7"/>
  <c r="F78" i="7"/>
  <c r="F74" i="7"/>
  <c r="F70" i="7"/>
  <c r="F77" i="7"/>
  <c r="F89" i="7"/>
  <c r="F73" i="7"/>
  <c r="AB13" i="6"/>
  <c r="N16" i="5"/>
  <c r="D16" i="6" s="1"/>
  <c r="E16" i="12"/>
  <c r="A23" i="11"/>
  <c r="A19" i="4"/>
  <c r="C19" i="4" s="1"/>
  <c r="C18" i="4"/>
  <c r="C47" i="4"/>
  <c r="C23" i="4"/>
  <c r="A14" i="11"/>
  <c r="A30" i="4"/>
  <c r="C46" i="4"/>
  <c r="E16" i="13"/>
  <c r="C28" i="4"/>
  <c r="K742" i="12"/>
  <c r="C21" i="4"/>
  <c r="C22" i="4"/>
  <c r="C17" i="4"/>
  <c r="K132" i="4"/>
  <c r="E15" i="13"/>
  <c r="A17" i="11"/>
  <c r="E21" i="13"/>
  <c r="B39" i="14"/>
  <c r="A23" i="8"/>
  <c r="B16" i="5"/>
  <c r="B19" i="10"/>
  <c r="B21" i="9"/>
  <c r="C17" i="7"/>
  <c r="W111" i="10"/>
  <c r="I16" i="5"/>
  <c r="W16" i="5"/>
  <c r="H16" i="12" s="1"/>
  <c r="AE16" i="5"/>
  <c r="F16" i="5"/>
  <c r="G16" i="5"/>
  <c r="H16" i="5"/>
  <c r="K739" i="12"/>
  <c r="A16" i="12"/>
  <c r="B16" i="6"/>
  <c r="A16" i="6" s="1"/>
  <c r="T744" i="5"/>
  <c r="B37" i="14"/>
  <c r="C14" i="14"/>
  <c r="O7" i="13"/>
  <c r="T734" i="6"/>
  <c r="P125" i="4"/>
  <c r="H275" i="8"/>
  <c r="I735" i="6"/>
  <c r="I733" i="6"/>
  <c r="BV12" i="6"/>
  <c r="AK13" i="6"/>
  <c r="BD13" i="6"/>
  <c r="B14" i="5"/>
  <c r="F14" i="5"/>
  <c r="I80" i="4"/>
  <c r="G15" i="9"/>
  <c r="M15" i="6"/>
  <c r="L35" i="13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A36" i="4"/>
  <c r="C35" i="4"/>
  <c r="C30" i="4"/>
  <c r="A31" i="4"/>
  <c r="C31" i="4" s="1"/>
  <c r="BX12" i="6"/>
  <c r="BY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275" i="8"/>
  <c r="Z276" i="8"/>
  <c r="Z274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740" i="12"/>
  <c r="B110" i="10"/>
  <c r="F734" i="6"/>
  <c r="O743" i="5"/>
  <c r="D36" i="11"/>
  <c r="M8" i="12"/>
  <c r="AO7" i="12"/>
  <c r="BW12" i="6"/>
  <c r="W109" i="10"/>
  <c r="A4" i="4"/>
  <c r="K51" i="4"/>
  <c r="K740" i="12"/>
  <c r="S70" i="4"/>
  <c r="G5" i="5" s="1"/>
  <c r="W8" i="5" s="1"/>
  <c r="K91" i="4"/>
  <c r="T733" i="6"/>
  <c r="K90" i="4"/>
  <c r="T743" i="5"/>
  <c r="CM16" i="6" l="1"/>
  <c r="CL16" i="6"/>
  <c r="CK16" i="6"/>
  <c r="CJ16" i="6"/>
  <c r="CI16" i="6"/>
  <c r="CH16" i="6"/>
  <c r="CF16" i="6"/>
  <c r="CG16" i="6"/>
  <c r="BM16" i="6"/>
  <c r="BT16" i="6"/>
  <c r="BS16" i="6"/>
  <c r="BR16" i="6"/>
  <c r="BQ16" i="6"/>
  <c r="BP16" i="6"/>
  <c r="BO16" i="6"/>
  <c r="BN16" i="6"/>
  <c r="AC13" i="6"/>
  <c r="C17" i="5"/>
  <c r="E16" i="5"/>
  <c r="F16" i="6"/>
  <c r="B42" i="14"/>
  <c r="A26" i="8"/>
  <c r="B17" i="7"/>
  <c r="C18" i="7"/>
  <c r="B22" i="9"/>
  <c r="B20" i="10"/>
  <c r="AD16" i="5"/>
  <c r="BD16" i="6"/>
  <c r="BC16" i="6"/>
  <c r="CE16" i="6"/>
  <c r="CD16" i="6"/>
  <c r="CC16" i="6"/>
  <c r="CA16" i="6"/>
  <c r="BZ16" i="6"/>
  <c r="BY16" i="6"/>
  <c r="BX16" i="6"/>
  <c r="BW16" i="6"/>
  <c r="BV16" i="6"/>
  <c r="CB16" i="6"/>
  <c r="BI16" i="6"/>
  <c r="BH16" i="6"/>
  <c r="BG16" i="6"/>
  <c r="BF16" i="6"/>
  <c r="BE16" i="6"/>
  <c r="N16" i="6"/>
  <c r="BK16" i="6"/>
  <c r="BJ16" i="6"/>
  <c r="M16" i="6"/>
  <c r="BL16" i="6"/>
  <c r="H16" i="6"/>
  <c r="T16" i="5" s="1"/>
  <c r="G16" i="12" s="1"/>
  <c r="G16" i="6"/>
  <c r="AK12" i="6"/>
  <c r="AL13" i="6"/>
  <c r="H11" i="9"/>
  <c r="BE13" i="6"/>
  <c r="BD12" i="6"/>
  <c r="B8" i="14"/>
  <c r="I10" i="13"/>
  <c r="I11" i="9"/>
  <c r="J12" i="9"/>
  <c r="I11" i="10"/>
  <c r="J12" i="10"/>
  <c r="D14" i="6"/>
  <c r="BZ13" i="6"/>
  <c r="C4" i="4"/>
  <c r="A5" i="4"/>
  <c r="J14" i="12"/>
  <c r="L14" i="12"/>
  <c r="C36" i="4"/>
  <c r="A37" i="4"/>
  <c r="C37" i="4" s="1"/>
  <c r="AD13" i="6" l="1"/>
  <c r="A17" i="12"/>
  <c r="A14" i="13"/>
  <c r="B14" i="11"/>
  <c r="G14" i="11" s="1"/>
  <c r="F14" i="13" s="1"/>
  <c r="AD17" i="5"/>
  <c r="AE17" i="5"/>
  <c r="N17" i="5"/>
  <c r="D17" i="6" s="1"/>
  <c r="H17" i="5"/>
  <c r="A29" i="8"/>
  <c r="C19" i="7"/>
  <c r="B18" i="7"/>
  <c r="F17" i="5"/>
  <c r="B17" i="5"/>
  <c r="B17" i="6"/>
  <c r="G17" i="5"/>
  <c r="B21" i="10"/>
  <c r="C18" i="5"/>
  <c r="B23" i="9"/>
  <c r="AK16" i="6"/>
  <c r="E17" i="5"/>
  <c r="AJ16" i="6"/>
  <c r="AM13" i="6"/>
  <c r="AN13" i="6" s="1"/>
  <c r="AL12" i="6"/>
  <c r="AL16" i="6" s="1"/>
  <c r="BE12" i="6"/>
  <c r="BF13" i="6"/>
  <c r="K12" i="10"/>
  <c r="J11" i="10"/>
  <c r="K12" i="9"/>
  <c r="CA13" i="6"/>
  <c r="BZ12" i="6"/>
  <c r="A14" i="6"/>
  <c r="N14" i="6" s="1"/>
  <c r="K14" i="12"/>
  <c r="C5" i="4"/>
  <c r="A6" i="4"/>
  <c r="AK3" i="6"/>
  <c r="CM17" i="6" l="1"/>
  <c r="CL17" i="6"/>
  <c r="CK17" i="6"/>
  <c r="CJ17" i="6"/>
  <c r="CI17" i="6"/>
  <c r="CH17" i="6"/>
  <c r="CG17" i="6"/>
  <c r="CF17" i="6"/>
  <c r="BT17" i="6"/>
  <c r="BS17" i="6"/>
  <c r="BR17" i="6"/>
  <c r="BQ17" i="6"/>
  <c r="BP17" i="6"/>
  <c r="BO17" i="6"/>
  <c r="BN17" i="6"/>
  <c r="BM17" i="6"/>
  <c r="AE13" i="6"/>
  <c r="C14" i="13"/>
  <c r="K14" i="13" s="1"/>
  <c r="K14" i="11"/>
  <c r="J14" i="13" s="1"/>
  <c r="F18" i="5"/>
  <c r="D18" i="5"/>
  <c r="B18" i="12" s="1"/>
  <c r="J18" i="5"/>
  <c r="A18" i="12"/>
  <c r="L18" i="12" s="1"/>
  <c r="E18" i="5"/>
  <c r="AD18" i="5"/>
  <c r="B18" i="6"/>
  <c r="A17" i="6"/>
  <c r="N17" i="6" s="1"/>
  <c r="A32" i="8"/>
  <c r="G18" i="5"/>
  <c r="H18" i="5"/>
  <c r="K18" i="5"/>
  <c r="AE18" i="5"/>
  <c r="B18" i="5"/>
  <c r="C19" i="5" s="1"/>
  <c r="B22" i="10"/>
  <c r="B24" i="9"/>
  <c r="N18" i="5"/>
  <c r="D18" i="6" s="1"/>
  <c r="C20" i="7"/>
  <c r="B19" i="7"/>
  <c r="H17" i="6"/>
  <c r="T17" i="5" s="1"/>
  <c r="AL3" i="6"/>
  <c r="AJ3" i="6"/>
  <c r="BG13" i="6"/>
  <c r="L12" i="9"/>
  <c r="K11" i="9"/>
  <c r="M14" i="6"/>
  <c r="L12" i="10"/>
  <c r="AN12" i="6"/>
  <c r="AO13" i="6"/>
  <c r="A7" i="4"/>
  <c r="C7" i="4" s="1"/>
  <c r="C6" i="4"/>
  <c r="CA12" i="6"/>
  <c r="CB13" i="6"/>
  <c r="BV14" i="6" l="1"/>
  <c r="AF13" i="6"/>
  <c r="AE19" i="5"/>
  <c r="C20" i="5"/>
  <c r="F17" i="6"/>
  <c r="E17" i="12"/>
  <c r="G17" i="6"/>
  <c r="G19" i="5"/>
  <c r="AD19" i="5"/>
  <c r="B19" i="6"/>
  <c r="A19" i="12"/>
  <c r="H19" i="5"/>
  <c r="N19" i="5"/>
  <c r="D19" i="6" s="1"/>
  <c r="F19" i="5"/>
  <c r="B19" i="5"/>
  <c r="J18" i="12"/>
  <c r="K18" i="12" s="1"/>
  <c r="E19" i="5"/>
  <c r="M17" i="6"/>
  <c r="A35" i="8"/>
  <c r="C21" i="7"/>
  <c r="B20" i="7"/>
  <c r="B25" i="9"/>
  <c r="B23" i="10"/>
  <c r="AN16" i="6"/>
  <c r="H18" i="6"/>
  <c r="T18" i="5" s="1"/>
  <c r="G17" i="12"/>
  <c r="BE14" i="6"/>
  <c r="CB14" i="6"/>
  <c r="BG12" i="6"/>
  <c r="BH13" i="6"/>
  <c r="BH14" i="6" s="1"/>
  <c r="BX14" i="6"/>
  <c r="CA14" i="6"/>
  <c r="BY14" i="6"/>
  <c r="BF14" i="6"/>
  <c r="BG14" i="6"/>
  <c r="BD14" i="6"/>
  <c r="BC14" i="6"/>
  <c r="BW14" i="6"/>
  <c r="L11" i="9"/>
  <c r="M12" i="9"/>
  <c r="BZ14" i="6"/>
  <c r="L11" i="10"/>
  <c r="M12" i="10"/>
  <c r="AP13" i="6"/>
  <c r="AO12" i="6"/>
  <c r="CB12" i="6"/>
  <c r="CC13" i="6"/>
  <c r="CC14" i="6" s="1"/>
  <c r="Z69" i="4"/>
  <c r="Y29" i="4"/>
  <c r="Z21" i="4"/>
  <c r="S21" i="4" s="1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U69" i="4" s="1"/>
  <c r="Y61" i="4"/>
  <c r="X102" i="4"/>
  <c r="X104" i="4"/>
  <c r="X64" i="4"/>
  <c r="Y105" i="4"/>
  <c r="Y63" i="4"/>
  <c r="Z22" i="4"/>
  <c r="S22" i="4" s="1"/>
  <c r="Z101" i="4"/>
  <c r="Z64" i="4"/>
  <c r="X24" i="4"/>
  <c r="Y23" i="4"/>
  <c r="S27" i="4" l="1"/>
  <c r="S29" i="4" s="1"/>
  <c r="U29" i="4" s="1"/>
  <c r="S28" i="4"/>
  <c r="CI19" i="6"/>
  <c r="CH19" i="6"/>
  <c r="CG19" i="6"/>
  <c r="CF19" i="6"/>
  <c r="CM19" i="6"/>
  <c r="CL19" i="6"/>
  <c r="CJ19" i="6"/>
  <c r="CK19" i="6"/>
  <c r="BQ19" i="6"/>
  <c r="BP19" i="6"/>
  <c r="BO19" i="6"/>
  <c r="BN19" i="6"/>
  <c r="BM19" i="6"/>
  <c r="BT19" i="6"/>
  <c r="BS19" i="6"/>
  <c r="BR19" i="6"/>
  <c r="AG13" i="6"/>
  <c r="D20" i="5"/>
  <c r="B20" i="12" s="1"/>
  <c r="A20" i="12"/>
  <c r="B20" i="5"/>
  <c r="AE20" i="5"/>
  <c r="N20" i="5"/>
  <c r="F20" i="5"/>
  <c r="AD20" i="5"/>
  <c r="K20" i="5"/>
  <c r="J20" i="5"/>
  <c r="C21" i="5"/>
  <c r="B20" i="6"/>
  <c r="H20" i="5"/>
  <c r="G20" i="5"/>
  <c r="E20" i="5"/>
  <c r="CA17" i="6"/>
  <c r="W17" i="5"/>
  <c r="H17" i="12" s="1"/>
  <c r="F19" i="6"/>
  <c r="E19" i="12"/>
  <c r="BD17" i="6"/>
  <c r="BF17" i="6"/>
  <c r="AK17" i="6"/>
  <c r="CC17" i="6"/>
  <c r="BX17" i="6"/>
  <c r="AJ17" i="6"/>
  <c r="BW17" i="6"/>
  <c r="BY17" i="6"/>
  <c r="AN17" i="6"/>
  <c r="BE17" i="6"/>
  <c r="BV17" i="6"/>
  <c r="BG17" i="6"/>
  <c r="CB17" i="6"/>
  <c r="AL17" i="6"/>
  <c r="BC17" i="6"/>
  <c r="A38" i="8"/>
  <c r="BZ17" i="6"/>
  <c r="BH17" i="6"/>
  <c r="B24" i="10"/>
  <c r="B26" i="9"/>
  <c r="C22" i="7"/>
  <c r="B21" i="7"/>
  <c r="AO16" i="6"/>
  <c r="AO17" i="6"/>
  <c r="G18" i="12"/>
  <c r="H19" i="6"/>
  <c r="T19" i="5" s="1"/>
  <c r="G19" i="6"/>
  <c r="U109" i="4"/>
  <c r="K112" i="4" s="1"/>
  <c r="BI13" i="6"/>
  <c r="BI17" i="6" s="1"/>
  <c r="BH12" i="6"/>
  <c r="M11" i="10"/>
  <c r="N12" i="10"/>
  <c r="M11" i="9"/>
  <c r="N12" i="9"/>
  <c r="AP12" i="6"/>
  <c r="AQ13" i="6"/>
  <c r="J72" i="4"/>
  <c r="K72" i="4"/>
  <c r="CD13" i="6"/>
  <c r="CC12" i="6"/>
  <c r="S30" i="4" l="1"/>
  <c r="F5" i="5" s="1"/>
  <c r="AH13" i="6"/>
  <c r="D20" i="6"/>
  <c r="J21" i="5"/>
  <c r="C22" i="5"/>
  <c r="AD21" i="5"/>
  <c r="H21" i="5"/>
  <c r="A21" i="12"/>
  <c r="G21" i="5"/>
  <c r="B21" i="6"/>
  <c r="F21" i="5"/>
  <c r="E21" i="5"/>
  <c r="D21" i="5"/>
  <c r="B21" i="12" s="1"/>
  <c r="B21" i="5"/>
  <c r="AE21" i="5"/>
  <c r="N21" i="5"/>
  <c r="K21" i="5"/>
  <c r="L20" i="12"/>
  <c r="J20" i="12"/>
  <c r="CD17" i="6"/>
  <c r="CD14" i="6"/>
  <c r="W19" i="5"/>
  <c r="H19" i="12" s="1"/>
  <c r="A41" i="8"/>
  <c r="BZ19" i="6"/>
  <c r="B27" i="9"/>
  <c r="N19" i="6"/>
  <c r="B22" i="7"/>
  <c r="C23" i="7"/>
  <c r="B25" i="10"/>
  <c r="CA19" i="6"/>
  <c r="CC19" i="6"/>
  <c r="BE19" i="6"/>
  <c r="BF19" i="6"/>
  <c r="CB19" i="6"/>
  <c r="G19" i="12"/>
  <c r="AP16" i="6"/>
  <c r="AP17" i="6"/>
  <c r="BC19" i="6"/>
  <c r="BD19" i="6"/>
  <c r="BV19" i="6"/>
  <c r="BX19" i="6"/>
  <c r="CD19" i="6"/>
  <c r="BG19" i="6"/>
  <c r="BW19" i="6"/>
  <c r="BH19" i="6"/>
  <c r="BY19" i="6"/>
  <c r="BI19" i="6"/>
  <c r="J112" i="4"/>
  <c r="BI14" i="6"/>
  <c r="BJ13" i="6"/>
  <c r="BI12" i="6"/>
  <c r="O12" i="9"/>
  <c r="N11" i="9"/>
  <c r="O12" i="10"/>
  <c r="N11" i="10"/>
  <c r="AQ12" i="6"/>
  <c r="AR13" i="6"/>
  <c r="K32" i="4"/>
  <c r="J32" i="4"/>
  <c r="CE13" i="6"/>
  <c r="CF13" i="6" s="1"/>
  <c r="CD12" i="6"/>
  <c r="AH688" i="5" l="1"/>
  <c r="AH708" i="5"/>
  <c r="AH724" i="5"/>
  <c r="AH591" i="5"/>
  <c r="AH606" i="5"/>
  <c r="AH609" i="5"/>
  <c r="AH622" i="5"/>
  <c r="AH636" i="5"/>
  <c r="AH631" i="5"/>
  <c r="AH576" i="5"/>
  <c r="AH670" i="5"/>
  <c r="AH677" i="5"/>
  <c r="AH490" i="5"/>
  <c r="AH515" i="5"/>
  <c r="AH516" i="5"/>
  <c r="AH536" i="5"/>
  <c r="AH543" i="5"/>
  <c r="AH539" i="5"/>
  <c r="AH564" i="5"/>
  <c r="AH572" i="5"/>
  <c r="AH473" i="5"/>
  <c r="AH396" i="5"/>
  <c r="AH413" i="5"/>
  <c r="AH434" i="5"/>
  <c r="AH422" i="5"/>
  <c r="AH457" i="5"/>
  <c r="AH440" i="5"/>
  <c r="AH313" i="5"/>
  <c r="AH286" i="5"/>
  <c r="AH331" i="5"/>
  <c r="AH325" i="5"/>
  <c r="AH358" i="5"/>
  <c r="AH379" i="5"/>
  <c r="AH345" i="5"/>
  <c r="AH339" i="5"/>
  <c r="AH333" i="5"/>
  <c r="AH268" i="5"/>
  <c r="AH232" i="5"/>
  <c r="AH246" i="5"/>
  <c r="AH466" i="5"/>
  <c r="AH263" i="5"/>
  <c r="AH189" i="5"/>
  <c r="AH210" i="5"/>
  <c r="AH216" i="5"/>
  <c r="AH190" i="5"/>
  <c r="AH145" i="5"/>
  <c r="AH133" i="5"/>
  <c r="AH166" i="5"/>
  <c r="AH58" i="5"/>
  <c r="AH113" i="5"/>
  <c r="AH49" i="5"/>
  <c r="AH89" i="5"/>
  <c r="AH87" i="5"/>
  <c r="AH151" i="5"/>
  <c r="AH69" i="5"/>
  <c r="AH97" i="5"/>
  <c r="AH41" i="5"/>
  <c r="AH65" i="5"/>
  <c r="AH524" i="5"/>
  <c r="AH343" i="5"/>
  <c r="AH686" i="5"/>
  <c r="AH481" i="5"/>
  <c r="AH553" i="5"/>
  <c r="AH425" i="5"/>
  <c r="AH357" i="5"/>
  <c r="AH694" i="5"/>
  <c r="AH698" i="5"/>
  <c r="AH706" i="5"/>
  <c r="AH722" i="5"/>
  <c r="AH590" i="5"/>
  <c r="AH611" i="5"/>
  <c r="AH605" i="5"/>
  <c r="AH619" i="5"/>
  <c r="AH634" i="5"/>
  <c r="AH629" i="5"/>
  <c r="AH656" i="5"/>
  <c r="AH672" i="5"/>
  <c r="AH665" i="5"/>
  <c r="AH489" i="5"/>
  <c r="AH509" i="5"/>
  <c r="AH505" i="5"/>
  <c r="AH526" i="5"/>
  <c r="AH542" i="5"/>
  <c r="AH497" i="5"/>
  <c r="AH565" i="5"/>
  <c r="AH684" i="5"/>
  <c r="AH404" i="5"/>
  <c r="AH405" i="5"/>
  <c r="AH419" i="5"/>
  <c r="AH432" i="5"/>
  <c r="AH386" i="5"/>
  <c r="AH453" i="5"/>
  <c r="AH442" i="5"/>
  <c r="AH305" i="5"/>
  <c r="AH297" i="5"/>
  <c r="AH329" i="5"/>
  <c r="AH320" i="5"/>
  <c r="AH359" i="5"/>
  <c r="AH377" i="5"/>
  <c r="AH372" i="5"/>
  <c r="AH342" i="5"/>
  <c r="AH280" i="5"/>
  <c r="AH265" i="5"/>
  <c r="AH229" i="5"/>
  <c r="AH240" i="5"/>
  <c r="AH464" i="5"/>
  <c r="AH254" i="5"/>
  <c r="AH185" i="5"/>
  <c r="AH197" i="5"/>
  <c r="AH211" i="5"/>
  <c r="AH171" i="5"/>
  <c r="AH204" i="5"/>
  <c r="AH128" i="5"/>
  <c r="AH111" i="5"/>
  <c r="AH54" i="5"/>
  <c r="AH102" i="5"/>
  <c r="AH47" i="5"/>
  <c r="AH74" i="5"/>
  <c r="AH79" i="5"/>
  <c r="AH170" i="5"/>
  <c r="AH66" i="5"/>
  <c r="AH77" i="5"/>
  <c r="AH86" i="5"/>
  <c r="AH24" i="5"/>
  <c r="AH702" i="5"/>
  <c r="AH721" i="5"/>
  <c r="AH583" i="5"/>
  <c r="AH577" i="5"/>
  <c r="AH657" i="5"/>
  <c r="AH483" i="5"/>
  <c r="AH562" i="5"/>
  <c r="AH393" i="5"/>
  <c r="AH426" i="5"/>
  <c r="AH306" i="5"/>
  <c r="AH319" i="5"/>
  <c r="AH266" i="5"/>
  <c r="AH261" i="5"/>
  <c r="AH193" i="5"/>
  <c r="AH144" i="5"/>
  <c r="AH90" i="5"/>
  <c r="AH17" i="5"/>
  <c r="AH700" i="5"/>
  <c r="AH627" i="5"/>
  <c r="AH642" i="5"/>
  <c r="AH531" i="5"/>
  <c r="AH390" i="5"/>
  <c r="AH301" i="5"/>
  <c r="AH366" i="5"/>
  <c r="AH225" i="5"/>
  <c r="AH159" i="5"/>
  <c r="AH692" i="5"/>
  <c r="AH703" i="5"/>
  <c r="AH687" i="5"/>
  <c r="AH725" i="5"/>
  <c r="AH588" i="5"/>
  <c r="AH608" i="5"/>
  <c r="AH580" i="5"/>
  <c r="AH578" i="5"/>
  <c r="AH632" i="5"/>
  <c r="AH641" i="5"/>
  <c r="AH655" i="5"/>
  <c r="AH668" i="5"/>
  <c r="AH493" i="5"/>
  <c r="AH487" i="5"/>
  <c r="AH517" i="5"/>
  <c r="AH538" i="5"/>
  <c r="AH527" i="5"/>
  <c r="AH540" i="5"/>
  <c r="AH498" i="5"/>
  <c r="AH566" i="5"/>
  <c r="AH474" i="5"/>
  <c r="AH402" i="5"/>
  <c r="AH392" i="5"/>
  <c r="AH414" i="5"/>
  <c r="AH430" i="5"/>
  <c r="AH423" i="5"/>
  <c r="AH443" i="5"/>
  <c r="AH308" i="5"/>
  <c r="AH316" i="5"/>
  <c r="AH293" i="5"/>
  <c r="AH327" i="5"/>
  <c r="AH324" i="5"/>
  <c r="AH353" i="5"/>
  <c r="AH374" i="5"/>
  <c r="AH376" i="5"/>
  <c r="AH458" i="5"/>
  <c r="AH271" i="5"/>
  <c r="AH277" i="5"/>
  <c r="AH228" i="5"/>
  <c r="AH238" i="5"/>
  <c r="AH258" i="5"/>
  <c r="AH255" i="5"/>
  <c r="AH469" i="5"/>
  <c r="AH196" i="5"/>
  <c r="AH202" i="5"/>
  <c r="AH164" i="5"/>
  <c r="AH184" i="5"/>
  <c r="AH140" i="5"/>
  <c r="AH162" i="5"/>
  <c r="AH188" i="5"/>
  <c r="AH100" i="5"/>
  <c r="AH46" i="5"/>
  <c r="AH62" i="5"/>
  <c r="AH78" i="5"/>
  <c r="AH96" i="5"/>
  <c r="AH35" i="5"/>
  <c r="AH73" i="5"/>
  <c r="AH123" i="5"/>
  <c r="AH138" i="5"/>
  <c r="AH699" i="5"/>
  <c r="AH582" i="5"/>
  <c r="AH645" i="5"/>
  <c r="AH488" i="5"/>
  <c r="AH535" i="5"/>
  <c r="AH570" i="5"/>
  <c r="AH412" i="5"/>
  <c r="AH439" i="5"/>
  <c r="AH292" i="5"/>
  <c r="AH352" i="5"/>
  <c r="AH275" i="5"/>
  <c r="AH262" i="5"/>
  <c r="AH191" i="5"/>
  <c r="AH142" i="5"/>
  <c r="AH107" i="5"/>
  <c r="AH115" i="5"/>
  <c r="AH23" i="5"/>
  <c r="AN23" i="5" s="1"/>
  <c r="AH610" i="5"/>
  <c r="AH643" i="5"/>
  <c r="AH512" i="5"/>
  <c r="AH683" i="5"/>
  <c r="AH446" i="5"/>
  <c r="AH347" i="5"/>
  <c r="AH244" i="5"/>
  <c r="AH470" i="5"/>
  <c r="AH183" i="5"/>
  <c r="AH704" i="5"/>
  <c r="AH701" i="5"/>
  <c r="AH720" i="5"/>
  <c r="AH723" i="5"/>
  <c r="AH603" i="5"/>
  <c r="AH612" i="5"/>
  <c r="AH579" i="5"/>
  <c r="AH615" i="5"/>
  <c r="AH630" i="5"/>
  <c r="AH640" i="5"/>
  <c r="AH660" i="5"/>
  <c r="AH666" i="5"/>
  <c r="AH491" i="5"/>
  <c r="AH485" i="5"/>
  <c r="AH504" i="5"/>
  <c r="AH537" i="5"/>
  <c r="AH525" i="5"/>
  <c r="AH550" i="5"/>
  <c r="AH567" i="5"/>
  <c r="AH557" i="5"/>
  <c r="AH472" i="5"/>
  <c r="AH394" i="5"/>
  <c r="AH401" i="5"/>
  <c r="AH415" i="5"/>
  <c r="AH428" i="5"/>
  <c r="AH421" i="5"/>
  <c r="AH441" i="5"/>
  <c r="AH300" i="5"/>
  <c r="AH314" i="5"/>
  <c r="AH291" i="5"/>
  <c r="AH328" i="5"/>
  <c r="AH323" i="5"/>
  <c r="AH362" i="5"/>
  <c r="AH368" i="5"/>
  <c r="AH373" i="5"/>
  <c r="AH382" i="5"/>
  <c r="AH269" i="5"/>
  <c r="AH281" i="5"/>
  <c r="AH227" i="5"/>
  <c r="AH235" i="5"/>
  <c r="AH467" i="5"/>
  <c r="AH465" i="5"/>
  <c r="AH207" i="5"/>
  <c r="AH194" i="5"/>
  <c r="AH201" i="5"/>
  <c r="AH156" i="5"/>
  <c r="AH174" i="5"/>
  <c r="AH106" i="5"/>
  <c r="AH152" i="5"/>
  <c r="AH153" i="5"/>
  <c r="AH75" i="5"/>
  <c r="AH44" i="5"/>
  <c r="AH121" i="5"/>
  <c r="AH63" i="5"/>
  <c r="AH19" i="5"/>
  <c r="AH103" i="5"/>
  <c r="AH88" i="5"/>
  <c r="AH16" i="5"/>
  <c r="AN16" i="5" s="1"/>
  <c r="AH122" i="5"/>
  <c r="AH718" i="5"/>
  <c r="AH601" i="5"/>
  <c r="AH618" i="5"/>
  <c r="AH673" i="5"/>
  <c r="AH519" i="5"/>
  <c r="AH555" i="5"/>
  <c r="AH395" i="5"/>
  <c r="AH429" i="5"/>
  <c r="AH322" i="5"/>
  <c r="AH462" i="5"/>
  <c r="AH226" i="5"/>
  <c r="AH143" i="5"/>
  <c r="AH158" i="5"/>
  <c r="AH83" i="5"/>
  <c r="AH716" i="5"/>
  <c r="AH617" i="5"/>
  <c r="AH486" i="5"/>
  <c r="AH559" i="5"/>
  <c r="AH409" i="5"/>
  <c r="AH315" i="5"/>
  <c r="AH460" i="5"/>
  <c r="AH252" i="5"/>
  <c r="AH198" i="5"/>
  <c r="AH126" i="5"/>
  <c r="AH679" i="5"/>
  <c r="AH697" i="5"/>
  <c r="AH712" i="5"/>
  <c r="AH705" i="5"/>
  <c r="AH596" i="5"/>
  <c r="AH589" i="5"/>
  <c r="AH607" i="5"/>
  <c r="AH626" i="5"/>
  <c r="AH639" i="5"/>
  <c r="AH635" i="5"/>
  <c r="AH651" i="5"/>
  <c r="AH661" i="5"/>
  <c r="AH669" i="5"/>
  <c r="AH494" i="5"/>
  <c r="AH518" i="5"/>
  <c r="AH511" i="5"/>
  <c r="AH522" i="5"/>
  <c r="AH547" i="5"/>
  <c r="AH502" i="5"/>
  <c r="AH554" i="5"/>
  <c r="AH682" i="5"/>
  <c r="AH495" i="5"/>
  <c r="AH400" i="5"/>
  <c r="AH406" i="5"/>
  <c r="AH411" i="5"/>
  <c r="AH431" i="5"/>
  <c r="AH447" i="5"/>
  <c r="AH451" i="5"/>
  <c r="AH312" i="5"/>
  <c r="AH284" i="5"/>
  <c r="AH288" i="5"/>
  <c r="AH330" i="5"/>
  <c r="AH355" i="5"/>
  <c r="AH378" i="5"/>
  <c r="AH365" i="5"/>
  <c r="AH384" i="5"/>
  <c r="AH380" i="5"/>
  <c r="AH273" i="5"/>
  <c r="AH231" i="5"/>
  <c r="AH248" i="5"/>
  <c r="AH245" i="5"/>
  <c r="AH259" i="5"/>
  <c r="AH218" i="5"/>
  <c r="AH195" i="5"/>
  <c r="AH200" i="5"/>
  <c r="AH147" i="5"/>
  <c r="AH161" i="5"/>
  <c r="AH117" i="5"/>
  <c r="AH155" i="5"/>
  <c r="AH82" i="5"/>
  <c r="AH60" i="5"/>
  <c r="AH64" i="5"/>
  <c r="AH32" i="5"/>
  <c r="AH139" i="5"/>
  <c r="AH137" i="5"/>
  <c r="AH30" i="5"/>
  <c r="AH52" i="5"/>
  <c r="AH84" i="5"/>
  <c r="AH27" i="5"/>
  <c r="AH56" i="5"/>
  <c r="AH91" i="5"/>
  <c r="AH50" i="5"/>
  <c r="AH18" i="5"/>
  <c r="AH59" i="5"/>
  <c r="AH127" i="5"/>
  <c r="AH548" i="5"/>
  <c r="AH369" i="5"/>
  <c r="AH243" i="5"/>
  <c r="AH182" i="5"/>
  <c r="AH167" i="5"/>
  <c r="AH42" i="5"/>
  <c r="AH70" i="5"/>
  <c r="AH599" i="5"/>
  <c r="AH678" i="5"/>
  <c r="AH503" i="5"/>
  <c r="AH389" i="5"/>
  <c r="AH285" i="5"/>
  <c r="AH338" i="5"/>
  <c r="AH260" i="5"/>
  <c r="AH214" i="5"/>
  <c r="AH169" i="5"/>
  <c r="AH680" i="5"/>
  <c r="AH689" i="5"/>
  <c r="AH711" i="5"/>
  <c r="AH726" i="5"/>
  <c r="AH593" i="5"/>
  <c r="AH587" i="5"/>
  <c r="AH584" i="5"/>
  <c r="AH624" i="5"/>
  <c r="AH647" i="5"/>
  <c r="AH633" i="5"/>
  <c r="AH649" i="5"/>
  <c r="AH659" i="5"/>
  <c r="AH667" i="5"/>
  <c r="AH492" i="5"/>
  <c r="AH510" i="5"/>
  <c r="AH506" i="5"/>
  <c r="AH534" i="5"/>
  <c r="AH545" i="5"/>
  <c r="AH544" i="5"/>
  <c r="AH552" i="5"/>
  <c r="AH574" i="5"/>
  <c r="AH475" i="5"/>
  <c r="AH397" i="5"/>
  <c r="AH420" i="5"/>
  <c r="AH437" i="5"/>
  <c r="AH427" i="5"/>
  <c r="AH385" i="5"/>
  <c r="AH445" i="5"/>
  <c r="AH304" i="5"/>
  <c r="AH290" i="5"/>
  <c r="AH287" i="5"/>
  <c r="AH326" i="5"/>
  <c r="AH354" i="5"/>
  <c r="AH367" i="5"/>
  <c r="AH364" i="5"/>
  <c r="AH381" i="5"/>
  <c r="AH337" i="5"/>
  <c r="AH274" i="5"/>
  <c r="AH230" i="5"/>
  <c r="AH247" i="5"/>
  <c r="AH241" i="5"/>
  <c r="AH249" i="5"/>
  <c r="AH212" i="5"/>
  <c r="AH181" i="5"/>
  <c r="AH199" i="5"/>
  <c r="AH208" i="5"/>
  <c r="AH154" i="5"/>
  <c r="AH173" i="5"/>
  <c r="AH116" i="5"/>
  <c r="AH81" i="5"/>
  <c r="AH51" i="5"/>
  <c r="AH135" i="5"/>
  <c r="AH28" i="5"/>
  <c r="AH309" i="5"/>
  <c r="AH108" i="5"/>
  <c r="AH98" i="5"/>
  <c r="AH693" i="5"/>
  <c r="AH658" i="5"/>
  <c r="AH546" i="5"/>
  <c r="AH424" i="5"/>
  <c r="AH317" i="5"/>
  <c r="AH264" i="5"/>
  <c r="AH471" i="5"/>
  <c r="AH690" i="5"/>
  <c r="AH600" i="5"/>
  <c r="AH621" i="5"/>
  <c r="AH662" i="5"/>
  <c r="AH480" i="5"/>
  <c r="AH533" i="5"/>
  <c r="AH558" i="5"/>
  <c r="AH399" i="5"/>
  <c r="AH435" i="5"/>
  <c r="AH311" i="5"/>
  <c r="AH332" i="5"/>
  <c r="AH375" i="5"/>
  <c r="AH272" i="5"/>
  <c r="AH239" i="5"/>
  <c r="AH177" i="5"/>
  <c r="AH205" i="5"/>
  <c r="AH134" i="5"/>
  <c r="AH40" i="5"/>
  <c r="AH93" i="5"/>
  <c r="AH118" i="5"/>
  <c r="V8" i="5"/>
  <c r="AH186" i="5"/>
  <c r="AH39" i="5"/>
  <c r="AH53" i="5"/>
  <c r="AH604" i="5"/>
  <c r="AH132" i="5"/>
  <c r="AH710" i="5"/>
  <c r="AH283" i="5"/>
  <c r="AH219" i="5"/>
  <c r="AH31" i="5"/>
  <c r="AH585" i="5"/>
  <c r="AH223" i="5"/>
  <c r="AH25" i="5"/>
  <c r="AH676" i="5"/>
  <c r="AH696" i="5"/>
  <c r="AH598" i="5"/>
  <c r="AH628" i="5"/>
  <c r="AH653" i="5"/>
  <c r="AH477" i="5"/>
  <c r="AH532" i="5"/>
  <c r="AH556" i="5"/>
  <c r="AH398" i="5"/>
  <c r="AH433" i="5"/>
  <c r="AH303" i="5"/>
  <c r="AH321" i="5"/>
  <c r="AH371" i="5"/>
  <c r="AH334" i="5"/>
  <c r="AH237" i="5"/>
  <c r="AH175" i="5"/>
  <c r="AH104" i="5"/>
  <c r="AH55" i="5"/>
  <c r="AH110" i="5"/>
  <c r="AH713" i="5"/>
  <c r="AH344" i="5"/>
  <c r="AH33" i="5"/>
  <c r="AH646" i="5"/>
  <c r="AH341" i="5"/>
  <c r="AH150" i="5"/>
  <c r="AH681" i="5"/>
  <c r="AH418" i="5"/>
  <c r="AH217" i="5"/>
  <c r="AH707" i="5"/>
  <c r="AH294" i="5"/>
  <c r="AH168" i="5"/>
  <c r="AH148" i="5"/>
  <c r="AH719" i="5"/>
  <c r="AH597" i="5"/>
  <c r="AH613" i="5"/>
  <c r="AH654" i="5"/>
  <c r="AH479" i="5"/>
  <c r="AH530" i="5"/>
  <c r="AH496" i="5"/>
  <c r="AH391" i="5"/>
  <c r="AH456" i="5"/>
  <c r="AH307" i="5"/>
  <c r="AH356" i="5"/>
  <c r="AH463" i="5"/>
  <c r="AH267" i="5"/>
  <c r="AH236" i="5"/>
  <c r="AH187" i="5"/>
  <c r="AH180" i="5"/>
  <c r="AH72" i="5"/>
  <c r="AH37" i="5"/>
  <c r="AH43" i="5"/>
  <c r="AH38" i="5"/>
  <c r="AH348" i="5"/>
  <c r="AH278" i="5"/>
  <c r="AH215" i="5"/>
  <c r="AH163" i="5"/>
  <c r="AH36" i="5"/>
  <c r="AH85" i="5"/>
  <c r="AH130" i="5"/>
  <c r="AH149" i="5"/>
  <c r="AH45" i="5"/>
  <c r="AH638" i="5"/>
  <c r="AH507" i="5"/>
  <c r="AH407" i="5"/>
  <c r="AH296" i="5"/>
  <c r="AH234" i="5"/>
  <c r="AH468" i="5"/>
  <c r="AH68" i="5"/>
  <c r="AH129" i="5"/>
  <c r="AH21" i="5"/>
  <c r="AH508" i="5"/>
  <c r="AH541" i="5"/>
  <c r="AH387" i="5"/>
  <c r="AH224" i="5"/>
  <c r="AH124" i="5"/>
  <c r="AH94" i="5"/>
  <c r="AH671" i="5"/>
  <c r="AH500" i="5"/>
  <c r="AH448" i="5"/>
  <c r="AH351" i="5"/>
  <c r="AH112" i="5"/>
  <c r="AH637" i="5"/>
  <c r="AH416" i="5"/>
  <c r="AH350" i="5"/>
  <c r="AH222" i="5"/>
  <c r="AH206" i="5"/>
  <c r="AH92" i="5"/>
  <c r="AH29" i="5"/>
  <c r="AH717" i="5"/>
  <c r="AH595" i="5"/>
  <c r="AH616" i="5"/>
  <c r="AH652" i="5"/>
  <c r="AH478" i="5"/>
  <c r="AH528" i="5"/>
  <c r="AH561" i="5"/>
  <c r="AH417" i="5"/>
  <c r="AH455" i="5"/>
  <c r="AH298" i="5"/>
  <c r="AH461" i="5"/>
  <c r="AH251" i="5"/>
  <c r="AH101" i="5"/>
  <c r="AH575" i="5"/>
  <c r="AH586" i="5"/>
  <c r="AH360" i="5"/>
  <c r="AH172" i="5"/>
  <c r="AH120" i="5"/>
  <c r="AH644" i="5"/>
  <c r="AH459" i="5"/>
  <c r="AH176" i="5"/>
  <c r="AH501" i="5"/>
  <c r="AH715" i="5"/>
  <c r="AH594" i="5"/>
  <c r="AH614" i="5"/>
  <c r="AH650" i="5"/>
  <c r="AH521" i="5"/>
  <c r="AH551" i="5"/>
  <c r="AH560" i="5"/>
  <c r="AH410" i="5"/>
  <c r="AH452" i="5"/>
  <c r="AH295" i="5"/>
  <c r="AH346" i="5"/>
  <c r="AH340" i="5"/>
  <c r="AH270" i="5"/>
  <c r="AH253" i="5"/>
  <c r="AH192" i="5"/>
  <c r="AH125" i="5"/>
  <c r="AH119" i="5"/>
  <c r="AH34" i="5"/>
  <c r="AH76" i="5"/>
  <c r="AH99" i="5"/>
  <c r="AH22" i="5"/>
  <c r="AH714" i="5"/>
  <c r="AH592" i="5"/>
  <c r="AH620" i="5"/>
  <c r="AH648" i="5"/>
  <c r="AH520" i="5"/>
  <c r="AH549" i="5"/>
  <c r="AH569" i="5"/>
  <c r="AH408" i="5"/>
  <c r="AH444" i="5"/>
  <c r="AH289" i="5"/>
  <c r="AH349" i="5"/>
  <c r="AH336" i="5"/>
  <c r="AH233" i="5"/>
  <c r="AH250" i="5"/>
  <c r="AH220" i="5"/>
  <c r="AH67" i="5"/>
  <c r="AH48" i="5"/>
  <c r="AH20" i="5"/>
  <c r="AH674" i="5"/>
  <c r="AH499" i="5"/>
  <c r="AH450" i="5"/>
  <c r="AH361" i="5"/>
  <c r="AH335" i="5"/>
  <c r="AH178" i="5"/>
  <c r="AH109" i="5"/>
  <c r="AH675" i="5"/>
  <c r="AH573" i="5"/>
  <c r="AH449" i="5"/>
  <c r="AH256" i="5"/>
  <c r="AH57" i="5"/>
  <c r="AH691" i="5"/>
  <c r="AH685" i="5"/>
  <c r="AH625" i="5"/>
  <c r="AH663" i="5"/>
  <c r="AH484" i="5"/>
  <c r="AH529" i="5"/>
  <c r="AH568" i="5"/>
  <c r="AH388" i="5"/>
  <c r="AH438" i="5"/>
  <c r="AH310" i="5"/>
  <c r="AH318" i="5"/>
  <c r="AH370" i="5"/>
  <c r="AH279" i="5"/>
  <c r="AH221" i="5"/>
  <c r="AH209" i="5"/>
  <c r="AH203" i="5"/>
  <c r="AH105" i="5"/>
  <c r="AH80" i="5"/>
  <c r="AH160" i="5"/>
  <c r="AH61" i="5"/>
  <c r="AH114" i="5"/>
  <c r="AH695" i="5"/>
  <c r="AH602" i="5"/>
  <c r="AH623" i="5"/>
  <c r="AH664" i="5"/>
  <c r="AH482" i="5"/>
  <c r="AH523" i="5"/>
  <c r="AH563" i="5"/>
  <c r="AH403" i="5"/>
  <c r="AH436" i="5"/>
  <c r="AH302" i="5"/>
  <c r="AH282" i="5"/>
  <c r="AH363" i="5"/>
  <c r="AH276" i="5"/>
  <c r="AH242" i="5"/>
  <c r="AH179" i="5"/>
  <c r="AH146" i="5"/>
  <c r="AH213" i="5"/>
  <c r="AH71" i="5"/>
  <c r="AH95" i="5"/>
  <c r="AH136" i="5"/>
  <c r="AH26" i="5"/>
  <c r="AH14" i="5"/>
  <c r="AH709" i="5"/>
  <c r="AH514" i="5"/>
  <c r="AH476" i="5"/>
  <c r="AH299" i="5"/>
  <c r="AH257" i="5"/>
  <c r="AH165" i="5"/>
  <c r="AH131" i="5"/>
  <c r="AH581" i="5"/>
  <c r="AH513" i="5"/>
  <c r="AH571" i="5"/>
  <c r="AH454" i="5"/>
  <c r="AH383" i="5"/>
  <c r="AH157" i="5"/>
  <c r="AH141" i="5"/>
  <c r="CF12" i="6"/>
  <c r="CG13" i="6"/>
  <c r="CF14" i="6"/>
  <c r="K20" i="12"/>
  <c r="L21" i="12"/>
  <c r="J21" i="12"/>
  <c r="B22" i="6"/>
  <c r="D22" i="5"/>
  <c r="B22" i="12" s="1"/>
  <c r="B22" i="5"/>
  <c r="AE22" i="5"/>
  <c r="N22" i="5"/>
  <c r="AD22" i="5"/>
  <c r="A22" i="12"/>
  <c r="K22" i="5"/>
  <c r="J22" i="5"/>
  <c r="H22" i="5"/>
  <c r="G22" i="5"/>
  <c r="F22" i="5"/>
  <c r="E22" i="5"/>
  <c r="D21" i="6"/>
  <c r="H20" i="6"/>
  <c r="T20" i="5" s="1"/>
  <c r="G20" i="12" s="1"/>
  <c r="CE19" i="6"/>
  <c r="CE14" i="6"/>
  <c r="A44" i="8"/>
  <c r="B26" i="10"/>
  <c r="B23" i="7"/>
  <c r="C24" i="7"/>
  <c r="B28" i="9"/>
  <c r="AQ16" i="6"/>
  <c r="AQ17" i="6"/>
  <c r="BJ17" i="6"/>
  <c r="BJ19" i="6"/>
  <c r="CE17" i="6"/>
  <c r="BJ12" i="6"/>
  <c r="BK13" i="6"/>
  <c r="BJ14" i="6"/>
  <c r="P12" i="10"/>
  <c r="O11" i="10"/>
  <c r="O11" i="9"/>
  <c r="P12" i="9"/>
  <c r="AR12" i="6"/>
  <c r="AS13" i="6"/>
  <c r="CE12" i="6"/>
  <c r="AN14" i="5" l="1"/>
  <c r="W14" i="5"/>
  <c r="H14" i="12" s="1"/>
  <c r="AS12" i="6"/>
  <c r="AT13" i="6"/>
  <c r="CG12" i="6"/>
  <c r="CH13" i="6"/>
  <c r="CG14" i="6"/>
  <c r="D22" i="6"/>
  <c r="C23" i="5"/>
  <c r="H21" i="6"/>
  <c r="T21" i="5" s="1"/>
  <c r="G21" i="12" s="1"/>
  <c r="K21" i="12"/>
  <c r="L22" i="12"/>
  <c r="J22" i="12"/>
  <c r="A47" i="8"/>
  <c r="C25" i="7"/>
  <c r="B24" i="7"/>
  <c r="B27" i="10"/>
  <c r="B29" i="9"/>
  <c r="AR16" i="6"/>
  <c r="AR17" i="6"/>
  <c r="BK17" i="6"/>
  <c r="BK19" i="6"/>
  <c r="BK12" i="6"/>
  <c r="BL13" i="6"/>
  <c r="BM13" i="6" s="1"/>
  <c r="BK14" i="6"/>
  <c r="Q12" i="9"/>
  <c r="P11" i="9"/>
  <c r="Q12" i="10"/>
  <c r="P11" i="10"/>
  <c r="AS17" i="6" l="1"/>
  <c r="AS16" i="6"/>
  <c r="CH12" i="6"/>
  <c r="CI13" i="6"/>
  <c r="CH14" i="6"/>
  <c r="BM12" i="6"/>
  <c r="BN13" i="6"/>
  <c r="BM14" i="6"/>
  <c r="AT3" i="6"/>
  <c r="AU3" i="6" s="1"/>
  <c r="AT12" i="6"/>
  <c r="AU13" i="6"/>
  <c r="K22" i="12"/>
  <c r="B23" i="5"/>
  <c r="AE23" i="5"/>
  <c r="N23" i="5"/>
  <c r="B23" i="6"/>
  <c r="AD23" i="5"/>
  <c r="F23" i="5"/>
  <c r="W23" i="5"/>
  <c r="H23" i="12" s="1"/>
  <c r="H23" i="5"/>
  <c r="A23" i="12"/>
  <c r="G23" i="5"/>
  <c r="E23" i="5"/>
  <c r="C24" i="5"/>
  <c r="H22" i="6"/>
  <c r="T22" i="5" s="1"/>
  <c r="G22" i="12" s="1"/>
  <c r="A50" i="8"/>
  <c r="B30" i="9"/>
  <c r="B28" i="10"/>
  <c r="C26" i="7"/>
  <c r="B25" i="7"/>
  <c r="BL17" i="6"/>
  <c r="BL19" i="6"/>
  <c r="BL12" i="6"/>
  <c r="BL14" i="6"/>
  <c r="Q11" i="10"/>
  <c r="R12" i="10"/>
  <c r="R12" i="9"/>
  <c r="Q11" i="9"/>
  <c r="AU12" i="6" l="1"/>
  <c r="AV13" i="6"/>
  <c r="AT16" i="6"/>
  <c r="AT17" i="6"/>
  <c r="BN12" i="6"/>
  <c r="BO13" i="6"/>
  <c r="BN14" i="6"/>
  <c r="CI12" i="6"/>
  <c r="CJ13" i="6"/>
  <c r="CI14" i="6"/>
  <c r="D23" i="6"/>
  <c r="C25" i="5"/>
  <c r="F24" i="5"/>
  <c r="B24" i="5"/>
  <c r="A24" i="12"/>
  <c r="J24" i="5"/>
  <c r="E24" i="5"/>
  <c r="G24" i="5"/>
  <c r="AD24" i="5"/>
  <c r="AE24" i="5"/>
  <c r="D24" i="5"/>
  <c r="B24" i="12" s="1"/>
  <c r="N24" i="5"/>
  <c r="D24" i="6" s="1"/>
  <c r="K24" i="5"/>
  <c r="H24" i="5"/>
  <c r="B24" i="6"/>
  <c r="A53" i="8"/>
  <c r="B29" i="10"/>
  <c r="C27" i="7"/>
  <c r="B26" i="7"/>
  <c r="B31" i="9"/>
  <c r="R11" i="9"/>
  <c r="S12" i="9"/>
  <c r="R11" i="10"/>
  <c r="S12" i="10"/>
  <c r="CM23" i="6" l="1"/>
  <c r="CL23" i="6"/>
  <c r="CK23" i="6"/>
  <c r="CJ23" i="6"/>
  <c r="CI23" i="6"/>
  <c r="CH23" i="6"/>
  <c r="CG23" i="6"/>
  <c r="CF23" i="6"/>
  <c r="BT23" i="6"/>
  <c r="BS23" i="6"/>
  <c r="BR23" i="6"/>
  <c r="BQ23" i="6"/>
  <c r="BP23" i="6"/>
  <c r="BO23" i="6"/>
  <c r="BN23" i="6"/>
  <c r="BM23" i="6"/>
  <c r="CJ12" i="6"/>
  <c r="CK13" i="6"/>
  <c r="CJ14" i="6"/>
  <c r="H24" i="6"/>
  <c r="T24" i="5" s="1"/>
  <c r="G24" i="12" s="1"/>
  <c r="AV12" i="6"/>
  <c r="AW13" i="6"/>
  <c r="BO12" i="6"/>
  <c r="BP13" i="6"/>
  <c r="BO14" i="6"/>
  <c r="AU16" i="6"/>
  <c r="AU17" i="6"/>
  <c r="H25" i="5"/>
  <c r="G25" i="5"/>
  <c r="E25" i="5"/>
  <c r="B25" i="5"/>
  <c r="H23" i="6"/>
  <c r="T23" i="5" s="1"/>
  <c r="G23" i="12" s="1"/>
  <c r="N23" i="6"/>
  <c r="M23" i="6"/>
  <c r="BD23" i="6" s="1"/>
  <c r="L24" i="12"/>
  <c r="J24" i="12"/>
  <c r="A25" i="12"/>
  <c r="B25" i="6"/>
  <c r="AD25" i="5"/>
  <c r="AE25" i="5"/>
  <c r="K25" i="5"/>
  <c r="C26" i="5"/>
  <c r="J25" i="5"/>
  <c r="N25" i="5"/>
  <c r="D25" i="6" s="1"/>
  <c r="D25" i="5"/>
  <c r="B25" i="12" s="1"/>
  <c r="F25" i="5"/>
  <c r="A56" i="8"/>
  <c r="B30" i="10"/>
  <c r="B32" i="9"/>
  <c r="C28" i="7"/>
  <c r="B27" i="7"/>
  <c r="T12" i="10"/>
  <c r="S11" i="10"/>
  <c r="S11" i="9"/>
  <c r="T12" i="9"/>
  <c r="AT23" i="6" l="1"/>
  <c r="AU23" i="6"/>
  <c r="AV23" i="6"/>
  <c r="BP12" i="6"/>
  <c r="BQ13" i="6"/>
  <c r="BP14" i="6"/>
  <c r="AW12" i="6"/>
  <c r="AX13" i="6"/>
  <c r="AV16" i="6"/>
  <c r="AV17" i="6"/>
  <c r="H25" i="6"/>
  <c r="T25" i="5" s="1"/>
  <c r="G25" i="12" s="1"/>
  <c r="CK12" i="6"/>
  <c r="CL13" i="6"/>
  <c r="CK14" i="6"/>
  <c r="BW23" i="6"/>
  <c r="BH23" i="6"/>
  <c r="BZ23" i="6"/>
  <c r="AN23" i="6"/>
  <c r="AL23" i="6"/>
  <c r="F26" i="5"/>
  <c r="CC23" i="6"/>
  <c r="BI23" i="6"/>
  <c r="BC23" i="6"/>
  <c r="CD23" i="6"/>
  <c r="BY23" i="6"/>
  <c r="BL23" i="6"/>
  <c r="AJ23" i="6"/>
  <c r="BE23" i="6"/>
  <c r="AS23" i="6"/>
  <c r="AR23" i="6"/>
  <c r="AK23" i="6"/>
  <c r="AO23" i="6"/>
  <c r="E26" i="5"/>
  <c r="AE26" i="5"/>
  <c r="K26" i="5"/>
  <c r="H26" i="5"/>
  <c r="B26" i="5"/>
  <c r="J26" i="5"/>
  <c r="A26" i="12"/>
  <c r="AD26" i="5"/>
  <c r="N26" i="5"/>
  <c r="D26" i="6" s="1"/>
  <c r="B26" i="6"/>
  <c r="G26" i="5"/>
  <c r="C27" i="5"/>
  <c r="D26" i="5"/>
  <c r="B26" i="12" s="1"/>
  <c r="K24" i="12"/>
  <c r="BV23" i="6"/>
  <c r="BF23" i="6"/>
  <c r="BJ23" i="6"/>
  <c r="CA23" i="6"/>
  <c r="CE23" i="6"/>
  <c r="BX23" i="6"/>
  <c r="BG23" i="6"/>
  <c r="AP23" i="6"/>
  <c r="CB23" i="6"/>
  <c r="BK23" i="6"/>
  <c r="L25" i="12"/>
  <c r="J25" i="12"/>
  <c r="AQ23" i="6"/>
  <c r="A59" i="8"/>
  <c r="B33" i="9"/>
  <c r="C29" i="7"/>
  <c r="B28" i="7"/>
  <c r="B31" i="10"/>
  <c r="U12" i="10"/>
  <c r="T11" i="10"/>
  <c r="T11" i="9"/>
  <c r="U12" i="9"/>
  <c r="AX12" i="6" l="1"/>
  <c r="AY13" i="6"/>
  <c r="AW16" i="6"/>
  <c r="AW17" i="6"/>
  <c r="AW23" i="6"/>
  <c r="BQ12" i="6"/>
  <c r="BR13" i="6"/>
  <c r="BQ14" i="6"/>
  <c r="H26" i="6"/>
  <c r="T26" i="5" s="1"/>
  <c r="G26" i="12" s="1"/>
  <c r="CL12" i="6"/>
  <c r="CM13" i="6"/>
  <c r="CL14" i="6"/>
  <c r="K25" i="12"/>
  <c r="J26" i="12"/>
  <c r="L26" i="12"/>
  <c r="N27" i="5"/>
  <c r="D27" i="6" s="1"/>
  <c r="J27" i="5"/>
  <c r="F27" i="5"/>
  <c r="A27" i="12"/>
  <c r="K27" i="5"/>
  <c r="G27" i="5"/>
  <c r="D27" i="5"/>
  <c r="B27" i="12" s="1"/>
  <c r="E27" i="5"/>
  <c r="B27" i="6"/>
  <c r="B27" i="5"/>
  <c r="AE27" i="5"/>
  <c r="H27" i="5"/>
  <c r="C28" i="5"/>
  <c r="AD27" i="5"/>
  <c r="A62" i="8"/>
  <c r="B34" i="9"/>
  <c r="B32" i="10"/>
  <c r="B29" i="7"/>
  <c r="C30" i="7"/>
  <c r="V12" i="10"/>
  <c r="U11" i="10"/>
  <c r="V12" i="9"/>
  <c r="U11" i="9"/>
  <c r="CM12" i="6" l="1"/>
  <c r="CM14" i="6"/>
  <c r="BR12" i="6"/>
  <c r="BS13" i="6"/>
  <c r="BR14" i="6"/>
  <c r="H27" i="6"/>
  <c r="T27" i="5" s="1"/>
  <c r="G27" i="12" s="1"/>
  <c r="AY12" i="6"/>
  <c r="AZ13" i="6"/>
  <c r="AX16" i="6"/>
  <c r="AX17" i="6"/>
  <c r="AX23" i="6"/>
  <c r="K26" i="12"/>
  <c r="L27" i="12"/>
  <c r="J27" i="12"/>
  <c r="J28" i="5"/>
  <c r="F28" i="5"/>
  <c r="K28" i="5"/>
  <c r="G28" i="5"/>
  <c r="B28" i="6"/>
  <c r="H28" i="5"/>
  <c r="E28" i="5"/>
  <c r="AD28" i="5"/>
  <c r="D28" i="5"/>
  <c r="B28" i="12" s="1"/>
  <c r="B28" i="5"/>
  <c r="A28" i="12"/>
  <c r="AE28" i="5"/>
  <c r="N28" i="5"/>
  <c r="D28" i="6" s="1"/>
  <c r="A65" i="8"/>
  <c r="B33" i="10"/>
  <c r="B35" i="9"/>
  <c r="B30" i="7"/>
  <c r="C31" i="7"/>
  <c r="E29" i="12"/>
  <c r="F29" i="6"/>
  <c r="W12" i="9"/>
  <c r="V11" i="9"/>
  <c r="W12" i="10"/>
  <c r="V11" i="10"/>
  <c r="AZ12" i="6" l="1"/>
  <c r="BA13" i="6"/>
  <c r="BA12" i="6" s="1"/>
  <c r="AY16" i="6"/>
  <c r="AY17" i="6"/>
  <c r="AY23" i="6"/>
  <c r="BS12" i="6"/>
  <c r="BT13" i="6"/>
  <c r="BS14" i="6"/>
  <c r="H28" i="6"/>
  <c r="T28" i="5" s="1"/>
  <c r="G28" i="12" s="1"/>
  <c r="K27" i="12"/>
  <c r="J28" i="12"/>
  <c r="L28" i="12"/>
  <c r="A68" i="8"/>
  <c r="C32" i="7"/>
  <c r="B31" i="7"/>
  <c r="B36" i="9"/>
  <c r="B34" i="10"/>
  <c r="W11" i="10"/>
  <c r="X12" i="10"/>
  <c r="W11" i="9"/>
  <c r="X12" i="9"/>
  <c r="BT12" i="6" l="1"/>
  <c r="BT14" i="6"/>
  <c r="BA16" i="6"/>
  <c r="BA17" i="6"/>
  <c r="BA23" i="6"/>
  <c r="AZ16" i="6"/>
  <c r="AZ17" i="6"/>
  <c r="AZ23" i="6"/>
  <c r="K28" i="12"/>
  <c r="A71" i="8"/>
  <c r="B37" i="9"/>
  <c r="B35" i="10"/>
  <c r="B32" i="7"/>
  <c r="C33" i="7"/>
  <c r="X11" i="9"/>
  <c r="Y12" i="9"/>
  <c r="Y12" i="10"/>
  <c r="X11" i="10"/>
  <c r="C29" i="5" l="1"/>
  <c r="A74" i="8"/>
  <c r="B36" i="10"/>
  <c r="C34" i="7"/>
  <c r="B33" i="7"/>
  <c r="B38" i="9"/>
  <c r="Y11" i="10"/>
  <c r="Z12" i="10"/>
  <c r="Y11" i="9"/>
  <c r="Z12" i="9"/>
  <c r="A29" i="12" l="1"/>
  <c r="B29" i="6"/>
  <c r="A29" i="6" s="1"/>
  <c r="C30" i="5"/>
  <c r="B29" i="5"/>
  <c r="N29" i="5"/>
  <c r="D29" i="6" s="1"/>
  <c r="H29" i="5"/>
  <c r="G29" i="5"/>
  <c r="F29" i="5"/>
  <c r="E29" i="5"/>
  <c r="W29" i="5"/>
  <c r="H29" i="12" s="1"/>
  <c r="AD29" i="5"/>
  <c r="AE29" i="5"/>
  <c r="A77" i="8"/>
  <c r="C35" i="7"/>
  <c r="B34" i="7"/>
  <c r="B39" i="9"/>
  <c r="B37" i="10"/>
  <c r="Z11" i="10"/>
  <c r="AA12" i="10"/>
  <c r="Z11" i="9"/>
  <c r="AA12" i="9"/>
  <c r="CM29" i="6" l="1"/>
  <c r="CL29" i="6"/>
  <c r="CK29" i="6"/>
  <c r="CJ29" i="6"/>
  <c r="CI29" i="6"/>
  <c r="CH29" i="6"/>
  <c r="CG29" i="6"/>
  <c r="CF29" i="6"/>
  <c r="BT29" i="6"/>
  <c r="BS29" i="6"/>
  <c r="BR29" i="6"/>
  <c r="BQ29" i="6"/>
  <c r="BP29" i="6"/>
  <c r="BO29" i="6"/>
  <c r="BN29" i="6"/>
  <c r="BM29" i="6"/>
  <c r="H29" i="6"/>
  <c r="T29" i="5" s="1"/>
  <c r="G29" i="12" s="1"/>
  <c r="G29" i="6"/>
  <c r="N29" i="6"/>
  <c r="M29" i="6"/>
  <c r="CA29" i="6" s="1"/>
  <c r="BD29" i="6"/>
  <c r="BE29" i="6"/>
  <c r="BJ29" i="6"/>
  <c r="CB29" i="6"/>
  <c r="BI29" i="6"/>
  <c r="BL29" i="6"/>
  <c r="BV29" i="6"/>
  <c r="BY29" i="6"/>
  <c r="BF29" i="6"/>
  <c r="BW29" i="6"/>
  <c r="BH29" i="6"/>
  <c r="CC29" i="6"/>
  <c r="BK29" i="6"/>
  <c r="BG29" i="6"/>
  <c r="BC29" i="6"/>
  <c r="BX29" i="6"/>
  <c r="BZ29" i="6"/>
  <c r="CD29" i="6"/>
  <c r="CE29" i="6"/>
  <c r="A30" i="12"/>
  <c r="B30" i="6"/>
  <c r="H30" i="5"/>
  <c r="G30" i="5"/>
  <c r="C31" i="5"/>
  <c r="N30" i="5"/>
  <c r="D30" i="6" s="1"/>
  <c r="F30" i="5"/>
  <c r="E30" i="5"/>
  <c r="B30" i="5"/>
  <c r="AD30" i="5"/>
  <c r="AE30" i="5"/>
  <c r="A80" i="8"/>
  <c r="B35" i="7"/>
  <c r="C36" i="7"/>
  <c r="B40" i="9"/>
  <c r="B38" i="10"/>
  <c r="AB12" i="10"/>
  <c r="AA11" i="10"/>
  <c r="AB12" i="9"/>
  <c r="AA11" i="9"/>
  <c r="AZ29" i="6" l="1"/>
  <c r="BA29" i="6"/>
  <c r="AY29" i="6"/>
  <c r="AW29" i="6"/>
  <c r="AT29" i="6"/>
  <c r="AV29" i="6"/>
  <c r="AU29" i="6"/>
  <c r="AX29" i="6"/>
  <c r="AN29" i="6"/>
  <c r="AO29" i="6"/>
  <c r="AJ29" i="6"/>
  <c r="AK29" i="6"/>
  <c r="AQ29" i="6"/>
  <c r="AS29" i="6"/>
  <c r="AR29" i="6"/>
  <c r="AP29" i="6"/>
  <c r="AL29" i="6"/>
  <c r="H30" i="6"/>
  <c r="T30" i="5" s="1"/>
  <c r="G30" i="12" s="1"/>
  <c r="B31" i="6"/>
  <c r="H31" i="5"/>
  <c r="B31" i="5"/>
  <c r="N31" i="5"/>
  <c r="D31" i="6" s="1"/>
  <c r="F31" i="5"/>
  <c r="D31" i="5"/>
  <c r="B31" i="12" s="1"/>
  <c r="K31" i="5"/>
  <c r="C32" i="5"/>
  <c r="J31" i="5"/>
  <c r="G31" i="5"/>
  <c r="A31" i="12"/>
  <c r="E31" i="5"/>
  <c r="AE31" i="5"/>
  <c r="AD31" i="5"/>
  <c r="A83" i="8"/>
  <c r="B41" i="9"/>
  <c r="B39" i="10"/>
  <c r="B36" i="7"/>
  <c r="C37" i="7"/>
  <c r="AB11" i="10"/>
  <c r="AC12" i="10"/>
  <c r="AC12" i="9"/>
  <c r="AB11" i="9"/>
  <c r="L31" i="12" l="1"/>
  <c r="J31" i="12"/>
  <c r="AD32" i="5"/>
  <c r="H32" i="5"/>
  <c r="E32" i="5"/>
  <c r="D32" i="5"/>
  <c r="B32" i="12" s="1"/>
  <c r="G32" i="5"/>
  <c r="K32" i="5"/>
  <c r="AE32" i="5"/>
  <c r="A32" i="12"/>
  <c r="B32" i="6"/>
  <c r="C33" i="5"/>
  <c r="B32" i="5"/>
  <c r="N32" i="5"/>
  <c r="D32" i="6" s="1"/>
  <c r="F32" i="5"/>
  <c r="J32" i="5"/>
  <c r="H31" i="6"/>
  <c r="T31" i="5" s="1"/>
  <c r="G31" i="12" s="1"/>
  <c r="A86" i="8"/>
  <c r="B42" i="9"/>
  <c r="C38" i="7"/>
  <c r="B37" i="7"/>
  <c r="B40" i="10"/>
  <c r="AC11" i="10"/>
  <c r="AD12" i="10"/>
  <c r="AC11" i="9"/>
  <c r="AD12" i="9"/>
  <c r="K31" i="12" l="1"/>
  <c r="E33" i="5"/>
  <c r="N33" i="5"/>
  <c r="D33" i="6" s="1"/>
  <c r="D33" i="5"/>
  <c r="B33" i="12" s="1"/>
  <c r="G33" i="5"/>
  <c r="F33" i="5"/>
  <c r="H33" i="5"/>
  <c r="AE33" i="5"/>
  <c r="A33" i="12"/>
  <c r="C34" i="5"/>
  <c r="K33" i="5"/>
  <c r="J33" i="5"/>
  <c r="B33" i="5"/>
  <c r="AD33" i="5"/>
  <c r="B33" i="6"/>
  <c r="L32" i="12"/>
  <c r="J32" i="12"/>
  <c r="H32" i="6"/>
  <c r="T32" i="5" s="1"/>
  <c r="G32" i="12" s="1"/>
  <c r="A89" i="8"/>
  <c r="A92" i="8" s="1"/>
  <c r="B41" i="10"/>
  <c r="C39" i="7"/>
  <c r="B38" i="7"/>
  <c r="B43" i="9"/>
  <c r="AD11" i="9"/>
  <c r="AE12" i="9"/>
  <c r="AE11" i="9" s="1"/>
  <c r="AE12" i="10"/>
  <c r="AD11" i="10"/>
  <c r="A95" i="8" l="1"/>
  <c r="K32" i="12"/>
  <c r="J34" i="5"/>
  <c r="H34" i="5"/>
  <c r="E34" i="5"/>
  <c r="D34" i="5"/>
  <c r="B34" i="12" s="1"/>
  <c r="F34" i="5"/>
  <c r="B34" i="5"/>
  <c r="AE34" i="5"/>
  <c r="B34" i="6"/>
  <c r="AD34" i="5"/>
  <c r="K34" i="5"/>
  <c r="G34" i="5"/>
  <c r="C35" i="5"/>
  <c r="N34" i="5"/>
  <c r="D34" i="6" s="1"/>
  <c r="A34" i="12"/>
  <c r="L33" i="12"/>
  <c r="J33" i="12"/>
  <c r="H33" i="6"/>
  <c r="T33" i="5" s="1"/>
  <c r="G33" i="12" s="1"/>
  <c r="B42" i="10"/>
  <c r="C40" i="7"/>
  <c r="B39" i="7"/>
  <c r="B44" i="9"/>
  <c r="AE11" i="10"/>
  <c r="AF12" i="10"/>
  <c r="AF11" i="10" s="1"/>
  <c r="A98" i="8" l="1"/>
  <c r="K33" i="12"/>
  <c r="K35" i="5"/>
  <c r="C36" i="5"/>
  <c r="A35" i="12"/>
  <c r="G35" i="5"/>
  <c r="AE35" i="5"/>
  <c r="B35" i="5"/>
  <c r="B35" i="6"/>
  <c r="N35" i="5"/>
  <c r="D35" i="6" s="1"/>
  <c r="F35" i="5"/>
  <c r="D35" i="5"/>
  <c r="B35" i="12" s="1"/>
  <c r="H35" i="5"/>
  <c r="E35" i="5"/>
  <c r="AD35" i="5"/>
  <c r="J35" i="5"/>
  <c r="L34" i="12"/>
  <c r="J34" i="12"/>
  <c r="H34" i="6"/>
  <c r="T34" i="5" s="1"/>
  <c r="G34" i="12" s="1"/>
  <c r="B45" i="9"/>
  <c r="C41" i="7"/>
  <c r="B40" i="7"/>
  <c r="B43" i="10"/>
  <c r="A101" i="8" l="1"/>
  <c r="K34" i="12"/>
  <c r="H35" i="6"/>
  <c r="T35" i="5" s="1"/>
  <c r="G35" i="12" s="1"/>
  <c r="J35" i="12"/>
  <c r="L35" i="12"/>
  <c r="H36" i="5"/>
  <c r="F36" i="5"/>
  <c r="D36" i="5"/>
  <c r="B36" i="12" s="1"/>
  <c r="B36" i="5"/>
  <c r="AE36" i="5"/>
  <c r="E36" i="5"/>
  <c r="AD36" i="5"/>
  <c r="B36" i="6"/>
  <c r="N36" i="5"/>
  <c r="D36" i="6" s="1"/>
  <c r="G36" i="5"/>
  <c r="A36" i="12"/>
  <c r="K36" i="5"/>
  <c r="J36" i="5"/>
  <c r="C42" i="7"/>
  <c r="B41" i="7"/>
  <c r="B44" i="10"/>
  <c r="B46" i="9"/>
  <c r="E37" i="12"/>
  <c r="F37" i="6"/>
  <c r="A104" i="8" l="1"/>
  <c r="J36" i="12"/>
  <c r="L36" i="12"/>
  <c r="K35" i="12"/>
  <c r="H36" i="6"/>
  <c r="T36" i="5" s="1"/>
  <c r="G36" i="12" s="1"/>
  <c r="B47" i="9"/>
  <c r="B45" i="10"/>
  <c r="B42" i="7"/>
  <c r="C43" i="7"/>
  <c r="A107" i="8" l="1"/>
  <c r="K36" i="12"/>
  <c r="B43" i="7"/>
  <c r="C44" i="7"/>
  <c r="B46" i="10"/>
  <c r="B48" i="9"/>
  <c r="A110" i="8" l="1"/>
  <c r="C37" i="5"/>
  <c r="B44" i="7"/>
  <c r="C45" i="7"/>
  <c r="B47" i="10"/>
  <c r="B49" i="9"/>
  <c r="A113" i="8" l="1"/>
  <c r="H37" i="5"/>
  <c r="B37" i="5"/>
  <c r="W37" i="5"/>
  <c r="H37" i="12" s="1"/>
  <c r="B37" i="6"/>
  <c r="N37" i="5"/>
  <c r="D37" i="6" s="1"/>
  <c r="F37" i="5"/>
  <c r="E37" i="5"/>
  <c r="G37" i="5"/>
  <c r="AD37" i="5"/>
  <c r="AE37" i="5"/>
  <c r="A37" i="12"/>
  <c r="C38" i="5"/>
  <c r="B50" i="9"/>
  <c r="B48" i="10"/>
  <c r="C46" i="7"/>
  <c r="B45" i="7"/>
  <c r="E40" i="12"/>
  <c r="F40" i="6"/>
  <c r="A116" i="8" l="1"/>
  <c r="CI37" i="6"/>
  <c r="CH37" i="6"/>
  <c r="CG37" i="6"/>
  <c r="CF37" i="6"/>
  <c r="CM37" i="6"/>
  <c r="CL37" i="6"/>
  <c r="CJ37" i="6"/>
  <c r="CK37" i="6"/>
  <c r="BQ37" i="6"/>
  <c r="BP37" i="6"/>
  <c r="BO37" i="6"/>
  <c r="BN37" i="6"/>
  <c r="BM37" i="6"/>
  <c r="BT37" i="6"/>
  <c r="BS37" i="6"/>
  <c r="BR37" i="6"/>
  <c r="H37" i="6"/>
  <c r="T37" i="5" s="1"/>
  <c r="G37" i="12" s="1"/>
  <c r="G37" i="6"/>
  <c r="M37" i="6"/>
  <c r="CD37" i="6" s="1"/>
  <c r="N37" i="6"/>
  <c r="BE37" i="6"/>
  <c r="BW37" i="6"/>
  <c r="BD37" i="6"/>
  <c r="BX37" i="6"/>
  <c r="BI37" i="6"/>
  <c r="CA37" i="6"/>
  <c r="BV37" i="6"/>
  <c r="CC37" i="6"/>
  <c r="BL37" i="6"/>
  <c r="BZ37" i="6"/>
  <c r="BC37" i="6"/>
  <c r="BJ37" i="6"/>
  <c r="BF37" i="6"/>
  <c r="BK37" i="6"/>
  <c r="BH37" i="6"/>
  <c r="BY37" i="6"/>
  <c r="CE37" i="6"/>
  <c r="BG37" i="6"/>
  <c r="CB37" i="6"/>
  <c r="E38" i="5"/>
  <c r="A38" i="12"/>
  <c r="AD38" i="5"/>
  <c r="F38" i="5"/>
  <c r="B38" i="6"/>
  <c r="AE38" i="5"/>
  <c r="B38" i="5"/>
  <c r="C39" i="5"/>
  <c r="K38" i="5"/>
  <c r="N38" i="5"/>
  <c r="D38" i="6" s="1"/>
  <c r="J38" i="5"/>
  <c r="H38" i="5"/>
  <c r="G38" i="5"/>
  <c r="D38" i="5"/>
  <c r="B38" i="12" s="1"/>
  <c r="C47" i="7"/>
  <c r="B46" i="7"/>
  <c r="B49" i="10"/>
  <c r="B51" i="9"/>
  <c r="A119" i="8" l="1"/>
  <c r="AT37" i="6"/>
  <c r="AZ37" i="6"/>
  <c r="AU37" i="6"/>
  <c r="AV37" i="6"/>
  <c r="AW37" i="6"/>
  <c r="AX37" i="6"/>
  <c r="AY37" i="6"/>
  <c r="BA37" i="6"/>
  <c r="AN37" i="6"/>
  <c r="AL37" i="6"/>
  <c r="AO37" i="6"/>
  <c r="AQ37" i="6"/>
  <c r="AK37" i="6"/>
  <c r="AS37" i="6"/>
  <c r="AP37" i="6"/>
  <c r="AR37" i="6"/>
  <c r="H39" i="5"/>
  <c r="B39" i="5"/>
  <c r="C40" i="5" s="1"/>
  <c r="F39" i="5"/>
  <c r="D39" i="5"/>
  <c r="B39" i="12" s="1"/>
  <c r="AE39" i="5"/>
  <c r="K39" i="5"/>
  <c r="G39" i="5"/>
  <c r="E39" i="5"/>
  <c r="A39" i="12"/>
  <c r="AD39" i="5"/>
  <c r="N39" i="5"/>
  <c r="D39" i="6" s="1"/>
  <c r="B39" i="6"/>
  <c r="J39" i="5"/>
  <c r="H38" i="6"/>
  <c r="T38" i="5" s="1"/>
  <c r="G38" i="12" s="1"/>
  <c r="AJ37" i="6"/>
  <c r="L38" i="12"/>
  <c r="J38" i="12"/>
  <c r="B50" i="10"/>
  <c r="C48" i="7"/>
  <c r="B47" i="7"/>
  <c r="B52" i="9"/>
  <c r="A122" i="8" l="1"/>
  <c r="K38" i="12"/>
  <c r="H39" i="6"/>
  <c r="T39" i="5" s="1"/>
  <c r="G39" i="12" s="1"/>
  <c r="L39" i="12"/>
  <c r="J39" i="12"/>
  <c r="E40" i="5"/>
  <c r="F40" i="5"/>
  <c r="A40" i="12"/>
  <c r="AE40" i="5"/>
  <c r="AD40" i="5"/>
  <c r="B40" i="6"/>
  <c r="C41" i="5"/>
  <c r="N40" i="5"/>
  <c r="D40" i="6" s="1"/>
  <c r="W40" i="5"/>
  <c r="H40" i="12" s="1"/>
  <c r="G40" i="5"/>
  <c r="B40" i="5"/>
  <c r="H40" i="5"/>
  <c r="B53" i="9"/>
  <c r="C49" i="7"/>
  <c r="B48" i="7"/>
  <c r="B51" i="10"/>
  <c r="A125" i="8" l="1"/>
  <c r="CI40" i="6"/>
  <c r="CH40" i="6"/>
  <c r="CG40" i="6"/>
  <c r="CF40" i="6"/>
  <c r="CM40" i="6"/>
  <c r="CL40" i="6"/>
  <c r="CJ40" i="6"/>
  <c r="CK40" i="6"/>
  <c r="BQ40" i="6"/>
  <c r="BP40" i="6"/>
  <c r="BO40" i="6"/>
  <c r="BN40" i="6"/>
  <c r="BM40" i="6"/>
  <c r="BT40" i="6"/>
  <c r="BS40" i="6"/>
  <c r="BR40" i="6"/>
  <c r="K39" i="12"/>
  <c r="G40" i="6"/>
  <c r="H40" i="6"/>
  <c r="T40" i="5" s="1"/>
  <c r="G40" i="12" s="1"/>
  <c r="M40" i="6"/>
  <c r="N40" i="6"/>
  <c r="CC40" i="6"/>
  <c r="CD40" i="6"/>
  <c r="CB40" i="6"/>
  <c r="BL40" i="6"/>
  <c r="BE40" i="6"/>
  <c r="BV40" i="6"/>
  <c r="BG40" i="6"/>
  <c r="BX40" i="6"/>
  <c r="CE40" i="6"/>
  <c r="BK40" i="6"/>
  <c r="BF40" i="6"/>
  <c r="BH40" i="6"/>
  <c r="BW40" i="6"/>
  <c r="BC40" i="6"/>
  <c r="BJ40" i="6"/>
  <c r="BI40" i="6"/>
  <c r="BD40" i="6"/>
  <c r="CA40" i="6"/>
  <c r="BY40" i="6"/>
  <c r="BZ40" i="6"/>
  <c r="C42" i="5"/>
  <c r="AE41" i="5"/>
  <c r="J41" i="5"/>
  <c r="B41" i="6"/>
  <c r="N41" i="5"/>
  <c r="D41" i="6" s="1"/>
  <c r="K41" i="5"/>
  <c r="AD41" i="5"/>
  <c r="A41" i="12"/>
  <c r="E41" i="5"/>
  <c r="F41" i="5"/>
  <c r="B41" i="5"/>
  <c r="H41" i="5"/>
  <c r="G41" i="5"/>
  <c r="D41" i="5"/>
  <c r="B41" i="12" s="1"/>
  <c r="B52" i="10"/>
  <c r="B49" i="7"/>
  <c r="C50" i="7"/>
  <c r="B54" i="9"/>
  <c r="A128" i="8" l="1"/>
  <c r="AU40" i="6"/>
  <c r="AW40" i="6"/>
  <c r="AV40" i="6"/>
  <c r="AZ40" i="6"/>
  <c r="AX40" i="6"/>
  <c r="AY40" i="6"/>
  <c r="AT40" i="6"/>
  <c r="BA40" i="6"/>
  <c r="AK40" i="6"/>
  <c r="AL40" i="6"/>
  <c r="AS40" i="6"/>
  <c r="AQ40" i="6"/>
  <c r="AR40" i="6"/>
  <c r="AP40" i="6"/>
  <c r="AJ40" i="6"/>
  <c r="AN40" i="6"/>
  <c r="AO40" i="6"/>
  <c r="G42" i="5"/>
  <c r="E42" i="5"/>
  <c r="A42" i="12"/>
  <c r="B42" i="5"/>
  <c r="AE42" i="5"/>
  <c r="B42" i="6"/>
  <c r="K42" i="5"/>
  <c r="H42" i="5"/>
  <c r="F42" i="5"/>
  <c r="C43" i="5"/>
  <c r="AD42" i="5"/>
  <c r="N42" i="5"/>
  <c r="D42" i="6" s="1"/>
  <c r="J42" i="5"/>
  <c r="D42" i="5"/>
  <c r="B42" i="12" s="1"/>
  <c r="J41" i="12"/>
  <c r="L41" i="12"/>
  <c r="H41" i="6"/>
  <c r="T41" i="5" s="1"/>
  <c r="G41" i="12" s="1"/>
  <c r="B55" i="9"/>
  <c r="B53" i="10"/>
  <c r="B50" i="7"/>
  <c r="C51" i="7"/>
  <c r="A131" i="8" l="1"/>
  <c r="K41" i="12"/>
  <c r="H43" i="5"/>
  <c r="E43" i="5"/>
  <c r="F43" i="5"/>
  <c r="B43" i="5"/>
  <c r="AD43" i="5"/>
  <c r="K43" i="5"/>
  <c r="D43" i="5"/>
  <c r="B43" i="12" s="1"/>
  <c r="G43" i="5"/>
  <c r="A43" i="12"/>
  <c r="B43" i="6"/>
  <c r="J43" i="5"/>
  <c r="C44" i="5"/>
  <c r="N43" i="5"/>
  <c r="D43" i="6" s="1"/>
  <c r="AE43" i="5"/>
  <c r="J42" i="12"/>
  <c r="L42" i="12"/>
  <c r="H42" i="6"/>
  <c r="T42" i="5" s="1"/>
  <c r="G42" i="12" s="1"/>
  <c r="B54" i="10"/>
  <c r="B56" i="9"/>
  <c r="C52" i="7"/>
  <c r="B51" i="7"/>
  <c r="A134" i="8" l="1"/>
  <c r="K42" i="12"/>
  <c r="B44" i="6"/>
  <c r="D44" i="5"/>
  <c r="B44" i="12" s="1"/>
  <c r="C45" i="5"/>
  <c r="N44" i="5"/>
  <c r="D44" i="6" s="1"/>
  <c r="K44" i="5"/>
  <c r="E44" i="5"/>
  <c r="F44" i="5"/>
  <c r="AD44" i="5"/>
  <c r="G44" i="5"/>
  <c r="A44" i="12"/>
  <c r="B44" i="5"/>
  <c r="J44" i="5"/>
  <c r="H44" i="5"/>
  <c r="AE44" i="5"/>
  <c r="L43" i="12"/>
  <c r="J43" i="12"/>
  <c r="H43" i="6"/>
  <c r="T43" i="5" s="1"/>
  <c r="G43" i="12" s="1"/>
  <c r="C53" i="7"/>
  <c r="B52" i="7"/>
  <c r="B57" i="9"/>
  <c r="B55" i="10"/>
  <c r="A137" i="8" l="1"/>
  <c r="K43" i="12"/>
  <c r="L44" i="12"/>
  <c r="J44" i="12"/>
  <c r="H44" i="6"/>
  <c r="T44" i="5" s="1"/>
  <c r="G44" i="12" s="1"/>
  <c r="B45" i="6"/>
  <c r="D45" i="5"/>
  <c r="B45" i="12" s="1"/>
  <c r="B45" i="5"/>
  <c r="AD45" i="5"/>
  <c r="C46" i="5"/>
  <c r="A45" i="12"/>
  <c r="N45" i="5"/>
  <c r="D45" i="6" s="1"/>
  <c r="AE45" i="5"/>
  <c r="E45" i="5"/>
  <c r="K45" i="5"/>
  <c r="F45" i="5"/>
  <c r="G45" i="5"/>
  <c r="J45" i="5"/>
  <c r="H45" i="5"/>
  <c r="B56" i="10"/>
  <c r="B58" i="9"/>
  <c r="C54" i="7"/>
  <c r="B53" i="7"/>
  <c r="E47" i="12"/>
  <c r="F47" i="6"/>
  <c r="A140" i="8" l="1"/>
  <c r="K44" i="12"/>
  <c r="L45" i="12"/>
  <c r="J45" i="12"/>
  <c r="K46" i="5"/>
  <c r="J46" i="5"/>
  <c r="H46" i="5"/>
  <c r="B46" i="6"/>
  <c r="G46" i="5"/>
  <c r="F46" i="5"/>
  <c r="B46" i="5"/>
  <c r="N46" i="5"/>
  <c r="D46" i="6" s="1"/>
  <c r="AE46" i="5"/>
  <c r="E46" i="5"/>
  <c r="AD46" i="5"/>
  <c r="D46" i="5"/>
  <c r="B46" i="12" s="1"/>
  <c r="A46" i="12"/>
  <c r="H45" i="6"/>
  <c r="T45" i="5" s="1"/>
  <c r="G45" i="12" s="1"/>
  <c r="C55" i="7"/>
  <c r="B54" i="7"/>
  <c r="B59" i="9"/>
  <c r="B57" i="10"/>
  <c r="A143" i="8" l="1"/>
  <c r="J46" i="12"/>
  <c r="L46" i="12"/>
  <c r="C47" i="5"/>
  <c r="K45" i="12"/>
  <c r="H46" i="6"/>
  <c r="T46" i="5" s="1"/>
  <c r="G46" i="12" s="1"/>
  <c r="B60" i="9"/>
  <c r="B58" i="10"/>
  <c r="C56" i="7"/>
  <c r="B55" i="7"/>
  <c r="A146" i="8" l="1"/>
  <c r="K46" i="12"/>
  <c r="E47" i="5"/>
  <c r="B47" i="5"/>
  <c r="AE47" i="5"/>
  <c r="AD47" i="5"/>
  <c r="W47" i="5"/>
  <c r="H47" i="12" s="1"/>
  <c r="A47" i="12"/>
  <c r="G47" i="5"/>
  <c r="B47" i="6"/>
  <c r="C48" i="5"/>
  <c r="N47" i="5"/>
  <c r="D47" i="6" s="1"/>
  <c r="H47" i="5"/>
  <c r="F47" i="5"/>
  <c r="B56" i="7"/>
  <c r="C57" i="7"/>
  <c r="B59" i="10"/>
  <c r="B61" i="9"/>
  <c r="A149" i="8" l="1"/>
  <c r="BW47" i="6"/>
  <c r="CM47" i="6"/>
  <c r="CL47" i="6"/>
  <c r="CK47" i="6"/>
  <c r="CJ47" i="6"/>
  <c r="CI47" i="6"/>
  <c r="CH47" i="6"/>
  <c r="CF47" i="6"/>
  <c r="CG47" i="6"/>
  <c r="BM47" i="6"/>
  <c r="BT47" i="6"/>
  <c r="BS47" i="6"/>
  <c r="BR47" i="6"/>
  <c r="BQ47" i="6"/>
  <c r="BP47" i="6"/>
  <c r="BO47" i="6"/>
  <c r="BN47" i="6"/>
  <c r="BL47" i="6"/>
  <c r="BZ47" i="6"/>
  <c r="BJ47" i="6"/>
  <c r="CC47" i="6"/>
  <c r="BG47" i="6"/>
  <c r="BX47" i="6"/>
  <c r="CD47" i="6"/>
  <c r="BY47" i="6"/>
  <c r="BD47" i="6"/>
  <c r="BK47" i="6"/>
  <c r="CB47" i="6"/>
  <c r="G47" i="6"/>
  <c r="H47" i="6"/>
  <c r="N47" i="6"/>
  <c r="M47" i="6"/>
  <c r="BE47" i="6" s="1"/>
  <c r="B48" i="5"/>
  <c r="A48" i="12"/>
  <c r="C49" i="5"/>
  <c r="N48" i="5"/>
  <c r="D48" i="6" s="1"/>
  <c r="B48" i="6"/>
  <c r="AD48" i="5"/>
  <c r="H48" i="5"/>
  <c r="J48" i="5"/>
  <c r="AE48" i="5"/>
  <c r="K48" i="5"/>
  <c r="F48" i="5"/>
  <c r="G48" i="5"/>
  <c r="E48" i="5"/>
  <c r="D48" i="5"/>
  <c r="B48" i="12" s="1"/>
  <c r="CA47" i="6"/>
  <c r="BV47" i="6"/>
  <c r="CE47" i="6"/>
  <c r="BH47" i="6"/>
  <c r="BI47" i="6"/>
  <c r="BF47" i="6"/>
  <c r="BC47" i="6"/>
  <c r="B62" i="9"/>
  <c r="B60" i="10"/>
  <c r="B57" i="7"/>
  <c r="C58" i="7"/>
  <c r="A152" i="8" l="1"/>
  <c r="AY47" i="6"/>
  <c r="AZ47" i="6"/>
  <c r="AV47" i="6"/>
  <c r="BA47" i="6"/>
  <c r="AU47" i="6"/>
  <c r="AT47" i="6"/>
  <c r="AW47" i="6"/>
  <c r="AX47" i="6"/>
  <c r="AS47" i="6"/>
  <c r="H48" i="6"/>
  <c r="T48" i="5" s="1"/>
  <c r="G48" i="12" s="1"/>
  <c r="B49" i="6"/>
  <c r="AE49" i="5"/>
  <c r="C50" i="5"/>
  <c r="G49" i="5"/>
  <c r="F49" i="5"/>
  <c r="N49" i="5"/>
  <c r="D49" i="6" s="1"/>
  <c r="K49" i="5"/>
  <c r="J49" i="5"/>
  <c r="H49" i="5"/>
  <c r="AD49" i="5"/>
  <c r="E49" i="5"/>
  <c r="B49" i="5"/>
  <c r="A49" i="12"/>
  <c r="D49" i="5"/>
  <c r="B49" i="12" s="1"/>
  <c r="L48" i="12"/>
  <c r="J48" i="12"/>
  <c r="AO47" i="6"/>
  <c r="AJ47" i="6"/>
  <c r="T47" i="5"/>
  <c r="G47" i="12" s="1"/>
  <c r="AK47" i="6"/>
  <c r="AP47" i="6"/>
  <c r="AR47" i="6"/>
  <c r="AQ47" i="6"/>
  <c r="AL47" i="6"/>
  <c r="AN47" i="6"/>
  <c r="C59" i="7"/>
  <c r="B58" i="7"/>
  <c r="B61" i="10"/>
  <c r="B63" i="9"/>
  <c r="A155" i="8" l="1"/>
  <c r="K48" i="12"/>
  <c r="H49" i="6"/>
  <c r="T49" i="5" s="1"/>
  <c r="G49" i="12" s="1"/>
  <c r="K50" i="5"/>
  <c r="J50" i="5"/>
  <c r="H50" i="5"/>
  <c r="A50" i="12"/>
  <c r="F50" i="5"/>
  <c r="N50" i="5"/>
  <c r="D50" i="6" s="1"/>
  <c r="E50" i="5"/>
  <c r="D50" i="5"/>
  <c r="B50" i="12" s="1"/>
  <c r="G50" i="5"/>
  <c r="B50" i="6"/>
  <c r="AD50" i="5"/>
  <c r="B50" i="5"/>
  <c r="C51" i="5"/>
  <c r="AE50" i="5"/>
  <c r="J49" i="12"/>
  <c r="L49" i="12"/>
  <c r="C60" i="7"/>
  <c r="B59" i="7"/>
  <c r="B64" i="9"/>
  <c r="B65" i="9" s="1"/>
  <c r="B62" i="10"/>
  <c r="A158" i="8" l="1"/>
  <c r="B66" i="9"/>
  <c r="K49" i="12"/>
  <c r="H50" i="6"/>
  <c r="T50" i="5" s="1"/>
  <c r="G50" i="12" s="1"/>
  <c r="L50" i="12"/>
  <c r="J50" i="12"/>
  <c r="G51" i="5"/>
  <c r="F51" i="5"/>
  <c r="AE51" i="5"/>
  <c r="A51" i="12"/>
  <c r="AD51" i="5"/>
  <c r="E51" i="5"/>
  <c r="D51" i="5"/>
  <c r="B51" i="12" s="1"/>
  <c r="B51" i="6"/>
  <c r="B51" i="5"/>
  <c r="N51" i="5"/>
  <c r="D51" i="6" s="1"/>
  <c r="J51" i="5"/>
  <c r="H51" i="5"/>
  <c r="C52" i="5"/>
  <c r="K51" i="5"/>
  <c r="B63" i="10"/>
  <c r="C61" i="7"/>
  <c r="B60" i="7"/>
  <c r="A161" i="8" l="1"/>
  <c r="B67" i="9"/>
  <c r="K50" i="12"/>
  <c r="H51" i="6"/>
  <c r="T51" i="5" s="1"/>
  <c r="G51" i="12" s="1"/>
  <c r="L51" i="12"/>
  <c r="J51" i="12"/>
  <c r="C53" i="5"/>
  <c r="N52" i="5"/>
  <c r="D52" i="6" s="1"/>
  <c r="K52" i="5"/>
  <c r="A52" i="12"/>
  <c r="J52" i="5"/>
  <c r="B52" i="6"/>
  <c r="D52" i="5"/>
  <c r="B52" i="12" s="1"/>
  <c r="B52" i="5"/>
  <c r="E52" i="5"/>
  <c r="AD52" i="5"/>
  <c r="F52" i="5"/>
  <c r="G52" i="5"/>
  <c r="AE52" i="5"/>
  <c r="H52" i="5"/>
  <c r="C62" i="7"/>
  <c r="B61" i="7"/>
  <c r="B64" i="10"/>
  <c r="B65" i="10" s="1"/>
  <c r="A164" i="8" l="1"/>
  <c r="B66" i="10"/>
  <c r="B68" i="9"/>
  <c r="K51" i="12"/>
  <c r="L52" i="12"/>
  <c r="J52" i="12"/>
  <c r="H52" i="6"/>
  <c r="T52" i="5" s="1"/>
  <c r="G52" i="12" s="1"/>
  <c r="E53" i="5"/>
  <c r="G53" i="5"/>
  <c r="A53" i="12"/>
  <c r="B53" i="6"/>
  <c r="AE53" i="5"/>
  <c r="F53" i="5"/>
  <c r="B53" i="5"/>
  <c r="D53" i="5"/>
  <c r="B53" i="12" s="1"/>
  <c r="AD53" i="5"/>
  <c r="C54" i="5"/>
  <c r="J53" i="5"/>
  <c r="H53" i="5"/>
  <c r="N53" i="5"/>
  <c r="D53" i="6" s="1"/>
  <c r="K53" i="5"/>
  <c r="B62" i="7"/>
  <c r="C63" i="7"/>
  <c r="A167" i="8" l="1"/>
  <c r="B69" i="9"/>
  <c r="B67" i="10"/>
  <c r="K52" i="12"/>
  <c r="L53" i="12"/>
  <c r="J53" i="12"/>
  <c r="H53" i="6"/>
  <c r="T53" i="5" s="1"/>
  <c r="G53" i="12" s="1"/>
  <c r="B54" i="5"/>
  <c r="H54" i="5"/>
  <c r="AD54" i="5"/>
  <c r="N54" i="5"/>
  <c r="D54" i="6" s="1"/>
  <c r="D54" i="5"/>
  <c r="B54" i="12" s="1"/>
  <c r="F54" i="5"/>
  <c r="K54" i="5"/>
  <c r="J54" i="5"/>
  <c r="A54" i="12"/>
  <c r="B54" i="6"/>
  <c r="G54" i="5"/>
  <c r="E54" i="5"/>
  <c r="AE54" i="5"/>
  <c r="C55" i="5"/>
  <c r="B63" i="7"/>
  <c r="C64" i="7"/>
  <c r="C65" i="7" s="1"/>
  <c r="A170" i="8" l="1"/>
  <c r="B68" i="10"/>
  <c r="C66" i="7"/>
  <c r="B65" i="7"/>
  <c r="B70" i="9"/>
  <c r="A30" i="6"/>
  <c r="N30" i="6" s="1"/>
  <c r="A37" i="6"/>
  <c r="A38" i="6" s="1"/>
  <c r="K53" i="12"/>
  <c r="L54" i="12"/>
  <c r="J54" i="12"/>
  <c r="H54" i="6"/>
  <c r="T54" i="5" s="1"/>
  <c r="G54" i="12" s="1"/>
  <c r="H55" i="5"/>
  <c r="AD55" i="5"/>
  <c r="E55" i="5"/>
  <c r="F55" i="5"/>
  <c r="B55" i="6"/>
  <c r="J55" i="5"/>
  <c r="AE55" i="5"/>
  <c r="K55" i="5"/>
  <c r="A55" i="12"/>
  <c r="B55" i="5"/>
  <c r="G55" i="5"/>
  <c r="D55" i="5"/>
  <c r="B55" i="12" s="1"/>
  <c r="N55" i="5"/>
  <c r="D55" i="6" s="1"/>
  <c r="C56" i="5"/>
  <c r="A18" i="6"/>
  <c r="B64" i="7"/>
  <c r="A173" i="8" l="1"/>
  <c r="B71" i="9"/>
  <c r="C67" i="7"/>
  <c r="B66" i="7"/>
  <c r="B69" i="10"/>
  <c r="N38" i="6"/>
  <c r="A39" i="6"/>
  <c r="A31" i="6"/>
  <c r="M18" i="6"/>
  <c r="A19" i="6"/>
  <c r="K54" i="12"/>
  <c r="K56" i="5"/>
  <c r="B56" i="6"/>
  <c r="N56" i="5"/>
  <c r="D56" i="6" s="1"/>
  <c r="AD56" i="5"/>
  <c r="AE56" i="5"/>
  <c r="A56" i="12"/>
  <c r="D56" i="5"/>
  <c r="B56" i="12" s="1"/>
  <c r="J56" i="5"/>
  <c r="H56" i="5"/>
  <c r="G56" i="5"/>
  <c r="F56" i="5"/>
  <c r="E56" i="5"/>
  <c r="B56" i="5"/>
  <c r="H55" i="6"/>
  <c r="T55" i="5" s="1"/>
  <c r="G55" i="12" s="1"/>
  <c r="L55" i="12"/>
  <c r="J55" i="12"/>
  <c r="N18" i="6"/>
  <c r="A176" i="8" l="1"/>
  <c r="B70" i="10"/>
  <c r="C68" i="7"/>
  <c r="B67" i="7"/>
  <c r="B72" i="9"/>
  <c r="N31" i="6"/>
  <c r="A32" i="6"/>
  <c r="N39" i="6"/>
  <c r="A40" i="6"/>
  <c r="A41" i="6" s="1"/>
  <c r="CB18" i="6"/>
  <c r="CM18" i="6"/>
  <c r="BQ18" i="6"/>
  <c r="CL18" i="6"/>
  <c r="BP18" i="6"/>
  <c r="CK18" i="6"/>
  <c r="BO18" i="6"/>
  <c r="CJ18" i="6"/>
  <c r="BN18" i="6"/>
  <c r="CI18" i="6"/>
  <c r="CH18" i="6"/>
  <c r="CF18" i="6"/>
  <c r="CG18" i="6"/>
  <c r="BM18" i="6"/>
  <c r="BT18" i="6"/>
  <c r="BS18" i="6"/>
  <c r="BR18" i="6"/>
  <c r="BY18" i="6"/>
  <c r="CE18" i="6"/>
  <c r="BV18" i="6"/>
  <c r="BX18" i="6"/>
  <c r="BD18" i="6"/>
  <c r="CC18" i="6"/>
  <c r="BW18" i="6"/>
  <c r="BZ18" i="6"/>
  <c r="BG18" i="6"/>
  <c r="CA18" i="6"/>
  <c r="BE18" i="6"/>
  <c r="BH18" i="6"/>
  <c r="BL18" i="6"/>
  <c r="BC18" i="6"/>
  <c r="BK18" i="6"/>
  <c r="CD18" i="6"/>
  <c r="BJ18" i="6"/>
  <c r="BI18" i="6"/>
  <c r="BF18" i="6"/>
  <c r="M19" i="6"/>
  <c r="A20" i="6"/>
  <c r="K55" i="12"/>
  <c r="J56" i="12"/>
  <c r="L56" i="12"/>
  <c r="H56" i="6"/>
  <c r="T56" i="5" s="1"/>
  <c r="G56" i="12" s="1"/>
  <c r="E57" i="12"/>
  <c r="F57" i="6"/>
  <c r="A179" i="8" l="1"/>
  <c r="C69" i="7"/>
  <c r="B68" i="7"/>
  <c r="B71" i="10"/>
  <c r="B73" i="9"/>
  <c r="N41" i="6"/>
  <c r="A42" i="6"/>
  <c r="N32" i="6"/>
  <c r="A33" i="6"/>
  <c r="AT19" i="6"/>
  <c r="AU19" i="6"/>
  <c r="AV19" i="6"/>
  <c r="AW19" i="6"/>
  <c r="AX19" i="6"/>
  <c r="AY19" i="6"/>
  <c r="AZ19" i="6"/>
  <c r="BA19" i="6"/>
  <c r="A21" i="6"/>
  <c r="N20" i="6"/>
  <c r="M20" i="6"/>
  <c r="AP19" i="6"/>
  <c r="AO19" i="6"/>
  <c r="AK19" i="6"/>
  <c r="AN19" i="6"/>
  <c r="AJ19" i="6"/>
  <c r="AL19" i="6"/>
  <c r="AQ19" i="6"/>
  <c r="AR19" i="6"/>
  <c r="AS19" i="6"/>
  <c r="K56" i="12"/>
  <c r="A182" i="8" l="1"/>
  <c r="B72" i="10"/>
  <c r="C70" i="7"/>
  <c r="B69" i="7"/>
  <c r="B74" i="9"/>
  <c r="N33" i="6"/>
  <c r="A34" i="6"/>
  <c r="N42" i="6"/>
  <c r="A43" i="6"/>
  <c r="BS20" i="6"/>
  <c r="BR20" i="6"/>
  <c r="BQ20" i="6"/>
  <c r="CM20" i="6"/>
  <c r="BP20" i="6"/>
  <c r="CL20" i="6"/>
  <c r="BO20" i="6"/>
  <c r="CK20" i="6"/>
  <c r="BN20" i="6"/>
  <c r="CJ20" i="6"/>
  <c r="BM20" i="6"/>
  <c r="CI20" i="6"/>
  <c r="CH20" i="6"/>
  <c r="CG20" i="6"/>
  <c r="CF20" i="6"/>
  <c r="BT20" i="6"/>
  <c r="BD20" i="6"/>
  <c r="BL20" i="6"/>
  <c r="BJ20" i="6"/>
  <c r="BX20" i="6"/>
  <c r="BI20" i="6"/>
  <c r="CB20" i="6"/>
  <c r="BK20" i="6"/>
  <c r="BW20" i="6"/>
  <c r="CD20" i="6"/>
  <c r="CC20" i="6"/>
  <c r="BC20" i="6"/>
  <c r="BG20" i="6"/>
  <c r="BH20" i="6"/>
  <c r="BV20" i="6"/>
  <c r="BF20" i="6"/>
  <c r="BY20" i="6"/>
  <c r="BE20" i="6"/>
  <c r="BZ20" i="6"/>
  <c r="CE20" i="6"/>
  <c r="CA20" i="6"/>
  <c r="A22" i="6"/>
  <c r="N21" i="6"/>
  <c r="M21" i="6"/>
  <c r="C57" i="5"/>
  <c r="A185" i="8" l="1"/>
  <c r="C71" i="7"/>
  <c r="B70" i="7"/>
  <c r="B75" i="9"/>
  <c r="B73" i="10"/>
  <c r="N43" i="6"/>
  <c r="A44" i="6"/>
  <c r="N34" i="6"/>
  <c r="A35" i="6"/>
  <c r="CM21" i="6"/>
  <c r="BQ21" i="6"/>
  <c r="CL21" i="6"/>
  <c r="BP21" i="6"/>
  <c r="CK21" i="6"/>
  <c r="BO21" i="6"/>
  <c r="CJ21" i="6"/>
  <c r="BN21" i="6"/>
  <c r="CI21" i="6"/>
  <c r="CH21" i="6"/>
  <c r="CF21" i="6"/>
  <c r="CG21" i="6"/>
  <c r="BM21" i="6"/>
  <c r="BT21" i="6"/>
  <c r="BS21" i="6"/>
  <c r="BR21" i="6"/>
  <c r="N22" i="6"/>
  <c r="M22" i="6"/>
  <c r="A23" i="6"/>
  <c r="A24" i="6" s="1"/>
  <c r="BF21" i="6"/>
  <c r="CE21" i="6"/>
  <c r="BL21" i="6"/>
  <c r="BC21" i="6"/>
  <c r="CC21" i="6"/>
  <c r="CB21" i="6"/>
  <c r="BY21" i="6"/>
  <c r="BX21" i="6"/>
  <c r="BE21" i="6"/>
  <c r="BI21" i="6"/>
  <c r="BG21" i="6"/>
  <c r="CA21" i="6"/>
  <c r="BJ21" i="6"/>
  <c r="BZ21" i="6"/>
  <c r="BW21" i="6"/>
  <c r="BK21" i="6"/>
  <c r="BD21" i="6"/>
  <c r="CD21" i="6"/>
  <c r="BV21" i="6"/>
  <c r="BH21" i="6"/>
  <c r="B57" i="5"/>
  <c r="W57" i="5"/>
  <c r="H57" i="12" s="1"/>
  <c r="B57" i="6"/>
  <c r="AD57" i="5"/>
  <c r="A57" i="12"/>
  <c r="F57" i="5"/>
  <c r="N57" i="5"/>
  <c r="D57" i="6" s="1"/>
  <c r="AE57" i="5"/>
  <c r="C58" i="5"/>
  <c r="H57" i="5"/>
  <c r="G57" i="5"/>
  <c r="E57" i="5"/>
  <c r="A188" i="8" l="1"/>
  <c r="B76" i="9"/>
  <c r="C72" i="7"/>
  <c r="B71" i="7"/>
  <c r="B74" i="10"/>
  <c r="N35" i="6"/>
  <c r="A36" i="6"/>
  <c r="N44" i="6"/>
  <c r="A45" i="6"/>
  <c r="CF22" i="6"/>
  <c r="BR22" i="6"/>
  <c r="BQ22" i="6"/>
  <c r="BP22" i="6"/>
  <c r="CM22" i="6"/>
  <c r="BM22" i="6"/>
  <c r="CL22" i="6"/>
  <c r="CJ22" i="6"/>
  <c r="CK22" i="6"/>
  <c r="BT22" i="6"/>
  <c r="BO22" i="6"/>
  <c r="BN22" i="6"/>
  <c r="CI22" i="6"/>
  <c r="CH22" i="6"/>
  <c r="CG22" i="6"/>
  <c r="BS22" i="6"/>
  <c r="CI57" i="6"/>
  <c r="CH57" i="6"/>
  <c r="CG57" i="6"/>
  <c r="CF57" i="6"/>
  <c r="CM57" i="6"/>
  <c r="CL57" i="6"/>
  <c r="CJ57" i="6"/>
  <c r="CK57" i="6"/>
  <c r="BQ57" i="6"/>
  <c r="BP57" i="6"/>
  <c r="BO57" i="6"/>
  <c r="BN57" i="6"/>
  <c r="BM57" i="6"/>
  <c r="BT57" i="6"/>
  <c r="BS57" i="6"/>
  <c r="BR57" i="6"/>
  <c r="A25" i="6"/>
  <c r="M24" i="6"/>
  <c r="CA22" i="6"/>
  <c r="BK22" i="6"/>
  <c r="BV22" i="6"/>
  <c r="BF22" i="6"/>
  <c r="BW22" i="6"/>
  <c r="BY22" i="6"/>
  <c r="BI22" i="6"/>
  <c r="BJ22" i="6"/>
  <c r="BZ22" i="6"/>
  <c r="BL22" i="6"/>
  <c r="BC22" i="6"/>
  <c r="BX22" i="6"/>
  <c r="CE22" i="6"/>
  <c r="CC22" i="6"/>
  <c r="BG22" i="6"/>
  <c r="BE22" i="6"/>
  <c r="CB22" i="6"/>
  <c r="BH22" i="6"/>
  <c r="CD22" i="6"/>
  <c r="BD22" i="6"/>
  <c r="A57" i="6"/>
  <c r="H57" i="6"/>
  <c r="T57" i="5" s="1"/>
  <c r="G57" i="12" s="1"/>
  <c r="G57" i="6"/>
  <c r="N57" i="6"/>
  <c r="M57" i="6"/>
  <c r="BD57" i="6" s="1"/>
  <c r="BZ57" i="6"/>
  <c r="CC57" i="6"/>
  <c r="CD57" i="6"/>
  <c r="BL57" i="6"/>
  <c r="BJ57" i="6"/>
  <c r="BF57" i="6"/>
  <c r="BE57" i="6"/>
  <c r="BY57" i="6"/>
  <c r="BH57" i="6"/>
  <c r="CE57" i="6"/>
  <c r="BK57" i="6"/>
  <c r="CB57" i="6"/>
  <c r="BI57" i="6"/>
  <c r="BX57" i="6"/>
  <c r="BV57" i="6"/>
  <c r="BG57" i="6"/>
  <c r="BW57" i="6"/>
  <c r="K58" i="5"/>
  <c r="J58" i="5"/>
  <c r="H58" i="5"/>
  <c r="F58" i="5"/>
  <c r="A58" i="12"/>
  <c r="C59" i="5"/>
  <c r="B58" i="6"/>
  <c r="N58" i="5"/>
  <c r="D58" i="6" s="1"/>
  <c r="G58" i="5"/>
  <c r="E58" i="5"/>
  <c r="AE58" i="5"/>
  <c r="AD58" i="5"/>
  <c r="D58" i="5"/>
  <c r="B58" i="12" s="1"/>
  <c r="B58" i="5"/>
  <c r="CA57" i="6"/>
  <c r="BC57" i="6"/>
  <c r="A191" i="8" l="1"/>
  <c r="B72" i="7"/>
  <c r="C73" i="7"/>
  <c r="B77" i="9"/>
  <c r="B75" i="10"/>
  <c r="N45" i="6"/>
  <c r="A46" i="6"/>
  <c r="N36" i="6"/>
  <c r="BA57" i="6"/>
  <c r="BM24" i="6"/>
  <c r="BT24" i="6"/>
  <c r="BR24" i="6"/>
  <c r="BS24" i="6"/>
  <c r="CM24" i="6"/>
  <c r="BQ24" i="6"/>
  <c r="CL24" i="6"/>
  <c r="BP24" i="6"/>
  <c r="CK24" i="6"/>
  <c r="BO24" i="6"/>
  <c r="CJ24" i="6"/>
  <c r="BN24" i="6"/>
  <c r="CI24" i="6"/>
  <c r="CH24" i="6"/>
  <c r="CF24" i="6"/>
  <c r="CG24" i="6"/>
  <c r="AT57" i="6"/>
  <c r="AZ57" i="6"/>
  <c r="AU57" i="6"/>
  <c r="AV57" i="6"/>
  <c r="AW57" i="6"/>
  <c r="AY57" i="6"/>
  <c r="AX57" i="6"/>
  <c r="A58" i="6"/>
  <c r="N58" i="6" s="1"/>
  <c r="BF24" i="6"/>
  <c r="BJ24" i="6"/>
  <c r="BL24" i="6"/>
  <c r="BH24" i="6"/>
  <c r="BY24" i="6"/>
  <c r="BW24" i="6"/>
  <c r="BK24" i="6"/>
  <c r="BZ24" i="6"/>
  <c r="CB24" i="6"/>
  <c r="BD24" i="6"/>
  <c r="BV24" i="6"/>
  <c r="BX24" i="6"/>
  <c r="CE24" i="6"/>
  <c r="CA24" i="6"/>
  <c r="CD24" i="6"/>
  <c r="BG24" i="6"/>
  <c r="CC24" i="6"/>
  <c r="BC24" i="6"/>
  <c r="BI24" i="6"/>
  <c r="BE24" i="6"/>
  <c r="AP57" i="6"/>
  <c r="A26" i="6"/>
  <c r="M25" i="6"/>
  <c r="AK57" i="6"/>
  <c r="AN57" i="6"/>
  <c r="AO57" i="6"/>
  <c r="AR57" i="6"/>
  <c r="AQ57" i="6"/>
  <c r="AL57" i="6"/>
  <c r="AS57" i="6"/>
  <c r="H58" i="6"/>
  <c r="T58" i="5" s="1"/>
  <c r="G58" i="12" s="1"/>
  <c r="G59" i="5"/>
  <c r="A59" i="12"/>
  <c r="E59" i="5"/>
  <c r="B59" i="5"/>
  <c r="B59" i="6"/>
  <c r="F59" i="5"/>
  <c r="AD59" i="5"/>
  <c r="D59" i="5"/>
  <c r="B59" i="12" s="1"/>
  <c r="N59" i="5"/>
  <c r="D59" i="6" s="1"/>
  <c r="C60" i="5"/>
  <c r="H59" i="5"/>
  <c r="K59" i="5"/>
  <c r="AE59" i="5"/>
  <c r="J59" i="5"/>
  <c r="J58" i="12"/>
  <c r="L58" i="12"/>
  <c r="AJ57" i="6"/>
  <c r="A194" i="8" l="1"/>
  <c r="B78" i="9"/>
  <c r="B76" i="10"/>
  <c r="C74" i="7"/>
  <c r="B73" i="7"/>
  <c r="N46" i="6"/>
  <c r="CF25" i="6"/>
  <c r="BS25" i="6"/>
  <c r="BN25" i="6"/>
  <c r="CM25" i="6"/>
  <c r="BR25" i="6"/>
  <c r="CL25" i="6"/>
  <c r="CJ25" i="6"/>
  <c r="CK25" i="6"/>
  <c r="BQ25" i="6"/>
  <c r="BP25" i="6"/>
  <c r="BO25" i="6"/>
  <c r="CI25" i="6"/>
  <c r="BM25" i="6"/>
  <c r="CH25" i="6"/>
  <c r="BT25" i="6"/>
  <c r="CG25" i="6"/>
  <c r="BV25" i="6"/>
  <c r="BH25" i="6"/>
  <c r="CA25" i="6"/>
  <c r="CD25" i="6"/>
  <c r="BI25" i="6"/>
  <c r="BX25" i="6"/>
  <c r="CE25" i="6"/>
  <c r="BZ25" i="6"/>
  <c r="BG25" i="6"/>
  <c r="BW25" i="6"/>
  <c r="BK25" i="6"/>
  <c r="BE25" i="6"/>
  <c r="CB25" i="6"/>
  <c r="CC25" i="6"/>
  <c r="BF25" i="6"/>
  <c r="BJ25" i="6"/>
  <c r="BL25" i="6"/>
  <c r="BC25" i="6"/>
  <c r="BD25" i="6"/>
  <c r="BY25" i="6"/>
  <c r="A27" i="6"/>
  <c r="M26" i="6"/>
  <c r="A59" i="6"/>
  <c r="K58" i="12"/>
  <c r="L59" i="12"/>
  <c r="J59" i="12"/>
  <c r="G60" i="5"/>
  <c r="K60" i="5"/>
  <c r="F60" i="5"/>
  <c r="E60" i="5"/>
  <c r="AE60" i="5"/>
  <c r="D60" i="5"/>
  <c r="B60" i="12" s="1"/>
  <c r="AD60" i="5"/>
  <c r="B60" i="5"/>
  <c r="A60" i="12"/>
  <c r="B60" i="6"/>
  <c r="N60" i="5"/>
  <c r="D60" i="6" s="1"/>
  <c r="J60" i="5"/>
  <c r="C61" i="5"/>
  <c r="H60" i="5"/>
  <c r="H59" i="6"/>
  <c r="T59" i="5" s="1"/>
  <c r="G59" i="12" s="1"/>
  <c r="A197" i="8" l="1"/>
  <c r="B77" i="10"/>
  <c r="C75" i="7"/>
  <c r="B74" i="7"/>
  <c r="B79" i="9"/>
  <c r="A47" i="6"/>
  <c r="A48" i="6" s="1"/>
  <c r="CJ26" i="6"/>
  <c r="BM26" i="6"/>
  <c r="CI26" i="6"/>
  <c r="CH26" i="6"/>
  <c r="BQ26" i="6"/>
  <c r="CG26" i="6"/>
  <c r="CF26" i="6"/>
  <c r="BT26" i="6"/>
  <c r="BS26" i="6"/>
  <c r="BR26" i="6"/>
  <c r="CM26" i="6"/>
  <c r="BP26" i="6"/>
  <c r="CL26" i="6"/>
  <c r="BO26" i="6"/>
  <c r="CK26" i="6"/>
  <c r="BN26" i="6"/>
  <c r="N59" i="6"/>
  <c r="BH26" i="6"/>
  <c r="BJ26" i="6"/>
  <c r="BC26" i="6"/>
  <c r="BI26" i="6"/>
  <c r="BW26" i="6"/>
  <c r="CD26" i="6"/>
  <c r="CB26" i="6"/>
  <c r="BK26" i="6"/>
  <c r="CA26" i="6"/>
  <c r="CC26" i="6"/>
  <c r="BV26" i="6"/>
  <c r="BG26" i="6"/>
  <c r="BY26" i="6"/>
  <c r="BL26" i="6"/>
  <c r="BZ26" i="6"/>
  <c r="BX26" i="6"/>
  <c r="CE26" i="6"/>
  <c r="BD26" i="6"/>
  <c r="BE26" i="6"/>
  <c r="BF26" i="6"/>
  <c r="A28" i="6"/>
  <c r="M27" i="6"/>
  <c r="A60" i="6"/>
  <c r="N60" i="6" s="1"/>
  <c r="K59" i="12"/>
  <c r="L60" i="12"/>
  <c r="J60" i="12"/>
  <c r="K61" i="5"/>
  <c r="A61" i="12"/>
  <c r="G61" i="5"/>
  <c r="B61" i="6"/>
  <c r="J61" i="5"/>
  <c r="H61" i="5"/>
  <c r="F61" i="5"/>
  <c r="AE61" i="5"/>
  <c r="N61" i="5"/>
  <c r="D61" i="6" s="1"/>
  <c r="AD61" i="5"/>
  <c r="D61" i="5"/>
  <c r="B61" i="12" s="1"/>
  <c r="C62" i="5"/>
  <c r="B61" i="5"/>
  <c r="E61" i="5"/>
  <c r="H60" i="6"/>
  <c r="T60" i="5" s="1"/>
  <c r="G60" i="12" s="1"/>
  <c r="E63" i="12"/>
  <c r="F63" i="6"/>
  <c r="A200" i="8" l="1"/>
  <c r="C76" i="7"/>
  <c r="B75" i="7"/>
  <c r="B80" i="9"/>
  <c r="B78" i="10"/>
  <c r="N48" i="6"/>
  <c r="A49" i="6"/>
  <c r="CJ27" i="6"/>
  <c r="CI27" i="6"/>
  <c r="BN27" i="6"/>
  <c r="CH27" i="6"/>
  <c r="CF27" i="6"/>
  <c r="BR27" i="6"/>
  <c r="CG27" i="6"/>
  <c r="BM27" i="6"/>
  <c r="BT27" i="6"/>
  <c r="BS27" i="6"/>
  <c r="CM27" i="6"/>
  <c r="BQ27" i="6"/>
  <c r="CL27" i="6"/>
  <c r="BP27" i="6"/>
  <c r="CK27" i="6"/>
  <c r="BO27" i="6"/>
  <c r="A61" i="6"/>
  <c r="N61" i="6" s="1"/>
  <c r="M28" i="6"/>
  <c r="M30" i="6" s="1"/>
  <c r="M33" i="6" s="1"/>
  <c r="BC27" i="6"/>
  <c r="BX27" i="6"/>
  <c r="BG27" i="6"/>
  <c r="BF27" i="6"/>
  <c r="CD27" i="6"/>
  <c r="BW27" i="6"/>
  <c r="BL27" i="6"/>
  <c r="BE27" i="6"/>
  <c r="BK27" i="6"/>
  <c r="CB27" i="6"/>
  <c r="CE27" i="6"/>
  <c r="BV27" i="6"/>
  <c r="BY27" i="6"/>
  <c r="BZ27" i="6"/>
  <c r="BH27" i="6"/>
  <c r="BJ27" i="6"/>
  <c r="BD27" i="6"/>
  <c r="BI27" i="6"/>
  <c r="CC27" i="6"/>
  <c r="CA27" i="6"/>
  <c r="K60" i="12"/>
  <c r="H62" i="5"/>
  <c r="G62" i="5"/>
  <c r="D62" i="5"/>
  <c r="B62" i="12" s="1"/>
  <c r="F62" i="5"/>
  <c r="B62" i="5"/>
  <c r="C63" i="5" s="1"/>
  <c r="AE62" i="5"/>
  <c r="B62" i="6"/>
  <c r="E62" i="5"/>
  <c r="AD62" i="5"/>
  <c r="A62" i="12"/>
  <c r="K62" i="5"/>
  <c r="J62" i="5"/>
  <c r="N62" i="5"/>
  <c r="D62" i="6" s="1"/>
  <c r="H61" i="6"/>
  <c r="T61" i="5" s="1"/>
  <c r="G61" i="12" s="1"/>
  <c r="L61" i="12"/>
  <c r="J61" i="12"/>
  <c r="A203" i="8" l="1"/>
  <c r="B81" i="9"/>
  <c r="B79" i="10"/>
  <c r="B76" i="7"/>
  <c r="C77" i="7"/>
  <c r="N49" i="6"/>
  <c r="A50" i="6"/>
  <c r="BS33" i="6"/>
  <c r="BR33" i="6"/>
  <c r="CM33" i="6"/>
  <c r="BQ33" i="6"/>
  <c r="CL33" i="6"/>
  <c r="BP33" i="6"/>
  <c r="CK33" i="6"/>
  <c r="CJ33" i="6"/>
  <c r="BO33" i="6"/>
  <c r="CI33" i="6"/>
  <c r="BN33" i="6"/>
  <c r="CH33" i="6"/>
  <c r="CF33" i="6"/>
  <c r="CG33" i="6"/>
  <c r="BM33" i="6"/>
  <c r="BT33" i="6"/>
  <c r="M32" i="6"/>
  <c r="BX32" i="6" s="1"/>
  <c r="CM30" i="6"/>
  <c r="BQ30" i="6"/>
  <c r="CL30" i="6"/>
  <c r="BP30" i="6"/>
  <c r="CK30" i="6"/>
  <c r="CJ30" i="6"/>
  <c r="BO30" i="6"/>
  <c r="CI30" i="6"/>
  <c r="BN30" i="6"/>
  <c r="CH30" i="6"/>
  <c r="CF30" i="6"/>
  <c r="CG30" i="6"/>
  <c r="BM30" i="6"/>
  <c r="BT30" i="6"/>
  <c r="BS30" i="6"/>
  <c r="BR30" i="6"/>
  <c r="CM28" i="6"/>
  <c r="BS28" i="6"/>
  <c r="BN28" i="6"/>
  <c r="BT28" i="6"/>
  <c r="CF28" i="6"/>
  <c r="CL28" i="6"/>
  <c r="BR28" i="6"/>
  <c r="CJ28" i="6"/>
  <c r="BM28" i="6"/>
  <c r="CG28" i="6"/>
  <c r="CK28" i="6"/>
  <c r="BO28" i="6"/>
  <c r="BQ28" i="6"/>
  <c r="BP28" i="6"/>
  <c r="CH28" i="6"/>
  <c r="CI28" i="6"/>
  <c r="M35" i="6"/>
  <c r="M34" i="6"/>
  <c r="M36" i="6"/>
  <c r="M31" i="6"/>
  <c r="BI33" i="6"/>
  <c r="BE33" i="6"/>
  <c r="BV33" i="6"/>
  <c r="BF33" i="6"/>
  <c r="BX33" i="6"/>
  <c r="BG33" i="6"/>
  <c r="BH33" i="6"/>
  <c r="BZ33" i="6"/>
  <c r="CC33" i="6"/>
  <c r="CB33" i="6"/>
  <c r="BW33" i="6"/>
  <c r="CA33" i="6"/>
  <c r="CE33" i="6"/>
  <c r="BD33" i="6"/>
  <c r="BL33" i="6"/>
  <c r="BC33" i="6"/>
  <c r="CD33" i="6"/>
  <c r="BK33" i="6"/>
  <c r="BJ33" i="6"/>
  <c r="BY33" i="6"/>
  <c r="A62" i="6"/>
  <c r="N62" i="6" s="1"/>
  <c r="BX30" i="6"/>
  <c r="BD30" i="6"/>
  <c r="BV30" i="6"/>
  <c r="CA30" i="6"/>
  <c r="BE30" i="6"/>
  <c r="BY30" i="6"/>
  <c r="BF30" i="6"/>
  <c r="BW30" i="6"/>
  <c r="BH30" i="6"/>
  <c r="BK30" i="6"/>
  <c r="BZ30" i="6"/>
  <c r="CD30" i="6"/>
  <c r="CE30" i="6"/>
  <c r="BC30" i="6"/>
  <c r="CB30" i="6"/>
  <c r="BG30" i="6"/>
  <c r="CC30" i="6"/>
  <c r="BI30" i="6"/>
  <c r="BL30" i="6"/>
  <c r="BJ30" i="6"/>
  <c r="CE28" i="6"/>
  <c r="BZ28" i="6"/>
  <c r="BF28" i="6"/>
  <c r="BI28" i="6"/>
  <c r="BJ28" i="6"/>
  <c r="BY28" i="6"/>
  <c r="BV28" i="6"/>
  <c r="BK28" i="6"/>
  <c r="BD28" i="6"/>
  <c r="BE28" i="6"/>
  <c r="CB28" i="6"/>
  <c r="CC28" i="6"/>
  <c r="CD28" i="6"/>
  <c r="BL28" i="6"/>
  <c r="BX28" i="6"/>
  <c r="BC28" i="6"/>
  <c r="BW28" i="6"/>
  <c r="CA28" i="6"/>
  <c r="BH28" i="6"/>
  <c r="BG28" i="6"/>
  <c r="K61" i="12"/>
  <c r="A63" i="12"/>
  <c r="B63" i="6"/>
  <c r="G63" i="5"/>
  <c r="E63" i="5"/>
  <c r="C64" i="5"/>
  <c r="W63" i="5"/>
  <c r="H63" i="12" s="1"/>
  <c r="N63" i="5"/>
  <c r="D63" i="6" s="1"/>
  <c r="H63" i="5"/>
  <c r="F63" i="5"/>
  <c r="AE63" i="5"/>
  <c r="AD63" i="5"/>
  <c r="B63" i="5"/>
  <c r="L62" i="12"/>
  <c r="J62" i="12"/>
  <c r="H62" i="6"/>
  <c r="T62" i="5" s="1"/>
  <c r="G62" i="12" s="1"/>
  <c r="A206" i="8" l="1"/>
  <c r="BW32" i="6"/>
  <c r="B80" i="10"/>
  <c r="C78" i="7"/>
  <c r="B77" i="7"/>
  <c r="B82" i="9"/>
  <c r="N50" i="6"/>
  <c r="A51" i="6"/>
  <c r="BF32" i="6"/>
  <c r="CB32" i="6"/>
  <c r="BV32" i="6"/>
  <c r="BH32" i="6"/>
  <c r="BZ32" i="6"/>
  <c r="BJ32" i="6"/>
  <c r="BY32" i="6"/>
  <c r="BL32" i="6"/>
  <c r="BI32" i="6"/>
  <c r="BG32" i="6"/>
  <c r="BK32" i="6"/>
  <c r="BD32" i="6"/>
  <c r="BE32" i="6"/>
  <c r="CA32" i="6"/>
  <c r="CE32" i="6"/>
  <c r="BC32" i="6"/>
  <c r="CD32" i="6"/>
  <c r="CC32" i="6"/>
  <c r="CD35" i="6"/>
  <c r="BS35" i="6"/>
  <c r="BN35" i="6"/>
  <c r="BM35" i="6"/>
  <c r="BR35" i="6"/>
  <c r="BQ35" i="6"/>
  <c r="CM35" i="6"/>
  <c r="BP35" i="6"/>
  <c r="CL35" i="6"/>
  <c r="BO35" i="6"/>
  <c r="CF35" i="6"/>
  <c r="CK35" i="6"/>
  <c r="CJ35" i="6"/>
  <c r="CI35" i="6"/>
  <c r="CH35" i="6"/>
  <c r="CG35" i="6"/>
  <c r="BT35" i="6"/>
  <c r="CL31" i="6"/>
  <c r="BR31" i="6"/>
  <c r="CJ31" i="6"/>
  <c r="BM31" i="6"/>
  <c r="CK31" i="6"/>
  <c r="BQ31" i="6"/>
  <c r="BS31" i="6"/>
  <c r="BP31" i="6"/>
  <c r="BO31" i="6"/>
  <c r="BT31" i="6"/>
  <c r="BN31" i="6"/>
  <c r="CI31" i="6"/>
  <c r="CH31" i="6"/>
  <c r="CG31" i="6"/>
  <c r="CF31" i="6"/>
  <c r="CM31" i="6"/>
  <c r="BW36" i="6"/>
  <c r="BS36" i="6"/>
  <c r="BN36" i="6"/>
  <c r="BR36" i="6"/>
  <c r="CM36" i="6"/>
  <c r="BQ36" i="6"/>
  <c r="CL36" i="6"/>
  <c r="BP36" i="6"/>
  <c r="CK36" i="6"/>
  <c r="BO36" i="6"/>
  <c r="CJ36" i="6"/>
  <c r="CI36" i="6"/>
  <c r="CH36" i="6"/>
  <c r="CF36" i="6"/>
  <c r="CG36" i="6"/>
  <c r="BM36" i="6"/>
  <c r="BT36" i="6"/>
  <c r="CF32" i="6"/>
  <c r="BO32" i="6"/>
  <c r="BT32" i="6"/>
  <c r="BS32" i="6"/>
  <c r="BP32" i="6"/>
  <c r="BR32" i="6"/>
  <c r="BQ32" i="6"/>
  <c r="CM32" i="6"/>
  <c r="CL32" i="6"/>
  <c r="CK32" i="6"/>
  <c r="BN32" i="6"/>
  <c r="CJ32" i="6"/>
  <c r="BM32" i="6"/>
  <c r="CI32" i="6"/>
  <c r="CH32" i="6"/>
  <c r="CG32" i="6"/>
  <c r="M63" i="6"/>
  <c r="CI63" i="6"/>
  <c r="CH63" i="6"/>
  <c r="CG63" i="6"/>
  <c r="CF63" i="6"/>
  <c r="CM63" i="6"/>
  <c r="CL63" i="6"/>
  <c r="CJ63" i="6"/>
  <c r="CK63" i="6"/>
  <c r="BQ63" i="6"/>
  <c r="BP63" i="6"/>
  <c r="BO63" i="6"/>
  <c r="BN63" i="6"/>
  <c r="BM63" i="6"/>
  <c r="BT63" i="6"/>
  <c r="BS63" i="6"/>
  <c r="BR63" i="6"/>
  <c r="CA34" i="6"/>
  <c r="CI34" i="6"/>
  <c r="BM34" i="6"/>
  <c r="CH34" i="6"/>
  <c r="BT34" i="6"/>
  <c r="CG34" i="6"/>
  <c r="CF34" i="6"/>
  <c r="BS34" i="6"/>
  <c r="CM34" i="6"/>
  <c r="BR34" i="6"/>
  <c r="CL34" i="6"/>
  <c r="CJ34" i="6"/>
  <c r="CK34" i="6"/>
  <c r="BQ34" i="6"/>
  <c r="BP34" i="6"/>
  <c r="BO34" i="6"/>
  <c r="BN34" i="6"/>
  <c r="BV34" i="6"/>
  <c r="BG34" i="6"/>
  <c r="BL34" i="6"/>
  <c r="CB34" i="6"/>
  <c r="BC34" i="6"/>
  <c r="CE34" i="6"/>
  <c r="BK34" i="6"/>
  <c r="BD34" i="6"/>
  <c r="BJ34" i="6"/>
  <c r="BE34" i="6"/>
  <c r="CC34" i="6"/>
  <c r="BI34" i="6"/>
  <c r="BY34" i="6"/>
  <c r="BW34" i="6"/>
  <c r="BH34" i="6"/>
  <c r="BF34" i="6"/>
  <c r="BZ34" i="6"/>
  <c r="BX34" i="6"/>
  <c r="CD34" i="6"/>
  <c r="BX36" i="6"/>
  <c r="BG36" i="6"/>
  <c r="BZ36" i="6"/>
  <c r="BY36" i="6"/>
  <c r="CC36" i="6"/>
  <c r="CB36" i="6"/>
  <c r="BF36" i="6"/>
  <c r="BD36" i="6"/>
  <c r="CE36" i="6"/>
  <c r="BC36" i="6"/>
  <c r="CA36" i="6"/>
  <c r="BV36" i="6"/>
  <c r="BI36" i="6"/>
  <c r="BJ36" i="6"/>
  <c r="BK36" i="6"/>
  <c r="BH36" i="6"/>
  <c r="BE36" i="6"/>
  <c r="CD36" i="6"/>
  <c r="BL36" i="6"/>
  <c r="BE35" i="6"/>
  <c r="CA35" i="6"/>
  <c r="BX35" i="6"/>
  <c r="BV35" i="6"/>
  <c r="BG35" i="6"/>
  <c r="BW35" i="6"/>
  <c r="BJ35" i="6"/>
  <c r="BF35" i="6"/>
  <c r="BI35" i="6"/>
  <c r="CB35" i="6"/>
  <c r="CE35" i="6"/>
  <c r="CC35" i="6"/>
  <c r="BC35" i="6"/>
  <c r="BL35" i="6"/>
  <c r="BY35" i="6"/>
  <c r="BZ35" i="6"/>
  <c r="BH35" i="6"/>
  <c r="BD35" i="6"/>
  <c r="BK35" i="6"/>
  <c r="A63" i="6"/>
  <c r="BL31" i="6"/>
  <c r="CD31" i="6"/>
  <c r="BF31" i="6"/>
  <c r="BI31" i="6"/>
  <c r="BJ31" i="6"/>
  <c r="CC31" i="6"/>
  <c r="BH31" i="6"/>
  <c r="BX31" i="6"/>
  <c r="CE31" i="6"/>
  <c r="CA31" i="6"/>
  <c r="CB31" i="6"/>
  <c r="BY31" i="6"/>
  <c r="BE31" i="6"/>
  <c r="BG31" i="6"/>
  <c r="BD31" i="6"/>
  <c r="BK31" i="6"/>
  <c r="BW31" i="6"/>
  <c r="BZ31" i="6"/>
  <c r="BV31" i="6"/>
  <c r="BC31" i="6"/>
  <c r="M38" i="6"/>
  <c r="K62" i="12"/>
  <c r="G63" i="6"/>
  <c r="H63" i="6"/>
  <c r="T63" i="5" s="1"/>
  <c r="G63" i="12" s="1"/>
  <c r="G64" i="5"/>
  <c r="K64" i="5"/>
  <c r="J64" i="5"/>
  <c r="F64" i="5"/>
  <c r="E64" i="5"/>
  <c r="B64" i="5"/>
  <c r="AE64" i="5"/>
  <c r="B64" i="6"/>
  <c r="AD64" i="5"/>
  <c r="H64" i="5"/>
  <c r="A64" i="12"/>
  <c r="N64" i="5"/>
  <c r="D64" i="6" s="1"/>
  <c r="D64" i="5"/>
  <c r="B64" i="12" s="1"/>
  <c r="C65" i="5"/>
  <c r="N63" i="6"/>
  <c r="BL63" i="6"/>
  <c r="CC63" i="6"/>
  <c r="CB63" i="6"/>
  <c r="BZ63" i="6"/>
  <c r="BF63" i="6"/>
  <c r="BD63" i="6"/>
  <c r="BC63" i="6"/>
  <c r="BE63" i="6"/>
  <c r="BK63" i="6"/>
  <c r="BV63" i="6"/>
  <c r="CE63" i="6"/>
  <c r="BJ63" i="6"/>
  <c r="BX63" i="6"/>
  <c r="BI63" i="6"/>
  <c r="BH63" i="6"/>
  <c r="CA63" i="6"/>
  <c r="BY63" i="6"/>
  <c r="BW63" i="6"/>
  <c r="BG63" i="6"/>
  <c r="CD63" i="6"/>
  <c r="A209" i="8" l="1"/>
  <c r="C79" i="7"/>
  <c r="B78" i="7"/>
  <c r="B83" i="9"/>
  <c r="B81" i="10"/>
  <c r="N51" i="6"/>
  <c r="A52" i="6"/>
  <c r="BT38" i="6"/>
  <c r="BS38" i="6"/>
  <c r="BR38" i="6"/>
  <c r="BQ38" i="6"/>
  <c r="CM38" i="6"/>
  <c r="BP38" i="6"/>
  <c r="CL38" i="6"/>
  <c r="BO38" i="6"/>
  <c r="CK38" i="6"/>
  <c r="BN38" i="6"/>
  <c r="CJ38" i="6"/>
  <c r="BM38" i="6"/>
  <c r="CI38" i="6"/>
  <c r="CH38" i="6"/>
  <c r="CG38" i="6"/>
  <c r="CF38" i="6"/>
  <c r="AV63" i="6"/>
  <c r="BA63" i="6"/>
  <c r="AT63" i="6"/>
  <c r="AU63" i="6"/>
  <c r="AW63" i="6"/>
  <c r="AX63" i="6"/>
  <c r="AY63" i="6"/>
  <c r="AZ63" i="6"/>
  <c r="H64" i="6"/>
  <c r="T64" i="5" s="1"/>
  <c r="G64" i="12" s="1"/>
  <c r="AP63" i="6"/>
  <c r="AQ63" i="6"/>
  <c r="AS63" i="6"/>
  <c r="AL63" i="6"/>
  <c r="AN63" i="6"/>
  <c r="AK63" i="6"/>
  <c r="AO63" i="6"/>
  <c r="A64" i="6"/>
  <c r="N64" i="6" s="1"/>
  <c r="AR63" i="6"/>
  <c r="AJ63" i="6"/>
  <c r="BX38" i="6"/>
  <c r="BG38" i="6"/>
  <c r="BK38" i="6"/>
  <c r="CC38" i="6"/>
  <c r="BE38" i="6"/>
  <c r="BV38" i="6"/>
  <c r="BW38" i="6"/>
  <c r="BD38" i="6"/>
  <c r="BL38" i="6"/>
  <c r="BZ38" i="6"/>
  <c r="BH38" i="6"/>
  <c r="CA38" i="6"/>
  <c r="CD38" i="6"/>
  <c r="BI38" i="6"/>
  <c r="BC38" i="6"/>
  <c r="BY38" i="6"/>
  <c r="CE38" i="6"/>
  <c r="BF38" i="6"/>
  <c r="CB38" i="6"/>
  <c r="BJ38" i="6"/>
  <c r="M39" i="6"/>
  <c r="AE65" i="5"/>
  <c r="B65" i="5"/>
  <c r="AD65" i="5"/>
  <c r="D65" i="5"/>
  <c r="B65" i="12" s="1"/>
  <c r="C66" i="5"/>
  <c r="F65" i="5"/>
  <c r="K65" i="5"/>
  <c r="J65" i="5"/>
  <c r="H65" i="5"/>
  <c r="E65" i="5"/>
  <c r="G65" i="5"/>
  <c r="B65" i="6"/>
  <c r="A65" i="12"/>
  <c r="N65" i="5"/>
  <c r="D65" i="6" s="1"/>
  <c r="J64" i="12"/>
  <c r="L64" i="12"/>
  <c r="A212" i="8" l="1"/>
  <c r="B82" i="10"/>
  <c r="C80" i="7"/>
  <c r="B79" i="7"/>
  <c r="B84" i="9"/>
  <c r="N52" i="6"/>
  <c r="A53" i="6"/>
  <c r="M41" i="6"/>
  <c r="BE41" i="6" s="1"/>
  <c r="CH39" i="6"/>
  <c r="BQ39" i="6"/>
  <c r="CK39" i="6"/>
  <c r="CF39" i="6"/>
  <c r="CG39" i="6"/>
  <c r="BS39" i="6"/>
  <c r="BM39" i="6"/>
  <c r="BT39" i="6"/>
  <c r="CL39" i="6"/>
  <c r="BO39" i="6"/>
  <c r="BR39" i="6"/>
  <c r="CJ39" i="6"/>
  <c r="CM39" i="6"/>
  <c r="BP39" i="6"/>
  <c r="BN39" i="6"/>
  <c r="CI39" i="6"/>
  <c r="H65" i="6"/>
  <c r="T65" i="5" s="1"/>
  <c r="G65" i="12" s="1"/>
  <c r="A65" i="6"/>
  <c r="N65" i="6" s="1"/>
  <c r="BX39" i="6"/>
  <c r="BF39" i="6"/>
  <c r="CB39" i="6"/>
  <c r="BW39" i="6"/>
  <c r="BY39" i="6"/>
  <c r="BH39" i="6"/>
  <c r="CA39" i="6"/>
  <c r="BJ39" i="6"/>
  <c r="BK39" i="6"/>
  <c r="BV39" i="6"/>
  <c r="BE39" i="6"/>
  <c r="BZ39" i="6"/>
  <c r="BG39" i="6"/>
  <c r="BC39" i="6"/>
  <c r="CE39" i="6"/>
  <c r="BL39" i="6"/>
  <c r="BI39" i="6"/>
  <c r="BD39" i="6"/>
  <c r="CC39" i="6"/>
  <c r="CD39" i="6"/>
  <c r="K64" i="12"/>
  <c r="AD66" i="5"/>
  <c r="D66" i="5"/>
  <c r="B66" i="12" s="1"/>
  <c r="B66" i="6"/>
  <c r="C67" i="5"/>
  <c r="AE66" i="5"/>
  <c r="J66" i="5"/>
  <c r="A66" i="12"/>
  <c r="B66" i="5"/>
  <c r="F66" i="5"/>
  <c r="N66" i="5"/>
  <c r="D66" i="6" s="1"/>
  <c r="K66" i="5"/>
  <c r="H66" i="5"/>
  <c r="E66" i="5"/>
  <c r="G66" i="5"/>
  <c r="J65" i="12"/>
  <c r="L65" i="12"/>
  <c r="A215" i="8" l="1"/>
  <c r="M44" i="6"/>
  <c r="BT44" i="6" s="1"/>
  <c r="M42" i="6"/>
  <c r="CK42" i="6" s="1"/>
  <c r="M43" i="6"/>
  <c r="CL43" i="6" s="1"/>
  <c r="M46" i="6"/>
  <c r="BL46" i="6" s="1"/>
  <c r="C81" i="7"/>
  <c r="B80" i="7"/>
  <c r="B83" i="10"/>
  <c r="B85" i="9"/>
  <c r="M45" i="6"/>
  <c r="BX45" i="6" s="1"/>
  <c r="N53" i="6"/>
  <c r="A54" i="6"/>
  <c r="BL41" i="6"/>
  <c r="BD41" i="6"/>
  <c r="BI41" i="6"/>
  <c r="BY41" i="6"/>
  <c r="CC41" i="6"/>
  <c r="CE41" i="6"/>
  <c r="BW41" i="6"/>
  <c r="CA41" i="6"/>
  <c r="CB41" i="6"/>
  <c r="BK41" i="6"/>
  <c r="BV41" i="6"/>
  <c r="BZ41" i="6"/>
  <c r="BX41" i="6"/>
  <c r="BH41" i="6"/>
  <c r="BF41" i="6"/>
  <c r="CD41" i="6"/>
  <c r="BC41" i="6"/>
  <c r="BJ41" i="6"/>
  <c r="BG41" i="6"/>
  <c r="H66" i="6"/>
  <c r="T66" i="5" s="1"/>
  <c r="G66" i="12" s="1"/>
  <c r="BT41" i="6"/>
  <c r="BS41" i="6"/>
  <c r="BR41" i="6"/>
  <c r="BQ41" i="6"/>
  <c r="CM41" i="6"/>
  <c r="BP41" i="6"/>
  <c r="CL41" i="6"/>
  <c r="BO41" i="6"/>
  <c r="CK41" i="6"/>
  <c r="BN41" i="6"/>
  <c r="CJ41" i="6"/>
  <c r="BM41" i="6"/>
  <c r="CI41" i="6"/>
  <c r="CH41" i="6"/>
  <c r="CG41" i="6"/>
  <c r="CF41" i="6"/>
  <c r="A66" i="6"/>
  <c r="N66" i="6" s="1"/>
  <c r="K65" i="12"/>
  <c r="J66" i="12"/>
  <c r="L66" i="12"/>
  <c r="A67" i="12"/>
  <c r="B67" i="5"/>
  <c r="AD67" i="5"/>
  <c r="B67" i="6"/>
  <c r="C68" i="5"/>
  <c r="F67" i="5"/>
  <c r="N67" i="5"/>
  <c r="D67" i="6" s="1"/>
  <c r="K67" i="5"/>
  <c r="J67" i="5"/>
  <c r="H67" i="5"/>
  <c r="G67" i="5"/>
  <c r="E67" i="5"/>
  <c r="AE67" i="5"/>
  <c r="D67" i="5"/>
  <c r="B67" i="12" s="1"/>
  <c r="A218" i="8" l="1"/>
  <c r="CG44" i="6"/>
  <c r="CL44" i="6"/>
  <c r="CI44" i="6"/>
  <c r="BY44" i="6"/>
  <c r="BO44" i="6"/>
  <c r="BE44" i="6"/>
  <c r="BW44" i="6"/>
  <c r="BF44" i="6"/>
  <c r="BQ44" i="6"/>
  <c r="BJ44" i="6"/>
  <c r="BR44" i="6"/>
  <c r="BN44" i="6"/>
  <c r="BG44" i="6"/>
  <c r="BH44" i="6"/>
  <c r="CM44" i="6"/>
  <c r="CC44" i="6"/>
  <c r="BC44" i="6"/>
  <c r="BV44" i="6"/>
  <c r="BS44" i="6"/>
  <c r="BD44" i="6"/>
  <c r="BZ44" i="6"/>
  <c r="BI44" i="6"/>
  <c r="CK44" i="6"/>
  <c r="BX44" i="6"/>
  <c r="BL44" i="6"/>
  <c r="BM44" i="6"/>
  <c r="CA44" i="6"/>
  <c r="CE44" i="6"/>
  <c r="CF44" i="6"/>
  <c r="BK44" i="6"/>
  <c r="CJ44" i="6"/>
  <c r="CH44" i="6"/>
  <c r="CD44" i="6"/>
  <c r="BP44" i="6"/>
  <c r="CB44" i="6"/>
  <c r="CD43" i="6"/>
  <c r="BZ43" i="6"/>
  <c r="BI43" i="6"/>
  <c r="BD43" i="6"/>
  <c r="CC43" i="6"/>
  <c r="CA43" i="6"/>
  <c r="BK43" i="6"/>
  <c r="BW43" i="6"/>
  <c r="BL43" i="6"/>
  <c r="BF43" i="6"/>
  <c r="CE43" i="6"/>
  <c r="BY43" i="6"/>
  <c r="BC43" i="6"/>
  <c r="BH43" i="6"/>
  <c r="CB43" i="6"/>
  <c r="BG43" i="6"/>
  <c r="BX43" i="6"/>
  <c r="BE43" i="6"/>
  <c r="BJ43" i="6"/>
  <c r="CH42" i="6"/>
  <c r="BV42" i="6"/>
  <c r="BO42" i="6"/>
  <c r="CM43" i="6"/>
  <c r="CC42" i="6"/>
  <c r="BN42" i="6"/>
  <c r="BL42" i="6"/>
  <c r="CG43" i="6"/>
  <c r="BW46" i="6"/>
  <c r="BR46" i="6"/>
  <c r="BG42" i="6"/>
  <c r="BJ42" i="6"/>
  <c r="BY46" i="6"/>
  <c r="BJ46" i="6"/>
  <c r="CL42" i="6"/>
  <c r="CI46" i="6"/>
  <c r="CF46" i="6"/>
  <c r="BF42" i="6"/>
  <c r="BN46" i="6"/>
  <c r="BI42" i="6"/>
  <c r="BG46" i="6"/>
  <c r="BO46" i="6"/>
  <c r="BH42" i="6"/>
  <c r="BQ42" i="6"/>
  <c r="BD42" i="6"/>
  <c r="BY42" i="6"/>
  <c r="CD42" i="6"/>
  <c r="BK46" i="6"/>
  <c r="BC46" i="6"/>
  <c r="BR42" i="6"/>
  <c r="BD46" i="6"/>
  <c r="BP46" i="6"/>
  <c r="BH46" i="6"/>
  <c r="CM42" i="6"/>
  <c r="CE42" i="6"/>
  <c r="CA42" i="6"/>
  <c r="BZ46" i="6"/>
  <c r="BP42" i="6"/>
  <c r="BE46" i="6"/>
  <c r="CG46" i="6"/>
  <c r="BT43" i="6"/>
  <c r="BX46" i="6"/>
  <c r="CM46" i="6"/>
  <c r="CA46" i="6"/>
  <c r="BC42" i="6"/>
  <c r="BK42" i="6"/>
  <c r="CD46" i="6"/>
  <c r="CG42" i="6"/>
  <c r="BS42" i="6"/>
  <c r="BM46" i="6"/>
  <c r="BF46" i="6"/>
  <c r="BZ42" i="6"/>
  <c r="CB46" i="6"/>
  <c r="CF42" i="6"/>
  <c r="BT42" i="6"/>
  <c r="BQ46" i="6"/>
  <c r="BW42" i="6"/>
  <c r="BE42" i="6"/>
  <c r="CC46" i="6"/>
  <c r="CI42" i="6"/>
  <c r="BM42" i="6"/>
  <c r="BS46" i="6"/>
  <c r="BV46" i="6"/>
  <c r="CJ42" i="6"/>
  <c r="BX42" i="6"/>
  <c r="BT46" i="6"/>
  <c r="CB42" i="6"/>
  <c r="BI46" i="6"/>
  <c r="CH46" i="6"/>
  <c r="CK46" i="6"/>
  <c r="CE46" i="6"/>
  <c r="CH43" i="6"/>
  <c r="BN43" i="6"/>
  <c r="BM43" i="6"/>
  <c r="BO43" i="6"/>
  <c r="CI43" i="6"/>
  <c r="BP43" i="6"/>
  <c r="BQ43" i="6"/>
  <c r="CJ43" i="6"/>
  <c r="BS43" i="6"/>
  <c r="BR43" i="6"/>
  <c r="CF43" i="6"/>
  <c r="CJ46" i="6"/>
  <c r="CK43" i="6"/>
  <c r="BV43" i="6"/>
  <c r="CL46" i="6"/>
  <c r="BW45" i="6"/>
  <c r="BG45" i="6"/>
  <c r="BV45" i="6"/>
  <c r="BQ45" i="6"/>
  <c r="CM45" i="6"/>
  <c r="CH45" i="6"/>
  <c r="BY45" i="6"/>
  <c r="BO45" i="6"/>
  <c r="CC45" i="6"/>
  <c r="BR45" i="6"/>
  <c r="CD45" i="6"/>
  <c r="M48" i="6"/>
  <c r="BW48" i="6" s="1"/>
  <c r="BN45" i="6"/>
  <c r="CA45" i="6"/>
  <c r="BP45" i="6"/>
  <c r="BL45" i="6"/>
  <c r="CF45" i="6"/>
  <c r="BS45" i="6"/>
  <c r="BK45" i="6"/>
  <c r="CI45" i="6"/>
  <c r="BT45" i="6"/>
  <c r="BH45" i="6"/>
  <c r="CJ45" i="6"/>
  <c r="BM45" i="6"/>
  <c r="CB45" i="6"/>
  <c r="CK45" i="6"/>
  <c r="CG45" i="6"/>
  <c r="BC45" i="6"/>
  <c r="CL45" i="6"/>
  <c r="BF45" i="6"/>
  <c r="BJ45" i="6"/>
  <c r="BI45" i="6"/>
  <c r="B84" i="10"/>
  <c r="BZ45" i="6"/>
  <c r="CE45" i="6"/>
  <c r="B86" i="9"/>
  <c r="C82" i="7"/>
  <c r="B81" i="7"/>
  <c r="BD45" i="6"/>
  <c r="BE45" i="6"/>
  <c r="N54" i="6"/>
  <c r="A55" i="6"/>
  <c r="H67" i="6"/>
  <c r="T67" i="5" s="1"/>
  <c r="G67" i="12" s="1"/>
  <c r="K66" i="12"/>
  <c r="A67" i="6"/>
  <c r="N67" i="6" s="1"/>
  <c r="L67" i="12"/>
  <c r="J67" i="12"/>
  <c r="N68" i="5"/>
  <c r="D68" i="6" s="1"/>
  <c r="A68" i="12"/>
  <c r="B68" i="6"/>
  <c r="F68" i="5"/>
  <c r="AD68" i="5"/>
  <c r="E68" i="5"/>
  <c r="AE68" i="5"/>
  <c r="C69" i="5"/>
  <c r="J68" i="5"/>
  <c r="D68" i="5"/>
  <c r="B68" i="12" s="1"/>
  <c r="H68" i="5"/>
  <c r="G68" i="5"/>
  <c r="K68" i="5"/>
  <c r="B68" i="5"/>
  <c r="A221" i="8" l="1"/>
  <c r="BO48" i="6"/>
  <c r="BQ48" i="6"/>
  <c r="M53" i="6"/>
  <c r="CF53" i="6" s="1"/>
  <c r="BR48" i="6"/>
  <c r="CI48" i="6"/>
  <c r="BC48" i="6"/>
  <c r="BN48" i="6"/>
  <c r="CK48" i="6"/>
  <c r="BS48" i="6"/>
  <c r="CJ48" i="6"/>
  <c r="CM48" i="6"/>
  <c r="CF48" i="6"/>
  <c r="BT48" i="6"/>
  <c r="BH48" i="6"/>
  <c r="CH48" i="6"/>
  <c r="BL48" i="6"/>
  <c r="CG48" i="6"/>
  <c r="BM48" i="6"/>
  <c r="BY48" i="6"/>
  <c r="M52" i="6"/>
  <c r="CM52" i="6" s="1"/>
  <c r="BK48" i="6"/>
  <c r="BE48" i="6"/>
  <c r="CL48" i="6"/>
  <c r="BP48" i="6"/>
  <c r="BZ48" i="6"/>
  <c r="BI48" i="6"/>
  <c r="CA48" i="6"/>
  <c r="BG48" i="6"/>
  <c r="BD48" i="6"/>
  <c r="M50" i="6"/>
  <c r="CB48" i="6"/>
  <c r="BJ48" i="6"/>
  <c r="BV48" i="6"/>
  <c r="CC48" i="6"/>
  <c r="CE48" i="6"/>
  <c r="BX48" i="6"/>
  <c r="M51" i="6"/>
  <c r="M49" i="6"/>
  <c r="BF48" i="6"/>
  <c r="CD48" i="6"/>
  <c r="M54" i="6"/>
  <c r="C83" i="7"/>
  <c r="B82" i="7"/>
  <c r="B85" i="10"/>
  <c r="B87" i="9"/>
  <c r="N55" i="6"/>
  <c r="A56" i="6"/>
  <c r="M55" i="6"/>
  <c r="H68" i="6"/>
  <c r="T68" i="5" s="1"/>
  <c r="G68" i="12" s="1"/>
  <c r="A68" i="6"/>
  <c r="N68" i="6" s="1"/>
  <c r="L68" i="12"/>
  <c r="J68" i="12"/>
  <c r="D69" i="5"/>
  <c r="B69" i="12" s="1"/>
  <c r="F69" i="5"/>
  <c r="G69" i="5"/>
  <c r="B69" i="5"/>
  <c r="A69" i="12"/>
  <c r="E69" i="5"/>
  <c r="AD69" i="5"/>
  <c r="AE69" i="5"/>
  <c r="H69" i="5"/>
  <c r="B69" i="6"/>
  <c r="C70" i="5"/>
  <c r="N69" i="5"/>
  <c r="D69" i="6" s="1"/>
  <c r="K69" i="5"/>
  <c r="J69" i="5"/>
  <c r="K67" i="12"/>
  <c r="A224" i="8" l="1"/>
  <c r="BK53" i="6"/>
  <c r="CI53" i="6"/>
  <c r="BE53" i="6"/>
  <c r="BZ53" i="6"/>
  <c r="CH53" i="6"/>
  <c r="CM53" i="6"/>
  <c r="BF53" i="6"/>
  <c r="CD53" i="6"/>
  <c r="BN53" i="6"/>
  <c r="CE53" i="6"/>
  <c r="BS53" i="6"/>
  <c r="BL53" i="6"/>
  <c r="BQ53" i="6"/>
  <c r="CA53" i="6"/>
  <c r="CK53" i="6"/>
  <c r="CB53" i="6"/>
  <c r="CL53" i="6"/>
  <c r="CJ53" i="6"/>
  <c r="BY53" i="6"/>
  <c r="BD53" i="6"/>
  <c r="BJ53" i="6"/>
  <c r="BW53" i="6"/>
  <c r="CG53" i="6"/>
  <c r="BV53" i="6"/>
  <c r="BP53" i="6"/>
  <c r="BT53" i="6"/>
  <c r="BX53" i="6"/>
  <c r="BH53" i="6"/>
  <c r="CC53" i="6"/>
  <c r="BM53" i="6"/>
  <c r="BG53" i="6"/>
  <c r="BR53" i="6"/>
  <c r="BO53" i="6"/>
  <c r="BI53" i="6"/>
  <c r="CI52" i="6"/>
  <c r="BC53" i="6"/>
  <c r="BT52" i="6"/>
  <c r="BI52" i="6"/>
  <c r="CE52" i="6"/>
  <c r="BZ52" i="6"/>
  <c r="BD52" i="6"/>
  <c r="CF52" i="6"/>
  <c r="BQ52" i="6"/>
  <c r="BY52" i="6"/>
  <c r="CK52" i="6"/>
  <c r="BV52" i="6"/>
  <c r="BE52" i="6"/>
  <c r="BX52" i="6"/>
  <c r="CL52" i="6"/>
  <c r="BO52" i="6"/>
  <c r="BP52" i="6"/>
  <c r="BC52" i="6"/>
  <c r="CC52" i="6"/>
  <c r="CA52" i="6"/>
  <c r="BM52" i="6"/>
  <c r="CJ52" i="6"/>
  <c r="CH52" i="6"/>
  <c r="BG52" i="6"/>
  <c r="CD52" i="6"/>
  <c r="BF52" i="6"/>
  <c r="BL52" i="6"/>
  <c r="CB52" i="6"/>
  <c r="BK52" i="6"/>
  <c r="BN52" i="6"/>
  <c r="BS52" i="6"/>
  <c r="CG52" i="6"/>
  <c r="BH52" i="6"/>
  <c r="BR52" i="6"/>
  <c r="BW52" i="6"/>
  <c r="BJ52" i="6"/>
  <c r="BS49" i="6"/>
  <c r="BJ49" i="6"/>
  <c r="BK49" i="6"/>
  <c r="BW49" i="6"/>
  <c r="BR49" i="6"/>
  <c r="BF49" i="6"/>
  <c r="CA49" i="6"/>
  <c r="BL49" i="6"/>
  <c r="CM49" i="6"/>
  <c r="BE49" i="6"/>
  <c r="BH49" i="6"/>
  <c r="CI49" i="6"/>
  <c r="CL49" i="6"/>
  <c r="BZ49" i="6"/>
  <c r="BO49" i="6"/>
  <c r="CC49" i="6"/>
  <c r="BY49" i="6"/>
  <c r="BM49" i="6"/>
  <c r="BX49" i="6"/>
  <c r="BN49" i="6"/>
  <c r="BG49" i="6"/>
  <c r="BC49" i="6"/>
  <c r="CH49" i="6"/>
  <c r="BV49" i="6"/>
  <c r="BP49" i="6"/>
  <c r="BD49" i="6"/>
  <c r="CF49" i="6"/>
  <c r="CK49" i="6"/>
  <c r="BI49" i="6"/>
  <c r="CJ49" i="6"/>
  <c r="BT49" i="6"/>
  <c r="CG49" i="6"/>
  <c r="CE49" i="6"/>
  <c r="CB49" i="6"/>
  <c r="BQ49" i="6"/>
  <c r="CD49" i="6"/>
  <c r="BP51" i="6"/>
  <c r="CM51" i="6"/>
  <c r="BV51" i="6"/>
  <c r="BI51" i="6"/>
  <c r="CK51" i="6"/>
  <c r="CL51" i="6"/>
  <c r="BJ51" i="6"/>
  <c r="BZ51" i="6"/>
  <c r="CJ51" i="6"/>
  <c r="BL51" i="6"/>
  <c r="BS51" i="6"/>
  <c r="BQ51" i="6"/>
  <c r="BX51" i="6"/>
  <c r="BH51" i="6"/>
  <c r="BN51" i="6"/>
  <c r="BF51" i="6"/>
  <c r="CI51" i="6"/>
  <c r="BC51" i="6"/>
  <c r="BM51" i="6"/>
  <c r="BG51" i="6"/>
  <c r="CH51" i="6"/>
  <c r="CA51" i="6"/>
  <c r="BY51" i="6"/>
  <c r="BR51" i="6"/>
  <c r="CG51" i="6"/>
  <c r="BT51" i="6"/>
  <c r="CD51" i="6"/>
  <c r="BW51" i="6"/>
  <c r="BK51" i="6"/>
  <c r="CB51" i="6"/>
  <c r="CF51" i="6"/>
  <c r="BE51" i="6"/>
  <c r="BD51" i="6"/>
  <c r="BO51" i="6"/>
  <c r="CE51" i="6"/>
  <c r="CC51" i="6"/>
  <c r="CK50" i="6"/>
  <c r="BZ50" i="6"/>
  <c r="BI50" i="6"/>
  <c r="BO50" i="6"/>
  <c r="CC50" i="6"/>
  <c r="BH50" i="6"/>
  <c r="CI50" i="6"/>
  <c r="BF50" i="6"/>
  <c r="BW50" i="6"/>
  <c r="BC50" i="6"/>
  <c r="BS50" i="6"/>
  <c r="BN50" i="6"/>
  <c r="CE50" i="6"/>
  <c r="CG50" i="6"/>
  <c r="CH50" i="6"/>
  <c r="CD50" i="6"/>
  <c r="CA50" i="6"/>
  <c r="BR50" i="6"/>
  <c r="CF50" i="6"/>
  <c r="CB50" i="6"/>
  <c r="BK50" i="6"/>
  <c r="CM50" i="6"/>
  <c r="BT50" i="6"/>
  <c r="BE50" i="6"/>
  <c r="BG50" i="6"/>
  <c r="BM50" i="6"/>
  <c r="CL50" i="6"/>
  <c r="BQ50" i="6"/>
  <c r="BV50" i="6"/>
  <c r="BD50" i="6"/>
  <c r="BY50" i="6"/>
  <c r="BX50" i="6"/>
  <c r="BL50" i="6"/>
  <c r="BP50" i="6"/>
  <c r="BJ50" i="6"/>
  <c r="CJ50" i="6"/>
  <c r="BP54" i="6"/>
  <c r="BR54" i="6"/>
  <c r="BY54" i="6"/>
  <c r="CA54" i="6"/>
  <c r="BL54" i="6"/>
  <c r="BO54" i="6"/>
  <c r="CJ54" i="6"/>
  <c r="BV54" i="6"/>
  <c r="CD54" i="6"/>
  <c r="BI54" i="6"/>
  <c r="BX54" i="6"/>
  <c r="CI54" i="6"/>
  <c r="BF54" i="6"/>
  <c r="BM54" i="6"/>
  <c r="BJ54" i="6"/>
  <c r="CM54" i="6"/>
  <c r="CH54" i="6"/>
  <c r="BT54" i="6"/>
  <c r="BE54" i="6"/>
  <c r="CG54" i="6"/>
  <c r="BG54" i="6"/>
  <c r="BW54" i="6"/>
  <c r="CB54" i="6"/>
  <c r="CF54" i="6"/>
  <c r="CC54" i="6"/>
  <c r="CE54" i="6"/>
  <c r="BS54" i="6"/>
  <c r="BD54" i="6"/>
  <c r="BQ54" i="6"/>
  <c r="CL54" i="6"/>
  <c r="BK54" i="6"/>
  <c r="BH54" i="6"/>
  <c r="BN54" i="6"/>
  <c r="CK54" i="6"/>
  <c r="BC54" i="6"/>
  <c r="BZ54" i="6"/>
  <c r="B86" i="10"/>
  <c r="B88" i="9"/>
  <c r="C84" i="7"/>
  <c r="B83" i="7"/>
  <c r="BT55" i="6"/>
  <c r="CI55" i="6"/>
  <c r="BF55" i="6"/>
  <c r="CB55" i="6"/>
  <c r="BS55" i="6"/>
  <c r="CH55" i="6"/>
  <c r="BD55" i="6"/>
  <c r="CA55" i="6"/>
  <c r="BK55" i="6"/>
  <c r="BR55" i="6"/>
  <c r="CG55" i="6"/>
  <c r="BX55" i="6"/>
  <c r="BV55" i="6"/>
  <c r="BQ55" i="6"/>
  <c r="BW55" i="6"/>
  <c r="BZ55" i="6"/>
  <c r="CM55" i="6"/>
  <c r="CC55" i="6"/>
  <c r="BL55" i="6"/>
  <c r="BM55" i="6"/>
  <c r="BP55" i="6"/>
  <c r="BI55" i="6"/>
  <c r="BC55" i="6"/>
  <c r="CL55" i="6"/>
  <c r="CD55" i="6"/>
  <c r="BE55" i="6"/>
  <c r="BO55" i="6"/>
  <c r="BJ55" i="6"/>
  <c r="CE55" i="6"/>
  <c r="CK55" i="6"/>
  <c r="BH55" i="6"/>
  <c r="CF55" i="6"/>
  <c r="BN55" i="6"/>
  <c r="BG55" i="6"/>
  <c r="CJ55" i="6"/>
  <c r="BY55" i="6"/>
  <c r="N56" i="6"/>
  <c r="M56" i="6"/>
  <c r="H69" i="6"/>
  <c r="T69" i="5" s="1"/>
  <c r="G69" i="12" s="1"/>
  <c r="A69" i="6"/>
  <c r="K68" i="12"/>
  <c r="L69" i="12"/>
  <c r="J69" i="12"/>
  <c r="F70" i="5"/>
  <c r="D70" i="5"/>
  <c r="B70" i="12" s="1"/>
  <c r="G70" i="5"/>
  <c r="AD70" i="5"/>
  <c r="N70" i="5"/>
  <c r="D70" i="6" s="1"/>
  <c r="K70" i="5"/>
  <c r="B70" i="5"/>
  <c r="C71" i="5"/>
  <c r="J70" i="5"/>
  <c r="H70" i="5"/>
  <c r="A70" i="12"/>
  <c r="E70" i="5"/>
  <c r="B70" i="6"/>
  <c r="AE70" i="5"/>
  <c r="A227" i="8" l="1"/>
  <c r="B84" i="7"/>
  <c r="C85" i="7"/>
  <c r="B87" i="10"/>
  <c r="B89" i="9"/>
  <c r="BO56" i="6"/>
  <c r="BV56" i="6"/>
  <c r="BF56" i="6"/>
  <c r="CL56" i="6"/>
  <c r="BE56" i="6"/>
  <c r="CB56" i="6"/>
  <c r="BI56" i="6"/>
  <c r="CH56" i="6"/>
  <c r="CK56" i="6"/>
  <c r="CA56" i="6"/>
  <c r="CE56" i="6"/>
  <c r="BX56" i="6"/>
  <c r="BJ56" i="6"/>
  <c r="BH56" i="6"/>
  <c r="BQ56" i="6"/>
  <c r="BP56" i="6"/>
  <c r="CJ56" i="6"/>
  <c r="BY56" i="6"/>
  <c r="BW56" i="6"/>
  <c r="CF56" i="6"/>
  <c r="CI56" i="6"/>
  <c r="BL56" i="6"/>
  <c r="CD56" i="6"/>
  <c r="BD56" i="6"/>
  <c r="CG56" i="6"/>
  <c r="BN56" i="6"/>
  <c r="BC56" i="6"/>
  <c r="BG56" i="6"/>
  <c r="BM56" i="6"/>
  <c r="BR56" i="6"/>
  <c r="BK56" i="6"/>
  <c r="BT56" i="6"/>
  <c r="BZ56" i="6"/>
  <c r="BS56" i="6"/>
  <c r="CM56" i="6"/>
  <c r="CC56" i="6"/>
  <c r="H70" i="6"/>
  <c r="T70" i="5" s="1"/>
  <c r="G70" i="12" s="1"/>
  <c r="N69" i="6"/>
  <c r="A70" i="6"/>
  <c r="N70" i="6" s="1"/>
  <c r="N71" i="5"/>
  <c r="D71" i="6" s="1"/>
  <c r="H71" i="5"/>
  <c r="AE71" i="5"/>
  <c r="J71" i="5"/>
  <c r="E71" i="5"/>
  <c r="G71" i="5"/>
  <c r="F71" i="5"/>
  <c r="B71" i="5"/>
  <c r="D71" i="5"/>
  <c r="B71" i="12" s="1"/>
  <c r="AD71" i="5"/>
  <c r="A71" i="12"/>
  <c r="K71" i="5"/>
  <c r="B71" i="6"/>
  <c r="C72" i="5"/>
  <c r="J70" i="12"/>
  <c r="L70" i="12"/>
  <c r="K69" i="12"/>
  <c r="A230" i="8" l="1"/>
  <c r="B88" i="10"/>
  <c r="C86" i="7"/>
  <c r="B85" i="7"/>
  <c r="B90" i="9"/>
  <c r="M58" i="6"/>
  <c r="H71" i="6"/>
  <c r="T71" i="5" s="1"/>
  <c r="G71" i="12" s="1"/>
  <c r="K70" i="12"/>
  <c r="A71" i="6"/>
  <c r="J71" i="12"/>
  <c r="L71" i="12"/>
  <c r="B72" i="6"/>
  <c r="J72" i="5"/>
  <c r="F72" i="5"/>
  <c r="AD72" i="5"/>
  <c r="D72" i="5"/>
  <c r="B72" i="12" s="1"/>
  <c r="B72" i="5"/>
  <c r="AE72" i="5"/>
  <c r="C73" i="5"/>
  <c r="N72" i="5"/>
  <c r="D72" i="6" s="1"/>
  <c r="E72" i="5"/>
  <c r="H72" i="5"/>
  <c r="G72" i="5"/>
  <c r="K72" i="5"/>
  <c r="A72" i="12"/>
  <c r="A233" i="8" l="1"/>
  <c r="B91" i="9"/>
  <c r="C87" i="7"/>
  <c r="B86" i="7"/>
  <c r="B89" i="10"/>
  <c r="M60" i="6"/>
  <c r="M61" i="6"/>
  <c r="M59" i="6"/>
  <c r="CA58" i="6"/>
  <c r="CD58" i="6"/>
  <c r="BR58" i="6"/>
  <c r="CG58" i="6"/>
  <c r="BT58" i="6"/>
  <c r="CC58" i="6"/>
  <c r="BQ58" i="6"/>
  <c r="CF58" i="6"/>
  <c r="BX58" i="6"/>
  <c r="CM58" i="6"/>
  <c r="BC58" i="6"/>
  <c r="BI58" i="6"/>
  <c r="BP58" i="6"/>
  <c r="BZ58" i="6"/>
  <c r="BL58" i="6"/>
  <c r="CL58" i="6"/>
  <c r="BF58" i="6"/>
  <c r="BW58" i="6"/>
  <c r="BO58" i="6"/>
  <c r="CB58" i="6"/>
  <c r="BY58" i="6"/>
  <c r="CK58" i="6"/>
  <c r="BK58" i="6"/>
  <c r="CE58" i="6"/>
  <c r="BN58" i="6"/>
  <c r="BV58" i="6"/>
  <c r="BG58" i="6"/>
  <c r="CJ58" i="6"/>
  <c r="BE58" i="6"/>
  <c r="BH58" i="6"/>
  <c r="BD58" i="6"/>
  <c r="BM58" i="6"/>
  <c r="BJ58" i="6"/>
  <c r="BS58" i="6"/>
  <c r="CH58" i="6"/>
  <c r="CI58" i="6"/>
  <c r="M62" i="6"/>
  <c r="H72" i="6"/>
  <c r="T72" i="5" s="1"/>
  <c r="G72" i="12" s="1"/>
  <c r="N71" i="6"/>
  <c r="A72" i="6"/>
  <c r="K71" i="12"/>
  <c r="E73" i="5"/>
  <c r="J73" i="5"/>
  <c r="AE73" i="5"/>
  <c r="D73" i="5"/>
  <c r="B73" i="12" s="1"/>
  <c r="B73" i="5"/>
  <c r="C74" i="5" s="1"/>
  <c r="F73" i="5"/>
  <c r="AD73" i="5"/>
  <c r="A73" i="12"/>
  <c r="N73" i="5"/>
  <c r="D73" i="6" s="1"/>
  <c r="H73" i="5"/>
  <c r="G73" i="5"/>
  <c r="B73" i="6"/>
  <c r="K73" i="5"/>
  <c r="L72" i="12"/>
  <c r="J72" i="12"/>
  <c r="E74" i="12"/>
  <c r="F74" i="6"/>
  <c r="A236" i="8" l="1"/>
  <c r="M64" i="6"/>
  <c r="CH64" i="6" s="1"/>
  <c r="C88" i="7"/>
  <c r="B87" i="7"/>
  <c r="B90" i="10"/>
  <c r="B92" i="9"/>
  <c r="A73" i="6"/>
  <c r="N73" i="6" s="1"/>
  <c r="BT62" i="6"/>
  <c r="CH62" i="6"/>
  <c r="BE62" i="6"/>
  <c r="BY62" i="6"/>
  <c r="BD62" i="6"/>
  <c r="BZ62" i="6"/>
  <c r="BS62" i="6"/>
  <c r="CF62" i="6"/>
  <c r="CA62" i="6"/>
  <c r="CB62" i="6"/>
  <c r="BG62" i="6"/>
  <c r="BR62" i="6"/>
  <c r="CM62" i="6"/>
  <c r="BW62" i="6"/>
  <c r="BI62" i="6"/>
  <c r="BQ62" i="6"/>
  <c r="BX62" i="6"/>
  <c r="CI62" i="6"/>
  <c r="CL62" i="6"/>
  <c r="BL62" i="6"/>
  <c r="CE62" i="6"/>
  <c r="BP62" i="6"/>
  <c r="CK62" i="6"/>
  <c r="BV62" i="6"/>
  <c r="CJ62" i="6"/>
  <c r="CD62" i="6"/>
  <c r="BJ62" i="6"/>
  <c r="BO62" i="6"/>
  <c r="CC62" i="6"/>
  <c r="BF62" i="6"/>
  <c r="CG62" i="6"/>
  <c r="BM62" i="6"/>
  <c r="BN62" i="6"/>
  <c r="BK62" i="6"/>
  <c r="BH62" i="6"/>
  <c r="BC62" i="6"/>
  <c r="CL59" i="6"/>
  <c r="CB59" i="6"/>
  <c r="BG59" i="6"/>
  <c r="CK59" i="6"/>
  <c r="CA59" i="6"/>
  <c r="BZ59" i="6"/>
  <c r="BP59" i="6"/>
  <c r="CC59" i="6"/>
  <c r="BE59" i="6"/>
  <c r="BW59" i="6"/>
  <c r="CH59" i="6"/>
  <c r="CJ59" i="6"/>
  <c r="BY59" i="6"/>
  <c r="BH59" i="6"/>
  <c r="BV59" i="6"/>
  <c r="CM59" i="6"/>
  <c r="CF59" i="6"/>
  <c r="BO59" i="6"/>
  <c r="BD59" i="6"/>
  <c r="BJ59" i="6"/>
  <c r="CG59" i="6"/>
  <c r="CI59" i="6"/>
  <c r="BI59" i="6"/>
  <c r="BK59" i="6"/>
  <c r="BM59" i="6"/>
  <c r="BN59" i="6"/>
  <c r="BC59" i="6"/>
  <c r="BF59" i="6"/>
  <c r="BT59" i="6"/>
  <c r="BS59" i="6"/>
  <c r="BX59" i="6"/>
  <c r="BR59" i="6"/>
  <c r="BL59" i="6"/>
  <c r="BQ59" i="6"/>
  <c r="CD59" i="6"/>
  <c r="CE59" i="6"/>
  <c r="CL61" i="6"/>
  <c r="BH61" i="6"/>
  <c r="BC61" i="6"/>
  <c r="BO61" i="6"/>
  <c r="BY61" i="6"/>
  <c r="CK61" i="6"/>
  <c r="BN61" i="6"/>
  <c r="BL61" i="6"/>
  <c r="CJ61" i="6"/>
  <c r="BJ61" i="6"/>
  <c r="BE61" i="6"/>
  <c r="BK61" i="6"/>
  <c r="BM61" i="6"/>
  <c r="CB61" i="6"/>
  <c r="BG61" i="6"/>
  <c r="BT61" i="6"/>
  <c r="CI61" i="6"/>
  <c r="BX61" i="6"/>
  <c r="BD61" i="6"/>
  <c r="BS61" i="6"/>
  <c r="CH61" i="6"/>
  <c r="BW61" i="6"/>
  <c r="CE61" i="6"/>
  <c r="BR61" i="6"/>
  <c r="CG61" i="6"/>
  <c r="CC61" i="6"/>
  <c r="BF61" i="6"/>
  <c r="CM61" i="6"/>
  <c r="CD61" i="6"/>
  <c r="BQ61" i="6"/>
  <c r="CF61" i="6"/>
  <c r="BI61" i="6"/>
  <c r="BZ61" i="6"/>
  <c r="BP61" i="6"/>
  <c r="BV61" i="6"/>
  <c r="CA61" i="6"/>
  <c r="BS60" i="6"/>
  <c r="BX60" i="6"/>
  <c r="CC60" i="6"/>
  <c r="CB60" i="6"/>
  <c r="CM60" i="6"/>
  <c r="BD60" i="6"/>
  <c r="BW60" i="6"/>
  <c r="BC60" i="6"/>
  <c r="BH60" i="6"/>
  <c r="BQ60" i="6"/>
  <c r="CL60" i="6"/>
  <c r="BP60" i="6"/>
  <c r="BR60" i="6"/>
  <c r="BZ60" i="6"/>
  <c r="BF60" i="6"/>
  <c r="BO60" i="6"/>
  <c r="CJ60" i="6"/>
  <c r="BV60" i="6"/>
  <c r="BN60" i="6"/>
  <c r="CK60" i="6"/>
  <c r="CD60" i="6"/>
  <c r="CI60" i="6"/>
  <c r="BJ60" i="6"/>
  <c r="BM60" i="6"/>
  <c r="CE60" i="6"/>
  <c r="CH60" i="6"/>
  <c r="BI60" i="6"/>
  <c r="BG60" i="6"/>
  <c r="BT60" i="6"/>
  <c r="CA60" i="6"/>
  <c r="BK60" i="6"/>
  <c r="CG60" i="6"/>
  <c r="BE60" i="6"/>
  <c r="CF60" i="6"/>
  <c r="BY60" i="6"/>
  <c r="BL60" i="6"/>
  <c r="H73" i="6"/>
  <c r="T73" i="5" s="1"/>
  <c r="G73" i="12" s="1"/>
  <c r="N72" i="6"/>
  <c r="K72" i="12"/>
  <c r="AD74" i="5"/>
  <c r="N74" i="5"/>
  <c r="D74" i="6" s="1"/>
  <c r="W74" i="5"/>
  <c r="H74" i="12" s="1"/>
  <c r="AE74" i="5"/>
  <c r="B74" i="6"/>
  <c r="F74" i="5"/>
  <c r="E74" i="5"/>
  <c r="C75" i="5"/>
  <c r="G74" i="5"/>
  <c r="A74" i="12"/>
  <c r="B74" i="5"/>
  <c r="H74" i="5"/>
  <c r="L73" i="12"/>
  <c r="J73" i="12"/>
  <c r="A239" i="8" l="1"/>
  <c r="M72" i="6"/>
  <c r="CJ72" i="6" s="1"/>
  <c r="M69" i="6"/>
  <c r="CH69" i="6" s="1"/>
  <c r="M71" i="6"/>
  <c r="CJ71" i="6" s="1"/>
  <c r="M68" i="6"/>
  <c r="BH68" i="6" s="1"/>
  <c r="M65" i="6"/>
  <c r="BY65" i="6" s="1"/>
  <c r="M67" i="6"/>
  <c r="CL67" i="6" s="1"/>
  <c r="M66" i="6"/>
  <c r="CF66" i="6" s="1"/>
  <c r="M70" i="6"/>
  <c r="BH70" i="6" s="1"/>
  <c r="BO64" i="6"/>
  <c r="CA64" i="6"/>
  <c r="CL64" i="6"/>
  <c r="CJ64" i="6"/>
  <c r="BW64" i="6"/>
  <c r="CM64" i="6"/>
  <c r="BH64" i="6"/>
  <c r="CC64" i="6"/>
  <c r="BR64" i="6"/>
  <c r="BF64" i="6"/>
  <c r="BS64" i="6"/>
  <c r="CK64" i="6"/>
  <c r="BI64" i="6"/>
  <c r="CI64" i="6"/>
  <c r="BL64" i="6"/>
  <c r="BY64" i="6"/>
  <c r="BT64" i="6"/>
  <c r="CD64" i="6"/>
  <c r="CE64" i="6"/>
  <c r="BP64" i="6"/>
  <c r="BK64" i="6"/>
  <c r="CB64" i="6"/>
  <c r="BQ64" i="6"/>
  <c r="BC64" i="6"/>
  <c r="BM64" i="6"/>
  <c r="BE64" i="6"/>
  <c r="BV64" i="6"/>
  <c r="BG64" i="6"/>
  <c r="CF64" i="6"/>
  <c r="BJ64" i="6"/>
  <c r="CG64" i="6"/>
  <c r="BD64" i="6"/>
  <c r="BX64" i="6"/>
  <c r="BZ64" i="6"/>
  <c r="BN64" i="6"/>
  <c r="B93" i="9"/>
  <c r="C89" i="7"/>
  <c r="B88" i="7"/>
  <c r="B91" i="10"/>
  <c r="M73" i="6"/>
  <c r="CA73" i="6" s="1"/>
  <c r="A74" i="6"/>
  <c r="CM74" i="6"/>
  <c r="CL74" i="6"/>
  <c r="CK74" i="6"/>
  <c r="CJ74" i="6"/>
  <c r="CI74" i="6"/>
  <c r="CH74" i="6"/>
  <c r="CF74" i="6"/>
  <c r="CG74" i="6"/>
  <c r="BM74" i="6"/>
  <c r="BT74" i="6"/>
  <c r="BS74" i="6"/>
  <c r="BR74" i="6"/>
  <c r="BQ74" i="6"/>
  <c r="BP74" i="6"/>
  <c r="BO74" i="6"/>
  <c r="BN74" i="6"/>
  <c r="H74" i="6"/>
  <c r="T74" i="5" s="1"/>
  <c r="G74" i="12" s="1"/>
  <c r="M74" i="6"/>
  <c r="CE74" i="6" s="1"/>
  <c r="N74" i="6"/>
  <c r="G74" i="6"/>
  <c r="B75" i="5"/>
  <c r="K75" i="5"/>
  <c r="H75" i="5"/>
  <c r="N75" i="5"/>
  <c r="D75" i="6" s="1"/>
  <c r="E75" i="5"/>
  <c r="AD75" i="5"/>
  <c r="A75" i="12"/>
  <c r="J75" i="5"/>
  <c r="B75" i="6"/>
  <c r="F75" i="5"/>
  <c r="C76" i="5"/>
  <c r="D75" i="5"/>
  <c r="B75" i="12" s="1"/>
  <c r="G75" i="5"/>
  <c r="AE75" i="5"/>
  <c r="K73" i="12"/>
  <c r="BY74" i="6"/>
  <c r="BH74" i="6"/>
  <c r="BE74" i="6"/>
  <c r="BF74" i="6"/>
  <c r="CA74" i="6"/>
  <c r="BJ74" i="6"/>
  <c r="CB74" i="6"/>
  <c r="CC74" i="6"/>
  <c r="BV74" i="6"/>
  <c r="BW74" i="6"/>
  <c r="BX74" i="6"/>
  <c r="BG74" i="6"/>
  <c r="BZ74" i="6"/>
  <c r="BD74" i="6"/>
  <c r="BI74" i="6"/>
  <c r="BC74" i="6"/>
  <c r="BL74" i="6"/>
  <c r="BK74" i="6"/>
  <c r="CD74" i="6"/>
  <c r="A242" i="8" l="1"/>
  <c r="BY72" i="6"/>
  <c r="CB72" i="6"/>
  <c r="BO72" i="6"/>
  <c r="CA72" i="6"/>
  <c r="BS72" i="6"/>
  <c r="CM72" i="6"/>
  <c r="BR72" i="6"/>
  <c r="CD67" i="6"/>
  <c r="CM67" i="6"/>
  <c r="BQ67" i="6"/>
  <c r="CH67" i="6"/>
  <c r="BD72" i="6"/>
  <c r="BV72" i="6"/>
  <c r="BC72" i="6"/>
  <c r="BG72" i="6"/>
  <c r="BF72" i="6"/>
  <c r="BH72" i="6"/>
  <c r="CE72" i="6"/>
  <c r="BI72" i="6"/>
  <c r="CC72" i="6"/>
  <c r="BJ72" i="6"/>
  <c r="CI72" i="6"/>
  <c r="BE72" i="6"/>
  <c r="CK72" i="6"/>
  <c r="BK72" i="6"/>
  <c r="CF72" i="6"/>
  <c r="CD72" i="6"/>
  <c r="CL72" i="6"/>
  <c r="BL72" i="6"/>
  <c r="BP72" i="6"/>
  <c r="CG72" i="6"/>
  <c r="BZ72" i="6"/>
  <c r="BX72" i="6"/>
  <c r="BT72" i="6"/>
  <c r="BW72" i="6"/>
  <c r="CH72" i="6"/>
  <c r="BQ72" i="6"/>
  <c r="BM72" i="6"/>
  <c r="BN72" i="6"/>
  <c r="CD70" i="6"/>
  <c r="CA70" i="6"/>
  <c r="BZ70" i="6"/>
  <c r="BI69" i="6"/>
  <c r="BW69" i="6"/>
  <c r="BR69" i="6"/>
  <c r="CC69" i="6"/>
  <c r="CG69" i="6"/>
  <c r="CJ69" i="6"/>
  <c r="BM69" i="6"/>
  <c r="BD69" i="6"/>
  <c r="BF69" i="6"/>
  <c r="BY69" i="6"/>
  <c r="BK69" i="6"/>
  <c r="CA69" i="6"/>
  <c r="BQ69" i="6"/>
  <c r="CI69" i="6"/>
  <c r="BJ70" i="6"/>
  <c r="CM70" i="6"/>
  <c r="CJ70" i="6"/>
  <c r="BV70" i="6"/>
  <c r="CH70" i="6"/>
  <c r="BT69" i="6"/>
  <c r="BP69" i="6"/>
  <c r="BQ70" i="6"/>
  <c r="BT70" i="6"/>
  <c r="BF70" i="6"/>
  <c r="BI70" i="6"/>
  <c r="BV69" i="6"/>
  <c r="CM69" i="6"/>
  <c r="BS69" i="6"/>
  <c r="CF70" i="6"/>
  <c r="CB69" i="6"/>
  <c r="BD70" i="6"/>
  <c r="BG70" i="6"/>
  <c r="BE69" i="6"/>
  <c r="BX69" i="6"/>
  <c r="CE70" i="6"/>
  <c r="BH69" i="6"/>
  <c r="BJ69" i="6"/>
  <c r="CD69" i="6"/>
  <c r="CK69" i="6"/>
  <c r="CB70" i="6"/>
  <c r="BO69" i="6"/>
  <c r="CF69" i="6"/>
  <c r="BC70" i="6"/>
  <c r="BL70" i="6"/>
  <c r="BZ69" i="6"/>
  <c r="BN70" i="6"/>
  <c r="BE70" i="6"/>
  <c r="BR70" i="6"/>
  <c r="BX70" i="6"/>
  <c r="BP70" i="6"/>
  <c r="CK70" i="6"/>
  <c r="CI70" i="6"/>
  <c r="BN69" i="6"/>
  <c r="BC69" i="6"/>
  <c r="CL69" i="6"/>
  <c r="BM70" i="6"/>
  <c r="BS70" i="6"/>
  <c r="CC70" i="6"/>
  <c r="BK70" i="6"/>
  <c r="BL69" i="6"/>
  <c r="BG69" i="6"/>
  <c r="CE69" i="6"/>
  <c r="CG70" i="6"/>
  <c r="BY70" i="6"/>
  <c r="BT71" i="6"/>
  <c r="BS71" i="6"/>
  <c r="BV71" i="6"/>
  <c r="BI71" i="6"/>
  <c r="CL68" i="6"/>
  <c r="CK67" i="6"/>
  <c r="BF71" i="6"/>
  <c r="CD71" i="6"/>
  <c r="BD67" i="6"/>
  <c r="BK71" i="6"/>
  <c r="BP67" i="6"/>
  <c r="BL71" i="6"/>
  <c r="BE67" i="6"/>
  <c r="BO71" i="6"/>
  <c r="BY67" i="6"/>
  <c r="CA67" i="6"/>
  <c r="BJ71" i="6"/>
  <c r="CM68" i="6"/>
  <c r="BG67" i="6"/>
  <c r="BC71" i="6"/>
  <c r="BF68" i="6"/>
  <c r="BH67" i="6"/>
  <c r="CF71" i="6"/>
  <c r="CF65" i="6"/>
  <c r="BD68" i="6"/>
  <c r="CD68" i="6"/>
  <c r="BR68" i="6"/>
  <c r="BT65" i="6"/>
  <c r="BN65" i="6"/>
  <c r="CK65" i="6"/>
  <c r="BR65" i="6"/>
  <c r="BT67" i="6"/>
  <c r="BX67" i="6"/>
  <c r="BM67" i="6"/>
  <c r="BQ71" i="6"/>
  <c r="BW71" i="6"/>
  <c r="CI71" i="6"/>
  <c r="BZ67" i="6"/>
  <c r="CE67" i="6"/>
  <c r="BC67" i="6"/>
  <c r="CG71" i="6"/>
  <c r="BR71" i="6"/>
  <c r="BN71" i="6"/>
  <c r="BK67" i="6"/>
  <c r="CC67" i="6"/>
  <c r="BS67" i="6"/>
  <c r="BD71" i="6"/>
  <c r="BE71" i="6"/>
  <c r="CE71" i="6"/>
  <c r="CJ67" i="6"/>
  <c r="BJ67" i="6"/>
  <c r="BV67" i="6"/>
  <c r="BM71" i="6"/>
  <c r="BH71" i="6"/>
  <c r="BY71" i="6"/>
  <c r="BI67" i="6"/>
  <c r="BN67" i="6"/>
  <c r="BW67" i="6"/>
  <c r="CL71" i="6"/>
  <c r="CK71" i="6"/>
  <c r="CH71" i="6"/>
  <c r="CF67" i="6"/>
  <c r="CG67" i="6"/>
  <c r="BR67" i="6"/>
  <c r="BZ71" i="6"/>
  <c r="BG71" i="6"/>
  <c r="CM71" i="6"/>
  <c r="BL67" i="6"/>
  <c r="BO67" i="6"/>
  <c r="CB67" i="6"/>
  <c r="CA71" i="6"/>
  <c r="BX71" i="6"/>
  <c r="CB71" i="6"/>
  <c r="CI67" i="6"/>
  <c r="BF67" i="6"/>
  <c r="CC71" i="6"/>
  <c r="BP71" i="6"/>
  <c r="BL68" i="6"/>
  <c r="BW68" i="6"/>
  <c r="CI68" i="6"/>
  <c r="BJ68" i="6"/>
  <c r="BZ68" i="6"/>
  <c r="CH68" i="6"/>
  <c r="BI68" i="6"/>
  <c r="CF68" i="6"/>
  <c r="BO68" i="6"/>
  <c r="CC68" i="6"/>
  <c r="BS68" i="6"/>
  <c r="BP68" i="6"/>
  <c r="BG68" i="6"/>
  <c r="BY68" i="6"/>
  <c r="BT68" i="6"/>
  <c r="BE68" i="6"/>
  <c r="CJ68" i="6"/>
  <c r="BV68" i="6"/>
  <c r="CE68" i="6"/>
  <c r="BM68" i="6"/>
  <c r="CG68" i="6"/>
  <c r="BK68" i="6"/>
  <c r="BX68" i="6"/>
  <c r="CA68" i="6"/>
  <c r="BC68" i="6"/>
  <c r="CK68" i="6"/>
  <c r="BN68" i="6"/>
  <c r="CB68" i="6"/>
  <c r="BQ68" i="6"/>
  <c r="BV65" i="6"/>
  <c r="CG65" i="6"/>
  <c r="BI65" i="6"/>
  <c r="CM65" i="6"/>
  <c r="BS65" i="6"/>
  <c r="CC65" i="6"/>
  <c r="BG65" i="6"/>
  <c r="BX65" i="6"/>
  <c r="CA65" i="6"/>
  <c r="BK65" i="6"/>
  <c r="CE65" i="6"/>
  <c r="CJ65" i="6"/>
  <c r="BM65" i="6"/>
  <c r="BP65" i="6"/>
  <c r="CI65" i="6"/>
  <c r="BW65" i="6"/>
  <c r="BJ65" i="6"/>
  <c r="BL65" i="6"/>
  <c r="BH65" i="6"/>
  <c r="BC65" i="6"/>
  <c r="BF65" i="6"/>
  <c r="CB65" i="6"/>
  <c r="CD65" i="6"/>
  <c r="CL65" i="6"/>
  <c r="CH65" i="6"/>
  <c r="BZ65" i="6"/>
  <c r="BD65" i="6"/>
  <c r="BO65" i="6"/>
  <c r="BE65" i="6"/>
  <c r="BQ65" i="6"/>
  <c r="BW66" i="6"/>
  <c r="BQ66" i="6"/>
  <c r="BO70" i="6"/>
  <c r="CH66" i="6"/>
  <c r="BX66" i="6"/>
  <c r="BO66" i="6"/>
  <c r="BY66" i="6"/>
  <c r="BM66" i="6"/>
  <c r="CA66" i="6"/>
  <c r="BD66" i="6"/>
  <c r="CC66" i="6"/>
  <c r="CI66" i="6"/>
  <c r="CL66" i="6"/>
  <c r="CK66" i="6"/>
  <c r="CE66" i="6"/>
  <c r="BE66" i="6"/>
  <c r="BR66" i="6"/>
  <c r="CM66" i="6"/>
  <c r="BI66" i="6"/>
  <c r="CD66" i="6"/>
  <c r="BN66" i="6"/>
  <c r="BH66" i="6"/>
  <c r="BW70" i="6"/>
  <c r="CL70" i="6"/>
  <c r="BZ66" i="6"/>
  <c r="BP66" i="6"/>
  <c r="BV66" i="6"/>
  <c r="BG66" i="6"/>
  <c r="CB66" i="6"/>
  <c r="BF66" i="6"/>
  <c r="BS66" i="6"/>
  <c r="BJ66" i="6"/>
  <c r="BK66" i="6"/>
  <c r="BC66" i="6"/>
  <c r="BT66" i="6"/>
  <c r="CJ66" i="6"/>
  <c r="CG66" i="6"/>
  <c r="BL66" i="6"/>
  <c r="C90" i="7"/>
  <c r="B89" i="7"/>
  <c r="B94" i="9"/>
  <c r="B92" i="10"/>
  <c r="BW73" i="6"/>
  <c r="BI73" i="6"/>
  <c r="CG73" i="6"/>
  <c r="CD73" i="6"/>
  <c r="BG73" i="6"/>
  <c r="BD73" i="6"/>
  <c r="BL73" i="6"/>
  <c r="CL73" i="6"/>
  <c r="BK73" i="6"/>
  <c r="BO73" i="6"/>
  <c r="BH73" i="6"/>
  <c r="CC73" i="6"/>
  <c r="BT73" i="6"/>
  <c r="CB73" i="6"/>
  <c r="BX73" i="6"/>
  <c r="BS73" i="6"/>
  <c r="CK73" i="6"/>
  <c r="BR73" i="6"/>
  <c r="BN73" i="6"/>
  <c r="CF73" i="6"/>
  <c r="BQ73" i="6"/>
  <c r="CJ73" i="6"/>
  <c r="CE73" i="6"/>
  <c r="BC73" i="6"/>
  <c r="CM73" i="6"/>
  <c r="BM73" i="6"/>
  <c r="BV73" i="6"/>
  <c r="BZ73" i="6"/>
  <c r="BP73" i="6"/>
  <c r="CI73" i="6"/>
  <c r="BF73" i="6"/>
  <c r="BY73" i="6"/>
  <c r="BE73" i="6"/>
  <c r="BJ73" i="6"/>
  <c r="CH73" i="6"/>
  <c r="AZ74" i="6"/>
  <c r="BA74" i="6"/>
  <c r="AT74" i="6"/>
  <c r="AU74" i="6"/>
  <c r="AV74" i="6"/>
  <c r="AX74" i="6"/>
  <c r="AW74" i="6"/>
  <c r="A75" i="6"/>
  <c r="N75" i="6" s="1"/>
  <c r="AY74" i="6"/>
  <c r="AK74" i="6"/>
  <c r="AO74" i="6"/>
  <c r="AS74" i="6"/>
  <c r="AQ74" i="6"/>
  <c r="AJ74" i="6"/>
  <c r="AL74" i="6"/>
  <c r="AR74" i="6"/>
  <c r="AN74" i="6"/>
  <c r="AP74" i="6"/>
  <c r="B76" i="6"/>
  <c r="D76" i="5"/>
  <c r="B76" i="12" s="1"/>
  <c r="C77" i="5"/>
  <c r="N76" i="5"/>
  <c r="D76" i="6" s="1"/>
  <c r="B76" i="5"/>
  <c r="K76" i="5"/>
  <c r="F76" i="5"/>
  <c r="AE76" i="5"/>
  <c r="AD76" i="5"/>
  <c r="J76" i="5"/>
  <c r="E76" i="5"/>
  <c r="H76" i="5"/>
  <c r="G76" i="5"/>
  <c r="A76" i="12"/>
  <c r="J75" i="12"/>
  <c r="L75" i="12"/>
  <c r="H75" i="6"/>
  <c r="T75" i="5" s="1"/>
  <c r="G75" i="12" s="1"/>
  <c r="A245" i="8" l="1"/>
  <c r="B93" i="10"/>
  <c r="B95" i="9"/>
  <c r="C91" i="7"/>
  <c r="B90" i="7"/>
  <c r="M75" i="6"/>
  <c r="A76" i="6"/>
  <c r="K75" i="12"/>
  <c r="H76" i="6"/>
  <c r="T76" i="5" s="1"/>
  <c r="G76" i="12" s="1"/>
  <c r="A77" i="12"/>
  <c r="K77" i="5"/>
  <c r="H77" i="5"/>
  <c r="AE77" i="5"/>
  <c r="G77" i="5"/>
  <c r="B77" i="6"/>
  <c r="AD77" i="5"/>
  <c r="F77" i="5"/>
  <c r="J77" i="5"/>
  <c r="B77" i="5"/>
  <c r="E77" i="5"/>
  <c r="D77" i="5"/>
  <c r="B77" i="12" s="1"/>
  <c r="N77" i="5"/>
  <c r="D77" i="6" s="1"/>
  <c r="C78" i="5"/>
  <c r="L76" i="12"/>
  <c r="J76" i="12"/>
  <c r="A248" i="8" l="1"/>
  <c r="M76" i="6"/>
  <c r="BZ76" i="6" s="1"/>
  <c r="CB75" i="6"/>
  <c r="C92" i="7"/>
  <c r="B91" i="7"/>
  <c r="B96" i="9"/>
  <c r="B94" i="10"/>
  <c r="BI75" i="6"/>
  <c r="BY75" i="6"/>
  <c r="BE75" i="6"/>
  <c r="CE75" i="6"/>
  <c r="BK75" i="6"/>
  <c r="BH75" i="6"/>
  <c r="BJ75" i="6"/>
  <c r="BC75" i="6"/>
  <c r="BL75" i="6"/>
  <c r="CC75" i="6"/>
  <c r="CD75" i="6"/>
  <c r="BF75" i="6"/>
  <c r="BG75" i="6"/>
  <c r="CA75" i="6"/>
  <c r="BZ75" i="6"/>
  <c r="BD75" i="6"/>
  <c r="BW75" i="6"/>
  <c r="BX75" i="6"/>
  <c r="N76" i="6"/>
  <c r="A77" i="6"/>
  <c r="N77" i="6" s="1"/>
  <c r="BV75" i="6"/>
  <c r="CM75" i="6"/>
  <c r="CL75" i="6"/>
  <c r="CJ75" i="6"/>
  <c r="BN75" i="6"/>
  <c r="CK75" i="6"/>
  <c r="BP75" i="6"/>
  <c r="BQ75" i="6"/>
  <c r="BS75" i="6"/>
  <c r="BR75" i="6"/>
  <c r="BO75" i="6"/>
  <c r="CI75" i="6"/>
  <c r="BM75" i="6"/>
  <c r="CH75" i="6"/>
  <c r="BT75" i="6"/>
  <c r="CG75" i="6"/>
  <c r="CF75" i="6"/>
  <c r="H77" i="6"/>
  <c r="T77" i="5" s="1"/>
  <c r="G77" i="12" s="1"/>
  <c r="K76" i="12"/>
  <c r="AD78" i="5"/>
  <c r="H78" i="5"/>
  <c r="G78" i="5"/>
  <c r="A78" i="12"/>
  <c r="E78" i="5"/>
  <c r="B78" i="6"/>
  <c r="B78" i="5"/>
  <c r="C79" i="5"/>
  <c r="AE78" i="5"/>
  <c r="N78" i="5"/>
  <c r="D78" i="6" s="1"/>
  <c r="F78" i="5"/>
  <c r="K78" i="5"/>
  <c r="J78" i="5"/>
  <c r="D78" i="5"/>
  <c r="B78" i="12" s="1"/>
  <c r="L77" i="12"/>
  <c r="J77" i="12"/>
  <c r="A251" i="8" l="1"/>
  <c r="CE76" i="6"/>
  <c r="BY76" i="6"/>
  <c r="BC76" i="6"/>
  <c r="BH76" i="6"/>
  <c r="CB76" i="6"/>
  <c r="BL76" i="6"/>
  <c r="BJ76" i="6"/>
  <c r="BT76" i="6"/>
  <c r="CA76" i="6"/>
  <c r="BS76" i="6"/>
  <c r="BF76" i="6"/>
  <c r="BI76" i="6"/>
  <c r="CC76" i="6"/>
  <c r="BV76" i="6"/>
  <c r="BG76" i="6"/>
  <c r="BD76" i="6"/>
  <c r="BX76" i="6"/>
  <c r="BK76" i="6"/>
  <c r="CD76" i="6"/>
  <c r="CM76" i="6"/>
  <c r="BP76" i="6"/>
  <c r="CL76" i="6"/>
  <c r="BO76" i="6"/>
  <c r="CK76" i="6"/>
  <c r="BN76" i="6"/>
  <c r="CJ76" i="6"/>
  <c r="CI76" i="6"/>
  <c r="BM76" i="6"/>
  <c r="BR76" i="6"/>
  <c r="CH76" i="6"/>
  <c r="BW76" i="6"/>
  <c r="BE76" i="6"/>
  <c r="BQ76" i="6"/>
  <c r="CG76" i="6"/>
  <c r="CF76" i="6"/>
  <c r="B95" i="10"/>
  <c r="B92" i="7"/>
  <c r="C93" i="7"/>
  <c r="M77" i="6"/>
  <c r="A78" i="6"/>
  <c r="M78" i="6" s="1"/>
  <c r="H78" i="6"/>
  <c r="T78" i="5" s="1"/>
  <c r="G78" i="12" s="1"/>
  <c r="B79" i="6"/>
  <c r="G79" i="5"/>
  <c r="E79" i="5"/>
  <c r="F79" i="5"/>
  <c r="AE79" i="5"/>
  <c r="J79" i="5"/>
  <c r="D79" i="5"/>
  <c r="B79" i="12" s="1"/>
  <c r="K79" i="5"/>
  <c r="C80" i="5"/>
  <c r="AD79" i="5"/>
  <c r="B79" i="5"/>
  <c r="N79" i="5"/>
  <c r="D79" i="6" s="1"/>
  <c r="A79" i="12"/>
  <c r="H79" i="5"/>
  <c r="L78" i="12"/>
  <c r="J78" i="12"/>
  <c r="K77" i="12"/>
  <c r="A254" i="8" l="1"/>
  <c r="BZ77" i="6"/>
  <c r="C94" i="7"/>
  <c r="B93" i="7"/>
  <c r="B96" i="10"/>
  <c r="BK77" i="6"/>
  <c r="BJ77" i="6"/>
  <c r="BX77" i="6"/>
  <c r="BR77" i="6"/>
  <c r="BG77" i="6"/>
  <c r="CA77" i="6"/>
  <c r="CM77" i="6"/>
  <c r="BI77" i="6"/>
  <c r="BC77" i="6"/>
  <c r="BQ77" i="6"/>
  <c r="BE77" i="6"/>
  <c r="BV77" i="6"/>
  <c r="CC77" i="6"/>
  <c r="CL77" i="6"/>
  <c r="CB77" i="6"/>
  <c r="BH77" i="6"/>
  <c r="BP77" i="6"/>
  <c r="BW77" i="6"/>
  <c r="CG77" i="6"/>
  <c r="CJ77" i="6"/>
  <c r="CI77" i="6"/>
  <c r="CE77" i="6"/>
  <c r="BM77" i="6"/>
  <c r="CH77" i="6"/>
  <c r="BS77" i="6"/>
  <c r="BD77" i="6"/>
  <c r="BL77" i="6"/>
  <c r="CK77" i="6"/>
  <c r="BF77" i="6"/>
  <c r="CD77" i="6"/>
  <c r="BN77" i="6"/>
  <c r="CF77" i="6"/>
  <c r="BY77" i="6"/>
  <c r="BT77" i="6"/>
  <c r="BO77" i="6"/>
  <c r="N78" i="6"/>
  <c r="BX78" i="6"/>
  <c r="CH78" i="6"/>
  <c r="BT78" i="6"/>
  <c r="CG78" i="6"/>
  <c r="CF78" i="6"/>
  <c r="CM78" i="6"/>
  <c r="CL78" i="6"/>
  <c r="CJ78" i="6"/>
  <c r="CK78" i="6"/>
  <c r="BS78" i="6"/>
  <c r="BQ78" i="6"/>
  <c r="BP78" i="6"/>
  <c r="BR78" i="6"/>
  <c r="BN78" i="6"/>
  <c r="BO78" i="6"/>
  <c r="CI78" i="6"/>
  <c r="BM78" i="6"/>
  <c r="H79" i="6"/>
  <c r="T79" i="5" s="1"/>
  <c r="G79" i="12" s="1"/>
  <c r="A79" i="6"/>
  <c r="M79" i="6" s="1"/>
  <c r="CM79" i="6" s="1"/>
  <c r="BH78" i="6"/>
  <c r="CA78" i="6"/>
  <c r="BV78" i="6"/>
  <c r="CC78" i="6"/>
  <c r="BI78" i="6"/>
  <c r="BG78" i="6"/>
  <c r="BD78" i="6"/>
  <c r="BW78" i="6"/>
  <c r="BF78" i="6"/>
  <c r="K78" i="12"/>
  <c r="BL78" i="6"/>
  <c r="BJ78" i="6"/>
  <c r="BY78" i="6"/>
  <c r="CB78" i="6"/>
  <c r="BE78" i="6"/>
  <c r="CD78" i="6"/>
  <c r="BC78" i="6"/>
  <c r="CE78" i="6"/>
  <c r="D80" i="5"/>
  <c r="B80" i="12" s="1"/>
  <c r="K80" i="5"/>
  <c r="J80" i="5"/>
  <c r="B80" i="5"/>
  <c r="C81" i="5" s="1"/>
  <c r="C82" i="5" s="1"/>
  <c r="B80" i="6"/>
  <c r="AE80" i="5"/>
  <c r="F80" i="5"/>
  <c r="G80" i="5"/>
  <c r="E80" i="5"/>
  <c r="A80" i="12"/>
  <c r="AD80" i="5"/>
  <c r="N80" i="5"/>
  <c r="D80" i="6" s="1"/>
  <c r="H80" i="5"/>
  <c r="BK78" i="6"/>
  <c r="BZ78" i="6"/>
  <c r="J79" i="12"/>
  <c r="L79" i="12"/>
  <c r="A257" i="8" l="1"/>
  <c r="C95" i="7"/>
  <c r="B94" i="7"/>
  <c r="A80" i="6"/>
  <c r="N80" i="6" s="1"/>
  <c r="K79" i="12"/>
  <c r="BQ79" i="6"/>
  <c r="BR79" i="6"/>
  <c r="BS79" i="6"/>
  <c r="BT79" i="6"/>
  <c r="CF79" i="6"/>
  <c r="CH79" i="6"/>
  <c r="CG79" i="6"/>
  <c r="H80" i="6"/>
  <c r="T80" i="5" s="1"/>
  <c r="G80" i="12" s="1"/>
  <c r="CI79" i="6"/>
  <c r="BM79" i="6"/>
  <c r="CJ79" i="6"/>
  <c r="BN79" i="6"/>
  <c r="CK79" i="6"/>
  <c r="BO79" i="6"/>
  <c r="CL79" i="6"/>
  <c r="BP79" i="6"/>
  <c r="N79" i="6"/>
  <c r="F81" i="5"/>
  <c r="F82" i="5" s="1"/>
  <c r="G81" i="5"/>
  <c r="G82" i="5" s="1"/>
  <c r="H81" i="5"/>
  <c r="H82" i="5" s="1"/>
  <c r="W81" i="5"/>
  <c r="H81" i="12" s="1"/>
  <c r="B81" i="6"/>
  <c r="A81" i="12"/>
  <c r="E81" i="5"/>
  <c r="E82" i="5" s="1"/>
  <c r="AD81" i="5"/>
  <c r="AE81" i="5"/>
  <c r="B81" i="5"/>
  <c r="B82" i="5" s="1"/>
  <c r="J80" i="12"/>
  <c r="L80" i="12"/>
  <c r="N81" i="5"/>
  <c r="D81" i="6" s="1"/>
  <c r="E81" i="12"/>
  <c r="F81" i="6"/>
  <c r="CE79" i="6"/>
  <c r="BJ79" i="6"/>
  <c r="BL79" i="6"/>
  <c r="BX79" i="6"/>
  <c r="BI79" i="6"/>
  <c r="CB79" i="6"/>
  <c r="BZ79" i="6"/>
  <c r="BV79" i="6"/>
  <c r="BK79" i="6"/>
  <c r="CD79" i="6"/>
  <c r="BG79" i="6"/>
  <c r="BE79" i="6"/>
  <c r="BF79" i="6"/>
  <c r="CC79" i="6"/>
  <c r="BD79" i="6"/>
  <c r="BC79" i="6"/>
  <c r="CA79" i="6"/>
  <c r="BH79" i="6"/>
  <c r="BW79" i="6"/>
  <c r="BY79" i="6"/>
  <c r="A82" i="12"/>
  <c r="B82" i="6"/>
  <c r="AE82" i="5"/>
  <c r="AD82" i="5"/>
  <c r="D82" i="5"/>
  <c r="B82" i="12" s="1"/>
  <c r="N82" i="5"/>
  <c r="K82" i="5"/>
  <c r="J82" i="5"/>
  <c r="C83" i="5"/>
  <c r="M80" i="6" l="1"/>
  <c r="BC80" i="6" s="1"/>
  <c r="C96" i="7"/>
  <c r="B96" i="7" s="1"/>
  <c r="B95" i="7"/>
  <c r="CI81" i="6"/>
  <c r="CH81" i="6"/>
  <c r="CG81" i="6"/>
  <c r="CF81" i="6"/>
  <c r="CM81" i="6"/>
  <c r="CL81" i="6"/>
  <c r="CJ81" i="6"/>
  <c r="CK81" i="6"/>
  <c r="BQ81" i="6"/>
  <c r="BP81" i="6"/>
  <c r="BO81" i="6"/>
  <c r="BN81" i="6"/>
  <c r="BM81" i="6"/>
  <c r="BT81" i="6"/>
  <c r="BS81" i="6"/>
  <c r="BR81" i="6"/>
  <c r="K80" i="12"/>
  <c r="D82" i="6"/>
  <c r="G81" i="6"/>
  <c r="H81" i="6"/>
  <c r="T81" i="5" s="1"/>
  <c r="A83" i="12"/>
  <c r="B83" i="6"/>
  <c r="C84" i="5"/>
  <c r="N83" i="5"/>
  <c r="K83" i="5"/>
  <c r="J83" i="5"/>
  <c r="H83" i="5"/>
  <c r="AE83" i="5"/>
  <c r="AD83" i="5"/>
  <c r="D83" i="5"/>
  <c r="B83" i="12" s="1"/>
  <c r="B83" i="5"/>
  <c r="G83" i="5"/>
  <c r="F83" i="5"/>
  <c r="E83" i="5"/>
  <c r="L82" i="12"/>
  <c r="J82" i="12"/>
  <c r="A81" i="6"/>
  <c r="N81" i="6" s="1"/>
  <c r="CA80" i="6" l="1"/>
  <c r="BI80" i="6"/>
  <c r="CJ80" i="6"/>
  <c r="BV80" i="6"/>
  <c r="CI80" i="6"/>
  <c r="BH80" i="6"/>
  <c r="BX80" i="6"/>
  <c r="BZ80" i="6"/>
  <c r="BN80" i="6"/>
  <c r="BW80" i="6"/>
  <c r="CG80" i="6"/>
  <c r="CD80" i="6"/>
  <c r="BT80" i="6"/>
  <c r="CE80" i="6"/>
  <c r="BS80" i="6"/>
  <c r="BE80" i="6"/>
  <c r="BM80" i="6"/>
  <c r="CM80" i="6"/>
  <c r="CB80" i="6"/>
  <c r="BQ80" i="6"/>
  <c r="BJ80" i="6"/>
  <c r="BF80" i="6"/>
  <c r="CL80" i="6"/>
  <c r="BD80" i="6"/>
  <c r="BK80" i="6"/>
  <c r="BP80" i="6"/>
  <c r="CH80" i="6"/>
  <c r="CK80" i="6"/>
  <c r="BL80" i="6"/>
  <c r="CC80" i="6"/>
  <c r="BO80" i="6"/>
  <c r="BR80" i="6"/>
  <c r="BY80" i="6"/>
  <c r="BG80" i="6"/>
  <c r="CF80" i="6"/>
  <c r="A82" i="6"/>
  <c r="N82" i="6" s="1"/>
  <c r="M81" i="6"/>
  <c r="H82" i="6"/>
  <c r="T82" i="5" s="1"/>
  <c r="A84" i="12"/>
  <c r="B84" i="6"/>
  <c r="F84" i="5"/>
  <c r="AE84" i="5"/>
  <c r="E84" i="5"/>
  <c r="AD84" i="5"/>
  <c r="D84" i="5"/>
  <c r="B84" i="12" s="1"/>
  <c r="B84" i="5"/>
  <c r="N84" i="5"/>
  <c r="K84" i="5"/>
  <c r="J84" i="5"/>
  <c r="C85" i="5"/>
  <c r="H84" i="5"/>
  <c r="G84" i="5"/>
  <c r="K82" i="12"/>
  <c r="D83" i="6"/>
  <c r="J83" i="12"/>
  <c r="L83" i="12"/>
  <c r="G81" i="12"/>
  <c r="BF81" i="6" l="1"/>
  <c r="AW81" i="6"/>
  <c r="AU81" i="6"/>
  <c r="AT81" i="6"/>
  <c r="BA81" i="6"/>
  <c r="AZ81" i="6"/>
  <c r="AV81" i="6"/>
  <c r="AY81" i="6"/>
  <c r="AX81" i="6"/>
  <c r="AP81" i="6"/>
  <c r="CA81" i="6"/>
  <c r="AK81" i="6"/>
  <c r="A83" i="6"/>
  <c r="BD81" i="6"/>
  <c r="BH81" i="6"/>
  <c r="AR81" i="6"/>
  <c r="AS81" i="6"/>
  <c r="CC81" i="6"/>
  <c r="BI81" i="6"/>
  <c r="BX81" i="6"/>
  <c r="AN81" i="6"/>
  <c r="AO81" i="6"/>
  <c r="CD81" i="6"/>
  <c r="M82" i="6"/>
  <c r="BZ81" i="6"/>
  <c r="BV81" i="6"/>
  <c r="BY81" i="6"/>
  <c r="BE81" i="6"/>
  <c r="CB81" i="6"/>
  <c r="BC81" i="6"/>
  <c r="AQ81" i="6"/>
  <c r="AL81" i="6"/>
  <c r="AJ81" i="6"/>
  <c r="K83" i="12"/>
  <c r="BL81" i="6"/>
  <c r="BW81" i="6"/>
  <c r="BK81" i="6"/>
  <c r="BG81" i="6"/>
  <c r="BJ81" i="6"/>
  <c r="CE81" i="6"/>
  <c r="G82" i="12"/>
  <c r="L84" i="12"/>
  <c r="J84" i="12"/>
  <c r="A85" i="12"/>
  <c r="B85" i="6"/>
  <c r="C86" i="5"/>
  <c r="N85" i="5"/>
  <c r="F85" i="5"/>
  <c r="K85" i="5"/>
  <c r="J85" i="5"/>
  <c r="H85" i="5"/>
  <c r="G85" i="5"/>
  <c r="E85" i="5"/>
  <c r="AE85" i="5"/>
  <c r="AD85" i="5"/>
  <c r="D85" i="5"/>
  <c r="B85" i="12" s="1"/>
  <c r="B85" i="5"/>
  <c r="D84" i="6"/>
  <c r="H83" i="6"/>
  <c r="T83" i="5" s="1"/>
  <c r="M83" i="6" l="1"/>
  <c r="BH83" i="6" s="1"/>
  <c r="BF82" i="6"/>
  <c r="BS82" i="6"/>
  <c r="BR82" i="6"/>
  <c r="BQ82" i="6"/>
  <c r="CM82" i="6"/>
  <c r="BP82" i="6"/>
  <c r="CL82" i="6"/>
  <c r="BO82" i="6"/>
  <c r="CK82" i="6"/>
  <c r="BN82" i="6"/>
  <c r="CJ82" i="6"/>
  <c r="BM82" i="6"/>
  <c r="CI82" i="6"/>
  <c r="CH82" i="6"/>
  <c r="CG82" i="6"/>
  <c r="CF82" i="6"/>
  <c r="BT82" i="6"/>
  <c r="BZ82" i="6"/>
  <c r="N83" i="6"/>
  <c r="A84" i="6"/>
  <c r="N84" i="6" s="1"/>
  <c r="BE82" i="6"/>
  <c r="BL82" i="6"/>
  <c r="BH82" i="6"/>
  <c r="CE82" i="6"/>
  <c r="BC82" i="6"/>
  <c r="BG82" i="6"/>
  <c r="CC82" i="6"/>
  <c r="CB82" i="6"/>
  <c r="CD82" i="6"/>
  <c r="BD82" i="6"/>
  <c r="BY82" i="6"/>
  <c r="BJ82" i="6"/>
  <c r="CA82" i="6"/>
  <c r="BX82" i="6"/>
  <c r="BW82" i="6"/>
  <c r="BV82" i="6"/>
  <c r="BI82" i="6"/>
  <c r="BK82" i="6"/>
  <c r="G83" i="12"/>
  <c r="D85" i="6"/>
  <c r="A86" i="12"/>
  <c r="B86" i="6"/>
  <c r="F86" i="5"/>
  <c r="AE86" i="5"/>
  <c r="E86" i="5"/>
  <c r="AD86" i="5"/>
  <c r="D86" i="5"/>
  <c r="B86" i="12" s="1"/>
  <c r="B86" i="5"/>
  <c r="N86" i="5"/>
  <c r="K86" i="5"/>
  <c r="J86" i="5"/>
  <c r="H86" i="5"/>
  <c r="C87" i="5"/>
  <c r="G86" i="5"/>
  <c r="H84" i="6"/>
  <c r="T84" i="5" s="1"/>
  <c r="J85" i="12"/>
  <c r="L85" i="12"/>
  <c r="K84" i="12"/>
  <c r="BG83" i="6" l="1"/>
  <c r="BL83" i="6"/>
  <c r="BC83" i="6"/>
  <c r="BE83" i="6"/>
  <c r="BF83" i="6"/>
  <c r="CC83" i="6"/>
  <c r="BX83" i="6"/>
  <c r="BW83" i="6"/>
  <c r="BZ83" i="6"/>
  <c r="CA83" i="6"/>
  <c r="CB83" i="6"/>
  <c r="BJ83" i="6"/>
  <c r="BD83" i="6"/>
  <c r="BK83" i="6"/>
  <c r="BV83" i="6"/>
  <c r="BY83" i="6"/>
  <c r="BI83" i="6"/>
  <c r="CD83" i="6"/>
  <c r="CE83" i="6"/>
  <c r="BQ83" i="6"/>
  <c r="CL83" i="6"/>
  <c r="BP83" i="6"/>
  <c r="CK83" i="6"/>
  <c r="CJ83" i="6"/>
  <c r="CH83" i="6"/>
  <c r="CF83" i="6"/>
  <c r="CM83" i="6"/>
  <c r="CG83" i="6"/>
  <c r="BO83" i="6"/>
  <c r="BM83" i="6"/>
  <c r="BT83" i="6"/>
  <c r="CI83" i="6"/>
  <c r="BS83" i="6"/>
  <c r="BN83" i="6"/>
  <c r="BR83" i="6"/>
  <c r="A85" i="6"/>
  <c r="N85" i="6" s="1"/>
  <c r="M84" i="6"/>
  <c r="G84" i="12"/>
  <c r="A87" i="12"/>
  <c r="B87" i="6"/>
  <c r="C88" i="5"/>
  <c r="N87" i="5"/>
  <c r="F87" i="5"/>
  <c r="K87" i="5"/>
  <c r="J87" i="5"/>
  <c r="H87" i="5"/>
  <c r="G87" i="5"/>
  <c r="E87" i="5"/>
  <c r="D87" i="5"/>
  <c r="B87" i="12" s="1"/>
  <c r="AE87" i="5"/>
  <c r="AD87" i="5"/>
  <c r="B87" i="5"/>
  <c r="H85" i="6"/>
  <c r="T85" i="5" s="1"/>
  <c r="J86" i="12"/>
  <c r="L86" i="12"/>
  <c r="K85" i="12"/>
  <c r="D86" i="6"/>
  <c r="CD84" i="6" l="1"/>
  <c r="BP84" i="6"/>
  <c r="BR84" i="6"/>
  <c r="BO84" i="6"/>
  <c r="BN84" i="6"/>
  <c r="CI84" i="6"/>
  <c r="BM84" i="6"/>
  <c r="CH84" i="6"/>
  <c r="BT84" i="6"/>
  <c r="CG84" i="6"/>
  <c r="CF84" i="6"/>
  <c r="CM84" i="6"/>
  <c r="CL84" i="6"/>
  <c r="CJ84" i="6"/>
  <c r="CK84" i="6"/>
  <c r="BQ84" i="6"/>
  <c r="BS84" i="6"/>
  <c r="BW84" i="6"/>
  <c r="CA84" i="6"/>
  <c r="BI84" i="6"/>
  <c r="A86" i="6"/>
  <c r="M86" i="6" s="1"/>
  <c r="CC86" i="6" s="1"/>
  <c r="BG84" i="6"/>
  <c r="M85" i="6"/>
  <c r="BJ84" i="6"/>
  <c r="BD84" i="6"/>
  <c r="BH84" i="6"/>
  <c r="CB84" i="6"/>
  <c r="BE84" i="6"/>
  <c r="BV84" i="6"/>
  <c r="BX84" i="6"/>
  <c r="BK84" i="6"/>
  <c r="BZ84" i="6"/>
  <c r="CC84" i="6"/>
  <c r="BL84" i="6"/>
  <c r="BC84" i="6"/>
  <c r="BY84" i="6"/>
  <c r="BF84" i="6"/>
  <c r="CE84" i="6"/>
  <c r="K86" i="12"/>
  <c r="G85" i="12"/>
  <c r="D87" i="6"/>
  <c r="A88" i="12"/>
  <c r="B88" i="6"/>
  <c r="F88" i="5"/>
  <c r="AE88" i="5"/>
  <c r="E88" i="5"/>
  <c r="AD88" i="5"/>
  <c r="D88" i="5"/>
  <c r="B88" i="12" s="1"/>
  <c r="B88" i="5"/>
  <c r="N88" i="5"/>
  <c r="K88" i="5"/>
  <c r="J88" i="5"/>
  <c r="H88" i="5"/>
  <c r="G88" i="5"/>
  <c r="L87" i="12"/>
  <c r="J87" i="12"/>
  <c r="H86" i="6"/>
  <c r="T86" i="5" s="1"/>
  <c r="BO86" i="6" l="1"/>
  <c r="CF86" i="6"/>
  <c r="CH86" i="6"/>
  <c r="CI86" i="6"/>
  <c r="CJ86" i="6"/>
  <c r="CK86" i="6"/>
  <c r="BP86" i="6"/>
  <c r="CL86" i="6"/>
  <c r="BQ86" i="6"/>
  <c r="CM86" i="6"/>
  <c r="BR86" i="6"/>
  <c r="BS86" i="6"/>
  <c r="BT86" i="6"/>
  <c r="BV85" i="6"/>
  <c r="BR85" i="6"/>
  <c r="BQ85" i="6"/>
  <c r="CM85" i="6"/>
  <c r="BP85" i="6"/>
  <c r="CL85" i="6"/>
  <c r="BO85" i="6"/>
  <c r="CK85" i="6"/>
  <c r="BN85" i="6"/>
  <c r="CJ85" i="6"/>
  <c r="BM85" i="6"/>
  <c r="CI85" i="6"/>
  <c r="CH85" i="6"/>
  <c r="CG85" i="6"/>
  <c r="CF85" i="6"/>
  <c r="BT85" i="6"/>
  <c r="BS85" i="6"/>
  <c r="BN86" i="6"/>
  <c r="BM86" i="6"/>
  <c r="CG86" i="6"/>
  <c r="N86" i="6"/>
  <c r="BW85" i="6"/>
  <c r="BC85" i="6"/>
  <c r="BH85" i="6"/>
  <c r="BG85" i="6"/>
  <c r="A87" i="6"/>
  <c r="N87" i="6" s="1"/>
  <c r="BE85" i="6"/>
  <c r="BL85" i="6"/>
  <c r="BY85" i="6"/>
  <c r="BD85" i="6"/>
  <c r="BI85" i="6"/>
  <c r="CE85" i="6"/>
  <c r="BK85" i="6"/>
  <c r="BF85" i="6"/>
  <c r="BJ85" i="6"/>
  <c r="CC85" i="6"/>
  <c r="CB85" i="6"/>
  <c r="CA85" i="6"/>
  <c r="BX85" i="6"/>
  <c r="CD85" i="6"/>
  <c r="BZ85" i="6"/>
  <c r="BF86" i="6"/>
  <c r="BD86" i="6"/>
  <c r="CE86" i="6"/>
  <c r="BC86" i="6"/>
  <c r="BI86" i="6"/>
  <c r="BL86" i="6"/>
  <c r="BH86" i="6"/>
  <c r="BZ86" i="6"/>
  <c r="BW86" i="6"/>
  <c r="K87" i="12"/>
  <c r="BG86" i="6"/>
  <c r="CB86" i="6"/>
  <c r="G86" i="12"/>
  <c r="BX86" i="6"/>
  <c r="BV86" i="6"/>
  <c r="D88" i="6"/>
  <c r="H87" i="6"/>
  <c r="T87" i="5" s="1"/>
  <c r="BE86" i="6"/>
  <c r="CD86" i="6"/>
  <c r="BJ86" i="6"/>
  <c r="BY86" i="6"/>
  <c r="CA86" i="6"/>
  <c r="BK86" i="6"/>
  <c r="L88" i="12"/>
  <c r="J88" i="12"/>
  <c r="M87" i="6" l="1"/>
  <c r="H88" i="6"/>
  <c r="T88" i="5" s="1"/>
  <c r="G87" i="12"/>
  <c r="C89" i="5"/>
  <c r="K88" i="12"/>
  <c r="A88" i="6"/>
  <c r="CD87" i="6" l="1"/>
  <c r="CI87" i="6"/>
  <c r="BM87" i="6"/>
  <c r="CH87" i="6"/>
  <c r="BT87" i="6"/>
  <c r="CG87" i="6"/>
  <c r="CF87" i="6"/>
  <c r="CM87" i="6"/>
  <c r="CL87" i="6"/>
  <c r="CJ87" i="6"/>
  <c r="CK87" i="6"/>
  <c r="BS87" i="6"/>
  <c r="BQ87" i="6"/>
  <c r="BP87" i="6"/>
  <c r="BR87" i="6"/>
  <c r="BO87" i="6"/>
  <c r="BN87" i="6"/>
  <c r="BI87" i="6"/>
  <c r="BE87" i="6"/>
  <c r="BG87" i="6"/>
  <c r="BD87" i="6"/>
  <c r="BV87" i="6"/>
  <c r="BZ87" i="6"/>
  <c r="BY87" i="6"/>
  <c r="BJ87" i="6"/>
  <c r="CA87" i="6"/>
  <c r="BC87" i="6"/>
  <c r="BW87" i="6"/>
  <c r="BK87" i="6"/>
  <c r="CC87" i="6"/>
  <c r="CB87" i="6"/>
  <c r="CE87" i="6"/>
  <c r="BH87" i="6"/>
  <c r="BL87" i="6"/>
  <c r="BX87" i="6"/>
  <c r="BF87" i="6"/>
  <c r="G88" i="12"/>
  <c r="M88" i="6"/>
  <c r="N88" i="6"/>
  <c r="A89" i="12"/>
  <c r="B89" i="6"/>
  <c r="C90" i="5"/>
  <c r="N89" i="5"/>
  <c r="F89" i="5"/>
  <c r="H89" i="5"/>
  <c r="G89" i="5"/>
  <c r="E89" i="5"/>
  <c r="B89" i="5"/>
  <c r="AE89" i="5"/>
  <c r="W89" i="5"/>
  <c r="H89" i="12" s="1"/>
  <c r="AD89" i="5"/>
  <c r="BQ88" i="6" l="1"/>
  <c r="CM88" i="6"/>
  <c r="BP88" i="6"/>
  <c r="CL88" i="6"/>
  <c r="BO88" i="6"/>
  <c r="CK88" i="6"/>
  <c r="BN88" i="6"/>
  <c r="CJ88" i="6"/>
  <c r="BM88" i="6"/>
  <c r="CI88" i="6"/>
  <c r="CH88" i="6"/>
  <c r="CG88" i="6"/>
  <c r="CF88" i="6"/>
  <c r="BT88" i="6"/>
  <c r="BS88" i="6"/>
  <c r="BR88" i="6"/>
  <c r="CA88" i="6"/>
  <c r="CC88" i="6"/>
  <c r="BC88" i="6"/>
  <c r="BZ88" i="6"/>
  <c r="BV88" i="6"/>
  <c r="CE88" i="6"/>
  <c r="BY88" i="6"/>
  <c r="BK88" i="6"/>
  <c r="BX88" i="6"/>
  <c r="BF88" i="6"/>
  <c r="BW88" i="6"/>
  <c r="BE88" i="6"/>
  <c r="BJ88" i="6"/>
  <c r="BD88" i="6"/>
  <c r="BH88" i="6"/>
  <c r="BI88" i="6"/>
  <c r="BG88" i="6"/>
  <c r="BL88" i="6"/>
  <c r="CD88" i="6"/>
  <c r="CB88" i="6"/>
  <c r="A90" i="12"/>
  <c r="B90" i="6"/>
  <c r="F90" i="5"/>
  <c r="AE90" i="5"/>
  <c r="E90" i="5"/>
  <c r="AD90" i="5"/>
  <c r="D90" i="5"/>
  <c r="B90" i="12" s="1"/>
  <c r="B90" i="5"/>
  <c r="H90" i="5"/>
  <c r="G90" i="5"/>
  <c r="N90" i="5"/>
  <c r="J90" i="5"/>
  <c r="K90" i="5"/>
  <c r="E89" i="12"/>
  <c r="F89" i="6"/>
  <c r="D89" i="6"/>
  <c r="CM89" i="6" l="1"/>
  <c r="CL89" i="6"/>
  <c r="CK89" i="6"/>
  <c r="CJ89" i="6"/>
  <c r="CI89" i="6"/>
  <c r="CH89" i="6"/>
  <c r="CG89" i="6"/>
  <c r="CF89" i="6"/>
  <c r="BT89" i="6"/>
  <c r="BS89" i="6"/>
  <c r="BR89" i="6"/>
  <c r="BQ89" i="6"/>
  <c r="BP89" i="6"/>
  <c r="BO89" i="6"/>
  <c r="BN89" i="6"/>
  <c r="BM89" i="6"/>
  <c r="A89" i="6"/>
  <c r="M89" i="6" s="1"/>
  <c r="BK89" i="6" s="1"/>
  <c r="D90" i="6"/>
  <c r="H89" i="6"/>
  <c r="T89" i="5" s="1"/>
  <c r="G89" i="6"/>
  <c r="L90" i="12"/>
  <c r="J90" i="12"/>
  <c r="AX89" i="6" l="1"/>
  <c r="AY89" i="6"/>
  <c r="AT89" i="6"/>
  <c r="AU89" i="6"/>
  <c r="AZ89" i="6"/>
  <c r="AV89" i="6"/>
  <c r="BA89" i="6"/>
  <c r="AW89" i="6"/>
  <c r="N89" i="6"/>
  <c r="A90" i="6"/>
  <c r="M90" i="6" s="1"/>
  <c r="BJ90" i="6" s="1"/>
  <c r="BW89" i="6"/>
  <c r="BH89" i="6"/>
  <c r="BY89" i="6"/>
  <c r="BX89" i="6"/>
  <c r="CE89" i="6"/>
  <c r="CD89" i="6"/>
  <c r="AR89" i="6"/>
  <c r="BC89" i="6"/>
  <c r="K90" i="12"/>
  <c r="AS89" i="6"/>
  <c r="CB89" i="6"/>
  <c r="BL89" i="6"/>
  <c r="CA89" i="6"/>
  <c r="AJ89" i="6"/>
  <c r="BV89" i="6"/>
  <c r="CC89" i="6"/>
  <c r="BI89" i="6"/>
  <c r="BE89" i="6"/>
  <c r="BF89" i="6"/>
  <c r="AK89" i="6"/>
  <c r="AL89" i="6"/>
  <c r="BD89" i="6"/>
  <c r="BG89" i="6"/>
  <c r="AN89" i="6"/>
  <c r="G89" i="12"/>
  <c r="BZ89" i="6"/>
  <c r="BJ89" i="6"/>
  <c r="AQ89" i="6"/>
  <c r="AO89" i="6"/>
  <c r="H90" i="6"/>
  <c r="T90" i="5" s="1"/>
  <c r="AP89" i="6"/>
  <c r="BT90" i="6" l="1"/>
  <c r="BM90" i="6"/>
  <c r="CG90" i="6"/>
  <c r="CF90" i="6"/>
  <c r="CH90" i="6"/>
  <c r="BN90" i="6"/>
  <c r="CI90" i="6"/>
  <c r="CJ90" i="6"/>
  <c r="BO90" i="6"/>
  <c r="CK90" i="6"/>
  <c r="BP90" i="6"/>
  <c r="CL90" i="6"/>
  <c r="BQ90" i="6"/>
  <c r="CM90" i="6"/>
  <c r="BR90" i="6"/>
  <c r="BS90" i="6"/>
  <c r="N90" i="6"/>
  <c r="CC90" i="6"/>
  <c r="BK90" i="6"/>
  <c r="BV90" i="6"/>
  <c r="BL90" i="6"/>
  <c r="BF90" i="6"/>
  <c r="BH90" i="6"/>
  <c r="BW90" i="6"/>
  <c r="BC90" i="6"/>
  <c r="C91" i="5"/>
  <c r="BE90" i="6"/>
  <c r="CE90" i="6"/>
  <c r="BG90" i="6"/>
  <c r="CD90" i="6"/>
  <c r="BI90" i="6"/>
  <c r="BD90" i="6"/>
  <c r="CA90" i="6"/>
  <c r="G90" i="12"/>
  <c r="BX90" i="6"/>
  <c r="BY90" i="6"/>
  <c r="BZ90" i="6"/>
  <c r="CB90" i="6"/>
  <c r="A91" i="12" l="1"/>
  <c r="B91" i="6"/>
  <c r="F91" i="5"/>
  <c r="AE91" i="5"/>
  <c r="E91" i="5"/>
  <c r="AD91" i="5"/>
  <c r="B91" i="5"/>
  <c r="G91" i="5"/>
  <c r="C92" i="5"/>
  <c r="N91" i="5"/>
  <c r="H91" i="5"/>
  <c r="W91" i="5" l="1"/>
  <c r="H91" i="12" s="1"/>
  <c r="D91" i="6"/>
  <c r="A92" i="12"/>
  <c r="B92" i="6"/>
  <c r="C93" i="5"/>
  <c r="N92" i="5"/>
  <c r="K92" i="5"/>
  <c r="F92" i="5"/>
  <c r="D92" i="5"/>
  <c r="B92" i="12" s="1"/>
  <c r="B92" i="5"/>
  <c r="AE92" i="5"/>
  <c r="AD92" i="5"/>
  <c r="G92" i="5"/>
  <c r="E92" i="5"/>
  <c r="J92" i="5"/>
  <c r="H92" i="5"/>
  <c r="E91" i="12"/>
  <c r="F91" i="6"/>
  <c r="CM91" i="6" l="1"/>
  <c r="CL91" i="6"/>
  <c r="CK91" i="6"/>
  <c r="CJ91" i="6"/>
  <c r="CI91" i="6"/>
  <c r="CH91" i="6"/>
  <c r="CG91" i="6"/>
  <c r="CF91" i="6"/>
  <c r="BT91" i="6"/>
  <c r="BS91" i="6"/>
  <c r="BR91" i="6"/>
  <c r="BQ91" i="6"/>
  <c r="BP91" i="6"/>
  <c r="BO91" i="6"/>
  <c r="BN91" i="6"/>
  <c r="BM91" i="6"/>
  <c r="A91" i="6"/>
  <c r="M91" i="6" s="1"/>
  <c r="BE91" i="6" s="1"/>
  <c r="D92" i="6"/>
  <c r="L92" i="12"/>
  <c r="J92" i="12"/>
  <c r="H91" i="6"/>
  <c r="T91" i="5" s="1"/>
  <c r="G91" i="6"/>
  <c r="A93" i="12"/>
  <c r="B93" i="6"/>
  <c r="F93" i="5"/>
  <c r="AE93" i="5"/>
  <c r="E93" i="5"/>
  <c r="AD93" i="5"/>
  <c r="D93" i="5"/>
  <c r="B93" i="12" s="1"/>
  <c r="B93" i="5"/>
  <c r="H93" i="5"/>
  <c r="G93" i="5"/>
  <c r="C94" i="5"/>
  <c r="N93" i="5"/>
  <c r="J93" i="5"/>
  <c r="K93" i="5"/>
  <c r="AT91" i="6" l="1"/>
  <c r="AZ91" i="6"/>
  <c r="AU91" i="6"/>
  <c r="AV91" i="6"/>
  <c r="AW91" i="6"/>
  <c r="AY91" i="6"/>
  <c r="BA91" i="6"/>
  <c r="AX91" i="6"/>
  <c r="N91" i="6"/>
  <c r="A92" i="6"/>
  <c r="M92" i="6" s="1"/>
  <c r="BV92" i="6" s="1"/>
  <c r="K92" i="12"/>
  <c r="CB91" i="6"/>
  <c r="CC91" i="6"/>
  <c r="AK91" i="6"/>
  <c r="CE91" i="6"/>
  <c r="CD91" i="6"/>
  <c r="AS91" i="6"/>
  <c r="AQ91" i="6"/>
  <c r="BJ91" i="6"/>
  <c r="AL91" i="6"/>
  <c r="G91" i="12"/>
  <c r="BL91" i="6"/>
  <c r="BI91" i="6"/>
  <c r="D93" i="6"/>
  <c r="BF91" i="6"/>
  <c r="BV91" i="6"/>
  <c r="BZ91" i="6"/>
  <c r="CA91" i="6"/>
  <c r="AP91" i="6"/>
  <c r="BK91" i="6"/>
  <c r="BD91" i="6"/>
  <c r="BH91" i="6"/>
  <c r="AO91" i="6"/>
  <c r="BW91" i="6"/>
  <c r="AN91" i="6"/>
  <c r="BX91" i="6"/>
  <c r="L93" i="12"/>
  <c r="J93" i="12"/>
  <c r="AJ91" i="6"/>
  <c r="BG91" i="6"/>
  <c r="BY91" i="6"/>
  <c r="BC91" i="6"/>
  <c r="A94" i="12"/>
  <c r="B94" i="6"/>
  <c r="C95" i="5"/>
  <c r="N94" i="5"/>
  <c r="K94" i="5"/>
  <c r="F94" i="5"/>
  <c r="H94" i="5"/>
  <c r="G94" i="5"/>
  <c r="E94" i="5"/>
  <c r="D94" i="5"/>
  <c r="B94" i="12" s="1"/>
  <c r="B94" i="5"/>
  <c r="AE94" i="5"/>
  <c r="AD94" i="5"/>
  <c r="J94" i="5"/>
  <c r="AR91" i="6"/>
  <c r="H92" i="6"/>
  <c r="T92" i="5" s="1"/>
  <c r="CF92" i="6" l="1"/>
  <c r="CH92" i="6"/>
  <c r="CI92" i="6"/>
  <c r="CJ92" i="6"/>
  <c r="BO92" i="6"/>
  <c r="CG92" i="6"/>
  <c r="CK92" i="6"/>
  <c r="BP92" i="6"/>
  <c r="CL92" i="6"/>
  <c r="BQ92" i="6"/>
  <c r="CM92" i="6"/>
  <c r="BR92" i="6"/>
  <c r="BS92" i="6"/>
  <c r="BT92" i="6"/>
  <c r="BN92" i="6"/>
  <c r="BM92" i="6"/>
  <c r="N92" i="6"/>
  <c r="BI92" i="6"/>
  <c r="BH92" i="6"/>
  <c r="BZ92" i="6"/>
  <c r="BY92" i="6"/>
  <c r="BW92" i="6"/>
  <c r="BX92" i="6"/>
  <c r="BD92" i="6"/>
  <c r="BE92" i="6"/>
  <c r="BF92" i="6"/>
  <c r="BG92" i="6"/>
  <c r="CA92" i="6"/>
  <c r="CD92" i="6"/>
  <c r="CE92" i="6"/>
  <c r="BC92" i="6"/>
  <c r="H93" i="6"/>
  <c r="T93" i="5" s="1"/>
  <c r="J94" i="12"/>
  <c r="L94" i="12"/>
  <c r="A93" i="6"/>
  <c r="M93" i="6" s="1"/>
  <c r="CG93" i="6" s="1"/>
  <c r="CC92" i="6"/>
  <c r="BK92" i="6"/>
  <c r="G92" i="12"/>
  <c r="BJ92" i="6"/>
  <c r="CB92" i="6"/>
  <c r="BL92" i="6"/>
  <c r="K93" i="12"/>
  <c r="D94" i="6"/>
  <c r="A95" i="12"/>
  <c r="B95" i="6"/>
  <c r="F95" i="5"/>
  <c r="AE95" i="5"/>
  <c r="E95" i="5"/>
  <c r="AD95" i="5"/>
  <c r="D95" i="5"/>
  <c r="B95" i="12" s="1"/>
  <c r="B95" i="5"/>
  <c r="K95" i="5"/>
  <c r="J95" i="5"/>
  <c r="H95" i="5"/>
  <c r="G95" i="5"/>
  <c r="N95" i="5"/>
  <c r="BR93" i="6" l="1"/>
  <c r="BS93" i="6"/>
  <c r="BT93" i="6"/>
  <c r="BM93" i="6"/>
  <c r="BO93" i="6"/>
  <c r="BN93" i="6"/>
  <c r="BP93" i="6"/>
  <c r="CK93" i="6"/>
  <c r="CH93" i="6"/>
  <c r="CI93" i="6"/>
  <c r="BQ93" i="6"/>
  <c r="CJ93" i="6"/>
  <c r="CL93" i="6"/>
  <c r="CM93" i="6"/>
  <c r="CF93" i="6"/>
  <c r="K94" i="12"/>
  <c r="CC93" i="6"/>
  <c r="CD93" i="6"/>
  <c r="BZ93" i="6"/>
  <c r="BI93" i="6"/>
  <c r="CE93" i="6"/>
  <c r="BD93" i="6"/>
  <c r="BH93" i="6"/>
  <c r="BF93" i="6"/>
  <c r="BK93" i="6"/>
  <c r="CA93" i="6"/>
  <c r="BY93" i="6"/>
  <c r="BV93" i="6"/>
  <c r="BC93" i="6"/>
  <c r="BL93" i="6"/>
  <c r="CB93" i="6"/>
  <c r="BE93" i="6"/>
  <c r="BG93" i="6"/>
  <c r="BJ93" i="6"/>
  <c r="BX93" i="6"/>
  <c r="BW93" i="6"/>
  <c r="N93" i="6"/>
  <c r="H94" i="6"/>
  <c r="T94" i="5" s="1"/>
  <c r="G93" i="12"/>
  <c r="A94" i="6"/>
  <c r="N94" i="6" s="1"/>
  <c r="C96" i="5"/>
  <c r="D95" i="6"/>
  <c r="L95" i="12"/>
  <c r="J95" i="12"/>
  <c r="M94" i="6" l="1"/>
  <c r="A95" i="6"/>
  <c r="N95" i="6" s="1"/>
  <c r="G94" i="12"/>
  <c r="K95" i="12"/>
  <c r="H95" i="6"/>
  <c r="T95" i="5" s="1"/>
  <c r="A96" i="12"/>
  <c r="B96" i="6"/>
  <c r="F96" i="5"/>
  <c r="AE96" i="5"/>
  <c r="E96" i="5"/>
  <c r="AD96" i="5"/>
  <c r="B96" i="5"/>
  <c r="N96" i="5"/>
  <c r="H96" i="5"/>
  <c r="G96" i="5"/>
  <c r="C97" i="5"/>
  <c r="BR94" i="6" l="1"/>
  <c r="BQ94" i="6"/>
  <c r="CM94" i="6"/>
  <c r="BP94" i="6"/>
  <c r="CL94" i="6"/>
  <c r="BO94" i="6"/>
  <c r="CK94" i="6"/>
  <c r="BN94" i="6"/>
  <c r="CJ94" i="6"/>
  <c r="BM94" i="6"/>
  <c r="CI94" i="6"/>
  <c r="CH94" i="6"/>
  <c r="CG94" i="6"/>
  <c r="CF94" i="6"/>
  <c r="BT94" i="6"/>
  <c r="BS94" i="6"/>
  <c r="W96" i="5"/>
  <c r="H96" i="12" s="1"/>
  <c r="A97" i="12"/>
  <c r="B97" i="6"/>
  <c r="C98" i="5"/>
  <c r="N97" i="5"/>
  <c r="K97" i="5"/>
  <c r="F97" i="5"/>
  <c r="J97" i="5"/>
  <c r="H97" i="5"/>
  <c r="G97" i="5"/>
  <c r="E97" i="5"/>
  <c r="B97" i="5"/>
  <c r="AE97" i="5"/>
  <c r="AD97" i="5"/>
  <c r="D97" i="5"/>
  <c r="B97" i="12" s="1"/>
  <c r="CC94" i="6"/>
  <c r="BJ94" i="6"/>
  <c r="CB94" i="6"/>
  <c r="CE94" i="6"/>
  <c r="CD94" i="6"/>
  <c r="BV94" i="6"/>
  <c r="CA94" i="6"/>
  <c r="BZ94" i="6"/>
  <c r="BG94" i="6"/>
  <c r="BD94" i="6"/>
  <c r="BL94" i="6"/>
  <c r="BX94" i="6"/>
  <c r="BE94" i="6"/>
  <c r="BW94" i="6"/>
  <c r="BK94" i="6"/>
  <c r="BY94" i="6"/>
  <c r="BH94" i="6"/>
  <c r="BI94" i="6"/>
  <c r="BC94" i="6"/>
  <c r="BF94" i="6"/>
  <c r="M95" i="6"/>
  <c r="E96" i="12"/>
  <c r="F96" i="6"/>
  <c r="D96" i="6"/>
  <c r="G95" i="12"/>
  <c r="CI96" i="6" l="1"/>
  <c r="CH96" i="6"/>
  <c r="CG96" i="6"/>
  <c r="CF96" i="6"/>
  <c r="CM96" i="6"/>
  <c r="CL96" i="6"/>
  <c r="CJ96" i="6"/>
  <c r="CK96" i="6"/>
  <c r="BQ96" i="6"/>
  <c r="BP96" i="6"/>
  <c r="BO96" i="6"/>
  <c r="BN96" i="6"/>
  <c r="BM96" i="6"/>
  <c r="BT96" i="6"/>
  <c r="BS96" i="6"/>
  <c r="BR96" i="6"/>
  <c r="CF95" i="6"/>
  <c r="BN95" i="6"/>
  <c r="CG95" i="6"/>
  <c r="BR95" i="6"/>
  <c r="BP95" i="6"/>
  <c r="BM95" i="6"/>
  <c r="BQ95" i="6"/>
  <c r="BO95" i="6"/>
  <c r="BT95" i="6"/>
  <c r="BS95" i="6"/>
  <c r="CI95" i="6"/>
  <c r="CH95" i="6"/>
  <c r="CM95" i="6"/>
  <c r="CK95" i="6"/>
  <c r="CL95" i="6"/>
  <c r="CJ95" i="6"/>
  <c r="A96" i="6"/>
  <c r="M96" i="6" s="1"/>
  <c r="CA96" i="6" s="1"/>
  <c r="D97" i="6"/>
  <c r="BZ95" i="6"/>
  <c r="CB95" i="6"/>
  <c r="BY95" i="6"/>
  <c r="BG95" i="6"/>
  <c r="BV95" i="6"/>
  <c r="BX95" i="6"/>
  <c r="BH95" i="6"/>
  <c r="BJ95" i="6"/>
  <c r="CA95" i="6"/>
  <c r="BW95" i="6"/>
  <c r="BL95" i="6"/>
  <c r="BD95" i="6"/>
  <c r="BF95" i="6"/>
  <c r="CE95" i="6"/>
  <c r="CC95" i="6"/>
  <c r="BK95" i="6"/>
  <c r="BE95" i="6"/>
  <c r="BI95" i="6"/>
  <c r="CD95" i="6"/>
  <c r="BC95" i="6"/>
  <c r="A98" i="12"/>
  <c r="B98" i="6"/>
  <c r="F98" i="5"/>
  <c r="AE98" i="5"/>
  <c r="E98" i="5"/>
  <c r="AD98" i="5"/>
  <c r="D98" i="5"/>
  <c r="B98" i="12" s="1"/>
  <c r="B98" i="5"/>
  <c r="N98" i="5"/>
  <c r="K98" i="5"/>
  <c r="J98" i="5"/>
  <c r="H98" i="5"/>
  <c r="C99" i="5"/>
  <c r="G98" i="5"/>
  <c r="H96" i="6"/>
  <c r="T96" i="5" s="1"/>
  <c r="G96" i="6"/>
  <c r="J97" i="12"/>
  <c r="L97" i="12"/>
  <c r="AV96" i="6" l="1"/>
  <c r="BA96" i="6"/>
  <c r="AT96" i="6"/>
  <c r="AU96" i="6"/>
  <c r="AW96" i="6"/>
  <c r="AX96" i="6"/>
  <c r="AY96" i="6"/>
  <c r="AZ96" i="6"/>
  <c r="K97" i="12"/>
  <c r="N96" i="6"/>
  <c r="BY96" i="6"/>
  <c r="BX96" i="6"/>
  <c r="CE96" i="6"/>
  <c r="BC96" i="6"/>
  <c r="BI96" i="6"/>
  <c r="BH96" i="6"/>
  <c r="BW96" i="6"/>
  <c r="CC96" i="6"/>
  <c r="BK96" i="6"/>
  <c r="AP96" i="6"/>
  <c r="H97" i="6"/>
  <c r="T97" i="5" s="1"/>
  <c r="D98" i="6"/>
  <c r="AN96" i="6"/>
  <c r="BV96" i="6"/>
  <c r="G96" i="12"/>
  <c r="BD96" i="6"/>
  <c r="BF96" i="6"/>
  <c r="AJ96" i="6"/>
  <c r="BE96" i="6"/>
  <c r="BG96" i="6"/>
  <c r="L98" i="12"/>
  <c r="J98" i="12"/>
  <c r="BZ96" i="6"/>
  <c r="BJ96" i="6"/>
  <c r="A97" i="6"/>
  <c r="N97" i="6" s="1"/>
  <c r="AR96" i="6"/>
  <c r="A99" i="12"/>
  <c r="B99" i="6"/>
  <c r="C100" i="5"/>
  <c r="N99" i="5"/>
  <c r="K99" i="5"/>
  <c r="F99" i="5"/>
  <c r="AD99" i="5"/>
  <c r="J99" i="5"/>
  <c r="G99" i="5"/>
  <c r="E99" i="5"/>
  <c r="D99" i="5"/>
  <c r="B99" i="12" s="1"/>
  <c r="B99" i="5"/>
  <c r="AE99" i="5"/>
  <c r="H99" i="5"/>
  <c r="CB96" i="6"/>
  <c r="AL96" i="6"/>
  <c r="BL96" i="6"/>
  <c r="CD96" i="6"/>
  <c r="AK96" i="6"/>
  <c r="AO96" i="6"/>
  <c r="AQ96" i="6"/>
  <c r="AS96" i="6"/>
  <c r="A98" i="6" l="1"/>
  <c r="N98" i="6" s="1"/>
  <c r="M97" i="6"/>
  <c r="A100" i="12"/>
  <c r="B100" i="6"/>
  <c r="F100" i="5"/>
  <c r="AE100" i="5"/>
  <c r="E100" i="5"/>
  <c r="AD100" i="5"/>
  <c r="D100" i="5"/>
  <c r="B100" i="12" s="1"/>
  <c r="B100" i="5"/>
  <c r="K100" i="5"/>
  <c r="J100" i="5"/>
  <c r="H100" i="5"/>
  <c r="N100" i="5"/>
  <c r="G100" i="5"/>
  <c r="G97" i="12"/>
  <c r="H98" i="6"/>
  <c r="T98" i="5" s="1"/>
  <c r="D99" i="6"/>
  <c r="L99" i="12"/>
  <c r="J99" i="12"/>
  <c r="K98" i="12"/>
  <c r="CM97" i="6" l="1"/>
  <c r="BP97" i="6"/>
  <c r="CL97" i="6"/>
  <c r="BO97" i="6"/>
  <c r="CK97" i="6"/>
  <c r="BN97" i="6"/>
  <c r="CJ97" i="6"/>
  <c r="BM97" i="6"/>
  <c r="CI97" i="6"/>
  <c r="CH97" i="6"/>
  <c r="CG97" i="6"/>
  <c r="CF97" i="6"/>
  <c r="BT97" i="6"/>
  <c r="BS97" i="6"/>
  <c r="BR97" i="6"/>
  <c r="BQ97" i="6"/>
  <c r="A99" i="6"/>
  <c r="N99" i="6" s="1"/>
  <c r="M98" i="6"/>
  <c r="K99" i="12"/>
  <c r="G98" i="12"/>
  <c r="D100" i="6"/>
  <c r="J100" i="12"/>
  <c r="L100" i="12"/>
  <c r="H99" i="6"/>
  <c r="T99" i="5" s="1"/>
  <c r="BJ97" i="6"/>
  <c r="CD97" i="6"/>
  <c r="BI97" i="6"/>
  <c r="BK97" i="6"/>
  <c r="CC97" i="6"/>
  <c r="BC97" i="6"/>
  <c r="BV97" i="6"/>
  <c r="BE97" i="6"/>
  <c r="BL97" i="6"/>
  <c r="CB97" i="6"/>
  <c r="BX97" i="6"/>
  <c r="CE97" i="6"/>
  <c r="BF97" i="6"/>
  <c r="CA97" i="6"/>
  <c r="BW97" i="6"/>
  <c r="BY97" i="6"/>
  <c r="BG97" i="6"/>
  <c r="BD97" i="6"/>
  <c r="BZ97" i="6"/>
  <c r="BH97" i="6"/>
  <c r="BE98" i="6" l="1"/>
  <c r="BS98" i="6"/>
  <c r="BR98" i="6"/>
  <c r="CM98" i="6"/>
  <c r="BQ98" i="6"/>
  <c r="CL98" i="6"/>
  <c r="BP98" i="6"/>
  <c r="CK98" i="6"/>
  <c r="BO98" i="6"/>
  <c r="CJ98" i="6"/>
  <c r="CI98" i="6"/>
  <c r="BN98" i="6"/>
  <c r="CH98" i="6"/>
  <c r="CF98" i="6"/>
  <c r="CG98" i="6"/>
  <c r="BM98" i="6"/>
  <c r="BT98" i="6"/>
  <c r="M99" i="6"/>
  <c r="A100" i="6"/>
  <c r="N100" i="6" s="1"/>
  <c r="BF98" i="6"/>
  <c r="BK98" i="6"/>
  <c r="BG98" i="6"/>
  <c r="BH98" i="6"/>
  <c r="BC98" i="6"/>
  <c r="BD98" i="6"/>
  <c r="CD98" i="6"/>
  <c r="BZ98" i="6"/>
  <c r="BW98" i="6"/>
  <c r="CA98" i="6"/>
  <c r="BV98" i="6"/>
  <c r="BI98" i="6"/>
  <c r="BY98" i="6"/>
  <c r="CE98" i="6"/>
  <c r="BL98" i="6"/>
  <c r="CB98" i="6"/>
  <c r="BJ98" i="6"/>
  <c r="CC98" i="6"/>
  <c r="BX98" i="6"/>
  <c r="K100" i="12"/>
  <c r="G99" i="12"/>
  <c r="H100" i="6"/>
  <c r="T100" i="5" s="1"/>
  <c r="BI99" i="6" l="1"/>
  <c r="BQ99" i="6"/>
  <c r="BS99" i="6"/>
  <c r="BP99" i="6"/>
  <c r="BR99" i="6"/>
  <c r="BO99" i="6"/>
  <c r="BN99" i="6"/>
  <c r="CI99" i="6"/>
  <c r="BM99" i="6"/>
  <c r="BT99" i="6"/>
  <c r="CH99" i="6"/>
  <c r="CG99" i="6"/>
  <c r="CF99" i="6"/>
  <c r="CM99" i="6"/>
  <c r="CL99" i="6"/>
  <c r="CJ99" i="6"/>
  <c r="CK99" i="6"/>
  <c r="BH99" i="6"/>
  <c r="BX99" i="6"/>
  <c r="CE99" i="6"/>
  <c r="BG99" i="6"/>
  <c r="CC99" i="6"/>
  <c r="BY99" i="6"/>
  <c r="BV99" i="6"/>
  <c r="BF99" i="6"/>
  <c r="BZ99" i="6"/>
  <c r="BE99" i="6"/>
  <c r="BL99" i="6"/>
  <c r="BC99" i="6"/>
  <c r="BD99" i="6"/>
  <c r="CD99" i="6"/>
  <c r="BW99" i="6"/>
  <c r="CB99" i="6"/>
  <c r="BK99" i="6"/>
  <c r="BJ99" i="6"/>
  <c r="CA99" i="6"/>
  <c r="M100" i="6"/>
  <c r="C101" i="5"/>
  <c r="G100" i="12"/>
  <c r="BK100" i="6" l="1"/>
  <c r="CI100" i="6"/>
  <c r="BS100" i="6"/>
  <c r="CH100" i="6"/>
  <c r="CG100" i="6"/>
  <c r="CF100" i="6"/>
  <c r="BT100" i="6"/>
  <c r="BN100" i="6"/>
  <c r="BR100" i="6"/>
  <c r="BQ100" i="6"/>
  <c r="CM100" i="6"/>
  <c r="BP100" i="6"/>
  <c r="CL100" i="6"/>
  <c r="BO100" i="6"/>
  <c r="CK100" i="6"/>
  <c r="CJ100" i="6"/>
  <c r="BM100" i="6"/>
  <c r="BC100" i="6"/>
  <c r="BJ100" i="6"/>
  <c r="CA100" i="6"/>
  <c r="BE100" i="6"/>
  <c r="CE100" i="6"/>
  <c r="BH100" i="6"/>
  <c r="CD100" i="6"/>
  <c r="CC100" i="6"/>
  <c r="BL100" i="6"/>
  <c r="BZ100" i="6"/>
  <c r="BV100" i="6"/>
  <c r="BF100" i="6"/>
  <c r="BG100" i="6"/>
  <c r="BD100" i="6"/>
  <c r="BY100" i="6"/>
  <c r="CB100" i="6"/>
  <c r="BW100" i="6"/>
  <c r="BI100" i="6"/>
  <c r="BX100" i="6"/>
  <c r="A101" i="12"/>
  <c r="B101" i="6"/>
  <c r="G101" i="5"/>
  <c r="F101" i="5"/>
  <c r="AE101" i="5"/>
  <c r="E101" i="5"/>
  <c r="AD101" i="5"/>
  <c r="B101" i="5"/>
  <c r="N101" i="5"/>
  <c r="C102" i="5"/>
  <c r="H101" i="5"/>
  <c r="W101" i="5" l="1"/>
  <c r="H101" i="12" s="1"/>
  <c r="A102" i="12"/>
  <c r="B102" i="6"/>
  <c r="N102" i="5"/>
  <c r="K102" i="5"/>
  <c r="G102" i="5"/>
  <c r="F102" i="5"/>
  <c r="AE102" i="5"/>
  <c r="AD102" i="5"/>
  <c r="H102" i="5"/>
  <c r="E102" i="5"/>
  <c r="D102" i="5"/>
  <c r="B102" i="12" s="1"/>
  <c r="J102" i="5"/>
  <c r="B102" i="5"/>
  <c r="D101" i="6"/>
  <c r="E101" i="12"/>
  <c r="F101" i="6"/>
  <c r="CI101" i="6" l="1"/>
  <c r="CH101" i="6"/>
  <c r="CG101" i="6"/>
  <c r="CF101" i="6"/>
  <c r="CM101" i="6"/>
  <c r="CL101" i="6"/>
  <c r="CJ101" i="6"/>
  <c r="CK101" i="6"/>
  <c r="BQ101" i="6"/>
  <c r="BP101" i="6"/>
  <c r="BO101" i="6"/>
  <c r="BN101" i="6"/>
  <c r="BM101" i="6"/>
  <c r="BT101" i="6"/>
  <c r="BS101" i="6"/>
  <c r="BR101" i="6"/>
  <c r="L102" i="12"/>
  <c r="J102" i="12"/>
  <c r="D102" i="6"/>
  <c r="C103" i="5"/>
  <c r="H101" i="6"/>
  <c r="T101" i="5" s="1"/>
  <c r="G101" i="6"/>
  <c r="A101" i="6"/>
  <c r="A102" i="6" l="1"/>
  <c r="K102" i="12"/>
  <c r="M101" i="6"/>
  <c r="N101" i="6"/>
  <c r="G101" i="12"/>
  <c r="A103" i="12"/>
  <c r="B103" i="6"/>
  <c r="C104" i="5"/>
  <c r="N103" i="5"/>
  <c r="G103" i="5"/>
  <c r="F103" i="5"/>
  <c r="W103" i="5"/>
  <c r="H103" i="12" s="1"/>
  <c r="H103" i="5"/>
  <c r="E103" i="5"/>
  <c r="B103" i="5"/>
  <c r="AE103" i="5"/>
  <c r="AD103" i="5"/>
  <c r="H102" i="6"/>
  <c r="T102" i="5" s="1"/>
  <c r="M102" i="6" l="1"/>
  <c r="BZ102" i="6" s="1"/>
  <c r="AN101" i="6"/>
  <c r="AX101" i="6"/>
  <c r="AY101" i="6"/>
  <c r="AW101" i="6"/>
  <c r="AU101" i="6"/>
  <c r="AT101" i="6"/>
  <c r="BA101" i="6"/>
  <c r="AV101" i="6"/>
  <c r="AZ101" i="6"/>
  <c r="N102" i="6"/>
  <c r="AS101" i="6"/>
  <c r="AR101" i="6"/>
  <c r="AQ101" i="6"/>
  <c r="AJ101" i="6"/>
  <c r="AL101" i="6"/>
  <c r="AP101" i="6"/>
  <c r="E103" i="12"/>
  <c r="F103" i="6"/>
  <c r="AO101" i="6"/>
  <c r="G102" i="12"/>
  <c r="D103" i="6"/>
  <c r="AK101" i="6"/>
  <c r="BD101" i="6"/>
  <c r="BV101" i="6"/>
  <c r="BH101" i="6"/>
  <c r="BC101" i="6"/>
  <c r="CD101" i="6"/>
  <c r="BZ101" i="6"/>
  <c r="BJ101" i="6"/>
  <c r="CE101" i="6"/>
  <c r="BL101" i="6"/>
  <c r="CB101" i="6"/>
  <c r="BE101" i="6"/>
  <c r="BX101" i="6"/>
  <c r="BW101" i="6"/>
  <c r="BK101" i="6"/>
  <c r="CC101" i="6"/>
  <c r="BY101" i="6"/>
  <c r="BI101" i="6"/>
  <c r="BF101" i="6"/>
  <c r="BG101" i="6"/>
  <c r="CA101" i="6"/>
  <c r="A104" i="12"/>
  <c r="B104" i="6"/>
  <c r="G104" i="5"/>
  <c r="F104" i="5"/>
  <c r="AE104" i="5"/>
  <c r="E104" i="5"/>
  <c r="AD104" i="5"/>
  <c r="D104" i="5"/>
  <c r="B104" i="12" s="1"/>
  <c r="B104" i="5"/>
  <c r="N104" i="5"/>
  <c r="K104" i="5"/>
  <c r="J104" i="5"/>
  <c r="H104" i="5"/>
  <c r="C105" i="5"/>
  <c r="CM102" i="6" l="1"/>
  <c r="BL102" i="6"/>
  <c r="BI102" i="6"/>
  <c r="BV102" i="6"/>
  <c r="BF102" i="6"/>
  <c r="BC102" i="6"/>
  <c r="BK102" i="6"/>
  <c r="BW102" i="6"/>
  <c r="CE102" i="6"/>
  <c r="BE102" i="6"/>
  <c r="CB102" i="6"/>
  <c r="BD102" i="6"/>
  <c r="BJ102" i="6"/>
  <c r="BP102" i="6"/>
  <c r="CL102" i="6"/>
  <c r="BO102" i="6"/>
  <c r="BH102" i="6"/>
  <c r="CD102" i="6"/>
  <c r="CC102" i="6"/>
  <c r="BG102" i="6"/>
  <c r="BX102" i="6"/>
  <c r="BQ102" i="6"/>
  <c r="CI102" i="6"/>
  <c r="CH102" i="6"/>
  <c r="CK102" i="6"/>
  <c r="CG102" i="6"/>
  <c r="BN102" i="6"/>
  <c r="BR102" i="6"/>
  <c r="CF102" i="6"/>
  <c r="CJ102" i="6"/>
  <c r="BT102" i="6"/>
  <c r="CA102" i="6"/>
  <c r="BY102" i="6"/>
  <c r="BM102" i="6"/>
  <c r="BS102" i="6"/>
  <c r="CM103" i="6"/>
  <c r="CL103" i="6"/>
  <c r="CK103" i="6"/>
  <c r="CJ103" i="6"/>
  <c r="CI103" i="6"/>
  <c r="CH103" i="6"/>
  <c r="CF103" i="6"/>
  <c r="CG103" i="6"/>
  <c r="BM103" i="6"/>
  <c r="BT103" i="6"/>
  <c r="BS103" i="6"/>
  <c r="BR103" i="6"/>
  <c r="BQ103" i="6"/>
  <c r="BP103" i="6"/>
  <c r="BO103" i="6"/>
  <c r="BN103" i="6"/>
  <c r="A103" i="6"/>
  <c r="M103" i="6" s="1"/>
  <c r="BL103" i="6" s="1"/>
  <c r="L104" i="12"/>
  <c r="J104" i="12"/>
  <c r="H103" i="6"/>
  <c r="T103" i="5" s="1"/>
  <c r="G103" i="6"/>
  <c r="A105" i="12"/>
  <c r="B105" i="6"/>
  <c r="N105" i="5"/>
  <c r="C106" i="5"/>
  <c r="K105" i="5"/>
  <c r="G105" i="5"/>
  <c r="F105" i="5"/>
  <c r="AE105" i="5"/>
  <c r="AD105" i="5"/>
  <c r="B105" i="5"/>
  <c r="E105" i="5"/>
  <c r="D105" i="5"/>
  <c r="B105" i="12" s="1"/>
  <c r="J105" i="5"/>
  <c r="H105" i="5"/>
  <c r="D104" i="6"/>
  <c r="AY103" i="6" l="1"/>
  <c r="BA103" i="6"/>
  <c r="AW103" i="6"/>
  <c r="AX103" i="6"/>
  <c r="AZ103" i="6"/>
  <c r="AT103" i="6"/>
  <c r="AU103" i="6"/>
  <c r="AV103" i="6"/>
  <c r="N103" i="6"/>
  <c r="A104" i="6"/>
  <c r="N104" i="6" s="1"/>
  <c r="CB103" i="6"/>
  <c r="BZ103" i="6"/>
  <c r="AJ103" i="6"/>
  <c r="CA103" i="6"/>
  <c r="CD103" i="6"/>
  <c r="BV103" i="6"/>
  <c r="BY103" i="6"/>
  <c r="AS103" i="6"/>
  <c r="CE103" i="6"/>
  <c r="BF103" i="6"/>
  <c r="AR103" i="6"/>
  <c r="CC103" i="6"/>
  <c r="BG103" i="6"/>
  <c r="BH103" i="6"/>
  <c r="BI103" i="6"/>
  <c r="BX103" i="6"/>
  <c r="BC103" i="6"/>
  <c r="D105" i="6"/>
  <c r="H104" i="6"/>
  <c r="T104" i="5" s="1"/>
  <c r="AK103" i="6"/>
  <c r="L105" i="12"/>
  <c r="J105" i="12"/>
  <c r="A106" i="12"/>
  <c r="B106" i="6"/>
  <c r="J106" i="5"/>
  <c r="C107" i="5"/>
  <c r="H106" i="5"/>
  <c r="G106" i="5"/>
  <c r="F106" i="5"/>
  <c r="E106" i="5"/>
  <c r="D106" i="5"/>
  <c r="B106" i="12" s="1"/>
  <c r="AE106" i="5"/>
  <c r="B106" i="5"/>
  <c r="AD106" i="5"/>
  <c r="N106" i="5"/>
  <c r="K106" i="5"/>
  <c r="AP103" i="6"/>
  <c r="G103" i="12"/>
  <c r="K104" i="12"/>
  <c r="AL103" i="6"/>
  <c r="AO103" i="6"/>
  <c r="BJ103" i="6"/>
  <c r="AQ103" i="6"/>
  <c r="AN103" i="6"/>
  <c r="BK103" i="6"/>
  <c r="BE103" i="6"/>
  <c r="BD103" i="6"/>
  <c r="BW103" i="6"/>
  <c r="A105" i="6" l="1"/>
  <c r="N105" i="6" s="1"/>
  <c r="M104" i="6"/>
  <c r="G104" i="12"/>
  <c r="L106" i="12"/>
  <c r="J106" i="12"/>
  <c r="K105" i="12"/>
  <c r="D106" i="6"/>
  <c r="A107" i="12"/>
  <c r="B107" i="6"/>
  <c r="B107" i="5"/>
  <c r="AE107" i="5"/>
  <c r="AD107" i="5"/>
  <c r="N107" i="5"/>
  <c r="K107" i="5"/>
  <c r="J107" i="5"/>
  <c r="H107" i="5"/>
  <c r="G107" i="5"/>
  <c r="F107" i="5"/>
  <c r="E107" i="5"/>
  <c r="D107" i="5"/>
  <c r="B107" i="12" s="1"/>
  <c r="C108" i="5"/>
  <c r="H105" i="6"/>
  <c r="T105" i="5" s="1"/>
  <c r="CD104" i="6" l="1"/>
  <c r="CI104" i="6"/>
  <c r="BM104" i="6"/>
  <c r="CH104" i="6"/>
  <c r="BT104" i="6"/>
  <c r="CG104" i="6"/>
  <c r="CF104" i="6"/>
  <c r="CM104" i="6"/>
  <c r="BS104" i="6"/>
  <c r="CL104" i="6"/>
  <c r="CJ104" i="6"/>
  <c r="BR104" i="6"/>
  <c r="CK104" i="6"/>
  <c r="BQ104" i="6"/>
  <c r="BP104" i="6"/>
  <c r="BO104" i="6"/>
  <c r="BN104" i="6"/>
  <c r="CB104" i="6"/>
  <c r="BX104" i="6"/>
  <c r="BD104" i="6"/>
  <c r="BI104" i="6"/>
  <c r="BH104" i="6"/>
  <c r="BY104" i="6"/>
  <c r="CC104" i="6"/>
  <c r="M105" i="6"/>
  <c r="A106" i="6"/>
  <c r="N106" i="6" s="1"/>
  <c r="BE104" i="6"/>
  <c r="BV104" i="6"/>
  <c r="CA104" i="6"/>
  <c r="BK104" i="6"/>
  <c r="BW104" i="6"/>
  <c r="BJ104" i="6"/>
  <c r="BL104" i="6"/>
  <c r="BG104" i="6"/>
  <c r="BF104" i="6"/>
  <c r="CE104" i="6"/>
  <c r="BC104" i="6"/>
  <c r="BZ104" i="6"/>
  <c r="K106" i="12"/>
  <c r="D107" i="6"/>
  <c r="H106" i="6"/>
  <c r="T106" i="5" s="1"/>
  <c r="J107" i="12"/>
  <c r="L107" i="12"/>
  <c r="G105" i="12"/>
  <c r="A108" i="12"/>
  <c r="B108" i="6"/>
  <c r="J108" i="5"/>
  <c r="B108" i="5"/>
  <c r="N108" i="5"/>
  <c r="G108" i="5"/>
  <c r="F108" i="5"/>
  <c r="AE108" i="5"/>
  <c r="AD108" i="5"/>
  <c r="H108" i="5"/>
  <c r="C109" i="5"/>
  <c r="K108" i="5"/>
  <c r="E108" i="5"/>
  <c r="D108" i="5"/>
  <c r="B108" i="12" s="1"/>
  <c r="BX105" i="6" l="1"/>
  <c r="BQ105" i="6"/>
  <c r="BT105" i="6"/>
  <c r="CM105" i="6"/>
  <c r="BP105" i="6"/>
  <c r="BS105" i="6"/>
  <c r="CL105" i="6"/>
  <c r="BO105" i="6"/>
  <c r="CK105" i="6"/>
  <c r="BN105" i="6"/>
  <c r="CJ105" i="6"/>
  <c r="BM105" i="6"/>
  <c r="CI105" i="6"/>
  <c r="CH105" i="6"/>
  <c r="CG105" i="6"/>
  <c r="CF105" i="6"/>
  <c r="BR105" i="6"/>
  <c r="A107" i="6"/>
  <c r="N107" i="6" s="1"/>
  <c r="M106" i="6"/>
  <c r="CA105" i="6"/>
  <c r="BZ105" i="6"/>
  <c r="BC105" i="6"/>
  <c r="BE105" i="6"/>
  <c r="BY105" i="6"/>
  <c r="BV105" i="6"/>
  <c r="CB105" i="6"/>
  <c r="BJ105" i="6"/>
  <c r="BL105" i="6"/>
  <c r="CC105" i="6"/>
  <c r="BK105" i="6"/>
  <c r="BD105" i="6"/>
  <c r="BW105" i="6"/>
  <c r="BI105" i="6"/>
  <c r="BH105" i="6"/>
  <c r="CD105" i="6"/>
  <c r="CE105" i="6"/>
  <c r="BG105" i="6"/>
  <c r="BF105" i="6"/>
  <c r="K107" i="12"/>
  <c r="G106" i="12"/>
  <c r="H107" i="6"/>
  <c r="T107" i="5" s="1"/>
  <c r="L108" i="12"/>
  <c r="J108" i="12"/>
  <c r="A109" i="12"/>
  <c r="B109" i="6"/>
  <c r="B109" i="5"/>
  <c r="N109" i="5"/>
  <c r="K109" i="5"/>
  <c r="J109" i="5"/>
  <c r="H109" i="5"/>
  <c r="G109" i="5"/>
  <c r="F109" i="5"/>
  <c r="D109" i="5"/>
  <c r="B109" i="12" s="1"/>
  <c r="AE109" i="5"/>
  <c r="AD109" i="5"/>
  <c r="E109" i="5"/>
  <c r="D108" i="6"/>
  <c r="M107" i="6" l="1"/>
  <c r="BS107" i="6" s="1"/>
  <c r="BC106" i="6"/>
  <c r="BT106" i="6"/>
  <c r="CM106" i="6"/>
  <c r="BS106" i="6"/>
  <c r="CL106" i="6"/>
  <c r="BQ106" i="6"/>
  <c r="CK106" i="6"/>
  <c r="BP106" i="6"/>
  <c r="CJ106" i="6"/>
  <c r="CI106" i="6"/>
  <c r="BO106" i="6"/>
  <c r="CH106" i="6"/>
  <c r="CF106" i="6"/>
  <c r="CG106" i="6"/>
  <c r="BR106" i="6"/>
  <c r="BN106" i="6"/>
  <c r="BM106" i="6"/>
  <c r="BD106" i="6"/>
  <c r="BW106" i="6"/>
  <c r="BZ106" i="6"/>
  <c r="CD106" i="6"/>
  <c r="CE106" i="6"/>
  <c r="BK106" i="6"/>
  <c r="CC106" i="6"/>
  <c r="BG106" i="6"/>
  <c r="BL106" i="6"/>
  <c r="BH106" i="6"/>
  <c r="CB106" i="6"/>
  <c r="BE106" i="6"/>
  <c r="BX106" i="6"/>
  <c r="BY106" i="6"/>
  <c r="BJ106" i="6"/>
  <c r="BV106" i="6"/>
  <c r="CA106" i="6"/>
  <c r="BF106" i="6"/>
  <c r="BI106" i="6"/>
  <c r="K108" i="12"/>
  <c r="C110" i="5"/>
  <c r="G107" i="12"/>
  <c r="H108" i="6"/>
  <c r="T108" i="5" s="1"/>
  <c r="L109" i="12"/>
  <c r="J109" i="12"/>
  <c r="D109" i="6"/>
  <c r="A108" i="6"/>
  <c r="BD107" i="6" l="1"/>
  <c r="BG107" i="6"/>
  <c r="CI107" i="6"/>
  <c r="BV107" i="6"/>
  <c r="CE107" i="6"/>
  <c r="BO107" i="6"/>
  <c r="BC107" i="6"/>
  <c r="BR107" i="6"/>
  <c r="CG107" i="6"/>
  <c r="BE107" i="6"/>
  <c r="CB107" i="6"/>
  <c r="CA107" i="6"/>
  <c r="BN107" i="6"/>
  <c r="CH107" i="6"/>
  <c r="CD107" i="6"/>
  <c r="CC107" i="6"/>
  <c r="BL107" i="6"/>
  <c r="BY107" i="6"/>
  <c r="CK107" i="6"/>
  <c r="BX107" i="6"/>
  <c r="BI107" i="6"/>
  <c r="BP107" i="6"/>
  <c r="BQ107" i="6"/>
  <c r="BJ107" i="6"/>
  <c r="BZ107" i="6"/>
  <c r="BH107" i="6"/>
  <c r="BW107" i="6"/>
  <c r="BK107" i="6"/>
  <c r="BT107" i="6"/>
  <c r="BF107" i="6"/>
  <c r="CF107" i="6"/>
  <c r="CM107" i="6"/>
  <c r="CL107" i="6"/>
  <c r="CJ107" i="6"/>
  <c r="BM107" i="6"/>
  <c r="A109" i="6"/>
  <c r="N109" i="6" s="1"/>
  <c r="K109" i="12"/>
  <c r="M108" i="6"/>
  <c r="G108" i="12"/>
  <c r="N108" i="6"/>
  <c r="A110" i="12"/>
  <c r="B110" i="5"/>
  <c r="B110" i="6"/>
  <c r="AD110" i="5"/>
  <c r="W110" i="5"/>
  <c r="H110" i="12" s="1"/>
  <c r="AE110" i="5"/>
  <c r="N110" i="5"/>
  <c r="H110" i="5"/>
  <c r="F110" i="5"/>
  <c r="G110" i="5"/>
  <c r="C111" i="5"/>
  <c r="E110" i="5"/>
  <c r="H109" i="6"/>
  <c r="T109" i="5" s="1"/>
  <c r="BH108" i="6" l="1"/>
  <c r="BN108" i="6"/>
  <c r="BM108" i="6"/>
  <c r="BS108" i="6"/>
  <c r="BR108" i="6"/>
  <c r="CM108" i="6"/>
  <c r="BQ108" i="6"/>
  <c r="CL108" i="6"/>
  <c r="BP108" i="6"/>
  <c r="CK108" i="6"/>
  <c r="CJ108" i="6"/>
  <c r="CI108" i="6"/>
  <c r="CH108" i="6"/>
  <c r="CG108" i="6"/>
  <c r="CF108" i="6"/>
  <c r="BT108" i="6"/>
  <c r="BO108" i="6"/>
  <c r="M109" i="6"/>
  <c r="BY108" i="6"/>
  <c r="CC108" i="6"/>
  <c r="CB108" i="6"/>
  <c r="BG108" i="6"/>
  <c r="BD108" i="6"/>
  <c r="BI108" i="6"/>
  <c r="BK108" i="6"/>
  <c r="BE108" i="6"/>
  <c r="BF108" i="6"/>
  <c r="BX108" i="6"/>
  <c r="BC108" i="6"/>
  <c r="BZ108" i="6"/>
  <c r="BW108" i="6"/>
  <c r="BV108" i="6"/>
  <c r="CE108" i="6"/>
  <c r="CD108" i="6"/>
  <c r="CA108" i="6"/>
  <c r="BL108" i="6"/>
  <c r="BJ108" i="6"/>
  <c r="G109" i="12"/>
  <c r="A111" i="12"/>
  <c r="B111" i="6"/>
  <c r="J111" i="5"/>
  <c r="B111" i="5"/>
  <c r="N111" i="5"/>
  <c r="K111" i="5"/>
  <c r="G111" i="5"/>
  <c r="E111" i="5"/>
  <c r="D111" i="5"/>
  <c r="B111" i="12" s="1"/>
  <c r="C112" i="5"/>
  <c r="AE111" i="5"/>
  <c r="AD111" i="5"/>
  <c r="H111" i="5"/>
  <c r="F111" i="5"/>
  <c r="D110" i="6"/>
  <c r="E110" i="12"/>
  <c r="F110" i="6"/>
  <c r="CE109" i="6" l="1"/>
  <c r="CF109" i="6"/>
  <c r="CG109" i="6"/>
  <c r="BR109" i="6"/>
  <c r="BT109" i="6"/>
  <c r="BP109" i="6"/>
  <c r="BN109" i="6"/>
  <c r="BS109" i="6"/>
  <c r="BO109" i="6"/>
  <c r="BM109" i="6"/>
  <c r="CJ109" i="6"/>
  <c r="BQ109" i="6"/>
  <c r="CM109" i="6"/>
  <c r="CL109" i="6"/>
  <c r="CK109" i="6"/>
  <c r="CI109" i="6"/>
  <c r="CH109" i="6"/>
  <c r="CI110" i="6"/>
  <c r="CH110" i="6"/>
  <c r="CG110" i="6"/>
  <c r="CF110" i="6"/>
  <c r="CM110" i="6"/>
  <c r="CL110" i="6"/>
  <c r="CJ110" i="6"/>
  <c r="CK110" i="6"/>
  <c r="BP110" i="6"/>
  <c r="BT110" i="6"/>
  <c r="BS110" i="6"/>
  <c r="BR110" i="6"/>
  <c r="BQ110" i="6"/>
  <c r="BO110" i="6"/>
  <c r="BN110" i="6"/>
  <c r="BM110" i="6"/>
  <c r="BL109" i="6"/>
  <c r="BG109" i="6"/>
  <c r="CA109" i="6"/>
  <c r="BD109" i="6"/>
  <c r="BW109" i="6"/>
  <c r="CC109" i="6"/>
  <c r="CB109" i="6"/>
  <c r="BZ109" i="6"/>
  <c r="BX109" i="6"/>
  <c r="BC109" i="6"/>
  <c r="BJ109" i="6"/>
  <c r="BV109" i="6"/>
  <c r="BE109" i="6"/>
  <c r="CD109" i="6"/>
  <c r="BF109" i="6"/>
  <c r="BK109" i="6"/>
  <c r="BI109" i="6"/>
  <c r="BY109" i="6"/>
  <c r="BH109" i="6"/>
  <c r="A112" i="12"/>
  <c r="B112" i="6"/>
  <c r="B112" i="5"/>
  <c r="J112" i="5"/>
  <c r="C113" i="5"/>
  <c r="H112" i="5"/>
  <c r="G112" i="5"/>
  <c r="F112" i="5"/>
  <c r="E112" i="5"/>
  <c r="D112" i="5"/>
  <c r="B112" i="12" s="1"/>
  <c r="AE112" i="5"/>
  <c r="N112" i="5"/>
  <c r="K112" i="5"/>
  <c r="AD112" i="5"/>
  <c r="H110" i="6"/>
  <c r="T110" i="5" s="1"/>
  <c r="G110" i="6"/>
  <c r="D111" i="6"/>
  <c r="L111" i="12"/>
  <c r="J111" i="12"/>
  <c r="A110" i="6"/>
  <c r="N110" i="6" s="1"/>
  <c r="AM12" i="6"/>
  <c r="H14" i="6"/>
  <c r="K11" i="10"/>
  <c r="BF12" i="6"/>
  <c r="J11" i="9"/>
  <c r="BY12" i="6"/>
  <c r="AR14" i="6" l="1"/>
  <c r="AT14" i="6"/>
  <c r="AU14" i="6"/>
  <c r="AV14" i="6"/>
  <c r="AW14" i="6"/>
  <c r="AX14" i="6"/>
  <c r="AY14" i="6"/>
  <c r="BA14" i="6"/>
  <c r="AZ14" i="6"/>
  <c r="AM23" i="6"/>
  <c r="K111" i="12"/>
  <c r="A113" i="12"/>
  <c r="B113" i="6"/>
  <c r="J113" i="5"/>
  <c r="B113" i="5"/>
  <c r="D113" i="5"/>
  <c r="B113" i="12" s="1"/>
  <c r="AE113" i="5"/>
  <c r="AD113" i="5"/>
  <c r="N113" i="5"/>
  <c r="H113" i="5"/>
  <c r="G113" i="5"/>
  <c r="E113" i="5"/>
  <c r="F113" i="5"/>
  <c r="K113" i="5"/>
  <c r="G110" i="12"/>
  <c r="A111" i="6"/>
  <c r="D112" i="6"/>
  <c r="M110" i="6"/>
  <c r="AN110" i="6" s="1"/>
  <c r="H111" i="6"/>
  <c r="T111" i="5" s="1"/>
  <c r="AM16" i="6"/>
  <c r="AM17" i="6"/>
  <c r="AM19" i="6"/>
  <c r="AM29" i="6"/>
  <c r="AM37" i="6"/>
  <c r="AM40" i="6"/>
  <c r="AM47" i="6"/>
  <c r="AM57" i="6"/>
  <c r="AM63" i="6"/>
  <c r="AM74" i="6"/>
  <c r="AM81" i="6"/>
  <c r="AM89" i="6"/>
  <c r="AM91" i="6"/>
  <c r="AM96" i="6"/>
  <c r="AM101" i="6"/>
  <c r="AM103" i="6"/>
  <c r="L112" i="12"/>
  <c r="J112" i="12"/>
  <c r="AS14" i="6"/>
  <c r="T14" i="5"/>
  <c r="AJ14" i="6"/>
  <c r="AM14" i="6"/>
  <c r="AL14" i="6"/>
  <c r="AP14" i="6"/>
  <c r="AK14" i="6"/>
  <c r="AO14" i="6"/>
  <c r="AQ14" i="6"/>
  <c r="AN14" i="6"/>
  <c r="AX110" i="6" l="1"/>
  <c r="AZ110" i="6"/>
  <c r="AW110" i="6"/>
  <c r="AY110" i="6"/>
  <c r="AU110" i="6"/>
  <c r="AT110" i="6"/>
  <c r="BA110" i="6"/>
  <c r="AV110" i="6"/>
  <c r="I17" i="5"/>
  <c r="AK110" i="6"/>
  <c r="A112" i="6"/>
  <c r="AO110" i="6"/>
  <c r="M111" i="6"/>
  <c r="BK110" i="6"/>
  <c r="BY110" i="6"/>
  <c r="BV110" i="6"/>
  <c r="BL110" i="6"/>
  <c r="CB110" i="6"/>
  <c r="BJ110" i="6"/>
  <c r="BX110" i="6"/>
  <c r="AL110" i="6"/>
  <c r="BI110" i="6"/>
  <c r="CA110" i="6"/>
  <c r="BC110" i="6"/>
  <c r="CE110" i="6"/>
  <c r="AS110" i="6"/>
  <c r="CD110" i="6"/>
  <c r="AR110" i="6"/>
  <c r="BE110" i="6"/>
  <c r="BZ110" i="6"/>
  <c r="BD110" i="6"/>
  <c r="BH110" i="6"/>
  <c r="AQ110" i="6"/>
  <c r="BG110" i="6"/>
  <c r="BF110" i="6"/>
  <c r="CC110" i="6"/>
  <c r="BW110" i="6"/>
  <c r="AJ110" i="6"/>
  <c r="AP110" i="6"/>
  <c r="G111" i="12"/>
  <c r="N111" i="6"/>
  <c r="L113" i="12"/>
  <c r="J113" i="12"/>
  <c r="K112" i="12"/>
  <c r="D113" i="6"/>
  <c r="H112" i="6"/>
  <c r="T112" i="5" s="1"/>
  <c r="AM110" i="6"/>
  <c r="G14" i="12"/>
  <c r="X14" i="5"/>
  <c r="M112" i="6" l="1"/>
  <c r="BF112" i="6" s="1"/>
  <c r="BI111" i="6"/>
  <c r="CF111" i="6"/>
  <c r="BT111" i="6"/>
  <c r="BN111" i="6"/>
  <c r="BQ111" i="6"/>
  <c r="BP111" i="6"/>
  <c r="CM111" i="6"/>
  <c r="BO111" i="6"/>
  <c r="CL111" i="6"/>
  <c r="BM111" i="6"/>
  <c r="CK111" i="6"/>
  <c r="CJ111" i="6"/>
  <c r="CI111" i="6"/>
  <c r="BS111" i="6"/>
  <c r="CH111" i="6"/>
  <c r="CG111" i="6"/>
  <c r="BR111" i="6"/>
  <c r="BD111" i="6"/>
  <c r="BL111" i="6"/>
  <c r="BE111" i="6"/>
  <c r="N112" i="6"/>
  <c r="A113" i="6"/>
  <c r="N113" i="6" s="1"/>
  <c r="CE111" i="6"/>
  <c r="BY111" i="6"/>
  <c r="BZ111" i="6"/>
  <c r="CB111" i="6"/>
  <c r="BV111" i="6"/>
  <c r="BJ111" i="6"/>
  <c r="BH111" i="6"/>
  <c r="BG111" i="6"/>
  <c r="BW111" i="6"/>
  <c r="BX111" i="6"/>
  <c r="CA111" i="6"/>
  <c r="BC111" i="6"/>
  <c r="BF111" i="6"/>
  <c r="CC111" i="6"/>
  <c r="BK111" i="6"/>
  <c r="CD111" i="6"/>
  <c r="K113" i="12"/>
  <c r="H113" i="6"/>
  <c r="T113" i="5" s="1"/>
  <c r="G112" i="12"/>
  <c r="I14" i="12"/>
  <c r="L14" i="5"/>
  <c r="I14" i="5"/>
  <c r="Z14" i="5"/>
  <c r="AM14" i="5"/>
  <c r="CD112" i="6" l="1"/>
  <c r="BH112" i="6"/>
  <c r="CC112" i="6"/>
  <c r="BZ112" i="6"/>
  <c r="BX112" i="6"/>
  <c r="BE112" i="6"/>
  <c r="BG112" i="6"/>
  <c r="BC112" i="6"/>
  <c r="BY112" i="6"/>
  <c r="BV112" i="6"/>
  <c r="CB112" i="6"/>
  <c r="BL112" i="6"/>
  <c r="BK112" i="6"/>
  <c r="CA112" i="6"/>
  <c r="BW112" i="6"/>
  <c r="CE112" i="6"/>
  <c r="BD112" i="6"/>
  <c r="BI112" i="6"/>
  <c r="BJ112" i="6"/>
  <c r="CM112" i="6"/>
  <c r="CK112" i="6"/>
  <c r="CJ112" i="6"/>
  <c r="BN112" i="6"/>
  <c r="BM112" i="6"/>
  <c r="BS112" i="6"/>
  <c r="CI112" i="6"/>
  <c r="CH112" i="6"/>
  <c r="CF112" i="6"/>
  <c r="CG112" i="6"/>
  <c r="BR112" i="6"/>
  <c r="BQ112" i="6"/>
  <c r="CL112" i="6"/>
  <c r="BO112" i="6"/>
  <c r="BP112" i="6"/>
  <c r="BT112" i="6"/>
  <c r="M113" i="6"/>
  <c r="C114" i="5"/>
  <c r="G113" i="12"/>
  <c r="AA14" i="5"/>
  <c r="AB14" i="5"/>
  <c r="O14" i="5"/>
  <c r="C14" i="6"/>
  <c r="O14" i="12"/>
  <c r="M14" i="12"/>
  <c r="C14" i="12"/>
  <c r="AO14" i="12"/>
  <c r="CD113" i="6" l="1"/>
  <c r="CM113" i="6"/>
  <c r="CL113" i="6"/>
  <c r="CJ113" i="6"/>
  <c r="CK113" i="6"/>
  <c r="BP113" i="6"/>
  <c r="BO113" i="6"/>
  <c r="BM113" i="6"/>
  <c r="BS113" i="6"/>
  <c r="CI113" i="6"/>
  <c r="BQ113" i="6"/>
  <c r="CH113" i="6"/>
  <c r="BT113" i="6"/>
  <c r="CG113" i="6"/>
  <c r="BR113" i="6"/>
  <c r="CF113" i="6"/>
  <c r="BN113" i="6"/>
  <c r="CB113" i="6"/>
  <c r="BI113" i="6"/>
  <c r="BF113" i="6"/>
  <c r="BH113" i="6"/>
  <c r="BV113" i="6"/>
  <c r="BG113" i="6"/>
  <c r="CA113" i="6"/>
  <c r="BC113" i="6"/>
  <c r="BD113" i="6"/>
  <c r="CE113" i="6"/>
  <c r="CC113" i="6"/>
  <c r="BY113" i="6"/>
  <c r="BL113" i="6"/>
  <c r="BE113" i="6"/>
  <c r="BK113" i="6"/>
  <c r="BJ113" i="6"/>
  <c r="BZ113" i="6"/>
  <c r="BX113" i="6"/>
  <c r="BW113" i="6"/>
  <c r="A114" i="12"/>
  <c r="B114" i="6"/>
  <c r="B114" i="5"/>
  <c r="AE114" i="5"/>
  <c r="AD114" i="5"/>
  <c r="N114" i="5"/>
  <c r="C115" i="5"/>
  <c r="H114" i="5"/>
  <c r="G114" i="5"/>
  <c r="F114" i="5"/>
  <c r="E114" i="5"/>
  <c r="N14" i="12"/>
  <c r="Y14" i="12"/>
  <c r="D14" i="12"/>
  <c r="E14" i="6"/>
  <c r="W114" i="5" l="1"/>
  <c r="H114" i="12" s="1"/>
  <c r="A115" i="12"/>
  <c r="B115" i="6"/>
  <c r="B115" i="5"/>
  <c r="N115" i="5"/>
  <c r="K115" i="5"/>
  <c r="C116" i="5"/>
  <c r="G115" i="5"/>
  <c r="F115" i="5"/>
  <c r="J115" i="5"/>
  <c r="H115" i="5"/>
  <c r="E115" i="5"/>
  <c r="D115" i="5"/>
  <c r="B115" i="12" s="1"/>
  <c r="AE115" i="5"/>
  <c r="AD115" i="5"/>
  <c r="D114" i="6"/>
  <c r="E114" i="12"/>
  <c r="F114" i="6"/>
  <c r="W14" i="12"/>
  <c r="X14" i="12"/>
  <c r="CM114" i="6" l="1"/>
  <c r="CL114" i="6"/>
  <c r="CK114" i="6"/>
  <c r="CJ114" i="6"/>
  <c r="CI114" i="6"/>
  <c r="CH114" i="6"/>
  <c r="CF114" i="6"/>
  <c r="CG114" i="6"/>
  <c r="BT114" i="6"/>
  <c r="BR114" i="6"/>
  <c r="BQ114" i="6"/>
  <c r="BO114" i="6"/>
  <c r="BM114" i="6"/>
  <c r="BS114" i="6"/>
  <c r="BP114" i="6"/>
  <c r="BN114" i="6"/>
  <c r="H114" i="6"/>
  <c r="T114" i="5" s="1"/>
  <c r="G114" i="6"/>
  <c r="J115" i="12"/>
  <c r="L115" i="12"/>
  <c r="A116" i="12"/>
  <c r="B116" i="6"/>
  <c r="J116" i="5"/>
  <c r="B116" i="5"/>
  <c r="N116" i="5"/>
  <c r="K116" i="5"/>
  <c r="C117" i="5"/>
  <c r="H116" i="5"/>
  <c r="G116" i="5"/>
  <c r="F116" i="5"/>
  <c r="E116" i="5"/>
  <c r="AD116" i="5"/>
  <c r="AE116" i="5"/>
  <c r="D116" i="5"/>
  <c r="B116" i="12" s="1"/>
  <c r="D115" i="6"/>
  <c r="A114" i="6"/>
  <c r="U14" i="12"/>
  <c r="V14" i="12"/>
  <c r="T14" i="12"/>
  <c r="A115" i="6" l="1"/>
  <c r="K115" i="12"/>
  <c r="G114" i="12"/>
  <c r="N114" i="6"/>
  <c r="L116" i="12"/>
  <c r="J116" i="12"/>
  <c r="M114" i="6"/>
  <c r="H115" i="6"/>
  <c r="T115" i="5" s="1"/>
  <c r="D116" i="6"/>
  <c r="A117" i="12"/>
  <c r="B117" i="6"/>
  <c r="B117" i="5"/>
  <c r="F117" i="5"/>
  <c r="E117" i="5"/>
  <c r="D117" i="5"/>
  <c r="B117" i="12" s="1"/>
  <c r="AE117" i="5"/>
  <c r="AD117" i="5"/>
  <c r="G117" i="5"/>
  <c r="C118" i="5"/>
  <c r="K117" i="5"/>
  <c r="J117" i="5"/>
  <c r="H117" i="5"/>
  <c r="N117" i="5"/>
  <c r="M115" i="6" l="1"/>
  <c r="BI115" i="6" s="1"/>
  <c r="AN114" i="6"/>
  <c r="AW114" i="6"/>
  <c r="BA114" i="6"/>
  <c r="AZ114" i="6"/>
  <c r="AY114" i="6"/>
  <c r="AX114" i="6"/>
  <c r="AV114" i="6"/>
  <c r="AU114" i="6"/>
  <c r="AT114" i="6"/>
  <c r="A116" i="6"/>
  <c r="N116" i="6" s="1"/>
  <c r="N115" i="6"/>
  <c r="K116" i="12"/>
  <c r="AM114" i="6"/>
  <c r="D117" i="6"/>
  <c r="AK114" i="6"/>
  <c r="AL114" i="6"/>
  <c r="L117" i="12"/>
  <c r="J117" i="12"/>
  <c r="AR114" i="6"/>
  <c r="AJ114" i="6"/>
  <c r="A118" i="12"/>
  <c r="B118" i="6"/>
  <c r="K118" i="5"/>
  <c r="J118" i="5"/>
  <c r="B118" i="5"/>
  <c r="AD118" i="5"/>
  <c r="N118" i="5"/>
  <c r="AE118" i="5"/>
  <c r="H118" i="5"/>
  <c r="G118" i="5"/>
  <c r="F118" i="5"/>
  <c r="E118" i="5"/>
  <c r="D118" i="5"/>
  <c r="B118" i="12" s="1"/>
  <c r="C119" i="5"/>
  <c r="H116" i="6"/>
  <c r="T116" i="5" s="1"/>
  <c r="AO114" i="6"/>
  <c r="G115" i="12"/>
  <c r="CD114" i="6"/>
  <c r="AQ114" i="6"/>
  <c r="BX114" i="6"/>
  <c r="CE114" i="6"/>
  <c r="BK114" i="6"/>
  <c r="CA114" i="6"/>
  <c r="BF114" i="6"/>
  <c r="BV114" i="6"/>
  <c r="CC114" i="6"/>
  <c r="BC114" i="6"/>
  <c r="AS114" i="6"/>
  <c r="BW114" i="6"/>
  <c r="BG114" i="6"/>
  <c r="AP114" i="6"/>
  <c r="BL114" i="6"/>
  <c r="BY114" i="6"/>
  <c r="BE114" i="6"/>
  <c r="CB114" i="6"/>
  <c r="BD114" i="6"/>
  <c r="BI114" i="6"/>
  <c r="BH114" i="6"/>
  <c r="BJ114" i="6"/>
  <c r="BZ114" i="6"/>
  <c r="CC115" i="6" l="1"/>
  <c r="BZ115" i="6"/>
  <c r="BG115" i="6"/>
  <c r="BE115" i="6"/>
  <c r="BJ115" i="6"/>
  <c r="BM115" i="6"/>
  <c r="BK115" i="6"/>
  <c r="BX115" i="6"/>
  <c r="BF115" i="6"/>
  <c r="CG115" i="6"/>
  <c r="BO115" i="6"/>
  <c r="BY115" i="6"/>
  <c r="BC115" i="6"/>
  <c r="CD115" i="6"/>
  <c r="BD115" i="6"/>
  <c r="CB115" i="6"/>
  <c r="BS115" i="6"/>
  <c r="CF115" i="6"/>
  <c r="BV115" i="6"/>
  <c r="CI115" i="6"/>
  <c r="CM115" i="6"/>
  <c r="BH115" i="6"/>
  <c r="CE115" i="6"/>
  <c r="CA115" i="6"/>
  <c r="BQ115" i="6"/>
  <c r="CL115" i="6"/>
  <c r="CH115" i="6"/>
  <c r="CJ115" i="6"/>
  <c r="BW115" i="6"/>
  <c r="BL115" i="6"/>
  <c r="BT115" i="6"/>
  <c r="BP115" i="6"/>
  <c r="CK115" i="6"/>
  <c r="BR115" i="6"/>
  <c r="BN115" i="6"/>
  <c r="M116" i="6"/>
  <c r="A117" i="6"/>
  <c r="N117" i="6" s="1"/>
  <c r="D118" i="6"/>
  <c r="K117" i="12"/>
  <c r="J118" i="12"/>
  <c r="L118" i="12"/>
  <c r="H117" i="6"/>
  <c r="T117" i="5" s="1"/>
  <c r="G116" i="12"/>
  <c r="A119" i="12"/>
  <c r="B119" i="5"/>
  <c r="B119" i="6"/>
  <c r="N119" i="5"/>
  <c r="K119" i="5"/>
  <c r="J119" i="5"/>
  <c r="C120" i="5"/>
  <c r="H119" i="5"/>
  <c r="F119" i="5"/>
  <c r="E119" i="5"/>
  <c r="AE119" i="5"/>
  <c r="AD119" i="5"/>
  <c r="G119" i="5"/>
  <c r="D119" i="5"/>
  <c r="B119" i="12" s="1"/>
  <c r="BC116" i="6" l="1"/>
  <c r="CH116" i="6"/>
  <c r="CG116" i="6"/>
  <c r="CF116" i="6"/>
  <c r="BT116" i="6"/>
  <c r="BS116" i="6"/>
  <c r="BQ116" i="6"/>
  <c r="BP116" i="6"/>
  <c r="CM116" i="6"/>
  <c r="BO116" i="6"/>
  <c r="CL116" i="6"/>
  <c r="BN116" i="6"/>
  <c r="CK116" i="6"/>
  <c r="BM116" i="6"/>
  <c r="CJ116" i="6"/>
  <c r="BR116" i="6"/>
  <c r="CI116" i="6"/>
  <c r="M117" i="6"/>
  <c r="BV116" i="6"/>
  <c r="BL116" i="6"/>
  <c r="BW116" i="6"/>
  <c r="CB116" i="6"/>
  <c r="BI116" i="6"/>
  <c r="CE116" i="6"/>
  <c r="BD116" i="6"/>
  <c r="CC116" i="6"/>
  <c r="CD116" i="6"/>
  <c r="A118" i="6"/>
  <c r="N118" i="6" s="1"/>
  <c r="BJ116" i="6"/>
  <c r="BK116" i="6"/>
  <c r="BE116" i="6"/>
  <c r="BX116" i="6"/>
  <c r="BH116" i="6"/>
  <c r="BG116" i="6"/>
  <c r="BZ116" i="6"/>
  <c r="BF116" i="6"/>
  <c r="BY116" i="6"/>
  <c r="CA116" i="6"/>
  <c r="K118" i="12"/>
  <c r="L119" i="12"/>
  <c r="J119" i="12"/>
  <c r="D119" i="6"/>
  <c r="A120" i="12"/>
  <c r="B120" i="6"/>
  <c r="K120" i="5"/>
  <c r="J120" i="5"/>
  <c r="B120" i="5"/>
  <c r="N120" i="5"/>
  <c r="H120" i="5"/>
  <c r="G120" i="5"/>
  <c r="F120" i="5"/>
  <c r="E120" i="5"/>
  <c r="AE120" i="5"/>
  <c r="AD120" i="5"/>
  <c r="D120" i="5"/>
  <c r="B120" i="12" s="1"/>
  <c r="G117" i="12"/>
  <c r="H118" i="6"/>
  <c r="T118" i="5" s="1"/>
  <c r="AM3" i="6"/>
  <c r="T6" i="6" s="1"/>
  <c r="CA117" i="6" l="1"/>
  <c r="BR117" i="6"/>
  <c r="BQ117" i="6"/>
  <c r="CM117" i="6"/>
  <c r="BO117" i="6"/>
  <c r="CL117" i="6"/>
  <c r="BM117" i="6"/>
  <c r="CK117" i="6"/>
  <c r="BP117" i="6"/>
  <c r="CJ117" i="6"/>
  <c r="BN117" i="6"/>
  <c r="CI117" i="6"/>
  <c r="CH117" i="6"/>
  <c r="CF117" i="6"/>
  <c r="CG117" i="6"/>
  <c r="BT117" i="6"/>
  <c r="BS117" i="6"/>
  <c r="BX117" i="6"/>
  <c r="BG117" i="6"/>
  <c r="CE117" i="6"/>
  <c r="BE117" i="6"/>
  <c r="BY117" i="6"/>
  <c r="BD117" i="6"/>
  <c r="BF117" i="6"/>
  <c r="CB117" i="6"/>
  <c r="BI117" i="6"/>
  <c r="BW117" i="6"/>
  <c r="BL117" i="6"/>
  <c r="BV117" i="6"/>
  <c r="CC117" i="6"/>
  <c r="BZ117" i="6"/>
  <c r="BJ117" i="6"/>
  <c r="BH117" i="6"/>
  <c r="BK117" i="6"/>
  <c r="BC117" i="6"/>
  <c r="CD117" i="6"/>
  <c r="M118" i="6"/>
  <c r="A119" i="6"/>
  <c r="N119" i="6" s="1"/>
  <c r="H119" i="6"/>
  <c r="T119" i="5" s="1"/>
  <c r="L120" i="12"/>
  <c r="J120" i="12"/>
  <c r="G118" i="12"/>
  <c r="K119" i="12"/>
  <c r="D120" i="6"/>
  <c r="C121" i="5"/>
  <c r="BF118" i="6" l="1"/>
  <c r="BO118" i="6"/>
  <c r="BM118" i="6"/>
  <c r="BS118" i="6"/>
  <c r="CI118" i="6"/>
  <c r="BQ118" i="6"/>
  <c r="CH118" i="6"/>
  <c r="BT118" i="6"/>
  <c r="CG118" i="6"/>
  <c r="BR118" i="6"/>
  <c r="CF118" i="6"/>
  <c r="BN118" i="6"/>
  <c r="CM118" i="6"/>
  <c r="CL118" i="6"/>
  <c r="CJ118" i="6"/>
  <c r="CK118" i="6"/>
  <c r="BP118" i="6"/>
  <c r="BV118" i="6"/>
  <c r="BJ118" i="6"/>
  <c r="CD118" i="6"/>
  <c r="BL118" i="6"/>
  <c r="BZ118" i="6"/>
  <c r="CE118" i="6"/>
  <c r="CB118" i="6"/>
  <c r="BX118" i="6"/>
  <c r="BE118" i="6"/>
  <c r="BC118" i="6"/>
  <c r="BD118" i="6"/>
  <c r="BK118" i="6"/>
  <c r="M119" i="6"/>
  <c r="CC118" i="6"/>
  <c r="BY118" i="6"/>
  <c r="BI118" i="6"/>
  <c r="CA118" i="6"/>
  <c r="BW118" i="6"/>
  <c r="BG118" i="6"/>
  <c r="BH118" i="6"/>
  <c r="G119" i="12"/>
  <c r="K120" i="12"/>
  <c r="H120" i="6"/>
  <c r="T120" i="5" s="1"/>
  <c r="A121" i="12"/>
  <c r="B121" i="6"/>
  <c r="B121" i="5"/>
  <c r="AE121" i="5"/>
  <c r="AD121" i="5"/>
  <c r="C122" i="5"/>
  <c r="N121" i="5"/>
  <c r="H121" i="5"/>
  <c r="G121" i="5"/>
  <c r="E121" i="5"/>
  <c r="F121" i="5"/>
  <c r="A120" i="6"/>
  <c r="BH119" i="6" l="1"/>
  <c r="CG119" i="6"/>
  <c r="CF119" i="6"/>
  <c r="BT119" i="6"/>
  <c r="BS119" i="6"/>
  <c r="BQ119" i="6"/>
  <c r="BP119" i="6"/>
  <c r="CM119" i="6"/>
  <c r="BO119" i="6"/>
  <c r="CL119" i="6"/>
  <c r="BN119" i="6"/>
  <c r="CK119" i="6"/>
  <c r="BM119" i="6"/>
  <c r="CJ119" i="6"/>
  <c r="BR119" i="6"/>
  <c r="CI119" i="6"/>
  <c r="CH119" i="6"/>
  <c r="BC119" i="6"/>
  <c r="BW119" i="6"/>
  <c r="CD119" i="6"/>
  <c r="BI119" i="6"/>
  <c r="BE119" i="6"/>
  <c r="CC119" i="6"/>
  <c r="BY119" i="6"/>
  <c r="BD119" i="6"/>
  <c r="BZ119" i="6"/>
  <c r="BJ119" i="6"/>
  <c r="BF119" i="6"/>
  <c r="BX119" i="6"/>
  <c r="BK119" i="6"/>
  <c r="CA119" i="6"/>
  <c r="CE119" i="6"/>
  <c r="CB119" i="6"/>
  <c r="BV119" i="6"/>
  <c r="BL119" i="6"/>
  <c r="BG119" i="6"/>
  <c r="N120" i="6"/>
  <c r="M120" i="6"/>
  <c r="D121" i="6"/>
  <c r="G120" i="12"/>
  <c r="A122" i="12"/>
  <c r="B122" i="6"/>
  <c r="B122" i="5"/>
  <c r="N122" i="5"/>
  <c r="J122" i="5"/>
  <c r="C123" i="5"/>
  <c r="H122" i="5"/>
  <c r="G122" i="5"/>
  <c r="F122" i="5"/>
  <c r="E122" i="5"/>
  <c r="D122" i="5"/>
  <c r="B122" i="12" s="1"/>
  <c r="K122" i="5"/>
  <c r="AE122" i="5"/>
  <c r="AD122" i="5"/>
  <c r="BT120" i="6" l="1"/>
  <c r="BS120" i="6"/>
  <c r="BR120" i="6"/>
  <c r="BQ120" i="6"/>
  <c r="CM120" i="6"/>
  <c r="BO120" i="6"/>
  <c r="CL120" i="6"/>
  <c r="BM120" i="6"/>
  <c r="CK120" i="6"/>
  <c r="BP120" i="6"/>
  <c r="CJ120" i="6"/>
  <c r="CI120" i="6"/>
  <c r="CH120" i="6"/>
  <c r="BN120" i="6"/>
  <c r="CF120" i="6"/>
  <c r="CG120" i="6"/>
  <c r="CM121" i="6"/>
  <c r="CL121" i="6"/>
  <c r="CK121" i="6"/>
  <c r="CJ121" i="6"/>
  <c r="CI121" i="6"/>
  <c r="CH121" i="6"/>
  <c r="CG121" i="6"/>
  <c r="CF121" i="6"/>
  <c r="BT121" i="6"/>
  <c r="BS121" i="6"/>
  <c r="BQ121" i="6"/>
  <c r="BP121" i="6"/>
  <c r="BO121" i="6"/>
  <c r="BN121" i="6"/>
  <c r="BM121" i="6"/>
  <c r="BR121" i="6"/>
  <c r="H121" i="6"/>
  <c r="T121" i="5" s="1"/>
  <c r="BH120" i="6"/>
  <c r="BG120" i="6"/>
  <c r="BF120" i="6"/>
  <c r="BJ120" i="6"/>
  <c r="BI120" i="6"/>
  <c r="BC120" i="6"/>
  <c r="BD120" i="6"/>
  <c r="CB120" i="6"/>
  <c r="BZ120" i="6"/>
  <c r="BE120" i="6"/>
  <c r="CE120" i="6"/>
  <c r="CC120" i="6"/>
  <c r="BK120" i="6"/>
  <c r="CD120" i="6"/>
  <c r="BL120" i="6"/>
  <c r="BW120" i="6"/>
  <c r="CA120" i="6"/>
  <c r="BV120" i="6"/>
  <c r="BY120" i="6"/>
  <c r="BX120" i="6"/>
  <c r="A123" i="12"/>
  <c r="B123" i="6"/>
  <c r="K123" i="5"/>
  <c r="J123" i="5"/>
  <c r="B123" i="5"/>
  <c r="N123" i="5"/>
  <c r="H123" i="5"/>
  <c r="C124" i="5"/>
  <c r="G123" i="5"/>
  <c r="E123" i="5"/>
  <c r="AE123" i="5"/>
  <c r="AD123" i="5"/>
  <c r="F123" i="5"/>
  <c r="D123" i="5"/>
  <c r="B123" i="12" s="1"/>
  <c r="A121" i="6"/>
  <c r="J122" i="12"/>
  <c r="L122" i="12"/>
  <c r="D122" i="6"/>
  <c r="A122" i="6" l="1"/>
  <c r="N121" i="6"/>
  <c r="M121" i="6"/>
  <c r="CA121" i="6" s="1"/>
  <c r="A124" i="12"/>
  <c r="B124" i="6"/>
  <c r="B124" i="5"/>
  <c r="C125" i="5"/>
  <c r="H124" i="5"/>
  <c r="G124" i="5"/>
  <c r="F124" i="5"/>
  <c r="E124" i="5"/>
  <c r="D124" i="5"/>
  <c r="B124" i="12" s="1"/>
  <c r="AE124" i="5"/>
  <c r="AD124" i="5"/>
  <c r="N124" i="5"/>
  <c r="K124" i="5"/>
  <c r="J124" i="5"/>
  <c r="J123" i="12"/>
  <c r="L123" i="12"/>
  <c r="D123" i="6"/>
  <c r="G121" i="12"/>
  <c r="H122" i="6"/>
  <c r="T122" i="5" s="1"/>
  <c r="K122" i="12"/>
  <c r="M122" i="6" l="1"/>
  <c r="BK122" i="6" s="1"/>
  <c r="BA121" i="6"/>
  <c r="AX121" i="6"/>
  <c r="AW121" i="6"/>
  <c r="AY121" i="6"/>
  <c r="AV121" i="6"/>
  <c r="AU121" i="6"/>
  <c r="AZ121" i="6"/>
  <c r="AT121" i="6"/>
  <c r="A123" i="6"/>
  <c r="BL121" i="6"/>
  <c r="AL121" i="6"/>
  <c r="BC121" i="6"/>
  <c r="AS121" i="6"/>
  <c r="AO121" i="6"/>
  <c r="CE121" i="6"/>
  <c r="AR121" i="6"/>
  <c r="AM121" i="6"/>
  <c r="AN121" i="6"/>
  <c r="AQ121" i="6"/>
  <c r="AJ121" i="6"/>
  <c r="CC121" i="6"/>
  <c r="AK121" i="6"/>
  <c r="BY121" i="6"/>
  <c r="BW121" i="6"/>
  <c r="BX121" i="6"/>
  <c r="CD121" i="6"/>
  <c r="K123" i="12"/>
  <c r="BF121" i="6"/>
  <c r="BJ121" i="6"/>
  <c r="CB121" i="6"/>
  <c r="BK121" i="6"/>
  <c r="BZ121" i="6"/>
  <c r="AP121" i="6"/>
  <c r="BE121" i="6"/>
  <c r="BV121" i="6"/>
  <c r="BD121" i="6"/>
  <c r="BI121" i="6"/>
  <c r="BG121" i="6"/>
  <c r="BH121" i="6"/>
  <c r="A125" i="12"/>
  <c r="B125" i="6"/>
  <c r="K125" i="5"/>
  <c r="J125" i="5"/>
  <c r="B125" i="5"/>
  <c r="D125" i="5"/>
  <c r="B125" i="12" s="1"/>
  <c r="AE125" i="5"/>
  <c r="AD125" i="5"/>
  <c r="N125" i="5"/>
  <c r="H125" i="5"/>
  <c r="G125" i="5"/>
  <c r="F125" i="5"/>
  <c r="E125" i="5"/>
  <c r="D124" i="6"/>
  <c r="L124" i="12"/>
  <c r="J124" i="12"/>
  <c r="H123" i="6"/>
  <c r="T123" i="5" s="1"/>
  <c r="G122" i="12"/>
  <c r="CE122" i="6" l="1"/>
  <c r="CC122" i="6"/>
  <c r="CM122" i="6"/>
  <c r="BI122" i="6"/>
  <c r="BV122" i="6"/>
  <c r="BW122" i="6"/>
  <c r="BO122" i="6"/>
  <c r="BD122" i="6"/>
  <c r="BC122" i="6"/>
  <c r="CB122" i="6"/>
  <c r="CJ122" i="6"/>
  <c r="BY122" i="6"/>
  <c r="BN122" i="6"/>
  <c r="BF122" i="6"/>
  <c r="BG122" i="6"/>
  <c r="CI122" i="6"/>
  <c r="CD122" i="6"/>
  <c r="BQ122" i="6"/>
  <c r="BJ122" i="6"/>
  <c r="BH122" i="6"/>
  <c r="BL122" i="6"/>
  <c r="CL122" i="6"/>
  <c r="CH122" i="6"/>
  <c r="BZ122" i="6"/>
  <c r="BM122" i="6"/>
  <c r="CF122" i="6"/>
  <c r="CA122" i="6"/>
  <c r="CK122" i="6"/>
  <c r="CG122" i="6"/>
  <c r="BX122" i="6"/>
  <c r="BP122" i="6"/>
  <c r="BT122" i="6"/>
  <c r="BE122" i="6"/>
  <c r="BS122" i="6"/>
  <c r="BR122" i="6"/>
  <c r="M123" i="6"/>
  <c r="K124" i="12"/>
  <c r="H124" i="6"/>
  <c r="T124" i="5" s="1"/>
  <c r="D125" i="6"/>
  <c r="C126" i="5"/>
  <c r="G123" i="12"/>
  <c r="A124" i="6"/>
  <c r="M124" i="6" s="1"/>
  <c r="BT124" i="6" s="1"/>
  <c r="L125" i="12"/>
  <c r="J125" i="12"/>
  <c r="CF124" i="6" l="1"/>
  <c r="CG124" i="6"/>
  <c r="CH124" i="6"/>
  <c r="CI124" i="6"/>
  <c r="CJ124" i="6"/>
  <c r="CK124" i="6"/>
  <c r="CL124" i="6"/>
  <c r="BN124" i="6"/>
  <c r="BO124" i="6"/>
  <c r="CM124" i="6"/>
  <c r="BQ124" i="6"/>
  <c r="BR124" i="6"/>
  <c r="BS124" i="6"/>
  <c r="BM124" i="6"/>
  <c r="BP124" i="6"/>
  <c r="BJ123" i="6"/>
  <c r="CF123" i="6"/>
  <c r="BN123" i="6"/>
  <c r="CM123" i="6"/>
  <c r="CL123" i="6"/>
  <c r="CJ123" i="6"/>
  <c r="CK123" i="6"/>
  <c r="BP123" i="6"/>
  <c r="BO123" i="6"/>
  <c r="BM123" i="6"/>
  <c r="BS123" i="6"/>
  <c r="CI123" i="6"/>
  <c r="BQ123" i="6"/>
  <c r="CH123" i="6"/>
  <c r="BT123" i="6"/>
  <c r="CG123" i="6"/>
  <c r="BR123" i="6"/>
  <c r="BZ123" i="6"/>
  <c r="BV123" i="6"/>
  <c r="BY123" i="6"/>
  <c r="BX123" i="6"/>
  <c r="BL123" i="6"/>
  <c r="BH123" i="6"/>
  <c r="CA123" i="6"/>
  <c r="BF123" i="6"/>
  <c r="BK123" i="6"/>
  <c r="BG123" i="6"/>
  <c r="BD123" i="6"/>
  <c r="BW123" i="6"/>
  <c r="CD123" i="6"/>
  <c r="BI123" i="6"/>
  <c r="BC123" i="6"/>
  <c r="CC123" i="6"/>
  <c r="CE123" i="6"/>
  <c r="CB123" i="6"/>
  <c r="BE123" i="6"/>
  <c r="K125" i="12"/>
  <c r="BC124" i="6"/>
  <c r="BV124" i="6"/>
  <c r="BH124" i="6"/>
  <c r="BD124" i="6"/>
  <c r="BJ124" i="6"/>
  <c r="BX124" i="6"/>
  <c r="BI124" i="6"/>
  <c r="CA124" i="6"/>
  <c r="CE124" i="6"/>
  <c r="CB124" i="6"/>
  <c r="BF124" i="6"/>
  <c r="BL124" i="6"/>
  <c r="BZ124" i="6"/>
  <c r="BG124" i="6"/>
  <c r="CD124" i="6"/>
  <c r="CC124" i="6"/>
  <c r="BK124" i="6"/>
  <c r="BY124" i="6"/>
  <c r="BE124" i="6"/>
  <c r="BW124" i="6"/>
  <c r="H125" i="6"/>
  <c r="T125" i="5" s="1"/>
  <c r="A126" i="12"/>
  <c r="B126" i="6"/>
  <c r="B126" i="5"/>
  <c r="N126" i="5"/>
  <c r="C127" i="5"/>
  <c r="G126" i="5"/>
  <c r="E126" i="5"/>
  <c r="AD126" i="5"/>
  <c r="H126" i="5"/>
  <c r="F126" i="5"/>
  <c r="AE126" i="5"/>
  <c r="A125" i="6"/>
  <c r="G124" i="12"/>
  <c r="D126" i="6" l="1"/>
  <c r="G125" i="12"/>
  <c r="M125" i="6"/>
  <c r="A127" i="12"/>
  <c r="B127" i="6"/>
  <c r="B127" i="5"/>
  <c r="K127" i="5"/>
  <c r="J127" i="5"/>
  <c r="C128" i="5"/>
  <c r="H127" i="5"/>
  <c r="G127" i="5"/>
  <c r="F127" i="5"/>
  <c r="E127" i="5"/>
  <c r="AE127" i="5"/>
  <c r="AD127" i="5"/>
  <c r="N127" i="5"/>
  <c r="D127" i="5"/>
  <c r="B127" i="12" s="1"/>
  <c r="BQ125" i="6" l="1"/>
  <c r="CM125" i="6"/>
  <c r="BO125" i="6"/>
  <c r="CL125" i="6"/>
  <c r="BM125" i="6"/>
  <c r="CK125" i="6"/>
  <c r="BP125" i="6"/>
  <c r="CJ125" i="6"/>
  <c r="BN125" i="6"/>
  <c r="CI125" i="6"/>
  <c r="CH125" i="6"/>
  <c r="CF125" i="6"/>
  <c r="CG125" i="6"/>
  <c r="BT125" i="6"/>
  <c r="BS125" i="6"/>
  <c r="BR125" i="6"/>
  <c r="CI126" i="6"/>
  <c r="CH126" i="6"/>
  <c r="CG126" i="6"/>
  <c r="CF126" i="6"/>
  <c r="CM126" i="6"/>
  <c r="CL126" i="6"/>
  <c r="CJ126" i="6"/>
  <c r="CK126" i="6"/>
  <c r="BP126" i="6"/>
  <c r="BO126" i="6"/>
  <c r="BM126" i="6"/>
  <c r="BS126" i="6"/>
  <c r="BQ126" i="6"/>
  <c r="BT126" i="6"/>
  <c r="BR126" i="6"/>
  <c r="BN126" i="6"/>
  <c r="A128" i="12"/>
  <c r="B128" i="6"/>
  <c r="K128" i="5"/>
  <c r="J128" i="5"/>
  <c r="B128" i="5"/>
  <c r="F128" i="5"/>
  <c r="E128" i="5"/>
  <c r="D128" i="5"/>
  <c r="B128" i="12" s="1"/>
  <c r="AE128" i="5"/>
  <c r="AD128" i="5"/>
  <c r="C129" i="5"/>
  <c r="H128" i="5"/>
  <c r="G128" i="5"/>
  <c r="N128" i="5"/>
  <c r="H126" i="6"/>
  <c r="T126" i="5" s="1"/>
  <c r="D127" i="6"/>
  <c r="L127" i="12"/>
  <c r="J127" i="12"/>
  <c r="BL125" i="6"/>
  <c r="CD125" i="6"/>
  <c r="BG125" i="6"/>
  <c r="CC125" i="6"/>
  <c r="BW125" i="6"/>
  <c r="BK125" i="6"/>
  <c r="CB125" i="6"/>
  <c r="BZ125" i="6"/>
  <c r="BD125" i="6"/>
  <c r="BJ125" i="6"/>
  <c r="BC125" i="6"/>
  <c r="BI125" i="6"/>
  <c r="BE125" i="6"/>
  <c r="CA125" i="6"/>
  <c r="CE125" i="6"/>
  <c r="BY125" i="6"/>
  <c r="BH125" i="6"/>
  <c r="BF125" i="6"/>
  <c r="BX125" i="6"/>
  <c r="BV125" i="6"/>
  <c r="A126" i="6"/>
  <c r="A127" i="6" l="1"/>
  <c r="M126" i="6"/>
  <c r="K127" i="12"/>
  <c r="N126" i="6"/>
  <c r="A129" i="12"/>
  <c r="B129" i="6"/>
  <c r="B129" i="5"/>
  <c r="AE129" i="5"/>
  <c r="AD129" i="5"/>
  <c r="N129" i="5"/>
  <c r="K129" i="5"/>
  <c r="G129" i="5"/>
  <c r="F129" i="5"/>
  <c r="E129" i="5"/>
  <c r="D129" i="5"/>
  <c r="B129" i="12" s="1"/>
  <c r="J129" i="5"/>
  <c r="H129" i="5"/>
  <c r="C130" i="5"/>
  <c r="D128" i="6"/>
  <c r="G126" i="12"/>
  <c r="L128" i="12"/>
  <c r="J128" i="12"/>
  <c r="H127" i="6"/>
  <c r="T127" i="5" s="1"/>
  <c r="BK126" i="6" l="1"/>
  <c r="AW126" i="6"/>
  <c r="AV126" i="6"/>
  <c r="AU126" i="6"/>
  <c r="AT126" i="6"/>
  <c r="BA126" i="6"/>
  <c r="AZ126" i="6"/>
  <c r="AY126" i="6"/>
  <c r="AX126" i="6"/>
  <c r="M127" i="6"/>
  <c r="A128" i="6"/>
  <c r="BJ126" i="6"/>
  <c r="AO126" i="6"/>
  <c r="BV126" i="6"/>
  <c r="BH126" i="6"/>
  <c r="BZ126" i="6"/>
  <c r="AP126" i="6"/>
  <c r="AR126" i="6"/>
  <c r="AS126" i="6"/>
  <c r="BF126" i="6"/>
  <c r="AJ126" i="6"/>
  <c r="CC126" i="6"/>
  <c r="AL126" i="6"/>
  <c r="BG126" i="6"/>
  <c r="BL126" i="6"/>
  <c r="BE126" i="6"/>
  <c r="AQ126" i="6"/>
  <c r="BX126" i="6"/>
  <c r="AK126" i="6"/>
  <c r="CB126" i="6"/>
  <c r="CD126" i="6"/>
  <c r="BD126" i="6"/>
  <c r="BW126" i="6"/>
  <c r="CA126" i="6"/>
  <c r="BY126" i="6"/>
  <c r="AN126" i="6"/>
  <c r="CE126" i="6"/>
  <c r="AM126" i="6"/>
  <c r="BI126" i="6"/>
  <c r="BC126" i="6"/>
  <c r="L129" i="12"/>
  <c r="J129" i="12"/>
  <c r="H128" i="6"/>
  <c r="T128" i="5" s="1"/>
  <c r="D129" i="6"/>
  <c r="A130" i="12"/>
  <c r="B130" i="6"/>
  <c r="K130" i="5"/>
  <c r="J130" i="5"/>
  <c r="B130" i="5"/>
  <c r="C131" i="5"/>
  <c r="G130" i="5"/>
  <c r="F130" i="5"/>
  <c r="AE130" i="5"/>
  <c r="AD130" i="5"/>
  <c r="N130" i="5"/>
  <c r="H130" i="5"/>
  <c r="E130" i="5"/>
  <c r="D130" i="5"/>
  <c r="B130" i="12" s="1"/>
  <c r="K128" i="12"/>
  <c r="G127" i="12"/>
  <c r="BJ127" i="6" l="1"/>
  <c r="CM127" i="6"/>
  <c r="BO127" i="6"/>
  <c r="CL127" i="6"/>
  <c r="BN127" i="6"/>
  <c r="CK127" i="6"/>
  <c r="BM127" i="6"/>
  <c r="CJ127" i="6"/>
  <c r="BR127" i="6"/>
  <c r="CI127" i="6"/>
  <c r="CH127" i="6"/>
  <c r="CG127" i="6"/>
  <c r="CF127" i="6"/>
  <c r="BQ127" i="6"/>
  <c r="BT127" i="6"/>
  <c r="BS127" i="6"/>
  <c r="BP127" i="6"/>
  <c r="CE127" i="6"/>
  <c r="BW127" i="6"/>
  <c r="BY127" i="6"/>
  <c r="BX127" i="6"/>
  <c r="BL127" i="6"/>
  <c r="BZ127" i="6"/>
  <c r="A129" i="6"/>
  <c r="M129" i="6" s="1"/>
  <c r="BH129" i="6" s="1"/>
  <c r="BG127" i="6"/>
  <c r="M128" i="6"/>
  <c r="BF127" i="6"/>
  <c r="CA127" i="6"/>
  <c r="CD127" i="6"/>
  <c r="CC127" i="6"/>
  <c r="BH127" i="6"/>
  <c r="BD127" i="6"/>
  <c r="BC127" i="6"/>
  <c r="BV127" i="6"/>
  <c r="BK127" i="6"/>
  <c r="BI127" i="6"/>
  <c r="CB127" i="6"/>
  <c r="BE127" i="6"/>
  <c r="K129" i="12"/>
  <c r="H129" i="6"/>
  <c r="T129" i="5" s="1"/>
  <c r="D130" i="6"/>
  <c r="L130" i="12"/>
  <c r="J130" i="12"/>
  <c r="G128" i="12"/>
  <c r="A131" i="12"/>
  <c r="B131" i="6"/>
  <c r="B131" i="5"/>
  <c r="N131" i="5"/>
  <c r="K131" i="5"/>
  <c r="J131" i="5"/>
  <c r="C132" i="5"/>
  <c r="H131" i="5"/>
  <c r="G131" i="5"/>
  <c r="E131" i="5"/>
  <c r="AE131" i="5"/>
  <c r="AD131" i="5"/>
  <c r="D131" i="5"/>
  <c r="B131" i="12" s="1"/>
  <c r="F131" i="5"/>
  <c r="BM129" i="6" l="1"/>
  <c r="BO129" i="6"/>
  <c r="BP129" i="6"/>
  <c r="CK129" i="6"/>
  <c r="CJ129" i="6"/>
  <c r="CI129" i="6"/>
  <c r="BQ129" i="6"/>
  <c r="BS129" i="6"/>
  <c r="CC128" i="6"/>
  <c r="BS128" i="6"/>
  <c r="BR128" i="6"/>
  <c r="BQ128" i="6"/>
  <c r="CM128" i="6"/>
  <c r="BO128" i="6"/>
  <c r="CL128" i="6"/>
  <c r="BM128" i="6"/>
  <c r="CK128" i="6"/>
  <c r="BP128" i="6"/>
  <c r="CJ128" i="6"/>
  <c r="BN128" i="6"/>
  <c r="CI128" i="6"/>
  <c r="CH128" i="6"/>
  <c r="CF128" i="6"/>
  <c r="CG128" i="6"/>
  <c r="BT128" i="6"/>
  <c r="CL129" i="6"/>
  <c r="CM129" i="6"/>
  <c r="BN129" i="6"/>
  <c r="CF129" i="6"/>
  <c r="BR129" i="6"/>
  <c r="CG129" i="6"/>
  <c r="BT129" i="6"/>
  <c r="CH129" i="6"/>
  <c r="BK128" i="6"/>
  <c r="CD128" i="6"/>
  <c r="BY128" i="6"/>
  <c r="CA128" i="6"/>
  <c r="BE128" i="6"/>
  <c r="BX128" i="6"/>
  <c r="BJ128" i="6"/>
  <c r="BH128" i="6"/>
  <c r="BD128" i="6"/>
  <c r="BZ128" i="6"/>
  <c r="BC128" i="6"/>
  <c r="BL128" i="6"/>
  <c r="CE128" i="6"/>
  <c r="CB128" i="6"/>
  <c r="BV128" i="6"/>
  <c r="BF128" i="6"/>
  <c r="A130" i="6"/>
  <c r="BG128" i="6"/>
  <c r="BI128" i="6"/>
  <c r="BW128" i="6"/>
  <c r="K130" i="12"/>
  <c r="BJ129" i="6"/>
  <c r="BY129" i="6"/>
  <c r="CD129" i="6"/>
  <c r="A132" i="12"/>
  <c r="B132" i="6"/>
  <c r="K132" i="5"/>
  <c r="J132" i="5"/>
  <c r="B132" i="5"/>
  <c r="H132" i="5"/>
  <c r="G132" i="5"/>
  <c r="C133" i="5"/>
  <c r="F132" i="5"/>
  <c r="E132" i="5"/>
  <c r="D132" i="5"/>
  <c r="B132" i="12" s="1"/>
  <c r="AE132" i="5"/>
  <c r="N132" i="5"/>
  <c r="AD132" i="5"/>
  <c r="BD129" i="6"/>
  <c r="J131" i="12"/>
  <c r="L131" i="12"/>
  <c r="CB129" i="6"/>
  <c r="BW129" i="6"/>
  <c r="BE129" i="6"/>
  <c r="H130" i="6"/>
  <c r="T130" i="5" s="1"/>
  <c r="CC129" i="6"/>
  <c r="BV129" i="6"/>
  <c r="BX129" i="6"/>
  <c r="CE129" i="6"/>
  <c r="BL129" i="6"/>
  <c r="D131" i="6"/>
  <c r="BC129" i="6"/>
  <c r="BK129" i="6"/>
  <c r="BF129" i="6"/>
  <c r="BG129" i="6"/>
  <c r="BI129" i="6"/>
  <c r="BZ129" i="6"/>
  <c r="CA129" i="6"/>
  <c r="G129" i="12"/>
  <c r="M130" i="6" l="1"/>
  <c r="A131" i="6"/>
  <c r="M131" i="6" s="1"/>
  <c r="BJ131" i="6" s="1"/>
  <c r="D132" i="6"/>
  <c r="L132" i="12"/>
  <c r="J132" i="12"/>
  <c r="G130" i="12"/>
  <c r="A133" i="12"/>
  <c r="B133" i="6"/>
  <c r="B133" i="5"/>
  <c r="J133" i="5"/>
  <c r="E133" i="5"/>
  <c r="D133" i="5"/>
  <c r="B133" i="12" s="1"/>
  <c r="AE133" i="5"/>
  <c r="AD133" i="5"/>
  <c r="N133" i="5"/>
  <c r="K133" i="5"/>
  <c r="G133" i="5"/>
  <c r="H133" i="5"/>
  <c r="F133" i="5"/>
  <c r="H131" i="6"/>
  <c r="T131" i="5" s="1"/>
  <c r="K131" i="12"/>
  <c r="CI131" i="6" l="1"/>
  <c r="BP131" i="6"/>
  <c r="CL131" i="6"/>
  <c r="CM131" i="6"/>
  <c r="BQ131" i="6"/>
  <c r="CJ131" i="6"/>
  <c r="BM131" i="6"/>
  <c r="BR131" i="6"/>
  <c r="BN131" i="6"/>
  <c r="BS131" i="6"/>
  <c r="BO131" i="6"/>
  <c r="BT131" i="6"/>
  <c r="BK130" i="6"/>
  <c r="BQ130" i="6"/>
  <c r="BR130" i="6"/>
  <c r="BP130" i="6"/>
  <c r="CM130" i="6"/>
  <c r="BO130" i="6"/>
  <c r="CL130" i="6"/>
  <c r="BN130" i="6"/>
  <c r="CK130" i="6"/>
  <c r="BM130" i="6"/>
  <c r="CJ130" i="6"/>
  <c r="CI130" i="6"/>
  <c r="CH130" i="6"/>
  <c r="CG130" i="6"/>
  <c r="CF130" i="6"/>
  <c r="BT130" i="6"/>
  <c r="BS130" i="6"/>
  <c r="CG131" i="6"/>
  <c r="CK131" i="6"/>
  <c r="CF131" i="6"/>
  <c r="CH131" i="6"/>
  <c r="A132" i="6"/>
  <c r="M132" i="6" s="1"/>
  <c r="BI132" i="6" s="1"/>
  <c r="BI130" i="6"/>
  <c r="BZ130" i="6"/>
  <c r="BF130" i="6"/>
  <c r="BV130" i="6"/>
  <c r="BG130" i="6"/>
  <c r="BC130" i="6"/>
  <c r="BD130" i="6"/>
  <c r="CD130" i="6"/>
  <c r="BY130" i="6"/>
  <c r="BE130" i="6"/>
  <c r="BW130" i="6"/>
  <c r="BH130" i="6"/>
  <c r="BJ130" i="6"/>
  <c r="CA130" i="6"/>
  <c r="CB130" i="6"/>
  <c r="CC130" i="6"/>
  <c r="BX130" i="6"/>
  <c r="BL130" i="6"/>
  <c r="CE130" i="6"/>
  <c r="C134" i="5"/>
  <c r="BE131" i="6"/>
  <c r="BL131" i="6"/>
  <c r="H132" i="6"/>
  <c r="T132" i="5" s="1"/>
  <c r="BF131" i="6"/>
  <c r="BG131" i="6"/>
  <c r="BV131" i="6"/>
  <c r="BY131" i="6"/>
  <c r="BH131" i="6"/>
  <c r="BX131" i="6"/>
  <c r="CA131" i="6"/>
  <c r="BK131" i="6"/>
  <c r="BW131" i="6"/>
  <c r="BD131" i="6"/>
  <c r="CB131" i="6"/>
  <c r="CC131" i="6"/>
  <c r="BZ131" i="6"/>
  <c r="K132" i="12"/>
  <c r="CE131" i="6"/>
  <c r="L133" i="12"/>
  <c r="J133" i="12"/>
  <c r="BC131" i="6"/>
  <c r="BI131" i="6"/>
  <c r="G131" i="12"/>
  <c r="D133" i="6"/>
  <c r="CD131" i="6"/>
  <c r="CM132" i="6" l="1"/>
  <c r="BN132" i="6"/>
  <c r="CF132" i="6"/>
  <c r="BR132" i="6"/>
  <c r="CG132" i="6"/>
  <c r="BT132" i="6"/>
  <c r="CH132" i="6"/>
  <c r="BQ132" i="6"/>
  <c r="CI132" i="6"/>
  <c r="BS132" i="6"/>
  <c r="BM132" i="6"/>
  <c r="BO132" i="6"/>
  <c r="BP132" i="6"/>
  <c r="CK132" i="6"/>
  <c r="CJ132" i="6"/>
  <c r="A133" i="6"/>
  <c r="M133" i="6" s="1"/>
  <c r="CL132" i="6"/>
  <c r="BL132" i="6"/>
  <c r="G132" i="12"/>
  <c r="H133" i="6"/>
  <c r="T133" i="5" s="1"/>
  <c r="BG132" i="6"/>
  <c r="A134" i="12"/>
  <c r="B134" i="6"/>
  <c r="B134" i="5"/>
  <c r="AE134" i="5"/>
  <c r="AD134" i="5"/>
  <c r="N134" i="5"/>
  <c r="H134" i="5"/>
  <c r="G134" i="5"/>
  <c r="F134" i="5"/>
  <c r="E134" i="5"/>
  <c r="C135" i="5"/>
  <c r="BZ132" i="6"/>
  <c r="BH132" i="6"/>
  <c r="BX132" i="6"/>
  <c r="CA132" i="6"/>
  <c r="CB132" i="6"/>
  <c r="BW132" i="6"/>
  <c r="CC132" i="6"/>
  <c r="BY132" i="6"/>
  <c r="K133" i="12"/>
  <c r="CE132" i="6"/>
  <c r="CD132" i="6"/>
  <c r="BC132" i="6"/>
  <c r="BD132" i="6"/>
  <c r="BV132" i="6"/>
  <c r="BE132" i="6"/>
  <c r="BJ132" i="6"/>
  <c r="BK132" i="6"/>
  <c r="BF132" i="6"/>
  <c r="BI133" i="6" l="1"/>
  <c r="CL133" i="6"/>
  <c r="BN133" i="6"/>
  <c r="CK133" i="6"/>
  <c r="BM133" i="6"/>
  <c r="CJ133" i="6"/>
  <c r="BR133" i="6"/>
  <c r="CI133" i="6"/>
  <c r="CH133" i="6"/>
  <c r="CG133" i="6"/>
  <c r="CF133" i="6"/>
  <c r="BT133" i="6"/>
  <c r="BS133" i="6"/>
  <c r="BQ133" i="6"/>
  <c r="BP133" i="6"/>
  <c r="CM133" i="6"/>
  <c r="BO133" i="6"/>
  <c r="BF133" i="6"/>
  <c r="BJ133" i="6"/>
  <c r="BX133" i="6"/>
  <c r="BL133" i="6"/>
  <c r="BY133" i="6"/>
  <c r="BK133" i="6"/>
  <c r="CC133" i="6"/>
  <c r="CA133" i="6"/>
  <c r="CB133" i="6"/>
  <c r="CD133" i="6"/>
  <c r="G133" i="12"/>
  <c r="BW133" i="6"/>
  <c r="CE133" i="6"/>
  <c r="BZ133" i="6"/>
  <c r="BC133" i="6"/>
  <c r="A135" i="12"/>
  <c r="B135" i="6"/>
  <c r="K135" i="5"/>
  <c r="J135" i="5"/>
  <c r="G135" i="5"/>
  <c r="B135" i="5"/>
  <c r="AE135" i="5"/>
  <c r="AD135" i="5"/>
  <c r="N135" i="5"/>
  <c r="C136" i="5"/>
  <c r="F135" i="5"/>
  <c r="E135" i="5"/>
  <c r="H135" i="5"/>
  <c r="D135" i="5"/>
  <c r="B135" i="12" s="1"/>
  <c r="BD133" i="6"/>
  <c r="BV133" i="6"/>
  <c r="BG133" i="6"/>
  <c r="D134" i="6"/>
  <c r="BH133" i="6"/>
  <c r="BE133" i="6"/>
  <c r="A134" i="6" l="1"/>
  <c r="CM134" i="6"/>
  <c r="CL134" i="6"/>
  <c r="CK134" i="6"/>
  <c r="CJ134" i="6"/>
  <c r="CI134" i="6"/>
  <c r="CH134" i="6"/>
  <c r="CF134" i="6"/>
  <c r="CG134" i="6"/>
  <c r="BT134" i="6"/>
  <c r="BS134" i="6"/>
  <c r="BR134" i="6"/>
  <c r="BQ134" i="6"/>
  <c r="BO134" i="6"/>
  <c r="BM134" i="6"/>
  <c r="BP134" i="6"/>
  <c r="BN134" i="6"/>
  <c r="A136" i="12"/>
  <c r="B136" i="6"/>
  <c r="B136" i="5"/>
  <c r="K136" i="5"/>
  <c r="J136" i="5"/>
  <c r="AE136" i="5"/>
  <c r="AD136" i="5"/>
  <c r="H136" i="5"/>
  <c r="N136" i="5"/>
  <c r="G136" i="5"/>
  <c r="F136" i="5"/>
  <c r="E136" i="5"/>
  <c r="D136" i="5"/>
  <c r="B136" i="12" s="1"/>
  <c r="C137" i="5"/>
  <c r="D135" i="6"/>
  <c r="L135" i="12"/>
  <c r="J135" i="12"/>
  <c r="N134" i="6"/>
  <c r="M134" i="6"/>
  <c r="BD134" i="6" s="1"/>
  <c r="H134" i="6"/>
  <c r="T134" i="5" s="1"/>
  <c r="AX134" i="6" l="1"/>
  <c r="AY134" i="6"/>
  <c r="AZ134" i="6"/>
  <c r="AV134" i="6"/>
  <c r="A135" i="6"/>
  <c r="M135" i="6" s="1"/>
  <c r="BW135" i="6" s="1"/>
  <c r="BA134" i="6"/>
  <c r="AT134" i="6"/>
  <c r="AU134" i="6"/>
  <c r="AW134" i="6"/>
  <c r="AM134" i="6"/>
  <c r="BG134" i="6"/>
  <c r="CA134" i="6"/>
  <c r="AJ134" i="6"/>
  <c r="BY134" i="6"/>
  <c r="BV134" i="6"/>
  <c r="A137" i="12"/>
  <c r="B137" i="6"/>
  <c r="K137" i="5"/>
  <c r="J137" i="5"/>
  <c r="G137" i="5"/>
  <c r="B137" i="5"/>
  <c r="AE137" i="5"/>
  <c r="AD137" i="5"/>
  <c r="H137" i="5"/>
  <c r="C138" i="5"/>
  <c r="N137" i="5"/>
  <c r="F137" i="5"/>
  <c r="E137" i="5"/>
  <c r="D137" i="5"/>
  <c r="B137" i="12" s="1"/>
  <c r="L136" i="12"/>
  <c r="J136" i="12"/>
  <c r="AQ134" i="6"/>
  <c r="BL134" i="6"/>
  <c r="BX134" i="6"/>
  <c r="CC134" i="6"/>
  <c r="K135" i="12"/>
  <c r="G134" i="12"/>
  <c r="AO134" i="6"/>
  <c r="AP134" i="6"/>
  <c r="BJ134" i="6"/>
  <c r="BE134" i="6"/>
  <c r="BW134" i="6"/>
  <c r="AL134" i="6"/>
  <c r="CB134" i="6"/>
  <c r="AS134" i="6"/>
  <c r="D136" i="6"/>
  <c r="H135" i="6"/>
  <c r="T135" i="5" s="1"/>
  <c r="BZ134" i="6"/>
  <c r="BK134" i="6"/>
  <c r="BF134" i="6"/>
  <c r="AK134" i="6"/>
  <c r="CD134" i="6"/>
  <c r="CE134" i="6"/>
  <c r="BC134" i="6"/>
  <c r="AN134" i="6"/>
  <c r="BH134" i="6"/>
  <c r="BI134" i="6"/>
  <c r="AR134" i="6"/>
  <c r="BO135" i="6" l="1"/>
  <c r="BP135" i="6"/>
  <c r="CK135" i="6"/>
  <c r="CJ135" i="6"/>
  <c r="CL135" i="6"/>
  <c r="CM135" i="6"/>
  <c r="BN135" i="6"/>
  <c r="CF135" i="6"/>
  <c r="BR135" i="6"/>
  <c r="CG135" i="6"/>
  <c r="BT135" i="6"/>
  <c r="CH135" i="6"/>
  <c r="BQ135" i="6"/>
  <c r="CI135" i="6"/>
  <c r="BS135" i="6"/>
  <c r="BM135" i="6"/>
  <c r="CE135" i="6"/>
  <c r="BC135" i="6"/>
  <c r="BD135" i="6"/>
  <c r="BH135" i="6"/>
  <c r="BG135" i="6"/>
  <c r="H136" i="6"/>
  <c r="T136" i="5" s="1"/>
  <c r="G135" i="12"/>
  <c r="BI135" i="6"/>
  <c r="D137" i="6"/>
  <c r="A138" i="12"/>
  <c r="B138" i="6"/>
  <c r="C139" i="5"/>
  <c r="B138" i="5"/>
  <c r="K138" i="5"/>
  <c r="J138" i="5"/>
  <c r="AE138" i="5"/>
  <c r="AD138" i="5"/>
  <c r="N138" i="5"/>
  <c r="H138" i="5"/>
  <c r="G138" i="5"/>
  <c r="F138" i="5"/>
  <c r="E138" i="5"/>
  <c r="D138" i="5"/>
  <c r="B138" i="12" s="1"/>
  <c r="BX135" i="6"/>
  <c r="CB135" i="6"/>
  <c r="CC135" i="6"/>
  <c r="BY135" i="6"/>
  <c r="BL135" i="6"/>
  <c r="L137" i="12"/>
  <c r="J137" i="12"/>
  <c r="BF135" i="6"/>
  <c r="BK135" i="6"/>
  <c r="BZ135" i="6"/>
  <c r="K136" i="12"/>
  <c r="A136" i="6"/>
  <c r="BE135" i="6"/>
  <c r="BJ135" i="6"/>
  <c r="CD135" i="6"/>
  <c r="CA135" i="6"/>
  <c r="BV135" i="6"/>
  <c r="K137" i="12" l="1"/>
  <c r="A137" i="6"/>
  <c r="M137" i="6" s="1"/>
  <c r="BW137" i="6" s="1"/>
  <c r="D138" i="6"/>
  <c r="H137" i="6"/>
  <c r="T137" i="5" s="1"/>
  <c r="G136" i="12"/>
  <c r="M136" i="6"/>
  <c r="A139" i="12"/>
  <c r="B139" i="6"/>
  <c r="N139" i="5"/>
  <c r="C140" i="5"/>
  <c r="K139" i="5"/>
  <c r="H139" i="5"/>
  <c r="AE139" i="5"/>
  <c r="B139" i="5"/>
  <c r="AD139" i="5"/>
  <c r="G139" i="5"/>
  <c r="J139" i="5"/>
  <c r="D139" i="5"/>
  <c r="B139" i="12" s="1"/>
  <c r="F139" i="5"/>
  <c r="E139" i="5"/>
  <c r="L138" i="12"/>
  <c r="J138" i="12"/>
  <c r="BT137" i="6" l="1"/>
  <c r="CG137" i="6"/>
  <c r="CF137" i="6"/>
  <c r="CH137" i="6"/>
  <c r="CI137" i="6"/>
  <c r="CJ137" i="6"/>
  <c r="BP137" i="6"/>
  <c r="CK137" i="6"/>
  <c r="BN137" i="6"/>
  <c r="BM137" i="6"/>
  <c r="CL137" i="6"/>
  <c r="BO137" i="6"/>
  <c r="CM137" i="6"/>
  <c r="BQ137" i="6"/>
  <c r="BT136" i="6"/>
  <c r="BS136" i="6"/>
  <c r="BR136" i="6"/>
  <c r="BQ136" i="6"/>
  <c r="BP136" i="6"/>
  <c r="CM136" i="6"/>
  <c r="BO136" i="6"/>
  <c r="CL136" i="6"/>
  <c r="BN136" i="6"/>
  <c r="CK136" i="6"/>
  <c r="BM136" i="6"/>
  <c r="CJ136" i="6"/>
  <c r="CI136" i="6"/>
  <c r="CH136" i="6"/>
  <c r="CG136" i="6"/>
  <c r="CF136" i="6"/>
  <c r="BR137" i="6"/>
  <c r="BS137" i="6"/>
  <c r="A138" i="6"/>
  <c r="M138" i="6" s="1"/>
  <c r="CB138" i="6" s="1"/>
  <c r="BE137" i="6"/>
  <c r="BX137" i="6"/>
  <c r="BY137" i="6"/>
  <c r="BC137" i="6"/>
  <c r="BD137" i="6"/>
  <c r="BF137" i="6"/>
  <c r="BZ137" i="6"/>
  <c r="BG137" i="6"/>
  <c r="BH137" i="6"/>
  <c r="CA137" i="6"/>
  <c r="CE137" i="6"/>
  <c r="BI137" i="6"/>
  <c r="K138" i="12"/>
  <c r="G137" i="12"/>
  <c r="L139" i="12"/>
  <c r="J139" i="12"/>
  <c r="CC137" i="6"/>
  <c r="BK137" i="6"/>
  <c r="CD137" i="6"/>
  <c r="BL137" i="6"/>
  <c r="BJ137" i="6"/>
  <c r="BW136" i="6"/>
  <c r="BV136" i="6"/>
  <c r="CC136" i="6"/>
  <c r="BL136" i="6"/>
  <c r="CB136" i="6"/>
  <c r="CA136" i="6"/>
  <c r="BK136" i="6"/>
  <c r="CD136" i="6"/>
  <c r="BE136" i="6"/>
  <c r="CE136" i="6"/>
  <c r="BJ136" i="6"/>
  <c r="BY136" i="6"/>
  <c r="BX136" i="6"/>
  <c r="BI136" i="6"/>
  <c r="BF136" i="6"/>
  <c r="BH136" i="6"/>
  <c r="BD136" i="6"/>
  <c r="BG136" i="6"/>
  <c r="BZ136" i="6"/>
  <c r="BC136" i="6"/>
  <c r="BV137" i="6"/>
  <c r="H138" i="6"/>
  <c r="T138" i="5" s="1"/>
  <c r="A140" i="12"/>
  <c r="B140" i="6"/>
  <c r="C141" i="5"/>
  <c r="N140" i="5"/>
  <c r="E140" i="5"/>
  <c r="D140" i="5"/>
  <c r="B140" i="12" s="1"/>
  <c r="AE140" i="5"/>
  <c r="AD140" i="5"/>
  <c r="K140" i="5"/>
  <c r="J140" i="5"/>
  <c r="H140" i="5"/>
  <c r="G140" i="5"/>
  <c r="F140" i="5"/>
  <c r="B140" i="5"/>
  <c r="D139" i="6"/>
  <c r="CB137" i="6"/>
  <c r="CL138" i="6" l="1"/>
  <c r="CM138" i="6"/>
  <c r="BN138" i="6"/>
  <c r="CF138" i="6"/>
  <c r="BR138" i="6"/>
  <c r="CG138" i="6"/>
  <c r="BT138" i="6"/>
  <c r="CH138" i="6"/>
  <c r="BQ138" i="6"/>
  <c r="CI138" i="6"/>
  <c r="BS138" i="6"/>
  <c r="BM138" i="6"/>
  <c r="BO138" i="6"/>
  <c r="BP138" i="6"/>
  <c r="CK138" i="6"/>
  <c r="CJ138" i="6"/>
  <c r="A139" i="6"/>
  <c r="M139" i="6" s="1"/>
  <c r="BC139" i="6" s="1"/>
  <c r="BK138" i="6"/>
  <c r="BL138" i="6"/>
  <c r="G138" i="12"/>
  <c r="BX138" i="6"/>
  <c r="BY138" i="6"/>
  <c r="BV138" i="6"/>
  <c r="BW138" i="6"/>
  <c r="BE138" i="6"/>
  <c r="CC138" i="6"/>
  <c r="BZ138" i="6"/>
  <c r="CE138" i="6"/>
  <c r="BC138" i="6"/>
  <c r="K139" i="12"/>
  <c r="BD138" i="6"/>
  <c r="CD138" i="6"/>
  <c r="BG138" i="6"/>
  <c r="J140" i="12"/>
  <c r="L140" i="12"/>
  <c r="BF138" i="6"/>
  <c r="D140" i="6"/>
  <c r="CA138" i="6"/>
  <c r="BH138" i="6"/>
  <c r="BI138" i="6"/>
  <c r="BJ138" i="6"/>
  <c r="H139" i="6"/>
  <c r="T139" i="5" s="1"/>
  <c r="A141" i="12"/>
  <c r="B141" i="6"/>
  <c r="AE141" i="5"/>
  <c r="B141" i="5"/>
  <c r="H141" i="5"/>
  <c r="G141" i="5"/>
  <c r="C142" i="5"/>
  <c r="AD141" i="5"/>
  <c r="N141" i="5"/>
  <c r="K141" i="5"/>
  <c r="J141" i="5"/>
  <c r="F141" i="5"/>
  <c r="D141" i="5"/>
  <c r="B141" i="12" s="1"/>
  <c r="E141" i="5"/>
  <c r="BS139" i="6" l="1"/>
  <c r="CJ139" i="6"/>
  <c r="CK139" i="6"/>
  <c r="CL139" i="6"/>
  <c r="CM139" i="6"/>
  <c r="BR139" i="6"/>
  <c r="BM139" i="6"/>
  <c r="BN139" i="6"/>
  <c r="BO139" i="6"/>
  <c r="BQ139" i="6"/>
  <c r="BP139" i="6"/>
  <c r="BT139" i="6"/>
  <c r="CF139" i="6"/>
  <c r="CG139" i="6"/>
  <c r="CH139" i="6"/>
  <c r="CI139" i="6"/>
  <c r="A140" i="6"/>
  <c r="K140" i="12"/>
  <c r="BD139" i="6"/>
  <c r="CD139" i="6"/>
  <c r="BG139" i="6"/>
  <c r="BI139" i="6"/>
  <c r="CC139" i="6"/>
  <c r="BH139" i="6"/>
  <c r="D141" i="6"/>
  <c r="BZ139" i="6"/>
  <c r="CA139" i="6"/>
  <c r="CB139" i="6"/>
  <c r="BK139" i="6"/>
  <c r="BV139" i="6"/>
  <c r="L141" i="12"/>
  <c r="J141" i="12"/>
  <c r="BF139" i="6"/>
  <c r="BW139" i="6"/>
  <c r="BE139" i="6"/>
  <c r="BX139" i="6"/>
  <c r="H140" i="6"/>
  <c r="T140" i="5" s="1"/>
  <c r="G139" i="12"/>
  <c r="BJ139" i="6"/>
  <c r="BY139" i="6"/>
  <c r="A142" i="12"/>
  <c r="B142" i="6"/>
  <c r="C143" i="5"/>
  <c r="N142" i="5"/>
  <c r="K142" i="5"/>
  <c r="J142" i="5"/>
  <c r="H142" i="5"/>
  <c r="G142" i="5"/>
  <c r="AE142" i="5"/>
  <c r="B142" i="5"/>
  <c r="AD142" i="5"/>
  <c r="F142" i="5"/>
  <c r="E142" i="5"/>
  <c r="D142" i="5"/>
  <c r="B142" i="12" s="1"/>
  <c r="BL139" i="6"/>
  <c r="CE139" i="6"/>
  <c r="A141" i="6" l="1"/>
  <c r="M140" i="6"/>
  <c r="K141" i="12"/>
  <c r="D142" i="6"/>
  <c r="A143" i="12"/>
  <c r="B143" i="6"/>
  <c r="AE143" i="5"/>
  <c r="E143" i="5"/>
  <c r="B143" i="5"/>
  <c r="H143" i="5"/>
  <c r="G143" i="5"/>
  <c r="F143" i="5"/>
  <c r="D143" i="5"/>
  <c r="B143" i="12" s="1"/>
  <c r="N143" i="5"/>
  <c r="K143" i="5"/>
  <c r="C144" i="5"/>
  <c r="J143" i="5"/>
  <c r="AD143" i="5"/>
  <c r="H141" i="6"/>
  <c r="T141" i="5" s="1"/>
  <c r="G140" i="12"/>
  <c r="L142" i="12"/>
  <c r="J142" i="12"/>
  <c r="CA140" i="6" l="1"/>
  <c r="BS140" i="6"/>
  <c r="BR140" i="6"/>
  <c r="BQ140" i="6"/>
  <c r="CM140" i="6"/>
  <c r="BO140" i="6"/>
  <c r="CL140" i="6"/>
  <c r="BM140" i="6"/>
  <c r="CK140" i="6"/>
  <c r="BP140" i="6"/>
  <c r="CJ140" i="6"/>
  <c r="BN140" i="6"/>
  <c r="CI140" i="6"/>
  <c r="CH140" i="6"/>
  <c r="CF140" i="6"/>
  <c r="CG140" i="6"/>
  <c r="BT140" i="6"/>
  <c r="BL140" i="6"/>
  <c r="BJ140" i="6"/>
  <c r="BZ140" i="6"/>
  <c r="BE140" i="6"/>
  <c r="BX140" i="6"/>
  <c r="CD140" i="6"/>
  <c r="BF140" i="6"/>
  <c r="BI140" i="6"/>
  <c r="BH140" i="6"/>
  <c r="BG140" i="6"/>
  <c r="BV140" i="6"/>
  <c r="CE140" i="6"/>
  <c r="CB140" i="6"/>
  <c r="BK140" i="6"/>
  <c r="BD140" i="6"/>
  <c r="BW140" i="6"/>
  <c r="BY140" i="6"/>
  <c r="M141" i="6"/>
  <c r="BC140" i="6"/>
  <c r="CC140" i="6"/>
  <c r="G141" i="12"/>
  <c r="H142" i="6"/>
  <c r="T142" i="5" s="1"/>
  <c r="A144" i="12"/>
  <c r="B144" i="6"/>
  <c r="C145" i="5"/>
  <c r="N144" i="5"/>
  <c r="AD144" i="5"/>
  <c r="K144" i="5"/>
  <c r="J144" i="5"/>
  <c r="D144" i="5"/>
  <c r="B144" i="12" s="1"/>
  <c r="AE144" i="5"/>
  <c r="H144" i="5"/>
  <c r="F144" i="5"/>
  <c r="E144" i="5"/>
  <c r="B144" i="5"/>
  <c r="G144" i="5"/>
  <c r="J143" i="12"/>
  <c r="L143" i="12"/>
  <c r="K142" i="12"/>
  <c r="D143" i="6"/>
  <c r="A142" i="6"/>
  <c r="CB141" i="6" l="1"/>
  <c r="BP141" i="6"/>
  <c r="BO141" i="6"/>
  <c r="BM141" i="6"/>
  <c r="BS141" i="6"/>
  <c r="CI141" i="6"/>
  <c r="BQ141" i="6"/>
  <c r="CH141" i="6"/>
  <c r="BT141" i="6"/>
  <c r="CG141" i="6"/>
  <c r="BR141" i="6"/>
  <c r="CF141" i="6"/>
  <c r="BN141" i="6"/>
  <c r="CM141" i="6"/>
  <c r="CL141" i="6"/>
  <c r="CJ141" i="6"/>
  <c r="CK141" i="6"/>
  <c r="BJ141" i="6"/>
  <c r="BG141" i="6"/>
  <c r="BI141" i="6"/>
  <c r="BC141" i="6"/>
  <c r="CE141" i="6"/>
  <c r="CC141" i="6"/>
  <c r="BH141" i="6"/>
  <c r="BL141" i="6"/>
  <c r="BZ141" i="6"/>
  <c r="BK141" i="6"/>
  <c r="BF141" i="6"/>
  <c r="BD141" i="6"/>
  <c r="CD141" i="6"/>
  <c r="BX141" i="6"/>
  <c r="BE141" i="6"/>
  <c r="BY141" i="6"/>
  <c r="BW141" i="6"/>
  <c r="CA141" i="6"/>
  <c r="BV141" i="6"/>
  <c r="K143" i="12"/>
  <c r="A143" i="6"/>
  <c r="M142" i="6"/>
  <c r="A145" i="12"/>
  <c r="B145" i="6"/>
  <c r="AE145" i="5"/>
  <c r="E145" i="5"/>
  <c r="B145" i="5"/>
  <c r="N145" i="5"/>
  <c r="G145" i="5"/>
  <c r="F145" i="5"/>
  <c r="D145" i="5"/>
  <c r="B145" i="12" s="1"/>
  <c r="H145" i="5"/>
  <c r="C146" i="5"/>
  <c r="AD145" i="5"/>
  <c r="K145" i="5"/>
  <c r="J145" i="5"/>
  <c r="G142" i="12"/>
  <c r="L144" i="12"/>
  <c r="J144" i="12"/>
  <c r="H143" i="6"/>
  <c r="T143" i="5" s="1"/>
  <c r="D144" i="6"/>
  <c r="BS142" i="6" l="1"/>
  <c r="BQ142" i="6"/>
  <c r="BP142" i="6"/>
  <c r="CM142" i="6"/>
  <c r="BO142" i="6"/>
  <c r="CL142" i="6"/>
  <c r="BN142" i="6"/>
  <c r="CK142" i="6"/>
  <c r="BM142" i="6"/>
  <c r="CJ142" i="6"/>
  <c r="CI142" i="6"/>
  <c r="CH142" i="6"/>
  <c r="CG142" i="6"/>
  <c r="CF142" i="6"/>
  <c r="BR142" i="6"/>
  <c r="BT142" i="6"/>
  <c r="M143" i="6"/>
  <c r="K144" i="12"/>
  <c r="L145" i="12"/>
  <c r="J145" i="12"/>
  <c r="G143" i="12"/>
  <c r="A146" i="12"/>
  <c r="B146" i="6"/>
  <c r="C147" i="5"/>
  <c r="N146" i="5"/>
  <c r="J146" i="5"/>
  <c r="H146" i="5"/>
  <c r="G146" i="5"/>
  <c r="F146" i="5"/>
  <c r="E146" i="5"/>
  <c r="AD146" i="5"/>
  <c r="K146" i="5"/>
  <c r="AE146" i="5"/>
  <c r="D146" i="5"/>
  <c r="B146" i="12" s="1"/>
  <c r="B146" i="5"/>
  <c r="D145" i="6"/>
  <c r="CD142" i="6"/>
  <c r="BD142" i="6"/>
  <c r="CC142" i="6"/>
  <c r="BE142" i="6"/>
  <c r="CE142" i="6"/>
  <c r="BW142" i="6"/>
  <c r="CB142" i="6"/>
  <c r="CA142" i="6"/>
  <c r="BJ142" i="6"/>
  <c r="BH142" i="6"/>
  <c r="BV142" i="6"/>
  <c r="BZ142" i="6"/>
  <c r="BY142" i="6"/>
  <c r="BL142" i="6"/>
  <c r="BX142" i="6"/>
  <c r="BI142" i="6"/>
  <c r="BC142" i="6"/>
  <c r="BK142" i="6"/>
  <c r="BF142" i="6"/>
  <c r="BG142" i="6"/>
  <c r="H144" i="6"/>
  <c r="T144" i="5" s="1"/>
  <c r="A144" i="6"/>
  <c r="BH143" i="6" l="1"/>
  <c r="BR143" i="6"/>
  <c r="BQ143" i="6"/>
  <c r="CM143" i="6"/>
  <c r="BO143" i="6"/>
  <c r="CL143" i="6"/>
  <c r="BM143" i="6"/>
  <c r="CK143" i="6"/>
  <c r="BP143" i="6"/>
  <c r="CJ143" i="6"/>
  <c r="CI143" i="6"/>
  <c r="CH143" i="6"/>
  <c r="CF143" i="6"/>
  <c r="BN143" i="6"/>
  <c r="CG143" i="6"/>
  <c r="BT143" i="6"/>
  <c r="BS143" i="6"/>
  <c r="BY143" i="6"/>
  <c r="BX143" i="6"/>
  <c r="CC143" i="6"/>
  <c r="BI143" i="6"/>
  <c r="CE143" i="6"/>
  <c r="BF143" i="6"/>
  <c r="BE143" i="6"/>
  <c r="BK143" i="6"/>
  <c r="BV143" i="6"/>
  <c r="CB143" i="6"/>
  <c r="BG143" i="6"/>
  <c r="CD143" i="6"/>
  <c r="BW143" i="6"/>
  <c r="CA143" i="6"/>
  <c r="BC143" i="6"/>
  <c r="BL143" i="6"/>
  <c r="BD143" i="6"/>
  <c r="BZ143" i="6"/>
  <c r="BJ143" i="6"/>
  <c r="K145" i="12"/>
  <c r="A147" i="12"/>
  <c r="B147" i="6"/>
  <c r="AE147" i="5"/>
  <c r="E147" i="5"/>
  <c r="AD147" i="5"/>
  <c r="B147" i="5"/>
  <c r="F147" i="5"/>
  <c r="D147" i="5"/>
  <c r="B147" i="12" s="1"/>
  <c r="C148" i="5"/>
  <c r="N147" i="5"/>
  <c r="J147" i="5"/>
  <c r="K147" i="5"/>
  <c r="H147" i="5"/>
  <c r="G147" i="5"/>
  <c r="J146" i="12"/>
  <c r="L146" i="12"/>
  <c r="G144" i="12"/>
  <c r="D146" i="6"/>
  <c r="M144" i="6"/>
  <c r="A145" i="6"/>
  <c r="H145" i="6"/>
  <c r="T145" i="5" s="1"/>
  <c r="BM144" i="6" l="1"/>
  <c r="BS144" i="6"/>
  <c r="CI144" i="6"/>
  <c r="BQ144" i="6"/>
  <c r="CH144" i="6"/>
  <c r="BT144" i="6"/>
  <c r="CG144" i="6"/>
  <c r="BR144" i="6"/>
  <c r="CF144" i="6"/>
  <c r="BN144" i="6"/>
  <c r="CM144" i="6"/>
  <c r="CL144" i="6"/>
  <c r="CJ144" i="6"/>
  <c r="CK144" i="6"/>
  <c r="BP144" i="6"/>
  <c r="BO144" i="6"/>
  <c r="K146" i="12"/>
  <c r="A146" i="6"/>
  <c r="M145" i="6"/>
  <c r="G145" i="12"/>
  <c r="J147" i="12"/>
  <c r="L147" i="12"/>
  <c r="BZ144" i="6"/>
  <c r="BH144" i="6"/>
  <c r="BK144" i="6"/>
  <c r="BE144" i="6"/>
  <c r="CA144" i="6"/>
  <c r="BW144" i="6"/>
  <c r="BG144" i="6"/>
  <c r="BJ144" i="6"/>
  <c r="BI144" i="6"/>
  <c r="CC144" i="6"/>
  <c r="BD144" i="6"/>
  <c r="BX144" i="6"/>
  <c r="BL144" i="6"/>
  <c r="CB144" i="6"/>
  <c r="BV144" i="6"/>
  <c r="CE144" i="6"/>
  <c r="CD144" i="6"/>
  <c r="BY144" i="6"/>
  <c r="BC144" i="6"/>
  <c r="BF144" i="6"/>
  <c r="A148" i="12"/>
  <c r="B148" i="6"/>
  <c r="C149" i="5"/>
  <c r="N148" i="5"/>
  <c r="AD148" i="5"/>
  <c r="J148" i="5"/>
  <c r="H148" i="5"/>
  <c r="G148" i="5"/>
  <c r="F148" i="5"/>
  <c r="E148" i="5"/>
  <c r="D148" i="5"/>
  <c r="B148" i="12" s="1"/>
  <c r="B148" i="5"/>
  <c r="AE148" i="5"/>
  <c r="K148" i="5"/>
  <c r="D147" i="6"/>
  <c r="H146" i="6"/>
  <c r="T146" i="5" s="1"/>
  <c r="BL145" i="6" l="1"/>
  <c r="BT145" i="6"/>
  <c r="BS145" i="6"/>
  <c r="BQ145" i="6"/>
  <c r="BP145" i="6"/>
  <c r="CM145" i="6"/>
  <c r="BO145" i="6"/>
  <c r="CL145" i="6"/>
  <c r="BN145" i="6"/>
  <c r="CK145" i="6"/>
  <c r="BM145" i="6"/>
  <c r="CJ145" i="6"/>
  <c r="BR145" i="6"/>
  <c r="CI145" i="6"/>
  <c r="CH145" i="6"/>
  <c r="CG145" i="6"/>
  <c r="CF145" i="6"/>
  <c r="BW145" i="6"/>
  <c r="BZ145" i="6"/>
  <c r="BC145" i="6"/>
  <c r="BY145" i="6"/>
  <c r="A147" i="6"/>
  <c r="M146" i="6"/>
  <c r="K147" i="12"/>
  <c r="BG145" i="6"/>
  <c r="CB145" i="6"/>
  <c r="BE145" i="6"/>
  <c r="BI145" i="6"/>
  <c r="BH145" i="6"/>
  <c r="CE145" i="6"/>
  <c r="BF145" i="6"/>
  <c r="CA145" i="6"/>
  <c r="BD145" i="6"/>
  <c r="BV145" i="6"/>
  <c r="CD145" i="6"/>
  <c r="BX145" i="6"/>
  <c r="BJ145" i="6"/>
  <c r="CC145" i="6"/>
  <c r="BK145" i="6"/>
  <c r="L148" i="12"/>
  <c r="J148" i="12"/>
  <c r="A149" i="12"/>
  <c r="B149" i="6"/>
  <c r="AE149" i="5"/>
  <c r="E149" i="5"/>
  <c r="AD149" i="5"/>
  <c r="D149" i="5"/>
  <c r="B149" i="12" s="1"/>
  <c r="B149" i="5"/>
  <c r="N149" i="5"/>
  <c r="H149" i="5"/>
  <c r="G149" i="5"/>
  <c r="F149" i="5"/>
  <c r="J149" i="5"/>
  <c r="K149" i="5"/>
  <c r="C150" i="5"/>
  <c r="D148" i="6"/>
  <c r="H147" i="6"/>
  <c r="T147" i="5" s="1"/>
  <c r="G146" i="12"/>
  <c r="BJ146" i="6" l="1"/>
  <c r="CL146" i="6"/>
  <c r="BM146" i="6"/>
  <c r="CK146" i="6"/>
  <c r="BP146" i="6"/>
  <c r="CJ146" i="6"/>
  <c r="BN146" i="6"/>
  <c r="CI146" i="6"/>
  <c r="CH146" i="6"/>
  <c r="CF146" i="6"/>
  <c r="CG146" i="6"/>
  <c r="BT146" i="6"/>
  <c r="BS146" i="6"/>
  <c r="BR146" i="6"/>
  <c r="BQ146" i="6"/>
  <c r="CM146" i="6"/>
  <c r="BO146" i="6"/>
  <c r="BC146" i="6"/>
  <c r="CC146" i="6"/>
  <c r="BG146" i="6"/>
  <c r="BI146" i="6"/>
  <c r="CA146" i="6"/>
  <c r="BX146" i="6"/>
  <c r="CD146" i="6"/>
  <c r="BD146" i="6"/>
  <c r="CB146" i="6"/>
  <c r="M147" i="6"/>
  <c r="BY146" i="6"/>
  <c r="BW146" i="6"/>
  <c r="BZ146" i="6"/>
  <c r="CE146" i="6"/>
  <c r="BV146" i="6"/>
  <c r="BF146" i="6"/>
  <c r="BE146" i="6"/>
  <c r="BL146" i="6"/>
  <c r="BH146" i="6"/>
  <c r="BK146" i="6"/>
  <c r="K148" i="12"/>
  <c r="H148" i="6"/>
  <c r="T148" i="5" s="1"/>
  <c r="A148" i="6"/>
  <c r="D149" i="6"/>
  <c r="L149" i="12"/>
  <c r="J149" i="12"/>
  <c r="G147" i="12"/>
  <c r="A150" i="12"/>
  <c r="B150" i="6"/>
  <c r="C151" i="5"/>
  <c r="N150" i="5"/>
  <c r="K150" i="5"/>
  <c r="J150" i="5"/>
  <c r="H150" i="5"/>
  <c r="G150" i="5"/>
  <c r="B150" i="5"/>
  <c r="AE150" i="5"/>
  <c r="AD150" i="5"/>
  <c r="F150" i="5"/>
  <c r="E150" i="5"/>
  <c r="D150" i="5"/>
  <c r="B150" i="12" s="1"/>
  <c r="BF147" i="6" l="1"/>
  <c r="CG147" i="6"/>
  <c r="CH147" i="6"/>
  <c r="CF147" i="6"/>
  <c r="BP147" i="6"/>
  <c r="BO147" i="6"/>
  <c r="BM147" i="6"/>
  <c r="BS147" i="6"/>
  <c r="CM147" i="6"/>
  <c r="BQ147" i="6"/>
  <c r="CL147" i="6"/>
  <c r="BT147" i="6"/>
  <c r="CK147" i="6"/>
  <c r="BR147" i="6"/>
  <c r="CJ147" i="6"/>
  <c r="BN147" i="6"/>
  <c r="CI147" i="6"/>
  <c r="BW147" i="6"/>
  <c r="CB147" i="6"/>
  <c r="BH147" i="6"/>
  <c r="BJ147" i="6"/>
  <c r="BE147" i="6"/>
  <c r="BC147" i="6"/>
  <c r="BG147" i="6"/>
  <c r="CD147" i="6"/>
  <c r="BD147" i="6"/>
  <c r="BY147" i="6"/>
  <c r="BX147" i="6"/>
  <c r="BK147" i="6"/>
  <c r="CA147" i="6"/>
  <c r="CE147" i="6"/>
  <c r="BI147" i="6"/>
  <c r="CC147" i="6"/>
  <c r="BZ147" i="6"/>
  <c r="BV147" i="6"/>
  <c r="BL147" i="6"/>
  <c r="K149" i="12"/>
  <c r="A149" i="6"/>
  <c r="H149" i="6"/>
  <c r="T149" i="5" s="1"/>
  <c r="A151" i="12"/>
  <c r="B151" i="6"/>
  <c r="AE151" i="5"/>
  <c r="E151" i="5"/>
  <c r="AD151" i="5"/>
  <c r="D151" i="5"/>
  <c r="B151" i="12" s="1"/>
  <c r="B151" i="5"/>
  <c r="J151" i="5"/>
  <c r="H151" i="5"/>
  <c r="G151" i="5"/>
  <c r="F151" i="5"/>
  <c r="N151" i="5"/>
  <c r="K151" i="5"/>
  <c r="D150" i="6"/>
  <c r="M148" i="6"/>
  <c r="L150" i="12"/>
  <c r="J150" i="12"/>
  <c r="G148" i="12"/>
  <c r="BP148" i="6" l="1"/>
  <c r="CH148" i="6"/>
  <c r="BO148" i="6"/>
  <c r="CG148" i="6"/>
  <c r="BN148" i="6"/>
  <c r="CM148" i="6"/>
  <c r="BM148" i="6"/>
  <c r="CK148" i="6"/>
  <c r="CJ148" i="6"/>
  <c r="CI148" i="6"/>
  <c r="BR148" i="6"/>
  <c r="CF148" i="6"/>
  <c r="CL148" i="6"/>
  <c r="BT148" i="6"/>
  <c r="BS148" i="6"/>
  <c r="BQ148" i="6"/>
  <c r="M149" i="6"/>
  <c r="J151" i="12"/>
  <c r="L151" i="12"/>
  <c r="BW148" i="6"/>
  <c r="BH148" i="6"/>
  <c r="BI148" i="6"/>
  <c r="BX148" i="6"/>
  <c r="BK148" i="6"/>
  <c r="BG148" i="6"/>
  <c r="BY148" i="6"/>
  <c r="BJ148" i="6"/>
  <c r="BD148" i="6"/>
  <c r="CB148" i="6"/>
  <c r="BE148" i="6"/>
  <c r="CE148" i="6"/>
  <c r="CA148" i="6"/>
  <c r="CD148" i="6"/>
  <c r="BF148" i="6"/>
  <c r="BZ148" i="6"/>
  <c r="BV148" i="6"/>
  <c r="BC148" i="6"/>
  <c r="CC148" i="6"/>
  <c r="BL148" i="6"/>
  <c r="K150" i="12"/>
  <c r="G149" i="12"/>
  <c r="H150" i="6"/>
  <c r="T150" i="5" s="1"/>
  <c r="A150" i="6"/>
  <c r="C152" i="5"/>
  <c r="D151" i="6"/>
  <c r="CC149" i="6" l="1"/>
  <c r="CH149" i="6"/>
  <c r="CG149" i="6"/>
  <c r="CF149" i="6"/>
  <c r="CM149" i="6"/>
  <c r="BN149" i="6"/>
  <c r="CJ149" i="6"/>
  <c r="BT149" i="6"/>
  <c r="BS149" i="6"/>
  <c r="BR149" i="6"/>
  <c r="BQ149" i="6"/>
  <c r="CL149" i="6"/>
  <c r="BO149" i="6"/>
  <c r="CK149" i="6"/>
  <c r="BM149" i="6"/>
  <c r="CI149" i="6"/>
  <c r="BP149" i="6"/>
  <c r="CA149" i="6"/>
  <c r="CD149" i="6"/>
  <c r="BE149" i="6"/>
  <c r="CE149" i="6"/>
  <c r="BD149" i="6"/>
  <c r="BH149" i="6"/>
  <c r="BK149" i="6"/>
  <c r="BI149" i="6"/>
  <c r="BZ149" i="6"/>
  <c r="BW149" i="6"/>
  <c r="BF149" i="6"/>
  <c r="BX149" i="6"/>
  <c r="BL149" i="6"/>
  <c r="CB149" i="6"/>
  <c r="BY149" i="6"/>
  <c r="BV149" i="6"/>
  <c r="BJ149" i="6"/>
  <c r="BC149" i="6"/>
  <c r="BG149" i="6"/>
  <c r="K151" i="12"/>
  <c r="A151" i="6"/>
  <c r="G150" i="12"/>
  <c r="M150" i="6"/>
  <c r="A152" i="12"/>
  <c r="B152" i="6"/>
  <c r="AE152" i="5"/>
  <c r="E152" i="5"/>
  <c r="AD152" i="5"/>
  <c r="B152" i="5"/>
  <c r="W152" i="5"/>
  <c r="H152" i="12" s="1"/>
  <c r="C153" i="5"/>
  <c r="N152" i="5"/>
  <c r="H152" i="5"/>
  <c r="F152" i="5"/>
  <c r="G152" i="5"/>
  <c r="H151" i="6"/>
  <c r="T151" i="5" s="1"/>
  <c r="BO150" i="6" l="1"/>
  <c r="BM150" i="6"/>
  <c r="BS150" i="6"/>
  <c r="CM150" i="6"/>
  <c r="BQ150" i="6"/>
  <c r="CK150" i="6"/>
  <c r="CH150" i="6"/>
  <c r="CL150" i="6"/>
  <c r="BT150" i="6"/>
  <c r="BR150" i="6"/>
  <c r="CJ150" i="6"/>
  <c r="BN150" i="6"/>
  <c r="CI150" i="6"/>
  <c r="CG150" i="6"/>
  <c r="CF150" i="6"/>
  <c r="BP150" i="6"/>
  <c r="M151" i="6"/>
  <c r="G151" i="12"/>
  <c r="A153" i="12"/>
  <c r="B153" i="6"/>
  <c r="C154" i="5"/>
  <c r="N153" i="5"/>
  <c r="AD153" i="5"/>
  <c r="K153" i="5"/>
  <c r="F153" i="5"/>
  <c r="E153" i="5"/>
  <c r="D153" i="5"/>
  <c r="B153" i="12" s="1"/>
  <c r="AE153" i="5"/>
  <c r="J153" i="5"/>
  <c r="H153" i="5"/>
  <c r="G153" i="5"/>
  <c r="B153" i="5"/>
  <c r="CC150" i="6"/>
  <c r="CD150" i="6"/>
  <c r="BH150" i="6"/>
  <c r="BY150" i="6"/>
  <c r="BK150" i="6"/>
  <c r="BJ150" i="6"/>
  <c r="CB150" i="6"/>
  <c r="CE150" i="6"/>
  <c r="BE150" i="6"/>
  <c r="CA150" i="6"/>
  <c r="BX150" i="6"/>
  <c r="BF150" i="6"/>
  <c r="BD150" i="6"/>
  <c r="BZ150" i="6"/>
  <c r="BG150" i="6"/>
  <c r="BV150" i="6"/>
  <c r="BC150" i="6"/>
  <c r="BW150" i="6"/>
  <c r="BL150" i="6"/>
  <c r="BI150" i="6"/>
  <c r="D152" i="6"/>
  <c r="CB151" i="6" l="1"/>
  <c r="CJ151" i="6"/>
  <c r="CL151" i="6"/>
  <c r="CI151" i="6"/>
  <c r="CF151" i="6"/>
  <c r="BT151" i="6"/>
  <c r="BS151" i="6"/>
  <c r="BQ151" i="6"/>
  <c r="BP151" i="6"/>
  <c r="CH151" i="6"/>
  <c r="BO151" i="6"/>
  <c r="CG151" i="6"/>
  <c r="BN151" i="6"/>
  <c r="CM151" i="6"/>
  <c r="BM151" i="6"/>
  <c r="CK151" i="6"/>
  <c r="BR151" i="6"/>
  <c r="CL152" i="6"/>
  <c r="CK152" i="6"/>
  <c r="CI152" i="6"/>
  <c r="CH152" i="6"/>
  <c r="CG152" i="6"/>
  <c r="CF152" i="6"/>
  <c r="CM152" i="6"/>
  <c r="CJ152" i="6"/>
  <c r="BT152" i="6"/>
  <c r="BS152" i="6"/>
  <c r="BR152" i="6"/>
  <c r="BQ152" i="6"/>
  <c r="BO152" i="6"/>
  <c r="BM152" i="6"/>
  <c r="BP152" i="6"/>
  <c r="BN152" i="6"/>
  <c r="A152" i="6"/>
  <c r="M152" i="6" s="1"/>
  <c r="BV152" i="6" s="1"/>
  <c r="BZ151" i="6"/>
  <c r="BY151" i="6"/>
  <c r="BW151" i="6"/>
  <c r="CA151" i="6"/>
  <c r="BG151" i="6"/>
  <c r="BI151" i="6"/>
  <c r="BF151" i="6"/>
  <c r="BD151" i="6"/>
  <c r="BJ151" i="6"/>
  <c r="BX151" i="6"/>
  <c r="CD151" i="6"/>
  <c r="BH151" i="6"/>
  <c r="CE151" i="6"/>
  <c r="BC151" i="6"/>
  <c r="CC151" i="6"/>
  <c r="BL151" i="6"/>
  <c r="BV151" i="6"/>
  <c r="BK151" i="6"/>
  <c r="BE151" i="6"/>
  <c r="L153" i="12"/>
  <c r="J153" i="12"/>
  <c r="D153" i="6"/>
  <c r="A154" i="12"/>
  <c r="B154" i="6"/>
  <c r="AE154" i="5"/>
  <c r="E154" i="5"/>
  <c r="AD154" i="5"/>
  <c r="D154" i="5"/>
  <c r="B154" i="12" s="1"/>
  <c r="B154" i="5"/>
  <c r="N154" i="5"/>
  <c r="K154" i="5"/>
  <c r="J154" i="5"/>
  <c r="H154" i="5"/>
  <c r="G154" i="5"/>
  <c r="F154" i="5"/>
  <c r="H152" i="6"/>
  <c r="T152" i="5" s="1"/>
  <c r="AW152" i="6" l="1"/>
  <c r="AX152" i="6"/>
  <c r="AY152" i="6"/>
  <c r="AZ152" i="6"/>
  <c r="BA152" i="6"/>
  <c r="AT152" i="6"/>
  <c r="AU152" i="6"/>
  <c r="AV152" i="6"/>
  <c r="A153" i="6"/>
  <c r="N152" i="6"/>
  <c r="CD152" i="6"/>
  <c r="CE152" i="6"/>
  <c r="BX152" i="6"/>
  <c r="BJ152" i="6"/>
  <c r="BI152" i="6"/>
  <c r="BW152" i="6"/>
  <c r="H153" i="6"/>
  <c r="T153" i="5" s="1"/>
  <c r="AK152" i="6"/>
  <c r="K153" i="12"/>
  <c r="J154" i="12"/>
  <c r="L154" i="12"/>
  <c r="AL152" i="6"/>
  <c r="AN152" i="6"/>
  <c r="AR152" i="6"/>
  <c r="AP152" i="6"/>
  <c r="BL152" i="6"/>
  <c r="AS152" i="6"/>
  <c r="BC152" i="6"/>
  <c r="AQ152" i="6"/>
  <c r="AM152" i="6"/>
  <c r="BY152" i="6"/>
  <c r="CA152" i="6"/>
  <c r="CB152" i="6"/>
  <c r="CC152" i="6"/>
  <c r="G152" i="12"/>
  <c r="AJ152" i="6"/>
  <c r="BZ152" i="6"/>
  <c r="AO152" i="6"/>
  <c r="D154" i="6"/>
  <c r="BD152" i="6"/>
  <c r="BE152" i="6"/>
  <c r="BF152" i="6"/>
  <c r="BG152" i="6"/>
  <c r="C155" i="5"/>
  <c r="BK152" i="6"/>
  <c r="BH152" i="6"/>
  <c r="M153" i="6" l="1"/>
  <c r="A154" i="6"/>
  <c r="A155" i="12"/>
  <c r="B155" i="6"/>
  <c r="AE155" i="5"/>
  <c r="E155" i="5"/>
  <c r="AD155" i="5"/>
  <c r="B155" i="5"/>
  <c r="C156" i="5"/>
  <c r="H155" i="5"/>
  <c r="G155" i="5"/>
  <c r="F155" i="5"/>
  <c r="N155" i="5"/>
  <c r="G153" i="12"/>
  <c r="H154" i="6"/>
  <c r="T154" i="5" s="1"/>
  <c r="K154" i="12"/>
  <c r="CC153" i="6" l="1"/>
  <c r="CM153" i="6"/>
  <c r="BQ153" i="6"/>
  <c r="CL153" i="6"/>
  <c r="BT153" i="6"/>
  <c r="CK153" i="6"/>
  <c r="BR153" i="6"/>
  <c r="CJ153" i="6"/>
  <c r="BN153" i="6"/>
  <c r="CI153" i="6"/>
  <c r="CG153" i="6"/>
  <c r="CF153" i="6"/>
  <c r="CH153" i="6"/>
  <c r="BP153" i="6"/>
  <c r="BO153" i="6"/>
  <c r="BM153" i="6"/>
  <c r="BS153" i="6"/>
  <c r="M154" i="6"/>
  <c r="BX153" i="6"/>
  <c r="BI153" i="6"/>
  <c r="BW153" i="6"/>
  <c r="CA153" i="6"/>
  <c r="CB153" i="6"/>
  <c r="CD153" i="6"/>
  <c r="BK153" i="6"/>
  <c r="BV153" i="6"/>
  <c r="BF153" i="6"/>
  <c r="BJ153" i="6"/>
  <c r="BC153" i="6"/>
  <c r="BD153" i="6"/>
  <c r="BZ153" i="6"/>
  <c r="BH153" i="6"/>
  <c r="CE153" i="6"/>
  <c r="BE153" i="6"/>
  <c r="BL153" i="6"/>
  <c r="BG153" i="6"/>
  <c r="BY153" i="6"/>
  <c r="A156" i="12"/>
  <c r="B156" i="6"/>
  <c r="C157" i="5"/>
  <c r="N156" i="5"/>
  <c r="AD156" i="5"/>
  <c r="D156" i="5"/>
  <c r="B156" i="12" s="1"/>
  <c r="F156" i="5"/>
  <c r="E156" i="5"/>
  <c r="B156" i="5"/>
  <c r="G156" i="5"/>
  <c r="K156" i="5"/>
  <c r="J156" i="5"/>
  <c r="H156" i="5"/>
  <c r="AE156" i="5"/>
  <c r="G154" i="12"/>
  <c r="D155" i="6"/>
  <c r="CC154" i="6" l="1"/>
  <c r="CJ154" i="6"/>
  <c r="CK154" i="6"/>
  <c r="CI154" i="6"/>
  <c r="BS154" i="6"/>
  <c r="CF154" i="6"/>
  <c r="CL154" i="6"/>
  <c r="BT154" i="6"/>
  <c r="BQ154" i="6"/>
  <c r="BP154" i="6"/>
  <c r="BO154" i="6"/>
  <c r="CM154" i="6"/>
  <c r="BR154" i="6"/>
  <c r="BN154" i="6"/>
  <c r="CH154" i="6"/>
  <c r="BM154" i="6"/>
  <c r="CG154" i="6"/>
  <c r="A155" i="6"/>
  <c r="CL155" i="6"/>
  <c r="CK155" i="6"/>
  <c r="CI155" i="6"/>
  <c r="CH155" i="6"/>
  <c r="CG155" i="6"/>
  <c r="CF155" i="6"/>
  <c r="CM155" i="6"/>
  <c r="CJ155" i="6"/>
  <c r="BT155" i="6"/>
  <c r="BS155" i="6"/>
  <c r="BR155" i="6"/>
  <c r="BQ155" i="6"/>
  <c r="BO155" i="6"/>
  <c r="BM155" i="6"/>
  <c r="BP155" i="6"/>
  <c r="BN155" i="6"/>
  <c r="BJ154" i="6"/>
  <c r="BC154" i="6"/>
  <c r="BH154" i="6"/>
  <c r="BV154" i="6"/>
  <c r="CE154" i="6"/>
  <c r="BY154" i="6"/>
  <c r="BD154" i="6"/>
  <c r="BW154" i="6"/>
  <c r="BL154" i="6"/>
  <c r="CD154" i="6"/>
  <c r="BG154" i="6"/>
  <c r="BE154" i="6"/>
  <c r="BK154" i="6"/>
  <c r="BZ154" i="6"/>
  <c r="BX154" i="6"/>
  <c r="CB154" i="6"/>
  <c r="CA154" i="6"/>
  <c r="BI154" i="6"/>
  <c r="BF154" i="6"/>
  <c r="A157" i="12"/>
  <c r="B157" i="6"/>
  <c r="AE157" i="5"/>
  <c r="E157" i="5"/>
  <c r="AD157" i="5"/>
  <c r="D157" i="5"/>
  <c r="B157" i="12" s="1"/>
  <c r="B157" i="5"/>
  <c r="N157" i="5"/>
  <c r="C158" i="5"/>
  <c r="H157" i="5"/>
  <c r="F157" i="5"/>
  <c r="K157" i="5"/>
  <c r="J157" i="5"/>
  <c r="G157" i="5"/>
  <c r="L156" i="12"/>
  <c r="J156" i="12"/>
  <c r="D156" i="6"/>
  <c r="H155" i="6"/>
  <c r="T155" i="5" s="1"/>
  <c r="N155" i="6"/>
  <c r="M155" i="6"/>
  <c r="BK155" i="6" s="1"/>
  <c r="AW155" i="6" l="1"/>
  <c r="AX155" i="6"/>
  <c r="AY155" i="6"/>
  <c r="AZ155" i="6"/>
  <c r="BA155" i="6"/>
  <c r="AT155" i="6"/>
  <c r="AU155" i="6"/>
  <c r="AV155" i="6"/>
  <c r="A156" i="6"/>
  <c r="M156" i="6" s="1"/>
  <c r="BV155" i="6"/>
  <c r="BL155" i="6"/>
  <c r="BJ155" i="6"/>
  <c r="K156" i="12"/>
  <c r="G155" i="12"/>
  <c r="AJ155" i="6"/>
  <c r="BY155" i="6"/>
  <c r="AR155" i="6"/>
  <c r="AO155" i="6"/>
  <c r="A158" i="12"/>
  <c r="B158" i="6"/>
  <c r="C159" i="5"/>
  <c r="N158" i="5"/>
  <c r="AD158" i="5"/>
  <c r="D158" i="5"/>
  <c r="B158" i="12" s="1"/>
  <c r="AE158" i="5"/>
  <c r="K158" i="5"/>
  <c r="J158" i="5"/>
  <c r="G158" i="5"/>
  <c r="F158" i="5"/>
  <c r="E158" i="5"/>
  <c r="B158" i="5"/>
  <c r="H158" i="5"/>
  <c r="AN155" i="6"/>
  <c r="BD155" i="6"/>
  <c r="CD155" i="6"/>
  <c r="L157" i="12"/>
  <c r="J157" i="12"/>
  <c r="AL155" i="6"/>
  <c r="H156" i="6"/>
  <c r="T156" i="5" s="1"/>
  <c r="AK155" i="6"/>
  <c r="CA155" i="6"/>
  <c r="BE155" i="6"/>
  <c r="CB155" i="6"/>
  <c r="BG155" i="6"/>
  <c r="BH155" i="6"/>
  <c r="CC155" i="6"/>
  <c r="BC155" i="6"/>
  <c r="AS155" i="6"/>
  <c r="BF155" i="6"/>
  <c r="AQ155" i="6"/>
  <c r="BI155" i="6"/>
  <c r="D157" i="6"/>
  <c r="BW155" i="6"/>
  <c r="CE155" i="6"/>
  <c r="BX155" i="6"/>
  <c r="AM155" i="6"/>
  <c r="BZ155" i="6"/>
  <c r="AP155" i="6"/>
  <c r="BH156" i="6" l="1"/>
  <c r="CK156" i="6"/>
  <c r="CL156" i="6"/>
  <c r="CM156" i="6"/>
  <c r="BN156" i="6"/>
  <c r="BR156" i="6"/>
  <c r="BT156" i="6"/>
  <c r="BQ156" i="6"/>
  <c r="BS156" i="6"/>
  <c r="BM156" i="6"/>
  <c r="CI156" i="6"/>
  <c r="CJ156" i="6"/>
  <c r="BO156" i="6"/>
  <c r="BP156" i="6"/>
  <c r="A157" i="6"/>
  <c r="M157" i="6" s="1"/>
  <c r="CC157" i="6" s="1"/>
  <c r="CH156" i="6"/>
  <c r="CF156" i="6"/>
  <c r="CG156" i="6"/>
  <c r="BY156" i="6"/>
  <c r="BJ156" i="6"/>
  <c r="BW156" i="6"/>
  <c r="BX156" i="6"/>
  <c r="K157" i="12"/>
  <c r="BK156" i="6"/>
  <c r="BI156" i="6"/>
  <c r="BL156" i="6"/>
  <c r="BV156" i="6"/>
  <c r="CD156" i="6"/>
  <c r="J158" i="12"/>
  <c r="L158" i="12"/>
  <c r="G156" i="12"/>
  <c r="D158" i="6"/>
  <c r="CA156" i="6"/>
  <c r="CB156" i="6"/>
  <c r="BC156" i="6"/>
  <c r="BZ156" i="6"/>
  <c r="BD156" i="6"/>
  <c r="CC156" i="6"/>
  <c r="CE156" i="6"/>
  <c r="BE156" i="6"/>
  <c r="H157" i="6"/>
  <c r="T157" i="5" s="1"/>
  <c r="BF156" i="6"/>
  <c r="A159" i="12"/>
  <c r="B159" i="6"/>
  <c r="AE159" i="5"/>
  <c r="E159" i="5"/>
  <c r="AD159" i="5"/>
  <c r="D159" i="5"/>
  <c r="B159" i="12" s="1"/>
  <c r="B159" i="5"/>
  <c r="J159" i="5"/>
  <c r="C160" i="5"/>
  <c r="H159" i="5"/>
  <c r="G159" i="5"/>
  <c r="F159" i="5"/>
  <c r="N159" i="5"/>
  <c r="K159" i="5"/>
  <c r="BG156" i="6"/>
  <c r="BR157" i="6" l="1"/>
  <c r="CJ157" i="6"/>
  <c r="CK157" i="6"/>
  <c r="BM157" i="6"/>
  <c r="CM157" i="6"/>
  <c r="BN157" i="6"/>
  <c r="CG157" i="6"/>
  <c r="BO157" i="6"/>
  <c r="CH157" i="6"/>
  <c r="BP157" i="6"/>
  <c r="BQ157" i="6"/>
  <c r="BS157" i="6"/>
  <c r="BT157" i="6"/>
  <c r="CF157" i="6"/>
  <c r="CI157" i="6"/>
  <c r="CL157" i="6"/>
  <c r="K158" i="12"/>
  <c r="BG157" i="6"/>
  <c r="BF157" i="6"/>
  <c r="BH157" i="6"/>
  <c r="BY157" i="6"/>
  <c r="BW157" i="6"/>
  <c r="BX157" i="6"/>
  <c r="BK157" i="6"/>
  <c r="BL157" i="6"/>
  <c r="BC157" i="6"/>
  <c r="BD157" i="6"/>
  <c r="BI157" i="6"/>
  <c r="BJ157" i="6"/>
  <c r="G157" i="12"/>
  <c r="L159" i="12"/>
  <c r="J159" i="12"/>
  <c r="A160" i="12"/>
  <c r="B160" i="6"/>
  <c r="C161" i="5"/>
  <c r="N160" i="5"/>
  <c r="AD160" i="5"/>
  <c r="D160" i="5"/>
  <c r="B160" i="12" s="1"/>
  <c r="K160" i="5"/>
  <c r="F160" i="5"/>
  <c r="E160" i="5"/>
  <c r="G160" i="5"/>
  <c r="B160" i="5"/>
  <c r="AE160" i="5"/>
  <c r="J160" i="5"/>
  <c r="H160" i="5"/>
  <c r="CE157" i="6"/>
  <c r="CA157" i="6"/>
  <c r="BV157" i="6"/>
  <c r="CB157" i="6"/>
  <c r="H158" i="6"/>
  <c r="T158" i="5" s="1"/>
  <c r="BZ157" i="6"/>
  <c r="D159" i="6"/>
  <c r="BE157" i="6"/>
  <c r="CD157" i="6"/>
  <c r="A158" i="6"/>
  <c r="K159" i="12" l="1"/>
  <c r="M158" i="6"/>
  <c r="H159" i="6"/>
  <c r="T159" i="5" s="1"/>
  <c r="A159" i="6"/>
  <c r="D160" i="6"/>
  <c r="L160" i="12"/>
  <c r="J160" i="12"/>
  <c r="A161" i="12"/>
  <c r="B161" i="6"/>
  <c r="AE161" i="5"/>
  <c r="E161" i="5"/>
  <c r="AD161" i="5"/>
  <c r="D161" i="5"/>
  <c r="B161" i="12" s="1"/>
  <c r="B161" i="5"/>
  <c r="N161" i="5"/>
  <c r="K161" i="5"/>
  <c r="J161" i="5"/>
  <c r="H161" i="5"/>
  <c r="F161" i="5"/>
  <c r="C162" i="5"/>
  <c r="G161" i="5"/>
  <c r="G158" i="12"/>
  <c r="CB158" i="6" l="1"/>
  <c r="CJ158" i="6"/>
  <c r="BT158" i="6"/>
  <c r="BS158" i="6"/>
  <c r="BR158" i="6"/>
  <c r="BQ158" i="6"/>
  <c r="CL158" i="6"/>
  <c r="BO158" i="6"/>
  <c r="CK158" i="6"/>
  <c r="BM158" i="6"/>
  <c r="CI158" i="6"/>
  <c r="BP158" i="6"/>
  <c r="CH158" i="6"/>
  <c r="BN158" i="6"/>
  <c r="CG158" i="6"/>
  <c r="CF158" i="6"/>
  <c r="CM158" i="6"/>
  <c r="BX158" i="6"/>
  <c r="BD158" i="6"/>
  <c r="BH158" i="6"/>
  <c r="BZ158" i="6"/>
  <c r="CE158" i="6"/>
  <c r="CA158" i="6"/>
  <c r="BV158" i="6"/>
  <c r="CD158" i="6"/>
  <c r="BL158" i="6"/>
  <c r="BC158" i="6"/>
  <c r="BK158" i="6"/>
  <c r="BG158" i="6"/>
  <c r="BI158" i="6"/>
  <c r="BJ158" i="6"/>
  <c r="CC158" i="6"/>
  <c r="BY158" i="6"/>
  <c r="BF158" i="6"/>
  <c r="BW158" i="6"/>
  <c r="BE158" i="6"/>
  <c r="A160" i="6"/>
  <c r="K160" i="12"/>
  <c r="L161" i="12"/>
  <c r="J161" i="12"/>
  <c r="H160" i="6"/>
  <c r="T160" i="5" s="1"/>
  <c r="G159" i="12"/>
  <c r="A162" i="12"/>
  <c r="B162" i="6"/>
  <c r="C163" i="5"/>
  <c r="N162" i="5"/>
  <c r="AD162" i="5"/>
  <c r="D162" i="5"/>
  <c r="B162" i="12" s="1"/>
  <c r="K162" i="5"/>
  <c r="J162" i="5"/>
  <c r="H162" i="5"/>
  <c r="G162" i="5"/>
  <c r="F162" i="5"/>
  <c r="AE162" i="5"/>
  <c r="B162" i="5"/>
  <c r="E162" i="5"/>
  <c r="M159" i="6"/>
  <c r="D161" i="6"/>
  <c r="BO159" i="6" l="1"/>
  <c r="BM159" i="6"/>
  <c r="BS159" i="6"/>
  <c r="CM159" i="6"/>
  <c r="BQ159" i="6"/>
  <c r="CF159" i="6"/>
  <c r="CL159" i="6"/>
  <c r="BT159" i="6"/>
  <c r="CK159" i="6"/>
  <c r="BR159" i="6"/>
  <c r="CJ159" i="6"/>
  <c r="BN159" i="6"/>
  <c r="CI159" i="6"/>
  <c r="CG159" i="6"/>
  <c r="CH159" i="6"/>
  <c r="BP159" i="6"/>
  <c r="M160" i="6"/>
  <c r="K161" i="12"/>
  <c r="A163" i="12"/>
  <c r="B163" i="6"/>
  <c r="AE163" i="5"/>
  <c r="E163" i="5"/>
  <c r="AD163" i="5"/>
  <c r="D163" i="5"/>
  <c r="B163" i="12" s="1"/>
  <c r="B163" i="5"/>
  <c r="J163" i="5"/>
  <c r="C164" i="5"/>
  <c r="H163" i="5"/>
  <c r="G163" i="5"/>
  <c r="F163" i="5"/>
  <c r="N163" i="5"/>
  <c r="K163" i="5"/>
  <c r="H161" i="6"/>
  <c r="T161" i="5" s="1"/>
  <c r="A161" i="6"/>
  <c r="D162" i="6"/>
  <c r="J162" i="12"/>
  <c r="L162" i="12"/>
  <c r="CC159" i="6"/>
  <c r="BK159" i="6"/>
  <c r="BI159" i="6"/>
  <c r="CB159" i="6"/>
  <c r="BF159" i="6"/>
  <c r="BE159" i="6"/>
  <c r="BH159" i="6"/>
  <c r="BC159" i="6"/>
  <c r="CA159" i="6"/>
  <c r="BD159" i="6"/>
  <c r="BV159" i="6"/>
  <c r="BZ159" i="6"/>
  <c r="BY159" i="6"/>
  <c r="BX159" i="6"/>
  <c r="CE159" i="6"/>
  <c r="BL159" i="6"/>
  <c r="BG159" i="6"/>
  <c r="BW159" i="6"/>
  <c r="BJ159" i="6"/>
  <c r="CD159" i="6"/>
  <c r="G160" i="12"/>
  <c r="BJ160" i="6" l="1"/>
  <c r="CF160" i="6"/>
  <c r="BR160" i="6"/>
  <c r="CL160" i="6"/>
  <c r="BT160" i="6"/>
  <c r="BS160" i="6"/>
  <c r="BQ160" i="6"/>
  <c r="BP160" i="6"/>
  <c r="CH160" i="6"/>
  <c r="BO160" i="6"/>
  <c r="CG160" i="6"/>
  <c r="BN160" i="6"/>
  <c r="CM160" i="6"/>
  <c r="BM160" i="6"/>
  <c r="CK160" i="6"/>
  <c r="CJ160" i="6"/>
  <c r="CI160" i="6"/>
  <c r="BV160" i="6"/>
  <c r="BZ160" i="6"/>
  <c r="CB160" i="6"/>
  <c r="BG160" i="6"/>
  <c r="CC160" i="6"/>
  <c r="CD160" i="6"/>
  <c r="BI160" i="6"/>
  <c r="CE160" i="6"/>
  <c r="BK160" i="6"/>
  <c r="BF160" i="6"/>
  <c r="BX160" i="6"/>
  <c r="CA160" i="6"/>
  <c r="BE160" i="6"/>
  <c r="BW160" i="6"/>
  <c r="BD160" i="6"/>
  <c r="BC160" i="6"/>
  <c r="BY160" i="6"/>
  <c r="BL160" i="6"/>
  <c r="BH160" i="6"/>
  <c r="K162" i="12"/>
  <c r="A162" i="6"/>
  <c r="G161" i="12"/>
  <c r="M161" i="6"/>
  <c r="J163" i="12"/>
  <c r="L163" i="12"/>
  <c r="D163" i="6"/>
  <c r="H162" i="6"/>
  <c r="T162" i="5" s="1"/>
  <c r="A164" i="12"/>
  <c r="B164" i="6"/>
  <c r="C165" i="5"/>
  <c r="N164" i="5"/>
  <c r="AD164" i="5"/>
  <c r="D164" i="5"/>
  <c r="B164" i="12" s="1"/>
  <c r="F164" i="5"/>
  <c r="E164" i="5"/>
  <c r="B164" i="5"/>
  <c r="G164" i="5"/>
  <c r="AE164" i="5"/>
  <c r="K164" i="5"/>
  <c r="J164" i="5"/>
  <c r="H164" i="5"/>
  <c r="CM161" i="6" l="1"/>
  <c r="CJ161" i="6"/>
  <c r="BT161" i="6"/>
  <c r="BS161" i="6"/>
  <c r="BR161" i="6"/>
  <c r="BQ161" i="6"/>
  <c r="CL161" i="6"/>
  <c r="BO161" i="6"/>
  <c r="CK161" i="6"/>
  <c r="BM161" i="6"/>
  <c r="CI161" i="6"/>
  <c r="BP161" i="6"/>
  <c r="CH161" i="6"/>
  <c r="BN161" i="6"/>
  <c r="CG161" i="6"/>
  <c r="CF161" i="6"/>
  <c r="M162" i="6"/>
  <c r="A163" i="6"/>
  <c r="M163" i="6" s="1"/>
  <c r="CL163" i="6" s="1"/>
  <c r="K163" i="12"/>
  <c r="A165" i="12"/>
  <c r="B165" i="6"/>
  <c r="AE165" i="5"/>
  <c r="E165" i="5"/>
  <c r="AD165" i="5"/>
  <c r="D165" i="5"/>
  <c r="B165" i="12" s="1"/>
  <c r="B165" i="5"/>
  <c r="N165" i="5"/>
  <c r="C166" i="5"/>
  <c r="H165" i="5"/>
  <c r="F165" i="5"/>
  <c r="K165" i="5"/>
  <c r="J165" i="5"/>
  <c r="G165" i="5"/>
  <c r="BE161" i="6"/>
  <c r="CD161" i="6"/>
  <c r="BG161" i="6"/>
  <c r="CA161" i="6"/>
  <c r="BD161" i="6"/>
  <c r="BC161" i="6"/>
  <c r="BL161" i="6"/>
  <c r="BZ161" i="6"/>
  <c r="CB161" i="6"/>
  <c r="BY161" i="6"/>
  <c r="CE161" i="6"/>
  <c r="BH161" i="6"/>
  <c r="BX161" i="6"/>
  <c r="BV161" i="6"/>
  <c r="BK161" i="6"/>
  <c r="CC161" i="6"/>
  <c r="BW161" i="6"/>
  <c r="BI161" i="6"/>
  <c r="BF161" i="6"/>
  <c r="BJ161" i="6"/>
  <c r="H163" i="6"/>
  <c r="T163" i="5" s="1"/>
  <c r="L164" i="12"/>
  <c r="J164" i="12"/>
  <c r="G162" i="12"/>
  <c r="D164" i="6"/>
  <c r="CJ163" i="6" l="1"/>
  <c r="BR163" i="6"/>
  <c r="CK163" i="6"/>
  <c r="BM163" i="6"/>
  <c r="CM163" i="6"/>
  <c r="BN163" i="6"/>
  <c r="CG163" i="6"/>
  <c r="CB162" i="6"/>
  <c r="BM162" i="6"/>
  <c r="BS162" i="6"/>
  <c r="CM162" i="6"/>
  <c r="BQ162" i="6"/>
  <c r="CL162" i="6"/>
  <c r="BT162" i="6"/>
  <c r="CK162" i="6"/>
  <c r="BR162" i="6"/>
  <c r="CJ162" i="6"/>
  <c r="BN162" i="6"/>
  <c r="CI162" i="6"/>
  <c r="CG162" i="6"/>
  <c r="CF162" i="6"/>
  <c r="CH162" i="6"/>
  <c r="BP162" i="6"/>
  <c r="BO162" i="6"/>
  <c r="BO163" i="6"/>
  <c r="CH163" i="6"/>
  <c r="BP163" i="6"/>
  <c r="BQ163" i="6"/>
  <c r="BS163" i="6"/>
  <c r="BT163" i="6"/>
  <c r="CF163" i="6"/>
  <c r="CI163" i="6"/>
  <c r="CA162" i="6"/>
  <c r="BX162" i="6"/>
  <c r="BE162" i="6"/>
  <c r="BG162" i="6"/>
  <c r="BV162" i="6"/>
  <c r="BZ162" i="6"/>
  <c r="BC162" i="6"/>
  <c r="BJ162" i="6"/>
  <c r="BF162" i="6"/>
  <c r="BI162" i="6"/>
  <c r="CC162" i="6"/>
  <c r="BH162" i="6"/>
  <c r="BL162" i="6"/>
  <c r="BY162" i="6"/>
  <c r="CE162" i="6"/>
  <c r="BD162" i="6"/>
  <c r="BK162" i="6"/>
  <c r="BW162" i="6"/>
  <c r="CD162" i="6"/>
  <c r="CD163" i="6"/>
  <c r="D165" i="6"/>
  <c r="BV163" i="6"/>
  <c r="BX163" i="6"/>
  <c r="BW163" i="6"/>
  <c r="L165" i="12"/>
  <c r="J165" i="12"/>
  <c r="BE163" i="6"/>
  <c r="CA163" i="6"/>
  <c r="BZ163" i="6"/>
  <c r="BF163" i="6"/>
  <c r="BC163" i="6"/>
  <c r="BD163" i="6"/>
  <c r="BG163" i="6"/>
  <c r="CB163" i="6"/>
  <c r="H164" i="6"/>
  <c r="T164" i="5" s="1"/>
  <c r="BH163" i="6"/>
  <c r="BL163" i="6"/>
  <c r="CC163" i="6"/>
  <c r="BY163" i="6"/>
  <c r="K164" i="12"/>
  <c r="BJ163" i="6"/>
  <c r="CE163" i="6"/>
  <c r="A166" i="12"/>
  <c r="B166" i="6"/>
  <c r="C167" i="5"/>
  <c r="N166" i="5"/>
  <c r="AD166" i="5"/>
  <c r="D166" i="5"/>
  <c r="B166" i="12" s="1"/>
  <c r="AE166" i="5"/>
  <c r="K166" i="5"/>
  <c r="J166" i="5"/>
  <c r="G166" i="5"/>
  <c r="F166" i="5"/>
  <c r="E166" i="5"/>
  <c r="B166" i="5"/>
  <c r="H166" i="5"/>
  <c r="BI163" i="6"/>
  <c r="BK163" i="6"/>
  <c r="A164" i="6"/>
  <c r="G163" i="12"/>
  <c r="K165" i="12" l="1"/>
  <c r="A165" i="6"/>
  <c r="D166" i="6"/>
  <c r="M164" i="6"/>
  <c r="G164" i="12"/>
  <c r="L166" i="12"/>
  <c r="J166" i="12"/>
  <c r="H165" i="6"/>
  <c r="T165" i="5" s="1"/>
  <c r="A167" i="12"/>
  <c r="B167" i="6"/>
  <c r="AE167" i="5"/>
  <c r="E167" i="5"/>
  <c r="AD167" i="5"/>
  <c r="D167" i="5"/>
  <c r="B167" i="12" s="1"/>
  <c r="B167" i="5"/>
  <c r="J167" i="5"/>
  <c r="C168" i="5"/>
  <c r="H167" i="5"/>
  <c r="N167" i="5"/>
  <c r="K167" i="5"/>
  <c r="G167" i="5"/>
  <c r="F167" i="5"/>
  <c r="CH164" i="6" l="1"/>
  <c r="BN164" i="6"/>
  <c r="CG164" i="6"/>
  <c r="CF164" i="6"/>
  <c r="CM164" i="6"/>
  <c r="CJ164" i="6"/>
  <c r="BT164" i="6"/>
  <c r="BS164" i="6"/>
  <c r="BR164" i="6"/>
  <c r="BQ164" i="6"/>
  <c r="CL164" i="6"/>
  <c r="BO164" i="6"/>
  <c r="CK164" i="6"/>
  <c r="BM164" i="6"/>
  <c r="CI164" i="6"/>
  <c r="BP164" i="6"/>
  <c r="A166" i="6"/>
  <c r="M165" i="6"/>
  <c r="G165" i="12"/>
  <c r="J167" i="12"/>
  <c r="L167" i="12"/>
  <c r="H166" i="6"/>
  <c r="T166" i="5" s="1"/>
  <c r="BZ164" i="6"/>
  <c r="BG164" i="6"/>
  <c r="BF164" i="6"/>
  <c r="BW164" i="6"/>
  <c r="BL164" i="6"/>
  <c r="BK164" i="6"/>
  <c r="BH164" i="6"/>
  <c r="BJ164" i="6"/>
  <c r="BE164" i="6"/>
  <c r="BV164" i="6"/>
  <c r="BI164" i="6"/>
  <c r="CB164" i="6"/>
  <c r="BD164" i="6"/>
  <c r="CC164" i="6"/>
  <c r="BC164" i="6"/>
  <c r="CA164" i="6"/>
  <c r="CE164" i="6"/>
  <c r="BX164" i="6"/>
  <c r="BY164" i="6"/>
  <c r="CD164" i="6"/>
  <c r="A168" i="12"/>
  <c r="B168" i="6"/>
  <c r="N168" i="5"/>
  <c r="AD168" i="5"/>
  <c r="D168" i="5"/>
  <c r="B168" i="12" s="1"/>
  <c r="K168" i="5"/>
  <c r="F168" i="5"/>
  <c r="E168" i="5"/>
  <c r="J168" i="5"/>
  <c r="AE168" i="5"/>
  <c r="H168" i="5"/>
  <c r="B168" i="5"/>
  <c r="G168" i="5"/>
  <c r="K166" i="12"/>
  <c r="D167" i="6"/>
  <c r="BE165" i="6" l="1"/>
  <c r="BS165" i="6"/>
  <c r="CM165" i="6"/>
  <c r="BQ165" i="6"/>
  <c r="CL165" i="6"/>
  <c r="BT165" i="6"/>
  <c r="CK165" i="6"/>
  <c r="BR165" i="6"/>
  <c r="CJ165" i="6"/>
  <c r="BN165" i="6"/>
  <c r="CI165" i="6"/>
  <c r="CG165" i="6"/>
  <c r="CF165" i="6"/>
  <c r="CH165" i="6"/>
  <c r="BP165" i="6"/>
  <c r="BO165" i="6"/>
  <c r="BM165" i="6"/>
  <c r="A167" i="6"/>
  <c r="M166" i="6"/>
  <c r="BG165" i="6"/>
  <c r="CB165" i="6"/>
  <c r="CD165" i="6"/>
  <c r="BZ165" i="6"/>
  <c r="BJ165" i="6"/>
  <c r="BY165" i="6"/>
  <c r="BD165" i="6"/>
  <c r="BC165" i="6"/>
  <c r="BX165" i="6"/>
  <c r="BF165" i="6"/>
  <c r="CE165" i="6"/>
  <c r="CA165" i="6"/>
  <c r="BV165" i="6"/>
  <c r="BK165" i="6"/>
  <c r="BH165" i="6"/>
  <c r="BL165" i="6"/>
  <c r="CC165" i="6"/>
  <c r="BW165" i="6"/>
  <c r="BI165" i="6"/>
  <c r="K167" i="12"/>
  <c r="C169" i="5"/>
  <c r="L168" i="12"/>
  <c r="J168" i="12"/>
  <c r="G166" i="12"/>
  <c r="D168" i="6"/>
  <c r="H167" i="6"/>
  <c r="T167" i="5" s="1"/>
  <c r="BI166" i="6" l="1"/>
  <c r="BQ166" i="6"/>
  <c r="BP166" i="6"/>
  <c r="BR166" i="6"/>
  <c r="CH166" i="6"/>
  <c r="BO166" i="6"/>
  <c r="CG166" i="6"/>
  <c r="BN166" i="6"/>
  <c r="CM166" i="6"/>
  <c r="BM166" i="6"/>
  <c r="CK166" i="6"/>
  <c r="CJ166" i="6"/>
  <c r="CI166" i="6"/>
  <c r="CF166" i="6"/>
  <c r="CL166" i="6"/>
  <c r="BT166" i="6"/>
  <c r="BS166" i="6"/>
  <c r="M167" i="6"/>
  <c r="BL166" i="6"/>
  <c r="BV166" i="6"/>
  <c r="BF166" i="6"/>
  <c r="CA166" i="6"/>
  <c r="BE166" i="6"/>
  <c r="BD166" i="6"/>
  <c r="BZ166" i="6"/>
  <c r="BW166" i="6"/>
  <c r="CC166" i="6"/>
  <c r="BG166" i="6"/>
  <c r="CD166" i="6"/>
  <c r="BJ166" i="6"/>
  <c r="BK166" i="6"/>
  <c r="CB166" i="6"/>
  <c r="BY166" i="6"/>
  <c r="BX166" i="6"/>
  <c r="BC166" i="6"/>
  <c r="CE166" i="6"/>
  <c r="BH166" i="6"/>
  <c r="K168" i="12"/>
  <c r="H168" i="6"/>
  <c r="T168" i="5" s="1"/>
  <c r="G167" i="12"/>
  <c r="A168" i="6"/>
  <c r="A169" i="12"/>
  <c r="B169" i="6"/>
  <c r="C170" i="5"/>
  <c r="N169" i="5"/>
  <c r="AD169" i="5"/>
  <c r="H169" i="5"/>
  <c r="G169" i="5"/>
  <c r="F169" i="5"/>
  <c r="AE169" i="5"/>
  <c r="E169" i="5"/>
  <c r="B169" i="5"/>
  <c r="CB167" i="6" l="1"/>
  <c r="BS167" i="6"/>
  <c r="BN167" i="6"/>
  <c r="BR167" i="6"/>
  <c r="BQ167" i="6"/>
  <c r="CL167" i="6"/>
  <c r="BO167" i="6"/>
  <c r="CK167" i="6"/>
  <c r="BM167" i="6"/>
  <c r="CI167" i="6"/>
  <c r="BP167" i="6"/>
  <c r="CH167" i="6"/>
  <c r="CG167" i="6"/>
  <c r="CF167" i="6"/>
  <c r="CM167" i="6"/>
  <c r="CJ167" i="6"/>
  <c r="BT167" i="6"/>
  <c r="BY167" i="6"/>
  <c r="BF167" i="6"/>
  <c r="CE167" i="6"/>
  <c r="BD167" i="6"/>
  <c r="BH167" i="6"/>
  <c r="BJ167" i="6"/>
  <c r="BI167" i="6"/>
  <c r="CC167" i="6"/>
  <c r="BV167" i="6"/>
  <c r="BE167" i="6"/>
  <c r="CA167" i="6"/>
  <c r="BX167" i="6"/>
  <c r="BG167" i="6"/>
  <c r="BK167" i="6"/>
  <c r="BL167" i="6"/>
  <c r="CD167" i="6"/>
  <c r="BC167" i="6"/>
  <c r="BZ167" i="6"/>
  <c r="BW167" i="6"/>
  <c r="M168" i="6"/>
  <c r="D169" i="6"/>
  <c r="A170" i="12"/>
  <c r="B170" i="6"/>
  <c r="AE170" i="5"/>
  <c r="E170" i="5"/>
  <c r="AD170" i="5"/>
  <c r="D170" i="5"/>
  <c r="B170" i="12" s="1"/>
  <c r="B170" i="5"/>
  <c r="J170" i="5"/>
  <c r="C171" i="5"/>
  <c r="H170" i="5"/>
  <c r="G170" i="5"/>
  <c r="F170" i="5"/>
  <c r="N170" i="5"/>
  <c r="K170" i="5"/>
  <c r="G168" i="12"/>
  <c r="CH169" i="6" l="1"/>
  <c r="CG169" i="6"/>
  <c r="CM169" i="6"/>
  <c r="CK169" i="6"/>
  <c r="CJ169" i="6"/>
  <c r="CL169" i="6"/>
  <c r="CI169" i="6"/>
  <c r="CF169" i="6"/>
  <c r="BT169" i="6"/>
  <c r="BS169" i="6"/>
  <c r="BQ169" i="6"/>
  <c r="BP169" i="6"/>
  <c r="BO169" i="6"/>
  <c r="BN169" i="6"/>
  <c r="BM169" i="6"/>
  <c r="BR169" i="6"/>
  <c r="BJ168" i="6"/>
  <c r="BP168" i="6"/>
  <c r="BO168" i="6"/>
  <c r="BM168" i="6"/>
  <c r="BS168" i="6"/>
  <c r="CM168" i="6"/>
  <c r="BQ168" i="6"/>
  <c r="CL168" i="6"/>
  <c r="BT168" i="6"/>
  <c r="CK168" i="6"/>
  <c r="BR168" i="6"/>
  <c r="CJ168" i="6"/>
  <c r="BN168" i="6"/>
  <c r="CI168" i="6"/>
  <c r="CG168" i="6"/>
  <c r="CF168" i="6"/>
  <c r="CH168" i="6"/>
  <c r="BD168" i="6"/>
  <c r="CD168" i="6"/>
  <c r="BY168" i="6"/>
  <c r="A169" i="6"/>
  <c r="N169" i="6" s="1"/>
  <c r="BX168" i="6"/>
  <c r="BE168" i="6"/>
  <c r="CB168" i="6"/>
  <c r="CC168" i="6"/>
  <c r="BV168" i="6"/>
  <c r="BC168" i="6"/>
  <c r="CA168" i="6"/>
  <c r="BI168" i="6"/>
  <c r="BW168" i="6"/>
  <c r="BG168" i="6"/>
  <c r="BH168" i="6"/>
  <c r="BL168" i="6"/>
  <c r="BK168" i="6"/>
  <c r="BZ168" i="6"/>
  <c r="BF168" i="6"/>
  <c r="CE168" i="6"/>
  <c r="L170" i="12"/>
  <c r="J170" i="12"/>
  <c r="D170" i="6"/>
  <c r="A171" i="12"/>
  <c r="B171" i="6"/>
  <c r="C172" i="5"/>
  <c r="N171" i="5"/>
  <c r="AD171" i="5"/>
  <c r="D171" i="5"/>
  <c r="B171" i="12" s="1"/>
  <c r="F171" i="5"/>
  <c r="E171" i="5"/>
  <c r="B171" i="5"/>
  <c r="G171" i="5"/>
  <c r="AE171" i="5"/>
  <c r="J171" i="5"/>
  <c r="H171" i="5"/>
  <c r="K171" i="5"/>
  <c r="H169" i="6"/>
  <c r="T169" i="5" s="1"/>
  <c r="A170" i="6" l="1"/>
  <c r="M169" i="6"/>
  <c r="BI169" i="6" s="1"/>
  <c r="K170" i="12"/>
  <c r="D171" i="6"/>
  <c r="J171" i="12"/>
  <c r="L171" i="12"/>
  <c r="A172" i="12"/>
  <c r="B172" i="6"/>
  <c r="AE172" i="5"/>
  <c r="E172" i="5"/>
  <c r="AD172" i="5"/>
  <c r="D172" i="5"/>
  <c r="B172" i="12" s="1"/>
  <c r="B172" i="5"/>
  <c r="N172" i="5"/>
  <c r="C173" i="5"/>
  <c r="H172" i="5"/>
  <c r="F172" i="5"/>
  <c r="G172" i="5"/>
  <c r="K172" i="5"/>
  <c r="J172" i="5"/>
  <c r="G169" i="12"/>
  <c r="H170" i="6"/>
  <c r="T170" i="5" s="1"/>
  <c r="AT169" i="6" l="1"/>
  <c r="BA169" i="6"/>
  <c r="AZ169" i="6"/>
  <c r="AY169" i="6"/>
  <c r="AX169" i="6"/>
  <c r="AW169" i="6"/>
  <c r="AV169" i="6"/>
  <c r="AU169" i="6"/>
  <c r="AL169" i="6"/>
  <c r="A171" i="6"/>
  <c r="BW169" i="6"/>
  <c r="AO169" i="6"/>
  <c r="CC169" i="6"/>
  <c r="AP169" i="6"/>
  <c r="BJ169" i="6"/>
  <c r="BH169" i="6"/>
  <c r="BE169" i="6"/>
  <c r="M170" i="6"/>
  <c r="BG169" i="6"/>
  <c r="AM169" i="6"/>
  <c r="BY169" i="6"/>
  <c r="AN169" i="6"/>
  <c r="BK169" i="6"/>
  <c r="BD169" i="6"/>
  <c r="AR169" i="6"/>
  <c r="BC169" i="6"/>
  <c r="AK169" i="6"/>
  <c r="BL169" i="6"/>
  <c r="AS169" i="6"/>
  <c r="BX169" i="6"/>
  <c r="BV169" i="6"/>
  <c r="AJ169" i="6"/>
  <c r="CB169" i="6"/>
  <c r="BF169" i="6"/>
  <c r="CA169" i="6"/>
  <c r="CD169" i="6"/>
  <c r="AQ169" i="6"/>
  <c r="BZ169" i="6"/>
  <c r="CE169" i="6"/>
  <c r="L172" i="12"/>
  <c r="J172" i="12"/>
  <c r="A173" i="12"/>
  <c r="B173" i="6"/>
  <c r="C174" i="5"/>
  <c r="N173" i="5"/>
  <c r="AD173" i="5"/>
  <c r="D173" i="5"/>
  <c r="B173" i="12" s="1"/>
  <c r="AE173" i="5"/>
  <c r="K173" i="5"/>
  <c r="J173" i="5"/>
  <c r="H173" i="5"/>
  <c r="G173" i="5"/>
  <c r="E173" i="5"/>
  <c r="B173" i="5"/>
  <c r="F173" i="5"/>
  <c r="H171" i="6"/>
  <c r="T171" i="5" s="1"/>
  <c r="G170" i="12"/>
  <c r="D172" i="6"/>
  <c r="K171" i="12"/>
  <c r="BI170" i="6" l="1"/>
  <c r="CF170" i="6"/>
  <c r="BP170" i="6"/>
  <c r="CM170" i="6"/>
  <c r="BM170" i="6"/>
  <c r="CJ170" i="6"/>
  <c r="BT170" i="6"/>
  <c r="BS170" i="6"/>
  <c r="BN170" i="6"/>
  <c r="BR170" i="6"/>
  <c r="BQ170" i="6"/>
  <c r="BO170" i="6"/>
  <c r="CL170" i="6"/>
  <c r="CK170" i="6"/>
  <c r="CI170" i="6"/>
  <c r="CH170" i="6"/>
  <c r="CG170" i="6"/>
  <c r="A172" i="6"/>
  <c r="M172" i="6" s="1"/>
  <c r="BK172" i="6" s="1"/>
  <c r="M171" i="6"/>
  <c r="BX170" i="6"/>
  <c r="BF170" i="6"/>
  <c r="BL170" i="6"/>
  <c r="BY170" i="6"/>
  <c r="BC170" i="6"/>
  <c r="BJ170" i="6"/>
  <c r="BE170" i="6"/>
  <c r="CE170" i="6"/>
  <c r="BH170" i="6"/>
  <c r="BK170" i="6"/>
  <c r="CD170" i="6"/>
  <c r="BD170" i="6"/>
  <c r="CB170" i="6"/>
  <c r="CA170" i="6"/>
  <c r="BZ170" i="6"/>
  <c r="CC170" i="6"/>
  <c r="BV170" i="6"/>
  <c r="BW170" i="6"/>
  <c r="BG170" i="6"/>
  <c r="K172" i="12"/>
  <c r="J173" i="12"/>
  <c r="L173" i="12"/>
  <c r="H172" i="6"/>
  <c r="T172" i="5" s="1"/>
  <c r="D173" i="6"/>
  <c r="A174" i="12"/>
  <c r="B174" i="6"/>
  <c r="AE174" i="5"/>
  <c r="E174" i="5"/>
  <c r="AD174" i="5"/>
  <c r="D174" i="5"/>
  <c r="B174" i="12" s="1"/>
  <c r="B174" i="5"/>
  <c r="J174" i="5"/>
  <c r="C175" i="5"/>
  <c r="H174" i="5"/>
  <c r="N174" i="5"/>
  <c r="K174" i="5"/>
  <c r="G174" i="5"/>
  <c r="F174" i="5"/>
  <c r="G171" i="12"/>
  <c r="BM172" i="6" l="1"/>
  <c r="BN172" i="6"/>
  <c r="CJ172" i="6"/>
  <c r="CK172" i="6"/>
  <c r="CM172" i="6"/>
  <c r="CG172" i="6"/>
  <c r="BO172" i="6"/>
  <c r="CH172" i="6"/>
  <c r="BP172" i="6"/>
  <c r="BQ172" i="6"/>
  <c r="A173" i="6"/>
  <c r="M173" i="6" s="1"/>
  <c r="CA173" i="6" s="1"/>
  <c r="BY171" i="6"/>
  <c r="BS171" i="6"/>
  <c r="CM171" i="6"/>
  <c r="BQ171" i="6"/>
  <c r="CL171" i="6"/>
  <c r="BT171" i="6"/>
  <c r="CK171" i="6"/>
  <c r="BR171" i="6"/>
  <c r="CJ171" i="6"/>
  <c r="BN171" i="6"/>
  <c r="CI171" i="6"/>
  <c r="CG171" i="6"/>
  <c r="CF171" i="6"/>
  <c r="CH171" i="6"/>
  <c r="BP171" i="6"/>
  <c r="BO171" i="6"/>
  <c r="BM171" i="6"/>
  <c r="BR172" i="6"/>
  <c r="BS172" i="6"/>
  <c r="BT172" i="6"/>
  <c r="CL172" i="6"/>
  <c r="CF172" i="6"/>
  <c r="CI172" i="6"/>
  <c r="CC171" i="6"/>
  <c r="BE171" i="6"/>
  <c r="BI171" i="6"/>
  <c r="BD171" i="6"/>
  <c r="BX171" i="6"/>
  <c r="BC171" i="6"/>
  <c r="BG171" i="6"/>
  <c r="BW171" i="6"/>
  <c r="CE171" i="6"/>
  <c r="CD171" i="6"/>
  <c r="BV171" i="6"/>
  <c r="BL171" i="6"/>
  <c r="BZ171" i="6"/>
  <c r="BF171" i="6"/>
  <c r="BH171" i="6"/>
  <c r="BK171" i="6"/>
  <c r="CA171" i="6"/>
  <c r="CB171" i="6"/>
  <c r="BJ171" i="6"/>
  <c r="K173" i="12"/>
  <c r="BL172" i="6"/>
  <c r="BD172" i="6"/>
  <c r="BW172" i="6"/>
  <c r="BF172" i="6"/>
  <c r="CB172" i="6"/>
  <c r="BV172" i="6"/>
  <c r="BX172" i="6"/>
  <c r="BZ172" i="6"/>
  <c r="CC172" i="6"/>
  <c r="BE172" i="6"/>
  <c r="BH172" i="6"/>
  <c r="CA172" i="6"/>
  <c r="A175" i="12"/>
  <c r="B175" i="6"/>
  <c r="N175" i="5"/>
  <c r="AD175" i="5"/>
  <c r="D175" i="5"/>
  <c r="B175" i="12" s="1"/>
  <c r="K175" i="5"/>
  <c r="F175" i="5"/>
  <c r="E175" i="5"/>
  <c r="AE175" i="5"/>
  <c r="J175" i="5"/>
  <c r="H175" i="5"/>
  <c r="G175" i="5"/>
  <c r="B175" i="5"/>
  <c r="H173" i="6"/>
  <c r="T173" i="5" s="1"/>
  <c r="CE172" i="6"/>
  <c r="BY172" i="6"/>
  <c r="CD172" i="6"/>
  <c r="D174" i="6"/>
  <c r="BI172" i="6"/>
  <c r="BC172" i="6"/>
  <c r="BG172" i="6"/>
  <c r="G172" i="12"/>
  <c r="BJ172" i="6"/>
  <c r="L174" i="12"/>
  <c r="J174" i="12"/>
  <c r="BO173" i="6" l="1"/>
  <c r="CL173" i="6"/>
  <c r="A174" i="6"/>
  <c r="M174" i="6" s="1"/>
  <c r="BW174" i="6" s="1"/>
  <c r="BQ173" i="6"/>
  <c r="BR173" i="6"/>
  <c r="BS173" i="6"/>
  <c r="BT173" i="6"/>
  <c r="BN173" i="6"/>
  <c r="CJ173" i="6"/>
  <c r="CM173" i="6"/>
  <c r="CF173" i="6"/>
  <c r="CG173" i="6"/>
  <c r="CH173" i="6"/>
  <c r="BP173" i="6"/>
  <c r="CI173" i="6"/>
  <c r="BM173" i="6"/>
  <c r="CK173" i="6"/>
  <c r="K174" i="12"/>
  <c r="CC173" i="6"/>
  <c r="BK173" i="6"/>
  <c r="CE173" i="6"/>
  <c r="BW173" i="6"/>
  <c r="BI173" i="6"/>
  <c r="BC173" i="6"/>
  <c r="BE173" i="6"/>
  <c r="G173" i="12"/>
  <c r="BJ173" i="6"/>
  <c r="BF173" i="6"/>
  <c r="BY173" i="6"/>
  <c r="BG173" i="6"/>
  <c r="CD173" i="6"/>
  <c r="BD173" i="6"/>
  <c r="H174" i="6"/>
  <c r="T174" i="5" s="1"/>
  <c r="BH173" i="6"/>
  <c r="L175" i="12"/>
  <c r="J175" i="12"/>
  <c r="BL173" i="6"/>
  <c r="D175" i="6"/>
  <c r="BZ173" i="6"/>
  <c r="CB173" i="6"/>
  <c r="BV173" i="6"/>
  <c r="BX173" i="6"/>
  <c r="BP174" i="6" l="1"/>
  <c r="CH174" i="6"/>
  <c r="CF174" i="6"/>
  <c r="A175" i="6"/>
  <c r="M175" i="6" s="1"/>
  <c r="BF175" i="6" s="1"/>
  <c r="CG174" i="6"/>
  <c r="CI174" i="6"/>
  <c r="BN174" i="6"/>
  <c r="CJ174" i="6"/>
  <c r="BR174" i="6"/>
  <c r="CK174" i="6"/>
  <c r="BT174" i="6"/>
  <c r="CL174" i="6"/>
  <c r="BQ174" i="6"/>
  <c r="CM174" i="6"/>
  <c r="BS174" i="6"/>
  <c r="BM174" i="6"/>
  <c r="BO174" i="6"/>
  <c r="BF174" i="6"/>
  <c r="BX174" i="6"/>
  <c r="BY174" i="6"/>
  <c r="BI174" i="6"/>
  <c r="BD174" i="6"/>
  <c r="BC174" i="6"/>
  <c r="BE174" i="6"/>
  <c r="G174" i="12"/>
  <c r="BJ174" i="6"/>
  <c r="BZ174" i="6"/>
  <c r="BL174" i="6"/>
  <c r="CA174" i="6"/>
  <c r="BV174" i="6"/>
  <c r="K175" i="12"/>
  <c r="CC174" i="6"/>
  <c r="CD174" i="6"/>
  <c r="C176" i="5"/>
  <c r="BG174" i="6"/>
  <c r="BH174" i="6"/>
  <c r="BK174" i="6"/>
  <c r="H175" i="6"/>
  <c r="T175" i="5" s="1"/>
  <c r="CB174" i="6"/>
  <c r="CE174" i="6"/>
  <c r="CJ175" i="6" l="1"/>
  <c r="BR175" i="6"/>
  <c r="CK175" i="6"/>
  <c r="BM175" i="6"/>
  <c r="CM175" i="6"/>
  <c r="BN175" i="6"/>
  <c r="CG175" i="6"/>
  <c r="BO175" i="6"/>
  <c r="CH175" i="6"/>
  <c r="BP175" i="6"/>
  <c r="BQ175" i="6"/>
  <c r="BS175" i="6"/>
  <c r="BT175" i="6"/>
  <c r="CF175" i="6"/>
  <c r="CI175" i="6"/>
  <c r="CL175" i="6"/>
  <c r="BL175" i="6"/>
  <c r="BV175" i="6"/>
  <c r="BW175" i="6"/>
  <c r="BG175" i="6"/>
  <c r="CE175" i="6"/>
  <c r="CB175" i="6"/>
  <c r="CA175" i="6"/>
  <c r="CC175" i="6"/>
  <c r="BZ175" i="6"/>
  <c r="CD175" i="6"/>
  <c r="A176" i="12"/>
  <c r="B176" i="6"/>
  <c r="AE176" i="5"/>
  <c r="E176" i="5"/>
  <c r="AD176" i="5"/>
  <c r="B176" i="5"/>
  <c r="N176" i="5"/>
  <c r="H176" i="5"/>
  <c r="G176" i="5"/>
  <c r="F176" i="5"/>
  <c r="C177" i="5"/>
  <c r="G175" i="12"/>
  <c r="BH175" i="6"/>
  <c r="BJ175" i="6"/>
  <c r="BD175" i="6"/>
  <c r="BE175" i="6"/>
  <c r="BK175" i="6"/>
  <c r="BX175" i="6"/>
  <c r="BY175" i="6"/>
  <c r="BI175" i="6"/>
  <c r="BC175" i="6"/>
  <c r="D176" i="6" l="1"/>
  <c r="A177" i="12"/>
  <c r="B177" i="6"/>
  <c r="C178" i="5"/>
  <c r="N177" i="5"/>
  <c r="H177" i="5"/>
  <c r="G177" i="5"/>
  <c r="F177" i="5"/>
  <c r="AD177" i="5"/>
  <c r="D177" i="5"/>
  <c r="B177" i="12" s="1"/>
  <c r="AE177" i="5"/>
  <c r="J177" i="5"/>
  <c r="E177" i="5"/>
  <c r="K177" i="5"/>
  <c r="B177" i="5"/>
  <c r="CL176" i="6" l="1"/>
  <c r="CK176" i="6"/>
  <c r="CI176" i="6"/>
  <c r="CH176" i="6"/>
  <c r="CG176" i="6"/>
  <c r="CF176" i="6"/>
  <c r="CM176" i="6"/>
  <c r="CJ176" i="6"/>
  <c r="BT176" i="6"/>
  <c r="BS176" i="6"/>
  <c r="BR176" i="6"/>
  <c r="BQ176" i="6"/>
  <c r="BO176" i="6"/>
  <c r="BM176" i="6"/>
  <c r="BP176" i="6"/>
  <c r="BN176" i="6"/>
  <c r="H176" i="6"/>
  <c r="T176" i="5" s="1"/>
  <c r="A176" i="6"/>
  <c r="D177" i="6"/>
  <c r="A178" i="12"/>
  <c r="B178" i="6"/>
  <c r="AE178" i="5"/>
  <c r="E178" i="5"/>
  <c r="AD178" i="5"/>
  <c r="D178" i="5"/>
  <c r="B178" i="12" s="1"/>
  <c r="B178" i="5"/>
  <c r="C179" i="5"/>
  <c r="K178" i="5"/>
  <c r="J178" i="5"/>
  <c r="N178" i="5"/>
  <c r="H178" i="5"/>
  <c r="G178" i="5"/>
  <c r="F178" i="5"/>
  <c r="J177" i="12"/>
  <c r="L177" i="12"/>
  <c r="A177" i="6" l="1"/>
  <c r="K177" i="12"/>
  <c r="G176" i="12"/>
  <c r="A179" i="12"/>
  <c r="B179" i="6"/>
  <c r="C180" i="5"/>
  <c r="N179" i="5"/>
  <c r="H179" i="5"/>
  <c r="G179" i="5"/>
  <c r="F179" i="5"/>
  <c r="AD179" i="5"/>
  <c r="D179" i="5"/>
  <c r="B179" i="12" s="1"/>
  <c r="E179" i="5"/>
  <c r="AE179" i="5"/>
  <c r="B179" i="5"/>
  <c r="J179" i="5"/>
  <c r="K179" i="5"/>
  <c r="D178" i="6"/>
  <c r="M176" i="6"/>
  <c r="L178" i="12"/>
  <c r="J178" i="12"/>
  <c r="N176" i="6"/>
  <c r="AS176" i="6" l="1"/>
  <c r="AW176" i="6"/>
  <c r="AT176" i="6"/>
  <c r="AU176" i="6"/>
  <c r="AY176" i="6"/>
  <c r="AX176" i="6"/>
  <c r="AV176" i="6"/>
  <c r="BA176" i="6"/>
  <c r="AZ176" i="6"/>
  <c r="A178" i="6"/>
  <c r="AN176" i="6"/>
  <c r="AO176" i="6"/>
  <c r="AL176" i="6"/>
  <c r="M177" i="6"/>
  <c r="K178" i="12"/>
  <c r="AR176" i="6"/>
  <c r="AM176" i="6"/>
  <c r="AP176" i="6"/>
  <c r="AJ176" i="6"/>
  <c r="AQ176" i="6"/>
  <c r="D179" i="6"/>
  <c r="H178" i="6"/>
  <c r="T178" i="5" s="1"/>
  <c r="A180" i="12"/>
  <c r="B180" i="6"/>
  <c r="AE180" i="5"/>
  <c r="E180" i="5"/>
  <c r="AD180" i="5"/>
  <c r="D180" i="5"/>
  <c r="B180" i="12" s="1"/>
  <c r="B180" i="5"/>
  <c r="C181" i="5"/>
  <c r="N180" i="5"/>
  <c r="H180" i="5"/>
  <c r="G180" i="5"/>
  <c r="F180" i="5"/>
  <c r="K180" i="5"/>
  <c r="J180" i="5"/>
  <c r="BH176" i="6"/>
  <c r="BG176" i="6"/>
  <c r="CE176" i="6"/>
  <c r="BY176" i="6"/>
  <c r="BF176" i="6"/>
  <c r="BE176" i="6"/>
  <c r="BX176" i="6"/>
  <c r="BD176" i="6"/>
  <c r="BI176" i="6"/>
  <c r="BW176" i="6"/>
  <c r="CD176" i="6"/>
  <c r="CC176" i="6"/>
  <c r="BL176" i="6"/>
  <c r="BV176" i="6"/>
  <c r="CB176" i="6"/>
  <c r="BC176" i="6"/>
  <c r="BK176" i="6"/>
  <c r="BJ176" i="6"/>
  <c r="CA176" i="6"/>
  <c r="BZ176" i="6"/>
  <c r="L179" i="12"/>
  <c r="J179" i="12"/>
  <c r="AK176" i="6"/>
  <c r="BK177" i="6" l="1"/>
  <c r="CM177" i="6"/>
  <c r="BQ177" i="6"/>
  <c r="CL177" i="6"/>
  <c r="BT177" i="6"/>
  <c r="CK177" i="6"/>
  <c r="BR177" i="6"/>
  <c r="CJ177" i="6"/>
  <c r="BN177" i="6"/>
  <c r="CI177" i="6"/>
  <c r="CG177" i="6"/>
  <c r="CF177" i="6"/>
  <c r="CH177" i="6"/>
  <c r="BP177" i="6"/>
  <c r="BO177" i="6"/>
  <c r="BM177" i="6"/>
  <c r="BS177" i="6"/>
  <c r="M178" i="6"/>
  <c r="A179" i="6"/>
  <c r="M179" i="6" s="1"/>
  <c r="CI179" i="6" s="1"/>
  <c r="BW177" i="6"/>
  <c r="BZ177" i="6"/>
  <c r="BI177" i="6"/>
  <c r="BV177" i="6"/>
  <c r="BD177" i="6"/>
  <c r="CA177" i="6"/>
  <c r="BC177" i="6"/>
  <c r="CD177" i="6"/>
  <c r="BX177" i="6"/>
  <c r="CE177" i="6"/>
  <c r="CC177" i="6"/>
  <c r="BJ177" i="6"/>
  <c r="BL177" i="6"/>
  <c r="CB177" i="6"/>
  <c r="BY177" i="6"/>
  <c r="BE177" i="6"/>
  <c r="BH177" i="6"/>
  <c r="BG177" i="6"/>
  <c r="BF177" i="6"/>
  <c r="H179" i="6"/>
  <c r="T179" i="5" s="1"/>
  <c r="D180" i="6"/>
  <c r="L180" i="12"/>
  <c r="J180" i="12"/>
  <c r="K179" i="12"/>
  <c r="A181" i="12"/>
  <c r="B181" i="6"/>
  <c r="AD181" i="5"/>
  <c r="N181" i="5"/>
  <c r="H181" i="5"/>
  <c r="G181" i="5"/>
  <c r="F181" i="5"/>
  <c r="AE181" i="5"/>
  <c r="D181" i="5"/>
  <c r="B181" i="12" s="1"/>
  <c r="K181" i="5"/>
  <c r="J181" i="5"/>
  <c r="E181" i="5"/>
  <c r="B181" i="5"/>
  <c r="C182" i="5"/>
  <c r="G178" i="12"/>
  <c r="BM179" i="6" l="1"/>
  <c r="CK179" i="6"/>
  <c r="BO179" i="6"/>
  <c r="CL179" i="6"/>
  <c r="BQ179" i="6"/>
  <c r="CE178" i="6"/>
  <c r="CF178" i="6"/>
  <c r="CL178" i="6"/>
  <c r="BR178" i="6"/>
  <c r="BT178" i="6"/>
  <c r="BS178" i="6"/>
  <c r="BQ178" i="6"/>
  <c r="BP178" i="6"/>
  <c r="CH178" i="6"/>
  <c r="BO178" i="6"/>
  <c r="CG178" i="6"/>
  <c r="BN178" i="6"/>
  <c r="CM178" i="6"/>
  <c r="BM178" i="6"/>
  <c r="CK178" i="6"/>
  <c r="CJ178" i="6"/>
  <c r="CI178" i="6"/>
  <c r="BR179" i="6"/>
  <c r="BS179" i="6"/>
  <c r="BT179" i="6"/>
  <c r="CJ179" i="6"/>
  <c r="A180" i="6"/>
  <c r="M180" i="6" s="1"/>
  <c r="BH180" i="6" s="1"/>
  <c r="BN179" i="6"/>
  <c r="CM179" i="6"/>
  <c r="CF179" i="6"/>
  <c r="CG179" i="6"/>
  <c r="CH179" i="6"/>
  <c r="BP179" i="6"/>
  <c r="BD178" i="6"/>
  <c r="BZ178" i="6"/>
  <c r="CA178" i="6"/>
  <c r="BI178" i="6"/>
  <c r="BC178" i="6"/>
  <c r="BL178" i="6"/>
  <c r="CC178" i="6"/>
  <c r="CB178" i="6"/>
  <c r="BH178" i="6"/>
  <c r="BG178" i="6"/>
  <c r="BX178" i="6"/>
  <c r="BY178" i="6"/>
  <c r="BE178" i="6"/>
  <c r="BW178" i="6"/>
  <c r="CD178" i="6"/>
  <c r="BK178" i="6"/>
  <c r="BJ178" i="6"/>
  <c r="BV178" i="6"/>
  <c r="BF178" i="6"/>
  <c r="K180" i="12"/>
  <c r="A182" i="12"/>
  <c r="B182" i="6"/>
  <c r="B182" i="5"/>
  <c r="H182" i="5"/>
  <c r="G182" i="5"/>
  <c r="F182" i="5"/>
  <c r="E182" i="5"/>
  <c r="AD182" i="5"/>
  <c r="AE182" i="5"/>
  <c r="N182" i="5"/>
  <c r="D182" i="5"/>
  <c r="B182" i="12" s="1"/>
  <c r="C183" i="5"/>
  <c r="K182" i="5"/>
  <c r="J182" i="5"/>
  <c r="BJ179" i="6"/>
  <c r="CC179" i="6"/>
  <c r="CE179" i="6"/>
  <c r="BK179" i="6"/>
  <c r="BC179" i="6"/>
  <c r="BY179" i="6"/>
  <c r="CD179" i="6"/>
  <c r="BD179" i="6"/>
  <c r="BG179" i="6"/>
  <c r="BW179" i="6"/>
  <c r="BF179" i="6"/>
  <c r="BZ179" i="6"/>
  <c r="CB179" i="6"/>
  <c r="BV179" i="6"/>
  <c r="BE179" i="6"/>
  <c r="CA179" i="6"/>
  <c r="BH179" i="6"/>
  <c r="L181" i="12"/>
  <c r="J181" i="12"/>
  <c r="BL179" i="6"/>
  <c r="BX179" i="6"/>
  <c r="D181" i="6"/>
  <c r="BI179" i="6"/>
  <c r="H180" i="6"/>
  <c r="T180" i="5" s="1"/>
  <c r="G179" i="12"/>
  <c r="BN180" i="6" l="1"/>
  <c r="CJ180" i="6"/>
  <c r="BR180" i="6"/>
  <c r="CK180" i="6"/>
  <c r="BT180" i="6"/>
  <c r="CL180" i="6"/>
  <c r="BQ180" i="6"/>
  <c r="CM180" i="6"/>
  <c r="BS180" i="6"/>
  <c r="BM180" i="6"/>
  <c r="BO180" i="6"/>
  <c r="BP180" i="6"/>
  <c r="CH180" i="6"/>
  <c r="CF180" i="6"/>
  <c r="CG180" i="6"/>
  <c r="A181" i="6"/>
  <c r="M181" i="6" s="1"/>
  <c r="CI180" i="6"/>
  <c r="BJ180" i="6"/>
  <c r="CD180" i="6"/>
  <c r="G180" i="12"/>
  <c r="CA180" i="6"/>
  <c r="BL180" i="6"/>
  <c r="BD180" i="6"/>
  <c r="BI180" i="6"/>
  <c r="CE180" i="6"/>
  <c r="BW180" i="6"/>
  <c r="D182" i="6"/>
  <c r="K181" i="12"/>
  <c r="BG180" i="6"/>
  <c r="BZ180" i="6"/>
  <c r="BE180" i="6"/>
  <c r="CB180" i="6"/>
  <c r="CC180" i="6"/>
  <c r="BV180" i="6"/>
  <c r="BX180" i="6"/>
  <c r="BY180" i="6"/>
  <c r="BF180" i="6"/>
  <c r="J182" i="12"/>
  <c r="L182" i="12"/>
  <c r="BC180" i="6"/>
  <c r="BK180" i="6"/>
  <c r="H181" i="6"/>
  <c r="T181" i="5" s="1"/>
  <c r="A183" i="12"/>
  <c r="B183" i="6"/>
  <c r="J183" i="5"/>
  <c r="AD183" i="5"/>
  <c r="D183" i="5"/>
  <c r="B183" i="12" s="1"/>
  <c r="AE183" i="5"/>
  <c r="N183" i="5"/>
  <c r="K183" i="5"/>
  <c r="H183" i="5"/>
  <c r="B183" i="5"/>
  <c r="G183" i="5"/>
  <c r="F183" i="5"/>
  <c r="E183" i="5"/>
  <c r="CB181" i="6" l="1"/>
  <c r="CG181" i="6"/>
  <c r="BN181" i="6"/>
  <c r="CM181" i="6"/>
  <c r="BM181" i="6"/>
  <c r="CK181" i="6"/>
  <c r="BR181" i="6"/>
  <c r="CJ181" i="6"/>
  <c r="CL181" i="6"/>
  <c r="CI181" i="6"/>
  <c r="CF181" i="6"/>
  <c r="BT181" i="6"/>
  <c r="BS181" i="6"/>
  <c r="BQ181" i="6"/>
  <c r="BP181" i="6"/>
  <c r="CH181" i="6"/>
  <c r="BO181" i="6"/>
  <c r="A182" i="6"/>
  <c r="M182" i="6" s="1"/>
  <c r="BK182" i="6" s="1"/>
  <c r="K182" i="12"/>
  <c r="L183" i="12"/>
  <c r="J183" i="12"/>
  <c r="BW181" i="6"/>
  <c r="G181" i="12"/>
  <c r="CC181" i="6"/>
  <c r="H182" i="6"/>
  <c r="T182" i="5" s="1"/>
  <c r="BV181" i="6"/>
  <c r="BX181" i="6"/>
  <c r="BI181" i="6"/>
  <c r="BJ181" i="6"/>
  <c r="BK181" i="6"/>
  <c r="CE181" i="6"/>
  <c r="BL181" i="6"/>
  <c r="D183" i="6"/>
  <c r="BZ181" i="6"/>
  <c r="CA181" i="6"/>
  <c r="BY181" i="6"/>
  <c r="CD181" i="6"/>
  <c r="C184" i="5"/>
  <c r="BE181" i="6"/>
  <c r="BD181" i="6"/>
  <c r="BF181" i="6"/>
  <c r="BC181" i="6"/>
  <c r="BG181" i="6"/>
  <c r="BH181" i="6"/>
  <c r="CF182" i="6" l="1"/>
  <c r="CG182" i="6"/>
  <c r="BN182" i="6"/>
  <c r="CH182" i="6"/>
  <c r="BP182" i="6"/>
  <c r="CI182" i="6"/>
  <c r="BM182" i="6"/>
  <c r="CK182" i="6"/>
  <c r="BO182" i="6"/>
  <c r="CL182" i="6"/>
  <c r="BQ182" i="6"/>
  <c r="BR182" i="6"/>
  <c r="BS182" i="6"/>
  <c r="BT182" i="6"/>
  <c r="A183" i="6"/>
  <c r="M183" i="6" s="1"/>
  <c r="BW183" i="6" s="1"/>
  <c r="CJ182" i="6"/>
  <c r="CM182" i="6"/>
  <c r="BZ182" i="6"/>
  <c r="BW182" i="6"/>
  <c r="BG182" i="6"/>
  <c r="CA182" i="6"/>
  <c r="BY182" i="6"/>
  <c r="CB182" i="6"/>
  <c r="BL182" i="6"/>
  <c r="CC182" i="6"/>
  <c r="CE182" i="6"/>
  <c r="BV182" i="6"/>
  <c r="CD182" i="6"/>
  <c r="BX182" i="6"/>
  <c r="BE182" i="6"/>
  <c r="BF182" i="6"/>
  <c r="BD182" i="6"/>
  <c r="BH182" i="6"/>
  <c r="BI182" i="6"/>
  <c r="A184" i="12"/>
  <c r="B184" i="6"/>
  <c r="AD184" i="5"/>
  <c r="N184" i="5"/>
  <c r="C185" i="5"/>
  <c r="H184" i="5"/>
  <c r="B184" i="5"/>
  <c r="AE184" i="5"/>
  <c r="G184" i="5"/>
  <c r="F184" i="5"/>
  <c r="E184" i="5"/>
  <c r="H183" i="6"/>
  <c r="T183" i="5" s="1"/>
  <c r="G182" i="12"/>
  <c r="BC182" i="6"/>
  <c r="BJ182" i="6"/>
  <c r="K183" i="12"/>
  <c r="BR183" i="6" l="1"/>
  <c r="CK183" i="6"/>
  <c r="BT183" i="6"/>
  <c r="CL183" i="6"/>
  <c r="BQ183" i="6"/>
  <c r="CM183" i="6"/>
  <c r="BA183" i="6"/>
  <c r="BS183" i="6"/>
  <c r="AT183" i="6"/>
  <c r="BM183" i="6"/>
  <c r="AU183" i="6"/>
  <c r="BO183" i="6"/>
  <c r="AV183" i="6"/>
  <c r="BP183" i="6"/>
  <c r="AW183" i="6"/>
  <c r="CH183" i="6"/>
  <c r="AX183" i="6"/>
  <c r="CF183" i="6"/>
  <c r="AY183" i="6"/>
  <c r="CG183" i="6"/>
  <c r="AZ183" i="6"/>
  <c r="CI183" i="6"/>
  <c r="BN183" i="6"/>
  <c r="CJ183" i="6"/>
  <c r="CD183" i="6"/>
  <c r="BK183" i="6"/>
  <c r="BF183" i="6"/>
  <c r="BC183" i="6"/>
  <c r="BE183" i="6"/>
  <c r="BD183" i="6"/>
  <c r="BH183" i="6"/>
  <c r="CE183" i="6"/>
  <c r="BX183" i="6"/>
  <c r="AK183" i="6"/>
  <c r="BZ183" i="6"/>
  <c r="AL183" i="6"/>
  <c r="CB183" i="6"/>
  <c r="CA183" i="6"/>
  <c r="AP183" i="6"/>
  <c r="AQ183" i="6"/>
  <c r="BJ183" i="6"/>
  <c r="AR183" i="6"/>
  <c r="CC183" i="6"/>
  <c r="BY183" i="6"/>
  <c r="AM183" i="6"/>
  <c r="AN183" i="6"/>
  <c r="AS183" i="6"/>
  <c r="AO183" i="6"/>
  <c r="D184" i="6"/>
  <c r="BG183" i="6"/>
  <c r="BI183" i="6"/>
  <c r="BL183" i="6"/>
  <c r="AJ183" i="6"/>
  <c r="G183" i="12"/>
  <c r="BV183" i="6"/>
  <c r="A185" i="12"/>
  <c r="B185" i="6"/>
  <c r="B185" i="5"/>
  <c r="F185" i="5"/>
  <c r="E185" i="5"/>
  <c r="D185" i="5"/>
  <c r="B185" i="12" s="1"/>
  <c r="N185" i="5"/>
  <c r="C186" i="5"/>
  <c r="AE185" i="5"/>
  <c r="K185" i="5"/>
  <c r="J185" i="5"/>
  <c r="H185" i="5"/>
  <c r="G185" i="5"/>
  <c r="AD185" i="5"/>
  <c r="A184" i="6" l="1"/>
  <c r="CL184" i="6"/>
  <c r="CK184" i="6"/>
  <c r="CI184" i="6"/>
  <c r="CH184" i="6"/>
  <c r="CG184" i="6"/>
  <c r="CF184" i="6"/>
  <c r="CM184" i="6"/>
  <c r="CJ184" i="6"/>
  <c r="BT184" i="6"/>
  <c r="BS184" i="6"/>
  <c r="BR184" i="6"/>
  <c r="BQ184" i="6"/>
  <c r="BO184" i="6"/>
  <c r="BM184" i="6"/>
  <c r="BP184" i="6"/>
  <c r="BN184" i="6"/>
  <c r="X183" i="5"/>
  <c r="Z183" i="5" s="1"/>
  <c r="L185" i="12"/>
  <c r="J185" i="12"/>
  <c r="A186" i="12"/>
  <c r="B186" i="6"/>
  <c r="J186" i="5"/>
  <c r="AD186" i="5"/>
  <c r="D186" i="5"/>
  <c r="B186" i="12" s="1"/>
  <c r="N186" i="5"/>
  <c r="C187" i="5"/>
  <c r="H186" i="5"/>
  <c r="G186" i="5"/>
  <c r="E186" i="5"/>
  <c r="B186" i="5"/>
  <c r="F186" i="5"/>
  <c r="AE186" i="5"/>
  <c r="K186" i="5"/>
  <c r="D185" i="6"/>
  <c r="M184" i="6"/>
  <c r="BG184" i="6" s="1"/>
  <c r="H184" i="6"/>
  <c r="T184" i="5" s="1"/>
  <c r="N184" i="6"/>
  <c r="AV184" i="6" l="1"/>
  <c r="AW184" i="6"/>
  <c r="AX184" i="6"/>
  <c r="AZ184" i="6"/>
  <c r="A185" i="6"/>
  <c r="M185" i="6" s="1"/>
  <c r="BL185" i="6" s="1"/>
  <c r="AY184" i="6"/>
  <c r="BA184" i="6"/>
  <c r="AT184" i="6"/>
  <c r="AU184" i="6"/>
  <c r="I183" i="12"/>
  <c r="C183" i="12" s="1"/>
  <c r="L183" i="5"/>
  <c r="O183" i="5" s="1"/>
  <c r="AM183" i="5"/>
  <c r="BL184" i="6"/>
  <c r="BW184" i="6"/>
  <c r="BY184" i="6"/>
  <c r="BX184" i="6"/>
  <c r="CD184" i="6"/>
  <c r="CA184" i="6"/>
  <c r="BH184" i="6"/>
  <c r="CB184" i="6"/>
  <c r="CC184" i="6"/>
  <c r="AL184" i="6"/>
  <c r="AK184" i="6"/>
  <c r="G184" i="12"/>
  <c r="AN184" i="6"/>
  <c r="BJ184" i="6"/>
  <c r="BZ184" i="6"/>
  <c r="AP184" i="6"/>
  <c r="BD184" i="6"/>
  <c r="J186" i="12"/>
  <c r="L186" i="12"/>
  <c r="AQ184" i="6"/>
  <c r="CE184" i="6"/>
  <c r="A187" i="12"/>
  <c r="B187" i="6"/>
  <c r="B187" i="5"/>
  <c r="N187" i="5"/>
  <c r="H187" i="5"/>
  <c r="G187" i="5"/>
  <c r="F187" i="5"/>
  <c r="D187" i="5"/>
  <c r="B187" i="12" s="1"/>
  <c r="AE187" i="5"/>
  <c r="K187" i="5"/>
  <c r="J187" i="5"/>
  <c r="C188" i="5"/>
  <c r="AD187" i="5"/>
  <c r="E187" i="5"/>
  <c r="BK184" i="6"/>
  <c r="K185" i="12"/>
  <c r="AO184" i="6"/>
  <c r="AR184" i="6"/>
  <c r="BC184" i="6"/>
  <c r="BE184" i="6"/>
  <c r="H185" i="6"/>
  <c r="T185" i="5" s="1"/>
  <c r="AM184" i="6"/>
  <c r="D186" i="6"/>
  <c r="AB183" i="5"/>
  <c r="AA183" i="5"/>
  <c r="AS184" i="6"/>
  <c r="BI184" i="6"/>
  <c r="AJ184" i="6"/>
  <c r="BV184" i="6"/>
  <c r="BF184" i="6"/>
  <c r="BN185" i="6" l="1"/>
  <c r="CF185" i="6"/>
  <c r="CG185" i="6"/>
  <c r="CI185" i="6"/>
  <c r="CJ185" i="6"/>
  <c r="BR185" i="6"/>
  <c r="CK185" i="6"/>
  <c r="BT185" i="6"/>
  <c r="CL185" i="6"/>
  <c r="BQ185" i="6"/>
  <c r="CM185" i="6"/>
  <c r="BS185" i="6"/>
  <c r="A186" i="6"/>
  <c r="M186" i="6" s="1"/>
  <c r="BF186" i="6" s="1"/>
  <c r="BM185" i="6"/>
  <c r="BO185" i="6"/>
  <c r="BP185" i="6"/>
  <c r="CH185" i="6"/>
  <c r="C183" i="6"/>
  <c r="AO183" i="12"/>
  <c r="M183" i="12"/>
  <c r="O183" i="12"/>
  <c r="K186" i="12"/>
  <c r="BF185" i="6"/>
  <c r="BE185" i="6"/>
  <c r="CE185" i="6"/>
  <c r="BD185" i="6"/>
  <c r="CB185" i="6"/>
  <c r="BC185" i="6"/>
  <c r="BV185" i="6"/>
  <c r="CC185" i="6"/>
  <c r="CD185" i="6"/>
  <c r="D183" i="12"/>
  <c r="E183" i="6"/>
  <c r="D187" i="6"/>
  <c r="BH185" i="6"/>
  <c r="BI185" i="6"/>
  <c r="BW185" i="6"/>
  <c r="BX185" i="6"/>
  <c r="BJ185" i="6"/>
  <c r="BG185" i="6"/>
  <c r="BK185" i="6"/>
  <c r="A188" i="12"/>
  <c r="B188" i="6"/>
  <c r="J188" i="5"/>
  <c r="AD188" i="5"/>
  <c r="D188" i="5"/>
  <c r="B188" i="12" s="1"/>
  <c r="H188" i="5"/>
  <c r="C189" i="5"/>
  <c r="G188" i="5"/>
  <c r="F188" i="5"/>
  <c r="AE188" i="5"/>
  <c r="N188" i="5"/>
  <c r="K188" i="5"/>
  <c r="E188" i="5"/>
  <c r="B188" i="5"/>
  <c r="H186" i="6"/>
  <c r="T186" i="5" s="1"/>
  <c r="G185" i="12"/>
  <c r="CA185" i="6"/>
  <c r="BY185" i="6"/>
  <c r="BZ185" i="6"/>
  <c r="L187" i="12"/>
  <c r="J187" i="12"/>
  <c r="BP186" i="6" l="1"/>
  <c r="BQ186" i="6"/>
  <c r="BS186" i="6"/>
  <c r="BT186" i="6"/>
  <c r="CF186" i="6"/>
  <c r="CI186" i="6"/>
  <c r="CL186" i="6"/>
  <c r="CJ186" i="6"/>
  <c r="BR186" i="6"/>
  <c r="CK186" i="6"/>
  <c r="BM186" i="6"/>
  <c r="CM186" i="6"/>
  <c r="BN186" i="6"/>
  <c r="CG186" i="6"/>
  <c r="BO186" i="6"/>
  <c r="CH186" i="6"/>
  <c r="N183" i="12"/>
  <c r="Y183" i="12"/>
  <c r="W183" i="12" s="1"/>
  <c r="V183" i="12" s="1"/>
  <c r="BH186" i="6"/>
  <c r="BW186" i="6"/>
  <c r="BX186" i="6"/>
  <c r="BY186" i="6"/>
  <c r="BZ186" i="6"/>
  <c r="CA186" i="6"/>
  <c r="CB186" i="6"/>
  <c r="BG186" i="6"/>
  <c r="D188" i="6"/>
  <c r="A189" i="12"/>
  <c r="B189" i="6"/>
  <c r="B189" i="5"/>
  <c r="E189" i="5"/>
  <c r="D189" i="5"/>
  <c r="B189" i="12" s="1"/>
  <c r="N189" i="5"/>
  <c r="H189" i="5"/>
  <c r="G189" i="5"/>
  <c r="F189" i="5"/>
  <c r="C190" i="5"/>
  <c r="J189" i="5"/>
  <c r="AE189" i="5"/>
  <c r="K189" i="5"/>
  <c r="AD189" i="5"/>
  <c r="H187" i="6"/>
  <c r="T187" i="5" s="1"/>
  <c r="L188" i="12"/>
  <c r="J188" i="12"/>
  <c r="BI186" i="6"/>
  <c r="CC186" i="6"/>
  <c r="G186" i="12"/>
  <c r="CD186" i="6"/>
  <c r="CE186" i="6"/>
  <c r="BL186" i="6"/>
  <c r="BC186" i="6"/>
  <c r="BV186" i="6"/>
  <c r="K187" i="12"/>
  <c r="BE186" i="6"/>
  <c r="A187" i="6"/>
  <c r="BD186" i="6"/>
  <c r="BJ186" i="6"/>
  <c r="BK186" i="6"/>
  <c r="X183" i="12" l="1"/>
  <c r="T183" i="12"/>
  <c r="U183" i="12"/>
  <c r="K188" i="12"/>
  <c r="M187" i="6"/>
  <c r="A188" i="6"/>
  <c r="D189" i="6"/>
  <c r="G187" i="12"/>
  <c r="A190" i="12"/>
  <c r="B190" i="6"/>
  <c r="J190" i="5"/>
  <c r="F190" i="5"/>
  <c r="AD190" i="5"/>
  <c r="D190" i="5"/>
  <c r="B190" i="12" s="1"/>
  <c r="N190" i="5"/>
  <c r="K190" i="5"/>
  <c r="H190" i="5"/>
  <c r="C191" i="5"/>
  <c r="AE190" i="5"/>
  <c r="E190" i="5"/>
  <c r="B190" i="5"/>
  <c r="G190" i="5"/>
  <c r="H188" i="6"/>
  <c r="T188" i="5" s="1"/>
  <c r="L189" i="12"/>
  <c r="J189" i="12"/>
  <c r="CG187" i="6" l="1"/>
  <c r="CF187" i="6"/>
  <c r="CM187" i="6"/>
  <c r="CJ187" i="6"/>
  <c r="BT187" i="6"/>
  <c r="BS187" i="6"/>
  <c r="BR187" i="6"/>
  <c r="BQ187" i="6"/>
  <c r="CL187" i="6"/>
  <c r="BO187" i="6"/>
  <c r="CK187" i="6"/>
  <c r="BM187" i="6"/>
  <c r="CI187" i="6"/>
  <c r="BP187" i="6"/>
  <c r="CH187" i="6"/>
  <c r="BN187" i="6"/>
  <c r="A189" i="6"/>
  <c r="M189" i="6" s="1"/>
  <c r="CD189" i="6" s="1"/>
  <c r="BW187" i="6"/>
  <c r="BK187" i="6"/>
  <c r="BV187" i="6"/>
  <c r="BI187" i="6"/>
  <c r="CD187" i="6"/>
  <c r="CC187" i="6"/>
  <c r="BG187" i="6"/>
  <c r="BE187" i="6"/>
  <c r="BD187" i="6"/>
  <c r="CE187" i="6"/>
  <c r="BC187" i="6"/>
  <c r="BZ187" i="6"/>
  <c r="CA187" i="6"/>
  <c r="BY187" i="6"/>
  <c r="CB187" i="6"/>
  <c r="M188" i="6"/>
  <c r="BX187" i="6"/>
  <c r="BJ187" i="6"/>
  <c r="BH187" i="6"/>
  <c r="BF187" i="6"/>
  <c r="BL187" i="6"/>
  <c r="A191" i="12"/>
  <c r="B191" i="6"/>
  <c r="B191" i="5"/>
  <c r="J191" i="5"/>
  <c r="C192" i="5"/>
  <c r="H191" i="5"/>
  <c r="G191" i="5"/>
  <c r="F191" i="5"/>
  <c r="E191" i="5"/>
  <c r="D191" i="5"/>
  <c r="B191" i="12" s="1"/>
  <c r="N191" i="5"/>
  <c r="K191" i="5"/>
  <c r="AE191" i="5"/>
  <c r="AD191" i="5"/>
  <c r="G188" i="12"/>
  <c r="L190" i="12"/>
  <c r="J190" i="12"/>
  <c r="D190" i="6"/>
  <c r="H189" i="6"/>
  <c r="T189" i="5" s="1"/>
  <c r="K189" i="12"/>
  <c r="BQ189" i="6" l="1"/>
  <c r="BP189" i="6"/>
  <c r="CK189" i="6"/>
  <c r="CM189" i="6"/>
  <c r="CG189" i="6"/>
  <c r="CH189" i="6"/>
  <c r="BR189" i="6"/>
  <c r="BM189" i="6"/>
  <c r="BN189" i="6"/>
  <c r="BO189" i="6"/>
  <c r="CM188" i="6"/>
  <c r="BQ188" i="6"/>
  <c r="CL188" i="6"/>
  <c r="BT188" i="6"/>
  <c r="CK188" i="6"/>
  <c r="BR188" i="6"/>
  <c r="CJ188" i="6"/>
  <c r="BN188" i="6"/>
  <c r="CI188" i="6"/>
  <c r="CG188" i="6"/>
  <c r="CF188" i="6"/>
  <c r="CH188" i="6"/>
  <c r="BP188" i="6"/>
  <c r="BO188" i="6"/>
  <c r="BM188" i="6"/>
  <c r="BS188" i="6"/>
  <c r="BS189" i="6"/>
  <c r="BT189" i="6"/>
  <c r="CL189" i="6"/>
  <c r="CF189" i="6"/>
  <c r="CI189" i="6"/>
  <c r="CJ189" i="6"/>
  <c r="BZ188" i="6"/>
  <c r="BW188" i="6"/>
  <c r="BX188" i="6"/>
  <c r="BK188" i="6"/>
  <c r="BL188" i="6"/>
  <c r="BH188" i="6"/>
  <c r="BC188" i="6"/>
  <c r="BY188" i="6"/>
  <c r="BV188" i="6"/>
  <c r="CA189" i="6"/>
  <c r="BJ188" i="6"/>
  <c r="CA188" i="6"/>
  <c r="BG189" i="6"/>
  <c r="CB188" i="6"/>
  <c r="BI188" i="6"/>
  <c r="CC188" i="6"/>
  <c r="BE188" i="6"/>
  <c r="BD188" i="6"/>
  <c r="CD188" i="6"/>
  <c r="BG188" i="6"/>
  <c r="CE188" i="6"/>
  <c r="BF188" i="6"/>
  <c r="G189" i="12"/>
  <c r="BJ189" i="6"/>
  <c r="A192" i="12"/>
  <c r="B192" i="6"/>
  <c r="J192" i="5"/>
  <c r="F192" i="5"/>
  <c r="AE192" i="5"/>
  <c r="AD192" i="5"/>
  <c r="D192" i="5"/>
  <c r="B192" i="12" s="1"/>
  <c r="N192" i="5"/>
  <c r="K192" i="5"/>
  <c r="E192" i="5"/>
  <c r="C193" i="5"/>
  <c r="B192" i="5"/>
  <c r="H192" i="5"/>
  <c r="G192" i="5"/>
  <c r="CC189" i="6"/>
  <c r="BK189" i="6"/>
  <c r="K190" i="12"/>
  <c r="D191" i="6"/>
  <c r="BV189" i="6"/>
  <c r="BE189" i="6"/>
  <c r="BW189" i="6"/>
  <c r="H190" i="6"/>
  <c r="T190" i="5" s="1"/>
  <c r="CE189" i="6"/>
  <c r="BL189" i="6"/>
  <c r="BC189" i="6"/>
  <c r="BF189" i="6"/>
  <c r="BH189" i="6"/>
  <c r="BX189" i="6"/>
  <c r="CB189" i="6"/>
  <c r="BI189" i="6"/>
  <c r="BD189" i="6"/>
  <c r="BZ189" i="6"/>
  <c r="J191" i="12"/>
  <c r="L191" i="12"/>
  <c r="BY189" i="6"/>
  <c r="A190" i="6"/>
  <c r="M190" i="6" l="1"/>
  <c r="K191" i="12"/>
  <c r="A193" i="12"/>
  <c r="B193" i="6"/>
  <c r="B193" i="5"/>
  <c r="K193" i="5"/>
  <c r="J193" i="5"/>
  <c r="H193" i="5"/>
  <c r="D193" i="5"/>
  <c r="B193" i="12" s="1"/>
  <c r="AE193" i="5"/>
  <c r="AD193" i="5"/>
  <c r="G193" i="5"/>
  <c r="E193" i="5"/>
  <c r="C194" i="5"/>
  <c r="N193" i="5"/>
  <c r="F193" i="5"/>
  <c r="D192" i="6"/>
  <c r="L192" i="12"/>
  <c r="J192" i="12"/>
  <c r="H191" i="6"/>
  <c r="T191" i="5" s="1"/>
  <c r="A191" i="6"/>
  <c r="M191" i="6" s="1"/>
  <c r="BF191" i="6" s="1"/>
  <c r="G190" i="12"/>
  <c r="BN191" i="6" l="1"/>
  <c r="BR191" i="6"/>
  <c r="CF191" i="6"/>
  <c r="CG191" i="6"/>
  <c r="CI191" i="6"/>
  <c r="CJ191" i="6"/>
  <c r="CK191" i="6"/>
  <c r="BT191" i="6"/>
  <c r="CL191" i="6"/>
  <c r="BQ191" i="6"/>
  <c r="CM191" i="6"/>
  <c r="BS191" i="6"/>
  <c r="BM191" i="6"/>
  <c r="BO191" i="6"/>
  <c r="BJ190" i="6"/>
  <c r="BQ190" i="6"/>
  <c r="CL190" i="6"/>
  <c r="BO190" i="6"/>
  <c r="CK190" i="6"/>
  <c r="BM190" i="6"/>
  <c r="CI190" i="6"/>
  <c r="BP190" i="6"/>
  <c r="CH190" i="6"/>
  <c r="CG190" i="6"/>
  <c r="CF190" i="6"/>
  <c r="BN190" i="6"/>
  <c r="CM190" i="6"/>
  <c r="CJ190" i="6"/>
  <c r="BT190" i="6"/>
  <c r="BS190" i="6"/>
  <c r="BR190" i="6"/>
  <c r="BP191" i="6"/>
  <c r="CH191" i="6"/>
  <c r="CD190" i="6"/>
  <c r="BH190" i="6"/>
  <c r="CB190" i="6"/>
  <c r="BY190" i="6"/>
  <c r="CC190" i="6"/>
  <c r="BV190" i="6"/>
  <c r="BX190" i="6"/>
  <c r="CA190" i="6"/>
  <c r="BF190" i="6"/>
  <c r="BC190" i="6"/>
  <c r="BL190" i="6"/>
  <c r="BZ190" i="6"/>
  <c r="BD190" i="6"/>
  <c r="A192" i="6"/>
  <c r="M192" i="6" s="1"/>
  <c r="CB192" i="6" s="1"/>
  <c r="BG190" i="6"/>
  <c r="BK190" i="6"/>
  <c r="BE190" i="6"/>
  <c r="BW190" i="6"/>
  <c r="BI190" i="6"/>
  <c r="CE190" i="6"/>
  <c r="K192" i="12"/>
  <c r="BG191" i="6"/>
  <c r="BD191" i="6"/>
  <c r="BJ191" i="6"/>
  <c r="BY191" i="6"/>
  <c r="BW191" i="6"/>
  <c r="BX191" i="6"/>
  <c r="BL191" i="6"/>
  <c r="BE191" i="6"/>
  <c r="BK191" i="6"/>
  <c r="G191" i="12"/>
  <c r="BH191" i="6"/>
  <c r="BZ191" i="6"/>
  <c r="CA191" i="6"/>
  <c r="CE191" i="6"/>
  <c r="A194" i="12"/>
  <c r="B194" i="6"/>
  <c r="J194" i="5"/>
  <c r="F194" i="5"/>
  <c r="AE194" i="5"/>
  <c r="E194" i="5"/>
  <c r="AD194" i="5"/>
  <c r="D194" i="5"/>
  <c r="B194" i="12" s="1"/>
  <c r="B194" i="5"/>
  <c r="N194" i="5"/>
  <c r="K194" i="5"/>
  <c r="H194" i="5"/>
  <c r="C195" i="5"/>
  <c r="G194" i="5"/>
  <c r="CC191" i="6"/>
  <c r="CB191" i="6"/>
  <c r="BV191" i="6"/>
  <c r="BC191" i="6"/>
  <c r="D193" i="6"/>
  <c r="J193" i="12"/>
  <c r="L193" i="12"/>
  <c r="CD191" i="6"/>
  <c r="BI191" i="6"/>
  <c r="H192" i="6"/>
  <c r="T192" i="5" s="1"/>
  <c r="BT192" i="6" l="1"/>
  <c r="CF192" i="6"/>
  <c r="CI192" i="6"/>
  <c r="CL192" i="6"/>
  <c r="CJ192" i="6"/>
  <c r="BR192" i="6"/>
  <c r="CK192" i="6"/>
  <c r="BM192" i="6"/>
  <c r="CM192" i="6"/>
  <c r="BN192" i="6"/>
  <c r="CG192" i="6"/>
  <c r="BO192" i="6"/>
  <c r="CH192" i="6"/>
  <c r="BP192" i="6"/>
  <c r="BQ192" i="6"/>
  <c r="BS192" i="6"/>
  <c r="K193" i="12"/>
  <c r="CD192" i="6"/>
  <c r="BG192" i="6"/>
  <c r="CC192" i="6"/>
  <c r="CE192" i="6"/>
  <c r="BC192" i="6"/>
  <c r="BJ192" i="6"/>
  <c r="D194" i="6"/>
  <c r="BD192" i="6"/>
  <c r="G192" i="12"/>
  <c r="BL192" i="6"/>
  <c r="BW192" i="6"/>
  <c r="H193" i="6"/>
  <c r="T193" i="5" s="1"/>
  <c r="BI192" i="6"/>
  <c r="BF192" i="6"/>
  <c r="BK192" i="6"/>
  <c r="BX192" i="6"/>
  <c r="BV192" i="6"/>
  <c r="BY192" i="6"/>
  <c r="A193" i="6"/>
  <c r="M193" i="6" s="1"/>
  <c r="CL193" i="6" s="1"/>
  <c r="BZ192" i="6"/>
  <c r="L194" i="12"/>
  <c r="J194" i="12"/>
  <c r="A195" i="12"/>
  <c r="B195" i="6"/>
  <c r="B195" i="5"/>
  <c r="H195" i="5"/>
  <c r="G195" i="5"/>
  <c r="F195" i="5"/>
  <c r="AE195" i="5"/>
  <c r="AD195" i="5"/>
  <c r="J195" i="5"/>
  <c r="D195" i="5"/>
  <c r="B195" i="12" s="1"/>
  <c r="N195" i="5"/>
  <c r="K195" i="5"/>
  <c r="E195" i="5"/>
  <c r="C196" i="5"/>
  <c r="BE192" i="6"/>
  <c r="BH192" i="6"/>
  <c r="CA192" i="6"/>
  <c r="BQ193" i="6" l="1"/>
  <c r="BR193" i="6"/>
  <c r="BS193" i="6"/>
  <c r="BT193" i="6"/>
  <c r="CJ193" i="6"/>
  <c r="CM193" i="6"/>
  <c r="CF193" i="6"/>
  <c r="CG193" i="6"/>
  <c r="BN193" i="6"/>
  <c r="CH193" i="6"/>
  <c r="BP193" i="6"/>
  <c r="CI193" i="6"/>
  <c r="BM193" i="6"/>
  <c r="CK193" i="6"/>
  <c r="BO193" i="6"/>
  <c r="A194" i="6"/>
  <c r="K194" i="12"/>
  <c r="CD193" i="6"/>
  <c r="BY193" i="6"/>
  <c r="BK193" i="6"/>
  <c r="BJ193" i="6"/>
  <c r="CE193" i="6"/>
  <c r="CC193" i="6"/>
  <c r="BV193" i="6"/>
  <c r="BD193" i="6"/>
  <c r="BZ193" i="6"/>
  <c r="BW193" i="6"/>
  <c r="BH193" i="6"/>
  <c r="BI193" i="6"/>
  <c r="BL193" i="6"/>
  <c r="BG193" i="6"/>
  <c r="BF193" i="6"/>
  <c r="BC193" i="6"/>
  <c r="BX193" i="6"/>
  <c r="CA193" i="6"/>
  <c r="CB193" i="6"/>
  <c r="BE193" i="6"/>
  <c r="H194" i="6"/>
  <c r="T194" i="5" s="1"/>
  <c r="L195" i="12"/>
  <c r="J195" i="12"/>
  <c r="G193" i="12"/>
  <c r="A196" i="12"/>
  <c r="B196" i="6"/>
  <c r="J196" i="5"/>
  <c r="F196" i="5"/>
  <c r="AE196" i="5"/>
  <c r="E196" i="5"/>
  <c r="AD196" i="5"/>
  <c r="D196" i="5"/>
  <c r="B196" i="12" s="1"/>
  <c r="B196" i="5"/>
  <c r="N196" i="5"/>
  <c r="K196" i="5"/>
  <c r="H196" i="5"/>
  <c r="G196" i="5"/>
  <c r="C197" i="5"/>
  <c r="D195" i="6"/>
  <c r="A195" i="6" l="1"/>
  <c r="M194" i="6"/>
  <c r="K195" i="12"/>
  <c r="G194" i="12"/>
  <c r="D196" i="6"/>
  <c r="J196" i="12"/>
  <c r="L196" i="12"/>
  <c r="A197" i="12"/>
  <c r="B197" i="6"/>
  <c r="B197" i="5"/>
  <c r="J197" i="5"/>
  <c r="H197" i="5"/>
  <c r="G197" i="5"/>
  <c r="AE197" i="5"/>
  <c r="AD197" i="5"/>
  <c r="E197" i="5"/>
  <c r="D197" i="5"/>
  <c r="B197" i="12" s="1"/>
  <c r="C198" i="5"/>
  <c r="N197" i="5"/>
  <c r="F197" i="5"/>
  <c r="K197" i="5"/>
  <c r="H195" i="6"/>
  <c r="T195" i="5" s="1"/>
  <c r="BY194" i="6" l="1"/>
  <c r="CI194" i="6"/>
  <c r="CG194" i="6"/>
  <c r="CF194" i="6"/>
  <c r="CH194" i="6"/>
  <c r="BP194" i="6"/>
  <c r="BO194" i="6"/>
  <c r="BM194" i="6"/>
  <c r="BS194" i="6"/>
  <c r="CM194" i="6"/>
  <c r="BQ194" i="6"/>
  <c r="CL194" i="6"/>
  <c r="BT194" i="6"/>
  <c r="CK194" i="6"/>
  <c r="BR194" i="6"/>
  <c r="CJ194" i="6"/>
  <c r="BN194" i="6"/>
  <c r="M195" i="6"/>
  <c r="A196" i="6"/>
  <c r="BI194" i="6"/>
  <c r="BL194" i="6"/>
  <c r="BG194" i="6"/>
  <c r="CC194" i="6"/>
  <c r="BE194" i="6"/>
  <c r="BC194" i="6"/>
  <c r="BF194" i="6"/>
  <c r="BD194" i="6"/>
  <c r="BJ194" i="6"/>
  <c r="BK194" i="6"/>
  <c r="CB194" i="6"/>
  <c r="CD194" i="6"/>
  <c r="BZ194" i="6"/>
  <c r="BV194" i="6"/>
  <c r="BH194" i="6"/>
  <c r="BX194" i="6"/>
  <c r="BW194" i="6"/>
  <c r="CA194" i="6"/>
  <c r="CE194" i="6"/>
  <c r="K196" i="12"/>
  <c r="D197" i="6"/>
  <c r="G195" i="12"/>
  <c r="A198" i="12"/>
  <c r="B198" i="6"/>
  <c r="J198" i="5"/>
  <c r="F198" i="5"/>
  <c r="AE198" i="5"/>
  <c r="E198" i="5"/>
  <c r="AD198" i="5"/>
  <c r="D198" i="5"/>
  <c r="B198" i="12" s="1"/>
  <c r="B198" i="5"/>
  <c r="N198" i="5"/>
  <c r="K198" i="5"/>
  <c r="H198" i="5"/>
  <c r="G198" i="5"/>
  <c r="J197" i="12"/>
  <c r="L197" i="12"/>
  <c r="H196" i="6"/>
  <c r="T196" i="5" s="1"/>
  <c r="CE195" i="6" l="1"/>
  <c r="CL195" i="6"/>
  <c r="BT195" i="6"/>
  <c r="BS195" i="6"/>
  <c r="BQ195" i="6"/>
  <c r="BP195" i="6"/>
  <c r="CH195" i="6"/>
  <c r="BO195" i="6"/>
  <c r="CG195" i="6"/>
  <c r="BN195" i="6"/>
  <c r="BR195" i="6"/>
  <c r="CM195" i="6"/>
  <c r="BM195" i="6"/>
  <c r="CK195" i="6"/>
  <c r="CJ195" i="6"/>
  <c r="CI195" i="6"/>
  <c r="CF195" i="6"/>
  <c r="BC195" i="6"/>
  <c r="BH195" i="6"/>
  <c r="BF195" i="6"/>
  <c r="BZ195" i="6"/>
  <c r="CC195" i="6"/>
  <c r="BX195" i="6"/>
  <c r="BW195" i="6"/>
  <c r="CD195" i="6"/>
  <c r="BI195" i="6"/>
  <c r="BV195" i="6"/>
  <c r="BD195" i="6"/>
  <c r="CA195" i="6"/>
  <c r="BY195" i="6"/>
  <c r="M196" i="6"/>
  <c r="BK195" i="6"/>
  <c r="CB195" i="6"/>
  <c r="BJ195" i="6"/>
  <c r="BG195" i="6"/>
  <c r="BE195" i="6"/>
  <c r="BL195" i="6"/>
  <c r="G196" i="12"/>
  <c r="L198" i="12"/>
  <c r="J198" i="12"/>
  <c r="K197" i="12"/>
  <c r="H197" i="6"/>
  <c r="T197" i="5" s="1"/>
  <c r="D198" i="6"/>
  <c r="A197" i="6"/>
  <c r="BL196" i="6" l="1"/>
  <c r="CF196" i="6"/>
  <c r="CM196" i="6"/>
  <c r="CJ196" i="6"/>
  <c r="BT196" i="6"/>
  <c r="BS196" i="6"/>
  <c r="BR196" i="6"/>
  <c r="BQ196" i="6"/>
  <c r="CL196" i="6"/>
  <c r="BO196" i="6"/>
  <c r="CK196" i="6"/>
  <c r="BM196" i="6"/>
  <c r="CI196" i="6"/>
  <c r="BP196" i="6"/>
  <c r="CH196" i="6"/>
  <c r="BN196" i="6"/>
  <c r="CG196" i="6"/>
  <c r="BE196" i="6"/>
  <c r="BX196" i="6"/>
  <c r="BK196" i="6"/>
  <c r="BV196" i="6"/>
  <c r="BG196" i="6"/>
  <c r="BI196" i="6"/>
  <c r="BY196" i="6"/>
  <c r="BJ196" i="6"/>
  <c r="BW196" i="6"/>
  <c r="CE196" i="6"/>
  <c r="BD196" i="6"/>
  <c r="CC196" i="6"/>
  <c r="CB196" i="6"/>
  <c r="CA196" i="6"/>
  <c r="BC196" i="6"/>
  <c r="BZ196" i="6"/>
  <c r="BF196" i="6"/>
  <c r="CD196" i="6"/>
  <c r="BH196" i="6"/>
  <c r="K198" i="12"/>
  <c r="H198" i="6"/>
  <c r="T198" i="5" s="1"/>
  <c r="M197" i="6"/>
  <c r="A198" i="6"/>
  <c r="G197" i="12"/>
  <c r="CI197" i="6" l="1"/>
  <c r="CG197" i="6"/>
  <c r="CF197" i="6"/>
  <c r="CH197" i="6"/>
  <c r="BP197" i="6"/>
  <c r="BO197" i="6"/>
  <c r="BM197" i="6"/>
  <c r="BS197" i="6"/>
  <c r="CM197" i="6"/>
  <c r="BQ197" i="6"/>
  <c r="CL197" i="6"/>
  <c r="BT197" i="6"/>
  <c r="CK197" i="6"/>
  <c r="BR197" i="6"/>
  <c r="CJ197" i="6"/>
  <c r="BN197" i="6"/>
  <c r="G198" i="12"/>
  <c r="M198" i="6"/>
  <c r="BX197" i="6"/>
  <c r="CC197" i="6"/>
  <c r="CE197" i="6"/>
  <c r="CD197" i="6"/>
  <c r="BJ197" i="6"/>
  <c r="BY197" i="6"/>
  <c r="BV197" i="6"/>
  <c r="BH197" i="6"/>
  <c r="BL197" i="6"/>
  <c r="BZ197" i="6"/>
  <c r="BG197" i="6"/>
  <c r="CB197" i="6"/>
  <c r="BK197" i="6"/>
  <c r="CA197" i="6"/>
  <c r="BI197" i="6"/>
  <c r="BE197" i="6"/>
  <c r="BF197" i="6"/>
  <c r="BW197" i="6"/>
  <c r="BC197" i="6"/>
  <c r="BD197" i="6"/>
  <c r="C199" i="5"/>
  <c r="CK198" i="6" l="1"/>
  <c r="BR198" i="6"/>
  <c r="CJ198" i="6"/>
  <c r="CL198" i="6"/>
  <c r="CI198" i="6"/>
  <c r="CF198" i="6"/>
  <c r="BT198" i="6"/>
  <c r="BS198" i="6"/>
  <c r="BQ198" i="6"/>
  <c r="BP198" i="6"/>
  <c r="CH198" i="6"/>
  <c r="BO198" i="6"/>
  <c r="CG198" i="6"/>
  <c r="BN198" i="6"/>
  <c r="CM198" i="6"/>
  <c r="BM198" i="6"/>
  <c r="BX198" i="6"/>
  <c r="BG198" i="6"/>
  <c r="BW198" i="6"/>
  <c r="BC198" i="6"/>
  <c r="CD198" i="6"/>
  <c r="BH198" i="6"/>
  <c r="BE198" i="6"/>
  <c r="CC198" i="6"/>
  <c r="BD198" i="6"/>
  <c r="CA198" i="6"/>
  <c r="BI198" i="6"/>
  <c r="BZ198" i="6"/>
  <c r="BL198" i="6"/>
  <c r="BY198" i="6"/>
  <c r="BV198" i="6"/>
  <c r="CE198" i="6"/>
  <c r="CB198" i="6"/>
  <c r="BJ198" i="6"/>
  <c r="BF198" i="6"/>
  <c r="BK198" i="6"/>
  <c r="A199" i="12"/>
  <c r="B199" i="6"/>
  <c r="F199" i="5"/>
  <c r="AE199" i="5"/>
  <c r="E199" i="5"/>
  <c r="AD199" i="5"/>
  <c r="B199" i="5"/>
  <c r="N199" i="5"/>
  <c r="C200" i="5"/>
  <c r="H199" i="5"/>
  <c r="G199" i="5"/>
  <c r="D199" i="6" l="1"/>
  <c r="A200" i="12"/>
  <c r="B200" i="6"/>
  <c r="B200" i="5"/>
  <c r="N200" i="5"/>
  <c r="K200" i="5"/>
  <c r="J200" i="5"/>
  <c r="F200" i="5"/>
  <c r="C201" i="5"/>
  <c r="E200" i="5"/>
  <c r="D200" i="5"/>
  <c r="B200" i="12" s="1"/>
  <c r="H200" i="5"/>
  <c r="G200" i="5"/>
  <c r="AE200" i="5"/>
  <c r="AD200" i="5"/>
  <c r="A199" i="6" l="1"/>
  <c r="CM199" i="6"/>
  <c r="CL199" i="6"/>
  <c r="CK199" i="6"/>
  <c r="CJ199" i="6"/>
  <c r="CI199" i="6"/>
  <c r="CG199" i="6"/>
  <c r="CF199" i="6"/>
  <c r="CH199" i="6"/>
  <c r="BP199" i="6"/>
  <c r="BO199" i="6"/>
  <c r="BM199" i="6"/>
  <c r="BS199" i="6"/>
  <c r="BQ199" i="6"/>
  <c r="BT199" i="6"/>
  <c r="BR199" i="6"/>
  <c r="BN199" i="6"/>
  <c r="L200" i="12"/>
  <c r="J200" i="12"/>
  <c r="A201" i="12"/>
  <c r="B201" i="6"/>
  <c r="J201" i="5"/>
  <c r="F201" i="5"/>
  <c r="AE201" i="5"/>
  <c r="E201" i="5"/>
  <c r="AD201" i="5"/>
  <c r="D201" i="5"/>
  <c r="B201" i="12" s="1"/>
  <c r="B201" i="5"/>
  <c r="G201" i="5"/>
  <c r="C202" i="5"/>
  <c r="N201" i="5"/>
  <c r="K201" i="5"/>
  <c r="H201" i="5"/>
  <c r="D200" i="6"/>
  <c r="N199" i="6"/>
  <c r="M199" i="6"/>
  <c r="BY199" i="6" s="1"/>
  <c r="H199" i="6"/>
  <c r="T199" i="5" s="1"/>
  <c r="AV199" i="6" l="1"/>
  <c r="AU199" i="6"/>
  <c r="AZ199" i="6"/>
  <c r="AY199" i="6"/>
  <c r="AX199" i="6"/>
  <c r="BA199" i="6"/>
  <c r="AW199" i="6"/>
  <c r="AT199" i="6"/>
  <c r="K200" i="12"/>
  <c r="AS199" i="6"/>
  <c r="BZ199" i="6"/>
  <c r="BW199" i="6"/>
  <c r="BD199" i="6"/>
  <c r="BX199" i="6"/>
  <c r="CD199" i="6"/>
  <c r="AM199" i="6"/>
  <c r="BV199" i="6"/>
  <c r="AQ199" i="6"/>
  <c r="AL199" i="6"/>
  <c r="BI199" i="6"/>
  <c r="L201" i="12"/>
  <c r="J201" i="12"/>
  <c r="BC199" i="6"/>
  <c r="CB199" i="6"/>
  <c r="CC199" i="6"/>
  <c r="AO199" i="6"/>
  <c r="AK199" i="6"/>
  <c r="H200" i="6"/>
  <c r="T200" i="5" s="1"/>
  <c r="BE199" i="6"/>
  <c r="BF199" i="6"/>
  <c r="CA199" i="6"/>
  <c r="AN199" i="6"/>
  <c r="AJ199" i="6"/>
  <c r="AP199" i="6"/>
  <c r="CE199" i="6"/>
  <c r="BL199" i="6"/>
  <c r="AR199" i="6"/>
  <c r="A200" i="6"/>
  <c r="M200" i="6" s="1"/>
  <c r="BQ200" i="6" s="1"/>
  <c r="G199" i="12"/>
  <c r="D201" i="6"/>
  <c r="BJ199" i="6"/>
  <c r="BK199" i="6"/>
  <c r="BG199" i="6"/>
  <c r="BH199" i="6"/>
  <c r="A202" i="12"/>
  <c r="B202" i="6"/>
  <c r="B202" i="5"/>
  <c r="N202" i="5"/>
  <c r="K202" i="5"/>
  <c r="G202" i="5"/>
  <c r="F202" i="5"/>
  <c r="C203" i="5"/>
  <c r="E202" i="5"/>
  <c r="D202" i="5"/>
  <c r="B202" i="12" s="1"/>
  <c r="J202" i="5"/>
  <c r="H202" i="5"/>
  <c r="AD202" i="5"/>
  <c r="AE202" i="5"/>
  <c r="BS200" i="6" l="1"/>
  <c r="BT200" i="6"/>
  <c r="CL200" i="6"/>
  <c r="CF200" i="6"/>
  <c r="CI200" i="6"/>
  <c r="CJ200" i="6"/>
  <c r="CK200" i="6"/>
  <c r="BM200" i="6"/>
  <c r="CM200" i="6"/>
  <c r="BN200" i="6"/>
  <c r="CG200" i="6"/>
  <c r="BO200" i="6"/>
  <c r="CH200" i="6"/>
  <c r="BR200" i="6"/>
  <c r="BP200" i="6"/>
  <c r="BE200" i="6"/>
  <c r="BK200" i="6"/>
  <c r="BD200" i="6"/>
  <c r="BY200" i="6"/>
  <c r="BH200" i="6"/>
  <c r="CE200" i="6"/>
  <c r="BC200" i="6"/>
  <c r="BX200" i="6"/>
  <c r="CD200" i="6"/>
  <c r="BJ200" i="6"/>
  <c r="BG200" i="6"/>
  <c r="BZ200" i="6"/>
  <c r="CA200" i="6"/>
  <c r="BV200" i="6"/>
  <c r="CC200" i="6"/>
  <c r="BL200" i="6"/>
  <c r="BI200" i="6"/>
  <c r="BF200" i="6"/>
  <c r="CB200" i="6"/>
  <c r="BW200" i="6"/>
  <c r="K201" i="12"/>
  <c r="A201" i="6"/>
  <c r="H201" i="6"/>
  <c r="T201" i="5" s="1"/>
  <c r="L202" i="12"/>
  <c r="J202" i="12"/>
  <c r="A203" i="12"/>
  <c r="B203" i="6"/>
  <c r="J203" i="5"/>
  <c r="F203" i="5"/>
  <c r="AE203" i="5"/>
  <c r="E203" i="5"/>
  <c r="AD203" i="5"/>
  <c r="D203" i="5"/>
  <c r="B203" i="12" s="1"/>
  <c r="B203" i="5"/>
  <c r="H203" i="5"/>
  <c r="G203" i="5"/>
  <c r="C204" i="5"/>
  <c r="N203" i="5"/>
  <c r="K203" i="5"/>
  <c r="G200" i="12"/>
  <c r="D202" i="6"/>
  <c r="K202" i="12" l="1"/>
  <c r="M201" i="6"/>
  <c r="A202" i="6"/>
  <c r="M202" i="6" s="1"/>
  <c r="CF202" i="6" s="1"/>
  <c r="H202" i="6"/>
  <c r="T202" i="5" s="1"/>
  <c r="G201" i="12"/>
  <c r="D203" i="6"/>
  <c r="A204" i="12"/>
  <c r="B204" i="6"/>
  <c r="B204" i="5"/>
  <c r="C205" i="5"/>
  <c r="N204" i="5"/>
  <c r="AD204" i="5"/>
  <c r="H204" i="5"/>
  <c r="G204" i="5"/>
  <c r="F204" i="5"/>
  <c r="E204" i="5"/>
  <c r="D204" i="5"/>
  <c r="B204" i="12" s="1"/>
  <c r="AE204" i="5"/>
  <c r="K204" i="5"/>
  <c r="J204" i="5"/>
  <c r="J203" i="12"/>
  <c r="L203" i="12"/>
  <c r="CG202" i="6" l="1"/>
  <c r="CJ202" i="6"/>
  <c r="CK202" i="6"/>
  <c r="BN202" i="6"/>
  <c r="BT202" i="6"/>
  <c r="CL202" i="6"/>
  <c r="BQ202" i="6"/>
  <c r="CM202" i="6"/>
  <c r="BS202" i="6"/>
  <c r="BM202" i="6"/>
  <c r="BO202" i="6"/>
  <c r="BP202" i="6"/>
  <c r="CD201" i="6"/>
  <c r="CM201" i="6"/>
  <c r="CJ201" i="6"/>
  <c r="BT201" i="6"/>
  <c r="BS201" i="6"/>
  <c r="BN201" i="6"/>
  <c r="BR201" i="6"/>
  <c r="BQ201" i="6"/>
  <c r="CL201" i="6"/>
  <c r="BO201" i="6"/>
  <c r="CK201" i="6"/>
  <c r="BM201" i="6"/>
  <c r="CI201" i="6"/>
  <c r="BP201" i="6"/>
  <c r="CH201" i="6"/>
  <c r="CG201" i="6"/>
  <c r="CF201" i="6"/>
  <c r="BR202" i="6"/>
  <c r="CH202" i="6"/>
  <c r="CI202" i="6"/>
  <c r="BV201" i="6"/>
  <c r="BI201" i="6"/>
  <c r="BG201" i="6"/>
  <c r="BJ201" i="6"/>
  <c r="BH201" i="6"/>
  <c r="BE201" i="6"/>
  <c r="CA201" i="6"/>
  <c r="BK201" i="6"/>
  <c r="BZ201" i="6"/>
  <c r="CB201" i="6"/>
  <c r="BC201" i="6"/>
  <c r="CC201" i="6"/>
  <c r="BW201" i="6"/>
  <c r="BF201" i="6"/>
  <c r="BY201" i="6"/>
  <c r="BL201" i="6"/>
  <c r="K203" i="12"/>
  <c r="BX201" i="6"/>
  <c r="CE201" i="6"/>
  <c r="BZ202" i="6"/>
  <c r="BW202" i="6"/>
  <c r="BE202" i="6"/>
  <c r="CC202" i="6"/>
  <c r="BC202" i="6"/>
  <c r="CA202" i="6"/>
  <c r="BK202" i="6"/>
  <c r="CD202" i="6"/>
  <c r="BJ202" i="6"/>
  <c r="BX202" i="6"/>
  <c r="BI202" i="6"/>
  <c r="BG202" i="6"/>
  <c r="CE202" i="6"/>
  <c r="BH202" i="6"/>
  <c r="BD202" i="6"/>
  <c r="BF202" i="6"/>
  <c r="A203" i="6"/>
  <c r="M203" i="6" s="1"/>
  <c r="BK203" i="6" s="1"/>
  <c r="BD201" i="6"/>
  <c r="BL202" i="6"/>
  <c r="CB202" i="6"/>
  <c r="BV202" i="6"/>
  <c r="D204" i="6"/>
  <c r="H203" i="6"/>
  <c r="T203" i="5" s="1"/>
  <c r="L204" i="12"/>
  <c r="J204" i="12"/>
  <c r="A205" i="12"/>
  <c r="B205" i="6"/>
  <c r="J205" i="5"/>
  <c r="F205" i="5"/>
  <c r="AE205" i="5"/>
  <c r="E205" i="5"/>
  <c r="AD205" i="5"/>
  <c r="D205" i="5"/>
  <c r="B205" i="12" s="1"/>
  <c r="B205" i="5"/>
  <c r="N205" i="5"/>
  <c r="K205" i="5"/>
  <c r="H205" i="5"/>
  <c r="G205" i="5"/>
  <c r="C206" i="5"/>
  <c r="G202" i="12"/>
  <c r="BY202" i="6"/>
  <c r="CI203" i="6" l="1"/>
  <c r="CL203" i="6"/>
  <c r="CJ203" i="6"/>
  <c r="BR203" i="6"/>
  <c r="CK203" i="6"/>
  <c r="BM203" i="6"/>
  <c r="CM203" i="6"/>
  <c r="BN203" i="6"/>
  <c r="CG203" i="6"/>
  <c r="BO203" i="6"/>
  <c r="CH203" i="6"/>
  <c r="BP203" i="6"/>
  <c r="BQ203" i="6"/>
  <c r="BS203" i="6"/>
  <c r="BT203" i="6"/>
  <c r="CF203" i="6"/>
  <c r="K204" i="12"/>
  <c r="A204" i="6"/>
  <c r="CE203" i="6"/>
  <c r="BV203" i="6"/>
  <c r="BL203" i="6"/>
  <c r="BH203" i="6"/>
  <c r="A206" i="12"/>
  <c r="B206" i="6"/>
  <c r="B206" i="5"/>
  <c r="C207" i="5"/>
  <c r="N206" i="5"/>
  <c r="AE206" i="5"/>
  <c r="K206" i="5"/>
  <c r="J206" i="5"/>
  <c r="H206" i="5"/>
  <c r="G206" i="5"/>
  <c r="AD206" i="5"/>
  <c r="F206" i="5"/>
  <c r="E206" i="5"/>
  <c r="D206" i="5"/>
  <c r="B206" i="12" s="1"/>
  <c r="G203" i="12"/>
  <c r="BI203" i="6"/>
  <c r="L205" i="12"/>
  <c r="J205" i="12"/>
  <c r="BW203" i="6"/>
  <c r="BX203" i="6"/>
  <c r="BY203" i="6"/>
  <c r="CB203" i="6"/>
  <c r="CA203" i="6"/>
  <c r="BD203" i="6"/>
  <c r="BZ203" i="6"/>
  <c r="BE203" i="6"/>
  <c r="CC203" i="6"/>
  <c r="BC203" i="6"/>
  <c r="BF203" i="6"/>
  <c r="BJ203" i="6"/>
  <c r="D205" i="6"/>
  <c r="BG203" i="6"/>
  <c r="CD203" i="6"/>
  <c r="H204" i="6"/>
  <c r="T204" i="5" s="1"/>
  <c r="M204" i="6" l="1"/>
  <c r="A205" i="6"/>
  <c r="K205" i="12"/>
  <c r="G204" i="12"/>
  <c r="A207" i="12"/>
  <c r="B207" i="6"/>
  <c r="J207" i="5"/>
  <c r="F207" i="5"/>
  <c r="AE207" i="5"/>
  <c r="E207" i="5"/>
  <c r="AD207" i="5"/>
  <c r="D207" i="5"/>
  <c r="B207" i="12" s="1"/>
  <c r="B207" i="5"/>
  <c r="C208" i="5"/>
  <c r="N207" i="5"/>
  <c r="H207" i="5"/>
  <c r="K207" i="5"/>
  <c r="G207" i="5"/>
  <c r="H205" i="6"/>
  <c r="T205" i="5" s="1"/>
  <c r="L206" i="12"/>
  <c r="J206" i="12"/>
  <c r="D206" i="6"/>
  <c r="CA204" i="6" l="1"/>
  <c r="BT204" i="6"/>
  <c r="BS204" i="6"/>
  <c r="BR204" i="6"/>
  <c r="BQ204" i="6"/>
  <c r="CL204" i="6"/>
  <c r="BO204" i="6"/>
  <c r="CK204" i="6"/>
  <c r="BM204" i="6"/>
  <c r="CI204" i="6"/>
  <c r="BP204" i="6"/>
  <c r="CH204" i="6"/>
  <c r="BN204" i="6"/>
  <c r="CG204" i="6"/>
  <c r="CF204" i="6"/>
  <c r="CM204" i="6"/>
  <c r="CJ204" i="6"/>
  <c r="BI204" i="6"/>
  <c r="BC204" i="6"/>
  <c r="CE204" i="6"/>
  <c r="CB204" i="6"/>
  <c r="CC204" i="6"/>
  <c r="BD204" i="6"/>
  <c r="BZ204" i="6"/>
  <c r="BY204" i="6"/>
  <c r="BJ204" i="6"/>
  <c r="BK204" i="6"/>
  <c r="BH204" i="6"/>
  <c r="BL204" i="6"/>
  <c r="CD204" i="6"/>
  <c r="BG204" i="6"/>
  <c r="BV204" i="6"/>
  <c r="BF204" i="6"/>
  <c r="BW204" i="6"/>
  <c r="BE204" i="6"/>
  <c r="BX204" i="6"/>
  <c r="M205" i="6"/>
  <c r="A208" i="12"/>
  <c r="B208" i="6"/>
  <c r="B208" i="5"/>
  <c r="C209" i="5"/>
  <c r="N208" i="5"/>
  <c r="D208" i="5"/>
  <c r="B208" i="12" s="1"/>
  <c r="AE208" i="5"/>
  <c r="AD208" i="5"/>
  <c r="K208" i="5"/>
  <c r="F208" i="5"/>
  <c r="E208" i="5"/>
  <c r="J208" i="5"/>
  <c r="H208" i="5"/>
  <c r="G208" i="5"/>
  <c r="K206" i="12"/>
  <c r="D207" i="6"/>
  <c r="G205" i="12"/>
  <c r="H206" i="6"/>
  <c r="T206" i="5" s="1"/>
  <c r="A206" i="6"/>
  <c r="L207" i="12"/>
  <c r="J207" i="12"/>
  <c r="CD205" i="6" l="1"/>
  <c r="CG205" i="6"/>
  <c r="CF205" i="6"/>
  <c r="BT205" i="6"/>
  <c r="CH205" i="6"/>
  <c r="BP205" i="6"/>
  <c r="BR205" i="6"/>
  <c r="BO205" i="6"/>
  <c r="BM205" i="6"/>
  <c r="BS205" i="6"/>
  <c r="CM205" i="6"/>
  <c r="BQ205" i="6"/>
  <c r="CL205" i="6"/>
  <c r="BN205" i="6"/>
  <c r="CK205" i="6"/>
  <c r="CJ205" i="6"/>
  <c r="CI205" i="6"/>
  <c r="CE205" i="6"/>
  <c r="BC205" i="6"/>
  <c r="BI205" i="6"/>
  <c r="CC205" i="6"/>
  <c r="BZ205" i="6"/>
  <c r="BE205" i="6"/>
  <c r="BW205" i="6"/>
  <c r="BL205" i="6"/>
  <c r="BJ205" i="6"/>
  <c r="BK205" i="6"/>
  <c r="BF205" i="6"/>
  <c r="BX205" i="6"/>
  <c r="CB205" i="6"/>
  <c r="CA205" i="6"/>
  <c r="BH205" i="6"/>
  <c r="BY205" i="6"/>
  <c r="BG205" i="6"/>
  <c r="BV205" i="6"/>
  <c r="BD205" i="6"/>
  <c r="M206" i="6"/>
  <c r="A207" i="6"/>
  <c r="D208" i="6"/>
  <c r="A209" i="12"/>
  <c r="B209" i="6"/>
  <c r="J209" i="5"/>
  <c r="F209" i="5"/>
  <c r="AE209" i="5"/>
  <c r="E209" i="5"/>
  <c r="AD209" i="5"/>
  <c r="D209" i="5"/>
  <c r="B209" i="12" s="1"/>
  <c r="B209" i="5"/>
  <c r="G209" i="5"/>
  <c r="K209" i="5"/>
  <c r="H209" i="5"/>
  <c r="N209" i="5"/>
  <c r="C210" i="5"/>
  <c r="H207" i="6"/>
  <c r="T207" i="5" s="1"/>
  <c r="G206" i="12"/>
  <c r="K207" i="12"/>
  <c r="J208" i="12"/>
  <c r="L208" i="12"/>
  <c r="CH206" i="6" l="1"/>
  <c r="BO206" i="6"/>
  <c r="CG206" i="6"/>
  <c r="BN206" i="6"/>
  <c r="CM206" i="6"/>
  <c r="BM206" i="6"/>
  <c r="CK206" i="6"/>
  <c r="CJ206" i="6"/>
  <c r="CI206" i="6"/>
  <c r="CF206" i="6"/>
  <c r="CL206" i="6"/>
  <c r="BT206" i="6"/>
  <c r="BS206" i="6"/>
  <c r="BR206" i="6"/>
  <c r="BQ206" i="6"/>
  <c r="BP206" i="6"/>
  <c r="M207" i="6"/>
  <c r="A208" i="6"/>
  <c r="K208" i="12"/>
  <c r="BC206" i="6"/>
  <c r="BY206" i="6"/>
  <c r="CA206" i="6"/>
  <c r="BZ206" i="6"/>
  <c r="BD206" i="6"/>
  <c r="CB206" i="6"/>
  <c r="CC206" i="6"/>
  <c r="BE206" i="6"/>
  <c r="BI206" i="6"/>
  <c r="CD206" i="6"/>
  <c r="BH206" i="6"/>
  <c r="BG206" i="6"/>
  <c r="CE206" i="6"/>
  <c r="BJ206" i="6"/>
  <c r="BF206" i="6"/>
  <c r="BX206" i="6"/>
  <c r="BW206" i="6"/>
  <c r="BV206" i="6"/>
  <c r="BL206" i="6"/>
  <c r="BK206" i="6"/>
  <c r="A210" i="12"/>
  <c r="B210" i="6"/>
  <c r="B210" i="5"/>
  <c r="C211" i="5"/>
  <c r="N210" i="5"/>
  <c r="H210" i="5"/>
  <c r="G210" i="5"/>
  <c r="F210" i="5"/>
  <c r="E210" i="5"/>
  <c r="AE210" i="5"/>
  <c r="AD210" i="5"/>
  <c r="K210" i="5"/>
  <c r="J210" i="5"/>
  <c r="D210" i="5"/>
  <c r="B210" i="12" s="1"/>
  <c r="L209" i="12"/>
  <c r="J209" i="12"/>
  <c r="D209" i="6"/>
  <c r="G207" i="12"/>
  <c r="H208" i="6"/>
  <c r="T208" i="5" s="1"/>
  <c r="BY207" i="6" l="1"/>
  <c r="CM207" i="6"/>
  <c r="CJ207" i="6"/>
  <c r="BN207" i="6"/>
  <c r="BT207" i="6"/>
  <c r="BS207" i="6"/>
  <c r="BQ207" i="6"/>
  <c r="BR207" i="6"/>
  <c r="CL207" i="6"/>
  <c r="BO207" i="6"/>
  <c r="CK207" i="6"/>
  <c r="BM207" i="6"/>
  <c r="CI207" i="6"/>
  <c r="BP207" i="6"/>
  <c r="CH207" i="6"/>
  <c r="CG207" i="6"/>
  <c r="CF207" i="6"/>
  <c r="BX207" i="6"/>
  <c r="BH207" i="6"/>
  <c r="CD207" i="6"/>
  <c r="BW207" i="6"/>
  <c r="A209" i="6"/>
  <c r="BE207" i="6"/>
  <c r="BZ207" i="6"/>
  <c r="CC207" i="6"/>
  <c r="BL207" i="6"/>
  <c r="CA207" i="6"/>
  <c r="BC207" i="6"/>
  <c r="CE207" i="6"/>
  <c r="BI207" i="6"/>
  <c r="BD207" i="6"/>
  <c r="BG207" i="6"/>
  <c r="BK207" i="6"/>
  <c r="BJ207" i="6"/>
  <c r="BV207" i="6"/>
  <c r="M208" i="6"/>
  <c r="CB207" i="6"/>
  <c r="BF207" i="6"/>
  <c r="H209" i="6"/>
  <c r="T209" i="5" s="1"/>
  <c r="G208" i="12"/>
  <c r="D210" i="6"/>
  <c r="A211" i="12"/>
  <c r="B211" i="6"/>
  <c r="K211" i="5"/>
  <c r="J211" i="5"/>
  <c r="F211" i="5"/>
  <c r="AE211" i="5"/>
  <c r="E211" i="5"/>
  <c r="AD211" i="5"/>
  <c r="D211" i="5"/>
  <c r="B211" i="12" s="1"/>
  <c r="B211" i="5"/>
  <c r="N211" i="5"/>
  <c r="H211" i="5"/>
  <c r="G211" i="5"/>
  <c r="L210" i="12"/>
  <c r="J210" i="12"/>
  <c r="K209" i="12"/>
  <c r="BF208" i="6" l="1"/>
  <c r="BP208" i="6"/>
  <c r="BO208" i="6"/>
  <c r="BM208" i="6"/>
  <c r="BS208" i="6"/>
  <c r="CM208" i="6"/>
  <c r="BQ208" i="6"/>
  <c r="CL208" i="6"/>
  <c r="BT208" i="6"/>
  <c r="CK208" i="6"/>
  <c r="BR208" i="6"/>
  <c r="CJ208" i="6"/>
  <c r="BN208" i="6"/>
  <c r="CI208" i="6"/>
  <c r="CG208" i="6"/>
  <c r="CF208" i="6"/>
  <c r="CH208" i="6"/>
  <c r="A210" i="6"/>
  <c r="M210" i="6" s="1"/>
  <c r="BJ210" i="6" s="1"/>
  <c r="BL208" i="6"/>
  <c r="BC208" i="6"/>
  <c r="M209" i="6"/>
  <c r="CC208" i="6"/>
  <c r="BG208" i="6"/>
  <c r="BH208" i="6"/>
  <c r="BD208" i="6"/>
  <c r="CD208" i="6"/>
  <c r="BW208" i="6"/>
  <c r="CE208" i="6"/>
  <c r="BZ208" i="6"/>
  <c r="BY208" i="6"/>
  <c r="BJ208" i="6"/>
  <c r="BI208" i="6"/>
  <c r="BV208" i="6"/>
  <c r="CB208" i="6"/>
  <c r="BE208" i="6"/>
  <c r="BK208" i="6"/>
  <c r="CA208" i="6"/>
  <c r="BX208" i="6"/>
  <c r="K210" i="12"/>
  <c r="D211" i="6"/>
  <c r="L211" i="12"/>
  <c r="J211" i="12"/>
  <c r="H210" i="6"/>
  <c r="T210" i="5" s="1"/>
  <c r="G209" i="12"/>
  <c r="CJ210" i="6" l="1"/>
  <c r="CM210" i="6"/>
  <c r="BH209" i="6"/>
  <c r="BT209" i="6"/>
  <c r="BS209" i="6"/>
  <c r="BQ209" i="6"/>
  <c r="BP209" i="6"/>
  <c r="CH209" i="6"/>
  <c r="BO209" i="6"/>
  <c r="CG209" i="6"/>
  <c r="BN209" i="6"/>
  <c r="CM209" i="6"/>
  <c r="BM209" i="6"/>
  <c r="CK209" i="6"/>
  <c r="BR209" i="6"/>
  <c r="CJ209" i="6"/>
  <c r="CL209" i="6"/>
  <c r="CI209" i="6"/>
  <c r="CF209" i="6"/>
  <c r="CF210" i="6"/>
  <c r="CG210" i="6"/>
  <c r="BN210" i="6"/>
  <c r="CH210" i="6"/>
  <c r="BP210" i="6"/>
  <c r="CI210" i="6"/>
  <c r="BM210" i="6"/>
  <c r="CK210" i="6"/>
  <c r="BO210" i="6"/>
  <c r="CL210" i="6"/>
  <c r="BQ210" i="6"/>
  <c r="BR210" i="6"/>
  <c r="BS210" i="6"/>
  <c r="BT210" i="6"/>
  <c r="A211" i="6"/>
  <c r="CC209" i="6"/>
  <c r="BZ209" i="6"/>
  <c r="BF209" i="6"/>
  <c r="BW209" i="6"/>
  <c r="BE209" i="6"/>
  <c r="BG209" i="6"/>
  <c r="BY209" i="6"/>
  <c r="CE209" i="6"/>
  <c r="CB209" i="6"/>
  <c r="BL209" i="6"/>
  <c r="CA209" i="6"/>
  <c r="BD209" i="6"/>
  <c r="BI209" i="6"/>
  <c r="BK209" i="6"/>
  <c r="BV209" i="6"/>
  <c r="BJ209" i="6"/>
  <c r="BX209" i="6"/>
  <c r="CD209" i="6"/>
  <c r="BC209" i="6"/>
  <c r="K211" i="12"/>
  <c r="CD210" i="6"/>
  <c r="BK210" i="6"/>
  <c r="BL210" i="6"/>
  <c r="CA210" i="6"/>
  <c r="BW210" i="6"/>
  <c r="BF210" i="6"/>
  <c r="BV210" i="6"/>
  <c r="C212" i="5"/>
  <c r="BX210" i="6"/>
  <c r="BD210" i="6"/>
  <c r="CB210" i="6"/>
  <c r="BC210" i="6"/>
  <c r="BE210" i="6"/>
  <c r="BG210" i="6"/>
  <c r="BH210" i="6"/>
  <c r="BI210" i="6"/>
  <c r="CC210" i="6"/>
  <c r="G210" i="12"/>
  <c r="H211" i="6"/>
  <c r="T211" i="5" s="1"/>
  <c r="CE210" i="6"/>
  <c r="BY210" i="6"/>
  <c r="BZ210" i="6"/>
  <c r="M211" i="6" l="1"/>
  <c r="A212" i="12"/>
  <c r="B212" i="6"/>
  <c r="B212" i="5"/>
  <c r="C213" i="5"/>
  <c r="N212" i="5"/>
  <c r="H212" i="5"/>
  <c r="G212" i="5"/>
  <c r="E212" i="5"/>
  <c r="AE212" i="5"/>
  <c r="AD212" i="5"/>
  <c r="F212" i="5"/>
  <c r="G211" i="12"/>
  <c r="BF211" i="6" l="1"/>
  <c r="BS211" i="6"/>
  <c r="CM211" i="6"/>
  <c r="BQ211" i="6"/>
  <c r="CL211" i="6"/>
  <c r="BT211" i="6"/>
  <c r="CK211" i="6"/>
  <c r="BR211" i="6"/>
  <c r="CJ211" i="6"/>
  <c r="BN211" i="6"/>
  <c r="CI211" i="6"/>
  <c r="CG211" i="6"/>
  <c r="CF211" i="6"/>
  <c r="CH211" i="6"/>
  <c r="BP211" i="6"/>
  <c r="BO211" i="6"/>
  <c r="BM211" i="6"/>
  <c r="BG211" i="6"/>
  <c r="BI211" i="6"/>
  <c r="BH211" i="6"/>
  <c r="BZ211" i="6"/>
  <c r="CE211" i="6"/>
  <c r="BL211" i="6"/>
  <c r="BC211" i="6"/>
  <c r="BJ211" i="6"/>
  <c r="BD211" i="6"/>
  <c r="BE211" i="6"/>
  <c r="BX211" i="6"/>
  <c r="CB211" i="6"/>
  <c r="CD211" i="6"/>
  <c r="BW211" i="6"/>
  <c r="CA211" i="6"/>
  <c r="BK211" i="6"/>
  <c r="BY211" i="6"/>
  <c r="CC211" i="6"/>
  <c r="BV211" i="6"/>
  <c r="D212" i="6"/>
  <c r="A213" i="12"/>
  <c r="B213" i="6"/>
  <c r="K213" i="5"/>
  <c r="J213" i="5"/>
  <c r="F213" i="5"/>
  <c r="AE213" i="5"/>
  <c r="E213" i="5"/>
  <c r="AD213" i="5"/>
  <c r="D213" i="5"/>
  <c r="B213" i="12" s="1"/>
  <c r="B213" i="5"/>
  <c r="C214" i="5"/>
  <c r="N213" i="5"/>
  <c r="H213" i="5"/>
  <c r="G213" i="5"/>
  <c r="A212" i="6" l="1"/>
  <c r="CH212" i="6"/>
  <c r="CG212" i="6"/>
  <c r="CM212" i="6"/>
  <c r="CK212" i="6"/>
  <c r="CJ212" i="6"/>
  <c r="CI212" i="6"/>
  <c r="CF212" i="6"/>
  <c r="CL212" i="6"/>
  <c r="BT212" i="6"/>
  <c r="BS212" i="6"/>
  <c r="BQ212" i="6"/>
  <c r="BP212" i="6"/>
  <c r="BO212" i="6"/>
  <c r="BN212" i="6"/>
  <c r="BM212" i="6"/>
  <c r="BR212" i="6"/>
  <c r="D213" i="6"/>
  <c r="A214" i="12"/>
  <c r="B214" i="6"/>
  <c r="B214" i="5"/>
  <c r="C215" i="5"/>
  <c r="N214" i="5"/>
  <c r="F214" i="5"/>
  <c r="E214" i="5"/>
  <c r="D214" i="5"/>
  <c r="B214" i="12" s="1"/>
  <c r="AE214" i="5"/>
  <c r="AD214" i="5"/>
  <c r="K214" i="5"/>
  <c r="J214" i="5"/>
  <c r="H214" i="5"/>
  <c r="G214" i="5"/>
  <c r="L213" i="12"/>
  <c r="J213" i="12"/>
  <c r="N212" i="6"/>
  <c r="M212" i="6"/>
  <c r="BH212" i="6" s="1"/>
  <c r="H212" i="6"/>
  <c r="T212" i="5" s="1"/>
  <c r="AU212" i="6" l="1"/>
  <c r="AV212" i="6"/>
  <c r="BA212" i="6"/>
  <c r="AW212" i="6"/>
  <c r="AX212" i="6"/>
  <c r="AY212" i="6"/>
  <c r="A213" i="6"/>
  <c r="M213" i="6" s="1"/>
  <c r="BV213" i="6" s="1"/>
  <c r="AZ212" i="6"/>
  <c r="AT212" i="6"/>
  <c r="K213" i="12"/>
  <c r="BI212" i="6"/>
  <c r="BY212" i="6"/>
  <c r="BZ212" i="6"/>
  <c r="AM212" i="6"/>
  <c r="AN212" i="6"/>
  <c r="BK212" i="6"/>
  <c r="L214" i="12"/>
  <c r="J214" i="12"/>
  <c r="AR212" i="6"/>
  <c r="BV212" i="6"/>
  <c r="CA212" i="6"/>
  <c r="AJ212" i="6"/>
  <c r="BW212" i="6"/>
  <c r="CB212" i="6"/>
  <c r="BJ212" i="6"/>
  <c r="BL212" i="6"/>
  <c r="G212" i="12"/>
  <c r="AO212" i="6"/>
  <c r="AP212" i="6"/>
  <c r="AL212" i="6"/>
  <c r="CC212" i="6"/>
  <c r="CD212" i="6"/>
  <c r="CE212" i="6"/>
  <c r="H213" i="6"/>
  <c r="T213" i="5" s="1"/>
  <c r="BF212" i="6"/>
  <c r="AK212" i="6"/>
  <c r="BX212" i="6"/>
  <c r="BD212" i="6"/>
  <c r="AQ212" i="6"/>
  <c r="BG212" i="6"/>
  <c r="BC212" i="6"/>
  <c r="A215" i="12"/>
  <c r="B215" i="6"/>
  <c r="K215" i="5"/>
  <c r="J215" i="5"/>
  <c r="F215" i="5"/>
  <c r="AE215" i="5"/>
  <c r="E215" i="5"/>
  <c r="AD215" i="5"/>
  <c r="D215" i="5"/>
  <c r="B215" i="12" s="1"/>
  <c r="B215" i="5"/>
  <c r="N215" i="5"/>
  <c r="H215" i="5"/>
  <c r="G215" i="5"/>
  <c r="C216" i="5"/>
  <c r="BE212" i="6"/>
  <c r="AS212" i="6"/>
  <c r="D214" i="6"/>
  <c r="BN213" i="6" l="1"/>
  <c r="CM213" i="6"/>
  <c r="CF213" i="6"/>
  <c r="CG213" i="6"/>
  <c r="CH213" i="6"/>
  <c r="A214" i="6"/>
  <c r="M214" i="6" s="1"/>
  <c r="BY214" i="6" s="1"/>
  <c r="BP213" i="6"/>
  <c r="CI213" i="6"/>
  <c r="BM213" i="6"/>
  <c r="CK213" i="6"/>
  <c r="BO213" i="6"/>
  <c r="CL213" i="6"/>
  <c r="BQ213" i="6"/>
  <c r="BR213" i="6"/>
  <c r="BS213" i="6"/>
  <c r="BT213" i="6"/>
  <c r="CJ213" i="6"/>
  <c r="BW213" i="6"/>
  <c r="BX213" i="6"/>
  <c r="BZ213" i="6"/>
  <c r="CC213" i="6"/>
  <c r="BG213" i="6"/>
  <c r="BY213" i="6"/>
  <c r="CB213" i="6"/>
  <c r="CE213" i="6"/>
  <c r="BC213" i="6"/>
  <c r="CA213" i="6"/>
  <c r="BD213" i="6"/>
  <c r="BE213" i="6"/>
  <c r="BI213" i="6"/>
  <c r="K214" i="12"/>
  <c r="L215" i="12"/>
  <c r="J215" i="12"/>
  <c r="H214" i="6"/>
  <c r="T214" i="5" s="1"/>
  <c r="BH213" i="6"/>
  <c r="G213" i="12"/>
  <c r="BJ213" i="6"/>
  <c r="BK213" i="6"/>
  <c r="D215" i="6"/>
  <c r="CD213" i="6"/>
  <c r="A216" i="12"/>
  <c r="B216" i="6"/>
  <c r="B216" i="5"/>
  <c r="C217" i="5"/>
  <c r="N216" i="5"/>
  <c r="K216" i="5"/>
  <c r="J216" i="5"/>
  <c r="E216" i="5"/>
  <c r="D216" i="5"/>
  <c r="B216" i="12" s="1"/>
  <c r="AE216" i="5"/>
  <c r="AD216" i="5"/>
  <c r="H216" i="5"/>
  <c r="G216" i="5"/>
  <c r="F216" i="5"/>
  <c r="BL213" i="6"/>
  <c r="BF213" i="6"/>
  <c r="A215" i="6" l="1"/>
  <c r="M215" i="6" s="1"/>
  <c r="BY215" i="6" s="1"/>
  <c r="BR214" i="6"/>
  <c r="CK214" i="6"/>
  <c r="BT214" i="6"/>
  <c r="CL214" i="6"/>
  <c r="BQ214" i="6"/>
  <c r="CM214" i="6"/>
  <c r="BS214" i="6"/>
  <c r="BM214" i="6"/>
  <c r="BO214" i="6"/>
  <c r="BP214" i="6"/>
  <c r="CH214" i="6"/>
  <c r="CF214" i="6"/>
  <c r="CG214" i="6"/>
  <c r="CI214" i="6"/>
  <c r="BN214" i="6"/>
  <c r="CJ214" i="6"/>
  <c r="K215" i="12"/>
  <c r="CB214" i="6"/>
  <c r="BZ214" i="6"/>
  <c r="CC214" i="6"/>
  <c r="CD214" i="6"/>
  <c r="BJ214" i="6"/>
  <c r="CE214" i="6"/>
  <c r="BK214" i="6"/>
  <c r="BH214" i="6"/>
  <c r="BG214" i="6"/>
  <c r="BI214" i="6"/>
  <c r="CA214" i="6"/>
  <c r="BL214" i="6"/>
  <c r="BV214" i="6"/>
  <c r="J216" i="12"/>
  <c r="L216" i="12"/>
  <c r="A217" i="12"/>
  <c r="B217" i="6"/>
  <c r="K217" i="5"/>
  <c r="J217" i="5"/>
  <c r="F217" i="5"/>
  <c r="AE217" i="5"/>
  <c r="E217" i="5"/>
  <c r="AD217" i="5"/>
  <c r="D217" i="5"/>
  <c r="B217" i="12" s="1"/>
  <c r="B217" i="5"/>
  <c r="N217" i="5"/>
  <c r="H217" i="5"/>
  <c r="G217" i="5"/>
  <c r="C218" i="5"/>
  <c r="BW214" i="6"/>
  <c r="G214" i="12"/>
  <c r="BC214" i="6"/>
  <c r="BD214" i="6"/>
  <c r="BX214" i="6"/>
  <c r="BE214" i="6"/>
  <c r="D216" i="6"/>
  <c r="H215" i="6"/>
  <c r="T215" i="5" s="1"/>
  <c r="BF214" i="6"/>
  <c r="BQ215" i="6" l="1"/>
  <c r="BS215" i="6"/>
  <c r="BT215" i="6"/>
  <c r="CF215" i="6"/>
  <c r="CI215" i="6"/>
  <c r="CL215" i="6"/>
  <c r="CJ215" i="6"/>
  <c r="BR215" i="6"/>
  <c r="CK215" i="6"/>
  <c r="BM215" i="6"/>
  <c r="CM215" i="6"/>
  <c r="BN215" i="6"/>
  <c r="CG215" i="6"/>
  <c r="A216" i="6"/>
  <c r="M216" i="6" s="1"/>
  <c r="CC216" i="6" s="1"/>
  <c r="BO215" i="6"/>
  <c r="CH215" i="6"/>
  <c r="BP215" i="6"/>
  <c r="BC215" i="6"/>
  <c r="BL215" i="6"/>
  <c r="CC215" i="6"/>
  <c r="BJ215" i="6"/>
  <c r="CE215" i="6"/>
  <c r="BI215" i="6"/>
  <c r="BX215" i="6"/>
  <c r="BD215" i="6"/>
  <c r="CB215" i="6"/>
  <c r="BE215" i="6"/>
  <c r="BW215" i="6"/>
  <c r="BG215" i="6"/>
  <c r="BF215" i="6"/>
  <c r="BH215" i="6"/>
  <c r="CD215" i="6"/>
  <c r="BK215" i="6"/>
  <c r="CA215" i="6"/>
  <c r="BZ215" i="6"/>
  <c r="D217" i="6"/>
  <c r="BV215" i="6"/>
  <c r="A218" i="12"/>
  <c r="B218" i="6"/>
  <c r="B218" i="5"/>
  <c r="C219" i="5"/>
  <c r="N218" i="5"/>
  <c r="K218" i="5"/>
  <c r="J218" i="5"/>
  <c r="H218" i="5"/>
  <c r="G218" i="5"/>
  <c r="F218" i="5"/>
  <c r="E218" i="5"/>
  <c r="D218" i="5"/>
  <c r="B218" i="12" s="1"/>
  <c r="AD218" i="5"/>
  <c r="AE218" i="5"/>
  <c r="G215" i="12"/>
  <c r="L217" i="12"/>
  <c r="J217" i="12"/>
  <c r="H216" i="6"/>
  <c r="T216" i="5" s="1"/>
  <c r="K216" i="12"/>
  <c r="CI216" i="6" l="1"/>
  <c r="BR216" i="6"/>
  <c r="CL216" i="6"/>
  <c r="BP216" i="6"/>
  <c r="BM216" i="6"/>
  <c r="BO216" i="6"/>
  <c r="CK216" i="6"/>
  <c r="BQ216" i="6"/>
  <c r="BS216" i="6"/>
  <c r="BT216" i="6"/>
  <c r="CJ216" i="6"/>
  <c r="CM216" i="6"/>
  <c r="A217" i="6"/>
  <c r="M217" i="6" s="1"/>
  <c r="CF216" i="6"/>
  <c r="CG216" i="6"/>
  <c r="BN216" i="6"/>
  <c r="CH216" i="6"/>
  <c r="BF216" i="6"/>
  <c r="H217" i="6"/>
  <c r="T217" i="5" s="1"/>
  <c r="BI216" i="6"/>
  <c r="BK216" i="6"/>
  <c r="BL216" i="6"/>
  <c r="BV216" i="6"/>
  <c r="CA216" i="6"/>
  <c r="BX216" i="6"/>
  <c r="BD216" i="6"/>
  <c r="BE216" i="6"/>
  <c r="BJ216" i="6"/>
  <c r="A219" i="12"/>
  <c r="B219" i="6"/>
  <c r="K219" i="5"/>
  <c r="J219" i="5"/>
  <c r="H219" i="5"/>
  <c r="F219" i="5"/>
  <c r="AE219" i="5"/>
  <c r="E219" i="5"/>
  <c r="AD219" i="5"/>
  <c r="D219" i="5"/>
  <c r="B219" i="12" s="1"/>
  <c r="B219" i="5"/>
  <c r="C220" i="5"/>
  <c r="N219" i="5"/>
  <c r="G219" i="5"/>
  <c r="D218" i="6"/>
  <c r="BC216" i="6"/>
  <c r="L218" i="12"/>
  <c r="J218" i="12"/>
  <c r="G216" i="12"/>
  <c r="BH216" i="6"/>
  <c r="BG216" i="6"/>
  <c r="K217" i="12"/>
  <c r="CB216" i="6"/>
  <c r="CD216" i="6"/>
  <c r="BZ216" i="6"/>
  <c r="BW216" i="6"/>
  <c r="BY216" i="6"/>
  <c r="CE216" i="6"/>
  <c r="CB217" i="6" l="1"/>
  <c r="BO217" i="6"/>
  <c r="BM217" i="6"/>
  <c r="BP217" i="6"/>
  <c r="A218" i="6"/>
  <c r="M218" i="6" s="1"/>
  <c r="BI218" i="6" s="1"/>
  <c r="CH217" i="6"/>
  <c r="CF217" i="6"/>
  <c r="CG217" i="6"/>
  <c r="CI217" i="6"/>
  <c r="BN217" i="6"/>
  <c r="CJ217" i="6"/>
  <c r="BR217" i="6"/>
  <c r="CK217" i="6"/>
  <c r="BT217" i="6"/>
  <c r="CL217" i="6"/>
  <c r="BQ217" i="6"/>
  <c r="CM217" i="6"/>
  <c r="BS217" i="6"/>
  <c r="K218" i="12"/>
  <c r="CC217" i="6"/>
  <c r="CD217" i="6"/>
  <c r="BD217" i="6"/>
  <c r="BG217" i="6"/>
  <c r="BF217" i="6"/>
  <c r="BH217" i="6"/>
  <c r="BJ217" i="6"/>
  <c r="BI217" i="6"/>
  <c r="H218" i="6"/>
  <c r="T218" i="5" s="1"/>
  <c r="BK217" i="6"/>
  <c r="G217" i="12"/>
  <c r="BV217" i="6"/>
  <c r="BW217" i="6"/>
  <c r="BZ217" i="6"/>
  <c r="CE217" i="6"/>
  <c r="D219" i="6"/>
  <c r="L219" i="12"/>
  <c r="J219" i="12"/>
  <c r="BX217" i="6"/>
  <c r="A220" i="12"/>
  <c r="B220" i="6"/>
  <c r="B220" i="5"/>
  <c r="N220" i="5"/>
  <c r="K220" i="5"/>
  <c r="H220" i="5"/>
  <c r="G220" i="5"/>
  <c r="F220" i="5"/>
  <c r="J220" i="5"/>
  <c r="D220" i="5"/>
  <c r="B220" i="12" s="1"/>
  <c r="AE220" i="5"/>
  <c r="AD220" i="5"/>
  <c r="E220" i="5"/>
  <c r="BC217" i="6"/>
  <c r="BY217" i="6"/>
  <c r="CA217" i="6"/>
  <c r="BE217" i="6"/>
  <c r="BL217" i="6"/>
  <c r="CL218" i="6" l="1"/>
  <c r="CF218" i="6"/>
  <c r="BR218" i="6"/>
  <c r="CI218" i="6"/>
  <c r="CJ218" i="6"/>
  <c r="CK218" i="6"/>
  <c r="BM218" i="6"/>
  <c r="CM218" i="6"/>
  <c r="BN218" i="6"/>
  <c r="CG218" i="6"/>
  <c r="BO218" i="6"/>
  <c r="CH218" i="6"/>
  <c r="BP218" i="6"/>
  <c r="BQ218" i="6"/>
  <c r="BS218" i="6"/>
  <c r="BT218" i="6"/>
  <c r="CC218" i="6"/>
  <c r="K219" i="12"/>
  <c r="BC218" i="6"/>
  <c r="BD218" i="6"/>
  <c r="BE218" i="6"/>
  <c r="BJ218" i="6"/>
  <c r="BK218" i="6"/>
  <c r="BL218" i="6"/>
  <c r="BV218" i="6"/>
  <c r="CA218" i="6"/>
  <c r="BF218" i="6"/>
  <c r="BG218" i="6"/>
  <c r="G218" i="12"/>
  <c r="BY218" i="6"/>
  <c r="H219" i="6"/>
  <c r="T219" i="5" s="1"/>
  <c r="CB218" i="6"/>
  <c r="D220" i="6"/>
  <c r="BX218" i="6"/>
  <c r="CD218" i="6"/>
  <c r="CE218" i="6"/>
  <c r="BW218" i="6"/>
  <c r="A219" i="6"/>
  <c r="M219" i="6" s="1"/>
  <c r="BT219" i="6" s="1"/>
  <c r="L220" i="12"/>
  <c r="J220" i="12"/>
  <c r="BH218" i="6"/>
  <c r="BZ218" i="6"/>
  <c r="CJ219" i="6" l="1"/>
  <c r="BN219" i="6"/>
  <c r="CM219" i="6"/>
  <c r="CF219" i="6"/>
  <c r="CG219" i="6"/>
  <c r="CH219" i="6"/>
  <c r="BP219" i="6"/>
  <c r="CI219" i="6"/>
  <c r="BM219" i="6"/>
  <c r="CK219" i="6"/>
  <c r="BO219" i="6"/>
  <c r="CL219" i="6"/>
  <c r="BQ219" i="6"/>
  <c r="BR219" i="6"/>
  <c r="BS219" i="6"/>
  <c r="C221" i="5"/>
  <c r="A220" i="6"/>
  <c r="K220" i="12"/>
  <c r="BC219" i="6"/>
  <c r="BV219" i="6"/>
  <c r="BK219" i="6"/>
  <c r="BI219" i="6"/>
  <c r="CC219" i="6"/>
  <c r="BJ219" i="6"/>
  <c r="BY219" i="6"/>
  <c r="BW219" i="6"/>
  <c r="BL219" i="6"/>
  <c r="BZ219" i="6"/>
  <c r="CD219" i="6"/>
  <c r="BX219" i="6"/>
  <c r="BH219" i="6"/>
  <c r="BE219" i="6"/>
  <c r="CA219" i="6"/>
  <c r="BD219" i="6"/>
  <c r="BG219" i="6"/>
  <c r="BF219" i="6"/>
  <c r="CE219" i="6"/>
  <c r="CB219" i="6"/>
  <c r="H220" i="6"/>
  <c r="T220" i="5" s="1"/>
  <c r="G219" i="12"/>
  <c r="A221" i="12" l="1"/>
  <c r="H221" i="5"/>
  <c r="B221" i="5"/>
  <c r="B221" i="6"/>
  <c r="AE221" i="5"/>
  <c r="AD221" i="5"/>
  <c r="G221" i="5"/>
  <c r="F221" i="5"/>
  <c r="E221" i="5"/>
  <c r="C222" i="5"/>
  <c r="W221" i="5"/>
  <c r="H221" i="12" s="1"/>
  <c r="N221" i="5"/>
  <c r="M220" i="6"/>
  <c r="G220" i="12"/>
  <c r="BW220" i="6" l="1"/>
  <c r="CM220" i="6"/>
  <c r="BQ220" i="6"/>
  <c r="CL220" i="6"/>
  <c r="BT220" i="6"/>
  <c r="CK220" i="6"/>
  <c r="BR220" i="6"/>
  <c r="CJ220" i="6"/>
  <c r="BN220" i="6"/>
  <c r="CI220" i="6"/>
  <c r="CG220" i="6"/>
  <c r="CF220" i="6"/>
  <c r="CH220" i="6"/>
  <c r="BP220" i="6"/>
  <c r="BO220" i="6"/>
  <c r="BM220" i="6"/>
  <c r="BS220" i="6"/>
  <c r="D221" i="6"/>
  <c r="E221" i="12"/>
  <c r="F221" i="6"/>
  <c r="A222" i="12"/>
  <c r="B222" i="5"/>
  <c r="B222" i="6"/>
  <c r="H222" i="5"/>
  <c r="AD222" i="5"/>
  <c r="J222" i="5"/>
  <c r="G222" i="5"/>
  <c r="F222" i="5"/>
  <c r="E222" i="5"/>
  <c r="C223" i="5"/>
  <c r="D222" i="5"/>
  <c r="B222" i="12" s="1"/>
  <c r="N222" i="5"/>
  <c r="AE222" i="5"/>
  <c r="K222" i="5"/>
  <c r="BG220" i="6"/>
  <c r="BJ220" i="6"/>
  <c r="BZ220" i="6"/>
  <c r="CE220" i="6"/>
  <c r="BE220" i="6"/>
  <c r="CB220" i="6"/>
  <c r="BV220" i="6"/>
  <c r="BY220" i="6"/>
  <c r="CC220" i="6"/>
  <c r="BI220" i="6"/>
  <c r="BF220" i="6"/>
  <c r="BK220" i="6"/>
  <c r="BC220" i="6"/>
  <c r="BL220" i="6"/>
  <c r="BH220" i="6"/>
  <c r="BX220" i="6"/>
  <c r="CD220" i="6"/>
  <c r="CA220" i="6"/>
  <c r="BD220" i="6"/>
  <c r="A221" i="6" l="1"/>
  <c r="CL221" i="6"/>
  <c r="CK221" i="6"/>
  <c r="CI221" i="6"/>
  <c r="CH221" i="6"/>
  <c r="CG221" i="6"/>
  <c r="CF221" i="6"/>
  <c r="CM221" i="6"/>
  <c r="CJ221" i="6"/>
  <c r="BT221" i="6"/>
  <c r="BS221" i="6"/>
  <c r="BR221" i="6"/>
  <c r="BQ221" i="6"/>
  <c r="BO221" i="6"/>
  <c r="BM221" i="6"/>
  <c r="BP221" i="6"/>
  <c r="BN221" i="6"/>
  <c r="L222" i="12"/>
  <c r="J222" i="12"/>
  <c r="D222" i="6"/>
  <c r="N221" i="6"/>
  <c r="H221" i="6"/>
  <c r="T221" i="5" s="1"/>
  <c r="G221" i="12" s="1"/>
  <c r="G221" i="6"/>
  <c r="M221" i="6"/>
  <c r="BE221" i="6" s="1"/>
  <c r="A223" i="12"/>
  <c r="H223" i="5"/>
  <c r="B223" i="6"/>
  <c r="B223" i="5"/>
  <c r="G223" i="5"/>
  <c r="F223" i="5"/>
  <c r="E223" i="5"/>
  <c r="C224" i="5"/>
  <c r="D223" i="5"/>
  <c r="B223" i="12" s="1"/>
  <c r="N223" i="5"/>
  <c r="AE223" i="5"/>
  <c r="K223" i="5"/>
  <c r="AD223" i="5"/>
  <c r="J223" i="5"/>
  <c r="AV221" i="6" l="1"/>
  <c r="AW221" i="6"/>
  <c r="AX221" i="6"/>
  <c r="AY221" i="6"/>
  <c r="A222" i="6"/>
  <c r="M222" i="6" s="1"/>
  <c r="BX222" i="6" s="1"/>
  <c r="AZ221" i="6"/>
  <c r="BA221" i="6"/>
  <c r="AT221" i="6"/>
  <c r="AU221" i="6"/>
  <c r="K222" i="12"/>
  <c r="BZ221" i="6"/>
  <c r="BF221" i="6"/>
  <c r="BX221" i="6"/>
  <c r="CB221" i="6"/>
  <c r="AR221" i="6"/>
  <c r="CE221" i="6"/>
  <c r="BH221" i="6"/>
  <c r="BL221" i="6"/>
  <c r="L223" i="12"/>
  <c r="J223" i="12"/>
  <c r="AK221" i="6"/>
  <c r="H222" i="6"/>
  <c r="T222" i="5" s="1"/>
  <c r="G222" i="12" s="1"/>
  <c r="AM221" i="6"/>
  <c r="BV221" i="6"/>
  <c r="CA221" i="6"/>
  <c r="CC221" i="6"/>
  <c r="AS221" i="6"/>
  <c r="AN221" i="6"/>
  <c r="BW221" i="6"/>
  <c r="D223" i="6"/>
  <c r="AL221" i="6"/>
  <c r="BI221" i="6"/>
  <c r="AO221" i="6"/>
  <c r="CD221" i="6"/>
  <c r="BD221" i="6"/>
  <c r="BC221" i="6"/>
  <c r="AP221" i="6"/>
  <c r="BY221" i="6"/>
  <c r="BG221" i="6"/>
  <c r="BK221" i="6"/>
  <c r="AJ221" i="6"/>
  <c r="A224" i="12"/>
  <c r="B224" i="5"/>
  <c r="H224" i="5"/>
  <c r="B224" i="6"/>
  <c r="G224" i="5"/>
  <c r="F224" i="5"/>
  <c r="E224" i="5"/>
  <c r="C225" i="5"/>
  <c r="D224" i="5"/>
  <c r="B224" i="12" s="1"/>
  <c r="N224" i="5"/>
  <c r="AE224" i="5"/>
  <c r="K224" i="5"/>
  <c r="AD224" i="5"/>
  <c r="J224" i="5"/>
  <c r="BJ221" i="6"/>
  <c r="AQ221" i="6"/>
  <c r="K176" i="5"/>
  <c r="K169" i="5"/>
  <c r="K152" i="5"/>
  <c r="K134" i="5"/>
  <c r="K126" i="5"/>
  <c r="K121" i="5"/>
  <c r="K114" i="5"/>
  <c r="K110" i="5"/>
  <c r="K103" i="5"/>
  <c r="K101" i="5"/>
  <c r="K89" i="5"/>
  <c r="K81" i="5"/>
  <c r="K74" i="5"/>
  <c r="K63" i="5"/>
  <c r="K57" i="5"/>
  <c r="K47" i="5"/>
  <c r="K40" i="5"/>
  <c r="K37" i="5"/>
  <c r="K19" i="5"/>
  <c r="K17" i="5"/>
  <c r="N222" i="6" l="1"/>
  <c r="CF222" i="6"/>
  <c r="CG222" i="6"/>
  <c r="CI222" i="6"/>
  <c r="BN222" i="6"/>
  <c r="CJ222" i="6"/>
  <c r="A223" i="6"/>
  <c r="N223" i="6" s="1"/>
  <c r="BR222" i="6"/>
  <c r="CK222" i="6"/>
  <c r="BT222" i="6"/>
  <c r="CL222" i="6"/>
  <c r="BQ222" i="6"/>
  <c r="CM222" i="6"/>
  <c r="BS222" i="6"/>
  <c r="BM222" i="6"/>
  <c r="BO222" i="6"/>
  <c r="BP222" i="6"/>
  <c r="CH222" i="6"/>
  <c r="A225" i="12"/>
  <c r="H225" i="5"/>
  <c r="B225" i="5"/>
  <c r="F225" i="5"/>
  <c r="B225" i="6"/>
  <c r="E225" i="5"/>
  <c r="C226" i="5"/>
  <c r="D225" i="5"/>
  <c r="B225" i="12" s="1"/>
  <c r="N225" i="5"/>
  <c r="G225" i="5"/>
  <c r="AE225" i="5"/>
  <c r="K225" i="5"/>
  <c r="AD225" i="5"/>
  <c r="J225" i="5"/>
  <c r="L224" i="12"/>
  <c r="J224" i="12"/>
  <c r="CA222" i="6"/>
  <c r="BH222" i="6"/>
  <c r="BV222" i="6"/>
  <c r="CC222" i="6"/>
  <c r="BD222" i="6"/>
  <c r="BI222" i="6"/>
  <c r="BW222" i="6"/>
  <c r="BY222" i="6"/>
  <c r="CD222" i="6"/>
  <c r="BE222" i="6"/>
  <c r="BJ222" i="6"/>
  <c r="BZ222" i="6"/>
  <c r="CE222" i="6"/>
  <c r="K223" i="12"/>
  <c r="D224" i="6"/>
  <c r="BC222" i="6"/>
  <c r="BF222" i="6"/>
  <c r="BG222" i="6"/>
  <c r="BL222" i="6"/>
  <c r="H223" i="6"/>
  <c r="T223" i="5" s="1"/>
  <c r="G223" i="12" s="1"/>
  <c r="BK222" i="6"/>
  <c r="CB222" i="6"/>
  <c r="M223" i="6" l="1"/>
  <c r="BF223" i="6" s="1"/>
  <c r="A224" i="6"/>
  <c r="M224" i="6" s="1"/>
  <c r="BE224" i="6" s="1"/>
  <c r="H224" i="6"/>
  <c r="T224" i="5" s="1"/>
  <c r="G224" i="12" s="1"/>
  <c r="D225" i="6"/>
  <c r="K224" i="12"/>
  <c r="L225" i="12"/>
  <c r="J225" i="12"/>
  <c r="A226" i="12"/>
  <c r="B226" i="5"/>
  <c r="H226" i="5"/>
  <c r="E226" i="5"/>
  <c r="C227" i="5"/>
  <c r="D226" i="5"/>
  <c r="B226" i="12" s="1"/>
  <c r="N226" i="5"/>
  <c r="AE226" i="5"/>
  <c r="K226" i="5"/>
  <c r="AD226" i="5"/>
  <c r="J226" i="5"/>
  <c r="B226" i="6"/>
  <c r="G226" i="5"/>
  <c r="F226" i="5"/>
  <c r="BE223" i="6" l="1"/>
  <c r="BH223" i="6"/>
  <c r="BT223" i="6"/>
  <c r="CL223" i="6"/>
  <c r="BV223" i="6"/>
  <c r="BP223" i="6"/>
  <c r="CH223" i="6"/>
  <c r="BI223" i="6"/>
  <c r="CK223" i="6"/>
  <c r="BO223" i="6"/>
  <c r="BJ223" i="6"/>
  <c r="BS223" i="6"/>
  <c r="CA223" i="6"/>
  <c r="BY223" i="6"/>
  <c r="BD223" i="6"/>
  <c r="BR223" i="6"/>
  <c r="CG223" i="6"/>
  <c r="BK223" i="6"/>
  <c r="N224" i="6"/>
  <c r="CD223" i="6"/>
  <c r="CE223" i="6"/>
  <c r="CB223" i="6"/>
  <c r="CJ223" i="6"/>
  <c r="BN223" i="6"/>
  <c r="BZ223" i="6"/>
  <c r="CC223" i="6"/>
  <c r="CI223" i="6"/>
  <c r="CM223" i="6"/>
  <c r="BW223" i="6"/>
  <c r="BC223" i="6"/>
  <c r="BQ223" i="6"/>
  <c r="BG223" i="6"/>
  <c r="BL223" i="6"/>
  <c r="BX223" i="6"/>
  <c r="CF223" i="6"/>
  <c r="BM223" i="6"/>
  <c r="BP224" i="6"/>
  <c r="CI224" i="6"/>
  <c r="BM224" i="6"/>
  <c r="CK224" i="6"/>
  <c r="BO224" i="6"/>
  <c r="CL224" i="6"/>
  <c r="BQ224" i="6"/>
  <c r="BR224" i="6"/>
  <c r="A225" i="6"/>
  <c r="M225" i="6" s="1"/>
  <c r="BS224" i="6"/>
  <c r="BT224" i="6"/>
  <c r="CJ224" i="6"/>
  <c r="CM224" i="6"/>
  <c r="BN224" i="6"/>
  <c r="CF224" i="6"/>
  <c r="CG224" i="6"/>
  <c r="CH224" i="6"/>
  <c r="BC224" i="6"/>
  <c r="BL224" i="6"/>
  <c r="BZ224" i="6"/>
  <c r="BH224" i="6"/>
  <c r="J226" i="12"/>
  <c r="L226" i="12"/>
  <c r="BX224" i="6"/>
  <c r="D226" i="6"/>
  <c r="BJ224" i="6"/>
  <c r="BF224" i="6"/>
  <c r="CC224" i="6"/>
  <c r="CA224" i="6"/>
  <c r="BG224" i="6"/>
  <c r="CB224" i="6"/>
  <c r="A227" i="12"/>
  <c r="H227" i="5"/>
  <c r="B227" i="6"/>
  <c r="B227" i="5"/>
  <c r="C228" i="5"/>
  <c r="D227" i="5"/>
  <c r="B227" i="12" s="1"/>
  <c r="N227" i="5"/>
  <c r="AE227" i="5"/>
  <c r="K227" i="5"/>
  <c r="AD227" i="5"/>
  <c r="J227" i="5"/>
  <c r="G227" i="5"/>
  <c r="F227" i="5"/>
  <c r="E227" i="5"/>
  <c r="K225" i="12"/>
  <c r="BV224" i="6"/>
  <c r="CE224" i="6"/>
  <c r="BI224" i="6"/>
  <c r="CD224" i="6"/>
  <c r="BW224" i="6"/>
  <c r="BD224" i="6"/>
  <c r="BK224" i="6"/>
  <c r="H225" i="6"/>
  <c r="T225" i="5" s="1"/>
  <c r="G225" i="12" s="1"/>
  <c r="BY224" i="6"/>
  <c r="BG225" i="6" l="1"/>
  <c r="BM225" i="6"/>
  <c r="N225" i="6"/>
  <c r="BS225" i="6"/>
  <c r="BQ225" i="6"/>
  <c r="CM225" i="6"/>
  <c r="A226" i="6"/>
  <c r="M226" i="6" s="1"/>
  <c r="CF226" i="6" s="1"/>
  <c r="BO225" i="6"/>
  <c r="BP225" i="6"/>
  <c r="CH225" i="6"/>
  <c r="CF225" i="6"/>
  <c r="CG225" i="6"/>
  <c r="CI225" i="6"/>
  <c r="BN225" i="6"/>
  <c r="CJ225" i="6"/>
  <c r="BR225" i="6"/>
  <c r="CK225" i="6"/>
  <c r="BT225" i="6"/>
  <c r="CL225" i="6"/>
  <c r="BJ225" i="6"/>
  <c r="BL225" i="6"/>
  <c r="BV225" i="6"/>
  <c r="CA225" i="6"/>
  <c r="CC225" i="6"/>
  <c r="BH225" i="6"/>
  <c r="BI225" i="6"/>
  <c r="BK225" i="6"/>
  <c r="BX225" i="6"/>
  <c r="K226" i="12"/>
  <c r="CB225" i="6"/>
  <c r="BY225" i="6"/>
  <c r="BW225" i="6"/>
  <c r="BC225" i="6"/>
  <c r="CD225" i="6"/>
  <c r="BE225" i="6"/>
  <c r="CE225" i="6"/>
  <c r="BZ225" i="6"/>
  <c r="BD225" i="6"/>
  <c r="BF225" i="6"/>
  <c r="A228" i="12"/>
  <c r="B228" i="5"/>
  <c r="B228" i="6"/>
  <c r="H228" i="5"/>
  <c r="N228" i="5"/>
  <c r="AE228" i="5"/>
  <c r="K228" i="5"/>
  <c r="AD228" i="5"/>
  <c r="J228" i="5"/>
  <c r="G228" i="5"/>
  <c r="D228" i="5"/>
  <c r="B228" i="12" s="1"/>
  <c r="F228" i="5"/>
  <c r="C229" i="5"/>
  <c r="E228" i="5"/>
  <c r="L227" i="12"/>
  <c r="J227" i="12"/>
  <c r="H226" i="6"/>
  <c r="T226" i="5" s="1"/>
  <c r="G226" i="12" s="1"/>
  <c r="D227" i="6"/>
  <c r="N226" i="6" l="1"/>
  <c r="CI226" i="6"/>
  <c r="CL226" i="6"/>
  <c r="CJ226" i="6"/>
  <c r="BR226" i="6"/>
  <c r="CK226" i="6"/>
  <c r="BM226" i="6"/>
  <c r="CM226" i="6"/>
  <c r="BN226" i="6"/>
  <c r="CG226" i="6"/>
  <c r="BO226" i="6"/>
  <c r="CH226" i="6"/>
  <c r="BP226" i="6"/>
  <c r="BQ226" i="6"/>
  <c r="A227" i="6"/>
  <c r="M227" i="6" s="1"/>
  <c r="BS226" i="6"/>
  <c r="BT226" i="6"/>
  <c r="BX226" i="6"/>
  <c r="BW226" i="6"/>
  <c r="BD226" i="6"/>
  <c r="K227" i="12"/>
  <c r="BI226" i="6"/>
  <c r="CB226" i="6"/>
  <c r="BK226" i="6"/>
  <c r="BE226" i="6"/>
  <c r="BY226" i="6"/>
  <c r="BJ226" i="6"/>
  <c r="CA226" i="6"/>
  <c r="CE226" i="6"/>
  <c r="CC226" i="6"/>
  <c r="BF226" i="6"/>
  <c r="BH226" i="6"/>
  <c r="H227" i="6"/>
  <c r="T227" i="5" s="1"/>
  <c r="G227" i="12" s="1"/>
  <c r="BL226" i="6"/>
  <c r="CD226" i="6"/>
  <c r="L228" i="12"/>
  <c r="J228" i="12"/>
  <c r="BV226" i="6"/>
  <c r="BZ226" i="6"/>
  <c r="BC226" i="6"/>
  <c r="A229" i="12"/>
  <c r="H229" i="5"/>
  <c r="B229" i="5"/>
  <c r="B229" i="6"/>
  <c r="N229" i="5"/>
  <c r="AE229" i="5"/>
  <c r="K229" i="5"/>
  <c r="AD229" i="5"/>
  <c r="J229" i="5"/>
  <c r="G229" i="5"/>
  <c r="F229" i="5"/>
  <c r="E229" i="5"/>
  <c r="D229" i="5"/>
  <c r="B229" i="12" s="1"/>
  <c r="D228" i="6"/>
  <c r="BG226" i="6"/>
  <c r="N227" i="6" l="1"/>
  <c r="BK227" i="6"/>
  <c r="BR227" i="6"/>
  <c r="BO227" i="6"/>
  <c r="BM227" i="6"/>
  <c r="BP227" i="6"/>
  <c r="BN227" i="6"/>
  <c r="CL227" i="6"/>
  <c r="CK227" i="6"/>
  <c r="CI227" i="6"/>
  <c r="CG227" i="6"/>
  <c r="CH227" i="6"/>
  <c r="BQ227" i="6"/>
  <c r="BS227" i="6"/>
  <c r="BT227" i="6"/>
  <c r="A228" i="6"/>
  <c r="N228" i="6" s="1"/>
  <c r="CJ227" i="6"/>
  <c r="CM227" i="6"/>
  <c r="CF227" i="6"/>
  <c r="BE227" i="6"/>
  <c r="BW227" i="6"/>
  <c r="CC227" i="6"/>
  <c r="CE227" i="6"/>
  <c r="BD227" i="6"/>
  <c r="BH227" i="6"/>
  <c r="BI227" i="6"/>
  <c r="CD227" i="6"/>
  <c r="BJ227" i="6"/>
  <c r="CB227" i="6"/>
  <c r="BV227" i="6"/>
  <c r="BX227" i="6"/>
  <c r="BF227" i="6"/>
  <c r="BY227" i="6"/>
  <c r="CA227" i="6"/>
  <c r="BZ227" i="6"/>
  <c r="BG227" i="6"/>
  <c r="BL227" i="6"/>
  <c r="L229" i="12"/>
  <c r="J229" i="12"/>
  <c r="H228" i="6"/>
  <c r="T228" i="5" s="1"/>
  <c r="G228" i="12" s="1"/>
  <c r="D229" i="6"/>
  <c r="K228" i="12"/>
  <c r="BC227" i="6"/>
  <c r="M228" i="6" l="1"/>
  <c r="CB228" i="6" s="1"/>
  <c r="A229" i="6"/>
  <c r="M229" i="6" s="1"/>
  <c r="BV229" i="6" s="1"/>
  <c r="H229" i="6"/>
  <c r="T229" i="5" s="1"/>
  <c r="G229" i="12" s="1"/>
  <c r="K229" i="12"/>
  <c r="C230" i="5"/>
  <c r="N229" i="6" l="1"/>
  <c r="BP228" i="6"/>
  <c r="BZ228" i="6"/>
  <c r="BF228" i="6"/>
  <c r="CF228" i="6"/>
  <c r="BH228" i="6"/>
  <c r="CM228" i="6"/>
  <c r="BM228" i="6"/>
  <c r="CC228" i="6"/>
  <c r="BJ228" i="6"/>
  <c r="BI228" i="6"/>
  <c r="BD228" i="6"/>
  <c r="BQ228" i="6"/>
  <c r="BN228" i="6"/>
  <c r="CL228" i="6"/>
  <c r="BW228" i="6"/>
  <c r="BX228" i="6"/>
  <c r="BG228" i="6"/>
  <c r="BV228" i="6"/>
  <c r="CI228" i="6"/>
  <c r="BT228" i="6"/>
  <c r="CE228" i="6"/>
  <c r="CH228" i="6"/>
  <c r="BO228" i="6"/>
  <c r="BS228" i="6"/>
  <c r="BY228" i="6"/>
  <c r="BK228" i="6"/>
  <c r="CJ228" i="6"/>
  <c r="CA228" i="6"/>
  <c r="BL228" i="6"/>
  <c r="CG228" i="6"/>
  <c r="CK228" i="6"/>
  <c r="BE228" i="6"/>
  <c r="CD228" i="6"/>
  <c r="BC228" i="6"/>
  <c r="BR228" i="6"/>
  <c r="BN229" i="6"/>
  <c r="BQ229" i="6"/>
  <c r="CJ229" i="6"/>
  <c r="CK229" i="6"/>
  <c r="CM229" i="6"/>
  <c r="BR229" i="6"/>
  <c r="BM229" i="6"/>
  <c r="CG229" i="6"/>
  <c r="BO229" i="6"/>
  <c r="CH229" i="6"/>
  <c r="BP229" i="6"/>
  <c r="BS229" i="6"/>
  <c r="BT229" i="6"/>
  <c r="CL229" i="6"/>
  <c r="CF229" i="6"/>
  <c r="CI229" i="6"/>
  <c r="BH229" i="6"/>
  <c r="CB229" i="6"/>
  <c r="BI229" i="6"/>
  <c r="BW229" i="6"/>
  <c r="BC229" i="6"/>
  <c r="BL229" i="6"/>
  <c r="BG229" i="6"/>
  <c r="BX229" i="6"/>
  <c r="BE229" i="6"/>
  <c r="BZ229" i="6"/>
  <c r="BY229" i="6"/>
  <c r="BJ229" i="6"/>
  <c r="CE229" i="6"/>
  <c r="BF229" i="6"/>
  <c r="CC229" i="6"/>
  <c r="CA229" i="6"/>
  <c r="BK229" i="6"/>
  <c r="CD229" i="6"/>
  <c r="A230" i="12"/>
  <c r="B230" i="5"/>
  <c r="H230" i="5"/>
  <c r="AE230" i="5"/>
  <c r="AD230" i="5"/>
  <c r="B230" i="6"/>
  <c r="G230" i="5"/>
  <c r="F230" i="5"/>
  <c r="E230" i="5"/>
  <c r="C231" i="5"/>
  <c r="N230" i="5"/>
  <c r="BD229" i="6"/>
  <c r="W230" i="5" l="1"/>
  <c r="H230" i="12" s="1"/>
  <c r="E230" i="12"/>
  <c r="F230" i="6"/>
  <c r="B231" i="6"/>
  <c r="A231" i="12"/>
  <c r="H231" i="5"/>
  <c r="B231" i="5"/>
  <c r="AE231" i="5"/>
  <c r="N231" i="5"/>
  <c r="K231" i="5"/>
  <c r="J231" i="5"/>
  <c r="AD231" i="5"/>
  <c r="G231" i="5"/>
  <c r="F231" i="5"/>
  <c r="E231" i="5"/>
  <c r="D231" i="5"/>
  <c r="B231" i="12" s="1"/>
  <c r="C232" i="5"/>
  <c r="D230" i="6"/>
  <c r="A230" i="6" l="1"/>
  <c r="CL230" i="6"/>
  <c r="CK230" i="6"/>
  <c r="CI230" i="6"/>
  <c r="CH230" i="6"/>
  <c r="CG230" i="6"/>
  <c r="CF230" i="6"/>
  <c r="CM230" i="6"/>
  <c r="CJ230" i="6"/>
  <c r="BT230" i="6"/>
  <c r="BS230" i="6"/>
  <c r="BR230" i="6"/>
  <c r="BQ230" i="6"/>
  <c r="BO230" i="6"/>
  <c r="BM230" i="6"/>
  <c r="BP230" i="6"/>
  <c r="BN230" i="6"/>
  <c r="L231" i="12"/>
  <c r="J231" i="12"/>
  <c r="A232" i="12"/>
  <c r="B232" i="6"/>
  <c r="B232" i="5"/>
  <c r="H232" i="5"/>
  <c r="G232" i="5"/>
  <c r="N232" i="5"/>
  <c r="K232" i="5"/>
  <c r="J232" i="5"/>
  <c r="AE232" i="5"/>
  <c r="AD232" i="5"/>
  <c r="F232" i="5"/>
  <c r="E232" i="5"/>
  <c r="D232" i="5"/>
  <c r="B232" i="12" s="1"/>
  <c r="N230" i="6"/>
  <c r="M230" i="6"/>
  <c r="H230" i="6"/>
  <c r="T230" i="5" s="1"/>
  <c r="G230" i="12" s="1"/>
  <c r="G230" i="6"/>
  <c r="D231" i="6"/>
  <c r="AY230" i="6" l="1"/>
  <c r="AX230" i="6"/>
  <c r="BA230" i="6"/>
  <c r="AZ230" i="6"/>
  <c r="AT230" i="6"/>
  <c r="AV230" i="6"/>
  <c r="AU230" i="6"/>
  <c r="A231" i="6"/>
  <c r="N231" i="6" s="1"/>
  <c r="AW230" i="6"/>
  <c r="BZ230" i="6"/>
  <c r="BW230" i="6"/>
  <c r="AM230" i="6"/>
  <c r="BI230" i="6"/>
  <c r="BC230" i="6"/>
  <c r="AO230" i="6"/>
  <c r="BJ230" i="6"/>
  <c r="BX230" i="6"/>
  <c r="BF230" i="6"/>
  <c r="AP230" i="6"/>
  <c r="CA230" i="6"/>
  <c r="CC230" i="6"/>
  <c r="CD230" i="6"/>
  <c r="BD230" i="6"/>
  <c r="CE230" i="6"/>
  <c r="AQ230" i="6"/>
  <c r="AS230" i="6"/>
  <c r="H231" i="6"/>
  <c r="T231" i="5" s="1"/>
  <c r="G231" i="12" s="1"/>
  <c r="D232" i="6"/>
  <c r="BH230" i="6"/>
  <c r="BK230" i="6"/>
  <c r="AL230" i="6"/>
  <c r="BL230" i="6"/>
  <c r="BY230" i="6"/>
  <c r="K231" i="12"/>
  <c r="BG230" i="6"/>
  <c r="AJ230" i="6"/>
  <c r="CB230" i="6"/>
  <c r="AR230" i="6"/>
  <c r="BE230" i="6"/>
  <c r="AN230" i="6"/>
  <c r="BV230" i="6"/>
  <c r="AK230" i="6"/>
  <c r="L232" i="12"/>
  <c r="J232" i="12"/>
  <c r="M231" i="6" l="1"/>
  <c r="CE231" i="6" s="1"/>
  <c r="A232" i="6"/>
  <c r="N232" i="6" s="1"/>
  <c r="K232" i="12"/>
  <c r="H232" i="6"/>
  <c r="T232" i="5" s="1"/>
  <c r="G232" i="12" s="1"/>
  <c r="C233" i="5"/>
  <c r="BT231" i="6" l="1"/>
  <c r="BK231" i="6"/>
  <c r="BE231" i="6"/>
  <c r="BW231" i="6"/>
  <c r="BI231" i="6"/>
  <c r="BG231" i="6"/>
  <c r="BQ231" i="6"/>
  <c r="BS231" i="6"/>
  <c r="BX231" i="6"/>
  <c r="CI231" i="6"/>
  <c r="CG231" i="6"/>
  <c r="CD231" i="6"/>
  <c r="CL231" i="6"/>
  <c r="BY231" i="6"/>
  <c r="CJ231" i="6"/>
  <c r="CA231" i="6"/>
  <c r="BN231" i="6"/>
  <c r="CH231" i="6"/>
  <c r="BD231" i="6"/>
  <c r="BO231" i="6"/>
  <c r="BJ231" i="6"/>
  <c r="CF231" i="6"/>
  <c r="CM231" i="6"/>
  <c r="BZ231" i="6"/>
  <c r="BV231" i="6"/>
  <c r="CK231" i="6"/>
  <c r="CC231" i="6"/>
  <c r="BH231" i="6"/>
  <c r="BC231" i="6"/>
  <c r="BL231" i="6"/>
  <c r="BR231" i="6"/>
  <c r="BF231" i="6"/>
  <c r="CB231" i="6"/>
  <c r="BM231" i="6"/>
  <c r="BP231" i="6"/>
  <c r="M232" i="6"/>
  <c r="BJ232" i="6" s="1"/>
  <c r="B233" i="6"/>
  <c r="A233" i="12"/>
  <c r="H233" i="5"/>
  <c r="W233" i="5"/>
  <c r="H233" i="12" s="1"/>
  <c r="F233" i="5"/>
  <c r="B233" i="5"/>
  <c r="AE233" i="5"/>
  <c r="N233" i="5"/>
  <c r="C234" i="5"/>
  <c r="G233" i="5"/>
  <c r="E233" i="5"/>
  <c r="AD233" i="5"/>
  <c r="BC232" i="6" l="1"/>
  <c r="CA232" i="6"/>
  <c r="BL232" i="6"/>
  <c r="BK232" i="6"/>
  <c r="BF232" i="6"/>
  <c r="CD232" i="6"/>
  <c r="BZ232" i="6"/>
  <c r="BH232" i="6"/>
  <c r="BD232" i="6"/>
  <c r="BY232" i="6"/>
  <c r="CE232" i="6"/>
  <c r="CB232" i="6"/>
  <c r="BV232" i="6"/>
  <c r="CC232" i="6"/>
  <c r="CG232" i="6"/>
  <c r="BO232" i="6"/>
  <c r="CM232" i="6"/>
  <c r="BN232" i="6"/>
  <c r="CK232" i="6"/>
  <c r="BM232" i="6"/>
  <c r="CJ232" i="6"/>
  <c r="CL232" i="6"/>
  <c r="CI232" i="6"/>
  <c r="CF232" i="6"/>
  <c r="BT232" i="6"/>
  <c r="BS232" i="6"/>
  <c r="BR232" i="6"/>
  <c r="BQ232" i="6"/>
  <c r="CH232" i="6"/>
  <c r="BP232" i="6"/>
  <c r="BE232" i="6"/>
  <c r="BX232" i="6"/>
  <c r="BI232" i="6"/>
  <c r="BG232" i="6"/>
  <c r="BW232" i="6"/>
  <c r="A234" i="12"/>
  <c r="B234" i="5"/>
  <c r="AE234" i="5"/>
  <c r="N234" i="5"/>
  <c r="AD234" i="5"/>
  <c r="B234" i="6"/>
  <c r="J234" i="5"/>
  <c r="H234" i="5"/>
  <c r="G234" i="5"/>
  <c r="E234" i="5"/>
  <c r="D234" i="5"/>
  <c r="B234" i="12" s="1"/>
  <c r="K234" i="5"/>
  <c r="F234" i="5"/>
  <c r="C235" i="5"/>
  <c r="E233" i="12"/>
  <c r="F233" i="6"/>
  <c r="D233" i="6"/>
  <c r="A233" i="6" l="1"/>
  <c r="CL233" i="6"/>
  <c r="CK233" i="6"/>
  <c r="CI233" i="6"/>
  <c r="CH233" i="6"/>
  <c r="CG233" i="6"/>
  <c r="CF233" i="6"/>
  <c r="CM233" i="6"/>
  <c r="CJ233" i="6"/>
  <c r="BT233" i="6"/>
  <c r="BS233" i="6"/>
  <c r="BR233" i="6"/>
  <c r="BQ233" i="6"/>
  <c r="BP233" i="6"/>
  <c r="BO233" i="6"/>
  <c r="BM233" i="6"/>
  <c r="BN233" i="6"/>
  <c r="N233" i="6"/>
  <c r="M233" i="6"/>
  <c r="BI233" i="6" s="1"/>
  <c r="H233" i="6"/>
  <c r="T233" i="5" s="1"/>
  <c r="G233" i="12" s="1"/>
  <c r="G233" i="6"/>
  <c r="D234" i="6"/>
  <c r="J234" i="12"/>
  <c r="L234" i="12"/>
  <c r="J235" i="5"/>
  <c r="A235" i="12"/>
  <c r="C236" i="5"/>
  <c r="B235" i="6"/>
  <c r="H235" i="5"/>
  <c r="E235" i="5"/>
  <c r="G235" i="5"/>
  <c r="F235" i="5"/>
  <c r="AD235" i="5"/>
  <c r="D235" i="5"/>
  <c r="B235" i="12" s="1"/>
  <c r="B235" i="5"/>
  <c r="AE235" i="5"/>
  <c r="N235" i="5"/>
  <c r="K235" i="5"/>
  <c r="AX233" i="6" l="1"/>
  <c r="AY233" i="6"/>
  <c r="BA233" i="6"/>
  <c r="AZ233" i="6"/>
  <c r="AT233" i="6"/>
  <c r="AU233" i="6"/>
  <c r="AV233" i="6"/>
  <c r="A234" i="6"/>
  <c r="N234" i="6" s="1"/>
  <c r="AW233" i="6"/>
  <c r="BV233" i="6"/>
  <c r="BZ233" i="6"/>
  <c r="CD233" i="6"/>
  <c r="AK233" i="6"/>
  <c r="AO233" i="6"/>
  <c r="AS233" i="6"/>
  <c r="BF233" i="6"/>
  <c r="BJ233" i="6"/>
  <c r="H234" i="6"/>
  <c r="T234" i="5" s="1"/>
  <c r="G234" i="12" s="1"/>
  <c r="BW233" i="6"/>
  <c r="CA233" i="6"/>
  <c r="CE233" i="6"/>
  <c r="AL233" i="6"/>
  <c r="BC233" i="6"/>
  <c r="BG233" i="6"/>
  <c r="AQ233" i="6"/>
  <c r="BX233" i="6"/>
  <c r="CB233" i="6"/>
  <c r="BL233" i="6"/>
  <c r="AM233" i="6"/>
  <c r="AP233" i="6"/>
  <c r="BD233" i="6"/>
  <c r="BH233" i="6"/>
  <c r="BK233" i="6"/>
  <c r="BY233" i="6"/>
  <c r="CC233" i="6"/>
  <c r="D235" i="6"/>
  <c r="B236" i="6"/>
  <c r="K236" i="5"/>
  <c r="B236" i="5"/>
  <c r="J236" i="5"/>
  <c r="AD236" i="5"/>
  <c r="E236" i="5"/>
  <c r="H236" i="5"/>
  <c r="AE236" i="5"/>
  <c r="N236" i="5"/>
  <c r="G236" i="5"/>
  <c r="A236" i="12"/>
  <c r="F236" i="5"/>
  <c r="D236" i="5"/>
  <c r="B236" i="12" s="1"/>
  <c r="AJ233" i="6"/>
  <c r="AN233" i="6"/>
  <c r="J235" i="12"/>
  <c r="L235" i="12"/>
  <c r="K234" i="12"/>
  <c r="AR233" i="6"/>
  <c r="BE233" i="6"/>
  <c r="M234" i="6" l="1"/>
  <c r="CA234" i="6" s="1"/>
  <c r="A235" i="6"/>
  <c r="N235" i="6" s="1"/>
  <c r="K235" i="12"/>
  <c r="J236" i="12"/>
  <c r="L236" i="12"/>
  <c r="D236" i="6"/>
  <c r="H235" i="6"/>
  <c r="T235" i="5" s="1"/>
  <c r="G235" i="12" s="1"/>
  <c r="C237" i="5"/>
  <c r="CK234" i="6" l="1"/>
  <c r="BC234" i="6"/>
  <c r="BR234" i="6"/>
  <c r="BQ234" i="6"/>
  <c r="BK234" i="6"/>
  <c r="CI234" i="6"/>
  <c r="CB234" i="6"/>
  <c r="BE234" i="6"/>
  <c r="BH234" i="6"/>
  <c r="CG234" i="6"/>
  <c r="CJ234" i="6"/>
  <c r="BY234" i="6"/>
  <c r="BD234" i="6"/>
  <c r="BM234" i="6"/>
  <c r="CF234" i="6"/>
  <c r="BL234" i="6"/>
  <c r="BG234" i="6"/>
  <c r="BW234" i="6"/>
  <c r="CD234" i="6"/>
  <c r="CM234" i="6"/>
  <c r="CH234" i="6"/>
  <c r="BV234" i="6"/>
  <c r="CC234" i="6"/>
  <c r="BF234" i="6"/>
  <c r="CE234" i="6"/>
  <c r="BT234" i="6"/>
  <c r="BP234" i="6"/>
  <c r="BJ234" i="6"/>
  <c r="CL234" i="6"/>
  <c r="BO234" i="6"/>
  <c r="BI234" i="6"/>
  <c r="BZ234" i="6"/>
  <c r="BX234" i="6"/>
  <c r="BS234" i="6"/>
  <c r="BN234" i="6"/>
  <c r="M235" i="6"/>
  <c r="CD235" i="6" s="1"/>
  <c r="A236" i="6"/>
  <c r="N236" i="6" s="1"/>
  <c r="K236" i="12"/>
  <c r="H236" i="6"/>
  <c r="T236" i="5" s="1"/>
  <c r="G236" i="12" s="1"/>
  <c r="N237" i="5"/>
  <c r="G237" i="5"/>
  <c r="AE237" i="5"/>
  <c r="F237" i="5"/>
  <c r="AD237" i="5"/>
  <c r="E237" i="5"/>
  <c r="C238" i="5"/>
  <c r="A237" i="12"/>
  <c r="B237" i="6"/>
  <c r="B237" i="5"/>
  <c r="H237" i="5"/>
  <c r="BJ235" i="6" l="1"/>
  <c r="CE235" i="6"/>
  <c r="BS235" i="6"/>
  <c r="BC235" i="6"/>
  <c r="CB235" i="6"/>
  <c r="CH235" i="6"/>
  <c r="BT235" i="6"/>
  <c r="BP235" i="6"/>
  <c r="BK235" i="6"/>
  <c r="BZ235" i="6"/>
  <c r="BE235" i="6"/>
  <c r="BH235" i="6"/>
  <c r="CG235" i="6"/>
  <c r="BW235" i="6"/>
  <c r="BI235" i="6"/>
  <c r="BL235" i="6"/>
  <c r="BG235" i="6"/>
  <c r="BV235" i="6"/>
  <c r="BO235" i="6"/>
  <c r="BF235" i="6"/>
  <c r="BR235" i="6"/>
  <c r="BQ235" i="6"/>
  <c r="CI235" i="6"/>
  <c r="CM235" i="6"/>
  <c r="CA235" i="6"/>
  <c r="CF235" i="6"/>
  <c r="BN235" i="6"/>
  <c r="CC235" i="6"/>
  <c r="BD235" i="6"/>
  <c r="BX235" i="6"/>
  <c r="BY235" i="6"/>
  <c r="CL235" i="6"/>
  <c r="CK235" i="6"/>
  <c r="BM235" i="6"/>
  <c r="CJ235" i="6"/>
  <c r="M236" i="6"/>
  <c r="CM236" i="6" s="1"/>
  <c r="W237" i="5"/>
  <c r="H237" i="12" s="1"/>
  <c r="E237" i="12"/>
  <c r="F237" i="6"/>
  <c r="D237" i="6"/>
  <c r="E238" i="5"/>
  <c r="C239" i="5"/>
  <c r="D238" i="5"/>
  <c r="B238" i="12" s="1"/>
  <c r="F238" i="5"/>
  <c r="G238" i="5"/>
  <c r="B238" i="5"/>
  <c r="AE238" i="5"/>
  <c r="N238" i="5"/>
  <c r="A238" i="12"/>
  <c r="AD238" i="5"/>
  <c r="K238" i="5"/>
  <c r="J238" i="5"/>
  <c r="B238" i="6"/>
  <c r="H238" i="5"/>
  <c r="BV236" i="6" l="1"/>
  <c r="CC236" i="6"/>
  <c r="BK236" i="6"/>
  <c r="BE236" i="6"/>
  <c r="BZ236" i="6"/>
  <c r="BW236" i="6"/>
  <c r="BI236" i="6"/>
  <c r="BC236" i="6"/>
  <c r="BN236" i="6"/>
  <c r="BX236" i="6"/>
  <c r="BD236" i="6"/>
  <c r="BJ236" i="6"/>
  <c r="BY236" i="6"/>
  <c r="CE236" i="6"/>
  <c r="CJ236" i="6"/>
  <c r="BT236" i="6"/>
  <c r="BH236" i="6"/>
  <c r="BS236" i="6"/>
  <c r="BL236" i="6"/>
  <c r="CA236" i="6"/>
  <c r="BR236" i="6"/>
  <c r="BQ236" i="6"/>
  <c r="BG236" i="6"/>
  <c r="CL236" i="6"/>
  <c r="BP236" i="6"/>
  <c r="CK236" i="6"/>
  <c r="CH236" i="6"/>
  <c r="CI236" i="6"/>
  <c r="CB236" i="6"/>
  <c r="CG236" i="6"/>
  <c r="BF236" i="6"/>
  <c r="CF236" i="6"/>
  <c r="CD236" i="6"/>
  <c r="BO236" i="6"/>
  <c r="BM236" i="6"/>
  <c r="A237" i="6"/>
  <c r="CM237" i="6"/>
  <c r="CL237" i="6"/>
  <c r="CK237" i="6"/>
  <c r="CJ237" i="6"/>
  <c r="CI237" i="6"/>
  <c r="CG237" i="6"/>
  <c r="CF237" i="6"/>
  <c r="CH237" i="6"/>
  <c r="BP237" i="6"/>
  <c r="BO237" i="6"/>
  <c r="BN237" i="6"/>
  <c r="BM237" i="6"/>
  <c r="BT237" i="6"/>
  <c r="BS237" i="6"/>
  <c r="BQ237" i="6"/>
  <c r="BR237" i="6"/>
  <c r="N237" i="6"/>
  <c r="H237" i="6"/>
  <c r="T237" i="5" s="1"/>
  <c r="G237" i="12" s="1"/>
  <c r="M237" i="6"/>
  <c r="CD237" i="6" s="1"/>
  <c r="G237" i="6"/>
  <c r="J238" i="12"/>
  <c r="L238" i="12"/>
  <c r="D238" i="6"/>
  <c r="J239" i="5"/>
  <c r="AD239" i="5"/>
  <c r="F239" i="5"/>
  <c r="C240" i="5"/>
  <c r="H239" i="5"/>
  <c r="N239" i="5"/>
  <c r="G239" i="5"/>
  <c r="E239" i="5"/>
  <c r="D239" i="5"/>
  <c r="B239" i="12" s="1"/>
  <c r="A239" i="12"/>
  <c r="AE239" i="5"/>
  <c r="B239" i="6"/>
  <c r="K239" i="5"/>
  <c r="B239" i="5"/>
  <c r="AY237" i="6" l="1"/>
  <c r="AW237" i="6"/>
  <c r="AX237" i="6"/>
  <c r="AZ237" i="6"/>
  <c r="AT237" i="6"/>
  <c r="AU237" i="6"/>
  <c r="AV237" i="6"/>
  <c r="A238" i="6"/>
  <c r="M238" i="6" s="1"/>
  <c r="BA237" i="6"/>
  <c r="K238" i="12"/>
  <c r="BL237" i="6"/>
  <c r="BX237" i="6"/>
  <c r="BJ237" i="6"/>
  <c r="BG237" i="6"/>
  <c r="CE237" i="6"/>
  <c r="BK237" i="6"/>
  <c r="AP237" i="6"/>
  <c r="BI237" i="6"/>
  <c r="BH237" i="6"/>
  <c r="BC237" i="6"/>
  <c r="CA237" i="6"/>
  <c r="AR237" i="6"/>
  <c r="CC237" i="6"/>
  <c r="AM237" i="6"/>
  <c r="AO237" i="6"/>
  <c r="BY237" i="6"/>
  <c r="AS237" i="6"/>
  <c r="CB237" i="6"/>
  <c r="AN237" i="6"/>
  <c r="AJ237" i="6"/>
  <c r="BW237" i="6"/>
  <c r="BF237" i="6"/>
  <c r="AK237" i="6"/>
  <c r="AL237" i="6"/>
  <c r="H238" i="6"/>
  <c r="T238" i="5" s="1"/>
  <c r="G238" i="12" s="1"/>
  <c r="D239" i="6"/>
  <c r="E240" i="5"/>
  <c r="D240" i="5"/>
  <c r="B240" i="12" s="1"/>
  <c r="F240" i="5"/>
  <c r="AE240" i="5"/>
  <c r="B240" i="5"/>
  <c r="AD240" i="5"/>
  <c r="J240" i="5"/>
  <c r="N240" i="5"/>
  <c r="G240" i="5"/>
  <c r="K240" i="5"/>
  <c r="A240" i="12"/>
  <c r="C241" i="5"/>
  <c r="H240" i="5"/>
  <c r="B240" i="6"/>
  <c r="AQ237" i="6"/>
  <c r="BV237" i="6"/>
  <c r="L239" i="12"/>
  <c r="J239" i="12"/>
  <c r="BD237" i="6"/>
  <c r="BE237" i="6"/>
  <c r="BZ237" i="6"/>
  <c r="N238" i="6" l="1"/>
  <c r="BJ238" i="6"/>
  <c r="CL238" i="6"/>
  <c r="CI238" i="6"/>
  <c r="CF238" i="6"/>
  <c r="BT238" i="6"/>
  <c r="BS238" i="6"/>
  <c r="BR238" i="6"/>
  <c r="CJ238" i="6"/>
  <c r="A239" i="6"/>
  <c r="M239" i="6" s="1"/>
  <c r="BL239" i="6" s="1"/>
  <c r="BM238" i="6"/>
  <c r="CK238" i="6"/>
  <c r="BN238" i="6"/>
  <c r="CM238" i="6"/>
  <c r="BO238" i="6"/>
  <c r="CG238" i="6"/>
  <c r="BP238" i="6"/>
  <c r="CH238" i="6"/>
  <c r="BQ238" i="6"/>
  <c r="BD238" i="6"/>
  <c r="BC238" i="6"/>
  <c r="CA238" i="6"/>
  <c r="CD238" i="6"/>
  <c r="BG238" i="6"/>
  <c r="BX238" i="6"/>
  <c r="BH238" i="6"/>
  <c r="CE238" i="6"/>
  <c r="BV238" i="6"/>
  <c r="CC238" i="6"/>
  <c r="CB238" i="6"/>
  <c r="BI238" i="6"/>
  <c r="BY238" i="6"/>
  <c r="BE238" i="6"/>
  <c r="BL238" i="6"/>
  <c r="J240" i="12"/>
  <c r="L240" i="12"/>
  <c r="H239" i="6"/>
  <c r="T239" i="5" s="1"/>
  <c r="G239" i="12" s="1"/>
  <c r="D240" i="6"/>
  <c r="AD241" i="5"/>
  <c r="AE241" i="5"/>
  <c r="B241" i="5"/>
  <c r="K241" i="5"/>
  <c r="N241" i="5"/>
  <c r="B241" i="6"/>
  <c r="J241" i="5"/>
  <c r="H241" i="5"/>
  <c r="C242" i="5"/>
  <c r="G241" i="5"/>
  <c r="F241" i="5"/>
  <c r="E241" i="5"/>
  <c r="A241" i="12"/>
  <c r="D241" i="5"/>
  <c r="B241" i="12" s="1"/>
  <c r="BK238" i="6"/>
  <c r="K239" i="12"/>
  <c r="BW238" i="6"/>
  <c r="BZ238" i="6"/>
  <c r="BF238" i="6"/>
  <c r="N239" i="6" l="1"/>
  <c r="BN239" i="6"/>
  <c r="BM239" i="6"/>
  <c r="CF239" i="6"/>
  <c r="CG239" i="6"/>
  <c r="CH239" i="6"/>
  <c r="CI239" i="6"/>
  <c r="BO239" i="6"/>
  <c r="CK239" i="6"/>
  <c r="BP239" i="6"/>
  <c r="CL239" i="6"/>
  <c r="BQ239" i="6"/>
  <c r="BR239" i="6"/>
  <c r="BS239" i="6"/>
  <c r="A240" i="6"/>
  <c r="M240" i="6" s="1"/>
  <c r="BV240" i="6" s="1"/>
  <c r="BT239" i="6"/>
  <c r="CJ239" i="6"/>
  <c r="CM239" i="6"/>
  <c r="K240" i="12"/>
  <c r="BX239" i="6"/>
  <c r="BF239" i="6"/>
  <c r="BC239" i="6"/>
  <c r="BD239" i="6"/>
  <c r="BI239" i="6"/>
  <c r="BZ239" i="6"/>
  <c r="BH239" i="6"/>
  <c r="BW239" i="6"/>
  <c r="J242" i="5"/>
  <c r="F242" i="5"/>
  <c r="A242" i="12"/>
  <c r="N242" i="5"/>
  <c r="AE242" i="5"/>
  <c r="K242" i="5"/>
  <c r="AD242" i="5"/>
  <c r="B242" i="6"/>
  <c r="H242" i="5"/>
  <c r="C243" i="5"/>
  <c r="G242" i="5"/>
  <c r="E242" i="5"/>
  <c r="D242" i="5"/>
  <c r="B242" i="12" s="1"/>
  <c r="B242" i="5"/>
  <c r="CE239" i="6"/>
  <c r="D241" i="6"/>
  <c r="BV239" i="6"/>
  <c r="BE239" i="6"/>
  <c r="CB239" i="6"/>
  <c r="BJ239" i="6"/>
  <c r="L241" i="12"/>
  <c r="J241" i="12"/>
  <c r="CA239" i="6"/>
  <c r="BK239" i="6"/>
  <c r="CD239" i="6"/>
  <c r="CC239" i="6"/>
  <c r="BY239" i="6"/>
  <c r="H240" i="6"/>
  <c r="T240" i="5" s="1"/>
  <c r="G240" i="12" s="1"/>
  <c r="BG239" i="6"/>
  <c r="N240" i="6" l="1"/>
  <c r="BO240" i="6"/>
  <c r="BP240" i="6"/>
  <c r="CH240" i="6"/>
  <c r="CF240" i="6"/>
  <c r="CG240" i="6"/>
  <c r="CI240" i="6"/>
  <c r="BR240" i="6"/>
  <c r="CJ240" i="6"/>
  <c r="BQ240" i="6"/>
  <c r="CK240" i="6"/>
  <c r="BS240" i="6"/>
  <c r="CL240" i="6"/>
  <c r="BT240" i="6"/>
  <c r="CM240" i="6"/>
  <c r="BM240" i="6"/>
  <c r="A241" i="6"/>
  <c r="M241" i="6" s="1"/>
  <c r="BV241" i="6" s="1"/>
  <c r="BN240" i="6"/>
  <c r="CB240" i="6"/>
  <c r="CE240" i="6"/>
  <c r="BK240" i="6"/>
  <c r="BJ240" i="6"/>
  <c r="CD240" i="6"/>
  <c r="BW240" i="6"/>
  <c r="BD240" i="6"/>
  <c r="BG240" i="6"/>
  <c r="BI240" i="6"/>
  <c r="BZ240" i="6"/>
  <c r="BF240" i="6"/>
  <c r="K241" i="12"/>
  <c r="BL240" i="6"/>
  <c r="CA240" i="6"/>
  <c r="BY240" i="6"/>
  <c r="BC240" i="6"/>
  <c r="BH240" i="6"/>
  <c r="BX240" i="6"/>
  <c r="D242" i="6"/>
  <c r="L242" i="12"/>
  <c r="J242" i="12"/>
  <c r="H241" i="6"/>
  <c r="T241" i="5" s="1"/>
  <c r="G241" i="12" s="1"/>
  <c r="K243" i="5"/>
  <c r="AE243" i="5"/>
  <c r="J243" i="5"/>
  <c r="G243" i="5"/>
  <c r="A243" i="12"/>
  <c r="H243" i="5"/>
  <c r="AD243" i="5"/>
  <c r="C244" i="5"/>
  <c r="B243" i="6"/>
  <c r="E243" i="5"/>
  <c r="D243" i="5"/>
  <c r="B243" i="12" s="1"/>
  <c r="F243" i="5"/>
  <c r="B243" i="5"/>
  <c r="N243" i="5"/>
  <c r="BE240" i="6"/>
  <c r="CC240" i="6"/>
  <c r="N241" i="6" l="1"/>
  <c r="BP241" i="6"/>
  <c r="CH241" i="6"/>
  <c r="BQ241" i="6"/>
  <c r="BR241" i="6"/>
  <c r="BS241" i="6"/>
  <c r="A242" i="6"/>
  <c r="N242" i="6" s="1"/>
  <c r="BT241" i="6"/>
  <c r="CL241" i="6"/>
  <c r="CF241" i="6"/>
  <c r="CI241" i="6"/>
  <c r="CJ241" i="6"/>
  <c r="BM241" i="6"/>
  <c r="CK241" i="6"/>
  <c r="BN241" i="6"/>
  <c r="CM241" i="6"/>
  <c r="BO241" i="6"/>
  <c r="CG241" i="6"/>
  <c r="CA241" i="6"/>
  <c r="BH241" i="6"/>
  <c r="BJ241" i="6"/>
  <c r="BG241" i="6"/>
  <c r="BE241" i="6"/>
  <c r="BC241" i="6"/>
  <c r="CC241" i="6"/>
  <c r="BY241" i="6"/>
  <c r="BI241" i="6"/>
  <c r="BZ241" i="6"/>
  <c r="BD241" i="6"/>
  <c r="BX241" i="6"/>
  <c r="BW241" i="6"/>
  <c r="BL241" i="6"/>
  <c r="CD241" i="6"/>
  <c r="K242" i="12"/>
  <c r="B244" i="6"/>
  <c r="E244" i="5"/>
  <c r="AD244" i="5"/>
  <c r="B244" i="5"/>
  <c r="J244" i="5"/>
  <c r="D244" i="5"/>
  <c r="B244" i="12" s="1"/>
  <c r="A244" i="12"/>
  <c r="G244" i="5"/>
  <c r="N244" i="5"/>
  <c r="K244" i="5"/>
  <c r="AE244" i="5"/>
  <c r="F244" i="5"/>
  <c r="H244" i="5"/>
  <c r="J243" i="12"/>
  <c r="L243" i="12"/>
  <c r="D243" i="6"/>
  <c r="CB241" i="6"/>
  <c r="CE241" i="6"/>
  <c r="BF241" i="6"/>
  <c r="BK241" i="6"/>
  <c r="H242" i="6"/>
  <c r="T242" i="5" s="1"/>
  <c r="G242" i="12" s="1"/>
  <c r="M242" i="6" l="1"/>
  <c r="CE242" i="6" s="1"/>
  <c r="A243" i="6"/>
  <c r="M243" i="6" s="1"/>
  <c r="BW243" i="6" s="1"/>
  <c r="K243" i="12"/>
  <c r="D244" i="6"/>
  <c r="J244" i="12"/>
  <c r="L244" i="12"/>
  <c r="H243" i="6"/>
  <c r="T243" i="5" s="1"/>
  <c r="G243" i="12" s="1"/>
  <c r="CJ242" i="6" l="1"/>
  <c r="BR242" i="6"/>
  <c r="CC242" i="6"/>
  <c r="BQ242" i="6"/>
  <c r="CM242" i="6"/>
  <c r="BF242" i="6"/>
  <c r="CL242" i="6"/>
  <c r="BD242" i="6"/>
  <c r="BY242" i="6"/>
  <c r="BC242" i="6"/>
  <c r="CB242" i="6"/>
  <c r="CH242" i="6"/>
  <c r="BP242" i="6"/>
  <c r="BG242" i="6"/>
  <c r="BW242" i="6"/>
  <c r="BS242" i="6"/>
  <c r="BV242" i="6"/>
  <c r="BK242" i="6"/>
  <c r="CA242" i="6"/>
  <c r="BE242" i="6"/>
  <c r="BN242" i="6"/>
  <c r="CK242" i="6"/>
  <c r="BT242" i="6"/>
  <c r="BH242" i="6"/>
  <c r="CD242" i="6"/>
  <c r="BL242" i="6"/>
  <c r="BZ242" i="6"/>
  <c r="CG242" i="6"/>
  <c r="BO242" i="6"/>
  <c r="CI242" i="6"/>
  <c r="BI242" i="6"/>
  <c r="BJ242" i="6"/>
  <c r="BX242" i="6"/>
  <c r="CF242" i="6"/>
  <c r="BM242" i="6"/>
  <c r="N243" i="6"/>
  <c r="BQ243" i="6"/>
  <c r="CK243" i="6"/>
  <c r="BS243" i="6"/>
  <c r="CL243" i="6"/>
  <c r="BT243" i="6"/>
  <c r="CM243" i="6"/>
  <c r="BM243" i="6"/>
  <c r="BN243" i="6"/>
  <c r="BO243" i="6"/>
  <c r="BP243" i="6"/>
  <c r="CH243" i="6"/>
  <c r="CF243" i="6"/>
  <c r="CG243" i="6"/>
  <c r="A244" i="6"/>
  <c r="N244" i="6" s="1"/>
  <c r="CI243" i="6"/>
  <c r="BR243" i="6"/>
  <c r="CJ243" i="6"/>
  <c r="K244" i="12"/>
  <c r="BH243" i="6"/>
  <c r="BV243" i="6"/>
  <c r="BC243" i="6"/>
  <c r="BZ243" i="6"/>
  <c r="BY243" i="6"/>
  <c r="CC243" i="6"/>
  <c r="BD243" i="6"/>
  <c r="CB243" i="6"/>
  <c r="CA243" i="6"/>
  <c r="H244" i="6"/>
  <c r="T244" i="5" s="1"/>
  <c r="G244" i="12" s="1"/>
  <c r="BG243" i="6"/>
  <c r="BJ243" i="6"/>
  <c r="CE243" i="6"/>
  <c r="BE243" i="6"/>
  <c r="C245" i="5"/>
  <c r="BI243" i="6"/>
  <c r="BL243" i="6"/>
  <c r="CD243" i="6"/>
  <c r="BX243" i="6"/>
  <c r="BF243" i="6"/>
  <c r="BK243" i="6"/>
  <c r="M244" i="6" l="1"/>
  <c r="BM244" i="6" s="1"/>
  <c r="G245" i="5"/>
  <c r="E245" i="5"/>
  <c r="B245" i="6"/>
  <c r="A245" i="12"/>
  <c r="C246" i="5"/>
  <c r="AE245" i="5"/>
  <c r="AD245" i="5"/>
  <c r="B245" i="5"/>
  <c r="N245" i="5"/>
  <c r="F245" i="5"/>
  <c r="H245" i="5"/>
  <c r="CF244" i="6" l="1"/>
  <c r="BD244" i="6"/>
  <c r="CD244" i="6"/>
  <c r="BR244" i="6"/>
  <c r="BQ244" i="6"/>
  <c r="CC244" i="6"/>
  <c r="CH244" i="6"/>
  <c r="BV244" i="6"/>
  <c r="BO244" i="6"/>
  <c r="BS244" i="6"/>
  <c r="BX244" i="6"/>
  <c r="BK244" i="6"/>
  <c r="CG244" i="6"/>
  <c r="BJ244" i="6"/>
  <c r="BE244" i="6"/>
  <c r="CE244" i="6"/>
  <c r="BN244" i="6"/>
  <c r="BI244" i="6"/>
  <c r="BT244" i="6"/>
  <c r="CJ244" i="6"/>
  <c r="CK244" i="6"/>
  <c r="CI244" i="6"/>
  <c r="BZ244" i="6"/>
  <c r="BY244" i="6"/>
  <c r="BF244" i="6"/>
  <c r="CB244" i="6"/>
  <c r="BH244" i="6"/>
  <c r="BC244" i="6"/>
  <c r="CA244" i="6"/>
  <c r="BW244" i="6"/>
  <c r="BL244" i="6"/>
  <c r="CL244" i="6"/>
  <c r="BG244" i="6"/>
  <c r="BP244" i="6"/>
  <c r="CM244" i="6"/>
  <c r="W245" i="5"/>
  <c r="H245" i="12" s="1"/>
  <c r="B246" i="6"/>
  <c r="G246" i="5"/>
  <c r="K246" i="5"/>
  <c r="J246" i="5"/>
  <c r="AE246" i="5"/>
  <c r="F246" i="5"/>
  <c r="AD246" i="5"/>
  <c r="A246" i="12"/>
  <c r="E246" i="5"/>
  <c r="H246" i="5"/>
  <c r="N246" i="5"/>
  <c r="D246" i="5"/>
  <c r="B246" i="12" s="1"/>
  <c r="B246" i="5"/>
  <c r="D245" i="6"/>
  <c r="E245" i="12"/>
  <c r="F245" i="6"/>
  <c r="A245" i="6" l="1"/>
  <c r="CL245" i="6"/>
  <c r="CK245" i="6"/>
  <c r="CJ245" i="6"/>
  <c r="CI245" i="6"/>
  <c r="CH245" i="6"/>
  <c r="CG245" i="6"/>
  <c r="CF245" i="6"/>
  <c r="CM245" i="6"/>
  <c r="BP245" i="6"/>
  <c r="BO245" i="6"/>
  <c r="BN245" i="6"/>
  <c r="BM245" i="6"/>
  <c r="BT245" i="6"/>
  <c r="BS245" i="6"/>
  <c r="BQ245" i="6"/>
  <c r="BR245" i="6"/>
  <c r="N245" i="6"/>
  <c r="G245" i="6"/>
  <c r="H245" i="6"/>
  <c r="T245" i="5" s="1"/>
  <c r="G245" i="12" s="1"/>
  <c r="M245" i="6"/>
  <c r="CD245" i="6" s="1"/>
  <c r="D246" i="6"/>
  <c r="L246" i="12"/>
  <c r="J246" i="12"/>
  <c r="AZ245" i="6" l="1"/>
  <c r="BA245" i="6"/>
  <c r="AT245" i="6"/>
  <c r="AU245" i="6"/>
  <c r="AV245" i="6"/>
  <c r="AW245" i="6"/>
  <c r="A246" i="6"/>
  <c r="M246" i="6" s="1"/>
  <c r="BV246" i="6" s="1"/>
  <c r="AX245" i="6"/>
  <c r="AY245" i="6"/>
  <c r="K246" i="12"/>
  <c r="AO245" i="6"/>
  <c r="AL245" i="6"/>
  <c r="AQ245" i="6"/>
  <c r="BL245" i="6"/>
  <c r="BV245" i="6"/>
  <c r="BE245" i="6"/>
  <c r="BJ245" i="6"/>
  <c r="BY245" i="6"/>
  <c r="BI245" i="6"/>
  <c r="CA245" i="6"/>
  <c r="C247" i="5"/>
  <c r="BH245" i="6"/>
  <c r="BW245" i="6"/>
  <c r="BX245" i="6"/>
  <c r="H246" i="6"/>
  <c r="T246" i="5" s="1"/>
  <c r="G246" i="12" s="1"/>
  <c r="AP245" i="6"/>
  <c r="BZ245" i="6"/>
  <c r="BK245" i="6"/>
  <c r="AK245" i="6"/>
  <c r="AJ245" i="6"/>
  <c r="CC245" i="6"/>
  <c r="BC245" i="6"/>
  <c r="AN245" i="6"/>
  <c r="BG245" i="6"/>
  <c r="AM245" i="6"/>
  <c r="BF245" i="6"/>
  <c r="CE245" i="6"/>
  <c r="BD245" i="6"/>
  <c r="AS245" i="6"/>
  <c r="AR245" i="6"/>
  <c r="CB245" i="6"/>
  <c r="N246" i="6" l="1"/>
  <c r="CJ246" i="6"/>
  <c r="BO246" i="6"/>
  <c r="CG246" i="6"/>
  <c r="BP246" i="6"/>
  <c r="CH246" i="6"/>
  <c r="BN246" i="6"/>
  <c r="BQ246" i="6"/>
  <c r="BR246" i="6"/>
  <c r="BS246" i="6"/>
  <c r="BM246" i="6"/>
  <c r="CM246" i="6"/>
  <c r="BT246" i="6"/>
  <c r="CI246" i="6"/>
  <c r="CK246" i="6"/>
  <c r="CL246" i="6"/>
  <c r="CF246" i="6"/>
  <c r="BH246" i="6"/>
  <c r="BY246" i="6"/>
  <c r="BK246" i="6"/>
  <c r="BE246" i="6"/>
  <c r="BZ246" i="6"/>
  <c r="CD246" i="6"/>
  <c r="BD246" i="6"/>
  <c r="CC246" i="6"/>
  <c r="F247" i="5"/>
  <c r="AE247" i="5"/>
  <c r="N247" i="5"/>
  <c r="C248" i="5"/>
  <c r="G247" i="5"/>
  <c r="A247" i="12"/>
  <c r="E247" i="5"/>
  <c r="AD247" i="5"/>
  <c r="B247" i="5"/>
  <c r="B247" i="6"/>
  <c r="H247" i="5"/>
  <c r="BI246" i="6"/>
  <c r="BW246" i="6"/>
  <c r="BX246" i="6"/>
  <c r="CB246" i="6"/>
  <c r="CE246" i="6"/>
  <c r="CA246" i="6"/>
  <c r="BF246" i="6"/>
  <c r="BG246" i="6"/>
  <c r="BL246" i="6"/>
  <c r="BC246" i="6"/>
  <c r="BJ246" i="6"/>
  <c r="W247" i="5" l="1"/>
  <c r="H247" i="12" s="1"/>
  <c r="E247" i="12"/>
  <c r="F247" i="6"/>
  <c r="E248" i="5"/>
  <c r="C249" i="5"/>
  <c r="N248" i="5"/>
  <c r="G248" i="5"/>
  <c r="A248" i="12"/>
  <c r="B248" i="5"/>
  <c r="J248" i="5"/>
  <c r="F248" i="5"/>
  <c r="AE248" i="5"/>
  <c r="K248" i="5"/>
  <c r="B248" i="6"/>
  <c r="D248" i="5"/>
  <c r="B248" i="12" s="1"/>
  <c r="H248" i="5"/>
  <c r="AD248" i="5"/>
  <c r="D247" i="6"/>
  <c r="A247" i="6" l="1"/>
  <c r="CL247" i="6"/>
  <c r="CK247" i="6"/>
  <c r="CJ247" i="6"/>
  <c r="CI247" i="6"/>
  <c r="CM247" i="6"/>
  <c r="CH247" i="6"/>
  <c r="CG247" i="6"/>
  <c r="CF247" i="6"/>
  <c r="BP247" i="6"/>
  <c r="BO247" i="6"/>
  <c r="BN247" i="6"/>
  <c r="BM247" i="6"/>
  <c r="BT247" i="6"/>
  <c r="BS247" i="6"/>
  <c r="BQ247" i="6"/>
  <c r="BR247" i="6"/>
  <c r="D248" i="6"/>
  <c r="J248" i="12"/>
  <c r="L248" i="12"/>
  <c r="B249" i="6"/>
  <c r="B249" i="5"/>
  <c r="C250" i="5"/>
  <c r="K249" i="5"/>
  <c r="D249" i="5"/>
  <c r="B249" i="12" s="1"/>
  <c r="F249" i="5"/>
  <c r="J249" i="5"/>
  <c r="G249" i="5"/>
  <c r="N249" i="5"/>
  <c r="H249" i="5"/>
  <c r="AD249" i="5"/>
  <c r="E249" i="5"/>
  <c r="A249" i="12"/>
  <c r="AE249" i="5"/>
  <c r="G247" i="6"/>
  <c r="H247" i="6"/>
  <c r="T247" i="5" s="1"/>
  <c r="G247" i="12" s="1"/>
  <c r="M247" i="6"/>
  <c r="BV247" i="6" s="1"/>
  <c r="N247" i="6"/>
  <c r="AW247" i="6" l="1"/>
  <c r="AV247" i="6"/>
  <c r="AY247" i="6"/>
  <c r="AZ247" i="6"/>
  <c r="AX247" i="6"/>
  <c r="A248" i="6"/>
  <c r="M248" i="6" s="1"/>
  <c r="CA248" i="6" s="1"/>
  <c r="BA247" i="6"/>
  <c r="AT247" i="6"/>
  <c r="AU247" i="6"/>
  <c r="CC247" i="6"/>
  <c r="CE247" i="6"/>
  <c r="BH247" i="6"/>
  <c r="CB247" i="6"/>
  <c r="AP247" i="6"/>
  <c r="AO247" i="6"/>
  <c r="AS247" i="6"/>
  <c r="CA247" i="6"/>
  <c r="BK247" i="6"/>
  <c r="BG247" i="6"/>
  <c r="BX247" i="6"/>
  <c r="AJ247" i="6"/>
  <c r="BL247" i="6"/>
  <c r="AM247" i="6"/>
  <c r="AQ247" i="6"/>
  <c r="BC247" i="6"/>
  <c r="BY247" i="6"/>
  <c r="BI247" i="6"/>
  <c r="AN247" i="6"/>
  <c r="BF247" i="6"/>
  <c r="BZ247" i="6"/>
  <c r="CD247" i="6"/>
  <c r="K248" i="12"/>
  <c r="D249" i="6"/>
  <c r="AR247" i="6"/>
  <c r="BW247" i="6"/>
  <c r="BD247" i="6"/>
  <c r="L249" i="12"/>
  <c r="J249" i="12"/>
  <c r="F250" i="5"/>
  <c r="C251" i="5"/>
  <c r="AD250" i="5"/>
  <c r="A250" i="12"/>
  <c r="J250" i="5"/>
  <c r="G250" i="5"/>
  <c r="E250" i="5"/>
  <c r="B250" i="5"/>
  <c r="D250" i="5"/>
  <c r="B250" i="12" s="1"/>
  <c r="H250" i="5"/>
  <c r="B250" i="6"/>
  <c r="AE250" i="5"/>
  <c r="N250" i="5"/>
  <c r="K250" i="5"/>
  <c r="BJ247" i="6"/>
  <c r="BE247" i="6"/>
  <c r="H248" i="6"/>
  <c r="T248" i="5" s="1"/>
  <c r="G248" i="12" s="1"/>
  <c r="AK247" i="6"/>
  <c r="AL247" i="6"/>
  <c r="N248" i="6" l="1"/>
  <c r="CF248" i="6"/>
  <c r="CK248" i="6"/>
  <c r="CL248" i="6"/>
  <c r="BM248" i="6"/>
  <c r="CI248" i="6"/>
  <c r="A249" i="6"/>
  <c r="M249" i="6" s="1"/>
  <c r="BV249" i="6" s="1"/>
  <c r="BN248" i="6"/>
  <c r="CM248" i="6"/>
  <c r="BO248" i="6"/>
  <c r="CG248" i="6"/>
  <c r="BP248" i="6"/>
  <c r="CH248" i="6"/>
  <c r="BQ248" i="6"/>
  <c r="BR248" i="6"/>
  <c r="BS248" i="6"/>
  <c r="BT248" i="6"/>
  <c r="CJ248" i="6"/>
  <c r="BW248" i="6"/>
  <c r="BE248" i="6"/>
  <c r="BH248" i="6"/>
  <c r="BG248" i="6"/>
  <c r="K249" i="12"/>
  <c r="CB248" i="6"/>
  <c r="BF248" i="6"/>
  <c r="BC248" i="6"/>
  <c r="BX248" i="6"/>
  <c r="BZ248" i="6"/>
  <c r="CE248" i="6"/>
  <c r="CD248" i="6"/>
  <c r="BD248" i="6"/>
  <c r="CC248" i="6"/>
  <c r="BL248" i="6"/>
  <c r="BJ248" i="6"/>
  <c r="J250" i="12"/>
  <c r="L250" i="12"/>
  <c r="H249" i="6"/>
  <c r="T249" i="5" s="1"/>
  <c r="G249" i="12" s="1"/>
  <c r="A251" i="12"/>
  <c r="F251" i="5"/>
  <c r="N251" i="5"/>
  <c r="H251" i="5"/>
  <c r="D251" i="5"/>
  <c r="B251" i="12" s="1"/>
  <c r="AD251" i="5"/>
  <c r="J251" i="5"/>
  <c r="E251" i="5"/>
  <c r="G251" i="5"/>
  <c r="AE251" i="5"/>
  <c r="C252" i="5"/>
  <c r="K251" i="5"/>
  <c r="B251" i="6"/>
  <c r="B251" i="5"/>
  <c r="BY248" i="6"/>
  <c r="BK248" i="6"/>
  <c r="D250" i="6"/>
  <c r="BV248" i="6"/>
  <c r="BI248" i="6"/>
  <c r="N249" i="6" l="1"/>
  <c r="CM249" i="6"/>
  <c r="CF249" i="6"/>
  <c r="BN249" i="6"/>
  <c r="CG249" i="6"/>
  <c r="BM249" i="6"/>
  <c r="CH249" i="6"/>
  <c r="BO249" i="6"/>
  <c r="CK249" i="6"/>
  <c r="BP249" i="6"/>
  <c r="CL249" i="6"/>
  <c r="BQ249" i="6"/>
  <c r="BR249" i="6"/>
  <c r="BS249" i="6"/>
  <c r="BT249" i="6"/>
  <c r="CI249" i="6"/>
  <c r="A250" i="6"/>
  <c r="M250" i="6" s="1"/>
  <c r="CJ249" i="6"/>
  <c r="K250" i="12"/>
  <c r="CA249" i="6"/>
  <c r="BG249" i="6"/>
  <c r="CB249" i="6"/>
  <c r="BE249" i="6"/>
  <c r="BJ249" i="6"/>
  <c r="CD249" i="6"/>
  <c r="BZ249" i="6"/>
  <c r="H250" i="6"/>
  <c r="T250" i="5" s="1"/>
  <c r="G250" i="12" s="1"/>
  <c r="E252" i="5"/>
  <c r="B252" i="5"/>
  <c r="B252" i="6"/>
  <c r="N252" i="5"/>
  <c r="D252" i="5"/>
  <c r="B252" i="12" s="1"/>
  <c r="AD252" i="5"/>
  <c r="C253" i="5"/>
  <c r="A252" i="12"/>
  <c r="K252" i="5"/>
  <c r="AE252" i="5"/>
  <c r="J252" i="5"/>
  <c r="H252" i="5"/>
  <c r="F252" i="5"/>
  <c r="G252" i="5"/>
  <c r="BK249" i="6"/>
  <c r="BC249" i="6"/>
  <c r="CC249" i="6"/>
  <c r="BI249" i="6"/>
  <c r="BW249" i="6"/>
  <c r="BL249" i="6"/>
  <c r="D251" i="6"/>
  <c r="BH249" i="6"/>
  <c r="BD249" i="6"/>
  <c r="BX249" i="6"/>
  <c r="CE249" i="6"/>
  <c r="BF249" i="6"/>
  <c r="BY249" i="6"/>
  <c r="L251" i="12"/>
  <c r="J251" i="12"/>
  <c r="BJ250" i="6" l="1"/>
  <c r="BT250" i="6"/>
  <c r="CL250" i="6"/>
  <c r="N250" i="6"/>
  <c r="BS250" i="6"/>
  <c r="CK250" i="6"/>
  <c r="BM250" i="6"/>
  <c r="BN250" i="6"/>
  <c r="A251" i="6"/>
  <c r="N251" i="6" s="1"/>
  <c r="BO250" i="6"/>
  <c r="BP250" i="6"/>
  <c r="CG250" i="6"/>
  <c r="CF250" i="6"/>
  <c r="CH250" i="6"/>
  <c r="CM250" i="6"/>
  <c r="BR250" i="6"/>
  <c r="CI250" i="6"/>
  <c r="BQ250" i="6"/>
  <c r="CJ250" i="6"/>
  <c r="BC250" i="6"/>
  <c r="BK250" i="6"/>
  <c r="BH250" i="6"/>
  <c r="BL250" i="6"/>
  <c r="BE250" i="6"/>
  <c r="CA250" i="6"/>
  <c r="BX250" i="6"/>
  <c r="BV250" i="6"/>
  <c r="CC250" i="6"/>
  <c r="K251" i="12"/>
  <c r="CB250" i="6"/>
  <c r="BW250" i="6"/>
  <c r="H251" i="6"/>
  <c r="T251" i="5" s="1"/>
  <c r="G251" i="12" s="1"/>
  <c r="L252" i="12"/>
  <c r="J252" i="12"/>
  <c r="K253" i="5"/>
  <c r="AE253" i="5"/>
  <c r="A253" i="12"/>
  <c r="J253" i="5"/>
  <c r="B253" i="6"/>
  <c r="H253" i="5"/>
  <c r="B253" i="5"/>
  <c r="G253" i="5"/>
  <c r="AD253" i="5"/>
  <c r="D253" i="5"/>
  <c r="B253" i="12" s="1"/>
  <c r="E253" i="5"/>
  <c r="C254" i="5"/>
  <c r="F253" i="5"/>
  <c r="N253" i="5"/>
  <c r="CE250" i="6"/>
  <c r="BG250" i="6"/>
  <c r="BF250" i="6"/>
  <c r="BD250" i="6"/>
  <c r="BZ250" i="6"/>
  <c r="D252" i="6"/>
  <c r="CD250" i="6"/>
  <c r="BY250" i="6"/>
  <c r="BI250" i="6"/>
  <c r="M251" i="6" l="1"/>
  <c r="BD251" i="6" s="1"/>
  <c r="A252" i="6"/>
  <c r="N252" i="6" s="1"/>
  <c r="D253" i="6"/>
  <c r="L253" i="12"/>
  <c r="J253" i="12"/>
  <c r="A254" i="12"/>
  <c r="K254" i="5"/>
  <c r="J254" i="5"/>
  <c r="F254" i="5"/>
  <c r="D254" i="5"/>
  <c r="B254" i="12" s="1"/>
  <c r="B254" i="6"/>
  <c r="N254" i="5"/>
  <c r="B254" i="5"/>
  <c r="AD254" i="5"/>
  <c r="H254" i="5"/>
  <c r="G254" i="5"/>
  <c r="AE254" i="5"/>
  <c r="E254" i="5"/>
  <c r="C255" i="5"/>
  <c r="H252" i="6"/>
  <c r="T252" i="5" s="1"/>
  <c r="G252" i="12" s="1"/>
  <c r="K252" i="12"/>
  <c r="M252" i="6" l="1"/>
  <c r="BV252" i="6" s="1"/>
  <c r="CE251" i="6"/>
  <c r="BY251" i="6"/>
  <c r="BJ251" i="6"/>
  <c r="BZ251" i="6"/>
  <c r="BF251" i="6"/>
  <c r="BI251" i="6"/>
  <c r="BE251" i="6"/>
  <c r="BH251" i="6"/>
  <c r="BK251" i="6"/>
  <c r="BS251" i="6"/>
  <c r="CC251" i="6"/>
  <c r="BR251" i="6"/>
  <c r="BQ251" i="6"/>
  <c r="CH251" i="6"/>
  <c r="CB251" i="6"/>
  <c r="BV251" i="6"/>
  <c r="BX251" i="6"/>
  <c r="BP251" i="6"/>
  <c r="BG251" i="6"/>
  <c r="CG251" i="6"/>
  <c r="CK251" i="6"/>
  <c r="CD251" i="6"/>
  <c r="CJ251" i="6"/>
  <c r="CI251" i="6"/>
  <c r="CA251" i="6"/>
  <c r="CF251" i="6"/>
  <c r="BO251" i="6"/>
  <c r="BL251" i="6"/>
  <c r="CL251" i="6"/>
  <c r="BN251" i="6"/>
  <c r="BC251" i="6"/>
  <c r="BW251" i="6"/>
  <c r="BT251" i="6"/>
  <c r="BM251" i="6"/>
  <c r="CM251" i="6"/>
  <c r="A253" i="6"/>
  <c r="N253" i="6" s="1"/>
  <c r="D254" i="6"/>
  <c r="F255" i="5"/>
  <c r="H255" i="5"/>
  <c r="B255" i="5"/>
  <c r="AE255" i="5"/>
  <c r="K255" i="5"/>
  <c r="G255" i="5"/>
  <c r="E255" i="5"/>
  <c r="N255" i="5"/>
  <c r="J255" i="5"/>
  <c r="D255" i="5"/>
  <c r="B255" i="12" s="1"/>
  <c r="AD255" i="5"/>
  <c r="B255" i="6"/>
  <c r="C256" i="5"/>
  <c r="A255" i="12"/>
  <c r="L254" i="12"/>
  <c r="J254" i="12"/>
  <c r="K253" i="12"/>
  <c r="H253" i="6"/>
  <c r="T253" i="5" s="1"/>
  <c r="G253" i="12" s="1"/>
  <c r="BS252" i="6" l="1"/>
  <c r="BE252" i="6"/>
  <c r="CH252" i="6"/>
  <c r="BI252" i="6"/>
  <c r="BG252" i="6"/>
  <c r="BM252" i="6"/>
  <c r="BH252" i="6"/>
  <c r="CD252" i="6"/>
  <c r="CF252" i="6"/>
  <c r="CB252" i="6"/>
  <c r="CC252" i="6"/>
  <c r="CM252" i="6"/>
  <c r="BC252" i="6"/>
  <c r="BJ252" i="6"/>
  <c r="BN252" i="6"/>
  <c r="BK252" i="6"/>
  <c r="BW252" i="6"/>
  <c r="CJ252" i="6"/>
  <c r="BO252" i="6"/>
  <c r="BZ252" i="6"/>
  <c r="BY252" i="6"/>
  <c r="CA252" i="6"/>
  <c r="BL252" i="6"/>
  <c r="BQ252" i="6"/>
  <c r="BF252" i="6"/>
  <c r="CL252" i="6"/>
  <c r="CI252" i="6"/>
  <c r="CG252" i="6"/>
  <c r="BD252" i="6"/>
  <c r="BX252" i="6"/>
  <c r="BP252" i="6"/>
  <c r="BT252" i="6"/>
  <c r="CE252" i="6"/>
  <c r="CK252" i="6"/>
  <c r="BR252" i="6"/>
  <c r="M253" i="6"/>
  <c r="BV253" i="6" s="1"/>
  <c r="A254" i="6"/>
  <c r="M254" i="6" s="1"/>
  <c r="K254" i="12"/>
  <c r="L255" i="12"/>
  <c r="J255" i="12"/>
  <c r="B256" i="6"/>
  <c r="A256" i="12"/>
  <c r="K256" i="5"/>
  <c r="AE256" i="5"/>
  <c r="G256" i="5"/>
  <c r="J256" i="5"/>
  <c r="AD256" i="5"/>
  <c r="B256" i="5"/>
  <c r="C257" i="5"/>
  <c r="H256" i="5"/>
  <c r="F256" i="5"/>
  <c r="E256" i="5"/>
  <c r="D256" i="5"/>
  <c r="B256" i="12" s="1"/>
  <c r="N256" i="5"/>
  <c r="H254" i="6"/>
  <c r="T254" i="5" s="1"/>
  <c r="G254" i="12" s="1"/>
  <c r="D255" i="6"/>
  <c r="BN253" i="6" l="1"/>
  <c r="BE253" i="6"/>
  <c r="BM253" i="6"/>
  <c r="BY253" i="6"/>
  <c r="BJ253" i="6"/>
  <c r="CL253" i="6"/>
  <c r="CD253" i="6"/>
  <c r="BT253" i="6"/>
  <c r="BG253" i="6"/>
  <c r="CK253" i="6"/>
  <c r="CB253" i="6"/>
  <c r="BS253" i="6"/>
  <c r="CA253" i="6"/>
  <c r="BF253" i="6"/>
  <c r="BH253" i="6"/>
  <c r="CG253" i="6"/>
  <c r="CJ253" i="6"/>
  <c r="BK253" i="6"/>
  <c r="BZ253" i="6"/>
  <c r="BD253" i="6"/>
  <c r="CM253" i="6"/>
  <c r="BQ253" i="6"/>
  <c r="CE253" i="6"/>
  <c r="BL253" i="6"/>
  <c r="CC253" i="6"/>
  <c r="BC253" i="6"/>
  <c r="CF253" i="6"/>
  <c r="BX253" i="6"/>
  <c r="BP253" i="6"/>
  <c r="CI253" i="6"/>
  <c r="BW253" i="6"/>
  <c r="CH253" i="6"/>
  <c r="BI253" i="6"/>
  <c r="BO253" i="6"/>
  <c r="BR253" i="6"/>
  <c r="BZ254" i="6"/>
  <c r="CG254" i="6"/>
  <c r="BO254" i="6"/>
  <c r="N254" i="6"/>
  <c r="BN254" i="6"/>
  <c r="CM254" i="6"/>
  <c r="BP254" i="6"/>
  <c r="CH254" i="6"/>
  <c r="BQ254" i="6"/>
  <c r="BR254" i="6"/>
  <c r="BS254" i="6"/>
  <c r="BT254" i="6"/>
  <c r="CF254" i="6"/>
  <c r="CJ254" i="6"/>
  <c r="A255" i="6"/>
  <c r="N255" i="6" s="1"/>
  <c r="CK254" i="6"/>
  <c r="CL254" i="6"/>
  <c r="BM254" i="6"/>
  <c r="CI254" i="6"/>
  <c r="BK254" i="6"/>
  <c r="K255" i="12"/>
  <c r="BE254" i="6"/>
  <c r="CB254" i="6"/>
  <c r="BD254" i="6"/>
  <c r="CE254" i="6"/>
  <c r="CC254" i="6"/>
  <c r="CD254" i="6"/>
  <c r="BF254" i="6"/>
  <c r="BW254" i="6"/>
  <c r="BX254" i="6"/>
  <c r="BG254" i="6"/>
  <c r="BJ254" i="6"/>
  <c r="BI254" i="6"/>
  <c r="G257" i="5"/>
  <c r="E257" i="5"/>
  <c r="AE257" i="5"/>
  <c r="D257" i="5"/>
  <c r="B257" i="12" s="1"/>
  <c r="B257" i="6"/>
  <c r="AD257" i="5"/>
  <c r="H257" i="5"/>
  <c r="K257" i="5"/>
  <c r="J257" i="5"/>
  <c r="C258" i="5"/>
  <c r="N257" i="5"/>
  <c r="B257" i="5"/>
  <c r="A257" i="12"/>
  <c r="F257" i="5"/>
  <c r="D256" i="6"/>
  <c r="BC254" i="6"/>
  <c r="CA254" i="6"/>
  <c r="J256" i="12"/>
  <c r="L256" i="12"/>
  <c r="BH254" i="6"/>
  <c r="BV254" i="6"/>
  <c r="H255" i="6"/>
  <c r="T255" i="5" s="1"/>
  <c r="G255" i="12" s="1"/>
  <c r="BY254" i="6"/>
  <c r="BL254" i="6"/>
  <c r="M255" i="6" l="1"/>
  <c r="CD255" i="6" s="1"/>
  <c r="A256" i="6"/>
  <c r="N256" i="6" s="1"/>
  <c r="K256" i="12"/>
  <c r="L257" i="12"/>
  <c r="J257" i="12"/>
  <c r="H256" i="6"/>
  <c r="T256" i="5" s="1"/>
  <c r="G256" i="12" s="1"/>
  <c r="D257" i="6"/>
  <c r="AD258" i="5"/>
  <c r="C259" i="5"/>
  <c r="F258" i="5"/>
  <c r="H258" i="5"/>
  <c r="K258" i="5"/>
  <c r="E258" i="5"/>
  <c r="J258" i="5"/>
  <c r="A258" i="12"/>
  <c r="AE258" i="5"/>
  <c r="G258" i="5"/>
  <c r="D258" i="5"/>
  <c r="B258" i="12" s="1"/>
  <c r="N258" i="5"/>
  <c r="B258" i="6"/>
  <c r="B258" i="5"/>
  <c r="BX255" i="6" l="1"/>
  <c r="BF255" i="6"/>
  <c r="BQ255" i="6"/>
  <c r="BK255" i="6"/>
  <c r="CL255" i="6"/>
  <c r="BE255" i="6"/>
  <c r="BZ255" i="6"/>
  <c r="BP255" i="6"/>
  <c r="BJ255" i="6"/>
  <c r="CK255" i="6"/>
  <c r="BW255" i="6"/>
  <c r="BL255" i="6"/>
  <c r="BO255" i="6"/>
  <c r="CA255" i="6"/>
  <c r="BY255" i="6"/>
  <c r="BG255" i="6"/>
  <c r="BI255" i="6"/>
  <c r="CH255" i="6"/>
  <c r="BM255" i="6"/>
  <c r="BH255" i="6"/>
  <c r="CJ255" i="6"/>
  <c r="CG255" i="6"/>
  <c r="CB255" i="6"/>
  <c r="BT255" i="6"/>
  <c r="BN255" i="6"/>
  <c r="CF255" i="6"/>
  <c r="BC255" i="6"/>
  <c r="BV255" i="6"/>
  <c r="CC255" i="6"/>
  <c r="BS255" i="6"/>
  <c r="CM255" i="6"/>
  <c r="BD255" i="6"/>
  <c r="CE255" i="6"/>
  <c r="BR255" i="6"/>
  <c r="CI255" i="6"/>
  <c r="M256" i="6"/>
  <c r="BH256" i="6" s="1"/>
  <c r="A257" i="6"/>
  <c r="N257" i="6" s="1"/>
  <c r="K257" i="12"/>
  <c r="D258" i="6"/>
  <c r="E259" i="5"/>
  <c r="K259" i="5"/>
  <c r="D259" i="5"/>
  <c r="B259" i="12" s="1"/>
  <c r="N259" i="5"/>
  <c r="F259" i="5"/>
  <c r="H259" i="5"/>
  <c r="B259" i="6"/>
  <c r="B259" i="5"/>
  <c r="G259" i="5"/>
  <c r="C260" i="5"/>
  <c r="J259" i="5"/>
  <c r="AD259" i="5"/>
  <c r="AE259" i="5"/>
  <c r="A259" i="12"/>
  <c r="L258" i="12"/>
  <c r="J258" i="12"/>
  <c r="H257" i="6"/>
  <c r="T257" i="5" s="1"/>
  <c r="G257" i="12" s="1"/>
  <c r="CI256" i="6" l="1"/>
  <c r="BF256" i="6"/>
  <c r="BE256" i="6"/>
  <c r="CL256" i="6"/>
  <c r="BY256" i="6"/>
  <c r="BM256" i="6"/>
  <c r="BK256" i="6"/>
  <c r="BT256" i="6"/>
  <c r="CJ256" i="6"/>
  <c r="BG256" i="6"/>
  <c r="BX256" i="6"/>
  <c r="CE256" i="6"/>
  <c r="CB256" i="6"/>
  <c r="CD256" i="6"/>
  <c r="BQ256" i="6"/>
  <c r="BW256" i="6"/>
  <c r="CK256" i="6"/>
  <c r="BI256" i="6"/>
  <c r="CA256" i="6"/>
  <c r="BD256" i="6"/>
  <c r="BR256" i="6"/>
  <c r="CC256" i="6"/>
  <c r="CG256" i="6"/>
  <c r="CF256" i="6"/>
  <c r="CH256" i="6"/>
  <c r="CM256" i="6"/>
  <c r="BV256" i="6"/>
  <c r="BP256" i="6"/>
  <c r="BZ256" i="6"/>
  <c r="BJ256" i="6"/>
  <c r="BO256" i="6"/>
  <c r="BC256" i="6"/>
  <c r="BL256" i="6"/>
  <c r="BN256" i="6"/>
  <c r="BS256" i="6"/>
  <c r="M257" i="6"/>
  <c r="CD257" i="6" s="1"/>
  <c r="A258" i="6"/>
  <c r="N258" i="6" s="1"/>
  <c r="K258" i="12"/>
  <c r="K260" i="5"/>
  <c r="H260" i="5"/>
  <c r="AD260" i="5"/>
  <c r="J260" i="5"/>
  <c r="AE260" i="5"/>
  <c r="F260" i="5"/>
  <c r="B260" i="5"/>
  <c r="E260" i="5"/>
  <c r="C261" i="5"/>
  <c r="A260" i="12"/>
  <c r="D260" i="5"/>
  <c r="B260" i="12" s="1"/>
  <c r="G260" i="5"/>
  <c r="B260" i="6"/>
  <c r="N260" i="5"/>
  <c r="H258" i="6"/>
  <c r="T258" i="5" s="1"/>
  <c r="G258" i="12" s="1"/>
  <c r="D259" i="6"/>
  <c r="L259" i="12"/>
  <c r="J259" i="12"/>
  <c r="M258" i="6" l="1"/>
  <c r="BH258" i="6" s="1"/>
  <c r="BF257" i="6"/>
  <c r="BE257" i="6"/>
  <c r="BM257" i="6"/>
  <c r="BH257" i="6"/>
  <c r="CF257" i="6"/>
  <c r="CJ257" i="6"/>
  <c r="BC257" i="6"/>
  <c r="BT257" i="6"/>
  <c r="CK257" i="6"/>
  <c r="BV257" i="6"/>
  <c r="BS257" i="6"/>
  <c r="BK257" i="6"/>
  <c r="BR257" i="6"/>
  <c r="BI257" i="6"/>
  <c r="BD257" i="6"/>
  <c r="BJ257" i="6"/>
  <c r="CM257" i="6"/>
  <c r="BL257" i="6"/>
  <c r="BN257" i="6"/>
  <c r="BX257" i="6"/>
  <c r="BY257" i="6"/>
  <c r="CB257" i="6"/>
  <c r="CL257" i="6"/>
  <c r="BG257" i="6"/>
  <c r="BZ257" i="6"/>
  <c r="CI257" i="6"/>
  <c r="BQ257" i="6"/>
  <c r="CH257" i="6"/>
  <c r="CA257" i="6"/>
  <c r="BP257" i="6"/>
  <c r="CC257" i="6"/>
  <c r="CG257" i="6"/>
  <c r="BW257" i="6"/>
  <c r="CE257" i="6"/>
  <c r="BO257" i="6"/>
  <c r="A259" i="6"/>
  <c r="M259" i="6" s="1"/>
  <c r="BK259" i="6" s="1"/>
  <c r="K259" i="12"/>
  <c r="J260" i="12"/>
  <c r="L260" i="12"/>
  <c r="B261" i="6"/>
  <c r="AE261" i="5"/>
  <c r="B261" i="5"/>
  <c r="C262" i="5"/>
  <c r="E261" i="5"/>
  <c r="H261" i="5"/>
  <c r="AD261" i="5"/>
  <c r="J261" i="5"/>
  <c r="N261" i="5"/>
  <c r="K261" i="5"/>
  <c r="G261" i="5"/>
  <c r="A261" i="12"/>
  <c r="D261" i="5"/>
  <c r="B261" i="12" s="1"/>
  <c r="F261" i="5"/>
  <c r="H259" i="6"/>
  <c r="T259" i="5" s="1"/>
  <c r="G259" i="12" s="1"/>
  <c r="D260" i="6"/>
  <c r="N259" i="6" l="1"/>
  <c r="CI258" i="6"/>
  <c r="BX258" i="6"/>
  <c r="CC258" i="6"/>
  <c r="CK258" i="6"/>
  <c r="BM258" i="6"/>
  <c r="BE258" i="6"/>
  <c r="BP258" i="6"/>
  <c r="BL258" i="6"/>
  <c r="BG258" i="6"/>
  <c r="BC258" i="6"/>
  <c r="BN258" i="6"/>
  <c r="BJ258" i="6"/>
  <c r="CH258" i="6"/>
  <c r="CE258" i="6"/>
  <c r="CG258" i="6"/>
  <c r="BI258" i="6"/>
  <c r="BV258" i="6"/>
  <c r="CD258" i="6"/>
  <c r="BS258" i="6"/>
  <c r="CF258" i="6"/>
  <c r="BO258" i="6"/>
  <c r="BK258" i="6"/>
  <c r="CA258" i="6"/>
  <c r="BR258" i="6"/>
  <c r="CM258" i="6"/>
  <c r="CB258" i="6"/>
  <c r="BD258" i="6"/>
  <c r="BY258" i="6"/>
  <c r="BQ258" i="6"/>
  <c r="CJ258" i="6"/>
  <c r="BW258" i="6"/>
  <c r="BF258" i="6"/>
  <c r="BZ258" i="6"/>
  <c r="CL258" i="6"/>
  <c r="BT258" i="6"/>
  <c r="CK259" i="6"/>
  <c r="BS259" i="6"/>
  <c r="BQ259" i="6"/>
  <c r="CJ259" i="6"/>
  <c r="BT259" i="6"/>
  <c r="CL259" i="6"/>
  <c r="BM259" i="6"/>
  <c r="BN259" i="6"/>
  <c r="BO259" i="6"/>
  <c r="BP259" i="6"/>
  <c r="CG259" i="6"/>
  <c r="CF259" i="6"/>
  <c r="CH259" i="6"/>
  <c r="A260" i="6"/>
  <c r="N260" i="6" s="1"/>
  <c r="CM259" i="6"/>
  <c r="BR259" i="6"/>
  <c r="CI259" i="6"/>
  <c r="CD259" i="6"/>
  <c r="BW259" i="6"/>
  <c r="BX259" i="6"/>
  <c r="CE259" i="6"/>
  <c r="K260" i="12"/>
  <c r="H260" i="6"/>
  <c r="T260" i="5" s="1"/>
  <c r="G260" i="12" s="1"/>
  <c r="BD259" i="6"/>
  <c r="D261" i="6"/>
  <c r="BH259" i="6"/>
  <c r="BL259" i="6"/>
  <c r="BY259" i="6"/>
  <c r="BF259" i="6"/>
  <c r="BC259" i="6"/>
  <c r="CA259" i="6"/>
  <c r="B262" i="5"/>
  <c r="K262" i="5"/>
  <c r="J262" i="5"/>
  <c r="C263" i="5"/>
  <c r="C264" i="5" s="1"/>
  <c r="A262" i="12"/>
  <c r="AD262" i="5"/>
  <c r="B262" i="6"/>
  <c r="E262" i="5"/>
  <c r="H262" i="5"/>
  <c r="F262" i="5"/>
  <c r="AE262" i="5"/>
  <c r="D262" i="5"/>
  <c r="B262" i="12" s="1"/>
  <c r="G262" i="5"/>
  <c r="N262" i="5"/>
  <c r="BI259" i="6"/>
  <c r="BV259" i="6"/>
  <c r="CB259" i="6"/>
  <c r="CC259" i="6"/>
  <c r="BE259" i="6"/>
  <c r="BJ259" i="6"/>
  <c r="J261" i="12"/>
  <c r="L261" i="12"/>
  <c r="BG259" i="6"/>
  <c r="BZ259" i="6"/>
  <c r="M260" i="6" l="1"/>
  <c r="BP260" i="6" s="1"/>
  <c r="A261" i="6"/>
  <c r="M261" i="6" s="1"/>
  <c r="CB261" i="6" s="1"/>
  <c r="A264" i="12"/>
  <c r="B264" i="6"/>
  <c r="D264" i="5"/>
  <c r="B264" i="12" s="1"/>
  <c r="AE264" i="5"/>
  <c r="N264" i="5"/>
  <c r="AD264" i="5"/>
  <c r="K264" i="5"/>
  <c r="J264" i="5"/>
  <c r="C265" i="5"/>
  <c r="K261" i="12"/>
  <c r="H261" i="6"/>
  <c r="T261" i="5" s="1"/>
  <c r="G261" i="12" s="1"/>
  <c r="J262" i="12"/>
  <c r="L262" i="12"/>
  <c r="D262" i="6"/>
  <c r="G263" i="5"/>
  <c r="G264" i="5" s="1"/>
  <c r="AE263" i="5"/>
  <c r="A263" i="12"/>
  <c r="J263" i="5"/>
  <c r="E263" i="5"/>
  <c r="E264" i="5" s="1"/>
  <c r="B263" i="5"/>
  <c r="B264" i="5" s="1"/>
  <c r="H263" i="5"/>
  <c r="H264" i="5" s="1"/>
  <c r="B263" i="6"/>
  <c r="F263" i="5"/>
  <c r="F264" i="5" s="1"/>
  <c r="AD263" i="5"/>
  <c r="D263" i="5"/>
  <c r="B263" i="12" s="1"/>
  <c r="K263" i="5"/>
  <c r="N263" i="5"/>
  <c r="CE260" i="6" l="1"/>
  <c r="CJ260" i="6"/>
  <c r="BF260" i="6"/>
  <c r="CL260" i="6"/>
  <c r="CA260" i="6"/>
  <c r="BG260" i="6"/>
  <c r="CF260" i="6"/>
  <c r="CC260" i="6"/>
  <c r="CB260" i="6"/>
  <c r="BK260" i="6"/>
  <c r="BT260" i="6"/>
  <c r="BL260" i="6"/>
  <c r="BX260" i="6"/>
  <c r="BI260" i="6"/>
  <c r="BS260" i="6"/>
  <c r="BC260" i="6"/>
  <c r="BV260" i="6"/>
  <c r="BD260" i="6"/>
  <c r="BR260" i="6"/>
  <c r="CD260" i="6"/>
  <c r="BY260" i="6"/>
  <c r="BH260" i="6"/>
  <c r="BE260" i="6"/>
  <c r="BQ260" i="6"/>
  <c r="BW260" i="6"/>
  <c r="BZ260" i="6"/>
  <c r="CH260" i="6"/>
  <c r="N261" i="6"/>
  <c r="BN261" i="6"/>
  <c r="BR261" i="6"/>
  <c r="BJ260" i="6"/>
  <c r="CK260" i="6"/>
  <c r="BO260" i="6"/>
  <c r="BN260" i="6"/>
  <c r="BM260" i="6"/>
  <c r="CI260" i="6"/>
  <c r="CG260" i="6"/>
  <c r="CM260" i="6"/>
  <c r="BQ261" i="6"/>
  <c r="BS261" i="6"/>
  <c r="BT261" i="6"/>
  <c r="CI261" i="6"/>
  <c r="A262" i="6"/>
  <c r="M262" i="6" s="1"/>
  <c r="CA262" i="6" s="1"/>
  <c r="CJ261" i="6"/>
  <c r="CM261" i="6"/>
  <c r="CF261" i="6"/>
  <c r="CG261" i="6"/>
  <c r="BM261" i="6"/>
  <c r="CH261" i="6"/>
  <c r="BO261" i="6"/>
  <c r="CK261" i="6"/>
  <c r="BP261" i="6"/>
  <c r="CL261" i="6"/>
  <c r="D264" i="6"/>
  <c r="A265" i="12"/>
  <c r="B265" i="6"/>
  <c r="J265" i="5"/>
  <c r="C266" i="5"/>
  <c r="H265" i="5"/>
  <c r="G265" i="5"/>
  <c r="AD265" i="5"/>
  <c r="F265" i="5"/>
  <c r="E265" i="5"/>
  <c r="D265" i="5"/>
  <c r="B265" i="12" s="1"/>
  <c r="B265" i="5"/>
  <c r="AE265" i="5"/>
  <c r="N265" i="5"/>
  <c r="K265" i="5"/>
  <c r="L264" i="12"/>
  <c r="J264" i="12"/>
  <c r="BK261" i="6"/>
  <c r="K262" i="12"/>
  <c r="BZ261" i="6"/>
  <c r="BE261" i="6"/>
  <c r="BC261" i="6"/>
  <c r="BW261" i="6"/>
  <c r="BL261" i="6"/>
  <c r="CE261" i="6"/>
  <c r="BV261" i="6"/>
  <c r="CA261" i="6"/>
  <c r="H262" i="6"/>
  <c r="T262" i="5" s="1"/>
  <c r="G262" i="12" s="1"/>
  <c r="BH261" i="6"/>
  <c r="BD261" i="6"/>
  <c r="CD261" i="6"/>
  <c r="J263" i="12"/>
  <c r="L263" i="12"/>
  <c r="CC261" i="6"/>
  <c r="BF261" i="6"/>
  <c r="BY261" i="6"/>
  <c r="D263" i="6"/>
  <c r="BG261" i="6"/>
  <c r="BJ261" i="6"/>
  <c r="BX261" i="6"/>
  <c r="BI261" i="6"/>
  <c r="N262" i="6" l="1"/>
  <c r="BS262" i="6"/>
  <c r="CK262" i="6"/>
  <c r="BQ262" i="6"/>
  <c r="CJ262" i="6"/>
  <c r="BT262" i="6"/>
  <c r="CL262" i="6"/>
  <c r="BM262" i="6"/>
  <c r="BR262" i="6"/>
  <c r="BN262" i="6"/>
  <c r="BO262" i="6"/>
  <c r="BP262" i="6"/>
  <c r="CM262" i="6"/>
  <c r="CF262" i="6"/>
  <c r="CG262" i="6"/>
  <c r="A263" i="6"/>
  <c r="A264" i="6" s="1"/>
  <c r="N264" i="6" s="1"/>
  <c r="CH262" i="6"/>
  <c r="CI262" i="6"/>
  <c r="K264" i="12"/>
  <c r="A266" i="12"/>
  <c r="D266" i="5"/>
  <c r="B266" i="12" s="1"/>
  <c r="B266" i="5"/>
  <c r="AE266" i="5"/>
  <c r="N266" i="5"/>
  <c r="AD266" i="5"/>
  <c r="K266" i="5"/>
  <c r="F266" i="5"/>
  <c r="B266" i="6"/>
  <c r="J266" i="5"/>
  <c r="C267" i="5"/>
  <c r="H266" i="5"/>
  <c r="G266" i="5"/>
  <c r="E266" i="5"/>
  <c r="L265" i="12"/>
  <c r="J265" i="12"/>
  <c r="D265" i="6"/>
  <c r="H264" i="6"/>
  <c r="T264" i="5" s="1"/>
  <c r="G264" i="12" s="1"/>
  <c r="BE262" i="6"/>
  <c r="BY262" i="6"/>
  <c r="CC262" i="6"/>
  <c r="BH262" i="6"/>
  <c r="CE262" i="6"/>
  <c r="BJ262" i="6"/>
  <c r="BZ262" i="6"/>
  <c r="K263" i="12"/>
  <c r="BC262" i="6"/>
  <c r="BD262" i="6"/>
  <c r="BV262" i="6"/>
  <c r="BF262" i="6"/>
  <c r="BI262" i="6"/>
  <c r="CD262" i="6"/>
  <c r="BX262" i="6"/>
  <c r="BW262" i="6"/>
  <c r="H263" i="6"/>
  <c r="T263" i="5" s="1"/>
  <c r="G263" i="12" s="1"/>
  <c r="BG262" i="6"/>
  <c r="BK262" i="6"/>
  <c r="BL262" i="6"/>
  <c r="CB262" i="6"/>
  <c r="M263" i="6" l="1"/>
  <c r="BY263" i="6" s="1"/>
  <c r="N263" i="6"/>
  <c r="M264" i="6"/>
  <c r="BL264" i="6" s="1"/>
  <c r="A265" i="6"/>
  <c r="M265" i="6" s="1"/>
  <c r="BJ265" i="6" s="1"/>
  <c r="K265" i="12"/>
  <c r="D266" i="6"/>
  <c r="H265" i="6"/>
  <c r="T265" i="5" s="1"/>
  <c r="G265" i="12" s="1"/>
  <c r="A267" i="12"/>
  <c r="B267" i="6"/>
  <c r="J267" i="5"/>
  <c r="H267" i="5"/>
  <c r="C268" i="5"/>
  <c r="G267" i="5"/>
  <c r="AE267" i="5"/>
  <c r="F267" i="5"/>
  <c r="E267" i="5"/>
  <c r="D267" i="5"/>
  <c r="B267" i="12" s="1"/>
  <c r="B267" i="5"/>
  <c r="N267" i="5"/>
  <c r="AD267" i="5"/>
  <c r="K267" i="5"/>
  <c r="J266" i="12"/>
  <c r="L266" i="12"/>
  <c r="BP264" i="6" l="1"/>
  <c r="BP263" i="6"/>
  <c r="BZ263" i="6"/>
  <c r="CH263" i="6"/>
  <c r="CC264" i="6"/>
  <c r="CF263" i="6"/>
  <c r="CG263" i="6"/>
  <c r="BC263" i="6"/>
  <c r="BF264" i="6"/>
  <c r="BX264" i="6"/>
  <c r="BO264" i="6"/>
  <c r="BO263" i="6"/>
  <c r="BY264" i="6"/>
  <c r="BD263" i="6"/>
  <c r="BV264" i="6"/>
  <c r="BH264" i="6"/>
  <c r="CL263" i="6"/>
  <c r="BS264" i="6"/>
  <c r="CA263" i="6"/>
  <c r="BI263" i="6"/>
  <c r="BI264" i="6"/>
  <c r="BC264" i="6"/>
  <c r="CK263" i="6"/>
  <c r="CM263" i="6"/>
  <c r="BE263" i="6"/>
  <c r="CD263" i="6"/>
  <c r="BW264" i="6"/>
  <c r="BT263" i="6"/>
  <c r="BN263" i="6"/>
  <c r="CA264" i="6"/>
  <c r="CE263" i="6"/>
  <c r="BK264" i="6"/>
  <c r="BJ263" i="6"/>
  <c r="CF264" i="6"/>
  <c r="CJ263" i="6"/>
  <c r="CL264" i="6"/>
  <c r="BL263" i="6"/>
  <c r="BX263" i="6"/>
  <c r="BG263" i="6"/>
  <c r="CC263" i="6"/>
  <c r="BH263" i="6"/>
  <c r="CE264" i="6"/>
  <c r="BJ264" i="6"/>
  <c r="BS263" i="6"/>
  <c r="BM263" i="6"/>
  <c r="CI263" i="6"/>
  <c r="BK263" i="6"/>
  <c r="BF263" i="6"/>
  <c r="BZ264" i="6"/>
  <c r="CB264" i="6"/>
  <c r="BW263" i="6"/>
  <c r="CB263" i="6"/>
  <c r="BD264" i="6"/>
  <c r="BR263" i="6"/>
  <c r="BV263" i="6"/>
  <c r="CD264" i="6"/>
  <c r="BE264" i="6"/>
  <c r="BQ263" i="6"/>
  <c r="CK264" i="6"/>
  <c r="CM264" i="6"/>
  <c r="BQ264" i="6"/>
  <c r="CI264" i="6"/>
  <c r="BR264" i="6"/>
  <c r="CH264" i="6"/>
  <c r="BM264" i="6"/>
  <c r="CJ264" i="6"/>
  <c r="BG264" i="6"/>
  <c r="CG264" i="6"/>
  <c r="BN264" i="6"/>
  <c r="BT264" i="6"/>
  <c r="N265" i="6"/>
  <c r="BO265" i="6"/>
  <c r="CF265" i="6"/>
  <c r="CG265" i="6"/>
  <c r="CH265" i="6"/>
  <c r="CM265" i="6"/>
  <c r="BR265" i="6"/>
  <c r="CI265" i="6"/>
  <c r="BQ265" i="6"/>
  <c r="CJ265" i="6"/>
  <c r="BP265" i="6"/>
  <c r="A266" i="6"/>
  <c r="N266" i="6" s="1"/>
  <c r="BS265" i="6"/>
  <c r="CK265" i="6"/>
  <c r="BT265" i="6"/>
  <c r="CL265" i="6"/>
  <c r="BM265" i="6"/>
  <c r="BN265" i="6"/>
  <c r="BZ265" i="6"/>
  <c r="BW265" i="6"/>
  <c r="K266" i="12"/>
  <c r="BY265" i="6"/>
  <c r="BE265" i="6"/>
  <c r="BF265" i="6"/>
  <c r="BL265" i="6"/>
  <c r="CA265" i="6"/>
  <c r="BG265" i="6"/>
  <c r="CD265" i="6"/>
  <c r="CB265" i="6"/>
  <c r="BK265" i="6"/>
  <c r="CE265" i="6"/>
  <c r="BV265" i="6"/>
  <c r="A268" i="12"/>
  <c r="B268" i="6"/>
  <c r="AD268" i="5"/>
  <c r="F268" i="5"/>
  <c r="E268" i="5"/>
  <c r="H268" i="5"/>
  <c r="D268" i="5"/>
  <c r="B268" i="12" s="1"/>
  <c r="B268" i="5"/>
  <c r="N268" i="5"/>
  <c r="AE268" i="5"/>
  <c r="K268" i="5"/>
  <c r="J268" i="5"/>
  <c r="C269" i="5"/>
  <c r="G268" i="5"/>
  <c r="D267" i="6"/>
  <c r="BI265" i="6"/>
  <c r="BC265" i="6"/>
  <c r="BH265" i="6"/>
  <c r="H266" i="6"/>
  <c r="T266" i="5" s="1"/>
  <c r="G266" i="12" s="1"/>
  <c r="L267" i="12"/>
  <c r="J267" i="12"/>
  <c r="BX265" i="6"/>
  <c r="CC265" i="6"/>
  <c r="BD265" i="6"/>
  <c r="M266" i="6" l="1"/>
  <c r="CB266" i="6" s="1"/>
  <c r="A267" i="6"/>
  <c r="M267" i="6" s="1"/>
  <c r="CE267" i="6" s="1"/>
  <c r="K267" i="12"/>
  <c r="A269" i="12"/>
  <c r="F269" i="5"/>
  <c r="B269" i="6"/>
  <c r="B269" i="5"/>
  <c r="N269" i="5"/>
  <c r="AE269" i="5"/>
  <c r="D269" i="5"/>
  <c r="B269" i="12" s="1"/>
  <c r="AD269" i="5"/>
  <c r="K269" i="5"/>
  <c r="J269" i="5"/>
  <c r="H269" i="5"/>
  <c r="C270" i="5"/>
  <c r="G269" i="5"/>
  <c r="E269" i="5"/>
  <c r="H267" i="6"/>
  <c r="T267" i="5" s="1"/>
  <c r="G267" i="12" s="1"/>
  <c r="D268" i="6"/>
  <c r="L268" i="12"/>
  <c r="J268" i="12"/>
  <c r="BP266" i="6" l="1"/>
  <c r="BE266" i="6"/>
  <c r="BH266" i="6"/>
  <c r="BD266" i="6"/>
  <c r="BI266" i="6"/>
  <c r="CC266" i="6"/>
  <c r="BY266" i="6"/>
  <c r="BK266" i="6"/>
  <c r="CH266" i="6"/>
  <c r="BO266" i="6"/>
  <c r="BC266" i="6"/>
  <c r="CE266" i="6"/>
  <c r="CM266" i="6"/>
  <c r="CG266" i="6"/>
  <c r="BV266" i="6"/>
  <c r="BZ266" i="6"/>
  <c r="BX266" i="6"/>
  <c r="BW266" i="6"/>
  <c r="CJ266" i="6"/>
  <c r="BN266" i="6"/>
  <c r="CI266" i="6"/>
  <c r="BT266" i="6"/>
  <c r="BM266" i="6"/>
  <c r="CA266" i="6"/>
  <c r="BJ266" i="6"/>
  <c r="BS266" i="6"/>
  <c r="CL266" i="6"/>
  <c r="BL266" i="6"/>
  <c r="BG266" i="6"/>
  <c r="BR266" i="6"/>
  <c r="CK266" i="6"/>
  <c r="BF266" i="6"/>
  <c r="CD266" i="6"/>
  <c r="BQ266" i="6"/>
  <c r="CF266" i="6"/>
  <c r="N267" i="6"/>
  <c r="BR267" i="6"/>
  <c r="BQ267" i="6"/>
  <c r="BS267" i="6"/>
  <c r="BT267" i="6"/>
  <c r="CI267" i="6"/>
  <c r="CJ267" i="6"/>
  <c r="CM267" i="6"/>
  <c r="CF267" i="6"/>
  <c r="BN267" i="6"/>
  <c r="CG267" i="6"/>
  <c r="BM267" i="6"/>
  <c r="CH267" i="6"/>
  <c r="BO267" i="6"/>
  <c r="CK267" i="6"/>
  <c r="A268" i="6"/>
  <c r="M268" i="6" s="1"/>
  <c r="CE268" i="6" s="1"/>
  <c r="BP267" i="6"/>
  <c r="CL267" i="6"/>
  <c r="BG267" i="6"/>
  <c r="BV267" i="6"/>
  <c r="K268" i="12"/>
  <c r="BF267" i="6"/>
  <c r="BK267" i="6"/>
  <c r="BD267" i="6"/>
  <c r="CA267" i="6"/>
  <c r="A270" i="12"/>
  <c r="F270" i="5"/>
  <c r="AD270" i="5"/>
  <c r="N270" i="5"/>
  <c r="K270" i="5"/>
  <c r="AE270" i="5"/>
  <c r="J270" i="5"/>
  <c r="B270" i="6"/>
  <c r="H270" i="5"/>
  <c r="G270" i="5"/>
  <c r="E270" i="5"/>
  <c r="C271" i="5"/>
  <c r="D270" i="5"/>
  <c r="B270" i="12" s="1"/>
  <c r="B270" i="5"/>
  <c r="BI267" i="6"/>
  <c r="BL267" i="6"/>
  <c r="BY267" i="6"/>
  <c r="CB267" i="6"/>
  <c r="BW267" i="6"/>
  <c r="BC267" i="6"/>
  <c r="BH267" i="6"/>
  <c r="L269" i="12"/>
  <c r="J269" i="12"/>
  <c r="H268" i="6"/>
  <c r="T268" i="5" s="1"/>
  <c r="G268" i="12" s="1"/>
  <c r="BX267" i="6"/>
  <c r="CC267" i="6"/>
  <c r="CD267" i="6"/>
  <c r="BE267" i="6"/>
  <c r="BJ267" i="6"/>
  <c r="BZ267" i="6"/>
  <c r="D269" i="6"/>
  <c r="N268" i="6" l="1"/>
  <c r="CK268" i="6"/>
  <c r="BS268" i="6"/>
  <c r="BT268" i="6"/>
  <c r="CL268" i="6"/>
  <c r="BM268" i="6"/>
  <c r="BN268" i="6"/>
  <c r="BO268" i="6"/>
  <c r="BP268" i="6"/>
  <c r="CG268" i="6"/>
  <c r="CF268" i="6"/>
  <c r="A269" i="6"/>
  <c r="N269" i="6" s="1"/>
  <c r="CH268" i="6"/>
  <c r="CM268" i="6"/>
  <c r="BR268" i="6"/>
  <c r="CI268" i="6"/>
  <c r="BQ268" i="6"/>
  <c r="CJ268" i="6"/>
  <c r="BC268" i="6"/>
  <c r="BF268" i="6"/>
  <c r="CA268" i="6"/>
  <c r="BG268" i="6"/>
  <c r="BI268" i="6"/>
  <c r="BL268" i="6"/>
  <c r="K269" i="12"/>
  <c r="BV268" i="6"/>
  <c r="H269" i="6"/>
  <c r="T269" i="5" s="1"/>
  <c r="G269" i="12" s="1"/>
  <c r="L270" i="12"/>
  <c r="J270" i="12"/>
  <c r="BE268" i="6"/>
  <c r="BW268" i="6"/>
  <c r="CB268" i="6"/>
  <c r="BH268" i="6"/>
  <c r="BZ268" i="6"/>
  <c r="BX268" i="6"/>
  <c r="CC268" i="6"/>
  <c r="CD268" i="6"/>
  <c r="BD268" i="6"/>
  <c r="BJ268" i="6"/>
  <c r="BK268" i="6"/>
  <c r="BY268" i="6"/>
  <c r="A271" i="12"/>
  <c r="B271" i="6"/>
  <c r="AD271" i="5"/>
  <c r="K271" i="5"/>
  <c r="F271" i="5"/>
  <c r="N271" i="5"/>
  <c r="J271" i="5"/>
  <c r="AE271" i="5"/>
  <c r="H271" i="5"/>
  <c r="G271" i="5"/>
  <c r="E271" i="5"/>
  <c r="D271" i="5"/>
  <c r="B271" i="12" s="1"/>
  <c r="C272" i="5"/>
  <c r="B271" i="5"/>
  <c r="D270" i="6"/>
  <c r="M269" i="6" l="1"/>
  <c r="BK269" i="6" s="1"/>
  <c r="A270" i="6"/>
  <c r="M270" i="6" s="1"/>
  <c r="BI270" i="6" s="1"/>
  <c r="J271" i="12"/>
  <c r="L271" i="12"/>
  <c r="H270" i="6"/>
  <c r="T270" i="5" s="1"/>
  <c r="G270" i="12" s="1"/>
  <c r="A272" i="12"/>
  <c r="F272" i="5"/>
  <c r="E272" i="5"/>
  <c r="B272" i="6"/>
  <c r="AD272" i="5"/>
  <c r="N272" i="5"/>
  <c r="C273" i="5"/>
  <c r="K272" i="5"/>
  <c r="J272" i="5"/>
  <c r="AE272" i="5"/>
  <c r="H272" i="5"/>
  <c r="G272" i="5"/>
  <c r="D272" i="5"/>
  <c r="B272" i="12" s="1"/>
  <c r="B272" i="5"/>
  <c r="D271" i="6"/>
  <c r="K270" i="12"/>
  <c r="CC269" i="6" l="1"/>
  <c r="CG269" i="6"/>
  <c r="BY269" i="6"/>
  <c r="BV269" i="6"/>
  <c r="BW269" i="6"/>
  <c r="BN269" i="6"/>
  <c r="BP269" i="6"/>
  <c r="BX269" i="6"/>
  <c r="BE269" i="6"/>
  <c r="CI269" i="6"/>
  <c r="BJ269" i="6"/>
  <c r="BG269" i="6"/>
  <c r="BL269" i="6"/>
  <c r="CB269" i="6"/>
  <c r="BM269" i="6"/>
  <c r="BO269" i="6"/>
  <c r="BF269" i="6"/>
  <c r="BS269" i="6"/>
  <c r="CK269" i="6"/>
  <c r="BC269" i="6"/>
  <c r="BH269" i="6"/>
  <c r="BR269" i="6"/>
  <c r="CJ269" i="6"/>
  <c r="CE269" i="6"/>
  <c r="BQ269" i="6"/>
  <c r="CF269" i="6"/>
  <c r="CL269" i="6"/>
  <c r="CA269" i="6"/>
  <c r="CM269" i="6"/>
  <c r="CD269" i="6"/>
  <c r="BI269" i="6"/>
  <c r="BZ269" i="6"/>
  <c r="BD269" i="6"/>
  <c r="CH269" i="6"/>
  <c r="BT269" i="6"/>
  <c r="N270" i="6"/>
  <c r="CF270" i="6"/>
  <c r="A271" i="6"/>
  <c r="N271" i="6" s="1"/>
  <c r="CM270" i="6"/>
  <c r="BN270" i="6"/>
  <c r="CG270" i="6"/>
  <c r="BM270" i="6"/>
  <c r="CH270" i="6"/>
  <c r="BO270" i="6"/>
  <c r="CK270" i="6"/>
  <c r="BP270" i="6"/>
  <c r="CL270" i="6"/>
  <c r="BQ270" i="6"/>
  <c r="BR270" i="6"/>
  <c r="BS270" i="6"/>
  <c r="BT270" i="6"/>
  <c r="CI270" i="6"/>
  <c r="CJ270" i="6"/>
  <c r="K271" i="12"/>
  <c r="BW270" i="6"/>
  <c r="BC270" i="6"/>
  <c r="BV270" i="6"/>
  <c r="BK270" i="6"/>
  <c r="CD270" i="6"/>
  <c r="A273" i="12"/>
  <c r="AD273" i="5"/>
  <c r="K273" i="5"/>
  <c r="F273" i="5"/>
  <c r="N273" i="5"/>
  <c r="J273" i="5"/>
  <c r="B273" i="6"/>
  <c r="AE273" i="5"/>
  <c r="H273" i="5"/>
  <c r="G273" i="5"/>
  <c r="E273" i="5"/>
  <c r="D273" i="5"/>
  <c r="B273" i="12" s="1"/>
  <c r="C274" i="5"/>
  <c r="B273" i="5"/>
  <c r="CA270" i="6"/>
  <c r="BX270" i="6"/>
  <c r="D272" i="6"/>
  <c r="BY270" i="6"/>
  <c r="BE270" i="6"/>
  <c r="BD270" i="6"/>
  <c r="CC270" i="6"/>
  <c r="BZ270" i="6"/>
  <c r="H271" i="6"/>
  <c r="T271" i="5" s="1"/>
  <c r="G271" i="12" s="1"/>
  <c r="BJ270" i="6"/>
  <c r="BH270" i="6"/>
  <c r="CE270" i="6"/>
  <c r="BG270" i="6"/>
  <c r="CB270" i="6"/>
  <c r="BL270" i="6"/>
  <c r="BF270" i="6"/>
  <c r="L272" i="12"/>
  <c r="J272" i="12"/>
  <c r="M271" i="6" l="1"/>
  <c r="BV271" i="6" s="1"/>
  <c r="A272" i="6"/>
  <c r="M272" i="6" s="1"/>
  <c r="BG272" i="6" s="1"/>
  <c r="K272" i="12"/>
  <c r="H272" i="6"/>
  <c r="T272" i="5" s="1"/>
  <c r="G272" i="12" s="1"/>
  <c r="L273" i="12"/>
  <c r="J273" i="12"/>
  <c r="A274" i="12"/>
  <c r="B274" i="6"/>
  <c r="F274" i="5"/>
  <c r="E274" i="5"/>
  <c r="AD274" i="5"/>
  <c r="B274" i="5"/>
  <c r="C275" i="5"/>
  <c r="D274" i="5"/>
  <c r="B274" i="12" s="1"/>
  <c r="N274" i="5"/>
  <c r="K274" i="5"/>
  <c r="J274" i="5"/>
  <c r="AE274" i="5"/>
  <c r="H274" i="5"/>
  <c r="G274" i="5"/>
  <c r="D273" i="6"/>
  <c r="N272" i="6" l="1"/>
  <c r="BC271" i="6"/>
  <c r="BQ271" i="6"/>
  <c r="BJ271" i="6"/>
  <c r="CD271" i="6"/>
  <c r="CH271" i="6"/>
  <c r="BL271" i="6"/>
  <c r="BF271" i="6"/>
  <c r="BD271" i="6"/>
  <c r="BH271" i="6"/>
  <c r="BY271" i="6"/>
  <c r="CA271" i="6"/>
  <c r="CG271" i="6"/>
  <c r="CJ271" i="6"/>
  <c r="BI271" i="6"/>
  <c r="BR271" i="6"/>
  <c r="BZ271" i="6"/>
  <c r="BK271" i="6"/>
  <c r="CM271" i="6"/>
  <c r="CE271" i="6"/>
  <c r="CB271" i="6"/>
  <c r="BM271" i="6"/>
  <c r="CI271" i="6"/>
  <c r="BG271" i="6"/>
  <c r="CL271" i="6"/>
  <c r="CF271" i="6"/>
  <c r="CC271" i="6"/>
  <c r="BE271" i="6"/>
  <c r="BT271" i="6"/>
  <c r="BP271" i="6"/>
  <c r="BW271" i="6"/>
  <c r="CK271" i="6"/>
  <c r="BN271" i="6"/>
  <c r="BX271" i="6"/>
  <c r="BS271" i="6"/>
  <c r="BO271" i="6"/>
  <c r="BM272" i="6"/>
  <c r="CI272" i="6"/>
  <c r="BN272" i="6"/>
  <c r="CM272" i="6"/>
  <c r="BO272" i="6"/>
  <c r="CG272" i="6"/>
  <c r="BP272" i="6"/>
  <c r="CH272" i="6"/>
  <c r="BQ272" i="6"/>
  <c r="BR272" i="6"/>
  <c r="BS272" i="6"/>
  <c r="BT272" i="6"/>
  <c r="CF272" i="6"/>
  <c r="CJ272" i="6"/>
  <c r="CK272" i="6"/>
  <c r="A273" i="6"/>
  <c r="M273" i="6" s="1"/>
  <c r="CB273" i="6" s="1"/>
  <c r="CL272" i="6"/>
  <c r="BZ272" i="6"/>
  <c r="K273" i="12"/>
  <c r="CC272" i="6"/>
  <c r="CE272" i="6"/>
  <c r="BX272" i="6"/>
  <c r="CB272" i="6"/>
  <c r="BD272" i="6"/>
  <c r="BE272" i="6"/>
  <c r="BI272" i="6"/>
  <c r="BJ272" i="6"/>
  <c r="CD272" i="6"/>
  <c r="A275" i="12"/>
  <c r="AD275" i="5"/>
  <c r="K275" i="5"/>
  <c r="B275" i="6"/>
  <c r="F275" i="5"/>
  <c r="D275" i="5"/>
  <c r="B275" i="12" s="1"/>
  <c r="B275" i="5"/>
  <c r="C276" i="5"/>
  <c r="N275" i="5"/>
  <c r="J275" i="5"/>
  <c r="G275" i="5"/>
  <c r="AE275" i="5"/>
  <c r="H275" i="5"/>
  <c r="E275" i="5"/>
  <c r="BH272" i="6"/>
  <c r="BC272" i="6"/>
  <c r="BK272" i="6"/>
  <c r="BL272" i="6"/>
  <c r="BF272" i="6"/>
  <c r="BV272" i="6"/>
  <c r="H273" i="6"/>
  <c r="T273" i="5" s="1"/>
  <c r="G273" i="12" s="1"/>
  <c r="D274" i="6"/>
  <c r="BW272" i="6"/>
  <c r="CA272" i="6"/>
  <c r="L274" i="12"/>
  <c r="J274" i="12"/>
  <c r="BY272" i="6"/>
  <c r="K237" i="5"/>
  <c r="K233" i="5"/>
  <c r="K230" i="5"/>
  <c r="K221" i="5"/>
  <c r="K212" i="5"/>
  <c r="K184" i="5"/>
  <c r="K199" i="5"/>
  <c r="N273" i="6" l="1"/>
  <c r="BP273" i="6"/>
  <c r="CL273" i="6"/>
  <c r="A274" i="6"/>
  <c r="N274" i="6" s="1"/>
  <c r="BQ273" i="6"/>
  <c r="BR273" i="6"/>
  <c r="BS273" i="6"/>
  <c r="BT273" i="6"/>
  <c r="CJ273" i="6"/>
  <c r="CI273" i="6"/>
  <c r="CM273" i="6"/>
  <c r="CF273" i="6"/>
  <c r="BN273" i="6"/>
  <c r="CG273" i="6"/>
  <c r="BM273" i="6"/>
  <c r="CH273" i="6"/>
  <c r="BO273" i="6"/>
  <c r="CK273" i="6"/>
  <c r="CA273" i="6"/>
  <c r="BY273" i="6"/>
  <c r="CC273" i="6"/>
  <c r="BW273" i="6"/>
  <c r="CD273" i="6"/>
  <c r="K274" i="12"/>
  <c r="BC273" i="6"/>
  <c r="BI273" i="6"/>
  <c r="H274" i="6"/>
  <c r="T274" i="5" s="1"/>
  <c r="G274" i="12" s="1"/>
  <c r="BH273" i="6"/>
  <c r="BX273" i="6"/>
  <c r="BF273" i="6"/>
  <c r="CE273" i="6"/>
  <c r="D275" i="6"/>
  <c r="BJ273" i="6"/>
  <c r="BE273" i="6"/>
  <c r="BL273" i="6"/>
  <c r="BZ273" i="6"/>
  <c r="L275" i="12"/>
  <c r="J275" i="12"/>
  <c r="BD273" i="6"/>
  <c r="A276" i="12"/>
  <c r="H276" i="5"/>
  <c r="F276" i="5"/>
  <c r="E276" i="5"/>
  <c r="B276" i="5"/>
  <c r="AD276" i="5"/>
  <c r="J276" i="5"/>
  <c r="B276" i="6"/>
  <c r="G276" i="5"/>
  <c r="AE276" i="5"/>
  <c r="D276" i="5"/>
  <c r="B276" i="12" s="1"/>
  <c r="N276" i="5"/>
  <c r="C277" i="5"/>
  <c r="K276" i="5"/>
  <c r="BV273" i="6"/>
  <c r="BG273" i="6"/>
  <c r="BK273" i="6"/>
  <c r="M274" i="6" l="1"/>
  <c r="BV274" i="6" s="1"/>
  <c r="A275" i="6"/>
  <c r="M275" i="6" s="1"/>
  <c r="CD275" i="6" s="1"/>
  <c r="K275" i="12"/>
  <c r="A277" i="12"/>
  <c r="B277" i="5"/>
  <c r="B277" i="6"/>
  <c r="AD277" i="5"/>
  <c r="K277" i="5"/>
  <c r="H277" i="5"/>
  <c r="F277" i="5"/>
  <c r="N277" i="5"/>
  <c r="J277" i="5"/>
  <c r="C278" i="5"/>
  <c r="G277" i="5"/>
  <c r="D277" i="5"/>
  <c r="B277" i="12" s="1"/>
  <c r="E277" i="5"/>
  <c r="AE277" i="5"/>
  <c r="D276" i="6"/>
  <c r="L276" i="12"/>
  <c r="J276" i="12"/>
  <c r="H275" i="6"/>
  <c r="T275" i="5" s="1"/>
  <c r="G275" i="12" s="1"/>
  <c r="N275" i="6" l="1"/>
  <c r="CK274" i="6"/>
  <c r="CB274" i="6"/>
  <c r="BS274" i="6"/>
  <c r="CA274" i="6"/>
  <c r="CI274" i="6"/>
  <c r="CC274" i="6"/>
  <c r="BR274" i="6"/>
  <c r="BQ274" i="6"/>
  <c r="BW274" i="6"/>
  <c r="BO274" i="6"/>
  <c r="CG274" i="6"/>
  <c r="CE274" i="6"/>
  <c r="BI274" i="6"/>
  <c r="BJ274" i="6"/>
  <c r="BE274" i="6"/>
  <c r="BN274" i="6"/>
  <c r="CF274" i="6"/>
  <c r="CJ274" i="6"/>
  <c r="BL274" i="6"/>
  <c r="BZ274" i="6"/>
  <c r="BH274" i="6"/>
  <c r="BF274" i="6"/>
  <c r="BX274" i="6"/>
  <c r="BM274" i="6"/>
  <c r="CM274" i="6"/>
  <c r="BG274" i="6"/>
  <c r="CD274" i="6"/>
  <c r="BY274" i="6"/>
  <c r="BK274" i="6"/>
  <c r="BD274" i="6"/>
  <c r="BC274" i="6"/>
  <c r="CL274" i="6"/>
  <c r="CH274" i="6"/>
  <c r="BT274" i="6"/>
  <c r="BP274" i="6"/>
  <c r="BR275" i="6"/>
  <c r="BS275" i="6"/>
  <c r="BT275" i="6"/>
  <c r="CJ275" i="6"/>
  <c r="CF275" i="6"/>
  <c r="CK275" i="6"/>
  <c r="CL275" i="6"/>
  <c r="BM275" i="6"/>
  <c r="CI275" i="6"/>
  <c r="BN275" i="6"/>
  <c r="CM275" i="6"/>
  <c r="BO275" i="6"/>
  <c r="CG275" i="6"/>
  <c r="BP275" i="6"/>
  <c r="CH275" i="6"/>
  <c r="A276" i="6"/>
  <c r="M276" i="6" s="1"/>
  <c r="CE276" i="6" s="1"/>
  <c r="BQ275" i="6"/>
  <c r="BW275" i="6"/>
  <c r="BY275" i="6"/>
  <c r="K276" i="12"/>
  <c r="BZ275" i="6"/>
  <c r="CA275" i="6"/>
  <c r="BG275" i="6"/>
  <c r="CE275" i="6"/>
  <c r="BE275" i="6"/>
  <c r="CB275" i="6"/>
  <c r="BI275" i="6"/>
  <c r="A278" i="12"/>
  <c r="H278" i="5"/>
  <c r="F278" i="5"/>
  <c r="E278" i="5"/>
  <c r="B278" i="6"/>
  <c r="B278" i="5"/>
  <c r="AE278" i="5"/>
  <c r="N278" i="5"/>
  <c r="AD278" i="5"/>
  <c r="K278" i="5"/>
  <c r="C279" i="5"/>
  <c r="J278" i="5"/>
  <c r="G278" i="5"/>
  <c r="D278" i="5"/>
  <c r="B278" i="12" s="1"/>
  <c r="BD275" i="6"/>
  <c r="CC275" i="6"/>
  <c r="BH275" i="6"/>
  <c r="BC275" i="6"/>
  <c r="BK275" i="6"/>
  <c r="D277" i="6"/>
  <c r="BJ275" i="6"/>
  <c r="BX275" i="6"/>
  <c r="BL275" i="6"/>
  <c r="J277" i="12"/>
  <c r="L277" i="12"/>
  <c r="BF275" i="6"/>
  <c r="BV275" i="6"/>
  <c r="H276" i="6"/>
  <c r="T276" i="5" s="1"/>
  <c r="G276" i="12" s="1"/>
  <c r="N276" i="6" l="1"/>
  <c r="CL276" i="6"/>
  <c r="BP276" i="6"/>
  <c r="BQ276" i="6"/>
  <c r="BR276" i="6"/>
  <c r="BS276" i="6"/>
  <c r="BT276" i="6"/>
  <c r="CJ276" i="6"/>
  <c r="A277" i="6"/>
  <c r="M277" i="6" s="1"/>
  <c r="CE277" i="6" s="1"/>
  <c r="CI276" i="6"/>
  <c r="CM276" i="6"/>
  <c r="CF276" i="6"/>
  <c r="BN276" i="6"/>
  <c r="CG276" i="6"/>
  <c r="BM276" i="6"/>
  <c r="CH276" i="6"/>
  <c r="BO276" i="6"/>
  <c r="CK276" i="6"/>
  <c r="K277" i="12"/>
  <c r="CC276" i="6"/>
  <c r="BJ276" i="6"/>
  <c r="BE276" i="6"/>
  <c r="A279" i="12"/>
  <c r="B279" i="6"/>
  <c r="B279" i="5"/>
  <c r="AD279" i="5"/>
  <c r="K279" i="5"/>
  <c r="H279" i="5"/>
  <c r="G279" i="5"/>
  <c r="F279" i="5"/>
  <c r="E279" i="5"/>
  <c r="AE279" i="5"/>
  <c r="N279" i="5"/>
  <c r="J279" i="5"/>
  <c r="D279" i="5"/>
  <c r="B279" i="12" s="1"/>
  <c r="C280" i="5"/>
  <c r="BL276" i="6"/>
  <c r="BZ276" i="6"/>
  <c r="L278" i="12"/>
  <c r="J278" i="12"/>
  <c r="BD276" i="6"/>
  <c r="BV276" i="6"/>
  <c r="BG276" i="6"/>
  <c r="D278" i="6"/>
  <c r="BK276" i="6"/>
  <c r="CB276" i="6"/>
  <c r="BY276" i="6"/>
  <c r="BI276" i="6"/>
  <c r="H277" i="6"/>
  <c r="T277" i="5" s="1"/>
  <c r="G277" i="12" s="1"/>
  <c r="CA276" i="6"/>
  <c r="BW276" i="6"/>
  <c r="CD276" i="6"/>
  <c r="BC276" i="6"/>
  <c r="BH276" i="6"/>
  <c r="BX276" i="6"/>
  <c r="BF276" i="6"/>
  <c r="N277" i="6" l="1"/>
  <c r="BR277" i="6"/>
  <c r="CF277" i="6"/>
  <c r="CH277" i="6"/>
  <c r="CM277" i="6"/>
  <c r="CI277" i="6"/>
  <c r="BQ277" i="6"/>
  <c r="CJ277" i="6"/>
  <c r="BS277" i="6"/>
  <c r="CK277" i="6"/>
  <c r="BT277" i="6"/>
  <c r="CL277" i="6"/>
  <c r="A278" i="6"/>
  <c r="M278" i="6" s="1"/>
  <c r="CD278" i="6" s="1"/>
  <c r="BM277" i="6"/>
  <c r="BN277" i="6"/>
  <c r="BO277" i="6"/>
  <c r="BP277" i="6"/>
  <c r="CG277" i="6"/>
  <c r="BW277" i="6"/>
  <c r="K278" i="12"/>
  <c r="BI277" i="6"/>
  <c r="BL277" i="6"/>
  <c r="BG277" i="6"/>
  <c r="BV277" i="6"/>
  <c r="BD277" i="6"/>
  <c r="BK277" i="6"/>
  <c r="H278" i="6"/>
  <c r="T278" i="5" s="1"/>
  <c r="G278" i="12" s="1"/>
  <c r="BY277" i="6"/>
  <c r="BF277" i="6"/>
  <c r="BH277" i="6"/>
  <c r="L279" i="12"/>
  <c r="J279" i="12"/>
  <c r="CA277" i="6"/>
  <c r="BC277" i="6"/>
  <c r="BX277" i="6"/>
  <c r="CC277" i="6"/>
  <c r="CB277" i="6"/>
  <c r="A280" i="12"/>
  <c r="H280" i="5"/>
  <c r="F280" i="5"/>
  <c r="E280" i="5"/>
  <c r="B280" i="5"/>
  <c r="AE280" i="5"/>
  <c r="N280" i="5"/>
  <c r="AD280" i="5"/>
  <c r="B280" i="6"/>
  <c r="K280" i="5"/>
  <c r="C281" i="5"/>
  <c r="C282" i="5" s="1"/>
  <c r="C283" i="5" s="1"/>
  <c r="D280" i="5"/>
  <c r="B280" i="12" s="1"/>
  <c r="J280" i="5"/>
  <c r="G280" i="5"/>
  <c r="BE277" i="6"/>
  <c r="CD277" i="6"/>
  <c r="BJ277" i="6"/>
  <c r="BZ277" i="6"/>
  <c r="D279" i="6"/>
  <c r="N278" i="6" l="1"/>
  <c r="BP278" i="6"/>
  <c r="CH278" i="6"/>
  <c r="BQ278" i="6"/>
  <c r="BR278" i="6"/>
  <c r="BS278" i="6"/>
  <c r="BT278" i="6"/>
  <c r="CL278" i="6"/>
  <c r="CF278" i="6"/>
  <c r="CJ278" i="6"/>
  <c r="CK278" i="6"/>
  <c r="BM278" i="6"/>
  <c r="CI278" i="6"/>
  <c r="BN278" i="6"/>
  <c r="CM278" i="6"/>
  <c r="A279" i="6"/>
  <c r="M279" i="6" s="1"/>
  <c r="BO278" i="6"/>
  <c r="CG278" i="6"/>
  <c r="A283" i="12"/>
  <c r="K283" i="5"/>
  <c r="J283" i="5"/>
  <c r="B283" i="6"/>
  <c r="C284" i="5"/>
  <c r="AE283" i="5"/>
  <c r="N283" i="5"/>
  <c r="D283" i="5"/>
  <c r="B283" i="12" s="1"/>
  <c r="AD283" i="5"/>
  <c r="A282" i="12"/>
  <c r="B282" i="6"/>
  <c r="N282" i="5"/>
  <c r="AE282" i="5"/>
  <c r="K282" i="5"/>
  <c r="AD282" i="5"/>
  <c r="J282" i="5"/>
  <c r="D282" i="5"/>
  <c r="B282" i="12" s="1"/>
  <c r="BH278" i="6"/>
  <c r="BE278" i="6"/>
  <c r="A281" i="12"/>
  <c r="B281" i="5"/>
  <c r="B282" i="5" s="1"/>
  <c r="B283" i="5" s="1"/>
  <c r="AD281" i="5"/>
  <c r="K281" i="5"/>
  <c r="J281" i="5"/>
  <c r="H281" i="5"/>
  <c r="H282" i="5" s="1"/>
  <c r="H283" i="5" s="1"/>
  <c r="B281" i="6"/>
  <c r="G281" i="5"/>
  <c r="G282" i="5" s="1"/>
  <c r="G283" i="5" s="1"/>
  <c r="F281" i="5"/>
  <c r="F282" i="5" s="1"/>
  <c r="F283" i="5" s="1"/>
  <c r="E281" i="5"/>
  <c r="E282" i="5" s="1"/>
  <c r="E283" i="5" s="1"/>
  <c r="D281" i="5"/>
  <c r="B281" i="12" s="1"/>
  <c r="AE281" i="5"/>
  <c r="N281" i="5"/>
  <c r="L280" i="12"/>
  <c r="J280" i="12"/>
  <c r="BJ278" i="6"/>
  <c r="BC278" i="6"/>
  <c r="BK278" i="6"/>
  <c r="H279" i="6"/>
  <c r="T279" i="5" s="1"/>
  <c r="G279" i="12" s="1"/>
  <c r="BW278" i="6"/>
  <c r="BX278" i="6"/>
  <c r="BY278" i="6"/>
  <c r="BL278" i="6"/>
  <c r="D280" i="6"/>
  <c r="BF278" i="6"/>
  <c r="BZ278" i="6"/>
  <c r="CA278" i="6"/>
  <c r="K279" i="12"/>
  <c r="BV278" i="6"/>
  <c r="CC278" i="6"/>
  <c r="BG278" i="6"/>
  <c r="CB278" i="6"/>
  <c r="BD278" i="6"/>
  <c r="CE278" i="6"/>
  <c r="BI278" i="6"/>
  <c r="N279" i="6" l="1"/>
  <c r="CC279" i="6"/>
  <c r="CK279" i="6"/>
  <c r="BO279" i="6"/>
  <c r="CH279" i="6"/>
  <c r="BM279" i="6"/>
  <c r="CG279" i="6"/>
  <c r="CF279" i="6"/>
  <c r="CM279" i="6"/>
  <c r="CJ279" i="6"/>
  <c r="BN279" i="6"/>
  <c r="CI279" i="6"/>
  <c r="BT279" i="6"/>
  <c r="BS279" i="6"/>
  <c r="BR279" i="6"/>
  <c r="BQ279" i="6"/>
  <c r="CL279" i="6"/>
  <c r="BP279" i="6"/>
  <c r="A280" i="6"/>
  <c r="N280" i="6" s="1"/>
  <c r="BW279" i="6"/>
  <c r="CE279" i="6"/>
  <c r="B284" i="6"/>
  <c r="A284" i="12"/>
  <c r="E284" i="5"/>
  <c r="D284" i="5"/>
  <c r="B284" i="12" s="1"/>
  <c r="G284" i="5"/>
  <c r="H284" i="5"/>
  <c r="B284" i="5"/>
  <c r="AE284" i="5"/>
  <c r="N284" i="5"/>
  <c r="AD284" i="5"/>
  <c r="K284" i="5"/>
  <c r="J284" i="5"/>
  <c r="F284" i="5"/>
  <c r="D283" i="6"/>
  <c r="L283" i="12"/>
  <c r="J283" i="12"/>
  <c r="L282" i="12"/>
  <c r="J282" i="12"/>
  <c r="D282" i="6"/>
  <c r="CA279" i="6"/>
  <c r="BY279" i="6"/>
  <c r="BK279" i="6"/>
  <c r="BC279" i="6"/>
  <c r="CD279" i="6"/>
  <c r="BD279" i="6"/>
  <c r="BX279" i="6"/>
  <c r="BF279" i="6"/>
  <c r="BE279" i="6"/>
  <c r="BJ279" i="6"/>
  <c r="BZ279" i="6"/>
  <c r="BL279" i="6"/>
  <c r="BV279" i="6"/>
  <c r="BG279" i="6"/>
  <c r="BH279" i="6"/>
  <c r="BI279" i="6"/>
  <c r="K280" i="12"/>
  <c r="H280" i="6"/>
  <c r="T280" i="5" s="1"/>
  <c r="G280" i="12" s="1"/>
  <c r="L281" i="12"/>
  <c r="J281" i="12"/>
  <c r="CB279" i="6"/>
  <c r="D281" i="6"/>
  <c r="M280" i="6" l="1"/>
  <c r="BW280" i="6" s="1"/>
  <c r="A281" i="6"/>
  <c r="A282" i="6" s="1"/>
  <c r="A283" i="6" s="1"/>
  <c r="N283" i="6" s="1"/>
  <c r="K283" i="12"/>
  <c r="C285" i="5"/>
  <c r="J284" i="12"/>
  <c r="L284" i="12"/>
  <c r="H283" i="6"/>
  <c r="T283" i="5" s="1"/>
  <c r="G283" i="12" s="1"/>
  <c r="D284" i="6"/>
  <c r="H282" i="6"/>
  <c r="T282" i="5" s="1"/>
  <c r="G282" i="12" s="1"/>
  <c r="K282" i="12"/>
  <c r="K281" i="12"/>
  <c r="H281" i="6"/>
  <c r="T281" i="5" s="1"/>
  <c r="G281" i="12" s="1"/>
  <c r="AF285" i="5"/>
  <c r="BD280" i="6" l="1"/>
  <c r="BR280" i="6"/>
  <c r="BY280" i="6"/>
  <c r="CB280" i="6"/>
  <c r="BL280" i="6"/>
  <c r="CL280" i="6"/>
  <c r="BG280" i="6"/>
  <c r="BO280" i="6"/>
  <c r="CE280" i="6"/>
  <c r="BH280" i="6"/>
  <c r="CD280" i="6"/>
  <c r="BT280" i="6"/>
  <c r="BV280" i="6"/>
  <c r="CH280" i="6"/>
  <c r="BI280" i="6"/>
  <c r="CG280" i="6"/>
  <c r="BS280" i="6"/>
  <c r="N281" i="6"/>
  <c r="BM280" i="6"/>
  <c r="CC280" i="6"/>
  <c r="BC280" i="6"/>
  <c r="CA280" i="6"/>
  <c r="BE280" i="6"/>
  <c r="CJ280" i="6"/>
  <c r="BJ280" i="6"/>
  <c r="BN280" i="6"/>
  <c r="BX280" i="6"/>
  <c r="M281" i="6"/>
  <c r="CC281" i="6" s="1"/>
  <c r="BZ280" i="6"/>
  <c r="CK280" i="6"/>
  <c r="BF280" i="6"/>
  <c r="CF280" i="6"/>
  <c r="BK280" i="6"/>
  <c r="CM280" i="6"/>
  <c r="BQ280" i="6"/>
  <c r="BP280" i="6"/>
  <c r="CI280" i="6"/>
  <c r="M282" i="6"/>
  <c r="BF282" i="6" s="1"/>
  <c r="M283" i="6"/>
  <c r="BW283" i="6" s="1"/>
  <c r="N282" i="6"/>
  <c r="A284" i="6"/>
  <c r="M284" i="6" s="1"/>
  <c r="BJ284" i="6" s="1"/>
  <c r="K284" i="12"/>
  <c r="S285" i="5"/>
  <c r="F285" i="12" s="1"/>
  <c r="AG285" i="5"/>
  <c r="H284" i="6"/>
  <c r="T284" i="5" s="1"/>
  <c r="G284" i="12" s="1"/>
  <c r="A285" i="12"/>
  <c r="W285" i="5"/>
  <c r="H285" i="12" s="1"/>
  <c r="F285" i="5"/>
  <c r="H285" i="5"/>
  <c r="AD285" i="5"/>
  <c r="C286" i="5"/>
  <c r="G285" i="5"/>
  <c r="E285" i="5"/>
  <c r="B285" i="6"/>
  <c r="B285" i="5"/>
  <c r="N285" i="5"/>
  <c r="AE285" i="5"/>
  <c r="CL282" i="6" l="1"/>
  <c r="BV281" i="6"/>
  <c r="BI283" i="6"/>
  <c r="CD282" i="6"/>
  <c r="CJ282" i="6"/>
  <c r="CB281" i="6"/>
  <c r="BG281" i="6"/>
  <c r="CD281" i="6"/>
  <c r="N284" i="6"/>
  <c r="BH282" i="6"/>
  <c r="BD282" i="6"/>
  <c r="BR282" i="6"/>
  <c r="CK282" i="6"/>
  <c r="CF282" i="6"/>
  <c r="CL283" i="6"/>
  <c r="BJ283" i="6"/>
  <c r="BC283" i="6"/>
  <c r="BL281" i="6"/>
  <c r="CB282" i="6"/>
  <c r="BL283" i="6"/>
  <c r="BG282" i="6"/>
  <c r="CI283" i="6"/>
  <c r="CG283" i="6"/>
  <c r="BR281" i="6"/>
  <c r="BO281" i="6"/>
  <c r="BE283" i="6"/>
  <c r="BI281" i="6"/>
  <c r="CI281" i="6"/>
  <c r="BX281" i="6"/>
  <c r="BD281" i="6"/>
  <c r="CC283" i="6"/>
  <c r="BZ283" i="6"/>
  <c r="CD283" i="6"/>
  <c r="BR283" i="6"/>
  <c r="CH282" i="6"/>
  <c r="BN283" i="6"/>
  <c r="CK283" i="6"/>
  <c r="BO282" i="6"/>
  <c r="BX282" i="6"/>
  <c r="BC281" i="6"/>
  <c r="CA281" i="6"/>
  <c r="BK281" i="6"/>
  <c r="CA283" i="6"/>
  <c r="BG283" i="6"/>
  <c r="BK283" i="6"/>
  <c r="BW282" i="6"/>
  <c r="BQ282" i="6"/>
  <c r="BM282" i="6"/>
  <c r="CI282" i="6"/>
  <c r="BS282" i="6"/>
  <c r="BZ281" i="6"/>
  <c r="BH281" i="6"/>
  <c r="CL281" i="6"/>
  <c r="BF281" i="6"/>
  <c r="BL282" i="6"/>
  <c r="BH283" i="6"/>
  <c r="CE283" i="6"/>
  <c r="CE282" i="6"/>
  <c r="CJ281" i="6"/>
  <c r="CK281" i="6"/>
  <c r="BQ281" i="6"/>
  <c r="CM281" i="6"/>
  <c r="BC282" i="6"/>
  <c r="BS281" i="6"/>
  <c r="BT282" i="6"/>
  <c r="BM281" i="6"/>
  <c r="CM282" i="6"/>
  <c r="CG281" i="6"/>
  <c r="CE281" i="6"/>
  <c r="BV283" i="6"/>
  <c r="BJ282" i="6"/>
  <c r="CB283" i="6"/>
  <c r="BV282" i="6"/>
  <c r="CM283" i="6"/>
  <c r="CF283" i="6"/>
  <c r="BM283" i="6"/>
  <c r="BN281" i="6"/>
  <c r="BZ282" i="6"/>
  <c r="CC282" i="6"/>
  <c r="CG282" i="6"/>
  <c r="BJ281" i="6"/>
  <c r="BK282" i="6"/>
  <c r="BF283" i="6"/>
  <c r="BP282" i="6"/>
  <c r="BN282" i="6"/>
  <c r="BE281" i="6"/>
  <c r="BE282" i="6"/>
  <c r="BX283" i="6"/>
  <c r="BY283" i="6"/>
  <c r="BY282" i="6"/>
  <c r="CF281" i="6"/>
  <c r="BT281" i="6"/>
  <c r="CH281" i="6"/>
  <c r="BW281" i="6"/>
  <c r="BY281" i="6"/>
  <c r="BD283" i="6"/>
  <c r="CA282" i="6"/>
  <c r="BI282" i="6"/>
  <c r="CH283" i="6"/>
  <c r="BP283" i="6"/>
  <c r="BP281" i="6"/>
  <c r="CJ283" i="6"/>
  <c r="BQ283" i="6"/>
  <c r="BO283" i="6"/>
  <c r="BT283" i="6"/>
  <c r="BS283" i="6"/>
  <c r="CI284" i="6"/>
  <c r="CK284" i="6"/>
  <c r="BM284" i="6"/>
  <c r="CL284" i="6"/>
  <c r="BN284" i="6"/>
  <c r="CM284" i="6"/>
  <c r="BO284" i="6"/>
  <c r="CG284" i="6"/>
  <c r="BP284" i="6"/>
  <c r="CH284" i="6"/>
  <c r="BQ284" i="6"/>
  <c r="BR284" i="6"/>
  <c r="BS284" i="6"/>
  <c r="BT284" i="6"/>
  <c r="CJ284" i="6"/>
  <c r="CF284" i="6"/>
  <c r="U285" i="5"/>
  <c r="AN285" i="5" s="1"/>
  <c r="BL284" i="6"/>
  <c r="BX284" i="6"/>
  <c r="BY284" i="6"/>
  <c r="CA284" i="6"/>
  <c r="CE284" i="6"/>
  <c r="D285" i="6"/>
  <c r="A286" i="12"/>
  <c r="B286" i="6"/>
  <c r="AD286" i="5"/>
  <c r="D286" i="5"/>
  <c r="B286" i="12" s="1"/>
  <c r="G286" i="5"/>
  <c r="B286" i="5"/>
  <c r="F286" i="5"/>
  <c r="N286" i="5"/>
  <c r="C287" i="5"/>
  <c r="AE286" i="5"/>
  <c r="K286" i="5"/>
  <c r="J286" i="5"/>
  <c r="H286" i="5"/>
  <c r="E286" i="5"/>
  <c r="BG284" i="6"/>
  <c r="CB284" i="6"/>
  <c r="BV284" i="6"/>
  <c r="BZ284" i="6"/>
  <c r="E285" i="12"/>
  <c r="F285" i="6"/>
  <c r="BH284" i="6"/>
  <c r="CC284" i="6"/>
  <c r="BD284" i="6"/>
  <c r="BI284" i="6"/>
  <c r="BE284" i="6"/>
  <c r="BW284" i="6"/>
  <c r="CD284" i="6"/>
  <c r="BC284" i="6"/>
  <c r="BK284" i="6"/>
  <c r="BF284" i="6"/>
  <c r="A285" i="6" l="1"/>
  <c r="CL285" i="6"/>
  <c r="CK285" i="6"/>
  <c r="CJ285" i="6"/>
  <c r="CH285" i="6"/>
  <c r="CG285" i="6"/>
  <c r="CF285" i="6"/>
  <c r="CM285" i="6"/>
  <c r="CI285" i="6"/>
  <c r="BT285" i="6"/>
  <c r="BS285" i="6"/>
  <c r="BR285" i="6"/>
  <c r="BQ285" i="6"/>
  <c r="BP285" i="6"/>
  <c r="BO285" i="6"/>
  <c r="BM285" i="6"/>
  <c r="BN285" i="6"/>
  <c r="A287" i="12"/>
  <c r="B287" i="6"/>
  <c r="F287" i="5"/>
  <c r="N287" i="5"/>
  <c r="AE287" i="5"/>
  <c r="AD287" i="5"/>
  <c r="K287" i="5"/>
  <c r="J287" i="5"/>
  <c r="H287" i="5"/>
  <c r="B287" i="5"/>
  <c r="G287" i="5"/>
  <c r="C288" i="5"/>
  <c r="E287" i="5"/>
  <c r="D287" i="5"/>
  <c r="B287" i="12" s="1"/>
  <c r="L286" i="12"/>
  <c r="J286" i="12"/>
  <c r="D286" i="6"/>
  <c r="N285" i="6"/>
  <c r="H285" i="6"/>
  <c r="T285" i="5" s="1"/>
  <c r="G285" i="12" s="1"/>
  <c r="G285" i="6"/>
  <c r="M285" i="6"/>
  <c r="BY285" i="6" s="1"/>
  <c r="AX285" i="6" l="1"/>
  <c r="AY285" i="6"/>
  <c r="A286" i="6"/>
  <c r="N286" i="6" s="1"/>
  <c r="AT285" i="6"/>
  <c r="AZ285" i="6"/>
  <c r="BA285" i="6"/>
  <c r="AU285" i="6"/>
  <c r="AV285" i="6"/>
  <c r="AW285" i="6"/>
  <c r="BL285" i="6"/>
  <c r="CD285" i="6"/>
  <c r="BI285" i="6"/>
  <c r="BF285" i="6"/>
  <c r="BK285" i="6"/>
  <c r="BX285" i="6"/>
  <c r="BV285" i="6"/>
  <c r="BC285" i="6"/>
  <c r="BE285" i="6"/>
  <c r="BG285" i="6"/>
  <c r="BZ285" i="6"/>
  <c r="CC285" i="6"/>
  <c r="BH285" i="6"/>
  <c r="AJ285" i="6"/>
  <c r="AQ285" i="6"/>
  <c r="A288" i="12"/>
  <c r="B288" i="6"/>
  <c r="H288" i="5"/>
  <c r="AD288" i="5"/>
  <c r="K288" i="5"/>
  <c r="J288" i="5"/>
  <c r="AE288" i="5"/>
  <c r="G288" i="5"/>
  <c r="F288" i="5"/>
  <c r="E288" i="5"/>
  <c r="D288" i="5"/>
  <c r="B288" i="12" s="1"/>
  <c r="C289" i="5"/>
  <c r="B288" i="5"/>
  <c r="N288" i="5"/>
  <c r="AR285" i="6"/>
  <c r="D287" i="6"/>
  <c r="AK285" i="6"/>
  <c r="H286" i="6"/>
  <c r="T286" i="5" s="1"/>
  <c r="G286" i="12" s="1"/>
  <c r="CA285" i="6"/>
  <c r="AS285" i="6"/>
  <c r="AL285" i="6"/>
  <c r="AO285" i="6"/>
  <c r="BW285" i="6"/>
  <c r="K286" i="12"/>
  <c r="L287" i="12"/>
  <c r="J287" i="12"/>
  <c r="AM285" i="6"/>
  <c r="BJ285" i="6"/>
  <c r="CB285" i="6"/>
  <c r="CE285" i="6"/>
  <c r="BD285" i="6"/>
  <c r="AN285" i="6"/>
  <c r="AP285" i="6"/>
  <c r="M286" i="6" l="1"/>
  <c r="CD286" i="6" s="1"/>
  <c r="A287" i="6"/>
  <c r="K287" i="12"/>
  <c r="D288" i="6"/>
  <c r="B289" i="6"/>
  <c r="B289" i="5"/>
  <c r="K289" i="5"/>
  <c r="F289" i="5"/>
  <c r="N289" i="5"/>
  <c r="J289" i="5"/>
  <c r="C290" i="5"/>
  <c r="AE289" i="5"/>
  <c r="AD289" i="5"/>
  <c r="H289" i="5"/>
  <c r="G289" i="5"/>
  <c r="E289" i="5"/>
  <c r="A289" i="12"/>
  <c r="D289" i="5"/>
  <c r="B289" i="12" s="1"/>
  <c r="H287" i="6"/>
  <c r="T287" i="5" s="1"/>
  <c r="G287" i="12" s="1"/>
  <c r="L288" i="12"/>
  <c r="J288" i="12"/>
  <c r="M287" i="6" l="1"/>
  <c r="BV287" i="6" s="1"/>
  <c r="BV286" i="6"/>
  <c r="BT286" i="6"/>
  <c r="BL286" i="6"/>
  <c r="CJ286" i="6"/>
  <c r="BJ286" i="6"/>
  <c r="BS286" i="6"/>
  <c r="BI286" i="6"/>
  <c r="BE286" i="6"/>
  <c r="BF286" i="6"/>
  <c r="BQ286" i="6"/>
  <c r="CC286" i="6"/>
  <c r="CE286" i="6"/>
  <c r="CI286" i="6"/>
  <c r="BY286" i="6"/>
  <c r="BX286" i="6"/>
  <c r="BK286" i="6"/>
  <c r="BR286" i="6"/>
  <c r="CL286" i="6"/>
  <c r="BH286" i="6"/>
  <c r="BZ286" i="6"/>
  <c r="CH286" i="6"/>
  <c r="BD286" i="6"/>
  <c r="BW286" i="6"/>
  <c r="CG286" i="6"/>
  <c r="CA286" i="6"/>
  <c r="BG286" i="6"/>
  <c r="BC286" i="6"/>
  <c r="CF286" i="6"/>
  <c r="CB286" i="6"/>
  <c r="BM286" i="6"/>
  <c r="CM286" i="6"/>
  <c r="BP286" i="6"/>
  <c r="BN286" i="6"/>
  <c r="CK286" i="6"/>
  <c r="BO286" i="6"/>
  <c r="N287" i="6"/>
  <c r="A288" i="6"/>
  <c r="N288" i="6" s="1"/>
  <c r="K288" i="12"/>
  <c r="H288" i="6"/>
  <c r="T288" i="5" s="1"/>
  <c r="G288" i="12" s="1"/>
  <c r="A290" i="12"/>
  <c r="H290" i="5"/>
  <c r="B290" i="6"/>
  <c r="E290" i="5"/>
  <c r="AD290" i="5"/>
  <c r="N290" i="5"/>
  <c r="K290" i="5"/>
  <c r="B290" i="5"/>
  <c r="J290" i="5"/>
  <c r="AE290" i="5"/>
  <c r="G290" i="5"/>
  <c r="F290" i="5"/>
  <c r="D290" i="5"/>
  <c r="B290" i="12" s="1"/>
  <c r="C291" i="5"/>
  <c r="D289" i="6"/>
  <c r="J289" i="12"/>
  <c r="L289" i="12"/>
  <c r="CC287" i="6" l="1"/>
  <c r="BP287" i="6"/>
  <c r="BG287" i="6"/>
  <c r="BQ287" i="6"/>
  <c r="BY287" i="6"/>
  <c r="BR287" i="6"/>
  <c r="CH287" i="6"/>
  <c r="BH287" i="6"/>
  <c r="BK287" i="6"/>
  <c r="BS287" i="6"/>
  <c r="CG287" i="6"/>
  <c r="BT287" i="6"/>
  <c r="BD287" i="6"/>
  <c r="CD287" i="6"/>
  <c r="BW287" i="6"/>
  <c r="BM287" i="6"/>
  <c r="CJ287" i="6"/>
  <c r="CM287" i="6"/>
  <c r="CI287" i="6"/>
  <c r="BZ287" i="6"/>
  <c r="BJ287" i="6"/>
  <c r="BC287" i="6"/>
  <c r="BL287" i="6"/>
  <c r="CE287" i="6"/>
  <c r="BN287" i="6"/>
  <c r="CK287" i="6"/>
  <c r="BE287" i="6"/>
  <c r="CA287" i="6"/>
  <c r="BX287" i="6"/>
  <c r="CF287" i="6"/>
  <c r="CL287" i="6"/>
  <c r="BI287" i="6"/>
  <c r="CB287" i="6"/>
  <c r="BF287" i="6"/>
  <c r="BO287" i="6"/>
  <c r="M288" i="6"/>
  <c r="BJ288" i="6" s="1"/>
  <c r="A289" i="6"/>
  <c r="M289" i="6" s="1"/>
  <c r="K289" i="12"/>
  <c r="H289" i="6"/>
  <c r="T289" i="5" s="1"/>
  <c r="G289" i="12" s="1"/>
  <c r="L290" i="12"/>
  <c r="J290" i="12"/>
  <c r="A291" i="12"/>
  <c r="B291" i="5"/>
  <c r="K291" i="5"/>
  <c r="F291" i="5"/>
  <c r="C292" i="5"/>
  <c r="B291" i="6"/>
  <c r="N291" i="5"/>
  <c r="J291" i="5"/>
  <c r="AE291" i="5"/>
  <c r="AD291" i="5"/>
  <c r="H291" i="5"/>
  <c r="G291" i="5"/>
  <c r="D291" i="5"/>
  <c r="B291" i="12" s="1"/>
  <c r="E291" i="5"/>
  <c r="D290" i="6"/>
  <c r="CB288" i="6" l="1"/>
  <c r="BE288" i="6"/>
  <c r="BT288" i="6"/>
  <c r="BZ288" i="6"/>
  <c r="CA288" i="6"/>
  <c r="BX288" i="6"/>
  <c r="CE288" i="6"/>
  <c r="CL288" i="6"/>
  <c r="BP288" i="6"/>
  <c r="BR288" i="6"/>
  <c r="BC288" i="6"/>
  <c r="CK288" i="6"/>
  <c r="BD288" i="6"/>
  <c r="BV288" i="6"/>
  <c r="BQ288" i="6"/>
  <c r="BW288" i="6"/>
  <c r="BO288" i="6"/>
  <c r="BH288" i="6"/>
  <c r="BG288" i="6"/>
  <c r="BY288" i="6"/>
  <c r="CJ288" i="6"/>
  <c r="BK288" i="6"/>
  <c r="CD288" i="6"/>
  <c r="CC288" i="6"/>
  <c r="BM288" i="6"/>
  <c r="BF288" i="6"/>
  <c r="CF288" i="6"/>
  <c r="CI288" i="6"/>
  <c r="BL288" i="6"/>
  <c r="BI288" i="6"/>
  <c r="CM288" i="6"/>
  <c r="CH288" i="6"/>
  <c r="CG288" i="6"/>
  <c r="BS288" i="6"/>
  <c r="BN288" i="6"/>
  <c r="N289" i="6"/>
  <c r="CA289" i="6"/>
  <c r="CJ289" i="6"/>
  <c r="CI289" i="6"/>
  <c r="BN289" i="6"/>
  <c r="BT289" i="6"/>
  <c r="BS289" i="6"/>
  <c r="BQ289" i="6"/>
  <c r="BR289" i="6"/>
  <c r="CM289" i="6"/>
  <c r="CL289" i="6"/>
  <c r="CK289" i="6"/>
  <c r="A290" i="6"/>
  <c r="M290" i="6" s="1"/>
  <c r="CA290" i="6" s="1"/>
  <c r="BM289" i="6"/>
  <c r="BO289" i="6"/>
  <c r="BP289" i="6"/>
  <c r="CF289" i="6"/>
  <c r="CG289" i="6"/>
  <c r="CH289" i="6"/>
  <c r="BY289" i="6"/>
  <c r="K290" i="12"/>
  <c r="BD289" i="6"/>
  <c r="BH289" i="6"/>
  <c r="BI289" i="6"/>
  <c r="BV289" i="6"/>
  <c r="BC289" i="6"/>
  <c r="H290" i="6"/>
  <c r="T290" i="5" s="1"/>
  <c r="G290" i="12" s="1"/>
  <c r="CC289" i="6"/>
  <c r="BJ289" i="6"/>
  <c r="BX289" i="6"/>
  <c r="BL289" i="6"/>
  <c r="L291" i="12"/>
  <c r="J291" i="12"/>
  <c r="CD289" i="6"/>
  <c r="BE289" i="6"/>
  <c r="BG289" i="6"/>
  <c r="BZ289" i="6"/>
  <c r="D291" i="6"/>
  <c r="BW289" i="6"/>
  <c r="CB289" i="6"/>
  <c r="BF289" i="6"/>
  <c r="CE289" i="6"/>
  <c r="BK289" i="6"/>
  <c r="A292" i="12"/>
  <c r="B292" i="6"/>
  <c r="H292" i="5"/>
  <c r="E292" i="5"/>
  <c r="AD292" i="5"/>
  <c r="B292" i="5"/>
  <c r="F292" i="5"/>
  <c r="G292" i="5"/>
  <c r="N292" i="5"/>
  <c r="K292" i="5"/>
  <c r="J292" i="5"/>
  <c r="AE292" i="5"/>
  <c r="D292" i="5"/>
  <c r="B292" i="12" s="1"/>
  <c r="N290" i="6" l="1"/>
  <c r="BS290" i="6"/>
  <c r="BT290" i="6"/>
  <c r="CJ290" i="6"/>
  <c r="CI290" i="6"/>
  <c r="CK290" i="6"/>
  <c r="CL290" i="6"/>
  <c r="A291" i="6"/>
  <c r="M291" i="6" s="1"/>
  <c r="BG291" i="6" s="1"/>
  <c r="BM290" i="6"/>
  <c r="CM290" i="6"/>
  <c r="BN290" i="6"/>
  <c r="CF290" i="6"/>
  <c r="BO290" i="6"/>
  <c r="CG290" i="6"/>
  <c r="BP290" i="6"/>
  <c r="CH290" i="6"/>
  <c r="BQ290" i="6"/>
  <c r="BR290" i="6"/>
  <c r="CE290" i="6"/>
  <c r="BF290" i="6"/>
  <c r="BJ290" i="6"/>
  <c r="CC290" i="6"/>
  <c r="BX290" i="6"/>
  <c r="C293" i="5"/>
  <c r="BK290" i="6"/>
  <c r="BH290" i="6"/>
  <c r="BC290" i="6"/>
  <c r="BV290" i="6"/>
  <c r="BL290" i="6"/>
  <c r="BG290" i="6"/>
  <c r="BW290" i="6"/>
  <c r="D292" i="6"/>
  <c r="BY290" i="6"/>
  <c r="CB290" i="6"/>
  <c r="L292" i="12"/>
  <c r="J292" i="12"/>
  <c r="H291" i="6"/>
  <c r="T291" i="5" s="1"/>
  <c r="G291" i="12" s="1"/>
  <c r="BZ290" i="6"/>
  <c r="BI290" i="6"/>
  <c r="K291" i="12"/>
  <c r="BD290" i="6"/>
  <c r="CD290" i="6"/>
  <c r="BE290" i="6"/>
  <c r="AF293" i="5"/>
  <c r="N291" i="6" l="1"/>
  <c r="BR291" i="6"/>
  <c r="BS291" i="6"/>
  <c r="BT291" i="6"/>
  <c r="CM291" i="6"/>
  <c r="CF291" i="6"/>
  <c r="CG291" i="6"/>
  <c r="CH291" i="6"/>
  <c r="BN291" i="6"/>
  <c r="CI291" i="6"/>
  <c r="BM291" i="6"/>
  <c r="CJ291" i="6"/>
  <c r="A292" i="6"/>
  <c r="M292" i="6" s="1"/>
  <c r="BF292" i="6" s="1"/>
  <c r="BO291" i="6"/>
  <c r="CK291" i="6"/>
  <c r="BP291" i="6"/>
  <c r="CL291" i="6"/>
  <c r="BQ291" i="6"/>
  <c r="BZ291" i="6"/>
  <c r="CB291" i="6"/>
  <c r="BH291" i="6"/>
  <c r="BC291" i="6"/>
  <c r="BF291" i="6"/>
  <c r="BI291" i="6"/>
  <c r="CD291" i="6"/>
  <c r="BJ291" i="6"/>
  <c r="BW291" i="6"/>
  <c r="BY291" i="6"/>
  <c r="CC291" i="6"/>
  <c r="BK291" i="6"/>
  <c r="BD291" i="6"/>
  <c r="K292" i="12"/>
  <c r="AG293" i="5"/>
  <c r="S293" i="5"/>
  <c r="F293" i="12" s="1"/>
  <c r="B293" i="6"/>
  <c r="A293" i="12"/>
  <c r="H293" i="5"/>
  <c r="W293" i="5"/>
  <c r="H293" i="12" s="1"/>
  <c r="F293" i="5"/>
  <c r="E293" i="5"/>
  <c r="AD293" i="5"/>
  <c r="C294" i="5"/>
  <c r="N293" i="5"/>
  <c r="G293" i="5"/>
  <c r="AE293" i="5"/>
  <c r="B293" i="5"/>
  <c r="BX291" i="6"/>
  <c r="CE291" i="6"/>
  <c r="CA291" i="6"/>
  <c r="BE291" i="6"/>
  <c r="BL291" i="6"/>
  <c r="BV291" i="6"/>
  <c r="H292" i="6"/>
  <c r="T292" i="5" s="1"/>
  <c r="G292" i="12" s="1"/>
  <c r="N292" i="6" l="1"/>
  <c r="CI292" i="6"/>
  <c r="BR292" i="6"/>
  <c r="CJ292" i="6"/>
  <c r="BQ292" i="6"/>
  <c r="CK292" i="6"/>
  <c r="BS292" i="6"/>
  <c r="CL292" i="6"/>
  <c r="BT292" i="6"/>
  <c r="CM292" i="6"/>
  <c r="BM292" i="6"/>
  <c r="BN292" i="6"/>
  <c r="BO292" i="6"/>
  <c r="BP292" i="6"/>
  <c r="CF292" i="6"/>
  <c r="CG292" i="6"/>
  <c r="CH292" i="6"/>
  <c r="U293" i="5"/>
  <c r="AN293" i="5" s="1"/>
  <c r="CD292" i="6"/>
  <c r="BG292" i="6"/>
  <c r="BW292" i="6"/>
  <c r="CB292" i="6"/>
  <c r="BV292" i="6"/>
  <c r="BC292" i="6"/>
  <c r="CE292" i="6"/>
  <c r="BX292" i="6"/>
  <c r="BY292" i="6"/>
  <c r="BJ292" i="6"/>
  <c r="BE292" i="6"/>
  <c r="CC292" i="6"/>
  <c r="CA292" i="6"/>
  <c r="D293" i="6"/>
  <c r="A294" i="12"/>
  <c r="E294" i="5"/>
  <c r="B294" i="5"/>
  <c r="B294" i="6"/>
  <c r="AD294" i="5"/>
  <c r="K294" i="5"/>
  <c r="F294" i="5"/>
  <c r="G294" i="5"/>
  <c r="AE294" i="5"/>
  <c r="D294" i="5"/>
  <c r="B294" i="12" s="1"/>
  <c r="J294" i="5"/>
  <c r="N294" i="5"/>
  <c r="H294" i="5"/>
  <c r="BD292" i="6"/>
  <c r="BK292" i="6"/>
  <c r="BZ292" i="6"/>
  <c r="BH292" i="6"/>
  <c r="E293" i="12"/>
  <c r="F293" i="6"/>
  <c r="BI292" i="6"/>
  <c r="BL292" i="6"/>
  <c r="A293" i="6" l="1"/>
  <c r="CH293" i="6"/>
  <c r="CG293" i="6"/>
  <c r="CF293" i="6"/>
  <c r="CM293" i="6"/>
  <c r="CL293" i="6"/>
  <c r="CK293" i="6"/>
  <c r="CI293" i="6"/>
  <c r="CJ293" i="6"/>
  <c r="BT293" i="6"/>
  <c r="BS293" i="6"/>
  <c r="BR293" i="6"/>
  <c r="BQ293" i="6"/>
  <c r="BP293" i="6"/>
  <c r="BO293" i="6"/>
  <c r="BN293" i="6"/>
  <c r="BM293" i="6"/>
  <c r="J294" i="12"/>
  <c r="L294" i="12"/>
  <c r="N293" i="6"/>
  <c r="M293" i="6"/>
  <c r="CE293" i="6" s="1"/>
  <c r="G293" i="6"/>
  <c r="H293" i="6"/>
  <c r="T293" i="5" s="1"/>
  <c r="G293" i="12" s="1"/>
  <c r="D294" i="6"/>
  <c r="C295" i="5"/>
  <c r="AF295" i="5"/>
  <c r="AU293" i="6" l="1"/>
  <c r="AV293" i="6"/>
  <c r="AX293" i="6"/>
  <c r="AW293" i="6"/>
  <c r="AY293" i="6"/>
  <c r="BA293" i="6"/>
  <c r="AZ293" i="6"/>
  <c r="A294" i="6"/>
  <c r="N294" i="6" s="1"/>
  <c r="AT293" i="6"/>
  <c r="K294" i="12"/>
  <c r="AG295" i="5"/>
  <c r="S295" i="5"/>
  <c r="F295" i="12" s="1"/>
  <c r="AL293" i="6"/>
  <c r="H294" i="6"/>
  <c r="T294" i="5" s="1"/>
  <c r="G294" i="12" s="1"/>
  <c r="BC293" i="6"/>
  <c r="BG293" i="6"/>
  <c r="AQ293" i="6"/>
  <c r="BX293" i="6"/>
  <c r="CB293" i="6"/>
  <c r="A295" i="12"/>
  <c r="B295" i="6"/>
  <c r="E295" i="5"/>
  <c r="B295" i="5"/>
  <c r="AD295" i="5"/>
  <c r="W295" i="5"/>
  <c r="H295" i="12" s="1"/>
  <c r="F295" i="5"/>
  <c r="H295" i="5"/>
  <c r="N295" i="5"/>
  <c r="G295" i="5"/>
  <c r="AE295" i="5"/>
  <c r="C296" i="5"/>
  <c r="AR293" i="6"/>
  <c r="AM293" i="6"/>
  <c r="AS293" i="6"/>
  <c r="BD293" i="6"/>
  <c r="BH293" i="6"/>
  <c r="BY293" i="6"/>
  <c r="CC293" i="6"/>
  <c r="BL293" i="6"/>
  <c r="AJ293" i="6"/>
  <c r="AN293" i="6"/>
  <c r="BV293" i="6"/>
  <c r="BE293" i="6"/>
  <c r="BI293" i="6"/>
  <c r="BW293" i="6"/>
  <c r="BZ293" i="6"/>
  <c r="CD293" i="6"/>
  <c r="AK293" i="6"/>
  <c r="AO293" i="6"/>
  <c r="AP293" i="6"/>
  <c r="BF293" i="6"/>
  <c r="BJ293" i="6"/>
  <c r="BK293" i="6"/>
  <c r="CA293" i="6"/>
  <c r="M294" i="6" l="1"/>
  <c r="BC294" i="6" s="1"/>
  <c r="U295" i="5"/>
  <c r="AN295" i="5" s="1"/>
  <c r="D295" i="6"/>
  <c r="E295" i="12"/>
  <c r="F295" i="6"/>
  <c r="A296" i="12"/>
  <c r="K296" i="5"/>
  <c r="H296" i="5"/>
  <c r="F296" i="5"/>
  <c r="E296" i="5"/>
  <c r="AD296" i="5"/>
  <c r="C297" i="5"/>
  <c r="N296" i="5"/>
  <c r="B296" i="6"/>
  <c r="J296" i="5"/>
  <c r="AE296" i="5"/>
  <c r="G296" i="5"/>
  <c r="D296" i="5"/>
  <c r="B296" i="12" s="1"/>
  <c r="B296" i="5"/>
  <c r="BE294" i="6" l="1"/>
  <c r="CK294" i="6"/>
  <c r="BL294" i="6"/>
  <c r="BY294" i="6"/>
  <c r="CC294" i="6"/>
  <c r="BM294" i="6"/>
  <c r="BI294" i="6"/>
  <c r="CI294" i="6"/>
  <c r="BF294" i="6"/>
  <c r="BD294" i="6"/>
  <c r="BJ294" i="6"/>
  <c r="BN294" i="6"/>
  <c r="CE294" i="6"/>
  <c r="CH294" i="6"/>
  <c r="BX294" i="6"/>
  <c r="BS294" i="6"/>
  <c r="CG294" i="6"/>
  <c r="BP294" i="6"/>
  <c r="CJ294" i="6"/>
  <c r="CD294" i="6"/>
  <c r="BR294" i="6"/>
  <c r="CF294" i="6"/>
  <c r="BK294" i="6"/>
  <c r="CB294" i="6"/>
  <c r="CA294" i="6"/>
  <c r="BV294" i="6"/>
  <c r="BQ294" i="6"/>
  <c r="CM294" i="6"/>
  <c r="BH294" i="6"/>
  <c r="BO294" i="6"/>
  <c r="BG294" i="6"/>
  <c r="BW294" i="6"/>
  <c r="BZ294" i="6"/>
  <c r="CL294" i="6"/>
  <c r="BT294" i="6"/>
  <c r="A295" i="6"/>
  <c r="CM295" i="6"/>
  <c r="CL295" i="6"/>
  <c r="CK295" i="6"/>
  <c r="CJ295" i="6"/>
  <c r="CI295" i="6"/>
  <c r="CH295" i="6"/>
  <c r="CG295" i="6"/>
  <c r="CF295" i="6"/>
  <c r="BP295" i="6"/>
  <c r="BO295" i="6"/>
  <c r="BN295" i="6"/>
  <c r="BM295" i="6"/>
  <c r="BT295" i="6"/>
  <c r="BS295" i="6"/>
  <c r="BQ295" i="6"/>
  <c r="BR295" i="6"/>
  <c r="D296" i="6"/>
  <c r="L296" i="12"/>
  <c r="J296" i="12"/>
  <c r="A297" i="12"/>
  <c r="B297" i="6"/>
  <c r="E297" i="5"/>
  <c r="B297" i="5"/>
  <c r="AE297" i="5"/>
  <c r="N297" i="5"/>
  <c r="AD297" i="5"/>
  <c r="K297" i="5"/>
  <c r="F297" i="5"/>
  <c r="C298" i="5"/>
  <c r="H297" i="5"/>
  <c r="G297" i="5"/>
  <c r="D297" i="5"/>
  <c r="B297" i="12" s="1"/>
  <c r="J297" i="5"/>
  <c r="N295" i="6"/>
  <c r="M295" i="6"/>
  <c r="BH295" i="6" s="1"/>
  <c r="H295" i="6"/>
  <c r="T295" i="5" s="1"/>
  <c r="G295" i="12" s="1"/>
  <c r="G295" i="6"/>
  <c r="AT295" i="6" l="1"/>
  <c r="AU295" i="6"/>
  <c r="AV295" i="6"/>
  <c r="AY295" i="6"/>
  <c r="A296" i="6"/>
  <c r="N296" i="6" s="1"/>
  <c r="AW295" i="6"/>
  <c r="AX295" i="6"/>
  <c r="AZ295" i="6"/>
  <c r="BA295" i="6"/>
  <c r="BK295" i="6"/>
  <c r="BG295" i="6"/>
  <c r="K296" i="12"/>
  <c r="BE295" i="6"/>
  <c r="CB295" i="6"/>
  <c r="AP295" i="6"/>
  <c r="BC295" i="6"/>
  <c r="BI295" i="6"/>
  <c r="BX295" i="6"/>
  <c r="CD295" i="6"/>
  <c r="CC295" i="6"/>
  <c r="BW295" i="6"/>
  <c r="AO295" i="6"/>
  <c r="BY295" i="6"/>
  <c r="BJ295" i="6"/>
  <c r="AQ295" i="6"/>
  <c r="CE295" i="6"/>
  <c r="AS295" i="6"/>
  <c r="BL295" i="6"/>
  <c r="BF295" i="6"/>
  <c r="BZ295" i="6"/>
  <c r="AK295" i="6"/>
  <c r="BV295" i="6"/>
  <c r="CA295" i="6"/>
  <c r="D297" i="6"/>
  <c r="H296" i="6"/>
  <c r="T296" i="5" s="1"/>
  <c r="G296" i="12" s="1"/>
  <c r="AL295" i="6"/>
  <c r="L297" i="12"/>
  <c r="J297" i="12"/>
  <c r="AM295" i="6"/>
  <c r="B298" i="6"/>
  <c r="A298" i="12"/>
  <c r="K298" i="5"/>
  <c r="H298" i="5"/>
  <c r="G298" i="5"/>
  <c r="F298" i="5"/>
  <c r="E298" i="5"/>
  <c r="AD298" i="5"/>
  <c r="B298" i="5"/>
  <c r="AE298" i="5"/>
  <c r="C299" i="5"/>
  <c r="J298" i="5"/>
  <c r="N298" i="5"/>
  <c r="D298" i="5"/>
  <c r="B298" i="12" s="1"/>
  <c r="BD295" i="6"/>
  <c r="AR295" i="6"/>
  <c r="AJ295" i="6"/>
  <c r="AN295" i="6"/>
  <c r="M296" i="6" l="1"/>
  <c r="CA296" i="6" s="1"/>
  <c r="A297" i="6"/>
  <c r="D298" i="6"/>
  <c r="K297" i="12"/>
  <c r="H297" i="6"/>
  <c r="T297" i="5" s="1"/>
  <c r="G297" i="12" s="1"/>
  <c r="E299" i="5"/>
  <c r="A299" i="12"/>
  <c r="B299" i="5"/>
  <c r="AE299" i="5"/>
  <c r="N299" i="5"/>
  <c r="AD299" i="5"/>
  <c r="K299" i="5"/>
  <c r="B299" i="6"/>
  <c r="J299" i="5"/>
  <c r="F299" i="5"/>
  <c r="D299" i="5"/>
  <c r="B299" i="12" s="1"/>
  <c r="H299" i="5"/>
  <c r="G299" i="5"/>
  <c r="L298" i="12"/>
  <c r="J298" i="12"/>
  <c r="M297" i="6" l="1"/>
  <c r="CE297" i="6" s="1"/>
  <c r="BO296" i="6"/>
  <c r="CB296" i="6"/>
  <c r="CF296" i="6"/>
  <c r="BG296" i="6"/>
  <c r="BN296" i="6"/>
  <c r="BE296" i="6"/>
  <c r="CC296" i="6"/>
  <c r="CM296" i="6"/>
  <c r="BC296" i="6"/>
  <c r="BI296" i="6"/>
  <c r="BH296" i="6"/>
  <c r="BM296" i="6"/>
  <c r="BK296" i="6"/>
  <c r="BY296" i="6"/>
  <c r="CE296" i="6"/>
  <c r="CL296" i="6"/>
  <c r="BF296" i="6"/>
  <c r="BL296" i="6"/>
  <c r="BS296" i="6"/>
  <c r="CD296" i="6"/>
  <c r="BR296" i="6"/>
  <c r="CK296" i="6"/>
  <c r="CG296" i="6"/>
  <c r="BQ296" i="6"/>
  <c r="CI296" i="6"/>
  <c r="BV296" i="6"/>
  <c r="BD296" i="6"/>
  <c r="CH296" i="6"/>
  <c r="CJ296" i="6"/>
  <c r="BW296" i="6"/>
  <c r="BZ296" i="6"/>
  <c r="BJ296" i="6"/>
  <c r="BX296" i="6"/>
  <c r="BP296" i="6"/>
  <c r="BT296" i="6"/>
  <c r="N297" i="6"/>
  <c r="A298" i="6"/>
  <c r="M298" i="6" s="1"/>
  <c r="BL298" i="6" s="1"/>
  <c r="K298" i="12"/>
  <c r="C300" i="5"/>
  <c r="D299" i="6"/>
  <c r="H298" i="6"/>
  <c r="T298" i="5" s="1"/>
  <c r="G298" i="12" s="1"/>
  <c r="J299" i="12"/>
  <c r="L299" i="12"/>
  <c r="AF300" i="5"/>
  <c r="BG297" i="6" l="1"/>
  <c r="BT297" i="6"/>
  <c r="BS297" i="6"/>
  <c r="BX297" i="6"/>
  <c r="BF297" i="6"/>
  <c r="BR297" i="6"/>
  <c r="CD297" i="6"/>
  <c r="BE297" i="6"/>
  <c r="BQ297" i="6"/>
  <c r="BJ297" i="6"/>
  <c r="CA297" i="6"/>
  <c r="BH297" i="6"/>
  <c r="CL297" i="6"/>
  <c r="BL297" i="6"/>
  <c r="CM297" i="6"/>
  <c r="BI297" i="6"/>
  <c r="CI297" i="6"/>
  <c r="BP297" i="6"/>
  <c r="BC297" i="6"/>
  <c r="BZ297" i="6"/>
  <c r="CH297" i="6"/>
  <c r="CK297" i="6"/>
  <c r="BD297" i="6"/>
  <c r="BY297" i="6"/>
  <c r="CG297" i="6"/>
  <c r="BO297" i="6"/>
  <c r="BK297" i="6"/>
  <c r="BW297" i="6"/>
  <c r="CC297" i="6"/>
  <c r="CF297" i="6"/>
  <c r="CJ297" i="6"/>
  <c r="CB297" i="6"/>
  <c r="BV297" i="6"/>
  <c r="BN297" i="6"/>
  <c r="BM297" i="6"/>
  <c r="N298" i="6"/>
  <c r="BQ298" i="6"/>
  <c r="BS298" i="6"/>
  <c r="BP298" i="6"/>
  <c r="CK298" i="6"/>
  <c r="CL298" i="6"/>
  <c r="BT298" i="6"/>
  <c r="CM298" i="6"/>
  <c r="BM298" i="6"/>
  <c r="BN298" i="6"/>
  <c r="BO298" i="6"/>
  <c r="A299" i="6"/>
  <c r="N299" i="6" s="1"/>
  <c r="BR298" i="6"/>
  <c r="CF298" i="6"/>
  <c r="CG298" i="6"/>
  <c r="CH298" i="6"/>
  <c r="CI298" i="6"/>
  <c r="CJ298" i="6"/>
  <c r="K299" i="12"/>
  <c r="AG300" i="5"/>
  <c r="S300" i="5"/>
  <c r="F300" i="12" s="1"/>
  <c r="BY298" i="6"/>
  <c r="BE298" i="6"/>
  <c r="CC298" i="6"/>
  <c r="BH298" i="6"/>
  <c r="BD298" i="6"/>
  <c r="BV298" i="6"/>
  <c r="BK298" i="6"/>
  <c r="A300" i="12"/>
  <c r="B300" i="5"/>
  <c r="AD300" i="5"/>
  <c r="N300" i="5"/>
  <c r="AE300" i="5"/>
  <c r="H300" i="5"/>
  <c r="G300" i="5"/>
  <c r="B300" i="6"/>
  <c r="F300" i="5"/>
  <c r="E300" i="5"/>
  <c r="W300" i="5"/>
  <c r="H300" i="12" s="1"/>
  <c r="C301" i="5"/>
  <c r="BI298" i="6"/>
  <c r="BZ298" i="6"/>
  <c r="CD298" i="6"/>
  <c r="H299" i="6"/>
  <c r="T299" i="5" s="1"/>
  <c r="G299" i="12" s="1"/>
  <c r="BF298" i="6"/>
  <c r="BJ298" i="6"/>
  <c r="BW298" i="6"/>
  <c r="CA298" i="6"/>
  <c r="CE298" i="6"/>
  <c r="BC298" i="6"/>
  <c r="BG298" i="6"/>
  <c r="BX298" i="6"/>
  <c r="CB298" i="6"/>
  <c r="M299" i="6" l="1"/>
  <c r="BE299" i="6" s="1"/>
  <c r="U300" i="5"/>
  <c r="AN300" i="5" s="1"/>
  <c r="E300" i="12"/>
  <c r="F300" i="6"/>
  <c r="A301" i="12"/>
  <c r="B301" i="5"/>
  <c r="B301" i="6"/>
  <c r="H301" i="5"/>
  <c r="F301" i="5"/>
  <c r="N301" i="5"/>
  <c r="AE301" i="5"/>
  <c r="AD301" i="5"/>
  <c r="G301" i="5"/>
  <c r="E301" i="5"/>
  <c r="C302" i="5"/>
  <c r="D300" i="6"/>
  <c r="CC299" i="6" l="1"/>
  <c r="BF299" i="6"/>
  <c r="CM299" i="6"/>
  <c r="BL299" i="6"/>
  <c r="CK299" i="6"/>
  <c r="BJ299" i="6"/>
  <c r="CH299" i="6"/>
  <c r="CI299" i="6"/>
  <c r="CJ299" i="6"/>
  <c r="BM299" i="6"/>
  <c r="BG299" i="6"/>
  <c r="BD299" i="6"/>
  <c r="CF299" i="6"/>
  <c r="BT299" i="6"/>
  <c r="BY299" i="6"/>
  <c r="BK299" i="6"/>
  <c r="BN299" i="6"/>
  <c r="BS299" i="6"/>
  <c r="BH299" i="6"/>
  <c r="BX299" i="6"/>
  <c r="BC299" i="6"/>
  <c r="BR299" i="6"/>
  <c r="CB299" i="6"/>
  <c r="BQ299" i="6"/>
  <c r="BV299" i="6"/>
  <c r="BI299" i="6"/>
  <c r="BP299" i="6"/>
  <c r="CG299" i="6"/>
  <c r="BZ299" i="6"/>
  <c r="CL299" i="6"/>
  <c r="CE299" i="6"/>
  <c r="CA299" i="6"/>
  <c r="CD299" i="6"/>
  <c r="BW299" i="6"/>
  <c r="BO299" i="6"/>
  <c r="A300" i="6"/>
  <c r="CM300" i="6"/>
  <c r="CL300" i="6"/>
  <c r="CK300" i="6"/>
  <c r="CJ300" i="6"/>
  <c r="CI300" i="6"/>
  <c r="CH300" i="6"/>
  <c r="CG300" i="6"/>
  <c r="CF300" i="6"/>
  <c r="BP300" i="6"/>
  <c r="BO300" i="6"/>
  <c r="BN300" i="6"/>
  <c r="BM300" i="6"/>
  <c r="BT300" i="6"/>
  <c r="BS300" i="6"/>
  <c r="BQ300" i="6"/>
  <c r="BR300" i="6"/>
  <c r="H300" i="6"/>
  <c r="T300" i="5" s="1"/>
  <c r="G300" i="12" s="1"/>
  <c r="N300" i="6"/>
  <c r="M300" i="6"/>
  <c r="CC300" i="6" s="1"/>
  <c r="G300" i="6"/>
  <c r="D301" i="6"/>
  <c r="A302" i="12"/>
  <c r="H302" i="5"/>
  <c r="B302" i="5"/>
  <c r="AD302" i="5"/>
  <c r="B302" i="6"/>
  <c r="N302" i="5"/>
  <c r="K302" i="5"/>
  <c r="J302" i="5"/>
  <c r="AE302" i="5"/>
  <c r="G302" i="5"/>
  <c r="C303" i="5"/>
  <c r="F302" i="5"/>
  <c r="E302" i="5"/>
  <c r="D302" i="5"/>
  <c r="B302" i="12" s="1"/>
  <c r="AV300" i="6" l="1"/>
  <c r="AW300" i="6"/>
  <c r="AX300" i="6"/>
  <c r="AY300" i="6"/>
  <c r="AZ300" i="6"/>
  <c r="AU300" i="6"/>
  <c r="A301" i="6"/>
  <c r="N301" i="6" s="1"/>
  <c r="BA300" i="6"/>
  <c r="AT300" i="6"/>
  <c r="AM300" i="6"/>
  <c r="AP300" i="6"/>
  <c r="AR300" i="6"/>
  <c r="BC300" i="6"/>
  <c r="AJ300" i="6"/>
  <c r="BK300" i="6"/>
  <c r="BV300" i="6"/>
  <c r="BW300" i="6"/>
  <c r="A303" i="12"/>
  <c r="B303" i="5"/>
  <c r="H303" i="5"/>
  <c r="F303" i="5"/>
  <c r="C304" i="5"/>
  <c r="N303" i="5"/>
  <c r="K303" i="5"/>
  <c r="B303" i="6"/>
  <c r="AE303" i="5"/>
  <c r="J303" i="5"/>
  <c r="AD303" i="5"/>
  <c r="G303" i="5"/>
  <c r="E303" i="5"/>
  <c r="D303" i="5"/>
  <c r="B303" i="12" s="1"/>
  <c r="BE300" i="6"/>
  <c r="L302" i="12"/>
  <c r="J302" i="12"/>
  <c r="BD300" i="6"/>
  <c r="BZ300" i="6"/>
  <c r="BX300" i="6"/>
  <c r="BG300" i="6"/>
  <c r="AK300" i="6"/>
  <c r="AO300" i="6"/>
  <c r="BF300" i="6"/>
  <c r="BY300" i="6"/>
  <c r="BJ300" i="6"/>
  <c r="CA300" i="6"/>
  <c r="D302" i="6"/>
  <c r="AL300" i="6"/>
  <c r="CE300" i="6"/>
  <c r="AN300" i="6"/>
  <c r="CB300" i="6"/>
  <c r="AQ300" i="6"/>
  <c r="BI300" i="6"/>
  <c r="BH300" i="6"/>
  <c r="BL300" i="6"/>
  <c r="CD300" i="6"/>
  <c r="H301" i="6"/>
  <c r="T301" i="5" s="1"/>
  <c r="G301" i="12" s="1"/>
  <c r="AS300" i="6"/>
  <c r="M301" i="6" l="1"/>
  <c r="BZ301" i="6" s="1"/>
  <c r="A302" i="6"/>
  <c r="K302" i="12"/>
  <c r="A304" i="12"/>
  <c r="B304" i="6"/>
  <c r="H304" i="5"/>
  <c r="B304" i="5"/>
  <c r="AD304" i="5"/>
  <c r="D304" i="5"/>
  <c r="B304" i="12" s="1"/>
  <c r="C305" i="5"/>
  <c r="N304" i="5"/>
  <c r="E304" i="5"/>
  <c r="K304" i="5"/>
  <c r="J304" i="5"/>
  <c r="AE304" i="5"/>
  <c r="G304" i="5"/>
  <c r="F304" i="5"/>
  <c r="L303" i="12"/>
  <c r="J303" i="12"/>
  <c r="D303" i="6"/>
  <c r="H302" i="6"/>
  <c r="T302" i="5" s="1"/>
  <c r="G302" i="12" s="1"/>
  <c r="BG301" i="6" l="1"/>
  <c r="BD301" i="6"/>
  <c r="CA301" i="6"/>
  <c r="BN301" i="6"/>
  <c r="CD301" i="6"/>
  <c r="BE301" i="6"/>
  <c r="CM301" i="6"/>
  <c r="BW301" i="6"/>
  <c r="BM301" i="6"/>
  <c r="BL301" i="6"/>
  <c r="CB301" i="6"/>
  <c r="CL301" i="6"/>
  <c r="BV301" i="6"/>
  <c r="BK301" i="6"/>
  <c r="CK301" i="6"/>
  <c r="BJ301" i="6"/>
  <c r="BI301" i="6"/>
  <c r="BQ301" i="6"/>
  <c r="CI301" i="6"/>
  <c r="BS301" i="6"/>
  <c r="CF301" i="6"/>
  <c r="CJ301" i="6"/>
  <c r="BY301" i="6"/>
  <c r="BC301" i="6"/>
  <c r="BH301" i="6"/>
  <c r="CH301" i="6"/>
  <c r="BR301" i="6"/>
  <c r="CG301" i="6"/>
  <c r="BO301" i="6"/>
  <c r="BX301" i="6"/>
  <c r="CE301" i="6"/>
  <c r="BF301" i="6"/>
  <c r="CC301" i="6"/>
  <c r="BP301" i="6"/>
  <c r="BT301" i="6"/>
  <c r="M302" i="6"/>
  <c r="BF302" i="6" s="1"/>
  <c r="A303" i="6"/>
  <c r="K303" i="12"/>
  <c r="D304" i="6"/>
  <c r="L304" i="12"/>
  <c r="J304" i="12"/>
  <c r="H303" i="6"/>
  <c r="T303" i="5" s="1"/>
  <c r="G303" i="12" s="1"/>
  <c r="A305" i="12"/>
  <c r="B305" i="5"/>
  <c r="B305" i="6"/>
  <c r="H305" i="5"/>
  <c r="F305" i="5"/>
  <c r="E305" i="5"/>
  <c r="G305" i="5"/>
  <c r="D305" i="5"/>
  <c r="B305" i="12" s="1"/>
  <c r="C306" i="5"/>
  <c r="N305" i="5"/>
  <c r="K305" i="5"/>
  <c r="AE305" i="5"/>
  <c r="J305" i="5"/>
  <c r="AD305" i="5"/>
  <c r="M303" i="6" l="1"/>
  <c r="CE303" i="6" s="1"/>
  <c r="BJ302" i="6"/>
  <c r="BX302" i="6"/>
  <c r="CA302" i="6"/>
  <c r="CG302" i="6"/>
  <c r="CL302" i="6"/>
  <c r="BW302" i="6"/>
  <c r="BP302" i="6"/>
  <c r="BK302" i="6"/>
  <c r="CF302" i="6"/>
  <c r="CK302" i="6"/>
  <c r="BI302" i="6"/>
  <c r="CC302" i="6"/>
  <c r="CM302" i="6"/>
  <c r="CD302" i="6"/>
  <c r="BO302" i="6"/>
  <c r="BD302" i="6"/>
  <c r="BE302" i="6"/>
  <c r="BN302" i="6"/>
  <c r="BM302" i="6"/>
  <c r="BC302" i="6"/>
  <c r="BS302" i="6"/>
  <c r="CJ302" i="6"/>
  <c r="BT302" i="6"/>
  <c r="BV302" i="6"/>
  <c r="CI302" i="6"/>
  <c r="CB302" i="6"/>
  <c r="CH302" i="6"/>
  <c r="BH302" i="6"/>
  <c r="CE302" i="6"/>
  <c r="BY302" i="6"/>
  <c r="BL302" i="6"/>
  <c r="BG302" i="6"/>
  <c r="BZ302" i="6"/>
  <c r="BQ302" i="6"/>
  <c r="BR302" i="6"/>
  <c r="A304" i="6"/>
  <c r="M304" i="6" s="1"/>
  <c r="BE304" i="6" s="1"/>
  <c r="K304" i="12"/>
  <c r="A306" i="12"/>
  <c r="H306" i="5"/>
  <c r="B306" i="6"/>
  <c r="B306" i="5"/>
  <c r="AD306" i="5"/>
  <c r="G306" i="5"/>
  <c r="F306" i="5"/>
  <c r="E306" i="5"/>
  <c r="D306" i="5"/>
  <c r="B306" i="12" s="1"/>
  <c r="C307" i="5"/>
  <c r="AE306" i="5"/>
  <c r="N306" i="5"/>
  <c r="K306" i="5"/>
  <c r="J306" i="5"/>
  <c r="J305" i="12"/>
  <c r="L305" i="12"/>
  <c r="H304" i="6"/>
  <c r="T304" i="5" s="1"/>
  <c r="G304" i="12" s="1"/>
  <c r="D305" i="6"/>
  <c r="CB303" i="6" l="1"/>
  <c r="BN303" i="6"/>
  <c r="CC303" i="6"/>
  <c r="BH303" i="6"/>
  <c r="BT303" i="6"/>
  <c r="CL303" i="6"/>
  <c r="CI303" i="6"/>
  <c r="BD303" i="6"/>
  <c r="BG303" i="6"/>
  <c r="BW303" i="6"/>
  <c r="BE303" i="6"/>
  <c r="BY303" i="6"/>
  <c r="BS303" i="6"/>
  <c r="BI303" i="6"/>
  <c r="BM303" i="6"/>
  <c r="BK303" i="6"/>
  <c r="BX303" i="6"/>
  <c r="CH303" i="6"/>
  <c r="CK303" i="6"/>
  <c r="BL303" i="6"/>
  <c r="BV303" i="6"/>
  <c r="CA303" i="6"/>
  <c r="BJ303" i="6"/>
  <c r="CG303" i="6"/>
  <c r="BQ303" i="6"/>
  <c r="BF303" i="6"/>
  <c r="BZ303" i="6"/>
  <c r="CF303" i="6"/>
  <c r="CJ303" i="6"/>
  <c r="BO303" i="6"/>
  <c r="CM303" i="6"/>
  <c r="CD303" i="6"/>
  <c r="BC303" i="6"/>
  <c r="BP303" i="6"/>
  <c r="BR303" i="6"/>
  <c r="CL304" i="6"/>
  <c r="BM304" i="6"/>
  <c r="CM304" i="6"/>
  <c r="BN304" i="6"/>
  <c r="CF304" i="6"/>
  <c r="BO304" i="6"/>
  <c r="CG304" i="6"/>
  <c r="BP304" i="6"/>
  <c r="CH304" i="6"/>
  <c r="BQ304" i="6"/>
  <c r="BR304" i="6"/>
  <c r="BS304" i="6"/>
  <c r="BT304" i="6"/>
  <c r="CJ304" i="6"/>
  <c r="A305" i="6"/>
  <c r="CI304" i="6"/>
  <c r="CK304" i="6"/>
  <c r="BF304" i="6"/>
  <c r="K305" i="12"/>
  <c r="CE304" i="6"/>
  <c r="CC304" i="6"/>
  <c r="CD304" i="6"/>
  <c r="CB304" i="6"/>
  <c r="BL304" i="6"/>
  <c r="BD304" i="6"/>
  <c r="BK304" i="6"/>
  <c r="BG304" i="6"/>
  <c r="BZ304" i="6"/>
  <c r="D306" i="6"/>
  <c r="BJ304" i="6"/>
  <c r="BI304" i="6"/>
  <c r="A307" i="12"/>
  <c r="B307" i="5"/>
  <c r="H307" i="5"/>
  <c r="F307" i="5"/>
  <c r="AE307" i="5"/>
  <c r="J307" i="5"/>
  <c r="AD307" i="5"/>
  <c r="G307" i="5"/>
  <c r="E307" i="5"/>
  <c r="K307" i="5"/>
  <c r="D307" i="5"/>
  <c r="B307" i="12" s="1"/>
  <c r="C308" i="5"/>
  <c r="B307" i="6"/>
  <c r="N307" i="5"/>
  <c r="BW304" i="6"/>
  <c r="BC304" i="6"/>
  <c r="BH304" i="6"/>
  <c r="BX304" i="6"/>
  <c r="L306" i="12"/>
  <c r="J306" i="12"/>
  <c r="H305" i="6"/>
  <c r="T305" i="5" s="1"/>
  <c r="G305" i="12" s="1"/>
  <c r="BV304" i="6"/>
  <c r="CA304" i="6"/>
  <c r="BY304" i="6"/>
  <c r="M305" i="6" l="1"/>
  <c r="BZ305" i="6" s="1"/>
  <c r="A306" i="6"/>
  <c r="M306" i="6" s="1"/>
  <c r="BF306" i="6" s="1"/>
  <c r="K306" i="12"/>
  <c r="L307" i="12"/>
  <c r="J307" i="12"/>
  <c r="H306" i="6"/>
  <c r="T306" i="5" s="1"/>
  <c r="G306" i="12" s="1"/>
  <c r="D307" i="6"/>
  <c r="A308" i="12"/>
  <c r="H308" i="5"/>
  <c r="B308" i="5"/>
  <c r="AD308" i="5"/>
  <c r="K308" i="5"/>
  <c r="N308" i="5"/>
  <c r="J308" i="5"/>
  <c r="AE308" i="5"/>
  <c r="B308" i="6"/>
  <c r="G308" i="5"/>
  <c r="F308" i="5"/>
  <c r="E308" i="5"/>
  <c r="D308" i="5"/>
  <c r="B308" i="12" s="1"/>
  <c r="C309" i="5"/>
  <c r="CM305" i="6" l="1"/>
  <c r="CF305" i="6"/>
  <c r="BT305" i="6"/>
  <c r="BV305" i="6"/>
  <c r="CB305" i="6"/>
  <c r="BR305" i="6"/>
  <c r="CA305" i="6"/>
  <c r="BS305" i="6"/>
  <c r="CD305" i="6"/>
  <c r="BQ305" i="6"/>
  <c r="BW305" i="6"/>
  <c r="BD305" i="6"/>
  <c r="CL305" i="6"/>
  <c r="BC305" i="6"/>
  <c r="BF305" i="6"/>
  <c r="BL305" i="6"/>
  <c r="BE305" i="6"/>
  <c r="CI305" i="6"/>
  <c r="BP305" i="6"/>
  <c r="BY305" i="6"/>
  <c r="BJ305" i="6"/>
  <c r="CC305" i="6"/>
  <c r="BN305" i="6"/>
  <c r="CK305" i="6"/>
  <c r="BO305" i="6"/>
  <c r="CH305" i="6"/>
  <c r="CJ305" i="6"/>
  <c r="BG305" i="6"/>
  <c r="BI305" i="6"/>
  <c r="CE305" i="6"/>
  <c r="BX305" i="6"/>
  <c r="BH305" i="6"/>
  <c r="BK305" i="6"/>
  <c r="CG305" i="6"/>
  <c r="BM305" i="6"/>
  <c r="BT306" i="6"/>
  <c r="CM306" i="6"/>
  <c r="BM306" i="6"/>
  <c r="BN306" i="6"/>
  <c r="BO306" i="6"/>
  <c r="BP306" i="6"/>
  <c r="CF306" i="6"/>
  <c r="CG306" i="6"/>
  <c r="CH306" i="6"/>
  <c r="CI306" i="6"/>
  <c r="A307" i="6"/>
  <c r="M307" i="6" s="1"/>
  <c r="BZ307" i="6" s="1"/>
  <c r="BR306" i="6"/>
  <c r="CJ306" i="6"/>
  <c r="BQ306" i="6"/>
  <c r="CK306" i="6"/>
  <c r="BS306" i="6"/>
  <c r="CL306" i="6"/>
  <c r="BL306" i="6"/>
  <c r="BC306" i="6"/>
  <c r="BY306" i="6"/>
  <c r="K307" i="12"/>
  <c r="CA306" i="6"/>
  <c r="BW306" i="6"/>
  <c r="H307" i="6"/>
  <c r="T307" i="5" s="1"/>
  <c r="G307" i="12" s="1"/>
  <c r="BK306" i="6"/>
  <c r="L308" i="12"/>
  <c r="J308" i="12"/>
  <c r="BV306" i="6"/>
  <c r="BX306" i="6"/>
  <c r="A309" i="12"/>
  <c r="B309" i="6"/>
  <c r="B309" i="5"/>
  <c r="H309" i="5"/>
  <c r="F309" i="5"/>
  <c r="N309" i="5"/>
  <c r="K309" i="5"/>
  <c r="AE309" i="5"/>
  <c r="J309" i="5"/>
  <c r="AD309" i="5"/>
  <c r="G309" i="5"/>
  <c r="E309" i="5"/>
  <c r="D309" i="5"/>
  <c r="B309" i="12" s="1"/>
  <c r="C310" i="5"/>
  <c r="BZ306" i="6"/>
  <c r="BG306" i="6"/>
  <c r="CC306" i="6"/>
  <c r="CB306" i="6"/>
  <c r="BD306" i="6"/>
  <c r="CE306" i="6"/>
  <c r="BI306" i="6"/>
  <c r="BH306" i="6"/>
  <c r="BE306" i="6"/>
  <c r="CD306" i="6"/>
  <c r="D308" i="6"/>
  <c r="BJ306" i="6"/>
  <c r="BM307" i="6" l="1"/>
  <c r="BN307" i="6"/>
  <c r="CL307" i="6"/>
  <c r="CM307" i="6"/>
  <c r="CF307" i="6"/>
  <c r="BO307" i="6"/>
  <c r="CG307" i="6"/>
  <c r="BP307" i="6"/>
  <c r="CH307" i="6"/>
  <c r="BQ307" i="6"/>
  <c r="BR307" i="6"/>
  <c r="BS307" i="6"/>
  <c r="BT307" i="6"/>
  <c r="CJ307" i="6"/>
  <c r="A308" i="6"/>
  <c r="CI307" i="6"/>
  <c r="CK307" i="6"/>
  <c r="BW307" i="6"/>
  <c r="BY307" i="6"/>
  <c r="CC307" i="6"/>
  <c r="BV307" i="6"/>
  <c r="CA307" i="6"/>
  <c r="BK307" i="6"/>
  <c r="CD307" i="6"/>
  <c r="K308" i="12"/>
  <c r="BC307" i="6"/>
  <c r="BI307" i="6"/>
  <c r="BG307" i="6"/>
  <c r="BH307" i="6"/>
  <c r="CB307" i="6"/>
  <c r="D309" i="6"/>
  <c r="H308" i="6"/>
  <c r="T308" i="5" s="1"/>
  <c r="G308" i="12" s="1"/>
  <c r="BJ307" i="6"/>
  <c r="BX307" i="6"/>
  <c r="CE307" i="6"/>
  <c r="L309" i="12"/>
  <c r="J309" i="12"/>
  <c r="BD307" i="6"/>
  <c r="BF307" i="6"/>
  <c r="BE307" i="6"/>
  <c r="BL307" i="6"/>
  <c r="A310" i="12"/>
  <c r="B310" i="6"/>
  <c r="H310" i="5"/>
  <c r="B310" i="5"/>
  <c r="AD310" i="5"/>
  <c r="N310" i="5"/>
  <c r="K310" i="5"/>
  <c r="J310" i="5"/>
  <c r="AE310" i="5"/>
  <c r="G310" i="5"/>
  <c r="F310" i="5"/>
  <c r="E310" i="5"/>
  <c r="D310" i="5"/>
  <c r="B310" i="12" s="1"/>
  <c r="C311" i="5"/>
  <c r="M308" i="6" l="1"/>
  <c r="BD308" i="6" s="1"/>
  <c r="A309" i="6"/>
  <c r="M309" i="6" s="1"/>
  <c r="BI309" i="6" s="1"/>
  <c r="K309" i="12"/>
  <c r="L310" i="12"/>
  <c r="J310" i="12"/>
  <c r="H309" i="6"/>
  <c r="T309" i="5" s="1"/>
  <c r="G309" i="12" s="1"/>
  <c r="A311" i="12"/>
  <c r="B311" i="5"/>
  <c r="H311" i="5"/>
  <c r="B311" i="6"/>
  <c r="F311" i="5"/>
  <c r="C312" i="5"/>
  <c r="N311" i="5"/>
  <c r="K311" i="5"/>
  <c r="AE311" i="5"/>
  <c r="J311" i="5"/>
  <c r="AD311" i="5"/>
  <c r="G311" i="5"/>
  <c r="E311" i="5"/>
  <c r="D311" i="5"/>
  <c r="B311" i="12" s="1"/>
  <c r="D310" i="6"/>
  <c r="BK308" i="6" l="1"/>
  <c r="BZ308" i="6"/>
  <c r="BY308" i="6"/>
  <c r="CE308" i="6"/>
  <c r="BG308" i="6"/>
  <c r="BE308" i="6"/>
  <c r="BV308" i="6"/>
  <c r="CF308" i="6"/>
  <c r="BW308" i="6"/>
  <c r="CM308" i="6"/>
  <c r="CA308" i="6"/>
  <c r="BX308" i="6"/>
  <c r="BT308" i="6"/>
  <c r="BL308" i="6"/>
  <c r="BJ308" i="6"/>
  <c r="BS308" i="6"/>
  <c r="BI308" i="6"/>
  <c r="BF308" i="6"/>
  <c r="BC308" i="6"/>
  <c r="CL308" i="6"/>
  <c r="CC308" i="6"/>
  <c r="BH308" i="6"/>
  <c r="CK308" i="6"/>
  <c r="CB308" i="6"/>
  <c r="BO309" i="6"/>
  <c r="CD308" i="6"/>
  <c r="CG308" i="6"/>
  <c r="BR308" i="6"/>
  <c r="BQ308" i="6"/>
  <c r="BP308" i="6"/>
  <c r="BO308" i="6"/>
  <c r="BM308" i="6"/>
  <c r="BN308" i="6"/>
  <c r="CJ308" i="6"/>
  <c r="CI308" i="6"/>
  <c r="CH308" i="6"/>
  <c r="BN309" i="6"/>
  <c r="BP309" i="6"/>
  <c r="CF309" i="6"/>
  <c r="CG309" i="6"/>
  <c r="CH309" i="6"/>
  <c r="CI309" i="6"/>
  <c r="BR309" i="6"/>
  <c r="CJ309" i="6"/>
  <c r="BQ309" i="6"/>
  <c r="CK309" i="6"/>
  <c r="BS309" i="6"/>
  <c r="CL309" i="6"/>
  <c r="BT309" i="6"/>
  <c r="CM309" i="6"/>
  <c r="A310" i="6"/>
  <c r="M310" i="6" s="1"/>
  <c r="CC310" i="6" s="1"/>
  <c r="BM309" i="6"/>
  <c r="K310" i="12"/>
  <c r="BL309" i="6"/>
  <c r="CB309" i="6"/>
  <c r="BF309" i="6"/>
  <c r="B312" i="6"/>
  <c r="A312" i="12"/>
  <c r="H312" i="5"/>
  <c r="B312" i="5"/>
  <c r="AD312" i="5"/>
  <c r="D312" i="5"/>
  <c r="B312" i="12" s="1"/>
  <c r="C313" i="5"/>
  <c r="N312" i="5"/>
  <c r="E312" i="5"/>
  <c r="K312" i="5"/>
  <c r="J312" i="5"/>
  <c r="AE312" i="5"/>
  <c r="G312" i="5"/>
  <c r="F312" i="5"/>
  <c r="CD309" i="6"/>
  <c r="CA309" i="6"/>
  <c r="BC309" i="6"/>
  <c r="BK309" i="6"/>
  <c r="BX309" i="6"/>
  <c r="BD309" i="6"/>
  <c r="BE309" i="6"/>
  <c r="BG309" i="6"/>
  <c r="BV309" i="6"/>
  <c r="BJ309" i="6"/>
  <c r="J311" i="12"/>
  <c r="L311" i="12"/>
  <c r="BY309" i="6"/>
  <c r="BH309" i="6"/>
  <c r="BW309" i="6"/>
  <c r="BZ309" i="6"/>
  <c r="CC309" i="6"/>
  <c r="H310" i="6"/>
  <c r="T310" i="5" s="1"/>
  <c r="G310" i="12" s="1"/>
  <c r="D311" i="6"/>
  <c r="CE309" i="6"/>
  <c r="BN310" i="6" l="1"/>
  <c r="CF310" i="6"/>
  <c r="BO310" i="6"/>
  <c r="CG310" i="6"/>
  <c r="BP310" i="6"/>
  <c r="CH310" i="6"/>
  <c r="BQ310" i="6"/>
  <c r="BR310" i="6"/>
  <c r="BS310" i="6"/>
  <c r="BT310" i="6"/>
  <c r="CJ310" i="6"/>
  <c r="CI310" i="6"/>
  <c r="CK310" i="6"/>
  <c r="A311" i="6"/>
  <c r="CL310" i="6"/>
  <c r="BM310" i="6"/>
  <c r="CM310" i="6"/>
  <c r="K311" i="12"/>
  <c r="BF310" i="6"/>
  <c r="BK310" i="6"/>
  <c r="CA310" i="6"/>
  <c r="BV310" i="6"/>
  <c r="BC310" i="6"/>
  <c r="BG310" i="6"/>
  <c r="BX310" i="6"/>
  <c r="CB310" i="6"/>
  <c r="BD310" i="6"/>
  <c r="BI310" i="6"/>
  <c r="BY310" i="6"/>
  <c r="CD310" i="6"/>
  <c r="BH310" i="6"/>
  <c r="L312" i="12"/>
  <c r="J312" i="12"/>
  <c r="BL310" i="6"/>
  <c r="BE310" i="6"/>
  <c r="BJ310" i="6"/>
  <c r="D312" i="6"/>
  <c r="BW310" i="6"/>
  <c r="BZ310" i="6"/>
  <c r="CE310" i="6"/>
  <c r="H311" i="6"/>
  <c r="T311" i="5" s="1"/>
  <c r="G311" i="12" s="1"/>
  <c r="A313" i="12"/>
  <c r="B313" i="5"/>
  <c r="H313" i="5"/>
  <c r="F313" i="5"/>
  <c r="E313" i="5"/>
  <c r="D313" i="5"/>
  <c r="B313" i="12" s="1"/>
  <c r="G313" i="5"/>
  <c r="C314" i="5"/>
  <c r="N313" i="5"/>
  <c r="K313" i="5"/>
  <c r="AE313" i="5"/>
  <c r="J313" i="5"/>
  <c r="B313" i="6"/>
  <c r="AD313" i="5"/>
  <c r="M311" i="6" l="1"/>
  <c r="BV311" i="6" s="1"/>
  <c r="A312" i="6"/>
  <c r="M312" i="6" s="1"/>
  <c r="CE312" i="6" s="1"/>
  <c r="K312" i="12"/>
  <c r="H312" i="6"/>
  <c r="T312" i="5" s="1"/>
  <c r="G312" i="12" s="1"/>
  <c r="D313" i="6"/>
  <c r="A314" i="12"/>
  <c r="H314" i="5"/>
  <c r="B314" i="6"/>
  <c r="B314" i="5"/>
  <c r="AD314" i="5"/>
  <c r="G314" i="5"/>
  <c r="F314" i="5"/>
  <c r="E314" i="5"/>
  <c r="D314" i="5"/>
  <c r="B314" i="12" s="1"/>
  <c r="C315" i="5"/>
  <c r="AE314" i="5"/>
  <c r="N314" i="5"/>
  <c r="K314" i="5"/>
  <c r="J314" i="5"/>
  <c r="L313" i="12"/>
  <c r="J313" i="12"/>
  <c r="BS311" i="6" l="1"/>
  <c r="CA311" i="6"/>
  <c r="BH311" i="6"/>
  <c r="BT311" i="6"/>
  <c r="BR311" i="6"/>
  <c r="BC311" i="6"/>
  <c r="BQ311" i="6"/>
  <c r="CD311" i="6"/>
  <c r="BP311" i="6"/>
  <c r="CB311" i="6"/>
  <c r="CI311" i="6"/>
  <c r="BO311" i="6"/>
  <c r="BX311" i="6"/>
  <c r="BG311" i="6"/>
  <c r="BW311" i="6"/>
  <c r="BJ311" i="6"/>
  <c r="BD311" i="6"/>
  <c r="CC311" i="6"/>
  <c r="BN311" i="6"/>
  <c r="BM311" i="6"/>
  <c r="BK311" i="6"/>
  <c r="BY311" i="6"/>
  <c r="BF311" i="6"/>
  <c r="BZ311" i="6"/>
  <c r="CH311" i="6"/>
  <c r="CL311" i="6"/>
  <c r="BI311" i="6"/>
  <c r="CG311" i="6"/>
  <c r="CK311" i="6"/>
  <c r="CM311" i="6"/>
  <c r="CE311" i="6"/>
  <c r="BL311" i="6"/>
  <c r="BE311" i="6"/>
  <c r="CF311" i="6"/>
  <c r="CJ311" i="6"/>
  <c r="BN312" i="6"/>
  <c r="BO312" i="6"/>
  <c r="BP312" i="6"/>
  <c r="CF312" i="6"/>
  <c r="CG312" i="6"/>
  <c r="CH312" i="6"/>
  <c r="CI312" i="6"/>
  <c r="A313" i="6"/>
  <c r="BR312" i="6"/>
  <c r="CJ312" i="6"/>
  <c r="BQ312" i="6"/>
  <c r="CK312" i="6"/>
  <c r="BS312" i="6"/>
  <c r="CL312" i="6"/>
  <c r="BT312" i="6"/>
  <c r="CM312" i="6"/>
  <c r="BM312" i="6"/>
  <c r="K313" i="12"/>
  <c r="BG312" i="6"/>
  <c r="BK312" i="6"/>
  <c r="L314" i="12"/>
  <c r="J314" i="12"/>
  <c r="BD312" i="6"/>
  <c r="CB312" i="6"/>
  <c r="BL312" i="6"/>
  <c r="H313" i="6"/>
  <c r="T313" i="5" s="1"/>
  <c r="G313" i="12" s="1"/>
  <c r="BY312" i="6"/>
  <c r="BH312" i="6"/>
  <c r="BV312" i="6"/>
  <c r="CC312" i="6"/>
  <c r="BC312" i="6"/>
  <c r="D314" i="6"/>
  <c r="BX312" i="6"/>
  <c r="BI312" i="6"/>
  <c r="BW312" i="6"/>
  <c r="CD312" i="6"/>
  <c r="BE312" i="6"/>
  <c r="BF312" i="6"/>
  <c r="BZ312" i="6"/>
  <c r="BJ312" i="6"/>
  <c r="A315" i="12"/>
  <c r="B315" i="6"/>
  <c r="B315" i="5"/>
  <c r="H315" i="5"/>
  <c r="F315" i="5"/>
  <c r="AE315" i="5"/>
  <c r="J315" i="5"/>
  <c r="AD315" i="5"/>
  <c r="G315" i="5"/>
  <c r="E315" i="5"/>
  <c r="D315" i="5"/>
  <c r="B315" i="12" s="1"/>
  <c r="K315" i="5"/>
  <c r="N315" i="5"/>
  <c r="CA312" i="6"/>
  <c r="F121" i="6"/>
  <c r="E121" i="12"/>
  <c r="G121" i="6"/>
  <c r="F126" i="6"/>
  <c r="E126" i="12"/>
  <c r="W121" i="5"/>
  <c r="H121" i="12" s="1"/>
  <c r="W126" i="5"/>
  <c r="H126" i="12" s="1"/>
  <c r="G126" i="6"/>
  <c r="M313" i="6" l="1"/>
  <c r="CE313" i="6" s="1"/>
  <c r="A314" i="6"/>
  <c r="M314" i="6" s="1"/>
  <c r="BX314" i="6" s="1"/>
  <c r="N127" i="6"/>
  <c r="N128" i="6"/>
  <c r="N129" i="6"/>
  <c r="N130" i="6"/>
  <c r="N131" i="6"/>
  <c r="N132" i="6"/>
  <c r="N133" i="6"/>
  <c r="N122" i="6"/>
  <c r="N123" i="6"/>
  <c r="N124" i="6"/>
  <c r="N125" i="6"/>
  <c r="K314" i="12"/>
  <c r="H314" i="6"/>
  <c r="T314" i="5" s="1"/>
  <c r="G314" i="12" s="1"/>
  <c r="L315" i="12"/>
  <c r="J315" i="12"/>
  <c r="D315" i="6"/>
  <c r="C316" i="5"/>
  <c r="AF316" i="5"/>
  <c r="BD313" i="6" l="1"/>
  <c r="BZ313" i="6"/>
  <c r="BG313" i="6"/>
  <c r="CA313" i="6"/>
  <c r="BS313" i="6"/>
  <c r="CB313" i="6"/>
  <c r="BV313" i="6"/>
  <c r="BC313" i="6"/>
  <c r="BR313" i="6"/>
  <c r="CG313" i="6"/>
  <c r="BO313" i="6"/>
  <c r="CC313" i="6"/>
  <c r="CF313" i="6"/>
  <c r="BN313" i="6"/>
  <c r="BY313" i="6"/>
  <c r="BF313" i="6"/>
  <c r="BX313" i="6"/>
  <c r="CM313" i="6"/>
  <c r="BH313" i="6"/>
  <c r="BJ313" i="6"/>
  <c r="BL313" i="6"/>
  <c r="BE313" i="6"/>
  <c r="CD313" i="6"/>
  <c r="BK313" i="6"/>
  <c r="BI313" i="6"/>
  <c r="BW313" i="6"/>
  <c r="BM313" i="6"/>
  <c r="CL313" i="6"/>
  <c r="CK313" i="6"/>
  <c r="BQ313" i="6"/>
  <c r="CI313" i="6"/>
  <c r="CH313" i="6"/>
  <c r="CJ313" i="6"/>
  <c r="BP313" i="6"/>
  <c r="BT313" i="6"/>
  <c r="BR314" i="6"/>
  <c r="BS314" i="6"/>
  <c r="BT314" i="6"/>
  <c r="CM314" i="6"/>
  <c r="BN314" i="6"/>
  <c r="CF314" i="6"/>
  <c r="CG314" i="6"/>
  <c r="CH314" i="6"/>
  <c r="CI314" i="6"/>
  <c r="BM314" i="6"/>
  <c r="CJ314" i="6"/>
  <c r="BO314" i="6"/>
  <c r="CK314" i="6"/>
  <c r="BP314" i="6"/>
  <c r="CL314" i="6"/>
  <c r="A315" i="6"/>
  <c r="BQ314" i="6"/>
  <c r="BG314" i="6"/>
  <c r="CC314" i="6"/>
  <c r="BV314" i="6"/>
  <c r="BD314" i="6"/>
  <c r="BH314" i="6"/>
  <c r="BW314" i="6"/>
  <c r="CB314" i="6"/>
  <c r="BE314" i="6"/>
  <c r="BI314" i="6"/>
  <c r="BZ314" i="6"/>
  <c r="CD314" i="6"/>
  <c r="BF314" i="6"/>
  <c r="BJ314" i="6"/>
  <c r="CA314" i="6"/>
  <c r="CE314" i="6"/>
  <c r="BY314" i="6"/>
  <c r="BK314" i="6"/>
  <c r="BL314" i="6"/>
  <c r="S316" i="5"/>
  <c r="F316" i="12" s="1"/>
  <c r="AG316" i="5"/>
  <c r="U316" i="5" s="1"/>
  <c r="A316" i="12"/>
  <c r="B316" i="6"/>
  <c r="B316" i="5"/>
  <c r="AE316" i="5"/>
  <c r="N316" i="5"/>
  <c r="H316" i="5"/>
  <c r="F316" i="5"/>
  <c r="G316" i="5"/>
  <c r="E316" i="5"/>
  <c r="AD316" i="5"/>
  <c r="C317" i="5"/>
  <c r="K315" i="12"/>
  <c r="H315" i="6"/>
  <c r="T315" i="5" s="1"/>
  <c r="G315" i="12" s="1"/>
  <c r="BC314" i="6"/>
  <c r="W212" i="5"/>
  <c r="H212" i="12" s="1"/>
  <c r="W199" i="5"/>
  <c r="H199" i="12" s="1"/>
  <c r="W184" i="5"/>
  <c r="H184" i="12" s="1"/>
  <c r="W169" i="5"/>
  <c r="H169" i="12" s="1"/>
  <c r="W176" i="5"/>
  <c r="H176" i="12" s="1"/>
  <c r="W155" i="5"/>
  <c r="H155" i="12" s="1"/>
  <c r="G152" i="6"/>
  <c r="E152" i="12"/>
  <c r="F152" i="6"/>
  <c r="G199" i="6"/>
  <c r="E155" i="12"/>
  <c r="F155" i="6"/>
  <c r="G134" i="6"/>
  <c r="E199" i="12"/>
  <c r="F199" i="6"/>
  <c r="G155" i="6"/>
  <c r="W134" i="5"/>
  <c r="H134" i="12" s="1"/>
  <c r="F169" i="6"/>
  <c r="E169" i="12"/>
  <c r="E134" i="12"/>
  <c r="F134" i="6"/>
  <c r="G169" i="6"/>
  <c r="G176" i="6"/>
  <c r="G212" i="6"/>
  <c r="E176" i="12"/>
  <c r="F176" i="6"/>
  <c r="E184" i="12"/>
  <c r="F184" i="6"/>
  <c r="E212" i="12"/>
  <c r="F212" i="6"/>
  <c r="G184" i="6"/>
  <c r="M315" i="6" l="1"/>
  <c r="CC315" i="6" s="1"/>
  <c r="N153" i="6"/>
  <c r="N154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70" i="6"/>
  <c r="N171" i="6"/>
  <c r="N172" i="6"/>
  <c r="N173" i="6"/>
  <c r="N174" i="6"/>
  <c r="N175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3" i="6"/>
  <c r="N214" i="6"/>
  <c r="N215" i="6"/>
  <c r="N216" i="6"/>
  <c r="N217" i="6"/>
  <c r="N218" i="6"/>
  <c r="N219" i="6"/>
  <c r="N220" i="6"/>
  <c r="N177" i="6"/>
  <c r="N178" i="6"/>
  <c r="N179" i="6"/>
  <c r="N180" i="6"/>
  <c r="N181" i="6"/>
  <c r="N182" i="6"/>
  <c r="N183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AN316" i="5"/>
  <c r="W316" i="5"/>
  <c r="H316" i="12" s="1"/>
  <c r="B317" i="5"/>
  <c r="J317" i="5"/>
  <c r="C318" i="5"/>
  <c r="D317" i="5"/>
  <c r="B317" i="12" s="1"/>
  <c r="B317" i="6"/>
  <c r="A317" i="12"/>
  <c r="K317" i="5"/>
  <c r="F317" i="5"/>
  <c r="G317" i="5"/>
  <c r="H317" i="5"/>
  <c r="E317" i="5"/>
  <c r="AD317" i="5"/>
  <c r="N317" i="5"/>
  <c r="AE317" i="5"/>
  <c r="D316" i="6"/>
  <c r="E316" i="12"/>
  <c r="F316" i="6"/>
  <c r="BK315" i="6" l="1"/>
  <c r="BR315" i="6"/>
  <c r="BL315" i="6"/>
  <c r="CG315" i="6"/>
  <c r="CF315" i="6"/>
  <c r="BE315" i="6"/>
  <c r="CE315" i="6"/>
  <c r="CH315" i="6"/>
  <c r="BJ315" i="6"/>
  <c r="BD315" i="6"/>
  <c r="CD315" i="6"/>
  <c r="BP315" i="6"/>
  <c r="CI315" i="6"/>
  <c r="CB315" i="6"/>
  <c r="BI315" i="6"/>
  <c r="BO315" i="6"/>
  <c r="BC315" i="6"/>
  <c r="BW315" i="6"/>
  <c r="BZ315" i="6"/>
  <c r="CL315" i="6"/>
  <c r="BN315" i="6"/>
  <c r="CJ315" i="6"/>
  <c r="BX315" i="6"/>
  <c r="BH315" i="6"/>
  <c r="CA315" i="6"/>
  <c r="BS315" i="6"/>
  <c r="BM315" i="6"/>
  <c r="BG315" i="6"/>
  <c r="BV315" i="6"/>
  <c r="BY315" i="6"/>
  <c r="CK315" i="6"/>
  <c r="CM315" i="6"/>
  <c r="BF315" i="6"/>
  <c r="BQ315" i="6"/>
  <c r="BT315" i="6"/>
  <c r="A316" i="6"/>
  <c r="CH316" i="6"/>
  <c r="CG316" i="6"/>
  <c r="CF316" i="6"/>
  <c r="CM316" i="6"/>
  <c r="CL316" i="6"/>
  <c r="CK316" i="6"/>
  <c r="CI316" i="6"/>
  <c r="CJ316" i="6"/>
  <c r="BT316" i="6"/>
  <c r="BS316" i="6"/>
  <c r="BR316" i="6"/>
  <c r="BQ316" i="6"/>
  <c r="BP316" i="6"/>
  <c r="BO316" i="6"/>
  <c r="BN316" i="6"/>
  <c r="BM316" i="6"/>
  <c r="N316" i="6"/>
  <c r="M316" i="6"/>
  <c r="BE316" i="6" s="1"/>
  <c r="H316" i="6"/>
  <c r="T316" i="5" s="1"/>
  <c r="G316" i="12" s="1"/>
  <c r="G316" i="6"/>
  <c r="J317" i="12"/>
  <c r="L317" i="12"/>
  <c r="N318" i="5"/>
  <c r="K318" i="5"/>
  <c r="A318" i="12"/>
  <c r="AE318" i="5"/>
  <c r="E318" i="5"/>
  <c r="G318" i="5"/>
  <c r="AD318" i="5"/>
  <c r="F318" i="5"/>
  <c r="J318" i="5"/>
  <c r="H318" i="5"/>
  <c r="B318" i="5"/>
  <c r="D318" i="5"/>
  <c r="B318" i="12" s="1"/>
  <c r="B318" i="6"/>
  <c r="D317" i="6"/>
  <c r="AU316" i="6" l="1"/>
  <c r="AV316" i="6"/>
  <c r="AY316" i="6"/>
  <c r="AX316" i="6"/>
  <c r="AZ316" i="6"/>
  <c r="AW316" i="6"/>
  <c r="BA316" i="6"/>
  <c r="A317" i="6"/>
  <c r="M317" i="6" s="1"/>
  <c r="CB317" i="6" s="1"/>
  <c r="AT316" i="6"/>
  <c r="CE316" i="6"/>
  <c r="BK316" i="6"/>
  <c r="BJ316" i="6"/>
  <c r="CD316" i="6"/>
  <c r="BC316" i="6"/>
  <c r="BF316" i="6"/>
  <c r="K317" i="12"/>
  <c r="BV316" i="6"/>
  <c r="BX316" i="6"/>
  <c r="BH316" i="6"/>
  <c r="BI316" i="6"/>
  <c r="BZ316" i="6"/>
  <c r="J318" i="12"/>
  <c r="L318" i="12"/>
  <c r="AN316" i="6"/>
  <c r="AK316" i="6"/>
  <c r="AS316" i="6"/>
  <c r="D318" i="6"/>
  <c r="AO316" i="6"/>
  <c r="BW316" i="6"/>
  <c r="CA316" i="6"/>
  <c r="H317" i="6"/>
  <c r="T317" i="5" s="1"/>
  <c r="G317" i="12" s="1"/>
  <c r="AM316" i="6"/>
  <c r="AP316" i="6"/>
  <c r="CC316" i="6"/>
  <c r="AQ316" i="6"/>
  <c r="BD316" i="6"/>
  <c r="AL316" i="6"/>
  <c r="BL316" i="6"/>
  <c r="BY316" i="6"/>
  <c r="BG316" i="6"/>
  <c r="AJ316" i="6"/>
  <c r="CB316" i="6"/>
  <c r="AR316" i="6"/>
  <c r="N317" i="6" l="1"/>
  <c r="BR317" i="6"/>
  <c r="BS317" i="6"/>
  <c r="BT317" i="6"/>
  <c r="CM317" i="6"/>
  <c r="CF317" i="6"/>
  <c r="CG317" i="6"/>
  <c r="CH317" i="6"/>
  <c r="A318" i="6"/>
  <c r="N318" i="6" s="1"/>
  <c r="BN317" i="6"/>
  <c r="CI317" i="6"/>
  <c r="BM317" i="6"/>
  <c r="CJ317" i="6"/>
  <c r="BO317" i="6"/>
  <c r="CK317" i="6"/>
  <c r="BP317" i="6"/>
  <c r="CL317" i="6"/>
  <c r="BQ317" i="6"/>
  <c r="BE317" i="6"/>
  <c r="CA317" i="6"/>
  <c r="BK317" i="6"/>
  <c r="BZ317" i="6"/>
  <c r="BH317" i="6"/>
  <c r="BD317" i="6"/>
  <c r="BX317" i="6"/>
  <c r="BW317" i="6"/>
  <c r="CE317" i="6"/>
  <c r="BV317" i="6"/>
  <c r="CC317" i="6"/>
  <c r="K318" i="12"/>
  <c r="BY317" i="6"/>
  <c r="BL317" i="6"/>
  <c r="CD317" i="6"/>
  <c r="BJ317" i="6"/>
  <c r="H318" i="6"/>
  <c r="T318" i="5" s="1"/>
  <c r="G318" i="12" s="1"/>
  <c r="BC317" i="6"/>
  <c r="BI317" i="6"/>
  <c r="BF317" i="6"/>
  <c r="BG317" i="6"/>
  <c r="M318" i="6" l="1"/>
  <c r="BZ318" i="6" s="1"/>
  <c r="C319" i="5"/>
  <c r="AF319" i="5"/>
  <c r="BI318" i="6" l="1"/>
  <c r="BS318" i="6"/>
  <c r="BC318" i="6"/>
  <c r="BQ318" i="6"/>
  <c r="BL318" i="6"/>
  <c r="CK318" i="6"/>
  <c r="CD318" i="6"/>
  <c r="BH318" i="6"/>
  <c r="BR318" i="6"/>
  <c r="CC318" i="6"/>
  <c r="CB318" i="6"/>
  <c r="CI318" i="6"/>
  <c r="BF318" i="6"/>
  <c r="CJ318" i="6"/>
  <c r="BG318" i="6"/>
  <c r="BV318" i="6"/>
  <c r="CH318" i="6"/>
  <c r="CL318" i="6"/>
  <c r="BY318" i="6"/>
  <c r="BJ318" i="6"/>
  <c r="CG318" i="6"/>
  <c r="CE318" i="6"/>
  <c r="BM318" i="6"/>
  <c r="CF318" i="6"/>
  <c r="BW318" i="6"/>
  <c r="CM318" i="6"/>
  <c r="BP318" i="6"/>
  <c r="CA318" i="6"/>
  <c r="BX318" i="6"/>
  <c r="BK318" i="6"/>
  <c r="BE318" i="6"/>
  <c r="BD318" i="6"/>
  <c r="BT318" i="6"/>
  <c r="BO318" i="6"/>
  <c r="BN318" i="6"/>
  <c r="AG319" i="5"/>
  <c r="U319" i="5" s="1"/>
  <c r="S319" i="5"/>
  <c r="F319" i="12" s="1"/>
  <c r="C320" i="5"/>
  <c r="E319" i="5"/>
  <c r="B319" i="5"/>
  <c r="A319" i="12"/>
  <c r="AE319" i="5"/>
  <c r="F319" i="5"/>
  <c r="H319" i="5"/>
  <c r="G319" i="5"/>
  <c r="N319" i="5"/>
  <c r="AD319" i="5"/>
  <c r="B319" i="6"/>
  <c r="AN319" i="5" l="1"/>
  <c r="W319" i="5"/>
  <c r="H319" i="12" s="1"/>
  <c r="F319" i="6"/>
  <c r="E319" i="12"/>
  <c r="H320" i="5"/>
  <c r="AE320" i="5"/>
  <c r="B320" i="6"/>
  <c r="B320" i="5"/>
  <c r="G320" i="5"/>
  <c r="AD320" i="5"/>
  <c r="N320" i="5"/>
  <c r="D320" i="5"/>
  <c r="B320" i="12" s="1"/>
  <c r="E320" i="5"/>
  <c r="F320" i="5"/>
  <c r="J320" i="5"/>
  <c r="C321" i="5"/>
  <c r="K320" i="5"/>
  <c r="A320" i="12"/>
  <c r="D319" i="6"/>
  <c r="A319" i="6" l="1"/>
  <c r="CL319" i="6"/>
  <c r="CK319" i="6"/>
  <c r="CJ319" i="6"/>
  <c r="CI319" i="6"/>
  <c r="CH319" i="6"/>
  <c r="CG319" i="6"/>
  <c r="CF319" i="6"/>
  <c r="CM319" i="6"/>
  <c r="BT319" i="6"/>
  <c r="BS319" i="6"/>
  <c r="BR319" i="6"/>
  <c r="BQ319" i="6"/>
  <c r="BP319" i="6"/>
  <c r="BO319" i="6"/>
  <c r="BM319" i="6"/>
  <c r="BN319" i="6"/>
  <c r="D320" i="6"/>
  <c r="J320" i="12"/>
  <c r="L320" i="12"/>
  <c r="K321" i="5"/>
  <c r="E321" i="5"/>
  <c r="G321" i="5"/>
  <c r="A321" i="12"/>
  <c r="B321" i="5"/>
  <c r="F321" i="5"/>
  <c r="H321" i="5"/>
  <c r="AD321" i="5"/>
  <c r="D321" i="5"/>
  <c r="B321" i="12" s="1"/>
  <c r="B321" i="6"/>
  <c r="N321" i="5"/>
  <c r="AE321" i="5"/>
  <c r="J321" i="5"/>
  <c r="C322" i="5"/>
  <c r="N319" i="6"/>
  <c r="M319" i="6"/>
  <c r="BC319" i="6" s="1"/>
  <c r="H319" i="6"/>
  <c r="T319" i="5" s="1"/>
  <c r="G319" i="12" s="1"/>
  <c r="G319" i="6"/>
  <c r="AY319" i="6" l="1"/>
  <c r="AT319" i="6"/>
  <c r="AU319" i="6"/>
  <c r="BA319" i="6"/>
  <c r="AZ319" i="6"/>
  <c r="AV319" i="6"/>
  <c r="A320" i="6"/>
  <c r="M320" i="6" s="1"/>
  <c r="BI320" i="6" s="1"/>
  <c r="AW319" i="6"/>
  <c r="AX319" i="6"/>
  <c r="BE319" i="6"/>
  <c r="BH319" i="6"/>
  <c r="BW319" i="6"/>
  <c r="BL319" i="6"/>
  <c r="CB319" i="6"/>
  <c r="BG319" i="6"/>
  <c r="K320" i="12"/>
  <c r="BZ319" i="6"/>
  <c r="BJ319" i="6"/>
  <c r="BV319" i="6"/>
  <c r="BX319" i="6"/>
  <c r="BF319" i="6"/>
  <c r="CD319" i="6"/>
  <c r="CC319" i="6"/>
  <c r="CA319" i="6"/>
  <c r="BY319" i="6"/>
  <c r="BK319" i="6"/>
  <c r="BD319" i="6"/>
  <c r="CE319" i="6"/>
  <c r="BI319" i="6"/>
  <c r="H320" i="6"/>
  <c r="T320" i="5" s="1"/>
  <c r="G320" i="12" s="1"/>
  <c r="AO319" i="6"/>
  <c r="AN319" i="6"/>
  <c r="AL319" i="6"/>
  <c r="L321" i="12"/>
  <c r="J321" i="12"/>
  <c r="E322" i="5"/>
  <c r="H322" i="5"/>
  <c r="J322" i="5"/>
  <c r="G322" i="5"/>
  <c r="AE322" i="5"/>
  <c r="N322" i="5"/>
  <c r="B322" i="5"/>
  <c r="C323" i="5"/>
  <c r="B322" i="6"/>
  <c r="AD322" i="5"/>
  <c r="D322" i="5"/>
  <c r="B322" i="12" s="1"/>
  <c r="K322" i="5"/>
  <c r="A322" i="12"/>
  <c r="F322" i="5"/>
  <c r="AP319" i="6"/>
  <c r="D321" i="6"/>
  <c r="AM319" i="6"/>
  <c r="AQ319" i="6"/>
  <c r="AR319" i="6"/>
  <c r="AS319" i="6"/>
  <c r="AK319" i="6"/>
  <c r="AJ319" i="6"/>
  <c r="N320" i="6" l="1"/>
  <c r="CG320" i="6"/>
  <c r="CH320" i="6"/>
  <c r="CI320" i="6"/>
  <c r="CJ320" i="6"/>
  <c r="CK320" i="6"/>
  <c r="BR320" i="6"/>
  <c r="BQ320" i="6"/>
  <c r="BS320" i="6"/>
  <c r="BO320" i="6"/>
  <c r="BP320" i="6"/>
  <c r="CF320" i="6"/>
  <c r="A321" i="6"/>
  <c r="M321" i="6" s="1"/>
  <c r="CD321" i="6" s="1"/>
  <c r="CL320" i="6"/>
  <c r="BT320" i="6"/>
  <c r="CM320" i="6"/>
  <c r="BM320" i="6"/>
  <c r="BN320" i="6"/>
  <c r="BH320" i="6"/>
  <c r="BZ320" i="6"/>
  <c r="CE320" i="6"/>
  <c r="CC320" i="6"/>
  <c r="BX320" i="6"/>
  <c r="BE320" i="6"/>
  <c r="BL320" i="6"/>
  <c r="BD320" i="6"/>
  <c r="K321" i="12"/>
  <c r="BW320" i="6"/>
  <c r="CB320" i="6"/>
  <c r="BJ320" i="6"/>
  <c r="CD320" i="6"/>
  <c r="BK320" i="6"/>
  <c r="BV320" i="6"/>
  <c r="BC320" i="6"/>
  <c r="BY320" i="6"/>
  <c r="CA320" i="6"/>
  <c r="BF320" i="6"/>
  <c r="BG320" i="6"/>
  <c r="G323" i="5"/>
  <c r="K323" i="5"/>
  <c r="H323" i="5"/>
  <c r="J323" i="5"/>
  <c r="C324" i="5"/>
  <c r="D323" i="5"/>
  <c r="B323" i="12" s="1"/>
  <c r="A323" i="12"/>
  <c r="F323" i="5"/>
  <c r="E323" i="5"/>
  <c r="AD323" i="5"/>
  <c r="N323" i="5"/>
  <c r="B323" i="6"/>
  <c r="AE323" i="5"/>
  <c r="B323" i="5"/>
  <c r="D322" i="6"/>
  <c r="J322" i="12"/>
  <c r="L322" i="12"/>
  <c r="H321" i="6"/>
  <c r="T321" i="5" s="1"/>
  <c r="G321" i="12" s="1"/>
  <c r="N321" i="6" l="1"/>
  <c r="BR321" i="6"/>
  <c r="BS321" i="6"/>
  <c r="BT321" i="6"/>
  <c r="CJ321" i="6"/>
  <c r="CI321" i="6"/>
  <c r="CK321" i="6"/>
  <c r="CL321" i="6"/>
  <c r="BM321" i="6"/>
  <c r="CM321" i="6"/>
  <c r="BN321" i="6"/>
  <c r="CF321" i="6"/>
  <c r="BO321" i="6"/>
  <c r="CG321" i="6"/>
  <c r="A322" i="6"/>
  <c r="M322" i="6" s="1"/>
  <c r="BD322" i="6" s="1"/>
  <c r="BP321" i="6"/>
  <c r="CH321" i="6"/>
  <c r="BQ321" i="6"/>
  <c r="BC321" i="6"/>
  <c r="BH321" i="6"/>
  <c r="BY321" i="6"/>
  <c r="BV321" i="6"/>
  <c r="CB321" i="6"/>
  <c r="BE321" i="6"/>
  <c r="BJ321" i="6"/>
  <c r="CA321" i="6"/>
  <c r="BL321" i="6"/>
  <c r="K322" i="12"/>
  <c r="BF321" i="6"/>
  <c r="BX321" i="6"/>
  <c r="BK321" i="6"/>
  <c r="BI321" i="6"/>
  <c r="CC321" i="6"/>
  <c r="BG321" i="6"/>
  <c r="BD321" i="6"/>
  <c r="J323" i="12"/>
  <c r="L323" i="12"/>
  <c r="D324" i="5"/>
  <c r="B324" i="12" s="1"/>
  <c r="G324" i="5"/>
  <c r="AE324" i="5"/>
  <c r="C325" i="5"/>
  <c r="A324" i="12"/>
  <c r="N324" i="5"/>
  <c r="E324" i="5"/>
  <c r="B324" i="6"/>
  <c r="K324" i="5"/>
  <c r="B324" i="5"/>
  <c r="F324" i="5"/>
  <c r="H324" i="5"/>
  <c r="J324" i="5"/>
  <c r="AD324" i="5"/>
  <c r="BZ321" i="6"/>
  <c r="BW321" i="6"/>
  <c r="CE321" i="6"/>
  <c r="H322" i="6"/>
  <c r="T322" i="5" s="1"/>
  <c r="G322" i="12" s="1"/>
  <c r="D323" i="6"/>
  <c r="N322" i="6" l="1"/>
  <c r="CJ322" i="6"/>
  <c r="CK322" i="6"/>
  <c r="CL322" i="6"/>
  <c r="BM322" i="6"/>
  <c r="BO322" i="6"/>
  <c r="BP322" i="6"/>
  <c r="BR322" i="6"/>
  <c r="BQ322" i="6"/>
  <c r="BS322" i="6"/>
  <c r="BT322" i="6"/>
  <c r="CM322" i="6"/>
  <c r="CF322" i="6"/>
  <c r="CG322" i="6"/>
  <c r="CH322" i="6"/>
  <c r="A323" i="6"/>
  <c r="N323" i="6" s="1"/>
  <c r="BN322" i="6"/>
  <c r="CI322" i="6"/>
  <c r="CE322" i="6"/>
  <c r="BZ322" i="6"/>
  <c r="BF322" i="6"/>
  <c r="CA322" i="6"/>
  <c r="CD322" i="6"/>
  <c r="BV322" i="6"/>
  <c r="BC322" i="6"/>
  <c r="BE322" i="6"/>
  <c r="BL322" i="6"/>
  <c r="BX322" i="6"/>
  <c r="BK322" i="6"/>
  <c r="BY322" i="6"/>
  <c r="BJ322" i="6"/>
  <c r="BW322" i="6"/>
  <c r="BH322" i="6"/>
  <c r="CB322" i="6"/>
  <c r="H323" i="6"/>
  <c r="T323" i="5" s="1"/>
  <c r="G323" i="12" s="1"/>
  <c r="BG322" i="6"/>
  <c r="K323" i="12"/>
  <c r="D324" i="6"/>
  <c r="L324" i="12"/>
  <c r="J324" i="12"/>
  <c r="G325" i="5"/>
  <c r="B325" i="5"/>
  <c r="C326" i="5"/>
  <c r="D325" i="5"/>
  <c r="B325" i="12" s="1"/>
  <c r="J325" i="5"/>
  <c r="K325" i="5"/>
  <c r="B325" i="6"/>
  <c r="A325" i="12"/>
  <c r="AE325" i="5"/>
  <c r="F325" i="5"/>
  <c r="E325" i="5"/>
  <c r="H325" i="5"/>
  <c r="AD325" i="5"/>
  <c r="N325" i="5"/>
  <c r="CC322" i="6"/>
  <c r="BI322" i="6"/>
  <c r="M323" i="6" l="1"/>
  <c r="BF323" i="6" s="1"/>
  <c r="A324" i="6"/>
  <c r="N324" i="6" s="1"/>
  <c r="K324" i="12"/>
  <c r="AE326" i="5"/>
  <c r="F326" i="5"/>
  <c r="AD326" i="5"/>
  <c r="K326" i="5"/>
  <c r="N326" i="5"/>
  <c r="G326" i="5"/>
  <c r="A326" i="12"/>
  <c r="H326" i="5"/>
  <c r="J326" i="5"/>
  <c r="E326" i="5"/>
  <c r="C327" i="5"/>
  <c r="B326" i="6"/>
  <c r="D326" i="5"/>
  <c r="B326" i="12" s="1"/>
  <c r="B326" i="5"/>
  <c r="L325" i="12"/>
  <c r="J325" i="12"/>
  <c r="H324" i="6"/>
  <c r="T324" i="5" s="1"/>
  <c r="G324" i="12" s="1"/>
  <c r="D325" i="6"/>
  <c r="BJ323" i="6" l="1"/>
  <c r="BK323" i="6"/>
  <c r="CM323" i="6"/>
  <c r="BD323" i="6"/>
  <c r="BT323" i="6"/>
  <c r="BV323" i="6"/>
  <c r="BL323" i="6"/>
  <c r="CJ323" i="6"/>
  <c r="CC323" i="6"/>
  <c r="BG323" i="6"/>
  <c r="CI323" i="6"/>
  <c r="CA323" i="6"/>
  <c r="BC323" i="6"/>
  <c r="CH323" i="6"/>
  <c r="CK323" i="6"/>
  <c r="BE323" i="6"/>
  <c r="CD323" i="6"/>
  <c r="BI323" i="6"/>
  <c r="BP323" i="6"/>
  <c r="CF323" i="6"/>
  <c r="BY323" i="6"/>
  <c r="CE323" i="6"/>
  <c r="BO323" i="6"/>
  <c r="BS323" i="6"/>
  <c r="CG323" i="6"/>
  <c r="CB323" i="6"/>
  <c r="BQ323" i="6"/>
  <c r="BX323" i="6"/>
  <c r="BW323" i="6"/>
  <c r="BN323" i="6"/>
  <c r="BR323" i="6"/>
  <c r="BZ323" i="6"/>
  <c r="BH323" i="6"/>
  <c r="BM323" i="6"/>
  <c r="CL323" i="6"/>
  <c r="M324" i="6"/>
  <c r="BL324" i="6" s="1"/>
  <c r="A325" i="6"/>
  <c r="N325" i="6" s="1"/>
  <c r="K325" i="12"/>
  <c r="D326" i="6"/>
  <c r="H325" i="6"/>
  <c r="T325" i="5" s="1"/>
  <c r="G325" i="12" s="1"/>
  <c r="AE327" i="5"/>
  <c r="E327" i="5"/>
  <c r="N327" i="5"/>
  <c r="A327" i="12"/>
  <c r="AD327" i="5"/>
  <c r="B327" i="6"/>
  <c r="J327" i="5"/>
  <c r="G327" i="5"/>
  <c r="F327" i="5"/>
  <c r="B327" i="5"/>
  <c r="C328" i="5"/>
  <c r="K327" i="5"/>
  <c r="H327" i="5"/>
  <c r="D327" i="5"/>
  <c r="B327" i="12" s="1"/>
  <c r="J326" i="12"/>
  <c r="L326" i="12"/>
  <c r="BQ324" i="6" l="1"/>
  <c r="CH324" i="6"/>
  <c r="BP324" i="6"/>
  <c r="BY324" i="6"/>
  <c r="BW324" i="6"/>
  <c r="BI324" i="6"/>
  <c r="BX324" i="6"/>
  <c r="BG324" i="6"/>
  <c r="BF324" i="6"/>
  <c r="CD324" i="6"/>
  <c r="CF324" i="6"/>
  <c r="BZ324" i="6"/>
  <c r="BH324" i="6"/>
  <c r="CM324" i="6"/>
  <c r="BK324" i="6"/>
  <c r="BM324" i="6"/>
  <c r="BN324" i="6"/>
  <c r="CL324" i="6"/>
  <c r="CB324" i="6"/>
  <c r="CK324" i="6"/>
  <c r="BJ324" i="6"/>
  <c r="CE324" i="6"/>
  <c r="CI324" i="6"/>
  <c r="BE324" i="6"/>
  <c r="CA324" i="6"/>
  <c r="CJ324" i="6"/>
  <c r="BC324" i="6"/>
  <c r="BD324" i="6"/>
  <c r="BV324" i="6"/>
  <c r="BT324" i="6"/>
  <c r="CC324" i="6"/>
  <c r="CG324" i="6"/>
  <c r="BS324" i="6"/>
  <c r="BO324" i="6"/>
  <c r="BR324" i="6"/>
  <c r="M325" i="6"/>
  <c r="BG325" i="6" s="1"/>
  <c r="A326" i="6"/>
  <c r="N326" i="6" s="1"/>
  <c r="K326" i="12"/>
  <c r="L327" i="12"/>
  <c r="J327" i="12"/>
  <c r="H326" i="6"/>
  <c r="T326" i="5" s="1"/>
  <c r="G326" i="12" s="1"/>
  <c r="D327" i="6"/>
  <c r="E328" i="5"/>
  <c r="B328" i="5"/>
  <c r="AE328" i="5"/>
  <c r="H328" i="5"/>
  <c r="C329" i="5"/>
  <c r="A328" i="12"/>
  <c r="K328" i="5"/>
  <c r="N328" i="5"/>
  <c r="AD328" i="5"/>
  <c r="J328" i="5"/>
  <c r="B328" i="6"/>
  <c r="G328" i="5"/>
  <c r="D328" i="5"/>
  <c r="B328" i="12" s="1"/>
  <c r="F328" i="5"/>
  <c r="BL325" i="6" l="1"/>
  <c r="CF325" i="6"/>
  <c r="BI325" i="6"/>
  <c r="CM325" i="6"/>
  <c r="CD325" i="6"/>
  <c r="BZ325" i="6"/>
  <c r="BY325" i="6"/>
  <c r="BV325" i="6"/>
  <c r="BH325" i="6"/>
  <c r="BQ325" i="6"/>
  <c r="BT325" i="6"/>
  <c r="CL325" i="6"/>
  <c r="BS325" i="6"/>
  <c r="BP325" i="6"/>
  <c r="BX325" i="6"/>
  <c r="CK325" i="6"/>
  <c r="BJ325" i="6"/>
  <c r="BO325" i="6"/>
  <c r="BD325" i="6"/>
  <c r="CA325" i="6"/>
  <c r="BK325" i="6"/>
  <c r="CJ325" i="6"/>
  <c r="BW325" i="6"/>
  <c r="CE325" i="6"/>
  <c r="BN325" i="6"/>
  <c r="BF325" i="6"/>
  <c r="CH325" i="6"/>
  <c r="BE325" i="6"/>
  <c r="CB325" i="6"/>
  <c r="CC325" i="6"/>
  <c r="CG325" i="6"/>
  <c r="BC325" i="6"/>
  <c r="BR325" i="6"/>
  <c r="BM325" i="6"/>
  <c r="CI325" i="6"/>
  <c r="M326" i="6"/>
  <c r="CA326" i="6" s="1"/>
  <c r="A327" i="6"/>
  <c r="N327" i="6" s="1"/>
  <c r="K327" i="12"/>
  <c r="C330" i="5"/>
  <c r="B329" i="5"/>
  <c r="N329" i="5"/>
  <c r="AE329" i="5"/>
  <c r="J329" i="5"/>
  <c r="H329" i="5"/>
  <c r="B329" i="6"/>
  <c r="G329" i="5"/>
  <c r="F329" i="5"/>
  <c r="D329" i="5"/>
  <c r="B329" i="12" s="1"/>
  <c r="AD329" i="5"/>
  <c r="E329" i="5"/>
  <c r="K329" i="5"/>
  <c r="A329" i="12"/>
  <c r="H327" i="6"/>
  <c r="T327" i="5" s="1"/>
  <c r="G327" i="12" s="1"/>
  <c r="D328" i="6"/>
  <c r="J328" i="12"/>
  <c r="L328" i="12"/>
  <c r="CM326" i="6" l="1"/>
  <c r="CC326" i="6"/>
  <c r="BX326" i="6"/>
  <c r="CE326" i="6"/>
  <c r="BC326" i="6"/>
  <c r="BY326" i="6"/>
  <c r="BL326" i="6"/>
  <c r="CL326" i="6"/>
  <c r="BM326" i="6"/>
  <c r="BS326" i="6"/>
  <c r="BT326" i="6"/>
  <c r="BQ326" i="6"/>
  <c r="CJ326" i="6"/>
  <c r="BK326" i="6"/>
  <c r="BR326" i="6"/>
  <c r="CK326" i="6"/>
  <c r="BD326" i="6"/>
  <c r="BH326" i="6"/>
  <c r="CF326" i="6"/>
  <c r="CD326" i="6"/>
  <c r="BP326" i="6"/>
  <c r="BE326" i="6"/>
  <c r="BW326" i="6"/>
  <c r="BG326" i="6"/>
  <c r="BO326" i="6"/>
  <c r="BJ326" i="6"/>
  <c r="BF326" i="6"/>
  <c r="BI326" i="6"/>
  <c r="CB326" i="6"/>
  <c r="BZ326" i="6"/>
  <c r="BV326" i="6"/>
  <c r="BN326" i="6"/>
  <c r="M327" i="6"/>
  <c r="CD327" i="6" s="1"/>
  <c r="CI326" i="6"/>
  <c r="CG326" i="6"/>
  <c r="CH326" i="6"/>
  <c r="A328" i="6"/>
  <c r="M328" i="6" s="1"/>
  <c r="CD328" i="6" s="1"/>
  <c r="K328" i="12"/>
  <c r="H328" i="6"/>
  <c r="T328" i="5" s="1"/>
  <c r="G328" i="12" s="1"/>
  <c r="L329" i="12"/>
  <c r="J329" i="12"/>
  <c r="D329" i="6"/>
  <c r="H330" i="5"/>
  <c r="A330" i="12"/>
  <c r="F330" i="5"/>
  <c r="B330" i="6"/>
  <c r="G330" i="5"/>
  <c r="E330" i="5"/>
  <c r="D330" i="5"/>
  <c r="B330" i="12" s="1"/>
  <c r="N330" i="5"/>
  <c r="C331" i="5"/>
  <c r="AD330" i="5"/>
  <c r="K330" i="5"/>
  <c r="B330" i="5"/>
  <c r="J330" i="5"/>
  <c r="AE330" i="5"/>
  <c r="BX327" i="6" l="1"/>
  <c r="BH327" i="6"/>
  <c r="BZ327" i="6"/>
  <c r="BW327" i="6"/>
  <c r="BP327" i="6"/>
  <c r="CG327" i="6"/>
  <c r="BE327" i="6"/>
  <c r="BO327" i="6"/>
  <c r="CF327" i="6"/>
  <c r="BN327" i="6"/>
  <c r="CM327" i="6"/>
  <c r="CA327" i="6"/>
  <c r="BD327" i="6"/>
  <c r="BV327" i="6"/>
  <c r="BG327" i="6"/>
  <c r="BJ327" i="6"/>
  <c r="BY327" i="6"/>
  <c r="BS327" i="6"/>
  <c r="BI327" i="6"/>
  <c r="BF327" i="6"/>
  <c r="BR327" i="6"/>
  <c r="CB327" i="6"/>
  <c r="BM327" i="6"/>
  <c r="CC327" i="6"/>
  <c r="CK327" i="6"/>
  <c r="BK327" i="6"/>
  <c r="BT327" i="6"/>
  <c r="CE327" i="6"/>
  <c r="CL327" i="6"/>
  <c r="BC327" i="6"/>
  <c r="BQ327" i="6"/>
  <c r="CI327" i="6"/>
  <c r="BL327" i="6"/>
  <c r="CH327" i="6"/>
  <c r="CJ327" i="6"/>
  <c r="N328" i="6"/>
  <c r="BN328" i="6"/>
  <c r="CI328" i="6"/>
  <c r="BM328" i="6"/>
  <c r="CJ328" i="6"/>
  <c r="BO328" i="6"/>
  <c r="CK328" i="6"/>
  <c r="BP328" i="6"/>
  <c r="CL328" i="6"/>
  <c r="BQ328" i="6"/>
  <c r="BR328" i="6"/>
  <c r="BS328" i="6"/>
  <c r="BT328" i="6"/>
  <c r="A329" i="6"/>
  <c r="N329" i="6" s="1"/>
  <c r="CM328" i="6"/>
  <c r="CF328" i="6"/>
  <c r="CG328" i="6"/>
  <c r="CH328" i="6"/>
  <c r="K329" i="12"/>
  <c r="BJ328" i="6"/>
  <c r="CE328" i="6"/>
  <c r="BD328" i="6"/>
  <c r="BZ328" i="6"/>
  <c r="BV328" i="6"/>
  <c r="BK328" i="6"/>
  <c r="BX328" i="6"/>
  <c r="BF328" i="6"/>
  <c r="CB328" i="6"/>
  <c r="BH328" i="6"/>
  <c r="BE328" i="6"/>
  <c r="BC328" i="6"/>
  <c r="CA328" i="6"/>
  <c r="BW328" i="6"/>
  <c r="BY328" i="6"/>
  <c r="BL328" i="6"/>
  <c r="J330" i="12"/>
  <c r="L330" i="12"/>
  <c r="BG328" i="6"/>
  <c r="CC328" i="6"/>
  <c r="H329" i="6"/>
  <c r="T329" i="5" s="1"/>
  <c r="G329" i="12" s="1"/>
  <c r="C332" i="5"/>
  <c r="AE331" i="5"/>
  <c r="J331" i="5"/>
  <c r="E331" i="5"/>
  <c r="AD331" i="5"/>
  <c r="G331" i="5"/>
  <c r="F331" i="5"/>
  <c r="D331" i="5"/>
  <c r="B331" i="12" s="1"/>
  <c r="B331" i="5"/>
  <c r="K331" i="5"/>
  <c r="B331" i="6"/>
  <c r="N331" i="5"/>
  <c r="A331" i="12"/>
  <c r="H331" i="5"/>
  <c r="D330" i="6"/>
  <c r="BI328" i="6"/>
  <c r="M329" i="6" l="1"/>
  <c r="BD329" i="6" s="1"/>
  <c r="A330" i="6"/>
  <c r="M330" i="6" s="1"/>
  <c r="BJ330" i="6" s="1"/>
  <c r="K330" i="12"/>
  <c r="L331" i="12"/>
  <c r="J331" i="12"/>
  <c r="H330" i="6"/>
  <c r="T330" i="5" s="1"/>
  <c r="G330" i="12" s="1"/>
  <c r="D331" i="6"/>
  <c r="J332" i="5"/>
  <c r="H332" i="5"/>
  <c r="C333" i="5"/>
  <c r="A332" i="12"/>
  <c r="AD332" i="5"/>
  <c r="F332" i="5"/>
  <c r="B332" i="5"/>
  <c r="B332" i="6"/>
  <c r="N332" i="5"/>
  <c r="K332" i="5"/>
  <c r="AE332" i="5"/>
  <c r="D332" i="5"/>
  <c r="B332" i="12" s="1"/>
  <c r="E332" i="5"/>
  <c r="G332" i="5"/>
  <c r="BV329" i="6" l="1"/>
  <c r="BS329" i="6"/>
  <c r="BQ329" i="6"/>
  <c r="CG329" i="6"/>
  <c r="BR329" i="6"/>
  <c r="CC329" i="6"/>
  <c r="BZ329" i="6"/>
  <c r="CB329" i="6"/>
  <c r="CM329" i="6"/>
  <c r="CE329" i="6"/>
  <c r="CK329" i="6"/>
  <c r="CD329" i="6"/>
  <c r="BW329" i="6"/>
  <c r="BK329" i="6"/>
  <c r="BL329" i="6"/>
  <c r="BJ329" i="6"/>
  <c r="BX329" i="6"/>
  <c r="CF329" i="6"/>
  <c r="CJ329" i="6"/>
  <c r="BN329" i="6"/>
  <c r="CL329" i="6"/>
  <c r="BE329" i="6"/>
  <c r="BC329" i="6"/>
  <c r="BP329" i="6"/>
  <c r="CI329" i="6"/>
  <c r="CA329" i="6"/>
  <c r="BY329" i="6"/>
  <c r="BF329" i="6"/>
  <c r="BM329" i="6"/>
  <c r="BH329" i="6"/>
  <c r="BG329" i="6"/>
  <c r="BI329" i="6"/>
  <c r="BO329" i="6"/>
  <c r="CH329" i="6"/>
  <c r="BT329" i="6"/>
  <c r="N330" i="6"/>
  <c r="A331" i="6"/>
  <c r="N331" i="6" s="1"/>
  <c r="BO330" i="6"/>
  <c r="CG330" i="6"/>
  <c r="BP330" i="6"/>
  <c r="CH330" i="6"/>
  <c r="BQ330" i="6"/>
  <c r="BR330" i="6"/>
  <c r="BS330" i="6"/>
  <c r="BT330" i="6"/>
  <c r="CJ330" i="6"/>
  <c r="CI330" i="6"/>
  <c r="CK330" i="6"/>
  <c r="CL330" i="6"/>
  <c r="BM330" i="6"/>
  <c r="CM330" i="6"/>
  <c r="BN330" i="6"/>
  <c r="CF330" i="6"/>
  <c r="BF330" i="6"/>
  <c r="BK330" i="6"/>
  <c r="BG330" i="6"/>
  <c r="BC330" i="6"/>
  <c r="BV330" i="6"/>
  <c r="BI330" i="6"/>
  <c r="BZ330" i="6"/>
  <c r="CB330" i="6"/>
  <c r="CC330" i="6"/>
  <c r="CA330" i="6"/>
  <c r="BD330" i="6"/>
  <c r="CD330" i="6"/>
  <c r="BE330" i="6"/>
  <c r="K331" i="12"/>
  <c r="CE330" i="6"/>
  <c r="BL330" i="6"/>
  <c r="BW330" i="6"/>
  <c r="BH330" i="6"/>
  <c r="J332" i="12"/>
  <c r="L332" i="12"/>
  <c r="D333" i="5"/>
  <c r="B333" i="12" s="1"/>
  <c r="B333" i="6"/>
  <c r="K333" i="5"/>
  <c r="N333" i="5"/>
  <c r="AE333" i="5"/>
  <c r="B333" i="5"/>
  <c r="AD333" i="5"/>
  <c r="J333" i="5"/>
  <c r="G333" i="5"/>
  <c r="C334" i="5"/>
  <c r="H333" i="5"/>
  <c r="A333" i="12"/>
  <c r="F333" i="5"/>
  <c r="E333" i="5"/>
  <c r="BX330" i="6"/>
  <c r="D332" i="6"/>
  <c r="H331" i="6"/>
  <c r="T331" i="5" s="1"/>
  <c r="G331" i="12" s="1"/>
  <c r="BY330" i="6"/>
  <c r="M331" i="6" l="1"/>
  <c r="CD331" i="6" s="1"/>
  <c r="A332" i="6"/>
  <c r="N332" i="6" s="1"/>
  <c r="D333" i="6"/>
  <c r="J333" i="12"/>
  <c r="L333" i="12"/>
  <c r="B334" i="5"/>
  <c r="B334" i="6"/>
  <c r="J334" i="5"/>
  <c r="H334" i="5"/>
  <c r="AD334" i="5"/>
  <c r="K334" i="5"/>
  <c r="D334" i="5"/>
  <c r="B334" i="12" s="1"/>
  <c r="A334" i="12"/>
  <c r="C335" i="5"/>
  <c r="E334" i="5"/>
  <c r="G334" i="5"/>
  <c r="N334" i="5"/>
  <c r="AE334" i="5"/>
  <c r="F334" i="5"/>
  <c r="H332" i="6"/>
  <c r="T332" i="5" s="1"/>
  <c r="G332" i="12" s="1"/>
  <c r="K332" i="12"/>
  <c r="BO331" i="6" l="1"/>
  <c r="CB331" i="6"/>
  <c r="BG331" i="6"/>
  <c r="CJ331" i="6"/>
  <c r="BD331" i="6"/>
  <c r="BZ331" i="6"/>
  <c r="BE331" i="6"/>
  <c r="BM331" i="6"/>
  <c r="CA331" i="6"/>
  <c r="BV331" i="6"/>
  <c r="CI331" i="6"/>
  <c r="BN331" i="6"/>
  <c r="BH331" i="6"/>
  <c r="CE331" i="6"/>
  <c r="CG331" i="6"/>
  <c r="BC331" i="6"/>
  <c r="BX331" i="6"/>
  <c r="BQ331" i="6"/>
  <c r="CF331" i="6"/>
  <c r="CH331" i="6"/>
  <c r="BK331" i="6"/>
  <c r="CM331" i="6"/>
  <c r="CC331" i="6"/>
  <c r="CL331" i="6"/>
  <c r="BT331" i="6"/>
  <c r="BY331" i="6"/>
  <c r="BL331" i="6"/>
  <c r="BJ331" i="6"/>
  <c r="BP331" i="6"/>
  <c r="BS331" i="6"/>
  <c r="BI331" i="6"/>
  <c r="BF331" i="6"/>
  <c r="BW331" i="6"/>
  <c r="CK331" i="6"/>
  <c r="BR331" i="6"/>
  <c r="M332" i="6"/>
  <c r="BT332" i="6" s="1"/>
  <c r="A333" i="6"/>
  <c r="N333" i="6" s="1"/>
  <c r="J335" i="5"/>
  <c r="F335" i="5"/>
  <c r="AD335" i="5"/>
  <c r="C336" i="5"/>
  <c r="E335" i="5"/>
  <c r="N335" i="5"/>
  <c r="H335" i="5"/>
  <c r="A335" i="12"/>
  <c r="G335" i="5"/>
  <c r="K335" i="5"/>
  <c r="AE335" i="5"/>
  <c r="D335" i="5"/>
  <c r="B335" i="12" s="1"/>
  <c r="B335" i="6"/>
  <c r="B335" i="5"/>
  <c r="L334" i="12"/>
  <c r="J334" i="12"/>
  <c r="D334" i="6"/>
  <c r="H333" i="6"/>
  <c r="T333" i="5" s="1"/>
  <c r="G333" i="12" s="1"/>
  <c r="K333" i="12"/>
  <c r="BQ332" i="6" l="1"/>
  <c r="CD332" i="6"/>
  <c r="CI332" i="6"/>
  <c r="BD332" i="6"/>
  <c r="CH332" i="6"/>
  <c r="CG332" i="6"/>
  <c r="BJ332" i="6"/>
  <c r="CB332" i="6"/>
  <c r="BX332" i="6"/>
  <c r="CA332" i="6"/>
  <c r="BI332" i="6"/>
  <c r="BW332" i="6"/>
  <c r="CF332" i="6"/>
  <c r="CJ332" i="6"/>
  <c r="BV332" i="6"/>
  <c r="CC332" i="6"/>
  <c r="BK332" i="6"/>
  <c r="BP332" i="6"/>
  <c r="CE332" i="6"/>
  <c r="BH332" i="6"/>
  <c r="BZ332" i="6"/>
  <c r="CL332" i="6"/>
  <c r="BO332" i="6"/>
  <c r="BE332" i="6"/>
  <c r="BS332" i="6"/>
  <c r="BM332" i="6"/>
  <c r="BL332" i="6"/>
  <c r="BR332" i="6"/>
  <c r="BF332" i="6"/>
  <c r="BG332" i="6"/>
  <c r="BC332" i="6"/>
  <c r="CK332" i="6"/>
  <c r="CM332" i="6"/>
  <c r="M333" i="6"/>
  <c r="CB333" i="6" s="1"/>
  <c r="BY332" i="6"/>
  <c r="BN332" i="6"/>
  <c r="A334" i="6"/>
  <c r="M334" i="6" s="1"/>
  <c r="B336" i="5"/>
  <c r="F336" i="5"/>
  <c r="K336" i="5"/>
  <c r="AD336" i="5"/>
  <c r="H336" i="5"/>
  <c r="G336" i="5"/>
  <c r="J336" i="5"/>
  <c r="N336" i="5"/>
  <c r="C337" i="5"/>
  <c r="A336" i="12"/>
  <c r="E336" i="5"/>
  <c r="B336" i="6"/>
  <c r="AE336" i="5"/>
  <c r="D336" i="5"/>
  <c r="B336" i="12" s="1"/>
  <c r="H334" i="6"/>
  <c r="T334" i="5" s="1"/>
  <c r="G334" i="12" s="1"/>
  <c r="K334" i="12"/>
  <c r="J335" i="12"/>
  <c r="L335" i="12"/>
  <c r="D335" i="6"/>
  <c r="BH333" i="6" l="1"/>
  <c r="BM333" i="6"/>
  <c r="BE333" i="6"/>
  <c r="CL333" i="6"/>
  <c r="BW333" i="6"/>
  <c r="BF333" i="6"/>
  <c r="BV333" i="6"/>
  <c r="BL333" i="6"/>
  <c r="CK333" i="6"/>
  <c r="BN333" i="6"/>
  <c r="BD333" i="6"/>
  <c r="BC333" i="6"/>
  <c r="CI333" i="6"/>
  <c r="CE333" i="6"/>
  <c r="BI333" i="6"/>
  <c r="BY333" i="6"/>
  <c r="CH333" i="6"/>
  <c r="CJ333" i="6"/>
  <c r="BK333" i="6"/>
  <c r="CD333" i="6"/>
  <c r="BG333" i="6"/>
  <c r="CF333" i="6"/>
  <c r="CC333" i="6"/>
  <c r="CM333" i="6"/>
  <c r="BJ333" i="6"/>
  <c r="CA333" i="6"/>
  <c r="BP333" i="6"/>
  <c r="BT333" i="6"/>
  <c r="BS333" i="6"/>
  <c r="BX333" i="6"/>
  <c r="CG333" i="6"/>
  <c r="BR333" i="6"/>
  <c r="BZ333" i="6"/>
  <c r="BO333" i="6"/>
  <c r="BQ333" i="6"/>
  <c r="N334" i="6"/>
  <c r="BD334" i="6"/>
  <c r="CK334" i="6"/>
  <c r="BO334" i="6"/>
  <c r="CJ334" i="6"/>
  <c r="BM334" i="6"/>
  <c r="CI334" i="6"/>
  <c r="BN334" i="6"/>
  <c r="CH334" i="6"/>
  <c r="CG334" i="6"/>
  <c r="CF334" i="6"/>
  <c r="CM334" i="6"/>
  <c r="BT334" i="6"/>
  <c r="BS334" i="6"/>
  <c r="BR334" i="6"/>
  <c r="BQ334" i="6"/>
  <c r="CL334" i="6"/>
  <c r="BP334" i="6"/>
  <c r="A335" i="6"/>
  <c r="N335" i="6" s="1"/>
  <c r="BL334" i="6"/>
  <c r="BV334" i="6"/>
  <c r="BZ334" i="6"/>
  <c r="BJ334" i="6"/>
  <c r="BG334" i="6"/>
  <c r="CC334" i="6"/>
  <c r="CE334" i="6"/>
  <c r="CD334" i="6"/>
  <c r="CB334" i="6"/>
  <c r="BX334" i="6"/>
  <c r="BC334" i="6"/>
  <c r="BH334" i="6"/>
  <c r="BE334" i="6"/>
  <c r="BW334" i="6"/>
  <c r="BI334" i="6"/>
  <c r="BK334" i="6"/>
  <c r="K335" i="12"/>
  <c r="BY334" i="6"/>
  <c r="CA334" i="6"/>
  <c r="C338" i="5"/>
  <c r="B337" i="5"/>
  <c r="G337" i="5"/>
  <c r="AE337" i="5"/>
  <c r="K337" i="5"/>
  <c r="B337" i="6"/>
  <c r="F337" i="5"/>
  <c r="AD337" i="5"/>
  <c r="A337" i="12"/>
  <c r="J337" i="5"/>
  <c r="E337" i="5"/>
  <c r="D337" i="5"/>
  <c r="B337" i="12" s="1"/>
  <c r="N337" i="5"/>
  <c r="H337" i="5"/>
  <c r="D336" i="6"/>
  <c r="H335" i="6"/>
  <c r="T335" i="5" s="1"/>
  <c r="G335" i="12" s="1"/>
  <c r="BF334" i="6"/>
  <c r="J336" i="12"/>
  <c r="L336" i="12"/>
  <c r="M335" i="6" l="1"/>
  <c r="CB335" i="6" s="1"/>
  <c r="A336" i="6"/>
  <c r="M336" i="6" s="1"/>
  <c r="CC336" i="6" s="1"/>
  <c r="K336" i="12"/>
  <c r="D337" i="6"/>
  <c r="G338" i="5"/>
  <c r="B338" i="6"/>
  <c r="AD338" i="5"/>
  <c r="A338" i="12"/>
  <c r="J338" i="5"/>
  <c r="D338" i="5"/>
  <c r="B338" i="12" s="1"/>
  <c r="AE338" i="5"/>
  <c r="H338" i="5"/>
  <c r="E338" i="5"/>
  <c r="N338" i="5"/>
  <c r="F338" i="5"/>
  <c r="B338" i="5"/>
  <c r="C339" i="5"/>
  <c r="K338" i="5"/>
  <c r="H336" i="6"/>
  <c r="T336" i="5" s="1"/>
  <c r="G336" i="12" s="1"/>
  <c r="J337" i="12"/>
  <c r="L337" i="12"/>
  <c r="BS335" i="6" l="1"/>
  <c r="BJ335" i="6"/>
  <c r="CJ335" i="6"/>
  <c r="CA335" i="6"/>
  <c r="BZ335" i="6"/>
  <c r="BG335" i="6"/>
  <c r="BR335" i="6"/>
  <c r="CC335" i="6"/>
  <c r="BW335" i="6"/>
  <c r="BY335" i="6"/>
  <c r="CE335" i="6"/>
  <c r="CI335" i="6"/>
  <c r="BH335" i="6"/>
  <c r="CH335" i="6"/>
  <c r="BD335" i="6"/>
  <c r="BK335" i="6"/>
  <c r="BM335" i="6"/>
  <c r="CG335" i="6"/>
  <c r="CF335" i="6"/>
  <c r="CK335" i="6"/>
  <c r="BQ335" i="6"/>
  <c r="BI335" i="6"/>
  <c r="BL335" i="6"/>
  <c r="BX335" i="6"/>
  <c r="CM335" i="6"/>
  <c r="BP335" i="6"/>
  <c r="CD335" i="6"/>
  <c r="BF335" i="6"/>
  <c r="BV335" i="6"/>
  <c r="BT335" i="6"/>
  <c r="BO335" i="6"/>
  <c r="BC335" i="6"/>
  <c r="BE335" i="6"/>
  <c r="CL335" i="6"/>
  <c r="BN335" i="6"/>
  <c r="N336" i="6"/>
  <c r="BN336" i="6"/>
  <c r="BM336" i="6"/>
  <c r="CM336" i="6"/>
  <c r="CF336" i="6"/>
  <c r="BO336" i="6"/>
  <c r="CG336" i="6"/>
  <c r="A337" i="6"/>
  <c r="N337" i="6" s="1"/>
  <c r="BP336" i="6"/>
  <c r="CH336" i="6"/>
  <c r="BQ336" i="6"/>
  <c r="BR336" i="6"/>
  <c r="BS336" i="6"/>
  <c r="BT336" i="6"/>
  <c r="CJ336" i="6"/>
  <c r="CI336" i="6"/>
  <c r="CK336" i="6"/>
  <c r="CL336" i="6"/>
  <c r="BX336" i="6"/>
  <c r="CD336" i="6"/>
  <c r="BF336" i="6"/>
  <c r="A339" i="12"/>
  <c r="B339" i="6"/>
  <c r="K339" i="5"/>
  <c r="C340" i="5"/>
  <c r="J339" i="5"/>
  <c r="G339" i="5"/>
  <c r="H339" i="5"/>
  <c r="F339" i="5"/>
  <c r="B339" i="5"/>
  <c r="N339" i="5"/>
  <c r="AD339" i="5"/>
  <c r="E339" i="5"/>
  <c r="D339" i="5"/>
  <c r="B339" i="12" s="1"/>
  <c r="AE339" i="5"/>
  <c r="BH336" i="6"/>
  <c r="BY336" i="6"/>
  <c r="BD336" i="6"/>
  <c r="CB336" i="6"/>
  <c r="BJ336" i="6"/>
  <c r="D338" i="6"/>
  <c r="BZ336" i="6"/>
  <c r="CA336" i="6"/>
  <c r="BE336" i="6"/>
  <c r="BV336" i="6"/>
  <c r="BG336" i="6"/>
  <c r="CE336" i="6"/>
  <c r="K337" i="12"/>
  <c r="BW336" i="6"/>
  <c r="BI336" i="6"/>
  <c r="BC336" i="6"/>
  <c r="H337" i="6"/>
  <c r="T337" i="5" s="1"/>
  <c r="G337" i="12" s="1"/>
  <c r="BL336" i="6"/>
  <c r="BK336" i="6"/>
  <c r="J338" i="12"/>
  <c r="L338" i="12"/>
  <c r="M337" i="6" l="1"/>
  <c r="BH337" i="6" s="1"/>
  <c r="A338" i="6"/>
  <c r="M338" i="6" s="1"/>
  <c r="BV338" i="6" s="1"/>
  <c r="H338" i="6"/>
  <c r="T338" i="5" s="1"/>
  <c r="G338" i="12" s="1"/>
  <c r="E340" i="5"/>
  <c r="AE340" i="5"/>
  <c r="F340" i="5"/>
  <c r="G340" i="5"/>
  <c r="D340" i="5"/>
  <c r="B340" i="12" s="1"/>
  <c r="B340" i="6"/>
  <c r="J340" i="5"/>
  <c r="H340" i="5"/>
  <c r="K340" i="5"/>
  <c r="B340" i="5"/>
  <c r="N340" i="5"/>
  <c r="AD340" i="5"/>
  <c r="A340" i="12"/>
  <c r="C341" i="5"/>
  <c r="K338" i="12"/>
  <c r="L339" i="12"/>
  <c r="J339" i="12"/>
  <c r="D339" i="6"/>
  <c r="N338" i="6" l="1"/>
  <c r="BL337" i="6"/>
  <c r="CL337" i="6"/>
  <c r="BI337" i="6"/>
  <c r="BP337" i="6"/>
  <c r="BG337" i="6"/>
  <c r="CK337" i="6"/>
  <c r="CB337" i="6"/>
  <c r="CE337" i="6"/>
  <c r="BO337" i="6"/>
  <c r="BE337" i="6"/>
  <c r="CJ337" i="6"/>
  <c r="BC337" i="6"/>
  <c r="CA337" i="6"/>
  <c r="BF337" i="6"/>
  <c r="BZ337" i="6"/>
  <c r="BW337" i="6"/>
  <c r="BM337" i="6"/>
  <c r="BQ337" i="6"/>
  <c r="BK337" i="6"/>
  <c r="CC337" i="6"/>
  <c r="BD337" i="6"/>
  <c r="BV337" i="6"/>
  <c r="CI337" i="6"/>
  <c r="BY337" i="6"/>
  <c r="BJ337" i="6"/>
  <c r="CF337" i="6"/>
  <c r="BN337" i="6"/>
  <c r="BX337" i="6"/>
  <c r="CM337" i="6"/>
  <c r="CH337" i="6"/>
  <c r="BS337" i="6"/>
  <c r="CD337" i="6"/>
  <c r="BT337" i="6"/>
  <c r="BR337" i="6"/>
  <c r="CG337" i="6"/>
  <c r="BP338" i="6"/>
  <c r="CF338" i="6"/>
  <c r="CG338" i="6"/>
  <c r="CH338" i="6"/>
  <c r="CI338" i="6"/>
  <c r="BR338" i="6"/>
  <c r="CJ338" i="6"/>
  <c r="BQ338" i="6"/>
  <c r="CK338" i="6"/>
  <c r="BS338" i="6"/>
  <c r="CL338" i="6"/>
  <c r="BT338" i="6"/>
  <c r="CM338" i="6"/>
  <c r="BM338" i="6"/>
  <c r="A339" i="6"/>
  <c r="M339" i="6" s="1"/>
  <c r="BN338" i="6"/>
  <c r="BO338" i="6"/>
  <c r="BL338" i="6"/>
  <c r="BI338" i="6"/>
  <c r="BX338" i="6"/>
  <c r="BG338" i="6"/>
  <c r="BW338" i="6"/>
  <c r="CA338" i="6"/>
  <c r="BC338" i="6"/>
  <c r="BJ338" i="6"/>
  <c r="CB338" i="6"/>
  <c r="BD338" i="6"/>
  <c r="H339" i="6"/>
  <c r="T339" i="5" s="1"/>
  <c r="G339" i="12" s="1"/>
  <c r="K339" i="12"/>
  <c r="AE341" i="5"/>
  <c r="B341" i="5"/>
  <c r="H341" i="5"/>
  <c r="N341" i="5"/>
  <c r="K341" i="5"/>
  <c r="G341" i="5"/>
  <c r="AD341" i="5"/>
  <c r="F341" i="5"/>
  <c r="A341" i="12"/>
  <c r="E341" i="5"/>
  <c r="D341" i="5"/>
  <c r="B341" i="12" s="1"/>
  <c r="J341" i="5"/>
  <c r="B341" i="6"/>
  <c r="C342" i="5"/>
  <c r="BZ338" i="6"/>
  <c r="BF338" i="6"/>
  <c r="L340" i="12"/>
  <c r="J340" i="12"/>
  <c r="CD338" i="6"/>
  <c r="D340" i="6"/>
  <c r="BY338" i="6"/>
  <c r="BH338" i="6"/>
  <c r="CC338" i="6"/>
  <c r="BK338" i="6"/>
  <c r="CE338" i="6"/>
  <c r="BE338" i="6"/>
  <c r="CC339" i="6" l="1"/>
  <c r="CM339" i="6"/>
  <c r="BM339" i="6"/>
  <c r="CL339" i="6"/>
  <c r="CK339" i="6"/>
  <c r="CI339" i="6"/>
  <c r="CJ339" i="6"/>
  <c r="BT339" i="6"/>
  <c r="BS339" i="6"/>
  <c r="BR339" i="6"/>
  <c r="BQ339" i="6"/>
  <c r="CH339" i="6"/>
  <c r="BP339" i="6"/>
  <c r="CG339" i="6"/>
  <c r="BO339" i="6"/>
  <c r="CF339" i="6"/>
  <c r="BN339" i="6"/>
  <c r="A340" i="6"/>
  <c r="N340" i="6" s="1"/>
  <c r="N339" i="6"/>
  <c r="BF339" i="6"/>
  <c r="CE339" i="6"/>
  <c r="BK339" i="6"/>
  <c r="BC339" i="6"/>
  <c r="BJ339" i="6"/>
  <c r="CD339" i="6"/>
  <c r="BZ339" i="6"/>
  <c r="BV339" i="6"/>
  <c r="BY339" i="6"/>
  <c r="BD339" i="6"/>
  <c r="CA339" i="6"/>
  <c r="CB339" i="6"/>
  <c r="BG339" i="6"/>
  <c r="BW339" i="6"/>
  <c r="BI339" i="6"/>
  <c r="J341" i="12"/>
  <c r="L341" i="12"/>
  <c r="D341" i="6"/>
  <c r="AD342" i="5"/>
  <c r="K342" i="5"/>
  <c r="D342" i="5"/>
  <c r="B342" i="12" s="1"/>
  <c r="H342" i="5"/>
  <c r="C343" i="5"/>
  <c r="B342" i="6"/>
  <c r="A342" i="12"/>
  <c r="E342" i="5"/>
  <c r="J342" i="5"/>
  <c r="N342" i="5"/>
  <c r="B342" i="5"/>
  <c r="F342" i="5"/>
  <c r="G342" i="5"/>
  <c r="AE342" i="5"/>
  <c r="H340" i="6"/>
  <c r="T340" i="5" s="1"/>
  <c r="G340" i="12" s="1"/>
  <c r="K340" i="12"/>
  <c r="BH339" i="6"/>
  <c r="BE339" i="6"/>
  <c r="BL339" i="6"/>
  <c r="BX339" i="6"/>
  <c r="M340" i="6" l="1"/>
  <c r="CK340" i="6" s="1"/>
  <c r="A341" i="6"/>
  <c r="N341" i="6" s="1"/>
  <c r="K341" i="12"/>
  <c r="D343" i="5"/>
  <c r="B343" i="12" s="1"/>
  <c r="AE343" i="5"/>
  <c r="A343" i="12"/>
  <c r="N343" i="5"/>
  <c r="K343" i="5"/>
  <c r="G343" i="5"/>
  <c r="E343" i="5"/>
  <c r="J343" i="5"/>
  <c r="H343" i="5"/>
  <c r="B343" i="6"/>
  <c r="C344" i="5"/>
  <c r="F343" i="5"/>
  <c r="B343" i="5"/>
  <c r="AD343" i="5"/>
  <c r="D342" i="6"/>
  <c r="H341" i="6"/>
  <c r="T341" i="5" s="1"/>
  <c r="G341" i="12" s="1"/>
  <c r="L342" i="12"/>
  <c r="J342" i="12"/>
  <c r="M341" i="6" l="1"/>
  <c r="CA341" i="6" s="1"/>
  <c r="BE340" i="6"/>
  <c r="CM340" i="6"/>
  <c r="BL340" i="6"/>
  <c r="CG340" i="6"/>
  <c r="BY340" i="6"/>
  <c r="BI340" i="6"/>
  <c r="BV340" i="6"/>
  <c r="BS340" i="6"/>
  <c r="BJ340" i="6"/>
  <c r="BX340" i="6"/>
  <c r="BC340" i="6"/>
  <c r="BR340" i="6"/>
  <c r="CH340" i="6"/>
  <c r="BH340" i="6"/>
  <c r="BT340" i="6"/>
  <c r="CC340" i="6"/>
  <c r="CB340" i="6"/>
  <c r="CD340" i="6"/>
  <c r="BD340" i="6"/>
  <c r="CJ340" i="6"/>
  <c r="BQ340" i="6"/>
  <c r="BK340" i="6"/>
  <c r="CA340" i="6"/>
  <c r="BZ340" i="6"/>
  <c r="CF340" i="6"/>
  <c r="BW340" i="6"/>
  <c r="CE340" i="6"/>
  <c r="BM340" i="6"/>
  <c r="CL340" i="6"/>
  <c r="CI340" i="6"/>
  <c r="BO340" i="6"/>
  <c r="BF340" i="6"/>
  <c r="BN340" i="6"/>
  <c r="BG340" i="6"/>
  <c r="BP340" i="6"/>
  <c r="A342" i="6"/>
  <c r="N342" i="6" s="1"/>
  <c r="K342" i="12"/>
  <c r="L343" i="12"/>
  <c r="J343" i="12"/>
  <c r="N344" i="5"/>
  <c r="F344" i="5"/>
  <c r="H344" i="5"/>
  <c r="J344" i="5"/>
  <c r="G344" i="5"/>
  <c r="AE344" i="5"/>
  <c r="B344" i="5"/>
  <c r="K344" i="5"/>
  <c r="D344" i="5"/>
  <c r="B344" i="12" s="1"/>
  <c r="C345" i="5"/>
  <c r="A344" i="12"/>
  <c r="E344" i="5"/>
  <c r="B344" i="6"/>
  <c r="AD344" i="5"/>
  <c r="H342" i="6"/>
  <c r="T342" i="5" s="1"/>
  <c r="G342" i="12" s="1"/>
  <c r="D343" i="6"/>
  <c r="BX341" i="6" l="1"/>
  <c r="BM341" i="6"/>
  <c r="CF341" i="6"/>
  <c r="BL341" i="6"/>
  <c r="BK341" i="6"/>
  <c r="CM341" i="6"/>
  <c r="BN341" i="6"/>
  <c r="BV341" i="6"/>
  <c r="BW341" i="6"/>
  <c r="CK341" i="6"/>
  <c r="CB341" i="6"/>
  <c r="BE341" i="6"/>
  <c r="BZ341" i="6"/>
  <c r="BQ341" i="6"/>
  <c r="CG341" i="6"/>
  <c r="CE341" i="6"/>
  <c r="BD341" i="6"/>
  <c r="BF341" i="6"/>
  <c r="CJ341" i="6"/>
  <c r="BT341" i="6"/>
  <c r="CD341" i="6"/>
  <c r="CL341" i="6"/>
  <c r="BY341" i="6"/>
  <c r="BP341" i="6"/>
  <c r="BR341" i="6"/>
  <c r="BO341" i="6"/>
  <c r="CI341" i="6"/>
  <c r="CC341" i="6"/>
  <c r="BG341" i="6"/>
  <c r="BJ341" i="6"/>
  <c r="BI341" i="6"/>
  <c r="BS341" i="6"/>
  <c r="BC341" i="6"/>
  <c r="BH341" i="6"/>
  <c r="CH341" i="6"/>
  <c r="M342" i="6"/>
  <c r="BN342" i="6" s="1"/>
  <c r="A343" i="6"/>
  <c r="N343" i="6" s="1"/>
  <c r="K343" i="12"/>
  <c r="B345" i="5"/>
  <c r="L344" i="12"/>
  <c r="J344" i="12"/>
  <c r="D344" i="6"/>
  <c r="C346" i="5"/>
  <c r="E345" i="5"/>
  <c r="B345" i="6"/>
  <c r="D345" i="5"/>
  <c r="B345" i="12" s="1"/>
  <c r="H345" i="5"/>
  <c r="N345" i="5"/>
  <c r="A345" i="12"/>
  <c r="AD345" i="5"/>
  <c r="AE345" i="5"/>
  <c r="J345" i="5"/>
  <c r="K345" i="5"/>
  <c r="H343" i="6"/>
  <c r="T343" i="5" s="1"/>
  <c r="G343" i="12" s="1"/>
  <c r="G345" i="5"/>
  <c r="F345" i="5"/>
  <c r="CM342" i="6" l="1"/>
  <c r="BM342" i="6"/>
  <c r="BI342" i="6"/>
  <c r="CL342" i="6"/>
  <c r="BG342" i="6"/>
  <c r="CK342" i="6"/>
  <c r="CI342" i="6"/>
  <c r="BV342" i="6"/>
  <c r="CB342" i="6"/>
  <c r="BF342" i="6"/>
  <c r="CJ342" i="6"/>
  <c r="BT342" i="6"/>
  <c r="BL342" i="6"/>
  <c r="BE342" i="6"/>
  <c r="BX342" i="6"/>
  <c r="BD342" i="6"/>
  <c r="CA342" i="6"/>
  <c r="CC342" i="6"/>
  <c r="BK342" i="6"/>
  <c r="BS342" i="6"/>
  <c r="CE342" i="6"/>
  <c r="BH342" i="6"/>
  <c r="CD342" i="6"/>
  <c r="BC342" i="6"/>
  <c r="BR342" i="6"/>
  <c r="BW342" i="6"/>
  <c r="BJ342" i="6"/>
  <c r="BZ342" i="6"/>
  <c r="BQ342" i="6"/>
  <c r="CH342" i="6"/>
  <c r="CG342" i="6"/>
  <c r="M343" i="6"/>
  <c r="CA343" i="6" s="1"/>
  <c r="BY342" i="6"/>
  <c r="BO342" i="6"/>
  <c r="CF342" i="6"/>
  <c r="BP342" i="6"/>
  <c r="A344" i="6"/>
  <c r="N344" i="6" s="1"/>
  <c r="K344" i="12"/>
  <c r="D346" i="5"/>
  <c r="B346" i="12" s="1"/>
  <c r="C347" i="5"/>
  <c r="F346" i="5"/>
  <c r="AE346" i="5"/>
  <c r="K346" i="5"/>
  <c r="N346" i="5"/>
  <c r="AD346" i="5"/>
  <c r="E346" i="5"/>
  <c r="H346" i="5"/>
  <c r="A346" i="12"/>
  <c r="B346" i="6"/>
  <c r="B346" i="5"/>
  <c r="J346" i="5"/>
  <c r="G346" i="5"/>
  <c r="L345" i="12"/>
  <c r="J345" i="12"/>
  <c r="D345" i="6"/>
  <c r="H344" i="6"/>
  <c r="T344" i="5" s="1"/>
  <c r="G344" i="12" s="1"/>
  <c r="BZ343" i="6" l="1"/>
  <c r="BX343" i="6"/>
  <c r="BP343" i="6"/>
  <c r="BG343" i="6"/>
  <c r="BH343" i="6"/>
  <c r="BY343" i="6"/>
  <c r="BO343" i="6"/>
  <c r="BD343" i="6"/>
  <c r="CL343" i="6"/>
  <c r="BE343" i="6"/>
  <c r="CK343" i="6"/>
  <c r="M344" i="6"/>
  <c r="CC344" i="6" s="1"/>
  <c r="BV343" i="6"/>
  <c r="BJ343" i="6"/>
  <c r="CJ343" i="6"/>
  <c r="BQ343" i="6"/>
  <c r="CB343" i="6"/>
  <c r="BC343" i="6"/>
  <c r="BK343" i="6"/>
  <c r="CC343" i="6"/>
  <c r="CI343" i="6"/>
  <c r="BI343" i="6"/>
  <c r="BW343" i="6"/>
  <c r="CM343" i="6"/>
  <c r="BN343" i="6"/>
  <c r="CD343" i="6"/>
  <c r="BT343" i="6"/>
  <c r="BL343" i="6"/>
  <c r="BS343" i="6"/>
  <c r="CG343" i="6"/>
  <c r="CE343" i="6"/>
  <c r="CH343" i="6"/>
  <c r="BF343" i="6"/>
  <c r="BR343" i="6"/>
  <c r="CF343" i="6"/>
  <c r="BM343" i="6"/>
  <c r="A345" i="6"/>
  <c r="M345" i="6" s="1"/>
  <c r="BE345" i="6" s="1"/>
  <c r="AD347" i="5"/>
  <c r="N347" i="5"/>
  <c r="A347" i="12"/>
  <c r="B347" i="5"/>
  <c r="E347" i="5"/>
  <c r="H347" i="5"/>
  <c r="D347" i="5"/>
  <c r="B347" i="12" s="1"/>
  <c r="J347" i="5"/>
  <c r="AE347" i="5"/>
  <c r="G347" i="5"/>
  <c r="C348" i="5"/>
  <c r="K347" i="5"/>
  <c r="F347" i="5"/>
  <c r="B347" i="6"/>
  <c r="J346" i="12"/>
  <c r="L346" i="12"/>
  <c r="K345" i="12"/>
  <c r="D346" i="6"/>
  <c r="H345" i="6"/>
  <c r="T345" i="5" s="1"/>
  <c r="G345" i="12" s="1"/>
  <c r="N345" i="6" l="1"/>
  <c r="BZ344" i="6"/>
  <c r="BV344" i="6"/>
  <c r="CD344" i="6"/>
  <c r="BQ344" i="6"/>
  <c r="BL344" i="6"/>
  <c r="BX344" i="6"/>
  <c r="BG344" i="6"/>
  <c r="CJ344" i="6"/>
  <c r="BS344" i="6"/>
  <c r="BW344" i="6"/>
  <c r="BD344" i="6"/>
  <c r="BR344" i="6"/>
  <c r="BC344" i="6"/>
  <c r="BK344" i="6"/>
  <c r="CI344" i="6"/>
  <c r="BI344" i="6"/>
  <c r="CB344" i="6"/>
  <c r="CH344" i="6"/>
  <c r="BE344" i="6"/>
  <c r="BM344" i="6"/>
  <c r="CG344" i="6"/>
  <c r="CE344" i="6"/>
  <c r="BJ344" i="6"/>
  <c r="CM344" i="6"/>
  <c r="CF344" i="6"/>
  <c r="CK344" i="6"/>
  <c r="BH344" i="6"/>
  <c r="BT344" i="6"/>
  <c r="BO344" i="6"/>
  <c r="BP344" i="6"/>
  <c r="CA344" i="6"/>
  <c r="BY344" i="6"/>
  <c r="BF344" i="6"/>
  <c r="CL344" i="6"/>
  <c r="BN344" i="6"/>
  <c r="CL345" i="6"/>
  <c r="CM345" i="6"/>
  <c r="CF345" i="6"/>
  <c r="BM345" i="6"/>
  <c r="BN345" i="6"/>
  <c r="BO345" i="6"/>
  <c r="BP345" i="6"/>
  <c r="BR345" i="6"/>
  <c r="CG345" i="6"/>
  <c r="CH345" i="6"/>
  <c r="BQ345" i="6"/>
  <c r="BS345" i="6"/>
  <c r="BT345" i="6"/>
  <c r="A346" i="6"/>
  <c r="M346" i="6" s="1"/>
  <c r="BV346" i="6" s="1"/>
  <c r="CJ345" i="6"/>
  <c r="CI345" i="6"/>
  <c r="CK345" i="6"/>
  <c r="BK345" i="6"/>
  <c r="BI345" i="6"/>
  <c r="CD345" i="6"/>
  <c r="BW345" i="6"/>
  <c r="BG345" i="6"/>
  <c r="CE345" i="6"/>
  <c r="CA345" i="6"/>
  <c r="BC345" i="6"/>
  <c r="BH345" i="6"/>
  <c r="BL345" i="6"/>
  <c r="BV345" i="6"/>
  <c r="BX345" i="6"/>
  <c r="BD345" i="6"/>
  <c r="BJ345" i="6"/>
  <c r="CB345" i="6"/>
  <c r="BF345" i="6"/>
  <c r="BZ345" i="6"/>
  <c r="K346" i="12"/>
  <c r="L347" i="12"/>
  <c r="J347" i="12"/>
  <c r="D347" i="6"/>
  <c r="A348" i="12"/>
  <c r="D348" i="5"/>
  <c r="B348" i="12" s="1"/>
  <c r="H348" i="5"/>
  <c r="B348" i="6"/>
  <c r="F348" i="5"/>
  <c r="E348" i="5"/>
  <c r="B348" i="5"/>
  <c r="AD348" i="5"/>
  <c r="J348" i="5"/>
  <c r="G348" i="5"/>
  <c r="AE348" i="5"/>
  <c r="N348" i="5"/>
  <c r="K348" i="5"/>
  <c r="H346" i="6"/>
  <c r="T346" i="5" s="1"/>
  <c r="G346" i="12" s="1"/>
  <c r="CC345" i="6"/>
  <c r="BY345" i="6"/>
  <c r="N346" i="6" l="1"/>
  <c r="BO346" i="6"/>
  <c r="CK346" i="6"/>
  <c r="BP346" i="6"/>
  <c r="CL346" i="6"/>
  <c r="BQ346" i="6"/>
  <c r="BR346" i="6"/>
  <c r="BS346" i="6"/>
  <c r="BT346" i="6"/>
  <c r="CM346" i="6"/>
  <c r="CF346" i="6"/>
  <c r="CG346" i="6"/>
  <c r="CH346" i="6"/>
  <c r="A347" i="6"/>
  <c r="N347" i="6" s="1"/>
  <c r="BN346" i="6"/>
  <c r="CI346" i="6"/>
  <c r="BM346" i="6"/>
  <c r="CJ346" i="6"/>
  <c r="BY346" i="6"/>
  <c r="CE346" i="6"/>
  <c r="CA346" i="6"/>
  <c r="BK346" i="6"/>
  <c r="BH346" i="6"/>
  <c r="BJ346" i="6"/>
  <c r="BX346" i="6"/>
  <c r="BD346" i="6"/>
  <c r="K347" i="12"/>
  <c r="BW346" i="6"/>
  <c r="BE346" i="6"/>
  <c r="BI346" i="6"/>
  <c r="BL346" i="6"/>
  <c r="BC346" i="6"/>
  <c r="BG346" i="6"/>
  <c r="CD346" i="6"/>
  <c r="CC346" i="6"/>
  <c r="D348" i="6"/>
  <c r="C349" i="5"/>
  <c r="H347" i="6"/>
  <c r="T347" i="5" s="1"/>
  <c r="G347" i="12" s="1"/>
  <c r="BZ346" i="6"/>
  <c r="BF346" i="6"/>
  <c r="CB346" i="6"/>
  <c r="L348" i="12"/>
  <c r="J348" i="12"/>
  <c r="AF349" i="5"/>
  <c r="M347" i="6" l="1"/>
  <c r="BJ347" i="6" s="1"/>
  <c r="A348" i="6"/>
  <c r="N348" i="6" s="1"/>
  <c r="K348" i="12"/>
  <c r="S349" i="5"/>
  <c r="F349" i="12" s="1"/>
  <c r="AG349" i="5"/>
  <c r="U349" i="5" s="1"/>
  <c r="N349" i="5"/>
  <c r="F349" i="5"/>
  <c r="G349" i="5"/>
  <c r="B349" i="5"/>
  <c r="E349" i="5"/>
  <c r="H349" i="5"/>
  <c r="AD349" i="5"/>
  <c r="B349" i="6"/>
  <c r="A349" i="12"/>
  <c r="C350" i="5"/>
  <c r="AE349" i="5"/>
  <c r="H348" i="6"/>
  <c r="T348" i="5" s="1"/>
  <c r="G348" i="12" s="1"/>
  <c r="BC347" i="6" l="1"/>
  <c r="CF347" i="6"/>
  <c r="BP347" i="6"/>
  <c r="BI347" i="6"/>
  <c r="CC347" i="6"/>
  <c r="CA347" i="6"/>
  <c r="BN347" i="6"/>
  <c r="BM347" i="6"/>
  <c r="BH347" i="6"/>
  <c r="BY347" i="6"/>
  <c r="CM347" i="6"/>
  <c r="BD347" i="6"/>
  <c r="CB347" i="6"/>
  <c r="CJ347" i="6"/>
  <c r="BT347" i="6"/>
  <c r="BV347" i="6"/>
  <c r="BR347" i="6"/>
  <c r="CL347" i="6"/>
  <c r="BZ347" i="6"/>
  <c r="CD347" i="6"/>
  <c r="BG347" i="6"/>
  <c r="BW347" i="6"/>
  <c r="CI347" i="6"/>
  <c r="BS347" i="6"/>
  <c r="BL347" i="6"/>
  <c r="BO347" i="6"/>
  <c r="BE347" i="6"/>
  <c r="BF347" i="6"/>
  <c r="BX347" i="6"/>
  <c r="CH347" i="6"/>
  <c r="CK347" i="6"/>
  <c r="CE347" i="6"/>
  <c r="BK347" i="6"/>
  <c r="CG347" i="6"/>
  <c r="BQ347" i="6"/>
  <c r="M348" i="6"/>
  <c r="BL348" i="6" s="1"/>
  <c r="AN349" i="5"/>
  <c r="W349" i="5"/>
  <c r="H349" i="12" s="1"/>
  <c r="E349" i="12"/>
  <c r="F349" i="6"/>
  <c r="AD350" i="5"/>
  <c r="B350" i="6"/>
  <c r="K350" i="5"/>
  <c r="C351" i="5"/>
  <c r="J350" i="5"/>
  <c r="H350" i="5"/>
  <c r="G350" i="5"/>
  <c r="E350" i="5"/>
  <c r="D350" i="5"/>
  <c r="B350" i="12" s="1"/>
  <c r="F350" i="5"/>
  <c r="N350" i="5"/>
  <c r="B350" i="5"/>
  <c r="A350" i="12"/>
  <c r="AE350" i="5"/>
  <c r="D349" i="6"/>
  <c r="BC348" i="6" l="1"/>
  <c r="BO348" i="6"/>
  <c r="BN348" i="6"/>
  <c r="CM348" i="6"/>
  <c r="BG348" i="6"/>
  <c r="BM348" i="6"/>
  <c r="BE348" i="6"/>
  <c r="BY348" i="6"/>
  <c r="CL348" i="6"/>
  <c r="CA348" i="6"/>
  <c r="BF348" i="6"/>
  <c r="BD348" i="6"/>
  <c r="CK348" i="6"/>
  <c r="CF348" i="6"/>
  <c r="BH348" i="6"/>
  <c r="CC348" i="6"/>
  <c r="BK348" i="6"/>
  <c r="CE348" i="6"/>
  <c r="CI348" i="6"/>
  <c r="BX348" i="6"/>
  <c r="CD348" i="6"/>
  <c r="BV348" i="6"/>
  <c r="CJ348" i="6"/>
  <c r="CG348" i="6"/>
  <c r="BT348" i="6"/>
  <c r="BJ348" i="6"/>
  <c r="BZ348" i="6"/>
  <c r="BI348" i="6"/>
  <c r="CB348" i="6"/>
  <c r="BW348" i="6"/>
  <c r="BS348" i="6"/>
  <c r="BR348" i="6"/>
  <c r="BQ348" i="6"/>
  <c r="CH348" i="6"/>
  <c r="BP348" i="6"/>
  <c r="A349" i="6"/>
  <c r="CL349" i="6"/>
  <c r="CK349" i="6"/>
  <c r="CJ349" i="6"/>
  <c r="CI349" i="6"/>
  <c r="CH349" i="6"/>
  <c r="CG349" i="6"/>
  <c r="CF349" i="6"/>
  <c r="CM349" i="6"/>
  <c r="BT349" i="6"/>
  <c r="BS349" i="6"/>
  <c r="BR349" i="6"/>
  <c r="BQ349" i="6"/>
  <c r="BP349" i="6"/>
  <c r="BO349" i="6"/>
  <c r="BM349" i="6"/>
  <c r="BN349" i="6"/>
  <c r="AE351" i="5"/>
  <c r="J351" i="5"/>
  <c r="E351" i="5"/>
  <c r="A351" i="12"/>
  <c r="G351" i="5"/>
  <c r="AD351" i="5"/>
  <c r="D351" i="5"/>
  <c r="B351" i="12" s="1"/>
  <c r="C352" i="5"/>
  <c r="F351" i="5"/>
  <c r="K351" i="5"/>
  <c r="B351" i="6"/>
  <c r="B351" i="5"/>
  <c r="H351" i="5"/>
  <c r="N351" i="5"/>
  <c r="J350" i="12"/>
  <c r="L350" i="12"/>
  <c r="N349" i="6"/>
  <c r="M349" i="6"/>
  <c r="BI349" i="6" s="1"/>
  <c r="H349" i="6"/>
  <c r="T349" i="5" s="1"/>
  <c r="G349" i="12" s="1"/>
  <c r="G349" i="6"/>
  <c r="D350" i="6"/>
  <c r="AX349" i="6" l="1"/>
  <c r="AY349" i="6"/>
  <c r="AZ349" i="6"/>
  <c r="AV349" i="6"/>
  <c r="A350" i="6"/>
  <c r="N350" i="6" s="1"/>
  <c r="BA349" i="6"/>
  <c r="AT349" i="6"/>
  <c r="AU349" i="6"/>
  <c r="AW349" i="6"/>
  <c r="K350" i="12"/>
  <c r="CB349" i="6"/>
  <c r="BJ349" i="6"/>
  <c r="AM349" i="6"/>
  <c r="BF349" i="6"/>
  <c r="AJ349" i="6"/>
  <c r="CD349" i="6"/>
  <c r="D351" i="6"/>
  <c r="L351" i="12"/>
  <c r="J351" i="12"/>
  <c r="CE349" i="6"/>
  <c r="BE349" i="6"/>
  <c r="BC349" i="6"/>
  <c r="BL349" i="6"/>
  <c r="AL349" i="6"/>
  <c r="BW349" i="6"/>
  <c r="AO349" i="6"/>
  <c r="BH349" i="6"/>
  <c r="CA349" i="6"/>
  <c r="BZ349" i="6"/>
  <c r="AR349" i="6"/>
  <c r="BV349" i="6"/>
  <c r="AS349" i="6"/>
  <c r="AQ349" i="6"/>
  <c r="BX349" i="6"/>
  <c r="F352" i="5"/>
  <c r="G352" i="5"/>
  <c r="D352" i="5"/>
  <c r="B352" i="12" s="1"/>
  <c r="AD352" i="5"/>
  <c r="J352" i="5"/>
  <c r="E352" i="5"/>
  <c r="A352" i="12"/>
  <c r="B352" i="5"/>
  <c r="H352" i="5"/>
  <c r="N352" i="5"/>
  <c r="K352" i="5"/>
  <c r="AE352" i="5"/>
  <c r="B352" i="6"/>
  <c r="AK349" i="6"/>
  <c r="H350" i="6"/>
  <c r="T350" i="5" s="1"/>
  <c r="G350" i="12" s="1"/>
  <c r="AN349" i="6"/>
  <c r="BG349" i="6"/>
  <c r="CC349" i="6"/>
  <c r="BD349" i="6"/>
  <c r="BY349" i="6"/>
  <c r="BK349" i="6"/>
  <c r="AP349" i="6"/>
  <c r="M350" i="6" l="1"/>
  <c r="BV350" i="6" s="1"/>
  <c r="A351" i="6"/>
  <c r="N351" i="6" s="1"/>
  <c r="K351" i="12"/>
  <c r="H351" i="6"/>
  <c r="T351" i="5" s="1"/>
  <c r="G351" i="12" s="1"/>
  <c r="D352" i="6"/>
  <c r="J352" i="12"/>
  <c r="L352" i="12"/>
  <c r="CB350" i="6" l="1"/>
  <c r="BL350" i="6"/>
  <c r="BJ350" i="6"/>
  <c r="BX350" i="6"/>
  <c r="BK350" i="6"/>
  <c r="BW350" i="6"/>
  <c r="BQ350" i="6"/>
  <c r="CL350" i="6"/>
  <c r="CJ350" i="6"/>
  <c r="CI350" i="6"/>
  <c r="CM350" i="6"/>
  <c r="BT350" i="6"/>
  <c r="BS350" i="6"/>
  <c r="BG350" i="6"/>
  <c r="BY350" i="6"/>
  <c r="CA350" i="6"/>
  <c r="BN350" i="6"/>
  <c r="CH350" i="6"/>
  <c r="BF350" i="6"/>
  <c r="BH350" i="6"/>
  <c r="BE350" i="6"/>
  <c r="BR350" i="6"/>
  <c r="CG350" i="6"/>
  <c r="CD350" i="6"/>
  <c r="BD350" i="6"/>
  <c r="CK350" i="6"/>
  <c r="CE350" i="6"/>
  <c r="CC350" i="6"/>
  <c r="BC350" i="6"/>
  <c r="BI350" i="6"/>
  <c r="BM350" i="6"/>
  <c r="CF350" i="6"/>
  <c r="BZ350" i="6"/>
  <c r="BP350" i="6"/>
  <c r="BO350" i="6"/>
  <c r="M351" i="6"/>
  <c r="BG351" i="6" s="1"/>
  <c r="A352" i="6"/>
  <c r="M352" i="6" s="1"/>
  <c r="BL352" i="6" s="1"/>
  <c r="C353" i="5"/>
  <c r="K352" i="12"/>
  <c r="H352" i="6"/>
  <c r="T352" i="5" s="1"/>
  <c r="G352" i="12" s="1"/>
  <c r="AF353" i="5"/>
  <c r="BS351" i="6" l="1"/>
  <c r="BR351" i="6"/>
  <c r="BP351" i="6"/>
  <c r="CJ351" i="6"/>
  <c r="BV351" i="6"/>
  <c r="CC351" i="6"/>
  <c r="BO351" i="6"/>
  <c r="BY351" i="6"/>
  <c r="BQ351" i="6"/>
  <c r="BH351" i="6"/>
  <c r="BN351" i="6"/>
  <c r="CE351" i="6"/>
  <c r="BT351" i="6"/>
  <c r="CD351" i="6"/>
  <c r="CH351" i="6"/>
  <c r="BL351" i="6"/>
  <c r="BW351" i="6"/>
  <c r="CB351" i="6"/>
  <c r="CM351" i="6"/>
  <c r="BC351" i="6"/>
  <c r="CL351" i="6"/>
  <c r="BX351" i="6"/>
  <c r="CK351" i="6"/>
  <c r="CG351" i="6"/>
  <c r="BD351" i="6"/>
  <c r="BK351" i="6"/>
  <c r="BF351" i="6"/>
  <c r="BM351" i="6"/>
  <c r="CA351" i="6"/>
  <c r="BI351" i="6"/>
  <c r="BE351" i="6"/>
  <c r="BZ351" i="6"/>
  <c r="CI351" i="6"/>
  <c r="CF351" i="6"/>
  <c r="BJ351" i="6"/>
  <c r="N352" i="6"/>
  <c r="CF352" i="6"/>
  <c r="CG352" i="6"/>
  <c r="CH352" i="6"/>
  <c r="BN352" i="6"/>
  <c r="CI352" i="6"/>
  <c r="BM352" i="6"/>
  <c r="CJ352" i="6"/>
  <c r="BO352" i="6"/>
  <c r="CK352" i="6"/>
  <c r="BP352" i="6"/>
  <c r="CL352" i="6"/>
  <c r="BQ352" i="6"/>
  <c r="BR352" i="6"/>
  <c r="BS352" i="6"/>
  <c r="BT352" i="6"/>
  <c r="CM352" i="6"/>
  <c r="BF352" i="6"/>
  <c r="CA352" i="6"/>
  <c r="BG352" i="6"/>
  <c r="BD352" i="6"/>
  <c r="CC352" i="6"/>
  <c r="BJ352" i="6"/>
  <c r="BC352" i="6"/>
  <c r="BZ352" i="6"/>
  <c r="CB352" i="6"/>
  <c r="BK352" i="6"/>
  <c r="BW352" i="6"/>
  <c r="BE352" i="6"/>
  <c r="BV352" i="6"/>
  <c r="CD352" i="6"/>
  <c r="AG353" i="5"/>
  <c r="U353" i="5" s="1"/>
  <c r="S353" i="5"/>
  <c r="F353" i="12" s="1"/>
  <c r="A353" i="12"/>
  <c r="B353" i="5"/>
  <c r="E353" i="5"/>
  <c r="AD353" i="5"/>
  <c r="H353" i="5"/>
  <c r="B353" i="6"/>
  <c r="G353" i="5"/>
  <c r="N353" i="5"/>
  <c r="F353" i="5"/>
  <c r="AE353" i="5"/>
  <c r="C354" i="5"/>
  <c r="CE352" i="6"/>
  <c r="BI352" i="6"/>
  <c r="BY352" i="6"/>
  <c r="BH352" i="6"/>
  <c r="BX352" i="6"/>
  <c r="AN353" i="5" l="1"/>
  <c r="W353" i="5"/>
  <c r="H353" i="12" s="1"/>
  <c r="F353" i="6"/>
  <c r="E353" i="12"/>
  <c r="D353" i="6"/>
  <c r="AE354" i="5"/>
  <c r="C355" i="5"/>
  <c r="K354" i="5"/>
  <c r="B354" i="5"/>
  <c r="G354" i="5"/>
  <c r="E354" i="5"/>
  <c r="AD354" i="5"/>
  <c r="J354" i="5"/>
  <c r="N354" i="5"/>
  <c r="F354" i="5"/>
  <c r="B354" i="6"/>
  <c r="D354" i="5"/>
  <c r="B354" i="12" s="1"/>
  <c r="H354" i="5"/>
  <c r="A354" i="12"/>
  <c r="A353" i="6" l="1"/>
  <c r="CM353" i="6"/>
  <c r="CL353" i="6"/>
  <c r="CK353" i="6"/>
  <c r="CJ353" i="6"/>
  <c r="CI353" i="6"/>
  <c r="CH353" i="6"/>
  <c r="CG353" i="6"/>
  <c r="CF353" i="6"/>
  <c r="BP353" i="6"/>
  <c r="BO353" i="6"/>
  <c r="BN353" i="6"/>
  <c r="BM353" i="6"/>
  <c r="BT353" i="6"/>
  <c r="BS353" i="6"/>
  <c r="BQ353" i="6"/>
  <c r="BR353" i="6"/>
  <c r="L354" i="12"/>
  <c r="J354" i="12"/>
  <c r="D354" i="6"/>
  <c r="A355" i="12"/>
  <c r="AE355" i="5"/>
  <c r="H355" i="5"/>
  <c r="E355" i="5"/>
  <c r="B355" i="5"/>
  <c r="B355" i="6"/>
  <c r="AD355" i="5"/>
  <c r="N355" i="5"/>
  <c r="D355" i="5"/>
  <c r="B355" i="12" s="1"/>
  <c r="C356" i="5"/>
  <c r="F355" i="5"/>
  <c r="J355" i="5"/>
  <c r="G355" i="5"/>
  <c r="K355" i="5"/>
  <c r="G353" i="6"/>
  <c r="M353" i="6"/>
  <c r="BJ353" i="6" s="1"/>
  <c r="N353" i="6"/>
  <c r="H353" i="6"/>
  <c r="T353" i="5" s="1"/>
  <c r="G353" i="12" s="1"/>
  <c r="AT353" i="6" l="1"/>
  <c r="AU353" i="6"/>
  <c r="AX353" i="6"/>
  <c r="AZ353" i="6"/>
  <c r="AW353" i="6"/>
  <c r="A354" i="6"/>
  <c r="M354" i="6" s="1"/>
  <c r="AY353" i="6"/>
  <c r="AV353" i="6"/>
  <c r="BA353" i="6"/>
  <c r="CC353" i="6"/>
  <c r="BY353" i="6"/>
  <c r="BK353" i="6"/>
  <c r="K354" i="12"/>
  <c r="AJ353" i="6"/>
  <c r="D355" i="6"/>
  <c r="CB353" i="6"/>
  <c r="BI353" i="6"/>
  <c r="AL353" i="6"/>
  <c r="AS353" i="6"/>
  <c r="BD353" i="6"/>
  <c r="BE353" i="6"/>
  <c r="AO353" i="6"/>
  <c r="BF353" i="6"/>
  <c r="BG353" i="6"/>
  <c r="AP353" i="6"/>
  <c r="H354" i="6"/>
  <c r="T354" i="5" s="1"/>
  <c r="G354" i="12" s="1"/>
  <c r="AM353" i="6"/>
  <c r="CA353" i="6"/>
  <c r="AR353" i="6"/>
  <c r="AQ353" i="6"/>
  <c r="BC353" i="6"/>
  <c r="AK353" i="6"/>
  <c r="BZ353" i="6"/>
  <c r="AN353" i="6"/>
  <c r="BV353" i="6"/>
  <c r="CE353" i="6"/>
  <c r="L355" i="12"/>
  <c r="J355" i="12"/>
  <c r="BX353" i="6"/>
  <c r="BH353" i="6"/>
  <c r="BW353" i="6"/>
  <c r="CD353" i="6"/>
  <c r="BL353" i="6"/>
  <c r="K356" i="5"/>
  <c r="G356" i="5"/>
  <c r="B356" i="6"/>
  <c r="AD356" i="5"/>
  <c r="E356" i="5"/>
  <c r="F356" i="5"/>
  <c r="A356" i="12"/>
  <c r="B356" i="5"/>
  <c r="D356" i="5"/>
  <c r="B356" i="12" s="1"/>
  <c r="AE356" i="5"/>
  <c r="N356" i="5"/>
  <c r="J356" i="5"/>
  <c r="H356" i="5"/>
  <c r="C357" i="5"/>
  <c r="N354" i="6" l="1"/>
  <c r="BC354" i="6"/>
  <c r="BO354" i="6"/>
  <c r="BN354" i="6"/>
  <c r="BM354" i="6"/>
  <c r="CG354" i="6"/>
  <c r="CF354" i="6"/>
  <c r="CM354" i="6"/>
  <c r="CL354" i="6"/>
  <c r="CK354" i="6"/>
  <c r="CI354" i="6"/>
  <c r="CJ354" i="6"/>
  <c r="BP354" i="6"/>
  <c r="CH354" i="6"/>
  <c r="BQ354" i="6"/>
  <c r="BR354" i="6"/>
  <c r="BS354" i="6"/>
  <c r="A355" i="6"/>
  <c r="N355" i="6" s="1"/>
  <c r="BT354" i="6"/>
  <c r="BK354" i="6"/>
  <c r="BW354" i="6"/>
  <c r="BD354" i="6"/>
  <c r="CB354" i="6"/>
  <c r="BG354" i="6"/>
  <c r="BJ354" i="6"/>
  <c r="BF354" i="6"/>
  <c r="BH354" i="6"/>
  <c r="BL354" i="6"/>
  <c r="CA354" i="6"/>
  <c r="CC354" i="6"/>
  <c r="CD354" i="6"/>
  <c r="K355" i="12"/>
  <c r="J356" i="12"/>
  <c r="L356" i="12"/>
  <c r="BE354" i="6"/>
  <c r="J357" i="5"/>
  <c r="H357" i="5"/>
  <c r="B357" i="6"/>
  <c r="F357" i="5"/>
  <c r="B357" i="5"/>
  <c r="C358" i="5"/>
  <c r="N357" i="5"/>
  <c r="G357" i="5"/>
  <c r="D357" i="5"/>
  <c r="B357" i="12" s="1"/>
  <c r="AD357" i="5"/>
  <c r="A357" i="12"/>
  <c r="K357" i="5"/>
  <c r="AE357" i="5"/>
  <c r="E357" i="5"/>
  <c r="BZ354" i="6"/>
  <c r="CE354" i="6"/>
  <c r="BI354" i="6"/>
  <c r="BV354" i="6"/>
  <c r="H355" i="6"/>
  <c r="T355" i="5" s="1"/>
  <c r="G355" i="12" s="1"/>
  <c r="D356" i="6"/>
  <c r="BY354" i="6"/>
  <c r="BX354" i="6"/>
  <c r="M355" i="6" l="1"/>
  <c r="BI355" i="6" s="1"/>
  <c r="A356" i="6"/>
  <c r="N356" i="6" s="1"/>
  <c r="K356" i="12"/>
  <c r="L357" i="12"/>
  <c r="J357" i="12"/>
  <c r="D357" i="6"/>
  <c r="H356" i="6"/>
  <c r="T356" i="5" s="1"/>
  <c r="G356" i="12" s="1"/>
  <c r="G358" i="5"/>
  <c r="B358" i="5"/>
  <c r="A358" i="12"/>
  <c r="J358" i="5"/>
  <c r="AE358" i="5"/>
  <c r="F358" i="5"/>
  <c r="H358" i="5"/>
  <c r="B358" i="6"/>
  <c r="E358" i="5"/>
  <c r="C359" i="5"/>
  <c r="N358" i="5"/>
  <c r="D358" i="5"/>
  <c r="B358" i="12" s="1"/>
  <c r="AD358" i="5"/>
  <c r="K358" i="5"/>
  <c r="M356" i="6" l="1"/>
  <c r="CA356" i="6" s="1"/>
  <c r="BN355" i="6"/>
  <c r="BX355" i="6"/>
  <c r="CJ355" i="6"/>
  <c r="BW355" i="6"/>
  <c r="BH355" i="6"/>
  <c r="BJ355" i="6"/>
  <c r="BZ355" i="6"/>
  <c r="CH355" i="6"/>
  <c r="BG355" i="6"/>
  <c r="CA355" i="6"/>
  <c r="CG355" i="6"/>
  <c r="CC355" i="6"/>
  <c r="CF355" i="6"/>
  <c r="CI355" i="6"/>
  <c r="BE355" i="6"/>
  <c r="BC355" i="6"/>
  <c r="CD355" i="6"/>
  <c r="CL355" i="6"/>
  <c r="CM355" i="6"/>
  <c r="BP355" i="6"/>
  <c r="BT355" i="6"/>
  <c r="CK355" i="6"/>
  <c r="BS355" i="6"/>
  <c r="BY355" i="6"/>
  <c r="BV355" i="6"/>
  <c r="BF355" i="6"/>
  <c r="BK355" i="6"/>
  <c r="BL355" i="6"/>
  <c r="BD355" i="6"/>
  <c r="BO355" i="6"/>
  <c r="BR355" i="6"/>
  <c r="CE355" i="6"/>
  <c r="BM355" i="6"/>
  <c r="CB355" i="6"/>
  <c r="BQ355" i="6"/>
  <c r="A357" i="6"/>
  <c r="N357" i="6" s="1"/>
  <c r="K357" i="12"/>
  <c r="D359" i="5"/>
  <c r="B359" i="12" s="1"/>
  <c r="H359" i="5"/>
  <c r="K359" i="5"/>
  <c r="N359" i="5"/>
  <c r="B359" i="6"/>
  <c r="A359" i="12"/>
  <c r="C360" i="5"/>
  <c r="F359" i="5"/>
  <c r="J359" i="5"/>
  <c r="B359" i="5"/>
  <c r="AE359" i="5"/>
  <c r="G359" i="5"/>
  <c r="E359" i="5"/>
  <c r="AD359" i="5"/>
  <c r="H357" i="6"/>
  <c r="T357" i="5" s="1"/>
  <c r="G357" i="12" s="1"/>
  <c r="D358" i="6"/>
  <c r="J358" i="12"/>
  <c r="L358" i="12"/>
  <c r="BJ356" i="6" l="1"/>
  <c r="BG356" i="6"/>
  <c r="BT356" i="6"/>
  <c r="CM356" i="6"/>
  <c r="BZ356" i="6"/>
  <c r="BY356" i="6"/>
  <c r="BS356" i="6"/>
  <c r="BL356" i="6"/>
  <c r="BX356" i="6"/>
  <c r="CK356" i="6"/>
  <c r="CL356" i="6"/>
  <c r="BF356" i="6"/>
  <c r="BV356" i="6"/>
  <c r="CE356" i="6"/>
  <c r="BQ356" i="6"/>
  <c r="BM356" i="6"/>
  <c r="BC356" i="6"/>
  <c r="BK356" i="6"/>
  <c r="CF356" i="6"/>
  <c r="CJ356" i="6"/>
  <c r="CG356" i="6"/>
  <c r="CC356" i="6"/>
  <c r="BE356" i="6"/>
  <c r="BW356" i="6"/>
  <c r="BP356" i="6"/>
  <c r="BR356" i="6"/>
  <c r="BI356" i="6"/>
  <c r="BD356" i="6"/>
  <c r="CD356" i="6"/>
  <c r="BO356" i="6"/>
  <c r="CI356" i="6"/>
  <c r="BH356" i="6"/>
  <c r="CB356" i="6"/>
  <c r="BN356" i="6"/>
  <c r="CH356" i="6"/>
  <c r="M357" i="6"/>
  <c r="CE357" i="6" s="1"/>
  <c r="A358" i="6"/>
  <c r="N358" i="6" s="1"/>
  <c r="K358" i="12"/>
  <c r="E360" i="5"/>
  <c r="N360" i="5"/>
  <c r="B360" i="5"/>
  <c r="F360" i="5"/>
  <c r="J360" i="5"/>
  <c r="B360" i="6"/>
  <c r="D360" i="5"/>
  <c r="B360" i="12" s="1"/>
  <c r="AD360" i="5"/>
  <c r="C361" i="5"/>
  <c r="G360" i="5"/>
  <c r="K360" i="5"/>
  <c r="H360" i="5"/>
  <c r="A360" i="12"/>
  <c r="AE360" i="5"/>
  <c r="H358" i="6"/>
  <c r="T358" i="5" s="1"/>
  <c r="G358" i="12" s="1"/>
  <c r="L359" i="12"/>
  <c r="J359" i="12"/>
  <c r="D359" i="6"/>
  <c r="CF357" i="6" l="1"/>
  <c r="BF357" i="6"/>
  <c r="CC357" i="6"/>
  <c r="BN357" i="6"/>
  <c r="BK357" i="6"/>
  <c r="BP357" i="6"/>
  <c r="BO357" i="6"/>
  <c r="BH357" i="6"/>
  <c r="BW357" i="6"/>
  <c r="CD357" i="6"/>
  <c r="CM357" i="6"/>
  <c r="CA357" i="6"/>
  <c r="BM357" i="6"/>
  <c r="BC357" i="6"/>
  <c r="BL357" i="6"/>
  <c r="BS357" i="6"/>
  <c r="CL357" i="6"/>
  <c r="CG357" i="6"/>
  <c r="BV357" i="6"/>
  <c r="BZ357" i="6"/>
  <c r="BE357" i="6"/>
  <c r="BY357" i="6"/>
  <c r="BI357" i="6"/>
  <c r="BR357" i="6"/>
  <c r="CK357" i="6"/>
  <c r="CB357" i="6"/>
  <c r="CI357" i="6"/>
  <c r="BG357" i="6"/>
  <c r="BJ357" i="6"/>
  <c r="BQ357" i="6"/>
  <c r="CJ357" i="6"/>
  <c r="BD357" i="6"/>
  <c r="BX357" i="6"/>
  <c r="CH357" i="6"/>
  <c r="BT357" i="6"/>
  <c r="M358" i="6"/>
  <c r="BY358" i="6" s="1"/>
  <c r="A359" i="6"/>
  <c r="M359" i="6" s="1"/>
  <c r="BX359" i="6" s="1"/>
  <c r="K359" i="12"/>
  <c r="H359" i="6"/>
  <c r="T359" i="5" s="1"/>
  <c r="G359" i="12" s="1"/>
  <c r="L360" i="12"/>
  <c r="J360" i="12"/>
  <c r="D360" i="6"/>
  <c r="B361" i="6"/>
  <c r="AE361" i="5"/>
  <c r="G361" i="5"/>
  <c r="E361" i="5"/>
  <c r="B361" i="5"/>
  <c r="J361" i="5"/>
  <c r="D361" i="5"/>
  <c r="B361" i="12" s="1"/>
  <c r="C362" i="5"/>
  <c r="F361" i="5"/>
  <c r="A361" i="12"/>
  <c r="K361" i="5"/>
  <c r="AD361" i="5"/>
  <c r="H361" i="5"/>
  <c r="N361" i="5"/>
  <c r="BE358" i="6" l="1"/>
  <c r="BN358" i="6"/>
  <c r="CH358" i="6"/>
  <c r="CD358" i="6"/>
  <c r="CF358" i="6"/>
  <c r="BJ358" i="6"/>
  <c r="BD358" i="6"/>
  <c r="BV358" i="6"/>
  <c r="BF358" i="6"/>
  <c r="BT358" i="6"/>
  <c r="BG358" i="6"/>
  <c r="BS358" i="6"/>
  <c r="BH358" i="6"/>
  <c r="BW358" i="6"/>
  <c r="BK358" i="6"/>
  <c r="CB358" i="6"/>
  <c r="BR358" i="6"/>
  <c r="BL358" i="6"/>
  <c r="CG358" i="6"/>
  <c r="BX358" i="6"/>
  <c r="CE358" i="6"/>
  <c r="BC358" i="6"/>
  <c r="BQ358" i="6"/>
  <c r="CM358" i="6"/>
  <c r="CA358" i="6"/>
  <c r="BZ358" i="6"/>
  <c r="CL358" i="6"/>
  <c r="CC358" i="6"/>
  <c r="BI358" i="6"/>
  <c r="CI358" i="6"/>
  <c r="BP358" i="6"/>
  <c r="CK358" i="6"/>
  <c r="BO358" i="6"/>
  <c r="CJ358" i="6"/>
  <c r="BM358" i="6"/>
  <c r="N359" i="6"/>
  <c r="BS359" i="6"/>
  <c r="BN359" i="6"/>
  <c r="CI359" i="6"/>
  <c r="CJ359" i="6"/>
  <c r="CK359" i="6"/>
  <c r="BR359" i="6"/>
  <c r="BQ359" i="6"/>
  <c r="CL359" i="6"/>
  <c r="BT359" i="6"/>
  <c r="CM359" i="6"/>
  <c r="BM359" i="6"/>
  <c r="A360" i="6"/>
  <c r="N360" i="6" s="1"/>
  <c r="BO359" i="6"/>
  <c r="BP359" i="6"/>
  <c r="CF359" i="6"/>
  <c r="CG359" i="6"/>
  <c r="CH359" i="6"/>
  <c r="CE359" i="6"/>
  <c r="BZ359" i="6"/>
  <c r="K360" i="12"/>
  <c r="BE359" i="6"/>
  <c r="CA359" i="6"/>
  <c r="BF359" i="6"/>
  <c r="BL359" i="6"/>
  <c r="BJ359" i="6"/>
  <c r="BD359" i="6"/>
  <c r="BY359" i="6"/>
  <c r="BV359" i="6"/>
  <c r="BH359" i="6"/>
  <c r="CB359" i="6"/>
  <c r="BK359" i="6"/>
  <c r="BC359" i="6"/>
  <c r="CC359" i="6"/>
  <c r="AD362" i="5"/>
  <c r="G362" i="5"/>
  <c r="AE362" i="5"/>
  <c r="E362" i="5"/>
  <c r="K362" i="5"/>
  <c r="J362" i="5"/>
  <c r="H362" i="5"/>
  <c r="B362" i="6"/>
  <c r="A362" i="12"/>
  <c r="C363" i="5"/>
  <c r="B362" i="5"/>
  <c r="D362" i="5"/>
  <c r="B362" i="12" s="1"/>
  <c r="N362" i="5"/>
  <c r="F362" i="5"/>
  <c r="D361" i="6"/>
  <c r="BW359" i="6"/>
  <c r="CD359" i="6"/>
  <c r="H360" i="6"/>
  <c r="T360" i="5" s="1"/>
  <c r="G360" i="12" s="1"/>
  <c r="BG359" i="6"/>
  <c r="J361" i="12"/>
  <c r="L361" i="12"/>
  <c r="BI359" i="6"/>
  <c r="M360" i="6" l="1"/>
  <c r="CE360" i="6" s="1"/>
  <c r="A361" i="6"/>
  <c r="M361" i="6" s="1"/>
  <c r="BH361" i="6" s="1"/>
  <c r="K361" i="12"/>
  <c r="L362" i="12"/>
  <c r="J362" i="12"/>
  <c r="H361" i="6"/>
  <c r="T361" i="5" s="1"/>
  <c r="G361" i="12" s="1"/>
  <c r="D362" i="6"/>
  <c r="K363" i="5"/>
  <c r="G363" i="5"/>
  <c r="H363" i="5"/>
  <c r="B363" i="5"/>
  <c r="B363" i="6"/>
  <c r="C364" i="5"/>
  <c r="J363" i="5"/>
  <c r="AD363" i="5"/>
  <c r="D363" i="5"/>
  <c r="B363" i="12" s="1"/>
  <c r="F363" i="5"/>
  <c r="E363" i="5"/>
  <c r="A363" i="12"/>
  <c r="N363" i="5"/>
  <c r="AE363" i="5"/>
  <c r="BG360" i="6" l="1"/>
  <c r="BJ360" i="6"/>
  <c r="CH360" i="6"/>
  <c r="CB360" i="6"/>
  <c r="BF360" i="6"/>
  <c r="BP360" i="6"/>
  <c r="BD360" i="6"/>
  <c r="CG360" i="6"/>
  <c r="BO360" i="6"/>
  <c r="BW360" i="6"/>
  <c r="BR360" i="6"/>
  <c r="BH360" i="6"/>
  <c r="CA360" i="6"/>
  <c r="CK360" i="6"/>
  <c r="CF360" i="6"/>
  <c r="BN360" i="6"/>
  <c r="BS360" i="6"/>
  <c r="BY360" i="6"/>
  <c r="BZ360" i="6"/>
  <c r="BX360" i="6"/>
  <c r="CI360" i="6"/>
  <c r="CM360" i="6"/>
  <c r="BK360" i="6"/>
  <c r="BC360" i="6"/>
  <c r="BE360" i="6"/>
  <c r="CC360" i="6"/>
  <c r="CJ360" i="6"/>
  <c r="BM360" i="6"/>
  <c r="CD360" i="6"/>
  <c r="BQ360" i="6"/>
  <c r="BI360" i="6"/>
  <c r="BV360" i="6"/>
  <c r="BL360" i="6"/>
  <c r="BT360" i="6"/>
  <c r="CL360" i="6"/>
  <c r="N361" i="6"/>
  <c r="BP361" i="6"/>
  <c r="CL361" i="6"/>
  <c r="BQ361" i="6"/>
  <c r="BR361" i="6"/>
  <c r="BS361" i="6"/>
  <c r="A362" i="6"/>
  <c r="M362" i="6" s="1"/>
  <c r="BV362" i="6" s="1"/>
  <c r="BT361" i="6"/>
  <c r="CM361" i="6"/>
  <c r="CF361" i="6"/>
  <c r="CG361" i="6"/>
  <c r="CH361" i="6"/>
  <c r="BN361" i="6"/>
  <c r="CI361" i="6"/>
  <c r="BM361" i="6"/>
  <c r="CJ361" i="6"/>
  <c r="BO361" i="6"/>
  <c r="CK361" i="6"/>
  <c r="BJ361" i="6"/>
  <c r="CE361" i="6"/>
  <c r="CA361" i="6"/>
  <c r="BE361" i="6"/>
  <c r="BG361" i="6"/>
  <c r="BD361" i="6"/>
  <c r="BX361" i="6"/>
  <c r="BW361" i="6"/>
  <c r="BC361" i="6"/>
  <c r="BF361" i="6"/>
  <c r="BZ361" i="6"/>
  <c r="K362" i="12"/>
  <c r="BY361" i="6"/>
  <c r="BL361" i="6"/>
  <c r="CB361" i="6"/>
  <c r="CC361" i="6"/>
  <c r="BK361" i="6"/>
  <c r="CD361" i="6"/>
  <c r="BV361" i="6"/>
  <c r="BI361" i="6"/>
  <c r="H364" i="5"/>
  <c r="A364" i="12"/>
  <c r="B364" i="6"/>
  <c r="F364" i="5"/>
  <c r="AD364" i="5"/>
  <c r="N364" i="5"/>
  <c r="D364" i="5"/>
  <c r="B364" i="12" s="1"/>
  <c r="B364" i="5"/>
  <c r="G364" i="5"/>
  <c r="E364" i="5"/>
  <c r="J364" i="5"/>
  <c r="AE364" i="5"/>
  <c r="K364" i="5"/>
  <c r="H362" i="6"/>
  <c r="T362" i="5" s="1"/>
  <c r="G362" i="12" s="1"/>
  <c r="D363" i="6"/>
  <c r="J363" i="12"/>
  <c r="L363" i="12"/>
  <c r="N362" i="6" l="1"/>
  <c r="BQ362" i="6"/>
  <c r="BS362" i="6"/>
  <c r="CK362" i="6"/>
  <c r="CL362" i="6"/>
  <c r="BT362" i="6"/>
  <c r="CM362" i="6"/>
  <c r="BM362" i="6"/>
  <c r="BN362" i="6"/>
  <c r="BO362" i="6"/>
  <c r="BP362" i="6"/>
  <c r="CF362" i="6"/>
  <c r="CG362" i="6"/>
  <c r="CH362" i="6"/>
  <c r="A363" i="6"/>
  <c r="M363" i="6" s="1"/>
  <c r="CI362" i="6"/>
  <c r="BR362" i="6"/>
  <c r="CJ362" i="6"/>
  <c r="BE362" i="6"/>
  <c r="CB362" i="6"/>
  <c r="BW362" i="6"/>
  <c r="CD362" i="6"/>
  <c r="BY362" i="6"/>
  <c r="CE362" i="6"/>
  <c r="BD362" i="6"/>
  <c r="BG362" i="6"/>
  <c r="BI362" i="6"/>
  <c r="BC362" i="6"/>
  <c r="BJ362" i="6"/>
  <c r="BF362" i="6"/>
  <c r="D364" i="6"/>
  <c r="H363" i="6"/>
  <c r="T363" i="5" s="1"/>
  <c r="G363" i="12" s="1"/>
  <c r="BK362" i="6"/>
  <c r="BH362" i="6"/>
  <c r="K363" i="12"/>
  <c r="CA362" i="6"/>
  <c r="BZ362" i="6"/>
  <c r="L364" i="12"/>
  <c r="J364" i="12"/>
  <c r="BX362" i="6"/>
  <c r="BL362" i="6"/>
  <c r="CC362" i="6"/>
  <c r="N363" i="6" l="1"/>
  <c r="BG363" i="6"/>
  <c r="BR363" i="6"/>
  <c r="BP363" i="6"/>
  <c r="BO363" i="6"/>
  <c r="BN363" i="6"/>
  <c r="BM363" i="6"/>
  <c r="CF363" i="6"/>
  <c r="CM363" i="6"/>
  <c r="CL363" i="6"/>
  <c r="CG363" i="6"/>
  <c r="CH363" i="6"/>
  <c r="BQ363" i="6"/>
  <c r="BS363" i="6"/>
  <c r="BT363" i="6"/>
  <c r="CJ363" i="6"/>
  <c r="A364" i="6"/>
  <c r="M364" i="6" s="1"/>
  <c r="BC364" i="6" s="1"/>
  <c r="CI363" i="6"/>
  <c r="CK363" i="6"/>
  <c r="CC363" i="6"/>
  <c r="BL363" i="6"/>
  <c r="CA363" i="6"/>
  <c r="BJ363" i="6"/>
  <c r="BE363" i="6"/>
  <c r="BI363" i="6"/>
  <c r="BF363" i="6"/>
  <c r="BK363" i="6"/>
  <c r="BH363" i="6"/>
  <c r="BV363" i="6"/>
  <c r="BC363" i="6"/>
  <c r="BY363" i="6"/>
  <c r="C365" i="5"/>
  <c r="BD363" i="6"/>
  <c r="H364" i="6"/>
  <c r="T364" i="5" s="1"/>
  <c r="G364" i="12" s="1"/>
  <c r="CD363" i="6"/>
  <c r="BX363" i="6"/>
  <c r="CE363" i="6"/>
  <c r="BW363" i="6"/>
  <c r="K364" i="12"/>
  <c r="CB363" i="6"/>
  <c r="BZ363" i="6"/>
  <c r="AF365" i="5"/>
  <c r="N364" i="6" l="1"/>
  <c r="BR364" i="6"/>
  <c r="BQ364" i="6"/>
  <c r="BS364" i="6"/>
  <c r="BT364" i="6"/>
  <c r="CM364" i="6"/>
  <c r="CF364" i="6"/>
  <c r="CG364" i="6"/>
  <c r="CH364" i="6"/>
  <c r="BN364" i="6"/>
  <c r="CI364" i="6"/>
  <c r="BM364" i="6"/>
  <c r="CJ364" i="6"/>
  <c r="BO364" i="6"/>
  <c r="CK364" i="6"/>
  <c r="BP364" i="6"/>
  <c r="CL364" i="6"/>
  <c r="BI364" i="6"/>
  <c r="BF364" i="6"/>
  <c r="BZ364" i="6"/>
  <c r="BJ364" i="6"/>
  <c r="CA364" i="6"/>
  <c r="BX364" i="6"/>
  <c r="BH364" i="6"/>
  <c r="BL364" i="6"/>
  <c r="CC364" i="6"/>
  <c r="BW364" i="6"/>
  <c r="BE364" i="6"/>
  <c r="BK364" i="6"/>
  <c r="CE364" i="6"/>
  <c r="BG364" i="6"/>
  <c r="BD364" i="6"/>
  <c r="BY364" i="6"/>
  <c r="BV364" i="6"/>
  <c r="CD364" i="6"/>
  <c r="AG365" i="5"/>
  <c r="U365" i="5" s="1"/>
  <c r="S365" i="5"/>
  <c r="F365" i="12" s="1"/>
  <c r="G365" i="5"/>
  <c r="A365" i="12"/>
  <c r="B365" i="6"/>
  <c r="A365" i="6" s="1"/>
  <c r="F365" i="5"/>
  <c r="H365" i="5"/>
  <c r="C366" i="5"/>
  <c r="AD365" i="5"/>
  <c r="AE365" i="5"/>
  <c r="B365" i="5"/>
  <c r="E365" i="5"/>
  <c r="N365" i="5"/>
  <c r="CB364" i="6"/>
  <c r="AN365" i="5" l="1"/>
  <c r="W365" i="5"/>
  <c r="H365" i="12" s="1"/>
  <c r="F365" i="6"/>
  <c r="E365" i="12"/>
  <c r="D365" i="6"/>
  <c r="N366" i="5"/>
  <c r="AD366" i="5"/>
  <c r="J366" i="5"/>
  <c r="B366" i="5"/>
  <c r="A366" i="12"/>
  <c r="D366" i="5"/>
  <c r="B366" i="12" s="1"/>
  <c r="K366" i="5"/>
  <c r="F366" i="5"/>
  <c r="G366" i="5"/>
  <c r="H366" i="5"/>
  <c r="E366" i="5"/>
  <c r="B366" i="6"/>
  <c r="C367" i="5"/>
  <c r="AE366" i="5"/>
  <c r="CM365" i="6" l="1"/>
  <c r="CL365" i="6"/>
  <c r="CK365" i="6"/>
  <c r="CJ365" i="6"/>
  <c r="CI365" i="6"/>
  <c r="CH365" i="6"/>
  <c r="CG365" i="6"/>
  <c r="CF365" i="6"/>
  <c r="BP365" i="6"/>
  <c r="BO365" i="6"/>
  <c r="BN365" i="6"/>
  <c r="BM365" i="6"/>
  <c r="BT365" i="6"/>
  <c r="BS365" i="6"/>
  <c r="BQ365" i="6"/>
  <c r="BR365" i="6"/>
  <c r="B367" i="5"/>
  <c r="D367" i="5"/>
  <c r="B367" i="12" s="1"/>
  <c r="AE367" i="5"/>
  <c r="K367" i="5"/>
  <c r="N367" i="5"/>
  <c r="G367" i="5"/>
  <c r="H367" i="5"/>
  <c r="J367" i="5"/>
  <c r="AD367" i="5"/>
  <c r="A367" i="12"/>
  <c r="E367" i="5"/>
  <c r="F367" i="5"/>
  <c r="C368" i="5"/>
  <c r="B367" i="6"/>
  <c r="M365" i="6"/>
  <c r="BL365" i="6" s="1"/>
  <c r="H365" i="6"/>
  <c r="T365" i="5" s="1"/>
  <c r="G365" i="12" s="1"/>
  <c r="N365" i="6"/>
  <c r="G365" i="6"/>
  <c r="D366" i="6"/>
  <c r="L366" i="12"/>
  <c r="J366" i="12"/>
  <c r="AT365" i="6" l="1"/>
  <c r="AU365" i="6"/>
  <c r="AV365" i="6"/>
  <c r="BA365" i="6"/>
  <c r="AW365" i="6"/>
  <c r="AX365" i="6"/>
  <c r="AY365" i="6"/>
  <c r="AZ365" i="6"/>
  <c r="A366" i="6"/>
  <c r="M366" i="6" s="1"/>
  <c r="BF366" i="6" s="1"/>
  <c r="BZ365" i="6"/>
  <c r="CD365" i="6"/>
  <c r="BW365" i="6"/>
  <c r="BJ365" i="6"/>
  <c r="CE365" i="6"/>
  <c r="BC365" i="6"/>
  <c r="BD365" i="6"/>
  <c r="CB365" i="6"/>
  <c r="BX365" i="6"/>
  <c r="CC365" i="6"/>
  <c r="CA365" i="6"/>
  <c r="BK365" i="6"/>
  <c r="BG365" i="6"/>
  <c r="BF365" i="6"/>
  <c r="AQ365" i="6"/>
  <c r="AP365" i="6"/>
  <c r="AK365" i="6"/>
  <c r="AJ365" i="6"/>
  <c r="AR365" i="6"/>
  <c r="AM365" i="6"/>
  <c r="BI365" i="6"/>
  <c r="AO365" i="6"/>
  <c r="AN365" i="6"/>
  <c r="BV365" i="6"/>
  <c r="H366" i="6"/>
  <c r="T366" i="5" s="1"/>
  <c r="G366" i="12" s="1"/>
  <c r="D367" i="6"/>
  <c r="K366" i="12"/>
  <c r="AL365" i="6"/>
  <c r="BH365" i="6"/>
  <c r="AS365" i="6"/>
  <c r="H368" i="5"/>
  <c r="E368" i="5"/>
  <c r="G368" i="5"/>
  <c r="J368" i="5"/>
  <c r="A368" i="12"/>
  <c r="B368" i="6"/>
  <c r="C369" i="5"/>
  <c r="N368" i="5"/>
  <c r="AD368" i="5"/>
  <c r="D368" i="5"/>
  <c r="B368" i="12" s="1"/>
  <c r="K368" i="5"/>
  <c r="AE368" i="5"/>
  <c r="B368" i="5"/>
  <c r="F368" i="5"/>
  <c r="BY365" i="6"/>
  <c r="BE365" i="6"/>
  <c r="J367" i="12"/>
  <c r="L367" i="12"/>
  <c r="N366" i="6" l="1"/>
  <c r="BN366" i="6"/>
  <c r="BS366" i="6"/>
  <c r="BT366" i="6"/>
  <c r="CJ366" i="6"/>
  <c r="CI366" i="6"/>
  <c r="CK366" i="6"/>
  <c r="BM366" i="6"/>
  <c r="CL366" i="6"/>
  <c r="CM366" i="6"/>
  <c r="A367" i="6"/>
  <c r="N367" i="6" s="1"/>
  <c r="CF366" i="6"/>
  <c r="BO366" i="6"/>
  <c r="CG366" i="6"/>
  <c r="BP366" i="6"/>
  <c r="CH366" i="6"/>
  <c r="BQ366" i="6"/>
  <c r="BR366" i="6"/>
  <c r="BC366" i="6"/>
  <c r="CD366" i="6"/>
  <c r="BX366" i="6"/>
  <c r="CA366" i="6"/>
  <c r="CB366" i="6"/>
  <c r="BL366" i="6"/>
  <c r="BW366" i="6"/>
  <c r="BE366" i="6"/>
  <c r="K367" i="12"/>
  <c r="BK366" i="6"/>
  <c r="CC366" i="6"/>
  <c r="CE366" i="6"/>
  <c r="H367" i="6"/>
  <c r="T367" i="5" s="1"/>
  <c r="G367" i="12" s="1"/>
  <c r="BD366" i="6"/>
  <c r="BY366" i="6"/>
  <c r="BJ366" i="6"/>
  <c r="BI366" i="6"/>
  <c r="L368" i="12"/>
  <c r="J368" i="12"/>
  <c r="BH366" i="6"/>
  <c r="BV366" i="6"/>
  <c r="D368" i="6"/>
  <c r="BZ366" i="6"/>
  <c r="BG366" i="6"/>
  <c r="E369" i="5"/>
  <c r="K369" i="5"/>
  <c r="B369" i="6"/>
  <c r="AD369" i="5"/>
  <c r="D369" i="5"/>
  <c r="B369" i="12" s="1"/>
  <c r="B369" i="5"/>
  <c r="F369" i="5"/>
  <c r="A369" i="12"/>
  <c r="N369" i="5"/>
  <c r="H369" i="5"/>
  <c r="AE369" i="5"/>
  <c r="C370" i="5"/>
  <c r="G369" i="5"/>
  <c r="J369" i="5"/>
  <c r="M367" i="6" l="1"/>
  <c r="BK367" i="6" s="1"/>
  <c r="A368" i="6"/>
  <c r="N368" i="6" s="1"/>
  <c r="L369" i="12"/>
  <c r="J369" i="12"/>
  <c r="H368" i="6"/>
  <c r="T368" i="5" s="1"/>
  <c r="G368" i="12" s="1"/>
  <c r="AE370" i="5"/>
  <c r="G370" i="5"/>
  <c r="B370" i="5"/>
  <c r="K370" i="5"/>
  <c r="B370" i="6"/>
  <c r="A370" i="12"/>
  <c r="J370" i="5"/>
  <c r="H370" i="5"/>
  <c r="E370" i="5"/>
  <c r="C371" i="5"/>
  <c r="N370" i="5"/>
  <c r="F370" i="5"/>
  <c r="D370" i="5"/>
  <c r="B370" i="12" s="1"/>
  <c r="AD370" i="5"/>
  <c r="K368" i="12"/>
  <c r="D369" i="6"/>
  <c r="BR367" i="6" l="1"/>
  <c r="CD367" i="6"/>
  <c r="BQ367" i="6"/>
  <c r="BZ367" i="6"/>
  <c r="CL367" i="6"/>
  <c r="BN367" i="6"/>
  <c r="BS367" i="6"/>
  <c r="BY367" i="6"/>
  <c r="CE367" i="6"/>
  <c r="BP367" i="6"/>
  <c r="BJ367" i="6"/>
  <c r="BH367" i="6"/>
  <c r="BV367" i="6"/>
  <c r="CK367" i="6"/>
  <c r="BX367" i="6"/>
  <c r="CB367" i="6"/>
  <c r="BO367" i="6"/>
  <c r="BC367" i="6"/>
  <c r="BE367" i="6"/>
  <c r="CJ367" i="6"/>
  <c r="BD367" i="6"/>
  <c r="BW367" i="6"/>
  <c r="CM367" i="6"/>
  <c r="BM367" i="6"/>
  <c r="CC367" i="6"/>
  <c r="CA367" i="6"/>
  <c r="BL367" i="6"/>
  <c r="BG367" i="6"/>
  <c r="BF367" i="6"/>
  <c r="BI367" i="6"/>
  <c r="BT367" i="6"/>
  <c r="CI367" i="6"/>
  <c r="CH367" i="6"/>
  <c r="CG367" i="6"/>
  <c r="M368" i="6"/>
  <c r="BX368" i="6" s="1"/>
  <c r="CF367" i="6"/>
  <c r="A369" i="6"/>
  <c r="N369" i="6" s="1"/>
  <c r="K369" i="12"/>
  <c r="D370" i="6"/>
  <c r="H369" i="6"/>
  <c r="T369" i="5" s="1"/>
  <c r="G369" i="12" s="1"/>
  <c r="E371" i="5"/>
  <c r="B371" i="5"/>
  <c r="A371" i="12"/>
  <c r="AD371" i="5"/>
  <c r="C372" i="5"/>
  <c r="AE371" i="5"/>
  <c r="D371" i="5"/>
  <c r="B371" i="12" s="1"/>
  <c r="N371" i="5"/>
  <c r="B371" i="6"/>
  <c r="K371" i="5"/>
  <c r="G371" i="5"/>
  <c r="J371" i="5"/>
  <c r="F371" i="5"/>
  <c r="H371" i="5"/>
  <c r="L370" i="12"/>
  <c r="J370" i="12"/>
  <c r="BK368" i="6" l="1"/>
  <c r="BY368" i="6"/>
  <c r="BF368" i="6"/>
  <c r="CC368" i="6"/>
  <c r="BE368" i="6"/>
  <c r="CB368" i="6"/>
  <c r="BM368" i="6"/>
  <c r="CD368" i="6"/>
  <c r="BZ368" i="6"/>
  <c r="CA368" i="6"/>
  <c r="BS368" i="6"/>
  <c r="CL368" i="6"/>
  <c r="BW368" i="6"/>
  <c r="M369" i="6"/>
  <c r="BF369" i="6" s="1"/>
  <c r="BL368" i="6"/>
  <c r="CK368" i="6"/>
  <c r="CG368" i="6"/>
  <c r="BQ368" i="6"/>
  <c r="BC368" i="6"/>
  <c r="CF368" i="6"/>
  <c r="CJ368" i="6"/>
  <c r="BJ368" i="6"/>
  <c r="BP368" i="6"/>
  <c r="BO368" i="6"/>
  <c r="CI368" i="6"/>
  <c r="BI368" i="6"/>
  <c r="BN368" i="6"/>
  <c r="CH368" i="6"/>
  <c r="BG368" i="6"/>
  <c r="BR368" i="6"/>
  <c r="BD368" i="6"/>
  <c r="BV368" i="6"/>
  <c r="CM368" i="6"/>
  <c r="CE368" i="6"/>
  <c r="BH368" i="6"/>
  <c r="BT368" i="6"/>
  <c r="A370" i="6"/>
  <c r="M370" i="6" s="1"/>
  <c r="CB370" i="6" s="1"/>
  <c r="K370" i="12"/>
  <c r="AE372" i="5"/>
  <c r="N372" i="5"/>
  <c r="K372" i="5"/>
  <c r="AD372" i="5"/>
  <c r="B372" i="6"/>
  <c r="F372" i="5"/>
  <c r="H372" i="5"/>
  <c r="B372" i="5"/>
  <c r="J372" i="5"/>
  <c r="C373" i="5"/>
  <c r="A372" i="12"/>
  <c r="G372" i="5"/>
  <c r="D372" i="5"/>
  <c r="B372" i="12" s="1"/>
  <c r="E372" i="5"/>
  <c r="J371" i="12"/>
  <c r="L371" i="12"/>
  <c r="H370" i="6"/>
  <c r="T370" i="5" s="1"/>
  <c r="G370" i="12" s="1"/>
  <c r="D371" i="6"/>
  <c r="CK369" i="6" l="1"/>
  <c r="CH369" i="6"/>
  <c r="CA369" i="6"/>
  <c r="BI369" i="6"/>
  <c r="BC369" i="6"/>
  <c r="CG369" i="6"/>
  <c r="BP369" i="6"/>
  <c r="BD369" i="6"/>
  <c r="BO369" i="6"/>
  <c r="BK369" i="6"/>
  <c r="CD369" i="6"/>
  <c r="BZ369" i="6"/>
  <c r="BW369" i="6"/>
  <c r="CB369" i="6"/>
  <c r="CF369" i="6"/>
  <c r="BN369" i="6"/>
  <c r="BJ369" i="6"/>
  <c r="BS369" i="6"/>
  <c r="BV369" i="6"/>
  <c r="CE369" i="6"/>
  <c r="BH369" i="6"/>
  <c r="CJ369" i="6"/>
  <c r="CM369" i="6"/>
  <c r="BE369" i="6"/>
  <c r="BL369" i="6"/>
  <c r="CC369" i="6"/>
  <c r="BT369" i="6"/>
  <c r="CL369" i="6"/>
  <c r="BG369" i="6"/>
  <c r="BR369" i="6"/>
  <c r="CI369" i="6"/>
  <c r="BY369" i="6"/>
  <c r="BX369" i="6"/>
  <c r="BQ369" i="6"/>
  <c r="BM369" i="6"/>
  <c r="N370" i="6"/>
  <c r="CH370" i="6"/>
  <c r="BN370" i="6"/>
  <c r="CI370" i="6"/>
  <c r="BM370" i="6"/>
  <c r="CJ370" i="6"/>
  <c r="BO370" i="6"/>
  <c r="CK370" i="6"/>
  <c r="A371" i="6"/>
  <c r="M371" i="6" s="1"/>
  <c r="BX371" i="6" s="1"/>
  <c r="BP370" i="6"/>
  <c r="CL370" i="6"/>
  <c r="BQ370" i="6"/>
  <c r="BR370" i="6"/>
  <c r="BS370" i="6"/>
  <c r="BT370" i="6"/>
  <c r="CM370" i="6"/>
  <c r="CF370" i="6"/>
  <c r="CG370" i="6"/>
  <c r="BD370" i="6"/>
  <c r="BE370" i="6"/>
  <c r="CC370" i="6"/>
  <c r="BF370" i="6"/>
  <c r="BW370" i="6"/>
  <c r="BH370" i="6"/>
  <c r="CD370" i="6"/>
  <c r="BC370" i="6"/>
  <c r="BV370" i="6"/>
  <c r="BJ370" i="6"/>
  <c r="CE370" i="6"/>
  <c r="K371" i="12"/>
  <c r="BX370" i="6"/>
  <c r="BL370" i="6"/>
  <c r="H371" i="6"/>
  <c r="T371" i="5" s="1"/>
  <c r="G371" i="12" s="1"/>
  <c r="D372" i="6"/>
  <c r="CA370" i="6"/>
  <c r="BI370" i="6"/>
  <c r="BY370" i="6"/>
  <c r="BK370" i="6"/>
  <c r="BG370" i="6"/>
  <c r="L372" i="12"/>
  <c r="J372" i="12"/>
  <c r="BZ370" i="6"/>
  <c r="H373" i="5"/>
  <c r="A373" i="12"/>
  <c r="K373" i="5"/>
  <c r="AE373" i="5"/>
  <c r="F373" i="5"/>
  <c r="C374" i="5"/>
  <c r="N373" i="5"/>
  <c r="AD373" i="5"/>
  <c r="B373" i="5"/>
  <c r="E373" i="5"/>
  <c r="G373" i="5"/>
  <c r="J373" i="5"/>
  <c r="B373" i="6"/>
  <c r="D373" i="5"/>
  <c r="B373" i="12" s="1"/>
  <c r="N371" i="6" l="1"/>
  <c r="BQ371" i="6"/>
  <c r="BS371" i="6"/>
  <c r="CK371" i="6"/>
  <c r="CL371" i="6"/>
  <c r="BT371" i="6"/>
  <c r="CM371" i="6"/>
  <c r="BM371" i="6"/>
  <c r="BN371" i="6"/>
  <c r="A372" i="6"/>
  <c r="N372" i="6" s="1"/>
  <c r="BO371" i="6"/>
  <c r="BP371" i="6"/>
  <c r="CF371" i="6"/>
  <c r="CG371" i="6"/>
  <c r="CH371" i="6"/>
  <c r="CI371" i="6"/>
  <c r="BR371" i="6"/>
  <c r="CJ371" i="6"/>
  <c r="CC371" i="6"/>
  <c r="BI371" i="6"/>
  <c r="BC371" i="6"/>
  <c r="BE371" i="6"/>
  <c r="BL371" i="6"/>
  <c r="CA371" i="6"/>
  <c r="CD371" i="6"/>
  <c r="BF371" i="6"/>
  <c r="BK371" i="6"/>
  <c r="CE371" i="6"/>
  <c r="BH371" i="6"/>
  <c r="K372" i="12"/>
  <c r="BW371" i="6"/>
  <c r="BZ371" i="6"/>
  <c r="CB371" i="6"/>
  <c r="BD371" i="6"/>
  <c r="BY371" i="6"/>
  <c r="G374" i="5"/>
  <c r="N374" i="5"/>
  <c r="J374" i="5"/>
  <c r="H374" i="5"/>
  <c r="AE374" i="5"/>
  <c r="F374" i="5"/>
  <c r="B374" i="5"/>
  <c r="D374" i="5"/>
  <c r="B374" i="12" s="1"/>
  <c r="B374" i="6"/>
  <c r="A374" i="12"/>
  <c r="K374" i="5"/>
  <c r="E374" i="5"/>
  <c r="C375" i="5"/>
  <c r="AD374" i="5"/>
  <c r="BV371" i="6"/>
  <c r="J373" i="12"/>
  <c r="L373" i="12"/>
  <c r="BJ371" i="6"/>
  <c r="BG371" i="6"/>
  <c r="D373" i="6"/>
  <c r="H372" i="6"/>
  <c r="T372" i="5" s="1"/>
  <c r="G372" i="12" s="1"/>
  <c r="M372" i="6" l="1"/>
  <c r="BG372" i="6" s="1"/>
  <c r="A373" i="6"/>
  <c r="M373" i="6" s="1"/>
  <c r="BK373" i="6" s="1"/>
  <c r="K373" i="12"/>
  <c r="H373" i="6"/>
  <c r="T373" i="5" s="1"/>
  <c r="G373" i="12" s="1"/>
  <c r="N375" i="5"/>
  <c r="AD375" i="5"/>
  <c r="J375" i="5"/>
  <c r="D375" i="5"/>
  <c r="B375" i="12" s="1"/>
  <c r="B375" i="5"/>
  <c r="B375" i="6"/>
  <c r="C376" i="5"/>
  <c r="E375" i="5"/>
  <c r="H375" i="5"/>
  <c r="K375" i="5"/>
  <c r="F375" i="5"/>
  <c r="A375" i="12"/>
  <c r="AE375" i="5"/>
  <c r="G375" i="5"/>
  <c r="D374" i="6"/>
  <c r="L374" i="12"/>
  <c r="J374" i="12"/>
  <c r="N373" i="6" l="1"/>
  <c r="CI372" i="6"/>
  <c r="BT372" i="6"/>
  <c r="CD372" i="6"/>
  <c r="CA372" i="6"/>
  <c r="BS372" i="6"/>
  <c r="BV372" i="6"/>
  <c r="BZ372" i="6"/>
  <c r="CJ372" i="6"/>
  <c r="BD372" i="6"/>
  <c r="BR372" i="6"/>
  <c r="BH372" i="6"/>
  <c r="BL372" i="6"/>
  <c r="BQ372" i="6"/>
  <c r="BJ372" i="6"/>
  <c r="BW372" i="6"/>
  <c r="CH372" i="6"/>
  <c r="BY372" i="6"/>
  <c r="BC372" i="6"/>
  <c r="CE372" i="6"/>
  <c r="CM372" i="6"/>
  <c r="BP372" i="6"/>
  <c r="BE372" i="6"/>
  <c r="BF372" i="6"/>
  <c r="CB372" i="6"/>
  <c r="BI372" i="6"/>
  <c r="BM372" i="6"/>
  <c r="CG372" i="6"/>
  <c r="CK372" i="6"/>
  <c r="BX372" i="6"/>
  <c r="BK372" i="6"/>
  <c r="CC372" i="6"/>
  <c r="CL372" i="6"/>
  <c r="BO372" i="6"/>
  <c r="CF372" i="6"/>
  <c r="BN372" i="6"/>
  <c r="CH373" i="6"/>
  <c r="BN373" i="6"/>
  <c r="CI373" i="6"/>
  <c r="BM373" i="6"/>
  <c r="CJ373" i="6"/>
  <c r="A374" i="6"/>
  <c r="N374" i="6" s="1"/>
  <c r="BO373" i="6"/>
  <c r="CK373" i="6"/>
  <c r="BP373" i="6"/>
  <c r="CL373" i="6"/>
  <c r="BQ373" i="6"/>
  <c r="BR373" i="6"/>
  <c r="BS373" i="6"/>
  <c r="BT373" i="6"/>
  <c r="CM373" i="6"/>
  <c r="CF373" i="6"/>
  <c r="CG373" i="6"/>
  <c r="BV373" i="6"/>
  <c r="BH373" i="6"/>
  <c r="CD373" i="6"/>
  <c r="BF373" i="6"/>
  <c r="BD373" i="6"/>
  <c r="BZ373" i="6"/>
  <c r="CA373" i="6"/>
  <c r="BX373" i="6"/>
  <c r="BG373" i="6"/>
  <c r="BL373" i="6"/>
  <c r="BW373" i="6"/>
  <c r="BC373" i="6"/>
  <c r="BI373" i="6"/>
  <c r="BY373" i="6"/>
  <c r="BE373" i="6"/>
  <c r="CE373" i="6"/>
  <c r="BJ373" i="6"/>
  <c r="CB373" i="6"/>
  <c r="CC373" i="6"/>
  <c r="K374" i="12"/>
  <c r="F376" i="5"/>
  <c r="B376" i="5"/>
  <c r="G376" i="5"/>
  <c r="E376" i="5"/>
  <c r="H376" i="5"/>
  <c r="B376" i="6"/>
  <c r="D376" i="5"/>
  <c r="B376" i="12" s="1"/>
  <c r="N376" i="5"/>
  <c r="AE376" i="5"/>
  <c r="A376" i="12"/>
  <c r="C377" i="5"/>
  <c r="AD376" i="5"/>
  <c r="J376" i="5"/>
  <c r="K376" i="5"/>
  <c r="H374" i="6"/>
  <c r="T374" i="5" s="1"/>
  <c r="G374" i="12" s="1"/>
  <c r="J375" i="12"/>
  <c r="L375" i="12"/>
  <c r="D375" i="6"/>
  <c r="M374" i="6" l="1"/>
  <c r="BZ374" i="6" s="1"/>
  <c r="A375" i="6"/>
  <c r="N375" i="6" s="1"/>
  <c r="K375" i="12"/>
  <c r="AD377" i="5"/>
  <c r="K377" i="5"/>
  <c r="H377" i="5"/>
  <c r="A377" i="12"/>
  <c r="AE377" i="5"/>
  <c r="N377" i="5"/>
  <c r="C378" i="5"/>
  <c r="F377" i="5"/>
  <c r="D377" i="5"/>
  <c r="B377" i="12" s="1"/>
  <c r="J377" i="5"/>
  <c r="G377" i="5"/>
  <c r="E377" i="5"/>
  <c r="B377" i="6"/>
  <c r="B377" i="5"/>
  <c r="L376" i="12"/>
  <c r="J376" i="12"/>
  <c r="H375" i="6"/>
  <c r="T375" i="5" s="1"/>
  <c r="G375" i="12" s="1"/>
  <c r="D376" i="6"/>
  <c r="BW374" i="6" l="1"/>
  <c r="BN374" i="6"/>
  <c r="BM374" i="6"/>
  <c r="CC374" i="6"/>
  <c r="CM374" i="6"/>
  <c r="BT374" i="6"/>
  <c r="BV374" i="6"/>
  <c r="CE374" i="6"/>
  <c r="CA374" i="6"/>
  <c r="CL374" i="6"/>
  <c r="BF374" i="6"/>
  <c r="CD374" i="6"/>
  <c r="BS374" i="6"/>
  <c r="BE374" i="6"/>
  <c r="CK374" i="6"/>
  <c r="BH374" i="6"/>
  <c r="BL374" i="6"/>
  <c r="CG374" i="6"/>
  <c r="BQ374" i="6"/>
  <c r="BI374" i="6"/>
  <c r="CB374" i="6"/>
  <c r="BG374" i="6"/>
  <c r="CF374" i="6"/>
  <c r="CJ374" i="6"/>
  <c r="BC374" i="6"/>
  <c r="BX374" i="6"/>
  <c r="BK374" i="6"/>
  <c r="CH374" i="6"/>
  <c r="BD374" i="6"/>
  <c r="BJ374" i="6"/>
  <c r="BP374" i="6"/>
  <c r="CI374" i="6"/>
  <c r="BY374" i="6"/>
  <c r="BO374" i="6"/>
  <c r="BR374" i="6"/>
  <c r="M375" i="6"/>
  <c r="CB375" i="6" s="1"/>
  <c r="A376" i="6"/>
  <c r="M376" i="6" s="1"/>
  <c r="BW376" i="6" s="1"/>
  <c r="K376" i="12"/>
  <c r="G378" i="5"/>
  <c r="F378" i="5"/>
  <c r="AD378" i="5"/>
  <c r="H378" i="5"/>
  <c r="AE378" i="5"/>
  <c r="K378" i="5"/>
  <c r="N378" i="5"/>
  <c r="B378" i="5"/>
  <c r="D378" i="5"/>
  <c r="B378" i="12" s="1"/>
  <c r="B378" i="6"/>
  <c r="E378" i="5"/>
  <c r="A378" i="12"/>
  <c r="J378" i="5"/>
  <c r="C379" i="5"/>
  <c r="D377" i="6"/>
  <c r="J377" i="12"/>
  <c r="L377" i="12"/>
  <c r="H376" i="6"/>
  <c r="T376" i="5" s="1"/>
  <c r="G376" i="12" s="1"/>
  <c r="N376" i="6" l="1"/>
  <c r="CD375" i="6"/>
  <c r="BV375" i="6"/>
  <c r="BO375" i="6"/>
  <c r="BL375" i="6"/>
  <c r="CF375" i="6"/>
  <c r="BY375" i="6"/>
  <c r="BN375" i="6"/>
  <c r="BK375" i="6"/>
  <c r="BE375" i="6"/>
  <c r="CM375" i="6"/>
  <c r="BD375" i="6"/>
  <c r="BH375" i="6"/>
  <c r="BM375" i="6"/>
  <c r="BF375" i="6"/>
  <c r="CE375" i="6"/>
  <c r="CL375" i="6"/>
  <c r="BJ375" i="6"/>
  <c r="CA375" i="6"/>
  <c r="BR375" i="6"/>
  <c r="CK375" i="6"/>
  <c r="BW375" i="6"/>
  <c r="BC375" i="6"/>
  <c r="BQ375" i="6"/>
  <c r="CI375" i="6"/>
  <c r="BZ375" i="6"/>
  <c r="CH375" i="6"/>
  <c r="CJ375" i="6"/>
  <c r="CC375" i="6"/>
  <c r="BP375" i="6"/>
  <c r="BT375" i="6"/>
  <c r="CG375" i="6"/>
  <c r="BX375" i="6"/>
  <c r="BI375" i="6"/>
  <c r="BG375" i="6"/>
  <c r="BS375" i="6"/>
  <c r="BN376" i="6"/>
  <c r="BM376" i="6"/>
  <c r="CH376" i="6"/>
  <c r="CJ376" i="6"/>
  <c r="CI376" i="6"/>
  <c r="BO376" i="6"/>
  <c r="CK376" i="6"/>
  <c r="BP376" i="6"/>
  <c r="CL376" i="6"/>
  <c r="A377" i="6"/>
  <c r="N377" i="6" s="1"/>
  <c r="BQ376" i="6"/>
  <c r="BR376" i="6"/>
  <c r="BS376" i="6"/>
  <c r="BT376" i="6"/>
  <c r="CM376" i="6"/>
  <c r="CF376" i="6"/>
  <c r="CG376" i="6"/>
  <c r="BD376" i="6"/>
  <c r="BV376" i="6"/>
  <c r="CD376" i="6"/>
  <c r="BI376" i="6"/>
  <c r="BG376" i="6"/>
  <c r="BZ376" i="6"/>
  <c r="BH376" i="6"/>
  <c r="K377" i="12"/>
  <c r="H377" i="6"/>
  <c r="T377" i="5" s="1"/>
  <c r="G377" i="12" s="1"/>
  <c r="BJ376" i="6"/>
  <c r="BY376" i="6"/>
  <c r="CE376" i="6"/>
  <c r="D378" i="6"/>
  <c r="BX376" i="6"/>
  <c r="CB376" i="6"/>
  <c r="CA376" i="6"/>
  <c r="BK376" i="6"/>
  <c r="J379" i="5"/>
  <c r="AD379" i="5"/>
  <c r="G379" i="5"/>
  <c r="E379" i="5"/>
  <c r="H379" i="5"/>
  <c r="N379" i="5"/>
  <c r="A379" i="12"/>
  <c r="K379" i="5"/>
  <c r="AE379" i="5"/>
  <c r="B379" i="6"/>
  <c r="C380" i="5"/>
  <c r="B379" i="5"/>
  <c r="F379" i="5"/>
  <c r="D379" i="5"/>
  <c r="B379" i="12" s="1"/>
  <c r="BC376" i="6"/>
  <c r="BL376" i="6"/>
  <c r="CC376" i="6"/>
  <c r="BF376" i="6"/>
  <c r="L378" i="12"/>
  <c r="J378" i="12"/>
  <c r="BE376" i="6"/>
  <c r="M377" i="6" l="1"/>
  <c r="BH377" i="6" s="1"/>
  <c r="A378" i="6"/>
  <c r="M378" i="6" s="1"/>
  <c r="BI378" i="6" s="1"/>
  <c r="K378" i="12"/>
  <c r="L379" i="12"/>
  <c r="J379" i="12"/>
  <c r="D379" i="6"/>
  <c r="F380" i="5"/>
  <c r="J380" i="5"/>
  <c r="E380" i="5"/>
  <c r="G380" i="5"/>
  <c r="N380" i="5"/>
  <c r="H380" i="5"/>
  <c r="B380" i="5"/>
  <c r="A380" i="12"/>
  <c r="B380" i="6"/>
  <c r="C381" i="5"/>
  <c r="D380" i="5"/>
  <c r="B380" i="12" s="1"/>
  <c r="AD380" i="5"/>
  <c r="K380" i="5"/>
  <c r="AE380" i="5"/>
  <c r="H378" i="6"/>
  <c r="T378" i="5" s="1"/>
  <c r="G378" i="12" s="1"/>
  <c r="N378" i="6" l="1"/>
  <c r="BX377" i="6"/>
  <c r="CM377" i="6"/>
  <c r="BM377" i="6"/>
  <c r="BG377" i="6"/>
  <c r="BC377" i="6"/>
  <c r="BT377" i="6"/>
  <c r="BZ377" i="6"/>
  <c r="BD377" i="6"/>
  <c r="CL377" i="6"/>
  <c r="BV377" i="6"/>
  <c r="BS377" i="6"/>
  <c r="BN377" i="6"/>
  <c r="BY377" i="6"/>
  <c r="BK377" i="6"/>
  <c r="CK377" i="6"/>
  <c r="BW377" i="6"/>
  <c r="CH377" i="6"/>
  <c r="BQ377" i="6"/>
  <c r="BI377" i="6"/>
  <c r="BL377" i="6"/>
  <c r="CG377" i="6"/>
  <c r="CJ377" i="6"/>
  <c r="CB377" i="6"/>
  <c r="BJ377" i="6"/>
  <c r="CA377" i="6"/>
  <c r="CF377" i="6"/>
  <c r="BR377" i="6"/>
  <c r="BF377" i="6"/>
  <c r="CC377" i="6"/>
  <c r="BP377" i="6"/>
  <c r="CI377" i="6"/>
  <c r="BE377" i="6"/>
  <c r="CE377" i="6"/>
  <c r="CD377" i="6"/>
  <c r="BO377" i="6"/>
  <c r="BR378" i="6"/>
  <c r="BS378" i="6"/>
  <c r="A379" i="6"/>
  <c r="N379" i="6" s="1"/>
  <c r="BT378" i="6"/>
  <c r="CJ378" i="6"/>
  <c r="CI378" i="6"/>
  <c r="CK378" i="6"/>
  <c r="CL378" i="6"/>
  <c r="BM378" i="6"/>
  <c r="CM378" i="6"/>
  <c r="BN378" i="6"/>
  <c r="CF378" i="6"/>
  <c r="BO378" i="6"/>
  <c r="CG378" i="6"/>
  <c r="BP378" i="6"/>
  <c r="CH378" i="6"/>
  <c r="BQ378" i="6"/>
  <c r="BK378" i="6"/>
  <c r="BD378" i="6"/>
  <c r="BV378" i="6"/>
  <c r="BF378" i="6"/>
  <c r="BC378" i="6"/>
  <c r="BJ378" i="6"/>
  <c r="BE378" i="6"/>
  <c r="K379" i="12"/>
  <c r="BL378" i="6"/>
  <c r="BX378" i="6"/>
  <c r="CB378" i="6"/>
  <c r="BG378" i="6"/>
  <c r="BZ378" i="6"/>
  <c r="C382" i="5"/>
  <c r="A381" i="12"/>
  <c r="N381" i="5"/>
  <c r="AD381" i="5"/>
  <c r="G381" i="5"/>
  <c r="K381" i="5"/>
  <c r="H381" i="5"/>
  <c r="B381" i="6"/>
  <c r="E381" i="5"/>
  <c r="F381" i="5"/>
  <c r="B381" i="5"/>
  <c r="AE381" i="5"/>
  <c r="J381" i="5"/>
  <c r="D381" i="5"/>
  <c r="B381" i="12" s="1"/>
  <c r="J380" i="12"/>
  <c r="L380" i="12"/>
  <c r="D380" i="6"/>
  <c r="H379" i="6"/>
  <c r="T379" i="5" s="1"/>
  <c r="G379" i="12" s="1"/>
  <c r="CC378" i="6"/>
  <c r="BH378" i="6"/>
  <c r="BW378" i="6"/>
  <c r="CA378" i="6"/>
  <c r="CD378" i="6"/>
  <c r="BY378" i="6"/>
  <c r="CE378" i="6"/>
  <c r="M379" i="6" l="1"/>
  <c r="BV379" i="6" s="1"/>
  <c r="A380" i="6"/>
  <c r="M380" i="6" s="1"/>
  <c r="BE380" i="6" s="1"/>
  <c r="D381" i="6"/>
  <c r="J381" i="12"/>
  <c r="L381" i="12"/>
  <c r="B382" i="6"/>
  <c r="E382" i="5"/>
  <c r="AD382" i="5"/>
  <c r="D382" i="5"/>
  <c r="B382" i="12" s="1"/>
  <c r="F382" i="5"/>
  <c r="G382" i="5"/>
  <c r="J382" i="5"/>
  <c r="K382" i="5"/>
  <c r="C383" i="5"/>
  <c r="AE382" i="5"/>
  <c r="N382" i="5"/>
  <c r="B382" i="5"/>
  <c r="H382" i="5"/>
  <c r="A382" i="12"/>
  <c r="H380" i="6"/>
  <c r="T380" i="5" s="1"/>
  <c r="G380" i="12" s="1"/>
  <c r="K380" i="12"/>
  <c r="BG379" i="6" l="1"/>
  <c r="CL379" i="6"/>
  <c r="CC379" i="6"/>
  <c r="BO379" i="6"/>
  <c r="BD379" i="6"/>
  <c r="CK379" i="6"/>
  <c r="CJ379" i="6"/>
  <c r="BJ379" i="6"/>
  <c r="BP379" i="6"/>
  <c r="BW379" i="6"/>
  <c r="CE379" i="6"/>
  <c r="BX379" i="6"/>
  <c r="CA379" i="6"/>
  <c r="BM379" i="6"/>
  <c r="BQ379" i="6"/>
  <c r="BY379" i="6"/>
  <c r="BH379" i="6"/>
  <c r="BL379" i="6"/>
  <c r="CM379" i="6"/>
  <c r="CI379" i="6"/>
  <c r="BE379" i="6"/>
  <c r="BK379" i="6"/>
  <c r="CB379" i="6"/>
  <c r="BT379" i="6"/>
  <c r="BN379" i="6"/>
  <c r="CH379" i="6"/>
  <c r="BI379" i="6"/>
  <c r="BZ379" i="6"/>
  <c r="BF379" i="6"/>
  <c r="BS379" i="6"/>
  <c r="CG379" i="6"/>
  <c r="CD379" i="6"/>
  <c r="BC379" i="6"/>
  <c r="BR379" i="6"/>
  <c r="CF379" i="6"/>
  <c r="N380" i="6"/>
  <c r="CK380" i="6"/>
  <c r="CL380" i="6"/>
  <c r="CM380" i="6"/>
  <c r="BQ380" i="6"/>
  <c r="BS380" i="6"/>
  <c r="BT380" i="6"/>
  <c r="BM380" i="6"/>
  <c r="BN380" i="6"/>
  <c r="BO380" i="6"/>
  <c r="BP380" i="6"/>
  <c r="CF380" i="6"/>
  <c r="A381" i="6"/>
  <c r="N381" i="6" s="1"/>
  <c r="CG380" i="6"/>
  <c r="CH380" i="6"/>
  <c r="CI380" i="6"/>
  <c r="BR380" i="6"/>
  <c r="CJ380" i="6"/>
  <c r="BZ380" i="6"/>
  <c r="BH380" i="6"/>
  <c r="BC380" i="6"/>
  <c r="BV380" i="6"/>
  <c r="BX380" i="6"/>
  <c r="BW380" i="6"/>
  <c r="BJ380" i="6"/>
  <c r="CD380" i="6"/>
  <c r="K381" i="12"/>
  <c r="BI380" i="6"/>
  <c r="CE380" i="6"/>
  <c r="BG380" i="6"/>
  <c r="CB380" i="6"/>
  <c r="BY380" i="6"/>
  <c r="BK380" i="6"/>
  <c r="BD380" i="6"/>
  <c r="CA380" i="6"/>
  <c r="BF380" i="6"/>
  <c r="CC380" i="6"/>
  <c r="BL380" i="6"/>
  <c r="L382" i="12"/>
  <c r="J382" i="12"/>
  <c r="H381" i="6"/>
  <c r="T381" i="5" s="1"/>
  <c r="G381" i="12" s="1"/>
  <c r="D382" i="6"/>
  <c r="D383" i="5"/>
  <c r="B383" i="12" s="1"/>
  <c r="A383" i="12"/>
  <c r="AD383" i="5"/>
  <c r="N383" i="5"/>
  <c r="E383" i="5"/>
  <c r="AE383" i="5"/>
  <c r="K383" i="5"/>
  <c r="B383" i="6"/>
  <c r="B383" i="5"/>
  <c r="C384" i="5"/>
  <c r="C385" i="5" s="1"/>
  <c r="C386" i="5" s="1"/>
  <c r="C387" i="5" s="1"/>
  <c r="C388" i="5" s="1"/>
  <c r="G383" i="5"/>
  <c r="F383" i="5"/>
  <c r="H383" i="5"/>
  <c r="J383" i="5"/>
  <c r="M381" i="6" l="1"/>
  <c r="CA381" i="6" s="1"/>
  <c r="A382" i="6"/>
  <c r="M382" i="6" s="1"/>
  <c r="BF382" i="6" s="1"/>
  <c r="A388" i="12"/>
  <c r="B388" i="6"/>
  <c r="C389" i="5"/>
  <c r="D388" i="5"/>
  <c r="B388" i="12" s="1"/>
  <c r="AE388" i="5"/>
  <c r="N388" i="5"/>
  <c r="AD388" i="5"/>
  <c r="K388" i="5"/>
  <c r="J388" i="5"/>
  <c r="A387" i="12"/>
  <c r="B387" i="6"/>
  <c r="J387" i="5"/>
  <c r="K387" i="5"/>
  <c r="AD387" i="5"/>
  <c r="D387" i="5"/>
  <c r="B387" i="12" s="1"/>
  <c r="AE387" i="5"/>
  <c r="N387" i="5"/>
  <c r="A386" i="12"/>
  <c r="D386" i="5"/>
  <c r="B386" i="12" s="1"/>
  <c r="AE386" i="5"/>
  <c r="N386" i="5"/>
  <c r="B386" i="6"/>
  <c r="AD386" i="5"/>
  <c r="K386" i="5"/>
  <c r="J386" i="5"/>
  <c r="A385" i="12"/>
  <c r="AE385" i="5"/>
  <c r="N385" i="5"/>
  <c r="AD385" i="5"/>
  <c r="B385" i="6"/>
  <c r="K385" i="5"/>
  <c r="J385" i="5"/>
  <c r="D385" i="5"/>
  <c r="B385" i="12" s="1"/>
  <c r="D383" i="6"/>
  <c r="L383" i="12"/>
  <c r="J383" i="12"/>
  <c r="E384" i="5"/>
  <c r="E385" i="5" s="1"/>
  <c r="E386" i="5" s="1"/>
  <c r="E387" i="5" s="1"/>
  <c r="E388" i="5" s="1"/>
  <c r="B384" i="5"/>
  <c r="B385" i="5" s="1"/>
  <c r="B386" i="5" s="1"/>
  <c r="B387" i="5" s="1"/>
  <c r="B388" i="5" s="1"/>
  <c r="A384" i="12"/>
  <c r="G384" i="5"/>
  <c r="G385" i="5" s="1"/>
  <c r="G386" i="5" s="1"/>
  <c r="G387" i="5" s="1"/>
  <c r="G388" i="5" s="1"/>
  <c r="D384" i="5"/>
  <c r="B384" i="12" s="1"/>
  <c r="H384" i="5"/>
  <c r="H385" i="5" s="1"/>
  <c r="H386" i="5" s="1"/>
  <c r="H387" i="5" s="1"/>
  <c r="H388" i="5" s="1"/>
  <c r="B384" i="6"/>
  <c r="AD384" i="5"/>
  <c r="AE384" i="5"/>
  <c r="K384" i="5"/>
  <c r="J384" i="5"/>
  <c r="N384" i="5"/>
  <c r="F384" i="5"/>
  <c r="F385" i="5" s="1"/>
  <c r="F386" i="5" s="1"/>
  <c r="F387" i="5" s="1"/>
  <c r="F388" i="5" s="1"/>
  <c r="H382" i="6"/>
  <c r="T382" i="5" s="1"/>
  <c r="G382" i="12" s="1"/>
  <c r="K382" i="12"/>
  <c r="CM381" i="6" l="1"/>
  <c r="CC381" i="6"/>
  <c r="CK381" i="6"/>
  <c r="CI381" i="6"/>
  <c r="BM381" i="6"/>
  <c r="CE381" i="6"/>
  <c r="CL381" i="6"/>
  <c r="BV381" i="6"/>
  <c r="BH381" i="6"/>
  <c r="BC381" i="6"/>
  <c r="BJ381" i="6"/>
  <c r="CJ381" i="6"/>
  <c r="BF381" i="6"/>
  <c r="BG381" i="6"/>
  <c r="BE381" i="6"/>
  <c r="BT381" i="6"/>
  <c r="BY381" i="6"/>
  <c r="BD381" i="6"/>
  <c r="CG381" i="6"/>
  <c r="BS381" i="6"/>
  <c r="CB381" i="6"/>
  <c r="CD381" i="6"/>
  <c r="BK381" i="6"/>
  <c r="BO381" i="6"/>
  <c r="BR381" i="6"/>
  <c r="BX381" i="6"/>
  <c r="CF381" i="6"/>
  <c r="BQ381" i="6"/>
  <c r="BZ381" i="6"/>
  <c r="BI381" i="6"/>
  <c r="BL381" i="6"/>
  <c r="BW381" i="6"/>
  <c r="BN381" i="6"/>
  <c r="CH381" i="6"/>
  <c r="BP381" i="6"/>
  <c r="N382" i="6"/>
  <c r="CF382" i="6"/>
  <c r="CG382" i="6"/>
  <c r="CH382" i="6"/>
  <c r="BN382" i="6"/>
  <c r="CI382" i="6"/>
  <c r="BM382" i="6"/>
  <c r="CJ382" i="6"/>
  <c r="BO382" i="6"/>
  <c r="CK382" i="6"/>
  <c r="BP382" i="6"/>
  <c r="CL382" i="6"/>
  <c r="BQ382" i="6"/>
  <c r="BR382" i="6"/>
  <c r="A383" i="6"/>
  <c r="N383" i="6" s="1"/>
  <c r="BS382" i="6"/>
  <c r="BT382" i="6"/>
  <c r="CM382" i="6"/>
  <c r="B389" i="6"/>
  <c r="A389" i="12"/>
  <c r="AE389" i="5"/>
  <c r="N389" i="5"/>
  <c r="AD389" i="5"/>
  <c r="K389" i="5"/>
  <c r="J389" i="5"/>
  <c r="C390" i="5"/>
  <c r="H389" i="5"/>
  <c r="G389" i="5"/>
  <c r="F389" i="5"/>
  <c r="E389" i="5"/>
  <c r="D389" i="5"/>
  <c r="B389" i="12" s="1"/>
  <c r="B389" i="5"/>
  <c r="D388" i="6"/>
  <c r="L388" i="12"/>
  <c r="J388" i="12"/>
  <c r="D387" i="6"/>
  <c r="L387" i="12"/>
  <c r="J387" i="12"/>
  <c r="L386" i="12"/>
  <c r="J386" i="12"/>
  <c r="D386" i="6"/>
  <c r="D385" i="6"/>
  <c r="L385" i="12"/>
  <c r="J385" i="12"/>
  <c r="BD382" i="6"/>
  <c r="CA382" i="6"/>
  <c r="BL382" i="6"/>
  <c r="BG382" i="6"/>
  <c r="BH382" i="6"/>
  <c r="BC382" i="6"/>
  <c r="BI382" i="6"/>
  <c r="BZ382" i="6"/>
  <c r="BJ382" i="6"/>
  <c r="K383" i="12"/>
  <c r="CE382" i="6"/>
  <c r="BW382" i="6"/>
  <c r="BE382" i="6"/>
  <c r="CC382" i="6"/>
  <c r="BK382" i="6"/>
  <c r="BY382" i="6"/>
  <c r="CD382" i="6"/>
  <c r="CB382" i="6"/>
  <c r="BV382" i="6"/>
  <c r="BX382" i="6"/>
  <c r="L384" i="12"/>
  <c r="J384" i="12"/>
  <c r="H383" i="6"/>
  <c r="T383" i="5" s="1"/>
  <c r="G383" i="12" s="1"/>
  <c r="D384" i="6"/>
  <c r="M383" i="6" l="1"/>
  <c r="BF383" i="6" s="1"/>
  <c r="A384" i="6"/>
  <c r="A385" i="6" s="1"/>
  <c r="A386" i="6" s="1"/>
  <c r="A387" i="6" s="1"/>
  <c r="A388" i="6" s="1"/>
  <c r="M388" i="6" s="1"/>
  <c r="BK388" i="6" s="1"/>
  <c r="K385" i="12"/>
  <c r="D389" i="6"/>
  <c r="K388" i="12"/>
  <c r="J389" i="12"/>
  <c r="L389" i="12"/>
  <c r="H388" i="6"/>
  <c r="T388" i="5" s="1"/>
  <c r="G388" i="12" s="1"/>
  <c r="A390" i="12"/>
  <c r="G390" i="5"/>
  <c r="B390" i="6"/>
  <c r="F390" i="5"/>
  <c r="E390" i="5"/>
  <c r="D390" i="5"/>
  <c r="B390" i="12" s="1"/>
  <c r="C391" i="5"/>
  <c r="B390" i="5"/>
  <c r="AE390" i="5"/>
  <c r="N390" i="5"/>
  <c r="AD390" i="5"/>
  <c r="K390" i="5"/>
  <c r="J390" i="5"/>
  <c r="H390" i="5"/>
  <c r="K387" i="12"/>
  <c r="H387" i="6"/>
  <c r="T387" i="5" s="1"/>
  <c r="G387" i="12" s="1"/>
  <c r="H386" i="6"/>
  <c r="T386" i="5" s="1"/>
  <c r="G386" i="12" s="1"/>
  <c r="K386" i="12"/>
  <c r="H385" i="6"/>
  <c r="T385" i="5" s="1"/>
  <c r="G385" i="12" s="1"/>
  <c r="H384" i="6"/>
  <c r="T384" i="5" s="1"/>
  <c r="G384" i="12" s="1"/>
  <c r="K384" i="12"/>
  <c r="M384" i="6" l="1"/>
  <c r="BG384" i="6" s="1"/>
  <c r="N384" i="6"/>
  <c r="M385" i="6"/>
  <c r="BW385" i="6" s="1"/>
  <c r="BN383" i="6"/>
  <c r="CD383" i="6"/>
  <c r="CB383" i="6"/>
  <c r="BI383" i="6"/>
  <c r="BM383" i="6"/>
  <c r="CM383" i="6"/>
  <c r="BY383" i="6"/>
  <c r="CE383" i="6"/>
  <c r="BW383" i="6"/>
  <c r="BX383" i="6"/>
  <c r="BC383" i="6"/>
  <c r="BT383" i="6"/>
  <c r="CJ383" i="6"/>
  <c r="BS383" i="6"/>
  <c r="CI383" i="6"/>
  <c r="CH383" i="6"/>
  <c r="CC383" i="6"/>
  <c r="BO383" i="6"/>
  <c r="CA383" i="6"/>
  <c r="CG383" i="6"/>
  <c r="BQ383" i="6"/>
  <c r="CF383" i="6"/>
  <c r="CL383" i="6"/>
  <c r="BR383" i="6"/>
  <c r="BK383" i="6"/>
  <c r="BL383" i="6"/>
  <c r="BV383" i="6"/>
  <c r="BD383" i="6"/>
  <c r="BZ383" i="6"/>
  <c r="BJ383" i="6"/>
  <c r="BG383" i="6"/>
  <c r="BH383" i="6"/>
  <c r="BE383" i="6"/>
  <c r="BP383" i="6"/>
  <c r="CK383" i="6"/>
  <c r="N385" i="6"/>
  <c r="M386" i="6"/>
  <c r="CE386" i="6" s="1"/>
  <c r="N388" i="6"/>
  <c r="N386" i="6"/>
  <c r="M387" i="6"/>
  <c r="CB387" i="6" s="1"/>
  <c r="N387" i="6"/>
  <c r="CG388" i="6"/>
  <c r="CH388" i="6"/>
  <c r="BN388" i="6"/>
  <c r="CK388" i="6"/>
  <c r="CL388" i="6"/>
  <c r="CM388" i="6"/>
  <c r="BM388" i="6"/>
  <c r="CF388" i="6"/>
  <c r="BO388" i="6"/>
  <c r="CI388" i="6"/>
  <c r="BP388" i="6"/>
  <c r="CJ388" i="6"/>
  <c r="BQ388" i="6"/>
  <c r="A389" i="6"/>
  <c r="N389" i="6" s="1"/>
  <c r="BR388" i="6"/>
  <c r="BS388" i="6"/>
  <c r="BT388" i="6"/>
  <c r="CC388" i="6"/>
  <c r="BD388" i="6"/>
  <c r="CB388" i="6"/>
  <c r="BH388" i="6"/>
  <c r="K389" i="12"/>
  <c r="BY388" i="6"/>
  <c r="BI388" i="6"/>
  <c r="BF388" i="6"/>
  <c r="CD388" i="6"/>
  <c r="BZ388" i="6"/>
  <c r="BJ388" i="6"/>
  <c r="CA388" i="6"/>
  <c r="BL388" i="6"/>
  <c r="BV388" i="6"/>
  <c r="A391" i="12"/>
  <c r="B391" i="6"/>
  <c r="N391" i="5"/>
  <c r="AE391" i="5"/>
  <c r="AD391" i="5"/>
  <c r="K391" i="5"/>
  <c r="J391" i="5"/>
  <c r="H391" i="5"/>
  <c r="C392" i="5"/>
  <c r="G391" i="5"/>
  <c r="F391" i="5"/>
  <c r="E391" i="5"/>
  <c r="D391" i="5"/>
  <c r="B391" i="12" s="1"/>
  <c r="B391" i="5"/>
  <c r="BW388" i="6"/>
  <c r="H389" i="6"/>
  <c r="T389" i="5" s="1"/>
  <c r="G389" i="12" s="1"/>
  <c r="BE388" i="6"/>
  <c r="CE388" i="6"/>
  <c r="BC388" i="6"/>
  <c r="BX388" i="6"/>
  <c r="D390" i="6"/>
  <c r="BG388" i="6"/>
  <c r="L390" i="12"/>
  <c r="J390" i="12"/>
  <c r="CE384" i="6" l="1"/>
  <c r="BV384" i="6"/>
  <c r="BH384" i="6"/>
  <c r="BL384" i="6"/>
  <c r="CB384" i="6"/>
  <c r="BY384" i="6"/>
  <c r="CG384" i="6"/>
  <c r="BQ384" i="6"/>
  <c r="CM384" i="6"/>
  <c r="BM384" i="6"/>
  <c r="CF384" i="6"/>
  <c r="BC384" i="6"/>
  <c r="BX384" i="6"/>
  <c r="BT384" i="6"/>
  <c r="BP384" i="6"/>
  <c r="CJ384" i="6"/>
  <c r="CI384" i="6"/>
  <c r="BZ384" i="6"/>
  <c r="BD384" i="6"/>
  <c r="CC384" i="6"/>
  <c r="BE384" i="6"/>
  <c r="BI384" i="6"/>
  <c r="BS384" i="6"/>
  <c r="BO384" i="6"/>
  <c r="BF384" i="6"/>
  <c r="CD384" i="6"/>
  <c r="CL384" i="6"/>
  <c r="BJ384" i="6"/>
  <c r="BK384" i="6"/>
  <c r="BR384" i="6"/>
  <c r="CK384" i="6"/>
  <c r="BW384" i="6"/>
  <c r="CA384" i="6"/>
  <c r="CH384" i="6"/>
  <c r="BN384" i="6"/>
  <c r="BK385" i="6"/>
  <c r="BV385" i="6"/>
  <c r="BJ385" i="6"/>
  <c r="BE385" i="6"/>
  <c r="BM385" i="6"/>
  <c r="BT385" i="6"/>
  <c r="CC385" i="6"/>
  <c r="BI385" i="6"/>
  <c r="BQ385" i="6"/>
  <c r="CB385" i="6"/>
  <c r="BH385" i="6"/>
  <c r="CF385" i="6"/>
  <c r="BX385" i="6"/>
  <c r="CG385" i="6"/>
  <c r="CH385" i="6"/>
  <c r="CD385" i="6"/>
  <c r="CL385" i="6"/>
  <c r="BG385" i="6"/>
  <c r="BD385" i="6"/>
  <c r="BN385" i="6"/>
  <c r="BS385" i="6"/>
  <c r="CJ385" i="6"/>
  <c r="BP385" i="6"/>
  <c r="CA385" i="6"/>
  <c r="BF385" i="6"/>
  <c r="CI385" i="6"/>
  <c r="BL385" i="6"/>
  <c r="CE385" i="6"/>
  <c r="BO385" i="6"/>
  <c r="CK385" i="6"/>
  <c r="BZ385" i="6"/>
  <c r="BC385" i="6"/>
  <c r="CM385" i="6"/>
  <c r="BY385" i="6"/>
  <c r="BR385" i="6"/>
  <c r="CM386" i="6"/>
  <c r="CH386" i="6"/>
  <c r="BO386" i="6"/>
  <c r="BM386" i="6"/>
  <c r="BL386" i="6"/>
  <c r="CI386" i="6"/>
  <c r="BK386" i="6"/>
  <c r="BE386" i="6"/>
  <c r="BG387" i="6"/>
  <c r="BI386" i="6"/>
  <c r="BC386" i="6"/>
  <c r="BT386" i="6"/>
  <c r="BQ386" i="6"/>
  <c r="BR386" i="6"/>
  <c r="CF386" i="6"/>
  <c r="CL386" i="6"/>
  <c r="BY386" i="6"/>
  <c r="BW386" i="6"/>
  <c r="BJ386" i="6"/>
  <c r="CB386" i="6"/>
  <c r="CK386" i="6"/>
  <c r="BH386" i="6"/>
  <c r="BD386" i="6"/>
  <c r="CC386" i="6"/>
  <c r="BG386" i="6"/>
  <c r="BZ386" i="6"/>
  <c r="BV386" i="6"/>
  <c r="BS386" i="6"/>
  <c r="BP386" i="6"/>
  <c r="BN386" i="6"/>
  <c r="BX386" i="6"/>
  <c r="BF386" i="6"/>
  <c r="CJ386" i="6"/>
  <c r="CG386" i="6"/>
  <c r="CD386" i="6"/>
  <c r="CA386" i="6"/>
  <c r="BI387" i="6"/>
  <c r="BC387" i="6"/>
  <c r="CK387" i="6"/>
  <c r="BJ387" i="6"/>
  <c r="CJ387" i="6"/>
  <c r="BY387" i="6"/>
  <c r="CA387" i="6"/>
  <c r="BD387" i="6"/>
  <c r="BL387" i="6"/>
  <c r="BX387" i="6"/>
  <c r="BQ387" i="6"/>
  <c r="BV387" i="6"/>
  <c r="CC387" i="6"/>
  <c r="BN387" i="6"/>
  <c r="CL387" i="6"/>
  <c r="BF387" i="6"/>
  <c r="BW387" i="6"/>
  <c r="BO387" i="6"/>
  <c r="CG387" i="6"/>
  <c r="CE387" i="6"/>
  <c r="BH387" i="6"/>
  <c r="M389" i="6"/>
  <c r="BK389" i="6" s="1"/>
  <c r="CI387" i="6"/>
  <c r="BT387" i="6"/>
  <c r="BR387" i="6"/>
  <c r="BK387" i="6"/>
  <c r="CD387" i="6"/>
  <c r="CF387" i="6"/>
  <c r="BZ387" i="6"/>
  <c r="BE387" i="6"/>
  <c r="BP387" i="6"/>
  <c r="BM387" i="6"/>
  <c r="CM387" i="6"/>
  <c r="CH387" i="6"/>
  <c r="BS387" i="6"/>
  <c r="A390" i="6"/>
  <c r="N390" i="6" s="1"/>
  <c r="K390" i="12"/>
  <c r="D391" i="6"/>
  <c r="A392" i="12"/>
  <c r="B392" i="6"/>
  <c r="B392" i="5"/>
  <c r="H392" i="5"/>
  <c r="AD392" i="5"/>
  <c r="C393" i="5"/>
  <c r="G392" i="5"/>
  <c r="F392" i="5"/>
  <c r="E392" i="5"/>
  <c r="D392" i="5"/>
  <c r="B392" i="12" s="1"/>
  <c r="N392" i="5"/>
  <c r="AE392" i="5"/>
  <c r="J392" i="5"/>
  <c r="K392" i="5"/>
  <c r="L391" i="12"/>
  <c r="J391" i="12"/>
  <c r="H390" i="6"/>
  <c r="T390" i="5" s="1"/>
  <c r="G390" i="12" s="1"/>
  <c r="BJ389" i="6" l="1"/>
  <c r="BG389" i="6"/>
  <c r="BI389" i="6"/>
  <c r="BR389" i="6"/>
  <c r="BL389" i="6"/>
  <c r="BW389" i="6"/>
  <c r="CJ389" i="6"/>
  <c r="CH389" i="6"/>
  <c r="BQ389" i="6"/>
  <c r="CA389" i="6"/>
  <c r="BS389" i="6"/>
  <c r="BY389" i="6"/>
  <c r="BD389" i="6"/>
  <c r="M390" i="6"/>
  <c r="CA390" i="6" s="1"/>
  <c r="CD389" i="6"/>
  <c r="CG389" i="6"/>
  <c r="BE389" i="6"/>
  <c r="CE389" i="6"/>
  <c r="BH389" i="6"/>
  <c r="CL389" i="6"/>
  <c r="BZ389" i="6"/>
  <c r="BX389" i="6"/>
  <c r="CK389" i="6"/>
  <c r="CI389" i="6"/>
  <c r="CF389" i="6"/>
  <c r="CC389" i="6"/>
  <c r="BC389" i="6"/>
  <c r="BP389" i="6"/>
  <c r="BO389" i="6"/>
  <c r="CB389" i="6"/>
  <c r="BN389" i="6"/>
  <c r="BF389" i="6"/>
  <c r="BM389" i="6"/>
  <c r="BV389" i="6"/>
  <c r="CM389" i="6"/>
  <c r="BT389" i="6"/>
  <c r="A391" i="6"/>
  <c r="N391" i="6" s="1"/>
  <c r="K391" i="12"/>
  <c r="H391" i="6"/>
  <c r="T391" i="5" s="1"/>
  <c r="G391" i="12" s="1"/>
  <c r="A393" i="12"/>
  <c r="H393" i="5"/>
  <c r="E393" i="5"/>
  <c r="G393" i="5"/>
  <c r="D393" i="5"/>
  <c r="B393" i="12" s="1"/>
  <c r="B393" i="5"/>
  <c r="B393" i="6"/>
  <c r="N393" i="5"/>
  <c r="AE393" i="5"/>
  <c r="AD393" i="5"/>
  <c r="K393" i="5"/>
  <c r="J393" i="5"/>
  <c r="C394" i="5"/>
  <c r="F393" i="5"/>
  <c r="D392" i="6"/>
  <c r="L392" i="12"/>
  <c r="J392" i="12"/>
  <c r="BJ390" i="6" l="1"/>
  <c r="BR390" i="6"/>
  <c r="BY390" i="6"/>
  <c r="CB390" i="6"/>
  <c r="BQ390" i="6"/>
  <c r="BT390" i="6"/>
  <c r="BZ390" i="6"/>
  <c r="CF390" i="6"/>
  <c r="CD390" i="6"/>
  <c r="BE390" i="6"/>
  <c r="BP390" i="6"/>
  <c r="BK390" i="6"/>
  <c r="BX390" i="6"/>
  <c r="BH390" i="6"/>
  <c r="BC390" i="6"/>
  <c r="BD390" i="6"/>
  <c r="CL390" i="6"/>
  <c r="CC390" i="6"/>
  <c r="BS390" i="6"/>
  <c r="BI390" i="6"/>
  <c r="CE390" i="6"/>
  <c r="BM390" i="6"/>
  <c r="BV390" i="6"/>
  <c r="CK390" i="6"/>
  <c r="BG390" i="6"/>
  <c r="CG390" i="6"/>
  <c r="BO390" i="6"/>
  <c r="BW390" i="6"/>
  <c r="BF390" i="6"/>
  <c r="CM390" i="6"/>
  <c r="BN390" i="6"/>
  <c r="BL390" i="6"/>
  <c r="CI390" i="6"/>
  <c r="CJ390" i="6"/>
  <c r="CH390" i="6"/>
  <c r="M391" i="6"/>
  <c r="BL391" i="6" s="1"/>
  <c r="A392" i="6"/>
  <c r="N392" i="6" s="1"/>
  <c r="K392" i="12"/>
  <c r="A394" i="12"/>
  <c r="B394" i="6"/>
  <c r="B394" i="5"/>
  <c r="N394" i="5"/>
  <c r="AE394" i="5"/>
  <c r="AD394" i="5"/>
  <c r="K394" i="5"/>
  <c r="D394" i="5"/>
  <c r="B394" i="12" s="1"/>
  <c r="J394" i="5"/>
  <c r="H394" i="5"/>
  <c r="C395" i="5"/>
  <c r="G394" i="5"/>
  <c r="F394" i="5"/>
  <c r="E394" i="5"/>
  <c r="H392" i="6"/>
  <c r="T392" i="5" s="1"/>
  <c r="G392" i="12" s="1"/>
  <c r="D393" i="6"/>
  <c r="L393" i="12"/>
  <c r="J393" i="12"/>
  <c r="CB391" i="6" l="1"/>
  <c r="CF391" i="6"/>
  <c r="CM391" i="6"/>
  <c r="CL391" i="6"/>
  <c r="BN391" i="6"/>
  <c r="BC391" i="6"/>
  <c r="CE391" i="6"/>
  <c r="BX391" i="6"/>
  <c r="CK391" i="6"/>
  <c r="BY391" i="6"/>
  <c r="BE391" i="6"/>
  <c r="BJ391" i="6"/>
  <c r="BD391" i="6"/>
  <c r="BH391" i="6"/>
  <c r="BG391" i="6"/>
  <c r="CG391" i="6"/>
  <c r="BW391" i="6"/>
  <c r="BS391" i="6"/>
  <c r="BT391" i="6"/>
  <c r="BR391" i="6"/>
  <c r="BF391" i="6"/>
  <c r="BQ391" i="6"/>
  <c r="BK391" i="6"/>
  <c r="CJ391" i="6"/>
  <c r="BP391" i="6"/>
  <c r="BI391" i="6"/>
  <c r="CI391" i="6"/>
  <c r="CC391" i="6"/>
  <c r="BO391" i="6"/>
  <c r="BV391" i="6"/>
  <c r="CD391" i="6"/>
  <c r="CH391" i="6"/>
  <c r="BZ391" i="6"/>
  <c r="CA391" i="6"/>
  <c r="BM391" i="6"/>
  <c r="M392" i="6"/>
  <c r="BW392" i="6" s="1"/>
  <c r="A393" i="6"/>
  <c r="N393" i="6" s="1"/>
  <c r="K393" i="12"/>
  <c r="D394" i="6"/>
  <c r="H395" i="5"/>
  <c r="B395" i="6"/>
  <c r="AD395" i="5"/>
  <c r="K395" i="5"/>
  <c r="J395" i="5"/>
  <c r="G395" i="5"/>
  <c r="C396" i="5"/>
  <c r="F395" i="5"/>
  <c r="E395" i="5"/>
  <c r="A395" i="12"/>
  <c r="D395" i="5"/>
  <c r="B395" i="12" s="1"/>
  <c r="N395" i="5"/>
  <c r="B395" i="5"/>
  <c r="AE395" i="5"/>
  <c r="L394" i="12"/>
  <c r="J394" i="12"/>
  <c r="H393" i="6"/>
  <c r="T393" i="5" s="1"/>
  <c r="G393" i="12" s="1"/>
  <c r="BI392" i="6" l="1"/>
  <c r="CM392" i="6"/>
  <c r="BM392" i="6"/>
  <c r="BT392" i="6"/>
  <c r="CC392" i="6"/>
  <c r="BY392" i="6"/>
  <c r="BX392" i="6"/>
  <c r="BK392" i="6"/>
  <c r="BN392" i="6"/>
  <c r="BG392" i="6"/>
  <c r="BC392" i="6"/>
  <c r="BE392" i="6"/>
  <c r="BL392" i="6"/>
  <c r="BJ392" i="6"/>
  <c r="CL392" i="6"/>
  <c r="BF392" i="6"/>
  <c r="BS392" i="6"/>
  <c r="CE392" i="6"/>
  <c r="BQ392" i="6"/>
  <c r="BR392" i="6"/>
  <c r="BH392" i="6"/>
  <c r="CI392" i="6"/>
  <c r="CG392" i="6"/>
  <c r="CD392" i="6"/>
  <c r="BD392" i="6"/>
  <c r="BZ392" i="6"/>
  <c r="BV392" i="6"/>
  <c r="BP392" i="6"/>
  <c r="CF392" i="6"/>
  <c r="CB392" i="6"/>
  <c r="BO392" i="6"/>
  <c r="CK392" i="6"/>
  <c r="CA392" i="6"/>
  <c r="CJ392" i="6"/>
  <c r="CH392" i="6"/>
  <c r="M393" i="6"/>
  <c r="BX393" i="6" s="1"/>
  <c r="A394" i="6"/>
  <c r="N394" i="6" s="1"/>
  <c r="K394" i="12"/>
  <c r="H394" i="6"/>
  <c r="T394" i="5" s="1"/>
  <c r="G394" i="12" s="1"/>
  <c r="D395" i="6"/>
  <c r="J395" i="12"/>
  <c r="L395" i="12"/>
  <c r="B396" i="6"/>
  <c r="A396" i="12"/>
  <c r="B396" i="5"/>
  <c r="G396" i="5"/>
  <c r="F396" i="5"/>
  <c r="C397" i="5"/>
  <c r="E396" i="5"/>
  <c r="D396" i="5"/>
  <c r="B396" i="12" s="1"/>
  <c r="N396" i="5"/>
  <c r="AE396" i="5"/>
  <c r="K396" i="5"/>
  <c r="AD396" i="5"/>
  <c r="J396" i="5"/>
  <c r="H396" i="5"/>
  <c r="BC393" i="6" l="1"/>
  <c r="CB393" i="6"/>
  <c r="CH393" i="6"/>
  <c r="CG393" i="6"/>
  <c r="CI393" i="6"/>
  <c r="BH393" i="6"/>
  <c r="BD393" i="6"/>
  <c r="CJ393" i="6"/>
  <c r="CD393" i="6"/>
  <c r="BF393" i="6"/>
  <c r="BM393" i="6"/>
  <c r="BZ393" i="6"/>
  <c r="CE393" i="6"/>
  <c r="BT393" i="6"/>
  <c r="BJ393" i="6"/>
  <c r="BS393" i="6"/>
  <c r="BY393" i="6"/>
  <c r="BV393" i="6"/>
  <c r="CF393" i="6"/>
  <c r="BK393" i="6"/>
  <c r="BP393" i="6"/>
  <c r="CA393" i="6"/>
  <c r="CC393" i="6"/>
  <c r="CL393" i="6"/>
  <c r="BG393" i="6"/>
  <c r="BE393" i="6"/>
  <c r="BO393" i="6"/>
  <c r="BL393" i="6"/>
  <c r="CK393" i="6"/>
  <c r="BI393" i="6"/>
  <c r="BW393" i="6"/>
  <c r="CM393" i="6"/>
  <c r="BN393" i="6"/>
  <c r="BR393" i="6"/>
  <c r="BQ393" i="6"/>
  <c r="M394" i="6"/>
  <c r="BG394" i="6" s="1"/>
  <c r="A395" i="6"/>
  <c r="N395" i="6" s="1"/>
  <c r="K395" i="12"/>
  <c r="A397" i="12"/>
  <c r="B397" i="6"/>
  <c r="K397" i="5"/>
  <c r="H397" i="5"/>
  <c r="E397" i="5"/>
  <c r="C398" i="5"/>
  <c r="D397" i="5"/>
  <c r="B397" i="12" s="1"/>
  <c r="G397" i="5"/>
  <c r="B397" i="5"/>
  <c r="N397" i="5"/>
  <c r="AE397" i="5"/>
  <c r="J397" i="5"/>
  <c r="AD397" i="5"/>
  <c r="F397" i="5"/>
  <c r="D396" i="6"/>
  <c r="L396" i="12"/>
  <c r="J396" i="12"/>
  <c r="H395" i="6"/>
  <c r="T395" i="5" s="1"/>
  <c r="G395" i="12" s="1"/>
  <c r="BD394" i="6" l="1"/>
  <c r="CK394" i="6"/>
  <c r="CG394" i="6"/>
  <c r="BS394" i="6"/>
  <c r="BE394" i="6"/>
  <c r="CA394" i="6"/>
  <c r="CB394" i="6"/>
  <c r="BW394" i="6"/>
  <c r="BX394" i="6"/>
  <c r="BJ394" i="6"/>
  <c r="BR394" i="6"/>
  <c r="BZ394" i="6"/>
  <c r="BQ394" i="6"/>
  <c r="BH394" i="6"/>
  <c r="CJ394" i="6"/>
  <c r="BC394" i="6"/>
  <c r="BP394" i="6"/>
  <c r="CC394" i="6"/>
  <c r="CF394" i="6"/>
  <c r="CI394" i="6"/>
  <c r="BK394" i="6"/>
  <c r="BY394" i="6"/>
  <c r="BL394" i="6"/>
  <c r="CM394" i="6"/>
  <c r="BO394" i="6"/>
  <c r="M395" i="6"/>
  <c r="BZ395" i="6" s="1"/>
  <c r="BF394" i="6"/>
  <c r="CD394" i="6"/>
  <c r="BN394" i="6"/>
  <c r="CH394" i="6"/>
  <c r="CE394" i="6"/>
  <c r="BV394" i="6"/>
  <c r="BI394" i="6"/>
  <c r="CL394" i="6"/>
  <c r="BM394" i="6"/>
  <c r="BT394" i="6"/>
  <c r="A396" i="6"/>
  <c r="M396" i="6" s="1"/>
  <c r="BH396" i="6" s="1"/>
  <c r="K396" i="12"/>
  <c r="H396" i="6"/>
  <c r="T396" i="5" s="1"/>
  <c r="G396" i="12" s="1"/>
  <c r="A398" i="12"/>
  <c r="E398" i="5"/>
  <c r="B398" i="6"/>
  <c r="B398" i="5"/>
  <c r="C399" i="5"/>
  <c r="D398" i="5"/>
  <c r="B398" i="12" s="1"/>
  <c r="G398" i="5"/>
  <c r="N398" i="5"/>
  <c r="AE398" i="5"/>
  <c r="K398" i="5"/>
  <c r="AD398" i="5"/>
  <c r="J398" i="5"/>
  <c r="H398" i="5"/>
  <c r="F398" i="5"/>
  <c r="D397" i="6"/>
  <c r="L397" i="12"/>
  <c r="J397" i="12"/>
  <c r="BE395" i="6" l="1"/>
  <c r="BK395" i="6"/>
  <c r="BW395" i="6"/>
  <c r="CB395" i="6"/>
  <c r="CG395" i="6"/>
  <c r="BI395" i="6"/>
  <c r="CH395" i="6"/>
  <c r="CI395" i="6"/>
  <c r="BN395" i="6"/>
  <c r="BF395" i="6"/>
  <c r="BQ395" i="6"/>
  <c r="BG395" i="6"/>
  <c r="BP395" i="6"/>
  <c r="CF395" i="6"/>
  <c r="CE395" i="6"/>
  <c r="CD395" i="6"/>
  <c r="CM395" i="6"/>
  <c r="BT395" i="6"/>
  <c r="BD395" i="6"/>
  <c r="BY395" i="6"/>
  <c r="CL395" i="6"/>
  <c r="CK395" i="6"/>
  <c r="BH395" i="6"/>
  <c r="BX395" i="6"/>
  <c r="BS395" i="6"/>
  <c r="CA395" i="6"/>
  <c r="BV395" i="6"/>
  <c r="CC395" i="6"/>
  <c r="BJ395" i="6"/>
  <c r="BL395" i="6"/>
  <c r="CJ395" i="6"/>
  <c r="BO395" i="6"/>
  <c r="BR395" i="6"/>
  <c r="BC395" i="6"/>
  <c r="BM395" i="6"/>
  <c r="N396" i="6"/>
  <c r="BQ396" i="6"/>
  <c r="BR396" i="6"/>
  <c r="BS396" i="6"/>
  <c r="BT396" i="6"/>
  <c r="CG396" i="6"/>
  <c r="CH396" i="6"/>
  <c r="CI396" i="6"/>
  <c r="CM396" i="6"/>
  <c r="BM396" i="6"/>
  <c r="CJ396" i="6"/>
  <c r="A397" i="6"/>
  <c r="N397" i="6" s="1"/>
  <c r="BN396" i="6"/>
  <c r="CK396" i="6"/>
  <c r="BO396" i="6"/>
  <c r="CL396" i="6"/>
  <c r="BP396" i="6"/>
  <c r="CF396" i="6"/>
  <c r="K397" i="12"/>
  <c r="BX396" i="6"/>
  <c r="CD396" i="6"/>
  <c r="CC396" i="6"/>
  <c r="BD396" i="6"/>
  <c r="BJ396" i="6"/>
  <c r="BE396" i="6"/>
  <c r="CE396" i="6"/>
  <c r="BF396" i="6"/>
  <c r="BI396" i="6"/>
  <c r="BZ396" i="6"/>
  <c r="CA396" i="6"/>
  <c r="A399" i="12"/>
  <c r="B399" i="6"/>
  <c r="AE399" i="5"/>
  <c r="K399" i="5"/>
  <c r="H399" i="5"/>
  <c r="C400" i="5"/>
  <c r="B399" i="5"/>
  <c r="N399" i="5"/>
  <c r="J399" i="5"/>
  <c r="AD399" i="5"/>
  <c r="E399" i="5"/>
  <c r="G399" i="5"/>
  <c r="F399" i="5"/>
  <c r="D399" i="5"/>
  <c r="B399" i="12" s="1"/>
  <c r="H397" i="6"/>
  <c r="T397" i="5" s="1"/>
  <c r="G397" i="12" s="1"/>
  <c r="BC396" i="6"/>
  <c r="BK396" i="6"/>
  <c r="L398" i="12"/>
  <c r="J398" i="12"/>
  <c r="D398" i="6"/>
  <c r="BL396" i="6"/>
  <c r="BG396" i="6"/>
  <c r="BV396" i="6"/>
  <c r="BW396" i="6"/>
  <c r="CB396" i="6"/>
  <c r="BY396" i="6"/>
  <c r="M397" i="6" l="1"/>
  <c r="BJ397" i="6" s="1"/>
  <c r="A398" i="6"/>
  <c r="N398" i="6" s="1"/>
  <c r="K398" i="12"/>
  <c r="B400" i="6"/>
  <c r="A400" i="12"/>
  <c r="G400" i="5"/>
  <c r="E400" i="5"/>
  <c r="B400" i="5"/>
  <c r="C401" i="5"/>
  <c r="N400" i="5"/>
  <c r="K400" i="5"/>
  <c r="AE400" i="5"/>
  <c r="J400" i="5"/>
  <c r="AD400" i="5"/>
  <c r="F400" i="5"/>
  <c r="H400" i="5"/>
  <c r="D400" i="5"/>
  <c r="B400" i="12" s="1"/>
  <c r="H398" i="6"/>
  <c r="T398" i="5" s="1"/>
  <c r="G398" i="12" s="1"/>
  <c r="L399" i="12"/>
  <c r="J399" i="12"/>
  <c r="D399" i="6"/>
  <c r="BS397" i="6" l="1"/>
  <c r="BY397" i="6"/>
  <c r="BG397" i="6"/>
  <c r="BQ397" i="6"/>
  <c r="CJ397" i="6"/>
  <c r="BP397" i="6"/>
  <c r="BR397" i="6"/>
  <c r="BZ397" i="6"/>
  <c r="CI397" i="6"/>
  <c r="BI397" i="6"/>
  <c r="BW397" i="6"/>
  <c r="BL397" i="6"/>
  <c r="BO397" i="6"/>
  <c r="CB397" i="6"/>
  <c r="BD397" i="6"/>
  <c r="CC397" i="6"/>
  <c r="CG397" i="6"/>
  <c r="CH397" i="6"/>
  <c r="BE397" i="6"/>
  <c r="BV397" i="6"/>
  <c r="CE397" i="6"/>
  <c r="CL397" i="6"/>
  <c r="CF397" i="6"/>
  <c r="CA397" i="6"/>
  <c r="BX397" i="6"/>
  <c r="BH397" i="6"/>
  <c r="CM397" i="6"/>
  <c r="CK397" i="6"/>
  <c r="CD397" i="6"/>
  <c r="BK397" i="6"/>
  <c r="BF397" i="6"/>
  <c r="BC397" i="6"/>
  <c r="BT397" i="6"/>
  <c r="BM397" i="6"/>
  <c r="BN397" i="6"/>
  <c r="M398" i="6"/>
  <c r="BG398" i="6" s="1"/>
  <c r="A399" i="6"/>
  <c r="N399" i="6" s="1"/>
  <c r="L400" i="12"/>
  <c r="J400" i="12"/>
  <c r="H399" i="6"/>
  <c r="T399" i="5" s="1"/>
  <c r="G399" i="12" s="1"/>
  <c r="D400" i="6"/>
  <c r="A401" i="12"/>
  <c r="AE401" i="5"/>
  <c r="N401" i="5"/>
  <c r="K401" i="5"/>
  <c r="H401" i="5"/>
  <c r="B401" i="6"/>
  <c r="G401" i="5"/>
  <c r="D401" i="5"/>
  <c r="B401" i="12" s="1"/>
  <c r="F401" i="5"/>
  <c r="B401" i="5"/>
  <c r="J401" i="5"/>
  <c r="AD401" i="5"/>
  <c r="E401" i="5"/>
  <c r="K399" i="12"/>
  <c r="CC398" i="6" l="1"/>
  <c r="BQ398" i="6"/>
  <c r="CJ398" i="6"/>
  <c r="BD398" i="6"/>
  <c r="BJ398" i="6"/>
  <c r="CI398" i="6"/>
  <c r="BT398" i="6"/>
  <c r="CB398" i="6"/>
  <c r="CE398" i="6"/>
  <c r="CD398" i="6"/>
  <c r="BY398" i="6"/>
  <c r="CH398" i="6"/>
  <c r="CG398" i="6"/>
  <c r="CA398" i="6"/>
  <c r="BZ398" i="6"/>
  <c r="BI398" i="6"/>
  <c r="BV398" i="6"/>
  <c r="BE398" i="6"/>
  <c r="CF398" i="6"/>
  <c r="BL398" i="6"/>
  <c r="BS398" i="6"/>
  <c r="BC398" i="6"/>
  <c r="BX398" i="6"/>
  <c r="BW398" i="6"/>
  <c r="BN398" i="6"/>
  <c r="CK398" i="6"/>
  <c r="CM398" i="6"/>
  <c r="BK398" i="6"/>
  <c r="BH398" i="6"/>
  <c r="BF398" i="6"/>
  <c r="BM398" i="6"/>
  <c r="BP398" i="6"/>
  <c r="M399" i="6"/>
  <c r="BJ399" i="6" s="1"/>
  <c r="BO398" i="6"/>
  <c r="CL398" i="6"/>
  <c r="BR398" i="6"/>
  <c r="A400" i="6"/>
  <c r="N400" i="6" s="1"/>
  <c r="K400" i="12"/>
  <c r="D401" i="6"/>
  <c r="H400" i="6"/>
  <c r="T400" i="5" s="1"/>
  <c r="G400" i="12" s="1"/>
  <c r="J401" i="12"/>
  <c r="L401" i="12"/>
  <c r="CE399" i="6" l="1"/>
  <c r="BY399" i="6"/>
  <c r="BC399" i="6"/>
  <c r="BH399" i="6"/>
  <c r="BF399" i="6"/>
  <c r="CK399" i="6"/>
  <c r="CD399" i="6"/>
  <c r="BV399" i="6"/>
  <c r="BZ399" i="6"/>
  <c r="CH399" i="6"/>
  <c r="CL399" i="6"/>
  <c r="BD399" i="6"/>
  <c r="BR399" i="6"/>
  <c r="CA399" i="6"/>
  <c r="CB399" i="6"/>
  <c r="BQ399" i="6"/>
  <c r="CJ399" i="6"/>
  <c r="BI399" i="6"/>
  <c r="BG399" i="6"/>
  <c r="CF399" i="6"/>
  <c r="BT399" i="6"/>
  <c r="CI399" i="6"/>
  <c r="BN399" i="6"/>
  <c r="BE399" i="6"/>
  <c r="BM399" i="6"/>
  <c r="CM399" i="6"/>
  <c r="CG399" i="6"/>
  <c r="BW399" i="6"/>
  <c r="BL399" i="6"/>
  <c r="BP399" i="6"/>
  <c r="BX399" i="6"/>
  <c r="CC399" i="6"/>
  <c r="BK399" i="6"/>
  <c r="BO399" i="6"/>
  <c r="BS399" i="6"/>
  <c r="M400" i="6"/>
  <c r="BH400" i="6" s="1"/>
  <c r="A401" i="6"/>
  <c r="N401" i="6" s="1"/>
  <c r="C402" i="5"/>
  <c r="H401" i="6"/>
  <c r="T401" i="5" s="1"/>
  <c r="G401" i="12" s="1"/>
  <c r="K401" i="12"/>
  <c r="AF402" i="5"/>
  <c r="M401" i="6" l="1"/>
  <c r="BC401" i="6" s="1"/>
  <c r="CG400" i="6"/>
  <c r="BS400" i="6"/>
  <c r="CM400" i="6"/>
  <c r="BL400" i="6"/>
  <c r="BR400" i="6"/>
  <c r="BK400" i="6"/>
  <c r="BV400" i="6"/>
  <c r="CK400" i="6"/>
  <c r="BT400" i="6"/>
  <c r="BY400" i="6"/>
  <c r="BI400" i="6"/>
  <c r="CJ400" i="6"/>
  <c r="CB400" i="6"/>
  <c r="BG400" i="6"/>
  <c r="CD400" i="6"/>
  <c r="BF400" i="6"/>
  <c r="BQ400" i="6"/>
  <c r="BD400" i="6"/>
  <c r="BX400" i="6"/>
  <c r="BP400" i="6"/>
  <c r="BJ400" i="6"/>
  <c r="CI400" i="6"/>
  <c r="BW400" i="6"/>
  <c r="CC400" i="6"/>
  <c r="BE400" i="6"/>
  <c r="CE400" i="6"/>
  <c r="BC400" i="6"/>
  <c r="CF400" i="6"/>
  <c r="BZ400" i="6"/>
  <c r="CL400" i="6"/>
  <c r="CA400" i="6"/>
  <c r="BN400" i="6"/>
  <c r="BO400" i="6"/>
  <c r="CH400" i="6"/>
  <c r="BM400" i="6"/>
  <c r="S402" i="5"/>
  <c r="F402" i="12" s="1"/>
  <c r="AG402" i="5"/>
  <c r="A402" i="12"/>
  <c r="C403" i="5"/>
  <c r="G402" i="5"/>
  <c r="B402" i="6"/>
  <c r="A402" i="6" s="1"/>
  <c r="E402" i="5"/>
  <c r="B402" i="5"/>
  <c r="AE402" i="5"/>
  <c r="N402" i="5"/>
  <c r="W402" i="5"/>
  <c r="H402" i="12" s="1"/>
  <c r="H402" i="5"/>
  <c r="F402" i="5"/>
  <c r="AD402" i="5"/>
  <c r="K349" i="5"/>
  <c r="K319" i="5"/>
  <c r="K316" i="5"/>
  <c r="K293" i="5"/>
  <c r="K285" i="5"/>
  <c r="K247" i="5"/>
  <c r="CA401" i="6" l="1"/>
  <c r="CC401" i="6"/>
  <c r="BO401" i="6"/>
  <c r="BP401" i="6"/>
  <c r="BW401" i="6"/>
  <c r="BY401" i="6"/>
  <c r="BN401" i="6"/>
  <c r="BD401" i="6"/>
  <c r="BM401" i="6"/>
  <c r="BE401" i="6"/>
  <c r="CD401" i="6"/>
  <c r="CM401" i="6"/>
  <c r="BH401" i="6"/>
  <c r="BL401" i="6"/>
  <c r="BI401" i="6"/>
  <c r="BT401" i="6"/>
  <c r="BG401" i="6"/>
  <c r="BX401" i="6"/>
  <c r="CL401" i="6"/>
  <c r="BK401" i="6"/>
  <c r="BJ401" i="6"/>
  <c r="BS401" i="6"/>
  <c r="CH401" i="6"/>
  <c r="BZ401" i="6"/>
  <c r="BV401" i="6"/>
  <c r="CJ401" i="6"/>
  <c r="CE401" i="6"/>
  <c r="CG401" i="6"/>
  <c r="BQ401" i="6"/>
  <c r="CB401" i="6"/>
  <c r="CF401" i="6"/>
  <c r="CI401" i="6"/>
  <c r="BF401" i="6"/>
  <c r="CK401" i="6"/>
  <c r="BR401" i="6"/>
  <c r="U402" i="5"/>
  <c r="AN402" i="5" s="1"/>
  <c r="F402" i="6"/>
  <c r="E402" i="12"/>
  <c r="A403" i="12"/>
  <c r="B403" i="6"/>
  <c r="AE403" i="5"/>
  <c r="N403" i="5"/>
  <c r="K403" i="5"/>
  <c r="J403" i="5"/>
  <c r="C404" i="5"/>
  <c r="H403" i="5"/>
  <c r="G403" i="5"/>
  <c r="F403" i="5"/>
  <c r="E403" i="5"/>
  <c r="D403" i="5"/>
  <c r="B403" i="12" s="1"/>
  <c r="B403" i="5"/>
  <c r="AD403" i="5"/>
  <c r="D402" i="6"/>
  <c r="CF402" i="6" l="1"/>
  <c r="CM402" i="6"/>
  <c r="CL402" i="6"/>
  <c r="CK402" i="6"/>
  <c r="CJ402" i="6"/>
  <c r="CH402" i="6"/>
  <c r="CI402" i="6"/>
  <c r="CG402" i="6"/>
  <c r="BT402" i="6"/>
  <c r="BS402" i="6"/>
  <c r="BR402" i="6"/>
  <c r="BQ402" i="6"/>
  <c r="BP402" i="6"/>
  <c r="BO402" i="6"/>
  <c r="BN402" i="6"/>
  <c r="BM402" i="6"/>
  <c r="B404" i="6"/>
  <c r="A404" i="12"/>
  <c r="C405" i="5"/>
  <c r="G404" i="5"/>
  <c r="F404" i="5"/>
  <c r="E404" i="5"/>
  <c r="D404" i="5"/>
  <c r="B404" i="12" s="1"/>
  <c r="B404" i="5"/>
  <c r="AE404" i="5"/>
  <c r="N404" i="5"/>
  <c r="H404" i="5"/>
  <c r="K404" i="5"/>
  <c r="AD404" i="5"/>
  <c r="J404" i="5"/>
  <c r="D403" i="6"/>
  <c r="N402" i="6"/>
  <c r="M402" i="6"/>
  <c r="BE402" i="6" s="1"/>
  <c r="H402" i="6"/>
  <c r="T402" i="5" s="1"/>
  <c r="G402" i="12" s="1"/>
  <c r="G402" i="6"/>
  <c r="L403" i="12"/>
  <c r="J403" i="12"/>
  <c r="AT402" i="6" l="1"/>
  <c r="AU402" i="6"/>
  <c r="AW402" i="6"/>
  <c r="AX402" i="6"/>
  <c r="AY402" i="6"/>
  <c r="AZ402" i="6"/>
  <c r="BA402" i="6"/>
  <c r="AV402" i="6"/>
  <c r="A403" i="6"/>
  <c r="M403" i="6" s="1"/>
  <c r="BK403" i="6" s="1"/>
  <c r="CD402" i="6"/>
  <c r="AS402" i="6"/>
  <c r="BF402" i="6"/>
  <c r="CC402" i="6"/>
  <c r="BV402" i="6"/>
  <c r="BL402" i="6"/>
  <c r="BZ402" i="6"/>
  <c r="AK402" i="6"/>
  <c r="CE402" i="6"/>
  <c r="BW402" i="6"/>
  <c r="CA402" i="6"/>
  <c r="K403" i="12"/>
  <c r="AM402" i="6"/>
  <c r="BC402" i="6"/>
  <c r="H403" i="6"/>
  <c r="T403" i="5" s="1"/>
  <c r="G403" i="12" s="1"/>
  <c r="AN402" i="6"/>
  <c r="AL402" i="6"/>
  <c r="BX402" i="6"/>
  <c r="D404" i="6"/>
  <c r="AO402" i="6"/>
  <c r="BG402" i="6"/>
  <c r="A405" i="12"/>
  <c r="AE405" i="5"/>
  <c r="N405" i="5"/>
  <c r="AD405" i="5"/>
  <c r="K405" i="5"/>
  <c r="J405" i="5"/>
  <c r="B405" i="6"/>
  <c r="H405" i="5"/>
  <c r="G405" i="5"/>
  <c r="F405" i="5"/>
  <c r="E405" i="5"/>
  <c r="D405" i="5"/>
  <c r="B405" i="12" s="1"/>
  <c r="B405" i="5"/>
  <c r="C406" i="5"/>
  <c r="AR402" i="6"/>
  <c r="CB402" i="6"/>
  <c r="BD402" i="6"/>
  <c r="L404" i="12"/>
  <c r="J404" i="12"/>
  <c r="BH402" i="6"/>
  <c r="AP402" i="6"/>
  <c r="BY402" i="6"/>
  <c r="BI402" i="6"/>
  <c r="BK402" i="6"/>
  <c r="AJ402" i="6"/>
  <c r="BJ402" i="6"/>
  <c r="AQ402" i="6"/>
  <c r="N403" i="6" l="1"/>
  <c r="BS403" i="6"/>
  <c r="BT403" i="6"/>
  <c r="CM403" i="6"/>
  <c r="CK403" i="6"/>
  <c r="BN403" i="6"/>
  <c r="CG403" i="6"/>
  <c r="CL403" i="6"/>
  <c r="CF403" i="6"/>
  <c r="BM403" i="6"/>
  <c r="CH403" i="6"/>
  <c r="A404" i="6"/>
  <c r="M404" i="6" s="1"/>
  <c r="BH404" i="6" s="1"/>
  <c r="BO403" i="6"/>
  <c r="CI403" i="6"/>
  <c r="BP403" i="6"/>
  <c r="CJ403" i="6"/>
  <c r="BQ403" i="6"/>
  <c r="BR403" i="6"/>
  <c r="BE403" i="6"/>
  <c r="BF403" i="6"/>
  <c r="BY403" i="6"/>
  <c r="CA403" i="6"/>
  <c r="CD403" i="6"/>
  <c r="BL403" i="6"/>
  <c r="BI403" i="6"/>
  <c r="K404" i="12"/>
  <c r="BZ403" i="6"/>
  <c r="CB403" i="6"/>
  <c r="BH403" i="6"/>
  <c r="H404" i="6"/>
  <c r="T404" i="5" s="1"/>
  <c r="G404" i="12" s="1"/>
  <c r="CC403" i="6"/>
  <c r="BV403" i="6"/>
  <c r="D405" i="6"/>
  <c r="J405" i="12"/>
  <c r="L405" i="12"/>
  <c r="BW403" i="6"/>
  <c r="BC403" i="6"/>
  <c r="BJ403" i="6"/>
  <c r="BX403" i="6"/>
  <c r="CE403" i="6"/>
  <c r="E406" i="5"/>
  <c r="J406" i="5"/>
  <c r="A406" i="12"/>
  <c r="C407" i="5"/>
  <c r="B406" i="6"/>
  <c r="D406" i="5"/>
  <c r="B406" i="12" s="1"/>
  <c r="H406" i="5"/>
  <c r="G406" i="5"/>
  <c r="B406" i="5"/>
  <c r="F406" i="5"/>
  <c r="AE406" i="5"/>
  <c r="AD406" i="5"/>
  <c r="N406" i="5"/>
  <c r="K406" i="5"/>
  <c r="BD403" i="6"/>
  <c r="BG403" i="6"/>
  <c r="N404" i="6" l="1"/>
  <c r="BM404" i="6"/>
  <c r="BN404" i="6"/>
  <c r="BO404" i="6"/>
  <c r="BR404" i="6"/>
  <c r="BP404" i="6"/>
  <c r="CK404" i="6"/>
  <c r="CF404" i="6"/>
  <c r="CG404" i="6"/>
  <c r="CH404" i="6"/>
  <c r="CI404" i="6"/>
  <c r="BQ404" i="6"/>
  <c r="CJ404" i="6"/>
  <c r="A405" i="6"/>
  <c r="N405" i="6" s="1"/>
  <c r="BS404" i="6"/>
  <c r="CL404" i="6"/>
  <c r="BT404" i="6"/>
  <c r="CM404" i="6"/>
  <c r="BW404" i="6"/>
  <c r="BK404" i="6"/>
  <c r="CE404" i="6"/>
  <c r="BY404" i="6"/>
  <c r="BI404" i="6"/>
  <c r="CD404" i="6"/>
  <c r="BE404" i="6"/>
  <c r="BZ404" i="6"/>
  <c r="BF404" i="6"/>
  <c r="CA404" i="6"/>
  <c r="BL404" i="6"/>
  <c r="CC404" i="6"/>
  <c r="BJ404" i="6"/>
  <c r="BC404" i="6"/>
  <c r="BG404" i="6"/>
  <c r="AD407" i="5"/>
  <c r="D407" i="5"/>
  <c r="B407" i="12" s="1"/>
  <c r="F407" i="5"/>
  <c r="A407" i="12"/>
  <c r="B407" i="6"/>
  <c r="B407" i="5"/>
  <c r="J407" i="5"/>
  <c r="AE407" i="5"/>
  <c r="C408" i="5"/>
  <c r="N407" i="5"/>
  <c r="H407" i="5"/>
  <c r="G407" i="5"/>
  <c r="K407" i="5"/>
  <c r="E407" i="5"/>
  <c r="BX404" i="6"/>
  <c r="CB404" i="6"/>
  <c r="D406" i="6"/>
  <c r="J406" i="12"/>
  <c r="L406" i="12"/>
  <c r="K405" i="12"/>
  <c r="H405" i="6"/>
  <c r="T405" i="5" s="1"/>
  <c r="G405" i="12" s="1"/>
  <c r="BV404" i="6"/>
  <c r="BD404" i="6"/>
  <c r="M405" i="6" l="1"/>
  <c r="BF405" i="6" s="1"/>
  <c r="A406" i="6"/>
  <c r="N406" i="6" s="1"/>
  <c r="K406" i="12"/>
  <c r="L407" i="12"/>
  <c r="J407" i="12"/>
  <c r="H406" i="6"/>
  <c r="T406" i="5" s="1"/>
  <c r="G406" i="12" s="1"/>
  <c r="D407" i="6"/>
  <c r="B408" i="5"/>
  <c r="J408" i="5"/>
  <c r="F408" i="5"/>
  <c r="AE408" i="5"/>
  <c r="D408" i="5"/>
  <c r="B408" i="12" s="1"/>
  <c r="N408" i="5"/>
  <c r="E408" i="5"/>
  <c r="AD408" i="5"/>
  <c r="K408" i="5"/>
  <c r="A408" i="12"/>
  <c r="C409" i="5"/>
  <c r="B408" i="6"/>
  <c r="H408" i="5"/>
  <c r="G408" i="5"/>
  <c r="BK405" i="6" l="1"/>
  <c r="CG405" i="6"/>
  <c r="CE405" i="6"/>
  <c r="BS405" i="6"/>
  <c r="CA405" i="6"/>
  <c r="BJ405" i="6"/>
  <c r="BQ405" i="6"/>
  <c r="BZ405" i="6"/>
  <c r="BC405" i="6"/>
  <c r="CB405" i="6"/>
  <c r="BR405" i="6"/>
  <c r="CC405" i="6"/>
  <c r="BP405" i="6"/>
  <c r="BT405" i="6"/>
  <c r="BH405" i="6"/>
  <c r="BX405" i="6"/>
  <c r="CK405" i="6"/>
  <c r="BO405" i="6"/>
  <c r="BD405" i="6"/>
  <c r="BI405" i="6"/>
  <c r="BM405" i="6"/>
  <c r="BN405" i="6"/>
  <c r="CI405" i="6"/>
  <c r="CF405" i="6"/>
  <c r="BY405" i="6"/>
  <c r="BG405" i="6"/>
  <c r="BW405" i="6"/>
  <c r="BE405" i="6"/>
  <c r="BL405" i="6"/>
  <c r="CJ405" i="6"/>
  <c r="CM405" i="6"/>
  <c r="CD405" i="6"/>
  <c r="BV405" i="6"/>
  <c r="CH405" i="6"/>
  <c r="CL405" i="6"/>
  <c r="M406" i="6"/>
  <c r="BY406" i="6" s="1"/>
  <c r="A407" i="6"/>
  <c r="M407" i="6" s="1"/>
  <c r="BJ407" i="6" s="1"/>
  <c r="K407" i="12"/>
  <c r="F409" i="5"/>
  <c r="E409" i="5"/>
  <c r="D409" i="5"/>
  <c r="B409" i="12" s="1"/>
  <c r="A409" i="12"/>
  <c r="B409" i="5"/>
  <c r="B409" i="6"/>
  <c r="K409" i="5"/>
  <c r="AE409" i="5"/>
  <c r="C410" i="5"/>
  <c r="H409" i="5"/>
  <c r="J409" i="5"/>
  <c r="AD409" i="5"/>
  <c r="N409" i="5"/>
  <c r="G409" i="5"/>
  <c r="J408" i="12"/>
  <c r="L408" i="12"/>
  <c r="H407" i="6"/>
  <c r="T407" i="5" s="1"/>
  <c r="G407" i="12" s="1"/>
  <c r="D408" i="6"/>
  <c r="BE406" i="6" l="1"/>
  <c r="CI406" i="6"/>
  <c r="CA406" i="6"/>
  <c r="CB406" i="6"/>
  <c r="CH406" i="6"/>
  <c r="BX406" i="6"/>
  <c r="BK406" i="6"/>
  <c r="BV406" i="6"/>
  <c r="BM406" i="6"/>
  <c r="CF406" i="6"/>
  <c r="BO406" i="6"/>
  <c r="BW406" i="6"/>
  <c r="CE406" i="6"/>
  <c r="CL406" i="6"/>
  <c r="BS406" i="6"/>
  <c r="CM406" i="6"/>
  <c r="CD406" i="6"/>
  <c r="BL406" i="6"/>
  <c r="BR406" i="6"/>
  <c r="BN406" i="6"/>
  <c r="BI406" i="6"/>
  <c r="BQ406" i="6"/>
  <c r="CG406" i="6"/>
  <c r="BZ406" i="6"/>
  <c r="BD406" i="6"/>
  <c r="CC406" i="6"/>
  <c r="CJ406" i="6"/>
  <c r="BT406" i="6"/>
  <c r="BH406" i="6"/>
  <c r="BC406" i="6"/>
  <c r="BJ406" i="6"/>
  <c r="BF406" i="6"/>
  <c r="BG406" i="6"/>
  <c r="BP406" i="6"/>
  <c r="CK406" i="6"/>
  <c r="N407" i="6"/>
  <c r="BN407" i="6"/>
  <c r="BO407" i="6"/>
  <c r="BP407" i="6"/>
  <c r="CK407" i="6"/>
  <c r="CF407" i="6"/>
  <c r="CG407" i="6"/>
  <c r="BR407" i="6"/>
  <c r="CH407" i="6"/>
  <c r="CI407" i="6"/>
  <c r="BQ407" i="6"/>
  <c r="CJ407" i="6"/>
  <c r="A408" i="6"/>
  <c r="M408" i="6" s="1"/>
  <c r="CB408" i="6" s="1"/>
  <c r="BS407" i="6"/>
  <c r="CL407" i="6"/>
  <c r="BT407" i="6"/>
  <c r="CM407" i="6"/>
  <c r="BM407" i="6"/>
  <c r="CB407" i="6"/>
  <c r="CC407" i="6"/>
  <c r="BZ407" i="6"/>
  <c r="BG407" i="6"/>
  <c r="BD407" i="6"/>
  <c r="BX407" i="6"/>
  <c r="BI407" i="6"/>
  <c r="BC407" i="6"/>
  <c r="BV407" i="6"/>
  <c r="BW407" i="6"/>
  <c r="BE407" i="6"/>
  <c r="L409" i="12"/>
  <c r="J409" i="12"/>
  <c r="H408" i="6"/>
  <c r="T408" i="5" s="1"/>
  <c r="G408" i="12" s="1"/>
  <c r="BL407" i="6"/>
  <c r="BK407" i="6"/>
  <c r="D409" i="6"/>
  <c r="K408" i="12"/>
  <c r="BH407" i="6"/>
  <c r="CA407" i="6"/>
  <c r="BF407" i="6"/>
  <c r="CD407" i="6"/>
  <c r="AE410" i="5"/>
  <c r="N410" i="5"/>
  <c r="G410" i="5"/>
  <c r="AD410" i="5"/>
  <c r="K410" i="5"/>
  <c r="B410" i="5"/>
  <c r="F410" i="5"/>
  <c r="J410" i="5"/>
  <c r="A410" i="12"/>
  <c r="E410" i="5"/>
  <c r="B410" i="6"/>
  <c r="C411" i="5"/>
  <c r="D410" i="5"/>
  <c r="B410" i="12" s="1"/>
  <c r="H410" i="5"/>
  <c r="CE407" i="6"/>
  <c r="BY407" i="6"/>
  <c r="N408" i="6" l="1"/>
  <c r="CG408" i="6"/>
  <c r="CI408" i="6"/>
  <c r="CH408" i="6"/>
  <c r="CJ408" i="6"/>
  <c r="BM408" i="6"/>
  <c r="CK408" i="6"/>
  <c r="BN408" i="6"/>
  <c r="CL408" i="6"/>
  <c r="BO408" i="6"/>
  <c r="CM408" i="6"/>
  <c r="A409" i="6"/>
  <c r="M409" i="6" s="1"/>
  <c r="BW409" i="6" s="1"/>
  <c r="BP408" i="6"/>
  <c r="CF408" i="6"/>
  <c r="BQ408" i="6"/>
  <c r="BR408" i="6"/>
  <c r="BS408" i="6"/>
  <c r="BT408" i="6"/>
  <c r="CC408" i="6"/>
  <c r="BL408" i="6"/>
  <c r="BX408" i="6"/>
  <c r="BG408" i="6"/>
  <c r="BJ408" i="6"/>
  <c r="BD408" i="6"/>
  <c r="CA408" i="6"/>
  <c r="BY408" i="6"/>
  <c r="BK408" i="6"/>
  <c r="BC408" i="6"/>
  <c r="BV408" i="6"/>
  <c r="BE408" i="6"/>
  <c r="K411" i="5"/>
  <c r="D411" i="5"/>
  <c r="B411" i="12" s="1"/>
  <c r="J411" i="5"/>
  <c r="AE411" i="5"/>
  <c r="G411" i="5"/>
  <c r="H411" i="5"/>
  <c r="C412" i="5"/>
  <c r="F411" i="5"/>
  <c r="N411" i="5"/>
  <c r="A411" i="12"/>
  <c r="B411" i="6"/>
  <c r="B411" i="5"/>
  <c r="E411" i="5"/>
  <c r="AD411" i="5"/>
  <c r="H409" i="6"/>
  <c r="T409" i="5" s="1"/>
  <c r="G409" i="12" s="1"/>
  <c r="L410" i="12"/>
  <c r="J410" i="12"/>
  <c r="CD408" i="6"/>
  <c r="BZ408" i="6"/>
  <c r="BI408" i="6"/>
  <c r="K409" i="12"/>
  <c r="CE408" i="6"/>
  <c r="D410" i="6"/>
  <c r="BH408" i="6"/>
  <c r="BF408" i="6"/>
  <c r="BW408" i="6"/>
  <c r="N409" i="6" l="1"/>
  <c r="BT409" i="6"/>
  <c r="CM409" i="6"/>
  <c r="CK409" i="6"/>
  <c r="BN409" i="6"/>
  <c r="CG409" i="6"/>
  <c r="CL409" i="6"/>
  <c r="CF409" i="6"/>
  <c r="BM409" i="6"/>
  <c r="CH409" i="6"/>
  <c r="BO409" i="6"/>
  <c r="CI409" i="6"/>
  <c r="BP409" i="6"/>
  <c r="CJ409" i="6"/>
  <c r="BQ409" i="6"/>
  <c r="A410" i="6"/>
  <c r="N410" i="6" s="1"/>
  <c r="BR409" i="6"/>
  <c r="BS409" i="6"/>
  <c r="BG409" i="6"/>
  <c r="BH409" i="6"/>
  <c r="BK409" i="6"/>
  <c r="K410" i="12"/>
  <c r="BJ409" i="6"/>
  <c r="BY409" i="6"/>
  <c r="BZ409" i="6"/>
  <c r="BE409" i="6"/>
  <c r="BF409" i="6"/>
  <c r="CA409" i="6"/>
  <c r="CE409" i="6"/>
  <c r="CB409" i="6"/>
  <c r="BD409" i="6"/>
  <c r="BV409" i="6"/>
  <c r="BL409" i="6"/>
  <c r="BI409" i="6"/>
  <c r="L411" i="12"/>
  <c r="J411" i="12"/>
  <c r="D411" i="6"/>
  <c r="G412" i="5"/>
  <c r="K412" i="5"/>
  <c r="N412" i="5"/>
  <c r="AE412" i="5"/>
  <c r="AD412" i="5"/>
  <c r="C413" i="5"/>
  <c r="F412" i="5"/>
  <c r="E412" i="5"/>
  <c r="D412" i="5"/>
  <c r="B412" i="12" s="1"/>
  <c r="A412" i="12"/>
  <c r="B412" i="5"/>
  <c r="J412" i="5"/>
  <c r="H412" i="5"/>
  <c r="B412" i="6"/>
  <c r="H410" i="6"/>
  <c r="T410" i="5" s="1"/>
  <c r="G410" i="12" s="1"/>
  <c r="CC409" i="6"/>
  <c r="BC409" i="6"/>
  <c r="CD409" i="6"/>
  <c r="BX409" i="6"/>
  <c r="M410" i="6" l="1"/>
  <c r="CD410" i="6" s="1"/>
  <c r="A411" i="6"/>
  <c r="N411" i="6" s="1"/>
  <c r="H411" i="6"/>
  <c r="T411" i="5" s="1"/>
  <c r="G411" i="12" s="1"/>
  <c r="A413" i="12"/>
  <c r="J413" i="5"/>
  <c r="B413" i="5"/>
  <c r="H413" i="5"/>
  <c r="D413" i="5"/>
  <c r="B413" i="12" s="1"/>
  <c r="B413" i="6"/>
  <c r="C414" i="5"/>
  <c r="G413" i="5"/>
  <c r="K413" i="5"/>
  <c r="F413" i="5"/>
  <c r="E413" i="5"/>
  <c r="N413" i="5"/>
  <c r="AD413" i="5"/>
  <c r="AE413" i="5"/>
  <c r="D412" i="6"/>
  <c r="K411" i="12"/>
  <c r="L412" i="12"/>
  <c r="J412" i="12"/>
  <c r="CA410" i="6" l="1"/>
  <c r="BP410" i="6"/>
  <c r="BZ410" i="6"/>
  <c r="BC410" i="6"/>
  <c r="BX410" i="6"/>
  <c r="BO410" i="6"/>
  <c r="CE410" i="6"/>
  <c r="BN410" i="6"/>
  <c r="BY410" i="6"/>
  <c r="BF410" i="6"/>
  <c r="BM410" i="6"/>
  <c r="CC410" i="6"/>
  <c r="BJ410" i="6"/>
  <c r="CM410" i="6"/>
  <c r="BD410" i="6"/>
  <c r="CI410" i="6"/>
  <c r="BT410" i="6"/>
  <c r="CK410" i="6"/>
  <c r="BL410" i="6"/>
  <c r="BW410" i="6"/>
  <c r="BG410" i="6"/>
  <c r="CH410" i="6"/>
  <c r="CL410" i="6"/>
  <c r="BI410" i="6"/>
  <c r="BH410" i="6"/>
  <c r="BR410" i="6"/>
  <c r="BS410" i="6"/>
  <c r="CG410" i="6"/>
  <c r="CJ410" i="6"/>
  <c r="CB410" i="6"/>
  <c r="BE410" i="6"/>
  <c r="BV410" i="6"/>
  <c r="BK410" i="6"/>
  <c r="CF410" i="6"/>
  <c r="BQ410" i="6"/>
  <c r="M411" i="6"/>
  <c r="BC411" i="6" s="1"/>
  <c r="A412" i="6"/>
  <c r="M412" i="6" s="1"/>
  <c r="H412" i="6"/>
  <c r="T412" i="5" s="1"/>
  <c r="G412" i="12" s="1"/>
  <c r="D413" i="6"/>
  <c r="J413" i="12"/>
  <c r="L413" i="12"/>
  <c r="K412" i="12"/>
  <c r="AE414" i="5"/>
  <c r="AD414" i="5"/>
  <c r="G414" i="5"/>
  <c r="F414" i="5"/>
  <c r="B414" i="6"/>
  <c r="K414" i="5"/>
  <c r="B414" i="5"/>
  <c r="D414" i="5"/>
  <c r="B414" i="12" s="1"/>
  <c r="J414" i="5"/>
  <c r="N414" i="5"/>
  <c r="A414" i="12"/>
  <c r="H414" i="5"/>
  <c r="E414" i="5"/>
  <c r="BJ411" i="6" l="1"/>
  <c r="CE411" i="6"/>
  <c r="CG411" i="6"/>
  <c r="BT411" i="6"/>
  <c r="CI411" i="6"/>
  <c r="BZ411" i="6"/>
  <c r="BS411" i="6"/>
  <c r="CB411" i="6"/>
  <c r="BR411" i="6"/>
  <c r="BK411" i="6"/>
  <c r="BQ411" i="6"/>
  <c r="CD411" i="6"/>
  <c r="CF411" i="6"/>
  <c r="BV411" i="6"/>
  <c r="CK411" i="6"/>
  <c r="BP411" i="6"/>
  <c r="CA411" i="6"/>
  <c r="BF411" i="6"/>
  <c r="BW411" i="6"/>
  <c r="BM411" i="6"/>
  <c r="CM411" i="6"/>
  <c r="BE411" i="6"/>
  <c r="BL411" i="6"/>
  <c r="BI411" i="6"/>
  <c r="CJ411" i="6"/>
  <c r="BO411" i="6"/>
  <c r="CL411" i="6"/>
  <c r="BH411" i="6"/>
  <c r="BG411" i="6"/>
  <c r="BY411" i="6"/>
  <c r="BX411" i="6"/>
  <c r="CC411" i="6"/>
  <c r="BD411" i="6"/>
  <c r="CH411" i="6"/>
  <c r="BN411" i="6"/>
  <c r="CB412" i="6"/>
  <c r="CF412" i="6"/>
  <c r="CL412" i="6"/>
  <c r="BN412" i="6"/>
  <c r="CM412" i="6"/>
  <c r="CK412" i="6"/>
  <c r="CG412" i="6"/>
  <c r="BT412" i="6"/>
  <c r="BS412" i="6"/>
  <c r="BR412" i="6"/>
  <c r="BQ412" i="6"/>
  <c r="CJ412" i="6"/>
  <c r="BP412" i="6"/>
  <c r="CI412" i="6"/>
  <c r="BO412" i="6"/>
  <c r="CH412" i="6"/>
  <c r="BM412" i="6"/>
  <c r="A413" i="6"/>
  <c r="M413" i="6" s="1"/>
  <c r="N412" i="6"/>
  <c r="BF412" i="6"/>
  <c r="BJ412" i="6"/>
  <c r="BY412" i="6"/>
  <c r="CD412" i="6"/>
  <c r="BD412" i="6"/>
  <c r="BW412" i="6"/>
  <c r="BH412" i="6"/>
  <c r="CA412" i="6"/>
  <c r="BI412" i="6"/>
  <c r="H413" i="6"/>
  <c r="T413" i="5" s="1"/>
  <c r="G413" i="12" s="1"/>
  <c r="BV412" i="6"/>
  <c r="BZ412" i="6"/>
  <c r="BE412" i="6"/>
  <c r="BK412" i="6"/>
  <c r="J414" i="12"/>
  <c r="L414" i="12"/>
  <c r="D414" i="6"/>
  <c r="CC412" i="6"/>
  <c r="BC412" i="6"/>
  <c r="BG412" i="6"/>
  <c r="BL412" i="6"/>
  <c r="K413" i="12"/>
  <c r="CE412" i="6"/>
  <c r="BX412" i="6"/>
  <c r="BL413" i="6" l="1"/>
  <c r="CL413" i="6"/>
  <c r="BS413" i="6"/>
  <c r="CJ413" i="6"/>
  <c r="BQ413" i="6"/>
  <c r="CI413" i="6"/>
  <c r="CH413" i="6"/>
  <c r="BR413" i="6"/>
  <c r="CG413" i="6"/>
  <c r="CF413" i="6"/>
  <c r="CK413" i="6"/>
  <c r="BP413" i="6"/>
  <c r="BO413" i="6"/>
  <c r="BN413" i="6"/>
  <c r="BM413" i="6"/>
  <c r="CM413" i="6"/>
  <c r="BT413" i="6"/>
  <c r="A414" i="6"/>
  <c r="N414" i="6" s="1"/>
  <c r="N413" i="6"/>
  <c r="BX413" i="6"/>
  <c r="BH413" i="6"/>
  <c r="BC413" i="6"/>
  <c r="CC413" i="6"/>
  <c r="BV413" i="6"/>
  <c r="BI413" i="6"/>
  <c r="BJ413" i="6"/>
  <c r="BY413" i="6"/>
  <c r="BG413" i="6"/>
  <c r="CA413" i="6"/>
  <c r="BD413" i="6"/>
  <c r="BW413" i="6"/>
  <c r="BF413" i="6"/>
  <c r="BZ413" i="6"/>
  <c r="CB413" i="6"/>
  <c r="CD413" i="6"/>
  <c r="H414" i="6"/>
  <c r="T414" i="5" s="1"/>
  <c r="G414" i="12" s="1"/>
  <c r="BK413" i="6"/>
  <c r="CE413" i="6"/>
  <c r="BE413" i="6"/>
  <c r="K414" i="12"/>
  <c r="M414" i="6" l="1"/>
  <c r="BV414" i="6" s="1"/>
  <c r="C415" i="5"/>
  <c r="AF415" i="5"/>
  <c r="CL414" i="6" l="1"/>
  <c r="CC414" i="6"/>
  <c r="CA414" i="6"/>
  <c r="BE414" i="6"/>
  <c r="CK414" i="6"/>
  <c r="BF414" i="6"/>
  <c r="BM414" i="6"/>
  <c r="CJ414" i="6"/>
  <c r="BO414" i="6"/>
  <c r="BY414" i="6"/>
  <c r="BC414" i="6"/>
  <c r="BD414" i="6"/>
  <c r="CH414" i="6"/>
  <c r="BS414" i="6"/>
  <c r="BZ414" i="6"/>
  <c r="BG414" i="6"/>
  <c r="BL414" i="6"/>
  <c r="CI414" i="6"/>
  <c r="CE414" i="6"/>
  <c r="BN414" i="6"/>
  <c r="BK414" i="6"/>
  <c r="BW414" i="6"/>
  <c r="CB414" i="6"/>
  <c r="BJ414" i="6"/>
  <c r="BX414" i="6"/>
  <c r="CF414" i="6"/>
  <c r="CG414" i="6"/>
  <c r="BI414" i="6"/>
  <c r="BH414" i="6"/>
  <c r="CD414" i="6"/>
  <c r="BP414" i="6"/>
  <c r="BT414" i="6"/>
  <c r="CM414" i="6"/>
  <c r="BQ414" i="6"/>
  <c r="BR414" i="6"/>
  <c r="AG415" i="5"/>
  <c r="S415" i="5"/>
  <c r="F415" i="12" s="1"/>
  <c r="W415" i="5"/>
  <c r="H415" i="12" s="1"/>
  <c r="B415" i="5"/>
  <c r="C416" i="5"/>
  <c r="A415" i="12"/>
  <c r="F415" i="5"/>
  <c r="E415" i="5"/>
  <c r="N415" i="5"/>
  <c r="AE415" i="5"/>
  <c r="G415" i="5"/>
  <c r="H415" i="5"/>
  <c r="AD415" i="5"/>
  <c r="B415" i="6"/>
  <c r="U415" i="5" l="1"/>
  <c r="AN415" i="5" s="1"/>
  <c r="H416" i="5"/>
  <c r="AD416" i="5"/>
  <c r="G416" i="5"/>
  <c r="B416" i="6"/>
  <c r="E416" i="5"/>
  <c r="K416" i="5"/>
  <c r="B416" i="5"/>
  <c r="D416" i="5"/>
  <c r="B416" i="12" s="1"/>
  <c r="F416" i="5"/>
  <c r="C417" i="5"/>
  <c r="N416" i="5"/>
  <c r="A416" i="12"/>
  <c r="AE416" i="5"/>
  <c r="J416" i="5"/>
  <c r="D415" i="6"/>
  <c r="E415" i="12"/>
  <c r="F415" i="6"/>
  <c r="A415" i="6" l="1"/>
  <c r="CM415" i="6"/>
  <c r="CL415" i="6"/>
  <c r="CJ415" i="6"/>
  <c r="CI415" i="6"/>
  <c r="CH415" i="6"/>
  <c r="CG415" i="6"/>
  <c r="CF415" i="6"/>
  <c r="CK415" i="6"/>
  <c r="BP415" i="6"/>
  <c r="BO415" i="6"/>
  <c r="BN415" i="6"/>
  <c r="BM415" i="6"/>
  <c r="BT415" i="6"/>
  <c r="BS415" i="6"/>
  <c r="BQ415" i="6"/>
  <c r="BR415" i="6"/>
  <c r="L416" i="12"/>
  <c r="J416" i="12"/>
  <c r="D416" i="6"/>
  <c r="A417" i="12"/>
  <c r="J417" i="5"/>
  <c r="B417" i="5"/>
  <c r="C418" i="5" s="1"/>
  <c r="N417" i="5"/>
  <c r="G417" i="5"/>
  <c r="H417" i="5"/>
  <c r="E417" i="5"/>
  <c r="B417" i="6"/>
  <c r="D417" i="5"/>
  <c r="B417" i="12" s="1"/>
  <c r="K417" i="5"/>
  <c r="F417" i="5"/>
  <c r="AE417" i="5"/>
  <c r="AD417" i="5"/>
  <c r="H415" i="6"/>
  <c r="T415" i="5" s="1"/>
  <c r="G415" i="12" s="1"/>
  <c r="G415" i="6"/>
  <c r="N415" i="6"/>
  <c r="M415" i="6"/>
  <c r="CC415" i="6" s="1"/>
  <c r="AF418" i="5"/>
  <c r="AW415" i="6" l="1"/>
  <c r="AZ415" i="6"/>
  <c r="BA415" i="6"/>
  <c r="AX415" i="6"/>
  <c r="AY415" i="6"/>
  <c r="AT415" i="6"/>
  <c r="AU415" i="6"/>
  <c r="A416" i="6"/>
  <c r="N416" i="6" s="1"/>
  <c r="AV415" i="6"/>
  <c r="K416" i="12"/>
  <c r="BI415" i="6"/>
  <c r="AR415" i="6"/>
  <c r="AG418" i="5"/>
  <c r="S418" i="5"/>
  <c r="F418" i="12" s="1"/>
  <c r="AJ415" i="6"/>
  <c r="CB415" i="6"/>
  <c r="BK415" i="6"/>
  <c r="AO415" i="6"/>
  <c r="E418" i="5"/>
  <c r="A418" i="12"/>
  <c r="C419" i="5"/>
  <c r="W418" i="5"/>
  <c r="H418" i="12" s="1"/>
  <c r="B418" i="5"/>
  <c r="N418" i="5"/>
  <c r="H418" i="5"/>
  <c r="G418" i="5"/>
  <c r="F418" i="5"/>
  <c r="AE418" i="5"/>
  <c r="AD418" i="5"/>
  <c r="B418" i="6"/>
  <c r="L417" i="12"/>
  <c r="J417" i="12"/>
  <c r="BW415" i="6"/>
  <c r="BL415" i="6"/>
  <c r="BH415" i="6"/>
  <c r="AS415" i="6"/>
  <c r="BZ415" i="6"/>
  <c r="BE415" i="6"/>
  <c r="CE415" i="6"/>
  <c r="H416" i="6"/>
  <c r="T416" i="5" s="1"/>
  <c r="G416" i="12" s="1"/>
  <c r="BY415" i="6"/>
  <c r="BJ415" i="6"/>
  <c r="AM415" i="6"/>
  <c r="AL415" i="6"/>
  <c r="AP415" i="6"/>
  <c r="CD415" i="6"/>
  <c r="BC415" i="6"/>
  <c r="AQ415" i="6"/>
  <c r="BG415" i="6"/>
  <c r="AN415" i="6"/>
  <c r="BV415" i="6"/>
  <c r="BX415" i="6"/>
  <c r="CA415" i="6"/>
  <c r="D417" i="6"/>
  <c r="BF415" i="6"/>
  <c r="BD415" i="6"/>
  <c r="AK415" i="6"/>
  <c r="M416" i="6" l="1"/>
  <c r="BI416" i="6" s="1"/>
  <c r="A417" i="6"/>
  <c r="U418" i="5"/>
  <c r="AN418" i="5" s="1"/>
  <c r="K417" i="12"/>
  <c r="H417" i="6"/>
  <c r="T417" i="5" s="1"/>
  <c r="G417" i="12" s="1"/>
  <c r="C420" i="5"/>
  <c r="B419" i="6"/>
  <c r="J419" i="5"/>
  <c r="D419" i="5"/>
  <c r="B419" i="12" s="1"/>
  <c r="F419" i="5"/>
  <c r="E419" i="5"/>
  <c r="A419" i="12"/>
  <c r="H419" i="5"/>
  <c r="AD419" i="5"/>
  <c r="B419" i="5"/>
  <c r="G419" i="5"/>
  <c r="N419" i="5"/>
  <c r="AE419" i="5"/>
  <c r="K419" i="5"/>
  <c r="F418" i="6"/>
  <c r="E418" i="12"/>
  <c r="D418" i="6"/>
  <c r="M417" i="6" l="1"/>
  <c r="CA417" i="6" s="1"/>
  <c r="BJ416" i="6"/>
  <c r="BT416" i="6"/>
  <c r="BZ416" i="6"/>
  <c r="BH416" i="6"/>
  <c r="BS416" i="6"/>
  <c r="CG416" i="6"/>
  <c r="BX416" i="6"/>
  <c r="BR416" i="6"/>
  <c r="BE416" i="6"/>
  <c r="BC416" i="6"/>
  <c r="BQ416" i="6"/>
  <c r="BW416" i="6"/>
  <c r="CF416" i="6"/>
  <c r="CB416" i="6"/>
  <c r="BV416" i="6"/>
  <c r="BP416" i="6"/>
  <c r="CD416" i="6"/>
  <c r="CA416" i="6"/>
  <c r="CM416" i="6"/>
  <c r="BK416" i="6"/>
  <c r="CC416" i="6"/>
  <c r="BF416" i="6"/>
  <c r="CJ416" i="6"/>
  <c r="BO416" i="6"/>
  <c r="CH416" i="6"/>
  <c r="CK416" i="6"/>
  <c r="CL416" i="6"/>
  <c r="BG416" i="6"/>
  <c r="BY416" i="6"/>
  <c r="CE416" i="6"/>
  <c r="BL416" i="6"/>
  <c r="BD416" i="6"/>
  <c r="CI416" i="6"/>
  <c r="BN416" i="6"/>
  <c r="BM416" i="6"/>
  <c r="N417" i="6"/>
  <c r="A418" i="6"/>
  <c r="CM418" i="6"/>
  <c r="CL418" i="6"/>
  <c r="CJ418" i="6"/>
  <c r="CI418" i="6"/>
  <c r="CH418" i="6"/>
  <c r="CG418" i="6"/>
  <c r="CF418" i="6"/>
  <c r="CK418" i="6"/>
  <c r="BP418" i="6"/>
  <c r="BO418" i="6"/>
  <c r="BN418" i="6"/>
  <c r="BM418" i="6"/>
  <c r="BT418" i="6"/>
  <c r="BS418" i="6"/>
  <c r="BQ418" i="6"/>
  <c r="BR418" i="6"/>
  <c r="H418" i="6"/>
  <c r="T418" i="5" s="1"/>
  <c r="G418" i="12" s="1"/>
  <c r="N418" i="6"/>
  <c r="M418" i="6"/>
  <c r="BE418" i="6" s="1"/>
  <c r="G418" i="6"/>
  <c r="L419" i="12"/>
  <c r="J419" i="12"/>
  <c r="D419" i="6"/>
  <c r="AD420" i="5"/>
  <c r="F420" i="5"/>
  <c r="B420" i="5"/>
  <c r="B420" i="6"/>
  <c r="A420" i="12"/>
  <c r="K420" i="5"/>
  <c r="H420" i="5"/>
  <c r="G420" i="5"/>
  <c r="E420" i="5"/>
  <c r="AE420" i="5"/>
  <c r="N420" i="5"/>
  <c r="J420" i="5"/>
  <c r="D420" i="5"/>
  <c r="B420" i="12" s="1"/>
  <c r="BW417" i="6" l="1"/>
  <c r="BH417" i="6"/>
  <c r="BQ417" i="6"/>
  <c r="BZ417" i="6"/>
  <c r="CJ417" i="6"/>
  <c r="CG417" i="6"/>
  <c r="CI417" i="6"/>
  <c r="BE417" i="6"/>
  <c r="BG417" i="6"/>
  <c r="BP417" i="6"/>
  <c r="BX417" i="6"/>
  <c r="BF417" i="6"/>
  <c r="BT417" i="6"/>
  <c r="BO417" i="6"/>
  <c r="CH417" i="6"/>
  <c r="CB417" i="6"/>
  <c r="CF417" i="6"/>
  <c r="BK417" i="6"/>
  <c r="CD417" i="6"/>
  <c r="CL417" i="6"/>
  <c r="CC417" i="6"/>
  <c r="BR417" i="6"/>
  <c r="CE417" i="6"/>
  <c r="BD417" i="6"/>
  <c r="BJ417" i="6"/>
  <c r="BC417" i="6"/>
  <c r="BL417" i="6"/>
  <c r="BN417" i="6"/>
  <c r="CK417" i="6"/>
  <c r="BI417" i="6"/>
  <c r="BV417" i="6"/>
  <c r="BM417" i="6"/>
  <c r="BY417" i="6"/>
  <c r="BS417" i="6"/>
  <c r="CM417" i="6"/>
  <c r="AX418" i="6"/>
  <c r="AV418" i="6"/>
  <c r="AW418" i="6"/>
  <c r="AY418" i="6"/>
  <c r="AZ418" i="6"/>
  <c r="A419" i="6"/>
  <c r="N419" i="6" s="1"/>
  <c r="BA418" i="6"/>
  <c r="AT418" i="6"/>
  <c r="AU418" i="6"/>
  <c r="CB418" i="6"/>
  <c r="AO418" i="6"/>
  <c r="CE418" i="6"/>
  <c r="AK418" i="6"/>
  <c r="BL418" i="6"/>
  <c r="BW418" i="6"/>
  <c r="BK418" i="6"/>
  <c r="BX418" i="6"/>
  <c r="BG418" i="6"/>
  <c r="BD418" i="6"/>
  <c r="BF418" i="6"/>
  <c r="CA418" i="6"/>
  <c r="BY418" i="6"/>
  <c r="K419" i="12"/>
  <c r="BI418" i="6"/>
  <c r="BZ418" i="6"/>
  <c r="D420" i="6"/>
  <c r="AJ418" i="6"/>
  <c r="AS418" i="6"/>
  <c r="AL418" i="6"/>
  <c r="H419" i="6"/>
  <c r="T419" i="5" s="1"/>
  <c r="G419" i="12" s="1"/>
  <c r="CD418" i="6"/>
  <c r="AR418" i="6"/>
  <c r="AQ418" i="6"/>
  <c r="AN418" i="6"/>
  <c r="BV418" i="6"/>
  <c r="C421" i="5"/>
  <c r="AP418" i="6"/>
  <c r="BC418" i="6"/>
  <c r="AM418" i="6"/>
  <c r="L420" i="12"/>
  <c r="J420" i="12"/>
  <c r="BH418" i="6"/>
  <c r="CC418" i="6"/>
  <c r="BJ418" i="6"/>
  <c r="AF421" i="5"/>
  <c r="M419" i="6" l="1"/>
  <c r="BI419" i="6" s="1"/>
  <c r="A420" i="6"/>
  <c r="N420" i="6" s="1"/>
  <c r="AG421" i="5"/>
  <c r="S421" i="5"/>
  <c r="F421" i="12" s="1"/>
  <c r="N421" i="5"/>
  <c r="AD421" i="5"/>
  <c r="B421" i="5"/>
  <c r="C422" i="5"/>
  <c r="F421" i="5"/>
  <c r="W421" i="5"/>
  <c r="H421" i="12" s="1"/>
  <c r="B421" i="6"/>
  <c r="A421" i="12"/>
  <c r="H421" i="5"/>
  <c r="AE421" i="5"/>
  <c r="G421" i="5"/>
  <c r="E421" i="5"/>
  <c r="K420" i="12"/>
  <c r="H420" i="6"/>
  <c r="T420" i="5" s="1"/>
  <c r="G420" i="12" s="1"/>
  <c r="M420" i="6" l="1"/>
  <c r="BI420" i="6" s="1"/>
  <c r="CE419" i="6"/>
  <c r="BX419" i="6"/>
  <c r="BQ419" i="6"/>
  <c r="CF419" i="6"/>
  <c r="BV419" i="6"/>
  <c r="BZ419" i="6"/>
  <c r="BE419" i="6"/>
  <c r="BP419" i="6"/>
  <c r="BK419" i="6"/>
  <c r="BJ419" i="6"/>
  <c r="CB419" i="6"/>
  <c r="CM419" i="6"/>
  <c r="BD419" i="6"/>
  <c r="BG419" i="6"/>
  <c r="BO419" i="6"/>
  <c r="BR419" i="6"/>
  <c r="CC419" i="6"/>
  <c r="CD419" i="6"/>
  <c r="CL419" i="6"/>
  <c r="CA419" i="6"/>
  <c r="BH419" i="6"/>
  <c r="BL419" i="6"/>
  <c r="CI419" i="6"/>
  <c r="BM419" i="6"/>
  <c r="BW419" i="6"/>
  <c r="CG419" i="6"/>
  <c r="BN419" i="6"/>
  <c r="CH419" i="6"/>
  <c r="BC419" i="6"/>
  <c r="BT419" i="6"/>
  <c r="CK419" i="6"/>
  <c r="BY419" i="6"/>
  <c r="BF419" i="6"/>
  <c r="BS419" i="6"/>
  <c r="CJ419" i="6"/>
  <c r="U421" i="5"/>
  <c r="AN421" i="5" s="1"/>
  <c r="J422" i="5"/>
  <c r="H422" i="5"/>
  <c r="F422" i="5"/>
  <c r="E422" i="5"/>
  <c r="D422" i="5"/>
  <c r="B422" i="12" s="1"/>
  <c r="AE422" i="5"/>
  <c r="B422" i="5"/>
  <c r="N422" i="5"/>
  <c r="C423" i="5"/>
  <c r="G422" i="5"/>
  <c r="A422" i="12"/>
  <c r="K422" i="5"/>
  <c r="AD422" i="5"/>
  <c r="B422" i="6"/>
  <c r="E421" i="12"/>
  <c r="F421" i="6"/>
  <c r="D421" i="6"/>
  <c r="CA420" i="6" l="1"/>
  <c r="CB420" i="6"/>
  <c r="BP420" i="6"/>
  <c r="BH420" i="6"/>
  <c r="BJ420" i="6"/>
  <c r="BL420" i="6"/>
  <c r="BO420" i="6"/>
  <c r="CJ420" i="6"/>
  <c r="BK420" i="6"/>
  <c r="CH420" i="6"/>
  <c r="BW420" i="6"/>
  <c r="BG420" i="6"/>
  <c r="BM420" i="6"/>
  <c r="BX420" i="6"/>
  <c r="CD420" i="6"/>
  <c r="BD420" i="6"/>
  <c r="CL420" i="6"/>
  <c r="CI420" i="6"/>
  <c r="CC420" i="6"/>
  <c r="CF420" i="6"/>
  <c r="BZ420" i="6"/>
  <c r="CG420" i="6"/>
  <c r="BE420" i="6"/>
  <c r="BS420" i="6"/>
  <c r="BN420" i="6"/>
  <c r="BC420" i="6"/>
  <c r="BY420" i="6"/>
  <c r="BR420" i="6"/>
  <c r="CK420" i="6"/>
  <c r="BT420" i="6"/>
  <c r="BV420" i="6"/>
  <c r="BF420" i="6"/>
  <c r="CE420" i="6"/>
  <c r="BQ420" i="6"/>
  <c r="CM420" i="6"/>
  <c r="A421" i="6"/>
  <c r="CM421" i="6"/>
  <c r="CL421" i="6"/>
  <c r="CJ421" i="6"/>
  <c r="CI421" i="6"/>
  <c r="CH421" i="6"/>
  <c r="CG421" i="6"/>
  <c r="CF421" i="6"/>
  <c r="CK421" i="6"/>
  <c r="BP421" i="6"/>
  <c r="BO421" i="6"/>
  <c r="BN421" i="6"/>
  <c r="BM421" i="6"/>
  <c r="BT421" i="6"/>
  <c r="BS421" i="6"/>
  <c r="BQ421" i="6"/>
  <c r="BR421" i="6"/>
  <c r="D422" i="6"/>
  <c r="L422" i="12"/>
  <c r="J422" i="12"/>
  <c r="M421" i="6"/>
  <c r="BW421" i="6" s="1"/>
  <c r="H421" i="6"/>
  <c r="T421" i="5" s="1"/>
  <c r="G421" i="12" s="1"/>
  <c r="N421" i="6"/>
  <c r="G421" i="6"/>
  <c r="A423" i="12"/>
  <c r="G423" i="5"/>
  <c r="E423" i="5"/>
  <c r="B423" i="6"/>
  <c r="N423" i="5"/>
  <c r="AD423" i="5"/>
  <c r="B423" i="5"/>
  <c r="K423" i="5"/>
  <c r="AE423" i="5"/>
  <c r="D423" i="5"/>
  <c r="B423" i="12" s="1"/>
  <c r="J423" i="5"/>
  <c r="H423" i="5"/>
  <c r="F423" i="5"/>
  <c r="C424" i="5"/>
  <c r="AU421" i="6" l="1"/>
  <c r="AT421" i="6"/>
  <c r="AV421" i="6"/>
  <c r="AW421" i="6"/>
  <c r="AY421" i="6"/>
  <c r="AZ421" i="6"/>
  <c r="AX421" i="6"/>
  <c r="A422" i="6"/>
  <c r="N422" i="6" s="1"/>
  <c r="BA421" i="6"/>
  <c r="AL421" i="6"/>
  <c r="AS421" i="6"/>
  <c r="AJ421" i="6"/>
  <c r="BL421" i="6"/>
  <c r="AQ421" i="6"/>
  <c r="BZ421" i="6"/>
  <c r="BY421" i="6"/>
  <c r="BF421" i="6"/>
  <c r="AM421" i="6"/>
  <c r="AK421" i="6"/>
  <c r="BC421" i="6"/>
  <c r="BG421" i="6"/>
  <c r="AN421" i="6"/>
  <c r="AO421" i="6"/>
  <c r="CB421" i="6"/>
  <c r="BJ421" i="6"/>
  <c r="BI421" i="6"/>
  <c r="AR421" i="6"/>
  <c r="BE421" i="6"/>
  <c r="CA421" i="6"/>
  <c r="CD421" i="6"/>
  <c r="CC421" i="6"/>
  <c r="BH421" i="6"/>
  <c r="BD421" i="6"/>
  <c r="BV421" i="6"/>
  <c r="CE421" i="6"/>
  <c r="D423" i="6"/>
  <c r="E424" i="5"/>
  <c r="D424" i="5"/>
  <c r="B424" i="12" s="1"/>
  <c r="B424" i="5"/>
  <c r="H424" i="5"/>
  <c r="AE424" i="5"/>
  <c r="G424" i="5"/>
  <c r="K424" i="5"/>
  <c r="B424" i="6"/>
  <c r="N424" i="5"/>
  <c r="J424" i="5"/>
  <c r="A424" i="12"/>
  <c r="F424" i="5"/>
  <c r="AD424" i="5"/>
  <c r="C425" i="5"/>
  <c r="H422" i="6"/>
  <c r="T422" i="5" s="1"/>
  <c r="G422" i="12" s="1"/>
  <c r="K422" i="12"/>
  <c r="L423" i="12"/>
  <c r="J423" i="12"/>
  <c r="AP421" i="6"/>
  <c r="BX421" i="6"/>
  <c r="BK421" i="6"/>
  <c r="M422" i="6" l="1"/>
  <c r="BW422" i="6" s="1"/>
  <c r="A423" i="6"/>
  <c r="N423" i="6" s="1"/>
  <c r="H423" i="6"/>
  <c r="T423" i="5" s="1"/>
  <c r="G423" i="12" s="1"/>
  <c r="A425" i="12"/>
  <c r="B425" i="6"/>
  <c r="B425" i="5"/>
  <c r="AE425" i="5"/>
  <c r="J425" i="5"/>
  <c r="G425" i="5"/>
  <c r="N425" i="5"/>
  <c r="AD425" i="5"/>
  <c r="K425" i="5"/>
  <c r="H425" i="5"/>
  <c r="E425" i="5"/>
  <c r="F425" i="5"/>
  <c r="C426" i="5"/>
  <c r="D425" i="5"/>
  <c r="B425" i="12" s="1"/>
  <c r="L424" i="12"/>
  <c r="J424" i="12"/>
  <c r="D424" i="6"/>
  <c r="K423" i="12"/>
  <c r="CM422" i="6" l="1"/>
  <c r="BH422" i="6"/>
  <c r="BO422" i="6"/>
  <c r="BE422" i="6"/>
  <c r="CK422" i="6"/>
  <c r="BK422" i="6"/>
  <c r="BI422" i="6"/>
  <c r="BX422" i="6"/>
  <c r="BM422" i="6"/>
  <c r="CL422" i="6"/>
  <c r="BD422" i="6"/>
  <c r="BS422" i="6"/>
  <c r="CJ422" i="6"/>
  <c r="CB422" i="6"/>
  <c r="CD422" i="6"/>
  <c r="CA422" i="6"/>
  <c r="BY422" i="6"/>
  <c r="BF422" i="6"/>
  <c r="BR422" i="6"/>
  <c r="CH422" i="6"/>
  <c r="BP422" i="6"/>
  <c r="BV422" i="6"/>
  <c r="CC422" i="6"/>
  <c r="BJ422" i="6"/>
  <c r="BQ422" i="6"/>
  <c r="CI422" i="6"/>
  <c r="BC422" i="6"/>
  <c r="BN422" i="6"/>
  <c r="CE422" i="6"/>
  <c r="BG422" i="6"/>
  <c r="BL422" i="6"/>
  <c r="BZ422" i="6"/>
  <c r="CF422" i="6"/>
  <c r="CG422" i="6"/>
  <c r="BT422" i="6"/>
  <c r="M423" i="6"/>
  <c r="BQ423" i="6" s="1"/>
  <c r="A424" i="6"/>
  <c r="N424" i="6" s="1"/>
  <c r="L425" i="12"/>
  <c r="J425" i="12"/>
  <c r="D425" i="6"/>
  <c r="K424" i="12"/>
  <c r="H424" i="6"/>
  <c r="T424" i="5" s="1"/>
  <c r="G424" i="12" s="1"/>
  <c r="B426" i="6"/>
  <c r="K426" i="5"/>
  <c r="AE426" i="5"/>
  <c r="J426" i="5"/>
  <c r="H426" i="5"/>
  <c r="F426" i="5"/>
  <c r="G426" i="5"/>
  <c r="N426" i="5"/>
  <c r="AD426" i="5"/>
  <c r="A426" i="12"/>
  <c r="D426" i="5"/>
  <c r="B426" i="12" s="1"/>
  <c r="B426" i="5"/>
  <c r="E426" i="5"/>
  <c r="C427" i="5"/>
  <c r="CH423" i="6" l="1"/>
  <c r="BM423" i="6"/>
  <c r="CF423" i="6"/>
  <c r="BD423" i="6"/>
  <c r="CL423" i="6"/>
  <c r="BH423" i="6"/>
  <c r="CD423" i="6"/>
  <c r="CB423" i="6"/>
  <c r="CE423" i="6"/>
  <c r="BZ423" i="6"/>
  <c r="CM423" i="6"/>
  <c r="CC423" i="6"/>
  <c r="CK423" i="6"/>
  <c r="BO423" i="6"/>
  <c r="BL423" i="6"/>
  <c r="BY423" i="6"/>
  <c r="CG423" i="6"/>
  <c r="BW423" i="6"/>
  <c r="BK423" i="6"/>
  <c r="BV423" i="6"/>
  <c r="BC423" i="6"/>
  <c r="BN423" i="6"/>
  <c r="BG423" i="6"/>
  <c r="BI423" i="6"/>
  <c r="CA423" i="6"/>
  <c r="BT423" i="6"/>
  <c r="BJ423" i="6"/>
  <c r="BE423" i="6"/>
  <c r="BX423" i="6"/>
  <c r="CI423" i="6"/>
  <c r="BS423" i="6"/>
  <c r="CJ423" i="6"/>
  <c r="BP423" i="6"/>
  <c r="M424" i="6"/>
  <c r="BC424" i="6" s="1"/>
  <c r="BF423" i="6"/>
  <c r="BR423" i="6"/>
  <c r="A425" i="6"/>
  <c r="M425" i="6" s="1"/>
  <c r="BZ425" i="6" s="1"/>
  <c r="K425" i="12"/>
  <c r="H425" i="6"/>
  <c r="T425" i="5" s="1"/>
  <c r="G425" i="12" s="1"/>
  <c r="J426" i="12"/>
  <c r="L426" i="12"/>
  <c r="D426" i="6"/>
  <c r="H427" i="5"/>
  <c r="G427" i="5"/>
  <c r="A427" i="12"/>
  <c r="J427" i="5"/>
  <c r="B427" i="5"/>
  <c r="E427" i="5"/>
  <c r="N427" i="5"/>
  <c r="F427" i="5"/>
  <c r="C428" i="5"/>
  <c r="D427" i="5"/>
  <c r="B427" i="12" s="1"/>
  <c r="AE427" i="5"/>
  <c r="K427" i="5"/>
  <c r="B427" i="6"/>
  <c r="AD427" i="5"/>
  <c r="BJ424" i="6" l="1"/>
  <c r="BX424" i="6"/>
  <c r="CA424" i="6"/>
  <c r="BY424" i="6"/>
  <c r="BZ424" i="6"/>
  <c r="CC424" i="6"/>
  <c r="BP424" i="6"/>
  <c r="CD424" i="6"/>
  <c r="CL424" i="6"/>
  <c r="BW424" i="6"/>
  <c r="CK424" i="6"/>
  <c r="BV424" i="6"/>
  <c r="BI424" i="6"/>
  <c r="BF424" i="6"/>
  <c r="BS424" i="6"/>
  <c r="CE424" i="6"/>
  <c r="BG424" i="6"/>
  <c r="BL424" i="6"/>
  <c r="BE424" i="6"/>
  <c r="CJ424" i="6"/>
  <c r="N425" i="6"/>
  <c r="BQ424" i="6"/>
  <c r="CI424" i="6"/>
  <c r="BR424" i="6"/>
  <c r="CH424" i="6"/>
  <c r="CG424" i="6"/>
  <c r="CB424" i="6"/>
  <c r="BO424" i="6"/>
  <c r="CF424" i="6"/>
  <c r="BK424" i="6"/>
  <c r="BN424" i="6"/>
  <c r="BM424" i="6"/>
  <c r="BH424" i="6"/>
  <c r="BD424" i="6"/>
  <c r="CM424" i="6"/>
  <c r="BT424" i="6"/>
  <c r="BT425" i="6"/>
  <c r="CG425" i="6"/>
  <c r="CI425" i="6"/>
  <c r="CH425" i="6"/>
  <c r="CJ425" i="6"/>
  <c r="BM425" i="6"/>
  <c r="CK425" i="6"/>
  <c r="A426" i="6"/>
  <c r="N426" i="6" s="1"/>
  <c r="BN425" i="6"/>
  <c r="CL425" i="6"/>
  <c r="BO425" i="6"/>
  <c r="CM425" i="6"/>
  <c r="BP425" i="6"/>
  <c r="CF425" i="6"/>
  <c r="BQ425" i="6"/>
  <c r="BR425" i="6"/>
  <c r="BS425" i="6"/>
  <c r="K426" i="12"/>
  <c r="BK425" i="6"/>
  <c r="BE425" i="6"/>
  <c r="BJ425" i="6"/>
  <c r="CB425" i="6"/>
  <c r="BX425" i="6"/>
  <c r="L427" i="12"/>
  <c r="J427" i="12"/>
  <c r="BH425" i="6"/>
  <c r="BF425" i="6"/>
  <c r="BY425" i="6"/>
  <c r="CC425" i="6"/>
  <c r="BV425" i="6"/>
  <c r="H428" i="5"/>
  <c r="C429" i="5"/>
  <c r="G428" i="5"/>
  <c r="D428" i="5"/>
  <c r="B428" i="12" s="1"/>
  <c r="A428" i="12"/>
  <c r="B428" i="5"/>
  <c r="AD428" i="5"/>
  <c r="K428" i="5"/>
  <c r="J428" i="5"/>
  <c r="F428" i="5"/>
  <c r="B428" i="6"/>
  <c r="N428" i="5"/>
  <c r="AE428" i="5"/>
  <c r="E428" i="5"/>
  <c r="H426" i="6"/>
  <c r="T426" i="5" s="1"/>
  <c r="G426" i="12" s="1"/>
  <c r="BD425" i="6"/>
  <c r="CD425" i="6"/>
  <c r="CE425" i="6"/>
  <c r="BI425" i="6"/>
  <c r="D427" i="6"/>
  <c r="BL425" i="6"/>
  <c r="BG425" i="6"/>
  <c r="BC425" i="6"/>
  <c r="BW425" i="6"/>
  <c r="CA425" i="6"/>
  <c r="M426" i="6" l="1"/>
  <c r="BV426" i="6" s="1"/>
  <c r="A427" i="6"/>
  <c r="M427" i="6" s="1"/>
  <c r="BX427" i="6" s="1"/>
  <c r="K427" i="12"/>
  <c r="D428" i="6"/>
  <c r="F429" i="5"/>
  <c r="B429" i="5"/>
  <c r="J429" i="5"/>
  <c r="K429" i="5"/>
  <c r="C430" i="5"/>
  <c r="AE429" i="5"/>
  <c r="A429" i="12"/>
  <c r="G429" i="5"/>
  <c r="D429" i="5"/>
  <c r="B429" i="12" s="1"/>
  <c r="H429" i="5"/>
  <c r="N429" i="5"/>
  <c r="E429" i="5"/>
  <c r="AD429" i="5"/>
  <c r="B429" i="6"/>
  <c r="H427" i="6"/>
  <c r="T427" i="5" s="1"/>
  <c r="G427" i="12" s="1"/>
  <c r="L428" i="12"/>
  <c r="J428" i="12"/>
  <c r="N427" i="6" l="1"/>
  <c r="BZ426" i="6"/>
  <c r="BN426" i="6"/>
  <c r="CH426" i="6"/>
  <c r="CF426" i="6"/>
  <c r="BJ426" i="6"/>
  <c r="CL426" i="6"/>
  <c r="BD426" i="6"/>
  <c r="CG426" i="6"/>
  <c r="CB426" i="6"/>
  <c r="BL426" i="6"/>
  <c r="BO426" i="6"/>
  <c r="CA426" i="6"/>
  <c r="BG426" i="6"/>
  <c r="CK426" i="6"/>
  <c r="CC426" i="6"/>
  <c r="BS426" i="6"/>
  <c r="CM426" i="6"/>
  <c r="BC426" i="6"/>
  <c r="BI426" i="6"/>
  <c r="CD426" i="6"/>
  <c r="CJ426" i="6"/>
  <c r="BR426" i="6"/>
  <c r="BY426" i="6"/>
  <c r="BK426" i="6"/>
  <c r="BQ426" i="6"/>
  <c r="BM426" i="6"/>
  <c r="BH426" i="6"/>
  <c r="BF426" i="6"/>
  <c r="BX426" i="6"/>
  <c r="CI426" i="6"/>
  <c r="BW426" i="6"/>
  <c r="BE426" i="6"/>
  <c r="CE426" i="6"/>
  <c r="BP426" i="6"/>
  <c r="BT426" i="6"/>
  <c r="BP427" i="6"/>
  <c r="CK427" i="6"/>
  <c r="CF427" i="6"/>
  <c r="CG427" i="6"/>
  <c r="CH427" i="6"/>
  <c r="BT427" i="6"/>
  <c r="CI427" i="6"/>
  <c r="BM427" i="6"/>
  <c r="CJ427" i="6"/>
  <c r="BN427" i="6"/>
  <c r="CL427" i="6"/>
  <c r="BO427" i="6"/>
  <c r="CM427" i="6"/>
  <c r="BQ427" i="6"/>
  <c r="BR427" i="6"/>
  <c r="A428" i="6"/>
  <c r="N428" i="6" s="1"/>
  <c r="BS427" i="6"/>
  <c r="BV427" i="6"/>
  <c r="K428" i="12"/>
  <c r="BH427" i="6"/>
  <c r="BF427" i="6"/>
  <c r="BK427" i="6"/>
  <c r="BL427" i="6"/>
  <c r="CE427" i="6"/>
  <c r="BW427" i="6"/>
  <c r="BD427" i="6"/>
  <c r="BG427" i="6"/>
  <c r="CC427" i="6"/>
  <c r="BZ427" i="6"/>
  <c r="BE427" i="6"/>
  <c r="D429" i="6"/>
  <c r="BI427" i="6"/>
  <c r="CA427" i="6"/>
  <c r="CB427" i="6"/>
  <c r="H428" i="6"/>
  <c r="T428" i="5" s="1"/>
  <c r="G428" i="12" s="1"/>
  <c r="BC427" i="6"/>
  <c r="CD427" i="6"/>
  <c r="L429" i="12"/>
  <c r="J429" i="12"/>
  <c r="BJ427" i="6"/>
  <c r="BY427" i="6"/>
  <c r="D430" i="5"/>
  <c r="B430" i="12" s="1"/>
  <c r="H430" i="5"/>
  <c r="AD430" i="5"/>
  <c r="B430" i="5"/>
  <c r="J430" i="5"/>
  <c r="AE430" i="5"/>
  <c r="N430" i="5"/>
  <c r="F430" i="5"/>
  <c r="E430" i="5"/>
  <c r="A430" i="12"/>
  <c r="C431" i="5"/>
  <c r="K430" i="5"/>
  <c r="B430" i="6"/>
  <c r="G430" i="5"/>
  <c r="M428" i="6" l="1"/>
  <c r="BF428" i="6" s="1"/>
  <c r="A429" i="6"/>
  <c r="N429" i="6" s="1"/>
  <c r="K429" i="12"/>
  <c r="E431" i="5"/>
  <c r="AD431" i="5"/>
  <c r="C432" i="5"/>
  <c r="A431" i="12"/>
  <c r="B431" i="5"/>
  <c r="D431" i="5"/>
  <c r="B431" i="12" s="1"/>
  <c r="G431" i="5"/>
  <c r="K431" i="5"/>
  <c r="AE431" i="5"/>
  <c r="H431" i="5"/>
  <c r="J431" i="5"/>
  <c r="N431" i="5"/>
  <c r="F431" i="5"/>
  <c r="B431" i="6"/>
  <c r="L430" i="12"/>
  <c r="J430" i="12"/>
  <c r="H429" i="6"/>
  <c r="T429" i="5" s="1"/>
  <c r="G429" i="12" s="1"/>
  <c r="D430" i="6"/>
  <c r="CJ428" i="6" l="1"/>
  <c r="CH428" i="6"/>
  <c r="BL428" i="6"/>
  <c r="BV428" i="6"/>
  <c r="BK428" i="6"/>
  <c r="CI428" i="6"/>
  <c r="BW428" i="6"/>
  <c r="BM428" i="6"/>
  <c r="BZ428" i="6"/>
  <c r="BH428" i="6"/>
  <c r="CB428" i="6"/>
  <c r="CG428" i="6"/>
  <c r="CC428" i="6"/>
  <c r="BN428" i="6"/>
  <c r="CA428" i="6"/>
  <c r="CD428" i="6"/>
  <c r="CM428" i="6"/>
  <c r="BT428" i="6"/>
  <c r="CE428" i="6"/>
  <c r="BD428" i="6"/>
  <c r="BE428" i="6"/>
  <c r="BP428" i="6"/>
  <c r="BS428" i="6"/>
  <c r="BX428" i="6"/>
  <c r="BG428" i="6"/>
  <c r="BY428" i="6"/>
  <c r="BJ428" i="6"/>
  <c r="CL428" i="6"/>
  <c r="BR428" i="6"/>
  <c r="CK428" i="6"/>
  <c r="BC428" i="6"/>
  <c r="BI428" i="6"/>
  <c r="BO428" i="6"/>
  <c r="CF428" i="6"/>
  <c r="M429" i="6"/>
  <c r="CD429" i="6" s="1"/>
  <c r="BQ428" i="6"/>
  <c r="A430" i="6"/>
  <c r="M430" i="6" s="1"/>
  <c r="CD430" i="6" s="1"/>
  <c r="K430" i="12"/>
  <c r="H430" i="6"/>
  <c r="T430" i="5" s="1"/>
  <c r="G430" i="12" s="1"/>
  <c r="L431" i="12"/>
  <c r="J431" i="12"/>
  <c r="A432" i="12"/>
  <c r="K432" i="5"/>
  <c r="B432" i="5"/>
  <c r="E432" i="5"/>
  <c r="B432" i="6"/>
  <c r="D432" i="5"/>
  <c r="B432" i="12" s="1"/>
  <c r="F432" i="5"/>
  <c r="C433" i="5"/>
  <c r="AD432" i="5"/>
  <c r="J432" i="5"/>
  <c r="AE432" i="5"/>
  <c r="G432" i="5"/>
  <c r="N432" i="5"/>
  <c r="H432" i="5"/>
  <c r="D431" i="6"/>
  <c r="BP429" i="6" l="1"/>
  <c r="BK429" i="6"/>
  <c r="CJ429" i="6"/>
  <c r="CC429" i="6"/>
  <c r="BN429" i="6"/>
  <c r="CI429" i="6"/>
  <c r="BF429" i="6"/>
  <c r="BL429" i="6"/>
  <c r="BZ429" i="6"/>
  <c r="BY429" i="6"/>
  <c r="CM429" i="6"/>
  <c r="CH429" i="6"/>
  <c r="BE429" i="6"/>
  <c r="BW429" i="6"/>
  <c r="BD429" i="6"/>
  <c r="CE429" i="6"/>
  <c r="CK429" i="6"/>
  <c r="BS429" i="6"/>
  <c r="BX429" i="6"/>
  <c r="CB429" i="6"/>
  <c r="BH429" i="6"/>
  <c r="CG429" i="6"/>
  <c r="CF429" i="6"/>
  <c r="BO429" i="6"/>
  <c r="BM429" i="6"/>
  <c r="BC429" i="6"/>
  <c r="BG429" i="6"/>
  <c r="BV429" i="6"/>
  <c r="BR429" i="6"/>
  <c r="CL429" i="6"/>
  <c r="CA429" i="6"/>
  <c r="BJ429" i="6"/>
  <c r="BI429" i="6"/>
  <c r="BQ429" i="6"/>
  <c r="BT429" i="6"/>
  <c r="N430" i="6"/>
  <c r="BN430" i="6"/>
  <c r="CJ430" i="6"/>
  <c r="BO430" i="6"/>
  <c r="CL430" i="6"/>
  <c r="BQ430" i="6"/>
  <c r="CM430" i="6"/>
  <c r="BR430" i="6"/>
  <c r="BS430" i="6"/>
  <c r="BT430" i="6"/>
  <c r="BP430" i="6"/>
  <c r="CK430" i="6"/>
  <c r="CF430" i="6"/>
  <c r="CG430" i="6"/>
  <c r="CH430" i="6"/>
  <c r="A431" i="6"/>
  <c r="N431" i="6" s="1"/>
  <c r="BM430" i="6"/>
  <c r="CI430" i="6"/>
  <c r="CE430" i="6"/>
  <c r="K431" i="12"/>
  <c r="BZ430" i="6"/>
  <c r="BX430" i="6"/>
  <c r="CC430" i="6"/>
  <c r="BE430" i="6"/>
  <c r="BF430" i="6"/>
  <c r="BK430" i="6"/>
  <c r="BW430" i="6"/>
  <c r="BJ430" i="6"/>
  <c r="BC430" i="6"/>
  <c r="BI430" i="6"/>
  <c r="CB430" i="6"/>
  <c r="BV430" i="6"/>
  <c r="CA430" i="6"/>
  <c r="BY430" i="6"/>
  <c r="F433" i="5"/>
  <c r="H433" i="5"/>
  <c r="A433" i="12"/>
  <c r="D433" i="5"/>
  <c r="B433" i="12" s="1"/>
  <c r="J433" i="5"/>
  <c r="AD433" i="5"/>
  <c r="B433" i="5"/>
  <c r="N433" i="5"/>
  <c r="E433" i="5"/>
  <c r="B433" i="6"/>
  <c r="K433" i="5"/>
  <c r="G433" i="5"/>
  <c r="C434" i="5"/>
  <c r="AE433" i="5"/>
  <c r="H431" i="6"/>
  <c r="T431" i="5" s="1"/>
  <c r="G431" i="12" s="1"/>
  <c r="D432" i="6"/>
  <c r="BD430" i="6"/>
  <c r="BG430" i="6"/>
  <c r="L432" i="12"/>
  <c r="J432" i="12"/>
  <c r="BL430" i="6"/>
  <c r="BH430" i="6"/>
  <c r="M431" i="6" l="1"/>
  <c r="CD431" i="6" s="1"/>
  <c r="A432" i="6"/>
  <c r="N432" i="6" s="1"/>
  <c r="K432" i="12"/>
  <c r="D433" i="6"/>
  <c r="H432" i="6"/>
  <c r="T432" i="5" s="1"/>
  <c r="G432" i="12" s="1"/>
  <c r="AE434" i="5"/>
  <c r="E434" i="5"/>
  <c r="AD434" i="5"/>
  <c r="B434" i="5"/>
  <c r="D434" i="5"/>
  <c r="B434" i="12" s="1"/>
  <c r="G434" i="5"/>
  <c r="A434" i="12"/>
  <c r="C435" i="5"/>
  <c r="J434" i="5"/>
  <c r="N434" i="5"/>
  <c r="B434" i="6"/>
  <c r="F434" i="5"/>
  <c r="K434" i="5"/>
  <c r="H434" i="5"/>
  <c r="L433" i="12"/>
  <c r="J433" i="12"/>
  <c r="BH431" i="6" l="1"/>
  <c r="CL431" i="6"/>
  <c r="BG431" i="6"/>
  <c r="BQ431" i="6"/>
  <c r="BW431" i="6"/>
  <c r="CK431" i="6"/>
  <c r="BD431" i="6"/>
  <c r="CJ431" i="6"/>
  <c r="BI431" i="6"/>
  <c r="BX431" i="6"/>
  <c r="CE431" i="6"/>
  <c r="CC431" i="6"/>
  <c r="CH431" i="6"/>
  <c r="BS431" i="6"/>
  <c r="BV431" i="6"/>
  <c r="BZ431" i="6"/>
  <c r="BR431" i="6"/>
  <c r="BE431" i="6"/>
  <c r="BF431" i="6"/>
  <c r="CI431" i="6"/>
  <c r="BC431" i="6"/>
  <c r="CB431" i="6"/>
  <c r="BN431" i="6"/>
  <c r="BJ431" i="6"/>
  <c r="BK431" i="6"/>
  <c r="BY431" i="6"/>
  <c r="BT431" i="6"/>
  <c r="CA431" i="6"/>
  <c r="BL431" i="6"/>
  <c r="BP431" i="6"/>
  <c r="BO431" i="6"/>
  <c r="CF431" i="6"/>
  <c r="M432" i="6"/>
  <c r="BH432" i="6" s="1"/>
  <c r="CM431" i="6"/>
  <c r="CG431" i="6"/>
  <c r="BM431" i="6"/>
  <c r="A433" i="6"/>
  <c r="M433" i="6" s="1"/>
  <c r="BJ433" i="6" s="1"/>
  <c r="K433" i="12"/>
  <c r="D434" i="6"/>
  <c r="E435" i="5"/>
  <c r="K435" i="5"/>
  <c r="H435" i="5"/>
  <c r="A435" i="12"/>
  <c r="B435" i="5"/>
  <c r="J435" i="5"/>
  <c r="B435" i="6"/>
  <c r="G435" i="5"/>
  <c r="N435" i="5"/>
  <c r="AD435" i="5"/>
  <c r="D435" i="5"/>
  <c r="B435" i="12" s="1"/>
  <c r="F435" i="5"/>
  <c r="AE435" i="5"/>
  <c r="H433" i="6"/>
  <c r="T433" i="5" s="1"/>
  <c r="G433" i="12" s="1"/>
  <c r="J434" i="12"/>
  <c r="L434" i="12"/>
  <c r="N433" i="6" l="1"/>
  <c r="CB432" i="6"/>
  <c r="BQ432" i="6"/>
  <c r="CA432" i="6"/>
  <c r="BC432" i="6"/>
  <c r="CD432" i="6"/>
  <c r="CF432" i="6"/>
  <c r="BP432" i="6"/>
  <c r="BY432" i="6"/>
  <c r="BJ432" i="6"/>
  <c r="BE432" i="6"/>
  <c r="BM432" i="6"/>
  <c r="CI432" i="6"/>
  <c r="BD432" i="6"/>
  <c r="BF432" i="6"/>
  <c r="CL432" i="6"/>
  <c r="BO432" i="6"/>
  <c r="BI432" i="6"/>
  <c r="CJ432" i="6"/>
  <c r="BZ432" i="6"/>
  <c r="CG432" i="6"/>
  <c r="CH432" i="6"/>
  <c r="BT432" i="6"/>
  <c r="BV432" i="6"/>
  <c r="BK432" i="6"/>
  <c r="BX432" i="6"/>
  <c r="CE432" i="6"/>
  <c r="CK432" i="6"/>
  <c r="BN432" i="6"/>
  <c r="BG432" i="6"/>
  <c r="BL432" i="6"/>
  <c r="CM432" i="6"/>
  <c r="CC432" i="6"/>
  <c r="BR432" i="6"/>
  <c r="BW432" i="6"/>
  <c r="BS432" i="6"/>
  <c r="CF433" i="6"/>
  <c r="BQ433" i="6"/>
  <c r="CG433" i="6"/>
  <c r="A434" i="6"/>
  <c r="N434" i="6" s="1"/>
  <c r="CH433" i="6"/>
  <c r="CI433" i="6"/>
  <c r="BO433" i="6"/>
  <c r="CJ433" i="6"/>
  <c r="BR433" i="6"/>
  <c r="CL433" i="6"/>
  <c r="BT433" i="6"/>
  <c r="CM433" i="6"/>
  <c r="BM433" i="6"/>
  <c r="BN433" i="6"/>
  <c r="BP433" i="6"/>
  <c r="BS433" i="6"/>
  <c r="CK433" i="6"/>
  <c r="K434" i="12"/>
  <c r="BK433" i="6"/>
  <c r="BY433" i="6"/>
  <c r="BX433" i="6"/>
  <c r="BV433" i="6"/>
  <c r="CE433" i="6"/>
  <c r="BH433" i="6"/>
  <c r="BG433" i="6"/>
  <c r="BF433" i="6"/>
  <c r="D435" i="6"/>
  <c r="BC433" i="6"/>
  <c r="CB433" i="6"/>
  <c r="L435" i="12"/>
  <c r="J435" i="12"/>
  <c r="BL433" i="6"/>
  <c r="BI433" i="6"/>
  <c r="BZ433" i="6"/>
  <c r="BE433" i="6"/>
  <c r="BD433" i="6"/>
  <c r="BW433" i="6"/>
  <c r="CD433" i="6"/>
  <c r="CA433" i="6"/>
  <c r="H434" i="6"/>
  <c r="T434" i="5" s="1"/>
  <c r="G434" i="12" s="1"/>
  <c r="CC433" i="6"/>
  <c r="C436" i="5"/>
  <c r="AF436" i="5"/>
  <c r="M434" i="6" l="1"/>
  <c r="BL434" i="6" s="1"/>
  <c r="A435" i="6"/>
  <c r="N435" i="6" s="1"/>
  <c r="K435" i="12"/>
  <c r="S436" i="5"/>
  <c r="F436" i="12" s="1"/>
  <c r="AG436" i="5"/>
  <c r="H436" i="5"/>
  <c r="C437" i="5"/>
  <c r="G436" i="5"/>
  <c r="B436" i="5"/>
  <c r="W436" i="5"/>
  <c r="H436" i="12" s="1"/>
  <c r="B436" i="6"/>
  <c r="AE436" i="5"/>
  <c r="N436" i="5"/>
  <c r="E436" i="5"/>
  <c r="F436" i="5"/>
  <c r="A436" i="12"/>
  <c r="AD436" i="5"/>
  <c r="H435" i="6"/>
  <c r="T435" i="5" s="1"/>
  <c r="G435" i="12" s="1"/>
  <c r="CF434" i="6" l="1"/>
  <c r="BF434" i="6"/>
  <c r="CM434" i="6"/>
  <c r="BK434" i="6"/>
  <c r="BP434" i="6"/>
  <c r="BQ434" i="6"/>
  <c r="BE434" i="6"/>
  <c r="CL434" i="6"/>
  <c r="BJ434" i="6"/>
  <c r="BZ434" i="6"/>
  <c r="BO434" i="6"/>
  <c r="BV434" i="6"/>
  <c r="CB434" i="6"/>
  <c r="CG434" i="6"/>
  <c r="CK434" i="6"/>
  <c r="BG434" i="6"/>
  <c r="BN434" i="6"/>
  <c r="BM434" i="6"/>
  <c r="CD434" i="6"/>
  <c r="CE434" i="6"/>
  <c r="BT434" i="6"/>
  <c r="CJ434" i="6"/>
  <c r="BY434" i="6"/>
  <c r="BW434" i="6"/>
  <c r="BC434" i="6"/>
  <c r="BI434" i="6"/>
  <c r="CC434" i="6"/>
  <c r="BD434" i="6"/>
  <c r="BH434" i="6"/>
  <c r="BX434" i="6"/>
  <c r="BS434" i="6"/>
  <c r="CH434" i="6"/>
  <c r="CA434" i="6"/>
  <c r="BR434" i="6"/>
  <c r="CI434" i="6"/>
  <c r="M435" i="6"/>
  <c r="BF435" i="6" s="1"/>
  <c r="U436" i="5"/>
  <c r="AN436" i="5" s="1"/>
  <c r="D437" i="5"/>
  <c r="B437" i="12" s="1"/>
  <c r="B437" i="5"/>
  <c r="C438" i="5"/>
  <c r="B437" i="6"/>
  <c r="F437" i="5"/>
  <c r="A437" i="12"/>
  <c r="N437" i="5"/>
  <c r="E437" i="5"/>
  <c r="G437" i="5"/>
  <c r="J437" i="5"/>
  <c r="K437" i="5"/>
  <c r="AE437" i="5"/>
  <c r="H437" i="5"/>
  <c r="AD437" i="5"/>
  <c r="D436" i="6"/>
  <c r="E436" i="12"/>
  <c r="F436" i="6"/>
  <c r="CJ435" i="6" l="1"/>
  <c r="CD435" i="6"/>
  <c r="BT435" i="6"/>
  <c r="BE435" i="6"/>
  <c r="BK435" i="6"/>
  <c r="CF435" i="6"/>
  <c r="CH435" i="6"/>
  <c r="BI435" i="6"/>
  <c r="BW435" i="6"/>
  <c r="BS435" i="6"/>
  <c r="BZ435" i="6"/>
  <c r="CI435" i="6"/>
  <c r="BV435" i="6"/>
  <c r="BX435" i="6"/>
  <c r="CL435" i="6"/>
  <c r="BN435" i="6"/>
  <c r="BM435" i="6"/>
  <c r="CE435" i="6"/>
  <c r="BL435" i="6"/>
  <c r="CC435" i="6"/>
  <c r="CM435" i="6"/>
  <c r="BG435" i="6"/>
  <c r="BJ435" i="6"/>
  <c r="CA435" i="6"/>
  <c r="BD435" i="6"/>
  <c r="BC435" i="6"/>
  <c r="CB435" i="6"/>
  <c r="BQ435" i="6"/>
  <c r="CK435" i="6"/>
  <c r="BY435" i="6"/>
  <c r="BH435" i="6"/>
  <c r="BO435" i="6"/>
  <c r="CG435" i="6"/>
  <c r="BR435" i="6"/>
  <c r="BP435" i="6"/>
  <c r="A436" i="6"/>
  <c r="CM436" i="6"/>
  <c r="CL436" i="6"/>
  <c r="CJ436" i="6"/>
  <c r="CI436" i="6"/>
  <c r="CH436" i="6"/>
  <c r="CG436" i="6"/>
  <c r="CF436" i="6"/>
  <c r="CK436" i="6"/>
  <c r="BS436" i="6"/>
  <c r="BR436" i="6"/>
  <c r="BP436" i="6"/>
  <c r="BO436" i="6"/>
  <c r="BM436" i="6"/>
  <c r="BT436" i="6"/>
  <c r="BQ436" i="6"/>
  <c r="BN436" i="6"/>
  <c r="D437" i="6"/>
  <c r="L437" i="12"/>
  <c r="J437" i="12"/>
  <c r="AE438" i="5"/>
  <c r="B438" i="6"/>
  <c r="C439" i="5"/>
  <c r="E438" i="5"/>
  <c r="AD438" i="5"/>
  <c r="F438" i="5"/>
  <c r="G438" i="5"/>
  <c r="A438" i="12"/>
  <c r="N438" i="5"/>
  <c r="J438" i="5"/>
  <c r="B438" i="5"/>
  <c r="K438" i="5"/>
  <c r="H438" i="5"/>
  <c r="D438" i="5"/>
  <c r="B438" i="12" s="1"/>
  <c r="G436" i="6"/>
  <c r="H436" i="6"/>
  <c r="T436" i="5" s="1"/>
  <c r="G436" i="12" s="1"/>
  <c r="M436" i="6"/>
  <c r="BJ436" i="6" s="1"/>
  <c r="N436" i="6"/>
  <c r="AY436" i="6" l="1"/>
  <c r="AZ436" i="6"/>
  <c r="BA436" i="6"/>
  <c r="AT436" i="6"/>
  <c r="AW436" i="6"/>
  <c r="A437" i="6"/>
  <c r="M437" i="6" s="1"/>
  <c r="CE437" i="6" s="1"/>
  <c r="AU436" i="6"/>
  <c r="AX436" i="6"/>
  <c r="AV436" i="6"/>
  <c r="BX436" i="6"/>
  <c r="BW436" i="6"/>
  <c r="CA436" i="6"/>
  <c r="BG436" i="6"/>
  <c r="AP436" i="6"/>
  <c r="CD436" i="6"/>
  <c r="BI436" i="6"/>
  <c r="BL436" i="6"/>
  <c r="CB436" i="6"/>
  <c r="CC436" i="6"/>
  <c r="BC436" i="6"/>
  <c r="AL436" i="6"/>
  <c r="BY436" i="6"/>
  <c r="BD436" i="6"/>
  <c r="BZ436" i="6"/>
  <c r="BE436" i="6"/>
  <c r="BV436" i="6"/>
  <c r="BK436" i="6"/>
  <c r="BH436" i="6"/>
  <c r="CE436" i="6"/>
  <c r="BF436" i="6"/>
  <c r="AO436" i="6"/>
  <c r="AN436" i="6"/>
  <c r="AR436" i="6"/>
  <c r="K439" i="5"/>
  <c r="D439" i="5"/>
  <c r="B439" i="12" s="1"/>
  <c r="H439" i="5"/>
  <c r="B439" i="5"/>
  <c r="F439" i="5"/>
  <c r="B439" i="6"/>
  <c r="AD439" i="5"/>
  <c r="E439" i="5"/>
  <c r="C440" i="5"/>
  <c r="AE439" i="5"/>
  <c r="N439" i="5"/>
  <c r="J439" i="5"/>
  <c r="G439" i="5"/>
  <c r="A439" i="12"/>
  <c r="H437" i="6"/>
  <c r="T437" i="5" s="1"/>
  <c r="G437" i="12" s="1"/>
  <c r="AJ436" i="6"/>
  <c r="K437" i="12"/>
  <c r="AM436" i="6"/>
  <c r="AK436" i="6"/>
  <c r="AQ436" i="6"/>
  <c r="D438" i="6"/>
  <c r="J438" i="12"/>
  <c r="L438" i="12"/>
  <c r="AS436" i="6"/>
  <c r="N437" i="6" l="1"/>
  <c r="BM437" i="6"/>
  <c r="BN437" i="6"/>
  <c r="CG437" i="6"/>
  <c r="CI437" i="6"/>
  <c r="CH437" i="6"/>
  <c r="CJ437" i="6"/>
  <c r="BO437" i="6"/>
  <c r="CK437" i="6"/>
  <c r="BR437" i="6"/>
  <c r="CL437" i="6"/>
  <c r="BP437" i="6"/>
  <c r="CM437" i="6"/>
  <c r="BQ437" i="6"/>
  <c r="CF437" i="6"/>
  <c r="BS437" i="6"/>
  <c r="A438" i="6"/>
  <c r="N438" i="6" s="1"/>
  <c r="BT437" i="6"/>
  <c r="K438" i="12"/>
  <c r="BF437" i="6"/>
  <c r="CA437" i="6"/>
  <c r="BH437" i="6"/>
  <c r="CC437" i="6"/>
  <c r="BL437" i="6"/>
  <c r="BG437" i="6"/>
  <c r="BZ437" i="6"/>
  <c r="BI437" i="6"/>
  <c r="BK437" i="6"/>
  <c r="CD437" i="6"/>
  <c r="BW437" i="6"/>
  <c r="BE437" i="6"/>
  <c r="D439" i="6"/>
  <c r="J440" i="5"/>
  <c r="K440" i="5"/>
  <c r="F440" i="5"/>
  <c r="A440" i="12"/>
  <c r="C441" i="5"/>
  <c r="D440" i="5"/>
  <c r="B440" i="12" s="1"/>
  <c r="AE440" i="5"/>
  <c r="G440" i="5"/>
  <c r="B440" i="6"/>
  <c r="E440" i="5"/>
  <c r="H440" i="5"/>
  <c r="N440" i="5"/>
  <c r="B440" i="5"/>
  <c r="AD440" i="5"/>
  <c r="BY437" i="6"/>
  <c r="BJ437" i="6"/>
  <c r="BV437" i="6"/>
  <c r="CB437" i="6"/>
  <c r="H438" i="6"/>
  <c r="T438" i="5" s="1"/>
  <c r="G438" i="12" s="1"/>
  <c r="BD437" i="6"/>
  <c r="BC437" i="6"/>
  <c r="BX437" i="6"/>
  <c r="J439" i="12"/>
  <c r="L439" i="12"/>
  <c r="M438" i="6" l="1"/>
  <c r="CA438" i="6" s="1"/>
  <c r="A439" i="6"/>
  <c r="M439" i="6" s="1"/>
  <c r="BF439" i="6" s="1"/>
  <c r="K439" i="12"/>
  <c r="K441" i="5"/>
  <c r="G441" i="5"/>
  <c r="C442" i="5"/>
  <c r="B441" i="5"/>
  <c r="J441" i="5"/>
  <c r="F441" i="5"/>
  <c r="AE441" i="5"/>
  <c r="E441" i="5"/>
  <c r="B441" i="6"/>
  <c r="D441" i="5"/>
  <c r="B441" i="12" s="1"/>
  <c r="N441" i="5"/>
  <c r="AD441" i="5"/>
  <c r="A441" i="12"/>
  <c r="H441" i="5"/>
  <c r="J440" i="12"/>
  <c r="L440" i="12"/>
  <c r="H439" i="6"/>
  <c r="T439" i="5" s="1"/>
  <c r="G439" i="12" s="1"/>
  <c r="D440" i="6"/>
  <c r="CG438" i="6" l="1"/>
  <c r="BK438" i="6"/>
  <c r="BH438" i="6"/>
  <c r="BI438" i="6"/>
  <c r="BJ438" i="6"/>
  <c r="CK438" i="6"/>
  <c r="BM438" i="6"/>
  <c r="BW438" i="6"/>
  <c r="BV438" i="6"/>
  <c r="CM438" i="6"/>
  <c r="CD438" i="6"/>
  <c r="BR438" i="6"/>
  <c r="BX438" i="6"/>
  <c r="BL438" i="6"/>
  <c r="BE438" i="6"/>
  <c r="CB438" i="6"/>
  <c r="CC438" i="6"/>
  <c r="CI438" i="6"/>
  <c r="BQ438" i="6"/>
  <c r="CE438" i="6"/>
  <c r="BS438" i="6"/>
  <c r="BO438" i="6"/>
  <c r="BC438" i="6"/>
  <c r="BY438" i="6"/>
  <c r="BF438" i="6"/>
  <c r="CH438" i="6"/>
  <c r="BN438" i="6"/>
  <c r="BD438" i="6"/>
  <c r="BP438" i="6"/>
  <c r="CJ438" i="6"/>
  <c r="CL438" i="6"/>
  <c r="BZ438" i="6"/>
  <c r="BG438" i="6"/>
  <c r="CF438" i="6"/>
  <c r="BT438" i="6"/>
  <c r="N439" i="6"/>
  <c r="BT439" i="6"/>
  <c r="BQ439" i="6"/>
  <c r="CH439" i="6"/>
  <c r="CI439" i="6"/>
  <c r="CJ439" i="6"/>
  <c r="BN439" i="6"/>
  <c r="CL439" i="6"/>
  <c r="BM439" i="6"/>
  <c r="CM439" i="6"/>
  <c r="BO439" i="6"/>
  <c r="BP439" i="6"/>
  <c r="A440" i="6"/>
  <c r="M440" i="6" s="1"/>
  <c r="CD440" i="6" s="1"/>
  <c r="BR439" i="6"/>
  <c r="BS439" i="6"/>
  <c r="CK439" i="6"/>
  <c r="CF439" i="6"/>
  <c r="CG439" i="6"/>
  <c r="BJ439" i="6"/>
  <c r="BH439" i="6"/>
  <c r="CB439" i="6"/>
  <c r="CA439" i="6"/>
  <c r="BW439" i="6"/>
  <c r="BK439" i="6"/>
  <c r="BL439" i="6"/>
  <c r="CD439" i="6"/>
  <c r="BX439" i="6"/>
  <c r="D442" i="5"/>
  <c r="B442" i="12" s="1"/>
  <c r="A442" i="12"/>
  <c r="F442" i="5"/>
  <c r="C443" i="5"/>
  <c r="B442" i="5"/>
  <c r="J442" i="5"/>
  <c r="H442" i="5"/>
  <c r="G442" i="5"/>
  <c r="AD442" i="5"/>
  <c r="AE442" i="5"/>
  <c r="E442" i="5"/>
  <c r="N442" i="5"/>
  <c r="B442" i="6"/>
  <c r="K442" i="5"/>
  <c r="BE439" i="6"/>
  <c r="L441" i="12"/>
  <c r="J441" i="12"/>
  <c r="H440" i="6"/>
  <c r="T440" i="5" s="1"/>
  <c r="G440" i="12" s="1"/>
  <c r="BI439" i="6"/>
  <c r="BY439" i="6"/>
  <c r="D441" i="6"/>
  <c r="K440" i="12"/>
  <c r="CC439" i="6"/>
  <c r="BG439" i="6"/>
  <c r="BC439" i="6"/>
  <c r="BV439" i="6"/>
  <c r="BD439" i="6"/>
  <c r="BZ439" i="6"/>
  <c r="CE439" i="6"/>
  <c r="N440" i="6" l="1"/>
  <c r="BS440" i="6"/>
  <c r="BT440" i="6"/>
  <c r="BM440" i="6"/>
  <c r="BN440" i="6"/>
  <c r="CG440" i="6"/>
  <c r="CI440" i="6"/>
  <c r="CH440" i="6"/>
  <c r="A441" i="6"/>
  <c r="M441" i="6" s="1"/>
  <c r="CA441" i="6" s="1"/>
  <c r="CJ440" i="6"/>
  <c r="BO440" i="6"/>
  <c r="CK440" i="6"/>
  <c r="BR440" i="6"/>
  <c r="CL440" i="6"/>
  <c r="BP440" i="6"/>
  <c r="CM440" i="6"/>
  <c r="BQ440" i="6"/>
  <c r="CF440" i="6"/>
  <c r="CB440" i="6"/>
  <c r="BD440" i="6"/>
  <c r="BC440" i="6"/>
  <c r="CE440" i="6"/>
  <c r="BX440" i="6"/>
  <c r="J443" i="5"/>
  <c r="B443" i="6"/>
  <c r="AD443" i="5"/>
  <c r="C444" i="5"/>
  <c r="D443" i="5"/>
  <c r="B443" i="12" s="1"/>
  <c r="N443" i="5"/>
  <c r="B443" i="5"/>
  <c r="F443" i="5"/>
  <c r="AE443" i="5"/>
  <c r="A443" i="12"/>
  <c r="H443" i="5"/>
  <c r="K443" i="5"/>
  <c r="G443" i="5"/>
  <c r="E443" i="5"/>
  <c r="BV440" i="6"/>
  <c r="BW440" i="6"/>
  <c r="CA440" i="6"/>
  <c r="D442" i="6"/>
  <c r="L442" i="12"/>
  <c r="J442" i="12"/>
  <c r="BK440" i="6"/>
  <c r="BE440" i="6"/>
  <c r="BZ440" i="6"/>
  <c r="K441" i="12"/>
  <c r="BJ440" i="6"/>
  <c r="BY440" i="6"/>
  <c r="BL440" i="6"/>
  <c r="BI440" i="6"/>
  <c r="BG440" i="6"/>
  <c r="BF440" i="6"/>
  <c r="CC440" i="6"/>
  <c r="BH440" i="6"/>
  <c r="H441" i="6"/>
  <c r="T441" i="5" s="1"/>
  <c r="G441" i="12" s="1"/>
  <c r="N441" i="6" l="1"/>
  <c r="BR441" i="6"/>
  <c r="A442" i="6"/>
  <c r="M442" i="6" s="1"/>
  <c r="BH442" i="6" s="1"/>
  <c r="CG441" i="6"/>
  <c r="CK441" i="6"/>
  <c r="CM441" i="6"/>
  <c r="CL441" i="6"/>
  <c r="BM441" i="6"/>
  <c r="CF441" i="6"/>
  <c r="BP441" i="6"/>
  <c r="CH441" i="6"/>
  <c r="BS441" i="6"/>
  <c r="CI441" i="6"/>
  <c r="BT441" i="6"/>
  <c r="CJ441" i="6"/>
  <c r="BN441" i="6"/>
  <c r="BO441" i="6"/>
  <c r="BQ441" i="6"/>
  <c r="CB441" i="6"/>
  <c r="BY441" i="6"/>
  <c r="K442" i="12"/>
  <c r="BK441" i="6"/>
  <c r="BI441" i="6"/>
  <c r="BV441" i="6"/>
  <c r="D443" i="6"/>
  <c r="BZ441" i="6"/>
  <c r="CD441" i="6"/>
  <c r="BE441" i="6"/>
  <c r="AD444" i="5"/>
  <c r="K444" i="5"/>
  <c r="AE444" i="5"/>
  <c r="A444" i="12"/>
  <c r="J444" i="5"/>
  <c r="B444" i="6"/>
  <c r="N444" i="5"/>
  <c r="F444" i="5"/>
  <c r="D444" i="5"/>
  <c r="B444" i="12" s="1"/>
  <c r="B444" i="5"/>
  <c r="H444" i="5"/>
  <c r="G444" i="5"/>
  <c r="C445" i="5"/>
  <c r="E444" i="5"/>
  <c r="BG441" i="6"/>
  <c r="H442" i="6"/>
  <c r="T442" i="5" s="1"/>
  <c r="G442" i="12" s="1"/>
  <c r="CE441" i="6"/>
  <c r="BJ441" i="6"/>
  <c r="BH441" i="6"/>
  <c r="L443" i="12"/>
  <c r="J443" i="12"/>
  <c r="BC441" i="6"/>
  <c r="BW441" i="6"/>
  <c r="BL441" i="6"/>
  <c r="CC441" i="6"/>
  <c r="BF441" i="6"/>
  <c r="BX441" i="6"/>
  <c r="BD441" i="6"/>
  <c r="N442" i="6" l="1"/>
  <c r="BR442" i="6"/>
  <c r="BP442" i="6"/>
  <c r="BS442" i="6"/>
  <c r="CK442" i="6"/>
  <c r="CF442" i="6"/>
  <c r="A443" i="6"/>
  <c r="N443" i="6" s="1"/>
  <c r="CG442" i="6"/>
  <c r="CH442" i="6"/>
  <c r="BN442" i="6"/>
  <c r="CI442" i="6"/>
  <c r="BQ442" i="6"/>
  <c r="CJ442" i="6"/>
  <c r="BT442" i="6"/>
  <c r="CL442" i="6"/>
  <c r="BM442" i="6"/>
  <c r="CM442" i="6"/>
  <c r="BO442" i="6"/>
  <c r="BX442" i="6"/>
  <c r="BY442" i="6"/>
  <c r="CD442" i="6"/>
  <c r="BZ442" i="6"/>
  <c r="CC442" i="6"/>
  <c r="CA442" i="6"/>
  <c r="BG442" i="6"/>
  <c r="BE442" i="6"/>
  <c r="BJ442" i="6"/>
  <c r="BF442" i="6"/>
  <c r="CB442" i="6"/>
  <c r="BD442" i="6"/>
  <c r="CE442" i="6"/>
  <c r="BW442" i="6"/>
  <c r="BI442" i="6"/>
  <c r="BL442" i="6"/>
  <c r="BV442" i="6"/>
  <c r="BK442" i="6"/>
  <c r="BC442" i="6"/>
  <c r="K443" i="12"/>
  <c r="D444" i="6"/>
  <c r="L444" i="12"/>
  <c r="J444" i="12"/>
  <c r="H443" i="6"/>
  <c r="T443" i="5" s="1"/>
  <c r="G443" i="12" s="1"/>
  <c r="H445" i="5"/>
  <c r="AE445" i="5"/>
  <c r="G445" i="5"/>
  <c r="K445" i="5"/>
  <c r="C446" i="5"/>
  <c r="A445" i="12"/>
  <c r="B445" i="6"/>
  <c r="B445" i="5"/>
  <c r="N445" i="5"/>
  <c r="AD445" i="5"/>
  <c r="J445" i="5"/>
  <c r="D445" i="5"/>
  <c r="B445" i="12" s="1"/>
  <c r="F445" i="5"/>
  <c r="E445" i="5"/>
  <c r="M443" i="6" l="1"/>
  <c r="BJ443" i="6" s="1"/>
  <c r="A444" i="6"/>
  <c r="M444" i="6" s="1"/>
  <c r="BG444" i="6" s="1"/>
  <c r="J445" i="12"/>
  <c r="L445" i="12"/>
  <c r="J446" i="5"/>
  <c r="G446" i="5"/>
  <c r="A446" i="12"/>
  <c r="AE446" i="5"/>
  <c r="C447" i="5"/>
  <c r="B446" i="6"/>
  <c r="N446" i="5"/>
  <c r="H446" i="5"/>
  <c r="F446" i="5"/>
  <c r="K446" i="5"/>
  <c r="D446" i="5"/>
  <c r="B446" i="12" s="1"/>
  <c r="AD446" i="5"/>
  <c r="E446" i="5"/>
  <c r="B446" i="5"/>
  <c r="H444" i="6"/>
  <c r="T444" i="5" s="1"/>
  <c r="G444" i="12" s="1"/>
  <c r="K444" i="12"/>
  <c r="D445" i="6"/>
  <c r="BW443" i="6" l="1"/>
  <c r="CH443" i="6"/>
  <c r="CI443" i="6"/>
  <c r="CG443" i="6"/>
  <c r="BF443" i="6"/>
  <c r="BH443" i="6"/>
  <c r="BN443" i="6"/>
  <c r="BC443" i="6"/>
  <c r="BG443" i="6"/>
  <c r="CD443" i="6"/>
  <c r="BI443" i="6"/>
  <c r="BM443" i="6"/>
  <c r="BK443" i="6"/>
  <c r="BT443" i="6"/>
  <c r="CL443" i="6"/>
  <c r="BS443" i="6"/>
  <c r="BL443" i="6"/>
  <c r="BR443" i="6"/>
  <c r="CF443" i="6"/>
  <c r="CJ443" i="6"/>
  <c r="CC443" i="6"/>
  <c r="CA443" i="6"/>
  <c r="BD443" i="6"/>
  <c r="CE443" i="6"/>
  <c r="CK443" i="6"/>
  <c r="BQ443" i="6"/>
  <c r="BV443" i="6"/>
  <c r="BX443" i="6"/>
  <c r="CB443" i="6"/>
  <c r="BE443" i="6"/>
  <c r="BY443" i="6"/>
  <c r="BZ443" i="6"/>
  <c r="BO443" i="6"/>
  <c r="CM443" i="6"/>
  <c r="BP443" i="6"/>
  <c r="N444" i="6"/>
  <c r="BO444" i="6"/>
  <c r="BQ444" i="6"/>
  <c r="BR444" i="6"/>
  <c r="A445" i="6"/>
  <c r="N445" i="6" s="1"/>
  <c r="CM444" i="6"/>
  <c r="CK444" i="6"/>
  <c r="CG444" i="6"/>
  <c r="CL444" i="6"/>
  <c r="BP444" i="6"/>
  <c r="CF444" i="6"/>
  <c r="BM444" i="6"/>
  <c r="CH444" i="6"/>
  <c r="BS444" i="6"/>
  <c r="CI444" i="6"/>
  <c r="BT444" i="6"/>
  <c r="CJ444" i="6"/>
  <c r="BN444" i="6"/>
  <c r="CB444" i="6"/>
  <c r="CD444" i="6"/>
  <c r="BD444" i="6"/>
  <c r="BY444" i="6"/>
  <c r="CC444" i="6"/>
  <c r="CA444" i="6"/>
  <c r="J446" i="12"/>
  <c r="L446" i="12"/>
  <c r="BH444" i="6"/>
  <c r="CE444" i="6"/>
  <c r="BX444" i="6"/>
  <c r="BV444" i="6"/>
  <c r="BL444" i="6"/>
  <c r="BC444" i="6"/>
  <c r="BZ444" i="6"/>
  <c r="BJ444" i="6"/>
  <c r="BI444" i="6"/>
  <c r="H445" i="6"/>
  <c r="T445" i="5" s="1"/>
  <c r="G445" i="12" s="1"/>
  <c r="BF444" i="6"/>
  <c r="D446" i="6"/>
  <c r="BW444" i="6"/>
  <c r="C448" i="5"/>
  <c r="D447" i="5"/>
  <c r="B447" i="12" s="1"/>
  <c r="AD447" i="5"/>
  <c r="B447" i="6"/>
  <c r="J447" i="5"/>
  <c r="A447" i="12"/>
  <c r="B447" i="5"/>
  <c r="G447" i="5"/>
  <c r="K447" i="5"/>
  <c r="F447" i="5"/>
  <c r="N447" i="5"/>
  <c r="H447" i="5"/>
  <c r="E447" i="5"/>
  <c r="AE447" i="5"/>
  <c r="BE444" i="6"/>
  <c r="BK444" i="6"/>
  <c r="K445" i="12"/>
  <c r="M445" i="6" l="1"/>
  <c r="BV445" i="6" s="1"/>
  <c r="A446" i="6"/>
  <c r="N446" i="6" s="1"/>
  <c r="K446" i="12"/>
  <c r="H446" i="6"/>
  <c r="T446" i="5" s="1"/>
  <c r="G446" i="12" s="1"/>
  <c r="D447" i="6"/>
  <c r="E448" i="5"/>
  <c r="J448" i="5"/>
  <c r="D448" i="5"/>
  <c r="B448" i="12" s="1"/>
  <c r="C449" i="5"/>
  <c r="N448" i="5"/>
  <c r="B448" i="5"/>
  <c r="F448" i="5"/>
  <c r="AE448" i="5"/>
  <c r="AD448" i="5"/>
  <c r="G448" i="5"/>
  <c r="B448" i="6"/>
  <c r="H448" i="5"/>
  <c r="A448" i="12"/>
  <c r="K448" i="5"/>
  <c r="J447" i="12"/>
  <c r="L447" i="12"/>
  <c r="BW445" i="6" l="1"/>
  <c r="CM445" i="6"/>
  <c r="BO445" i="6"/>
  <c r="CC445" i="6"/>
  <c r="BM445" i="6"/>
  <c r="BD445" i="6"/>
  <c r="BH445" i="6"/>
  <c r="BC445" i="6"/>
  <c r="BZ445" i="6"/>
  <c r="BX445" i="6"/>
  <c r="CL445" i="6"/>
  <c r="BR445" i="6"/>
  <c r="BF445" i="6"/>
  <c r="BY445" i="6"/>
  <c r="CB445" i="6"/>
  <c r="BT445" i="6"/>
  <c r="BK445" i="6"/>
  <c r="BG445" i="6"/>
  <c r="CG445" i="6"/>
  <c r="CJ445" i="6"/>
  <c r="BI445" i="6"/>
  <c r="CF445" i="6"/>
  <c r="BQ445" i="6"/>
  <c r="CI445" i="6"/>
  <c r="CE445" i="6"/>
  <c r="BE445" i="6"/>
  <c r="CD445" i="6"/>
  <c r="CK445" i="6"/>
  <c r="BN445" i="6"/>
  <c r="BP445" i="6"/>
  <c r="BJ445" i="6"/>
  <c r="CA445" i="6"/>
  <c r="BL445" i="6"/>
  <c r="BS445" i="6"/>
  <c r="CH445" i="6"/>
  <c r="M446" i="6"/>
  <c r="BK446" i="6" s="1"/>
  <c r="A447" i="6"/>
  <c r="N447" i="6" s="1"/>
  <c r="K447" i="12"/>
  <c r="L448" i="12"/>
  <c r="J448" i="12"/>
  <c r="H447" i="6"/>
  <c r="T447" i="5" s="1"/>
  <c r="G447" i="12" s="1"/>
  <c r="D448" i="6"/>
  <c r="A449" i="12"/>
  <c r="B449" i="5"/>
  <c r="E449" i="5"/>
  <c r="D449" i="5"/>
  <c r="B449" i="12" s="1"/>
  <c r="AD449" i="5"/>
  <c r="N449" i="5"/>
  <c r="K449" i="5"/>
  <c r="J449" i="5"/>
  <c r="G449" i="5"/>
  <c r="B449" i="6"/>
  <c r="F449" i="5"/>
  <c r="AE449" i="5"/>
  <c r="H449" i="5"/>
  <c r="C450" i="5"/>
  <c r="BF446" i="6" l="1"/>
  <c r="BJ446" i="6"/>
  <c r="BZ446" i="6"/>
  <c r="BX446" i="6"/>
  <c r="BW446" i="6"/>
  <c r="CK446" i="6"/>
  <c r="CD446" i="6"/>
  <c r="CB446" i="6"/>
  <c r="BI446" i="6"/>
  <c r="BO446" i="6"/>
  <c r="CA446" i="6"/>
  <c r="BH446" i="6"/>
  <c r="CJ446" i="6"/>
  <c r="CC446" i="6"/>
  <c r="CE446" i="6"/>
  <c r="CH446" i="6"/>
  <c r="BG446" i="6"/>
  <c r="BV446" i="6"/>
  <c r="BC446" i="6"/>
  <c r="BE446" i="6"/>
  <c r="CI446" i="6"/>
  <c r="BD446" i="6"/>
  <c r="BY446" i="6"/>
  <c r="CG446" i="6"/>
  <c r="BL446" i="6"/>
  <c r="BN446" i="6"/>
  <c r="BM446" i="6"/>
  <c r="BS446" i="6"/>
  <c r="CF446" i="6"/>
  <c r="CM446" i="6"/>
  <c r="CL446" i="6"/>
  <c r="BR446" i="6"/>
  <c r="M447" i="6"/>
  <c r="BY447" i="6" s="1"/>
  <c r="BP446" i="6"/>
  <c r="BQ446" i="6"/>
  <c r="BT446" i="6"/>
  <c r="A448" i="6"/>
  <c r="M448" i="6" s="1"/>
  <c r="K448" i="12"/>
  <c r="B450" i="6"/>
  <c r="G450" i="5"/>
  <c r="AD450" i="5"/>
  <c r="J450" i="5"/>
  <c r="A450" i="12"/>
  <c r="D450" i="5"/>
  <c r="B450" i="12" s="1"/>
  <c r="AE450" i="5"/>
  <c r="N450" i="5"/>
  <c r="E450" i="5"/>
  <c r="C451" i="5"/>
  <c r="H450" i="5"/>
  <c r="B450" i="5"/>
  <c r="K450" i="5"/>
  <c r="F450" i="5"/>
  <c r="J449" i="12"/>
  <c r="L449" i="12"/>
  <c r="H448" i="6"/>
  <c r="T448" i="5" s="1"/>
  <c r="G448" i="12" s="1"/>
  <c r="D449" i="6"/>
  <c r="N448" i="6" l="1"/>
  <c r="BX447" i="6"/>
  <c r="BC447" i="6"/>
  <c r="CD447" i="6"/>
  <c r="BL447" i="6"/>
  <c r="BJ447" i="6"/>
  <c r="CK447" i="6"/>
  <c r="BS447" i="6"/>
  <c r="BE447" i="6"/>
  <c r="BF447" i="6"/>
  <c r="BV447" i="6"/>
  <c r="BZ447" i="6"/>
  <c r="BD447" i="6"/>
  <c r="CM447" i="6"/>
  <c r="BH447" i="6"/>
  <c r="CE447" i="6"/>
  <c r="BW447" i="6"/>
  <c r="BK447" i="6"/>
  <c r="CA447" i="6"/>
  <c r="BI447" i="6"/>
  <c r="BQ447" i="6"/>
  <c r="BR447" i="6"/>
  <c r="BG447" i="6"/>
  <c r="CF447" i="6"/>
  <c r="CB447" i="6"/>
  <c r="CC447" i="6"/>
  <c r="CL447" i="6"/>
  <c r="BO447" i="6"/>
  <c r="BN447" i="6"/>
  <c r="CJ447" i="6"/>
  <c r="BT447" i="6"/>
  <c r="CH447" i="6"/>
  <c r="BP447" i="6"/>
  <c r="CI447" i="6"/>
  <c r="BM447" i="6"/>
  <c r="CG447" i="6"/>
  <c r="BL448" i="6"/>
  <c r="CM448" i="6"/>
  <c r="BM448" i="6"/>
  <c r="CL448" i="6"/>
  <c r="BN448" i="6"/>
  <c r="CJ448" i="6"/>
  <c r="BQ448" i="6"/>
  <c r="CI448" i="6"/>
  <c r="CH448" i="6"/>
  <c r="CG448" i="6"/>
  <c r="CF448" i="6"/>
  <c r="CK448" i="6"/>
  <c r="BT448" i="6"/>
  <c r="BS448" i="6"/>
  <c r="BR448" i="6"/>
  <c r="BP448" i="6"/>
  <c r="BO448" i="6"/>
  <c r="A449" i="6"/>
  <c r="M449" i="6" s="1"/>
  <c r="BF449" i="6" s="1"/>
  <c r="K449" i="12"/>
  <c r="BF448" i="6"/>
  <c r="BJ448" i="6"/>
  <c r="CD448" i="6"/>
  <c r="CC448" i="6"/>
  <c r="BX448" i="6"/>
  <c r="BD448" i="6"/>
  <c r="BG448" i="6"/>
  <c r="BV448" i="6"/>
  <c r="BY448" i="6"/>
  <c r="BE448" i="6"/>
  <c r="CB448" i="6"/>
  <c r="BC448" i="6"/>
  <c r="BI448" i="6"/>
  <c r="BZ448" i="6"/>
  <c r="H449" i="6"/>
  <c r="T449" i="5" s="1"/>
  <c r="G449" i="12" s="1"/>
  <c r="N451" i="5"/>
  <c r="AE451" i="5"/>
  <c r="B451" i="6"/>
  <c r="C452" i="5"/>
  <c r="B451" i="5"/>
  <c r="F451" i="5"/>
  <c r="A451" i="12"/>
  <c r="D451" i="5"/>
  <c r="B451" i="12" s="1"/>
  <c r="J451" i="5"/>
  <c r="H451" i="5"/>
  <c r="E451" i="5"/>
  <c r="AD451" i="5"/>
  <c r="K451" i="5"/>
  <c r="G451" i="5"/>
  <c r="BH448" i="6"/>
  <c r="BW448" i="6"/>
  <c r="D450" i="6"/>
  <c r="BK448" i="6"/>
  <c r="CE448" i="6"/>
  <c r="CA448" i="6"/>
  <c r="L450" i="12"/>
  <c r="J450" i="12"/>
  <c r="N449" i="6" l="1"/>
  <c r="BP449" i="6"/>
  <c r="CM449" i="6"/>
  <c r="BQ449" i="6"/>
  <c r="CF449" i="6"/>
  <c r="BS449" i="6"/>
  <c r="BT449" i="6"/>
  <c r="BM449" i="6"/>
  <c r="BN449" i="6"/>
  <c r="CG449" i="6"/>
  <c r="CI449" i="6"/>
  <c r="CH449" i="6"/>
  <c r="CJ449" i="6"/>
  <c r="BO449" i="6"/>
  <c r="CK449" i="6"/>
  <c r="A450" i="6"/>
  <c r="N450" i="6" s="1"/>
  <c r="BR449" i="6"/>
  <c r="CL449" i="6"/>
  <c r="BX449" i="6"/>
  <c r="BL449" i="6"/>
  <c r="CC449" i="6"/>
  <c r="BW449" i="6"/>
  <c r="BH449" i="6"/>
  <c r="CE449" i="6"/>
  <c r="CB449" i="6"/>
  <c r="BV449" i="6"/>
  <c r="BG449" i="6"/>
  <c r="BD449" i="6"/>
  <c r="K450" i="12"/>
  <c r="BC449" i="6"/>
  <c r="BJ449" i="6"/>
  <c r="H450" i="6"/>
  <c r="T450" i="5" s="1"/>
  <c r="G450" i="12" s="1"/>
  <c r="AD452" i="5"/>
  <c r="N452" i="5"/>
  <c r="D452" i="5"/>
  <c r="B452" i="12" s="1"/>
  <c r="J452" i="5"/>
  <c r="B452" i="6"/>
  <c r="B452" i="5"/>
  <c r="C453" i="5"/>
  <c r="AE452" i="5"/>
  <c r="E452" i="5"/>
  <c r="F452" i="5"/>
  <c r="H452" i="5"/>
  <c r="K452" i="5"/>
  <c r="G452" i="5"/>
  <c r="A452" i="12"/>
  <c r="D451" i="6"/>
  <c r="CA449" i="6"/>
  <c r="BK449" i="6"/>
  <c r="BI449" i="6"/>
  <c r="BE449" i="6"/>
  <c r="L451" i="12"/>
  <c r="J451" i="12"/>
  <c r="BY449" i="6"/>
  <c r="CD449" i="6"/>
  <c r="BZ449" i="6"/>
  <c r="A451" i="6" l="1"/>
  <c r="N451" i="6" s="1"/>
  <c r="M450" i="6"/>
  <c r="K451" i="12"/>
  <c r="L452" i="12"/>
  <c r="J452" i="12"/>
  <c r="D452" i="6"/>
  <c r="AD453" i="5"/>
  <c r="AE453" i="5"/>
  <c r="D453" i="5"/>
  <c r="B453" i="12" s="1"/>
  <c r="A453" i="12"/>
  <c r="C454" i="5"/>
  <c r="H453" i="5"/>
  <c r="F453" i="5"/>
  <c r="B453" i="5"/>
  <c r="N453" i="5"/>
  <c r="G453" i="5"/>
  <c r="J453" i="5"/>
  <c r="K453" i="5"/>
  <c r="E453" i="5"/>
  <c r="B453" i="6"/>
  <c r="H451" i="6"/>
  <c r="T451" i="5" s="1"/>
  <c r="G451" i="12" s="1"/>
  <c r="M451" i="6" l="1"/>
  <c r="BV451" i="6" s="1"/>
  <c r="BG450" i="6"/>
  <c r="BD450" i="6"/>
  <c r="BH450" i="6"/>
  <c r="CD450" i="6"/>
  <c r="BW450" i="6"/>
  <c r="BL450" i="6"/>
  <c r="BK450" i="6"/>
  <c r="BY450" i="6"/>
  <c r="A452" i="6"/>
  <c r="M452" i="6" s="1"/>
  <c r="BK452" i="6" s="1"/>
  <c r="BJ450" i="6"/>
  <c r="BE450" i="6"/>
  <c r="CC450" i="6"/>
  <c r="CA450" i="6"/>
  <c r="CE450" i="6"/>
  <c r="CB450" i="6"/>
  <c r="BF450" i="6"/>
  <c r="BI450" i="6"/>
  <c r="BX450" i="6"/>
  <c r="BC450" i="6"/>
  <c r="BV450" i="6"/>
  <c r="CI450" i="6"/>
  <c r="BS450" i="6"/>
  <c r="CH450" i="6"/>
  <c r="BP450" i="6"/>
  <c r="CF450" i="6"/>
  <c r="BM450" i="6"/>
  <c r="CL450" i="6"/>
  <c r="CG450" i="6"/>
  <c r="CK450" i="6"/>
  <c r="CM450" i="6"/>
  <c r="BR450" i="6"/>
  <c r="BQ450" i="6"/>
  <c r="BO450" i="6"/>
  <c r="BN450" i="6"/>
  <c r="CJ450" i="6"/>
  <c r="BT450" i="6"/>
  <c r="BZ450" i="6"/>
  <c r="K452" i="12"/>
  <c r="D453" i="6"/>
  <c r="H452" i="6"/>
  <c r="T452" i="5" s="1"/>
  <c r="G452" i="12" s="1"/>
  <c r="J454" i="5"/>
  <c r="A454" i="12"/>
  <c r="E454" i="5"/>
  <c r="H454" i="5"/>
  <c r="D454" i="5"/>
  <c r="B454" i="12" s="1"/>
  <c r="G454" i="5"/>
  <c r="K454" i="5"/>
  <c r="C455" i="5"/>
  <c r="F454" i="5"/>
  <c r="B454" i="5"/>
  <c r="AD454" i="5"/>
  <c r="B454" i="6"/>
  <c r="AE454" i="5"/>
  <c r="N454" i="5"/>
  <c r="J453" i="12"/>
  <c r="L453" i="12"/>
  <c r="BR451" i="6" l="1"/>
  <c r="BE451" i="6"/>
  <c r="BC451" i="6"/>
  <c r="CI451" i="6"/>
  <c r="BH451" i="6"/>
  <c r="CD451" i="6"/>
  <c r="BX451" i="6"/>
  <c r="CH451" i="6"/>
  <c r="CG451" i="6"/>
  <c r="BM451" i="6"/>
  <c r="BW451" i="6"/>
  <c r="BY451" i="6"/>
  <c r="BP451" i="6"/>
  <c r="CA451" i="6"/>
  <c r="BJ451" i="6"/>
  <c r="CB451" i="6"/>
  <c r="BD451" i="6"/>
  <c r="BS451" i="6"/>
  <c r="CF451" i="6"/>
  <c r="CJ451" i="6"/>
  <c r="CM451" i="6"/>
  <c r="BL451" i="6"/>
  <c r="CE451" i="6"/>
  <c r="CK451" i="6"/>
  <c r="BG451" i="6"/>
  <c r="BZ451" i="6"/>
  <c r="BK451" i="6"/>
  <c r="CL451" i="6"/>
  <c r="BT451" i="6"/>
  <c r="BF451" i="6"/>
  <c r="CC451" i="6"/>
  <c r="BQ451" i="6"/>
  <c r="BI451" i="6"/>
  <c r="BO451" i="6"/>
  <c r="BN451" i="6"/>
  <c r="N452" i="6"/>
  <c r="CG452" i="6"/>
  <c r="CI452" i="6"/>
  <c r="CH452" i="6"/>
  <c r="CJ452" i="6"/>
  <c r="A453" i="6"/>
  <c r="N453" i="6" s="1"/>
  <c r="BO452" i="6"/>
  <c r="CK452" i="6"/>
  <c r="BR452" i="6"/>
  <c r="CL452" i="6"/>
  <c r="BP452" i="6"/>
  <c r="CM452" i="6"/>
  <c r="BQ452" i="6"/>
  <c r="CF452" i="6"/>
  <c r="BS452" i="6"/>
  <c r="BT452" i="6"/>
  <c r="BM452" i="6"/>
  <c r="BN452" i="6"/>
  <c r="BC452" i="6"/>
  <c r="BV452" i="6"/>
  <c r="BG452" i="6"/>
  <c r="K453" i="12"/>
  <c r="CD452" i="6"/>
  <c r="BJ452" i="6"/>
  <c r="BY452" i="6"/>
  <c r="BE452" i="6"/>
  <c r="CE452" i="6"/>
  <c r="BX452" i="6"/>
  <c r="BF452" i="6"/>
  <c r="BW452" i="6"/>
  <c r="BI452" i="6"/>
  <c r="BL452" i="6"/>
  <c r="BD452" i="6"/>
  <c r="CA452" i="6"/>
  <c r="CC452" i="6"/>
  <c r="BH452" i="6"/>
  <c r="CB452" i="6"/>
  <c r="BZ452" i="6"/>
  <c r="G455" i="5"/>
  <c r="B455" i="6"/>
  <c r="AE455" i="5"/>
  <c r="F455" i="5"/>
  <c r="D455" i="5"/>
  <c r="B455" i="12" s="1"/>
  <c r="AD455" i="5"/>
  <c r="C456" i="5"/>
  <c r="A455" i="12"/>
  <c r="B455" i="5"/>
  <c r="K455" i="5"/>
  <c r="E455" i="5"/>
  <c r="J455" i="5"/>
  <c r="H455" i="5"/>
  <c r="N455" i="5"/>
  <c r="H453" i="6"/>
  <c r="T453" i="5" s="1"/>
  <c r="G453" i="12" s="1"/>
  <c r="D454" i="6"/>
  <c r="J454" i="12"/>
  <c r="L454" i="12"/>
  <c r="M453" i="6" l="1"/>
  <c r="CC453" i="6" s="1"/>
  <c r="A454" i="6"/>
  <c r="M454" i="6" s="1"/>
  <c r="BX454" i="6" s="1"/>
  <c r="K454" i="12"/>
  <c r="J455" i="12"/>
  <c r="L455" i="12"/>
  <c r="E456" i="5"/>
  <c r="K456" i="5"/>
  <c r="A456" i="12"/>
  <c r="F456" i="5"/>
  <c r="AE456" i="5"/>
  <c r="N456" i="5"/>
  <c r="D456" i="5"/>
  <c r="B456" i="12" s="1"/>
  <c r="H456" i="5"/>
  <c r="B456" i="6"/>
  <c r="AD456" i="5"/>
  <c r="B456" i="5"/>
  <c r="J456" i="5"/>
  <c r="C457" i="5"/>
  <c r="G456" i="5"/>
  <c r="D455" i="6"/>
  <c r="H454" i="6"/>
  <c r="T454" i="5" s="1"/>
  <c r="G454" i="12" s="1"/>
  <c r="BP453" i="6" l="1"/>
  <c r="BR453" i="6"/>
  <c r="BQ453" i="6"/>
  <c r="BV453" i="6"/>
  <c r="BO453" i="6"/>
  <c r="BI453" i="6"/>
  <c r="BJ453" i="6"/>
  <c r="BY453" i="6"/>
  <c r="BN453" i="6"/>
  <c r="BG453" i="6"/>
  <c r="BF453" i="6"/>
  <c r="CJ453" i="6"/>
  <c r="BZ453" i="6"/>
  <c r="CE453" i="6"/>
  <c r="CF453" i="6"/>
  <c r="BT453" i="6"/>
  <c r="CG453" i="6"/>
  <c r="BX453" i="6"/>
  <c r="BW453" i="6"/>
  <c r="CM453" i="6"/>
  <c r="CI453" i="6"/>
  <c r="BE453" i="6"/>
  <c r="BL453" i="6"/>
  <c r="BH453" i="6"/>
  <c r="CB453" i="6"/>
  <c r="BD453" i="6"/>
  <c r="BC453" i="6"/>
  <c r="CL453" i="6"/>
  <c r="BS453" i="6"/>
  <c r="CH453" i="6"/>
  <c r="CD453" i="6"/>
  <c r="BK453" i="6"/>
  <c r="CA453" i="6"/>
  <c r="CK453" i="6"/>
  <c r="BM453" i="6"/>
  <c r="N454" i="6"/>
  <c r="CI454" i="6"/>
  <c r="BN454" i="6"/>
  <c r="CJ454" i="6"/>
  <c r="BQ454" i="6"/>
  <c r="CK454" i="6"/>
  <c r="BT454" i="6"/>
  <c r="CL454" i="6"/>
  <c r="BM454" i="6"/>
  <c r="CM454" i="6"/>
  <c r="BO454" i="6"/>
  <c r="BP454" i="6"/>
  <c r="A455" i="6"/>
  <c r="N455" i="6" s="1"/>
  <c r="BR454" i="6"/>
  <c r="BS454" i="6"/>
  <c r="CF454" i="6"/>
  <c r="CG454" i="6"/>
  <c r="CH454" i="6"/>
  <c r="K455" i="12"/>
  <c r="BH454" i="6"/>
  <c r="BF454" i="6"/>
  <c r="CD454" i="6"/>
  <c r="BZ454" i="6"/>
  <c r="BG454" i="6"/>
  <c r="BK454" i="6"/>
  <c r="BL454" i="6"/>
  <c r="CE454" i="6"/>
  <c r="CC454" i="6"/>
  <c r="CA454" i="6"/>
  <c r="BW454" i="6"/>
  <c r="BE454" i="6"/>
  <c r="BD454" i="6"/>
  <c r="BI454" i="6"/>
  <c r="BC454" i="6"/>
  <c r="BV454" i="6"/>
  <c r="CB454" i="6"/>
  <c r="H455" i="6"/>
  <c r="T455" i="5" s="1"/>
  <c r="G455" i="12" s="1"/>
  <c r="D456" i="6"/>
  <c r="BY454" i="6"/>
  <c r="A457" i="12"/>
  <c r="B457" i="5"/>
  <c r="D457" i="5"/>
  <c r="B457" i="12" s="1"/>
  <c r="F457" i="5"/>
  <c r="H457" i="5"/>
  <c r="B457" i="6"/>
  <c r="J457" i="5"/>
  <c r="AD457" i="5"/>
  <c r="K457" i="5"/>
  <c r="AE457" i="5"/>
  <c r="C458" i="5"/>
  <c r="E457" i="5"/>
  <c r="G457" i="5"/>
  <c r="N457" i="5"/>
  <c r="J456" i="12"/>
  <c r="L456" i="12"/>
  <c r="BJ454" i="6"/>
  <c r="M455" i="6" l="1"/>
  <c r="BD455" i="6" s="1"/>
  <c r="A456" i="6"/>
  <c r="M456" i="6" s="1"/>
  <c r="CA456" i="6" s="1"/>
  <c r="K456" i="12"/>
  <c r="D457" i="6"/>
  <c r="L457" i="12"/>
  <c r="J457" i="12"/>
  <c r="B458" i="6"/>
  <c r="D458" i="5"/>
  <c r="B458" i="12" s="1"/>
  <c r="N458" i="5"/>
  <c r="AD458" i="5"/>
  <c r="B458" i="5"/>
  <c r="F458" i="5"/>
  <c r="G458" i="5"/>
  <c r="K458" i="5"/>
  <c r="E458" i="5"/>
  <c r="C459" i="5"/>
  <c r="AE458" i="5"/>
  <c r="A458" i="12"/>
  <c r="H458" i="5"/>
  <c r="J458" i="5"/>
  <c r="H456" i="6"/>
  <c r="T456" i="5" s="1"/>
  <c r="G456" i="12" s="1"/>
  <c r="N456" i="6" l="1"/>
  <c r="BJ455" i="6"/>
  <c r="BQ455" i="6"/>
  <c r="BW455" i="6"/>
  <c r="BG455" i="6"/>
  <c r="CM455" i="6"/>
  <c r="BF455" i="6"/>
  <c r="BE455" i="6"/>
  <c r="BP455" i="6"/>
  <c r="BX455" i="6"/>
  <c r="CL455" i="6"/>
  <c r="BH455" i="6"/>
  <c r="BR455" i="6"/>
  <c r="CD455" i="6"/>
  <c r="CK455" i="6"/>
  <c r="CF455" i="6"/>
  <c r="CB455" i="6"/>
  <c r="BO455" i="6"/>
  <c r="CA455" i="6"/>
  <c r="CJ455" i="6"/>
  <c r="BV455" i="6"/>
  <c r="BM455" i="6"/>
  <c r="BL455" i="6"/>
  <c r="BY455" i="6"/>
  <c r="BK455" i="6"/>
  <c r="CE455" i="6"/>
  <c r="BT455" i="6"/>
  <c r="CI455" i="6"/>
  <c r="CC455" i="6"/>
  <c r="BZ455" i="6"/>
  <c r="BI455" i="6"/>
  <c r="BC455" i="6"/>
  <c r="BS455" i="6"/>
  <c r="CH455" i="6"/>
  <c r="CG455" i="6"/>
  <c r="BN455" i="6"/>
  <c r="BP456" i="6"/>
  <c r="CH456" i="6"/>
  <c r="BS456" i="6"/>
  <c r="CI456" i="6"/>
  <c r="BT456" i="6"/>
  <c r="CJ456" i="6"/>
  <c r="BN456" i="6"/>
  <c r="BO456" i="6"/>
  <c r="BQ456" i="6"/>
  <c r="BR456" i="6"/>
  <c r="CK456" i="6"/>
  <c r="CL456" i="6"/>
  <c r="A457" i="6"/>
  <c r="N457" i="6" s="1"/>
  <c r="CM456" i="6"/>
  <c r="CF456" i="6"/>
  <c r="BM456" i="6"/>
  <c r="CG456" i="6"/>
  <c r="K457" i="12"/>
  <c r="BE456" i="6"/>
  <c r="BF456" i="6"/>
  <c r="BV456" i="6"/>
  <c r="H457" i="6"/>
  <c r="T457" i="5" s="1"/>
  <c r="G457" i="12" s="1"/>
  <c r="BY456" i="6"/>
  <c r="CE456" i="6"/>
  <c r="BX456" i="6"/>
  <c r="BJ456" i="6"/>
  <c r="BH456" i="6"/>
  <c r="BD456" i="6"/>
  <c r="BK456" i="6"/>
  <c r="D458" i="6"/>
  <c r="CC456" i="6"/>
  <c r="BG456" i="6"/>
  <c r="BL456" i="6"/>
  <c r="BW456" i="6"/>
  <c r="CB456" i="6"/>
  <c r="BZ456" i="6"/>
  <c r="L458" i="12"/>
  <c r="J458" i="12"/>
  <c r="CD456" i="6"/>
  <c r="BI456" i="6"/>
  <c r="AE459" i="5"/>
  <c r="H459" i="5"/>
  <c r="K459" i="5"/>
  <c r="N459" i="5"/>
  <c r="D459" i="5"/>
  <c r="B459" i="12" s="1"/>
  <c r="B459" i="6"/>
  <c r="J459" i="5"/>
  <c r="AD459" i="5"/>
  <c r="F459" i="5"/>
  <c r="E459" i="5"/>
  <c r="B459" i="5"/>
  <c r="A459" i="12"/>
  <c r="G459" i="5"/>
  <c r="C460" i="5"/>
  <c r="BC456" i="6"/>
  <c r="M457" i="6" l="1"/>
  <c r="CA457" i="6" s="1"/>
  <c r="A458" i="6"/>
  <c r="N458" i="6" s="1"/>
  <c r="K458" i="12"/>
  <c r="H458" i="6"/>
  <c r="T458" i="5" s="1"/>
  <c r="G458" i="12" s="1"/>
  <c r="B460" i="5"/>
  <c r="J460" i="5"/>
  <c r="F460" i="5"/>
  <c r="C461" i="5"/>
  <c r="H460" i="5"/>
  <c r="G460" i="5"/>
  <c r="E460" i="5"/>
  <c r="D460" i="5"/>
  <c r="B460" i="12" s="1"/>
  <c r="AD460" i="5"/>
  <c r="K460" i="5"/>
  <c r="AE460" i="5"/>
  <c r="A460" i="12"/>
  <c r="N460" i="5"/>
  <c r="B460" i="6"/>
  <c r="D459" i="6"/>
  <c r="J459" i="12"/>
  <c r="L459" i="12"/>
  <c r="BL457" i="6" l="1"/>
  <c r="BR457" i="6"/>
  <c r="BO457" i="6"/>
  <c r="BY457" i="6"/>
  <c r="BM457" i="6"/>
  <c r="CD457" i="6"/>
  <c r="BK457" i="6"/>
  <c r="BI457" i="6"/>
  <c r="CL457" i="6"/>
  <c r="BE457" i="6"/>
  <c r="BP457" i="6"/>
  <c r="CE457" i="6"/>
  <c r="BG457" i="6"/>
  <c r="CH457" i="6"/>
  <c r="BN457" i="6"/>
  <c r="BV457" i="6"/>
  <c r="CB457" i="6"/>
  <c r="CG457" i="6"/>
  <c r="CK457" i="6"/>
  <c r="CM457" i="6"/>
  <c r="CC457" i="6"/>
  <c r="CF457" i="6"/>
  <c r="CJ457" i="6"/>
  <c r="BH457" i="6"/>
  <c r="BC457" i="6"/>
  <c r="BZ457" i="6"/>
  <c r="BW457" i="6"/>
  <c r="BJ457" i="6"/>
  <c r="BF457" i="6"/>
  <c r="BX457" i="6"/>
  <c r="BT457" i="6"/>
  <c r="CI457" i="6"/>
  <c r="BD457" i="6"/>
  <c r="BS457" i="6"/>
  <c r="BQ457" i="6"/>
  <c r="M458" i="6"/>
  <c r="CD458" i="6" s="1"/>
  <c r="A459" i="6"/>
  <c r="M459" i="6" s="1"/>
  <c r="CC459" i="6" s="1"/>
  <c r="A461" i="12"/>
  <c r="C462" i="5"/>
  <c r="N461" i="5"/>
  <c r="D461" i="5"/>
  <c r="B461" i="12" s="1"/>
  <c r="H461" i="5"/>
  <c r="AE461" i="5"/>
  <c r="E461" i="5"/>
  <c r="B461" i="5"/>
  <c r="B461" i="6"/>
  <c r="AD461" i="5"/>
  <c r="G461" i="5"/>
  <c r="K461" i="5"/>
  <c r="J461" i="5"/>
  <c r="F461" i="5"/>
  <c r="K459" i="12"/>
  <c r="D460" i="6"/>
  <c r="J460" i="12"/>
  <c r="L460" i="12"/>
  <c r="H459" i="6"/>
  <c r="T459" i="5" s="1"/>
  <c r="G459" i="12" s="1"/>
  <c r="BI458" i="6" l="1"/>
  <c r="BL458" i="6"/>
  <c r="CM458" i="6"/>
  <c r="BP458" i="6"/>
  <c r="CL458" i="6"/>
  <c r="BE458" i="6"/>
  <c r="CK458" i="6"/>
  <c r="BV458" i="6"/>
  <c r="CE458" i="6"/>
  <c r="CB458" i="6"/>
  <c r="BY458" i="6"/>
  <c r="BO458" i="6"/>
  <c r="CJ458" i="6"/>
  <c r="BQ458" i="6"/>
  <c r="BD458" i="6"/>
  <c r="CC458" i="6"/>
  <c r="BM458" i="6"/>
  <c r="CI458" i="6"/>
  <c r="BX458" i="6"/>
  <c r="BN458" i="6"/>
  <c r="BZ458" i="6"/>
  <c r="BK458" i="6"/>
  <c r="BT458" i="6"/>
  <c r="CH458" i="6"/>
  <c r="BC458" i="6"/>
  <c r="BS458" i="6"/>
  <c r="CG458" i="6"/>
  <c r="CA458" i="6"/>
  <c r="BH458" i="6"/>
  <c r="BW458" i="6"/>
  <c r="BJ458" i="6"/>
  <c r="BG458" i="6"/>
  <c r="BF458" i="6"/>
  <c r="CF458" i="6"/>
  <c r="BR458" i="6"/>
  <c r="N459" i="6"/>
  <c r="BM459" i="6"/>
  <c r="CM459" i="6"/>
  <c r="CF459" i="6"/>
  <c r="CG459" i="6"/>
  <c r="BP459" i="6"/>
  <c r="CH459" i="6"/>
  <c r="BS459" i="6"/>
  <c r="CI459" i="6"/>
  <c r="A460" i="6"/>
  <c r="N460" i="6" s="1"/>
  <c r="BT459" i="6"/>
  <c r="CJ459" i="6"/>
  <c r="BN459" i="6"/>
  <c r="BO459" i="6"/>
  <c r="BQ459" i="6"/>
  <c r="BR459" i="6"/>
  <c r="CK459" i="6"/>
  <c r="CL459" i="6"/>
  <c r="BW459" i="6"/>
  <c r="BD459" i="6"/>
  <c r="BK459" i="6"/>
  <c r="K460" i="12"/>
  <c r="BF459" i="6"/>
  <c r="BH459" i="6"/>
  <c r="BG459" i="6"/>
  <c r="L461" i="12"/>
  <c r="J461" i="12"/>
  <c r="BJ459" i="6"/>
  <c r="BE459" i="6"/>
  <c r="BI459" i="6"/>
  <c r="CA459" i="6"/>
  <c r="BX459" i="6"/>
  <c r="BV459" i="6"/>
  <c r="BZ459" i="6"/>
  <c r="CD459" i="6"/>
  <c r="BL459" i="6"/>
  <c r="CE459" i="6"/>
  <c r="CB459" i="6"/>
  <c r="BC459" i="6"/>
  <c r="D461" i="6"/>
  <c r="BY459" i="6"/>
  <c r="H460" i="6"/>
  <c r="T460" i="5" s="1"/>
  <c r="G460" i="12" s="1"/>
  <c r="G462" i="5"/>
  <c r="J462" i="5"/>
  <c r="D462" i="5"/>
  <c r="B462" i="12" s="1"/>
  <c r="E462" i="5"/>
  <c r="N462" i="5"/>
  <c r="H462" i="5"/>
  <c r="B462" i="5"/>
  <c r="K462" i="5"/>
  <c r="C463" i="5"/>
  <c r="B462" i="6"/>
  <c r="F462" i="5"/>
  <c r="AD462" i="5"/>
  <c r="A462" i="12"/>
  <c r="AE462" i="5"/>
  <c r="M460" i="6" l="1"/>
  <c r="BT460" i="6" s="1"/>
  <c r="A461" i="6"/>
  <c r="N461" i="6" s="1"/>
  <c r="D462" i="6"/>
  <c r="K461" i="12"/>
  <c r="L462" i="12"/>
  <c r="J462" i="12"/>
  <c r="B463" i="6"/>
  <c r="F463" i="5"/>
  <c r="N463" i="5"/>
  <c r="A463" i="12"/>
  <c r="AE463" i="5"/>
  <c r="B463" i="5"/>
  <c r="C464" i="5"/>
  <c r="H463" i="5"/>
  <c r="E463" i="5"/>
  <c r="D463" i="5"/>
  <c r="B463" i="12" s="1"/>
  <c r="G463" i="5"/>
  <c r="AD463" i="5"/>
  <c r="K463" i="5"/>
  <c r="J463" i="5"/>
  <c r="H461" i="6"/>
  <c r="T461" i="5" s="1"/>
  <c r="G461" i="12" s="1"/>
  <c r="BN460" i="6" l="1"/>
  <c r="CC460" i="6"/>
  <c r="BY460" i="6"/>
  <c r="CH460" i="6"/>
  <c r="CG460" i="6"/>
  <c r="BL460" i="6"/>
  <c r="CB460" i="6"/>
  <c r="CF460" i="6"/>
  <c r="BC460" i="6"/>
  <c r="CE460" i="6"/>
  <c r="BS460" i="6"/>
  <c r="BW460" i="6"/>
  <c r="BG460" i="6"/>
  <c r="BR460" i="6"/>
  <c r="CJ460" i="6"/>
  <c r="BK460" i="6"/>
  <c r="BI460" i="6"/>
  <c r="BO460" i="6"/>
  <c r="BD460" i="6"/>
  <c r="CA460" i="6"/>
  <c r="CD460" i="6"/>
  <c r="BH460" i="6"/>
  <c r="BX460" i="6"/>
  <c r="CK460" i="6"/>
  <c r="CM460" i="6"/>
  <c r="CI460" i="6"/>
  <c r="BV460" i="6"/>
  <c r="BJ460" i="6"/>
  <c r="BZ460" i="6"/>
  <c r="BE460" i="6"/>
  <c r="BQ460" i="6"/>
  <c r="CL460" i="6"/>
  <c r="M461" i="6"/>
  <c r="CC461" i="6" s="1"/>
  <c r="BF460" i="6"/>
  <c r="BM460" i="6"/>
  <c r="BP460" i="6"/>
  <c r="A462" i="6"/>
  <c r="N462" i="6" s="1"/>
  <c r="H464" i="5"/>
  <c r="A464" i="12"/>
  <c r="C465" i="5"/>
  <c r="J464" i="5"/>
  <c r="G464" i="5"/>
  <c r="AE464" i="5"/>
  <c r="D464" i="5"/>
  <c r="B464" i="12" s="1"/>
  <c r="E464" i="5"/>
  <c r="N464" i="5"/>
  <c r="B464" i="5"/>
  <c r="AD464" i="5"/>
  <c r="F464" i="5"/>
  <c r="B464" i="6"/>
  <c r="K464" i="5"/>
  <c r="L463" i="12"/>
  <c r="J463" i="12"/>
  <c r="D463" i="6"/>
  <c r="K462" i="12"/>
  <c r="H462" i="6"/>
  <c r="T462" i="5" s="1"/>
  <c r="G462" i="12" s="1"/>
  <c r="BZ461" i="6" l="1"/>
  <c r="BQ461" i="6"/>
  <c r="CF461" i="6"/>
  <c r="CM461" i="6"/>
  <c r="CB461" i="6"/>
  <c r="CL461" i="6"/>
  <c r="BL461" i="6"/>
  <c r="BE461" i="6"/>
  <c r="BX461" i="6"/>
  <c r="BR461" i="6"/>
  <c r="BI461" i="6"/>
  <c r="BW461" i="6"/>
  <c r="BK461" i="6"/>
  <c r="CG461" i="6"/>
  <c r="CK461" i="6"/>
  <c r="CA461" i="6"/>
  <c r="BN461" i="6"/>
  <c r="BO461" i="6"/>
  <c r="BC461" i="6"/>
  <c r="BH461" i="6"/>
  <c r="CE461" i="6"/>
  <c r="CD461" i="6"/>
  <c r="BM461" i="6"/>
  <c r="CJ461" i="6"/>
  <c r="BG461" i="6"/>
  <c r="BP461" i="6"/>
  <c r="BV461" i="6"/>
  <c r="BJ461" i="6"/>
  <c r="BF461" i="6"/>
  <c r="BT461" i="6"/>
  <c r="CI461" i="6"/>
  <c r="BD461" i="6"/>
  <c r="BY461" i="6"/>
  <c r="BS461" i="6"/>
  <c r="CH461" i="6"/>
  <c r="M462" i="6"/>
  <c r="BE462" i="6" s="1"/>
  <c r="A463" i="6"/>
  <c r="N463" i="6" s="1"/>
  <c r="J464" i="12"/>
  <c r="L464" i="12"/>
  <c r="D464" i="6"/>
  <c r="H463" i="6"/>
  <c r="T463" i="5" s="1"/>
  <c r="G463" i="12" s="1"/>
  <c r="K463" i="12"/>
  <c r="J465" i="5"/>
  <c r="E465" i="5"/>
  <c r="B465" i="6"/>
  <c r="D465" i="5"/>
  <c r="B465" i="12" s="1"/>
  <c r="N465" i="5"/>
  <c r="A465" i="12"/>
  <c r="F465" i="5"/>
  <c r="C466" i="5"/>
  <c r="AD465" i="5"/>
  <c r="B465" i="5"/>
  <c r="G465" i="5"/>
  <c r="H465" i="5"/>
  <c r="AE465" i="5"/>
  <c r="K465" i="5"/>
  <c r="BF462" i="6" l="1"/>
  <c r="BT462" i="6"/>
  <c r="BG462" i="6"/>
  <c r="CH462" i="6"/>
  <c r="CB462" i="6"/>
  <c r="BJ462" i="6"/>
  <c r="BW462" i="6"/>
  <c r="CG462" i="6"/>
  <c r="CI462" i="6"/>
  <c r="CC462" i="6"/>
  <c r="BP462" i="6"/>
  <c r="BY462" i="6"/>
  <c r="CF462" i="6"/>
  <c r="BI462" i="6"/>
  <c r="BL462" i="6"/>
  <c r="BC462" i="6"/>
  <c r="BQ462" i="6"/>
  <c r="CM462" i="6"/>
  <c r="BD462" i="6"/>
  <c r="BO462" i="6"/>
  <c r="CL462" i="6"/>
  <c r="BK462" i="6"/>
  <c r="CE462" i="6"/>
  <c r="BZ462" i="6"/>
  <c r="BN462" i="6"/>
  <c r="CK462" i="6"/>
  <c r="CA462" i="6"/>
  <c r="M463" i="6"/>
  <c r="CE463" i="6" s="1"/>
  <c r="BH462" i="6"/>
  <c r="BX462" i="6"/>
  <c r="CJ462" i="6"/>
  <c r="BR462" i="6"/>
  <c r="BV462" i="6"/>
  <c r="CD462" i="6"/>
  <c r="BM462" i="6"/>
  <c r="BS462" i="6"/>
  <c r="A464" i="6"/>
  <c r="N464" i="6" s="1"/>
  <c r="H464" i="6"/>
  <c r="T464" i="5" s="1"/>
  <c r="G464" i="12" s="1"/>
  <c r="L465" i="12"/>
  <c r="J465" i="12"/>
  <c r="D465" i="6"/>
  <c r="K464" i="12"/>
  <c r="E466" i="5"/>
  <c r="G466" i="5"/>
  <c r="K466" i="5"/>
  <c r="B466" i="6"/>
  <c r="A466" i="12"/>
  <c r="AD466" i="5"/>
  <c r="N466" i="5"/>
  <c r="AE466" i="5"/>
  <c r="D466" i="5"/>
  <c r="B466" i="12" s="1"/>
  <c r="H466" i="5"/>
  <c r="J466" i="5"/>
  <c r="B466" i="5"/>
  <c r="C467" i="5"/>
  <c r="F466" i="5"/>
  <c r="M464" i="6" l="1"/>
  <c r="CA464" i="6" s="1"/>
  <c r="BL463" i="6"/>
  <c r="CM463" i="6"/>
  <c r="BE463" i="6"/>
  <c r="BH463" i="6"/>
  <c r="BO463" i="6"/>
  <c r="BY463" i="6"/>
  <c r="CL463" i="6"/>
  <c r="BM463" i="6"/>
  <c r="CB463" i="6"/>
  <c r="CK463" i="6"/>
  <c r="BC463" i="6"/>
  <c r="BT463" i="6"/>
  <c r="CA463" i="6"/>
  <c r="BX463" i="6"/>
  <c r="BI463" i="6"/>
  <c r="CJ463" i="6"/>
  <c r="BZ463" i="6"/>
  <c r="BG463" i="6"/>
  <c r="BS463" i="6"/>
  <c r="BN463" i="6"/>
  <c r="BR463" i="6"/>
  <c r="CC463" i="6"/>
  <c r="BD463" i="6"/>
  <c r="BQ463" i="6"/>
  <c r="CH463" i="6"/>
  <c r="BF463" i="6"/>
  <c r="BK463" i="6"/>
  <c r="BV463" i="6"/>
  <c r="CG463" i="6"/>
  <c r="CD463" i="6"/>
  <c r="CI463" i="6"/>
  <c r="BJ463" i="6"/>
  <c r="BW463" i="6"/>
  <c r="BP463" i="6"/>
  <c r="CF463" i="6"/>
  <c r="A465" i="6"/>
  <c r="N465" i="6" s="1"/>
  <c r="K465" i="12"/>
  <c r="B467" i="6"/>
  <c r="AD467" i="5"/>
  <c r="F467" i="5"/>
  <c r="C468" i="5"/>
  <c r="AE467" i="5"/>
  <c r="H467" i="5"/>
  <c r="D467" i="5"/>
  <c r="B467" i="12" s="1"/>
  <c r="A467" i="12"/>
  <c r="B467" i="5"/>
  <c r="J467" i="5"/>
  <c r="E467" i="5"/>
  <c r="G467" i="5"/>
  <c r="K467" i="5"/>
  <c r="N467" i="5"/>
  <c r="D466" i="6"/>
  <c r="H465" i="6"/>
  <c r="T465" i="5" s="1"/>
  <c r="G465" i="12" s="1"/>
  <c r="J466" i="12"/>
  <c r="L466" i="12"/>
  <c r="BY464" i="6" l="1"/>
  <c r="CD464" i="6"/>
  <c r="BT464" i="6"/>
  <c r="BS464" i="6"/>
  <c r="CC464" i="6"/>
  <c r="BI464" i="6"/>
  <c r="BZ464" i="6"/>
  <c r="BV464" i="6"/>
  <c r="CF464" i="6"/>
  <c r="BK464" i="6"/>
  <c r="CB464" i="6"/>
  <c r="BQ464" i="6"/>
  <c r="BW464" i="6"/>
  <c r="CM464" i="6"/>
  <c r="BJ464" i="6"/>
  <c r="BM464" i="6"/>
  <c r="BX464" i="6"/>
  <c r="BP464" i="6"/>
  <c r="BF464" i="6"/>
  <c r="CI464" i="6"/>
  <c r="CL464" i="6"/>
  <c r="BL464" i="6"/>
  <c r="BC464" i="6"/>
  <c r="BE464" i="6"/>
  <c r="CH464" i="6"/>
  <c r="CK464" i="6"/>
  <c r="CE464" i="6"/>
  <c r="CG464" i="6"/>
  <c r="BO464" i="6"/>
  <c r="BR464" i="6"/>
  <c r="BG464" i="6"/>
  <c r="BD464" i="6"/>
  <c r="BH464" i="6"/>
  <c r="BN464" i="6"/>
  <c r="CJ464" i="6"/>
  <c r="M465" i="6"/>
  <c r="CB465" i="6" s="1"/>
  <c r="A466" i="6"/>
  <c r="M466" i="6" s="1"/>
  <c r="BJ466" i="6" s="1"/>
  <c r="J467" i="12"/>
  <c r="L467" i="12"/>
  <c r="D467" i="6"/>
  <c r="F468" i="5"/>
  <c r="G468" i="5"/>
  <c r="B468" i="6"/>
  <c r="N468" i="5"/>
  <c r="K468" i="5"/>
  <c r="D468" i="5"/>
  <c r="B468" i="12" s="1"/>
  <c r="J468" i="5"/>
  <c r="A468" i="12"/>
  <c r="AD468" i="5"/>
  <c r="C469" i="5"/>
  <c r="AE468" i="5"/>
  <c r="E468" i="5"/>
  <c r="H468" i="5"/>
  <c r="B468" i="5"/>
  <c r="K466" i="12"/>
  <c r="H466" i="6"/>
  <c r="T466" i="5" s="1"/>
  <c r="G466" i="12" s="1"/>
  <c r="CD465" i="6" l="1"/>
  <c r="CL465" i="6"/>
  <c r="CK465" i="6"/>
  <c r="BX465" i="6"/>
  <c r="BR465" i="6"/>
  <c r="BF465" i="6"/>
  <c r="BQ465" i="6"/>
  <c r="BW465" i="6"/>
  <c r="BV465" i="6"/>
  <c r="BO465" i="6"/>
  <c r="CM465" i="6"/>
  <c r="CH465" i="6"/>
  <c r="BN465" i="6"/>
  <c r="BZ465" i="6"/>
  <c r="BG465" i="6"/>
  <c r="BS465" i="6"/>
  <c r="CJ465" i="6"/>
  <c r="CE465" i="6"/>
  <c r="BL465" i="6"/>
  <c r="CA465" i="6"/>
  <c r="CC465" i="6"/>
  <c r="CG465" i="6"/>
  <c r="BM465" i="6"/>
  <c r="BE465" i="6"/>
  <c r="BH465" i="6"/>
  <c r="BI465" i="6"/>
  <c r="BP465" i="6"/>
  <c r="CI465" i="6"/>
  <c r="BC465" i="6"/>
  <c r="BK465" i="6"/>
  <c r="BJ465" i="6"/>
  <c r="BY465" i="6"/>
  <c r="BD465" i="6"/>
  <c r="CF465" i="6"/>
  <c r="BT465" i="6"/>
  <c r="N466" i="6"/>
  <c r="BS466" i="6"/>
  <c r="CF466" i="6"/>
  <c r="CG466" i="6"/>
  <c r="CH466" i="6"/>
  <c r="CI466" i="6"/>
  <c r="BN466" i="6"/>
  <c r="CJ466" i="6"/>
  <c r="BT466" i="6"/>
  <c r="CK466" i="6"/>
  <c r="BM466" i="6"/>
  <c r="CL466" i="6"/>
  <c r="BO466" i="6"/>
  <c r="CM466" i="6"/>
  <c r="BP466" i="6"/>
  <c r="BQ466" i="6"/>
  <c r="A467" i="6"/>
  <c r="M467" i="6" s="1"/>
  <c r="BR466" i="6"/>
  <c r="CB466" i="6"/>
  <c r="BC466" i="6"/>
  <c r="BX466" i="6"/>
  <c r="BL466" i="6"/>
  <c r="CA466" i="6"/>
  <c r="CD466" i="6"/>
  <c r="BG466" i="6"/>
  <c r="CC466" i="6"/>
  <c r="BZ466" i="6"/>
  <c r="BI466" i="6"/>
  <c r="BD466" i="6"/>
  <c r="BK466" i="6"/>
  <c r="BE466" i="6"/>
  <c r="BV466" i="6"/>
  <c r="BW466" i="6"/>
  <c r="J468" i="12"/>
  <c r="L468" i="12"/>
  <c r="D468" i="6"/>
  <c r="BF466" i="6"/>
  <c r="BY466" i="6"/>
  <c r="CE466" i="6"/>
  <c r="BH466" i="6"/>
  <c r="B469" i="6"/>
  <c r="K469" i="5"/>
  <c r="AE469" i="5"/>
  <c r="J469" i="5"/>
  <c r="G469" i="5"/>
  <c r="H469" i="5"/>
  <c r="E469" i="5"/>
  <c r="A469" i="12"/>
  <c r="N469" i="5"/>
  <c r="AD469" i="5"/>
  <c r="F469" i="5"/>
  <c r="C470" i="5"/>
  <c r="D469" i="5"/>
  <c r="B469" i="12" s="1"/>
  <c r="B469" i="5"/>
  <c r="H467" i="6"/>
  <c r="T467" i="5" s="1"/>
  <c r="G467" i="12" s="1"/>
  <c r="K467" i="12"/>
  <c r="BX467" i="6" l="1"/>
  <c r="BR467" i="6"/>
  <c r="N467" i="6"/>
  <c r="BO467" i="6"/>
  <c r="CK467" i="6"/>
  <c r="CL467" i="6"/>
  <c r="BP467" i="6"/>
  <c r="CM467" i="6"/>
  <c r="BQ467" i="6"/>
  <c r="CF467" i="6"/>
  <c r="BS467" i="6"/>
  <c r="BT467" i="6"/>
  <c r="BM467" i="6"/>
  <c r="BN467" i="6"/>
  <c r="A468" i="6"/>
  <c r="M468" i="6" s="1"/>
  <c r="BD468" i="6" s="1"/>
  <c r="CG467" i="6"/>
  <c r="CH467" i="6"/>
  <c r="CI467" i="6"/>
  <c r="CJ467" i="6"/>
  <c r="BW467" i="6"/>
  <c r="BV467" i="6"/>
  <c r="BZ467" i="6"/>
  <c r="BG467" i="6"/>
  <c r="BL467" i="6"/>
  <c r="CA467" i="6"/>
  <c r="BJ467" i="6"/>
  <c r="BY467" i="6"/>
  <c r="CD467" i="6"/>
  <c r="BD467" i="6"/>
  <c r="CB467" i="6"/>
  <c r="BK467" i="6"/>
  <c r="CE467" i="6"/>
  <c r="K468" i="12"/>
  <c r="G470" i="5"/>
  <c r="B470" i="5"/>
  <c r="AD470" i="5"/>
  <c r="B470" i="6"/>
  <c r="J470" i="5"/>
  <c r="H470" i="5"/>
  <c r="A470" i="12"/>
  <c r="N470" i="5"/>
  <c r="F470" i="5"/>
  <c r="AE470" i="5"/>
  <c r="E470" i="5"/>
  <c r="D470" i="5"/>
  <c r="B470" i="12" s="1"/>
  <c r="K470" i="5"/>
  <c r="C471" i="5"/>
  <c r="D469" i="6"/>
  <c r="L469" i="12"/>
  <c r="J469" i="12"/>
  <c r="BE467" i="6"/>
  <c r="BH467" i="6"/>
  <c r="BI467" i="6"/>
  <c r="BC467" i="6"/>
  <c r="H468" i="6"/>
  <c r="T468" i="5" s="1"/>
  <c r="G468" i="12" s="1"/>
  <c r="CC467" i="6"/>
  <c r="BF467" i="6"/>
  <c r="N468" i="6" l="1"/>
  <c r="CL468" i="6"/>
  <c r="CK468" i="6"/>
  <c r="BS468" i="6"/>
  <c r="CM468" i="6"/>
  <c r="CF468" i="6"/>
  <c r="CG468" i="6"/>
  <c r="BP468" i="6"/>
  <c r="CH468" i="6"/>
  <c r="BT468" i="6"/>
  <c r="CI468" i="6"/>
  <c r="A469" i="6"/>
  <c r="N469" i="6" s="1"/>
  <c r="BM468" i="6"/>
  <c r="CJ468" i="6"/>
  <c r="BN468" i="6"/>
  <c r="BO468" i="6"/>
  <c r="BQ468" i="6"/>
  <c r="BR468" i="6"/>
  <c r="BL468" i="6"/>
  <c r="CB468" i="6"/>
  <c r="BE468" i="6"/>
  <c r="BK468" i="6"/>
  <c r="BH468" i="6"/>
  <c r="BW468" i="6"/>
  <c r="BJ468" i="6"/>
  <c r="BF468" i="6"/>
  <c r="BY468" i="6"/>
  <c r="BV468" i="6"/>
  <c r="BI468" i="6"/>
  <c r="BZ468" i="6"/>
  <c r="CA468" i="6"/>
  <c r="CE468" i="6"/>
  <c r="CC468" i="6"/>
  <c r="CD468" i="6"/>
  <c r="BC468" i="6"/>
  <c r="J470" i="12"/>
  <c r="L470" i="12"/>
  <c r="H469" i="6"/>
  <c r="T469" i="5" s="1"/>
  <c r="G469" i="12" s="1"/>
  <c r="AD471" i="5"/>
  <c r="A471" i="12"/>
  <c r="G471" i="5"/>
  <c r="F471" i="5"/>
  <c r="E471" i="5"/>
  <c r="H471" i="5"/>
  <c r="D471" i="5"/>
  <c r="B471" i="12" s="1"/>
  <c r="N471" i="5"/>
  <c r="K471" i="5"/>
  <c r="J471" i="5"/>
  <c r="B471" i="6"/>
  <c r="AE471" i="5"/>
  <c r="B471" i="5"/>
  <c r="K469" i="12"/>
  <c r="BX468" i="6"/>
  <c r="BG468" i="6"/>
  <c r="D470" i="6"/>
  <c r="M469" i="6" l="1"/>
  <c r="BD469" i="6" s="1"/>
  <c r="A470" i="6"/>
  <c r="N470" i="6" s="1"/>
  <c r="K470" i="12"/>
  <c r="J471" i="12"/>
  <c r="L471" i="12"/>
  <c r="H470" i="6"/>
  <c r="T470" i="5" s="1"/>
  <c r="G470" i="12" s="1"/>
  <c r="D471" i="6"/>
  <c r="CD469" i="6" l="1"/>
  <c r="BT469" i="6"/>
  <c r="CL469" i="6"/>
  <c r="M470" i="6"/>
  <c r="CD470" i="6" s="1"/>
  <c r="CJ469" i="6"/>
  <c r="BV469" i="6"/>
  <c r="BG469" i="6"/>
  <c r="BI469" i="6"/>
  <c r="BN469" i="6"/>
  <c r="CI469" i="6"/>
  <c r="BL469" i="6"/>
  <c r="BM469" i="6"/>
  <c r="BF469" i="6"/>
  <c r="BX469" i="6"/>
  <c r="BH469" i="6"/>
  <c r="BE469" i="6"/>
  <c r="CA469" i="6"/>
  <c r="BQ469" i="6"/>
  <c r="CH469" i="6"/>
  <c r="BK469" i="6"/>
  <c r="CK469" i="6"/>
  <c r="BP469" i="6"/>
  <c r="CG469" i="6"/>
  <c r="BY469" i="6"/>
  <c r="CE469" i="6"/>
  <c r="BW469" i="6"/>
  <c r="BC469" i="6"/>
  <c r="CB469" i="6"/>
  <c r="BZ469" i="6"/>
  <c r="BJ469" i="6"/>
  <c r="CM469" i="6"/>
  <c r="CF469" i="6"/>
  <c r="CC469" i="6"/>
  <c r="BO469" i="6"/>
  <c r="BR469" i="6"/>
  <c r="BS469" i="6"/>
  <c r="A471" i="6"/>
  <c r="M471" i="6" s="1"/>
  <c r="BJ471" i="6" s="1"/>
  <c r="C472" i="5"/>
  <c r="H472" i="5" s="1"/>
  <c r="K421" i="5"/>
  <c r="K418" i="5"/>
  <c r="K353" i="5"/>
  <c r="K415" i="5"/>
  <c r="K402" i="5"/>
  <c r="K365" i="5"/>
  <c r="H471" i="6"/>
  <c r="T471" i="5" s="1"/>
  <c r="G471" i="12" s="1"/>
  <c r="K471" i="12"/>
  <c r="AF472" i="5"/>
  <c r="N471" i="6" l="1"/>
  <c r="BM470" i="6"/>
  <c r="BS470" i="6"/>
  <c r="CM470" i="6"/>
  <c r="BJ470" i="6"/>
  <c r="BQ470" i="6"/>
  <c r="BC470" i="6"/>
  <c r="BP470" i="6"/>
  <c r="BE470" i="6"/>
  <c r="BR470" i="6"/>
  <c r="CE470" i="6"/>
  <c r="CA470" i="6"/>
  <c r="BI470" i="6"/>
  <c r="BO470" i="6"/>
  <c r="BY470" i="6"/>
  <c r="BK470" i="6"/>
  <c r="BZ470" i="6"/>
  <c r="BF470" i="6"/>
  <c r="CI470" i="6"/>
  <c r="CF470" i="6"/>
  <c r="BH470" i="6"/>
  <c r="CG470" i="6"/>
  <c r="CK470" i="6"/>
  <c r="BG470" i="6"/>
  <c r="BW470" i="6"/>
  <c r="BV470" i="6"/>
  <c r="CH470" i="6"/>
  <c r="CL470" i="6"/>
  <c r="CJ470" i="6"/>
  <c r="BX470" i="6"/>
  <c r="CB470" i="6"/>
  <c r="BL470" i="6"/>
  <c r="CC470" i="6"/>
  <c r="BD470" i="6"/>
  <c r="BN470" i="6"/>
  <c r="BT470" i="6"/>
  <c r="BS471" i="6"/>
  <c r="CH471" i="6"/>
  <c r="BT471" i="6"/>
  <c r="CI471" i="6"/>
  <c r="BM471" i="6"/>
  <c r="CJ471" i="6"/>
  <c r="BN471" i="6"/>
  <c r="BO471" i="6"/>
  <c r="BQ471" i="6"/>
  <c r="BR471" i="6"/>
  <c r="CK471" i="6"/>
  <c r="CL471" i="6"/>
  <c r="CM471" i="6"/>
  <c r="CF471" i="6"/>
  <c r="BP471" i="6"/>
  <c r="CG471" i="6"/>
  <c r="S472" i="5"/>
  <c r="F472" i="12" s="1"/>
  <c r="AG472" i="5"/>
  <c r="B472" i="6"/>
  <c r="A472" i="12"/>
  <c r="W472" i="5"/>
  <c r="H472" i="12" s="1"/>
  <c r="C473" i="5"/>
  <c r="AE472" i="5"/>
  <c r="N472" i="5"/>
  <c r="D472" i="6" s="1"/>
  <c r="AD472" i="5"/>
  <c r="E472" i="5"/>
  <c r="G472" i="5"/>
  <c r="F472" i="5"/>
  <c r="B472" i="5"/>
  <c r="BG471" i="6"/>
  <c r="CE471" i="6"/>
  <c r="BD471" i="6"/>
  <c r="BC471" i="6"/>
  <c r="BY471" i="6"/>
  <c r="CA471" i="6"/>
  <c r="CB471" i="6"/>
  <c r="CC471" i="6"/>
  <c r="BF471" i="6"/>
  <c r="BL471" i="6"/>
  <c r="BK471" i="6"/>
  <c r="BW471" i="6"/>
  <c r="BX471" i="6"/>
  <c r="BI471" i="6"/>
  <c r="BE471" i="6"/>
  <c r="CD471" i="6"/>
  <c r="BH471" i="6"/>
  <c r="BZ471" i="6"/>
  <c r="BV471" i="6"/>
  <c r="BE472" i="6" l="1"/>
  <c r="CM472" i="6"/>
  <c r="CL472" i="6"/>
  <c r="CK472" i="6"/>
  <c r="CJ472" i="6"/>
  <c r="CI472" i="6"/>
  <c r="CH472" i="6"/>
  <c r="CG472" i="6"/>
  <c r="CF472" i="6"/>
  <c r="BS472" i="6"/>
  <c r="BR472" i="6"/>
  <c r="BQ472" i="6"/>
  <c r="BP472" i="6"/>
  <c r="BO472" i="6"/>
  <c r="BM472" i="6"/>
  <c r="BT472" i="6"/>
  <c r="BN472" i="6"/>
  <c r="A472" i="6"/>
  <c r="U472" i="5"/>
  <c r="AN472" i="5" s="1"/>
  <c r="BX472" i="6"/>
  <c r="B473" i="6"/>
  <c r="D473" i="5"/>
  <c r="B473" i="12" s="1"/>
  <c r="B473" i="5"/>
  <c r="AE473" i="5"/>
  <c r="N473" i="5"/>
  <c r="D473" i="6" s="1"/>
  <c r="AD473" i="5"/>
  <c r="K473" i="5"/>
  <c r="J473" i="5"/>
  <c r="C474" i="5"/>
  <c r="G473" i="5"/>
  <c r="F473" i="5"/>
  <c r="A473" i="12"/>
  <c r="E473" i="5"/>
  <c r="G472" i="6"/>
  <c r="E472" i="12"/>
  <c r="F472" i="6"/>
  <c r="M472" i="6"/>
  <c r="CE472" i="6" s="1"/>
  <c r="H472" i="6"/>
  <c r="T472" i="5" s="1"/>
  <c r="G472" i="12" s="1"/>
  <c r="N472" i="6"/>
  <c r="H473" i="5"/>
  <c r="CC472" i="6"/>
  <c r="BF472" i="6"/>
  <c r="BD472" i="6"/>
  <c r="BK472" i="6"/>
  <c r="BY472" i="6"/>
  <c r="BC472" i="6"/>
  <c r="BV472" i="6"/>
  <c r="BH472" i="6"/>
  <c r="BZ472" i="6"/>
  <c r="BI472" i="6"/>
  <c r="CA472" i="6"/>
  <c r="BG472" i="6"/>
  <c r="BL472" i="6"/>
  <c r="CB472" i="6"/>
  <c r="BJ472" i="6"/>
  <c r="CD472" i="6"/>
  <c r="BW472" i="6"/>
  <c r="AY472" i="6" l="1"/>
  <c r="AZ472" i="6"/>
  <c r="AW472" i="6"/>
  <c r="AX472" i="6"/>
  <c r="BA472" i="6"/>
  <c r="AT472" i="6"/>
  <c r="AU472" i="6"/>
  <c r="AV472" i="6"/>
  <c r="A473" i="6"/>
  <c r="N473" i="6" s="1"/>
  <c r="AR472" i="6"/>
  <c r="AQ472" i="6"/>
  <c r="AL472" i="6"/>
  <c r="AP472" i="6"/>
  <c r="AM472" i="6"/>
  <c r="AS472" i="6"/>
  <c r="AK472" i="6"/>
  <c r="AJ472" i="6"/>
  <c r="AO472" i="6"/>
  <c r="H473" i="6"/>
  <c r="T473" i="5" s="1"/>
  <c r="G473" i="12" s="1"/>
  <c r="J473" i="12"/>
  <c r="L473" i="12"/>
  <c r="H474" i="5"/>
  <c r="K474" i="5"/>
  <c r="G474" i="5"/>
  <c r="J474" i="5"/>
  <c r="F474" i="5"/>
  <c r="E474" i="5"/>
  <c r="D474" i="5"/>
  <c r="B474" i="12" s="1"/>
  <c r="B474" i="5"/>
  <c r="AE474" i="5"/>
  <c r="N474" i="5"/>
  <c r="D474" i="6" s="1"/>
  <c r="A474" i="12"/>
  <c r="AD474" i="5"/>
  <c r="B474" i="6"/>
  <c r="C475" i="5"/>
  <c r="AN472" i="6"/>
  <c r="A474" i="6" l="1"/>
  <c r="M473" i="6"/>
  <c r="K473" i="12"/>
  <c r="H474" i="6"/>
  <c r="T474" i="5" s="1"/>
  <c r="G474" i="12" s="1"/>
  <c r="L474" i="12"/>
  <c r="J474" i="12"/>
  <c r="H475" i="5"/>
  <c r="G475" i="5"/>
  <c r="F475" i="5"/>
  <c r="A475" i="12"/>
  <c r="B475" i="5"/>
  <c r="B475" i="6"/>
  <c r="AE475" i="5"/>
  <c r="E475" i="5"/>
  <c r="N475" i="5"/>
  <c r="D475" i="6" s="1"/>
  <c r="D475" i="5"/>
  <c r="B475" i="12" s="1"/>
  <c r="AD475" i="5"/>
  <c r="K475" i="5"/>
  <c r="J475" i="5"/>
  <c r="M474" i="6" l="1"/>
  <c r="CC474" i="6" s="1"/>
  <c r="BK473" i="6"/>
  <c r="BM473" i="6"/>
  <c r="BT473" i="6"/>
  <c r="BS473" i="6"/>
  <c r="CF473" i="6"/>
  <c r="BQ473" i="6"/>
  <c r="CM473" i="6"/>
  <c r="BP473" i="6"/>
  <c r="CL473" i="6"/>
  <c r="BR473" i="6"/>
  <c r="CK473" i="6"/>
  <c r="BO473" i="6"/>
  <c r="CJ473" i="6"/>
  <c r="CI473" i="6"/>
  <c r="CH473" i="6"/>
  <c r="CG473" i="6"/>
  <c r="BN473" i="6"/>
  <c r="N474" i="6"/>
  <c r="BH473" i="6"/>
  <c r="BG473" i="6"/>
  <c r="CD473" i="6"/>
  <c r="BL473" i="6"/>
  <c r="CB473" i="6"/>
  <c r="BV473" i="6"/>
  <c r="CA473" i="6"/>
  <c r="CC473" i="6"/>
  <c r="BC473" i="6"/>
  <c r="BW473" i="6"/>
  <c r="BI473" i="6"/>
  <c r="BE473" i="6"/>
  <c r="BF473" i="6"/>
  <c r="BZ473" i="6"/>
  <c r="CE473" i="6"/>
  <c r="BD473" i="6"/>
  <c r="A475" i="6"/>
  <c r="M475" i="6" s="1"/>
  <c r="CM475" i="6" s="1"/>
  <c r="BY473" i="6"/>
  <c r="BJ473" i="6"/>
  <c r="BX473" i="6"/>
  <c r="K474" i="12"/>
  <c r="H475" i="6"/>
  <c r="T475" i="5" s="1"/>
  <c r="G475" i="12" s="1"/>
  <c r="J475" i="12"/>
  <c r="L475" i="12"/>
  <c r="I415" i="5"/>
  <c r="CI474" i="6" l="1"/>
  <c r="BD474" i="6"/>
  <c r="BM474" i="6"/>
  <c r="BQ474" i="6"/>
  <c r="BH474" i="6"/>
  <c r="BW474" i="6"/>
  <c r="BR474" i="6"/>
  <c r="BK474" i="6"/>
  <c r="BE474" i="6"/>
  <c r="BL474" i="6"/>
  <c r="BZ474" i="6"/>
  <c r="CM474" i="6"/>
  <c r="CB474" i="6"/>
  <c r="BF474" i="6"/>
  <c r="BV474" i="6"/>
  <c r="BT474" i="6"/>
  <c r="CH474" i="6"/>
  <c r="BY474" i="6"/>
  <c r="BG474" i="6"/>
  <c r="BN474" i="6"/>
  <c r="CG474" i="6"/>
  <c r="BX474" i="6"/>
  <c r="BP474" i="6"/>
  <c r="CF474" i="6"/>
  <c r="CE474" i="6"/>
  <c r="BC474" i="6"/>
  <c r="BS474" i="6"/>
  <c r="CL474" i="6"/>
  <c r="BJ474" i="6"/>
  <c r="BO474" i="6"/>
  <c r="CD474" i="6"/>
  <c r="BI474" i="6"/>
  <c r="CA474" i="6"/>
  <c r="CJ474" i="6"/>
  <c r="CK474" i="6"/>
  <c r="BP475" i="6"/>
  <c r="BQ475" i="6"/>
  <c r="BR475" i="6"/>
  <c r="BS475" i="6"/>
  <c r="CF475" i="6"/>
  <c r="CG475" i="6"/>
  <c r="CH475" i="6"/>
  <c r="CI475" i="6"/>
  <c r="BN475" i="6"/>
  <c r="CJ475" i="6"/>
  <c r="BT475" i="6"/>
  <c r="CK475" i="6"/>
  <c r="BM475" i="6"/>
  <c r="CL475" i="6"/>
  <c r="BO475" i="6"/>
  <c r="BH475" i="6"/>
  <c r="BG475" i="6"/>
  <c r="N475" i="6"/>
  <c r="BF475" i="6"/>
  <c r="BK475" i="6"/>
  <c r="BD475" i="6"/>
  <c r="CD475" i="6"/>
  <c r="BW475" i="6"/>
  <c r="CC475" i="6"/>
  <c r="K475" i="12"/>
  <c r="CE475" i="6"/>
  <c r="BE475" i="6"/>
  <c r="BJ475" i="6"/>
  <c r="BL475" i="6"/>
  <c r="BV475" i="6"/>
  <c r="CA475" i="6"/>
  <c r="BI475" i="6"/>
  <c r="CB475" i="6"/>
  <c r="BY475" i="6"/>
  <c r="BC475" i="6"/>
  <c r="BX475" i="6"/>
  <c r="BZ475" i="6"/>
  <c r="C476" i="5"/>
  <c r="AF476" i="5"/>
  <c r="AG476" i="5" l="1"/>
  <c r="S476" i="5"/>
  <c r="F476" i="12" s="1"/>
  <c r="C477" i="5"/>
  <c r="N476" i="5"/>
  <c r="D476" i="6" s="1"/>
  <c r="W476" i="5"/>
  <c r="H476" i="12" s="1"/>
  <c r="AD476" i="5"/>
  <c r="F476" i="5"/>
  <c r="A476" i="12"/>
  <c r="AE476" i="5"/>
  <c r="B476" i="6"/>
  <c r="G476" i="5"/>
  <c r="E476" i="5"/>
  <c r="B476" i="5"/>
  <c r="H476" i="5"/>
  <c r="M476" i="6" l="1"/>
  <c r="BE476" i="6" s="1"/>
  <c r="CJ476" i="6"/>
  <c r="CI476" i="6"/>
  <c r="CH476" i="6"/>
  <c r="CG476" i="6"/>
  <c r="CF476" i="6"/>
  <c r="CM476" i="6"/>
  <c r="CL476" i="6"/>
  <c r="CK476" i="6"/>
  <c r="BR476" i="6"/>
  <c r="BQ476" i="6"/>
  <c r="BO476" i="6"/>
  <c r="BN476" i="6"/>
  <c r="BM476" i="6"/>
  <c r="BT476" i="6"/>
  <c r="BS476" i="6"/>
  <c r="BP476" i="6"/>
  <c r="A476" i="6"/>
  <c r="U476" i="5"/>
  <c r="AN476" i="5" s="1"/>
  <c r="H477" i="5"/>
  <c r="E477" i="5"/>
  <c r="G476" i="6"/>
  <c r="N476" i="6"/>
  <c r="B477" i="5"/>
  <c r="H476" i="6"/>
  <c r="T476" i="5" s="1"/>
  <c r="G476" i="12" s="1"/>
  <c r="F477" i="5"/>
  <c r="G477" i="5"/>
  <c r="E476" i="12"/>
  <c r="F476" i="6"/>
  <c r="N477" i="5"/>
  <c r="D477" i="6" s="1"/>
  <c r="K477" i="5"/>
  <c r="C478" i="5"/>
  <c r="A477" i="12"/>
  <c r="D477" i="5"/>
  <c r="B477" i="12" s="1"/>
  <c r="B477" i="6"/>
  <c r="AD477" i="5"/>
  <c r="J477" i="5"/>
  <c r="AE477" i="5"/>
  <c r="BY476" i="6"/>
  <c r="CA476" i="6"/>
  <c r="BC476" i="6"/>
  <c r="CD476" i="6"/>
  <c r="CC476" i="6"/>
  <c r="BG476" i="6"/>
  <c r="BX476" i="6"/>
  <c r="CE476" i="6"/>
  <c r="BZ476" i="6"/>
  <c r="BD476" i="6"/>
  <c r="BH476" i="6"/>
  <c r="BF476" i="6"/>
  <c r="BL476" i="6"/>
  <c r="BI476" i="6"/>
  <c r="BK476" i="6"/>
  <c r="BJ476" i="6"/>
  <c r="BV476" i="6"/>
  <c r="BW476" i="6"/>
  <c r="CB476" i="6"/>
  <c r="AU476" i="6" l="1"/>
  <c r="AX476" i="6"/>
  <c r="AV476" i="6"/>
  <c r="AY476" i="6"/>
  <c r="AZ476" i="6"/>
  <c r="AT476" i="6"/>
  <c r="AW476" i="6"/>
  <c r="BA476" i="6"/>
  <c r="A477" i="6"/>
  <c r="N477" i="6" s="1"/>
  <c r="AP476" i="6"/>
  <c r="AN476" i="6"/>
  <c r="AS476" i="6"/>
  <c r="AO476" i="6"/>
  <c r="AQ476" i="6"/>
  <c r="AK476" i="6"/>
  <c r="AR476" i="6"/>
  <c r="AM476" i="6"/>
  <c r="AJ476" i="6"/>
  <c r="AL476" i="6"/>
  <c r="L477" i="12"/>
  <c r="J477" i="12"/>
  <c r="A478" i="12"/>
  <c r="AE478" i="5"/>
  <c r="K478" i="5"/>
  <c r="N478" i="5"/>
  <c r="D478" i="6" s="1"/>
  <c r="G478" i="5"/>
  <c r="B478" i="6"/>
  <c r="E478" i="5"/>
  <c r="AD478" i="5"/>
  <c r="J478" i="5"/>
  <c r="H478" i="5"/>
  <c r="F478" i="5"/>
  <c r="D478" i="5"/>
  <c r="B478" i="12" s="1"/>
  <c r="B478" i="5"/>
  <c r="H477" i="6"/>
  <c r="A478" i="6" l="1"/>
  <c r="N478" i="6" s="1"/>
  <c r="M477" i="6"/>
  <c r="BM477" i="6" s="1"/>
  <c r="H478" i="6"/>
  <c r="J478" i="12"/>
  <c r="L478" i="12"/>
  <c r="T477" i="5"/>
  <c r="G477" i="12" s="1"/>
  <c r="C479" i="5"/>
  <c r="K477" i="12"/>
  <c r="I476" i="5"/>
  <c r="AF479" i="5"/>
  <c r="M478" i="6" l="1"/>
  <c r="BW478" i="6" s="1"/>
  <c r="CK477" i="6"/>
  <c r="BV477" i="6"/>
  <c r="CE477" i="6"/>
  <c r="BN477" i="6"/>
  <c r="CI477" i="6"/>
  <c r="BC477" i="6"/>
  <c r="BT477" i="6"/>
  <c r="CC477" i="6"/>
  <c r="CH477" i="6"/>
  <c r="CJ477" i="6"/>
  <c r="BE477" i="6"/>
  <c r="CG477" i="6"/>
  <c r="CA477" i="6"/>
  <c r="BW477" i="6"/>
  <c r="BY477" i="6"/>
  <c r="CF477" i="6"/>
  <c r="BG477" i="6"/>
  <c r="BX477" i="6"/>
  <c r="BH477" i="6"/>
  <c r="BF477" i="6"/>
  <c r="BK477" i="6"/>
  <c r="CM477" i="6"/>
  <c r="BS477" i="6"/>
  <c r="BJ477" i="6"/>
  <c r="CB477" i="6"/>
  <c r="BL477" i="6"/>
  <c r="CD477" i="6"/>
  <c r="BD477" i="6"/>
  <c r="BO477" i="6"/>
  <c r="BR477" i="6"/>
  <c r="CL477" i="6"/>
  <c r="BZ477" i="6"/>
  <c r="BI477" i="6"/>
  <c r="BQ477" i="6"/>
  <c r="BP477" i="6"/>
  <c r="K478" i="12"/>
  <c r="S479" i="5"/>
  <c r="F479" i="12" s="1"/>
  <c r="AG479" i="5"/>
  <c r="F479" i="5"/>
  <c r="B479" i="5"/>
  <c r="A479" i="12"/>
  <c r="AE479" i="5"/>
  <c r="N479" i="5"/>
  <c r="D479" i="6" s="1"/>
  <c r="G479" i="5"/>
  <c r="AD479" i="5"/>
  <c r="E479" i="5"/>
  <c r="C480" i="5"/>
  <c r="B479" i="6"/>
  <c r="H479" i="5"/>
  <c r="W479" i="5"/>
  <c r="H479" i="12" s="1"/>
  <c r="T478" i="5"/>
  <c r="G478" i="12" s="1"/>
  <c r="BC478" i="6" l="1"/>
  <c r="CE478" i="6"/>
  <c r="BS478" i="6"/>
  <c r="CI478" i="6"/>
  <c r="BT478" i="6"/>
  <c r="CF478" i="6"/>
  <c r="CH478" i="6"/>
  <c r="BD478" i="6"/>
  <c r="BI478" i="6"/>
  <c r="BQ478" i="6"/>
  <c r="BP478" i="6"/>
  <c r="CM478" i="6"/>
  <c r="CL478" i="6"/>
  <c r="BE478" i="6"/>
  <c r="BZ478" i="6"/>
  <c r="CD478" i="6"/>
  <c r="BR478" i="6"/>
  <c r="BH478" i="6"/>
  <c r="BO478" i="6"/>
  <c r="BV478" i="6"/>
  <c r="BL478" i="6"/>
  <c r="BY478" i="6"/>
  <c r="CC478" i="6"/>
  <c r="BF478" i="6"/>
  <c r="BK478" i="6"/>
  <c r="CB478" i="6"/>
  <c r="CG478" i="6"/>
  <c r="CJ478" i="6"/>
  <c r="BJ478" i="6"/>
  <c r="BN478" i="6"/>
  <c r="BG478" i="6"/>
  <c r="CA478" i="6"/>
  <c r="BX478" i="6"/>
  <c r="BM478" i="6"/>
  <c r="CK478" i="6"/>
  <c r="CJ479" i="6"/>
  <c r="CI479" i="6"/>
  <c r="CH479" i="6"/>
  <c r="CG479" i="6"/>
  <c r="CF479" i="6"/>
  <c r="CM479" i="6"/>
  <c r="CL479" i="6"/>
  <c r="CK479" i="6"/>
  <c r="BR479" i="6"/>
  <c r="BQ479" i="6"/>
  <c r="BO479" i="6"/>
  <c r="BN479" i="6"/>
  <c r="BM479" i="6"/>
  <c r="BT479" i="6"/>
  <c r="BP479" i="6"/>
  <c r="BS479" i="6"/>
  <c r="A479" i="6"/>
  <c r="U479" i="5"/>
  <c r="AN479" i="5" s="1"/>
  <c r="E479" i="12"/>
  <c r="F479" i="6"/>
  <c r="H480" i="5"/>
  <c r="E480" i="5"/>
  <c r="K480" i="5"/>
  <c r="A480" i="12"/>
  <c r="C481" i="5"/>
  <c r="G480" i="5"/>
  <c r="AE480" i="5"/>
  <c r="B480" i="6"/>
  <c r="N480" i="5"/>
  <c r="D480" i="6" s="1"/>
  <c r="F480" i="5"/>
  <c r="D480" i="5"/>
  <c r="B480" i="12" s="1"/>
  <c r="J480" i="5"/>
  <c r="B480" i="5"/>
  <c r="AD480" i="5"/>
  <c r="G479" i="6"/>
  <c r="N479" i="6"/>
  <c r="H479" i="6"/>
  <c r="M479" i="6"/>
  <c r="BD479" i="6" s="1"/>
  <c r="A480" i="6" l="1"/>
  <c r="N480" i="6" s="1"/>
  <c r="AU479" i="6"/>
  <c r="AZ479" i="6"/>
  <c r="AW479" i="6"/>
  <c r="AY479" i="6"/>
  <c r="BA479" i="6"/>
  <c r="AX479" i="6"/>
  <c r="AT479" i="6"/>
  <c r="AV479" i="6"/>
  <c r="CA479" i="6"/>
  <c r="CD479" i="6"/>
  <c r="BH479" i="6"/>
  <c r="BL479" i="6"/>
  <c r="BG479" i="6"/>
  <c r="BV479" i="6"/>
  <c r="BJ479" i="6"/>
  <c r="BZ479" i="6"/>
  <c r="BK479" i="6"/>
  <c r="BE479" i="6"/>
  <c r="CC479" i="6"/>
  <c r="BX479" i="6"/>
  <c r="BI479" i="6"/>
  <c r="BF479" i="6"/>
  <c r="BY479" i="6"/>
  <c r="CB479" i="6"/>
  <c r="BW479" i="6"/>
  <c r="BC479" i="6"/>
  <c r="T479" i="5"/>
  <c r="G479" i="12" s="1"/>
  <c r="AK479" i="6"/>
  <c r="AP479" i="6"/>
  <c r="AM479" i="6"/>
  <c r="AJ479" i="6"/>
  <c r="AO479" i="6"/>
  <c r="AS479" i="6"/>
  <c r="AN479" i="6"/>
  <c r="AR479" i="6"/>
  <c r="AL479" i="6"/>
  <c r="AQ479" i="6"/>
  <c r="H480" i="6"/>
  <c r="CE479" i="6"/>
  <c r="AD481" i="5"/>
  <c r="J481" i="5"/>
  <c r="K481" i="5"/>
  <c r="G481" i="5"/>
  <c r="C482" i="5"/>
  <c r="H481" i="5"/>
  <c r="F481" i="5"/>
  <c r="N481" i="5"/>
  <c r="D481" i="6" s="1"/>
  <c r="B481" i="6"/>
  <c r="D481" i="5"/>
  <c r="B481" i="12" s="1"/>
  <c r="A481" i="12"/>
  <c r="AE481" i="5"/>
  <c r="B481" i="5"/>
  <c r="E481" i="5"/>
  <c r="L480" i="12"/>
  <c r="J480" i="12"/>
  <c r="M480" i="6" l="1"/>
  <c r="CB480" i="6" s="1"/>
  <c r="A481" i="6"/>
  <c r="N481" i="6" s="1"/>
  <c r="T480" i="5"/>
  <c r="G480" i="12" s="1"/>
  <c r="K480" i="12"/>
  <c r="J481" i="12"/>
  <c r="L481" i="12"/>
  <c r="B482" i="5"/>
  <c r="AD482" i="5"/>
  <c r="J482" i="5"/>
  <c r="H482" i="5"/>
  <c r="A482" i="12"/>
  <c r="F482" i="5"/>
  <c r="N482" i="5"/>
  <c r="D482" i="6" s="1"/>
  <c r="K482" i="5"/>
  <c r="G482" i="5"/>
  <c r="E482" i="5"/>
  <c r="D482" i="5"/>
  <c r="B482" i="12" s="1"/>
  <c r="C483" i="5"/>
  <c r="AE482" i="5"/>
  <c r="B482" i="6"/>
  <c r="H481" i="6"/>
  <c r="BG480" i="6" l="1"/>
  <c r="BH480" i="6"/>
  <c r="CH480" i="6"/>
  <c r="BE480" i="6"/>
  <c r="BP480" i="6"/>
  <c r="BO480" i="6"/>
  <c r="BZ480" i="6"/>
  <c r="CD480" i="6"/>
  <c r="BL480" i="6"/>
  <c r="BM480" i="6"/>
  <c r="BJ480" i="6"/>
  <c r="BK480" i="6"/>
  <c r="BT480" i="6"/>
  <c r="BF480" i="6"/>
  <c r="CA480" i="6"/>
  <c r="BW480" i="6"/>
  <c r="BN480" i="6"/>
  <c r="CM480" i="6"/>
  <c r="BQ480" i="6"/>
  <c r="BX480" i="6"/>
  <c r="CG480" i="6"/>
  <c r="CL480" i="6"/>
  <c r="BD480" i="6"/>
  <c r="CF480" i="6"/>
  <c r="CK480" i="6"/>
  <c r="CE480" i="6"/>
  <c r="BS480" i="6"/>
  <c r="CI480" i="6"/>
  <c r="BV480" i="6"/>
  <c r="BC480" i="6"/>
  <c r="BY480" i="6"/>
  <c r="BI480" i="6"/>
  <c r="CC480" i="6"/>
  <c r="BR480" i="6"/>
  <c r="CJ480" i="6"/>
  <c r="M481" i="6"/>
  <c r="CB481" i="6" s="1"/>
  <c r="A482" i="6"/>
  <c r="N482" i="6" s="1"/>
  <c r="K481" i="12"/>
  <c r="H482" i="6"/>
  <c r="J482" i="12"/>
  <c r="L482" i="12"/>
  <c r="T481" i="5"/>
  <c r="G481" i="12" s="1"/>
  <c r="J483" i="5"/>
  <c r="C484" i="5"/>
  <c r="H483" i="5"/>
  <c r="F483" i="5"/>
  <c r="D483" i="5"/>
  <c r="B483" i="12" s="1"/>
  <c r="B483" i="5"/>
  <c r="G483" i="5"/>
  <c r="A483" i="12"/>
  <c r="AE483" i="5"/>
  <c r="K483" i="5"/>
  <c r="N483" i="5"/>
  <c r="D483" i="6" s="1"/>
  <c r="AD483" i="5"/>
  <c r="E483" i="5"/>
  <c r="B483" i="6"/>
  <c r="I479" i="5"/>
  <c r="A483" i="6" l="1"/>
  <c r="M483" i="6" s="1"/>
  <c r="BJ483" i="6" s="1"/>
  <c r="BR481" i="6"/>
  <c r="CD481" i="6"/>
  <c r="BE481" i="6"/>
  <c r="CK481" i="6"/>
  <c r="BI481" i="6"/>
  <c r="BO481" i="6"/>
  <c r="CJ481" i="6"/>
  <c r="BJ481" i="6"/>
  <c r="BZ481" i="6"/>
  <c r="CI481" i="6"/>
  <c r="BC481" i="6"/>
  <c r="BX481" i="6"/>
  <c r="BW481" i="6"/>
  <c r="CH481" i="6"/>
  <c r="CL481" i="6"/>
  <c r="CA481" i="6"/>
  <c r="CE481" i="6"/>
  <c r="BH481" i="6"/>
  <c r="CG481" i="6"/>
  <c r="BY481" i="6"/>
  <c r="BN481" i="6"/>
  <c r="BM481" i="6"/>
  <c r="BL481" i="6"/>
  <c r="BD481" i="6"/>
  <c r="BG481" i="6"/>
  <c r="CM481" i="6"/>
  <c r="BT481" i="6"/>
  <c r="BF481" i="6"/>
  <c r="CC481" i="6"/>
  <c r="BK481" i="6"/>
  <c r="BV481" i="6"/>
  <c r="BP481" i="6"/>
  <c r="CF481" i="6"/>
  <c r="BQ481" i="6"/>
  <c r="BS481" i="6"/>
  <c r="M482" i="6"/>
  <c r="K482" i="12"/>
  <c r="AE484" i="5"/>
  <c r="B484" i="6"/>
  <c r="N484" i="5"/>
  <c r="D484" i="6" s="1"/>
  <c r="A484" i="12"/>
  <c r="K484" i="5"/>
  <c r="D484" i="5"/>
  <c r="B484" i="12" s="1"/>
  <c r="G484" i="5"/>
  <c r="E484" i="5"/>
  <c r="H484" i="5"/>
  <c r="C485" i="5"/>
  <c r="F484" i="5"/>
  <c r="AD484" i="5"/>
  <c r="B484" i="5"/>
  <c r="J484" i="5"/>
  <c r="H483" i="6"/>
  <c r="J483" i="12"/>
  <c r="L483" i="12"/>
  <c r="T482" i="5"/>
  <c r="G482" i="12" s="1"/>
  <c r="N483" i="6" l="1"/>
  <c r="BN483" i="6"/>
  <c r="BT483" i="6"/>
  <c r="BM483" i="6"/>
  <c r="BG482" i="6"/>
  <c r="CD482" i="6"/>
  <c r="BO483" i="6"/>
  <c r="CH483" i="6"/>
  <c r="BY482" i="6"/>
  <c r="CI483" i="6"/>
  <c r="BV482" i="6"/>
  <c r="CJ483" i="6"/>
  <c r="BL482" i="6"/>
  <c r="CK483" i="6"/>
  <c r="BK482" i="6"/>
  <c r="CA482" i="6"/>
  <c r="CL483" i="6"/>
  <c r="CM483" i="6"/>
  <c r="BH482" i="6"/>
  <c r="BW482" i="6"/>
  <c r="BD482" i="6"/>
  <c r="CB482" i="6"/>
  <c r="BP483" i="6"/>
  <c r="BJ482" i="6"/>
  <c r="BI482" i="6"/>
  <c r="BF482" i="6"/>
  <c r="BQ483" i="6"/>
  <c r="CE482" i="6"/>
  <c r="BR483" i="6"/>
  <c r="BZ482" i="6"/>
  <c r="BS483" i="6"/>
  <c r="BE482" i="6"/>
  <c r="BX482" i="6"/>
  <c r="CF483" i="6"/>
  <c r="BC482" i="6"/>
  <c r="CL482" i="6"/>
  <c r="CK482" i="6"/>
  <c r="BR482" i="6"/>
  <c r="BQ482" i="6"/>
  <c r="BO482" i="6"/>
  <c r="BN482" i="6"/>
  <c r="CJ482" i="6"/>
  <c r="BM482" i="6"/>
  <c r="CI482" i="6"/>
  <c r="BT482" i="6"/>
  <c r="CH482" i="6"/>
  <c r="BS482" i="6"/>
  <c r="CG482" i="6"/>
  <c r="BP482" i="6"/>
  <c r="CF482" i="6"/>
  <c r="CM482" i="6"/>
  <c r="CC482" i="6"/>
  <c r="CG483" i="6"/>
  <c r="A484" i="6"/>
  <c r="M484" i="6" s="1"/>
  <c r="BX483" i="6"/>
  <c r="CE483" i="6"/>
  <c r="H484" i="6"/>
  <c r="N485" i="5"/>
  <c r="D485" i="6" s="1"/>
  <c r="G485" i="5"/>
  <c r="AD485" i="5"/>
  <c r="E485" i="5"/>
  <c r="C486" i="5"/>
  <c r="D485" i="5"/>
  <c r="B485" i="12" s="1"/>
  <c r="A485" i="12"/>
  <c r="J485" i="5"/>
  <c r="B485" i="6"/>
  <c r="H485" i="5"/>
  <c r="AE485" i="5"/>
  <c r="F485" i="5"/>
  <c r="B485" i="5"/>
  <c r="K485" i="5"/>
  <c r="BI483" i="6"/>
  <c r="BF483" i="6"/>
  <c r="BD483" i="6"/>
  <c r="CA483" i="6"/>
  <c r="BH483" i="6"/>
  <c r="BG483" i="6"/>
  <c r="CD483" i="6"/>
  <c r="BL483" i="6"/>
  <c r="CC483" i="6"/>
  <c r="BZ483" i="6"/>
  <c r="BV483" i="6"/>
  <c r="CB483" i="6"/>
  <c r="BY483" i="6"/>
  <c r="BE483" i="6"/>
  <c r="BC483" i="6"/>
  <c r="BK483" i="6"/>
  <c r="BW483" i="6"/>
  <c r="T483" i="5"/>
  <c r="G483" i="12" s="1"/>
  <c r="K483" i="12"/>
  <c r="L484" i="12"/>
  <c r="J484" i="12"/>
  <c r="N484" i="6" l="1"/>
  <c r="BS484" i="6"/>
  <c r="BM484" i="6"/>
  <c r="BT484" i="6"/>
  <c r="BN484" i="6"/>
  <c r="CG484" i="6"/>
  <c r="CH484" i="6"/>
  <c r="CI484" i="6"/>
  <c r="CJ484" i="6"/>
  <c r="BO484" i="6"/>
  <c r="CK484" i="6"/>
  <c r="BR484" i="6"/>
  <c r="CL484" i="6"/>
  <c r="BP484" i="6"/>
  <c r="CM484" i="6"/>
  <c r="BQ484" i="6"/>
  <c r="CF484" i="6"/>
  <c r="A485" i="6"/>
  <c r="N485" i="6" s="1"/>
  <c r="CC484" i="6"/>
  <c r="BW484" i="6"/>
  <c r="BH484" i="6"/>
  <c r="BV484" i="6"/>
  <c r="CA484" i="6"/>
  <c r="F486" i="5"/>
  <c r="B486" i="5"/>
  <c r="H486" i="5"/>
  <c r="N486" i="5"/>
  <c r="D486" i="6" s="1"/>
  <c r="AD486" i="5"/>
  <c r="J486" i="5"/>
  <c r="C487" i="5"/>
  <c r="B486" i="6"/>
  <c r="A486" i="12"/>
  <c r="AE486" i="5"/>
  <c r="E486" i="5"/>
  <c r="D486" i="5"/>
  <c r="B486" i="12" s="1"/>
  <c r="G486" i="5"/>
  <c r="K486" i="5"/>
  <c r="BD484" i="6"/>
  <c r="BL484" i="6"/>
  <c r="BI484" i="6"/>
  <c r="BX484" i="6"/>
  <c r="BK484" i="6"/>
  <c r="H485" i="6"/>
  <c r="BZ484" i="6"/>
  <c r="BY484" i="6"/>
  <c r="BF484" i="6"/>
  <c r="CE484" i="6"/>
  <c r="K484" i="12"/>
  <c r="CD484" i="6"/>
  <c r="BE484" i="6"/>
  <c r="BG484" i="6"/>
  <c r="T484" i="5"/>
  <c r="G484" i="12" s="1"/>
  <c r="L485" i="12"/>
  <c r="J485" i="12"/>
  <c r="CB484" i="6"/>
  <c r="BJ484" i="6"/>
  <c r="BC484" i="6"/>
  <c r="M485" i="6" l="1"/>
  <c r="CF485" i="6" s="1"/>
  <c r="A486" i="6"/>
  <c r="N486" i="6" s="1"/>
  <c r="K485" i="12"/>
  <c r="L486" i="12"/>
  <c r="J486" i="12"/>
  <c r="T485" i="5"/>
  <c r="G485" i="12" s="1"/>
  <c r="H487" i="5"/>
  <c r="F487" i="5"/>
  <c r="D487" i="5"/>
  <c r="B487" i="12" s="1"/>
  <c r="B487" i="5"/>
  <c r="B487" i="6"/>
  <c r="E487" i="5"/>
  <c r="J487" i="5"/>
  <c r="A487" i="12"/>
  <c r="AE487" i="5"/>
  <c r="K487" i="5"/>
  <c r="N487" i="5"/>
  <c r="D487" i="6" s="1"/>
  <c r="G487" i="5"/>
  <c r="AD487" i="5"/>
  <c r="C488" i="5"/>
  <c r="H486" i="6"/>
  <c r="CA485" i="6" l="1"/>
  <c r="BR485" i="6"/>
  <c r="BQ485" i="6"/>
  <c r="CK485" i="6"/>
  <c r="BZ485" i="6"/>
  <c r="BJ485" i="6"/>
  <c r="BO485" i="6"/>
  <c r="BL485" i="6"/>
  <c r="BH485" i="6"/>
  <c r="BN485" i="6"/>
  <c r="CC485" i="6"/>
  <c r="CE485" i="6"/>
  <c r="CJ485" i="6"/>
  <c r="BD485" i="6"/>
  <c r="BE485" i="6"/>
  <c r="BM485" i="6"/>
  <c r="BI485" i="6"/>
  <c r="CI485" i="6"/>
  <c r="BX485" i="6"/>
  <c r="BT485" i="6"/>
  <c r="BY485" i="6"/>
  <c r="BG485" i="6"/>
  <c r="BF485" i="6"/>
  <c r="BW485" i="6"/>
  <c r="BS485" i="6"/>
  <c r="CH485" i="6"/>
  <c r="BV485" i="6"/>
  <c r="BC485" i="6"/>
  <c r="CM485" i="6"/>
  <c r="BP485" i="6"/>
  <c r="CD485" i="6"/>
  <c r="CB485" i="6"/>
  <c r="BK485" i="6"/>
  <c r="CL485" i="6"/>
  <c r="CG485" i="6"/>
  <c r="M486" i="6"/>
  <c r="CB486" i="6" s="1"/>
  <c r="A487" i="6"/>
  <c r="M487" i="6" s="1"/>
  <c r="K486" i="12"/>
  <c r="L487" i="12"/>
  <c r="J487" i="12"/>
  <c r="T486" i="5"/>
  <c r="G486" i="12" s="1"/>
  <c r="B488" i="6"/>
  <c r="F488" i="5"/>
  <c r="K488" i="5"/>
  <c r="D488" i="5"/>
  <c r="B488" i="12" s="1"/>
  <c r="B488" i="5"/>
  <c r="AE488" i="5"/>
  <c r="A488" i="12"/>
  <c r="N488" i="5"/>
  <c r="D488" i="6" s="1"/>
  <c r="AD488" i="5"/>
  <c r="J488" i="5"/>
  <c r="H488" i="5"/>
  <c r="E488" i="5"/>
  <c r="G488" i="5"/>
  <c r="C489" i="5"/>
  <c r="H487" i="6"/>
  <c r="BG486" i="6" l="1"/>
  <c r="CD486" i="6"/>
  <c r="BK486" i="6"/>
  <c r="BV486" i="6"/>
  <c r="CA486" i="6"/>
  <c r="BL486" i="6"/>
  <c r="CC486" i="6"/>
  <c r="BX486" i="6"/>
  <c r="BL487" i="6"/>
  <c r="CI487" i="6"/>
  <c r="CH487" i="6"/>
  <c r="CG487" i="6"/>
  <c r="BN487" i="6"/>
  <c r="BM487" i="6"/>
  <c r="BT487" i="6"/>
  <c r="BS487" i="6"/>
  <c r="CF487" i="6"/>
  <c r="BQ487" i="6"/>
  <c r="CM487" i="6"/>
  <c r="BP487" i="6"/>
  <c r="CL487" i="6"/>
  <c r="BR487" i="6"/>
  <c r="CK487" i="6"/>
  <c r="BO487" i="6"/>
  <c r="CJ487" i="6"/>
  <c r="CG486" i="6"/>
  <c r="CF486" i="6"/>
  <c r="BS486" i="6"/>
  <c r="BR486" i="6"/>
  <c r="BQ486" i="6"/>
  <c r="BP486" i="6"/>
  <c r="CM486" i="6"/>
  <c r="BO486" i="6"/>
  <c r="CL486" i="6"/>
  <c r="BM486" i="6"/>
  <c r="CK486" i="6"/>
  <c r="BT486" i="6"/>
  <c r="CJ486" i="6"/>
  <c r="BN486" i="6"/>
  <c r="CI486" i="6"/>
  <c r="CH486" i="6"/>
  <c r="BW486" i="6"/>
  <c r="BC486" i="6"/>
  <c r="BI486" i="6"/>
  <c r="BY486" i="6"/>
  <c r="BE486" i="6"/>
  <c r="BH486" i="6"/>
  <c r="BD486" i="6"/>
  <c r="N487" i="6"/>
  <c r="BJ486" i="6"/>
  <c r="BF486" i="6"/>
  <c r="BZ486" i="6"/>
  <c r="CE486" i="6"/>
  <c r="A488" i="6"/>
  <c r="M488" i="6" s="1"/>
  <c r="BC488" i="6" s="1"/>
  <c r="K487" i="12"/>
  <c r="BV487" i="6"/>
  <c r="BE487" i="6"/>
  <c r="BZ487" i="6"/>
  <c r="BJ487" i="6"/>
  <c r="BH487" i="6"/>
  <c r="CB487" i="6"/>
  <c r="J489" i="5"/>
  <c r="B489" i="5"/>
  <c r="F489" i="5"/>
  <c r="H489" i="5"/>
  <c r="G489" i="5"/>
  <c r="A489" i="12"/>
  <c r="D489" i="5"/>
  <c r="B489" i="12" s="1"/>
  <c r="B489" i="6"/>
  <c r="AE489" i="5"/>
  <c r="K489" i="5"/>
  <c r="N489" i="5"/>
  <c r="D489" i="6" s="1"/>
  <c r="E489" i="5"/>
  <c r="AD489" i="5"/>
  <c r="H488" i="6"/>
  <c r="T487" i="5"/>
  <c r="G487" i="12" s="1"/>
  <c r="L488" i="12"/>
  <c r="J488" i="12"/>
  <c r="BG487" i="6"/>
  <c r="BX487" i="6"/>
  <c r="CD487" i="6"/>
  <c r="CA487" i="6"/>
  <c r="BC487" i="6"/>
  <c r="BI487" i="6"/>
  <c r="CE487" i="6"/>
  <c r="BD487" i="6"/>
  <c r="BK487" i="6"/>
  <c r="BY487" i="6"/>
  <c r="BF487" i="6"/>
  <c r="CC487" i="6"/>
  <c r="BW487" i="6"/>
  <c r="N488" i="6" l="1"/>
  <c r="BP488" i="6"/>
  <c r="CG488" i="6"/>
  <c r="BS488" i="6"/>
  <c r="CH488" i="6"/>
  <c r="BT488" i="6"/>
  <c r="CI488" i="6"/>
  <c r="BM488" i="6"/>
  <c r="CJ488" i="6"/>
  <c r="BN488" i="6"/>
  <c r="BO488" i="6"/>
  <c r="BQ488" i="6"/>
  <c r="BR488" i="6"/>
  <c r="CK488" i="6"/>
  <c r="CL488" i="6"/>
  <c r="CM488" i="6"/>
  <c r="CF488" i="6"/>
  <c r="A489" i="6"/>
  <c r="N489" i="6" s="1"/>
  <c r="BH488" i="6"/>
  <c r="BG488" i="6"/>
  <c r="BW488" i="6"/>
  <c r="T488" i="5"/>
  <c r="G488" i="12" s="1"/>
  <c r="BD488" i="6"/>
  <c r="L489" i="12"/>
  <c r="J489" i="12"/>
  <c r="CE488" i="6"/>
  <c r="BK488" i="6"/>
  <c r="BZ488" i="6"/>
  <c r="BJ488" i="6"/>
  <c r="BI488" i="6"/>
  <c r="BE488" i="6"/>
  <c r="BF488" i="6"/>
  <c r="BV488" i="6"/>
  <c r="BY488" i="6"/>
  <c r="CB488" i="6"/>
  <c r="CD488" i="6"/>
  <c r="BX488" i="6"/>
  <c r="CA488" i="6"/>
  <c r="C490" i="5"/>
  <c r="H489" i="6"/>
  <c r="BL488" i="6"/>
  <c r="K488" i="12"/>
  <c r="CC488" i="6"/>
  <c r="AF490" i="5"/>
  <c r="M489" i="6" l="1"/>
  <c r="BE489" i="6" s="1"/>
  <c r="AG490" i="5"/>
  <c r="S490" i="5"/>
  <c r="F490" i="12" s="1"/>
  <c r="T489" i="5"/>
  <c r="G489" i="12" s="1"/>
  <c r="K489" i="12"/>
  <c r="A490" i="12"/>
  <c r="B490" i="5"/>
  <c r="E490" i="5"/>
  <c r="G490" i="5"/>
  <c r="B490" i="6"/>
  <c r="AE490" i="5"/>
  <c r="N490" i="5"/>
  <c r="D490" i="6" s="1"/>
  <c r="AD490" i="5"/>
  <c r="C491" i="5"/>
  <c r="H490" i="5"/>
  <c r="W490" i="5"/>
  <c r="H490" i="12" s="1"/>
  <c r="F490" i="5"/>
  <c r="CD489" i="6" l="1"/>
  <c r="BT489" i="6"/>
  <c r="BV489" i="6"/>
  <c r="CJ489" i="6"/>
  <c r="BL489" i="6"/>
  <c r="BN489" i="6"/>
  <c r="BI489" i="6"/>
  <c r="CC489" i="6"/>
  <c r="CI489" i="6"/>
  <c r="CH489" i="6"/>
  <c r="CK489" i="6"/>
  <c r="CG489" i="6"/>
  <c r="BD489" i="6"/>
  <c r="BJ489" i="6"/>
  <c r="CF489" i="6"/>
  <c r="BW489" i="6"/>
  <c r="CM489" i="6"/>
  <c r="BS489" i="6"/>
  <c r="CB489" i="6"/>
  <c r="BO489" i="6"/>
  <c r="BR489" i="6"/>
  <c r="BH489" i="6"/>
  <c r="CA489" i="6"/>
  <c r="CL489" i="6"/>
  <c r="BQ489" i="6"/>
  <c r="BC489" i="6"/>
  <c r="BK489" i="6"/>
  <c r="BX489" i="6"/>
  <c r="CE489" i="6"/>
  <c r="BZ489" i="6"/>
  <c r="BG489" i="6"/>
  <c r="BY489" i="6"/>
  <c r="BF489" i="6"/>
  <c r="BM489" i="6"/>
  <c r="BP489" i="6"/>
  <c r="CF490" i="6"/>
  <c r="CM490" i="6"/>
  <c r="CL490" i="6"/>
  <c r="CK490" i="6"/>
  <c r="CJ490" i="6"/>
  <c r="CI490" i="6"/>
  <c r="CH490" i="6"/>
  <c r="CG490" i="6"/>
  <c r="BN490" i="6"/>
  <c r="BM490" i="6"/>
  <c r="BT490" i="6"/>
  <c r="BS490" i="6"/>
  <c r="BQ490" i="6"/>
  <c r="BP490" i="6"/>
  <c r="BR490" i="6"/>
  <c r="BO490" i="6"/>
  <c r="A490" i="6"/>
  <c r="U490" i="5"/>
  <c r="AN490" i="5" s="1"/>
  <c r="N491" i="5"/>
  <c r="D491" i="6" s="1"/>
  <c r="AD491" i="5"/>
  <c r="J491" i="5"/>
  <c r="A491" i="12"/>
  <c r="H491" i="5"/>
  <c r="D491" i="5"/>
  <c r="B491" i="12" s="1"/>
  <c r="B491" i="5"/>
  <c r="G491" i="5"/>
  <c r="K491" i="5"/>
  <c r="E491" i="5"/>
  <c r="B491" i="6"/>
  <c r="F491" i="5"/>
  <c r="C492" i="5"/>
  <c r="AE491" i="5"/>
  <c r="G490" i="6"/>
  <c r="M490" i="6"/>
  <c r="N490" i="6"/>
  <c r="H490" i="6"/>
  <c r="E490" i="12"/>
  <c r="F490" i="6"/>
  <c r="AZ490" i="6" l="1"/>
  <c r="AT490" i="6"/>
  <c r="AU490" i="6"/>
  <c r="AV490" i="6"/>
  <c r="AX490" i="6"/>
  <c r="AW490" i="6"/>
  <c r="AY490" i="6"/>
  <c r="BA490" i="6"/>
  <c r="A491" i="6"/>
  <c r="M491" i="6" s="1"/>
  <c r="CA491" i="6" s="1"/>
  <c r="T490" i="5"/>
  <c r="G490" i="12" s="1"/>
  <c r="AN490" i="6"/>
  <c r="AQ490" i="6"/>
  <c r="AM490" i="6"/>
  <c r="AL490" i="6"/>
  <c r="AS490" i="6"/>
  <c r="AR490" i="6"/>
  <c r="AK490" i="6"/>
  <c r="AO490" i="6"/>
  <c r="AJ490" i="6"/>
  <c r="AP490" i="6"/>
  <c r="CC490" i="6"/>
  <c r="CE490" i="6"/>
  <c r="BF490" i="6"/>
  <c r="BC490" i="6"/>
  <c r="BL490" i="6"/>
  <c r="BZ490" i="6"/>
  <c r="BH490" i="6"/>
  <c r="BE490" i="6"/>
  <c r="BX490" i="6"/>
  <c r="BI490" i="6"/>
  <c r="BY490" i="6"/>
  <c r="BK490" i="6"/>
  <c r="CD490" i="6"/>
  <c r="BJ490" i="6"/>
  <c r="BG490" i="6"/>
  <c r="BD490" i="6"/>
  <c r="CB490" i="6"/>
  <c r="BV490" i="6"/>
  <c r="BW490" i="6"/>
  <c r="CA490" i="6"/>
  <c r="L491" i="12"/>
  <c r="J491" i="12"/>
  <c r="D492" i="5"/>
  <c r="B492" i="12" s="1"/>
  <c r="A492" i="12"/>
  <c r="B492" i="5"/>
  <c r="B492" i="6"/>
  <c r="C493" i="5"/>
  <c r="AE492" i="5"/>
  <c r="K492" i="5"/>
  <c r="N492" i="5"/>
  <c r="D492" i="6" s="1"/>
  <c r="E492" i="5"/>
  <c r="AD492" i="5"/>
  <c r="J492" i="5"/>
  <c r="H492" i="5"/>
  <c r="G492" i="5"/>
  <c r="F492" i="5"/>
  <c r="H491" i="6"/>
  <c r="N491" i="6" l="1"/>
  <c r="BR491" i="6"/>
  <c r="CK491" i="6"/>
  <c r="CL491" i="6"/>
  <c r="CM491" i="6"/>
  <c r="BS491" i="6"/>
  <c r="CF491" i="6"/>
  <c r="CG491" i="6"/>
  <c r="BP491" i="6"/>
  <c r="CH491" i="6"/>
  <c r="BT491" i="6"/>
  <c r="CI491" i="6"/>
  <c r="BM491" i="6"/>
  <c r="CJ491" i="6"/>
  <c r="BN491" i="6"/>
  <c r="BO491" i="6"/>
  <c r="BQ491" i="6"/>
  <c r="A492" i="6"/>
  <c r="M492" i="6" s="1"/>
  <c r="CC492" i="6" s="1"/>
  <c r="BW491" i="6"/>
  <c r="K491" i="12"/>
  <c r="BI491" i="6"/>
  <c r="BH491" i="6"/>
  <c r="CD491" i="6"/>
  <c r="H492" i="6"/>
  <c r="BZ491" i="6"/>
  <c r="CC491" i="6"/>
  <c r="BG491" i="6"/>
  <c r="BF491" i="6"/>
  <c r="BC491" i="6"/>
  <c r="BX491" i="6"/>
  <c r="BD491" i="6"/>
  <c r="BV491" i="6"/>
  <c r="CB491" i="6"/>
  <c r="BY491" i="6"/>
  <c r="BE491" i="6"/>
  <c r="CE491" i="6"/>
  <c r="J493" i="5"/>
  <c r="H493" i="5"/>
  <c r="B493" i="6"/>
  <c r="A493" i="12"/>
  <c r="E493" i="5"/>
  <c r="G493" i="5"/>
  <c r="C494" i="5"/>
  <c r="K493" i="5"/>
  <c r="D493" i="5"/>
  <c r="B493" i="12" s="1"/>
  <c r="F493" i="5"/>
  <c r="B493" i="5"/>
  <c r="N493" i="5"/>
  <c r="D493" i="6" s="1"/>
  <c r="AE493" i="5"/>
  <c r="AD493" i="5"/>
  <c r="L492" i="12"/>
  <c r="J492" i="12"/>
  <c r="BJ491" i="6"/>
  <c r="BL491" i="6"/>
  <c r="BK491" i="6"/>
  <c r="T491" i="5"/>
  <c r="G491" i="12" s="1"/>
  <c r="BQ492" i="6" l="1"/>
  <c r="BR492" i="6"/>
  <c r="BS492" i="6"/>
  <c r="CF492" i="6"/>
  <c r="CG492" i="6"/>
  <c r="CH492" i="6"/>
  <c r="CI492" i="6"/>
  <c r="BN492" i="6"/>
  <c r="CJ492" i="6"/>
  <c r="BT492" i="6"/>
  <c r="CK492" i="6"/>
  <c r="BM492" i="6"/>
  <c r="CL492" i="6"/>
  <c r="BO492" i="6"/>
  <c r="CM492" i="6"/>
  <c r="BP492" i="6"/>
  <c r="N492" i="6"/>
  <c r="A493" i="6"/>
  <c r="N493" i="6" s="1"/>
  <c r="BX492" i="6"/>
  <c r="I490" i="5"/>
  <c r="L493" i="12"/>
  <c r="J493" i="12"/>
  <c r="T492" i="5"/>
  <c r="G492" i="12" s="1"/>
  <c r="K492" i="12"/>
  <c r="H493" i="6"/>
  <c r="CB492" i="6"/>
  <c r="BF492" i="6"/>
  <c r="BW492" i="6"/>
  <c r="BJ492" i="6"/>
  <c r="BD492" i="6"/>
  <c r="BG492" i="6"/>
  <c r="BV492" i="6"/>
  <c r="BZ492" i="6"/>
  <c r="CD492" i="6"/>
  <c r="CA492" i="6"/>
  <c r="BK492" i="6"/>
  <c r="CE492" i="6"/>
  <c r="BY492" i="6"/>
  <c r="BL492" i="6"/>
  <c r="BC492" i="6"/>
  <c r="BE492" i="6"/>
  <c r="BI492" i="6"/>
  <c r="BH492" i="6"/>
  <c r="B494" i="6"/>
  <c r="J494" i="5"/>
  <c r="H494" i="5"/>
  <c r="C495" i="5"/>
  <c r="G494" i="5"/>
  <c r="F494" i="5"/>
  <c r="AD494" i="5"/>
  <c r="D494" i="5"/>
  <c r="B494" i="12" s="1"/>
  <c r="B494" i="5"/>
  <c r="A494" i="12"/>
  <c r="K494" i="5"/>
  <c r="AE494" i="5"/>
  <c r="E494" i="5"/>
  <c r="N494" i="5"/>
  <c r="D494" i="6" s="1"/>
  <c r="M493" i="6" l="1"/>
  <c r="BF493" i="6" s="1"/>
  <c r="A494" i="6"/>
  <c r="N494" i="6" s="1"/>
  <c r="K493" i="12"/>
  <c r="L494" i="12"/>
  <c r="J494" i="12"/>
  <c r="T493" i="5"/>
  <c r="G493" i="12" s="1"/>
  <c r="B495" i="5"/>
  <c r="A495" i="12"/>
  <c r="N495" i="5"/>
  <c r="D495" i="6" s="1"/>
  <c r="K495" i="5"/>
  <c r="B495" i="6"/>
  <c r="J495" i="5"/>
  <c r="E495" i="5"/>
  <c r="C496" i="5"/>
  <c r="G495" i="5"/>
  <c r="AD495" i="5"/>
  <c r="H495" i="5"/>
  <c r="F495" i="5"/>
  <c r="AE495" i="5"/>
  <c r="D495" i="5"/>
  <c r="B495" i="12" s="1"/>
  <c r="H494" i="6"/>
  <c r="CH493" i="6" l="1"/>
  <c r="CA493" i="6"/>
  <c r="BG493" i="6"/>
  <c r="CG493" i="6"/>
  <c r="BN493" i="6"/>
  <c r="BL493" i="6"/>
  <c r="BY493" i="6"/>
  <c r="BM493" i="6"/>
  <c r="CI493" i="6"/>
  <c r="CB493" i="6"/>
  <c r="BS493" i="6"/>
  <c r="CC493" i="6"/>
  <c r="CF493" i="6"/>
  <c r="BW493" i="6"/>
  <c r="CD493" i="6"/>
  <c r="BQ493" i="6"/>
  <c r="BC493" i="6"/>
  <c r="BD493" i="6"/>
  <c r="BH493" i="6"/>
  <c r="CM493" i="6"/>
  <c r="BJ493" i="6"/>
  <c r="BK493" i="6"/>
  <c r="BP493" i="6"/>
  <c r="CL493" i="6"/>
  <c r="BZ493" i="6"/>
  <c r="BE493" i="6"/>
  <c r="BI493" i="6"/>
  <c r="BV493" i="6"/>
  <c r="CE493" i="6"/>
  <c r="A495" i="6"/>
  <c r="M495" i="6" s="1"/>
  <c r="BZ495" i="6" s="1"/>
  <c r="BX493" i="6"/>
  <c r="CJ493" i="6"/>
  <c r="BR493" i="6"/>
  <c r="CK493" i="6"/>
  <c r="BO493" i="6"/>
  <c r="BT493" i="6"/>
  <c r="M494" i="6"/>
  <c r="BF494" i="6" s="1"/>
  <c r="K494" i="12"/>
  <c r="E496" i="5"/>
  <c r="H495" i="6"/>
  <c r="T494" i="5"/>
  <c r="G494" i="12" s="1"/>
  <c r="J495" i="12"/>
  <c r="L495" i="12"/>
  <c r="G496" i="5"/>
  <c r="D496" i="5"/>
  <c r="B496" i="12" s="1"/>
  <c r="J496" i="5"/>
  <c r="F496" i="5"/>
  <c r="AE496" i="5"/>
  <c r="B496" i="5"/>
  <c r="H496" i="5"/>
  <c r="N496" i="5"/>
  <c r="D496" i="6" s="1"/>
  <c r="K496" i="5"/>
  <c r="C497" i="5"/>
  <c r="AD496" i="5"/>
  <c r="A496" i="12"/>
  <c r="B496" i="6"/>
  <c r="N495" i="6" l="1"/>
  <c r="CD494" i="6"/>
  <c r="BC494" i="6"/>
  <c r="BZ494" i="6"/>
  <c r="BS495" i="6"/>
  <c r="CF495" i="6"/>
  <c r="CG495" i="6"/>
  <c r="CH495" i="6"/>
  <c r="CB494" i="6"/>
  <c r="CI495" i="6"/>
  <c r="CC494" i="6"/>
  <c r="BK494" i="6"/>
  <c r="BN495" i="6"/>
  <c r="CJ495" i="6"/>
  <c r="BD494" i="6"/>
  <c r="CL494" i="6"/>
  <c r="CK494" i="6"/>
  <c r="BR494" i="6"/>
  <c r="BQ494" i="6"/>
  <c r="BO494" i="6"/>
  <c r="BN494" i="6"/>
  <c r="CJ494" i="6"/>
  <c r="BM494" i="6"/>
  <c r="CI494" i="6"/>
  <c r="BT494" i="6"/>
  <c r="CH494" i="6"/>
  <c r="BS494" i="6"/>
  <c r="CG494" i="6"/>
  <c r="BP494" i="6"/>
  <c r="CF494" i="6"/>
  <c r="CM494" i="6"/>
  <c r="BT495" i="6"/>
  <c r="CK495" i="6"/>
  <c r="BM495" i="6"/>
  <c r="CL495" i="6"/>
  <c r="BG494" i="6"/>
  <c r="BX494" i="6"/>
  <c r="CE494" i="6"/>
  <c r="BO495" i="6"/>
  <c r="CM495" i="6"/>
  <c r="BI494" i="6"/>
  <c r="BL494" i="6"/>
  <c r="BH494" i="6"/>
  <c r="BY494" i="6"/>
  <c r="BW494" i="6"/>
  <c r="BP495" i="6"/>
  <c r="BE494" i="6"/>
  <c r="BV494" i="6"/>
  <c r="BQ495" i="6"/>
  <c r="CA494" i="6"/>
  <c r="BJ494" i="6"/>
  <c r="BR495" i="6"/>
  <c r="A496" i="6"/>
  <c r="M496" i="6" s="1"/>
  <c r="BF496" i="6" s="1"/>
  <c r="BG495" i="6"/>
  <c r="E497" i="5"/>
  <c r="N497" i="5"/>
  <c r="D497" i="6" s="1"/>
  <c r="K497" i="5"/>
  <c r="G497" i="5"/>
  <c r="B497" i="6"/>
  <c r="C498" i="5"/>
  <c r="J497" i="5"/>
  <c r="A497" i="12"/>
  <c r="AD497" i="5"/>
  <c r="AE497" i="5"/>
  <c r="D497" i="5"/>
  <c r="B497" i="12" s="1"/>
  <c r="H496" i="6"/>
  <c r="K495" i="12"/>
  <c r="T495" i="5"/>
  <c r="G495" i="12" s="1"/>
  <c r="J496" i="12"/>
  <c r="L496" i="12"/>
  <c r="H497" i="5"/>
  <c r="BV495" i="6"/>
  <c r="CE495" i="6"/>
  <c r="BC495" i="6"/>
  <c r="BD495" i="6"/>
  <c r="BW495" i="6"/>
  <c r="CA495" i="6"/>
  <c r="BL495" i="6"/>
  <c r="BE495" i="6"/>
  <c r="BK495" i="6"/>
  <c r="BF495" i="6"/>
  <c r="CC495" i="6"/>
  <c r="BX495" i="6"/>
  <c r="CB495" i="6"/>
  <c r="BJ495" i="6"/>
  <c r="BH495" i="6"/>
  <c r="BI495" i="6"/>
  <c r="B497" i="5"/>
  <c r="BY495" i="6"/>
  <c r="F497" i="5"/>
  <c r="CD495" i="6"/>
  <c r="A497" i="6" l="1"/>
  <c r="M497" i="6" s="1"/>
  <c r="CB497" i="6" s="1"/>
  <c r="N496" i="6"/>
  <c r="BO496" i="6"/>
  <c r="BM496" i="6"/>
  <c r="BN496" i="6"/>
  <c r="CG496" i="6"/>
  <c r="CH496" i="6"/>
  <c r="CI496" i="6"/>
  <c r="CJ496" i="6"/>
  <c r="CK496" i="6"/>
  <c r="BR496" i="6"/>
  <c r="CL496" i="6"/>
  <c r="BP496" i="6"/>
  <c r="CM496" i="6"/>
  <c r="BQ496" i="6"/>
  <c r="CF496" i="6"/>
  <c r="BS496" i="6"/>
  <c r="BT496" i="6"/>
  <c r="CB496" i="6"/>
  <c r="BD496" i="6"/>
  <c r="CA496" i="6"/>
  <c r="BI496" i="6"/>
  <c r="K496" i="12"/>
  <c r="CE496" i="6"/>
  <c r="BZ496" i="6"/>
  <c r="BX496" i="6"/>
  <c r="L497" i="12"/>
  <c r="J497" i="12"/>
  <c r="BV496" i="6"/>
  <c r="BW496" i="6"/>
  <c r="T496" i="5"/>
  <c r="G496" i="12" s="1"/>
  <c r="A498" i="12"/>
  <c r="C499" i="5"/>
  <c r="B498" i="6"/>
  <c r="AD498" i="5"/>
  <c r="K498" i="5"/>
  <c r="N498" i="5"/>
  <c r="D498" i="6" s="1"/>
  <c r="AE498" i="5"/>
  <c r="H498" i="5"/>
  <c r="F498" i="5"/>
  <c r="B498" i="5"/>
  <c r="G498" i="5"/>
  <c r="J498" i="5"/>
  <c r="E498" i="5"/>
  <c r="D498" i="5"/>
  <c r="B498" i="12" s="1"/>
  <c r="BE496" i="6"/>
  <c r="BJ496" i="6"/>
  <c r="BC496" i="6"/>
  <c r="BG496" i="6"/>
  <c r="CD496" i="6"/>
  <c r="H497" i="6"/>
  <c r="BK496" i="6"/>
  <c r="CC496" i="6"/>
  <c r="BH496" i="6"/>
  <c r="BL496" i="6"/>
  <c r="BY496" i="6"/>
  <c r="N497" i="6" l="1"/>
  <c r="BP497" i="6"/>
  <c r="CH497" i="6"/>
  <c r="BT497" i="6"/>
  <c r="CI497" i="6"/>
  <c r="BM497" i="6"/>
  <c r="CJ497" i="6"/>
  <c r="BN497" i="6"/>
  <c r="BO497" i="6"/>
  <c r="BQ497" i="6"/>
  <c r="BR497" i="6"/>
  <c r="CK497" i="6"/>
  <c r="CL497" i="6"/>
  <c r="CM497" i="6"/>
  <c r="BS497" i="6"/>
  <c r="CF497" i="6"/>
  <c r="CG497" i="6"/>
  <c r="A498" i="6"/>
  <c r="M498" i="6" s="1"/>
  <c r="BX498" i="6" s="1"/>
  <c r="K497" i="12"/>
  <c r="BI497" i="6"/>
  <c r="BJ497" i="6"/>
  <c r="CC497" i="6"/>
  <c r="BG497" i="6"/>
  <c r="BV497" i="6"/>
  <c r="BH497" i="6"/>
  <c r="BZ497" i="6"/>
  <c r="BF497" i="6"/>
  <c r="BC497" i="6"/>
  <c r="CD497" i="6"/>
  <c r="H498" i="6"/>
  <c r="CE497" i="6"/>
  <c r="BE497" i="6"/>
  <c r="BK497" i="6"/>
  <c r="BY497" i="6"/>
  <c r="BW497" i="6"/>
  <c r="BX497" i="6"/>
  <c r="BD497" i="6"/>
  <c r="CA497" i="6"/>
  <c r="AD499" i="5"/>
  <c r="AE499" i="5"/>
  <c r="F499" i="5"/>
  <c r="G499" i="5"/>
  <c r="A499" i="12"/>
  <c r="B499" i="6"/>
  <c r="C500" i="5"/>
  <c r="H499" i="5"/>
  <c r="N499" i="5"/>
  <c r="D499" i="6" s="1"/>
  <c r="D499" i="5"/>
  <c r="B499" i="12" s="1"/>
  <c r="K499" i="5"/>
  <c r="E499" i="5"/>
  <c r="B499" i="5"/>
  <c r="J499" i="5"/>
  <c r="BL497" i="6"/>
  <c r="T497" i="5"/>
  <c r="G497" i="12" s="1"/>
  <c r="L498" i="12"/>
  <c r="J498" i="12"/>
  <c r="N498" i="6" l="1"/>
  <c r="BN498" i="6"/>
  <c r="CJ498" i="6"/>
  <c r="BT498" i="6"/>
  <c r="CK498" i="6"/>
  <c r="BM498" i="6"/>
  <c r="CL498" i="6"/>
  <c r="BO498" i="6"/>
  <c r="CM498" i="6"/>
  <c r="BP498" i="6"/>
  <c r="BQ498" i="6"/>
  <c r="BR498" i="6"/>
  <c r="BS498" i="6"/>
  <c r="CF498" i="6"/>
  <c r="CG498" i="6"/>
  <c r="CH498" i="6"/>
  <c r="CI498" i="6"/>
  <c r="A499" i="6"/>
  <c r="M499" i="6" s="1"/>
  <c r="CC499" i="6" s="1"/>
  <c r="K498" i="12"/>
  <c r="BW498" i="6"/>
  <c r="CA498" i="6"/>
  <c r="CB498" i="6"/>
  <c r="BH498" i="6"/>
  <c r="CE498" i="6"/>
  <c r="BD498" i="6"/>
  <c r="BJ498" i="6"/>
  <c r="L499" i="12"/>
  <c r="J499" i="12"/>
  <c r="BK498" i="6"/>
  <c r="CD498" i="6"/>
  <c r="BG498" i="6"/>
  <c r="BV498" i="6"/>
  <c r="BL498" i="6"/>
  <c r="BY498" i="6"/>
  <c r="BC498" i="6"/>
  <c r="H499" i="6"/>
  <c r="BZ498" i="6"/>
  <c r="BF498" i="6"/>
  <c r="T498" i="5"/>
  <c r="G498" i="12" s="1"/>
  <c r="BE498" i="6"/>
  <c r="H500" i="5"/>
  <c r="G500" i="5"/>
  <c r="D500" i="5"/>
  <c r="B500" i="12" s="1"/>
  <c r="K500" i="5"/>
  <c r="AD500" i="5"/>
  <c r="B500" i="6"/>
  <c r="J500" i="5"/>
  <c r="B500" i="5"/>
  <c r="E500" i="5"/>
  <c r="A500" i="12"/>
  <c r="C501" i="5"/>
  <c r="F500" i="5"/>
  <c r="AE500" i="5"/>
  <c r="N500" i="5"/>
  <c r="D500" i="6" s="1"/>
  <c r="BI498" i="6"/>
  <c r="CC498" i="6"/>
  <c r="A500" i="6" l="1"/>
  <c r="M500" i="6" s="1"/>
  <c r="BZ500" i="6" s="1"/>
  <c r="N499" i="6"/>
  <c r="BM499" i="6"/>
  <c r="BN499" i="6"/>
  <c r="CG499" i="6"/>
  <c r="CH499" i="6"/>
  <c r="CI499" i="6"/>
  <c r="CJ499" i="6"/>
  <c r="BO499" i="6"/>
  <c r="CK499" i="6"/>
  <c r="BR499" i="6"/>
  <c r="CL499" i="6"/>
  <c r="BP499" i="6"/>
  <c r="CF499" i="6"/>
  <c r="BQ499" i="6"/>
  <c r="CM499" i="6"/>
  <c r="BS499" i="6"/>
  <c r="BT499" i="6"/>
  <c r="BY499" i="6"/>
  <c r="BV499" i="6"/>
  <c r="BW499" i="6"/>
  <c r="BI499" i="6"/>
  <c r="K499" i="12"/>
  <c r="CE499" i="6"/>
  <c r="CA499" i="6"/>
  <c r="BE499" i="6"/>
  <c r="CB499" i="6"/>
  <c r="A501" i="12"/>
  <c r="C502" i="5"/>
  <c r="G501" i="5"/>
  <c r="K501" i="5"/>
  <c r="B501" i="5"/>
  <c r="H501" i="5"/>
  <c r="J501" i="5"/>
  <c r="F501" i="5"/>
  <c r="E501" i="5"/>
  <c r="AE501" i="5"/>
  <c r="N501" i="5"/>
  <c r="D501" i="6" s="1"/>
  <c r="D501" i="5"/>
  <c r="B501" i="12" s="1"/>
  <c r="B501" i="6"/>
  <c r="AD501" i="5"/>
  <c r="T499" i="5"/>
  <c r="G499" i="12" s="1"/>
  <c r="L500" i="12"/>
  <c r="J500" i="12"/>
  <c r="CD499" i="6"/>
  <c r="BF499" i="6"/>
  <c r="BX499" i="6"/>
  <c r="BH499" i="6"/>
  <c r="BZ499" i="6"/>
  <c r="BD499" i="6"/>
  <c r="BJ499" i="6"/>
  <c r="BG499" i="6"/>
  <c r="BL499" i="6"/>
  <c r="H500" i="6"/>
  <c r="BK499" i="6"/>
  <c r="BC499" i="6"/>
  <c r="N500" i="6" l="1"/>
  <c r="CK500" i="6"/>
  <c r="CL500" i="6"/>
  <c r="BP500" i="6"/>
  <c r="BS500" i="6"/>
  <c r="BT500" i="6"/>
  <c r="BN500" i="6"/>
  <c r="BQ500" i="6"/>
  <c r="CJ500" i="6"/>
  <c r="BM500" i="6"/>
  <c r="CM500" i="6"/>
  <c r="BO500" i="6"/>
  <c r="BR500" i="6"/>
  <c r="CG500" i="6"/>
  <c r="CH500" i="6"/>
  <c r="CI500" i="6"/>
  <c r="CF500" i="6"/>
  <c r="A501" i="6"/>
  <c r="N501" i="6" s="1"/>
  <c r="BV500" i="6"/>
  <c r="CE500" i="6"/>
  <c r="BD500" i="6"/>
  <c r="BE500" i="6"/>
  <c r="BI500" i="6"/>
  <c r="BG500" i="6"/>
  <c r="BC500" i="6"/>
  <c r="BH500" i="6"/>
  <c r="BY500" i="6"/>
  <c r="CC500" i="6"/>
  <c r="J502" i="5"/>
  <c r="C503" i="5"/>
  <c r="K502" i="5"/>
  <c r="N502" i="5"/>
  <c r="D502" i="6" s="1"/>
  <c r="A502" i="12"/>
  <c r="H502" i="5"/>
  <c r="B502" i="6"/>
  <c r="D502" i="5"/>
  <c r="B502" i="12" s="1"/>
  <c r="E502" i="5"/>
  <c r="AE502" i="5"/>
  <c r="G502" i="5"/>
  <c r="B502" i="5"/>
  <c r="AD502" i="5"/>
  <c r="F502" i="5"/>
  <c r="H501" i="6"/>
  <c r="L501" i="12"/>
  <c r="J501" i="12"/>
  <c r="K500" i="12"/>
  <c r="BL500" i="6"/>
  <c r="T500" i="5"/>
  <c r="G500" i="12" s="1"/>
  <c r="BK500" i="6"/>
  <c r="CA500" i="6"/>
  <c r="BX500" i="6"/>
  <c r="BJ500" i="6"/>
  <c r="CB500" i="6"/>
  <c r="CD500" i="6"/>
  <c r="BW500" i="6"/>
  <c r="BF500" i="6"/>
  <c r="A502" i="6" l="1"/>
  <c r="N502" i="6" s="1"/>
  <c r="M501" i="6"/>
  <c r="BW501" i="6" s="1"/>
  <c r="B503" i="5"/>
  <c r="K501" i="12"/>
  <c r="H503" i="5"/>
  <c r="T501" i="5"/>
  <c r="G501" i="12" s="1"/>
  <c r="J502" i="12"/>
  <c r="L502" i="12"/>
  <c r="H502" i="6"/>
  <c r="J503" i="5"/>
  <c r="K503" i="5"/>
  <c r="A503" i="12"/>
  <c r="D503" i="5"/>
  <c r="B503" i="12" s="1"/>
  <c r="AE503" i="5"/>
  <c r="AD503" i="5"/>
  <c r="C504" i="5"/>
  <c r="F503" i="5"/>
  <c r="N503" i="5"/>
  <c r="D503" i="6" s="1"/>
  <c r="B503" i="6"/>
  <c r="G503" i="5"/>
  <c r="E503" i="5"/>
  <c r="M502" i="6" l="1"/>
  <c r="CC502" i="6" s="1"/>
  <c r="BO501" i="6"/>
  <c r="CH501" i="6"/>
  <c r="BI501" i="6"/>
  <c r="CE501" i="6"/>
  <c r="BH501" i="6"/>
  <c r="BM501" i="6"/>
  <c r="CJ501" i="6"/>
  <c r="CA501" i="6"/>
  <c r="CD501" i="6"/>
  <c r="BT501" i="6"/>
  <c r="BY501" i="6"/>
  <c r="BJ501" i="6"/>
  <c r="CK501" i="6"/>
  <c r="BK501" i="6"/>
  <c r="BL501" i="6"/>
  <c r="BN501" i="6"/>
  <c r="BD501" i="6"/>
  <c r="BV501" i="6"/>
  <c r="BF501" i="6"/>
  <c r="CC501" i="6"/>
  <c r="CG501" i="6"/>
  <c r="BR501" i="6"/>
  <c r="CF501" i="6"/>
  <c r="CI501" i="6"/>
  <c r="CB501" i="6"/>
  <c r="BG501" i="6"/>
  <c r="BQ501" i="6"/>
  <c r="CM501" i="6"/>
  <c r="BZ501" i="6"/>
  <c r="BX501" i="6"/>
  <c r="BE501" i="6"/>
  <c r="BC501" i="6"/>
  <c r="BP501" i="6"/>
  <c r="CL501" i="6"/>
  <c r="BS501" i="6"/>
  <c r="A503" i="6"/>
  <c r="M503" i="6" s="1"/>
  <c r="T502" i="5"/>
  <c r="G502" i="12" s="1"/>
  <c r="J503" i="12"/>
  <c r="L503" i="12"/>
  <c r="H503" i="6"/>
  <c r="F504" i="5"/>
  <c r="G504" i="5"/>
  <c r="H504" i="5"/>
  <c r="B504" i="5"/>
  <c r="AE504" i="5"/>
  <c r="E504" i="5"/>
  <c r="B504" i="6"/>
  <c r="N504" i="5"/>
  <c r="D504" i="6" s="1"/>
  <c r="C505" i="5"/>
  <c r="J504" i="5"/>
  <c r="AD504" i="5"/>
  <c r="K504" i="5"/>
  <c r="D504" i="5"/>
  <c r="B504" i="12" s="1"/>
  <c r="A504" i="12"/>
  <c r="K502" i="12"/>
  <c r="CL502" i="6" l="1"/>
  <c r="BJ502" i="6"/>
  <c r="CE502" i="6"/>
  <c r="BZ502" i="6"/>
  <c r="BP502" i="6"/>
  <c r="BV502" i="6"/>
  <c r="BK502" i="6"/>
  <c r="CI502" i="6"/>
  <c r="CJ502" i="6"/>
  <c r="BE502" i="6"/>
  <c r="CM502" i="6"/>
  <c r="BY502" i="6"/>
  <c r="BR502" i="6"/>
  <c r="BG502" i="6"/>
  <c r="CB502" i="6"/>
  <c r="BD502" i="6"/>
  <c r="CH502" i="6"/>
  <c r="BO502" i="6"/>
  <c r="BL502" i="6"/>
  <c r="BH502" i="6"/>
  <c r="BN502" i="6"/>
  <c r="CG502" i="6"/>
  <c r="BS502" i="6"/>
  <c r="BW502" i="6"/>
  <c r="BQ502" i="6"/>
  <c r="CD502" i="6"/>
  <c r="BI502" i="6"/>
  <c r="BX502" i="6"/>
  <c r="BM502" i="6"/>
  <c r="CF502" i="6"/>
  <c r="BF502" i="6"/>
  <c r="BC502" i="6"/>
  <c r="CA502" i="6"/>
  <c r="BT502" i="6"/>
  <c r="CK502" i="6"/>
  <c r="BI503" i="6"/>
  <c r="BR503" i="6"/>
  <c r="BQ503" i="6"/>
  <c r="BO503" i="6"/>
  <c r="BN503" i="6"/>
  <c r="CM503" i="6"/>
  <c r="BM503" i="6"/>
  <c r="CL503" i="6"/>
  <c r="BT503" i="6"/>
  <c r="CK503" i="6"/>
  <c r="BP503" i="6"/>
  <c r="CJ503" i="6"/>
  <c r="CF503" i="6"/>
  <c r="BS503" i="6"/>
  <c r="CI503" i="6"/>
  <c r="CH503" i="6"/>
  <c r="CG503" i="6"/>
  <c r="N503" i="6"/>
  <c r="A504" i="6"/>
  <c r="M504" i="6" s="1"/>
  <c r="BD504" i="6" s="1"/>
  <c r="BX503" i="6"/>
  <c r="C506" i="5"/>
  <c r="A505" i="12"/>
  <c r="AE505" i="5"/>
  <c r="B505" i="6"/>
  <c r="D505" i="5"/>
  <c r="B505" i="12" s="1"/>
  <c r="B505" i="5"/>
  <c r="N505" i="5"/>
  <c r="D505" i="6" s="1"/>
  <c r="F505" i="5"/>
  <c r="H505" i="5"/>
  <c r="G505" i="5"/>
  <c r="K505" i="5"/>
  <c r="AD505" i="5"/>
  <c r="J505" i="5"/>
  <c r="E505" i="5"/>
  <c r="H504" i="6"/>
  <c r="BV503" i="6"/>
  <c r="T503" i="5"/>
  <c r="G503" i="12" s="1"/>
  <c r="J504" i="12"/>
  <c r="L504" i="12"/>
  <c r="BH503" i="6"/>
  <c r="BD503" i="6"/>
  <c r="BZ503" i="6"/>
  <c r="BK503" i="6"/>
  <c r="CA503" i="6"/>
  <c r="BF503" i="6"/>
  <c r="BL503" i="6"/>
  <c r="BC503" i="6"/>
  <c r="BJ503" i="6"/>
  <c r="CE503" i="6"/>
  <c r="BW503" i="6"/>
  <c r="BY503" i="6"/>
  <c r="CC503" i="6"/>
  <c r="CB503" i="6"/>
  <c r="CD503" i="6"/>
  <c r="BE503" i="6"/>
  <c r="BG503" i="6"/>
  <c r="K503" i="12"/>
  <c r="N504" i="6" l="1"/>
  <c r="BR504" i="6"/>
  <c r="BS504" i="6"/>
  <c r="CF504" i="6"/>
  <c r="CG504" i="6"/>
  <c r="CK504" i="6"/>
  <c r="CL504" i="6"/>
  <c r="BN504" i="6"/>
  <c r="CM504" i="6"/>
  <c r="BT504" i="6"/>
  <c r="CJ504" i="6"/>
  <c r="BM504" i="6"/>
  <c r="CH504" i="6"/>
  <c r="BO504" i="6"/>
  <c r="CI504" i="6"/>
  <c r="BP504" i="6"/>
  <c r="BQ504" i="6"/>
  <c r="A505" i="6"/>
  <c r="N505" i="6" s="1"/>
  <c r="K504" i="12"/>
  <c r="CA504" i="6"/>
  <c r="CC504" i="6"/>
  <c r="BC504" i="6"/>
  <c r="BJ504" i="6"/>
  <c r="CE504" i="6"/>
  <c r="BW504" i="6"/>
  <c r="BY504" i="6"/>
  <c r="CB504" i="6"/>
  <c r="BK504" i="6"/>
  <c r="BI504" i="6"/>
  <c r="BG504" i="6"/>
  <c r="CD504" i="6"/>
  <c r="T504" i="5"/>
  <c r="G504" i="12" s="1"/>
  <c r="L505" i="12"/>
  <c r="J505" i="12"/>
  <c r="B506" i="5"/>
  <c r="H506" i="5"/>
  <c r="B506" i="6"/>
  <c r="F506" i="5"/>
  <c r="J506" i="5"/>
  <c r="D506" i="5"/>
  <c r="B506" i="12" s="1"/>
  <c r="N506" i="5"/>
  <c r="D506" i="6" s="1"/>
  <c r="AE506" i="5"/>
  <c r="E506" i="5"/>
  <c r="AD506" i="5"/>
  <c r="G506" i="5"/>
  <c r="C507" i="5"/>
  <c r="K506" i="5"/>
  <c r="A506" i="12"/>
  <c r="BH504" i="6"/>
  <c r="BZ504" i="6"/>
  <c r="BF504" i="6"/>
  <c r="BL504" i="6"/>
  <c r="BV504" i="6"/>
  <c r="BE504" i="6"/>
  <c r="H505" i="6"/>
  <c r="BX504" i="6"/>
  <c r="M505" i="6" l="1"/>
  <c r="BW505" i="6" s="1"/>
  <c r="A506" i="6"/>
  <c r="M506" i="6" s="1"/>
  <c r="K505" i="12"/>
  <c r="D507" i="5"/>
  <c r="B507" i="12" s="1"/>
  <c r="H507" i="5"/>
  <c r="B507" i="6"/>
  <c r="AE507" i="5"/>
  <c r="AD507" i="5"/>
  <c r="A507" i="12"/>
  <c r="K507" i="5"/>
  <c r="E507" i="5"/>
  <c r="J507" i="5"/>
  <c r="N507" i="5"/>
  <c r="D507" i="6" s="1"/>
  <c r="F507" i="5"/>
  <c r="B507" i="5"/>
  <c r="G507" i="5"/>
  <c r="T505" i="5"/>
  <c r="G505" i="12" s="1"/>
  <c r="H506" i="6"/>
  <c r="L506" i="12"/>
  <c r="J506" i="12"/>
  <c r="CD505" i="6" l="1"/>
  <c r="BL505" i="6"/>
  <c r="BC505" i="6"/>
  <c r="BH505" i="6"/>
  <c r="BD505" i="6"/>
  <c r="CB505" i="6"/>
  <c r="BZ506" i="6"/>
  <c r="CI506" i="6"/>
  <c r="CH506" i="6"/>
  <c r="CG506" i="6"/>
  <c r="BR506" i="6"/>
  <c r="BP506" i="6"/>
  <c r="BQ506" i="6"/>
  <c r="BO506" i="6"/>
  <c r="BN506" i="6"/>
  <c r="CM506" i="6"/>
  <c r="BM506" i="6"/>
  <c r="CL506" i="6"/>
  <c r="BT506" i="6"/>
  <c r="CK506" i="6"/>
  <c r="BS506" i="6"/>
  <c r="CJ506" i="6"/>
  <c r="CF506" i="6"/>
  <c r="N506" i="6"/>
  <c r="BT505" i="6"/>
  <c r="BS505" i="6"/>
  <c r="CM505" i="6"/>
  <c r="BQ505" i="6"/>
  <c r="CL505" i="6"/>
  <c r="BP505" i="6"/>
  <c r="CI505" i="6"/>
  <c r="BR505" i="6"/>
  <c r="CH505" i="6"/>
  <c r="BO505" i="6"/>
  <c r="CG505" i="6"/>
  <c r="CF505" i="6"/>
  <c r="CK505" i="6"/>
  <c r="CJ505" i="6"/>
  <c r="BN505" i="6"/>
  <c r="BM505" i="6"/>
  <c r="BV505" i="6"/>
  <c r="BZ505" i="6"/>
  <c r="BG505" i="6"/>
  <c r="CA505" i="6"/>
  <c r="BF505" i="6"/>
  <c r="BK505" i="6"/>
  <c r="CE505" i="6"/>
  <c r="BI505" i="6"/>
  <c r="BY505" i="6"/>
  <c r="BE505" i="6"/>
  <c r="BX505" i="6"/>
  <c r="BJ505" i="6"/>
  <c r="CC505" i="6"/>
  <c r="A507" i="6"/>
  <c r="N507" i="6" s="1"/>
  <c r="CB506" i="6"/>
  <c r="CD506" i="6"/>
  <c r="CA506" i="6"/>
  <c r="BC506" i="6"/>
  <c r="CC506" i="6"/>
  <c r="BH506" i="6"/>
  <c r="BD506" i="6"/>
  <c r="CE506" i="6"/>
  <c r="BF506" i="6"/>
  <c r="BJ506" i="6"/>
  <c r="K506" i="12"/>
  <c r="T506" i="5"/>
  <c r="G506" i="12" s="1"/>
  <c r="H507" i="6"/>
  <c r="BV506" i="6"/>
  <c r="BG506" i="6"/>
  <c r="BL506" i="6"/>
  <c r="BK506" i="6"/>
  <c r="BY506" i="6"/>
  <c r="BW506" i="6"/>
  <c r="BX506" i="6"/>
  <c r="BE506" i="6"/>
  <c r="BI506" i="6"/>
  <c r="L507" i="12"/>
  <c r="J507" i="12"/>
  <c r="M507" i="6" l="1"/>
  <c r="BH507" i="6" s="1"/>
  <c r="K507" i="12"/>
  <c r="T507" i="5"/>
  <c r="G507" i="12" s="1"/>
  <c r="C508" i="5"/>
  <c r="AF508" i="5"/>
  <c r="BP507" i="6" l="1"/>
  <c r="BX507" i="6"/>
  <c r="CD507" i="6"/>
  <c r="CH507" i="6"/>
  <c r="BR507" i="6"/>
  <c r="BJ507" i="6"/>
  <c r="BI507" i="6"/>
  <c r="BM507" i="6"/>
  <c r="BD507" i="6"/>
  <c r="BO507" i="6"/>
  <c r="CJ507" i="6"/>
  <c r="BV507" i="6"/>
  <c r="BW507" i="6"/>
  <c r="BY507" i="6"/>
  <c r="BE507" i="6"/>
  <c r="BL507" i="6"/>
  <c r="BT507" i="6"/>
  <c r="BQ507" i="6"/>
  <c r="CB507" i="6"/>
  <c r="CG507" i="6"/>
  <c r="CM507" i="6"/>
  <c r="CE507" i="6"/>
  <c r="CI507" i="6"/>
  <c r="BK507" i="6"/>
  <c r="BZ507" i="6"/>
  <c r="BC507" i="6"/>
  <c r="CA507" i="6"/>
  <c r="CC507" i="6"/>
  <c r="CF507" i="6"/>
  <c r="BN507" i="6"/>
  <c r="BG507" i="6"/>
  <c r="BF507" i="6"/>
  <c r="BS507" i="6"/>
  <c r="CL507" i="6"/>
  <c r="CK507" i="6"/>
  <c r="S508" i="5"/>
  <c r="F508" i="12" s="1"/>
  <c r="AG508" i="5"/>
  <c r="A508" i="12"/>
  <c r="AE508" i="5"/>
  <c r="N508" i="5"/>
  <c r="D508" i="6" s="1"/>
  <c r="E508" i="5"/>
  <c r="G508" i="5"/>
  <c r="B508" i="5"/>
  <c r="B508" i="6"/>
  <c r="W508" i="5"/>
  <c r="H508" i="12" s="1"/>
  <c r="AD508" i="5"/>
  <c r="F508" i="5"/>
  <c r="H508" i="5"/>
  <c r="C509" i="5"/>
  <c r="CM508" i="6" l="1"/>
  <c r="CL508" i="6"/>
  <c r="CI508" i="6"/>
  <c r="CH508" i="6"/>
  <c r="CG508" i="6"/>
  <c r="CF508" i="6"/>
  <c r="CK508" i="6"/>
  <c r="CJ508" i="6"/>
  <c r="BN508" i="6"/>
  <c r="BM508" i="6"/>
  <c r="BT508" i="6"/>
  <c r="BS508" i="6"/>
  <c r="BQ508" i="6"/>
  <c r="BP508" i="6"/>
  <c r="BR508" i="6"/>
  <c r="BO508" i="6"/>
  <c r="A508" i="6"/>
  <c r="U508" i="5"/>
  <c r="AN508" i="5" s="1"/>
  <c r="E508" i="12"/>
  <c r="F508" i="6"/>
  <c r="H508" i="6"/>
  <c r="M508" i="6"/>
  <c r="BW508" i="6" s="1"/>
  <c r="N508" i="6"/>
  <c r="G508" i="6"/>
  <c r="A509" i="12"/>
  <c r="B509" i="6"/>
  <c r="D509" i="5"/>
  <c r="B509" i="12" s="1"/>
  <c r="H509" i="5"/>
  <c r="E509" i="5"/>
  <c r="AD509" i="5"/>
  <c r="J509" i="5"/>
  <c r="F509" i="5"/>
  <c r="N509" i="5"/>
  <c r="D509" i="6" s="1"/>
  <c r="AE509" i="5"/>
  <c r="C510" i="5"/>
  <c r="K509" i="5"/>
  <c r="B509" i="5"/>
  <c r="G509" i="5"/>
  <c r="AU508" i="6" l="1"/>
  <c r="AZ508" i="6"/>
  <c r="AT508" i="6"/>
  <c r="AV508" i="6"/>
  <c r="AW508" i="6"/>
  <c r="A509" i="6"/>
  <c r="N509" i="6" s="1"/>
  <c r="AX508" i="6"/>
  <c r="BA508" i="6"/>
  <c r="AY508" i="6"/>
  <c r="CD508" i="6"/>
  <c r="BX508" i="6"/>
  <c r="AJ508" i="6"/>
  <c r="AQ508" i="6"/>
  <c r="AO508" i="6"/>
  <c r="BV508" i="6"/>
  <c r="L509" i="12"/>
  <c r="J509" i="12"/>
  <c r="K510" i="5"/>
  <c r="E510" i="5"/>
  <c r="N510" i="5"/>
  <c r="D510" i="6" s="1"/>
  <c r="J510" i="5"/>
  <c r="H510" i="5"/>
  <c r="F510" i="5"/>
  <c r="B510" i="5"/>
  <c r="D510" i="5"/>
  <c r="B510" i="12" s="1"/>
  <c r="A510" i="12"/>
  <c r="G510" i="5"/>
  <c r="AD510" i="5"/>
  <c r="B510" i="6"/>
  <c r="C511" i="5"/>
  <c r="AE510" i="5"/>
  <c r="AR508" i="6"/>
  <c r="AK508" i="6"/>
  <c r="H509" i="6"/>
  <c r="BD508" i="6"/>
  <c r="BC508" i="6"/>
  <c r="CA508" i="6"/>
  <c r="CE508" i="6"/>
  <c r="BI508" i="6"/>
  <c r="BY508" i="6"/>
  <c r="BH508" i="6"/>
  <c r="BG508" i="6"/>
  <c r="CB508" i="6"/>
  <c r="BF508" i="6"/>
  <c r="BL508" i="6"/>
  <c r="BJ508" i="6"/>
  <c r="BZ508" i="6"/>
  <c r="CC508" i="6"/>
  <c r="BE508" i="6"/>
  <c r="T508" i="5"/>
  <c r="G508" i="12" s="1"/>
  <c r="AN508" i="6"/>
  <c r="AS508" i="6"/>
  <c r="AM508" i="6"/>
  <c r="AP508" i="6"/>
  <c r="AL508" i="6"/>
  <c r="BK508" i="6"/>
  <c r="M509" i="6" l="1"/>
  <c r="BN509" i="6" s="1"/>
  <c r="A510" i="6"/>
  <c r="K509" i="12"/>
  <c r="H510" i="6"/>
  <c r="D511" i="5"/>
  <c r="B511" i="12" s="1"/>
  <c r="G511" i="5"/>
  <c r="AE511" i="5"/>
  <c r="B511" i="5"/>
  <c r="H511" i="5"/>
  <c r="B511" i="6"/>
  <c r="N511" i="5"/>
  <c r="D511" i="6" s="1"/>
  <c r="J511" i="5"/>
  <c r="E511" i="5"/>
  <c r="F511" i="5"/>
  <c r="A511" i="12"/>
  <c r="AD511" i="5"/>
  <c r="K511" i="5"/>
  <c r="C512" i="5"/>
  <c r="T509" i="5"/>
  <c r="G509" i="12" s="1"/>
  <c r="J510" i="12"/>
  <c r="L510" i="12"/>
  <c r="M510" i="6" l="1"/>
  <c r="CC510" i="6" s="1"/>
  <c r="BC509" i="6"/>
  <c r="CD509" i="6"/>
  <c r="CK509" i="6"/>
  <c r="BD509" i="6"/>
  <c r="BP509" i="6"/>
  <c r="BI509" i="6"/>
  <c r="BF509" i="6"/>
  <c r="CJ509" i="6"/>
  <c r="BT509" i="6"/>
  <c r="BJ509" i="6"/>
  <c r="BS509" i="6"/>
  <c r="CE509" i="6"/>
  <c r="BG509" i="6"/>
  <c r="CF509" i="6"/>
  <c r="CC509" i="6"/>
  <c r="BV509" i="6"/>
  <c r="CI509" i="6"/>
  <c r="CH509" i="6"/>
  <c r="CG509" i="6"/>
  <c r="BY509" i="6"/>
  <c r="BE509" i="6"/>
  <c r="BL509" i="6"/>
  <c r="BZ509" i="6"/>
  <c r="BK509" i="6"/>
  <c r="CM509" i="6"/>
  <c r="BR509" i="6"/>
  <c r="BW509" i="6"/>
  <c r="BM509" i="6"/>
  <c r="BQ509" i="6"/>
  <c r="CB509" i="6"/>
  <c r="BH509" i="6"/>
  <c r="CA509" i="6"/>
  <c r="BX509" i="6"/>
  <c r="CL509" i="6"/>
  <c r="BO509" i="6"/>
  <c r="A511" i="6"/>
  <c r="M511" i="6" s="1"/>
  <c r="N510" i="6"/>
  <c r="K510" i="12"/>
  <c r="I508" i="5"/>
  <c r="T510" i="5"/>
  <c r="G510" i="12" s="1"/>
  <c r="H511" i="6"/>
  <c r="C513" i="5"/>
  <c r="D512" i="5"/>
  <c r="B512" i="12" s="1"/>
  <c r="B512" i="5"/>
  <c r="AD512" i="5"/>
  <c r="H512" i="5"/>
  <c r="AE512" i="5"/>
  <c r="N512" i="5"/>
  <c r="D512" i="6" s="1"/>
  <c r="G512" i="5"/>
  <c r="J512" i="5"/>
  <c r="A512" i="12"/>
  <c r="F512" i="5"/>
  <c r="K512" i="5"/>
  <c r="B512" i="6"/>
  <c r="E512" i="5"/>
  <c r="L511" i="12"/>
  <c r="J511" i="12"/>
  <c r="BG510" i="6" l="1"/>
  <c r="BN510" i="6"/>
  <c r="CE510" i="6"/>
  <c r="BF510" i="6"/>
  <c r="CI510" i="6"/>
  <c r="BK510" i="6"/>
  <c r="CD510" i="6"/>
  <c r="BO510" i="6"/>
  <c r="BY510" i="6"/>
  <c r="BE510" i="6"/>
  <c r="BZ510" i="6"/>
  <c r="CH510" i="6"/>
  <c r="BQ510" i="6"/>
  <c r="BX510" i="6"/>
  <c r="BM510" i="6"/>
  <c r="BR510" i="6"/>
  <c r="CB510" i="6"/>
  <c r="CJ510" i="6"/>
  <c r="BD510" i="6"/>
  <c r="CA510" i="6"/>
  <c r="CG510" i="6"/>
  <c r="CK510" i="6"/>
  <c r="BI510" i="6"/>
  <c r="CM510" i="6"/>
  <c r="BC510" i="6"/>
  <c r="CL510" i="6"/>
  <c r="BL510" i="6"/>
  <c r="BW510" i="6"/>
  <c r="CF510" i="6"/>
  <c r="BP510" i="6"/>
  <c r="BH510" i="6"/>
  <c r="BJ510" i="6"/>
  <c r="BV510" i="6"/>
  <c r="BS510" i="6"/>
  <c r="BT510" i="6"/>
  <c r="CC511" i="6"/>
  <c r="CJ511" i="6"/>
  <c r="BN511" i="6"/>
  <c r="BM511" i="6"/>
  <c r="N511" i="6"/>
  <c r="CK511" i="6"/>
  <c r="CF511" i="6"/>
  <c r="CG511" i="6"/>
  <c r="BO511" i="6"/>
  <c r="CH511" i="6"/>
  <c r="BR511" i="6"/>
  <c r="CI511" i="6"/>
  <c r="BP511" i="6"/>
  <c r="CL511" i="6"/>
  <c r="BQ511" i="6"/>
  <c r="CM511" i="6"/>
  <c r="BS511" i="6"/>
  <c r="BT511" i="6"/>
  <c r="A512" i="6"/>
  <c r="N512" i="6" s="1"/>
  <c r="K511" i="12"/>
  <c r="CE511" i="6"/>
  <c r="CB511" i="6"/>
  <c r="BJ511" i="6"/>
  <c r="BD511" i="6"/>
  <c r="BI511" i="6"/>
  <c r="BW511" i="6"/>
  <c r="BC511" i="6"/>
  <c r="CA511" i="6"/>
  <c r="BK511" i="6"/>
  <c r="BV511" i="6"/>
  <c r="H512" i="6"/>
  <c r="BE511" i="6"/>
  <c r="BL511" i="6"/>
  <c r="CD511" i="6"/>
  <c r="BF511" i="6"/>
  <c r="BZ511" i="6"/>
  <c r="BY511" i="6"/>
  <c r="BX511" i="6"/>
  <c r="J513" i="5"/>
  <c r="AE513" i="5"/>
  <c r="H513" i="5"/>
  <c r="K513" i="5"/>
  <c r="B513" i="6"/>
  <c r="G513" i="5"/>
  <c r="E513" i="5"/>
  <c r="C514" i="5"/>
  <c r="D513" i="5"/>
  <c r="B513" i="12" s="1"/>
  <c r="B513" i="5"/>
  <c r="N513" i="5"/>
  <c r="D513" i="6" s="1"/>
  <c r="AD513" i="5"/>
  <c r="A513" i="12"/>
  <c r="F513" i="5"/>
  <c r="L512" i="12"/>
  <c r="J512" i="12"/>
  <c r="BG511" i="6"/>
  <c r="T511" i="5"/>
  <c r="G511" i="12" s="1"/>
  <c r="BH511" i="6"/>
  <c r="M512" i="6" l="1"/>
  <c r="A513" i="6"/>
  <c r="N513" i="6" s="1"/>
  <c r="J513" i="12"/>
  <c r="L513" i="12"/>
  <c r="H513" i="6"/>
  <c r="N514" i="5"/>
  <c r="D514" i="6" s="1"/>
  <c r="H514" i="5"/>
  <c r="G514" i="5"/>
  <c r="B514" i="6"/>
  <c r="J514" i="5"/>
  <c r="K514" i="5"/>
  <c r="AE514" i="5"/>
  <c r="B514" i="5"/>
  <c r="E514" i="5"/>
  <c r="C515" i="5"/>
  <c r="F514" i="5"/>
  <c r="D514" i="5"/>
  <c r="B514" i="12" s="1"/>
  <c r="A514" i="12"/>
  <c r="AD514" i="5"/>
  <c r="T512" i="5"/>
  <c r="G512" i="12" s="1"/>
  <c r="K512" i="12"/>
  <c r="BF512" i="6" l="1"/>
  <c r="CI512" i="6"/>
  <c r="BR512" i="6"/>
  <c r="BQ512" i="6"/>
  <c r="BO512" i="6"/>
  <c r="BN512" i="6"/>
  <c r="CM512" i="6"/>
  <c r="BM512" i="6"/>
  <c r="CL512" i="6"/>
  <c r="BT512" i="6"/>
  <c r="CK512" i="6"/>
  <c r="BS512" i="6"/>
  <c r="CJ512" i="6"/>
  <c r="BP512" i="6"/>
  <c r="CF512" i="6"/>
  <c r="CH512" i="6"/>
  <c r="CG512" i="6"/>
  <c r="M513" i="6"/>
  <c r="BD513" i="6" s="1"/>
  <c r="BY512" i="6"/>
  <c r="BE512" i="6"/>
  <c r="BD512" i="6"/>
  <c r="BV512" i="6"/>
  <c r="BJ512" i="6"/>
  <c r="BI512" i="6"/>
  <c r="BX512" i="6"/>
  <c r="CE512" i="6"/>
  <c r="CD512" i="6"/>
  <c r="BZ512" i="6"/>
  <c r="CB512" i="6"/>
  <c r="BL512" i="6"/>
  <c r="CA512" i="6"/>
  <c r="BC512" i="6"/>
  <c r="BH512" i="6"/>
  <c r="BG512" i="6"/>
  <c r="CC512" i="6"/>
  <c r="BW512" i="6"/>
  <c r="BK512" i="6"/>
  <c r="A514" i="6"/>
  <c r="N514" i="6" s="1"/>
  <c r="K513" i="12"/>
  <c r="H514" i="6"/>
  <c r="T513" i="5"/>
  <c r="G513" i="12" s="1"/>
  <c r="K515" i="5"/>
  <c r="D515" i="5"/>
  <c r="B515" i="12" s="1"/>
  <c r="F515" i="5"/>
  <c r="J515" i="5"/>
  <c r="N515" i="5"/>
  <c r="D515" i="6" s="1"/>
  <c r="AE515" i="5"/>
  <c r="B515" i="6"/>
  <c r="A515" i="12"/>
  <c r="G515" i="5"/>
  <c r="AD515" i="5"/>
  <c r="E515" i="5"/>
  <c r="C516" i="5"/>
  <c r="H515" i="5"/>
  <c r="B515" i="5"/>
  <c r="J514" i="12"/>
  <c r="L514" i="12"/>
  <c r="A515" i="6" l="1"/>
  <c r="M515" i="6" s="1"/>
  <c r="CC515" i="6" s="1"/>
  <c r="BG513" i="6"/>
  <c r="BX513" i="6"/>
  <c r="CE513" i="6"/>
  <c r="CA513" i="6"/>
  <c r="BI513" i="6"/>
  <c r="BY513" i="6"/>
  <c r="BJ513" i="6"/>
  <c r="BK513" i="6"/>
  <c r="BH513" i="6"/>
  <c r="BW513" i="6"/>
  <c r="CB513" i="6"/>
  <c r="BE513" i="6"/>
  <c r="BV513" i="6"/>
  <c r="CK513" i="6"/>
  <c r="CG513" i="6"/>
  <c r="BO513" i="6"/>
  <c r="CF513" i="6"/>
  <c r="BS513" i="6"/>
  <c r="BR513" i="6"/>
  <c r="BM513" i="6"/>
  <c r="BN513" i="6"/>
  <c r="BQ513" i="6"/>
  <c r="BT513" i="6"/>
  <c r="BP513" i="6"/>
  <c r="CI513" i="6"/>
  <c r="CH513" i="6"/>
  <c r="CJ513" i="6"/>
  <c r="CM513" i="6"/>
  <c r="CL513" i="6"/>
  <c r="BC513" i="6"/>
  <c r="BF513" i="6"/>
  <c r="BZ513" i="6"/>
  <c r="CC513" i="6"/>
  <c r="BL513" i="6"/>
  <c r="CD513" i="6"/>
  <c r="M514" i="6"/>
  <c r="H515" i="6"/>
  <c r="E516" i="5"/>
  <c r="N516" i="5"/>
  <c r="D516" i="6" s="1"/>
  <c r="J516" i="5"/>
  <c r="A516" i="12"/>
  <c r="AE516" i="5"/>
  <c r="K516" i="5"/>
  <c r="G516" i="5"/>
  <c r="B516" i="6"/>
  <c r="B516" i="5"/>
  <c r="D516" i="5"/>
  <c r="B516" i="12" s="1"/>
  <c r="AD516" i="5"/>
  <c r="C517" i="5"/>
  <c r="H516" i="5"/>
  <c r="F516" i="5"/>
  <c r="T514" i="5"/>
  <c r="G514" i="12" s="1"/>
  <c r="L515" i="12"/>
  <c r="J515" i="12"/>
  <c r="K514" i="12"/>
  <c r="N515" i="6" l="1"/>
  <c r="BQ515" i="6"/>
  <c r="BR515" i="6"/>
  <c r="CG515" i="6"/>
  <c r="CI515" i="6"/>
  <c r="CF515" i="6"/>
  <c r="CH515" i="6"/>
  <c r="BP515" i="6"/>
  <c r="CK515" i="6"/>
  <c r="BT515" i="6"/>
  <c r="CL515" i="6"/>
  <c r="BM515" i="6"/>
  <c r="CM515" i="6"/>
  <c r="BS515" i="6"/>
  <c r="BN515" i="6"/>
  <c r="CJ515" i="6"/>
  <c r="BF514" i="6"/>
  <c r="BN514" i="6"/>
  <c r="BM514" i="6"/>
  <c r="BT514" i="6"/>
  <c r="BS514" i="6"/>
  <c r="CM514" i="6"/>
  <c r="BQ514" i="6"/>
  <c r="CL514" i="6"/>
  <c r="BP514" i="6"/>
  <c r="CI514" i="6"/>
  <c r="BR514" i="6"/>
  <c r="CH514" i="6"/>
  <c r="BO514" i="6"/>
  <c r="CG514" i="6"/>
  <c r="CF514" i="6"/>
  <c r="CK514" i="6"/>
  <c r="CJ514" i="6"/>
  <c r="BO515" i="6"/>
  <c r="BJ514" i="6"/>
  <c r="BV514" i="6"/>
  <c r="BW514" i="6"/>
  <c r="BZ514" i="6"/>
  <c r="CB514" i="6"/>
  <c r="BI514" i="6"/>
  <c r="BG514" i="6"/>
  <c r="BY514" i="6"/>
  <c r="BK514" i="6"/>
  <c r="BC514" i="6"/>
  <c r="CD514" i="6"/>
  <c r="CC514" i="6"/>
  <c r="BH514" i="6"/>
  <c r="BX514" i="6"/>
  <c r="BD514" i="6"/>
  <c r="BL514" i="6"/>
  <c r="BE514" i="6"/>
  <c r="CE514" i="6"/>
  <c r="CA514" i="6"/>
  <c r="A516" i="6"/>
  <c r="N516" i="6" s="1"/>
  <c r="BF515" i="6"/>
  <c r="BL515" i="6"/>
  <c r="CB515" i="6"/>
  <c r="BD515" i="6"/>
  <c r="BH515" i="6"/>
  <c r="BI515" i="6"/>
  <c r="BE515" i="6"/>
  <c r="T515" i="5"/>
  <c r="G515" i="12" s="1"/>
  <c r="BX515" i="6"/>
  <c r="K515" i="12"/>
  <c r="J516" i="12"/>
  <c r="L516" i="12"/>
  <c r="BV515" i="6"/>
  <c r="BZ515" i="6"/>
  <c r="BG515" i="6"/>
  <c r="BC515" i="6"/>
  <c r="CE515" i="6"/>
  <c r="BK515" i="6"/>
  <c r="BJ515" i="6"/>
  <c r="CD515" i="6"/>
  <c r="BY515" i="6"/>
  <c r="H516" i="6"/>
  <c r="CA515" i="6"/>
  <c r="AE517" i="5"/>
  <c r="H517" i="5"/>
  <c r="D517" i="5"/>
  <c r="B517" i="12" s="1"/>
  <c r="F517" i="5"/>
  <c r="A517" i="12"/>
  <c r="E517" i="5"/>
  <c r="C518" i="5"/>
  <c r="B517" i="6"/>
  <c r="J517" i="5"/>
  <c r="N517" i="5"/>
  <c r="D517" i="6" s="1"/>
  <c r="B517" i="5"/>
  <c r="AD517" i="5"/>
  <c r="K517" i="5"/>
  <c r="G517" i="5"/>
  <c r="BW515" i="6"/>
  <c r="M516" i="6" l="1"/>
  <c r="CE516" i="6" s="1"/>
  <c r="A517" i="6"/>
  <c r="M517" i="6" s="1"/>
  <c r="K516" i="12"/>
  <c r="T516" i="5"/>
  <c r="G516" i="12" s="1"/>
  <c r="N518" i="5"/>
  <c r="D518" i="6" s="1"/>
  <c r="F518" i="5"/>
  <c r="C519" i="5"/>
  <c r="AD518" i="5"/>
  <c r="A518" i="12"/>
  <c r="B518" i="6"/>
  <c r="G518" i="5"/>
  <c r="K518" i="5"/>
  <c r="D518" i="5"/>
  <c r="B518" i="12" s="1"/>
  <c r="J518" i="5"/>
  <c r="AE518" i="5"/>
  <c r="E518" i="5"/>
  <c r="B518" i="5"/>
  <c r="H518" i="5"/>
  <c r="J517" i="12"/>
  <c r="L517" i="12"/>
  <c r="H517" i="6"/>
  <c r="N517" i="6" l="1"/>
  <c r="CB516" i="6"/>
  <c r="BV516" i="6"/>
  <c r="BC516" i="6"/>
  <c r="CD516" i="6"/>
  <c r="CD517" i="6"/>
  <c r="CH517" i="6"/>
  <c r="CG517" i="6"/>
  <c r="BO517" i="6"/>
  <c r="CF517" i="6"/>
  <c r="BN517" i="6"/>
  <c r="BM517" i="6"/>
  <c r="BR517" i="6"/>
  <c r="BT517" i="6"/>
  <c r="BS517" i="6"/>
  <c r="CM517" i="6"/>
  <c r="BQ517" i="6"/>
  <c r="CL517" i="6"/>
  <c r="BP517" i="6"/>
  <c r="CK517" i="6"/>
  <c r="CJ517" i="6"/>
  <c r="CI517" i="6"/>
  <c r="BG516" i="6"/>
  <c r="BY516" i="6"/>
  <c r="BE516" i="6"/>
  <c r="BF516" i="6"/>
  <c r="BH516" i="6"/>
  <c r="BK516" i="6"/>
  <c r="BJ516" i="6"/>
  <c r="CC516" i="6"/>
  <c r="CA516" i="6"/>
  <c r="CF516" i="6"/>
  <c r="BN516" i="6"/>
  <c r="CM516" i="6"/>
  <c r="CL516" i="6"/>
  <c r="CJ516" i="6"/>
  <c r="CK516" i="6"/>
  <c r="BS516" i="6"/>
  <c r="BR516" i="6"/>
  <c r="BQ516" i="6"/>
  <c r="BP516" i="6"/>
  <c r="CI516" i="6"/>
  <c r="BO516" i="6"/>
  <c r="CH516" i="6"/>
  <c r="BM516" i="6"/>
  <c r="CG516" i="6"/>
  <c r="BT516" i="6"/>
  <c r="BZ516" i="6"/>
  <c r="BD516" i="6"/>
  <c r="BW516" i="6"/>
  <c r="BI516" i="6"/>
  <c r="BX516" i="6"/>
  <c r="BL516" i="6"/>
  <c r="A518" i="6"/>
  <c r="M518" i="6" s="1"/>
  <c r="BL517" i="6"/>
  <c r="BE517" i="6"/>
  <c r="BJ517" i="6"/>
  <c r="BZ517" i="6"/>
  <c r="BD517" i="6"/>
  <c r="CB517" i="6"/>
  <c r="F519" i="5"/>
  <c r="B519" i="5"/>
  <c r="J519" i="5"/>
  <c r="G519" i="5"/>
  <c r="B519" i="6"/>
  <c r="AD519" i="5"/>
  <c r="N519" i="5"/>
  <c r="D519" i="6" s="1"/>
  <c r="H519" i="5"/>
  <c r="K519" i="5"/>
  <c r="A519" i="12"/>
  <c r="AE519" i="5"/>
  <c r="D519" i="5"/>
  <c r="B519" i="12" s="1"/>
  <c r="C520" i="5"/>
  <c r="E519" i="5"/>
  <c r="CE517" i="6"/>
  <c r="BK517" i="6"/>
  <c r="T517" i="5"/>
  <c r="G517" i="12" s="1"/>
  <c r="BX517" i="6"/>
  <c r="H518" i="6"/>
  <c r="CA517" i="6"/>
  <c r="BF517" i="6"/>
  <c r="BH517" i="6"/>
  <c r="BI517" i="6"/>
  <c r="BW517" i="6"/>
  <c r="K517" i="12"/>
  <c r="BY517" i="6"/>
  <c r="BC517" i="6"/>
  <c r="BV517" i="6"/>
  <c r="CC517" i="6"/>
  <c r="BG517" i="6"/>
  <c r="L518" i="12"/>
  <c r="J518" i="12"/>
  <c r="A519" i="6" l="1"/>
  <c r="N519" i="6" s="1"/>
  <c r="N518" i="6"/>
  <c r="CA518" i="6"/>
  <c r="BQ518" i="6"/>
  <c r="BO518" i="6"/>
  <c r="BR518" i="6"/>
  <c r="CG518" i="6"/>
  <c r="CF518" i="6"/>
  <c r="CH518" i="6"/>
  <c r="CI518" i="6"/>
  <c r="BP518" i="6"/>
  <c r="CJ518" i="6"/>
  <c r="BS518" i="6"/>
  <c r="CK518" i="6"/>
  <c r="BT518" i="6"/>
  <c r="CL518" i="6"/>
  <c r="BM518" i="6"/>
  <c r="CM518" i="6"/>
  <c r="BN518" i="6"/>
  <c r="BG518" i="6"/>
  <c r="CD518" i="6"/>
  <c r="BD518" i="6"/>
  <c r="BJ518" i="6"/>
  <c r="BW518" i="6"/>
  <c r="BH518" i="6"/>
  <c r="K518" i="12"/>
  <c r="BY518" i="6"/>
  <c r="CB518" i="6"/>
  <c r="BK518" i="6"/>
  <c r="G520" i="5"/>
  <c r="AD520" i="5"/>
  <c r="E520" i="5"/>
  <c r="B520" i="5"/>
  <c r="D520" i="5"/>
  <c r="B520" i="12" s="1"/>
  <c r="H520" i="5"/>
  <c r="AE520" i="5"/>
  <c r="A520" i="12"/>
  <c r="J520" i="5"/>
  <c r="K520" i="5"/>
  <c r="N520" i="5"/>
  <c r="D520" i="6" s="1"/>
  <c r="B520" i="6"/>
  <c r="F520" i="5"/>
  <c r="C521" i="5"/>
  <c r="J519" i="12"/>
  <c r="L519" i="12"/>
  <c r="BZ518" i="6"/>
  <c r="BV518" i="6"/>
  <c r="BF518" i="6"/>
  <c r="CC518" i="6"/>
  <c r="T518" i="5"/>
  <c r="G518" i="12" s="1"/>
  <c r="H519" i="6"/>
  <c r="BC518" i="6"/>
  <c r="BE518" i="6"/>
  <c r="BL518" i="6"/>
  <c r="BI518" i="6"/>
  <c r="CE518" i="6"/>
  <c r="BX518" i="6"/>
  <c r="M519" i="6" l="1"/>
  <c r="BC519" i="6" s="1"/>
  <c r="A520" i="6"/>
  <c r="M520" i="6" s="1"/>
  <c r="K519" i="12"/>
  <c r="T519" i="5"/>
  <c r="G519" i="12" s="1"/>
  <c r="J520" i="12"/>
  <c r="L520" i="12"/>
  <c r="D521" i="5"/>
  <c r="B521" i="12" s="1"/>
  <c r="AE521" i="5"/>
  <c r="C522" i="5"/>
  <c r="G521" i="5"/>
  <c r="AD521" i="5"/>
  <c r="J521" i="5"/>
  <c r="H521" i="5"/>
  <c r="A521" i="12"/>
  <c r="K521" i="5"/>
  <c r="F521" i="5"/>
  <c r="B521" i="5"/>
  <c r="E521" i="5"/>
  <c r="N521" i="5"/>
  <c r="D521" i="6" s="1"/>
  <c r="B521" i="6"/>
  <c r="H520" i="6"/>
  <c r="BK519" i="6" l="1"/>
  <c r="BM519" i="6"/>
  <c r="CG519" i="6"/>
  <c r="BV519" i="6"/>
  <c r="CC519" i="6"/>
  <c r="BT519" i="6"/>
  <c r="BH519" i="6"/>
  <c r="BG519" i="6"/>
  <c r="BI519" i="6"/>
  <c r="CM519" i="6"/>
  <c r="CE519" i="6"/>
  <c r="CA519" i="6"/>
  <c r="BR519" i="6"/>
  <c r="CL519" i="6"/>
  <c r="CH519" i="6"/>
  <c r="BX519" i="6"/>
  <c r="CF519" i="6"/>
  <c r="BY519" i="6"/>
  <c r="BE519" i="6"/>
  <c r="BQ519" i="6"/>
  <c r="CJ519" i="6"/>
  <c r="BN519" i="6"/>
  <c r="BW519" i="6"/>
  <c r="BP519" i="6"/>
  <c r="CK519" i="6"/>
  <c r="BL519" i="6"/>
  <c r="BZ519" i="6"/>
  <c r="BO519" i="6"/>
  <c r="CD519" i="6"/>
  <c r="BJ519" i="6"/>
  <c r="CB519" i="6"/>
  <c r="BD519" i="6"/>
  <c r="BF519" i="6"/>
  <c r="CI519" i="6"/>
  <c r="BS519" i="6"/>
  <c r="BL520" i="6"/>
  <c r="CK520" i="6"/>
  <c r="BR520" i="6"/>
  <c r="CJ520" i="6"/>
  <c r="BO520" i="6"/>
  <c r="CI520" i="6"/>
  <c r="CH520" i="6"/>
  <c r="CG520" i="6"/>
  <c r="CF520" i="6"/>
  <c r="BN520" i="6"/>
  <c r="BM520" i="6"/>
  <c r="BT520" i="6"/>
  <c r="BS520" i="6"/>
  <c r="CM520" i="6"/>
  <c r="BQ520" i="6"/>
  <c r="CL520" i="6"/>
  <c r="BP520" i="6"/>
  <c r="N520" i="6"/>
  <c r="A521" i="6"/>
  <c r="N521" i="6" s="1"/>
  <c r="J521" i="12"/>
  <c r="L521" i="12"/>
  <c r="CB520" i="6"/>
  <c r="BZ520" i="6"/>
  <c r="BI520" i="6"/>
  <c r="CA520" i="6"/>
  <c r="BC520" i="6"/>
  <c r="BF520" i="6"/>
  <c r="BK520" i="6"/>
  <c r="BX520" i="6"/>
  <c r="BJ520" i="6"/>
  <c r="T520" i="5"/>
  <c r="G520" i="12" s="1"/>
  <c r="BG520" i="6"/>
  <c r="CC520" i="6"/>
  <c r="BD520" i="6"/>
  <c r="D522" i="5"/>
  <c r="B522" i="12" s="1"/>
  <c r="AD522" i="5"/>
  <c r="F522" i="5"/>
  <c r="E522" i="5"/>
  <c r="AE522" i="5"/>
  <c r="B522" i="6"/>
  <c r="H522" i="5"/>
  <c r="N522" i="5"/>
  <c r="D522" i="6" s="1"/>
  <c r="C523" i="5"/>
  <c r="J522" i="5"/>
  <c r="K522" i="5"/>
  <c r="G522" i="5"/>
  <c r="B522" i="5"/>
  <c r="A522" i="12"/>
  <c r="BW520" i="6"/>
  <c r="BY520" i="6"/>
  <c r="H521" i="6"/>
  <c r="BH520" i="6"/>
  <c r="BE520" i="6"/>
  <c r="CD520" i="6"/>
  <c r="CE520" i="6"/>
  <c r="BV520" i="6"/>
  <c r="K520" i="12"/>
  <c r="M521" i="6" l="1"/>
  <c r="CE521" i="6" s="1"/>
  <c r="A522" i="6"/>
  <c r="N522" i="6" s="1"/>
  <c r="K521" i="12"/>
  <c r="A523" i="12"/>
  <c r="G523" i="5"/>
  <c r="B523" i="6"/>
  <c r="C524" i="5"/>
  <c r="J523" i="5"/>
  <c r="AE523" i="5"/>
  <c r="F523" i="5"/>
  <c r="D523" i="5"/>
  <c r="B523" i="12" s="1"/>
  <c r="E523" i="5"/>
  <c r="B523" i="5"/>
  <c r="K523" i="5"/>
  <c r="H523" i="5"/>
  <c r="N523" i="5"/>
  <c r="D523" i="6" s="1"/>
  <c r="AD523" i="5"/>
  <c r="H522" i="6"/>
  <c r="T521" i="5"/>
  <c r="G521" i="12" s="1"/>
  <c r="L522" i="12"/>
  <c r="J522" i="12"/>
  <c r="CL521" i="6" l="1"/>
  <c r="BV521" i="6"/>
  <c r="BT521" i="6"/>
  <c r="BM521" i="6"/>
  <c r="CK521" i="6"/>
  <c r="BH521" i="6"/>
  <c r="BP521" i="6"/>
  <c r="CB521" i="6"/>
  <c r="CJ521" i="6"/>
  <c r="BK521" i="6"/>
  <c r="BF521" i="6"/>
  <c r="CI521" i="6"/>
  <c r="BI521" i="6"/>
  <c r="BX521" i="6"/>
  <c r="CH521" i="6"/>
  <c r="BJ521" i="6"/>
  <c r="CF521" i="6"/>
  <c r="BL521" i="6"/>
  <c r="CC521" i="6"/>
  <c r="CA521" i="6"/>
  <c r="BN521" i="6"/>
  <c r="CG521" i="6"/>
  <c r="BW521" i="6"/>
  <c r="CD521" i="6"/>
  <c r="BZ521" i="6"/>
  <c r="BD521" i="6"/>
  <c r="BS521" i="6"/>
  <c r="BR521" i="6"/>
  <c r="BE521" i="6"/>
  <c r="BC521" i="6"/>
  <c r="BG521" i="6"/>
  <c r="BY521" i="6"/>
  <c r="CM521" i="6"/>
  <c r="BQ521" i="6"/>
  <c r="BO521" i="6"/>
  <c r="M522" i="6"/>
  <c r="BJ522" i="6" s="1"/>
  <c r="A523" i="6"/>
  <c r="N523" i="6" s="1"/>
  <c r="K522" i="12"/>
  <c r="T522" i="5"/>
  <c r="G522" i="12" s="1"/>
  <c r="G524" i="5"/>
  <c r="E524" i="5"/>
  <c r="C525" i="5"/>
  <c r="F524" i="5"/>
  <c r="K524" i="5"/>
  <c r="H524" i="5"/>
  <c r="B524" i="5"/>
  <c r="J524" i="5"/>
  <c r="AD524" i="5"/>
  <c r="D524" i="5"/>
  <c r="B524" i="12" s="1"/>
  <c r="A524" i="12"/>
  <c r="N524" i="5"/>
  <c r="D524" i="6" s="1"/>
  <c r="AE524" i="5"/>
  <c r="B524" i="6"/>
  <c r="H523" i="6"/>
  <c r="L523" i="12"/>
  <c r="J523" i="12"/>
  <c r="BS522" i="6" l="1"/>
  <c r="BD522" i="6"/>
  <c r="BR522" i="6"/>
  <c r="BX522" i="6"/>
  <c r="BP522" i="6"/>
  <c r="CD522" i="6"/>
  <c r="CC522" i="6"/>
  <c r="CI522" i="6"/>
  <c r="BE522" i="6"/>
  <c r="BO522" i="6"/>
  <c r="CK522" i="6"/>
  <c r="CH522" i="6"/>
  <c r="BZ522" i="6"/>
  <c r="BW522" i="6"/>
  <c r="BM522" i="6"/>
  <c r="BK522" i="6"/>
  <c r="BI522" i="6"/>
  <c r="BL522" i="6"/>
  <c r="BY522" i="6"/>
  <c r="CE522" i="6"/>
  <c r="CG522" i="6"/>
  <c r="BT522" i="6"/>
  <c r="BV522" i="6"/>
  <c r="CL522" i="6"/>
  <c r="CF522" i="6"/>
  <c r="CB522" i="6"/>
  <c r="BF522" i="6"/>
  <c r="CA522" i="6"/>
  <c r="BH522" i="6"/>
  <c r="BG522" i="6"/>
  <c r="BC522" i="6"/>
  <c r="CJ522" i="6"/>
  <c r="BN522" i="6"/>
  <c r="CM522" i="6"/>
  <c r="BQ522" i="6"/>
  <c r="M523" i="6"/>
  <c r="BL523" i="6" s="1"/>
  <c r="A524" i="6"/>
  <c r="M524" i="6" s="1"/>
  <c r="BF524" i="6" s="1"/>
  <c r="K523" i="12"/>
  <c r="F525" i="5"/>
  <c r="AD525" i="5"/>
  <c r="B525" i="5"/>
  <c r="B525" i="6"/>
  <c r="A525" i="12"/>
  <c r="J525" i="5"/>
  <c r="D525" i="5"/>
  <c r="B525" i="12" s="1"/>
  <c r="N525" i="5"/>
  <c r="D525" i="6" s="1"/>
  <c r="H525" i="5"/>
  <c r="K525" i="5"/>
  <c r="AE525" i="5"/>
  <c r="E525" i="5"/>
  <c r="G525" i="5"/>
  <c r="H524" i="6"/>
  <c r="T523" i="5"/>
  <c r="G523" i="12" s="1"/>
  <c r="L524" i="12"/>
  <c r="J524" i="12"/>
  <c r="BJ523" i="6" l="1"/>
  <c r="CM523" i="6"/>
  <c r="BK523" i="6"/>
  <c r="CD523" i="6"/>
  <c r="BQ523" i="6"/>
  <c r="BI523" i="6"/>
  <c r="BX523" i="6"/>
  <c r="BW523" i="6"/>
  <c r="BH523" i="6"/>
  <c r="BY523" i="6"/>
  <c r="CK523" i="6"/>
  <c r="BE523" i="6"/>
  <c r="BR523" i="6"/>
  <c r="CL523" i="6"/>
  <c r="BP523" i="6"/>
  <c r="CE523" i="6"/>
  <c r="CA523" i="6"/>
  <c r="CJ523" i="6"/>
  <c r="BD523" i="6"/>
  <c r="CB523" i="6"/>
  <c r="CC523" i="6"/>
  <c r="BG523" i="6"/>
  <c r="BF523" i="6"/>
  <c r="BZ523" i="6"/>
  <c r="BO523" i="6"/>
  <c r="A525" i="6"/>
  <c r="N525" i="6" s="1"/>
  <c r="BC523" i="6"/>
  <c r="BV523" i="6"/>
  <c r="CI523" i="6"/>
  <c r="BT523" i="6"/>
  <c r="BS523" i="6"/>
  <c r="CH523" i="6"/>
  <c r="CG523" i="6"/>
  <c r="CF523" i="6"/>
  <c r="N524" i="6"/>
  <c r="BN523" i="6"/>
  <c r="BM523" i="6"/>
  <c r="BP524" i="6"/>
  <c r="CJ524" i="6"/>
  <c r="BS524" i="6"/>
  <c r="CK524" i="6"/>
  <c r="BT524" i="6"/>
  <c r="CL524" i="6"/>
  <c r="BM524" i="6"/>
  <c r="CM524" i="6"/>
  <c r="BN524" i="6"/>
  <c r="BO524" i="6"/>
  <c r="BQ524" i="6"/>
  <c r="BR524" i="6"/>
  <c r="CG524" i="6"/>
  <c r="CF524" i="6"/>
  <c r="CH524" i="6"/>
  <c r="CI524" i="6"/>
  <c r="CD524" i="6"/>
  <c r="BD524" i="6"/>
  <c r="BG524" i="6"/>
  <c r="BK524" i="6"/>
  <c r="BX524" i="6"/>
  <c r="BC524" i="6"/>
  <c r="K524" i="12"/>
  <c r="BL524" i="6"/>
  <c r="BW524" i="6"/>
  <c r="CB524" i="6"/>
  <c r="BY524" i="6"/>
  <c r="BE524" i="6"/>
  <c r="H525" i="6"/>
  <c r="J525" i="12"/>
  <c r="L525" i="12"/>
  <c r="CA524" i="6"/>
  <c r="BI524" i="6"/>
  <c r="T524" i="5"/>
  <c r="G524" i="12" s="1"/>
  <c r="BH524" i="6"/>
  <c r="CE524" i="6"/>
  <c r="BV524" i="6"/>
  <c r="BJ524" i="6"/>
  <c r="CC524" i="6"/>
  <c r="BZ524" i="6"/>
  <c r="C526" i="5"/>
  <c r="AF526" i="5"/>
  <c r="M525" i="6" l="1"/>
  <c r="BL525" i="6" s="1"/>
  <c r="K525" i="12"/>
  <c r="AG526" i="5"/>
  <c r="S526" i="5"/>
  <c r="F526" i="12" s="1"/>
  <c r="C527" i="5"/>
  <c r="B526" i="5"/>
  <c r="F526" i="5"/>
  <c r="AE526" i="5"/>
  <c r="AD526" i="5"/>
  <c r="W526" i="5"/>
  <c r="H526" i="12" s="1"/>
  <c r="B526" i="6"/>
  <c r="E526" i="5"/>
  <c r="H526" i="5"/>
  <c r="G526" i="5"/>
  <c r="A526" i="12"/>
  <c r="N526" i="5"/>
  <c r="D526" i="6" s="1"/>
  <c r="T525" i="5"/>
  <c r="G525" i="12" s="1"/>
  <c r="CA525" i="6" l="1"/>
  <c r="BQ525" i="6"/>
  <c r="CC525" i="6"/>
  <c r="BE525" i="6"/>
  <c r="BP525" i="6"/>
  <c r="BY525" i="6"/>
  <c r="CB525" i="6"/>
  <c r="BM525" i="6"/>
  <c r="BX525" i="6"/>
  <c r="CI525" i="6"/>
  <c r="BT525" i="6"/>
  <c r="BJ525" i="6"/>
  <c r="BN525" i="6"/>
  <c r="BR525" i="6"/>
  <c r="BV525" i="6"/>
  <c r="BD525" i="6"/>
  <c r="BI525" i="6"/>
  <c r="BF525" i="6"/>
  <c r="CF525" i="6"/>
  <c r="BZ525" i="6"/>
  <c r="CJ525" i="6"/>
  <c r="CH525" i="6"/>
  <c r="BK525" i="6"/>
  <c r="CK525" i="6"/>
  <c r="CG525" i="6"/>
  <c r="BC525" i="6"/>
  <c r="CD525" i="6"/>
  <c r="BW525" i="6"/>
  <c r="BS525" i="6"/>
  <c r="BO525" i="6"/>
  <c r="BH525" i="6"/>
  <c r="CE525" i="6"/>
  <c r="BG525" i="6"/>
  <c r="CL525" i="6"/>
  <c r="CM525" i="6"/>
  <c r="A526" i="6"/>
  <c r="CM526" i="6"/>
  <c r="CL526" i="6"/>
  <c r="CK526" i="6"/>
  <c r="CJ526" i="6"/>
  <c r="CI526" i="6"/>
  <c r="CH526" i="6"/>
  <c r="CG526" i="6"/>
  <c r="CF526" i="6"/>
  <c r="BN526" i="6"/>
  <c r="BM526" i="6"/>
  <c r="BT526" i="6"/>
  <c r="BS526" i="6"/>
  <c r="BQ526" i="6"/>
  <c r="BP526" i="6"/>
  <c r="BR526" i="6"/>
  <c r="BO526" i="6"/>
  <c r="U526" i="5"/>
  <c r="AN526" i="5" s="1"/>
  <c r="G526" i="6"/>
  <c r="N526" i="6"/>
  <c r="H526" i="6"/>
  <c r="M526" i="6"/>
  <c r="CB526" i="6" s="1"/>
  <c r="E526" i="12"/>
  <c r="F526" i="6"/>
  <c r="AE527" i="5"/>
  <c r="A527" i="12"/>
  <c r="F527" i="5"/>
  <c r="D527" i="5"/>
  <c r="B527" i="12" s="1"/>
  <c r="K527" i="5"/>
  <c r="AD527" i="5"/>
  <c r="B527" i="6"/>
  <c r="E527" i="5"/>
  <c r="C528" i="5"/>
  <c r="N527" i="5"/>
  <c r="D527" i="6" s="1"/>
  <c r="G527" i="5"/>
  <c r="H527" i="5"/>
  <c r="B527" i="5"/>
  <c r="J527" i="5"/>
  <c r="AT526" i="6" l="1"/>
  <c r="AZ526" i="6"/>
  <c r="AU526" i="6"/>
  <c r="AV526" i="6"/>
  <c r="AW526" i="6"/>
  <c r="AX526" i="6"/>
  <c r="AY526" i="6"/>
  <c r="BA526" i="6"/>
  <c r="A527" i="6"/>
  <c r="M527" i="6" s="1"/>
  <c r="BL527" i="6" s="1"/>
  <c r="AO526" i="6"/>
  <c r="BV526" i="6"/>
  <c r="BG526" i="6"/>
  <c r="BI526" i="6"/>
  <c r="BH526" i="6"/>
  <c r="BL526" i="6"/>
  <c r="BE526" i="6"/>
  <c r="BY526" i="6"/>
  <c r="BC526" i="6"/>
  <c r="BW526" i="6"/>
  <c r="CD526" i="6"/>
  <c r="BJ526" i="6"/>
  <c r="BX526" i="6"/>
  <c r="AK526" i="6"/>
  <c r="CE526" i="6"/>
  <c r="AJ526" i="6"/>
  <c r="AM526" i="6"/>
  <c r="AP526" i="6"/>
  <c r="H527" i="6"/>
  <c r="K528" i="5"/>
  <c r="AD528" i="5"/>
  <c r="B528" i="6"/>
  <c r="J528" i="5"/>
  <c r="G528" i="5"/>
  <c r="E528" i="5"/>
  <c r="H528" i="5"/>
  <c r="AE528" i="5"/>
  <c r="N528" i="5"/>
  <c r="D528" i="6" s="1"/>
  <c r="F528" i="5"/>
  <c r="B528" i="5"/>
  <c r="C529" i="5"/>
  <c r="D528" i="5"/>
  <c r="B528" i="12" s="1"/>
  <c r="A528" i="12"/>
  <c r="T526" i="5"/>
  <c r="G526" i="12" s="1"/>
  <c r="AL526" i="6"/>
  <c r="AR526" i="6"/>
  <c r="AS526" i="6"/>
  <c r="AN526" i="6"/>
  <c r="BD526" i="6"/>
  <c r="BK526" i="6"/>
  <c r="CC526" i="6"/>
  <c r="CA526" i="6"/>
  <c r="BF526" i="6"/>
  <c r="BZ526" i="6"/>
  <c r="L527" i="12"/>
  <c r="J527" i="12"/>
  <c r="AQ526" i="6"/>
  <c r="N527" i="6" l="1"/>
  <c r="BS527" i="6"/>
  <c r="BQ527" i="6"/>
  <c r="BO527" i="6"/>
  <c r="BR527" i="6"/>
  <c r="CG527" i="6"/>
  <c r="CF527" i="6"/>
  <c r="CH527" i="6"/>
  <c r="CI527" i="6"/>
  <c r="CJ527" i="6"/>
  <c r="BP527" i="6"/>
  <c r="CK527" i="6"/>
  <c r="BT527" i="6"/>
  <c r="CL527" i="6"/>
  <c r="BM527" i="6"/>
  <c r="CM527" i="6"/>
  <c r="BN527" i="6"/>
  <c r="A528" i="6"/>
  <c r="M528" i="6" s="1"/>
  <c r="CD528" i="6" s="1"/>
  <c r="BD527" i="6"/>
  <c r="CB527" i="6"/>
  <c r="K527" i="12"/>
  <c r="BF527" i="6"/>
  <c r="CD527" i="6"/>
  <c r="BE527" i="6"/>
  <c r="BJ527" i="6"/>
  <c r="BH527" i="6"/>
  <c r="BZ527" i="6"/>
  <c r="CA527" i="6"/>
  <c r="BX527" i="6"/>
  <c r="BC527" i="6"/>
  <c r="CE527" i="6"/>
  <c r="BY527" i="6"/>
  <c r="BI527" i="6"/>
  <c r="BK527" i="6"/>
  <c r="CC527" i="6"/>
  <c r="F529" i="5"/>
  <c r="B529" i="5"/>
  <c r="AD529" i="5"/>
  <c r="G529" i="5"/>
  <c r="E529" i="5"/>
  <c r="D529" i="5"/>
  <c r="B529" i="12" s="1"/>
  <c r="H529" i="5"/>
  <c r="J529" i="5"/>
  <c r="K529" i="5"/>
  <c r="N529" i="5"/>
  <c r="D529" i="6" s="1"/>
  <c r="B529" i="6"/>
  <c r="AE529" i="5"/>
  <c r="A529" i="12"/>
  <c r="H528" i="6"/>
  <c r="T527" i="5"/>
  <c r="G527" i="12" s="1"/>
  <c r="BW527" i="6"/>
  <c r="BV527" i="6"/>
  <c r="BG527" i="6"/>
  <c r="L528" i="12"/>
  <c r="J528" i="12"/>
  <c r="A529" i="6" l="1"/>
  <c r="M529" i="6" s="1"/>
  <c r="BJ529" i="6" s="1"/>
  <c r="N528" i="6"/>
  <c r="CJ528" i="6"/>
  <c r="CL528" i="6"/>
  <c r="CM528" i="6"/>
  <c r="BN528" i="6"/>
  <c r="CF528" i="6"/>
  <c r="BT528" i="6"/>
  <c r="CG528" i="6"/>
  <c r="BM528" i="6"/>
  <c r="CH528" i="6"/>
  <c r="BO528" i="6"/>
  <c r="CI528" i="6"/>
  <c r="BP528" i="6"/>
  <c r="BQ528" i="6"/>
  <c r="BR528" i="6"/>
  <c r="BS528" i="6"/>
  <c r="CK528" i="6"/>
  <c r="K528" i="12"/>
  <c r="BY528" i="6"/>
  <c r="BW528" i="6"/>
  <c r="BK528" i="6"/>
  <c r="BZ528" i="6"/>
  <c r="BD528" i="6"/>
  <c r="BJ528" i="6"/>
  <c r="BX528" i="6"/>
  <c r="CC528" i="6"/>
  <c r="BC528" i="6"/>
  <c r="BI528" i="6"/>
  <c r="BL528" i="6"/>
  <c r="CA528" i="6"/>
  <c r="CE528" i="6"/>
  <c r="BE528" i="6"/>
  <c r="C530" i="5"/>
  <c r="BH528" i="6"/>
  <c r="T528" i="5"/>
  <c r="G528" i="12" s="1"/>
  <c r="J529" i="12"/>
  <c r="L529" i="12"/>
  <c r="BG528" i="6"/>
  <c r="CB528" i="6"/>
  <c r="H529" i="6"/>
  <c r="BF528" i="6"/>
  <c r="BV528" i="6"/>
  <c r="AF530" i="5"/>
  <c r="N529" i="6" l="1"/>
  <c r="BP529" i="6"/>
  <c r="CL529" i="6"/>
  <c r="BQ529" i="6"/>
  <c r="CM529" i="6"/>
  <c r="BT529" i="6"/>
  <c r="BM529" i="6"/>
  <c r="BN529" i="6"/>
  <c r="CF529" i="6"/>
  <c r="CG529" i="6"/>
  <c r="BS529" i="6"/>
  <c r="CH529" i="6"/>
  <c r="CI529" i="6"/>
  <c r="BO529" i="6"/>
  <c r="CJ529" i="6"/>
  <c r="BR529" i="6"/>
  <c r="CK529" i="6"/>
  <c r="BF529" i="6"/>
  <c r="K529" i="12"/>
  <c r="BV529" i="6"/>
  <c r="BH529" i="6"/>
  <c r="BY529" i="6"/>
  <c r="BX529" i="6"/>
  <c r="BC529" i="6"/>
  <c r="AG530" i="5"/>
  <c r="S530" i="5"/>
  <c r="F530" i="12" s="1"/>
  <c r="T529" i="5"/>
  <c r="G529" i="12" s="1"/>
  <c r="W530" i="5"/>
  <c r="H530" i="12" s="1"/>
  <c r="B530" i="5"/>
  <c r="AE530" i="5"/>
  <c r="H530" i="5"/>
  <c r="F530" i="5"/>
  <c r="G530" i="5"/>
  <c r="C531" i="5"/>
  <c r="E530" i="5"/>
  <c r="AD530" i="5"/>
  <c r="B530" i="6"/>
  <c r="A530" i="12"/>
  <c r="N530" i="5"/>
  <c r="D530" i="6" s="1"/>
  <c r="CE529" i="6"/>
  <c r="CD529" i="6"/>
  <c r="BI529" i="6"/>
  <c r="BK529" i="6"/>
  <c r="BL529" i="6"/>
  <c r="BE529" i="6"/>
  <c r="BD529" i="6"/>
  <c r="CA529" i="6"/>
  <c r="BW529" i="6"/>
  <c r="CB529" i="6"/>
  <c r="CC529" i="6"/>
  <c r="BZ529" i="6"/>
  <c r="BG529" i="6"/>
  <c r="CM530" i="6" l="1"/>
  <c r="CL530" i="6"/>
  <c r="CK530" i="6"/>
  <c r="CJ530" i="6"/>
  <c r="CI530" i="6"/>
  <c r="CH530" i="6"/>
  <c r="CF530" i="6"/>
  <c r="CG530" i="6"/>
  <c r="BR530" i="6"/>
  <c r="BQ530" i="6"/>
  <c r="BO530" i="6"/>
  <c r="BN530" i="6"/>
  <c r="BM530" i="6"/>
  <c r="BT530" i="6"/>
  <c r="BS530" i="6"/>
  <c r="BP530" i="6"/>
  <c r="A530" i="6"/>
  <c r="U530" i="5"/>
  <c r="AN530" i="5" s="1"/>
  <c r="AD531" i="5"/>
  <c r="H531" i="5"/>
  <c r="F531" i="5"/>
  <c r="G531" i="5"/>
  <c r="D531" i="5"/>
  <c r="B531" i="12" s="1"/>
  <c r="AE531" i="5"/>
  <c r="K531" i="5"/>
  <c r="B531" i="6"/>
  <c r="E531" i="5"/>
  <c r="J531" i="5"/>
  <c r="A531" i="12"/>
  <c r="N531" i="5"/>
  <c r="D531" i="6" s="1"/>
  <c r="C532" i="5"/>
  <c r="B531" i="5"/>
  <c r="F530" i="6"/>
  <c r="E530" i="12"/>
  <c r="G530" i="6"/>
  <c r="H530" i="6"/>
  <c r="M530" i="6"/>
  <c r="BZ530" i="6" s="1"/>
  <c r="N530" i="6"/>
  <c r="AV530" i="6" l="1"/>
  <c r="A531" i="6"/>
  <c r="M531" i="6" s="1"/>
  <c r="CD531" i="6" s="1"/>
  <c r="AU530" i="6"/>
  <c r="AW530" i="6"/>
  <c r="AZ530" i="6"/>
  <c r="AY530" i="6"/>
  <c r="BA530" i="6"/>
  <c r="AX530" i="6"/>
  <c r="AT530" i="6"/>
  <c r="CD530" i="6"/>
  <c r="BE530" i="6"/>
  <c r="BY530" i="6"/>
  <c r="BD530" i="6"/>
  <c r="CA530" i="6"/>
  <c r="T530" i="5"/>
  <c r="G530" i="12" s="1"/>
  <c r="AK530" i="6"/>
  <c r="AS530" i="6"/>
  <c r="AM530" i="6"/>
  <c r="AR530" i="6"/>
  <c r="AO530" i="6"/>
  <c r="AP530" i="6"/>
  <c r="AL530" i="6"/>
  <c r="AQ530" i="6"/>
  <c r="AJ530" i="6"/>
  <c r="CB530" i="6"/>
  <c r="CE530" i="6"/>
  <c r="BH530" i="6"/>
  <c r="CC530" i="6"/>
  <c r="BI530" i="6"/>
  <c r="BX530" i="6"/>
  <c r="BJ530" i="6"/>
  <c r="BG530" i="6"/>
  <c r="BK530" i="6"/>
  <c r="BF530" i="6"/>
  <c r="BC530" i="6"/>
  <c r="BW530" i="6"/>
  <c r="BL530" i="6"/>
  <c r="H532" i="5"/>
  <c r="N532" i="5"/>
  <c r="D532" i="6" s="1"/>
  <c r="B532" i="5"/>
  <c r="B532" i="6"/>
  <c r="K532" i="5"/>
  <c r="AD532" i="5"/>
  <c r="J532" i="5"/>
  <c r="A532" i="12"/>
  <c r="D532" i="5"/>
  <c r="B532" i="12" s="1"/>
  <c r="AE532" i="5"/>
  <c r="G532" i="5"/>
  <c r="F532" i="5"/>
  <c r="C533" i="5"/>
  <c r="E532" i="5"/>
  <c r="AN530" i="6"/>
  <c r="H531" i="6"/>
  <c r="BV530" i="6"/>
  <c r="L531" i="12"/>
  <c r="J531" i="12"/>
  <c r="N531" i="6" l="1"/>
  <c r="A532" i="6"/>
  <c r="M532" i="6" s="1"/>
  <c r="BY532" i="6" s="1"/>
  <c r="CK531" i="6"/>
  <c r="CJ531" i="6"/>
  <c r="CL531" i="6"/>
  <c r="CM531" i="6"/>
  <c r="BN531" i="6"/>
  <c r="CF531" i="6"/>
  <c r="BT531" i="6"/>
  <c r="CG531" i="6"/>
  <c r="BM531" i="6"/>
  <c r="CH531" i="6"/>
  <c r="BO531" i="6"/>
  <c r="CI531" i="6"/>
  <c r="BP531" i="6"/>
  <c r="BQ531" i="6"/>
  <c r="BR531" i="6"/>
  <c r="BS531" i="6"/>
  <c r="BK531" i="6"/>
  <c r="CB531" i="6"/>
  <c r="BZ531" i="6"/>
  <c r="BE531" i="6"/>
  <c r="BC531" i="6"/>
  <c r="BX531" i="6"/>
  <c r="BJ531" i="6"/>
  <c r="BW531" i="6"/>
  <c r="BG531" i="6"/>
  <c r="BI531" i="6"/>
  <c r="BF531" i="6"/>
  <c r="BD531" i="6"/>
  <c r="L532" i="12"/>
  <c r="J532" i="12"/>
  <c r="T531" i="5"/>
  <c r="G531" i="12" s="1"/>
  <c r="K531" i="12"/>
  <c r="G533" i="5"/>
  <c r="K533" i="5"/>
  <c r="D533" i="5"/>
  <c r="B533" i="12" s="1"/>
  <c r="A533" i="12"/>
  <c r="AE533" i="5"/>
  <c r="N533" i="5"/>
  <c r="D533" i="6" s="1"/>
  <c r="B533" i="6"/>
  <c r="J533" i="5"/>
  <c r="E533" i="5"/>
  <c r="H533" i="5"/>
  <c r="F533" i="5"/>
  <c r="B533" i="5"/>
  <c r="AD533" i="5"/>
  <c r="C534" i="5"/>
  <c r="H532" i="6"/>
  <c r="CA531" i="6"/>
  <c r="BY531" i="6"/>
  <c r="BV531" i="6"/>
  <c r="CE531" i="6"/>
  <c r="BH531" i="6"/>
  <c r="CC531" i="6"/>
  <c r="BL531" i="6"/>
  <c r="N532" i="6" l="1"/>
  <c r="CF532" i="6"/>
  <c r="CG532" i="6"/>
  <c r="CH532" i="6"/>
  <c r="CI532" i="6"/>
  <c r="BO532" i="6"/>
  <c r="CJ532" i="6"/>
  <c r="BR532" i="6"/>
  <c r="CK532" i="6"/>
  <c r="BP532" i="6"/>
  <c r="CL532" i="6"/>
  <c r="BQ532" i="6"/>
  <c r="CM532" i="6"/>
  <c r="BS532" i="6"/>
  <c r="BT532" i="6"/>
  <c r="BM532" i="6"/>
  <c r="BN532" i="6"/>
  <c r="A533" i="6"/>
  <c r="N533" i="6" s="1"/>
  <c r="BW532" i="6"/>
  <c r="BD532" i="6"/>
  <c r="CD532" i="6"/>
  <c r="BV532" i="6"/>
  <c r="CB532" i="6"/>
  <c r="BC532" i="6"/>
  <c r="CE532" i="6"/>
  <c r="BI532" i="6"/>
  <c r="BJ532" i="6"/>
  <c r="BE532" i="6"/>
  <c r="BX532" i="6"/>
  <c r="BH532" i="6"/>
  <c r="BF532" i="6"/>
  <c r="CC532" i="6"/>
  <c r="T532" i="5"/>
  <c r="G532" i="12" s="1"/>
  <c r="BG532" i="6"/>
  <c r="K532" i="12"/>
  <c r="CA532" i="6"/>
  <c r="BZ532" i="6"/>
  <c r="H533" i="6"/>
  <c r="BK532" i="6"/>
  <c r="BL532" i="6"/>
  <c r="N534" i="5"/>
  <c r="D534" i="6" s="1"/>
  <c r="A534" i="12"/>
  <c r="E534" i="5"/>
  <c r="F534" i="5"/>
  <c r="H534" i="5"/>
  <c r="K534" i="5"/>
  <c r="B534" i="6"/>
  <c r="J534" i="5"/>
  <c r="B534" i="5"/>
  <c r="D534" i="5"/>
  <c r="B534" i="12" s="1"/>
  <c r="AE534" i="5"/>
  <c r="AD534" i="5"/>
  <c r="G534" i="5"/>
  <c r="C535" i="5"/>
  <c r="L533" i="12"/>
  <c r="J533" i="12"/>
  <c r="A534" i="6" l="1"/>
  <c r="N534" i="6" s="1"/>
  <c r="M533" i="6"/>
  <c r="BK533" i="6" s="1"/>
  <c r="K533" i="12"/>
  <c r="G535" i="5"/>
  <c r="A535" i="12"/>
  <c r="F535" i="5"/>
  <c r="D535" i="5"/>
  <c r="B535" i="12" s="1"/>
  <c r="K535" i="5"/>
  <c r="H535" i="5"/>
  <c r="J535" i="5"/>
  <c r="AE535" i="5"/>
  <c r="C536" i="5"/>
  <c r="AD535" i="5"/>
  <c r="B535" i="5"/>
  <c r="N535" i="5"/>
  <c r="D535" i="6" s="1"/>
  <c r="E535" i="5"/>
  <c r="B535" i="6"/>
  <c r="J534" i="12"/>
  <c r="L534" i="12"/>
  <c r="H534" i="6"/>
  <c r="T533" i="5"/>
  <c r="G533" i="12" s="1"/>
  <c r="M534" i="6" l="1"/>
  <c r="BY534" i="6" s="1"/>
  <c r="CE533" i="6"/>
  <c r="BX533" i="6"/>
  <c r="BI533" i="6"/>
  <c r="BW533" i="6"/>
  <c r="BG533" i="6"/>
  <c r="CD533" i="6"/>
  <c r="CF533" i="6"/>
  <c r="CG533" i="6"/>
  <c r="BS533" i="6"/>
  <c r="BR533" i="6"/>
  <c r="BQ533" i="6"/>
  <c r="BO533" i="6"/>
  <c r="BN533" i="6"/>
  <c r="CM533" i="6"/>
  <c r="BM533" i="6"/>
  <c r="CL533" i="6"/>
  <c r="BT533" i="6"/>
  <c r="CK533" i="6"/>
  <c r="BP533" i="6"/>
  <c r="CJ533" i="6"/>
  <c r="CI533" i="6"/>
  <c r="CH533" i="6"/>
  <c r="CC533" i="6"/>
  <c r="BZ533" i="6"/>
  <c r="BY533" i="6"/>
  <c r="BE533" i="6"/>
  <c r="BV533" i="6"/>
  <c r="CA533" i="6"/>
  <c r="BF533" i="6"/>
  <c r="CB533" i="6"/>
  <c r="BD533" i="6"/>
  <c r="BL533" i="6"/>
  <c r="BC533" i="6"/>
  <c r="BJ533" i="6"/>
  <c r="BH533" i="6"/>
  <c r="A535" i="6"/>
  <c r="N535" i="6" s="1"/>
  <c r="K534" i="12"/>
  <c r="T534" i="5"/>
  <c r="G534" i="12" s="1"/>
  <c r="J535" i="12"/>
  <c r="L535" i="12"/>
  <c r="H535" i="6"/>
  <c r="B536" i="6"/>
  <c r="N536" i="5"/>
  <c r="D536" i="6" s="1"/>
  <c r="F536" i="5"/>
  <c r="C537" i="5"/>
  <c r="A536" i="12"/>
  <c r="E536" i="5"/>
  <c r="B536" i="5"/>
  <c r="AE536" i="5"/>
  <c r="J536" i="5"/>
  <c r="AD536" i="5"/>
  <c r="D536" i="5"/>
  <c r="B536" i="12" s="1"/>
  <c r="K536" i="5"/>
  <c r="G536" i="5"/>
  <c r="H536" i="5"/>
  <c r="BI534" i="6" l="1"/>
  <c r="BC534" i="6"/>
  <c r="BG534" i="6"/>
  <c r="BO534" i="6"/>
  <c r="CF534" i="6"/>
  <c r="BN534" i="6"/>
  <c r="BL534" i="6"/>
  <c r="BX534" i="6"/>
  <c r="BR534" i="6"/>
  <c r="CM534" i="6"/>
  <c r="BV534" i="6"/>
  <c r="BD534" i="6"/>
  <c r="CL534" i="6"/>
  <c r="CC534" i="6"/>
  <c r="BK534" i="6"/>
  <c r="CJ534" i="6"/>
  <c r="CK534" i="6"/>
  <c r="BQ534" i="6"/>
  <c r="CI534" i="6"/>
  <c r="BE534" i="6"/>
  <c r="CD534" i="6"/>
  <c r="BJ534" i="6"/>
  <c r="CB534" i="6"/>
  <c r="BS534" i="6"/>
  <c r="BP534" i="6"/>
  <c r="CH534" i="6"/>
  <c r="BZ534" i="6"/>
  <c r="BH534" i="6"/>
  <c r="BM534" i="6"/>
  <c r="CA534" i="6"/>
  <c r="BT534" i="6"/>
  <c r="BF534" i="6"/>
  <c r="CE534" i="6"/>
  <c r="BW534" i="6"/>
  <c r="CG534" i="6"/>
  <c r="M535" i="6"/>
  <c r="BH535" i="6" s="1"/>
  <c r="A536" i="6"/>
  <c r="N536" i="6" s="1"/>
  <c r="K535" i="12"/>
  <c r="T535" i="5"/>
  <c r="G535" i="12" s="1"/>
  <c r="L536" i="12"/>
  <c r="J536" i="12"/>
  <c r="G537" i="5"/>
  <c r="D537" i="5"/>
  <c r="B537" i="12" s="1"/>
  <c r="F537" i="5"/>
  <c r="B537" i="5"/>
  <c r="C538" i="5"/>
  <c r="N537" i="5"/>
  <c r="D537" i="6" s="1"/>
  <c r="E537" i="5"/>
  <c r="J537" i="5"/>
  <c r="AE537" i="5"/>
  <c r="K537" i="5"/>
  <c r="A537" i="12"/>
  <c r="AD537" i="5"/>
  <c r="H537" i="5"/>
  <c r="B537" i="6"/>
  <c r="H536" i="6"/>
  <c r="BJ535" i="6" l="1"/>
  <c r="BP535" i="6"/>
  <c r="CK535" i="6"/>
  <c r="BR535" i="6"/>
  <c r="BC535" i="6"/>
  <c r="BD535" i="6"/>
  <c r="CJ535" i="6"/>
  <c r="CE535" i="6"/>
  <c r="BF535" i="6"/>
  <c r="BO535" i="6"/>
  <c r="BG535" i="6"/>
  <c r="CB535" i="6"/>
  <c r="BY535" i="6"/>
  <c r="CI535" i="6"/>
  <c r="BV535" i="6"/>
  <c r="BE535" i="6"/>
  <c r="BZ535" i="6"/>
  <c r="CH535" i="6"/>
  <c r="BI535" i="6"/>
  <c r="CG535" i="6"/>
  <c r="CF535" i="6"/>
  <c r="CL535" i="6"/>
  <c r="BX535" i="6"/>
  <c r="CA535" i="6"/>
  <c r="BL535" i="6"/>
  <c r="CM535" i="6"/>
  <c r="BN535" i="6"/>
  <c r="CD535" i="6"/>
  <c r="CC535" i="6"/>
  <c r="BW535" i="6"/>
  <c r="BK535" i="6"/>
  <c r="BQ535" i="6"/>
  <c r="BM535" i="6"/>
  <c r="BT535" i="6"/>
  <c r="BS535" i="6"/>
  <c r="M536" i="6"/>
  <c r="BQ536" i="6" s="1"/>
  <c r="A537" i="6"/>
  <c r="N537" i="6" s="1"/>
  <c r="T536" i="5"/>
  <c r="G536" i="12" s="1"/>
  <c r="L537" i="12"/>
  <c r="J537" i="12"/>
  <c r="K536" i="12"/>
  <c r="H537" i="6"/>
  <c r="F538" i="5"/>
  <c r="J538" i="5"/>
  <c r="D538" i="5"/>
  <c r="B538" i="12" s="1"/>
  <c r="B538" i="5"/>
  <c r="C539" i="5"/>
  <c r="A538" i="12"/>
  <c r="N538" i="5"/>
  <c r="D538" i="6" s="1"/>
  <c r="G538" i="5"/>
  <c r="K538" i="5"/>
  <c r="B538" i="6"/>
  <c r="E538" i="5"/>
  <c r="AD538" i="5"/>
  <c r="AE538" i="5"/>
  <c r="H538" i="5"/>
  <c r="BK536" i="6" l="1"/>
  <c r="BE536" i="6"/>
  <c r="CA536" i="6"/>
  <c r="CM536" i="6"/>
  <c r="BD536" i="6"/>
  <c r="CL536" i="6"/>
  <c r="BC536" i="6"/>
  <c r="BT536" i="6"/>
  <c r="CE536" i="6"/>
  <c r="BI536" i="6"/>
  <c r="BG536" i="6"/>
  <c r="BS536" i="6"/>
  <c r="CD536" i="6"/>
  <c r="CK536" i="6"/>
  <c r="CB536" i="6"/>
  <c r="BX536" i="6"/>
  <c r="CJ536" i="6"/>
  <c r="BF536" i="6"/>
  <c r="BJ536" i="6"/>
  <c r="CI536" i="6"/>
  <c r="BV536" i="6"/>
  <c r="CH536" i="6"/>
  <c r="BW536" i="6"/>
  <c r="BY536" i="6"/>
  <c r="BZ536" i="6"/>
  <c r="BH536" i="6"/>
  <c r="CC536" i="6"/>
  <c r="CF536" i="6"/>
  <c r="BO536" i="6"/>
  <c r="BN536" i="6"/>
  <c r="CG536" i="6"/>
  <c r="BL536" i="6"/>
  <c r="BM536" i="6"/>
  <c r="BR536" i="6"/>
  <c r="BP536" i="6"/>
  <c r="M537" i="6"/>
  <c r="BZ537" i="6" s="1"/>
  <c r="A538" i="6"/>
  <c r="N538" i="6" s="1"/>
  <c r="K537" i="12"/>
  <c r="H538" i="6"/>
  <c r="J538" i="12"/>
  <c r="L538" i="12"/>
  <c r="AE539" i="5"/>
  <c r="G539" i="5"/>
  <c r="H539" i="5"/>
  <c r="C540" i="5"/>
  <c r="AD539" i="5"/>
  <c r="J539" i="5"/>
  <c r="B539" i="5"/>
  <c r="A539" i="12"/>
  <c r="N539" i="5"/>
  <c r="D539" i="6" s="1"/>
  <c r="D539" i="5"/>
  <c r="B539" i="12" s="1"/>
  <c r="B539" i="6"/>
  <c r="F539" i="5"/>
  <c r="E539" i="5"/>
  <c r="K539" i="5"/>
  <c r="T537" i="5"/>
  <c r="G537" i="12" s="1"/>
  <c r="A539" i="6" l="1"/>
  <c r="M539" i="6" s="1"/>
  <c r="CM539" i="6" s="1"/>
  <c r="CC537" i="6"/>
  <c r="BK537" i="6"/>
  <c r="BD537" i="6"/>
  <c r="BG537" i="6"/>
  <c r="BH537" i="6"/>
  <c r="BF537" i="6"/>
  <c r="BY537" i="6"/>
  <c r="CD537" i="6"/>
  <c r="BL537" i="6"/>
  <c r="CA537" i="6"/>
  <c r="CE537" i="6"/>
  <c r="BX537" i="6"/>
  <c r="BI537" i="6"/>
  <c r="BW537" i="6"/>
  <c r="BC537" i="6"/>
  <c r="BJ537" i="6"/>
  <c r="M538" i="6"/>
  <c r="BI538" i="6" s="1"/>
  <c r="BV537" i="6"/>
  <c r="CM537" i="6"/>
  <c r="CL537" i="6"/>
  <c r="CJ537" i="6"/>
  <c r="CK537" i="6"/>
  <c r="BS537" i="6"/>
  <c r="BR537" i="6"/>
  <c r="BQ537" i="6"/>
  <c r="BP537" i="6"/>
  <c r="CI537" i="6"/>
  <c r="BO537" i="6"/>
  <c r="CH537" i="6"/>
  <c r="BM537" i="6"/>
  <c r="CG537" i="6"/>
  <c r="BT537" i="6"/>
  <c r="CF537" i="6"/>
  <c r="BN537" i="6"/>
  <c r="CB537" i="6"/>
  <c r="BE537" i="6"/>
  <c r="K538" i="12"/>
  <c r="L539" i="12"/>
  <c r="J539" i="12"/>
  <c r="E540" i="5"/>
  <c r="AE540" i="5"/>
  <c r="B540" i="6"/>
  <c r="N540" i="5"/>
  <c r="D540" i="6" s="1"/>
  <c r="C541" i="5"/>
  <c r="H540" i="5"/>
  <c r="B540" i="5"/>
  <c r="AD540" i="5"/>
  <c r="J540" i="5"/>
  <c r="K540" i="5"/>
  <c r="G540" i="5"/>
  <c r="D540" i="5"/>
  <c r="B540" i="12" s="1"/>
  <c r="F540" i="5"/>
  <c r="A540" i="12"/>
  <c r="T538" i="5"/>
  <c r="G538" i="12" s="1"/>
  <c r="H539" i="6"/>
  <c r="N539" i="6" l="1"/>
  <c r="BW538" i="6"/>
  <c r="CD538" i="6"/>
  <c r="BK538" i="6"/>
  <c r="CC538" i="6"/>
  <c r="BH538" i="6"/>
  <c r="BG538" i="6"/>
  <c r="BV538" i="6"/>
  <c r="BJ538" i="6"/>
  <c r="BX538" i="6"/>
  <c r="CE538" i="6"/>
  <c r="CB538" i="6"/>
  <c r="CA538" i="6"/>
  <c r="BZ538" i="6"/>
  <c r="BY538" i="6"/>
  <c r="BC538" i="6"/>
  <c r="BD538" i="6"/>
  <c r="BF538" i="6"/>
  <c r="BE538" i="6"/>
  <c r="BN539" i="6"/>
  <c r="BO539" i="6"/>
  <c r="BQ539" i="6"/>
  <c r="BR539" i="6"/>
  <c r="CG539" i="6"/>
  <c r="BS539" i="6"/>
  <c r="CF539" i="6"/>
  <c r="CH539" i="6"/>
  <c r="BL538" i="6"/>
  <c r="CH538" i="6"/>
  <c r="CG538" i="6"/>
  <c r="CF538" i="6"/>
  <c r="BN538" i="6"/>
  <c r="BM538" i="6"/>
  <c r="BT538" i="6"/>
  <c r="BS538" i="6"/>
  <c r="CM538" i="6"/>
  <c r="BQ538" i="6"/>
  <c r="CL538" i="6"/>
  <c r="BP538" i="6"/>
  <c r="CK538" i="6"/>
  <c r="BR538" i="6"/>
  <c r="CJ538" i="6"/>
  <c r="BO538" i="6"/>
  <c r="CI538" i="6"/>
  <c r="CI539" i="6"/>
  <c r="CJ539" i="6"/>
  <c r="BP539" i="6"/>
  <c r="CK539" i="6"/>
  <c r="BT539" i="6"/>
  <c r="CL539" i="6"/>
  <c r="BM539" i="6"/>
  <c r="A540" i="6"/>
  <c r="N540" i="6" s="1"/>
  <c r="K539" i="12"/>
  <c r="BG539" i="6"/>
  <c r="BW539" i="6"/>
  <c r="BY539" i="6"/>
  <c r="CD539" i="6"/>
  <c r="BI539" i="6"/>
  <c r="BX539" i="6"/>
  <c r="CA539" i="6"/>
  <c r="BF539" i="6"/>
  <c r="BL539" i="6"/>
  <c r="CB539" i="6"/>
  <c r="BZ539" i="6"/>
  <c r="CC539" i="6"/>
  <c r="BD539" i="6"/>
  <c r="BV539" i="6"/>
  <c r="BK539" i="6"/>
  <c r="BE539" i="6"/>
  <c r="BJ539" i="6"/>
  <c r="BH539" i="6"/>
  <c r="C542" i="5"/>
  <c r="AD541" i="5"/>
  <c r="K541" i="5"/>
  <c r="B541" i="5"/>
  <c r="A541" i="12"/>
  <c r="E541" i="5"/>
  <c r="B541" i="6"/>
  <c r="H541" i="5"/>
  <c r="F541" i="5"/>
  <c r="J541" i="5"/>
  <c r="D541" i="5"/>
  <c r="B541" i="12" s="1"/>
  <c r="N541" i="5"/>
  <c r="D541" i="6" s="1"/>
  <c r="G541" i="5"/>
  <c r="AE541" i="5"/>
  <c r="BC539" i="6"/>
  <c r="J540" i="12"/>
  <c r="L540" i="12"/>
  <c r="H540" i="6"/>
  <c r="T539" i="5"/>
  <c r="G539" i="12" s="1"/>
  <c r="CE539" i="6"/>
  <c r="M540" i="6" l="1"/>
  <c r="CC540" i="6" s="1"/>
  <c r="A541" i="6"/>
  <c r="M541" i="6" s="1"/>
  <c r="CA541" i="6" s="1"/>
  <c r="K540" i="12"/>
  <c r="J541" i="12"/>
  <c r="L541" i="12"/>
  <c r="T540" i="5"/>
  <c r="G540" i="12" s="1"/>
  <c r="H541" i="6"/>
  <c r="J542" i="5"/>
  <c r="B542" i="5"/>
  <c r="N542" i="5"/>
  <c r="D542" i="6" s="1"/>
  <c r="H542" i="5"/>
  <c r="E542" i="5"/>
  <c r="F542" i="5"/>
  <c r="D542" i="5"/>
  <c r="B542" i="12" s="1"/>
  <c r="A542" i="12"/>
  <c r="AD542" i="5"/>
  <c r="AE542" i="5"/>
  <c r="K542" i="5"/>
  <c r="G542" i="5"/>
  <c r="B542" i="6"/>
  <c r="A542" i="6" l="1"/>
  <c r="M542" i="6" s="1"/>
  <c r="BG542" i="6" s="1"/>
  <c r="CK540" i="6"/>
  <c r="BS540" i="6"/>
  <c r="CJ540" i="6"/>
  <c r="BR540" i="6"/>
  <c r="CE540" i="6"/>
  <c r="BZ540" i="6"/>
  <c r="BQ540" i="6"/>
  <c r="BP540" i="6"/>
  <c r="BV540" i="6"/>
  <c r="BK540" i="6"/>
  <c r="CB540" i="6"/>
  <c r="CI540" i="6"/>
  <c r="BW540" i="6"/>
  <c r="BL540" i="6"/>
  <c r="BY540" i="6"/>
  <c r="BO540" i="6"/>
  <c r="BJ540" i="6"/>
  <c r="BD540" i="6"/>
  <c r="BE540" i="6"/>
  <c r="CH540" i="6"/>
  <c r="BM540" i="6"/>
  <c r="BC540" i="6"/>
  <c r="BF540" i="6"/>
  <c r="CM540" i="6"/>
  <c r="CG540" i="6"/>
  <c r="CA540" i="6"/>
  <c r="BG540" i="6"/>
  <c r="BX540" i="6"/>
  <c r="BI540" i="6"/>
  <c r="CD540" i="6"/>
  <c r="BH540" i="6"/>
  <c r="CL540" i="6"/>
  <c r="BT540" i="6"/>
  <c r="CF540" i="6"/>
  <c r="BN540" i="6"/>
  <c r="N541" i="6"/>
  <c r="BM541" i="6"/>
  <c r="BN541" i="6"/>
  <c r="CF541" i="6"/>
  <c r="CG541" i="6"/>
  <c r="CH541" i="6"/>
  <c r="CI541" i="6"/>
  <c r="BO541" i="6"/>
  <c r="CJ541" i="6"/>
  <c r="BR541" i="6"/>
  <c r="CK541" i="6"/>
  <c r="BP541" i="6"/>
  <c r="CL541" i="6"/>
  <c r="BQ541" i="6"/>
  <c r="CM541" i="6"/>
  <c r="BS541" i="6"/>
  <c r="BT541" i="6"/>
  <c r="BF541" i="6"/>
  <c r="BH541" i="6"/>
  <c r="CE541" i="6"/>
  <c r="BW541" i="6"/>
  <c r="BV541" i="6"/>
  <c r="K541" i="12"/>
  <c r="C543" i="5"/>
  <c r="T541" i="5"/>
  <c r="G541" i="12" s="1"/>
  <c r="J542" i="12"/>
  <c r="L542" i="12"/>
  <c r="BL541" i="6"/>
  <c r="CC541" i="6"/>
  <c r="BY541" i="6"/>
  <c r="CD541" i="6"/>
  <c r="BK541" i="6"/>
  <c r="BZ541" i="6"/>
  <c r="BG541" i="6"/>
  <c r="BX541" i="6"/>
  <c r="BD541" i="6"/>
  <c r="BE541" i="6"/>
  <c r="CB541" i="6"/>
  <c r="BJ541" i="6"/>
  <c r="BC541" i="6"/>
  <c r="BI541" i="6"/>
  <c r="H542" i="6"/>
  <c r="AF543" i="5"/>
  <c r="N542" i="6" l="1"/>
  <c r="BT542" i="6"/>
  <c r="BM542" i="6"/>
  <c r="BN542" i="6"/>
  <c r="BO542" i="6"/>
  <c r="BQ542" i="6"/>
  <c r="CG542" i="6"/>
  <c r="CL542" i="6"/>
  <c r="BR542" i="6"/>
  <c r="CM542" i="6"/>
  <c r="CF542" i="6"/>
  <c r="CH542" i="6"/>
  <c r="CI542" i="6"/>
  <c r="BP542" i="6"/>
  <c r="CJ542" i="6"/>
  <c r="BS542" i="6"/>
  <c r="CK542" i="6"/>
  <c r="CC542" i="6"/>
  <c r="AG543" i="5"/>
  <c r="S543" i="5"/>
  <c r="F543" i="12" s="1"/>
  <c r="BJ542" i="6"/>
  <c r="BW542" i="6"/>
  <c r="BY542" i="6"/>
  <c r="E543" i="5"/>
  <c r="F543" i="5"/>
  <c r="B543" i="6"/>
  <c r="AE543" i="5"/>
  <c r="A543" i="12"/>
  <c r="W543" i="5"/>
  <c r="H543" i="12" s="1"/>
  <c r="AD543" i="5"/>
  <c r="G543" i="5"/>
  <c r="C544" i="5"/>
  <c r="N543" i="5"/>
  <c r="D543" i="6" s="1"/>
  <c r="H543" i="5"/>
  <c r="B543" i="5"/>
  <c r="BD542" i="6"/>
  <c r="CE542" i="6"/>
  <c r="BZ542" i="6"/>
  <c r="CD542" i="6"/>
  <c r="BH542" i="6"/>
  <c r="BF542" i="6"/>
  <c r="BL542" i="6"/>
  <c r="BC542" i="6"/>
  <c r="BX542" i="6"/>
  <c r="BK542" i="6"/>
  <c r="BV542" i="6"/>
  <c r="BE542" i="6"/>
  <c r="BI542" i="6"/>
  <c r="T542" i="5"/>
  <c r="G542" i="12" s="1"/>
  <c r="CB542" i="6"/>
  <c r="CA542" i="6"/>
  <c r="K542" i="12"/>
  <c r="CI543" i="6" l="1"/>
  <c r="CH543" i="6"/>
  <c r="CG543" i="6"/>
  <c r="CF543" i="6"/>
  <c r="CM543" i="6"/>
  <c r="CL543" i="6"/>
  <c r="CJ543" i="6"/>
  <c r="CK543" i="6"/>
  <c r="BS543" i="6"/>
  <c r="BR543" i="6"/>
  <c r="BQ543" i="6"/>
  <c r="BP543" i="6"/>
  <c r="BO543" i="6"/>
  <c r="BM543" i="6"/>
  <c r="BT543" i="6"/>
  <c r="BN543" i="6"/>
  <c r="A543" i="6"/>
  <c r="U543" i="5"/>
  <c r="AN543" i="5" s="1"/>
  <c r="H543" i="6"/>
  <c r="N543" i="6"/>
  <c r="M543" i="6"/>
  <c r="BC543" i="6" s="1"/>
  <c r="G543" i="6"/>
  <c r="AE544" i="5"/>
  <c r="N544" i="5"/>
  <c r="D544" i="6" s="1"/>
  <c r="D544" i="5"/>
  <c r="B544" i="12" s="1"/>
  <c r="AD544" i="5"/>
  <c r="B544" i="6"/>
  <c r="K544" i="5"/>
  <c r="C545" i="5"/>
  <c r="B544" i="5"/>
  <c r="A544" i="12"/>
  <c r="J544" i="5"/>
  <c r="H544" i="5"/>
  <c r="G544" i="5"/>
  <c r="F544" i="5"/>
  <c r="E544" i="5"/>
  <c r="F543" i="6"/>
  <c r="E543" i="12"/>
  <c r="A544" i="6" l="1"/>
  <c r="N544" i="6" s="1"/>
  <c r="AV543" i="6"/>
  <c r="AZ543" i="6"/>
  <c r="BA543" i="6"/>
  <c r="AU543" i="6"/>
  <c r="AT543" i="6"/>
  <c r="AY543" i="6"/>
  <c r="AW543" i="6"/>
  <c r="AX543" i="6"/>
  <c r="AN543" i="6"/>
  <c r="AQ543" i="6"/>
  <c r="CC543" i="6"/>
  <c r="BZ543" i="6"/>
  <c r="CD543" i="6"/>
  <c r="BF543" i="6"/>
  <c r="H544" i="6"/>
  <c r="BY543" i="6"/>
  <c r="BK543" i="6"/>
  <c r="T543" i="5"/>
  <c r="G543" i="12" s="1"/>
  <c r="AK543" i="6"/>
  <c r="AS543" i="6"/>
  <c r="BJ543" i="6"/>
  <c r="BV543" i="6"/>
  <c r="CA543" i="6"/>
  <c r="BG543" i="6"/>
  <c r="AL543" i="6"/>
  <c r="BH543" i="6"/>
  <c r="L544" i="12"/>
  <c r="J544" i="12"/>
  <c r="AR543" i="6"/>
  <c r="AM543" i="6"/>
  <c r="BE543" i="6"/>
  <c r="BI543" i="6"/>
  <c r="BD543" i="6"/>
  <c r="AD545" i="5"/>
  <c r="J545" i="5"/>
  <c r="F545" i="5"/>
  <c r="H545" i="5"/>
  <c r="N545" i="5"/>
  <c r="D545" i="6" s="1"/>
  <c r="B545" i="6"/>
  <c r="C546" i="5"/>
  <c r="AE545" i="5"/>
  <c r="A545" i="12"/>
  <c r="E545" i="5"/>
  <c r="D545" i="5"/>
  <c r="B545" i="12" s="1"/>
  <c r="B545" i="5"/>
  <c r="K545" i="5"/>
  <c r="G545" i="5"/>
  <c r="CB543" i="6"/>
  <c r="BL543" i="6"/>
  <c r="BW543" i="6"/>
  <c r="CE543" i="6"/>
  <c r="AP543" i="6"/>
  <c r="AJ543" i="6"/>
  <c r="AO543" i="6"/>
  <c r="BX543" i="6"/>
  <c r="M544" i="6" l="1"/>
  <c r="BH544" i="6" s="1"/>
  <c r="A545" i="6"/>
  <c r="N545" i="6" s="1"/>
  <c r="K544" i="12"/>
  <c r="J545" i="12"/>
  <c r="L545" i="12"/>
  <c r="AE546" i="5"/>
  <c r="K546" i="5"/>
  <c r="J546" i="5"/>
  <c r="B546" i="5"/>
  <c r="E546" i="5"/>
  <c r="C547" i="5"/>
  <c r="A546" i="12"/>
  <c r="N546" i="5"/>
  <c r="D546" i="6" s="1"/>
  <c r="F546" i="5"/>
  <c r="H546" i="5"/>
  <c r="B546" i="6"/>
  <c r="G546" i="5"/>
  <c r="AD546" i="5"/>
  <c r="D546" i="5"/>
  <c r="B546" i="12" s="1"/>
  <c r="H545" i="6"/>
  <c r="T544" i="5"/>
  <c r="G544" i="12" s="1"/>
  <c r="BR544" i="6" l="1"/>
  <c r="CJ544" i="6"/>
  <c r="BZ544" i="6"/>
  <c r="BV544" i="6"/>
  <c r="CC544" i="6"/>
  <c r="BO544" i="6"/>
  <c r="BG544" i="6"/>
  <c r="CI544" i="6"/>
  <c r="CK544" i="6"/>
  <c r="BX544" i="6"/>
  <c r="CB544" i="6"/>
  <c r="BI544" i="6"/>
  <c r="CH544" i="6"/>
  <c r="BW544" i="6"/>
  <c r="CG544" i="6"/>
  <c r="BY544" i="6"/>
  <c r="BD544" i="6"/>
  <c r="BE544" i="6"/>
  <c r="CF544" i="6"/>
  <c r="CE544" i="6"/>
  <c r="CM544" i="6"/>
  <c r="BN544" i="6"/>
  <c r="CD544" i="6"/>
  <c r="BQ544" i="6"/>
  <c r="BM544" i="6"/>
  <c r="CA544" i="6"/>
  <c r="BL544" i="6"/>
  <c r="CL544" i="6"/>
  <c r="BT544" i="6"/>
  <c r="BF544" i="6"/>
  <c r="BC544" i="6"/>
  <c r="BK544" i="6"/>
  <c r="BJ544" i="6"/>
  <c r="BP544" i="6"/>
  <c r="BS544" i="6"/>
  <c r="A546" i="6"/>
  <c r="N546" i="6" s="1"/>
  <c r="M545" i="6"/>
  <c r="BX545" i="6" s="1"/>
  <c r="K545" i="12"/>
  <c r="H547" i="5"/>
  <c r="A547" i="12"/>
  <c r="C548" i="5"/>
  <c r="F547" i="5"/>
  <c r="B547" i="6"/>
  <c r="AD547" i="5"/>
  <c r="D547" i="5"/>
  <c r="B547" i="12" s="1"/>
  <c r="J547" i="5"/>
  <c r="N547" i="5"/>
  <c r="D547" i="6" s="1"/>
  <c r="E547" i="5"/>
  <c r="G547" i="5"/>
  <c r="B547" i="5"/>
  <c r="AE547" i="5"/>
  <c r="K547" i="5"/>
  <c r="T545" i="5"/>
  <c r="G545" i="12" s="1"/>
  <c r="H546" i="6"/>
  <c r="L546" i="12"/>
  <c r="J546" i="12"/>
  <c r="M546" i="6" l="1"/>
  <c r="BC546" i="6" s="1"/>
  <c r="BZ545" i="6"/>
  <c r="BH545" i="6"/>
  <c r="BQ545" i="6"/>
  <c r="BE545" i="6"/>
  <c r="CC545" i="6"/>
  <c r="BO545" i="6"/>
  <c r="BN545" i="6"/>
  <c r="CA545" i="6"/>
  <c r="CM545" i="6"/>
  <c r="BI545" i="6"/>
  <c r="CB545" i="6"/>
  <c r="BJ545" i="6"/>
  <c r="BW545" i="6"/>
  <c r="BM545" i="6"/>
  <c r="BF545" i="6"/>
  <c r="CL545" i="6"/>
  <c r="BR545" i="6"/>
  <c r="BV545" i="6"/>
  <c r="CE545" i="6"/>
  <c r="CD545" i="6"/>
  <c r="BL545" i="6"/>
  <c r="BD545" i="6"/>
  <c r="BT545" i="6"/>
  <c r="BY545" i="6"/>
  <c r="BK545" i="6"/>
  <c r="BG545" i="6"/>
  <c r="CH545" i="6"/>
  <c r="CK545" i="6"/>
  <c r="BC545" i="6"/>
  <c r="BS545" i="6"/>
  <c r="BP545" i="6"/>
  <c r="CF545" i="6"/>
  <c r="CJ545" i="6"/>
  <c r="CG545" i="6"/>
  <c r="CI545" i="6"/>
  <c r="A547" i="6"/>
  <c r="N547" i="6" s="1"/>
  <c r="K546" i="12"/>
  <c r="J547" i="12"/>
  <c r="L547" i="12"/>
  <c r="T546" i="5"/>
  <c r="G546" i="12" s="1"/>
  <c r="H547" i="6"/>
  <c r="H548" i="5"/>
  <c r="F548" i="5"/>
  <c r="AE548" i="5"/>
  <c r="A548" i="12"/>
  <c r="J548" i="5"/>
  <c r="K548" i="5"/>
  <c r="C549" i="5"/>
  <c r="D548" i="5"/>
  <c r="B548" i="12" s="1"/>
  <c r="B548" i="5"/>
  <c r="G548" i="5"/>
  <c r="AD548" i="5"/>
  <c r="E548" i="5"/>
  <c r="N548" i="5"/>
  <c r="D548" i="6" s="1"/>
  <c r="B548" i="6"/>
  <c r="BV546" i="6" l="1"/>
  <c r="CL546" i="6"/>
  <c r="CD546" i="6"/>
  <c r="BJ546" i="6"/>
  <c r="BL546" i="6"/>
  <c r="CB546" i="6"/>
  <c r="BW546" i="6"/>
  <c r="BY546" i="6"/>
  <c r="BE546" i="6"/>
  <c r="BF546" i="6"/>
  <c r="CE546" i="6"/>
  <c r="BH546" i="6"/>
  <c r="CC546" i="6"/>
  <c r="BK546" i="6"/>
  <c r="BZ546" i="6"/>
  <c r="BX546" i="6"/>
  <c r="CA546" i="6"/>
  <c r="BG546" i="6"/>
  <c r="BD546" i="6"/>
  <c r="BI546" i="6"/>
  <c r="CJ546" i="6"/>
  <c r="CK546" i="6"/>
  <c r="BS546" i="6"/>
  <c r="BP546" i="6"/>
  <c r="BR546" i="6"/>
  <c r="BQ546" i="6"/>
  <c r="CI546" i="6"/>
  <c r="CM546" i="6"/>
  <c r="BO546" i="6"/>
  <c r="CH546" i="6"/>
  <c r="BM546" i="6"/>
  <c r="CG546" i="6"/>
  <c r="BT546" i="6"/>
  <c r="CF546" i="6"/>
  <c r="BN546" i="6"/>
  <c r="A548" i="6"/>
  <c r="N548" i="6" s="1"/>
  <c r="M547" i="6"/>
  <c r="CB547" i="6" s="1"/>
  <c r="K547" i="12"/>
  <c r="K549" i="5"/>
  <c r="H549" i="5"/>
  <c r="B549" i="5"/>
  <c r="AD549" i="5"/>
  <c r="F549" i="5"/>
  <c r="E549" i="5"/>
  <c r="J549" i="5"/>
  <c r="AE549" i="5"/>
  <c r="N549" i="5"/>
  <c r="D549" i="6" s="1"/>
  <c r="G549" i="5"/>
  <c r="A549" i="12"/>
  <c r="C550" i="5"/>
  <c r="B549" i="6"/>
  <c r="D549" i="5"/>
  <c r="B549" i="12" s="1"/>
  <c r="T547" i="5"/>
  <c r="G547" i="12" s="1"/>
  <c r="J548" i="12"/>
  <c r="L548" i="12"/>
  <c r="H548" i="6"/>
  <c r="M548" i="6" l="1"/>
  <c r="BG548" i="6" s="1"/>
  <c r="BQ547" i="6"/>
  <c r="CL547" i="6"/>
  <c r="BX547" i="6"/>
  <c r="BP547" i="6"/>
  <c r="BZ547" i="6"/>
  <c r="BY547" i="6"/>
  <c r="CE547" i="6"/>
  <c r="CK547" i="6"/>
  <c r="BL547" i="6"/>
  <c r="BR547" i="6"/>
  <c r="BF547" i="6"/>
  <c r="BV547" i="6"/>
  <c r="BH547" i="6"/>
  <c r="CJ547" i="6"/>
  <c r="BO547" i="6"/>
  <c r="BE547" i="6"/>
  <c r="BW547" i="6"/>
  <c r="BI547" i="6"/>
  <c r="CC547" i="6"/>
  <c r="CA547" i="6"/>
  <c r="BN547" i="6"/>
  <c r="CI547" i="6"/>
  <c r="BG547" i="6"/>
  <c r="BC547" i="6"/>
  <c r="BM547" i="6"/>
  <c r="CH547" i="6"/>
  <c r="BT547" i="6"/>
  <c r="CG547" i="6"/>
  <c r="BJ547" i="6"/>
  <c r="BD547" i="6"/>
  <c r="BS547" i="6"/>
  <c r="BK547" i="6"/>
  <c r="CD547" i="6"/>
  <c r="CM547" i="6"/>
  <c r="CF547" i="6"/>
  <c r="A549" i="6"/>
  <c r="N549" i="6" s="1"/>
  <c r="K548" i="12"/>
  <c r="F550" i="5"/>
  <c r="K550" i="5"/>
  <c r="A550" i="12"/>
  <c r="AD550" i="5"/>
  <c r="AE550" i="5"/>
  <c r="H550" i="5"/>
  <c r="B550" i="5"/>
  <c r="J550" i="5"/>
  <c r="N550" i="5"/>
  <c r="D550" i="6" s="1"/>
  <c r="E550" i="5"/>
  <c r="B550" i="6"/>
  <c r="G550" i="5"/>
  <c r="D550" i="5"/>
  <c r="B550" i="12" s="1"/>
  <c r="C551" i="5"/>
  <c r="L549" i="12"/>
  <c r="J549" i="12"/>
  <c r="H549" i="6"/>
  <c r="T548" i="5"/>
  <c r="G548" i="12" s="1"/>
  <c r="BO548" i="6" l="1"/>
  <c r="CC548" i="6"/>
  <c r="BD548" i="6"/>
  <c r="BM548" i="6"/>
  <c r="CE548" i="6"/>
  <c r="BY548" i="6"/>
  <c r="CA548" i="6"/>
  <c r="BE548" i="6"/>
  <c r="CL548" i="6"/>
  <c r="BQ548" i="6"/>
  <c r="BC548" i="6"/>
  <c r="BH548" i="6"/>
  <c r="BT548" i="6"/>
  <c r="BI548" i="6"/>
  <c r="CD548" i="6"/>
  <c r="BX548" i="6"/>
  <c r="BF548" i="6"/>
  <c r="CK548" i="6"/>
  <c r="BW548" i="6"/>
  <c r="CM548" i="6"/>
  <c r="BJ548" i="6"/>
  <c r="BK548" i="6"/>
  <c r="BV548" i="6"/>
  <c r="BS548" i="6"/>
  <c r="CH548" i="6"/>
  <c r="BN548" i="6"/>
  <c r="BZ548" i="6"/>
  <c r="CF548" i="6"/>
  <c r="CJ548" i="6"/>
  <c r="CG548" i="6"/>
  <c r="BP548" i="6"/>
  <c r="BL548" i="6"/>
  <c r="CB548" i="6"/>
  <c r="BR548" i="6"/>
  <c r="CI548" i="6"/>
  <c r="A550" i="6"/>
  <c r="N550" i="6" s="1"/>
  <c r="M549" i="6"/>
  <c r="BE549" i="6" s="1"/>
  <c r="AE551" i="5"/>
  <c r="B551" i="6"/>
  <c r="A551" i="12"/>
  <c r="AD551" i="5"/>
  <c r="N551" i="5"/>
  <c r="D551" i="6" s="1"/>
  <c r="E551" i="5"/>
  <c r="D551" i="5"/>
  <c r="B551" i="12" s="1"/>
  <c r="J551" i="5"/>
  <c r="C552" i="5"/>
  <c r="F551" i="5"/>
  <c r="H551" i="5"/>
  <c r="B551" i="5"/>
  <c r="G551" i="5"/>
  <c r="K551" i="5"/>
  <c r="J550" i="12"/>
  <c r="L550" i="12"/>
  <c r="T549" i="5"/>
  <c r="G549" i="12" s="1"/>
  <c r="H550" i="6"/>
  <c r="K549" i="12"/>
  <c r="M550" i="6" l="1"/>
  <c r="BK550" i="6" s="1"/>
  <c r="CD549" i="6"/>
  <c r="BI549" i="6"/>
  <c r="CA549" i="6"/>
  <c r="BF549" i="6"/>
  <c r="CB549" i="6"/>
  <c r="BD549" i="6"/>
  <c r="BV549" i="6"/>
  <c r="BG549" i="6"/>
  <c r="BX549" i="6"/>
  <c r="BH549" i="6"/>
  <c r="CC549" i="6"/>
  <c r="BL549" i="6"/>
  <c r="BK549" i="6"/>
  <c r="CE549" i="6"/>
  <c r="BW549" i="6"/>
  <c r="BC549" i="6"/>
  <c r="BJ549" i="6"/>
  <c r="BZ549" i="6"/>
  <c r="BY549" i="6"/>
  <c r="CG549" i="6"/>
  <c r="BT549" i="6"/>
  <c r="CF549" i="6"/>
  <c r="BN549" i="6"/>
  <c r="CM549" i="6"/>
  <c r="CL549" i="6"/>
  <c r="CJ549" i="6"/>
  <c r="CK549" i="6"/>
  <c r="BS549" i="6"/>
  <c r="BR549" i="6"/>
  <c r="BQ549" i="6"/>
  <c r="BP549" i="6"/>
  <c r="CI549" i="6"/>
  <c r="BO549" i="6"/>
  <c r="CH549" i="6"/>
  <c r="BM549" i="6"/>
  <c r="A551" i="6"/>
  <c r="N551" i="6" s="1"/>
  <c r="H551" i="6"/>
  <c r="L551" i="12"/>
  <c r="J551" i="12"/>
  <c r="T550" i="5"/>
  <c r="G550" i="12" s="1"/>
  <c r="G552" i="5"/>
  <c r="B552" i="6"/>
  <c r="AD552" i="5"/>
  <c r="F552" i="5"/>
  <c r="J552" i="5"/>
  <c r="B552" i="5"/>
  <c r="N552" i="5"/>
  <c r="D552" i="6" s="1"/>
  <c r="D552" i="5"/>
  <c r="B552" i="12" s="1"/>
  <c r="C553" i="5"/>
  <c r="E552" i="5"/>
  <c r="K552" i="5"/>
  <c r="AE552" i="5"/>
  <c r="H552" i="5"/>
  <c r="A552" i="12"/>
  <c r="K550" i="12"/>
  <c r="CE550" i="6" l="1"/>
  <c r="BL550" i="6"/>
  <c r="BF550" i="6"/>
  <c r="BZ550" i="6"/>
  <c r="BI550" i="6"/>
  <c r="CB550" i="6"/>
  <c r="BY550" i="6"/>
  <c r="BG550" i="6"/>
  <c r="BV550" i="6"/>
  <c r="BD550" i="6"/>
  <c r="BC550" i="6"/>
  <c r="CC550" i="6"/>
  <c r="BH550" i="6"/>
  <c r="BW550" i="6"/>
  <c r="CD550" i="6"/>
  <c r="CM550" i="6"/>
  <c r="BQ550" i="6"/>
  <c r="BX550" i="6"/>
  <c r="BE550" i="6"/>
  <c r="CJ550" i="6"/>
  <c r="CL550" i="6"/>
  <c r="BP550" i="6"/>
  <c r="CI550" i="6"/>
  <c r="BJ550" i="6"/>
  <c r="CK550" i="6"/>
  <c r="BR550" i="6"/>
  <c r="CA550" i="6"/>
  <c r="CF550" i="6"/>
  <c r="CH550" i="6"/>
  <c r="CG550" i="6"/>
  <c r="BM550" i="6"/>
  <c r="BN550" i="6"/>
  <c r="BO550" i="6"/>
  <c r="BT550" i="6"/>
  <c r="BS550" i="6"/>
  <c r="A552" i="6"/>
  <c r="N552" i="6" s="1"/>
  <c r="M551" i="6"/>
  <c r="CB551" i="6" s="1"/>
  <c r="B553" i="6"/>
  <c r="AE553" i="5"/>
  <c r="H553" i="5"/>
  <c r="J553" i="5"/>
  <c r="N553" i="5"/>
  <c r="D553" i="6" s="1"/>
  <c r="G553" i="5"/>
  <c r="AD553" i="5"/>
  <c r="B553" i="5"/>
  <c r="C554" i="5"/>
  <c r="A553" i="12"/>
  <c r="D553" i="5"/>
  <c r="B553" i="12" s="1"/>
  <c r="F553" i="5"/>
  <c r="K553" i="5"/>
  <c r="E553" i="5"/>
  <c r="H552" i="6"/>
  <c r="J552" i="12"/>
  <c r="L552" i="12"/>
  <c r="K551" i="12"/>
  <c r="T551" i="5"/>
  <c r="G551" i="12" s="1"/>
  <c r="M552" i="6" l="1"/>
  <c r="BL552" i="6" s="1"/>
  <c r="BF551" i="6"/>
  <c r="BC551" i="6"/>
  <c r="BY551" i="6"/>
  <c r="BJ551" i="6"/>
  <c r="BG551" i="6"/>
  <c r="BV551" i="6"/>
  <c r="BE551" i="6"/>
  <c r="BZ551" i="6"/>
  <c r="BI551" i="6"/>
  <c r="CA551" i="6"/>
  <c r="BD551" i="6"/>
  <c r="BL551" i="6"/>
  <c r="CD551" i="6"/>
  <c r="BR551" i="6"/>
  <c r="BQ551" i="6"/>
  <c r="BO551" i="6"/>
  <c r="BN551" i="6"/>
  <c r="CM551" i="6"/>
  <c r="BM551" i="6"/>
  <c r="CL551" i="6"/>
  <c r="BT551" i="6"/>
  <c r="CK551" i="6"/>
  <c r="BP551" i="6"/>
  <c r="CJ551" i="6"/>
  <c r="CI551" i="6"/>
  <c r="BS551" i="6"/>
  <c r="CH551" i="6"/>
  <c r="CF551" i="6"/>
  <c r="CG551" i="6"/>
  <c r="BK551" i="6"/>
  <c r="CC551" i="6"/>
  <c r="BW551" i="6"/>
  <c r="CE551" i="6"/>
  <c r="BX551" i="6"/>
  <c r="BH551" i="6"/>
  <c r="A553" i="6"/>
  <c r="N553" i="6" s="1"/>
  <c r="K552" i="12"/>
  <c r="T552" i="5"/>
  <c r="G552" i="12" s="1"/>
  <c r="J553" i="12"/>
  <c r="L553" i="12"/>
  <c r="D554" i="5"/>
  <c r="B554" i="12" s="1"/>
  <c r="K554" i="5"/>
  <c r="A554" i="12"/>
  <c r="AE554" i="5"/>
  <c r="F554" i="5"/>
  <c r="E554" i="5"/>
  <c r="B554" i="5"/>
  <c r="C555" i="5"/>
  <c r="J554" i="5"/>
  <c r="H554" i="5"/>
  <c r="B554" i="6"/>
  <c r="G554" i="5"/>
  <c r="AD554" i="5"/>
  <c r="N554" i="5"/>
  <c r="D554" i="6" s="1"/>
  <c r="H553" i="6"/>
  <c r="BN552" i="6" l="1"/>
  <c r="CB552" i="6"/>
  <c r="BX552" i="6"/>
  <c r="BR552" i="6"/>
  <c r="BZ552" i="6"/>
  <c r="BG552" i="6"/>
  <c r="BE552" i="6"/>
  <c r="BV552" i="6"/>
  <c r="BP552" i="6"/>
  <c r="BC552" i="6"/>
  <c r="BJ552" i="6"/>
  <c r="CD552" i="6"/>
  <c r="BO552" i="6"/>
  <c r="BF552" i="6"/>
  <c r="CH552" i="6"/>
  <c r="CK552" i="6"/>
  <c r="BW552" i="6"/>
  <c r="CA552" i="6"/>
  <c r="BY552" i="6"/>
  <c r="BD552" i="6"/>
  <c r="BH552" i="6"/>
  <c r="CC552" i="6"/>
  <c r="BK552" i="6"/>
  <c r="CE552" i="6"/>
  <c r="BM552" i="6"/>
  <c r="BI552" i="6"/>
  <c r="BS552" i="6"/>
  <c r="CG552" i="6"/>
  <c r="BQ552" i="6"/>
  <c r="BT552" i="6"/>
  <c r="CF552" i="6"/>
  <c r="CI552" i="6"/>
  <c r="CM552" i="6"/>
  <c r="CL552" i="6"/>
  <c r="CJ552" i="6"/>
  <c r="M553" i="6"/>
  <c r="BL553" i="6" s="1"/>
  <c r="A554" i="6"/>
  <c r="M554" i="6" s="1"/>
  <c r="F555" i="5"/>
  <c r="N555" i="5"/>
  <c r="D555" i="6" s="1"/>
  <c r="A555" i="12"/>
  <c r="AE555" i="5"/>
  <c r="B555" i="6"/>
  <c r="J555" i="5"/>
  <c r="C556" i="5"/>
  <c r="B555" i="5"/>
  <c r="E555" i="5"/>
  <c r="AD555" i="5"/>
  <c r="K555" i="5"/>
  <c r="H555" i="5"/>
  <c r="D555" i="5"/>
  <c r="B555" i="12" s="1"/>
  <c r="G555" i="5"/>
  <c r="T553" i="5"/>
  <c r="G553" i="12" s="1"/>
  <c r="H554" i="6"/>
  <c r="J554" i="12"/>
  <c r="L554" i="12"/>
  <c r="K553" i="12"/>
  <c r="CB553" i="6" l="1"/>
  <c r="BC553" i="6"/>
  <c r="BP553" i="6"/>
  <c r="CL553" i="6"/>
  <c r="BE553" i="6"/>
  <c r="CK553" i="6"/>
  <c r="BR553" i="6"/>
  <c r="BZ553" i="6"/>
  <c r="CE553" i="6"/>
  <c r="BO553" i="6"/>
  <c r="BV553" i="6"/>
  <c r="CI553" i="6"/>
  <c r="BD553" i="6"/>
  <c r="CH553" i="6"/>
  <c r="CD553" i="6"/>
  <c r="CC553" i="6"/>
  <c r="CG553" i="6"/>
  <c r="CF553" i="6"/>
  <c r="BX553" i="6"/>
  <c r="BI553" i="6"/>
  <c r="BK553" i="6"/>
  <c r="BS553" i="6"/>
  <c r="BN553" i="6"/>
  <c r="BY553" i="6"/>
  <c r="A555" i="6"/>
  <c r="M555" i="6" s="1"/>
  <c r="BQ555" i="6" s="1"/>
  <c r="BJ553" i="6"/>
  <c r="BF553" i="6"/>
  <c r="CM553" i="6"/>
  <c r="BM553" i="6"/>
  <c r="CA553" i="6"/>
  <c r="BG553" i="6"/>
  <c r="BH553" i="6"/>
  <c r="BW553" i="6"/>
  <c r="BQ553" i="6"/>
  <c r="BT553" i="6"/>
  <c r="CJ553" i="6"/>
  <c r="BK554" i="6"/>
  <c r="BR554" i="6"/>
  <c r="BQ554" i="6"/>
  <c r="BO554" i="6"/>
  <c r="BN554" i="6"/>
  <c r="CM554" i="6"/>
  <c r="BM554" i="6"/>
  <c r="CL554" i="6"/>
  <c r="BT554" i="6"/>
  <c r="CK554" i="6"/>
  <c r="BS554" i="6"/>
  <c r="CJ554" i="6"/>
  <c r="BP554" i="6"/>
  <c r="CI554" i="6"/>
  <c r="CH554" i="6"/>
  <c r="CF554" i="6"/>
  <c r="CG554" i="6"/>
  <c r="N554" i="6"/>
  <c r="BZ554" i="6"/>
  <c r="K554" i="12"/>
  <c r="BV554" i="6"/>
  <c r="BG554" i="6"/>
  <c r="BF554" i="6"/>
  <c r="BJ554" i="6"/>
  <c r="BE554" i="6"/>
  <c r="CE554" i="6"/>
  <c r="BH554" i="6"/>
  <c r="BI554" i="6"/>
  <c r="CC554" i="6"/>
  <c r="BW554" i="6"/>
  <c r="AD556" i="5"/>
  <c r="H556" i="5"/>
  <c r="J556" i="5"/>
  <c r="D556" i="5"/>
  <c r="B556" i="12" s="1"/>
  <c r="C557" i="5"/>
  <c r="K556" i="5"/>
  <c r="N556" i="5"/>
  <c r="D556" i="6" s="1"/>
  <c r="A556" i="12"/>
  <c r="G556" i="5"/>
  <c r="F556" i="5"/>
  <c r="B556" i="5"/>
  <c r="B556" i="6"/>
  <c r="AE556" i="5"/>
  <c r="E556" i="5"/>
  <c r="T554" i="5"/>
  <c r="G554" i="12" s="1"/>
  <c r="BL554" i="6"/>
  <c r="BX554" i="6"/>
  <c r="L555" i="12"/>
  <c r="J555" i="12"/>
  <c r="H555" i="6"/>
  <c r="CD554" i="6"/>
  <c r="BY554" i="6"/>
  <c r="BD554" i="6"/>
  <c r="CA554" i="6"/>
  <c r="BC554" i="6"/>
  <c r="CB554" i="6"/>
  <c r="N555" i="6" l="1"/>
  <c r="A556" i="6"/>
  <c r="M556" i="6" s="1"/>
  <c r="BX556" i="6" s="1"/>
  <c r="BR555" i="6"/>
  <c r="BS555" i="6"/>
  <c r="CK555" i="6"/>
  <c r="CJ555" i="6"/>
  <c r="CL555" i="6"/>
  <c r="CM555" i="6"/>
  <c r="BN555" i="6"/>
  <c r="CF555" i="6"/>
  <c r="BT555" i="6"/>
  <c r="CG555" i="6"/>
  <c r="BM555" i="6"/>
  <c r="CH555" i="6"/>
  <c r="BO555" i="6"/>
  <c r="CI555" i="6"/>
  <c r="BP555" i="6"/>
  <c r="CC555" i="6"/>
  <c r="BC555" i="6"/>
  <c r="BK555" i="6"/>
  <c r="BW555" i="6"/>
  <c r="BI555" i="6"/>
  <c r="BV555" i="6"/>
  <c r="BZ555" i="6"/>
  <c r="CB555" i="6"/>
  <c r="BH555" i="6"/>
  <c r="BF555" i="6"/>
  <c r="CE555" i="6"/>
  <c r="L556" i="12"/>
  <c r="J556" i="12"/>
  <c r="T555" i="5"/>
  <c r="G555" i="12" s="1"/>
  <c r="H556" i="6"/>
  <c r="CA555" i="6"/>
  <c r="BL555" i="6"/>
  <c r="BE555" i="6"/>
  <c r="BD555" i="6"/>
  <c r="F557" i="5"/>
  <c r="A557" i="12"/>
  <c r="AD557" i="5"/>
  <c r="D557" i="5"/>
  <c r="B557" i="12" s="1"/>
  <c r="B557" i="6"/>
  <c r="H557" i="5"/>
  <c r="E557" i="5"/>
  <c r="N557" i="5"/>
  <c r="D557" i="6" s="1"/>
  <c r="B557" i="5"/>
  <c r="AE557" i="5"/>
  <c r="J557" i="5"/>
  <c r="K557" i="5"/>
  <c r="C558" i="5"/>
  <c r="G557" i="5"/>
  <c r="BX555" i="6"/>
  <c r="CD555" i="6"/>
  <c r="K555" i="12"/>
  <c r="BY555" i="6"/>
  <c r="BG555" i="6"/>
  <c r="BJ555" i="6"/>
  <c r="N556" i="6" l="1"/>
  <c r="CH556" i="6"/>
  <c r="CI556" i="6"/>
  <c r="BS556" i="6"/>
  <c r="CJ556" i="6"/>
  <c r="CK556" i="6"/>
  <c r="CL556" i="6"/>
  <c r="BO556" i="6"/>
  <c r="BR556" i="6"/>
  <c r="BP556" i="6"/>
  <c r="BQ556" i="6"/>
  <c r="CM556" i="6"/>
  <c r="BT556" i="6"/>
  <c r="BM556" i="6"/>
  <c r="BN556" i="6"/>
  <c r="CF556" i="6"/>
  <c r="CG556" i="6"/>
  <c r="A557" i="6"/>
  <c r="M557" i="6" s="1"/>
  <c r="BK556" i="6"/>
  <c r="BI556" i="6"/>
  <c r="BL556" i="6"/>
  <c r="BW556" i="6"/>
  <c r="BZ556" i="6"/>
  <c r="BF556" i="6"/>
  <c r="BE556" i="6"/>
  <c r="CE556" i="6"/>
  <c r="BJ556" i="6"/>
  <c r="BY556" i="6"/>
  <c r="BG556" i="6"/>
  <c r="BC556" i="6"/>
  <c r="BD556" i="6"/>
  <c r="BV556" i="6"/>
  <c r="BH556" i="6"/>
  <c r="CB556" i="6"/>
  <c r="K556" i="12"/>
  <c r="B558" i="6"/>
  <c r="C559" i="5"/>
  <c r="N558" i="5"/>
  <c r="D558" i="6" s="1"/>
  <c r="D558" i="5"/>
  <c r="B558" i="12" s="1"/>
  <c r="F558" i="5"/>
  <c r="H558" i="5"/>
  <c r="AD558" i="5"/>
  <c r="E558" i="5"/>
  <c r="A558" i="12"/>
  <c r="K558" i="5"/>
  <c r="J558" i="5"/>
  <c r="G558" i="5"/>
  <c r="AE558" i="5"/>
  <c r="B558" i="5"/>
  <c r="T556" i="5"/>
  <c r="G556" i="12" s="1"/>
  <c r="J557" i="12"/>
  <c r="L557" i="12"/>
  <c r="CD556" i="6"/>
  <c r="H557" i="6"/>
  <c r="CA556" i="6"/>
  <c r="CC556" i="6"/>
  <c r="N557" i="6" l="1"/>
  <c r="BY557" i="6"/>
  <c r="BS557" i="6"/>
  <c r="CI557" i="6"/>
  <c r="CJ557" i="6"/>
  <c r="BP557" i="6"/>
  <c r="CK557" i="6"/>
  <c r="BT557" i="6"/>
  <c r="CL557" i="6"/>
  <c r="BM557" i="6"/>
  <c r="CM557" i="6"/>
  <c r="BN557" i="6"/>
  <c r="BO557" i="6"/>
  <c r="BQ557" i="6"/>
  <c r="BR557" i="6"/>
  <c r="CG557" i="6"/>
  <c r="CF557" i="6"/>
  <c r="CH557" i="6"/>
  <c r="A558" i="6"/>
  <c r="M558" i="6" s="1"/>
  <c r="BF557" i="6"/>
  <c r="K557" i="12"/>
  <c r="BV557" i="6"/>
  <c r="BC557" i="6"/>
  <c r="CD557" i="6"/>
  <c r="H558" i="6"/>
  <c r="CA557" i="6"/>
  <c r="G559" i="5"/>
  <c r="H559" i="5"/>
  <c r="K559" i="5"/>
  <c r="B559" i="5"/>
  <c r="D559" i="5"/>
  <c r="B559" i="12" s="1"/>
  <c r="A559" i="12"/>
  <c r="N559" i="5"/>
  <c r="D559" i="6" s="1"/>
  <c r="AD559" i="5"/>
  <c r="J559" i="5"/>
  <c r="B559" i="6"/>
  <c r="AE559" i="5"/>
  <c r="C560" i="5"/>
  <c r="F559" i="5"/>
  <c r="E559" i="5"/>
  <c r="BZ557" i="6"/>
  <c r="CC557" i="6"/>
  <c r="BD557" i="6"/>
  <c r="BH557" i="6"/>
  <c r="T557" i="5"/>
  <c r="G557" i="12" s="1"/>
  <c r="CB557" i="6"/>
  <c r="BE557" i="6"/>
  <c r="BX557" i="6"/>
  <c r="CE557" i="6"/>
  <c r="BL557" i="6"/>
  <c r="BW557" i="6"/>
  <c r="BG557" i="6"/>
  <c r="J558" i="12"/>
  <c r="L558" i="12"/>
  <c r="BI557" i="6"/>
  <c r="BJ557" i="6"/>
  <c r="BK557" i="6"/>
  <c r="A559" i="6" l="1"/>
  <c r="M559" i="6" s="1"/>
  <c r="CA559" i="6" s="1"/>
  <c r="BI558" i="6"/>
  <c r="CK558" i="6"/>
  <c r="BS558" i="6"/>
  <c r="BR558" i="6"/>
  <c r="BQ558" i="6"/>
  <c r="BP558" i="6"/>
  <c r="CI558" i="6"/>
  <c r="BO558" i="6"/>
  <c r="CH558" i="6"/>
  <c r="BM558" i="6"/>
  <c r="CG558" i="6"/>
  <c r="BT558" i="6"/>
  <c r="CF558" i="6"/>
  <c r="BN558" i="6"/>
  <c r="CM558" i="6"/>
  <c r="CL558" i="6"/>
  <c r="CJ558" i="6"/>
  <c r="N558" i="6"/>
  <c r="BY558" i="6"/>
  <c r="K558" i="12"/>
  <c r="CC558" i="6"/>
  <c r="BD558" i="6"/>
  <c r="BV558" i="6"/>
  <c r="T558" i="5"/>
  <c r="G558" i="12" s="1"/>
  <c r="E560" i="5"/>
  <c r="K560" i="5"/>
  <c r="A560" i="12"/>
  <c r="AD560" i="5"/>
  <c r="N560" i="5"/>
  <c r="D560" i="6" s="1"/>
  <c r="AE560" i="5"/>
  <c r="B560" i="6"/>
  <c r="F560" i="5"/>
  <c r="C561" i="5"/>
  <c r="D560" i="5"/>
  <c r="B560" i="12" s="1"/>
  <c r="B560" i="5"/>
  <c r="J560" i="5"/>
  <c r="H560" i="5"/>
  <c r="G560" i="5"/>
  <c r="BF558" i="6"/>
  <c r="CE558" i="6"/>
  <c r="BZ558" i="6"/>
  <c r="BW558" i="6"/>
  <c r="CB558" i="6"/>
  <c r="BG558" i="6"/>
  <c r="BJ558" i="6"/>
  <c r="BE558" i="6"/>
  <c r="BX558" i="6"/>
  <c r="BC558" i="6"/>
  <c r="BH558" i="6"/>
  <c r="CA558" i="6"/>
  <c r="BL558" i="6"/>
  <c r="BK558" i="6"/>
  <c r="H559" i="6"/>
  <c r="CD558" i="6"/>
  <c r="J559" i="12"/>
  <c r="L559" i="12"/>
  <c r="N559" i="6" l="1"/>
  <c r="BT559" i="6"/>
  <c r="BS559" i="6"/>
  <c r="BM559" i="6"/>
  <c r="BN559" i="6"/>
  <c r="CF559" i="6"/>
  <c r="CG559" i="6"/>
  <c r="CH559" i="6"/>
  <c r="CI559" i="6"/>
  <c r="BO559" i="6"/>
  <c r="CJ559" i="6"/>
  <c r="BR559" i="6"/>
  <c r="CK559" i="6"/>
  <c r="BP559" i="6"/>
  <c r="CL559" i="6"/>
  <c r="BQ559" i="6"/>
  <c r="CM559" i="6"/>
  <c r="A560" i="6"/>
  <c r="M560" i="6" s="1"/>
  <c r="CD560" i="6" s="1"/>
  <c r="K559" i="12"/>
  <c r="CD559" i="6"/>
  <c r="BH559" i="6"/>
  <c r="BL559" i="6"/>
  <c r="BF559" i="6"/>
  <c r="CE559" i="6"/>
  <c r="BI559" i="6"/>
  <c r="BX559" i="6"/>
  <c r="J560" i="12"/>
  <c r="L560" i="12"/>
  <c r="BY559" i="6"/>
  <c r="T559" i="5"/>
  <c r="G559" i="12" s="1"/>
  <c r="BW559" i="6"/>
  <c r="BJ559" i="6"/>
  <c r="BK559" i="6"/>
  <c r="BZ559" i="6"/>
  <c r="BC559" i="6"/>
  <c r="K561" i="5"/>
  <c r="AE561" i="5"/>
  <c r="C562" i="5"/>
  <c r="G561" i="5"/>
  <c r="H561" i="5"/>
  <c r="D561" i="5"/>
  <c r="B561" i="12" s="1"/>
  <c r="B561" i="5"/>
  <c r="E561" i="5"/>
  <c r="J561" i="5"/>
  <c r="N561" i="5"/>
  <c r="D561" i="6" s="1"/>
  <c r="A561" i="12"/>
  <c r="AD561" i="5"/>
  <c r="B561" i="6"/>
  <c r="F561" i="5"/>
  <c r="BD559" i="6"/>
  <c r="BE559" i="6"/>
  <c r="CB559" i="6"/>
  <c r="CC559" i="6"/>
  <c r="H560" i="6"/>
  <c r="BG559" i="6"/>
  <c r="BV559" i="6"/>
  <c r="N560" i="6" l="1"/>
  <c r="BP560" i="6"/>
  <c r="CJ560" i="6"/>
  <c r="BS560" i="6"/>
  <c r="CK560" i="6"/>
  <c r="BT560" i="6"/>
  <c r="CL560" i="6"/>
  <c r="BM560" i="6"/>
  <c r="CM560" i="6"/>
  <c r="BN560" i="6"/>
  <c r="BO560" i="6"/>
  <c r="BQ560" i="6"/>
  <c r="BR560" i="6"/>
  <c r="CG560" i="6"/>
  <c r="CF560" i="6"/>
  <c r="CH560" i="6"/>
  <c r="CI560" i="6"/>
  <c r="A561" i="6"/>
  <c r="M561" i="6" s="1"/>
  <c r="CA561" i="6" s="1"/>
  <c r="BJ560" i="6"/>
  <c r="H561" i="6"/>
  <c r="T560" i="5"/>
  <c r="G560" i="12" s="1"/>
  <c r="AD562" i="5"/>
  <c r="J562" i="5"/>
  <c r="D562" i="5"/>
  <c r="B562" i="12" s="1"/>
  <c r="F562" i="5"/>
  <c r="AE562" i="5"/>
  <c r="C563" i="5"/>
  <c r="K562" i="5"/>
  <c r="B562" i="5"/>
  <c r="N562" i="5"/>
  <c r="D562" i="6" s="1"/>
  <c r="A562" i="12"/>
  <c r="E562" i="5"/>
  <c r="G562" i="5"/>
  <c r="H562" i="5"/>
  <c r="B562" i="6"/>
  <c r="BZ560" i="6"/>
  <c r="BY560" i="6"/>
  <c r="BK560" i="6"/>
  <c r="BE560" i="6"/>
  <c r="CC560" i="6"/>
  <c r="BC560" i="6"/>
  <c r="BH560" i="6"/>
  <c r="BX560" i="6"/>
  <c r="BI560" i="6"/>
  <c r="CE560" i="6"/>
  <c r="CB560" i="6"/>
  <c r="BF560" i="6"/>
  <c r="BD560" i="6"/>
  <c r="BW560" i="6"/>
  <c r="BL560" i="6"/>
  <c r="BG560" i="6"/>
  <c r="CA560" i="6"/>
  <c r="BV560" i="6"/>
  <c r="L561" i="12"/>
  <c r="J561" i="12"/>
  <c r="K560" i="12"/>
  <c r="BN561" i="6" l="1"/>
  <c r="CF561" i="6"/>
  <c r="BT561" i="6"/>
  <c r="CG561" i="6"/>
  <c r="BM561" i="6"/>
  <c r="CH561" i="6"/>
  <c r="BO561" i="6"/>
  <c r="CI561" i="6"/>
  <c r="BP561" i="6"/>
  <c r="BQ561" i="6"/>
  <c r="BR561" i="6"/>
  <c r="BS561" i="6"/>
  <c r="CK561" i="6"/>
  <c r="CJ561" i="6"/>
  <c r="CL561" i="6"/>
  <c r="CM561" i="6"/>
  <c r="N561" i="6"/>
  <c r="A562" i="6"/>
  <c r="M562" i="6" s="1"/>
  <c r="BF562" i="6" s="1"/>
  <c r="CB561" i="6"/>
  <c r="CD561" i="6"/>
  <c r="CE561" i="6"/>
  <c r="K561" i="12"/>
  <c r="BD561" i="6"/>
  <c r="BH561" i="6"/>
  <c r="CC561" i="6"/>
  <c r="BG561" i="6"/>
  <c r="BW561" i="6"/>
  <c r="BZ561" i="6"/>
  <c r="BC561" i="6"/>
  <c r="J562" i="12"/>
  <c r="L562" i="12"/>
  <c r="B563" i="5"/>
  <c r="F563" i="5"/>
  <c r="J563" i="5"/>
  <c r="G563" i="5"/>
  <c r="N563" i="5"/>
  <c r="D563" i="6" s="1"/>
  <c r="K563" i="5"/>
  <c r="AD563" i="5"/>
  <c r="D563" i="5"/>
  <c r="B563" i="12" s="1"/>
  <c r="B563" i="6"/>
  <c r="AE563" i="5"/>
  <c r="E563" i="5"/>
  <c r="A563" i="12"/>
  <c r="H563" i="5"/>
  <c r="C564" i="5"/>
  <c r="BL561" i="6"/>
  <c r="BK561" i="6"/>
  <c r="BF561" i="6"/>
  <c r="BI561" i="6"/>
  <c r="BY561" i="6"/>
  <c r="BJ561" i="6"/>
  <c r="BV561" i="6"/>
  <c r="H562" i="6"/>
  <c r="T562" i="5" s="1"/>
  <c r="G562" i="12" s="1"/>
  <c r="BX561" i="6"/>
  <c r="BE561" i="6"/>
  <c r="T561" i="5"/>
  <c r="G561" i="12" s="1"/>
  <c r="N562" i="6" l="1"/>
  <c r="A563" i="6"/>
  <c r="N563" i="6" s="1"/>
  <c r="CF562" i="6"/>
  <c r="CG562" i="6"/>
  <c r="CH562" i="6"/>
  <c r="CI562" i="6"/>
  <c r="BO562" i="6"/>
  <c r="CJ562" i="6"/>
  <c r="BR562" i="6"/>
  <c r="CK562" i="6"/>
  <c r="BP562" i="6"/>
  <c r="CL562" i="6"/>
  <c r="BQ562" i="6"/>
  <c r="CM562" i="6"/>
  <c r="BS562" i="6"/>
  <c r="BT562" i="6"/>
  <c r="BM562" i="6"/>
  <c r="BN562" i="6"/>
  <c r="CD562" i="6"/>
  <c r="K562" i="12"/>
  <c r="BC562" i="6"/>
  <c r="BY562" i="6"/>
  <c r="BZ562" i="6"/>
  <c r="BV562" i="6"/>
  <c r="BG562" i="6"/>
  <c r="BX562" i="6"/>
  <c r="BE562" i="6"/>
  <c r="BL562" i="6"/>
  <c r="BD562" i="6"/>
  <c r="BJ562" i="6"/>
  <c r="BK562" i="6"/>
  <c r="BH562" i="6"/>
  <c r="CE562" i="6"/>
  <c r="BW562" i="6"/>
  <c r="CB562" i="6"/>
  <c r="CA562" i="6"/>
  <c r="H563" i="6"/>
  <c r="CC562" i="6"/>
  <c r="C565" i="5"/>
  <c r="B564" i="6"/>
  <c r="G564" i="5"/>
  <c r="B564" i="5"/>
  <c r="AE564" i="5"/>
  <c r="J564" i="5"/>
  <c r="K564" i="5"/>
  <c r="AD564" i="5"/>
  <c r="A564" i="12"/>
  <c r="F564" i="5"/>
  <c r="H564" i="5"/>
  <c r="D564" i="5"/>
  <c r="B564" i="12" s="1"/>
  <c r="E564" i="5"/>
  <c r="N564" i="5"/>
  <c r="D564" i="6" s="1"/>
  <c r="BI562" i="6"/>
  <c r="L563" i="12"/>
  <c r="J563" i="12"/>
  <c r="M563" i="6" l="1"/>
  <c r="BW563" i="6" s="1"/>
  <c r="A564" i="6"/>
  <c r="M564" i="6" s="1"/>
  <c r="BF564" i="6" s="1"/>
  <c r="H564" i="6"/>
  <c r="C566" i="5"/>
  <c r="H565" i="5"/>
  <c r="G565" i="5"/>
  <c r="J565" i="5"/>
  <c r="AD565" i="5"/>
  <c r="F565" i="5"/>
  <c r="B565" i="6"/>
  <c r="A565" i="12"/>
  <c r="K565" i="5"/>
  <c r="AE565" i="5"/>
  <c r="D565" i="5"/>
  <c r="B565" i="12" s="1"/>
  <c r="N565" i="5"/>
  <c r="D565" i="6" s="1"/>
  <c r="E565" i="5"/>
  <c r="B565" i="5"/>
  <c r="T563" i="5"/>
  <c r="G563" i="12" s="1"/>
  <c r="K563" i="12"/>
  <c r="J564" i="12"/>
  <c r="L564" i="12"/>
  <c r="CA563" i="6" l="1"/>
  <c r="BX563" i="6"/>
  <c r="BG563" i="6"/>
  <c r="BE563" i="6"/>
  <c r="BZ563" i="6"/>
  <c r="BD563" i="6"/>
  <c r="CB563" i="6"/>
  <c r="CD563" i="6"/>
  <c r="BL563" i="6"/>
  <c r="BF563" i="6"/>
  <c r="BY563" i="6"/>
  <c r="BH563" i="6"/>
  <c r="BV563" i="6"/>
  <c r="BC563" i="6"/>
  <c r="BI563" i="6"/>
  <c r="CK563" i="6"/>
  <c r="BS563" i="6"/>
  <c r="CH563" i="6"/>
  <c r="CF563" i="6"/>
  <c r="BJ563" i="6"/>
  <c r="BK563" i="6"/>
  <c r="BR563" i="6"/>
  <c r="CG563" i="6"/>
  <c r="CC563" i="6"/>
  <c r="CE563" i="6"/>
  <c r="BQ563" i="6"/>
  <c r="BO563" i="6"/>
  <c r="BN563" i="6"/>
  <c r="CM563" i="6"/>
  <c r="BP563" i="6"/>
  <c r="BM563" i="6"/>
  <c r="CJ563" i="6"/>
  <c r="CL563" i="6"/>
  <c r="CI563" i="6"/>
  <c r="BT563" i="6"/>
  <c r="BT564" i="6"/>
  <c r="CG564" i="6"/>
  <c r="BM564" i="6"/>
  <c r="CH564" i="6"/>
  <c r="BO564" i="6"/>
  <c r="CI564" i="6"/>
  <c r="BP564" i="6"/>
  <c r="BQ564" i="6"/>
  <c r="BR564" i="6"/>
  <c r="BS564" i="6"/>
  <c r="CK564" i="6"/>
  <c r="CJ564" i="6"/>
  <c r="CL564" i="6"/>
  <c r="CM564" i="6"/>
  <c r="BN564" i="6"/>
  <c r="CF564" i="6"/>
  <c r="A565" i="6"/>
  <c r="M565" i="6" s="1"/>
  <c r="BE565" i="6" s="1"/>
  <c r="N564" i="6"/>
  <c r="BY564" i="6"/>
  <c r="BG564" i="6"/>
  <c r="K564" i="12"/>
  <c r="BW564" i="6"/>
  <c r="CD564" i="6"/>
  <c r="T564" i="5"/>
  <c r="G564" i="12" s="1"/>
  <c r="CC564" i="6"/>
  <c r="BI564" i="6"/>
  <c r="CA564" i="6"/>
  <c r="BC564" i="6"/>
  <c r="BJ564" i="6"/>
  <c r="BV564" i="6"/>
  <c r="CB564" i="6"/>
  <c r="H565" i="6"/>
  <c r="N566" i="5"/>
  <c r="D566" i="6" s="1"/>
  <c r="B566" i="6"/>
  <c r="J566" i="5"/>
  <c r="B566" i="5"/>
  <c r="AE566" i="5"/>
  <c r="G566" i="5"/>
  <c r="AD566" i="5"/>
  <c r="K566" i="5"/>
  <c r="E566" i="5"/>
  <c r="H566" i="5"/>
  <c r="F566" i="5"/>
  <c r="A566" i="12"/>
  <c r="D566" i="5"/>
  <c r="B566" i="12" s="1"/>
  <c r="BL564" i="6"/>
  <c r="BX564" i="6"/>
  <c r="BD564" i="6"/>
  <c r="BK564" i="6"/>
  <c r="BE564" i="6"/>
  <c r="CE564" i="6"/>
  <c r="BH564" i="6"/>
  <c r="J565" i="12"/>
  <c r="L565" i="12"/>
  <c r="BZ564" i="6"/>
  <c r="BR565" i="6" l="1"/>
  <c r="CK565" i="6"/>
  <c r="BP565" i="6"/>
  <c r="CL565" i="6"/>
  <c r="BQ565" i="6"/>
  <c r="CM565" i="6"/>
  <c r="BS565" i="6"/>
  <c r="BT565" i="6"/>
  <c r="BM565" i="6"/>
  <c r="BN565" i="6"/>
  <c r="CF565" i="6"/>
  <c r="CG565" i="6"/>
  <c r="CH565" i="6"/>
  <c r="CI565" i="6"/>
  <c r="BO565" i="6"/>
  <c r="CJ565" i="6"/>
  <c r="N565" i="6"/>
  <c r="A566" i="6"/>
  <c r="N566" i="6" s="1"/>
  <c r="BK565" i="6"/>
  <c r="BW565" i="6"/>
  <c r="BV565" i="6"/>
  <c r="BJ565" i="6"/>
  <c r="T565" i="5"/>
  <c r="G565" i="12" s="1"/>
  <c r="K565" i="12"/>
  <c r="L566" i="12"/>
  <c r="J566" i="12"/>
  <c r="BI565" i="6"/>
  <c r="BH565" i="6"/>
  <c r="CA565" i="6"/>
  <c r="BF565" i="6"/>
  <c r="BX565" i="6"/>
  <c r="CB565" i="6"/>
  <c r="BD565" i="6"/>
  <c r="CE565" i="6"/>
  <c r="BZ565" i="6"/>
  <c r="CC565" i="6"/>
  <c r="CD565" i="6"/>
  <c r="BG565" i="6"/>
  <c r="BC565" i="6"/>
  <c r="H566" i="6"/>
  <c r="BL565" i="6"/>
  <c r="BY565" i="6"/>
  <c r="M566" i="6" l="1"/>
  <c r="CD566" i="6" s="1"/>
  <c r="K566" i="12"/>
  <c r="T566" i="5"/>
  <c r="G566" i="12" s="1"/>
  <c r="C567" i="5"/>
  <c r="AF567" i="5"/>
  <c r="CA566" i="6" l="1"/>
  <c r="BI566" i="6"/>
  <c r="BM566" i="6"/>
  <c r="BV566" i="6"/>
  <c r="CM566" i="6"/>
  <c r="BS566" i="6"/>
  <c r="CI566" i="6"/>
  <c r="BW566" i="6"/>
  <c r="CL566" i="6"/>
  <c r="BH566" i="6"/>
  <c r="CJ566" i="6"/>
  <c r="BJ566" i="6"/>
  <c r="CH566" i="6"/>
  <c r="BT566" i="6"/>
  <c r="BE566" i="6"/>
  <c r="CK566" i="6"/>
  <c r="BY566" i="6"/>
  <c r="BF566" i="6"/>
  <c r="BG566" i="6"/>
  <c r="BR566" i="6"/>
  <c r="CF566" i="6"/>
  <c r="BZ566" i="6"/>
  <c r="BL566" i="6"/>
  <c r="CE566" i="6"/>
  <c r="BK566" i="6"/>
  <c r="BC566" i="6"/>
  <c r="BQ566" i="6"/>
  <c r="CG566" i="6"/>
  <c r="CB566" i="6"/>
  <c r="CC566" i="6"/>
  <c r="BD566" i="6"/>
  <c r="BX566" i="6"/>
  <c r="BO566" i="6"/>
  <c r="BP566" i="6"/>
  <c r="BN566" i="6"/>
  <c r="S567" i="5"/>
  <c r="F567" i="12" s="1"/>
  <c r="AG567" i="5"/>
  <c r="B567" i="5"/>
  <c r="H567" i="5"/>
  <c r="C568" i="5"/>
  <c r="AD567" i="5"/>
  <c r="AE567" i="5"/>
  <c r="F567" i="5"/>
  <c r="W567" i="5"/>
  <c r="H567" i="12" s="1"/>
  <c r="N567" i="5"/>
  <c r="D567" i="6" s="1"/>
  <c r="A567" i="12"/>
  <c r="G567" i="5"/>
  <c r="B567" i="6"/>
  <c r="E567" i="5"/>
  <c r="CI567" i="6" l="1"/>
  <c r="CH567" i="6"/>
  <c r="CG567" i="6"/>
  <c r="CF567" i="6"/>
  <c r="CM567" i="6"/>
  <c r="CL567" i="6"/>
  <c r="CJ567" i="6"/>
  <c r="CK567" i="6"/>
  <c r="BS567" i="6"/>
  <c r="BR567" i="6"/>
  <c r="BQ567" i="6"/>
  <c r="BP567" i="6"/>
  <c r="BO567" i="6"/>
  <c r="BM567" i="6"/>
  <c r="BT567" i="6"/>
  <c r="BN567" i="6"/>
  <c r="A567" i="6"/>
  <c r="U567" i="5"/>
  <c r="AN567" i="5" s="1"/>
  <c r="F567" i="6"/>
  <c r="E567" i="12"/>
  <c r="B568" i="5"/>
  <c r="A568" i="12"/>
  <c r="K568" i="5"/>
  <c r="D568" i="5"/>
  <c r="B568" i="12" s="1"/>
  <c r="B568" i="6"/>
  <c r="E568" i="5"/>
  <c r="J568" i="5"/>
  <c r="AD568" i="5"/>
  <c r="F568" i="5"/>
  <c r="C569" i="5"/>
  <c r="AE568" i="5"/>
  <c r="H568" i="5"/>
  <c r="N568" i="5"/>
  <c r="D568" i="6" s="1"/>
  <c r="G568" i="5"/>
  <c r="M567" i="6"/>
  <c r="BZ567" i="6" s="1"/>
  <c r="N567" i="6"/>
  <c r="G567" i="6"/>
  <c r="H567" i="6"/>
  <c r="A568" i="6" l="1"/>
  <c r="N568" i="6" s="1"/>
  <c r="AV567" i="6"/>
  <c r="AW567" i="6"/>
  <c r="AY567" i="6"/>
  <c r="BA567" i="6"/>
  <c r="AX567" i="6"/>
  <c r="AZ567" i="6"/>
  <c r="AU567" i="6"/>
  <c r="AT567" i="6"/>
  <c r="CA567" i="6"/>
  <c r="BW567" i="6"/>
  <c r="CB567" i="6"/>
  <c r="BK567" i="6"/>
  <c r="G569" i="5"/>
  <c r="A569" i="12"/>
  <c r="N569" i="5"/>
  <c r="D569" i="6" s="1"/>
  <c r="C570" i="5"/>
  <c r="K569" i="5"/>
  <c r="H569" i="5"/>
  <c r="J569" i="5"/>
  <c r="B569" i="6"/>
  <c r="F569" i="5"/>
  <c r="B569" i="5"/>
  <c r="D569" i="5"/>
  <c r="B569" i="12" s="1"/>
  <c r="AD569" i="5"/>
  <c r="E569" i="5"/>
  <c r="AE569" i="5"/>
  <c r="T567" i="5"/>
  <c r="G567" i="12" s="1"/>
  <c r="AQ567" i="6"/>
  <c r="AP567" i="6"/>
  <c r="AR567" i="6"/>
  <c r="AL567" i="6"/>
  <c r="AS567" i="6"/>
  <c r="AN567" i="6"/>
  <c r="AK567" i="6"/>
  <c r="AM567" i="6"/>
  <c r="CE567" i="6"/>
  <c r="AO567" i="6"/>
  <c r="BD567" i="6"/>
  <c r="BC567" i="6"/>
  <c r="BV567" i="6"/>
  <c r="AJ567" i="6"/>
  <c r="BJ567" i="6"/>
  <c r="CC567" i="6"/>
  <c r="BH567" i="6"/>
  <c r="CD567" i="6"/>
  <c r="BX567" i="6"/>
  <c r="BF567" i="6"/>
  <c r="BL567" i="6"/>
  <c r="BG567" i="6"/>
  <c r="BI567" i="6"/>
  <c r="H568" i="6"/>
  <c r="J568" i="12"/>
  <c r="L568" i="12"/>
  <c r="BE567" i="6"/>
  <c r="BY567" i="6"/>
  <c r="M568" i="6" l="1"/>
  <c r="CE568" i="6" s="1"/>
  <c r="A569" i="6"/>
  <c r="N569" i="6" s="1"/>
  <c r="K568" i="12"/>
  <c r="H569" i="6"/>
  <c r="T568" i="5"/>
  <c r="G568" i="12" s="1"/>
  <c r="L569" i="12"/>
  <c r="J569" i="12"/>
  <c r="D570" i="5"/>
  <c r="B570" i="12" s="1"/>
  <c r="J570" i="5"/>
  <c r="B570" i="5"/>
  <c r="B570" i="6"/>
  <c r="N570" i="5"/>
  <c r="D570" i="6" s="1"/>
  <c r="K570" i="5"/>
  <c r="AE570" i="5"/>
  <c r="H570" i="5"/>
  <c r="A570" i="12"/>
  <c r="AD570" i="5"/>
  <c r="C571" i="5"/>
  <c r="F570" i="5"/>
  <c r="E570" i="5"/>
  <c r="G570" i="5"/>
  <c r="M569" i="6" l="1"/>
  <c r="CD569" i="6" s="1"/>
  <c r="CK568" i="6"/>
  <c r="BR568" i="6"/>
  <c r="BI568" i="6"/>
  <c r="BJ568" i="6"/>
  <c r="CC568" i="6"/>
  <c r="BX568" i="6"/>
  <c r="BO568" i="6"/>
  <c r="BC568" i="6"/>
  <c r="BF568" i="6"/>
  <c r="CI568" i="6"/>
  <c r="BH568" i="6"/>
  <c r="BW568" i="6"/>
  <c r="CH568" i="6"/>
  <c r="BE568" i="6"/>
  <c r="BZ568" i="6"/>
  <c r="CG568" i="6"/>
  <c r="CA568" i="6"/>
  <c r="BS568" i="6"/>
  <c r="CF568" i="6"/>
  <c r="CM568" i="6"/>
  <c r="BN568" i="6"/>
  <c r="CJ568" i="6"/>
  <c r="BQ568" i="6"/>
  <c r="BM568" i="6"/>
  <c r="BG568" i="6"/>
  <c r="BD568" i="6"/>
  <c r="BL568" i="6"/>
  <c r="BK568" i="6"/>
  <c r="CL568" i="6"/>
  <c r="BT568" i="6"/>
  <c r="CD568" i="6"/>
  <c r="CB568" i="6"/>
  <c r="BY568" i="6"/>
  <c r="BV568" i="6"/>
  <c r="BP568" i="6"/>
  <c r="A570" i="6"/>
  <c r="M570" i="6" s="1"/>
  <c r="K569" i="12"/>
  <c r="T569" i="5"/>
  <c r="G569" i="12" s="1"/>
  <c r="J570" i="12"/>
  <c r="L570" i="12"/>
  <c r="N571" i="5"/>
  <c r="D571" i="6" s="1"/>
  <c r="A571" i="12"/>
  <c r="AE571" i="5"/>
  <c r="E571" i="5"/>
  <c r="H571" i="5"/>
  <c r="B571" i="6"/>
  <c r="K571" i="5"/>
  <c r="AD571" i="5"/>
  <c r="F571" i="5"/>
  <c r="B571" i="5"/>
  <c r="D571" i="5"/>
  <c r="B571" i="12" s="1"/>
  <c r="J571" i="5"/>
  <c r="G571" i="5"/>
  <c r="C572" i="5"/>
  <c r="H570" i="6"/>
  <c r="BI569" i="6" l="1"/>
  <c r="CB569" i="6"/>
  <c r="BL569" i="6"/>
  <c r="CA569" i="6"/>
  <c r="BH569" i="6"/>
  <c r="BE569" i="6"/>
  <c r="BX569" i="6"/>
  <c r="BC569" i="6"/>
  <c r="BD569" i="6"/>
  <c r="CC569" i="6"/>
  <c r="BJ569" i="6"/>
  <c r="BW569" i="6"/>
  <c r="CI569" i="6"/>
  <c r="BT569" i="6"/>
  <c r="BY569" i="6"/>
  <c r="BV569" i="6"/>
  <c r="BK569" i="6"/>
  <c r="BZ569" i="6"/>
  <c r="CH569" i="6"/>
  <c r="BS569" i="6"/>
  <c r="CF569" i="6"/>
  <c r="CG569" i="6"/>
  <c r="BR569" i="6"/>
  <c r="CL569" i="6"/>
  <c r="CM569" i="6"/>
  <c r="BG569" i="6"/>
  <c r="BF569" i="6"/>
  <c r="CK569" i="6"/>
  <c r="CE569" i="6"/>
  <c r="BO569" i="6"/>
  <c r="CJ569" i="6"/>
  <c r="BQ569" i="6"/>
  <c r="BN569" i="6"/>
  <c r="BM569" i="6"/>
  <c r="BP569" i="6"/>
  <c r="N570" i="6"/>
  <c r="A571" i="6"/>
  <c r="M571" i="6" s="1"/>
  <c r="CC571" i="6" s="1"/>
  <c r="BV570" i="6"/>
  <c r="BP570" i="6"/>
  <c r="BO570" i="6"/>
  <c r="BM570" i="6"/>
  <c r="BR570" i="6"/>
  <c r="CG570" i="6"/>
  <c r="CH570" i="6"/>
  <c r="BT570" i="6"/>
  <c r="CI570" i="6"/>
  <c r="BQ570" i="6"/>
  <c r="BS570" i="6"/>
  <c r="CK570" i="6"/>
  <c r="CJ570" i="6"/>
  <c r="CL570" i="6"/>
  <c r="CM570" i="6"/>
  <c r="BN570" i="6"/>
  <c r="CF570" i="6"/>
  <c r="BY570" i="6"/>
  <c r="K570" i="12"/>
  <c r="BW570" i="6"/>
  <c r="CE570" i="6"/>
  <c r="BF570" i="6"/>
  <c r="BH570" i="6"/>
  <c r="BE570" i="6"/>
  <c r="BD570" i="6"/>
  <c r="BC570" i="6"/>
  <c r="CC570" i="6"/>
  <c r="BI570" i="6"/>
  <c r="T570" i="5"/>
  <c r="G570" i="12" s="1"/>
  <c r="BZ570" i="6"/>
  <c r="BX570" i="6"/>
  <c r="CA570" i="6"/>
  <c r="BG570" i="6"/>
  <c r="BJ570" i="6"/>
  <c r="CB570" i="6"/>
  <c r="BL570" i="6"/>
  <c r="BK570" i="6"/>
  <c r="E572" i="5"/>
  <c r="B572" i="5"/>
  <c r="D572" i="5"/>
  <c r="B572" i="12" s="1"/>
  <c r="N572" i="5"/>
  <c r="D572" i="6" s="1"/>
  <c r="H572" i="5"/>
  <c r="AE572" i="5"/>
  <c r="K572" i="5"/>
  <c r="J572" i="5"/>
  <c r="G572" i="5"/>
  <c r="AD572" i="5"/>
  <c r="C573" i="5"/>
  <c r="F572" i="5"/>
  <c r="B572" i="6"/>
  <c r="A572" i="12"/>
  <c r="J571" i="12"/>
  <c r="L571" i="12"/>
  <c r="H571" i="6"/>
  <c r="CD570" i="6"/>
  <c r="N571" i="6" l="1"/>
  <c r="BR571" i="6"/>
  <c r="CK571" i="6"/>
  <c r="BP571" i="6"/>
  <c r="CL571" i="6"/>
  <c r="BQ571" i="6"/>
  <c r="CM571" i="6"/>
  <c r="BS571" i="6"/>
  <c r="BT571" i="6"/>
  <c r="BM571" i="6"/>
  <c r="BN571" i="6"/>
  <c r="CF571" i="6"/>
  <c r="CG571" i="6"/>
  <c r="CH571" i="6"/>
  <c r="CI571" i="6"/>
  <c r="BO571" i="6"/>
  <c r="CJ571" i="6"/>
  <c r="A572" i="6"/>
  <c r="M572" i="6" s="1"/>
  <c r="BJ572" i="6" s="1"/>
  <c r="K571" i="12"/>
  <c r="BG571" i="6"/>
  <c r="BX571" i="6"/>
  <c r="BH571" i="6"/>
  <c r="H572" i="6"/>
  <c r="BJ571" i="6"/>
  <c r="T571" i="5"/>
  <c r="G571" i="12" s="1"/>
  <c r="BE571" i="6"/>
  <c r="BY571" i="6"/>
  <c r="AD573" i="5"/>
  <c r="F573" i="5"/>
  <c r="C574" i="5"/>
  <c r="G573" i="5"/>
  <c r="B573" i="6"/>
  <c r="B573" i="5"/>
  <c r="J573" i="5"/>
  <c r="E573" i="5"/>
  <c r="A573" i="12"/>
  <c r="N573" i="5"/>
  <c r="D573" i="6" s="1"/>
  <c r="AE573" i="5"/>
  <c r="K573" i="5"/>
  <c r="H573" i="5"/>
  <c r="D573" i="5"/>
  <c r="B573" i="12" s="1"/>
  <c r="BL571" i="6"/>
  <c r="BF571" i="6"/>
  <c r="CB571" i="6"/>
  <c r="CD571" i="6"/>
  <c r="BC571" i="6"/>
  <c r="BW571" i="6"/>
  <c r="CA571" i="6"/>
  <c r="BD571" i="6"/>
  <c r="BV571" i="6"/>
  <c r="BZ571" i="6"/>
  <c r="CE571" i="6"/>
  <c r="L572" i="12"/>
  <c r="J572" i="12"/>
  <c r="BI571" i="6"/>
  <c r="BK571" i="6"/>
  <c r="BS572" i="6" l="1"/>
  <c r="CK572" i="6"/>
  <c r="BT572" i="6"/>
  <c r="CL572" i="6"/>
  <c r="BM572" i="6"/>
  <c r="CM572" i="6"/>
  <c r="BN572" i="6"/>
  <c r="BO572" i="6"/>
  <c r="BQ572" i="6"/>
  <c r="BR572" i="6"/>
  <c r="CG572" i="6"/>
  <c r="CF572" i="6"/>
  <c r="CH572" i="6"/>
  <c r="CI572" i="6"/>
  <c r="BP572" i="6"/>
  <c r="CJ572" i="6"/>
  <c r="N572" i="6"/>
  <c r="A573" i="6"/>
  <c r="M573" i="6" s="1"/>
  <c r="CA573" i="6" s="1"/>
  <c r="BZ572" i="6"/>
  <c r="BY572" i="6"/>
  <c r="BG572" i="6"/>
  <c r="BC572" i="6"/>
  <c r="BH572" i="6"/>
  <c r="BX572" i="6"/>
  <c r="BD572" i="6"/>
  <c r="CC572" i="6"/>
  <c r="BV572" i="6"/>
  <c r="CB572" i="6"/>
  <c r="CE572" i="6"/>
  <c r="BE572" i="6"/>
  <c r="BL572" i="6"/>
  <c r="K572" i="12"/>
  <c r="CD572" i="6"/>
  <c r="A574" i="12"/>
  <c r="K574" i="5"/>
  <c r="G574" i="5"/>
  <c r="AE574" i="5"/>
  <c r="F574" i="5"/>
  <c r="J574" i="5"/>
  <c r="N574" i="5"/>
  <c r="D574" i="6" s="1"/>
  <c r="C575" i="5"/>
  <c r="B574" i="6"/>
  <c r="E574" i="5"/>
  <c r="D574" i="5"/>
  <c r="B574" i="12" s="1"/>
  <c r="AD574" i="5"/>
  <c r="B574" i="5"/>
  <c r="H574" i="5"/>
  <c r="H573" i="6"/>
  <c r="T572" i="5"/>
  <c r="G572" i="12" s="1"/>
  <c r="J573" i="12"/>
  <c r="L573" i="12"/>
  <c r="BK572" i="6"/>
  <c r="BI572" i="6"/>
  <c r="BF572" i="6"/>
  <c r="BW572" i="6"/>
  <c r="CA572" i="6"/>
  <c r="N573" i="6" l="1"/>
  <c r="BN573" i="6"/>
  <c r="CF573" i="6"/>
  <c r="BT573" i="6"/>
  <c r="CG573" i="6"/>
  <c r="BM573" i="6"/>
  <c r="CH573" i="6"/>
  <c r="BO573" i="6"/>
  <c r="CI573" i="6"/>
  <c r="BP573" i="6"/>
  <c r="BQ573" i="6"/>
  <c r="BR573" i="6"/>
  <c r="BS573" i="6"/>
  <c r="CK573" i="6"/>
  <c r="CJ573" i="6"/>
  <c r="CL573" i="6"/>
  <c r="CM573" i="6"/>
  <c r="A574" i="6"/>
  <c r="M574" i="6" s="1"/>
  <c r="CA574" i="6" s="1"/>
  <c r="BV573" i="6"/>
  <c r="C576" i="5"/>
  <c r="C577" i="5" s="1"/>
  <c r="C578" i="5" s="1"/>
  <c r="C579" i="5" s="1"/>
  <c r="BH573" i="6"/>
  <c r="BZ573" i="6"/>
  <c r="BC573" i="6"/>
  <c r="BK573" i="6"/>
  <c r="CD573" i="6"/>
  <c r="BL573" i="6"/>
  <c r="BI573" i="6"/>
  <c r="J574" i="12"/>
  <c r="L574" i="12"/>
  <c r="K573" i="12"/>
  <c r="D575" i="5"/>
  <c r="B575" i="12" s="1"/>
  <c r="K575" i="5"/>
  <c r="B575" i="5"/>
  <c r="B575" i="6"/>
  <c r="G575" i="5"/>
  <c r="J575" i="5"/>
  <c r="AE575" i="5"/>
  <c r="H575" i="5"/>
  <c r="E575" i="5"/>
  <c r="AD575" i="5"/>
  <c r="A575" i="12"/>
  <c r="F575" i="5"/>
  <c r="N575" i="5"/>
  <c r="D575" i="6" s="1"/>
  <c r="BX573" i="6"/>
  <c r="H574" i="6"/>
  <c r="BF573" i="6"/>
  <c r="BD573" i="6"/>
  <c r="CB573" i="6"/>
  <c r="BW573" i="6"/>
  <c r="BJ573" i="6"/>
  <c r="BE573" i="6"/>
  <c r="T573" i="5"/>
  <c r="G573" i="12" s="1"/>
  <c r="BY573" i="6"/>
  <c r="BG573" i="6"/>
  <c r="CE573" i="6"/>
  <c r="CC573" i="6"/>
  <c r="A575" i="6" l="1"/>
  <c r="M575" i="6" s="1"/>
  <c r="BF575" i="6" s="1"/>
  <c r="BQ574" i="6"/>
  <c r="CL574" i="6"/>
  <c r="BR574" i="6"/>
  <c r="CM574" i="6"/>
  <c r="BS574" i="6"/>
  <c r="BT574" i="6"/>
  <c r="BM574" i="6"/>
  <c r="BN574" i="6"/>
  <c r="CF574" i="6"/>
  <c r="CG574" i="6"/>
  <c r="CH574" i="6"/>
  <c r="CI574" i="6"/>
  <c r="BO574" i="6"/>
  <c r="CJ574" i="6"/>
  <c r="BP574" i="6"/>
  <c r="CK574" i="6"/>
  <c r="N574" i="6"/>
  <c r="A579" i="12"/>
  <c r="B579" i="6"/>
  <c r="AE579" i="5"/>
  <c r="N579" i="5"/>
  <c r="AD579" i="5"/>
  <c r="K579" i="5"/>
  <c r="J579" i="5"/>
  <c r="D579" i="5"/>
  <c r="B579" i="12" s="1"/>
  <c r="A578" i="12"/>
  <c r="B578" i="6"/>
  <c r="AD578" i="5"/>
  <c r="J578" i="5"/>
  <c r="AE578" i="5"/>
  <c r="K578" i="5"/>
  <c r="D578" i="5"/>
  <c r="B578" i="12" s="1"/>
  <c r="N578" i="5"/>
  <c r="A577" i="12"/>
  <c r="B577" i="6"/>
  <c r="D577" i="5"/>
  <c r="B577" i="12" s="1"/>
  <c r="AE577" i="5"/>
  <c r="N577" i="5"/>
  <c r="AD577" i="5"/>
  <c r="K577" i="5"/>
  <c r="J577" i="5"/>
  <c r="B576" i="6"/>
  <c r="F576" i="5"/>
  <c r="F577" i="5" s="1"/>
  <c r="F578" i="5" s="1"/>
  <c r="F579" i="5" s="1"/>
  <c r="E576" i="5"/>
  <c r="E577" i="5" s="1"/>
  <c r="E578" i="5" s="1"/>
  <c r="E579" i="5" s="1"/>
  <c r="A576" i="12"/>
  <c r="D576" i="5"/>
  <c r="B576" i="12" s="1"/>
  <c r="B576" i="5"/>
  <c r="B577" i="5" s="1"/>
  <c r="B578" i="5" s="1"/>
  <c r="B579" i="5" s="1"/>
  <c r="H576" i="5"/>
  <c r="H577" i="5" s="1"/>
  <c r="H578" i="5" s="1"/>
  <c r="H579" i="5" s="1"/>
  <c r="AE576" i="5"/>
  <c r="N576" i="5"/>
  <c r="AD576" i="5"/>
  <c r="K576" i="5"/>
  <c r="J576" i="5"/>
  <c r="G576" i="5"/>
  <c r="G577" i="5" s="1"/>
  <c r="G578" i="5" s="1"/>
  <c r="G579" i="5" s="1"/>
  <c r="K574" i="12"/>
  <c r="BK574" i="6"/>
  <c r="BV574" i="6"/>
  <c r="BG574" i="6"/>
  <c r="BD574" i="6"/>
  <c r="CD574" i="6"/>
  <c r="BW574" i="6"/>
  <c r="BY574" i="6"/>
  <c r="BZ574" i="6"/>
  <c r="BE574" i="6"/>
  <c r="BI574" i="6"/>
  <c r="H575" i="6"/>
  <c r="L575" i="12"/>
  <c r="J575" i="12"/>
  <c r="T574" i="5"/>
  <c r="G574" i="12" s="1"/>
  <c r="BJ574" i="6"/>
  <c r="CC574" i="6"/>
  <c r="CE574" i="6"/>
  <c r="BL574" i="6"/>
  <c r="BC574" i="6"/>
  <c r="BX574" i="6"/>
  <c r="BF574" i="6"/>
  <c r="CB574" i="6"/>
  <c r="BH574" i="6"/>
  <c r="N575" i="6" l="1"/>
  <c r="BT575" i="6"/>
  <c r="CK575" i="6"/>
  <c r="BM575" i="6"/>
  <c r="CL575" i="6"/>
  <c r="BN575" i="6"/>
  <c r="CM575" i="6"/>
  <c r="BO575" i="6"/>
  <c r="BP575" i="6"/>
  <c r="BQ575" i="6"/>
  <c r="BR575" i="6"/>
  <c r="CG575" i="6"/>
  <c r="CF575" i="6"/>
  <c r="CH575" i="6"/>
  <c r="CI575" i="6"/>
  <c r="BS575" i="6"/>
  <c r="CJ575" i="6"/>
  <c r="C580" i="5"/>
  <c r="D579" i="6"/>
  <c r="J579" i="12"/>
  <c r="L579" i="12"/>
  <c r="D578" i="6"/>
  <c r="L578" i="12"/>
  <c r="J578" i="12"/>
  <c r="L577" i="12"/>
  <c r="J577" i="12"/>
  <c r="D577" i="6"/>
  <c r="D576" i="6"/>
  <c r="L576" i="12"/>
  <c r="J576" i="12"/>
  <c r="BL575" i="6"/>
  <c r="BY575" i="6"/>
  <c r="BJ575" i="6"/>
  <c r="BI575" i="6"/>
  <c r="CE575" i="6"/>
  <c r="BE575" i="6"/>
  <c r="BZ575" i="6"/>
  <c r="CC575" i="6"/>
  <c r="CD575" i="6"/>
  <c r="BH575" i="6"/>
  <c r="BX575" i="6"/>
  <c r="T575" i="5"/>
  <c r="G575" i="12" s="1"/>
  <c r="BW575" i="6"/>
  <c r="BD575" i="6"/>
  <c r="BC575" i="6"/>
  <c r="CB575" i="6"/>
  <c r="CA575" i="6"/>
  <c r="K575" i="12"/>
  <c r="BK575" i="6"/>
  <c r="BG575" i="6"/>
  <c r="BV575" i="6"/>
  <c r="AF580" i="5"/>
  <c r="A576" i="6" l="1"/>
  <c r="A577" i="6" s="1"/>
  <c r="A578" i="6" s="1"/>
  <c r="A579" i="6" s="1"/>
  <c r="M579" i="6" s="1"/>
  <c r="BK579" i="6" s="1"/>
  <c r="K576" i="12"/>
  <c r="K578" i="12"/>
  <c r="K579" i="12"/>
  <c r="K577" i="12"/>
  <c r="AG580" i="5"/>
  <c r="S580" i="5"/>
  <c r="F580" i="12" s="1"/>
  <c r="A580" i="12"/>
  <c r="AE580" i="5"/>
  <c r="N580" i="5"/>
  <c r="AD580" i="5"/>
  <c r="C581" i="5"/>
  <c r="H580" i="5"/>
  <c r="G580" i="5"/>
  <c r="W580" i="5"/>
  <c r="H580" i="12" s="1"/>
  <c r="F580" i="5"/>
  <c r="E580" i="5"/>
  <c r="B580" i="6"/>
  <c r="B580" i="5"/>
  <c r="H579" i="6"/>
  <c r="T579" i="5" s="1"/>
  <c r="G579" i="12" s="1"/>
  <c r="H578" i="6"/>
  <c r="T578" i="5" s="1"/>
  <c r="G578" i="12" s="1"/>
  <c r="H577" i="6"/>
  <c r="T577" i="5" s="1"/>
  <c r="G577" i="12" s="1"/>
  <c r="H576" i="6"/>
  <c r="T576" i="5" s="1"/>
  <c r="G576" i="12" s="1"/>
  <c r="K436" i="5"/>
  <c r="N576" i="6" l="1"/>
  <c r="M578" i="6"/>
  <c r="BJ578" i="6" s="1"/>
  <c r="M576" i="6"/>
  <c r="CE576" i="6" s="1"/>
  <c r="N578" i="6"/>
  <c r="N579" i="6"/>
  <c r="M577" i="6"/>
  <c r="BL577" i="6" s="1"/>
  <c r="N577" i="6"/>
  <c r="BS579" i="6"/>
  <c r="BR579" i="6"/>
  <c r="BT579" i="6"/>
  <c r="CK579" i="6"/>
  <c r="CJ579" i="6"/>
  <c r="CL579" i="6"/>
  <c r="BM579" i="6"/>
  <c r="CF579" i="6"/>
  <c r="CM579" i="6"/>
  <c r="BN579" i="6"/>
  <c r="CG579" i="6"/>
  <c r="BO579" i="6"/>
  <c r="CH579" i="6"/>
  <c r="BP579" i="6"/>
  <c r="CI579" i="6"/>
  <c r="BQ579" i="6"/>
  <c r="U580" i="5"/>
  <c r="AN580" i="5" s="1"/>
  <c r="BG579" i="6"/>
  <c r="BJ579" i="6"/>
  <c r="BV579" i="6"/>
  <c r="BL579" i="6"/>
  <c r="BW579" i="6"/>
  <c r="BC579" i="6"/>
  <c r="BY579" i="6"/>
  <c r="BX579" i="6"/>
  <c r="BI579" i="6"/>
  <c r="BE579" i="6"/>
  <c r="BZ579" i="6"/>
  <c r="CB579" i="6"/>
  <c r="BF579" i="6"/>
  <c r="CA579" i="6"/>
  <c r="CD579" i="6"/>
  <c r="BH579" i="6"/>
  <c r="CE579" i="6"/>
  <c r="CC579" i="6"/>
  <c r="BD579" i="6"/>
  <c r="E580" i="12"/>
  <c r="F580" i="6"/>
  <c r="D580" i="6"/>
  <c r="A581" i="12"/>
  <c r="AD581" i="5"/>
  <c r="B581" i="6"/>
  <c r="H581" i="5"/>
  <c r="C582" i="5"/>
  <c r="G581" i="5"/>
  <c r="F581" i="5"/>
  <c r="E581" i="5"/>
  <c r="D581" i="5"/>
  <c r="B581" i="12" s="1"/>
  <c r="B581" i="5"/>
  <c r="N581" i="5"/>
  <c r="AE581" i="5"/>
  <c r="K581" i="5"/>
  <c r="J581" i="5"/>
  <c r="BX578" i="6" l="1"/>
  <c r="BO578" i="6"/>
  <c r="CB578" i="6"/>
  <c r="BL578" i="6"/>
  <c r="BW578" i="6"/>
  <c r="BH578" i="6"/>
  <c r="BF578" i="6"/>
  <c r="CA578" i="6"/>
  <c r="CC578" i="6"/>
  <c r="BY578" i="6"/>
  <c r="BZ578" i="6"/>
  <c r="BE578" i="6"/>
  <c r="BV578" i="6"/>
  <c r="BD578" i="6"/>
  <c r="BI578" i="6"/>
  <c r="BK578" i="6"/>
  <c r="BC578" i="6"/>
  <c r="BG578" i="6"/>
  <c r="CE578" i="6"/>
  <c r="CL578" i="6"/>
  <c r="CD578" i="6"/>
  <c r="CK578" i="6"/>
  <c r="CF578" i="6"/>
  <c r="CG578" i="6"/>
  <c r="BR578" i="6"/>
  <c r="CJ578" i="6"/>
  <c r="CM578" i="6"/>
  <c r="BN578" i="6"/>
  <c r="BQ578" i="6"/>
  <c r="BX576" i="6"/>
  <c r="BP576" i="6"/>
  <c r="BL576" i="6"/>
  <c r="BP578" i="6"/>
  <c r="CH578" i="6"/>
  <c r="BM578" i="6"/>
  <c r="BS578" i="6"/>
  <c r="BT576" i="6"/>
  <c r="BT578" i="6"/>
  <c r="CI578" i="6"/>
  <c r="BC576" i="6"/>
  <c r="BD576" i="6"/>
  <c r="CL576" i="6"/>
  <c r="BQ576" i="6"/>
  <c r="CA576" i="6"/>
  <c r="BZ576" i="6"/>
  <c r="BF576" i="6"/>
  <c r="CD576" i="6"/>
  <c r="BY576" i="6"/>
  <c r="CB576" i="6"/>
  <c r="CG576" i="6"/>
  <c r="CC576" i="6"/>
  <c r="BJ576" i="6"/>
  <c r="BH576" i="6"/>
  <c r="BE576" i="6"/>
  <c r="BW576" i="6"/>
  <c r="BN576" i="6"/>
  <c r="BI576" i="6"/>
  <c r="BV576" i="6"/>
  <c r="BG576" i="6"/>
  <c r="CI576" i="6"/>
  <c r="BK576" i="6"/>
  <c r="CJ576" i="6"/>
  <c r="CK576" i="6"/>
  <c r="CH576" i="6"/>
  <c r="BO576" i="6"/>
  <c r="CF576" i="6"/>
  <c r="BM576" i="6"/>
  <c r="BS576" i="6"/>
  <c r="BR576" i="6"/>
  <c r="CM576" i="6"/>
  <c r="BV577" i="6"/>
  <c r="BQ577" i="6"/>
  <c r="CG577" i="6"/>
  <c r="CB577" i="6"/>
  <c r="BS577" i="6"/>
  <c r="CM577" i="6"/>
  <c r="BF577" i="6"/>
  <c r="BJ577" i="6"/>
  <c r="CC577" i="6"/>
  <c r="BR577" i="6"/>
  <c r="CJ577" i="6"/>
  <c r="BC577" i="6"/>
  <c r="BI577" i="6"/>
  <c r="BY577" i="6"/>
  <c r="BO577" i="6"/>
  <c r="CF577" i="6"/>
  <c r="BX577" i="6"/>
  <c r="BZ577" i="6"/>
  <c r="BW577" i="6"/>
  <c r="BH577" i="6"/>
  <c r="BG577" i="6"/>
  <c r="CK577" i="6"/>
  <c r="BK577" i="6"/>
  <c r="BD577" i="6"/>
  <c r="BP577" i="6"/>
  <c r="CD577" i="6"/>
  <c r="CA577" i="6"/>
  <c r="BE577" i="6"/>
  <c r="CE577" i="6"/>
  <c r="CL577" i="6"/>
  <c r="BM577" i="6"/>
  <c r="BT577" i="6"/>
  <c r="CI577" i="6"/>
  <c r="BN577" i="6"/>
  <c r="CH577" i="6"/>
  <c r="A580" i="6"/>
  <c r="CM580" i="6"/>
  <c r="CL580" i="6"/>
  <c r="CK580" i="6"/>
  <c r="CJ580" i="6"/>
  <c r="CI580" i="6"/>
  <c r="CH580" i="6"/>
  <c r="CG580" i="6"/>
  <c r="CF580" i="6"/>
  <c r="BN580" i="6"/>
  <c r="BM580" i="6"/>
  <c r="BT580" i="6"/>
  <c r="BS580" i="6"/>
  <c r="BR580" i="6"/>
  <c r="BQ580" i="6"/>
  <c r="BP580" i="6"/>
  <c r="BO580" i="6"/>
  <c r="A582" i="12"/>
  <c r="B582" i="6"/>
  <c r="F582" i="5"/>
  <c r="D582" i="5"/>
  <c r="B582" i="12" s="1"/>
  <c r="B582" i="5"/>
  <c r="N582" i="5"/>
  <c r="AE582" i="5"/>
  <c r="AD582" i="5"/>
  <c r="K582" i="5"/>
  <c r="G582" i="5"/>
  <c r="J582" i="5"/>
  <c r="C583" i="5"/>
  <c r="H582" i="5"/>
  <c r="E582" i="5"/>
  <c r="D581" i="6"/>
  <c r="N580" i="6"/>
  <c r="M580" i="6"/>
  <c r="BJ580" i="6" s="1"/>
  <c r="H580" i="6"/>
  <c r="T580" i="5" s="1"/>
  <c r="G580" i="12" s="1"/>
  <c r="G580" i="6"/>
  <c r="J581" i="12"/>
  <c r="L581" i="12"/>
  <c r="AW580" i="6" l="1"/>
  <c r="AY580" i="6"/>
  <c r="AX580" i="6"/>
  <c r="AV580" i="6"/>
  <c r="AU580" i="6"/>
  <c r="AZ580" i="6"/>
  <c r="BA580" i="6"/>
  <c r="A581" i="6"/>
  <c r="N581" i="6" s="1"/>
  <c r="AT580" i="6"/>
  <c r="K581" i="12"/>
  <c r="CC580" i="6"/>
  <c r="BV580" i="6"/>
  <c r="BL580" i="6"/>
  <c r="CA580" i="6"/>
  <c r="BK580" i="6"/>
  <c r="BE580" i="6"/>
  <c r="BZ580" i="6"/>
  <c r="CB580" i="6"/>
  <c r="CE580" i="6"/>
  <c r="D582" i="6"/>
  <c r="AJ580" i="6"/>
  <c r="AQ580" i="6"/>
  <c r="AK580" i="6"/>
  <c r="AL580" i="6"/>
  <c r="BC580" i="6"/>
  <c r="A583" i="12"/>
  <c r="AD583" i="5"/>
  <c r="N583" i="5"/>
  <c r="AE583" i="5"/>
  <c r="K583" i="5"/>
  <c r="J583" i="5"/>
  <c r="H583" i="5"/>
  <c r="C584" i="5"/>
  <c r="G583" i="5"/>
  <c r="F583" i="5"/>
  <c r="E583" i="5"/>
  <c r="B583" i="6"/>
  <c r="D583" i="5"/>
  <c r="B583" i="12" s="1"/>
  <c r="B583" i="5"/>
  <c r="BW580" i="6"/>
  <c r="BG580" i="6"/>
  <c r="BX580" i="6"/>
  <c r="AM580" i="6"/>
  <c r="AP580" i="6"/>
  <c r="AN580" i="6"/>
  <c r="BD580" i="6"/>
  <c r="H581" i="6"/>
  <c r="T581" i="5" s="1"/>
  <c r="G581" i="12" s="1"/>
  <c r="AR580" i="6"/>
  <c r="BI580" i="6"/>
  <c r="BY580" i="6"/>
  <c r="AS580" i="6"/>
  <c r="CD580" i="6"/>
  <c r="L582" i="12"/>
  <c r="J582" i="12"/>
  <c r="BF580" i="6"/>
  <c r="AO580" i="6"/>
  <c r="BH580" i="6"/>
  <c r="K530" i="5"/>
  <c r="K526" i="5"/>
  <c r="K508" i="5"/>
  <c r="K490" i="5"/>
  <c r="K155" i="5"/>
  <c r="K479" i="5"/>
  <c r="K476" i="5"/>
  <c r="K472" i="5"/>
  <c r="M581" i="6" l="1"/>
  <c r="BK581" i="6" s="1"/>
  <c r="A582" i="6"/>
  <c r="N582" i="6" s="1"/>
  <c r="K582" i="12"/>
  <c r="D583" i="6"/>
  <c r="L583" i="12"/>
  <c r="J583" i="12"/>
  <c r="A584" i="12"/>
  <c r="F584" i="5"/>
  <c r="B584" i="6"/>
  <c r="J584" i="5"/>
  <c r="H584" i="5"/>
  <c r="C585" i="5"/>
  <c r="G584" i="5"/>
  <c r="E584" i="5"/>
  <c r="D584" i="5"/>
  <c r="B584" i="12" s="1"/>
  <c r="B584" i="5"/>
  <c r="N584" i="5"/>
  <c r="AE584" i="5"/>
  <c r="AD584" i="5"/>
  <c r="K584" i="5"/>
  <c r="H582" i="6"/>
  <c r="T582" i="5" s="1"/>
  <c r="G582" i="12" s="1"/>
  <c r="CD581" i="6" l="1"/>
  <c r="CL581" i="6"/>
  <c r="BI581" i="6"/>
  <c r="BM581" i="6"/>
  <c r="BG581" i="6"/>
  <c r="CK581" i="6"/>
  <c r="BN581" i="6"/>
  <c r="CA581" i="6"/>
  <c r="BL581" i="6"/>
  <c r="BT581" i="6"/>
  <c r="BF581" i="6"/>
  <c r="BX581" i="6"/>
  <c r="CJ581" i="6"/>
  <c r="CB581" i="6"/>
  <c r="BS581" i="6"/>
  <c r="M582" i="6"/>
  <c r="BZ582" i="6" s="1"/>
  <c r="CC581" i="6"/>
  <c r="BQ581" i="6"/>
  <c r="CI581" i="6"/>
  <c r="BZ581" i="6"/>
  <c r="BV581" i="6"/>
  <c r="BE581" i="6"/>
  <c r="BP581" i="6"/>
  <c r="CH581" i="6"/>
  <c r="BJ581" i="6"/>
  <c r="BY581" i="6"/>
  <c r="BD581" i="6"/>
  <c r="BO581" i="6"/>
  <c r="CF581" i="6"/>
  <c r="BC581" i="6"/>
  <c r="BH581" i="6"/>
  <c r="CG581" i="6"/>
  <c r="BW581" i="6"/>
  <c r="CE581" i="6"/>
  <c r="CM581" i="6"/>
  <c r="BR581" i="6"/>
  <c r="A583" i="6"/>
  <c r="M583" i="6" s="1"/>
  <c r="BK583" i="6" s="1"/>
  <c r="K583" i="12"/>
  <c r="L584" i="12"/>
  <c r="J584" i="12"/>
  <c r="A585" i="12"/>
  <c r="B585" i="6"/>
  <c r="AD585" i="5"/>
  <c r="F585" i="5"/>
  <c r="C586" i="5"/>
  <c r="C587" i="5" s="1"/>
  <c r="E585" i="5"/>
  <c r="D585" i="5"/>
  <c r="B585" i="12" s="1"/>
  <c r="B585" i="5"/>
  <c r="N585" i="5"/>
  <c r="H585" i="5"/>
  <c r="K585" i="5"/>
  <c r="AE585" i="5"/>
  <c r="J585" i="5"/>
  <c r="G585" i="5"/>
  <c r="D584" i="6"/>
  <c r="H583" i="6"/>
  <c r="T583" i="5" s="1"/>
  <c r="G583" i="12" s="1"/>
  <c r="BE582" i="6" l="1"/>
  <c r="BX582" i="6"/>
  <c r="BR582" i="6"/>
  <c r="BC582" i="6"/>
  <c r="BY582" i="6"/>
  <c r="BQ582" i="6"/>
  <c r="BJ582" i="6"/>
  <c r="CI582" i="6"/>
  <c r="BV582" i="6"/>
  <c r="BD582" i="6"/>
  <c r="BP582" i="6"/>
  <c r="BK582" i="6"/>
  <c r="CE582" i="6"/>
  <c r="CH582" i="6"/>
  <c r="CC582" i="6"/>
  <c r="BF582" i="6"/>
  <c r="BO582" i="6"/>
  <c r="BL582" i="6"/>
  <c r="CA582" i="6"/>
  <c r="CL582" i="6"/>
  <c r="CG582" i="6"/>
  <c r="BH582" i="6"/>
  <c r="CJ582" i="6"/>
  <c r="BN582" i="6"/>
  <c r="CD582" i="6"/>
  <c r="CK582" i="6"/>
  <c r="CF582" i="6"/>
  <c r="BG582" i="6"/>
  <c r="CB582" i="6"/>
  <c r="BT582" i="6"/>
  <c r="BM582" i="6"/>
  <c r="BW582" i="6"/>
  <c r="BI582" i="6"/>
  <c r="BS582" i="6"/>
  <c r="CM582" i="6"/>
  <c r="N583" i="6"/>
  <c r="BN583" i="6"/>
  <c r="CF583" i="6"/>
  <c r="CG583" i="6"/>
  <c r="CH583" i="6"/>
  <c r="CI583" i="6"/>
  <c r="BO583" i="6"/>
  <c r="CJ583" i="6"/>
  <c r="BP583" i="6"/>
  <c r="CK583" i="6"/>
  <c r="BQ583" i="6"/>
  <c r="CL583" i="6"/>
  <c r="BR583" i="6"/>
  <c r="CM583" i="6"/>
  <c r="BS583" i="6"/>
  <c r="BT583" i="6"/>
  <c r="A584" i="6"/>
  <c r="M584" i="6" s="1"/>
  <c r="BI584" i="6" s="1"/>
  <c r="BM583" i="6"/>
  <c r="BH583" i="6"/>
  <c r="CC583" i="6"/>
  <c r="BD583" i="6"/>
  <c r="CD583" i="6"/>
  <c r="BE583" i="6"/>
  <c r="BW583" i="6"/>
  <c r="CA583" i="6"/>
  <c r="BG583" i="6"/>
  <c r="K584" i="12"/>
  <c r="BJ583" i="6"/>
  <c r="CE583" i="6"/>
  <c r="BZ583" i="6"/>
  <c r="BX583" i="6"/>
  <c r="BL583" i="6"/>
  <c r="A587" i="12"/>
  <c r="AE587" i="5"/>
  <c r="N587" i="5"/>
  <c r="AD587" i="5"/>
  <c r="K587" i="5"/>
  <c r="J587" i="5"/>
  <c r="C588" i="5"/>
  <c r="D587" i="5"/>
  <c r="B587" i="12" s="1"/>
  <c r="B587" i="6"/>
  <c r="BF583" i="6"/>
  <c r="CB583" i="6"/>
  <c r="BC583" i="6"/>
  <c r="D585" i="6"/>
  <c r="J585" i="12"/>
  <c r="L585" i="12"/>
  <c r="BV583" i="6"/>
  <c r="BI583" i="6"/>
  <c r="BY583" i="6"/>
  <c r="B586" i="6"/>
  <c r="A586" i="12"/>
  <c r="F586" i="5"/>
  <c r="F587" i="5" s="1"/>
  <c r="B586" i="5"/>
  <c r="B587" i="5" s="1"/>
  <c r="D586" i="5"/>
  <c r="B586" i="12" s="1"/>
  <c r="N586" i="5"/>
  <c r="AE586" i="5"/>
  <c r="K586" i="5"/>
  <c r="AD586" i="5"/>
  <c r="J586" i="5"/>
  <c r="G586" i="5"/>
  <c r="G587" i="5" s="1"/>
  <c r="H586" i="5"/>
  <c r="H587" i="5" s="1"/>
  <c r="E586" i="5"/>
  <c r="E587" i="5" s="1"/>
  <c r="H584" i="6"/>
  <c r="T584" i="5" s="1"/>
  <c r="G584" i="12" s="1"/>
  <c r="N584" i="6" l="1"/>
  <c r="BN584" i="6"/>
  <c r="CM584" i="6"/>
  <c r="BO584" i="6"/>
  <c r="BP584" i="6"/>
  <c r="BQ584" i="6"/>
  <c r="BR584" i="6"/>
  <c r="CG584" i="6"/>
  <c r="CF584" i="6"/>
  <c r="CH584" i="6"/>
  <c r="A585" i="6"/>
  <c r="M585" i="6" s="1"/>
  <c r="BV585" i="6" s="1"/>
  <c r="CI584" i="6"/>
  <c r="BS584" i="6"/>
  <c r="CJ584" i="6"/>
  <c r="BT584" i="6"/>
  <c r="CK584" i="6"/>
  <c r="BM584" i="6"/>
  <c r="CL584" i="6"/>
  <c r="BJ584" i="6"/>
  <c r="K585" i="12"/>
  <c r="BF584" i="6"/>
  <c r="BE584" i="6"/>
  <c r="BG584" i="6"/>
  <c r="CC584" i="6"/>
  <c r="BZ584" i="6"/>
  <c r="CB584" i="6"/>
  <c r="CD584" i="6"/>
  <c r="BV584" i="6"/>
  <c r="BH584" i="6"/>
  <c r="BL584" i="6"/>
  <c r="BY584" i="6"/>
  <c r="CE584" i="6"/>
  <c r="CA584" i="6"/>
  <c r="BK584" i="6"/>
  <c r="A588" i="12"/>
  <c r="G588" i="5"/>
  <c r="F588" i="5"/>
  <c r="E588" i="5"/>
  <c r="D588" i="5"/>
  <c r="B588" i="12" s="1"/>
  <c r="B588" i="5"/>
  <c r="AE588" i="5"/>
  <c r="N588" i="5"/>
  <c r="B588" i="6"/>
  <c r="AD588" i="5"/>
  <c r="K588" i="5"/>
  <c r="J588" i="5"/>
  <c r="H588" i="5"/>
  <c r="C589" i="5"/>
  <c r="D587" i="6"/>
  <c r="L587" i="12"/>
  <c r="J587" i="12"/>
  <c r="BC584" i="6"/>
  <c r="BD584" i="6"/>
  <c r="BX584" i="6"/>
  <c r="L586" i="12"/>
  <c r="J586" i="12"/>
  <c r="D586" i="6"/>
  <c r="BW584" i="6"/>
  <c r="H585" i="6"/>
  <c r="T585" i="5" s="1"/>
  <c r="G585" i="12" s="1"/>
  <c r="I526" i="5"/>
  <c r="N585" i="6" l="1"/>
  <c r="CJ585" i="6"/>
  <c r="CL585" i="6"/>
  <c r="CM585" i="6"/>
  <c r="BM585" i="6"/>
  <c r="CF585" i="6"/>
  <c r="BN585" i="6"/>
  <c r="CG585" i="6"/>
  <c r="BO585" i="6"/>
  <c r="CH585" i="6"/>
  <c r="BP585" i="6"/>
  <c r="CI585" i="6"/>
  <c r="BQ585" i="6"/>
  <c r="A586" i="6"/>
  <c r="M586" i="6" s="1"/>
  <c r="BX586" i="6" s="1"/>
  <c r="BR585" i="6"/>
  <c r="BS585" i="6"/>
  <c r="BT585" i="6"/>
  <c r="CK585" i="6"/>
  <c r="K587" i="12"/>
  <c r="A589" i="12"/>
  <c r="AE589" i="5"/>
  <c r="N589" i="5"/>
  <c r="AD589" i="5"/>
  <c r="K589" i="5"/>
  <c r="B589" i="6"/>
  <c r="J589" i="5"/>
  <c r="C590" i="5"/>
  <c r="H589" i="5"/>
  <c r="G589" i="5"/>
  <c r="F589" i="5"/>
  <c r="E589" i="5"/>
  <c r="D589" i="5"/>
  <c r="B589" i="12" s="1"/>
  <c r="B589" i="5"/>
  <c r="BX585" i="6"/>
  <c r="H587" i="6"/>
  <c r="T587" i="5" s="1"/>
  <c r="G587" i="12" s="1"/>
  <c r="CA585" i="6"/>
  <c r="K586" i="12"/>
  <c r="J588" i="12"/>
  <c r="L588" i="12"/>
  <c r="BF585" i="6"/>
  <c r="D588" i="6"/>
  <c r="BH585" i="6"/>
  <c r="CC585" i="6"/>
  <c r="BD585" i="6"/>
  <c r="BJ585" i="6"/>
  <c r="BC585" i="6"/>
  <c r="CD585" i="6"/>
  <c r="CE585" i="6"/>
  <c r="BG585" i="6"/>
  <c r="BE585" i="6"/>
  <c r="CB585" i="6"/>
  <c r="BZ585" i="6"/>
  <c r="H586" i="6"/>
  <c r="T586" i="5" s="1"/>
  <c r="G586" i="12" s="1"/>
  <c r="BI585" i="6"/>
  <c r="BK585" i="6"/>
  <c r="BW585" i="6"/>
  <c r="BL585" i="6"/>
  <c r="BY585" i="6"/>
  <c r="N586" i="6" l="1"/>
  <c r="A587" i="6"/>
  <c r="N587" i="6" s="1"/>
  <c r="BO586" i="6"/>
  <c r="BP586" i="6"/>
  <c r="CG586" i="6"/>
  <c r="CH586" i="6"/>
  <c r="CI586" i="6"/>
  <c r="CJ586" i="6"/>
  <c r="CK586" i="6"/>
  <c r="BQ586" i="6"/>
  <c r="CL586" i="6"/>
  <c r="BR586" i="6"/>
  <c r="CM586" i="6"/>
  <c r="BS586" i="6"/>
  <c r="BT586" i="6"/>
  <c r="BM586" i="6"/>
  <c r="BN586" i="6"/>
  <c r="CF586" i="6"/>
  <c r="K588" i="12"/>
  <c r="BJ586" i="6"/>
  <c r="BL586" i="6"/>
  <c r="BE586" i="6"/>
  <c r="CB586" i="6"/>
  <c r="BF586" i="6"/>
  <c r="CA586" i="6"/>
  <c r="BD586" i="6"/>
  <c r="BV586" i="6"/>
  <c r="A590" i="12"/>
  <c r="G590" i="5"/>
  <c r="F590" i="5"/>
  <c r="E590" i="5"/>
  <c r="D590" i="5"/>
  <c r="B590" i="12" s="1"/>
  <c r="B590" i="5"/>
  <c r="AE590" i="5"/>
  <c r="N590" i="5"/>
  <c r="AD590" i="5"/>
  <c r="K590" i="5"/>
  <c r="J590" i="5"/>
  <c r="B590" i="6"/>
  <c r="H590" i="5"/>
  <c r="H588" i="6"/>
  <c r="T588" i="5" s="1"/>
  <c r="G588" i="12" s="1"/>
  <c r="BY586" i="6"/>
  <c r="BG586" i="6"/>
  <c r="D589" i="6"/>
  <c r="BW586" i="6"/>
  <c r="BH586" i="6"/>
  <c r="BZ586" i="6"/>
  <c r="CC586" i="6"/>
  <c r="L589" i="12"/>
  <c r="J589" i="12"/>
  <c r="BI586" i="6"/>
  <c r="CE586" i="6"/>
  <c r="CD586" i="6"/>
  <c r="BC586" i="6"/>
  <c r="BK586" i="6"/>
  <c r="A588" i="6" l="1"/>
  <c r="M588" i="6" s="1"/>
  <c r="BC588" i="6" s="1"/>
  <c r="M587" i="6"/>
  <c r="BN587" i="6" s="1"/>
  <c r="K589" i="12"/>
  <c r="D590" i="6"/>
  <c r="C591" i="5"/>
  <c r="H589" i="6"/>
  <c r="T589" i="5" s="1"/>
  <c r="G589" i="12" s="1"/>
  <c r="L590" i="12"/>
  <c r="J590" i="12"/>
  <c r="AF591" i="5"/>
  <c r="A589" i="6" l="1"/>
  <c r="N589" i="6" s="1"/>
  <c r="BY588" i="6"/>
  <c r="BD588" i="6"/>
  <c r="BV588" i="6"/>
  <c r="BF588" i="6"/>
  <c r="BL588" i="6"/>
  <c r="BW588" i="6"/>
  <c r="CJ588" i="6"/>
  <c r="BK588" i="6"/>
  <c r="CK588" i="6"/>
  <c r="CI588" i="6"/>
  <c r="BP588" i="6"/>
  <c r="CD588" i="6"/>
  <c r="CH588" i="6"/>
  <c r="BO588" i="6"/>
  <c r="CE588" i="6"/>
  <c r="CA588" i="6"/>
  <c r="BJ588" i="6"/>
  <c r="BH588" i="6"/>
  <c r="CB588" i="6"/>
  <c r="CG588" i="6"/>
  <c r="BZ588" i="6"/>
  <c r="BE588" i="6"/>
  <c r="CF588" i="6"/>
  <c r="BQ588" i="6"/>
  <c r="BI588" i="6"/>
  <c r="BG588" i="6"/>
  <c r="N588" i="6"/>
  <c r="BN588" i="6"/>
  <c r="BT588" i="6"/>
  <c r="BM588" i="6"/>
  <c r="CM588" i="6"/>
  <c r="BX588" i="6"/>
  <c r="BS588" i="6"/>
  <c r="CL588" i="6"/>
  <c r="CC588" i="6"/>
  <c r="BR588" i="6"/>
  <c r="CF587" i="6"/>
  <c r="BH587" i="6"/>
  <c r="CI587" i="6"/>
  <c r="BJ587" i="6"/>
  <c r="CM587" i="6"/>
  <c r="BZ587" i="6"/>
  <c r="BS587" i="6"/>
  <c r="BT587" i="6"/>
  <c r="BQ587" i="6"/>
  <c r="CD587" i="6"/>
  <c r="BO587" i="6"/>
  <c r="BL587" i="6"/>
  <c r="BP587" i="6"/>
  <c r="CE587" i="6"/>
  <c r="BY587" i="6"/>
  <c r="BM587" i="6"/>
  <c r="CL587" i="6"/>
  <c r="CH587" i="6"/>
  <c r="BE587" i="6"/>
  <c r="BG587" i="6"/>
  <c r="BI587" i="6"/>
  <c r="BD587" i="6"/>
  <c r="BV587" i="6"/>
  <c r="BR587" i="6"/>
  <c r="BW587" i="6"/>
  <c r="CC587" i="6"/>
  <c r="CJ587" i="6"/>
  <c r="BK587" i="6"/>
  <c r="BX587" i="6"/>
  <c r="CG587" i="6"/>
  <c r="BC587" i="6"/>
  <c r="BF587" i="6"/>
  <c r="CK587" i="6"/>
  <c r="CA587" i="6"/>
  <c r="CB587" i="6"/>
  <c r="S591" i="5"/>
  <c r="F591" i="12" s="1"/>
  <c r="AG591" i="5"/>
  <c r="K590" i="12"/>
  <c r="H590" i="6"/>
  <c r="T590" i="5" s="1"/>
  <c r="G590" i="12" s="1"/>
  <c r="A591" i="12"/>
  <c r="G591" i="5"/>
  <c r="W591" i="5"/>
  <c r="H591" i="12" s="1"/>
  <c r="F591" i="5"/>
  <c r="E591" i="5"/>
  <c r="B591" i="6"/>
  <c r="B591" i="5"/>
  <c r="AE591" i="5"/>
  <c r="N591" i="5"/>
  <c r="AD591" i="5"/>
  <c r="H591" i="5"/>
  <c r="C592" i="5"/>
  <c r="M589" i="6" l="1"/>
  <c r="CE589" i="6" s="1"/>
  <c r="A590" i="6"/>
  <c r="N590" i="6" s="1"/>
  <c r="U591" i="5"/>
  <c r="AN591" i="5" s="1"/>
  <c r="D591" i="6"/>
  <c r="E591" i="12"/>
  <c r="F591" i="6"/>
  <c r="A592" i="12"/>
  <c r="AE592" i="5"/>
  <c r="N592" i="5"/>
  <c r="AD592" i="5"/>
  <c r="K592" i="5"/>
  <c r="J592" i="5"/>
  <c r="C593" i="5"/>
  <c r="B592" i="6"/>
  <c r="H592" i="5"/>
  <c r="G592" i="5"/>
  <c r="F592" i="5"/>
  <c r="E592" i="5"/>
  <c r="D592" i="5"/>
  <c r="B592" i="12" s="1"/>
  <c r="B592" i="5"/>
  <c r="M590" i="6" l="1"/>
  <c r="CA590" i="6" s="1"/>
  <c r="BD589" i="6"/>
  <c r="CF589" i="6"/>
  <c r="CH589" i="6"/>
  <c r="BY589" i="6"/>
  <c r="CK589" i="6"/>
  <c r="CG589" i="6"/>
  <c r="BN589" i="6"/>
  <c r="BM589" i="6"/>
  <c r="CD589" i="6"/>
  <c r="BL589" i="6"/>
  <c r="CI589" i="6"/>
  <c r="BZ589" i="6"/>
  <c r="BG589" i="6"/>
  <c r="BF589" i="6"/>
  <c r="CL589" i="6"/>
  <c r="BC589" i="6"/>
  <c r="BV589" i="6"/>
  <c r="CC589" i="6"/>
  <c r="BR589" i="6"/>
  <c r="BK589" i="6"/>
  <c r="CB589" i="6"/>
  <c r="CA589" i="6"/>
  <c r="CM589" i="6"/>
  <c r="BI589" i="6"/>
  <c r="BE589" i="6"/>
  <c r="BW589" i="6"/>
  <c r="BO589" i="6"/>
  <c r="BJ589" i="6"/>
  <c r="BX589" i="6"/>
  <c r="BP589" i="6"/>
  <c r="BH589" i="6"/>
  <c r="BS589" i="6"/>
  <c r="BT589" i="6"/>
  <c r="CJ589" i="6"/>
  <c r="BQ589" i="6"/>
  <c r="A591" i="6"/>
  <c r="CI591" i="6"/>
  <c r="CH591" i="6"/>
  <c r="CG591" i="6"/>
  <c r="CF591" i="6"/>
  <c r="CM591" i="6"/>
  <c r="CL591" i="6"/>
  <c r="CJ591" i="6"/>
  <c r="CK591" i="6"/>
  <c r="BT591" i="6"/>
  <c r="BS591" i="6"/>
  <c r="BR591" i="6"/>
  <c r="BQ591" i="6"/>
  <c r="BP591" i="6"/>
  <c r="BO591" i="6"/>
  <c r="BN591" i="6"/>
  <c r="BM591" i="6"/>
  <c r="D592" i="6"/>
  <c r="G591" i="6"/>
  <c r="N591" i="6"/>
  <c r="M591" i="6"/>
  <c r="CB591" i="6" s="1"/>
  <c r="H591" i="6"/>
  <c r="T591" i="5" s="1"/>
  <c r="G591" i="12" s="1"/>
  <c r="L592" i="12"/>
  <c r="J592" i="12"/>
  <c r="A593" i="12"/>
  <c r="G593" i="5"/>
  <c r="F593" i="5"/>
  <c r="E593" i="5"/>
  <c r="D593" i="5"/>
  <c r="B593" i="12" s="1"/>
  <c r="B593" i="5"/>
  <c r="B593" i="6"/>
  <c r="AE593" i="5"/>
  <c r="N593" i="5"/>
  <c r="AD593" i="5"/>
  <c r="K593" i="5"/>
  <c r="J593" i="5"/>
  <c r="H593" i="5"/>
  <c r="C594" i="5"/>
  <c r="BC590" i="6" l="1"/>
  <c r="CJ590" i="6"/>
  <c r="BI590" i="6"/>
  <c r="BZ590" i="6"/>
  <c r="BW590" i="6"/>
  <c r="BV590" i="6"/>
  <c r="BT590" i="6"/>
  <c r="CK590" i="6"/>
  <c r="BE590" i="6"/>
  <c r="CC590" i="6"/>
  <c r="CI590" i="6"/>
  <c r="CM590" i="6"/>
  <c r="CD590" i="6"/>
  <c r="BF590" i="6"/>
  <c r="BM590" i="6"/>
  <c r="BQ590" i="6"/>
  <c r="BO590" i="6"/>
  <c r="BN590" i="6"/>
  <c r="BJ590" i="6"/>
  <c r="CG590" i="6"/>
  <c r="BS590" i="6"/>
  <c r="BR590" i="6"/>
  <c r="CB590" i="6"/>
  <c r="CF590" i="6"/>
  <c r="CL590" i="6"/>
  <c r="BY590" i="6"/>
  <c r="BH590" i="6"/>
  <c r="BX590" i="6"/>
  <c r="CE590" i="6"/>
  <c r="BL590" i="6"/>
  <c r="BK590" i="6"/>
  <c r="BG590" i="6"/>
  <c r="BD590" i="6"/>
  <c r="BP590" i="6"/>
  <c r="CH590" i="6"/>
  <c r="BA591" i="6"/>
  <c r="AT591" i="6"/>
  <c r="AZ591" i="6"/>
  <c r="AW591" i="6"/>
  <c r="AU591" i="6"/>
  <c r="AV591" i="6"/>
  <c r="AX591" i="6"/>
  <c r="A592" i="6"/>
  <c r="N592" i="6" s="1"/>
  <c r="AY591" i="6"/>
  <c r="K592" i="12"/>
  <c r="BZ591" i="6"/>
  <c r="BJ591" i="6"/>
  <c r="BL591" i="6"/>
  <c r="BC591" i="6"/>
  <c r="BY591" i="6"/>
  <c r="CA591" i="6"/>
  <c r="BV591" i="6"/>
  <c r="BX591" i="6"/>
  <c r="BD591" i="6"/>
  <c r="CD591" i="6"/>
  <c r="CC591" i="6"/>
  <c r="BK591" i="6"/>
  <c r="BE591" i="6"/>
  <c r="CE591" i="6"/>
  <c r="BF591" i="6"/>
  <c r="BW591" i="6"/>
  <c r="BI591" i="6"/>
  <c r="AN591" i="6"/>
  <c r="AO591" i="6"/>
  <c r="AQ591" i="6"/>
  <c r="AJ591" i="6"/>
  <c r="D593" i="6"/>
  <c r="J593" i="12"/>
  <c r="L593" i="12"/>
  <c r="AS591" i="6"/>
  <c r="AK591" i="6"/>
  <c r="AP591" i="6"/>
  <c r="AR591" i="6"/>
  <c r="AL591" i="6"/>
  <c r="H592" i="6"/>
  <c r="T592" i="5" s="1"/>
  <c r="G592" i="12" s="1"/>
  <c r="B594" i="6"/>
  <c r="A594" i="12"/>
  <c r="AE594" i="5"/>
  <c r="N594" i="5"/>
  <c r="AD594" i="5"/>
  <c r="K594" i="5"/>
  <c r="J594" i="5"/>
  <c r="H594" i="5"/>
  <c r="G594" i="5"/>
  <c r="F594" i="5"/>
  <c r="E594" i="5"/>
  <c r="D594" i="5"/>
  <c r="B594" i="12" s="1"/>
  <c r="B594" i="5"/>
  <c r="BH591" i="6"/>
  <c r="BG591" i="6"/>
  <c r="AM591" i="6"/>
  <c r="M592" i="6" l="1"/>
  <c r="BX592" i="6" s="1"/>
  <c r="A593" i="6"/>
  <c r="N593" i="6" s="1"/>
  <c r="H593" i="6"/>
  <c r="T593" i="5" s="1"/>
  <c r="G593" i="12" s="1"/>
  <c r="D594" i="6"/>
  <c r="L594" i="12"/>
  <c r="J594" i="12"/>
  <c r="K593" i="12"/>
  <c r="C595" i="5"/>
  <c r="AF595" i="5"/>
  <c r="BK592" i="6" l="1"/>
  <c r="BQ592" i="6"/>
  <c r="BE592" i="6"/>
  <c r="BP592" i="6"/>
  <c r="CC592" i="6"/>
  <c r="BL592" i="6"/>
  <c r="CJ592" i="6"/>
  <c r="BO592" i="6"/>
  <c r="CD592" i="6"/>
  <c r="CK592" i="6"/>
  <c r="BF592" i="6"/>
  <c r="BI592" i="6"/>
  <c r="BW592" i="6"/>
  <c r="CI592" i="6"/>
  <c r="BH592" i="6"/>
  <c r="CB592" i="6"/>
  <c r="BT592" i="6"/>
  <c r="CH592" i="6"/>
  <c r="CL592" i="6"/>
  <c r="CA592" i="6"/>
  <c r="CG592" i="6"/>
  <c r="CF592" i="6"/>
  <c r="BV592" i="6"/>
  <c r="BY592" i="6"/>
  <c r="BS592" i="6"/>
  <c r="BD592" i="6"/>
  <c r="BZ592" i="6"/>
  <c r="CM592" i="6"/>
  <c r="BN592" i="6"/>
  <c r="BC592" i="6"/>
  <c r="BJ592" i="6"/>
  <c r="BG592" i="6"/>
  <c r="CE592" i="6"/>
  <c r="BR592" i="6"/>
  <c r="BM592" i="6"/>
  <c r="M593" i="6"/>
  <c r="CL593" i="6" s="1"/>
  <c r="A594" i="6"/>
  <c r="N594" i="6" s="1"/>
  <c r="K594" i="12"/>
  <c r="S595" i="5"/>
  <c r="F595" i="12" s="1"/>
  <c r="AG595" i="5"/>
  <c r="I591" i="5"/>
  <c r="A595" i="12"/>
  <c r="B595" i="6"/>
  <c r="AE595" i="5"/>
  <c r="N595" i="5"/>
  <c r="AD595" i="5"/>
  <c r="C596" i="5"/>
  <c r="H595" i="5"/>
  <c r="G595" i="5"/>
  <c r="W595" i="5"/>
  <c r="H595" i="12" s="1"/>
  <c r="F595" i="5"/>
  <c r="E595" i="5"/>
  <c r="B595" i="5"/>
  <c r="H594" i="6"/>
  <c r="T594" i="5" s="1"/>
  <c r="G594" i="12" s="1"/>
  <c r="BD593" i="6" l="1"/>
  <c r="CG593" i="6"/>
  <c r="BR593" i="6"/>
  <c r="CF593" i="6"/>
  <c r="BL593" i="6"/>
  <c r="BY593" i="6"/>
  <c r="BP593" i="6"/>
  <c r="CE593" i="6"/>
  <c r="CC593" i="6"/>
  <c r="BG593" i="6"/>
  <c r="BO593" i="6"/>
  <c r="BN593" i="6"/>
  <c r="BC593" i="6"/>
  <c r="CJ593" i="6"/>
  <c r="BT593" i="6"/>
  <c r="BE593" i="6"/>
  <c r="BQ593" i="6"/>
  <c r="BH593" i="6"/>
  <c r="BK593" i="6"/>
  <c r="CB593" i="6"/>
  <c r="BS593" i="6"/>
  <c r="BM593" i="6"/>
  <c r="BX593" i="6"/>
  <c r="BF593" i="6"/>
  <c r="BI593" i="6"/>
  <c r="CI593" i="6"/>
  <c r="CM593" i="6"/>
  <c r="BJ593" i="6"/>
  <c r="BW593" i="6"/>
  <c r="CD593" i="6"/>
  <c r="BZ593" i="6"/>
  <c r="BV593" i="6"/>
  <c r="CH593" i="6"/>
  <c r="M594" i="6"/>
  <c r="BK594" i="6" s="1"/>
  <c r="CA593" i="6"/>
  <c r="CK593" i="6"/>
  <c r="U595" i="5"/>
  <c r="AN595" i="5" s="1"/>
  <c r="F595" i="6"/>
  <c r="E595" i="12"/>
  <c r="A596" i="12"/>
  <c r="B596" i="6"/>
  <c r="G596" i="5"/>
  <c r="F596" i="5"/>
  <c r="E596" i="5"/>
  <c r="D596" i="5"/>
  <c r="B596" i="12" s="1"/>
  <c r="B596" i="5"/>
  <c r="AE596" i="5"/>
  <c r="N596" i="5"/>
  <c r="AD596" i="5"/>
  <c r="K596" i="5"/>
  <c r="J596" i="5"/>
  <c r="H596" i="5"/>
  <c r="C597" i="5"/>
  <c r="D595" i="6"/>
  <c r="CC594" i="6" l="1"/>
  <c r="BJ594" i="6"/>
  <c r="CB594" i="6"/>
  <c r="BI594" i="6"/>
  <c r="BN594" i="6"/>
  <c r="BH594" i="6"/>
  <c r="BO594" i="6"/>
  <c r="BP594" i="6"/>
  <c r="BM594" i="6"/>
  <c r="CI594" i="6"/>
  <c r="BG594" i="6"/>
  <c r="CA594" i="6"/>
  <c r="BL594" i="6"/>
  <c r="BT594" i="6"/>
  <c r="CM594" i="6"/>
  <c r="CF594" i="6"/>
  <c r="BE594" i="6"/>
  <c r="BC594" i="6"/>
  <c r="BS594" i="6"/>
  <c r="CL594" i="6"/>
  <c r="CG594" i="6"/>
  <c r="BF594" i="6"/>
  <c r="BD594" i="6"/>
  <c r="BV594" i="6"/>
  <c r="BR594" i="6"/>
  <c r="CJ594" i="6"/>
  <c r="BX594" i="6"/>
  <c r="CH594" i="6"/>
  <c r="BW594" i="6"/>
  <c r="CE594" i="6"/>
  <c r="BY594" i="6"/>
  <c r="CD594" i="6"/>
  <c r="BZ594" i="6"/>
  <c r="BQ594" i="6"/>
  <c r="CK594" i="6"/>
  <c r="A595" i="6"/>
  <c r="CM595" i="6"/>
  <c r="CL595" i="6"/>
  <c r="CK595" i="6"/>
  <c r="CJ595" i="6"/>
  <c r="CI595" i="6"/>
  <c r="CH595" i="6"/>
  <c r="CG595" i="6"/>
  <c r="CF595" i="6"/>
  <c r="BN595" i="6"/>
  <c r="BM595" i="6"/>
  <c r="BT595" i="6"/>
  <c r="BS595" i="6"/>
  <c r="BR595" i="6"/>
  <c r="BQ595" i="6"/>
  <c r="BP595" i="6"/>
  <c r="BO595" i="6"/>
  <c r="D596" i="6"/>
  <c r="L596" i="12"/>
  <c r="J596" i="12"/>
  <c r="B597" i="6"/>
  <c r="A597" i="12"/>
  <c r="AE597" i="5"/>
  <c r="N597" i="5"/>
  <c r="AD597" i="5"/>
  <c r="K597" i="5"/>
  <c r="J597" i="5"/>
  <c r="C598" i="5"/>
  <c r="H597" i="5"/>
  <c r="G597" i="5"/>
  <c r="F597" i="5"/>
  <c r="E597" i="5"/>
  <c r="D597" i="5"/>
  <c r="B597" i="12" s="1"/>
  <c r="B597" i="5"/>
  <c r="M595" i="6"/>
  <c r="CA595" i="6" s="1"/>
  <c r="H595" i="6"/>
  <c r="T595" i="5" s="1"/>
  <c r="G595" i="12" s="1"/>
  <c r="G595" i="6"/>
  <c r="N595" i="6"/>
  <c r="AU595" i="6" l="1"/>
  <c r="AV595" i="6"/>
  <c r="AW595" i="6"/>
  <c r="AX595" i="6"/>
  <c r="AZ595" i="6"/>
  <c r="AY595" i="6"/>
  <c r="BA595" i="6"/>
  <c r="A596" i="6"/>
  <c r="M596" i="6" s="1"/>
  <c r="BV596" i="6" s="1"/>
  <c r="AT595" i="6"/>
  <c r="BJ595" i="6"/>
  <c r="AS595" i="6"/>
  <c r="AN595" i="6"/>
  <c r="AM595" i="6"/>
  <c r="BI595" i="6"/>
  <c r="BG595" i="6"/>
  <c r="CB595" i="6"/>
  <c r="A598" i="12"/>
  <c r="G598" i="5"/>
  <c r="F598" i="5"/>
  <c r="E598" i="5"/>
  <c r="D598" i="5"/>
  <c r="B598" i="12" s="1"/>
  <c r="B598" i="5"/>
  <c r="AE598" i="5"/>
  <c r="N598" i="5"/>
  <c r="AD598" i="5"/>
  <c r="K598" i="5"/>
  <c r="J598" i="5"/>
  <c r="B598" i="6"/>
  <c r="H598" i="5"/>
  <c r="C599" i="5"/>
  <c r="AO595" i="6"/>
  <c r="BW595" i="6"/>
  <c r="K596" i="12"/>
  <c r="BD595" i="6"/>
  <c r="CE595" i="6"/>
  <c r="BC595" i="6"/>
  <c r="BH595" i="6"/>
  <c r="AP595" i="6"/>
  <c r="BX595" i="6"/>
  <c r="BK595" i="6"/>
  <c r="AJ595" i="6"/>
  <c r="D597" i="6"/>
  <c r="BY595" i="6"/>
  <c r="AQ595" i="6"/>
  <c r="BE595" i="6"/>
  <c r="H596" i="6"/>
  <c r="T596" i="5" s="1"/>
  <c r="G596" i="12" s="1"/>
  <c r="CC595" i="6"/>
  <c r="BL595" i="6"/>
  <c r="BZ595" i="6"/>
  <c r="L597" i="12"/>
  <c r="J597" i="12"/>
  <c r="AK595" i="6"/>
  <c r="CD595" i="6"/>
  <c r="AR595" i="6"/>
  <c r="BF595" i="6"/>
  <c r="AL595" i="6"/>
  <c r="BV595" i="6"/>
  <c r="N596" i="6" l="1"/>
  <c r="CG596" i="6"/>
  <c r="CF596" i="6"/>
  <c r="CH596" i="6"/>
  <c r="CI596" i="6"/>
  <c r="BS596" i="6"/>
  <c r="CJ596" i="6"/>
  <c r="BT596" i="6"/>
  <c r="CK596" i="6"/>
  <c r="BM596" i="6"/>
  <c r="CL596" i="6"/>
  <c r="BN596" i="6"/>
  <c r="CM596" i="6"/>
  <c r="BO596" i="6"/>
  <c r="BP596" i="6"/>
  <c r="A597" i="6"/>
  <c r="M597" i="6" s="1"/>
  <c r="CD597" i="6" s="1"/>
  <c r="BQ596" i="6"/>
  <c r="BR596" i="6"/>
  <c r="BY596" i="6"/>
  <c r="BZ596" i="6"/>
  <c r="CB596" i="6"/>
  <c r="BH596" i="6"/>
  <c r="CC596" i="6"/>
  <c r="BW596" i="6"/>
  <c r="BI596" i="6"/>
  <c r="CD596" i="6"/>
  <c r="BC596" i="6"/>
  <c r="BJ596" i="6"/>
  <c r="CE596" i="6"/>
  <c r="BX596" i="6"/>
  <c r="BF596" i="6"/>
  <c r="BD596" i="6"/>
  <c r="CA596" i="6"/>
  <c r="BK596" i="6"/>
  <c r="BE596" i="6"/>
  <c r="BL596" i="6"/>
  <c r="BG596" i="6"/>
  <c r="J598" i="12"/>
  <c r="L598" i="12"/>
  <c r="D598" i="6"/>
  <c r="H597" i="6"/>
  <c r="T597" i="5" s="1"/>
  <c r="G597" i="12" s="1"/>
  <c r="K597" i="12"/>
  <c r="B599" i="6"/>
  <c r="A599" i="12"/>
  <c r="AE599" i="5"/>
  <c r="N599" i="5"/>
  <c r="AD599" i="5"/>
  <c r="K599" i="5"/>
  <c r="J599" i="5"/>
  <c r="C600" i="5"/>
  <c r="H599" i="5"/>
  <c r="G599" i="5"/>
  <c r="F599" i="5"/>
  <c r="E599" i="5"/>
  <c r="D599" i="5"/>
  <c r="B599" i="12" s="1"/>
  <c r="B599" i="5"/>
  <c r="N597" i="6" l="1"/>
  <c r="CM597" i="6"/>
  <c r="BM597" i="6"/>
  <c r="CF597" i="6"/>
  <c r="BN597" i="6"/>
  <c r="CG597" i="6"/>
  <c r="BO597" i="6"/>
  <c r="CH597" i="6"/>
  <c r="BP597" i="6"/>
  <c r="CI597" i="6"/>
  <c r="BQ597" i="6"/>
  <c r="BR597" i="6"/>
  <c r="BS597" i="6"/>
  <c r="BT597" i="6"/>
  <c r="CK597" i="6"/>
  <c r="A598" i="6"/>
  <c r="N598" i="6" s="1"/>
  <c r="CJ597" i="6"/>
  <c r="CL597" i="6"/>
  <c r="BW597" i="6"/>
  <c r="BF597" i="6"/>
  <c r="CA597" i="6"/>
  <c r="CB597" i="6"/>
  <c r="BJ597" i="6"/>
  <c r="BX597" i="6"/>
  <c r="CE597" i="6"/>
  <c r="I595" i="5"/>
  <c r="D599" i="6"/>
  <c r="BC597" i="6"/>
  <c r="BG597" i="6"/>
  <c r="BD597" i="6"/>
  <c r="BH597" i="6"/>
  <c r="H598" i="6"/>
  <c r="T598" i="5" s="1"/>
  <c r="G598" i="12" s="1"/>
  <c r="BL597" i="6"/>
  <c r="BY597" i="6"/>
  <c r="CC597" i="6"/>
  <c r="K598" i="12"/>
  <c r="L599" i="12"/>
  <c r="J599" i="12"/>
  <c r="A600" i="12"/>
  <c r="B600" i="6"/>
  <c r="G600" i="5"/>
  <c r="F600" i="5"/>
  <c r="E600" i="5"/>
  <c r="D600" i="5"/>
  <c r="B600" i="12" s="1"/>
  <c r="B600" i="5"/>
  <c r="AE600" i="5"/>
  <c r="N600" i="5"/>
  <c r="AD600" i="5"/>
  <c r="K600" i="5"/>
  <c r="J600" i="5"/>
  <c r="H600" i="5"/>
  <c r="C601" i="5"/>
  <c r="BK597" i="6"/>
  <c r="BE597" i="6"/>
  <c r="BI597" i="6"/>
  <c r="BV597" i="6"/>
  <c r="BZ597" i="6"/>
  <c r="M598" i="6" l="1"/>
  <c r="CK598" i="6" s="1"/>
  <c r="A599" i="6"/>
  <c r="N599" i="6" s="1"/>
  <c r="K599" i="12"/>
  <c r="D600" i="6"/>
  <c r="L600" i="12"/>
  <c r="J600" i="12"/>
  <c r="A601" i="12"/>
  <c r="AE601" i="5"/>
  <c r="N601" i="5"/>
  <c r="B601" i="6"/>
  <c r="AD601" i="5"/>
  <c r="K601" i="5"/>
  <c r="J601" i="5"/>
  <c r="C602" i="5"/>
  <c r="H601" i="5"/>
  <c r="G601" i="5"/>
  <c r="F601" i="5"/>
  <c r="E601" i="5"/>
  <c r="D601" i="5"/>
  <c r="B601" i="12" s="1"/>
  <c r="B601" i="5"/>
  <c r="H599" i="6"/>
  <c r="T599" i="5" s="1"/>
  <c r="G599" i="12" s="1"/>
  <c r="CA598" i="6" l="1"/>
  <c r="BZ598" i="6"/>
  <c r="CF598" i="6"/>
  <c r="BN598" i="6"/>
  <c r="BW598" i="6"/>
  <c r="BM598" i="6"/>
  <c r="BC598" i="6"/>
  <c r="BF598" i="6"/>
  <c r="BV598" i="6"/>
  <c r="BS598" i="6"/>
  <c r="BX598" i="6"/>
  <c r="CE598" i="6"/>
  <c r="BT598" i="6"/>
  <c r="BY598" i="6"/>
  <c r="BL598" i="6"/>
  <c r="BD598" i="6"/>
  <c r="CB598" i="6"/>
  <c r="BR598" i="6"/>
  <c r="CG598" i="6"/>
  <c r="CJ598" i="6"/>
  <c r="BQ598" i="6"/>
  <c r="BH598" i="6"/>
  <c r="CC598" i="6"/>
  <c r="BE598" i="6"/>
  <c r="BO598" i="6"/>
  <c r="BP598" i="6"/>
  <c r="CD598" i="6"/>
  <c r="BK598" i="6"/>
  <c r="M599" i="6"/>
  <c r="BL599" i="6" s="1"/>
  <c r="BJ598" i="6"/>
  <c r="CI598" i="6"/>
  <c r="CM598" i="6"/>
  <c r="BI598" i="6"/>
  <c r="CH598" i="6"/>
  <c r="BG598" i="6"/>
  <c r="CL598" i="6"/>
  <c r="A600" i="6"/>
  <c r="N600" i="6" s="1"/>
  <c r="D601" i="6"/>
  <c r="K600" i="12"/>
  <c r="L601" i="12"/>
  <c r="J601" i="12"/>
  <c r="H600" i="6"/>
  <c r="T600" i="5" s="1"/>
  <c r="G600" i="12" s="1"/>
  <c r="A602" i="12"/>
  <c r="B602" i="6"/>
  <c r="G602" i="5"/>
  <c r="F602" i="5"/>
  <c r="E602" i="5"/>
  <c r="D602" i="5"/>
  <c r="B602" i="12" s="1"/>
  <c r="B602" i="5"/>
  <c r="AE602" i="5"/>
  <c r="N602" i="5"/>
  <c r="AD602" i="5"/>
  <c r="K602" i="5"/>
  <c r="J602" i="5"/>
  <c r="H602" i="5"/>
  <c r="C603" i="5"/>
  <c r="CC599" i="6" l="1"/>
  <c r="CK599" i="6"/>
  <c r="CE599" i="6"/>
  <c r="BE599" i="6"/>
  <c r="CA599" i="6"/>
  <c r="BV599" i="6"/>
  <c r="CD599" i="6"/>
  <c r="CJ599" i="6"/>
  <c r="BJ599" i="6"/>
  <c r="BF599" i="6"/>
  <c r="BI599" i="6"/>
  <c r="BS599" i="6"/>
  <c r="BZ599" i="6"/>
  <c r="BC599" i="6"/>
  <c r="CI599" i="6"/>
  <c r="BH599" i="6"/>
  <c r="BY599" i="6"/>
  <c r="CH599" i="6"/>
  <c r="BT599" i="6"/>
  <c r="M600" i="6"/>
  <c r="CE600" i="6" s="1"/>
  <c r="CF599" i="6"/>
  <c r="BW599" i="6"/>
  <c r="CM599" i="6"/>
  <c r="CG599" i="6"/>
  <c r="CB599" i="6"/>
  <c r="BG599" i="6"/>
  <c r="BN599" i="6"/>
  <c r="BR599" i="6"/>
  <c r="BD599" i="6"/>
  <c r="BO599" i="6"/>
  <c r="BX599" i="6"/>
  <c r="CL599" i="6"/>
  <c r="BQ599" i="6"/>
  <c r="BK599" i="6"/>
  <c r="BM599" i="6"/>
  <c r="BP599" i="6"/>
  <c r="A601" i="6"/>
  <c r="N601" i="6" s="1"/>
  <c r="B603" i="6"/>
  <c r="A603" i="12"/>
  <c r="AE603" i="5"/>
  <c r="N603" i="5"/>
  <c r="AD603" i="5"/>
  <c r="K603" i="5"/>
  <c r="J603" i="5"/>
  <c r="H603" i="5"/>
  <c r="G603" i="5"/>
  <c r="F603" i="5"/>
  <c r="E603" i="5"/>
  <c r="D603" i="5"/>
  <c r="B603" i="12" s="1"/>
  <c r="B603" i="5"/>
  <c r="H601" i="6"/>
  <c r="T601" i="5" s="1"/>
  <c r="G601" i="12" s="1"/>
  <c r="K601" i="12"/>
  <c r="D602" i="6"/>
  <c r="L602" i="12"/>
  <c r="J602" i="12"/>
  <c r="M601" i="6" l="1"/>
  <c r="BX601" i="6" s="1"/>
  <c r="BK600" i="6"/>
  <c r="CI600" i="6"/>
  <c r="BP600" i="6"/>
  <c r="CH600" i="6"/>
  <c r="BL600" i="6"/>
  <c r="BO600" i="6"/>
  <c r="BG600" i="6"/>
  <c r="CF600" i="6"/>
  <c r="BE600" i="6"/>
  <c r="CD600" i="6"/>
  <c r="BJ600" i="6"/>
  <c r="BY600" i="6"/>
  <c r="BD600" i="6"/>
  <c r="BW600" i="6"/>
  <c r="BI600" i="6"/>
  <c r="BF600" i="6"/>
  <c r="BC600" i="6"/>
  <c r="CK600" i="6"/>
  <c r="CM600" i="6"/>
  <c r="BX600" i="6"/>
  <c r="CC600" i="6"/>
  <c r="BT600" i="6"/>
  <c r="CL600" i="6"/>
  <c r="BZ600" i="6"/>
  <c r="CA600" i="6"/>
  <c r="BV600" i="6"/>
  <c r="BS600" i="6"/>
  <c r="CJ600" i="6"/>
  <c r="CG600" i="6"/>
  <c r="CB600" i="6"/>
  <c r="BR600" i="6"/>
  <c r="BN600" i="6"/>
  <c r="BH600" i="6"/>
  <c r="BQ600" i="6"/>
  <c r="BM600" i="6"/>
  <c r="A602" i="6"/>
  <c r="M602" i="6" s="1"/>
  <c r="BJ602" i="6" s="1"/>
  <c r="K602" i="12"/>
  <c r="C604" i="5"/>
  <c r="D603" i="6"/>
  <c r="H602" i="6"/>
  <c r="T602" i="5" s="1"/>
  <c r="G602" i="12" s="1"/>
  <c r="L603" i="12"/>
  <c r="J603" i="12"/>
  <c r="AF604" i="5"/>
  <c r="CA601" i="6" l="1"/>
  <c r="CD601" i="6"/>
  <c r="BF601" i="6"/>
  <c r="CF601" i="6"/>
  <c r="BY601" i="6"/>
  <c r="CB601" i="6"/>
  <c r="BD601" i="6"/>
  <c r="BZ601" i="6"/>
  <c r="BE601" i="6"/>
  <c r="CC601" i="6"/>
  <c r="BW601" i="6"/>
  <c r="BH601" i="6"/>
  <c r="BG601" i="6"/>
  <c r="BC601" i="6"/>
  <c r="BL601" i="6"/>
  <c r="BN601" i="6"/>
  <c r="CE601" i="6"/>
  <c r="BK601" i="6"/>
  <c r="BM601" i="6"/>
  <c r="BI601" i="6"/>
  <c r="BV601" i="6"/>
  <c r="BJ601" i="6"/>
  <c r="BT601" i="6"/>
  <c r="BS601" i="6"/>
  <c r="CM601" i="6"/>
  <c r="BR601" i="6"/>
  <c r="CL601" i="6"/>
  <c r="BQ601" i="6"/>
  <c r="CK601" i="6"/>
  <c r="CJ601" i="6"/>
  <c r="CI601" i="6"/>
  <c r="BP601" i="6"/>
  <c r="CH601" i="6"/>
  <c r="BO601" i="6"/>
  <c r="CG601" i="6"/>
  <c r="N602" i="6"/>
  <c r="BP602" i="6"/>
  <c r="BO602" i="6"/>
  <c r="BQ602" i="6"/>
  <c r="BR602" i="6"/>
  <c r="CG602" i="6"/>
  <c r="CF602" i="6"/>
  <c r="CH602" i="6"/>
  <c r="CI602" i="6"/>
  <c r="BS602" i="6"/>
  <c r="CJ602" i="6"/>
  <c r="BT602" i="6"/>
  <c r="CK602" i="6"/>
  <c r="A603" i="6"/>
  <c r="M603" i="6" s="1"/>
  <c r="BM602" i="6"/>
  <c r="CL602" i="6"/>
  <c r="BN602" i="6"/>
  <c r="CM602" i="6"/>
  <c r="K603" i="12"/>
  <c r="CA602" i="6"/>
  <c r="BD602" i="6"/>
  <c r="BI602" i="6"/>
  <c r="CE602" i="6"/>
  <c r="BC602" i="6"/>
  <c r="BG602" i="6"/>
  <c r="BH602" i="6"/>
  <c r="BE602" i="6"/>
  <c r="BK602" i="6"/>
  <c r="S604" i="5"/>
  <c r="F604" i="12" s="1"/>
  <c r="AG604" i="5"/>
  <c r="BY602" i="6"/>
  <c r="CB602" i="6"/>
  <c r="H603" i="6"/>
  <c r="T603" i="5" s="1"/>
  <c r="G603" i="12" s="1"/>
  <c r="BL602" i="6"/>
  <c r="BX602" i="6"/>
  <c r="CC602" i="6"/>
  <c r="AD604" i="5"/>
  <c r="G604" i="5"/>
  <c r="H604" i="5"/>
  <c r="F604" i="5"/>
  <c r="B604" i="5"/>
  <c r="B604" i="6"/>
  <c r="W604" i="5"/>
  <c r="H604" i="12" s="1"/>
  <c r="N604" i="5"/>
  <c r="C605" i="5"/>
  <c r="AE604" i="5"/>
  <c r="E604" i="5"/>
  <c r="A604" i="12"/>
  <c r="BV602" i="6"/>
  <c r="BZ602" i="6"/>
  <c r="CD602" i="6"/>
  <c r="BW602" i="6"/>
  <c r="BF602" i="6"/>
  <c r="N603" i="6" l="1"/>
  <c r="BI603" i="6"/>
  <c r="CM603" i="6"/>
  <c r="CL603" i="6"/>
  <c r="CJ603" i="6"/>
  <c r="CK603" i="6"/>
  <c r="BT603" i="6"/>
  <c r="BS603" i="6"/>
  <c r="BR603" i="6"/>
  <c r="BQ603" i="6"/>
  <c r="CI603" i="6"/>
  <c r="BP603" i="6"/>
  <c r="CH603" i="6"/>
  <c r="BO603" i="6"/>
  <c r="CG603" i="6"/>
  <c r="BN603" i="6"/>
  <c r="CF603" i="6"/>
  <c r="BM603" i="6"/>
  <c r="U604" i="5"/>
  <c r="AN604" i="5" s="1"/>
  <c r="BX603" i="6"/>
  <c r="BG603" i="6"/>
  <c r="CA603" i="6"/>
  <c r="CB603" i="6"/>
  <c r="BV603" i="6"/>
  <c r="CD603" i="6"/>
  <c r="BW603" i="6"/>
  <c r="BC603" i="6"/>
  <c r="BZ603" i="6"/>
  <c r="BF603" i="6"/>
  <c r="D604" i="6"/>
  <c r="BJ603" i="6"/>
  <c r="CE603" i="6"/>
  <c r="E604" i="12"/>
  <c r="F604" i="6"/>
  <c r="BL603" i="6"/>
  <c r="BD603" i="6"/>
  <c r="BH603" i="6"/>
  <c r="BK603" i="6"/>
  <c r="BY603" i="6"/>
  <c r="CC603" i="6"/>
  <c r="N605" i="5"/>
  <c r="A605" i="12"/>
  <c r="B605" i="6"/>
  <c r="F605" i="5"/>
  <c r="J605" i="5"/>
  <c r="AE605" i="5"/>
  <c r="B605" i="5"/>
  <c r="G605" i="5"/>
  <c r="E605" i="5"/>
  <c r="AD605" i="5"/>
  <c r="K605" i="5"/>
  <c r="D605" i="5"/>
  <c r="B605" i="12" s="1"/>
  <c r="H605" i="5"/>
  <c r="C606" i="5"/>
  <c r="BE603" i="6"/>
  <c r="A604" i="6" l="1"/>
  <c r="CM604" i="6"/>
  <c r="CL604" i="6"/>
  <c r="CK604" i="6"/>
  <c r="CJ604" i="6"/>
  <c r="CI604" i="6"/>
  <c r="CH604" i="6"/>
  <c r="CG604" i="6"/>
  <c r="CF604" i="6"/>
  <c r="BN604" i="6"/>
  <c r="BM604" i="6"/>
  <c r="BT604" i="6"/>
  <c r="BS604" i="6"/>
  <c r="BR604" i="6"/>
  <c r="BQ604" i="6"/>
  <c r="BP604" i="6"/>
  <c r="BO604" i="6"/>
  <c r="H606" i="5"/>
  <c r="N606" i="5"/>
  <c r="J606" i="5"/>
  <c r="K606" i="5"/>
  <c r="F606" i="5"/>
  <c r="G606" i="5"/>
  <c r="E606" i="5"/>
  <c r="B606" i="5"/>
  <c r="AE606" i="5"/>
  <c r="D606" i="5"/>
  <c r="B606" i="12" s="1"/>
  <c r="A606" i="12"/>
  <c r="B606" i="6"/>
  <c r="AD606" i="5"/>
  <c r="L605" i="12"/>
  <c r="J605" i="12"/>
  <c r="H604" i="6"/>
  <c r="T604" i="5" s="1"/>
  <c r="G604" i="12" s="1"/>
  <c r="G604" i="6"/>
  <c r="N604" i="6"/>
  <c r="M604" i="6"/>
  <c r="BG604" i="6" s="1"/>
  <c r="D605" i="6"/>
  <c r="AV604" i="6" l="1"/>
  <c r="AU604" i="6"/>
  <c r="AW604" i="6"/>
  <c r="A605" i="6"/>
  <c r="N605" i="6" s="1"/>
  <c r="BA604" i="6"/>
  <c r="AX604" i="6"/>
  <c r="AZ604" i="6"/>
  <c r="AY604" i="6"/>
  <c r="AT604" i="6"/>
  <c r="BJ604" i="6"/>
  <c r="BZ604" i="6"/>
  <c r="BV604" i="6"/>
  <c r="CC604" i="6"/>
  <c r="BH604" i="6"/>
  <c r="K605" i="12"/>
  <c r="BF604" i="6"/>
  <c r="AM604" i="6"/>
  <c r="AO604" i="6"/>
  <c r="CB604" i="6"/>
  <c r="BL604" i="6"/>
  <c r="BE604" i="6"/>
  <c r="BX604" i="6"/>
  <c r="BK604" i="6"/>
  <c r="AL604" i="6"/>
  <c r="AK604" i="6"/>
  <c r="BI604" i="6"/>
  <c r="CA604" i="6"/>
  <c r="BY604" i="6"/>
  <c r="BW604" i="6"/>
  <c r="CE604" i="6"/>
  <c r="BC604" i="6"/>
  <c r="BD604" i="6"/>
  <c r="AS604" i="6"/>
  <c r="L606" i="12"/>
  <c r="J606" i="12"/>
  <c r="D606" i="6"/>
  <c r="AN604" i="6"/>
  <c r="AQ604" i="6"/>
  <c r="CD604" i="6"/>
  <c r="H605" i="6"/>
  <c r="T605" i="5" s="1"/>
  <c r="G605" i="12" s="1"/>
  <c r="AP604" i="6"/>
  <c r="AJ604" i="6"/>
  <c r="AR604" i="6"/>
  <c r="M605" i="6" l="1"/>
  <c r="BK605" i="6" s="1"/>
  <c r="A606" i="6"/>
  <c r="N606" i="6" s="1"/>
  <c r="K606" i="12"/>
  <c r="H606" i="6"/>
  <c r="T606" i="5" s="1"/>
  <c r="G606" i="12" s="1"/>
  <c r="C607" i="5"/>
  <c r="AF607" i="5"/>
  <c r="M606" i="6" l="1"/>
  <c r="BV606" i="6" s="1"/>
  <c r="CL605" i="6"/>
  <c r="BI605" i="6"/>
  <c r="BL605" i="6"/>
  <c r="BT605" i="6"/>
  <c r="BX605" i="6"/>
  <c r="CD605" i="6"/>
  <c r="CK605" i="6"/>
  <c r="BE605" i="6"/>
  <c r="CC605" i="6"/>
  <c r="BS605" i="6"/>
  <c r="BW605" i="6"/>
  <c r="CI605" i="6"/>
  <c r="BZ605" i="6"/>
  <c r="BF605" i="6"/>
  <c r="BH605" i="6"/>
  <c r="CE605" i="6"/>
  <c r="CH605" i="6"/>
  <c r="BG605" i="6"/>
  <c r="BV605" i="6"/>
  <c r="CF605" i="6"/>
  <c r="BD605" i="6"/>
  <c r="CJ605" i="6"/>
  <c r="CG605" i="6"/>
  <c r="BO605" i="6"/>
  <c r="BY605" i="6"/>
  <c r="BN605" i="6"/>
  <c r="BR605" i="6"/>
  <c r="BJ605" i="6"/>
  <c r="CM605" i="6"/>
  <c r="BQ605" i="6"/>
  <c r="BC605" i="6"/>
  <c r="CA605" i="6"/>
  <c r="CB605" i="6"/>
  <c r="BM605" i="6"/>
  <c r="BP605" i="6"/>
  <c r="I604" i="5"/>
  <c r="AG607" i="5"/>
  <c r="S607" i="5"/>
  <c r="F607" i="12" s="1"/>
  <c r="C608" i="5"/>
  <c r="N607" i="5"/>
  <c r="AE607" i="5"/>
  <c r="A607" i="12"/>
  <c r="B607" i="6"/>
  <c r="H607" i="5"/>
  <c r="F607" i="5"/>
  <c r="G607" i="5"/>
  <c r="W607" i="5"/>
  <c r="H607" i="12" s="1"/>
  <c r="AD607" i="5"/>
  <c r="E607" i="5"/>
  <c r="B607" i="5"/>
  <c r="BD606" i="6" l="1"/>
  <c r="BG606" i="6"/>
  <c r="BI606" i="6"/>
  <c r="BF606" i="6"/>
  <c r="BE606" i="6"/>
  <c r="BR606" i="6"/>
  <c r="CB606" i="6"/>
  <c r="CA606" i="6"/>
  <c r="BZ606" i="6"/>
  <c r="BX606" i="6"/>
  <c r="BJ606" i="6"/>
  <c r="BH606" i="6"/>
  <c r="CC606" i="6"/>
  <c r="BY606" i="6"/>
  <c r="BW606" i="6"/>
  <c r="CD606" i="6"/>
  <c r="BL606" i="6"/>
  <c r="BC606" i="6"/>
  <c r="BQ606" i="6"/>
  <c r="BK606" i="6"/>
  <c r="CE606" i="6"/>
  <c r="CM606" i="6"/>
  <c r="BS606" i="6"/>
  <c r="BP606" i="6"/>
  <c r="CJ606" i="6"/>
  <c r="BO606" i="6"/>
  <c r="CI606" i="6"/>
  <c r="BN606" i="6"/>
  <c r="CH606" i="6"/>
  <c r="BM606" i="6"/>
  <c r="CF606" i="6"/>
  <c r="CL606" i="6"/>
  <c r="CK606" i="6"/>
  <c r="CG606" i="6"/>
  <c r="BT606" i="6"/>
  <c r="U607" i="5"/>
  <c r="AN607" i="5" s="1"/>
  <c r="D607" i="6"/>
  <c r="AE608" i="5"/>
  <c r="C609" i="5"/>
  <c r="H608" i="5"/>
  <c r="F608" i="5"/>
  <c r="B608" i="5"/>
  <c r="A608" i="12"/>
  <c r="AD608" i="5"/>
  <c r="N608" i="5"/>
  <c r="B608" i="6"/>
  <c r="K608" i="5"/>
  <c r="E608" i="5"/>
  <c r="J608" i="5"/>
  <c r="D608" i="5"/>
  <c r="B608" i="12" s="1"/>
  <c r="G608" i="5"/>
  <c r="E607" i="12"/>
  <c r="F607" i="6"/>
  <c r="A607" i="6" l="1"/>
  <c r="CI607" i="6"/>
  <c r="CF607" i="6"/>
  <c r="CJ607" i="6"/>
  <c r="CM607" i="6"/>
  <c r="CL607" i="6"/>
  <c r="CK607" i="6"/>
  <c r="CH607" i="6"/>
  <c r="CG607" i="6"/>
  <c r="BR607" i="6"/>
  <c r="BQ607" i="6"/>
  <c r="BP607" i="6"/>
  <c r="BO607" i="6"/>
  <c r="BN607" i="6"/>
  <c r="BM607" i="6"/>
  <c r="BT607" i="6"/>
  <c r="BS607" i="6"/>
  <c r="M607" i="6"/>
  <c r="BK607" i="6" s="1"/>
  <c r="N607" i="6"/>
  <c r="G607" i="6"/>
  <c r="H607" i="6"/>
  <c r="T607" i="5" s="1"/>
  <c r="G607" i="12" s="1"/>
  <c r="BC607" i="6"/>
  <c r="J608" i="12"/>
  <c r="L608" i="12"/>
  <c r="AE609" i="5"/>
  <c r="B609" i="5"/>
  <c r="D609" i="5"/>
  <c r="B609" i="12" s="1"/>
  <c r="F609" i="5"/>
  <c r="G609" i="5"/>
  <c r="E609" i="5"/>
  <c r="K609" i="5"/>
  <c r="J609" i="5"/>
  <c r="H609" i="5"/>
  <c r="AD609" i="5"/>
  <c r="A609" i="12"/>
  <c r="N609" i="5"/>
  <c r="C610" i="5"/>
  <c r="B609" i="6"/>
  <c r="D608" i="6"/>
  <c r="AW607" i="6" l="1"/>
  <c r="AX607" i="6"/>
  <c r="AY607" i="6"/>
  <c r="AV607" i="6"/>
  <c r="AZ607" i="6"/>
  <c r="BA607" i="6"/>
  <c r="AT607" i="6"/>
  <c r="A608" i="6"/>
  <c r="M608" i="6" s="1"/>
  <c r="AU607" i="6"/>
  <c r="BW607" i="6"/>
  <c r="CA607" i="6"/>
  <c r="BL607" i="6"/>
  <c r="K608" i="12"/>
  <c r="AK607" i="6"/>
  <c r="AO607" i="6"/>
  <c r="AQ607" i="6"/>
  <c r="AP607" i="6"/>
  <c r="BZ607" i="6"/>
  <c r="AN607" i="6"/>
  <c r="H608" i="6"/>
  <c r="T608" i="5" s="1"/>
  <c r="G608" i="12" s="1"/>
  <c r="B610" i="5"/>
  <c r="F610" i="5"/>
  <c r="E610" i="5"/>
  <c r="AE610" i="5"/>
  <c r="J610" i="5"/>
  <c r="C611" i="5"/>
  <c r="B610" i="6"/>
  <c r="N610" i="5"/>
  <c r="D610" i="5"/>
  <c r="B610" i="12" s="1"/>
  <c r="G610" i="5"/>
  <c r="K610" i="5"/>
  <c r="A610" i="12"/>
  <c r="AD610" i="5"/>
  <c r="H610" i="5"/>
  <c r="AJ607" i="6"/>
  <c r="AL607" i="6"/>
  <c r="BX607" i="6"/>
  <c r="D609" i="6"/>
  <c r="BI607" i="6"/>
  <c r="BF607" i="6"/>
  <c r="CD607" i="6"/>
  <c r="BD607" i="6"/>
  <c r="BY607" i="6"/>
  <c r="AR607" i="6"/>
  <c r="BJ607" i="6"/>
  <c r="CB607" i="6"/>
  <c r="AM607" i="6"/>
  <c r="BG607" i="6"/>
  <c r="BH607" i="6"/>
  <c r="CE607" i="6"/>
  <c r="BE607" i="6"/>
  <c r="CC607" i="6"/>
  <c r="L609" i="12"/>
  <c r="J609" i="12"/>
  <c r="AS607" i="6"/>
  <c r="BV607" i="6"/>
  <c r="N608" i="6" l="1"/>
  <c r="BG608" i="6"/>
  <c r="CF608" i="6"/>
  <c r="CL608" i="6"/>
  <c r="CK608" i="6"/>
  <c r="CG608" i="6"/>
  <c r="BT608" i="6"/>
  <c r="BN608" i="6"/>
  <c r="BM608" i="6"/>
  <c r="CH608" i="6"/>
  <c r="CI608" i="6"/>
  <c r="BO608" i="6"/>
  <c r="CJ608" i="6"/>
  <c r="BP608" i="6"/>
  <c r="CM608" i="6"/>
  <c r="A609" i="6"/>
  <c r="M609" i="6" s="1"/>
  <c r="BK609" i="6" s="1"/>
  <c r="BQ608" i="6"/>
  <c r="BR608" i="6"/>
  <c r="BS608" i="6"/>
  <c r="K609" i="12"/>
  <c r="CA608" i="6"/>
  <c r="BC608" i="6"/>
  <c r="BX608" i="6"/>
  <c r="BD608" i="6"/>
  <c r="BL608" i="6"/>
  <c r="BV608" i="6"/>
  <c r="BZ608" i="6"/>
  <c r="CC608" i="6"/>
  <c r="BY608" i="6"/>
  <c r="BK608" i="6"/>
  <c r="L610" i="12"/>
  <c r="J610" i="12"/>
  <c r="BE608" i="6"/>
  <c r="BJ608" i="6"/>
  <c r="H609" i="6"/>
  <c r="T609" i="5" s="1"/>
  <c r="G609" i="12" s="1"/>
  <c r="BW608" i="6"/>
  <c r="CE608" i="6"/>
  <c r="BF608" i="6"/>
  <c r="CB608" i="6"/>
  <c r="D610" i="6"/>
  <c r="BH608" i="6"/>
  <c r="BI608" i="6"/>
  <c r="D611" i="5"/>
  <c r="B611" i="12" s="1"/>
  <c r="AE611" i="5"/>
  <c r="A611" i="12"/>
  <c r="C612" i="5"/>
  <c r="E611" i="5"/>
  <c r="AD611" i="5"/>
  <c r="J611" i="5"/>
  <c r="N611" i="5"/>
  <c r="F611" i="5"/>
  <c r="K611" i="5"/>
  <c r="B611" i="6"/>
  <c r="H611" i="5"/>
  <c r="B611" i="5"/>
  <c r="G611" i="5"/>
  <c r="CD608" i="6"/>
  <c r="N609" i="6" l="1"/>
  <c r="BQ609" i="6"/>
  <c r="CL609" i="6"/>
  <c r="BR609" i="6"/>
  <c r="CM609" i="6"/>
  <c r="BS609" i="6"/>
  <c r="BT609" i="6"/>
  <c r="BM609" i="6"/>
  <c r="BN609" i="6"/>
  <c r="CK609" i="6"/>
  <c r="CI609" i="6"/>
  <c r="CG609" i="6"/>
  <c r="A610" i="6"/>
  <c r="M610" i="6" s="1"/>
  <c r="CB610" i="6" s="1"/>
  <c r="CH609" i="6"/>
  <c r="BO609" i="6"/>
  <c r="CF609" i="6"/>
  <c r="BP609" i="6"/>
  <c r="CJ609" i="6"/>
  <c r="CA609" i="6"/>
  <c r="CD609" i="6"/>
  <c r="BX609" i="6"/>
  <c r="BC609" i="6"/>
  <c r="BH609" i="6"/>
  <c r="BY609" i="6"/>
  <c r="CC609" i="6"/>
  <c r="K610" i="12"/>
  <c r="BG609" i="6"/>
  <c r="CB609" i="6"/>
  <c r="N612" i="5"/>
  <c r="AD612" i="5"/>
  <c r="B612" i="6"/>
  <c r="J612" i="5"/>
  <c r="A612" i="12"/>
  <c r="D612" i="5"/>
  <c r="B612" i="12" s="1"/>
  <c r="G612" i="5"/>
  <c r="K612" i="5"/>
  <c r="B612" i="5"/>
  <c r="C613" i="5" s="1"/>
  <c r="H612" i="5"/>
  <c r="AE612" i="5"/>
  <c r="E612" i="5"/>
  <c r="F612" i="5"/>
  <c r="J611" i="12"/>
  <c r="L611" i="12"/>
  <c r="H610" i="6"/>
  <c r="T610" i="5" s="1"/>
  <c r="G610" i="12" s="1"/>
  <c r="BJ609" i="6"/>
  <c r="I607" i="5"/>
  <c r="BF609" i="6"/>
  <c r="BZ609" i="6"/>
  <c r="D611" i="6"/>
  <c r="BE609" i="6"/>
  <c r="BV609" i="6"/>
  <c r="BI609" i="6"/>
  <c r="BD609" i="6"/>
  <c r="BW609" i="6"/>
  <c r="CE609" i="6"/>
  <c r="BL609" i="6"/>
  <c r="N610" i="6" l="1"/>
  <c r="BS610" i="6"/>
  <c r="BT610" i="6"/>
  <c r="CM610" i="6"/>
  <c r="CL610" i="6"/>
  <c r="CJ610" i="6"/>
  <c r="A611" i="6"/>
  <c r="M611" i="6" s="1"/>
  <c r="BG611" i="6" s="1"/>
  <c r="BM610" i="6"/>
  <c r="CF610" i="6"/>
  <c r="BN610" i="6"/>
  <c r="CI610" i="6"/>
  <c r="BO610" i="6"/>
  <c r="BP610" i="6"/>
  <c r="BQ610" i="6"/>
  <c r="BR610" i="6"/>
  <c r="CG610" i="6"/>
  <c r="CH610" i="6"/>
  <c r="CK610" i="6"/>
  <c r="BI610" i="6"/>
  <c r="BG610" i="6"/>
  <c r="BD610" i="6"/>
  <c r="BJ610" i="6"/>
  <c r="BZ610" i="6"/>
  <c r="BE610" i="6"/>
  <c r="CD610" i="6"/>
  <c r="BX610" i="6"/>
  <c r="BH610" i="6"/>
  <c r="BC610" i="6"/>
  <c r="CE610" i="6"/>
  <c r="BV610" i="6"/>
  <c r="CC610" i="6"/>
  <c r="BK610" i="6"/>
  <c r="BW610" i="6"/>
  <c r="J612" i="12"/>
  <c r="L612" i="12"/>
  <c r="B613" i="5"/>
  <c r="AD613" i="5"/>
  <c r="N613" i="5"/>
  <c r="B613" i="6"/>
  <c r="C614" i="5"/>
  <c r="A613" i="12"/>
  <c r="E613" i="5"/>
  <c r="AE613" i="5"/>
  <c r="H613" i="5"/>
  <c r="G613" i="5"/>
  <c r="F613" i="5"/>
  <c r="K611" i="12"/>
  <c r="D612" i="6"/>
  <c r="CA610" i="6"/>
  <c r="BY610" i="6"/>
  <c r="H611" i="6"/>
  <c r="T611" i="5" s="1"/>
  <c r="G611" i="12" s="1"/>
  <c r="BL610" i="6"/>
  <c r="BF610" i="6"/>
  <c r="AF613" i="5"/>
  <c r="N611" i="6" l="1"/>
  <c r="CG611" i="6"/>
  <c r="CK611" i="6"/>
  <c r="CL611" i="6"/>
  <c r="CF611" i="6"/>
  <c r="BM611" i="6"/>
  <c r="CH611" i="6"/>
  <c r="BN611" i="6"/>
  <c r="CI611" i="6"/>
  <c r="BO611" i="6"/>
  <c r="CJ611" i="6"/>
  <c r="BP611" i="6"/>
  <c r="CM611" i="6"/>
  <c r="A612" i="6"/>
  <c r="M612" i="6" s="1"/>
  <c r="BD612" i="6" s="1"/>
  <c r="BQ611" i="6"/>
  <c r="BR611" i="6"/>
  <c r="BS611" i="6"/>
  <c r="BT611" i="6"/>
  <c r="S613" i="5"/>
  <c r="F613" i="12" s="1"/>
  <c r="AG613" i="5"/>
  <c r="U613" i="5" s="1"/>
  <c r="K612" i="12"/>
  <c r="BL611" i="6"/>
  <c r="BD611" i="6"/>
  <c r="BF611" i="6"/>
  <c r="CA611" i="6"/>
  <c r="BJ611" i="6"/>
  <c r="CD611" i="6"/>
  <c r="BE611" i="6"/>
  <c r="BV611" i="6"/>
  <c r="BY611" i="6"/>
  <c r="BC611" i="6"/>
  <c r="CE611" i="6"/>
  <c r="BZ611" i="6"/>
  <c r="F613" i="6"/>
  <c r="E613" i="12"/>
  <c r="BX611" i="6"/>
  <c r="CC611" i="6"/>
  <c r="AD614" i="5"/>
  <c r="B614" i="6"/>
  <c r="J614" i="5"/>
  <c r="AE614" i="5"/>
  <c r="K614" i="5"/>
  <c r="G614" i="5"/>
  <c r="H614" i="5"/>
  <c r="N614" i="5"/>
  <c r="F614" i="5"/>
  <c r="E614" i="5"/>
  <c r="D614" i="5"/>
  <c r="B614" i="12" s="1"/>
  <c r="A614" i="12"/>
  <c r="C615" i="5"/>
  <c r="B614" i="5"/>
  <c r="H612" i="6"/>
  <c r="T612" i="5" s="1"/>
  <c r="G612" i="12" s="1"/>
  <c r="D613" i="6"/>
  <c r="BI611" i="6"/>
  <c r="CB611" i="6"/>
  <c r="BK611" i="6"/>
  <c r="BH611" i="6"/>
  <c r="BW611" i="6"/>
  <c r="N612" i="6" l="1"/>
  <c r="CI612" i="6"/>
  <c r="CG612" i="6"/>
  <c r="CH612" i="6"/>
  <c r="BO612" i="6"/>
  <c r="CF612" i="6"/>
  <c r="BP612" i="6"/>
  <c r="CJ612" i="6"/>
  <c r="BQ612" i="6"/>
  <c r="CL612" i="6"/>
  <c r="BR612" i="6"/>
  <c r="CM612" i="6"/>
  <c r="BS612" i="6"/>
  <c r="BT612" i="6"/>
  <c r="BM612" i="6"/>
  <c r="A613" i="6"/>
  <c r="CI613" i="6"/>
  <c r="CF613" i="6"/>
  <c r="CJ613" i="6"/>
  <c r="CM613" i="6"/>
  <c r="CL613" i="6"/>
  <c r="CK613" i="6"/>
  <c r="CH613" i="6"/>
  <c r="CG613" i="6"/>
  <c r="BR613" i="6"/>
  <c r="BQ613" i="6"/>
  <c r="BP613" i="6"/>
  <c r="BO613" i="6"/>
  <c r="BN613" i="6"/>
  <c r="BM613" i="6"/>
  <c r="BT613" i="6"/>
  <c r="BS613" i="6"/>
  <c r="BN612" i="6"/>
  <c r="CK612" i="6"/>
  <c r="AN613" i="5"/>
  <c r="W613" i="5"/>
  <c r="H613" i="12" s="1"/>
  <c r="BK612" i="6"/>
  <c r="CB612" i="6"/>
  <c r="BJ612" i="6"/>
  <c r="BE612" i="6"/>
  <c r="CD612" i="6"/>
  <c r="BF612" i="6"/>
  <c r="BV612" i="6"/>
  <c r="BX612" i="6"/>
  <c r="BY612" i="6"/>
  <c r="BC612" i="6"/>
  <c r="BW612" i="6"/>
  <c r="BL612" i="6"/>
  <c r="CA612" i="6"/>
  <c r="BH612" i="6"/>
  <c r="B615" i="6"/>
  <c r="F615" i="5"/>
  <c r="A615" i="12"/>
  <c r="K615" i="5"/>
  <c r="H615" i="5"/>
  <c r="D615" i="5"/>
  <c r="B615" i="12" s="1"/>
  <c r="C616" i="5"/>
  <c r="N615" i="5"/>
  <c r="AE615" i="5"/>
  <c r="AD615" i="5"/>
  <c r="G615" i="5"/>
  <c r="B615" i="5"/>
  <c r="E615" i="5"/>
  <c r="J615" i="5"/>
  <c r="L614" i="12"/>
  <c r="J614" i="12"/>
  <c r="BZ612" i="6"/>
  <c r="H613" i="6"/>
  <c r="T613" i="5" s="1"/>
  <c r="G613" i="12" s="1"/>
  <c r="G613" i="6"/>
  <c r="N613" i="6"/>
  <c r="M613" i="6"/>
  <c r="BF613" i="6" s="1"/>
  <c r="BG612" i="6"/>
  <c r="D614" i="6"/>
  <c r="CE612" i="6"/>
  <c r="CC612" i="6"/>
  <c r="BI612" i="6"/>
  <c r="AU613" i="6" l="1"/>
  <c r="AV613" i="6"/>
  <c r="AW613" i="6"/>
  <c r="AX613" i="6"/>
  <c r="A614" i="6"/>
  <c r="M614" i="6" s="1"/>
  <c r="BW614" i="6" s="1"/>
  <c r="AY613" i="6"/>
  <c r="AZ613" i="6"/>
  <c r="BA613" i="6"/>
  <c r="AT613" i="6"/>
  <c r="K614" i="12"/>
  <c r="BD613" i="6"/>
  <c r="CB613" i="6"/>
  <c r="AK613" i="6"/>
  <c r="BZ613" i="6"/>
  <c r="AR613" i="6"/>
  <c r="BI613" i="6"/>
  <c r="CC613" i="6"/>
  <c r="L615" i="12"/>
  <c r="J615" i="12"/>
  <c r="H614" i="6"/>
  <c r="T614" i="5" s="1"/>
  <c r="G614" i="12" s="1"/>
  <c r="BX613" i="6"/>
  <c r="AJ613" i="6"/>
  <c r="BW613" i="6"/>
  <c r="AP613" i="6"/>
  <c r="BY613" i="6"/>
  <c r="CD613" i="6"/>
  <c r="AQ613" i="6"/>
  <c r="BG613" i="6"/>
  <c r="D615" i="6"/>
  <c r="AN613" i="6"/>
  <c r="BL613" i="6"/>
  <c r="BK613" i="6"/>
  <c r="BE613" i="6"/>
  <c r="J616" i="5"/>
  <c r="E616" i="5"/>
  <c r="AE616" i="5"/>
  <c r="B616" i="6"/>
  <c r="D616" i="5"/>
  <c r="B616" i="12" s="1"/>
  <c r="G616" i="5"/>
  <c r="B616" i="5"/>
  <c r="AD616" i="5"/>
  <c r="C617" i="5"/>
  <c r="N616" i="5"/>
  <c r="H616" i="5"/>
  <c r="K616" i="5"/>
  <c r="A616" i="12"/>
  <c r="F616" i="5"/>
  <c r="AS613" i="6"/>
  <c r="BJ613" i="6"/>
  <c r="AM613" i="6"/>
  <c r="CA613" i="6"/>
  <c r="BC613" i="6"/>
  <c r="AL613" i="6"/>
  <c r="CE613" i="6"/>
  <c r="BH613" i="6"/>
  <c r="AO613" i="6"/>
  <c r="BV613" i="6"/>
  <c r="N614" i="6" l="1"/>
  <c r="CK614" i="6"/>
  <c r="CL614" i="6"/>
  <c r="CF614" i="6"/>
  <c r="BM614" i="6"/>
  <c r="CH614" i="6"/>
  <c r="BN614" i="6"/>
  <c r="CI614" i="6"/>
  <c r="BO614" i="6"/>
  <c r="CJ614" i="6"/>
  <c r="BP614" i="6"/>
  <c r="CM614" i="6"/>
  <c r="A615" i="6"/>
  <c r="N615" i="6" s="1"/>
  <c r="BQ614" i="6"/>
  <c r="BR614" i="6"/>
  <c r="BS614" i="6"/>
  <c r="BT614" i="6"/>
  <c r="CG614" i="6"/>
  <c r="K615" i="12"/>
  <c r="BJ614" i="6"/>
  <c r="BZ614" i="6"/>
  <c r="CB614" i="6"/>
  <c r="BK614" i="6"/>
  <c r="BI614" i="6"/>
  <c r="H615" i="6"/>
  <c r="T615" i="5" s="1"/>
  <c r="G615" i="12" s="1"/>
  <c r="J616" i="12"/>
  <c r="L616" i="12"/>
  <c r="CA614" i="6"/>
  <c r="BL614" i="6"/>
  <c r="BX614" i="6"/>
  <c r="BH614" i="6"/>
  <c r="BE614" i="6"/>
  <c r="D616" i="6"/>
  <c r="BG614" i="6"/>
  <c r="CC614" i="6"/>
  <c r="BV614" i="6"/>
  <c r="K617" i="5"/>
  <c r="G617" i="5"/>
  <c r="N617" i="5"/>
  <c r="AD617" i="5"/>
  <c r="H617" i="5"/>
  <c r="AE617" i="5"/>
  <c r="F617" i="5"/>
  <c r="J617" i="5"/>
  <c r="B617" i="5"/>
  <c r="B617" i="6"/>
  <c r="A617" i="12"/>
  <c r="E617" i="5"/>
  <c r="D617" i="5"/>
  <c r="B617" i="12" s="1"/>
  <c r="BC614" i="6"/>
  <c r="CD614" i="6"/>
  <c r="BF614" i="6"/>
  <c r="CE614" i="6"/>
  <c r="BD614" i="6"/>
  <c r="BY614" i="6"/>
  <c r="M615" i="6" l="1"/>
  <c r="BJ615" i="6" s="1"/>
  <c r="A616" i="6"/>
  <c r="N616" i="6" s="1"/>
  <c r="H616" i="6"/>
  <c r="T616" i="5" s="1"/>
  <c r="G616" i="12" s="1"/>
  <c r="K616" i="12"/>
  <c r="D617" i="6"/>
  <c r="L617" i="12"/>
  <c r="J617" i="12"/>
  <c r="BW615" i="6" l="1"/>
  <c r="BK615" i="6"/>
  <c r="CL615" i="6"/>
  <c r="BP615" i="6"/>
  <c r="BR615" i="6"/>
  <c r="BL615" i="6"/>
  <c r="BE615" i="6"/>
  <c r="CF615" i="6"/>
  <c r="CA615" i="6"/>
  <c r="BQ615" i="6"/>
  <c r="BY615" i="6"/>
  <c r="BO615" i="6"/>
  <c r="CJ615" i="6"/>
  <c r="CD615" i="6"/>
  <c r="CE615" i="6"/>
  <c r="CC615" i="6"/>
  <c r="BM615" i="6"/>
  <c r="CH615" i="6"/>
  <c r="BC615" i="6"/>
  <c r="BF615" i="6"/>
  <c r="BH615" i="6"/>
  <c r="BD615" i="6"/>
  <c r="BI615" i="6"/>
  <c r="BZ615" i="6"/>
  <c r="BV615" i="6"/>
  <c r="BT615" i="6"/>
  <c r="CG615" i="6"/>
  <c r="BS615" i="6"/>
  <c r="CI615" i="6"/>
  <c r="BX615" i="6"/>
  <c r="CB615" i="6"/>
  <c r="BG615" i="6"/>
  <c r="CM615" i="6"/>
  <c r="CK615" i="6"/>
  <c r="M616" i="6"/>
  <c r="BY616" i="6" s="1"/>
  <c r="BN615" i="6"/>
  <c r="A617" i="6"/>
  <c r="N617" i="6" s="1"/>
  <c r="K617" i="12"/>
  <c r="H617" i="6"/>
  <c r="T617" i="5" s="1"/>
  <c r="G617" i="12" s="1"/>
  <c r="M617" i="6" l="1"/>
  <c r="BK617" i="6" s="1"/>
  <c r="BN616" i="6"/>
  <c r="BH616" i="6"/>
  <c r="BL616" i="6"/>
  <c r="BX616" i="6"/>
  <c r="CB616" i="6"/>
  <c r="BT616" i="6"/>
  <c r="BE616" i="6"/>
  <c r="CJ616" i="6"/>
  <c r="CM616" i="6"/>
  <c r="CD616" i="6"/>
  <c r="CF616" i="6"/>
  <c r="CC616" i="6"/>
  <c r="BI616" i="6"/>
  <c r="CE616" i="6"/>
  <c r="BS616" i="6"/>
  <c r="BK616" i="6"/>
  <c r="BQ616" i="6"/>
  <c r="CL616" i="6"/>
  <c r="CA616" i="6"/>
  <c r="BP616" i="6"/>
  <c r="CK616" i="6"/>
  <c r="BV616" i="6"/>
  <c r="BO616" i="6"/>
  <c r="CH616" i="6"/>
  <c r="BF616" i="6"/>
  <c r="BM616" i="6"/>
  <c r="BZ616" i="6"/>
  <c r="BG616" i="6"/>
  <c r="BD616" i="6"/>
  <c r="BW616" i="6"/>
  <c r="CG616" i="6"/>
  <c r="BC616" i="6"/>
  <c r="BJ616" i="6"/>
  <c r="CI616" i="6"/>
  <c r="BR616" i="6"/>
  <c r="C618" i="5"/>
  <c r="CF617" i="6" l="1"/>
  <c r="BE617" i="6"/>
  <c r="CE617" i="6"/>
  <c r="BL617" i="6"/>
  <c r="CC617" i="6"/>
  <c r="BF617" i="6"/>
  <c r="CA617" i="6"/>
  <c r="CB617" i="6"/>
  <c r="BH617" i="6"/>
  <c r="BW617" i="6"/>
  <c r="BG617" i="6"/>
  <c r="BX617" i="6"/>
  <c r="CD617" i="6"/>
  <c r="BJ617" i="6"/>
  <c r="BC617" i="6"/>
  <c r="BY617" i="6"/>
  <c r="BZ617" i="6"/>
  <c r="BV617" i="6"/>
  <c r="CL617" i="6"/>
  <c r="BR617" i="6"/>
  <c r="CK617" i="6"/>
  <c r="BN617" i="6"/>
  <c r="CG617" i="6"/>
  <c r="BT617" i="6"/>
  <c r="BD617" i="6"/>
  <c r="BI617" i="6"/>
  <c r="BS617" i="6"/>
  <c r="BQ617" i="6"/>
  <c r="CM617" i="6"/>
  <c r="BP617" i="6"/>
  <c r="CJ617" i="6"/>
  <c r="BO617" i="6"/>
  <c r="CI617" i="6"/>
  <c r="CH617" i="6"/>
  <c r="BM617" i="6"/>
  <c r="AE618" i="5"/>
  <c r="H618" i="5"/>
  <c r="C619" i="5"/>
  <c r="N618" i="5"/>
  <c r="B618" i="5"/>
  <c r="E618" i="5"/>
  <c r="AD618" i="5"/>
  <c r="F618" i="5"/>
  <c r="G618" i="5"/>
  <c r="A618" i="12"/>
  <c r="B618" i="6"/>
  <c r="AF618" i="5"/>
  <c r="AG618" i="5" l="1"/>
  <c r="U618" i="5" s="1"/>
  <c r="S618" i="5"/>
  <c r="F618" i="12" s="1"/>
  <c r="F618" i="6"/>
  <c r="E618" i="12"/>
  <c r="D618" i="6"/>
  <c r="G619" i="5"/>
  <c r="B619" i="6"/>
  <c r="A619" i="12"/>
  <c r="AE619" i="5"/>
  <c r="AD619" i="5"/>
  <c r="C620" i="5"/>
  <c r="D619" i="5"/>
  <c r="B619" i="12" s="1"/>
  <c r="E619" i="5"/>
  <c r="H619" i="5"/>
  <c r="K619" i="5"/>
  <c r="N619" i="5"/>
  <c r="B619" i="5"/>
  <c r="J619" i="5"/>
  <c r="F619" i="5"/>
  <c r="A618" i="6" l="1"/>
  <c r="CI618" i="6"/>
  <c r="CF618" i="6"/>
  <c r="CJ618" i="6"/>
  <c r="CM618" i="6"/>
  <c r="CL618" i="6"/>
  <c r="CK618" i="6"/>
  <c r="CH618" i="6"/>
  <c r="CG618" i="6"/>
  <c r="BR618" i="6"/>
  <c r="BQ618" i="6"/>
  <c r="BP618" i="6"/>
  <c r="BO618" i="6"/>
  <c r="BN618" i="6"/>
  <c r="BM618" i="6"/>
  <c r="BT618" i="6"/>
  <c r="BS618" i="6"/>
  <c r="AN618" i="5"/>
  <c r="W618" i="5"/>
  <c r="H618" i="12" s="1"/>
  <c r="B620" i="5"/>
  <c r="G620" i="5"/>
  <c r="B620" i="6"/>
  <c r="C621" i="5"/>
  <c r="F620" i="5"/>
  <c r="A620" i="12"/>
  <c r="AD620" i="5"/>
  <c r="H620" i="5"/>
  <c r="AE620" i="5"/>
  <c r="J620" i="5"/>
  <c r="N620" i="5"/>
  <c r="E620" i="5"/>
  <c r="D620" i="5"/>
  <c r="B620" i="12" s="1"/>
  <c r="K620" i="5"/>
  <c r="H618" i="6"/>
  <c r="T618" i="5" s="1"/>
  <c r="G618" i="12" s="1"/>
  <c r="N618" i="6"/>
  <c r="M618" i="6"/>
  <c r="BF618" i="6" s="1"/>
  <c r="G618" i="6"/>
  <c r="J619" i="12"/>
  <c r="L619" i="12"/>
  <c r="D619" i="6"/>
  <c r="AV618" i="6" l="1"/>
  <c r="AW618" i="6"/>
  <c r="AX618" i="6"/>
  <c r="AY618" i="6"/>
  <c r="AZ618" i="6"/>
  <c r="BA618" i="6"/>
  <c r="AT618" i="6"/>
  <c r="A619" i="6"/>
  <c r="N619" i="6" s="1"/>
  <c r="AU618" i="6"/>
  <c r="BK618" i="6"/>
  <c r="K619" i="12"/>
  <c r="BY618" i="6"/>
  <c r="AL618" i="6"/>
  <c r="BH618" i="6"/>
  <c r="BE618" i="6"/>
  <c r="BJ618" i="6"/>
  <c r="BL618" i="6"/>
  <c r="AQ618" i="6"/>
  <c r="CA618" i="6"/>
  <c r="BD618" i="6"/>
  <c r="AO618" i="6"/>
  <c r="BX618" i="6"/>
  <c r="BZ618" i="6"/>
  <c r="CE618" i="6"/>
  <c r="CD618" i="6"/>
  <c r="BW618" i="6"/>
  <c r="BC618" i="6"/>
  <c r="CC618" i="6"/>
  <c r="AJ618" i="6"/>
  <c r="AP618" i="6"/>
  <c r="BV618" i="6"/>
  <c r="BG618" i="6"/>
  <c r="L620" i="12"/>
  <c r="J620" i="12"/>
  <c r="H619" i="6"/>
  <c r="T619" i="5" s="1"/>
  <c r="G619" i="12" s="1"/>
  <c r="C622" i="5"/>
  <c r="A621" i="12"/>
  <c r="K621" i="5"/>
  <c r="J621" i="5"/>
  <c r="N621" i="5"/>
  <c r="B621" i="5"/>
  <c r="E621" i="5"/>
  <c r="AD621" i="5"/>
  <c r="D621" i="5"/>
  <c r="B621" i="12" s="1"/>
  <c r="G621" i="5"/>
  <c r="B621" i="6"/>
  <c r="H621" i="5"/>
  <c r="F621" i="5"/>
  <c r="AE621" i="5"/>
  <c r="AN618" i="6"/>
  <c r="AK618" i="6"/>
  <c r="D620" i="6"/>
  <c r="AR618" i="6"/>
  <c r="BI618" i="6"/>
  <c r="CB618" i="6"/>
  <c r="AS618" i="6"/>
  <c r="AM618" i="6"/>
  <c r="M619" i="6" l="1"/>
  <c r="CA619" i="6" s="1"/>
  <c r="A620" i="6"/>
  <c r="N620" i="6" s="1"/>
  <c r="K620" i="12"/>
  <c r="H620" i="6"/>
  <c r="T620" i="5" s="1"/>
  <c r="G620" i="12" s="1"/>
  <c r="D621" i="6"/>
  <c r="L621" i="12"/>
  <c r="J621" i="12"/>
  <c r="B622" i="5"/>
  <c r="C623" i="5"/>
  <c r="AD622" i="5"/>
  <c r="AE622" i="5"/>
  <c r="A622" i="12"/>
  <c r="H622" i="5"/>
  <c r="F622" i="5"/>
  <c r="G622" i="5"/>
  <c r="D622" i="5"/>
  <c r="B622" i="12" s="1"/>
  <c r="N622" i="5"/>
  <c r="B622" i="6"/>
  <c r="K622" i="5"/>
  <c r="J622" i="5"/>
  <c r="E622" i="5"/>
  <c r="BV619" i="6" l="1"/>
  <c r="CJ619" i="6"/>
  <c r="BP619" i="6"/>
  <c r="CB619" i="6"/>
  <c r="BO619" i="6"/>
  <c r="CM619" i="6"/>
  <c r="CD619" i="6"/>
  <c r="BL619" i="6"/>
  <c r="CI619" i="6"/>
  <c r="BI619" i="6"/>
  <c r="BN619" i="6"/>
  <c r="BG619" i="6"/>
  <c r="CH619" i="6"/>
  <c r="BE619" i="6"/>
  <c r="BX619" i="6"/>
  <c r="CC619" i="6"/>
  <c r="BT619" i="6"/>
  <c r="BM619" i="6"/>
  <c r="CG619" i="6"/>
  <c r="BF619" i="6"/>
  <c r="BJ619" i="6"/>
  <c r="CE619" i="6"/>
  <c r="BK619" i="6"/>
  <c r="BW619" i="6"/>
  <c r="BS619" i="6"/>
  <c r="CF619" i="6"/>
  <c r="BY619" i="6"/>
  <c r="BD619" i="6"/>
  <c r="BR619" i="6"/>
  <c r="CL619" i="6"/>
  <c r="BH619" i="6"/>
  <c r="BC619" i="6"/>
  <c r="BZ619" i="6"/>
  <c r="BQ619" i="6"/>
  <c r="CK619" i="6"/>
  <c r="M620" i="6"/>
  <c r="CD620" i="6" s="1"/>
  <c r="A621" i="6"/>
  <c r="N621" i="6" s="1"/>
  <c r="K621" i="12"/>
  <c r="AD623" i="5"/>
  <c r="N623" i="5"/>
  <c r="B623" i="6"/>
  <c r="F623" i="5"/>
  <c r="K623" i="5"/>
  <c r="J623" i="5"/>
  <c r="A623" i="12"/>
  <c r="C624" i="5"/>
  <c r="E623" i="5"/>
  <c r="D623" i="5"/>
  <c r="B623" i="12" s="1"/>
  <c r="G623" i="5"/>
  <c r="B623" i="5"/>
  <c r="AE623" i="5"/>
  <c r="H623" i="5"/>
  <c r="D622" i="6"/>
  <c r="H621" i="6"/>
  <c r="T621" i="5" s="1"/>
  <c r="G621" i="12" s="1"/>
  <c r="J622" i="12"/>
  <c r="L622" i="12"/>
  <c r="M621" i="6" l="1"/>
  <c r="CA621" i="6" s="1"/>
  <c r="BV620" i="6"/>
  <c r="BC620" i="6"/>
  <c r="BJ620" i="6"/>
  <c r="BE620" i="6"/>
  <c r="BY620" i="6"/>
  <c r="BO620" i="6"/>
  <c r="CF620" i="6"/>
  <c r="BG620" i="6"/>
  <c r="CI620" i="6"/>
  <c r="CH620" i="6"/>
  <c r="CB620" i="6"/>
  <c r="BZ620" i="6"/>
  <c r="CG620" i="6"/>
  <c r="BD620" i="6"/>
  <c r="BF620" i="6"/>
  <c r="BT620" i="6"/>
  <c r="BN620" i="6"/>
  <c r="BK620" i="6"/>
  <c r="BM620" i="6"/>
  <c r="BH620" i="6"/>
  <c r="BW620" i="6"/>
  <c r="BS620" i="6"/>
  <c r="CC620" i="6"/>
  <c r="CA620" i="6"/>
  <c r="CK620" i="6"/>
  <c r="CM620" i="6"/>
  <c r="CE620" i="6"/>
  <c r="BL620" i="6"/>
  <c r="BP620" i="6"/>
  <c r="BR620" i="6"/>
  <c r="BI620" i="6"/>
  <c r="BX620" i="6"/>
  <c r="CJ620" i="6"/>
  <c r="CL620" i="6"/>
  <c r="BQ620" i="6"/>
  <c r="A622" i="6"/>
  <c r="M622" i="6" s="1"/>
  <c r="BJ622" i="6" s="1"/>
  <c r="K622" i="12"/>
  <c r="AE624" i="5"/>
  <c r="J624" i="5"/>
  <c r="G624" i="5"/>
  <c r="AD624" i="5"/>
  <c r="A624" i="12"/>
  <c r="B624" i="5"/>
  <c r="K624" i="5"/>
  <c r="N624" i="5"/>
  <c r="F624" i="5"/>
  <c r="D624" i="5"/>
  <c r="B624" i="12" s="1"/>
  <c r="C625" i="5"/>
  <c r="H624" i="5"/>
  <c r="E624" i="5"/>
  <c r="B624" i="6"/>
  <c r="J623" i="12"/>
  <c r="L623" i="12"/>
  <c r="D623" i="6"/>
  <c r="H622" i="6"/>
  <c r="T622" i="5" s="1"/>
  <c r="G622" i="12" s="1"/>
  <c r="BR621" i="6" l="1"/>
  <c r="BK621" i="6"/>
  <c r="CE621" i="6"/>
  <c r="BY621" i="6"/>
  <c r="BX621" i="6"/>
  <c r="CC621" i="6"/>
  <c r="BW621" i="6"/>
  <c r="BG621" i="6"/>
  <c r="BH621" i="6"/>
  <c r="BZ621" i="6"/>
  <c r="BC621" i="6"/>
  <c r="BI621" i="6"/>
  <c r="BF621" i="6"/>
  <c r="CD621" i="6"/>
  <c r="BE621" i="6"/>
  <c r="CB621" i="6"/>
  <c r="BJ621" i="6"/>
  <c r="BD621" i="6"/>
  <c r="BL621" i="6"/>
  <c r="BV621" i="6"/>
  <c r="BQ621" i="6"/>
  <c r="BP621" i="6"/>
  <c r="CI621" i="6"/>
  <c r="BO621" i="6"/>
  <c r="BN621" i="6"/>
  <c r="CH621" i="6"/>
  <c r="BM621" i="6"/>
  <c r="CF621" i="6"/>
  <c r="BT621" i="6"/>
  <c r="BS621" i="6"/>
  <c r="CJ621" i="6"/>
  <c r="CM621" i="6"/>
  <c r="CL621" i="6"/>
  <c r="CK621" i="6"/>
  <c r="CG621" i="6"/>
  <c r="N622" i="6"/>
  <c r="BT622" i="6"/>
  <c r="CK622" i="6"/>
  <c r="CF622" i="6"/>
  <c r="CG622" i="6"/>
  <c r="CH622" i="6"/>
  <c r="BM622" i="6"/>
  <c r="CI622" i="6"/>
  <c r="BN622" i="6"/>
  <c r="CJ622" i="6"/>
  <c r="BO622" i="6"/>
  <c r="CL622" i="6"/>
  <c r="BP622" i="6"/>
  <c r="CM622" i="6"/>
  <c r="BQ622" i="6"/>
  <c r="BR622" i="6"/>
  <c r="A623" i="6"/>
  <c r="N623" i="6" s="1"/>
  <c r="BS622" i="6"/>
  <c r="CA622" i="6"/>
  <c r="BH622" i="6"/>
  <c r="CD622" i="6"/>
  <c r="BG622" i="6"/>
  <c r="CB622" i="6"/>
  <c r="BI622" i="6"/>
  <c r="BY622" i="6"/>
  <c r="BX622" i="6"/>
  <c r="BV622" i="6"/>
  <c r="BC622" i="6"/>
  <c r="BE622" i="6"/>
  <c r="CC622" i="6"/>
  <c r="CE622" i="6"/>
  <c r="BZ622" i="6"/>
  <c r="L624" i="12"/>
  <c r="J624" i="12"/>
  <c r="BL622" i="6"/>
  <c r="H623" i="6"/>
  <c r="T623" i="5" s="1"/>
  <c r="G623" i="12" s="1"/>
  <c r="BW622" i="6"/>
  <c r="K623" i="12"/>
  <c r="D625" i="5"/>
  <c r="B625" i="12" s="1"/>
  <c r="B625" i="6"/>
  <c r="J625" i="5"/>
  <c r="H625" i="5"/>
  <c r="F625" i="5"/>
  <c r="C626" i="5"/>
  <c r="G625" i="5"/>
  <c r="E625" i="5"/>
  <c r="AE625" i="5"/>
  <c r="A625" i="12"/>
  <c r="K625" i="5"/>
  <c r="B625" i="5"/>
  <c r="N625" i="5"/>
  <c r="AD625" i="5"/>
  <c r="BD622" i="6"/>
  <c r="BK622" i="6"/>
  <c r="BF622" i="6"/>
  <c r="D624" i="6"/>
  <c r="M623" i="6" l="1"/>
  <c r="BV623" i="6" s="1"/>
  <c r="A624" i="6"/>
  <c r="M624" i="6" s="1"/>
  <c r="K624" i="12"/>
  <c r="J625" i="12"/>
  <c r="L625" i="12"/>
  <c r="AD626" i="5"/>
  <c r="K626" i="5"/>
  <c r="B626" i="6"/>
  <c r="H626" i="5"/>
  <c r="N626" i="5"/>
  <c r="AE626" i="5"/>
  <c r="B626" i="5"/>
  <c r="J626" i="5"/>
  <c r="G626" i="5"/>
  <c r="C627" i="5"/>
  <c r="D626" i="5"/>
  <c r="B626" i="12" s="1"/>
  <c r="E626" i="5"/>
  <c r="F626" i="5"/>
  <c r="A626" i="12"/>
  <c r="D625" i="6"/>
  <c r="H624" i="6"/>
  <c r="T624" i="5" s="1"/>
  <c r="G624" i="12" s="1"/>
  <c r="BG623" i="6" l="1"/>
  <c r="BC623" i="6"/>
  <c r="CC623" i="6"/>
  <c r="BH623" i="6"/>
  <c r="BE623" i="6"/>
  <c r="BI623" i="6"/>
  <c r="BZ623" i="6"/>
  <c r="BW623" i="6"/>
  <c r="BK623" i="6"/>
  <c r="BL623" i="6"/>
  <c r="CE623" i="6"/>
  <c r="CB623" i="6"/>
  <c r="BF623" i="6"/>
  <c r="BP623" i="6"/>
  <c r="CJ623" i="6"/>
  <c r="BO623" i="6"/>
  <c r="CF623" i="6"/>
  <c r="CI623" i="6"/>
  <c r="N624" i="6"/>
  <c r="BX623" i="6"/>
  <c r="CH623" i="6"/>
  <c r="BY623" i="6"/>
  <c r="CA623" i="6"/>
  <c r="CG623" i="6"/>
  <c r="BN623" i="6"/>
  <c r="BJ623" i="6"/>
  <c r="CL623" i="6"/>
  <c r="BM623" i="6"/>
  <c r="CD623" i="6"/>
  <c r="BQ623" i="6"/>
  <c r="BT623" i="6"/>
  <c r="BS623" i="6"/>
  <c r="BD623" i="6"/>
  <c r="CK623" i="6"/>
  <c r="CM623" i="6"/>
  <c r="BR623" i="6"/>
  <c r="CB624" i="6"/>
  <c r="CH624" i="6"/>
  <c r="BM624" i="6"/>
  <c r="CF624" i="6"/>
  <c r="BT624" i="6"/>
  <c r="CJ624" i="6"/>
  <c r="BS624" i="6"/>
  <c r="CM624" i="6"/>
  <c r="CL624" i="6"/>
  <c r="CK624" i="6"/>
  <c r="CG624" i="6"/>
  <c r="BR624" i="6"/>
  <c r="BQ624" i="6"/>
  <c r="BP624" i="6"/>
  <c r="BO624" i="6"/>
  <c r="CI624" i="6"/>
  <c r="BN624" i="6"/>
  <c r="A625" i="6"/>
  <c r="M625" i="6" s="1"/>
  <c r="K625" i="12"/>
  <c r="CE624" i="6"/>
  <c r="BZ624" i="6"/>
  <c r="BX624" i="6"/>
  <c r="BW624" i="6"/>
  <c r="BI624" i="6"/>
  <c r="BD624" i="6"/>
  <c r="CC624" i="6"/>
  <c r="BJ624" i="6"/>
  <c r="BY624" i="6"/>
  <c r="BH624" i="6"/>
  <c r="BG624" i="6"/>
  <c r="BE624" i="6"/>
  <c r="J627" i="5"/>
  <c r="B627" i="6"/>
  <c r="AD627" i="5"/>
  <c r="G627" i="5"/>
  <c r="E627" i="5"/>
  <c r="B627" i="5"/>
  <c r="C628" i="5" s="1"/>
  <c r="N627" i="5"/>
  <c r="AE627" i="5"/>
  <c r="A627" i="12"/>
  <c r="H627" i="5"/>
  <c r="D627" i="5"/>
  <c r="B627" i="12" s="1"/>
  <c r="F627" i="5"/>
  <c r="K627" i="5"/>
  <c r="BC624" i="6"/>
  <c r="BL624" i="6"/>
  <c r="H625" i="6"/>
  <c r="T625" i="5" s="1"/>
  <c r="G625" i="12" s="1"/>
  <c r="BV624" i="6"/>
  <c r="CD624" i="6"/>
  <c r="CA624" i="6"/>
  <c r="D626" i="6"/>
  <c r="BF624" i="6"/>
  <c r="BK624" i="6"/>
  <c r="J626" i="12"/>
  <c r="L626" i="12"/>
  <c r="BW625" i="6" l="1"/>
  <c r="CL625" i="6"/>
  <c r="BO625" i="6"/>
  <c r="CK625" i="6"/>
  <c r="BN625" i="6"/>
  <c r="CJ625" i="6"/>
  <c r="BM625" i="6"/>
  <c r="CI625" i="6"/>
  <c r="CH625" i="6"/>
  <c r="CG625" i="6"/>
  <c r="BQ625" i="6"/>
  <c r="CF625" i="6"/>
  <c r="BT625" i="6"/>
  <c r="BS625" i="6"/>
  <c r="BR625" i="6"/>
  <c r="CM625" i="6"/>
  <c r="BP625" i="6"/>
  <c r="N625" i="6"/>
  <c r="A626" i="6"/>
  <c r="M626" i="6" s="1"/>
  <c r="CB626" i="6" s="1"/>
  <c r="K626" i="12"/>
  <c r="BZ625" i="6"/>
  <c r="CE625" i="6"/>
  <c r="D627" i="6"/>
  <c r="BV625" i="6"/>
  <c r="BX625" i="6"/>
  <c r="H626" i="6"/>
  <c r="T626" i="5" s="1"/>
  <c r="G626" i="12" s="1"/>
  <c r="BL625" i="6"/>
  <c r="CC625" i="6"/>
  <c r="CA625" i="6"/>
  <c r="BE625" i="6"/>
  <c r="CD625" i="6"/>
  <c r="BG625" i="6"/>
  <c r="BH625" i="6"/>
  <c r="BF625" i="6"/>
  <c r="CB625" i="6"/>
  <c r="BY625" i="6"/>
  <c r="BD625" i="6"/>
  <c r="BJ625" i="6"/>
  <c r="BK625" i="6"/>
  <c r="J627" i="12"/>
  <c r="L627" i="12"/>
  <c r="BI625" i="6"/>
  <c r="BC625" i="6"/>
  <c r="N628" i="5"/>
  <c r="A628" i="12"/>
  <c r="H628" i="5"/>
  <c r="C629" i="5"/>
  <c r="B628" i="6"/>
  <c r="B628" i="5"/>
  <c r="G628" i="5"/>
  <c r="E628" i="5"/>
  <c r="AE628" i="5"/>
  <c r="W628" i="5"/>
  <c r="H628" i="12" s="1"/>
  <c r="F628" i="5"/>
  <c r="AD628" i="5"/>
  <c r="AF628" i="5"/>
  <c r="N626" i="6" l="1"/>
  <c r="BN626" i="6"/>
  <c r="CH626" i="6"/>
  <c r="CI626" i="6"/>
  <c r="CF626" i="6"/>
  <c r="CG626" i="6"/>
  <c r="A627" i="6"/>
  <c r="N627" i="6" s="1"/>
  <c r="BO626" i="6"/>
  <c r="CJ626" i="6"/>
  <c r="BP626" i="6"/>
  <c r="CK626" i="6"/>
  <c r="BQ626" i="6"/>
  <c r="CL626" i="6"/>
  <c r="BR626" i="6"/>
  <c r="CM626" i="6"/>
  <c r="BS626" i="6"/>
  <c r="BT626" i="6"/>
  <c r="BM626" i="6"/>
  <c r="S628" i="5"/>
  <c r="F628" i="12" s="1"/>
  <c r="AG628" i="5"/>
  <c r="BZ626" i="6"/>
  <c r="BX626" i="6"/>
  <c r="K627" i="12"/>
  <c r="BD626" i="6"/>
  <c r="BV626" i="6"/>
  <c r="BI626" i="6"/>
  <c r="BY626" i="6"/>
  <c r="BW626" i="6"/>
  <c r="BK626" i="6"/>
  <c r="BC626" i="6"/>
  <c r="H627" i="6"/>
  <c r="T627" i="5" s="1"/>
  <c r="G627" i="12" s="1"/>
  <c r="BL626" i="6"/>
  <c r="BG626" i="6"/>
  <c r="B629" i="5"/>
  <c r="D629" i="5"/>
  <c r="B629" i="12" s="1"/>
  <c r="AD629" i="5"/>
  <c r="H629" i="5"/>
  <c r="C630" i="5"/>
  <c r="AE629" i="5"/>
  <c r="G629" i="5"/>
  <c r="E629" i="5"/>
  <c r="J629" i="5"/>
  <c r="K629" i="5"/>
  <c r="A629" i="12"/>
  <c r="F629" i="5"/>
  <c r="N629" i="5"/>
  <c r="B629" i="6"/>
  <c r="CA626" i="6"/>
  <c r="CE626" i="6"/>
  <c r="CC626" i="6"/>
  <c r="D628" i="6"/>
  <c r="BH626" i="6"/>
  <c r="CD626" i="6"/>
  <c r="BE626" i="6"/>
  <c r="F628" i="6"/>
  <c r="E628" i="12"/>
  <c r="BJ626" i="6"/>
  <c r="BF626" i="6"/>
  <c r="M627" i="6" l="1"/>
  <c r="BJ627" i="6" s="1"/>
  <c r="A628" i="6"/>
  <c r="CM628" i="6"/>
  <c r="CL628" i="6"/>
  <c r="CK628" i="6"/>
  <c r="CJ628" i="6"/>
  <c r="CI628" i="6"/>
  <c r="CH628" i="6"/>
  <c r="CG628" i="6"/>
  <c r="CF628" i="6"/>
  <c r="BT628" i="6"/>
  <c r="BS628" i="6"/>
  <c r="BR628" i="6"/>
  <c r="BQ628" i="6"/>
  <c r="BP628" i="6"/>
  <c r="BO628" i="6"/>
  <c r="BN628" i="6"/>
  <c r="BM628" i="6"/>
  <c r="U628" i="5"/>
  <c r="AN628" i="5" s="1"/>
  <c r="J629" i="12"/>
  <c r="L629" i="12"/>
  <c r="F630" i="5"/>
  <c r="A630" i="12"/>
  <c r="E630" i="5"/>
  <c r="G630" i="5"/>
  <c r="AE630" i="5"/>
  <c r="D630" i="5"/>
  <c r="B630" i="12" s="1"/>
  <c r="H630" i="5"/>
  <c r="J630" i="5"/>
  <c r="B630" i="6"/>
  <c r="N630" i="5"/>
  <c r="AD630" i="5"/>
  <c r="C631" i="5"/>
  <c r="K630" i="5"/>
  <c r="B630" i="5"/>
  <c r="D629" i="6"/>
  <c r="N628" i="6"/>
  <c r="H628" i="6"/>
  <c r="T628" i="5" s="1"/>
  <c r="G628" i="12" s="1"/>
  <c r="M628" i="6"/>
  <c r="BW628" i="6" s="1"/>
  <c r="G628" i="6"/>
  <c r="CD627" i="6" l="1"/>
  <c r="BY627" i="6"/>
  <c r="BH627" i="6"/>
  <c r="BK627" i="6"/>
  <c r="BW627" i="6"/>
  <c r="CK627" i="6"/>
  <c r="BG627" i="6"/>
  <c r="CE627" i="6"/>
  <c r="BZ627" i="6"/>
  <c r="CC627" i="6"/>
  <c r="BV627" i="6"/>
  <c r="BF627" i="6"/>
  <c r="BE627" i="6"/>
  <c r="BL627" i="6"/>
  <c r="BO627" i="6"/>
  <c r="CI627" i="6"/>
  <c r="BN627" i="6"/>
  <c r="BD627" i="6"/>
  <c r="CH627" i="6"/>
  <c r="CA627" i="6"/>
  <c r="BC627" i="6"/>
  <c r="CF627" i="6"/>
  <c r="BM627" i="6"/>
  <c r="CG627" i="6"/>
  <c r="BT627" i="6"/>
  <c r="BS627" i="6"/>
  <c r="BR627" i="6"/>
  <c r="CM627" i="6"/>
  <c r="CB627" i="6"/>
  <c r="BQ627" i="6"/>
  <c r="CJ627" i="6"/>
  <c r="BX627" i="6"/>
  <c r="BI627" i="6"/>
  <c r="BP627" i="6"/>
  <c r="CL627" i="6"/>
  <c r="AY628" i="6"/>
  <c r="AZ628" i="6"/>
  <c r="BA628" i="6"/>
  <c r="AT628" i="6"/>
  <c r="A629" i="6"/>
  <c r="N629" i="6" s="1"/>
  <c r="AU628" i="6"/>
  <c r="AV628" i="6"/>
  <c r="AX628" i="6"/>
  <c r="AW628" i="6"/>
  <c r="BZ628" i="6"/>
  <c r="AM628" i="6"/>
  <c r="CA628" i="6"/>
  <c r="AP628" i="6"/>
  <c r="BX628" i="6"/>
  <c r="BY628" i="6"/>
  <c r="AQ628" i="6"/>
  <c r="CD628" i="6"/>
  <c r="BJ628" i="6"/>
  <c r="CC628" i="6"/>
  <c r="BF628" i="6"/>
  <c r="AL628" i="6"/>
  <c r="CE628" i="6"/>
  <c r="BH628" i="6"/>
  <c r="AK628" i="6"/>
  <c r="AE631" i="5"/>
  <c r="A631" i="12"/>
  <c r="H631" i="5"/>
  <c r="J631" i="5"/>
  <c r="AD631" i="5"/>
  <c r="B631" i="5"/>
  <c r="F631" i="5"/>
  <c r="D631" i="5"/>
  <c r="B631" i="12" s="1"/>
  <c r="E631" i="5"/>
  <c r="B631" i="6"/>
  <c r="N631" i="5"/>
  <c r="C632" i="5"/>
  <c r="K631" i="5"/>
  <c r="G631" i="5"/>
  <c r="J630" i="12"/>
  <c r="L630" i="12"/>
  <c r="D630" i="6"/>
  <c r="AS628" i="6"/>
  <c r="AO628" i="6"/>
  <c r="BK628" i="6"/>
  <c r="AR628" i="6"/>
  <c r="H629" i="6"/>
  <c r="T629" i="5" s="1"/>
  <c r="G629" i="12" s="1"/>
  <c r="BC628" i="6"/>
  <c r="BE628" i="6"/>
  <c r="BG628" i="6"/>
  <c r="BD628" i="6"/>
  <c r="CB628" i="6"/>
  <c r="AN628" i="6"/>
  <c r="BI628" i="6"/>
  <c r="BL628" i="6"/>
  <c r="AJ628" i="6"/>
  <c r="BV628" i="6"/>
  <c r="K629" i="12"/>
  <c r="M629" i="6" l="1"/>
  <c r="BV629" i="6" s="1"/>
  <c r="A630" i="6"/>
  <c r="N630" i="6" s="1"/>
  <c r="J631" i="12"/>
  <c r="L631" i="12"/>
  <c r="B632" i="6"/>
  <c r="E632" i="5"/>
  <c r="N632" i="5"/>
  <c r="AD632" i="5"/>
  <c r="J632" i="5"/>
  <c r="F632" i="5"/>
  <c r="G632" i="5"/>
  <c r="AE632" i="5"/>
  <c r="H632" i="5"/>
  <c r="B632" i="5"/>
  <c r="C633" i="5"/>
  <c r="K632" i="5"/>
  <c r="D632" i="5"/>
  <c r="B632" i="12" s="1"/>
  <c r="A632" i="12"/>
  <c r="D631" i="6"/>
  <c r="K630" i="12"/>
  <c r="H630" i="6"/>
  <c r="T630" i="5" s="1"/>
  <c r="G630" i="12" s="1"/>
  <c r="CE629" i="6" l="1"/>
  <c r="BH629" i="6"/>
  <c r="CM629" i="6"/>
  <c r="BR629" i="6"/>
  <c r="CL629" i="6"/>
  <c r="BE629" i="6"/>
  <c r="BQ629" i="6"/>
  <c r="CB629" i="6"/>
  <c r="BJ629" i="6"/>
  <c r="BC629" i="6"/>
  <c r="BO629" i="6"/>
  <c r="BI629" i="6"/>
  <c r="BD629" i="6"/>
  <c r="BF629" i="6"/>
  <c r="CK629" i="6"/>
  <c r="CG629" i="6"/>
  <c r="BP629" i="6"/>
  <c r="BX629" i="6"/>
  <c r="BT629" i="6"/>
  <c r="CJ629" i="6"/>
  <c r="BK629" i="6"/>
  <c r="BY629" i="6"/>
  <c r="CA629" i="6"/>
  <c r="BN629" i="6"/>
  <c r="CI629" i="6"/>
  <c r="BL629" i="6"/>
  <c r="BW629" i="6"/>
  <c r="CD629" i="6"/>
  <c r="BG629" i="6"/>
  <c r="BZ629" i="6"/>
  <c r="BM629" i="6"/>
  <c r="CF629" i="6"/>
  <c r="CC629" i="6"/>
  <c r="BS629" i="6"/>
  <c r="CH629" i="6"/>
  <c r="M630" i="6"/>
  <c r="CD630" i="6" s="1"/>
  <c r="A631" i="6"/>
  <c r="M631" i="6" s="1"/>
  <c r="BI631" i="6" s="1"/>
  <c r="K631" i="12"/>
  <c r="AD633" i="5"/>
  <c r="D633" i="5"/>
  <c r="B633" i="12" s="1"/>
  <c r="B633" i="6"/>
  <c r="F633" i="5"/>
  <c r="J633" i="5"/>
  <c r="B633" i="5"/>
  <c r="E633" i="5"/>
  <c r="N633" i="5"/>
  <c r="H633" i="5"/>
  <c r="G633" i="5"/>
  <c r="C634" i="5"/>
  <c r="AE633" i="5"/>
  <c r="A633" i="12"/>
  <c r="K633" i="5"/>
  <c r="H631" i="6"/>
  <c r="T631" i="5" s="1"/>
  <c r="G631" i="12" s="1"/>
  <c r="L632" i="12"/>
  <c r="J632" i="12"/>
  <c r="D632" i="6"/>
  <c r="N631" i="6" l="1"/>
  <c r="BI630" i="6"/>
  <c r="BL630" i="6"/>
  <c r="BD630" i="6"/>
  <c r="BC630" i="6"/>
  <c r="BZ630" i="6"/>
  <c r="CB630" i="6"/>
  <c r="BG630" i="6"/>
  <c r="BY630" i="6"/>
  <c r="CC630" i="6"/>
  <c r="BQ630" i="6"/>
  <c r="BN630" i="6"/>
  <c r="CH630" i="6"/>
  <c r="BM630" i="6"/>
  <c r="CG630" i="6"/>
  <c r="BF630" i="6"/>
  <c r="BT630" i="6"/>
  <c r="CE630" i="6"/>
  <c r="BJ630" i="6"/>
  <c r="CF630" i="6"/>
  <c r="BV630" i="6"/>
  <c r="BE630" i="6"/>
  <c r="CM630" i="6"/>
  <c r="BK630" i="6"/>
  <c r="CJ630" i="6"/>
  <c r="BX630" i="6"/>
  <c r="BS630" i="6"/>
  <c r="CL630" i="6"/>
  <c r="CA630" i="6"/>
  <c r="BP630" i="6"/>
  <c r="CK630" i="6"/>
  <c r="BW630" i="6"/>
  <c r="BO630" i="6"/>
  <c r="BR630" i="6"/>
  <c r="BH630" i="6"/>
  <c r="CI630" i="6"/>
  <c r="BR631" i="6"/>
  <c r="BS631" i="6"/>
  <c r="BT631" i="6"/>
  <c r="CF631" i="6"/>
  <c r="CG631" i="6"/>
  <c r="CH631" i="6"/>
  <c r="CI631" i="6"/>
  <c r="BM631" i="6"/>
  <c r="CJ631" i="6"/>
  <c r="BN631" i="6"/>
  <c r="CK631" i="6"/>
  <c r="BO631" i="6"/>
  <c r="CL631" i="6"/>
  <c r="BP631" i="6"/>
  <c r="CM631" i="6"/>
  <c r="A632" i="6"/>
  <c r="M632" i="6" s="1"/>
  <c r="BQ631" i="6"/>
  <c r="CD631" i="6"/>
  <c r="CB631" i="6"/>
  <c r="BX631" i="6"/>
  <c r="BV631" i="6"/>
  <c r="BW631" i="6"/>
  <c r="BY631" i="6"/>
  <c r="BE631" i="6"/>
  <c r="CA631" i="6"/>
  <c r="BZ631" i="6"/>
  <c r="K632" i="12"/>
  <c r="BK631" i="6"/>
  <c r="J633" i="12"/>
  <c r="L633" i="12"/>
  <c r="B634" i="5"/>
  <c r="K634" i="5"/>
  <c r="AE634" i="5"/>
  <c r="N634" i="5"/>
  <c r="C635" i="5"/>
  <c r="G634" i="5"/>
  <c r="A634" i="12"/>
  <c r="E634" i="5"/>
  <c r="AD634" i="5"/>
  <c r="F634" i="5"/>
  <c r="J634" i="5"/>
  <c r="D634" i="5"/>
  <c r="B634" i="12" s="1"/>
  <c r="H634" i="5"/>
  <c r="B634" i="6"/>
  <c r="BC631" i="6"/>
  <c r="BJ631" i="6"/>
  <c r="D633" i="6"/>
  <c r="BL631" i="6"/>
  <c r="BF631" i="6"/>
  <c r="BD631" i="6"/>
  <c r="CE631" i="6"/>
  <c r="CC631" i="6"/>
  <c r="H632" i="6"/>
  <c r="T632" i="5" s="1"/>
  <c r="G632" i="12" s="1"/>
  <c r="BH631" i="6"/>
  <c r="BG631" i="6"/>
  <c r="N632" i="6" l="1"/>
  <c r="CC632" i="6"/>
  <c r="BT632" i="6"/>
  <c r="BR632" i="6"/>
  <c r="CM632" i="6"/>
  <c r="BS632" i="6"/>
  <c r="BM632" i="6"/>
  <c r="BN632" i="6"/>
  <c r="A633" i="6"/>
  <c r="N633" i="6" s="1"/>
  <c r="CG632" i="6"/>
  <c r="CH632" i="6"/>
  <c r="CF632" i="6"/>
  <c r="CI632" i="6"/>
  <c r="BO632" i="6"/>
  <c r="CJ632" i="6"/>
  <c r="BP632" i="6"/>
  <c r="CK632" i="6"/>
  <c r="BQ632" i="6"/>
  <c r="CL632" i="6"/>
  <c r="CA632" i="6"/>
  <c r="BL632" i="6"/>
  <c r="BZ632" i="6"/>
  <c r="BK632" i="6"/>
  <c r="CB632" i="6"/>
  <c r="BJ632" i="6"/>
  <c r="BY632" i="6"/>
  <c r="BG632" i="6"/>
  <c r="BF632" i="6"/>
  <c r="BC632" i="6"/>
  <c r="BX632" i="6"/>
  <c r="CE632" i="6"/>
  <c r="BV632" i="6"/>
  <c r="K633" i="12"/>
  <c r="BE632" i="6"/>
  <c r="CD632" i="6"/>
  <c r="BH632" i="6"/>
  <c r="D634" i="6"/>
  <c r="H633" i="6"/>
  <c r="T633" i="5" s="1"/>
  <c r="G633" i="12" s="1"/>
  <c r="BW632" i="6"/>
  <c r="BD632" i="6"/>
  <c r="BI632" i="6"/>
  <c r="L634" i="12"/>
  <c r="J634" i="12"/>
  <c r="AE635" i="5"/>
  <c r="H635" i="5"/>
  <c r="B635" i="6"/>
  <c r="AD635" i="5"/>
  <c r="B635" i="5"/>
  <c r="C636" i="5" s="1"/>
  <c r="K635" i="5"/>
  <c r="G635" i="5"/>
  <c r="F635" i="5"/>
  <c r="N635" i="5"/>
  <c r="J635" i="5"/>
  <c r="E635" i="5"/>
  <c r="D635" i="5"/>
  <c r="B635" i="12" s="1"/>
  <c r="A635" i="12"/>
  <c r="M633" i="6" l="1"/>
  <c r="BW633" i="6" s="1"/>
  <c r="A634" i="6"/>
  <c r="N634" i="6" s="1"/>
  <c r="H634" i="6"/>
  <c r="T634" i="5" s="1"/>
  <c r="G634" i="12" s="1"/>
  <c r="N636" i="5"/>
  <c r="C637" i="5"/>
  <c r="E636" i="5"/>
  <c r="F636" i="5"/>
  <c r="AD636" i="5"/>
  <c r="B636" i="6"/>
  <c r="W636" i="5"/>
  <c r="H636" i="12" s="1"/>
  <c r="G636" i="5"/>
  <c r="A636" i="12"/>
  <c r="B636" i="5"/>
  <c r="H636" i="5"/>
  <c r="AE636" i="5"/>
  <c r="L635" i="12"/>
  <c r="J635" i="12"/>
  <c r="K634" i="12"/>
  <c r="D635" i="6"/>
  <c r="AF636" i="5"/>
  <c r="BZ633" i="6" l="1"/>
  <c r="BX633" i="6"/>
  <c r="BD633" i="6"/>
  <c r="BL633" i="6"/>
  <c r="CD633" i="6"/>
  <c r="CB633" i="6"/>
  <c r="CA633" i="6"/>
  <c r="BH633" i="6"/>
  <c r="BE633" i="6"/>
  <c r="BC633" i="6"/>
  <c r="CE633" i="6"/>
  <c r="BG633" i="6"/>
  <c r="BY633" i="6"/>
  <c r="CM633" i="6"/>
  <c r="BR633" i="6"/>
  <c r="BQ633" i="6"/>
  <c r="BP633" i="6"/>
  <c r="BO633" i="6"/>
  <c r="BV633" i="6"/>
  <c r="CI633" i="6"/>
  <c r="CC633" i="6"/>
  <c r="BN633" i="6"/>
  <c r="BI633" i="6"/>
  <c r="CH633" i="6"/>
  <c r="M634" i="6"/>
  <c r="CC634" i="6" s="1"/>
  <c r="BF633" i="6"/>
  <c r="BK633" i="6"/>
  <c r="BM633" i="6"/>
  <c r="CJ633" i="6"/>
  <c r="CG633" i="6"/>
  <c r="CK633" i="6"/>
  <c r="BT633" i="6"/>
  <c r="BJ633" i="6"/>
  <c r="CL633" i="6"/>
  <c r="CF633" i="6"/>
  <c r="BS633" i="6"/>
  <c r="A635" i="6"/>
  <c r="N635" i="6" s="1"/>
  <c r="S636" i="5"/>
  <c r="F636" i="12" s="1"/>
  <c r="AG636" i="5"/>
  <c r="H635" i="6"/>
  <c r="T635" i="5" s="1"/>
  <c r="G635" i="12" s="1"/>
  <c r="AD637" i="5"/>
  <c r="N637" i="5"/>
  <c r="F637" i="5"/>
  <c r="B637" i="5"/>
  <c r="K637" i="5"/>
  <c r="J637" i="5"/>
  <c r="B637" i="6"/>
  <c r="H637" i="5"/>
  <c r="E637" i="5"/>
  <c r="G637" i="5"/>
  <c r="AE637" i="5"/>
  <c r="A637" i="12"/>
  <c r="C638" i="5"/>
  <c r="D637" i="5"/>
  <c r="B637" i="12" s="1"/>
  <c r="D636" i="6"/>
  <c r="K635" i="12"/>
  <c r="F636" i="6"/>
  <c r="E636" i="12"/>
  <c r="BN634" i="6" l="1"/>
  <c r="BL634" i="6"/>
  <c r="CJ634" i="6"/>
  <c r="CE634" i="6"/>
  <c r="BT634" i="6"/>
  <c r="BM634" i="6"/>
  <c r="BS634" i="6"/>
  <c r="CI634" i="6"/>
  <c r="CH634" i="6"/>
  <c r="BH634" i="6"/>
  <c r="BK634" i="6"/>
  <c r="CM634" i="6"/>
  <c r="BG634" i="6"/>
  <c r="CF634" i="6"/>
  <c r="BE634" i="6"/>
  <c r="CG634" i="6"/>
  <c r="BC634" i="6"/>
  <c r="BJ634" i="6"/>
  <c r="BP634" i="6"/>
  <c r="BV634" i="6"/>
  <c r="BY634" i="6"/>
  <c r="BD634" i="6"/>
  <c r="CA634" i="6"/>
  <c r="CL634" i="6"/>
  <c r="BR634" i="6"/>
  <c r="BQ634" i="6"/>
  <c r="BX634" i="6"/>
  <c r="CD634" i="6"/>
  <c r="BF634" i="6"/>
  <c r="BW634" i="6"/>
  <c r="BO634" i="6"/>
  <c r="BI634" i="6"/>
  <c r="CB634" i="6"/>
  <c r="BZ634" i="6"/>
  <c r="CK634" i="6"/>
  <c r="M635" i="6"/>
  <c r="BZ635" i="6" s="1"/>
  <c r="A636" i="6"/>
  <c r="CI636" i="6"/>
  <c r="CH636" i="6"/>
  <c r="CG636" i="6"/>
  <c r="CF636" i="6"/>
  <c r="CM636" i="6"/>
  <c r="CJ636" i="6"/>
  <c r="CL636" i="6"/>
  <c r="CK636" i="6"/>
  <c r="BR636" i="6"/>
  <c r="BQ636" i="6"/>
  <c r="BP636" i="6"/>
  <c r="BO636" i="6"/>
  <c r="BN636" i="6"/>
  <c r="BM636" i="6"/>
  <c r="BT636" i="6"/>
  <c r="BS636" i="6"/>
  <c r="U636" i="5"/>
  <c r="AN636" i="5" s="1"/>
  <c r="B638" i="6"/>
  <c r="K638" i="5"/>
  <c r="AD638" i="5"/>
  <c r="D638" i="5"/>
  <c r="B638" i="12" s="1"/>
  <c r="E638" i="5"/>
  <c r="H638" i="5"/>
  <c r="AE638" i="5"/>
  <c r="A638" i="12"/>
  <c r="C639" i="5"/>
  <c r="F638" i="5"/>
  <c r="B638" i="5"/>
  <c r="J638" i="5"/>
  <c r="G638" i="5"/>
  <c r="N638" i="5"/>
  <c r="D637" i="6"/>
  <c r="L637" i="12"/>
  <c r="J637" i="12"/>
  <c r="H636" i="6"/>
  <c r="T636" i="5" s="1"/>
  <c r="G636" i="12" s="1"/>
  <c r="G636" i="6"/>
  <c r="M636" i="6"/>
  <c r="BC636" i="6" s="1"/>
  <c r="N636" i="6"/>
  <c r="BE635" i="6" l="1"/>
  <c r="BC635" i="6"/>
  <c r="CC635" i="6"/>
  <c r="CD635" i="6"/>
  <c r="BK635" i="6"/>
  <c r="BD635" i="6"/>
  <c r="BL635" i="6"/>
  <c r="BF635" i="6"/>
  <c r="CE635" i="6"/>
  <c r="BM635" i="6"/>
  <c r="BT635" i="6"/>
  <c r="BV635" i="6"/>
  <c r="CB635" i="6"/>
  <c r="BX635" i="6"/>
  <c r="BH635" i="6"/>
  <c r="CA635" i="6"/>
  <c r="BS635" i="6"/>
  <c r="CF635" i="6"/>
  <c r="CM635" i="6"/>
  <c r="CH635" i="6"/>
  <c r="BR635" i="6"/>
  <c r="BY635" i="6"/>
  <c r="CG635" i="6"/>
  <c r="CL635" i="6"/>
  <c r="BN635" i="6"/>
  <c r="BQ635" i="6"/>
  <c r="CK635" i="6"/>
  <c r="BI635" i="6"/>
  <c r="BP635" i="6"/>
  <c r="BW635" i="6"/>
  <c r="CJ635" i="6"/>
  <c r="BJ635" i="6"/>
  <c r="BO635" i="6"/>
  <c r="BG635" i="6"/>
  <c r="CI635" i="6"/>
  <c r="AZ636" i="6"/>
  <c r="BA636" i="6"/>
  <c r="AT636" i="6"/>
  <c r="AU636" i="6"/>
  <c r="AV636" i="6"/>
  <c r="A637" i="6"/>
  <c r="N637" i="6" s="1"/>
  <c r="AW636" i="6"/>
  <c r="AX636" i="6"/>
  <c r="AY636" i="6"/>
  <c r="BX636" i="6"/>
  <c r="BY636" i="6"/>
  <c r="BF636" i="6"/>
  <c r="CA636" i="6"/>
  <c r="BH636" i="6"/>
  <c r="BD636" i="6"/>
  <c r="K637" i="12"/>
  <c r="BI636" i="6"/>
  <c r="AJ636" i="6"/>
  <c r="CC636" i="6"/>
  <c r="AN636" i="6"/>
  <c r="BK636" i="6"/>
  <c r="AQ636" i="6"/>
  <c r="AR636" i="6"/>
  <c r="AM636" i="6"/>
  <c r="D638" i="6"/>
  <c r="AO636" i="6"/>
  <c r="BW636" i="6"/>
  <c r="BE636" i="6"/>
  <c r="BV636" i="6"/>
  <c r="BG636" i="6"/>
  <c r="AP636" i="6"/>
  <c r="CE636" i="6"/>
  <c r="BZ636" i="6"/>
  <c r="AL636" i="6"/>
  <c r="BJ636" i="6"/>
  <c r="H637" i="6"/>
  <c r="T637" i="5" s="1"/>
  <c r="G637" i="12" s="1"/>
  <c r="CD636" i="6"/>
  <c r="CB636" i="6"/>
  <c r="AK636" i="6"/>
  <c r="E639" i="5"/>
  <c r="AE639" i="5"/>
  <c r="K639" i="5"/>
  <c r="B639" i="6"/>
  <c r="D639" i="5"/>
  <c r="B639" i="12" s="1"/>
  <c r="A639" i="12"/>
  <c r="G639" i="5"/>
  <c r="F639" i="5"/>
  <c r="B639" i="5"/>
  <c r="C640" i="5" s="1"/>
  <c r="AD639" i="5"/>
  <c r="J639" i="5"/>
  <c r="N639" i="5"/>
  <c r="H639" i="5"/>
  <c r="AS636" i="6"/>
  <c r="BL636" i="6"/>
  <c r="J638" i="12"/>
  <c r="L638" i="12"/>
  <c r="M637" i="6" l="1"/>
  <c r="BJ637" i="6" s="1"/>
  <c r="A638" i="6"/>
  <c r="N638" i="6" s="1"/>
  <c r="D639" i="6"/>
  <c r="K638" i="12"/>
  <c r="W640" i="5"/>
  <c r="H640" i="12" s="1"/>
  <c r="H640" i="5"/>
  <c r="AE640" i="5"/>
  <c r="B640" i="5"/>
  <c r="F640" i="5"/>
  <c r="G640" i="5"/>
  <c r="E640" i="5"/>
  <c r="B640" i="6"/>
  <c r="AD640" i="5"/>
  <c r="A640" i="12"/>
  <c r="N640" i="5"/>
  <c r="C641" i="5"/>
  <c r="J639" i="12"/>
  <c r="L639" i="12"/>
  <c r="H638" i="6"/>
  <c r="T638" i="5" s="1"/>
  <c r="G638" i="12" s="1"/>
  <c r="AF640" i="5"/>
  <c r="BH637" i="6" l="1"/>
  <c r="CL637" i="6"/>
  <c r="BW637" i="6"/>
  <c r="BZ637" i="6"/>
  <c r="BO637" i="6"/>
  <c r="CA637" i="6"/>
  <c r="BN637" i="6"/>
  <c r="BC637" i="6"/>
  <c r="CC637" i="6"/>
  <c r="CJ637" i="6"/>
  <c r="BD637" i="6"/>
  <c r="BM637" i="6"/>
  <c r="BY637" i="6"/>
  <c r="CB637" i="6"/>
  <c r="CI637" i="6"/>
  <c r="BV637" i="6"/>
  <c r="BK637" i="6"/>
  <c r="BG637" i="6"/>
  <c r="CD637" i="6"/>
  <c r="BR637" i="6"/>
  <c r="CH637" i="6"/>
  <c r="BQ637" i="6"/>
  <c r="CG637" i="6"/>
  <c r="CK637" i="6"/>
  <c r="BL637" i="6"/>
  <c r="BI637" i="6"/>
  <c r="BS637" i="6"/>
  <c r="BE637" i="6"/>
  <c r="BF637" i="6"/>
  <c r="CM637" i="6"/>
  <c r="CF637" i="6"/>
  <c r="BX637" i="6"/>
  <c r="CE637" i="6"/>
  <c r="BP637" i="6"/>
  <c r="BT637" i="6"/>
  <c r="M638" i="6"/>
  <c r="BI638" i="6" s="1"/>
  <c r="A639" i="6"/>
  <c r="M639" i="6" s="1"/>
  <c r="BK639" i="6" s="1"/>
  <c r="S640" i="5"/>
  <c r="F640" i="12" s="1"/>
  <c r="AG640" i="5"/>
  <c r="H639" i="6"/>
  <c r="T639" i="5" s="1"/>
  <c r="G639" i="12" s="1"/>
  <c r="K639" i="12"/>
  <c r="F641" i="5"/>
  <c r="AD641" i="5"/>
  <c r="H641" i="5"/>
  <c r="AE641" i="5"/>
  <c r="E641" i="5"/>
  <c r="B641" i="5"/>
  <c r="N641" i="5"/>
  <c r="G641" i="5"/>
  <c r="A641" i="12"/>
  <c r="J641" i="5"/>
  <c r="K641" i="5"/>
  <c r="D641" i="5"/>
  <c r="B641" i="12" s="1"/>
  <c r="B641" i="6"/>
  <c r="C642" i="5"/>
  <c r="D640" i="6"/>
  <c r="E640" i="12"/>
  <c r="F640" i="6"/>
  <c r="BV638" i="6" l="1"/>
  <c r="BH638" i="6"/>
  <c r="BF638" i="6"/>
  <c r="CB638" i="6"/>
  <c r="CA638" i="6"/>
  <c r="BG638" i="6"/>
  <c r="BY638" i="6"/>
  <c r="CC638" i="6"/>
  <c r="BW638" i="6"/>
  <c r="BD638" i="6"/>
  <c r="BZ638" i="6"/>
  <c r="CD638" i="6"/>
  <c r="BK638" i="6"/>
  <c r="CE638" i="6"/>
  <c r="BX638" i="6"/>
  <c r="CJ638" i="6"/>
  <c r="CG638" i="6"/>
  <c r="BN638" i="6"/>
  <c r="BM638" i="6"/>
  <c r="BT638" i="6"/>
  <c r="BS638" i="6"/>
  <c r="CM638" i="6"/>
  <c r="BR638" i="6"/>
  <c r="BO638" i="6"/>
  <c r="CL638" i="6"/>
  <c r="BL638" i="6"/>
  <c r="CI638" i="6"/>
  <c r="BQ638" i="6"/>
  <c r="BC638" i="6"/>
  <c r="BE638" i="6"/>
  <c r="BJ638" i="6"/>
  <c r="CF638" i="6"/>
  <c r="CK638" i="6"/>
  <c r="CH638" i="6"/>
  <c r="BP638" i="6"/>
  <c r="N639" i="6"/>
  <c r="CL639" i="6"/>
  <c r="CJ639" i="6"/>
  <c r="A640" i="6"/>
  <c r="CM640" i="6"/>
  <c r="CL640" i="6"/>
  <c r="CK640" i="6"/>
  <c r="CJ640" i="6"/>
  <c r="CI640" i="6"/>
  <c r="CH640" i="6"/>
  <c r="CG640" i="6"/>
  <c r="CF640" i="6"/>
  <c r="BT640" i="6"/>
  <c r="BS640" i="6"/>
  <c r="BR640" i="6"/>
  <c r="BQ640" i="6"/>
  <c r="BP640" i="6"/>
  <c r="BO640" i="6"/>
  <c r="BN640" i="6"/>
  <c r="BM640" i="6"/>
  <c r="CM639" i="6"/>
  <c r="BS639" i="6"/>
  <c r="CF639" i="6"/>
  <c r="BT639" i="6"/>
  <c r="CG639" i="6"/>
  <c r="BM639" i="6"/>
  <c r="CH639" i="6"/>
  <c r="BN639" i="6"/>
  <c r="CI639" i="6"/>
  <c r="BO639" i="6"/>
  <c r="BP639" i="6"/>
  <c r="BQ639" i="6"/>
  <c r="BR639" i="6"/>
  <c r="CK639" i="6"/>
  <c r="U640" i="5"/>
  <c r="AN640" i="5" s="1"/>
  <c r="BJ639" i="6"/>
  <c r="BI639" i="6"/>
  <c r="CE639" i="6"/>
  <c r="CB639" i="6"/>
  <c r="BV639" i="6"/>
  <c r="L641" i="12"/>
  <c r="J641" i="12"/>
  <c r="BX639" i="6"/>
  <c r="CC639" i="6"/>
  <c r="BG639" i="6"/>
  <c r="BF639" i="6"/>
  <c r="D641" i="6"/>
  <c r="CA639" i="6"/>
  <c r="BY639" i="6"/>
  <c r="BC639" i="6"/>
  <c r="BD639" i="6"/>
  <c r="E642" i="5"/>
  <c r="B642" i="5"/>
  <c r="C643" i="5" s="1"/>
  <c r="A642" i="12"/>
  <c r="J642" i="5"/>
  <c r="AE642" i="5"/>
  <c r="G642" i="5"/>
  <c r="K642" i="5"/>
  <c r="D642" i="5"/>
  <c r="B642" i="12" s="1"/>
  <c r="N642" i="5"/>
  <c r="B642" i="6"/>
  <c r="F642" i="5"/>
  <c r="AD642" i="5"/>
  <c r="H642" i="5"/>
  <c r="CD639" i="6"/>
  <c r="M640" i="6"/>
  <c r="BJ640" i="6" s="1"/>
  <c r="G640" i="6"/>
  <c r="H640" i="6"/>
  <c r="T640" i="5" s="1"/>
  <c r="G640" i="12" s="1"/>
  <c r="N640" i="6"/>
  <c r="BE639" i="6"/>
  <c r="BW639" i="6"/>
  <c r="BH639" i="6"/>
  <c r="BL639" i="6"/>
  <c r="BZ639" i="6"/>
  <c r="AV640" i="6" l="1"/>
  <c r="AW640" i="6"/>
  <c r="AX640" i="6"/>
  <c r="AY640" i="6"/>
  <c r="AZ640" i="6"/>
  <c r="BA640" i="6"/>
  <c r="A641" i="6"/>
  <c r="M641" i="6" s="1"/>
  <c r="AT640" i="6"/>
  <c r="AU640" i="6"/>
  <c r="K641" i="12"/>
  <c r="CE640" i="6"/>
  <c r="BX640" i="6"/>
  <c r="BL640" i="6"/>
  <c r="CA640" i="6"/>
  <c r="BC640" i="6"/>
  <c r="BY640" i="6"/>
  <c r="BZ640" i="6"/>
  <c r="BG640" i="6"/>
  <c r="CD640" i="6"/>
  <c r="BI640" i="6"/>
  <c r="BE640" i="6"/>
  <c r="BF640" i="6"/>
  <c r="BH640" i="6"/>
  <c r="BK640" i="6"/>
  <c r="AK640" i="6"/>
  <c r="AP640" i="6"/>
  <c r="AS640" i="6"/>
  <c r="D642" i="6"/>
  <c r="AM640" i="6"/>
  <c r="H641" i="6"/>
  <c r="T641" i="5" s="1"/>
  <c r="G641" i="12" s="1"/>
  <c r="AD643" i="5"/>
  <c r="C644" i="5"/>
  <c r="A643" i="12"/>
  <c r="W643" i="5"/>
  <c r="H643" i="12" s="1"/>
  <c r="H643" i="5"/>
  <c r="N643" i="5"/>
  <c r="F643" i="5"/>
  <c r="AE643" i="5"/>
  <c r="G643" i="5"/>
  <c r="E643" i="5"/>
  <c r="B643" i="5"/>
  <c r="B643" i="6"/>
  <c r="AL640" i="6"/>
  <c r="CC640" i="6"/>
  <c r="AR640" i="6"/>
  <c r="AO640" i="6"/>
  <c r="BD640" i="6"/>
  <c r="CB640" i="6"/>
  <c r="BW640" i="6"/>
  <c r="AQ640" i="6"/>
  <c r="L642" i="12"/>
  <c r="J642" i="12"/>
  <c r="AJ640" i="6"/>
  <c r="AN640" i="6"/>
  <c r="BV640" i="6"/>
  <c r="AF643" i="5"/>
  <c r="BV641" i="6" l="1"/>
  <c r="BO641" i="6"/>
  <c r="CK641" i="6"/>
  <c r="CJ641" i="6"/>
  <c r="BQ641" i="6"/>
  <c r="CI641" i="6"/>
  <c r="BP641" i="6"/>
  <c r="N641" i="6"/>
  <c r="CL641" i="6"/>
  <c r="BR641" i="6"/>
  <c r="CM641" i="6"/>
  <c r="BS641" i="6"/>
  <c r="BT641" i="6"/>
  <c r="BM641" i="6"/>
  <c r="A642" i="6"/>
  <c r="M642" i="6" s="1"/>
  <c r="BZ642" i="6" s="1"/>
  <c r="BN641" i="6"/>
  <c r="CG641" i="6"/>
  <c r="CH641" i="6"/>
  <c r="CF641" i="6"/>
  <c r="K640" i="5"/>
  <c r="AG643" i="5"/>
  <c r="S643" i="5"/>
  <c r="F643" i="12" s="1"/>
  <c r="K642" i="12"/>
  <c r="BJ641" i="6"/>
  <c r="BC641" i="6"/>
  <c r="BE641" i="6"/>
  <c r="CD641" i="6"/>
  <c r="BZ641" i="6"/>
  <c r="BI641" i="6"/>
  <c r="CB641" i="6"/>
  <c r="CE641" i="6"/>
  <c r="E643" i="12"/>
  <c r="F643" i="6"/>
  <c r="BH641" i="6"/>
  <c r="CC641" i="6"/>
  <c r="CA641" i="6"/>
  <c r="BX641" i="6"/>
  <c r="H642" i="6"/>
  <c r="T642" i="5" s="1"/>
  <c r="G642" i="12" s="1"/>
  <c r="D644" i="5"/>
  <c r="B644" i="12" s="1"/>
  <c r="B644" i="5"/>
  <c r="E644" i="5"/>
  <c r="F644" i="5"/>
  <c r="A644" i="12"/>
  <c r="AE644" i="5"/>
  <c r="N644" i="5"/>
  <c r="B644" i="6"/>
  <c r="K644" i="5"/>
  <c r="H644" i="5"/>
  <c r="J644" i="5"/>
  <c r="G644" i="5"/>
  <c r="C645" i="5"/>
  <c r="AD644" i="5"/>
  <c r="BG641" i="6"/>
  <c r="BD641" i="6"/>
  <c r="BY641" i="6"/>
  <c r="BK641" i="6"/>
  <c r="D643" i="6"/>
  <c r="BF641" i="6"/>
  <c r="BL641" i="6"/>
  <c r="BW641" i="6"/>
  <c r="N642" i="6" l="1"/>
  <c r="BN642" i="6"/>
  <c r="CI642" i="6"/>
  <c r="BO642" i="6"/>
  <c r="BP642" i="6"/>
  <c r="BQ642" i="6"/>
  <c r="BR642" i="6"/>
  <c r="CL642" i="6"/>
  <c r="CK642" i="6"/>
  <c r="CJ642" i="6"/>
  <c r="A643" i="6"/>
  <c r="CM643" i="6"/>
  <c r="CL643" i="6"/>
  <c r="CK643" i="6"/>
  <c r="CJ643" i="6"/>
  <c r="CI643" i="6"/>
  <c r="CH643" i="6"/>
  <c r="CG643" i="6"/>
  <c r="CF643" i="6"/>
  <c r="BT643" i="6"/>
  <c r="BS643" i="6"/>
  <c r="BR643" i="6"/>
  <c r="BQ643" i="6"/>
  <c r="BP643" i="6"/>
  <c r="BO643" i="6"/>
  <c r="BN643" i="6"/>
  <c r="BM643" i="6"/>
  <c r="CM642" i="6"/>
  <c r="BS642" i="6"/>
  <c r="CF642" i="6"/>
  <c r="BT642" i="6"/>
  <c r="CG642" i="6"/>
  <c r="BM642" i="6"/>
  <c r="CH642" i="6"/>
  <c r="U643" i="5"/>
  <c r="AN643" i="5" s="1"/>
  <c r="BW642" i="6"/>
  <c r="BJ642" i="6"/>
  <c r="BK642" i="6"/>
  <c r="BV642" i="6"/>
  <c r="BH642" i="6"/>
  <c r="CD642" i="6"/>
  <c r="BD642" i="6"/>
  <c r="BE642" i="6"/>
  <c r="BF642" i="6"/>
  <c r="CB642" i="6"/>
  <c r="BL642" i="6"/>
  <c r="BY642" i="6"/>
  <c r="BX642" i="6"/>
  <c r="CE642" i="6"/>
  <c r="CA642" i="6"/>
  <c r="D644" i="6"/>
  <c r="CC642" i="6"/>
  <c r="H643" i="6"/>
  <c r="T643" i="5" s="1"/>
  <c r="G643" i="12" s="1"/>
  <c r="N643" i="6"/>
  <c r="M643" i="6"/>
  <c r="BG643" i="6" s="1"/>
  <c r="G643" i="6"/>
  <c r="BI642" i="6"/>
  <c r="BC642" i="6"/>
  <c r="BG642" i="6"/>
  <c r="L644" i="12"/>
  <c r="J644" i="12"/>
  <c r="J645" i="5"/>
  <c r="C646" i="5"/>
  <c r="B645" i="6"/>
  <c r="B645" i="5"/>
  <c r="K645" i="5"/>
  <c r="G645" i="5"/>
  <c r="D645" i="5"/>
  <c r="B645" i="12" s="1"/>
  <c r="AD645" i="5"/>
  <c r="AE645" i="5"/>
  <c r="F645" i="5"/>
  <c r="A645" i="12"/>
  <c r="H645" i="5"/>
  <c r="N645" i="5"/>
  <c r="E645" i="5"/>
  <c r="AV643" i="6" l="1"/>
  <c r="AW643" i="6"/>
  <c r="AX643" i="6"/>
  <c r="A644" i="6"/>
  <c r="N644" i="6" s="1"/>
  <c r="AY643" i="6"/>
  <c r="AZ643" i="6"/>
  <c r="BA643" i="6"/>
  <c r="AT643" i="6"/>
  <c r="AU643" i="6"/>
  <c r="BW643" i="6"/>
  <c r="BY643" i="6"/>
  <c r="CD643" i="6"/>
  <c r="BX643" i="6"/>
  <c r="BZ643" i="6"/>
  <c r="BL643" i="6"/>
  <c r="AO643" i="6"/>
  <c r="BE643" i="6"/>
  <c r="CA643" i="6"/>
  <c r="BJ643" i="6"/>
  <c r="AK643" i="6"/>
  <c r="CE643" i="6"/>
  <c r="AN643" i="6"/>
  <c r="CC643" i="6"/>
  <c r="BK643" i="6"/>
  <c r="CB643" i="6"/>
  <c r="AJ643" i="6"/>
  <c r="AL643" i="6"/>
  <c r="H644" i="6"/>
  <c r="T644" i="5" s="1"/>
  <c r="G644" i="12" s="1"/>
  <c r="K644" i="12"/>
  <c r="AR643" i="6"/>
  <c r="BH643" i="6"/>
  <c r="AM643" i="6"/>
  <c r="N646" i="5"/>
  <c r="C647" i="5"/>
  <c r="AE646" i="5"/>
  <c r="F646" i="5"/>
  <c r="H646" i="5"/>
  <c r="B646" i="5"/>
  <c r="J646" i="5"/>
  <c r="K646" i="5"/>
  <c r="AD646" i="5"/>
  <c r="G646" i="5"/>
  <c r="E646" i="5"/>
  <c r="B646" i="6"/>
  <c r="D646" i="5"/>
  <c r="B646" i="12" s="1"/>
  <c r="A646" i="12"/>
  <c r="AP643" i="6"/>
  <c r="D645" i="6"/>
  <c r="BC643" i="6"/>
  <c r="AS643" i="6"/>
  <c r="BF643" i="6"/>
  <c r="BD643" i="6"/>
  <c r="BI643" i="6"/>
  <c r="L645" i="12"/>
  <c r="J645" i="12"/>
  <c r="AQ643" i="6"/>
  <c r="BV643" i="6"/>
  <c r="M644" i="6" l="1"/>
  <c r="BC644" i="6" s="1"/>
  <c r="A645" i="6"/>
  <c r="N645" i="6" s="1"/>
  <c r="K645" i="12"/>
  <c r="J646" i="12"/>
  <c r="L646" i="12"/>
  <c r="E647" i="5"/>
  <c r="AD647" i="5"/>
  <c r="N647" i="5"/>
  <c r="H647" i="5"/>
  <c r="G647" i="5"/>
  <c r="C648" i="5"/>
  <c r="B647" i="5"/>
  <c r="AE647" i="5"/>
  <c r="D647" i="5"/>
  <c r="B647" i="12" s="1"/>
  <c r="J647" i="5"/>
  <c r="B647" i="6"/>
  <c r="A647" i="12"/>
  <c r="K647" i="5"/>
  <c r="F647" i="5"/>
  <c r="D646" i="6"/>
  <c r="H645" i="6"/>
  <c r="T645" i="5" s="1"/>
  <c r="G645" i="12" s="1"/>
  <c r="BK644" i="6" l="1"/>
  <c r="BJ644" i="6"/>
  <c r="CA644" i="6"/>
  <c r="BV644" i="6"/>
  <c r="BX644" i="6"/>
  <c r="CD644" i="6"/>
  <c r="BZ644" i="6"/>
  <c r="BD644" i="6"/>
  <c r="BI644" i="6"/>
  <c r="BN644" i="6"/>
  <c r="BM644" i="6"/>
  <c r="BF644" i="6"/>
  <c r="CM644" i="6"/>
  <c r="BL644" i="6"/>
  <c r="BR644" i="6"/>
  <c r="BE644" i="6"/>
  <c r="CL644" i="6"/>
  <c r="BQ644" i="6"/>
  <c r="CB644" i="6"/>
  <c r="CK644" i="6"/>
  <c r="BG644" i="6"/>
  <c r="BP644" i="6"/>
  <c r="CC644" i="6"/>
  <c r="CJ644" i="6"/>
  <c r="BY644" i="6"/>
  <c r="CE644" i="6"/>
  <c r="BO644" i="6"/>
  <c r="CI644" i="6"/>
  <c r="CF644" i="6"/>
  <c r="BW644" i="6"/>
  <c r="BT644" i="6"/>
  <c r="CG644" i="6"/>
  <c r="BH644" i="6"/>
  <c r="BS644" i="6"/>
  <c r="CH644" i="6"/>
  <c r="M645" i="6"/>
  <c r="BS645" i="6" s="1"/>
  <c r="A646" i="6"/>
  <c r="M646" i="6" s="1"/>
  <c r="D647" i="6"/>
  <c r="L647" i="12"/>
  <c r="J647" i="12"/>
  <c r="H646" i="6"/>
  <c r="T646" i="5" s="1"/>
  <c r="G646" i="12" s="1"/>
  <c r="B648" i="6"/>
  <c r="G648" i="5"/>
  <c r="J648" i="5"/>
  <c r="AD648" i="5"/>
  <c r="E648" i="5"/>
  <c r="AE648" i="5"/>
  <c r="H648" i="5"/>
  <c r="D648" i="5"/>
  <c r="B648" i="12" s="1"/>
  <c r="N648" i="5"/>
  <c r="K648" i="5"/>
  <c r="F648" i="5"/>
  <c r="C649" i="5"/>
  <c r="A648" i="12"/>
  <c r="B648" i="5"/>
  <c r="K646" i="12"/>
  <c r="BI645" i="6" l="1"/>
  <c r="CL645" i="6"/>
  <c r="BD645" i="6"/>
  <c r="CK645" i="6"/>
  <c r="CC645" i="6"/>
  <c r="BR645" i="6"/>
  <c r="BZ645" i="6"/>
  <c r="BX645" i="6"/>
  <c r="CB645" i="6"/>
  <c r="BW645" i="6"/>
  <c r="BH645" i="6"/>
  <c r="BY645" i="6"/>
  <c r="BK645" i="6"/>
  <c r="BG645" i="6"/>
  <c r="BV645" i="6"/>
  <c r="BE645" i="6"/>
  <c r="BQ645" i="6"/>
  <c r="BJ645" i="6"/>
  <c r="BP645" i="6"/>
  <c r="BC645" i="6"/>
  <c r="BL645" i="6"/>
  <c r="BO645" i="6"/>
  <c r="CD645" i="6"/>
  <c r="BF645" i="6"/>
  <c r="CI645" i="6"/>
  <c r="BN645" i="6"/>
  <c r="CH645" i="6"/>
  <c r="BM645" i="6"/>
  <c r="CA645" i="6"/>
  <c r="CJ645" i="6"/>
  <c r="CF645" i="6"/>
  <c r="CG645" i="6"/>
  <c r="CM645" i="6"/>
  <c r="N646" i="6"/>
  <c r="CE645" i="6"/>
  <c r="BT645" i="6"/>
  <c r="BX646" i="6"/>
  <c r="CK646" i="6"/>
  <c r="CJ646" i="6"/>
  <c r="CI646" i="6"/>
  <c r="BR646" i="6"/>
  <c r="BP646" i="6"/>
  <c r="BO646" i="6"/>
  <c r="BN646" i="6"/>
  <c r="BM646" i="6"/>
  <c r="CM646" i="6"/>
  <c r="CL646" i="6"/>
  <c r="BQ646" i="6"/>
  <c r="BS646" i="6"/>
  <c r="BT646" i="6"/>
  <c r="A647" i="6"/>
  <c r="M647" i="6" s="1"/>
  <c r="CF646" i="6"/>
  <c r="CG646" i="6"/>
  <c r="CH646" i="6"/>
  <c r="K647" i="12"/>
  <c r="CB646" i="6"/>
  <c r="BI646" i="6"/>
  <c r="BK646" i="6"/>
  <c r="BV646" i="6"/>
  <c r="BY646" i="6"/>
  <c r="J648" i="12"/>
  <c r="L648" i="12"/>
  <c r="BD646" i="6"/>
  <c r="H647" i="6"/>
  <c r="T647" i="5" s="1"/>
  <c r="G647" i="12" s="1"/>
  <c r="D648" i="6"/>
  <c r="BJ646" i="6"/>
  <c r="BC646" i="6"/>
  <c r="BH646" i="6"/>
  <c r="BL646" i="6"/>
  <c r="CE646" i="6"/>
  <c r="BG646" i="6"/>
  <c r="CD646" i="6"/>
  <c r="BF646" i="6"/>
  <c r="BZ646" i="6"/>
  <c r="CC646" i="6"/>
  <c r="BW646" i="6"/>
  <c r="B649" i="5"/>
  <c r="D649" i="5"/>
  <c r="B649" i="12" s="1"/>
  <c r="A649" i="12"/>
  <c r="H649" i="5"/>
  <c r="J649" i="5"/>
  <c r="E649" i="5"/>
  <c r="AD649" i="5"/>
  <c r="G649" i="5"/>
  <c r="B649" i="6"/>
  <c r="N649" i="5"/>
  <c r="F649" i="5"/>
  <c r="K649" i="5"/>
  <c r="AE649" i="5"/>
  <c r="C650" i="5"/>
  <c r="CA646" i="6"/>
  <c r="BE646" i="6"/>
  <c r="BV647" i="6" l="1"/>
  <c r="CJ647" i="6"/>
  <c r="BO647" i="6"/>
  <c r="CI647" i="6"/>
  <c r="CF647" i="6"/>
  <c r="CH647" i="6"/>
  <c r="CG647" i="6"/>
  <c r="BN647" i="6"/>
  <c r="BM647" i="6"/>
  <c r="BT647" i="6"/>
  <c r="BS647" i="6"/>
  <c r="CM647" i="6"/>
  <c r="BR647" i="6"/>
  <c r="CL647" i="6"/>
  <c r="BQ647" i="6"/>
  <c r="CK647" i="6"/>
  <c r="BP647" i="6"/>
  <c r="A648" i="6"/>
  <c r="M648" i="6" s="1"/>
  <c r="BG648" i="6" s="1"/>
  <c r="N647" i="6"/>
  <c r="K648" i="12"/>
  <c r="BJ647" i="6"/>
  <c r="BZ647" i="6"/>
  <c r="BE647" i="6"/>
  <c r="BC647" i="6"/>
  <c r="CB647" i="6"/>
  <c r="BG647" i="6"/>
  <c r="BX647" i="6"/>
  <c r="CC647" i="6"/>
  <c r="BF647" i="6"/>
  <c r="CD647" i="6"/>
  <c r="CE647" i="6"/>
  <c r="E650" i="5"/>
  <c r="B650" i="6"/>
  <c r="A650" i="12"/>
  <c r="C651" i="5"/>
  <c r="J650" i="5"/>
  <c r="F650" i="5"/>
  <c r="D650" i="5"/>
  <c r="B650" i="12" s="1"/>
  <c r="AE650" i="5"/>
  <c r="K650" i="5"/>
  <c r="B650" i="5"/>
  <c r="H650" i="5"/>
  <c r="G650" i="5"/>
  <c r="N650" i="5"/>
  <c r="AD650" i="5"/>
  <c r="BK647" i="6"/>
  <c r="L649" i="12"/>
  <c r="J649" i="12"/>
  <c r="BH647" i="6"/>
  <c r="BY647" i="6"/>
  <c r="H648" i="6"/>
  <c r="T648" i="5" s="1"/>
  <c r="G648" i="12" s="1"/>
  <c r="BW647" i="6"/>
  <c r="D649" i="6"/>
  <c r="BL647" i="6"/>
  <c r="CA647" i="6"/>
  <c r="BD647" i="6"/>
  <c r="BI647" i="6"/>
  <c r="N648" i="6" l="1"/>
  <c r="BN648" i="6"/>
  <c r="CI648" i="6"/>
  <c r="BO648" i="6"/>
  <c r="BP648" i="6"/>
  <c r="BQ648" i="6"/>
  <c r="BS648" i="6"/>
  <c r="BR648" i="6"/>
  <c r="CK648" i="6"/>
  <c r="CL648" i="6"/>
  <c r="CJ648" i="6"/>
  <c r="CM648" i="6"/>
  <c r="A649" i="6"/>
  <c r="M649" i="6" s="1"/>
  <c r="BV649" i="6" s="1"/>
  <c r="CF648" i="6"/>
  <c r="BT648" i="6"/>
  <c r="CG648" i="6"/>
  <c r="BM648" i="6"/>
  <c r="CH648" i="6"/>
  <c r="K649" i="12"/>
  <c r="BW648" i="6"/>
  <c r="CB648" i="6"/>
  <c r="BK648" i="6"/>
  <c r="CC648" i="6"/>
  <c r="BX648" i="6"/>
  <c r="BL648" i="6"/>
  <c r="BC648" i="6"/>
  <c r="BH648" i="6"/>
  <c r="BY648" i="6"/>
  <c r="BV648" i="6"/>
  <c r="CD648" i="6"/>
  <c r="BF648" i="6"/>
  <c r="BE648" i="6"/>
  <c r="BD648" i="6"/>
  <c r="BZ648" i="6"/>
  <c r="E651" i="5"/>
  <c r="AE651" i="5"/>
  <c r="B651" i="5"/>
  <c r="F651" i="5"/>
  <c r="A651" i="12"/>
  <c r="H651" i="5"/>
  <c r="K651" i="5"/>
  <c r="J651" i="5"/>
  <c r="G651" i="5"/>
  <c r="C652" i="5"/>
  <c r="N651" i="5"/>
  <c r="D651" i="5"/>
  <c r="B651" i="12" s="1"/>
  <c r="B651" i="6"/>
  <c r="AD651" i="5"/>
  <c r="BI648" i="6"/>
  <c r="BJ648" i="6"/>
  <c r="J650" i="12"/>
  <c r="L650" i="12"/>
  <c r="H649" i="6"/>
  <c r="T649" i="5" s="1"/>
  <c r="G649" i="12" s="1"/>
  <c r="CA648" i="6"/>
  <c r="CE648" i="6"/>
  <c r="D650" i="6"/>
  <c r="N649" i="6" l="1"/>
  <c r="CI649" i="6"/>
  <c r="BM649" i="6"/>
  <c r="CJ649" i="6"/>
  <c r="BN649" i="6"/>
  <c r="CK649" i="6"/>
  <c r="BO649" i="6"/>
  <c r="CL649" i="6"/>
  <c r="BP649" i="6"/>
  <c r="CM649" i="6"/>
  <c r="BQ649" i="6"/>
  <c r="BR649" i="6"/>
  <c r="A650" i="6"/>
  <c r="N650" i="6" s="1"/>
  <c r="BS649" i="6"/>
  <c r="BT649" i="6"/>
  <c r="CF649" i="6"/>
  <c r="CG649" i="6"/>
  <c r="CH649" i="6"/>
  <c r="K650" i="12"/>
  <c r="CD649" i="6"/>
  <c r="N652" i="5"/>
  <c r="C653" i="5"/>
  <c r="H652" i="5"/>
  <c r="AD652" i="5"/>
  <c r="AE652" i="5"/>
  <c r="B652" i="5"/>
  <c r="E652" i="5"/>
  <c r="F652" i="5"/>
  <c r="D652" i="5"/>
  <c r="B652" i="12" s="1"/>
  <c r="A652" i="12"/>
  <c r="B652" i="6"/>
  <c r="K652" i="5"/>
  <c r="G652" i="5"/>
  <c r="J652" i="5"/>
  <c r="H650" i="6"/>
  <c r="T650" i="5" s="1"/>
  <c r="G650" i="12" s="1"/>
  <c r="BD649" i="6"/>
  <c r="BC649" i="6"/>
  <c r="BK649" i="6"/>
  <c r="CE649" i="6"/>
  <c r="BI649" i="6"/>
  <c r="BW649" i="6"/>
  <c r="CC649" i="6"/>
  <c r="BZ649" i="6"/>
  <c r="J651" i="12"/>
  <c r="L651" i="12"/>
  <c r="BH649" i="6"/>
  <c r="BX649" i="6"/>
  <c r="BF649" i="6"/>
  <c r="BG649" i="6"/>
  <c r="BE649" i="6"/>
  <c r="CA649" i="6"/>
  <c r="BJ649" i="6"/>
  <c r="CB649" i="6"/>
  <c r="BL649" i="6"/>
  <c r="BY649" i="6"/>
  <c r="D651" i="6"/>
  <c r="M650" i="6" l="1"/>
  <c r="CA650" i="6" s="1"/>
  <c r="A651" i="6"/>
  <c r="M651" i="6" s="1"/>
  <c r="CB651" i="6" s="1"/>
  <c r="K651" i="12"/>
  <c r="F653" i="5"/>
  <c r="B653" i="6"/>
  <c r="E653" i="5"/>
  <c r="B653" i="5"/>
  <c r="C654" i="5" s="1"/>
  <c r="N653" i="5"/>
  <c r="H653" i="5"/>
  <c r="A653" i="12"/>
  <c r="D653" i="5"/>
  <c r="B653" i="12" s="1"/>
  <c r="AE653" i="5"/>
  <c r="G653" i="5"/>
  <c r="AD653" i="5"/>
  <c r="J653" i="5"/>
  <c r="K653" i="5"/>
  <c r="D652" i="6"/>
  <c r="L652" i="12"/>
  <c r="J652" i="12"/>
  <c r="H651" i="6"/>
  <c r="T651" i="5" s="1"/>
  <c r="G651" i="12" s="1"/>
  <c r="CD650" i="6" l="1"/>
  <c r="BW650" i="6"/>
  <c r="BJ650" i="6"/>
  <c r="CC650" i="6"/>
  <c r="BG650" i="6"/>
  <c r="BD650" i="6"/>
  <c r="BK650" i="6"/>
  <c r="BL650" i="6"/>
  <c r="CE650" i="6"/>
  <c r="CB650" i="6"/>
  <c r="BC650" i="6"/>
  <c r="BI650" i="6"/>
  <c r="BR650" i="6"/>
  <c r="CL650" i="6"/>
  <c r="BQ650" i="6"/>
  <c r="BV650" i="6"/>
  <c r="BX650" i="6"/>
  <c r="CK650" i="6"/>
  <c r="BP650" i="6"/>
  <c r="CJ650" i="6"/>
  <c r="BF650" i="6"/>
  <c r="BH650" i="6"/>
  <c r="BO650" i="6"/>
  <c r="BM650" i="6"/>
  <c r="CI650" i="6"/>
  <c r="CF650" i="6"/>
  <c r="BE650" i="6"/>
  <c r="BT650" i="6"/>
  <c r="CH650" i="6"/>
  <c r="BZ650" i="6"/>
  <c r="BS650" i="6"/>
  <c r="CG650" i="6"/>
  <c r="BY650" i="6"/>
  <c r="CM650" i="6"/>
  <c r="BN650" i="6"/>
  <c r="N651" i="6"/>
  <c r="BN651" i="6"/>
  <c r="CI651" i="6"/>
  <c r="BO651" i="6"/>
  <c r="BP651" i="6"/>
  <c r="BQ651" i="6"/>
  <c r="BR651" i="6"/>
  <c r="CL651" i="6"/>
  <c r="CK651" i="6"/>
  <c r="CJ651" i="6"/>
  <c r="CM651" i="6"/>
  <c r="A652" i="6"/>
  <c r="M652" i="6" s="1"/>
  <c r="BK652" i="6" s="1"/>
  <c r="BS651" i="6"/>
  <c r="CF651" i="6"/>
  <c r="BT651" i="6"/>
  <c r="CG651" i="6"/>
  <c r="BM651" i="6"/>
  <c r="CH651" i="6"/>
  <c r="BG651" i="6"/>
  <c r="K652" i="12"/>
  <c r="BY651" i="6"/>
  <c r="CC651" i="6"/>
  <c r="BI651" i="6"/>
  <c r="CE651" i="6"/>
  <c r="BX651" i="6"/>
  <c r="BW651" i="6"/>
  <c r="BJ651" i="6"/>
  <c r="BZ651" i="6"/>
  <c r="BV651" i="6"/>
  <c r="BE651" i="6"/>
  <c r="CD651" i="6"/>
  <c r="BL651" i="6"/>
  <c r="BK651" i="6"/>
  <c r="BH651" i="6"/>
  <c r="BC651" i="6"/>
  <c r="BF651" i="6"/>
  <c r="J653" i="12"/>
  <c r="L653" i="12"/>
  <c r="D653" i="6"/>
  <c r="CA651" i="6"/>
  <c r="BD651" i="6"/>
  <c r="B654" i="5"/>
  <c r="F654" i="5"/>
  <c r="W654" i="5"/>
  <c r="H654" i="12" s="1"/>
  <c r="A654" i="12"/>
  <c r="E654" i="5"/>
  <c r="C655" i="5"/>
  <c r="B654" i="6"/>
  <c r="G654" i="5"/>
  <c r="AE654" i="5"/>
  <c r="H654" i="5"/>
  <c r="AD654" i="5"/>
  <c r="N654" i="5"/>
  <c r="H652" i="6"/>
  <c r="T652" i="5" s="1"/>
  <c r="G652" i="12" s="1"/>
  <c r="AF654" i="5"/>
  <c r="N652" i="6" l="1"/>
  <c r="BM652" i="6"/>
  <c r="BN652" i="6"/>
  <c r="CI652" i="6"/>
  <c r="CJ652" i="6"/>
  <c r="A653" i="6"/>
  <c r="N653" i="6" s="1"/>
  <c r="CK652" i="6"/>
  <c r="BO652" i="6"/>
  <c r="CL652" i="6"/>
  <c r="BP652" i="6"/>
  <c r="CM652" i="6"/>
  <c r="BQ652" i="6"/>
  <c r="BR652" i="6"/>
  <c r="BS652" i="6"/>
  <c r="BT652" i="6"/>
  <c r="CF652" i="6"/>
  <c r="CG652" i="6"/>
  <c r="CH652" i="6"/>
  <c r="S654" i="5"/>
  <c r="F654" i="12" s="1"/>
  <c r="AG654" i="5"/>
  <c r="BE652" i="6"/>
  <c r="BG652" i="6"/>
  <c r="BY652" i="6"/>
  <c r="K653" i="12"/>
  <c r="CD652" i="6"/>
  <c r="BD652" i="6"/>
  <c r="CA652" i="6"/>
  <c r="CC652" i="6"/>
  <c r="BX652" i="6"/>
  <c r="BF652" i="6"/>
  <c r="BI652" i="6"/>
  <c r="BH652" i="6"/>
  <c r="BW652" i="6"/>
  <c r="BJ652" i="6"/>
  <c r="BZ652" i="6"/>
  <c r="BC652" i="6"/>
  <c r="CE652" i="6"/>
  <c r="BL652" i="6"/>
  <c r="BV652" i="6"/>
  <c r="CB652" i="6"/>
  <c r="E655" i="5"/>
  <c r="AD655" i="5"/>
  <c r="N655" i="5"/>
  <c r="K655" i="5"/>
  <c r="D655" i="5"/>
  <c r="B655" i="12" s="1"/>
  <c r="F655" i="5"/>
  <c r="H655" i="5"/>
  <c r="AE655" i="5"/>
  <c r="J655" i="5"/>
  <c r="G655" i="5"/>
  <c r="B655" i="5"/>
  <c r="B655" i="6"/>
  <c r="A655" i="12"/>
  <c r="H653" i="6"/>
  <c r="T653" i="5" s="1"/>
  <c r="G653" i="12" s="1"/>
  <c r="D654" i="6"/>
  <c r="F654" i="6"/>
  <c r="E654" i="12"/>
  <c r="M653" i="6" l="1"/>
  <c r="BZ653" i="6" s="1"/>
  <c r="A654" i="6"/>
  <c r="CI654" i="6"/>
  <c r="CH654" i="6"/>
  <c r="CG654" i="6"/>
  <c r="CF654" i="6"/>
  <c r="CM654" i="6"/>
  <c r="CJ654" i="6"/>
  <c r="CL654" i="6"/>
  <c r="CK654" i="6"/>
  <c r="BR654" i="6"/>
  <c r="BQ654" i="6"/>
  <c r="BP654" i="6"/>
  <c r="BO654" i="6"/>
  <c r="BN654" i="6"/>
  <c r="BM654" i="6"/>
  <c r="BT654" i="6"/>
  <c r="BS654" i="6"/>
  <c r="U654" i="5"/>
  <c r="AN654" i="5" s="1"/>
  <c r="C656" i="5"/>
  <c r="H654" i="6"/>
  <c r="T654" i="5" s="1"/>
  <c r="G654" i="12" s="1"/>
  <c r="M654" i="6"/>
  <c r="BC654" i="6" s="1"/>
  <c r="N654" i="6"/>
  <c r="G654" i="6"/>
  <c r="CE654" i="6"/>
  <c r="BL654" i="6"/>
  <c r="L655" i="12"/>
  <c r="J655" i="12"/>
  <c r="D655" i="6"/>
  <c r="AF656" i="5"/>
  <c r="BX653" i="6" l="1"/>
  <c r="BV653" i="6"/>
  <c r="CE653" i="6"/>
  <c r="BD653" i="6"/>
  <c r="BM653" i="6"/>
  <c r="CC653" i="6"/>
  <c r="BH653" i="6"/>
  <c r="BF653" i="6"/>
  <c r="BE653" i="6"/>
  <c r="CM653" i="6"/>
  <c r="BK653" i="6"/>
  <c r="BR653" i="6"/>
  <c r="BC653" i="6"/>
  <c r="CB653" i="6"/>
  <c r="CL653" i="6"/>
  <c r="BL653" i="6"/>
  <c r="BW653" i="6"/>
  <c r="BQ653" i="6"/>
  <c r="BJ653" i="6"/>
  <c r="CK653" i="6"/>
  <c r="BP653" i="6"/>
  <c r="BG653" i="6"/>
  <c r="CJ653" i="6"/>
  <c r="BO653" i="6"/>
  <c r="CI653" i="6"/>
  <c r="CF653" i="6"/>
  <c r="CA653" i="6"/>
  <c r="CD653" i="6"/>
  <c r="BT653" i="6"/>
  <c r="CH653" i="6"/>
  <c r="BY653" i="6"/>
  <c r="BI653" i="6"/>
  <c r="BS653" i="6"/>
  <c r="CG653" i="6"/>
  <c r="BN653" i="6"/>
  <c r="AU654" i="6"/>
  <c r="AX654" i="6"/>
  <c r="AZ654" i="6"/>
  <c r="AV654" i="6"/>
  <c r="AW654" i="6"/>
  <c r="AY654" i="6"/>
  <c r="BA654" i="6"/>
  <c r="AT654" i="6"/>
  <c r="A655" i="6"/>
  <c r="N655" i="6" s="1"/>
  <c r="CA654" i="6"/>
  <c r="BF654" i="6"/>
  <c r="BZ654" i="6"/>
  <c r="AS654" i="6"/>
  <c r="AM654" i="6"/>
  <c r="K655" i="12"/>
  <c r="BW654" i="6"/>
  <c r="BK654" i="6"/>
  <c r="BD654" i="6"/>
  <c r="AQ654" i="6"/>
  <c r="AL654" i="6"/>
  <c r="CB654" i="6"/>
  <c r="BV654" i="6"/>
  <c r="AN654" i="6"/>
  <c r="BY654" i="6"/>
  <c r="AK654" i="6"/>
  <c r="AR654" i="6"/>
  <c r="CD654" i="6"/>
  <c r="AJ654" i="6"/>
  <c r="S656" i="5"/>
  <c r="F656" i="12" s="1"/>
  <c r="AG656" i="5"/>
  <c r="AP654" i="6"/>
  <c r="BG654" i="6"/>
  <c r="BJ654" i="6"/>
  <c r="N656" i="5"/>
  <c r="G656" i="5"/>
  <c r="A656" i="12"/>
  <c r="AD656" i="5"/>
  <c r="E656" i="5"/>
  <c r="H656" i="5"/>
  <c r="W656" i="5"/>
  <c r="H656" i="12" s="1"/>
  <c r="B656" i="6"/>
  <c r="A656" i="6" s="1"/>
  <c r="AE656" i="5"/>
  <c r="B656" i="5"/>
  <c r="F656" i="5"/>
  <c r="C657" i="5"/>
  <c r="BH654" i="6"/>
  <c r="AO654" i="6"/>
  <c r="BE654" i="6"/>
  <c r="BX654" i="6"/>
  <c r="CC654" i="6"/>
  <c r="H655" i="6"/>
  <c r="T655" i="5" s="1"/>
  <c r="G655" i="12" s="1"/>
  <c r="BI654" i="6"/>
  <c r="M655" i="6" l="1"/>
  <c r="BH655" i="6" s="1"/>
  <c r="U656" i="5"/>
  <c r="AN656" i="5" s="1"/>
  <c r="E657" i="5"/>
  <c r="B657" i="6"/>
  <c r="A657" i="12"/>
  <c r="N657" i="5"/>
  <c r="H657" i="5"/>
  <c r="AD657" i="5"/>
  <c r="D657" i="5"/>
  <c r="B657" i="12" s="1"/>
  <c r="J657" i="5"/>
  <c r="AE657" i="5"/>
  <c r="F657" i="5"/>
  <c r="C658" i="5"/>
  <c r="G657" i="5"/>
  <c r="K657" i="5"/>
  <c r="B657" i="5"/>
  <c r="F656" i="6"/>
  <c r="E656" i="12"/>
  <c r="D656" i="6"/>
  <c r="BL655" i="6" l="1"/>
  <c r="CA655" i="6"/>
  <c r="BE655" i="6"/>
  <c r="CC655" i="6"/>
  <c r="BW655" i="6"/>
  <c r="BX655" i="6"/>
  <c r="CE655" i="6"/>
  <c r="BG655" i="6"/>
  <c r="BV655" i="6"/>
  <c r="BC655" i="6"/>
  <c r="BF655" i="6"/>
  <c r="BT655" i="6"/>
  <c r="BS655" i="6"/>
  <c r="BK655" i="6"/>
  <c r="BO655" i="6"/>
  <c r="BJ655" i="6"/>
  <c r="CB655" i="6"/>
  <c r="BR655" i="6"/>
  <c r="BZ655" i="6"/>
  <c r="BQ655" i="6"/>
  <c r="BY655" i="6"/>
  <c r="BD655" i="6"/>
  <c r="BI655" i="6"/>
  <c r="CD655" i="6"/>
  <c r="CM655" i="6"/>
  <c r="BP655" i="6"/>
  <c r="CL655" i="6"/>
  <c r="CK655" i="6"/>
  <c r="BN655" i="6"/>
  <c r="CJ655" i="6"/>
  <c r="BM655" i="6"/>
  <c r="CI655" i="6"/>
  <c r="CH655" i="6"/>
  <c r="CG655" i="6"/>
  <c r="CF655" i="6"/>
  <c r="CM656" i="6"/>
  <c r="CL656" i="6"/>
  <c r="CK656" i="6"/>
  <c r="CJ656" i="6"/>
  <c r="CI656" i="6"/>
  <c r="CF656" i="6"/>
  <c r="CH656" i="6"/>
  <c r="CG656" i="6"/>
  <c r="BT656" i="6"/>
  <c r="BS656" i="6"/>
  <c r="BQ656" i="6"/>
  <c r="BP656" i="6"/>
  <c r="BO656" i="6"/>
  <c r="BN656" i="6"/>
  <c r="BM656" i="6"/>
  <c r="BR656" i="6"/>
  <c r="F658" i="5"/>
  <c r="B658" i="5"/>
  <c r="AD658" i="5"/>
  <c r="J658" i="5"/>
  <c r="H658" i="5"/>
  <c r="G658" i="5"/>
  <c r="C659" i="5"/>
  <c r="D658" i="5"/>
  <c r="B658" i="12" s="1"/>
  <c r="B658" i="6"/>
  <c r="N658" i="5"/>
  <c r="K658" i="5"/>
  <c r="E658" i="5"/>
  <c r="A658" i="12"/>
  <c r="AE658" i="5"/>
  <c r="N656" i="6"/>
  <c r="G656" i="6"/>
  <c r="M656" i="6"/>
  <c r="BK656" i="6" s="1"/>
  <c r="H656" i="6"/>
  <c r="T656" i="5" s="1"/>
  <c r="G656" i="12" s="1"/>
  <c r="L657" i="12"/>
  <c r="J657" i="12"/>
  <c r="D657" i="6"/>
  <c r="AW656" i="6" l="1"/>
  <c r="AV656" i="6"/>
  <c r="AU656" i="6"/>
  <c r="AT656" i="6"/>
  <c r="AX656" i="6"/>
  <c r="AY656" i="6"/>
  <c r="BA656" i="6"/>
  <c r="AZ656" i="6"/>
  <c r="A657" i="6"/>
  <c r="N657" i="6" s="1"/>
  <c r="BW656" i="6"/>
  <c r="K657" i="12"/>
  <c r="BE656" i="6"/>
  <c r="BF656" i="6"/>
  <c r="BL656" i="6"/>
  <c r="BC656" i="6"/>
  <c r="BV656" i="6"/>
  <c r="BH656" i="6"/>
  <c r="BJ656" i="6"/>
  <c r="CA656" i="6"/>
  <c r="BI656" i="6"/>
  <c r="CB656" i="6"/>
  <c r="BZ656" i="6"/>
  <c r="CC656" i="6"/>
  <c r="CD656" i="6"/>
  <c r="BY656" i="6"/>
  <c r="BD656" i="6"/>
  <c r="J659" i="5"/>
  <c r="B659" i="5"/>
  <c r="N659" i="5"/>
  <c r="B659" i="6"/>
  <c r="AD659" i="5"/>
  <c r="D659" i="5"/>
  <c r="B659" i="12" s="1"/>
  <c r="A659" i="12"/>
  <c r="K659" i="5"/>
  <c r="F659" i="5"/>
  <c r="AE659" i="5"/>
  <c r="G659" i="5"/>
  <c r="H659" i="5"/>
  <c r="E659" i="5"/>
  <c r="AP656" i="6"/>
  <c r="AN656" i="6"/>
  <c r="AL656" i="6"/>
  <c r="AQ656" i="6"/>
  <c r="AO656" i="6"/>
  <c r="AK656" i="6"/>
  <c r="L658" i="12"/>
  <c r="J658" i="12"/>
  <c r="AR656" i="6"/>
  <c r="AS656" i="6"/>
  <c r="AM656" i="6"/>
  <c r="AJ656" i="6"/>
  <c r="CE656" i="6"/>
  <c r="BX656" i="6"/>
  <c r="D658" i="6"/>
  <c r="H657" i="6"/>
  <c r="T657" i="5" s="1"/>
  <c r="G657" i="12" s="1"/>
  <c r="BG656" i="6"/>
  <c r="M657" i="6" l="1"/>
  <c r="BZ657" i="6" s="1"/>
  <c r="A658" i="6"/>
  <c r="N658" i="6" s="1"/>
  <c r="K658" i="12"/>
  <c r="L659" i="12"/>
  <c r="J659" i="12"/>
  <c r="H658" i="6"/>
  <c r="T658" i="5" s="1"/>
  <c r="G658" i="12" s="1"/>
  <c r="D659" i="6"/>
  <c r="C660" i="5"/>
  <c r="AF660" i="5"/>
  <c r="BM657" i="6" l="1"/>
  <c r="BW657" i="6"/>
  <c r="BN657" i="6"/>
  <c r="BH657" i="6"/>
  <c r="BK657" i="6"/>
  <c r="CF657" i="6"/>
  <c r="BG657" i="6"/>
  <c r="BY657" i="6"/>
  <c r="BP657" i="6"/>
  <c r="BX657" i="6"/>
  <c r="CM657" i="6"/>
  <c r="BD657" i="6"/>
  <c r="BL657" i="6"/>
  <c r="CE657" i="6"/>
  <c r="BC657" i="6"/>
  <c r="BS657" i="6"/>
  <c r="CA657" i="6"/>
  <c r="M658" i="6"/>
  <c r="BV658" i="6" s="1"/>
  <c r="BR657" i="6"/>
  <c r="CJ657" i="6"/>
  <c r="BQ657" i="6"/>
  <c r="CL657" i="6"/>
  <c r="CH657" i="6"/>
  <c r="BF657" i="6"/>
  <c r="BI657" i="6"/>
  <c r="BV657" i="6"/>
  <c r="CI657" i="6"/>
  <c r="CK657" i="6"/>
  <c r="CC657" i="6"/>
  <c r="CG657" i="6"/>
  <c r="CD657" i="6"/>
  <c r="CB657" i="6"/>
  <c r="BE657" i="6"/>
  <c r="BJ657" i="6"/>
  <c r="BO657" i="6"/>
  <c r="BT657" i="6"/>
  <c r="A659" i="6"/>
  <c r="N659" i="6" s="1"/>
  <c r="K659" i="12"/>
  <c r="S660" i="5"/>
  <c r="F660" i="12" s="1"/>
  <c r="AG660" i="5"/>
  <c r="H659" i="6"/>
  <c r="T659" i="5" s="1"/>
  <c r="G659" i="12" s="1"/>
  <c r="C661" i="5"/>
  <c r="A660" i="12"/>
  <c r="F660" i="5"/>
  <c r="B660" i="6"/>
  <c r="A660" i="6" s="1"/>
  <c r="H660" i="5"/>
  <c r="G660" i="5"/>
  <c r="AE660" i="5"/>
  <c r="B660" i="5"/>
  <c r="E660" i="5"/>
  <c r="N660" i="5"/>
  <c r="AD660" i="5"/>
  <c r="W660" i="5"/>
  <c r="H660" i="12" s="1"/>
  <c r="BW658" i="6" l="1"/>
  <c r="CM658" i="6"/>
  <c r="BZ658" i="6"/>
  <c r="BG658" i="6"/>
  <c r="BT658" i="6"/>
  <c r="CK658" i="6"/>
  <c r="BF658" i="6"/>
  <c r="CE658" i="6"/>
  <c r="BR658" i="6"/>
  <c r="CC658" i="6"/>
  <c r="BH658" i="6"/>
  <c r="CA658" i="6"/>
  <c r="BP658" i="6"/>
  <c r="BN658" i="6"/>
  <c r="BQ658" i="6"/>
  <c r="BX658" i="6"/>
  <c r="CI658" i="6"/>
  <c r="CL658" i="6"/>
  <c r="CB658" i="6"/>
  <c r="BD658" i="6"/>
  <c r="BO658" i="6"/>
  <c r="CH658" i="6"/>
  <c r="BL658" i="6"/>
  <c r="CJ658" i="6"/>
  <c r="BK658" i="6"/>
  <c r="BE658" i="6"/>
  <c r="BY658" i="6"/>
  <c r="BM658" i="6"/>
  <c r="CG658" i="6"/>
  <c r="BC658" i="6"/>
  <c r="BJ658" i="6"/>
  <c r="BI658" i="6"/>
  <c r="CD658" i="6"/>
  <c r="BS658" i="6"/>
  <c r="CF658" i="6"/>
  <c r="M659" i="6"/>
  <c r="BW659" i="6" s="1"/>
  <c r="U660" i="5"/>
  <c r="AN660" i="5" s="1"/>
  <c r="E660" i="12"/>
  <c r="F660" i="6"/>
  <c r="D660" i="6"/>
  <c r="N661" i="5"/>
  <c r="K661" i="5"/>
  <c r="D661" i="5"/>
  <c r="B661" i="12" s="1"/>
  <c r="H661" i="5"/>
  <c r="C662" i="5"/>
  <c r="AE661" i="5"/>
  <c r="J661" i="5"/>
  <c r="AD661" i="5"/>
  <c r="B661" i="6"/>
  <c r="B661" i="5"/>
  <c r="F661" i="5"/>
  <c r="E661" i="5"/>
  <c r="A661" i="12"/>
  <c r="G661" i="5"/>
  <c r="BL659" i="6" l="1"/>
  <c r="CL659" i="6"/>
  <c r="BI659" i="6"/>
  <c r="BM659" i="6"/>
  <c r="BD659" i="6"/>
  <c r="CE659" i="6"/>
  <c r="BJ659" i="6"/>
  <c r="CJ659" i="6"/>
  <c r="BN659" i="6"/>
  <c r="BV659" i="6"/>
  <c r="BR659" i="6"/>
  <c r="BK659" i="6"/>
  <c r="BG659" i="6"/>
  <c r="CF659" i="6"/>
  <c r="CK659" i="6"/>
  <c r="BY659" i="6"/>
  <c r="BC659" i="6"/>
  <c r="CH659" i="6"/>
  <c r="CA659" i="6"/>
  <c r="BX659" i="6"/>
  <c r="CB659" i="6"/>
  <c r="CG659" i="6"/>
  <c r="CC659" i="6"/>
  <c r="CI659" i="6"/>
  <c r="BE659" i="6"/>
  <c r="BT659" i="6"/>
  <c r="BZ659" i="6"/>
  <c r="CD659" i="6"/>
  <c r="BH659" i="6"/>
  <c r="BF659" i="6"/>
  <c r="BS659" i="6"/>
  <c r="BQ659" i="6"/>
  <c r="BP659" i="6"/>
  <c r="CM659" i="6"/>
  <c r="BO659" i="6"/>
  <c r="CI660" i="6"/>
  <c r="CH660" i="6"/>
  <c r="CG660" i="6"/>
  <c r="CF660" i="6"/>
  <c r="CM660" i="6"/>
  <c r="CJ660" i="6"/>
  <c r="CK660" i="6"/>
  <c r="CL660" i="6"/>
  <c r="BT660" i="6"/>
  <c r="BS660" i="6"/>
  <c r="BR660" i="6"/>
  <c r="BQ660" i="6"/>
  <c r="BO660" i="6"/>
  <c r="BM660" i="6"/>
  <c r="BP660" i="6"/>
  <c r="BN660" i="6"/>
  <c r="AE662" i="5"/>
  <c r="F662" i="5"/>
  <c r="H662" i="5"/>
  <c r="B662" i="6"/>
  <c r="E662" i="5"/>
  <c r="N662" i="5"/>
  <c r="D662" i="5"/>
  <c r="B662" i="12" s="1"/>
  <c r="G662" i="5"/>
  <c r="C663" i="5"/>
  <c r="J662" i="5"/>
  <c r="B662" i="5"/>
  <c r="AD662" i="5"/>
  <c r="A662" i="12"/>
  <c r="K662" i="5"/>
  <c r="L661" i="12"/>
  <c r="J661" i="12"/>
  <c r="N660" i="6"/>
  <c r="H660" i="6"/>
  <c r="T660" i="5" s="1"/>
  <c r="G660" i="12" s="1"/>
  <c r="G660" i="6"/>
  <c r="M660" i="6"/>
  <c r="CD660" i="6" s="1"/>
  <c r="BK660" i="6"/>
  <c r="D661" i="6"/>
  <c r="AV660" i="6" l="1"/>
  <c r="AU660" i="6"/>
  <c r="AW660" i="6"/>
  <c r="AX660" i="6"/>
  <c r="A661" i="6"/>
  <c r="N661" i="6" s="1"/>
  <c r="BA660" i="6"/>
  <c r="AY660" i="6"/>
  <c r="AZ660" i="6"/>
  <c r="AT660" i="6"/>
  <c r="BE660" i="6"/>
  <c r="BG660" i="6"/>
  <c r="BI660" i="6"/>
  <c r="K661" i="12"/>
  <c r="BL660" i="6"/>
  <c r="AQ660" i="6"/>
  <c r="AL660" i="6"/>
  <c r="AR660" i="6"/>
  <c r="D662" i="6"/>
  <c r="AK660" i="6"/>
  <c r="BV660" i="6"/>
  <c r="AS660" i="6"/>
  <c r="J662" i="12"/>
  <c r="L662" i="12"/>
  <c r="H661" i="6"/>
  <c r="T661" i="5" s="1"/>
  <c r="G661" i="12" s="1"/>
  <c r="BF660" i="6"/>
  <c r="AJ660" i="6"/>
  <c r="BX660" i="6"/>
  <c r="BD660" i="6"/>
  <c r="BH660" i="6"/>
  <c r="AO660" i="6"/>
  <c r="CB660" i="6"/>
  <c r="BZ660" i="6"/>
  <c r="BJ660" i="6"/>
  <c r="N663" i="5"/>
  <c r="K663" i="5"/>
  <c r="A663" i="12"/>
  <c r="E663" i="5"/>
  <c r="C664" i="5"/>
  <c r="AD663" i="5"/>
  <c r="F663" i="5"/>
  <c r="B663" i="5"/>
  <c r="H663" i="5"/>
  <c r="B663" i="6"/>
  <c r="G663" i="5"/>
  <c r="D663" i="5"/>
  <c r="B663" i="12" s="1"/>
  <c r="J663" i="5"/>
  <c r="AE663" i="5"/>
  <c r="BY660" i="6"/>
  <c r="AM660" i="6"/>
  <c r="BC660" i="6"/>
  <c r="CC660" i="6"/>
  <c r="AN660" i="6"/>
  <c r="AP660" i="6"/>
  <c r="BW660" i="6"/>
  <c r="CE660" i="6"/>
  <c r="CA660" i="6"/>
  <c r="M661" i="6" l="1"/>
  <c r="BZ661" i="6" s="1"/>
  <c r="A662" i="6"/>
  <c r="N662" i="6" s="1"/>
  <c r="K662" i="12"/>
  <c r="J663" i="12"/>
  <c r="L663" i="12"/>
  <c r="D663" i="6"/>
  <c r="H662" i="6"/>
  <c r="T662" i="5" s="1"/>
  <c r="G662" i="12" s="1"/>
  <c r="K664" i="5"/>
  <c r="B664" i="6"/>
  <c r="J664" i="5"/>
  <c r="G664" i="5"/>
  <c r="AD664" i="5"/>
  <c r="C665" i="5"/>
  <c r="N664" i="5"/>
  <c r="A664" i="12"/>
  <c r="B664" i="5"/>
  <c r="H664" i="5"/>
  <c r="D664" i="5"/>
  <c r="B664" i="12" s="1"/>
  <c r="AE664" i="5"/>
  <c r="E664" i="5"/>
  <c r="F664" i="5"/>
  <c r="BH661" i="6" l="1"/>
  <c r="CK661" i="6"/>
  <c r="BT661" i="6"/>
  <c r="CA661" i="6"/>
  <c r="BD661" i="6"/>
  <c r="CJ661" i="6"/>
  <c r="BG661" i="6"/>
  <c r="BN661" i="6"/>
  <c r="BJ661" i="6"/>
  <c r="CI661" i="6"/>
  <c r="BV661" i="6"/>
  <c r="CD661" i="6"/>
  <c r="CH661" i="6"/>
  <c r="BR661" i="6"/>
  <c r="BS661" i="6"/>
  <c r="CG661" i="6"/>
  <c r="CC661" i="6"/>
  <c r="BL661" i="6"/>
  <c r="BX661" i="6"/>
  <c r="CM661" i="6"/>
  <c r="CF661" i="6"/>
  <c r="BK661" i="6"/>
  <c r="BY661" i="6"/>
  <c r="CE661" i="6"/>
  <c r="BQ661" i="6"/>
  <c r="BP661" i="6"/>
  <c r="BW661" i="6"/>
  <c r="BO661" i="6"/>
  <c r="CB661" i="6"/>
  <c r="BC661" i="6"/>
  <c r="BE661" i="6"/>
  <c r="BF661" i="6"/>
  <c r="BI661" i="6"/>
  <c r="CL661" i="6"/>
  <c r="BM661" i="6"/>
  <c r="M662" i="6"/>
  <c r="BK662" i="6" s="1"/>
  <c r="A663" i="6"/>
  <c r="M663" i="6" s="1"/>
  <c r="CB663" i="6" s="1"/>
  <c r="K663" i="12"/>
  <c r="J664" i="12"/>
  <c r="L664" i="12"/>
  <c r="D664" i="6"/>
  <c r="G665" i="5"/>
  <c r="D665" i="5"/>
  <c r="B665" i="12" s="1"/>
  <c r="C666" i="5"/>
  <c r="N665" i="5"/>
  <c r="B665" i="5"/>
  <c r="AE665" i="5"/>
  <c r="H665" i="5"/>
  <c r="AD665" i="5"/>
  <c r="F665" i="5"/>
  <c r="J665" i="5"/>
  <c r="B665" i="6"/>
  <c r="E665" i="5"/>
  <c r="A665" i="12"/>
  <c r="K665" i="5"/>
  <c r="H663" i="6"/>
  <c r="T663" i="5" s="1"/>
  <c r="G663" i="12" s="1"/>
  <c r="N663" i="6" l="1"/>
  <c r="BL662" i="6"/>
  <c r="CH662" i="6"/>
  <c r="CF662" i="6"/>
  <c r="BS662" i="6"/>
  <c r="BG662" i="6"/>
  <c r="BP662" i="6"/>
  <c r="BX662" i="6"/>
  <c r="BF662" i="6"/>
  <c r="BO662" i="6"/>
  <c r="BH662" i="6"/>
  <c r="BN662" i="6"/>
  <c r="CC662" i="6"/>
  <c r="BM662" i="6"/>
  <c r="CG662" i="6"/>
  <c r="CM662" i="6"/>
  <c r="BC662" i="6"/>
  <c r="CD662" i="6"/>
  <c r="BT662" i="6"/>
  <c r="BR662" i="6"/>
  <c r="BW662" i="6"/>
  <c r="BJ662" i="6"/>
  <c r="BI662" i="6"/>
  <c r="CE662" i="6"/>
  <c r="BV662" i="6"/>
  <c r="BQ662" i="6"/>
  <c r="CL662" i="6"/>
  <c r="BD662" i="6"/>
  <c r="CK662" i="6"/>
  <c r="BZ662" i="6"/>
  <c r="BE662" i="6"/>
  <c r="CB662" i="6"/>
  <c r="BY662" i="6"/>
  <c r="CA662" i="6"/>
  <c r="CI662" i="6"/>
  <c r="CJ662" i="6"/>
  <c r="BR663" i="6"/>
  <c r="BS663" i="6"/>
  <c r="BT663" i="6"/>
  <c r="CK663" i="6"/>
  <c r="CJ663" i="6"/>
  <c r="CL663" i="6"/>
  <c r="CM663" i="6"/>
  <c r="BP663" i="6"/>
  <c r="CF663" i="6"/>
  <c r="BN663" i="6"/>
  <c r="CG663" i="6"/>
  <c r="BM663" i="6"/>
  <c r="CH663" i="6"/>
  <c r="BO663" i="6"/>
  <c r="CI663" i="6"/>
  <c r="A664" i="6"/>
  <c r="N664" i="6" s="1"/>
  <c r="BQ663" i="6"/>
  <c r="CD663" i="6"/>
  <c r="K664" i="12"/>
  <c r="BW663" i="6"/>
  <c r="BI663" i="6"/>
  <c r="BV663" i="6"/>
  <c r="CE663" i="6"/>
  <c r="BH663" i="6"/>
  <c r="BC663" i="6"/>
  <c r="BE663" i="6"/>
  <c r="CC663" i="6"/>
  <c r="H664" i="6"/>
  <c r="T664" i="5" s="1"/>
  <c r="G664" i="12" s="1"/>
  <c r="BF663" i="6"/>
  <c r="BY663" i="6"/>
  <c r="CA663" i="6"/>
  <c r="BG663" i="6"/>
  <c r="BL663" i="6"/>
  <c r="BZ663" i="6"/>
  <c r="D665" i="6"/>
  <c r="BX663" i="6"/>
  <c r="BJ663" i="6"/>
  <c r="D666" i="5"/>
  <c r="B666" i="12" s="1"/>
  <c r="H666" i="5"/>
  <c r="N666" i="5"/>
  <c r="AE666" i="5"/>
  <c r="C667" i="5"/>
  <c r="B666" i="5"/>
  <c r="K666" i="5"/>
  <c r="A666" i="12"/>
  <c r="B666" i="6"/>
  <c r="F666" i="5"/>
  <c r="AD666" i="5"/>
  <c r="J666" i="5"/>
  <c r="G666" i="5"/>
  <c r="E666" i="5"/>
  <c r="BD663" i="6"/>
  <c r="BK663" i="6"/>
  <c r="L665" i="12"/>
  <c r="J665" i="12"/>
  <c r="M664" i="6" l="1"/>
  <c r="BY664" i="6" s="1"/>
  <c r="A665" i="6"/>
  <c r="M665" i="6" s="1"/>
  <c r="BH665" i="6" s="1"/>
  <c r="K665" i="12"/>
  <c r="H665" i="6"/>
  <c r="T665" i="5" s="1"/>
  <c r="G665" i="12" s="1"/>
  <c r="L666" i="12"/>
  <c r="J666" i="12"/>
  <c r="H667" i="5"/>
  <c r="K667" i="5"/>
  <c r="A667" i="12"/>
  <c r="N667" i="5"/>
  <c r="AE667" i="5"/>
  <c r="D667" i="5"/>
  <c r="B667" i="12" s="1"/>
  <c r="B667" i="5"/>
  <c r="E667" i="5"/>
  <c r="G667" i="5"/>
  <c r="AD667" i="5"/>
  <c r="F667" i="5"/>
  <c r="B667" i="6"/>
  <c r="J667" i="5"/>
  <c r="D666" i="6"/>
  <c r="BX664" i="6" l="1"/>
  <c r="CE664" i="6"/>
  <c r="BL664" i="6"/>
  <c r="CB664" i="6"/>
  <c r="BF664" i="6"/>
  <c r="CC664" i="6"/>
  <c r="CA664" i="6"/>
  <c r="BW664" i="6"/>
  <c r="CD664" i="6"/>
  <c r="BD664" i="6"/>
  <c r="BC664" i="6"/>
  <c r="BG664" i="6"/>
  <c r="BK664" i="6"/>
  <c r="BH664" i="6"/>
  <c r="BZ664" i="6"/>
  <c r="CL664" i="6"/>
  <c r="BT664" i="6"/>
  <c r="BN664" i="6"/>
  <c r="CI664" i="6"/>
  <c r="CH664" i="6"/>
  <c r="BV664" i="6"/>
  <c r="CG664" i="6"/>
  <c r="CF664" i="6"/>
  <c r="BP664" i="6"/>
  <c r="BI664" i="6"/>
  <c r="BO664" i="6"/>
  <c r="BM664" i="6"/>
  <c r="CK664" i="6"/>
  <c r="BS664" i="6"/>
  <c r="BE664" i="6"/>
  <c r="BR664" i="6"/>
  <c r="CM664" i="6"/>
  <c r="BJ664" i="6"/>
  <c r="CJ664" i="6"/>
  <c r="BQ664" i="6"/>
  <c r="N665" i="6"/>
  <c r="BQ665" i="6"/>
  <c r="CI665" i="6"/>
  <c r="CJ665" i="6"/>
  <c r="CK665" i="6"/>
  <c r="CL665" i="6"/>
  <c r="BR665" i="6"/>
  <c r="BM665" i="6"/>
  <c r="BN665" i="6"/>
  <c r="BO665" i="6"/>
  <c r="CM665" i="6"/>
  <c r="BP665" i="6"/>
  <c r="A666" i="6"/>
  <c r="N666" i="6" s="1"/>
  <c r="BS665" i="6"/>
  <c r="BT665" i="6"/>
  <c r="CG665" i="6"/>
  <c r="CF665" i="6"/>
  <c r="CH665" i="6"/>
  <c r="BC665" i="6"/>
  <c r="BK665" i="6"/>
  <c r="CB665" i="6"/>
  <c r="BG665" i="6"/>
  <c r="BW665" i="6"/>
  <c r="BI665" i="6"/>
  <c r="CA665" i="6"/>
  <c r="K666" i="12"/>
  <c r="BL665" i="6"/>
  <c r="H666" i="6"/>
  <c r="T666" i="5" s="1"/>
  <c r="G666" i="12" s="1"/>
  <c r="BY665" i="6"/>
  <c r="BE665" i="6"/>
  <c r="BF665" i="6"/>
  <c r="BJ665" i="6"/>
  <c r="CD665" i="6"/>
  <c r="CE665" i="6"/>
  <c r="C668" i="5"/>
  <c r="CC665" i="6"/>
  <c r="BZ665" i="6"/>
  <c r="BV665" i="6"/>
  <c r="BX665" i="6"/>
  <c r="D667" i="6"/>
  <c r="BD665" i="6"/>
  <c r="L667" i="12"/>
  <c r="J667" i="12"/>
  <c r="AF668" i="5"/>
  <c r="M666" i="6" l="1"/>
  <c r="BX666" i="6" s="1"/>
  <c r="A667" i="6"/>
  <c r="M667" i="6" s="1"/>
  <c r="K667" i="12"/>
  <c r="AG668" i="5"/>
  <c r="S668" i="5"/>
  <c r="F668" i="12" s="1"/>
  <c r="H667" i="6"/>
  <c r="T667" i="5" s="1"/>
  <c r="G667" i="12" s="1"/>
  <c r="C669" i="5"/>
  <c r="N668" i="5"/>
  <c r="B668" i="5"/>
  <c r="H668" i="5"/>
  <c r="G668" i="5"/>
  <c r="B668" i="6"/>
  <c r="A668" i="6" s="1"/>
  <c r="A668" i="12"/>
  <c r="AE668" i="5"/>
  <c r="E668" i="5"/>
  <c r="AD668" i="5"/>
  <c r="F668" i="5"/>
  <c r="CD666" i="6" l="1"/>
  <c r="BZ666" i="6"/>
  <c r="BV666" i="6"/>
  <c r="BH666" i="6"/>
  <c r="BF666" i="6"/>
  <c r="BK666" i="6"/>
  <c r="CC666" i="6"/>
  <c r="CB666" i="6"/>
  <c r="BI666" i="6"/>
  <c r="CA666" i="6"/>
  <c r="BY666" i="6"/>
  <c r="BE666" i="6"/>
  <c r="CK666" i="6"/>
  <c r="BT666" i="6"/>
  <c r="BG666" i="6"/>
  <c r="BC666" i="6"/>
  <c r="CE666" i="6"/>
  <c r="BQ666" i="6"/>
  <c r="BJ666" i="6"/>
  <c r="CI666" i="6"/>
  <c r="CH666" i="6"/>
  <c r="BW666" i="6"/>
  <c r="CG666" i="6"/>
  <c r="BD666" i="6"/>
  <c r="CF666" i="6"/>
  <c r="CM666" i="6"/>
  <c r="CL666" i="6"/>
  <c r="BL666" i="6"/>
  <c r="CJ666" i="6"/>
  <c r="BO666" i="6"/>
  <c r="BM666" i="6"/>
  <c r="BS666" i="6"/>
  <c r="BP666" i="6"/>
  <c r="BR666" i="6"/>
  <c r="BN666" i="6"/>
  <c r="BI667" i="6"/>
  <c r="CM667" i="6"/>
  <c r="BQ667" i="6"/>
  <c r="CL667" i="6"/>
  <c r="BT667" i="6"/>
  <c r="CK667" i="6"/>
  <c r="BR667" i="6"/>
  <c r="CJ667" i="6"/>
  <c r="BN667" i="6"/>
  <c r="CI667" i="6"/>
  <c r="CH667" i="6"/>
  <c r="CG667" i="6"/>
  <c r="CF667" i="6"/>
  <c r="BP667" i="6"/>
  <c r="BO667" i="6"/>
  <c r="BM667" i="6"/>
  <c r="BS667" i="6"/>
  <c r="N667" i="6"/>
  <c r="U668" i="5"/>
  <c r="AN668" i="5" s="1"/>
  <c r="W668" i="5"/>
  <c r="H668" i="12" s="1"/>
  <c r="BD667" i="6"/>
  <c r="BG667" i="6"/>
  <c r="BX667" i="6"/>
  <c r="BH667" i="6"/>
  <c r="BL667" i="6"/>
  <c r="BW667" i="6"/>
  <c r="BV667" i="6"/>
  <c r="CC667" i="6"/>
  <c r="BY667" i="6"/>
  <c r="CE667" i="6"/>
  <c r="CB667" i="6"/>
  <c r="D668" i="6"/>
  <c r="A669" i="12"/>
  <c r="J669" i="5"/>
  <c r="E669" i="5"/>
  <c r="K669" i="5"/>
  <c r="D669" i="5"/>
  <c r="B669" i="12" s="1"/>
  <c r="B669" i="5"/>
  <c r="N669" i="5"/>
  <c r="AE669" i="5"/>
  <c r="H669" i="5"/>
  <c r="B669" i="6"/>
  <c r="G669" i="5"/>
  <c r="C670" i="5"/>
  <c r="F669" i="5"/>
  <c r="AD669" i="5"/>
  <c r="BF667" i="6"/>
  <c r="BK667" i="6"/>
  <c r="BJ667" i="6"/>
  <c r="F668" i="6"/>
  <c r="E668" i="12"/>
  <c r="CA667" i="6"/>
  <c r="BC667" i="6"/>
  <c r="CD667" i="6"/>
  <c r="BZ667" i="6"/>
  <c r="BE667" i="6"/>
  <c r="CM668" i="6" l="1"/>
  <c r="CL668" i="6"/>
  <c r="CK668" i="6"/>
  <c r="CJ668" i="6"/>
  <c r="CI668" i="6"/>
  <c r="CH668" i="6"/>
  <c r="CF668" i="6"/>
  <c r="CG668" i="6"/>
  <c r="BT668" i="6"/>
  <c r="BS668" i="6"/>
  <c r="BQ668" i="6"/>
  <c r="BP668" i="6"/>
  <c r="BO668" i="6"/>
  <c r="BN668" i="6"/>
  <c r="BM668" i="6"/>
  <c r="BR668" i="6"/>
  <c r="K670" i="5"/>
  <c r="B670" i="6"/>
  <c r="J670" i="5"/>
  <c r="N670" i="5"/>
  <c r="C671" i="5"/>
  <c r="AE670" i="5"/>
  <c r="G670" i="5"/>
  <c r="B670" i="5"/>
  <c r="E670" i="5"/>
  <c r="D670" i="5"/>
  <c r="B670" i="12" s="1"/>
  <c r="AD670" i="5"/>
  <c r="H670" i="5"/>
  <c r="F670" i="5"/>
  <c r="A670" i="12"/>
  <c r="J669" i="12"/>
  <c r="L669" i="12"/>
  <c r="N668" i="6"/>
  <c r="H668" i="6"/>
  <c r="T668" i="5" s="1"/>
  <c r="G668" i="12" s="1"/>
  <c r="M668" i="6"/>
  <c r="BV668" i="6" s="1"/>
  <c r="G668" i="6"/>
  <c r="D669" i="6"/>
  <c r="AT668" i="6" l="1"/>
  <c r="AU668" i="6"/>
  <c r="AV668" i="6"/>
  <c r="AW668" i="6"/>
  <c r="AX668" i="6"/>
  <c r="A669" i="6"/>
  <c r="M669" i="6" s="1"/>
  <c r="CC669" i="6" s="1"/>
  <c r="AY668" i="6"/>
  <c r="AZ668" i="6"/>
  <c r="BA668" i="6"/>
  <c r="K669" i="12"/>
  <c r="BF668" i="6"/>
  <c r="BH668" i="6"/>
  <c r="AM668" i="6"/>
  <c r="BW668" i="6"/>
  <c r="BZ668" i="6"/>
  <c r="AL668" i="6"/>
  <c r="BG668" i="6"/>
  <c r="BD668" i="6"/>
  <c r="AK668" i="6"/>
  <c r="CB668" i="6"/>
  <c r="AO668" i="6"/>
  <c r="AJ668" i="6"/>
  <c r="AS668" i="6"/>
  <c r="D671" i="5"/>
  <c r="B671" i="12" s="1"/>
  <c r="F671" i="5"/>
  <c r="H671" i="5"/>
  <c r="AE671" i="5"/>
  <c r="B671" i="6"/>
  <c r="E671" i="5"/>
  <c r="AD671" i="5"/>
  <c r="N671" i="5"/>
  <c r="B671" i="5"/>
  <c r="K671" i="5"/>
  <c r="A671" i="12"/>
  <c r="G671" i="5"/>
  <c r="J671" i="5"/>
  <c r="C672" i="5"/>
  <c r="D670" i="6"/>
  <c r="J670" i="12"/>
  <c r="L670" i="12"/>
  <c r="CE668" i="6"/>
  <c r="BL668" i="6"/>
  <c r="BY668" i="6"/>
  <c r="AP668" i="6"/>
  <c r="BI668" i="6"/>
  <c r="CD668" i="6"/>
  <c r="AN668" i="6"/>
  <c r="AQ668" i="6"/>
  <c r="AR668" i="6"/>
  <c r="BX668" i="6"/>
  <c r="BJ668" i="6"/>
  <c r="H669" i="6"/>
  <c r="T669" i="5" s="1"/>
  <c r="G669" i="12" s="1"/>
  <c r="CC668" i="6"/>
  <c r="BE668" i="6"/>
  <c r="CA668" i="6"/>
  <c r="BK668" i="6"/>
  <c r="BC668" i="6"/>
  <c r="N669" i="6" l="1"/>
  <c r="BR669" i="6"/>
  <c r="BS669" i="6"/>
  <c r="BT669" i="6"/>
  <c r="CK669" i="6"/>
  <c r="CJ669" i="6"/>
  <c r="CL669" i="6"/>
  <c r="CM669" i="6"/>
  <c r="BP669" i="6"/>
  <c r="CF669" i="6"/>
  <c r="BN669" i="6"/>
  <c r="CG669" i="6"/>
  <c r="A670" i="6"/>
  <c r="N670" i="6" s="1"/>
  <c r="BM669" i="6"/>
  <c r="CH669" i="6"/>
  <c r="BO669" i="6"/>
  <c r="CI669" i="6"/>
  <c r="BQ669" i="6"/>
  <c r="BJ669" i="6"/>
  <c r="BX669" i="6"/>
  <c r="CA669" i="6"/>
  <c r="BD669" i="6"/>
  <c r="CD669" i="6"/>
  <c r="BL669" i="6"/>
  <c r="H670" i="6"/>
  <c r="T670" i="5" s="1"/>
  <c r="G670" i="12" s="1"/>
  <c r="L671" i="12"/>
  <c r="J671" i="12"/>
  <c r="BG669" i="6"/>
  <c r="CE669" i="6"/>
  <c r="K670" i="12"/>
  <c r="CB669" i="6"/>
  <c r="BY669" i="6"/>
  <c r="BK669" i="6"/>
  <c r="BC669" i="6"/>
  <c r="D671" i="6"/>
  <c r="BZ669" i="6"/>
  <c r="BH669" i="6"/>
  <c r="BI669" i="6"/>
  <c r="BV669" i="6"/>
  <c r="BW669" i="6"/>
  <c r="BE669" i="6"/>
  <c r="BF669" i="6"/>
  <c r="AD672" i="5"/>
  <c r="C673" i="5"/>
  <c r="AE672" i="5"/>
  <c r="F672" i="5"/>
  <c r="K672" i="5"/>
  <c r="E672" i="5"/>
  <c r="N672" i="5"/>
  <c r="A672" i="12"/>
  <c r="B672" i="5"/>
  <c r="D672" i="5"/>
  <c r="B672" i="12" s="1"/>
  <c r="B672" i="6"/>
  <c r="H672" i="5"/>
  <c r="G672" i="5"/>
  <c r="J672" i="5"/>
  <c r="M670" i="6" l="1"/>
  <c r="BK670" i="6" s="1"/>
  <c r="A671" i="6"/>
  <c r="N671" i="6" s="1"/>
  <c r="K671" i="12"/>
  <c r="H671" i="6"/>
  <c r="T671" i="5" s="1"/>
  <c r="G671" i="12" s="1"/>
  <c r="J673" i="5"/>
  <c r="N673" i="5"/>
  <c r="B673" i="5"/>
  <c r="B673" i="6"/>
  <c r="H673" i="5"/>
  <c r="A673" i="12"/>
  <c r="G673" i="5"/>
  <c r="F673" i="5"/>
  <c r="AE673" i="5"/>
  <c r="E673" i="5"/>
  <c r="K673" i="5"/>
  <c r="D673" i="5"/>
  <c r="B673" i="12" s="1"/>
  <c r="AD673" i="5"/>
  <c r="C674" i="5"/>
  <c r="L672" i="12"/>
  <c r="J672" i="12"/>
  <c r="D672" i="6"/>
  <c r="CC670" i="6" l="1"/>
  <c r="CB670" i="6"/>
  <c r="BC670" i="6"/>
  <c r="BG670" i="6"/>
  <c r="BD670" i="6"/>
  <c r="BF670" i="6"/>
  <c r="CA670" i="6"/>
  <c r="BJ670" i="6"/>
  <c r="BI670" i="6"/>
  <c r="BM670" i="6"/>
  <c r="M671" i="6"/>
  <c r="CE671" i="6" s="1"/>
  <c r="CM670" i="6"/>
  <c r="BZ670" i="6"/>
  <c r="BQ670" i="6"/>
  <c r="BV670" i="6"/>
  <c r="CL670" i="6"/>
  <c r="BS670" i="6"/>
  <c r="BT670" i="6"/>
  <c r="BE670" i="6"/>
  <c r="CE670" i="6"/>
  <c r="BL670" i="6"/>
  <c r="CK670" i="6"/>
  <c r="BX670" i="6"/>
  <c r="CG670" i="6"/>
  <c r="BR670" i="6"/>
  <c r="BY670" i="6"/>
  <c r="CF670" i="6"/>
  <c r="CJ670" i="6"/>
  <c r="BW670" i="6"/>
  <c r="BP670" i="6"/>
  <c r="BN670" i="6"/>
  <c r="BH670" i="6"/>
  <c r="BO670" i="6"/>
  <c r="CI670" i="6"/>
  <c r="CD670" i="6"/>
  <c r="CH670" i="6"/>
  <c r="A672" i="6"/>
  <c r="M672" i="6" s="1"/>
  <c r="BZ672" i="6" s="1"/>
  <c r="D673" i="6"/>
  <c r="H672" i="6"/>
  <c r="T672" i="5" s="1"/>
  <c r="G672" i="12" s="1"/>
  <c r="J673" i="12"/>
  <c r="L673" i="12"/>
  <c r="K672" i="12"/>
  <c r="K674" i="5"/>
  <c r="A674" i="12"/>
  <c r="B674" i="5"/>
  <c r="D674" i="5"/>
  <c r="B674" i="12" s="1"/>
  <c r="N674" i="5"/>
  <c r="C675" i="5"/>
  <c r="F674" i="5"/>
  <c r="J674" i="5"/>
  <c r="B674" i="6"/>
  <c r="AD674" i="5"/>
  <c r="AE674" i="5"/>
  <c r="H674" i="5"/>
  <c r="E674" i="5"/>
  <c r="G674" i="5"/>
  <c r="CJ671" i="6" l="1"/>
  <c r="BR671" i="6"/>
  <c r="BT671" i="6"/>
  <c r="CI671" i="6"/>
  <c r="CB671" i="6"/>
  <c r="BV671" i="6"/>
  <c r="BS671" i="6"/>
  <c r="CH671" i="6"/>
  <c r="BK671" i="6"/>
  <c r="BQ671" i="6"/>
  <c r="CF671" i="6"/>
  <c r="BZ671" i="6"/>
  <c r="BP671" i="6"/>
  <c r="BF671" i="6"/>
  <c r="BC671" i="6"/>
  <c r="CA671" i="6"/>
  <c r="CC671" i="6"/>
  <c r="BO671" i="6"/>
  <c r="BM671" i="6"/>
  <c r="BW671" i="6"/>
  <c r="BG671" i="6"/>
  <c r="CM671" i="6"/>
  <c r="BY671" i="6"/>
  <c r="BI671" i="6"/>
  <c r="CL671" i="6"/>
  <c r="BD671" i="6"/>
  <c r="BJ671" i="6"/>
  <c r="BL671" i="6"/>
  <c r="BX671" i="6"/>
  <c r="BN671" i="6"/>
  <c r="CG671" i="6"/>
  <c r="BE671" i="6"/>
  <c r="BH671" i="6"/>
  <c r="CD671" i="6"/>
  <c r="CK671" i="6"/>
  <c r="N672" i="6"/>
  <c r="BO672" i="6"/>
  <c r="CI672" i="6"/>
  <c r="BQ672" i="6"/>
  <c r="BR672" i="6"/>
  <c r="BS672" i="6"/>
  <c r="BT672" i="6"/>
  <c r="CK672" i="6"/>
  <c r="CJ672" i="6"/>
  <c r="A673" i="6"/>
  <c r="M673" i="6" s="1"/>
  <c r="CD673" i="6" s="1"/>
  <c r="CL672" i="6"/>
  <c r="CM672" i="6"/>
  <c r="BN672" i="6"/>
  <c r="CF672" i="6"/>
  <c r="BP672" i="6"/>
  <c r="CG672" i="6"/>
  <c r="BM672" i="6"/>
  <c r="CH672" i="6"/>
  <c r="K673" i="12"/>
  <c r="BI672" i="6"/>
  <c r="CD672" i="6"/>
  <c r="BH672" i="6"/>
  <c r="E675" i="5"/>
  <c r="N675" i="5"/>
  <c r="F675" i="5"/>
  <c r="B675" i="5"/>
  <c r="AD675" i="5"/>
  <c r="A675" i="12"/>
  <c r="C676" i="5"/>
  <c r="D675" i="5"/>
  <c r="B675" i="12" s="1"/>
  <c r="H675" i="5"/>
  <c r="B675" i="6"/>
  <c r="AE675" i="5"/>
  <c r="K675" i="5"/>
  <c r="J675" i="5"/>
  <c r="G675" i="5"/>
  <c r="BK672" i="6"/>
  <c r="BJ672" i="6"/>
  <c r="H673" i="6"/>
  <c r="T673" i="5" s="1"/>
  <c r="G673" i="12" s="1"/>
  <c r="D674" i="6"/>
  <c r="BV672" i="6"/>
  <c r="BL672" i="6"/>
  <c r="BX672" i="6"/>
  <c r="BC672" i="6"/>
  <c r="CB672" i="6"/>
  <c r="J674" i="12"/>
  <c r="L674" i="12"/>
  <c r="BY672" i="6"/>
  <c r="BW672" i="6"/>
  <c r="BF672" i="6"/>
  <c r="BE672" i="6"/>
  <c r="BG672" i="6"/>
  <c r="BD672" i="6"/>
  <c r="CA672" i="6"/>
  <c r="CC672" i="6"/>
  <c r="CE672" i="6"/>
  <c r="N673" i="6" l="1"/>
  <c r="BP673" i="6"/>
  <c r="CF673" i="6"/>
  <c r="CG673" i="6"/>
  <c r="CH673" i="6"/>
  <c r="CI673" i="6"/>
  <c r="BN673" i="6"/>
  <c r="CJ673" i="6"/>
  <c r="BR673" i="6"/>
  <c r="CK673" i="6"/>
  <c r="BT673" i="6"/>
  <c r="CL673" i="6"/>
  <c r="BQ673" i="6"/>
  <c r="CM673" i="6"/>
  <c r="BS673" i="6"/>
  <c r="BM673" i="6"/>
  <c r="A674" i="6"/>
  <c r="M674" i="6" s="1"/>
  <c r="BO673" i="6"/>
  <c r="K674" i="12"/>
  <c r="BE673" i="6"/>
  <c r="BL673" i="6"/>
  <c r="BI673" i="6"/>
  <c r="BW673" i="6"/>
  <c r="CB673" i="6"/>
  <c r="BH673" i="6"/>
  <c r="BG673" i="6"/>
  <c r="BJ673" i="6"/>
  <c r="BF673" i="6"/>
  <c r="BZ673" i="6"/>
  <c r="CA673" i="6"/>
  <c r="BD673" i="6"/>
  <c r="BY673" i="6"/>
  <c r="BX673" i="6"/>
  <c r="CE673" i="6"/>
  <c r="BK673" i="6"/>
  <c r="CC673" i="6"/>
  <c r="K676" i="5"/>
  <c r="J676" i="5"/>
  <c r="D676" i="5"/>
  <c r="B676" i="12" s="1"/>
  <c r="F676" i="5"/>
  <c r="B676" i="6"/>
  <c r="H676" i="5"/>
  <c r="AD676" i="5"/>
  <c r="N676" i="5"/>
  <c r="E676" i="5"/>
  <c r="G676" i="5"/>
  <c r="AE676" i="5"/>
  <c r="B676" i="5"/>
  <c r="C677" i="5"/>
  <c r="A676" i="12"/>
  <c r="L675" i="12"/>
  <c r="J675" i="12"/>
  <c r="H674" i="6"/>
  <c r="T674" i="5" s="1"/>
  <c r="G674" i="12" s="1"/>
  <c r="D675" i="6"/>
  <c r="BC673" i="6"/>
  <c r="BV673" i="6"/>
  <c r="BD674" i="6" l="1"/>
  <c r="CL674" i="6"/>
  <c r="BN674" i="6"/>
  <c r="CK674" i="6"/>
  <c r="BM674" i="6"/>
  <c r="CJ674" i="6"/>
  <c r="BR674" i="6"/>
  <c r="CI674" i="6"/>
  <c r="CH674" i="6"/>
  <c r="CF674" i="6"/>
  <c r="CG674" i="6"/>
  <c r="BT674" i="6"/>
  <c r="BS674" i="6"/>
  <c r="BQ674" i="6"/>
  <c r="BP674" i="6"/>
  <c r="CM674" i="6"/>
  <c r="BO674" i="6"/>
  <c r="A675" i="6"/>
  <c r="N675" i="6" s="1"/>
  <c r="N674" i="6"/>
  <c r="BE674" i="6"/>
  <c r="BJ674" i="6"/>
  <c r="BX674" i="6"/>
  <c r="BI674" i="6"/>
  <c r="J676" i="12"/>
  <c r="L676" i="12"/>
  <c r="H675" i="6"/>
  <c r="T675" i="5" s="1"/>
  <c r="G675" i="12" s="1"/>
  <c r="BL674" i="6"/>
  <c r="CC674" i="6"/>
  <c r="F677" i="5"/>
  <c r="E677" i="5"/>
  <c r="B677" i="5"/>
  <c r="AD677" i="5"/>
  <c r="N677" i="5"/>
  <c r="H677" i="5"/>
  <c r="D677" i="5"/>
  <c r="B677" i="12" s="1"/>
  <c r="C678" i="5"/>
  <c r="C679" i="5" s="1"/>
  <c r="K677" i="5"/>
  <c r="G677" i="5"/>
  <c r="J677" i="5"/>
  <c r="AE677" i="5"/>
  <c r="B677" i="6"/>
  <c r="A677" i="12"/>
  <c r="BK674" i="6"/>
  <c r="CE674" i="6"/>
  <c r="BG674" i="6"/>
  <c r="K675" i="12"/>
  <c r="CB674" i="6"/>
  <c r="BH674" i="6"/>
  <c r="D676" i="6"/>
  <c r="CA674" i="6"/>
  <c r="BW674" i="6"/>
  <c r="BC674" i="6"/>
  <c r="BF674" i="6"/>
  <c r="CD674" i="6"/>
  <c r="BY674" i="6"/>
  <c r="BZ674" i="6"/>
  <c r="BV674" i="6"/>
  <c r="M675" i="6" l="1"/>
  <c r="BC675" i="6" s="1"/>
  <c r="A676" i="6"/>
  <c r="N676" i="6" s="1"/>
  <c r="D679" i="5"/>
  <c r="B679" i="12" s="1"/>
  <c r="A679" i="12"/>
  <c r="AE679" i="5"/>
  <c r="N679" i="5"/>
  <c r="AD679" i="5"/>
  <c r="K679" i="5"/>
  <c r="J679" i="5"/>
  <c r="C680" i="5"/>
  <c r="B679" i="6"/>
  <c r="K676" i="12"/>
  <c r="H676" i="6"/>
  <c r="T676" i="5" s="1"/>
  <c r="G676" i="12" s="1"/>
  <c r="D678" i="5"/>
  <c r="B678" i="12" s="1"/>
  <c r="B678" i="6"/>
  <c r="N678" i="5"/>
  <c r="K678" i="5"/>
  <c r="J678" i="5"/>
  <c r="AD678" i="5"/>
  <c r="H678" i="5"/>
  <c r="H679" i="5" s="1"/>
  <c r="F678" i="5"/>
  <c r="F679" i="5" s="1"/>
  <c r="G678" i="5"/>
  <c r="G679" i="5" s="1"/>
  <c r="A678" i="12"/>
  <c r="AE678" i="5"/>
  <c r="E678" i="5"/>
  <c r="E679" i="5" s="1"/>
  <c r="B678" i="5"/>
  <c r="B679" i="5" s="1"/>
  <c r="D677" i="6"/>
  <c r="L677" i="12"/>
  <c r="J677" i="12"/>
  <c r="BZ675" i="6" l="1"/>
  <c r="BH675" i="6"/>
  <c r="BI675" i="6"/>
  <c r="CB675" i="6"/>
  <c r="BJ675" i="6"/>
  <c r="CC675" i="6"/>
  <c r="CE675" i="6"/>
  <c r="BX675" i="6"/>
  <c r="CD675" i="6"/>
  <c r="BE675" i="6"/>
  <c r="BK675" i="6"/>
  <c r="BL675" i="6"/>
  <c r="CA675" i="6"/>
  <c r="BD675" i="6"/>
  <c r="BF675" i="6"/>
  <c r="BY675" i="6"/>
  <c r="BR675" i="6"/>
  <c r="BG675" i="6"/>
  <c r="BO675" i="6"/>
  <c r="CH675" i="6"/>
  <c r="BM675" i="6"/>
  <c r="CG675" i="6"/>
  <c r="BN675" i="6"/>
  <c r="CF675" i="6"/>
  <c r="BP675" i="6"/>
  <c r="CM675" i="6"/>
  <c r="CL675" i="6"/>
  <c r="BW675" i="6"/>
  <c r="BQ675" i="6"/>
  <c r="CJ675" i="6"/>
  <c r="BV675" i="6"/>
  <c r="CI675" i="6"/>
  <c r="CK675" i="6"/>
  <c r="BT675" i="6"/>
  <c r="BS675" i="6"/>
  <c r="M676" i="6"/>
  <c r="BG676" i="6" s="1"/>
  <c r="A677" i="6"/>
  <c r="N677" i="6" s="1"/>
  <c r="D679" i="6"/>
  <c r="L679" i="12"/>
  <c r="J679" i="12"/>
  <c r="J680" i="5"/>
  <c r="C681" i="5"/>
  <c r="H680" i="5"/>
  <c r="A680" i="12"/>
  <c r="G680" i="5"/>
  <c r="B680" i="6"/>
  <c r="F680" i="5"/>
  <c r="E680" i="5"/>
  <c r="D680" i="5"/>
  <c r="B680" i="12" s="1"/>
  <c r="B680" i="5"/>
  <c r="AE680" i="5"/>
  <c r="N680" i="5"/>
  <c r="AD680" i="5"/>
  <c r="K680" i="5"/>
  <c r="D678" i="6"/>
  <c r="L678" i="12"/>
  <c r="J678" i="12"/>
  <c r="H677" i="6"/>
  <c r="T677" i="5" s="1"/>
  <c r="G677" i="12" s="1"/>
  <c r="K677" i="12"/>
  <c r="M677" i="6" l="1"/>
  <c r="BJ677" i="6" s="1"/>
  <c r="CJ676" i="6"/>
  <c r="CK676" i="6"/>
  <c r="BV676" i="6"/>
  <c r="CI676" i="6"/>
  <c r="BN676" i="6"/>
  <c r="BI676" i="6"/>
  <c r="CF676" i="6"/>
  <c r="BC676" i="6"/>
  <c r="BO676" i="6"/>
  <c r="CB676" i="6"/>
  <c r="BJ676" i="6"/>
  <c r="BS676" i="6"/>
  <c r="BZ676" i="6"/>
  <c r="BF676" i="6"/>
  <c r="CC676" i="6"/>
  <c r="CM676" i="6"/>
  <c r="BW676" i="6"/>
  <c r="BY676" i="6"/>
  <c r="BQ676" i="6"/>
  <c r="BD676" i="6"/>
  <c r="CD676" i="6"/>
  <c r="CL676" i="6"/>
  <c r="CA676" i="6"/>
  <c r="BX676" i="6"/>
  <c r="BL676" i="6"/>
  <c r="BT676" i="6"/>
  <c r="BH676" i="6"/>
  <c r="BE676" i="6"/>
  <c r="BK676" i="6"/>
  <c r="CE676" i="6"/>
  <c r="BR676" i="6"/>
  <c r="CH676" i="6"/>
  <c r="CG676" i="6"/>
  <c r="BP676" i="6"/>
  <c r="BM676" i="6"/>
  <c r="A678" i="6"/>
  <c r="A679" i="6" s="1"/>
  <c r="N679" i="6" s="1"/>
  <c r="K679" i="12"/>
  <c r="D680" i="6"/>
  <c r="L680" i="12"/>
  <c r="J680" i="12"/>
  <c r="H679" i="6"/>
  <c r="T679" i="5" s="1"/>
  <c r="G679" i="12" s="1"/>
  <c r="B681" i="6"/>
  <c r="D681" i="5"/>
  <c r="B681" i="12" s="1"/>
  <c r="B681" i="5"/>
  <c r="AE681" i="5"/>
  <c r="N681" i="5"/>
  <c r="AD681" i="5"/>
  <c r="F681" i="5"/>
  <c r="A681" i="12"/>
  <c r="K681" i="5"/>
  <c r="J681" i="5"/>
  <c r="H681" i="5"/>
  <c r="G681" i="5"/>
  <c r="E681" i="5"/>
  <c r="K678" i="12"/>
  <c r="H678" i="6"/>
  <c r="T678" i="5" s="1"/>
  <c r="G678" i="12" s="1"/>
  <c r="BK677" i="6" l="1"/>
  <c r="BC677" i="6"/>
  <c r="CA677" i="6"/>
  <c r="BF677" i="6"/>
  <c r="BE677" i="6"/>
  <c r="CB677" i="6"/>
  <c r="CE677" i="6"/>
  <c r="BY677" i="6"/>
  <c r="BZ677" i="6"/>
  <c r="BL677" i="6"/>
  <c r="BT677" i="6"/>
  <c r="BI677" i="6"/>
  <c r="CD677" i="6"/>
  <c r="BX677" i="6"/>
  <c r="BW677" i="6"/>
  <c r="BH677" i="6"/>
  <c r="CC677" i="6"/>
  <c r="BV677" i="6"/>
  <c r="BG677" i="6"/>
  <c r="BD677" i="6"/>
  <c r="BP677" i="6"/>
  <c r="CM677" i="6"/>
  <c r="BO677" i="6"/>
  <c r="CL677" i="6"/>
  <c r="BN677" i="6"/>
  <c r="CK677" i="6"/>
  <c r="BM677" i="6"/>
  <c r="CJ677" i="6"/>
  <c r="BR677" i="6"/>
  <c r="CI677" i="6"/>
  <c r="BQ677" i="6"/>
  <c r="CH677" i="6"/>
  <c r="CF677" i="6"/>
  <c r="CG677" i="6"/>
  <c r="BS677" i="6"/>
  <c r="M678" i="6"/>
  <c r="BJ678" i="6" s="1"/>
  <c r="N678" i="6"/>
  <c r="M679" i="6"/>
  <c r="BX679" i="6" s="1"/>
  <c r="A680" i="6"/>
  <c r="M680" i="6" s="1"/>
  <c r="CC680" i="6" s="1"/>
  <c r="K680" i="12"/>
  <c r="L681" i="12"/>
  <c r="J681" i="12"/>
  <c r="D681" i="6"/>
  <c r="H680" i="6"/>
  <c r="T680" i="5" s="1"/>
  <c r="G680" i="12" s="1"/>
  <c r="BK678" i="6" l="1"/>
  <c r="BV678" i="6"/>
  <c r="CB678" i="6"/>
  <c r="BG678" i="6"/>
  <c r="BL678" i="6"/>
  <c r="BH678" i="6"/>
  <c r="CC678" i="6"/>
  <c r="BY678" i="6"/>
  <c r="BW678" i="6"/>
  <c r="CA678" i="6"/>
  <c r="BZ678" i="6"/>
  <c r="BE678" i="6"/>
  <c r="BN678" i="6"/>
  <c r="BD678" i="6"/>
  <c r="BX678" i="6"/>
  <c r="CE678" i="6"/>
  <c r="CM678" i="6"/>
  <c r="BI678" i="6"/>
  <c r="BC678" i="6"/>
  <c r="CK678" i="6"/>
  <c r="BF678" i="6"/>
  <c r="BT678" i="6"/>
  <c r="CD678" i="6"/>
  <c r="BQ678" i="6"/>
  <c r="CI678" i="6"/>
  <c r="BO678" i="6"/>
  <c r="CH678" i="6"/>
  <c r="N680" i="6"/>
  <c r="BM678" i="6"/>
  <c r="CF678" i="6"/>
  <c r="BJ679" i="6"/>
  <c r="BC679" i="6"/>
  <c r="BZ679" i="6"/>
  <c r="BH679" i="6"/>
  <c r="BQ679" i="6"/>
  <c r="CH679" i="6"/>
  <c r="BP679" i="6"/>
  <c r="BG679" i="6"/>
  <c r="BE679" i="6"/>
  <c r="CL679" i="6"/>
  <c r="BK679" i="6"/>
  <c r="BL679" i="6"/>
  <c r="BT679" i="6"/>
  <c r="CG679" i="6"/>
  <c r="BY679" i="6"/>
  <c r="BO679" i="6"/>
  <c r="CK679" i="6"/>
  <c r="CA679" i="6"/>
  <c r="BD679" i="6"/>
  <c r="BR679" i="6"/>
  <c r="CF679" i="6"/>
  <c r="CD679" i="6"/>
  <c r="BM679" i="6"/>
  <c r="BS678" i="6"/>
  <c r="CG678" i="6"/>
  <c r="BW679" i="6"/>
  <c r="CL678" i="6"/>
  <c r="CJ679" i="6"/>
  <c r="BP678" i="6"/>
  <c r="CE679" i="6"/>
  <c r="BS679" i="6"/>
  <c r="BN679" i="6"/>
  <c r="BV679" i="6"/>
  <c r="BI679" i="6"/>
  <c r="CJ678" i="6"/>
  <c r="BR678" i="6"/>
  <c r="BF679" i="6"/>
  <c r="CB679" i="6"/>
  <c r="CC679" i="6"/>
  <c r="CM679" i="6"/>
  <c r="CI679" i="6"/>
  <c r="BM680" i="6"/>
  <c r="CK680" i="6"/>
  <c r="BN680" i="6"/>
  <c r="CL680" i="6"/>
  <c r="BO680" i="6"/>
  <c r="CM680" i="6"/>
  <c r="BP680" i="6"/>
  <c r="A681" i="6"/>
  <c r="N681" i="6" s="1"/>
  <c r="BQ680" i="6"/>
  <c r="BS680" i="6"/>
  <c r="CG680" i="6"/>
  <c r="CF680" i="6"/>
  <c r="CH680" i="6"/>
  <c r="BT680" i="6"/>
  <c r="CI680" i="6"/>
  <c r="BR680" i="6"/>
  <c r="CJ680" i="6"/>
  <c r="BV680" i="6"/>
  <c r="BE680" i="6"/>
  <c r="BZ680" i="6"/>
  <c r="BI680" i="6"/>
  <c r="CD680" i="6"/>
  <c r="H681" i="6"/>
  <c r="T681" i="5" s="1"/>
  <c r="G681" i="12" s="1"/>
  <c r="BF680" i="6"/>
  <c r="BJ680" i="6"/>
  <c r="CA680" i="6"/>
  <c r="CE680" i="6"/>
  <c r="BC680" i="6"/>
  <c r="BK680" i="6"/>
  <c r="K681" i="12"/>
  <c r="BG680" i="6"/>
  <c r="CB680" i="6"/>
  <c r="BW680" i="6"/>
  <c r="BX680" i="6"/>
  <c r="BD680" i="6"/>
  <c r="BY680" i="6"/>
  <c r="BH680" i="6"/>
  <c r="BL680" i="6"/>
  <c r="M681" i="6" l="1"/>
  <c r="BD681" i="6" s="1"/>
  <c r="C682" i="5"/>
  <c r="AF682" i="5"/>
  <c r="BL681" i="6" l="1"/>
  <c r="CB681" i="6"/>
  <c r="BG681" i="6"/>
  <c r="BK681" i="6"/>
  <c r="CA681" i="6"/>
  <c r="BI681" i="6"/>
  <c r="BY681" i="6"/>
  <c r="CD681" i="6"/>
  <c r="BE681" i="6"/>
  <c r="BV681" i="6"/>
  <c r="CJ681" i="6"/>
  <c r="CE681" i="6"/>
  <c r="CK681" i="6"/>
  <c r="BT681" i="6"/>
  <c r="BJ681" i="6"/>
  <c r="BS681" i="6"/>
  <c r="BX681" i="6"/>
  <c r="BR681" i="6"/>
  <c r="BH681" i="6"/>
  <c r="BQ681" i="6"/>
  <c r="CC681" i="6"/>
  <c r="CI681" i="6"/>
  <c r="BZ681" i="6"/>
  <c r="BO681" i="6"/>
  <c r="CF681" i="6"/>
  <c r="CH681" i="6"/>
  <c r="BC681" i="6"/>
  <c r="BP681" i="6"/>
  <c r="BM681" i="6"/>
  <c r="BF681" i="6"/>
  <c r="CM681" i="6"/>
  <c r="CG681" i="6"/>
  <c r="BW681" i="6"/>
  <c r="CL681" i="6"/>
  <c r="BN681" i="6"/>
  <c r="S682" i="5"/>
  <c r="F682" i="12" s="1"/>
  <c r="AG682" i="5"/>
  <c r="A682" i="12"/>
  <c r="F682" i="5"/>
  <c r="B682" i="5"/>
  <c r="H682" i="5"/>
  <c r="C683" i="5"/>
  <c r="AD682" i="5"/>
  <c r="E682" i="5"/>
  <c r="B682" i="6"/>
  <c r="AE682" i="5"/>
  <c r="G682" i="5"/>
  <c r="N682" i="5"/>
  <c r="U682" i="5" l="1"/>
  <c r="AN682" i="5" s="1"/>
  <c r="W682" i="5"/>
  <c r="H682" i="12" s="1"/>
  <c r="E682" i="12"/>
  <c r="F682" i="6"/>
  <c r="D682" i="6"/>
  <c r="H683" i="5"/>
  <c r="AE683" i="5"/>
  <c r="E683" i="5"/>
  <c r="D683" i="5"/>
  <c r="B683" i="12" s="1"/>
  <c r="AD683" i="5"/>
  <c r="F683" i="5"/>
  <c r="C684" i="5"/>
  <c r="C685" i="5" s="1"/>
  <c r="B683" i="5"/>
  <c r="J683" i="5"/>
  <c r="K683" i="5"/>
  <c r="N683" i="5"/>
  <c r="B683" i="6"/>
  <c r="A683" i="12"/>
  <c r="G683" i="5"/>
  <c r="A682" i="6" l="1"/>
  <c r="CM682" i="6"/>
  <c r="CL682" i="6"/>
  <c r="CK682" i="6"/>
  <c r="CJ682" i="6"/>
  <c r="CI682" i="6"/>
  <c r="CH682" i="6"/>
  <c r="CF682" i="6"/>
  <c r="CG682" i="6"/>
  <c r="BT682" i="6"/>
  <c r="BS682" i="6"/>
  <c r="BQ682" i="6"/>
  <c r="BP682" i="6"/>
  <c r="BO682" i="6"/>
  <c r="BN682" i="6"/>
  <c r="BM682" i="6"/>
  <c r="BR682" i="6"/>
  <c r="A685" i="12"/>
  <c r="D685" i="5"/>
  <c r="B685" i="12" s="1"/>
  <c r="B685" i="6"/>
  <c r="AE685" i="5"/>
  <c r="N685" i="5"/>
  <c r="AD685" i="5"/>
  <c r="K685" i="5"/>
  <c r="J685" i="5"/>
  <c r="G682" i="6"/>
  <c r="M682" i="6"/>
  <c r="BE682" i="6" s="1"/>
  <c r="H682" i="6"/>
  <c r="T682" i="5" s="1"/>
  <c r="G682" i="12" s="1"/>
  <c r="N682" i="6"/>
  <c r="K684" i="5"/>
  <c r="AE684" i="5"/>
  <c r="J684" i="5"/>
  <c r="N684" i="5"/>
  <c r="F684" i="5"/>
  <c r="F685" i="5" s="1"/>
  <c r="AD684" i="5"/>
  <c r="H684" i="5"/>
  <c r="H685" i="5" s="1"/>
  <c r="E684" i="5"/>
  <c r="E685" i="5" s="1"/>
  <c r="G684" i="5"/>
  <c r="G685" i="5" s="1"/>
  <c r="B684" i="5"/>
  <c r="B685" i="5" s="1"/>
  <c r="D684" i="5"/>
  <c r="B684" i="12" s="1"/>
  <c r="B684" i="6"/>
  <c r="A684" i="12"/>
  <c r="D683" i="6"/>
  <c r="L683" i="12"/>
  <c r="J683" i="12"/>
  <c r="AV682" i="6" l="1"/>
  <c r="AW682" i="6"/>
  <c r="AX682" i="6"/>
  <c r="AY682" i="6"/>
  <c r="AZ682" i="6"/>
  <c r="BA682" i="6"/>
  <c r="A683" i="6"/>
  <c r="N683" i="6" s="1"/>
  <c r="AT682" i="6"/>
  <c r="AU682" i="6"/>
  <c r="C686" i="5"/>
  <c r="W686" i="5" s="1"/>
  <c r="H686" i="12" s="1"/>
  <c r="BF682" i="6"/>
  <c r="E686" i="12"/>
  <c r="F686" i="6"/>
  <c r="L685" i="12"/>
  <c r="J685" i="12"/>
  <c r="D685" i="6"/>
  <c r="K683" i="12"/>
  <c r="BH682" i="6"/>
  <c r="CC682" i="6"/>
  <c r="BK682" i="6"/>
  <c r="AL682" i="6"/>
  <c r="AP682" i="6"/>
  <c r="BC682" i="6"/>
  <c r="AK682" i="6"/>
  <c r="D684" i="6"/>
  <c r="AM682" i="6"/>
  <c r="BD682" i="6"/>
  <c r="L684" i="12"/>
  <c r="J684" i="12"/>
  <c r="AS682" i="6"/>
  <c r="BI682" i="6"/>
  <c r="BX682" i="6"/>
  <c r="CD682" i="6"/>
  <c r="BG682" i="6"/>
  <c r="BY682" i="6"/>
  <c r="CE682" i="6"/>
  <c r="BL682" i="6"/>
  <c r="BW682" i="6"/>
  <c r="CA682" i="6"/>
  <c r="BJ682" i="6"/>
  <c r="AN682" i="6"/>
  <c r="CB682" i="6"/>
  <c r="H683" i="6"/>
  <c r="T683" i="5" s="1"/>
  <c r="G683" i="12" s="1"/>
  <c r="AR682" i="6"/>
  <c r="AO682" i="6"/>
  <c r="AJ682" i="6"/>
  <c r="BZ682" i="6"/>
  <c r="BV682" i="6"/>
  <c r="AQ682" i="6"/>
  <c r="AF686" i="5"/>
  <c r="M683" i="6" l="1"/>
  <c r="BW683" i="6" s="1"/>
  <c r="A684" i="6"/>
  <c r="N684" i="6" s="1"/>
  <c r="S686" i="5"/>
  <c r="F686" i="12" s="1"/>
  <c r="AG686" i="5"/>
  <c r="C687" i="5"/>
  <c r="A686" i="12"/>
  <c r="B686" i="6"/>
  <c r="AD686" i="5"/>
  <c r="N686" i="5"/>
  <c r="D686" i="6" s="1"/>
  <c r="AE686" i="5"/>
  <c r="H686" i="5"/>
  <c r="E686" i="5"/>
  <c r="F686" i="5"/>
  <c r="B686" i="5"/>
  <c r="G686" i="5"/>
  <c r="H685" i="6"/>
  <c r="T685" i="5" s="1"/>
  <c r="G685" i="12" s="1"/>
  <c r="K685" i="12"/>
  <c r="K684" i="12"/>
  <c r="H684" i="6"/>
  <c r="T684" i="5" s="1"/>
  <c r="G684" i="12" s="1"/>
  <c r="M684" i="6" l="1"/>
  <c r="CD684" i="6" s="1"/>
  <c r="BO683" i="6"/>
  <c r="CH683" i="6"/>
  <c r="BM683" i="6"/>
  <c r="CG683" i="6"/>
  <c r="BY683" i="6"/>
  <c r="CB683" i="6"/>
  <c r="A685" i="6"/>
  <c r="M685" i="6" s="1"/>
  <c r="BM685" i="6" s="1"/>
  <c r="BP683" i="6"/>
  <c r="CD683" i="6"/>
  <c r="CF683" i="6"/>
  <c r="CI683" i="6"/>
  <c r="BL683" i="6"/>
  <c r="BC683" i="6"/>
  <c r="BG683" i="6"/>
  <c r="CK683" i="6"/>
  <c r="BI683" i="6"/>
  <c r="BT683" i="6"/>
  <c r="CM683" i="6"/>
  <c r="BF683" i="6"/>
  <c r="CA683" i="6"/>
  <c r="CC683" i="6"/>
  <c r="BZ683" i="6"/>
  <c r="BS683" i="6"/>
  <c r="CL683" i="6"/>
  <c r="BE683" i="6"/>
  <c r="BR683" i="6"/>
  <c r="CJ683" i="6"/>
  <c r="BJ683" i="6"/>
  <c r="BV683" i="6"/>
  <c r="CE683" i="6"/>
  <c r="BK683" i="6"/>
  <c r="BX683" i="6"/>
  <c r="BH683" i="6"/>
  <c r="BD683" i="6"/>
  <c r="BQ683" i="6"/>
  <c r="BN683" i="6"/>
  <c r="H686" i="6"/>
  <c r="T686" i="5" s="1"/>
  <c r="G686" i="12" s="1"/>
  <c r="CI686" i="6"/>
  <c r="CH686" i="6"/>
  <c r="CG686" i="6"/>
  <c r="CF686" i="6"/>
  <c r="CM686" i="6"/>
  <c r="CL686" i="6"/>
  <c r="CJ686" i="6"/>
  <c r="CK686" i="6"/>
  <c r="BT686" i="6"/>
  <c r="BS686" i="6"/>
  <c r="BR686" i="6"/>
  <c r="BQ686" i="6"/>
  <c r="BO686" i="6"/>
  <c r="BM686" i="6"/>
  <c r="BN686" i="6"/>
  <c r="BP686" i="6"/>
  <c r="A686" i="6"/>
  <c r="U686" i="5"/>
  <c r="AN686" i="5" s="1"/>
  <c r="F687" i="5"/>
  <c r="B687" i="5"/>
  <c r="H687" i="5"/>
  <c r="G687" i="5"/>
  <c r="M686" i="6"/>
  <c r="BV686" i="6" s="1"/>
  <c r="N686" i="6"/>
  <c r="G686" i="6"/>
  <c r="C688" i="5"/>
  <c r="J687" i="5"/>
  <c r="A687" i="12"/>
  <c r="AD687" i="5"/>
  <c r="D687" i="5"/>
  <c r="B687" i="12" s="1"/>
  <c r="B687" i="6"/>
  <c r="AE687" i="5"/>
  <c r="N687" i="5"/>
  <c r="D687" i="6" s="1"/>
  <c r="K687" i="5"/>
  <c r="E687" i="5"/>
  <c r="BG686" i="6"/>
  <c r="BY686" i="6"/>
  <c r="BF686" i="6"/>
  <c r="CE686" i="6"/>
  <c r="BZ686" i="6"/>
  <c r="BH686" i="6"/>
  <c r="BW686" i="6"/>
  <c r="BI686" i="6"/>
  <c r="CC686" i="6"/>
  <c r="CA686" i="6"/>
  <c r="BJ686" i="6"/>
  <c r="CB686" i="6"/>
  <c r="BL686" i="6"/>
  <c r="BC686" i="6"/>
  <c r="BK686" i="6"/>
  <c r="CD686" i="6"/>
  <c r="BX686" i="6"/>
  <c r="BD686" i="6"/>
  <c r="BE686" i="6"/>
  <c r="K660" i="5"/>
  <c r="K656" i="5"/>
  <c r="K643" i="5"/>
  <c r="K636" i="5"/>
  <c r="K628" i="5"/>
  <c r="K618" i="5"/>
  <c r="K613" i="5"/>
  <c r="K607" i="5"/>
  <c r="K595" i="5"/>
  <c r="K591" i="5"/>
  <c r="K580" i="5"/>
  <c r="K567" i="5"/>
  <c r="K543" i="5"/>
  <c r="BF684" i="6" l="1"/>
  <c r="CF684" i="6"/>
  <c r="BV684" i="6"/>
  <c r="BP684" i="6"/>
  <c r="BO684" i="6"/>
  <c r="BS684" i="6"/>
  <c r="CE684" i="6"/>
  <c r="BE684" i="6"/>
  <c r="CB684" i="6"/>
  <c r="BL684" i="6"/>
  <c r="BM684" i="6"/>
  <c r="BC684" i="6"/>
  <c r="BX684" i="6"/>
  <c r="BI684" i="6"/>
  <c r="BD684" i="6"/>
  <c r="BY684" i="6"/>
  <c r="BW684" i="6"/>
  <c r="BJ684" i="6"/>
  <c r="CC684" i="6"/>
  <c r="BK684" i="6"/>
  <c r="BG684" i="6"/>
  <c r="BH684" i="6"/>
  <c r="BZ684" i="6"/>
  <c r="CA684" i="6"/>
  <c r="CM684" i="6"/>
  <c r="BQ684" i="6"/>
  <c r="CL684" i="6"/>
  <c r="BT684" i="6"/>
  <c r="CK684" i="6"/>
  <c r="BR684" i="6"/>
  <c r="CJ684" i="6"/>
  <c r="BN684" i="6"/>
  <c r="CI684" i="6"/>
  <c r="CH684" i="6"/>
  <c r="CG684" i="6"/>
  <c r="BG685" i="6"/>
  <c r="CK685" i="6"/>
  <c r="BZ685" i="6"/>
  <c r="BK685" i="6"/>
  <c r="BN685" i="6"/>
  <c r="BE685" i="6"/>
  <c r="CL685" i="6"/>
  <c r="BF685" i="6"/>
  <c r="BC685" i="6"/>
  <c r="BO685" i="6"/>
  <c r="BW685" i="6"/>
  <c r="CE685" i="6"/>
  <c r="CM685" i="6"/>
  <c r="BI685" i="6"/>
  <c r="BJ685" i="6"/>
  <c r="CF685" i="6"/>
  <c r="BQ685" i="6"/>
  <c r="CA685" i="6"/>
  <c r="CH685" i="6"/>
  <c r="BS685" i="6"/>
  <c r="CC685" i="6"/>
  <c r="CD685" i="6"/>
  <c r="CI685" i="6"/>
  <c r="BT685" i="6"/>
  <c r="BP685" i="6"/>
  <c r="BV685" i="6"/>
  <c r="BY685" i="6"/>
  <c r="BX685" i="6"/>
  <c r="BR685" i="6"/>
  <c r="CG685" i="6"/>
  <c r="CB685" i="6"/>
  <c r="CJ685" i="6"/>
  <c r="BL685" i="6"/>
  <c r="BH685" i="6"/>
  <c r="BD685" i="6"/>
  <c r="N685" i="6"/>
  <c r="AU686" i="6"/>
  <c r="AV686" i="6"/>
  <c r="AW686" i="6"/>
  <c r="AX686" i="6"/>
  <c r="AY686" i="6"/>
  <c r="AZ686" i="6"/>
  <c r="BA686" i="6"/>
  <c r="AT686" i="6"/>
  <c r="A687" i="6"/>
  <c r="N687" i="6" s="1"/>
  <c r="AK686" i="6"/>
  <c r="AO686" i="6"/>
  <c r="B688" i="5"/>
  <c r="AR686" i="6"/>
  <c r="AJ686" i="6"/>
  <c r="AM686" i="6"/>
  <c r="AN686" i="6"/>
  <c r="AL686" i="6"/>
  <c r="AP686" i="6"/>
  <c r="AQ686" i="6"/>
  <c r="AS686" i="6"/>
  <c r="E688" i="5"/>
  <c r="F688" i="5"/>
  <c r="A688" i="12"/>
  <c r="B688" i="6"/>
  <c r="AE688" i="5"/>
  <c r="N688" i="5"/>
  <c r="D688" i="6" s="1"/>
  <c r="AD688" i="5"/>
  <c r="C689" i="5"/>
  <c r="D688" i="5"/>
  <c r="B688" i="12" s="1"/>
  <c r="K688" i="5"/>
  <c r="J688" i="5"/>
  <c r="H687" i="6"/>
  <c r="G688" i="5"/>
  <c r="H688" i="5"/>
  <c r="J687" i="12"/>
  <c r="L687" i="12"/>
  <c r="M687" i="6" l="1"/>
  <c r="BD687" i="6" s="1"/>
  <c r="A688" i="6"/>
  <c r="N688" i="6" s="1"/>
  <c r="K687" i="12"/>
  <c r="A689" i="12"/>
  <c r="J689" i="5"/>
  <c r="G689" i="5"/>
  <c r="B689" i="6"/>
  <c r="B689" i="5"/>
  <c r="F689" i="5"/>
  <c r="D689" i="5"/>
  <c r="B689" i="12" s="1"/>
  <c r="K689" i="5"/>
  <c r="C690" i="5"/>
  <c r="AE689" i="5"/>
  <c r="E689" i="5"/>
  <c r="H689" i="5"/>
  <c r="N689" i="5"/>
  <c r="D689" i="6" s="1"/>
  <c r="AD689" i="5"/>
  <c r="H688" i="6"/>
  <c r="T688" i="5" s="1"/>
  <c r="G688" i="12" s="1"/>
  <c r="J688" i="12"/>
  <c r="L688" i="12"/>
  <c r="T687" i="5"/>
  <c r="G687" i="12" s="1"/>
  <c r="BI687" i="6" l="1"/>
  <c r="BT687" i="6"/>
  <c r="BJ687" i="6"/>
  <c r="CE687" i="6"/>
  <c r="BR687" i="6"/>
  <c r="CJ687" i="6"/>
  <c r="BV687" i="6"/>
  <c r="CC687" i="6"/>
  <c r="CA687" i="6"/>
  <c r="BE687" i="6"/>
  <c r="BN687" i="6"/>
  <c r="BX687" i="6"/>
  <c r="CB687" i="6"/>
  <c r="CI687" i="6"/>
  <c r="BF687" i="6"/>
  <c r="BY687" i="6"/>
  <c r="CH687" i="6"/>
  <c r="CL687" i="6"/>
  <c r="BW687" i="6"/>
  <c r="BM687" i="6"/>
  <c r="CG687" i="6"/>
  <c r="CK687" i="6"/>
  <c r="BS687" i="6"/>
  <c r="CF687" i="6"/>
  <c r="BK687" i="6"/>
  <c r="BG687" i="6"/>
  <c r="CM687" i="6"/>
  <c r="BP687" i="6"/>
  <c r="CD687" i="6"/>
  <c r="BZ687" i="6"/>
  <c r="BH687" i="6"/>
  <c r="BC687" i="6"/>
  <c r="BL687" i="6"/>
  <c r="BQ687" i="6"/>
  <c r="BO687" i="6"/>
  <c r="A689" i="6"/>
  <c r="M689" i="6" s="1"/>
  <c r="CD689" i="6" s="1"/>
  <c r="M688" i="6"/>
  <c r="CD688" i="6" s="1"/>
  <c r="K688" i="12"/>
  <c r="H689" i="6"/>
  <c r="T689" i="5" s="1"/>
  <c r="G689" i="12" s="1"/>
  <c r="L689" i="12"/>
  <c r="J689" i="12"/>
  <c r="G690" i="5"/>
  <c r="E690" i="5"/>
  <c r="A690" i="12"/>
  <c r="F690" i="5"/>
  <c r="AD690" i="5"/>
  <c r="AE690" i="5"/>
  <c r="C691" i="5"/>
  <c r="N690" i="5"/>
  <c r="D690" i="6" s="1"/>
  <c r="D690" i="5"/>
  <c r="B690" i="12" s="1"/>
  <c r="H690" i="5"/>
  <c r="B690" i="6"/>
  <c r="B690" i="5"/>
  <c r="K690" i="5"/>
  <c r="J690" i="5"/>
  <c r="N689" i="6" l="1"/>
  <c r="BC688" i="6"/>
  <c r="BJ688" i="6"/>
  <c r="CB688" i="6"/>
  <c r="BL688" i="6"/>
  <c r="CE688" i="6"/>
  <c r="BH688" i="6"/>
  <c r="BV688" i="6"/>
  <c r="BZ688" i="6"/>
  <c r="BE688" i="6"/>
  <c r="BD688" i="6"/>
  <c r="BW688" i="6"/>
  <c r="CA688" i="6"/>
  <c r="BN689" i="6"/>
  <c r="CF689" i="6"/>
  <c r="BP689" i="6"/>
  <c r="CG689" i="6"/>
  <c r="BM689" i="6"/>
  <c r="CH689" i="6"/>
  <c r="BO689" i="6"/>
  <c r="CI689" i="6"/>
  <c r="BQ689" i="6"/>
  <c r="BR689" i="6"/>
  <c r="BS689" i="6"/>
  <c r="BF688" i="6"/>
  <c r="CK688" i="6"/>
  <c r="BM688" i="6"/>
  <c r="CJ688" i="6"/>
  <c r="BR688" i="6"/>
  <c r="CI688" i="6"/>
  <c r="CH688" i="6"/>
  <c r="CF688" i="6"/>
  <c r="CG688" i="6"/>
  <c r="BT688" i="6"/>
  <c r="BS688" i="6"/>
  <c r="BQ688" i="6"/>
  <c r="BP688" i="6"/>
  <c r="CM688" i="6"/>
  <c r="BO688" i="6"/>
  <c r="CL688" i="6"/>
  <c r="BN688" i="6"/>
  <c r="BY688" i="6"/>
  <c r="BT689" i="6"/>
  <c r="BK688" i="6"/>
  <c r="CK689" i="6"/>
  <c r="BG688" i="6"/>
  <c r="CC688" i="6"/>
  <c r="CJ689" i="6"/>
  <c r="BX688" i="6"/>
  <c r="CL689" i="6"/>
  <c r="BI688" i="6"/>
  <c r="CM689" i="6"/>
  <c r="A690" i="6"/>
  <c r="N690" i="6" s="1"/>
  <c r="CA689" i="6"/>
  <c r="BF689" i="6"/>
  <c r="BE689" i="6"/>
  <c r="CB689" i="6"/>
  <c r="BL689" i="6"/>
  <c r="BH689" i="6"/>
  <c r="BV689" i="6"/>
  <c r="CC689" i="6"/>
  <c r="BC689" i="6"/>
  <c r="BD689" i="6"/>
  <c r="BW689" i="6"/>
  <c r="BI689" i="6"/>
  <c r="BG689" i="6"/>
  <c r="BK689" i="6"/>
  <c r="CE689" i="6"/>
  <c r="BZ689" i="6"/>
  <c r="BX689" i="6"/>
  <c r="BY689" i="6"/>
  <c r="BJ689" i="6"/>
  <c r="K689" i="12"/>
  <c r="H690" i="6"/>
  <c r="T690" i="5" s="1"/>
  <c r="G690" i="12" s="1"/>
  <c r="J690" i="12"/>
  <c r="L690" i="12"/>
  <c r="A691" i="12"/>
  <c r="F691" i="5"/>
  <c r="G691" i="5"/>
  <c r="C692" i="5"/>
  <c r="H691" i="5"/>
  <c r="B691" i="5"/>
  <c r="E691" i="5"/>
  <c r="B691" i="6"/>
  <c r="N691" i="5"/>
  <c r="D691" i="6" s="1"/>
  <c r="AE691" i="5"/>
  <c r="K691" i="5"/>
  <c r="AD691" i="5"/>
  <c r="J691" i="5"/>
  <c r="D691" i="5"/>
  <c r="B691" i="12" s="1"/>
  <c r="M690" i="6" l="1"/>
  <c r="CH690" i="6" s="1"/>
  <c r="A691" i="6"/>
  <c r="N691" i="6" s="1"/>
  <c r="K690" i="12"/>
  <c r="H691" i="6"/>
  <c r="T691" i="5" s="1"/>
  <c r="G691" i="12" s="1"/>
  <c r="L691" i="12"/>
  <c r="J691" i="12"/>
  <c r="F692" i="5"/>
  <c r="B692" i="5"/>
  <c r="J692" i="5"/>
  <c r="E692" i="5"/>
  <c r="A692" i="12"/>
  <c r="C693" i="5"/>
  <c r="AE692" i="5"/>
  <c r="D692" i="5"/>
  <c r="B692" i="12" s="1"/>
  <c r="N692" i="5"/>
  <c r="D692" i="6" s="1"/>
  <c r="H692" i="5"/>
  <c r="AD692" i="5"/>
  <c r="B692" i="6"/>
  <c r="K692" i="5"/>
  <c r="G692" i="5"/>
  <c r="I613" i="5"/>
  <c r="CD690" i="6" l="1"/>
  <c r="CE690" i="6"/>
  <c r="BI690" i="6"/>
  <c r="BX690" i="6"/>
  <c r="CB690" i="6"/>
  <c r="CA690" i="6"/>
  <c r="BE690" i="6"/>
  <c r="BZ690" i="6"/>
  <c r="BF690" i="6"/>
  <c r="BL690" i="6"/>
  <c r="BO690" i="6"/>
  <c r="BM690" i="6"/>
  <c r="BS690" i="6"/>
  <c r="BW690" i="6"/>
  <c r="CM690" i="6"/>
  <c r="BJ690" i="6"/>
  <c r="BQ690" i="6"/>
  <c r="BC690" i="6"/>
  <c r="CL690" i="6"/>
  <c r="BT690" i="6"/>
  <c r="CC690" i="6"/>
  <c r="BY690" i="6"/>
  <c r="CJ690" i="6"/>
  <c r="BD690" i="6"/>
  <c r="BV690" i="6"/>
  <c r="BN690" i="6"/>
  <c r="BH690" i="6"/>
  <c r="BG690" i="6"/>
  <c r="M691" i="6"/>
  <c r="CA691" i="6" s="1"/>
  <c r="BK690" i="6"/>
  <c r="CK690" i="6"/>
  <c r="CI690" i="6"/>
  <c r="CG690" i="6"/>
  <c r="CF690" i="6"/>
  <c r="BP690" i="6"/>
  <c r="BR690" i="6"/>
  <c r="A692" i="6"/>
  <c r="M692" i="6" s="1"/>
  <c r="CB692" i="6" s="1"/>
  <c r="H692" i="6"/>
  <c r="T692" i="5" s="1"/>
  <c r="G692" i="12" s="1"/>
  <c r="G693" i="5"/>
  <c r="D693" i="5"/>
  <c r="B693" i="12" s="1"/>
  <c r="F693" i="5"/>
  <c r="B693" i="5"/>
  <c r="N693" i="5"/>
  <c r="D693" i="6" s="1"/>
  <c r="AE693" i="5"/>
  <c r="K693" i="5"/>
  <c r="B693" i="6"/>
  <c r="E693" i="5"/>
  <c r="AD693" i="5"/>
  <c r="J693" i="5"/>
  <c r="H693" i="5"/>
  <c r="A693" i="12"/>
  <c r="C694" i="5"/>
  <c r="K691" i="12"/>
  <c r="L692" i="12"/>
  <c r="J692" i="12"/>
  <c r="BJ691" i="6" l="1"/>
  <c r="CJ691" i="6"/>
  <c r="BK691" i="6"/>
  <c r="CE691" i="6"/>
  <c r="BR691" i="6"/>
  <c r="BT691" i="6"/>
  <c r="BZ691" i="6"/>
  <c r="CH691" i="6"/>
  <c r="BC691" i="6"/>
  <c r="CF691" i="6"/>
  <c r="CG691" i="6"/>
  <c r="CM691" i="6"/>
  <c r="CC691" i="6"/>
  <c r="BX691" i="6"/>
  <c r="BY691" i="6"/>
  <c r="BO691" i="6"/>
  <c r="CI691" i="6"/>
  <c r="A693" i="6"/>
  <c r="M693" i="6" s="1"/>
  <c r="BX693" i="6" s="1"/>
  <c r="BG691" i="6"/>
  <c r="CL691" i="6"/>
  <c r="BI691" i="6"/>
  <c r="BW691" i="6"/>
  <c r="BN691" i="6"/>
  <c r="BD691" i="6"/>
  <c r="CD691" i="6"/>
  <c r="BL691" i="6"/>
  <c r="CB691" i="6"/>
  <c r="CK691" i="6"/>
  <c r="BH691" i="6"/>
  <c r="BF691" i="6"/>
  <c r="BV691" i="6"/>
  <c r="BE691" i="6"/>
  <c r="BM691" i="6"/>
  <c r="BS691" i="6"/>
  <c r="BQ691" i="6"/>
  <c r="N692" i="6"/>
  <c r="BP691" i="6"/>
  <c r="CK692" i="6"/>
  <c r="CL692" i="6"/>
  <c r="CJ692" i="6"/>
  <c r="CM692" i="6"/>
  <c r="BP692" i="6"/>
  <c r="CF692" i="6"/>
  <c r="BN692" i="6"/>
  <c r="CG692" i="6"/>
  <c r="BM692" i="6"/>
  <c r="CH692" i="6"/>
  <c r="BO692" i="6"/>
  <c r="CI692" i="6"/>
  <c r="BQ692" i="6"/>
  <c r="BR692" i="6"/>
  <c r="BS692" i="6"/>
  <c r="BT692" i="6"/>
  <c r="CD692" i="6"/>
  <c r="BJ692" i="6"/>
  <c r="BX692" i="6"/>
  <c r="BH692" i="6"/>
  <c r="BY692" i="6"/>
  <c r="CA692" i="6"/>
  <c r="BF692" i="6"/>
  <c r="BD692" i="6"/>
  <c r="BE692" i="6"/>
  <c r="BC692" i="6"/>
  <c r="CC692" i="6"/>
  <c r="BZ692" i="6"/>
  <c r="BG692" i="6"/>
  <c r="BL692" i="6"/>
  <c r="BI692" i="6"/>
  <c r="BK692" i="6"/>
  <c r="BV692" i="6"/>
  <c r="CE692" i="6"/>
  <c r="BW692" i="6"/>
  <c r="K692" i="12"/>
  <c r="H693" i="6"/>
  <c r="T693" i="5" s="1"/>
  <c r="G693" i="12" s="1"/>
  <c r="H694" i="5"/>
  <c r="AD694" i="5"/>
  <c r="K694" i="5"/>
  <c r="J694" i="5"/>
  <c r="F694" i="5"/>
  <c r="G694" i="5"/>
  <c r="E694" i="5"/>
  <c r="D694" i="5"/>
  <c r="B694" i="12" s="1"/>
  <c r="A694" i="12"/>
  <c r="B694" i="6"/>
  <c r="B694" i="5"/>
  <c r="AE694" i="5"/>
  <c r="N694" i="5"/>
  <c r="D694" i="6" s="1"/>
  <c r="L693" i="12"/>
  <c r="J693" i="12"/>
  <c r="N693" i="6" l="1"/>
  <c r="BN693" i="6"/>
  <c r="CH693" i="6"/>
  <c r="CI693" i="6"/>
  <c r="CJ693" i="6"/>
  <c r="BR693" i="6"/>
  <c r="CK693" i="6"/>
  <c r="BT693" i="6"/>
  <c r="CL693" i="6"/>
  <c r="BQ693" i="6"/>
  <c r="CM693" i="6"/>
  <c r="BS693" i="6"/>
  <c r="BM693" i="6"/>
  <c r="BO693" i="6"/>
  <c r="BP693" i="6"/>
  <c r="CF693" i="6"/>
  <c r="CG693" i="6"/>
  <c r="A694" i="6"/>
  <c r="M694" i="6" s="1"/>
  <c r="K693" i="12"/>
  <c r="BE693" i="6"/>
  <c r="CA693" i="6"/>
  <c r="BD693" i="6"/>
  <c r="BZ693" i="6"/>
  <c r="CD693" i="6"/>
  <c r="BL693" i="6"/>
  <c r="BW693" i="6"/>
  <c r="BJ693" i="6"/>
  <c r="BF693" i="6"/>
  <c r="BV693" i="6"/>
  <c r="BY693" i="6"/>
  <c r="BI693" i="6"/>
  <c r="CE693" i="6"/>
  <c r="CC693" i="6"/>
  <c r="BG693" i="6"/>
  <c r="BC693" i="6"/>
  <c r="CB693" i="6"/>
  <c r="BH693" i="6"/>
  <c r="BK693" i="6"/>
  <c r="L694" i="12"/>
  <c r="J694" i="12"/>
  <c r="H694" i="6"/>
  <c r="T694" i="5" s="1"/>
  <c r="G694" i="12" s="1"/>
  <c r="N694" i="6" l="1"/>
  <c r="BZ694" i="6"/>
  <c r="CJ694" i="6"/>
  <c r="BR694" i="6"/>
  <c r="CI694" i="6"/>
  <c r="CH694" i="6"/>
  <c r="CF694" i="6"/>
  <c r="BP694" i="6"/>
  <c r="CG694" i="6"/>
  <c r="BT694" i="6"/>
  <c r="BS694" i="6"/>
  <c r="BQ694" i="6"/>
  <c r="CM694" i="6"/>
  <c r="BO694" i="6"/>
  <c r="CL694" i="6"/>
  <c r="BN694" i="6"/>
  <c r="CK694" i="6"/>
  <c r="BM694" i="6"/>
  <c r="CA694" i="6"/>
  <c r="BH694" i="6"/>
  <c r="BE694" i="6"/>
  <c r="BC694" i="6"/>
  <c r="BI694" i="6"/>
  <c r="BD694" i="6"/>
  <c r="CC694" i="6"/>
  <c r="BK694" i="6"/>
  <c r="BW694" i="6"/>
  <c r="CB694" i="6"/>
  <c r="BJ694" i="6"/>
  <c r="CE694" i="6"/>
  <c r="CD694" i="6"/>
  <c r="BF694" i="6"/>
  <c r="BG694" i="6"/>
  <c r="BX694" i="6"/>
  <c r="BL694" i="6"/>
  <c r="C695" i="5"/>
  <c r="K694" i="12"/>
  <c r="BY694" i="6"/>
  <c r="BV694" i="6"/>
  <c r="AF695" i="5"/>
  <c r="S695" i="5" l="1"/>
  <c r="F695" i="12" s="1"/>
  <c r="AG695" i="5"/>
  <c r="C696" i="5"/>
  <c r="E695" i="5"/>
  <c r="G695" i="5"/>
  <c r="B695" i="5"/>
  <c r="B695" i="6"/>
  <c r="N695" i="5"/>
  <c r="D695" i="6" s="1"/>
  <c r="AE695" i="5"/>
  <c r="AD695" i="5"/>
  <c r="A695" i="12"/>
  <c r="H695" i="5"/>
  <c r="F695" i="5"/>
  <c r="CM695" i="6" l="1"/>
  <c r="CL695" i="6"/>
  <c r="CK695" i="6"/>
  <c r="CJ695" i="6"/>
  <c r="CI695" i="6"/>
  <c r="CH695" i="6"/>
  <c r="CG695" i="6"/>
  <c r="CF695" i="6"/>
  <c r="BP695" i="6"/>
  <c r="BO695" i="6"/>
  <c r="BM695" i="6"/>
  <c r="BS695" i="6"/>
  <c r="BQ695" i="6"/>
  <c r="BT695" i="6"/>
  <c r="BR695" i="6"/>
  <c r="BN695" i="6"/>
  <c r="A695" i="6"/>
  <c r="U695" i="5"/>
  <c r="AN695" i="5" s="1"/>
  <c r="W695" i="5"/>
  <c r="H695" i="12" s="1"/>
  <c r="E695" i="12"/>
  <c r="F695" i="6"/>
  <c r="G695" i="6"/>
  <c r="H695" i="6"/>
  <c r="T695" i="5" s="1"/>
  <c r="G695" i="12" s="1"/>
  <c r="N695" i="6"/>
  <c r="M695" i="6"/>
  <c r="BF695" i="6" s="1"/>
  <c r="B696" i="6"/>
  <c r="AE696" i="5"/>
  <c r="N696" i="5"/>
  <c r="D696" i="6" s="1"/>
  <c r="B696" i="5"/>
  <c r="H696" i="5"/>
  <c r="D696" i="5"/>
  <c r="B696" i="12" s="1"/>
  <c r="E696" i="5"/>
  <c r="C697" i="5"/>
  <c r="G696" i="5"/>
  <c r="K696" i="5"/>
  <c r="F696" i="5"/>
  <c r="J696" i="5"/>
  <c r="AD696" i="5"/>
  <c r="A696" i="12"/>
  <c r="AU695" i="6" l="1"/>
  <c r="AV695" i="6"/>
  <c r="AW695" i="6"/>
  <c r="AX695" i="6"/>
  <c r="AY695" i="6"/>
  <c r="AZ695" i="6"/>
  <c r="BA695" i="6"/>
  <c r="AT695" i="6"/>
  <c r="A696" i="6"/>
  <c r="M696" i="6" s="1"/>
  <c r="BL695" i="6"/>
  <c r="BW695" i="6"/>
  <c r="CC695" i="6"/>
  <c r="CD695" i="6"/>
  <c r="AJ695" i="6"/>
  <c r="BJ695" i="6"/>
  <c r="AO695" i="6"/>
  <c r="BH695" i="6"/>
  <c r="AQ695" i="6"/>
  <c r="BX695" i="6"/>
  <c r="BZ695" i="6"/>
  <c r="AM695" i="6"/>
  <c r="CA695" i="6"/>
  <c r="AN695" i="6"/>
  <c r="AR695" i="6"/>
  <c r="H696" i="6"/>
  <c r="T696" i="5" s="1"/>
  <c r="G696" i="12" s="1"/>
  <c r="BC695" i="6"/>
  <c r="AP695" i="6"/>
  <c r="CB695" i="6"/>
  <c r="BV695" i="6"/>
  <c r="AS695" i="6"/>
  <c r="BY695" i="6"/>
  <c r="BI695" i="6"/>
  <c r="L696" i="12"/>
  <c r="J696" i="12"/>
  <c r="AL695" i="6"/>
  <c r="BE695" i="6"/>
  <c r="BK695" i="6"/>
  <c r="CE695" i="6"/>
  <c r="G697" i="5"/>
  <c r="B697" i="5"/>
  <c r="K697" i="5"/>
  <c r="F697" i="5"/>
  <c r="E697" i="5"/>
  <c r="AD697" i="5"/>
  <c r="AE697" i="5"/>
  <c r="A697" i="12"/>
  <c r="J697" i="5"/>
  <c r="C698" i="5"/>
  <c r="D697" i="5"/>
  <c r="B697" i="12" s="1"/>
  <c r="N697" i="5"/>
  <c r="D697" i="6" s="1"/>
  <c r="H697" i="5"/>
  <c r="B697" i="6"/>
  <c r="BD695" i="6"/>
  <c r="BG695" i="6"/>
  <c r="AK695" i="6"/>
  <c r="BW696" i="6" l="1"/>
  <c r="BQ696" i="6"/>
  <c r="N696" i="6"/>
  <c r="BP696" i="6"/>
  <c r="BS696" i="6"/>
  <c r="BT696" i="6"/>
  <c r="CG696" i="6"/>
  <c r="CF696" i="6"/>
  <c r="CH696" i="6"/>
  <c r="CI696" i="6"/>
  <c r="BR696" i="6"/>
  <c r="CJ696" i="6"/>
  <c r="BM696" i="6"/>
  <c r="CK696" i="6"/>
  <c r="BN696" i="6"/>
  <c r="CL696" i="6"/>
  <c r="BO696" i="6"/>
  <c r="CM696" i="6"/>
  <c r="A697" i="6"/>
  <c r="M697" i="6" s="1"/>
  <c r="BI696" i="6"/>
  <c r="BE696" i="6"/>
  <c r="BC696" i="6"/>
  <c r="CB696" i="6"/>
  <c r="BK696" i="6"/>
  <c r="BJ696" i="6"/>
  <c r="CD696" i="6"/>
  <c r="BV696" i="6"/>
  <c r="BD696" i="6"/>
  <c r="BF696" i="6"/>
  <c r="BL696" i="6"/>
  <c r="CA696" i="6"/>
  <c r="BX696" i="6"/>
  <c r="BY696" i="6"/>
  <c r="BG696" i="6"/>
  <c r="BZ696" i="6"/>
  <c r="CE696" i="6"/>
  <c r="CC696" i="6"/>
  <c r="BH696" i="6"/>
  <c r="AE698" i="5"/>
  <c r="G698" i="5"/>
  <c r="H698" i="5"/>
  <c r="N698" i="5"/>
  <c r="D698" i="6" s="1"/>
  <c r="E698" i="5"/>
  <c r="D698" i="5"/>
  <c r="B698" i="12" s="1"/>
  <c r="AD698" i="5"/>
  <c r="A698" i="12"/>
  <c r="B698" i="6"/>
  <c r="J698" i="5"/>
  <c r="B698" i="5"/>
  <c r="C699" i="5"/>
  <c r="K698" i="5"/>
  <c r="F698" i="5"/>
  <c r="L697" i="12"/>
  <c r="J697" i="12"/>
  <c r="H697" i="6"/>
  <c r="T697" i="5" s="1"/>
  <c r="G697" i="12" s="1"/>
  <c r="K696" i="12"/>
  <c r="N697" i="6" l="1"/>
  <c r="BH697" i="6"/>
  <c r="CI697" i="6"/>
  <c r="BO697" i="6"/>
  <c r="CH697" i="6"/>
  <c r="BM697" i="6"/>
  <c r="CG697" i="6"/>
  <c r="BN697" i="6"/>
  <c r="CF697" i="6"/>
  <c r="CM697" i="6"/>
  <c r="CL697" i="6"/>
  <c r="CJ697" i="6"/>
  <c r="CK697" i="6"/>
  <c r="BP697" i="6"/>
  <c r="BT697" i="6"/>
  <c r="BS697" i="6"/>
  <c r="BR697" i="6"/>
  <c r="BQ697" i="6"/>
  <c r="A698" i="6"/>
  <c r="N698" i="6" s="1"/>
  <c r="BX697" i="6"/>
  <c r="BW697" i="6"/>
  <c r="CC697" i="6"/>
  <c r="BD697" i="6"/>
  <c r="K697" i="12"/>
  <c r="CE697" i="6"/>
  <c r="BK697" i="6"/>
  <c r="BG697" i="6"/>
  <c r="BI697" i="6"/>
  <c r="BY697" i="6"/>
  <c r="BC697" i="6"/>
  <c r="CA697" i="6"/>
  <c r="BF697" i="6"/>
  <c r="L698" i="12"/>
  <c r="J698" i="12"/>
  <c r="CB697" i="6"/>
  <c r="BV697" i="6"/>
  <c r="BJ697" i="6"/>
  <c r="H698" i="6"/>
  <c r="T698" i="5" s="1"/>
  <c r="G698" i="12" s="1"/>
  <c r="BE697" i="6"/>
  <c r="BZ697" i="6"/>
  <c r="F699" i="5"/>
  <c r="AE699" i="5"/>
  <c r="G699" i="5"/>
  <c r="B699" i="6"/>
  <c r="H699" i="5"/>
  <c r="E699" i="5"/>
  <c r="D699" i="5"/>
  <c r="B699" i="12" s="1"/>
  <c r="N699" i="5"/>
  <c r="D699" i="6" s="1"/>
  <c r="AD699" i="5"/>
  <c r="A699" i="12"/>
  <c r="C700" i="5"/>
  <c r="K699" i="5"/>
  <c r="B699" i="5"/>
  <c r="J699" i="5"/>
  <c r="CD697" i="6"/>
  <c r="BL697" i="6"/>
  <c r="M698" i="6" l="1"/>
  <c r="BC698" i="6" s="1"/>
  <c r="A699" i="6"/>
  <c r="M699" i="6" s="1"/>
  <c r="BY699" i="6" s="1"/>
  <c r="H699" i="6"/>
  <c r="T699" i="5" s="1"/>
  <c r="G699" i="12" s="1"/>
  <c r="K698" i="12"/>
  <c r="J700" i="5"/>
  <c r="G700" i="5"/>
  <c r="B700" i="5"/>
  <c r="AE700" i="5"/>
  <c r="F700" i="5"/>
  <c r="B700" i="6"/>
  <c r="E700" i="5"/>
  <c r="AD700" i="5"/>
  <c r="A700" i="12"/>
  <c r="D700" i="5"/>
  <c r="B700" i="12" s="1"/>
  <c r="N700" i="5"/>
  <c r="D700" i="6" s="1"/>
  <c r="K700" i="5"/>
  <c r="H700" i="5"/>
  <c r="L699" i="12"/>
  <c r="J699" i="12"/>
  <c r="BJ698" i="6" l="1"/>
  <c r="BD698" i="6"/>
  <c r="CA698" i="6"/>
  <c r="CE698" i="6"/>
  <c r="CC698" i="6"/>
  <c r="CB698" i="6"/>
  <c r="BZ698" i="6"/>
  <c r="BY698" i="6"/>
  <c r="BF698" i="6"/>
  <c r="BL698" i="6"/>
  <c r="CH698" i="6"/>
  <c r="BE698" i="6"/>
  <c r="CG698" i="6"/>
  <c r="BX698" i="6"/>
  <c r="CF698" i="6"/>
  <c r="BP698" i="6"/>
  <c r="BK698" i="6"/>
  <c r="BO698" i="6"/>
  <c r="BW698" i="6"/>
  <c r="BM698" i="6"/>
  <c r="BV698" i="6"/>
  <c r="BS698" i="6"/>
  <c r="BH698" i="6"/>
  <c r="BG698" i="6"/>
  <c r="CM698" i="6"/>
  <c r="BQ698" i="6"/>
  <c r="CJ698" i="6"/>
  <c r="CL698" i="6"/>
  <c r="BI698" i="6"/>
  <c r="BN698" i="6"/>
  <c r="BT698" i="6"/>
  <c r="CD698" i="6"/>
  <c r="CI698" i="6"/>
  <c r="CK698" i="6"/>
  <c r="BR698" i="6"/>
  <c r="N699" i="6"/>
  <c r="BR699" i="6"/>
  <c r="CJ699" i="6"/>
  <c r="BM699" i="6"/>
  <c r="CK699" i="6"/>
  <c r="BN699" i="6"/>
  <c r="CL699" i="6"/>
  <c r="BO699" i="6"/>
  <c r="CM699" i="6"/>
  <c r="BP699" i="6"/>
  <c r="BQ699" i="6"/>
  <c r="BS699" i="6"/>
  <c r="BT699" i="6"/>
  <c r="CG699" i="6"/>
  <c r="CF699" i="6"/>
  <c r="CH699" i="6"/>
  <c r="CI699" i="6"/>
  <c r="A700" i="6"/>
  <c r="N700" i="6" s="1"/>
  <c r="K699" i="12"/>
  <c r="CA699" i="6"/>
  <c r="BZ699" i="6"/>
  <c r="CB699" i="6"/>
  <c r="CD699" i="6"/>
  <c r="BE699" i="6"/>
  <c r="BD699" i="6"/>
  <c r="BV699" i="6"/>
  <c r="CC699" i="6"/>
  <c r="BJ699" i="6"/>
  <c r="BF699" i="6"/>
  <c r="L700" i="12"/>
  <c r="J700" i="12"/>
  <c r="BI699" i="6"/>
  <c r="BC699" i="6"/>
  <c r="BH699" i="6"/>
  <c r="BG699" i="6"/>
  <c r="C701" i="5"/>
  <c r="H700" i="6"/>
  <c r="T700" i="5" s="1"/>
  <c r="G700" i="12" s="1"/>
  <c r="BL699" i="6"/>
  <c r="BK699" i="6"/>
  <c r="BX699" i="6"/>
  <c r="BW699" i="6"/>
  <c r="CE699" i="6"/>
  <c r="AF701" i="5"/>
  <c r="M700" i="6" l="1"/>
  <c r="CD700" i="6" s="1"/>
  <c r="AG701" i="5"/>
  <c r="S701" i="5"/>
  <c r="F701" i="12" s="1"/>
  <c r="AE701" i="5"/>
  <c r="N701" i="5"/>
  <c r="D701" i="6" s="1"/>
  <c r="F701" i="5"/>
  <c r="G701" i="5"/>
  <c r="AD701" i="5"/>
  <c r="E701" i="5"/>
  <c r="H701" i="5"/>
  <c r="C702" i="5"/>
  <c r="B701" i="5"/>
  <c r="W701" i="5"/>
  <c r="H701" i="12" s="1"/>
  <c r="A701" i="12"/>
  <c r="B701" i="6"/>
  <c r="K700" i="12"/>
  <c r="BZ700" i="6" l="1"/>
  <c r="BF700" i="6"/>
  <c r="BH700" i="6"/>
  <c r="BG700" i="6"/>
  <c r="BE700" i="6"/>
  <c r="BJ700" i="6"/>
  <c r="BD700" i="6"/>
  <c r="BV700" i="6"/>
  <c r="BL700" i="6"/>
  <c r="CE700" i="6"/>
  <c r="BY700" i="6"/>
  <c r="CB700" i="6"/>
  <c r="CC700" i="6"/>
  <c r="BQ700" i="6"/>
  <c r="CH700" i="6"/>
  <c r="BM700" i="6"/>
  <c r="BW700" i="6"/>
  <c r="CG700" i="6"/>
  <c r="BP700" i="6"/>
  <c r="CA700" i="6"/>
  <c r="CF700" i="6"/>
  <c r="BK700" i="6"/>
  <c r="BN700" i="6"/>
  <c r="BI700" i="6"/>
  <c r="CM700" i="6"/>
  <c r="CL700" i="6"/>
  <c r="BR700" i="6"/>
  <c r="CJ700" i="6"/>
  <c r="CK700" i="6"/>
  <c r="BC700" i="6"/>
  <c r="CI700" i="6"/>
  <c r="BT700" i="6"/>
  <c r="BX700" i="6"/>
  <c r="BO700" i="6"/>
  <c r="BS700" i="6"/>
  <c r="CM701" i="6"/>
  <c r="CL701" i="6"/>
  <c r="CK701" i="6"/>
  <c r="CJ701" i="6"/>
  <c r="CI701" i="6"/>
  <c r="CH701" i="6"/>
  <c r="CG701" i="6"/>
  <c r="CF701" i="6"/>
  <c r="BP701" i="6"/>
  <c r="BO701" i="6"/>
  <c r="BM701" i="6"/>
  <c r="BS701" i="6"/>
  <c r="BQ701" i="6"/>
  <c r="BT701" i="6"/>
  <c r="BR701" i="6"/>
  <c r="BN701" i="6"/>
  <c r="A701" i="6"/>
  <c r="U701" i="5"/>
  <c r="AN701" i="5" s="1"/>
  <c r="G701" i="6"/>
  <c r="M701" i="6"/>
  <c r="BV701" i="6" s="1"/>
  <c r="N701" i="6"/>
  <c r="H701" i="6"/>
  <c r="T701" i="5" s="1"/>
  <c r="G701" i="12" s="1"/>
  <c r="F701" i="6"/>
  <c r="E701" i="12"/>
  <c r="B702" i="5"/>
  <c r="K702" i="5"/>
  <c r="J702" i="5"/>
  <c r="A702" i="12"/>
  <c r="H702" i="5"/>
  <c r="B702" i="6"/>
  <c r="E702" i="5"/>
  <c r="C703" i="5"/>
  <c r="AE702" i="5"/>
  <c r="AD702" i="5"/>
  <c r="G702" i="5"/>
  <c r="N702" i="5"/>
  <c r="D702" i="6" s="1"/>
  <c r="D702" i="5"/>
  <c r="B702" i="12" s="1"/>
  <c r="F702" i="5"/>
  <c r="AY701" i="6" l="1"/>
  <c r="AZ701" i="6"/>
  <c r="BA701" i="6"/>
  <c r="AT701" i="6"/>
  <c r="AU701" i="6"/>
  <c r="AV701" i="6"/>
  <c r="AX701" i="6"/>
  <c r="AW701" i="6"/>
  <c r="A702" i="6"/>
  <c r="M702" i="6" s="1"/>
  <c r="CA702" i="6" s="1"/>
  <c r="CC701" i="6"/>
  <c r="CE701" i="6"/>
  <c r="BF701" i="6"/>
  <c r="BC701" i="6"/>
  <c r="CA701" i="6"/>
  <c r="BJ701" i="6"/>
  <c r="AN701" i="6"/>
  <c r="CB701" i="6"/>
  <c r="BI701" i="6"/>
  <c r="BL701" i="6"/>
  <c r="BH701" i="6"/>
  <c r="AM701" i="6"/>
  <c r="BE701" i="6"/>
  <c r="AK701" i="6"/>
  <c r="BW701" i="6"/>
  <c r="BD701" i="6"/>
  <c r="CD701" i="6"/>
  <c r="AL701" i="6"/>
  <c r="BG701" i="6"/>
  <c r="BX701" i="6"/>
  <c r="BZ701" i="6"/>
  <c r="BK701" i="6"/>
  <c r="AS701" i="6"/>
  <c r="AO701" i="6"/>
  <c r="H702" i="6"/>
  <c r="T702" i="5" s="1"/>
  <c r="G702" i="12" s="1"/>
  <c r="AJ701" i="6"/>
  <c r="AP701" i="6"/>
  <c r="G703" i="5"/>
  <c r="D703" i="5"/>
  <c r="B703" i="12" s="1"/>
  <c r="B703" i="5"/>
  <c r="H703" i="5"/>
  <c r="K703" i="5"/>
  <c r="AE703" i="5"/>
  <c r="N703" i="5"/>
  <c r="D703" i="6" s="1"/>
  <c r="AD703" i="5"/>
  <c r="F703" i="5"/>
  <c r="C704" i="5"/>
  <c r="J703" i="5"/>
  <c r="B703" i="6"/>
  <c r="A703" i="12"/>
  <c r="E703" i="5"/>
  <c r="AR701" i="6"/>
  <c r="L702" i="12"/>
  <c r="J702" i="12"/>
  <c r="BY701" i="6"/>
  <c r="AQ701" i="6"/>
  <c r="N702" i="6" l="1"/>
  <c r="A703" i="6"/>
  <c r="N703" i="6" s="1"/>
  <c r="BQ702" i="6"/>
  <c r="BS702" i="6"/>
  <c r="BT702" i="6"/>
  <c r="CG702" i="6"/>
  <c r="CF702" i="6"/>
  <c r="CH702" i="6"/>
  <c r="CI702" i="6"/>
  <c r="BR702" i="6"/>
  <c r="CJ702" i="6"/>
  <c r="BM702" i="6"/>
  <c r="CK702" i="6"/>
  <c r="BN702" i="6"/>
  <c r="CL702" i="6"/>
  <c r="BO702" i="6"/>
  <c r="CM702" i="6"/>
  <c r="BP702" i="6"/>
  <c r="CC702" i="6"/>
  <c r="K702" i="12"/>
  <c r="BK702" i="6"/>
  <c r="BH702" i="6"/>
  <c r="BD702" i="6"/>
  <c r="BW702" i="6"/>
  <c r="CD702" i="6"/>
  <c r="CE702" i="6"/>
  <c r="BE702" i="6"/>
  <c r="BL702" i="6"/>
  <c r="L703" i="12"/>
  <c r="J703" i="12"/>
  <c r="BY702" i="6"/>
  <c r="BJ702" i="6"/>
  <c r="BX702" i="6"/>
  <c r="BF702" i="6"/>
  <c r="BV702" i="6"/>
  <c r="A704" i="12"/>
  <c r="D704" i="5"/>
  <c r="B704" i="12" s="1"/>
  <c r="AE704" i="5"/>
  <c r="N704" i="5"/>
  <c r="D704" i="6" s="1"/>
  <c r="K704" i="5"/>
  <c r="G704" i="5"/>
  <c r="C705" i="5"/>
  <c r="E704" i="5"/>
  <c r="B704" i="6"/>
  <c r="H704" i="5"/>
  <c r="F704" i="5"/>
  <c r="J704" i="5"/>
  <c r="B704" i="5"/>
  <c r="AD704" i="5"/>
  <c r="BC702" i="6"/>
  <c r="CB702" i="6"/>
  <c r="BG702" i="6"/>
  <c r="H703" i="6"/>
  <c r="T703" i="5" s="1"/>
  <c r="G703" i="12" s="1"/>
  <c r="BZ702" i="6"/>
  <c r="BI702" i="6"/>
  <c r="M703" i="6" l="1"/>
  <c r="BF703" i="6" s="1"/>
  <c r="A704" i="6"/>
  <c r="M704" i="6" s="1"/>
  <c r="BY704" i="6" s="1"/>
  <c r="K703" i="12"/>
  <c r="K705" i="5"/>
  <c r="AD705" i="5"/>
  <c r="B705" i="5"/>
  <c r="J705" i="5"/>
  <c r="N705" i="5"/>
  <c r="D705" i="6" s="1"/>
  <c r="F705" i="5"/>
  <c r="C706" i="5"/>
  <c r="H705" i="5"/>
  <c r="AE705" i="5"/>
  <c r="E705" i="5"/>
  <c r="A705" i="12"/>
  <c r="G705" i="5"/>
  <c r="B705" i="6"/>
  <c r="D705" i="5"/>
  <c r="B705" i="12" s="1"/>
  <c r="H704" i="6"/>
  <c r="T704" i="5" s="1"/>
  <c r="G704" i="12" s="1"/>
  <c r="J704" i="12"/>
  <c r="L704" i="12"/>
  <c r="BI703" i="6" l="1"/>
  <c r="CG703" i="6"/>
  <c r="BE703" i="6"/>
  <c r="BN703" i="6"/>
  <c r="BJ703" i="6"/>
  <c r="BX703" i="6"/>
  <c r="CF703" i="6"/>
  <c r="BV703" i="6"/>
  <c r="BH703" i="6"/>
  <c r="BP703" i="6"/>
  <c r="BK703" i="6"/>
  <c r="CE703" i="6"/>
  <c r="CM703" i="6"/>
  <c r="BD703" i="6"/>
  <c r="BL703" i="6"/>
  <c r="BY703" i="6"/>
  <c r="CB703" i="6"/>
  <c r="CL703" i="6"/>
  <c r="CJ703" i="6"/>
  <c r="CD703" i="6"/>
  <c r="BZ703" i="6"/>
  <c r="BQ703" i="6"/>
  <c r="CK703" i="6"/>
  <c r="BG703" i="6"/>
  <c r="BW703" i="6"/>
  <c r="CI703" i="6"/>
  <c r="BT703" i="6"/>
  <c r="BM703" i="6"/>
  <c r="CA703" i="6"/>
  <c r="CC703" i="6"/>
  <c r="BO703" i="6"/>
  <c r="BS703" i="6"/>
  <c r="BC703" i="6"/>
  <c r="CH703" i="6"/>
  <c r="BR703" i="6"/>
  <c r="N704" i="6"/>
  <c r="CF704" i="6"/>
  <c r="CG704" i="6"/>
  <c r="CH704" i="6"/>
  <c r="CI704" i="6"/>
  <c r="BN704" i="6"/>
  <c r="CJ704" i="6"/>
  <c r="BR704" i="6"/>
  <c r="CK704" i="6"/>
  <c r="BT704" i="6"/>
  <c r="CL704" i="6"/>
  <c r="BQ704" i="6"/>
  <c r="CM704" i="6"/>
  <c r="BS704" i="6"/>
  <c r="BM704" i="6"/>
  <c r="BO704" i="6"/>
  <c r="BP704" i="6"/>
  <c r="A705" i="6"/>
  <c r="N705" i="6" s="1"/>
  <c r="BX704" i="6"/>
  <c r="K704" i="12"/>
  <c r="BG704" i="6"/>
  <c r="BF704" i="6"/>
  <c r="BV704" i="6"/>
  <c r="BK704" i="6"/>
  <c r="BH704" i="6"/>
  <c r="BI704" i="6"/>
  <c r="CA704" i="6"/>
  <c r="BD704" i="6"/>
  <c r="BE704" i="6"/>
  <c r="CE704" i="6"/>
  <c r="L705" i="12"/>
  <c r="J705" i="12"/>
  <c r="CD704" i="6"/>
  <c r="CC704" i="6"/>
  <c r="AD706" i="5"/>
  <c r="K706" i="5"/>
  <c r="J706" i="5"/>
  <c r="F706" i="5"/>
  <c r="B706" i="6"/>
  <c r="AE706" i="5"/>
  <c r="C707" i="5"/>
  <c r="B706" i="5"/>
  <c r="A706" i="12"/>
  <c r="H706" i="5"/>
  <c r="D706" i="5"/>
  <c r="B706" i="12" s="1"/>
  <c r="E706" i="5"/>
  <c r="G706" i="5"/>
  <c r="N706" i="5"/>
  <c r="D706" i="6" s="1"/>
  <c r="BZ704" i="6"/>
  <c r="H705" i="6"/>
  <c r="T705" i="5" s="1"/>
  <c r="G705" i="12" s="1"/>
  <c r="BC704" i="6"/>
  <c r="CB704" i="6"/>
  <c r="BL704" i="6"/>
  <c r="BW704" i="6"/>
  <c r="BJ704" i="6"/>
  <c r="M705" i="6" l="1"/>
  <c r="CB705" i="6" s="1"/>
  <c r="A706" i="6"/>
  <c r="M706" i="6" s="1"/>
  <c r="BL706" i="6" s="1"/>
  <c r="L706" i="12"/>
  <c r="J706" i="12"/>
  <c r="K705" i="12"/>
  <c r="B707" i="5"/>
  <c r="AD707" i="5"/>
  <c r="K707" i="5"/>
  <c r="B707" i="6"/>
  <c r="J707" i="5"/>
  <c r="F707" i="5"/>
  <c r="H707" i="5"/>
  <c r="AE707" i="5"/>
  <c r="C708" i="5"/>
  <c r="D707" i="5"/>
  <c r="B707" i="12" s="1"/>
  <c r="G707" i="5"/>
  <c r="N707" i="5"/>
  <c r="D707" i="6" s="1"/>
  <c r="E707" i="5"/>
  <c r="A707" i="12"/>
  <c r="H706" i="6"/>
  <c r="T706" i="5" s="1"/>
  <c r="G706" i="12" s="1"/>
  <c r="BG705" i="6" l="1"/>
  <c r="CE705" i="6"/>
  <c r="BY705" i="6"/>
  <c r="BW705" i="6"/>
  <c r="BX705" i="6"/>
  <c r="BC705" i="6"/>
  <c r="CC705" i="6"/>
  <c r="BL705" i="6"/>
  <c r="BI705" i="6"/>
  <c r="CD705" i="6"/>
  <c r="BZ705" i="6"/>
  <c r="BE705" i="6"/>
  <c r="BV705" i="6"/>
  <c r="BQ705" i="6"/>
  <c r="CL705" i="6"/>
  <c r="BN705" i="6"/>
  <c r="CK705" i="6"/>
  <c r="BM705" i="6"/>
  <c r="BK705" i="6"/>
  <c r="CJ705" i="6"/>
  <c r="BR705" i="6"/>
  <c r="A707" i="6"/>
  <c r="M707" i="6" s="1"/>
  <c r="CD707" i="6" s="1"/>
  <c r="BH705" i="6"/>
  <c r="CI705" i="6"/>
  <c r="BF705" i="6"/>
  <c r="CH705" i="6"/>
  <c r="BJ705" i="6"/>
  <c r="CF705" i="6"/>
  <c r="BP705" i="6"/>
  <c r="CG705" i="6"/>
  <c r="CA705" i="6"/>
  <c r="CM705" i="6"/>
  <c r="BT705" i="6"/>
  <c r="BD705" i="6"/>
  <c r="BO705" i="6"/>
  <c r="BS705" i="6"/>
  <c r="N706" i="6"/>
  <c r="BM706" i="6"/>
  <c r="CH706" i="6"/>
  <c r="BO706" i="6"/>
  <c r="CI706" i="6"/>
  <c r="BQ706" i="6"/>
  <c r="BR706" i="6"/>
  <c r="BS706" i="6"/>
  <c r="BT706" i="6"/>
  <c r="CK706" i="6"/>
  <c r="CJ706" i="6"/>
  <c r="CL706" i="6"/>
  <c r="CM706" i="6"/>
  <c r="BN706" i="6"/>
  <c r="CF706" i="6"/>
  <c r="BP706" i="6"/>
  <c r="CG706" i="6"/>
  <c r="K706" i="12"/>
  <c r="CD706" i="6"/>
  <c r="BC706" i="6"/>
  <c r="BH706" i="6"/>
  <c r="BY706" i="6"/>
  <c r="BW706" i="6"/>
  <c r="BE706" i="6"/>
  <c r="BG706" i="6"/>
  <c r="BX706" i="6"/>
  <c r="CA706" i="6"/>
  <c r="BZ706" i="6"/>
  <c r="BF706" i="6"/>
  <c r="L707" i="12"/>
  <c r="J707" i="12"/>
  <c r="G708" i="5"/>
  <c r="K708" i="5"/>
  <c r="B708" i="5"/>
  <c r="AE708" i="5"/>
  <c r="C709" i="5"/>
  <c r="J708" i="5"/>
  <c r="N708" i="5"/>
  <c r="D708" i="6" s="1"/>
  <c r="H708" i="5"/>
  <c r="AD708" i="5"/>
  <c r="A708" i="12"/>
  <c r="D708" i="5"/>
  <c r="B708" i="12" s="1"/>
  <c r="B708" i="6"/>
  <c r="E708" i="5"/>
  <c r="F708" i="5"/>
  <c r="CB706" i="6"/>
  <c r="CE706" i="6"/>
  <c r="BJ706" i="6"/>
  <c r="H707" i="6"/>
  <c r="T707" i="5" s="1"/>
  <c r="G707" i="12" s="1"/>
  <c r="CC706" i="6"/>
  <c r="BD706" i="6"/>
  <c r="BV706" i="6"/>
  <c r="BK706" i="6"/>
  <c r="BI706" i="6"/>
  <c r="N707" i="6" l="1"/>
  <c r="CH707" i="6"/>
  <c r="CI707" i="6"/>
  <c r="BN707" i="6"/>
  <c r="CJ707" i="6"/>
  <c r="BR707" i="6"/>
  <c r="CK707" i="6"/>
  <c r="BT707" i="6"/>
  <c r="CL707" i="6"/>
  <c r="BQ707" i="6"/>
  <c r="CM707" i="6"/>
  <c r="BS707" i="6"/>
  <c r="BM707" i="6"/>
  <c r="BO707" i="6"/>
  <c r="BP707" i="6"/>
  <c r="CF707" i="6"/>
  <c r="CG707" i="6"/>
  <c r="A708" i="6"/>
  <c r="M708" i="6" s="1"/>
  <c r="BH707" i="6"/>
  <c r="BX707" i="6"/>
  <c r="BL707" i="6"/>
  <c r="BV707" i="6"/>
  <c r="BW707" i="6"/>
  <c r="CA707" i="6"/>
  <c r="CB707" i="6"/>
  <c r="BG707" i="6"/>
  <c r="BK707" i="6"/>
  <c r="CC707" i="6"/>
  <c r="BJ707" i="6"/>
  <c r="BF707" i="6"/>
  <c r="BZ707" i="6"/>
  <c r="BI707" i="6"/>
  <c r="CE707" i="6"/>
  <c r="H708" i="6"/>
  <c r="T708" i="5" s="1"/>
  <c r="G708" i="12" s="1"/>
  <c r="AE709" i="5"/>
  <c r="G709" i="5"/>
  <c r="H709" i="5"/>
  <c r="D709" i="5"/>
  <c r="B709" i="12" s="1"/>
  <c r="N709" i="5"/>
  <c r="D709" i="6" s="1"/>
  <c r="F709" i="5"/>
  <c r="A709" i="12"/>
  <c r="E709" i="5"/>
  <c r="K709" i="5"/>
  <c r="J709" i="5"/>
  <c r="B709" i="5"/>
  <c r="B709" i="6"/>
  <c r="AD709" i="5"/>
  <c r="BD707" i="6"/>
  <c r="BE707" i="6"/>
  <c r="BY707" i="6"/>
  <c r="K707" i="12"/>
  <c r="BC707" i="6"/>
  <c r="L708" i="12"/>
  <c r="J708" i="12"/>
  <c r="BE708" i="6" l="1"/>
  <c r="CG708" i="6"/>
  <c r="BS708" i="6"/>
  <c r="BQ708" i="6"/>
  <c r="BP708" i="6"/>
  <c r="BO708" i="6"/>
  <c r="BN708" i="6"/>
  <c r="CM708" i="6"/>
  <c r="CL708" i="6"/>
  <c r="N708" i="6"/>
  <c r="BT708" i="6"/>
  <c r="CF708" i="6"/>
  <c r="CH708" i="6"/>
  <c r="CI708" i="6"/>
  <c r="BR708" i="6"/>
  <c r="CJ708" i="6"/>
  <c r="BM708" i="6"/>
  <c r="CK708" i="6"/>
  <c r="A709" i="6"/>
  <c r="M709" i="6" s="1"/>
  <c r="BG708" i="6"/>
  <c r="BJ708" i="6"/>
  <c r="BD708" i="6"/>
  <c r="CA708" i="6"/>
  <c r="BI708" i="6"/>
  <c r="CC708" i="6"/>
  <c r="BL708" i="6"/>
  <c r="BH708" i="6"/>
  <c r="BZ708" i="6"/>
  <c r="BW708" i="6"/>
  <c r="K708" i="12"/>
  <c r="CD708" i="6"/>
  <c r="L709" i="12"/>
  <c r="J709" i="12"/>
  <c r="CE708" i="6"/>
  <c r="BC708" i="6"/>
  <c r="BF708" i="6"/>
  <c r="CB708" i="6"/>
  <c r="BV708" i="6"/>
  <c r="C710" i="5"/>
  <c r="BY708" i="6"/>
  <c r="BX708" i="6"/>
  <c r="H709" i="6"/>
  <c r="T709" i="5" s="1"/>
  <c r="G709" i="12" s="1"/>
  <c r="BK708" i="6"/>
  <c r="AF710" i="5"/>
  <c r="N709" i="6" l="1"/>
  <c r="CB709" i="6"/>
  <c r="CM709" i="6"/>
  <c r="BQ709" i="6"/>
  <c r="BP709" i="6"/>
  <c r="CL709" i="6"/>
  <c r="CF709" i="6"/>
  <c r="BN709" i="6"/>
  <c r="CG709" i="6"/>
  <c r="BM709" i="6"/>
  <c r="CH709" i="6"/>
  <c r="BO709" i="6"/>
  <c r="CI709" i="6"/>
  <c r="BR709" i="6"/>
  <c r="BS709" i="6"/>
  <c r="BT709" i="6"/>
  <c r="CK709" i="6"/>
  <c r="CJ709" i="6"/>
  <c r="BW709" i="6"/>
  <c r="BH709" i="6"/>
  <c r="S710" i="5"/>
  <c r="F710" i="12" s="1"/>
  <c r="AG710" i="5"/>
  <c r="BI709" i="6"/>
  <c r="CE709" i="6"/>
  <c r="BL709" i="6"/>
  <c r="CC709" i="6"/>
  <c r="K709" i="12"/>
  <c r="BY709" i="6"/>
  <c r="BZ709" i="6"/>
  <c r="BX709" i="6"/>
  <c r="CA709" i="6"/>
  <c r="BJ709" i="6"/>
  <c r="BD709" i="6"/>
  <c r="BG709" i="6"/>
  <c r="CD709" i="6"/>
  <c r="BF709" i="6"/>
  <c r="BK709" i="6"/>
  <c r="BC709" i="6"/>
  <c r="A710" i="12"/>
  <c r="AE710" i="5"/>
  <c r="B710" i="5"/>
  <c r="C711" i="5"/>
  <c r="N710" i="5"/>
  <c r="D710" i="6" s="1"/>
  <c r="F710" i="5"/>
  <c r="H710" i="5"/>
  <c r="W710" i="5"/>
  <c r="H710" i="12" s="1"/>
  <c r="G710" i="5"/>
  <c r="E710" i="5"/>
  <c r="AD710" i="5"/>
  <c r="B710" i="6"/>
  <c r="BE709" i="6"/>
  <c r="BV709" i="6"/>
  <c r="A710" i="6" l="1"/>
  <c r="CM710" i="6"/>
  <c r="CL710" i="6"/>
  <c r="CK710" i="6"/>
  <c r="CJ710" i="6"/>
  <c r="CI710" i="6"/>
  <c r="CH710" i="6"/>
  <c r="CG710" i="6"/>
  <c r="CF710" i="6"/>
  <c r="BP710" i="6"/>
  <c r="BO710" i="6"/>
  <c r="BM710" i="6"/>
  <c r="BS710" i="6"/>
  <c r="BQ710" i="6"/>
  <c r="BT710" i="6"/>
  <c r="BR710" i="6"/>
  <c r="BN710" i="6"/>
  <c r="U710" i="5"/>
  <c r="AN710" i="5" s="1"/>
  <c r="G710" i="6"/>
  <c r="M710" i="6"/>
  <c r="BV710" i="6" s="1"/>
  <c r="N710" i="6"/>
  <c r="H710" i="6"/>
  <c r="T710" i="5" s="1"/>
  <c r="G710" i="12" s="1"/>
  <c r="B711" i="6"/>
  <c r="AD711" i="5"/>
  <c r="H711" i="5"/>
  <c r="B711" i="5"/>
  <c r="K711" i="5"/>
  <c r="D711" i="5"/>
  <c r="B711" i="12" s="1"/>
  <c r="A711" i="12"/>
  <c r="E711" i="5"/>
  <c r="F711" i="5"/>
  <c r="G711" i="5"/>
  <c r="J711" i="5"/>
  <c r="N711" i="5"/>
  <c r="D711" i="6" s="1"/>
  <c r="AE711" i="5"/>
  <c r="E710" i="12"/>
  <c r="F710" i="6"/>
  <c r="AZ710" i="6" l="1"/>
  <c r="AY710" i="6"/>
  <c r="BA710" i="6"/>
  <c r="AT710" i="6"/>
  <c r="AU710" i="6"/>
  <c r="AV710" i="6"/>
  <c r="AW710" i="6"/>
  <c r="AX710" i="6"/>
  <c r="A711" i="6"/>
  <c r="N711" i="6" s="1"/>
  <c r="BC710" i="6"/>
  <c r="BD710" i="6"/>
  <c r="BE710" i="6"/>
  <c r="CD710" i="6"/>
  <c r="BH710" i="6"/>
  <c r="CC710" i="6"/>
  <c r="CB710" i="6"/>
  <c r="BI710" i="6"/>
  <c r="AR710" i="6"/>
  <c r="H711" i="6"/>
  <c r="T711" i="5" s="1"/>
  <c r="G711" i="12" s="1"/>
  <c r="AN710" i="6"/>
  <c r="C712" i="5"/>
  <c r="AM710" i="6"/>
  <c r="AL710" i="6"/>
  <c r="BF710" i="6"/>
  <c r="BX710" i="6"/>
  <c r="AJ710" i="6"/>
  <c r="BL710" i="6"/>
  <c r="AK710" i="6"/>
  <c r="AP710" i="6"/>
  <c r="BK710" i="6"/>
  <c r="CE710" i="6"/>
  <c r="BG710" i="6"/>
  <c r="BY710" i="6"/>
  <c r="AS710" i="6"/>
  <c r="CA710" i="6"/>
  <c r="AO710" i="6"/>
  <c r="BZ710" i="6"/>
  <c r="L711" i="12"/>
  <c r="J711" i="12"/>
  <c r="BW710" i="6"/>
  <c r="BJ710" i="6"/>
  <c r="AQ710" i="6"/>
  <c r="AF712" i="5"/>
  <c r="M711" i="6" l="1"/>
  <c r="BG711" i="6" s="1"/>
  <c r="K711" i="12"/>
  <c r="AG712" i="5"/>
  <c r="S712" i="5"/>
  <c r="F712" i="12" s="1"/>
  <c r="B712" i="5"/>
  <c r="N712" i="5"/>
  <c r="D712" i="6" s="1"/>
  <c r="C713" i="5"/>
  <c r="F712" i="5"/>
  <c r="E712" i="5"/>
  <c r="A712" i="12"/>
  <c r="G712" i="5"/>
  <c r="W712" i="5"/>
  <c r="H712" i="12" s="1"/>
  <c r="AD712" i="5"/>
  <c r="B712" i="6"/>
  <c r="H712" i="5"/>
  <c r="AE712" i="5"/>
  <c r="BZ711" i="6" l="1"/>
  <c r="BY711" i="6"/>
  <c r="BJ711" i="6"/>
  <c r="BD711" i="6"/>
  <c r="BC711" i="6"/>
  <c r="CB711" i="6"/>
  <c r="BW711" i="6"/>
  <c r="BV711" i="6"/>
  <c r="CD711" i="6"/>
  <c r="BP711" i="6"/>
  <c r="BN711" i="6"/>
  <c r="CK711" i="6"/>
  <c r="BX711" i="6"/>
  <c r="BK711" i="6"/>
  <c r="BF711" i="6"/>
  <c r="BM711" i="6"/>
  <c r="CJ711" i="6"/>
  <c r="BR711" i="6"/>
  <c r="BE711" i="6"/>
  <c r="CI711" i="6"/>
  <c r="BH711" i="6"/>
  <c r="CC711" i="6"/>
  <c r="BL711" i="6"/>
  <c r="CA711" i="6"/>
  <c r="CH711" i="6"/>
  <c r="CF711" i="6"/>
  <c r="CG711" i="6"/>
  <c r="BI711" i="6"/>
  <c r="CM711" i="6"/>
  <c r="BS711" i="6"/>
  <c r="A712" i="6"/>
  <c r="CE711" i="6"/>
  <c r="BO711" i="6"/>
  <c r="BT711" i="6"/>
  <c r="CL711" i="6"/>
  <c r="BQ711" i="6"/>
  <c r="CI712" i="6"/>
  <c r="CH712" i="6"/>
  <c r="CG712" i="6"/>
  <c r="CF712" i="6"/>
  <c r="CM712" i="6"/>
  <c r="CL712" i="6"/>
  <c r="CJ712" i="6"/>
  <c r="CK712" i="6"/>
  <c r="BT712" i="6"/>
  <c r="BS712" i="6"/>
  <c r="BR712" i="6"/>
  <c r="BQ712" i="6"/>
  <c r="BO712" i="6"/>
  <c r="BM712" i="6"/>
  <c r="BP712" i="6"/>
  <c r="BN712" i="6"/>
  <c r="U712" i="5"/>
  <c r="AN712" i="5" s="1"/>
  <c r="AE713" i="5"/>
  <c r="G713" i="5"/>
  <c r="C714" i="5"/>
  <c r="B713" i="6"/>
  <c r="A713" i="12"/>
  <c r="H713" i="5"/>
  <c r="AD713" i="5"/>
  <c r="B713" i="5"/>
  <c r="F713" i="5"/>
  <c r="E713" i="5"/>
  <c r="N713" i="5"/>
  <c r="D713" i="6" s="1"/>
  <c r="N712" i="6"/>
  <c r="M712" i="6"/>
  <c r="BW712" i="6" s="1"/>
  <c r="H712" i="6"/>
  <c r="T712" i="5" s="1"/>
  <c r="G712" i="12" s="1"/>
  <c r="G712" i="6"/>
  <c r="E712" i="12"/>
  <c r="F712" i="6"/>
  <c r="AW712" i="6" l="1"/>
  <c r="AV712" i="6"/>
  <c r="AX712" i="6"/>
  <c r="AU712" i="6"/>
  <c r="AY712" i="6"/>
  <c r="BA712" i="6"/>
  <c r="AZ712" i="6"/>
  <c r="AT712" i="6"/>
  <c r="A713" i="6"/>
  <c r="N713" i="6" s="1"/>
  <c r="BX712" i="6"/>
  <c r="BJ712" i="6"/>
  <c r="BK712" i="6"/>
  <c r="BC712" i="6"/>
  <c r="AS712" i="6"/>
  <c r="BZ712" i="6"/>
  <c r="CB712" i="6"/>
  <c r="BG712" i="6"/>
  <c r="AR712" i="6"/>
  <c r="BH712" i="6"/>
  <c r="AL712" i="6"/>
  <c r="AP712" i="6"/>
  <c r="CA712" i="6"/>
  <c r="BL712" i="6"/>
  <c r="BF712" i="6"/>
  <c r="AK712" i="6"/>
  <c r="AQ712" i="6"/>
  <c r="BI712" i="6"/>
  <c r="BV712" i="6"/>
  <c r="AJ712" i="6"/>
  <c r="CE712" i="6"/>
  <c r="AM712" i="6"/>
  <c r="CD712" i="6"/>
  <c r="E714" i="5"/>
  <c r="J714" i="5"/>
  <c r="K714" i="5"/>
  <c r="F714" i="5"/>
  <c r="G714" i="5"/>
  <c r="A714" i="12"/>
  <c r="D714" i="5"/>
  <c r="B714" i="12" s="1"/>
  <c r="B714" i="6"/>
  <c r="B714" i="5"/>
  <c r="H714" i="5"/>
  <c r="N714" i="5"/>
  <c r="D714" i="6" s="1"/>
  <c r="AE714" i="5"/>
  <c r="AD714" i="5"/>
  <c r="BY712" i="6"/>
  <c r="CC712" i="6"/>
  <c r="BD712" i="6"/>
  <c r="AN712" i="6"/>
  <c r="BE712" i="6"/>
  <c r="AO712" i="6"/>
  <c r="H713" i="6"/>
  <c r="T713" i="5" s="1"/>
  <c r="G713" i="12" s="1"/>
  <c r="M713" i="6" l="1"/>
  <c r="BL713" i="6" s="1"/>
  <c r="A714" i="6"/>
  <c r="N714" i="6" s="1"/>
  <c r="L714" i="12"/>
  <c r="J714" i="12"/>
  <c r="H714" i="6"/>
  <c r="T714" i="5" s="1"/>
  <c r="G714" i="12" s="1"/>
  <c r="C715" i="5"/>
  <c r="AF715" i="5"/>
  <c r="BH713" i="6" l="1"/>
  <c r="BJ713" i="6"/>
  <c r="BV713" i="6"/>
  <c r="CB713" i="6"/>
  <c r="BX713" i="6"/>
  <c r="BW713" i="6"/>
  <c r="BI713" i="6"/>
  <c r="BE713" i="6"/>
  <c r="BT713" i="6"/>
  <c r="CK713" i="6"/>
  <c r="BR713" i="6"/>
  <c r="BN713" i="6"/>
  <c r="CJ713" i="6"/>
  <c r="BY713" i="6"/>
  <c r="CI713" i="6"/>
  <c r="BF713" i="6"/>
  <c r="BK713" i="6"/>
  <c r="CH713" i="6"/>
  <c r="CC713" i="6"/>
  <c r="CG713" i="6"/>
  <c r="CF713" i="6"/>
  <c r="BZ713" i="6"/>
  <c r="BP713" i="6"/>
  <c r="CE713" i="6"/>
  <c r="BG713" i="6"/>
  <c r="BD713" i="6"/>
  <c r="CA713" i="6"/>
  <c r="BQ713" i="6"/>
  <c r="BO713" i="6"/>
  <c r="CM713" i="6"/>
  <c r="BC713" i="6"/>
  <c r="CD713" i="6"/>
  <c r="CL713" i="6"/>
  <c r="BM713" i="6"/>
  <c r="BS713" i="6"/>
  <c r="M714" i="6"/>
  <c r="CD714" i="6" s="1"/>
  <c r="S715" i="5"/>
  <c r="F715" i="12" s="1"/>
  <c r="AG715" i="5"/>
  <c r="K714" i="12"/>
  <c r="A715" i="12"/>
  <c r="W715" i="5"/>
  <c r="H715" i="12" s="1"/>
  <c r="B715" i="5"/>
  <c r="H715" i="5"/>
  <c r="E715" i="5"/>
  <c r="B715" i="6"/>
  <c r="AE715" i="5"/>
  <c r="N715" i="5"/>
  <c r="D715" i="6" s="1"/>
  <c r="F715" i="5"/>
  <c r="G715" i="5"/>
  <c r="C716" i="5"/>
  <c r="AD715" i="5"/>
  <c r="BK714" i="6" l="1"/>
  <c r="BX714" i="6"/>
  <c r="BE714" i="6"/>
  <c r="BJ714" i="6"/>
  <c r="BC714" i="6"/>
  <c r="CE714" i="6"/>
  <c r="BP714" i="6"/>
  <c r="CM714" i="6"/>
  <c r="BO714" i="6"/>
  <c r="CL714" i="6"/>
  <c r="BN714" i="6"/>
  <c r="CK714" i="6"/>
  <c r="BM714" i="6"/>
  <c r="CJ714" i="6"/>
  <c r="BR714" i="6"/>
  <c r="CI714" i="6"/>
  <c r="CH714" i="6"/>
  <c r="CF714" i="6"/>
  <c r="CG714" i="6"/>
  <c r="BT714" i="6"/>
  <c r="BS714" i="6"/>
  <c r="BQ714" i="6"/>
  <c r="BI714" i="6"/>
  <c r="BV714" i="6"/>
  <c r="BZ714" i="6"/>
  <c r="BH714" i="6"/>
  <c r="BY714" i="6"/>
  <c r="CI715" i="6"/>
  <c r="CH715" i="6"/>
  <c r="CG715" i="6"/>
  <c r="CF715" i="6"/>
  <c r="CM715" i="6"/>
  <c r="CL715" i="6"/>
  <c r="CJ715" i="6"/>
  <c r="CK715" i="6"/>
  <c r="BT715" i="6"/>
  <c r="BS715" i="6"/>
  <c r="BR715" i="6"/>
  <c r="BQ715" i="6"/>
  <c r="BO715" i="6"/>
  <c r="BM715" i="6"/>
  <c r="BN715" i="6"/>
  <c r="BP715" i="6"/>
  <c r="BW714" i="6"/>
  <c r="CB714" i="6"/>
  <c r="BG714" i="6"/>
  <c r="CA714" i="6"/>
  <c r="CC714" i="6"/>
  <c r="BD714" i="6"/>
  <c r="BF714" i="6"/>
  <c r="BL714" i="6"/>
  <c r="A715" i="6"/>
  <c r="U715" i="5"/>
  <c r="AN715" i="5" s="1"/>
  <c r="H715" i="6"/>
  <c r="T715" i="5" s="1"/>
  <c r="G715" i="12" s="1"/>
  <c r="G715" i="6"/>
  <c r="N715" i="6"/>
  <c r="M715" i="6"/>
  <c r="BV715" i="6" s="1"/>
  <c r="E716" i="5"/>
  <c r="A716" i="12"/>
  <c r="D716" i="5"/>
  <c r="B716" i="12" s="1"/>
  <c r="B716" i="6"/>
  <c r="AE716" i="5"/>
  <c r="F716" i="5"/>
  <c r="B716" i="5"/>
  <c r="H716" i="5"/>
  <c r="G716" i="5"/>
  <c r="AD716" i="5"/>
  <c r="J716" i="5"/>
  <c r="K716" i="5"/>
  <c r="C717" i="5"/>
  <c r="N716" i="5"/>
  <c r="D716" i="6" s="1"/>
  <c r="F715" i="6"/>
  <c r="E715" i="12"/>
  <c r="AY715" i="6" l="1"/>
  <c r="AZ715" i="6"/>
  <c r="BA715" i="6"/>
  <c r="AX715" i="6"/>
  <c r="AT715" i="6"/>
  <c r="AU715" i="6"/>
  <c r="AV715" i="6"/>
  <c r="AW715" i="6"/>
  <c r="A716" i="6"/>
  <c r="N716" i="6" s="1"/>
  <c r="AS715" i="6"/>
  <c r="BZ715" i="6"/>
  <c r="BJ715" i="6"/>
  <c r="AN715" i="6"/>
  <c r="H716" i="6"/>
  <c r="T716" i="5" s="1"/>
  <c r="G716" i="12" s="1"/>
  <c r="AO715" i="6"/>
  <c r="BY715" i="6"/>
  <c r="G717" i="5"/>
  <c r="C718" i="5"/>
  <c r="B717" i="5"/>
  <c r="AE717" i="5"/>
  <c r="N717" i="5"/>
  <c r="D717" i="6" s="1"/>
  <c r="H717" i="5"/>
  <c r="AD717" i="5"/>
  <c r="K717" i="5"/>
  <c r="B717" i="6"/>
  <c r="J717" i="5"/>
  <c r="A717" i="12"/>
  <c r="E717" i="5"/>
  <c r="D717" i="5"/>
  <c r="B717" i="12" s="1"/>
  <c r="F717" i="5"/>
  <c r="BL715" i="6"/>
  <c r="AR715" i="6"/>
  <c r="CB715" i="6"/>
  <c r="CC715" i="6"/>
  <c r="L716" i="12"/>
  <c r="J716" i="12"/>
  <c r="AM715" i="6"/>
  <c r="AL715" i="6"/>
  <c r="CA715" i="6"/>
  <c r="BK715" i="6"/>
  <c r="BF715" i="6"/>
  <c r="BI715" i="6"/>
  <c r="AQ715" i="6"/>
  <c r="BX715" i="6"/>
  <c r="AP715" i="6"/>
  <c r="BC715" i="6"/>
  <c r="BE715" i="6"/>
  <c r="CD715" i="6"/>
  <c r="BW715" i="6"/>
  <c r="BD715" i="6"/>
  <c r="CE715" i="6"/>
  <c r="AJ715" i="6"/>
  <c r="BH715" i="6"/>
  <c r="BG715" i="6"/>
  <c r="AK715" i="6"/>
  <c r="A717" i="6" l="1"/>
  <c r="N717" i="6" s="1"/>
  <c r="M716" i="6"/>
  <c r="BL716" i="6" s="1"/>
  <c r="K716" i="12"/>
  <c r="H717" i="6"/>
  <c r="T717" i="5" s="1"/>
  <c r="G717" i="12" s="1"/>
  <c r="D718" i="5"/>
  <c r="B718" i="12" s="1"/>
  <c r="E718" i="5"/>
  <c r="B718" i="5"/>
  <c r="B718" i="6"/>
  <c r="C719" i="5"/>
  <c r="AD718" i="5"/>
  <c r="A718" i="12"/>
  <c r="H718" i="5"/>
  <c r="N718" i="5"/>
  <c r="D718" i="6" s="1"/>
  <c r="J718" i="5"/>
  <c r="F718" i="5"/>
  <c r="AE718" i="5"/>
  <c r="G718" i="5"/>
  <c r="K718" i="5"/>
  <c r="L717" i="12"/>
  <c r="J717" i="12"/>
  <c r="CB716" i="6" l="1"/>
  <c r="BX716" i="6"/>
  <c r="M717" i="6"/>
  <c r="CA717" i="6" s="1"/>
  <c r="BG716" i="6"/>
  <c r="CC716" i="6"/>
  <c r="BI716" i="6"/>
  <c r="BK716" i="6"/>
  <c r="BY716" i="6"/>
  <c r="CD716" i="6"/>
  <c r="BC716" i="6"/>
  <c r="BZ716" i="6"/>
  <c r="BQ716" i="6"/>
  <c r="BD716" i="6"/>
  <c r="BT716" i="6"/>
  <c r="BE716" i="6"/>
  <c r="CK716" i="6"/>
  <c r="BR716" i="6"/>
  <c r="CJ716" i="6"/>
  <c r="BN716" i="6"/>
  <c r="CA716" i="6"/>
  <c r="BV716" i="6"/>
  <c r="CI716" i="6"/>
  <c r="BF716" i="6"/>
  <c r="CE716" i="6"/>
  <c r="CH716" i="6"/>
  <c r="BW716" i="6"/>
  <c r="CG716" i="6"/>
  <c r="BS716" i="6"/>
  <c r="CF716" i="6"/>
  <c r="CM716" i="6"/>
  <c r="BP716" i="6"/>
  <c r="A718" i="6"/>
  <c r="M718" i="6" s="1"/>
  <c r="CE718" i="6" s="1"/>
  <c r="BH716" i="6"/>
  <c r="BJ716" i="6"/>
  <c r="CL716" i="6"/>
  <c r="BO716" i="6"/>
  <c r="BM716" i="6"/>
  <c r="K717" i="12"/>
  <c r="L718" i="12"/>
  <c r="J718" i="12"/>
  <c r="E719" i="5"/>
  <c r="J719" i="5"/>
  <c r="C720" i="5"/>
  <c r="F719" i="5"/>
  <c r="H719" i="5"/>
  <c r="G719" i="5"/>
  <c r="B719" i="6"/>
  <c r="D719" i="5"/>
  <c r="B719" i="12" s="1"/>
  <c r="B719" i="5"/>
  <c r="AE719" i="5"/>
  <c r="N719" i="5"/>
  <c r="D719" i="6" s="1"/>
  <c r="A719" i="12"/>
  <c r="AD719" i="5"/>
  <c r="K719" i="5"/>
  <c r="H718" i="6"/>
  <c r="T718" i="5" s="1"/>
  <c r="G718" i="12" s="1"/>
  <c r="BZ717" i="6" l="1"/>
  <c r="CH717" i="6"/>
  <c r="BY717" i="6"/>
  <c r="CF717" i="6"/>
  <c r="BK717" i="6"/>
  <c r="CE717" i="6"/>
  <c r="CG717" i="6"/>
  <c r="BT717" i="6"/>
  <c r="BX717" i="6"/>
  <c r="BE717" i="6"/>
  <c r="BQ717" i="6"/>
  <c r="BV717" i="6"/>
  <c r="BG717" i="6"/>
  <c r="CC717" i="6"/>
  <c r="BF717" i="6"/>
  <c r="CD717" i="6"/>
  <c r="BL717" i="6"/>
  <c r="CK717" i="6"/>
  <c r="CM717" i="6"/>
  <c r="BS717" i="6"/>
  <c r="BI717" i="6"/>
  <c r="BP717" i="6"/>
  <c r="BW717" i="6"/>
  <c r="BH717" i="6"/>
  <c r="BM717" i="6"/>
  <c r="BO717" i="6"/>
  <c r="CB717" i="6"/>
  <c r="CJ717" i="6"/>
  <c r="CL717" i="6"/>
  <c r="BC717" i="6"/>
  <c r="BJ717" i="6"/>
  <c r="BR717" i="6"/>
  <c r="BN717" i="6"/>
  <c r="BD717" i="6"/>
  <c r="CI717" i="6"/>
  <c r="N718" i="6"/>
  <c r="A719" i="6"/>
  <c r="N719" i="6" s="1"/>
  <c r="CL718" i="6"/>
  <c r="CM718" i="6"/>
  <c r="BN718" i="6"/>
  <c r="CF718" i="6"/>
  <c r="BP718" i="6"/>
  <c r="CG718" i="6"/>
  <c r="BM718" i="6"/>
  <c r="CH718" i="6"/>
  <c r="BO718" i="6"/>
  <c r="CI718" i="6"/>
  <c r="BQ718" i="6"/>
  <c r="BR718" i="6"/>
  <c r="BS718" i="6"/>
  <c r="BT718" i="6"/>
  <c r="CK718" i="6"/>
  <c r="CJ718" i="6"/>
  <c r="BG718" i="6"/>
  <c r="BF718" i="6"/>
  <c r="BV718" i="6"/>
  <c r="BE718" i="6"/>
  <c r="BK718" i="6"/>
  <c r="BJ718" i="6"/>
  <c r="CA718" i="6"/>
  <c r="BW718" i="6"/>
  <c r="CB718" i="6"/>
  <c r="BI718" i="6"/>
  <c r="BY718" i="6"/>
  <c r="CD718" i="6"/>
  <c r="BH718" i="6"/>
  <c r="BD718" i="6"/>
  <c r="BZ718" i="6"/>
  <c r="BC718" i="6"/>
  <c r="CC718" i="6"/>
  <c r="K718" i="12"/>
  <c r="J720" i="5"/>
  <c r="E720" i="5"/>
  <c r="F720" i="5"/>
  <c r="B720" i="5"/>
  <c r="G720" i="5"/>
  <c r="A720" i="12"/>
  <c r="AD720" i="5"/>
  <c r="B720" i="6"/>
  <c r="H720" i="5"/>
  <c r="D720" i="5"/>
  <c r="B720" i="12" s="1"/>
  <c r="K720" i="5"/>
  <c r="AE720" i="5"/>
  <c r="N720" i="5"/>
  <c r="D720" i="6" s="1"/>
  <c r="J719" i="12"/>
  <c r="L719" i="12"/>
  <c r="H719" i="6"/>
  <c r="T719" i="5" s="1"/>
  <c r="G719" i="12" s="1"/>
  <c r="BX718" i="6"/>
  <c r="BL718" i="6"/>
  <c r="M719" i="6" l="1"/>
  <c r="BG719" i="6" s="1"/>
  <c r="A720" i="6"/>
  <c r="N720" i="6" s="1"/>
  <c r="K719" i="12"/>
  <c r="H720" i="6"/>
  <c r="T720" i="5" s="1"/>
  <c r="G720" i="12" s="1"/>
  <c r="C721" i="5"/>
  <c r="L720" i="12"/>
  <c r="J720" i="12"/>
  <c r="AF721" i="5"/>
  <c r="BV719" i="6" l="1"/>
  <c r="CC719" i="6"/>
  <c r="BH719" i="6"/>
  <c r="BC719" i="6"/>
  <c r="CD719" i="6"/>
  <c r="BF719" i="6"/>
  <c r="BW719" i="6"/>
  <c r="BZ719" i="6"/>
  <c r="BK719" i="6"/>
  <c r="CA719" i="6"/>
  <c r="BY719" i="6"/>
  <c r="BD719" i="6"/>
  <c r="CE719" i="6"/>
  <c r="CM719" i="6"/>
  <c r="BQ719" i="6"/>
  <c r="CL719" i="6"/>
  <c r="CK719" i="6"/>
  <c r="BR719" i="6"/>
  <c r="CJ719" i="6"/>
  <c r="BJ719" i="6"/>
  <c r="CI719" i="6"/>
  <c r="CH719" i="6"/>
  <c r="BP719" i="6"/>
  <c r="CG719" i="6"/>
  <c r="CB719" i="6"/>
  <c r="BI719" i="6"/>
  <c r="BX719" i="6"/>
  <c r="BO719" i="6"/>
  <c r="CF719" i="6"/>
  <c r="BE719" i="6"/>
  <c r="BL719" i="6"/>
  <c r="BM719" i="6"/>
  <c r="BT719" i="6"/>
  <c r="BS719" i="6"/>
  <c r="BN719" i="6"/>
  <c r="M720" i="6"/>
  <c r="CD720" i="6" s="1"/>
  <c r="K720" i="12"/>
  <c r="AG721" i="5"/>
  <c r="S721" i="5"/>
  <c r="F721" i="12" s="1"/>
  <c r="AE721" i="5"/>
  <c r="G721" i="5"/>
  <c r="B721" i="5"/>
  <c r="B721" i="6"/>
  <c r="C722" i="5"/>
  <c r="H721" i="5"/>
  <c r="AD721" i="5"/>
  <c r="W721" i="5"/>
  <c r="H721" i="12" s="1"/>
  <c r="E721" i="5"/>
  <c r="F721" i="5"/>
  <c r="A721" i="12"/>
  <c r="N721" i="5"/>
  <c r="D721" i="6" s="1"/>
  <c r="CB720" i="6" l="1"/>
  <c r="BG720" i="6"/>
  <c r="BJ720" i="6"/>
  <c r="CE720" i="6"/>
  <c r="BX720" i="6"/>
  <c r="BD720" i="6"/>
  <c r="BK720" i="6"/>
  <c r="CA720" i="6"/>
  <c r="A721" i="6"/>
  <c r="BY720" i="6"/>
  <c r="CJ720" i="6"/>
  <c r="BR720" i="6"/>
  <c r="CI720" i="6"/>
  <c r="CH720" i="6"/>
  <c r="CF720" i="6"/>
  <c r="CG720" i="6"/>
  <c r="BT720" i="6"/>
  <c r="BS720" i="6"/>
  <c r="BQ720" i="6"/>
  <c r="BP720" i="6"/>
  <c r="CM720" i="6"/>
  <c r="BO720" i="6"/>
  <c r="CL720" i="6"/>
  <c r="BN720" i="6"/>
  <c r="CK720" i="6"/>
  <c r="BM720" i="6"/>
  <c r="BH720" i="6"/>
  <c r="BF720" i="6"/>
  <c r="BV720" i="6"/>
  <c r="BZ720" i="6"/>
  <c r="CM721" i="6"/>
  <c r="CL721" i="6"/>
  <c r="CK721" i="6"/>
  <c r="CJ721" i="6"/>
  <c r="CI721" i="6"/>
  <c r="CH721" i="6"/>
  <c r="CG721" i="6"/>
  <c r="CF721" i="6"/>
  <c r="BP721" i="6"/>
  <c r="BO721" i="6"/>
  <c r="BM721" i="6"/>
  <c r="BS721" i="6"/>
  <c r="BQ721" i="6"/>
  <c r="BT721" i="6"/>
  <c r="BR721" i="6"/>
  <c r="BN721" i="6"/>
  <c r="BE720" i="6"/>
  <c r="BW720" i="6"/>
  <c r="CC720" i="6"/>
  <c r="BL720" i="6"/>
  <c r="BI720" i="6"/>
  <c r="BC720" i="6"/>
  <c r="U721" i="5"/>
  <c r="AN721" i="5" s="1"/>
  <c r="AE722" i="5"/>
  <c r="D722" i="5"/>
  <c r="B722" i="12" s="1"/>
  <c r="B722" i="5"/>
  <c r="E722" i="5"/>
  <c r="AD722" i="5"/>
  <c r="K722" i="5"/>
  <c r="N722" i="5"/>
  <c r="D722" i="6" s="1"/>
  <c r="H722" i="5"/>
  <c r="J722" i="5"/>
  <c r="A722" i="12"/>
  <c r="B722" i="6"/>
  <c r="G722" i="5"/>
  <c r="C723" i="5"/>
  <c r="F722" i="5"/>
  <c r="E721" i="12"/>
  <c r="F721" i="6"/>
  <c r="H721" i="6"/>
  <c r="T721" i="5" s="1"/>
  <c r="G721" i="12" s="1"/>
  <c r="M721" i="6"/>
  <c r="BD721" i="6" s="1"/>
  <c r="N721" i="6"/>
  <c r="G721" i="6"/>
  <c r="AT721" i="6" l="1"/>
  <c r="BA721" i="6"/>
  <c r="AU721" i="6"/>
  <c r="AV721" i="6"/>
  <c r="AW721" i="6"/>
  <c r="AX721" i="6"/>
  <c r="AY721" i="6"/>
  <c r="AZ721" i="6"/>
  <c r="A722" i="6"/>
  <c r="N722" i="6" s="1"/>
  <c r="BV721" i="6"/>
  <c r="CB721" i="6"/>
  <c r="BC721" i="6"/>
  <c r="BW721" i="6"/>
  <c r="BZ721" i="6"/>
  <c r="AJ721" i="6"/>
  <c r="CC721" i="6"/>
  <c r="BJ721" i="6"/>
  <c r="CD721" i="6"/>
  <c r="BK721" i="6"/>
  <c r="BX721" i="6"/>
  <c r="BL721" i="6"/>
  <c r="BE721" i="6"/>
  <c r="CA721" i="6"/>
  <c r="AQ721" i="6"/>
  <c r="AR721" i="6"/>
  <c r="AP721" i="6"/>
  <c r="AK721" i="6"/>
  <c r="J722" i="12"/>
  <c r="L722" i="12"/>
  <c r="AN721" i="6"/>
  <c r="H722" i="6"/>
  <c r="T722" i="5" s="1"/>
  <c r="G722" i="12" s="1"/>
  <c r="BI721" i="6"/>
  <c r="BG721" i="6"/>
  <c r="AM721" i="6"/>
  <c r="BY721" i="6"/>
  <c r="AL721" i="6"/>
  <c r="AS721" i="6"/>
  <c r="BF721" i="6"/>
  <c r="BH721" i="6"/>
  <c r="CE721" i="6"/>
  <c r="AO721" i="6"/>
  <c r="A723" i="12"/>
  <c r="AE723" i="5"/>
  <c r="B723" i="6"/>
  <c r="AD723" i="5"/>
  <c r="H723" i="5"/>
  <c r="G723" i="5"/>
  <c r="N723" i="5"/>
  <c r="D723" i="6" s="1"/>
  <c r="K723" i="5"/>
  <c r="F723" i="5"/>
  <c r="J723" i="5"/>
  <c r="B723" i="5"/>
  <c r="E723" i="5"/>
  <c r="D723" i="5"/>
  <c r="B723" i="12" s="1"/>
  <c r="M722" i="6" l="1"/>
  <c r="BV722" i="6" s="1"/>
  <c r="A723" i="6"/>
  <c r="L723" i="12"/>
  <c r="J723" i="12"/>
  <c r="H723" i="6"/>
  <c r="T723" i="5" s="1"/>
  <c r="G723" i="12" s="1"/>
  <c r="K722" i="12"/>
  <c r="CA722" i="6" l="1"/>
  <c r="BX722" i="6"/>
  <c r="BL722" i="6"/>
  <c r="BE722" i="6"/>
  <c r="BD722" i="6"/>
  <c r="BY722" i="6"/>
  <c r="BF722" i="6"/>
  <c r="BG722" i="6"/>
  <c r="M723" i="6"/>
  <c r="BG723" i="6" s="1"/>
  <c r="BW722" i="6"/>
  <c r="CG722" i="6"/>
  <c r="BC722" i="6"/>
  <c r="BZ722" i="6"/>
  <c r="BQ722" i="6"/>
  <c r="CB722" i="6"/>
  <c r="BP722" i="6"/>
  <c r="CC722" i="6"/>
  <c r="CM722" i="6"/>
  <c r="BJ722" i="6"/>
  <c r="BO722" i="6"/>
  <c r="CD722" i="6"/>
  <c r="CL722" i="6"/>
  <c r="BK722" i="6"/>
  <c r="BN722" i="6"/>
  <c r="CK722" i="6"/>
  <c r="BM722" i="6"/>
  <c r="BI722" i="6"/>
  <c r="CJ722" i="6"/>
  <c r="BR722" i="6"/>
  <c r="BH722" i="6"/>
  <c r="BT722" i="6"/>
  <c r="CI722" i="6"/>
  <c r="CE722" i="6"/>
  <c r="BS722" i="6"/>
  <c r="CH722" i="6"/>
  <c r="CF722" i="6"/>
  <c r="N723" i="6"/>
  <c r="C724" i="5"/>
  <c r="K723" i="12"/>
  <c r="AF724" i="5"/>
  <c r="CJ723" i="6" l="1"/>
  <c r="CK723" i="6"/>
  <c r="BH723" i="6"/>
  <c r="CB723" i="6"/>
  <c r="BZ723" i="6"/>
  <c r="CE723" i="6"/>
  <c r="BS723" i="6"/>
  <c r="BX723" i="6"/>
  <c r="CC723" i="6"/>
  <c r="BP723" i="6"/>
  <c r="BM723" i="6"/>
  <c r="BE723" i="6"/>
  <c r="BQ723" i="6"/>
  <c r="CG723" i="6"/>
  <c r="BY723" i="6"/>
  <c r="CF723" i="6"/>
  <c r="BI723" i="6"/>
  <c r="BO723" i="6"/>
  <c r="BJ723" i="6"/>
  <c r="BC723" i="6"/>
  <c r="BD723" i="6"/>
  <c r="BN723" i="6"/>
  <c r="CI723" i="6"/>
  <c r="BF723" i="6"/>
  <c r="BT723" i="6"/>
  <c r="BR723" i="6"/>
  <c r="CA723" i="6"/>
  <c r="BV723" i="6"/>
  <c r="BK723" i="6"/>
  <c r="CD723" i="6"/>
  <c r="CM723" i="6"/>
  <c r="CH723" i="6"/>
  <c r="BL723" i="6"/>
  <c r="BW723" i="6"/>
  <c r="CL723" i="6"/>
  <c r="S724" i="5"/>
  <c r="F724" i="12" s="1"/>
  <c r="AG724" i="5"/>
  <c r="B724" i="6"/>
  <c r="A724" i="6" s="1"/>
  <c r="C725" i="5"/>
  <c r="G724" i="5"/>
  <c r="AE724" i="5"/>
  <c r="H724" i="5"/>
  <c r="E724" i="5"/>
  <c r="W724" i="5"/>
  <c r="H724" i="12" s="1"/>
  <c r="N724" i="5"/>
  <c r="D724" i="6" s="1"/>
  <c r="F724" i="5"/>
  <c r="A724" i="12"/>
  <c r="B724" i="5"/>
  <c r="AD724" i="5"/>
  <c r="CM724" i="6" l="1"/>
  <c r="CL724" i="6"/>
  <c r="CK724" i="6"/>
  <c r="CJ724" i="6"/>
  <c r="CI724" i="6"/>
  <c r="CH724" i="6"/>
  <c r="CG724" i="6"/>
  <c r="CF724" i="6"/>
  <c r="BP724" i="6"/>
  <c r="BO724" i="6"/>
  <c r="BM724" i="6"/>
  <c r="BS724" i="6"/>
  <c r="BQ724" i="6"/>
  <c r="BT724" i="6"/>
  <c r="BR724" i="6"/>
  <c r="BN724" i="6"/>
  <c r="U724" i="5"/>
  <c r="AN724" i="5" s="1"/>
  <c r="F724" i="6"/>
  <c r="E724" i="12"/>
  <c r="M724" i="6"/>
  <c r="BL724" i="6" s="1"/>
  <c r="H724" i="6"/>
  <c r="T724" i="5" s="1"/>
  <c r="G724" i="12" s="1"/>
  <c r="N724" i="6"/>
  <c r="G724" i="6"/>
  <c r="B725" i="6"/>
  <c r="G725" i="5"/>
  <c r="AE725" i="5"/>
  <c r="D725" i="5"/>
  <c r="B725" i="12" s="1"/>
  <c r="AD725" i="5"/>
  <c r="N725" i="5"/>
  <c r="D725" i="6" s="1"/>
  <c r="C726" i="5"/>
  <c r="H725" i="5"/>
  <c r="K725" i="5"/>
  <c r="B725" i="5"/>
  <c r="A725" i="12"/>
  <c r="E725" i="5"/>
  <c r="F725" i="5"/>
  <c r="J725" i="5"/>
  <c r="A725" i="6" l="1"/>
  <c r="N725" i="6" s="1"/>
  <c r="AZ724" i="6"/>
  <c r="AY724" i="6"/>
  <c r="BA724" i="6"/>
  <c r="AT724" i="6"/>
  <c r="AU724" i="6"/>
  <c r="AV724" i="6"/>
  <c r="AX724" i="6"/>
  <c r="AW724" i="6"/>
  <c r="BZ724" i="6"/>
  <c r="BI724" i="6"/>
  <c r="AJ724" i="6"/>
  <c r="BG724" i="6"/>
  <c r="AL724" i="6"/>
  <c r="CA724" i="6"/>
  <c r="BV724" i="6"/>
  <c r="BX724" i="6"/>
  <c r="BW724" i="6"/>
  <c r="AS724" i="6"/>
  <c r="BJ724" i="6"/>
  <c r="BE724" i="6"/>
  <c r="CC724" i="6"/>
  <c r="BF724" i="6"/>
  <c r="BK724" i="6"/>
  <c r="BY724" i="6"/>
  <c r="CB724" i="6"/>
  <c r="BD724" i="6"/>
  <c r="BH724" i="6"/>
  <c r="BC724" i="6"/>
  <c r="CE724" i="6"/>
  <c r="CD724" i="6"/>
  <c r="AM724" i="6"/>
  <c r="H725" i="6"/>
  <c r="T725" i="5" s="1"/>
  <c r="G725" i="12" s="1"/>
  <c r="AQ724" i="6"/>
  <c r="AR724" i="6"/>
  <c r="AK724" i="6"/>
  <c r="D726" i="5"/>
  <c r="B726" i="12" s="1"/>
  <c r="AE726" i="5"/>
  <c r="F726" i="5"/>
  <c r="N726" i="5"/>
  <c r="D726" i="6" s="1"/>
  <c r="AD726" i="5"/>
  <c r="A726" i="12"/>
  <c r="K726" i="5"/>
  <c r="G726" i="5"/>
  <c r="H726" i="5"/>
  <c r="J726" i="5"/>
  <c r="B726" i="6"/>
  <c r="B726" i="5"/>
  <c r="E726" i="5"/>
  <c r="AP724" i="6"/>
  <c r="AN724" i="6"/>
  <c r="L725" i="12"/>
  <c r="J725" i="12"/>
  <c r="AO724" i="6"/>
  <c r="M725" i="6" l="1"/>
  <c r="CD725" i="6" s="1"/>
  <c r="A726" i="6"/>
  <c r="H726" i="6"/>
  <c r="T726" i="5" s="1"/>
  <c r="G726" i="12" s="1"/>
  <c r="K725" i="12"/>
  <c r="J726" i="12"/>
  <c r="L726" i="12"/>
  <c r="BV725" i="6" l="1"/>
  <c r="BN725" i="6"/>
  <c r="BK725" i="6"/>
  <c r="BE725" i="6"/>
  <c r="BY725" i="6"/>
  <c r="CJ725" i="6"/>
  <c r="CK725" i="6"/>
  <c r="CB725" i="6"/>
  <c r="CI725" i="6"/>
  <c r="CE725" i="6"/>
  <c r="BG725" i="6"/>
  <c r="BI725" i="6"/>
  <c r="CH725" i="6"/>
  <c r="M726" i="6"/>
  <c r="BH726" i="6" s="1"/>
  <c r="CF725" i="6"/>
  <c r="BQ725" i="6"/>
  <c r="CG725" i="6"/>
  <c r="BJ725" i="6"/>
  <c r="BM725" i="6"/>
  <c r="BH725" i="6"/>
  <c r="BL725" i="6"/>
  <c r="BT725" i="6"/>
  <c r="CL725" i="6"/>
  <c r="BC725" i="6"/>
  <c r="BZ725" i="6"/>
  <c r="BX725" i="6"/>
  <c r="CA725" i="6"/>
  <c r="CM725" i="6"/>
  <c r="BS725" i="6"/>
  <c r="BD725" i="6"/>
  <c r="BF725" i="6"/>
  <c r="BP725" i="6"/>
  <c r="CC725" i="6"/>
  <c r="BW725" i="6"/>
  <c r="BO725" i="6"/>
  <c r="BR725" i="6"/>
  <c r="N726" i="6"/>
  <c r="K726" i="12"/>
  <c r="CE726" i="6" l="1"/>
  <c r="BD726" i="6"/>
  <c r="BF726" i="6"/>
  <c r="BZ726" i="6"/>
  <c r="CB726" i="6"/>
  <c r="BM726" i="6"/>
  <c r="CC726" i="6"/>
  <c r="BW726" i="6"/>
  <c r="BJ726" i="6"/>
  <c r="BE726" i="6"/>
  <c r="CD726" i="6"/>
  <c r="CM726" i="6"/>
  <c r="BL726" i="6"/>
  <c r="CK726" i="6"/>
  <c r="BK726" i="6"/>
  <c r="BS726" i="6"/>
  <c r="BN726" i="6"/>
  <c r="BC726" i="6"/>
  <c r="BP726" i="6"/>
  <c r="CI726" i="6"/>
  <c r="CH726" i="6"/>
  <c r="CA726" i="6"/>
  <c r="CG726" i="6"/>
  <c r="BG726" i="6"/>
  <c r="CF726" i="6"/>
  <c r="BV726" i="6"/>
  <c r="BR726" i="6"/>
  <c r="BY726" i="6"/>
  <c r="BX726" i="6"/>
  <c r="CL726" i="6"/>
  <c r="BQ726" i="6"/>
  <c r="BI726" i="6"/>
  <c r="CJ726" i="6"/>
  <c r="BO726" i="6"/>
  <c r="BT726" i="6"/>
  <c r="K682" i="5"/>
  <c r="K668" i="5"/>
  <c r="K91" i="5" l="1"/>
  <c r="A5" i="5"/>
  <c r="J643" i="5" l="1"/>
  <c r="D643" i="5" s="1"/>
  <c r="B643" i="12" s="1"/>
  <c r="J636" i="5"/>
  <c r="D636" i="5" s="1"/>
  <c r="B636" i="12" s="1"/>
  <c r="J618" i="5"/>
  <c r="D618" i="5" s="1"/>
  <c r="B618" i="12" s="1"/>
  <c r="J628" i="5"/>
  <c r="D628" i="5" s="1"/>
  <c r="B628" i="12" s="1"/>
  <c r="J654" i="5"/>
  <c r="J640" i="5"/>
  <c r="D640" i="5" s="1"/>
  <c r="B640" i="12" s="1"/>
  <c r="J607" i="5"/>
  <c r="D607" i="5" s="1"/>
  <c r="B607" i="12" s="1"/>
  <c r="J613" i="5"/>
  <c r="D613" i="5" s="1"/>
  <c r="B613" i="12" s="1"/>
  <c r="J595" i="5"/>
  <c r="D595" i="5" s="1"/>
  <c r="B595" i="12" s="1"/>
  <c r="J476" i="5"/>
  <c r="D476" i="5" s="1"/>
  <c r="B476" i="12" s="1"/>
  <c r="J580" i="5"/>
  <c r="D580" i="5" s="1"/>
  <c r="B580" i="12" s="1"/>
  <c r="J543" i="5"/>
  <c r="D543" i="5" s="1"/>
  <c r="B543" i="12" s="1"/>
  <c r="J591" i="5"/>
  <c r="D591" i="5" s="1"/>
  <c r="B591" i="12" s="1"/>
  <c r="J526" i="5"/>
  <c r="D526" i="5" s="1"/>
  <c r="B526" i="12" s="1"/>
  <c r="J508" i="5"/>
  <c r="D508" i="5" s="1"/>
  <c r="B508" i="12" s="1"/>
  <c r="J479" i="5"/>
  <c r="D479" i="5" s="1"/>
  <c r="B479" i="12" s="1"/>
  <c r="J604" i="5"/>
  <c r="J490" i="5"/>
  <c r="D490" i="5" s="1"/>
  <c r="B490" i="12" s="1"/>
  <c r="J530" i="5"/>
  <c r="D530" i="5" s="1"/>
  <c r="B530" i="12" s="1"/>
  <c r="J567" i="5"/>
  <c r="D567" i="5" s="1"/>
  <c r="B567" i="12" s="1"/>
  <c r="J415" i="5"/>
  <c r="D415" i="5" s="1"/>
  <c r="B415" i="12" s="1"/>
  <c r="J472" i="5"/>
  <c r="D472" i="5" s="1"/>
  <c r="B472" i="12" s="1"/>
  <c r="J421" i="5"/>
  <c r="D421" i="5" s="1"/>
  <c r="B421" i="12" s="1"/>
  <c r="J436" i="5"/>
  <c r="D436" i="5" s="1"/>
  <c r="B436" i="12" s="1"/>
  <c r="J418" i="5"/>
  <c r="D418" i="5" s="1"/>
  <c r="B418" i="12" s="1"/>
  <c r="J353" i="5"/>
  <c r="D353" i="5" s="1"/>
  <c r="B353" i="12" s="1"/>
  <c r="J319" i="5"/>
  <c r="D319" i="5" s="1"/>
  <c r="B319" i="12" s="1"/>
  <c r="J349" i="5"/>
  <c r="D349" i="5" s="1"/>
  <c r="B349" i="12" s="1"/>
  <c r="J301" i="5"/>
  <c r="K301" i="5"/>
  <c r="K295" i="5"/>
  <c r="K29" i="5"/>
  <c r="K300" i="5"/>
  <c r="J300" i="5"/>
  <c r="J316" i="5"/>
  <c r="D316" i="5" s="1"/>
  <c r="B316" i="12" s="1"/>
  <c r="J245" i="5"/>
  <c r="J247" i="5"/>
  <c r="D247" i="5" s="1"/>
  <c r="B247" i="12" s="1"/>
  <c r="J293" i="5"/>
  <c r="D293" i="5" s="1"/>
  <c r="B293" i="12" s="1"/>
  <c r="J285" i="5"/>
  <c r="D285" i="5" s="1"/>
  <c r="B285" i="12" s="1"/>
  <c r="J295" i="5"/>
  <c r="J230" i="5"/>
  <c r="D230" i="5" s="1"/>
  <c r="B230" i="12" s="1"/>
  <c r="J233" i="5"/>
  <c r="D233" i="5" s="1"/>
  <c r="B233" i="12" s="1"/>
  <c r="J237" i="5"/>
  <c r="D237" i="5" s="1"/>
  <c r="B237" i="12" s="1"/>
  <c r="J221" i="5"/>
  <c r="D221" i="5" s="1"/>
  <c r="B221" i="12" s="1"/>
  <c r="J184" i="5"/>
  <c r="D184" i="5" s="1"/>
  <c r="B184" i="12" s="1"/>
  <c r="J212" i="5"/>
  <c r="D212" i="5" s="1"/>
  <c r="B212" i="12" s="1"/>
  <c r="J199" i="5"/>
  <c r="D199" i="5" s="1"/>
  <c r="B199" i="12" s="1"/>
  <c r="J152" i="5"/>
  <c r="D152" i="5" s="1"/>
  <c r="B152" i="12" s="1"/>
  <c r="J155" i="5"/>
  <c r="D155" i="5" s="1"/>
  <c r="B155" i="12" s="1"/>
  <c r="J121" i="5"/>
  <c r="D121" i="5" s="1"/>
  <c r="B121" i="12" s="1"/>
  <c r="J134" i="5"/>
  <c r="D134" i="5" s="1"/>
  <c r="B134" i="12" s="1"/>
  <c r="J114" i="5"/>
  <c r="D114" i="5" s="1"/>
  <c r="B114" i="12" s="1"/>
  <c r="J126" i="5"/>
  <c r="D126" i="5" s="1"/>
  <c r="B126" i="12" s="1"/>
  <c r="J110" i="5"/>
  <c r="D110" i="5" s="1"/>
  <c r="B110" i="12" s="1"/>
  <c r="J103" i="5"/>
  <c r="D103" i="5" s="1"/>
  <c r="B103" i="12" s="1"/>
  <c r="J101" i="5"/>
  <c r="D101" i="5" s="1"/>
  <c r="B101" i="12" s="1"/>
  <c r="J91" i="5"/>
  <c r="D91" i="5" s="1"/>
  <c r="B91" i="12" s="1"/>
  <c r="J96" i="5"/>
  <c r="J57" i="5"/>
  <c r="D57" i="5" s="1"/>
  <c r="B57" i="12" s="1"/>
  <c r="J81" i="5"/>
  <c r="D81" i="5" s="1"/>
  <c r="B81" i="12" s="1"/>
  <c r="J63" i="5"/>
  <c r="D63" i="5" s="1"/>
  <c r="B63" i="12" s="1"/>
  <c r="J74" i="5"/>
  <c r="D74" i="5" s="1"/>
  <c r="B74" i="12" s="1"/>
  <c r="J37" i="5"/>
  <c r="D37" i="5" s="1"/>
  <c r="B37" i="12" s="1"/>
  <c r="J47" i="5"/>
  <c r="D47" i="5" s="1"/>
  <c r="B47" i="12" s="1"/>
  <c r="J40" i="5"/>
  <c r="D40" i="5" s="1"/>
  <c r="B40" i="12" s="1"/>
  <c r="E92" i="8"/>
  <c r="E93" i="8" s="1"/>
  <c r="E98" i="8"/>
  <c r="E99" i="8" s="1"/>
  <c r="E95" i="8"/>
  <c r="E96" i="8" s="1"/>
  <c r="E101" i="8"/>
  <c r="E102" i="8" s="1"/>
  <c r="E104" i="8"/>
  <c r="E105" i="8" s="1"/>
  <c r="E110" i="8"/>
  <c r="E111" i="8" s="1"/>
  <c r="E107" i="8"/>
  <c r="E108" i="8" s="1"/>
  <c r="E113" i="8"/>
  <c r="E114" i="8" s="1"/>
  <c r="E116" i="8"/>
  <c r="E117" i="8" s="1"/>
  <c r="E119" i="8"/>
  <c r="E120" i="8" s="1"/>
  <c r="E125" i="8"/>
  <c r="E126" i="8" s="1"/>
  <c r="E122" i="8"/>
  <c r="E123" i="8" s="1"/>
  <c r="E128" i="8"/>
  <c r="E129" i="8" s="1"/>
  <c r="E134" i="8"/>
  <c r="E135" i="8" s="1"/>
  <c r="E131" i="8"/>
  <c r="E132" i="8" s="1"/>
  <c r="E137" i="8"/>
  <c r="E138" i="8" s="1"/>
  <c r="E143" i="8"/>
  <c r="E144" i="8" s="1"/>
  <c r="E140" i="8"/>
  <c r="E141" i="8" s="1"/>
  <c r="E149" i="8"/>
  <c r="E150" i="8" s="1"/>
  <c r="E152" i="8"/>
  <c r="E153" i="8" s="1"/>
  <c r="E146" i="8"/>
  <c r="E147" i="8" s="1"/>
  <c r="E161" i="8"/>
  <c r="E162" i="8" s="1"/>
  <c r="E155" i="8"/>
  <c r="E156" i="8" s="1"/>
  <c r="E158" i="8"/>
  <c r="E159" i="8" s="1"/>
  <c r="E164" i="8"/>
  <c r="E165" i="8" s="1"/>
  <c r="E173" i="8"/>
  <c r="E174" i="8" s="1"/>
  <c r="E167" i="8"/>
  <c r="E168" i="8" s="1"/>
  <c r="E170" i="8"/>
  <c r="E171" i="8" s="1"/>
  <c r="E179" i="8"/>
  <c r="E180" i="8" s="1"/>
  <c r="E176" i="8"/>
  <c r="E177" i="8" s="1"/>
  <c r="E185" i="8"/>
  <c r="E186" i="8" s="1"/>
  <c r="E182" i="8"/>
  <c r="E183" i="8" s="1"/>
  <c r="E191" i="8"/>
  <c r="E192" i="8" s="1"/>
  <c r="E188" i="8"/>
  <c r="E189" i="8" s="1"/>
  <c r="E197" i="8"/>
  <c r="E198" i="8" s="1"/>
  <c r="E194" i="8"/>
  <c r="E195" i="8" s="1"/>
  <c r="E203" i="8"/>
  <c r="E204" i="8" s="1"/>
  <c r="E200" i="8"/>
  <c r="E201" i="8" s="1"/>
  <c r="E209" i="8"/>
  <c r="E210" i="8" s="1"/>
  <c r="E206" i="8"/>
  <c r="E207" i="8" s="1"/>
  <c r="E215" i="8"/>
  <c r="E216" i="8" s="1"/>
  <c r="E212" i="8"/>
  <c r="E213" i="8" s="1"/>
  <c r="E218" i="8"/>
  <c r="E219" i="8" s="1"/>
  <c r="E224" i="8"/>
  <c r="E225" i="8" s="1"/>
  <c r="E221" i="8"/>
  <c r="E222" i="8" s="1"/>
  <c r="E233" i="8"/>
  <c r="E234" i="8" s="1"/>
  <c r="E227" i="8"/>
  <c r="E228" i="8" s="1"/>
  <c r="E230" i="8"/>
  <c r="E231" i="8" s="1"/>
  <c r="E236" i="8"/>
  <c r="E237" i="8" s="1"/>
  <c r="E239" i="8"/>
  <c r="E240" i="8" s="1"/>
  <c r="E248" i="8"/>
  <c r="E249" i="8" s="1"/>
  <c r="E242" i="8"/>
  <c r="E243" i="8" s="1"/>
  <c r="E245" i="8"/>
  <c r="E246" i="8" s="1"/>
  <c r="E254" i="8"/>
  <c r="E255" i="8" s="1"/>
  <c r="E251" i="8"/>
  <c r="E252" i="8" s="1"/>
  <c r="E257" i="8"/>
  <c r="E258" i="8" s="1"/>
  <c r="J23" i="5"/>
  <c r="K23" i="5"/>
  <c r="K96" i="5"/>
  <c r="J30" i="5"/>
  <c r="K30" i="5"/>
  <c r="J17" i="5"/>
  <c r="D17" i="5" s="1"/>
  <c r="J19" i="5"/>
  <c r="D19" i="5" s="1"/>
  <c r="B19" i="12" s="1"/>
  <c r="J724" i="5"/>
  <c r="K724" i="5"/>
  <c r="J721" i="5"/>
  <c r="K721" i="5"/>
  <c r="J715" i="5"/>
  <c r="K715" i="5"/>
  <c r="J712" i="5"/>
  <c r="K712" i="5"/>
  <c r="K713" i="5"/>
  <c r="D713" i="5" s="1"/>
  <c r="J713" i="5"/>
  <c r="J710" i="5"/>
  <c r="K710" i="5"/>
  <c r="K701" i="5"/>
  <c r="J701" i="5"/>
  <c r="K245" i="5"/>
  <c r="J695" i="5"/>
  <c r="K695" i="5"/>
  <c r="K604" i="5"/>
  <c r="E83" i="8"/>
  <c r="E84" i="8" s="1"/>
  <c r="E77" i="8"/>
  <c r="E78" i="8" s="1"/>
  <c r="E62" i="8"/>
  <c r="E63" i="8" s="1"/>
  <c r="E32" i="8"/>
  <c r="E33" i="8" s="1"/>
  <c r="E74" i="8"/>
  <c r="E75" i="8" s="1"/>
  <c r="E71" i="8"/>
  <c r="E72" i="8" s="1"/>
  <c r="E56" i="8"/>
  <c r="E57" i="8" s="1"/>
  <c r="E47" i="8"/>
  <c r="E48" i="8" s="1"/>
  <c r="E86" i="8"/>
  <c r="E87" i="8" s="1"/>
  <c r="E14" i="8"/>
  <c r="E15" i="8" s="1"/>
  <c r="E1" i="8"/>
  <c r="E2" i="8" s="1"/>
  <c r="E59" i="8"/>
  <c r="E60" i="8" s="1"/>
  <c r="E68" i="8"/>
  <c r="E69" i="8" s="1"/>
  <c r="E35" i="8"/>
  <c r="E36" i="8" s="1"/>
  <c r="E20" i="8"/>
  <c r="E21" i="8" s="1"/>
  <c r="E23" i="8"/>
  <c r="E24" i="8" s="1"/>
  <c r="E65" i="8"/>
  <c r="E66" i="8" s="1"/>
  <c r="E89" i="8"/>
  <c r="E90" i="8" s="1"/>
  <c r="E50" i="8"/>
  <c r="E51" i="8" s="1"/>
  <c r="E80" i="8"/>
  <c r="E81" i="8" s="1"/>
  <c r="E29" i="8"/>
  <c r="E30" i="8" s="1"/>
  <c r="E17" i="8"/>
  <c r="E18" i="8" s="1"/>
  <c r="E41" i="8"/>
  <c r="E42" i="8" s="1"/>
  <c r="E44" i="8"/>
  <c r="E45" i="8" s="1"/>
  <c r="E38" i="8"/>
  <c r="E39" i="8" s="1"/>
  <c r="E53" i="8"/>
  <c r="E54" i="8" s="1"/>
  <c r="E26" i="8"/>
  <c r="E27" i="8" s="1"/>
  <c r="J89" i="5"/>
  <c r="D89" i="5" s="1"/>
  <c r="B89" i="12" s="1"/>
  <c r="J29" i="5"/>
  <c r="J365" i="5"/>
  <c r="D365" i="5" s="1"/>
  <c r="B365" i="12" s="1"/>
  <c r="J176" i="5"/>
  <c r="D176" i="5" s="1"/>
  <c r="B176" i="12" s="1"/>
  <c r="J656" i="5"/>
  <c r="D656" i="5" s="1"/>
  <c r="B656" i="12" s="1"/>
  <c r="J402" i="5"/>
  <c r="D402" i="5" s="1"/>
  <c r="B402" i="12" s="1"/>
  <c r="J660" i="5"/>
  <c r="D660" i="5" s="1"/>
  <c r="B660" i="12" s="1"/>
  <c r="J668" i="5"/>
  <c r="D668" i="5" s="1"/>
  <c r="B668" i="12" s="1"/>
  <c r="J169" i="5"/>
  <c r="D169" i="5" s="1"/>
  <c r="B169" i="12" s="1"/>
  <c r="K686" i="5"/>
  <c r="J686" i="5"/>
  <c r="K654" i="5"/>
  <c r="A16" i="13"/>
  <c r="B16" i="13" s="1"/>
  <c r="A21" i="13"/>
  <c r="B21" i="13" s="1"/>
  <c r="A18" i="13"/>
  <c r="B18" i="13" s="1"/>
  <c r="A22" i="13"/>
  <c r="B22" i="13" s="1"/>
  <c r="K16" i="5"/>
  <c r="B15" i="11"/>
  <c r="B18" i="11"/>
  <c r="J16" i="5"/>
  <c r="B22" i="11"/>
  <c r="A15" i="13"/>
  <c r="B19" i="11"/>
  <c r="B23" i="11"/>
  <c r="A17" i="13"/>
  <c r="B17" i="13" s="1"/>
  <c r="B21" i="11"/>
  <c r="A19" i="13"/>
  <c r="B19" i="13" s="1"/>
  <c r="A23" i="13"/>
  <c r="B23" i="13" s="1"/>
  <c r="B12" i="11"/>
  <c r="A12" i="13"/>
  <c r="B12" i="13" s="1"/>
  <c r="B17" i="11"/>
  <c r="A20" i="13"/>
  <c r="B20" i="13" s="1"/>
  <c r="B20" i="11"/>
  <c r="B16" i="11"/>
  <c r="J682" i="5"/>
  <c r="D682" i="5" s="1"/>
  <c r="B682" i="12" s="1"/>
  <c r="D654" i="5" l="1"/>
  <c r="B654" i="12" s="1"/>
  <c r="D604" i="5"/>
  <c r="B604" i="12" s="1"/>
  <c r="D29" i="5"/>
  <c r="B29" i="12" s="1"/>
  <c r="D245" i="5"/>
  <c r="B245" i="12" s="1"/>
  <c r="D295" i="5"/>
  <c r="B295" i="12" s="1"/>
  <c r="D300" i="5"/>
  <c r="B300" i="12" s="1"/>
  <c r="D301" i="5"/>
  <c r="B301" i="12" s="1"/>
  <c r="B15" i="13"/>
  <c r="D96" i="5"/>
  <c r="B96" i="12" s="1"/>
  <c r="C68" i="10"/>
  <c r="L230" i="8"/>
  <c r="P230" i="8" s="1"/>
  <c r="I230" i="8"/>
  <c r="L194" i="8"/>
  <c r="P194" i="8" s="1"/>
  <c r="I194" i="8"/>
  <c r="L158" i="8"/>
  <c r="I158" i="8"/>
  <c r="L122" i="8"/>
  <c r="I122" i="8"/>
  <c r="L227" i="8"/>
  <c r="I227" i="8"/>
  <c r="L197" i="8"/>
  <c r="I197" i="8"/>
  <c r="L155" i="8"/>
  <c r="I155" i="8"/>
  <c r="L125" i="8"/>
  <c r="I125" i="8"/>
  <c r="L233" i="8"/>
  <c r="I233" i="8"/>
  <c r="L188" i="8"/>
  <c r="P188" i="8" s="1"/>
  <c r="I188" i="8"/>
  <c r="L161" i="8"/>
  <c r="I161" i="8"/>
  <c r="L119" i="8"/>
  <c r="I119" i="8"/>
  <c r="I257" i="8"/>
  <c r="L257" i="8"/>
  <c r="L221" i="8"/>
  <c r="I221" i="8"/>
  <c r="L191" i="8"/>
  <c r="I191" i="8"/>
  <c r="I146" i="8"/>
  <c r="L146" i="8"/>
  <c r="L116" i="8"/>
  <c r="I116" i="8"/>
  <c r="L224" i="8"/>
  <c r="I224" i="8"/>
  <c r="I182" i="8"/>
  <c r="L182" i="8"/>
  <c r="I152" i="8"/>
  <c r="L152" i="8"/>
  <c r="L113" i="8"/>
  <c r="I113" i="8"/>
  <c r="L251" i="8"/>
  <c r="I251" i="8"/>
  <c r="L218" i="8"/>
  <c r="P218" i="8" s="1"/>
  <c r="I218" i="8"/>
  <c r="L185" i="8"/>
  <c r="I185" i="8"/>
  <c r="L149" i="8"/>
  <c r="I149" i="8"/>
  <c r="L107" i="8"/>
  <c r="I107" i="8"/>
  <c r="I254" i="8"/>
  <c r="L254" i="8"/>
  <c r="L212" i="8"/>
  <c r="P212" i="8" s="1"/>
  <c r="I212" i="8"/>
  <c r="L176" i="8"/>
  <c r="I176" i="8"/>
  <c r="L140" i="8"/>
  <c r="I140" i="8"/>
  <c r="L110" i="8"/>
  <c r="O110" i="8" s="1"/>
  <c r="I110" i="8"/>
  <c r="L245" i="8"/>
  <c r="P245" i="8" s="1"/>
  <c r="I245" i="8"/>
  <c r="L215" i="8"/>
  <c r="P215" i="8" s="1"/>
  <c r="I215" i="8"/>
  <c r="L179" i="8"/>
  <c r="I179" i="8"/>
  <c r="L143" i="8"/>
  <c r="I143" i="8"/>
  <c r="L104" i="8"/>
  <c r="O104" i="8" s="1"/>
  <c r="I104" i="8"/>
  <c r="L242" i="8"/>
  <c r="I242" i="8"/>
  <c r="I206" i="8"/>
  <c r="L206" i="8"/>
  <c r="L170" i="8"/>
  <c r="P170" i="8" s="1"/>
  <c r="I170" i="8"/>
  <c r="I137" i="8"/>
  <c r="L137" i="8"/>
  <c r="P137" i="8" s="1"/>
  <c r="I101" i="8"/>
  <c r="L101" i="8"/>
  <c r="P101" i="8" s="1"/>
  <c r="L248" i="8"/>
  <c r="I248" i="8"/>
  <c r="L209" i="8"/>
  <c r="P209" i="8" s="1"/>
  <c r="I209" i="8"/>
  <c r="L167" i="8"/>
  <c r="P167" i="8" s="1"/>
  <c r="I167" i="8"/>
  <c r="L131" i="8"/>
  <c r="P131" i="8" s="1"/>
  <c r="L95" i="8"/>
  <c r="P95" i="8" s="1"/>
  <c r="I95" i="8"/>
  <c r="I239" i="8"/>
  <c r="L239" i="8"/>
  <c r="L200" i="8"/>
  <c r="I200" i="8"/>
  <c r="I173" i="8"/>
  <c r="L173" i="8"/>
  <c r="L134" i="8"/>
  <c r="P134" i="8" s="1"/>
  <c r="I134" i="8"/>
  <c r="I98" i="8"/>
  <c r="L98" i="8"/>
  <c r="L236" i="8"/>
  <c r="I236" i="8"/>
  <c r="L203" i="8"/>
  <c r="I203" i="8"/>
  <c r="L164" i="8"/>
  <c r="I164" i="8"/>
  <c r="L128" i="8"/>
  <c r="I128" i="8"/>
  <c r="L92" i="8"/>
  <c r="P92" i="8" s="1"/>
  <c r="I92" i="8"/>
  <c r="D23" i="5"/>
  <c r="B23" i="12" s="1"/>
  <c r="D724" i="5"/>
  <c r="B724" i="12" s="1"/>
  <c r="D30" i="5"/>
  <c r="B30" i="12" s="1"/>
  <c r="B17" i="12"/>
  <c r="D721" i="5"/>
  <c r="B721" i="12" s="1"/>
  <c r="D715" i="5"/>
  <c r="B715" i="12" s="1"/>
  <c r="D712" i="5"/>
  <c r="B712" i="12" s="1"/>
  <c r="D710" i="5"/>
  <c r="B710" i="12" s="1"/>
  <c r="B713" i="12"/>
  <c r="D701" i="5"/>
  <c r="B701" i="12" s="1"/>
  <c r="D695" i="5"/>
  <c r="B695" i="12" s="1"/>
  <c r="D16" i="5"/>
  <c r="B14" i="13" s="1"/>
  <c r="AA19" i="11"/>
  <c r="C19" i="13"/>
  <c r="O19" i="11"/>
  <c r="K19" i="11"/>
  <c r="J19" i="13" s="1"/>
  <c r="G19" i="11"/>
  <c r="F19" i="13" s="1"/>
  <c r="AB19" i="11"/>
  <c r="N19" i="11" s="1"/>
  <c r="L26" i="8"/>
  <c r="R28" i="8" s="1"/>
  <c r="L41" i="8"/>
  <c r="R43" i="8" s="1"/>
  <c r="I41" i="8"/>
  <c r="L35" i="8"/>
  <c r="R37" i="8" s="1"/>
  <c r="I35" i="8"/>
  <c r="L47" i="8"/>
  <c r="R49" i="8" s="1"/>
  <c r="I47" i="8"/>
  <c r="K23" i="11"/>
  <c r="J23" i="13" s="1"/>
  <c r="AB23" i="11"/>
  <c r="N23" i="11" s="1"/>
  <c r="C23" i="13"/>
  <c r="AA23" i="11"/>
  <c r="G23" i="11"/>
  <c r="F23" i="13" s="1"/>
  <c r="O23" i="11"/>
  <c r="I17" i="8"/>
  <c r="L17" i="8"/>
  <c r="R19" i="8" s="1"/>
  <c r="L68" i="8"/>
  <c r="R70" i="8" s="1"/>
  <c r="I68" i="8"/>
  <c r="L83" i="8"/>
  <c r="I83" i="8"/>
  <c r="I86" i="8"/>
  <c r="L86" i="8"/>
  <c r="P86" i="8" s="1"/>
  <c r="C20" i="13"/>
  <c r="K20" i="11"/>
  <c r="J20" i="13" s="1"/>
  <c r="AB20" i="11"/>
  <c r="N20" i="11" s="1"/>
  <c r="AA20" i="11"/>
  <c r="G20" i="11"/>
  <c r="F20" i="13" s="1"/>
  <c r="O20" i="11"/>
  <c r="AA22" i="11"/>
  <c r="C22" i="13"/>
  <c r="O22" i="11"/>
  <c r="AB22" i="11"/>
  <c r="N22" i="11" s="1"/>
  <c r="G22" i="11"/>
  <c r="F22" i="13" s="1"/>
  <c r="K22" i="11"/>
  <c r="J22" i="13" s="1"/>
  <c r="D686" i="5"/>
  <c r="L29" i="8"/>
  <c r="R31" i="8" s="1"/>
  <c r="I29" i="8"/>
  <c r="I56" i="8"/>
  <c r="L56" i="8"/>
  <c r="R58" i="8" s="1"/>
  <c r="I53" i="8"/>
  <c r="L53" i="8"/>
  <c r="R55" i="8" s="1"/>
  <c r="I71" i="8"/>
  <c r="L71" i="8"/>
  <c r="R73" i="8" s="1"/>
  <c r="G16" i="11"/>
  <c r="F16" i="13" s="1"/>
  <c r="O16" i="11"/>
  <c r="C16" i="13"/>
  <c r="AB16" i="11"/>
  <c r="N16" i="11" s="1"/>
  <c r="K16" i="11"/>
  <c r="J16" i="13" s="1"/>
  <c r="AA16" i="11"/>
  <c r="G17" i="11"/>
  <c r="F17" i="13" s="1"/>
  <c r="K17" i="11"/>
  <c r="J17" i="13" s="1"/>
  <c r="C17" i="13"/>
  <c r="AB17" i="11"/>
  <c r="N17" i="11" s="1"/>
  <c r="O17" i="11"/>
  <c r="AA17" i="11"/>
  <c r="AB18" i="11"/>
  <c r="N18" i="11" s="1"/>
  <c r="K18" i="11"/>
  <c r="J18" i="13" s="1"/>
  <c r="O18" i="11"/>
  <c r="C18" i="13"/>
  <c r="AA18" i="11"/>
  <c r="G18" i="11"/>
  <c r="F18" i="13" s="1"/>
  <c r="I59" i="8"/>
  <c r="L59" i="8"/>
  <c r="R61" i="8" s="1"/>
  <c r="I74" i="8"/>
  <c r="L74" i="8"/>
  <c r="P74" i="8" s="1"/>
  <c r="I20" i="8"/>
  <c r="L20" i="8"/>
  <c r="R22" i="8" s="1"/>
  <c r="C15" i="13"/>
  <c r="G15" i="11"/>
  <c r="F15" i="13" s="1"/>
  <c r="K15" i="11"/>
  <c r="J15" i="13" s="1"/>
  <c r="L38" i="8"/>
  <c r="R40" i="8" s="1"/>
  <c r="I38" i="8"/>
  <c r="G12" i="11"/>
  <c r="F12" i="13" s="1"/>
  <c r="C12" i="13"/>
  <c r="K12" i="11"/>
  <c r="J12" i="13" s="1"/>
  <c r="AA12" i="11"/>
  <c r="AB12" i="11"/>
  <c r="N12" i="11" s="1"/>
  <c r="O12" i="11"/>
  <c r="L80" i="8"/>
  <c r="R82" i="8" s="1"/>
  <c r="I80" i="8"/>
  <c r="L77" i="8"/>
  <c r="R79" i="8" s="1"/>
  <c r="I77" i="8"/>
  <c r="L50" i="8"/>
  <c r="R52" i="8" s="1"/>
  <c r="I50" i="8"/>
  <c r="H1" i="8"/>
  <c r="P1" i="8"/>
  <c r="N1" i="8"/>
  <c r="O1" i="8"/>
  <c r="R1" i="8"/>
  <c r="F1" i="8" s="1"/>
  <c r="I1" i="8"/>
  <c r="M1" i="8"/>
  <c r="L1" i="8"/>
  <c r="I89" i="8"/>
  <c r="L89" i="8"/>
  <c r="R91" i="8" s="1"/>
  <c r="L14" i="8"/>
  <c r="R16" i="8" s="1"/>
  <c r="I14" i="8"/>
  <c r="I32" i="8"/>
  <c r="L32" i="8"/>
  <c r="R34" i="8" s="1"/>
  <c r="L23" i="8"/>
  <c r="R25" i="8" s="1"/>
  <c r="I23" i="8"/>
  <c r="AA21" i="11"/>
  <c r="O21" i="11"/>
  <c r="C21" i="13"/>
  <c r="K21" i="11"/>
  <c r="J21" i="13" s="1"/>
  <c r="AB21" i="11"/>
  <c r="N21" i="11" s="1"/>
  <c r="G21" i="11"/>
  <c r="F21" i="13" s="1"/>
  <c r="L44" i="8"/>
  <c r="R46" i="8" s="1"/>
  <c r="I44" i="8"/>
  <c r="L65" i="8"/>
  <c r="R67" i="8" s="1"/>
  <c r="I65" i="8"/>
  <c r="L62" i="8"/>
  <c r="R64" i="8" s="1"/>
  <c r="I62" i="8"/>
  <c r="N161" i="8" l="1"/>
  <c r="C38" i="9"/>
  <c r="A92" i="9"/>
  <c r="C30" i="10"/>
  <c r="C44" i="10"/>
  <c r="C48" i="10"/>
  <c r="C46" i="9"/>
  <c r="C33" i="9"/>
  <c r="C31" i="10"/>
  <c r="C62" i="9"/>
  <c r="C33" i="10"/>
  <c r="C59" i="10"/>
  <c r="C96" i="9"/>
  <c r="C90" i="10"/>
  <c r="C90" i="9"/>
  <c r="C83" i="10"/>
  <c r="A81" i="10"/>
  <c r="C79" i="10"/>
  <c r="C74" i="10"/>
  <c r="A71" i="10"/>
  <c r="A70" i="10"/>
  <c r="A65" i="9"/>
  <c r="C27" i="10"/>
  <c r="C83" i="9"/>
  <c r="C57" i="9"/>
  <c r="C60" i="10"/>
  <c r="C26" i="9"/>
  <c r="C59" i="9"/>
  <c r="C49" i="10"/>
  <c r="C63" i="9"/>
  <c r="C25" i="9"/>
  <c r="C19" i="10"/>
  <c r="C96" i="10"/>
  <c r="C94" i="9"/>
  <c r="C89" i="10"/>
  <c r="A88" i="9"/>
  <c r="C85" i="9"/>
  <c r="A80" i="10"/>
  <c r="C79" i="9"/>
  <c r="A74" i="10"/>
  <c r="C73" i="9"/>
  <c r="A68" i="10"/>
  <c r="A68" i="9"/>
  <c r="C32" i="10"/>
  <c r="A67" i="10"/>
  <c r="C43" i="9"/>
  <c r="C16" i="10"/>
  <c r="C38" i="10"/>
  <c r="C41" i="9"/>
  <c r="C21" i="9"/>
  <c r="C34" i="10"/>
  <c r="C17" i="10"/>
  <c r="C50" i="9"/>
  <c r="A96" i="10"/>
  <c r="C93" i="9"/>
  <c r="A89" i="10"/>
  <c r="C88" i="9"/>
  <c r="A83" i="10"/>
  <c r="C82" i="9"/>
  <c r="C77" i="10"/>
  <c r="A76" i="9"/>
  <c r="A73" i="9"/>
  <c r="C67" i="10"/>
  <c r="A66" i="10"/>
  <c r="C25" i="10"/>
  <c r="C80" i="9"/>
  <c r="C36" i="10"/>
  <c r="C37" i="10"/>
  <c r="C56" i="10"/>
  <c r="A1" i="9"/>
  <c r="C52" i="10"/>
  <c r="A1" i="10"/>
  <c r="C57" i="10"/>
  <c r="C24" i="9"/>
  <c r="C95" i="10"/>
  <c r="C91" i="10"/>
  <c r="A91" i="9"/>
  <c r="C86" i="10"/>
  <c r="C84" i="10"/>
  <c r="A82" i="9"/>
  <c r="A77" i="10"/>
  <c r="C75" i="10"/>
  <c r="C74" i="9"/>
  <c r="A66" i="9"/>
  <c r="A65" i="10"/>
  <c r="C86" i="9"/>
  <c r="C45" i="10"/>
  <c r="C46" i="10"/>
  <c r="C61" i="9"/>
  <c r="C49" i="9"/>
  <c r="C58" i="9"/>
  <c r="C52" i="9"/>
  <c r="C58" i="10"/>
  <c r="C51" i="10"/>
  <c r="A95" i="10"/>
  <c r="C92" i="10"/>
  <c r="C91" i="9"/>
  <c r="C85" i="10"/>
  <c r="A82" i="10"/>
  <c r="C80" i="10"/>
  <c r="A79" i="9"/>
  <c r="C75" i="9"/>
  <c r="A72" i="9"/>
  <c r="C66" i="10"/>
  <c r="A67" i="9"/>
  <c r="C63" i="10"/>
  <c r="A71" i="9"/>
  <c r="C27" i="9"/>
  <c r="C17" i="9"/>
  <c r="C54" i="9"/>
  <c r="C29" i="10"/>
  <c r="C61" i="10"/>
  <c r="C64" i="10"/>
  <c r="C20" i="10"/>
  <c r="A93" i="10"/>
  <c r="A93" i="9"/>
  <c r="C88" i="10"/>
  <c r="A87" i="9"/>
  <c r="A84" i="9"/>
  <c r="C81" i="9"/>
  <c r="C78" i="9"/>
  <c r="A75" i="9"/>
  <c r="C72" i="9"/>
  <c r="A70" i="9"/>
  <c r="C70" i="9"/>
  <c r="C35" i="9"/>
  <c r="C72" i="10"/>
  <c r="C34" i="9"/>
  <c r="C42" i="10"/>
  <c r="C26" i="10"/>
  <c r="C24" i="10"/>
  <c r="C39" i="9"/>
  <c r="C1" i="9"/>
  <c r="C22" i="9"/>
  <c r="C16" i="9"/>
  <c r="C94" i="10"/>
  <c r="A91" i="10"/>
  <c r="A88" i="10"/>
  <c r="A86" i="10"/>
  <c r="C84" i="9"/>
  <c r="A81" i="9"/>
  <c r="A78" i="9"/>
  <c r="A73" i="10"/>
  <c r="C70" i="10"/>
  <c r="A69" i="9"/>
  <c r="C69" i="9"/>
  <c r="C40" i="10"/>
  <c r="C77" i="9"/>
  <c r="C23" i="10"/>
  <c r="C29" i="9"/>
  <c r="C42" i="9"/>
  <c r="C20" i="9"/>
  <c r="C56" i="9"/>
  <c r="C43" i="10"/>
  <c r="C31" i="9"/>
  <c r="C55" i="9"/>
  <c r="C93" i="10"/>
  <c r="A92" i="10"/>
  <c r="A90" i="9"/>
  <c r="A85" i="10"/>
  <c r="C82" i="10"/>
  <c r="A79" i="10"/>
  <c r="A76" i="10"/>
  <c r="C73" i="10"/>
  <c r="C71" i="10"/>
  <c r="C65" i="10"/>
  <c r="C68" i="9"/>
  <c r="M12" i="6"/>
  <c r="C55" i="10"/>
  <c r="C60" i="9"/>
  <c r="C50" i="10"/>
  <c r="C32" i="9"/>
  <c r="C19" i="9"/>
  <c r="C36" i="9"/>
  <c r="C44" i="9"/>
  <c r="C54" i="10"/>
  <c r="A94" i="10"/>
  <c r="A94" i="9"/>
  <c r="C87" i="10"/>
  <c r="C87" i="9"/>
  <c r="A85" i="9"/>
  <c r="C78" i="10"/>
  <c r="C76" i="10"/>
  <c r="C76" i="9"/>
  <c r="C71" i="9"/>
  <c r="C66" i="9"/>
  <c r="C65" i="9"/>
  <c r="C28" i="10"/>
  <c r="A95" i="9"/>
  <c r="C37" i="9"/>
  <c r="C21" i="10"/>
  <c r="C48" i="9"/>
  <c r="C64" i="9"/>
  <c r="C23" i="9"/>
  <c r="C1" i="10"/>
  <c r="C47" i="9"/>
  <c r="C22" i="10"/>
  <c r="A96" i="9"/>
  <c r="C92" i="9"/>
  <c r="A89" i="9"/>
  <c r="A86" i="9"/>
  <c r="C81" i="10"/>
  <c r="A80" i="9"/>
  <c r="A75" i="10"/>
  <c r="A74" i="9"/>
  <c r="C69" i="10"/>
  <c r="C67" i="9"/>
  <c r="C30" i="9"/>
  <c r="A87" i="10"/>
  <c r="C41" i="10"/>
  <c r="C40" i="9"/>
  <c r="C51" i="9"/>
  <c r="C28" i="9"/>
  <c r="C39" i="10"/>
  <c r="C47" i="10"/>
  <c r="C62" i="10"/>
  <c r="C35" i="10"/>
  <c r="C45" i="9"/>
  <c r="C95" i="9"/>
  <c r="A90" i="10"/>
  <c r="C89" i="9"/>
  <c r="A84" i="10"/>
  <c r="A83" i="9"/>
  <c r="A78" i="10"/>
  <c r="A77" i="9"/>
  <c r="A72" i="10"/>
  <c r="A69" i="10"/>
  <c r="N191" i="8"/>
  <c r="O203" i="8"/>
  <c r="O191" i="8"/>
  <c r="P191" i="8"/>
  <c r="P164" i="8"/>
  <c r="N143" i="8"/>
  <c r="O215" i="8"/>
  <c r="O245" i="8"/>
  <c r="N92" i="8"/>
  <c r="O170" i="8"/>
  <c r="O164" i="8"/>
  <c r="N179" i="8"/>
  <c r="O140" i="8"/>
  <c r="N107" i="8"/>
  <c r="N128" i="8"/>
  <c r="P242" i="8"/>
  <c r="P140" i="8"/>
  <c r="N134" i="8"/>
  <c r="N131" i="8"/>
  <c r="O182" i="8"/>
  <c r="O209" i="8"/>
  <c r="P98" i="8"/>
  <c r="O131" i="8"/>
  <c r="P176" i="8"/>
  <c r="O212" i="8"/>
  <c r="N164" i="8"/>
  <c r="O194" i="8"/>
  <c r="O92" i="8"/>
  <c r="O134" i="8"/>
  <c r="N95" i="8"/>
  <c r="O95" i="8"/>
  <c r="N104" i="8"/>
  <c r="N140" i="8"/>
  <c r="R130" i="8"/>
  <c r="R256" i="8"/>
  <c r="R163" i="8"/>
  <c r="R190" i="8"/>
  <c r="R127" i="8"/>
  <c r="N194" i="8"/>
  <c r="R187" i="8"/>
  <c r="R253" i="8"/>
  <c r="R118" i="8"/>
  <c r="R121" i="8"/>
  <c r="R238" i="8"/>
  <c r="R241" i="8"/>
  <c r="R250" i="8"/>
  <c r="R208" i="8"/>
  <c r="N212" i="8"/>
  <c r="R115" i="8"/>
  <c r="N125" i="8"/>
  <c r="R157" i="8"/>
  <c r="R124" i="8"/>
  <c r="O128" i="8"/>
  <c r="R205" i="8"/>
  <c r="N209" i="8"/>
  <c r="O248" i="8"/>
  <c r="R112" i="8"/>
  <c r="R151" i="8"/>
  <c r="P251" i="8"/>
  <c r="N116" i="8"/>
  <c r="N119" i="8"/>
  <c r="P161" i="8"/>
  <c r="O125" i="8"/>
  <c r="N155" i="8"/>
  <c r="R160" i="8"/>
  <c r="N236" i="8"/>
  <c r="R175" i="8"/>
  <c r="R202" i="8"/>
  <c r="P239" i="8"/>
  <c r="N206" i="8"/>
  <c r="R109" i="8"/>
  <c r="N113" i="8"/>
  <c r="O116" i="8"/>
  <c r="R259" i="8"/>
  <c r="O119" i="8"/>
  <c r="N188" i="8"/>
  <c r="R235" i="8"/>
  <c r="P125" i="8"/>
  <c r="N122" i="8"/>
  <c r="N203" i="8"/>
  <c r="O236" i="8"/>
  <c r="O206" i="8"/>
  <c r="R244" i="8"/>
  <c r="R106" i="8"/>
  <c r="R247" i="8"/>
  <c r="N110" i="8"/>
  <c r="P254" i="8"/>
  <c r="P185" i="8"/>
  <c r="O113" i="8"/>
  <c r="P116" i="8"/>
  <c r="P257" i="8"/>
  <c r="P119" i="8"/>
  <c r="O188" i="8"/>
  <c r="O122" i="8"/>
  <c r="O158" i="8"/>
  <c r="P128" i="8"/>
  <c r="N200" i="8"/>
  <c r="P248" i="8"/>
  <c r="R139" i="8"/>
  <c r="P206" i="8"/>
  <c r="R181" i="8"/>
  <c r="O251" i="8"/>
  <c r="R154" i="8"/>
  <c r="R184" i="8"/>
  <c r="N233" i="8"/>
  <c r="R199" i="8"/>
  <c r="R229" i="8"/>
  <c r="P122" i="8"/>
  <c r="P203" i="8"/>
  <c r="P236" i="8"/>
  <c r="O200" i="8"/>
  <c r="O242" i="8"/>
  <c r="P149" i="8"/>
  <c r="N185" i="8"/>
  <c r="N152" i="8"/>
  <c r="R226" i="8"/>
  <c r="O146" i="8"/>
  <c r="R223" i="8"/>
  <c r="O161" i="8"/>
  <c r="O233" i="8"/>
  <c r="R100" i="8"/>
  <c r="N173" i="8"/>
  <c r="P200" i="8"/>
  <c r="R169" i="8"/>
  <c r="R145" i="8"/>
  <c r="O179" i="8"/>
  <c r="P110" i="8"/>
  <c r="O107" i="8"/>
  <c r="O185" i="8"/>
  <c r="R220" i="8"/>
  <c r="P113" i="8"/>
  <c r="O152" i="8"/>
  <c r="N182" i="8"/>
  <c r="R148" i="8"/>
  <c r="P233" i="8"/>
  <c r="O155" i="8"/>
  <c r="N197" i="8"/>
  <c r="N227" i="8"/>
  <c r="N158" i="8"/>
  <c r="R232" i="8"/>
  <c r="O173" i="8"/>
  <c r="O239" i="8"/>
  <c r="R103" i="8"/>
  <c r="R172" i="8"/>
  <c r="P179" i="8"/>
  <c r="R217" i="8"/>
  <c r="R178" i="8"/>
  <c r="P107" i="8"/>
  <c r="N149" i="8"/>
  <c r="P152" i="8"/>
  <c r="P182" i="8"/>
  <c r="N224" i="8"/>
  <c r="N221" i="8"/>
  <c r="P155" i="8"/>
  <c r="O197" i="8"/>
  <c r="O227" i="8"/>
  <c r="P158" i="8"/>
  <c r="R94" i="8"/>
  <c r="R166" i="8"/>
  <c r="N98" i="8"/>
  <c r="P173" i="8"/>
  <c r="R97" i="8"/>
  <c r="R133" i="8"/>
  <c r="N167" i="8"/>
  <c r="N101" i="8"/>
  <c r="N137" i="8"/>
  <c r="O143" i="8"/>
  <c r="N176" i="8"/>
  <c r="R214" i="8"/>
  <c r="O149" i="8"/>
  <c r="N218" i="8"/>
  <c r="O224" i="8"/>
  <c r="N146" i="8"/>
  <c r="O221" i="8"/>
  <c r="P197" i="8"/>
  <c r="P227" i="8"/>
  <c r="R196" i="8"/>
  <c r="N230" i="8"/>
  <c r="O98" i="8"/>
  <c r="R136" i="8"/>
  <c r="O167" i="8"/>
  <c r="R211" i="8"/>
  <c r="O101" i="8"/>
  <c r="O137" i="8"/>
  <c r="N170" i="8"/>
  <c r="P104" i="8"/>
  <c r="P143" i="8"/>
  <c r="N215" i="8"/>
  <c r="R142" i="8"/>
  <c r="O176" i="8"/>
  <c r="O218" i="8"/>
  <c r="P224" i="8"/>
  <c r="P146" i="8"/>
  <c r="R193" i="8"/>
  <c r="P221" i="8"/>
  <c r="O230" i="8"/>
  <c r="P41" i="8"/>
  <c r="D15" i="5"/>
  <c r="B16" i="12"/>
  <c r="O41" i="8"/>
  <c r="P47" i="8"/>
  <c r="O47" i="8"/>
  <c r="O17" i="8"/>
  <c r="P53" i="8"/>
  <c r="P80" i="8"/>
  <c r="P56" i="8"/>
  <c r="P68" i="8"/>
  <c r="N53" i="8"/>
  <c r="P20" i="8"/>
  <c r="O53" i="8"/>
  <c r="P29" i="8"/>
  <c r="O59" i="8"/>
  <c r="P71" i="8"/>
  <c r="O35" i="8"/>
  <c r="O80" i="8"/>
  <c r="N35" i="8"/>
  <c r="O89" i="8"/>
  <c r="N74" i="8"/>
  <c r="P89" i="8"/>
  <c r="P77" i="8"/>
  <c r="N56" i="8"/>
  <c r="O56" i="8"/>
  <c r="O65" i="8"/>
  <c r="O20" i="8"/>
  <c r="P59" i="8"/>
  <c r="O68" i="8"/>
  <c r="O83" i="8"/>
  <c r="R85" i="8"/>
  <c r="P62" i="8"/>
  <c r="N29" i="8"/>
  <c r="N83" i="8"/>
  <c r="P35" i="8"/>
  <c r="P26" i="8"/>
  <c r="Q1" i="8"/>
  <c r="R3" i="8"/>
  <c r="N80" i="8"/>
  <c r="L18" i="13"/>
  <c r="D18" i="13" s="1"/>
  <c r="W18" i="11"/>
  <c r="C18" i="11"/>
  <c r="Z18" i="11"/>
  <c r="N65" i="8"/>
  <c r="T21" i="13"/>
  <c r="O21" i="13"/>
  <c r="R21" i="13"/>
  <c r="K21" i="13"/>
  <c r="S21" i="13"/>
  <c r="U21" i="13"/>
  <c r="M21" i="13"/>
  <c r="P32" i="8"/>
  <c r="F2" i="8"/>
  <c r="G1" i="8"/>
  <c r="I2" i="8" s="1"/>
  <c r="G2" i="8"/>
  <c r="K15" i="13"/>
  <c r="O74" i="8"/>
  <c r="R76" i="8"/>
  <c r="B686" i="12"/>
  <c r="M20" i="13"/>
  <c r="O20" i="13"/>
  <c r="T20" i="13"/>
  <c r="R20" i="13"/>
  <c r="K20" i="13"/>
  <c r="U20" i="13"/>
  <c r="S20" i="13"/>
  <c r="T23" i="13"/>
  <c r="K23" i="13"/>
  <c r="O23" i="13"/>
  <c r="S23" i="13"/>
  <c r="R23" i="13"/>
  <c r="M23" i="13"/>
  <c r="U23" i="13"/>
  <c r="P65" i="8"/>
  <c r="Z21" i="11"/>
  <c r="W21" i="11"/>
  <c r="L21" i="13"/>
  <c r="D21" i="13" s="1"/>
  <c r="C21" i="11"/>
  <c r="O32" i="8"/>
  <c r="N20" i="8"/>
  <c r="O16" i="13"/>
  <c r="R16" i="13"/>
  <c r="T16" i="13"/>
  <c r="K16" i="13"/>
  <c r="M16" i="13"/>
  <c r="S16" i="13"/>
  <c r="U16" i="13"/>
  <c r="N86" i="8"/>
  <c r="N68" i="8"/>
  <c r="M18" i="13"/>
  <c r="O18" i="13"/>
  <c r="T18" i="13"/>
  <c r="K18" i="13"/>
  <c r="U18" i="13"/>
  <c r="S18" i="13"/>
  <c r="R18" i="13"/>
  <c r="N32" i="8"/>
  <c r="N59" i="8"/>
  <c r="L16" i="13"/>
  <c r="D16" i="13" s="1"/>
  <c r="Z16" i="11"/>
  <c r="W16" i="11"/>
  <c r="C16" i="11"/>
  <c r="L19" i="13"/>
  <c r="D19" i="13" s="1"/>
  <c r="C19" i="11"/>
  <c r="Z19" i="11"/>
  <c r="W19" i="11"/>
  <c r="O38" i="8"/>
  <c r="L17" i="13"/>
  <c r="D17" i="13" s="1"/>
  <c r="C17" i="11"/>
  <c r="Z17" i="11"/>
  <c r="W17" i="11"/>
  <c r="O86" i="8"/>
  <c r="R88" i="8"/>
  <c r="N47" i="8"/>
  <c r="N41" i="8"/>
  <c r="T19" i="13"/>
  <c r="O19" i="13"/>
  <c r="R19" i="13"/>
  <c r="K19" i="13"/>
  <c r="M19" i="13"/>
  <c r="U19" i="13"/>
  <c r="S19" i="13"/>
  <c r="O44" i="8"/>
  <c r="O77" i="8"/>
  <c r="N38" i="8"/>
  <c r="L22" i="13"/>
  <c r="D22" i="13" s="1"/>
  <c r="Z22" i="11"/>
  <c r="W22" i="11"/>
  <c r="C22" i="11"/>
  <c r="N44" i="8"/>
  <c r="P23" i="8"/>
  <c r="P14" i="8"/>
  <c r="P50" i="8"/>
  <c r="N77" i="8"/>
  <c r="P38" i="8"/>
  <c r="T17" i="13"/>
  <c r="S17" i="13"/>
  <c r="K17" i="13"/>
  <c r="U17" i="13"/>
  <c r="M17" i="13"/>
  <c r="O17" i="13"/>
  <c r="R17" i="13"/>
  <c r="N71" i="8"/>
  <c r="U22" i="13"/>
  <c r="R22" i="13"/>
  <c r="M22" i="13"/>
  <c r="O22" i="13"/>
  <c r="S22" i="13"/>
  <c r="K22" i="13"/>
  <c r="T22" i="13"/>
  <c r="N17" i="8"/>
  <c r="O62" i="8"/>
  <c r="P44" i="8"/>
  <c r="O23" i="8"/>
  <c r="O14" i="8"/>
  <c r="O50" i="8"/>
  <c r="C12" i="11"/>
  <c r="Z12" i="11"/>
  <c r="L12" i="13"/>
  <c r="W12" i="11"/>
  <c r="O71" i="8"/>
  <c r="P17" i="8"/>
  <c r="N26" i="8"/>
  <c r="L23" i="13"/>
  <c r="D23" i="13" s="1"/>
  <c r="C23" i="11"/>
  <c r="Z23" i="11"/>
  <c r="W23" i="11"/>
  <c r="O12" i="13"/>
  <c r="S12" i="13"/>
  <c r="U12" i="13"/>
  <c r="T12" i="13"/>
  <c r="K12" i="13"/>
  <c r="M12" i="13"/>
  <c r="R12" i="13"/>
  <c r="N62" i="8"/>
  <c r="N23" i="8"/>
  <c r="N14" i="8"/>
  <c r="N50" i="8"/>
  <c r="O29" i="8"/>
  <c r="L20" i="13"/>
  <c r="D20" i="13" s="1"/>
  <c r="W20" i="11"/>
  <c r="Z20" i="11"/>
  <c r="C20" i="11"/>
  <c r="P83" i="8"/>
  <c r="O26" i="8"/>
  <c r="P19" i="13" l="1"/>
  <c r="N19" i="13"/>
  <c r="N16" i="13"/>
  <c r="P16" i="13"/>
  <c r="N23" i="13"/>
  <c r="P23" i="13"/>
  <c r="N17" i="13"/>
  <c r="P17" i="13"/>
  <c r="N12" i="13"/>
  <c r="P12" i="13"/>
  <c r="P18" i="13"/>
  <c r="N18" i="13"/>
  <c r="P22" i="13"/>
  <c r="N22" i="13"/>
  <c r="V12" i="13"/>
  <c r="D12" i="13"/>
  <c r="P21" i="13"/>
  <c r="N21" i="13"/>
  <c r="Z1" i="8"/>
  <c r="W1" i="8"/>
  <c r="U1" i="8"/>
  <c r="AC3" i="8"/>
  <c r="D1" i="8"/>
  <c r="U3" i="8"/>
  <c r="T3" i="8"/>
  <c r="D3" i="8"/>
  <c r="V1" i="8"/>
  <c r="B1" i="8"/>
  <c r="T1" i="8"/>
  <c r="AA1" i="8"/>
  <c r="AB3" i="8"/>
  <c r="X1" i="8"/>
  <c r="Y1" i="8"/>
  <c r="X3" i="8"/>
  <c r="AC1" i="8"/>
  <c r="Y3" i="8"/>
  <c r="AA3" i="8"/>
  <c r="AE1" i="8"/>
  <c r="AE3" i="8"/>
  <c r="E3" i="8"/>
  <c r="C1" i="8"/>
  <c r="AB1" i="8"/>
  <c r="Z3" i="8"/>
  <c r="AD3" i="8"/>
  <c r="W3" i="8"/>
  <c r="V3" i="8"/>
  <c r="AD1" i="8"/>
  <c r="N20" i="13"/>
  <c r="P20" i="13"/>
  <c r="N242" i="8" l="1"/>
  <c r="N239" i="8"/>
  <c r="N245" i="8"/>
  <c r="N248" i="8"/>
  <c r="N251" i="8"/>
  <c r="N254" i="8"/>
  <c r="J713" i="12" l="1"/>
  <c r="L713" i="12"/>
  <c r="M161" i="8" l="1"/>
  <c r="Q161" i="8" s="1"/>
  <c r="E163" i="8" s="1"/>
  <c r="M248" i="8"/>
  <c r="Q248" i="8" s="1"/>
  <c r="M218" i="8"/>
  <c r="Q218" i="8" s="1"/>
  <c r="M200" i="8"/>
  <c r="Q200" i="8" s="1"/>
  <c r="M116" i="8"/>
  <c r="Q116" i="8" s="1"/>
  <c r="E118" i="8" s="1"/>
  <c r="M134" i="8"/>
  <c r="Q134" i="8" s="1"/>
  <c r="E136" i="8" s="1"/>
  <c r="M233" i="8"/>
  <c r="Q233" i="8" s="1"/>
  <c r="E235" i="8" s="1"/>
  <c r="M170" i="8"/>
  <c r="Q170" i="8" s="1"/>
  <c r="M236" i="8"/>
  <c r="Q236" i="8" s="1"/>
  <c r="E238" i="8" s="1"/>
  <c r="M155" i="8"/>
  <c r="Q155" i="8" s="1"/>
  <c r="E157" i="8" s="1"/>
  <c r="M143" i="8"/>
  <c r="Q143" i="8" s="1"/>
  <c r="M242" i="8"/>
  <c r="Q242" i="8" s="1"/>
  <c r="E244" i="8" s="1"/>
  <c r="M173" i="8"/>
  <c r="Q173" i="8" s="1"/>
  <c r="E175" i="8" s="1"/>
  <c r="M113" i="8"/>
  <c r="Q113" i="8" s="1"/>
  <c r="E115" i="8" s="1"/>
  <c r="M197" i="8"/>
  <c r="Q197" i="8" s="1"/>
  <c r="E199" i="8" s="1"/>
  <c r="M128" i="8"/>
  <c r="Q128" i="8" s="1"/>
  <c r="M245" i="8"/>
  <c r="Q245" i="8" s="1"/>
  <c r="E247" i="8" s="1"/>
  <c r="M101" i="8"/>
  <c r="Q101" i="8" s="1"/>
  <c r="E103" i="8" s="1"/>
  <c r="M203" i="8"/>
  <c r="Q203" i="8" s="1"/>
  <c r="M137" i="8"/>
  <c r="Q137" i="8" s="1"/>
  <c r="E139" i="8" s="1"/>
  <c r="M125" i="8"/>
  <c r="Q125" i="8" s="1"/>
  <c r="M239" i="8"/>
  <c r="Q239" i="8" s="1"/>
  <c r="E241" i="8" s="1"/>
  <c r="M224" i="8"/>
  <c r="Q224" i="8" s="1"/>
  <c r="M110" i="8"/>
  <c r="Q110" i="8" s="1"/>
  <c r="E112" i="8" s="1"/>
  <c r="M107" i="8"/>
  <c r="Q107" i="8" s="1"/>
  <c r="E109" i="8" s="1"/>
  <c r="M254" i="8"/>
  <c r="M188" i="8"/>
  <c r="Q188" i="8" s="1"/>
  <c r="M209" i="8"/>
  <c r="Q209" i="8" s="1"/>
  <c r="M98" i="8"/>
  <c r="Q98" i="8" s="1"/>
  <c r="E100" i="8" s="1"/>
  <c r="M221" i="8"/>
  <c r="Q221" i="8" s="1"/>
  <c r="M179" i="8"/>
  <c r="Q179" i="8" s="1"/>
  <c r="E181" i="8" s="1"/>
  <c r="M191" i="8"/>
  <c r="Q191" i="8" s="1"/>
  <c r="E193" i="8" s="1"/>
  <c r="M185" i="8"/>
  <c r="Q185" i="8" s="1"/>
  <c r="M230" i="8"/>
  <c r="Q230" i="8" s="1"/>
  <c r="E232" i="8" s="1"/>
  <c r="M140" i="8"/>
  <c r="Q140" i="8" s="1"/>
  <c r="M227" i="8"/>
  <c r="Q227" i="8" s="1"/>
  <c r="M182" i="8"/>
  <c r="Q182" i="8" s="1"/>
  <c r="M131" i="8"/>
  <c r="Q131" i="8" s="1"/>
  <c r="E133" i="8" s="1"/>
  <c r="M104" i="8"/>
  <c r="Q104" i="8" s="1"/>
  <c r="E106" i="8" s="1"/>
  <c r="M152" i="8"/>
  <c r="Q152" i="8" s="1"/>
  <c r="E154" i="8" s="1"/>
  <c r="M149" i="8"/>
  <c r="Q149" i="8" s="1"/>
  <c r="E151" i="8" s="1"/>
  <c r="M164" i="8"/>
  <c r="Q164" i="8" s="1"/>
  <c r="M95" i="8"/>
  <c r="Q95" i="8" s="1"/>
  <c r="M212" i="8"/>
  <c r="Q212" i="8" s="1"/>
  <c r="M215" i="8"/>
  <c r="Q215" i="8" s="1"/>
  <c r="M119" i="8"/>
  <c r="Q119" i="8" s="1"/>
  <c r="E121" i="8" s="1"/>
  <c r="M146" i="8"/>
  <c r="Q146" i="8" s="1"/>
  <c r="E148" i="8" s="1"/>
  <c r="M194" i="8"/>
  <c r="Q194" i="8" s="1"/>
  <c r="E196" i="8" s="1"/>
  <c r="M92" i="8"/>
  <c r="Q92" i="8" s="1"/>
  <c r="M176" i="8"/>
  <c r="Q176" i="8" s="1"/>
  <c r="E178" i="8" s="1"/>
  <c r="M251" i="8"/>
  <c r="Q251" i="8" s="1"/>
  <c r="M257" i="8"/>
  <c r="M206" i="8"/>
  <c r="Q206" i="8" s="1"/>
  <c r="M122" i="8"/>
  <c r="Q122" i="8" s="1"/>
  <c r="M158" i="8"/>
  <c r="Q158" i="8" s="1"/>
  <c r="E160" i="8" s="1"/>
  <c r="M167" i="8"/>
  <c r="Q167" i="8" s="1"/>
  <c r="K713" i="12"/>
  <c r="E211" i="8" l="1"/>
  <c r="E172" i="8"/>
  <c r="E184" i="8"/>
  <c r="E217" i="8"/>
  <c r="E229" i="8"/>
  <c r="E190" i="8"/>
  <c r="E130" i="8"/>
  <c r="E124" i="8"/>
  <c r="E142" i="8"/>
  <c r="E202" i="8"/>
  <c r="E97" i="8"/>
  <c r="E169" i="8"/>
  <c r="E166" i="8"/>
  <c r="E187" i="8"/>
  <c r="E226" i="8"/>
  <c r="E220" i="8"/>
  <c r="E214" i="8"/>
  <c r="E253" i="8"/>
  <c r="E127" i="8"/>
  <c r="E145" i="8"/>
  <c r="E250" i="8"/>
  <c r="E94" i="8"/>
  <c r="E223" i="8"/>
  <c r="E208" i="8"/>
  <c r="E205" i="8"/>
  <c r="M17" i="8" l="1"/>
  <c r="Q17" i="8" s="1"/>
  <c r="M14" i="8"/>
  <c r="Q14" i="8" s="1"/>
  <c r="M20" i="8"/>
  <c r="Q20" i="8" s="1"/>
  <c r="C14" i="8" l="1"/>
  <c r="B14" i="8"/>
  <c r="E16" i="8"/>
  <c r="E22" i="8"/>
  <c r="M62" i="8" l="1"/>
  <c r="Q62" i="8" s="1"/>
  <c r="M47" i="8"/>
  <c r="Q47" i="8" s="1"/>
  <c r="M89" i="8"/>
  <c r="M56" i="8"/>
  <c r="Q56" i="8" s="1"/>
  <c r="M80" i="8"/>
  <c r="Q80" i="8" s="1"/>
  <c r="M59" i="8"/>
  <c r="Q59" i="8" s="1"/>
  <c r="M71" i="8"/>
  <c r="Q71" i="8" s="1"/>
  <c r="M23" i="8"/>
  <c r="Q23" i="8" s="1"/>
  <c r="M32" i="8"/>
  <c r="Q32" i="8" s="1"/>
  <c r="M77" i="8"/>
  <c r="Q77" i="8" s="1"/>
  <c r="M53" i="8"/>
  <c r="Q53" i="8" s="1"/>
  <c r="M65" i="8"/>
  <c r="Q65" i="8" s="1"/>
  <c r="M35" i="8"/>
  <c r="Q35" i="8" s="1"/>
  <c r="E37" i="8" s="1"/>
  <c r="W37" i="8" s="1"/>
  <c r="M26" i="8"/>
  <c r="Q26" i="8" s="1"/>
  <c r="M86" i="8"/>
  <c r="Q86" i="8" s="1"/>
  <c r="M68" i="8"/>
  <c r="Q68" i="8" s="1"/>
  <c r="M50" i="8"/>
  <c r="Q50" i="8" s="1"/>
  <c r="M74" i="8"/>
  <c r="Q74" i="8" s="1"/>
  <c r="M41" i="8"/>
  <c r="Q41" i="8" s="1"/>
  <c r="M44" i="8"/>
  <c r="Q44" i="8" s="1"/>
  <c r="M29" i="8"/>
  <c r="Q29" i="8" s="1"/>
  <c r="M83" i="8"/>
  <c r="Q83" i="8" s="1"/>
  <c r="M38" i="8"/>
  <c r="Q38" i="8" s="1"/>
  <c r="AE37" i="8" l="1"/>
  <c r="AA37" i="8"/>
  <c r="AD37" i="8"/>
  <c r="V37" i="8"/>
  <c r="AC37" i="8"/>
  <c r="AB37" i="8"/>
  <c r="Z37" i="8"/>
  <c r="X37" i="8"/>
  <c r="Y37" i="8"/>
  <c r="E43" i="8"/>
  <c r="E25" i="8"/>
  <c r="E76" i="8"/>
  <c r="E73" i="8"/>
  <c r="E52" i="8"/>
  <c r="AA52" i="8" s="1"/>
  <c r="E61" i="8"/>
  <c r="E70" i="8"/>
  <c r="E82" i="8"/>
  <c r="AE82" i="8" s="1"/>
  <c r="E88" i="8"/>
  <c r="E28" i="8"/>
  <c r="AC28" i="8" s="1"/>
  <c r="E58" i="8"/>
  <c r="AA58" i="8" s="1"/>
  <c r="E40" i="8"/>
  <c r="E67" i="8"/>
  <c r="E85" i="8"/>
  <c r="E55" i="8"/>
  <c r="E49" i="8"/>
  <c r="E31" i="8"/>
  <c r="E79" i="8"/>
  <c r="E64" i="8"/>
  <c r="E46" i="8"/>
  <c r="E34" i="8"/>
  <c r="X52" i="8" l="1"/>
  <c r="AE52" i="8"/>
  <c r="Y52" i="8"/>
  <c r="AD52" i="8"/>
  <c r="Z52" i="8"/>
  <c r="AD58" i="8"/>
  <c r="AA85" i="8"/>
  <c r="AD49" i="8"/>
  <c r="AB49" i="8"/>
  <c r="Y49" i="8"/>
  <c r="AB52" i="8"/>
  <c r="AC52" i="8"/>
  <c r="AA49" i="8"/>
  <c r="AE49" i="8"/>
  <c r="Z49" i="8"/>
  <c r="AC49" i="8"/>
  <c r="X49" i="8"/>
  <c r="U82" i="8"/>
  <c r="W82" i="8"/>
  <c r="AA82" i="8"/>
  <c r="AD82" i="8"/>
  <c r="V82" i="8"/>
  <c r="Y82" i="8"/>
  <c r="U85" i="8"/>
  <c r="AE85" i="8"/>
  <c r="W85" i="8"/>
  <c r="V85" i="8"/>
  <c r="X58" i="8"/>
  <c r="AB58" i="8"/>
  <c r="AC58" i="8"/>
  <c r="U58" i="8"/>
  <c r="AE58" i="8"/>
  <c r="Z58" i="8"/>
  <c r="AD28" i="8"/>
  <c r="V28" i="8"/>
  <c r="W28" i="8"/>
  <c r="AA28" i="8"/>
  <c r="AE28" i="8"/>
  <c r="X28" i="8"/>
  <c r="AB28" i="8"/>
  <c r="Z28" i="8"/>
  <c r="Y28" i="8"/>
  <c r="V88" i="8"/>
  <c r="AA88" i="8"/>
  <c r="AB88" i="8"/>
  <c r="AE88" i="8"/>
  <c r="U88" i="8"/>
  <c r="N89" i="8" l="1"/>
  <c r="Q89" i="8" s="1"/>
  <c r="E91" i="8" l="1"/>
  <c r="AE91" i="8" s="1"/>
  <c r="AA91" i="8" l="1"/>
  <c r="AB91" i="8"/>
  <c r="I26" i="8" l="1"/>
  <c r="L30" i="12" l="1"/>
  <c r="J30" i="12"/>
  <c r="K30" i="12" l="1"/>
  <c r="I628" i="5" l="1"/>
  <c r="I636" i="5" l="1"/>
  <c r="I640" i="5" l="1"/>
  <c r="I643" i="5" l="1"/>
  <c r="I654" i="5" l="1"/>
  <c r="I686" i="5" l="1"/>
  <c r="I715" i="5" l="1"/>
  <c r="I436" i="5" l="1"/>
  <c r="I668" i="5" l="1"/>
  <c r="I543" i="5"/>
  <c r="O257" i="8" l="1"/>
  <c r="O254" i="8"/>
  <c r="Q254" i="8" s="1"/>
  <c r="E256" i="8" s="1"/>
  <c r="N257" i="8"/>
  <c r="Q257" i="8" s="1"/>
  <c r="E259" i="8" s="1"/>
  <c r="I724" i="5"/>
  <c r="I682" i="5" l="1"/>
  <c r="I63" i="5" l="1"/>
  <c r="I567" i="5" l="1"/>
  <c r="I74" i="5" l="1"/>
  <c r="I472" i="5" l="1"/>
  <c r="I580" i="5" l="1"/>
  <c r="I81" i="5" l="1"/>
  <c r="I91" i="5" l="1"/>
  <c r="I96" i="5" l="1"/>
  <c r="I101" i="5" l="1"/>
  <c r="I103" i="5" l="1"/>
  <c r="I110" i="5" l="1"/>
  <c r="I114" i="5" l="1"/>
  <c r="I126" i="5" l="1"/>
  <c r="I134" i="5" l="1"/>
  <c r="I152" i="5" l="1"/>
  <c r="I155" i="5" l="1"/>
  <c r="I169" i="5" l="1"/>
  <c r="I176" i="5" l="1"/>
  <c r="I199" i="5" l="1"/>
  <c r="I212" i="5" l="1"/>
  <c r="I221" i="5" l="1"/>
  <c r="I230" i="5" l="1"/>
  <c r="I233" i="5" l="1"/>
  <c r="I237" i="5" l="1"/>
  <c r="I245" i="5" l="1"/>
  <c r="I247" i="5" l="1"/>
  <c r="I285" i="5" l="1"/>
  <c r="I293" i="5" l="1"/>
  <c r="I295" i="5" l="1"/>
  <c r="I300" i="5" l="1"/>
  <c r="I316" i="5" l="1"/>
  <c r="I319" i="5" l="1"/>
  <c r="I349" i="5" l="1"/>
  <c r="I353" i="5" l="1"/>
  <c r="I365" i="5" l="1"/>
  <c r="I402" i="5" l="1"/>
  <c r="F23" i="6" l="1"/>
  <c r="E23" i="12"/>
  <c r="G23" i="6"/>
  <c r="N24" i="6" l="1"/>
  <c r="N25" i="6"/>
  <c r="N26" i="6"/>
  <c r="N27" i="6"/>
  <c r="N28" i="6"/>
  <c r="C18" i="10" l="1"/>
  <c r="C18" i="9"/>
  <c r="F15" i="7" l="1"/>
  <c r="A15" i="10" s="1"/>
  <c r="E19" i="8"/>
  <c r="I29" i="5" l="1"/>
  <c r="I40" i="5" l="1"/>
  <c r="I184" i="5" l="1"/>
  <c r="H177" i="6"/>
  <c r="T177" i="5" l="1"/>
  <c r="G177" i="12" s="1"/>
  <c r="F49" i="7" l="1"/>
  <c r="F36" i="7"/>
  <c r="F17" i="7"/>
  <c r="F33" i="7"/>
  <c r="F45" i="7"/>
  <c r="F38" i="7"/>
  <c r="F52" i="7"/>
  <c r="F19" i="7"/>
  <c r="F34" i="7"/>
  <c r="F23" i="7"/>
  <c r="F62" i="7"/>
  <c r="F57" i="7"/>
  <c r="F18" i="7"/>
  <c r="F47" i="7"/>
  <c r="F54" i="7"/>
  <c r="F20" i="7"/>
  <c r="F59" i="7"/>
  <c r="F26" i="7"/>
  <c r="F24" i="7"/>
  <c r="F14" i="7"/>
  <c r="F51" i="7"/>
  <c r="F60" i="7"/>
  <c r="F28" i="7"/>
  <c r="F42" i="7"/>
  <c r="F64" i="7"/>
  <c r="F30" i="7"/>
  <c r="F16" i="7"/>
  <c r="F22" i="7"/>
  <c r="F25" i="7"/>
  <c r="F32" i="7"/>
  <c r="F44" i="7"/>
  <c r="F29" i="7"/>
  <c r="F21" i="7"/>
  <c r="F46" i="7"/>
  <c r="F58" i="7"/>
  <c r="F53" i="7"/>
  <c r="F43" i="7"/>
  <c r="F35" i="7"/>
  <c r="F61" i="7"/>
  <c r="F39" i="7"/>
  <c r="F40" i="7"/>
  <c r="F55" i="7"/>
  <c r="F37" i="7"/>
  <c r="F41" i="7"/>
  <c r="F48" i="7"/>
  <c r="F63" i="7"/>
  <c r="F50" i="7"/>
  <c r="F56" i="7"/>
  <c r="F31" i="7"/>
  <c r="F27" i="7"/>
  <c r="A55" i="9" l="1"/>
  <c r="A55" i="10"/>
  <c r="A32" i="10"/>
  <c r="A32" i="9"/>
  <c r="A24" i="9"/>
  <c r="A24" i="10"/>
  <c r="A52" i="9"/>
  <c r="A52" i="10"/>
  <c r="A40" i="9"/>
  <c r="A40" i="10"/>
  <c r="A25" i="9"/>
  <c r="A25" i="10"/>
  <c r="A26" i="9"/>
  <c r="A26" i="10"/>
  <c r="A38" i="10"/>
  <c r="A38" i="9"/>
  <c r="A27" i="9"/>
  <c r="A27" i="10"/>
  <c r="A39" i="10"/>
  <c r="A39" i="9"/>
  <c r="A22" i="10"/>
  <c r="A22" i="9"/>
  <c r="A59" i="10"/>
  <c r="A59" i="9"/>
  <c r="A45" i="9"/>
  <c r="A45" i="10"/>
  <c r="A61" i="9"/>
  <c r="A61" i="10"/>
  <c r="A16" i="9"/>
  <c r="A16" i="10"/>
  <c r="A20" i="10"/>
  <c r="A20" i="9"/>
  <c r="A33" i="9"/>
  <c r="A33" i="10"/>
  <c r="A35" i="10"/>
  <c r="A35" i="9"/>
  <c r="A30" i="9"/>
  <c r="A30" i="10"/>
  <c r="A54" i="10"/>
  <c r="A54" i="9"/>
  <c r="A17" i="9"/>
  <c r="A17" i="10"/>
  <c r="A43" i="9"/>
  <c r="A43" i="10"/>
  <c r="A64" i="10"/>
  <c r="A64" i="9"/>
  <c r="A47" i="10"/>
  <c r="A47" i="9"/>
  <c r="A36" i="9"/>
  <c r="A36" i="10"/>
  <c r="A53" i="9"/>
  <c r="A53" i="10"/>
  <c r="A42" i="10"/>
  <c r="A42" i="9"/>
  <c r="A18" i="10"/>
  <c r="A18" i="9"/>
  <c r="A49" i="9"/>
  <c r="A49" i="10"/>
  <c r="A50" i="10"/>
  <c r="A50" i="9"/>
  <c r="A58" i="9"/>
  <c r="A58" i="10"/>
  <c r="A28" i="10"/>
  <c r="A28" i="9"/>
  <c r="A57" i="9"/>
  <c r="A57" i="10"/>
  <c r="A56" i="9"/>
  <c r="A56" i="10"/>
  <c r="A63" i="9"/>
  <c r="A63" i="10"/>
  <c r="A46" i="10"/>
  <c r="A46" i="9"/>
  <c r="A62" i="10"/>
  <c r="A62" i="9"/>
  <c r="A31" i="10"/>
  <c r="A31" i="9"/>
  <c r="A48" i="9"/>
  <c r="A48" i="10"/>
  <c r="A21" i="9"/>
  <c r="A21" i="10"/>
  <c r="A60" i="9"/>
  <c r="A60" i="10"/>
  <c r="A23" i="10"/>
  <c r="A23" i="9"/>
  <c r="A41" i="9"/>
  <c r="A41" i="10"/>
  <c r="A29" i="9"/>
  <c r="A29" i="10"/>
  <c r="A51" i="10"/>
  <c r="A51" i="9"/>
  <c r="A34" i="9"/>
  <c r="A34" i="10"/>
  <c r="A37" i="10"/>
  <c r="A37" i="9"/>
  <c r="A44" i="9"/>
  <c r="A44" i="10"/>
  <c r="A19" i="10"/>
  <c r="A19" i="9"/>
  <c r="AG22" i="13" l="1"/>
  <c r="AE12" i="13"/>
  <c r="AF19" i="13"/>
  <c r="AH18" i="13"/>
  <c r="AH22" i="13"/>
  <c r="AE19" i="13"/>
  <c r="AC20" i="13"/>
  <c r="AF22" i="13"/>
  <c r="AD23" i="13"/>
  <c r="AF20" i="13"/>
  <c r="AG16" i="13"/>
  <c r="AD19" i="13"/>
  <c r="AD17" i="13"/>
  <c r="AD22" i="13"/>
  <c r="AF16" i="13"/>
  <c r="AE22" i="13"/>
  <c r="AE18" i="13"/>
  <c r="AG19" i="13"/>
  <c r="AH12" i="13"/>
  <c r="AC22" i="13"/>
  <c r="AC19" i="13"/>
  <c r="AG18" i="13"/>
  <c r="AG23" i="13"/>
  <c r="AC12" i="13"/>
  <c r="AE16" i="13"/>
  <c r="AG12" i="13"/>
  <c r="AC21" i="13"/>
  <c r="AH16" i="13"/>
  <c r="AF21" i="13"/>
  <c r="AF17" i="13"/>
  <c r="AD16" i="13"/>
  <c r="AC16" i="13"/>
  <c r="AD21" i="13"/>
  <c r="AH20" i="13"/>
  <c r="AD20" i="13"/>
  <c r="AE14" i="13"/>
  <c r="M14" i="13" s="1"/>
  <c r="AH21" i="13"/>
  <c r="AE23" i="13"/>
  <c r="AF18" i="13"/>
  <c r="AE21" i="13"/>
  <c r="AH17" i="13"/>
  <c r="AH23" i="13"/>
  <c r="AF23" i="13"/>
  <c r="AH19" i="13"/>
  <c r="AE20" i="13"/>
  <c r="AD18" i="13"/>
  <c r="AC17" i="13"/>
  <c r="AC23" i="13"/>
  <c r="AH14" i="13"/>
  <c r="O14" i="13" s="1"/>
  <c r="AC18" i="13"/>
  <c r="AD12" i="13"/>
  <c r="AE17" i="13"/>
  <c r="AG17" i="13"/>
  <c r="AF12" i="13"/>
  <c r="AG21" i="13"/>
  <c r="AG20" i="13"/>
  <c r="N14" i="13" l="1"/>
  <c r="I131" i="8" l="1"/>
  <c r="N302" i="6" l="1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C53" i="10" l="1"/>
  <c r="C53" i="9"/>
  <c r="AH15" i="13" l="1"/>
  <c r="O15" i="13" s="1"/>
  <c r="AE15" i="13"/>
  <c r="M15" i="13" s="1"/>
  <c r="M28" i="13" s="1"/>
  <c r="V58" i="8"/>
  <c r="N15" i="13" l="1"/>
  <c r="O28" i="13"/>
  <c r="AD6" i="13" l="1"/>
  <c r="AE6" i="13" s="1"/>
  <c r="N28" i="13"/>
  <c r="E33" i="14" s="1"/>
  <c r="F33" i="14"/>
  <c r="AD88" i="8" l="1"/>
  <c r="Z82" i="8"/>
  <c r="W91" i="8"/>
  <c r="X91" i="8"/>
  <c r="U49" i="8"/>
  <c r="AD91" i="8"/>
  <c r="Z85" i="8"/>
  <c r="AC85" i="8"/>
  <c r="U52" i="8"/>
  <c r="AC91" i="8"/>
  <c r="AE34" i="8"/>
  <c r="AC34" i="8"/>
  <c r="X34" i="8"/>
  <c r="Y34" i="8"/>
  <c r="W34" i="8"/>
  <c r="AB34" i="8"/>
  <c r="AA34" i="8"/>
  <c r="V34" i="8"/>
  <c r="Z34" i="8"/>
  <c r="AD34" i="8"/>
  <c r="X25" i="8"/>
  <c r="AB25" i="8"/>
  <c r="AB82" i="8"/>
  <c r="AD25" i="8"/>
  <c r="AC88" i="8"/>
  <c r="V25" i="8"/>
  <c r="AC31" i="8" l="1"/>
  <c r="AA31" i="8"/>
  <c r="X31" i="8"/>
  <c r="Z31" i="8"/>
  <c r="Y31" i="8"/>
  <c r="V31" i="8"/>
  <c r="AE31" i="8"/>
  <c r="W31" i="8"/>
  <c r="AD31" i="8"/>
  <c r="AB31" i="8"/>
  <c r="I721" i="5" l="1"/>
  <c r="L301" i="12" l="1"/>
  <c r="J301" i="12"/>
  <c r="AE199" i="8"/>
  <c r="U199" i="8"/>
  <c r="W199" i="8"/>
  <c r="Z199" i="8"/>
  <c r="AA199" i="8"/>
  <c r="X199" i="8"/>
  <c r="AB199" i="8"/>
  <c r="AC199" i="8"/>
  <c r="Y199" i="8"/>
  <c r="X46" i="8"/>
  <c r="Y46" i="8"/>
  <c r="AA46" i="8"/>
  <c r="AD46" i="8"/>
  <c r="AE46" i="8"/>
  <c r="W46" i="8"/>
  <c r="AB46" i="8"/>
  <c r="AC46" i="8"/>
  <c r="Z46" i="8"/>
  <c r="AD67" i="8"/>
  <c r="AC67" i="8"/>
  <c r="V67" i="8"/>
  <c r="AE67" i="8"/>
  <c r="AB67" i="8"/>
  <c r="U67" i="8"/>
  <c r="AA67" i="8"/>
  <c r="Y67" i="8"/>
  <c r="AA79" i="8"/>
  <c r="AC79" i="8"/>
  <c r="Y79" i="8"/>
  <c r="AD79" i="8"/>
  <c r="W79" i="8"/>
  <c r="AE79" i="8"/>
  <c r="U79" i="8"/>
  <c r="AB79" i="8"/>
  <c r="V79" i="8"/>
  <c r="K301" i="12" l="1"/>
  <c r="AB15" i="11"/>
  <c r="N15" i="11" s="1"/>
  <c r="AG15" i="13"/>
  <c r="AD15" i="13"/>
  <c r="X196" i="8"/>
  <c r="Y43" i="8"/>
  <c r="Y196" i="8"/>
  <c r="AE76" i="8"/>
  <c r="AB43" i="8"/>
  <c r="AE43" i="8"/>
  <c r="AB196" i="8"/>
  <c r="AD76" i="8"/>
  <c r="AC43" i="8"/>
  <c r="V196" i="8"/>
  <c r="AA76" i="8"/>
  <c r="W43" i="8"/>
  <c r="AE196" i="8"/>
  <c r="U76" i="8"/>
  <c r="V76" i="8"/>
  <c r="Y76" i="8"/>
  <c r="Z43" i="8"/>
  <c r="W196" i="8"/>
  <c r="Z76" i="8"/>
  <c r="AB76" i="8"/>
  <c r="X43" i="8"/>
  <c r="U196" i="8"/>
  <c r="AD43" i="8"/>
  <c r="AA43" i="8"/>
  <c r="AC196" i="8"/>
  <c r="Z196" i="8"/>
  <c r="Z73" i="8" l="1"/>
  <c r="Z70" i="8" s="1"/>
  <c r="AB40" i="8"/>
  <c r="AA40" i="8"/>
  <c r="AD40" i="8"/>
  <c r="U193" i="8"/>
  <c r="U190" i="8" s="1"/>
  <c r="AC40" i="8"/>
  <c r="AA193" i="8"/>
  <c r="AA190" i="8" s="1"/>
  <c r="Y40" i="8"/>
  <c r="AA73" i="8"/>
  <c r="AA70" i="8" s="1"/>
  <c r="AE73" i="8"/>
  <c r="AE70" i="8" s="1"/>
  <c r="X40" i="8"/>
  <c r="AB193" i="8"/>
  <c r="AB190" i="8" s="1"/>
  <c r="W193" i="8"/>
  <c r="Y73" i="8"/>
  <c r="Y70" i="8" s="1"/>
  <c r="AE193" i="8"/>
  <c r="AE190" i="8" s="1"/>
  <c r="V73" i="8"/>
  <c r="V70" i="8" s="1"/>
  <c r="X193" i="8"/>
  <c r="X190" i="8" s="1"/>
  <c r="AE40" i="8"/>
  <c r="Z193" i="8"/>
  <c r="Z190" i="8" s="1"/>
  <c r="W40" i="8"/>
  <c r="AD73" i="8"/>
  <c r="AD70" i="8" s="1"/>
  <c r="AC193" i="8"/>
  <c r="AC190" i="8" s="1"/>
  <c r="AB73" i="8"/>
  <c r="Z40" i="8"/>
  <c r="U73" i="8"/>
  <c r="U70" i="8" s="1"/>
  <c r="V193" i="8"/>
  <c r="V190" i="8" s="1"/>
  <c r="AE187" i="8" l="1"/>
  <c r="AB187" i="8"/>
  <c r="V187" i="8"/>
  <c r="AD187" i="8"/>
  <c r="W187" i="8"/>
  <c r="AA187" i="8"/>
  <c r="X187" i="8"/>
  <c r="U187" i="8"/>
  <c r="Z187" i="8"/>
  <c r="Z64" i="8"/>
  <c r="AB64" i="8"/>
  <c r="AC64" i="8"/>
  <c r="AA64" i="8"/>
  <c r="AD55" i="8"/>
  <c r="AB55" i="8"/>
  <c r="AE64" i="8"/>
  <c r="AA55" i="8"/>
  <c r="X64" i="8"/>
  <c r="AC55" i="8"/>
  <c r="U55" i="8"/>
  <c r="AD64" i="8"/>
  <c r="AE55" i="8"/>
  <c r="Y64" i="8"/>
  <c r="X55" i="8"/>
  <c r="Z55" i="8"/>
  <c r="X184" i="8" l="1"/>
  <c r="AE184" i="8"/>
  <c r="W184" i="8"/>
  <c r="AD184" i="8"/>
  <c r="Y184" i="8"/>
  <c r="Z184" i="8"/>
  <c r="V184" i="8"/>
  <c r="U184" i="8"/>
  <c r="AB184" i="8"/>
  <c r="V232" i="8"/>
  <c r="AB148" i="8"/>
  <c r="AE232" i="8"/>
  <c r="AE115" i="8"/>
  <c r="AA115" i="8"/>
  <c r="Y61" i="8"/>
  <c r="X115" i="8"/>
  <c r="X61" i="8"/>
  <c r="Z61" i="8"/>
  <c r="AD115" i="8"/>
  <c r="V148" i="8"/>
  <c r="AE148" i="8"/>
  <c r="W148" i="8"/>
  <c r="AA232" i="8"/>
  <c r="Y115" i="8"/>
  <c r="AD61" i="8"/>
  <c r="Y232" i="8"/>
  <c r="Z115" i="8"/>
  <c r="W232" i="8"/>
  <c r="AE61" i="8"/>
  <c r="Z232" i="8"/>
  <c r="U115" i="8"/>
  <c r="AC61" i="8"/>
  <c r="AD148" i="8"/>
  <c r="Z148" i="8"/>
  <c r="U232" i="8"/>
  <c r="W115" i="8"/>
  <c r="X232" i="8"/>
  <c r="AC232" i="8"/>
  <c r="V115" i="8"/>
  <c r="AA61" i="8"/>
  <c r="AC115" i="8"/>
  <c r="AB61" i="8"/>
  <c r="Y148" i="8"/>
  <c r="AA148" i="8"/>
  <c r="U148" i="8"/>
  <c r="AA15" i="11" l="1"/>
  <c r="AF15" i="13"/>
  <c r="AC15" i="13"/>
  <c r="U181" i="8"/>
  <c r="W181" i="8"/>
  <c r="V181" i="8"/>
  <c r="AE181" i="8"/>
  <c r="Z181" i="8"/>
  <c r="Y181" i="8"/>
  <c r="AB181" i="8"/>
  <c r="AD181" i="8"/>
  <c r="X181" i="8"/>
  <c r="W112" i="8"/>
  <c r="AB229" i="8"/>
  <c r="AA112" i="8"/>
  <c r="AE112" i="8"/>
  <c r="V112" i="8"/>
  <c r="Y145" i="8"/>
  <c r="Z229" i="8"/>
  <c r="X112" i="8"/>
  <c r="AE229" i="8"/>
  <c r="U229" i="8"/>
  <c r="Y112" i="8"/>
  <c r="X145" i="8"/>
  <c r="AC229" i="8"/>
  <c r="AA229" i="8"/>
  <c r="AE145" i="8"/>
  <c r="AC112" i="8"/>
  <c r="Y229" i="8"/>
  <c r="V145" i="8"/>
  <c r="AB145" i="8"/>
  <c r="Z112" i="8"/>
  <c r="U145" i="8"/>
  <c r="W229" i="8"/>
  <c r="V229" i="8"/>
  <c r="U112" i="8"/>
  <c r="AD178" i="8" l="1"/>
  <c r="AE178" i="8"/>
  <c r="AB178" i="8"/>
  <c r="V178" i="8"/>
  <c r="Y178" i="8"/>
  <c r="AA178" i="8"/>
  <c r="X178" i="8"/>
  <c r="Z178" i="8"/>
  <c r="U178" i="8"/>
  <c r="AC259" i="8"/>
  <c r="Z259" i="8"/>
  <c r="U259" i="8"/>
  <c r="AB259" i="8"/>
  <c r="Y259" i="8"/>
  <c r="X259" i="8"/>
  <c r="AD259" i="8"/>
  <c r="AA259" i="8"/>
  <c r="V259" i="8"/>
  <c r="W259" i="8"/>
  <c r="U100" i="8"/>
  <c r="W226" i="8"/>
  <c r="X127" i="8"/>
  <c r="V142" i="8"/>
  <c r="Z100" i="8"/>
  <c r="AD142" i="8"/>
  <c r="AE127" i="8"/>
  <c r="V127" i="8"/>
  <c r="U127" i="8"/>
  <c r="Y142" i="8"/>
  <c r="U109" i="8"/>
  <c r="X226" i="8"/>
  <c r="AE142" i="8"/>
  <c r="AD94" i="8"/>
  <c r="AB142" i="8"/>
  <c r="AA226" i="8"/>
  <c r="AC109" i="8"/>
  <c r="AE226" i="8"/>
  <c r="V226" i="8"/>
  <c r="AC127" i="8"/>
  <c r="Y109" i="8"/>
  <c r="U142" i="8"/>
  <c r="Y226" i="8"/>
  <c r="W100" i="8"/>
  <c r="X100" i="8"/>
  <c r="AA94" i="8"/>
  <c r="AE94" i="8"/>
  <c r="Z226" i="8"/>
  <c r="W142" i="8"/>
  <c r="W109" i="8"/>
  <c r="AC94" i="8"/>
  <c r="X109" i="8"/>
  <c r="V109" i="8"/>
  <c r="Z127" i="8"/>
  <c r="AE100" i="8"/>
  <c r="AD127" i="8"/>
  <c r="AA142" i="8"/>
  <c r="V100" i="8"/>
  <c r="Z142" i="8"/>
  <c r="AA127" i="8"/>
  <c r="AE109" i="8"/>
  <c r="W127" i="8"/>
  <c r="Z109" i="8"/>
  <c r="AB100" i="8"/>
  <c r="AC100" i="8"/>
  <c r="AC226" i="8"/>
  <c r="U226" i="8"/>
  <c r="AA109" i="8"/>
  <c r="AA256" i="8" l="1"/>
  <c r="Y256" i="8"/>
  <c r="AD256" i="8"/>
  <c r="AB256" i="8"/>
  <c r="U256" i="8"/>
  <c r="X256" i="8"/>
  <c r="Z256" i="8"/>
  <c r="W256" i="8"/>
  <c r="AC256" i="8"/>
  <c r="V256" i="8"/>
  <c r="U223" i="8"/>
  <c r="AA106" i="8"/>
  <c r="Z124" i="8"/>
  <c r="AC124" i="8"/>
  <c r="AD97" i="8"/>
  <c r="U106" i="8"/>
  <c r="V124" i="8"/>
  <c r="V139" i="8"/>
  <c r="W124" i="8"/>
  <c r="W106" i="8"/>
  <c r="AE106" i="8"/>
  <c r="V223" i="8"/>
  <c r="AA139" i="8"/>
  <c r="W139" i="8"/>
  <c r="AE124" i="8"/>
  <c r="AA124" i="8"/>
  <c r="V106" i="8"/>
  <c r="Z223" i="8"/>
  <c r="Y223" i="8"/>
  <c r="AE223" i="8"/>
  <c r="AD139" i="8"/>
  <c r="X124" i="8"/>
  <c r="AD124" i="8"/>
  <c r="Y106" i="8"/>
  <c r="U139" i="8"/>
  <c r="X139" i="8"/>
  <c r="AE139" i="8"/>
  <c r="Y139" i="8"/>
  <c r="X106" i="8"/>
  <c r="X97" i="8"/>
  <c r="AC106" i="8"/>
  <c r="AA223" i="8"/>
  <c r="U124" i="8"/>
  <c r="Z97" i="8"/>
  <c r="W223" i="8"/>
  <c r="AE97" i="8"/>
  <c r="AC223" i="8"/>
  <c r="V97" i="8"/>
  <c r="AC97" i="8"/>
  <c r="AB139" i="8"/>
  <c r="X223" i="8"/>
  <c r="U97" i="8"/>
  <c r="AB97" i="8"/>
  <c r="W97" i="8"/>
  <c r="AC253" i="8" l="1"/>
  <c r="AB253" i="8"/>
  <c r="W253" i="8"/>
  <c r="AD253" i="8"/>
  <c r="Z253" i="8"/>
  <c r="Y253" i="8"/>
  <c r="AA253" i="8"/>
  <c r="X253" i="8"/>
  <c r="U253" i="8"/>
  <c r="V253" i="8"/>
  <c r="W163" i="8"/>
  <c r="Y121" i="8"/>
  <c r="X121" i="8"/>
  <c r="AD163" i="8"/>
  <c r="AC121" i="8"/>
  <c r="W220" i="8"/>
  <c r="AE163" i="8"/>
  <c r="AA121" i="8"/>
  <c r="AE103" i="8"/>
  <c r="U121" i="8"/>
  <c r="U136" i="8"/>
  <c r="W136" i="8"/>
  <c r="V136" i="8"/>
  <c r="V163" i="8"/>
  <c r="X103" i="8"/>
  <c r="AD136" i="8"/>
  <c r="Y163" i="8"/>
  <c r="Z136" i="8"/>
  <c r="AE220" i="8"/>
  <c r="AA136" i="8"/>
  <c r="U163" i="8"/>
  <c r="Z121" i="8"/>
  <c r="AE121" i="8"/>
  <c r="V121" i="8"/>
  <c r="AC220" i="8"/>
  <c r="AA220" i="8"/>
  <c r="Y220" i="8"/>
  <c r="W103" i="8"/>
  <c r="U103" i="8"/>
  <c r="Z163" i="8"/>
  <c r="AA163" i="8"/>
  <c r="AB163" i="8"/>
  <c r="Y136" i="8"/>
  <c r="AC136" i="8"/>
  <c r="AB220" i="8"/>
  <c r="Y103" i="8"/>
  <c r="V220" i="8"/>
  <c r="AD103" i="8"/>
  <c r="AE136" i="8"/>
  <c r="Z220" i="8"/>
  <c r="AA103" i="8"/>
  <c r="AD121" i="8"/>
  <c r="U220" i="8"/>
  <c r="X163" i="8"/>
  <c r="V103" i="8"/>
  <c r="X250" i="8" l="1"/>
  <c r="W250" i="8"/>
  <c r="AA250" i="8"/>
  <c r="AB250" i="8"/>
  <c r="Y250" i="8"/>
  <c r="V250" i="8"/>
  <c r="Z250" i="8"/>
  <c r="AC250" i="8"/>
  <c r="U250" i="8"/>
  <c r="AD250" i="8"/>
  <c r="AE118" i="8"/>
  <c r="Z133" i="8"/>
  <c r="V160" i="8"/>
  <c r="AC118" i="8"/>
  <c r="AC133" i="8"/>
  <c r="AD160" i="8"/>
  <c r="AA217" i="8"/>
  <c r="Y160" i="8"/>
  <c r="V133" i="8"/>
  <c r="X118" i="8"/>
  <c r="AE133" i="8"/>
  <c r="AD118" i="8"/>
  <c r="Y133" i="8"/>
  <c r="Z118" i="8"/>
  <c r="AA118" i="8"/>
  <c r="V217" i="8"/>
  <c r="U160" i="8"/>
  <c r="W133" i="8"/>
  <c r="Y118" i="8"/>
  <c r="Y217" i="8"/>
  <c r="Z160" i="8"/>
  <c r="AB160" i="8"/>
  <c r="AC217" i="8"/>
  <c r="AD133" i="8"/>
  <c r="AE160" i="8"/>
  <c r="AA160" i="8"/>
  <c r="AA133" i="8"/>
  <c r="U133" i="8"/>
  <c r="W160" i="8"/>
  <c r="X217" i="8"/>
  <c r="U217" i="8"/>
  <c r="U118" i="8"/>
  <c r="Z217" i="8"/>
  <c r="V118" i="8"/>
  <c r="AE217" i="8"/>
  <c r="W217" i="8"/>
  <c r="Z247" i="8" l="1"/>
  <c r="V247" i="8"/>
  <c r="AA247" i="8"/>
  <c r="W247" i="8"/>
  <c r="AD247" i="8"/>
  <c r="Y247" i="8"/>
  <c r="X247" i="8"/>
  <c r="U247" i="8"/>
  <c r="AB247" i="8"/>
  <c r="AC247" i="8"/>
  <c r="AC214" i="8"/>
  <c r="U157" i="8"/>
  <c r="AA214" i="8"/>
  <c r="Y157" i="8"/>
  <c r="Z214" i="8"/>
  <c r="V214" i="8"/>
  <c r="X157" i="8"/>
  <c r="AB214" i="8"/>
  <c r="Z157" i="8"/>
  <c r="W214" i="8"/>
  <c r="W157" i="8"/>
  <c r="Y214" i="8"/>
  <c r="V157" i="8"/>
  <c r="AE157" i="8"/>
  <c r="AD157" i="8"/>
  <c r="AE214" i="8"/>
  <c r="U214" i="8"/>
  <c r="AD244" i="8" l="1"/>
  <c r="AC244" i="8"/>
  <c r="W244" i="8"/>
  <c r="AB244" i="8"/>
  <c r="U244" i="8"/>
  <c r="AA244" i="8"/>
  <c r="X244" i="8"/>
  <c r="V244" i="8"/>
  <c r="Y244" i="8"/>
  <c r="Z244" i="8"/>
  <c r="AC211" i="8"/>
  <c r="AC208" i="8" s="1"/>
  <c r="W211" i="8"/>
  <c r="W208" i="8" s="1"/>
  <c r="AE211" i="8"/>
  <c r="AE208" i="8" s="1"/>
  <c r="V211" i="8"/>
  <c r="V208" i="8" s="1"/>
  <c r="AA211" i="8"/>
  <c r="AA208" i="8" s="1"/>
  <c r="Y211" i="8"/>
  <c r="Y208" i="8" s="1"/>
  <c r="Z211" i="8"/>
  <c r="Z208" i="8" s="1"/>
  <c r="U211" i="8"/>
  <c r="U208" i="8" s="1"/>
  <c r="AB211" i="8"/>
  <c r="Y154" i="8"/>
  <c r="Y151" i="8" s="1"/>
  <c r="AB154" i="8"/>
  <c r="AB151" i="8" s="1"/>
  <c r="V154" i="8"/>
  <c r="V151" i="8" s="1"/>
  <c r="X154" i="8"/>
  <c r="X151" i="8" s="1"/>
  <c r="AD154" i="8"/>
  <c r="W154" i="8"/>
  <c r="W151" i="8" s="1"/>
  <c r="Z154" i="8"/>
  <c r="Z151" i="8" s="1"/>
  <c r="AE154" i="8"/>
  <c r="AE151" i="8" s="1"/>
  <c r="U154" i="8"/>
  <c r="U151" i="8" s="1"/>
  <c r="U241" i="8" l="1"/>
  <c r="Y241" i="8"/>
  <c r="AB241" i="8"/>
  <c r="V241" i="8"/>
  <c r="W241" i="8"/>
  <c r="AC241" i="8"/>
  <c r="X241" i="8"/>
  <c r="Z241" i="8"/>
  <c r="AA241" i="8"/>
  <c r="AD241" i="8"/>
  <c r="Y205" i="8"/>
  <c r="AE205" i="8"/>
  <c r="AA205" i="8"/>
  <c r="AB205" i="8"/>
  <c r="V205" i="8"/>
  <c r="AC205" i="8"/>
  <c r="U205" i="8"/>
  <c r="X205" i="8"/>
  <c r="Z205" i="8"/>
  <c r="U175" i="8"/>
  <c r="X175" i="8"/>
  <c r="V130" i="8"/>
  <c r="V175" i="8"/>
  <c r="AD175" i="8"/>
  <c r="Y175" i="8"/>
  <c r="AE175" i="8"/>
  <c r="Z175" i="8"/>
  <c r="Y130" i="8"/>
  <c r="W175" i="8"/>
  <c r="U130" i="8"/>
  <c r="AB175" i="8"/>
  <c r="Z202" i="8" l="1"/>
  <c r="AB202" i="8"/>
  <c r="AA238" i="8"/>
  <c r="AB238" i="8"/>
  <c r="W202" i="8"/>
  <c r="Z238" i="8"/>
  <c r="Y238" i="8"/>
  <c r="X238" i="8"/>
  <c r="U202" i="8"/>
  <c r="AE202" i="8"/>
  <c r="AC238" i="8"/>
  <c r="Y202" i="8"/>
  <c r="W238" i="8"/>
  <c r="U238" i="8"/>
  <c r="AC202" i="8"/>
  <c r="AD238" i="8"/>
  <c r="V202" i="8"/>
  <c r="V238" i="8"/>
  <c r="AE172" i="8"/>
  <c r="V172" i="8"/>
  <c r="V169" i="8" s="1"/>
  <c r="Y172" i="8"/>
  <c r="Y169" i="8" s="1"/>
  <c r="X172" i="8"/>
  <c r="AD172" i="8"/>
  <c r="AA172" i="8"/>
  <c r="U172" i="8"/>
  <c r="AB172" i="8"/>
  <c r="Z172" i="8"/>
  <c r="AE130" i="8"/>
  <c r="AC130" i="8"/>
  <c r="Z130" i="8"/>
  <c r="AA130" i="8"/>
  <c r="W130" i="8"/>
  <c r="AD130" i="8"/>
  <c r="AD235" i="8" l="1"/>
  <c r="X235" i="8"/>
  <c r="AB235" i="8"/>
  <c r="AC235" i="8"/>
  <c r="AA235" i="8"/>
  <c r="V235" i="8"/>
  <c r="U235" i="8"/>
  <c r="Y235" i="8"/>
  <c r="W235" i="8"/>
  <c r="Z235" i="8"/>
  <c r="Y166" i="8"/>
  <c r="V166" i="8"/>
  <c r="AD169" i="8"/>
  <c r="X169" i="8"/>
  <c r="Z169" i="8"/>
  <c r="AB169" i="8"/>
  <c r="U169" i="8"/>
  <c r="AA169" i="8"/>
  <c r="AE169" i="8"/>
  <c r="AA166" i="8" l="1"/>
  <c r="U166" i="8"/>
  <c r="X166" i="8"/>
  <c r="AE166" i="8"/>
  <c r="AD166" i="8"/>
  <c r="W166" i="8"/>
  <c r="AB166" i="8"/>
  <c r="AA151" i="8" l="1"/>
  <c r="X208" i="8" l="1"/>
  <c r="Y25" i="8"/>
  <c r="W25" i="8"/>
  <c r="AA25" i="8"/>
  <c r="Y190" i="8"/>
  <c r="Z25" i="8"/>
  <c r="AC25" i="8"/>
  <c r="AC70" i="8"/>
  <c r="AE25" i="8"/>
  <c r="O15" i="11" l="1"/>
  <c r="W15" i="11" l="1"/>
  <c r="L15" i="13"/>
  <c r="C15" i="11"/>
  <c r="U15" i="13"/>
  <c r="S15" i="13"/>
  <c r="Z15" i="11"/>
  <c r="R15" i="13"/>
  <c r="T15" i="13"/>
  <c r="D15" i="13" l="1"/>
  <c r="P15" i="13"/>
  <c r="AP367" i="6" l="1"/>
  <c r="AU367" i="6"/>
  <c r="AS367" i="6"/>
  <c r="AY367" i="6"/>
  <c r="AW367" i="6"/>
  <c r="AV367" i="6"/>
  <c r="BA367" i="6"/>
  <c r="AX367" i="6"/>
  <c r="AT367" i="6"/>
  <c r="AO367" i="6"/>
  <c r="AL367" i="6"/>
  <c r="AM367" i="6"/>
  <c r="AZ367" i="6"/>
  <c r="AN367" i="6"/>
  <c r="AQ367" i="6"/>
  <c r="AK367" i="6"/>
  <c r="AR367" i="6"/>
  <c r="AZ302" i="6"/>
  <c r="AW302" i="6"/>
  <c r="AR302" i="6"/>
  <c r="AP302" i="6"/>
  <c r="AT302" i="6"/>
  <c r="AL302" i="6"/>
  <c r="AX302" i="6"/>
  <c r="AK302" i="6"/>
  <c r="AS302" i="6"/>
  <c r="BA302" i="6"/>
  <c r="AV302" i="6"/>
  <c r="AM302" i="6"/>
  <c r="AY302" i="6"/>
  <c r="AQ302" i="6"/>
  <c r="AO302" i="6"/>
  <c r="AU302" i="6"/>
  <c r="AN302" i="6"/>
  <c r="AZ352" i="6"/>
  <c r="AO352" i="6"/>
  <c r="AK352" i="6"/>
  <c r="AM352" i="6"/>
  <c r="AW352" i="6"/>
  <c r="AY352" i="6"/>
  <c r="AL352" i="6"/>
  <c r="AX352" i="6"/>
  <c r="AP352" i="6"/>
  <c r="BA352" i="6"/>
  <c r="AV352" i="6"/>
  <c r="AN352" i="6"/>
  <c r="AU352" i="6"/>
  <c r="AQ352" i="6"/>
  <c r="AS352" i="6"/>
  <c r="AR352" i="6"/>
  <c r="AT352" i="6"/>
  <c r="AO104" i="6"/>
  <c r="AK104" i="6"/>
  <c r="AY104" i="6"/>
  <c r="AN104" i="6"/>
  <c r="AU104" i="6"/>
  <c r="AT104" i="6"/>
  <c r="AL104" i="6"/>
  <c r="AZ104" i="6"/>
  <c r="AS104" i="6"/>
  <c r="BA104" i="6"/>
  <c r="AW104" i="6"/>
  <c r="AP104" i="6"/>
  <c r="AQ104" i="6"/>
  <c r="AR104" i="6"/>
  <c r="AX104" i="6"/>
  <c r="AV104" i="6"/>
  <c r="AM104" i="6"/>
  <c r="AT427" i="6"/>
  <c r="AW427" i="6"/>
  <c r="AV427" i="6"/>
  <c r="AO427" i="6"/>
  <c r="AR427" i="6"/>
  <c r="AL427" i="6"/>
  <c r="BA427" i="6"/>
  <c r="AS427" i="6"/>
  <c r="AZ427" i="6"/>
  <c r="AK427" i="6"/>
  <c r="AQ427" i="6"/>
  <c r="AX427" i="6"/>
  <c r="AP427" i="6"/>
  <c r="AM427" i="6"/>
  <c r="AN427" i="6"/>
  <c r="AU427" i="6"/>
  <c r="AY427" i="6"/>
  <c r="AV539" i="6"/>
  <c r="AR539" i="6"/>
  <c r="AK539" i="6"/>
  <c r="AT539" i="6"/>
  <c r="BA539" i="6"/>
  <c r="AS539" i="6"/>
  <c r="AY539" i="6"/>
  <c r="AL539" i="6"/>
  <c r="AQ539" i="6"/>
  <c r="AM539" i="6"/>
  <c r="AP539" i="6"/>
  <c r="AX539" i="6"/>
  <c r="AN539" i="6"/>
  <c r="AW539" i="6"/>
  <c r="AO539" i="6"/>
  <c r="AU539" i="6"/>
  <c r="AZ539" i="6"/>
  <c r="AK590" i="6"/>
  <c r="AR590" i="6"/>
  <c r="AO590" i="6"/>
  <c r="AU590" i="6"/>
  <c r="AM590" i="6"/>
  <c r="AW590" i="6"/>
  <c r="AZ590" i="6"/>
  <c r="AX590" i="6"/>
  <c r="AQ590" i="6"/>
  <c r="AN590" i="6"/>
  <c r="AT590" i="6"/>
  <c r="AY590" i="6"/>
  <c r="AL590" i="6"/>
  <c r="BA590" i="6"/>
  <c r="AS590" i="6"/>
  <c r="AV590" i="6"/>
  <c r="AP590" i="6"/>
  <c r="AO93" i="6"/>
  <c r="AL93" i="6"/>
  <c r="AQ93" i="6"/>
  <c r="AV93" i="6"/>
  <c r="BA93" i="6"/>
  <c r="AT93" i="6"/>
  <c r="AW93" i="6"/>
  <c r="AZ93" i="6"/>
  <c r="AX93" i="6"/>
  <c r="AN93" i="6"/>
  <c r="AU93" i="6"/>
  <c r="AP93" i="6"/>
  <c r="AM93" i="6"/>
  <c r="AS93" i="6"/>
  <c r="AK93" i="6"/>
  <c r="AY93" i="6"/>
  <c r="AR93" i="6"/>
  <c r="AK66" i="6"/>
  <c r="BA66" i="6"/>
  <c r="AW66" i="6"/>
  <c r="AU66" i="6"/>
  <c r="AR66" i="6"/>
  <c r="AV66" i="6"/>
  <c r="AY66" i="6"/>
  <c r="AP66" i="6"/>
  <c r="AT66" i="6"/>
  <c r="AL66" i="6"/>
  <c r="AN66" i="6"/>
  <c r="AO66" i="6"/>
  <c r="AS66" i="6"/>
  <c r="AQ66" i="6"/>
  <c r="AM66" i="6"/>
  <c r="AZ66" i="6"/>
  <c r="AX66" i="6"/>
  <c r="AS448" i="6"/>
  <c r="AX448" i="6"/>
  <c r="AM448" i="6"/>
  <c r="AQ448" i="6"/>
  <c r="AN448" i="6"/>
  <c r="BA448" i="6"/>
  <c r="AZ448" i="6"/>
  <c r="AL448" i="6"/>
  <c r="AP448" i="6"/>
  <c r="AV448" i="6"/>
  <c r="AY448" i="6"/>
  <c r="AR448" i="6"/>
  <c r="AU448" i="6"/>
  <c r="AK448" i="6"/>
  <c r="AO448" i="6"/>
  <c r="AT448" i="6"/>
  <c r="AW448" i="6"/>
  <c r="AQ109" i="6"/>
  <c r="AV109" i="6"/>
  <c r="AR109" i="6"/>
  <c r="AS109" i="6"/>
  <c r="AO109" i="6"/>
  <c r="AM109" i="6"/>
  <c r="AW109" i="6"/>
  <c r="AL109" i="6"/>
  <c r="AU109" i="6"/>
  <c r="AZ109" i="6"/>
  <c r="BA109" i="6"/>
  <c r="AP109" i="6"/>
  <c r="AN109" i="6"/>
  <c r="AX109" i="6"/>
  <c r="AT109" i="6"/>
  <c r="AY109" i="6"/>
  <c r="AK109" i="6"/>
  <c r="AK262" i="6"/>
  <c r="BA262" i="6"/>
  <c r="AY262" i="6"/>
  <c r="AP262" i="6"/>
  <c r="AZ262" i="6"/>
  <c r="AL262" i="6"/>
  <c r="AN262" i="6"/>
  <c r="AM262" i="6"/>
  <c r="AS262" i="6"/>
  <c r="AQ262" i="6"/>
  <c r="AO262" i="6"/>
  <c r="AW262" i="6"/>
  <c r="AT262" i="6"/>
  <c r="AX262" i="6"/>
  <c r="AR262" i="6"/>
  <c r="AV262" i="6"/>
  <c r="AU262" i="6"/>
  <c r="AQ357" i="6"/>
  <c r="AU357" i="6"/>
  <c r="AM357" i="6"/>
  <c r="AR357" i="6"/>
  <c r="AP357" i="6"/>
  <c r="AL357" i="6"/>
  <c r="AY357" i="6"/>
  <c r="AK357" i="6"/>
  <c r="AV357" i="6"/>
  <c r="AT357" i="6"/>
  <c r="AO357" i="6"/>
  <c r="AW357" i="6"/>
  <c r="AN357" i="6"/>
  <c r="AS357" i="6"/>
  <c r="BA357" i="6"/>
  <c r="AX357" i="6"/>
  <c r="AZ357" i="6"/>
  <c r="AY611" i="6"/>
  <c r="AL611" i="6"/>
  <c r="AO611" i="6"/>
  <c r="AW611" i="6"/>
  <c r="AP611" i="6"/>
  <c r="AR611" i="6"/>
  <c r="AU611" i="6"/>
  <c r="AN611" i="6"/>
  <c r="AK611" i="6"/>
  <c r="AT611" i="6"/>
  <c r="AM611" i="6"/>
  <c r="AX611" i="6"/>
  <c r="BA611" i="6"/>
  <c r="AV611" i="6"/>
  <c r="AS611" i="6"/>
  <c r="AQ611" i="6"/>
  <c r="AZ611" i="6"/>
  <c r="AP292" i="6"/>
  <c r="AS292" i="6"/>
  <c r="AV292" i="6"/>
  <c r="AL292" i="6"/>
  <c r="AN292" i="6"/>
  <c r="BA292" i="6"/>
  <c r="AM292" i="6"/>
  <c r="AO292" i="6"/>
  <c r="AW292" i="6"/>
  <c r="AX292" i="6"/>
  <c r="AU292" i="6"/>
  <c r="AZ292" i="6"/>
  <c r="AQ292" i="6"/>
  <c r="AT292" i="6"/>
  <c r="AK292" i="6"/>
  <c r="AY292" i="6"/>
  <c r="AR292" i="6"/>
  <c r="AO290" i="6"/>
  <c r="AR290" i="6"/>
  <c r="AP290" i="6"/>
  <c r="AZ290" i="6"/>
  <c r="AN290" i="6"/>
  <c r="BA290" i="6"/>
  <c r="AT290" i="6"/>
  <c r="AQ290" i="6"/>
  <c r="AK290" i="6"/>
  <c r="AV290" i="6"/>
  <c r="AU290" i="6"/>
  <c r="AW290" i="6"/>
  <c r="AS290" i="6"/>
  <c r="AX290" i="6"/>
  <c r="AY290" i="6"/>
  <c r="AL290" i="6"/>
  <c r="AM290" i="6"/>
  <c r="AN202" i="6"/>
  <c r="AZ202" i="6"/>
  <c r="AK202" i="6"/>
  <c r="AO202" i="6"/>
  <c r="AM202" i="6"/>
  <c r="AL202" i="6"/>
  <c r="AT202" i="6"/>
  <c r="AR202" i="6"/>
  <c r="AX202" i="6"/>
  <c r="AP202" i="6"/>
  <c r="AS202" i="6"/>
  <c r="AY202" i="6"/>
  <c r="AV202" i="6"/>
  <c r="AQ202" i="6"/>
  <c r="BA202" i="6"/>
  <c r="AW202" i="6"/>
  <c r="AU202" i="6"/>
  <c r="AO289" i="6"/>
  <c r="AR289" i="6"/>
  <c r="BA289" i="6"/>
  <c r="AT289" i="6"/>
  <c r="AV289" i="6"/>
  <c r="AU289" i="6"/>
  <c r="AQ289" i="6"/>
  <c r="AW289" i="6"/>
  <c r="AZ289" i="6"/>
  <c r="AX289" i="6"/>
  <c r="AM289" i="6"/>
  <c r="AS289" i="6"/>
  <c r="AY289" i="6"/>
  <c r="AN289" i="6"/>
  <c r="AL289" i="6"/>
  <c r="AK289" i="6"/>
  <c r="AP289" i="6"/>
  <c r="AX379" i="6"/>
  <c r="AS379" i="6"/>
  <c r="BA379" i="6"/>
  <c r="AU379" i="6"/>
  <c r="AQ379" i="6"/>
  <c r="AM379" i="6"/>
  <c r="AO379" i="6"/>
  <c r="AW379" i="6"/>
  <c r="AV379" i="6"/>
  <c r="AN379" i="6"/>
  <c r="AR379" i="6"/>
  <c r="AT379" i="6"/>
  <c r="AL379" i="6"/>
  <c r="AZ379" i="6"/>
  <c r="AY379" i="6"/>
  <c r="AK379" i="6"/>
  <c r="AP379" i="6"/>
  <c r="AW84" i="6"/>
  <c r="AM84" i="6"/>
  <c r="AU84" i="6"/>
  <c r="AO84" i="6"/>
  <c r="AL84" i="6"/>
  <c r="AR84" i="6"/>
  <c r="BA84" i="6"/>
  <c r="AT84" i="6"/>
  <c r="AS84" i="6"/>
  <c r="AZ84" i="6"/>
  <c r="AP84" i="6"/>
  <c r="AN84" i="6"/>
  <c r="AQ84" i="6"/>
  <c r="AX84" i="6"/>
  <c r="AK84" i="6"/>
  <c r="AV84" i="6"/>
  <c r="AY84" i="6"/>
  <c r="BA55" i="6"/>
  <c r="AT55" i="6"/>
  <c r="AR55" i="6"/>
  <c r="AY55" i="6"/>
  <c r="AV55" i="6"/>
  <c r="AZ55" i="6"/>
  <c r="AP55" i="6"/>
  <c r="AM55" i="6"/>
  <c r="AL55" i="6"/>
  <c r="AQ55" i="6"/>
  <c r="AO55" i="6"/>
  <c r="AW55" i="6"/>
  <c r="AX55" i="6"/>
  <c r="AK55" i="6"/>
  <c r="AU55" i="6"/>
  <c r="AS55" i="6"/>
  <c r="AN55" i="6"/>
  <c r="AL26" i="6"/>
  <c r="AZ26" i="6"/>
  <c r="AX26" i="6"/>
  <c r="AS26" i="6"/>
  <c r="AV26" i="6"/>
  <c r="AW26" i="6"/>
  <c r="AU26" i="6"/>
  <c r="AQ26" i="6"/>
  <c r="AY26" i="6"/>
  <c r="AO26" i="6"/>
  <c r="AT26" i="6"/>
  <c r="AP26" i="6"/>
  <c r="AR26" i="6"/>
  <c r="AM26" i="6"/>
  <c r="AK26" i="6"/>
  <c r="AN26" i="6"/>
  <c r="BA26" i="6"/>
  <c r="AW413" i="6"/>
  <c r="AQ413" i="6"/>
  <c r="AM413" i="6"/>
  <c r="AX413" i="6"/>
  <c r="AS413" i="6"/>
  <c r="AK413" i="6"/>
  <c r="BA413" i="6"/>
  <c r="AN413" i="6"/>
  <c r="AR413" i="6"/>
  <c r="AT413" i="6"/>
  <c r="AP413" i="6"/>
  <c r="AY413" i="6"/>
  <c r="AV413" i="6"/>
  <c r="AL413" i="6"/>
  <c r="AZ413" i="6"/>
  <c r="AU413" i="6"/>
  <c r="AO413" i="6"/>
  <c r="AK102" i="6"/>
  <c r="U61" i="8" s="1"/>
  <c r="AO102" i="6"/>
  <c r="AS102" i="6"/>
  <c r="AL102" i="6"/>
  <c r="V61" i="8" s="1"/>
  <c r="AM102" i="6"/>
  <c r="AT102" i="6"/>
  <c r="AR102" i="6"/>
  <c r="AV102" i="6"/>
  <c r="BA102" i="6"/>
  <c r="AW102" i="6"/>
  <c r="AQ102" i="6"/>
  <c r="AN102" i="6"/>
  <c r="AP102" i="6"/>
  <c r="AU102" i="6"/>
  <c r="AX102" i="6"/>
  <c r="AZ102" i="6"/>
  <c r="AY102" i="6"/>
  <c r="BA46" i="6"/>
  <c r="AZ46" i="6"/>
  <c r="AX46" i="6"/>
  <c r="AP46" i="6"/>
  <c r="AV46" i="6"/>
  <c r="AS46" i="6"/>
  <c r="AO46" i="6"/>
  <c r="AU46" i="6"/>
  <c r="AN46" i="6"/>
  <c r="AQ46" i="6"/>
  <c r="AM46" i="6"/>
  <c r="AT46" i="6"/>
  <c r="AK46" i="6"/>
  <c r="AW46" i="6"/>
  <c r="AY46" i="6"/>
  <c r="AL46" i="6"/>
  <c r="AR46" i="6"/>
  <c r="AQ417" i="6"/>
  <c r="AS417" i="6"/>
  <c r="AM417" i="6"/>
  <c r="AP417" i="6"/>
  <c r="AY417" i="6"/>
  <c r="AL417" i="6"/>
  <c r="AV417" i="6"/>
  <c r="AU417" i="6"/>
  <c r="BA417" i="6"/>
  <c r="AT417" i="6"/>
  <c r="AK417" i="6"/>
  <c r="AZ417" i="6"/>
  <c r="AX417" i="6"/>
  <c r="AR417" i="6"/>
  <c r="AO417" i="6"/>
  <c r="AN417" i="6"/>
  <c r="AW417" i="6"/>
  <c r="AL272" i="6"/>
  <c r="AK272" i="6"/>
  <c r="AY272" i="6"/>
  <c r="AT272" i="6"/>
  <c r="AS272" i="6"/>
  <c r="AQ272" i="6"/>
  <c r="AZ272" i="6"/>
  <c r="AP272" i="6"/>
  <c r="AM272" i="6"/>
  <c r="AO272" i="6"/>
  <c r="AN272" i="6"/>
  <c r="AV272" i="6"/>
  <c r="AW272" i="6"/>
  <c r="AR272" i="6"/>
  <c r="AU272" i="6"/>
  <c r="BA272" i="6"/>
  <c r="AX272" i="6"/>
  <c r="AS551" i="6"/>
  <c r="AN551" i="6"/>
  <c r="AU551" i="6"/>
  <c r="AZ551" i="6"/>
  <c r="AT551" i="6"/>
  <c r="AQ551" i="6"/>
  <c r="AY551" i="6"/>
  <c r="BA551" i="6"/>
  <c r="AK551" i="6"/>
  <c r="AL551" i="6"/>
  <c r="AX551" i="6"/>
  <c r="AV551" i="6"/>
  <c r="AW551" i="6"/>
  <c r="AP551" i="6"/>
  <c r="AR551" i="6"/>
  <c r="AM551" i="6"/>
  <c r="AO551" i="6"/>
  <c r="AV35" i="6"/>
  <c r="AX35" i="6"/>
  <c r="AP35" i="6"/>
  <c r="AK35" i="6"/>
  <c r="AQ35" i="6"/>
  <c r="AR35" i="6"/>
  <c r="AU35" i="6"/>
  <c r="AM35" i="6"/>
  <c r="AZ35" i="6"/>
  <c r="BA35" i="6"/>
  <c r="AW35" i="6"/>
  <c r="AO35" i="6"/>
  <c r="AN35" i="6"/>
  <c r="AL35" i="6"/>
  <c r="AT35" i="6"/>
  <c r="AS35" i="6"/>
  <c r="AY35" i="6"/>
  <c r="AO112" i="6"/>
  <c r="AT112" i="6"/>
  <c r="AN112" i="6"/>
  <c r="AZ112" i="6"/>
  <c r="AP112" i="6"/>
  <c r="AR112" i="6"/>
  <c r="AL112" i="6"/>
  <c r="AY112" i="6"/>
  <c r="AW112" i="6"/>
  <c r="AV112" i="6"/>
  <c r="AU112" i="6"/>
  <c r="AS112" i="6"/>
  <c r="AX112" i="6"/>
  <c r="BA112" i="6"/>
  <c r="AQ112" i="6"/>
  <c r="AK112" i="6"/>
  <c r="AM112" i="6"/>
  <c r="AO276" i="6"/>
  <c r="AZ276" i="6"/>
  <c r="AK276" i="6"/>
  <c r="AL276" i="6"/>
  <c r="AR276" i="6"/>
  <c r="AY276" i="6"/>
  <c r="AM276" i="6"/>
  <c r="AX276" i="6"/>
  <c r="AW276" i="6"/>
  <c r="AV276" i="6"/>
  <c r="AN276" i="6"/>
  <c r="AT276" i="6"/>
  <c r="AS276" i="6"/>
  <c r="AQ276" i="6"/>
  <c r="BA276" i="6"/>
  <c r="AU276" i="6"/>
  <c r="AP276" i="6"/>
  <c r="AL197" i="6"/>
  <c r="AV197" i="6"/>
  <c r="AW197" i="6"/>
  <c r="AZ197" i="6"/>
  <c r="AN197" i="6"/>
  <c r="AU197" i="6"/>
  <c r="AM197" i="6"/>
  <c r="AT197" i="6"/>
  <c r="AP197" i="6"/>
  <c r="AS197" i="6"/>
  <c r="AO197" i="6"/>
  <c r="AK197" i="6"/>
  <c r="AQ197" i="6"/>
  <c r="BA197" i="6"/>
  <c r="AX197" i="6"/>
  <c r="AR197" i="6"/>
  <c r="AY197" i="6"/>
  <c r="AM488" i="6"/>
  <c r="AQ488" i="6"/>
  <c r="AL488" i="6"/>
  <c r="AO488" i="6"/>
  <c r="AV488" i="6"/>
  <c r="AY488" i="6"/>
  <c r="AS488" i="6"/>
  <c r="AT488" i="6"/>
  <c r="AZ488" i="6"/>
  <c r="AR488" i="6"/>
  <c r="AW488" i="6"/>
  <c r="AU488" i="6"/>
  <c r="AP488" i="6"/>
  <c r="BA488" i="6"/>
  <c r="AK488" i="6"/>
  <c r="AX488" i="6"/>
  <c r="AN488" i="6"/>
  <c r="AN287" i="6"/>
  <c r="AT287" i="6"/>
  <c r="BA287" i="6"/>
  <c r="AY287" i="6"/>
  <c r="AP287" i="6"/>
  <c r="AK287" i="6"/>
  <c r="AV287" i="6"/>
  <c r="AW287" i="6"/>
  <c r="AQ287" i="6"/>
  <c r="AS287" i="6"/>
  <c r="AR287" i="6"/>
  <c r="AL287" i="6"/>
  <c r="AO287" i="6"/>
  <c r="AM287" i="6"/>
  <c r="AU287" i="6"/>
  <c r="AZ287" i="6"/>
  <c r="AX287" i="6"/>
  <c r="AO36" i="6"/>
  <c r="AY36" i="6"/>
  <c r="AM36" i="6"/>
  <c r="AW36" i="6"/>
  <c r="BA36" i="6"/>
  <c r="AT36" i="6"/>
  <c r="AV36" i="6"/>
  <c r="AL36" i="6"/>
  <c r="AR36" i="6"/>
  <c r="AX36" i="6"/>
  <c r="AU36" i="6"/>
  <c r="AN36" i="6"/>
  <c r="AZ36" i="6"/>
  <c r="AS36" i="6"/>
  <c r="AP36" i="6"/>
  <c r="AQ36" i="6"/>
  <c r="AK36" i="6"/>
  <c r="AU282" i="6"/>
  <c r="AT282" i="6"/>
  <c r="AX282" i="6"/>
  <c r="AL282" i="6"/>
  <c r="AZ282" i="6"/>
  <c r="BA282" i="6"/>
  <c r="AM282" i="6"/>
  <c r="AW282" i="6"/>
  <c r="AS282" i="6"/>
  <c r="AV282" i="6"/>
  <c r="AP282" i="6"/>
  <c r="AN282" i="6"/>
  <c r="AO282" i="6"/>
  <c r="AK282" i="6"/>
  <c r="AR282" i="6"/>
  <c r="AQ282" i="6"/>
  <c r="AY282" i="6"/>
  <c r="AV256" i="6"/>
  <c r="AY256" i="6"/>
  <c r="AL256" i="6"/>
  <c r="AO256" i="6"/>
  <c r="AS256" i="6"/>
  <c r="BA256" i="6"/>
  <c r="AR256" i="6"/>
  <c r="AT256" i="6"/>
  <c r="AP256" i="6"/>
  <c r="AU256" i="6"/>
  <c r="AQ256" i="6"/>
  <c r="AX256" i="6"/>
  <c r="AM256" i="6"/>
  <c r="AN256" i="6"/>
  <c r="AK256" i="6"/>
  <c r="AZ256" i="6"/>
  <c r="AW256" i="6"/>
  <c r="AX64" i="6"/>
  <c r="AV64" i="6"/>
  <c r="AL64" i="6"/>
  <c r="AU64" i="6"/>
  <c r="BA64" i="6"/>
  <c r="AY64" i="6"/>
  <c r="AM64" i="6"/>
  <c r="AS64" i="6"/>
  <c r="AQ64" i="6"/>
  <c r="AT64" i="6"/>
  <c r="AO64" i="6"/>
  <c r="AR64" i="6"/>
  <c r="AN64" i="6"/>
  <c r="AW64" i="6"/>
  <c r="AZ64" i="6"/>
  <c r="AK64" i="6"/>
  <c r="AP64" i="6"/>
  <c r="AY408" i="6"/>
  <c r="AN408" i="6"/>
  <c r="AL408" i="6"/>
  <c r="AX408" i="6"/>
  <c r="AO408" i="6"/>
  <c r="AT408" i="6"/>
  <c r="BA408" i="6"/>
  <c r="AW408" i="6"/>
  <c r="AM408" i="6"/>
  <c r="AU408" i="6"/>
  <c r="AS408" i="6"/>
  <c r="AQ408" i="6"/>
  <c r="AV408" i="6"/>
  <c r="AZ408" i="6"/>
  <c r="AP408" i="6"/>
  <c r="AK408" i="6"/>
  <c r="AR408" i="6"/>
  <c r="AV86" i="6"/>
  <c r="AN86" i="6"/>
  <c r="AR86" i="6"/>
  <c r="AX86" i="6"/>
  <c r="AQ86" i="6"/>
  <c r="AU86" i="6"/>
  <c r="AW86" i="6"/>
  <c r="AT86" i="6"/>
  <c r="AO86" i="6"/>
  <c r="AM86" i="6"/>
  <c r="AZ86" i="6"/>
  <c r="AS86" i="6"/>
  <c r="BA86" i="6"/>
  <c r="AL86" i="6"/>
  <c r="AK86" i="6"/>
  <c r="AY86" i="6"/>
  <c r="AP86" i="6"/>
  <c r="AZ301" i="6"/>
  <c r="AX301" i="6"/>
  <c r="AM301" i="6"/>
  <c r="AT301" i="6"/>
  <c r="AS301" i="6"/>
  <c r="AQ301" i="6"/>
  <c r="BA301" i="6"/>
  <c r="AL301" i="6"/>
  <c r="AO301" i="6"/>
  <c r="AN301" i="6"/>
  <c r="AV301" i="6"/>
  <c r="AK301" i="6"/>
  <c r="AU301" i="6"/>
  <c r="AR301" i="6"/>
  <c r="AP301" i="6"/>
  <c r="AW301" i="6"/>
  <c r="AY301" i="6"/>
  <c r="BA484" i="6"/>
  <c r="AW484" i="6"/>
  <c r="AK484" i="6"/>
  <c r="AS484" i="6"/>
  <c r="AZ484" i="6"/>
  <c r="AU484" i="6"/>
  <c r="AY484" i="6"/>
  <c r="AP484" i="6"/>
  <c r="AM484" i="6"/>
  <c r="AN484" i="6"/>
  <c r="AX484" i="6"/>
  <c r="AT484" i="6"/>
  <c r="AO484" i="6"/>
  <c r="AV484" i="6"/>
  <c r="AL484" i="6"/>
  <c r="AQ484" i="6"/>
  <c r="AR484" i="6"/>
  <c r="AQ575" i="6"/>
  <c r="AR575" i="6"/>
  <c r="AS575" i="6"/>
  <c r="AM575" i="6"/>
  <c r="AO575" i="6"/>
  <c r="AZ575" i="6"/>
  <c r="AL575" i="6"/>
  <c r="AX575" i="6"/>
  <c r="AN575" i="6"/>
  <c r="AP575" i="6"/>
  <c r="AK575" i="6"/>
  <c r="BA575" i="6"/>
  <c r="AV575" i="6"/>
  <c r="AW575" i="6"/>
  <c r="AT575" i="6"/>
  <c r="AU575" i="6"/>
  <c r="AY575" i="6"/>
  <c r="AY375" i="6"/>
  <c r="AW375" i="6"/>
  <c r="AO375" i="6"/>
  <c r="AT375" i="6"/>
  <c r="AK375" i="6"/>
  <c r="AV375" i="6"/>
  <c r="AX375" i="6"/>
  <c r="AM375" i="6"/>
  <c r="AL375" i="6"/>
  <c r="AS375" i="6"/>
  <c r="AP375" i="6"/>
  <c r="AZ375" i="6"/>
  <c r="BA375" i="6"/>
  <c r="AU375" i="6"/>
  <c r="AR375" i="6"/>
  <c r="AN375" i="6"/>
  <c r="AQ375" i="6"/>
  <c r="AZ34" i="6"/>
  <c r="AU34" i="6"/>
  <c r="AV34" i="6"/>
  <c r="AO34" i="6"/>
  <c r="AR34" i="6"/>
  <c r="AK34" i="6"/>
  <c r="AL34" i="6"/>
  <c r="AY34" i="6"/>
  <c r="BA34" i="6"/>
  <c r="AM34" i="6"/>
  <c r="AN34" i="6"/>
  <c r="AX34" i="6"/>
  <c r="AS34" i="6"/>
  <c r="AP34" i="6"/>
  <c r="AW34" i="6"/>
  <c r="AQ34" i="6"/>
  <c r="AT34" i="6"/>
  <c r="AR260" i="6"/>
  <c r="AX260" i="6"/>
  <c r="AZ260" i="6"/>
  <c r="BA260" i="6"/>
  <c r="AV260" i="6"/>
  <c r="AP260" i="6"/>
  <c r="AW260" i="6"/>
  <c r="AL260" i="6"/>
  <c r="AM260" i="6"/>
  <c r="AT260" i="6"/>
  <c r="AY260" i="6"/>
  <c r="AN260" i="6"/>
  <c r="AS260" i="6"/>
  <c r="AU260" i="6"/>
  <c r="AQ260" i="6"/>
  <c r="AO260" i="6"/>
  <c r="AK260" i="6"/>
  <c r="AN329" i="6"/>
  <c r="AV329" i="6"/>
  <c r="AL329" i="6"/>
  <c r="AZ329" i="6"/>
  <c r="BA329" i="6"/>
  <c r="AO329" i="6"/>
  <c r="AU329" i="6"/>
  <c r="AT329" i="6"/>
  <c r="AW329" i="6"/>
  <c r="AK329" i="6"/>
  <c r="AQ329" i="6"/>
  <c r="AR329" i="6"/>
  <c r="AS329" i="6"/>
  <c r="AX329" i="6"/>
  <c r="AM329" i="6"/>
  <c r="AY329" i="6"/>
  <c r="AP329" i="6"/>
  <c r="BA524" i="6"/>
  <c r="AN524" i="6"/>
  <c r="AR524" i="6"/>
  <c r="AQ524" i="6"/>
  <c r="AK524" i="6"/>
  <c r="AW524" i="6"/>
  <c r="AM524" i="6"/>
  <c r="AO524" i="6"/>
  <c r="AV524" i="6"/>
  <c r="AS524" i="6"/>
  <c r="AX524" i="6"/>
  <c r="AP524" i="6"/>
  <c r="AY524" i="6"/>
  <c r="AU524" i="6"/>
  <c r="AZ524" i="6"/>
  <c r="AT524" i="6"/>
  <c r="AL524" i="6"/>
  <c r="AV662" i="6"/>
  <c r="AX662" i="6"/>
  <c r="AY662" i="6"/>
  <c r="AP662" i="6"/>
  <c r="AL662" i="6"/>
  <c r="AU662" i="6"/>
  <c r="AO662" i="6"/>
  <c r="AR662" i="6"/>
  <c r="BA662" i="6"/>
  <c r="AM662" i="6"/>
  <c r="AS662" i="6"/>
  <c r="AZ662" i="6"/>
  <c r="AN662" i="6"/>
  <c r="AW662" i="6"/>
  <c r="AK662" i="6"/>
  <c r="AT662" i="6"/>
  <c r="AQ662" i="6"/>
  <c r="AR286" i="6"/>
  <c r="AT286" i="6"/>
  <c r="AV286" i="6"/>
  <c r="BA286" i="6"/>
  <c r="AX286" i="6"/>
  <c r="AO286" i="6"/>
  <c r="AY286" i="6"/>
  <c r="AN286" i="6"/>
  <c r="AW286" i="6"/>
  <c r="AQ286" i="6"/>
  <c r="AP286" i="6"/>
  <c r="AL286" i="6"/>
  <c r="AK286" i="6"/>
  <c r="AZ286" i="6"/>
  <c r="AU286" i="6"/>
  <c r="AM286" i="6"/>
  <c r="AS286" i="6"/>
  <c r="AS348" i="6"/>
  <c r="AQ348" i="6"/>
  <c r="AP348" i="6"/>
  <c r="AO348" i="6"/>
  <c r="AK348" i="6"/>
  <c r="AV348" i="6"/>
  <c r="AN348" i="6"/>
  <c r="AR348" i="6"/>
  <c r="AX348" i="6"/>
  <c r="BA348" i="6"/>
  <c r="AU348" i="6"/>
  <c r="AY348" i="6"/>
  <c r="AT348" i="6"/>
  <c r="AZ348" i="6"/>
  <c r="AM348" i="6"/>
  <c r="AW348" i="6"/>
  <c r="AL348" i="6"/>
  <c r="BA342" i="6"/>
  <c r="AS342" i="6"/>
  <c r="AM342" i="6"/>
  <c r="AU342" i="6"/>
  <c r="AX342" i="6"/>
  <c r="AR342" i="6"/>
  <c r="AV342" i="6"/>
  <c r="AK342" i="6"/>
  <c r="AO342" i="6"/>
  <c r="AQ342" i="6"/>
  <c r="AW342" i="6"/>
  <c r="AZ342" i="6"/>
  <c r="AY342" i="6"/>
  <c r="AP342" i="6"/>
  <c r="AN342" i="6"/>
  <c r="AT342" i="6"/>
  <c r="AL342" i="6"/>
  <c r="AP517" i="6"/>
  <c r="AT517" i="6"/>
  <c r="AK517" i="6"/>
  <c r="AW517" i="6"/>
  <c r="AU517" i="6"/>
  <c r="AM517" i="6"/>
  <c r="BA517" i="6"/>
  <c r="AY517" i="6"/>
  <c r="AR517" i="6"/>
  <c r="AL517" i="6"/>
  <c r="AV517" i="6"/>
  <c r="AN517" i="6"/>
  <c r="AO517" i="6"/>
  <c r="AS517" i="6"/>
  <c r="AX517" i="6"/>
  <c r="AZ517" i="6"/>
  <c r="AQ517" i="6"/>
  <c r="AO384" i="6"/>
  <c r="AV384" i="6"/>
  <c r="AT384" i="6"/>
  <c r="AW384" i="6"/>
  <c r="AY384" i="6"/>
  <c r="AZ384" i="6"/>
  <c r="AN384" i="6"/>
  <c r="AP384" i="6"/>
  <c r="AL384" i="6"/>
  <c r="AR384" i="6"/>
  <c r="AQ384" i="6"/>
  <c r="AX384" i="6"/>
  <c r="AS384" i="6"/>
  <c r="AK384" i="6"/>
  <c r="AU384" i="6"/>
  <c r="AM384" i="6"/>
  <c r="BA384" i="6"/>
  <c r="AS610" i="6"/>
  <c r="AM610" i="6"/>
  <c r="AU610" i="6"/>
  <c r="BA610" i="6"/>
  <c r="AL610" i="6"/>
  <c r="AQ610" i="6"/>
  <c r="AP610" i="6"/>
  <c r="AO610" i="6"/>
  <c r="AZ610" i="6"/>
  <c r="AT610" i="6"/>
  <c r="AY610" i="6"/>
  <c r="AX610" i="6"/>
  <c r="AW610" i="6"/>
  <c r="AK610" i="6"/>
  <c r="AV610" i="6"/>
  <c r="AN610" i="6"/>
  <c r="AR610" i="6"/>
  <c r="AY368" i="6"/>
  <c r="AN368" i="6"/>
  <c r="AO368" i="6"/>
  <c r="AU368" i="6"/>
  <c r="AV368" i="6"/>
  <c r="AP368" i="6"/>
  <c r="AL368" i="6"/>
  <c r="AM368" i="6"/>
  <c r="AR368" i="6"/>
  <c r="BA368" i="6"/>
  <c r="AQ368" i="6"/>
  <c r="AZ368" i="6"/>
  <c r="AW368" i="6"/>
  <c r="AK368" i="6"/>
  <c r="AX368" i="6"/>
  <c r="AS368" i="6"/>
  <c r="AT368" i="6"/>
  <c r="AL267" i="6"/>
  <c r="AK267" i="6"/>
  <c r="BA267" i="6"/>
  <c r="AY267" i="6"/>
  <c r="AN267" i="6"/>
  <c r="AX267" i="6"/>
  <c r="AZ267" i="6"/>
  <c r="AW267" i="6"/>
  <c r="AS267" i="6"/>
  <c r="AR267" i="6"/>
  <c r="AO267" i="6"/>
  <c r="AV267" i="6"/>
  <c r="AP267" i="6"/>
  <c r="AU267" i="6"/>
  <c r="AQ267" i="6"/>
  <c r="AM267" i="6"/>
  <c r="AT267" i="6"/>
  <c r="AY548" i="6"/>
  <c r="AZ548" i="6"/>
  <c r="AM548" i="6"/>
  <c r="AP548" i="6"/>
  <c r="AR548" i="6"/>
  <c r="AQ548" i="6"/>
  <c r="AU548" i="6"/>
  <c r="AK548" i="6"/>
  <c r="AL548" i="6"/>
  <c r="AO548" i="6"/>
  <c r="AT548" i="6"/>
  <c r="AX548" i="6"/>
  <c r="AW548" i="6"/>
  <c r="AS548" i="6"/>
  <c r="AN548" i="6"/>
  <c r="AV548" i="6"/>
  <c r="BA548" i="6"/>
  <c r="BA697" i="6"/>
  <c r="AV697" i="6"/>
  <c r="AU697" i="6"/>
  <c r="AO697" i="6"/>
  <c r="AZ697" i="6"/>
  <c r="AT697" i="6"/>
  <c r="AM697" i="6"/>
  <c r="AN697" i="6"/>
  <c r="AW697" i="6"/>
  <c r="AK697" i="6"/>
  <c r="AY697" i="6"/>
  <c r="AS697" i="6"/>
  <c r="AR697" i="6"/>
  <c r="AP697" i="6"/>
  <c r="AX697" i="6"/>
  <c r="AL697" i="6"/>
  <c r="AQ697" i="6"/>
  <c r="AM83" i="6"/>
  <c r="AU83" i="6"/>
  <c r="AL83" i="6"/>
  <c r="AZ83" i="6"/>
  <c r="AS83" i="6"/>
  <c r="BA83" i="6"/>
  <c r="AP83" i="6"/>
  <c r="AK83" i="6"/>
  <c r="AW83" i="6"/>
  <c r="AY83" i="6"/>
  <c r="AV83" i="6"/>
  <c r="AX83" i="6"/>
  <c r="AT83" i="6"/>
  <c r="AO83" i="6"/>
  <c r="AN83" i="6"/>
  <c r="AR83" i="6"/>
  <c r="AQ83" i="6"/>
  <c r="AR105" i="6"/>
  <c r="AV105" i="6"/>
  <c r="AZ105" i="6"/>
  <c r="BA105" i="6"/>
  <c r="AP105" i="6"/>
  <c r="AY105" i="6"/>
  <c r="AO105" i="6"/>
  <c r="AW105" i="6"/>
  <c r="AU105" i="6"/>
  <c r="AQ105" i="6"/>
  <c r="AK105" i="6"/>
  <c r="AT105" i="6"/>
  <c r="AL105" i="6"/>
  <c r="AS105" i="6"/>
  <c r="AX105" i="6"/>
  <c r="AN105" i="6"/>
  <c r="AM105" i="6"/>
  <c r="BA440" i="6"/>
  <c r="AW440" i="6"/>
  <c r="AM440" i="6"/>
  <c r="AO440" i="6"/>
  <c r="AL440" i="6"/>
  <c r="AP440" i="6"/>
  <c r="AX440" i="6"/>
  <c r="AS440" i="6"/>
  <c r="AK440" i="6"/>
  <c r="AN440" i="6"/>
  <c r="AT440" i="6"/>
  <c r="AR440" i="6"/>
  <c r="AZ440" i="6"/>
  <c r="AV440" i="6"/>
  <c r="AY440" i="6"/>
  <c r="AQ440" i="6"/>
  <c r="AU440" i="6"/>
  <c r="AR255" i="6"/>
  <c r="AM255" i="6"/>
  <c r="AV255" i="6"/>
  <c r="AW255" i="6"/>
  <c r="AY255" i="6"/>
  <c r="AX255" i="6"/>
  <c r="AS255" i="6"/>
  <c r="AU255" i="6"/>
  <c r="AP255" i="6"/>
  <c r="AZ255" i="6"/>
  <c r="AT255" i="6"/>
  <c r="AK255" i="6"/>
  <c r="AO255" i="6"/>
  <c r="BA255" i="6"/>
  <c r="AQ255" i="6"/>
  <c r="AL255" i="6"/>
  <c r="AN255" i="6"/>
  <c r="AQ505" i="6"/>
  <c r="AL505" i="6"/>
  <c r="AU505" i="6"/>
  <c r="AP505" i="6"/>
  <c r="AN505" i="6"/>
  <c r="AZ505" i="6"/>
  <c r="AT505" i="6"/>
  <c r="BA505" i="6"/>
  <c r="AK505" i="6"/>
  <c r="AO505" i="6"/>
  <c r="AM505" i="6"/>
  <c r="AX505" i="6"/>
  <c r="AW505" i="6"/>
  <c r="AY505" i="6"/>
  <c r="AV505" i="6"/>
  <c r="AS505" i="6"/>
  <c r="AR505" i="6"/>
  <c r="AK546" i="6"/>
  <c r="AS546" i="6"/>
  <c r="AR546" i="6"/>
  <c r="AW546" i="6"/>
  <c r="AO546" i="6"/>
  <c r="AM546" i="6"/>
  <c r="AP546" i="6"/>
  <c r="AZ546" i="6"/>
  <c r="BA546" i="6"/>
  <c r="AX546" i="6"/>
  <c r="AT546" i="6"/>
  <c r="AL546" i="6"/>
  <c r="AQ546" i="6"/>
  <c r="AU546" i="6"/>
  <c r="AN546" i="6"/>
  <c r="AY546" i="6"/>
  <c r="AV546" i="6"/>
  <c r="AQ485" i="6"/>
  <c r="AW485" i="6"/>
  <c r="AM485" i="6"/>
  <c r="AL485" i="6"/>
  <c r="AP485" i="6"/>
  <c r="BA485" i="6"/>
  <c r="AS485" i="6"/>
  <c r="AZ485" i="6"/>
  <c r="AU485" i="6"/>
  <c r="AY485" i="6"/>
  <c r="AR485" i="6"/>
  <c r="AK485" i="6"/>
  <c r="AN485" i="6"/>
  <c r="AT485" i="6"/>
  <c r="AX485" i="6"/>
  <c r="AO485" i="6"/>
  <c r="AV485" i="6"/>
  <c r="AX518" i="6"/>
  <c r="AN518" i="6"/>
  <c r="AZ518" i="6"/>
  <c r="AV518" i="6"/>
  <c r="AP518" i="6"/>
  <c r="BA518" i="6"/>
  <c r="AK518" i="6"/>
  <c r="AO518" i="6"/>
  <c r="AY518" i="6"/>
  <c r="AS518" i="6"/>
  <c r="AQ518" i="6"/>
  <c r="AU518" i="6"/>
  <c r="AL518" i="6"/>
  <c r="AM518" i="6"/>
  <c r="AW518" i="6"/>
  <c r="AR518" i="6"/>
  <c r="AT518" i="6"/>
  <c r="AL635" i="6"/>
  <c r="AY635" i="6"/>
  <c r="AU635" i="6"/>
  <c r="AX635" i="6"/>
  <c r="AN635" i="6"/>
  <c r="AS635" i="6"/>
  <c r="AO635" i="6"/>
  <c r="AK635" i="6"/>
  <c r="AV635" i="6"/>
  <c r="AP635" i="6"/>
  <c r="AQ635" i="6"/>
  <c r="AR635" i="6"/>
  <c r="AZ635" i="6"/>
  <c r="AT635" i="6"/>
  <c r="AW635" i="6"/>
  <c r="BA635" i="6"/>
  <c r="AM635" i="6"/>
  <c r="AQ531" i="6"/>
  <c r="AV531" i="6"/>
  <c r="BA531" i="6"/>
  <c r="AK531" i="6"/>
  <c r="AO531" i="6"/>
  <c r="AL531" i="6"/>
  <c r="AS531" i="6"/>
  <c r="AN531" i="6"/>
  <c r="AT531" i="6"/>
  <c r="AW531" i="6"/>
  <c r="AU531" i="6"/>
  <c r="AR531" i="6"/>
  <c r="AY531" i="6"/>
  <c r="AM531" i="6"/>
  <c r="AX531" i="6"/>
  <c r="AP531" i="6"/>
  <c r="AZ531" i="6"/>
  <c r="AN209" i="6"/>
  <c r="AK209" i="6"/>
  <c r="AT209" i="6"/>
  <c r="AZ209" i="6"/>
  <c r="AX209" i="6"/>
  <c r="AL209" i="6"/>
  <c r="AR209" i="6"/>
  <c r="AY209" i="6"/>
  <c r="AM209" i="6"/>
  <c r="AP209" i="6"/>
  <c r="AW209" i="6"/>
  <c r="AS209" i="6"/>
  <c r="AO209" i="6"/>
  <c r="AV209" i="6"/>
  <c r="AU209" i="6"/>
  <c r="AQ209" i="6"/>
  <c r="BA209" i="6"/>
  <c r="AW72" i="6"/>
  <c r="AY72" i="6"/>
  <c r="AV72" i="6"/>
  <c r="BA72" i="6"/>
  <c r="AU72" i="6"/>
  <c r="AQ72" i="6"/>
  <c r="AM72" i="6"/>
  <c r="AX72" i="6"/>
  <c r="AR72" i="6"/>
  <c r="AN72" i="6"/>
  <c r="AT72" i="6"/>
  <c r="AO72" i="6"/>
  <c r="AS72" i="6"/>
  <c r="AK72" i="6"/>
  <c r="AP72" i="6"/>
  <c r="AZ72" i="6"/>
  <c r="AL72" i="6"/>
  <c r="AV201" i="6"/>
  <c r="AM201" i="6"/>
  <c r="BA201" i="6"/>
  <c r="AP201" i="6"/>
  <c r="AS201" i="6"/>
  <c r="AL201" i="6"/>
  <c r="AQ201" i="6"/>
  <c r="AT201" i="6"/>
  <c r="AR201" i="6"/>
  <c r="AZ201" i="6"/>
  <c r="AW201" i="6"/>
  <c r="AY201" i="6"/>
  <c r="AX201" i="6"/>
  <c r="AU201" i="6"/>
  <c r="AN201" i="6"/>
  <c r="AO201" i="6"/>
  <c r="AK201" i="6"/>
  <c r="AY277" i="6"/>
  <c r="AM277" i="6"/>
  <c r="AN277" i="6"/>
  <c r="AZ277" i="6"/>
  <c r="AS277" i="6"/>
  <c r="AR277" i="6"/>
  <c r="AV277" i="6"/>
  <c r="AP277" i="6"/>
  <c r="AT277" i="6"/>
  <c r="AL277" i="6"/>
  <c r="AK277" i="6"/>
  <c r="BA277" i="6"/>
  <c r="AX277" i="6"/>
  <c r="AU277" i="6"/>
  <c r="AW277" i="6"/>
  <c r="AQ277" i="6"/>
  <c r="AO277" i="6"/>
  <c r="AP299" i="6"/>
  <c r="AK299" i="6"/>
  <c r="AN299" i="6"/>
  <c r="AX299" i="6"/>
  <c r="AQ299" i="6"/>
  <c r="AO299" i="6"/>
  <c r="AT299" i="6"/>
  <c r="AM299" i="6"/>
  <c r="AY299" i="6"/>
  <c r="AV299" i="6"/>
  <c r="AW299" i="6"/>
  <c r="AS299" i="6"/>
  <c r="AL299" i="6"/>
  <c r="AU299" i="6"/>
  <c r="AZ299" i="6"/>
  <c r="BA299" i="6"/>
  <c r="AR299" i="6"/>
  <c r="AZ398" i="6"/>
  <c r="AL398" i="6"/>
  <c r="AT398" i="6"/>
  <c r="AX398" i="6"/>
  <c r="AS398" i="6"/>
  <c r="AM398" i="6"/>
  <c r="AY398" i="6"/>
  <c r="AP398" i="6"/>
  <c r="BA398" i="6"/>
  <c r="AK398" i="6"/>
  <c r="AN398" i="6"/>
  <c r="AO398" i="6"/>
  <c r="AV398" i="6"/>
  <c r="AU398" i="6"/>
  <c r="AR398" i="6"/>
  <c r="AW398" i="6"/>
  <c r="AQ398" i="6"/>
  <c r="AV374" i="6"/>
  <c r="AS374" i="6"/>
  <c r="AZ374" i="6"/>
  <c r="AM374" i="6"/>
  <c r="AY374" i="6"/>
  <c r="AO374" i="6"/>
  <c r="AX374" i="6"/>
  <c r="AT374" i="6"/>
  <c r="AL374" i="6"/>
  <c r="AQ374" i="6"/>
  <c r="BA374" i="6"/>
  <c r="AP374" i="6"/>
  <c r="AR374" i="6"/>
  <c r="AW374" i="6"/>
  <c r="AU374" i="6"/>
  <c r="AN374" i="6"/>
  <c r="AK374" i="6"/>
  <c r="AN392" i="6"/>
  <c r="AV392" i="6"/>
  <c r="AX392" i="6"/>
  <c r="AZ392" i="6"/>
  <c r="AR392" i="6"/>
  <c r="AU392" i="6"/>
  <c r="BA392" i="6"/>
  <c r="AK392" i="6"/>
  <c r="AQ392" i="6"/>
  <c r="AS392" i="6"/>
  <c r="AY392" i="6"/>
  <c r="AO392" i="6"/>
  <c r="AM392" i="6"/>
  <c r="AW392" i="6"/>
  <c r="AT392" i="6"/>
  <c r="AP392" i="6"/>
  <c r="AL392" i="6"/>
  <c r="AN663" i="6"/>
  <c r="AR663" i="6"/>
  <c r="AU663" i="6"/>
  <c r="AS663" i="6"/>
  <c r="AQ663" i="6"/>
  <c r="AY663" i="6"/>
  <c r="AP663" i="6"/>
  <c r="AL663" i="6"/>
  <c r="AZ663" i="6"/>
  <c r="AW663" i="6"/>
  <c r="AX663" i="6"/>
  <c r="AO663" i="6"/>
  <c r="BA663" i="6"/>
  <c r="AM663" i="6"/>
  <c r="AK663" i="6"/>
  <c r="AV663" i="6"/>
  <c r="AT663" i="6"/>
  <c r="AV547" i="6"/>
  <c r="AY547" i="6"/>
  <c r="AT547" i="6"/>
  <c r="AN547" i="6"/>
  <c r="AK547" i="6"/>
  <c r="AW547" i="6"/>
  <c r="AP547" i="6"/>
  <c r="AQ547" i="6"/>
  <c r="AX547" i="6"/>
  <c r="AL547" i="6"/>
  <c r="AO547" i="6"/>
  <c r="AM547" i="6"/>
  <c r="AR547" i="6"/>
  <c r="BA547" i="6"/>
  <c r="AU547" i="6"/>
  <c r="AZ547" i="6"/>
  <c r="AS547" i="6"/>
  <c r="AX646" i="6"/>
  <c r="AW646" i="6"/>
  <c r="AR646" i="6"/>
  <c r="AU646" i="6"/>
  <c r="AO646" i="6"/>
  <c r="AN646" i="6"/>
  <c r="AZ646" i="6"/>
  <c r="BA646" i="6"/>
  <c r="AL646" i="6"/>
  <c r="AT646" i="6"/>
  <c r="AY646" i="6"/>
  <c r="AV646" i="6"/>
  <c r="AM646" i="6"/>
  <c r="AQ646" i="6"/>
  <c r="AP646" i="6"/>
  <c r="AS646" i="6"/>
  <c r="AK646" i="6"/>
  <c r="AY583" i="6"/>
  <c r="AV583" i="6"/>
  <c r="AW583" i="6"/>
  <c r="AZ583" i="6"/>
  <c r="BA583" i="6"/>
  <c r="AP583" i="6"/>
  <c r="AS583" i="6"/>
  <c r="AO583" i="6"/>
  <c r="AM583" i="6"/>
  <c r="AU583" i="6"/>
  <c r="AN583" i="6"/>
  <c r="AT583" i="6"/>
  <c r="AQ583" i="6"/>
  <c r="AK583" i="6"/>
  <c r="AX583" i="6"/>
  <c r="AL583" i="6"/>
  <c r="AR583" i="6"/>
  <c r="BA273" i="6"/>
  <c r="AO273" i="6"/>
  <c r="AS273" i="6"/>
  <c r="AR273" i="6"/>
  <c r="AZ273" i="6"/>
  <c r="AV273" i="6"/>
  <c r="AL273" i="6"/>
  <c r="AN273" i="6"/>
  <c r="AK273" i="6"/>
  <c r="AT273" i="6"/>
  <c r="AY273" i="6"/>
  <c r="AU273" i="6"/>
  <c r="AQ273" i="6"/>
  <c r="AM273" i="6"/>
  <c r="AP273" i="6"/>
  <c r="AX273" i="6"/>
  <c r="AW273" i="6"/>
  <c r="AV271" i="6"/>
  <c r="AM271" i="6"/>
  <c r="AW271" i="6"/>
  <c r="AR271" i="6"/>
  <c r="AY271" i="6"/>
  <c r="AT271" i="6"/>
  <c r="AN271" i="6"/>
  <c r="AP271" i="6"/>
  <c r="BA271" i="6"/>
  <c r="AZ271" i="6"/>
  <c r="AU271" i="6"/>
  <c r="AS271" i="6"/>
  <c r="AX271" i="6"/>
  <c r="AK271" i="6"/>
  <c r="AO271" i="6"/>
  <c r="AQ271" i="6"/>
  <c r="AL271" i="6"/>
  <c r="AZ203" i="6"/>
  <c r="AQ203" i="6"/>
  <c r="AV203" i="6"/>
  <c r="AY203" i="6"/>
  <c r="AO203" i="6"/>
  <c r="AN203" i="6"/>
  <c r="AL203" i="6"/>
  <c r="AW203" i="6"/>
  <c r="AU203" i="6"/>
  <c r="AX203" i="6"/>
  <c r="AM203" i="6"/>
  <c r="AT203" i="6"/>
  <c r="AK203" i="6"/>
  <c r="BA203" i="6"/>
  <c r="AP203" i="6"/>
  <c r="AS203" i="6"/>
  <c r="AR203" i="6"/>
  <c r="AP674" i="6"/>
  <c r="AS674" i="6"/>
  <c r="AO674" i="6"/>
  <c r="AM674" i="6"/>
  <c r="AY674" i="6"/>
  <c r="AT674" i="6"/>
  <c r="AV674" i="6"/>
  <c r="AN674" i="6"/>
  <c r="AK674" i="6"/>
  <c r="AQ674" i="6"/>
  <c r="AU674" i="6"/>
  <c r="BA674" i="6"/>
  <c r="AW674" i="6"/>
  <c r="AX674" i="6"/>
  <c r="AL674" i="6"/>
  <c r="AZ674" i="6"/>
  <c r="AR674" i="6"/>
  <c r="AO214" i="6"/>
  <c r="AU214" i="6"/>
  <c r="AY214" i="6"/>
  <c r="AZ214" i="6"/>
  <c r="BA214" i="6"/>
  <c r="AK214" i="6"/>
  <c r="AQ214" i="6"/>
  <c r="AM214" i="6"/>
  <c r="AS214" i="6"/>
  <c r="AP214" i="6"/>
  <c r="AN214" i="6"/>
  <c r="AL214" i="6"/>
  <c r="AR214" i="6"/>
  <c r="AW214" i="6"/>
  <c r="AT214" i="6"/>
  <c r="AV214" i="6"/>
  <c r="AX214" i="6"/>
  <c r="AX450" i="6"/>
  <c r="AL450" i="6"/>
  <c r="AZ450" i="6"/>
  <c r="AQ450" i="6"/>
  <c r="BA450" i="6"/>
  <c r="AV450" i="6"/>
  <c r="AR450" i="6"/>
  <c r="AM450" i="6"/>
  <c r="AO450" i="6"/>
  <c r="AY450" i="6"/>
  <c r="AK450" i="6"/>
  <c r="AP450" i="6"/>
  <c r="AW450" i="6"/>
  <c r="AU450" i="6"/>
  <c r="AT450" i="6"/>
  <c r="AS450" i="6"/>
  <c r="AN450" i="6"/>
  <c r="AO48" i="6"/>
  <c r="AY48" i="6"/>
  <c r="AR48" i="6"/>
  <c r="AT48" i="6"/>
  <c r="AU48" i="6"/>
  <c r="AP48" i="6"/>
  <c r="AM48" i="6"/>
  <c r="AX48" i="6"/>
  <c r="AS48" i="6"/>
  <c r="BA48" i="6"/>
  <c r="AW48" i="6"/>
  <c r="AV48" i="6"/>
  <c r="AZ48" i="6"/>
  <c r="AQ48" i="6"/>
  <c r="AK48" i="6"/>
  <c r="AN48" i="6"/>
  <c r="AL48" i="6"/>
  <c r="AN80" i="6"/>
  <c r="AP80" i="6"/>
  <c r="AQ80" i="6"/>
  <c r="AO80" i="6"/>
  <c r="AL80" i="6"/>
  <c r="AM80" i="6"/>
  <c r="BA80" i="6"/>
  <c r="AZ80" i="6"/>
  <c r="AT80" i="6"/>
  <c r="AY80" i="6"/>
  <c r="AV80" i="6"/>
  <c r="AS80" i="6"/>
  <c r="AW80" i="6"/>
  <c r="AU80" i="6"/>
  <c r="AK80" i="6"/>
  <c r="AR80" i="6"/>
  <c r="AX80" i="6"/>
  <c r="AT85" i="6"/>
  <c r="AQ85" i="6"/>
  <c r="AX85" i="6"/>
  <c r="AU85" i="6"/>
  <c r="AS85" i="6"/>
  <c r="AK85" i="6"/>
  <c r="AM85" i="6"/>
  <c r="AY85" i="6"/>
  <c r="AN85" i="6"/>
  <c r="AL85" i="6"/>
  <c r="AP85" i="6"/>
  <c r="AV85" i="6"/>
  <c r="AO85" i="6"/>
  <c r="AZ85" i="6"/>
  <c r="AW85" i="6"/>
  <c r="BA85" i="6"/>
  <c r="AR85" i="6"/>
  <c r="AT181" i="6"/>
  <c r="AK181" i="6"/>
  <c r="AR181" i="6"/>
  <c r="BA181" i="6"/>
  <c r="AM181" i="6"/>
  <c r="AW181" i="6"/>
  <c r="AS181" i="6"/>
  <c r="AU181" i="6"/>
  <c r="AX181" i="6"/>
  <c r="AQ181" i="6"/>
  <c r="AZ181" i="6"/>
  <c r="AP181" i="6"/>
  <c r="AO181" i="6"/>
  <c r="AN181" i="6"/>
  <c r="AY181" i="6"/>
  <c r="AV181" i="6"/>
  <c r="AL181" i="6"/>
  <c r="AR648" i="6"/>
  <c r="AP648" i="6"/>
  <c r="BA648" i="6"/>
  <c r="AN648" i="6"/>
  <c r="AV648" i="6"/>
  <c r="AT648" i="6"/>
  <c r="AM648" i="6"/>
  <c r="AS648" i="6"/>
  <c r="AY648" i="6"/>
  <c r="AZ648" i="6"/>
  <c r="AW648" i="6"/>
  <c r="AO648" i="6"/>
  <c r="AK648" i="6"/>
  <c r="AL648" i="6"/>
  <c r="AQ648" i="6"/>
  <c r="AU648" i="6"/>
  <c r="AX648" i="6"/>
  <c r="AV328" i="6"/>
  <c r="AN328" i="6"/>
  <c r="AX328" i="6"/>
  <c r="AO328" i="6"/>
  <c r="AT328" i="6"/>
  <c r="AW328" i="6"/>
  <c r="AQ328" i="6"/>
  <c r="AP328" i="6"/>
  <c r="AY328" i="6"/>
  <c r="AK328" i="6"/>
  <c r="AL328" i="6"/>
  <c r="AZ328" i="6"/>
  <c r="AM328" i="6"/>
  <c r="AS328" i="6"/>
  <c r="BA328" i="6"/>
  <c r="AR328" i="6"/>
  <c r="AU328" i="6"/>
  <c r="AU355" i="6"/>
  <c r="AY355" i="6"/>
  <c r="AT355" i="6"/>
  <c r="AX355" i="6"/>
  <c r="AL355" i="6"/>
  <c r="AP355" i="6"/>
  <c r="AR355" i="6"/>
  <c r="AM355" i="6"/>
  <c r="BA355" i="6"/>
  <c r="AV355" i="6"/>
  <c r="AZ355" i="6"/>
  <c r="AW355" i="6"/>
  <c r="AQ355" i="6"/>
  <c r="AS355" i="6"/>
  <c r="AO355" i="6"/>
  <c r="AK355" i="6"/>
  <c r="AN355" i="6"/>
  <c r="AM44" i="6"/>
  <c r="AX44" i="6"/>
  <c r="AR44" i="6"/>
  <c r="AL44" i="6"/>
  <c r="AT44" i="6"/>
  <c r="AO44" i="6"/>
  <c r="AS44" i="6"/>
  <c r="AQ44" i="6"/>
  <c r="AW44" i="6"/>
  <c r="AZ44" i="6"/>
  <c r="AV44" i="6"/>
  <c r="AK44" i="6"/>
  <c r="AP44" i="6"/>
  <c r="AN44" i="6"/>
  <c r="AY44" i="6"/>
  <c r="BA44" i="6"/>
  <c r="AU44" i="6"/>
  <c r="AU369" i="6"/>
  <c r="AW369" i="6"/>
  <c r="AL369" i="6"/>
  <c r="AZ369" i="6"/>
  <c r="AY369" i="6"/>
  <c r="AM369" i="6"/>
  <c r="AR369" i="6"/>
  <c r="AV369" i="6"/>
  <c r="AO369" i="6"/>
  <c r="AT369" i="6"/>
  <c r="AS369" i="6"/>
  <c r="BA369" i="6"/>
  <c r="AN369" i="6"/>
  <c r="AP369" i="6"/>
  <c r="AX369" i="6"/>
  <c r="AK369" i="6"/>
  <c r="AQ369" i="6"/>
  <c r="AM533" i="6"/>
  <c r="AK533" i="6"/>
  <c r="AZ533" i="6"/>
  <c r="AT533" i="6"/>
  <c r="AY533" i="6"/>
  <c r="AN533" i="6"/>
  <c r="AP533" i="6"/>
  <c r="AV533" i="6"/>
  <c r="AO533" i="6"/>
  <c r="AX533" i="6"/>
  <c r="AR533" i="6"/>
  <c r="AQ533" i="6"/>
  <c r="AW533" i="6"/>
  <c r="AL533" i="6"/>
  <c r="BA533" i="6"/>
  <c r="AU533" i="6"/>
  <c r="AS533" i="6"/>
  <c r="BA634" i="6"/>
  <c r="AY634" i="6"/>
  <c r="AO634" i="6"/>
  <c r="AX634" i="6"/>
  <c r="AM634" i="6"/>
  <c r="AL634" i="6"/>
  <c r="AS634" i="6"/>
  <c r="AN634" i="6"/>
  <c r="AQ634" i="6"/>
  <c r="AP634" i="6"/>
  <c r="AV634" i="6"/>
  <c r="AK634" i="6"/>
  <c r="AZ634" i="6"/>
  <c r="AW634" i="6"/>
  <c r="AT634" i="6"/>
  <c r="AU634" i="6"/>
  <c r="AR634" i="6"/>
  <c r="AV414" i="6"/>
  <c r="AK414" i="6"/>
  <c r="AY414" i="6"/>
  <c r="AZ414" i="6"/>
  <c r="AP414" i="6"/>
  <c r="AM414" i="6"/>
  <c r="AN414" i="6"/>
  <c r="AU414" i="6"/>
  <c r="AQ414" i="6"/>
  <c r="BA414" i="6"/>
  <c r="AS414" i="6"/>
  <c r="AR414" i="6"/>
  <c r="AL414" i="6"/>
  <c r="AT414" i="6"/>
  <c r="AO414" i="6"/>
  <c r="AW414" i="6"/>
  <c r="AX414" i="6"/>
  <c r="AQ324" i="6"/>
  <c r="AS324" i="6"/>
  <c r="BA324" i="6"/>
  <c r="AO324" i="6"/>
  <c r="AM324" i="6"/>
  <c r="AW324" i="6"/>
  <c r="AK324" i="6"/>
  <c r="AR324" i="6"/>
  <c r="AN324" i="6"/>
  <c r="AU324" i="6"/>
  <c r="AZ324" i="6"/>
  <c r="AY324" i="6"/>
  <c r="AV324" i="6"/>
  <c r="AT324" i="6"/>
  <c r="AL324" i="6"/>
  <c r="AX324" i="6"/>
  <c r="AP324" i="6"/>
  <c r="AS676" i="6"/>
  <c r="AK676" i="6"/>
  <c r="AZ676" i="6"/>
  <c r="AU676" i="6"/>
  <c r="AN676" i="6"/>
  <c r="AT676" i="6"/>
  <c r="AL676" i="6"/>
  <c r="AV676" i="6"/>
  <c r="AY676" i="6"/>
  <c r="BA676" i="6"/>
  <c r="AO676" i="6"/>
  <c r="AP676" i="6"/>
  <c r="AM676" i="6"/>
  <c r="AQ676" i="6"/>
  <c r="AX676" i="6"/>
  <c r="AR676" i="6"/>
  <c r="AW676" i="6"/>
  <c r="BA361" i="6"/>
  <c r="AR361" i="6"/>
  <c r="AL361" i="6"/>
  <c r="AU361" i="6"/>
  <c r="AP361" i="6"/>
  <c r="AT361" i="6"/>
  <c r="AN361" i="6"/>
  <c r="AQ361" i="6"/>
  <c r="AV361" i="6"/>
  <c r="AY361" i="6"/>
  <c r="AM361" i="6"/>
  <c r="AZ361" i="6"/>
  <c r="AO361" i="6"/>
  <c r="AS361" i="6"/>
  <c r="AW361" i="6"/>
  <c r="AX361" i="6"/>
  <c r="AK361" i="6"/>
  <c r="AM550" i="6"/>
  <c r="AN550" i="6"/>
  <c r="AX550" i="6"/>
  <c r="AP550" i="6"/>
  <c r="AZ550" i="6"/>
  <c r="AK550" i="6"/>
  <c r="AL550" i="6"/>
  <c r="AY550" i="6"/>
  <c r="AQ550" i="6"/>
  <c r="AV550" i="6"/>
  <c r="AW550" i="6"/>
  <c r="AO550" i="6"/>
  <c r="AU550" i="6"/>
  <c r="BA550" i="6"/>
  <c r="AT550" i="6"/>
  <c r="AR550" i="6"/>
  <c r="AS550" i="6"/>
  <c r="AT435" i="6"/>
  <c r="BA435" i="6"/>
  <c r="AK435" i="6"/>
  <c r="AS435" i="6"/>
  <c r="AN435" i="6"/>
  <c r="AM435" i="6"/>
  <c r="AP435" i="6"/>
  <c r="AR435" i="6"/>
  <c r="AU435" i="6"/>
  <c r="AL435" i="6"/>
  <c r="AY435" i="6"/>
  <c r="AQ435" i="6"/>
  <c r="AW435" i="6"/>
  <c r="AZ435" i="6"/>
  <c r="AV435" i="6"/>
  <c r="AX435" i="6"/>
  <c r="AO435" i="6"/>
  <c r="AS288" i="6"/>
  <c r="AM288" i="6"/>
  <c r="AX288" i="6"/>
  <c r="AO288" i="6"/>
  <c r="AW288" i="6"/>
  <c r="AR288" i="6"/>
  <c r="AT288" i="6"/>
  <c r="AK288" i="6"/>
  <c r="AN288" i="6"/>
  <c r="AZ288" i="6"/>
  <c r="AL288" i="6"/>
  <c r="AQ288" i="6"/>
  <c r="AU288" i="6"/>
  <c r="AP288" i="6"/>
  <c r="AY288" i="6"/>
  <c r="BA288" i="6"/>
  <c r="AV288" i="6"/>
  <c r="AX687" i="6"/>
  <c r="AS687" i="6"/>
  <c r="AV687" i="6"/>
  <c r="AP687" i="6"/>
  <c r="AR687" i="6"/>
  <c r="AK687" i="6"/>
  <c r="AO687" i="6"/>
  <c r="AU687" i="6"/>
  <c r="AQ687" i="6"/>
  <c r="AL687" i="6"/>
  <c r="AZ687" i="6"/>
  <c r="AW687" i="6"/>
  <c r="BA687" i="6"/>
  <c r="AM687" i="6"/>
  <c r="AT687" i="6"/>
  <c r="AY687" i="6"/>
  <c r="AN687" i="6"/>
  <c r="AY587" i="6"/>
  <c r="AK587" i="6"/>
  <c r="AR587" i="6"/>
  <c r="AT587" i="6"/>
  <c r="AW587" i="6"/>
  <c r="AS587" i="6"/>
  <c r="AN587" i="6"/>
  <c r="AV587" i="6"/>
  <c r="AM587" i="6"/>
  <c r="AQ587" i="6"/>
  <c r="AP587" i="6"/>
  <c r="AL587" i="6"/>
  <c r="AO587" i="6"/>
  <c r="BA587" i="6"/>
  <c r="AZ587" i="6"/>
  <c r="AU587" i="6"/>
  <c r="AX587" i="6"/>
  <c r="AR706" i="6"/>
  <c r="BA706" i="6"/>
  <c r="AK706" i="6"/>
  <c r="AV706" i="6"/>
  <c r="AX706" i="6"/>
  <c r="AS706" i="6"/>
  <c r="AZ706" i="6"/>
  <c r="AT706" i="6"/>
  <c r="AO706" i="6"/>
  <c r="AY706" i="6"/>
  <c r="AW706" i="6"/>
  <c r="AM706" i="6"/>
  <c r="AP706" i="6"/>
  <c r="AQ706" i="6"/>
  <c r="AU706" i="6"/>
  <c r="AN706" i="6"/>
  <c r="AL706" i="6"/>
  <c r="AL291" i="6"/>
  <c r="AN291" i="6"/>
  <c r="AV291" i="6"/>
  <c r="AS291" i="6"/>
  <c r="AT291" i="6"/>
  <c r="AM291" i="6"/>
  <c r="AU291" i="6"/>
  <c r="AO291" i="6"/>
  <c r="AK291" i="6"/>
  <c r="AW291" i="6"/>
  <c r="BA291" i="6"/>
  <c r="AZ291" i="6"/>
  <c r="AR291" i="6"/>
  <c r="AP291" i="6"/>
  <c r="AY291" i="6"/>
  <c r="AQ291" i="6"/>
  <c r="AX291" i="6"/>
  <c r="AX407" i="6"/>
  <c r="AP407" i="6"/>
  <c r="AR407" i="6"/>
  <c r="AN407" i="6"/>
  <c r="AK407" i="6"/>
  <c r="AU407" i="6"/>
  <c r="AM407" i="6"/>
  <c r="AY407" i="6"/>
  <c r="BA407" i="6"/>
  <c r="AV407" i="6"/>
  <c r="AS407" i="6"/>
  <c r="AT407" i="6"/>
  <c r="AO407" i="6"/>
  <c r="AZ407" i="6"/>
  <c r="AL407" i="6"/>
  <c r="AQ407" i="6"/>
  <c r="AW407" i="6"/>
  <c r="AW483" i="6"/>
  <c r="AP483" i="6"/>
  <c r="AO483" i="6"/>
  <c r="BA483" i="6"/>
  <c r="AK483" i="6"/>
  <c r="AY483" i="6"/>
  <c r="AL483" i="6"/>
  <c r="AU483" i="6"/>
  <c r="AN483" i="6"/>
  <c r="AX483" i="6"/>
  <c r="AQ483" i="6"/>
  <c r="AV483" i="6"/>
  <c r="AM483" i="6"/>
  <c r="AT483" i="6"/>
  <c r="AS483" i="6"/>
  <c r="AR483" i="6"/>
  <c r="AZ483" i="6"/>
  <c r="AR536" i="6"/>
  <c r="AM536" i="6"/>
  <c r="AU536" i="6"/>
  <c r="BA536" i="6"/>
  <c r="AZ536" i="6"/>
  <c r="AV536" i="6"/>
  <c r="AQ536" i="6"/>
  <c r="AX536" i="6"/>
  <c r="AY536" i="6"/>
  <c r="AW536" i="6"/>
  <c r="AO536" i="6"/>
  <c r="AS536" i="6"/>
  <c r="AT536" i="6"/>
  <c r="AP536" i="6"/>
  <c r="AK536" i="6"/>
  <c r="AN536" i="6"/>
  <c r="AL536" i="6"/>
  <c r="BA318" i="6"/>
  <c r="AV318" i="6"/>
  <c r="AW318" i="6"/>
  <c r="AM318" i="6"/>
  <c r="AY318" i="6"/>
  <c r="AO318" i="6"/>
  <c r="AR318" i="6"/>
  <c r="AP318" i="6"/>
  <c r="AL318" i="6"/>
  <c r="AK318" i="6"/>
  <c r="AX318" i="6"/>
  <c r="AT318" i="6"/>
  <c r="AQ318" i="6"/>
  <c r="AS318" i="6"/>
  <c r="AN318" i="6"/>
  <c r="AU318" i="6"/>
  <c r="AZ318" i="6"/>
  <c r="AN70" i="6"/>
  <c r="AR70" i="6"/>
  <c r="AK70" i="6"/>
  <c r="AM70" i="6"/>
  <c r="AP70" i="6"/>
  <c r="AO70" i="6"/>
  <c r="BA70" i="6"/>
  <c r="AW70" i="6"/>
  <c r="AY70" i="6"/>
  <c r="AL70" i="6"/>
  <c r="AT70" i="6"/>
  <c r="AS70" i="6"/>
  <c r="AZ70" i="6"/>
  <c r="AX70" i="6"/>
  <c r="AV70" i="6"/>
  <c r="AU70" i="6"/>
  <c r="AQ70" i="6"/>
  <c r="AX305" i="6"/>
  <c r="AU305" i="6"/>
  <c r="AT305" i="6"/>
  <c r="AM305" i="6"/>
  <c r="AQ305" i="6"/>
  <c r="AZ305" i="6"/>
  <c r="AW305" i="6"/>
  <c r="AP305" i="6"/>
  <c r="AS305" i="6"/>
  <c r="AK305" i="6"/>
  <c r="AN305" i="6"/>
  <c r="AR305" i="6"/>
  <c r="AV305" i="6"/>
  <c r="BA305" i="6"/>
  <c r="AY305" i="6"/>
  <c r="AO305" i="6"/>
  <c r="AL305" i="6"/>
  <c r="AL125" i="6"/>
  <c r="AO125" i="6"/>
  <c r="AP125" i="6"/>
  <c r="BA125" i="6"/>
  <c r="AR125" i="6"/>
  <c r="AY125" i="6"/>
  <c r="AN125" i="6"/>
  <c r="AT125" i="6"/>
  <c r="AW125" i="6"/>
  <c r="AU125" i="6"/>
  <c r="AV125" i="6"/>
  <c r="AM125" i="6"/>
  <c r="AS125" i="6"/>
  <c r="AX125" i="6"/>
  <c r="AQ125" i="6"/>
  <c r="AK125" i="6"/>
  <c r="AZ125" i="6"/>
  <c r="AO39" i="6"/>
  <c r="BA39" i="6"/>
  <c r="AM39" i="6"/>
  <c r="AT39" i="6"/>
  <c r="AX39" i="6"/>
  <c r="AZ39" i="6"/>
  <c r="AU39" i="6"/>
  <c r="AP39" i="6"/>
  <c r="AN39" i="6"/>
  <c r="AL39" i="6"/>
  <c r="AR39" i="6"/>
  <c r="AS39" i="6"/>
  <c r="AY39" i="6"/>
  <c r="AQ39" i="6"/>
  <c r="AW39" i="6"/>
  <c r="AV39" i="6"/>
  <c r="AK39" i="6"/>
  <c r="AK720" i="6"/>
  <c r="AL720" i="6"/>
  <c r="AO720" i="6"/>
  <c r="AM720" i="6"/>
  <c r="AR720" i="6"/>
  <c r="AQ720" i="6"/>
  <c r="AW720" i="6"/>
  <c r="AY720" i="6"/>
  <c r="AZ720" i="6"/>
  <c r="AX720" i="6"/>
  <c r="AV720" i="6"/>
  <c r="BA720" i="6"/>
  <c r="AU720" i="6"/>
  <c r="AN720" i="6"/>
  <c r="AT720" i="6"/>
  <c r="AP720" i="6"/>
  <c r="AS720" i="6"/>
  <c r="BA351" i="6"/>
  <c r="AZ351" i="6"/>
  <c r="AL351" i="6"/>
  <c r="AV351" i="6"/>
  <c r="AR351" i="6"/>
  <c r="AT351" i="6"/>
  <c r="AX351" i="6"/>
  <c r="AK351" i="6"/>
  <c r="AS351" i="6"/>
  <c r="AO351" i="6"/>
  <c r="AY351" i="6"/>
  <c r="AP351" i="6"/>
  <c r="AN351" i="6"/>
  <c r="AU351" i="6"/>
  <c r="AW351" i="6"/>
  <c r="AQ351" i="6"/>
  <c r="AM351" i="6"/>
  <c r="AQ31" i="6"/>
  <c r="AX31" i="6"/>
  <c r="AS31" i="6"/>
  <c r="AY31" i="6"/>
  <c r="AV31" i="6"/>
  <c r="AO31" i="6"/>
  <c r="AK31" i="6"/>
  <c r="AM31" i="6"/>
  <c r="AZ31" i="6"/>
  <c r="AR31" i="6"/>
  <c r="AN31" i="6"/>
  <c r="AT31" i="6"/>
  <c r="AU31" i="6"/>
  <c r="AP31" i="6"/>
  <c r="AW31" i="6"/>
  <c r="AL31" i="6"/>
  <c r="BA31" i="6"/>
  <c r="AT231" i="6"/>
  <c r="AK231" i="6"/>
  <c r="AZ231" i="6"/>
  <c r="AN231" i="6"/>
  <c r="AU231" i="6"/>
  <c r="AX231" i="6"/>
  <c r="AL231" i="6"/>
  <c r="AY231" i="6"/>
  <c r="BA231" i="6"/>
  <c r="AV231" i="6"/>
  <c r="AP231" i="6"/>
  <c r="AS231" i="6"/>
  <c r="AQ231" i="6"/>
  <c r="AW231" i="6"/>
  <c r="AO231" i="6"/>
  <c r="AR231" i="6"/>
  <c r="AM231" i="6"/>
  <c r="AX174" i="6"/>
  <c r="AQ174" i="6"/>
  <c r="AW174" i="6"/>
  <c r="AP174" i="6"/>
  <c r="AZ174" i="6"/>
  <c r="AK174" i="6"/>
  <c r="AO174" i="6"/>
  <c r="AU174" i="6"/>
  <c r="AM174" i="6"/>
  <c r="AL174" i="6"/>
  <c r="AT174" i="6"/>
  <c r="BA174" i="6"/>
  <c r="AS174" i="6"/>
  <c r="AY174" i="6"/>
  <c r="AN174" i="6"/>
  <c r="AR174" i="6"/>
  <c r="AV174" i="6"/>
  <c r="AK61" i="6"/>
  <c r="AX61" i="6"/>
  <c r="BA61" i="6"/>
  <c r="AV61" i="6"/>
  <c r="AP61" i="6"/>
  <c r="AT61" i="6"/>
  <c r="AS61" i="6"/>
  <c r="AM61" i="6"/>
  <c r="AU61" i="6"/>
  <c r="AR61" i="6"/>
  <c r="AY61" i="6"/>
  <c r="AW61" i="6"/>
  <c r="AO61" i="6"/>
  <c r="AQ61" i="6"/>
  <c r="AZ61" i="6"/>
  <c r="AL61" i="6"/>
  <c r="AN61" i="6"/>
  <c r="AN321" i="6"/>
  <c r="AZ321" i="6"/>
  <c r="BA321" i="6"/>
  <c r="AL321" i="6"/>
  <c r="AM321" i="6"/>
  <c r="AR321" i="6"/>
  <c r="AO321" i="6"/>
  <c r="AK321" i="6"/>
  <c r="AU321" i="6"/>
  <c r="AY321" i="6"/>
  <c r="AP321" i="6"/>
  <c r="AT321" i="6"/>
  <c r="AQ321" i="6"/>
  <c r="AW321" i="6"/>
  <c r="AS321" i="6"/>
  <c r="AX321" i="6"/>
  <c r="AV321" i="6"/>
  <c r="AO443" i="6"/>
  <c r="AT443" i="6"/>
  <c r="AM443" i="6"/>
  <c r="AL443" i="6"/>
  <c r="AV443" i="6"/>
  <c r="AN443" i="6"/>
  <c r="AR443" i="6"/>
  <c r="AU443" i="6"/>
  <c r="AZ443" i="6"/>
  <c r="AK443" i="6"/>
  <c r="AP443" i="6"/>
  <c r="BA443" i="6"/>
  <c r="AS443" i="6"/>
  <c r="AY443" i="6"/>
  <c r="AQ443" i="6"/>
  <c r="AW443" i="6"/>
  <c r="AX443" i="6"/>
  <c r="AY325" i="6"/>
  <c r="AZ325" i="6"/>
  <c r="AM325" i="6"/>
  <c r="AW325" i="6"/>
  <c r="AU325" i="6"/>
  <c r="BA325" i="6"/>
  <c r="AO325" i="6"/>
  <c r="AS325" i="6"/>
  <c r="AP325" i="6"/>
  <c r="AK325" i="6"/>
  <c r="AR325" i="6"/>
  <c r="AN325" i="6"/>
  <c r="AQ325" i="6"/>
  <c r="AX325" i="6"/>
  <c r="AT325" i="6"/>
  <c r="AV325" i="6"/>
  <c r="AL325" i="6"/>
  <c r="AX525" i="6"/>
  <c r="BA525" i="6"/>
  <c r="AR525" i="6"/>
  <c r="AV525" i="6"/>
  <c r="AY525" i="6"/>
  <c r="AK525" i="6"/>
  <c r="AT525" i="6"/>
  <c r="AS525" i="6"/>
  <c r="AU525" i="6"/>
  <c r="AM525" i="6"/>
  <c r="AW525" i="6"/>
  <c r="AN525" i="6"/>
  <c r="AZ525" i="6"/>
  <c r="AO525" i="6"/>
  <c r="AL525" i="6"/>
  <c r="AQ525" i="6"/>
  <c r="AP525" i="6"/>
  <c r="AO213" i="6"/>
  <c r="AL213" i="6"/>
  <c r="AP213" i="6"/>
  <c r="AS213" i="6"/>
  <c r="AV213" i="6"/>
  <c r="AN213" i="6"/>
  <c r="AT213" i="6"/>
  <c r="AK213" i="6"/>
  <c r="AM213" i="6"/>
  <c r="AZ213" i="6"/>
  <c r="AY213" i="6"/>
  <c r="BA213" i="6"/>
  <c r="AR213" i="6"/>
  <c r="AX213" i="6"/>
  <c r="AU213" i="6"/>
  <c r="AW213" i="6"/>
  <c r="AQ213" i="6"/>
  <c r="AX322" i="6"/>
  <c r="AU322" i="6"/>
  <c r="AW322" i="6"/>
  <c r="AL322" i="6"/>
  <c r="AN322" i="6"/>
  <c r="AV322" i="6"/>
  <c r="AP322" i="6"/>
  <c r="AT322" i="6"/>
  <c r="AY322" i="6"/>
  <c r="AK322" i="6"/>
  <c r="AZ322" i="6"/>
  <c r="AM322" i="6"/>
  <c r="AR322" i="6"/>
  <c r="BA322" i="6"/>
  <c r="AQ322" i="6"/>
  <c r="AO322" i="6"/>
  <c r="AS322" i="6"/>
  <c r="AM266" i="6"/>
  <c r="AL266" i="6"/>
  <c r="AW266" i="6"/>
  <c r="AZ266" i="6"/>
  <c r="AY266" i="6"/>
  <c r="AX266" i="6"/>
  <c r="AU266" i="6"/>
  <c r="AQ266" i="6"/>
  <c r="AR266" i="6"/>
  <c r="AN266" i="6"/>
  <c r="AK266" i="6"/>
  <c r="AP266" i="6"/>
  <c r="AS266" i="6"/>
  <c r="AT266" i="6"/>
  <c r="AO266" i="6"/>
  <c r="BA266" i="6"/>
  <c r="AV266" i="6"/>
  <c r="AM688" i="6"/>
  <c r="AN688" i="6"/>
  <c r="AO688" i="6"/>
  <c r="BA688" i="6"/>
  <c r="AS688" i="6"/>
  <c r="AV688" i="6"/>
  <c r="AP688" i="6"/>
  <c r="AQ688" i="6"/>
  <c r="AL688" i="6"/>
  <c r="AR688" i="6"/>
  <c r="AU688" i="6"/>
  <c r="AW688" i="6"/>
  <c r="AY688" i="6"/>
  <c r="AK688" i="6"/>
  <c r="AX688" i="6"/>
  <c r="AT688" i="6"/>
  <c r="AZ688" i="6"/>
  <c r="AU261" i="6"/>
  <c r="AS261" i="6"/>
  <c r="AT261" i="6"/>
  <c r="AP261" i="6"/>
  <c r="AR261" i="6"/>
  <c r="BA261" i="6"/>
  <c r="AX261" i="6"/>
  <c r="AM261" i="6"/>
  <c r="AV261" i="6"/>
  <c r="AY261" i="6"/>
  <c r="AO261" i="6"/>
  <c r="AW261" i="6"/>
  <c r="AN261" i="6"/>
  <c r="AZ261" i="6"/>
  <c r="AQ261" i="6"/>
  <c r="AL261" i="6"/>
  <c r="AK261" i="6"/>
  <c r="AL581" i="6"/>
  <c r="AV581" i="6"/>
  <c r="AR581" i="6"/>
  <c r="AN581" i="6"/>
  <c r="AT581" i="6"/>
  <c r="AM581" i="6"/>
  <c r="AY581" i="6"/>
  <c r="AS581" i="6"/>
  <c r="AU581" i="6"/>
  <c r="AP581" i="6"/>
  <c r="AO581" i="6"/>
  <c r="AW581" i="6"/>
  <c r="BA581" i="6"/>
  <c r="AK581" i="6"/>
  <c r="AX581" i="6"/>
  <c r="AZ581" i="6"/>
  <c r="AQ581" i="6"/>
  <c r="AN694" i="6"/>
  <c r="AQ694" i="6"/>
  <c r="AL694" i="6"/>
  <c r="AT694" i="6"/>
  <c r="AZ694" i="6"/>
  <c r="AK694" i="6"/>
  <c r="AP694" i="6"/>
  <c r="AW694" i="6"/>
  <c r="AR694" i="6"/>
  <c r="AM694" i="6"/>
  <c r="AY694" i="6"/>
  <c r="AX694" i="6"/>
  <c r="AO694" i="6"/>
  <c r="AS694" i="6"/>
  <c r="AU694" i="6"/>
  <c r="BA694" i="6"/>
  <c r="AV694" i="6"/>
  <c r="AK303" i="6"/>
  <c r="AN303" i="6"/>
  <c r="BA303" i="6"/>
  <c r="AX303" i="6"/>
  <c r="AU303" i="6"/>
  <c r="AT303" i="6"/>
  <c r="AP303" i="6"/>
  <c r="AW303" i="6"/>
  <c r="AY303" i="6"/>
  <c r="AQ303" i="6"/>
  <c r="AM303" i="6"/>
  <c r="AO303" i="6"/>
  <c r="AV303" i="6"/>
  <c r="AR303" i="6"/>
  <c r="AL303" i="6"/>
  <c r="AZ303" i="6"/>
  <c r="AS303" i="6"/>
  <c r="AX346" i="6"/>
  <c r="AL346" i="6"/>
  <c r="AZ346" i="6"/>
  <c r="BA346" i="6"/>
  <c r="AR346" i="6"/>
  <c r="AQ346" i="6"/>
  <c r="AM346" i="6"/>
  <c r="AN346" i="6"/>
  <c r="AY346" i="6"/>
  <c r="AO346" i="6"/>
  <c r="AV346" i="6"/>
  <c r="AU346" i="6"/>
  <c r="AS346" i="6"/>
  <c r="AK346" i="6"/>
  <c r="AT346" i="6"/>
  <c r="AW346" i="6"/>
  <c r="AP346" i="6"/>
  <c r="AO444" i="6"/>
  <c r="AM444" i="6"/>
  <c r="AW444" i="6"/>
  <c r="AK444" i="6"/>
  <c r="AV444" i="6"/>
  <c r="AS444" i="6"/>
  <c r="AN444" i="6"/>
  <c r="AZ444" i="6"/>
  <c r="AL444" i="6"/>
  <c r="AU444" i="6"/>
  <c r="AT444" i="6"/>
  <c r="AY444" i="6"/>
  <c r="AR444" i="6"/>
  <c r="BA444" i="6"/>
  <c r="AQ444" i="6"/>
  <c r="AX444" i="6"/>
  <c r="AP444" i="6"/>
  <c r="AW265" i="6"/>
  <c r="AP265" i="6"/>
  <c r="AN265" i="6"/>
  <c r="AM265" i="6"/>
  <c r="AQ265" i="6"/>
  <c r="AR265" i="6"/>
  <c r="AT265" i="6"/>
  <c r="AX265" i="6"/>
  <c r="AK265" i="6"/>
  <c r="AL265" i="6"/>
  <c r="AV265" i="6"/>
  <c r="AZ265" i="6"/>
  <c r="AS265" i="6"/>
  <c r="AU265" i="6"/>
  <c r="BA265" i="6"/>
  <c r="AY265" i="6"/>
  <c r="AO265" i="6"/>
  <c r="AQ52" i="6"/>
  <c r="BA52" i="6"/>
  <c r="AN52" i="6"/>
  <c r="AL52" i="6"/>
  <c r="AO52" i="6"/>
  <c r="AZ52" i="6"/>
  <c r="AT52" i="6"/>
  <c r="AY52" i="6"/>
  <c r="AM52" i="6"/>
  <c r="AK52" i="6"/>
  <c r="AU52" i="6"/>
  <c r="AR52" i="6"/>
  <c r="AW52" i="6"/>
  <c r="AX52" i="6"/>
  <c r="AV52" i="6"/>
  <c r="AS52" i="6"/>
  <c r="AP52" i="6"/>
  <c r="AL65" i="6"/>
  <c r="AV65" i="6"/>
  <c r="AU65" i="6"/>
  <c r="AP65" i="6"/>
  <c r="AO65" i="6"/>
  <c r="AX65" i="6"/>
  <c r="AM65" i="6"/>
  <c r="BA65" i="6"/>
  <c r="AS65" i="6"/>
  <c r="AQ65" i="6"/>
  <c r="AK65" i="6"/>
  <c r="AY65" i="6"/>
  <c r="AZ65" i="6"/>
  <c r="AR65" i="6"/>
  <c r="AN65" i="6"/>
  <c r="AT65" i="6"/>
  <c r="AW65" i="6"/>
  <c r="AS88" i="6"/>
  <c r="AL88" i="6"/>
  <c r="AM88" i="6"/>
  <c r="AK88" i="6"/>
  <c r="AQ88" i="6"/>
  <c r="AO88" i="6"/>
  <c r="AV88" i="6"/>
  <c r="BA88" i="6"/>
  <c r="AW88" i="6"/>
  <c r="AP88" i="6"/>
  <c r="AX88" i="6"/>
  <c r="AZ88" i="6"/>
  <c r="AT88" i="6"/>
  <c r="AR88" i="6"/>
  <c r="AY88" i="6"/>
  <c r="AU88" i="6"/>
  <c r="AN88" i="6"/>
  <c r="AT534" i="6"/>
  <c r="AR534" i="6"/>
  <c r="AS534" i="6"/>
  <c r="BA534" i="6"/>
  <c r="AO534" i="6"/>
  <c r="AU534" i="6"/>
  <c r="AW534" i="6"/>
  <c r="AV534" i="6"/>
  <c r="AZ534" i="6"/>
  <c r="AY534" i="6"/>
  <c r="AN534" i="6"/>
  <c r="AX534" i="6"/>
  <c r="AQ534" i="6"/>
  <c r="AK534" i="6"/>
  <c r="AP534" i="6"/>
  <c r="AL534" i="6"/>
  <c r="AM534" i="6"/>
  <c r="AO49" i="6"/>
  <c r="AM49" i="6"/>
  <c r="AS49" i="6"/>
  <c r="AR49" i="6"/>
  <c r="AV49" i="6"/>
  <c r="AX49" i="6"/>
  <c r="AL49" i="6"/>
  <c r="AW49" i="6"/>
  <c r="AY49" i="6"/>
  <c r="AU49" i="6"/>
  <c r="AN49" i="6"/>
  <c r="AQ49" i="6"/>
  <c r="BA49" i="6"/>
  <c r="AK49" i="6"/>
  <c r="AP49" i="6"/>
  <c r="AZ49" i="6"/>
  <c r="AT49" i="6"/>
  <c r="BA73" i="6"/>
  <c r="AY73" i="6"/>
  <c r="AT73" i="6"/>
  <c r="AZ73" i="6"/>
  <c r="AX73" i="6"/>
  <c r="AK73" i="6"/>
  <c r="AQ73" i="6"/>
  <c r="AR73" i="6"/>
  <c r="AW73" i="6"/>
  <c r="AM73" i="6"/>
  <c r="AP73" i="6"/>
  <c r="AV73" i="6"/>
  <c r="AL73" i="6"/>
  <c r="AN73" i="6"/>
  <c r="AS73" i="6"/>
  <c r="AO73" i="6"/>
  <c r="AU73" i="6"/>
  <c r="AY616" i="6"/>
  <c r="AM616" i="6"/>
  <c r="AO616" i="6"/>
  <c r="AQ616" i="6"/>
  <c r="AS616" i="6"/>
  <c r="AZ616" i="6"/>
  <c r="AT616" i="6"/>
  <c r="AX616" i="6"/>
  <c r="AU616" i="6"/>
  <c r="AP616" i="6"/>
  <c r="AR616" i="6"/>
  <c r="BA616" i="6"/>
  <c r="AN616" i="6"/>
  <c r="AV616" i="6"/>
  <c r="AL616" i="6"/>
  <c r="AK616" i="6"/>
  <c r="AW616" i="6"/>
  <c r="AP58" i="6"/>
  <c r="AV58" i="6"/>
  <c r="AZ58" i="6"/>
  <c r="AN58" i="6"/>
  <c r="AS58" i="6"/>
  <c r="AR58" i="6"/>
  <c r="AW58" i="6"/>
  <c r="AO58" i="6"/>
  <c r="AL58" i="6"/>
  <c r="AY58" i="6"/>
  <c r="AX58" i="6"/>
  <c r="AM58" i="6"/>
  <c r="AK58" i="6"/>
  <c r="BA58" i="6"/>
  <c r="AT58" i="6"/>
  <c r="AQ58" i="6"/>
  <c r="AU58" i="6"/>
  <c r="AY704" i="6"/>
  <c r="AQ704" i="6"/>
  <c r="AP704" i="6"/>
  <c r="AW704" i="6"/>
  <c r="AV704" i="6"/>
  <c r="AX704" i="6"/>
  <c r="AK704" i="6"/>
  <c r="AO704" i="6"/>
  <c r="BA704" i="6"/>
  <c r="AR704" i="6"/>
  <c r="AZ704" i="6"/>
  <c r="AT704" i="6"/>
  <c r="AU704" i="6"/>
  <c r="AS704" i="6"/>
  <c r="AM704" i="6"/>
  <c r="AN704" i="6"/>
  <c r="AL704" i="6"/>
  <c r="AX92" i="6"/>
  <c r="AO92" i="6"/>
  <c r="AT92" i="6"/>
  <c r="AR92" i="6"/>
  <c r="AS92" i="6"/>
  <c r="AN92" i="6"/>
  <c r="BA92" i="6"/>
  <c r="AU92" i="6"/>
  <c r="AK92" i="6"/>
  <c r="AM92" i="6"/>
  <c r="AV92" i="6"/>
  <c r="AZ92" i="6"/>
  <c r="AY92" i="6"/>
  <c r="AW92" i="6"/>
  <c r="AL92" i="6"/>
  <c r="AQ92" i="6"/>
  <c r="AP92" i="6"/>
  <c r="BA468" i="6"/>
  <c r="AW468" i="6"/>
  <c r="AT468" i="6"/>
  <c r="AP468" i="6"/>
  <c r="AO468" i="6"/>
  <c r="AS468" i="6"/>
  <c r="AN468" i="6"/>
  <c r="AQ468" i="6"/>
  <c r="AU468" i="6"/>
  <c r="AM468" i="6"/>
  <c r="AR468" i="6"/>
  <c r="AK468" i="6"/>
  <c r="AV468" i="6"/>
  <c r="AY468" i="6"/>
  <c r="AX468" i="6"/>
  <c r="AL468" i="6"/>
  <c r="AZ468" i="6"/>
  <c r="AR51" i="6"/>
  <c r="AT51" i="6"/>
  <c r="BA51" i="6"/>
  <c r="AM51" i="6"/>
  <c r="AL51" i="6"/>
  <c r="AO51" i="6"/>
  <c r="AW51" i="6"/>
  <c r="AS51" i="6"/>
  <c r="AV51" i="6"/>
  <c r="AN51" i="6"/>
  <c r="AP51" i="6"/>
  <c r="AX51" i="6"/>
  <c r="AY51" i="6"/>
  <c r="AU51" i="6"/>
  <c r="AZ51" i="6"/>
  <c r="AK51" i="6"/>
  <c r="AQ51" i="6"/>
  <c r="AM269" i="6"/>
  <c r="AZ269" i="6"/>
  <c r="AS269" i="6"/>
  <c r="AX269" i="6"/>
  <c r="AO269" i="6"/>
  <c r="BA269" i="6"/>
  <c r="AN269" i="6"/>
  <c r="AQ269" i="6"/>
  <c r="AK269" i="6"/>
  <c r="AY269" i="6"/>
  <c r="AR269" i="6"/>
  <c r="AU269" i="6"/>
  <c r="AT269" i="6"/>
  <c r="AP269" i="6"/>
  <c r="AL269" i="6"/>
  <c r="AW269" i="6"/>
  <c r="AV269" i="6"/>
  <c r="AU30" i="6"/>
  <c r="AP30" i="6"/>
  <c r="AY30" i="6"/>
  <c r="AV30" i="6"/>
  <c r="AM30" i="6"/>
  <c r="BA30" i="6"/>
  <c r="AL30" i="6"/>
  <c r="AK30" i="6"/>
  <c r="AZ30" i="6"/>
  <c r="AW30" i="6"/>
  <c r="AN30" i="6"/>
  <c r="AR30" i="6"/>
  <c r="AO30" i="6"/>
  <c r="AX30" i="6"/>
  <c r="AQ30" i="6"/>
  <c r="AT30" i="6"/>
  <c r="AS30" i="6"/>
  <c r="AM391" i="6"/>
  <c r="AV391" i="6"/>
  <c r="AK391" i="6"/>
  <c r="AP391" i="6"/>
  <c r="AW391" i="6"/>
  <c r="AQ391" i="6"/>
  <c r="AO391" i="6"/>
  <c r="BA391" i="6"/>
  <c r="AN391" i="6"/>
  <c r="AY391" i="6"/>
  <c r="AU391" i="6"/>
  <c r="AS391" i="6"/>
  <c r="AZ391" i="6"/>
  <c r="AR391" i="6"/>
  <c r="AT391" i="6"/>
  <c r="AX391" i="6"/>
  <c r="AL391" i="6"/>
  <c r="AT308" i="6"/>
  <c r="AZ308" i="6"/>
  <c r="AU308" i="6"/>
  <c r="AL308" i="6"/>
  <c r="AW308" i="6"/>
  <c r="AY308" i="6"/>
  <c r="AN308" i="6"/>
  <c r="AK308" i="6"/>
  <c r="AR308" i="6"/>
  <c r="AP308" i="6"/>
  <c r="AO308" i="6"/>
  <c r="AX308" i="6"/>
  <c r="AV308" i="6"/>
  <c r="BA308" i="6"/>
  <c r="AQ308" i="6"/>
  <c r="AS308" i="6"/>
  <c r="AM308" i="6"/>
  <c r="AQ53" i="6"/>
  <c r="AU53" i="6"/>
  <c r="AR53" i="6"/>
  <c r="AP53" i="6"/>
  <c r="AK53" i="6"/>
  <c r="BA53" i="6"/>
  <c r="AZ53" i="6"/>
  <c r="AL53" i="6"/>
  <c r="AT53" i="6"/>
  <c r="AY53" i="6"/>
  <c r="AO53" i="6"/>
  <c r="AV53" i="6"/>
  <c r="AX53" i="6"/>
  <c r="AN53" i="6"/>
  <c r="AW53" i="6"/>
  <c r="AS53" i="6"/>
  <c r="AM53" i="6"/>
  <c r="AU705" i="6"/>
  <c r="AX705" i="6"/>
  <c r="AP705" i="6"/>
  <c r="AY705" i="6"/>
  <c r="AS705" i="6"/>
  <c r="AW705" i="6"/>
  <c r="AZ705" i="6"/>
  <c r="AN705" i="6"/>
  <c r="AO705" i="6"/>
  <c r="AQ705" i="6"/>
  <c r="AL705" i="6"/>
  <c r="AM705" i="6"/>
  <c r="AK705" i="6"/>
  <c r="AR705" i="6"/>
  <c r="AV705" i="6"/>
  <c r="AT705" i="6"/>
  <c r="BA705" i="6"/>
  <c r="AS605" i="6"/>
  <c r="AU605" i="6"/>
  <c r="AP605" i="6"/>
  <c r="AZ605" i="6"/>
  <c r="AY605" i="6"/>
  <c r="AW605" i="6"/>
  <c r="AX605" i="6"/>
  <c r="AL605" i="6"/>
  <c r="AO605" i="6"/>
  <c r="BA605" i="6"/>
  <c r="AK605" i="6"/>
  <c r="AT605" i="6"/>
  <c r="AM605" i="6"/>
  <c r="AN605" i="6"/>
  <c r="AQ605" i="6"/>
  <c r="AR605" i="6"/>
  <c r="AV605" i="6"/>
  <c r="AZ629" i="6"/>
  <c r="AW629" i="6"/>
  <c r="AQ629" i="6"/>
  <c r="AU629" i="6"/>
  <c r="AO629" i="6"/>
  <c r="AL629" i="6"/>
  <c r="AY629" i="6"/>
  <c r="BA629" i="6"/>
  <c r="AX629" i="6"/>
  <c r="AS629" i="6"/>
  <c r="AV629" i="6"/>
  <c r="AR629" i="6"/>
  <c r="AP629" i="6"/>
  <c r="AT629" i="6"/>
  <c r="AK629" i="6"/>
  <c r="AN629" i="6"/>
  <c r="AM629" i="6"/>
  <c r="AR504" i="6"/>
  <c r="AO504" i="6"/>
  <c r="AV504" i="6"/>
  <c r="AM504" i="6"/>
  <c r="AK504" i="6"/>
  <c r="AW504" i="6"/>
  <c r="AL504" i="6"/>
  <c r="BA504" i="6"/>
  <c r="AX504" i="6"/>
  <c r="AT504" i="6"/>
  <c r="AU504" i="6"/>
  <c r="AP504" i="6"/>
  <c r="AZ504" i="6"/>
  <c r="AQ504" i="6"/>
  <c r="AS504" i="6"/>
  <c r="AY504" i="6"/>
  <c r="AN504" i="6"/>
  <c r="AU664" i="6"/>
  <c r="AO664" i="6"/>
  <c r="AS664" i="6"/>
  <c r="AQ664" i="6"/>
  <c r="AV664" i="6"/>
  <c r="BA664" i="6"/>
  <c r="AX664" i="6"/>
  <c r="AW664" i="6"/>
  <c r="AZ664" i="6"/>
  <c r="AP664" i="6"/>
  <c r="AL664" i="6"/>
  <c r="AY664" i="6"/>
  <c r="AT664" i="6"/>
  <c r="AM664" i="6"/>
  <c r="AN664" i="6"/>
  <c r="AK664" i="6"/>
  <c r="AR664" i="6"/>
  <c r="AR45" i="6"/>
  <c r="AP45" i="6"/>
  <c r="AZ45" i="6"/>
  <c r="AY45" i="6"/>
  <c r="AN45" i="6"/>
  <c r="AU45" i="6"/>
  <c r="AL45" i="6"/>
  <c r="AK45" i="6"/>
  <c r="AW45" i="6"/>
  <c r="AX45" i="6"/>
  <c r="AQ45" i="6"/>
  <c r="AV45" i="6"/>
  <c r="AS45" i="6"/>
  <c r="AT45" i="6"/>
  <c r="AO45" i="6"/>
  <c r="AM45" i="6"/>
  <c r="BA45" i="6"/>
  <c r="AN222" i="6"/>
  <c r="BA222" i="6"/>
  <c r="AS222" i="6"/>
  <c r="AY222" i="6"/>
  <c r="AV222" i="6"/>
  <c r="AU222" i="6"/>
  <c r="AO222" i="6"/>
  <c r="AL222" i="6"/>
  <c r="AK222" i="6"/>
  <c r="AW222" i="6"/>
  <c r="AM222" i="6"/>
  <c r="AZ222" i="6"/>
  <c r="AQ222" i="6"/>
  <c r="AX222" i="6"/>
  <c r="AR222" i="6"/>
  <c r="AP222" i="6"/>
  <c r="AT222" i="6"/>
  <c r="AQ615" i="6"/>
  <c r="AV615" i="6"/>
  <c r="AM615" i="6"/>
  <c r="AP615" i="6"/>
  <c r="AK615" i="6"/>
  <c r="AY615" i="6"/>
  <c r="AU615" i="6"/>
  <c r="AS615" i="6"/>
  <c r="AR615" i="6"/>
  <c r="AN615" i="6"/>
  <c r="AL615" i="6"/>
  <c r="AX615" i="6"/>
  <c r="AZ615" i="6"/>
  <c r="AO615" i="6"/>
  <c r="AT615" i="6"/>
  <c r="AW615" i="6"/>
  <c r="BA615" i="6"/>
  <c r="AT404" i="6"/>
  <c r="AS404" i="6"/>
  <c r="BA404" i="6"/>
  <c r="AU404" i="6"/>
  <c r="AN404" i="6"/>
  <c r="AO404" i="6"/>
  <c r="AL404" i="6"/>
  <c r="AW404" i="6"/>
  <c r="AK404" i="6"/>
  <c r="AR404" i="6"/>
  <c r="AX404" i="6"/>
  <c r="AV404" i="6"/>
  <c r="AZ404" i="6"/>
  <c r="AP404" i="6"/>
  <c r="AY404" i="6"/>
  <c r="AM404" i="6"/>
  <c r="AQ404" i="6"/>
  <c r="BA339" i="6"/>
  <c r="AO339" i="6"/>
  <c r="AT339" i="6"/>
  <c r="AV339" i="6"/>
  <c r="AW339" i="6"/>
  <c r="AQ339" i="6"/>
  <c r="AL339" i="6"/>
  <c r="AY339" i="6"/>
  <c r="AN339" i="6"/>
  <c r="AZ339" i="6"/>
  <c r="AR339" i="6"/>
  <c r="AU339" i="6"/>
  <c r="AM339" i="6"/>
  <c r="AK339" i="6"/>
  <c r="AX339" i="6"/>
  <c r="AS339" i="6"/>
  <c r="AP339" i="6"/>
  <c r="AT372" i="6"/>
  <c r="AK372" i="6"/>
  <c r="AP372" i="6"/>
  <c r="AU372" i="6"/>
  <c r="AL372" i="6"/>
  <c r="AS372" i="6"/>
  <c r="AR372" i="6"/>
  <c r="AW372" i="6"/>
  <c r="AO372" i="6"/>
  <c r="BA372" i="6"/>
  <c r="AY372" i="6"/>
  <c r="AM372" i="6"/>
  <c r="AX372" i="6"/>
  <c r="AZ372" i="6"/>
  <c r="AN372" i="6"/>
  <c r="AQ372" i="6"/>
  <c r="AV372" i="6"/>
  <c r="AN558" i="6"/>
  <c r="AP558" i="6"/>
  <c r="AQ558" i="6"/>
  <c r="AW558" i="6"/>
  <c r="AZ558" i="6"/>
  <c r="AY558" i="6"/>
  <c r="AM558" i="6"/>
  <c r="AR558" i="6"/>
  <c r="AX558" i="6"/>
  <c r="AK558" i="6"/>
  <c r="AL558" i="6"/>
  <c r="AU558" i="6"/>
  <c r="BA558" i="6"/>
  <c r="AO558" i="6"/>
  <c r="AT558" i="6"/>
  <c r="AS558" i="6"/>
  <c r="AV558" i="6"/>
  <c r="BA451" i="6"/>
  <c r="AO451" i="6"/>
  <c r="AR451" i="6"/>
  <c r="AL451" i="6"/>
  <c r="AW451" i="6"/>
  <c r="AM451" i="6"/>
  <c r="AY451" i="6"/>
  <c r="AN451" i="6"/>
  <c r="AS451" i="6"/>
  <c r="AU451" i="6"/>
  <c r="AT451" i="6"/>
  <c r="AZ451" i="6"/>
  <c r="AK451" i="6"/>
  <c r="AP451" i="6"/>
  <c r="AQ451" i="6"/>
  <c r="AV451" i="6"/>
  <c r="AX451" i="6"/>
  <c r="AK38" i="6"/>
  <c r="AV38" i="6"/>
  <c r="AQ38" i="6"/>
  <c r="AW38" i="6"/>
  <c r="BA38" i="6"/>
  <c r="AR38" i="6"/>
  <c r="AL38" i="6"/>
  <c r="AU38" i="6"/>
  <c r="AY38" i="6"/>
  <c r="AM38" i="6"/>
  <c r="AT38" i="6"/>
  <c r="AP38" i="6"/>
  <c r="AO38" i="6"/>
  <c r="AX38" i="6"/>
  <c r="AS38" i="6"/>
  <c r="AN38" i="6"/>
  <c r="AZ38" i="6"/>
  <c r="AN246" i="6"/>
  <c r="AP246" i="6"/>
  <c r="AM246" i="6"/>
  <c r="AW246" i="6"/>
  <c r="BA246" i="6"/>
  <c r="AX246" i="6"/>
  <c r="AQ246" i="6"/>
  <c r="AL246" i="6"/>
  <c r="AO246" i="6"/>
  <c r="AR246" i="6"/>
  <c r="AY246" i="6"/>
  <c r="AZ246" i="6"/>
  <c r="AV246" i="6"/>
  <c r="AS246" i="6"/>
  <c r="AU246" i="6"/>
  <c r="AK246" i="6"/>
  <c r="AT246" i="6"/>
  <c r="AR545" i="6"/>
  <c r="AM545" i="6"/>
  <c r="AU545" i="6"/>
  <c r="AZ545" i="6"/>
  <c r="AP545" i="6"/>
  <c r="AK545" i="6"/>
  <c r="AN545" i="6"/>
  <c r="AL545" i="6"/>
  <c r="BA545" i="6"/>
  <c r="AT545" i="6"/>
  <c r="AV545" i="6"/>
  <c r="AX545" i="6"/>
  <c r="AW545" i="6"/>
  <c r="AQ545" i="6"/>
  <c r="AO545" i="6"/>
  <c r="AY545" i="6"/>
  <c r="AS545" i="6"/>
  <c r="AR67" i="6"/>
  <c r="AS67" i="6"/>
  <c r="AO67" i="6"/>
  <c r="AV67" i="6"/>
  <c r="AP67" i="6"/>
  <c r="AZ67" i="6"/>
  <c r="AL67" i="6"/>
  <c r="AN67" i="6"/>
  <c r="AM67" i="6"/>
  <c r="AX67" i="6"/>
  <c r="AQ67" i="6"/>
  <c r="AW67" i="6"/>
  <c r="BA67" i="6"/>
  <c r="AU67" i="6"/>
  <c r="AT67" i="6"/>
  <c r="AY67" i="6"/>
  <c r="AK67" i="6"/>
  <c r="AK211" i="6"/>
  <c r="AP211" i="6"/>
  <c r="AT211" i="6"/>
  <c r="AO211" i="6"/>
  <c r="AU211" i="6"/>
  <c r="AX211" i="6"/>
  <c r="BA211" i="6"/>
  <c r="AR211" i="6"/>
  <c r="AW211" i="6"/>
  <c r="AM211" i="6"/>
  <c r="AL211" i="6"/>
  <c r="AS211" i="6"/>
  <c r="AY211" i="6"/>
  <c r="AV211" i="6"/>
  <c r="AQ211" i="6"/>
  <c r="AN211" i="6"/>
  <c r="AZ211" i="6"/>
  <c r="AV306" i="6"/>
  <c r="AO306" i="6"/>
  <c r="AL306" i="6"/>
  <c r="BA306" i="6"/>
  <c r="AT306" i="6"/>
  <c r="AP306" i="6"/>
  <c r="AX306" i="6"/>
  <c r="AZ306" i="6"/>
  <c r="AU306" i="6"/>
  <c r="AS306" i="6"/>
  <c r="AK306" i="6"/>
  <c r="AM306" i="6"/>
  <c r="AQ306" i="6"/>
  <c r="AR306" i="6"/>
  <c r="AW306" i="6"/>
  <c r="AN306" i="6"/>
  <c r="AY306" i="6"/>
  <c r="BA268" i="6"/>
  <c r="AM268" i="6"/>
  <c r="AT268" i="6"/>
  <c r="AO268" i="6"/>
  <c r="AW268" i="6"/>
  <c r="AY268" i="6"/>
  <c r="AP268" i="6"/>
  <c r="AU268" i="6"/>
  <c r="AZ268" i="6"/>
  <c r="AV268" i="6"/>
  <c r="AQ268" i="6"/>
  <c r="AL268" i="6"/>
  <c r="AN268" i="6"/>
  <c r="AR268" i="6"/>
  <c r="AS268" i="6"/>
  <c r="AK268" i="6"/>
  <c r="AX268" i="6"/>
  <c r="AL210" i="6"/>
  <c r="AZ210" i="6"/>
  <c r="AK210" i="6"/>
  <c r="AQ210" i="6"/>
  <c r="AX210" i="6"/>
  <c r="AW210" i="6"/>
  <c r="AM210" i="6"/>
  <c r="AY210" i="6"/>
  <c r="AR210" i="6"/>
  <c r="AU210" i="6"/>
  <c r="AP210" i="6"/>
  <c r="BA210" i="6"/>
  <c r="AT210" i="6"/>
  <c r="AN210" i="6"/>
  <c r="AV210" i="6"/>
  <c r="AS210" i="6"/>
  <c r="AO210" i="6"/>
  <c r="AW689" i="6"/>
  <c r="AR689" i="6"/>
  <c r="BA689" i="6"/>
  <c r="AX689" i="6"/>
  <c r="AV689" i="6"/>
  <c r="AY689" i="6"/>
  <c r="AQ689" i="6"/>
  <c r="AL689" i="6"/>
  <c r="AN689" i="6"/>
  <c r="AS689" i="6"/>
  <c r="AP689" i="6"/>
  <c r="AM689" i="6"/>
  <c r="AT689" i="6"/>
  <c r="AO689" i="6"/>
  <c r="AU689" i="6"/>
  <c r="AZ689" i="6"/>
  <c r="AK689" i="6"/>
  <c r="AT699" i="6"/>
  <c r="AP699" i="6"/>
  <c r="AU699" i="6"/>
  <c r="AM699" i="6"/>
  <c r="AR699" i="6"/>
  <c r="AN699" i="6"/>
  <c r="AV699" i="6"/>
  <c r="AY699" i="6"/>
  <c r="AQ699" i="6"/>
  <c r="AX699" i="6"/>
  <c r="BA699" i="6"/>
  <c r="AS699" i="6"/>
  <c r="AO699" i="6"/>
  <c r="AZ699" i="6"/>
  <c r="AL699" i="6"/>
  <c r="AK699" i="6"/>
  <c r="AW699" i="6"/>
  <c r="AY725" i="6"/>
  <c r="BA725" i="6"/>
  <c r="AL725" i="6"/>
  <c r="AO725" i="6"/>
  <c r="AM725" i="6"/>
  <c r="AP725" i="6"/>
  <c r="AQ725" i="6"/>
  <c r="AK725" i="6"/>
  <c r="AW725" i="6"/>
  <c r="AX725" i="6"/>
  <c r="AN725" i="6"/>
  <c r="AZ725" i="6"/>
  <c r="AS725" i="6"/>
  <c r="AU725" i="6"/>
  <c r="AR725" i="6"/>
  <c r="AT725" i="6"/>
  <c r="AV725" i="6"/>
  <c r="AP726" i="6"/>
  <c r="AX726" i="6"/>
  <c r="AZ726" i="6"/>
  <c r="AT726" i="6"/>
  <c r="AO726" i="6"/>
  <c r="BA726" i="6"/>
  <c r="AU726" i="6"/>
  <c r="AR726" i="6"/>
  <c r="AS726" i="6"/>
  <c r="AW726" i="6"/>
  <c r="AN726" i="6"/>
  <c r="AM726" i="6"/>
  <c r="AQ726" i="6"/>
  <c r="AV726" i="6"/>
  <c r="AL726" i="6"/>
  <c r="AK726" i="6"/>
  <c r="AY726" i="6"/>
  <c r="AX510" i="6"/>
  <c r="AO510" i="6"/>
  <c r="AT510" i="6"/>
  <c r="AM510" i="6"/>
  <c r="AV510" i="6"/>
  <c r="AK510" i="6"/>
  <c r="AL510" i="6"/>
  <c r="AP510" i="6"/>
  <c r="AR510" i="6"/>
  <c r="AW510" i="6"/>
  <c r="AQ510" i="6"/>
  <c r="AU510" i="6"/>
  <c r="BA510" i="6"/>
  <c r="AN510" i="6"/>
  <c r="AY510" i="6"/>
  <c r="AS510" i="6"/>
  <c r="AZ510" i="6"/>
  <c r="AO250" i="6"/>
  <c r="AY250" i="6"/>
  <c r="AX250" i="6"/>
  <c r="AN250" i="6"/>
  <c r="AT250" i="6"/>
  <c r="AQ250" i="6"/>
  <c r="AS250" i="6"/>
  <c r="AP250" i="6"/>
  <c r="AK250" i="6"/>
  <c r="AU250" i="6"/>
  <c r="AZ250" i="6"/>
  <c r="AW250" i="6"/>
  <c r="AR250" i="6"/>
  <c r="AM250" i="6"/>
  <c r="BA250" i="6"/>
  <c r="AV250" i="6"/>
  <c r="AL250" i="6"/>
  <c r="AX549" i="6"/>
  <c r="AV549" i="6"/>
  <c r="AY549" i="6"/>
  <c r="AU549" i="6"/>
  <c r="BA549" i="6"/>
  <c r="AW549" i="6"/>
  <c r="AS549" i="6"/>
  <c r="AT549" i="6"/>
  <c r="AZ549" i="6"/>
  <c r="AO549" i="6"/>
  <c r="AN549" i="6"/>
  <c r="AR549" i="6"/>
  <c r="AK549" i="6"/>
  <c r="AP549" i="6"/>
  <c r="AQ549" i="6"/>
  <c r="AM549" i="6"/>
  <c r="AL549" i="6"/>
  <c r="AL455" i="6"/>
  <c r="AT455" i="6"/>
  <c r="AR455" i="6"/>
  <c r="AM455" i="6"/>
  <c r="AV455" i="6"/>
  <c r="AX455" i="6"/>
  <c r="AZ455" i="6"/>
  <c r="AS455" i="6"/>
  <c r="AO455" i="6"/>
  <c r="AK455" i="6"/>
  <c r="AQ455" i="6"/>
  <c r="AP455" i="6"/>
  <c r="AW455" i="6"/>
  <c r="AN455" i="6"/>
  <c r="AY455" i="6"/>
  <c r="BA455" i="6"/>
  <c r="AU455" i="6"/>
  <c r="AW326" i="6"/>
  <c r="AP326" i="6"/>
  <c r="AX326" i="6"/>
  <c r="AR326" i="6"/>
  <c r="BA326" i="6"/>
  <c r="AO326" i="6"/>
  <c r="AU326" i="6"/>
  <c r="AV326" i="6"/>
  <c r="AT326" i="6"/>
  <c r="AL326" i="6"/>
  <c r="AM326" i="6"/>
  <c r="AN326" i="6"/>
  <c r="AQ326" i="6"/>
  <c r="AS326" i="6"/>
  <c r="AY326" i="6"/>
  <c r="AK326" i="6"/>
  <c r="AZ326" i="6"/>
  <c r="AU94" i="6"/>
  <c r="AR94" i="6"/>
  <c r="BA94" i="6"/>
  <c r="AY94" i="6"/>
  <c r="AT94" i="6"/>
  <c r="AP94" i="6"/>
  <c r="AN94" i="6"/>
  <c r="AZ94" i="6"/>
  <c r="AS94" i="6"/>
  <c r="AK94" i="6"/>
  <c r="AL94" i="6"/>
  <c r="AM94" i="6"/>
  <c r="AV94" i="6"/>
  <c r="AX94" i="6"/>
  <c r="AQ94" i="6"/>
  <c r="AW94" i="6"/>
  <c r="AO94" i="6"/>
  <c r="AX709" i="6"/>
  <c r="AT709" i="6"/>
  <c r="AL709" i="6"/>
  <c r="AY709" i="6"/>
  <c r="AO709" i="6"/>
  <c r="AU709" i="6"/>
  <c r="AW709" i="6"/>
  <c r="AN709" i="6"/>
  <c r="AM709" i="6"/>
  <c r="AS709" i="6"/>
  <c r="AZ709" i="6"/>
  <c r="AV709" i="6"/>
  <c r="AR709" i="6"/>
  <c r="AK709" i="6"/>
  <c r="AP709" i="6"/>
  <c r="BA709" i="6"/>
  <c r="AQ709" i="6"/>
  <c r="BA683" i="6"/>
  <c r="AS683" i="6"/>
  <c r="AZ683" i="6"/>
  <c r="AX683" i="6"/>
  <c r="AU683" i="6"/>
  <c r="AR683" i="6"/>
  <c r="AT683" i="6"/>
  <c r="AP683" i="6"/>
  <c r="AO683" i="6"/>
  <c r="AM683" i="6"/>
  <c r="AY683" i="6"/>
  <c r="AL683" i="6"/>
  <c r="AN683" i="6"/>
  <c r="AV683" i="6"/>
  <c r="AQ683" i="6"/>
  <c r="AK683" i="6"/>
  <c r="AW683" i="6"/>
  <c r="AP172" i="6"/>
  <c r="AV172" i="6"/>
  <c r="BA172" i="6"/>
  <c r="AK172" i="6"/>
  <c r="AS172" i="6"/>
  <c r="AN172" i="6"/>
  <c r="AX172" i="6"/>
  <c r="AM172" i="6"/>
  <c r="AZ172" i="6"/>
  <c r="AU172" i="6"/>
  <c r="AQ172" i="6"/>
  <c r="AO172" i="6"/>
  <c r="AL172" i="6"/>
  <c r="AT172" i="6"/>
  <c r="AW172" i="6"/>
  <c r="AR172" i="6"/>
  <c r="AY172" i="6"/>
  <c r="AW388" i="6"/>
  <c r="AV388" i="6"/>
  <c r="AK388" i="6"/>
  <c r="AY388" i="6"/>
  <c r="AS388" i="6"/>
  <c r="AO388" i="6"/>
  <c r="AM388" i="6"/>
  <c r="AU388" i="6"/>
  <c r="BA388" i="6"/>
  <c r="AL388" i="6"/>
  <c r="AX388" i="6"/>
  <c r="AN388" i="6"/>
  <c r="AP388" i="6"/>
  <c r="AQ388" i="6"/>
  <c r="AT388" i="6"/>
  <c r="AZ388" i="6"/>
  <c r="AR388" i="6"/>
  <c r="AV437" i="6"/>
  <c r="AZ437" i="6"/>
  <c r="AM437" i="6"/>
  <c r="AN437" i="6"/>
  <c r="AO437" i="6"/>
  <c r="AS437" i="6"/>
  <c r="AK437" i="6"/>
  <c r="AW437" i="6"/>
  <c r="BA437" i="6"/>
  <c r="AR437" i="6"/>
  <c r="AY437" i="6"/>
  <c r="AU437" i="6"/>
  <c r="AL437" i="6"/>
  <c r="AQ437" i="6"/>
  <c r="AP437" i="6"/>
  <c r="AT437" i="6"/>
  <c r="AX437" i="6"/>
  <c r="AZ32" i="6"/>
  <c r="AQ32" i="6"/>
  <c r="AY32" i="6"/>
  <c r="AW32" i="6"/>
  <c r="BA32" i="6"/>
  <c r="AK32" i="6"/>
  <c r="AP32" i="6"/>
  <c r="AN32" i="6"/>
  <c r="AR32" i="6"/>
  <c r="AS32" i="6"/>
  <c r="AU32" i="6"/>
  <c r="AT32" i="6"/>
  <c r="AM32" i="6"/>
  <c r="AV32" i="6"/>
  <c r="AO32" i="6"/>
  <c r="AX32" i="6"/>
  <c r="AL32" i="6"/>
  <c r="AM641" i="6"/>
  <c r="AU641" i="6"/>
  <c r="AZ641" i="6"/>
  <c r="AN641" i="6"/>
  <c r="AY641" i="6"/>
  <c r="AP641" i="6"/>
  <c r="AR641" i="6"/>
  <c r="BA641" i="6"/>
  <c r="AX641" i="6"/>
  <c r="AL641" i="6"/>
  <c r="AO641" i="6"/>
  <c r="AS641" i="6"/>
  <c r="AV641" i="6"/>
  <c r="AT641" i="6"/>
  <c r="AQ641" i="6"/>
  <c r="AK641" i="6"/>
  <c r="AW641" i="6"/>
  <c r="AX423" i="6"/>
  <c r="AT423" i="6"/>
  <c r="AW423" i="6"/>
  <c r="AZ423" i="6"/>
  <c r="AP423" i="6"/>
  <c r="BA423" i="6"/>
  <c r="AK423" i="6"/>
  <c r="AV423" i="6"/>
  <c r="AL423" i="6"/>
  <c r="AR423" i="6"/>
  <c r="AQ423" i="6"/>
  <c r="AN423" i="6"/>
  <c r="AO423" i="6"/>
  <c r="AY423" i="6"/>
  <c r="AU423" i="6"/>
  <c r="AM423" i="6"/>
  <c r="AS423" i="6"/>
  <c r="AT252" i="6"/>
  <c r="AM252" i="6"/>
  <c r="AN252" i="6"/>
  <c r="AY252" i="6"/>
  <c r="AL252" i="6"/>
  <c r="AX252" i="6"/>
  <c r="AZ252" i="6"/>
  <c r="AW252" i="6"/>
  <c r="AQ252" i="6"/>
  <c r="AP252" i="6"/>
  <c r="AO252" i="6"/>
  <c r="AR252" i="6"/>
  <c r="AS252" i="6"/>
  <c r="AK252" i="6"/>
  <c r="BA252" i="6"/>
  <c r="AU252" i="6"/>
  <c r="AV252" i="6"/>
  <c r="AL439" i="6"/>
  <c r="AS439" i="6"/>
  <c r="AX439" i="6"/>
  <c r="AQ439" i="6"/>
  <c r="AN439" i="6"/>
  <c r="AW439" i="6"/>
  <c r="BA439" i="6"/>
  <c r="AP439" i="6"/>
  <c r="AZ439" i="6"/>
  <c r="AV439" i="6"/>
  <c r="AT439" i="6"/>
  <c r="AY439" i="6"/>
  <c r="AR439" i="6"/>
  <c r="AO439" i="6"/>
  <c r="AK439" i="6"/>
  <c r="AM439" i="6"/>
  <c r="AU439" i="6"/>
  <c r="AQ25" i="6"/>
  <c r="AU25" i="6"/>
  <c r="AX25" i="6"/>
  <c r="AK25" i="6"/>
  <c r="AL25" i="6"/>
  <c r="AS25" i="6"/>
  <c r="AZ25" i="6"/>
  <c r="AR25" i="6"/>
  <c r="AV25" i="6"/>
  <c r="AT25" i="6"/>
  <c r="AM25" i="6"/>
  <c r="AO25" i="6"/>
  <c r="BA25" i="6"/>
  <c r="AW25" i="6"/>
  <c r="AP25" i="6"/>
  <c r="AY25" i="6"/>
  <c r="AN25" i="6"/>
  <c r="AN655" i="6"/>
  <c r="AT655" i="6"/>
  <c r="AR655" i="6"/>
  <c r="AB223" i="8" s="1"/>
  <c r="AM655" i="6"/>
  <c r="AW655" i="6"/>
  <c r="AK655" i="6"/>
  <c r="AS655" i="6"/>
  <c r="AU655" i="6"/>
  <c r="AP655" i="6"/>
  <c r="AV655" i="6"/>
  <c r="AZ655" i="6"/>
  <c r="AX655" i="6"/>
  <c r="AL655" i="6"/>
  <c r="AQ655" i="6"/>
  <c r="AO655" i="6"/>
  <c r="AY655" i="6"/>
  <c r="BA655" i="6"/>
  <c r="AZ396" i="6"/>
  <c r="AN396" i="6"/>
  <c r="AQ396" i="6"/>
  <c r="AR396" i="6"/>
  <c r="AM396" i="6"/>
  <c r="AL396" i="6"/>
  <c r="AS396" i="6"/>
  <c r="AV396" i="6"/>
  <c r="AP396" i="6"/>
  <c r="AX396" i="6"/>
  <c r="AW396" i="6"/>
  <c r="AO396" i="6"/>
  <c r="AK396" i="6"/>
  <c r="AU396" i="6"/>
  <c r="BA396" i="6"/>
  <c r="AY396" i="6"/>
  <c r="AT396" i="6"/>
  <c r="AL554" i="6"/>
  <c r="AS554" i="6"/>
  <c r="AR554" i="6"/>
  <c r="AX554" i="6"/>
  <c r="AN554" i="6"/>
  <c r="AM554" i="6"/>
  <c r="AV554" i="6"/>
  <c r="AU554" i="6"/>
  <c r="AP554" i="6"/>
  <c r="AZ554" i="6"/>
  <c r="AQ554" i="6"/>
  <c r="AT554" i="6"/>
  <c r="BA554" i="6"/>
  <c r="AO554" i="6"/>
  <c r="AK554" i="6"/>
  <c r="AY554" i="6"/>
  <c r="AW554" i="6"/>
  <c r="AY310" i="6"/>
  <c r="AM310" i="6"/>
  <c r="AL310" i="6"/>
  <c r="AT310" i="6"/>
  <c r="AN310" i="6"/>
  <c r="AR310" i="6"/>
  <c r="AW310" i="6"/>
  <c r="AU310" i="6"/>
  <c r="AK310" i="6"/>
  <c r="AV310" i="6"/>
  <c r="AP310" i="6"/>
  <c r="BA310" i="6"/>
  <c r="AS310" i="6"/>
  <c r="AX310" i="6"/>
  <c r="AO310" i="6"/>
  <c r="AZ310" i="6"/>
  <c r="AQ310" i="6"/>
  <c r="AY499" i="6"/>
  <c r="AV499" i="6"/>
  <c r="AT499" i="6"/>
  <c r="AL499" i="6"/>
  <c r="AP499" i="6"/>
  <c r="AQ499" i="6"/>
  <c r="AM499" i="6"/>
  <c r="AR499" i="6"/>
  <c r="AO499" i="6"/>
  <c r="BA499" i="6"/>
  <c r="AN499" i="6"/>
  <c r="AZ499" i="6"/>
  <c r="AS499" i="6"/>
  <c r="AK499" i="6"/>
  <c r="AW499" i="6"/>
  <c r="AU499" i="6"/>
  <c r="AX499" i="6"/>
  <c r="AR429" i="6"/>
  <c r="AT429" i="6"/>
  <c r="AY429" i="6"/>
  <c r="AK429" i="6"/>
  <c r="AQ429" i="6"/>
  <c r="AS429" i="6"/>
  <c r="AO429" i="6"/>
  <c r="BA429" i="6"/>
  <c r="AL429" i="6"/>
  <c r="AP429" i="6"/>
  <c r="AN429" i="6"/>
  <c r="AZ429" i="6"/>
  <c r="AV429" i="6"/>
  <c r="AM429" i="6"/>
  <c r="AU429" i="6"/>
  <c r="AX429" i="6"/>
  <c r="AW429" i="6"/>
  <c r="AW685" i="6"/>
  <c r="BA685" i="6"/>
  <c r="AU685" i="6"/>
  <c r="AX685" i="6"/>
  <c r="AK685" i="6"/>
  <c r="AP685" i="6"/>
  <c r="AT685" i="6"/>
  <c r="AV685" i="6"/>
  <c r="AQ685" i="6"/>
  <c r="AS685" i="6"/>
  <c r="AZ685" i="6"/>
  <c r="AL685" i="6"/>
  <c r="AM685" i="6"/>
  <c r="AO685" i="6"/>
  <c r="AR685" i="6"/>
  <c r="AY685" i="6"/>
  <c r="AN685" i="6"/>
  <c r="AT470" i="6"/>
  <c r="AP470" i="6"/>
  <c r="AM470" i="6"/>
  <c r="AN470" i="6"/>
  <c r="AQ470" i="6"/>
  <c r="AS470" i="6"/>
  <c r="AR470" i="6"/>
  <c r="AL470" i="6"/>
  <c r="AW470" i="6"/>
  <c r="AX470" i="6"/>
  <c r="AK470" i="6"/>
  <c r="BA470" i="6"/>
  <c r="AU470" i="6"/>
  <c r="AV470" i="6"/>
  <c r="AO470" i="6"/>
  <c r="AY470" i="6"/>
  <c r="AZ470" i="6"/>
  <c r="AY612" i="6"/>
  <c r="AK612" i="6"/>
  <c r="AO612" i="6"/>
  <c r="AS612" i="6"/>
  <c r="AM612" i="6"/>
  <c r="AX612" i="6"/>
  <c r="AR612" i="6"/>
  <c r="AN612" i="6"/>
  <c r="AP612" i="6"/>
  <c r="AZ612" i="6"/>
  <c r="AU612" i="6"/>
  <c r="AL612" i="6"/>
  <c r="BA612" i="6"/>
  <c r="AT612" i="6"/>
  <c r="AV612" i="6"/>
  <c r="AW612" i="6"/>
  <c r="AQ612" i="6"/>
  <c r="AX422" i="6"/>
  <c r="AU422" i="6"/>
  <c r="AQ422" i="6"/>
  <c r="AT422" i="6"/>
  <c r="AR422" i="6"/>
  <c r="BA422" i="6"/>
  <c r="AW422" i="6"/>
  <c r="AV422" i="6"/>
  <c r="AK422" i="6"/>
  <c r="AS422" i="6"/>
  <c r="AL422" i="6"/>
  <c r="AO422" i="6"/>
  <c r="AZ422" i="6"/>
  <c r="AM422" i="6"/>
  <c r="AN422" i="6"/>
  <c r="AP422" i="6"/>
  <c r="AY422" i="6"/>
  <c r="AS335" i="6"/>
  <c r="AM335" i="6"/>
  <c r="BA335" i="6"/>
  <c r="AV335" i="6"/>
  <c r="AU335" i="6"/>
  <c r="AK335" i="6"/>
  <c r="AQ335" i="6"/>
  <c r="AW335" i="6"/>
  <c r="AY335" i="6"/>
  <c r="AP335" i="6"/>
  <c r="AL335" i="6"/>
  <c r="AT335" i="6"/>
  <c r="AX335" i="6"/>
  <c r="AO335" i="6"/>
  <c r="AZ335" i="6"/>
  <c r="AR335" i="6"/>
  <c r="AN335" i="6"/>
  <c r="AV387" i="6"/>
  <c r="AZ387" i="6"/>
  <c r="AU387" i="6"/>
  <c r="AP387" i="6"/>
  <c r="AM387" i="6"/>
  <c r="AQ387" i="6"/>
  <c r="BA387" i="6"/>
  <c r="AK387" i="6"/>
  <c r="AX387" i="6"/>
  <c r="AO387" i="6"/>
  <c r="AL387" i="6"/>
  <c r="AN387" i="6"/>
  <c r="AS387" i="6"/>
  <c r="AY387" i="6"/>
  <c r="AR387" i="6"/>
  <c r="AT387" i="6"/>
  <c r="AW387" i="6"/>
  <c r="AV420" i="6"/>
  <c r="AP420" i="6"/>
  <c r="AN420" i="6"/>
  <c r="AR420" i="6"/>
  <c r="AL420" i="6"/>
  <c r="AU420" i="6"/>
  <c r="AY420" i="6"/>
  <c r="AS420" i="6"/>
  <c r="AX420" i="6"/>
  <c r="AZ420" i="6"/>
  <c r="AM420" i="6"/>
  <c r="AW420" i="6"/>
  <c r="AQ420" i="6"/>
  <c r="AT420" i="6"/>
  <c r="AO420" i="6"/>
  <c r="BA420" i="6"/>
  <c r="AK420" i="6"/>
  <c r="AL364" i="6"/>
  <c r="AV364" i="6"/>
  <c r="AY364" i="6"/>
  <c r="AP364" i="6"/>
  <c r="AS364" i="6"/>
  <c r="AK364" i="6"/>
  <c r="AO364" i="6"/>
  <c r="AR364" i="6"/>
  <c r="AZ364" i="6"/>
  <c r="AX364" i="6"/>
  <c r="BA364" i="6"/>
  <c r="AM364" i="6"/>
  <c r="AN364" i="6"/>
  <c r="AQ364" i="6"/>
  <c r="AT364" i="6"/>
  <c r="AU364" i="6"/>
  <c r="AW364" i="6"/>
  <c r="AX341" i="6"/>
  <c r="AR341" i="6"/>
  <c r="AO341" i="6"/>
  <c r="AY341" i="6"/>
  <c r="AZ341" i="6"/>
  <c r="AM341" i="6"/>
  <c r="AU341" i="6"/>
  <c r="BA341" i="6"/>
  <c r="AW341" i="6"/>
  <c r="AT341" i="6"/>
  <c r="AV341" i="6"/>
  <c r="AP341" i="6"/>
  <c r="AN341" i="6"/>
  <c r="AK341" i="6"/>
  <c r="AQ341" i="6"/>
  <c r="AS341" i="6"/>
  <c r="AL341" i="6"/>
  <c r="AL645" i="6"/>
  <c r="AR645" i="6"/>
  <c r="AP645" i="6"/>
  <c r="AQ645" i="6"/>
  <c r="AY645" i="6"/>
  <c r="AU645" i="6"/>
  <c r="AM645" i="6"/>
  <c r="AW645" i="6"/>
  <c r="BA645" i="6"/>
  <c r="AT645" i="6"/>
  <c r="AK645" i="6"/>
  <c r="AZ645" i="6"/>
  <c r="AO645" i="6"/>
  <c r="AX645" i="6"/>
  <c r="AV645" i="6"/>
  <c r="AS645" i="6"/>
  <c r="AN645" i="6"/>
  <c r="AK315" i="6"/>
  <c r="AR315" i="6"/>
  <c r="AL315" i="6"/>
  <c r="AW315" i="6"/>
  <c r="AO315" i="6"/>
  <c r="AT315" i="6"/>
  <c r="AZ315" i="6"/>
  <c r="AQ315" i="6"/>
  <c r="AV315" i="6"/>
  <c r="AP315" i="6"/>
  <c r="BA315" i="6"/>
  <c r="AM315" i="6"/>
  <c r="AN315" i="6"/>
  <c r="AU315" i="6"/>
  <c r="AX315" i="6"/>
  <c r="AY315" i="6"/>
  <c r="AS315" i="6"/>
  <c r="AX692" i="6"/>
  <c r="AW692" i="6"/>
  <c r="AK692" i="6"/>
  <c r="AV692" i="6"/>
  <c r="AR692" i="6"/>
  <c r="AS692" i="6"/>
  <c r="AZ692" i="6"/>
  <c r="AL692" i="6"/>
  <c r="AT692" i="6"/>
  <c r="BA692" i="6"/>
  <c r="AM692" i="6"/>
  <c r="AP692" i="6"/>
  <c r="AN692" i="6"/>
  <c r="AU692" i="6"/>
  <c r="AQ692" i="6"/>
  <c r="AO692" i="6"/>
  <c r="AY692" i="6"/>
  <c r="AS380" i="6"/>
  <c r="AK380" i="6"/>
  <c r="AU380" i="6"/>
  <c r="AO380" i="6"/>
  <c r="BA380" i="6"/>
  <c r="AP380" i="6"/>
  <c r="AR380" i="6"/>
  <c r="AY380" i="6"/>
  <c r="AN380" i="6"/>
  <c r="AT380" i="6"/>
  <c r="AZ380" i="6"/>
  <c r="AW380" i="6"/>
  <c r="AQ380" i="6"/>
  <c r="AM380" i="6"/>
  <c r="AL380" i="6"/>
  <c r="AV380" i="6"/>
  <c r="AX380" i="6"/>
  <c r="AM28" i="6"/>
  <c r="AZ28" i="6"/>
  <c r="AV28" i="6"/>
  <c r="AY28" i="6"/>
  <c r="AL28" i="6"/>
  <c r="AT28" i="6"/>
  <c r="AK28" i="6"/>
  <c r="AP28" i="6"/>
  <c r="AS28" i="6"/>
  <c r="AR28" i="6"/>
  <c r="AO28" i="6"/>
  <c r="BA28" i="6"/>
  <c r="AX28" i="6"/>
  <c r="AW28" i="6"/>
  <c r="AQ28" i="6"/>
  <c r="AN28" i="6"/>
  <c r="AU28" i="6"/>
  <c r="AL90" i="6"/>
  <c r="AQ90" i="6"/>
  <c r="AP90" i="6"/>
  <c r="AV90" i="6"/>
  <c r="AK90" i="6"/>
  <c r="AS90" i="6"/>
  <c r="AX90" i="6"/>
  <c r="AR90" i="6"/>
  <c r="BA90" i="6"/>
  <c r="AT90" i="6"/>
  <c r="AO90" i="6"/>
  <c r="AN90" i="6"/>
  <c r="AY90" i="6"/>
  <c r="AM90" i="6"/>
  <c r="AW90" i="6"/>
  <c r="AZ90" i="6"/>
  <c r="AU90" i="6"/>
  <c r="AS232" i="6"/>
  <c r="AZ232" i="6"/>
  <c r="AW232" i="6"/>
  <c r="AP232" i="6"/>
  <c r="AL232" i="6"/>
  <c r="AQ232" i="6"/>
  <c r="AR232" i="6"/>
  <c r="BA232" i="6"/>
  <c r="AN232" i="6"/>
  <c r="AX232" i="6"/>
  <c r="AO232" i="6"/>
  <c r="AM232" i="6"/>
  <c r="AU232" i="6"/>
  <c r="AV232" i="6"/>
  <c r="AY232" i="6"/>
  <c r="AK232" i="6"/>
  <c r="AT232" i="6"/>
  <c r="BA337" i="6"/>
  <c r="AS337" i="6"/>
  <c r="AL337" i="6"/>
  <c r="AM337" i="6"/>
  <c r="AZ337" i="6"/>
  <c r="AK337" i="6"/>
  <c r="AT337" i="6"/>
  <c r="AO337" i="6"/>
  <c r="AR337" i="6"/>
  <c r="AV337" i="6"/>
  <c r="AQ337" i="6"/>
  <c r="AN337" i="6"/>
  <c r="AP337" i="6"/>
  <c r="AX337" i="6"/>
  <c r="AU337" i="6"/>
  <c r="AY337" i="6"/>
  <c r="AW337" i="6"/>
  <c r="AK482" i="6"/>
  <c r="AL482" i="6"/>
  <c r="AU482" i="6"/>
  <c r="AY482" i="6"/>
  <c r="AQ482" i="6"/>
  <c r="BA482" i="6"/>
  <c r="AR482" i="6"/>
  <c r="AX482" i="6"/>
  <c r="AN482" i="6"/>
  <c r="AV482" i="6"/>
  <c r="AW482" i="6"/>
  <c r="AS482" i="6"/>
  <c r="AZ482" i="6"/>
  <c r="AP482" i="6"/>
  <c r="AM482" i="6"/>
  <c r="AT482" i="6"/>
  <c r="AO482" i="6"/>
  <c r="AM350" i="6"/>
  <c r="AO350" i="6"/>
  <c r="AY350" i="6"/>
  <c r="AT350" i="6"/>
  <c r="AS350" i="6"/>
  <c r="AW350" i="6"/>
  <c r="AV350" i="6"/>
  <c r="AK350" i="6"/>
  <c r="AQ350" i="6"/>
  <c r="AZ350" i="6"/>
  <c r="AU350" i="6"/>
  <c r="AR350" i="6"/>
  <c r="AN350" i="6"/>
  <c r="BA350" i="6"/>
  <c r="AP350" i="6"/>
  <c r="AX350" i="6"/>
  <c r="AL350" i="6"/>
  <c r="AV690" i="6"/>
  <c r="AW690" i="6"/>
  <c r="AQ690" i="6"/>
  <c r="AY690" i="6"/>
  <c r="AT690" i="6"/>
  <c r="AM690" i="6"/>
  <c r="AX690" i="6"/>
  <c r="AO690" i="6"/>
  <c r="AN690" i="6"/>
  <c r="AP690" i="6"/>
  <c r="AZ690" i="6"/>
  <c r="AS690" i="6"/>
  <c r="AR690" i="6"/>
  <c r="AU690" i="6"/>
  <c r="BA690" i="6"/>
  <c r="AL690" i="6"/>
  <c r="AK690" i="6"/>
  <c r="AY529" i="6"/>
  <c r="BA529" i="6"/>
  <c r="AZ529" i="6"/>
  <c r="AP529" i="6"/>
  <c r="AM529" i="6"/>
  <c r="AN529" i="6"/>
  <c r="AO529" i="6"/>
  <c r="AQ529" i="6"/>
  <c r="AV529" i="6"/>
  <c r="AR529" i="6"/>
  <c r="AW529" i="6"/>
  <c r="AU529" i="6"/>
  <c r="AL529" i="6"/>
  <c r="AT529" i="6"/>
  <c r="AK529" i="6"/>
  <c r="AS529" i="6"/>
  <c r="AX529" i="6"/>
  <c r="AS619" i="6"/>
  <c r="AZ619" i="6"/>
  <c r="AW619" i="6"/>
  <c r="AV619" i="6"/>
  <c r="AP619" i="6"/>
  <c r="AL619" i="6"/>
  <c r="BA619" i="6"/>
  <c r="AK619" i="6"/>
  <c r="AY619" i="6"/>
  <c r="AN619" i="6"/>
  <c r="AM619" i="6"/>
  <c r="AU619" i="6"/>
  <c r="AO619" i="6"/>
  <c r="AQ619" i="6"/>
  <c r="AR619" i="6"/>
  <c r="AX619" i="6"/>
  <c r="AT619" i="6"/>
  <c r="AK514" i="6"/>
  <c r="AL514" i="6"/>
  <c r="AR514" i="6"/>
  <c r="AT514" i="6"/>
  <c r="AS514" i="6"/>
  <c r="AQ514" i="6"/>
  <c r="AN514" i="6"/>
  <c r="AX514" i="6"/>
  <c r="BA514" i="6"/>
  <c r="AY514" i="6"/>
  <c r="AM514" i="6"/>
  <c r="AW514" i="6"/>
  <c r="AO514" i="6"/>
  <c r="AZ514" i="6"/>
  <c r="AU514" i="6"/>
  <c r="AP514" i="6"/>
  <c r="AV514" i="6"/>
  <c r="AY390" i="6"/>
  <c r="AK390" i="6"/>
  <c r="AV390" i="6"/>
  <c r="AL390" i="6"/>
  <c r="AW390" i="6"/>
  <c r="AP390" i="6"/>
  <c r="BA390" i="6"/>
  <c r="AQ390" i="6"/>
  <c r="AO390" i="6"/>
  <c r="AZ390" i="6"/>
  <c r="AN390" i="6"/>
  <c r="AM390" i="6"/>
  <c r="AT390" i="6"/>
  <c r="AR390" i="6"/>
  <c r="AS390" i="6"/>
  <c r="AX390" i="6"/>
  <c r="AU390" i="6"/>
  <c r="AX511" i="6"/>
  <c r="AY511" i="6"/>
  <c r="AZ511" i="6"/>
  <c r="AO511" i="6"/>
  <c r="AR511" i="6"/>
  <c r="AM511" i="6"/>
  <c r="BA511" i="6"/>
  <c r="AU511" i="6"/>
  <c r="AV511" i="6"/>
  <c r="AK511" i="6"/>
  <c r="AW511" i="6"/>
  <c r="AP511" i="6"/>
  <c r="AT511" i="6"/>
  <c r="AL511" i="6"/>
  <c r="AQ511" i="6"/>
  <c r="AN511" i="6"/>
  <c r="AS511" i="6"/>
  <c r="AP412" i="6"/>
  <c r="AL412" i="6"/>
  <c r="AN412" i="6"/>
  <c r="AU412" i="6"/>
  <c r="AZ412" i="6"/>
  <c r="AV412" i="6"/>
  <c r="AX412" i="6"/>
  <c r="AY412" i="6"/>
  <c r="AO412" i="6"/>
  <c r="AK412" i="6"/>
  <c r="AW412" i="6"/>
  <c r="AR412" i="6"/>
  <c r="AT412" i="6"/>
  <c r="AQ412" i="6"/>
  <c r="AS412" i="6"/>
  <c r="BA412" i="6"/>
  <c r="AM412" i="6"/>
  <c r="AZ541" i="6"/>
  <c r="BA541" i="6"/>
  <c r="AR541" i="6"/>
  <c r="AK541" i="6"/>
  <c r="AV541" i="6"/>
  <c r="AO541" i="6"/>
  <c r="AL541" i="6"/>
  <c r="AN541" i="6"/>
  <c r="AP541" i="6"/>
  <c r="AX541" i="6"/>
  <c r="AW541" i="6"/>
  <c r="AU541" i="6"/>
  <c r="AS541" i="6"/>
  <c r="AM541" i="6"/>
  <c r="AY541" i="6"/>
  <c r="AQ541" i="6"/>
  <c r="AT541" i="6"/>
  <c r="AP95" i="6"/>
  <c r="AZ95" i="6"/>
  <c r="AL95" i="6"/>
  <c r="AM95" i="6"/>
  <c r="AO95" i="6"/>
  <c r="AX95" i="6"/>
  <c r="AK95" i="6"/>
  <c r="AT95" i="6"/>
  <c r="AU95" i="6"/>
  <c r="AY95" i="6"/>
  <c r="AR95" i="6"/>
  <c r="AW95" i="6"/>
  <c r="AN95" i="6"/>
  <c r="AV95" i="6"/>
  <c r="BA95" i="6"/>
  <c r="AS95" i="6"/>
  <c r="AQ95" i="6"/>
  <c r="AY122" i="6"/>
  <c r="AW122" i="6"/>
  <c r="AO122" i="6"/>
  <c r="AV122" i="6"/>
  <c r="AZ122" i="6"/>
  <c r="AR122" i="6"/>
  <c r="AM122" i="6"/>
  <c r="AK122" i="6"/>
  <c r="AQ122" i="6"/>
  <c r="BA122" i="6"/>
  <c r="AT122" i="6"/>
  <c r="AN122" i="6"/>
  <c r="AS122" i="6"/>
  <c r="AX122" i="6"/>
  <c r="AP122" i="6"/>
  <c r="AU122" i="6"/>
  <c r="AL122" i="6"/>
  <c r="AZ495" i="6"/>
  <c r="AQ495" i="6"/>
  <c r="AN495" i="6"/>
  <c r="AW495" i="6"/>
  <c r="AL495" i="6"/>
  <c r="AK495" i="6"/>
  <c r="BA495" i="6"/>
  <c r="AT495" i="6"/>
  <c r="AX495" i="6"/>
  <c r="AV495" i="6"/>
  <c r="AY495" i="6"/>
  <c r="AR495" i="6"/>
  <c r="AS495" i="6"/>
  <c r="AP495" i="6"/>
  <c r="AM495" i="6"/>
  <c r="AO495" i="6"/>
  <c r="AU495" i="6"/>
  <c r="AO608" i="6"/>
  <c r="AK608" i="6"/>
  <c r="AP608" i="6"/>
  <c r="AX608" i="6"/>
  <c r="BA608" i="6"/>
  <c r="AW608" i="6"/>
  <c r="AL608" i="6"/>
  <c r="AV608" i="6"/>
  <c r="AN608" i="6"/>
  <c r="AY608" i="6"/>
  <c r="AZ608" i="6"/>
  <c r="AU608" i="6"/>
  <c r="AT608" i="6"/>
  <c r="AS608" i="6"/>
  <c r="AR608" i="6"/>
  <c r="AQ608" i="6"/>
  <c r="AM608" i="6"/>
  <c r="AV430" i="6"/>
  <c r="AX430" i="6"/>
  <c r="AP430" i="6"/>
  <c r="AT430" i="6"/>
  <c r="AM430" i="6"/>
  <c r="AS430" i="6"/>
  <c r="AZ430" i="6"/>
  <c r="AR430" i="6"/>
  <c r="AO430" i="6"/>
  <c r="AY430" i="6"/>
  <c r="AN430" i="6"/>
  <c r="AQ430" i="6"/>
  <c r="AK430" i="6"/>
  <c r="AL430" i="6"/>
  <c r="AW430" i="6"/>
  <c r="AU430" i="6"/>
  <c r="BA430" i="6"/>
  <c r="AM75" i="6"/>
  <c r="AV75" i="6"/>
  <c r="AW75" i="6"/>
  <c r="AK75" i="6"/>
  <c r="AZ75" i="6"/>
  <c r="AY75" i="6"/>
  <c r="AP75" i="6"/>
  <c r="AN75" i="6"/>
  <c r="BA75" i="6"/>
  <c r="AS75" i="6"/>
  <c r="AX75" i="6"/>
  <c r="AQ75" i="6"/>
  <c r="AL75" i="6"/>
  <c r="AU75" i="6"/>
  <c r="AO75" i="6"/>
  <c r="AT75" i="6"/>
  <c r="AR75" i="6"/>
  <c r="AL99" i="6"/>
  <c r="AN99" i="6"/>
  <c r="AO99" i="6"/>
  <c r="AZ99" i="6"/>
  <c r="AW99" i="6"/>
  <c r="AT99" i="6"/>
  <c r="AP99" i="6"/>
  <c r="AM99" i="6"/>
  <c r="AU99" i="6"/>
  <c r="AK99" i="6"/>
  <c r="BA99" i="6"/>
  <c r="AR99" i="6"/>
  <c r="AV99" i="6"/>
  <c r="AS99" i="6"/>
  <c r="AX99" i="6"/>
  <c r="AQ99" i="6"/>
  <c r="AY99" i="6"/>
  <c r="AU703" i="6"/>
  <c r="AO703" i="6"/>
  <c r="AT703" i="6"/>
  <c r="AZ703" i="6"/>
  <c r="AP703" i="6"/>
  <c r="AN703" i="6"/>
  <c r="AX703" i="6"/>
  <c r="AV703" i="6"/>
  <c r="AS703" i="6"/>
  <c r="AM703" i="6"/>
  <c r="AY703" i="6"/>
  <c r="AQ703" i="6"/>
  <c r="AW703" i="6"/>
  <c r="AR703" i="6"/>
  <c r="AL703" i="6"/>
  <c r="AK703" i="6"/>
  <c r="BA703" i="6"/>
  <c r="AM406" i="6"/>
  <c r="BA406" i="6"/>
  <c r="AK406" i="6"/>
  <c r="AW406" i="6"/>
  <c r="AN406" i="6"/>
  <c r="AR406" i="6"/>
  <c r="AL406" i="6"/>
  <c r="AT406" i="6"/>
  <c r="AZ406" i="6"/>
  <c r="AV406" i="6"/>
  <c r="AX406" i="6"/>
  <c r="AS406" i="6"/>
  <c r="AQ406" i="6"/>
  <c r="AP406" i="6"/>
  <c r="AU406" i="6"/>
  <c r="AY406" i="6"/>
  <c r="AO406" i="6"/>
  <c r="AL264" i="6"/>
  <c r="AP264" i="6"/>
  <c r="AS264" i="6"/>
  <c r="AQ264" i="6"/>
  <c r="AO264" i="6"/>
  <c r="AV264" i="6"/>
  <c r="AR264" i="6"/>
  <c r="AT264" i="6"/>
  <c r="AN264" i="6"/>
  <c r="AM264" i="6"/>
  <c r="AW264" i="6"/>
  <c r="BA264" i="6"/>
  <c r="AK264" i="6"/>
  <c r="AX264" i="6"/>
  <c r="AY264" i="6"/>
  <c r="AU264" i="6"/>
  <c r="AZ264" i="6"/>
  <c r="AP332" i="6"/>
  <c r="AX332" i="6"/>
  <c r="AU332" i="6"/>
  <c r="AQ332" i="6"/>
  <c r="AW332" i="6"/>
  <c r="AL332" i="6"/>
  <c r="AR332" i="6"/>
  <c r="AN332" i="6"/>
  <c r="AM332" i="6"/>
  <c r="AY332" i="6"/>
  <c r="AO332" i="6"/>
  <c r="AK332" i="6"/>
  <c r="AT332" i="6"/>
  <c r="BA332" i="6"/>
  <c r="AZ332" i="6"/>
  <c r="AV332" i="6"/>
  <c r="AS332" i="6"/>
  <c r="AO442" i="6"/>
  <c r="AP442" i="6"/>
  <c r="AZ442" i="6"/>
  <c r="AT442" i="6"/>
  <c r="AK442" i="6"/>
  <c r="AL442" i="6"/>
  <c r="BA442" i="6"/>
  <c r="AX442" i="6"/>
  <c r="AR442" i="6"/>
  <c r="AS442" i="6"/>
  <c r="AM442" i="6"/>
  <c r="AQ442" i="6"/>
  <c r="AV442" i="6"/>
  <c r="AY442" i="6"/>
  <c r="AW442" i="6"/>
  <c r="AN442" i="6"/>
  <c r="AU442" i="6"/>
  <c r="AS82" i="6"/>
  <c r="AR82" i="6"/>
  <c r="AO82" i="6"/>
  <c r="AT82" i="6"/>
  <c r="BA82" i="6"/>
  <c r="AZ82" i="6"/>
  <c r="AP82" i="6"/>
  <c r="AX82" i="6"/>
  <c r="AV82" i="6"/>
  <c r="AM82" i="6"/>
  <c r="AL82" i="6"/>
  <c r="AW82" i="6"/>
  <c r="AU82" i="6"/>
  <c r="AQ82" i="6"/>
  <c r="AK82" i="6"/>
  <c r="AY82" i="6"/>
  <c r="AN82" i="6"/>
  <c r="AM366" i="6"/>
  <c r="AL366" i="6"/>
  <c r="AT366" i="6"/>
  <c r="AY366" i="6"/>
  <c r="AU366" i="6"/>
  <c r="AS366" i="6"/>
  <c r="AZ366" i="6"/>
  <c r="AQ366" i="6"/>
  <c r="AR366" i="6"/>
  <c r="AN366" i="6"/>
  <c r="AV366" i="6"/>
  <c r="AO366" i="6"/>
  <c r="BA366" i="6"/>
  <c r="AK366" i="6"/>
  <c r="AX366" i="6"/>
  <c r="AW366" i="6"/>
  <c r="AP366" i="6"/>
  <c r="AV278" i="6"/>
  <c r="AS278" i="6"/>
  <c r="AR278" i="6"/>
  <c r="AQ278" i="6"/>
  <c r="AN278" i="6"/>
  <c r="AZ278" i="6"/>
  <c r="AM278" i="6"/>
  <c r="AX278" i="6"/>
  <c r="AU278" i="6"/>
  <c r="AO278" i="6"/>
  <c r="AL278" i="6"/>
  <c r="AK278" i="6"/>
  <c r="AY278" i="6"/>
  <c r="BA278" i="6"/>
  <c r="AP278" i="6"/>
  <c r="AT278" i="6"/>
  <c r="AW278" i="6"/>
  <c r="AL298" i="6"/>
  <c r="AY298" i="6"/>
  <c r="AM298" i="6"/>
  <c r="AQ298" i="6"/>
  <c r="AN298" i="6"/>
  <c r="AZ298" i="6"/>
  <c r="AU298" i="6"/>
  <c r="AO298" i="6"/>
  <c r="AT298" i="6"/>
  <c r="AW298" i="6"/>
  <c r="AX298" i="6"/>
  <c r="AK298" i="6"/>
  <c r="AV298" i="6"/>
  <c r="AP298" i="6"/>
  <c r="AR298" i="6"/>
  <c r="BA298" i="6"/>
  <c r="AS298" i="6"/>
  <c r="AK698" i="6"/>
  <c r="AV698" i="6"/>
  <c r="AW698" i="6"/>
  <c r="AQ698" i="6"/>
  <c r="AS698" i="6"/>
  <c r="BA698" i="6"/>
  <c r="AR698" i="6"/>
  <c r="AX698" i="6"/>
  <c r="AY698" i="6"/>
  <c r="AO698" i="6"/>
  <c r="AL698" i="6"/>
  <c r="AN698" i="6"/>
  <c r="AZ698" i="6"/>
  <c r="AM698" i="6"/>
  <c r="AT698" i="6"/>
  <c r="AU698" i="6"/>
  <c r="AP698" i="6"/>
  <c r="AL71" i="6"/>
  <c r="AQ71" i="6"/>
  <c r="AO71" i="6"/>
  <c r="AR71" i="6"/>
  <c r="AT71" i="6"/>
  <c r="AZ71" i="6"/>
  <c r="AW71" i="6"/>
  <c r="AP71" i="6"/>
  <c r="AS71" i="6"/>
  <c r="AX71" i="6"/>
  <c r="AY71" i="6"/>
  <c r="AN71" i="6"/>
  <c r="AM71" i="6"/>
  <c r="AU71" i="6"/>
  <c r="AV71" i="6"/>
  <c r="BA71" i="6"/>
  <c r="AK71" i="6"/>
  <c r="AV304" i="6"/>
  <c r="AN304" i="6"/>
  <c r="AQ304" i="6"/>
  <c r="AS304" i="6"/>
  <c r="AR304" i="6"/>
  <c r="BA304" i="6"/>
  <c r="AZ304" i="6"/>
  <c r="AT304" i="6"/>
  <c r="AK304" i="6"/>
  <c r="AX304" i="6"/>
  <c r="AM304" i="6"/>
  <c r="AW304" i="6"/>
  <c r="AL304" i="6"/>
  <c r="AO304" i="6"/>
  <c r="AU304" i="6"/>
  <c r="AP304" i="6"/>
  <c r="AY304" i="6"/>
  <c r="AP41" i="6"/>
  <c r="AK41" i="6"/>
  <c r="AT41" i="6"/>
  <c r="AO41" i="6"/>
  <c r="AW41" i="6"/>
  <c r="BA41" i="6"/>
  <c r="AX41" i="6"/>
  <c r="AL41" i="6"/>
  <c r="AY41" i="6"/>
  <c r="AQ41" i="6"/>
  <c r="AV41" i="6"/>
  <c r="AZ41" i="6"/>
  <c r="AM41" i="6"/>
  <c r="AN41" i="6"/>
  <c r="AS41" i="6"/>
  <c r="AR41" i="6"/>
  <c r="AU41" i="6"/>
  <c r="AK544" i="6"/>
  <c r="AQ544" i="6"/>
  <c r="BA544" i="6"/>
  <c r="AY544" i="6"/>
  <c r="AZ544" i="6"/>
  <c r="AU544" i="6"/>
  <c r="AR544" i="6"/>
  <c r="AX544" i="6"/>
  <c r="AW544" i="6"/>
  <c r="AS544" i="6"/>
  <c r="AO544" i="6"/>
  <c r="AL544" i="6"/>
  <c r="AP544" i="6"/>
  <c r="AM544" i="6"/>
  <c r="AN544" i="6"/>
  <c r="AT544" i="6"/>
  <c r="AV544" i="6"/>
  <c r="AV359" i="6"/>
  <c r="AK359" i="6"/>
  <c r="AU359" i="6"/>
  <c r="AO359" i="6"/>
  <c r="AY359" i="6"/>
  <c r="AX359" i="6"/>
  <c r="AN359" i="6"/>
  <c r="AW359" i="6"/>
  <c r="BA359" i="6"/>
  <c r="AR359" i="6"/>
  <c r="AP359" i="6"/>
  <c r="AL359" i="6"/>
  <c r="AT359" i="6"/>
  <c r="AM359" i="6"/>
  <c r="AZ359" i="6"/>
  <c r="AS359" i="6"/>
  <c r="AQ359" i="6"/>
  <c r="AL399" i="6"/>
  <c r="AQ399" i="6"/>
  <c r="AV399" i="6"/>
  <c r="BA399" i="6"/>
  <c r="AU399" i="6"/>
  <c r="AR399" i="6"/>
  <c r="AN399" i="6"/>
  <c r="AZ399" i="6"/>
  <c r="AX399" i="6"/>
  <c r="AY399" i="6"/>
  <c r="AT399" i="6"/>
  <c r="AK399" i="6"/>
  <c r="AM399" i="6"/>
  <c r="AW399" i="6"/>
  <c r="AP399" i="6"/>
  <c r="AS399" i="6"/>
  <c r="AO399" i="6"/>
  <c r="AR54" i="6"/>
  <c r="AQ54" i="6"/>
  <c r="AL54" i="6"/>
  <c r="AK54" i="6"/>
  <c r="AU54" i="6"/>
  <c r="AN54" i="6"/>
  <c r="AY54" i="6"/>
  <c r="AZ54" i="6"/>
  <c r="AS54" i="6"/>
  <c r="AM54" i="6"/>
  <c r="AO54" i="6"/>
  <c r="AP54" i="6"/>
  <c r="BA54" i="6"/>
  <c r="AV54" i="6"/>
  <c r="AT54" i="6"/>
  <c r="AX54" i="6"/>
  <c r="AW54" i="6"/>
  <c r="AT684" i="6"/>
  <c r="AO684" i="6"/>
  <c r="AK684" i="6"/>
  <c r="AN684" i="6"/>
  <c r="AY684" i="6"/>
  <c r="AM684" i="6"/>
  <c r="AP684" i="6"/>
  <c r="AS684" i="6"/>
  <c r="AU684" i="6"/>
  <c r="AW684" i="6"/>
  <c r="AX684" i="6"/>
  <c r="AL684" i="6"/>
  <c r="AR684" i="6"/>
  <c r="AV684" i="6"/>
  <c r="AQ684" i="6"/>
  <c r="AZ684" i="6"/>
  <c r="BA684" i="6"/>
  <c r="AR647" i="6"/>
  <c r="AT647" i="6"/>
  <c r="AY647" i="6"/>
  <c r="AU647" i="6"/>
  <c r="AL647" i="6"/>
  <c r="AS647" i="6"/>
  <c r="AP647" i="6"/>
  <c r="AQ647" i="6"/>
  <c r="AN647" i="6"/>
  <c r="AW647" i="6"/>
  <c r="AZ647" i="6"/>
  <c r="BA647" i="6"/>
  <c r="AM647" i="6"/>
  <c r="AO647" i="6"/>
  <c r="AK647" i="6"/>
  <c r="AX647" i="6"/>
  <c r="AV647" i="6"/>
  <c r="AU555" i="6"/>
  <c r="AR555" i="6"/>
  <c r="AT555" i="6"/>
  <c r="AQ555" i="6"/>
  <c r="BA555" i="6"/>
  <c r="AK555" i="6"/>
  <c r="AZ555" i="6"/>
  <c r="AX555" i="6"/>
  <c r="AM555" i="6"/>
  <c r="AP555" i="6"/>
  <c r="AY555" i="6"/>
  <c r="AN555" i="6"/>
  <c r="AL555" i="6"/>
  <c r="AO555" i="6"/>
  <c r="AS555" i="6"/>
  <c r="AW555" i="6"/>
  <c r="AV555" i="6"/>
  <c r="AM626" i="6"/>
  <c r="AR626" i="6"/>
  <c r="BA626" i="6"/>
  <c r="AT626" i="6"/>
  <c r="AY626" i="6"/>
  <c r="AO626" i="6"/>
  <c r="AK626" i="6"/>
  <c r="AX626" i="6"/>
  <c r="AL626" i="6"/>
  <c r="AV626" i="6"/>
  <c r="AZ626" i="6"/>
  <c r="AW626" i="6"/>
  <c r="AS626" i="6"/>
  <c r="AN626" i="6"/>
  <c r="AQ626" i="6"/>
  <c r="AP626" i="6"/>
  <c r="AU626" i="6"/>
  <c r="AN62" i="6"/>
  <c r="AS62" i="6"/>
  <c r="AW62" i="6"/>
  <c r="AK62" i="6"/>
  <c r="AP62" i="6"/>
  <c r="AQ62" i="6"/>
  <c r="AZ62" i="6"/>
  <c r="AL62" i="6"/>
  <c r="AX62" i="6"/>
  <c r="AV62" i="6"/>
  <c r="BA62" i="6"/>
  <c r="AM62" i="6"/>
  <c r="AO62" i="6"/>
  <c r="AU62" i="6"/>
  <c r="AT62" i="6"/>
  <c r="AR62" i="6"/>
  <c r="AY62" i="6"/>
  <c r="BA68" i="6"/>
  <c r="AT68" i="6"/>
  <c r="AS68" i="6"/>
  <c r="AM68" i="6"/>
  <c r="AU68" i="6"/>
  <c r="AL68" i="6"/>
  <c r="AX68" i="6"/>
  <c r="AQ68" i="6"/>
  <c r="AW68" i="6"/>
  <c r="AZ68" i="6"/>
  <c r="AV68" i="6"/>
  <c r="AP68" i="6"/>
  <c r="AO68" i="6"/>
  <c r="AR68" i="6"/>
  <c r="AY68" i="6"/>
  <c r="AN68" i="6"/>
  <c r="AK68" i="6"/>
  <c r="AY700" i="6"/>
  <c r="AP700" i="6"/>
  <c r="AW700" i="6"/>
  <c r="AS700" i="6"/>
  <c r="AR700" i="6"/>
  <c r="AM700" i="6"/>
  <c r="BA700" i="6"/>
  <c r="AX700" i="6"/>
  <c r="AZ700" i="6"/>
  <c r="AO700" i="6"/>
  <c r="AK700" i="6"/>
  <c r="AL700" i="6"/>
  <c r="AU700" i="6"/>
  <c r="AQ700" i="6"/>
  <c r="AT700" i="6"/>
  <c r="AN700" i="6"/>
  <c r="AV700" i="6"/>
  <c r="AN584" i="6"/>
  <c r="AZ584" i="6"/>
  <c r="AU584" i="6"/>
  <c r="AY584" i="6"/>
  <c r="AQ584" i="6"/>
  <c r="AW584" i="6"/>
  <c r="AP584" i="6"/>
  <c r="AR584" i="6"/>
  <c r="AV584" i="6"/>
  <c r="AT584" i="6"/>
  <c r="AS584" i="6"/>
  <c r="AO584" i="6"/>
  <c r="AM584" i="6"/>
  <c r="AX584" i="6"/>
  <c r="BA584" i="6"/>
  <c r="AL584" i="6"/>
  <c r="AK584" i="6"/>
  <c r="AK331" i="6"/>
  <c r="AV331" i="6"/>
  <c r="AS331" i="6"/>
  <c r="BA331" i="6"/>
  <c r="AO331" i="6"/>
  <c r="AL331" i="6"/>
  <c r="AU331" i="6"/>
  <c r="AZ331" i="6"/>
  <c r="AN331" i="6"/>
  <c r="AW331" i="6"/>
  <c r="AX331" i="6"/>
  <c r="AY331" i="6"/>
  <c r="AM331" i="6"/>
  <c r="AQ331" i="6"/>
  <c r="AP331" i="6"/>
  <c r="AT331" i="6"/>
  <c r="AR331" i="6"/>
  <c r="AM661" i="6"/>
  <c r="AK661" i="6"/>
  <c r="BA661" i="6"/>
  <c r="AN661" i="6"/>
  <c r="AP661" i="6"/>
  <c r="AY661" i="6"/>
  <c r="AR661" i="6"/>
  <c r="AZ661" i="6"/>
  <c r="AO661" i="6"/>
  <c r="AT661" i="6"/>
  <c r="AV661" i="6"/>
  <c r="AX661" i="6"/>
  <c r="AU661" i="6"/>
  <c r="AL661" i="6"/>
  <c r="AS661" i="6"/>
  <c r="AW661" i="6"/>
  <c r="AQ661" i="6"/>
  <c r="AY108" i="6"/>
  <c r="AV108" i="6"/>
  <c r="AX108" i="6"/>
  <c r="AO108" i="6"/>
  <c r="AK108" i="6"/>
  <c r="AZ108" i="6"/>
  <c r="BA108" i="6"/>
  <c r="AR108" i="6"/>
  <c r="AM108" i="6"/>
  <c r="AQ108" i="6"/>
  <c r="AT108" i="6"/>
  <c r="AW108" i="6"/>
  <c r="AP108" i="6"/>
  <c r="AL108" i="6"/>
  <c r="AN108" i="6"/>
  <c r="AS108" i="6"/>
  <c r="AU108" i="6"/>
  <c r="AK702" i="6"/>
  <c r="AT702" i="6"/>
  <c r="AW702" i="6"/>
  <c r="AL702" i="6"/>
  <c r="AR702" i="6"/>
  <c r="AV702" i="6"/>
  <c r="AZ702" i="6"/>
  <c r="AQ702" i="6"/>
  <c r="AY702" i="6"/>
  <c r="AX702" i="6"/>
  <c r="AP702" i="6"/>
  <c r="AM702" i="6"/>
  <c r="AO702" i="6"/>
  <c r="AU702" i="6"/>
  <c r="AS702" i="6"/>
  <c r="BA702" i="6"/>
  <c r="AN702" i="6"/>
  <c r="AQ330" i="6"/>
  <c r="AS330" i="6"/>
  <c r="AT330" i="6"/>
  <c r="AK330" i="6"/>
  <c r="AW330" i="6"/>
  <c r="AY330" i="6"/>
  <c r="AN330" i="6"/>
  <c r="AL330" i="6"/>
  <c r="BA330" i="6"/>
  <c r="AV330" i="6"/>
  <c r="AU330" i="6"/>
  <c r="AX330" i="6"/>
  <c r="AP330" i="6"/>
  <c r="AR330" i="6"/>
  <c r="AO330" i="6"/>
  <c r="AZ330" i="6"/>
  <c r="AM330" i="6"/>
  <c r="AV509" i="6"/>
  <c r="AQ509" i="6"/>
  <c r="BA509" i="6"/>
  <c r="AT509" i="6"/>
  <c r="AL509" i="6"/>
  <c r="AO509" i="6"/>
  <c r="AK509" i="6"/>
  <c r="AY509" i="6"/>
  <c r="AW509" i="6"/>
  <c r="AX509" i="6"/>
  <c r="AR509" i="6"/>
  <c r="AN509" i="6"/>
  <c r="AZ509" i="6"/>
  <c r="AS509" i="6"/>
  <c r="AU509" i="6"/>
  <c r="AP509" i="6"/>
  <c r="AM509" i="6"/>
  <c r="AW24" i="6"/>
  <c r="AU24" i="6"/>
  <c r="AP24" i="6"/>
  <c r="AV24" i="6"/>
  <c r="AN24" i="6"/>
  <c r="BA24" i="6"/>
  <c r="AZ24" i="6"/>
  <c r="AR24" i="6"/>
  <c r="AM24" i="6"/>
  <c r="AO24" i="6"/>
  <c r="AY24" i="6"/>
  <c r="AX24" i="6"/>
  <c r="AS24" i="6"/>
  <c r="AK24" i="6"/>
  <c r="AT24" i="6"/>
  <c r="AL24" i="6"/>
  <c r="AQ24" i="6"/>
  <c r="AW253" i="6"/>
  <c r="AQ253" i="6"/>
  <c r="AL253" i="6"/>
  <c r="AZ253" i="6"/>
  <c r="AV253" i="6"/>
  <c r="AT253" i="6"/>
  <c r="AO253" i="6"/>
  <c r="AN253" i="6"/>
  <c r="AX253" i="6"/>
  <c r="AR253" i="6"/>
  <c r="AU253" i="6"/>
  <c r="AY253" i="6"/>
  <c r="AM253" i="6"/>
  <c r="AS253" i="6"/>
  <c r="AK253" i="6"/>
  <c r="AP253" i="6"/>
  <c r="BA253" i="6"/>
  <c r="AZ43" i="6"/>
  <c r="AT43" i="6"/>
  <c r="AY43" i="6"/>
  <c r="AS43" i="6"/>
  <c r="AK43" i="6"/>
  <c r="AP43" i="6"/>
  <c r="AX43" i="6"/>
  <c r="AW43" i="6"/>
  <c r="AU43" i="6"/>
  <c r="AM43" i="6"/>
  <c r="AL43" i="6"/>
  <c r="AQ43" i="6"/>
  <c r="AR43" i="6"/>
  <c r="AO43" i="6"/>
  <c r="AN43" i="6"/>
  <c r="BA43" i="6"/>
  <c r="AV43" i="6"/>
  <c r="AK528" i="6"/>
  <c r="AU528" i="6"/>
  <c r="AM528" i="6"/>
  <c r="AQ528" i="6"/>
  <c r="AT528" i="6"/>
  <c r="AS528" i="6"/>
  <c r="AR528" i="6"/>
  <c r="AL528" i="6"/>
  <c r="AY528" i="6"/>
  <c r="AP528" i="6"/>
  <c r="AV528" i="6"/>
  <c r="AN528" i="6"/>
  <c r="AX528" i="6"/>
  <c r="AO528" i="6"/>
  <c r="AZ528" i="6"/>
  <c r="BA528" i="6"/>
  <c r="AW528" i="6"/>
  <c r="AO593" i="6"/>
  <c r="AP593" i="6"/>
  <c r="AN593" i="6"/>
  <c r="AW593" i="6"/>
  <c r="AY593" i="6"/>
  <c r="AL593" i="6"/>
  <c r="AV593" i="6"/>
  <c r="AZ593" i="6"/>
  <c r="AX593" i="6"/>
  <c r="BA593" i="6"/>
  <c r="AM593" i="6"/>
  <c r="AK593" i="6"/>
  <c r="AT593" i="6"/>
  <c r="AU593" i="6"/>
  <c r="AQ593" i="6"/>
  <c r="AS593" i="6"/>
  <c r="AR593" i="6"/>
  <c r="AW520" i="6"/>
  <c r="AX520" i="6"/>
  <c r="AP520" i="6"/>
  <c r="AY520" i="6"/>
  <c r="AL520" i="6"/>
  <c r="AQ520" i="6"/>
  <c r="AK520" i="6"/>
  <c r="AR520" i="6"/>
  <c r="AM520" i="6"/>
  <c r="BA520" i="6"/>
  <c r="AU520" i="6"/>
  <c r="AZ520" i="6"/>
  <c r="AO520" i="6"/>
  <c r="AN520" i="6"/>
  <c r="AV520" i="6"/>
  <c r="AS520" i="6"/>
  <c r="AT520" i="6"/>
  <c r="BA275" i="6"/>
  <c r="AY275" i="6"/>
  <c r="AV275" i="6"/>
  <c r="AX275" i="6"/>
  <c r="AN275" i="6"/>
  <c r="AZ275" i="6"/>
  <c r="AL275" i="6"/>
  <c r="AT275" i="6"/>
  <c r="AQ275" i="6"/>
  <c r="AU275" i="6"/>
  <c r="AP275" i="6"/>
  <c r="AK275" i="6"/>
  <c r="AS275" i="6"/>
  <c r="AO275" i="6"/>
  <c r="AW275" i="6"/>
  <c r="AM275" i="6"/>
  <c r="AR275" i="6"/>
  <c r="AL696" i="6"/>
  <c r="AT696" i="6"/>
  <c r="AP696" i="6"/>
  <c r="AN696" i="6"/>
  <c r="AU696" i="6"/>
  <c r="AW696" i="6"/>
  <c r="AO696" i="6"/>
  <c r="AZ696" i="6"/>
  <c r="AK696" i="6"/>
  <c r="AQ696" i="6"/>
  <c r="AV696" i="6"/>
  <c r="AM696" i="6"/>
  <c r="AS696" i="6"/>
  <c r="AY696" i="6"/>
  <c r="AR696" i="6"/>
  <c r="AX696" i="6"/>
  <c r="BA696" i="6"/>
  <c r="AS249" i="6"/>
  <c r="AO249" i="6"/>
  <c r="AQ249" i="6"/>
  <c r="AK249" i="6"/>
  <c r="AP249" i="6"/>
  <c r="AW249" i="6"/>
  <c r="AR249" i="6"/>
  <c r="AU249" i="6"/>
  <c r="BA249" i="6"/>
  <c r="AN249" i="6"/>
  <c r="AV249" i="6"/>
  <c r="AX249" i="6"/>
  <c r="AY249" i="6"/>
  <c r="AM249" i="6"/>
  <c r="AL249" i="6"/>
  <c r="AT249" i="6"/>
  <c r="AZ249" i="6"/>
  <c r="AZ327" i="6"/>
  <c r="AP327" i="6"/>
  <c r="AY327" i="6"/>
  <c r="AO327" i="6"/>
  <c r="AT327" i="6"/>
  <c r="AN327" i="6"/>
  <c r="AM327" i="6"/>
  <c r="AW327" i="6"/>
  <c r="AK327" i="6"/>
  <c r="AS327" i="6"/>
  <c r="AL327" i="6"/>
  <c r="AU327" i="6"/>
  <c r="AR327" i="6"/>
  <c r="BA327" i="6"/>
  <c r="AV327" i="6"/>
  <c r="AX327" i="6"/>
  <c r="AQ327" i="6"/>
  <c r="AS274" i="6"/>
  <c r="AR274" i="6"/>
  <c r="AZ274" i="6"/>
  <c r="AP274" i="6"/>
  <c r="AO274" i="6"/>
  <c r="BA274" i="6"/>
  <c r="AU274" i="6"/>
  <c r="AQ274" i="6"/>
  <c r="AX274" i="6"/>
  <c r="AV274" i="6"/>
  <c r="AY274" i="6"/>
  <c r="AN274" i="6"/>
  <c r="AL274" i="6"/>
  <c r="AW274" i="6"/>
  <c r="AK274" i="6"/>
  <c r="AT274" i="6"/>
  <c r="AM274" i="6"/>
  <c r="AL69" i="6"/>
  <c r="AR69" i="6"/>
  <c r="AZ69" i="6"/>
  <c r="AX69" i="6"/>
  <c r="AT69" i="6"/>
  <c r="BA69" i="6"/>
  <c r="AM69" i="6"/>
  <c r="AU69" i="6"/>
  <c r="AN69" i="6"/>
  <c r="AK69" i="6"/>
  <c r="AW69" i="6"/>
  <c r="AV69" i="6"/>
  <c r="AP69" i="6"/>
  <c r="AS69" i="6"/>
  <c r="AQ69" i="6"/>
  <c r="AY69" i="6"/>
  <c r="AO69" i="6"/>
  <c r="AX693" i="6"/>
  <c r="AY693" i="6"/>
  <c r="AU693" i="6"/>
  <c r="AR693" i="6"/>
  <c r="AL693" i="6"/>
  <c r="AV693" i="6"/>
  <c r="AM693" i="6"/>
  <c r="AK693" i="6"/>
  <c r="AO693" i="6"/>
  <c r="AN693" i="6"/>
  <c r="AP693" i="6"/>
  <c r="AT693" i="6"/>
  <c r="AS693" i="6"/>
  <c r="AZ693" i="6"/>
  <c r="AQ693" i="6"/>
  <c r="AW693" i="6"/>
  <c r="BA693" i="6"/>
  <c r="AZ363" i="6"/>
  <c r="AM363" i="6"/>
  <c r="AT363" i="6"/>
  <c r="AY363" i="6"/>
  <c r="AR363" i="6"/>
  <c r="AL363" i="6"/>
  <c r="AV363" i="6"/>
  <c r="BA363" i="6"/>
  <c r="AX363" i="6"/>
  <c r="AQ363" i="6"/>
  <c r="AW363" i="6"/>
  <c r="AP363" i="6"/>
  <c r="AK363" i="6"/>
  <c r="AN363" i="6"/>
  <c r="AO363" i="6"/>
  <c r="AS363" i="6"/>
  <c r="AU363" i="6"/>
  <c r="AX426" i="6"/>
  <c r="AR426" i="6"/>
  <c r="AZ426" i="6"/>
  <c r="AL426" i="6"/>
  <c r="AW426" i="6"/>
  <c r="AT426" i="6"/>
  <c r="AM426" i="6"/>
  <c r="AS426" i="6"/>
  <c r="AK426" i="6"/>
  <c r="AV426" i="6"/>
  <c r="AY426" i="6"/>
  <c r="BA426" i="6"/>
  <c r="AN426" i="6"/>
  <c r="AO426" i="6"/>
  <c r="AP426" i="6"/>
  <c r="AU426" i="6"/>
  <c r="AQ426" i="6"/>
  <c r="AZ340" i="6"/>
  <c r="AM340" i="6"/>
  <c r="AQ340" i="6"/>
  <c r="AN340" i="6"/>
  <c r="AY340" i="6"/>
  <c r="AS340" i="6"/>
  <c r="AL340" i="6"/>
  <c r="AP340" i="6"/>
  <c r="AO340" i="6"/>
  <c r="BA340" i="6"/>
  <c r="AW340" i="6"/>
  <c r="AX340" i="6"/>
  <c r="AR340" i="6"/>
  <c r="AU340" i="6"/>
  <c r="AV340" i="6"/>
  <c r="AK340" i="6"/>
  <c r="AT340" i="6"/>
  <c r="BA707" i="6"/>
  <c r="AZ707" i="6"/>
  <c r="AY707" i="6"/>
  <c r="AQ707" i="6"/>
  <c r="AM707" i="6"/>
  <c r="AO707" i="6"/>
  <c r="AK707" i="6"/>
  <c r="AU707" i="6"/>
  <c r="AX707" i="6"/>
  <c r="AS707" i="6"/>
  <c r="AV707" i="6"/>
  <c r="AR707" i="6"/>
  <c r="AP707" i="6"/>
  <c r="AT707" i="6"/>
  <c r="AW707" i="6"/>
  <c r="AL707" i="6"/>
  <c r="AN707" i="6"/>
  <c r="AW556" i="6"/>
  <c r="AK556" i="6"/>
  <c r="AL556" i="6"/>
  <c r="BA556" i="6"/>
  <c r="AP556" i="6"/>
  <c r="AX556" i="6"/>
  <c r="AR556" i="6"/>
  <c r="AN556" i="6"/>
  <c r="AM556" i="6"/>
  <c r="AS556" i="6"/>
  <c r="AT556" i="6"/>
  <c r="AY556" i="6"/>
  <c r="AU556" i="6"/>
  <c r="AZ556" i="6"/>
  <c r="AQ556" i="6"/>
  <c r="AV556" i="6"/>
  <c r="AO556" i="6"/>
  <c r="AL360" i="6"/>
  <c r="AM360" i="6"/>
  <c r="AO360" i="6"/>
  <c r="AX360" i="6"/>
  <c r="AS360" i="6"/>
  <c r="AU360" i="6"/>
  <c r="AW360" i="6"/>
  <c r="AR360" i="6"/>
  <c r="BA360" i="6"/>
  <c r="AK360" i="6"/>
  <c r="AQ360" i="6"/>
  <c r="AY360" i="6"/>
  <c r="AT360" i="6"/>
  <c r="AP360" i="6"/>
  <c r="AN360" i="6"/>
  <c r="AZ360" i="6"/>
  <c r="AV360" i="6"/>
  <c r="AM537" i="6"/>
  <c r="AK537" i="6"/>
  <c r="AO537" i="6"/>
  <c r="AY537" i="6"/>
  <c r="BA537" i="6"/>
  <c r="AQ537" i="6"/>
  <c r="AU537" i="6"/>
  <c r="AR537" i="6"/>
  <c r="AT537" i="6"/>
  <c r="AL537" i="6"/>
  <c r="AS537" i="6"/>
  <c r="AV537" i="6"/>
  <c r="AZ537" i="6"/>
  <c r="AX537" i="6"/>
  <c r="AW537" i="6"/>
  <c r="AP537" i="6"/>
  <c r="AN537" i="6"/>
  <c r="BA248" i="6"/>
  <c r="AY248" i="6"/>
  <c r="AZ248" i="6"/>
  <c r="AM248" i="6"/>
  <c r="AX248" i="6"/>
  <c r="AL248" i="6"/>
  <c r="AS248" i="6"/>
  <c r="AW248" i="6"/>
  <c r="AQ248" i="6"/>
  <c r="AU248" i="6"/>
  <c r="AP248" i="6"/>
  <c r="AV248" i="6"/>
  <c r="AN248" i="6"/>
  <c r="AK248" i="6"/>
  <c r="AR248" i="6"/>
  <c r="AT248" i="6"/>
  <c r="AO248" i="6"/>
  <c r="AR638" i="6"/>
  <c r="AP638" i="6"/>
  <c r="BA638" i="6"/>
  <c r="AL638" i="6"/>
  <c r="AK638" i="6"/>
  <c r="AO638" i="6"/>
  <c r="AY638" i="6"/>
  <c r="AW638" i="6"/>
  <c r="AQ638" i="6"/>
  <c r="AU638" i="6"/>
  <c r="AX638" i="6"/>
  <c r="AS638" i="6"/>
  <c r="AV638" i="6"/>
  <c r="AN638" i="6"/>
  <c r="AT638" i="6"/>
  <c r="AZ638" i="6"/>
  <c r="AM638" i="6"/>
  <c r="AZ424" i="6"/>
  <c r="AO424" i="6"/>
  <c r="AY424" i="6"/>
  <c r="AT424" i="6"/>
  <c r="AW424" i="6"/>
  <c r="AN424" i="6"/>
  <c r="AP424" i="6"/>
  <c r="AR424" i="6"/>
  <c r="AL424" i="6"/>
  <c r="AV424" i="6"/>
  <c r="AM424" i="6"/>
  <c r="AX424" i="6"/>
  <c r="AQ424" i="6"/>
  <c r="AK424" i="6"/>
  <c r="BA424" i="6"/>
  <c r="AS424" i="6"/>
  <c r="AU424" i="6"/>
  <c r="AP263" i="6"/>
  <c r="AQ263" i="6"/>
  <c r="AK263" i="6"/>
  <c r="AW263" i="6"/>
  <c r="AU263" i="6"/>
  <c r="AR263" i="6"/>
  <c r="AX263" i="6"/>
  <c r="AO263" i="6"/>
  <c r="AM263" i="6"/>
  <c r="BA263" i="6"/>
  <c r="AV263" i="6"/>
  <c r="AY263" i="6"/>
  <c r="AN263" i="6"/>
  <c r="AZ263" i="6"/>
  <c r="AL263" i="6"/>
  <c r="AS263" i="6"/>
  <c r="AT263" i="6"/>
  <c r="AM171" i="6"/>
  <c r="AT171" i="6"/>
  <c r="AX171" i="6"/>
  <c r="BA171" i="6"/>
  <c r="AL171" i="6"/>
  <c r="AK171" i="6"/>
  <c r="AV171" i="6"/>
  <c r="AY171" i="6"/>
  <c r="AQ171" i="6"/>
  <c r="AU171" i="6"/>
  <c r="AP171" i="6"/>
  <c r="AO171" i="6"/>
  <c r="AR171" i="6"/>
  <c r="AW171" i="6"/>
  <c r="AS171" i="6"/>
  <c r="AZ171" i="6"/>
  <c r="AN171" i="6"/>
  <c r="AQ617" i="6"/>
  <c r="AS617" i="6"/>
  <c r="AU617" i="6"/>
  <c r="AW617" i="6"/>
  <c r="AL617" i="6"/>
  <c r="BA617" i="6"/>
  <c r="AT617" i="6"/>
  <c r="AN617" i="6"/>
  <c r="AY617" i="6"/>
  <c r="AP617" i="6"/>
  <c r="AR617" i="6"/>
  <c r="AM617" i="6"/>
  <c r="AZ617" i="6"/>
  <c r="AX617" i="6"/>
  <c r="AV617" i="6"/>
  <c r="AO617" i="6"/>
  <c r="AK617" i="6"/>
  <c r="AO516" i="6"/>
  <c r="AN516" i="6"/>
  <c r="AY516" i="6"/>
  <c r="AM516" i="6"/>
  <c r="AR516" i="6"/>
  <c r="AU516" i="6"/>
  <c r="AV516" i="6"/>
  <c r="BA516" i="6"/>
  <c r="AT516" i="6"/>
  <c r="AS516" i="6"/>
  <c r="AQ516" i="6"/>
  <c r="AL516" i="6"/>
  <c r="AZ516" i="6"/>
  <c r="AK516" i="6"/>
  <c r="AP516" i="6"/>
  <c r="AX516" i="6"/>
  <c r="AW516" i="6"/>
  <c r="AQ713" i="6"/>
  <c r="AM713" i="6"/>
  <c r="AN713" i="6"/>
  <c r="AW713" i="6"/>
  <c r="AK713" i="6"/>
  <c r="AT713" i="6"/>
  <c r="AX713" i="6"/>
  <c r="AR713" i="6"/>
  <c r="AY713" i="6"/>
  <c r="AU713" i="6"/>
  <c r="AP713" i="6"/>
  <c r="AO713" i="6"/>
  <c r="AS713" i="6"/>
  <c r="AZ713" i="6"/>
  <c r="AV713" i="6"/>
  <c r="BA713" i="6"/>
  <c r="AL713" i="6"/>
  <c r="AN334" i="6"/>
  <c r="AZ334" i="6"/>
  <c r="AX334" i="6"/>
  <c r="AO334" i="6"/>
  <c r="AP334" i="6"/>
  <c r="AR334" i="6"/>
  <c r="AV334" i="6"/>
  <c r="AY334" i="6"/>
  <c r="AM334" i="6"/>
  <c r="AW334" i="6"/>
  <c r="AU334" i="6"/>
  <c r="BA334" i="6"/>
  <c r="AK334" i="6"/>
  <c r="AQ334" i="6"/>
  <c r="AL334" i="6"/>
  <c r="AS334" i="6"/>
  <c r="AT334" i="6"/>
  <c r="BA56" i="6"/>
  <c r="AW56" i="6"/>
  <c r="AR56" i="6"/>
  <c r="AN56" i="6"/>
  <c r="AT56" i="6"/>
  <c r="AP56" i="6"/>
  <c r="AK56" i="6"/>
  <c r="AO56" i="6"/>
  <c r="AX56" i="6"/>
  <c r="AS56" i="6"/>
  <c r="AV56" i="6"/>
  <c r="AY56" i="6"/>
  <c r="AQ56" i="6"/>
  <c r="AL56" i="6"/>
  <c r="AM56" i="6"/>
  <c r="AZ56" i="6"/>
  <c r="AU56" i="6"/>
  <c r="AW313" i="6"/>
  <c r="AO313" i="6"/>
  <c r="AY313" i="6"/>
  <c r="BA313" i="6"/>
  <c r="AT313" i="6"/>
  <c r="AP313" i="6"/>
  <c r="AM313" i="6"/>
  <c r="AX313" i="6"/>
  <c r="AZ313" i="6"/>
  <c r="AS313" i="6"/>
  <c r="AV313" i="6"/>
  <c r="AL313" i="6"/>
  <c r="AQ313" i="6"/>
  <c r="AN313" i="6"/>
  <c r="AK313" i="6"/>
  <c r="AR313" i="6"/>
  <c r="AU313" i="6"/>
  <c r="AV522" i="6"/>
  <c r="AU522" i="6"/>
  <c r="AX522" i="6"/>
  <c r="AN522" i="6"/>
  <c r="AR522" i="6"/>
  <c r="AT522" i="6"/>
  <c r="BA522" i="6"/>
  <c r="AS522" i="6"/>
  <c r="AL522" i="6"/>
  <c r="AW522" i="6"/>
  <c r="AQ522" i="6"/>
  <c r="AY522" i="6"/>
  <c r="AO522" i="6"/>
  <c r="AP522" i="6"/>
  <c r="AK522" i="6"/>
  <c r="AM522" i="6"/>
  <c r="AZ522" i="6"/>
  <c r="AT377" i="6"/>
  <c r="AS377" i="6"/>
  <c r="AL377" i="6"/>
  <c r="AX377" i="6"/>
  <c r="AM377" i="6"/>
  <c r="AV377" i="6"/>
  <c r="AY377" i="6"/>
  <c r="AN377" i="6"/>
  <c r="AO377" i="6"/>
  <c r="AK377" i="6"/>
  <c r="AW377" i="6"/>
  <c r="AU377" i="6"/>
  <c r="AP377" i="6"/>
  <c r="AR377" i="6"/>
  <c r="AQ377" i="6"/>
  <c r="AZ377" i="6"/>
  <c r="BA377" i="6"/>
  <c r="AQ378" i="6"/>
  <c r="AV378" i="6"/>
  <c r="AU378" i="6"/>
  <c r="AX378" i="6"/>
  <c r="AZ378" i="6"/>
  <c r="AM378" i="6"/>
  <c r="AS378" i="6"/>
  <c r="AL378" i="6"/>
  <c r="AW378" i="6"/>
  <c r="AO378" i="6"/>
  <c r="AT378" i="6"/>
  <c r="AP378" i="6"/>
  <c r="AN378" i="6"/>
  <c r="AY378" i="6"/>
  <c r="BA378" i="6"/>
  <c r="AR378" i="6"/>
  <c r="AK378" i="6"/>
  <c r="AP258" i="6"/>
  <c r="AR258" i="6"/>
  <c r="AM258" i="6"/>
  <c r="AK258" i="6"/>
  <c r="AY258" i="6"/>
  <c r="AQ258" i="6"/>
  <c r="AU258" i="6"/>
  <c r="AS258" i="6"/>
  <c r="AL258" i="6"/>
  <c r="AO258" i="6"/>
  <c r="AT258" i="6"/>
  <c r="AX258" i="6"/>
  <c r="AN258" i="6"/>
  <c r="BA258" i="6"/>
  <c r="AV258" i="6"/>
  <c r="AZ258" i="6"/>
  <c r="AW258" i="6"/>
  <c r="AY453" i="6"/>
  <c r="BA453" i="6"/>
  <c r="AS453" i="6"/>
  <c r="AV453" i="6"/>
  <c r="AZ453" i="6"/>
  <c r="AQ453" i="6"/>
  <c r="AL453" i="6"/>
  <c r="AX453" i="6"/>
  <c r="AM453" i="6"/>
  <c r="AN453" i="6"/>
  <c r="AU453" i="6"/>
  <c r="AW453" i="6"/>
  <c r="AO453" i="6"/>
  <c r="AK453" i="6"/>
  <c r="AP453" i="6"/>
  <c r="AT453" i="6"/>
  <c r="AR453" i="6"/>
  <c r="AT97" i="6"/>
  <c r="AU97" i="6"/>
  <c r="AZ97" i="6"/>
  <c r="AN97" i="6"/>
  <c r="AO97" i="6"/>
  <c r="AR97" i="6"/>
  <c r="AL97" i="6"/>
  <c r="AP97" i="6"/>
  <c r="AS97" i="6"/>
  <c r="BA97" i="6"/>
  <c r="AV97" i="6"/>
  <c r="AX97" i="6"/>
  <c r="AY97" i="6"/>
  <c r="AW97" i="6"/>
  <c r="AM97" i="6"/>
  <c r="AK97" i="6"/>
  <c r="AQ97" i="6"/>
  <c r="AW489" i="6"/>
  <c r="AK489" i="6"/>
  <c r="AQ489" i="6"/>
  <c r="AU489" i="6"/>
  <c r="AN489" i="6"/>
  <c r="AR489" i="6"/>
  <c r="AZ489" i="6"/>
  <c r="AX489" i="6"/>
  <c r="AY489" i="6"/>
  <c r="AV489" i="6"/>
  <c r="AT489" i="6"/>
  <c r="AS489" i="6"/>
  <c r="AP489" i="6"/>
  <c r="AM489" i="6"/>
  <c r="BA489" i="6"/>
  <c r="AL489" i="6"/>
  <c r="AO489" i="6"/>
  <c r="AP100" i="6"/>
  <c r="AM100" i="6"/>
  <c r="AL100" i="6"/>
  <c r="AQ100" i="6"/>
  <c r="AO100" i="6"/>
  <c r="AY100" i="6"/>
  <c r="AR100" i="6"/>
  <c r="AW100" i="6"/>
  <c r="AV100" i="6"/>
  <c r="BA100" i="6"/>
  <c r="AK100" i="6"/>
  <c r="AX100" i="6"/>
  <c r="AS100" i="6"/>
  <c r="AU100" i="6"/>
  <c r="AZ100" i="6"/>
  <c r="AT100" i="6"/>
  <c r="AN100" i="6"/>
  <c r="AR538" i="6"/>
  <c r="AS538" i="6"/>
  <c r="AV538" i="6"/>
  <c r="AK538" i="6"/>
  <c r="AN538" i="6"/>
  <c r="AY538" i="6"/>
  <c r="AO538" i="6"/>
  <c r="AU538" i="6"/>
  <c r="AW538" i="6"/>
  <c r="AZ538" i="6"/>
  <c r="AM538" i="6"/>
  <c r="AL538" i="6"/>
  <c r="BA538" i="6"/>
  <c r="AX538" i="6"/>
  <c r="AP538" i="6"/>
  <c r="AT538" i="6"/>
  <c r="AQ538" i="6"/>
  <c r="AO609" i="6"/>
  <c r="AQ609" i="6"/>
  <c r="AY609" i="6"/>
  <c r="AM609" i="6"/>
  <c r="AW609" i="6"/>
  <c r="AR609" i="6"/>
  <c r="AN609" i="6"/>
  <c r="AK609" i="6"/>
  <c r="AZ609" i="6"/>
  <c r="AL609" i="6"/>
  <c r="AS609" i="6"/>
  <c r="AP609" i="6"/>
  <c r="AX609" i="6"/>
  <c r="AV609" i="6"/>
  <c r="BA609" i="6"/>
  <c r="AT609" i="6"/>
  <c r="AU609" i="6"/>
  <c r="AS60" i="6"/>
  <c r="AO60" i="6"/>
  <c r="AQ60" i="6"/>
  <c r="AR60" i="6"/>
  <c r="AX60" i="6"/>
  <c r="AL60" i="6"/>
  <c r="AZ60" i="6"/>
  <c r="AY60" i="6"/>
  <c r="AN60" i="6"/>
  <c r="AV60" i="6"/>
  <c r="AM60" i="6"/>
  <c r="AU60" i="6"/>
  <c r="AT60" i="6"/>
  <c r="AP60" i="6"/>
  <c r="AW60" i="6"/>
  <c r="AK60" i="6"/>
  <c r="BA60" i="6"/>
  <c r="AP486" i="6"/>
  <c r="AO486" i="6"/>
  <c r="AX486" i="6"/>
  <c r="AS486" i="6"/>
  <c r="BA486" i="6"/>
  <c r="AK486" i="6"/>
  <c r="AQ486" i="6"/>
  <c r="AR486" i="6"/>
  <c r="AN486" i="6"/>
  <c r="AL486" i="6"/>
  <c r="AY486" i="6"/>
  <c r="AU486" i="6"/>
  <c r="AM486" i="6"/>
  <c r="AZ486" i="6"/>
  <c r="AV486" i="6"/>
  <c r="AT486" i="6"/>
  <c r="AW486" i="6"/>
  <c r="AV336" i="6"/>
  <c r="AQ336" i="6"/>
  <c r="AS336" i="6"/>
  <c r="AM336" i="6"/>
  <c r="AR336" i="6"/>
  <c r="AZ336" i="6"/>
  <c r="AX336" i="6"/>
  <c r="AY336" i="6"/>
  <c r="AK336" i="6"/>
  <c r="AT336" i="6"/>
  <c r="AL336" i="6"/>
  <c r="AP336" i="6"/>
  <c r="AU336" i="6"/>
  <c r="AN336" i="6"/>
  <c r="AW336" i="6"/>
  <c r="BA336" i="6"/>
  <c r="AO336" i="6"/>
  <c r="AZ540" i="6"/>
  <c r="AT540" i="6"/>
  <c r="AW540" i="6"/>
  <c r="AL540" i="6"/>
  <c r="AO540" i="6"/>
  <c r="AX540" i="6"/>
  <c r="AN540" i="6"/>
  <c r="AV540" i="6"/>
  <c r="AK540" i="6"/>
  <c r="BA540" i="6"/>
  <c r="AR540" i="6"/>
  <c r="AY540" i="6"/>
  <c r="AQ540" i="6"/>
  <c r="AU540" i="6"/>
  <c r="AM540" i="6"/>
  <c r="AS540" i="6"/>
  <c r="AP540" i="6"/>
  <c r="AL473" i="6"/>
  <c r="AW473" i="6"/>
  <c r="AY473" i="6"/>
  <c r="AM473" i="6"/>
  <c r="AT473" i="6"/>
  <c r="AP473" i="6"/>
  <c r="AZ473" i="6"/>
  <c r="BA473" i="6"/>
  <c r="AU473" i="6"/>
  <c r="AS473" i="6"/>
  <c r="AO473" i="6"/>
  <c r="AX473" i="6"/>
  <c r="AQ473" i="6"/>
  <c r="AK473" i="6"/>
  <c r="AV473" i="6"/>
  <c r="AR473" i="6"/>
  <c r="AN473" i="6"/>
  <c r="BA521" i="6"/>
  <c r="AO521" i="6"/>
  <c r="AV521" i="6"/>
  <c r="AX521" i="6"/>
  <c r="AP521" i="6"/>
  <c r="AT521" i="6"/>
  <c r="AN521" i="6"/>
  <c r="AR521" i="6"/>
  <c r="AU521" i="6"/>
  <c r="AQ521" i="6"/>
  <c r="AS521" i="6"/>
  <c r="AY521" i="6"/>
  <c r="AW521" i="6"/>
  <c r="AM521" i="6"/>
  <c r="AZ521" i="6"/>
  <c r="AK521" i="6"/>
  <c r="AL521" i="6"/>
  <c r="AN403" i="6"/>
  <c r="AO403" i="6"/>
  <c r="AK403" i="6"/>
  <c r="AW403" i="6"/>
  <c r="AV403" i="6"/>
  <c r="AQ403" i="6"/>
  <c r="AZ403" i="6"/>
  <c r="AP403" i="6"/>
  <c r="AT403" i="6"/>
  <c r="AM403" i="6"/>
  <c r="AS403" i="6"/>
  <c r="AL403" i="6"/>
  <c r="AU403" i="6"/>
  <c r="AX403" i="6"/>
  <c r="AY403" i="6"/>
  <c r="BA403" i="6"/>
  <c r="AR403" i="6"/>
  <c r="AQ574" i="6"/>
  <c r="BA574" i="6"/>
  <c r="AR574" i="6"/>
  <c r="AU574" i="6"/>
  <c r="AN574" i="6"/>
  <c r="AS574" i="6"/>
  <c r="AO574" i="6"/>
  <c r="AY574" i="6"/>
  <c r="AW574" i="6"/>
  <c r="AP574" i="6"/>
  <c r="AT574" i="6"/>
  <c r="AZ574" i="6"/>
  <c r="AX574" i="6"/>
  <c r="AL574" i="6"/>
  <c r="AM574" i="6"/>
  <c r="AV574" i="6"/>
  <c r="AK574" i="6"/>
  <c r="AV106" i="6"/>
  <c r="AX106" i="6"/>
  <c r="AP106" i="6"/>
  <c r="AO106" i="6"/>
  <c r="AM106" i="6"/>
  <c r="AL106" i="6"/>
  <c r="AZ106" i="6"/>
  <c r="AW106" i="6"/>
  <c r="AN106" i="6"/>
  <c r="AY106" i="6"/>
  <c r="BA106" i="6"/>
  <c r="AT106" i="6"/>
  <c r="AS106" i="6"/>
  <c r="AU106" i="6"/>
  <c r="AQ106" i="6"/>
  <c r="AK106" i="6"/>
  <c r="AR106" i="6"/>
  <c r="AM317" i="6"/>
  <c r="AS317" i="6"/>
  <c r="AZ317" i="6"/>
  <c r="BA317" i="6"/>
  <c r="AV317" i="6"/>
  <c r="AN317" i="6"/>
  <c r="X133" i="8" s="1"/>
  <c r="AL317" i="6"/>
  <c r="AO317" i="6"/>
  <c r="AX317" i="6"/>
  <c r="AR317" i="6"/>
  <c r="AK317" i="6"/>
  <c r="AW317" i="6"/>
  <c r="AU317" i="6"/>
  <c r="AY317" i="6"/>
  <c r="AP317" i="6"/>
  <c r="AT317" i="6"/>
  <c r="AQ317" i="6"/>
  <c r="AX382" i="6"/>
  <c r="AP382" i="6"/>
  <c r="AK382" i="6"/>
  <c r="AY382" i="6"/>
  <c r="AM382" i="6"/>
  <c r="AQ382" i="6"/>
  <c r="AL382" i="6"/>
  <c r="AR382" i="6"/>
  <c r="AO382" i="6"/>
  <c r="AZ382" i="6"/>
  <c r="AU382" i="6"/>
  <c r="AT382" i="6"/>
  <c r="BA382" i="6"/>
  <c r="AS382" i="6"/>
  <c r="AW382" i="6"/>
  <c r="AV382" i="6"/>
  <c r="AN382" i="6"/>
  <c r="AX589" i="6"/>
  <c r="AP589" i="6"/>
  <c r="AU589" i="6"/>
  <c r="AW589" i="6"/>
  <c r="AZ589" i="6"/>
  <c r="AQ589" i="6"/>
  <c r="AS589" i="6"/>
  <c r="AV589" i="6"/>
  <c r="AR589" i="6"/>
  <c r="AT589" i="6"/>
  <c r="AO589" i="6"/>
  <c r="AY589" i="6"/>
  <c r="AN589" i="6"/>
  <c r="AK589" i="6"/>
  <c r="AL589" i="6"/>
  <c r="AM589" i="6"/>
  <c r="BA589" i="6"/>
  <c r="AP358" i="6"/>
  <c r="AK358" i="6"/>
  <c r="AL358" i="6"/>
  <c r="AS358" i="6"/>
  <c r="AT358" i="6"/>
  <c r="AZ358" i="6"/>
  <c r="AM358" i="6"/>
  <c r="AV358" i="6"/>
  <c r="AU358" i="6"/>
  <c r="AR358" i="6"/>
  <c r="AN358" i="6"/>
  <c r="AQ358" i="6"/>
  <c r="AW358" i="6"/>
  <c r="AX358" i="6"/>
  <c r="AY358" i="6"/>
  <c r="AO358" i="6"/>
  <c r="BA358" i="6"/>
  <c r="AZ323" i="6"/>
  <c r="BA323" i="6"/>
  <c r="AW323" i="6"/>
  <c r="AU323" i="6"/>
  <c r="AO323" i="6"/>
  <c r="AQ323" i="6"/>
  <c r="AK323" i="6"/>
  <c r="AS323" i="6"/>
  <c r="AX323" i="6"/>
  <c r="AM323" i="6"/>
  <c r="AL323" i="6"/>
  <c r="AN323" i="6"/>
  <c r="AY323" i="6"/>
  <c r="AT323" i="6"/>
  <c r="AP323" i="6"/>
  <c r="AR323" i="6"/>
  <c r="AV323" i="6"/>
  <c r="BA582" i="6"/>
  <c r="AR582" i="6"/>
  <c r="AT582" i="6"/>
  <c r="AK582" i="6"/>
  <c r="AX582" i="6"/>
  <c r="AZ582" i="6"/>
  <c r="AY582" i="6"/>
  <c r="AN582" i="6"/>
  <c r="AM582" i="6"/>
  <c r="AL582" i="6"/>
  <c r="AV582" i="6"/>
  <c r="AU582" i="6"/>
  <c r="AP582" i="6"/>
  <c r="AW582" i="6"/>
  <c r="AO582" i="6"/>
  <c r="AQ582" i="6"/>
  <c r="AS582" i="6"/>
  <c r="AQ87" i="6"/>
  <c r="AO87" i="6"/>
  <c r="AR87" i="6"/>
  <c r="AY87" i="6"/>
  <c r="AT87" i="6"/>
  <c r="BA87" i="6"/>
  <c r="AN87" i="6"/>
  <c r="AS87" i="6"/>
  <c r="AP87" i="6"/>
  <c r="AZ87" i="6"/>
  <c r="AX87" i="6"/>
  <c r="AK87" i="6"/>
  <c r="AL87" i="6"/>
  <c r="AU87" i="6"/>
  <c r="AM87" i="6"/>
  <c r="AV87" i="6"/>
  <c r="AW87" i="6"/>
  <c r="AK446" i="6"/>
  <c r="AT446" i="6"/>
  <c r="AN446" i="6"/>
  <c r="AR446" i="6"/>
  <c r="AL446" i="6"/>
  <c r="AX446" i="6"/>
  <c r="AV446" i="6"/>
  <c r="AM446" i="6"/>
  <c r="AU446" i="6"/>
  <c r="AO446" i="6"/>
  <c r="AQ446" i="6"/>
  <c r="AP446" i="6"/>
  <c r="AW446" i="6"/>
  <c r="AS446" i="6"/>
  <c r="BA446" i="6"/>
  <c r="AY446" i="6"/>
  <c r="AZ446" i="6"/>
  <c r="AU542" i="6"/>
  <c r="AR542" i="6"/>
  <c r="AX542" i="6"/>
  <c r="AV542" i="6"/>
  <c r="AN542" i="6"/>
  <c r="BA542" i="6"/>
  <c r="AQ542" i="6"/>
  <c r="AS542" i="6"/>
  <c r="AW542" i="6"/>
  <c r="AT542" i="6"/>
  <c r="AK542" i="6"/>
  <c r="AP542" i="6"/>
  <c r="AL542" i="6"/>
  <c r="AM542" i="6"/>
  <c r="AO542" i="6"/>
  <c r="AY542" i="6"/>
  <c r="AZ542" i="6"/>
  <c r="AM523" i="6"/>
  <c r="AN523" i="6"/>
  <c r="AS523" i="6"/>
  <c r="AV523" i="6"/>
  <c r="AX523" i="6"/>
  <c r="AK523" i="6"/>
  <c r="AO523" i="6"/>
  <c r="AU523" i="6"/>
  <c r="AL523" i="6"/>
  <c r="AT523" i="6"/>
  <c r="AY523" i="6"/>
  <c r="AR523" i="6"/>
  <c r="AW523" i="6"/>
  <c r="AZ523" i="6"/>
  <c r="AP523" i="6"/>
  <c r="AQ523" i="6"/>
  <c r="BA523" i="6"/>
  <c r="AK333" i="6"/>
  <c r="AX333" i="6"/>
  <c r="AN333" i="6"/>
  <c r="AQ333" i="6"/>
  <c r="AY333" i="6"/>
  <c r="AO333" i="6"/>
  <c r="AL333" i="6"/>
  <c r="AT333" i="6"/>
  <c r="AM333" i="6"/>
  <c r="AV333" i="6"/>
  <c r="AZ333" i="6"/>
  <c r="AW333" i="6"/>
  <c r="AP333" i="6"/>
  <c r="AR333" i="6"/>
  <c r="AS333" i="6"/>
  <c r="BA333" i="6"/>
  <c r="AU333" i="6"/>
  <c r="BA410" i="6"/>
  <c r="AK410" i="6"/>
  <c r="AQ410" i="6"/>
  <c r="AR410" i="6"/>
  <c r="AN410" i="6"/>
  <c r="AS410" i="6"/>
  <c r="AL410" i="6"/>
  <c r="AU410" i="6"/>
  <c r="AY410" i="6"/>
  <c r="AX410" i="6"/>
  <c r="AP410" i="6"/>
  <c r="AT410" i="6"/>
  <c r="AO410" i="6"/>
  <c r="AM410" i="6"/>
  <c r="AZ410" i="6"/>
  <c r="AV410" i="6"/>
  <c r="AW410" i="6"/>
  <c r="AW111" i="6"/>
  <c r="AN111" i="6"/>
  <c r="AU111" i="6"/>
  <c r="AY111" i="6"/>
  <c r="AT111" i="6"/>
  <c r="AV111" i="6"/>
  <c r="AK111" i="6"/>
  <c r="BA111" i="6"/>
  <c r="AX111" i="6"/>
  <c r="AQ111" i="6"/>
  <c r="AL111" i="6"/>
  <c r="AO111" i="6"/>
  <c r="AP111" i="6"/>
  <c r="AS111" i="6"/>
  <c r="AZ111" i="6"/>
  <c r="AR111" i="6"/>
  <c r="AM111" i="6"/>
  <c r="AR497" i="6"/>
  <c r="AK497" i="6"/>
  <c r="BA497" i="6"/>
  <c r="AV497" i="6"/>
  <c r="AS497" i="6"/>
  <c r="AU497" i="6"/>
  <c r="AT497" i="6"/>
  <c r="AZ497" i="6"/>
  <c r="AX497" i="6"/>
  <c r="AY497" i="6"/>
  <c r="AN497" i="6"/>
  <c r="AW497" i="6"/>
  <c r="AL497" i="6"/>
  <c r="AM497" i="6"/>
  <c r="AO497" i="6"/>
  <c r="AQ497" i="6"/>
  <c r="AP497" i="6"/>
  <c r="AS307" i="6"/>
  <c r="AR307" i="6"/>
  <c r="AX307" i="6"/>
  <c r="AU307" i="6"/>
  <c r="AO307" i="6"/>
  <c r="AL307" i="6"/>
  <c r="AK307" i="6"/>
  <c r="AN307" i="6"/>
  <c r="AV307" i="6"/>
  <c r="AZ307" i="6"/>
  <c r="AT307" i="6"/>
  <c r="AW307" i="6"/>
  <c r="AM307" i="6"/>
  <c r="AY307" i="6"/>
  <c r="BA307" i="6"/>
  <c r="AQ307" i="6"/>
  <c r="AP307" i="6"/>
  <c r="AT33" i="6"/>
  <c r="BA33" i="6"/>
  <c r="AQ33" i="6"/>
  <c r="AL33" i="6"/>
  <c r="AM33" i="6"/>
  <c r="AR33" i="6"/>
  <c r="AZ33" i="6"/>
  <c r="AN33" i="6"/>
  <c r="AO33" i="6"/>
  <c r="AU33" i="6"/>
  <c r="AK33" i="6"/>
  <c r="AY33" i="6"/>
  <c r="AP33" i="6"/>
  <c r="AV33" i="6"/>
  <c r="AW33" i="6"/>
  <c r="AX33" i="6"/>
  <c r="AS33" i="6"/>
  <c r="AT362" i="6"/>
  <c r="AX362" i="6"/>
  <c r="AR362" i="6"/>
  <c r="AP362" i="6"/>
  <c r="AL362" i="6"/>
  <c r="AN362" i="6"/>
  <c r="AW362" i="6"/>
  <c r="AZ362" i="6"/>
  <c r="AM362" i="6"/>
  <c r="AO362" i="6"/>
  <c r="BA362" i="6"/>
  <c r="AU362" i="6"/>
  <c r="AQ362" i="6"/>
  <c r="AY362" i="6"/>
  <c r="AV362" i="6"/>
  <c r="AK362" i="6"/>
  <c r="AS362" i="6"/>
  <c r="AK50" i="6"/>
  <c r="AT50" i="6"/>
  <c r="AX50" i="6"/>
  <c r="AN50" i="6"/>
  <c r="AU50" i="6"/>
  <c r="AL50" i="6"/>
  <c r="AV50" i="6"/>
  <c r="AS50" i="6"/>
  <c r="AR50" i="6"/>
  <c r="AZ50" i="6"/>
  <c r="AM50" i="6"/>
  <c r="AQ50" i="6"/>
  <c r="AO50" i="6"/>
  <c r="BA50" i="6"/>
  <c r="AY50" i="6"/>
  <c r="AP50" i="6"/>
  <c r="AW50" i="6"/>
  <c r="AN515" i="6"/>
  <c r="AP515" i="6"/>
  <c r="AU515" i="6"/>
  <c r="AQ515" i="6"/>
  <c r="AZ515" i="6"/>
  <c r="BA515" i="6"/>
  <c r="AR515" i="6"/>
  <c r="AL515" i="6"/>
  <c r="AX515" i="6"/>
  <c r="AS515" i="6"/>
  <c r="AW515" i="6"/>
  <c r="AO515" i="6"/>
  <c r="AV515" i="6"/>
  <c r="AM515" i="6"/>
  <c r="AT515" i="6"/>
  <c r="AK515" i="6"/>
  <c r="AY515" i="6"/>
  <c r="AN513" i="6"/>
  <c r="AY513" i="6"/>
  <c r="AK513" i="6"/>
  <c r="AZ513" i="6"/>
  <c r="AM513" i="6"/>
  <c r="AS513" i="6"/>
  <c r="AT513" i="6"/>
  <c r="AU513" i="6"/>
  <c r="AO513" i="6"/>
  <c r="BA513" i="6"/>
  <c r="AP513" i="6"/>
  <c r="AQ513" i="6"/>
  <c r="AR513" i="6"/>
  <c r="AL513" i="6"/>
  <c r="AW513" i="6"/>
  <c r="AV513" i="6"/>
  <c r="AX513" i="6"/>
  <c r="BA519" i="6"/>
  <c r="AS519" i="6"/>
  <c r="AQ519" i="6"/>
  <c r="AL519" i="6"/>
  <c r="AX519" i="6"/>
  <c r="AV519" i="6"/>
  <c r="AR519" i="6"/>
  <c r="AT519" i="6"/>
  <c r="AM519" i="6"/>
  <c r="AP519" i="6"/>
  <c r="AO519" i="6"/>
  <c r="AU519" i="6"/>
  <c r="AW519" i="6"/>
  <c r="AK519" i="6"/>
  <c r="AY519" i="6"/>
  <c r="AN519" i="6"/>
  <c r="AZ519" i="6"/>
  <c r="AL175" i="6"/>
  <c r="AO175" i="6"/>
  <c r="AX175" i="6"/>
  <c r="AR175" i="6"/>
  <c r="AK175" i="6"/>
  <c r="AY175" i="6"/>
  <c r="AN175" i="6"/>
  <c r="BA175" i="6"/>
  <c r="AS175" i="6"/>
  <c r="AP175" i="6"/>
  <c r="AQ175" i="6"/>
  <c r="AV175" i="6"/>
  <c r="AU175" i="6"/>
  <c r="AW175" i="6"/>
  <c r="AM175" i="6"/>
  <c r="AT175" i="6"/>
  <c r="AZ175" i="6"/>
  <c r="AQ557" i="6"/>
  <c r="AW557" i="6"/>
  <c r="AS557" i="6"/>
  <c r="AL557" i="6"/>
  <c r="BA557" i="6"/>
  <c r="AP557" i="6"/>
  <c r="AN557" i="6"/>
  <c r="AM557" i="6"/>
  <c r="AZ557" i="6"/>
  <c r="AK557" i="6"/>
  <c r="AU557" i="6"/>
  <c r="AY557" i="6"/>
  <c r="AO557" i="6"/>
  <c r="AR557" i="6"/>
  <c r="AX557" i="6"/>
  <c r="AV557" i="6"/>
  <c r="AT557" i="6"/>
  <c r="BA279" i="6"/>
  <c r="AP279" i="6"/>
  <c r="AX279" i="6"/>
  <c r="AZ279" i="6"/>
  <c r="AU279" i="6"/>
  <c r="AT279" i="6"/>
  <c r="AY279" i="6"/>
  <c r="AW279" i="6"/>
  <c r="AK279" i="6"/>
  <c r="AV279" i="6"/>
  <c r="AO279" i="6"/>
  <c r="AN279" i="6"/>
  <c r="AQ279" i="6"/>
  <c r="AL279" i="6"/>
  <c r="AM279" i="6"/>
  <c r="AR279" i="6"/>
  <c r="AS279" i="6"/>
  <c r="AX460" i="6"/>
  <c r="AT460" i="6"/>
  <c r="AU460" i="6"/>
  <c r="AW460" i="6"/>
  <c r="AQ460" i="6"/>
  <c r="AK460" i="6"/>
  <c r="AY460" i="6"/>
  <c r="AM460" i="6"/>
  <c r="AN460" i="6"/>
  <c r="AZ460" i="6"/>
  <c r="BA460" i="6"/>
  <c r="AR460" i="6"/>
  <c r="AV460" i="6"/>
  <c r="AS460" i="6"/>
  <c r="AL460" i="6"/>
  <c r="AO460" i="6"/>
  <c r="AP460" i="6"/>
  <c r="AP373" i="6"/>
  <c r="AT373" i="6"/>
  <c r="AZ373" i="6"/>
  <c r="AU373" i="6"/>
  <c r="AX373" i="6"/>
  <c r="AO373" i="6"/>
  <c r="AV373" i="6"/>
  <c r="AK373" i="6"/>
  <c r="AL373" i="6"/>
  <c r="BA373" i="6"/>
  <c r="AQ373" i="6"/>
  <c r="AW373" i="6"/>
  <c r="AS373" i="6"/>
  <c r="AN373" i="6"/>
  <c r="AY373" i="6"/>
  <c r="AR373" i="6"/>
  <c r="AM373" i="6"/>
  <c r="AL622" i="6"/>
  <c r="AS622" i="6"/>
  <c r="AR622" i="6"/>
  <c r="AT622" i="6"/>
  <c r="AO622" i="6"/>
  <c r="AU622" i="6"/>
  <c r="AQ622" i="6"/>
  <c r="AZ622" i="6"/>
  <c r="AV622" i="6"/>
  <c r="AN622" i="6"/>
  <c r="AM622" i="6"/>
  <c r="BA622" i="6"/>
  <c r="AP622" i="6"/>
  <c r="AW622" i="6"/>
  <c r="AK622" i="6"/>
  <c r="AY622" i="6"/>
  <c r="AX622" i="6"/>
  <c r="AL356" i="6"/>
  <c r="AU356" i="6"/>
  <c r="AN356" i="6"/>
  <c r="AK356" i="6"/>
  <c r="AW356" i="6"/>
  <c r="AM356" i="6"/>
  <c r="AR356" i="6"/>
  <c r="AT356" i="6"/>
  <c r="AX356" i="6"/>
  <c r="AP356" i="6"/>
  <c r="AO356" i="6"/>
  <c r="AQ356" i="6"/>
  <c r="AV356" i="6"/>
  <c r="BA356" i="6"/>
  <c r="AZ356" i="6"/>
  <c r="AY356" i="6"/>
  <c r="AS356" i="6"/>
  <c r="BA257" i="6"/>
  <c r="AT257" i="6"/>
  <c r="AS257" i="6"/>
  <c r="AM257" i="6"/>
  <c r="AZ257" i="6"/>
  <c r="AO257" i="6"/>
  <c r="AX257" i="6"/>
  <c r="AN257" i="6"/>
  <c r="AR257" i="6"/>
  <c r="AU257" i="6"/>
  <c r="AK257" i="6"/>
  <c r="AL257" i="6"/>
  <c r="AW257" i="6"/>
  <c r="AP257" i="6"/>
  <c r="AY257" i="6"/>
  <c r="AV257" i="6"/>
  <c r="AQ257" i="6"/>
  <c r="AM445" i="6"/>
  <c r="AS445" i="6"/>
  <c r="AR445" i="6"/>
  <c r="AX445" i="6"/>
  <c r="AZ445" i="6"/>
  <c r="AL445" i="6"/>
  <c r="AV445" i="6"/>
  <c r="AO445" i="6"/>
  <c r="BA445" i="6"/>
  <c r="AQ445" i="6"/>
  <c r="AY445" i="6"/>
  <c r="AK445" i="6"/>
  <c r="AU445" i="6"/>
  <c r="AN445" i="6"/>
  <c r="AP445" i="6"/>
  <c r="AW445" i="6"/>
  <c r="AT445" i="6"/>
  <c r="AV345" i="6"/>
  <c r="AS345" i="6"/>
  <c r="BA345" i="6"/>
  <c r="AK345" i="6"/>
  <c r="AZ345" i="6"/>
  <c r="AU345" i="6"/>
  <c r="AM345" i="6"/>
  <c r="AO345" i="6"/>
  <c r="AW345" i="6"/>
  <c r="AL345" i="6"/>
  <c r="AN345" i="6"/>
  <c r="AP345" i="6"/>
  <c r="AR345" i="6"/>
  <c r="AT345" i="6"/>
  <c r="AY345" i="6"/>
  <c r="AQ345" i="6"/>
  <c r="AX345" i="6"/>
  <c r="AM59" i="6"/>
  <c r="AW59" i="6"/>
  <c r="AT59" i="6"/>
  <c r="AS59" i="6"/>
  <c r="AU59" i="6"/>
  <c r="AL59" i="6"/>
  <c r="AK59" i="6"/>
  <c r="AR59" i="6"/>
  <c r="BA59" i="6"/>
  <c r="AZ59" i="6"/>
  <c r="AX59" i="6"/>
  <c r="AV59" i="6"/>
  <c r="AP59" i="6"/>
  <c r="AY59" i="6"/>
  <c r="AN59" i="6"/>
  <c r="AQ59" i="6"/>
  <c r="AO59" i="6"/>
  <c r="AL512" i="6"/>
  <c r="BA512" i="6"/>
  <c r="AX512" i="6"/>
  <c r="AQ512" i="6"/>
  <c r="AK512" i="6"/>
  <c r="AP512" i="6"/>
  <c r="AZ512" i="6"/>
  <c r="AO512" i="6"/>
  <c r="AU512" i="6"/>
  <c r="AS512" i="6"/>
  <c r="AY512" i="6"/>
  <c r="AR512" i="6"/>
  <c r="AW512" i="6"/>
  <c r="AV512" i="6"/>
  <c r="AM512" i="6"/>
  <c r="AT512" i="6"/>
  <c r="AN512" i="6"/>
  <c r="AK251" i="6"/>
  <c r="AL251" i="6"/>
  <c r="AR251" i="6"/>
  <c r="AQ251" i="6"/>
  <c r="AW251" i="6"/>
  <c r="AN251" i="6"/>
  <c r="AM251" i="6"/>
  <c r="AO251" i="6"/>
  <c r="AV251" i="6"/>
  <c r="AS251" i="6"/>
  <c r="BA251" i="6"/>
  <c r="AT251" i="6"/>
  <c r="AY251" i="6"/>
  <c r="AX251" i="6"/>
  <c r="AU251" i="6"/>
  <c r="AZ251" i="6"/>
  <c r="AP251" i="6"/>
  <c r="AP182" i="6"/>
  <c r="AU182" i="6"/>
  <c r="AM182" i="6"/>
  <c r="AW182" i="6"/>
  <c r="AK182" i="6"/>
  <c r="AR182" i="6"/>
  <c r="AS182" i="6"/>
  <c r="AL182" i="6"/>
  <c r="AZ182" i="6"/>
  <c r="AQ182" i="6"/>
  <c r="AT182" i="6"/>
  <c r="AX182" i="6"/>
  <c r="AO182" i="6"/>
  <c r="AN182" i="6"/>
  <c r="BA182" i="6"/>
  <c r="AV182" i="6"/>
  <c r="AY182" i="6"/>
  <c r="AY527" i="6"/>
  <c r="BA527" i="6"/>
  <c r="AN527" i="6"/>
  <c r="AL527" i="6"/>
  <c r="AT527" i="6"/>
  <c r="AV527" i="6"/>
  <c r="AO527" i="6"/>
  <c r="AM527" i="6"/>
  <c r="W178" i="8" s="1"/>
  <c r="AP527" i="6"/>
  <c r="AR527" i="6"/>
  <c r="AZ527" i="6"/>
  <c r="AU527" i="6"/>
  <c r="AS527" i="6"/>
  <c r="AW527" i="6"/>
  <c r="AQ527" i="6"/>
  <c r="AX527" i="6"/>
  <c r="AK527" i="6"/>
  <c r="AZ320" i="6"/>
  <c r="AX320" i="6"/>
  <c r="AK320" i="6"/>
  <c r="AT320" i="6"/>
  <c r="AL320" i="6"/>
  <c r="AS320" i="6"/>
  <c r="AM320" i="6"/>
  <c r="AW320" i="6"/>
  <c r="AU320" i="6"/>
  <c r="AN320" i="6"/>
  <c r="BA320" i="6"/>
  <c r="AO320" i="6"/>
  <c r="AY320" i="6"/>
  <c r="AP320" i="6"/>
  <c r="AV320" i="6"/>
  <c r="AR320" i="6"/>
  <c r="AQ320" i="6"/>
  <c r="AW532" i="6"/>
  <c r="AX532" i="6"/>
  <c r="AV532" i="6"/>
  <c r="AK532" i="6"/>
  <c r="AR532" i="6"/>
  <c r="BA532" i="6"/>
  <c r="AN532" i="6"/>
  <c r="AQ532" i="6"/>
  <c r="AM532" i="6"/>
  <c r="AS532" i="6"/>
  <c r="AU532" i="6"/>
  <c r="AL532" i="6"/>
  <c r="AT532" i="6"/>
  <c r="AP532" i="6"/>
  <c r="AZ532" i="6"/>
  <c r="AY532" i="6"/>
  <c r="AO532" i="6"/>
  <c r="AR270" i="6"/>
  <c r="AX270" i="6"/>
  <c r="AN270" i="6"/>
  <c r="AW270" i="6"/>
  <c r="BA270" i="6"/>
  <c r="AK270" i="6"/>
  <c r="AZ270" i="6"/>
  <c r="AY270" i="6"/>
  <c r="AQ270" i="6"/>
  <c r="AO270" i="6"/>
  <c r="AV270" i="6"/>
  <c r="AP270" i="6"/>
  <c r="AU270" i="6"/>
  <c r="AS270" i="6"/>
  <c r="AM270" i="6"/>
  <c r="AT270" i="6"/>
  <c r="AL270" i="6"/>
  <c r="AV416" i="6"/>
  <c r="AL416" i="6"/>
  <c r="AK416" i="6"/>
  <c r="AR416" i="6"/>
  <c r="AM416" i="6"/>
  <c r="AU416" i="6"/>
  <c r="AO416" i="6"/>
  <c r="AS416" i="6"/>
  <c r="AQ416" i="6"/>
  <c r="AT416" i="6"/>
  <c r="AD151" i="8" s="1"/>
  <c r="AP416" i="6"/>
  <c r="AY416" i="6"/>
  <c r="AN416" i="6"/>
  <c r="AW416" i="6"/>
  <c r="BA416" i="6"/>
  <c r="AX416" i="6"/>
  <c r="AZ416" i="6"/>
  <c r="BA309" i="6"/>
  <c r="AN309" i="6"/>
  <c r="AT309" i="6"/>
  <c r="AX309" i="6"/>
  <c r="AW309" i="6"/>
  <c r="AK309" i="6"/>
  <c r="AM309" i="6"/>
  <c r="AO309" i="6"/>
  <c r="AQ309" i="6"/>
  <c r="AY309" i="6"/>
  <c r="AZ309" i="6"/>
  <c r="AP309" i="6"/>
  <c r="AV309" i="6"/>
  <c r="AU309" i="6"/>
  <c r="AL309" i="6"/>
  <c r="AS309" i="6"/>
  <c r="AR309" i="6"/>
  <c r="AK691" i="6"/>
  <c r="AW691" i="6"/>
  <c r="AR691" i="6"/>
  <c r="AL691" i="6"/>
  <c r="AP691" i="6"/>
  <c r="AM691" i="6"/>
  <c r="AZ691" i="6"/>
  <c r="BA691" i="6"/>
  <c r="AX691" i="6"/>
  <c r="AT691" i="6"/>
  <c r="AY691" i="6"/>
  <c r="AS691" i="6"/>
  <c r="AO691" i="6"/>
  <c r="AV691" i="6"/>
  <c r="AU691" i="6"/>
  <c r="AQ691" i="6"/>
  <c r="AN691" i="6"/>
  <c r="AR42" i="6"/>
  <c r="AS42" i="6"/>
  <c r="AX42" i="6"/>
  <c r="AZ42" i="6"/>
  <c r="AO42" i="6"/>
  <c r="AU42" i="6"/>
  <c r="AT42" i="6"/>
  <c r="BA42" i="6"/>
  <c r="AQ42" i="6"/>
  <c r="AM42" i="6"/>
  <c r="AL42" i="6"/>
  <c r="AY42" i="6"/>
  <c r="AV42" i="6"/>
  <c r="AK42" i="6"/>
  <c r="AW42" i="6"/>
  <c r="AN42" i="6"/>
  <c r="AP42" i="6"/>
  <c r="AQ425" i="6"/>
  <c r="BA425" i="6"/>
  <c r="AO425" i="6"/>
  <c r="AR425" i="6"/>
  <c r="AW425" i="6"/>
  <c r="AP425" i="6"/>
  <c r="AY425" i="6"/>
  <c r="AK425" i="6"/>
  <c r="AZ425" i="6"/>
  <c r="AV425" i="6"/>
  <c r="AL425" i="6"/>
  <c r="AX425" i="6"/>
  <c r="AS425" i="6"/>
  <c r="AT425" i="6"/>
  <c r="AU425" i="6"/>
  <c r="AN425" i="6"/>
  <c r="AM425" i="6"/>
  <c r="AZ219" i="6"/>
  <c r="AY219" i="6"/>
  <c r="AL219" i="6"/>
  <c r="AV219" i="6"/>
  <c r="AS219" i="6"/>
  <c r="AN219" i="6"/>
  <c r="AP219" i="6"/>
  <c r="AK219" i="6"/>
  <c r="AR219" i="6"/>
  <c r="AW219" i="6"/>
  <c r="AT219" i="6"/>
  <c r="AX219" i="6"/>
  <c r="AM219" i="6"/>
  <c r="AO219" i="6"/>
  <c r="AQ219" i="6"/>
  <c r="AU219" i="6"/>
  <c r="BA219" i="6"/>
  <c r="AS98" i="6"/>
  <c r="AU98" i="6"/>
  <c r="AY98" i="6"/>
  <c r="BA98" i="6"/>
  <c r="AZ98" i="6"/>
  <c r="AM98" i="6"/>
  <c r="AV98" i="6"/>
  <c r="AQ98" i="6"/>
  <c r="AR98" i="6"/>
  <c r="AO98" i="6"/>
  <c r="AX98" i="6"/>
  <c r="AN98" i="6"/>
  <c r="AK98" i="6"/>
  <c r="AP98" i="6"/>
  <c r="AT98" i="6"/>
  <c r="AL98" i="6"/>
  <c r="AW98" i="6"/>
  <c r="AX113" i="6"/>
  <c r="AM113" i="6"/>
  <c r="BA113" i="6"/>
  <c r="AV113" i="6"/>
  <c r="AW113" i="6"/>
  <c r="AZ113" i="6"/>
  <c r="AQ113" i="6"/>
  <c r="AU113" i="6"/>
  <c r="AR113" i="6"/>
  <c r="AK113" i="6"/>
  <c r="AP113" i="6"/>
  <c r="AY113" i="6"/>
  <c r="AO113" i="6"/>
  <c r="AN113" i="6"/>
  <c r="AL113" i="6"/>
  <c r="AT113" i="6"/>
  <c r="AS113" i="6"/>
  <c r="AT123" i="6"/>
  <c r="AK123" i="6"/>
  <c r="BA123" i="6"/>
  <c r="AN123" i="6"/>
  <c r="AP123" i="6"/>
  <c r="AM123" i="6"/>
  <c r="AZ123" i="6"/>
  <c r="AX123" i="6"/>
  <c r="AQ123" i="6"/>
  <c r="AS123" i="6"/>
  <c r="AV123" i="6"/>
  <c r="AU123" i="6"/>
  <c r="AY123" i="6"/>
  <c r="AW123" i="6"/>
  <c r="AL123" i="6"/>
  <c r="AR123" i="6"/>
  <c r="AO123" i="6"/>
  <c r="BA254" i="6"/>
  <c r="AK254" i="6"/>
  <c r="AO254" i="6"/>
  <c r="AS254" i="6"/>
  <c r="AL254" i="6"/>
  <c r="AM254" i="6"/>
  <c r="AR254" i="6"/>
  <c r="AN254" i="6"/>
  <c r="AX254" i="6"/>
  <c r="AQ254" i="6"/>
  <c r="AU254" i="6"/>
  <c r="AW254" i="6"/>
  <c r="AV254" i="6"/>
  <c r="AY254" i="6"/>
  <c r="AP254" i="6"/>
  <c r="AZ254" i="6"/>
  <c r="AT254" i="6"/>
  <c r="AN708" i="6"/>
  <c r="AP708" i="6"/>
  <c r="AR708" i="6"/>
  <c r="AQ708" i="6"/>
  <c r="AY708" i="6"/>
  <c r="AU708" i="6"/>
  <c r="AT708" i="6"/>
  <c r="AX708" i="6"/>
  <c r="BA708" i="6"/>
  <c r="AV708" i="6"/>
  <c r="AL708" i="6"/>
  <c r="AS708" i="6"/>
  <c r="AO708" i="6"/>
  <c r="AK708" i="6"/>
  <c r="AZ708" i="6"/>
  <c r="AW708" i="6"/>
  <c r="AM708" i="6"/>
  <c r="AS586" i="6"/>
  <c r="AU586" i="6"/>
  <c r="BA586" i="6"/>
  <c r="AM586" i="6"/>
  <c r="AY586" i="6"/>
  <c r="AN586" i="6"/>
  <c r="AL586" i="6"/>
  <c r="AP586" i="6"/>
  <c r="AZ586" i="6"/>
  <c r="AO586" i="6"/>
  <c r="AR586" i="6"/>
  <c r="AW586" i="6"/>
  <c r="AT586" i="6"/>
  <c r="AV586" i="6"/>
  <c r="AQ586" i="6"/>
  <c r="AK586" i="6"/>
  <c r="AX586" i="6"/>
  <c r="AZ419" i="6"/>
  <c r="AQ419" i="6"/>
  <c r="AA154" i="8" s="1"/>
  <c r="AN419" i="6"/>
  <c r="AM419" i="6"/>
  <c r="AU419" i="6"/>
  <c r="AT419" i="6"/>
  <c r="AK419" i="6"/>
  <c r="AL419" i="6"/>
  <c r="AS419" i="6"/>
  <c r="AX419" i="6"/>
  <c r="AV419" i="6"/>
  <c r="AO419" i="6"/>
  <c r="AP419" i="6"/>
  <c r="AY419" i="6"/>
  <c r="AR419" i="6"/>
  <c r="AW419" i="6"/>
  <c r="BA419" i="6"/>
  <c r="AO475" i="6"/>
  <c r="AM475" i="6"/>
  <c r="AV475" i="6"/>
  <c r="AS475" i="6"/>
  <c r="AY475" i="6"/>
  <c r="AU475" i="6"/>
  <c r="AP475" i="6"/>
  <c r="AQ475" i="6"/>
  <c r="AR475" i="6"/>
  <c r="AX475" i="6"/>
  <c r="AT475" i="6"/>
  <c r="AN475" i="6"/>
  <c r="AZ475" i="6"/>
  <c r="BA475" i="6"/>
  <c r="AK475" i="6"/>
  <c r="AW475" i="6"/>
  <c r="AL475" i="6"/>
  <c r="AT614" i="6"/>
  <c r="AX614" i="6"/>
  <c r="AL614" i="6"/>
  <c r="AW614" i="6"/>
  <c r="AM614" i="6"/>
  <c r="AY614" i="6"/>
  <c r="AO614" i="6"/>
  <c r="AQ614" i="6"/>
  <c r="AS614" i="6"/>
  <c r="AV614" i="6"/>
  <c r="AZ614" i="6"/>
  <c r="AN614" i="6"/>
  <c r="AK614" i="6"/>
  <c r="AU614" i="6"/>
  <c r="BA614" i="6"/>
  <c r="AP614" i="6"/>
  <c r="AR614" i="6"/>
  <c r="AS190" i="6"/>
  <c r="AQ190" i="6"/>
  <c r="AR190" i="6"/>
  <c r="AX190" i="6"/>
  <c r="AP190" i="6"/>
  <c r="AY190" i="6"/>
  <c r="AN190" i="6"/>
  <c r="AM190" i="6"/>
  <c r="AL190" i="6"/>
  <c r="BA190" i="6"/>
  <c r="AU190" i="6"/>
  <c r="AK190" i="6"/>
  <c r="AO190" i="6"/>
  <c r="AZ190" i="6"/>
  <c r="AW190" i="6"/>
  <c r="AV190" i="6"/>
  <c r="AT190" i="6"/>
  <c r="AT280" i="6"/>
  <c r="AX280" i="6"/>
  <c r="AO280" i="6"/>
  <c r="AK280" i="6"/>
  <c r="AL280" i="6"/>
  <c r="AN280" i="6"/>
  <c r="AM280" i="6"/>
  <c r="AP280" i="6"/>
  <c r="AZ280" i="6"/>
  <c r="BA280" i="6"/>
  <c r="AQ280" i="6"/>
  <c r="AY280" i="6"/>
  <c r="AS280" i="6"/>
  <c r="AR280" i="6"/>
  <c r="AV280" i="6"/>
  <c r="AU280" i="6"/>
  <c r="AW280" i="6"/>
  <c r="AO354" i="6"/>
  <c r="AX354" i="6"/>
  <c r="AR354" i="6"/>
  <c r="BA354" i="6"/>
  <c r="AP354" i="6"/>
  <c r="AY354" i="6"/>
  <c r="AN354" i="6"/>
  <c r="AQ354" i="6"/>
  <c r="AS354" i="6"/>
  <c r="AK354" i="6"/>
  <c r="AT354" i="6"/>
  <c r="AL354" i="6"/>
  <c r="AZ354" i="6"/>
  <c r="AM354" i="6"/>
  <c r="AW354" i="6"/>
  <c r="AV354" i="6"/>
  <c r="AU354" i="6"/>
  <c r="AL553" i="6"/>
  <c r="AU553" i="6"/>
  <c r="AQ553" i="6"/>
  <c r="AO553" i="6"/>
  <c r="AS553" i="6"/>
  <c r="AN553" i="6"/>
  <c r="AV553" i="6"/>
  <c r="AY553" i="6"/>
  <c r="AM553" i="6"/>
  <c r="AP553" i="6"/>
  <c r="AW553" i="6"/>
  <c r="AR553" i="6"/>
  <c r="AZ553" i="6"/>
  <c r="AK553" i="6"/>
  <c r="BA553" i="6"/>
  <c r="AX553" i="6"/>
  <c r="AT553" i="6"/>
  <c r="AX552" i="6"/>
  <c r="AL552" i="6"/>
  <c r="AT552" i="6"/>
  <c r="BA552" i="6"/>
  <c r="AV552" i="6"/>
  <c r="AW552" i="6"/>
  <c r="AP552" i="6"/>
  <c r="AU552" i="6"/>
  <c r="AN552" i="6"/>
  <c r="AQ552" i="6"/>
  <c r="AO552" i="6"/>
  <c r="AK552" i="6"/>
  <c r="AR552" i="6"/>
  <c r="AS552" i="6"/>
  <c r="AM552" i="6"/>
  <c r="AY552" i="6"/>
  <c r="AZ552" i="6"/>
  <c r="AP447" i="6"/>
  <c r="AV447" i="6"/>
  <c r="AL447" i="6"/>
  <c r="AX447" i="6"/>
  <c r="AK447" i="6"/>
  <c r="AM447" i="6"/>
  <c r="AU447" i="6"/>
  <c r="AO447" i="6"/>
  <c r="AN447" i="6"/>
  <c r="AQ447" i="6"/>
  <c r="AZ447" i="6"/>
  <c r="BA447" i="6"/>
  <c r="AR447" i="6"/>
  <c r="AW447" i="6"/>
  <c r="AS447" i="6"/>
  <c r="AT447" i="6"/>
  <c r="AY447" i="6"/>
  <c r="W205" i="8" l="1"/>
  <c r="Z139" i="8"/>
  <c r="X142" i="8"/>
  <c r="Z106" i="8"/>
  <c r="AA175" i="8"/>
  <c r="Y55" i="8"/>
  <c r="Y58" i="8"/>
  <c r="X202" i="8"/>
  <c r="Z67" i="8"/>
  <c r="AA202" i="8"/>
  <c r="AD106" i="8"/>
  <c r="W121" i="8"/>
  <c r="AY159" i="6" l="1"/>
  <c r="AW159" i="6"/>
  <c r="AQ159" i="6"/>
  <c r="AM159" i="6"/>
  <c r="AX159" i="6"/>
  <c r="AL159" i="6"/>
  <c r="AP159" i="6"/>
  <c r="AV159" i="6"/>
  <c r="AZ159" i="6"/>
  <c r="AK159" i="6"/>
  <c r="AN159" i="6"/>
  <c r="AR159" i="6"/>
  <c r="AS159" i="6"/>
  <c r="AO159" i="6"/>
  <c r="BA159" i="6"/>
  <c r="AT159" i="6"/>
  <c r="AU159" i="6"/>
  <c r="AO344" i="6"/>
  <c r="AM344" i="6"/>
  <c r="AQ344" i="6"/>
  <c r="AR344" i="6"/>
  <c r="AV344" i="6"/>
  <c r="AS344" i="6"/>
  <c r="AP344" i="6"/>
  <c r="AK344" i="6"/>
  <c r="AU344" i="6"/>
  <c r="AW344" i="6"/>
  <c r="AX344" i="6"/>
  <c r="AL344" i="6"/>
  <c r="AZ344" i="6"/>
  <c r="AY344" i="6"/>
  <c r="BA344" i="6"/>
  <c r="AN344" i="6"/>
  <c r="AT344" i="6"/>
  <c r="AK397" i="6"/>
  <c r="AS397" i="6"/>
  <c r="AN397" i="6"/>
  <c r="AO397" i="6"/>
  <c r="AR397" i="6"/>
  <c r="AP397" i="6"/>
  <c r="AX397" i="6"/>
  <c r="BA397" i="6"/>
  <c r="AT397" i="6"/>
  <c r="AM397" i="6"/>
  <c r="AQ397" i="6"/>
  <c r="AU397" i="6"/>
  <c r="AL397" i="6"/>
  <c r="AY397" i="6"/>
  <c r="AW397" i="6"/>
  <c r="AV397" i="6"/>
  <c r="AZ397" i="6"/>
  <c r="AQ226" i="6"/>
  <c r="AZ226" i="6"/>
  <c r="AR226" i="6"/>
  <c r="AT226" i="6"/>
  <c r="BA226" i="6"/>
  <c r="AX226" i="6"/>
  <c r="AN226" i="6"/>
  <c r="AL226" i="6"/>
  <c r="AY226" i="6"/>
  <c r="AM226" i="6"/>
  <c r="AV226" i="6"/>
  <c r="AO226" i="6"/>
  <c r="AK226" i="6"/>
  <c r="AS226" i="6"/>
  <c r="AW226" i="6"/>
  <c r="AU226" i="6"/>
  <c r="AP226" i="6"/>
  <c r="AR234" i="6"/>
  <c r="AV234" i="6"/>
  <c r="AZ234" i="6"/>
  <c r="AL234" i="6"/>
  <c r="AP234" i="6"/>
  <c r="AN234" i="6"/>
  <c r="AY234" i="6"/>
  <c r="AK234" i="6"/>
  <c r="AS234" i="6"/>
  <c r="AM234" i="6"/>
  <c r="AO234" i="6"/>
  <c r="BA234" i="6"/>
  <c r="AT234" i="6"/>
  <c r="AQ234" i="6"/>
  <c r="AW234" i="6"/>
  <c r="AU234" i="6"/>
  <c r="AX234" i="6"/>
  <c r="AQ658" i="6"/>
  <c r="AN658" i="6"/>
  <c r="AZ658" i="6"/>
  <c r="AX658" i="6"/>
  <c r="AT658" i="6"/>
  <c r="AY658" i="6"/>
  <c r="AP658" i="6"/>
  <c r="AW658" i="6"/>
  <c r="AO658" i="6"/>
  <c r="AM658" i="6"/>
  <c r="AV658" i="6"/>
  <c r="AL658" i="6"/>
  <c r="AK658" i="6"/>
  <c r="BA658" i="6"/>
  <c r="AR658" i="6"/>
  <c r="AU658" i="6"/>
  <c r="AS658" i="6"/>
  <c r="AX573" i="6"/>
  <c r="BA573" i="6"/>
  <c r="AL573" i="6"/>
  <c r="AN573" i="6"/>
  <c r="AZ573" i="6"/>
  <c r="AP573" i="6"/>
  <c r="AO573" i="6"/>
  <c r="AY573" i="6"/>
  <c r="AV573" i="6"/>
  <c r="AQ573" i="6"/>
  <c r="AK573" i="6"/>
  <c r="AW573" i="6"/>
  <c r="AU573" i="6"/>
  <c r="AM573" i="6"/>
  <c r="AR573" i="6"/>
  <c r="AT573" i="6"/>
  <c r="AS573" i="6"/>
  <c r="AQ217" i="6"/>
  <c r="AW217" i="6"/>
  <c r="AP217" i="6"/>
  <c r="AX217" i="6"/>
  <c r="AZ217" i="6"/>
  <c r="AO217" i="6"/>
  <c r="AM217" i="6"/>
  <c r="AK217" i="6"/>
  <c r="AN217" i="6"/>
  <c r="AT217" i="6"/>
  <c r="AR217" i="6"/>
  <c r="AY217" i="6"/>
  <c r="AV217" i="6"/>
  <c r="AL217" i="6"/>
  <c r="AU217" i="6"/>
  <c r="AS217" i="6"/>
  <c r="BA217" i="6"/>
  <c r="AR627" i="6"/>
  <c r="AL627" i="6"/>
  <c r="AN627" i="6"/>
  <c r="AV627" i="6"/>
  <c r="AQ627" i="6"/>
  <c r="AP627" i="6"/>
  <c r="AZ627" i="6"/>
  <c r="AX627" i="6"/>
  <c r="AT627" i="6"/>
  <c r="AS627" i="6"/>
  <c r="AU627" i="6"/>
  <c r="AK627" i="6"/>
  <c r="AW627" i="6"/>
  <c r="AM627" i="6"/>
  <c r="BA627" i="6"/>
  <c r="AO627" i="6"/>
  <c r="AY627" i="6"/>
  <c r="AZ596" i="6"/>
  <c r="AK596" i="6"/>
  <c r="AM596" i="6"/>
  <c r="AS596" i="6"/>
  <c r="AN596" i="6"/>
  <c r="AW596" i="6"/>
  <c r="AX596" i="6"/>
  <c r="AL596" i="6"/>
  <c r="AV596" i="6"/>
  <c r="AU596" i="6"/>
  <c r="AQ596" i="6"/>
  <c r="BA596" i="6"/>
  <c r="AP596" i="6"/>
  <c r="AT596" i="6"/>
  <c r="AY596" i="6"/>
  <c r="AO596" i="6"/>
  <c r="AR596" i="6"/>
  <c r="AY679" i="6"/>
  <c r="AV679" i="6"/>
  <c r="AR679" i="6"/>
  <c r="AU679" i="6"/>
  <c r="AO679" i="6"/>
  <c r="AK679" i="6"/>
  <c r="AW679" i="6"/>
  <c r="AQ679" i="6"/>
  <c r="AL679" i="6"/>
  <c r="AP679" i="6"/>
  <c r="AN679" i="6"/>
  <c r="AS679" i="6"/>
  <c r="AX679" i="6"/>
  <c r="AT679" i="6"/>
  <c r="AZ679" i="6"/>
  <c r="AM679" i="6"/>
  <c r="BA679" i="6"/>
  <c r="AR180" i="6"/>
  <c r="AN180" i="6"/>
  <c r="AM180" i="6"/>
  <c r="AX180" i="6"/>
  <c r="AO180" i="6"/>
  <c r="AL180" i="6"/>
  <c r="AZ180" i="6"/>
  <c r="AQ180" i="6"/>
  <c r="AK180" i="6"/>
  <c r="AV180" i="6"/>
  <c r="BA180" i="6"/>
  <c r="AW180" i="6"/>
  <c r="AT180" i="6"/>
  <c r="AP180" i="6"/>
  <c r="AY180" i="6"/>
  <c r="AU180" i="6"/>
  <c r="AS180" i="6"/>
  <c r="AQ168" i="6"/>
  <c r="AZ168" i="6"/>
  <c r="AK168" i="6"/>
  <c r="AN168" i="6"/>
  <c r="AP168" i="6"/>
  <c r="AR168" i="6"/>
  <c r="BA168" i="6"/>
  <c r="AT168" i="6"/>
  <c r="AL168" i="6"/>
  <c r="AU168" i="6"/>
  <c r="AV168" i="6"/>
  <c r="AY168" i="6"/>
  <c r="AX168" i="6"/>
  <c r="AM168" i="6"/>
  <c r="AS168" i="6"/>
  <c r="AW168" i="6"/>
  <c r="AO168" i="6"/>
  <c r="AP194" i="6"/>
  <c r="AU194" i="6"/>
  <c r="AO194" i="6"/>
  <c r="AY194" i="6"/>
  <c r="AN194" i="6"/>
  <c r="AS194" i="6"/>
  <c r="AK194" i="6"/>
  <c r="AV194" i="6"/>
  <c r="AM194" i="6"/>
  <c r="AW194" i="6"/>
  <c r="AT194" i="6"/>
  <c r="AX194" i="6"/>
  <c r="AZ194" i="6"/>
  <c r="AR194" i="6"/>
  <c r="BA194" i="6"/>
  <c r="AQ194" i="6"/>
  <c r="AL194" i="6"/>
  <c r="BA571" i="6"/>
  <c r="AT571" i="6"/>
  <c r="AU571" i="6"/>
  <c r="AN571" i="6"/>
  <c r="AZ571" i="6"/>
  <c r="AK571" i="6"/>
  <c r="AW571" i="6"/>
  <c r="AO571" i="6"/>
  <c r="AP571" i="6"/>
  <c r="AL571" i="6"/>
  <c r="AS571" i="6"/>
  <c r="AX571" i="6"/>
  <c r="AR571" i="6"/>
  <c r="AY571" i="6"/>
  <c r="AQ571" i="6"/>
  <c r="AM571" i="6"/>
  <c r="AV571" i="6"/>
  <c r="AM667" i="6"/>
  <c r="AQ667" i="6"/>
  <c r="AZ667" i="6"/>
  <c r="AX667" i="6"/>
  <c r="AP667" i="6"/>
  <c r="AO667" i="6"/>
  <c r="AR667" i="6"/>
  <c r="AS667" i="6"/>
  <c r="AL667" i="6"/>
  <c r="AV667" i="6"/>
  <c r="AN667" i="6"/>
  <c r="AK667" i="6"/>
  <c r="AT667" i="6"/>
  <c r="AW667" i="6"/>
  <c r="AY667" i="6"/>
  <c r="BA667" i="6"/>
  <c r="AU667" i="6"/>
  <c r="AP124" i="6"/>
  <c r="AZ124" i="6"/>
  <c r="AW124" i="6"/>
  <c r="AS124" i="6"/>
  <c r="AC73" i="8" s="1"/>
  <c r="AO124" i="6"/>
  <c r="AR124" i="6"/>
  <c r="AB85" i="8" s="1"/>
  <c r="AM124" i="6"/>
  <c r="BA124" i="6"/>
  <c r="AY124" i="6"/>
  <c r="AK124" i="6"/>
  <c r="AV124" i="6"/>
  <c r="AN124" i="6"/>
  <c r="AU124" i="6"/>
  <c r="AQ124" i="6"/>
  <c r="AX124" i="6"/>
  <c r="AT124" i="6"/>
  <c r="AL124" i="6"/>
  <c r="AS170" i="6"/>
  <c r="AO170" i="6"/>
  <c r="AL170" i="6"/>
  <c r="AU170" i="6"/>
  <c r="AX170" i="6"/>
  <c r="BA170" i="6"/>
  <c r="AW170" i="6"/>
  <c r="AZ170" i="6"/>
  <c r="AM170" i="6"/>
  <c r="AK170" i="6"/>
  <c r="AY170" i="6"/>
  <c r="AN170" i="6"/>
  <c r="AR170" i="6"/>
  <c r="AT170" i="6"/>
  <c r="AP170" i="6"/>
  <c r="AQ170" i="6"/>
  <c r="AV170" i="6"/>
  <c r="AY150" i="6"/>
  <c r="AK150" i="6"/>
  <c r="AL150" i="6"/>
  <c r="AN150" i="6"/>
  <c r="AP150" i="6"/>
  <c r="AT150" i="6"/>
  <c r="AQ150" i="6"/>
  <c r="AU150" i="6"/>
  <c r="AW150" i="6"/>
  <c r="AZ150" i="6"/>
  <c r="AS150" i="6"/>
  <c r="AV150" i="6"/>
  <c r="AX150" i="6"/>
  <c r="AO150" i="6"/>
  <c r="BA150" i="6"/>
  <c r="AM150" i="6"/>
  <c r="AR150" i="6"/>
  <c r="AK338" i="6"/>
  <c r="AX338" i="6"/>
  <c r="AP338" i="6"/>
  <c r="AQ338" i="6"/>
  <c r="AZ338" i="6"/>
  <c r="AT338" i="6"/>
  <c r="AN338" i="6"/>
  <c r="AV338" i="6"/>
  <c r="AL338" i="6"/>
  <c r="BA338" i="6"/>
  <c r="AW338" i="6"/>
  <c r="AM338" i="6"/>
  <c r="AU338" i="6"/>
  <c r="AY338" i="6"/>
  <c r="AO338" i="6"/>
  <c r="AR338" i="6"/>
  <c r="AS338" i="6"/>
  <c r="BA120" i="6"/>
  <c r="AL120" i="6"/>
  <c r="AU120" i="6"/>
  <c r="AP120" i="6"/>
  <c r="AQ120" i="6"/>
  <c r="AM120" i="6"/>
  <c r="AW120" i="6"/>
  <c r="AV120" i="6"/>
  <c r="AN120" i="6"/>
  <c r="AO120" i="6"/>
  <c r="AZ120" i="6"/>
  <c r="AT120" i="6"/>
  <c r="AS120" i="6"/>
  <c r="AX120" i="6"/>
  <c r="AY120" i="6"/>
  <c r="AR120" i="6"/>
  <c r="AK120" i="6"/>
  <c r="AR585" i="6"/>
  <c r="AU585" i="6"/>
  <c r="AN585" i="6"/>
  <c r="AZ585" i="6"/>
  <c r="AX585" i="6"/>
  <c r="BA585" i="6"/>
  <c r="AV585" i="6"/>
  <c r="AO585" i="6"/>
  <c r="AW585" i="6"/>
  <c r="AT585" i="6"/>
  <c r="AQ585" i="6"/>
  <c r="AM585" i="6"/>
  <c r="AP585" i="6"/>
  <c r="AK585" i="6"/>
  <c r="AS585" i="6"/>
  <c r="AL585" i="6"/>
  <c r="AY585" i="6"/>
  <c r="AX719" i="6"/>
  <c r="AP719" i="6"/>
  <c r="AR719" i="6"/>
  <c r="AN719" i="6"/>
  <c r="AY719" i="6"/>
  <c r="AZ719" i="6"/>
  <c r="AO719" i="6"/>
  <c r="AU719" i="6"/>
  <c r="BA719" i="6"/>
  <c r="AV719" i="6"/>
  <c r="AQ719" i="6"/>
  <c r="AM719" i="6"/>
  <c r="AT719" i="6"/>
  <c r="AW719" i="6"/>
  <c r="AL719" i="6"/>
  <c r="AK719" i="6"/>
  <c r="AS719" i="6"/>
  <c r="AN18" i="6"/>
  <c r="AZ18" i="6"/>
  <c r="BA18" i="6"/>
  <c r="AU18" i="6"/>
  <c r="AT18" i="6"/>
  <c r="AW18" i="6"/>
  <c r="AR18" i="6"/>
  <c r="AK18" i="6"/>
  <c r="AQ18" i="6"/>
  <c r="AS18" i="6"/>
  <c r="AM18" i="6"/>
  <c r="AY18" i="6"/>
  <c r="AO18" i="6"/>
  <c r="AX18" i="6"/>
  <c r="AL18" i="6"/>
  <c r="AP18" i="6"/>
  <c r="AV18" i="6"/>
  <c r="AV666" i="6"/>
  <c r="AO666" i="6"/>
  <c r="AW666" i="6"/>
  <c r="AR666" i="6"/>
  <c r="AL666" i="6"/>
  <c r="AZ666" i="6"/>
  <c r="AS666" i="6"/>
  <c r="BA666" i="6"/>
  <c r="AU666" i="6"/>
  <c r="AP666" i="6"/>
  <c r="AK666" i="6"/>
  <c r="AY666" i="6"/>
  <c r="AQ666" i="6"/>
  <c r="AN666" i="6"/>
  <c r="AM666" i="6"/>
  <c r="AT666" i="6"/>
  <c r="AX666" i="6"/>
  <c r="AK238" i="6"/>
  <c r="AO238" i="6"/>
  <c r="AN238" i="6"/>
  <c r="AY238" i="6"/>
  <c r="AW238" i="6"/>
  <c r="AS238" i="6"/>
  <c r="AP238" i="6"/>
  <c r="AZ238" i="6"/>
  <c r="AM238" i="6"/>
  <c r="AU238" i="6"/>
  <c r="BA238" i="6"/>
  <c r="AR238" i="6"/>
  <c r="AT238" i="6"/>
  <c r="AV238" i="6"/>
  <c r="AX238" i="6"/>
  <c r="AQ238" i="6"/>
  <c r="AL238" i="6"/>
  <c r="AL241" i="6"/>
  <c r="AX241" i="6"/>
  <c r="AN241" i="6"/>
  <c r="AV241" i="6"/>
  <c r="AZ241" i="6"/>
  <c r="BA241" i="6"/>
  <c r="AS241" i="6"/>
  <c r="AR241" i="6"/>
  <c r="AT241" i="6"/>
  <c r="AP241" i="6"/>
  <c r="AY241" i="6"/>
  <c r="AO241" i="6"/>
  <c r="AW241" i="6"/>
  <c r="AU241" i="6"/>
  <c r="AK241" i="6"/>
  <c r="AM241" i="6"/>
  <c r="AQ241" i="6"/>
  <c r="AM347" i="6"/>
  <c r="AL347" i="6"/>
  <c r="AQ347" i="6"/>
  <c r="AO347" i="6"/>
  <c r="BA347" i="6"/>
  <c r="AX347" i="6"/>
  <c r="AY347" i="6"/>
  <c r="AZ347" i="6"/>
  <c r="AT347" i="6"/>
  <c r="AW347" i="6"/>
  <c r="AV347" i="6"/>
  <c r="AU347" i="6"/>
  <c r="AP347" i="6"/>
  <c r="AS347" i="6"/>
  <c r="AK347" i="6"/>
  <c r="AR347" i="6"/>
  <c r="AN347" i="6"/>
  <c r="AR625" i="6"/>
  <c r="BA625" i="6"/>
  <c r="AL625" i="6"/>
  <c r="AM625" i="6"/>
  <c r="AK625" i="6"/>
  <c r="AQ625" i="6"/>
  <c r="AS625" i="6"/>
  <c r="AZ625" i="6"/>
  <c r="AO625" i="6"/>
  <c r="AU625" i="6"/>
  <c r="AY625" i="6"/>
  <c r="AT625" i="6"/>
  <c r="AP625" i="6"/>
  <c r="AX625" i="6"/>
  <c r="AN625" i="6"/>
  <c r="AW625" i="6"/>
  <c r="AV625" i="6"/>
  <c r="AQ673" i="6"/>
  <c r="AK673" i="6"/>
  <c r="AS673" i="6"/>
  <c r="AX673" i="6"/>
  <c r="AV673" i="6"/>
  <c r="AN673" i="6"/>
  <c r="AL673" i="6"/>
  <c r="AU673" i="6"/>
  <c r="AZ673" i="6"/>
  <c r="AM673" i="6"/>
  <c r="BA673" i="6"/>
  <c r="AR673" i="6"/>
  <c r="AT673" i="6"/>
  <c r="AP673" i="6"/>
  <c r="AO673" i="6"/>
  <c r="AW673" i="6"/>
  <c r="AY673" i="6"/>
  <c r="AZ478" i="6"/>
  <c r="AW478" i="6"/>
  <c r="AR478" i="6"/>
  <c r="AL478" i="6"/>
  <c r="BA478" i="6"/>
  <c r="AQ478" i="6"/>
  <c r="AX478" i="6"/>
  <c r="AO478" i="6"/>
  <c r="AT478" i="6"/>
  <c r="AN478" i="6"/>
  <c r="AP478" i="6"/>
  <c r="AM478" i="6"/>
  <c r="AK478" i="6"/>
  <c r="AU478" i="6"/>
  <c r="AY478" i="6"/>
  <c r="AV478" i="6"/>
  <c r="AS478" i="6"/>
  <c r="AQ678" i="6"/>
  <c r="AR678" i="6"/>
  <c r="AS678" i="6"/>
  <c r="AO678" i="6"/>
  <c r="BA678" i="6"/>
  <c r="AV678" i="6"/>
  <c r="AW678" i="6"/>
  <c r="AU678" i="6"/>
  <c r="AP678" i="6"/>
  <c r="AY678" i="6"/>
  <c r="AM678" i="6"/>
  <c r="AZ678" i="6"/>
  <c r="AL678" i="6"/>
  <c r="AT678" i="6"/>
  <c r="AN678" i="6"/>
  <c r="AX678" i="6"/>
  <c r="AK678" i="6"/>
  <c r="AU650" i="6"/>
  <c r="BA650" i="6"/>
  <c r="AZ650" i="6"/>
  <c r="AW650" i="6"/>
  <c r="AO650" i="6"/>
  <c r="AX650" i="6"/>
  <c r="AK650" i="6"/>
  <c r="AR650" i="6"/>
  <c r="AL650" i="6"/>
  <c r="AT650" i="6"/>
  <c r="AS650" i="6"/>
  <c r="AM650" i="6"/>
  <c r="AY650" i="6"/>
  <c r="AN650" i="6"/>
  <c r="AV650" i="6"/>
  <c r="AQ650" i="6"/>
  <c r="AP650" i="6"/>
  <c r="AQ570" i="6"/>
  <c r="AO570" i="6"/>
  <c r="BA570" i="6"/>
  <c r="AT570" i="6"/>
  <c r="AU570" i="6"/>
  <c r="AZ570" i="6"/>
  <c r="AR570" i="6"/>
  <c r="AL570" i="6"/>
  <c r="AS570" i="6"/>
  <c r="AM570" i="6"/>
  <c r="AN570" i="6"/>
  <c r="AV570" i="6"/>
  <c r="AW570" i="6"/>
  <c r="AP570" i="6"/>
  <c r="AY570" i="6"/>
  <c r="AX570" i="6"/>
  <c r="AK570" i="6"/>
  <c r="AV632" i="6"/>
  <c r="AU632" i="6"/>
  <c r="AT632" i="6"/>
  <c r="AZ632" i="6"/>
  <c r="AN632" i="6"/>
  <c r="AY632" i="6"/>
  <c r="AS632" i="6"/>
  <c r="AK632" i="6"/>
  <c r="AL632" i="6"/>
  <c r="AR632" i="6"/>
  <c r="BA632" i="6"/>
  <c r="AQ632" i="6"/>
  <c r="AX632" i="6"/>
  <c r="AM632" i="6"/>
  <c r="AP632" i="6"/>
  <c r="AO632" i="6"/>
  <c r="AW632" i="6"/>
  <c r="AX177" i="6"/>
  <c r="AP177" i="6"/>
  <c r="AS177" i="6"/>
  <c r="AR177" i="6"/>
  <c r="AQ177" i="6"/>
  <c r="AK177" i="6"/>
  <c r="AU177" i="6"/>
  <c r="AO177" i="6"/>
  <c r="AZ177" i="6"/>
  <c r="AV177" i="6"/>
  <c r="BA177" i="6"/>
  <c r="AN177" i="6"/>
  <c r="AM177" i="6"/>
  <c r="AY177" i="6"/>
  <c r="AW177" i="6"/>
  <c r="AL177" i="6"/>
  <c r="AT177" i="6"/>
  <c r="AR205" i="6"/>
  <c r="AW205" i="6"/>
  <c r="AT205" i="6"/>
  <c r="BA205" i="6"/>
  <c r="AN205" i="6"/>
  <c r="AX205" i="6"/>
  <c r="AZ205" i="6"/>
  <c r="AM205" i="6"/>
  <c r="AU205" i="6"/>
  <c r="AP205" i="6"/>
  <c r="AK205" i="6"/>
  <c r="AQ205" i="6"/>
  <c r="AS205" i="6"/>
  <c r="AV205" i="6"/>
  <c r="AO205" i="6"/>
  <c r="AL205" i="6"/>
  <c r="AY205" i="6"/>
  <c r="AO165" i="6"/>
  <c r="AR165" i="6"/>
  <c r="AZ165" i="6"/>
  <c r="AQ165" i="6"/>
  <c r="BA165" i="6"/>
  <c r="AK165" i="6"/>
  <c r="AM165" i="6"/>
  <c r="AX165" i="6"/>
  <c r="AS165" i="6"/>
  <c r="AN165" i="6"/>
  <c r="AV165" i="6"/>
  <c r="AU165" i="6"/>
  <c r="AL165" i="6"/>
  <c r="AY165" i="6"/>
  <c r="AP165" i="6"/>
  <c r="AT165" i="6"/>
  <c r="AW165" i="6"/>
  <c r="AO191" i="6"/>
  <c r="AW191" i="6"/>
  <c r="AM191" i="6"/>
  <c r="AN191" i="6"/>
  <c r="AV191" i="6"/>
  <c r="AP191" i="6"/>
  <c r="BA191" i="6"/>
  <c r="AX191" i="6"/>
  <c r="AY191" i="6"/>
  <c r="AS191" i="6"/>
  <c r="AZ191" i="6"/>
  <c r="AK191" i="6"/>
  <c r="AU191" i="6"/>
  <c r="AL191" i="6"/>
  <c r="AT191" i="6"/>
  <c r="AQ191" i="6"/>
  <c r="AR191" i="6"/>
  <c r="AR281" i="6"/>
  <c r="AU281" i="6"/>
  <c r="AZ281" i="6"/>
  <c r="BA281" i="6"/>
  <c r="AL281" i="6"/>
  <c r="AY281" i="6"/>
  <c r="AO281" i="6"/>
  <c r="AQ281" i="6"/>
  <c r="AK281" i="6"/>
  <c r="AM281" i="6"/>
  <c r="AS281" i="6"/>
  <c r="AV281" i="6"/>
  <c r="AT281" i="6"/>
  <c r="AW281" i="6"/>
  <c r="AX281" i="6"/>
  <c r="AP281" i="6"/>
  <c r="AN281" i="6"/>
  <c r="BA566" i="6"/>
  <c r="AV566" i="6"/>
  <c r="AT566" i="6"/>
  <c r="AX566" i="6"/>
  <c r="AO566" i="6"/>
  <c r="AN566" i="6"/>
  <c r="AR566" i="6"/>
  <c r="AQ566" i="6"/>
  <c r="AS566" i="6"/>
  <c r="AP566" i="6"/>
  <c r="AL566" i="6"/>
  <c r="AW566" i="6"/>
  <c r="AU566" i="6"/>
  <c r="AZ566" i="6"/>
  <c r="AM566" i="6"/>
  <c r="AK566" i="6"/>
  <c r="AY566" i="6"/>
  <c r="AS722" i="6"/>
  <c r="AP722" i="6"/>
  <c r="AQ722" i="6"/>
  <c r="AO722" i="6"/>
  <c r="AN722" i="6"/>
  <c r="AZ722" i="6"/>
  <c r="AR722" i="6"/>
  <c r="AU722" i="6"/>
  <c r="BA722" i="6"/>
  <c r="AW722" i="6"/>
  <c r="AK722" i="6"/>
  <c r="AV722" i="6"/>
  <c r="AY722" i="6"/>
  <c r="AM722" i="6"/>
  <c r="AL722" i="6"/>
  <c r="AX722" i="6"/>
  <c r="AT722" i="6"/>
  <c r="AS314" i="6"/>
  <c r="AV314" i="6"/>
  <c r="BA314" i="6"/>
  <c r="AX314" i="6"/>
  <c r="AN314" i="6"/>
  <c r="AW314" i="6"/>
  <c r="AK314" i="6"/>
  <c r="AZ314" i="6"/>
  <c r="AP314" i="6"/>
  <c r="AQ314" i="6"/>
  <c r="AR314" i="6"/>
  <c r="AM314" i="6"/>
  <c r="AO314" i="6"/>
  <c r="AT314" i="6"/>
  <c r="AY314" i="6"/>
  <c r="AU314" i="6"/>
  <c r="AL314" i="6"/>
  <c r="AM594" i="6"/>
  <c r="AR594" i="6"/>
  <c r="AK594" i="6"/>
  <c r="AS594" i="6"/>
  <c r="AW594" i="6"/>
  <c r="AV594" i="6"/>
  <c r="AO594" i="6"/>
  <c r="AT594" i="6"/>
  <c r="AN594" i="6"/>
  <c r="AY594" i="6"/>
  <c r="AX594" i="6"/>
  <c r="AZ594" i="6"/>
  <c r="AP594" i="6"/>
  <c r="AL594" i="6"/>
  <c r="AU594" i="6"/>
  <c r="BA594" i="6"/>
  <c r="AQ594" i="6"/>
  <c r="AN652" i="6"/>
  <c r="AX652" i="6"/>
  <c r="AW652" i="6"/>
  <c r="AY652" i="6"/>
  <c r="AS652" i="6"/>
  <c r="AU652" i="6"/>
  <c r="AQ652" i="6"/>
  <c r="AV652" i="6"/>
  <c r="AM652" i="6"/>
  <c r="AP652" i="6"/>
  <c r="BA652" i="6"/>
  <c r="AO652" i="6"/>
  <c r="AZ652" i="6"/>
  <c r="AR652" i="6"/>
  <c r="AT652" i="6"/>
  <c r="AK652" i="6"/>
  <c r="AL652" i="6"/>
  <c r="BA599" i="6"/>
  <c r="AS599" i="6"/>
  <c r="AU599" i="6"/>
  <c r="AQ599" i="6"/>
  <c r="AX599" i="6"/>
  <c r="AP599" i="6"/>
  <c r="AL599" i="6"/>
  <c r="AK599" i="6"/>
  <c r="AY599" i="6"/>
  <c r="AZ599" i="6"/>
  <c r="AM599" i="6"/>
  <c r="AR599" i="6"/>
  <c r="AW599" i="6"/>
  <c r="AT599" i="6"/>
  <c r="AV599" i="6"/>
  <c r="AN599" i="6"/>
  <c r="AO599" i="6"/>
  <c r="AL179" i="6"/>
  <c r="AN179" i="6"/>
  <c r="AS179" i="6"/>
  <c r="AX179" i="6"/>
  <c r="BA179" i="6"/>
  <c r="AT179" i="6"/>
  <c r="AQ179" i="6"/>
  <c r="AK179" i="6"/>
  <c r="AW179" i="6"/>
  <c r="AV179" i="6"/>
  <c r="AU179" i="6"/>
  <c r="AZ179" i="6"/>
  <c r="AP179" i="6"/>
  <c r="AR179" i="6"/>
  <c r="AO179" i="6"/>
  <c r="AY179" i="6"/>
  <c r="AM179" i="6"/>
  <c r="AL195" i="6"/>
  <c r="AW195" i="6"/>
  <c r="AO195" i="6"/>
  <c r="AM195" i="6"/>
  <c r="AZ195" i="6"/>
  <c r="AY195" i="6"/>
  <c r="AK195" i="6"/>
  <c r="AU195" i="6"/>
  <c r="AN195" i="6"/>
  <c r="BA195" i="6"/>
  <c r="AR195" i="6"/>
  <c r="AV195" i="6"/>
  <c r="AT195" i="6"/>
  <c r="AP195" i="6"/>
  <c r="AQ195" i="6"/>
  <c r="AS195" i="6"/>
  <c r="AX195" i="6"/>
  <c r="AU579" i="6"/>
  <c r="BA579" i="6"/>
  <c r="AL579" i="6"/>
  <c r="AX579" i="6"/>
  <c r="AV579" i="6"/>
  <c r="AS579" i="6"/>
  <c r="AQ579" i="6"/>
  <c r="AW579" i="6"/>
  <c r="AR579" i="6"/>
  <c r="AN579" i="6"/>
  <c r="AO579" i="6"/>
  <c r="AM579" i="6"/>
  <c r="AK579" i="6"/>
  <c r="AY579" i="6"/>
  <c r="AZ579" i="6"/>
  <c r="AT579" i="6"/>
  <c r="AP579" i="6"/>
  <c r="AY563" i="6"/>
  <c r="AR563" i="6"/>
  <c r="AM563" i="6"/>
  <c r="AO563" i="6"/>
  <c r="AN563" i="6"/>
  <c r="AX563" i="6"/>
  <c r="AQ563" i="6"/>
  <c r="AT563" i="6"/>
  <c r="AK563" i="6"/>
  <c r="BA563" i="6"/>
  <c r="AZ563" i="6"/>
  <c r="AS563" i="6"/>
  <c r="AU563" i="6"/>
  <c r="AV563" i="6"/>
  <c r="AP563" i="6"/>
  <c r="AL563" i="6"/>
  <c r="AW563" i="6"/>
  <c r="AZ156" i="6"/>
  <c r="AS156" i="6"/>
  <c r="AW156" i="6"/>
  <c r="AN156" i="6"/>
  <c r="AP156" i="6"/>
  <c r="AK156" i="6"/>
  <c r="AQ156" i="6"/>
  <c r="AU156" i="6"/>
  <c r="AL156" i="6"/>
  <c r="AO156" i="6"/>
  <c r="AM156" i="6"/>
  <c r="AY156" i="6"/>
  <c r="BA156" i="6"/>
  <c r="AR156" i="6"/>
  <c r="AX156" i="6"/>
  <c r="AV156" i="6"/>
  <c r="AT156" i="6"/>
  <c r="AL297" i="6"/>
  <c r="AX297" i="6"/>
  <c r="AQ297" i="6"/>
  <c r="AM297" i="6"/>
  <c r="AW297" i="6"/>
  <c r="AP297" i="6"/>
  <c r="AO297" i="6"/>
  <c r="AT297" i="6"/>
  <c r="AZ297" i="6"/>
  <c r="AN297" i="6"/>
  <c r="AV297" i="6"/>
  <c r="BA297" i="6"/>
  <c r="AR297" i="6"/>
  <c r="AK297" i="6"/>
  <c r="AS297" i="6"/>
  <c r="AY297" i="6"/>
  <c r="AU297" i="6"/>
  <c r="AK223" i="6"/>
  <c r="AR223" i="6"/>
  <c r="AN223" i="6"/>
  <c r="AW223" i="6"/>
  <c r="AS223" i="6"/>
  <c r="AQ223" i="6"/>
  <c r="AT223" i="6"/>
  <c r="AY223" i="6"/>
  <c r="AL223" i="6"/>
  <c r="AX223" i="6"/>
  <c r="AM223" i="6"/>
  <c r="AU223" i="6"/>
  <c r="BA223" i="6"/>
  <c r="AZ223" i="6"/>
  <c r="AO223" i="6"/>
  <c r="AV223" i="6"/>
  <c r="AP223" i="6"/>
  <c r="AP239" i="6"/>
  <c r="AU239" i="6"/>
  <c r="AM239" i="6"/>
  <c r="AR239" i="6"/>
  <c r="AK239" i="6"/>
  <c r="AS239" i="6"/>
  <c r="AO239" i="6"/>
  <c r="AN239" i="6"/>
  <c r="BA239" i="6"/>
  <c r="AQ239" i="6"/>
  <c r="AZ239" i="6"/>
  <c r="AY239" i="6"/>
  <c r="AX239" i="6"/>
  <c r="AV239" i="6"/>
  <c r="AT239" i="6"/>
  <c r="AL239" i="6"/>
  <c r="AW239" i="6"/>
  <c r="AO621" i="6"/>
  <c r="AQ621" i="6"/>
  <c r="AV621" i="6"/>
  <c r="AM621" i="6"/>
  <c r="AT621" i="6"/>
  <c r="AX621" i="6"/>
  <c r="AS621" i="6"/>
  <c r="AN621" i="6"/>
  <c r="AW621" i="6"/>
  <c r="AK621" i="6"/>
  <c r="AL621" i="6"/>
  <c r="AR621" i="6"/>
  <c r="AU621" i="6"/>
  <c r="AZ621" i="6"/>
  <c r="BA621" i="6"/>
  <c r="AP621" i="6"/>
  <c r="AY621" i="6"/>
  <c r="AV215" i="6"/>
  <c r="AQ215" i="6"/>
  <c r="AN215" i="6"/>
  <c r="BA215" i="6"/>
  <c r="AY215" i="6"/>
  <c r="AK215" i="6"/>
  <c r="AU215" i="6"/>
  <c r="AT215" i="6"/>
  <c r="AZ215" i="6"/>
  <c r="AW215" i="6"/>
  <c r="AL215" i="6"/>
  <c r="AO215" i="6"/>
  <c r="AP215" i="6"/>
  <c r="AS215" i="6"/>
  <c r="AR215" i="6"/>
  <c r="AX215" i="6"/>
  <c r="AM215" i="6"/>
  <c r="BA207" i="6"/>
  <c r="AM207" i="6"/>
  <c r="AW207" i="6"/>
  <c r="AV207" i="6"/>
  <c r="AZ207" i="6"/>
  <c r="AN207" i="6"/>
  <c r="AQ207" i="6"/>
  <c r="AO207" i="6"/>
  <c r="AY207" i="6"/>
  <c r="AP207" i="6"/>
  <c r="AK207" i="6"/>
  <c r="AR207" i="6"/>
  <c r="AU207" i="6"/>
  <c r="AL207" i="6"/>
  <c r="AT207" i="6"/>
  <c r="AS207" i="6"/>
  <c r="AX207" i="6"/>
  <c r="AQ132" i="6"/>
  <c r="AZ132" i="6"/>
  <c r="AN132" i="6"/>
  <c r="AX132" i="6"/>
  <c r="AS132" i="6"/>
  <c r="AR132" i="6"/>
  <c r="AM132" i="6"/>
  <c r="BA132" i="6"/>
  <c r="AT132" i="6"/>
  <c r="AL132" i="6"/>
  <c r="AP132" i="6"/>
  <c r="AK132" i="6"/>
  <c r="AU132" i="6"/>
  <c r="AV132" i="6"/>
  <c r="AW132" i="6"/>
  <c r="AO132" i="6"/>
  <c r="AY132" i="6"/>
  <c r="AS507" i="6"/>
  <c r="AK507" i="6"/>
  <c r="BA507" i="6"/>
  <c r="AU507" i="6"/>
  <c r="AV507" i="6"/>
  <c r="AT507" i="6"/>
  <c r="AY507" i="6"/>
  <c r="AQ507" i="6"/>
  <c r="AZ507" i="6"/>
  <c r="AM507" i="6"/>
  <c r="AL507" i="6"/>
  <c r="AN507" i="6"/>
  <c r="AR507" i="6"/>
  <c r="AO507" i="6"/>
  <c r="AP507" i="6"/>
  <c r="AW507" i="6"/>
  <c r="AX507" i="6"/>
  <c r="AY452" i="6"/>
  <c r="AN452" i="6"/>
  <c r="AU452" i="6"/>
  <c r="AT452" i="6"/>
  <c r="AO452" i="6"/>
  <c r="AR452" i="6"/>
  <c r="AL452" i="6"/>
  <c r="AS452" i="6"/>
  <c r="AX452" i="6"/>
  <c r="AZ452" i="6"/>
  <c r="AV452" i="6"/>
  <c r="AQ452" i="6"/>
  <c r="BA452" i="6"/>
  <c r="AW452" i="6"/>
  <c r="AP452" i="6"/>
  <c r="AM452" i="6"/>
  <c r="AK452" i="6"/>
  <c r="AS577" i="6"/>
  <c r="AZ577" i="6"/>
  <c r="AO577" i="6"/>
  <c r="AQ577" i="6"/>
  <c r="AW577" i="6"/>
  <c r="AM577" i="6"/>
  <c r="AT577" i="6"/>
  <c r="AY577" i="6"/>
  <c r="BA577" i="6"/>
  <c r="AN577" i="6"/>
  <c r="AL577" i="6"/>
  <c r="AK577" i="6"/>
  <c r="AP577" i="6"/>
  <c r="AU577" i="6"/>
  <c r="AR577" i="6"/>
  <c r="AX577" i="6"/>
  <c r="AV577" i="6"/>
  <c r="BA456" i="6"/>
  <c r="AM456" i="6"/>
  <c r="AQ456" i="6"/>
  <c r="AT456" i="6"/>
  <c r="AX456" i="6"/>
  <c r="AN456" i="6"/>
  <c r="AK456" i="6"/>
  <c r="AV456" i="6"/>
  <c r="AW456" i="6"/>
  <c r="AP456" i="6"/>
  <c r="AS456" i="6"/>
  <c r="AR456" i="6"/>
  <c r="AL456" i="6"/>
  <c r="AY456" i="6"/>
  <c r="AO456" i="6"/>
  <c r="AU456" i="6"/>
  <c r="AZ456" i="6"/>
  <c r="AZ428" i="6"/>
  <c r="AY428" i="6"/>
  <c r="BA428" i="6"/>
  <c r="AW428" i="6"/>
  <c r="AL428" i="6"/>
  <c r="AR428" i="6"/>
  <c r="AP428" i="6"/>
  <c r="AM428" i="6"/>
  <c r="AK428" i="6"/>
  <c r="AX428" i="6"/>
  <c r="AS428" i="6"/>
  <c r="AU428" i="6"/>
  <c r="AO428" i="6"/>
  <c r="AN428" i="6"/>
  <c r="AT428" i="6"/>
  <c r="AQ428" i="6"/>
  <c r="AV428" i="6"/>
  <c r="AU311" i="6"/>
  <c r="BA311" i="6"/>
  <c r="AY311" i="6"/>
  <c r="AP311" i="6"/>
  <c r="AM311" i="6"/>
  <c r="AR311" i="6"/>
  <c r="AX311" i="6"/>
  <c r="AZ311" i="6"/>
  <c r="AL311" i="6"/>
  <c r="AK311" i="6"/>
  <c r="AQ311" i="6"/>
  <c r="AW311" i="6"/>
  <c r="AO311" i="6"/>
  <c r="AV311" i="6"/>
  <c r="AT311" i="6"/>
  <c r="AN311" i="6"/>
  <c r="AS311" i="6"/>
  <c r="AR79" i="6"/>
  <c r="AS79" i="6"/>
  <c r="AK79" i="6"/>
  <c r="AU79" i="6"/>
  <c r="AY79" i="6"/>
  <c r="AQ79" i="6"/>
  <c r="AZ79" i="6"/>
  <c r="AX79" i="6"/>
  <c r="BA79" i="6"/>
  <c r="AP79" i="6"/>
  <c r="AV79" i="6"/>
  <c r="AW79" i="6"/>
  <c r="AT79" i="6"/>
  <c r="AO79" i="6"/>
  <c r="AN79" i="6"/>
  <c r="AM79" i="6"/>
  <c r="AL79" i="6"/>
  <c r="AT631" i="6"/>
  <c r="AZ631" i="6"/>
  <c r="AL631" i="6"/>
  <c r="AW631" i="6"/>
  <c r="AQ631" i="6"/>
  <c r="AO631" i="6"/>
  <c r="AP631" i="6"/>
  <c r="AV631" i="6"/>
  <c r="AK631" i="6"/>
  <c r="AY631" i="6"/>
  <c r="AU631" i="6"/>
  <c r="BA631" i="6"/>
  <c r="AM631" i="6"/>
  <c r="AX631" i="6"/>
  <c r="AS631" i="6"/>
  <c r="AR631" i="6"/>
  <c r="AN631" i="6"/>
  <c r="AU381" i="6"/>
  <c r="BA381" i="6"/>
  <c r="AL381" i="6"/>
  <c r="AY381" i="6"/>
  <c r="AS381" i="6"/>
  <c r="AK381" i="6"/>
  <c r="AM381" i="6"/>
  <c r="AW381" i="6"/>
  <c r="AQ381" i="6"/>
  <c r="AT381" i="6"/>
  <c r="AR381" i="6"/>
  <c r="AZ381" i="6"/>
  <c r="AP381" i="6"/>
  <c r="AN381" i="6"/>
  <c r="AX381" i="6"/>
  <c r="AO381" i="6"/>
  <c r="AV381" i="6"/>
  <c r="AX680" i="6"/>
  <c r="AQ680" i="6"/>
  <c r="AU680" i="6"/>
  <c r="AV680" i="6"/>
  <c r="AP680" i="6"/>
  <c r="AR680" i="6"/>
  <c r="AS680" i="6"/>
  <c r="BA680" i="6"/>
  <c r="AM680" i="6"/>
  <c r="AO680" i="6"/>
  <c r="AN680" i="6"/>
  <c r="AT680" i="6"/>
  <c r="AZ680" i="6"/>
  <c r="AW680" i="6"/>
  <c r="AK680" i="6"/>
  <c r="AY680" i="6"/>
  <c r="AL680" i="6"/>
  <c r="AZ167" i="6"/>
  <c r="AU167" i="6"/>
  <c r="AM167" i="6"/>
  <c r="AP167" i="6"/>
  <c r="AO167" i="6"/>
  <c r="AQ167" i="6"/>
  <c r="AS167" i="6"/>
  <c r="AK167" i="6"/>
  <c r="AV167" i="6"/>
  <c r="AR167" i="6"/>
  <c r="AL167" i="6"/>
  <c r="AY167" i="6"/>
  <c r="AW167" i="6"/>
  <c r="BA167" i="6"/>
  <c r="AX167" i="6"/>
  <c r="AT167" i="6"/>
  <c r="AN167" i="6"/>
  <c r="AL393" i="6"/>
  <c r="AZ393" i="6"/>
  <c r="AW393" i="6"/>
  <c r="AK393" i="6"/>
  <c r="AU393" i="6"/>
  <c r="AN393" i="6"/>
  <c r="AY393" i="6"/>
  <c r="BA393" i="6"/>
  <c r="AQ393" i="6"/>
  <c r="AT393" i="6"/>
  <c r="AP393" i="6"/>
  <c r="AM393" i="6"/>
  <c r="AS393" i="6"/>
  <c r="AR393" i="6"/>
  <c r="AO393" i="6"/>
  <c r="AV393" i="6"/>
  <c r="AX393" i="6"/>
  <c r="AP78" i="6"/>
  <c r="AW78" i="6"/>
  <c r="AX78" i="6"/>
  <c r="AK78" i="6"/>
  <c r="AT78" i="6"/>
  <c r="AN78" i="6"/>
  <c r="AV78" i="6"/>
  <c r="AU78" i="6"/>
  <c r="AZ78" i="6"/>
  <c r="BA78" i="6"/>
  <c r="AQ78" i="6"/>
  <c r="AL78" i="6"/>
  <c r="AR78" i="6"/>
  <c r="AY78" i="6"/>
  <c r="AM78" i="6"/>
  <c r="AO78" i="6"/>
  <c r="AS78" i="6"/>
  <c r="AT115" i="6"/>
  <c r="AP115" i="6"/>
  <c r="AN115" i="6"/>
  <c r="AR115" i="6"/>
  <c r="AZ115" i="6"/>
  <c r="AO115" i="6"/>
  <c r="AM115" i="6"/>
  <c r="AU115" i="6"/>
  <c r="AQ115" i="6"/>
  <c r="AW115" i="6"/>
  <c r="AY115" i="6"/>
  <c r="AL115" i="6"/>
  <c r="BA115" i="6"/>
  <c r="AK115" i="6"/>
  <c r="AS115" i="6"/>
  <c r="AX115" i="6"/>
  <c r="AV115" i="6"/>
  <c r="AV294" i="6"/>
  <c r="AR294" i="6"/>
  <c r="AX294" i="6"/>
  <c r="BA294" i="6"/>
  <c r="AZ294" i="6"/>
  <c r="AO294" i="6"/>
  <c r="Y124" i="8" s="1"/>
  <c r="AQ294" i="6"/>
  <c r="AY294" i="6"/>
  <c r="AK294" i="6"/>
  <c r="AM294" i="6"/>
  <c r="AU294" i="6"/>
  <c r="AN294" i="6"/>
  <c r="AS294" i="6"/>
  <c r="AL294" i="6"/>
  <c r="AW294" i="6"/>
  <c r="AT294" i="6"/>
  <c r="AP294" i="6"/>
  <c r="AP665" i="6"/>
  <c r="AO665" i="6"/>
  <c r="AN665" i="6"/>
  <c r="X229" i="8" s="1"/>
  <c r="AR665" i="6"/>
  <c r="AW665" i="6"/>
  <c r="AZ665" i="6"/>
  <c r="BA665" i="6"/>
  <c r="AK665" i="6"/>
  <c r="AL665" i="6"/>
  <c r="AY665" i="6"/>
  <c r="AV665" i="6"/>
  <c r="AT665" i="6"/>
  <c r="AX665" i="6"/>
  <c r="AQ665" i="6"/>
  <c r="AM665" i="6"/>
  <c r="AU665" i="6"/>
  <c r="AS665" i="6"/>
  <c r="AT243" i="6"/>
  <c r="AY243" i="6"/>
  <c r="BA243" i="6"/>
  <c r="AO243" i="6"/>
  <c r="AQ243" i="6"/>
  <c r="AW243" i="6"/>
  <c r="AL243" i="6"/>
  <c r="AV243" i="6"/>
  <c r="AX243" i="6"/>
  <c r="AP243" i="6"/>
  <c r="AM243" i="6"/>
  <c r="AU243" i="6"/>
  <c r="AZ243" i="6"/>
  <c r="AR243" i="6"/>
  <c r="AN243" i="6"/>
  <c r="AK243" i="6"/>
  <c r="AS243" i="6"/>
  <c r="AN559" i="6"/>
  <c r="BA559" i="6"/>
  <c r="AV559" i="6"/>
  <c r="AM559" i="6"/>
  <c r="AK559" i="6"/>
  <c r="AQ559" i="6"/>
  <c r="AU559" i="6"/>
  <c r="AY559" i="6"/>
  <c r="AZ559" i="6"/>
  <c r="AX559" i="6"/>
  <c r="AL559" i="6"/>
  <c r="AO559" i="6"/>
  <c r="AT559" i="6"/>
  <c r="AW559" i="6"/>
  <c r="AR559" i="6"/>
  <c r="AP559" i="6"/>
  <c r="AS559" i="6"/>
  <c r="AM383" i="6"/>
  <c r="AR383" i="6"/>
  <c r="AN383" i="6"/>
  <c r="BA383" i="6"/>
  <c r="AT383" i="6"/>
  <c r="AW383" i="6"/>
  <c r="AL383" i="6"/>
  <c r="AZ383" i="6"/>
  <c r="AY383" i="6"/>
  <c r="AK383" i="6"/>
  <c r="AU383" i="6"/>
  <c r="AO383" i="6"/>
  <c r="AS383" i="6"/>
  <c r="AQ383" i="6"/>
  <c r="AP383" i="6"/>
  <c r="AX383" i="6"/>
  <c r="AV383" i="6"/>
  <c r="AN561" i="6"/>
  <c r="AL561" i="6"/>
  <c r="BA561" i="6"/>
  <c r="AK561" i="6"/>
  <c r="AZ561" i="6"/>
  <c r="AW561" i="6"/>
  <c r="AU561" i="6"/>
  <c r="AT561" i="6"/>
  <c r="AR561" i="6"/>
  <c r="AX561" i="6"/>
  <c r="AS561" i="6"/>
  <c r="AV561" i="6"/>
  <c r="AY561" i="6"/>
  <c r="AQ561" i="6"/>
  <c r="AO561" i="6"/>
  <c r="AP561" i="6"/>
  <c r="AM561" i="6"/>
  <c r="AQ602" i="6"/>
  <c r="AZ602" i="6"/>
  <c r="AT602" i="6"/>
  <c r="AW602" i="6"/>
  <c r="AU602" i="6"/>
  <c r="BA602" i="6"/>
  <c r="AX602" i="6"/>
  <c r="AK602" i="6"/>
  <c r="AY602" i="6"/>
  <c r="AL602" i="6"/>
  <c r="AP602" i="6"/>
  <c r="AO602" i="6"/>
  <c r="AV602" i="6"/>
  <c r="AM602" i="6"/>
  <c r="AS602" i="6"/>
  <c r="AR602" i="6"/>
  <c r="AN602" i="6"/>
  <c r="AU603" i="6"/>
  <c r="AY603" i="6"/>
  <c r="AP603" i="6"/>
  <c r="AZ603" i="6"/>
  <c r="AR603" i="6"/>
  <c r="AS603" i="6"/>
  <c r="AQ603" i="6"/>
  <c r="AN603" i="6"/>
  <c r="AV603" i="6"/>
  <c r="AX603" i="6"/>
  <c r="BA603" i="6"/>
  <c r="AW603" i="6"/>
  <c r="AL603" i="6"/>
  <c r="AT603" i="6"/>
  <c r="AK603" i="6"/>
  <c r="AM603" i="6"/>
  <c r="AO603" i="6"/>
  <c r="AZ130" i="6"/>
  <c r="AO130" i="6"/>
  <c r="AM130" i="6"/>
  <c r="AR130" i="6"/>
  <c r="AK130" i="6"/>
  <c r="AW130" i="6"/>
  <c r="AV130" i="6"/>
  <c r="BA130" i="6"/>
  <c r="AU130" i="6"/>
  <c r="AS130" i="6"/>
  <c r="AN130" i="6"/>
  <c r="AY130" i="6"/>
  <c r="AX130" i="6"/>
  <c r="AL130" i="6"/>
  <c r="AP130" i="6"/>
  <c r="AQ130" i="6"/>
  <c r="AT130" i="6"/>
  <c r="AM119" i="6"/>
  <c r="AP119" i="6"/>
  <c r="AV119" i="6"/>
  <c r="AW119" i="6"/>
  <c r="AL119" i="6"/>
  <c r="AX119" i="6"/>
  <c r="AN119" i="6"/>
  <c r="AO119" i="6"/>
  <c r="AS119" i="6"/>
  <c r="AK119" i="6"/>
  <c r="AQ119" i="6"/>
  <c r="BA119" i="6"/>
  <c r="AY119" i="6"/>
  <c r="AR119" i="6"/>
  <c r="AZ119" i="6"/>
  <c r="AT119" i="6"/>
  <c r="AU119" i="6"/>
  <c r="AX164" i="6"/>
  <c r="AK164" i="6"/>
  <c r="AT164" i="6"/>
  <c r="AV164" i="6"/>
  <c r="AU164" i="6"/>
  <c r="AW164" i="6"/>
  <c r="AO164" i="6"/>
  <c r="AM164" i="6"/>
  <c r="AP164" i="6"/>
  <c r="BA164" i="6"/>
  <c r="AN164" i="6"/>
  <c r="AR164" i="6"/>
  <c r="AL164" i="6"/>
  <c r="AY164" i="6"/>
  <c r="AZ164" i="6"/>
  <c r="AS164" i="6"/>
  <c r="AQ164" i="6"/>
  <c r="AS461" i="6"/>
  <c r="AM461" i="6"/>
  <c r="AT461" i="6"/>
  <c r="AV461" i="6"/>
  <c r="AZ461" i="6"/>
  <c r="BA461" i="6"/>
  <c r="AP461" i="6"/>
  <c r="AN461" i="6"/>
  <c r="AW461" i="6"/>
  <c r="AQ461" i="6"/>
  <c r="AR461" i="6"/>
  <c r="AL461" i="6"/>
  <c r="AO461" i="6"/>
  <c r="AK461" i="6"/>
  <c r="AU461" i="6"/>
  <c r="AY461" i="6"/>
  <c r="AX461" i="6"/>
  <c r="BA637" i="6"/>
  <c r="AL637" i="6"/>
  <c r="AV637" i="6"/>
  <c r="AQ637" i="6"/>
  <c r="AW637" i="6"/>
  <c r="AO637" i="6"/>
  <c r="AZ637" i="6"/>
  <c r="AM637" i="6"/>
  <c r="AR637" i="6"/>
  <c r="AY637" i="6"/>
  <c r="AU637" i="6"/>
  <c r="AN637" i="6"/>
  <c r="AK637" i="6"/>
  <c r="AX637" i="6"/>
  <c r="AP637" i="6"/>
  <c r="AS637" i="6"/>
  <c r="AT637" i="6"/>
  <c r="AK22" i="6"/>
  <c r="AO22" i="6"/>
  <c r="AW22" i="6"/>
  <c r="BA22" i="6"/>
  <c r="AT22" i="6"/>
  <c r="AZ22" i="6"/>
  <c r="AQ22" i="6"/>
  <c r="AU22" i="6"/>
  <c r="AS22" i="6"/>
  <c r="AL22" i="6"/>
  <c r="AM22" i="6"/>
  <c r="AV22" i="6"/>
  <c r="AR22" i="6"/>
  <c r="AN22" i="6"/>
  <c r="AP22" i="6"/>
  <c r="AX22" i="6"/>
  <c r="AY22" i="6"/>
  <c r="AK717" i="6"/>
  <c r="AL717" i="6"/>
  <c r="AZ717" i="6"/>
  <c r="AR717" i="6"/>
  <c r="AO717" i="6"/>
  <c r="AN717" i="6"/>
  <c r="AW717" i="6"/>
  <c r="AS717" i="6"/>
  <c r="AU717" i="6"/>
  <c r="AQ717" i="6"/>
  <c r="AM717" i="6"/>
  <c r="BA717" i="6"/>
  <c r="AT717" i="6"/>
  <c r="AX717" i="6"/>
  <c r="AP717" i="6"/>
  <c r="AY717" i="6"/>
  <c r="AV717" i="6"/>
  <c r="AW312" i="6"/>
  <c r="AU312" i="6"/>
  <c r="AR312" i="6"/>
  <c r="AY312" i="6"/>
  <c r="AO312" i="6"/>
  <c r="AS312" i="6"/>
  <c r="BA312" i="6"/>
  <c r="AP312" i="6"/>
  <c r="AX312" i="6"/>
  <c r="AN312" i="6"/>
  <c r="AK312" i="6"/>
  <c r="AQ312" i="6"/>
  <c r="AZ312" i="6"/>
  <c r="AL312" i="6"/>
  <c r="AM312" i="6"/>
  <c r="AV312" i="6"/>
  <c r="AT312" i="6"/>
  <c r="AS492" i="6"/>
  <c r="AK492" i="6"/>
  <c r="AQ492" i="6"/>
  <c r="AM492" i="6"/>
  <c r="AZ492" i="6"/>
  <c r="AW492" i="6"/>
  <c r="AU492" i="6"/>
  <c r="AX492" i="6"/>
  <c r="AT492" i="6"/>
  <c r="AO492" i="6"/>
  <c r="AV492" i="6"/>
  <c r="AP492" i="6"/>
  <c r="BA492" i="6"/>
  <c r="AY492" i="6"/>
  <c r="AN492" i="6"/>
  <c r="AR492" i="6"/>
  <c r="AL492" i="6"/>
  <c r="AW449" i="6"/>
  <c r="AZ449" i="6"/>
  <c r="AR449" i="6"/>
  <c r="AM449" i="6"/>
  <c r="AU449" i="6"/>
  <c r="AY449" i="6"/>
  <c r="AK449" i="6"/>
  <c r="AS449" i="6"/>
  <c r="AN449" i="6"/>
  <c r="AQ449" i="6"/>
  <c r="AO449" i="6"/>
  <c r="AP449" i="6"/>
  <c r="AX449" i="6"/>
  <c r="AV449" i="6"/>
  <c r="AT449" i="6"/>
  <c r="BA449" i="6"/>
  <c r="AL449" i="6"/>
  <c r="AP672" i="6"/>
  <c r="AS672" i="6"/>
  <c r="AX672" i="6"/>
  <c r="AU672" i="6"/>
  <c r="AN672" i="6"/>
  <c r="AY672" i="6"/>
  <c r="AR672" i="6"/>
  <c r="AW672" i="6"/>
  <c r="AQ672" i="6"/>
  <c r="AZ672" i="6"/>
  <c r="AL672" i="6"/>
  <c r="BA672" i="6"/>
  <c r="AM672" i="6"/>
  <c r="AV672" i="6"/>
  <c r="AT672" i="6"/>
  <c r="AO672" i="6"/>
  <c r="AK672" i="6"/>
  <c r="AT189" i="6"/>
  <c r="AM189" i="6"/>
  <c r="BA189" i="6"/>
  <c r="AN189" i="6"/>
  <c r="AK189" i="6"/>
  <c r="AR189" i="6"/>
  <c r="AS189" i="6"/>
  <c r="AQ189" i="6"/>
  <c r="AP189" i="6"/>
  <c r="AW189" i="6"/>
  <c r="AO189" i="6"/>
  <c r="AL189" i="6"/>
  <c r="AY189" i="6"/>
  <c r="AV189" i="6"/>
  <c r="AZ189" i="6"/>
  <c r="AX189" i="6"/>
  <c r="AU189" i="6"/>
  <c r="AN659" i="6"/>
  <c r="AP659" i="6"/>
  <c r="AO659" i="6"/>
  <c r="AV659" i="6"/>
  <c r="BA659" i="6"/>
  <c r="AM659" i="6"/>
  <c r="AT659" i="6"/>
  <c r="AZ659" i="6"/>
  <c r="AL659" i="6"/>
  <c r="AS659" i="6"/>
  <c r="AY659" i="6"/>
  <c r="AR659" i="6"/>
  <c r="AK659" i="6"/>
  <c r="AQ659" i="6"/>
  <c r="AU659" i="6"/>
  <c r="AX659" i="6"/>
  <c r="AW659" i="6"/>
  <c r="AQ657" i="6"/>
  <c r="AR657" i="6"/>
  <c r="BA657" i="6"/>
  <c r="AK657" i="6"/>
  <c r="AT657" i="6"/>
  <c r="AY657" i="6"/>
  <c r="AS657" i="6"/>
  <c r="AP657" i="6"/>
  <c r="AM657" i="6"/>
  <c r="AU657" i="6"/>
  <c r="AZ657" i="6"/>
  <c r="AW657" i="6"/>
  <c r="AN657" i="6"/>
  <c r="AX657" i="6"/>
  <c r="AL657" i="6"/>
  <c r="AV657" i="6"/>
  <c r="AO657" i="6"/>
  <c r="AN128" i="6"/>
  <c r="AZ128" i="6"/>
  <c r="AT128" i="6"/>
  <c r="BA128" i="6"/>
  <c r="AM128" i="6"/>
  <c r="AY128" i="6"/>
  <c r="AQ128" i="6"/>
  <c r="AP128" i="6"/>
  <c r="AW128" i="6"/>
  <c r="AL128" i="6"/>
  <c r="AO128" i="6"/>
  <c r="AR128" i="6"/>
  <c r="AU128" i="6"/>
  <c r="AS128" i="6"/>
  <c r="AK128" i="6"/>
  <c r="AX128" i="6"/>
  <c r="AV128" i="6"/>
  <c r="AK463" i="6"/>
  <c r="AL463" i="6"/>
  <c r="AR463" i="6"/>
  <c r="AP463" i="6"/>
  <c r="AW463" i="6"/>
  <c r="AY463" i="6"/>
  <c r="AN463" i="6"/>
  <c r="AO463" i="6"/>
  <c r="AM463" i="6"/>
  <c r="AX463" i="6"/>
  <c r="AQ463" i="6"/>
  <c r="AU463" i="6"/>
  <c r="AT463" i="6"/>
  <c r="AS463" i="6"/>
  <c r="AZ463" i="6"/>
  <c r="BA463" i="6"/>
  <c r="AV463" i="6"/>
  <c r="AW560" i="6"/>
  <c r="AY560" i="6"/>
  <c r="AM560" i="6"/>
  <c r="AR560" i="6"/>
  <c r="AL560" i="6"/>
  <c r="AS560" i="6"/>
  <c r="AK560" i="6"/>
  <c r="AO560" i="6"/>
  <c r="AP560" i="6"/>
  <c r="AX560" i="6"/>
  <c r="AQ560" i="6"/>
  <c r="AZ560" i="6"/>
  <c r="AN560" i="6"/>
  <c r="AV560" i="6"/>
  <c r="AT560" i="6"/>
  <c r="AU560" i="6"/>
  <c r="BA560" i="6"/>
  <c r="AW493" i="6"/>
  <c r="AM493" i="6"/>
  <c r="AK493" i="6"/>
  <c r="AP493" i="6"/>
  <c r="AR493" i="6"/>
  <c r="BA493" i="6"/>
  <c r="AL493" i="6"/>
  <c r="AN493" i="6"/>
  <c r="AV493" i="6"/>
  <c r="AU493" i="6"/>
  <c r="AQ493" i="6"/>
  <c r="AS493" i="6"/>
  <c r="AY493" i="6"/>
  <c r="AT493" i="6"/>
  <c r="AX493" i="6"/>
  <c r="AZ493" i="6"/>
  <c r="AO493" i="6"/>
  <c r="AS601" i="6"/>
  <c r="AV601" i="6"/>
  <c r="AO601" i="6"/>
  <c r="AT601" i="6"/>
  <c r="AK601" i="6"/>
  <c r="AR601" i="6"/>
  <c r="AQ601" i="6"/>
  <c r="BA601" i="6"/>
  <c r="AY601" i="6"/>
  <c r="AN601" i="6"/>
  <c r="AZ601" i="6"/>
  <c r="AX601" i="6"/>
  <c r="AL601" i="6"/>
  <c r="AW601" i="6"/>
  <c r="AU601" i="6"/>
  <c r="AM601" i="6"/>
  <c r="AP601" i="6"/>
  <c r="AK137" i="6"/>
  <c r="AM137" i="6"/>
  <c r="AL137" i="6"/>
  <c r="BA137" i="6"/>
  <c r="AO137" i="6"/>
  <c r="AV137" i="6"/>
  <c r="AT137" i="6"/>
  <c r="AS137" i="6"/>
  <c r="AU137" i="6"/>
  <c r="AQ137" i="6"/>
  <c r="AN137" i="6"/>
  <c r="AW137" i="6"/>
  <c r="AP137" i="6"/>
  <c r="AR137" i="6"/>
  <c r="AY137" i="6"/>
  <c r="AZ137" i="6"/>
  <c r="AX137" i="6"/>
  <c r="BA196" i="6"/>
  <c r="AZ196" i="6"/>
  <c r="AQ196" i="6"/>
  <c r="AK196" i="6"/>
  <c r="AT196" i="6"/>
  <c r="AN196" i="6"/>
  <c r="AR196" i="6"/>
  <c r="AV196" i="6"/>
  <c r="AS196" i="6"/>
  <c r="AX196" i="6"/>
  <c r="AM196" i="6"/>
  <c r="AP196" i="6"/>
  <c r="AY196" i="6"/>
  <c r="AU196" i="6"/>
  <c r="AL196" i="6"/>
  <c r="AO196" i="6"/>
  <c r="AW196" i="6"/>
  <c r="AW20" i="6"/>
  <c r="AK20" i="6"/>
  <c r="AQ20" i="6"/>
  <c r="AV20" i="6"/>
  <c r="AM20" i="6"/>
  <c r="AO20" i="6"/>
  <c r="AY20" i="6"/>
  <c r="AN20" i="6"/>
  <c r="AL20" i="6"/>
  <c r="AU20" i="6"/>
  <c r="BA20" i="6"/>
  <c r="AZ20" i="6"/>
  <c r="AT20" i="6"/>
  <c r="AX20" i="6"/>
  <c r="AS20" i="6"/>
  <c r="AP20" i="6"/>
  <c r="AR20" i="6"/>
  <c r="AZ242" i="6"/>
  <c r="AX242" i="6"/>
  <c r="AR242" i="6"/>
  <c r="AO242" i="6"/>
  <c r="AU242" i="6"/>
  <c r="AK242" i="6"/>
  <c r="AW242" i="6"/>
  <c r="AP242" i="6"/>
  <c r="AM242" i="6"/>
  <c r="AV242" i="6"/>
  <c r="BA242" i="6"/>
  <c r="AY242" i="6"/>
  <c r="AL242" i="6"/>
  <c r="AQ242" i="6"/>
  <c r="AN242" i="6"/>
  <c r="AT242" i="6"/>
  <c r="AS242" i="6"/>
  <c r="AM118" i="6"/>
  <c r="AP118" i="6"/>
  <c r="AV118" i="6"/>
  <c r="AX118" i="6"/>
  <c r="AR118" i="6"/>
  <c r="AL118" i="6"/>
  <c r="AO118" i="6"/>
  <c r="BA118" i="6"/>
  <c r="AT118" i="6"/>
  <c r="AZ118" i="6"/>
  <c r="AU118" i="6"/>
  <c r="AQ118" i="6"/>
  <c r="AK118" i="6"/>
  <c r="AW118" i="6"/>
  <c r="AS118" i="6"/>
  <c r="AY118" i="6"/>
  <c r="AN118" i="6"/>
  <c r="AQ394" i="6"/>
  <c r="AY394" i="6"/>
  <c r="AN394" i="6"/>
  <c r="AK394" i="6"/>
  <c r="AS394" i="6"/>
  <c r="AM394" i="6"/>
  <c r="BA394" i="6"/>
  <c r="AX394" i="6"/>
  <c r="AT394" i="6"/>
  <c r="AO394" i="6"/>
  <c r="AP394" i="6"/>
  <c r="AZ394" i="6"/>
  <c r="AV394" i="6"/>
  <c r="AL394" i="6"/>
  <c r="AW394" i="6"/>
  <c r="AU394" i="6"/>
  <c r="AR394" i="6"/>
  <c r="AT491" i="6"/>
  <c r="AK491" i="6"/>
  <c r="AN491" i="6"/>
  <c r="AM491" i="6"/>
  <c r="AU491" i="6"/>
  <c r="AL491" i="6"/>
  <c r="AR491" i="6"/>
  <c r="AQ491" i="6"/>
  <c r="BA491" i="6"/>
  <c r="AP491" i="6"/>
  <c r="AY491" i="6"/>
  <c r="AS491" i="6"/>
  <c r="AV491" i="6"/>
  <c r="AW491" i="6"/>
  <c r="AZ491" i="6"/>
  <c r="AX491" i="6"/>
  <c r="AO491" i="6"/>
  <c r="AR562" i="6"/>
  <c r="AN562" i="6"/>
  <c r="AL562" i="6"/>
  <c r="AU562" i="6"/>
  <c r="AK562" i="6"/>
  <c r="AM562" i="6"/>
  <c r="AY562" i="6"/>
  <c r="AW562" i="6"/>
  <c r="AV562" i="6"/>
  <c r="AX562" i="6"/>
  <c r="AS562" i="6"/>
  <c r="AZ562" i="6"/>
  <c r="AP562" i="6"/>
  <c r="AQ562" i="6"/>
  <c r="AT562" i="6"/>
  <c r="AO562" i="6"/>
  <c r="BA562" i="6"/>
  <c r="AN206" i="6"/>
  <c r="AM206" i="6"/>
  <c r="AW206" i="6"/>
  <c r="AP206" i="6"/>
  <c r="AS206" i="6"/>
  <c r="AZ206" i="6"/>
  <c r="AQ206" i="6"/>
  <c r="AT206" i="6"/>
  <c r="AR206" i="6"/>
  <c r="AY206" i="6"/>
  <c r="AX206" i="6"/>
  <c r="AL206" i="6"/>
  <c r="AV206" i="6"/>
  <c r="AU206" i="6"/>
  <c r="AK206" i="6"/>
  <c r="AO206" i="6"/>
  <c r="BA206" i="6"/>
  <c r="AU459" i="6"/>
  <c r="AX459" i="6"/>
  <c r="AR459" i="6"/>
  <c r="AN459" i="6"/>
  <c r="AP459" i="6"/>
  <c r="AT459" i="6"/>
  <c r="AY459" i="6"/>
  <c r="AL459" i="6"/>
  <c r="AO459" i="6"/>
  <c r="AM459" i="6"/>
  <c r="AW459" i="6"/>
  <c r="BA459" i="6"/>
  <c r="AK459" i="6"/>
  <c r="AQ459" i="6"/>
  <c r="AS459" i="6"/>
  <c r="AV459" i="6"/>
  <c r="AZ459" i="6"/>
  <c r="AL630" i="6"/>
  <c r="AT630" i="6"/>
  <c r="AW630" i="6"/>
  <c r="AM630" i="6"/>
  <c r="AS630" i="6"/>
  <c r="AY630" i="6"/>
  <c r="AP630" i="6"/>
  <c r="AO630" i="6"/>
  <c r="AU630" i="6"/>
  <c r="AZ630" i="6"/>
  <c r="AN630" i="6"/>
  <c r="AK630" i="6"/>
  <c r="BA630" i="6"/>
  <c r="AX630" i="6"/>
  <c r="AQ630" i="6"/>
  <c r="AV630" i="6"/>
  <c r="AR630" i="6"/>
  <c r="AL503" i="6"/>
  <c r="AK503" i="6"/>
  <c r="AM503" i="6"/>
  <c r="AU503" i="6"/>
  <c r="AT503" i="6"/>
  <c r="BA503" i="6"/>
  <c r="AW503" i="6"/>
  <c r="AN503" i="6"/>
  <c r="AP503" i="6"/>
  <c r="AQ503" i="6"/>
  <c r="AY503" i="6"/>
  <c r="AR503" i="6"/>
  <c r="AZ503" i="6"/>
  <c r="AS503" i="6"/>
  <c r="AO503" i="6"/>
  <c r="AV503" i="6"/>
  <c r="AX503" i="6"/>
  <c r="AP208" i="6"/>
  <c r="AS208" i="6"/>
  <c r="AM208" i="6"/>
  <c r="AL208" i="6"/>
  <c r="AO208" i="6"/>
  <c r="AV208" i="6"/>
  <c r="BA208" i="6"/>
  <c r="AU208" i="6"/>
  <c r="AX208" i="6"/>
  <c r="AR208" i="6"/>
  <c r="AT208" i="6"/>
  <c r="AQ208" i="6"/>
  <c r="AY208" i="6"/>
  <c r="AN208" i="6"/>
  <c r="AK208" i="6"/>
  <c r="AW208" i="6"/>
  <c r="AZ208" i="6"/>
  <c r="AY431" i="6"/>
  <c r="AO431" i="6"/>
  <c r="AN431" i="6"/>
  <c r="AM431" i="6"/>
  <c r="BA431" i="6"/>
  <c r="AZ431" i="6"/>
  <c r="AW431" i="6"/>
  <c r="AQ431" i="6"/>
  <c r="AK431" i="6"/>
  <c r="AS431" i="6"/>
  <c r="AP431" i="6"/>
  <c r="AV431" i="6"/>
  <c r="AL431" i="6"/>
  <c r="AT431" i="6"/>
  <c r="AR431" i="6"/>
  <c r="AX431" i="6"/>
  <c r="AU431" i="6"/>
  <c r="AZ642" i="6"/>
  <c r="AP642" i="6"/>
  <c r="AK642" i="6"/>
  <c r="AY642" i="6"/>
  <c r="AN642" i="6"/>
  <c r="AS642" i="6"/>
  <c r="AM642" i="6"/>
  <c r="AQ642" i="6"/>
  <c r="AT642" i="6"/>
  <c r="AR642" i="6"/>
  <c r="AB217" i="8" s="1"/>
  <c r="AX642" i="6"/>
  <c r="AV642" i="6"/>
  <c r="BA642" i="6"/>
  <c r="AW642" i="6"/>
  <c r="AO642" i="6"/>
  <c r="AL642" i="6"/>
  <c r="AU642" i="6"/>
  <c r="AL76" i="6"/>
  <c r="AS76" i="6"/>
  <c r="AT76" i="6"/>
  <c r="AP76" i="6"/>
  <c r="AZ76" i="6"/>
  <c r="AV76" i="6"/>
  <c r="AR76" i="6"/>
  <c r="AW76" i="6"/>
  <c r="AQ76" i="6"/>
  <c r="BA76" i="6"/>
  <c r="AM76" i="6"/>
  <c r="AU76" i="6"/>
  <c r="AX76" i="6"/>
  <c r="AO76" i="6"/>
  <c r="AY76" i="6"/>
  <c r="AK76" i="6"/>
  <c r="AN76" i="6"/>
  <c r="AV623" i="6"/>
  <c r="AP623" i="6"/>
  <c r="AL623" i="6"/>
  <c r="BA623" i="6"/>
  <c r="AU623" i="6"/>
  <c r="AQ623" i="6"/>
  <c r="AM623" i="6"/>
  <c r="AX623" i="6"/>
  <c r="AT623" i="6"/>
  <c r="AR623" i="6"/>
  <c r="AK623" i="6"/>
  <c r="AS623" i="6"/>
  <c r="AY623" i="6"/>
  <c r="AN623" i="6"/>
  <c r="AZ623" i="6"/>
  <c r="AW623" i="6"/>
  <c r="AO623" i="6"/>
  <c r="AM564" i="6"/>
  <c r="AW564" i="6"/>
  <c r="AT564" i="6"/>
  <c r="AN564" i="6"/>
  <c r="AL564" i="6"/>
  <c r="AS564" i="6"/>
  <c r="BA564" i="6"/>
  <c r="AQ564" i="6"/>
  <c r="AP564" i="6"/>
  <c r="AX564" i="6"/>
  <c r="AR564" i="6"/>
  <c r="AO564" i="6"/>
  <c r="AU564" i="6"/>
  <c r="AZ564" i="6"/>
  <c r="AV564" i="6"/>
  <c r="AK564" i="6"/>
  <c r="AY564" i="6"/>
  <c r="AX166" i="6"/>
  <c r="AP166" i="6"/>
  <c r="AQ166" i="6"/>
  <c r="AR166" i="6"/>
  <c r="AL166" i="6"/>
  <c r="AS166" i="6"/>
  <c r="AK166" i="6"/>
  <c r="AU166" i="6"/>
  <c r="AY166" i="6"/>
  <c r="BA166" i="6"/>
  <c r="AM166" i="6"/>
  <c r="AV166" i="6"/>
  <c r="AT166" i="6"/>
  <c r="AW166" i="6"/>
  <c r="AO166" i="6"/>
  <c r="AZ166" i="6"/>
  <c r="AN166" i="6"/>
  <c r="AO568" i="6"/>
  <c r="AS568" i="6"/>
  <c r="AY568" i="6"/>
  <c r="AX568" i="6"/>
  <c r="AK568" i="6"/>
  <c r="AQ568" i="6"/>
  <c r="BA568" i="6"/>
  <c r="AP568" i="6"/>
  <c r="AN568" i="6"/>
  <c r="AU568" i="6"/>
  <c r="AL568" i="6"/>
  <c r="AR568" i="6"/>
  <c r="AW568" i="6"/>
  <c r="AV568" i="6"/>
  <c r="AZ568" i="6"/>
  <c r="AT568" i="6"/>
  <c r="AM568" i="6"/>
  <c r="AW151" i="6"/>
  <c r="AS151" i="6"/>
  <c r="AT151" i="6"/>
  <c r="AX151" i="6"/>
  <c r="AU151" i="6"/>
  <c r="BA151" i="6"/>
  <c r="AP151" i="6"/>
  <c r="AR151" i="6"/>
  <c r="AM151" i="6"/>
  <c r="AY151" i="6"/>
  <c r="AZ151" i="6"/>
  <c r="AV151" i="6"/>
  <c r="AK151" i="6"/>
  <c r="AN151" i="6"/>
  <c r="AL151" i="6"/>
  <c r="AQ151" i="6"/>
  <c r="AO151" i="6"/>
  <c r="AL714" i="6"/>
  <c r="AZ714" i="6"/>
  <c r="AP714" i="6"/>
  <c r="AR714" i="6"/>
  <c r="AQ714" i="6"/>
  <c r="AU714" i="6"/>
  <c r="AN714" i="6"/>
  <c r="AK714" i="6"/>
  <c r="AX714" i="6"/>
  <c r="AO714" i="6"/>
  <c r="AW714" i="6"/>
  <c r="AM714" i="6"/>
  <c r="AY714" i="6"/>
  <c r="BA714" i="6"/>
  <c r="AS714" i="6"/>
  <c r="AV714" i="6"/>
  <c r="AT714" i="6"/>
  <c r="AY148" i="6"/>
  <c r="AW148" i="6"/>
  <c r="AT148" i="6"/>
  <c r="AL148" i="6"/>
  <c r="AM148" i="6"/>
  <c r="AK148" i="6"/>
  <c r="BA148" i="6"/>
  <c r="AQ148" i="6"/>
  <c r="AZ148" i="6"/>
  <c r="AO148" i="6"/>
  <c r="AP148" i="6"/>
  <c r="AN148" i="6"/>
  <c r="AU148" i="6"/>
  <c r="AX148" i="6"/>
  <c r="AS148" i="6"/>
  <c r="AR148" i="6"/>
  <c r="AV148" i="6"/>
  <c r="AZ154" i="6"/>
  <c r="AQ154" i="6"/>
  <c r="AP154" i="6"/>
  <c r="AU154" i="6"/>
  <c r="AW154" i="6"/>
  <c r="AL154" i="6"/>
  <c r="AS154" i="6"/>
  <c r="AY154" i="6"/>
  <c r="AX154" i="6"/>
  <c r="AR154" i="6"/>
  <c r="AT154" i="6"/>
  <c r="AN154" i="6"/>
  <c r="AV154" i="6"/>
  <c r="BA154" i="6"/>
  <c r="AM154" i="6"/>
  <c r="AK154" i="6"/>
  <c r="AO154" i="6"/>
  <c r="AU434" i="6"/>
  <c r="AZ434" i="6"/>
  <c r="AS434" i="6"/>
  <c r="AV434" i="6"/>
  <c r="AN434" i="6"/>
  <c r="AP434" i="6"/>
  <c r="AQ434" i="6"/>
  <c r="AR434" i="6"/>
  <c r="AK434" i="6"/>
  <c r="AX434" i="6"/>
  <c r="AT434" i="6"/>
  <c r="AO434" i="6"/>
  <c r="AW434" i="6"/>
  <c r="BA434" i="6"/>
  <c r="AL434" i="6"/>
  <c r="AM434" i="6"/>
  <c r="AY434" i="6"/>
  <c r="BA173" i="6"/>
  <c r="AT173" i="6"/>
  <c r="AV173" i="6"/>
  <c r="AK173" i="6"/>
  <c r="AO173" i="6"/>
  <c r="AN173" i="6"/>
  <c r="AZ173" i="6"/>
  <c r="AR173" i="6"/>
  <c r="AP173" i="6"/>
  <c r="AU173" i="6"/>
  <c r="AQ173" i="6"/>
  <c r="AX173" i="6"/>
  <c r="AW173" i="6"/>
  <c r="AL173" i="6"/>
  <c r="AS173" i="6"/>
  <c r="AM173" i="6"/>
  <c r="AY173" i="6"/>
  <c r="AZ535" i="6"/>
  <c r="BA535" i="6"/>
  <c r="AN535" i="6"/>
  <c r="AO535" i="6"/>
  <c r="AL535" i="6"/>
  <c r="AY535" i="6"/>
  <c r="AT535" i="6"/>
  <c r="AX535" i="6"/>
  <c r="AR535" i="6"/>
  <c r="AS535" i="6"/>
  <c r="AQ535" i="6"/>
  <c r="AA181" i="8" s="1"/>
  <c r="AW535" i="6"/>
  <c r="AM535" i="6"/>
  <c r="AK535" i="6"/>
  <c r="AP535" i="6"/>
  <c r="AU535" i="6"/>
  <c r="AV535" i="6"/>
  <c r="AZ136" i="6"/>
  <c r="BA136" i="6"/>
  <c r="AP136" i="6"/>
  <c r="AS136" i="6"/>
  <c r="AW136" i="6"/>
  <c r="AN136" i="6"/>
  <c r="AR136" i="6"/>
  <c r="AT136" i="6"/>
  <c r="AM136" i="6"/>
  <c r="AY136" i="6"/>
  <c r="AU136" i="6"/>
  <c r="AL136" i="6"/>
  <c r="AO136" i="6"/>
  <c r="AQ136" i="6"/>
  <c r="AV136" i="6"/>
  <c r="AK136" i="6"/>
  <c r="AX136" i="6"/>
  <c r="AX227" i="6"/>
  <c r="AU227" i="6"/>
  <c r="AO227" i="6"/>
  <c r="AP227" i="6"/>
  <c r="AR227" i="6"/>
  <c r="AQ227" i="6"/>
  <c r="AT227" i="6"/>
  <c r="AZ227" i="6"/>
  <c r="AN227" i="6"/>
  <c r="AK227" i="6"/>
  <c r="AL227" i="6"/>
  <c r="AW227" i="6"/>
  <c r="AM227" i="6"/>
  <c r="BA227" i="6"/>
  <c r="AS227" i="6"/>
  <c r="AV227" i="6"/>
  <c r="AY227" i="6"/>
  <c r="AO146" i="6"/>
  <c r="AZ146" i="6"/>
  <c r="AQ146" i="6"/>
  <c r="AR146" i="6"/>
  <c r="AL146" i="6"/>
  <c r="AX146" i="6"/>
  <c r="AT146" i="6"/>
  <c r="AS146" i="6"/>
  <c r="AN146" i="6"/>
  <c r="AK146" i="6"/>
  <c r="AM146" i="6"/>
  <c r="AV146" i="6"/>
  <c r="AU146" i="6"/>
  <c r="AP146" i="6"/>
  <c r="AW146" i="6"/>
  <c r="BA146" i="6"/>
  <c r="AY146" i="6"/>
  <c r="AO163" i="6"/>
  <c r="AL163" i="6"/>
  <c r="AK163" i="6"/>
  <c r="AR163" i="6"/>
  <c r="AZ163" i="6"/>
  <c r="AN163" i="6"/>
  <c r="AT163" i="6"/>
  <c r="AW163" i="6"/>
  <c r="AU163" i="6"/>
  <c r="AY163" i="6"/>
  <c r="AS163" i="6"/>
  <c r="AV163" i="6"/>
  <c r="BA163" i="6"/>
  <c r="AX163" i="6"/>
  <c r="AQ163" i="6"/>
  <c r="AM163" i="6"/>
  <c r="AP163" i="6"/>
  <c r="AY681" i="6"/>
  <c r="BA681" i="6"/>
  <c r="AT681" i="6"/>
  <c r="AM681" i="6"/>
  <c r="AW681" i="6"/>
  <c r="AX681" i="6"/>
  <c r="AZ681" i="6"/>
  <c r="AR681" i="6"/>
  <c r="AK681" i="6"/>
  <c r="AU681" i="6"/>
  <c r="AP681" i="6"/>
  <c r="AO681" i="6"/>
  <c r="AS681" i="6"/>
  <c r="AV681" i="6"/>
  <c r="AQ681" i="6"/>
  <c r="AL681" i="6"/>
  <c r="AN681" i="6"/>
  <c r="AK160" i="6"/>
  <c r="AR160" i="6"/>
  <c r="AW160" i="6"/>
  <c r="AQ160" i="6"/>
  <c r="AM160" i="6"/>
  <c r="AP160" i="6"/>
  <c r="AZ160" i="6"/>
  <c r="BA160" i="6"/>
  <c r="AS160" i="6"/>
  <c r="AO160" i="6"/>
  <c r="AX160" i="6"/>
  <c r="AL160" i="6"/>
  <c r="AU160" i="6"/>
  <c r="AT160" i="6"/>
  <c r="AV160" i="6"/>
  <c r="AY160" i="6"/>
  <c r="AN160" i="6"/>
  <c r="BA457" i="6"/>
  <c r="AV457" i="6"/>
  <c r="AO457" i="6"/>
  <c r="AM457" i="6"/>
  <c r="AT457" i="6"/>
  <c r="AX457" i="6"/>
  <c r="AS457" i="6"/>
  <c r="AN457" i="6"/>
  <c r="AQ457" i="6"/>
  <c r="AR457" i="6"/>
  <c r="AK457" i="6"/>
  <c r="AL457" i="6"/>
  <c r="AW457" i="6"/>
  <c r="AU457" i="6"/>
  <c r="AZ457" i="6"/>
  <c r="AP457" i="6"/>
  <c r="AY457" i="6"/>
  <c r="AY371" i="6"/>
  <c r="AN371" i="6"/>
  <c r="AT371" i="6"/>
  <c r="AK371" i="6"/>
  <c r="AM371" i="6"/>
  <c r="AO371" i="6"/>
  <c r="AW371" i="6"/>
  <c r="AS371" i="6"/>
  <c r="AQ371" i="6"/>
  <c r="AU371" i="6"/>
  <c r="AX371" i="6"/>
  <c r="AR371" i="6"/>
  <c r="AP371" i="6"/>
  <c r="AL371" i="6"/>
  <c r="BA371" i="6"/>
  <c r="AZ371" i="6"/>
  <c r="AV371" i="6"/>
  <c r="AY409" i="6"/>
  <c r="AL409" i="6"/>
  <c r="AN409" i="6"/>
  <c r="AU409" i="6"/>
  <c r="AQ409" i="6"/>
  <c r="AR409" i="6"/>
  <c r="AK409" i="6"/>
  <c r="BA409" i="6"/>
  <c r="AW409" i="6"/>
  <c r="AZ409" i="6"/>
  <c r="AV409" i="6"/>
  <c r="AP409" i="6"/>
  <c r="AM409" i="6"/>
  <c r="AT409" i="6"/>
  <c r="AS409" i="6"/>
  <c r="AX409" i="6"/>
  <c r="AO409" i="6"/>
  <c r="AL240" i="6"/>
  <c r="AY240" i="6"/>
  <c r="AV240" i="6"/>
  <c r="AN240" i="6"/>
  <c r="AP240" i="6"/>
  <c r="AU240" i="6"/>
  <c r="AM240" i="6"/>
  <c r="AW240" i="6"/>
  <c r="AQ240" i="6"/>
  <c r="AX240" i="6"/>
  <c r="AS240" i="6"/>
  <c r="AZ240" i="6"/>
  <c r="AT240" i="6"/>
  <c r="BA240" i="6"/>
  <c r="AO240" i="6"/>
  <c r="AK240" i="6"/>
  <c r="AR240" i="6"/>
  <c r="AY236" i="6"/>
  <c r="AK236" i="6"/>
  <c r="AR236" i="6"/>
  <c r="AT236" i="6"/>
  <c r="BA236" i="6"/>
  <c r="AL236" i="6"/>
  <c r="AS236" i="6"/>
  <c r="AZ236" i="6"/>
  <c r="AV236" i="6"/>
  <c r="AQ236" i="6"/>
  <c r="AU236" i="6"/>
  <c r="AW236" i="6"/>
  <c r="AM236" i="6"/>
  <c r="AO236" i="6"/>
  <c r="AX236" i="6"/>
  <c r="AP236" i="6"/>
  <c r="AN236" i="6"/>
  <c r="AW502" i="6"/>
  <c r="AN502" i="6"/>
  <c r="AL502" i="6"/>
  <c r="AQ502" i="6"/>
  <c r="AY502" i="6"/>
  <c r="AK502" i="6"/>
  <c r="AZ502" i="6"/>
  <c r="AS502" i="6"/>
  <c r="AR502" i="6"/>
  <c r="AO502" i="6"/>
  <c r="AT502" i="6"/>
  <c r="AV502" i="6"/>
  <c r="AP502" i="6"/>
  <c r="AU502" i="6"/>
  <c r="BA502" i="6"/>
  <c r="AX502" i="6"/>
  <c r="AM502" i="6"/>
  <c r="AV639" i="6"/>
  <c r="AK639" i="6"/>
  <c r="AL639" i="6"/>
  <c r="AY639" i="6"/>
  <c r="AS639" i="6"/>
  <c r="AN639" i="6"/>
  <c r="AP639" i="6"/>
  <c r="AX639" i="6"/>
  <c r="AZ639" i="6"/>
  <c r="BA639" i="6"/>
  <c r="AQ639" i="6"/>
  <c r="AW639" i="6"/>
  <c r="AU639" i="6"/>
  <c r="AO639" i="6"/>
  <c r="AR639" i="6"/>
  <c r="AM639" i="6"/>
  <c r="AT639" i="6"/>
  <c r="AS147" i="6"/>
  <c r="AO147" i="6"/>
  <c r="AL147" i="6"/>
  <c r="AQ147" i="6"/>
  <c r="AK147" i="6"/>
  <c r="AZ147" i="6"/>
  <c r="AX147" i="6"/>
  <c r="AW147" i="6"/>
  <c r="BA147" i="6"/>
  <c r="AN147" i="6"/>
  <c r="AM147" i="6"/>
  <c r="AY147" i="6"/>
  <c r="AT147" i="6"/>
  <c r="AU147" i="6"/>
  <c r="AV147" i="6"/>
  <c r="AR147" i="6"/>
  <c r="AP147" i="6"/>
  <c r="AQ498" i="6"/>
  <c r="BA498" i="6"/>
  <c r="AM498" i="6"/>
  <c r="AN498" i="6"/>
  <c r="AR498" i="6"/>
  <c r="AU498" i="6"/>
  <c r="AT498" i="6"/>
  <c r="AP498" i="6"/>
  <c r="AO498" i="6"/>
  <c r="AY498" i="6"/>
  <c r="AZ498" i="6"/>
  <c r="AW498" i="6"/>
  <c r="AV498" i="6"/>
  <c r="AK498" i="6"/>
  <c r="AS498" i="6"/>
  <c r="AL498" i="6"/>
  <c r="AX498" i="6"/>
  <c r="AT284" i="6"/>
  <c r="AS284" i="6"/>
  <c r="BA284" i="6"/>
  <c r="AO284" i="6"/>
  <c r="AP284" i="6"/>
  <c r="AX284" i="6"/>
  <c r="AM284" i="6"/>
  <c r="AU284" i="6"/>
  <c r="AY284" i="6"/>
  <c r="AQ284" i="6"/>
  <c r="AW284" i="6"/>
  <c r="AZ284" i="6"/>
  <c r="AL284" i="6"/>
  <c r="AN284" i="6"/>
  <c r="AK284" i="6"/>
  <c r="AV284" i="6"/>
  <c r="AR284" i="6"/>
  <c r="AT144" i="6"/>
  <c r="AY144" i="6"/>
  <c r="AS144" i="6"/>
  <c r="AQ144" i="6"/>
  <c r="BA144" i="6"/>
  <c r="AX144" i="6"/>
  <c r="AW144" i="6"/>
  <c r="AN144" i="6"/>
  <c r="AK144" i="6"/>
  <c r="AV144" i="6"/>
  <c r="AU144" i="6"/>
  <c r="AM144" i="6"/>
  <c r="AP144" i="6"/>
  <c r="AO144" i="6"/>
  <c r="AZ144" i="6"/>
  <c r="AR144" i="6"/>
  <c r="AL144" i="6"/>
  <c r="AQ200" i="6"/>
  <c r="AU200" i="6"/>
  <c r="AS200" i="6"/>
  <c r="AM200" i="6"/>
  <c r="AZ200" i="6"/>
  <c r="AL200" i="6"/>
  <c r="AW200" i="6"/>
  <c r="AY200" i="6"/>
  <c r="AP200" i="6"/>
  <c r="AO200" i="6"/>
  <c r="AV200" i="6"/>
  <c r="AK200" i="6"/>
  <c r="AT200" i="6"/>
  <c r="BA200" i="6"/>
  <c r="AN200" i="6"/>
  <c r="AX200" i="6"/>
  <c r="AR200" i="6"/>
  <c r="AZ572" i="6"/>
  <c r="AY572" i="6"/>
  <c r="AN572" i="6"/>
  <c r="AW572" i="6"/>
  <c r="AQ572" i="6"/>
  <c r="AU572" i="6"/>
  <c r="AX572" i="6"/>
  <c r="AO572" i="6"/>
  <c r="AT572" i="6"/>
  <c r="AM572" i="6"/>
  <c r="AK572" i="6"/>
  <c r="AS572" i="6"/>
  <c r="AV572" i="6"/>
  <c r="AR572" i="6"/>
  <c r="AP572" i="6"/>
  <c r="BA572" i="6"/>
  <c r="AL572" i="6"/>
  <c r="AQ592" i="6"/>
  <c r="AY592" i="6"/>
  <c r="AT592" i="6"/>
  <c r="AU592" i="6"/>
  <c r="AO592" i="6"/>
  <c r="Y193" i="8" s="1"/>
  <c r="AR592" i="6"/>
  <c r="AS592" i="6"/>
  <c r="AP592" i="6"/>
  <c r="AZ592" i="6"/>
  <c r="AM592" i="6"/>
  <c r="AW592" i="6"/>
  <c r="BA592" i="6"/>
  <c r="AL592" i="6"/>
  <c r="AK592" i="6"/>
  <c r="AV592" i="6"/>
  <c r="AN592" i="6"/>
  <c r="AX592" i="6"/>
  <c r="BA474" i="6"/>
  <c r="AY474" i="6"/>
  <c r="AO474" i="6"/>
  <c r="AQ474" i="6"/>
  <c r="AZ474" i="6"/>
  <c r="AL474" i="6"/>
  <c r="AT474" i="6"/>
  <c r="AK474" i="6"/>
  <c r="AV474" i="6"/>
  <c r="AR474" i="6"/>
  <c r="AW474" i="6"/>
  <c r="AX474" i="6"/>
  <c r="AP474" i="6"/>
  <c r="AS474" i="6"/>
  <c r="AM474" i="6"/>
  <c r="AN474" i="6"/>
  <c r="AU474" i="6"/>
  <c r="AL466" i="6"/>
  <c r="AN466" i="6"/>
  <c r="AK466" i="6"/>
  <c r="AQ466" i="6"/>
  <c r="AW466" i="6"/>
  <c r="AU466" i="6"/>
  <c r="AT466" i="6"/>
  <c r="AO466" i="6"/>
  <c r="AM466" i="6"/>
  <c r="AP466" i="6"/>
  <c r="AS466" i="6"/>
  <c r="BA466" i="6"/>
  <c r="AZ466" i="6"/>
  <c r="AX466" i="6"/>
  <c r="AV466" i="6"/>
  <c r="AY466" i="6"/>
  <c r="AR466" i="6"/>
  <c r="AZ496" i="6"/>
  <c r="AW496" i="6"/>
  <c r="AS496" i="6"/>
  <c r="AV496" i="6"/>
  <c r="AU496" i="6"/>
  <c r="AL496" i="6"/>
  <c r="AO496" i="6"/>
  <c r="AN496" i="6"/>
  <c r="AQ496" i="6"/>
  <c r="AT496" i="6"/>
  <c r="AX496" i="6"/>
  <c r="AK496" i="6"/>
  <c r="AR496" i="6"/>
  <c r="AP496" i="6"/>
  <c r="BA496" i="6"/>
  <c r="AY496" i="6"/>
  <c r="AM496" i="6"/>
  <c r="AU464" i="6"/>
  <c r="AR464" i="6"/>
  <c r="AW464" i="6"/>
  <c r="AZ464" i="6"/>
  <c r="AK464" i="6"/>
  <c r="AN464" i="6"/>
  <c r="AM464" i="6"/>
  <c r="AQ464" i="6"/>
  <c r="AX464" i="6"/>
  <c r="AL464" i="6"/>
  <c r="AT464" i="6"/>
  <c r="AO464" i="6"/>
  <c r="AS464" i="6"/>
  <c r="AV464" i="6"/>
  <c r="AY464" i="6"/>
  <c r="BA464" i="6"/>
  <c r="AP464" i="6"/>
  <c r="AV624" i="6"/>
  <c r="BA624" i="6"/>
  <c r="AN624" i="6"/>
  <c r="AK624" i="6"/>
  <c r="AX624" i="6"/>
  <c r="AL624" i="6"/>
  <c r="AT624" i="6"/>
  <c r="AO624" i="6"/>
  <c r="AS624" i="6"/>
  <c r="AU624" i="6"/>
  <c r="AR624" i="6"/>
  <c r="AW624" i="6"/>
  <c r="AZ624" i="6"/>
  <c r="AY624" i="6"/>
  <c r="AP624" i="6"/>
  <c r="AM624" i="6"/>
  <c r="AQ624" i="6"/>
  <c r="AZ395" i="6"/>
  <c r="AP395" i="6"/>
  <c r="AW395" i="6"/>
  <c r="AU395" i="6"/>
  <c r="AM395" i="6"/>
  <c r="AK395" i="6"/>
  <c r="BA395" i="6"/>
  <c r="AV395" i="6"/>
  <c r="AQ395" i="6"/>
  <c r="AS395" i="6"/>
  <c r="AN395" i="6"/>
  <c r="AL395" i="6"/>
  <c r="AO395" i="6"/>
  <c r="AR395" i="6"/>
  <c r="AT395" i="6"/>
  <c r="AX395" i="6"/>
  <c r="AY395" i="6"/>
  <c r="AR500" i="6"/>
  <c r="AQ500" i="6"/>
  <c r="BA500" i="6"/>
  <c r="AX500" i="6"/>
  <c r="AW500" i="6"/>
  <c r="AM500" i="6"/>
  <c r="AT500" i="6"/>
  <c r="AZ500" i="6"/>
  <c r="AS500" i="6"/>
  <c r="AN500" i="6"/>
  <c r="AK500" i="6"/>
  <c r="AV500" i="6"/>
  <c r="AY500" i="6"/>
  <c r="AO500" i="6"/>
  <c r="AP500" i="6"/>
  <c r="AL500" i="6"/>
  <c r="AU500" i="6"/>
  <c r="AZ653" i="6"/>
  <c r="AV653" i="6"/>
  <c r="AT653" i="6"/>
  <c r="AK653" i="6"/>
  <c r="BA653" i="6"/>
  <c r="AS653" i="6"/>
  <c r="AR653" i="6"/>
  <c r="AP653" i="6"/>
  <c r="AX653" i="6"/>
  <c r="AQ653" i="6"/>
  <c r="AM653" i="6"/>
  <c r="AU653" i="6"/>
  <c r="AW653" i="6"/>
  <c r="AY653" i="6"/>
  <c r="AN653" i="6"/>
  <c r="AO653" i="6"/>
  <c r="AL653" i="6"/>
  <c r="AP198" i="6"/>
  <c r="AV198" i="6"/>
  <c r="BA198" i="6"/>
  <c r="AX198" i="6"/>
  <c r="AO198" i="6"/>
  <c r="AL198" i="6"/>
  <c r="AM198" i="6"/>
  <c r="AS198" i="6"/>
  <c r="AK198" i="6"/>
  <c r="AT198" i="6"/>
  <c r="AR198" i="6"/>
  <c r="AN198" i="6"/>
  <c r="AY198" i="6"/>
  <c r="AQ198" i="6"/>
  <c r="AW198" i="6"/>
  <c r="AZ198" i="6"/>
  <c r="AU198" i="6"/>
  <c r="BA576" i="6"/>
  <c r="AR576" i="6"/>
  <c r="AT576" i="6"/>
  <c r="AX576" i="6"/>
  <c r="AZ576" i="6"/>
  <c r="AS576" i="6"/>
  <c r="AK576" i="6"/>
  <c r="AV576" i="6"/>
  <c r="AN576" i="6"/>
  <c r="AY576" i="6"/>
  <c r="AQ576" i="6"/>
  <c r="AW576" i="6"/>
  <c r="AO576" i="6"/>
  <c r="AL576" i="6"/>
  <c r="AM576" i="6"/>
  <c r="AU576" i="6"/>
  <c r="AP576" i="6"/>
  <c r="AW225" i="6"/>
  <c r="AY225" i="6"/>
  <c r="AU225" i="6"/>
  <c r="AM225" i="6"/>
  <c r="AN225" i="6"/>
  <c r="AT225" i="6"/>
  <c r="AR225" i="6"/>
  <c r="AV225" i="6"/>
  <c r="AS225" i="6"/>
  <c r="BA225" i="6"/>
  <c r="AX225" i="6"/>
  <c r="AP225" i="6"/>
  <c r="AO225" i="6"/>
  <c r="AQ225" i="6"/>
  <c r="AZ225" i="6"/>
  <c r="AK225" i="6"/>
  <c r="AL225" i="6"/>
  <c r="AL188" i="6"/>
  <c r="AQ188" i="6"/>
  <c r="AW188" i="6"/>
  <c r="AU188" i="6"/>
  <c r="AT188" i="6"/>
  <c r="AV188" i="6"/>
  <c r="AN188" i="6"/>
  <c r="BA188" i="6"/>
  <c r="AM188" i="6"/>
  <c r="AS188" i="6"/>
  <c r="AX188" i="6"/>
  <c r="AP188" i="6"/>
  <c r="AZ188" i="6"/>
  <c r="AR188" i="6"/>
  <c r="AY188" i="6"/>
  <c r="AO188" i="6"/>
  <c r="AK188" i="6"/>
  <c r="AX600" i="6"/>
  <c r="AR600" i="6"/>
  <c r="AN600" i="6"/>
  <c r="AK600" i="6"/>
  <c r="BA600" i="6"/>
  <c r="AT600" i="6"/>
  <c r="AO600" i="6"/>
  <c r="AP600" i="6"/>
  <c r="AU600" i="6"/>
  <c r="AZ600" i="6"/>
  <c r="AM600" i="6"/>
  <c r="AS600" i="6"/>
  <c r="AY600" i="6"/>
  <c r="AV600" i="6"/>
  <c r="AQ600" i="6"/>
  <c r="AW600" i="6"/>
  <c r="AL600" i="6"/>
  <c r="AW142" i="6"/>
  <c r="BA142" i="6"/>
  <c r="AK142" i="6"/>
  <c r="AU142" i="6"/>
  <c r="AS142" i="6"/>
  <c r="AV142" i="6"/>
  <c r="AR142" i="6"/>
  <c r="AM142" i="6"/>
  <c r="AO142" i="6"/>
  <c r="AN142" i="6"/>
  <c r="AZ142" i="6"/>
  <c r="AP142" i="6"/>
  <c r="AL142" i="6"/>
  <c r="AQ142" i="6"/>
  <c r="AX142" i="6"/>
  <c r="AT142" i="6"/>
  <c r="AY142" i="6"/>
  <c r="AM458" i="6"/>
  <c r="AP458" i="6"/>
  <c r="AU458" i="6"/>
  <c r="BA458" i="6"/>
  <c r="AT458" i="6"/>
  <c r="AQ458" i="6"/>
  <c r="AS458" i="6"/>
  <c r="AO458" i="6"/>
  <c r="AK458" i="6"/>
  <c r="AX458" i="6"/>
  <c r="AV458" i="6"/>
  <c r="AW458" i="6"/>
  <c r="AR458" i="6"/>
  <c r="AN458" i="6"/>
  <c r="AY458" i="6"/>
  <c r="AZ458" i="6"/>
  <c r="AL458" i="6"/>
  <c r="AT131" i="6"/>
  <c r="AR131" i="6"/>
  <c r="AZ131" i="6"/>
  <c r="AL131" i="6"/>
  <c r="AS131" i="6"/>
  <c r="AM131" i="6"/>
  <c r="AY131" i="6"/>
  <c r="AU131" i="6"/>
  <c r="BA131" i="6"/>
  <c r="AK131" i="6"/>
  <c r="AX131" i="6"/>
  <c r="AN131" i="6"/>
  <c r="AW131" i="6"/>
  <c r="AO131" i="6"/>
  <c r="AQ131" i="6"/>
  <c r="AP131" i="6"/>
  <c r="AV131" i="6"/>
  <c r="AS283" i="6"/>
  <c r="AR283" i="6"/>
  <c r="AK283" i="6"/>
  <c r="AP283" i="6"/>
  <c r="AT283" i="6"/>
  <c r="AL283" i="6"/>
  <c r="AN283" i="6"/>
  <c r="AY283" i="6"/>
  <c r="AM283" i="6"/>
  <c r="AU283" i="6"/>
  <c r="AX283" i="6"/>
  <c r="AQ283" i="6"/>
  <c r="BA283" i="6"/>
  <c r="AZ283" i="6"/>
  <c r="AW283" i="6"/>
  <c r="AO283" i="6"/>
  <c r="AV283" i="6"/>
  <c r="AR400" i="6"/>
  <c r="AZ400" i="6"/>
  <c r="AL400" i="6"/>
  <c r="AO400" i="6"/>
  <c r="AU400" i="6"/>
  <c r="AW400" i="6"/>
  <c r="AX400" i="6"/>
  <c r="AV400" i="6"/>
  <c r="BA400" i="6"/>
  <c r="AP400" i="6"/>
  <c r="AM400" i="6"/>
  <c r="AQ400" i="6"/>
  <c r="AY400" i="6"/>
  <c r="AT400" i="6"/>
  <c r="AN400" i="6"/>
  <c r="AK400" i="6"/>
  <c r="AS400" i="6"/>
  <c r="AO185" i="6"/>
  <c r="AW185" i="6"/>
  <c r="AP185" i="6"/>
  <c r="AR185" i="6"/>
  <c r="AS185" i="6"/>
  <c r="AL185" i="6"/>
  <c r="AZ185" i="6"/>
  <c r="AX185" i="6"/>
  <c r="AN185" i="6"/>
  <c r="AY185" i="6"/>
  <c r="AM185" i="6"/>
  <c r="AU185" i="6"/>
  <c r="AV185" i="6"/>
  <c r="AK185" i="6"/>
  <c r="BA185" i="6"/>
  <c r="AQ185" i="6"/>
  <c r="AT185" i="6"/>
  <c r="AW480" i="6"/>
  <c r="AK480" i="6"/>
  <c r="AP480" i="6"/>
  <c r="AX480" i="6"/>
  <c r="BA480" i="6"/>
  <c r="AV480" i="6"/>
  <c r="AM480" i="6"/>
  <c r="AZ480" i="6"/>
  <c r="AR480" i="6"/>
  <c r="AY480" i="6"/>
  <c r="AU480" i="6"/>
  <c r="AQ480" i="6"/>
  <c r="AT480" i="6"/>
  <c r="AS480" i="6"/>
  <c r="AL480" i="6"/>
  <c r="AN480" i="6"/>
  <c r="AO480" i="6"/>
  <c r="AT588" i="6"/>
  <c r="BA588" i="6"/>
  <c r="AX588" i="6"/>
  <c r="AU588" i="6"/>
  <c r="AP588" i="6"/>
  <c r="AL588" i="6"/>
  <c r="AQ588" i="6"/>
  <c r="AO588" i="6"/>
  <c r="AY588" i="6"/>
  <c r="AK588" i="6"/>
  <c r="AR588" i="6"/>
  <c r="AN588" i="6"/>
  <c r="AM588" i="6"/>
  <c r="AZ588" i="6"/>
  <c r="AS588" i="6"/>
  <c r="AV588" i="6"/>
  <c r="AW588" i="6"/>
  <c r="AX723" i="6"/>
  <c r="AQ723" i="6"/>
  <c r="AK723" i="6"/>
  <c r="AU723" i="6"/>
  <c r="AW723" i="6"/>
  <c r="AV723" i="6"/>
  <c r="AR723" i="6"/>
  <c r="AS723" i="6"/>
  <c r="AO723" i="6"/>
  <c r="AP723" i="6"/>
  <c r="AM723" i="6"/>
  <c r="BA723" i="6"/>
  <c r="AY723" i="6"/>
  <c r="AT723" i="6"/>
  <c r="AZ723" i="6"/>
  <c r="AN723" i="6"/>
  <c r="AL723" i="6"/>
  <c r="AY671" i="6"/>
  <c r="AU671" i="6"/>
  <c r="AS671" i="6"/>
  <c r="AW671" i="6"/>
  <c r="AT671" i="6"/>
  <c r="AZ671" i="6"/>
  <c r="AL671" i="6"/>
  <c r="AN671" i="6"/>
  <c r="AP671" i="6"/>
  <c r="AV671" i="6"/>
  <c r="AK671" i="6"/>
  <c r="AX671" i="6"/>
  <c r="AO671" i="6"/>
  <c r="BA671" i="6"/>
  <c r="AM671" i="6"/>
  <c r="AR671" i="6"/>
  <c r="AQ671" i="6"/>
  <c r="AV644" i="6"/>
  <c r="AP644" i="6"/>
  <c r="AR644" i="6"/>
  <c r="AX644" i="6"/>
  <c r="AN644" i="6"/>
  <c r="AU644" i="6"/>
  <c r="BA644" i="6"/>
  <c r="AS644" i="6"/>
  <c r="AM644" i="6"/>
  <c r="AO644" i="6"/>
  <c r="AL644" i="6"/>
  <c r="AW644" i="6"/>
  <c r="AQ644" i="6"/>
  <c r="AY644" i="6"/>
  <c r="AT644" i="6"/>
  <c r="AZ644" i="6"/>
  <c r="AK644" i="6"/>
  <c r="AR153" i="6"/>
  <c r="AN153" i="6"/>
  <c r="AO153" i="6"/>
  <c r="AP153" i="6"/>
  <c r="AS153" i="6"/>
  <c r="AC82" i="8" s="1"/>
  <c r="BA153" i="6"/>
  <c r="AK153" i="6"/>
  <c r="AM153" i="6"/>
  <c r="AT153" i="6"/>
  <c r="AY153" i="6"/>
  <c r="AV153" i="6"/>
  <c r="AU153" i="6"/>
  <c r="AL153" i="6"/>
  <c r="AQ153" i="6"/>
  <c r="AX153" i="6"/>
  <c r="AW153" i="6"/>
  <c r="AZ153" i="6"/>
  <c r="AV606" i="6"/>
  <c r="AN606" i="6"/>
  <c r="AW606" i="6"/>
  <c r="BA606" i="6"/>
  <c r="AL606" i="6"/>
  <c r="V199" i="8" s="1"/>
  <c r="AX606" i="6"/>
  <c r="AZ606" i="6"/>
  <c r="AU606" i="6"/>
  <c r="AK606" i="6"/>
  <c r="AQ606" i="6"/>
  <c r="AM606" i="6"/>
  <c r="AY606" i="6"/>
  <c r="AR606" i="6"/>
  <c r="AP606" i="6"/>
  <c r="AT606" i="6"/>
  <c r="AS606" i="6"/>
  <c r="AO606" i="6"/>
  <c r="AS157" i="6"/>
  <c r="AT157" i="6"/>
  <c r="AU157" i="6"/>
  <c r="AK157" i="6"/>
  <c r="AP157" i="6"/>
  <c r="AZ157" i="6"/>
  <c r="AX157" i="6"/>
  <c r="AM157" i="6"/>
  <c r="AQ157" i="6"/>
  <c r="AW157" i="6"/>
  <c r="AV157" i="6"/>
  <c r="AO157" i="6"/>
  <c r="AY157" i="6"/>
  <c r="AL157" i="6"/>
  <c r="AR157" i="6"/>
  <c r="BA157" i="6"/>
  <c r="AN157" i="6"/>
  <c r="BA376" i="6"/>
  <c r="AL376" i="6"/>
  <c r="AU376" i="6"/>
  <c r="AR376" i="6"/>
  <c r="AM376" i="6"/>
  <c r="AX376" i="6"/>
  <c r="AS376" i="6"/>
  <c r="AO376" i="6"/>
  <c r="AZ376" i="6"/>
  <c r="AT376" i="6"/>
  <c r="AK376" i="6"/>
  <c r="AN376" i="6"/>
  <c r="AV376" i="6"/>
  <c r="AY376" i="6"/>
  <c r="AQ376" i="6"/>
  <c r="AW376" i="6"/>
  <c r="AP376" i="6"/>
  <c r="AO235" i="6"/>
  <c r="AY235" i="6"/>
  <c r="AR235" i="6"/>
  <c r="AV235" i="6"/>
  <c r="AN235" i="6"/>
  <c r="BA235" i="6"/>
  <c r="AX235" i="6"/>
  <c r="AZ235" i="6"/>
  <c r="AK235" i="6"/>
  <c r="AW235" i="6"/>
  <c r="AS235" i="6"/>
  <c r="AT235" i="6"/>
  <c r="AL235" i="6"/>
  <c r="AQ235" i="6"/>
  <c r="AP235" i="6"/>
  <c r="AU235" i="6"/>
  <c r="AM235" i="6"/>
  <c r="AP506" i="6"/>
  <c r="AU506" i="6"/>
  <c r="AO506" i="6"/>
  <c r="AK506" i="6"/>
  <c r="AL506" i="6"/>
  <c r="AY506" i="6"/>
  <c r="AT506" i="6"/>
  <c r="AZ506" i="6"/>
  <c r="AN506" i="6"/>
  <c r="AM506" i="6"/>
  <c r="AW506" i="6"/>
  <c r="AR506" i="6"/>
  <c r="AV506" i="6"/>
  <c r="BA506" i="6"/>
  <c r="AQ506" i="6"/>
  <c r="AX506" i="6"/>
  <c r="AS506" i="6"/>
  <c r="AO192" i="6"/>
  <c r="AL192" i="6"/>
  <c r="AS192" i="6"/>
  <c r="AK192" i="6"/>
  <c r="AT192" i="6"/>
  <c r="AW192" i="6"/>
  <c r="AZ192" i="6"/>
  <c r="AN192" i="6"/>
  <c r="AV192" i="6"/>
  <c r="AR192" i="6"/>
  <c r="AX192" i="6"/>
  <c r="AU192" i="6"/>
  <c r="AQ192" i="6"/>
  <c r="BA192" i="6"/>
  <c r="AY192" i="6"/>
  <c r="AM192" i="6"/>
  <c r="AP192" i="6"/>
  <c r="AZ462" i="6"/>
  <c r="AV462" i="6"/>
  <c r="AK462" i="6"/>
  <c r="AW462" i="6"/>
  <c r="AR462" i="6"/>
  <c r="AM462" i="6"/>
  <c r="AN462" i="6"/>
  <c r="AT462" i="6"/>
  <c r="AL462" i="6"/>
  <c r="BA462" i="6"/>
  <c r="AQ462" i="6"/>
  <c r="AX462" i="6"/>
  <c r="AO462" i="6"/>
  <c r="AS462" i="6"/>
  <c r="AP462" i="6"/>
  <c r="AY462" i="6"/>
  <c r="AU462" i="6"/>
  <c r="AS433" i="6"/>
  <c r="AX433" i="6"/>
  <c r="AY433" i="6"/>
  <c r="AU433" i="6"/>
  <c r="AZ433" i="6"/>
  <c r="AV433" i="6"/>
  <c r="AP433" i="6"/>
  <c r="AW433" i="6"/>
  <c r="AL433" i="6"/>
  <c r="AM433" i="6"/>
  <c r="AK433" i="6"/>
  <c r="BA433" i="6"/>
  <c r="AO433" i="6"/>
  <c r="AQ433" i="6"/>
  <c r="AN433" i="6"/>
  <c r="AR433" i="6"/>
  <c r="AT433" i="6"/>
  <c r="AX477" i="6"/>
  <c r="AS477" i="6"/>
  <c r="AU477" i="6"/>
  <c r="AM477" i="6"/>
  <c r="AT477" i="6"/>
  <c r="AK477" i="6"/>
  <c r="AR477" i="6"/>
  <c r="AP477" i="6"/>
  <c r="Z166" i="8" s="1"/>
  <c r="AY477" i="6"/>
  <c r="AQ477" i="6"/>
  <c r="AL477" i="6"/>
  <c r="AO477" i="6"/>
  <c r="AN477" i="6"/>
  <c r="BA477" i="6"/>
  <c r="AW477" i="6"/>
  <c r="AZ477" i="6"/>
  <c r="AV477" i="6"/>
  <c r="AR135" i="6"/>
  <c r="AO135" i="6"/>
  <c r="AT135" i="6"/>
  <c r="AP135" i="6"/>
  <c r="AX135" i="6"/>
  <c r="AZ135" i="6"/>
  <c r="AU135" i="6"/>
  <c r="AL135" i="6"/>
  <c r="AS135" i="6"/>
  <c r="BA135" i="6"/>
  <c r="AV135" i="6"/>
  <c r="AW135" i="6"/>
  <c r="AQ135" i="6"/>
  <c r="AY135" i="6"/>
  <c r="AN135" i="6"/>
  <c r="AM135" i="6"/>
  <c r="AK135" i="6"/>
  <c r="AL467" i="6"/>
  <c r="AQ467" i="6"/>
  <c r="AX467" i="6"/>
  <c r="AY467" i="6"/>
  <c r="AZ467" i="6"/>
  <c r="AW467" i="6"/>
  <c r="AS467" i="6"/>
  <c r="BA467" i="6"/>
  <c r="AP467" i="6"/>
  <c r="AN467" i="6"/>
  <c r="AO467" i="6"/>
  <c r="AR467" i="6"/>
  <c r="AK467" i="6"/>
  <c r="AM467" i="6"/>
  <c r="AU467" i="6"/>
  <c r="AV467" i="6"/>
  <c r="AT467" i="6"/>
  <c r="BA229" i="6"/>
  <c r="AW229" i="6"/>
  <c r="AQ229" i="6"/>
  <c r="AY229" i="6"/>
  <c r="AZ229" i="6"/>
  <c r="AX229" i="6"/>
  <c r="AK229" i="6"/>
  <c r="AS229" i="6"/>
  <c r="AR229" i="6"/>
  <c r="AO229" i="6"/>
  <c r="AT229" i="6"/>
  <c r="AU229" i="6"/>
  <c r="AP229" i="6"/>
  <c r="AM229" i="6"/>
  <c r="AV229" i="6"/>
  <c r="AN229" i="6"/>
  <c r="AL229" i="6"/>
  <c r="AK501" i="6"/>
  <c r="AW501" i="6"/>
  <c r="AX501" i="6"/>
  <c r="AV501" i="6"/>
  <c r="AQ501" i="6"/>
  <c r="AT501" i="6"/>
  <c r="AR501" i="6"/>
  <c r="BA501" i="6"/>
  <c r="AU501" i="6"/>
  <c r="AL501" i="6"/>
  <c r="AO501" i="6"/>
  <c r="AN501" i="6"/>
  <c r="AM501" i="6"/>
  <c r="AP501" i="6"/>
  <c r="AS501" i="6"/>
  <c r="AY501" i="6"/>
  <c r="AZ501" i="6"/>
  <c r="AU139" i="6"/>
  <c r="AX139" i="6"/>
  <c r="AY139" i="6"/>
  <c r="AK139" i="6"/>
  <c r="AN139" i="6"/>
  <c r="BA139" i="6"/>
  <c r="AP139" i="6"/>
  <c r="AZ139" i="6"/>
  <c r="AS139" i="6"/>
  <c r="AW139" i="6"/>
  <c r="AT139" i="6"/>
  <c r="AL139" i="6"/>
  <c r="AO139" i="6"/>
  <c r="AM139" i="6"/>
  <c r="AQ139" i="6"/>
  <c r="AV139" i="6"/>
  <c r="AR139" i="6"/>
  <c r="AT401" i="6"/>
  <c r="AN401" i="6"/>
  <c r="AV401" i="6"/>
  <c r="AK401" i="6"/>
  <c r="BA401" i="6"/>
  <c r="AL401" i="6"/>
  <c r="AR401" i="6"/>
  <c r="AS401" i="6"/>
  <c r="AO401" i="6"/>
  <c r="AU401" i="6"/>
  <c r="AP401" i="6"/>
  <c r="AM401" i="6"/>
  <c r="AY401" i="6"/>
  <c r="AX401" i="6"/>
  <c r="AZ401" i="6"/>
  <c r="AW401" i="6"/>
  <c r="AQ401" i="6"/>
  <c r="AV21" i="6"/>
  <c r="AM21" i="6"/>
  <c r="AZ21" i="6"/>
  <c r="AU21" i="6"/>
  <c r="AY21" i="6"/>
  <c r="AS21" i="6"/>
  <c r="AQ21" i="6"/>
  <c r="AX21" i="6"/>
  <c r="AT21" i="6"/>
  <c r="AW21" i="6"/>
  <c r="AO21" i="6"/>
  <c r="AL21" i="6"/>
  <c r="AN21" i="6"/>
  <c r="AP21" i="6"/>
  <c r="AK21" i="6"/>
  <c r="AR21" i="6"/>
  <c r="BA21" i="6"/>
  <c r="AP138" i="6"/>
  <c r="AY138" i="6"/>
  <c r="AL138" i="6"/>
  <c r="AM138" i="6"/>
  <c r="AV138" i="6"/>
  <c r="AK138" i="6"/>
  <c r="AW138" i="6"/>
  <c r="AN138" i="6"/>
  <c r="AO138" i="6"/>
  <c r="AX138" i="6"/>
  <c r="AQ138" i="6"/>
  <c r="AU138" i="6"/>
  <c r="AS138" i="6"/>
  <c r="AT138" i="6"/>
  <c r="AR138" i="6"/>
  <c r="BA138" i="6"/>
  <c r="AZ138" i="6"/>
  <c r="AV127" i="6"/>
  <c r="AQ127" i="6"/>
  <c r="AM127" i="6"/>
  <c r="AO127" i="6"/>
  <c r="AR127" i="6"/>
  <c r="AU127" i="6"/>
  <c r="AY127" i="6"/>
  <c r="AS127" i="6"/>
  <c r="AN127" i="6"/>
  <c r="AT127" i="6"/>
  <c r="BA127" i="6"/>
  <c r="AW127" i="6"/>
  <c r="AZ127" i="6"/>
  <c r="AP127" i="6"/>
  <c r="AX127" i="6"/>
  <c r="AL127" i="6"/>
  <c r="AK127" i="6"/>
  <c r="AY228" i="6"/>
  <c r="AU228" i="6"/>
  <c r="AM228" i="6"/>
  <c r="AS228" i="6"/>
  <c r="AT228" i="6"/>
  <c r="AV228" i="6"/>
  <c r="AL228" i="6"/>
  <c r="AR228" i="6"/>
  <c r="AQ228" i="6"/>
  <c r="AX228" i="6"/>
  <c r="BA228" i="6"/>
  <c r="AP228" i="6"/>
  <c r="AK228" i="6"/>
  <c r="AZ228" i="6"/>
  <c r="AO228" i="6"/>
  <c r="AW228" i="6"/>
  <c r="AN228" i="6"/>
  <c r="AO718" i="6"/>
  <c r="AY718" i="6"/>
  <c r="AW718" i="6"/>
  <c r="AS718" i="6"/>
  <c r="AM718" i="6"/>
  <c r="AP718" i="6"/>
  <c r="AZ718" i="6"/>
  <c r="AK718" i="6"/>
  <c r="AU718" i="6"/>
  <c r="BA718" i="6"/>
  <c r="AL718" i="6"/>
  <c r="AX718" i="6"/>
  <c r="AV718" i="6"/>
  <c r="AR718" i="6"/>
  <c r="AT718" i="6"/>
  <c r="AN718" i="6"/>
  <c r="AQ718" i="6"/>
  <c r="AP162" i="6"/>
  <c r="AW162" i="6"/>
  <c r="AQ162" i="6"/>
  <c r="AV162" i="6"/>
  <c r="AY162" i="6"/>
  <c r="AT162" i="6"/>
  <c r="AN162" i="6"/>
  <c r="AX162" i="6"/>
  <c r="AK162" i="6"/>
  <c r="AZ162" i="6"/>
  <c r="AO162" i="6"/>
  <c r="AU162" i="6"/>
  <c r="AR162" i="6"/>
  <c r="BA162" i="6"/>
  <c r="AL162" i="6"/>
  <c r="AS162" i="6"/>
  <c r="AM162" i="6"/>
  <c r="AN670" i="6"/>
  <c r="AL670" i="6"/>
  <c r="AQ670" i="6"/>
  <c r="AR670" i="6"/>
  <c r="AO670" i="6"/>
  <c r="AX670" i="6"/>
  <c r="AU670" i="6"/>
  <c r="AV670" i="6"/>
  <c r="AW670" i="6"/>
  <c r="BA670" i="6"/>
  <c r="AS670" i="6"/>
  <c r="AM670" i="6"/>
  <c r="AT670" i="6"/>
  <c r="AZ670" i="6"/>
  <c r="AK670" i="6"/>
  <c r="AY670" i="6"/>
  <c r="AP670" i="6"/>
  <c r="AW161" i="6"/>
  <c r="AX161" i="6"/>
  <c r="AU161" i="6"/>
  <c r="AO161" i="6"/>
  <c r="AV161" i="6"/>
  <c r="AQ161" i="6"/>
  <c r="AK161" i="6"/>
  <c r="AY161" i="6"/>
  <c r="BA161" i="6"/>
  <c r="AM161" i="6"/>
  <c r="AR161" i="6"/>
  <c r="AT161" i="6"/>
  <c r="AL161" i="6"/>
  <c r="AN161" i="6"/>
  <c r="AP161" i="6"/>
  <c r="AZ161" i="6"/>
  <c r="AS161" i="6"/>
  <c r="AX597" i="6"/>
  <c r="AV597" i="6"/>
  <c r="AO597" i="6"/>
  <c r="AK597" i="6"/>
  <c r="AM597" i="6"/>
  <c r="AY597" i="6"/>
  <c r="BA597" i="6"/>
  <c r="AS597" i="6"/>
  <c r="AQ597" i="6"/>
  <c r="AW597" i="6"/>
  <c r="AU597" i="6"/>
  <c r="AL597" i="6"/>
  <c r="AP597" i="6"/>
  <c r="AT597" i="6"/>
  <c r="AR597" i="6"/>
  <c r="AZ597" i="6"/>
  <c r="AN597" i="6"/>
  <c r="AN620" i="6"/>
  <c r="AT620" i="6"/>
  <c r="AP620" i="6"/>
  <c r="AW620" i="6"/>
  <c r="AQ620" i="6"/>
  <c r="AL620" i="6"/>
  <c r="AX620" i="6"/>
  <c r="AS620" i="6"/>
  <c r="AY620" i="6"/>
  <c r="BA620" i="6"/>
  <c r="AM620" i="6"/>
  <c r="AO620" i="6"/>
  <c r="AU620" i="6"/>
  <c r="AK620" i="6"/>
  <c r="AR620" i="6"/>
  <c r="AV620" i="6"/>
  <c r="AZ620" i="6"/>
  <c r="AX141" i="6"/>
  <c r="AR141" i="6"/>
  <c r="AK141" i="6"/>
  <c r="AV141" i="6"/>
  <c r="AT141" i="6"/>
  <c r="AW141" i="6"/>
  <c r="BA141" i="6"/>
  <c r="AP141" i="6"/>
  <c r="AL141" i="6"/>
  <c r="AZ141" i="6"/>
  <c r="AQ141" i="6"/>
  <c r="AO141" i="6"/>
  <c r="AS141" i="6"/>
  <c r="AN141" i="6"/>
  <c r="AU141" i="6"/>
  <c r="AM141" i="6"/>
  <c r="AY141" i="6"/>
  <c r="AV385" i="6"/>
  <c r="AR385" i="6"/>
  <c r="AW385" i="6"/>
  <c r="AY385" i="6"/>
  <c r="AM385" i="6"/>
  <c r="AL385" i="6"/>
  <c r="AQ385" i="6"/>
  <c r="AU385" i="6"/>
  <c r="AP385" i="6"/>
  <c r="AO385" i="6"/>
  <c r="AS385" i="6"/>
  <c r="AX385" i="6"/>
  <c r="BA385" i="6"/>
  <c r="AK385" i="6"/>
  <c r="AN385" i="6"/>
  <c r="AT385" i="6"/>
  <c r="AZ385" i="6"/>
  <c r="AU224" i="6"/>
  <c r="AX224" i="6"/>
  <c r="AR224" i="6"/>
  <c r="AW224" i="6"/>
  <c r="AT224" i="6"/>
  <c r="AY224" i="6"/>
  <c r="AP224" i="6"/>
  <c r="AV224" i="6"/>
  <c r="AK224" i="6"/>
  <c r="AM224" i="6"/>
  <c r="AN224" i="6"/>
  <c r="AS224" i="6"/>
  <c r="AO224" i="6"/>
  <c r="BA224" i="6"/>
  <c r="AQ224" i="6"/>
  <c r="AL224" i="6"/>
  <c r="AZ224" i="6"/>
  <c r="AY633" i="6"/>
  <c r="AZ633" i="6"/>
  <c r="AR633" i="6"/>
  <c r="AP633" i="6"/>
  <c r="AT633" i="6"/>
  <c r="AM633" i="6"/>
  <c r="AK633" i="6"/>
  <c r="AL633" i="6"/>
  <c r="AV633" i="6"/>
  <c r="BA633" i="6"/>
  <c r="AS633" i="6"/>
  <c r="AQ633" i="6"/>
  <c r="AX633" i="6"/>
  <c r="AN633" i="6"/>
  <c r="AU633" i="6"/>
  <c r="AW633" i="6"/>
  <c r="AO633" i="6"/>
  <c r="AS716" i="6"/>
  <c r="AY716" i="6"/>
  <c r="AK716" i="6"/>
  <c r="AO716" i="6"/>
  <c r="AV716" i="6"/>
  <c r="AL716" i="6"/>
  <c r="AT716" i="6"/>
  <c r="AQ716" i="6"/>
  <c r="AW716" i="6"/>
  <c r="BA716" i="6"/>
  <c r="AM716" i="6"/>
  <c r="AN716" i="6"/>
  <c r="AX716" i="6"/>
  <c r="AP716" i="6"/>
  <c r="AZ716" i="6"/>
  <c r="AU716" i="6"/>
  <c r="AR716" i="6"/>
  <c r="AN669" i="6"/>
  <c r="AO669" i="6"/>
  <c r="AT669" i="6"/>
  <c r="AX669" i="6"/>
  <c r="AL669" i="6"/>
  <c r="AY669" i="6"/>
  <c r="AK669" i="6"/>
  <c r="AV669" i="6"/>
  <c r="AP669" i="6"/>
  <c r="AZ669" i="6"/>
  <c r="AM669" i="6"/>
  <c r="AR669" i="6"/>
  <c r="BA669" i="6"/>
  <c r="AU669" i="6"/>
  <c r="AQ669" i="6"/>
  <c r="AS669" i="6"/>
  <c r="AW669" i="6"/>
  <c r="AY149" i="6"/>
  <c r="AO149" i="6"/>
  <c r="AU149" i="6"/>
  <c r="AV149" i="6"/>
  <c r="AP149" i="6"/>
  <c r="AZ149" i="6"/>
  <c r="AS149" i="6"/>
  <c r="AT149" i="6"/>
  <c r="AW149" i="6"/>
  <c r="AR149" i="6"/>
  <c r="AN149" i="6"/>
  <c r="AQ149" i="6"/>
  <c r="AX149" i="6"/>
  <c r="AK149" i="6"/>
  <c r="AL149" i="6"/>
  <c r="AM149" i="6"/>
  <c r="BA149" i="6"/>
  <c r="AY158" i="6"/>
  <c r="AQ158" i="6"/>
  <c r="AO158" i="6"/>
  <c r="AZ158" i="6"/>
  <c r="AX158" i="6"/>
  <c r="AV158" i="6"/>
  <c r="AS158" i="6"/>
  <c r="AL158" i="6"/>
  <c r="AW158" i="6"/>
  <c r="AT158" i="6"/>
  <c r="AP158" i="6"/>
  <c r="AR158" i="6"/>
  <c r="AU158" i="6"/>
  <c r="AK158" i="6"/>
  <c r="BA158" i="6"/>
  <c r="AM158" i="6"/>
  <c r="AN158" i="6"/>
  <c r="AW117" i="6"/>
  <c r="AS117" i="6"/>
  <c r="AO117" i="6"/>
  <c r="AZ117" i="6"/>
  <c r="BA117" i="6"/>
  <c r="AM117" i="6"/>
  <c r="AQ117" i="6"/>
  <c r="AK117" i="6"/>
  <c r="AY117" i="6"/>
  <c r="AP117" i="6"/>
  <c r="AV117" i="6"/>
  <c r="AR117" i="6"/>
  <c r="AL117" i="6"/>
  <c r="AT117" i="6"/>
  <c r="AN117" i="6"/>
  <c r="AX117" i="6"/>
  <c r="AU117" i="6"/>
  <c r="AO27" i="6"/>
  <c r="AY27" i="6"/>
  <c r="AZ27" i="6"/>
  <c r="AV27" i="6"/>
  <c r="AW27" i="6"/>
  <c r="AQ27" i="6"/>
  <c r="AK27" i="6"/>
  <c r="BA27" i="6"/>
  <c r="AN27" i="6"/>
  <c r="AL27" i="6"/>
  <c r="AP27" i="6"/>
  <c r="AX27" i="6"/>
  <c r="AS27" i="6"/>
  <c r="AT27" i="6"/>
  <c r="AM27" i="6"/>
  <c r="AR27" i="6"/>
  <c r="AU27" i="6"/>
  <c r="AM133" i="6"/>
  <c r="AW133" i="6"/>
  <c r="AN133" i="6"/>
  <c r="AT133" i="6"/>
  <c r="AO133" i="6"/>
  <c r="AZ133" i="6"/>
  <c r="AL133" i="6"/>
  <c r="AP133" i="6"/>
  <c r="AS133" i="6"/>
  <c r="AV133" i="6"/>
  <c r="AQ133" i="6"/>
  <c r="AX133" i="6"/>
  <c r="AY133" i="6"/>
  <c r="AR133" i="6"/>
  <c r="AU133" i="6"/>
  <c r="BA133" i="6"/>
  <c r="AK133" i="6"/>
  <c r="AP244" i="6"/>
  <c r="AY244" i="6"/>
  <c r="AW244" i="6"/>
  <c r="BA244" i="6"/>
  <c r="AV244" i="6"/>
  <c r="AU244" i="6"/>
  <c r="AO244" i="6"/>
  <c r="AM244" i="6"/>
  <c r="AQ244" i="6"/>
  <c r="AZ244" i="6"/>
  <c r="AL244" i="6"/>
  <c r="AR244" i="6"/>
  <c r="AN244" i="6"/>
  <c r="AT244" i="6"/>
  <c r="AS244" i="6"/>
  <c r="AK244" i="6"/>
  <c r="AX244" i="6"/>
  <c r="AY259" i="6"/>
  <c r="AP259" i="6"/>
  <c r="AL259" i="6"/>
  <c r="AT259" i="6"/>
  <c r="AZ259" i="6"/>
  <c r="AN259" i="6"/>
  <c r="AU259" i="6"/>
  <c r="AM259" i="6"/>
  <c r="AW259" i="6"/>
  <c r="AX259" i="6"/>
  <c r="AK259" i="6"/>
  <c r="AS259" i="6"/>
  <c r="AR259" i="6"/>
  <c r="BA259" i="6"/>
  <c r="AO259" i="6"/>
  <c r="AV259" i="6"/>
  <c r="AQ259" i="6"/>
  <c r="AY370" i="6"/>
  <c r="AQ370" i="6"/>
  <c r="AR370" i="6"/>
  <c r="BA370" i="6"/>
  <c r="AN370" i="6"/>
  <c r="AW370" i="6"/>
  <c r="AP370" i="6"/>
  <c r="AV370" i="6"/>
  <c r="AZ370" i="6"/>
  <c r="AS370" i="6"/>
  <c r="AM370" i="6"/>
  <c r="AK370" i="6"/>
  <c r="AX370" i="6"/>
  <c r="AO370" i="6"/>
  <c r="AT370" i="6"/>
  <c r="AU370" i="6"/>
  <c r="AL370" i="6"/>
  <c r="BA487" i="6"/>
  <c r="AU487" i="6"/>
  <c r="AT487" i="6"/>
  <c r="AK487" i="6"/>
  <c r="AM487" i="6"/>
  <c r="AQ487" i="6"/>
  <c r="AX487" i="6"/>
  <c r="AZ487" i="6"/>
  <c r="AY487" i="6"/>
  <c r="AS487" i="6"/>
  <c r="AR487" i="6"/>
  <c r="AP487" i="6"/>
  <c r="AN487" i="6"/>
  <c r="AV487" i="6"/>
  <c r="AW487" i="6"/>
  <c r="AO487" i="6"/>
  <c r="AL487" i="6"/>
  <c r="AY296" i="6"/>
  <c r="AL296" i="6"/>
  <c r="AM296" i="6"/>
  <c r="AX296" i="6"/>
  <c r="AR296" i="6"/>
  <c r="AP296" i="6"/>
  <c r="AW296" i="6"/>
  <c r="AT296" i="6"/>
  <c r="AS296" i="6"/>
  <c r="AZ296" i="6"/>
  <c r="AV296" i="6"/>
  <c r="AK296" i="6"/>
  <c r="AN296" i="6"/>
  <c r="AO296" i="6"/>
  <c r="BA296" i="6"/>
  <c r="AU296" i="6"/>
  <c r="AQ296" i="6"/>
  <c r="AR677" i="6"/>
  <c r="AY677" i="6"/>
  <c r="AL677" i="6"/>
  <c r="AQ677" i="6"/>
  <c r="AU677" i="6"/>
  <c r="AK677" i="6"/>
  <c r="AT677" i="6"/>
  <c r="AV677" i="6"/>
  <c r="BA677" i="6"/>
  <c r="AW677" i="6"/>
  <c r="AZ677" i="6"/>
  <c r="AN677" i="6"/>
  <c r="AO677" i="6"/>
  <c r="AP677" i="6"/>
  <c r="AS677" i="6"/>
  <c r="AM677" i="6"/>
  <c r="AX677" i="6"/>
  <c r="AY651" i="6"/>
  <c r="AP651" i="6"/>
  <c r="AN651" i="6"/>
  <c r="BA651" i="6"/>
  <c r="AR651" i="6"/>
  <c r="AU651" i="6"/>
  <c r="AQ651" i="6"/>
  <c r="AW651" i="6"/>
  <c r="AV651" i="6"/>
  <c r="AM651" i="6"/>
  <c r="AK651" i="6"/>
  <c r="AS651" i="6"/>
  <c r="AZ651" i="6"/>
  <c r="AX651" i="6"/>
  <c r="AT651" i="6"/>
  <c r="AL651" i="6"/>
  <c r="AO651" i="6"/>
  <c r="AY187" i="6"/>
  <c r="AR187" i="6"/>
  <c r="AX187" i="6"/>
  <c r="BA187" i="6"/>
  <c r="AT187" i="6"/>
  <c r="AS187" i="6"/>
  <c r="AK187" i="6"/>
  <c r="AZ187" i="6"/>
  <c r="AL187" i="6"/>
  <c r="AV187" i="6"/>
  <c r="AO187" i="6"/>
  <c r="AN187" i="6"/>
  <c r="AM187" i="6"/>
  <c r="AW187" i="6"/>
  <c r="AU187" i="6"/>
  <c r="AQ187" i="6"/>
  <c r="AP187" i="6"/>
  <c r="AS405" i="6"/>
  <c r="AW405" i="6"/>
  <c r="AL405" i="6"/>
  <c r="AP405" i="6"/>
  <c r="AN405" i="6"/>
  <c r="AO405" i="6"/>
  <c r="AX405" i="6"/>
  <c r="AR405" i="6"/>
  <c r="AQ405" i="6"/>
  <c r="BA405" i="6"/>
  <c r="AY405" i="6"/>
  <c r="AT405" i="6"/>
  <c r="AM405" i="6"/>
  <c r="AK405" i="6"/>
  <c r="AU405" i="6"/>
  <c r="AV405" i="6"/>
  <c r="AZ405" i="6"/>
  <c r="AK494" i="6"/>
  <c r="AN494" i="6"/>
  <c r="AP494" i="6"/>
  <c r="AZ494" i="6"/>
  <c r="AM494" i="6"/>
  <c r="AO494" i="6"/>
  <c r="AQ494" i="6"/>
  <c r="AL494" i="6"/>
  <c r="BA494" i="6"/>
  <c r="AT494" i="6"/>
  <c r="AV494" i="6"/>
  <c r="AR494" i="6"/>
  <c r="AX494" i="6"/>
  <c r="AY494" i="6"/>
  <c r="AS494" i="6"/>
  <c r="AW494" i="6"/>
  <c r="AU494" i="6"/>
  <c r="AQ565" i="6"/>
  <c r="BA565" i="6"/>
  <c r="AN565" i="6"/>
  <c r="AS565" i="6"/>
  <c r="AY565" i="6"/>
  <c r="AT565" i="6"/>
  <c r="AU565" i="6"/>
  <c r="AV565" i="6"/>
  <c r="AP565" i="6"/>
  <c r="AM565" i="6"/>
  <c r="AR565" i="6"/>
  <c r="AL565" i="6"/>
  <c r="AO565" i="6"/>
  <c r="AK565" i="6"/>
  <c r="AX565" i="6"/>
  <c r="AZ565" i="6"/>
  <c r="AW565" i="6"/>
  <c r="AU218" i="6"/>
  <c r="AX218" i="6"/>
  <c r="AQ218" i="6"/>
  <c r="AV218" i="6"/>
  <c r="AP218" i="6"/>
  <c r="AY218" i="6"/>
  <c r="AO218" i="6"/>
  <c r="AL218" i="6"/>
  <c r="AR218" i="6"/>
  <c r="AK218" i="6"/>
  <c r="AM218" i="6"/>
  <c r="AS218" i="6"/>
  <c r="AT218" i="6"/>
  <c r="AN218" i="6"/>
  <c r="AW218" i="6"/>
  <c r="BA218" i="6"/>
  <c r="AZ218" i="6"/>
  <c r="AX143" i="6"/>
  <c r="BA143" i="6"/>
  <c r="AR143" i="6"/>
  <c r="AM143" i="6"/>
  <c r="AN143" i="6"/>
  <c r="AU143" i="6"/>
  <c r="AQ143" i="6"/>
  <c r="AT143" i="6"/>
  <c r="AZ143" i="6"/>
  <c r="AV143" i="6"/>
  <c r="AS143" i="6"/>
  <c r="AK143" i="6"/>
  <c r="AP143" i="6"/>
  <c r="AY143" i="6"/>
  <c r="AL143" i="6"/>
  <c r="AO143" i="6"/>
  <c r="AW143" i="6"/>
  <c r="BA454" i="6"/>
  <c r="AR454" i="6"/>
  <c r="AM454" i="6"/>
  <c r="AP454" i="6"/>
  <c r="AW454" i="6"/>
  <c r="AT454" i="6"/>
  <c r="AV454" i="6"/>
  <c r="AO454" i="6"/>
  <c r="AS454" i="6"/>
  <c r="AL454" i="6"/>
  <c r="AK454" i="6"/>
  <c r="AZ454" i="6"/>
  <c r="AX454" i="6"/>
  <c r="AQ454" i="6"/>
  <c r="AY454" i="6"/>
  <c r="AN454" i="6"/>
  <c r="AU454" i="6"/>
  <c r="AM569" i="6"/>
  <c r="AL569" i="6"/>
  <c r="AO569" i="6"/>
  <c r="AR569" i="6"/>
  <c r="AZ569" i="6"/>
  <c r="AS569" i="6"/>
  <c r="AQ569" i="6"/>
  <c r="AX569" i="6"/>
  <c r="AT569" i="6"/>
  <c r="AY569" i="6"/>
  <c r="AV569" i="6"/>
  <c r="AK569" i="6"/>
  <c r="BA569" i="6"/>
  <c r="AN569" i="6"/>
  <c r="AW569" i="6"/>
  <c r="AU569" i="6"/>
  <c r="AP569" i="6"/>
  <c r="AK129" i="6"/>
  <c r="AV129" i="6"/>
  <c r="AR129" i="6"/>
  <c r="AT129" i="6"/>
  <c r="AW129" i="6"/>
  <c r="AM129" i="6"/>
  <c r="AU129" i="6"/>
  <c r="AQ129" i="6"/>
  <c r="AZ129" i="6"/>
  <c r="AN129" i="6"/>
  <c r="BA129" i="6"/>
  <c r="AS129" i="6"/>
  <c r="AY129" i="6"/>
  <c r="AO129" i="6"/>
  <c r="AL129" i="6"/>
  <c r="AP129" i="6"/>
  <c r="AX129" i="6"/>
  <c r="BA107" i="6"/>
  <c r="AP107" i="6"/>
  <c r="AZ107" i="6"/>
  <c r="AX107" i="6"/>
  <c r="AU107" i="6"/>
  <c r="AT107" i="6"/>
  <c r="AY107" i="6"/>
  <c r="AS107" i="6"/>
  <c r="AM107" i="6"/>
  <c r="AK107" i="6"/>
  <c r="U64" i="8" s="1"/>
  <c r="AR107" i="6"/>
  <c r="AN107" i="6"/>
  <c r="AV107" i="6"/>
  <c r="AW107" i="6"/>
  <c r="AO107" i="6"/>
  <c r="AQ107" i="6"/>
  <c r="AL107" i="6"/>
  <c r="V64" i="8" s="1"/>
  <c r="BA441" i="6"/>
  <c r="AU441" i="6"/>
  <c r="AQ441" i="6"/>
  <c r="AS441" i="6"/>
  <c r="AX441" i="6"/>
  <c r="AO441" i="6"/>
  <c r="AY441" i="6"/>
  <c r="AN441" i="6"/>
  <c r="AZ441" i="6"/>
  <c r="AT441" i="6"/>
  <c r="AK441" i="6"/>
  <c r="AW441" i="6"/>
  <c r="AL441" i="6"/>
  <c r="AV441" i="6"/>
  <c r="AM441" i="6"/>
  <c r="AP441" i="6"/>
  <c r="AR441" i="6"/>
  <c r="AX438" i="6"/>
  <c r="AN438" i="6"/>
  <c r="AZ438" i="6"/>
  <c r="BA438" i="6"/>
  <c r="AM438" i="6"/>
  <c r="AU438" i="6"/>
  <c r="AL438" i="6"/>
  <c r="AT438" i="6"/>
  <c r="AW438" i="6"/>
  <c r="AS438" i="6"/>
  <c r="AY438" i="6"/>
  <c r="AQ438" i="6"/>
  <c r="AK438" i="6"/>
  <c r="AO438" i="6"/>
  <c r="AR438" i="6"/>
  <c r="AP438" i="6"/>
  <c r="AV438" i="6"/>
  <c r="AQ186" i="6"/>
  <c r="AU186" i="6"/>
  <c r="AS186" i="6"/>
  <c r="AK186" i="6"/>
  <c r="AW186" i="6"/>
  <c r="AN186" i="6"/>
  <c r="AV186" i="6"/>
  <c r="AR186" i="6"/>
  <c r="AP186" i="6"/>
  <c r="AZ186" i="6"/>
  <c r="AO186" i="6"/>
  <c r="AX186" i="6"/>
  <c r="AL186" i="6"/>
  <c r="BA186" i="6"/>
  <c r="AT186" i="6"/>
  <c r="AM186" i="6"/>
  <c r="AY186" i="6"/>
  <c r="AL116" i="6"/>
  <c r="AZ116" i="6"/>
  <c r="AP116" i="6"/>
  <c r="AO116" i="6"/>
  <c r="AT116" i="6"/>
  <c r="AV116" i="6"/>
  <c r="AW116" i="6"/>
  <c r="AX116" i="6"/>
  <c r="AK116" i="6"/>
  <c r="AM116" i="6"/>
  <c r="AQ116" i="6"/>
  <c r="AU116" i="6"/>
  <c r="AY116" i="6"/>
  <c r="BA116" i="6"/>
  <c r="AR116" i="6"/>
  <c r="AS116" i="6"/>
  <c r="AN116" i="6"/>
  <c r="AX432" i="6"/>
  <c r="AQ432" i="6"/>
  <c r="BA432" i="6"/>
  <c r="AP432" i="6"/>
  <c r="AM432" i="6"/>
  <c r="AO432" i="6"/>
  <c r="AZ432" i="6"/>
  <c r="AL432" i="6"/>
  <c r="AW432" i="6"/>
  <c r="AU432" i="6"/>
  <c r="AR432" i="6"/>
  <c r="AN432" i="6"/>
  <c r="AK432" i="6"/>
  <c r="AT432" i="6"/>
  <c r="AY432" i="6"/>
  <c r="AS432" i="6"/>
  <c r="AV432" i="6"/>
  <c r="AR178" i="6"/>
  <c r="AV178" i="6"/>
  <c r="AQ178" i="6"/>
  <c r="AN178" i="6"/>
  <c r="AY178" i="6"/>
  <c r="AL178" i="6"/>
  <c r="AX178" i="6"/>
  <c r="AU178" i="6"/>
  <c r="AT178" i="6"/>
  <c r="AM178" i="6"/>
  <c r="AK178" i="6"/>
  <c r="BA178" i="6"/>
  <c r="AO178" i="6"/>
  <c r="AW178" i="6"/>
  <c r="AS178" i="6"/>
  <c r="AP178" i="6"/>
  <c r="AZ178" i="6"/>
  <c r="AT465" i="6"/>
  <c r="AZ465" i="6"/>
  <c r="BA465" i="6"/>
  <c r="AM465" i="6"/>
  <c r="AO465" i="6"/>
  <c r="AS465" i="6"/>
  <c r="AL465" i="6"/>
  <c r="AK465" i="6"/>
  <c r="AU465" i="6"/>
  <c r="AR465" i="6"/>
  <c r="AW465" i="6"/>
  <c r="AP465" i="6"/>
  <c r="AY465" i="6"/>
  <c r="AN465" i="6"/>
  <c r="AQ465" i="6"/>
  <c r="AV465" i="6"/>
  <c r="AX465" i="6"/>
  <c r="AP386" i="6"/>
  <c r="AZ386" i="6"/>
  <c r="AU386" i="6"/>
  <c r="AT386" i="6"/>
  <c r="AR386" i="6"/>
  <c r="AO386" i="6"/>
  <c r="AM386" i="6"/>
  <c r="AW386" i="6"/>
  <c r="AK386" i="6"/>
  <c r="BA386" i="6"/>
  <c r="AY386" i="6"/>
  <c r="AN386" i="6"/>
  <c r="AV386" i="6"/>
  <c r="AQ386" i="6"/>
  <c r="AL386" i="6"/>
  <c r="AX386" i="6"/>
  <c r="AS386" i="6"/>
  <c r="AL204" i="6"/>
  <c r="AT204" i="6"/>
  <c r="AO204" i="6"/>
  <c r="AX204" i="6"/>
  <c r="BA204" i="6"/>
  <c r="AU204" i="6"/>
  <c r="AR204" i="6"/>
  <c r="AZ204" i="6"/>
  <c r="AY204" i="6"/>
  <c r="AV204" i="6"/>
  <c r="AN204" i="6"/>
  <c r="AQ204" i="6"/>
  <c r="AM204" i="6"/>
  <c r="AS204" i="6"/>
  <c r="AW204" i="6"/>
  <c r="AK204" i="6"/>
  <c r="AP204" i="6"/>
  <c r="BA145" i="6"/>
  <c r="AU145" i="6"/>
  <c r="AY145" i="6"/>
  <c r="AQ145" i="6"/>
  <c r="AL145" i="6"/>
  <c r="AR145" i="6"/>
  <c r="AK145" i="6"/>
  <c r="AN145" i="6"/>
  <c r="AS145" i="6"/>
  <c r="AO145" i="6"/>
  <c r="AX145" i="6"/>
  <c r="AT145" i="6"/>
  <c r="AV145" i="6"/>
  <c r="AM145" i="6"/>
  <c r="AW145" i="6"/>
  <c r="AZ145" i="6"/>
  <c r="AP145" i="6"/>
  <c r="AK481" i="6"/>
  <c r="AT481" i="6"/>
  <c r="AU481" i="6"/>
  <c r="AN481" i="6"/>
  <c r="AY481" i="6"/>
  <c r="BA481" i="6"/>
  <c r="AL481" i="6"/>
  <c r="AX481" i="6"/>
  <c r="AP481" i="6"/>
  <c r="AQ481" i="6"/>
  <c r="AO481" i="6"/>
  <c r="AZ481" i="6"/>
  <c r="AR481" i="6"/>
  <c r="AV481" i="6"/>
  <c r="AM481" i="6"/>
  <c r="AS481" i="6"/>
  <c r="AW481" i="6"/>
  <c r="AN649" i="6"/>
  <c r="AQ649" i="6"/>
  <c r="AS649" i="6"/>
  <c r="AR649" i="6"/>
  <c r="AL649" i="6"/>
  <c r="AP649" i="6"/>
  <c r="AY649" i="6"/>
  <c r="AV649" i="6"/>
  <c r="AM649" i="6"/>
  <c r="AO649" i="6"/>
  <c r="AU649" i="6"/>
  <c r="AX649" i="6"/>
  <c r="AK649" i="6"/>
  <c r="BA649" i="6"/>
  <c r="AW649" i="6"/>
  <c r="AT649" i="6"/>
  <c r="AZ649" i="6"/>
  <c r="BA469" i="6"/>
  <c r="AW469" i="6"/>
  <c r="AQ469" i="6"/>
  <c r="AS469" i="6"/>
  <c r="AV469" i="6"/>
  <c r="AK469" i="6"/>
  <c r="AT469" i="6"/>
  <c r="AZ469" i="6"/>
  <c r="AN469" i="6"/>
  <c r="AL469" i="6"/>
  <c r="AR469" i="6"/>
  <c r="AU469" i="6"/>
  <c r="AO469" i="6"/>
  <c r="AP469" i="6"/>
  <c r="AX469" i="6"/>
  <c r="AY469" i="6"/>
  <c r="AM469" i="6"/>
  <c r="AL77" i="6"/>
  <c r="AS77" i="6"/>
  <c r="AY77" i="6"/>
  <c r="AP77" i="6"/>
  <c r="AU77" i="6"/>
  <c r="AM77" i="6"/>
  <c r="AT77" i="6"/>
  <c r="AW77" i="6"/>
  <c r="AQ77" i="6"/>
  <c r="AZ77" i="6"/>
  <c r="AK77" i="6"/>
  <c r="AO77" i="6"/>
  <c r="BA77" i="6"/>
  <c r="AV77" i="6"/>
  <c r="AN77" i="6"/>
  <c r="AX77" i="6"/>
  <c r="AR77" i="6"/>
  <c r="AW389" i="6"/>
  <c r="AM389" i="6"/>
  <c r="AO389" i="6"/>
  <c r="AU389" i="6"/>
  <c r="AS389" i="6"/>
  <c r="AX389" i="6"/>
  <c r="AZ389" i="6"/>
  <c r="AK389" i="6"/>
  <c r="AR389" i="6"/>
  <c r="AL389" i="6"/>
  <c r="AV389" i="6"/>
  <c r="AT389" i="6"/>
  <c r="AP389" i="6"/>
  <c r="AN389" i="6"/>
  <c r="AQ389" i="6"/>
  <c r="AY389" i="6"/>
  <c r="BA389" i="6"/>
  <c r="AW220" i="6"/>
  <c r="AY220" i="6"/>
  <c r="AM220" i="6"/>
  <c r="AQ220" i="6"/>
  <c r="AN220" i="6"/>
  <c r="AZ220" i="6"/>
  <c r="AP220" i="6"/>
  <c r="BA220" i="6"/>
  <c r="AR220" i="6"/>
  <c r="AL220" i="6"/>
  <c r="AX220" i="6"/>
  <c r="AT220" i="6"/>
  <c r="AU220" i="6"/>
  <c r="AS220" i="6"/>
  <c r="AV220" i="6"/>
  <c r="AO220" i="6"/>
  <c r="AK220" i="6"/>
  <c r="AX193" i="6"/>
  <c r="AU193" i="6"/>
  <c r="AO193" i="6"/>
  <c r="AT193" i="6"/>
  <c r="AP193" i="6"/>
  <c r="BA193" i="6"/>
  <c r="AV193" i="6"/>
  <c r="AN193" i="6"/>
  <c r="AS193" i="6"/>
  <c r="AM193" i="6"/>
  <c r="AY193" i="6"/>
  <c r="AQ193" i="6"/>
  <c r="AL193" i="6"/>
  <c r="AR193" i="6"/>
  <c r="AZ193" i="6"/>
  <c r="AK193" i="6"/>
  <c r="AW193" i="6"/>
  <c r="AZ578" i="6"/>
  <c r="BA578" i="6"/>
  <c r="AP578" i="6"/>
  <c r="AW578" i="6"/>
  <c r="AS578" i="6"/>
  <c r="AQ578" i="6"/>
  <c r="AV578" i="6"/>
  <c r="AK578" i="6"/>
  <c r="AR578" i="6"/>
  <c r="AO578" i="6"/>
  <c r="AY578" i="6"/>
  <c r="AT578" i="6"/>
  <c r="AN578" i="6"/>
  <c r="AL578" i="6"/>
  <c r="AU578" i="6"/>
  <c r="AM578" i="6"/>
  <c r="AX578" i="6"/>
  <c r="AV675" i="6"/>
  <c r="AR675" i="6"/>
  <c r="AU675" i="6"/>
  <c r="AY675" i="6"/>
  <c r="AX675" i="6"/>
  <c r="AL675" i="6"/>
  <c r="BA675" i="6"/>
  <c r="AK675" i="6"/>
  <c r="AP675" i="6"/>
  <c r="AZ675" i="6"/>
  <c r="AQ675" i="6"/>
  <c r="AO675" i="6"/>
  <c r="AM675" i="6"/>
  <c r="AT675" i="6"/>
  <c r="AW675" i="6"/>
  <c r="AS675" i="6"/>
  <c r="AN675" i="6"/>
  <c r="AK711" i="6"/>
  <c r="AT711" i="6"/>
  <c r="AZ711" i="6"/>
  <c r="AL711" i="6"/>
  <c r="AP711" i="6"/>
  <c r="AR711" i="6"/>
  <c r="AQ711" i="6"/>
  <c r="AN711" i="6"/>
  <c r="BA711" i="6"/>
  <c r="AS711" i="6"/>
  <c r="AM711" i="6"/>
  <c r="AV711" i="6"/>
  <c r="AY711" i="6"/>
  <c r="AO711" i="6"/>
  <c r="AX711" i="6"/>
  <c r="AW711" i="6"/>
  <c r="AU711" i="6"/>
  <c r="AO598" i="6"/>
  <c r="AN598" i="6"/>
  <c r="AT598" i="6"/>
  <c r="AV598" i="6"/>
  <c r="AL598" i="6"/>
  <c r="AW598" i="6"/>
  <c r="AU598" i="6"/>
  <c r="AS598" i="6"/>
  <c r="AQ598" i="6"/>
  <c r="AM598" i="6"/>
  <c r="AX598" i="6"/>
  <c r="AR598" i="6"/>
  <c r="AK598" i="6"/>
  <c r="AY598" i="6"/>
  <c r="AZ598" i="6"/>
  <c r="AP598" i="6"/>
  <c r="BA598" i="6"/>
  <c r="AR140" i="6"/>
  <c r="AZ140" i="6"/>
  <c r="AY140" i="6"/>
  <c r="AV140" i="6"/>
  <c r="AM140" i="6"/>
  <c r="AL140" i="6"/>
  <c r="AQ140" i="6"/>
  <c r="AW140" i="6"/>
  <c r="AP140" i="6"/>
  <c r="AN140" i="6"/>
  <c r="AU140" i="6"/>
  <c r="BA140" i="6"/>
  <c r="AT140" i="6"/>
  <c r="AS140" i="6"/>
  <c r="AK140" i="6"/>
  <c r="AX140" i="6"/>
  <c r="AO140" i="6"/>
  <c r="AY411" i="6"/>
  <c r="AS411" i="6"/>
  <c r="AK411" i="6"/>
  <c r="AN411" i="6"/>
  <c r="AO411" i="6"/>
  <c r="AQ411" i="6"/>
  <c r="AZ411" i="6"/>
  <c r="AV411" i="6"/>
  <c r="BA411" i="6"/>
  <c r="AM411" i="6"/>
  <c r="AR411" i="6"/>
  <c r="AX411" i="6"/>
  <c r="AT411" i="6"/>
  <c r="AW411" i="6"/>
  <c r="AU411" i="6"/>
  <c r="AP411" i="6"/>
  <c r="AL411" i="6"/>
  <c r="AV471" i="6"/>
  <c r="AL471" i="6"/>
  <c r="AN471" i="6"/>
  <c r="AW471" i="6"/>
  <c r="AO471" i="6"/>
  <c r="AK471" i="6"/>
  <c r="AP471" i="6"/>
  <c r="BA471" i="6"/>
  <c r="AY471" i="6"/>
  <c r="AQ471" i="6"/>
  <c r="AT471" i="6"/>
  <c r="AU471" i="6"/>
  <c r="AZ471" i="6"/>
  <c r="AR471" i="6"/>
  <c r="AM471" i="6"/>
  <c r="AX471" i="6"/>
  <c r="AS471" i="6"/>
  <c r="AN216" i="6"/>
  <c r="AX216" i="6"/>
  <c r="AS216" i="6"/>
  <c r="AZ216" i="6"/>
  <c r="AM216" i="6"/>
  <c r="AW216" i="6"/>
  <c r="BA216" i="6"/>
  <c r="AT216" i="6"/>
  <c r="AK216" i="6"/>
  <c r="AY216" i="6"/>
  <c r="AQ216" i="6"/>
  <c r="AR216" i="6"/>
  <c r="AO216" i="6"/>
  <c r="AL216" i="6"/>
  <c r="AU216" i="6"/>
  <c r="AP216" i="6"/>
  <c r="AV216" i="6"/>
  <c r="BA343" i="6"/>
  <c r="AV343" i="6"/>
  <c r="AX343" i="6"/>
  <c r="AW343" i="6"/>
  <c r="AP343" i="6"/>
  <c r="AM343" i="6"/>
  <c r="AL343" i="6"/>
  <c r="AT343" i="6"/>
  <c r="AN343" i="6"/>
  <c r="AS343" i="6"/>
  <c r="AU343" i="6"/>
  <c r="AK343" i="6"/>
  <c r="AY343" i="6"/>
  <c r="AR343" i="6"/>
  <c r="AQ343" i="6"/>
  <c r="AO343" i="6"/>
  <c r="AZ343" i="6"/>
  <c r="AB208" i="8" l="1"/>
  <c r="Y127" i="8"/>
  <c r="W118" i="8"/>
  <c r="AB226" i="8"/>
  <c r="W169" i="8"/>
  <c r="W94" i="8"/>
  <c r="Y94" i="8"/>
  <c r="X130" i="8"/>
  <c r="AV15" i="6"/>
  <c r="AC15" i="6" s="1"/>
  <c r="AD19" i="8"/>
  <c r="AT15" i="6"/>
  <c r="AA15" i="6" s="1"/>
  <c r="X88" i="8"/>
  <c r="AD145" i="8"/>
  <c r="Y187" i="8"/>
  <c r="W172" i="8"/>
  <c r="AD100" i="8"/>
  <c r="AD85" i="8"/>
  <c r="AP15" i="6"/>
  <c r="W15" i="6" s="1"/>
  <c r="Z19" i="8"/>
  <c r="AU15" i="6"/>
  <c r="AB15" i="6" s="1"/>
  <c r="AE19" i="8"/>
  <c r="AA196" i="8"/>
  <c r="X94" i="8"/>
  <c r="U46" i="8"/>
  <c r="AB22" i="8"/>
  <c r="AL15" i="6"/>
  <c r="S15" i="6" s="1"/>
  <c r="V19" i="8"/>
  <c r="AA145" i="8"/>
  <c r="Z22" i="8"/>
  <c r="Y22" i="8"/>
  <c r="Z103" i="8"/>
  <c r="AC103" i="8"/>
  <c r="AX15" i="6"/>
  <c r="AE15" i="6" s="1"/>
  <c r="BA15" i="6"/>
  <c r="AH15" i="6" s="1"/>
  <c r="X136" i="8"/>
  <c r="W88" i="8"/>
  <c r="X148" i="8"/>
  <c r="X211" i="8"/>
  <c r="AC22" i="8"/>
  <c r="W22" i="8"/>
  <c r="X214" i="8"/>
  <c r="AA184" i="8"/>
  <c r="Y19" i="8"/>
  <c r="AO15" i="6"/>
  <c r="V15" i="6" s="1"/>
  <c r="X160" i="8"/>
  <c r="W145" i="8"/>
  <c r="V91" i="8"/>
  <c r="U91" i="8"/>
  <c r="AY15" i="6"/>
  <c r="AF15" i="6" s="1"/>
  <c r="AZ15" i="6"/>
  <c r="AG15" i="6" s="1"/>
  <c r="W190" i="8"/>
  <c r="Z79" i="8"/>
  <c r="V94" i="8"/>
  <c r="AD22" i="8"/>
  <c r="AA22" i="8"/>
  <c r="AB157" i="8"/>
  <c r="AM15" i="6"/>
  <c r="T15" i="6" s="1"/>
  <c r="W19" i="8"/>
  <c r="X19" i="8"/>
  <c r="AN15" i="6"/>
  <c r="U15" i="6" s="1"/>
  <c r="AB232" i="8"/>
  <c r="U22" i="8"/>
  <c r="AA157" i="8"/>
  <c r="Y100" i="8"/>
  <c r="AS15" i="6"/>
  <c r="Z15" i="6" s="1"/>
  <c r="AC19" i="8"/>
  <c r="X220" i="8"/>
  <c r="AD112" i="8"/>
  <c r="AQ15" i="6"/>
  <c r="X15" i="6" s="1"/>
  <c r="AA19" i="8"/>
  <c r="AD109" i="8"/>
  <c r="U94" i="8"/>
  <c r="AB94" i="8"/>
  <c r="AE22" i="8"/>
  <c r="AK15" i="6"/>
  <c r="R15" i="6" s="1"/>
  <c r="U19" i="8"/>
  <c r="Z145" i="8"/>
  <c r="Y97" i="8"/>
  <c r="V22" i="8"/>
  <c r="AR15" i="6"/>
  <c r="Y15" i="6" s="1"/>
  <c r="AB19" i="8"/>
  <c r="AC76" i="8"/>
  <c r="X22" i="8"/>
  <c r="AB70" i="8"/>
  <c r="AW15" i="6"/>
  <c r="AD15" i="6" s="1"/>
  <c r="F354" i="12" l="1"/>
  <c r="F540" i="12"/>
  <c r="F439" i="12"/>
  <c r="F301" i="12"/>
  <c r="F484" i="12"/>
  <c r="F310" i="12"/>
  <c r="F587" i="12"/>
  <c r="F332" i="12"/>
  <c r="F73" i="12"/>
  <c r="F185" i="12"/>
  <c r="F90" i="12"/>
  <c r="F44" i="12"/>
  <c r="F227" i="12"/>
  <c r="F209" i="12"/>
  <c r="F544" i="12"/>
  <c r="F596" i="12"/>
  <c r="F461" i="12"/>
  <c r="F561" i="12"/>
  <c r="F509" i="12"/>
  <c r="F714" i="12"/>
  <c r="F348" i="12"/>
  <c r="F456" i="12"/>
  <c r="F676" i="12"/>
  <c r="F367" i="12"/>
  <c r="F545" i="12"/>
  <c r="F502" i="12"/>
  <c r="F511" i="12"/>
  <c r="F324" i="12"/>
  <c r="F327" i="12"/>
  <c r="F281" i="12"/>
  <c r="F26" i="12"/>
  <c r="F30" i="12"/>
  <c r="F75" i="12"/>
  <c r="F194" i="12"/>
  <c r="F224" i="12"/>
  <c r="F20" i="12"/>
  <c r="F705" i="12"/>
  <c r="F704" i="12"/>
  <c r="F625" i="12"/>
  <c r="F602" i="12"/>
  <c r="F647" i="12"/>
  <c r="F661" i="12"/>
  <c r="F350" i="12"/>
  <c r="F379" i="12"/>
  <c r="F689" i="12"/>
  <c r="F274" i="12"/>
  <c r="F338" i="12"/>
  <c r="F549" i="12"/>
  <c r="F598" i="12"/>
  <c r="F629" i="12"/>
  <c r="F405" i="12"/>
  <c r="F383" i="12"/>
  <c r="F528" i="12"/>
  <c r="F679" i="12"/>
  <c r="F555" i="12"/>
  <c r="F538" i="12"/>
  <c r="F417" i="12"/>
  <c r="F398" i="12"/>
  <c r="F527" i="12"/>
  <c r="F386" i="12"/>
  <c r="F651" i="12"/>
  <c r="F536" i="12"/>
  <c r="F610" i="12"/>
  <c r="F368" i="12"/>
  <c r="F401" i="12"/>
  <c r="F564" i="12"/>
  <c r="F317" i="12"/>
  <c r="F537" i="12"/>
  <c r="F478" i="12"/>
  <c r="F381" i="12"/>
  <c r="F680" i="12"/>
  <c r="F432" i="12"/>
  <c r="F430" i="12"/>
  <c r="F375" i="12"/>
  <c r="F409" i="12"/>
  <c r="F465" i="12"/>
  <c r="F510" i="12"/>
  <c r="F512" i="12"/>
  <c r="F626" i="12"/>
  <c r="F578" i="12"/>
  <c r="F254" i="12"/>
  <c r="F66" i="12"/>
  <c r="F111" i="12"/>
  <c r="F239" i="12"/>
  <c r="F235" i="12"/>
  <c r="F24" i="12"/>
  <c r="F77" i="12"/>
  <c r="F50" i="12"/>
  <c r="F82" i="12"/>
  <c r="F181" i="12"/>
  <c r="F107" i="12"/>
  <c r="F78" i="12"/>
  <c r="F109" i="12"/>
  <c r="F34" i="12"/>
  <c r="F232" i="12"/>
  <c r="F198" i="12"/>
  <c r="F208" i="12"/>
  <c r="F203" i="12"/>
  <c r="F242" i="12"/>
  <c r="F55" i="12"/>
  <c r="F59" i="12"/>
  <c r="F455" i="12"/>
  <c r="F617" i="12"/>
  <c r="F408" i="12"/>
  <c r="F437" i="12"/>
  <c r="F35" i="12"/>
  <c r="F113" i="12"/>
  <c r="F422" i="12"/>
  <c r="F341" i="12"/>
  <c r="F722" i="12"/>
  <c r="F605" i="12"/>
  <c r="F562" i="12"/>
  <c r="F505" i="12"/>
  <c r="F448" i="12"/>
  <c r="F307" i="12"/>
  <c r="F474" i="12"/>
  <c r="F153" i="12"/>
  <c r="F177" i="12"/>
  <c r="F135" i="12"/>
  <c r="F142" i="12"/>
  <c r="F186" i="12"/>
  <c r="F64" i="12"/>
  <c r="F214" i="12"/>
  <c r="F195" i="12"/>
  <c r="F145" i="12"/>
  <c r="F552" i="12"/>
  <c r="F450" i="12"/>
  <c r="F594" i="12"/>
  <c r="F696" i="12"/>
  <c r="F382" i="12"/>
  <c r="F582" i="12"/>
  <c r="F514" i="12"/>
  <c r="F688" i="12"/>
  <c r="F466" i="12"/>
  <c r="F366" i="12"/>
  <c r="F623" i="12"/>
  <c r="F500" i="12"/>
  <c r="F276" i="12"/>
  <c r="F653" i="12"/>
  <c r="F671" i="12"/>
  <c r="F335" i="12"/>
  <c r="F693" i="12"/>
  <c r="F391" i="12"/>
  <c r="F718" i="12"/>
  <c r="F669" i="12"/>
  <c r="F359" i="12"/>
  <c r="F333" i="12"/>
  <c r="F568" i="12"/>
  <c r="F271" i="12"/>
  <c r="F428" i="12"/>
  <c r="F694" i="12"/>
  <c r="F506" i="12"/>
  <c r="F662" i="12"/>
  <c r="F571" i="12"/>
  <c r="F287" i="12"/>
  <c r="F495" i="12"/>
  <c r="F684" i="12"/>
  <c r="F328" i="12"/>
  <c r="F547" i="12"/>
  <c r="F378" i="12"/>
  <c r="F102" i="12"/>
  <c r="F200" i="12"/>
  <c r="F240" i="12"/>
  <c r="F31" i="12"/>
  <c r="F53" i="12"/>
  <c r="F156" i="12"/>
  <c r="F196" i="12"/>
  <c r="F116" i="12"/>
  <c r="F226" i="12"/>
  <c r="F119" i="12"/>
  <c r="F51" i="12"/>
  <c r="F204" i="12"/>
  <c r="F251" i="12"/>
  <c r="F255" i="12"/>
  <c r="F193" i="12"/>
  <c r="F133" i="12"/>
  <c r="F261" i="12"/>
  <c r="F519" i="12"/>
  <c r="F467" i="12"/>
  <c r="F420" i="12"/>
  <c r="F485" i="12"/>
  <c r="F673" i="12"/>
  <c r="F323" i="12"/>
  <c r="F362" i="12"/>
  <c r="F566" i="12"/>
  <c r="F691" i="12"/>
  <c r="F603" i="12"/>
  <c r="F369" i="12"/>
  <c r="F658" i="12"/>
  <c r="F340" i="12"/>
  <c r="F665" i="12"/>
  <c r="F581" i="12"/>
  <c r="F376" i="12"/>
  <c r="F593" i="12"/>
  <c r="F516" i="12"/>
  <c r="F621" i="12"/>
  <c r="F493" i="12"/>
  <c r="F266" i="12"/>
  <c r="F302" i="12"/>
  <c r="F670" i="12"/>
  <c r="F559" i="12"/>
  <c r="F442" i="12"/>
  <c r="F563" i="12"/>
  <c r="F641" i="12"/>
  <c r="F600" i="12"/>
  <c r="F583" i="12"/>
  <c r="F585" i="12"/>
  <c r="F433" i="12"/>
  <c r="F635" i="12"/>
  <c r="F657" i="12"/>
  <c r="F608" i="12"/>
  <c r="F551" i="12"/>
  <c r="F406" i="12"/>
  <c r="F507" i="12"/>
  <c r="F52" i="12"/>
  <c r="F154" i="12"/>
  <c r="F225" i="12"/>
  <c r="F187" i="12"/>
  <c r="F172" i="12"/>
  <c r="F143" i="12"/>
  <c r="F210" i="12"/>
  <c r="F32" i="12"/>
  <c r="F43" i="12"/>
  <c r="F71" i="12"/>
  <c r="F231" i="12"/>
  <c r="F69" i="12"/>
  <c r="F244" i="12"/>
  <c r="F136" i="12"/>
  <c r="F590" i="12"/>
  <c r="F539" i="12"/>
  <c r="F392" i="12"/>
  <c r="F321" i="12"/>
  <c r="F619" i="12"/>
  <c r="F532" i="12"/>
  <c r="F360" i="12"/>
  <c r="F529" i="12"/>
  <c r="F351" i="12"/>
  <c r="F303" i="12"/>
  <c r="F645" i="12"/>
  <c r="F410" i="12"/>
  <c r="F352" i="12"/>
  <c r="F556" i="12"/>
  <c r="F313" i="12"/>
  <c r="F489" i="12"/>
  <c r="F334" i="12"/>
  <c r="F470" i="12"/>
  <c r="F358" i="12"/>
  <c r="F268" i="12"/>
  <c r="F337" i="12"/>
  <c r="F648" i="12"/>
  <c r="F524" i="12"/>
  <c r="F419" i="12"/>
  <c r="F698" i="12"/>
  <c r="F49" i="12"/>
  <c r="F164" i="12"/>
  <c r="F228" i="12"/>
  <c r="F28" i="12"/>
  <c r="F87" i="12"/>
  <c r="F131" i="12"/>
  <c r="F132" i="12"/>
  <c r="F206" i="12"/>
  <c r="F36" i="12"/>
  <c r="F258" i="12"/>
  <c r="F253" i="12"/>
  <c r="F68" i="12"/>
  <c r="F104" i="12"/>
  <c r="F123" i="12"/>
  <c r="F215" i="12"/>
  <c r="F118" i="12"/>
  <c r="F167" i="12"/>
  <c r="F211" i="12"/>
  <c r="F249" i="12"/>
  <c r="F649" i="12"/>
  <c r="F318" i="12"/>
  <c r="F702" i="12"/>
  <c r="F685" i="12"/>
  <c r="F675" i="12"/>
  <c r="F570" i="12"/>
  <c r="F606" i="12"/>
  <c r="F494" i="12"/>
  <c r="F533" i="12"/>
  <c r="F678" i="12"/>
  <c r="F716" i="12"/>
  <c r="F272" i="12"/>
  <c r="F280" i="12"/>
  <c r="F723" i="12"/>
  <c r="F429" i="12"/>
  <c r="F320" i="12"/>
  <c r="F615" i="12"/>
  <c r="F441" i="12"/>
  <c r="F488" i="12"/>
  <c r="F389" i="12"/>
  <c r="F569" i="12"/>
  <c r="F380" i="12"/>
  <c r="F288" i="12"/>
  <c r="F393" i="12"/>
  <c r="F577" i="12"/>
  <c r="F725" i="12"/>
  <c r="F546" i="12"/>
  <c r="F611" i="12"/>
  <c r="F289" i="12"/>
  <c r="F523" i="12"/>
  <c r="F344" i="12"/>
  <c r="F315" i="12"/>
  <c r="F314" i="12"/>
  <c r="F451" i="12"/>
  <c r="F282" i="12"/>
  <c r="F449" i="12"/>
  <c r="F697" i="12"/>
  <c r="F627" i="12"/>
  <c r="F296" i="12"/>
  <c r="F579" i="12"/>
  <c r="F550" i="12"/>
  <c r="F342" i="12"/>
  <c r="F700" i="12"/>
  <c r="F141" i="12"/>
  <c r="F120" i="12"/>
  <c r="F65" i="12"/>
  <c r="F163" i="12"/>
  <c r="F79" i="12"/>
  <c r="F139" i="12"/>
  <c r="F238" i="12"/>
  <c r="F72" i="12"/>
  <c r="F160" i="12"/>
  <c r="F236" i="12"/>
  <c r="F22" i="12"/>
  <c r="F108" i="12"/>
  <c r="F125" i="12"/>
  <c r="F188" i="12"/>
  <c r="F216" i="12"/>
  <c r="F21" i="12"/>
  <c r="F178" i="12"/>
  <c r="F175" i="12"/>
  <c r="F151" i="12"/>
  <c r="F60" i="12"/>
  <c r="F243" i="12"/>
  <c r="F434" i="12"/>
  <c r="F446" i="12"/>
  <c r="F298" i="12"/>
  <c r="F601" i="12"/>
  <c r="F357" i="12"/>
  <c r="F572" i="12"/>
  <c r="F584" i="12"/>
  <c r="F726" i="12"/>
  <c r="F459" i="12"/>
  <c r="F339" i="12"/>
  <c r="F411" i="12"/>
  <c r="F336" i="12"/>
  <c r="F374" i="12"/>
  <c r="F284" i="12"/>
  <c r="F631" i="12"/>
  <c r="F706" i="12"/>
  <c r="F576" i="12"/>
  <c r="F597" i="12"/>
  <c r="F652" i="12"/>
  <c r="F431" i="12"/>
  <c r="F659" i="12"/>
  <c r="F672" i="12"/>
  <c r="F624" i="12"/>
  <c r="F326" i="12"/>
  <c r="F574" i="12"/>
  <c r="F541" i="12"/>
  <c r="F471" i="12"/>
  <c r="F703" i="12"/>
  <c r="F558" i="12"/>
  <c r="F363" i="12"/>
  <c r="F424" i="12"/>
  <c r="F460" i="12"/>
  <c r="F609" i="12"/>
  <c r="F642" i="12"/>
  <c r="F719" i="12"/>
  <c r="F279" i="12"/>
  <c r="F112" i="12"/>
  <c r="F147" i="12"/>
  <c r="F83" i="12"/>
  <c r="F138" i="12"/>
  <c r="F222" i="12"/>
  <c r="F192" i="12"/>
  <c r="F218" i="12"/>
  <c r="F94" i="12"/>
  <c r="F95" i="12"/>
  <c r="F70" i="12"/>
  <c r="F646" i="12"/>
  <c r="F638" i="12"/>
  <c r="F270" i="12"/>
  <c r="F80" i="12"/>
  <c r="F129" i="12"/>
  <c r="F124" i="12"/>
  <c r="F308" i="12"/>
  <c r="F93" i="12"/>
  <c r="F166" i="12"/>
  <c r="F260" i="12"/>
  <c r="F299" i="12"/>
  <c r="F277" i="12"/>
  <c r="F377" i="12"/>
  <c r="F709" i="12"/>
  <c r="F286" i="12"/>
  <c r="F387" i="12"/>
  <c r="F699" i="12"/>
  <c r="F664" i="12"/>
  <c r="F522" i="12"/>
  <c r="F483" i="12"/>
  <c r="F414" i="12"/>
  <c r="F384" i="12"/>
  <c r="F444" i="12"/>
  <c r="F390" i="12"/>
  <c r="F361" i="12"/>
  <c r="F542" i="12"/>
  <c r="F443" i="12"/>
  <c r="F614" i="12"/>
  <c r="F683" i="12"/>
  <c r="F278" i="12"/>
  <c r="F322" i="12"/>
  <c r="F708" i="12"/>
  <c r="F497" i="12"/>
  <c r="F513" i="12"/>
  <c r="F291" i="12"/>
  <c r="F520" i="12"/>
  <c r="F426" i="12"/>
  <c r="F707" i="12"/>
  <c r="F264" i="12"/>
  <c r="F589" i="12"/>
  <c r="F372" i="12"/>
  <c r="F33" i="12"/>
  <c r="F92" i="12"/>
  <c r="F217" i="12"/>
  <c r="F220" i="12"/>
  <c r="F106" i="12"/>
  <c r="F84" i="12"/>
  <c r="F202" i="12"/>
  <c r="F25" i="12"/>
  <c r="F56" i="12"/>
  <c r="F42" i="12"/>
  <c r="F137" i="12"/>
  <c r="F174" i="12"/>
  <c r="F234" i="12"/>
  <c r="F127" i="12"/>
  <c r="F38" i="12"/>
  <c r="F219" i="12"/>
  <c r="F454" i="12"/>
  <c r="F423" i="12"/>
  <c r="F473" i="12"/>
  <c r="F496" i="12"/>
  <c r="F435" i="12"/>
  <c r="F713" i="12"/>
  <c r="F616" i="12"/>
  <c r="F311" i="12"/>
  <c r="F447" i="12"/>
  <c r="F491" i="12"/>
  <c r="F480" i="12"/>
  <c r="F325" i="12"/>
  <c r="F553" i="12"/>
  <c r="F573" i="12"/>
  <c r="F304" i="12"/>
  <c r="F565" i="12"/>
  <c r="F445" i="12"/>
  <c r="F620" i="12"/>
  <c r="F531" i="12"/>
  <c r="F517" i="12"/>
  <c r="F503" i="12"/>
  <c r="F499" i="12"/>
  <c r="F711" i="12"/>
  <c r="F501" i="12"/>
  <c r="F592" i="12"/>
  <c r="F717" i="12"/>
  <c r="F557" i="12"/>
  <c r="F397" i="12"/>
  <c r="F498" i="12"/>
  <c r="F345" i="12"/>
  <c r="F560" i="12"/>
  <c r="F464" i="12"/>
  <c r="F283" i="12"/>
  <c r="F650" i="12"/>
  <c r="F364" i="12"/>
  <c r="F632" i="12"/>
  <c r="F312" i="12"/>
  <c r="F463" i="12"/>
  <c r="F535" i="12"/>
  <c r="F309" i="12"/>
  <c r="F262" i="12"/>
  <c r="F191" i="12"/>
  <c r="F86" i="12"/>
  <c r="F207" i="12"/>
  <c r="F158" i="12"/>
  <c r="F180" i="12"/>
  <c r="F122" i="12"/>
  <c r="F223" i="12"/>
  <c r="F241" i="12"/>
  <c r="F150" i="12"/>
  <c r="F61" i="12"/>
  <c r="F97" i="12"/>
  <c r="F130" i="12"/>
  <c r="F41" i="12"/>
  <c r="F100" i="12"/>
  <c r="F201" i="12"/>
  <c r="F85" i="12"/>
  <c r="F45" i="12"/>
  <c r="F189" i="12"/>
  <c r="F250" i="12"/>
  <c r="F275" i="12"/>
  <c r="F330" i="12"/>
  <c r="F294" i="12"/>
  <c r="F370" i="12"/>
  <c r="F639" i="12"/>
  <c r="F630" i="12"/>
  <c r="F263" i="12"/>
  <c r="F633" i="12"/>
  <c r="F655" i="12"/>
  <c r="F481" i="12"/>
  <c r="F667" i="12"/>
  <c r="F356" i="12"/>
  <c r="F347" i="12"/>
  <c r="F265" i="12"/>
  <c r="F690" i="12"/>
  <c r="F492" i="12"/>
  <c r="F385" i="12"/>
  <c r="F425" i="12"/>
  <c r="F371" i="12"/>
  <c r="F343" i="12"/>
  <c r="F588" i="12"/>
  <c r="F666" i="12"/>
  <c r="F681" i="12"/>
  <c r="F477" i="12"/>
  <c r="F637" i="12"/>
  <c r="F297" i="12"/>
  <c r="F599" i="12"/>
  <c r="F407" i="12"/>
  <c r="F267" i="12"/>
  <c r="F644" i="12"/>
  <c r="F457" i="12"/>
  <c r="F677" i="12"/>
  <c r="F88" i="12"/>
  <c r="F173" i="12"/>
  <c r="F67" i="12"/>
  <c r="F257" i="12"/>
  <c r="F148" i="12"/>
  <c r="F39" i="12"/>
  <c r="F159" i="12"/>
  <c r="F27" i="12"/>
  <c r="F46" i="12"/>
  <c r="F98" i="12"/>
  <c r="F205" i="12"/>
  <c r="F171" i="12"/>
  <c r="F48" i="12"/>
  <c r="F105" i="12"/>
  <c r="F229" i="12"/>
  <c r="F663" i="12"/>
  <c r="F388" i="12"/>
  <c r="F521" i="12"/>
  <c r="F346" i="12"/>
  <c r="F396" i="12"/>
  <c r="F534" i="12"/>
  <c r="F373" i="12"/>
  <c r="F404" i="12"/>
  <c r="F554" i="12"/>
  <c r="F128" i="12"/>
  <c r="F190" i="12"/>
  <c r="F246" i="12"/>
  <c r="F248" i="12"/>
  <c r="F161" i="12"/>
  <c r="F403" i="12"/>
  <c r="F452" i="12"/>
  <c r="F269" i="12"/>
  <c r="F400" i="12"/>
  <c r="F453" i="12"/>
  <c r="F515" i="12"/>
  <c r="F692" i="12"/>
  <c r="F394" i="12"/>
  <c r="F468" i="12"/>
  <c r="F720" i="12"/>
  <c r="F487" i="12"/>
  <c r="F416" i="12"/>
  <c r="F395" i="12"/>
  <c r="F438" i="12"/>
  <c r="F458" i="12"/>
  <c r="F469" i="12"/>
  <c r="F412" i="12"/>
  <c r="F462" i="12"/>
  <c r="F18" i="12"/>
  <c r="F76" i="12"/>
  <c r="F157" i="12"/>
  <c r="F197" i="12"/>
  <c r="F58" i="12"/>
  <c r="F162" i="12"/>
  <c r="F259" i="12"/>
  <c r="F170" i="12"/>
  <c r="F62" i="12"/>
  <c r="F140" i="12"/>
  <c r="F54" i="12"/>
  <c r="F634" i="12"/>
  <c r="F525" i="12"/>
  <c r="F612" i="12"/>
  <c r="F518" i="12"/>
  <c r="F273" i="12"/>
  <c r="F586" i="12"/>
  <c r="F413" i="12"/>
  <c r="F475" i="12"/>
  <c r="F687" i="12"/>
  <c r="F482" i="12"/>
  <c r="F575" i="12"/>
  <c r="F486" i="12"/>
  <c r="F427" i="12"/>
  <c r="F548" i="12"/>
  <c r="F674" i="12"/>
  <c r="F504" i="12"/>
  <c r="F329" i="12"/>
  <c r="F292" i="12"/>
  <c r="F331" i="12"/>
  <c r="F399" i="12"/>
  <c r="F355" i="12"/>
  <c r="F305" i="12"/>
  <c r="F440" i="12"/>
  <c r="F306" i="12"/>
  <c r="F290" i="12"/>
  <c r="F622" i="12"/>
  <c r="F182" i="12"/>
  <c r="F99" i="12"/>
  <c r="F117" i="12"/>
  <c r="F179" i="12"/>
  <c r="F213" i="12"/>
  <c r="F115" i="12"/>
  <c r="F144" i="12"/>
  <c r="F146" i="12"/>
  <c r="F256" i="12"/>
  <c r="F168" i="12"/>
  <c r="F149" i="12"/>
  <c r="F165" i="12"/>
  <c r="F252" i="12"/>
  <c r="F81" i="12"/>
  <c r="F110" i="12"/>
  <c r="F57" i="12"/>
  <c r="F47" i="12"/>
  <c r="F134" i="12"/>
  <c r="F103" i="12"/>
  <c r="F19" i="12"/>
  <c r="F152" i="12"/>
  <c r="F212" i="12"/>
  <c r="F155" i="12"/>
  <c r="F29" i="12"/>
  <c r="F17" i="12"/>
  <c r="F121" i="12"/>
  <c r="F23" i="12"/>
  <c r="F247" i="12"/>
  <c r="F91" i="12"/>
  <c r="F74" i="12"/>
  <c r="F37" i="12"/>
  <c r="F89" i="12"/>
  <c r="F101" i="12"/>
  <c r="F16" i="12"/>
  <c r="F183" i="12"/>
  <c r="F245" i="12"/>
  <c r="F169" i="12"/>
  <c r="F233" i="12"/>
  <c r="F96" i="12"/>
  <c r="F114" i="12"/>
  <c r="F230" i="12"/>
  <c r="F176" i="12"/>
  <c r="F63" i="12"/>
  <c r="F199" i="12"/>
  <c r="F126" i="12"/>
  <c r="F14" i="12"/>
  <c r="F184" i="12"/>
  <c r="F237" i="12"/>
  <c r="F40" i="12"/>
  <c r="F221" i="12"/>
  <c r="H214" i="12" l="1"/>
  <c r="H482" i="12"/>
  <c r="H298" i="12"/>
  <c r="H24" i="12"/>
  <c r="H202" i="12"/>
  <c r="H542" i="12"/>
  <c r="H290" i="12"/>
  <c r="H488" i="12"/>
  <c r="H69" i="12"/>
  <c r="H520" i="12"/>
  <c r="H279" i="12"/>
  <c r="H266" i="12"/>
  <c r="H687" i="12"/>
  <c r="H605" i="12"/>
  <c r="H87" i="12"/>
  <c r="H231" i="12"/>
  <c r="H709" i="12"/>
  <c r="H497" i="12"/>
  <c r="H28" i="12"/>
  <c r="H392" i="12"/>
  <c r="H690" i="12"/>
  <c r="H439" i="12"/>
  <c r="H593" i="12"/>
  <c r="H340" i="12"/>
  <c r="H315" i="12"/>
  <c r="H426" i="12"/>
  <c r="H257" i="12"/>
  <c r="H674" i="12"/>
  <c r="H720" i="12"/>
  <c r="H420" i="12"/>
  <c r="H448" i="12"/>
  <c r="H278" i="12"/>
  <c r="H391" i="12"/>
  <c r="H363" i="12"/>
  <c r="H48" i="12"/>
  <c r="H590" i="12"/>
  <c r="H271" i="12"/>
  <c r="H197" i="12"/>
  <c r="H61" i="12"/>
  <c r="H59" i="12"/>
  <c r="H222" i="12"/>
  <c r="H38" i="12"/>
  <c r="H614" i="12"/>
  <c r="H610" i="12"/>
  <c r="H255" i="12"/>
  <c r="H533" i="12"/>
  <c r="H553" i="12"/>
  <c r="H662" i="12"/>
  <c r="H354" i="12"/>
  <c r="H258" i="12"/>
  <c r="H522" i="12"/>
  <c r="H527" i="12"/>
  <c r="H552" i="12"/>
  <c r="H706" i="12"/>
  <c r="H341" i="12"/>
  <c r="H250" i="12"/>
  <c r="H422" i="12"/>
  <c r="H326" i="12"/>
  <c r="H67" i="12"/>
  <c r="H364" i="12"/>
  <c r="H540" i="12"/>
  <c r="H246" i="12"/>
  <c r="H325" i="12"/>
  <c r="H306" i="12"/>
  <c r="H84" i="12"/>
  <c r="H513" i="12"/>
  <c r="H698" i="12"/>
  <c r="H608" i="12"/>
  <c r="H282" i="12"/>
  <c r="H360" i="12"/>
  <c r="H638" i="12"/>
  <c r="H412" i="12"/>
  <c r="H39" i="12"/>
  <c r="H327" i="12"/>
  <c r="H529" i="12"/>
  <c r="H30" i="12"/>
  <c r="H307" i="12"/>
  <c r="H615" i="12"/>
  <c r="H689" i="12"/>
  <c r="H317" i="12"/>
  <c r="H445" i="12"/>
  <c r="H525" i="12"/>
  <c r="H270" i="12"/>
  <c r="H468" i="12"/>
  <c r="H348" i="12"/>
  <c r="H305" i="12"/>
  <c r="H273" i="12"/>
  <c r="H581" i="12"/>
  <c r="H443" i="12"/>
  <c r="H545" i="12"/>
  <c r="H66" i="12"/>
  <c r="H253" i="12"/>
  <c r="H629" i="12"/>
  <c r="H702" i="12"/>
  <c r="H323" i="12"/>
  <c r="H35" i="12"/>
  <c r="H55" i="12"/>
  <c r="H399" i="12"/>
  <c r="H321" i="12"/>
  <c r="H75" i="12"/>
  <c r="H555" i="12"/>
  <c r="H275" i="12"/>
  <c r="H696" i="12"/>
  <c r="H277" i="12"/>
  <c r="H332" i="12"/>
  <c r="H274" i="12"/>
  <c r="H444" i="12"/>
  <c r="H331" i="12"/>
  <c r="H460" i="12"/>
  <c r="H49" i="12"/>
  <c r="H435" i="12"/>
  <c r="H261" i="12"/>
  <c r="H70" i="12"/>
  <c r="H450" i="12"/>
  <c r="H181" i="12"/>
  <c r="H359" i="12"/>
  <c r="H549" i="12"/>
  <c r="H589" i="12"/>
  <c r="H50" i="12"/>
  <c r="H544" i="12"/>
  <c r="H256" i="12"/>
  <c r="H499" i="12"/>
  <c r="H705" i="12"/>
  <c r="H71" i="12"/>
  <c r="H303" i="12"/>
  <c r="H108" i="12"/>
  <c r="H100" i="12"/>
  <c r="H416" i="12"/>
  <c r="H534" i="12"/>
  <c r="H536" i="12"/>
  <c r="H308" i="12"/>
  <c r="H663" i="12"/>
  <c r="H254" i="12"/>
  <c r="H509" i="12"/>
  <c r="H172" i="12"/>
  <c r="H333" i="12"/>
  <c r="H82" i="12"/>
  <c r="H556" i="12"/>
  <c r="H324" i="12"/>
  <c r="H97" i="12"/>
  <c r="H517" i="12"/>
  <c r="H248" i="12"/>
  <c r="H92" i="12"/>
  <c r="H123" i="12"/>
  <c r="H64" i="12"/>
  <c r="H301" i="12"/>
  <c r="H380" i="12"/>
  <c r="H25" i="12"/>
  <c r="H342" i="12"/>
  <c r="H260" i="12"/>
  <c r="H83" i="12"/>
  <c r="H475" i="12"/>
  <c r="H617" i="12"/>
  <c r="H60" i="12"/>
  <c r="H263" i="12"/>
  <c r="H512" i="12"/>
  <c r="H334" i="12"/>
  <c r="H384" i="12"/>
  <c r="H209" i="12"/>
  <c r="H190" i="12"/>
  <c r="H351" i="12"/>
  <c r="H350" i="12"/>
  <c r="H483" i="12"/>
  <c r="H541" i="12"/>
  <c r="H53" i="12"/>
  <c r="H622" i="12"/>
  <c r="H554" i="12"/>
  <c r="H423" i="12"/>
  <c r="H437" i="12"/>
  <c r="H58" i="12"/>
  <c r="H52" i="12"/>
  <c r="H375" i="12"/>
  <c r="H697" i="12"/>
  <c r="H265" i="12"/>
  <c r="H550" i="12"/>
  <c r="H36" i="12"/>
  <c r="H95" i="12"/>
  <c r="H528" i="12"/>
  <c r="H374" i="12"/>
  <c r="H125" i="12"/>
  <c r="H299" i="12"/>
  <c r="H328" i="12"/>
  <c r="H429" i="12"/>
  <c r="H693" i="12"/>
  <c r="H106" i="12"/>
  <c r="H661" i="12"/>
  <c r="H692" i="12"/>
  <c r="H366" i="12"/>
  <c r="H646" i="12"/>
  <c r="H446" i="12"/>
  <c r="H85" i="12"/>
  <c r="H645" i="12"/>
  <c r="H112" i="12"/>
  <c r="H122" i="12"/>
  <c r="H367" i="12"/>
  <c r="H485" i="12"/>
  <c r="H403" i="12"/>
  <c r="H582" i="12"/>
  <c r="H417" i="12"/>
  <c r="H94" i="12"/>
  <c r="H264" i="12"/>
  <c r="H232" i="12"/>
  <c r="H390" i="12"/>
  <c r="H287" i="12"/>
  <c r="H430" i="12"/>
  <c r="H43" i="12"/>
  <c r="H249" i="12"/>
  <c r="H111" i="12"/>
  <c r="H694" i="12"/>
  <c r="H44" i="12"/>
  <c r="H611" i="12"/>
  <c r="H346" i="12"/>
  <c r="H302" i="12"/>
  <c r="H262" i="12"/>
  <c r="H99" i="12"/>
  <c r="H288" i="12"/>
  <c r="H707" i="12"/>
  <c r="H470" i="12"/>
  <c r="H514" i="12"/>
  <c r="H286" i="12"/>
  <c r="H378" i="12"/>
  <c r="H329" i="12"/>
  <c r="H104" i="12"/>
  <c r="H688" i="12"/>
  <c r="H557" i="12"/>
  <c r="H523" i="12"/>
  <c r="H531" i="12"/>
  <c r="H546" i="12"/>
  <c r="H427" i="12"/>
  <c r="H46" i="12"/>
  <c r="H619" i="12"/>
  <c r="H683" i="12"/>
  <c r="H65" i="12"/>
  <c r="H34" i="12"/>
  <c r="H41" i="12"/>
  <c r="H424" i="12"/>
  <c r="H377" i="12"/>
  <c r="H26" i="12"/>
  <c r="H357" i="12"/>
  <c r="H356" i="12"/>
  <c r="H519" i="12"/>
  <c r="H413" i="12"/>
  <c r="H414" i="12"/>
  <c r="H407" i="12"/>
  <c r="H31" i="12"/>
  <c r="H313" i="12"/>
  <c r="H42" i="12"/>
  <c r="H203" i="12"/>
  <c r="H80" i="12"/>
  <c r="H86" i="12"/>
  <c r="H404" i="12"/>
  <c r="H505" i="12"/>
  <c r="H641" i="12"/>
  <c r="H425" i="12"/>
  <c r="H398" i="12"/>
  <c r="H396" i="12"/>
  <c r="H320" i="12"/>
  <c r="H201" i="12"/>
  <c r="H251" i="12"/>
  <c r="H408" i="12"/>
  <c r="H486" i="12"/>
  <c r="H676" i="12"/>
  <c r="H345" i="12"/>
  <c r="H174" i="12"/>
  <c r="H219" i="12"/>
  <c r="H51" i="12"/>
  <c r="H473" i="12"/>
  <c r="H453" i="12"/>
  <c r="H532" i="12"/>
  <c r="H704" i="12"/>
  <c r="H504" i="12"/>
  <c r="H447" i="12"/>
  <c r="H213" i="12"/>
  <c r="H635" i="12"/>
  <c r="H56" i="12"/>
  <c r="H318" i="12"/>
  <c r="H272" i="12"/>
  <c r="H109" i="12"/>
  <c r="H726" i="12"/>
  <c r="H634" i="12"/>
  <c r="H691" i="12"/>
  <c r="H113" i="12"/>
  <c r="H388" i="12"/>
  <c r="H685" i="12"/>
  <c r="H586" i="12"/>
  <c r="H524" i="12"/>
  <c r="H495" i="12"/>
  <c r="H558" i="12"/>
  <c r="H33" i="12"/>
  <c r="H626" i="12"/>
  <c r="H62" i="12"/>
  <c r="H703" i="12"/>
  <c r="H373" i="12"/>
  <c r="H352" i="12"/>
  <c r="H655" i="12"/>
  <c r="H98" i="12"/>
  <c r="H337" i="12"/>
  <c r="H725" i="12"/>
  <c r="H451" i="12"/>
  <c r="H537" i="12"/>
  <c r="H88" i="12"/>
  <c r="H455" i="12"/>
  <c r="H551" i="12"/>
  <c r="H647" i="12"/>
  <c r="H68" i="12"/>
  <c r="H72" i="12"/>
  <c r="H358" i="12"/>
  <c r="H175" i="12"/>
  <c r="H73" i="12"/>
  <c r="H292" i="12"/>
  <c r="H700" i="12"/>
  <c r="H322" i="12"/>
  <c r="H547" i="12"/>
  <c r="H276" i="12"/>
  <c r="H102" i="12"/>
  <c r="H379" i="12"/>
  <c r="H54" i="12"/>
  <c r="H335" i="12"/>
  <c r="H587" i="12"/>
  <c r="H330" i="12"/>
  <c r="H584" i="12"/>
  <c r="H539" i="12"/>
  <c r="H269" i="12"/>
  <c r="H362" i="12"/>
  <c r="H289" i="12"/>
  <c r="H684" i="12"/>
  <c r="H372" i="12"/>
  <c r="H442" i="12"/>
  <c r="H382" i="12"/>
  <c r="H510" i="12"/>
  <c r="H93" i="12"/>
  <c r="H515" i="12"/>
  <c r="H574" i="12"/>
  <c r="H45" i="12"/>
  <c r="H410" i="12"/>
  <c r="H713" i="12"/>
  <c r="H583" i="12"/>
  <c r="H708" i="12"/>
  <c r="H369" i="12"/>
  <c r="H268" i="12"/>
  <c r="H511" i="12"/>
  <c r="H518" i="12"/>
  <c r="H105" i="12"/>
  <c r="H516" i="12"/>
  <c r="H489" i="12"/>
  <c r="H699" i="12"/>
  <c r="H304" i="12"/>
  <c r="H355" i="12"/>
  <c r="H538" i="12"/>
  <c r="H387" i="12"/>
  <c r="H406" i="12"/>
  <c r="H612" i="12"/>
  <c r="H616" i="12"/>
  <c r="H368" i="12"/>
  <c r="H609" i="12"/>
  <c r="H267" i="12"/>
  <c r="H484" i="12"/>
  <c r="H336" i="12"/>
  <c r="H648" i="12"/>
  <c r="H521" i="12"/>
  <c r="H171" i="12"/>
  <c r="H291" i="12"/>
  <c r="H575" i="12"/>
  <c r="H211" i="12"/>
  <c r="H664" i="12"/>
  <c r="H90" i="12"/>
  <c r="H548" i="12"/>
  <c r="H339" i="12"/>
  <c r="H309" i="12"/>
  <c r="H310" i="12"/>
  <c r="H419" i="12"/>
  <c r="H361" i="12"/>
  <c r="H32" i="12"/>
  <c r="H210" i="12"/>
  <c r="H440" i="12"/>
  <c r="H280" i="12"/>
  <c r="H252" i="12"/>
  <c r="H182" i="12"/>
  <c r="H393" i="12" l="1"/>
  <c r="H560" i="12"/>
  <c r="H131" i="12"/>
  <c r="H503" i="12"/>
  <c r="H297" i="12"/>
  <c r="H602" i="12"/>
  <c r="H672" i="12"/>
  <c r="H343" i="12"/>
  <c r="H565" i="12"/>
  <c r="H564" i="12"/>
  <c r="H478" i="12"/>
  <c r="H137" i="12"/>
  <c r="H498" i="12"/>
  <c r="H283" i="12"/>
  <c r="H657" i="12"/>
  <c r="H459" i="12"/>
  <c r="H185" i="12"/>
  <c r="H118" i="12"/>
  <c r="H132" i="12"/>
  <c r="H633" i="12"/>
  <c r="H194" i="12"/>
  <c r="H154" i="12"/>
  <c r="H192" i="12"/>
  <c r="H224" i="12"/>
  <c r="H162" i="12"/>
  <c r="H665" i="12"/>
  <c r="H405" i="12"/>
  <c r="H649" i="12"/>
  <c r="H385" i="12"/>
  <c r="H716" i="12"/>
  <c r="H238" i="12"/>
  <c r="H568" i="12"/>
  <c r="H136" i="12"/>
  <c r="H217" i="12"/>
  <c r="H225" i="12"/>
  <c r="H120" i="12"/>
  <c r="H193" i="12"/>
  <c r="H603" i="12"/>
  <c r="H124" i="12"/>
  <c r="H653" i="12"/>
  <c r="H456" i="12"/>
  <c r="H239" i="12"/>
  <c r="H723" i="12"/>
  <c r="H481" i="12"/>
  <c r="H469" i="12"/>
  <c r="H491" i="12"/>
  <c r="H394" i="12"/>
  <c r="H146" i="12"/>
  <c r="H242" i="12"/>
  <c r="H620" i="12"/>
  <c r="H156" i="12"/>
  <c r="H142" i="12"/>
  <c r="H487" i="12"/>
  <c r="H191" i="12"/>
  <c r="H431" i="12"/>
  <c r="H180" i="12"/>
  <c r="H76" i="12"/>
  <c r="H226" i="12"/>
  <c r="H559" i="12"/>
  <c r="H18" i="12"/>
  <c r="H563" i="12"/>
  <c r="H161" i="12"/>
  <c r="H259" i="12"/>
  <c r="H592" i="12"/>
  <c r="H128" i="12"/>
  <c r="H159" i="12"/>
  <c r="H144" i="12"/>
  <c r="H397" i="12"/>
  <c r="H218" i="12"/>
  <c r="H312" i="12"/>
  <c r="H601" i="12"/>
  <c r="H205" i="12"/>
  <c r="H395" i="12"/>
  <c r="H501" i="12"/>
  <c r="H186" i="12"/>
  <c r="H130" i="12"/>
  <c r="H189" i="12"/>
  <c r="H236" i="12"/>
  <c r="H449" i="12"/>
  <c r="H669" i="12"/>
  <c r="H220" i="12"/>
  <c r="H464" i="12"/>
  <c r="H671" i="12"/>
  <c r="H474" i="12"/>
  <c r="H492" i="12"/>
  <c r="H465" i="12"/>
  <c r="H627" i="12"/>
  <c r="H179" i="12"/>
  <c r="H401" i="12"/>
  <c r="H198" i="12"/>
  <c r="H566" i="12"/>
  <c r="H145" i="12"/>
  <c r="H165" i="12"/>
  <c r="H386" i="12"/>
  <c r="H147" i="12"/>
  <c r="H719" i="12"/>
  <c r="H637" i="12"/>
  <c r="H204" i="12"/>
  <c r="H383" i="12"/>
  <c r="H577" i="12"/>
  <c r="H311" i="12"/>
  <c r="H623" i="12"/>
  <c r="H596" i="12"/>
  <c r="H535" i="12"/>
  <c r="H652" i="12"/>
  <c r="H284" i="12"/>
  <c r="H576" i="12"/>
  <c r="H216" i="12"/>
  <c r="H208" i="12"/>
  <c r="H561" i="12"/>
  <c r="H466" i="12"/>
  <c r="H594" i="12"/>
  <c r="H496" i="12"/>
  <c r="H711" i="12"/>
  <c r="H569" i="12"/>
  <c r="H480" i="12"/>
  <c r="H119" i="12"/>
  <c r="H585" i="12"/>
  <c r="H235" i="12"/>
  <c r="H598" i="12"/>
  <c r="H632" i="12"/>
  <c r="H667" i="12"/>
  <c r="H177" i="12"/>
  <c r="H462" i="12"/>
  <c r="H371" i="12"/>
  <c r="H22" i="12"/>
  <c r="H678" i="12"/>
  <c r="H666" i="12"/>
  <c r="H77" i="12"/>
  <c r="H717" i="12"/>
  <c r="H195" i="12"/>
  <c r="H673" i="12"/>
  <c r="H659" i="12"/>
  <c r="H642" i="12"/>
  <c r="H573" i="12"/>
  <c r="H243" i="12"/>
  <c r="H658" i="12"/>
  <c r="H644" i="12"/>
  <c r="H139" i="12"/>
  <c r="H164" i="12"/>
  <c r="H347" i="12"/>
  <c r="H454" i="12"/>
  <c r="H433" i="12"/>
  <c r="H296" i="12"/>
  <c r="H675" i="12"/>
  <c r="H200" i="12"/>
  <c r="H624" i="12"/>
  <c r="H215" i="12"/>
  <c r="H409" i="12"/>
  <c r="H452" i="12"/>
  <c r="H599" i="12"/>
  <c r="H461" i="12"/>
  <c r="H196" i="12"/>
  <c r="H438" i="12"/>
  <c r="H639" i="12"/>
  <c r="H494" i="12"/>
  <c r="H441" i="12"/>
  <c r="H149" i="12"/>
  <c r="H600" i="12"/>
  <c r="H170" i="12"/>
  <c r="H294" i="12"/>
  <c r="H314" i="12"/>
  <c r="H679" i="12"/>
  <c r="H722" i="12"/>
  <c r="H116" i="12"/>
  <c r="H241" i="12"/>
  <c r="H20" i="12"/>
  <c r="H188" i="12"/>
  <c r="H223" i="12"/>
  <c r="H579" i="12"/>
  <c r="H381" i="12"/>
  <c r="H621" i="12"/>
  <c r="H338" i="12"/>
  <c r="H572" i="12"/>
  <c r="H506" i="12"/>
  <c r="H173" i="12"/>
  <c r="H234" i="12"/>
  <c r="H153" i="12"/>
  <c r="H502" i="12"/>
  <c r="H507" i="12"/>
  <c r="H467" i="12"/>
  <c r="H140" i="12"/>
  <c r="H115" i="12"/>
  <c r="H411" i="12"/>
  <c r="H21" i="12"/>
  <c r="H133" i="12"/>
  <c r="H681" i="12"/>
  <c r="H240" i="12"/>
  <c r="H677" i="12"/>
  <c r="H493" i="12"/>
  <c r="H227" i="12"/>
  <c r="H670" i="12"/>
  <c r="H571" i="12"/>
  <c r="H151" i="12"/>
  <c r="H178" i="12"/>
  <c r="H244" i="12"/>
  <c r="H680" i="12"/>
  <c r="H389" i="12"/>
  <c r="H160" i="12"/>
  <c r="H597" i="12"/>
  <c r="H107" i="12"/>
  <c r="H588" i="12"/>
  <c r="H651" i="12"/>
  <c r="H578" i="12"/>
  <c r="H471" i="12"/>
  <c r="H500" i="12"/>
  <c r="H157" i="12"/>
  <c r="H376" i="12"/>
  <c r="H79" i="12"/>
  <c r="H434" i="12"/>
  <c r="H129" i="12"/>
  <c r="H143" i="12"/>
  <c r="H718" i="12"/>
  <c r="H463" i="12"/>
  <c r="H163" i="12"/>
  <c r="H570" i="12"/>
  <c r="H27" i="12"/>
  <c r="H281" i="12"/>
  <c r="H625" i="12"/>
  <c r="H650" i="12"/>
  <c r="H562" i="12"/>
  <c r="H229" i="12"/>
  <c r="H400" i="12"/>
  <c r="H228" i="12"/>
  <c r="H150" i="12"/>
  <c r="H148" i="12"/>
  <c r="H141" i="12"/>
  <c r="H344" i="12"/>
  <c r="H138" i="12"/>
  <c r="H428" i="12"/>
  <c r="H606" i="12"/>
  <c r="H630" i="12"/>
  <c r="H631" i="12"/>
  <c r="H135" i="12"/>
  <c r="H457" i="12"/>
  <c r="H714" i="12"/>
  <c r="H166" i="12"/>
  <c r="H168" i="12"/>
  <c r="H127" i="12"/>
  <c r="H158" i="12"/>
  <c r="H187" i="12"/>
  <c r="H432" i="12"/>
  <c r="H167" i="12"/>
  <c r="H458" i="12"/>
  <c r="H477" i="12"/>
  <c r="H117" i="12"/>
  <c r="H207" i="12"/>
  <c r="H78" i="12"/>
  <c r="H370" i="12"/>
  <c r="H206" i="12"/>
  <c r="I421" i="5" l="1"/>
  <c r="W67" i="8" l="1"/>
  <c r="V52" i="8"/>
  <c r="U40" i="8"/>
  <c r="V49" i="8"/>
  <c r="U43" i="8"/>
  <c r="V55" i="8"/>
  <c r="T28" i="8"/>
  <c r="D28" i="8"/>
  <c r="T49" i="8"/>
  <c r="D49" i="8"/>
  <c r="D58" i="8"/>
  <c r="T58" i="8"/>
  <c r="T133" i="8"/>
  <c r="D133" i="8"/>
  <c r="D67" i="8"/>
  <c r="T67" i="8"/>
  <c r="D244" i="8"/>
  <c r="T244" i="8"/>
  <c r="D61" i="8"/>
  <c r="T61" i="8"/>
  <c r="T235" i="8"/>
  <c r="D235" i="8"/>
  <c r="T43" i="8"/>
  <c r="D43" i="8"/>
  <c r="D139" i="8"/>
  <c r="T139" i="8"/>
  <c r="T223" i="8"/>
  <c r="D223" i="8"/>
  <c r="T202" i="8"/>
  <c r="D202" i="8"/>
  <c r="T142" i="8"/>
  <c r="D142" i="8"/>
  <c r="T178" i="8"/>
  <c r="D178" i="8"/>
  <c r="T55" i="8"/>
  <c r="D55" i="8"/>
  <c r="T40" i="8"/>
  <c r="D40" i="8"/>
  <c r="T151" i="8"/>
  <c r="D151" i="8"/>
  <c r="D121" i="8"/>
  <c r="T121" i="8"/>
  <c r="T238" i="8"/>
  <c r="D238" i="8"/>
  <c r="D31" i="8"/>
  <c r="T31" i="8"/>
  <c r="T205" i="8"/>
  <c r="D205" i="8"/>
  <c r="D34" i="8"/>
  <c r="T34" i="8"/>
  <c r="D154" i="8"/>
  <c r="T154" i="8"/>
  <c r="T241" i="8"/>
  <c r="D241" i="8"/>
  <c r="T106" i="8"/>
  <c r="D106" i="8"/>
  <c r="T175" i="8"/>
  <c r="D175" i="8"/>
  <c r="D37" i="8"/>
  <c r="T37" i="8"/>
  <c r="T52" i="8"/>
  <c r="D52" i="8"/>
  <c r="D259" i="8"/>
  <c r="T259" i="8"/>
  <c r="D115" i="8"/>
  <c r="T115" i="8"/>
  <c r="Z88" i="8" l="1"/>
  <c r="Y91" i="8"/>
  <c r="W73" i="8"/>
  <c r="W76" i="8"/>
  <c r="X85" i="8"/>
  <c r="W70" i="8"/>
  <c r="T91" i="8"/>
  <c r="D91" i="8"/>
  <c r="D199" i="8"/>
  <c r="T199" i="8"/>
  <c r="D184" i="8"/>
  <c r="T184" i="8"/>
  <c r="D97" i="8"/>
  <c r="T97" i="8"/>
  <c r="D46" i="8"/>
  <c r="T46" i="8"/>
  <c r="T100" i="8"/>
  <c r="D100" i="8"/>
  <c r="D166" i="8"/>
  <c r="T166" i="8"/>
  <c r="T214" i="8"/>
  <c r="D214" i="8"/>
  <c r="T73" i="8"/>
  <c r="D73" i="8"/>
  <c r="D109" i="8"/>
  <c r="T109" i="8"/>
  <c r="D256" i="8"/>
  <c r="T256" i="8"/>
  <c r="D136" i="8"/>
  <c r="T136" i="8"/>
  <c r="T25" i="8"/>
  <c r="D25" i="8"/>
  <c r="D112" i="8"/>
  <c r="T112" i="8"/>
  <c r="D211" i="8"/>
  <c r="T211" i="8"/>
  <c r="D190" i="8"/>
  <c r="T190" i="8"/>
  <c r="D181" i="8"/>
  <c r="T181" i="8"/>
  <c r="T160" i="8"/>
  <c r="D160" i="8"/>
  <c r="D94" i="8"/>
  <c r="T94" i="8"/>
  <c r="D187" i="8"/>
  <c r="T187" i="8"/>
  <c r="T193" i="8"/>
  <c r="D193" i="8"/>
  <c r="D145" i="8"/>
  <c r="T145" i="8"/>
  <c r="T217" i="8"/>
  <c r="D217" i="8"/>
  <c r="T196" i="8"/>
  <c r="D196" i="8"/>
  <c r="D157" i="8"/>
  <c r="T157" i="8"/>
  <c r="T118" i="8"/>
  <c r="D118" i="8"/>
  <c r="T64" i="8"/>
  <c r="D64" i="8"/>
  <c r="D85" i="8"/>
  <c r="T85" i="8"/>
  <c r="T76" i="8"/>
  <c r="D76" i="8"/>
  <c r="T103" i="8"/>
  <c r="D103" i="8"/>
  <c r="D172" i="8"/>
  <c r="T172" i="8"/>
  <c r="D70" i="8"/>
  <c r="T70" i="8"/>
  <c r="D130" i="8"/>
  <c r="T130" i="8"/>
  <c r="D127" i="8"/>
  <c r="T127" i="8"/>
  <c r="D250" i="8"/>
  <c r="T250" i="8"/>
  <c r="T229" i="8"/>
  <c r="D229" i="8"/>
  <c r="T169" i="8"/>
  <c r="D169" i="8"/>
  <c r="D232" i="8"/>
  <c r="T232" i="8"/>
  <c r="D163" i="8"/>
  <c r="T163" i="8"/>
  <c r="T82" i="8"/>
  <c r="D82" i="8"/>
  <c r="D208" i="8"/>
  <c r="T208" i="8"/>
  <c r="T79" i="8"/>
  <c r="D79" i="8"/>
  <c r="T124" i="8"/>
  <c r="D124" i="8"/>
  <c r="T226" i="8"/>
  <c r="D226" i="8"/>
  <c r="T148" i="8"/>
  <c r="D148" i="8"/>
  <c r="T253" i="8"/>
  <c r="D253" i="8"/>
  <c r="D247" i="8"/>
  <c r="T247" i="8"/>
  <c r="D220" i="8"/>
  <c r="T220" i="8"/>
  <c r="D88" i="8"/>
  <c r="T88" i="8"/>
  <c r="W183" i="5" l="1"/>
  <c r="H183" i="12" s="1"/>
  <c r="AF85" i="5"/>
  <c r="AF167" i="5"/>
  <c r="AF177" i="5"/>
  <c r="AF120" i="5"/>
  <c r="AF257" i="5"/>
  <c r="AF99" i="5"/>
  <c r="AF261" i="5"/>
  <c r="AF103" i="5"/>
  <c r="AF105" i="5"/>
  <c r="AF116" i="5"/>
  <c r="AF236" i="5"/>
  <c r="AF143" i="5"/>
  <c r="AF58" i="5"/>
  <c r="AF140" i="5"/>
  <c r="AF44" i="5"/>
  <c r="AF180" i="5"/>
  <c r="AF32" i="5"/>
  <c r="AF249" i="5"/>
  <c r="AF411" i="5"/>
  <c r="AF454" i="5"/>
  <c r="AF428" i="5"/>
  <c r="AF513" i="5"/>
  <c r="AF425" i="5"/>
  <c r="AF553" i="5"/>
  <c r="AF326" i="5"/>
  <c r="AF461" i="5"/>
  <c r="AF523" i="5"/>
  <c r="AF516" i="5"/>
  <c r="AF400" i="5"/>
  <c r="AF651" i="5"/>
  <c r="AF506" i="5"/>
  <c r="AF491" i="5"/>
  <c r="AF504" i="5"/>
  <c r="AF688" i="5"/>
  <c r="AF723" i="5"/>
  <c r="AF648" i="5"/>
  <c r="AF467" i="5"/>
  <c r="AF443" i="5"/>
  <c r="AF518" i="5"/>
  <c r="AF399" i="5"/>
  <c r="AF277" i="5"/>
  <c r="AF675" i="5"/>
  <c r="AF408" i="5"/>
  <c r="AF510" i="5"/>
  <c r="AF435" i="5"/>
  <c r="AF422" i="5"/>
  <c r="AF318" i="5"/>
  <c r="AF700" i="5"/>
  <c r="AF599" i="5"/>
  <c r="AF298" i="5"/>
  <c r="AF338" i="5"/>
  <c r="AF492" i="5"/>
  <c r="AF52" i="5"/>
  <c r="AF179" i="5"/>
  <c r="AF71" i="5"/>
  <c r="AF224" i="5"/>
  <c r="AF214" i="5"/>
  <c r="AF329" i="5"/>
  <c r="AF342" i="5"/>
  <c r="AF457" i="5"/>
  <c r="AF102" i="5"/>
  <c r="AF90" i="5"/>
  <c r="AF250" i="5"/>
  <c r="AF328" i="5"/>
  <c r="AF664" i="5"/>
  <c r="AF625" i="5"/>
  <c r="AF20" i="5"/>
  <c r="AF166" i="5"/>
  <c r="AF48" i="5"/>
  <c r="AF112" i="5"/>
  <c r="AF240" i="5"/>
  <c r="AF133" i="5"/>
  <c r="AF256" i="5"/>
  <c r="AF131" i="5"/>
  <c r="AF123" i="5"/>
  <c r="AF134" i="5"/>
  <c r="AF254" i="5"/>
  <c r="AF125" i="5"/>
  <c r="AF178" i="5"/>
  <c r="AF132" i="5"/>
  <c r="AF50" i="5"/>
  <c r="AF206" i="5"/>
  <c r="AF54" i="5"/>
  <c r="AF331" i="5"/>
  <c r="AF551" i="5"/>
  <c r="AF563" i="5"/>
  <c r="AF714" i="5"/>
  <c r="AF534" i="5"/>
  <c r="AF446" i="5"/>
  <c r="AF663" i="5"/>
  <c r="AF452" i="5"/>
  <c r="AF498" i="5"/>
  <c r="AF527" i="5"/>
  <c r="AF374" i="5"/>
  <c r="AF608" i="5"/>
  <c r="AF448" i="5"/>
  <c r="AF315" i="5"/>
  <c r="AF268" i="5"/>
  <c r="AF722" i="5"/>
  <c r="AF360" i="5"/>
  <c r="AF278" i="5"/>
  <c r="AF562" i="5"/>
  <c r="AF367" i="5"/>
  <c r="AF483" i="5"/>
  <c r="AF440" i="5"/>
  <c r="AF600" i="5"/>
  <c r="AF302" i="5"/>
  <c r="AF610" i="5"/>
  <c r="AF451" i="5"/>
  <c r="AF503" i="5"/>
  <c r="AF393" i="5"/>
  <c r="AF577" i="5"/>
  <c r="AF423" i="5"/>
  <c r="AF344" i="5"/>
  <c r="AF470" i="5"/>
  <c r="AF669" i="5"/>
  <c r="AF499" i="5"/>
  <c r="AF540" i="5"/>
  <c r="AF63" i="5"/>
  <c r="AF191" i="5"/>
  <c r="AF70" i="5"/>
  <c r="AF231" i="5"/>
  <c r="AF84" i="5"/>
  <c r="AF98" i="5"/>
  <c r="AF119" i="5"/>
  <c r="AF162" i="5"/>
  <c r="AF416" i="5"/>
  <c r="AF343" i="5"/>
  <c r="AF376" i="5"/>
  <c r="AF719" i="5"/>
  <c r="AF560" i="5"/>
  <c r="AF571" i="5"/>
  <c r="AF241" i="5"/>
  <c r="AF46" i="5"/>
  <c r="AF333" i="5"/>
  <c r="AF541" i="5"/>
  <c r="AF59" i="5"/>
  <c r="AF184" i="5"/>
  <c r="AF203" i="5"/>
  <c r="AF111" i="5"/>
  <c r="AF212" i="5"/>
  <c r="AF147" i="5"/>
  <c r="AF190" i="5"/>
  <c r="AF138" i="5"/>
  <c r="AF242" i="5"/>
  <c r="AF160" i="5"/>
  <c r="AF142" i="5"/>
  <c r="AF146" i="5"/>
  <c r="AF27" i="5"/>
  <c r="AF158" i="5"/>
  <c r="AF56" i="5"/>
  <c r="AF198" i="5"/>
  <c r="AF83" i="5"/>
  <c r="AF480" i="5"/>
  <c r="AF574" i="5"/>
  <c r="AF305" i="5"/>
  <c r="AF429" i="5"/>
  <c r="AF566" i="5"/>
  <c r="AF501" i="5"/>
  <c r="AF348" i="5"/>
  <c r="AF354" i="5"/>
  <c r="AF357" i="5"/>
  <c r="AF685" i="5"/>
  <c r="AF661" i="5"/>
  <c r="AF297" i="5"/>
  <c r="AF684" i="5"/>
  <c r="AF262" i="5"/>
  <c r="AF645" i="5"/>
  <c r="AF639" i="5"/>
  <c r="AF666" i="5"/>
  <c r="AF442" i="5"/>
  <c r="AF414" i="5"/>
  <c r="AF616" i="5"/>
  <c r="AF515" i="5"/>
  <c r="AF713" i="5"/>
  <c r="AF320" i="5"/>
  <c r="AF465" i="5"/>
  <c r="AF439" i="5"/>
  <c r="AF394" i="5"/>
  <c r="AF597" i="5"/>
  <c r="AF709" i="5"/>
  <c r="AF575" i="5"/>
  <c r="AF689" i="5"/>
  <c r="AF350" i="5"/>
  <c r="AF716" i="5"/>
  <c r="AF493" i="5"/>
  <c r="AF677" i="5"/>
  <c r="AF605" i="5"/>
  <c r="AF68" i="5"/>
  <c r="AF197" i="5"/>
  <c r="AF100" i="5"/>
  <c r="AF245" i="5"/>
  <c r="AF96" i="5"/>
  <c r="AF130" i="5"/>
  <c r="AF373" i="5"/>
  <c r="AF670" i="5"/>
  <c r="AF578" i="5"/>
  <c r="AF321" i="5"/>
  <c r="AF265" i="5"/>
  <c r="AF40" i="5"/>
  <c r="AF124" i="5"/>
  <c r="AF255" i="5"/>
  <c r="AF596" i="5"/>
  <c r="AF289" i="5"/>
  <c r="AF438" i="5"/>
  <c r="AF692" i="5"/>
  <c r="AF29" i="5"/>
  <c r="AF186" i="5"/>
  <c r="AF18" i="5"/>
  <c r="AF153" i="5"/>
  <c r="AF21" i="5"/>
  <c r="AF113" i="5"/>
  <c r="AF259" i="5"/>
  <c r="AF122" i="5"/>
  <c r="AF19" i="5"/>
  <c r="AF159" i="5"/>
  <c r="AF174" i="5"/>
  <c r="AF161" i="5"/>
  <c r="AF14" i="5"/>
  <c r="AF171" i="5"/>
  <c r="AF73" i="5"/>
  <c r="AF218" i="5"/>
  <c r="AF78" i="5"/>
  <c r="AF330" i="5"/>
  <c r="AF502" i="5"/>
  <c r="AF368" i="5"/>
  <c r="AF324" i="5"/>
  <c r="AF619" i="5"/>
  <c r="AF463" i="5"/>
  <c r="AF630" i="5"/>
  <c r="AF312" i="5"/>
  <c r="AF569" i="5"/>
  <c r="AF384" i="5"/>
  <c r="AF366" i="5"/>
  <c r="AF264" i="5"/>
  <c r="AF717" i="5"/>
  <c r="AF426" i="5"/>
  <c r="AF696" i="5"/>
  <c r="AF522" i="5"/>
  <c r="AF500" i="5"/>
  <c r="AF497" i="5"/>
  <c r="AF706" i="5"/>
  <c r="AF642" i="5"/>
  <c r="AF690" i="5"/>
  <c r="AF434" i="5"/>
  <c r="AF378" i="5"/>
  <c r="AF544" i="5"/>
  <c r="AF505" i="5"/>
  <c r="AF494" i="5"/>
  <c r="AF291" i="5"/>
  <c r="AF420" i="5"/>
  <c r="AF301" i="5"/>
  <c r="AF390" i="5"/>
  <c r="AF405" i="5"/>
  <c r="AF287" i="5"/>
  <c r="AF290" i="5"/>
  <c r="AF555" i="5"/>
  <c r="AF649" i="5"/>
  <c r="AF74" i="5"/>
  <c r="AF227" i="5"/>
  <c r="AF129" i="5"/>
  <c r="AF252" i="5"/>
  <c r="AF233" i="5"/>
  <c r="AF445" i="5"/>
  <c r="AF424" i="5"/>
  <c r="AF269" i="5"/>
  <c r="AF201" i="5"/>
  <c r="AF235" i="5"/>
  <c r="AF139" i="5"/>
  <c r="AF413" i="5"/>
  <c r="AF665" i="5"/>
  <c r="AF337" i="5"/>
  <c r="AF485" i="5"/>
  <c r="AF221" i="5"/>
  <c r="AF38" i="5"/>
  <c r="AF193" i="5"/>
  <c r="AF17" i="5"/>
  <c r="AF164" i="5"/>
  <c r="AF215" i="5"/>
  <c r="AF151" i="5"/>
  <c r="AF28" i="5"/>
  <c r="AF156" i="5"/>
  <c r="AF36" i="5"/>
  <c r="AF181" i="5"/>
  <c r="AF22" i="5"/>
  <c r="AF155" i="5"/>
  <c r="AF31" i="5"/>
  <c r="AF187" i="5"/>
  <c r="AF89" i="5"/>
  <c r="AF238" i="5"/>
  <c r="AF95" i="5"/>
  <c r="AF678" i="5"/>
  <c r="AF532" i="5"/>
  <c r="AF432" i="5"/>
  <c r="AF637" i="5"/>
  <c r="AF462" i="5"/>
  <c r="AF385" i="5"/>
  <c r="AF336" i="5"/>
  <c r="AF267" i="5"/>
  <c r="AF313" i="5"/>
  <c r="AF617" i="5"/>
  <c r="AF410" i="5"/>
  <c r="AF409" i="5"/>
  <c r="AF339" i="5"/>
  <c r="AF323" i="5"/>
  <c r="AF437" i="5"/>
  <c r="AF458" i="5"/>
  <c r="AF478" i="5"/>
  <c r="AF725" i="5"/>
  <c r="AF621" i="5"/>
  <c r="AF655" i="5"/>
  <c r="AF576" i="5"/>
  <c r="AF662" i="5"/>
  <c r="AF362" i="5"/>
  <c r="AF702" i="5"/>
  <c r="AF601" i="5"/>
  <c r="AF634" i="5"/>
  <c r="AF647" i="5"/>
  <c r="AF403" i="5"/>
  <c r="AF288" i="5"/>
  <c r="AF466" i="5"/>
  <c r="AF383" i="5"/>
  <c r="AF650" i="5"/>
  <c r="AF683" i="5"/>
  <c r="AF404" i="5"/>
  <c r="AF266" i="5"/>
  <c r="AF106" i="5"/>
  <c r="AF237" i="5"/>
  <c r="AF118" i="5"/>
  <c r="AF149" i="5"/>
  <c r="AF258" i="5"/>
  <c r="AF150" i="5"/>
  <c r="AF592" i="5"/>
  <c r="AF471" i="5"/>
  <c r="AF276" i="5"/>
  <c r="AF299" i="5"/>
  <c r="AF352" i="5"/>
  <c r="AF398" i="5"/>
  <c r="AF239" i="5"/>
  <c r="AF172" i="5"/>
  <c r="AF509" i="5"/>
  <c r="AF386" i="5"/>
  <c r="AF282" i="5"/>
  <c r="AF55" i="5"/>
  <c r="AF62" i="5"/>
  <c r="AF211" i="5"/>
  <c r="AF33" i="5"/>
  <c r="AF169" i="5"/>
  <c r="AF26" i="5"/>
  <c r="AF163" i="5"/>
  <c r="AF16" i="5"/>
  <c r="AF154" i="5"/>
  <c r="AF37" i="5"/>
  <c r="AF194" i="5"/>
  <c r="AF42" i="5"/>
  <c r="AF188" i="5"/>
  <c r="AF30" i="5"/>
  <c r="AF202" i="5"/>
  <c r="AF107" i="5"/>
  <c r="AF243" i="5"/>
  <c r="AF117" i="5"/>
  <c r="AF444" i="5"/>
  <c r="AF294" i="5"/>
  <c r="AF351" i="5"/>
  <c r="AF358" i="5"/>
  <c r="AF720" i="5"/>
  <c r="AF334" i="5"/>
  <c r="AF450" i="5"/>
  <c r="AF558" i="5"/>
  <c r="AF308" i="5"/>
  <c r="AF676" i="5"/>
  <c r="AF495" i="5"/>
  <c r="AF372" i="5"/>
  <c r="AF275" i="5"/>
  <c r="AF279" i="5"/>
  <c r="AF622" i="5"/>
  <c r="AF535" i="5"/>
  <c r="AF632" i="5"/>
  <c r="AF602" i="5"/>
  <c r="AF314" i="5"/>
  <c r="AF361" i="5"/>
  <c r="AF283" i="5"/>
  <c r="AF382" i="5"/>
  <c r="AF552" i="5"/>
  <c r="AF533" i="5"/>
  <c r="AF325" i="5"/>
  <c r="AF572" i="5"/>
  <c r="AF332" i="5"/>
  <c r="AF496" i="5"/>
  <c r="AF694" i="5"/>
  <c r="AF635" i="5"/>
  <c r="AF658" i="5"/>
  <c r="AF588" i="5"/>
  <c r="AF280" i="5"/>
  <c r="AF346" i="5"/>
  <c r="AF565" i="5"/>
  <c r="AF101" i="5"/>
  <c r="AF246" i="5"/>
  <c r="AF127" i="5"/>
  <c r="AF88" i="5"/>
  <c r="AF590" i="5"/>
  <c r="AF587" i="5"/>
  <c r="AF157" i="5"/>
  <c r="AF631" i="5"/>
  <c r="AF583" i="5"/>
  <c r="AF538" i="5"/>
  <c r="AF598" i="5"/>
  <c r="AF173" i="5"/>
  <c r="AF81" i="5"/>
  <c r="AF219" i="5"/>
  <c r="AF66" i="5"/>
  <c r="AF182" i="5"/>
  <c r="AF45" i="5"/>
  <c r="AF176" i="5"/>
  <c r="AF67" i="5"/>
  <c r="AF183" i="5"/>
  <c r="AF39" i="5"/>
  <c r="AF192" i="5"/>
  <c r="AF34" i="5"/>
  <c r="AF205" i="5"/>
  <c r="AF60" i="5"/>
  <c r="AF195" i="5"/>
  <c r="AF135" i="5"/>
  <c r="AF251" i="5"/>
  <c r="AF144" i="5"/>
  <c r="AF473" i="5"/>
  <c r="AF641" i="5"/>
  <c r="AF375" i="5"/>
  <c r="AF517" i="5"/>
  <c r="AF284" i="5"/>
  <c r="AF460" i="5"/>
  <c r="AF537" i="5"/>
  <c r="AF674" i="5"/>
  <c r="AF489" i="5"/>
  <c r="AF370" i="5"/>
  <c r="AF633" i="5"/>
  <c r="AF653" i="5"/>
  <c r="AF379" i="5"/>
  <c r="AF433" i="5"/>
  <c r="AF271" i="5"/>
  <c r="AF644" i="5"/>
  <c r="AF691" i="5"/>
  <c r="AF389" i="5"/>
  <c r="AF371" i="5"/>
  <c r="AF341" i="5"/>
  <c r="AF306" i="5"/>
  <c r="AF340" i="5"/>
  <c r="AF704" i="5"/>
  <c r="AF556" i="5"/>
  <c r="AF307" i="5"/>
  <c r="AF671" i="5"/>
  <c r="AF273" i="5"/>
  <c r="AF270" i="5"/>
  <c r="AF528" i="5"/>
  <c r="AF453" i="5"/>
  <c r="AF412" i="5"/>
  <c r="AF263" i="5"/>
  <c r="AF672" i="5"/>
  <c r="AF377" i="5"/>
  <c r="AF579" i="5"/>
  <c r="AF141" i="5"/>
  <c r="AF97" i="5"/>
  <c r="AF165" i="5"/>
  <c r="AF86" i="5"/>
  <c r="AF253" i="5"/>
  <c r="AF25" i="5"/>
  <c r="AF292" i="5"/>
  <c r="AF345" i="5"/>
  <c r="AF545" i="5"/>
  <c r="AF168" i="5"/>
  <c r="AF75" i="5"/>
  <c r="AF657" i="5"/>
  <c r="AF449" i="5"/>
  <c r="AF380" i="5"/>
  <c r="AF593" i="5"/>
  <c r="AF681" i="5"/>
  <c r="AF69" i="5"/>
  <c r="AF229" i="5"/>
  <c r="AF35" i="5"/>
  <c r="AF200" i="5"/>
  <c r="AF57" i="5"/>
  <c r="AF189" i="5"/>
  <c r="AF53" i="5"/>
  <c r="AF199" i="5"/>
  <c r="AF82" i="5"/>
  <c r="AF223" i="5"/>
  <c r="AF51" i="5"/>
  <c r="AF204" i="5"/>
  <c r="AF76" i="5"/>
  <c r="AF220" i="5"/>
  <c r="AF121" i="5"/>
  <c r="AF185" i="5"/>
  <c r="AF115" i="5"/>
  <c r="AF646" i="5"/>
  <c r="AF627" i="5"/>
  <c r="AF441" i="5"/>
  <c r="AF726" i="5"/>
  <c r="AF612" i="5"/>
  <c r="AF474" i="5"/>
  <c r="AF359" i="5"/>
  <c r="AF536" i="5"/>
  <c r="AF475" i="5"/>
  <c r="AF335" i="5"/>
  <c r="AF589" i="5"/>
  <c r="AF699" i="5"/>
  <c r="AF529" i="5"/>
  <c r="AF585" i="5"/>
  <c r="AF697" i="5"/>
  <c r="AF514" i="5"/>
  <c r="AF419" i="5"/>
  <c r="AF693" i="5"/>
  <c r="AF680" i="5"/>
  <c r="AF703" i="5"/>
  <c r="AF369" i="5"/>
  <c r="AF606" i="5"/>
  <c r="AF624" i="5"/>
  <c r="AF667" i="5"/>
  <c r="AF594" i="5"/>
  <c r="AF638" i="5"/>
  <c r="AF381" i="5"/>
  <c r="AF406" i="5"/>
  <c r="AF711" i="5"/>
  <c r="AF549" i="5"/>
  <c r="AF387" i="5"/>
  <c r="AF548" i="5"/>
  <c r="AF397" i="5"/>
  <c r="AF456" i="5"/>
  <c r="AF311" i="5"/>
  <c r="AF137" i="5"/>
  <c r="AF234" i="5"/>
  <c r="AF152" i="5"/>
  <c r="AF222" i="5"/>
  <c r="AF395" i="5"/>
  <c r="AF396" i="5"/>
  <c r="AF303" i="5"/>
  <c r="AF77" i="5"/>
  <c r="AF24" i="5"/>
  <c r="AF707" i="5"/>
  <c r="AF355" i="5"/>
  <c r="AF23" i="5"/>
  <c r="AF93" i="5"/>
  <c r="AF244" i="5"/>
  <c r="AF49" i="5"/>
  <c r="AF228" i="5"/>
  <c r="AF65" i="5"/>
  <c r="AF207" i="5"/>
  <c r="AF47" i="5"/>
  <c r="AF196" i="5"/>
  <c r="AF80" i="5"/>
  <c r="AF226" i="5"/>
  <c r="AF91" i="5"/>
  <c r="AF210" i="5"/>
  <c r="AF79" i="5"/>
  <c r="AF247" i="5"/>
  <c r="AF128" i="5"/>
  <c r="AF61" i="5"/>
  <c r="AF145" i="5"/>
  <c r="AF581" i="5"/>
  <c r="AF469" i="5"/>
  <c r="AF511" i="5"/>
  <c r="AF317" i="5"/>
  <c r="AF603" i="5"/>
  <c r="AF296" i="5"/>
  <c r="AF347" i="5"/>
  <c r="AF547" i="5"/>
  <c r="AF557" i="5"/>
  <c r="AF364" i="5"/>
  <c r="AF401" i="5"/>
  <c r="AF391" i="5"/>
  <c r="AF542" i="5"/>
  <c r="AF564" i="5"/>
  <c r="AF673" i="5"/>
  <c r="AF272" i="5"/>
  <c r="AF629" i="5"/>
  <c r="AF455" i="5"/>
  <c r="AF546" i="5"/>
  <c r="AF388" i="5"/>
  <c r="AF615" i="5"/>
  <c r="AF309" i="5"/>
  <c r="AF430" i="5"/>
  <c r="AF427" i="5"/>
  <c r="AF584" i="5"/>
  <c r="AF718" i="5"/>
  <c r="AF525" i="5"/>
  <c r="AF274" i="5"/>
  <c r="AF327" i="5"/>
  <c r="AF652" i="5"/>
  <c r="AF626" i="5"/>
  <c r="AF539" i="5"/>
  <c r="AF392" i="5"/>
  <c r="AF708" i="5"/>
  <c r="AF447" i="5"/>
  <c r="AF109" i="5"/>
  <c r="AF43" i="5"/>
  <c r="AF170" i="5"/>
  <c r="AF230" i="5"/>
  <c r="AF531" i="5"/>
  <c r="AF698" i="5"/>
  <c r="AF232" i="5"/>
  <c r="AF487" i="5"/>
  <c r="AF521" i="5"/>
  <c r="AF407" i="5"/>
  <c r="AF559" i="5"/>
  <c r="AF114" i="5"/>
  <c r="AF260" i="5"/>
  <c r="AF92" i="5"/>
  <c r="AF217" i="5"/>
  <c r="AF64" i="5"/>
  <c r="AF213" i="5"/>
  <c r="AF87" i="5"/>
  <c r="AF225" i="5"/>
  <c r="AF72" i="5"/>
  <c r="AF248" i="5"/>
  <c r="AF108" i="5"/>
  <c r="AF216" i="5"/>
  <c r="AF94" i="5"/>
  <c r="AF104" i="5"/>
  <c r="AF136" i="5"/>
  <c r="AF209" i="5"/>
  <c r="AF208" i="5"/>
  <c r="AF573" i="5"/>
  <c r="AF310" i="5"/>
  <c r="AF431" i="5"/>
  <c r="AF614" i="5"/>
  <c r="AF286" i="5"/>
  <c r="AF519" i="5"/>
  <c r="AF687" i="5"/>
  <c r="AF486" i="5"/>
  <c r="AF482" i="5"/>
  <c r="AF464" i="5"/>
  <c r="AF468" i="5"/>
  <c r="AF507" i="5"/>
  <c r="AF609" i="5"/>
  <c r="AF705" i="5"/>
  <c r="AF524" i="5"/>
  <c r="AF356" i="5"/>
  <c r="AF488" i="5"/>
  <c r="AF611" i="5"/>
  <c r="AF623" i="5"/>
  <c r="AF477" i="5"/>
  <c r="AF561" i="5"/>
  <c r="AF659" i="5"/>
  <c r="AF550" i="5"/>
  <c r="AF363" i="5"/>
  <c r="AF322" i="5"/>
  <c r="AF582" i="5"/>
  <c r="AF481" i="5"/>
  <c r="AF459" i="5"/>
  <c r="AF568" i="5"/>
  <c r="AF554" i="5"/>
  <c r="AF281" i="5"/>
  <c r="AF520" i="5"/>
  <c r="AF679" i="5"/>
  <c r="AF304" i="5"/>
  <c r="AF620" i="5"/>
  <c r="AF148" i="5"/>
  <c r="AF41" i="5"/>
  <c r="AF175" i="5"/>
  <c r="AF110" i="5"/>
  <c r="AF570" i="5"/>
  <c r="AF484" i="5"/>
  <c r="AF126" i="5"/>
  <c r="AF512" i="5"/>
  <c r="AF586" i="5"/>
  <c r="AF417" i="5"/>
  <c r="AG417" i="5" l="1"/>
  <c r="U417" i="5" s="1"/>
  <c r="S417" i="5"/>
  <c r="G417" i="6" s="1"/>
  <c r="R417" i="5"/>
  <c r="AG586" i="5"/>
  <c r="U586" i="5" s="1"/>
  <c r="S586" i="5"/>
  <c r="G586" i="6" s="1"/>
  <c r="R586" i="5"/>
  <c r="S512" i="5"/>
  <c r="G512" i="6" s="1"/>
  <c r="AG512" i="5"/>
  <c r="U512" i="5" s="1"/>
  <c r="R512" i="5"/>
  <c r="AG126" i="5"/>
  <c r="U126" i="5" s="1"/>
  <c r="AN126" i="5" s="1"/>
  <c r="S126" i="5"/>
  <c r="R484" i="5"/>
  <c r="AG484" i="5"/>
  <c r="U484" i="5" s="1"/>
  <c r="S484" i="5"/>
  <c r="G484" i="6" s="1"/>
  <c r="R570" i="5"/>
  <c r="S570" i="5"/>
  <c r="G570" i="6" s="1"/>
  <c r="AG110" i="5"/>
  <c r="U110" i="5" s="1"/>
  <c r="AN110" i="5" s="1"/>
  <c r="S110" i="5"/>
  <c r="S175" i="5"/>
  <c r="G175" i="6" s="1"/>
  <c r="R175" i="5"/>
  <c r="AG175" i="5"/>
  <c r="U175" i="5" s="1"/>
  <c r="AG41" i="5"/>
  <c r="U41" i="5" s="1"/>
  <c r="S41" i="5"/>
  <c r="G41" i="6" s="1"/>
  <c r="R41" i="5"/>
  <c r="S148" i="5"/>
  <c r="G148" i="6" s="1"/>
  <c r="R148" i="5"/>
  <c r="S620" i="5"/>
  <c r="G620" i="6" s="1"/>
  <c r="R620" i="5"/>
  <c r="AG304" i="5"/>
  <c r="U304" i="5" s="1"/>
  <c r="S304" i="5"/>
  <c r="G304" i="6" s="1"/>
  <c r="R304" i="5"/>
  <c r="R679" i="5"/>
  <c r="S679" i="5"/>
  <c r="G679" i="6" s="1"/>
  <c r="R520" i="5"/>
  <c r="AG520" i="5"/>
  <c r="U520" i="5" s="1"/>
  <c r="S520" i="5"/>
  <c r="G520" i="6" s="1"/>
  <c r="S281" i="5"/>
  <c r="G281" i="6" s="1"/>
  <c r="R281" i="5"/>
  <c r="R554" i="5"/>
  <c r="S554" i="5"/>
  <c r="G554" i="6" s="1"/>
  <c r="AG554" i="5"/>
  <c r="U554" i="5" s="1"/>
  <c r="S568" i="5"/>
  <c r="G568" i="6" s="1"/>
  <c r="R568" i="5"/>
  <c r="R459" i="5"/>
  <c r="S459" i="5"/>
  <c r="G459" i="6" s="1"/>
  <c r="S481" i="5"/>
  <c r="G481" i="6" s="1"/>
  <c r="R481" i="5"/>
  <c r="R582" i="5"/>
  <c r="AG582" i="5"/>
  <c r="U582" i="5" s="1"/>
  <c r="S582" i="5"/>
  <c r="G582" i="6" s="1"/>
  <c r="S322" i="5"/>
  <c r="G322" i="6" s="1"/>
  <c r="AG322" i="5"/>
  <c r="U322" i="5" s="1"/>
  <c r="R322" i="5"/>
  <c r="R363" i="5"/>
  <c r="AG363" i="5"/>
  <c r="U363" i="5" s="1"/>
  <c r="S363" i="5"/>
  <c r="G363" i="6" s="1"/>
  <c r="AG550" i="5"/>
  <c r="U550" i="5" s="1"/>
  <c r="S550" i="5"/>
  <c r="G550" i="6" s="1"/>
  <c r="R550" i="5"/>
  <c r="S659" i="5"/>
  <c r="G659" i="6" s="1"/>
  <c r="R659" i="5"/>
  <c r="S561" i="5"/>
  <c r="G561" i="6" s="1"/>
  <c r="R561" i="5"/>
  <c r="S477" i="5"/>
  <c r="G477" i="6" s="1"/>
  <c r="R477" i="5"/>
  <c r="R623" i="5"/>
  <c r="S623" i="5"/>
  <c r="G623" i="6" s="1"/>
  <c r="R611" i="5"/>
  <c r="S611" i="5"/>
  <c r="G611" i="6" s="1"/>
  <c r="AG611" i="5"/>
  <c r="U611" i="5" s="1"/>
  <c r="AG488" i="5"/>
  <c r="U488" i="5" s="1"/>
  <c r="R488" i="5"/>
  <c r="S488" i="5"/>
  <c r="G488" i="6" s="1"/>
  <c r="R356" i="5"/>
  <c r="S356" i="5"/>
  <c r="G356" i="6" s="1"/>
  <c r="AG356" i="5"/>
  <c r="U356" i="5" s="1"/>
  <c r="S524" i="5"/>
  <c r="G524" i="6" s="1"/>
  <c r="AG524" i="5"/>
  <c r="U524" i="5" s="1"/>
  <c r="R524" i="5"/>
  <c r="S705" i="5"/>
  <c r="G705" i="6" s="1"/>
  <c r="R705" i="5"/>
  <c r="AG705" i="5"/>
  <c r="U705" i="5" s="1"/>
  <c r="R609" i="5"/>
  <c r="AG609" i="5"/>
  <c r="U609" i="5" s="1"/>
  <c r="AN609" i="5" s="1"/>
  <c r="S609" i="5"/>
  <c r="G609" i="6" s="1"/>
  <c r="R507" i="5"/>
  <c r="S507" i="5"/>
  <c r="G507" i="6" s="1"/>
  <c r="AG468" i="5"/>
  <c r="U468" i="5" s="1"/>
  <c r="S468" i="5"/>
  <c r="G468" i="6" s="1"/>
  <c r="R468" i="5"/>
  <c r="S464" i="5"/>
  <c r="G464" i="6" s="1"/>
  <c r="R464" i="5"/>
  <c r="AG482" i="5"/>
  <c r="U482" i="5" s="1"/>
  <c r="S482" i="5"/>
  <c r="G482" i="6" s="1"/>
  <c r="R482" i="5"/>
  <c r="R486" i="5"/>
  <c r="S486" i="5"/>
  <c r="G486" i="6" s="1"/>
  <c r="AG486" i="5"/>
  <c r="U486" i="5" s="1"/>
  <c r="R687" i="5"/>
  <c r="S687" i="5"/>
  <c r="G687" i="6" s="1"/>
  <c r="AG687" i="5"/>
  <c r="U687" i="5" s="1"/>
  <c r="R519" i="5"/>
  <c r="S519" i="5"/>
  <c r="G519" i="6" s="1"/>
  <c r="AG519" i="5"/>
  <c r="U519" i="5" s="1"/>
  <c r="S286" i="5"/>
  <c r="G286" i="6" s="1"/>
  <c r="AG286" i="5"/>
  <c r="U286" i="5" s="1"/>
  <c r="R286" i="5"/>
  <c r="AG614" i="5"/>
  <c r="U614" i="5" s="1"/>
  <c r="AN614" i="5" s="1"/>
  <c r="R614" i="5"/>
  <c r="S614" i="5"/>
  <c r="G614" i="6" s="1"/>
  <c r="S431" i="5"/>
  <c r="G431" i="6" s="1"/>
  <c r="R431" i="5"/>
  <c r="S310" i="5"/>
  <c r="G310" i="6" s="1"/>
  <c r="R310" i="5"/>
  <c r="AG310" i="5"/>
  <c r="U310" i="5" s="1"/>
  <c r="S573" i="5"/>
  <c r="G573" i="6" s="1"/>
  <c r="R573" i="5"/>
  <c r="S208" i="5"/>
  <c r="G208" i="6" s="1"/>
  <c r="R208" i="5"/>
  <c r="AG209" i="5"/>
  <c r="U209" i="5" s="1"/>
  <c r="AN209" i="5" s="1"/>
  <c r="R209" i="5"/>
  <c r="S209" i="5"/>
  <c r="G209" i="6" s="1"/>
  <c r="S136" i="5"/>
  <c r="G136" i="6" s="1"/>
  <c r="R136" i="5"/>
  <c r="R104" i="5"/>
  <c r="S104" i="5"/>
  <c r="G104" i="6" s="1"/>
  <c r="AG104" i="5"/>
  <c r="U104" i="5" s="1"/>
  <c r="AG94" i="5"/>
  <c r="U94" i="5" s="1"/>
  <c r="S94" i="5"/>
  <c r="G94" i="6" s="1"/>
  <c r="R94" i="5"/>
  <c r="R216" i="5"/>
  <c r="S216" i="5"/>
  <c r="G216" i="6" s="1"/>
  <c r="R108" i="5"/>
  <c r="S108" i="5"/>
  <c r="G108" i="6" s="1"/>
  <c r="AG108" i="5"/>
  <c r="U108" i="5" s="1"/>
  <c r="AG248" i="5"/>
  <c r="U248" i="5" s="1"/>
  <c r="S248" i="5"/>
  <c r="G248" i="6" s="1"/>
  <c r="R248" i="5"/>
  <c r="R72" i="5"/>
  <c r="S72" i="5"/>
  <c r="G72" i="6" s="1"/>
  <c r="AG72" i="5"/>
  <c r="U72" i="5" s="1"/>
  <c r="R225" i="5"/>
  <c r="S225" i="5"/>
  <c r="G225" i="6" s="1"/>
  <c r="AG87" i="5"/>
  <c r="U87" i="5" s="1"/>
  <c r="AN87" i="5" s="1"/>
  <c r="S87" i="5"/>
  <c r="G87" i="6" s="1"/>
  <c r="R87" i="5"/>
  <c r="AG213" i="5"/>
  <c r="U213" i="5" s="1"/>
  <c r="S213" i="5"/>
  <c r="G213" i="6" s="1"/>
  <c r="R213" i="5"/>
  <c r="R64" i="5"/>
  <c r="S64" i="5"/>
  <c r="G64" i="6" s="1"/>
  <c r="AG64" i="5"/>
  <c r="U64" i="5" s="1"/>
  <c r="S217" i="5"/>
  <c r="G217" i="6" s="1"/>
  <c r="R217" i="5"/>
  <c r="R92" i="5"/>
  <c r="AG92" i="5"/>
  <c r="U92" i="5" s="1"/>
  <c r="AN92" i="5" s="1"/>
  <c r="S92" i="5"/>
  <c r="G92" i="6" s="1"/>
  <c r="AG260" i="5"/>
  <c r="U260" i="5" s="1"/>
  <c r="S260" i="5"/>
  <c r="G260" i="6" s="1"/>
  <c r="R260" i="5"/>
  <c r="S114" i="5"/>
  <c r="AG114" i="5"/>
  <c r="U114" i="5" s="1"/>
  <c r="AN114" i="5" s="1"/>
  <c r="R559" i="5"/>
  <c r="S559" i="5"/>
  <c r="G559" i="6" s="1"/>
  <c r="S407" i="5"/>
  <c r="G407" i="6" s="1"/>
  <c r="AG407" i="5"/>
  <c r="U407" i="5" s="1"/>
  <c r="R407" i="5"/>
  <c r="S521" i="5"/>
  <c r="G521" i="6" s="1"/>
  <c r="AG521" i="5"/>
  <c r="U521" i="5" s="1"/>
  <c r="R521" i="5"/>
  <c r="S487" i="5"/>
  <c r="G487" i="6" s="1"/>
  <c r="R487" i="5"/>
  <c r="S232" i="5"/>
  <c r="G232" i="6" s="1"/>
  <c r="AG232" i="5"/>
  <c r="U232" i="5" s="1"/>
  <c r="R232" i="5"/>
  <c r="R698" i="5"/>
  <c r="AG698" i="5"/>
  <c r="U698" i="5" s="1"/>
  <c r="S698" i="5"/>
  <c r="G698" i="6" s="1"/>
  <c r="R531" i="5"/>
  <c r="S531" i="5"/>
  <c r="G531" i="6" s="1"/>
  <c r="AG531" i="5"/>
  <c r="U531" i="5" s="1"/>
  <c r="AG230" i="5"/>
  <c r="U230" i="5" s="1"/>
  <c r="AN230" i="5" s="1"/>
  <c r="S230" i="5"/>
  <c r="S170" i="5"/>
  <c r="G170" i="6" s="1"/>
  <c r="R170" i="5"/>
  <c r="R43" i="5"/>
  <c r="S43" i="5"/>
  <c r="G43" i="6" s="1"/>
  <c r="AG43" i="5"/>
  <c r="U43" i="5" s="1"/>
  <c r="R109" i="5"/>
  <c r="S109" i="5"/>
  <c r="G109" i="6" s="1"/>
  <c r="AG109" i="5"/>
  <c r="U109" i="5" s="1"/>
  <c r="R447" i="5"/>
  <c r="AG447" i="5"/>
  <c r="U447" i="5" s="1"/>
  <c r="S447" i="5"/>
  <c r="G447" i="6" s="1"/>
  <c r="AG708" i="5"/>
  <c r="U708" i="5" s="1"/>
  <c r="R708" i="5"/>
  <c r="S708" i="5"/>
  <c r="G708" i="6" s="1"/>
  <c r="S392" i="5"/>
  <c r="G392" i="6" s="1"/>
  <c r="AG392" i="5"/>
  <c r="U392" i="5" s="1"/>
  <c r="R392" i="5"/>
  <c r="AG539" i="5"/>
  <c r="U539" i="5" s="1"/>
  <c r="R539" i="5"/>
  <c r="S539" i="5"/>
  <c r="G539" i="6" s="1"/>
  <c r="R626" i="5"/>
  <c r="S626" i="5"/>
  <c r="G626" i="6" s="1"/>
  <c r="AG626" i="5"/>
  <c r="U626" i="5" s="1"/>
  <c r="S652" i="5"/>
  <c r="G652" i="6" s="1"/>
  <c r="R652" i="5"/>
  <c r="AG327" i="5"/>
  <c r="U327" i="5" s="1"/>
  <c r="S327" i="5"/>
  <c r="G327" i="6" s="1"/>
  <c r="R327" i="5"/>
  <c r="R274" i="5"/>
  <c r="S274" i="5"/>
  <c r="G274" i="6" s="1"/>
  <c r="AG274" i="5"/>
  <c r="U274" i="5" s="1"/>
  <c r="R525" i="5"/>
  <c r="AG525" i="5"/>
  <c r="U525" i="5" s="1"/>
  <c r="S525" i="5"/>
  <c r="G525" i="6" s="1"/>
  <c r="S718" i="5"/>
  <c r="G718" i="6" s="1"/>
  <c r="R718" i="5"/>
  <c r="AG584" i="5"/>
  <c r="U584" i="5" s="1"/>
  <c r="S584" i="5"/>
  <c r="G584" i="6" s="1"/>
  <c r="R584" i="5"/>
  <c r="S427" i="5"/>
  <c r="G427" i="6" s="1"/>
  <c r="R427" i="5"/>
  <c r="AG427" i="5"/>
  <c r="U427" i="5" s="1"/>
  <c r="S430" i="5"/>
  <c r="G430" i="6" s="1"/>
  <c r="R430" i="5"/>
  <c r="AG430" i="5"/>
  <c r="U430" i="5" s="1"/>
  <c r="AN430" i="5" s="1"/>
  <c r="S309" i="5"/>
  <c r="G309" i="6" s="1"/>
  <c r="R309" i="5"/>
  <c r="AG309" i="5"/>
  <c r="U309" i="5" s="1"/>
  <c r="S615" i="5"/>
  <c r="G615" i="6" s="1"/>
  <c r="AG615" i="5"/>
  <c r="U615" i="5" s="1"/>
  <c r="R615" i="5"/>
  <c r="AG388" i="5"/>
  <c r="U388" i="5" s="1"/>
  <c r="R388" i="5"/>
  <c r="S388" i="5"/>
  <c r="G388" i="6" s="1"/>
  <c r="AG546" i="5"/>
  <c r="U546" i="5" s="1"/>
  <c r="S546" i="5"/>
  <c r="G546" i="6" s="1"/>
  <c r="R546" i="5"/>
  <c r="S455" i="5"/>
  <c r="G455" i="6" s="1"/>
  <c r="AG455" i="5"/>
  <c r="U455" i="5" s="1"/>
  <c r="R455" i="5"/>
  <c r="AG629" i="5"/>
  <c r="U629" i="5" s="1"/>
  <c r="R629" i="5"/>
  <c r="S629" i="5"/>
  <c r="G629" i="6" s="1"/>
  <c r="AG272" i="5"/>
  <c r="U272" i="5" s="1"/>
  <c r="R272" i="5"/>
  <c r="S272" i="5"/>
  <c r="G272" i="6" s="1"/>
  <c r="R673" i="5"/>
  <c r="S673" i="5"/>
  <c r="G673" i="6" s="1"/>
  <c r="R564" i="5"/>
  <c r="S564" i="5"/>
  <c r="G564" i="6" s="1"/>
  <c r="AG542" i="5"/>
  <c r="U542" i="5" s="1"/>
  <c r="R542" i="5"/>
  <c r="S542" i="5"/>
  <c r="G542" i="6" s="1"/>
  <c r="S391" i="5"/>
  <c r="G391" i="6" s="1"/>
  <c r="R391" i="5"/>
  <c r="AG391" i="5"/>
  <c r="U391" i="5" s="1"/>
  <c r="S401" i="5"/>
  <c r="G401" i="6" s="1"/>
  <c r="R401" i="5"/>
  <c r="R364" i="5"/>
  <c r="AG364" i="5"/>
  <c r="U364" i="5" s="1"/>
  <c r="S364" i="5"/>
  <c r="G364" i="6" s="1"/>
  <c r="AG557" i="5"/>
  <c r="U557" i="5" s="1"/>
  <c r="S557" i="5"/>
  <c r="G557" i="6" s="1"/>
  <c r="R557" i="5"/>
  <c r="S547" i="5"/>
  <c r="G547" i="6" s="1"/>
  <c r="AG547" i="5"/>
  <c r="U547" i="5" s="1"/>
  <c r="R547" i="5"/>
  <c r="S347" i="5"/>
  <c r="G347" i="6" s="1"/>
  <c r="R347" i="5"/>
  <c r="S296" i="5"/>
  <c r="G296" i="6" s="1"/>
  <c r="R296" i="5"/>
  <c r="S603" i="5"/>
  <c r="G603" i="6" s="1"/>
  <c r="R603" i="5"/>
  <c r="R317" i="5"/>
  <c r="AG317" i="5"/>
  <c r="U317" i="5" s="1"/>
  <c r="S317" i="5"/>
  <c r="G317" i="6" s="1"/>
  <c r="R511" i="5"/>
  <c r="AG511" i="5"/>
  <c r="U511" i="5" s="1"/>
  <c r="S511" i="5"/>
  <c r="G511" i="6" s="1"/>
  <c r="R469" i="5"/>
  <c r="S469" i="5"/>
  <c r="G469" i="6" s="1"/>
  <c r="R581" i="5"/>
  <c r="AG581" i="5"/>
  <c r="U581" i="5" s="1"/>
  <c r="S581" i="5"/>
  <c r="G581" i="6" s="1"/>
  <c r="R145" i="5"/>
  <c r="S145" i="5"/>
  <c r="G145" i="6" s="1"/>
  <c r="R61" i="5"/>
  <c r="AG61" i="5"/>
  <c r="U61" i="5" s="1"/>
  <c r="S61" i="5"/>
  <c r="G61" i="6" s="1"/>
  <c r="R128" i="5"/>
  <c r="S128" i="5"/>
  <c r="G128" i="6" s="1"/>
  <c r="S247" i="5"/>
  <c r="AG247" i="5"/>
  <c r="U247" i="5" s="1"/>
  <c r="AN247" i="5" s="1"/>
  <c r="S79" i="5"/>
  <c r="G79" i="6" s="1"/>
  <c r="R79" i="5"/>
  <c r="S210" i="5"/>
  <c r="G210" i="6" s="1"/>
  <c r="AG210" i="5"/>
  <c r="U210" i="5" s="1"/>
  <c r="AN210" i="5" s="1"/>
  <c r="R210" i="5"/>
  <c r="S91" i="5"/>
  <c r="AG91" i="5"/>
  <c r="U91" i="5" s="1"/>
  <c r="AN91" i="5" s="1"/>
  <c r="R226" i="5"/>
  <c r="S226" i="5"/>
  <c r="G226" i="6" s="1"/>
  <c r="S80" i="5"/>
  <c r="G80" i="6" s="1"/>
  <c r="R80" i="5"/>
  <c r="AG80" i="5"/>
  <c r="U80" i="5" s="1"/>
  <c r="S196" i="5"/>
  <c r="G196" i="6" s="1"/>
  <c r="R196" i="5"/>
  <c r="AG47" i="5"/>
  <c r="U47" i="5" s="1"/>
  <c r="AN47" i="5" s="1"/>
  <c r="S47" i="5"/>
  <c r="R207" i="5"/>
  <c r="S207" i="5"/>
  <c r="G207" i="6" s="1"/>
  <c r="AG65" i="5"/>
  <c r="U65" i="5" s="1"/>
  <c r="S65" i="5"/>
  <c r="G65" i="6" s="1"/>
  <c r="R65" i="5"/>
  <c r="R228" i="5"/>
  <c r="S228" i="5"/>
  <c r="G228" i="6" s="1"/>
  <c r="R49" i="5"/>
  <c r="S49" i="5"/>
  <c r="G49" i="6" s="1"/>
  <c r="AG49" i="5"/>
  <c r="U49" i="5" s="1"/>
  <c r="S244" i="5"/>
  <c r="G244" i="6" s="1"/>
  <c r="R244" i="5"/>
  <c r="AG93" i="5"/>
  <c r="U93" i="5" s="1"/>
  <c r="R93" i="5"/>
  <c r="S93" i="5"/>
  <c r="G93" i="6" s="1"/>
  <c r="S23" i="5"/>
  <c r="AG23" i="5"/>
  <c r="R355" i="5"/>
  <c r="S355" i="5"/>
  <c r="G355" i="6" s="1"/>
  <c r="AG355" i="5"/>
  <c r="U355" i="5" s="1"/>
  <c r="S707" i="5"/>
  <c r="G707" i="6" s="1"/>
  <c r="R707" i="5"/>
  <c r="AG707" i="5"/>
  <c r="U707" i="5" s="1"/>
  <c r="AG24" i="5"/>
  <c r="U24" i="5" s="1"/>
  <c r="AN24" i="5" s="1"/>
  <c r="R24" i="5"/>
  <c r="S24" i="5"/>
  <c r="G24" i="6" s="1"/>
  <c r="R77" i="5"/>
  <c r="S77" i="5"/>
  <c r="G77" i="6" s="1"/>
  <c r="R303" i="5"/>
  <c r="AG303" i="5"/>
  <c r="U303" i="5" s="1"/>
  <c r="S303" i="5"/>
  <c r="G303" i="6" s="1"/>
  <c r="AG396" i="5"/>
  <c r="U396" i="5" s="1"/>
  <c r="R396" i="5"/>
  <c r="S396" i="5"/>
  <c r="G396" i="6" s="1"/>
  <c r="S395" i="5"/>
  <c r="G395" i="6" s="1"/>
  <c r="R395" i="5"/>
  <c r="R222" i="5"/>
  <c r="S222" i="5"/>
  <c r="G222" i="6" s="1"/>
  <c r="AG222" i="5"/>
  <c r="U222" i="5" s="1"/>
  <c r="AG152" i="5"/>
  <c r="U152" i="5" s="1"/>
  <c r="AN152" i="5" s="1"/>
  <c r="S152" i="5"/>
  <c r="R234" i="5"/>
  <c r="S234" i="5"/>
  <c r="G234" i="6" s="1"/>
  <c r="R137" i="5"/>
  <c r="S137" i="5"/>
  <c r="G137" i="6" s="1"/>
  <c r="S311" i="5"/>
  <c r="G311" i="6" s="1"/>
  <c r="R311" i="5"/>
  <c r="S456" i="5"/>
  <c r="G456" i="6" s="1"/>
  <c r="R456" i="5"/>
  <c r="S397" i="5"/>
  <c r="G397" i="6" s="1"/>
  <c r="R397" i="5"/>
  <c r="AG548" i="5"/>
  <c r="U548" i="5" s="1"/>
  <c r="S548" i="5"/>
  <c r="G548" i="6" s="1"/>
  <c r="R548" i="5"/>
  <c r="S387" i="5"/>
  <c r="G387" i="6" s="1"/>
  <c r="R387" i="5"/>
  <c r="AG387" i="5"/>
  <c r="U387" i="5" s="1"/>
  <c r="AG549" i="5"/>
  <c r="U549" i="5" s="1"/>
  <c r="R549" i="5"/>
  <c r="S549" i="5"/>
  <c r="G549" i="6" s="1"/>
  <c r="R711" i="5"/>
  <c r="S711" i="5"/>
  <c r="G711" i="6" s="1"/>
  <c r="S406" i="5"/>
  <c r="G406" i="6" s="1"/>
  <c r="AG406" i="5"/>
  <c r="U406" i="5" s="1"/>
  <c r="R406" i="5"/>
  <c r="S381" i="5"/>
  <c r="G381" i="6" s="1"/>
  <c r="R381" i="5"/>
  <c r="AG638" i="5"/>
  <c r="U638" i="5" s="1"/>
  <c r="R638" i="5"/>
  <c r="S638" i="5"/>
  <c r="G638" i="6" s="1"/>
  <c r="S594" i="5"/>
  <c r="G594" i="6" s="1"/>
  <c r="R594" i="5"/>
  <c r="S667" i="5"/>
  <c r="G667" i="6" s="1"/>
  <c r="R667" i="5"/>
  <c r="R624" i="5"/>
  <c r="S624" i="5"/>
  <c r="G624" i="6" s="1"/>
  <c r="R606" i="5"/>
  <c r="S606" i="5"/>
  <c r="G606" i="6" s="1"/>
  <c r="AG369" i="5"/>
  <c r="U369" i="5" s="1"/>
  <c r="R369" i="5"/>
  <c r="S369" i="5"/>
  <c r="G369" i="6" s="1"/>
  <c r="S703" i="5"/>
  <c r="G703" i="6" s="1"/>
  <c r="R703" i="5"/>
  <c r="AG703" i="5"/>
  <c r="U703" i="5" s="1"/>
  <c r="R680" i="5"/>
  <c r="S680" i="5"/>
  <c r="G680" i="6" s="1"/>
  <c r="R693" i="5"/>
  <c r="S693" i="5"/>
  <c r="G693" i="6" s="1"/>
  <c r="AG693" i="5"/>
  <c r="U693" i="5" s="1"/>
  <c r="R419" i="5"/>
  <c r="AG419" i="5"/>
  <c r="U419" i="5" s="1"/>
  <c r="S419" i="5"/>
  <c r="G419" i="6" s="1"/>
  <c r="R514" i="5"/>
  <c r="AG514" i="5"/>
  <c r="U514" i="5" s="1"/>
  <c r="S514" i="5"/>
  <c r="G514" i="6" s="1"/>
  <c r="R697" i="5"/>
  <c r="S697" i="5"/>
  <c r="G697" i="6" s="1"/>
  <c r="AG697" i="5"/>
  <c r="U697" i="5" s="1"/>
  <c r="R585" i="5"/>
  <c r="S585" i="5"/>
  <c r="G585" i="6" s="1"/>
  <c r="AG529" i="5"/>
  <c r="U529" i="5" s="1"/>
  <c r="S529" i="5"/>
  <c r="G529" i="6" s="1"/>
  <c r="R529" i="5"/>
  <c r="S699" i="5"/>
  <c r="G699" i="6" s="1"/>
  <c r="R699" i="5"/>
  <c r="AG699" i="5"/>
  <c r="U699" i="5" s="1"/>
  <c r="R589" i="5"/>
  <c r="S589" i="5"/>
  <c r="G589" i="6" s="1"/>
  <c r="AG589" i="5"/>
  <c r="U589" i="5" s="1"/>
  <c r="R335" i="5"/>
  <c r="AG335" i="5"/>
  <c r="U335" i="5" s="1"/>
  <c r="S335" i="5"/>
  <c r="G335" i="6" s="1"/>
  <c r="AG475" i="5"/>
  <c r="U475" i="5" s="1"/>
  <c r="S475" i="5"/>
  <c r="G475" i="6" s="1"/>
  <c r="R475" i="5"/>
  <c r="AG536" i="5"/>
  <c r="U536" i="5" s="1"/>
  <c r="R536" i="5"/>
  <c r="S536" i="5"/>
  <c r="G536" i="6" s="1"/>
  <c r="R359" i="5"/>
  <c r="AG359" i="5"/>
  <c r="U359" i="5" s="1"/>
  <c r="AN359" i="5" s="1"/>
  <c r="S359" i="5"/>
  <c r="G359" i="6" s="1"/>
  <c r="S474" i="5"/>
  <c r="G474" i="6" s="1"/>
  <c r="R474" i="5"/>
  <c r="R612" i="5"/>
  <c r="S612" i="5"/>
  <c r="G612" i="6" s="1"/>
  <c r="AG612" i="5"/>
  <c r="U612" i="5" s="1"/>
  <c r="S726" i="5"/>
  <c r="G726" i="6" s="1"/>
  <c r="R726" i="5"/>
  <c r="AG726" i="5"/>
  <c r="U726" i="5" s="1"/>
  <c r="R441" i="5"/>
  <c r="S441" i="5"/>
  <c r="G441" i="6" s="1"/>
  <c r="R627" i="5"/>
  <c r="S627" i="5"/>
  <c r="G627" i="6" s="1"/>
  <c r="S646" i="5"/>
  <c r="G646" i="6" s="1"/>
  <c r="R646" i="5"/>
  <c r="AG646" i="5"/>
  <c r="U646" i="5" s="1"/>
  <c r="R115" i="5"/>
  <c r="S115" i="5"/>
  <c r="G115" i="6" s="1"/>
  <c r="S185" i="5"/>
  <c r="G185" i="6" s="1"/>
  <c r="R185" i="5"/>
  <c r="S121" i="5"/>
  <c r="AG121" i="5"/>
  <c r="U121" i="5" s="1"/>
  <c r="AN121" i="5" s="1"/>
  <c r="R220" i="5"/>
  <c r="S220" i="5"/>
  <c r="G220" i="6" s="1"/>
  <c r="R76" i="5"/>
  <c r="S76" i="5"/>
  <c r="G76" i="6" s="1"/>
  <c r="S204" i="5"/>
  <c r="G204" i="6" s="1"/>
  <c r="R204" i="5"/>
  <c r="R51" i="5"/>
  <c r="AG51" i="5"/>
  <c r="U51" i="5" s="1"/>
  <c r="S51" i="5"/>
  <c r="G51" i="6" s="1"/>
  <c r="R223" i="5"/>
  <c r="S223" i="5"/>
  <c r="G223" i="6" s="1"/>
  <c r="S82" i="5"/>
  <c r="G82" i="6" s="1"/>
  <c r="AG82" i="5"/>
  <c r="U82" i="5" s="1"/>
  <c r="R82" i="5"/>
  <c r="S199" i="5"/>
  <c r="AG199" i="5"/>
  <c r="U199" i="5" s="1"/>
  <c r="AN199" i="5" s="1"/>
  <c r="AG53" i="5"/>
  <c r="U53" i="5" s="1"/>
  <c r="R53" i="5"/>
  <c r="S53" i="5"/>
  <c r="G53" i="6" s="1"/>
  <c r="S189" i="5"/>
  <c r="G189" i="6" s="1"/>
  <c r="R189" i="5"/>
  <c r="AG57" i="5"/>
  <c r="U57" i="5" s="1"/>
  <c r="AN57" i="5" s="1"/>
  <c r="S57" i="5"/>
  <c r="R200" i="5"/>
  <c r="S200" i="5"/>
  <c r="G200" i="6" s="1"/>
  <c r="S35" i="5"/>
  <c r="G35" i="6" s="1"/>
  <c r="AG35" i="5"/>
  <c r="U35" i="5" s="1"/>
  <c r="R35" i="5"/>
  <c r="R229" i="5"/>
  <c r="S229" i="5"/>
  <c r="G229" i="6" s="1"/>
  <c r="AG69" i="5"/>
  <c r="U69" i="5" s="1"/>
  <c r="R69" i="5"/>
  <c r="S69" i="5"/>
  <c r="G69" i="6" s="1"/>
  <c r="R681" i="5"/>
  <c r="S681" i="5"/>
  <c r="G681" i="6" s="1"/>
  <c r="S593" i="5"/>
  <c r="G593" i="6" s="1"/>
  <c r="R593" i="5"/>
  <c r="AG593" i="5"/>
  <c r="U593" i="5" s="1"/>
  <c r="AN593" i="5" s="1"/>
  <c r="S380" i="5"/>
  <c r="G380" i="6" s="1"/>
  <c r="AG380" i="5"/>
  <c r="U380" i="5" s="1"/>
  <c r="R380" i="5"/>
  <c r="R449" i="5"/>
  <c r="S449" i="5"/>
  <c r="G449" i="6" s="1"/>
  <c r="R657" i="5"/>
  <c r="S657" i="5"/>
  <c r="G657" i="6" s="1"/>
  <c r="AG75" i="5"/>
  <c r="U75" i="5" s="1"/>
  <c r="S75" i="5"/>
  <c r="G75" i="6" s="1"/>
  <c r="R75" i="5"/>
  <c r="R168" i="5"/>
  <c r="S168" i="5"/>
  <c r="G168" i="6" s="1"/>
  <c r="AG545" i="5"/>
  <c r="U545" i="5" s="1"/>
  <c r="R545" i="5"/>
  <c r="S545" i="5"/>
  <c r="G545" i="6" s="1"/>
  <c r="AG345" i="5"/>
  <c r="U345" i="5" s="1"/>
  <c r="S345" i="5"/>
  <c r="G345" i="6" s="1"/>
  <c r="R345" i="5"/>
  <c r="R292" i="5"/>
  <c r="S292" i="5"/>
  <c r="G292" i="6" s="1"/>
  <c r="AG292" i="5"/>
  <c r="U292" i="5" s="1"/>
  <c r="AG25" i="5"/>
  <c r="U25" i="5" s="1"/>
  <c r="S25" i="5"/>
  <c r="G25" i="6" s="1"/>
  <c r="R25" i="5"/>
  <c r="S253" i="5"/>
  <c r="G253" i="6" s="1"/>
  <c r="R253" i="5"/>
  <c r="AG253" i="5"/>
  <c r="U253" i="5" s="1"/>
  <c r="AG86" i="5"/>
  <c r="U86" i="5" s="1"/>
  <c r="S86" i="5"/>
  <c r="G86" i="6" s="1"/>
  <c r="R86" i="5"/>
  <c r="R165" i="5"/>
  <c r="S165" i="5"/>
  <c r="G165" i="6" s="1"/>
  <c r="AG97" i="5"/>
  <c r="U97" i="5" s="1"/>
  <c r="S97" i="5"/>
  <c r="G97" i="6" s="1"/>
  <c r="R97" i="5"/>
  <c r="S141" i="5"/>
  <c r="G141" i="6" s="1"/>
  <c r="R141" i="5"/>
  <c r="R579" i="5"/>
  <c r="S579" i="5"/>
  <c r="G579" i="6" s="1"/>
  <c r="AG377" i="5"/>
  <c r="U377" i="5" s="1"/>
  <c r="R377" i="5"/>
  <c r="S377" i="5"/>
  <c r="G377" i="6" s="1"/>
  <c r="S672" i="5"/>
  <c r="G672" i="6" s="1"/>
  <c r="R672" i="5"/>
  <c r="AG263" i="5"/>
  <c r="U263" i="5" s="1"/>
  <c r="R263" i="5"/>
  <c r="S263" i="5"/>
  <c r="G263" i="6" s="1"/>
  <c r="R412" i="5"/>
  <c r="S412" i="5"/>
  <c r="G412" i="6" s="1"/>
  <c r="AG412" i="5"/>
  <c r="U412" i="5" s="1"/>
  <c r="R453" i="5"/>
  <c r="S453" i="5"/>
  <c r="G453" i="6" s="1"/>
  <c r="AG453" i="5"/>
  <c r="U453" i="5" s="1"/>
  <c r="R528" i="5"/>
  <c r="AG528" i="5"/>
  <c r="U528" i="5" s="1"/>
  <c r="S528" i="5"/>
  <c r="G528" i="6" s="1"/>
  <c r="S270" i="5"/>
  <c r="G270" i="6" s="1"/>
  <c r="AG270" i="5"/>
  <c r="U270" i="5" s="1"/>
  <c r="R270" i="5"/>
  <c r="AG273" i="5"/>
  <c r="U273" i="5" s="1"/>
  <c r="AN273" i="5" s="1"/>
  <c r="S273" i="5"/>
  <c r="G273" i="6" s="1"/>
  <c r="R273" i="5"/>
  <c r="R671" i="5"/>
  <c r="S671" i="5"/>
  <c r="G671" i="6" s="1"/>
  <c r="S307" i="5"/>
  <c r="G307" i="6" s="1"/>
  <c r="AG307" i="5"/>
  <c r="U307" i="5" s="1"/>
  <c r="R307" i="5"/>
  <c r="AG556" i="5"/>
  <c r="U556" i="5" s="1"/>
  <c r="S556" i="5"/>
  <c r="G556" i="6" s="1"/>
  <c r="R556" i="5"/>
  <c r="S704" i="5"/>
  <c r="G704" i="6" s="1"/>
  <c r="AG704" i="5"/>
  <c r="U704" i="5" s="1"/>
  <c r="AN704" i="5" s="1"/>
  <c r="R704" i="5"/>
  <c r="AG340" i="5"/>
  <c r="U340" i="5" s="1"/>
  <c r="R340" i="5"/>
  <c r="S340" i="5"/>
  <c r="G340" i="6" s="1"/>
  <c r="R306" i="5"/>
  <c r="AG306" i="5"/>
  <c r="U306" i="5" s="1"/>
  <c r="S306" i="5"/>
  <c r="G306" i="6" s="1"/>
  <c r="AG341" i="5"/>
  <c r="U341" i="5" s="1"/>
  <c r="R341" i="5"/>
  <c r="S341" i="5"/>
  <c r="G341" i="6" s="1"/>
  <c r="S371" i="5"/>
  <c r="G371" i="6" s="1"/>
  <c r="R371" i="5"/>
  <c r="R389" i="5"/>
  <c r="S389" i="5"/>
  <c r="G389" i="6" s="1"/>
  <c r="R691" i="5"/>
  <c r="AG691" i="5"/>
  <c r="U691" i="5" s="1"/>
  <c r="S691" i="5"/>
  <c r="G691" i="6" s="1"/>
  <c r="R644" i="5"/>
  <c r="S644" i="5"/>
  <c r="G644" i="6" s="1"/>
  <c r="S271" i="5"/>
  <c r="G271" i="6" s="1"/>
  <c r="AG271" i="5"/>
  <c r="U271" i="5" s="1"/>
  <c r="R271" i="5"/>
  <c r="R433" i="5"/>
  <c r="S433" i="5"/>
  <c r="G433" i="6" s="1"/>
  <c r="R379" i="5"/>
  <c r="AG379" i="5"/>
  <c r="U379" i="5" s="1"/>
  <c r="S379" i="5"/>
  <c r="G379" i="6" s="1"/>
  <c r="R653" i="5"/>
  <c r="S653" i="5"/>
  <c r="G653" i="6" s="1"/>
  <c r="S633" i="5"/>
  <c r="G633" i="6" s="1"/>
  <c r="R633" i="5"/>
  <c r="R370" i="5"/>
  <c r="S370" i="5"/>
  <c r="G370" i="6" s="1"/>
  <c r="S489" i="5"/>
  <c r="G489" i="6" s="1"/>
  <c r="AG489" i="5"/>
  <c r="U489" i="5" s="1"/>
  <c r="R489" i="5"/>
  <c r="S674" i="5"/>
  <c r="G674" i="6" s="1"/>
  <c r="R674" i="5"/>
  <c r="AG674" i="5"/>
  <c r="U674" i="5" s="1"/>
  <c r="S537" i="5"/>
  <c r="G537" i="6" s="1"/>
  <c r="AG537" i="5"/>
  <c r="U537" i="5" s="1"/>
  <c r="R537" i="5"/>
  <c r="R460" i="5"/>
  <c r="S460" i="5"/>
  <c r="G460" i="6" s="1"/>
  <c r="AG460" i="5"/>
  <c r="U460" i="5" s="1"/>
  <c r="S284" i="5"/>
  <c r="G284" i="6" s="1"/>
  <c r="R284" i="5"/>
  <c r="S517" i="5"/>
  <c r="G517" i="6" s="1"/>
  <c r="R517" i="5"/>
  <c r="AG517" i="5"/>
  <c r="U517" i="5" s="1"/>
  <c r="AG375" i="5"/>
  <c r="U375" i="5" s="1"/>
  <c r="R375" i="5"/>
  <c r="S375" i="5"/>
  <c r="G375" i="6" s="1"/>
  <c r="R641" i="5"/>
  <c r="S641" i="5"/>
  <c r="G641" i="6" s="1"/>
  <c r="AG641" i="5"/>
  <c r="U641" i="5" s="1"/>
  <c r="AG473" i="5"/>
  <c r="U473" i="5" s="1"/>
  <c r="S473" i="5"/>
  <c r="G473" i="6" s="1"/>
  <c r="R473" i="5"/>
  <c r="S144" i="5"/>
  <c r="G144" i="6" s="1"/>
  <c r="R144" i="5"/>
  <c r="R251" i="5"/>
  <c r="AG251" i="5"/>
  <c r="U251" i="5" s="1"/>
  <c r="S251" i="5"/>
  <c r="G251" i="6" s="1"/>
  <c r="S135" i="5"/>
  <c r="G135" i="6" s="1"/>
  <c r="R135" i="5"/>
  <c r="S195" i="5"/>
  <c r="G195" i="6" s="1"/>
  <c r="R195" i="5"/>
  <c r="AG60" i="5"/>
  <c r="U60" i="5" s="1"/>
  <c r="S60" i="5"/>
  <c r="G60" i="6" s="1"/>
  <c r="R60" i="5"/>
  <c r="R205" i="5"/>
  <c r="S205" i="5"/>
  <c r="G205" i="6" s="1"/>
  <c r="S34" i="5"/>
  <c r="G34" i="6" s="1"/>
  <c r="AG34" i="5"/>
  <c r="U34" i="5" s="1"/>
  <c r="R34" i="5"/>
  <c r="R192" i="5"/>
  <c r="S192" i="5"/>
  <c r="G192" i="6" s="1"/>
  <c r="R39" i="5"/>
  <c r="S39" i="5"/>
  <c r="G39" i="6" s="1"/>
  <c r="AG39" i="5"/>
  <c r="U39" i="5" s="1"/>
  <c r="AG183" i="5"/>
  <c r="U183" i="5" s="1"/>
  <c r="AN183" i="5" s="1"/>
  <c r="S183" i="5"/>
  <c r="G183" i="6" s="1"/>
  <c r="R183" i="5"/>
  <c r="AG67" i="5"/>
  <c r="U67" i="5" s="1"/>
  <c r="R67" i="5"/>
  <c r="S67" i="5"/>
  <c r="G67" i="6" s="1"/>
  <c r="S176" i="5"/>
  <c r="AG176" i="5"/>
  <c r="U176" i="5" s="1"/>
  <c r="AN176" i="5" s="1"/>
  <c r="S45" i="5"/>
  <c r="G45" i="6" s="1"/>
  <c r="AG45" i="5"/>
  <c r="U45" i="5" s="1"/>
  <c r="R45" i="5"/>
  <c r="S182" i="5"/>
  <c r="G182" i="6" s="1"/>
  <c r="R182" i="5"/>
  <c r="AG182" i="5"/>
  <c r="U182" i="5" s="1"/>
  <c r="R66" i="5"/>
  <c r="S66" i="5"/>
  <c r="G66" i="6" s="1"/>
  <c r="AG66" i="5"/>
  <c r="U66" i="5" s="1"/>
  <c r="S219" i="5"/>
  <c r="G219" i="6" s="1"/>
  <c r="AG219" i="5"/>
  <c r="U219" i="5" s="1"/>
  <c r="R219" i="5"/>
  <c r="AG81" i="5"/>
  <c r="U81" i="5" s="1"/>
  <c r="AN81" i="5" s="1"/>
  <c r="S81" i="5"/>
  <c r="R173" i="5"/>
  <c r="S173" i="5"/>
  <c r="G173" i="6" s="1"/>
  <c r="R598" i="5"/>
  <c r="S598" i="5"/>
  <c r="G598" i="6" s="1"/>
  <c r="AG538" i="5"/>
  <c r="U538" i="5" s="1"/>
  <c r="AN538" i="5" s="1"/>
  <c r="R538" i="5"/>
  <c r="S538" i="5"/>
  <c r="G538" i="6" s="1"/>
  <c r="R583" i="5"/>
  <c r="S583" i="5"/>
  <c r="G583" i="6" s="1"/>
  <c r="AG583" i="5"/>
  <c r="U583" i="5" s="1"/>
  <c r="S631" i="5"/>
  <c r="G631" i="6" s="1"/>
  <c r="R631" i="5"/>
  <c r="R157" i="5"/>
  <c r="S157" i="5"/>
  <c r="G157" i="6" s="1"/>
  <c r="R587" i="5"/>
  <c r="AG587" i="5"/>
  <c r="U587" i="5" s="1"/>
  <c r="S587" i="5"/>
  <c r="G587" i="6" s="1"/>
  <c r="AG590" i="5"/>
  <c r="U590" i="5" s="1"/>
  <c r="R590" i="5"/>
  <c r="S590" i="5"/>
  <c r="G590" i="6" s="1"/>
  <c r="AG88" i="5"/>
  <c r="U88" i="5" s="1"/>
  <c r="R88" i="5"/>
  <c r="S88" i="5"/>
  <c r="G88" i="6" s="1"/>
  <c r="R127" i="5"/>
  <c r="S127" i="5"/>
  <c r="G127" i="6" s="1"/>
  <c r="S246" i="5"/>
  <c r="G246" i="6" s="1"/>
  <c r="R246" i="5"/>
  <c r="AG246" i="5"/>
  <c r="U246" i="5" s="1"/>
  <c r="S101" i="5"/>
  <c r="AG101" i="5"/>
  <c r="U101" i="5" s="1"/>
  <c r="AN101" i="5" s="1"/>
  <c r="R565" i="5"/>
  <c r="S565" i="5"/>
  <c r="G565" i="6" s="1"/>
  <c r="S346" i="5"/>
  <c r="G346" i="6" s="1"/>
  <c r="AG346" i="5"/>
  <c r="U346" i="5" s="1"/>
  <c r="R346" i="5"/>
  <c r="S280" i="5"/>
  <c r="G280" i="6" s="1"/>
  <c r="AG280" i="5"/>
  <c r="U280" i="5" s="1"/>
  <c r="R280" i="5"/>
  <c r="R588" i="5"/>
  <c r="S588" i="5"/>
  <c r="G588" i="6" s="1"/>
  <c r="R658" i="5"/>
  <c r="S658" i="5"/>
  <c r="G658" i="6" s="1"/>
  <c r="R635" i="5"/>
  <c r="S635" i="5"/>
  <c r="G635" i="6" s="1"/>
  <c r="AG635" i="5"/>
  <c r="U635" i="5" s="1"/>
  <c r="R694" i="5"/>
  <c r="S694" i="5"/>
  <c r="G694" i="6" s="1"/>
  <c r="AG694" i="5"/>
  <c r="U694" i="5" s="1"/>
  <c r="S496" i="5"/>
  <c r="G496" i="6" s="1"/>
  <c r="R496" i="5"/>
  <c r="R332" i="5"/>
  <c r="AG332" i="5"/>
  <c r="U332" i="5" s="1"/>
  <c r="S332" i="5"/>
  <c r="G332" i="6" s="1"/>
  <c r="S572" i="5"/>
  <c r="G572" i="6" s="1"/>
  <c r="R572" i="5"/>
  <c r="S325" i="5"/>
  <c r="G325" i="6" s="1"/>
  <c r="R325" i="5"/>
  <c r="AG325" i="5"/>
  <c r="U325" i="5" s="1"/>
  <c r="AG533" i="5"/>
  <c r="U533" i="5" s="1"/>
  <c r="R533" i="5"/>
  <c r="S533" i="5"/>
  <c r="G533" i="6" s="1"/>
  <c r="S552" i="5"/>
  <c r="G552" i="6" s="1"/>
  <c r="AG552" i="5"/>
  <c r="U552" i="5" s="1"/>
  <c r="R552" i="5"/>
  <c r="R382" i="5"/>
  <c r="S382" i="5"/>
  <c r="G382" i="6" s="1"/>
  <c r="AG382" i="5"/>
  <c r="U382" i="5" s="1"/>
  <c r="R283" i="5"/>
  <c r="S283" i="5"/>
  <c r="G283" i="6" s="1"/>
  <c r="AG361" i="5"/>
  <c r="U361" i="5" s="1"/>
  <c r="R361" i="5"/>
  <c r="S361" i="5"/>
  <c r="G361" i="6" s="1"/>
  <c r="S314" i="5"/>
  <c r="G314" i="6" s="1"/>
  <c r="R314" i="5"/>
  <c r="S602" i="5"/>
  <c r="G602" i="6" s="1"/>
  <c r="R602" i="5"/>
  <c r="R632" i="5"/>
  <c r="S632" i="5"/>
  <c r="G632" i="6" s="1"/>
  <c r="R535" i="5"/>
  <c r="S535" i="5"/>
  <c r="G535" i="6" s="1"/>
  <c r="S622" i="5"/>
  <c r="G622" i="6" s="1"/>
  <c r="R622" i="5"/>
  <c r="AG622" i="5"/>
  <c r="U622" i="5" s="1"/>
  <c r="S279" i="5"/>
  <c r="G279" i="6" s="1"/>
  <c r="R279" i="5"/>
  <c r="AG279" i="5"/>
  <c r="U279" i="5" s="1"/>
  <c r="R275" i="5"/>
  <c r="S275" i="5"/>
  <c r="G275" i="6" s="1"/>
  <c r="AG275" i="5"/>
  <c r="U275" i="5" s="1"/>
  <c r="AG372" i="5"/>
  <c r="U372" i="5" s="1"/>
  <c r="S372" i="5"/>
  <c r="G372" i="6" s="1"/>
  <c r="R372" i="5"/>
  <c r="S495" i="5"/>
  <c r="G495" i="6" s="1"/>
  <c r="R495" i="5"/>
  <c r="AG495" i="5"/>
  <c r="U495" i="5" s="1"/>
  <c r="S676" i="5"/>
  <c r="G676" i="6" s="1"/>
  <c r="R676" i="5"/>
  <c r="AG676" i="5"/>
  <c r="U676" i="5" s="1"/>
  <c r="R308" i="5"/>
  <c r="S308" i="5"/>
  <c r="G308" i="6" s="1"/>
  <c r="AG308" i="5"/>
  <c r="U308" i="5" s="1"/>
  <c r="S558" i="5"/>
  <c r="G558" i="6" s="1"/>
  <c r="AG558" i="5"/>
  <c r="U558" i="5" s="1"/>
  <c r="R558" i="5"/>
  <c r="S450" i="5"/>
  <c r="G450" i="6" s="1"/>
  <c r="R450" i="5"/>
  <c r="AG450" i="5"/>
  <c r="U450" i="5" s="1"/>
  <c r="R334" i="5"/>
  <c r="S334" i="5"/>
  <c r="G334" i="6" s="1"/>
  <c r="AG334" i="5"/>
  <c r="U334" i="5" s="1"/>
  <c r="AG720" i="5"/>
  <c r="U720" i="5" s="1"/>
  <c r="S720" i="5"/>
  <c r="G720" i="6" s="1"/>
  <c r="R720" i="5"/>
  <c r="R358" i="5"/>
  <c r="S358" i="5"/>
  <c r="G358" i="6" s="1"/>
  <c r="AG358" i="5"/>
  <c r="U358" i="5" s="1"/>
  <c r="AG351" i="5"/>
  <c r="U351" i="5" s="1"/>
  <c r="S351" i="5"/>
  <c r="G351" i="6" s="1"/>
  <c r="R351" i="5"/>
  <c r="S294" i="5"/>
  <c r="G294" i="6" s="1"/>
  <c r="R294" i="5"/>
  <c r="R444" i="5"/>
  <c r="S444" i="5"/>
  <c r="G444" i="6" s="1"/>
  <c r="AG444" i="5"/>
  <c r="U444" i="5" s="1"/>
  <c r="R117" i="5"/>
  <c r="S117" i="5"/>
  <c r="G117" i="6" s="1"/>
  <c r="R243" i="5"/>
  <c r="S243" i="5"/>
  <c r="G243" i="6" s="1"/>
  <c r="R107" i="5"/>
  <c r="S107" i="5"/>
  <c r="G107" i="6" s="1"/>
  <c r="AG202" i="5"/>
  <c r="U202" i="5" s="1"/>
  <c r="R202" i="5"/>
  <c r="S202" i="5"/>
  <c r="G202" i="6" s="1"/>
  <c r="R30" i="5"/>
  <c r="AG30" i="5"/>
  <c r="U30" i="5" s="1"/>
  <c r="S30" i="5"/>
  <c r="G30" i="6" s="1"/>
  <c r="R188" i="5"/>
  <c r="S188" i="5"/>
  <c r="G188" i="6" s="1"/>
  <c r="AG42" i="5"/>
  <c r="U42" i="5" s="1"/>
  <c r="S42" i="5"/>
  <c r="G42" i="6" s="1"/>
  <c r="R42" i="5"/>
  <c r="S194" i="5"/>
  <c r="G194" i="6" s="1"/>
  <c r="R194" i="5"/>
  <c r="S37" i="5"/>
  <c r="AG37" i="5"/>
  <c r="U37" i="5" s="1"/>
  <c r="AN37" i="5" s="1"/>
  <c r="S154" i="5"/>
  <c r="G154" i="6" s="1"/>
  <c r="R154" i="5"/>
  <c r="S16" i="5"/>
  <c r="AG16" i="5"/>
  <c r="S163" i="5"/>
  <c r="G163" i="6" s="1"/>
  <c r="R163" i="5"/>
  <c r="R26" i="5"/>
  <c r="S26" i="5"/>
  <c r="G26" i="6" s="1"/>
  <c r="AG26" i="5"/>
  <c r="U26" i="5" s="1"/>
  <c r="S169" i="5"/>
  <c r="AG169" i="5"/>
  <c r="U169" i="5" s="1"/>
  <c r="AN169" i="5" s="1"/>
  <c r="AG33" i="5"/>
  <c r="U33" i="5" s="1"/>
  <c r="R33" i="5"/>
  <c r="S33" i="5"/>
  <c r="G33" i="6" s="1"/>
  <c r="R211" i="5"/>
  <c r="AG211" i="5"/>
  <c r="U211" i="5" s="1"/>
  <c r="S211" i="5"/>
  <c r="G211" i="6" s="1"/>
  <c r="AG62" i="5"/>
  <c r="U62" i="5" s="1"/>
  <c r="R62" i="5"/>
  <c r="S62" i="5"/>
  <c r="G62" i="6" s="1"/>
  <c r="S55" i="5"/>
  <c r="G55" i="6" s="1"/>
  <c r="R55" i="5"/>
  <c r="AG55" i="5"/>
  <c r="U55" i="5" s="1"/>
  <c r="AG282" i="5"/>
  <c r="U282" i="5" s="1"/>
  <c r="S282" i="5"/>
  <c r="G282" i="6" s="1"/>
  <c r="R282" i="5"/>
  <c r="R386" i="5"/>
  <c r="S386" i="5"/>
  <c r="G386" i="6" s="1"/>
  <c r="R509" i="5"/>
  <c r="AG509" i="5"/>
  <c r="U509" i="5" s="1"/>
  <c r="S509" i="5"/>
  <c r="G509" i="6" s="1"/>
  <c r="S172" i="5"/>
  <c r="G172" i="6" s="1"/>
  <c r="AG172" i="5"/>
  <c r="U172" i="5" s="1"/>
  <c r="R172" i="5"/>
  <c r="R239" i="5"/>
  <c r="S239" i="5"/>
  <c r="G239" i="6" s="1"/>
  <c r="S398" i="5"/>
  <c r="G398" i="6" s="1"/>
  <c r="R398" i="5"/>
  <c r="AG398" i="5"/>
  <c r="U398" i="5" s="1"/>
  <c r="S352" i="5"/>
  <c r="G352" i="6" s="1"/>
  <c r="R352" i="5"/>
  <c r="AG352" i="5"/>
  <c r="U352" i="5" s="1"/>
  <c r="AG299" i="5"/>
  <c r="U299" i="5" s="1"/>
  <c r="R299" i="5"/>
  <c r="S299" i="5"/>
  <c r="G299" i="6" s="1"/>
  <c r="S276" i="5"/>
  <c r="G276" i="6" s="1"/>
  <c r="R276" i="5"/>
  <c r="AG276" i="5"/>
  <c r="U276" i="5" s="1"/>
  <c r="S471" i="5"/>
  <c r="G471" i="6" s="1"/>
  <c r="R471" i="5"/>
  <c r="S592" i="5"/>
  <c r="G592" i="6" s="1"/>
  <c r="R592" i="5"/>
  <c r="R150" i="5"/>
  <c r="S150" i="5"/>
  <c r="G150" i="6" s="1"/>
  <c r="AG258" i="5"/>
  <c r="U258" i="5" s="1"/>
  <c r="S258" i="5"/>
  <c r="G258" i="6" s="1"/>
  <c r="R258" i="5"/>
  <c r="R149" i="5"/>
  <c r="S149" i="5"/>
  <c r="G149" i="6" s="1"/>
  <c r="S118" i="5"/>
  <c r="G118" i="6" s="1"/>
  <c r="R118" i="5"/>
  <c r="AG237" i="5"/>
  <c r="U237" i="5" s="1"/>
  <c r="AN237" i="5" s="1"/>
  <c r="S237" i="5"/>
  <c r="AG106" i="5"/>
  <c r="U106" i="5" s="1"/>
  <c r="AN106" i="5" s="1"/>
  <c r="S106" i="5"/>
  <c r="G106" i="6" s="1"/>
  <c r="R106" i="5"/>
  <c r="AG266" i="5"/>
  <c r="U266" i="5" s="1"/>
  <c r="S266" i="5"/>
  <c r="G266" i="6" s="1"/>
  <c r="R266" i="5"/>
  <c r="S404" i="5"/>
  <c r="G404" i="6" s="1"/>
  <c r="AG404" i="5"/>
  <c r="U404" i="5" s="1"/>
  <c r="R404" i="5"/>
  <c r="S683" i="5"/>
  <c r="G683" i="6" s="1"/>
  <c r="R683" i="5"/>
  <c r="AG683" i="5"/>
  <c r="U683" i="5" s="1"/>
  <c r="S650" i="5"/>
  <c r="G650" i="6" s="1"/>
  <c r="R650" i="5"/>
  <c r="S383" i="5"/>
  <c r="G383" i="6" s="1"/>
  <c r="R383" i="5"/>
  <c r="S466" i="5"/>
  <c r="G466" i="6" s="1"/>
  <c r="R466" i="5"/>
  <c r="R288" i="5"/>
  <c r="S288" i="5"/>
  <c r="G288" i="6" s="1"/>
  <c r="AG288" i="5"/>
  <c r="U288" i="5" s="1"/>
  <c r="AG403" i="5"/>
  <c r="U403" i="5" s="1"/>
  <c r="S403" i="5"/>
  <c r="G403" i="6" s="1"/>
  <c r="R403" i="5"/>
  <c r="AG647" i="5"/>
  <c r="U647" i="5" s="1"/>
  <c r="AN647" i="5" s="1"/>
  <c r="R647" i="5"/>
  <c r="S647" i="5"/>
  <c r="G647" i="6" s="1"/>
  <c r="S634" i="5"/>
  <c r="G634" i="6" s="1"/>
  <c r="AG634" i="5"/>
  <c r="U634" i="5" s="1"/>
  <c r="R634" i="5"/>
  <c r="R601" i="5"/>
  <c r="S601" i="5"/>
  <c r="G601" i="6" s="1"/>
  <c r="R702" i="5"/>
  <c r="AG702" i="5"/>
  <c r="U702" i="5" s="1"/>
  <c r="S702" i="5"/>
  <c r="G702" i="6" s="1"/>
  <c r="AG362" i="5"/>
  <c r="U362" i="5" s="1"/>
  <c r="R362" i="5"/>
  <c r="S362" i="5"/>
  <c r="G362" i="6" s="1"/>
  <c r="R662" i="5"/>
  <c r="S662" i="5"/>
  <c r="G662" i="6" s="1"/>
  <c r="AG662" i="5"/>
  <c r="U662" i="5" s="1"/>
  <c r="S576" i="5"/>
  <c r="G576" i="6" s="1"/>
  <c r="R576" i="5"/>
  <c r="R655" i="5"/>
  <c r="AG655" i="5"/>
  <c r="U655" i="5" s="1"/>
  <c r="S655" i="5"/>
  <c r="G655" i="6" s="1"/>
  <c r="S621" i="5"/>
  <c r="G621" i="6" s="1"/>
  <c r="R621" i="5"/>
  <c r="R725" i="5"/>
  <c r="S725" i="5"/>
  <c r="G725" i="6" s="1"/>
  <c r="AG725" i="5"/>
  <c r="U725" i="5" s="1"/>
  <c r="R478" i="5"/>
  <c r="S478" i="5"/>
  <c r="G478" i="6" s="1"/>
  <c r="S458" i="5"/>
  <c r="G458" i="6" s="1"/>
  <c r="R458" i="5"/>
  <c r="R437" i="5"/>
  <c r="S437" i="5"/>
  <c r="G437" i="6" s="1"/>
  <c r="AG437" i="5"/>
  <c r="U437" i="5" s="1"/>
  <c r="S323" i="5"/>
  <c r="G323" i="6" s="1"/>
  <c r="AG323" i="5"/>
  <c r="U323" i="5" s="1"/>
  <c r="R323" i="5"/>
  <c r="S339" i="5"/>
  <c r="G339" i="6" s="1"/>
  <c r="R339" i="5"/>
  <c r="AG339" i="5"/>
  <c r="U339" i="5" s="1"/>
  <c r="S409" i="5"/>
  <c r="G409" i="6" s="1"/>
  <c r="R409" i="5"/>
  <c r="S410" i="5"/>
  <c r="G410" i="6" s="1"/>
  <c r="R410" i="5"/>
  <c r="AG410" i="5"/>
  <c r="U410" i="5" s="1"/>
  <c r="R617" i="5"/>
  <c r="S617" i="5"/>
  <c r="G617" i="6" s="1"/>
  <c r="AG617" i="5"/>
  <c r="U617" i="5" s="1"/>
  <c r="S313" i="5"/>
  <c r="G313" i="6" s="1"/>
  <c r="AG313" i="5"/>
  <c r="U313" i="5" s="1"/>
  <c r="R313" i="5"/>
  <c r="S267" i="5"/>
  <c r="G267" i="6" s="1"/>
  <c r="AG267" i="5"/>
  <c r="U267" i="5" s="1"/>
  <c r="R267" i="5"/>
  <c r="R336" i="5"/>
  <c r="AG336" i="5"/>
  <c r="U336" i="5" s="1"/>
  <c r="S336" i="5"/>
  <c r="G336" i="6" s="1"/>
  <c r="S385" i="5"/>
  <c r="G385" i="6" s="1"/>
  <c r="R385" i="5"/>
  <c r="R462" i="5"/>
  <c r="S462" i="5"/>
  <c r="G462" i="6" s="1"/>
  <c r="S637" i="5"/>
  <c r="G637" i="6" s="1"/>
  <c r="R637" i="5"/>
  <c r="S432" i="5"/>
  <c r="G432" i="6" s="1"/>
  <c r="R432" i="5"/>
  <c r="R532" i="5"/>
  <c r="S532" i="5"/>
  <c r="G532" i="6" s="1"/>
  <c r="AG532" i="5"/>
  <c r="U532" i="5" s="1"/>
  <c r="R678" i="5"/>
  <c r="S678" i="5"/>
  <c r="G678" i="6" s="1"/>
  <c r="S95" i="5"/>
  <c r="G95" i="6" s="1"/>
  <c r="R95" i="5"/>
  <c r="AG95" i="5"/>
  <c r="U95" i="5" s="1"/>
  <c r="AN95" i="5" s="1"/>
  <c r="R238" i="5"/>
  <c r="S238" i="5"/>
  <c r="G238" i="6" s="1"/>
  <c r="AG89" i="5"/>
  <c r="U89" i="5" s="1"/>
  <c r="AN89" i="5" s="1"/>
  <c r="S89" i="5"/>
  <c r="R187" i="5"/>
  <c r="S187" i="5"/>
  <c r="G187" i="6" s="1"/>
  <c r="S31" i="5"/>
  <c r="G31" i="6" s="1"/>
  <c r="R31" i="5"/>
  <c r="AG31" i="5"/>
  <c r="U31" i="5" s="1"/>
  <c r="AG155" i="5"/>
  <c r="U155" i="5" s="1"/>
  <c r="AN155" i="5" s="1"/>
  <c r="S155" i="5"/>
  <c r="S22" i="5"/>
  <c r="G22" i="6" s="1"/>
  <c r="R22" i="5"/>
  <c r="AG181" i="5"/>
  <c r="U181" i="5" s="1"/>
  <c r="R181" i="5"/>
  <c r="S181" i="5"/>
  <c r="G181" i="6" s="1"/>
  <c r="AG36" i="5"/>
  <c r="U36" i="5" s="1"/>
  <c r="R36" i="5"/>
  <c r="S36" i="5"/>
  <c r="G36" i="6" s="1"/>
  <c r="S156" i="5"/>
  <c r="G156" i="6" s="1"/>
  <c r="R156" i="5"/>
  <c r="S28" i="5"/>
  <c r="G28" i="6" s="1"/>
  <c r="AG28" i="5"/>
  <c r="U28" i="5" s="1"/>
  <c r="R28" i="5"/>
  <c r="S151" i="5"/>
  <c r="G151" i="6" s="1"/>
  <c r="R151" i="5"/>
  <c r="R215" i="5"/>
  <c r="S215" i="5"/>
  <c r="G215" i="6" s="1"/>
  <c r="S164" i="5"/>
  <c r="G164" i="6" s="1"/>
  <c r="R164" i="5"/>
  <c r="AG17" i="5"/>
  <c r="U17" i="5" s="1"/>
  <c r="AN17" i="5" s="1"/>
  <c r="S17" i="5"/>
  <c r="R193" i="5"/>
  <c r="S193" i="5"/>
  <c r="G193" i="6" s="1"/>
  <c r="S38" i="5"/>
  <c r="G38" i="6" s="1"/>
  <c r="AG38" i="5"/>
  <c r="U38" i="5" s="1"/>
  <c r="AN38" i="5" s="1"/>
  <c r="R38" i="5"/>
  <c r="AG221" i="5"/>
  <c r="U221" i="5" s="1"/>
  <c r="AN221" i="5" s="1"/>
  <c r="S221" i="5"/>
  <c r="R485" i="5"/>
  <c r="S485" i="5"/>
  <c r="G485" i="6" s="1"/>
  <c r="AG485" i="5"/>
  <c r="U485" i="5" s="1"/>
  <c r="AG337" i="5"/>
  <c r="U337" i="5" s="1"/>
  <c r="S337" i="5"/>
  <c r="G337" i="6" s="1"/>
  <c r="R337" i="5"/>
  <c r="S665" i="5"/>
  <c r="G665" i="6" s="1"/>
  <c r="R665" i="5"/>
  <c r="R413" i="5"/>
  <c r="AG413" i="5"/>
  <c r="U413" i="5" s="1"/>
  <c r="S413" i="5"/>
  <c r="G413" i="6" s="1"/>
  <c r="S139" i="5"/>
  <c r="G139" i="6" s="1"/>
  <c r="R139" i="5"/>
  <c r="R235" i="5"/>
  <c r="S235" i="5"/>
  <c r="G235" i="6" s="1"/>
  <c r="AG201" i="5"/>
  <c r="U201" i="5" s="1"/>
  <c r="R201" i="5"/>
  <c r="S201" i="5"/>
  <c r="G201" i="6" s="1"/>
  <c r="AG269" i="5"/>
  <c r="U269" i="5" s="1"/>
  <c r="R269" i="5"/>
  <c r="S269" i="5"/>
  <c r="G269" i="6" s="1"/>
  <c r="S424" i="5"/>
  <c r="G424" i="6" s="1"/>
  <c r="AG424" i="5"/>
  <c r="U424" i="5" s="1"/>
  <c r="R424" i="5"/>
  <c r="R445" i="5"/>
  <c r="S445" i="5"/>
  <c r="G445" i="6" s="1"/>
  <c r="AG445" i="5"/>
  <c r="U445" i="5" s="1"/>
  <c r="S233" i="5"/>
  <c r="AG233" i="5"/>
  <c r="U233" i="5" s="1"/>
  <c r="AN233" i="5" s="1"/>
  <c r="R252" i="5"/>
  <c r="AG252" i="5"/>
  <c r="U252" i="5" s="1"/>
  <c r="S252" i="5"/>
  <c r="G252" i="6" s="1"/>
  <c r="R129" i="5"/>
  <c r="S129" i="5"/>
  <c r="G129" i="6" s="1"/>
  <c r="R227" i="5"/>
  <c r="S227" i="5"/>
  <c r="G227" i="6" s="1"/>
  <c r="AG74" i="5"/>
  <c r="U74" i="5" s="1"/>
  <c r="AN74" i="5" s="1"/>
  <c r="S74" i="5"/>
  <c r="R649" i="5"/>
  <c r="S649" i="5"/>
  <c r="G649" i="6" s="1"/>
  <c r="S555" i="5"/>
  <c r="G555" i="6" s="1"/>
  <c r="AG555" i="5"/>
  <c r="U555" i="5" s="1"/>
  <c r="R555" i="5"/>
  <c r="AG290" i="5"/>
  <c r="U290" i="5" s="1"/>
  <c r="R290" i="5"/>
  <c r="S290" i="5"/>
  <c r="G290" i="6" s="1"/>
  <c r="S287" i="5"/>
  <c r="G287" i="6" s="1"/>
  <c r="R287" i="5"/>
  <c r="AG287" i="5"/>
  <c r="U287" i="5" s="1"/>
  <c r="S405" i="5"/>
  <c r="G405" i="6" s="1"/>
  <c r="R405" i="5"/>
  <c r="AG390" i="5"/>
  <c r="U390" i="5" s="1"/>
  <c r="R390" i="5"/>
  <c r="S390" i="5"/>
  <c r="G390" i="6" s="1"/>
  <c r="S301" i="5"/>
  <c r="G301" i="6" s="1"/>
  <c r="R301" i="5"/>
  <c r="AG301" i="5"/>
  <c r="U301" i="5" s="1"/>
  <c r="AN301" i="5" s="1"/>
  <c r="R420" i="5"/>
  <c r="S420" i="5"/>
  <c r="G420" i="6" s="1"/>
  <c r="AG420" i="5"/>
  <c r="U420" i="5" s="1"/>
  <c r="AG291" i="5"/>
  <c r="U291" i="5" s="1"/>
  <c r="S291" i="5"/>
  <c r="G291" i="6" s="1"/>
  <c r="R291" i="5"/>
  <c r="S494" i="5"/>
  <c r="G494" i="6" s="1"/>
  <c r="R494" i="5"/>
  <c r="S505" i="5"/>
  <c r="G505" i="6" s="1"/>
  <c r="AG505" i="5"/>
  <c r="U505" i="5" s="1"/>
  <c r="R505" i="5"/>
  <c r="R544" i="5"/>
  <c r="S544" i="5"/>
  <c r="G544" i="6" s="1"/>
  <c r="AG544" i="5"/>
  <c r="U544" i="5" s="1"/>
  <c r="AG378" i="5"/>
  <c r="U378" i="5" s="1"/>
  <c r="R378" i="5"/>
  <c r="S378" i="5"/>
  <c r="G378" i="6" s="1"/>
  <c r="S434" i="5"/>
  <c r="G434" i="6" s="1"/>
  <c r="R434" i="5"/>
  <c r="S690" i="5"/>
  <c r="G690" i="6" s="1"/>
  <c r="AG690" i="5"/>
  <c r="U690" i="5" s="1"/>
  <c r="R690" i="5"/>
  <c r="S642" i="5"/>
  <c r="G642" i="6" s="1"/>
  <c r="R642" i="5"/>
  <c r="S706" i="5"/>
  <c r="G706" i="6" s="1"/>
  <c r="AG706" i="5"/>
  <c r="U706" i="5" s="1"/>
  <c r="R706" i="5"/>
  <c r="R497" i="5"/>
  <c r="AG497" i="5"/>
  <c r="U497" i="5" s="1"/>
  <c r="S497" i="5"/>
  <c r="G497" i="6" s="1"/>
  <c r="R500" i="5"/>
  <c r="S500" i="5"/>
  <c r="G500" i="6" s="1"/>
  <c r="R522" i="5"/>
  <c r="AG522" i="5"/>
  <c r="U522" i="5" s="1"/>
  <c r="S522" i="5"/>
  <c r="G522" i="6" s="1"/>
  <c r="S696" i="5"/>
  <c r="G696" i="6" s="1"/>
  <c r="R696" i="5"/>
  <c r="AG696" i="5"/>
  <c r="U696" i="5" s="1"/>
  <c r="AG426" i="5"/>
  <c r="U426" i="5" s="1"/>
  <c r="S426" i="5"/>
  <c r="G426" i="6" s="1"/>
  <c r="R426" i="5"/>
  <c r="S717" i="5"/>
  <c r="G717" i="6" s="1"/>
  <c r="R717" i="5"/>
  <c r="S264" i="5"/>
  <c r="G264" i="6" s="1"/>
  <c r="R264" i="5"/>
  <c r="AG264" i="5"/>
  <c r="U264" i="5" s="1"/>
  <c r="S366" i="5"/>
  <c r="G366" i="6" s="1"/>
  <c r="R366" i="5"/>
  <c r="AG366" i="5"/>
  <c r="U366" i="5" s="1"/>
  <c r="R384" i="5"/>
  <c r="AG384" i="5"/>
  <c r="U384" i="5" s="1"/>
  <c r="S384" i="5"/>
  <c r="G384" i="6" s="1"/>
  <c r="R569" i="5"/>
  <c r="S569" i="5"/>
  <c r="G569" i="6" s="1"/>
  <c r="R312" i="5"/>
  <c r="S312" i="5"/>
  <c r="G312" i="6" s="1"/>
  <c r="S630" i="5"/>
  <c r="G630" i="6" s="1"/>
  <c r="R630" i="5"/>
  <c r="R463" i="5"/>
  <c r="S463" i="5"/>
  <c r="G463" i="6" s="1"/>
  <c r="S619" i="5"/>
  <c r="G619" i="6" s="1"/>
  <c r="R619" i="5"/>
  <c r="AG619" i="5"/>
  <c r="U619" i="5" s="1"/>
  <c r="S324" i="5"/>
  <c r="G324" i="6" s="1"/>
  <c r="AG324" i="5"/>
  <c r="U324" i="5" s="1"/>
  <c r="R324" i="5"/>
  <c r="R368" i="5"/>
  <c r="AG368" i="5"/>
  <c r="U368" i="5" s="1"/>
  <c r="S368" i="5"/>
  <c r="G368" i="6" s="1"/>
  <c r="S502" i="5"/>
  <c r="G502" i="6" s="1"/>
  <c r="R502" i="5"/>
  <c r="S330" i="5"/>
  <c r="G330" i="6" s="1"/>
  <c r="AG330" i="5"/>
  <c r="U330" i="5" s="1"/>
  <c r="R330" i="5"/>
  <c r="S78" i="5"/>
  <c r="G78" i="6" s="1"/>
  <c r="R78" i="5"/>
  <c r="R218" i="5"/>
  <c r="S218" i="5"/>
  <c r="G218" i="6" s="1"/>
  <c r="S73" i="5"/>
  <c r="G73" i="6" s="1"/>
  <c r="AG73" i="5"/>
  <c r="U73" i="5" s="1"/>
  <c r="R73" i="5"/>
  <c r="AG171" i="5"/>
  <c r="U171" i="5" s="1"/>
  <c r="R171" i="5"/>
  <c r="S171" i="5"/>
  <c r="G171" i="6" s="1"/>
  <c r="S14" i="5"/>
  <c r="G14" i="6" s="1"/>
  <c r="AG14" i="5"/>
  <c r="R14" i="5"/>
  <c r="R161" i="5"/>
  <c r="S161" i="5"/>
  <c r="G161" i="6" s="1"/>
  <c r="R174" i="5"/>
  <c r="AG174" i="5"/>
  <c r="U174" i="5" s="1"/>
  <c r="S174" i="5"/>
  <c r="G174" i="6" s="1"/>
  <c r="S159" i="5"/>
  <c r="G159" i="6" s="1"/>
  <c r="R159" i="5"/>
  <c r="S19" i="5"/>
  <c r="AG19" i="5"/>
  <c r="U19" i="5" s="1"/>
  <c r="AN19" i="5" s="1"/>
  <c r="R122" i="5"/>
  <c r="AG122" i="5"/>
  <c r="U122" i="5" s="1"/>
  <c r="S122" i="5"/>
  <c r="G122" i="6" s="1"/>
  <c r="R259" i="5"/>
  <c r="S259" i="5"/>
  <c r="G259" i="6" s="1"/>
  <c r="R113" i="5"/>
  <c r="S113" i="5"/>
  <c r="G113" i="6" s="1"/>
  <c r="AG113" i="5"/>
  <c r="U113" i="5" s="1"/>
  <c r="S21" i="5"/>
  <c r="G21" i="6" s="1"/>
  <c r="R21" i="5"/>
  <c r="S153" i="5"/>
  <c r="G153" i="6" s="1"/>
  <c r="R153" i="5"/>
  <c r="S18" i="5"/>
  <c r="G18" i="6" s="1"/>
  <c r="R18" i="5"/>
  <c r="S186" i="5"/>
  <c r="G186" i="6" s="1"/>
  <c r="R186" i="5"/>
  <c r="AG29" i="5"/>
  <c r="U29" i="5" s="1"/>
  <c r="AN29" i="5" s="1"/>
  <c r="S29" i="5"/>
  <c r="S692" i="5"/>
  <c r="G692" i="6" s="1"/>
  <c r="R692" i="5"/>
  <c r="AG692" i="5"/>
  <c r="U692" i="5" s="1"/>
  <c r="R438" i="5"/>
  <c r="S438" i="5"/>
  <c r="G438" i="6" s="1"/>
  <c r="S289" i="5"/>
  <c r="G289" i="6" s="1"/>
  <c r="R289" i="5"/>
  <c r="AG289" i="5"/>
  <c r="U289" i="5" s="1"/>
  <c r="R596" i="5"/>
  <c r="S596" i="5"/>
  <c r="G596" i="6" s="1"/>
  <c r="AG255" i="5"/>
  <c r="U255" i="5" s="1"/>
  <c r="R255" i="5"/>
  <c r="S255" i="5"/>
  <c r="G255" i="6" s="1"/>
  <c r="S124" i="5"/>
  <c r="G124" i="6" s="1"/>
  <c r="R124" i="5"/>
  <c r="S40" i="5"/>
  <c r="AG40" i="5"/>
  <c r="U40" i="5" s="1"/>
  <c r="AN40" i="5" s="1"/>
  <c r="AG265" i="5"/>
  <c r="U265" i="5" s="1"/>
  <c r="AN265" i="5" s="1"/>
  <c r="S265" i="5"/>
  <c r="G265" i="6" s="1"/>
  <c r="R265" i="5"/>
  <c r="R321" i="5"/>
  <c r="AG321" i="5"/>
  <c r="U321" i="5" s="1"/>
  <c r="S321" i="5"/>
  <c r="G321" i="6" s="1"/>
  <c r="S578" i="5"/>
  <c r="G578" i="6" s="1"/>
  <c r="R578" i="5"/>
  <c r="R670" i="5"/>
  <c r="S670" i="5"/>
  <c r="G670" i="6" s="1"/>
  <c r="AG373" i="5"/>
  <c r="U373" i="5" s="1"/>
  <c r="R373" i="5"/>
  <c r="S373" i="5"/>
  <c r="G373" i="6" s="1"/>
  <c r="R130" i="5"/>
  <c r="S130" i="5"/>
  <c r="G130" i="6" s="1"/>
  <c r="AG96" i="5"/>
  <c r="U96" i="5" s="1"/>
  <c r="AN96" i="5" s="1"/>
  <c r="S96" i="5"/>
  <c r="AG245" i="5"/>
  <c r="U245" i="5" s="1"/>
  <c r="AN245" i="5" s="1"/>
  <c r="S245" i="5"/>
  <c r="S100" i="5"/>
  <c r="G100" i="6" s="1"/>
  <c r="R100" i="5"/>
  <c r="AG100" i="5"/>
  <c r="U100" i="5" s="1"/>
  <c r="AG197" i="5"/>
  <c r="U197" i="5" s="1"/>
  <c r="R197" i="5"/>
  <c r="S197" i="5"/>
  <c r="G197" i="6" s="1"/>
  <c r="R68" i="5"/>
  <c r="S68" i="5"/>
  <c r="G68" i="6" s="1"/>
  <c r="AG68" i="5"/>
  <c r="U68" i="5" s="1"/>
  <c r="S605" i="5"/>
  <c r="G605" i="6" s="1"/>
  <c r="AG605" i="5"/>
  <c r="U605" i="5" s="1"/>
  <c r="R605" i="5"/>
  <c r="R677" i="5"/>
  <c r="S677" i="5"/>
  <c r="G677" i="6" s="1"/>
  <c r="R493" i="5"/>
  <c r="S493" i="5"/>
  <c r="G493" i="6" s="1"/>
  <c r="S716" i="5"/>
  <c r="G716" i="6" s="1"/>
  <c r="R716" i="5"/>
  <c r="AG350" i="5"/>
  <c r="U350" i="5" s="1"/>
  <c r="R350" i="5"/>
  <c r="S350" i="5"/>
  <c r="G350" i="6" s="1"/>
  <c r="S689" i="5"/>
  <c r="G689" i="6" s="1"/>
  <c r="AG689" i="5"/>
  <c r="U689" i="5" s="1"/>
  <c r="R689" i="5"/>
  <c r="R575" i="5"/>
  <c r="AG575" i="5"/>
  <c r="U575" i="5" s="1"/>
  <c r="S575" i="5"/>
  <c r="G575" i="6" s="1"/>
  <c r="S709" i="5"/>
  <c r="G709" i="6" s="1"/>
  <c r="AG709" i="5"/>
  <c r="U709" i="5" s="1"/>
  <c r="R709" i="5"/>
  <c r="S597" i="5"/>
  <c r="G597" i="6" s="1"/>
  <c r="R597" i="5"/>
  <c r="S394" i="5"/>
  <c r="G394" i="6" s="1"/>
  <c r="R394" i="5"/>
  <c r="R439" i="5"/>
  <c r="AG439" i="5"/>
  <c r="U439" i="5" s="1"/>
  <c r="S439" i="5"/>
  <c r="G439" i="6" s="1"/>
  <c r="S465" i="5"/>
  <c r="G465" i="6" s="1"/>
  <c r="R465" i="5"/>
  <c r="R320" i="5"/>
  <c r="AG320" i="5"/>
  <c r="U320" i="5" s="1"/>
  <c r="S320" i="5"/>
  <c r="G320" i="6" s="1"/>
  <c r="R713" i="5"/>
  <c r="S713" i="5"/>
  <c r="G713" i="6" s="1"/>
  <c r="AG713" i="5"/>
  <c r="U713" i="5" s="1"/>
  <c r="AG515" i="5"/>
  <c r="U515" i="5" s="1"/>
  <c r="S515" i="5"/>
  <c r="G515" i="6" s="1"/>
  <c r="R515" i="5"/>
  <c r="S616" i="5"/>
  <c r="G616" i="6" s="1"/>
  <c r="AG616" i="5"/>
  <c r="U616" i="5" s="1"/>
  <c r="R616" i="5"/>
  <c r="S414" i="5"/>
  <c r="G414" i="6" s="1"/>
  <c r="R414" i="5"/>
  <c r="AG414" i="5"/>
  <c r="U414" i="5" s="1"/>
  <c r="AN414" i="5" s="1"/>
  <c r="AG442" i="5"/>
  <c r="U442" i="5" s="1"/>
  <c r="R442" i="5"/>
  <c r="S442" i="5"/>
  <c r="G442" i="6" s="1"/>
  <c r="R666" i="5"/>
  <c r="S666" i="5"/>
  <c r="G666" i="6" s="1"/>
  <c r="S639" i="5"/>
  <c r="G639" i="6" s="1"/>
  <c r="R639" i="5"/>
  <c r="R645" i="5"/>
  <c r="AG645" i="5"/>
  <c r="U645" i="5" s="1"/>
  <c r="S645" i="5"/>
  <c r="G645" i="6" s="1"/>
  <c r="AG262" i="5"/>
  <c r="U262" i="5" s="1"/>
  <c r="R262" i="5"/>
  <c r="S262" i="5"/>
  <c r="G262" i="6" s="1"/>
  <c r="AG684" i="5"/>
  <c r="U684" i="5" s="1"/>
  <c r="R684" i="5"/>
  <c r="S684" i="5"/>
  <c r="G684" i="6" s="1"/>
  <c r="S297" i="5"/>
  <c r="G297" i="6" s="1"/>
  <c r="R297" i="5"/>
  <c r="AG661" i="5"/>
  <c r="U661" i="5" s="1"/>
  <c r="S661" i="5"/>
  <c r="G661" i="6" s="1"/>
  <c r="R661" i="5"/>
  <c r="S685" i="5"/>
  <c r="G685" i="6" s="1"/>
  <c r="AG685" i="5"/>
  <c r="U685" i="5" s="1"/>
  <c r="R685" i="5"/>
  <c r="S357" i="5"/>
  <c r="G357" i="6" s="1"/>
  <c r="AG357" i="5"/>
  <c r="U357" i="5" s="1"/>
  <c r="R357" i="5"/>
  <c r="R354" i="5"/>
  <c r="S354" i="5"/>
  <c r="G354" i="6" s="1"/>
  <c r="AG354" i="5"/>
  <c r="U354" i="5" s="1"/>
  <c r="AG348" i="5"/>
  <c r="U348" i="5" s="1"/>
  <c r="R348" i="5"/>
  <c r="S348" i="5"/>
  <c r="G348" i="6" s="1"/>
  <c r="S501" i="5"/>
  <c r="G501" i="6" s="1"/>
  <c r="R501" i="5"/>
  <c r="S566" i="5"/>
  <c r="G566" i="6" s="1"/>
  <c r="R566" i="5"/>
  <c r="S429" i="5"/>
  <c r="G429" i="6" s="1"/>
  <c r="R429" i="5"/>
  <c r="AG429" i="5"/>
  <c r="U429" i="5" s="1"/>
  <c r="R305" i="5"/>
  <c r="S305" i="5"/>
  <c r="G305" i="6" s="1"/>
  <c r="AG305" i="5"/>
  <c r="U305" i="5" s="1"/>
  <c r="R574" i="5"/>
  <c r="AG574" i="5"/>
  <c r="U574" i="5" s="1"/>
  <c r="S574" i="5"/>
  <c r="G574" i="6" s="1"/>
  <c r="S480" i="5"/>
  <c r="G480" i="6" s="1"/>
  <c r="R480" i="5"/>
  <c r="S83" i="5"/>
  <c r="G83" i="6" s="1"/>
  <c r="AG83" i="5"/>
  <c r="U83" i="5" s="1"/>
  <c r="R83" i="5"/>
  <c r="R198" i="5"/>
  <c r="S198" i="5"/>
  <c r="G198" i="6" s="1"/>
  <c r="AG56" i="5"/>
  <c r="U56" i="5" s="1"/>
  <c r="R56" i="5"/>
  <c r="S56" i="5"/>
  <c r="G56" i="6" s="1"/>
  <c r="S158" i="5"/>
  <c r="G158" i="6" s="1"/>
  <c r="R158" i="5"/>
  <c r="R27" i="5"/>
  <c r="S27" i="5"/>
  <c r="G27" i="6" s="1"/>
  <c r="S146" i="5"/>
  <c r="G146" i="6" s="1"/>
  <c r="R146" i="5"/>
  <c r="S142" i="5"/>
  <c r="G142" i="6" s="1"/>
  <c r="R142" i="5"/>
  <c r="R160" i="5"/>
  <c r="S160" i="5"/>
  <c r="G160" i="6" s="1"/>
  <c r="R242" i="5"/>
  <c r="S242" i="5"/>
  <c r="G242" i="6" s="1"/>
  <c r="S138" i="5"/>
  <c r="G138" i="6" s="1"/>
  <c r="R138" i="5"/>
  <c r="AG190" i="5"/>
  <c r="U190" i="5" s="1"/>
  <c r="S190" i="5"/>
  <c r="G190" i="6" s="1"/>
  <c r="R190" i="5"/>
  <c r="S147" i="5"/>
  <c r="G147" i="6" s="1"/>
  <c r="R147" i="5"/>
  <c r="AG212" i="5"/>
  <c r="U212" i="5" s="1"/>
  <c r="AN212" i="5" s="1"/>
  <c r="S212" i="5"/>
  <c r="AG111" i="5"/>
  <c r="U111" i="5" s="1"/>
  <c r="S111" i="5"/>
  <c r="G111" i="6" s="1"/>
  <c r="R111" i="5"/>
  <c r="AG203" i="5"/>
  <c r="U203" i="5" s="1"/>
  <c r="S203" i="5"/>
  <c r="G203" i="6" s="1"/>
  <c r="R203" i="5"/>
  <c r="S184" i="5"/>
  <c r="AG184" i="5"/>
  <c r="U184" i="5" s="1"/>
  <c r="AN184" i="5" s="1"/>
  <c r="S59" i="5"/>
  <c r="G59" i="6" s="1"/>
  <c r="AG59" i="5"/>
  <c r="U59" i="5" s="1"/>
  <c r="R59" i="5"/>
  <c r="S541" i="5"/>
  <c r="G541" i="6" s="1"/>
  <c r="AG541" i="5"/>
  <c r="U541" i="5" s="1"/>
  <c r="R541" i="5"/>
  <c r="AG333" i="5"/>
  <c r="U333" i="5" s="1"/>
  <c r="R333" i="5"/>
  <c r="S333" i="5"/>
  <c r="G333" i="6" s="1"/>
  <c r="R46" i="5"/>
  <c r="AG46" i="5"/>
  <c r="U46" i="5" s="1"/>
  <c r="AN46" i="5" s="1"/>
  <c r="S46" i="5"/>
  <c r="G46" i="6" s="1"/>
  <c r="R241" i="5"/>
  <c r="S241" i="5"/>
  <c r="G241" i="6" s="1"/>
  <c r="R571" i="5"/>
  <c r="S571" i="5"/>
  <c r="G571" i="6" s="1"/>
  <c r="R560" i="5"/>
  <c r="S560" i="5"/>
  <c r="G560" i="6" s="1"/>
  <c r="S719" i="5"/>
  <c r="G719" i="6" s="1"/>
  <c r="R719" i="5"/>
  <c r="S376" i="5"/>
  <c r="G376" i="6" s="1"/>
  <c r="R376" i="5"/>
  <c r="R343" i="5"/>
  <c r="S343" i="5"/>
  <c r="G343" i="6" s="1"/>
  <c r="R416" i="5"/>
  <c r="AG416" i="5"/>
  <c r="U416" i="5" s="1"/>
  <c r="S416" i="5"/>
  <c r="G416" i="6" s="1"/>
  <c r="R162" i="5"/>
  <c r="S162" i="5"/>
  <c r="G162" i="6" s="1"/>
  <c r="R119" i="5"/>
  <c r="S119" i="5"/>
  <c r="G119" i="6" s="1"/>
  <c r="AG98" i="5"/>
  <c r="U98" i="5" s="1"/>
  <c r="R98" i="5"/>
  <c r="S98" i="5"/>
  <c r="G98" i="6" s="1"/>
  <c r="S84" i="5"/>
  <c r="G84" i="6" s="1"/>
  <c r="R84" i="5"/>
  <c r="AG84" i="5"/>
  <c r="U84" i="5" s="1"/>
  <c r="R231" i="5"/>
  <c r="AG231" i="5"/>
  <c r="U231" i="5" s="1"/>
  <c r="S231" i="5"/>
  <c r="G231" i="6" s="1"/>
  <c r="AG70" i="5"/>
  <c r="U70" i="5" s="1"/>
  <c r="S70" i="5"/>
  <c r="G70" i="6" s="1"/>
  <c r="R70" i="5"/>
  <c r="S191" i="5"/>
  <c r="G191" i="6" s="1"/>
  <c r="R191" i="5"/>
  <c r="S63" i="5"/>
  <c r="AG63" i="5"/>
  <c r="U63" i="5" s="1"/>
  <c r="AN63" i="5" s="1"/>
  <c r="S540" i="5"/>
  <c r="G540" i="6" s="1"/>
  <c r="AG540" i="5"/>
  <c r="U540" i="5" s="1"/>
  <c r="R540" i="5"/>
  <c r="AG499" i="5"/>
  <c r="U499" i="5" s="1"/>
  <c r="S499" i="5"/>
  <c r="G499" i="6" s="1"/>
  <c r="R499" i="5"/>
  <c r="R669" i="5"/>
  <c r="S669" i="5"/>
  <c r="G669" i="6" s="1"/>
  <c r="S470" i="5"/>
  <c r="G470" i="6" s="1"/>
  <c r="AG470" i="5"/>
  <c r="U470" i="5" s="1"/>
  <c r="R470" i="5"/>
  <c r="R344" i="5"/>
  <c r="S344" i="5"/>
  <c r="G344" i="6" s="1"/>
  <c r="AG423" i="5"/>
  <c r="U423" i="5" s="1"/>
  <c r="S423" i="5"/>
  <c r="G423" i="6" s="1"/>
  <c r="R423" i="5"/>
  <c r="S577" i="5"/>
  <c r="G577" i="6" s="1"/>
  <c r="R577" i="5"/>
  <c r="R393" i="5"/>
  <c r="S393" i="5"/>
  <c r="G393" i="6" s="1"/>
  <c r="R503" i="5"/>
  <c r="S503" i="5"/>
  <c r="G503" i="6" s="1"/>
  <c r="S451" i="5"/>
  <c r="G451" i="6" s="1"/>
  <c r="R451" i="5"/>
  <c r="AG451" i="5"/>
  <c r="U451" i="5" s="1"/>
  <c r="S610" i="5"/>
  <c r="G610" i="6" s="1"/>
  <c r="R610" i="5"/>
  <c r="AG610" i="5"/>
  <c r="U610" i="5" s="1"/>
  <c r="S302" i="5"/>
  <c r="G302" i="6" s="1"/>
  <c r="R302" i="5"/>
  <c r="AG302" i="5"/>
  <c r="U302" i="5" s="1"/>
  <c r="R600" i="5"/>
  <c r="S600" i="5"/>
  <c r="G600" i="6" s="1"/>
  <c r="AG440" i="5"/>
  <c r="U440" i="5" s="1"/>
  <c r="S440" i="5"/>
  <c r="G440" i="6" s="1"/>
  <c r="R440" i="5"/>
  <c r="R483" i="5"/>
  <c r="AG483" i="5"/>
  <c r="U483" i="5" s="1"/>
  <c r="S483" i="5"/>
  <c r="G483" i="6" s="1"/>
  <c r="S367" i="5"/>
  <c r="G367" i="6" s="1"/>
  <c r="AG367" i="5"/>
  <c r="U367" i="5" s="1"/>
  <c r="R367" i="5"/>
  <c r="S562" i="5"/>
  <c r="G562" i="6" s="1"/>
  <c r="R562" i="5"/>
  <c r="R278" i="5"/>
  <c r="S278" i="5"/>
  <c r="G278" i="6" s="1"/>
  <c r="AG278" i="5"/>
  <c r="U278" i="5" s="1"/>
  <c r="S360" i="5"/>
  <c r="G360" i="6" s="1"/>
  <c r="R360" i="5"/>
  <c r="AG360" i="5"/>
  <c r="U360" i="5" s="1"/>
  <c r="R722" i="5"/>
  <c r="S722" i="5"/>
  <c r="G722" i="6" s="1"/>
  <c r="AG268" i="5"/>
  <c r="U268" i="5" s="1"/>
  <c r="R268" i="5"/>
  <c r="S268" i="5"/>
  <c r="G268" i="6" s="1"/>
  <c r="S315" i="5"/>
  <c r="G315" i="6" s="1"/>
  <c r="R315" i="5"/>
  <c r="AG315" i="5"/>
  <c r="U315" i="5" s="1"/>
  <c r="AG448" i="5"/>
  <c r="U448" i="5" s="1"/>
  <c r="S448" i="5"/>
  <c r="G448" i="6" s="1"/>
  <c r="R448" i="5"/>
  <c r="AG608" i="5"/>
  <c r="U608" i="5" s="1"/>
  <c r="S608" i="5"/>
  <c r="G608" i="6" s="1"/>
  <c r="R608" i="5"/>
  <c r="AG374" i="5"/>
  <c r="U374" i="5" s="1"/>
  <c r="R374" i="5"/>
  <c r="S374" i="5"/>
  <c r="G374" i="6" s="1"/>
  <c r="AG527" i="5"/>
  <c r="U527" i="5" s="1"/>
  <c r="S527" i="5"/>
  <c r="G527" i="6" s="1"/>
  <c r="R527" i="5"/>
  <c r="R498" i="5"/>
  <c r="S498" i="5"/>
  <c r="G498" i="6" s="1"/>
  <c r="R452" i="5"/>
  <c r="S452" i="5"/>
  <c r="G452" i="6" s="1"/>
  <c r="AG663" i="5"/>
  <c r="U663" i="5" s="1"/>
  <c r="R663" i="5"/>
  <c r="S663" i="5"/>
  <c r="G663" i="6" s="1"/>
  <c r="S446" i="5"/>
  <c r="G446" i="6" s="1"/>
  <c r="AG446" i="5"/>
  <c r="U446" i="5" s="1"/>
  <c r="R446" i="5"/>
  <c r="AG534" i="5"/>
  <c r="U534" i="5" s="1"/>
  <c r="S534" i="5"/>
  <c r="G534" i="6" s="1"/>
  <c r="R534" i="5"/>
  <c r="R714" i="5"/>
  <c r="S714" i="5"/>
  <c r="G714" i="6" s="1"/>
  <c r="R563" i="5"/>
  <c r="S563" i="5"/>
  <c r="G563" i="6" s="1"/>
  <c r="AG551" i="5"/>
  <c r="U551" i="5" s="1"/>
  <c r="S551" i="5"/>
  <c r="G551" i="6" s="1"/>
  <c r="R551" i="5"/>
  <c r="S331" i="5"/>
  <c r="G331" i="6" s="1"/>
  <c r="AG331" i="5"/>
  <c r="U331" i="5" s="1"/>
  <c r="AN331" i="5" s="1"/>
  <c r="R331" i="5"/>
  <c r="R54" i="5"/>
  <c r="S54" i="5"/>
  <c r="G54" i="6" s="1"/>
  <c r="AG54" i="5"/>
  <c r="U54" i="5" s="1"/>
  <c r="AN54" i="5" s="1"/>
  <c r="S206" i="5"/>
  <c r="G206" i="6" s="1"/>
  <c r="R206" i="5"/>
  <c r="S50" i="5"/>
  <c r="G50" i="6" s="1"/>
  <c r="AG50" i="5"/>
  <c r="U50" i="5" s="1"/>
  <c r="R50" i="5"/>
  <c r="S132" i="5"/>
  <c r="G132" i="6" s="1"/>
  <c r="R132" i="5"/>
  <c r="R178" i="5"/>
  <c r="S178" i="5"/>
  <c r="G178" i="6" s="1"/>
  <c r="S125" i="5"/>
  <c r="G125" i="6" s="1"/>
  <c r="R125" i="5"/>
  <c r="AG125" i="5"/>
  <c r="U125" i="5" s="1"/>
  <c r="AN125" i="5" s="1"/>
  <c r="AG254" i="5"/>
  <c r="U254" i="5" s="1"/>
  <c r="R254" i="5"/>
  <c r="S254" i="5"/>
  <c r="G254" i="6" s="1"/>
  <c r="AG134" i="5"/>
  <c r="U134" i="5" s="1"/>
  <c r="AN134" i="5" s="1"/>
  <c r="S134" i="5"/>
  <c r="R123" i="5"/>
  <c r="AG123" i="5"/>
  <c r="U123" i="5" s="1"/>
  <c r="S123" i="5"/>
  <c r="G123" i="6" s="1"/>
  <c r="S131" i="5"/>
  <c r="G131" i="6" s="1"/>
  <c r="R131" i="5"/>
  <c r="S256" i="5"/>
  <c r="G256" i="6" s="1"/>
  <c r="AG256" i="5"/>
  <c r="U256" i="5" s="1"/>
  <c r="AN256" i="5" s="1"/>
  <c r="R256" i="5"/>
  <c r="S133" i="5"/>
  <c r="G133" i="6" s="1"/>
  <c r="R133" i="5"/>
  <c r="R240" i="5"/>
  <c r="S240" i="5"/>
  <c r="G240" i="6" s="1"/>
  <c r="S112" i="5"/>
  <c r="G112" i="6" s="1"/>
  <c r="AG112" i="5"/>
  <c r="U112" i="5" s="1"/>
  <c r="R112" i="5"/>
  <c r="R48" i="5"/>
  <c r="S48" i="5"/>
  <c r="G48" i="6" s="1"/>
  <c r="AG48" i="5"/>
  <c r="U48" i="5" s="1"/>
  <c r="R166" i="5"/>
  <c r="S166" i="5"/>
  <c r="G166" i="6" s="1"/>
  <c r="R20" i="5"/>
  <c r="S20" i="5"/>
  <c r="G20" i="6" s="1"/>
  <c r="R625" i="5"/>
  <c r="S625" i="5"/>
  <c r="G625" i="6" s="1"/>
  <c r="S664" i="5"/>
  <c r="G664" i="6" s="1"/>
  <c r="AG664" i="5"/>
  <c r="U664" i="5" s="1"/>
  <c r="R664" i="5"/>
  <c r="R328" i="5"/>
  <c r="AG328" i="5"/>
  <c r="U328" i="5" s="1"/>
  <c r="S328" i="5"/>
  <c r="G328" i="6" s="1"/>
  <c r="AG250" i="5"/>
  <c r="U250" i="5" s="1"/>
  <c r="S250" i="5"/>
  <c r="G250" i="6" s="1"/>
  <c r="R250" i="5"/>
  <c r="AG90" i="5"/>
  <c r="U90" i="5" s="1"/>
  <c r="S90" i="5"/>
  <c r="G90" i="6" s="1"/>
  <c r="R90" i="5"/>
  <c r="AG102" i="5"/>
  <c r="U102" i="5" s="1"/>
  <c r="S102" i="5"/>
  <c r="G102" i="6" s="1"/>
  <c r="R102" i="5"/>
  <c r="R457" i="5"/>
  <c r="S457" i="5"/>
  <c r="G457" i="6" s="1"/>
  <c r="S342" i="5"/>
  <c r="G342" i="6" s="1"/>
  <c r="AG342" i="5"/>
  <c r="U342" i="5" s="1"/>
  <c r="AN342" i="5" s="1"/>
  <c r="R342" i="5"/>
  <c r="R329" i="5"/>
  <c r="S329" i="5"/>
  <c r="G329" i="6" s="1"/>
  <c r="AG329" i="5"/>
  <c r="U329" i="5" s="1"/>
  <c r="S214" i="5"/>
  <c r="G214" i="6" s="1"/>
  <c r="AG214" i="5"/>
  <c r="U214" i="5" s="1"/>
  <c r="R214" i="5"/>
  <c r="S224" i="5"/>
  <c r="G224" i="6" s="1"/>
  <c r="R224" i="5"/>
  <c r="R71" i="5"/>
  <c r="S71" i="5"/>
  <c r="G71" i="6" s="1"/>
  <c r="AG71" i="5"/>
  <c r="U71" i="5" s="1"/>
  <c r="AN71" i="5" s="1"/>
  <c r="S179" i="5"/>
  <c r="G179" i="6" s="1"/>
  <c r="R179" i="5"/>
  <c r="S52" i="5"/>
  <c r="G52" i="6" s="1"/>
  <c r="R52" i="5"/>
  <c r="AG52" i="5"/>
  <c r="U52" i="5" s="1"/>
  <c r="R492" i="5"/>
  <c r="S492" i="5"/>
  <c r="G492" i="6" s="1"/>
  <c r="R338" i="5"/>
  <c r="S338" i="5"/>
  <c r="G338" i="6" s="1"/>
  <c r="AG298" i="5"/>
  <c r="U298" i="5" s="1"/>
  <c r="S298" i="5"/>
  <c r="G298" i="6" s="1"/>
  <c r="R298" i="5"/>
  <c r="S599" i="5"/>
  <c r="G599" i="6" s="1"/>
  <c r="R599" i="5"/>
  <c r="AG700" i="5"/>
  <c r="U700" i="5" s="1"/>
  <c r="R700" i="5"/>
  <c r="S700" i="5"/>
  <c r="G700" i="6" s="1"/>
  <c r="S318" i="5"/>
  <c r="G318" i="6" s="1"/>
  <c r="AG318" i="5"/>
  <c r="U318" i="5" s="1"/>
  <c r="R318" i="5"/>
  <c r="AG422" i="5"/>
  <c r="U422" i="5" s="1"/>
  <c r="S422" i="5"/>
  <c r="G422" i="6" s="1"/>
  <c r="R422" i="5"/>
  <c r="AG435" i="5"/>
  <c r="U435" i="5" s="1"/>
  <c r="R435" i="5"/>
  <c r="S435" i="5"/>
  <c r="G435" i="6" s="1"/>
  <c r="R510" i="5"/>
  <c r="AG510" i="5"/>
  <c r="U510" i="5" s="1"/>
  <c r="S510" i="5"/>
  <c r="G510" i="6" s="1"/>
  <c r="AG408" i="5"/>
  <c r="U408" i="5" s="1"/>
  <c r="R408" i="5"/>
  <c r="S408" i="5"/>
  <c r="G408" i="6" s="1"/>
  <c r="R675" i="5"/>
  <c r="S675" i="5"/>
  <c r="G675" i="6" s="1"/>
  <c r="AG277" i="5"/>
  <c r="U277" i="5" s="1"/>
  <c r="S277" i="5"/>
  <c r="G277" i="6" s="1"/>
  <c r="R277" i="5"/>
  <c r="AG399" i="5"/>
  <c r="U399" i="5" s="1"/>
  <c r="R399" i="5"/>
  <c r="S399" i="5"/>
  <c r="G399" i="6" s="1"/>
  <c r="AG518" i="5"/>
  <c r="U518" i="5" s="1"/>
  <c r="S518" i="5"/>
  <c r="G518" i="6" s="1"/>
  <c r="R518" i="5"/>
  <c r="AG443" i="5"/>
  <c r="U443" i="5" s="1"/>
  <c r="S443" i="5"/>
  <c r="G443" i="6" s="1"/>
  <c r="R443" i="5"/>
  <c r="R467" i="5"/>
  <c r="S467" i="5"/>
  <c r="G467" i="6" s="1"/>
  <c r="S648" i="5"/>
  <c r="G648" i="6" s="1"/>
  <c r="AG648" i="5"/>
  <c r="U648" i="5" s="1"/>
  <c r="R648" i="5"/>
  <c r="R723" i="5"/>
  <c r="S723" i="5"/>
  <c r="G723" i="6" s="1"/>
  <c r="AG688" i="5"/>
  <c r="U688" i="5" s="1"/>
  <c r="S688" i="5"/>
  <c r="G688" i="6" s="1"/>
  <c r="R688" i="5"/>
  <c r="AG504" i="5"/>
  <c r="U504" i="5" s="1"/>
  <c r="R504" i="5"/>
  <c r="S504" i="5"/>
  <c r="G504" i="6" s="1"/>
  <c r="R491" i="5"/>
  <c r="S491" i="5"/>
  <c r="G491" i="6" s="1"/>
  <c r="S506" i="5"/>
  <c r="G506" i="6" s="1"/>
  <c r="R506" i="5"/>
  <c r="R651" i="5"/>
  <c r="S651" i="5"/>
  <c r="G651" i="6" s="1"/>
  <c r="S400" i="5"/>
  <c r="G400" i="6" s="1"/>
  <c r="R400" i="5"/>
  <c r="S516" i="5"/>
  <c r="G516" i="6" s="1"/>
  <c r="AG516" i="5"/>
  <c r="U516" i="5" s="1"/>
  <c r="R516" i="5"/>
  <c r="AG523" i="5"/>
  <c r="U523" i="5" s="1"/>
  <c r="R523" i="5"/>
  <c r="S523" i="5"/>
  <c r="G523" i="6" s="1"/>
  <c r="S461" i="5"/>
  <c r="G461" i="6" s="1"/>
  <c r="R461" i="5"/>
  <c r="AG326" i="5"/>
  <c r="U326" i="5" s="1"/>
  <c r="S326" i="5"/>
  <c r="G326" i="6" s="1"/>
  <c r="R326" i="5"/>
  <c r="S553" i="5"/>
  <c r="G553" i="6" s="1"/>
  <c r="AG553" i="5"/>
  <c r="U553" i="5" s="1"/>
  <c r="R553" i="5"/>
  <c r="S425" i="5"/>
  <c r="G425" i="6" s="1"/>
  <c r="R425" i="5"/>
  <c r="AG425" i="5"/>
  <c r="U425" i="5" s="1"/>
  <c r="AN425" i="5" s="1"/>
  <c r="R513" i="5"/>
  <c r="AG513" i="5"/>
  <c r="U513" i="5" s="1"/>
  <c r="S513" i="5"/>
  <c r="G513" i="6" s="1"/>
  <c r="R428" i="5"/>
  <c r="S428" i="5"/>
  <c r="G428" i="6" s="1"/>
  <c r="R454" i="5"/>
  <c r="S454" i="5"/>
  <c r="G454" i="6" s="1"/>
  <c r="R411" i="5"/>
  <c r="S411" i="5"/>
  <c r="G411" i="6" s="1"/>
  <c r="R249" i="5"/>
  <c r="S249" i="5"/>
  <c r="G249" i="6" s="1"/>
  <c r="AG249" i="5"/>
  <c r="U249" i="5" s="1"/>
  <c r="AN249" i="5" s="1"/>
  <c r="AG32" i="5"/>
  <c r="U32" i="5" s="1"/>
  <c r="R32" i="5"/>
  <c r="S32" i="5"/>
  <c r="G32" i="6" s="1"/>
  <c r="S180" i="5"/>
  <c r="G180" i="6" s="1"/>
  <c r="R180" i="5"/>
  <c r="S44" i="5"/>
  <c r="G44" i="6" s="1"/>
  <c r="R44" i="5"/>
  <c r="AG44" i="5"/>
  <c r="U44" i="5" s="1"/>
  <c r="R140" i="5"/>
  <c r="S140" i="5"/>
  <c r="G140" i="6" s="1"/>
  <c r="R58" i="5"/>
  <c r="S58" i="5"/>
  <c r="G58" i="6" s="1"/>
  <c r="AG58" i="5"/>
  <c r="U58" i="5" s="1"/>
  <c r="R143" i="5"/>
  <c r="S143" i="5"/>
  <c r="G143" i="6" s="1"/>
  <c r="R236" i="5"/>
  <c r="S236" i="5"/>
  <c r="G236" i="6" s="1"/>
  <c r="S116" i="5"/>
  <c r="G116" i="6" s="1"/>
  <c r="R116" i="5"/>
  <c r="S105" i="5"/>
  <c r="G105" i="6" s="1"/>
  <c r="R105" i="5"/>
  <c r="AG105" i="5"/>
  <c r="U105" i="5" s="1"/>
  <c r="S103" i="5"/>
  <c r="AG103" i="5"/>
  <c r="U103" i="5" s="1"/>
  <c r="AN103" i="5" s="1"/>
  <c r="AG261" i="5"/>
  <c r="U261" i="5" s="1"/>
  <c r="R261" i="5"/>
  <c r="S261" i="5"/>
  <c r="G261" i="6" s="1"/>
  <c r="R99" i="5"/>
  <c r="AG99" i="5"/>
  <c r="U99" i="5" s="1"/>
  <c r="S99" i="5"/>
  <c r="G99" i="6" s="1"/>
  <c r="S257" i="5"/>
  <c r="G257" i="6" s="1"/>
  <c r="R257" i="5"/>
  <c r="AG257" i="5"/>
  <c r="U257" i="5" s="1"/>
  <c r="S120" i="5"/>
  <c r="G120" i="6" s="1"/>
  <c r="R120" i="5"/>
  <c r="R177" i="5"/>
  <c r="S177" i="5"/>
  <c r="G177" i="6" s="1"/>
  <c r="S167" i="5"/>
  <c r="G167" i="6" s="1"/>
  <c r="R167" i="5"/>
  <c r="R85" i="5"/>
  <c r="AG85" i="5"/>
  <c r="U85" i="5" s="1"/>
  <c r="S85" i="5"/>
  <c r="G85" i="6" s="1"/>
  <c r="W374" i="5"/>
  <c r="AJ374" i="6" s="1"/>
  <c r="X374" i="5" s="1"/>
  <c r="AN374" i="5"/>
  <c r="W558" i="5"/>
  <c r="AJ558" i="6" s="1"/>
  <c r="X558" i="5" s="1"/>
  <c r="AN558" i="5"/>
  <c r="W331" i="5"/>
  <c r="AJ331" i="6" s="1"/>
  <c r="X331" i="5" s="1"/>
  <c r="W470" i="5"/>
  <c r="AJ470" i="6" s="1"/>
  <c r="X470" i="5" s="1"/>
  <c r="AN470" i="5"/>
  <c r="W448" i="5"/>
  <c r="AJ448" i="6" s="1"/>
  <c r="X448" i="5" s="1"/>
  <c r="AN448" i="5"/>
  <c r="W298" i="5"/>
  <c r="AJ298" i="6" s="1"/>
  <c r="X298" i="5" s="1"/>
  <c r="AN298" i="5"/>
  <c r="W662" i="5"/>
  <c r="AJ662" i="6" s="1"/>
  <c r="X662" i="5" s="1"/>
  <c r="AN662" i="5"/>
  <c r="W725" i="5"/>
  <c r="AJ725" i="6" s="1"/>
  <c r="AN725" i="5"/>
  <c r="W617" i="5"/>
  <c r="AJ617" i="6" s="1"/>
  <c r="X617" i="5" s="1"/>
  <c r="AN617" i="5"/>
  <c r="AN511" i="5"/>
  <c r="W511" i="5"/>
  <c r="AJ511" i="6" s="1"/>
  <c r="X511" i="5" s="1"/>
  <c r="AN39" i="5"/>
  <c r="W39" i="5"/>
  <c r="AJ39" i="6" s="1"/>
  <c r="X39" i="5" s="1"/>
  <c r="AN313" i="5"/>
  <c r="W313" i="5"/>
  <c r="AJ313" i="6" s="1"/>
  <c r="X313" i="5" s="1"/>
  <c r="W48" i="5"/>
  <c r="AJ48" i="6" s="1"/>
  <c r="AN48" i="5"/>
  <c r="W427" i="5"/>
  <c r="AJ427" i="6" s="1"/>
  <c r="X427" i="5" s="1"/>
  <c r="AN427" i="5"/>
  <c r="W410" i="5"/>
  <c r="AJ410" i="6" s="1"/>
  <c r="X410" i="5" s="1"/>
  <c r="AN410" i="5"/>
  <c r="W33" i="5"/>
  <c r="AJ33" i="6" s="1"/>
  <c r="X33" i="5" s="1"/>
  <c r="AN33" i="5"/>
  <c r="AN282" i="5"/>
  <c r="W282" i="5"/>
  <c r="AJ282" i="6" s="1"/>
  <c r="X282" i="5" s="1"/>
  <c r="W538" i="5"/>
  <c r="AJ538" i="6" s="1"/>
  <c r="X538" i="5" s="1"/>
  <c r="W536" i="5"/>
  <c r="AJ536" i="6" s="1"/>
  <c r="X536" i="5" s="1"/>
  <c r="AN536" i="5"/>
  <c r="AN175" i="5"/>
  <c r="W175" i="5"/>
  <c r="AJ175" i="6" s="1"/>
  <c r="X175" i="5" s="1"/>
  <c r="AN555" i="5"/>
  <c r="W555" i="5"/>
  <c r="AJ555" i="6" s="1"/>
  <c r="X555" i="5" s="1"/>
  <c r="AN289" i="5"/>
  <c r="W289" i="5"/>
  <c r="AJ289" i="6" s="1"/>
  <c r="X289" i="5" s="1"/>
  <c r="AN384" i="5"/>
  <c r="W384" i="5"/>
  <c r="AJ384" i="6" s="1"/>
  <c r="X384" i="5" s="1"/>
  <c r="W359" i="5"/>
  <c r="AJ359" i="6" s="1"/>
  <c r="X359" i="5" s="1"/>
  <c r="AN589" i="5"/>
  <c r="W589" i="5"/>
  <c r="AJ589" i="6" s="1"/>
  <c r="X589" i="5" s="1"/>
  <c r="AN248" i="5"/>
  <c r="W248" i="5"/>
  <c r="AJ248" i="6" s="1"/>
  <c r="AN30" i="5"/>
  <c r="W30" i="5"/>
  <c r="AJ30" i="6" s="1"/>
  <c r="W263" i="5"/>
  <c r="AJ263" i="6" s="1"/>
  <c r="X263" i="5" s="1"/>
  <c r="AN263" i="5"/>
  <c r="AN531" i="5"/>
  <c r="W531" i="5"/>
  <c r="AJ531" i="6" s="1"/>
  <c r="W348" i="5"/>
  <c r="AJ348" i="6" s="1"/>
  <c r="X348" i="5" s="1"/>
  <c r="AN348" i="5"/>
  <c r="W71" i="5"/>
  <c r="AJ71" i="6" s="1"/>
  <c r="X71" i="5" s="1"/>
  <c r="AN270" i="5"/>
  <c r="W270" i="5"/>
  <c r="AJ270" i="6" s="1"/>
  <c r="X270" i="5" s="1"/>
  <c r="W645" i="5"/>
  <c r="AJ645" i="6" s="1"/>
  <c r="X645" i="5" s="1"/>
  <c r="AN645" i="5"/>
  <c r="W373" i="5"/>
  <c r="AJ373" i="6" s="1"/>
  <c r="X373" i="5" s="1"/>
  <c r="AN373" i="5"/>
  <c r="AN423" i="5"/>
  <c r="W423" i="5"/>
  <c r="AJ423" i="6" s="1"/>
  <c r="X423" i="5" s="1"/>
  <c r="AN622" i="5"/>
  <c r="W622" i="5"/>
  <c r="AJ622" i="6" s="1"/>
  <c r="X622" i="5" s="1"/>
  <c r="W720" i="5"/>
  <c r="AJ720" i="6" s="1"/>
  <c r="X720" i="5" s="1"/>
  <c r="AN720" i="5"/>
  <c r="AN322" i="5"/>
  <c r="W322" i="5"/>
  <c r="AJ322" i="6" s="1"/>
  <c r="X322" i="5" s="1"/>
  <c r="AN361" i="5"/>
  <c r="W361" i="5"/>
  <c r="AJ361" i="6" s="1"/>
  <c r="X361" i="5" s="1"/>
  <c r="AN372" i="5"/>
  <c r="W372" i="5"/>
  <c r="AJ372" i="6" s="1"/>
  <c r="X372" i="5" s="1"/>
  <c r="W539" i="5"/>
  <c r="AJ539" i="6" s="1"/>
  <c r="X539" i="5" s="1"/>
  <c r="AN539" i="5"/>
  <c r="W288" i="5"/>
  <c r="AJ288" i="6" s="1"/>
  <c r="X288" i="5" s="1"/>
  <c r="AN288" i="5"/>
  <c r="W336" i="5"/>
  <c r="AJ336" i="6" s="1"/>
  <c r="X336" i="5" s="1"/>
  <c r="AN336" i="5"/>
  <c r="W255" i="5"/>
  <c r="AJ255" i="6" s="1"/>
  <c r="X255" i="5" s="1"/>
  <c r="AN255" i="5"/>
  <c r="W260" i="5"/>
  <c r="AJ260" i="6" s="1"/>
  <c r="X260" i="5" s="1"/>
  <c r="AN260" i="5"/>
  <c r="W542" i="5"/>
  <c r="AJ542" i="6" s="1"/>
  <c r="X542" i="5" s="1"/>
  <c r="AN542" i="5"/>
  <c r="W249" i="5"/>
  <c r="AJ249" i="6" s="1"/>
  <c r="X249" i="5" s="1"/>
  <c r="W447" i="5"/>
  <c r="AJ447" i="6" s="1"/>
  <c r="X447" i="5" s="1"/>
  <c r="AN447" i="5"/>
  <c r="AN547" i="5"/>
  <c r="W547" i="5"/>
  <c r="AJ547" i="6" s="1"/>
  <c r="X547" i="5" s="1"/>
  <c r="W98" i="5"/>
  <c r="AJ98" i="6" s="1"/>
  <c r="X98" i="5" s="1"/>
  <c r="AN98" i="5"/>
  <c r="W250" i="5"/>
  <c r="AJ250" i="6" s="1"/>
  <c r="X250" i="5" s="1"/>
  <c r="AN250" i="5"/>
  <c r="W72" i="5"/>
  <c r="AJ72" i="6" s="1"/>
  <c r="X72" i="5" s="1"/>
  <c r="AN72" i="5"/>
  <c r="W366" i="5"/>
  <c r="AJ366" i="6" s="1"/>
  <c r="AN366" i="5"/>
  <c r="AN49" i="5"/>
  <c r="W49" i="5"/>
  <c r="AJ49" i="6" s="1"/>
  <c r="X49" i="5" s="1"/>
  <c r="AN59" i="5"/>
  <c r="W59" i="5"/>
  <c r="AJ59" i="6" s="1"/>
  <c r="X59" i="5" s="1"/>
  <c r="AN574" i="5"/>
  <c r="W574" i="5"/>
  <c r="AJ574" i="6" s="1"/>
  <c r="X574" i="5" s="1"/>
  <c r="AN251" i="5"/>
  <c r="W251" i="5"/>
  <c r="AJ251" i="6" s="1"/>
  <c r="X251" i="5" s="1"/>
  <c r="W709" i="5"/>
  <c r="AJ709" i="6" s="1"/>
  <c r="X709" i="5" s="1"/>
  <c r="AN709" i="5"/>
  <c r="W424" i="5"/>
  <c r="AJ424" i="6" s="1"/>
  <c r="X424" i="5" s="1"/>
  <c r="AN424" i="5"/>
  <c r="W268" i="5"/>
  <c r="AJ268" i="6" s="1"/>
  <c r="X268" i="5" s="1"/>
  <c r="AN268" i="5"/>
  <c r="AN687" i="5"/>
  <c r="W687" i="5"/>
  <c r="AJ687" i="6" s="1"/>
  <c r="AN534" i="5"/>
  <c r="W534" i="5"/>
  <c r="AJ534" i="6" s="1"/>
  <c r="X534" i="5" s="1"/>
  <c r="W219" i="5"/>
  <c r="AJ219" i="6" s="1"/>
  <c r="X219" i="5" s="1"/>
  <c r="AN219" i="5"/>
  <c r="AN694" i="5"/>
  <c r="W694" i="5"/>
  <c r="AJ694" i="6" s="1"/>
  <c r="X694" i="5" s="1"/>
  <c r="W325" i="5"/>
  <c r="AJ325" i="6" s="1"/>
  <c r="X325" i="5" s="1"/>
  <c r="AN325" i="5"/>
  <c r="W278" i="5"/>
  <c r="AJ278" i="6" s="1"/>
  <c r="X278" i="5" s="1"/>
  <c r="AN278" i="5"/>
  <c r="W608" i="5"/>
  <c r="AJ608" i="6" s="1"/>
  <c r="AN608" i="5"/>
  <c r="W483" i="5"/>
  <c r="AJ483" i="6" s="1"/>
  <c r="X483" i="5" s="1"/>
  <c r="AN483" i="5"/>
  <c r="AN524" i="5"/>
  <c r="W524" i="5"/>
  <c r="AJ524" i="6" s="1"/>
  <c r="X524" i="5" s="1"/>
  <c r="W486" i="5"/>
  <c r="AJ486" i="6" s="1"/>
  <c r="X486" i="5" s="1"/>
  <c r="AN486" i="5"/>
  <c r="W113" i="5"/>
  <c r="AJ113" i="6" s="1"/>
  <c r="X113" i="5" s="1"/>
  <c r="AN113" i="5"/>
  <c r="AN422" i="5"/>
  <c r="W422" i="5"/>
  <c r="AJ422" i="6" s="1"/>
  <c r="W553" i="5"/>
  <c r="AJ553" i="6" s="1"/>
  <c r="X553" i="5" s="1"/>
  <c r="AN553" i="5"/>
  <c r="W44" i="5"/>
  <c r="AJ44" i="6" s="1"/>
  <c r="X44" i="5" s="1"/>
  <c r="AN44" i="5"/>
  <c r="W211" i="5"/>
  <c r="AJ211" i="6" s="1"/>
  <c r="X211" i="5" s="1"/>
  <c r="AN211" i="5"/>
  <c r="AN708" i="5"/>
  <c r="W708" i="5"/>
  <c r="AJ708" i="6" s="1"/>
  <c r="X708" i="5" s="1"/>
  <c r="W647" i="5"/>
  <c r="AJ647" i="6" s="1"/>
  <c r="X647" i="5" s="1"/>
  <c r="W24" i="5"/>
  <c r="AJ24" i="6" s="1"/>
  <c r="W267" i="5"/>
  <c r="AJ267" i="6" s="1"/>
  <c r="X267" i="5" s="1"/>
  <c r="AN267" i="5"/>
  <c r="W34" i="5"/>
  <c r="AJ34" i="6" s="1"/>
  <c r="X34" i="5" s="1"/>
  <c r="AN34" i="5"/>
  <c r="AN201" i="5"/>
  <c r="W201" i="5"/>
  <c r="AJ201" i="6" s="1"/>
  <c r="X201" i="5" s="1"/>
  <c r="W548" i="5"/>
  <c r="AJ548" i="6" s="1"/>
  <c r="X548" i="5" s="1"/>
  <c r="AN548" i="5"/>
  <c r="AN413" i="5"/>
  <c r="W413" i="5"/>
  <c r="AJ413" i="6" s="1"/>
  <c r="X413" i="5" s="1"/>
  <c r="W324" i="5"/>
  <c r="AJ324" i="6" s="1"/>
  <c r="X324" i="5" s="1"/>
  <c r="AN324" i="5"/>
  <c r="AN43" i="5"/>
  <c r="W43" i="5"/>
  <c r="AJ43" i="6" s="1"/>
  <c r="X43" i="5" s="1"/>
  <c r="AN426" i="5"/>
  <c r="W426" i="5"/>
  <c r="AJ426" i="6" s="1"/>
  <c r="X426" i="5" s="1"/>
  <c r="AN583" i="5"/>
  <c r="W583" i="5"/>
  <c r="AJ583" i="6" s="1"/>
  <c r="X583" i="5" s="1"/>
  <c r="W616" i="5"/>
  <c r="AJ616" i="6" s="1"/>
  <c r="X616" i="5" s="1"/>
  <c r="AN616" i="5"/>
  <c r="W265" i="5"/>
  <c r="AJ265" i="6" s="1"/>
  <c r="X265" i="5" s="1"/>
  <c r="W321" i="5"/>
  <c r="AJ321" i="6" s="1"/>
  <c r="X321" i="5" s="1"/>
  <c r="AN321" i="5"/>
  <c r="W515" i="5"/>
  <c r="AJ515" i="6" s="1"/>
  <c r="X515" i="5" s="1"/>
  <c r="AN515" i="5"/>
  <c r="AN94" i="5"/>
  <c r="W94" i="5"/>
  <c r="AJ94" i="6" s="1"/>
  <c r="X94" i="5" s="1"/>
  <c r="AN82" i="5"/>
  <c r="W82" i="5"/>
  <c r="AJ82" i="6" s="1"/>
  <c r="W345" i="5"/>
  <c r="AJ345" i="6" s="1"/>
  <c r="X345" i="5" s="1"/>
  <c r="AN345" i="5"/>
  <c r="AN262" i="5"/>
  <c r="W262" i="5"/>
  <c r="AJ262" i="6" s="1"/>
  <c r="X262" i="5" s="1"/>
  <c r="W280" i="5"/>
  <c r="AJ280" i="6" s="1"/>
  <c r="X280" i="5" s="1"/>
  <c r="AN280" i="5"/>
  <c r="W527" i="5"/>
  <c r="AJ527" i="6" s="1"/>
  <c r="AN527" i="5"/>
  <c r="AN450" i="5"/>
  <c r="W450" i="5"/>
  <c r="AJ450" i="6" s="1"/>
  <c r="X450" i="5" s="1"/>
  <c r="AN58" i="5"/>
  <c r="W58" i="5"/>
  <c r="AJ58" i="6" s="1"/>
  <c r="W87" i="5"/>
  <c r="AJ87" i="6" s="1"/>
  <c r="X87" i="5" s="1"/>
  <c r="W610" i="5"/>
  <c r="AJ610" i="6" s="1"/>
  <c r="X610" i="5" s="1"/>
  <c r="AN610" i="5"/>
  <c r="AN382" i="5"/>
  <c r="W382" i="5"/>
  <c r="AJ382" i="6" s="1"/>
  <c r="X382" i="5" s="1"/>
  <c r="AN468" i="5"/>
  <c r="W468" i="5"/>
  <c r="AJ468" i="6" s="1"/>
  <c r="X468" i="5" s="1"/>
  <c r="W66" i="5"/>
  <c r="AJ66" i="6" s="1"/>
  <c r="X66" i="5" s="1"/>
  <c r="AN66" i="5"/>
  <c r="AN363" i="5"/>
  <c r="W363" i="5"/>
  <c r="AJ363" i="6" s="1"/>
  <c r="X363" i="5" s="1"/>
  <c r="W446" i="5"/>
  <c r="AJ446" i="6" s="1"/>
  <c r="X446" i="5" s="1"/>
  <c r="AN446" i="5"/>
  <c r="AN404" i="5"/>
  <c r="W404" i="5"/>
  <c r="AJ404" i="6" s="1"/>
  <c r="X404" i="5" s="1"/>
  <c r="W327" i="5"/>
  <c r="AJ327" i="6" s="1"/>
  <c r="X327" i="5" s="1"/>
  <c r="AN327" i="5"/>
  <c r="AN513" i="5"/>
  <c r="W513" i="5"/>
  <c r="AJ513" i="6" s="1"/>
  <c r="X513" i="5" s="1"/>
  <c r="W95" i="5"/>
  <c r="AJ95" i="6" s="1"/>
  <c r="X95" i="5" s="1"/>
  <c r="W318" i="5"/>
  <c r="AJ318" i="6" s="1"/>
  <c r="X318" i="5" s="1"/>
  <c r="AN318" i="5"/>
  <c r="AN417" i="5"/>
  <c r="W417" i="5"/>
  <c r="AJ417" i="6" s="1"/>
  <c r="X417" i="5" s="1"/>
  <c r="W291" i="5"/>
  <c r="AJ291" i="6" s="1"/>
  <c r="X291" i="5" s="1"/>
  <c r="AN291" i="5"/>
  <c r="W378" i="5"/>
  <c r="AJ378" i="6" s="1"/>
  <c r="X378" i="5" s="1"/>
  <c r="AN378" i="5"/>
  <c r="W706" i="5"/>
  <c r="AJ706" i="6" s="1"/>
  <c r="X706" i="5" s="1"/>
  <c r="AN706" i="5"/>
  <c r="W514" i="5"/>
  <c r="AJ514" i="6" s="1"/>
  <c r="X514" i="5" s="1"/>
  <c r="AN514" i="5"/>
  <c r="AN67" i="5"/>
  <c r="W67" i="5"/>
  <c r="AJ67" i="6" s="1"/>
  <c r="X67" i="5" s="1"/>
  <c r="W497" i="5"/>
  <c r="AJ497" i="6" s="1"/>
  <c r="X497" i="5" s="1"/>
  <c r="AN497" i="5"/>
  <c r="AN619" i="5"/>
  <c r="W619" i="5"/>
  <c r="AJ619" i="6" s="1"/>
  <c r="W330" i="5"/>
  <c r="AJ330" i="6" s="1"/>
  <c r="X330" i="5" s="1"/>
  <c r="AN330" i="5"/>
  <c r="AN352" i="5"/>
  <c r="W352" i="5"/>
  <c r="AJ352" i="6" s="1"/>
  <c r="X352" i="5" s="1"/>
  <c r="AN299" i="5"/>
  <c r="W299" i="5"/>
  <c r="AJ299" i="6" s="1"/>
  <c r="X299" i="5" s="1"/>
  <c r="W276" i="5"/>
  <c r="AJ276" i="6" s="1"/>
  <c r="X276" i="5" s="1"/>
  <c r="AN276" i="5"/>
  <c r="W704" i="5"/>
  <c r="AJ704" i="6" s="1"/>
  <c r="X704" i="5" s="1"/>
  <c r="AN396" i="5"/>
  <c r="W396" i="5"/>
  <c r="AJ396" i="6" s="1"/>
  <c r="X396" i="5" s="1"/>
  <c r="AN556" i="5"/>
  <c r="W556" i="5"/>
  <c r="AJ556" i="6" s="1"/>
  <c r="X556" i="5" s="1"/>
  <c r="W442" i="5"/>
  <c r="AJ442" i="6" s="1"/>
  <c r="X442" i="5" s="1"/>
  <c r="AN442" i="5"/>
  <c r="W674" i="5"/>
  <c r="AJ674" i="6" s="1"/>
  <c r="X674" i="5" s="1"/>
  <c r="AN674" i="5"/>
  <c r="AN257" i="5"/>
  <c r="W257" i="5"/>
  <c r="AJ257" i="6" s="1"/>
  <c r="X257" i="5" s="1"/>
  <c r="AN482" i="5"/>
  <c r="W482" i="5"/>
  <c r="AJ482" i="6" s="1"/>
  <c r="X482" i="5" s="1"/>
  <c r="W663" i="5"/>
  <c r="AJ663" i="6" s="1"/>
  <c r="X663" i="5" s="1"/>
  <c r="AN663" i="5"/>
  <c r="AN28" i="5"/>
  <c r="W28" i="5"/>
  <c r="AJ28" i="6" s="1"/>
  <c r="X28" i="5" s="1"/>
  <c r="W51" i="5"/>
  <c r="AJ51" i="6" s="1"/>
  <c r="X51" i="5" s="1"/>
  <c r="AN51" i="5"/>
  <c r="AN286" i="5"/>
  <c r="W286" i="5"/>
  <c r="AJ286" i="6" s="1"/>
  <c r="AN688" i="5"/>
  <c r="W688" i="5"/>
  <c r="AJ688" i="6" s="1"/>
  <c r="X688" i="5" s="1"/>
  <c r="AN93" i="5"/>
  <c r="W93" i="5"/>
  <c r="AJ93" i="6" s="1"/>
  <c r="X93" i="5" s="1"/>
  <c r="AN518" i="5"/>
  <c r="W518" i="5"/>
  <c r="AJ518" i="6" s="1"/>
  <c r="X518" i="5" s="1"/>
  <c r="AN75" i="5"/>
  <c r="W75" i="5"/>
  <c r="AJ75" i="6" s="1"/>
  <c r="AN333" i="5"/>
  <c r="W333" i="5"/>
  <c r="AJ333" i="6" s="1"/>
  <c r="X333" i="5" s="1"/>
  <c r="AN407" i="5"/>
  <c r="W407" i="5"/>
  <c r="AJ407" i="6" s="1"/>
  <c r="X407" i="5" s="1"/>
  <c r="W522" i="5"/>
  <c r="AJ522" i="6" s="1"/>
  <c r="X522" i="5" s="1"/>
  <c r="AN522" i="5"/>
  <c r="AN646" i="5"/>
  <c r="W646" i="5"/>
  <c r="AJ646" i="6" s="1"/>
  <c r="X646" i="5" s="1"/>
  <c r="W190" i="5"/>
  <c r="AJ190" i="6" s="1"/>
  <c r="X190" i="5" s="1"/>
  <c r="AN190" i="5"/>
  <c r="W638" i="5"/>
  <c r="AJ638" i="6" s="1"/>
  <c r="X638" i="5" s="1"/>
  <c r="AN638" i="5"/>
  <c r="W664" i="5"/>
  <c r="AJ664" i="6" s="1"/>
  <c r="X664" i="5" s="1"/>
  <c r="AN664" i="5"/>
  <c r="W512" i="5"/>
  <c r="AJ512" i="6" s="1"/>
  <c r="X512" i="5" s="1"/>
  <c r="AN512" i="5"/>
  <c r="AN412" i="5"/>
  <c r="W412" i="5"/>
  <c r="AJ412" i="6" s="1"/>
  <c r="X412" i="5" s="1"/>
  <c r="AN306" i="5"/>
  <c r="W306" i="5"/>
  <c r="AJ306" i="6" s="1"/>
  <c r="X306" i="5" s="1"/>
  <c r="AN350" i="5"/>
  <c r="W350" i="5"/>
  <c r="AJ350" i="6" s="1"/>
  <c r="AN320" i="5"/>
  <c r="W320" i="5"/>
  <c r="AJ320" i="6" s="1"/>
  <c r="W341" i="5"/>
  <c r="AJ341" i="6" s="1"/>
  <c r="X341" i="5" s="1"/>
  <c r="AN341" i="5"/>
  <c r="W354" i="5"/>
  <c r="AJ354" i="6" s="1"/>
  <c r="AN354" i="5"/>
  <c r="W50" i="5"/>
  <c r="AJ50" i="6" s="1"/>
  <c r="X50" i="5" s="1"/>
  <c r="AN50" i="5"/>
  <c r="W54" i="5"/>
  <c r="AJ54" i="6" s="1"/>
  <c r="X54" i="5" s="1"/>
  <c r="W360" i="5"/>
  <c r="AJ360" i="6" s="1"/>
  <c r="X360" i="5" s="1"/>
  <c r="AN360" i="5"/>
  <c r="W609" i="5"/>
  <c r="AJ609" i="6" s="1"/>
  <c r="X609" i="5" s="1"/>
  <c r="W209" i="5"/>
  <c r="AJ209" i="6" s="1"/>
  <c r="X209" i="5" s="1"/>
  <c r="AN174" i="5"/>
  <c r="W174" i="5"/>
  <c r="AJ174" i="6" s="1"/>
  <c r="X174" i="5" s="1"/>
  <c r="AN332" i="5"/>
  <c r="W332" i="5"/>
  <c r="AJ332" i="6" s="1"/>
  <c r="X332" i="5" s="1"/>
  <c r="AN272" i="5"/>
  <c r="W272" i="5"/>
  <c r="AJ272" i="6" s="1"/>
  <c r="X272" i="5" s="1"/>
  <c r="AN32" i="5"/>
  <c r="W32" i="5"/>
  <c r="AJ32" i="6" s="1"/>
  <c r="X32" i="5" s="1"/>
  <c r="W38" i="5"/>
  <c r="AJ38" i="6" s="1"/>
  <c r="AN702" i="5"/>
  <c r="W702" i="5"/>
  <c r="AJ702" i="6" s="1"/>
  <c r="W45" i="5"/>
  <c r="AJ45" i="6" s="1"/>
  <c r="X45" i="5" s="1"/>
  <c r="AN45" i="5"/>
  <c r="W430" i="5"/>
  <c r="AJ430" i="6" s="1"/>
  <c r="X430" i="5" s="1"/>
  <c r="AN615" i="5"/>
  <c r="W615" i="5"/>
  <c r="AJ615" i="6" s="1"/>
  <c r="X615" i="5" s="1"/>
  <c r="W437" i="5"/>
  <c r="AJ437" i="6" s="1"/>
  <c r="AN437" i="5"/>
  <c r="AN61" i="5"/>
  <c r="W61" i="5"/>
  <c r="AJ61" i="6" s="1"/>
  <c r="X61" i="5" s="1"/>
  <c r="W86" i="5"/>
  <c r="AJ86" i="6" s="1"/>
  <c r="X86" i="5" s="1"/>
  <c r="AN86" i="5"/>
  <c r="W529" i="5"/>
  <c r="AJ529" i="6" s="1"/>
  <c r="X529" i="5" s="1"/>
  <c r="AN529" i="5"/>
  <c r="W301" i="5"/>
  <c r="AJ301" i="6" s="1"/>
  <c r="AN693" i="5"/>
  <c r="W693" i="5"/>
  <c r="AJ693" i="6" s="1"/>
  <c r="X693" i="5" s="1"/>
  <c r="W46" i="5"/>
  <c r="AJ46" i="6" s="1"/>
  <c r="X46" i="5" s="1"/>
  <c r="W214" i="5"/>
  <c r="AJ214" i="6" s="1"/>
  <c r="X214" i="5" s="1"/>
  <c r="AN214" i="5"/>
  <c r="W355" i="5"/>
  <c r="AJ355" i="6" s="1"/>
  <c r="X355" i="5" s="1"/>
  <c r="AN355" i="5"/>
  <c r="W419" i="5"/>
  <c r="AJ419" i="6" s="1"/>
  <c r="AN419" i="5"/>
  <c r="AN509" i="5"/>
  <c r="W509" i="5"/>
  <c r="AJ509" i="6" s="1"/>
  <c r="AN253" i="5"/>
  <c r="W253" i="5"/>
  <c r="AJ253" i="6" s="1"/>
  <c r="X253" i="5" s="1"/>
  <c r="AN36" i="5"/>
  <c r="W36" i="5"/>
  <c r="AJ36" i="6" s="1"/>
  <c r="X36" i="5" s="1"/>
  <c r="AN398" i="5"/>
  <c r="W398" i="5"/>
  <c r="AJ398" i="6" s="1"/>
  <c r="X398" i="5" s="1"/>
  <c r="W545" i="5"/>
  <c r="AJ545" i="6" s="1"/>
  <c r="X545" i="5" s="1"/>
  <c r="AN545" i="5"/>
  <c r="W517" i="5"/>
  <c r="AJ517" i="6" s="1"/>
  <c r="X517" i="5" s="1"/>
  <c r="AN517" i="5"/>
  <c r="AN473" i="5"/>
  <c r="W473" i="5"/>
  <c r="AJ473" i="6" s="1"/>
  <c r="AN68" i="5"/>
  <c r="W68" i="5"/>
  <c r="AJ68" i="6" s="1"/>
  <c r="X68" i="5" s="1"/>
  <c r="AN661" i="5"/>
  <c r="W661" i="5"/>
  <c r="AJ661" i="6" s="1"/>
  <c r="AN292" i="5"/>
  <c r="W292" i="5"/>
  <c r="AJ292" i="6" s="1"/>
  <c r="X292" i="5" s="1"/>
  <c r="W554" i="5"/>
  <c r="AJ554" i="6" s="1"/>
  <c r="X554" i="5" s="1"/>
  <c r="AN554" i="5"/>
  <c r="AN582" i="5"/>
  <c r="W582" i="5"/>
  <c r="AJ582" i="6" s="1"/>
  <c r="X582" i="5" s="1"/>
  <c r="W308" i="5"/>
  <c r="AJ308" i="6" s="1"/>
  <c r="X308" i="5" s="1"/>
  <c r="AN308" i="5"/>
  <c r="AN351" i="5"/>
  <c r="W351" i="5"/>
  <c r="AJ351" i="6" s="1"/>
  <c r="X351" i="5" s="1"/>
  <c r="W444" i="5"/>
  <c r="AJ444" i="6" s="1"/>
  <c r="X444" i="5" s="1"/>
  <c r="AN444" i="5"/>
  <c r="AN232" i="5"/>
  <c r="W232" i="5"/>
  <c r="AJ232" i="6" s="1"/>
  <c r="X232" i="5" s="1"/>
  <c r="AN65" i="5"/>
  <c r="W65" i="5"/>
  <c r="AJ65" i="6" s="1"/>
  <c r="X65" i="5" s="1"/>
  <c r="AN97" i="5"/>
  <c r="W97" i="5"/>
  <c r="AJ97" i="6" s="1"/>
  <c r="AN546" i="5"/>
  <c r="W546" i="5"/>
  <c r="AJ546" i="6" s="1"/>
  <c r="X546" i="5" s="1"/>
  <c r="W532" i="5"/>
  <c r="AJ532" i="6" s="1"/>
  <c r="X532" i="5" s="1"/>
  <c r="AN532" i="5"/>
  <c r="W90" i="5"/>
  <c r="AJ90" i="6" s="1"/>
  <c r="AN90" i="5"/>
  <c r="AN85" i="5"/>
  <c r="W85" i="5"/>
  <c r="AJ85" i="6" s="1"/>
  <c r="X85" i="5" s="1"/>
  <c r="AN364" i="5"/>
  <c r="W364" i="5"/>
  <c r="AJ364" i="6" s="1"/>
  <c r="X364" i="5" s="1"/>
  <c r="W171" i="5"/>
  <c r="AJ171" i="6" s="1"/>
  <c r="X171" i="5" s="1"/>
  <c r="AN171" i="5"/>
  <c r="W123" i="5"/>
  <c r="AJ123" i="6" s="1"/>
  <c r="X123" i="5" s="1"/>
  <c r="AN123" i="5"/>
  <c r="W182" i="5"/>
  <c r="AJ182" i="6" s="1"/>
  <c r="X182" i="5" s="1"/>
  <c r="AN182" i="5"/>
  <c r="AN510" i="5"/>
  <c r="W510" i="5"/>
  <c r="AJ510" i="6" s="1"/>
  <c r="X510" i="5" s="1"/>
  <c r="AN323" i="5"/>
  <c r="W323" i="5"/>
  <c r="AJ323" i="6" s="1"/>
  <c r="X323" i="5" s="1"/>
  <c r="W73" i="5"/>
  <c r="AJ73" i="6" s="1"/>
  <c r="X73" i="5" s="1"/>
  <c r="AN73" i="5"/>
  <c r="AN70" i="5"/>
  <c r="W70" i="5"/>
  <c r="AJ70" i="6" s="1"/>
  <c r="X70" i="5" s="1"/>
  <c r="AN726" i="5"/>
  <c r="W726" i="5"/>
  <c r="AJ726" i="6" s="1"/>
  <c r="X726" i="5" s="1"/>
  <c r="W707" i="5"/>
  <c r="AJ707" i="6" s="1"/>
  <c r="X707" i="5" s="1"/>
  <c r="AN707" i="5"/>
  <c r="W612" i="5"/>
  <c r="AJ612" i="6" s="1"/>
  <c r="X612" i="5" s="1"/>
  <c r="AN612" i="5"/>
  <c r="AN109" i="5"/>
  <c r="W109" i="5"/>
  <c r="AJ109" i="6" s="1"/>
  <c r="X109" i="5" s="1"/>
  <c r="AN287" i="5"/>
  <c r="W287" i="5"/>
  <c r="AJ287" i="6" s="1"/>
  <c r="X287" i="5" s="1"/>
  <c r="W125" i="5"/>
  <c r="AJ125" i="6" s="1"/>
  <c r="X125" i="5" s="1"/>
  <c r="AN528" i="5"/>
  <c r="W528" i="5"/>
  <c r="AJ528" i="6" s="1"/>
  <c r="X528" i="5" s="1"/>
  <c r="W307" i="5"/>
  <c r="AJ307" i="6" s="1"/>
  <c r="X307" i="5" s="1"/>
  <c r="AN307" i="5"/>
  <c r="AN379" i="5"/>
  <c r="W379" i="5"/>
  <c r="AJ379" i="6" s="1"/>
  <c r="X379" i="5" s="1"/>
  <c r="AN537" i="5"/>
  <c r="W537" i="5"/>
  <c r="AJ537" i="6" s="1"/>
  <c r="X537" i="5" s="1"/>
  <c r="W429" i="5"/>
  <c r="AJ429" i="6" s="1"/>
  <c r="X429" i="5" s="1"/>
  <c r="AN429" i="5"/>
  <c r="W605" i="5"/>
  <c r="AJ605" i="6" s="1"/>
  <c r="AN605" i="5"/>
  <c r="AN684" i="5"/>
  <c r="W684" i="5"/>
  <c r="AJ684" i="6" s="1"/>
  <c r="X684" i="5" s="1"/>
  <c r="AN213" i="5"/>
  <c r="W213" i="5"/>
  <c r="AJ213" i="6" s="1"/>
  <c r="W587" i="5"/>
  <c r="AJ587" i="6" s="1"/>
  <c r="X587" i="5" s="1"/>
  <c r="AN587" i="5"/>
  <c r="AN590" i="5"/>
  <c r="W590" i="5"/>
  <c r="AJ590" i="6" s="1"/>
  <c r="X590" i="5" s="1"/>
  <c r="W375" i="5"/>
  <c r="AJ375" i="6" s="1"/>
  <c r="X375" i="5" s="1"/>
  <c r="AN375" i="5"/>
  <c r="W302" i="5"/>
  <c r="AJ302" i="6" s="1"/>
  <c r="X302" i="5" s="1"/>
  <c r="AN302" i="5"/>
  <c r="AN356" i="5"/>
  <c r="W356" i="5"/>
  <c r="AJ356" i="6" s="1"/>
  <c r="X356" i="5" s="1"/>
  <c r="W635" i="5"/>
  <c r="AJ635" i="6" s="1"/>
  <c r="X635" i="5" s="1"/>
  <c r="AN635" i="5"/>
  <c r="W533" i="5"/>
  <c r="AJ533" i="6" s="1"/>
  <c r="X533" i="5" s="1"/>
  <c r="AN533" i="5"/>
  <c r="W222" i="5"/>
  <c r="AJ222" i="6" s="1"/>
  <c r="AN222" i="5"/>
  <c r="W451" i="5"/>
  <c r="AJ451" i="6" s="1"/>
  <c r="X451" i="5" s="1"/>
  <c r="AN451" i="5"/>
  <c r="AN611" i="5"/>
  <c r="W611" i="5"/>
  <c r="AJ611" i="6" s="1"/>
  <c r="X611" i="5" s="1"/>
  <c r="W705" i="5"/>
  <c r="AJ705" i="6" s="1"/>
  <c r="X705" i="5" s="1"/>
  <c r="AN705" i="5"/>
  <c r="AN197" i="5"/>
  <c r="W197" i="5"/>
  <c r="AJ197" i="6" s="1"/>
  <c r="X197" i="5" s="1"/>
  <c r="AN277" i="5"/>
  <c r="W277" i="5"/>
  <c r="AJ277" i="6" s="1"/>
  <c r="X277" i="5" s="1"/>
  <c r="W504" i="5"/>
  <c r="AJ504" i="6" s="1"/>
  <c r="X504" i="5" s="1"/>
  <c r="AN504" i="5"/>
  <c r="AN317" i="5"/>
  <c r="W317" i="5"/>
  <c r="AJ317" i="6" s="1"/>
  <c r="AN252" i="5"/>
  <c r="W252" i="5"/>
  <c r="AJ252" i="6" s="1"/>
  <c r="X252" i="5" s="1"/>
  <c r="AN392" i="5"/>
  <c r="W392" i="5"/>
  <c r="AJ392" i="6" s="1"/>
  <c r="X392" i="5" s="1"/>
  <c r="W112" i="5"/>
  <c r="AJ112" i="6" s="1"/>
  <c r="X112" i="5" s="1"/>
  <c r="AN112" i="5"/>
  <c r="AN634" i="5"/>
  <c r="W634" i="5"/>
  <c r="AJ634" i="6" s="1"/>
  <c r="X634" i="5" s="1"/>
  <c r="AN41" i="5"/>
  <c r="W41" i="5"/>
  <c r="AJ41" i="6" s="1"/>
  <c r="W369" i="5"/>
  <c r="AJ369" i="6" s="1"/>
  <c r="X369" i="5" s="1"/>
  <c r="AN369" i="5"/>
  <c r="W475" i="5"/>
  <c r="AJ475" i="6" s="1"/>
  <c r="X475" i="5" s="1"/>
  <c r="AN475" i="5"/>
  <c r="AN521" i="5"/>
  <c r="W521" i="5"/>
  <c r="AJ521" i="6" s="1"/>
  <c r="X521" i="5" s="1"/>
  <c r="AN80" i="5"/>
  <c r="W80" i="5"/>
  <c r="AJ80" i="6" s="1"/>
  <c r="X80" i="5" s="1"/>
  <c r="AN69" i="5"/>
  <c r="W69" i="5"/>
  <c r="AJ69" i="6" s="1"/>
  <c r="X69" i="5" s="1"/>
  <c r="W692" i="5"/>
  <c r="AJ692" i="6" s="1"/>
  <c r="X692" i="5" s="1"/>
  <c r="AN692" i="5"/>
  <c r="AN541" i="5"/>
  <c r="W541" i="5"/>
  <c r="AJ541" i="6" s="1"/>
  <c r="X541" i="5" s="1"/>
  <c r="W690" i="5"/>
  <c r="AJ690" i="6" s="1"/>
  <c r="X690" i="5" s="1"/>
  <c r="AN690" i="5"/>
  <c r="W699" i="5"/>
  <c r="AJ699" i="6" s="1"/>
  <c r="X699" i="5" s="1"/>
  <c r="AN699" i="5"/>
  <c r="AN122" i="5"/>
  <c r="W122" i="5"/>
  <c r="AJ122" i="6" s="1"/>
  <c r="W575" i="5"/>
  <c r="AJ575" i="6" s="1"/>
  <c r="X575" i="5" s="1"/>
  <c r="AN575" i="5"/>
  <c r="AN439" i="5"/>
  <c r="W439" i="5"/>
  <c r="AJ439" i="6" s="1"/>
  <c r="X439" i="5" s="1"/>
  <c r="AN329" i="5"/>
  <c r="W329" i="5"/>
  <c r="AJ329" i="6" s="1"/>
  <c r="X329" i="5" s="1"/>
  <c r="W202" i="5"/>
  <c r="AJ202" i="6" s="1"/>
  <c r="X202" i="5" s="1"/>
  <c r="AN202" i="5"/>
  <c r="W108" i="5"/>
  <c r="AJ108" i="6" s="1"/>
  <c r="X108" i="5" s="1"/>
  <c r="AN108" i="5"/>
  <c r="W64" i="5"/>
  <c r="AJ64" i="6" s="1"/>
  <c r="AN64" i="5"/>
  <c r="AN453" i="5"/>
  <c r="W453" i="5"/>
  <c r="AJ453" i="6" s="1"/>
  <c r="X453" i="5" s="1"/>
  <c r="W256" i="5"/>
  <c r="AJ256" i="6" s="1"/>
  <c r="X256" i="5" s="1"/>
  <c r="W35" i="5"/>
  <c r="AJ35" i="6" s="1"/>
  <c r="X35" i="5" s="1"/>
  <c r="AN35" i="5"/>
  <c r="AN181" i="5"/>
  <c r="W181" i="5"/>
  <c r="AJ181" i="6" s="1"/>
  <c r="X181" i="5" s="1"/>
  <c r="AN102" i="5"/>
  <c r="W102" i="5"/>
  <c r="AJ102" i="6" s="1"/>
  <c r="AN55" i="5"/>
  <c r="W55" i="5"/>
  <c r="AJ55" i="6" s="1"/>
  <c r="X55" i="5" s="1"/>
  <c r="W519" i="5"/>
  <c r="AJ519" i="6" s="1"/>
  <c r="X519" i="5" s="1"/>
  <c r="AN519" i="5"/>
  <c r="W310" i="5"/>
  <c r="AJ310" i="6" s="1"/>
  <c r="X310" i="5" s="1"/>
  <c r="AN310" i="5"/>
  <c r="W279" i="5"/>
  <c r="AJ279" i="6" s="1"/>
  <c r="X279" i="5" s="1"/>
  <c r="AN279" i="5"/>
  <c r="AN358" i="5"/>
  <c r="W358" i="5"/>
  <c r="AJ358" i="6" s="1"/>
  <c r="X358" i="5" s="1"/>
  <c r="AN111" i="5"/>
  <c r="W111" i="5"/>
  <c r="AJ111" i="6" s="1"/>
  <c r="AN52" i="5"/>
  <c r="W52" i="5"/>
  <c r="AJ52" i="6" s="1"/>
  <c r="X52" i="5" s="1"/>
  <c r="W408" i="5"/>
  <c r="AJ408" i="6" s="1"/>
  <c r="X408" i="5" s="1"/>
  <c r="AN408" i="5"/>
  <c r="AN258" i="5"/>
  <c r="W258" i="5"/>
  <c r="AJ258" i="6" s="1"/>
  <c r="X258" i="5" s="1"/>
  <c r="W92" i="5"/>
  <c r="AJ92" i="6" s="1"/>
  <c r="W425" i="5"/>
  <c r="AJ425" i="6" s="1"/>
  <c r="X425" i="5" s="1"/>
  <c r="AN246" i="5"/>
  <c r="W246" i="5"/>
  <c r="AJ246" i="6" s="1"/>
  <c r="AN485" i="5"/>
  <c r="W485" i="5"/>
  <c r="AJ485" i="6" s="1"/>
  <c r="X485" i="5" s="1"/>
  <c r="W387" i="5"/>
  <c r="AJ387" i="6" s="1"/>
  <c r="X387" i="5" s="1"/>
  <c r="AN387" i="5"/>
  <c r="AN505" i="5"/>
  <c r="W505" i="5"/>
  <c r="AJ505" i="6" s="1"/>
  <c r="X505" i="5" s="1"/>
  <c r="W380" i="5"/>
  <c r="AJ380" i="6" s="1"/>
  <c r="X380" i="5" s="1"/>
  <c r="AN380" i="5"/>
  <c r="W264" i="5"/>
  <c r="AJ264" i="6" s="1"/>
  <c r="X264" i="5" s="1"/>
  <c r="AN264" i="5"/>
  <c r="AN84" i="5"/>
  <c r="W84" i="5"/>
  <c r="AJ84" i="6" s="1"/>
  <c r="X84" i="5" s="1"/>
  <c r="AN484" i="5"/>
  <c r="W484" i="5"/>
  <c r="AJ484" i="6" s="1"/>
  <c r="X484" i="5" s="1"/>
  <c r="AN691" i="5"/>
  <c r="W691" i="5"/>
  <c r="AJ691" i="6" s="1"/>
  <c r="X691" i="5" s="1"/>
  <c r="AN489" i="5"/>
  <c r="W489" i="5"/>
  <c r="AJ489" i="6" s="1"/>
  <c r="X489" i="5" s="1"/>
  <c r="AN26" i="5"/>
  <c r="W26" i="5"/>
  <c r="AJ26" i="6" s="1"/>
  <c r="X26" i="5" s="1"/>
  <c r="AN377" i="5"/>
  <c r="W377" i="5"/>
  <c r="AJ377" i="6" s="1"/>
  <c r="X377" i="5" s="1"/>
  <c r="W304" i="5"/>
  <c r="AJ304" i="6" s="1"/>
  <c r="X304" i="5" s="1"/>
  <c r="AN304" i="5"/>
  <c r="AN440" i="5"/>
  <c r="W440" i="5"/>
  <c r="AJ440" i="6" s="1"/>
  <c r="X440" i="5" s="1"/>
  <c r="W540" i="5"/>
  <c r="AJ540" i="6" s="1"/>
  <c r="X540" i="5" s="1"/>
  <c r="AN540" i="5"/>
  <c r="AN550" i="5"/>
  <c r="W550" i="5"/>
  <c r="AJ550" i="6" s="1"/>
  <c r="X550" i="5" s="1"/>
  <c r="AN334" i="5"/>
  <c r="W334" i="5"/>
  <c r="AJ334" i="6" s="1"/>
  <c r="X334" i="5" s="1"/>
  <c r="W62" i="5"/>
  <c r="AJ62" i="6" s="1"/>
  <c r="X62" i="5" s="1"/>
  <c r="AN62" i="5"/>
  <c r="AN315" i="5"/>
  <c r="W315" i="5"/>
  <c r="AJ315" i="6" s="1"/>
  <c r="X315" i="5" s="1"/>
  <c r="W88" i="5"/>
  <c r="AJ88" i="6" s="1"/>
  <c r="X88" i="5" s="1"/>
  <c r="AN88" i="5"/>
  <c r="AN626" i="5"/>
  <c r="W626" i="5"/>
  <c r="AJ626" i="6" s="1"/>
  <c r="X626" i="5" s="1"/>
  <c r="W584" i="5"/>
  <c r="AJ584" i="6" s="1"/>
  <c r="X584" i="5" s="1"/>
  <c r="AN584" i="5"/>
  <c r="W581" i="5"/>
  <c r="AJ581" i="6" s="1"/>
  <c r="AN581" i="5"/>
  <c r="AN53" i="5"/>
  <c r="W53" i="5"/>
  <c r="AJ53" i="6" s="1"/>
  <c r="X53" i="5" s="1"/>
  <c r="AN274" i="5"/>
  <c r="W274" i="5"/>
  <c r="AJ274" i="6" s="1"/>
  <c r="X274" i="5" s="1"/>
  <c r="AN629" i="5"/>
  <c r="W629" i="5"/>
  <c r="AJ629" i="6" s="1"/>
  <c r="W106" i="5"/>
  <c r="AJ106" i="6" s="1"/>
  <c r="X106" i="5" s="1"/>
  <c r="W60" i="5"/>
  <c r="AJ60" i="6" s="1"/>
  <c r="X60" i="5" s="1"/>
  <c r="AN60" i="5"/>
  <c r="W406" i="5"/>
  <c r="AJ406" i="6" s="1"/>
  <c r="X406" i="5" s="1"/>
  <c r="AN406" i="5"/>
  <c r="AN231" i="5"/>
  <c r="W231" i="5"/>
  <c r="AJ231" i="6" s="1"/>
  <c r="W703" i="5"/>
  <c r="AJ703" i="6" s="1"/>
  <c r="X703" i="5" s="1"/>
  <c r="AN703" i="5"/>
  <c r="W697" i="5"/>
  <c r="AJ697" i="6" s="1"/>
  <c r="X697" i="5" s="1"/>
  <c r="AN697" i="5"/>
  <c r="W414" i="5"/>
  <c r="AJ414" i="6" s="1"/>
  <c r="X414" i="5" s="1"/>
  <c r="AN357" i="5"/>
  <c r="W357" i="5"/>
  <c r="AJ357" i="6" s="1"/>
  <c r="X357" i="5" s="1"/>
  <c r="W305" i="5"/>
  <c r="AJ305" i="6" s="1"/>
  <c r="X305" i="5" s="1"/>
  <c r="AN305" i="5"/>
  <c r="AN689" i="5"/>
  <c r="W689" i="5"/>
  <c r="AJ689" i="6" s="1"/>
  <c r="X689" i="5" s="1"/>
  <c r="AN713" i="5"/>
  <c r="W713" i="5"/>
  <c r="AJ713" i="6" s="1"/>
  <c r="W303" i="5"/>
  <c r="AJ303" i="6" s="1"/>
  <c r="X303" i="5" s="1"/>
  <c r="AN303" i="5"/>
  <c r="W698" i="5"/>
  <c r="AJ698" i="6" s="1"/>
  <c r="X698" i="5" s="1"/>
  <c r="AN698" i="5"/>
  <c r="AN99" i="5"/>
  <c r="W99" i="5"/>
  <c r="AJ99" i="6" s="1"/>
  <c r="X99" i="5" s="1"/>
  <c r="W203" i="5"/>
  <c r="AJ203" i="6" s="1"/>
  <c r="X203" i="5" s="1"/>
  <c r="AN203" i="5"/>
  <c r="W614" i="5"/>
  <c r="AJ614" i="6" s="1"/>
  <c r="W525" i="5"/>
  <c r="AJ525" i="6" s="1"/>
  <c r="X525" i="5" s="1"/>
  <c r="AN525" i="5"/>
  <c r="W443" i="5"/>
  <c r="AJ443" i="6" s="1"/>
  <c r="X443" i="5" s="1"/>
  <c r="AN443" i="5"/>
  <c r="W648" i="5"/>
  <c r="AJ648" i="6" s="1"/>
  <c r="X648" i="5" s="1"/>
  <c r="AN648" i="5"/>
  <c r="W516" i="5"/>
  <c r="AJ516" i="6" s="1"/>
  <c r="X516" i="5" s="1"/>
  <c r="AN516" i="5"/>
  <c r="AN100" i="5"/>
  <c r="W100" i="5"/>
  <c r="AJ100" i="6" s="1"/>
  <c r="X100" i="5" s="1"/>
  <c r="W266" i="5"/>
  <c r="AJ266" i="6" s="1"/>
  <c r="X266" i="5" s="1"/>
  <c r="AN266" i="5"/>
  <c r="W362" i="5"/>
  <c r="AJ362" i="6" s="1"/>
  <c r="X362" i="5" s="1"/>
  <c r="AN362" i="5"/>
  <c r="AN403" i="5"/>
  <c r="W403" i="5"/>
  <c r="AJ403" i="6" s="1"/>
  <c r="W339" i="5"/>
  <c r="AJ339" i="6" s="1"/>
  <c r="X339" i="5" s="1"/>
  <c r="AN339" i="5"/>
  <c r="AN523" i="5"/>
  <c r="W523" i="5"/>
  <c r="AJ523" i="6" s="1"/>
  <c r="X523" i="5" s="1"/>
  <c r="W105" i="5"/>
  <c r="AJ105" i="6" s="1"/>
  <c r="X105" i="5" s="1"/>
  <c r="AN105" i="5"/>
  <c r="AN290" i="5"/>
  <c r="W290" i="5"/>
  <c r="AJ290" i="6" s="1"/>
  <c r="X290" i="5" s="1"/>
  <c r="AN549" i="5"/>
  <c r="W549" i="5"/>
  <c r="AJ549" i="6" s="1"/>
  <c r="X549" i="5" s="1"/>
  <c r="AN172" i="5"/>
  <c r="W172" i="5"/>
  <c r="AJ172" i="6" s="1"/>
  <c r="X172" i="5" s="1"/>
  <c r="AN544" i="5"/>
  <c r="W544" i="5"/>
  <c r="AJ544" i="6" s="1"/>
  <c r="AN696" i="5"/>
  <c r="W696" i="5"/>
  <c r="AJ696" i="6" s="1"/>
  <c r="W42" i="5"/>
  <c r="AJ42" i="6" s="1"/>
  <c r="X42" i="5" s="1"/>
  <c r="AN42" i="5"/>
  <c r="W342" i="5"/>
  <c r="AJ342" i="6" s="1"/>
  <c r="X342" i="5" s="1"/>
  <c r="AN445" i="5"/>
  <c r="W445" i="5"/>
  <c r="AJ445" i="6" s="1"/>
  <c r="X445" i="5" s="1"/>
  <c r="AN83" i="5"/>
  <c r="W83" i="5"/>
  <c r="AJ83" i="6" s="1"/>
  <c r="X83" i="5" s="1"/>
  <c r="AN460" i="5"/>
  <c r="W460" i="5"/>
  <c r="AJ460" i="6" s="1"/>
  <c r="X460" i="5" s="1"/>
  <c r="W499" i="5"/>
  <c r="AJ499" i="6" s="1"/>
  <c r="X499" i="5" s="1"/>
  <c r="AN499" i="5"/>
  <c r="W367" i="5"/>
  <c r="AJ367" i="6" s="1"/>
  <c r="X367" i="5" s="1"/>
  <c r="AN367" i="5"/>
  <c r="AN495" i="5"/>
  <c r="W495" i="5"/>
  <c r="AJ495" i="6" s="1"/>
  <c r="X495" i="5" s="1"/>
  <c r="AN346" i="5"/>
  <c r="W346" i="5"/>
  <c r="AJ346" i="6" s="1"/>
  <c r="X346" i="5" s="1"/>
  <c r="AN676" i="5"/>
  <c r="W676" i="5"/>
  <c r="AJ676" i="6" s="1"/>
  <c r="X676" i="5" s="1"/>
  <c r="W31" i="5"/>
  <c r="AJ31" i="6" s="1"/>
  <c r="X31" i="5" s="1"/>
  <c r="AN31" i="5"/>
  <c r="AN261" i="5"/>
  <c r="W261" i="5"/>
  <c r="AJ261" i="6" s="1"/>
  <c r="X261" i="5" s="1"/>
  <c r="W520" i="5"/>
  <c r="AJ520" i="6" s="1"/>
  <c r="X520" i="5" s="1"/>
  <c r="AN520" i="5"/>
  <c r="AN552" i="5"/>
  <c r="W552" i="5"/>
  <c r="AJ552" i="6" s="1"/>
  <c r="X552" i="5" s="1"/>
  <c r="AN488" i="5"/>
  <c r="W488" i="5"/>
  <c r="AJ488" i="6" s="1"/>
  <c r="X488" i="5" s="1"/>
  <c r="W275" i="5"/>
  <c r="AJ275" i="6" s="1"/>
  <c r="X275" i="5" s="1"/>
  <c r="AN275" i="5"/>
  <c r="AN551" i="5"/>
  <c r="W551" i="5"/>
  <c r="AJ551" i="6" s="1"/>
  <c r="X551" i="5" s="1"/>
  <c r="W210" i="5"/>
  <c r="AJ210" i="6" s="1"/>
  <c r="X210" i="5" s="1"/>
  <c r="AN683" i="5"/>
  <c r="W683" i="5"/>
  <c r="AJ683" i="6" s="1"/>
  <c r="AN309" i="5"/>
  <c r="W309" i="5"/>
  <c r="AJ309" i="6" s="1"/>
  <c r="X309" i="5" s="1"/>
  <c r="W388" i="5"/>
  <c r="AJ388" i="6" s="1"/>
  <c r="X388" i="5" s="1"/>
  <c r="AN388" i="5"/>
  <c r="W455" i="5"/>
  <c r="AJ455" i="6" s="1"/>
  <c r="X455" i="5" s="1"/>
  <c r="AN455" i="5"/>
  <c r="W326" i="5"/>
  <c r="AJ326" i="6" s="1"/>
  <c r="X326" i="5" s="1"/>
  <c r="AN326" i="5"/>
  <c r="AN700" i="5"/>
  <c r="W700" i="5"/>
  <c r="AJ700" i="6" s="1"/>
  <c r="X700" i="5" s="1"/>
  <c r="W399" i="5"/>
  <c r="AJ399" i="6" s="1"/>
  <c r="X399" i="5" s="1"/>
  <c r="AN399" i="5"/>
  <c r="AN655" i="5"/>
  <c r="W655" i="5"/>
  <c r="AJ655" i="6" s="1"/>
  <c r="W435" i="5"/>
  <c r="AJ435" i="6" s="1"/>
  <c r="X435" i="5" s="1"/>
  <c r="AN435" i="5"/>
  <c r="AN391" i="5"/>
  <c r="W391" i="5"/>
  <c r="AJ391" i="6" s="1"/>
  <c r="X391" i="5" s="1"/>
  <c r="AN557" i="5"/>
  <c r="W557" i="5"/>
  <c r="AJ557" i="6" s="1"/>
  <c r="X557" i="5" s="1"/>
  <c r="AN390" i="5"/>
  <c r="W390" i="5"/>
  <c r="AJ390" i="6" s="1"/>
  <c r="X390" i="5" s="1"/>
  <c r="W337" i="5"/>
  <c r="AJ337" i="6" s="1"/>
  <c r="X337" i="5" s="1"/>
  <c r="AN337" i="5"/>
  <c r="AN586" i="5"/>
  <c r="W586" i="5"/>
  <c r="AJ586" i="6" s="1"/>
  <c r="X586" i="5" s="1"/>
  <c r="W593" i="5"/>
  <c r="AJ593" i="6" s="1"/>
  <c r="X593" i="5" s="1"/>
  <c r="AN335" i="5"/>
  <c r="W335" i="5"/>
  <c r="AJ335" i="6" s="1"/>
  <c r="X335" i="5" s="1"/>
  <c r="AN328" i="5"/>
  <c r="W328" i="5"/>
  <c r="AJ328" i="6" s="1"/>
  <c r="X328" i="5" s="1"/>
  <c r="W56" i="5"/>
  <c r="AJ56" i="6" s="1"/>
  <c r="X56" i="5" s="1"/>
  <c r="AN56" i="5"/>
  <c r="AN420" i="5"/>
  <c r="W420" i="5"/>
  <c r="AJ420" i="6" s="1"/>
  <c r="X420" i="5" s="1"/>
  <c r="W368" i="5"/>
  <c r="AJ368" i="6" s="1"/>
  <c r="X368" i="5" s="1"/>
  <c r="AN368" i="5"/>
  <c r="AN254" i="5"/>
  <c r="W254" i="5"/>
  <c r="AJ254" i="6" s="1"/>
  <c r="X254" i="5" s="1"/>
  <c r="AN641" i="5"/>
  <c r="W641" i="5"/>
  <c r="AJ641" i="6" s="1"/>
  <c r="W273" i="5"/>
  <c r="AJ273" i="6" s="1"/>
  <c r="X273" i="5" s="1"/>
  <c r="AN269" i="5"/>
  <c r="W269" i="5"/>
  <c r="AJ269" i="6" s="1"/>
  <c r="X269" i="5" s="1"/>
  <c r="AN685" i="5"/>
  <c r="W685" i="5"/>
  <c r="AJ685" i="6" s="1"/>
  <c r="X685" i="5" s="1"/>
  <c r="AN104" i="5"/>
  <c r="W104" i="5"/>
  <c r="AJ104" i="6" s="1"/>
  <c r="AN340" i="5"/>
  <c r="W340" i="5"/>
  <c r="AJ340" i="6" s="1"/>
  <c r="X340" i="5" s="1"/>
  <c r="W271" i="5"/>
  <c r="AJ271" i="6" s="1"/>
  <c r="X271" i="5" s="1"/>
  <c r="AN271" i="5"/>
  <c r="AN416" i="5"/>
  <c r="W416" i="5"/>
  <c r="AJ416" i="6" s="1"/>
  <c r="AN25" i="5"/>
  <c r="W25" i="5"/>
  <c r="AJ25" i="6" s="1"/>
  <c r="X25" i="5" s="1"/>
  <c r="F451" i="6" l="1"/>
  <c r="E451" i="12"/>
  <c r="E642" i="12"/>
  <c r="F642" i="6"/>
  <c r="F323" i="6"/>
  <c r="E323" i="12"/>
  <c r="E188" i="12"/>
  <c r="F188" i="6"/>
  <c r="E720" i="12"/>
  <c r="F720" i="6"/>
  <c r="F632" i="6"/>
  <c r="E632" i="12"/>
  <c r="E382" i="12"/>
  <c r="F382" i="6"/>
  <c r="E183" i="12"/>
  <c r="F183" i="6"/>
  <c r="F412" i="6"/>
  <c r="E412" i="12"/>
  <c r="E25" i="12"/>
  <c r="F25" i="6"/>
  <c r="E82" i="12"/>
  <c r="F82" i="6"/>
  <c r="E627" i="12"/>
  <c r="F627" i="6"/>
  <c r="F697" i="6"/>
  <c r="E697" i="12"/>
  <c r="E594" i="12"/>
  <c r="F594" i="6"/>
  <c r="E395" i="12"/>
  <c r="F395" i="6"/>
  <c r="F244" i="6"/>
  <c r="E244" i="12"/>
  <c r="F145" i="6"/>
  <c r="E145" i="12"/>
  <c r="E564" i="12"/>
  <c r="F564" i="6"/>
  <c r="E546" i="12"/>
  <c r="F546" i="6"/>
  <c r="F626" i="6"/>
  <c r="E626" i="12"/>
  <c r="E447" i="12"/>
  <c r="F447" i="6"/>
  <c r="F486" i="6"/>
  <c r="E486" i="12"/>
  <c r="E488" i="12"/>
  <c r="F488" i="6"/>
  <c r="F582" i="6"/>
  <c r="E582" i="12"/>
  <c r="F41" i="6"/>
  <c r="E41" i="12"/>
  <c r="E484" i="12"/>
  <c r="F484" i="6"/>
  <c r="E120" i="12"/>
  <c r="F120" i="6"/>
  <c r="E58" i="12"/>
  <c r="F58" i="6"/>
  <c r="F425" i="6"/>
  <c r="E425" i="12"/>
  <c r="F467" i="6"/>
  <c r="E467" i="12"/>
  <c r="F422" i="6"/>
  <c r="E422" i="12"/>
  <c r="F125" i="6"/>
  <c r="E125" i="12"/>
  <c r="E534" i="12"/>
  <c r="F534" i="6"/>
  <c r="E498" i="12"/>
  <c r="F498" i="6"/>
  <c r="F470" i="6"/>
  <c r="E470" i="12"/>
  <c r="E376" i="12"/>
  <c r="F376" i="6"/>
  <c r="F46" i="6"/>
  <c r="E46" i="12"/>
  <c r="E203" i="12"/>
  <c r="F203" i="6"/>
  <c r="F27" i="6"/>
  <c r="E27" i="12"/>
  <c r="E501" i="12"/>
  <c r="F501" i="6"/>
  <c r="F414" i="6"/>
  <c r="E414" i="12"/>
  <c r="E197" i="12"/>
  <c r="F197" i="6"/>
  <c r="F373" i="6"/>
  <c r="E373" i="12"/>
  <c r="F171" i="6"/>
  <c r="E171" i="12"/>
  <c r="F502" i="6"/>
  <c r="E502" i="12"/>
  <c r="E463" i="12"/>
  <c r="F463" i="6"/>
  <c r="F505" i="6"/>
  <c r="E505" i="12"/>
  <c r="E301" i="12"/>
  <c r="F301" i="6"/>
  <c r="E269" i="12"/>
  <c r="F269" i="6"/>
  <c r="E665" i="12"/>
  <c r="F665" i="6"/>
  <c r="F95" i="6"/>
  <c r="E95" i="12"/>
  <c r="F462" i="6"/>
  <c r="E462" i="12"/>
  <c r="F621" i="6"/>
  <c r="E621" i="12"/>
  <c r="E403" i="12"/>
  <c r="F403" i="6"/>
  <c r="E386" i="12"/>
  <c r="F386" i="6"/>
  <c r="E211" i="12"/>
  <c r="F211" i="6"/>
  <c r="F602" i="6"/>
  <c r="E602" i="12"/>
  <c r="E552" i="12"/>
  <c r="F552" i="6"/>
  <c r="E60" i="12"/>
  <c r="F60" i="6"/>
  <c r="E473" i="12"/>
  <c r="F473" i="6"/>
  <c r="F284" i="6"/>
  <c r="E284" i="12"/>
  <c r="E433" i="12"/>
  <c r="F433" i="6"/>
  <c r="E270" i="12"/>
  <c r="F270" i="6"/>
  <c r="E97" i="12"/>
  <c r="F97" i="6"/>
  <c r="E168" i="12"/>
  <c r="F168" i="6"/>
  <c r="E593" i="12"/>
  <c r="F593" i="6"/>
  <c r="F220" i="6"/>
  <c r="E220" i="12"/>
  <c r="F359" i="6"/>
  <c r="E359" i="12"/>
  <c r="F589" i="6"/>
  <c r="E589" i="12"/>
  <c r="E703" i="12"/>
  <c r="F703" i="6"/>
  <c r="F549" i="6"/>
  <c r="E549" i="12"/>
  <c r="F311" i="6"/>
  <c r="E311" i="12"/>
  <c r="F430" i="6"/>
  <c r="E430" i="12"/>
  <c r="F525" i="6"/>
  <c r="E525" i="12"/>
  <c r="E531" i="12"/>
  <c r="F531" i="6"/>
  <c r="F407" i="6"/>
  <c r="E407" i="12"/>
  <c r="F92" i="6"/>
  <c r="E92" i="12"/>
  <c r="E216" i="12"/>
  <c r="F216" i="6"/>
  <c r="F208" i="6"/>
  <c r="E208" i="12"/>
  <c r="E286" i="12"/>
  <c r="F286" i="6"/>
  <c r="E482" i="12"/>
  <c r="F482" i="6"/>
  <c r="E609" i="12"/>
  <c r="F609" i="6"/>
  <c r="F550" i="6"/>
  <c r="E550" i="12"/>
  <c r="E481" i="12"/>
  <c r="F481" i="6"/>
  <c r="E262" i="12"/>
  <c r="F262" i="6"/>
  <c r="E544" i="12"/>
  <c r="F544" i="6"/>
  <c r="E129" i="12"/>
  <c r="F129" i="6"/>
  <c r="F725" i="6"/>
  <c r="E725" i="12"/>
  <c r="F362" i="6"/>
  <c r="E362" i="12"/>
  <c r="E592" i="12"/>
  <c r="F592" i="6"/>
  <c r="F117" i="6"/>
  <c r="E117" i="12"/>
  <c r="E66" i="12"/>
  <c r="F66" i="6"/>
  <c r="E205" i="12"/>
  <c r="F205" i="6"/>
  <c r="F603" i="6"/>
  <c r="E603" i="12"/>
  <c r="E249" i="12"/>
  <c r="F249" i="6"/>
  <c r="F516" i="6"/>
  <c r="E516" i="12"/>
  <c r="E504" i="12"/>
  <c r="F504" i="6"/>
  <c r="F443" i="6"/>
  <c r="E443" i="12"/>
  <c r="F71" i="6"/>
  <c r="E71" i="12"/>
  <c r="E131" i="12"/>
  <c r="F131" i="6"/>
  <c r="F54" i="6"/>
  <c r="E54" i="12"/>
  <c r="E527" i="12"/>
  <c r="F527" i="6"/>
  <c r="E191" i="12"/>
  <c r="F191" i="6"/>
  <c r="F98" i="6"/>
  <c r="E98" i="12"/>
  <c r="E138" i="12"/>
  <c r="F138" i="6"/>
  <c r="F158" i="6"/>
  <c r="E158" i="12"/>
  <c r="F320" i="6"/>
  <c r="E320" i="12"/>
  <c r="F438" i="6"/>
  <c r="E438" i="12"/>
  <c r="F21" i="6"/>
  <c r="E21" i="12"/>
  <c r="E159" i="12"/>
  <c r="F159" i="6"/>
  <c r="F630" i="6"/>
  <c r="E630" i="12"/>
  <c r="E690" i="12"/>
  <c r="F690" i="6"/>
  <c r="E555" i="12"/>
  <c r="F555" i="6"/>
  <c r="F385" i="6"/>
  <c r="E385" i="12"/>
  <c r="E683" i="12"/>
  <c r="F683" i="6"/>
  <c r="E471" i="12"/>
  <c r="F471" i="6"/>
  <c r="E398" i="12"/>
  <c r="F398" i="6"/>
  <c r="E282" i="12"/>
  <c r="F282" i="6"/>
  <c r="E154" i="12"/>
  <c r="F154" i="6"/>
  <c r="F308" i="6"/>
  <c r="E308" i="12"/>
  <c r="E275" i="12"/>
  <c r="F275" i="6"/>
  <c r="E332" i="12"/>
  <c r="F332" i="6"/>
  <c r="E588" i="12"/>
  <c r="F588" i="6"/>
  <c r="F246" i="6"/>
  <c r="E246" i="12"/>
  <c r="F587" i="6"/>
  <c r="E587" i="12"/>
  <c r="F598" i="6"/>
  <c r="E598" i="12"/>
  <c r="F182" i="6"/>
  <c r="E182" i="12"/>
  <c r="AC183" i="5"/>
  <c r="F271" i="6"/>
  <c r="E271" i="12"/>
  <c r="F556" i="6"/>
  <c r="E556" i="12"/>
  <c r="E263" i="12"/>
  <c r="F263" i="6"/>
  <c r="E75" i="12"/>
  <c r="F75" i="6"/>
  <c r="F200" i="6"/>
  <c r="E200" i="12"/>
  <c r="E441" i="12"/>
  <c r="F441" i="6"/>
  <c r="E707" i="12"/>
  <c r="F707" i="6"/>
  <c r="F196" i="6"/>
  <c r="E196" i="12"/>
  <c r="F79" i="6"/>
  <c r="E79" i="12"/>
  <c r="F296" i="6"/>
  <c r="E296" i="12"/>
  <c r="F364" i="6"/>
  <c r="E364" i="12"/>
  <c r="E673" i="12"/>
  <c r="F673" i="6"/>
  <c r="F539" i="6"/>
  <c r="E539" i="12"/>
  <c r="E217" i="12"/>
  <c r="F217" i="6"/>
  <c r="E225" i="12"/>
  <c r="F225" i="6"/>
  <c r="E94" i="12"/>
  <c r="F94" i="6"/>
  <c r="F520" i="6"/>
  <c r="E520" i="12"/>
  <c r="E709" i="12"/>
  <c r="F709" i="6"/>
  <c r="E105" i="12"/>
  <c r="F105" i="6"/>
  <c r="F140" i="6"/>
  <c r="E140" i="12"/>
  <c r="E553" i="12"/>
  <c r="F553" i="6"/>
  <c r="E675" i="12"/>
  <c r="F675" i="6"/>
  <c r="E224" i="12"/>
  <c r="F224" i="6"/>
  <c r="F457" i="6"/>
  <c r="E457" i="12"/>
  <c r="F328" i="6"/>
  <c r="E328" i="12"/>
  <c r="E48" i="12"/>
  <c r="F48" i="6"/>
  <c r="F331" i="6"/>
  <c r="E331" i="12"/>
  <c r="F315" i="6"/>
  <c r="E315" i="12"/>
  <c r="F278" i="6"/>
  <c r="E278" i="12"/>
  <c r="F503" i="6"/>
  <c r="E503" i="12"/>
  <c r="E719" i="12"/>
  <c r="F719" i="6"/>
  <c r="F333" i="6"/>
  <c r="E333" i="12"/>
  <c r="E661" i="12"/>
  <c r="F661" i="6"/>
  <c r="E616" i="12"/>
  <c r="F616" i="6"/>
  <c r="E465" i="12"/>
  <c r="F465" i="6"/>
  <c r="E493" i="12"/>
  <c r="F493" i="6"/>
  <c r="F124" i="6"/>
  <c r="E124" i="12"/>
  <c r="F73" i="6"/>
  <c r="E73" i="12"/>
  <c r="E264" i="12"/>
  <c r="F264" i="6"/>
  <c r="E522" i="12"/>
  <c r="F522" i="6"/>
  <c r="E252" i="12"/>
  <c r="F252" i="6"/>
  <c r="E337" i="12"/>
  <c r="F337" i="6"/>
  <c r="E193" i="12"/>
  <c r="F193" i="6"/>
  <c r="F156" i="6"/>
  <c r="E156" i="12"/>
  <c r="E617" i="12"/>
  <c r="F617" i="6"/>
  <c r="E118" i="12"/>
  <c r="F118" i="6"/>
  <c r="E33" i="12"/>
  <c r="F33" i="6"/>
  <c r="E30" i="12"/>
  <c r="F30" i="6"/>
  <c r="E444" i="12"/>
  <c r="F444" i="6"/>
  <c r="E314" i="12"/>
  <c r="F314" i="6"/>
  <c r="E496" i="12"/>
  <c r="F496" i="6"/>
  <c r="E280" i="12"/>
  <c r="F280" i="6"/>
  <c r="F341" i="6"/>
  <c r="E341" i="12"/>
  <c r="E536" i="12"/>
  <c r="F536" i="6"/>
  <c r="F699" i="6"/>
  <c r="E699" i="12"/>
  <c r="E514" i="12"/>
  <c r="F514" i="6"/>
  <c r="F638" i="6"/>
  <c r="E638" i="12"/>
  <c r="F396" i="6"/>
  <c r="E396" i="12"/>
  <c r="E581" i="12"/>
  <c r="F581" i="6"/>
  <c r="F401" i="6"/>
  <c r="E401" i="12"/>
  <c r="F109" i="6"/>
  <c r="E109" i="12"/>
  <c r="E573" i="12"/>
  <c r="F573" i="6"/>
  <c r="E705" i="12"/>
  <c r="F705" i="6"/>
  <c r="F512" i="6"/>
  <c r="E512" i="12"/>
  <c r="E491" i="12"/>
  <c r="F491" i="6"/>
  <c r="F153" i="6"/>
  <c r="E153" i="12"/>
  <c r="F371" i="6"/>
  <c r="E371" i="12"/>
  <c r="E257" i="12"/>
  <c r="F257" i="6"/>
  <c r="E411" i="12"/>
  <c r="F411" i="6"/>
  <c r="E688" i="12"/>
  <c r="F688" i="6"/>
  <c r="E318" i="12"/>
  <c r="F318" i="6"/>
  <c r="F338" i="6"/>
  <c r="E338" i="12"/>
  <c r="F102" i="6"/>
  <c r="E102" i="12"/>
  <c r="F664" i="6"/>
  <c r="E664" i="12"/>
  <c r="F112" i="6"/>
  <c r="E112" i="12"/>
  <c r="E178" i="12"/>
  <c r="F178" i="6"/>
  <c r="E446" i="12"/>
  <c r="F446" i="6"/>
  <c r="F562" i="6"/>
  <c r="E562" i="12"/>
  <c r="F600" i="6"/>
  <c r="E600" i="12"/>
  <c r="E70" i="12"/>
  <c r="F70" i="6"/>
  <c r="E111" i="12"/>
  <c r="F111" i="6"/>
  <c r="E574" i="12"/>
  <c r="F574" i="6"/>
  <c r="E348" i="12"/>
  <c r="F348" i="6"/>
  <c r="E645" i="12"/>
  <c r="F645" i="6"/>
  <c r="F100" i="6"/>
  <c r="E100" i="12"/>
  <c r="E670" i="12"/>
  <c r="F670" i="6"/>
  <c r="F692" i="6"/>
  <c r="E692" i="12"/>
  <c r="E494" i="12"/>
  <c r="F494" i="6"/>
  <c r="E390" i="12"/>
  <c r="F390" i="6"/>
  <c r="E201" i="12"/>
  <c r="F201" i="6"/>
  <c r="E31" i="12"/>
  <c r="F31" i="6"/>
  <c r="E678" i="12"/>
  <c r="F678" i="6"/>
  <c r="E702" i="12"/>
  <c r="F702" i="6"/>
  <c r="F404" i="6"/>
  <c r="E404" i="12"/>
  <c r="E294" i="12"/>
  <c r="F294" i="6"/>
  <c r="F676" i="6"/>
  <c r="E676" i="12"/>
  <c r="F279" i="6"/>
  <c r="E279" i="12"/>
  <c r="F157" i="6"/>
  <c r="E157" i="12"/>
  <c r="F173" i="6"/>
  <c r="E173" i="12"/>
  <c r="E45" i="12"/>
  <c r="F45" i="6"/>
  <c r="E195" i="12"/>
  <c r="F195" i="6"/>
  <c r="F370" i="6"/>
  <c r="E370" i="12"/>
  <c r="F672" i="6"/>
  <c r="E672" i="12"/>
  <c r="F681" i="6"/>
  <c r="E681" i="12"/>
  <c r="F223" i="6"/>
  <c r="E223" i="12"/>
  <c r="F185" i="6"/>
  <c r="E185" i="12"/>
  <c r="F726" i="6"/>
  <c r="E726" i="12"/>
  <c r="F369" i="6"/>
  <c r="E369" i="12"/>
  <c r="F387" i="6"/>
  <c r="E387" i="12"/>
  <c r="F137" i="6"/>
  <c r="E137" i="12"/>
  <c r="E49" i="12"/>
  <c r="F49" i="6"/>
  <c r="F347" i="6"/>
  <c r="E347" i="12"/>
  <c r="E272" i="12"/>
  <c r="F272" i="6"/>
  <c r="F388" i="6"/>
  <c r="E388" i="12"/>
  <c r="F427" i="6"/>
  <c r="E427" i="12"/>
  <c r="E274" i="12"/>
  <c r="F274" i="6"/>
  <c r="F392" i="6"/>
  <c r="E392" i="12"/>
  <c r="F698" i="6"/>
  <c r="E698" i="12"/>
  <c r="E464" i="12"/>
  <c r="F464" i="6"/>
  <c r="E611" i="12"/>
  <c r="F611" i="6"/>
  <c r="E459" i="12"/>
  <c r="F459" i="6"/>
  <c r="F679" i="6"/>
  <c r="E679" i="12"/>
  <c r="E175" i="12"/>
  <c r="F175" i="6"/>
  <c r="F480" i="6"/>
  <c r="E480" i="12"/>
  <c r="F116" i="6"/>
  <c r="E116" i="12"/>
  <c r="F44" i="6"/>
  <c r="E44" i="12"/>
  <c r="F400" i="6"/>
  <c r="E400" i="12"/>
  <c r="F518" i="6"/>
  <c r="E518" i="12"/>
  <c r="F408" i="6"/>
  <c r="E408" i="12"/>
  <c r="F214" i="6"/>
  <c r="E214" i="12"/>
  <c r="F132" i="6"/>
  <c r="E132" i="12"/>
  <c r="F393" i="6"/>
  <c r="E393" i="12"/>
  <c r="F669" i="6"/>
  <c r="E669" i="12"/>
  <c r="F119" i="6"/>
  <c r="E119" i="12"/>
  <c r="F541" i="6"/>
  <c r="E541" i="12"/>
  <c r="F242" i="6"/>
  <c r="E242" i="12"/>
  <c r="E56" i="12"/>
  <c r="F56" i="6"/>
  <c r="F639" i="6"/>
  <c r="E639" i="12"/>
  <c r="E575" i="12"/>
  <c r="F575" i="6"/>
  <c r="F677" i="6"/>
  <c r="E677" i="12"/>
  <c r="E578" i="12"/>
  <c r="F578" i="6"/>
  <c r="F368" i="6"/>
  <c r="E368" i="12"/>
  <c r="F312" i="6"/>
  <c r="E312" i="12"/>
  <c r="E717" i="12"/>
  <c r="F717" i="6"/>
  <c r="E500" i="12"/>
  <c r="F500" i="6"/>
  <c r="E434" i="12"/>
  <c r="F434" i="6"/>
  <c r="F410" i="6"/>
  <c r="E410" i="12"/>
  <c r="E437" i="12"/>
  <c r="F437" i="6"/>
  <c r="E655" i="12"/>
  <c r="F655" i="6"/>
  <c r="F276" i="6"/>
  <c r="E276" i="12"/>
  <c r="F239" i="6"/>
  <c r="E239" i="12"/>
  <c r="E202" i="12"/>
  <c r="F202" i="6"/>
  <c r="E334" i="12"/>
  <c r="F334" i="6"/>
  <c r="E533" i="12"/>
  <c r="F533" i="6"/>
  <c r="E127" i="12"/>
  <c r="F127" i="6"/>
  <c r="F631" i="6"/>
  <c r="E631" i="12"/>
  <c r="F39" i="6"/>
  <c r="E39" i="12"/>
  <c r="F460" i="6"/>
  <c r="E460" i="12"/>
  <c r="F633" i="6"/>
  <c r="E633" i="12"/>
  <c r="F307" i="6"/>
  <c r="E307" i="12"/>
  <c r="E165" i="12"/>
  <c r="F165" i="6"/>
  <c r="E292" i="12"/>
  <c r="F292" i="6"/>
  <c r="F189" i="6"/>
  <c r="E189" i="12"/>
  <c r="E475" i="12"/>
  <c r="F475" i="6"/>
  <c r="E529" i="12"/>
  <c r="F529" i="6"/>
  <c r="F381" i="6"/>
  <c r="E381" i="12"/>
  <c r="F80" i="6"/>
  <c r="E80" i="12"/>
  <c r="E469" i="12"/>
  <c r="F469" i="6"/>
  <c r="E327" i="12"/>
  <c r="F327" i="6"/>
  <c r="E232" i="12"/>
  <c r="F232" i="6"/>
  <c r="F559" i="6"/>
  <c r="E559" i="12"/>
  <c r="F72" i="6"/>
  <c r="E72" i="12"/>
  <c r="F524" i="6"/>
  <c r="E524" i="12"/>
  <c r="F568" i="6"/>
  <c r="E568" i="12"/>
  <c r="F304" i="6"/>
  <c r="E304" i="12"/>
  <c r="E658" i="12"/>
  <c r="F658" i="6"/>
  <c r="E454" i="12"/>
  <c r="F454" i="6"/>
  <c r="F326" i="6"/>
  <c r="E326" i="12"/>
  <c r="E492" i="12"/>
  <c r="F492" i="6"/>
  <c r="E123" i="12"/>
  <c r="F123" i="6"/>
  <c r="F551" i="6"/>
  <c r="E551" i="12"/>
  <c r="E374" i="12"/>
  <c r="F374" i="6"/>
  <c r="E268" i="12"/>
  <c r="F268" i="6"/>
  <c r="E367" i="12"/>
  <c r="F367" i="6"/>
  <c r="F302" i="6"/>
  <c r="E302" i="12"/>
  <c r="E577" i="12"/>
  <c r="F577" i="6"/>
  <c r="E499" i="12"/>
  <c r="F499" i="6"/>
  <c r="E560" i="12"/>
  <c r="F560" i="6"/>
  <c r="E297" i="12"/>
  <c r="F297" i="6"/>
  <c r="E515" i="12"/>
  <c r="F515" i="6"/>
  <c r="F689" i="6"/>
  <c r="E689" i="12"/>
  <c r="E605" i="12"/>
  <c r="F605" i="6"/>
  <c r="F255" i="6"/>
  <c r="E255" i="12"/>
  <c r="F113" i="6"/>
  <c r="E113" i="12"/>
  <c r="F174" i="6"/>
  <c r="E174" i="12"/>
  <c r="E324" i="12"/>
  <c r="F324" i="6"/>
  <c r="F291" i="6"/>
  <c r="E291" i="12"/>
  <c r="F405" i="6"/>
  <c r="E405" i="12"/>
  <c r="E649" i="12"/>
  <c r="F649" i="6"/>
  <c r="F164" i="6"/>
  <c r="E164" i="12"/>
  <c r="E36" i="12"/>
  <c r="F36" i="6"/>
  <c r="F336" i="6"/>
  <c r="E336" i="12"/>
  <c r="F458" i="6"/>
  <c r="E458" i="12"/>
  <c r="F576" i="6"/>
  <c r="E576" i="12"/>
  <c r="E601" i="12"/>
  <c r="F601" i="6"/>
  <c r="E288" i="12"/>
  <c r="F288" i="6"/>
  <c r="E149" i="12"/>
  <c r="F149" i="6"/>
  <c r="E172" i="12"/>
  <c r="F172" i="6"/>
  <c r="F55" i="6"/>
  <c r="E55" i="12"/>
  <c r="E194" i="12"/>
  <c r="F194" i="6"/>
  <c r="E351" i="12"/>
  <c r="F351" i="6"/>
  <c r="E361" i="12"/>
  <c r="F361" i="6"/>
  <c r="F346" i="6"/>
  <c r="E346" i="12"/>
  <c r="E135" i="12"/>
  <c r="F135" i="6"/>
  <c r="E641" i="12"/>
  <c r="F641" i="6"/>
  <c r="F537" i="6"/>
  <c r="E537" i="12"/>
  <c r="F644" i="6"/>
  <c r="E644" i="12"/>
  <c r="F528" i="6"/>
  <c r="E528" i="12"/>
  <c r="E86" i="12"/>
  <c r="F86" i="6"/>
  <c r="E345" i="12"/>
  <c r="F345" i="6"/>
  <c r="F657" i="6"/>
  <c r="E657" i="12"/>
  <c r="F69" i="6"/>
  <c r="E69" i="12"/>
  <c r="E419" i="12"/>
  <c r="F419" i="6"/>
  <c r="E548" i="12"/>
  <c r="F548" i="6"/>
  <c r="F234" i="6"/>
  <c r="E234" i="12"/>
  <c r="E355" i="12"/>
  <c r="F355" i="6"/>
  <c r="F228" i="6"/>
  <c r="E228" i="12"/>
  <c r="E547" i="12"/>
  <c r="F547" i="6"/>
  <c r="F391" i="6"/>
  <c r="E391" i="12"/>
  <c r="E615" i="12"/>
  <c r="F615" i="6"/>
  <c r="F584" i="6"/>
  <c r="E584" i="12"/>
  <c r="F43" i="6"/>
  <c r="E43" i="12"/>
  <c r="E64" i="12"/>
  <c r="F64" i="6"/>
  <c r="F248" i="6"/>
  <c r="E248" i="12"/>
  <c r="E310" i="12"/>
  <c r="F310" i="6"/>
  <c r="E519" i="12"/>
  <c r="F519" i="6"/>
  <c r="E468" i="12"/>
  <c r="F468" i="6"/>
  <c r="F623" i="6"/>
  <c r="E623" i="12"/>
  <c r="F363" i="6"/>
  <c r="E363" i="12"/>
  <c r="E586" i="12"/>
  <c r="F586" i="6"/>
  <c r="F343" i="6"/>
  <c r="E343" i="12"/>
  <c r="F685" i="6"/>
  <c r="E685" i="12"/>
  <c r="E716" i="12"/>
  <c r="F716" i="6"/>
  <c r="E290" i="12"/>
  <c r="F290" i="6"/>
  <c r="E489" i="12"/>
  <c r="F489" i="6"/>
  <c r="F180" i="6"/>
  <c r="E180" i="12"/>
  <c r="F90" i="6"/>
  <c r="E90" i="12"/>
  <c r="F50" i="6"/>
  <c r="E50" i="12"/>
  <c r="E162" i="12"/>
  <c r="F162" i="6"/>
  <c r="F160" i="6"/>
  <c r="E160" i="12"/>
  <c r="E305" i="12"/>
  <c r="F305" i="6"/>
  <c r="E439" i="12"/>
  <c r="F439" i="6"/>
  <c r="E218" i="12"/>
  <c r="F218" i="6"/>
  <c r="E569" i="12"/>
  <c r="F569" i="6"/>
  <c r="F426" i="6"/>
  <c r="E426" i="12"/>
  <c r="F235" i="6"/>
  <c r="E235" i="12"/>
  <c r="E187" i="12"/>
  <c r="F187" i="6"/>
  <c r="F532" i="6"/>
  <c r="E532" i="12"/>
  <c r="E267" i="12"/>
  <c r="F267" i="6"/>
  <c r="F409" i="6"/>
  <c r="E409" i="12"/>
  <c r="E634" i="12"/>
  <c r="F634" i="6"/>
  <c r="E466" i="12"/>
  <c r="F466" i="6"/>
  <c r="F266" i="6"/>
  <c r="E266" i="12"/>
  <c r="F258" i="6"/>
  <c r="E258" i="12"/>
  <c r="E450" i="12"/>
  <c r="F450" i="6"/>
  <c r="F495" i="6"/>
  <c r="E495" i="12"/>
  <c r="F622" i="6"/>
  <c r="E622" i="12"/>
  <c r="E694" i="12"/>
  <c r="F694" i="6"/>
  <c r="E88" i="12"/>
  <c r="F88" i="6"/>
  <c r="F219" i="6"/>
  <c r="E219" i="12"/>
  <c r="E192" i="12"/>
  <c r="F192" i="6"/>
  <c r="F306" i="6"/>
  <c r="E306" i="12"/>
  <c r="E377" i="12"/>
  <c r="F377" i="6"/>
  <c r="F51" i="6"/>
  <c r="E51" i="12"/>
  <c r="F115" i="6"/>
  <c r="E115" i="12"/>
  <c r="E606" i="12"/>
  <c r="F606" i="6"/>
  <c r="E406" i="12"/>
  <c r="F406" i="6"/>
  <c r="E303" i="12"/>
  <c r="F303" i="6"/>
  <c r="F65" i="6"/>
  <c r="E65" i="12"/>
  <c r="E128" i="12"/>
  <c r="F128" i="6"/>
  <c r="F629" i="6"/>
  <c r="E629" i="12"/>
  <c r="F170" i="6"/>
  <c r="E170" i="12"/>
  <c r="F213" i="6"/>
  <c r="E213" i="12"/>
  <c r="E104" i="12"/>
  <c r="F104" i="6"/>
  <c r="F477" i="6"/>
  <c r="E477" i="12"/>
  <c r="F322" i="6"/>
  <c r="E322" i="12"/>
  <c r="E177" i="12"/>
  <c r="F177" i="6"/>
  <c r="E523" i="12"/>
  <c r="F523" i="6"/>
  <c r="E440" i="12"/>
  <c r="F440" i="6"/>
  <c r="F366" i="6"/>
  <c r="E366" i="12"/>
  <c r="F413" i="6"/>
  <c r="E413" i="12"/>
  <c r="E28" i="12"/>
  <c r="F28" i="6"/>
  <c r="E85" i="12"/>
  <c r="F85" i="6"/>
  <c r="E99" i="12"/>
  <c r="F99" i="6"/>
  <c r="E236" i="12"/>
  <c r="F236" i="6"/>
  <c r="F428" i="6"/>
  <c r="E428" i="12"/>
  <c r="E651" i="12"/>
  <c r="F651" i="6"/>
  <c r="E723" i="12"/>
  <c r="F723" i="6"/>
  <c r="F700" i="6"/>
  <c r="E700" i="12"/>
  <c r="E52" i="12"/>
  <c r="F52" i="6"/>
  <c r="F625" i="6"/>
  <c r="E625" i="12"/>
  <c r="F240" i="6"/>
  <c r="E240" i="12"/>
  <c r="E663" i="12"/>
  <c r="F663" i="6"/>
  <c r="F608" i="6"/>
  <c r="E608" i="12"/>
  <c r="F423" i="6"/>
  <c r="E423" i="12"/>
  <c r="F571" i="6"/>
  <c r="E571" i="12"/>
  <c r="F59" i="6"/>
  <c r="E59" i="12"/>
  <c r="E142" i="12"/>
  <c r="F142" i="6"/>
  <c r="F198" i="6"/>
  <c r="E198" i="12"/>
  <c r="E354" i="12"/>
  <c r="F354" i="6"/>
  <c r="E666" i="12"/>
  <c r="F666" i="6"/>
  <c r="F394" i="6"/>
  <c r="E394" i="12"/>
  <c r="F186" i="6"/>
  <c r="E186" i="12"/>
  <c r="F259" i="6"/>
  <c r="E259" i="12"/>
  <c r="F161" i="6"/>
  <c r="E161" i="12"/>
  <c r="E78" i="12"/>
  <c r="F78" i="6"/>
  <c r="E497" i="12"/>
  <c r="F497" i="6"/>
  <c r="E378" i="12"/>
  <c r="F378" i="6"/>
  <c r="E445" i="12"/>
  <c r="F445" i="6"/>
  <c r="F139" i="6"/>
  <c r="E139" i="12"/>
  <c r="F485" i="6"/>
  <c r="E485" i="12"/>
  <c r="E432" i="12"/>
  <c r="F432" i="6"/>
  <c r="E299" i="12"/>
  <c r="F299" i="6"/>
  <c r="E42" i="12"/>
  <c r="F42" i="6"/>
  <c r="F107" i="6"/>
  <c r="E107" i="12"/>
  <c r="F325" i="6"/>
  <c r="E325" i="12"/>
  <c r="E34" i="12"/>
  <c r="F34" i="6"/>
  <c r="F375" i="6"/>
  <c r="E375" i="12"/>
  <c r="E653" i="12"/>
  <c r="F653" i="6"/>
  <c r="F449" i="6"/>
  <c r="E449" i="12"/>
  <c r="E53" i="12"/>
  <c r="F53" i="6"/>
  <c r="F204" i="6"/>
  <c r="E204" i="12"/>
  <c r="F612" i="6"/>
  <c r="E612" i="12"/>
  <c r="F226" i="6"/>
  <c r="E226" i="12"/>
  <c r="F511" i="6"/>
  <c r="E511" i="12"/>
  <c r="F652" i="6"/>
  <c r="E652" i="12"/>
  <c r="E708" i="12"/>
  <c r="F708" i="6"/>
  <c r="E487" i="12"/>
  <c r="F487" i="6"/>
  <c r="F260" i="6"/>
  <c r="E260" i="12"/>
  <c r="E136" i="12"/>
  <c r="F136" i="6"/>
  <c r="E431" i="12"/>
  <c r="F431" i="6"/>
  <c r="E620" i="12"/>
  <c r="F620" i="6"/>
  <c r="E166" i="12"/>
  <c r="F166" i="6"/>
  <c r="E714" i="12"/>
  <c r="F714" i="6"/>
  <c r="E344" i="12"/>
  <c r="F344" i="6"/>
  <c r="E167" i="12"/>
  <c r="F167" i="6"/>
  <c r="F461" i="6"/>
  <c r="E461" i="12"/>
  <c r="F506" i="6"/>
  <c r="E506" i="12"/>
  <c r="E648" i="12"/>
  <c r="F648" i="6"/>
  <c r="F399" i="6"/>
  <c r="E399" i="12"/>
  <c r="F510" i="6"/>
  <c r="E510" i="12"/>
  <c r="F133" i="6"/>
  <c r="E133" i="12"/>
  <c r="E722" i="12"/>
  <c r="F722" i="6"/>
  <c r="E610" i="12"/>
  <c r="F610" i="6"/>
  <c r="F540" i="6"/>
  <c r="E540" i="12"/>
  <c r="E231" i="12"/>
  <c r="F231" i="6"/>
  <c r="E147" i="12"/>
  <c r="F147" i="6"/>
  <c r="F83" i="6"/>
  <c r="E83" i="12"/>
  <c r="F429" i="6"/>
  <c r="E429" i="12"/>
  <c r="F357" i="6"/>
  <c r="E357" i="12"/>
  <c r="E684" i="12"/>
  <c r="F684" i="6"/>
  <c r="F321" i="6"/>
  <c r="E321" i="12"/>
  <c r="F596" i="6"/>
  <c r="E596" i="12"/>
  <c r="E14" i="12"/>
  <c r="F14" i="6"/>
  <c r="AC14" i="5"/>
  <c r="F706" i="6"/>
  <c r="E706" i="12"/>
  <c r="E287" i="12"/>
  <c r="F287" i="6"/>
  <c r="F424" i="6"/>
  <c r="E424" i="12"/>
  <c r="F215" i="6"/>
  <c r="E215" i="12"/>
  <c r="F181" i="6"/>
  <c r="E181" i="12"/>
  <c r="F478" i="6"/>
  <c r="E478" i="12"/>
  <c r="E383" i="12"/>
  <c r="F383" i="6"/>
  <c r="F62" i="6"/>
  <c r="E62" i="12"/>
  <c r="E26" i="12"/>
  <c r="F26" i="6"/>
  <c r="E558" i="12"/>
  <c r="F558" i="6"/>
  <c r="F372" i="6"/>
  <c r="E372" i="12"/>
  <c r="E283" i="12"/>
  <c r="F283" i="6"/>
  <c r="F583" i="6"/>
  <c r="E583" i="12"/>
  <c r="E691" i="12"/>
  <c r="F691" i="6"/>
  <c r="E340" i="12"/>
  <c r="F340" i="6"/>
  <c r="E671" i="12"/>
  <c r="F671" i="6"/>
  <c r="F453" i="6"/>
  <c r="E453" i="12"/>
  <c r="F380" i="6"/>
  <c r="E380" i="12"/>
  <c r="F229" i="6"/>
  <c r="E229" i="12"/>
  <c r="E646" i="12"/>
  <c r="F646" i="6"/>
  <c r="F474" i="6"/>
  <c r="E474" i="12"/>
  <c r="F585" i="6"/>
  <c r="E585" i="12"/>
  <c r="F693" i="6"/>
  <c r="E693" i="12"/>
  <c r="F624" i="6"/>
  <c r="E624" i="12"/>
  <c r="F397" i="6"/>
  <c r="E397" i="12"/>
  <c r="E77" i="12"/>
  <c r="F77" i="6"/>
  <c r="E557" i="12"/>
  <c r="F557" i="6"/>
  <c r="E542" i="12"/>
  <c r="F542" i="6"/>
  <c r="E455" i="12"/>
  <c r="F455" i="6"/>
  <c r="E718" i="12"/>
  <c r="F718" i="6"/>
  <c r="F687" i="6"/>
  <c r="E687" i="12"/>
  <c r="F561" i="6"/>
  <c r="E561" i="12"/>
  <c r="F554" i="6"/>
  <c r="E554" i="12"/>
  <c r="F570" i="6"/>
  <c r="E570" i="12"/>
  <c r="E417" i="12"/>
  <c r="F417" i="6"/>
  <c r="E298" i="12"/>
  <c r="F298" i="6"/>
  <c r="E261" i="12"/>
  <c r="F261" i="6"/>
  <c r="F143" i="6"/>
  <c r="E143" i="12"/>
  <c r="E32" i="12"/>
  <c r="F32" i="6"/>
  <c r="F599" i="6"/>
  <c r="E599" i="12"/>
  <c r="E179" i="12"/>
  <c r="F179" i="6"/>
  <c r="E329" i="12"/>
  <c r="F329" i="6"/>
  <c r="F250" i="6"/>
  <c r="E250" i="12"/>
  <c r="F20" i="6"/>
  <c r="E20" i="12"/>
  <c r="F254" i="6"/>
  <c r="E254" i="12"/>
  <c r="E206" i="12"/>
  <c r="F206" i="6"/>
  <c r="E563" i="12"/>
  <c r="F563" i="6"/>
  <c r="E416" i="12"/>
  <c r="F416" i="6"/>
  <c r="E241" i="12"/>
  <c r="F241" i="6"/>
  <c r="F146" i="6"/>
  <c r="E146" i="12"/>
  <c r="E442" i="12"/>
  <c r="F442" i="6"/>
  <c r="E597" i="12"/>
  <c r="F597" i="6"/>
  <c r="F350" i="6"/>
  <c r="E350" i="12"/>
  <c r="E265" i="12"/>
  <c r="F265" i="6"/>
  <c r="F18" i="6"/>
  <c r="E18" i="12"/>
  <c r="F330" i="6"/>
  <c r="E330" i="12"/>
  <c r="E619" i="12"/>
  <c r="F619" i="6"/>
  <c r="F384" i="6"/>
  <c r="E384" i="12"/>
  <c r="E227" i="12"/>
  <c r="F227" i="6"/>
  <c r="F151" i="6"/>
  <c r="E151" i="12"/>
  <c r="E637" i="12"/>
  <c r="F637" i="6"/>
  <c r="E313" i="12"/>
  <c r="F313" i="6"/>
  <c r="E339" i="12"/>
  <c r="F339" i="6"/>
  <c r="F662" i="6"/>
  <c r="E662" i="12"/>
  <c r="F106" i="6"/>
  <c r="E106" i="12"/>
  <c r="E163" i="12"/>
  <c r="F163" i="6"/>
  <c r="F243" i="6"/>
  <c r="E243" i="12"/>
  <c r="E535" i="12"/>
  <c r="F535" i="6"/>
  <c r="E572" i="12"/>
  <c r="F572" i="6"/>
  <c r="E635" i="12"/>
  <c r="F635" i="6"/>
  <c r="E565" i="12"/>
  <c r="F565" i="6"/>
  <c r="F590" i="6"/>
  <c r="E590" i="12"/>
  <c r="E67" i="12"/>
  <c r="F67" i="6"/>
  <c r="E251" i="12"/>
  <c r="F251" i="6"/>
  <c r="F674" i="6"/>
  <c r="E674" i="12"/>
  <c r="E273" i="12"/>
  <c r="F273" i="6"/>
  <c r="F579" i="6"/>
  <c r="E579" i="12"/>
  <c r="E253" i="12"/>
  <c r="F253" i="6"/>
  <c r="F545" i="6"/>
  <c r="E545" i="12"/>
  <c r="F35" i="6"/>
  <c r="E35" i="12"/>
  <c r="E335" i="12"/>
  <c r="F335" i="6"/>
  <c r="F667" i="6"/>
  <c r="E667" i="12"/>
  <c r="E93" i="12"/>
  <c r="F93" i="6"/>
  <c r="E61" i="12"/>
  <c r="F61" i="6"/>
  <c r="F309" i="6"/>
  <c r="E309" i="12"/>
  <c r="E521" i="12"/>
  <c r="F521" i="6"/>
  <c r="E87" i="12"/>
  <c r="F87" i="6"/>
  <c r="E507" i="12"/>
  <c r="F507" i="6"/>
  <c r="E356" i="12"/>
  <c r="F356" i="6"/>
  <c r="E281" i="12"/>
  <c r="F281" i="6"/>
  <c r="E148" i="12"/>
  <c r="F148" i="6"/>
  <c r="E513" i="12"/>
  <c r="F513" i="6"/>
  <c r="F277" i="6"/>
  <c r="E277" i="12"/>
  <c r="F435" i="6"/>
  <c r="E435" i="12"/>
  <c r="E342" i="12"/>
  <c r="F342" i="6"/>
  <c r="E256" i="12"/>
  <c r="F256" i="6"/>
  <c r="F452" i="6"/>
  <c r="E452" i="12"/>
  <c r="E448" i="12"/>
  <c r="F448" i="6"/>
  <c r="F360" i="6"/>
  <c r="E360" i="12"/>
  <c r="F483" i="6"/>
  <c r="E483" i="12"/>
  <c r="E84" i="12"/>
  <c r="F84" i="6"/>
  <c r="F190" i="6"/>
  <c r="E190" i="12"/>
  <c r="E566" i="12"/>
  <c r="F566" i="6"/>
  <c r="E713" i="12"/>
  <c r="F713" i="6"/>
  <c r="E68" i="12"/>
  <c r="F68" i="6"/>
  <c r="F130" i="6"/>
  <c r="E130" i="12"/>
  <c r="E289" i="12"/>
  <c r="F289" i="6"/>
  <c r="E122" i="12"/>
  <c r="F122" i="6"/>
  <c r="F696" i="6"/>
  <c r="E696" i="12"/>
  <c r="F420" i="6"/>
  <c r="E420" i="12"/>
  <c r="E38" i="12"/>
  <c r="F38" i="6"/>
  <c r="E22" i="12"/>
  <c r="F22" i="6"/>
  <c r="E238" i="12"/>
  <c r="F238" i="6"/>
  <c r="E647" i="12"/>
  <c r="F647" i="6"/>
  <c r="E650" i="12"/>
  <c r="F650" i="6"/>
  <c r="F150" i="6"/>
  <c r="E150" i="12"/>
  <c r="E352" i="12"/>
  <c r="F352" i="6"/>
  <c r="E509" i="12"/>
  <c r="F509" i="6"/>
  <c r="F358" i="6"/>
  <c r="E358" i="12"/>
  <c r="F538" i="6"/>
  <c r="E538" i="12"/>
  <c r="E144" i="12"/>
  <c r="F144" i="6"/>
  <c r="E517" i="12"/>
  <c r="F517" i="6"/>
  <c r="E379" i="12"/>
  <c r="F379" i="6"/>
  <c r="F389" i="6"/>
  <c r="E389" i="12"/>
  <c r="F704" i="6"/>
  <c r="E704" i="12"/>
  <c r="E141" i="12"/>
  <c r="F141" i="6"/>
  <c r="F76" i="6"/>
  <c r="E76" i="12"/>
  <c r="E680" i="12"/>
  <c r="F680" i="6"/>
  <c r="E711" i="12"/>
  <c r="F711" i="6"/>
  <c r="F456" i="6"/>
  <c r="E456" i="12"/>
  <c r="E222" i="12"/>
  <c r="F222" i="6"/>
  <c r="E24" i="12"/>
  <c r="F24" i="6"/>
  <c r="E207" i="12"/>
  <c r="F207" i="6"/>
  <c r="F210" i="6"/>
  <c r="E210" i="12"/>
  <c r="F317" i="6"/>
  <c r="E317" i="12"/>
  <c r="E108" i="12"/>
  <c r="F108" i="6"/>
  <c r="F209" i="6"/>
  <c r="E209" i="12"/>
  <c r="E614" i="12"/>
  <c r="F614" i="6"/>
  <c r="E659" i="12"/>
  <c r="F659" i="6"/>
  <c r="AM256" i="5"/>
  <c r="L256" i="5"/>
  <c r="I256" i="12"/>
  <c r="Z256" i="5"/>
  <c r="AC256" i="5"/>
  <c r="Z447" i="5"/>
  <c r="I447" i="12"/>
  <c r="L447" i="5"/>
  <c r="AM447" i="5"/>
  <c r="AC447" i="5"/>
  <c r="AM25" i="5"/>
  <c r="L25" i="5"/>
  <c r="Z25" i="5"/>
  <c r="I25" i="12"/>
  <c r="AC25" i="5"/>
  <c r="AM269" i="5"/>
  <c r="I269" i="12"/>
  <c r="L269" i="5"/>
  <c r="Z269" i="5"/>
  <c r="AC269" i="5"/>
  <c r="Z390" i="5"/>
  <c r="L390" i="5"/>
  <c r="AM390" i="5"/>
  <c r="I390" i="12"/>
  <c r="AC390" i="5"/>
  <c r="AM700" i="5"/>
  <c r="Z700" i="5"/>
  <c r="I700" i="12"/>
  <c r="L700" i="5"/>
  <c r="AC700" i="5"/>
  <c r="L261" i="5"/>
  <c r="I261" i="12"/>
  <c r="AM261" i="5"/>
  <c r="Z261" i="5"/>
  <c r="AC261" i="5"/>
  <c r="AE241" i="8"/>
  <c r="X696" i="5"/>
  <c r="L523" i="5"/>
  <c r="AM523" i="5"/>
  <c r="I523" i="12"/>
  <c r="Z523" i="5"/>
  <c r="AC523" i="5"/>
  <c r="Z99" i="5"/>
  <c r="AM99" i="5"/>
  <c r="I99" i="12"/>
  <c r="L99" i="5"/>
  <c r="AC99" i="5"/>
  <c r="AM357" i="5"/>
  <c r="I357" i="12"/>
  <c r="L357" i="5"/>
  <c r="Z357" i="5"/>
  <c r="AC357" i="5"/>
  <c r="AM550" i="5"/>
  <c r="L550" i="5"/>
  <c r="I550" i="12"/>
  <c r="Z550" i="5"/>
  <c r="AC550" i="5"/>
  <c r="L489" i="5"/>
  <c r="C489" i="6" s="1"/>
  <c r="AM489" i="5"/>
  <c r="I489" i="12"/>
  <c r="Z489" i="5"/>
  <c r="AC489" i="5"/>
  <c r="AM505" i="5"/>
  <c r="L505" i="5"/>
  <c r="Z505" i="5"/>
  <c r="I505" i="12"/>
  <c r="AC505" i="5"/>
  <c r="I258" i="12"/>
  <c r="Z258" i="5"/>
  <c r="L258" i="5"/>
  <c r="C258" i="6" s="1"/>
  <c r="AM258" i="5"/>
  <c r="AC258" i="5"/>
  <c r="Z439" i="5"/>
  <c r="AM439" i="5"/>
  <c r="I439" i="12"/>
  <c r="L439" i="5"/>
  <c r="AC439" i="5"/>
  <c r="X41" i="5"/>
  <c r="U34" i="8"/>
  <c r="I590" i="12"/>
  <c r="Z590" i="5"/>
  <c r="AM590" i="5"/>
  <c r="L590" i="5"/>
  <c r="C590" i="6" s="1"/>
  <c r="AC590" i="5"/>
  <c r="Z537" i="5"/>
  <c r="AM537" i="5"/>
  <c r="I537" i="12"/>
  <c r="L537" i="5"/>
  <c r="AC537" i="5"/>
  <c r="Z109" i="5"/>
  <c r="L109" i="5"/>
  <c r="C109" i="6" s="1"/>
  <c r="AM109" i="5"/>
  <c r="I109" i="12"/>
  <c r="AC109" i="5"/>
  <c r="L323" i="5"/>
  <c r="I323" i="12"/>
  <c r="Z323" i="5"/>
  <c r="AM323" i="5"/>
  <c r="AC323" i="5"/>
  <c r="AM85" i="5"/>
  <c r="Z85" i="5"/>
  <c r="L85" i="5"/>
  <c r="I85" i="12"/>
  <c r="AC85" i="5"/>
  <c r="L232" i="5"/>
  <c r="C232" i="6" s="1"/>
  <c r="AM232" i="5"/>
  <c r="Z232" i="5"/>
  <c r="I232" i="12"/>
  <c r="AC232" i="5"/>
  <c r="L292" i="5"/>
  <c r="C292" i="6" s="1"/>
  <c r="I292" i="12"/>
  <c r="AM292" i="5"/>
  <c r="Z292" i="5"/>
  <c r="AC292" i="5"/>
  <c r="AM398" i="5"/>
  <c r="Z398" i="5"/>
  <c r="I398" i="12"/>
  <c r="L398" i="5"/>
  <c r="AC398" i="5"/>
  <c r="Z61" i="5"/>
  <c r="AM61" i="5"/>
  <c r="L61" i="5"/>
  <c r="I61" i="12"/>
  <c r="AC61" i="5"/>
  <c r="X320" i="5"/>
  <c r="X75" i="5"/>
  <c r="Z28" i="5"/>
  <c r="AM28" i="5"/>
  <c r="L28" i="5"/>
  <c r="C28" i="6" s="1"/>
  <c r="I28" i="12"/>
  <c r="AC28" i="5"/>
  <c r="L556" i="5"/>
  <c r="AM556" i="5"/>
  <c r="Z556" i="5"/>
  <c r="I556" i="12"/>
  <c r="AC556" i="5"/>
  <c r="Z382" i="5"/>
  <c r="AM382" i="5"/>
  <c r="L382" i="5"/>
  <c r="I382" i="12"/>
  <c r="AC382" i="5"/>
  <c r="X24" i="5"/>
  <c r="X422" i="5"/>
  <c r="AM49" i="5"/>
  <c r="Z49" i="5"/>
  <c r="I49" i="12"/>
  <c r="L49" i="5"/>
  <c r="AC49" i="5"/>
  <c r="Z622" i="5"/>
  <c r="I622" i="12"/>
  <c r="L622" i="5"/>
  <c r="C622" i="6" s="1"/>
  <c r="AM622" i="5"/>
  <c r="AC622" i="5"/>
  <c r="AM359" i="5"/>
  <c r="I359" i="12"/>
  <c r="L359" i="5"/>
  <c r="Z359" i="5"/>
  <c r="AC359" i="5"/>
  <c r="AM313" i="5"/>
  <c r="Z313" i="5"/>
  <c r="L313" i="5"/>
  <c r="I313" i="12"/>
  <c r="AC313" i="5"/>
  <c r="I499" i="12"/>
  <c r="AM499" i="5"/>
  <c r="Z499" i="5"/>
  <c r="L499" i="5"/>
  <c r="AC499" i="5"/>
  <c r="L214" i="5"/>
  <c r="C214" i="6" s="1"/>
  <c r="AM214" i="5"/>
  <c r="I214" i="12"/>
  <c r="Z214" i="5"/>
  <c r="AC214" i="5"/>
  <c r="I327" i="12"/>
  <c r="L327" i="5"/>
  <c r="Z327" i="5"/>
  <c r="AM327" i="5"/>
  <c r="AC327" i="5"/>
  <c r="Z288" i="5"/>
  <c r="AM288" i="5"/>
  <c r="I288" i="12"/>
  <c r="L288" i="5"/>
  <c r="AC288" i="5"/>
  <c r="X416" i="5"/>
  <c r="AC151" i="8"/>
  <c r="L557" i="5"/>
  <c r="I557" i="12"/>
  <c r="Z557" i="5"/>
  <c r="AM557" i="5"/>
  <c r="AC557" i="5"/>
  <c r="I551" i="12"/>
  <c r="AM551" i="5"/>
  <c r="L551" i="5"/>
  <c r="Z551" i="5"/>
  <c r="AC551" i="5"/>
  <c r="Z460" i="5"/>
  <c r="L460" i="5"/>
  <c r="I460" i="12"/>
  <c r="AM460" i="5"/>
  <c r="AC460" i="5"/>
  <c r="X544" i="5"/>
  <c r="L414" i="5"/>
  <c r="C414" i="6" s="1"/>
  <c r="Z414" i="5"/>
  <c r="AM414" i="5"/>
  <c r="I414" i="12"/>
  <c r="AC414" i="5"/>
  <c r="I106" i="12"/>
  <c r="AM106" i="5"/>
  <c r="L106" i="5"/>
  <c r="Z106" i="5"/>
  <c r="AC106" i="5"/>
  <c r="AM626" i="5"/>
  <c r="I626" i="12"/>
  <c r="Z626" i="5"/>
  <c r="L626" i="5"/>
  <c r="AC626" i="5"/>
  <c r="L691" i="5"/>
  <c r="Z691" i="5"/>
  <c r="I691" i="12"/>
  <c r="AM691" i="5"/>
  <c r="AC691" i="5"/>
  <c r="Z453" i="5"/>
  <c r="AM453" i="5"/>
  <c r="I453" i="12"/>
  <c r="L453" i="5"/>
  <c r="AC453" i="5"/>
  <c r="AM69" i="5"/>
  <c r="L69" i="5"/>
  <c r="I69" i="12"/>
  <c r="Z69" i="5"/>
  <c r="AC69" i="5"/>
  <c r="AM634" i="5"/>
  <c r="L634" i="5"/>
  <c r="Z634" i="5"/>
  <c r="I634" i="12"/>
  <c r="AC634" i="5"/>
  <c r="L277" i="5"/>
  <c r="I277" i="12"/>
  <c r="AM277" i="5"/>
  <c r="Z277" i="5"/>
  <c r="AC277" i="5"/>
  <c r="I379" i="12"/>
  <c r="Z379" i="5"/>
  <c r="AM379" i="5"/>
  <c r="L379" i="5"/>
  <c r="AC379" i="5"/>
  <c r="Z510" i="5"/>
  <c r="L510" i="5"/>
  <c r="AM510" i="5"/>
  <c r="I510" i="12"/>
  <c r="AC510" i="5"/>
  <c r="X661" i="5"/>
  <c r="AM36" i="5"/>
  <c r="L36" i="5"/>
  <c r="I36" i="12"/>
  <c r="Z36" i="5"/>
  <c r="AC36" i="5"/>
  <c r="L46" i="5"/>
  <c r="AM46" i="5"/>
  <c r="Z46" i="5"/>
  <c r="I46" i="12"/>
  <c r="AC46" i="5"/>
  <c r="Z32" i="5"/>
  <c r="I32" i="12"/>
  <c r="AM32" i="5"/>
  <c r="L32" i="5"/>
  <c r="AC32" i="5"/>
  <c r="AC139" i="8"/>
  <c r="X350" i="5"/>
  <c r="L518" i="5"/>
  <c r="I518" i="12"/>
  <c r="AM518" i="5"/>
  <c r="Z518" i="5"/>
  <c r="AC518" i="5"/>
  <c r="L396" i="5"/>
  <c r="I396" i="12"/>
  <c r="AM396" i="5"/>
  <c r="Z396" i="5"/>
  <c r="AC396" i="5"/>
  <c r="X619" i="5"/>
  <c r="AM404" i="5"/>
  <c r="I404" i="12"/>
  <c r="Z404" i="5"/>
  <c r="L404" i="5"/>
  <c r="C404" i="6" s="1"/>
  <c r="AC404" i="5"/>
  <c r="Z262" i="5"/>
  <c r="I262" i="12"/>
  <c r="AM262" i="5"/>
  <c r="L262" i="5"/>
  <c r="AC262" i="5"/>
  <c r="Z265" i="5"/>
  <c r="AM265" i="5"/>
  <c r="I265" i="12"/>
  <c r="L265" i="5"/>
  <c r="AC265" i="5"/>
  <c r="AM413" i="5"/>
  <c r="Z413" i="5"/>
  <c r="I413" i="12"/>
  <c r="L413" i="5"/>
  <c r="AC413" i="5"/>
  <c r="I647" i="12"/>
  <c r="AM647" i="5"/>
  <c r="Z647" i="5"/>
  <c r="L647" i="5"/>
  <c r="AC647" i="5"/>
  <c r="Z249" i="5"/>
  <c r="AM249" i="5"/>
  <c r="L249" i="5"/>
  <c r="I249" i="12"/>
  <c r="AC249" i="5"/>
  <c r="Z423" i="5"/>
  <c r="I423" i="12"/>
  <c r="AM423" i="5"/>
  <c r="L423" i="5"/>
  <c r="AC423" i="5"/>
  <c r="X531" i="5"/>
  <c r="I384" i="12"/>
  <c r="L384" i="5"/>
  <c r="AM384" i="5"/>
  <c r="Z384" i="5"/>
  <c r="AC384" i="5"/>
  <c r="AM282" i="5"/>
  <c r="Z282" i="5"/>
  <c r="L282" i="5"/>
  <c r="I282" i="12"/>
  <c r="AC282" i="5"/>
  <c r="AM39" i="5"/>
  <c r="L39" i="5"/>
  <c r="C39" i="6" s="1"/>
  <c r="Z39" i="5"/>
  <c r="I39" i="12"/>
  <c r="AC39" i="5"/>
  <c r="AM210" i="5"/>
  <c r="I210" i="12"/>
  <c r="L210" i="5"/>
  <c r="Z210" i="5"/>
  <c r="AC210" i="5"/>
  <c r="Z638" i="5"/>
  <c r="I638" i="12"/>
  <c r="AM638" i="5"/>
  <c r="L638" i="5"/>
  <c r="AC638" i="5"/>
  <c r="AM324" i="5"/>
  <c r="I324" i="12"/>
  <c r="Z324" i="5"/>
  <c r="L324" i="5"/>
  <c r="AC324" i="5"/>
  <c r="AM538" i="5"/>
  <c r="L538" i="5"/>
  <c r="I538" i="12"/>
  <c r="Z538" i="5"/>
  <c r="AC538" i="5"/>
  <c r="Z328" i="5"/>
  <c r="L328" i="5"/>
  <c r="AM328" i="5"/>
  <c r="I328" i="12"/>
  <c r="AC328" i="5"/>
  <c r="Z273" i="5"/>
  <c r="AM273" i="5"/>
  <c r="I273" i="12"/>
  <c r="L273" i="5"/>
  <c r="AC273" i="5"/>
  <c r="AM326" i="5"/>
  <c r="Z326" i="5"/>
  <c r="L326" i="5"/>
  <c r="I326" i="12"/>
  <c r="AC326" i="5"/>
  <c r="L31" i="5"/>
  <c r="Z31" i="5"/>
  <c r="AM31" i="5"/>
  <c r="I31" i="12"/>
  <c r="AC31" i="5"/>
  <c r="Z339" i="5"/>
  <c r="L339" i="5"/>
  <c r="AM339" i="5"/>
  <c r="I339" i="12"/>
  <c r="AC339" i="5"/>
  <c r="L648" i="5"/>
  <c r="I648" i="12"/>
  <c r="Z648" i="5"/>
  <c r="AM648" i="5"/>
  <c r="AC648" i="5"/>
  <c r="I698" i="12"/>
  <c r="L698" i="5"/>
  <c r="Z698" i="5"/>
  <c r="AM698" i="5"/>
  <c r="AC698" i="5"/>
  <c r="I540" i="12"/>
  <c r="L540" i="5"/>
  <c r="Z540" i="5"/>
  <c r="AM540" i="5"/>
  <c r="AC540" i="5"/>
  <c r="L387" i="5"/>
  <c r="I387" i="12"/>
  <c r="AM387" i="5"/>
  <c r="Z387" i="5"/>
  <c r="AC387" i="5"/>
  <c r="Z408" i="5"/>
  <c r="AM408" i="5"/>
  <c r="L408" i="5"/>
  <c r="I408" i="12"/>
  <c r="AC408" i="5"/>
  <c r="AM519" i="5"/>
  <c r="Z519" i="5"/>
  <c r="L519" i="5"/>
  <c r="I519" i="12"/>
  <c r="AC519" i="5"/>
  <c r="AM575" i="5"/>
  <c r="Z575" i="5"/>
  <c r="L575" i="5"/>
  <c r="I575" i="12"/>
  <c r="AC575" i="5"/>
  <c r="L533" i="5"/>
  <c r="AM533" i="5"/>
  <c r="Z533" i="5"/>
  <c r="I533" i="12"/>
  <c r="AC533" i="5"/>
  <c r="Z587" i="5"/>
  <c r="I587" i="12"/>
  <c r="AM587" i="5"/>
  <c r="L587" i="5"/>
  <c r="AC587" i="5"/>
  <c r="L612" i="5"/>
  <c r="C612" i="6" s="1"/>
  <c r="I612" i="12"/>
  <c r="AM612" i="5"/>
  <c r="Z612" i="5"/>
  <c r="AC612" i="5"/>
  <c r="W52" i="8"/>
  <c r="X90" i="5"/>
  <c r="I444" i="12"/>
  <c r="L444" i="5"/>
  <c r="AM444" i="5"/>
  <c r="Z444" i="5"/>
  <c r="AC444" i="5"/>
  <c r="X437" i="5"/>
  <c r="L360" i="5"/>
  <c r="AM360" i="5"/>
  <c r="I360" i="12"/>
  <c r="Z360" i="5"/>
  <c r="AC360" i="5"/>
  <c r="L190" i="5"/>
  <c r="I190" i="12"/>
  <c r="Z190" i="5"/>
  <c r="AM190" i="5"/>
  <c r="AC190" i="5"/>
  <c r="I663" i="12"/>
  <c r="Z663" i="5"/>
  <c r="AM663" i="5"/>
  <c r="L663" i="5"/>
  <c r="AC663" i="5"/>
  <c r="I291" i="12"/>
  <c r="AM291" i="5"/>
  <c r="L291" i="5"/>
  <c r="Z291" i="5"/>
  <c r="AC291" i="5"/>
  <c r="Z610" i="5"/>
  <c r="I610" i="12"/>
  <c r="L610" i="5"/>
  <c r="AM610" i="5"/>
  <c r="AC610" i="5"/>
  <c r="Z113" i="5"/>
  <c r="AM113" i="5"/>
  <c r="L113" i="5"/>
  <c r="C113" i="6" s="1"/>
  <c r="I113" i="12"/>
  <c r="AC113" i="5"/>
  <c r="AM325" i="5"/>
  <c r="I325" i="12"/>
  <c r="L325" i="5"/>
  <c r="Z325" i="5"/>
  <c r="AC325" i="5"/>
  <c r="Z424" i="5"/>
  <c r="L424" i="5"/>
  <c r="I424" i="12"/>
  <c r="AM424" i="5"/>
  <c r="AC424" i="5"/>
  <c r="X366" i="5"/>
  <c r="Z539" i="5"/>
  <c r="I539" i="12"/>
  <c r="AM539" i="5"/>
  <c r="L539" i="5"/>
  <c r="AC539" i="5"/>
  <c r="L448" i="5"/>
  <c r="AM448" i="5"/>
  <c r="I448" i="12"/>
  <c r="Z448" i="5"/>
  <c r="AC448" i="5"/>
  <c r="I516" i="12"/>
  <c r="L516" i="5"/>
  <c r="AM516" i="5"/>
  <c r="Z516" i="5"/>
  <c r="AC516" i="5"/>
  <c r="U31" i="8"/>
  <c r="X38" i="5"/>
  <c r="AM280" i="5"/>
  <c r="I280" i="12"/>
  <c r="Z280" i="5"/>
  <c r="L280" i="5"/>
  <c r="AC280" i="5"/>
  <c r="L348" i="5"/>
  <c r="C348" i="6" s="1"/>
  <c r="Z348" i="5"/>
  <c r="I348" i="12"/>
  <c r="AM348" i="5"/>
  <c r="AC348" i="5"/>
  <c r="X641" i="5"/>
  <c r="L335" i="5"/>
  <c r="AM335" i="5"/>
  <c r="I335" i="12"/>
  <c r="Z335" i="5"/>
  <c r="AC335" i="5"/>
  <c r="Z391" i="5"/>
  <c r="AM391" i="5"/>
  <c r="L391" i="5"/>
  <c r="I391" i="12"/>
  <c r="AC391" i="5"/>
  <c r="Z676" i="5"/>
  <c r="L676" i="5"/>
  <c r="I676" i="12"/>
  <c r="AM676" i="5"/>
  <c r="AC676" i="5"/>
  <c r="Z83" i="5"/>
  <c r="I83" i="12"/>
  <c r="L83" i="5"/>
  <c r="AM83" i="5"/>
  <c r="AC83" i="5"/>
  <c r="L172" i="5"/>
  <c r="AM172" i="5"/>
  <c r="Z172" i="5"/>
  <c r="I172" i="12"/>
  <c r="AC172" i="5"/>
  <c r="X403" i="5"/>
  <c r="X629" i="5"/>
  <c r="AM440" i="5"/>
  <c r="Z440" i="5"/>
  <c r="I440" i="12"/>
  <c r="L440" i="5"/>
  <c r="AC440" i="5"/>
  <c r="Z484" i="5"/>
  <c r="L484" i="5"/>
  <c r="I484" i="12"/>
  <c r="AM484" i="5"/>
  <c r="AC484" i="5"/>
  <c r="L485" i="5"/>
  <c r="I485" i="12"/>
  <c r="AM485" i="5"/>
  <c r="Z485" i="5"/>
  <c r="AC485" i="5"/>
  <c r="Z52" i="5"/>
  <c r="AM52" i="5"/>
  <c r="L52" i="5"/>
  <c r="I52" i="12"/>
  <c r="AC52" i="5"/>
  <c r="AM55" i="5"/>
  <c r="L55" i="5"/>
  <c r="Z55" i="5"/>
  <c r="I55" i="12"/>
  <c r="AC55" i="5"/>
  <c r="X122" i="5"/>
  <c r="L80" i="5"/>
  <c r="C80" i="6" s="1"/>
  <c r="I80" i="12"/>
  <c r="Z80" i="5"/>
  <c r="AM80" i="5"/>
  <c r="AC80" i="5"/>
  <c r="Z197" i="5"/>
  <c r="I197" i="12"/>
  <c r="L197" i="5"/>
  <c r="AM197" i="5"/>
  <c r="AC197" i="5"/>
  <c r="X213" i="5"/>
  <c r="L351" i="5"/>
  <c r="I351" i="12"/>
  <c r="Z351" i="5"/>
  <c r="AM351" i="5"/>
  <c r="AC351" i="5"/>
  <c r="L68" i="5"/>
  <c r="AM68" i="5"/>
  <c r="Z68" i="5"/>
  <c r="I68" i="12"/>
  <c r="AC68" i="5"/>
  <c r="AM253" i="5"/>
  <c r="L253" i="5"/>
  <c r="Z253" i="5"/>
  <c r="I253" i="12"/>
  <c r="AC253" i="5"/>
  <c r="AM693" i="5"/>
  <c r="Z693" i="5"/>
  <c r="L693" i="5"/>
  <c r="I693" i="12"/>
  <c r="AC693" i="5"/>
  <c r="AM615" i="5"/>
  <c r="L615" i="5"/>
  <c r="Z615" i="5"/>
  <c r="I615" i="12"/>
  <c r="AC615" i="5"/>
  <c r="Z272" i="5"/>
  <c r="AM272" i="5"/>
  <c r="I272" i="12"/>
  <c r="L272" i="5"/>
  <c r="AC272" i="5"/>
  <c r="AM306" i="5"/>
  <c r="Z306" i="5"/>
  <c r="L306" i="5"/>
  <c r="I306" i="12"/>
  <c r="AC306" i="5"/>
  <c r="AM646" i="5"/>
  <c r="Z646" i="5"/>
  <c r="L646" i="5"/>
  <c r="I646" i="12"/>
  <c r="AC646" i="5"/>
  <c r="L93" i="5"/>
  <c r="I93" i="12"/>
  <c r="Z93" i="5"/>
  <c r="AM93" i="5"/>
  <c r="AC93" i="5"/>
  <c r="AM482" i="5"/>
  <c r="I482" i="12"/>
  <c r="Z482" i="5"/>
  <c r="L482" i="5"/>
  <c r="AC482" i="5"/>
  <c r="AM704" i="5"/>
  <c r="L704" i="5"/>
  <c r="Z704" i="5"/>
  <c r="I704" i="12"/>
  <c r="AC704" i="5"/>
  <c r="L417" i="5"/>
  <c r="I417" i="12"/>
  <c r="AM417" i="5"/>
  <c r="Z417" i="5"/>
  <c r="AC417" i="5"/>
  <c r="AM87" i="5"/>
  <c r="Z87" i="5"/>
  <c r="L87" i="5"/>
  <c r="I87" i="12"/>
  <c r="AC87" i="5"/>
  <c r="L708" i="5"/>
  <c r="I708" i="12"/>
  <c r="AM708" i="5"/>
  <c r="Z708" i="5"/>
  <c r="AC708" i="5"/>
  <c r="Z694" i="5"/>
  <c r="AM694" i="5"/>
  <c r="I694" i="12"/>
  <c r="L694" i="5"/>
  <c r="AC694" i="5"/>
  <c r="L372" i="5"/>
  <c r="AM372" i="5"/>
  <c r="I372" i="12"/>
  <c r="Z372" i="5"/>
  <c r="AC372" i="5"/>
  <c r="Z289" i="5"/>
  <c r="AM289" i="5"/>
  <c r="I289" i="12"/>
  <c r="L289" i="5"/>
  <c r="AC289" i="5"/>
  <c r="AM511" i="5"/>
  <c r="L511" i="5"/>
  <c r="Z511" i="5"/>
  <c r="I511" i="12"/>
  <c r="AC511" i="5"/>
  <c r="Z584" i="5"/>
  <c r="I584" i="12"/>
  <c r="L584" i="5"/>
  <c r="C584" i="6" s="1"/>
  <c r="AM584" i="5"/>
  <c r="AC584" i="5"/>
  <c r="I378" i="12"/>
  <c r="Z378" i="5"/>
  <c r="AM378" i="5"/>
  <c r="L378" i="5"/>
  <c r="AC378" i="5"/>
  <c r="L298" i="5"/>
  <c r="I298" i="12"/>
  <c r="Z298" i="5"/>
  <c r="AM298" i="5"/>
  <c r="AC298" i="5"/>
  <c r="L271" i="5"/>
  <c r="AM271" i="5"/>
  <c r="Z271" i="5"/>
  <c r="I271" i="12"/>
  <c r="AC271" i="5"/>
  <c r="Z455" i="5"/>
  <c r="L455" i="5"/>
  <c r="I455" i="12"/>
  <c r="AM455" i="5"/>
  <c r="AC455" i="5"/>
  <c r="Z275" i="5"/>
  <c r="I275" i="12"/>
  <c r="L275" i="5"/>
  <c r="AM275" i="5"/>
  <c r="AC275" i="5"/>
  <c r="Z443" i="5"/>
  <c r="I443" i="12"/>
  <c r="L443" i="5"/>
  <c r="AM443" i="5"/>
  <c r="AC443" i="5"/>
  <c r="Z303" i="5"/>
  <c r="I303" i="12"/>
  <c r="AM303" i="5"/>
  <c r="L303" i="5"/>
  <c r="AC303" i="5"/>
  <c r="Z697" i="5"/>
  <c r="AM697" i="5"/>
  <c r="L697" i="5"/>
  <c r="I697" i="12"/>
  <c r="AC697" i="5"/>
  <c r="Z88" i="5"/>
  <c r="AM88" i="5"/>
  <c r="I88" i="12"/>
  <c r="L88" i="5"/>
  <c r="AC88" i="5"/>
  <c r="V43" i="8"/>
  <c r="X64" i="5"/>
  <c r="AM112" i="5"/>
  <c r="I112" i="12"/>
  <c r="Z112" i="5"/>
  <c r="L112" i="5"/>
  <c r="AC112" i="5"/>
  <c r="AM635" i="5"/>
  <c r="I635" i="12"/>
  <c r="L635" i="5"/>
  <c r="C635" i="6" s="1"/>
  <c r="Z635" i="5"/>
  <c r="AC635" i="5"/>
  <c r="Z307" i="5"/>
  <c r="AM307" i="5"/>
  <c r="I307" i="12"/>
  <c r="L307" i="5"/>
  <c r="AC307" i="5"/>
  <c r="AM707" i="5"/>
  <c r="Z707" i="5"/>
  <c r="L707" i="5"/>
  <c r="I707" i="12"/>
  <c r="AC707" i="5"/>
  <c r="Z182" i="5"/>
  <c r="I182" i="12"/>
  <c r="L182" i="5"/>
  <c r="AM182" i="5"/>
  <c r="AC182" i="5"/>
  <c r="Z532" i="5"/>
  <c r="AM532" i="5"/>
  <c r="I532" i="12"/>
  <c r="L532" i="5"/>
  <c r="AC532" i="5"/>
  <c r="L54" i="5"/>
  <c r="AM54" i="5"/>
  <c r="I54" i="12"/>
  <c r="Z54" i="5"/>
  <c r="AC54" i="5"/>
  <c r="I497" i="12"/>
  <c r="AM497" i="5"/>
  <c r="L497" i="5"/>
  <c r="Z497" i="5"/>
  <c r="AC497" i="5"/>
  <c r="L446" i="5"/>
  <c r="Z446" i="5"/>
  <c r="AM446" i="5"/>
  <c r="I446" i="12"/>
  <c r="AC446" i="5"/>
  <c r="I345" i="12"/>
  <c r="L345" i="5"/>
  <c r="AM345" i="5"/>
  <c r="Z345" i="5"/>
  <c r="AC345" i="5"/>
  <c r="L616" i="5"/>
  <c r="I616" i="12"/>
  <c r="AM616" i="5"/>
  <c r="Z616" i="5"/>
  <c r="AC616" i="5"/>
  <c r="I548" i="12"/>
  <c r="L548" i="5"/>
  <c r="Z548" i="5"/>
  <c r="AM548" i="5"/>
  <c r="AC548" i="5"/>
  <c r="I486" i="12"/>
  <c r="AM486" i="5"/>
  <c r="Z486" i="5"/>
  <c r="L486" i="5"/>
  <c r="AC486" i="5"/>
  <c r="I709" i="12"/>
  <c r="AM709" i="5"/>
  <c r="Z709" i="5"/>
  <c r="L709" i="5"/>
  <c r="AC709" i="5"/>
  <c r="Z72" i="5"/>
  <c r="I72" i="12"/>
  <c r="AM72" i="5"/>
  <c r="L72" i="5"/>
  <c r="AC72" i="5"/>
  <c r="L542" i="5"/>
  <c r="C542" i="6" s="1"/>
  <c r="Z542" i="5"/>
  <c r="AM542" i="5"/>
  <c r="I542" i="12"/>
  <c r="AC542" i="5"/>
  <c r="I373" i="12"/>
  <c r="Z373" i="5"/>
  <c r="L373" i="5"/>
  <c r="AM373" i="5"/>
  <c r="AC373" i="5"/>
  <c r="Z263" i="5"/>
  <c r="L263" i="5"/>
  <c r="AM263" i="5"/>
  <c r="I263" i="12"/>
  <c r="AC263" i="5"/>
  <c r="Z33" i="5"/>
  <c r="AM33" i="5"/>
  <c r="L33" i="5"/>
  <c r="I33" i="12"/>
  <c r="AC33" i="5"/>
  <c r="L470" i="5"/>
  <c r="Z470" i="5"/>
  <c r="AM470" i="5"/>
  <c r="I470" i="12"/>
  <c r="AC470" i="5"/>
  <c r="Z60" i="5"/>
  <c r="I60" i="12"/>
  <c r="AM60" i="5"/>
  <c r="L60" i="5"/>
  <c r="AC60" i="5"/>
  <c r="AM321" i="5"/>
  <c r="L321" i="5"/>
  <c r="Z321" i="5"/>
  <c r="I321" i="12"/>
  <c r="AC321" i="5"/>
  <c r="Z340" i="5"/>
  <c r="AM340" i="5"/>
  <c r="I340" i="12"/>
  <c r="L340" i="5"/>
  <c r="AC340" i="5"/>
  <c r="I445" i="12"/>
  <c r="AM445" i="5"/>
  <c r="L445" i="5"/>
  <c r="Z445" i="5"/>
  <c r="AC445" i="5"/>
  <c r="L274" i="5"/>
  <c r="I274" i="12"/>
  <c r="AM274" i="5"/>
  <c r="Z274" i="5"/>
  <c r="AC274" i="5"/>
  <c r="X67" i="8"/>
  <c r="X111" i="5"/>
  <c r="W61" i="8"/>
  <c r="X102" i="5"/>
  <c r="Z521" i="5"/>
  <c r="I521" i="12"/>
  <c r="AM521" i="5"/>
  <c r="L521" i="5"/>
  <c r="AC521" i="5"/>
  <c r="L392" i="5"/>
  <c r="I392" i="12"/>
  <c r="AM392" i="5"/>
  <c r="Z392" i="5"/>
  <c r="AC392" i="5"/>
  <c r="I356" i="12"/>
  <c r="Z356" i="5"/>
  <c r="L356" i="5"/>
  <c r="AM356" i="5"/>
  <c r="AC356" i="5"/>
  <c r="AM684" i="5"/>
  <c r="I684" i="12"/>
  <c r="L684" i="5"/>
  <c r="Z684" i="5"/>
  <c r="AC684" i="5"/>
  <c r="I528" i="12"/>
  <c r="AM528" i="5"/>
  <c r="L528" i="5"/>
  <c r="Z528" i="5"/>
  <c r="AC528" i="5"/>
  <c r="L726" i="5"/>
  <c r="C726" i="6" s="1"/>
  <c r="AM726" i="5"/>
  <c r="I726" i="12"/>
  <c r="Z726" i="5"/>
  <c r="AC726" i="5"/>
  <c r="Z546" i="5"/>
  <c r="I546" i="12"/>
  <c r="L546" i="5"/>
  <c r="AM546" i="5"/>
  <c r="AC546" i="5"/>
  <c r="X473" i="5"/>
  <c r="AC175" i="8"/>
  <c r="X509" i="5"/>
  <c r="X301" i="5"/>
  <c r="L430" i="5"/>
  <c r="I430" i="12"/>
  <c r="Z430" i="5"/>
  <c r="AM430" i="5"/>
  <c r="AC430" i="5"/>
  <c r="I332" i="12"/>
  <c r="L332" i="5"/>
  <c r="AM332" i="5"/>
  <c r="Z332" i="5"/>
  <c r="AC332" i="5"/>
  <c r="AM412" i="5"/>
  <c r="Z412" i="5"/>
  <c r="L412" i="5"/>
  <c r="I412" i="12"/>
  <c r="AC412" i="5"/>
  <c r="I688" i="12"/>
  <c r="AM688" i="5"/>
  <c r="L688" i="5"/>
  <c r="Z688" i="5"/>
  <c r="AC688" i="5"/>
  <c r="AM257" i="5"/>
  <c r="Z257" i="5"/>
  <c r="L257" i="5"/>
  <c r="I257" i="12"/>
  <c r="AC257" i="5"/>
  <c r="L67" i="5"/>
  <c r="I67" i="12"/>
  <c r="Z67" i="5"/>
  <c r="AM67" i="5"/>
  <c r="AC67" i="5"/>
  <c r="AM363" i="5"/>
  <c r="I363" i="12"/>
  <c r="L363" i="5"/>
  <c r="Z363" i="5"/>
  <c r="AC363" i="5"/>
  <c r="X58" i="5"/>
  <c r="V40" i="8"/>
  <c r="X82" i="5"/>
  <c r="W49" i="8"/>
  <c r="AM583" i="5"/>
  <c r="L583" i="5"/>
  <c r="Z583" i="5"/>
  <c r="I583" i="12"/>
  <c r="AC583" i="5"/>
  <c r="I201" i="12"/>
  <c r="Z201" i="5"/>
  <c r="AM201" i="5"/>
  <c r="L201" i="5"/>
  <c r="AC201" i="5"/>
  <c r="Z524" i="5"/>
  <c r="I524" i="12"/>
  <c r="L524" i="5"/>
  <c r="AM524" i="5"/>
  <c r="AC524" i="5"/>
  <c r="L251" i="5"/>
  <c r="I251" i="12"/>
  <c r="AM251" i="5"/>
  <c r="Z251" i="5"/>
  <c r="AC251" i="5"/>
  <c r="AM361" i="5"/>
  <c r="L361" i="5"/>
  <c r="I361" i="12"/>
  <c r="Z361" i="5"/>
  <c r="AC361" i="5"/>
  <c r="U28" i="8"/>
  <c r="X30" i="5"/>
  <c r="L555" i="5"/>
  <c r="I555" i="12"/>
  <c r="AM555" i="5"/>
  <c r="Z555" i="5"/>
  <c r="AC555" i="5"/>
  <c r="Z331" i="5"/>
  <c r="I331" i="12"/>
  <c r="L331" i="5"/>
  <c r="AM331" i="5"/>
  <c r="AC331" i="5"/>
  <c r="X222" i="5"/>
  <c r="L346" i="5"/>
  <c r="Z346" i="5"/>
  <c r="I346" i="12"/>
  <c r="AM346" i="5"/>
  <c r="AC346" i="5"/>
  <c r="X713" i="5"/>
  <c r="AB115" i="8"/>
  <c r="X246" i="5"/>
  <c r="AM435" i="5"/>
  <c r="Z435" i="5"/>
  <c r="I435" i="12"/>
  <c r="L435" i="5"/>
  <c r="C435" i="6" s="1"/>
  <c r="AC435" i="5"/>
  <c r="L388" i="5"/>
  <c r="Z388" i="5"/>
  <c r="AM388" i="5"/>
  <c r="I388" i="12"/>
  <c r="AC388" i="5"/>
  <c r="Z362" i="5"/>
  <c r="I362" i="12"/>
  <c r="L362" i="5"/>
  <c r="AM362" i="5"/>
  <c r="AC362" i="5"/>
  <c r="AM525" i="5"/>
  <c r="Z525" i="5"/>
  <c r="I525" i="12"/>
  <c r="L525" i="5"/>
  <c r="C525" i="6" s="1"/>
  <c r="AC525" i="5"/>
  <c r="AM703" i="5"/>
  <c r="L703" i="5"/>
  <c r="I703" i="12"/>
  <c r="Z703" i="5"/>
  <c r="AC703" i="5"/>
  <c r="I304" i="12"/>
  <c r="AM304" i="5"/>
  <c r="Z304" i="5"/>
  <c r="L304" i="5"/>
  <c r="AC304" i="5"/>
  <c r="Z108" i="5"/>
  <c r="L108" i="5"/>
  <c r="I108" i="12"/>
  <c r="AM108" i="5"/>
  <c r="AC108" i="5"/>
  <c r="Z699" i="5"/>
  <c r="L699" i="5"/>
  <c r="I699" i="12"/>
  <c r="AM699" i="5"/>
  <c r="AC699" i="5"/>
  <c r="AM705" i="5"/>
  <c r="I705" i="12"/>
  <c r="L705" i="5"/>
  <c r="Z705" i="5"/>
  <c r="AC705" i="5"/>
  <c r="L123" i="5"/>
  <c r="C123" i="6" s="1"/>
  <c r="Z123" i="5"/>
  <c r="AM123" i="5"/>
  <c r="I123" i="12"/>
  <c r="AC123" i="5"/>
  <c r="Z308" i="5"/>
  <c r="I308" i="12"/>
  <c r="L308" i="5"/>
  <c r="AM308" i="5"/>
  <c r="AC308" i="5"/>
  <c r="L50" i="5"/>
  <c r="Z50" i="5"/>
  <c r="I50" i="12"/>
  <c r="AM50" i="5"/>
  <c r="AC50" i="5"/>
  <c r="AM522" i="5"/>
  <c r="L522" i="5"/>
  <c r="I522" i="12"/>
  <c r="Z522" i="5"/>
  <c r="AC522" i="5"/>
  <c r="Z276" i="5"/>
  <c r="L276" i="5"/>
  <c r="I276" i="12"/>
  <c r="AM276" i="5"/>
  <c r="AC276" i="5"/>
  <c r="AM318" i="5"/>
  <c r="I318" i="12"/>
  <c r="L318" i="5"/>
  <c r="C318" i="6" s="1"/>
  <c r="Z318" i="5"/>
  <c r="AC318" i="5"/>
  <c r="AM211" i="5"/>
  <c r="Z211" i="5"/>
  <c r="I211" i="12"/>
  <c r="L211" i="5"/>
  <c r="C211" i="6" s="1"/>
  <c r="AC211" i="5"/>
  <c r="I219" i="12"/>
  <c r="L219" i="5"/>
  <c r="Z219" i="5"/>
  <c r="AM219" i="5"/>
  <c r="AC219" i="5"/>
  <c r="Z250" i="5"/>
  <c r="AM250" i="5"/>
  <c r="I250" i="12"/>
  <c r="L250" i="5"/>
  <c r="AC250" i="5"/>
  <c r="Z260" i="5"/>
  <c r="I260" i="12"/>
  <c r="AM260" i="5"/>
  <c r="L260" i="5"/>
  <c r="AC260" i="5"/>
  <c r="AM645" i="5"/>
  <c r="Z645" i="5"/>
  <c r="I645" i="12"/>
  <c r="L645" i="5"/>
  <c r="AC645" i="5"/>
  <c r="Z410" i="5"/>
  <c r="AM410" i="5"/>
  <c r="I410" i="12"/>
  <c r="L410" i="5"/>
  <c r="AC410" i="5"/>
  <c r="Z617" i="5"/>
  <c r="I617" i="12"/>
  <c r="AM617" i="5"/>
  <c r="L617" i="5"/>
  <c r="AC617" i="5"/>
  <c r="L609" i="5"/>
  <c r="Z609" i="5"/>
  <c r="AM609" i="5"/>
  <c r="I609" i="12"/>
  <c r="AC609" i="5"/>
  <c r="L488" i="5"/>
  <c r="I488" i="12"/>
  <c r="AM488" i="5"/>
  <c r="Z488" i="5"/>
  <c r="AC488" i="5"/>
  <c r="L315" i="5"/>
  <c r="C315" i="6" s="1"/>
  <c r="AM315" i="5"/>
  <c r="Z315" i="5"/>
  <c r="I315" i="12"/>
  <c r="AC315" i="5"/>
  <c r="X104" i="5"/>
  <c r="L586" i="5"/>
  <c r="I586" i="12"/>
  <c r="Z586" i="5"/>
  <c r="AM586" i="5"/>
  <c r="AC586" i="5"/>
  <c r="AD223" i="8"/>
  <c r="X655" i="5"/>
  <c r="AM309" i="5"/>
  <c r="Z309" i="5"/>
  <c r="I309" i="12"/>
  <c r="L309" i="5"/>
  <c r="AC309" i="5"/>
  <c r="I552" i="12"/>
  <c r="L552" i="5"/>
  <c r="AM552" i="5"/>
  <c r="Z552" i="5"/>
  <c r="AC552" i="5"/>
  <c r="AM495" i="5"/>
  <c r="I495" i="12"/>
  <c r="L495" i="5"/>
  <c r="Z495" i="5"/>
  <c r="AC495" i="5"/>
  <c r="AM290" i="5"/>
  <c r="I290" i="12"/>
  <c r="Z290" i="5"/>
  <c r="L290" i="5"/>
  <c r="AC290" i="5"/>
  <c r="I689" i="12"/>
  <c r="AM689" i="5"/>
  <c r="L689" i="5"/>
  <c r="Z689" i="5"/>
  <c r="AC689" i="5"/>
  <c r="AB106" i="8"/>
  <c r="X231" i="5"/>
  <c r="AM53" i="5"/>
  <c r="Z53" i="5"/>
  <c r="L53" i="5"/>
  <c r="I53" i="12"/>
  <c r="AC53" i="5"/>
  <c r="Z377" i="5"/>
  <c r="AM377" i="5"/>
  <c r="I377" i="12"/>
  <c r="L377" i="5"/>
  <c r="AC377" i="5"/>
  <c r="Z425" i="5"/>
  <c r="L425" i="5"/>
  <c r="AM425" i="5"/>
  <c r="I425" i="12"/>
  <c r="AC425" i="5"/>
  <c r="Z358" i="5"/>
  <c r="AM358" i="5"/>
  <c r="L358" i="5"/>
  <c r="I358" i="12"/>
  <c r="AC358" i="5"/>
  <c r="I181" i="12"/>
  <c r="AM181" i="5"/>
  <c r="L181" i="5"/>
  <c r="Z181" i="5"/>
  <c r="AC181" i="5"/>
  <c r="L252" i="5"/>
  <c r="AM252" i="5"/>
  <c r="I252" i="12"/>
  <c r="Z252" i="5"/>
  <c r="AC252" i="5"/>
  <c r="Z611" i="5"/>
  <c r="I611" i="12"/>
  <c r="AM611" i="5"/>
  <c r="L611" i="5"/>
  <c r="AC611" i="5"/>
  <c r="I70" i="12"/>
  <c r="Z70" i="5"/>
  <c r="L70" i="5"/>
  <c r="AM70" i="5"/>
  <c r="AC70" i="5"/>
  <c r="X97" i="5"/>
  <c r="W58" i="8"/>
  <c r="AM582" i="5"/>
  <c r="I582" i="12"/>
  <c r="Z582" i="5"/>
  <c r="L582" i="5"/>
  <c r="AC582" i="5"/>
  <c r="Z174" i="5"/>
  <c r="L174" i="5"/>
  <c r="AM174" i="5"/>
  <c r="I174" i="12"/>
  <c r="AC174" i="5"/>
  <c r="L407" i="5"/>
  <c r="AM407" i="5"/>
  <c r="Z407" i="5"/>
  <c r="I407" i="12"/>
  <c r="AC407" i="5"/>
  <c r="X286" i="5"/>
  <c r="AB121" i="8"/>
  <c r="Z299" i="5"/>
  <c r="L299" i="5"/>
  <c r="C299" i="6" s="1"/>
  <c r="AM299" i="5"/>
  <c r="I299" i="12"/>
  <c r="AC299" i="5"/>
  <c r="AM95" i="5"/>
  <c r="Z95" i="5"/>
  <c r="L95" i="5"/>
  <c r="C95" i="6" s="1"/>
  <c r="I95" i="12"/>
  <c r="AC95" i="5"/>
  <c r="Z450" i="5"/>
  <c r="I450" i="12"/>
  <c r="AM450" i="5"/>
  <c r="L450" i="5"/>
  <c r="AC450" i="5"/>
  <c r="Z94" i="5"/>
  <c r="AM94" i="5"/>
  <c r="I94" i="12"/>
  <c r="L94" i="5"/>
  <c r="AC94" i="5"/>
  <c r="AM426" i="5"/>
  <c r="I426" i="12"/>
  <c r="Z426" i="5"/>
  <c r="L426" i="5"/>
  <c r="AC426" i="5"/>
  <c r="L534" i="5"/>
  <c r="C534" i="6" s="1"/>
  <c r="AM534" i="5"/>
  <c r="I534" i="12"/>
  <c r="Z534" i="5"/>
  <c r="AC534" i="5"/>
  <c r="AM574" i="5"/>
  <c r="Z574" i="5"/>
  <c r="I574" i="12"/>
  <c r="L574" i="5"/>
  <c r="AC574" i="5"/>
  <c r="AM322" i="5"/>
  <c r="I322" i="12"/>
  <c r="L322" i="5"/>
  <c r="Z322" i="5"/>
  <c r="AC322" i="5"/>
  <c r="L270" i="5"/>
  <c r="AM270" i="5"/>
  <c r="Z270" i="5"/>
  <c r="I270" i="12"/>
  <c r="AC270" i="5"/>
  <c r="X248" i="5"/>
  <c r="L175" i="5"/>
  <c r="C175" i="6" s="1"/>
  <c r="Z175" i="5"/>
  <c r="AM175" i="5"/>
  <c r="I175" i="12"/>
  <c r="AC175" i="5"/>
  <c r="L310" i="5"/>
  <c r="C310" i="6" s="1"/>
  <c r="I310" i="12"/>
  <c r="AM310" i="5"/>
  <c r="Z310" i="5"/>
  <c r="AC310" i="5"/>
  <c r="L278" i="5"/>
  <c r="Z278" i="5"/>
  <c r="AM278" i="5"/>
  <c r="I278" i="12"/>
  <c r="AC278" i="5"/>
  <c r="I254" i="12"/>
  <c r="AM254" i="5"/>
  <c r="L254" i="5"/>
  <c r="Z254" i="5"/>
  <c r="AC254" i="5"/>
  <c r="I549" i="12"/>
  <c r="L549" i="5"/>
  <c r="AM549" i="5"/>
  <c r="Z549" i="5"/>
  <c r="AC549" i="5"/>
  <c r="AM368" i="5"/>
  <c r="Z368" i="5"/>
  <c r="L368" i="5"/>
  <c r="I368" i="12"/>
  <c r="AC368" i="5"/>
  <c r="I342" i="12"/>
  <c r="L342" i="5"/>
  <c r="AM342" i="5"/>
  <c r="Z342" i="5"/>
  <c r="AC342" i="5"/>
  <c r="I266" i="12"/>
  <c r="AM266" i="5"/>
  <c r="L266" i="5"/>
  <c r="Z266" i="5"/>
  <c r="AC266" i="5"/>
  <c r="AD205" i="8"/>
  <c r="X614" i="5"/>
  <c r="L62" i="5"/>
  <c r="C62" i="6" s="1"/>
  <c r="I62" i="12"/>
  <c r="AM62" i="5"/>
  <c r="Z62" i="5"/>
  <c r="AC62" i="5"/>
  <c r="L264" i="5"/>
  <c r="I264" i="12"/>
  <c r="AM264" i="5"/>
  <c r="Z264" i="5"/>
  <c r="AC264" i="5"/>
  <c r="I202" i="12"/>
  <c r="AM202" i="5"/>
  <c r="L202" i="5"/>
  <c r="Z202" i="5"/>
  <c r="AC202" i="5"/>
  <c r="Z690" i="5"/>
  <c r="I690" i="12"/>
  <c r="AM690" i="5"/>
  <c r="L690" i="5"/>
  <c r="AC690" i="5"/>
  <c r="Z475" i="5"/>
  <c r="L475" i="5"/>
  <c r="C475" i="6" s="1"/>
  <c r="AM475" i="5"/>
  <c r="I475" i="12"/>
  <c r="AC475" i="5"/>
  <c r="AM302" i="5"/>
  <c r="Z302" i="5"/>
  <c r="I302" i="12"/>
  <c r="L302" i="5"/>
  <c r="AC302" i="5"/>
  <c r="X605" i="5"/>
  <c r="AM125" i="5"/>
  <c r="L125" i="5"/>
  <c r="C125" i="6" s="1"/>
  <c r="I125" i="12"/>
  <c r="Z125" i="5"/>
  <c r="AC125" i="5"/>
  <c r="Z171" i="5"/>
  <c r="AM171" i="5"/>
  <c r="I171" i="12"/>
  <c r="L171" i="5"/>
  <c r="AC171" i="5"/>
  <c r="AM517" i="5"/>
  <c r="I517" i="12"/>
  <c r="Z517" i="5"/>
  <c r="L517" i="5"/>
  <c r="AC517" i="5"/>
  <c r="AC154" i="8"/>
  <c r="X419" i="5"/>
  <c r="L529" i="5"/>
  <c r="I529" i="12"/>
  <c r="AM529" i="5"/>
  <c r="Z529" i="5"/>
  <c r="AC529" i="5"/>
  <c r="I45" i="12"/>
  <c r="AM45" i="5"/>
  <c r="L45" i="5"/>
  <c r="Z45" i="5"/>
  <c r="AC45" i="5"/>
  <c r="X354" i="5"/>
  <c r="AC142" i="8"/>
  <c r="L512" i="5"/>
  <c r="AM512" i="5"/>
  <c r="I512" i="12"/>
  <c r="Z512" i="5"/>
  <c r="AC512" i="5"/>
  <c r="L674" i="5"/>
  <c r="AM674" i="5"/>
  <c r="Z674" i="5"/>
  <c r="I674" i="12"/>
  <c r="AC674" i="5"/>
  <c r="AM514" i="5"/>
  <c r="Z514" i="5"/>
  <c r="L514" i="5"/>
  <c r="I514" i="12"/>
  <c r="AC514" i="5"/>
  <c r="Z66" i="5"/>
  <c r="I66" i="12"/>
  <c r="AM66" i="5"/>
  <c r="L66" i="5"/>
  <c r="AC66" i="5"/>
  <c r="I34" i="12"/>
  <c r="L34" i="5"/>
  <c r="AM34" i="5"/>
  <c r="Z34" i="5"/>
  <c r="AC34" i="5"/>
  <c r="AM44" i="5"/>
  <c r="L44" i="5"/>
  <c r="Z44" i="5"/>
  <c r="I44" i="12"/>
  <c r="AC44" i="5"/>
  <c r="L483" i="5"/>
  <c r="I483" i="12"/>
  <c r="Z483" i="5"/>
  <c r="AM483" i="5"/>
  <c r="AC483" i="5"/>
  <c r="I98" i="12"/>
  <c r="AM98" i="5"/>
  <c r="Z98" i="5"/>
  <c r="L98" i="5"/>
  <c r="AC98" i="5"/>
  <c r="AM255" i="5"/>
  <c r="L255" i="5"/>
  <c r="I255" i="12"/>
  <c r="Z255" i="5"/>
  <c r="AC255" i="5"/>
  <c r="AM427" i="5"/>
  <c r="Z427" i="5"/>
  <c r="I427" i="12"/>
  <c r="L427" i="5"/>
  <c r="C427" i="6" s="1"/>
  <c r="AC427" i="5"/>
  <c r="AE259" i="8"/>
  <c r="X725" i="5"/>
  <c r="Z558" i="5"/>
  <c r="L558" i="5"/>
  <c r="C558" i="6" s="1"/>
  <c r="I558" i="12"/>
  <c r="AM558" i="5"/>
  <c r="AC558" i="5"/>
  <c r="AM56" i="5"/>
  <c r="L56" i="5"/>
  <c r="Z56" i="5"/>
  <c r="I56" i="12"/>
  <c r="AC56" i="5"/>
  <c r="AM692" i="5"/>
  <c r="I692" i="12"/>
  <c r="Z692" i="5"/>
  <c r="L692" i="5"/>
  <c r="AC692" i="5"/>
  <c r="I268" i="12"/>
  <c r="Z268" i="5"/>
  <c r="L268" i="5"/>
  <c r="AM268" i="5"/>
  <c r="AC268" i="5"/>
  <c r="Z593" i="5"/>
  <c r="L593" i="5"/>
  <c r="I593" i="12"/>
  <c r="AM593" i="5"/>
  <c r="AC593" i="5"/>
  <c r="L84" i="5"/>
  <c r="AM84" i="5"/>
  <c r="Z84" i="5"/>
  <c r="I84" i="12"/>
  <c r="AC84" i="5"/>
  <c r="I685" i="12"/>
  <c r="L685" i="5"/>
  <c r="C685" i="6" s="1"/>
  <c r="Z685" i="5"/>
  <c r="AM685" i="5"/>
  <c r="AC685" i="5"/>
  <c r="I420" i="12"/>
  <c r="Z420" i="5"/>
  <c r="AM420" i="5"/>
  <c r="L420" i="5"/>
  <c r="C420" i="6" s="1"/>
  <c r="AC420" i="5"/>
  <c r="AE235" i="8"/>
  <c r="X683" i="5"/>
  <c r="I100" i="12"/>
  <c r="Z100" i="5"/>
  <c r="AM100" i="5"/>
  <c r="L100" i="5"/>
  <c r="C100" i="6" s="1"/>
  <c r="AC100" i="5"/>
  <c r="Z334" i="5"/>
  <c r="I334" i="12"/>
  <c r="AM334" i="5"/>
  <c r="L334" i="5"/>
  <c r="AC334" i="5"/>
  <c r="I26" i="12"/>
  <c r="L26" i="5"/>
  <c r="AM26" i="5"/>
  <c r="Z26" i="5"/>
  <c r="AC26" i="5"/>
  <c r="L329" i="5"/>
  <c r="Z329" i="5"/>
  <c r="AM329" i="5"/>
  <c r="I329" i="12"/>
  <c r="AC329" i="5"/>
  <c r="I541" i="12"/>
  <c r="AM541" i="5"/>
  <c r="L541" i="5"/>
  <c r="Z541" i="5"/>
  <c r="AC541" i="5"/>
  <c r="AB133" i="8"/>
  <c r="X317" i="5"/>
  <c r="Z287" i="5"/>
  <c r="L287" i="5"/>
  <c r="AM287" i="5"/>
  <c r="I287" i="12"/>
  <c r="AC287" i="5"/>
  <c r="L364" i="5"/>
  <c r="C364" i="6" s="1"/>
  <c r="AM364" i="5"/>
  <c r="Z364" i="5"/>
  <c r="I364" i="12"/>
  <c r="AC364" i="5"/>
  <c r="I65" i="12"/>
  <c r="Z65" i="5"/>
  <c r="AM65" i="5"/>
  <c r="L65" i="5"/>
  <c r="AC65" i="5"/>
  <c r="AE244" i="8"/>
  <c r="X702" i="5"/>
  <c r="I209" i="12"/>
  <c r="L209" i="5"/>
  <c r="Z209" i="5"/>
  <c r="AM209" i="5"/>
  <c r="AC209" i="5"/>
  <c r="I333" i="12"/>
  <c r="Z333" i="5"/>
  <c r="L333" i="5"/>
  <c r="AM333" i="5"/>
  <c r="AC333" i="5"/>
  <c r="AM352" i="5"/>
  <c r="Z352" i="5"/>
  <c r="L352" i="5"/>
  <c r="C352" i="6" s="1"/>
  <c r="I352" i="12"/>
  <c r="AC352" i="5"/>
  <c r="L513" i="5"/>
  <c r="I513" i="12"/>
  <c r="AM513" i="5"/>
  <c r="Z513" i="5"/>
  <c r="AC513" i="5"/>
  <c r="L468" i="5"/>
  <c r="Z468" i="5"/>
  <c r="AM468" i="5"/>
  <c r="I468" i="12"/>
  <c r="AC468" i="5"/>
  <c r="AM43" i="5"/>
  <c r="I43" i="12"/>
  <c r="Z43" i="5"/>
  <c r="L43" i="5"/>
  <c r="AC43" i="5"/>
  <c r="AE238" i="8"/>
  <c r="X687" i="5"/>
  <c r="AM59" i="5"/>
  <c r="I59" i="12"/>
  <c r="L59" i="5"/>
  <c r="Z59" i="5"/>
  <c r="AC59" i="5"/>
  <c r="I547" i="12"/>
  <c r="Z547" i="5"/>
  <c r="AM547" i="5"/>
  <c r="L547" i="5"/>
  <c r="AC547" i="5"/>
  <c r="AM589" i="5"/>
  <c r="Z589" i="5"/>
  <c r="L589" i="5"/>
  <c r="I589" i="12"/>
  <c r="AC589" i="5"/>
  <c r="I504" i="12"/>
  <c r="L504" i="5"/>
  <c r="Z504" i="5"/>
  <c r="AM504" i="5"/>
  <c r="AC504" i="5"/>
  <c r="Z330" i="5"/>
  <c r="I330" i="12"/>
  <c r="L330" i="5"/>
  <c r="AM330" i="5"/>
  <c r="AC330" i="5"/>
  <c r="L337" i="5"/>
  <c r="C337" i="6" s="1"/>
  <c r="AM337" i="5"/>
  <c r="Z337" i="5"/>
  <c r="I337" i="12"/>
  <c r="AC337" i="5"/>
  <c r="AM399" i="5"/>
  <c r="Z399" i="5"/>
  <c r="I399" i="12"/>
  <c r="L399" i="5"/>
  <c r="AC399" i="5"/>
  <c r="I520" i="12"/>
  <c r="AM520" i="5"/>
  <c r="Z520" i="5"/>
  <c r="L520" i="5"/>
  <c r="AC520" i="5"/>
  <c r="AM367" i="5"/>
  <c r="I367" i="12"/>
  <c r="L367" i="5"/>
  <c r="Z367" i="5"/>
  <c r="AC367" i="5"/>
  <c r="AM42" i="5"/>
  <c r="Z42" i="5"/>
  <c r="L42" i="5"/>
  <c r="I42" i="12"/>
  <c r="AC42" i="5"/>
  <c r="Z105" i="5"/>
  <c r="AM105" i="5"/>
  <c r="L105" i="5"/>
  <c r="I105" i="12"/>
  <c r="AC105" i="5"/>
  <c r="I203" i="12"/>
  <c r="L203" i="5"/>
  <c r="Z203" i="5"/>
  <c r="AM203" i="5"/>
  <c r="AC203" i="5"/>
  <c r="Z305" i="5"/>
  <c r="I305" i="12"/>
  <c r="L305" i="5"/>
  <c r="AM305" i="5"/>
  <c r="AC305" i="5"/>
  <c r="L406" i="5"/>
  <c r="I406" i="12"/>
  <c r="AM406" i="5"/>
  <c r="Z406" i="5"/>
  <c r="AC406" i="5"/>
  <c r="X581" i="5"/>
  <c r="L380" i="5"/>
  <c r="Z380" i="5"/>
  <c r="I380" i="12"/>
  <c r="AM380" i="5"/>
  <c r="AC380" i="5"/>
  <c r="X92" i="5"/>
  <c r="W55" i="8"/>
  <c r="L279" i="5"/>
  <c r="AM279" i="5"/>
  <c r="I279" i="12"/>
  <c r="Z279" i="5"/>
  <c r="AC279" i="5"/>
  <c r="AM35" i="5"/>
  <c r="L35" i="5"/>
  <c r="Z35" i="5"/>
  <c r="I35" i="12"/>
  <c r="AC35" i="5"/>
  <c r="L369" i="5"/>
  <c r="C369" i="6" s="1"/>
  <c r="AM369" i="5"/>
  <c r="I369" i="12"/>
  <c r="Z369" i="5"/>
  <c r="AC369" i="5"/>
  <c r="I451" i="12"/>
  <c r="AM451" i="5"/>
  <c r="Z451" i="5"/>
  <c r="L451" i="5"/>
  <c r="AC451" i="5"/>
  <c r="Z375" i="5"/>
  <c r="L375" i="5"/>
  <c r="AM375" i="5"/>
  <c r="I375" i="12"/>
  <c r="AC375" i="5"/>
  <c r="AM429" i="5"/>
  <c r="Z429" i="5"/>
  <c r="I429" i="12"/>
  <c r="L429" i="5"/>
  <c r="AC429" i="5"/>
  <c r="AM73" i="5"/>
  <c r="L73" i="5"/>
  <c r="C73" i="6" s="1"/>
  <c r="Z73" i="5"/>
  <c r="I73" i="12"/>
  <c r="AC73" i="5"/>
  <c r="AM554" i="5"/>
  <c r="I554" i="12"/>
  <c r="L554" i="5"/>
  <c r="Z554" i="5"/>
  <c r="AC554" i="5"/>
  <c r="L545" i="5"/>
  <c r="AM545" i="5"/>
  <c r="Z545" i="5"/>
  <c r="I545" i="12"/>
  <c r="AC545" i="5"/>
  <c r="Z355" i="5"/>
  <c r="AM355" i="5"/>
  <c r="L355" i="5"/>
  <c r="I355" i="12"/>
  <c r="AC355" i="5"/>
  <c r="L86" i="5"/>
  <c r="AM86" i="5"/>
  <c r="Z86" i="5"/>
  <c r="I86" i="12"/>
  <c r="AC86" i="5"/>
  <c r="Z341" i="5"/>
  <c r="I341" i="12"/>
  <c r="L341" i="5"/>
  <c r="AM341" i="5"/>
  <c r="AC341" i="5"/>
  <c r="Z664" i="5"/>
  <c r="AM664" i="5"/>
  <c r="I664" i="12"/>
  <c r="L664" i="5"/>
  <c r="AC664" i="5"/>
  <c r="Z51" i="5"/>
  <c r="L51" i="5"/>
  <c r="I51" i="12"/>
  <c r="AM51" i="5"/>
  <c r="AC51" i="5"/>
  <c r="AM442" i="5"/>
  <c r="Z442" i="5"/>
  <c r="I442" i="12"/>
  <c r="L442" i="5"/>
  <c r="AC442" i="5"/>
  <c r="I706" i="12"/>
  <c r="AM706" i="5"/>
  <c r="L706" i="5"/>
  <c r="Z706" i="5"/>
  <c r="AC706" i="5"/>
  <c r="X527" i="5"/>
  <c r="AC178" i="8"/>
  <c r="AM515" i="5"/>
  <c r="Z515" i="5"/>
  <c r="L515" i="5"/>
  <c r="I515" i="12"/>
  <c r="AC515" i="5"/>
  <c r="Z267" i="5"/>
  <c r="AM267" i="5"/>
  <c r="L267" i="5"/>
  <c r="I267" i="12"/>
  <c r="AC267" i="5"/>
  <c r="L553" i="5"/>
  <c r="AM553" i="5"/>
  <c r="Z553" i="5"/>
  <c r="I553" i="12"/>
  <c r="AC553" i="5"/>
  <c r="X608" i="5"/>
  <c r="AD202" i="8"/>
  <c r="Z336" i="5"/>
  <c r="AM336" i="5"/>
  <c r="I336" i="12"/>
  <c r="L336" i="5"/>
  <c r="AC336" i="5"/>
  <c r="Z720" i="5"/>
  <c r="I720" i="12"/>
  <c r="AM720" i="5"/>
  <c r="L720" i="5"/>
  <c r="C720" i="6" s="1"/>
  <c r="AC720" i="5"/>
  <c r="AM71" i="5"/>
  <c r="Z71" i="5"/>
  <c r="I71" i="12"/>
  <c r="L71" i="5"/>
  <c r="AC71" i="5"/>
  <c r="L536" i="5"/>
  <c r="Z536" i="5"/>
  <c r="AM536" i="5"/>
  <c r="I536" i="12"/>
  <c r="AC536" i="5"/>
  <c r="U37" i="8"/>
  <c r="X48" i="5"/>
  <c r="I662" i="12"/>
  <c r="L662" i="5"/>
  <c r="Z662" i="5"/>
  <c r="AM662" i="5"/>
  <c r="AC662" i="5"/>
  <c r="AM374" i="5"/>
  <c r="I374" i="12"/>
  <c r="Z374" i="5"/>
  <c r="L374" i="5"/>
  <c r="AC374" i="5"/>
  <c r="AG117" i="5"/>
  <c r="AG22" i="5"/>
  <c r="AG138" i="5"/>
  <c r="AG136" i="5"/>
  <c r="AG173" i="5"/>
  <c r="AG198" i="5"/>
  <c r="AG259" i="5"/>
  <c r="AG376" i="5"/>
  <c r="AG465" i="5"/>
  <c r="AG620" i="5"/>
  <c r="AG621" i="5"/>
  <c r="AG644" i="5"/>
  <c r="AG678" i="5"/>
  <c r="AG649" i="5"/>
  <c r="AG680" i="5"/>
  <c r="AG681" i="5"/>
  <c r="AG535" i="5"/>
  <c r="AG141" i="5"/>
  <c r="AG148" i="5"/>
  <c r="AG20" i="5"/>
  <c r="AG225" i="5"/>
  <c r="AG205" i="5"/>
  <c r="AG395" i="5"/>
  <c r="AG241" i="5"/>
  <c r="AG240" i="5"/>
  <c r="AG236" i="5"/>
  <c r="AG409" i="5"/>
  <c r="AG480" i="5"/>
  <c r="AG462" i="5"/>
  <c r="AG569" i="5"/>
  <c r="AG603" i="5"/>
  <c r="AG642" i="5"/>
  <c r="AG667" i="5"/>
  <c r="AG677" i="5"/>
  <c r="AG657" i="5"/>
  <c r="AG118" i="5"/>
  <c r="AG200" i="5"/>
  <c r="AG467" i="5"/>
  <c r="AG597" i="5"/>
  <c r="AG115" i="5"/>
  <c r="AG127" i="5"/>
  <c r="AG166" i="5"/>
  <c r="AG189" i="5"/>
  <c r="AG170" i="5"/>
  <c r="AG204" i="5"/>
  <c r="AG216" i="5"/>
  <c r="AG192" i="5"/>
  <c r="AG294" i="5"/>
  <c r="AG397" i="5"/>
  <c r="AG438" i="5"/>
  <c r="AG459" i="5"/>
  <c r="AG400" i="5"/>
  <c r="AG496" i="5"/>
  <c r="AG568" i="5"/>
  <c r="AG599" i="5"/>
  <c r="AG594" i="5"/>
  <c r="AG665" i="5"/>
  <c r="AG625" i="5"/>
  <c r="AG670" i="5"/>
  <c r="AG21" i="5"/>
  <c r="AG592" i="5"/>
  <c r="AG154" i="5"/>
  <c r="AG159" i="5"/>
  <c r="AG144" i="5"/>
  <c r="AG168" i="5"/>
  <c r="AG179" i="5"/>
  <c r="AG161" i="5"/>
  <c r="AG371" i="5"/>
  <c r="AG296" i="5"/>
  <c r="AG456" i="5"/>
  <c r="AG493" i="5"/>
  <c r="AG471" i="5"/>
  <c r="AG477" i="5"/>
  <c r="AG461" i="5"/>
  <c r="AG600" i="5"/>
  <c r="AG501" i="5"/>
  <c r="AG560" i="5"/>
  <c r="AG561" i="5"/>
  <c r="AG639" i="5"/>
  <c r="AG606" i="5"/>
  <c r="AG570" i="5"/>
  <c r="AG651" i="5"/>
  <c r="AG478" i="5"/>
  <c r="AG723" i="5"/>
  <c r="AG675" i="5"/>
  <c r="AG132" i="5"/>
  <c r="AG137" i="5"/>
  <c r="AG153" i="5"/>
  <c r="AG157" i="5"/>
  <c r="AG196" i="5"/>
  <c r="AG347" i="5"/>
  <c r="AG393" i="5"/>
  <c r="AG343" i="5"/>
  <c r="AG381" i="5"/>
  <c r="AG463" i="5"/>
  <c r="AG458" i="5"/>
  <c r="AG432" i="5"/>
  <c r="AG434" i="5"/>
  <c r="AG507" i="5"/>
  <c r="AG564" i="5"/>
  <c r="AG579" i="5"/>
  <c r="AG650" i="5"/>
  <c r="AG573" i="5"/>
  <c r="AG673" i="5"/>
  <c r="AG716" i="5"/>
  <c r="AG185" i="5"/>
  <c r="AG672" i="5"/>
  <c r="AG717" i="5"/>
  <c r="AG394" i="5"/>
  <c r="AG719" i="5"/>
  <c r="AG131" i="5"/>
  <c r="AG146" i="5"/>
  <c r="AG135" i="5"/>
  <c r="AG220" i="5"/>
  <c r="AG217" i="5"/>
  <c r="AG223" i="5"/>
  <c r="AG165" i="5"/>
  <c r="AG78" i="5"/>
  <c r="AG283" i="5"/>
  <c r="AG235" i="5"/>
  <c r="AG239" i="5"/>
  <c r="AG242" i="5"/>
  <c r="AG401" i="5"/>
  <c r="AG487" i="5"/>
  <c r="AG714" i="5"/>
  <c r="AG107" i="5"/>
  <c r="AG469" i="5"/>
  <c r="AG506" i="5"/>
  <c r="AG718" i="5"/>
  <c r="AG130" i="5"/>
  <c r="AG312" i="5"/>
  <c r="AG653" i="5"/>
  <c r="AG576" i="5"/>
  <c r="AG120" i="5"/>
  <c r="AG145" i="5"/>
  <c r="AG164" i="5"/>
  <c r="AG186" i="5"/>
  <c r="AG180" i="5"/>
  <c r="AG187" i="5"/>
  <c r="AG208" i="5"/>
  <c r="AG194" i="5"/>
  <c r="AG238" i="5"/>
  <c r="AG234" i="5"/>
  <c r="AG311" i="5"/>
  <c r="AG389" i="5"/>
  <c r="AG431" i="5"/>
  <c r="AG464" i="5"/>
  <c r="AG454" i="5"/>
  <c r="AG215" i="5"/>
  <c r="AG503" i="5"/>
  <c r="AG588" i="5"/>
  <c r="AG596" i="5"/>
  <c r="AG601" i="5"/>
  <c r="AG577" i="5"/>
  <c r="AG572" i="5"/>
  <c r="AG666" i="5"/>
  <c r="AG632" i="5"/>
  <c r="AG722" i="5"/>
  <c r="AG162" i="5"/>
  <c r="AG338" i="5"/>
  <c r="AG18" i="5"/>
  <c r="AG156" i="5"/>
  <c r="AG150" i="5"/>
  <c r="AG147" i="5"/>
  <c r="AG119" i="5"/>
  <c r="AG142" i="5"/>
  <c r="AG207" i="5"/>
  <c r="AG191" i="5"/>
  <c r="AG178" i="5"/>
  <c r="AG163" i="5"/>
  <c r="AG195" i="5"/>
  <c r="AG297" i="5"/>
  <c r="AG370" i="5"/>
  <c r="AG385" i="5"/>
  <c r="AG227" i="5"/>
  <c r="AG281" i="5"/>
  <c r="AG344" i="5"/>
  <c r="AG441" i="5"/>
  <c r="AG405" i="5"/>
  <c r="AG474" i="5"/>
  <c r="AG466" i="5"/>
  <c r="AG559" i="5"/>
  <c r="AG562" i="5"/>
  <c r="AG500" i="5"/>
  <c r="AG502" i="5"/>
  <c r="AG498" i="5"/>
  <c r="AG633" i="5"/>
  <c r="AG494" i="5"/>
  <c r="AG624" i="5"/>
  <c r="AG658" i="5"/>
  <c r="AG449" i="5"/>
  <c r="AG578" i="5"/>
  <c r="AG133" i="5"/>
  <c r="AG129" i="5"/>
  <c r="AG124" i="5"/>
  <c r="AG149" i="5"/>
  <c r="AG177" i="5"/>
  <c r="AG711" i="5"/>
  <c r="AG160" i="5"/>
  <c r="AG224" i="5"/>
  <c r="AG218" i="5"/>
  <c r="AG226" i="5"/>
  <c r="AG79" i="5"/>
  <c r="AG244" i="5"/>
  <c r="AG383" i="5"/>
  <c r="AG314" i="5"/>
  <c r="AG433" i="5"/>
  <c r="AG457" i="5"/>
  <c r="AG623" i="5"/>
  <c r="AG598" i="5"/>
  <c r="AG602" i="5"/>
  <c r="AG585" i="5"/>
  <c r="AG630" i="5"/>
  <c r="AG491" i="5"/>
  <c r="AG481" i="5"/>
  <c r="AG679" i="5"/>
  <c r="AG27" i="5"/>
  <c r="AG151" i="5"/>
  <c r="AG139" i="5"/>
  <c r="AG128" i="5"/>
  <c r="AG193" i="5"/>
  <c r="AG188" i="5"/>
  <c r="AG76" i="5"/>
  <c r="AG243" i="5"/>
  <c r="AG229" i="5"/>
  <c r="AG411" i="5"/>
  <c r="AG571" i="5"/>
  <c r="AG563" i="5"/>
  <c r="AG566" i="5"/>
  <c r="AG631" i="5"/>
  <c r="AG492" i="5"/>
  <c r="AG669" i="5"/>
  <c r="AG659" i="5"/>
  <c r="AG627" i="5"/>
  <c r="AG116" i="5"/>
  <c r="AG143" i="5"/>
  <c r="AG140" i="5"/>
  <c r="AG158" i="5"/>
  <c r="AG206" i="5"/>
  <c r="AG167" i="5"/>
  <c r="AG77" i="5"/>
  <c r="AG386" i="5"/>
  <c r="AG228" i="5"/>
  <c r="AG284" i="5"/>
  <c r="AG428" i="5"/>
  <c r="AG565" i="5"/>
  <c r="AG652" i="5"/>
  <c r="AG637" i="5"/>
  <c r="AG671" i="5"/>
  <c r="AG452" i="5"/>
  <c r="U452" i="5" l="1"/>
  <c r="U671" i="5"/>
  <c r="U637" i="5"/>
  <c r="U652" i="5"/>
  <c r="U565" i="5"/>
  <c r="U428" i="5"/>
  <c r="U284" i="5"/>
  <c r="U228" i="5"/>
  <c r="U386" i="5"/>
  <c r="U77" i="5"/>
  <c r="U167" i="5"/>
  <c r="U206" i="5"/>
  <c r="U158" i="5"/>
  <c r="U140" i="5"/>
  <c r="U143" i="5"/>
  <c r="U116" i="5"/>
  <c r="U627" i="5"/>
  <c r="U659" i="5"/>
  <c r="U669" i="5"/>
  <c r="U492" i="5"/>
  <c r="U631" i="5"/>
  <c r="U566" i="5"/>
  <c r="U563" i="5"/>
  <c r="U571" i="5"/>
  <c r="U411" i="5"/>
  <c r="U229" i="5"/>
  <c r="U243" i="5"/>
  <c r="U76" i="5"/>
  <c r="U188" i="5"/>
  <c r="U193" i="5"/>
  <c r="U128" i="5"/>
  <c r="U139" i="5"/>
  <c r="U151" i="5"/>
  <c r="U27" i="5"/>
  <c r="U679" i="5"/>
  <c r="U481" i="5"/>
  <c r="U491" i="5"/>
  <c r="U630" i="5"/>
  <c r="U585" i="5"/>
  <c r="U602" i="5"/>
  <c r="U598" i="5"/>
  <c r="U623" i="5"/>
  <c r="U457" i="5"/>
  <c r="U433" i="5"/>
  <c r="U314" i="5"/>
  <c r="U383" i="5"/>
  <c r="U244" i="5"/>
  <c r="U79" i="5"/>
  <c r="U226" i="5"/>
  <c r="U218" i="5"/>
  <c r="U224" i="5"/>
  <c r="U160" i="5"/>
  <c r="U711" i="5"/>
  <c r="U177" i="5"/>
  <c r="U149" i="5"/>
  <c r="U124" i="5"/>
  <c r="U129" i="5"/>
  <c r="U133" i="5"/>
  <c r="U578" i="5"/>
  <c r="U449" i="5"/>
  <c r="U658" i="5"/>
  <c r="U624" i="5"/>
  <c r="U494" i="5"/>
  <c r="U633" i="5"/>
  <c r="U498" i="5"/>
  <c r="U502" i="5"/>
  <c r="U500" i="5"/>
  <c r="U562" i="5"/>
  <c r="U559" i="5"/>
  <c r="U466" i="5"/>
  <c r="U474" i="5"/>
  <c r="U405" i="5"/>
  <c r="U441" i="5"/>
  <c r="U344" i="5"/>
  <c r="U281" i="5"/>
  <c r="U227" i="5"/>
  <c r="U385" i="5"/>
  <c r="U370" i="5"/>
  <c r="U297" i="5"/>
  <c r="U195" i="5"/>
  <c r="U163" i="5"/>
  <c r="U178" i="5"/>
  <c r="U191" i="5"/>
  <c r="U207" i="5"/>
  <c r="U142" i="5"/>
  <c r="U119" i="5"/>
  <c r="U147" i="5"/>
  <c r="U150" i="5"/>
  <c r="U156" i="5"/>
  <c r="U18" i="5"/>
  <c r="U338" i="5"/>
  <c r="U162" i="5"/>
  <c r="U722" i="5"/>
  <c r="U632" i="5"/>
  <c r="U666" i="5"/>
  <c r="U572" i="5"/>
  <c r="U577" i="5"/>
  <c r="U601" i="5"/>
  <c r="U596" i="5"/>
  <c r="U588" i="5"/>
  <c r="U503" i="5"/>
  <c r="U215" i="5"/>
  <c r="U454" i="5"/>
  <c r="U464" i="5"/>
  <c r="U431" i="5"/>
  <c r="U389" i="5"/>
  <c r="U311" i="5"/>
  <c r="U234" i="5"/>
  <c r="U238" i="5"/>
  <c r="U194" i="5"/>
  <c r="U208" i="5"/>
  <c r="U187" i="5"/>
  <c r="U180" i="5"/>
  <c r="U186" i="5"/>
  <c r="U164" i="5"/>
  <c r="U145" i="5"/>
  <c r="U120" i="5"/>
  <c r="U576" i="5"/>
  <c r="U653" i="5"/>
  <c r="U312" i="5"/>
  <c r="U130" i="5"/>
  <c r="U718" i="5"/>
  <c r="U506" i="5"/>
  <c r="U469" i="5"/>
  <c r="U107" i="5"/>
  <c r="U714" i="5"/>
  <c r="U487" i="5"/>
  <c r="U401" i="5"/>
  <c r="U242" i="5"/>
  <c r="U239" i="5"/>
  <c r="U235" i="5"/>
  <c r="U283" i="5"/>
  <c r="U78" i="5"/>
  <c r="U165" i="5"/>
  <c r="U223" i="5"/>
  <c r="U217" i="5"/>
  <c r="U220" i="5"/>
  <c r="U135" i="5"/>
  <c r="U146" i="5"/>
  <c r="U131" i="5"/>
  <c r="U719" i="5"/>
  <c r="U394" i="5"/>
  <c r="U717" i="5"/>
  <c r="U672" i="5"/>
  <c r="U185" i="5"/>
  <c r="U716" i="5"/>
  <c r="U673" i="5"/>
  <c r="U573" i="5"/>
  <c r="U650" i="5"/>
  <c r="U579" i="5"/>
  <c r="U564" i="5"/>
  <c r="U507" i="5"/>
  <c r="U434" i="5"/>
  <c r="U432" i="5"/>
  <c r="U458" i="5"/>
  <c r="U463" i="5"/>
  <c r="U381" i="5"/>
  <c r="U343" i="5"/>
  <c r="U393" i="5"/>
  <c r="U347" i="5"/>
  <c r="U196" i="5"/>
  <c r="U157" i="5"/>
  <c r="U153" i="5"/>
  <c r="U137" i="5"/>
  <c r="U132" i="5"/>
  <c r="U675" i="5"/>
  <c r="U723" i="5"/>
  <c r="U478" i="5"/>
  <c r="U651" i="5"/>
  <c r="U570" i="5"/>
  <c r="U606" i="5"/>
  <c r="U639" i="5"/>
  <c r="U561" i="5"/>
  <c r="U560" i="5"/>
  <c r="U501" i="5"/>
  <c r="U600" i="5"/>
  <c r="U461" i="5"/>
  <c r="U477" i="5"/>
  <c r="U471" i="5"/>
  <c r="U493" i="5"/>
  <c r="U456" i="5"/>
  <c r="U296" i="5"/>
  <c r="U371" i="5"/>
  <c r="U161" i="5"/>
  <c r="U179" i="5"/>
  <c r="U168" i="5"/>
  <c r="U144" i="5"/>
  <c r="U159" i="5"/>
  <c r="U154" i="5"/>
  <c r="U592" i="5"/>
  <c r="U21" i="5"/>
  <c r="U670" i="5"/>
  <c r="U625" i="5"/>
  <c r="U665" i="5"/>
  <c r="U594" i="5"/>
  <c r="U599" i="5"/>
  <c r="U568" i="5"/>
  <c r="U496" i="5"/>
  <c r="U400" i="5"/>
  <c r="U459" i="5"/>
  <c r="U438" i="5"/>
  <c r="U397" i="5"/>
  <c r="U294" i="5"/>
  <c r="U192" i="5"/>
  <c r="U216" i="5"/>
  <c r="U204" i="5"/>
  <c r="U170" i="5"/>
  <c r="U189" i="5"/>
  <c r="U166" i="5"/>
  <c r="U127" i="5"/>
  <c r="U115" i="5"/>
  <c r="U597" i="5"/>
  <c r="U467" i="5"/>
  <c r="U200" i="5"/>
  <c r="U118" i="5"/>
  <c r="U657" i="5"/>
  <c r="U677" i="5"/>
  <c r="U667" i="5"/>
  <c r="U642" i="5"/>
  <c r="U603" i="5"/>
  <c r="U569" i="5"/>
  <c r="U462" i="5"/>
  <c r="U480" i="5"/>
  <c r="U409" i="5"/>
  <c r="U236" i="5"/>
  <c r="U240" i="5"/>
  <c r="U241" i="5"/>
  <c r="U395" i="5"/>
  <c r="U205" i="5"/>
  <c r="U225" i="5"/>
  <c r="U20" i="5"/>
  <c r="U148" i="5"/>
  <c r="U141" i="5"/>
  <c r="U535" i="5"/>
  <c r="U681" i="5"/>
  <c r="U680" i="5"/>
  <c r="U649" i="5"/>
  <c r="U678" i="5"/>
  <c r="U644" i="5"/>
  <c r="U621" i="5"/>
  <c r="U620" i="5"/>
  <c r="U465" i="5"/>
  <c r="U376" i="5"/>
  <c r="U259" i="5"/>
  <c r="U198" i="5"/>
  <c r="U173" i="5"/>
  <c r="U136" i="5"/>
  <c r="U138" i="5"/>
  <c r="U22" i="5"/>
  <c r="U117" i="5"/>
  <c r="AB181" i="5"/>
  <c r="AB435" i="5"/>
  <c r="C332" i="6"/>
  <c r="C378" i="6"/>
  <c r="AB693" i="5"/>
  <c r="C83" i="6"/>
  <c r="C610" i="6"/>
  <c r="M336" i="12"/>
  <c r="O336" i="12"/>
  <c r="C336" i="12"/>
  <c r="AO336" i="12"/>
  <c r="Y336" i="12" s="1"/>
  <c r="C267" i="12"/>
  <c r="AO267" i="12"/>
  <c r="M267" i="12"/>
  <c r="O267" i="12"/>
  <c r="AB706" i="5"/>
  <c r="O51" i="12"/>
  <c r="C51" i="12"/>
  <c r="M51" i="12"/>
  <c r="AO51" i="12"/>
  <c r="C341" i="6"/>
  <c r="AB355" i="5"/>
  <c r="M73" i="12"/>
  <c r="C73" i="12"/>
  <c r="AO73" i="12"/>
  <c r="Y73" i="12" s="1"/>
  <c r="O73" i="12"/>
  <c r="C279" i="6"/>
  <c r="AB406" i="5"/>
  <c r="AB203" i="5"/>
  <c r="C330" i="6"/>
  <c r="C589" i="6"/>
  <c r="AB468" i="5"/>
  <c r="C287" i="12"/>
  <c r="O287" i="12"/>
  <c r="M287" i="12"/>
  <c r="AO287" i="12"/>
  <c r="C334" i="6"/>
  <c r="AO268" i="12"/>
  <c r="O268" i="12"/>
  <c r="C268" i="12"/>
  <c r="M268" i="12"/>
  <c r="AB255" i="5"/>
  <c r="AB483" i="5"/>
  <c r="O34" i="12"/>
  <c r="C34" i="12"/>
  <c r="AO34" i="12"/>
  <c r="M34" i="12"/>
  <c r="AO674" i="12"/>
  <c r="M674" i="12"/>
  <c r="O674" i="12"/>
  <c r="C674" i="12"/>
  <c r="AB45" i="5"/>
  <c r="C517" i="6"/>
  <c r="M202" i="12"/>
  <c r="AO202" i="12"/>
  <c r="C202" i="12"/>
  <c r="O202" i="12"/>
  <c r="AM614" i="5"/>
  <c r="I614" i="5"/>
  <c r="I615" i="5" s="1"/>
  <c r="I616" i="5" s="1"/>
  <c r="I617" i="5" s="1"/>
  <c r="I618" i="5" s="1"/>
  <c r="I619" i="5" s="1"/>
  <c r="X613" i="5"/>
  <c r="Z614" i="5"/>
  <c r="I614" i="12"/>
  <c r="L614" i="5"/>
  <c r="AC614" i="5"/>
  <c r="C342" i="6"/>
  <c r="AB310" i="5"/>
  <c r="C574" i="6"/>
  <c r="AO426" i="12"/>
  <c r="M426" i="12"/>
  <c r="C426" i="12"/>
  <c r="O426" i="12"/>
  <c r="AB450" i="5"/>
  <c r="C174" i="6"/>
  <c r="AB70" i="5"/>
  <c r="AB53" i="5"/>
  <c r="M290" i="12"/>
  <c r="AO290" i="12"/>
  <c r="C290" i="12"/>
  <c r="O290" i="12"/>
  <c r="AO488" i="12"/>
  <c r="C488" i="12"/>
  <c r="O488" i="12"/>
  <c r="M488" i="12"/>
  <c r="C260" i="6"/>
  <c r="C219" i="6"/>
  <c r="C123" i="12"/>
  <c r="M123" i="12"/>
  <c r="O123" i="12"/>
  <c r="AO123" i="12"/>
  <c r="C699" i="6"/>
  <c r="C362" i="6"/>
  <c r="C435" i="12"/>
  <c r="O435" i="12"/>
  <c r="M435" i="12"/>
  <c r="AO435" i="12"/>
  <c r="Y435" i="12" s="1"/>
  <c r="C346" i="6"/>
  <c r="C555" i="6"/>
  <c r="C251" i="6"/>
  <c r="AO583" i="12"/>
  <c r="M583" i="12"/>
  <c r="O583" i="12"/>
  <c r="C583" i="12"/>
  <c r="AB688" i="5"/>
  <c r="C274" i="6"/>
  <c r="AB340" i="5"/>
  <c r="C263" i="12"/>
  <c r="O263" i="12"/>
  <c r="M263" i="12"/>
  <c r="AO263" i="12"/>
  <c r="M542" i="12"/>
  <c r="C542" i="12"/>
  <c r="AO542" i="12"/>
  <c r="O542" i="12"/>
  <c r="O548" i="12"/>
  <c r="N548" i="12" s="1"/>
  <c r="C548" i="12"/>
  <c r="AO548" i="12"/>
  <c r="M548" i="12"/>
  <c r="AB697" i="5"/>
  <c r="AB511" i="5"/>
  <c r="C372" i="6"/>
  <c r="C87" i="12"/>
  <c r="AO87" i="12"/>
  <c r="O87" i="12"/>
  <c r="M87" i="12"/>
  <c r="C704" i="6"/>
  <c r="C693" i="6"/>
  <c r="C68" i="6"/>
  <c r="M197" i="12"/>
  <c r="C197" i="12"/>
  <c r="AO197" i="12"/>
  <c r="O197" i="12"/>
  <c r="C55" i="6"/>
  <c r="C485" i="6"/>
  <c r="M391" i="12"/>
  <c r="AO391" i="12"/>
  <c r="O391" i="12"/>
  <c r="C391" i="12"/>
  <c r="AB424" i="5"/>
  <c r="C360" i="6"/>
  <c r="AB612" i="5"/>
  <c r="AB533" i="5"/>
  <c r="AB519" i="5"/>
  <c r="O387" i="12"/>
  <c r="M387" i="12"/>
  <c r="AO387" i="12"/>
  <c r="C387" i="12"/>
  <c r="C698" i="12"/>
  <c r="O698" i="12"/>
  <c r="AO698" i="12"/>
  <c r="M698" i="12"/>
  <c r="C273" i="6"/>
  <c r="AO538" i="12"/>
  <c r="C538" i="12"/>
  <c r="O538" i="12"/>
  <c r="M538" i="12"/>
  <c r="AB638" i="5"/>
  <c r="C396" i="6"/>
  <c r="AB32" i="5"/>
  <c r="Z661" i="5"/>
  <c r="L661" i="5"/>
  <c r="AM661" i="5"/>
  <c r="I661" i="12"/>
  <c r="AC661" i="5"/>
  <c r="AB69" i="5"/>
  <c r="C691" i="12"/>
  <c r="M691" i="12"/>
  <c r="O691" i="12"/>
  <c r="AO691" i="12"/>
  <c r="O106" i="12"/>
  <c r="M106" i="12"/>
  <c r="C106" i="12"/>
  <c r="AO106" i="12"/>
  <c r="C460" i="12"/>
  <c r="O460" i="12"/>
  <c r="M460" i="12"/>
  <c r="AO460" i="12"/>
  <c r="C557" i="6"/>
  <c r="C327" i="12"/>
  <c r="AO327" i="12"/>
  <c r="O327" i="12"/>
  <c r="M327" i="12"/>
  <c r="C537" i="6"/>
  <c r="C505" i="12"/>
  <c r="AO505" i="12"/>
  <c r="Y505" i="12" s="1"/>
  <c r="O505" i="12"/>
  <c r="M505" i="12"/>
  <c r="C550" i="12"/>
  <c r="AO550" i="12"/>
  <c r="M550" i="12"/>
  <c r="O550" i="12"/>
  <c r="AB99" i="5"/>
  <c r="M261" i="12"/>
  <c r="C261" i="12"/>
  <c r="AO261" i="12"/>
  <c r="O261" i="12"/>
  <c r="AB390" i="5"/>
  <c r="AB73" i="5"/>
  <c r="C468" i="6"/>
  <c r="C45" i="6"/>
  <c r="AM104" i="5"/>
  <c r="I104" i="5"/>
  <c r="I105" i="5" s="1"/>
  <c r="I106" i="5" s="1"/>
  <c r="I104" i="12"/>
  <c r="Z104" i="5"/>
  <c r="L104" i="5"/>
  <c r="AC104" i="5"/>
  <c r="AB703" i="5"/>
  <c r="C272" i="6"/>
  <c r="AB505" i="5"/>
  <c r="AB662" i="5"/>
  <c r="C71" i="12"/>
  <c r="AO71" i="12"/>
  <c r="O71" i="12"/>
  <c r="M71" i="12"/>
  <c r="AB336" i="5"/>
  <c r="AB51" i="5"/>
  <c r="AB341" i="5"/>
  <c r="AO545" i="12"/>
  <c r="Y545" i="12" s="1"/>
  <c r="C545" i="12"/>
  <c r="O545" i="12"/>
  <c r="M545" i="12"/>
  <c r="AB375" i="5"/>
  <c r="I92" i="5"/>
  <c r="I93" i="5" s="1"/>
  <c r="I94" i="5" s="1"/>
  <c r="I95" i="5" s="1"/>
  <c r="O95" i="5" s="1"/>
  <c r="Z92" i="5"/>
  <c r="L92" i="5"/>
  <c r="X91" i="5"/>
  <c r="AM92" i="5"/>
  <c r="I92" i="12"/>
  <c r="AC92" i="5"/>
  <c r="C406" i="12"/>
  <c r="M406" i="12"/>
  <c r="AO406" i="12"/>
  <c r="O406" i="12"/>
  <c r="O203" i="12"/>
  <c r="M203" i="12"/>
  <c r="AO203" i="12"/>
  <c r="C203" i="12"/>
  <c r="AB367" i="5"/>
  <c r="M399" i="12"/>
  <c r="C399" i="12"/>
  <c r="O399" i="12"/>
  <c r="AO399" i="12"/>
  <c r="AB330" i="5"/>
  <c r="C333" i="6"/>
  <c r="C65" i="6"/>
  <c r="C287" i="6"/>
  <c r="M334" i="12"/>
  <c r="O334" i="12"/>
  <c r="C334" i="12"/>
  <c r="AO334" i="12"/>
  <c r="AB420" i="5"/>
  <c r="C692" i="6"/>
  <c r="C255" i="6"/>
  <c r="C483" i="6"/>
  <c r="C66" i="6"/>
  <c r="AO517" i="12"/>
  <c r="O517" i="12"/>
  <c r="N517" i="12" s="1"/>
  <c r="M517" i="12"/>
  <c r="C517" i="12"/>
  <c r="C254" i="6"/>
  <c r="C310" i="12"/>
  <c r="M310" i="12"/>
  <c r="O310" i="12"/>
  <c r="AO310" i="12"/>
  <c r="C270" i="12"/>
  <c r="AO270" i="12"/>
  <c r="Y270" i="12" s="1"/>
  <c r="O270" i="12"/>
  <c r="M270" i="12"/>
  <c r="AB574" i="5"/>
  <c r="AO95" i="12"/>
  <c r="M95" i="12"/>
  <c r="O95" i="12"/>
  <c r="C95" i="12"/>
  <c r="C181" i="6"/>
  <c r="AB425" i="5"/>
  <c r="X230" i="5"/>
  <c r="I231" i="12"/>
  <c r="I231" i="5"/>
  <c r="I232" i="5" s="1"/>
  <c r="O232" i="5" s="1"/>
  <c r="L231" i="5"/>
  <c r="AM231" i="5"/>
  <c r="Z231" i="5"/>
  <c r="AC231" i="5"/>
  <c r="C309" i="12"/>
  <c r="M309" i="12"/>
  <c r="AO309" i="12"/>
  <c r="O309" i="12"/>
  <c r="C410" i="6"/>
  <c r="O260" i="12"/>
  <c r="M260" i="12"/>
  <c r="AO260" i="12"/>
  <c r="C260" i="12"/>
  <c r="AO50" i="12"/>
  <c r="C50" i="12"/>
  <c r="O50" i="12"/>
  <c r="M50" i="12"/>
  <c r="AB123" i="5"/>
  <c r="AO703" i="12"/>
  <c r="O703" i="12"/>
  <c r="M703" i="12"/>
  <c r="C703" i="12"/>
  <c r="AB362" i="5"/>
  <c r="Z222" i="5"/>
  <c r="AM222" i="5"/>
  <c r="I222" i="5"/>
  <c r="L222" i="5"/>
  <c r="I222" i="12"/>
  <c r="AC222" i="5"/>
  <c r="C583" i="6"/>
  <c r="M332" i="12"/>
  <c r="C332" i="12"/>
  <c r="O332" i="12"/>
  <c r="AO332" i="12"/>
  <c r="Z473" i="5"/>
  <c r="I473" i="12"/>
  <c r="L473" i="5"/>
  <c r="AM473" i="5"/>
  <c r="I473" i="5"/>
  <c r="AC473" i="5"/>
  <c r="AB528" i="5"/>
  <c r="AB356" i="5"/>
  <c r="AB521" i="5"/>
  <c r="M321" i="12"/>
  <c r="O321" i="12"/>
  <c r="C321" i="12"/>
  <c r="AO321" i="12"/>
  <c r="C263" i="6"/>
  <c r="AB542" i="5"/>
  <c r="AB616" i="5"/>
  <c r="AO446" i="12"/>
  <c r="M446" i="12"/>
  <c r="O446" i="12"/>
  <c r="C446" i="12"/>
  <c r="O54" i="12"/>
  <c r="C54" i="12"/>
  <c r="M54" i="12"/>
  <c r="AO54" i="12"/>
  <c r="Y54" i="12" s="1"/>
  <c r="M182" i="12"/>
  <c r="O182" i="12"/>
  <c r="C182" i="12"/>
  <c r="AO182" i="12"/>
  <c r="C303" i="6"/>
  <c r="C271" i="12"/>
  <c r="AO271" i="12"/>
  <c r="M271" i="12"/>
  <c r="O271" i="12"/>
  <c r="C694" i="6"/>
  <c r="AB87" i="5"/>
  <c r="M646" i="12"/>
  <c r="C646" i="12"/>
  <c r="O646" i="12"/>
  <c r="AO646" i="12"/>
  <c r="AO272" i="12"/>
  <c r="M272" i="12"/>
  <c r="C272" i="12"/>
  <c r="O272" i="12"/>
  <c r="AM629" i="5"/>
  <c r="I629" i="12"/>
  <c r="I629" i="5"/>
  <c r="L629" i="5"/>
  <c r="Z629" i="5"/>
  <c r="AC629" i="5"/>
  <c r="C83" i="12"/>
  <c r="M83" i="12"/>
  <c r="AO83" i="12"/>
  <c r="O83" i="12"/>
  <c r="O348" i="12"/>
  <c r="C348" i="12"/>
  <c r="AO348" i="12"/>
  <c r="M348" i="12"/>
  <c r="AB516" i="5"/>
  <c r="C539" i="6"/>
  <c r="AB325" i="5"/>
  <c r="O610" i="12"/>
  <c r="AO610" i="12"/>
  <c r="C610" i="12"/>
  <c r="M610" i="12"/>
  <c r="AO663" i="12"/>
  <c r="M663" i="12"/>
  <c r="O663" i="12"/>
  <c r="C663" i="12"/>
  <c r="I437" i="12"/>
  <c r="L437" i="5"/>
  <c r="I437" i="5"/>
  <c r="AM437" i="5"/>
  <c r="Z437" i="5"/>
  <c r="AC437" i="5"/>
  <c r="AO612" i="12"/>
  <c r="C612" i="12"/>
  <c r="O612" i="12"/>
  <c r="M612" i="12"/>
  <c r="C533" i="6"/>
  <c r="AO282" i="12"/>
  <c r="C282" i="12"/>
  <c r="M282" i="12"/>
  <c r="O282" i="12"/>
  <c r="C647" i="6"/>
  <c r="C265" i="6"/>
  <c r="AB404" i="5"/>
  <c r="AB518" i="5"/>
  <c r="M46" i="12"/>
  <c r="O46" i="12"/>
  <c r="C46" i="12"/>
  <c r="AO46" i="12"/>
  <c r="C510" i="12"/>
  <c r="AO510" i="12"/>
  <c r="O510" i="12"/>
  <c r="M510" i="12"/>
  <c r="AB277" i="5"/>
  <c r="C69" i="6"/>
  <c r="C691" i="6"/>
  <c r="AB460" i="5"/>
  <c r="AM416" i="5"/>
  <c r="I416" i="5"/>
  <c r="I417" i="5" s="1"/>
  <c r="I418" i="5" s="1"/>
  <c r="X415" i="5"/>
  <c r="Z416" i="5"/>
  <c r="I416" i="12"/>
  <c r="L416" i="5"/>
  <c r="AC416" i="5"/>
  <c r="AB214" i="5"/>
  <c r="C313" i="6"/>
  <c r="AB622" i="5"/>
  <c r="C382" i="12"/>
  <c r="AO382" i="12"/>
  <c r="M382" i="12"/>
  <c r="O382" i="12"/>
  <c r="O232" i="12"/>
  <c r="C232" i="12"/>
  <c r="AO232" i="12"/>
  <c r="M232" i="12"/>
  <c r="O323" i="12"/>
  <c r="AO323" i="12"/>
  <c r="C323" i="12"/>
  <c r="M323" i="12"/>
  <c r="O439" i="12"/>
  <c r="M439" i="12"/>
  <c r="AO439" i="12"/>
  <c r="C439" i="12"/>
  <c r="C505" i="6"/>
  <c r="AB523" i="5"/>
  <c r="C71" i="6"/>
  <c r="AO341" i="12"/>
  <c r="O341" i="12"/>
  <c r="M341" i="12"/>
  <c r="C341" i="12"/>
  <c r="Z687" i="5"/>
  <c r="X686" i="5"/>
  <c r="I687" i="12"/>
  <c r="L687" i="5"/>
  <c r="I687" i="5"/>
  <c r="I688" i="5" s="1"/>
  <c r="I689" i="5" s="1"/>
  <c r="I690" i="5" s="1"/>
  <c r="I691" i="5" s="1"/>
  <c r="I692" i="5" s="1"/>
  <c r="I693" i="5" s="1"/>
  <c r="I694" i="5" s="1"/>
  <c r="I695" i="5" s="1"/>
  <c r="I696" i="5" s="1"/>
  <c r="I697" i="5" s="1"/>
  <c r="I698" i="5" s="1"/>
  <c r="I699" i="5" s="1"/>
  <c r="I700" i="5" s="1"/>
  <c r="I701" i="5" s="1"/>
  <c r="I702" i="5" s="1"/>
  <c r="I703" i="5" s="1"/>
  <c r="I704" i="5" s="1"/>
  <c r="I705" i="5" s="1"/>
  <c r="I706" i="5" s="1"/>
  <c r="I707" i="5" s="1"/>
  <c r="I708" i="5" s="1"/>
  <c r="I709" i="5" s="1"/>
  <c r="I710" i="5" s="1"/>
  <c r="AM687" i="5"/>
  <c r="AC687" i="5"/>
  <c r="M558" i="12"/>
  <c r="O558" i="12"/>
  <c r="C558" i="12"/>
  <c r="AO558" i="12"/>
  <c r="AM286" i="5"/>
  <c r="X285" i="5"/>
  <c r="L286" i="5"/>
  <c r="I286" i="12"/>
  <c r="Z286" i="5"/>
  <c r="I286" i="5"/>
  <c r="I287" i="5" s="1"/>
  <c r="I288" i="5" s="1"/>
  <c r="I289" i="5" s="1"/>
  <c r="I290" i="5" s="1"/>
  <c r="I291" i="5" s="1"/>
  <c r="I292" i="5" s="1"/>
  <c r="O292" i="5" s="1"/>
  <c r="AC286" i="5"/>
  <c r="C309" i="6"/>
  <c r="M219" i="12"/>
  <c r="C219" i="12"/>
  <c r="O219" i="12"/>
  <c r="AO219" i="12"/>
  <c r="M362" i="12"/>
  <c r="AO362" i="12"/>
  <c r="O362" i="12"/>
  <c r="C362" i="12"/>
  <c r="C182" i="6"/>
  <c r="C87" i="6"/>
  <c r="AO31" i="12"/>
  <c r="M31" i="12"/>
  <c r="C31" i="12"/>
  <c r="O31" i="12"/>
  <c r="C537" i="12"/>
  <c r="AO537" i="12"/>
  <c r="M537" i="12"/>
  <c r="O537" i="12"/>
  <c r="N537" i="12" s="1"/>
  <c r="C662" i="6"/>
  <c r="AB71" i="5"/>
  <c r="AB267" i="5"/>
  <c r="M706" i="12"/>
  <c r="AO706" i="12"/>
  <c r="Y706" i="12" s="1"/>
  <c r="O706" i="12"/>
  <c r="C706" i="12"/>
  <c r="AB545" i="5"/>
  <c r="AO35" i="12"/>
  <c r="O35" i="12"/>
  <c r="M35" i="12"/>
  <c r="C35" i="12"/>
  <c r="C406" i="6"/>
  <c r="C367" i="6"/>
  <c r="AB399" i="5"/>
  <c r="AB513" i="5"/>
  <c r="AB333" i="5"/>
  <c r="AB287" i="5"/>
  <c r="AB329" i="5"/>
  <c r="AB334" i="5"/>
  <c r="C420" i="12"/>
  <c r="M420" i="12"/>
  <c r="O420" i="12"/>
  <c r="AO420" i="12"/>
  <c r="Y420" i="12" s="1"/>
  <c r="AB692" i="5"/>
  <c r="AB558" i="5"/>
  <c r="C674" i="6"/>
  <c r="O45" i="12"/>
  <c r="N45" i="12" s="1"/>
  <c r="M45" i="12"/>
  <c r="C45" i="12"/>
  <c r="AO45" i="12"/>
  <c r="I605" i="12"/>
  <c r="AM605" i="5"/>
  <c r="Z605" i="5"/>
  <c r="I605" i="5"/>
  <c r="L605" i="5"/>
  <c r="AC605" i="5"/>
  <c r="C690" i="6"/>
  <c r="O690" i="5"/>
  <c r="AB264" i="5"/>
  <c r="C368" i="12"/>
  <c r="M368" i="12"/>
  <c r="O368" i="12"/>
  <c r="AO368" i="12"/>
  <c r="AB270" i="5"/>
  <c r="C94" i="6"/>
  <c r="O94" i="5"/>
  <c r="C582" i="6"/>
  <c r="C611" i="6"/>
  <c r="AB495" i="5"/>
  <c r="AB309" i="5"/>
  <c r="AO609" i="12"/>
  <c r="O609" i="12"/>
  <c r="C609" i="12"/>
  <c r="M609" i="12"/>
  <c r="AO410" i="12"/>
  <c r="O410" i="12"/>
  <c r="M410" i="12"/>
  <c r="C410" i="12"/>
  <c r="AB260" i="5"/>
  <c r="AB50" i="5"/>
  <c r="C703" i="6"/>
  <c r="O703" i="5"/>
  <c r="Z246" i="5"/>
  <c r="I246" i="5"/>
  <c r="L246" i="5"/>
  <c r="AM246" i="5"/>
  <c r="X245" i="5"/>
  <c r="I246" i="12"/>
  <c r="AC246" i="5"/>
  <c r="C524" i="6"/>
  <c r="AB67" i="5"/>
  <c r="O688" i="12"/>
  <c r="AO688" i="12"/>
  <c r="C688" i="12"/>
  <c r="M688" i="12"/>
  <c r="C528" i="6"/>
  <c r="C356" i="12"/>
  <c r="O356" i="12"/>
  <c r="AO356" i="12"/>
  <c r="M356" i="12"/>
  <c r="I102" i="12"/>
  <c r="I102" i="5"/>
  <c r="X101" i="5"/>
  <c r="AM102" i="5"/>
  <c r="Z102" i="5"/>
  <c r="L102" i="5"/>
  <c r="AC102" i="5"/>
  <c r="AB445" i="5"/>
  <c r="AB321" i="5"/>
  <c r="AB470" i="5"/>
  <c r="AB263" i="5"/>
  <c r="AB182" i="5"/>
  <c r="C275" i="6"/>
  <c r="AB271" i="5"/>
  <c r="AB378" i="5"/>
  <c r="C694" i="12"/>
  <c r="O694" i="12"/>
  <c r="M694" i="12"/>
  <c r="AO694" i="12"/>
  <c r="Y694" i="12" s="1"/>
  <c r="C482" i="6"/>
  <c r="C646" i="6"/>
  <c r="AB351" i="5"/>
  <c r="C52" i="12"/>
  <c r="M52" i="12"/>
  <c r="O52" i="12"/>
  <c r="AO52" i="12"/>
  <c r="AB83" i="5"/>
  <c r="AB391" i="5"/>
  <c r="AB348" i="5"/>
  <c r="C325" i="6"/>
  <c r="AB610" i="5"/>
  <c r="AB31" i="5"/>
  <c r="AB273" i="5"/>
  <c r="AB210" i="5"/>
  <c r="C282" i="6"/>
  <c r="C423" i="6"/>
  <c r="AB647" i="5"/>
  <c r="AO265" i="12"/>
  <c r="C265" i="12"/>
  <c r="O265" i="12"/>
  <c r="M265" i="12"/>
  <c r="M404" i="12"/>
  <c r="AO404" i="12"/>
  <c r="C404" i="12"/>
  <c r="O404" i="12"/>
  <c r="AB46" i="5"/>
  <c r="C414" i="12"/>
  <c r="AO414" i="12"/>
  <c r="O414" i="12"/>
  <c r="M414" i="12"/>
  <c r="AO214" i="12"/>
  <c r="C214" i="12"/>
  <c r="M214" i="12"/>
  <c r="O214" i="12"/>
  <c r="N214" i="12" s="1"/>
  <c r="AB313" i="5"/>
  <c r="C382" i="6"/>
  <c r="AB232" i="5"/>
  <c r="C323" i="6"/>
  <c r="AB537" i="5"/>
  <c r="O523" i="12"/>
  <c r="AO523" i="12"/>
  <c r="Y523" i="12" s="1"/>
  <c r="C523" i="12"/>
  <c r="M523" i="12"/>
  <c r="C700" i="6"/>
  <c r="O700" i="5"/>
  <c r="AB269" i="5"/>
  <c r="AB589" i="5"/>
  <c r="O329" i="12"/>
  <c r="AO329" i="12"/>
  <c r="M329" i="12"/>
  <c r="C329" i="12"/>
  <c r="C574" i="12"/>
  <c r="O574" i="12"/>
  <c r="AO574" i="12"/>
  <c r="M574" i="12"/>
  <c r="C425" i="6"/>
  <c r="AB583" i="5"/>
  <c r="X63" i="5"/>
  <c r="I64" i="12"/>
  <c r="L64" i="5"/>
  <c r="AM64" i="5"/>
  <c r="Z64" i="5"/>
  <c r="I64" i="5"/>
  <c r="I65" i="5" s="1"/>
  <c r="I66" i="5" s="1"/>
  <c r="I67" i="5" s="1"/>
  <c r="I68" i="5" s="1"/>
  <c r="I69" i="5" s="1"/>
  <c r="I70" i="5" s="1"/>
  <c r="I71" i="5" s="1"/>
  <c r="I72" i="5" s="1"/>
  <c r="I73" i="5" s="1"/>
  <c r="O73" i="5" s="1"/>
  <c r="AC64" i="5"/>
  <c r="C391" i="6"/>
  <c r="AB663" i="5"/>
  <c r="C538" i="6"/>
  <c r="AO622" i="12"/>
  <c r="C622" i="12"/>
  <c r="O622" i="12"/>
  <c r="M622" i="12"/>
  <c r="C28" i="12"/>
  <c r="AO28" i="12"/>
  <c r="M28" i="12"/>
  <c r="O28" i="12"/>
  <c r="C439" i="6"/>
  <c r="M662" i="12"/>
  <c r="AO662" i="12"/>
  <c r="C662" i="12"/>
  <c r="O662" i="12"/>
  <c r="X607" i="5"/>
  <c r="AM608" i="5"/>
  <c r="I608" i="12"/>
  <c r="I608" i="5"/>
  <c r="I609" i="5" s="1"/>
  <c r="I610" i="5" s="1"/>
  <c r="I611" i="5" s="1"/>
  <c r="I612" i="5" s="1"/>
  <c r="O612" i="5" s="1"/>
  <c r="Z608" i="5"/>
  <c r="L608" i="5"/>
  <c r="AC608" i="5"/>
  <c r="C86" i="12"/>
  <c r="M86" i="12"/>
  <c r="O86" i="12"/>
  <c r="AO86" i="12"/>
  <c r="Y86" i="12" s="1"/>
  <c r="AB35" i="5"/>
  <c r="C105" i="12"/>
  <c r="O105" i="12"/>
  <c r="M105" i="12"/>
  <c r="AO105" i="12"/>
  <c r="M367" i="12"/>
  <c r="AO367" i="12"/>
  <c r="O367" i="12"/>
  <c r="N367" i="12" s="1"/>
  <c r="C367" i="12"/>
  <c r="C547" i="6"/>
  <c r="C43" i="6"/>
  <c r="AO333" i="12"/>
  <c r="Y333" i="12" s="1"/>
  <c r="M333" i="12"/>
  <c r="C333" i="12"/>
  <c r="O333" i="12"/>
  <c r="AB65" i="5"/>
  <c r="I317" i="5"/>
  <c r="I318" i="5" s="1"/>
  <c r="O318" i="5" s="1"/>
  <c r="AM317" i="5"/>
  <c r="L317" i="5"/>
  <c r="I317" i="12"/>
  <c r="Z317" i="5"/>
  <c r="X316" i="5"/>
  <c r="AC317" i="5"/>
  <c r="C329" i="6"/>
  <c r="M593" i="12"/>
  <c r="O593" i="12"/>
  <c r="C593" i="12"/>
  <c r="AO593" i="12"/>
  <c r="Y593" i="12" s="1"/>
  <c r="O692" i="12"/>
  <c r="AO692" i="12"/>
  <c r="M692" i="12"/>
  <c r="C692" i="12"/>
  <c r="I725" i="12"/>
  <c r="AM725" i="5"/>
  <c r="Z725" i="5"/>
  <c r="I725" i="5"/>
  <c r="I726" i="5" s="1"/>
  <c r="O726" i="5" s="1"/>
  <c r="X724" i="5"/>
  <c r="L725" i="5"/>
  <c r="AC725" i="5"/>
  <c r="C44" i="12"/>
  <c r="AO44" i="12"/>
  <c r="O44" i="12"/>
  <c r="M44" i="12"/>
  <c r="AO66" i="12"/>
  <c r="M66" i="12"/>
  <c r="C66" i="12"/>
  <c r="O66" i="12"/>
  <c r="N66" i="12" s="1"/>
  <c r="AB266" i="5"/>
  <c r="C368" i="6"/>
  <c r="M254" i="12"/>
  <c r="AO254" i="12"/>
  <c r="O254" i="12"/>
  <c r="N254" i="12" s="1"/>
  <c r="C254" i="12"/>
  <c r="C94" i="12"/>
  <c r="O94" i="12"/>
  <c r="AO94" i="12"/>
  <c r="M94" i="12"/>
  <c r="AB95" i="5"/>
  <c r="M407" i="12"/>
  <c r="O407" i="12"/>
  <c r="N407" i="12" s="1"/>
  <c r="AO407" i="12"/>
  <c r="C407" i="12"/>
  <c r="AB582" i="5"/>
  <c r="M181" i="12"/>
  <c r="AO181" i="12"/>
  <c r="O181" i="12"/>
  <c r="C181" i="12"/>
  <c r="C495" i="6"/>
  <c r="C315" i="12"/>
  <c r="M315" i="12"/>
  <c r="O315" i="12"/>
  <c r="AO315" i="12"/>
  <c r="Y315" i="12" s="1"/>
  <c r="O276" i="12"/>
  <c r="M276" i="12"/>
  <c r="C276" i="12"/>
  <c r="AO276" i="12"/>
  <c r="C50" i="6"/>
  <c r="AO108" i="12"/>
  <c r="O108" i="12"/>
  <c r="M108" i="12"/>
  <c r="C108" i="12"/>
  <c r="AB361" i="5"/>
  <c r="C524" i="12"/>
  <c r="O524" i="12"/>
  <c r="AO524" i="12"/>
  <c r="M524" i="12"/>
  <c r="M67" i="12"/>
  <c r="AO67" i="12"/>
  <c r="Y67" i="12" s="1"/>
  <c r="O67" i="12"/>
  <c r="C67" i="12"/>
  <c r="C445" i="6"/>
  <c r="C321" i="6"/>
  <c r="C470" i="6"/>
  <c r="C486" i="6"/>
  <c r="C616" i="12"/>
  <c r="O616" i="12"/>
  <c r="AO616" i="12"/>
  <c r="M616" i="12"/>
  <c r="AB446" i="5"/>
  <c r="C54" i="6"/>
  <c r="AB635" i="5"/>
  <c r="C88" i="6"/>
  <c r="C303" i="12"/>
  <c r="O303" i="12"/>
  <c r="AO303" i="12"/>
  <c r="M303" i="12"/>
  <c r="M275" i="12"/>
  <c r="C275" i="12"/>
  <c r="O275" i="12"/>
  <c r="AO275" i="12"/>
  <c r="AO378" i="12"/>
  <c r="C378" i="12"/>
  <c r="M378" i="12"/>
  <c r="O378" i="12"/>
  <c r="C289" i="6"/>
  <c r="O289" i="5"/>
  <c r="AB482" i="5"/>
  <c r="AB646" i="5"/>
  <c r="AB272" i="5"/>
  <c r="O253" i="12"/>
  <c r="M253" i="12"/>
  <c r="C253" i="12"/>
  <c r="AO253" i="12"/>
  <c r="C351" i="12"/>
  <c r="M351" i="12"/>
  <c r="O351" i="12"/>
  <c r="AO351" i="12"/>
  <c r="AB80" i="5"/>
  <c r="C52" i="6"/>
  <c r="O484" i="12"/>
  <c r="AO484" i="12"/>
  <c r="C484" i="12"/>
  <c r="M484" i="12"/>
  <c r="AM403" i="5"/>
  <c r="I403" i="12"/>
  <c r="L403" i="5"/>
  <c r="Z403" i="5"/>
  <c r="I403" i="5"/>
  <c r="I404" i="5" s="1"/>
  <c r="O404" i="5" s="1"/>
  <c r="AC403" i="5"/>
  <c r="C516" i="6"/>
  <c r="C539" i="12"/>
  <c r="O539" i="12"/>
  <c r="AO539" i="12"/>
  <c r="M539" i="12"/>
  <c r="AO325" i="12"/>
  <c r="M325" i="12"/>
  <c r="C325" i="12"/>
  <c r="O325" i="12"/>
  <c r="C408" i="12"/>
  <c r="O408" i="12"/>
  <c r="M408" i="12"/>
  <c r="AO408" i="12"/>
  <c r="AB648" i="5"/>
  <c r="C31" i="6"/>
  <c r="C324" i="6"/>
  <c r="C210" i="6"/>
  <c r="AB282" i="5"/>
  <c r="M518" i="12"/>
  <c r="C518" i="12"/>
  <c r="AO518" i="12"/>
  <c r="Y518" i="12" s="1"/>
  <c r="O518" i="12"/>
  <c r="N518" i="12" s="1"/>
  <c r="C510" i="6"/>
  <c r="AO277" i="12"/>
  <c r="M277" i="12"/>
  <c r="C277" i="12"/>
  <c r="O277" i="12"/>
  <c r="C626" i="6"/>
  <c r="AB551" i="5"/>
  <c r="C288" i="6"/>
  <c r="O288" i="5"/>
  <c r="C49" i="6"/>
  <c r="AB28" i="5"/>
  <c r="C398" i="6"/>
  <c r="AB439" i="5"/>
  <c r="AB357" i="5"/>
  <c r="AO700" i="12"/>
  <c r="Y700" i="12" s="1"/>
  <c r="O700" i="12"/>
  <c r="C700" i="12"/>
  <c r="M700" i="12"/>
  <c r="C269" i="6"/>
  <c r="C447" i="6"/>
  <c r="O483" i="12"/>
  <c r="M483" i="12"/>
  <c r="AO483" i="12"/>
  <c r="Y483" i="12" s="1"/>
  <c r="C483" i="12"/>
  <c r="AB475" i="5"/>
  <c r="AB174" i="5"/>
  <c r="C488" i="6"/>
  <c r="C511" i="6"/>
  <c r="AM48" i="5"/>
  <c r="I48" i="12"/>
  <c r="L48" i="5"/>
  <c r="X47" i="5"/>
  <c r="Z48" i="5"/>
  <c r="AC48" i="5"/>
  <c r="C515" i="12"/>
  <c r="M515" i="12"/>
  <c r="O515" i="12"/>
  <c r="AO515" i="12"/>
  <c r="C664" i="6"/>
  <c r="AB86" i="5"/>
  <c r="C545" i="6"/>
  <c r="C429" i="6"/>
  <c r="C451" i="6"/>
  <c r="C35" i="6"/>
  <c r="C105" i="6"/>
  <c r="O105" i="5"/>
  <c r="AB43" i="5"/>
  <c r="C513" i="12"/>
  <c r="M513" i="12"/>
  <c r="AO513" i="12"/>
  <c r="O513" i="12"/>
  <c r="O65" i="12"/>
  <c r="M65" i="12"/>
  <c r="C65" i="12"/>
  <c r="AO65" i="12"/>
  <c r="C593" i="6"/>
  <c r="C98" i="6"/>
  <c r="AB44" i="5"/>
  <c r="AB66" i="5"/>
  <c r="AB512" i="5"/>
  <c r="AB529" i="5"/>
  <c r="C171" i="6"/>
  <c r="C302" i="6"/>
  <c r="C690" i="12"/>
  <c r="O690" i="12"/>
  <c r="AO690" i="12"/>
  <c r="M690" i="12"/>
  <c r="AO264" i="12"/>
  <c r="O264" i="12"/>
  <c r="C264" i="12"/>
  <c r="M264" i="12"/>
  <c r="C266" i="6"/>
  <c r="AB368" i="5"/>
  <c r="C270" i="6"/>
  <c r="AB534" i="5"/>
  <c r="AB407" i="5"/>
  <c r="O582" i="12"/>
  <c r="AO582" i="12"/>
  <c r="M582" i="12"/>
  <c r="C582" i="12"/>
  <c r="M611" i="12"/>
  <c r="C611" i="12"/>
  <c r="O611" i="12"/>
  <c r="N611" i="12" s="1"/>
  <c r="AO611" i="12"/>
  <c r="C377" i="6"/>
  <c r="AB689" i="5"/>
  <c r="C495" i="12"/>
  <c r="O495" i="12"/>
  <c r="AO495" i="12"/>
  <c r="M495" i="12"/>
  <c r="I655" i="12"/>
  <c r="I655" i="5"/>
  <c r="I656" i="5" s="1"/>
  <c r="X654" i="5"/>
  <c r="L655" i="5"/>
  <c r="Z655" i="5"/>
  <c r="AM655" i="5"/>
  <c r="AC655" i="5"/>
  <c r="AB315" i="5"/>
  <c r="AB609" i="5"/>
  <c r="AB410" i="5"/>
  <c r="C250" i="6"/>
  <c r="M211" i="12"/>
  <c r="O211" i="12"/>
  <c r="AO211" i="12"/>
  <c r="C211" i="12"/>
  <c r="C276" i="6"/>
  <c r="AB705" i="5"/>
  <c r="C108" i="6"/>
  <c r="M388" i="12"/>
  <c r="AO388" i="12"/>
  <c r="Y388" i="12" s="1"/>
  <c r="C388" i="12"/>
  <c r="O388" i="12"/>
  <c r="C331" i="6"/>
  <c r="O361" i="12"/>
  <c r="M361" i="12"/>
  <c r="C361" i="12"/>
  <c r="AO361" i="12"/>
  <c r="AB524" i="5"/>
  <c r="X81" i="5"/>
  <c r="L82" i="5"/>
  <c r="Z82" i="5"/>
  <c r="AM82" i="5"/>
  <c r="I82" i="5"/>
  <c r="I83" i="5" s="1"/>
  <c r="I84" i="5" s="1"/>
  <c r="I85" i="5" s="1"/>
  <c r="I86" i="5" s="1"/>
  <c r="I87" i="5" s="1"/>
  <c r="I88" i="5" s="1"/>
  <c r="I89" i="5" s="1"/>
  <c r="I90" i="5" s="1"/>
  <c r="I82" i="12"/>
  <c r="AC82" i="5"/>
  <c r="C67" i="6"/>
  <c r="O67" i="5"/>
  <c r="C546" i="6"/>
  <c r="O528" i="12"/>
  <c r="C528" i="12"/>
  <c r="M528" i="12"/>
  <c r="AO528" i="12"/>
  <c r="I111" i="5"/>
  <c r="I112" i="5" s="1"/>
  <c r="I113" i="5" s="1"/>
  <c r="O113" i="5" s="1"/>
  <c r="I111" i="12"/>
  <c r="Z111" i="5"/>
  <c r="L111" i="5"/>
  <c r="X110" i="5"/>
  <c r="AM111" i="5"/>
  <c r="AC111" i="5"/>
  <c r="C72" i="6"/>
  <c r="O72" i="5"/>
  <c r="AB486" i="5"/>
  <c r="C616" i="6"/>
  <c r="O616" i="5"/>
  <c r="C446" i="6"/>
  <c r="O707" i="12"/>
  <c r="M707" i="12"/>
  <c r="C707" i="12"/>
  <c r="AO707" i="12"/>
  <c r="M88" i="12"/>
  <c r="C88" i="12"/>
  <c r="AO88" i="12"/>
  <c r="O88" i="12"/>
  <c r="AB303" i="5"/>
  <c r="AB275" i="5"/>
  <c r="C271" i="6"/>
  <c r="C289" i="12"/>
  <c r="O289" i="12"/>
  <c r="M289" i="12"/>
  <c r="AO289" i="12"/>
  <c r="AB694" i="5"/>
  <c r="AB417" i="5"/>
  <c r="M482" i="12"/>
  <c r="O482" i="12"/>
  <c r="AO482" i="12"/>
  <c r="C482" i="12"/>
  <c r="AB253" i="5"/>
  <c r="C351" i="6"/>
  <c r="O80" i="12"/>
  <c r="N80" i="12" s="1"/>
  <c r="AO80" i="12"/>
  <c r="C80" i="12"/>
  <c r="M80" i="12"/>
  <c r="C484" i="6"/>
  <c r="AB335" i="5"/>
  <c r="AO516" i="12"/>
  <c r="M516" i="12"/>
  <c r="O516" i="12"/>
  <c r="C516" i="12"/>
  <c r="AB539" i="5"/>
  <c r="AB291" i="5"/>
  <c r="AB190" i="5"/>
  <c r="AB444" i="5"/>
  <c r="C575" i="12"/>
  <c r="AO575" i="12"/>
  <c r="O575" i="12"/>
  <c r="M575" i="12"/>
  <c r="C408" i="6"/>
  <c r="AB540" i="5"/>
  <c r="AO648" i="12"/>
  <c r="M648" i="12"/>
  <c r="O648" i="12"/>
  <c r="N648" i="12" s="1"/>
  <c r="C648" i="12"/>
  <c r="O328" i="12"/>
  <c r="N328" i="12" s="1"/>
  <c r="C328" i="12"/>
  <c r="AO328" i="12"/>
  <c r="Y328" i="12" s="1"/>
  <c r="M328" i="12"/>
  <c r="AB324" i="5"/>
  <c r="C210" i="12"/>
  <c r="M210" i="12"/>
  <c r="AO210" i="12"/>
  <c r="O210" i="12"/>
  <c r="M423" i="12"/>
  <c r="O423" i="12"/>
  <c r="AO423" i="12"/>
  <c r="C423" i="12"/>
  <c r="AO647" i="12"/>
  <c r="C647" i="12"/>
  <c r="M647" i="12"/>
  <c r="O647" i="12"/>
  <c r="N647" i="12" s="1"/>
  <c r="AB265" i="5"/>
  <c r="C518" i="6"/>
  <c r="C46" i="6"/>
  <c r="AB510" i="5"/>
  <c r="C277" i="6"/>
  <c r="AB626" i="5"/>
  <c r="AB414" i="5"/>
  <c r="C551" i="6"/>
  <c r="M288" i="12"/>
  <c r="O288" i="12"/>
  <c r="C288" i="12"/>
  <c r="AO288" i="12"/>
  <c r="C49" i="12"/>
  <c r="M49" i="12"/>
  <c r="AO49" i="12"/>
  <c r="O49" i="12"/>
  <c r="AB382" i="5"/>
  <c r="AO398" i="12"/>
  <c r="Y398" i="12" s="1"/>
  <c r="M398" i="12"/>
  <c r="C398" i="12"/>
  <c r="O398" i="12"/>
  <c r="C357" i="6"/>
  <c r="C523" i="6"/>
  <c r="AB700" i="5"/>
  <c r="AO269" i="12"/>
  <c r="O269" i="12"/>
  <c r="M269" i="12"/>
  <c r="C269" i="12"/>
  <c r="C447" i="12"/>
  <c r="O447" i="12"/>
  <c r="M447" i="12"/>
  <c r="AO447" i="12"/>
  <c r="C706" i="6"/>
  <c r="O706" i="5"/>
  <c r="I30" i="12"/>
  <c r="AM30" i="5"/>
  <c r="I30" i="5"/>
  <c r="I31" i="5" s="1"/>
  <c r="I32" i="5" s="1"/>
  <c r="I33" i="5" s="1"/>
  <c r="I34" i="5" s="1"/>
  <c r="I35" i="5" s="1"/>
  <c r="I36" i="5" s="1"/>
  <c r="I37" i="5" s="1"/>
  <c r="I38" i="5" s="1"/>
  <c r="I39" i="5" s="1"/>
  <c r="O39" i="5" s="1"/>
  <c r="Z30" i="5"/>
  <c r="X29" i="5"/>
  <c r="L30" i="5"/>
  <c r="AC30" i="5"/>
  <c r="AB307" i="5"/>
  <c r="C273" i="12"/>
  <c r="O273" i="12"/>
  <c r="AO273" i="12"/>
  <c r="M273" i="12"/>
  <c r="C69" i="12"/>
  <c r="AO69" i="12"/>
  <c r="M69" i="12"/>
  <c r="O69" i="12"/>
  <c r="O553" i="12"/>
  <c r="N553" i="12" s="1"/>
  <c r="AO553" i="12"/>
  <c r="M553" i="12"/>
  <c r="C553" i="12"/>
  <c r="C515" i="6"/>
  <c r="C442" i="6"/>
  <c r="AO664" i="12"/>
  <c r="O664" i="12"/>
  <c r="N664" i="12" s="1"/>
  <c r="M664" i="12"/>
  <c r="C664" i="12"/>
  <c r="O429" i="12"/>
  <c r="M429" i="12"/>
  <c r="AO429" i="12"/>
  <c r="C429" i="12"/>
  <c r="AB451" i="5"/>
  <c r="M380" i="12"/>
  <c r="O380" i="12"/>
  <c r="C380" i="12"/>
  <c r="AO380" i="12"/>
  <c r="C305" i="6"/>
  <c r="O337" i="12"/>
  <c r="AO337" i="12"/>
  <c r="M337" i="12"/>
  <c r="C337" i="12"/>
  <c r="AB504" i="5"/>
  <c r="AB547" i="5"/>
  <c r="M43" i="12"/>
  <c r="C43" i="12"/>
  <c r="AO43" i="12"/>
  <c r="O43" i="12"/>
  <c r="C513" i="6"/>
  <c r="AB685" i="5"/>
  <c r="AB593" i="5"/>
  <c r="AB98" i="5"/>
  <c r="C44" i="6"/>
  <c r="M512" i="12"/>
  <c r="AO512" i="12"/>
  <c r="C512" i="12"/>
  <c r="O512" i="12"/>
  <c r="M171" i="12"/>
  <c r="C171" i="12"/>
  <c r="O171" i="12"/>
  <c r="AO171" i="12"/>
  <c r="M302" i="12"/>
  <c r="C302" i="12"/>
  <c r="O302" i="12"/>
  <c r="AO302" i="12"/>
  <c r="AB690" i="5"/>
  <c r="C264" i="6"/>
  <c r="C175" i="12"/>
  <c r="AO175" i="12"/>
  <c r="O175" i="12"/>
  <c r="M175" i="12"/>
  <c r="O534" i="12"/>
  <c r="C534" i="12"/>
  <c r="M534" i="12"/>
  <c r="AO534" i="12"/>
  <c r="AB94" i="5"/>
  <c r="AB611" i="5"/>
  <c r="AO358" i="12"/>
  <c r="O358" i="12"/>
  <c r="M358" i="12"/>
  <c r="C358" i="12"/>
  <c r="O377" i="12"/>
  <c r="C377" i="12"/>
  <c r="M377" i="12"/>
  <c r="AO377" i="12"/>
  <c r="C689" i="6"/>
  <c r="O689" i="5"/>
  <c r="C609" i="6"/>
  <c r="O609" i="5"/>
  <c r="O250" i="12"/>
  <c r="M250" i="12"/>
  <c r="AO250" i="12"/>
  <c r="C250" i="12"/>
  <c r="AB211" i="5"/>
  <c r="AB276" i="5"/>
  <c r="C705" i="6"/>
  <c r="O705" i="5"/>
  <c r="AB108" i="5"/>
  <c r="Z713" i="5"/>
  <c r="AM713" i="5"/>
  <c r="I713" i="12"/>
  <c r="L713" i="5"/>
  <c r="C713" i="6" s="1"/>
  <c r="AC713" i="5"/>
  <c r="M331" i="12"/>
  <c r="O331" i="12"/>
  <c r="AO331" i="12"/>
  <c r="C331" i="12"/>
  <c r="C361" i="6"/>
  <c r="AO412" i="12"/>
  <c r="O412" i="12"/>
  <c r="C412" i="12"/>
  <c r="M412" i="12"/>
  <c r="AB430" i="5"/>
  <c r="AO546" i="12"/>
  <c r="C546" i="12"/>
  <c r="O546" i="12"/>
  <c r="M546" i="12"/>
  <c r="AB392" i="5"/>
  <c r="C445" i="12"/>
  <c r="O445" i="12"/>
  <c r="M445" i="12"/>
  <c r="AO445" i="12"/>
  <c r="Y445" i="12" s="1"/>
  <c r="AO33" i="12"/>
  <c r="C33" i="12"/>
  <c r="M33" i="12"/>
  <c r="O33" i="12"/>
  <c r="C532" i="6"/>
  <c r="O707" i="5"/>
  <c r="C707" i="6"/>
  <c r="AO635" i="12"/>
  <c r="M635" i="12"/>
  <c r="O635" i="12"/>
  <c r="C635" i="12"/>
  <c r="M615" i="12"/>
  <c r="O615" i="12"/>
  <c r="C615" i="12"/>
  <c r="AO615" i="12"/>
  <c r="Y615" i="12" s="1"/>
  <c r="C253" i="6"/>
  <c r="AB52" i="5"/>
  <c r="AB484" i="5"/>
  <c r="AO335" i="12"/>
  <c r="C335" i="12"/>
  <c r="O335" i="12"/>
  <c r="M335" i="12"/>
  <c r="C291" i="6"/>
  <c r="O291" i="5"/>
  <c r="AO190" i="12"/>
  <c r="C190" i="12"/>
  <c r="M190" i="12"/>
  <c r="O190" i="12"/>
  <c r="C587" i="6"/>
  <c r="C575" i="6"/>
  <c r="C540" i="6"/>
  <c r="C648" i="6"/>
  <c r="AO326" i="12"/>
  <c r="C326" i="12"/>
  <c r="O326" i="12"/>
  <c r="M326" i="12"/>
  <c r="M324" i="12"/>
  <c r="O324" i="12"/>
  <c r="N324" i="12" s="1"/>
  <c r="AO324" i="12"/>
  <c r="C324" i="12"/>
  <c r="AB423" i="5"/>
  <c r="L619" i="5"/>
  <c r="C619" i="6" s="1"/>
  <c r="AM619" i="5"/>
  <c r="Z619" i="5"/>
  <c r="I619" i="12"/>
  <c r="AC619" i="5"/>
  <c r="AM350" i="5"/>
  <c r="Z350" i="5"/>
  <c r="L350" i="5"/>
  <c r="I350" i="12"/>
  <c r="I350" i="5"/>
  <c r="I351" i="5" s="1"/>
  <c r="I352" i="5" s="1"/>
  <c r="O352" i="5" s="1"/>
  <c r="X349" i="5"/>
  <c r="AC350" i="5"/>
  <c r="C453" i="6"/>
  <c r="AO626" i="12"/>
  <c r="C626" i="12"/>
  <c r="O626" i="12"/>
  <c r="M626" i="12"/>
  <c r="AB359" i="5"/>
  <c r="AB49" i="5"/>
  <c r="Z75" i="5"/>
  <c r="AM75" i="5"/>
  <c r="I75" i="12"/>
  <c r="L75" i="5"/>
  <c r="I75" i="5"/>
  <c r="AC75" i="5"/>
  <c r="AB398" i="5"/>
  <c r="C109" i="12"/>
  <c r="AO109" i="12"/>
  <c r="M109" i="12"/>
  <c r="O109" i="12"/>
  <c r="AB489" i="5"/>
  <c r="AO357" i="12"/>
  <c r="O357" i="12"/>
  <c r="M357" i="12"/>
  <c r="C357" i="12"/>
  <c r="X695" i="5"/>
  <c r="I696" i="12"/>
  <c r="AM696" i="5"/>
  <c r="L696" i="5"/>
  <c r="Z696" i="5"/>
  <c r="AC696" i="5"/>
  <c r="AB447" i="5"/>
  <c r="C51" i="6"/>
  <c r="M342" i="12"/>
  <c r="AO342" i="12"/>
  <c r="C342" i="12"/>
  <c r="O342" i="12"/>
  <c r="AB61" i="5"/>
  <c r="C374" i="6"/>
  <c r="AB553" i="5"/>
  <c r="AB515" i="5"/>
  <c r="AO442" i="12"/>
  <c r="O442" i="12"/>
  <c r="C442" i="12"/>
  <c r="M442" i="12"/>
  <c r="C86" i="6"/>
  <c r="O86" i="5"/>
  <c r="AB554" i="5"/>
  <c r="AB429" i="5"/>
  <c r="AB380" i="5"/>
  <c r="AO305" i="12"/>
  <c r="O305" i="12"/>
  <c r="M305" i="12"/>
  <c r="C305" i="12"/>
  <c r="AB105" i="5"/>
  <c r="C520" i="6"/>
  <c r="AB337" i="5"/>
  <c r="C504" i="6"/>
  <c r="M547" i="12"/>
  <c r="C547" i="12"/>
  <c r="AO547" i="12"/>
  <c r="O547" i="12"/>
  <c r="C364" i="12"/>
  <c r="O364" i="12"/>
  <c r="AO364" i="12"/>
  <c r="Y364" i="12" s="1"/>
  <c r="M364" i="12"/>
  <c r="AB26" i="5"/>
  <c r="AB100" i="5"/>
  <c r="AO56" i="12"/>
  <c r="C56" i="12"/>
  <c r="M56" i="12"/>
  <c r="O56" i="12"/>
  <c r="O514" i="12"/>
  <c r="M514" i="12"/>
  <c r="C514" i="12"/>
  <c r="AO514" i="12"/>
  <c r="C529" i="12"/>
  <c r="O529" i="12"/>
  <c r="AO529" i="12"/>
  <c r="M529" i="12"/>
  <c r="AB302" i="5"/>
  <c r="AO266" i="12"/>
  <c r="C266" i="12"/>
  <c r="M266" i="12"/>
  <c r="O266" i="12"/>
  <c r="O278" i="12"/>
  <c r="AO278" i="12"/>
  <c r="M278" i="12"/>
  <c r="C278" i="12"/>
  <c r="AB322" i="5"/>
  <c r="C407" i="6"/>
  <c r="C358" i="6"/>
  <c r="C645" i="6"/>
  <c r="C308" i="6"/>
  <c r="M705" i="12"/>
  <c r="AO705" i="12"/>
  <c r="C705" i="12"/>
  <c r="O705" i="12"/>
  <c r="C525" i="12"/>
  <c r="AO525" i="12"/>
  <c r="M525" i="12"/>
  <c r="O525" i="12"/>
  <c r="AB388" i="5"/>
  <c r="AB331" i="5"/>
  <c r="C201" i="6"/>
  <c r="X57" i="5"/>
  <c r="I58" i="12"/>
  <c r="Z58" i="5"/>
  <c r="AM58" i="5"/>
  <c r="L58" i="5"/>
  <c r="AC58" i="5"/>
  <c r="C257" i="12"/>
  <c r="M257" i="12"/>
  <c r="O257" i="12"/>
  <c r="AO257" i="12"/>
  <c r="C412" i="6"/>
  <c r="O430" i="12"/>
  <c r="M430" i="12"/>
  <c r="C430" i="12"/>
  <c r="AO430" i="12"/>
  <c r="AB546" i="5"/>
  <c r="AB684" i="5"/>
  <c r="C60" i="6"/>
  <c r="C33" i="6"/>
  <c r="O33" i="5"/>
  <c r="C373" i="6"/>
  <c r="AO72" i="12"/>
  <c r="M72" i="12"/>
  <c r="O72" i="12"/>
  <c r="C72" i="12"/>
  <c r="M486" i="12"/>
  <c r="O486" i="12"/>
  <c r="AO486" i="12"/>
  <c r="C486" i="12"/>
  <c r="C532" i="12"/>
  <c r="O532" i="12"/>
  <c r="AO532" i="12"/>
  <c r="Y532" i="12" s="1"/>
  <c r="M532" i="12"/>
  <c r="AB707" i="5"/>
  <c r="AB88" i="5"/>
  <c r="AB289" i="5"/>
  <c r="AB708" i="5"/>
  <c r="O417" i="12"/>
  <c r="AO417" i="12"/>
  <c r="C417" i="12"/>
  <c r="M417" i="12"/>
  <c r="AO306" i="12"/>
  <c r="C306" i="12"/>
  <c r="M306" i="12"/>
  <c r="O306" i="12"/>
  <c r="AB615" i="5"/>
  <c r="Z213" i="5"/>
  <c r="I213" i="5"/>
  <c r="I214" i="5" s="1"/>
  <c r="O214" i="5" s="1"/>
  <c r="I213" i="12"/>
  <c r="AM213" i="5"/>
  <c r="L213" i="5"/>
  <c r="AC213" i="5"/>
  <c r="O172" i="12"/>
  <c r="AO172" i="12"/>
  <c r="C172" i="12"/>
  <c r="M172" i="12"/>
  <c r="O676" i="12"/>
  <c r="M676" i="12"/>
  <c r="AO676" i="12"/>
  <c r="C676" i="12"/>
  <c r="C280" i="6"/>
  <c r="L366" i="5"/>
  <c r="Z366" i="5"/>
  <c r="I366" i="5"/>
  <c r="I367" i="5" s="1"/>
  <c r="I368" i="5" s="1"/>
  <c r="I369" i="5" s="1"/>
  <c r="O369" i="5" s="1"/>
  <c r="I366" i="12"/>
  <c r="AM366" i="5"/>
  <c r="AC366" i="5"/>
  <c r="AO113" i="12"/>
  <c r="Y113" i="12" s="1"/>
  <c r="C113" i="12"/>
  <c r="O113" i="12"/>
  <c r="M113" i="12"/>
  <c r="C190" i="6"/>
  <c r="C444" i="6"/>
  <c r="AB575" i="5"/>
  <c r="AB408" i="5"/>
  <c r="AO540" i="12"/>
  <c r="Y540" i="12" s="1"/>
  <c r="C540" i="12"/>
  <c r="M540" i="12"/>
  <c r="O540" i="12"/>
  <c r="C326" i="6"/>
  <c r="C328" i="6"/>
  <c r="AB36" i="5"/>
  <c r="C634" i="12"/>
  <c r="M634" i="12"/>
  <c r="O634" i="12"/>
  <c r="AO634" i="12"/>
  <c r="M453" i="12"/>
  <c r="C453" i="12"/>
  <c r="AO453" i="12"/>
  <c r="O453" i="12"/>
  <c r="O551" i="12"/>
  <c r="C551" i="12"/>
  <c r="AO551" i="12"/>
  <c r="M551" i="12"/>
  <c r="AB288" i="5"/>
  <c r="C359" i="6"/>
  <c r="O556" i="12"/>
  <c r="M556" i="12"/>
  <c r="C556" i="12"/>
  <c r="AO556" i="12"/>
  <c r="Y556" i="12" s="1"/>
  <c r="M85" i="12"/>
  <c r="C85" i="12"/>
  <c r="AO85" i="12"/>
  <c r="O85" i="12"/>
  <c r="AO489" i="12"/>
  <c r="O489" i="12"/>
  <c r="C489" i="12"/>
  <c r="M489" i="12"/>
  <c r="AB674" i="5"/>
  <c r="C688" i="6"/>
  <c r="O688" i="5"/>
  <c r="M470" i="12"/>
  <c r="AO470" i="12"/>
  <c r="C470" i="12"/>
  <c r="O470" i="12"/>
  <c r="C387" i="6"/>
  <c r="C460" i="6"/>
  <c r="AB323" i="5"/>
  <c r="AB374" i="5"/>
  <c r="AO536" i="12"/>
  <c r="O536" i="12"/>
  <c r="C536" i="12"/>
  <c r="M536" i="12"/>
  <c r="M720" i="12"/>
  <c r="O720" i="12"/>
  <c r="C720" i="12"/>
  <c r="AO720" i="12"/>
  <c r="AB442" i="5"/>
  <c r="AB664" i="5"/>
  <c r="C554" i="6"/>
  <c r="C451" i="12"/>
  <c r="AO451" i="12"/>
  <c r="M451" i="12"/>
  <c r="O451" i="12"/>
  <c r="C380" i="6"/>
  <c r="AB305" i="5"/>
  <c r="AB520" i="5"/>
  <c r="C504" i="12"/>
  <c r="AO504" i="12"/>
  <c r="M504" i="12"/>
  <c r="O504" i="12"/>
  <c r="C352" i="12"/>
  <c r="AO352" i="12"/>
  <c r="O352" i="12"/>
  <c r="M352" i="12"/>
  <c r="AB209" i="5"/>
  <c r="AB364" i="5"/>
  <c r="AB541" i="5"/>
  <c r="AO100" i="12"/>
  <c r="C100" i="12"/>
  <c r="M100" i="12"/>
  <c r="O100" i="12"/>
  <c r="M685" i="12"/>
  <c r="C685" i="12"/>
  <c r="AO685" i="12"/>
  <c r="O685" i="12"/>
  <c r="AB56" i="5"/>
  <c r="AO427" i="12"/>
  <c r="C427" i="12"/>
  <c r="M427" i="12"/>
  <c r="O427" i="12"/>
  <c r="M98" i="12"/>
  <c r="C98" i="12"/>
  <c r="O98" i="12"/>
  <c r="AO98" i="12"/>
  <c r="C514" i="6"/>
  <c r="C512" i="6"/>
  <c r="C529" i="6"/>
  <c r="AB171" i="5"/>
  <c r="AB62" i="5"/>
  <c r="AB549" i="5"/>
  <c r="AB175" i="5"/>
  <c r="C322" i="6"/>
  <c r="C299" i="12"/>
  <c r="M299" i="12"/>
  <c r="AO299" i="12"/>
  <c r="O299" i="12"/>
  <c r="I97" i="12"/>
  <c r="I97" i="5"/>
  <c r="I98" i="5" s="1"/>
  <c r="I99" i="5" s="1"/>
  <c r="I100" i="5" s="1"/>
  <c r="O100" i="5" s="1"/>
  <c r="L97" i="5"/>
  <c r="Z97" i="5"/>
  <c r="AM97" i="5"/>
  <c r="X96" i="5"/>
  <c r="AC97" i="5"/>
  <c r="AB252" i="5"/>
  <c r="AB377" i="5"/>
  <c r="C689" i="12"/>
  <c r="AO689" i="12"/>
  <c r="Y689" i="12" s="1"/>
  <c r="O689" i="12"/>
  <c r="M689" i="12"/>
  <c r="AB552" i="5"/>
  <c r="C617" i="6"/>
  <c r="O617" i="5"/>
  <c r="M645" i="12"/>
  <c r="AO645" i="12"/>
  <c r="O645" i="12"/>
  <c r="N645" i="12" s="1"/>
  <c r="C645" i="12"/>
  <c r="AB250" i="5"/>
  <c r="AB522" i="5"/>
  <c r="O308" i="12"/>
  <c r="C308" i="12"/>
  <c r="AO308" i="12"/>
  <c r="M308" i="12"/>
  <c r="C304" i="6"/>
  <c r="AB525" i="5"/>
  <c r="C388" i="6"/>
  <c r="C257" i="6"/>
  <c r="AB412" i="5"/>
  <c r="C430" i="6"/>
  <c r="C684" i="6"/>
  <c r="M392" i="12"/>
  <c r="C392" i="12"/>
  <c r="AO392" i="12"/>
  <c r="O392" i="12"/>
  <c r="AB373" i="5"/>
  <c r="AB72" i="5"/>
  <c r="AB345" i="5"/>
  <c r="AB497" i="5"/>
  <c r="AB298" i="5"/>
  <c r="O584" i="12"/>
  <c r="N584" i="12" s="1"/>
  <c r="C584" i="12"/>
  <c r="AO584" i="12"/>
  <c r="M584" i="12"/>
  <c r="C417" i="6"/>
  <c r="O417" i="5"/>
  <c r="C306" i="6"/>
  <c r="C615" i="6"/>
  <c r="O615" i="5"/>
  <c r="L122" i="5"/>
  <c r="I122" i="12"/>
  <c r="AM122" i="5"/>
  <c r="Z122" i="5"/>
  <c r="AC122" i="5"/>
  <c r="AB172" i="5"/>
  <c r="C676" i="6"/>
  <c r="C335" i="6"/>
  <c r="AB280" i="5"/>
  <c r="AB448" i="5"/>
  <c r="O291" i="12"/>
  <c r="M291" i="12"/>
  <c r="AO291" i="12"/>
  <c r="C291" i="12"/>
  <c r="C444" i="12"/>
  <c r="M444" i="12"/>
  <c r="O444" i="12"/>
  <c r="AO444" i="12"/>
  <c r="AO587" i="12"/>
  <c r="C587" i="12"/>
  <c r="O587" i="12"/>
  <c r="M587" i="12"/>
  <c r="O339" i="12"/>
  <c r="N339" i="12" s="1"/>
  <c r="AO339" i="12"/>
  <c r="C339" i="12"/>
  <c r="M339" i="12"/>
  <c r="AB326" i="5"/>
  <c r="AB328" i="5"/>
  <c r="C39" i="12"/>
  <c r="O39" i="12"/>
  <c r="AO39" i="12"/>
  <c r="Y39" i="12" s="1"/>
  <c r="M39" i="12"/>
  <c r="AB384" i="5"/>
  <c r="O249" i="12"/>
  <c r="M249" i="12"/>
  <c r="AO249" i="12"/>
  <c r="C249" i="12"/>
  <c r="C413" i="6"/>
  <c r="C262" i="6"/>
  <c r="AO36" i="12"/>
  <c r="Y36" i="12" s="1"/>
  <c r="C36" i="12"/>
  <c r="O36" i="12"/>
  <c r="M36" i="12"/>
  <c r="C379" i="6"/>
  <c r="AB634" i="5"/>
  <c r="L544" i="5"/>
  <c r="I544" i="5"/>
  <c r="I545" i="5" s="1"/>
  <c r="I546" i="5" s="1"/>
  <c r="I547" i="5" s="1"/>
  <c r="I548" i="5" s="1"/>
  <c r="I549" i="5" s="1"/>
  <c r="I550" i="5" s="1"/>
  <c r="I551" i="5" s="1"/>
  <c r="I552" i="5" s="1"/>
  <c r="I553" i="5" s="1"/>
  <c r="I554" i="5" s="1"/>
  <c r="I555" i="5" s="1"/>
  <c r="I556" i="5" s="1"/>
  <c r="I557" i="5" s="1"/>
  <c r="I558" i="5" s="1"/>
  <c r="O558" i="5" s="1"/>
  <c r="Z544" i="5"/>
  <c r="AM544" i="5"/>
  <c r="I544" i="12"/>
  <c r="AC544" i="5"/>
  <c r="C499" i="6"/>
  <c r="AO359" i="12"/>
  <c r="C359" i="12"/>
  <c r="M359" i="12"/>
  <c r="O359" i="12"/>
  <c r="AB556" i="5"/>
  <c r="I320" i="5"/>
  <c r="I321" i="5" s="1"/>
  <c r="I322" i="5" s="1"/>
  <c r="I323" i="5" s="1"/>
  <c r="I324" i="5" s="1"/>
  <c r="I325" i="5" s="1"/>
  <c r="I326" i="5" s="1"/>
  <c r="I327" i="5" s="1"/>
  <c r="I328" i="5" s="1"/>
  <c r="I329" i="5" s="1"/>
  <c r="I330" i="5" s="1"/>
  <c r="I331" i="5" s="1"/>
  <c r="I332" i="5" s="1"/>
  <c r="I333" i="5" s="1"/>
  <c r="I334" i="5" s="1"/>
  <c r="I335" i="5" s="1"/>
  <c r="I336" i="5" s="1"/>
  <c r="I337" i="5" s="1"/>
  <c r="O337" i="5" s="1"/>
  <c r="L320" i="5"/>
  <c r="Z320" i="5"/>
  <c r="AM320" i="5"/>
  <c r="I320" i="12"/>
  <c r="AC320" i="5"/>
  <c r="C85" i="6"/>
  <c r="O85" i="5"/>
  <c r="AB590" i="5"/>
  <c r="AB258" i="5"/>
  <c r="AB256" i="5"/>
  <c r="C399" i="6"/>
  <c r="C709" i="12"/>
  <c r="O709" i="12"/>
  <c r="M709" i="12"/>
  <c r="AO709" i="12"/>
  <c r="AB691" i="5"/>
  <c r="AO313" i="12"/>
  <c r="Y313" i="12" s="1"/>
  <c r="C313" i="12"/>
  <c r="M313" i="12"/>
  <c r="O313" i="12"/>
  <c r="C550" i="6"/>
  <c r="O374" i="12"/>
  <c r="C374" i="12"/>
  <c r="M374" i="12"/>
  <c r="AO374" i="12"/>
  <c r="AB720" i="5"/>
  <c r="C553" i="6"/>
  <c r="M355" i="12"/>
  <c r="O355" i="12"/>
  <c r="C355" i="12"/>
  <c r="AO355" i="12"/>
  <c r="O554" i="12"/>
  <c r="AO554" i="12"/>
  <c r="Y554" i="12" s="1"/>
  <c r="M554" i="12"/>
  <c r="C554" i="12"/>
  <c r="AB279" i="5"/>
  <c r="M42" i="12"/>
  <c r="C42" i="12"/>
  <c r="O42" i="12"/>
  <c r="AO42" i="12"/>
  <c r="AB59" i="5"/>
  <c r="C209" i="6"/>
  <c r="C541" i="6"/>
  <c r="C26" i="6"/>
  <c r="X682" i="5"/>
  <c r="I683" i="12"/>
  <c r="I683" i="5"/>
  <c r="I684" i="5" s="1"/>
  <c r="I685" i="5" s="1"/>
  <c r="O685" i="5" s="1"/>
  <c r="L683" i="5"/>
  <c r="Z683" i="5"/>
  <c r="AM683" i="5"/>
  <c r="AC683" i="5"/>
  <c r="C56" i="6"/>
  <c r="AB427" i="5"/>
  <c r="AB34" i="5"/>
  <c r="AB514" i="5"/>
  <c r="L419" i="5"/>
  <c r="X418" i="5"/>
  <c r="Z419" i="5"/>
  <c r="AM419" i="5"/>
  <c r="I419" i="12"/>
  <c r="I419" i="5"/>
  <c r="I420" i="5" s="1"/>
  <c r="O420" i="5" s="1"/>
  <c r="AC419" i="5"/>
  <c r="AB202" i="5"/>
  <c r="AB278" i="5"/>
  <c r="O322" i="12"/>
  <c r="M322" i="12"/>
  <c r="C322" i="12"/>
  <c r="AO322" i="12"/>
  <c r="C450" i="6"/>
  <c r="M252" i="12"/>
  <c r="C252" i="12"/>
  <c r="O252" i="12"/>
  <c r="N252" i="12" s="1"/>
  <c r="AO252" i="12"/>
  <c r="AB358" i="5"/>
  <c r="AB586" i="5"/>
  <c r="AB645" i="5"/>
  <c r="AB318" i="5"/>
  <c r="O522" i="12"/>
  <c r="C522" i="12"/>
  <c r="AO522" i="12"/>
  <c r="M522" i="12"/>
  <c r="AB308" i="5"/>
  <c r="AB304" i="5"/>
  <c r="AB555" i="5"/>
  <c r="AB251" i="5"/>
  <c r="AB201" i="5"/>
  <c r="AB363" i="5"/>
  <c r="AB257" i="5"/>
  <c r="AB726" i="5"/>
  <c r="O684" i="12"/>
  <c r="M684" i="12"/>
  <c r="C684" i="12"/>
  <c r="AO684" i="12"/>
  <c r="C392" i="6"/>
  <c r="AB274" i="5"/>
  <c r="C340" i="6"/>
  <c r="AO60" i="12"/>
  <c r="M60" i="12"/>
  <c r="O60" i="12"/>
  <c r="C60" i="12"/>
  <c r="AB33" i="5"/>
  <c r="O373" i="12"/>
  <c r="AO373" i="12"/>
  <c r="M373" i="12"/>
  <c r="C373" i="12"/>
  <c r="C497" i="6"/>
  <c r="AB532" i="5"/>
  <c r="O112" i="5"/>
  <c r="C112" i="6"/>
  <c r="O697" i="12"/>
  <c r="M697" i="12"/>
  <c r="C697" i="12"/>
  <c r="AO697" i="12"/>
  <c r="C443" i="6"/>
  <c r="M455" i="12"/>
  <c r="C455" i="12"/>
  <c r="AO455" i="12"/>
  <c r="O455" i="12"/>
  <c r="O298" i="12"/>
  <c r="AO298" i="12"/>
  <c r="C298" i="12"/>
  <c r="M298" i="12"/>
  <c r="AB584" i="5"/>
  <c r="AB372" i="5"/>
  <c r="AO708" i="12"/>
  <c r="C708" i="12"/>
  <c r="O708" i="12"/>
  <c r="M708" i="12"/>
  <c r="AB93" i="5"/>
  <c r="AB306" i="5"/>
  <c r="O68" i="12"/>
  <c r="AO68" i="12"/>
  <c r="Y68" i="12" s="1"/>
  <c r="C68" i="12"/>
  <c r="M68" i="12"/>
  <c r="AB485" i="5"/>
  <c r="C440" i="6"/>
  <c r="AB676" i="5"/>
  <c r="M280" i="12"/>
  <c r="O280" i="12"/>
  <c r="AO280" i="12"/>
  <c r="C280" i="12"/>
  <c r="O448" i="12"/>
  <c r="C448" i="12"/>
  <c r="AO448" i="12"/>
  <c r="M448" i="12"/>
  <c r="AB360" i="5"/>
  <c r="AM90" i="5"/>
  <c r="L90" i="5"/>
  <c r="Z90" i="5"/>
  <c r="I90" i="12"/>
  <c r="X89" i="5"/>
  <c r="AC90" i="5"/>
  <c r="AB587" i="5"/>
  <c r="C638" i="6"/>
  <c r="AB39" i="5"/>
  <c r="C249" i="6"/>
  <c r="O413" i="12"/>
  <c r="N413" i="12" s="1"/>
  <c r="C413" i="12"/>
  <c r="M413" i="12"/>
  <c r="AO413" i="12"/>
  <c r="AB396" i="5"/>
  <c r="C32" i="6"/>
  <c r="O32" i="5"/>
  <c r="C36" i="6"/>
  <c r="O36" i="5"/>
  <c r="C634" i="6"/>
  <c r="AB453" i="5"/>
  <c r="AB106" i="5"/>
  <c r="AB499" i="5"/>
  <c r="I422" i="5"/>
  <c r="I423" i="5" s="1"/>
  <c r="I424" i="5" s="1"/>
  <c r="I425" i="5" s="1"/>
  <c r="I426" i="5" s="1"/>
  <c r="I427" i="5" s="1"/>
  <c r="O427" i="5" s="1"/>
  <c r="L422" i="5"/>
  <c r="I422" i="12"/>
  <c r="AM422" i="5"/>
  <c r="Z422" i="5"/>
  <c r="AC422" i="5"/>
  <c r="AB292" i="5"/>
  <c r="AB85" i="5"/>
  <c r="AB109" i="5"/>
  <c r="AO590" i="12"/>
  <c r="C590" i="12"/>
  <c r="M590" i="12"/>
  <c r="O590" i="12"/>
  <c r="M258" i="12"/>
  <c r="AO258" i="12"/>
  <c r="C258" i="12"/>
  <c r="O258" i="12"/>
  <c r="C99" i="6"/>
  <c r="O99" i="5"/>
  <c r="O390" i="12"/>
  <c r="AO390" i="12"/>
  <c r="M390" i="12"/>
  <c r="C390" i="12"/>
  <c r="O25" i="12"/>
  <c r="C25" i="12"/>
  <c r="M25" i="12"/>
  <c r="AO25" i="12"/>
  <c r="AO256" i="12"/>
  <c r="O256" i="12"/>
  <c r="C256" i="12"/>
  <c r="M256" i="12"/>
  <c r="C267" i="6"/>
  <c r="C375" i="6"/>
  <c r="C203" i="6"/>
  <c r="C84" i="6"/>
  <c r="O84" i="5"/>
  <c r="AO255" i="12"/>
  <c r="C255" i="12"/>
  <c r="O255" i="12"/>
  <c r="M255" i="12"/>
  <c r="AB517" i="5"/>
  <c r="AB254" i="5"/>
  <c r="AO70" i="12"/>
  <c r="O70" i="12"/>
  <c r="C70" i="12"/>
  <c r="M70" i="12"/>
  <c r="AB699" i="5"/>
  <c r="C356" i="6"/>
  <c r="I531" i="12"/>
  <c r="AM531" i="5"/>
  <c r="L531" i="5"/>
  <c r="Z531" i="5"/>
  <c r="AC531" i="5"/>
  <c r="C261" i="6"/>
  <c r="AB536" i="5"/>
  <c r="X526" i="5"/>
  <c r="I527" i="12"/>
  <c r="AM527" i="5"/>
  <c r="Z527" i="5"/>
  <c r="L527" i="5"/>
  <c r="I527" i="5"/>
  <c r="I528" i="5" s="1"/>
  <c r="I529" i="5" s="1"/>
  <c r="I530" i="5" s="1"/>
  <c r="I531" i="5" s="1"/>
  <c r="I532" i="5" s="1"/>
  <c r="I533" i="5" s="1"/>
  <c r="I534" i="5" s="1"/>
  <c r="O534" i="5" s="1"/>
  <c r="AC527" i="5"/>
  <c r="C355" i="6"/>
  <c r="AB369" i="5"/>
  <c r="C279" i="12"/>
  <c r="M279" i="12"/>
  <c r="O279" i="12"/>
  <c r="AO279" i="12"/>
  <c r="AM581" i="5"/>
  <c r="I581" i="5"/>
  <c r="I582" i="5" s="1"/>
  <c r="I583" i="5" s="1"/>
  <c r="I584" i="5" s="1"/>
  <c r="O584" i="5" s="1"/>
  <c r="L581" i="5"/>
  <c r="I581" i="12"/>
  <c r="Z581" i="5"/>
  <c r="AC581" i="5"/>
  <c r="C42" i="6"/>
  <c r="M520" i="12"/>
  <c r="AO520" i="12"/>
  <c r="O520" i="12"/>
  <c r="N520" i="12" s="1"/>
  <c r="C520" i="12"/>
  <c r="C59" i="6"/>
  <c r="C468" i="12"/>
  <c r="M468" i="12"/>
  <c r="O468" i="12"/>
  <c r="AO468" i="12"/>
  <c r="AB352" i="5"/>
  <c r="M209" i="12"/>
  <c r="AO209" i="12"/>
  <c r="C209" i="12"/>
  <c r="O209" i="12"/>
  <c r="AO26" i="12"/>
  <c r="Y26" i="12" s="1"/>
  <c r="C26" i="12"/>
  <c r="M26" i="12"/>
  <c r="O26" i="12"/>
  <c r="AO84" i="12"/>
  <c r="O84" i="12"/>
  <c r="C84" i="12"/>
  <c r="M84" i="12"/>
  <c r="C268" i="6"/>
  <c r="L354" i="5"/>
  <c r="AM354" i="5"/>
  <c r="I354" i="5"/>
  <c r="I355" i="5" s="1"/>
  <c r="I356" i="5" s="1"/>
  <c r="I357" i="5" s="1"/>
  <c r="I358" i="5" s="1"/>
  <c r="I359" i="5" s="1"/>
  <c r="I360" i="5" s="1"/>
  <c r="I361" i="5" s="1"/>
  <c r="I362" i="5" s="1"/>
  <c r="I363" i="5" s="1"/>
  <c r="I364" i="5" s="1"/>
  <c r="O364" i="5" s="1"/>
  <c r="Z354" i="5"/>
  <c r="I354" i="12"/>
  <c r="X353" i="5"/>
  <c r="AC354" i="5"/>
  <c r="AB125" i="5"/>
  <c r="M475" i="12"/>
  <c r="AO475" i="12"/>
  <c r="C475" i="12"/>
  <c r="O475" i="12"/>
  <c r="C202" i="6"/>
  <c r="O62" i="12"/>
  <c r="M62" i="12"/>
  <c r="AO62" i="12"/>
  <c r="Y62" i="12" s="1"/>
  <c r="C62" i="12"/>
  <c r="AB342" i="5"/>
  <c r="C549" i="6"/>
  <c r="O549" i="5"/>
  <c r="C278" i="6"/>
  <c r="C426" i="6"/>
  <c r="O174" i="12"/>
  <c r="M174" i="12"/>
  <c r="C174" i="12"/>
  <c r="AO174" i="12"/>
  <c r="M53" i="12"/>
  <c r="AO53" i="12"/>
  <c r="O53" i="12"/>
  <c r="C53" i="12"/>
  <c r="C290" i="6"/>
  <c r="O290" i="5"/>
  <c r="C552" i="6"/>
  <c r="O552" i="5"/>
  <c r="O586" i="12"/>
  <c r="C586" i="12"/>
  <c r="AO586" i="12"/>
  <c r="M586" i="12"/>
  <c r="AB488" i="5"/>
  <c r="C617" i="12"/>
  <c r="O617" i="12"/>
  <c r="M617" i="12"/>
  <c r="AO617" i="12"/>
  <c r="C522" i="6"/>
  <c r="C346" i="12"/>
  <c r="M346" i="12"/>
  <c r="AO346" i="12"/>
  <c r="O346" i="12"/>
  <c r="O201" i="12"/>
  <c r="M201" i="12"/>
  <c r="C201" i="12"/>
  <c r="AO201" i="12"/>
  <c r="Y201" i="12" s="1"/>
  <c r="C363" i="6"/>
  <c r="O363" i="5"/>
  <c r="Z301" i="5"/>
  <c r="AM301" i="5"/>
  <c r="I301" i="12"/>
  <c r="L301" i="5"/>
  <c r="I301" i="5"/>
  <c r="I302" i="5" s="1"/>
  <c r="I303" i="5" s="1"/>
  <c r="I304" i="5" s="1"/>
  <c r="I305" i="5" s="1"/>
  <c r="I306" i="5" s="1"/>
  <c r="I307" i="5" s="1"/>
  <c r="I308" i="5" s="1"/>
  <c r="I309" i="5" s="1"/>
  <c r="I310" i="5" s="1"/>
  <c r="O310" i="5" s="1"/>
  <c r="AC301" i="5"/>
  <c r="O726" i="12"/>
  <c r="M726" i="12"/>
  <c r="C726" i="12"/>
  <c r="AO726" i="12"/>
  <c r="Y726" i="12" s="1"/>
  <c r="O340" i="12"/>
  <c r="M340" i="12"/>
  <c r="C340" i="12"/>
  <c r="AO340" i="12"/>
  <c r="AB60" i="5"/>
  <c r="C709" i="6"/>
  <c r="O709" i="5"/>
  <c r="AB548" i="5"/>
  <c r="C345" i="6"/>
  <c r="C307" i="6"/>
  <c r="AB112" i="5"/>
  <c r="C697" i="6"/>
  <c r="O697" i="5"/>
  <c r="C443" i="12"/>
  <c r="M443" i="12"/>
  <c r="O443" i="12"/>
  <c r="AO443" i="12"/>
  <c r="C455" i="6"/>
  <c r="C298" i="6"/>
  <c r="C372" i="12"/>
  <c r="M372" i="12"/>
  <c r="AO372" i="12"/>
  <c r="O372" i="12"/>
  <c r="C708" i="6"/>
  <c r="O708" i="5"/>
  <c r="AO704" i="12"/>
  <c r="O704" i="12"/>
  <c r="M704" i="12"/>
  <c r="C704" i="12"/>
  <c r="C93" i="12"/>
  <c r="O93" i="12"/>
  <c r="AO93" i="12"/>
  <c r="M93" i="12"/>
  <c r="AB68" i="5"/>
  <c r="AO55" i="12"/>
  <c r="C55" i="12"/>
  <c r="O55" i="12"/>
  <c r="M55" i="12"/>
  <c r="M440" i="12"/>
  <c r="O440" i="12"/>
  <c r="C440" i="12"/>
  <c r="AO440" i="12"/>
  <c r="C172" i="6"/>
  <c r="AM641" i="5"/>
  <c r="L641" i="5"/>
  <c r="I641" i="12"/>
  <c r="Z641" i="5"/>
  <c r="I641" i="5"/>
  <c r="AC641" i="5"/>
  <c r="AO424" i="12"/>
  <c r="O424" i="12"/>
  <c r="M424" i="12"/>
  <c r="C424" i="12"/>
  <c r="AB113" i="5"/>
  <c r="M360" i="12"/>
  <c r="C360" i="12"/>
  <c r="AO360" i="12"/>
  <c r="O360" i="12"/>
  <c r="O519" i="12"/>
  <c r="M519" i="12"/>
  <c r="AO519" i="12"/>
  <c r="C519" i="12"/>
  <c r="AB387" i="5"/>
  <c r="AB698" i="5"/>
  <c r="C339" i="6"/>
  <c r="C384" i="6"/>
  <c r="AB413" i="5"/>
  <c r="AO262" i="12"/>
  <c r="M262" i="12"/>
  <c r="C262" i="12"/>
  <c r="O262" i="12"/>
  <c r="AB379" i="5"/>
  <c r="C106" i="6"/>
  <c r="O106" i="5"/>
  <c r="AB557" i="5"/>
  <c r="AB327" i="5"/>
  <c r="C556" i="6"/>
  <c r="O556" i="5"/>
  <c r="C61" i="12"/>
  <c r="M61" i="12"/>
  <c r="AO61" i="12"/>
  <c r="O61" i="12"/>
  <c r="O99" i="12"/>
  <c r="C99" i="12"/>
  <c r="M99" i="12"/>
  <c r="AO99" i="12"/>
  <c r="AB261" i="5"/>
  <c r="AB25" i="5"/>
  <c r="C256" i="6"/>
  <c r="C330" i="12"/>
  <c r="O330" i="12"/>
  <c r="M330" i="12"/>
  <c r="AO330" i="12"/>
  <c r="AO521" i="12"/>
  <c r="M521" i="12"/>
  <c r="C521" i="12"/>
  <c r="O521" i="12"/>
  <c r="AB54" i="5"/>
  <c r="AB197" i="5"/>
  <c r="C536" i="6"/>
  <c r="C336" i="6"/>
  <c r="O336" i="5"/>
  <c r="C375" i="12"/>
  <c r="AO375" i="12"/>
  <c r="O375" i="12"/>
  <c r="M375" i="12"/>
  <c r="AO369" i="12"/>
  <c r="O369" i="12"/>
  <c r="C369" i="12"/>
  <c r="M369" i="12"/>
  <c r="AB42" i="5"/>
  <c r="C589" i="12"/>
  <c r="AO589" i="12"/>
  <c r="O589" i="12"/>
  <c r="M589" i="12"/>
  <c r="AO59" i="12"/>
  <c r="O59" i="12"/>
  <c r="C59" i="12"/>
  <c r="M59" i="12"/>
  <c r="I702" i="12"/>
  <c r="X701" i="5"/>
  <c r="L702" i="5"/>
  <c r="Z702" i="5"/>
  <c r="AM702" i="5"/>
  <c r="AC702" i="5"/>
  <c r="O541" i="12"/>
  <c r="M541" i="12"/>
  <c r="C541" i="12"/>
  <c r="AO541" i="12"/>
  <c r="AB84" i="5"/>
  <c r="AB268" i="5"/>
  <c r="C34" i="6"/>
  <c r="O34" i="5"/>
  <c r="M125" i="12"/>
  <c r="C125" i="12"/>
  <c r="O125" i="12"/>
  <c r="AO125" i="12"/>
  <c r="AO549" i="12"/>
  <c r="C549" i="12"/>
  <c r="M549" i="12"/>
  <c r="O549" i="12"/>
  <c r="Z248" i="5"/>
  <c r="L248" i="5"/>
  <c r="I248" i="12"/>
  <c r="AM248" i="5"/>
  <c r="I248" i="5"/>
  <c r="I249" i="5" s="1"/>
  <c r="I250" i="5" s="1"/>
  <c r="I251" i="5" s="1"/>
  <c r="I252" i="5" s="1"/>
  <c r="I253" i="5" s="1"/>
  <c r="I254" i="5" s="1"/>
  <c r="I255" i="5" s="1"/>
  <c r="I256" i="5" s="1"/>
  <c r="I257" i="5" s="1"/>
  <c r="I258" i="5" s="1"/>
  <c r="O258" i="5" s="1"/>
  <c r="AC248" i="5"/>
  <c r="AB426" i="5"/>
  <c r="M450" i="12"/>
  <c r="AO450" i="12"/>
  <c r="C450" i="12"/>
  <c r="O450" i="12"/>
  <c r="AB299" i="5"/>
  <c r="O70" i="5"/>
  <c r="C70" i="6"/>
  <c r="C252" i="6"/>
  <c r="O252" i="5"/>
  <c r="O425" i="12"/>
  <c r="M425" i="12"/>
  <c r="C425" i="12"/>
  <c r="AO425" i="12"/>
  <c r="C53" i="6"/>
  <c r="AB290" i="5"/>
  <c r="C552" i="12"/>
  <c r="AO552" i="12"/>
  <c r="M552" i="12"/>
  <c r="O552" i="12"/>
  <c r="C586" i="6"/>
  <c r="AB617" i="5"/>
  <c r="AB219" i="5"/>
  <c r="C318" i="12"/>
  <c r="AO318" i="12"/>
  <c r="M318" i="12"/>
  <c r="O318" i="12"/>
  <c r="C699" i="12"/>
  <c r="AO699" i="12"/>
  <c r="O699" i="12"/>
  <c r="M699" i="12"/>
  <c r="O304" i="12"/>
  <c r="M304" i="12"/>
  <c r="AO304" i="12"/>
  <c r="C304" i="12"/>
  <c r="AB346" i="5"/>
  <c r="M555" i="12"/>
  <c r="O555" i="12"/>
  <c r="C555" i="12"/>
  <c r="AO555" i="12"/>
  <c r="O251" i="12"/>
  <c r="AO251" i="12"/>
  <c r="M251" i="12"/>
  <c r="C251" i="12"/>
  <c r="C363" i="12"/>
  <c r="AO363" i="12"/>
  <c r="M363" i="12"/>
  <c r="O363" i="12"/>
  <c r="AB332" i="5"/>
  <c r="I509" i="5"/>
  <c r="I510" i="5" s="1"/>
  <c r="I511" i="5" s="1"/>
  <c r="I512" i="5" s="1"/>
  <c r="I513" i="5" s="1"/>
  <c r="I514" i="5" s="1"/>
  <c r="I515" i="5" s="1"/>
  <c r="I516" i="5" s="1"/>
  <c r="I517" i="5" s="1"/>
  <c r="I518" i="5" s="1"/>
  <c r="I519" i="5" s="1"/>
  <c r="I520" i="5" s="1"/>
  <c r="I521" i="5" s="1"/>
  <c r="I522" i="5" s="1"/>
  <c r="I523" i="5" s="1"/>
  <c r="I524" i="5" s="1"/>
  <c r="I525" i="5" s="1"/>
  <c r="O525" i="5" s="1"/>
  <c r="L509" i="5"/>
  <c r="X508" i="5"/>
  <c r="AM509" i="5"/>
  <c r="I509" i="12"/>
  <c r="Z509" i="5"/>
  <c r="AC509" i="5"/>
  <c r="C521" i="6"/>
  <c r="O274" i="12"/>
  <c r="AO274" i="12"/>
  <c r="M274" i="12"/>
  <c r="C274" i="12"/>
  <c r="AB709" i="5"/>
  <c r="C548" i="6"/>
  <c r="O548" i="5"/>
  <c r="O345" i="12"/>
  <c r="AO345" i="12"/>
  <c r="M345" i="12"/>
  <c r="C345" i="12"/>
  <c r="M497" i="12"/>
  <c r="C497" i="12"/>
  <c r="AO497" i="12"/>
  <c r="O497" i="12"/>
  <c r="M307" i="12"/>
  <c r="AO307" i="12"/>
  <c r="C307" i="12"/>
  <c r="O307" i="12"/>
  <c r="O112" i="12"/>
  <c r="C112" i="12"/>
  <c r="M112" i="12"/>
  <c r="AO112" i="12"/>
  <c r="AB443" i="5"/>
  <c r="AB455" i="5"/>
  <c r="C511" i="12"/>
  <c r="M511" i="12"/>
  <c r="AO511" i="12"/>
  <c r="O511" i="12"/>
  <c r="AB704" i="5"/>
  <c r="C93" i="6"/>
  <c r="O93" i="5"/>
  <c r="M693" i="12"/>
  <c r="O693" i="12"/>
  <c r="C693" i="12"/>
  <c r="AO693" i="12"/>
  <c r="Y693" i="12" s="1"/>
  <c r="C197" i="6"/>
  <c r="AB55" i="5"/>
  <c r="C485" i="12"/>
  <c r="AO485" i="12"/>
  <c r="M485" i="12"/>
  <c r="O485" i="12"/>
  <c r="AB440" i="5"/>
  <c r="I38" i="12"/>
  <c r="Z38" i="5"/>
  <c r="AM38" i="5"/>
  <c r="X37" i="5"/>
  <c r="L38" i="5"/>
  <c r="AC38" i="5"/>
  <c r="C448" i="6"/>
  <c r="C424" i="6"/>
  <c r="O424" i="5"/>
  <c r="C663" i="6"/>
  <c r="M533" i="12"/>
  <c r="AO533" i="12"/>
  <c r="O533" i="12"/>
  <c r="C533" i="12"/>
  <c r="C519" i="6"/>
  <c r="C698" i="6"/>
  <c r="O698" i="5"/>
  <c r="AB339" i="5"/>
  <c r="AB538" i="5"/>
  <c r="C638" i="12"/>
  <c r="AO638" i="12"/>
  <c r="M638" i="12"/>
  <c r="O638" i="12"/>
  <c r="M384" i="12"/>
  <c r="C384" i="12"/>
  <c r="AO384" i="12"/>
  <c r="O384" i="12"/>
  <c r="AB249" i="5"/>
  <c r="AB262" i="5"/>
  <c r="AO396" i="12"/>
  <c r="M396" i="12"/>
  <c r="C396" i="12"/>
  <c r="O396" i="12"/>
  <c r="C32" i="12"/>
  <c r="M32" i="12"/>
  <c r="AO32" i="12"/>
  <c r="O32" i="12"/>
  <c r="M379" i="12"/>
  <c r="AO379" i="12"/>
  <c r="O379" i="12"/>
  <c r="C379" i="12"/>
  <c r="AO557" i="12"/>
  <c r="C557" i="12"/>
  <c r="O557" i="12"/>
  <c r="M557" i="12"/>
  <c r="C327" i="6"/>
  <c r="O327" i="5"/>
  <c r="AO499" i="12"/>
  <c r="C499" i="12"/>
  <c r="M499" i="12"/>
  <c r="O499" i="12"/>
  <c r="AM24" i="5"/>
  <c r="I24" i="12"/>
  <c r="Z24" i="5"/>
  <c r="L24" i="5"/>
  <c r="AC24" i="5"/>
  <c r="C61" i="6"/>
  <c r="M292" i="12"/>
  <c r="AO292" i="12"/>
  <c r="C292" i="12"/>
  <c r="O292" i="12"/>
  <c r="X40" i="5"/>
  <c r="Z41" i="5"/>
  <c r="AM41" i="5"/>
  <c r="L41" i="5"/>
  <c r="I41" i="12"/>
  <c r="I41" i="5"/>
  <c r="I42" i="5" s="1"/>
  <c r="I43" i="5" s="1"/>
  <c r="I44" i="5" s="1"/>
  <c r="I45" i="5" s="1"/>
  <c r="I46" i="5" s="1"/>
  <c r="I47" i="5" s="1"/>
  <c r="I48" i="5" s="1"/>
  <c r="I49" i="5" s="1"/>
  <c r="I50" i="5" s="1"/>
  <c r="I51" i="5" s="1"/>
  <c r="I52" i="5" s="1"/>
  <c r="I53" i="5" s="1"/>
  <c r="I54" i="5" s="1"/>
  <c r="I55" i="5" s="1"/>
  <c r="I56" i="5" s="1"/>
  <c r="I57" i="5" s="1"/>
  <c r="I58" i="5" s="1"/>
  <c r="I59" i="5" s="1"/>
  <c r="I60" i="5" s="1"/>
  <c r="I61" i="5" s="1"/>
  <c r="I62" i="5" s="1"/>
  <c r="O62" i="5" s="1"/>
  <c r="AC41" i="5"/>
  <c r="AB550" i="5"/>
  <c r="C390" i="6"/>
  <c r="C25" i="6"/>
  <c r="N280" i="12" l="1"/>
  <c r="Y373" i="12"/>
  <c r="N182" i="12"/>
  <c r="Y697" i="12"/>
  <c r="Y417" i="12"/>
  <c r="N486" i="12"/>
  <c r="N197" i="12"/>
  <c r="Y410" i="12"/>
  <c r="N54" i="12"/>
  <c r="Y202" i="12"/>
  <c r="Y589" i="12"/>
  <c r="N489" i="12"/>
  <c r="Y72" i="12"/>
  <c r="N442" i="12"/>
  <c r="Y307" i="12"/>
  <c r="Y528" i="12"/>
  <c r="N542" i="12"/>
  <c r="N175" i="12"/>
  <c r="Y276" i="12"/>
  <c r="N46" i="12"/>
  <c r="N406" i="12"/>
  <c r="Y106" i="12"/>
  <c r="N698" i="12"/>
  <c r="N391" i="12"/>
  <c r="N267" i="12"/>
  <c r="Y557" i="12"/>
  <c r="Y304" i="12"/>
  <c r="Y256" i="12"/>
  <c r="N260" i="12"/>
  <c r="N699" i="12"/>
  <c r="N375" i="12"/>
  <c r="N575" i="12"/>
  <c r="Y707" i="12"/>
  <c r="N112" i="12"/>
  <c r="N345" i="12"/>
  <c r="N251" i="12"/>
  <c r="Y555" i="12"/>
  <c r="Y249" i="12"/>
  <c r="Y51" i="12"/>
  <c r="Y374" i="12"/>
  <c r="Y515" i="12"/>
  <c r="Y351" i="12"/>
  <c r="Y290" i="12"/>
  <c r="N425" i="12"/>
  <c r="Y424" i="12"/>
  <c r="N390" i="12"/>
  <c r="Y455" i="12"/>
  <c r="Y684" i="12"/>
  <c r="X684" i="12" s="1"/>
  <c r="Y378" i="12"/>
  <c r="N340" i="12"/>
  <c r="N617" i="12"/>
  <c r="N53" i="12"/>
  <c r="N279" i="12"/>
  <c r="Y522" i="12"/>
  <c r="Y444" i="12"/>
  <c r="Y172" i="12"/>
  <c r="N546" i="12"/>
  <c r="N516" i="12"/>
  <c r="Y482" i="12"/>
  <c r="N514" i="12"/>
  <c r="N190" i="12"/>
  <c r="N33" i="12"/>
  <c r="N269" i="12"/>
  <c r="Y362" i="12"/>
  <c r="Y287" i="12"/>
  <c r="Y708" i="12"/>
  <c r="Y430" i="12"/>
  <c r="Y662" i="12"/>
  <c r="Y327" i="12"/>
  <c r="N387" i="12"/>
  <c r="N263" i="12"/>
  <c r="Y345" i="12"/>
  <c r="W345" i="12" s="1"/>
  <c r="Y251" i="12"/>
  <c r="N549" i="12"/>
  <c r="Y330" i="12"/>
  <c r="Y586" i="12"/>
  <c r="Y209" i="12"/>
  <c r="Y25" i="12"/>
  <c r="Y258" i="12"/>
  <c r="Y413" i="12"/>
  <c r="Y634" i="12"/>
  <c r="N302" i="12"/>
  <c r="Y288" i="12"/>
  <c r="N484" i="12"/>
  <c r="N574" i="12"/>
  <c r="N35" i="12"/>
  <c r="Y219" i="12"/>
  <c r="N292" i="12"/>
  <c r="N32" i="12"/>
  <c r="N533" i="12"/>
  <c r="Y262" i="12"/>
  <c r="N346" i="12"/>
  <c r="N60" i="12"/>
  <c r="N510" i="12"/>
  <c r="Y341" i="12"/>
  <c r="Y550" i="12"/>
  <c r="W550" i="12" s="1"/>
  <c r="Y460" i="12"/>
  <c r="Y538" i="12"/>
  <c r="Y412" i="12"/>
  <c r="Y377" i="12"/>
  <c r="Y664" i="12"/>
  <c r="N398" i="12"/>
  <c r="Y80" i="12"/>
  <c r="N707" i="12"/>
  <c r="Y513" i="12"/>
  <c r="N108" i="12"/>
  <c r="Y367" i="12"/>
  <c r="N368" i="12"/>
  <c r="Y638" i="12"/>
  <c r="Y511" i="12"/>
  <c r="X511" i="12" s="1"/>
  <c r="N125" i="12"/>
  <c r="N443" i="12"/>
  <c r="Y84" i="12"/>
  <c r="Y590" i="12"/>
  <c r="N587" i="12"/>
  <c r="Y392" i="12"/>
  <c r="Y489" i="12"/>
  <c r="Y551" i="12"/>
  <c r="N676" i="12"/>
  <c r="N626" i="12"/>
  <c r="N335" i="12"/>
  <c r="Y43" i="12"/>
  <c r="Y95" i="12"/>
  <c r="N203" i="12"/>
  <c r="N448" i="12"/>
  <c r="N85" i="12"/>
  <c r="N612" i="12"/>
  <c r="Y663" i="12"/>
  <c r="Y99" i="12"/>
  <c r="Y720" i="12"/>
  <c r="N540" i="12"/>
  <c r="Y439" i="12"/>
  <c r="W439" i="12" s="1"/>
  <c r="N499" i="12"/>
  <c r="Y379" i="12"/>
  <c r="Y521" i="12"/>
  <c r="N61" i="12"/>
  <c r="Y174" i="12"/>
  <c r="N62" i="12"/>
  <c r="N258" i="12"/>
  <c r="N684" i="12"/>
  <c r="N427" i="12"/>
  <c r="Y100" i="12"/>
  <c r="Y470" i="12"/>
  <c r="Y453" i="12"/>
  <c r="W453" i="12" s="1"/>
  <c r="N705" i="12"/>
  <c r="N278" i="12"/>
  <c r="Y210" i="12"/>
  <c r="N275" i="12"/>
  <c r="Y616" i="12"/>
  <c r="Y524" i="12"/>
  <c r="Y407" i="12"/>
  <c r="N662" i="12"/>
  <c r="Y622" i="12"/>
  <c r="O691" i="5"/>
  <c r="Y612" i="12"/>
  <c r="Y646" i="12"/>
  <c r="X646" i="12" s="1"/>
  <c r="Y261" i="12"/>
  <c r="Y87" i="12"/>
  <c r="N674" i="12"/>
  <c r="Y268" i="12"/>
  <c r="N73" i="12"/>
  <c r="Y699" i="12"/>
  <c r="Y59" i="12"/>
  <c r="Y375" i="12"/>
  <c r="N56" i="12"/>
  <c r="Y324" i="12"/>
  <c r="N429" i="12"/>
  <c r="N361" i="12"/>
  <c r="Y582" i="12"/>
  <c r="Y690" i="12"/>
  <c r="Y539" i="12"/>
  <c r="Y484" i="12"/>
  <c r="N315" i="12"/>
  <c r="N86" i="12"/>
  <c r="Y52" i="12"/>
  <c r="N420" i="12"/>
  <c r="Y533" i="12"/>
  <c r="Y346" i="12"/>
  <c r="N174" i="12"/>
  <c r="O553" i="5"/>
  <c r="D553" i="12" s="1"/>
  <c r="Y342" i="12"/>
  <c r="Y69" i="12"/>
  <c r="N690" i="12"/>
  <c r="N539" i="12"/>
  <c r="Y537" i="12"/>
  <c r="N638" i="12"/>
  <c r="N485" i="12"/>
  <c r="N318" i="12"/>
  <c r="Y450" i="12"/>
  <c r="Y549" i="12"/>
  <c r="N541" i="12"/>
  <c r="N589" i="12"/>
  <c r="Y475" i="12"/>
  <c r="Y468" i="12"/>
  <c r="O356" i="5"/>
  <c r="Y255" i="12"/>
  <c r="N590" i="12"/>
  <c r="Y709" i="12"/>
  <c r="Y291" i="12"/>
  <c r="N536" i="12"/>
  <c r="N556" i="12"/>
  <c r="Y33" i="12"/>
  <c r="Y534" i="12"/>
  <c r="N337" i="12"/>
  <c r="N388" i="12"/>
  <c r="N65" i="12"/>
  <c r="N700" i="12"/>
  <c r="Y303" i="12"/>
  <c r="Y414" i="12"/>
  <c r="N410" i="12"/>
  <c r="N323" i="12"/>
  <c r="N282" i="12"/>
  <c r="N310" i="12"/>
  <c r="N538" i="12"/>
  <c r="Y197" i="12"/>
  <c r="N488" i="12"/>
  <c r="N555" i="12"/>
  <c r="Y443" i="12"/>
  <c r="Y252" i="12"/>
  <c r="Y339" i="12"/>
  <c r="N685" i="12"/>
  <c r="Y451" i="12"/>
  <c r="Y56" i="12"/>
  <c r="Y94" i="12"/>
  <c r="Y356" i="12"/>
  <c r="N31" i="12"/>
  <c r="N558" i="12"/>
  <c r="N309" i="12"/>
  <c r="Y334" i="12"/>
  <c r="N336" i="12"/>
  <c r="Y426" i="12"/>
  <c r="N34" i="12"/>
  <c r="N497" i="12"/>
  <c r="N424" i="12"/>
  <c r="N704" i="12"/>
  <c r="N26" i="12"/>
  <c r="N249" i="12"/>
  <c r="Y308" i="12"/>
  <c r="N635" i="12"/>
  <c r="N171" i="12"/>
  <c r="N273" i="12"/>
  <c r="Y447" i="12"/>
  <c r="N408" i="12"/>
  <c r="N351" i="12"/>
  <c r="Y108" i="12"/>
  <c r="N181" i="12"/>
  <c r="Y692" i="12"/>
  <c r="Y28" i="12"/>
  <c r="Y329" i="12"/>
  <c r="N404" i="12"/>
  <c r="Y348" i="12"/>
  <c r="Y71" i="12"/>
  <c r="X71" i="12" s="1"/>
  <c r="Y390" i="12"/>
  <c r="Y98" i="12"/>
  <c r="N504" i="12"/>
  <c r="N306" i="12"/>
  <c r="N525" i="12"/>
  <c r="N529" i="12"/>
  <c r="Y109" i="12"/>
  <c r="N380" i="12"/>
  <c r="Y423" i="12"/>
  <c r="N329" i="12"/>
  <c r="N609" i="12"/>
  <c r="Y46" i="12"/>
  <c r="X46" i="12" s="1"/>
  <c r="Y271" i="12"/>
  <c r="N446" i="12"/>
  <c r="Y322" i="12"/>
  <c r="Y587" i="12"/>
  <c r="Y504" i="12"/>
  <c r="N470" i="12"/>
  <c r="Y85" i="12"/>
  <c r="N364" i="12"/>
  <c r="N305" i="12"/>
  <c r="Y335" i="12"/>
  <c r="N105" i="12"/>
  <c r="Y542" i="12"/>
  <c r="X542" i="12" s="1"/>
  <c r="N379" i="12"/>
  <c r="Y112" i="12"/>
  <c r="N304" i="12"/>
  <c r="N262" i="12"/>
  <c r="N372" i="12"/>
  <c r="N209" i="12"/>
  <c r="Y520" i="12"/>
  <c r="N708" i="12"/>
  <c r="Y355" i="12"/>
  <c r="N453" i="12"/>
  <c r="N49" i="12"/>
  <c r="N88" i="12"/>
  <c r="N264" i="12"/>
  <c r="Y382" i="12"/>
  <c r="Y83" i="12"/>
  <c r="Y272" i="12"/>
  <c r="Y50" i="12"/>
  <c r="X50" i="12" s="1"/>
  <c r="Y406" i="12"/>
  <c r="Y391" i="12"/>
  <c r="N87" i="12"/>
  <c r="Y583" i="12"/>
  <c r="O61" i="5"/>
  <c r="D327" i="12"/>
  <c r="E327" i="6"/>
  <c r="N511" i="12"/>
  <c r="N307" i="12"/>
  <c r="E548" i="6"/>
  <c r="D548" i="12"/>
  <c r="O509" i="12"/>
  <c r="C509" i="12"/>
  <c r="M509" i="12"/>
  <c r="M508" i="12" s="1"/>
  <c r="AO509" i="12"/>
  <c r="Y541" i="12"/>
  <c r="N59" i="12"/>
  <c r="N521" i="12"/>
  <c r="E556" i="6"/>
  <c r="D556" i="12"/>
  <c r="Y440" i="12"/>
  <c r="N93" i="12"/>
  <c r="O307" i="5"/>
  <c r="D364" i="12"/>
  <c r="E364" i="6"/>
  <c r="O59" i="5"/>
  <c r="C581" i="6"/>
  <c r="O581" i="5"/>
  <c r="D534" i="12"/>
  <c r="E534" i="6"/>
  <c r="AB531" i="5"/>
  <c r="C422" i="12"/>
  <c r="AO422" i="12"/>
  <c r="M422" i="12"/>
  <c r="O422" i="12"/>
  <c r="X455" i="12"/>
  <c r="W455" i="12"/>
  <c r="Y60" i="12"/>
  <c r="N322" i="12"/>
  <c r="O683" i="5"/>
  <c r="C683" i="6"/>
  <c r="Y42" i="12"/>
  <c r="N355" i="12"/>
  <c r="N36" i="12"/>
  <c r="N291" i="12"/>
  <c r="Y584" i="12"/>
  <c r="N689" i="12"/>
  <c r="E100" i="6"/>
  <c r="D100" i="12"/>
  <c r="N100" i="12"/>
  <c r="Y352" i="12"/>
  <c r="N451" i="12"/>
  <c r="N720" i="12"/>
  <c r="N634" i="12"/>
  <c r="Y676" i="12"/>
  <c r="E214" i="6"/>
  <c r="D214" i="12"/>
  <c r="O60" i="5"/>
  <c r="Y257" i="12"/>
  <c r="O308" i="5"/>
  <c r="Y331" i="12"/>
  <c r="D689" i="12"/>
  <c r="E689" i="6"/>
  <c r="Y512" i="12"/>
  <c r="N43" i="12"/>
  <c r="O305" i="5"/>
  <c r="C30" i="6"/>
  <c r="O30" i="5"/>
  <c r="O551" i="5"/>
  <c r="O518" i="5"/>
  <c r="N210" i="12"/>
  <c r="N482" i="12"/>
  <c r="AB111" i="5"/>
  <c r="AB110" i="5" s="1"/>
  <c r="M82" i="12"/>
  <c r="M81" i="12" s="1"/>
  <c r="C82" i="12"/>
  <c r="O82" i="12"/>
  <c r="AO82" i="12"/>
  <c r="O331" i="5"/>
  <c r="Y264" i="12"/>
  <c r="N515" i="12"/>
  <c r="Y277" i="12"/>
  <c r="Y325" i="12"/>
  <c r="AO403" i="12"/>
  <c r="O403" i="12"/>
  <c r="M403" i="12"/>
  <c r="C403" i="12"/>
  <c r="E289" i="6"/>
  <c r="D289" i="12"/>
  <c r="N303" i="12"/>
  <c r="N616" i="12"/>
  <c r="N67" i="12"/>
  <c r="C725" i="6"/>
  <c r="O725" i="5"/>
  <c r="N593" i="12"/>
  <c r="O608" i="5"/>
  <c r="C608" i="6"/>
  <c r="N28" i="12"/>
  <c r="N356" i="12"/>
  <c r="M605" i="12"/>
  <c r="O605" i="12"/>
  <c r="AO605" i="12"/>
  <c r="C605" i="12"/>
  <c r="AB286" i="5"/>
  <c r="AB285" i="5" s="1"/>
  <c r="C687" i="6"/>
  <c r="O687" i="5"/>
  <c r="AB629" i="5"/>
  <c r="Y182" i="12"/>
  <c r="N332" i="12"/>
  <c r="AB222" i="5"/>
  <c r="W50" i="12"/>
  <c r="AB231" i="5"/>
  <c r="AB230" i="5" s="1"/>
  <c r="O254" i="5"/>
  <c r="O692" i="5"/>
  <c r="O333" i="5"/>
  <c r="Y203" i="12"/>
  <c r="AB92" i="5"/>
  <c r="AB91" i="5" s="1"/>
  <c r="N550" i="12"/>
  <c r="W327" i="12"/>
  <c r="X327" i="12"/>
  <c r="Y691" i="12"/>
  <c r="Y548" i="12"/>
  <c r="O555" i="5"/>
  <c r="Y123" i="12"/>
  <c r="N290" i="12"/>
  <c r="C614" i="6"/>
  <c r="O614" i="5"/>
  <c r="N51" i="12"/>
  <c r="W621" i="5"/>
  <c r="AJ621" i="6" s="1"/>
  <c r="X621" i="5" s="1"/>
  <c r="AN621" i="5"/>
  <c r="AN395" i="5"/>
  <c r="W395" i="5"/>
  <c r="AJ395" i="6" s="1"/>
  <c r="X395" i="5" s="1"/>
  <c r="AN657" i="5"/>
  <c r="W657" i="5"/>
  <c r="AJ657" i="6" s="1"/>
  <c r="AN192" i="5"/>
  <c r="W192" i="5"/>
  <c r="AJ192" i="6" s="1"/>
  <c r="X192" i="5" s="1"/>
  <c r="AN670" i="5"/>
  <c r="W670" i="5"/>
  <c r="AJ670" i="6" s="1"/>
  <c r="X670" i="5" s="1"/>
  <c r="W493" i="5"/>
  <c r="AJ493" i="6" s="1"/>
  <c r="X493" i="5" s="1"/>
  <c r="AN493" i="5"/>
  <c r="W478" i="5"/>
  <c r="AJ478" i="6" s="1"/>
  <c r="X478" i="5" s="1"/>
  <c r="AN478" i="5"/>
  <c r="AN463" i="5"/>
  <c r="W463" i="5"/>
  <c r="AJ463" i="6" s="1"/>
  <c r="X463" i="5" s="1"/>
  <c r="W672" i="5"/>
  <c r="AJ672" i="6" s="1"/>
  <c r="X672" i="5" s="1"/>
  <c r="AN672" i="5"/>
  <c r="W283" i="5"/>
  <c r="AJ283" i="6" s="1"/>
  <c r="X283" i="5" s="1"/>
  <c r="AN283" i="5"/>
  <c r="AN312" i="5"/>
  <c r="W312" i="5"/>
  <c r="AJ312" i="6" s="1"/>
  <c r="X312" i="5" s="1"/>
  <c r="AN234" i="5"/>
  <c r="W234" i="5"/>
  <c r="AJ234" i="6" s="1"/>
  <c r="W572" i="5"/>
  <c r="AJ572" i="6" s="1"/>
  <c r="X572" i="5" s="1"/>
  <c r="AN572" i="5"/>
  <c r="AN207" i="5"/>
  <c r="W207" i="5"/>
  <c r="AJ207" i="6" s="1"/>
  <c r="X207" i="5" s="1"/>
  <c r="W405" i="5"/>
  <c r="AJ405" i="6" s="1"/>
  <c r="AN405" i="5"/>
  <c r="W449" i="5"/>
  <c r="AJ449" i="6" s="1"/>
  <c r="X449" i="5" s="1"/>
  <c r="AN449" i="5"/>
  <c r="AN79" i="5"/>
  <c r="W79" i="5"/>
  <c r="AJ79" i="6" s="1"/>
  <c r="X79" i="5" s="1"/>
  <c r="W481" i="5"/>
  <c r="AJ481" i="6" s="1"/>
  <c r="X481" i="5" s="1"/>
  <c r="AN481" i="5"/>
  <c r="AN571" i="5"/>
  <c r="W571" i="5"/>
  <c r="AJ571" i="6" s="1"/>
  <c r="X571" i="5" s="1"/>
  <c r="W206" i="5"/>
  <c r="AJ206" i="6" s="1"/>
  <c r="X206" i="5" s="1"/>
  <c r="AN206" i="5"/>
  <c r="O519" i="5"/>
  <c r="C38" i="6"/>
  <c r="O38" i="5"/>
  <c r="W511" i="12"/>
  <c r="X251" i="12"/>
  <c r="W251" i="12"/>
  <c r="X549" i="12"/>
  <c r="W549" i="12"/>
  <c r="W59" i="12"/>
  <c r="X59" i="12"/>
  <c r="W262" i="12"/>
  <c r="X262" i="12"/>
  <c r="Y519" i="12"/>
  <c r="E363" i="6"/>
  <c r="D363" i="12"/>
  <c r="Y617" i="12"/>
  <c r="E290" i="6"/>
  <c r="D290" i="12"/>
  <c r="N475" i="12"/>
  <c r="X26" i="12"/>
  <c r="W26" i="12"/>
  <c r="E584" i="6"/>
  <c r="D584" i="12"/>
  <c r="O527" i="5"/>
  <c r="C527" i="6"/>
  <c r="C531" i="6"/>
  <c r="O531" i="5"/>
  <c r="W590" i="12"/>
  <c r="X590" i="12"/>
  <c r="C422" i="6"/>
  <c r="O422" i="5"/>
  <c r="D32" i="12"/>
  <c r="E32" i="6"/>
  <c r="E685" i="6"/>
  <c r="D685" i="12"/>
  <c r="N42" i="12"/>
  <c r="N313" i="12"/>
  <c r="AB320" i="5"/>
  <c r="AB122" i="5"/>
  <c r="N392" i="12"/>
  <c r="X689" i="12"/>
  <c r="W689" i="12"/>
  <c r="O97" i="12"/>
  <c r="AO97" i="12"/>
  <c r="C97" i="12"/>
  <c r="M97" i="12"/>
  <c r="M96" i="12" s="1"/>
  <c r="W540" i="12"/>
  <c r="X540" i="12"/>
  <c r="W113" i="12"/>
  <c r="X113" i="12"/>
  <c r="AB213" i="5"/>
  <c r="Y486" i="12"/>
  <c r="N257" i="12"/>
  <c r="Y278" i="12"/>
  <c r="Y514" i="12"/>
  <c r="O520" i="5"/>
  <c r="N109" i="12"/>
  <c r="AB75" i="5"/>
  <c r="AC349" i="5"/>
  <c r="I349" i="12"/>
  <c r="L349" i="5"/>
  <c r="R137" i="8"/>
  <c r="Z349" i="5"/>
  <c r="AM349" i="5"/>
  <c r="N615" i="12"/>
  <c r="Y546" i="12"/>
  <c r="N331" i="12"/>
  <c r="X43" i="12"/>
  <c r="W43" i="12"/>
  <c r="N69" i="12"/>
  <c r="L29" i="5"/>
  <c r="AM29" i="5"/>
  <c r="Z29" i="5"/>
  <c r="R26" i="8"/>
  <c r="I29" i="12"/>
  <c r="AC29" i="5"/>
  <c r="W398" i="12"/>
  <c r="X398" i="12"/>
  <c r="X210" i="12"/>
  <c r="W210" i="12"/>
  <c r="Y648" i="12"/>
  <c r="O111" i="12"/>
  <c r="M111" i="12"/>
  <c r="M110" i="12" s="1"/>
  <c r="AO111" i="12"/>
  <c r="C111" i="12"/>
  <c r="Y211" i="12"/>
  <c r="O49" i="5"/>
  <c r="X67" i="12"/>
  <c r="W67" i="12"/>
  <c r="Z724" i="5"/>
  <c r="AM724" i="5"/>
  <c r="I724" i="12"/>
  <c r="R257" i="8"/>
  <c r="L724" i="5"/>
  <c r="AC724" i="5"/>
  <c r="N333" i="12"/>
  <c r="Y105" i="12"/>
  <c r="AB608" i="5"/>
  <c r="AB607" i="5" s="1"/>
  <c r="E700" i="6"/>
  <c r="D700" i="12"/>
  <c r="O423" i="5"/>
  <c r="O325" i="5"/>
  <c r="M246" i="12"/>
  <c r="M245" i="12" s="1"/>
  <c r="AO246" i="12"/>
  <c r="O246" i="12"/>
  <c r="C246" i="12"/>
  <c r="Y45" i="12"/>
  <c r="N362" i="12"/>
  <c r="M286" i="12"/>
  <c r="M285" i="12" s="1"/>
  <c r="O286" i="12"/>
  <c r="AO286" i="12"/>
  <c r="C286" i="12"/>
  <c r="AO687" i="12"/>
  <c r="C687" i="12"/>
  <c r="O687" i="12"/>
  <c r="M687" i="12"/>
  <c r="M686" i="12" s="1"/>
  <c r="N232" i="12"/>
  <c r="C416" i="6"/>
  <c r="O416" i="5"/>
  <c r="N663" i="12"/>
  <c r="C629" i="6"/>
  <c r="O629" i="5"/>
  <c r="W95" i="12"/>
  <c r="X95" i="12"/>
  <c r="E95" i="6"/>
  <c r="D95" i="12"/>
  <c r="N691" i="12"/>
  <c r="Y698" i="12"/>
  <c r="O55" i="5"/>
  <c r="N123" i="12"/>
  <c r="N426" i="12"/>
  <c r="AO614" i="12"/>
  <c r="C614" i="12"/>
  <c r="M614" i="12"/>
  <c r="M613" i="12" s="1"/>
  <c r="O614" i="12"/>
  <c r="O83" i="5"/>
  <c r="AN644" i="5"/>
  <c r="W644" i="5"/>
  <c r="AJ644" i="6" s="1"/>
  <c r="W241" i="5"/>
  <c r="AJ241" i="6" s="1"/>
  <c r="X241" i="5" s="1"/>
  <c r="AN241" i="5"/>
  <c r="AN118" i="5"/>
  <c r="W118" i="5"/>
  <c r="AJ118" i="6" s="1"/>
  <c r="X118" i="5" s="1"/>
  <c r="W294" i="5"/>
  <c r="AJ294" i="6" s="1"/>
  <c r="AN294" i="5"/>
  <c r="W21" i="5"/>
  <c r="AJ21" i="6" s="1"/>
  <c r="X21" i="5" s="1"/>
  <c r="AN21" i="5"/>
  <c r="W471" i="5"/>
  <c r="AJ471" i="6" s="1"/>
  <c r="X471" i="5" s="1"/>
  <c r="AN471" i="5"/>
  <c r="W723" i="5"/>
  <c r="AJ723" i="6" s="1"/>
  <c r="X723" i="5" s="1"/>
  <c r="AN723" i="5"/>
  <c r="W458" i="5"/>
  <c r="AJ458" i="6" s="1"/>
  <c r="X458" i="5" s="1"/>
  <c r="AN458" i="5"/>
  <c r="W717" i="5"/>
  <c r="AJ717" i="6" s="1"/>
  <c r="X717" i="5" s="1"/>
  <c r="AN717" i="5"/>
  <c r="AN235" i="5"/>
  <c r="W235" i="5"/>
  <c r="AJ235" i="6" s="1"/>
  <c r="X235" i="5" s="1"/>
  <c r="W653" i="5"/>
  <c r="AJ653" i="6" s="1"/>
  <c r="X653" i="5" s="1"/>
  <c r="AN653" i="5"/>
  <c r="AN311" i="5"/>
  <c r="W311" i="5"/>
  <c r="AJ311" i="6" s="1"/>
  <c r="W666" i="5"/>
  <c r="AJ666" i="6" s="1"/>
  <c r="X666" i="5" s="1"/>
  <c r="AN666" i="5"/>
  <c r="AN191" i="5"/>
  <c r="W191" i="5"/>
  <c r="AJ191" i="6" s="1"/>
  <c r="X191" i="5" s="1"/>
  <c r="AN474" i="5"/>
  <c r="W474" i="5"/>
  <c r="AJ474" i="6" s="1"/>
  <c r="W578" i="5"/>
  <c r="AJ578" i="6" s="1"/>
  <c r="X578" i="5" s="1"/>
  <c r="AN578" i="5"/>
  <c r="W244" i="5"/>
  <c r="AJ244" i="6" s="1"/>
  <c r="X244" i="5" s="1"/>
  <c r="AN244" i="5"/>
  <c r="AN679" i="5"/>
  <c r="W679" i="5"/>
  <c r="AJ679" i="6" s="1"/>
  <c r="X679" i="5" s="1"/>
  <c r="W563" i="5"/>
  <c r="AJ563" i="6" s="1"/>
  <c r="X563" i="5" s="1"/>
  <c r="AN563" i="5"/>
  <c r="W167" i="5"/>
  <c r="AJ167" i="6" s="1"/>
  <c r="X167" i="5" s="1"/>
  <c r="AN167" i="5"/>
  <c r="D62" i="12"/>
  <c r="E62" i="6"/>
  <c r="N396" i="12"/>
  <c r="L37" i="5"/>
  <c r="Z37" i="5"/>
  <c r="R29" i="8"/>
  <c r="I37" i="12"/>
  <c r="AM37" i="5"/>
  <c r="AC37" i="5"/>
  <c r="W307" i="12"/>
  <c r="X307" i="12"/>
  <c r="I508" i="12"/>
  <c r="R173" i="8"/>
  <c r="Z508" i="5"/>
  <c r="AC508" i="5"/>
  <c r="L508" i="5"/>
  <c r="AM508" i="5"/>
  <c r="Y125" i="12"/>
  <c r="W375" i="12"/>
  <c r="X375" i="12"/>
  <c r="W424" i="12"/>
  <c r="X424" i="12"/>
  <c r="N440" i="12"/>
  <c r="W726" i="12"/>
  <c r="X726" i="12"/>
  <c r="O354" i="5"/>
  <c r="C354" i="6"/>
  <c r="AB527" i="5"/>
  <c r="AB526" i="5" s="1"/>
  <c r="W390" i="12"/>
  <c r="X390" i="12"/>
  <c r="D427" i="12"/>
  <c r="E427" i="6"/>
  <c r="Y448" i="12"/>
  <c r="X708" i="12"/>
  <c r="W708" i="12"/>
  <c r="AO683" i="12"/>
  <c r="O683" i="12"/>
  <c r="C683" i="12"/>
  <c r="M683" i="12"/>
  <c r="M682" i="12" s="1"/>
  <c r="C320" i="6"/>
  <c r="O320" i="5"/>
  <c r="AO544" i="12"/>
  <c r="O544" i="12"/>
  <c r="C544" i="12"/>
  <c r="M544" i="12"/>
  <c r="X36" i="12"/>
  <c r="W36" i="12"/>
  <c r="W39" i="12"/>
  <c r="X39" i="12"/>
  <c r="W392" i="12"/>
  <c r="X392" i="12"/>
  <c r="N299" i="12"/>
  <c r="X451" i="12"/>
  <c r="W451" i="12"/>
  <c r="W489" i="12"/>
  <c r="X489" i="12"/>
  <c r="X364" i="12"/>
  <c r="W364" i="12"/>
  <c r="AB696" i="5"/>
  <c r="AB695" i="5" s="1"/>
  <c r="D352" i="12"/>
  <c r="E352" i="6"/>
  <c r="W33" i="12"/>
  <c r="X33" i="12"/>
  <c r="X377" i="12"/>
  <c r="W377" i="12"/>
  <c r="W534" i="12"/>
  <c r="X534" i="12"/>
  <c r="Y302" i="12"/>
  <c r="O44" i="5"/>
  <c r="Y380" i="12"/>
  <c r="AB30" i="5"/>
  <c r="AB29" i="5" s="1"/>
  <c r="D616" i="12"/>
  <c r="E616" i="6"/>
  <c r="E113" i="6"/>
  <c r="D113" i="12"/>
  <c r="N211" i="12"/>
  <c r="AB655" i="5"/>
  <c r="AB654" i="5" s="1"/>
  <c r="W690" i="12"/>
  <c r="X690" i="12"/>
  <c r="O510" i="5"/>
  <c r="O31" i="5"/>
  <c r="W539" i="12"/>
  <c r="X539" i="12"/>
  <c r="Y253" i="12"/>
  <c r="N378" i="12"/>
  <c r="O88" i="5"/>
  <c r="X108" i="12"/>
  <c r="W108" i="12"/>
  <c r="D726" i="12"/>
  <c r="E726" i="6"/>
  <c r="O329" i="5"/>
  <c r="E612" i="6"/>
  <c r="D612" i="12"/>
  <c r="W28" i="12"/>
  <c r="X28" i="12"/>
  <c r="Y574" i="12"/>
  <c r="O528" i="5"/>
  <c r="I245" i="12"/>
  <c r="AM245" i="5"/>
  <c r="R113" i="8"/>
  <c r="L245" i="5"/>
  <c r="Z245" i="5"/>
  <c r="AC245" i="5"/>
  <c r="O611" i="5"/>
  <c r="N706" i="12"/>
  <c r="X537" i="12"/>
  <c r="W537" i="12"/>
  <c r="W362" i="12"/>
  <c r="X362" i="12"/>
  <c r="C286" i="6"/>
  <c r="O286" i="5"/>
  <c r="R236" i="8"/>
  <c r="AC686" i="5"/>
  <c r="Z686" i="5"/>
  <c r="AM686" i="5"/>
  <c r="L686" i="5"/>
  <c r="I686" i="12"/>
  <c r="N382" i="12"/>
  <c r="M416" i="12"/>
  <c r="M415" i="12" s="1"/>
  <c r="O416" i="12"/>
  <c r="C416" i="12"/>
  <c r="AO416" i="12"/>
  <c r="Y260" i="12"/>
  <c r="C231" i="6"/>
  <c r="O231" i="5"/>
  <c r="O557" i="5"/>
  <c r="O360" i="5"/>
  <c r="X290" i="12"/>
  <c r="W290" i="12"/>
  <c r="AB614" i="5"/>
  <c r="AB613" i="5" s="1"/>
  <c r="X73" i="12"/>
  <c r="W73" i="12"/>
  <c r="W117" i="5"/>
  <c r="AJ117" i="6" s="1"/>
  <c r="X117" i="5" s="1"/>
  <c r="AN117" i="5"/>
  <c r="AN678" i="5"/>
  <c r="W678" i="5"/>
  <c r="AJ678" i="6" s="1"/>
  <c r="X678" i="5" s="1"/>
  <c r="AN240" i="5"/>
  <c r="W240" i="5"/>
  <c r="AJ240" i="6" s="1"/>
  <c r="X240" i="5" s="1"/>
  <c r="W200" i="5"/>
  <c r="AJ200" i="6" s="1"/>
  <c r="AN200" i="5"/>
  <c r="W397" i="5"/>
  <c r="AJ397" i="6" s="1"/>
  <c r="X397" i="5" s="1"/>
  <c r="AN397" i="5"/>
  <c r="AN592" i="5"/>
  <c r="W592" i="5"/>
  <c r="AJ592" i="6" s="1"/>
  <c r="W477" i="5"/>
  <c r="AJ477" i="6" s="1"/>
  <c r="AN477" i="5"/>
  <c r="AN675" i="5"/>
  <c r="W675" i="5"/>
  <c r="AJ675" i="6" s="1"/>
  <c r="X675" i="5" s="1"/>
  <c r="W432" i="5"/>
  <c r="AJ432" i="6" s="1"/>
  <c r="X432" i="5" s="1"/>
  <c r="AN432" i="5"/>
  <c r="W394" i="5"/>
  <c r="AJ394" i="6" s="1"/>
  <c r="X394" i="5" s="1"/>
  <c r="AN394" i="5"/>
  <c r="AN239" i="5"/>
  <c r="W239" i="5"/>
  <c r="AJ239" i="6" s="1"/>
  <c r="X239" i="5" s="1"/>
  <c r="W576" i="5"/>
  <c r="AJ576" i="6" s="1"/>
  <c r="X576" i="5" s="1"/>
  <c r="AN576" i="5"/>
  <c r="W389" i="5"/>
  <c r="AJ389" i="6" s="1"/>
  <c r="X389" i="5" s="1"/>
  <c r="AN389" i="5"/>
  <c r="W632" i="5"/>
  <c r="AJ632" i="6" s="1"/>
  <c r="X632" i="5" s="1"/>
  <c r="AN632" i="5"/>
  <c r="AN178" i="5"/>
  <c r="W178" i="5"/>
  <c r="AJ178" i="6" s="1"/>
  <c r="X178" i="5" s="1"/>
  <c r="AN466" i="5"/>
  <c r="W466" i="5"/>
  <c r="AJ466" i="6" s="1"/>
  <c r="X466" i="5" s="1"/>
  <c r="AN133" i="5"/>
  <c r="W133" i="5"/>
  <c r="AJ133" i="6" s="1"/>
  <c r="X133" i="5" s="1"/>
  <c r="W383" i="5"/>
  <c r="AJ383" i="6" s="1"/>
  <c r="X383" i="5" s="1"/>
  <c r="AN383" i="5"/>
  <c r="W27" i="5"/>
  <c r="AJ27" i="6" s="1"/>
  <c r="AN27" i="5"/>
  <c r="AN566" i="5"/>
  <c r="W566" i="5"/>
  <c r="AJ566" i="6" s="1"/>
  <c r="X566" i="5" s="1"/>
  <c r="W77" i="5"/>
  <c r="AJ77" i="6" s="1"/>
  <c r="X77" i="5" s="1"/>
  <c r="AN77" i="5"/>
  <c r="M41" i="12"/>
  <c r="M40" i="12" s="1"/>
  <c r="C41" i="12"/>
  <c r="AO41" i="12"/>
  <c r="O41" i="12"/>
  <c r="N557" i="12"/>
  <c r="C509" i="6"/>
  <c r="O509" i="5"/>
  <c r="W555" i="12"/>
  <c r="X555" i="12"/>
  <c r="X699" i="12"/>
  <c r="W699" i="12"/>
  <c r="N552" i="12"/>
  <c r="D252" i="12"/>
  <c r="E252" i="6"/>
  <c r="X521" i="12"/>
  <c r="W521" i="12"/>
  <c r="W99" i="12"/>
  <c r="X99" i="12"/>
  <c r="N519" i="12"/>
  <c r="X201" i="12"/>
  <c r="W201" i="12"/>
  <c r="D549" i="12"/>
  <c r="E549" i="6"/>
  <c r="X475" i="12"/>
  <c r="W475" i="12"/>
  <c r="Y279" i="12"/>
  <c r="O531" i="12"/>
  <c r="AO531" i="12"/>
  <c r="C531" i="12"/>
  <c r="M531" i="12"/>
  <c r="W252" i="12"/>
  <c r="X252" i="12"/>
  <c r="I682" i="12"/>
  <c r="AM682" i="5"/>
  <c r="L682" i="5"/>
  <c r="Z682" i="5"/>
  <c r="AC682" i="5"/>
  <c r="R233" i="8"/>
  <c r="E553" i="6"/>
  <c r="E337" i="6"/>
  <c r="D337" i="12"/>
  <c r="N39" i="12"/>
  <c r="M122" i="12"/>
  <c r="AO122" i="12"/>
  <c r="C122" i="12"/>
  <c r="O122" i="12"/>
  <c r="Y299" i="12"/>
  <c r="X100" i="12"/>
  <c r="W100" i="12"/>
  <c r="N266" i="12"/>
  <c r="E86" i="6"/>
  <c r="D86" i="12"/>
  <c r="O696" i="5"/>
  <c r="C696" i="6"/>
  <c r="X109" i="12"/>
  <c r="W109" i="12"/>
  <c r="AO350" i="12"/>
  <c r="O350" i="12"/>
  <c r="M350" i="12"/>
  <c r="M349" i="12" s="1"/>
  <c r="C350" i="12"/>
  <c r="X445" i="12"/>
  <c r="W445" i="12"/>
  <c r="X664" i="12"/>
  <c r="W664" i="12"/>
  <c r="W69" i="12"/>
  <c r="X69" i="12"/>
  <c r="D39" i="12"/>
  <c r="E39" i="6"/>
  <c r="Y269" i="12"/>
  <c r="X528" i="12"/>
  <c r="W528" i="12"/>
  <c r="AB82" i="5"/>
  <c r="AB81" i="5" s="1"/>
  <c r="O655" i="5"/>
  <c r="C655" i="6"/>
  <c r="Y611" i="12"/>
  <c r="N513" i="12"/>
  <c r="D288" i="12"/>
  <c r="E288" i="6"/>
  <c r="O50" i="5"/>
  <c r="AB725" i="5"/>
  <c r="AB724" i="5" s="1"/>
  <c r="AO608" i="12"/>
  <c r="O608" i="12"/>
  <c r="M608" i="12"/>
  <c r="M607" i="12" s="1"/>
  <c r="C608" i="12"/>
  <c r="E73" i="6"/>
  <c r="D73" i="12"/>
  <c r="X706" i="12"/>
  <c r="W706" i="12"/>
  <c r="L285" i="5"/>
  <c r="AM285" i="5"/>
  <c r="AC285" i="5"/>
  <c r="I285" i="12"/>
  <c r="Z285" i="5"/>
  <c r="R119" i="8"/>
  <c r="AB687" i="5"/>
  <c r="AB686" i="5" s="1"/>
  <c r="AB416" i="5"/>
  <c r="AB415" i="5" s="1"/>
  <c r="W663" i="12"/>
  <c r="X663" i="12"/>
  <c r="X348" i="12"/>
  <c r="W348" i="12"/>
  <c r="M629" i="12"/>
  <c r="AO629" i="12"/>
  <c r="O629" i="12"/>
  <c r="C629" i="12"/>
  <c r="O694" i="5"/>
  <c r="O583" i="5"/>
  <c r="E232" i="6"/>
  <c r="D232" i="12"/>
  <c r="N71" i="12"/>
  <c r="X87" i="12"/>
  <c r="W87" i="12"/>
  <c r="L613" i="5"/>
  <c r="Z613" i="5"/>
  <c r="AC613" i="5"/>
  <c r="I613" i="12"/>
  <c r="R203" i="8"/>
  <c r="AM613" i="5"/>
  <c r="W22" i="5"/>
  <c r="AJ22" i="6" s="1"/>
  <c r="X22" i="5" s="1"/>
  <c r="AN22" i="5"/>
  <c r="AN649" i="5"/>
  <c r="W649" i="5"/>
  <c r="AJ649" i="6" s="1"/>
  <c r="X649" i="5" s="1"/>
  <c r="AN236" i="5"/>
  <c r="W236" i="5"/>
  <c r="AJ236" i="6" s="1"/>
  <c r="X236" i="5" s="1"/>
  <c r="AN467" i="5"/>
  <c r="W467" i="5"/>
  <c r="AJ467" i="6" s="1"/>
  <c r="X467" i="5" s="1"/>
  <c r="W438" i="5"/>
  <c r="AJ438" i="6" s="1"/>
  <c r="AN438" i="5"/>
  <c r="AN154" i="5"/>
  <c r="W154" i="5"/>
  <c r="AJ154" i="6" s="1"/>
  <c r="X154" i="5" s="1"/>
  <c r="W461" i="5"/>
  <c r="AJ461" i="6" s="1"/>
  <c r="X461" i="5" s="1"/>
  <c r="AN461" i="5"/>
  <c r="AN132" i="5"/>
  <c r="W132" i="5"/>
  <c r="AJ132" i="6" s="1"/>
  <c r="X132" i="5" s="1"/>
  <c r="W434" i="5"/>
  <c r="AJ434" i="6" s="1"/>
  <c r="X434" i="5" s="1"/>
  <c r="AN434" i="5"/>
  <c r="AN719" i="5"/>
  <c r="W719" i="5"/>
  <c r="AJ719" i="6" s="1"/>
  <c r="X719" i="5" s="1"/>
  <c r="AN242" i="5"/>
  <c r="W242" i="5"/>
  <c r="AJ242" i="6" s="1"/>
  <c r="X242" i="5" s="1"/>
  <c r="AN120" i="5"/>
  <c r="W120" i="5"/>
  <c r="AJ120" i="6" s="1"/>
  <c r="X120" i="5" s="1"/>
  <c r="W431" i="5"/>
  <c r="AJ431" i="6" s="1"/>
  <c r="X431" i="5" s="1"/>
  <c r="AN431" i="5"/>
  <c r="AN722" i="5"/>
  <c r="W722" i="5"/>
  <c r="AJ722" i="6" s="1"/>
  <c r="W163" i="5"/>
  <c r="AJ163" i="6" s="1"/>
  <c r="X163" i="5" s="1"/>
  <c r="AN163" i="5"/>
  <c r="AN559" i="5"/>
  <c r="W559" i="5"/>
  <c r="AJ559" i="6" s="1"/>
  <c r="AN129" i="5"/>
  <c r="W129" i="5"/>
  <c r="AJ129" i="6" s="1"/>
  <c r="X129" i="5" s="1"/>
  <c r="W314" i="5"/>
  <c r="AJ314" i="6" s="1"/>
  <c r="X314" i="5" s="1"/>
  <c r="AN314" i="5"/>
  <c r="AN151" i="5"/>
  <c r="W151" i="5"/>
  <c r="AJ151" i="6" s="1"/>
  <c r="X151" i="5" s="1"/>
  <c r="AN631" i="5"/>
  <c r="W631" i="5"/>
  <c r="AJ631" i="6" s="1"/>
  <c r="X631" i="5" s="1"/>
  <c r="W386" i="5"/>
  <c r="AJ386" i="6" s="1"/>
  <c r="X386" i="5" s="1"/>
  <c r="AN386" i="5"/>
  <c r="C41" i="6"/>
  <c r="O41" i="5"/>
  <c r="C24" i="6"/>
  <c r="X638" i="12"/>
  <c r="W638" i="12"/>
  <c r="X533" i="12"/>
  <c r="W533" i="12"/>
  <c r="AB38" i="5"/>
  <c r="AB37" i="5" s="1"/>
  <c r="X693" i="12"/>
  <c r="W693" i="12"/>
  <c r="E525" i="6"/>
  <c r="D525" i="12"/>
  <c r="X589" i="12"/>
  <c r="W589" i="12"/>
  <c r="D336" i="12"/>
  <c r="E336" i="6"/>
  <c r="X330" i="12"/>
  <c r="W330" i="12"/>
  <c r="W443" i="12"/>
  <c r="X443" i="12"/>
  <c r="X209" i="12"/>
  <c r="W209" i="12"/>
  <c r="X520" i="12"/>
  <c r="W520" i="12"/>
  <c r="AO527" i="12"/>
  <c r="C527" i="12"/>
  <c r="O527" i="12"/>
  <c r="M527" i="12"/>
  <c r="M526" i="12" s="1"/>
  <c r="E356" i="6"/>
  <c r="D356" i="12"/>
  <c r="E99" i="6"/>
  <c r="D99" i="12"/>
  <c r="X522" i="12"/>
  <c r="W522" i="12"/>
  <c r="X313" i="12"/>
  <c r="W313" i="12"/>
  <c r="AB544" i="5"/>
  <c r="X587" i="12"/>
  <c r="W587" i="12"/>
  <c r="C122" i="6"/>
  <c r="O529" i="5"/>
  <c r="W504" i="12"/>
  <c r="X504" i="12"/>
  <c r="O554" i="5"/>
  <c r="X470" i="12"/>
  <c r="W470" i="12"/>
  <c r="W85" i="12"/>
  <c r="X85" i="12"/>
  <c r="W551" i="12"/>
  <c r="X551" i="12"/>
  <c r="O358" i="5"/>
  <c r="O350" i="5"/>
  <c r="C350" i="6"/>
  <c r="X324" i="12"/>
  <c r="W324" i="12"/>
  <c r="X335" i="12"/>
  <c r="W335" i="12"/>
  <c r="W80" i="12"/>
  <c r="X80" i="12"/>
  <c r="C82" i="6"/>
  <c r="O82" i="5"/>
  <c r="W388" i="12"/>
  <c r="X388" i="12"/>
  <c r="O250" i="5"/>
  <c r="AC654" i="5"/>
  <c r="Z654" i="5"/>
  <c r="AM654" i="5"/>
  <c r="R221" i="8"/>
  <c r="I654" i="12"/>
  <c r="L654" i="5"/>
  <c r="X513" i="12"/>
  <c r="W513" i="12"/>
  <c r="AB48" i="5"/>
  <c r="AB47" i="5" s="1"/>
  <c r="X700" i="12"/>
  <c r="W700" i="12"/>
  <c r="W518" i="12"/>
  <c r="X518" i="12"/>
  <c r="X484" i="12"/>
  <c r="W484" i="12"/>
  <c r="W94" i="12"/>
  <c r="X94" i="12"/>
  <c r="W333" i="12"/>
  <c r="X333" i="12"/>
  <c r="AB64" i="5"/>
  <c r="AB63" i="5" s="1"/>
  <c r="O102" i="5"/>
  <c r="C102" i="6"/>
  <c r="O246" i="5"/>
  <c r="C246" i="6"/>
  <c r="W410" i="12"/>
  <c r="X410" i="12"/>
  <c r="O582" i="5"/>
  <c r="D690" i="12"/>
  <c r="E690" i="6"/>
  <c r="O367" i="5"/>
  <c r="X219" i="12"/>
  <c r="W219" i="12"/>
  <c r="W382" i="12"/>
  <c r="X382" i="12"/>
  <c r="L415" i="5"/>
  <c r="I415" i="12"/>
  <c r="R149" i="8"/>
  <c r="AM415" i="5"/>
  <c r="Z415" i="5"/>
  <c r="AC415" i="5"/>
  <c r="X612" i="12"/>
  <c r="W612" i="12"/>
  <c r="W54" i="12"/>
  <c r="X54" i="12"/>
  <c r="C231" i="12"/>
  <c r="O231" i="12"/>
  <c r="AO231" i="12"/>
  <c r="M231" i="12"/>
  <c r="M230" i="12" s="1"/>
  <c r="W334" i="12"/>
  <c r="X334" i="12"/>
  <c r="W406" i="12"/>
  <c r="X406" i="12"/>
  <c r="W71" i="12"/>
  <c r="X460" i="12"/>
  <c r="W460" i="12"/>
  <c r="X197" i="12"/>
  <c r="W197" i="12"/>
  <c r="W435" i="12"/>
  <c r="X435" i="12"/>
  <c r="W426" i="12"/>
  <c r="X426" i="12"/>
  <c r="O619" i="5"/>
  <c r="N268" i="12"/>
  <c r="AN138" i="5"/>
  <c r="W138" i="5"/>
  <c r="AJ138" i="6" s="1"/>
  <c r="X138" i="5" s="1"/>
  <c r="W680" i="5"/>
  <c r="AJ680" i="6" s="1"/>
  <c r="X680" i="5" s="1"/>
  <c r="AN680" i="5"/>
  <c r="AN409" i="5"/>
  <c r="W409" i="5"/>
  <c r="AJ409" i="6" s="1"/>
  <c r="X409" i="5" s="1"/>
  <c r="AN597" i="5"/>
  <c r="W597" i="5"/>
  <c r="AJ597" i="6" s="1"/>
  <c r="X597" i="5" s="1"/>
  <c r="AN459" i="5"/>
  <c r="W459" i="5"/>
  <c r="AJ459" i="6" s="1"/>
  <c r="X459" i="5" s="1"/>
  <c r="AN159" i="5"/>
  <c r="W159" i="5"/>
  <c r="AJ159" i="6" s="1"/>
  <c r="X159" i="5" s="1"/>
  <c r="W600" i="5"/>
  <c r="AJ600" i="6" s="1"/>
  <c r="X600" i="5" s="1"/>
  <c r="AN600" i="5"/>
  <c r="AN137" i="5"/>
  <c r="W137" i="5"/>
  <c r="AJ137" i="6" s="1"/>
  <c r="X137" i="5" s="1"/>
  <c r="W507" i="5"/>
  <c r="AJ507" i="6" s="1"/>
  <c r="X507" i="5" s="1"/>
  <c r="AN507" i="5"/>
  <c r="W131" i="5"/>
  <c r="AJ131" i="6" s="1"/>
  <c r="X131" i="5" s="1"/>
  <c r="AN131" i="5"/>
  <c r="AN401" i="5"/>
  <c r="W401" i="5"/>
  <c r="AJ401" i="6" s="1"/>
  <c r="X401" i="5" s="1"/>
  <c r="AN145" i="5"/>
  <c r="W145" i="5"/>
  <c r="AJ145" i="6" s="1"/>
  <c r="X145" i="5" s="1"/>
  <c r="AN464" i="5"/>
  <c r="W464" i="5"/>
  <c r="AJ464" i="6" s="1"/>
  <c r="X464" i="5" s="1"/>
  <c r="W162" i="5"/>
  <c r="AJ162" i="6" s="1"/>
  <c r="X162" i="5" s="1"/>
  <c r="AN162" i="5"/>
  <c r="AN195" i="5"/>
  <c r="W195" i="5"/>
  <c r="AJ195" i="6" s="1"/>
  <c r="X195" i="5" s="1"/>
  <c r="W562" i="5"/>
  <c r="AJ562" i="6" s="1"/>
  <c r="X562" i="5" s="1"/>
  <c r="AN562" i="5"/>
  <c r="W124" i="5"/>
  <c r="AJ124" i="6" s="1"/>
  <c r="AN124" i="5"/>
  <c r="AN433" i="5"/>
  <c r="W433" i="5"/>
  <c r="AJ433" i="6" s="1"/>
  <c r="X433" i="5" s="1"/>
  <c r="AN139" i="5"/>
  <c r="W139" i="5"/>
  <c r="AJ139" i="6" s="1"/>
  <c r="X139" i="5" s="1"/>
  <c r="W492" i="5"/>
  <c r="AJ492" i="6" s="1"/>
  <c r="X492" i="5" s="1"/>
  <c r="AN492" i="5"/>
  <c r="W228" i="5"/>
  <c r="AJ228" i="6" s="1"/>
  <c r="X228" i="5" s="1"/>
  <c r="AN228" i="5"/>
  <c r="AB24" i="5"/>
  <c r="X557" i="12"/>
  <c r="W557" i="12"/>
  <c r="Y396" i="12"/>
  <c r="O38" i="12"/>
  <c r="M38" i="12"/>
  <c r="M37" i="12" s="1"/>
  <c r="C38" i="12"/>
  <c r="AO38" i="12"/>
  <c r="Y497" i="12"/>
  <c r="Y552" i="12"/>
  <c r="E258" i="6"/>
  <c r="D258" i="12"/>
  <c r="N360" i="12"/>
  <c r="N55" i="12"/>
  <c r="Y704" i="12"/>
  <c r="N726" i="12"/>
  <c r="Y53" i="12"/>
  <c r="AC526" i="5"/>
  <c r="R176" i="8"/>
  <c r="I526" i="12"/>
  <c r="Z526" i="5"/>
  <c r="AM526" i="5"/>
  <c r="L526" i="5"/>
  <c r="N255" i="12"/>
  <c r="W413" i="12"/>
  <c r="X413" i="12"/>
  <c r="W68" i="12"/>
  <c r="X68" i="12"/>
  <c r="X697" i="12"/>
  <c r="W697" i="12"/>
  <c r="X373" i="12"/>
  <c r="W373" i="12"/>
  <c r="D558" i="12"/>
  <c r="E558" i="6"/>
  <c r="W444" i="12"/>
  <c r="X444" i="12"/>
  <c r="O335" i="5"/>
  <c r="D615" i="12"/>
  <c r="E615" i="6"/>
  <c r="O684" i="5"/>
  <c r="O304" i="5"/>
  <c r="Y645" i="12"/>
  <c r="Y427" i="12"/>
  <c r="Y536" i="12"/>
  <c r="O366" i="12"/>
  <c r="M366" i="12"/>
  <c r="C366" i="12"/>
  <c r="AO366" i="12"/>
  <c r="W172" i="12"/>
  <c r="X172" i="12"/>
  <c r="N72" i="12"/>
  <c r="O58" i="5"/>
  <c r="C58" i="6"/>
  <c r="N547" i="12"/>
  <c r="N342" i="12"/>
  <c r="C696" i="12"/>
  <c r="M696" i="12"/>
  <c r="M695" i="12" s="1"/>
  <c r="AO696" i="12"/>
  <c r="O696" i="12"/>
  <c r="AB350" i="5"/>
  <c r="AB349" i="5" s="1"/>
  <c r="N445" i="12"/>
  <c r="N377" i="12"/>
  <c r="N534" i="12"/>
  <c r="M30" i="12"/>
  <c r="M29" i="12" s="1"/>
  <c r="C30" i="12"/>
  <c r="O30" i="12"/>
  <c r="AO30" i="12"/>
  <c r="Y49" i="12"/>
  <c r="Y88" i="12"/>
  <c r="L81" i="5"/>
  <c r="AM81" i="5"/>
  <c r="I81" i="12"/>
  <c r="Z81" i="5"/>
  <c r="R47" i="8"/>
  <c r="AC81" i="5"/>
  <c r="O302" i="5"/>
  <c r="O98" i="5"/>
  <c r="O545" i="5"/>
  <c r="Z47" i="5"/>
  <c r="I47" i="12"/>
  <c r="AM47" i="5"/>
  <c r="L47" i="5"/>
  <c r="R35" i="8"/>
  <c r="AC47" i="5"/>
  <c r="Y408" i="12"/>
  <c r="N253" i="12"/>
  <c r="W378" i="12"/>
  <c r="X378" i="12"/>
  <c r="X524" i="12"/>
  <c r="W524" i="12"/>
  <c r="W276" i="12"/>
  <c r="X276" i="12"/>
  <c r="Y181" i="12"/>
  <c r="N94" i="12"/>
  <c r="C725" i="12"/>
  <c r="O725" i="12"/>
  <c r="AO725" i="12"/>
  <c r="M725" i="12"/>
  <c r="M724" i="12" s="1"/>
  <c r="R131" i="8"/>
  <c r="Z316" i="5"/>
  <c r="L316" i="5"/>
  <c r="AC316" i="5"/>
  <c r="I316" i="12"/>
  <c r="AM316" i="5"/>
  <c r="O43" i="5"/>
  <c r="R200" i="8"/>
  <c r="L607" i="5"/>
  <c r="AM607" i="5"/>
  <c r="AC607" i="5"/>
  <c r="Z607" i="5"/>
  <c r="I607" i="12"/>
  <c r="N622" i="12"/>
  <c r="W523" i="12"/>
  <c r="X523" i="12"/>
  <c r="Y404" i="12"/>
  <c r="AB102" i="5"/>
  <c r="AB101" i="5" s="1"/>
  <c r="N219" i="12"/>
  <c r="Y558" i="12"/>
  <c r="N439" i="12"/>
  <c r="Y510" i="12"/>
  <c r="N348" i="12"/>
  <c r="N272" i="12"/>
  <c r="N271" i="12"/>
  <c r="N703" i="12"/>
  <c r="I230" i="12"/>
  <c r="Z230" i="5"/>
  <c r="AM230" i="5"/>
  <c r="R104" i="8"/>
  <c r="L230" i="5"/>
  <c r="AC230" i="5"/>
  <c r="N270" i="12"/>
  <c r="Y517" i="12"/>
  <c r="Y399" i="12"/>
  <c r="N545" i="12"/>
  <c r="C104" i="6"/>
  <c r="O104" i="5"/>
  <c r="N505" i="12"/>
  <c r="Y387" i="12"/>
  <c r="Y674" i="12"/>
  <c r="W268" i="12"/>
  <c r="X268" i="12"/>
  <c r="O330" i="5"/>
  <c r="Y267" i="12"/>
  <c r="W136" i="5"/>
  <c r="AJ136" i="6" s="1"/>
  <c r="X136" i="5" s="1"/>
  <c r="AN136" i="5"/>
  <c r="W681" i="5"/>
  <c r="AJ681" i="6" s="1"/>
  <c r="X681" i="5" s="1"/>
  <c r="AN681" i="5"/>
  <c r="W480" i="5"/>
  <c r="AJ480" i="6" s="1"/>
  <c r="AN480" i="5"/>
  <c r="W115" i="5"/>
  <c r="AJ115" i="6" s="1"/>
  <c r="AN115" i="5"/>
  <c r="AN400" i="5"/>
  <c r="W400" i="5"/>
  <c r="AJ400" i="6" s="1"/>
  <c r="X400" i="5" s="1"/>
  <c r="W144" i="5"/>
  <c r="AJ144" i="6" s="1"/>
  <c r="X144" i="5" s="1"/>
  <c r="AN144" i="5"/>
  <c r="AN501" i="5"/>
  <c r="W501" i="5"/>
  <c r="AJ501" i="6" s="1"/>
  <c r="X501" i="5" s="1"/>
  <c r="W153" i="5"/>
  <c r="AJ153" i="6" s="1"/>
  <c r="AN153" i="5"/>
  <c r="AN564" i="5"/>
  <c r="W564" i="5"/>
  <c r="AJ564" i="6" s="1"/>
  <c r="X564" i="5" s="1"/>
  <c r="AN146" i="5"/>
  <c r="W146" i="5"/>
  <c r="AJ146" i="6" s="1"/>
  <c r="X146" i="5" s="1"/>
  <c r="W487" i="5"/>
  <c r="AJ487" i="6" s="1"/>
  <c r="X487" i="5" s="1"/>
  <c r="AN487" i="5"/>
  <c r="AN164" i="5"/>
  <c r="W164" i="5"/>
  <c r="AJ164" i="6" s="1"/>
  <c r="X164" i="5" s="1"/>
  <c r="AN454" i="5"/>
  <c r="W454" i="5"/>
  <c r="AJ454" i="6" s="1"/>
  <c r="X454" i="5" s="1"/>
  <c r="AN338" i="5"/>
  <c r="W338" i="5"/>
  <c r="AJ338" i="6" s="1"/>
  <c r="W297" i="5"/>
  <c r="AJ297" i="6" s="1"/>
  <c r="X297" i="5" s="1"/>
  <c r="AN297" i="5"/>
  <c r="AN500" i="5"/>
  <c r="W500" i="5"/>
  <c r="AJ500" i="6" s="1"/>
  <c r="X500" i="5" s="1"/>
  <c r="W149" i="5"/>
  <c r="AJ149" i="6" s="1"/>
  <c r="X149" i="5" s="1"/>
  <c r="AN149" i="5"/>
  <c r="W457" i="5"/>
  <c r="AJ457" i="6" s="1"/>
  <c r="X457" i="5" s="1"/>
  <c r="AN457" i="5"/>
  <c r="W128" i="5"/>
  <c r="AJ128" i="6" s="1"/>
  <c r="X128" i="5" s="1"/>
  <c r="AN128" i="5"/>
  <c r="AN669" i="5"/>
  <c r="W669" i="5"/>
  <c r="AJ669" i="6" s="1"/>
  <c r="W284" i="5"/>
  <c r="AJ284" i="6" s="1"/>
  <c r="X284" i="5" s="1"/>
  <c r="AN284" i="5"/>
  <c r="AB41" i="5"/>
  <c r="AB40" i="5" s="1"/>
  <c r="AO24" i="12"/>
  <c r="M24" i="12"/>
  <c r="O24" i="12"/>
  <c r="C24" i="12"/>
  <c r="N693" i="12"/>
  <c r="Y274" i="12"/>
  <c r="D70" i="12"/>
  <c r="E70" i="6"/>
  <c r="D34" i="12"/>
  <c r="E34" i="6"/>
  <c r="AB702" i="5"/>
  <c r="AB701" i="5" s="1"/>
  <c r="N330" i="12"/>
  <c r="N99" i="12"/>
  <c r="D106" i="12"/>
  <c r="E106" i="6"/>
  <c r="Y360" i="12"/>
  <c r="AB641" i="5"/>
  <c r="E708" i="6"/>
  <c r="D708" i="12"/>
  <c r="E709" i="6"/>
  <c r="D709" i="12"/>
  <c r="N201" i="12"/>
  <c r="O42" i="5"/>
  <c r="N256" i="12"/>
  <c r="AM89" i="5"/>
  <c r="R50" i="8"/>
  <c r="Z89" i="5"/>
  <c r="I89" i="12"/>
  <c r="L89" i="5"/>
  <c r="AC89" i="5"/>
  <c r="Y280" i="12"/>
  <c r="N68" i="12"/>
  <c r="N373" i="12"/>
  <c r="N522" i="12"/>
  <c r="D420" i="12"/>
  <c r="E420" i="6"/>
  <c r="N359" i="12"/>
  <c r="C544" i="6"/>
  <c r="O544" i="5"/>
  <c r="N444" i="12"/>
  <c r="O322" i="5"/>
  <c r="O512" i="5"/>
  <c r="E688" i="6"/>
  <c r="D688" i="12"/>
  <c r="N551" i="12"/>
  <c r="E369" i="6"/>
  <c r="D369" i="12"/>
  <c r="N172" i="12"/>
  <c r="X430" i="12"/>
  <c r="W430" i="12"/>
  <c r="Y525" i="12"/>
  <c r="Y266" i="12"/>
  <c r="Y547" i="12"/>
  <c r="L695" i="5"/>
  <c r="AC695" i="5"/>
  <c r="I695" i="12"/>
  <c r="R239" i="8"/>
  <c r="AM695" i="5"/>
  <c r="Z695" i="5"/>
  <c r="Y635" i="12"/>
  <c r="N412" i="12"/>
  <c r="M713" i="12"/>
  <c r="AO713" i="12"/>
  <c r="C713" i="12"/>
  <c r="O713" i="12"/>
  <c r="Y250" i="12"/>
  <c r="Y171" i="12"/>
  <c r="O515" i="5"/>
  <c r="Y273" i="12"/>
  <c r="D706" i="12"/>
  <c r="E706" i="6"/>
  <c r="O523" i="5"/>
  <c r="O351" i="5"/>
  <c r="Y289" i="12"/>
  <c r="E72" i="6"/>
  <c r="D72" i="12"/>
  <c r="N528" i="12"/>
  <c r="AO655" i="12"/>
  <c r="M655" i="12"/>
  <c r="M654" i="12" s="1"/>
  <c r="C655" i="12"/>
  <c r="O655" i="12"/>
  <c r="O48" i="5"/>
  <c r="C48" i="6"/>
  <c r="W483" i="12"/>
  <c r="X483" i="12"/>
  <c r="O516" i="5"/>
  <c r="O52" i="5"/>
  <c r="Y275" i="12"/>
  <c r="O54" i="5"/>
  <c r="O321" i="5"/>
  <c r="N524" i="12"/>
  <c r="Y66" i="12"/>
  <c r="AB317" i="5"/>
  <c r="AB316" i="5" s="1"/>
  <c r="O64" i="5"/>
  <c r="C64" i="6"/>
  <c r="N523" i="12"/>
  <c r="Y688" i="12"/>
  <c r="AB246" i="5"/>
  <c r="AB245" i="5" s="1"/>
  <c r="D94" i="12"/>
  <c r="E94" i="6"/>
  <c r="N341" i="12"/>
  <c r="Y610" i="12"/>
  <c r="N83" i="12"/>
  <c r="Y321" i="12"/>
  <c r="Y703" i="12"/>
  <c r="X270" i="12"/>
  <c r="W270" i="12"/>
  <c r="O66" i="5"/>
  <c r="N334" i="12"/>
  <c r="N399" i="12"/>
  <c r="AB104" i="5"/>
  <c r="N261" i="12"/>
  <c r="W505" i="12"/>
  <c r="X505" i="12"/>
  <c r="N460" i="12"/>
  <c r="N435" i="12"/>
  <c r="N202" i="12"/>
  <c r="W173" i="5"/>
  <c r="AJ173" i="6" s="1"/>
  <c r="X173" i="5" s="1"/>
  <c r="AN173" i="5"/>
  <c r="AN535" i="5"/>
  <c r="W535" i="5"/>
  <c r="AJ535" i="6" s="1"/>
  <c r="W462" i="5"/>
  <c r="AJ462" i="6" s="1"/>
  <c r="X462" i="5" s="1"/>
  <c r="AN462" i="5"/>
  <c r="W127" i="5"/>
  <c r="AJ127" i="6" s="1"/>
  <c r="AN127" i="5"/>
  <c r="AN496" i="5"/>
  <c r="W496" i="5"/>
  <c r="AJ496" i="6" s="1"/>
  <c r="X496" i="5" s="1"/>
  <c r="W168" i="5"/>
  <c r="AJ168" i="6" s="1"/>
  <c r="X168" i="5" s="1"/>
  <c r="AN168" i="5"/>
  <c r="AN560" i="5"/>
  <c r="W560" i="5"/>
  <c r="AJ560" i="6" s="1"/>
  <c r="X560" i="5" s="1"/>
  <c r="W157" i="5"/>
  <c r="AJ157" i="6" s="1"/>
  <c r="X157" i="5" s="1"/>
  <c r="AN157" i="5"/>
  <c r="W579" i="5"/>
  <c r="AJ579" i="6" s="1"/>
  <c r="X579" i="5" s="1"/>
  <c r="AN579" i="5"/>
  <c r="AN135" i="5"/>
  <c r="W135" i="5"/>
  <c r="AJ135" i="6" s="1"/>
  <c r="W714" i="5"/>
  <c r="AJ714" i="6" s="1"/>
  <c r="AN714" i="5"/>
  <c r="AN186" i="5"/>
  <c r="W186" i="5"/>
  <c r="AJ186" i="6" s="1"/>
  <c r="X186" i="5" s="1"/>
  <c r="W215" i="5"/>
  <c r="AJ215" i="6" s="1"/>
  <c r="AN215" i="5"/>
  <c r="W18" i="5"/>
  <c r="AJ18" i="6" s="1"/>
  <c r="AN18" i="5"/>
  <c r="W370" i="5"/>
  <c r="AJ370" i="6" s="1"/>
  <c r="AN370" i="5"/>
  <c r="AN502" i="5"/>
  <c r="W502" i="5"/>
  <c r="AJ502" i="6" s="1"/>
  <c r="X502" i="5" s="1"/>
  <c r="AN177" i="5"/>
  <c r="W177" i="5"/>
  <c r="AJ177" i="6" s="1"/>
  <c r="W623" i="5"/>
  <c r="AJ623" i="6" s="1"/>
  <c r="X623" i="5" s="1"/>
  <c r="AN623" i="5"/>
  <c r="W193" i="5"/>
  <c r="AJ193" i="6" s="1"/>
  <c r="X193" i="5" s="1"/>
  <c r="AN193" i="5"/>
  <c r="AN659" i="5"/>
  <c r="W659" i="5"/>
  <c r="AJ659" i="6" s="1"/>
  <c r="X659" i="5" s="1"/>
  <c r="AN428" i="5"/>
  <c r="W428" i="5"/>
  <c r="AJ428" i="6" s="1"/>
  <c r="I40" i="12"/>
  <c r="AM40" i="5"/>
  <c r="Z40" i="5"/>
  <c r="R32" i="8"/>
  <c r="L40" i="5"/>
  <c r="AC40" i="5"/>
  <c r="N274" i="12"/>
  <c r="N363" i="12"/>
  <c r="Y318" i="12"/>
  <c r="O248" i="12"/>
  <c r="C248" i="12"/>
  <c r="M248" i="12"/>
  <c r="AO248" i="12"/>
  <c r="C702" i="6"/>
  <c r="O702" i="5"/>
  <c r="M641" i="12"/>
  <c r="C641" i="12"/>
  <c r="AO641" i="12"/>
  <c r="O641" i="12"/>
  <c r="Y55" i="12"/>
  <c r="W174" i="12"/>
  <c r="X174" i="12"/>
  <c r="N84" i="12"/>
  <c r="W255" i="12"/>
  <c r="X255" i="12"/>
  <c r="X256" i="12"/>
  <c r="W256" i="12"/>
  <c r="C90" i="12"/>
  <c r="M90" i="12"/>
  <c r="M89" i="12" s="1"/>
  <c r="O90" i="12"/>
  <c r="AO90" i="12"/>
  <c r="W684" i="12"/>
  <c r="M419" i="12"/>
  <c r="M418" i="12" s="1"/>
  <c r="O419" i="12"/>
  <c r="AO419" i="12"/>
  <c r="C419" i="12"/>
  <c r="O56" i="5"/>
  <c r="X374" i="12"/>
  <c r="W374" i="12"/>
  <c r="W709" i="12"/>
  <c r="X709" i="12"/>
  <c r="D85" i="12"/>
  <c r="E85" i="6"/>
  <c r="O306" i="5"/>
  <c r="D617" i="12"/>
  <c r="E617" i="6"/>
  <c r="X556" i="12"/>
  <c r="W556" i="12"/>
  <c r="O328" i="5"/>
  <c r="AB366" i="5"/>
  <c r="Y306" i="12"/>
  <c r="X72" i="12"/>
  <c r="W72" i="12"/>
  <c r="AB58" i="5"/>
  <c r="AB57" i="5" s="1"/>
  <c r="W342" i="12"/>
  <c r="X342" i="12"/>
  <c r="X412" i="12"/>
  <c r="W412" i="12"/>
  <c r="Y647" i="12"/>
  <c r="W328" i="12"/>
  <c r="X328" i="12"/>
  <c r="O546" i="5"/>
  <c r="M48" i="12"/>
  <c r="M47" i="12" s="1"/>
  <c r="C48" i="12"/>
  <c r="AO48" i="12"/>
  <c r="O48" i="12"/>
  <c r="AO317" i="12"/>
  <c r="C317" i="12"/>
  <c r="O317" i="12"/>
  <c r="M317" i="12"/>
  <c r="M316" i="12" s="1"/>
  <c r="O547" i="5"/>
  <c r="X86" i="12"/>
  <c r="W86" i="12"/>
  <c r="X622" i="12"/>
  <c r="W622" i="12"/>
  <c r="AO64" i="12"/>
  <c r="M64" i="12"/>
  <c r="M63" i="12" s="1"/>
  <c r="O64" i="12"/>
  <c r="C64" i="12"/>
  <c r="W329" i="12"/>
  <c r="X329" i="12"/>
  <c r="X694" i="12"/>
  <c r="W694" i="12"/>
  <c r="AM101" i="5"/>
  <c r="I101" i="12"/>
  <c r="Z101" i="5"/>
  <c r="R59" i="8"/>
  <c r="L101" i="5"/>
  <c r="AC101" i="5"/>
  <c r="N688" i="12"/>
  <c r="D703" i="12"/>
  <c r="E703" i="6"/>
  <c r="Y31" i="12"/>
  <c r="W341" i="12"/>
  <c r="X341" i="12"/>
  <c r="AB437" i="5"/>
  <c r="N610" i="12"/>
  <c r="W83" i="12"/>
  <c r="X83" i="12"/>
  <c r="W271" i="12"/>
  <c r="X271" i="12"/>
  <c r="W545" i="12"/>
  <c r="X545" i="12"/>
  <c r="O104" i="12"/>
  <c r="M104" i="12"/>
  <c r="C104" i="12"/>
  <c r="AO104" i="12"/>
  <c r="W261" i="12"/>
  <c r="X261" i="12"/>
  <c r="Y263" i="12"/>
  <c r="N583" i="12"/>
  <c r="Y34" i="12"/>
  <c r="O334" i="5"/>
  <c r="X336" i="12"/>
  <c r="W336" i="12"/>
  <c r="O332" i="5"/>
  <c r="W198" i="5"/>
  <c r="AJ198" i="6" s="1"/>
  <c r="X198" i="5" s="1"/>
  <c r="AN198" i="5"/>
  <c r="W141" i="5"/>
  <c r="AJ141" i="6" s="1"/>
  <c r="X141" i="5" s="1"/>
  <c r="AN141" i="5"/>
  <c r="W569" i="5"/>
  <c r="AJ569" i="6" s="1"/>
  <c r="X569" i="5" s="1"/>
  <c r="AN569" i="5"/>
  <c r="AN166" i="5"/>
  <c r="W166" i="5"/>
  <c r="AJ166" i="6" s="1"/>
  <c r="X166" i="5" s="1"/>
  <c r="W568" i="5"/>
  <c r="AJ568" i="6" s="1"/>
  <c r="AN568" i="5"/>
  <c r="AN179" i="5"/>
  <c r="W179" i="5"/>
  <c r="AJ179" i="6" s="1"/>
  <c r="X179" i="5" s="1"/>
  <c r="AN561" i="5"/>
  <c r="W561" i="5"/>
  <c r="AJ561" i="6" s="1"/>
  <c r="X561" i="5" s="1"/>
  <c r="AN196" i="5"/>
  <c r="W196" i="5"/>
  <c r="AJ196" i="6" s="1"/>
  <c r="X196" i="5" s="1"/>
  <c r="W650" i="5"/>
  <c r="AJ650" i="6" s="1"/>
  <c r="X650" i="5" s="1"/>
  <c r="AN650" i="5"/>
  <c r="AN220" i="5"/>
  <c r="W220" i="5"/>
  <c r="AJ220" i="6" s="1"/>
  <c r="X220" i="5" s="1"/>
  <c r="AN107" i="5"/>
  <c r="W107" i="5"/>
  <c r="AJ107" i="6" s="1"/>
  <c r="W180" i="5"/>
  <c r="AJ180" i="6" s="1"/>
  <c r="X180" i="5" s="1"/>
  <c r="AN180" i="5"/>
  <c r="W503" i="5"/>
  <c r="AJ503" i="6" s="1"/>
  <c r="X503" i="5" s="1"/>
  <c r="AN503" i="5"/>
  <c r="W156" i="5"/>
  <c r="AJ156" i="6" s="1"/>
  <c r="AN156" i="5"/>
  <c r="W385" i="5"/>
  <c r="AJ385" i="6" s="1"/>
  <c r="X385" i="5" s="1"/>
  <c r="AN385" i="5"/>
  <c r="AN498" i="5"/>
  <c r="W498" i="5"/>
  <c r="AJ498" i="6" s="1"/>
  <c r="X498" i="5" s="1"/>
  <c r="AN711" i="5"/>
  <c r="W711" i="5"/>
  <c r="AJ711" i="6" s="1"/>
  <c r="W598" i="5"/>
  <c r="AJ598" i="6" s="1"/>
  <c r="X598" i="5" s="1"/>
  <c r="AN598" i="5"/>
  <c r="AN188" i="5"/>
  <c r="W188" i="5"/>
  <c r="AJ188" i="6" s="1"/>
  <c r="X188" i="5" s="1"/>
  <c r="AN627" i="5"/>
  <c r="W627" i="5"/>
  <c r="AJ627" i="6" s="1"/>
  <c r="X627" i="5" s="1"/>
  <c r="W565" i="5"/>
  <c r="AJ565" i="6" s="1"/>
  <c r="X565" i="5" s="1"/>
  <c r="AN565" i="5"/>
  <c r="W379" i="12"/>
  <c r="X379" i="12"/>
  <c r="E424" i="6"/>
  <c r="D424" i="12"/>
  <c r="E93" i="6"/>
  <c r="D93" i="12"/>
  <c r="X112" i="12"/>
  <c r="W112" i="12"/>
  <c r="O521" i="5"/>
  <c r="C248" i="6"/>
  <c r="O248" i="5"/>
  <c r="L701" i="5"/>
  <c r="I701" i="12"/>
  <c r="AM701" i="5"/>
  <c r="AC701" i="5"/>
  <c r="R242" i="8"/>
  <c r="Z701" i="5"/>
  <c r="C641" i="6"/>
  <c r="O641" i="5"/>
  <c r="E697" i="6"/>
  <c r="D697" i="12"/>
  <c r="D310" i="12"/>
  <c r="E310" i="6"/>
  <c r="X346" i="12"/>
  <c r="W346" i="12"/>
  <c r="W586" i="12"/>
  <c r="X586" i="12"/>
  <c r="X62" i="12"/>
  <c r="W62" i="12"/>
  <c r="X84" i="12"/>
  <c r="W84" i="12"/>
  <c r="W468" i="12"/>
  <c r="X468" i="12"/>
  <c r="E84" i="6"/>
  <c r="D84" i="12"/>
  <c r="X25" i="12"/>
  <c r="W25" i="12"/>
  <c r="X258" i="12"/>
  <c r="W258" i="12"/>
  <c r="AB90" i="5"/>
  <c r="AB89" i="5" s="1"/>
  <c r="N697" i="12"/>
  <c r="X554" i="12"/>
  <c r="W554" i="12"/>
  <c r="X249" i="12"/>
  <c r="W249" i="12"/>
  <c r="X308" i="12"/>
  <c r="W308" i="12"/>
  <c r="Z96" i="5"/>
  <c r="R56" i="8"/>
  <c r="L96" i="5"/>
  <c r="I96" i="12"/>
  <c r="AM96" i="5"/>
  <c r="AC96" i="5"/>
  <c r="O514" i="5"/>
  <c r="O326" i="5"/>
  <c r="C366" i="6"/>
  <c r="O366" i="5"/>
  <c r="AO58" i="12"/>
  <c r="O58" i="12"/>
  <c r="M58" i="12"/>
  <c r="M57" i="12" s="1"/>
  <c r="C58" i="12"/>
  <c r="W56" i="12"/>
  <c r="X56" i="12"/>
  <c r="Y305" i="12"/>
  <c r="Y442" i="12"/>
  <c r="N326" i="12"/>
  <c r="E707" i="6"/>
  <c r="D707" i="12"/>
  <c r="AB713" i="5"/>
  <c r="N250" i="12"/>
  <c r="N358" i="12"/>
  <c r="Y175" i="12"/>
  <c r="W447" i="12"/>
  <c r="X447" i="12"/>
  <c r="O357" i="5"/>
  <c r="W288" i="12"/>
  <c r="X288" i="12"/>
  <c r="Y575" i="12"/>
  <c r="N289" i="12"/>
  <c r="X707" i="12"/>
  <c r="W707" i="12"/>
  <c r="Y361" i="12"/>
  <c r="Y495" i="12"/>
  <c r="N483" i="12"/>
  <c r="N276" i="12"/>
  <c r="N44" i="12"/>
  <c r="X692" i="12"/>
  <c r="W692" i="12"/>
  <c r="O317" i="5"/>
  <c r="C317" i="6"/>
  <c r="W662" i="12"/>
  <c r="X662" i="12"/>
  <c r="AM63" i="5"/>
  <c r="Z63" i="5"/>
  <c r="I63" i="12"/>
  <c r="L63" i="5"/>
  <c r="R41" i="8"/>
  <c r="AC63" i="5"/>
  <c r="Y214" i="12"/>
  <c r="N265" i="12"/>
  <c r="Y609" i="12"/>
  <c r="O605" i="5"/>
  <c r="C605" i="6"/>
  <c r="O87" i="5"/>
  <c r="O309" i="5"/>
  <c r="O71" i="5"/>
  <c r="Y323" i="12"/>
  <c r="X272" i="12"/>
  <c r="W272" i="12"/>
  <c r="N321" i="12"/>
  <c r="C473" i="6"/>
  <c r="O473" i="5"/>
  <c r="O222" i="12"/>
  <c r="C222" i="12"/>
  <c r="AO222" i="12"/>
  <c r="M222" i="12"/>
  <c r="Y309" i="12"/>
  <c r="Y310" i="12"/>
  <c r="O287" i="5"/>
  <c r="AO92" i="12"/>
  <c r="M92" i="12"/>
  <c r="M91" i="12" s="1"/>
  <c r="C92" i="12"/>
  <c r="O92" i="12"/>
  <c r="W106" i="12"/>
  <c r="X106" i="12"/>
  <c r="C661" i="12"/>
  <c r="M661" i="12"/>
  <c r="O661" i="12"/>
  <c r="AO661" i="12"/>
  <c r="O68" i="5"/>
  <c r="O362" i="5"/>
  <c r="W202" i="12"/>
  <c r="X202" i="12"/>
  <c r="X287" i="12"/>
  <c r="W287" i="12"/>
  <c r="AN259" i="5"/>
  <c r="W259" i="5"/>
  <c r="AJ259" i="6" s="1"/>
  <c r="W148" i="5"/>
  <c r="AJ148" i="6" s="1"/>
  <c r="X148" i="5" s="1"/>
  <c r="AN148" i="5"/>
  <c r="AN603" i="5"/>
  <c r="W603" i="5"/>
  <c r="AJ603" i="6" s="1"/>
  <c r="X603" i="5" s="1"/>
  <c r="W189" i="5"/>
  <c r="AJ189" i="6" s="1"/>
  <c r="X189" i="5" s="1"/>
  <c r="AN189" i="5"/>
  <c r="W599" i="5"/>
  <c r="AJ599" i="6" s="1"/>
  <c r="X599" i="5" s="1"/>
  <c r="AN599" i="5"/>
  <c r="AN161" i="5"/>
  <c r="W161" i="5"/>
  <c r="AJ161" i="6" s="1"/>
  <c r="X161" i="5" s="1"/>
  <c r="AN639" i="5"/>
  <c r="W639" i="5"/>
  <c r="AJ639" i="6" s="1"/>
  <c r="X639" i="5" s="1"/>
  <c r="AN347" i="5"/>
  <c r="W347" i="5"/>
  <c r="AJ347" i="6" s="1"/>
  <c r="X347" i="5" s="1"/>
  <c r="W573" i="5"/>
  <c r="AJ573" i="6" s="1"/>
  <c r="X573" i="5" s="1"/>
  <c r="AN573" i="5"/>
  <c r="W217" i="5"/>
  <c r="AJ217" i="6" s="1"/>
  <c r="X217" i="5" s="1"/>
  <c r="AN217" i="5"/>
  <c r="W469" i="5"/>
  <c r="AJ469" i="6" s="1"/>
  <c r="X469" i="5" s="1"/>
  <c r="AN469" i="5"/>
  <c r="AN187" i="5"/>
  <c r="W187" i="5"/>
  <c r="AJ187" i="6" s="1"/>
  <c r="X187" i="5" s="1"/>
  <c r="W588" i="5"/>
  <c r="AJ588" i="6" s="1"/>
  <c r="X588" i="5" s="1"/>
  <c r="AN588" i="5"/>
  <c r="AN150" i="5"/>
  <c r="W150" i="5"/>
  <c r="AJ150" i="6" s="1"/>
  <c r="X150" i="5" s="1"/>
  <c r="AN227" i="5"/>
  <c r="W227" i="5"/>
  <c r="AJ227" i="6" s="1"/>
  <c r="X227" i="5" s="1"/>
  <c r="AN633" i="5"/>
  <c r="W633" i="5"/>
  <c r="AJ633" i="6" s="1"/>
  <c r="X633" i="5" s="1"/>
  <c r="AN160" i="5"/>
  <c r="W160" i="5"/>
  <c r="AJ160" i="6" s="1"/>
  <c r="X160" i="5" s="1"/>
  <c r="W602" i="5"/>
  <c r="AJ602" i="6" s="1"/>
  <c r="X602" i="5" s="1"/>
  <c r="AN602" i="5"/>
  <c r="W76" i="5"/>
  <c r="AJ76" i="6" s="1"/>
  <c r="AN76" i="5"/>
  <c r="AN116" i="5"/>
  <c r="W116" i="5"/>
  <c r="AJ116" i="6" s="1"/>
  <c r="X116" i="5" s="1"/>
  <c r="AN652" i="5"/>
  <c r="W652" i="5"/>
  <c r="AJ652" i="6" s="1"/>
  <c r="X652" i="5" s="1"/>
  <c r="Y363" i="12"/>
  <c r="O53" i="5"/>
  <c r="N450" i="12"/>
  <c r="AB248" i="5"/>
  <c r="C702" i="12"/>
  <c r="M702" i="12"/>
  <c r="M701" i="12" s="1"/>
  <c r="AO702" i="12"/>
  <c r="O702" i="12"/>
  <c r="O256" i="5"/>
  <c r="Y61" i="12"/>
  <c r="Y372" i="12"/>
  <c r="C301" i="6"/>
  <c r="O301" i="5"/>
  <c r="Z353" i="5"/>
  <c r="R140" i="8"/>
  <c r="I353" i="12"/>
  <c r="AC353" i="5"/>
  <c r="L353" i="5"/>
  <c r="AM353" i="5"/>
  <c r="N468" i="12"/>
  <c r="O355" i="5"/>
  <c r="O249" i="5"/>
  <c r="C90" i="6"/>
  <c r="O90" i="5"/>
  <c r="Y298" i="12"/>
  <c r="X322" i="12"/>
  <c r="W322" i="12"/>
  <c r="AB419" i="5"/>
  <c r="AB418" i="5" s="1"/>
  <c r="N554" i="12"/>
  <c r="N709" i="12"/>
  <c r="Y359" i="12"/>
  <c r="E417" i="6"/>
  <c r="D417" i="12"/>
  <c r="Y685" i="12"/>
  <c r="C213" i="6"/>
  <c r="O213" i="5"/>
  <c r="W532" i="12"/>
  <c r="X532" i="12"/>
  <c r="N430" i="12"/>
  <c r="AM57" i="5"/>
  <c r="I57" i="12"/>
  <c r="L57" i="5"/>
  <c r="R38" i="8"/>
  <c r="Z57" i="5"/>
  <c r="AC57" i="5"/>
  <c r="O51" i="5"/>
  <c r="N357" i="12"/>
  <c r="Y626" i="12"/>
  <c r="M619" i="12"/>
  <c r="AO619" i="12"/>
  <c r="O619" i="12"/>
  <c r="C619" i="12"/>
  <c r="O253" i="5"/>
  <c r="O532" i="5"/>
  <c r="O361" i="5"/>
  <c r="E609" i="6"/>
  <c r="D609" i="12"/>
  <c r="Y358" i="12"/>
  <c r="Y429" i="12"/>
  <c r="X423" i="12"/>
  <c r="W423" i="12"/>
  <c r="Y516" i="12"/>
  <c r="E67" i="6"/>
  <c r="D67" i="12"/>
  <c r="N495" i="12"/>
  <c r="W582" i="12"/>
  <c r="X582" i="12"/>
  <c r="E105" i="6"/>
  <c r="D105" i="12"/>
  <c r="O511" i="5"/>
  <c r="N277" i="12"/>
  <c r="N325" i="12"/>
  <c r="D404" i="12"/>
  <c r="E404" i="6"/>
  <c r="W315" i="12"/>
  <c r="X315" i="12"/>
  <c r="Y254" i="12"/>
  <c r="Y44" i="12"/>
  <c r="N692" i="12"/>
  <c r="O323" i="5"/>
  <c r="W52" i="12"/>
  <c r="X52" i="12"/>
  <c r="N694" i="12"/>
  <c r="AO102" i="12"/>
  <c r="C102" i="12"/>
  <c r="M102" i="12"/>
  <c r="M101" i="12" s="1"/>
  <c r="O102" i="12"/>
  <c r="D691" i="12"/>
  <c r="E691" i="6"/>
  <c r="O303" i="5"/>
  <c r="O473" i="12"/>
  <c r="C473" i="12"/>
  <c r="M473" i="12"/>
  <c r="AO473" i="12"/>
  <c r="C222" i="6"/>
  <c r="O222" i="5"/>
  <c r="X538" i="12"/>
  <c r="W538" i="12"/>
  <c r="X391" i="12"/>
  <c r="W391" i="12"/>
  <c r="O693" i="5"/>
  <c r="W583" i="12"/>
  <c r="X583" i="12"/>
  <c r="W51" i="12"/>
  <c r="X51" i="12"/>
  <c r="W376" i="5"/>
  <c r="AJ376" i="6" s="1"/>
  <c r="X376" i="5" s="1"/>
  <c r="AN376" i="5"/>
  <c r="AN20" i="5"/>
  <c r="W20" i="5"/>
  <c r="AJ20" i="6" s="1"/>
  <c r="W642" i="5"/>
  <c r="AJ642" i="6" s="1"/>
  <c r="AN642" i="5"/>
  <c r="AN170" i="5"/>
  <c r="W170" i="5"/>
  <c r="AJ170" i="6" s="1"/>
  <c r="AN594" i="5"/>
  <c r="W594" i="5"/>
  <c r="AJ594" i="6" s="1"/>
  <c r="X594" i="5" s="1"/>
  <c r="W371" i="5"/>
  <c r="AJ371" i="6" s="1"/>
  <c r="X371" i="5" s="1"/>
  <c r="AN371" i="5"/>
  <c r="W606" i="5"/>
  <c r="AJ606" i="6" s="1"/>
  <c r="AN606" i="5"/>
  <c r="W393" i="5"/>
  <c r="AJ393" i="6" s="1"/>
  <c r="X393" i="5" s="1"/>
  <c r="AN393" i="5"/>
  <c r="W673" i="5"/>
  <c r="AJ673" i="6" s="1"/>
  <c r="X673" i="5" s="1"/>
  <c r="AN673" i="5"/>
  <c r="AN223" i="5"/>
  <c r="W223" i="5"/>
  <c r="AJ223" i="6" s="1"/>
  <c r="W506" i="5"/>
  <c r="AJ506" i="6" s="1"/>
  <c r="X506" i="5" s="1"/>
  <c r="AN506" i="5"/>
  <c r="W208" i="5"/>
  <c r="AJ208" i="6" s="1"/>
  <c r="X208" i="5" s="1"/>
  <c r="AN208" i="5"/>
  <c r="W596" i="5"/>
  <c r="AJ596" i="6" s="1"/>
  <c r="AN596" i="5"/>
  <c r="AN147" i="5"/>
  <c r="W147" i="5"/>
  <c r="AJ147" i="6" s="1"/>
  <c r="X147" i="5" s="1"/>
  <c r="W281" i="5"/>
  <c r="AJ281" i="6" s="1"/>
  <c r="X281" i="5" s="1"/>
  <c r="AN281" i="5"/>
  <c r="W494" i="5"/>
  <c r="AJ494" i="6" s="1"/>
  <c r="X494" i="5" s="1"/>
  <c r="AN494" i="5"/>
  <c r="AN224" i="5"/>
  <c r="W224" i="5"/>
  <c r="AJ224" i="6" s="1"/>
  <c r="X224" i="5" s="1"/>
  <c r="W585" i="5"/>
  <c r="AJ585" i="6" s="1"/>
  <c r="AN585" i="5"/>
  <c r="W243" i="5"/>
  <c r="AJ243" i="6" s="1"/>
  <c r="X243" i="5" s="1"/>
  <c r="AN243" i="5"/>
  <c r="AN143" i="5"/>
  <c r="W143" i="5"/>
  <c r="AJ143" i="6" s="1"/>
  <c r="X143" i="5" s="1"/>
  <c r="W637" i="5"/>
  <c r="AJ637" i="6" s="1"/>
  <c r="AN637" i="5"/>
  <c r="Y292" i="12"/>
  <c r="N384" i="12"/>
  <c r="D698" i="12"/>
  <c r="E698" i="6"/>
  <c r="Y485" i="12"/>
  <c r="W304" i="12"/>
  <c r="X304" i="12"/>
  <c r="N369" i="12"/>
  <c r="Y340" i="12"/>
  <c r="M301" i="12"/>
  <c r="C301" i="12"/>
  <c r="O301" i="12"/>
  <c r="AO301" i="12"/>
  <c r="N586" i="12"/>
  <c r="C354" i="12"/>
  <c r="M354" i="12"/>
  <c r="M353" i="12" s="1"/>
  <c r="AO354" i="12"/>
  <c r="O354" i="12"/>
  <c r="AB581" i="5"/>
  <c r="N70" i="12"/>
  <c r="AB422" i="5"/>
  <c r="N298" i="12"/>
  <c r="D112" i="12"/>
  <c r="E112" i="6"/>
  <c r="Z418" i="5"/>
  <c r="R152" i="8"/>
  <c r="AM418" i="5"/>
  <c r="AC418" i="5"/>
  <c r="I418" i="12"/>
  <c r="L418" i="5"/>
  <c r="W355" i="12"/>
  <c r="X355" i="12"/>
  <c r="N374" i="12"/>
  <c r="X291" i="12"/>
  <c r="W291" i="12"/>
  <c r="N308" i="12"/>
  <c r="AB97" i="5"/>
  <c r="AB96" i="5" s="1"/>
  <c r="W98" i="12"/>
  <c r="X98" i="12"/>
  <c r="W720" i="12"/>
  <c r="X720" i="12"/>
  <c r="X417" i="12"/>
  <c r="W417" i="12"/>
  <c r="N532" i="12"/>
  <c r="E33" i="6"/>
  <c r="D33" i="12"/>
  <c r="Y705" i="12"/>
  <c r="Y529" i="12"/>
  <c r="Y357" i="12"/>
  <c r="C75" i="6"/>
  <c r="O75" i="5"/>
  <c r="AB619" i="5"/>
  <c r="Y326" i="12"/>
  <c r="Y190" i="12"/>
  <c r="N512" i="12"/>
  <c r="O513" i="5"/>
  <c r="Y337" i="12"/>
  <c r="Y553" i="12"/>
  <c r="N447" i="12"/>
  <c r="N288" i="12"/>
  <c r="O46" i="5"/>
  <c r="N423" i="12"/>
  <c r="I110" i="12"/>
  <c r="R65" i="8"/>
  <c r="L110" i="5"/>
  <c r="AM110" i="5"/>
  <c r="Z110" i="5"/>
  <c r="AC110" i="5"/>
  <c r="N582" i="12"/>
  <c r="AB403" i="5"/>
  <c r="X351" i="12"/>
  <c r="W351" i="12"/>
  <c r="X407" i="12"/>
  <c r="W407" i="12"/>
  <c r="X593" i="12"/>
  <c r="W593" i="12"/>
  <c r="E318" i="6"/>
  <c r="D318" i="12"/>
  <c r="N414" i="12"/>
  <c r="Y265" i="12"/>
  <c r="N52" i="12"/>
  <c r="O524" i="5"/>
  <c r="Y368" i="12"/>
  <c r="AB605" i="5"/>
  <c r="Y35" i="12"/>
  <c r="Y282" i="12"/>
  <c r="O437" i="5"/>
  <c r="C437" i="6"/>
  <c r="N646" i="12"/>
  <c r="AB473" i="5"/>
  <c r="N50" i="12"/>
  <c r="O255" i="5"/>
  <c r="O65" i="5"/>
  <c r="Z91" i="5"/>
  <c r="R53" i="8"/>
  <c r="L91" i="5"/>
  <c r="AM91" i="5"/>
  <c r="I91" i="12"/>
  <c r="AC91" i="5"/>
  <c r="O45" i="5"/>
  <c r="C661" i="6"/>
  <c r="O251" i="5"/>
  <c r="O699" i="5"/>
  <c r="O517" i="5"/>
  <c r="N287" i="12"/>
  <c r="AN465" i="5"/>
  <c r="W465" i="5"/>
  <c r="AJ465" i="6" s="1"/>
  <c r="X465" i="5" s="1"/>
  <c r="AN225" i="5"/>
  <c r="W225" i="5"/>
  <c r="AJ225" i="6" s="1"/>
  <c r="X225" i="5" s="1"/>
  <c r="W667" i="5"/>
  <c r="AJ667" i="6" s="1"/>
  <c r="X667" i="5" s="1"/>
  <c r="AN667" i="5"/>
  <c r="W204" i="5"/>
  <c r="AJ204" i="6" s="1"/>
  <c r="X204" i="5" s="1"/>
  <c r="AN204" i="5"/>
  <c r="AN665" i="5"/>
  <c r="W665" i="5"/>
  <c r="AJ665" i="6" s="1"/>
  <c r="AN296" i="5"/>
  <c r="W296" i="5"/>
  <c r="AJ296" i="6" s="1"/>
  <c r="W570" i="5"/>
  <c r="AJ570" i="6" s="1"/>
  <c r="X570" i="5" s="1"/>
  <c r="AN570" i="5"/>
  <c r="W343" i="5"/>
  <c r="AJ343" i="6" s="1"/>
  <c r="X343" i="5" s="1"/>
  <c r="AN343" i="5"/>
  <c r="AN716" i="5"/>
  <c r="W716" i="5"/>
  <c r="AJ716" i="6" s="1"/>
  <c r="AN165" i="5"/>
  <c r="W165" i="5"/>
  <c r="AJ165" i="6" s="1"/>
  <c r="X165" i="5" s="1"/>
  <c r="AN718" i="5"/>
  <c r="W718" i="5"/>
  <c r="AJ718" i="6" s="1"/>
  <c r="X718" i="5" s="1"/>
  <c r="AN194" i="5"/>
  <c r="W194" i="5"/>
  <c r="AJ194" i="6" s="1"/>
  <c r="X194" i="5" s="1"/>
  <c r="AN601" i="5"/>
  <c r="W601" i="5"/>
  <c r="AJ601" i="6" s="1"/>
  <c r="X601" i="5" s="1"/>
  <c r="AN119" i="5"/>
  <c r="W119" i="5"/>
  <c r="AJ119" i="6" s="1"/>
  <c r="X119" i="5" s="1"/>
  <c r="W344" i="5"/>
  <c r="AJ344" i="6" s="1"/>
  <c r="X344" i="5" s="1"/>
  <c r="AN344" i="5"/>
  <c r="W624" i="5"/>
  <c r="AJ624" i="6" s="1"/>
  <c r="X624" i="5" s="1"/>
  <c r="AN624" i="5"/>
  <c r="W218" i="5"/>
  <c r="AJ218" i="6" s="1"/>
  <c r="X218" i="5" s="1"/>
  <c r="AN218" i="5"/>
  <c r="AN630" i="5"/>
  <c r="W630" i="5"/>
  <c r="AJ630" i="6" s="1"/>
  <c r="AN229" i="5"/>
  <c r="W229" i="5"/>
  <c r="AJ229" i="6" s="1"/>
  <c r="X229" i="5" s="1"/>
  <c r="W140" i="5"/>
  <c r="AJ140" i="6" s="1"/>
  <c r="X140" i="5" s="1"/>
  <c r="AN140" i="5"/>
  <c r="AN671" i="5"/>
  <c r="W671" i="5"/>
  <c r="AJ671" i="6" s="1"/>
  <c r="X671" i="5" s="1"/>
  <c r="Y499" i="12"/>
  <c r="Y32" i="12"/>
  <c r="Y384" i="12"/>
  <c r="AB509" i="5"/>
  <c r="AB508" i="5" s="1"/>
  <c r="Y425" i="12"/>
  <c r="X450" i="12"/>
  <c r="W450" i="12"/>
  <c r="Y369" i="12"/>
  <c r="Y93" i="12"/>
  <c r="O522" i="5"/>
  <c r="D552" i="12"/>
  <c r="E552" i="6"/>
  <c r="O426" i="5"/>
  <c r="AB354" i="5"/>
  <c r="AB353" i="5" s="1"/>
  <c r="O581" i="12"/>
  <c r="C581" i="12"/>
  <c r="M581" i="12"/>
  <c r="AO581" i="12"/>
  <c r="Y70" i="12"/>
  <c r="N25" i="12"/>
  <c r="D36" i="12"/>
  <c r="E36" i="6"/>
  <c r="N455" i="12"/>
  <c r="C419" i="6"/>
  <c r="O419" i="5"/>
  <c r="AB683" i="5"/>
  <c r="AB682" i="5" s="1"/>
  <c r="O550" i="5"/>
  <c r="C320" i="12"/>
  <c r="AO320" i="12"/>
  <c r="M320" i="12"/>
  <c r="O320" i="12"/>
  <c r="W339" i="12"/>
  <c r="X339" i="12"/>
  <c r="O257" i="5"/>
  <c r="C97" i="6"/>
  <c r="O97" i="5"/>
  <c r="N98" i="12"/>
  <c r="N352" i="12"/>
  <c r="O359" i="5"/>
  <c r="X634" i="12"/>
  <c r="W634" i="12"/>
  <c r="N113" i="12"/>
  <c r="AO213" i="12"/>
  <c r="C213" i="12"/>
  <c r="O213" i="12"/>
  <c r="M213" i="12"/>
  <c r="N417" i="12"/>
  <c r="O75" i="12"/>
  <c r="AO75" i="12"/>
  <c r="M75" i="12"/>
  <c r="C75" i="12"/>
  <c r="E291" i="6"/>
  <c r="D291" i="12"/>
  <c r="X615" i="12"/>
  <c r="W615" i="12"/>
  <c r="D705" i="12"/>
  <c r="E705" i="6"/>
  <c r="X482" i="12"/>
  <c r="W482" i="12"/>
  <c r="O111" i="5"/>
  <c r="C111" i="6"/>
  <c r="Y65" i="12"/>
  <c r="O35" i="5"/>
  <c r="X515" i="12"/>
  <c r="W515" i="12"/>
  <c r="O324" i="5"/>
  <c r="O403" i="5"/>
  <c r="C403" i="6"/>
  <c r="X303" i="12"/>
  <c r="W303" i="12"/>
  <c r="W616" i="12"/>
  <c r="X616" i="12"/>
  <c r="O368" i="5"/>
  <c r="W367" i="12"/>
  <c r="X367" i="12"/>
  <c r="O425" i="5"/>
  <c r="X414" i="12"/>
  <c r="W414" i="12"/>
  <c r="X356" i="12"/>
  <c r="W356" i="12"/>
  <c r="W420" i="12"/>
  <c r="X420" i="12"/>
  <c r="E292" i="6"/>
  <c r="D292" i="12"/>
  <c r="Y232" i="12"/>
  <c r="O69" i="5"/>
  <c r="O533" i="5"/>
  <c r="O437" i="12"/>
  <c r="C437" i="12"/>
  <c r="M437" i="12"/>
  <c r="AO437" i="12"/>
  <c r="Y446" i="12"/>
  <c r="Y332" i="12"/>
  <c r="N95" i="12"/>
  <c r="C92" i="6"/>
  <c r="O92" i="5"/>
  <c r="N327" i="12"/>
  <c r="N106" i="12"/>
  <c r="AB661" i="5"/>
  <c r="O704" i="5"/>
  <c r="Y488" i="12"/>
  <c r="O610" i="5"/>
  <c r="AN620" i="5"/>
  <c r="W620" i="5"/>
  <c r="AJ620" i="6" s="1"/>
  <c r="AN205" i="5"/>
  <c r="W205" i="5"/>
  <c r="AJ205" i="6" s="1"/>
  <c r="X205" i="5" s="1"/>
  <c r="W677" i="5"/>
  <c r="AJ677" i="6" s="1"/>
  <c r="X677" i="5" s="1"/>
  <c r="AN677" i="5"/>
  <c r="AN216" i="5"/>
  <c r="W216" i="5"/>
  <c r="AJ216" i="6" s="1"/>
  <c r="X216" i="5" s="1"/>
  <c r="AN625" i="5"/>
  <c r="W625" i="5"/>
  <c r="AJ625" i="6" s="1"/>
  <c r="X625" i="5" s="1"/>
  <c r="W456" i="5"/>
  <c r="AJ456" i="6" s="1"/>
  <c r="X456" i="5" s="1"/>
  <c r="AN456" i="5"/>
  <c r="W651" i="5"/>
  <c r="AJ651" i="6" s="1"/>
  <c r="X651" i="5" s="1"/>
  <c r="AN651" i="5"/>
  <c r="W381" i="5"/>
  <c r="AJ381" i="6" s="1"/>
  <c r="X381" i="5" s="1"/>
  <c r="AN381" i="5"/>
  <c r="AN185" i="5"/>
  <c r="W185" i="5"/>
  <c r="AJ185" i="6" s="1"/>
  <c r="W78" i="5"/>
  <c r="AJ78" i="6" s="1"/>
  <c r="X78" i="5" s="1"/>
  <c r="AN78" i="5"/>
  <c r="W130" i="5"/>
  <c r="AJ130" i="6" s="1"/>
  <c r="X130" i="5" s="1"/>
  <c r="AN130" i="5"/>
  <c r="W238" i="5"/>
  <c r="AJ238" i="6" s="1"/>
  <c r="AN238" i="5"/>
  <c r="W577" i="5"/>
  <c r="AJ577" i="6" s="1"/>
  <c r="X577" i="5" s="1"/>
  <c r="AN577" i="5"/>
  <c r="AN142" i="5"/>
  <c r="W142" i="5"/>
  <c r="AJ142" i="6" s="1"/>
  <c r="X142" i="5" s="1"/>
  <c r="W441" i="5"/>
  <c r="AJ441" i="6" s="1"/>
  <c r="X441" i="5" s="1"/>
  <c r="AN441" i="5"/>
  <c r="AN658" i="5"/>
  <c r="W658" i="5"/>
  <c r="AJ658" i="6" s="1"/>
  <c r="X658" i="5" s="1"/>
  <c r="AN226" i="5"/>
  <c r="W226" i="5"/>
  <c r="AJ226" i="6" s="1"/>
  <c r="X226" i="5" s="1"/>
  <c r="W491" i="5"/>
  <c r="AJ491" i="6" s="1"/>
  <c r="AN491" i="5"/>
  <c r="AN411" i="5"/>
  <c r="W411" i="5"/>
  <c r="AJ411" i="6" s="1"/>
  <c r="X411" i="5" s="1"/>
  <c r="W158" i="5"/>
  <c r="AJ158" i="6" s="1"/>
  <c r="X158" i="5" s="1"/>
  <c r="AN158" i="5"/>
  <c r="AN452" i="5"/>
  <c r="W452" i="5"/>
  <c r="AJ452" i="6" s="1"/>
  <c r="X452" i="5" s="1"/>
  <c r="X439" i="12" l="1"/>
  <c r="X550" i="12"/>
  <c r="X345" i="12"/>
  <c r="W542" i="12"/>
  <c r="W46" i="12"/>
  <c r="X453" i="12"/>
  <c r="W646" i="12"/>
  <c r="L381" i="5"/>
  <c r="AM381" i="5"/>
  <c r="I381" i="12"/>
  <c r="Z381" i="5"/>
  <c r="AC381" i="5"/>
  <c r="D257" i="12"/>
  <c r="E257" i="6"/>
  <c r="W499" i="12"/>
  <c r="X499" i="12"/>
  <c r="Z577" i="5"/>
  <c r="AM577" i="5"/>
  <c r="L577" i="5"/>
  <c r="I577" i="12"/>
  <c r="AC577" i="5"/>
  <c r="L651" i="5"/>
  <c r="AM651" i="5"/>
  <c r="I651" i="12"/>
  <c r="Z651" i="5"/>
  <c r="AC651" i="5"/>
  <c r="X446" i="12"/>
  <c r="W446" i="12"/>
  <c r="T356" i="12"/>
  <c r="U356" i="12"/>
  <c r="V356" i="12"/>
  <c r="V339" i="12"/>
  <c r="T339" i="12"/>
  <c r="U339" i="12"/>
  <c r="E522" i="6"/>
  <c r="D522" i="12"/>
  <c r="L344" i="5"/>
  <c r="Z344" i="5"/>
  <c r="I344" i="12"/>
  <c r="AM344" i="5"/>
  <c r="AC344" i="5"/>
  <c r="AM667" i="5"/>
  <c r="Z667" i="5"/>
  <c r="I667" i="12"/>
  <c r="L667" i="5"/>
  <c r="C667" i="6" s="1"/>
  <c r="AC667" i="5"/>
  <c r="X190" i="12"/>
  <c r="W190" i="12"/>
  <c r="U417" i="12"/>
  <c r="V417" i="12"/>
  <c r="T417" i="12"/>
  <c r="X254" i="12"/>
  <c r="W254" i="12"/>
  <c r="D253" i="12"/>
  <c r="E253" i="6"/>
  <c r="J57" i="12"/>
  <c r="C57" i="12"/>
  <c r="O353" i="5"/>
  <c r="C353" i="6"/>
  <c r="X76" i="5"/>
  <c r="V46" i="8"/>
  <c r="I588" i="12"/>
  <c r="AM588" i="5"/>
  <c r="L588" i="5"/>
  <c r="Z588" i="5"/>
  <c r="AC588" i="5"/>
  <c r="V106" i="12"/>
  <c r="T106" i="12"/>
  <c r="U106" i="12"/>
  <c r="D473" i="12"/>
  <c r="E473" i="6"/>
  <c r="V692" i="12"/>
  <c r="T692" i="12"/>
  <c r="U692" i="12"/>
  <c r="V288" i="12"/>
  <c r="T288" i="12"/>
  <c r="U288" i="12"/>
  <c r="W442" i="12"/>
  <c r="X442" i="12"/>
  <c r="T453" i="12"/>
  <c r="U453" i="12"/>
  <c r="V453" i="12"/>
  <c r="U554" i="12"/>
  <c r="V554" i="12"/>
  <c r="T554" i="12"/>
  <c r="U468" i="12"/>
  <c r="T468" i="12"/>
  <c r="V468" i="12"/>
  <c r="V112" i="12"/>
  <c r="U112" i="12"/>
  <c r="T112" i="12"/>
  <c r="I188" i="12"/>
  <c r="Z188" i="5"/>
  <c r="L188" i="5"/>
  <c r="AM188" i="5"/>
  <c r="AC188" i="5"/>
  <c r="I561" i="12"/>
  <c r="AM561" i="5"/>
  <c r="Z561" i="5"/>
  <c r="L561" i="5"/>
  <c r="AC561" i="5"/>
  <c r="V46" i="12"/>
  <c r="U46" i="12"/>
  <c r="T46" i="12"/>
  <c r="J101" i="12"/>
  <c r="C101" i="12"/>
  <c r="U86" i="12"/>
  <c r="V86" i="12"/>
  <c r="T86" i="12"/>
  <c r="T374" i="12"/>
  <c r="V374" i="12"/>
  <c r="U374" i="12"/>
  <c r="F33" i="8"/>
  <c r="C32" i="8"/>
  <c r="Z32" i="8"/>
  <c r="X32" i="8"/>
  <c r="AD32" i="8"/>
  <c r="Y32" i="8"/>
  <c r="V32" i="8"/>
  <c r="AE32" i="8"/>
  <c r="AA32" i="8"/>
  <c r="G32" i="8"/>
  <c r="I33" i="8" s="1"/>
  <c r="W32" i="8"/>
  <c r="T32" i="8"/>
  <c r="F32" i="8"/>
  <c r="G33" i="8"/>
  <c r="D32" i="8"/>
  <c r="AC32" i="8"/>
  <c r="AB32" i="8"/>
  <c r="U32" i="8"/>
  <c r="Z91" i="8"/>
  <c r="X177" i="5"/>
  <c r="I496" i="12"/>
  <c r="L496" i="5"/>
  <c r="AM496" i="5"/>
  <c r="Z496" i="5"/>
  <c r="AC496" i="5"/>
  <c r="W321" i="12"/>
  <c r="X321" i="12"/>
  <c r="D48" i="12"/>
  <c r="E48" i="6"/>
  <c r="I500" i="12"/>
  <c r="Z500" i="5"/>
  <c r="AM500" i="5"/>
  <c r="L500" i="5"/>
  <c r="AC500" i="5"/>
  <c r="AM146" i="5"/>
  <c r="I146" i="12"/>
  <c r="L146" i="5"/>
  <c r="Z146" i="5"/>
  <c r="AC146" i="5"/>
  <c r="X674" i="12"/>
  <c r="W674" i="12"/>
  <c r="C47" i="12"/>
  <c r="J47" i="12"/>
  <c r="W49" i="12"/>
  <c r="X49" i="12"/>
  <c r="N366" i="12"/>
  <c r="X497" i="12"/>
  <c r="W497" i="12"/>
  <c r="I137" i="12"/>
  <c r="L137" i="5"/>
  <c r="Z137" i="5"/>
  <c r="AM137" i="5"/>
  <c r="AC137" i="5"/>
  <c r="U197" i="12"/>
  <c r="T197" i="12"/>
  <c r="V197" i="12"/>
  <c r="O230" i="12"/>
  <c r="N230" i="12" s="1"/>
  <c r="N231" i="12"/>
  <c r="U700" i="12"/>
  <c r="V700" i="12"/>
  <c r="T700" i="12"/>
  <c r="D250" i="12"/>
  <c r="E250" i="6"/>
  <c r="E350" i="6"/>
  <c r="D350" i="12"/>
  <c r="T330" i="12"/>
  <c r="U330" i="12"/>
  <c r="V330" i="12"/>
  <c r="T533" i="12"/>
  <c r="V533" i="12"/>
  <c r="U533" i="12"/>
  <c r="AM151" i="5"/>
  <c r="L151" i="5"/>
  <c r="C151" i="6" s="1"/>
  <c r="Z151" i="5"/>
  <c r="I151" i="12"/>
  <c r="AC151" i="5"/>
  <c r="U69" i="12"/>
  <c r="T69" i="12"/>
  <c r="V69" i="12"/>
  <c r="D696" i="12"/>
  <c r="E696" i="6"/>
  <c r="AD193" i="8"/>
  <c r="X592" i="5"/>
  <c r="U73" i="12"/>
  <c r="V73" i="12"/>
  <c r="T73" i="12"/>
  <c r="X260" i="12"/>
  <c r="W260" i="12"/>
  <c r="E286" i="6"/>
  <c r="D286" i="12"/>
  <c r="U377" i="12"/>
  <c r="V377" i="12"/>
  <c r="T377" i="12"/>
  <c r="U451" i="12"/>
  <c r="V451" i="12"/>
  <c r="T451" i="12"/>
  <c r="Y544" i="12"/>
  <c r="V375" i="12"/>
  <c r="U375" i="12"/>
  <c r="T375" i="12"/>
  <c r="J37" i="12"/>
  <c r="C37" i="12"/>
  <c r="L471" i="5"/>
  <c r="C471" i="6" s="1"/>
  <c r="Z471" i="5"/>
  <c r="I471" i="12"/>
  <c r="AM471" i="5"/>
  <c r="AC471" i="5"/>
  <c r="N614" i="12"/>
  <c r="O613" i="12"/>
  <c r="N613" i="12" s="1"/>
  <c r="U95" i="12"/>
  <c r="V95" i="12"/>
  <c r="T95" i="12"/>
  <c r="AO285" i="12"/>
  <c r="Y286" i="12"/>
  <c r="T689" i="12"/>
  <c r="U689" i="12"/>
  <c r="V689" i="12"/>
  <c r="T549" i="12"/>
  <c r="V549" i="12"/>
  <c r="U549" i="12"/>
  <c r="Z572" i="5"/>
  <c r="L572" i="5"/>
  <c r="I572" i="12"/>
  <c r="AM572" i="5"/>
  <c r="AC572" i="5"/>
  <c r="L478" i="5"/>
  <c r="C478" i="6" s="1"/>
  <c r="Z478" i="5"/>
  <c r="I478" i="12"/>
  <c r="AM478" i="5"/>
  <c r="AC478" i="5"/>
  <c r="I621" i="12"/>
  <c r="AM621" i="5"/>
  <c r="Z621" i="5"/>
  <c r="L621" i="5"/>
  <c r="AC621" i="5"/>
  <c r="X352" i="12"/>
  <c r="W352" i="12"/>
  <c r="D581" i="12"/>
  <c r="E581" i="6"/>
  <c r="X541" i="12"/>
  <c r="W541" i="12"/>
  <c r="D610" i="12"/>
  <c r="E610" i="6"/>
  <c r="Y437" i="12"/>
  <c r="D403" i="12"/>
  <c r="E403" i="6"/>
  <c r="T615" i="12"/>
  <c r="U615" i="12"/>
  <c r="V615" i="12"/>
  <c r="Y213" i="12"/>
  <c r="N320" i="12"/>
  <c r="X93" i="12"/>
  <c r="W93" i="12"/>
  <c r="AM119" i="5"/>
  <c r="Z119" i="5"/>
  <c r="I119" i="12"/>
  <c r="L119" i="5"/>
  <c r="AC119" i="5"/>
  <c r="L225" i="5"/>
  <c r="Z225" i="5"/>
  <c r="AM225" i="5"/>
  <c r="I225" i="12"/>
  <c r="AC225" i="5"/>
  <c r="C91" i="12"/>
  <c r="J91" i="12"/>
  <c r="D437" i="12"/>
  <c r="E437" i="6"/>
  <c r="U593" i="12"/>
  <c r="V593" i="12"/>
  <c r="T593" i="12"/>
  <c r="O110" i="5"/>
  <c r="C110" i="6"/>
  <c r="X326" i="12"/>
  <c r="W326" i="12"/>
  <c r="T355" i="12"/>
  <c r="V355" i="12"/>
  <c r="U355" i="12"/>
  <c r="W340" i="12"/>
  <c r="X340" i="12"/>
  <c r="X637" i="5"/>
  <c r="AD214" i="8"/>
  <c r="Z281" i="5"/>
  <c r="L281" i="5"/>
  <c r="I281" i="12"/>
  <c r="AM281" i="5"/>
  <c r="AC281" i="5"/>
  <c r="I673" i="12"/>
  <c r="Z673" i="5"/>
  <c r="L673" i="5"/>
  <c r="AM673" i="5"/>
  <c r="AC673" i="5"/>
  <c r="X642" i="5"/>
  <c r="AD217" i="8"/>
  <c r="U538" i="12"/>
  <c r="T538" i="12"/>
  <c r="V538" i="12"/>
  <c r="I187" i="12"/>
  <c r="Z187" i="5"/>
  <c r="L187" i="5"/>
  <c r="AM187" i="5"/>
  <c r="AC187" i="5"/>
  <c r="I161" i="12"/>
  <c r="Z161" i="5"/>
  <c r="L161" i="5"/>
  <c r="AM161" i="5"/>
  <c r="AC161" i="5"/>
  <c r="T287" i="12"/>
  <c r="U287" i="12"/>
  <c r="V287" i="12"/>
  <c r="O91" i="12"/>
  <c r="N91" i="12" s="1"/>
  <c r="N92" i="12"/>
  <c r="W214" i="12"/>
  <c r="X214" i="12"/>
  <c r="E357" i="6"/>
  <c r="D357" i="12"/>
  <c r="W305" i="12"/>
  <c r="X305" i="12"/>
  <c r="E514" i="6"/>
  <c r="D514" i="12"/>
  <c r="U84" i="12"/>
  <c r="T84" i="12"/>
  <c r="V84" i="12"/>
  <c r="D641" i="12"/>
  <c r="E641" i="6"/>
  <c r="L503" i="5"/>
  <c r="AM503" i="5"/>
  <c r="Z503" i="5"/>
  <c r="I503" i="12"/>
  <c r="AC503" i="5"/>
  <c r="I198" i="12"/>
  <c r="L198" i="5"/>
  <c r="C198" i="6" s="1"/>
  <c r="AM198" i="5"/>
  <c r="Z198" i="5"/>
  <c r="AC198" i="5"/>
  <c r="V328" i="12"/>
  <c r="T328" i="12"/>
  <c r="U328" i="12"/>
  <c r="U256" i="12"/>
  <c r="T256" i="12"/>
  <c r="V256" i="12"/>
  <c r="E702" i="6"/>
  <c r="D702" i="12"/>
  <c r="X714" i="5"/>
  <c r="AE250" i="8"/>
  <c r="N655" i="12"/>
  <c r="O654" i="12"/>
  <c r="N654" i="12" s="1"/>
  <c r="X273" i="12"/>
  <c r="W273" i="12"/>
  <c r="AA239" i="8"/>
  <c r="X239" i="8"/>
  <c r="AC239" i="8"/>
  <c r="Z239" i="8"/>
  <c r="Y239" i="8"/>
  <c r="AB239" i="8"/>
  <c r="V239" i="8"/>
  <c r="D239" i="8"/>
  <c r="C239" i="8"/>
  <c r="F240" i="8"/>
  <c r="AD239" i="8"/>
  <c r="T239" i="8"/>
  <c r="G239" i="8"/>
  <c r="I240" i="8" s="1"/>
  <c r="U239" i="8"/>
  <c r="W239" i="8"/>
  <c r="F239" i="8"/>
  <c r="G240" i="8"/>
  <c r="AE239" i="8"/>
  <c r="X115" i="5"/>
  <c r="X70" i="8"/>
  <c r="W387" i="12"/>
  <c r="X387" i="12"/>
  <c r="W404" i="12"/>
  <c r="X404" i="12"/>
  <c r="C316" i="12"/>
  <c r="J316" i="12"/>
  <c r="V276" i="12"/>
  <c r="U276" i="12"/>
  <c r="T276" i="12"/>
  <c r="AO29" i="12"/>
  <c r="Y30" i="12"/>
  <c r="X536" i="12"/>
  <c r="W536" i="12"/>
  <c r="T373" i="12"/>
  <c r="V373" i="12"/>
  <c r="U373" i="12"/>
  <c r="C526" i="12"/>
  <c r="J526" i="12"/>
  <c r="AO37" i="12"/>
  <c r="Y38" i="12"/>
  <c r="AM492" i="5"/>
  <c r="L492" i="5"/>
  <c r="Z492" i="5"/>
  <c r="I492" i="12"/>
  <c r="AC492" i="5"/>
  <c r="I162" i="12"/>
  <c r="Z162" i="5"/>
  <c r="AM162" i="5"/>
  <c r="L162" i="5"/>
  <c r="AC162" i="5"/>
  <c r="AM680" i="5"/>
  <c r="L680" i="5"/>
  <c r="Z680" i="5"/>
  <c r="I680" i="12"/>
  <c r="AC680" i="5"/>
  <c r="V382" i="12"/>
  <c r="T382" i="12"/>
  <c r="U382" i="12"/>
  <c r="E102" i="6"/>
  <c r="D102" i="12"/>
  <c r="D358" i="12"/>
  <c r="E358" i="6"/>
  <c r="Z431" i="5"/>
  <c r="AM431" i="5"/>
  <c r="I431" i="12"/>
  <c r="L431" i="5"/>
  <c r="AC431" i="5"/>
  <c r="AM461" i="5"/>
  <c r="L461" i="5"/>
  <c r="I461" i="12"/>
  <c r="Z461" i="5"/>
  <c r="AC461" i="5"/>
  <c r="AM22" i="5"/>
  <c r="I22" i="12"/>
  <c r="Z22" i="5"/>
  <c r="L22" i="5"/>
  <c r="AC22" i="5"/>
  <c r="E583" i="6"/>
  <c r="D583" i="12"/>
  <c r="X611" i="12"/>
  <c r="W611" i="12"/>
  <c r="T664" i="12"/>
  <c r="U664" i="12"/>
  <c r="V664" i="12"/>
  <c r="U99" i="12"/>
  <c r="T99" i="12"/>
  <c r="V99" i="12"/>
  <c r="I383" i="12"/>
  <c r="Z383" i="5"/>
  <c r="AM383" i="5"/>
  <c r="L383" i="5"/>
  <c r="AC383" i="5"/>
  <c r="Z576" i="5"/>
  <c r="I576" i="12"/>
  <c r="AM576" i="5"/>
  <c r="L576" i="5"/>
  <c r="AC576" i="5"/>
  <c r="Y416" i="12"/>
  <c r="AO415" i="12"/>
  <c r="J245" i="12"/>
  <c r="C245" i="12"/>
  <c r="E88" i="6"/>
  <c r="D88" i="12"/>
  <c r="D320" i="12"/>
  <c r="E320" i="6"/>
  <c r="U390" i="12"/>
  <c r="T390" i="12"/>
  <c r="V390" i="12"/>
  <c r="W125" i="12"/>
  <c r="X125" i="12"/>
  <c r="AD29" i="8"/>
  <c r="V29" i="8"/>
  <c r="F29" i="8"/>
  <c r="Y29" i="8"/>
  <c r="AB29" i="8"/>
  <c r="X29" i="8"/>
  <c r="AA29" i="8"/>
  <c r="G30" i="8"/>
  <c r="D29" i="8"/>
  <c r="Z29" i="8"/>
  <c r="T29" i="8"/>
  <c r="AE29" i="8"/>
  <c r="C29" i="8"/>
  <c r="AC29" i="8"/>
  <c r="W29" i="8"/>
  <c r="F30" i="8"/>
  <c r="G29" i="8"/>
  <c r="I30" i="8" s="1"/>
  <c r="U29" i="8"/>
  <c r="E629" i="6"/>
  <c r="D629" i="12"/>
  <c r="O285" i="12"/>
  <c r="N285" i="12" s="1"/>
  <c r="N286" i="12"/>
  <c r="D49" i="12"/>
  <c r="E49" i="6"/>
  <c r="J29" i="12"/>
  <c r="C29" i="12"/>
  <c r="W486" i="12"/>
  <c r="X486" i="12"/>
  <c r="D422" i="12"/>
  <c r="E422" i="6"/>
  <c r="AB109" i="8"/>
  <c r="X234" i="5"/>
  <c r="W182" i="12"/>
  <c r="X182" i="12"/>
  <c r="W60" i="12"/>
  <c r="X60" i="12"/>
  <c r="Y509" i="12"/>
  <c r="AO508" i="12"/>
  <c r="AC172" i="8"/>
  <c r="X491" i="5"/>
  <c r="AB112" i="8"/>
  <c r="X238" i="5"/>
  <c r="Z456" i="5"/>
  <c r="AM456" i="5"/>
  <c r="L456" i="5"/>
  <c r="I456" i="12"/>
  <c r="AC456" i="5"/>
  <c r="X488" i="12"/>
  <c r="W488" i="12"/>
  <c r="U414" i="12"/>
  <c r="T414" i="12"/>
  <c r="V414" i="12"/>
  <c r="D324" i="12"/>
  <c r="E324" i="6"/>
  <c r="X70" i="12"/>
  <c r="W70" i="12"/>
  <c r="W369" i="12"/>
  <c r="X369" i="12"/>
  <c r="L140" i="5"/>
  <c r="I140" i="12"/>
  <c r="AM140" i="5"/>
  <c r="Z140" i="5"/>
  <c r="AC140" i="5"/>
  <c r="L343" i="5"/>
  <c r="Z343" i="5"/>
  <c r="I343" i="12"/>
  <c r="AM343" i="5"/>
  <c r="AC343" i="5"/>
  <c r="W282" i="12"/>
  <c r="X282" i="12"/>
  <c r="AE65" i="8"/>
  <c r="F66" i="8"/>
  <c r="G66" i="8"/>
  <c r="Y65" i="8"/>
  <c r="D65" i="8"/>
  <c r="U65" i="8"/>
  <c r="T65" i="8"/>
  <c r="AC65" i="8"/>
  <c r="V65" i="8"/>
  <c r="F65" i="8"/>
  <c r="AA65" i="8"/>
  <c r="C65" i="8"/>
  <c r="W65" i="8"/>
  <c r="Z65" i="8"/>
  <c r="AB65" i="8"/>
  <c r="G65" i="8"/>
  <c r="I66" i="8" s="1"/>
  <c r="AD65" i="8"/>
  <c r="X65" i="8"/>
  <c r="C418" i="6"/>
  <c r="O418" i="5"/>
  <c r="Z143" i="5"/>
  <c r="AM143" i="5"/>
  <c r="L143" i="5"/>
  <c r="I143" i="12"/>
  <c r="AC143" i="5"/>
  <c r="I147" i="12"/>
  <c r="AM147" i="5"/>
  <c r="Z147" i="5"/>
  <c r="L147" i="5"/>
  <c r="AC147" i="5"/>
  <c r="T22" i="8"/>
  <c r="X20" i="5"/>
  <c r="D22" i="8"/>
  <c r="O101" i="12"/>
  <c r="N101" i="12" s="1"/>
  <c r="N102" i="12"/>
  <c r="V315" i="12"/>
  <c r="U315" i="12"/>
  <c r="T315" i="12"/>
  <c r="N619" i="12"/>
  <c r="C353" i="12"/>
  <c r="J353" i="12"/>
  <c r="L602" i="5"/>
  <c r="I602" i="12"/>
  <c r="AM602" i="5"/>
  <c r="Z602" i="5"/>
  <c r="AC602" i="5"/>
  <c r="I179" i="12"/>
  <c r="Z179" i="5"/>
  <c r="AM179" i="5"/>
  <c r="L179" i="5"/>
  <c r="AC179" i="5"/>
  <c r="D332" i="12"/>
  <c r="E332" i="6"/>
  <c r="N104" i="12"/>
  <c r="U694" i="12"/>
  <c r="V694" i="12"/>
  <c r="T694" i="12"/>
  <c r="E547" i="6"/>
  <c r="D547" i="12"/>
  <c r="W647" i="12"/>
  <c r="X647" i="12"/>
  <c r="E328" i="6"/>
  <c r="D328" i="12"/>
  <c r="E56" i="6"/>
  <c r="D56" i="12"/>
  <c r="AM502" i="5"/>
  <c r="Z502" i="5"/>
  <c r="I502" i="12"/>
  <c r="L502" i="5"/>
  <c r="AC502" i="5"/>
  <c r="X79" i="8"/>
  <c r="X135" i="5"/>
  <c r="U505" i="12"/>
  <c r="V505" i="12"/>
  <c r="T505" i="12"/>
  <c r="W610" i="12"/>
  <c r="X610" i="12"/>
  <c r="X66" i="12"/>
  <c r="W66" i="12"/>
  <c r="D515" i="12"/>
  <c r="E515" i="6"/>
  <c r="C695" i="12"/>
  <c r="J695" i="12"/>
  <c r="Z564" i="5"/>
  <c r="I564" i="12"/>
  <c r="L564" i="5"/>
  <c r="AM564" i="5"/>
  <c r="AC564" i="5"/>
  <c r="J230" i="12"/>
  <c r="C230" i="12"/>
  <c r="L230" i="12"/>
  <c r="V524" i="12"/>
  <c r="U524" i="12"/>
  <c r="T524" i="12"/>
  <c r="D545" i="12"/>
  <c r="E545" i="6"/>
  <c r="N30" i="12"/>
  <c r="O29" i="12"/>
  <c r="N29" i="12" s="1"/>
  <c r="X427" i="12"/>
  <c r="W427" i="12"/>
  <c r="G177" i="8"/>
  <c r="G176" i="8"/>
  <c r="I177" i="8" s="1"/>
  <c r="Z176" i="8"/>
  <c r="AA176" i="8"/>
  <c r="AD176" i="8"/>
  <c r="F176" i="8"/>
  <c r="AE176" i="8"/>
  <c r="T176" i="8"/>
  <c r="Y176" i="8"/>
  <c r="F177" i="8"/>
  <c r="D176" i="8"/>
  <c r="V176" i="8"/>
  <c r="C176" i="8"/>
  <c r="X176" i="8"/>
  <c r="AB176" i="8"/>
  <c r="W176" i="8"/>
  <c r="U176" i="8"/>
  <c r="AC176" i="8"/>
  <c r="Z139" i="5"/>
  <c r="AM139" i="5"/>
  <c r="L139" i="5"/>
  <c r="I139" i="12"/>
  <c r="AC139" i="5"/>
  <c r="L464" i="5"/>
  <c r="AM464" i="5"/>
  <c r="Z464" i="5"/>
  <c r="I464" i="12"/>
  <c r="AC464" i="5"/>
  <c r="AM138" i="5"/>
  <c r="L138" i="5"/>
  <c r="I138" i="12"/>
  <c r="Z138" i="5"/>
  <c r="AC138" i="5"/>
  <c r="U460" i="12"/>
  <c r="V460" i="12"/>
  <c r="T460" i="12"/>
  <c r="V219" i="12"/>
  <c r="U219" i="12"/>
  <c r="T219" i="12"/>
  <c r="U388" i="12"/>
  <c r="T388" i="12"/>
  <c r="V388" i="12"/>
  <c r="T587" i="12"/>
  <c r="U587" i="12"/>
  <c r="V587" i="12"/>
  <c r="T638" i="12"/>
  <c r="U638" i="12"/>
  <c r="V638" i="12"/>
  <c r="L120" i="5"/>
  <c r="I120" i="12"/>
  <c r="AM120" i="5"/>
  <c r="Z120" i="5"/>
  <c r="AC120" i="5"/>
  <c r="I154" i="12"/>
  <c r="L154" i="5"/>
  <c r="C154" i="6" s="1"/>
  <c r="Z154" i="5"/>
  <c r="AM154" i="5"/>
  <c r="AC154" i="5"/>
  <c r="D694" i="12"/>
  <c r="E694" i="6"/>
  <c r="V439" i="12"/>
  <c r="T439" i="12"/>
  <c r="U439" i="12"/>
  <c r="Y531" i="12"/>
  <c r="U521" i="12"/>
  <c r="V521" i="12"/>
  <c r="T521" i="12"/>
  <c r="N41" i="12"/>
  <c r="O40" i="12"/>
  <c r="N40" i="12" s="1"/>
  <c r="L133" i="5"/>
  <c r="C133" i="6" s="1"/>
  <c r="Z133" i="5"/>
  <c r="AM133" i="5"/>
  <c r="I133" i="12"/>
  <c r="AC133" i="5"/>
  <c r="Z239" i="5"/>
  <c r="I239" i="12"/>
  <c r="AM239" i="5"/>
  <c r="L239" i="5"/>
  <c r="AC239" i="5"/>
  <c r="D528" i="12"/>
  <c r="E528" i="6"/>
  <c r="L244" i="5"/>
  <c r="C244" i="6" s="1"/>
  <c r="AM244" i="5"/>
  <c r="I244" i="12"/>
  <c r="Z244" i="5"/>
  <c r="AC244" i="5"/>
  <c r="L653" i="5"/>
  <c r="C653" i="6" s="1"/>
  <c r="Z653" i="5"/>
  <c r="AM653" i="5"/>
  <c r="I653" i="12"/>
  <c r="AC653" i="5"/>
  <c r="Z21" i="5"/>
  <c r="AM21" i="5"/>
  <c r="L21" i="5"/>
  <c r="I21" i="12"/>
  <c r="AC21" i="5"/>
  <c r="X211" i="12"/>
  <c r="W211" i="12"/>
  <c r="Y26" i="8"/>
  <c r="AC26" i="8"/>
  <c r="G27" i="8"/>
  <c r="F27" i="8"/>
  <c r="D26" i="8"/>
  <c r="X26" i="8"/>
  <c r="AB26" i="8"/>
  <c r="C26" i="8"/>
  <c r="AD26" i="8"/>
  <c r="F26" i="8"/>
  <c r="W26" i="8"/>
  <c r="V26" i="8"/>
  <c r="AA26" i="8"/>
  <c r="AE26" i="8"/>
  <c r="T26" i="8"/>
  <c r="G26" i="8"/>
  <c r="I27" i="8" s="1"/>
  <c r="Z26" i="8"/>
  <c r="U26" i="8"/>
  <c r="G138" i="8"/>
  <c r="D137" i="8"/>
  <c r="AA137" i="8"/>
  <c r="T137" i="8"/>
  <c r="U137" i="8"/>
  <c r="Z137" i="8"/>
  <c r="AB137" i="8"/>
  <c r="C137" i="8"/>
  <c r="F138" i="8"/>
  <c r="AD137" i="8"/>
  <c r="V137" i="8"/>
  <c r="G137" i="8"/>
  <c r="I138" i="8" s="1"/>
  <c r="W137" i="8"/>
  <c r="AE137" i="8"/>
  <c r="F137" i="8"/>
  <c r="X137" i="8"/>
  <c r="Y137" i="8"/>
  <c r="AC137" i="8"/>
  <c r="U251" i="12"/>
  <c r="T251" i="12"/>
  <c r="V251" i="12"/>
  <c r="I481" i="12"/>
  <c r="Z481" i="5"/>
  <c r="AM481" i="5"/>
  <c r="L481" i="5"/>
  <c r="AC481" i="5"/>
  <c r="I493" i="12"/>
  <c r="L493" i="5"/>
  <c r="AM493" i="5"/>
  <c r="Z493" i="5"/>
  <c r="AC493" i="5"/>
  <c r="D614" i="12"/>
  <c r="E614" i="6"/>
  <c r="X203" i="12"/>
  <c r="W203" i="12"/>
  <c r="N403" i="12"/>
  <c r="X331" i="12"/>
  <c r="W331" i="12"/>
  <c r="U455" i="12"/>
  <c r="V455" i="12"/>
  <c r="T455" i="12"/>
  <c r="E59" i="6"/>
  <c r="D59" i="12"/>
  <c r="L226" i="5"/>
  <c r="AM226" i="5"/>
  <c r="I226" i="12"/>
  <c r="Z226" i="5"/>
  <c r="AC226" i="5"/>
  <c r="AM625" i="5"/>
  <c r="Z625" i="5"/>
  <c r="I625" i="12"/>
  <c r="L625" i="5"/>
  <c r="AC625" i="5"/>
  <c r="D704" i="12"/>
  <c r="E704" i="6"/>
  <c r="V515" i="12"/>
  <c r="U515" i="12"/>
  <c r="T515" i="12"/>
  <c r="U634" i="12"/>
  <c r="T634" i="12"/>
  <c r="V634" i="12"/>
  <c r="Y320" i="12"/>
  <c r="Y581" i="12"/>
  <c r="U450" i="12"/>
  <c r="T450" i="12"/>
  <c r="V450" i="12"/>
  <c r="Z229" i="5"/>
  <c r="I229" i="12"/>
  <c r="L229" i="5"/>
  <c r="C229" i="6" s="1"/>
  <c r="AM229" i="5"/>
  <c r="AC229" i="5"/>
  <c r="L601" i="5"/>
  <c r="AM601" i="5"/>
  <c r="Z601" i="5"/>
  <c r="I601" i="12"/>
  <c r="AC601" i="5"/>
  <c r="I465" i="12"/>
  <c r="Z465" i="5"/>
  <c r="L465" i="5"/>
  <c r="AM465" i="5"/>
  <c r="AC465" i="5"/>
  <c r="C91" i="6"/>
  <c r="O91" i="5"/>
  <c r="W35" i="12"/>
  <c r="X35" i="12"/>
  <c r="V407" i="12"/>
  <c r="T407" i="12"/>
  <c r="U407" i="12"/>
  <c r="C110" i="12"/>
  <c r="J110" i="12"/>
  <c r="U720" i="12"/>
  <c r="V720" i="12"/>
  <c r="T720" i="12"/>
  <c r="J418" i="12"/>
  <c r="C418" i="12"/>
  <c r="Z393" i="5"/>
  <c r="L393" i="5"/>
  <c r="I393" i="12"/>
  <c r="AM393" i="5"/>
  <c r="AC393" i="5"/>
  <c r="E222" i="6"/>
  <c r="D222" i="12"/>
  <c r="X516" i="12"/>
  <c r="W516" i="12"/>
  <c r="Y619" i="12"/>
  <c r="V322" i="12"/>
  <c r="T322" i="12"/>
  <c r="U322" i="12"/>
  <c r="F140" i="8"/>
  <c r="X140" i="8"/>
  <c r="V140" i="8"/>
  <c r="G141" i="8"/>
  <c r="Y140" i="8"/>
  <c r="U140" i="8"/>
  <c r="G140" i="8"/>
  <c r="I141" i="8" s="1"/>
  <c r="AA140" i="8"/>
  <c r="W140" i="8"/>
  <c r="T140" i="8"/>
  <c r="AE140" i="8"/>
  <c r="C140" i="8"/>
  <c r="AB140" i="8"/>
  <c r="F141" i="8"/>
  <c r="Z140" i="8"/>
  <c r="D140" i="8"/>
  <c r="AD140" i="8"/>
  <c r="AC140" i="8"/>
  <c r="AM160" i="5"/>
  <c r="L160" i="5"/>
  <c r="Z160" i="5"/>
  <c r="I160" i="12"/>
  <c r="AC160" i="5"/>
  <c r="V272" i="12"/>
  <c r="U272" i="12"/>
  <c r="T272" i="12"/>
  <c r="AE41" i="8"/>
  <c r="W41" i="8"/>
  <c r="AA41" i="8"/>
  <c r="AB41" i="8"/>
  <c r="Y41" i="8"/>
  <c r="F42" i="8"/>
  <c r="Z41" i="8"/>
  <c r="G42" i="8"/>
  <c r="AD41" i="8"/>
  <c r="X41" i="8"/>
  <c r="AC41" i="8"/>
  <c r="U41" i="8"/>
  <c r="T41" i="8"/>
  <c r="F41" i="8"/>
  <c r="D41" i="8"/>
  <c r="C41" i="8"/>
  <c r="G41" i="8"/>
  <c r="I42" i="8" s="1"/>
  <c r="V41" i="8"/>
  <c r="V447" i="12"/>
  <c r="U447" i="12"/>
  <c r="T447" i="12"/>
  <c r="U56" i="12"/>
  <c r="V56" i="12"/>
  <c r="T56" i="12"/>
  <c r="U62" i="12"/>
  <c r="T62" i="12"/>
  <c r="V62" i="12"/>
  <c r="I598" i="12"/>
  <c r="Z598" i="5"/>
  <c r="L598" i="5"/>
  <c r="AM598" i="5"/>
  <c r="AC598" i="5"/>
  <c r="Z180" i="5"/>
  <c r="AM180" i="5"/>
  <c r="I180" i="12"/>
  <c r="L180" i="5"/>
  <c r="AC180" i="5"/>
  <c r="V336" i="12"/>
  <c r="T336" i="12"/>
  <c r="U336" i="12"/>
  <c r="V341" i="12"/>
  <c r="U341" i="12"/>
  <c r="T341" i="12"/>
  <c r="T412" i="12"/>
  <c r="V412" i="12"/>
  <c r="U412" i="12"/>
  <c r="V556" i="12"/>
  <c r="U556" i="12"/>
  <c r="T556" i="12"/>
  <c r="Y248" i="12"/>
  <c r="C40" i="12"/>
  <c r="J40" i="12"/>
  <c r="L40" i="12"/>
  <c r="X76" i="8"/>
  <c r="X127" i="5"/>
  <c r="W171" i="12"/>
  <c r="X171" i="12"/>
  <c r="W280" i="12"/>
  <c r="X280" i="12"/>
  <c r="I284" i="12"/>
  <c r="L284" i="5"/>
  <c r="C284" i="6" s="1"/>
  <c r="Z284" i="5"/>
  <c r="AM284" i="5"/>
  <c r="AC284" i="5"/>
  <c r="L297" i="5"/>
  <c r="AM297" i="5"/>
  <c r="Z297" i="5"/>
  <c r="I297" i="12"/>
  <c r="AC297" i="5"/>
  <c r="AC169" i="8"/>
  <c r="X480" i="5"/>
  <c r="D104" i="12"/>
  <c r="E104" i="6"/>
  <c r="T523" i="12"/>
  <c r="V523" i="12"/>
  <c r="U523" i="12"/>
  <c r="O316" i="5"/>
  <c r="C316" i="6"/>
  <c r="E98" i="6"/>
  <c r="D98" i="12"/>
  <c r="X645" i="12"/>
  <c r="W645" i="12"/>
  <c r="T697" i="12"/>
  <c r="V697" i="12"/>
  <c r="U697" i="12"/>
  <c r="Z600" i="5"/>
  <c r="AM600" i="5"/>
  <c r="L600" i="5"/>
  <c r="I600" i="12"/>
  <c r="AC600" i="5"/>
  <c r="V54" i="12"/>
  <c r="U54" i="12"/>
  <c r="T54" i="12"/>
  <c r="E82" i="6"/>
  <c r="D82" i="12"/>
  <c r="U551" i="12"/>
  <c r="V551" i="12"/>
  <c r="T551" i="12"/>
  <c r="N527" i="12"/>
  <c r="O526" i="12"/>
  <c r="N526" i="12" s="1"/>
  <c r="L314" i="5"/>
  <c r="AM314" i="5"/>
  <c r="Z314" i="5"/>
  <c r="I314" i="12"/>
  <c r="AC314" i="5"/>
  <c r="G203" i="8"/>
  <c r="I204" i="8" s="1"/>
  <c r="X203" i="8"/>
  <c r="C203" i="8"/>
  <c r="U203" i="8"/>
  <c r="AB203" i="8"/>
  <c r="V203" i="8"/>
  <c r="G204" i="8"/>
  <c r="F204" i="8"/>
  <c r="F203" i="8"/>
  <c r="Z203" i="8"/>
  <c r="AA203" i="8"/>
  <c r="AC203" i="8"/>
  <c r="W203" i="8"/>
  <c r="Y203" i="8"/>
  <c r="D203" i="8"/>
  <c r="T203" i="8"/>
  <c r="AE203" i="8"/>
  <c r="AD203" i="8"/>
  <c r="E655" i="6"/>
  <c r="D655" i="12"/>
  <c r="U445" i="12"/>
  <c r="V445" i="12"/>
  <c r="T445" i="12"/>
  <c r="N531" i="12"/>
  <c r="Y41" i="12"/>
  <c r="AO40" i="12"/>
  <c r="Y40" i="12" s="1"/>
  <c r="I397" i="12"/>
  <c r="AM397" i="5"/>
  <c r="Z397" i="5"/>
  <c r="L397" i="5"/>
  <c r="AC397" i="5"/>
  <c r="N416" i="12"/>
  <c r="O415" i="12"/>
  <c r="N415" i="12" s="1"/>
  <c r="V362" i="12"/>
  <c r="U362" i="12"/>
  <c r="T362" i="12"/>
  <c r="X574" i="12"/>
  <c r="W574" i="12"/>
  <c r="X253" i="12"/>
  <c r="W253" i="12"/>
  <c r="V33" i="12"/>
  <c r="T33" i="12"/>
  <c r="U33" i="12"/>
  <c r="C508" i="6"/>
  <c r="O508" i="5"/>
  <c r="C37" i="6"/>
  <c r="O37" i="5"/>
  <c r="AM235" i="5"/>
  <c r="I235" i="12"/>
  <c r="Z235" i="5"/>
  <c r="L235" i="5"/>
  <c r="AC235" i="5"/>
  <c r="AO613" i="12"/>
  <c r="Y613" i="12" s="1"/>
  <c r="Y614" i="12"/>
  <c r="W105" i="12"/>
  <c r="X105" i="12"/>
  <c r="C349" i="6"/>
  <c r="O349" i="5"/>
  <c r="I79" i="12"/>
  <c r="AM79" i="5"/>
  <c r="L79" i="5"/>
  <c r="Z79" i="5"/>
  <c r="AC79" i="5"/>
  <c r="AM312" i="5"/>
  <c r="L312" i="5"/>
  <c r="I312" i="12"/>
  <c r="Z312" i="5"/>
  <c r="AC312" i="5"/>
  <c r="Z670" i="5"/>
  <c r="AM670" i="5"/>
  <c r="I670" i="12"/>
  <c r="L670" i="5"/>
  <c r="AC670" i="5"/>
  <c r="E333" i="6"/>
  <c r="D333" i="12"/>
  <c r="D608" i="12"/>
  <c r="E608" i="6"/>
  <c r="Y403" i="12"/>
  <c r="D308" i="12"/>
  <c r="E308" i="6"/>
  <c r="L130" i="5"/>
  <c r="Z130" i="5"/>
  <c r="AM130" i="5"/>
  <c r="I130" i="12"/>
  <c r="AC130" i="5"/>
  <c r="N437" i="12"/>
  <c r="E425" i="6"/>
  <c r="D425" i="12"/>
  <c r="L570" i="5"/>
  <c r="I570" i="12"/>
  <c r="AM570" i="5"/>
  <c r="Z570" i="5"/>
  <c r="AC570" i="5"/>
  <c r="Y53" i="8"/>
  <c r="X53" i="8"/>
  <c r="U53" i="8"/>
  <c r="AC53" i="8"/>
  <c r="AD53" i="8"/>
  <c r="AE53" i="8"/>
  <c r="G53" i="8"/>
  <c r="I54" i="8" s="1"/>
  <c r="AA53" i="8"/>
  <c r="G54" i="8"/>
  <c r="V53" i="8"/>
  <c r="Z53" i="8"/>
  <c r="F53" i="8"/>
  <c r="D53" i="8"/>
  <c r="F54" i="8"/>
  <c r="T53" i="8"/>
  <c r="AB53" i="8"/>
  <c r="W53" i="8"/>
  <c r="E75" i="6"/>
  <c r="D75" i="12"/>
  <c r="O353" i="12"/>
  <c r="N353" i="12" s="1"/>
  <c r="N354" i="12"/>
  <c r="T304" i="12"/>
  <c r="V304" i="12"/>
  <c r="U304" i="12"/>
  <c r="T423" i="12"/>
  <c r="U423" i="12"/>
  <c r="V423" i="12"/>
  <c r="U532" i="12"/>
  <c r="T532" i="12"/>
  <c r="V532" i="12"/>
  <c r="AM469" i="5"/>
  <c r="Z469" i="5"/>
  <c r="L469" i="5"/>
  <c r="I469" i="12"/>
  <c r="AC469" i="5"/>
  <c r="Z599" i="5"/>
  <c r="AM599" i="5"/>
  <c r="L599" i="5"/>
  <c r="I599" i="12"/>
  <c r="AC599" i="5"/>
  <c r="U202" i="12"/>
  <c r="V202" i="12"/>
  <c r="T202" i="12"/>
  <c r="Y92" i="12"/>
  <c r="AO91" i="12"/>
  <c r="O63" i="5"/>
  <c r="C63" i="6"/>
  <c r="W175" i="12"/>
  <c r="X175" i="12"/>
  <c r="C96" i="12"/>
  <c r="J96" i="12"/>
  <c r="U242" i="8"/>
  <c r="D242" i="8"/>
  <c r="Y242" i="8"/>
  <c r="V242" i="8"/>
  <c r="C242" i="8"/>
  <c r="AB242" i="8"/>
  <c r="F242" i="8"/>
  <c r="Z242" i="8"/>
  <c r="F243" i="8"/>
  <c r="W242" i="8"/>
  <c r="X242" i="8"/>
  <c r="G243" i="8"/>
  <c r="AC242" i="8"/>
  <c r="G242" i="8"/>
  <c r="I243" i="8" s="1"/>
  <c r="T242" i="8"/>
  <c r="AA242" i="8"/>
  <c r="AD242" i="8"/>
  <c r="AE242" i="8"/>
  <c r="AE247" i="8"/>
  <c r="X711" i="5"/>
  <c r="X107" i="5"/>
  <c r="W64" i="8"/>
  <c r="T545" i="12"/>
  <c r="U545" i="12"/>
  <c r="V545" i="12"/>
  <c r="W31" i="12"/>
  <c r="X31" i="12"/>
  <c r="N317" i="12"/>
  <c r="O316" i="12"/>
  <c r="N316" i="12" s="1"/>
  <c r="Y419" i="12"/>
  <c r="AO418" i="12"/>
  <c r="V255" i="12"/>
  <c r="T255" i="12"/>
  <c r="U255" i="12"/>
  <c r="X428" i="5"/>
  <c r="AC157" i="8"/>
  <c r="E321" i="6"/>
  <c r="D321" i="12"/>
  <c r="Y655" i="12"/>
  <c r="AO654" i="12"/>
  <c r="X250" i="12"/>
  <c r="W250" i="12"/>
  <c r="O695" i="5"/>
  <c r="C695" i="6"/>
  <c r="E512" i="6"/>
  <c r="D512" i="12"/>
  <c r="AD232" i="8"/>
  <c r="X669" i="5"/>
  <c r="X338" i="5"/>
  <c r="AB136" i="8"/>
  <c r="E302" i="6"/>
  <c r="D302" i="12"/>
  <c r="E304" i="6"/>
  <c r="D304" i="12"/>
  <c r="X53" i="12"/>
  <c r="W53" i="12"/>
  <c r="N38" i="12"/>
  <c r="O37" i="12"/>
  <c r="N37" i="12" s="1"/>
  <c r="L433" i="5"/>
  <c r="AM433" i="5"/>
  <c r="Z433" i="5"/>
  <c r="I433" i="12"/>
  <c r="AC433" i="5"/>
  <c r="Z145" i="5"/>
  <c r="L145" i="5"/>
  <c r="AM145" i="5"/>
  <c r="I145" i="12"/>
  <c r="AC145" i="5"/>
  <c r="AM159" i="5"/>
  <c r="I159" i="12"/>
  <c r="Z159" i="5"/>
  <c r="L159" i="5"/>
  <c r="AC159" i="5"/>
  <c r="T71" i="12"/>
  <c r="V71" i="12"/>
  <c r="U71" i="12"/>
  <c r="V612" i="12"/>
  <c r="U612" i="12"/>
  <c r="T612" i="12"/>
  <c r="D367" i="12"/>
  <c r="E367" i="6"/>
  <c r="V513" i="12"/>
  <c r="T513" i="12"/>
  <c r="U513" i="12"/>
  <c r="U589" i="12"/>
  <c r="V589" i="12"/>
  <c r="T589" i="12"/>
  <c r="Z129" i="5"/>
  <c r="L129" i="5"/>
  <c r="AM129" i="5"/>
  <c r="I129" i="12"/>
  <c r="AC129" i="5"/>
  <c r="L242" i="5"/>
  <c r="Z242" i="5"/>
  <c r="I242" i="12"/>
  <c r="AM242" i="5"/>
  <c r="AC242" i="5"/>
  <c r="J613" i="12"/>
  <c r="C613" i="12"/>
  <c r="L613" i="12"/>
  <c r="N629" i="12"/>
  <c r="U100" i="12"/>
  <c r="V100" i="12"/>
  <c r="T100" i="12"/>
  <c r="U233" i="8"/>
  <c r="AB233" i="8"/>
  <c r="AD233" i="8"/>
  <c r="F234" i="8"/>
  <c r="AA233" i="8"/>
  <c r="X233" i="8"/>
  <c r="D233" i="8"/>
  <c r="G234" i="8"/>
  <c r="AC233" i="8"/>
  <c r="W233" i="8"/>
  <c r="T233" i="8"/>
  <c r="G233" i="8"/>
  <c r="I234" i="8" s="1"/>
  <c r="V233" i="8"/>
  <c r="Y233" i="8"/>
  <c r="F233" i="8"/>
  <c r="Z233" i="8"/>
  <c r="AE233" i="8"/>
  <c r="W279" i="12"/>
  <c r="X279" i="12"/>
  <c r="AM466" i="5"/>
  <c r="I466" i="12"/>
  <c r="Z466" i="5"/>
  <c r="L466" i="5"/>
  <c r="AC466" i="5"/>
  <c r="U290" i="12"/>
  <c r="V290" i="12"/>
  <c r="T290" i="12"/>
  <c r="U537" i="12"/>
  <c r="T537" i="12"/>
  <c r="V537" i="12"/>
  <c r="V392" i="12"/>
  <c r="U392" i="12"/>
  <c r="T392" i="12"/>
  <c r="I578" i="12"/>
  <c r="L578" i="5"/>
  <c r="AM578" i="5"/>
  <c r="Z578" i="5"/>
  <c r="AC578" i="5"/>
  <c r="AB124" i="8"/>
  <c r="X294" i="5"/>
  <c r="E416" i="6"/>
  <c r="D416" i="12"/>
  <c r="X45" i="12"/>
  <c r="W45" i="12"/>
  <c r="Y111" i="12"/>
  <c r="AO110" i="12"/>
  <c r="C349" i="12"/>
  <c r="J349" i="12"/>
  <c r="V590" i="12"/>
  <c r="T590" i="12"/>
  <c r="U590" i="12"/>
  <c r="W617" i="12"/>
  <c r="X617" i="12"/>
  <c r="T511" i="12"/>
  <c r="U511" i="12"/>
  <c r="V511" i="12"/>
  <c r="E692" i="6"/>
  <c r="D692" i="12"/>
  <c r="D687" i="12"/>
  <c r="E687" i="6"/>
  <c r="W325" i="12"/>
  <c r="X325" i="12"/>
  <c r="X257" i="12"/>
  <c r="W257" i="12"/>
  <c r="N422" i="12"/>
  <c r="O508" i="12"/>
  <c r="N508" i="12" s="1"/>
  <c r="N509" i="12"/>
  <c r="L658" i="5"/>
  <c r="I658" i="12"/>
  <c r="AM658" i="5"/>
  <c r="Z658" i="5"/>
  <c r="AC658" i="5"/>
  <c r="L216" i="5"/>
  <c r="Z216" i="5"/>
  <c r="I216" i="12"/>
  <c r="AM216" i="5"/>
  <c r="AC216" i="5"/>
  <c r="D533" i="12"/>
  <c r="E533" i="6"/>
  <c r="D35" i="12"/>
  <c r="E35" i="6"/>
  <c r="D359" i="12"/>
  <c r="E359" i="6"/>
  <c r="D550" i="12"/>
  <c r="E550" i="6"/>
  <c r="W425" i="12"/>
  <c r="X425" i="12"/>
  <c r="X630" i="5"/>
  <c r="AD211" i="8"/>
  <c r="I194" i="12"/>
  <c r="Z194" i="5"/>
  <c r="AM194" i="5"/>
  <c r="L194" i="5"/>
  <c r="AC194" i="5"/>
  <c r="X296" i="5"/>
  <c r="AB127" i="8"/>
  <c r="U351" i="12"/>
  <c r="T351" i="12"/>
  <c r="V351" i="12"/>
  <c r="D46" i="12"/>
  <c r="E46" i="6"/>
  <c r="U98" i="12"/>
  <c r="T98" i="12"/>
  <c r="V98" i="12"/>
  <c r="Y354" i="12"/>
  <c r="AO353" i="12"/>
  <c r="Y353" i="12" s="1"/>
  <c r="L243" i="5"/>
  <c r="AM243" i="5"/>
  <c r="Z243" i="5"/>
  <c r="I243" i="12"/>
  <c r="AC243" i="5"/>
  <c r="X596" i="5"/>
  <c r="AD196" i="8"/>
  <c r="X606" i="5"/>
  <c r="AD199" i="8"/>
  <c r="L376" i="5"/>
  <c r="AM376" i="5"/>
  <c r="Z376" i="5"/>
  <c r="I376" i="12"/>
  <c r="AC376" i="5"/>
  <c r="Y473" i="12"/>
  <c r="AO101" i="12"/>
  <c r="Y102" i="12"/>
  <c r="X626" i="12"/>
  <c r="W626" i="12"/>
  <c r="E213" i="6"/>
  <c r="D213" i="12"/>
  <c r="X298" i="12"/>
  <c r="W298" i="12"/>
  <c r="E301" i="6"/>
  <c r="D301" i="12"/>
  <c r="E53" i="6"/>
  <c r="D53" i="12"/>
  <c r="Z633" i="5"/>
  <c r="I633" i="12"/>
  <c r="AM633" i="5"/>
  <c r="L633" i="5"/>
  <c r="AC633" i="5"/>
  <c r="D362" i="12"/>
  <c r="E362" i="6"/>
  <c r="E287" i="6"/>
  <c r="D287" i="12"/>
  <c r="W323" i="12"/>
  <c r="X323" i="12"/>
  <c r="J63" i="12"/>
  <c r="C63" i="12"/>
  <c r="W495" i="12"/>
  <c r="X495" i="12"/>
  <c r="O96" i="5"/>
  <c r="C96" i="6"/>
  <c r="V258" i="12"/>
  <c r="T258" i="12"/>
  <c r="U258" i="12"/>
  <c r="X568" i="5"/>
  <c r="AC187" i="8"/>
  <c r="E334" i="6"/>
  <c r="D334" i="12"/>
  <c r="U329" i="12"/>
  <c r="V329" i="12"/>
  <c r="T329" i="12"/>
  <c r="N419" i="12"/>
  <c r="O418" i="12"/>
  <c r="N418" i="12" s="1"/>
  <c r="X370" i="5"/>
  <c r="AC145" i="8"/>
  <c r="AM579" i="5"/>
  <c r="Z579" i="5"/>
  <c r="L579" i="5"/>
  <c r="C579" i="6" s="1"/>
  <c r="I579" i="12"/>
  <c r="AC579" i="5"/>
  <c r="I462" i="12"/>
  <c r="L462" i="5"/>
  <c r="Z462" i="5"/>
  <c r="AM462" i="5"/>
  <c r="AC462" i="5"/>
  <c r="E54" i="6"/>
  <c r="D54" i="12"/>
  <c r="N713" i="12"/>
  <c r="X547" i="12"/>
  <c r="W547" i="12"/>
  <c r="D322" i="12"/>
  <c r="E322" i="6"/>
  <c r="C89" i="6"/>
  <c r="O89" i="5"/>
  <c r="X82" i="8"/>
  <c r="X153" i="5"/>
  <c r="I681" i="12"/>
  <c r="AM681" i="5"/>
  <c r="L681" i="5"/>
  <c r="C681" i="6" s="1"/>
  <c r="Z681" i="5"/>
  <c r="AC681" i="5"/>
  <c r="J607" i="12"/>
  <c r="C607" i="12"/>
  <c r="Z131" i="8"/>
  <c r="AA131" i="8"/>
  <c r="G131" i="8"/>
  <c r="I132" i="8" s="1"/>
  <c r="U131" i="8"/>
  <c r="C131" i="8"/>
  <c r="F132" i="8"/>
  <c r="Y131" i="8"/>
  <c r="AC131" i="8"/>
  <c r="D131" i="8"/>
  <c r="AE131" i="8"/>
  <c r="T131" i="8"/>
  <c r="AD131" i="8"/>
  <c r="F131" i="8"/>
  <c r="W131" i="8"/>
  <c r="G132" i="8"/>
  <c r="V131" i="8"/>
  <c r="X131" i="8"/>
  <c r="AB131" i="8"/>
  <c r="V378" i="12"/>
  <c r="U378" i="12"/>
  <c r="T378" i="12"/>
  <c r="D58" i="12"/>
  <c r="E58" i="6"/>
  <c r="E684" i="6"/>
  <c r="D684" i="12"/>
  <c r="W396" i="12"/>
  <c r="X396" i="12"/>
  <c r="D619" i="12"/>
  <c r="E619" i="6"/>
  <c r="V333" i="12"/>
  <c r="T333" i="12"/>
  <c r="U333" i="12"/>
  <c r="U85" i="12"/>
  <c r="V85" i="12"/>
  <c r="T85" i="12"/>
  <c r="AO526" i="12"/>
  <c r="Y526" i="12" s="1"/>
  <c r="Y527" i="12"/>
  <c r="X438" i="5"/>
  <c r="AC160" i="8"/>
  <c r="Y629" i="12"/>
  <c r="U119" i="8"/>
  <c r="AD119" i="8"/>
  <c r="G120" i="8"/>
  <c r="W119" i="8"/>
  <c r="Y119" i="8"/>
  <c r="AE119" i="8"/>
  <c r="F120" i="8"/>
  <c r="V119" i="8"/>
  <c r="AC119" i="8"/>
  <c r="G119" i="8"/>
  <c r="I120" i="8" s="1"/>
  <c r="T119" i="8"/>
  <c r="F119" i="8"/>
  <c r="D119" i="8"/>
  <c r="C119" i="8"/>
  <c r="AA119" i="8"/>
  <c r="Z119" i="8"/>
  <c r="X119" i="8"/>
  <c r="AB119" i="8"/>
  <c r="N608" i="12"/>
  <c r="O607" i="12"/>
  <c r="N607" i="12" s="1"/>
  <c r="V475" i="12"/>
  <c r="T475" i="12"/>
  <c r="U475" i="12"/>
  <c r="L394" i="5"/>
  <c r="I394" i="12"/>
  <c r="AM394" i="5"/>
  <c r="Z394" i="5"/>
  <c r="AC394" i="5"/>
  <c r="X200" i="5"/>
  <c r="AA97" i="8"/>
  <c r="V28" i="12"/>
  <c r="U28" i="12"/>
  <c r="T28" i="12"/>
  <c r="T539" i="12"/>
  <c r="V539" i="12"/>
  <c r="U539" i="12"/>
  <c r="N683" i="12"/>
  <c r="O682" i="12"/>
  <c r="N682" i="12" s="1"/>
  <c r="D354" i="12"/>
  <c r="E354" i="6"/>
  <c r="X474" i="5"/>
  <c r="AC163" i="8"/>
  <c r="L118" i="5"/>
  <c r="I118" i="12"/>
  <c r="Z118" i="5"/>
  <c r="AM118" i="5"/>
  <c r="AC118" i="5"/>
  <c r="O29" i="5"/>
  <c r="C29" i="6"/>
  <c r="U113" i="12"/>
  <c r="V113" i="12"/>
  <c r="T113" i="12"/>
  <c r="E531" i="6"/>
  <c r="D531" i="12"/>
  <c r="AM192" i="5"/>
  <c r="L192" i="5"/>
  <c r="I192" i="12"/>
  <c r="Z192" i="5"/>
  <c r="AC192" i="5"/>
  <c r="X123" i="12"/>
  <c r="W123" i="12"/>
  <c r="E254" i="6"/>
  <c r="D254" i="12"/>
  <c r="D725" i="12"/>
  <c r="E725" i="6"/>
  <c r="X277" i="12"/>
  <c r="W277" i="12"/>
  <c r="D518" i="12"/>
  <c r="E518" i="6"/>
  <c r="D60" i="12"/>
  <c r="E60" i="6"/>
  <c r="W584" i="12"/>
  <c r="X584" i="12"/>
  <c r="D307" i="12"/>
  <c r="E307" i="6"/>
  <c r="I78" i="12"/>
  <c r="Z78" i="5"/>
  <c r="L78" i="5"/>
  <c r="AM78" i="5"/>
  <c r="AC78" i="5"/>
  <c r="E69" i="6"/>
  <c r="D69" i="12"/>
  <c r="U367" i="12"/>
  <c r="V367" i="12"/>
  <c r="T367" i="12"/>
  <c r="W65" i="12"/>
  <c r="X65" i="12"/>
  <c r="N581" i="12"/>
  <c r="E517" i="6"/>
  <c r="D517" i="12"/>
  <c r="D65" i="12"/>
  <c r="E65" i="6"/>
  <c r="X368" i="12"/>
  <c r="W368" i="12"/>
  <c r="W357" i="12"/>
  <c r="X357" i="12"/>
  <c r="Y152" i="8"/>
  <c r="AA152" i="8"/>
  <c r="AB152" i="8"/>
  <c r="X152" i="8"/>
  <c r="D152" i="8"/>
  <c r="AD152" i="8"/>
  <c r="U152" i="8"/>
  <c r="AE152" i="8"/>
  <c r="T152" i="8"/>
  <c r="G152" i="8"/>
  <c r="I153" i="8" s="1"/>
  <c r="W152" i="8"/>
  <c r="G153" i="8"/>
  <c r="Z152" i="8"/>
  <c r="F152" i="8"/>
  <c r="F153" i="8"/>
  <c r="V152" i="8"/>
  <c r="C152" i="8"/>
  <c r="AC152" i="8"/>
  <c r="U345" i="12"/>
  <c r="T345" i="12"/>
  <c r="V345" i="12"/>
  <c r="X429" i="12"/>
  <c r="W429" i="12"/>
  <c r="E90" i="6"/>
  <c r="D90" i="12"/>
  <c r="W363" i="12"/>
  <c r="X363" i="12"/>
  <c r="I217" i="12"/>
  <c r="Z217" i="5"/>
  <c r="AM217" i="5"/>
  <c r="L217" i="5"/>
  <c r="AC217" i="5"/>
  <c r="Z189" i="5"/>
  <c r="L189" i="5"/>
  <c r="I189" i="12"/>
  <c r="AM189" i="5"/>
  <c r="AC189" i="5"/>
  <c r="D68" i="12"/>
  <c r="E68" i="6"/>
  <c r="X310" i="12"/>
  <c r="W310" i="12"/>
  <c r="E71" i="6"/>
  <c r="D71" i="12"/>
  <c r="X361" i="12"/>
  <c r="W361" i="12"/>
  <c r="N58" i="12"/>
  <c r="O57" i="12"/>
  <c r="N57" i="12" s="1"/>
  <c r="AC56" i="8"/>
  <c r="AE56" i="8"/>
  <c r="F57" i="8"/>
  <c r="AD56" i="8"/>
  <c r="F56" i="8"/>
  <c r="C56" i="8"/>
  <c r="X56" i="8"/>
  <c r="U56" i="8"/>
  <c r="AA56" i="8"/>
  <c r="Y56" i="8"/>
  <c r="T56" i="8"/>
  <c r="G57" i="8"/>
  <c r="V56" i="8"/>
  <c r="G56" i="8"/>
  <c r="I57" i="8" s="1"/>
  <c r="D56" i="8"/>
  <c r="Z56" i="8"/>
  <c r="AB56" i="8"/>
  <c r="W56" i="8"/>
  <c r="U586" i="12"/>
  <c r="V586" i="12"/>
  <c r="T586" i="12"/>
  <c r="I498" i="12"/>
  <c r="AM498" i="5"/>
  <c r="L498" i="5"/>
  <c r="Z498" i="5"/>
  <c r="AC498" i="5"/>
  <c r="L220" i="5"/>
  <c r="C220" i="6" s="1"/>
  <c r="I220" i="12"/>
  <c r="AM220" i="5"/>
  <c r="Z220" i="5"/>
  <c r="AC220" i="5"/>
  <c r="L166" i="5"/>
  <c r="AM166" i="5"/>
  <c r="Z166" i="5"/>
  <c r="I166" i="12"/>
  <c r="AC166" i="5"/>
  <c r="W34" i="12"/>
  <c r="X34" i="12"/>
  <c r="U271" i="12"/>
  <c r="V271" i="12"/>
  <c r="T271" i="12"/>
  <c r="Y317" i="12"/>
  <c r="AO316" i="12"/>
  <c r="Y316" i="12" s="1"/>
  <c r="U342" i="12"/>
  <c r="V342" i="12"/>
  <c r="T342" i="12"/>
  <c r="N248" i="12"/>
  <c r="I659" i="12"/>
  <c r="L659" i="5"/>
  <c r="AM659" i="5"/>
  <c r="Z659" i="5"/>
  <c r="AC659" i="5"/>
  <c r="X535" i="5"/>
  <c r="AC181" i="8"/>
  <c r="X275" i="12"/>
  <c r="W275" i="12"/>
  <c r="W266" i="12"/>
  <c r="X266" i="12"/>
  <c r="C89" i="12"/>
  <c r="J89" i="12"/>
  <c r="X274" i="12"/>
  <c r="W274" i="12"/>
  <c r="AM454" i="5"/>
  <c r="L454" i="5"/>
  <c r="I454" i="12"/>
  <c r="Z454" i="5"/>
  <c r="AC454" i="5"/>
  <c r="L501" i="5"/>
  <c r="Z501" i="5"/>
  <c r="AM501" i="5"/>
  <c r="I501" i="12"/>
  <c r="AC501" i="5"/>
  <c r="X399" i="12"/>
  <c r="W399" i="12"/>
  <c r="Y47" i="8"/>
  <c r="AE47" i="8"/>
  <c r="AA47" i="8"/>
  <c r="AB47" i="8"/>
  <c r="C47" i="8"/>
  <c r="G48" i="8"/>
  <c r="G47" i="8"/>
  <c r="I48" i="8" s="1"/>
  <c r="D47" i="8"/>
  <c r="Z47" i="8"/>
  <c r="U47" i="8"/>
  <c r="V47" i="8"/>
  <c r="X47" i="8"/>
  <c r="F47" i="8"/>
  <c r="F48" i="8"/>
  <c r="T47" i="8"/>
  <c r="AD47" i="8"/>
  <c r="AC47" i="8"/>
  <c r="W47" i="8"/>
  <c r="V68" i="12"/>
  <c r="U68" i="12"/>
  <c r="T68" i="12"/>
  <c r="X704" i="12"/>
  <c r="W704" i="12"/>
  <c r="V557" i="12"/>
  <c r="T557" i="12"/>
  <c r="U557" i="12"/>
  <c r="AM401" i="5"/>
  <c r="Z401" i="5"/>
  <c r="I401" i="12"/>
  <c r="L401" i="5"/>
  <c r="C401" i="6" s="1"/>
  <c r="AC401" i="5"/>
  <c r="AM459" i="5"/>
  <c r="I459" i="12"/>
  <c r="Z459" i="5"/>
  <c r="L459" i="5"/>
  <c r="AC459" i="5"/>
  <c r="O654" i="5"/>
  <c r="C654" i="6"/>
  <c r="T80" i="12"/>
  <c r="V80" i="12"/>
  <c r="U80" i="12"/>
  <c r="U470" i="12"/>
  <c r="V470" i="12"/>
  <c r="T470" i="12"/>
  <c r="U313" i="12"/>
  <c r="V313" i="12"/>
  <c r="T313" i="12"/>
  <c r="U520" i="12"/>
  <c r="V520" i="12"/>
  <c r="T520" i="12"/>
  <c r="E41" i="6"/>
  <c r="D41" i="12"/>
  <c r="X559" i="5"/>
  <c r="AC184" i="8"/>
  <c r="AM719" i="5"/>
  <c r="I719" i="12"/>
  <c r="L719" i="5"/>
  <c r="Z719" i="5"/>
  <c r="AC719" i="5"/>
  <c r="Z467" i="5"/>
  <c r="L467" i="5"/>
  <c r="AM467" i="5"/>
  <c r="I467" i="12"/>
  <c r="AC467" i="5"/>
  <c r="AO607" i="12"/>
  <c r="Y608" i="12"/>
  <c r="T528" i="12"/>
  <c r="U528" i="12"/>
  <c r="V528" i="12"/>
  <c r="X299" i="12"/>
  <c r="W299" i="12"/>
  <c r="I178" i="12"/>
  <c r="L178" i="5"/>
  <c r="Z178" i="5"/>
  <c r="AM178" i="5"/>
  <c r="AC178" i="5"/>
  <c r="AM240" i="5"/>
  <c r="Z240" i="5"/>
  <c r="I240" i="12"/>
  <c r="L240" i="5"/>
  <c r="AC240" i="5"/>
  <c r="D360" i="12"/>
  <c r="E360" i="6"/>
  <c r="J686" i="12"/>
  <c r="C686" i="12"/>
  <c r="E31" i="6"/>
  <c r="D31" i="12"/>
  <c r="U39" i="12"/>
  <c r="T39" i="12"/>
  <c r="V39" i="12"/>
  <c r="Y683" i="12"/>
  <c r="AO682" i="12"/>
  <c r="C173" i="8"/>
  <c r="W173" i="8"/>
  <c r="AD173" i="8"/>
  <c r="AA173" i="8"/>
  <c r="F173" i="8"/>
  <c r="AE173" i="8"/>
  <c r="U173" i="8"/>
  <c r="F174" i="8"/>
  <c r="Z173" i="8"/>
  <c r="V173" i="8"/>
  <c r="Y173" i="8"/>
  <c r="G174" i="8"/>
  <c r="AB173" i="8"/>
  <c r="D173" i="8"/>
  <c r="G173" i="8"/>
  <c r="I174" i="8" s="1"/>
  <c r="T173" i="8"/>
  <c r="X173" i="8"/>
  <c r="AC173" i="8"/>
  <c r="L717" i="5"/>
  <c r="AM717" i="5"/>
  <c r="I717" i="12"/>
  <c r="Z717" i="5"/>
  <c r="AC717" i="5"/>
  <c r="D55" i="12"/>
  <c r="E55" i="6"/>
  <c r="N246" i="12"/>
  <c r="O245" i="12"/>
  <c r="N245" i="12" s="1"/>
  <c r="O724" i="5"/>
  <c r="C724" i="6"/>
  <c r="N111" i="12"/>
  <c r="O110" i="12"/>
  <c r="N110" i="12" s="1"/>
  <c r="E38" i="6"/>
  <c r="D38" i="12"/>
  <c r="L449" i="5"/>
  <c r="Z449" i="5"/>
  <c r="I449" i="12"/>
  <c r="AM449" i="5"/>
  <c r="AC449" i="5"/>
  <c r="L283" i="5"/>
  <c r="Z283" i="5"/>
  <c r="AM283" i="5"/>
  <c r="I283" i="12"/>
  <c r="AC283" i="5"/>
  <c r="E555" i="6"/>
  <c r="D555" i="12"/>
  <c r="E551" i="6"/>
  <c r="D551" i="12"/>
  <c r="Y422" i="12"/>
  <c r="L452" i="5"/>
  <c r="Z452" i="5"/>
  <c r="AM452" i="5"/>
  <c r="I452" i="12"/>
  <c r="AC452" i="5"/>
  <c r="Z94" i="8"/>
  <c r="X185" i="5"/>
  <c r="X232" i="12"/>
  <c r="W232" i="12"/>
  <c r="D368" i="12"/>
  <c r="E368" i="6"/>
  <c r="Y75" i="12"/>
  <c r="AM718" i="5"/>
  <c r="L718" i="5"/>
  <c r="Z718" i="5"/>
  <c r="I718" i="12"/>
  <c r="AC718" i="5"/>
  <c r="X665" i="5"/>
  <c r="AD229" i="8"/>
  <c r="E699" i="6"/>
  <c r="D699" i="12"/>
  <c r="D255" i="12"/>
  <c r="E255" i="6"/>
  <c r="E524" i="6"/>
  <c r="D524" i="12"/>
  <c r="X529" i="12"/>
  <c r="W529" i="12"/>
  <c r="X485" i="12"/>
  <c r="W485" i="12"/>
  <c r="X585" i="5"/>
  <c r="AD190" i="8"/>
  <c r="L208" i="5"/>
  <c r="I208" i="12"/>
  <c r="AM208" i="5"/>
  <c r="Z208" i="5"/>
  <c r="AC208" i="5"/>
  <c r="AM371" i="5"/>
  <c r="I371" i="12"/>
  <c r="Z371" i="5"/>
  <c r="L371" i="5"/>
  <c r="AC371" i="5"/>
  <c r="T51" i="12"/>
  <c r="V51" i="12"/>
  <c r="U51" i="12"/>
  <c r="D511" i="12"/>
  <c r="E511" i="6"/>
  <c r="W358" i="12"/>
  <c r="X358" i="12"/>
  <c r="E51" i="6"/>
  <c r="D51" i="12"/>
  <c r="W685" i="12"/>
  <c r="X685" i="12"/>
  <c r="W372" i="12"/>
  <c r="X372" i="12"/>
  <c r="L652" i="5"/>
  <c r="Z652" i="5"/>
  <c r="I652" i="12"/>
  <c r="AM652" i="5"/>
  <c r="AC652" i="5"/>
  <c r="AM227" i="5"/>
  <c r="Z227" i="5"/>
  <c r="L227" i="5"/>
  <c r="I227" i="12"/>
  <c r="AC227" i="5"/>
  <c r="Z603" i="5"/>
  <c r="AM603" i="5"/>
  <c r="I603" i="12"/>
  <c r="L603" i="5"/>
  <c r="C603" i="6" s="1"/>
  <c r="AC603" i="5"/>
  <c r="Y661" i="12"/>
  <c r="X309" i="12"/>
  <c r="W309" i="12"/>
  <c r="E309" i="6"/>
  <c r="D309" i="12"/>
  <c r="T707" i="12"/>
  <c r="U707" i="12"/>
  <c r="V707" i="12"/>
  <c r="AO57" i="12"/>
  <c r="Y58" i="12"/>
  <c r="T25" i="12"/>
  <c r="V25" i="12"/>
  <c r="U25" i="12"/>
  <c r="T346" i="12"/>
  <c r="V346" i="12"/>
  <c r="U346" i="12"/>
  <c r="J701" i="12"/>
  <c r="C701" i="12"/>
  <c r="U379" i="12"/>
  <c r="V379" i="12"/>
  <c r="T379" i="12"/>
  <c r="N64" i="12"/>
  <c r="O63" i="12"/>
  <c r="N63" i="12" s="1"/>
  <c r="O47" i="12"/>
  <c r="N47" i="12" s="1"/>
  <c r="N48" i="12"/>
  <c r="D306" i="12"/>
  <c r="E306" i="6"/>
  <c r="T684" i="12"/>
  <c r="U684" i="12"/>
  <c r="V684" i="12"/>
  <c r="T174" i="12"/>
  <c r="V174" i="12"/>
  <c r="U174" i="12"/>
  <c r="X318" i="12"/>
  <c r="W318" i="12"/>
  <c r="X18" i="5"/>
  <c r="AJ15" i="6"/>
  <c r="Q15" i="6" s="1"/>
  <c r="D19" i="8"/>
  <c r="T19" i="8"/>
  <c r="L157" i="5"/>
  <c r="Z157" i="5"/>
  <c r="I157" i="12"/>
  <c r="AM157" i="5"/>
  <c r="AC157" i="5"/>
  <c r="E52" i="6"/>
  <c r="D52" i="12"/>
  <c r="Y713" i="12"/>
  <c r="W525" i="12"/>
  <c r="X525" i="12"/>
  <c r="D544" i="12"/>
  <c r="E544" i="6"/>
  <c r="W360" i="12"/>
  <c r="X360" i="12"/>
  <c r="L128" i="5"/>
  <c r="Z128" i="5"/>
  <c r="AM128" i="5"/>
  <c r="I128" i="12"/>
  <c r="AC128" i="5"/>
  <c r="AM136" i="5"/>
  <c r="I136" i="12"/>
  <c r="Z136" i="5"/>
  <c r="L136" i="5"/>
  <c r="AC136" i="5"/>
  <c r="X517" i="12"/>
  <c r="W517" i="12"/>
  <c r="X510" i="12"/>
  <c r="W510" i="12"/>
  <c r="AO724" i="12"/>
  <c r="Y725" i="12"/>
  <c r="W408" i="12"/>
  <c r="X408" i="12"/>
  <c r="X124" i="5"/>
  <c r="X73" i="8"/>
  <c r="V426" i="12"/>
  <c r="T426" i="12"/>
  <c r="U426" i="12"/>
  <c r="T406" i="12"/>
  <c r="V406" i="12"/>
  <c r="U406" i="12"/>
  <c r="D582" i="12"/>
  <c r="E582" i="6"/>
  <c r="U94" i="12"/>
  <c r="T94" i="12"/>
  <c r="V94" i="12"/>
  <c r="J654" i="12"/>
  <c r="C654" i="12"/>
  <c r="L654" i="12"/>
  <c r="V335" i="12"/>
  <c r="T335" i="12"/>
  <c r="U335" i="12"/>
  <c r="C613" i="6"/>
  <c r="O613" i="5"/>
  <c r="V348" i="12"/>
  <c r="U348" i="12"/>
  <c r="T348" i="12"/>
  <c r="J285" i="12"/>
  <c r="C285" i="12"/>
  <c r="L285" i="12"/>
  <c r="N350" i="12"/>
  <c r="O349" i="12"/>
  <c r="N349" i="12" s="1"/>
  <c r="N122" i="12"/>
  <c r="C682" i="6"/>
  <c r="O682" i="5"/>
  <c r="V699" i="12"/>
  <c r="T699" i="12"/>
  <c r="U699" i="12"/>
  <c r="L77" i="5"/>
  <c r="Z77" i="5"/>
  <c r="I77" i="12"/>
  <c r="AM77" i="5"/>
  <c r="AC77" i="5"/>
  <c r="I432" i="12"/>
  <c r="AM432" i="5"/>
  <c r="Z432" i="5"/>
  <c r="L432" i="5"/>
  <c r="AC432" i="5"/>
  <c r="D557" i="12"/>
  <c r="E557" i="6"/>
  <c r="C686" i="6"/>
  <c r="O686" i="5"/>
  <c r="D611" i="12"/>
  <c r="E611" i="6"/>
  <c r="D510" i="12"/>
  <c r="E510" i="6"/>
  <c r="W380" i="12"/>
  <c r="X380" i="12"/>
  <c r="T36" i="12"/>
  <c r="U36" i="12"/>
  <c r="V36" i="12"/>
  <c r="T708" i="12"/>
  <c r="V708" i="12"/>
  <c r="U708" i="12"/>
  <c r="T726" i="12"/>
  <c r="U726" i="12"/>
  <c r="V726" i="12"/>
  <c r="J508" i="12"/>
  <c r="C508" i="12"/>
  <c r="L508" i="12"/>
  <c r="I191" i="12"/>
  <c r="AM191" i="5"/>
  <c r="Z191" i="5"/>
  <c r="L191" i="5"/>
  <c r="AC191" i="5"/>
  <c r="X698" i="12"/>
  <c r="W698" i="12"/>
  <c r="Y246" i="12"/>
  <c r="AO245" i="12"/>
  <c r="Y257" i="8"/>
  <c r="AC257" i="8"/>
  <c r="F258" i="8"/>
  <c r="U257" i="8"/>
  <c r="AA257" i="8"/>
  <c r="X257" i="8"/>
  <c r="AB257" i="8"/>
  <c r="G257" i="8"/>
  <c r="I258" i="8" s="1"/>
  <c r="AD257" i="8"/>
  <c r="C257" i="8"/>
  <c r="D257" i="8"/>
  <c r="V257" i="8"/>
  <c r="G258" i="8"/>
  <c r="F257" i="8"/>
  <c r="T257" i="8"/>
  <c r="W257" i="8"/>
  <c r="Z257" i="8"/>
  <c r="AE257" i="8"/>
  <c r="X648" i="12"/>
  <c r="W648" i="12"/>
  <c r="U43" i="12"/>
  <c r="V43" i="12"/>
  <c r="T43" i="12"/>
  <c r="T540" i="12"/>
  <c r="U540" i="12"/>
  <c r="V540" i="12"/>
  <c r="X519" i="12"/>
  <c r="W519" i="12"/>
  <c r="AD226" i="8"/>
  <c r="X657" i="5"/>
  <c r="W548" i="12"/>
  <c r="X548" i="12"/>
  <c r="W264" i="12"/>
  <c r="X264" i="12"/>
  <c r="E30" i="6"/>
  <c r="D30" i="12"/>
  <c r="W440" i="12"/>
  <c r="X440" i="12"/>
  <c r="Z441" i="5"/>
  <c r="I441" i="12"/>
  <c r="L441" i="5"/>
  <c r="AM441" i="5"/>
  <c r="AC441" i="5"/>
  <c r="Z677" i="5"/>
  <c r="L677" i="5"/>
  <c r="AM677" i="5"/>
  <c r="I677" i="12"/>
  <c r="AC677" i="5"/>
  <c r="D92" i="12"/>
  <c r="E92" i="6"/>
  <c r="D111" i="12"/>
  <c r="E111" i="6"/>
  <c r="N75" i="12"/>
  <c r="E97" i="6"/>
  <c r="D97" i="12"/>
  <c r="E419" i="6"/>
  <c r="D419" i="12"/>
  <c r="X384" i="12"/>
  <c r="W384" i="12"/>
  <c r="Z218" i="5"/>
  <c r="L218" i="5"/>
  <c r="I218" i="12"/>
  <c r="AM218" i="5"/>
  <c r="AC218" i="5"/>
  <c r="E251" i="6"/>
  <c r="D251" i="12"/>
  <c r="X553" i="12"/>
  <c r="W553" i="12"/>
  <c r="X705" i="12"/>
  <c r="W705" i="12"/>
  <c r="I224" i="12"/>
  <c r="L224" i="5"/>
  <c r="Z224" i="5"/>
  <c r="AM224" i="5"/>
  <c r="AC224" i="5"/>
  <c r="AM594" i="5"/>
  <c r="L594" i="5"/>
  <c r="C594" i="6" s="1"/>
  <c r="I594" i="12"/>
  <c r="Z594" i="5"/>
  <c r="AC594" i="5"/>
  <c r="N473" i="12"/>
  <c r="T52" i="12"/>
  <c r="V52" i="12"/>
  <c r="U52" i="12"/>
  <c r="D249" i="12"/>
  <c r="E249" i="6"/>
  <c r="X61" i="12"/>
  <c r="W61" i="12"/>
  <c r="AM573" i="5"/>
  <c r="Z573" i="5"/>
  <c r="L573" i="5"/>
  <c r="I573" i="12"/>
  <c r="AC573" i="5"/>
  <c r="N661" i="12"/>
  <c r="E87" i="6"/>
  <c r="D87" i="12"/>
  <c r="D366" i="12"/>
  <c r="E366" i="6"/>
  <c r="V308" i="12"/>
  <c r="T308" i="12"/>
  <c r="U308" i="12"/>
  <c r="O701" i="5"/>
  <c r="C701" i="6"/>
  <c r="X263" i="12"/>
  <c r="W263" i="12"/>
  <c r="T83" i="12"/>
  <c r="U83" i="12"/>
  <c r="V83" i="12"/>
  <c r="AO47" i="12"/>
  <c r="Y48" i="12"/>
  <c r="W55" i="12"/>
  <c r="X55" i="12"/>
  <c r="I560" i="12"/>
  <c r="AM560" i="5"/>
  <c r="Z560" i="5"/>
  <c r="L560" i="5"/>
  <c r="AC560" i="5"/>
  <c r="E66" i="6"/>
  <c r="D66" i="12"/>
  <c r="X688" i="12"/>
  <c r="W688" i="12"/>
  <c r="D516" i="12"/>
  <c r="E516" i="6"/>
  <c r="W289" i="12"/>
  <c r="X289" i="12"/>
  <c r="V430" i="12"/>
  <c r="T430" i="12"/>
  <c r="U430" i="12"/>
  <c r="Y50" i="8"/>
  <c r="AA50" i="8"/>
  <c r="C50" i="8"/>
  <c r="F50" i="8"/>
  <c r="AB50" i="8"/>
  <c r="G50" i="8"/>
  <c r="I51" i="8" s="1"/>
  <c r="X50" i="8"/>
  <c r="Z50" i="8"/>
  <c r="U50" i="8"/>
  <c r="AD50" i="8"/>
  <c r="AC50" i="8"/>
  <c r="AE50" i="8"/>
  <c r="V50" i="8"/>
  <c r="D50" i="8"/>
  <c r="G51" i="8"/>
  <c r="F51" i="8"/>
  <c r="T50" i="8"/>
  <c r="W50" i="8"/>
  <c r="L164" i="5"/>
  <c r="I164" i="12"/>
  <c r="Z164" i="5"/>
  <c r="AM164" i="5"/>
  <c r="AC164" i="5"/>
  <c r="X267" i="12"/>
  <c r="W267" i="12"/>
  <c r="N725" i="12"/>
  <c r="O724" i="12"/>
  <c r="N724" i="12" s="1"/>
  <c r="C81" i="12"/>
  <c r="J81" i="12"/>
  <c r="T172" i="12"/>
  <c r="V172" i="12"/>
  <c r="U172" i="12"/>
  <c r="E335" i="6"/>
  <c r="D335" i="12"/>
  <c r="U413" i="12"/>
  <c r="T413" i="12"/>
  <c r="V413" i="12"/>
  <c r="I597" i="12"/>
  <c r="Z597" i="5"/>
  <c r="AM597" i="5"/>
  <c r="L597" i="5"/>
  <c r="AC597" i="5"/>
  <c r="U484" i="12"/>
  <c r="V484" i="12"/>
  <c r="T484" i="12"/>
  <c r="F221" i="8"/>
  <c r="X221" i="8"/>
  <c r="C221" i="8"/>
  <c r="AE221" i="8"/>
  <c r="AA221" i="8"/>
  <c r="G221" i="8"/>
  <c r="I222" i="8" s="1"/>
  <c r="W221" i="8"/>
  <c r="AC221" i="8"/>
  <c r="Z221" i="8"/>
  <c r="F222" i="8"/>
  <c r="Y221" i="8"/>
  <c r="U221" i="8"/>
  <c r="G222" i="8"/>
  <c r="D221" i="8"/>
  <c r="V221" i="8"/>
  <c r="T221" i="8"/>
  <c r="AB221" i="8"/>
  <c r="AD221" i="8"/>
  <c r="E554" i="6"/>
  <c r="D554" i="12"/>
  <c r="V522" i="12"/>
  <c r="U522" i="12"/>
  <c r="T522" i="12"/>
  <c r="V209" i="12"/>
  <c r="T209" i="12"/>
  <c r="U209" i="12"/>
  <c r="T693" i="12"/>
  <c r="V693" i="12"/>
  <c r="U693" i="12"/>
  <c r="AM236" i="5"/>
  <c r="I236" i="12"/>
  <c r="Z236" i="5"/>
  <c r="L236" i="5"/>
  <c r="C236" i="6" s="1"/>
  <c r="AC236" i="5"/>
  <c r="U87" i="12"/>
  <c r="V87" i="12"/>
  <c r="T87" i="12"/>
  <c r="W269" i="12"/>
  <c r="X269" i="12"/>
  <c r="Y350" i="12"/>
  <c r="AO349" i="12"/>
  <c r="L566" i="5"/>
  <c r="C566" i="6" s="1"/>
  <c r="I566" i="12"/>
  <c r="AM566" i="5"/>
  <c r="Z566" i="5"/>
  <c r="AC566" i="5"/>
  <c r="L675" i="5"/>
  <c r="AM675" i="5"/>
  <c r="Z675" i="5"/>
  <c r="I675" i="12"/>
  <c r="AC675" i="5"/>
  <c r="L678" i="5"/>
  <c r="I678" i="12"/>
  <c r="Z678" i="5"/>
  <c r="AM678" i="5"/>
  <c r="AC678" i="5"/>
  <c r="E329" i="6"/>
  <c r="D329" i="12"/>
  <c r="E44" i="6"/>
  <c r="D44" i="12"/>
  <c r="T364" i="12"/>
  <c r="U364" i="12"/>
  <c r="V364" i="12"/>
  <c r="I167" i="12"/>
  <c r="AM167" i="5"/>
  <c r="L167" i="5"/>
  <c r="Z167" i="5"/>
  <c r="AC167" i="5"/>
  <c r="I458" i="12"/>
  <c r="L458" i="5"/>
  <c r="Z458" i="5"/>
  <c r="AM458" i="5"/>
  <c r="AC458" i="5"/>
  <c r="Z241" i="5"/>
  <c r="I241" i="12"/>
  <c r="L241" i="5"/>
  <c r="AM241" i="5"/>
  <c r="AC241" i="5"/>
  <c r="O686" i="12"/>
  <c r="N686" i="12" s="1"/>
  <c r="N687" i="12"/>
  <c r="C724" i="12"/>
  <c r="J724" i="12"/>
  <c r="L724" i="12"/>
  <c r="V210" i="12"/>
  <c r="U210" i="12"/>
  <c r="T210" i="12"/>
  <c r="E527" i="6"/>
  <c r="D527" i="12"/>
  <c r="D519" i="12"/>
  <c r="E519" i="6"/>
  <c r="X405" i="5"/>
  <c r="AC148" i="8"/>
  <c r="Z672" i="5"/>
  <c r="AM672" i="5"/>
  <c r="L672" i="5"/>
  <c r="I672" i="12"/>
  <c r="AC672" i="5"/>
  <c r="W691" i="12"/>
  <c r="X691" i="12"/>
  <c r="V50" i="12"/>
  <c r="T50" i="12"/>
  <c r="U50" i="12"/>
  <c r="D331" i="12"/>
  <c r="E331" i="6"/>
  <c r="W676" i="12"/>
  <c r="X676" i="12"/>
  <c r="I142" i="12"/>
  <c r="L142" i="5"/>
  <c r="AM142" i="5"/>
  <c r="Z142" i="5"/>
  <c r="AC142" i="5"/>
  <c r="T616" i="12"/>
  <c r="V616" i="12"/>
  <c r="U616" i="12"/>
  <c r="U482" i="12"/>
  <c r="T482" i="12"/>
  <c r="V482" i="12"/>
  <c r="E426" i="6"/>
  <c r="D426" i="12"/>
  <c r="W32" i="12"/>
  <c r="X32" i="12"/>
  <c r="L165" i="5"/>
  <c r="AM165" i="5"/>
  <c r="Z165" i="5"/>
  <c r="I165" i="12"/>
  <c r="AC165" i="5"/>
  <c r="X265" i="12"/>
  <c r="W265" i="12"/>
  <c r="X337" i="12"/>
  <c r="W337" i="12"/>
  <c r="V291" i="12"/>
  <c r="T291" i="12"/>
  <c r="U291" i="12"/>
  <c r="Y301" i="12"/>
  <c r="AM506" i="5"/>
  <c r="L506" i="5"/>
  <c r="Z506" i="5"/>
  <c r="I506" i="12"/>
  <c r="AC506" i="5"/>
  <c r="T583" i="12"/>
  <c r="U583" i="12"/>
  <c r="V583" i="12"/>
  <c r="E303" i="6"/>
  <c r="D303" i="12"/>
  <c r="D323" i="12"/>
  <c r="E323" i="6"/>
  <c r="E355" i="6"/>
  <c r="D355" i="12"/>
  <c r="D256" i="12"/>
  <c r="E256" i="6"/>
  <c r="I116" i="12"/>
  <c r="L116" i="5"/>
  <c r="AM116" i="5"/>
  <c r="Z116" i="5"/>
  <c r="AC116" i="5"/>
  <c r="I150" i="12"/>
  <c r="L150" i="5"/>
  <c r="AM150" i="5"/>
  <c r="Z150" i="5"/>
  <c r="AC150" i="5"/>
  <c r="L347" i="5"/>
  <c r="I347" i="12"/>
  <c r="AM347" i="5"/>
  <c r="Z347" i="5"/>
  <c r="AC347" i="5"/>
  <c r="Y222" i="12"/>
  <c r="T662" i="12"/>
  <c r="V662" i="12"/>
  <c r="U662" i="12"/>
  <c r="D248" i="12"/>
  <c r="E248" i="6"/>
  <c r="Z565" i="5"/>
  <c r="I565" i="12"/>
  <c r="AM565" i="5"/>
  <c r="L565" i="5"/>
  <c r="AC565" i="5"/>
  <c r="Z385" i="5"/>
  <c r="AM385" i="5"/>
  <c r="I385" i="12"/>
  <c r="L385" i="5"/>
  <c r="AC385" i="5"/>
  <c r="L650" i="5"/>
  <c r="Z650" i="5"/>
  <c r="I650" i="12"/>
  <c r="AM650" i="5"/>
  <c r="AC650" i="5"/>
  <c r="AM569" i="5"/>
  <c r="Z569" i="5"/>
  <c r="I569" i="12"/>
  <c r="L569" i="5"/>
  <c r="AC569" i="5"/>
  <c r="C101" i="6"/>
  <c r="O101" i="5"/>
  <c r="Y64" i="12"/>
  <c r="AO63" i="12"/>
  <c r="Y63" i="12" s="1"/>
  <c r="V72" i="12"/>
  <c r="T72" i="12"/>
  <c r="U72" i="12"/>
  <c r="Y90" i="12"/>
  <c r="AO89" i="12"/>
  <c r="N641" i="12"/>
  <c r="AM193" i="5"/>
  <c r="Z193" i="5"/>
  <c r="I193" i="12"/>
  <c r="L193" i="5"/>
  <c r="AC193" i="5"/>
  <c r="X215" i="5"/>
  <c r="AA100" i="8"/>
  <c r="I173" i="12"/>
  <c r="L173" i="5"/>
  <c r="Z173" i="5"/>
  <c r="AM173" i="5"/>
  <c r="AC173" i="5"/>
  <c r="T270" i="12"/>
  <c r="V270" i="12"/>
  <c r="U270" i="12"/>
  <c r="D351" i="12"/>
  <c r="E351" i="6"/>
  <c r="N24" i="12"/>
  <c r="I457" i="12"/>
  <c r="Z457" i="5"/>
  <c r="L457" i="5"/>
  <c r="AM457" i="5"/>
  <c r="AC457" i="5"/>
  <c r="L144" i="5"/>
  <c r="Z144" i="5"/>
  <c r="I144" i="12"/>
  <c r="AM144" i="5"/>
  <c r="AC144" i="5"/>
  <c r="E330" i="6"/>
  <c r="D330" i="12"/>
  <c r="X558" i="12"/>
  <c r="W558" i="12"/>
  <c r="C607" i="6"/>
  <c r="O607" i="5"/>
  <c r="G35" i="8"/>
  <c r="I36" i="8" s="1"/>
  <c r="T35" i="8"/>
  <c r="AB35" i="8"/>
  <c r="D35" i="8"/>
  <c r="Y35" i="8"/>
  <c r="Z35" i="8"/>
  <c r="AD35" i="8"/>
  <c r="AA35" i="8"/>
  <c r="V35" i="8"/>
  <c r="W35" i="8"/>
  <c r="F35" i="8"/>
  <c r="AC35" i="8"/>
  <c r="X35" i="8"/>
  <c r="AE35" i="8"/>
  <c r="F36" i="8"/>
  <c r="C35" i="8"/>
  <c r="G36" i="8"/>
  <c r="U35" i="8"/>
  <c r="Y366" i="12"/>
  <c r="L562" i="5"/>
  <c r="AM562" i="5"/>
  <c r="I562" i="12"/>
  <c r="Z562" i="5"/>
  <c r="AC562" i="5"/>
  <c r="AM131" i="5"/>
  <c r="I131" i="12"/>
  <c r="Z131" i="5"/>
  <c r="L131" i="5"/>
  <c r="AC131" i="5"/>
  <c r="T435" i="12"/>
  <c r="U435" i="12"/>
  <c r="V435" i="12"/>
  <c r="U334" i="12"/>
  <c r="T334" i="12"/>
  <c r="V334" i="12"/>
  <c r="F149" i="8"/>
  <c r="AA149" i="8"/>
  <c r="Y149" i="8"/>
  <c r="D149" i="8"/>
  <c r="U149" i="8"/>
  <c r="T149" i="8"/>
  <c r="W149" i="8"/>
  <c r="Z149" i="8"/>
  <c r="V149" i="8"/>
  <c r="AD149" i="8"/>
  <c r="F150" i="8"/>
  <c r="AE149" i="8"/>
  <c r="G150" i="8"/>
  <c r="G149" i="8"/>
  <c r="I150" i="8" s="1"/>
  <c r="AB149" i="8"/>
  <c r="X149" i="8"/>
  <c r="C149" i="8"/>
  <c r="AC149" i="8"/>
  <c r="U410" i="12"/>
  <c r="T410" i="12"/>
  <c r="V410" i="12"/>
  <c r="V324" i="12"/>
  <c r="U324" i="12"/>
  <c r="T324" i="12"/>
  <c r="L386" i="5"/>
  <c r="Z386" i="5"/>
  <c r="I386" i="12"/>
  <c r="AM386" i="5"/>
  <c r="AC386" i="5"/>
  <c r="AM163" i="5"/>
  <c r="L163" i="5"/>
  <c r="Z163" i="5"/>
  <c r="I163" i="12"/>
  <c r="AC163" i="5"/>
  <c r="Z434" i="5"/>
  <c r="L434" i="5"/>
  <c r="AM434" i="5"/>
  <c r="I434" i="12"/>
  <c r="AC434" i="5"/>
  <c r="D50" i="12"/>
  <c r="E50" i="6"/>
  <c r="T109" i="12"/>
  <c r="U109" i="12"/>
  <c r="V109" i="12"/>
  <c r="Y122" i="12"/>
  <c r="J682" i="12"/>
  <c r="C682" i="12"/>
  <c r="L682" i="12"/>
  <c r="U201" i="12"/>
  <c r="T201" i="12"/>
  <c r="V201" i="12"/>
  <c r="Z632" i="5"/>
  <c r="I632" i="12"/>
  <c r="AM632" i="5"/>
  <c r="L632" i="5"/>
  <c r="AC632" i="5"/>
  <c r="T550" i="12"/>
  <c r="U550" i="12"/>
  <c r="V550" i="12"/>
  <c r="T690" i="12"/>
  <c r="V690" i="12"/>
  <c r="U690" i="12"/>
  <c r="X302" i="12"/>
  <c r="W302" i="12"/>
  <c r="W448" i="12"/>
  <c r="X448" i="12"/>
  <c r="U307" i="12"/>
  <c r="V307" i="12"/>
  <c r="T307" i="12"/>
  <c r="X644" i="5"/>
  <c r="AD220" i="8"/>
  <c r="D325" i="12"/>
  <c r="E325" i="6"/>
  <c r="D520" i="12"/>
  <c r="E520" i="6"/>
  <c r="T262" i="12"/>
  <c r="U262" i="12"/>
  <c r="V262" i="12"/>
  <c r="I207" i="12"/>
  <c r="Z207" i="5"/>
  <c r="AM207" i="5"/>
  <c r="L207" i="5"/>
  <c r="AC207" i="5"/>
  <c r="Z463" i="5"/>
  <c r="L463" i="5"/>
  <c r="AM463" i="5"/>
  <c r="I463" i="12"/>
  <c r="AC463" i="5"/>
  <c r="L395" i="5"/>
  <c r="Z395" i="5"/>
  <c r="I395" i="12"/>
  <c r="AM395" i="5"/>
  <c r="AC395" i="5"/>
  <c r="Y605" i="12"/>
  <c r="Y82" i="12"/>
  <c r="AO81" i="12"/>
  <c r="D305" i="12"/>
  <c r="E305" i="6"/>
  <c r="W42" i="12"/>
  <c r="X42" i="12"/>
  <c r="AM205" i="5"/>
  <c r="L205" i="5"/>
  <c r="I205" i="12"/>
  <c r="Z205" i="5"/>
  <c r="AC205" i="5"/>
  <c r="V303" i="12"/>
  <c r="T303" i="12"/>
  <c r="U303" i="12"/>
  <c r="Z624" i="5"/>
  <c r="AM624" i="5"/>
  <c r="L624" i="5"/>
  <c r="I624" i="12"/>
  <c r="AC624" i="5"/>
  <c r="AM204" i="5"/>
  <c r="Z204" i="5"/>
  <c r="L204" i="5"/>
  <c r="I204" i="12"/>
  <c r="AC204" i="5"/>
  <c r="D513" i="12"/>
  <c r="E513" i="6"/>
  <c r="N301" i="12"/>
  <c r="X223" i="5"/>
  <c r="AB103" i="8"/>
  <c r="Y88" i="8"/>
  <c r="X170" i="5"/>
  <c r="E693" i="6"/>
  <c r="D693" i="12"/>
  <c r="U646" i="12"/>
  <c r="T646" i="12"/>
  <c r="V646" i="12"/>
  <c r="D361" i="12"/>
  <c r="E361" i="6"/>
  <c r="Z38" i="8"/>
  <c r="W38" i="8"/>
  <c r="AB38" i="8"/>
  <c r="G39" i="8"/>
  <c r="G38" i="8"/>
  <c r="I39" i="8" s="1"/>
  <c r="D38" i="8"/>
  <c r="AA38" i="8"/>
  <c r="F39" i="8"/>
  <c r="T38" i="8"/>
  <c r="AD38" i="8"/>
  <c r="Y38" i="8"/>
  <c r="F38" i="8"/>
  <c r="C38" i="8"/>
  <c r="X38" i="8"/>
  <c r="AE38" i="8"/>
  <c r="U38" i="8"/>
  <c r="AC38" i="8"/>
  <c r="V38" i="8"/>
  <c r="W359" i="12"/>
  <c r="X359" i="12"/>
  <c r="N702" i="12"/>
  <c r="O701" i="12"/>
  <c r="N701" i="12" s="1"/>
  <c r="I148" i="12"/>
  <c r="L148" i="5"/>
  <c r="Z148" i="5"/>
  <c r="AM148" i="5"/>
  <c r="AC148" i="5"/>
  <c r="D605" i="12"/>
  <c r="E605" i="6"/>
  <c r="X575" i="12"/>
  <c r="W575" i="12"/>
  <c r="E326" i="6"/>
  <c r="D326" i="12"/>
  <c r="T249" i="12"/>
  <c r="V249" i="12"/>
  <c r="U249" i="12"/>
  <c r="AM627" i="5"/>
  <c r="I627" i="12"/>
  <c r="Z627" i="5"/>
  <c r="L627" i="5"/>
  <c r="C627" i="6" s="1"/>
  <c r="AC627" i="5"/>
  <c r="AM196" i="5"/>
  <c r="Z196" i="5"/>
  <c r="L196" i="5"/>
  <c r="I196" i="12"/>
  <c r="AC196" i="5"/>
  <c r="U261" i="12"/>
  <c r="T261" i="12"/>
  <c r="V261" i="12"/>
  <c r="AC59" i="8"/>
  <c r="U59" i="8"/>
  <c r="V59" i="8"/>
  <c r="AD59" i="8"/>
  <c r="T59" i="8"/>
  <c r="G60" i="8"/>
  <c r="D59" i="8"/>
  <c r="Z59" i="8"/>
  <c r="AB59" i="8"/>
  <c r="X59" i="8"/>
  <c r="Y59" i="8"/>
  <c r="C59" i="8"/>
  <c r="AA59" i="8"/>
  <c r="G59" i="8"/>
  <c r="I60" i="8" s="1"/>
  <c r="F59" i="8"/>
  <c r="AE59" i="8"/>
  <c r="F60" i="8"/>
  <c r="W59" i="8"/>
  <c r="U622" i="12"/>
  <c r="V622" i="12"/>
  <c r="T622" i="12"/>
  <c r="N90" i="12"/>
  <c r="O89" i="12"/>
  <c r="N89" i="12" s="1"/>
  <c r="Y641" i="12"/>
  <c r="I186" i="12"/>
  <c r="AM186" i="5"/>
  <c r="L186" i="5"/>
  <c r="Z186" i="5"/>
  <c r="AC186" i="5"/>
  <c r="U483" i="12"/>
  <c r="V483" i="12"/>
  <c r="T483" i="12"/>
  <c r="E523" i="6"/>
  <c r="D523" i="12"/>
  <c r="W635" i="12"/>
  <c r="X635" i="12"/>
  <c r="L400" i="5"/>
  <c r="Z400" i="5"/>
  <c r="I400" i="12"/>
  <c r="AM400" i="5"/>
  <c r="AC400" i="5"/>
  <c r="C230" i="6"/>
  <c r="O230" i="5"/>
  <c r="C200" i="8"/>
  <c r="F200" i="8"/>
  <c r="W200" i="8"/>
  <c r="Y200" i="8"/>
  <c r="U200" i="8"/>
  <c r="AE200" i="8"/>
  <c r="V200" i="8"/>
  <c r="AB200" i="8"/>
  <c r="AA200" i="8"/>
  <c r="X200" i="8"/>
  <c r="F201" i="8"/>
  <c r="G200" i="8"/>
  <c r="I201" i="8" s="1"/>
  <c r="Z200" i="8"/>
  <c r="AC200" i="8"/>
  <c r="D200" i="8"/>
  <c r="T200" i="8"/>
  <c r="G201" i="8"/>
  <c r="AD200" i="8"/>
  <c r="O47" i="5"/>
  <c r="C47" i="6"/>
  <c r="O81" i="5"/>
  <c r="C81" i="6"/>
  <c r="N696" i="12"/>
  <c r="O695" i="12"/>
  <c r="N695" i="12" s="1"/>
  <c r="V444" i="12"/>
  <c r="U444" i="12"/>
  <c r="T444" i="12"/>
  <c r="O526" i="5"/>
  <c r="C526" i="6"/>
  <c r="L195" i="5"/>
  <c r="Z195" i="5"/>
  <c r="I195" i="12"/>
  <c r="AM195" i="5"/>
  <c r="AC195" i="5"/>
  <c r="Z409" i="5"/>
  <c r="AM409" i="5"/>
  <c r="I409" i="12"/>
  <c r="L409" i="5"/>
  <c r="AC409" i="5"/>
  <c r="U542" i="12"/>
  <c r="T542" i="12"/>
  <c r="V542" i="12"/>
  <c r="J415" i="12"/>
  <c r="C415" i="12"/>
  <c r="L415" i="12"/>
  <c r="U504" i="12"/>
  <c r="T504" i="12"/>
  <c r="V504" i="12"/>
  <c r="L631" i="5"/>
  <c r="Z631" i="5"/>
  <c r="AM631" i="5"/>
  <c r="I631" i="12"/>
  <c r="AC631" i="5"/>
  <c r="AE256" i="8"/>
  <c r="X722" i="5"/>
  <c r="Z132" i="5"/>
  <c r="L132" i="5"/>
  <c r="AM132" i="5"/>
  <c r="I132" i="12"/>
  <c r="AC132" i="5"/>
  <c r="AM649" i="5"/>
  <c r="I649" i="12"/>
  <c r="L649" i="5"/>
  <c r="Z649" i="5"/>
  <c r="AC649" i="5"/>
  <c r="U663" i="12"/>
  <c r="T663" i="12"/>
  <c r="V663" i="12"/>
  <c r="O285" i="5"/>
  <c r="C285" i="6"/>
  <c r="T555" i="12"/>
  <c r="U555" i="12"/>
  <c r="V555" i="12"/>
  <c r="D231" i="12"/>
  <c r="E231" i="6"/>
  <c r="C245" i="6"/>
  <c r="O245" i="5"/>
  <c r="V424" i="12"/>
  <c r="U424" i="12"/>
  <c r="T424" i="12"/>
  <c r="L563" i="5"/>
  <c r="Z563" i="5"/>
  <c r="I563" i="12"/>
  <c r="AM563" i="5"/>
  <c r="AC563" i="5"/>
  <c r="AM666" i="5"/>
  <c r="I666" i="12"/>
  <c r="Z666" i="5"/>
  <c r="L666" i="5"/>
  <c r="AC666" i="5"/>
  <c r="Z723" i="5"/>
  <c r="AM723" i="5"/>
  <c r="I723" i="12"/>
  <c r="L723" i="5"/>
  <c r="C723" i="6" s="1"/>
  <c r="AC723" i="5"/>
  <c r="Y687" i="12"/>
  <c r="AO686" i="12"/>
  <c r="Y686" i="12" s="1"/>
  <c r="D423" i="12"/>
  <c r="E423" i="6"/>
  <c r="W546" i="12"/>
  <c r="X546" i="12"/>
  <c r="W514" i="12"/>
  <c r="X514" i="12"/>
  <c r="AO96" i="12"/>
  <c r="Y97" i="12"/>
  <c r="L206" i="5"/>
  <c r="I206" i="12"/>
  <c r="AM206" i="5"/>
  <c r="Z206" i="5"/>
  <c r="AC206" i="5"/>
  <c r="V327" i="12"/>
  <c r="U327" i="12"/>
  <c r="T327" i="12"/>
  <c r="N605" i="12"/>
  <c r="N82" i="12"/>
  <c r="O81" i="12"/>
  <c r="N81" i="12" s="1"/>
  <c r="Z158" i="5"/>
  <c r="L158" i="5"/>
  <c r="AM158" i="5"/>
  <c r="I158" i="12"/>
  <c r="AC158" i="5"/>
  <c r="L411" i="5"/>
  <c r="Z411" i="5"/>
  <c r="I411" i="12"/>
  <c r="AM411" i="5"/>
  <c r="AC411" i="5"/>
  <c r="X620" i="5"/>
  <c r="AD208" i="8"/>
  <c r="X332" i="12"/>
  <c r="W332" i="12"/>
  <c r="U420" i="12"/>
  <c r="V420" i="12"/>
  <c r="T420" i="12"/>
  <c r="N213" i="12"/>
  <c r="AM671" i="5"/>
  <c r="Z671" i="5"/>
  <c r="L671" i="5"/>
  <c r="I671" i="12"/>
  <c r="AC671" i="5"/>
  <c r="AE253" i="8"/>
  <c r="X716" i="5"/>
  <c r="E45" i="6"/>
  <c r="D45" i="12"/>
  <c r="W292" i="12"/>
  <c r="X292" i="12"/>
  <c r="Z494" i="5"/>
  <c r="I494" i="12"/>
  <c r="L494" i="5"/>
  <c r="AM494" i="5"/>
  <c r="AC494" i="5"/>
  <c r="T391" i="12"/>
  <c r="V391" i="12"/>
  <c r="U391" i="12"/>
  <c r="W44" i="12"/>
  <c r="X44" i="12"/>
  <c r="V582" i="12"/>
  <c r="T582" i="12"/>
  <c r="U582" i="12"/>
  <c r="D532" i="12"/>
  <c r="E532" i="6"/>
  <c r="O57" i="5"/>
  <c r="C57" i="6"/>
  <c r="Y702" i="12"/>
  <c r="AO701" i="12"/>
  <c r="AM639" i="5"/>
  <c r="L639" i="5"/>
  <c r="C639" i="6" s="1"/>
  <c r="Z639" i="5"/>
  <c r="I639" i="12"/>
  <c r="AC639" i="5"/>
  <c r="X259" i="5"/>
  <c r="AB118" i="8"/>
  <c r="N222" i="12"/>
  <c r="W609" i="12"/>
  <c r="X609" i="12"/>
  <c r="D317" i="12"/>
  <c r="E317" i="6"/>
  <c r="D521" i="12"/>
  <c r="E521" i="6"/>
  <c r="Y85" i="8"/>
  <c r="X156" i="5"/>
  <c r="L141" i="5"/>
  <c r="I141" i="12"/>
  <c r="AM141" i="5"/>
  <c r="Z141" i="5"/>
  <c r="AC141" i="5"/>
  <c r="Y104" i="12"/>
  <c r="D546" i="12"/>
  <c r="E546" i="6"/>
  <c r="W306" i="12"/>
  <c r="X306" i="12"/>
  <c r="V709" i="12"/>
  <c r="T709" i="12"/>
  <c r="U709" i="12"/>
  <c r="O40" i="5"/>
  <c r="C40" i="6"/>
  <c r="AM623" i="5"/>
  <c r="Z623" i="5"/>
  <c r="I623" i="12"/>
  <c r="L623" i="5"/>
  <c r="AC623" i="5"/>
  <c r="L168" i="5"/>
  <c r="C168" i="6" s="1"/>
  <c r="I168" i="12"/>
  <c r="Z168" i="5"/>
  <c r="AM168" i="5"/>
  <c r="AC168" i="5"/>
  <c r="W703" i="12"/>
  <c r="X703" i="12"/>
  <c r="D64" i="12"/>
  <c r="E64" i="6"/>
  <c r="E42" i="6"/>
  <c r="D42" i="12"/>
  <c r="Y24" i="12"/>
  <c r="L149" i="5"/>
  <c r="Z149" i="5"/>
  <c r="AM149" i="5"/>
  <c r="I149" i="12"/>
  <c r="AC149" i="5"/>
  <c r="I487" i="12"/>
  <c r="L487" i="5"/>
  <c r="Z487" i="5"/>
  <c r="AM487" i="5"/>
  <c r="AC487" i="5"/>
  <c r="T268" i="12"/>
  <c r="U268" i="12"/>
  <c r="V268" i="12"/>
  <c r="AC104" i="8"/>
  <c r="AE104" i="8"/>
  <c r="F105" i="8"/>
  <c r="D104" i="8"/>
  <c r="X104" i="8"/>
  <c r="G105" i="8"/>
  <c r="Y104" i="8"/>
  <c r="AA104" i="8"/>
  <c r="W104" i="8"/>
  <c r="AD104" i="8"/>
  <c r="Z104" i="8"/>
  <c r="U104" i="8"/>
  <c r="V104" i="8"/>
  <c r="C104" i="8"/>
  <c r="F104" i="8"/>
  <c r="T104" i="8"/>
  <c r="G104" i="8"/>
  <c r="I105" i="8" s="1"/>
  <c r="AB104" i="8"/>
  <c r="E43" i="6"/>
  <c r="D43" i="12"/>
  <c r="X181" i="12"/>
  <c r="W181" i="12"/>
  <c r="X88" i="12"/>
  <c r="W88" i="12"/>
  <c r="Y696" i="12"/>
  <c r="AO695" i="12"/>
  <c r="Y695" i="12" s="1"/>
  <c r="W552" i="12"/>
  <c r="X552" i="12"/>
  <c r="I228" i="12"/>
  <c r="AM228" i="5"/>
  <c r="Z228" i="5"/>
  <c r="L228" i="5"/>
  <c r="AC228" i="5"/>
  <c r="AM507" i="5"/>
  <c r="I507" i="12"/>
  <c r="L507" i="5"/>
  <c r="C507" i="6" s="1"/>
  <c r="Z507" i="5"/>
  <c r="AC507" i="5"/>
  <c r="AO230" i="12"/>
  <c r="Y230" i="12" s="1"/>
  <c r="Y231" i="12"/>
  <c r="C415" i="6"/>
  <c r="O415" i="5"/>
  <c r="E246" i="6"/>
  <c r="D246" i="12"/>
  <c r="V518" i="12"/>
  <c r="U518" i="12"/>
  <c r="T518" i="12"/>
  <c r="E529" i="6"/>
  <c r="D529" i="12"/>
  <c r="T443" i="12"/>
  <c r="V443" i="12"/>
  <c r="U443" i="12"/>
  <c r="V706" i="12"/>
  <c r="T706" i="12"/>
  <c r="U706" i="12"/>
  <c r="T252" i="12"/>
  <c r="U252" i="12"/>
  <c r="V252" i="12"/>
  <c r="E509" i="6"/>
  <c r="D509" i="12"/>
  <c r="X27" i="5"/>
  <c r="U25" i="8"/>
  <c r="Z389" i="5"/>
  <c r="I389" i="12"/>
  <c r="L389" i="5"/>
  <c r="AM389" i="5"/>
  <c r="AC389" i="5"/>
  <c r="AC166" i="8"/>
  <c r="X477" i="5"/>
  <c r="I117" i="12"/>
  <c r="Z117" i="5"/>
  <c r="L117" i="5"/>
  <c r="AM117" i="5"/>
  <c r="AC117" i="5"/>
  <c r="AB236" i="8"/>
  <c r="G236" i="8"/>
  <c r="I237" i="8" s="1"/>
  <c r="F237" i="8"/>
  <c r="W236" i="8"/>
  <c r="F236" i="8"/>
  <c r="AD236" i="8"/>
  <c r="G237" i="8"/>
  <c r="D236" i="8"/>
  <c r="X236" i="8"/>
  <c r="AC236" i="8"/>
  <c r="Z236" i="8"/>
  <c r="U236" i="8"/>
  <c r="Y236" i="8"/>
  <c r="C236" i="8"/>
  <c r="T236" i="8"/>
  <c r="V236" i="8"/>
  <c r="AA236" i="8"/>
  <c r="AE236" i="8"/>
  <c r="AD113" i="8"/>
  <c r="T113" i="8"/>
  <c r="F113" i="8"/>
  <c r="W113" i="8"/>
  <c r="V113" i="8"/>
  <c r="U113" i="8"/>
  <c r="G113" i="8"/>
  <c r="I114" i="8" s="1"/>
  <c r="D113" i="8"/>
  <c r="F114" i="8"/>
  <c r="AA113" i="8"/>
  <c r="AC113" i="8"/>
  <c r="AE113" i="8"/>
  <c r="G114" i="8"/>
  <c r="Z113" i="8"/>
  <c r="Y113" i="8"/>
  <c r="C113" i="8"/>
  <c r="X113" i="8"/>
  <c r="AB113" i="8"/>
  <c r="U108" i="12"/>
  <c r="T108" i="12"/>
  <c r="V108" i="12"/>
  <c r="V534" i="12"/>
  <c r="T534" i="12"/>
  <c r="U534" i="12"/>
  <c r="T489" i="12"/>
  <c r="U489" i="12"/>
  <c r="V489" i="12"/>
  <c r="N544" i="12"/>
  <c r="Z679" i="5"/>
  <c r="AM679" i="5"/>
  <c r="L679" i="5"/>
  <c r="I679" i="12"/>
  <c r="AC679" i="5"/>
  <c r="X311" i="5"/>
  <c r="AB130" i="8"/>
  <c r="D83" i="12"/>
  <c r="E83" i="6"/>
  <c r="U67" i="12"/>
  <c r="V67" i="12"/>
  <c r="T67" i="12"/>
  <c r="T398" i="12"/>
  <c r="U398" i="12"/>
  <c r="V398" i="12"/>
  <c r="W278" i="12"/>
  <c r="X278" i="12"/>
  <c r="O96" i="12"/>
  <c r="N96" i="12" s="1"/>
  <c r="N97" i="12"/>
  <c r="T26" i="12"/>
  <c r="U26" i="12"/>
  <c r="V26" i="12"/>
  <c r="V59" i="12"/>
  <c r="U59" i="12"/>
  <c r="T59" i="12"/>
  <c r="I571" i="12"/>
  <c r="Z571" i="5"/>
  <c r="L571" i="5"/>
  <c r="AM571" i="5"/>
  <c r="AC571" i="5"/>
  <c r="X512" i="12"/>
  <c r="W512" i="12"/>
  <c r="E683" i="6"/>
  <c r="D683" i="12"/>
  <c r="E61" i="6"/>
  <c r="D61" i="12"/>
  <c r="Y101" i="12" l="1"/>
  <c r="Y607" i="12"/>
  <c r="Y91" i="12"/>
  <c r="Y654" i="12"/>
  <c r="Y57" i="12"/>
  <c r="Y47" i="12"/>
  <c r="Y682" i="12"/>
  <c r="K285" i="12"/>
  <c r="K415" i="12"/>
  <c r="K724" i="12"/>
  <c r="K40" i="12"/>
  <c r="K230" i="12"/>
  <c r="Y724" i="12"/>
  <c r="W724" i="12" s="1"/>
  <c r="K613" i="12"/>
  <c r="Y701" i="12"/>
  <c r="Y96" i="12"/>
  <c r="K508" i="12"/>
  <c r="L701" i="12"/>
  <c r="K701" i="12" s="1"/>
  <c r="L81" i="12"/>
  <c r="K81" i="12" s="1"/>
  <c r="Y349" i="12"/>
  <c r="L607" i="12"/>
  <c r="K607" i="12" s="1"/>
  <c r="C487" i="6"/>
  <c r="X104" i="12"/>
  <c r="W104" i="12"/>
  <c r="AB631" i="5"/>
  <c r="C671" i="6"/>
  <c r="O132" i="12"/>
  <c r="AO132" i="12"/>
  <c r="C132" i="12"/>
  <c r="M132" i="12"/>
  <c r="AB395" i="5"/>
  <c r="X696" i="12"/>
  <c r="W696" i="12"/>
  <c r="C494" i="6"/>
  <c r="U512" i="12"/>
  <c r="V512" i="12"/>
  <c r="T512" i="12"/>
  <c r="W24" i="12"/>
  <c r="X24" i="12"/>
  <c r="T306" i="12"/>
  <c r="V306" i="12"/>
  <c r="U306" i="12"/>
  <c r="O639" i="12"/>
  <c r="C639" i="12"/>
  <c r="M639" i="12"/>
  <c r="AO639" i="12"/>
  <c r="U292" i="12"/>
  <c r="V292" i="12"/>
  <c r="T292" i="12"/>
  <c r="C411" i="6"/>
  <c r="V546" i="12"/>
  <c r="T546" i="12"/>
  <c r="U546" i="12"/>
  <c r="C666" i="6"/>
  <c r="H113" i="8"/>
  <c r="D245" i="12"/>
  <c r="E245" i="6"/>
  <c r="M195" i="12"/>
  <c r="C195" i="12"/>
  <c r="AO195" i="12"/>
  <c r="O195" i="12"/>
  <c r="AB186" i="5"/>
  <c r="AB196" i="5"/>
  <c r="W82" i="12"/>
  <c r="X82" i="12"/>
  <c r="AB116" i="5"/>
  <c r="U32" i="12"/>
  <c r="T32" i="12"/>
  <c r="V32" i="12"/>
  <c r="C142" i="6"/>
  <c r="C672" i="12"/>
  <c r="O672" i="12"/>
  <c r="M672" i="12"/>
  <c r="AO672" i="12"/>
  <c r="U267" i="12"/>
  <c r="T267" i="12"/>
  <c r="V267" i="12"/>
  <c r="U263" i="12"/>
  <c r="V263" i="12"/>
  <c r="T263" i="12"/>
  <c r="C224" i="6"/>
  <c r="AB218" i="5"/>
  <c r="AB441" i="5"/>
  <c r="M191" i="12"/>
  <c r="AO191" i="12"/>
  <c r="C191" i="12"/>
  <c r="O191" i="12"/>
  <c r="W725" i="12"/>
  <c r="X725" i="12"/>
  <c r="AO128" i="12"/>
  <c r="M128" i="12"/>
  <c r="O128" i="12"/>
  <c r="C128" i="12"/>
  <c r="AB208" i="5"/>
  <c r="X75" i="12"/>
  <c r="W75" i="12"/>
  <c r="C452" i="6"/>
  <c r="C283" i="6"/>
  <c r="D724" i="12"/>
  <c r="H257" i="8"/>
  <c r="E724" i="6"/>
  <c r="C178" i="6"/>
  <c r="AB401" i="5"/>
  <c r="T266" i="12"/>
  <c r="U266" i="12"/>
  <c r="V266" i="12"/>
  <c r="AB166" i="5"/>
  <c r="C498" i="6"/>
  <c r="M189" i="12"/>
  <c r="C189" i="12"/>
  <c r="AO189" i="12"/>
  <c r="O189" i="12"/>
  <c r="U429" i="12"/>
  <c r="T429" i="12"/>
  <c r="V429" i="12"/>
  <c r="T357" i="12"/>
  <c r="U357" i="12"/>
  <c r="V357" i="12"/>
  <c r="T584" i="12"/>
  <c r="V584" i="12"/>
  <c r="U584" i="12"/>
  <c r="AB681" i="5"/>
  <c r="M579" i="12"/>
  <c r="AO579" i="12"/>
  <c r="C579" i="12"/>
  <c r="O579" i="12"/>
  <c r="AM630" i="5"/>
  <c r="I630" i="5"/>
  <c r="I631" i="5" s="1"/>
  <c r="I632" i="5" s="1"/>
  <c r="I633" i="5" s="1"/>
  <c r="I634" i="5" s="1"/>
  <c r="Z630" i="5"/>
  <c r="L630" i="5"/>
  <c r="I630" i="12"/>
  <c r="AC630" i="5"/>
  <c r="X628" i="5"/>
  <c r="C129" i="6"/>
  <c r="C145" i="6"/>
  <c r="T250" i="12"/>
  <c r="U250" i="12"/>
  <c r="V250" i="12"/>
  <c r="X419" i="12"/>
  <c r="W419" i="12"/>
  <c r="E63" i="6"/>
  <c r="H41" i="8"/>
  <c r="D63" i="12"/>
  <c r="C670" i="6"/>
  <c r="X41" i="12"/>
  <c r="W41" i="12"/>
  <c r="X248" i="12"/>
  <c r="W248" i="12"/>
  <c r="C21" i="6"/>
  <c r="AB133" i="5"/>
  <c r="AB502" i="5"/>
  <c r="V369" i="12"/>
  <c r="T369" i="12"/>
  <c r="U369" i="12"/>
  <c r="AO456" i="12"/>
  <c r="C456" i="12"/>
  <c r="O456" i="12"/>
  <c r="M456" i="12"/>
  <c r="U125" i="12"/>
  <c r="T125" i="12"/>
  <c r="V125" i="12"/>
  <c r="X416" i="12"/>
  <c r="W416" i="12"/>
  <c r="C383" i="12"/>
  <c r="M383" i="12"/>
  <c r="O383" i="12"/>
  <c r="AO383" i="12"/>
  <c r="C22" i="6"/>
  <c r="C431" i="6"/>
  <c r="AB492" i="5"/>
  <c r="U387" i="12"/>
  <c r="T387" i="12"/>
  <c r="V387" i="12"/>
  <c r="C187" i="6"/>
  <c r="C673" i="12"/>
  <c r="O673" i="12"/>
  <c r="AO673" i="12"/>
  <c r="M673" i="12"/>
  <c r="T93" i="12"/>
  <c r="U93" i="12"/>
  <c r="V93" i="12"/>
  <c r="X437" i="12"/>
  <c r="W437" i="12"/>
  <c r="C151" i="12"/>
  <c r="M151" i="12"/>
  <c r="O151" i="12"/>
  <c r="AO151" i="12"/>
  <c r="AB137" i="5"/>
  <c r="V674" i="12"/>
  <c r="T674" i="12"/>
  <c r="U674" i="12"/>
  <c r="O500" i="12"/>
  <c r="M500" i="12"/>
  <c r="C500" i="12"/>
  <c r="AO500" i="12"/>
  <c r="T446" i="12"/>
  <c r="U446" i="12"/>
  <c r="V446" i="12"/>
  <c r="E40" i="6"/>
  <c r="D40" i="12"/>
  <c r="H32" i="8"/>
  <c r="AB563" i="5"/>
  <c r="C228" i="6"/>
  <c r="AB666" i="5"/>
  <c r="AB195" i="5"/>
  <c r="M400" i="12"/>
  <c r="AO400" i="12"/>
  <c r="C400" i="12"/>
  <c r="O400" i="12"/>
  <c r="O204" i="12"/>
  <c r="AO204" i="12"/>
  <c r="C204" i="12"/>
  <c r="M204" i="12"/>
  <c r="C463" i="6"/>
  <c r="C131" i="6"/>
  <c r="AM215" i="5"/>
  <c r="I215" i="5"/>
  <c r="I216" i="5" s="1"/>
  <c r="I217" i="5" s="1"/>
  <c r="I218" i="5" s="1"/>
  <c r="I219" i="5" s="1"/>
  <c r="Z215" i="5"/>
  <c r="L215" i="5"/>
  <c r="I215" i="12"/>
  <c r="AC215" i="5"/>
  <c r="X212" i="5"/>
  <c r="C565" i="6"/>
  <c r="O142" i="12"/>
  <c r="C142" i="12"/>
  <c r="AO142" i="12"/>
  <c r="M142" i="12"/>
  <c r="C672" i="6"/>
  <c r="O675" i="12"/>
  <c r="AO675" i="12"/>
  <c r="C675" i="12"/>
  <c r="M675" i="12"/>
  <c r="V269" i="12"/>
  <c r="U269" i="12"/>
  <c r="T269" i="12"/>
  <c r="C560" i="6"/>
  <c r="C224" i="12"/>
  <c r="O224" i="12"/>
  <c r="M224" i="12"/>
  <c r="AO224" i="12"/>
  <c r="U384" i="12"/>
  <c r="V384" i="12"/>
  <c r="T384" i="12"/>
  <c r="C432" i="6"/>
  <c r="E682" i="6"/>
  <c r="H233" i="8"/>
  <c r="D682" i="12"/>
  <c r="D613" i="12"/>
  <c r="E613" i="6"/>
  <c r="H203" i="8"/>
  <c r="X724" i="12"/>
  <c r="W58" i="12"/>
  <c r="X58" i="12"/>
  <c r="AO652" i="12"/>
  <c r="M652" i="12"/>
  <c r="O652" i="12"/>
  <c r="C652" i="12"/>
  <c r="AO178" i="12"/>
  <c r="C178" i="12"/>
  <c r="O178" i="12"/>
  <c r="M178" i="12"/>
  <c r="C467" i="6"/>
  <c r="E654" i="6"/>
  <c r="H221" i="8"/>
  <c r="D654" i="12"/>
  <c r="U275" i="12"/>
  <c r="V275" i="12"/>
  <c r="T275" i="12"/>
  <c r="C189" i="6"/>
  <c r="T368" i="12"/>
  <c r="V368" i="12"/>
  <c r="U368" i="12"/>
  <c r="E29" i="6"/>
  <c r="D29" i="12"/>
  <c r="H26" i="8"/>
  <c r="C394" i="12"/>
  <c r="AO394" i="12"/>
  <c r="M394" i="12"/>
  <c r="O394" i="12"/>
  <c r="X473" i="12"/>
  <c r="W473" i="12"/>
  <c r="C243" i="12"/>
  <c r="M243" i="12"/>
  <c r="AO243" i="12"/>
  <c r="O243" i="12"/>
  <c r="O216" i="12"/>
  <c r="AO216" i="12"/>
  <c r="Y216" i="12" s="1"/>
  <c r="C216" i="12"/>
  <c r="M216" i="12"/>
  <c r="U257" i="12"/>
  <c r="T257" i="12"/>
  <c r="V257" i="12"/>
  <c r="T617" i="12"/>
  <c r="U617" i="12"/>
  <c r="V617" i="12"/>
  <c r="AB129" i="5"/>
  <c r="AB145" i="5"/>
  <c r="X91" i="12"/>
  <c r="W91" i="12"/>
  <c r="O469" i="12"/>
  <c r="N469" i="12" s="1"/>
  <c r="M469" i="12"/>
  <c r="AO469" i="12"/>
  <c r="C469" i="12"/>
  <c r="AB570" i="5"/>
  <c r="AB130" i="5"/>
  <c r="C670" i="12"/>
  <c r="AO670" i="12"/>
  <c r="M670" i="12"/>
  <c r="O670" i="12"/>
  <c r="O79" i="12"/>
  <c r="C79" i="12"/>
  <c r="M79" i="12"/>
  <c r="AO79" i="12"/>
  <c r="E37" i="6"/>
  <c r="H29" i="8"/>
  <c r="D37" i="12"/>
  <c r="L480" i="5"/>
  <c r="AM480" i="5"/>
  <c r="I480" i="5"/>
  <c r="I481" i="5" s="1"/>
  <c r="I482" i="5" s="1"/>
  <c r="Z480" i="5"/>
  <c r="I480" i="12"/>
  <c r="X479" i="5"/>
  <c r="AC480" i="5"/>
  <c r="C284" i="12"/>
  <c r="AO284" i="12"/>
  <c r="O284" i="12"/>
  <c r="M284" i="12"/>
  <c r="C481" i="6"/>
  <c r="C464" i="6"/>
  <c r="T427" i="12"/>
  <c r="U427" i="12"/>
  <c r="V427" i="12"/>
  <c r="M602" i="12"/>
  <c r="C602" i="12"/>
  <c r="O602" i="12"/>
  <c r="AO602" i="12"/>
  <c r="AB143" i="5"/>
  <c r="U70" i="12"/>
  <c r="T70" i="12"/>
  <c r="V70" i="12"/>
  <c r="C456" i="6"/>
  <c r="V182" i="12"/>
  <c r="U182" i="12"/>
  <c r="T182" i="12"/>
  <c r="AB22" i="5"/>
  <c r="O431" i="12"/>
  <c r="AO431" i="12"/>
  <c r="M431" i="12"/>
  <c r="C431" i="12"/>
  <c r="C680" i="12"/>
  <c r="O680" i="12"/>
  <c r="AO680" i="12"/>
  <c r="M680" i="12"/>
  <c r="C492" i="6"/>
  <c r="W30" i="12"/>
  <c r="X30" i="12"/>
  <c r="AB198" i="5"/>
  <c r="AB187" i="5"/>
  <c r="AO621" i="12"/>
  <c r="O621" i="12"/>
  <c r="N621" i="12" s="1"/>
  <c r="M621" i="12"/>
  <c r="C621" i="12"/>
  <c r="AB151" i="5"/>
  <c r="C137" i="6"/>
  <c r="L101" i="12"/>
  <c r="K101" i="12" s="1"/>
  <c r="L76" i="5"/>
  <c r="I76" i="5"/>
  <c r="I77" i="5" s="1"/>
  <c r="I78" i="5" s="1"/>
  <c r="I79" i="5" s="1"/>
  <c r="I80" i="5" s="1"/>
  <c r="O80" i="5" s="1"/>
  <c r="I76" i="12"/>
  <c r="AM76" i="5"/>
  <c r="Z76" i="5"/>
  <c r="AC76" i="5"/>
  <c r="X74" i="5"/>
  <c r="M344" i="12"/>
  <c r="C344" i="12"/>
  <c r="O344" i="12"/>
  <c r="AO344" i="12"/>
  <c r="AB577" i="5"/>
  <c r="Z27" i="5"/>
  <c r="L27" i="5"/>
  <c r="I27" i="12"/>
  <c r="AM27" i="5"/>
  <c r="AC27" i="5"/>
  <c r="X23" i="5"/>
  <c r="D57" i="12"/>
  <c r="H38" i="8"/>
  <c r="E57" i="6"/>
  <c r="W97" i="12"/>
  <c r="X97" i="12"/>
  <c r="C571" i="6"/>
  <c r="V278" i="12"/>
  <c r="T278" i="12"/>
  <c r="U278" i="12"/>
  <c r="AB639" i="5"/>
  <c r="H35" i="8"/>
  <c r="D47" i="12"/>
  <c r="E47" i="6"/>
  <c r="C186" i="6"/>
  <c r="U575" i="12"/>
  <c r="T575" i="12"/>
  <c r="V575" i="12"/>
  <c r="V359" i="12"/>
  <c r="T359" i="12"/>
  <c r="U359" i="12"/>
  <c r="AB571" i="5"/>
  <c r="C679" i="12"/>
  <c r="M679" i="12"/>
  <c r="O679" i="12"/>
  <c r="AO679" i="12"/>
  <c r="H149" i="8"/>
  <c r="D415" i="12"/>
  <c r="E415" i="6"/>
  <c r="AB228" i="5"/>
  <c r="C623" i="6"/>
  <c r="T44" i="12"/>
  <c r="V44" i="12"/>
  <c r="U44" i="12"/>
  <c r="O158" i="12"/>
  <c r="AO158" i="12"/>
  <c r="M158" i="12"/>
  <c r="C158" i="12"/>
  <c r="AO666" i="12"/>
  <c r="O666" i="12"/>
  <c r="C666" i="12"/>
  <c r="M666" i="12"/>
  <c r="AB649" i="5"/>
  <c r="M631" i="12"/>
  <c r="C631" i="12"/>
  <c r="O631" i="12"/>
  <c r="AO631" i="12"/>
  <c r="C195" i="6"/>
  <c r="AB400" i="5"/>
  <c r="C204" i="6"/>
  <c r="W605" i="12"/>
  <c r="X605" i="12"/>
  <c r="AB463" i="5"/>
  <c r="AB131" i="5"/>
  <c r="C144" i="12"/>
  <c r="M144" i="12"/>
  <c r="O144" i="12"/>
  <c r="AO144" i="12"/>
  <c r="AB347" i="5"/>
  <c r="C116" i="6"/>
  <c r="T337" i="12"/>
  <c r="U337" i="12"/>
  <c r="V337" i="12"/>
  <c r="AB458" i="5"/>
  <c r="AB675" i="5"/>
  <c r="AB560" i="5"/>
  <c r="O573" i="12"/>
  <c r="M573" i="12"/>
  <c r="AO573" i="12"/>
  <c r="C573" i="12"/>
  <c r="T705" i="12"/>
  <c r="U705" i="12"/>
  <c r="V705" i="12"/>
  <c r="T440" i="12"/>
  <c r="U440" i="12"/>
  <c r="V440" i="12"/>
  <c r="U380" i="12"/>
  <c r="V380" i="12"/>
  <c r="T380" i="12"/>
  <c r="AB432" i="5"/>
  <c r="T510" i="12"/>
  <c r="V510" i="12"/>
  <c r="U510" i="12"/>
  <c r="AB128" i="5"/>
  <c r="W57" i="12"/>
  <c r="X57" i="12"/>
  <c r="C603" i="12"/>
  <c r="AO603" i="12"/>
  <c r="M603" i="12"/>
  <c r="O603" i="12"/>
  <c r="AB652" i="5"/>
  <c r="M208" i="12"/>
  <c r="O208" i="12"/>
  <c r="N208" i="12" s="1"/>
  <c r="AO208" i="12"/>
  <c r="C208" i="12"/>
  <c r="X422" i="12"/>
  <c r="W422" i="12"/>
  <c r="V299" i="12"/>
  <c r="U299" i="12"/>
  <c r="T299" i="12"/>
  <c r="AB467" i="5"/>
  <c r="AB454" i="5"/>
  <c r="C166" i="6"/>
  <c r="M498" i="12"/>
  <c r="O498" i="12"/>
  <c r="N498" i="12" s="1"/>
  <c r="AO498" i="12"/>
  <c r="C498" i="12"/>
  <c r="U361" i="12"/>
  <c r="V361" i="12"/>
  <c r="T361" i="12"/>
  <c r="AB189" i="5"/>
  <c r="C394" i="6"/>
  <c r="AB579" i="5"/>
  <c r="I568" i="12"/>
  <c r="Z568" i="5"/>
  <c r="I568" i="5"/>
  <c r="I569" i="5" s="1"/>
  <c r="I570" i="5" s="1"/>
  <c r="I571" i="5" s="1"/>
  <c r="I572" i="5" s="1"/>
  <c r="I573" i="5" s="1"/>
  <c r="I574" i="5" s="1"/>
  <c r="L568" i="5"/>
  <c r="X567" i="5"/>
  <c r="AM568" i="5"/>
  <c r="AC568" i="5"/>
  <c r="T323" i="12"/>
  <c r="U323" i="12"/>
  <c r="V323" i="12"/>
  <c r="AB243" i="5"/>
  <c r="U425" i="12"/>
  <c r="T425" i="12"/>
  <c r="V425" i="12"/>
  <c r="AB216" i="5"/>
  <c r="Z294" i="5"/>
  <c r="X293" i="5"/>
  <c r="I294" i="5"/>
  <c r="AM294" i="5"/>
  <c r="L294" i="5"/>
  <c r="I294" i="12"/>
  <c r="AC294" i="5"/>
  <c r="V279" i="12"/>
  <c r="T279" i="12"/>
  <c r="U279" i="12"/>
  <c r="X654" i="12"/>
  <c r="W654" i="12"/>
  <c r="X92" i="12"/>
  <c r="W92" i="12"/>
  <c r="C469" i="6"/>
  <c r="C130" i="6"/>
  <c r="D349" i="12"/>
  <c r="H137" i="8"/>
  <c r="E349" i="6"/>
  <c r="T645" i="12"/>
  <c r="V645" i="12"/>
  <c r="U645" i="12"/>
  <c r="C180" i="6"/>
  <c r="AB226" i="5"/>
  <c r="AB21" i="5"/>
  <c r="V610" i="12"/>
  <c r="T610" i="12"/>
  <c r="U610" i="12"/>
  <c r="C602" i="6"/>
  <c r="L20" i="5"/>
  <c r="X19" i="5"/>
  <c r="Z20" i="5"/>
  <c r="AM20" i="5"/>
  <c r="I20" i="12"/>
  <c r="AC20" i="5"/>
  <c r="H152" i="8"/>
  <c r="E418" i="6"/>
  <c r="D418" i="12"/>
  <c r="I234" i="12"/>
  <c r="AM234" i="5"/>
  <c r="I234" i="5"/>
  <c r="I235" i="5" s="1"/>
  <c r="I236" i="5" s="1"/>
  <c r="O236" i="5" s="1"/>
  <c r="L234" i="5"/>
  <c r="Z234" i="5"/>
  <c r="X233" i="5"/>
  <c r="AC234" i="5"/>
  <c r="O22" i="12"/>
  <c r="C22" i="12"/>
  <c r="M22" i="12"/>
  <c r="AO22" i="12"/>
  <c r="Y22" i="12" s="1"/>
  <c r="AB680" i="5"/>
  <c r="Y29" i="12"/>
  <c r="Z115" i="5"/>
  <c r="X114" i="5"/>
  <c r="I115" i="12"/>
  <c r="I115" i="5"/>
  <c r="I116" i="5" s="1"/>
  <c r="I117" i="5" s="1"/>
  <c r="I118" i="5" s="1"/>
  <c r="I119" i="5" s="1"/>
  <c r="I120" i="5" s="1"/>
  <c r="I121" i="5" s="1"/>
  <c r="I122" i="5" s="1"/>
  <c r="L115" i="5"/>
  <c r="AM115" i="5"/>
  <c r="AC115" i="5"/>
  <c r="AM714" i="5"/>
  <c r="Z714" i="5"/>
  <c r="L714" i="5"/>
  <c r="C714" i="6" s="1"/>
  <c r="I714" i="12"/>
  <c r="AC714" i="5"/>
  <c r="X712" i="5"/>
  <c r="AO187" i="12"/>
  <c r="O187" i="12"/>
  <c r="M187" i="12"/>
  <c r="C187" i="12"/>
  <c r="T326" i="12"/>
  <c r="U326" i="12"/>
  <c r="V326" i="12"/>
  <c r="X544" i="12"/>
  <c r="W544" i="12"/>
  <c r="O137" i="12"/>
  <c r="C137" i="12"/>
  <c r="M137" i="12"/>
  <c r="AO137" i="12"/>
  <c r="C188" i="6"/>
  <c r="V190" i="12"/>
  <c r="U190" i="12"/>
  <c r="T190" i="12"/>
  <c r="AB344" i="5"/>
  <c r="AO571" i="12"/>
  <c r="Y571" i="12" s="1"/>
  <c r="C571" i="12"/>
  <c r="M571" i="12"/>
  <c r="O571" i="12"/>
  <c r="C679" i="6"/>
  <c r="C389" i="6"/>
  <c r="AB487" i="5"/>
  <c r="C623" i="12"/>
  <c r="O623" i="12"/>
  <c r="AO623" i="12"/>
  <c r="M623" i="12"/>
  <c r="X715" i="5"/>
  <c r="AM716" i="5"/>
  <c r="I716" i="12"/>
  <c r="I716" i="5"/>
  <c r="I717" i="5" s="1"/>
  <c r="I718" i="5" s="1"/>
  <c r="I719" i="5" s="1"/>
  <c r="I720" i="5" s="1"/>
  <c r="O720" i="5" s="1"/>
  <c r="Z716" i="5"/>
  <c r="L716" i="5"/>
  <c r="AC716" i="5"/>
  <c r="T332" i="12"/>
  <c r="U332" i="12"/>
  <c r="V332" i="12"/>
  <c r="AB206" i="5"/>
  <c r="X686" i="12"/>
  <c r="W686" i="12"/>
  <c r="C649" i="6"/>
  <c r="C400" i="6"/>
  <c r="M186" i="12"/>
  <c r="C186" i="12"/>
  <c r="AO186" i="12"/>
  <c r="O186" i="12"/>
  <c r="I170" i="5"/>
  <c r="I171" i="5" s="1"/>
  <c r="Z170" i="5"/>
  <c r="L170" i="5"/>
  <c r="X169" i="5"/>
  <c r="I170" i="12"/>
  <c r="AM170" i="5"/>
  <c r="AC170" i="5"/>
  <c r="AB204" i="5"/>
  <c r="AB205" i="5"/>
  <c r="K682" i="12"/>
  <c r="C434" i="12"/>
  <c r="AO434" i="12"/>
  <c r="M434" i="12"/>
  <c r="O434" i="12"/>
  <c r="AO386" i="12"/>
  <c r="Y386" i="12" s="1"/>
  <c r="C386" i="12"/>
  <c r="O386" i="12"/>
  <c r="M386" i="12"/>
  <c r="C131" i="12"/>
  <c r="O131" i="12"/>
  <c r="AO131" i="12"/>
  <c r="Y131" i="12" s="1"/>
  <c r="M131" i="12"/>
  <c r="AB144" i="5"/>
  <c r="W63" i="12"/>
  <c r="X63" i="12"/>
  <c r="AO650" i="12"/>
  <c r="Y650" i="12" s="1"/>
  <c r="M650" i="12"/>
  <c r="O650" i="12"/>
  <c r="C650" i="12"/>
  <c r="AO565" i="12"/>
  <c r="M565" i="12"/>
  <c r="C565" i="12"/>
  <c r="O565" i="12"/>
  <c r="M116" i="12"/>
  <c r="O116" i="12"/>
  <c r="C116" i="12"/>
  <c r="AO116" i="12"/>
  <c r="T676" i="12"/>
  <c r="V676" i="12"/>
  <c r="U676" i="12"/>
  <c r="AB672" i="5"/>
  <c r="C458" i="6"/>
  <c r="D701" i="12"/>
  <c r="E701" i="6"/>
  <c r="H242" i="8"/>
  <c r="C573" i="6"/>
  <c r="C677" i="12"/>
  <c r="M677" i="12"/>
  <c r="O677" i="12"/>
  <c r="AO677" i="12"/>
  <c r="Y245" i="12"/>
  <c r="C128" i="6"/>
  <c r="C652" i="6"/>
  <c r="C208" i="6"/>
  <c r="U232" i="12"/>
  <c r="V232" i="12"/>
  <c r="T232" i="12"/>
  <c r="AO454" i="12"/>
  <c r="M454" i="12"/>
  <c r="C454" i="12"/>
  <c r="O454" i="12"/>
  <c r="W316" i="12"/>
  <c r="X316" i="12"/>
  <c r="AB192" i="5"/>
  <c r="W629" i="12"/>
  <c r="X629" i="12"/>
  <c r="C681" i="12"/>
  <c r="M681" i="12"/>
  <c r="AO681" i="12"/>
  <c r="Y681" i="12" s="1"/>
  <c r="O681" i="12"/>
  <c r="C216" i="6"/>
  <c r="O216" i="5"/>
  <c r="X655" i="12"/>
  <c r="W655" i="12"/>
  <c r="AB469" i="5"/>
  <c r="M570" i="12"/>
  <c r="C570" i="12"/>
  <c r="AO570" i="12"/>
  <c r="O570" i="12"/>
  <c r="AB670" i="5"/>
  <c r="D508" i="12"/>
  <c r="H173" i="8"/>
  <c r="E508" i="6"/>
  <c r="U280" i="12"/>
  <c r="V280" i="12"/>
  <c r="T280" i="12"/>
  <c r="M180" i="12"/>
  <c r="C180" i="12"/>
  <c r="O180" i="12"/>
  <c r="AO180" i="12"/>
  <c r="O229" i="12"/>
  <c r="C229" i="12"/>
  <c r="M229" i="12"/>
  <c r="AO229" i="12"/>
  <c r="M226" i="12"/>
  <c r="C226" i="12"/>
  <c r="AO226" i="12"/>
  <c r="O226" i="12"/>
  <c r="V203" i="12"/>
  <c r="T203" i="12"/>
  <c r="U203" i="12"/>
  <c r="AB481" i="5"/>
  <c r="C139" i="12"/>
  <c r="M139" i="12"/>
  <c r="AO139" i="12"/>
  <c r="O139" i="12"/>
  <c r="C564" i="6"/>
  <c r="L353" i="12"/>
  <c r="K353" i="12" s="1"/>
  <c r="M343" i="12"/>
  <c r="C343" i="12"/>
  <c r="O343" i="12"/>
  <c r="AO343" i="12"/>
  <c r="AB456" i="5"/>
  <c r="C576" i="6"/>
  <c r="AB431" i="5"/>
  <c r="C680" i="6"/>
  <c r="X38" i="12"/>
  <c r="W38" i="12"/>
  <c r="M225" i="12"/>
  <c r="AO225" i="12"/>
  <c r="C225" i="12"/>
  <c r="O225" i="12"/>
  <c r="N225" i="12" s="1"/>
  <c r="T541" i="12"/>
  <c r="V541" i="12"/>
  <c r="U541" i="12"/>
  <c r="V497" i="12"/>
  <c r="T497" i="12"/>
  <c r="U497" i="12"/>
  <c r="AB146" i="5"/>
  <c r="AB188" i="5"/>
  <c r="D353" i="12"/>
  <c r="E353" i="6"/>
  <c r="H140" i="8"/>
  <c r="C344" i="6"/>
  <c r="U499" i="12"/>
  <c r="V499" i="12"/>
  <c r="T499" i="12"/>
  <c r="H176" i="8"/>
  <c r="D526" i="12"/>
  <c r="E526" i="6"/>
  <c r="AB386" i="5"/>
  <c r="C144" i="6"/>
  <c r="C193" i="6"/>
  <c r="W64" i="12"/>
  <c r="X64" i="12"/>
  <c r="AB650" i="5"/>
  <c r="AB565" i="5"/>
  <c r="M347" i="12"/>
  <c r="C347" i="12"/>
  <c r="AO347" i="12"/>
  <c r="O347" i="12"/>
  <c r="T265" i="12"/>
  <c r="U265" i="12"/>
  <c r="V265" i="12"/>
  <c r="C458" i="12"/>
  <c r="AO458" i="12"/>
  <c r="M458" i="12"/>
  <c r="O458" i="12"/>
  <c r="C675" i="6"/>
  <c r="AB164" i="5"/>
  <c r="AO560" i="12"/>
  <c r="O560" i="12"/>
  <c r="M560" i="12"/>
  <c r="C560" i="12"/>
  <c r="AB573" i="5"/>
  <c r="U553" i="12"/>
  <c r="V553" i="12"/>
  <c r="T553" i="12"/>
  <c r="W246" i="12"/>
  <c r="X246" i="12"/>
  <c r="O432" i="12"/>
  <c r="C432" i="12"/>
  <c r="M432" i="12"/>
  <c r="AO432" i="12"/>
  <c r="T517" i="12"/>
  <c r="V517" i="12"/>
  <c r="U517" i="12"/>
  <c r="C157" i="12"/>
  <c r="AO157" i="12"/>
  <c r="O157" i="12"/>
  <c r="M157" i="12"/>
  <c r="AB603" i="5"/>
  <c r="C449" i="12"/>
  <c r="O449" i="12"/>
  <c r="M449" i="12"/>
  <c r="AO449" i="12"/>
  <c r="X682" i="12"/>
  <c r="W682" i="12"/>
  <c r="AB719" i="5"/>
  <c r="C459" i="6"/>
  <c r="U399" i="12"/>
  <c r="T399" i="12"/>
  <c r="V399" i="12"/>
  <c r="C454" i="6"/>
  <c r="I535" i="12"/>
  <c r="AM535" i="5"/>
  <c r="Z535" i="5"/>
  <c r="L535" i="5"/>
  <c r="I535" i="5"/>
  <c r="I536" i="5" s="1"/>
  <c r="AC535" i="5"/>
  <c r="X530" i="5"/>
  <c r="X317" i="12"/>
  <c r="W317" i="12"/>
  <c r="C217" i="6"/>
  <c r="O217" i="5"/>
  <c r="M192" i="12"/>
  <c r="C192" i="12"/>
  <c r="O192" i="12"/>
  <c r="AO192" i="12"/>
  <c r="AB118" i="5"/>
  <c r="I153" i="12"/>
  <c r="Z153" i="5"/>
  <c r="X152" i="5"/>
  <c r="L153" i="5"/>
  <c r="AM153" i="5"/>
  <c r="I153" i="5"/>
  <c r="I154" i="5" s="1"/>
  <c r="O154" i="5" s="1"/>
  <c r="AC153" i="5"/>
  <c r="U298" i="12"/>
  <c r="T298" i="12"/>
  <c r="V298" i="12"/>
  <c r="O376" i="12"/>
  <c r="M376" i="12"/>
  <c r="C376" i="12"/>
  <c r="AO376" i="12"/>
  <c r="Y376" i="12" s="1"/>
  <c r="C243" i="6"/>
  <c r="L296" i="5"/>
  <c r="I296" i="5"/>
  <c r="I297" i="5" s="1"/>
  <c r="I298" i="5" s="1"/>
  <c r="Z296" i="5"/>
  <c r="AM296" i="5"/>
  <c r="I296" i="12"/>
  <c r="X295" i="5"/>
  <c r="AC296" i="5"/>
  <c r="T325" i="12"/>
  <c r="V325" i="12"/>
  <c r="U325" i="12"/>
  <c r="O433" i="12"/>
  <c r="M433" i="12"/>
  <c r="C433" i="12"/>
  <c r="AO433" i="12"/>
  <c r="T31" i="12"/>
  <c r="V31" i="12"/>
  <c r="U31" i="12"/>
  <c r="C570" i="6"/>
  <c r="O570" i="5"/>
  <c r="AO314" i="12"/>
  <c r="O314" i="12"/>
  <c r="M314" i="12"/>
  <c r="C314" i="12"/>
  <c r="AO297" i="12"/>
  <c r="Y297" i="12" s="1"/>
  <c r="O297" i="12"/>
  <c r="M297" i="12"/>
  <c r="C297" i="12"/>
  <c r="O393" i="12"/>
  <c r="M393" i="12"/>
  <c r="AO393" i="12"/>
  <c r="C393" i="12"/>
  <c r="C465" i="6"/>
  <c r="AB229" i="5"/>
  <c r="AO481" i="12"/>
  <c r="Y481" i="12" s="1"/>
  <c r="M481" i="12"/>
  <c r="C481" i="12"/>
  <c r="O481" i="12"/>
  <c r="AB154" i="5"/>
  <c r="AB138" i="5"/>
  <c r="C139" i="6"/>
  <c r="AO564" i="12"/>
  <c r="Y564" i="12" s="1"/>
  <c r="C564" i="12"/>
  <c r="M564" i="12"/>
  <c r="O564" i="12"/>
  <c r="AB343" i="5"/>
  <c r="Z238" i="5"/>
  <c r="L238" i="5"/>
  <c r="X237" i="5"/>
  <c r="I238" i="5"/>
  <c r="I239" i="5" s="1"/>
  <c r="I240" i="5" s="1"/>
  <c r="I241" i="5" s="1"/>
  <c r="I242" i="5" s="1"/>
  <c r="I243" i="5" s="1"/>
  <c r="I244" i="5" s="1"/>
  <c r="O244" i="5" s="1"/>
  <c r="AM238" i="5"/>
  <c r="I238" i="12"/>
  <c r="AC238" i="5"/>
  <c r="Y37" i="12"/>
  <c r="AO198" i="12"/>
  <c r="O198" i="12"/>
  <c r="C198" i="12"/>
  <c r="M198" i="12"/>
  <c r="AO281" i="12"/>
  <c r="Y281" i="12" s="1"/>
  <c r="M281" i="12"/>
  <c r="C281" i="12"/>
  <c r="O281" i="12"/>
  <c r="M478" i="12"/>
  <c r="O478" i="12"/>
  <c r="C478" i="12"/>
  <c r="AO478" i="12"/>
  <c r="C471" i="12"/>
  <c r="AO471" i="12"/>
  <c r="M471" i="12"/>
  <c r="O471" i="12"/>
  <c r="N471" i="12" s="1"/>
  <c r="AM592" i="5"/>
  <c r="L592" i="5"/>
  <c r="I592" i="12"/>
  <c r="I592" i="5"/>
  <c r="I593" i="5" s="1"/>
  <c r="X591" i="5"/>
  <c r="Z592" i="5"/>
  <c r="AC592" i="5"/>
  <c r="C146" i="6"/>
  <c r="V321" i="12"/>
  <c r="T321" i="12"/>
  <c r="U321" i="12"/>
  <c r="AO188" i="12"/>
  <c r="M188" i="12"/>
  <c r="O188" i="12"/>
  <c r="C188" i="12"/>
  <c r="AB651" i="5"/>
  <c r="M389" i="12"/>
  <c r="AO389" i="12"/>
  <c r="O389" i="12"/>
  <c r="C389" i="12"/>
  <c r="C228" i="12"/>
  <c r="AO228" i="12"/>
  <c r="Y228" i="12" s="1"/>
  <c r="O228" i="12"/>
  <c r="M228" i="12"/>
  <c r="C158" i="6"/>
  <c r="X687" i="12"/>
  <c r="W687" i="12"/>
  <c r="W230" i="12"/>
  <c r="X230" i="12"/>
  <c r="C487" i="12"/>
  <c r="O487" i="12"/>
  <c r="M487" i="12"/>
  <c r="AO487" i="12"/>
  <c r="X702" i="12"/>
  <c r="W702" i="12"/>
  <c r="AB158" i="5"/>
  <c r="AO206" i="12"/>
  <c r="C206" i="12"/>
  <c r="O206" i="12"/>
  <c r="M206" i="12"/>
  <c r="C631" i="6"/>
  <c r="O631" i="5"/>
  <c r="C409" i="6"/>
  <c r="U635" i="12"/>
  <c r="T635" i="12"/>
  <c r="V635" i="12"/>
  <c r="W641" i="12"/>
  <c r="X641" i="12"/>
  <c r="AB627" i="5"/>
  <c r="C205" i="6"/>
  <c r="C207" i="6"/>
  <c r="AM644" i="5"/>
  <c r="X643" i="5"/>
  <c r="Z644" i="5"/>
  <c r="L644" i="5"/>
  <c r="I644" i="12"/>
  <c r="I644" i="5"/>
  <c r="I645" i="5" s="1"/>
  <c r="AC644" i="5"/>
  <c r="C434" i="6"/>
  <c r="C386" i="6"/>
  <c r="M193" i="12"/>
  <c r="C193" i="12"/>
  <c r="O193" i="12"/>
  <c r="AO193" i="12"/>
  <c r="E101" i="6"/>
  <c r="H59" i="8"/>
  <c r="D101" i="12"/>
  <c r="C650" i="6"/>
  <c r="C347" i="6"/>
  <c r="O506" i="12"/>
  <c r="N506" i="12" s="1"/>
  <c r="C506" i="12"/>
  <c r="M506" i="12"/>
  <c r="AO506" i="12"/>
  <c r="Z405" i="5"/>
  <c r="AM405" i="5"/>
  <c r="L405" i="5"/>
  <c r="I405" i="5"/>
  <c r="I406" i="5" s="1"/>
  <c r="I405" i="12"/>
  <c r="AC405" i="5"/>
  <c r="X402" i="5"/>
  <c r="M164" i="12"/>
  <c r="C164" i="12"/>
  <c r="AO164" i="12"/>
  <c r="O164" i="12"/>
  <c r="V289" i="12"/>
  <c r="U289" i="12"/>
  <c r="T289" i="12"/>
  <c r="AB594" i="5"/>
  <c r="C677" i="6"/>
  <c r="U698" i="12"/>
  <c r="T698" i="12"/>
  <c r="V698" i="12"/>
  <c r="T360" i="12"/>
  <c r="V360" i="12"/>
  <c r="U360" i="12"/>
  <c r="AB157" i="5"/>
  <c r="V372" i="12"/>
  <c r="U372" i="12"/>
  <c r="T372" i="12"/>
  <c r="I585" i="5"/>
  <c r="I586" i="5" s="1"/>
  <c r="AM585" i="5"/>
  <c r="Z585" i="5"/>
  <c r="I585" i="12"/>
  <c r="L585" i="5"/>
  <c r="AC585" i="5"/>
  <c r="X580" i="5"/>
  <c r="Z665" i="5"/>
  <c r="AM665" i="5"/>
  <c r="I665" i="12"/>
  <c r="L665" i="5"/>
  <c r="AC665" i="5"/>
  <c r="X660" i="5"/>
  <c r="AM185" i="5"/>
  <c r="I185" i="5"/>
  <c r="I186" i="5" s="1"/>
  <c r="I187" i="5" s="1"/>
  <c r="I188" i="5" s="1"/>
  <c r="I189" i="5" s="1"/>
  <c r="I190" i="5" s="1"/>
  <c r="I185" i="12"/>
  <c r="L185" i="5"/>
  <c r="Z185" i="5"/>
  <c r="X184" i="5"/>
  <c r="AC185" i="5"/>
  <c r="AB449" i="5"/>
  <c r="X683" i="12"/>
  <c r="W683" i="12"/>
  <c r="C240" i="6"/>
  <c r="C719" i="6"/>
  <c r="O719" i="5"/>
  <c r="AB459" i="5"/>
  <c r="U704" i="12"/>
  <c r="V704" i="12"/>
  <c r="T704" i="12"/>
  <c r="AB220" i="5"/>
  <c r="V277" i="12"/>
  <c r="U277" i="12"/>
  <c r="T277" i="12"/>
  <c r="C192" i="6"/>
  <c r="C118" i="12"/>
  <c r="M118" i="12"/>
  <c r="O118" i="12"/>
  <c r="AO118" i="12"/>
  <c r="I438" i="5"/>
  <c r="I439" i="5" s="1"/>
  <c r="L438" i="5"/>
  <c r="AM438" i="5"/>
  <c r="I438" i="12"/>
  <c r="Z438" i="5"/>
  <c r="AC438" i="5"/>
  <c r="X436" i="5"/>
  <c r="U396" i="12"/>
  <c r="V396" i="12"/>
  <c r="T396" i="12"/>
  <c r="I370" i="5"/>
  <c r="I371" i="5" s="1"/>
  <c r="I372" i="5" s="1"/>
  <c r="AM370" i="5"/>
  <c r="L370" i="5"/>
  <c r="Z370" i="5"/>
  <c r="I370" i="12"/>
  <c r="AC370" i="5"/>
  <c r="X365" i="5"/>
  <c r="AB376" i="5"/>
  <c r="W353" i="12"/>
  <c r="X353" i="12"/>
  <c r="AB658" i="5"/>
  <c r="L349" i="12"/>
  <c r="K349" i="12" s="1"/>
  <c r="C159" i="6"/>
  <c r="AB433" i="5"/>
  <c r="AM338" i="5"/>
  <c r="I338" i="5"/>
  <c r="I339" i="5" s="1"/>
  <c r="I338" i="12"/>
  <c r="Z338" i="5"/>
  <c r="L338" i="5"/>
  <c r="AC338" i="5"/>
  <c r="X319" i="5"/>
  <c r="AB312" i="5"/>
  <c r="T105" i="12"/>
  <c r="V105" i="12"/>
  <c r="U105" i="12"/>
  <c r="AB314" i="5"/>
  <c r="AB297" i="5"/>
  <c r="U171" i="12"/>
  <c r="T171" i="12"/>
  <c r="V171" i="12"/>
  <c r="AB180" i="5"/>
  <c r="C393" i="6"/>
  <c r="L110" i="12"/>
  <c r="K110" i="12" s="1"/>
  <c r="AB465" i="5"/>
  <c r="C226" i="6"/>
  <c r="AO653" i="12"/>
  <c r="M653" i="12"/>
  <c r="O653" i="12"/>
  <c r="C653" i="12"/>
  <c r="C239" i="6"/>
  <c r="O239" i="5"/>
  <c r="AO138" i="12"/>
  <c r="Y138" i="12" s="1"/>
  <c r="O138" i="12"/>
  <c r="M138" i="12"/>
  <c r="C138" i="12"/>
  <c r="AB564" i="5"/>
  <c r="C147" i="6"/>
  <c r="C343" i="6"/>
  <c r="AO576" i="12"/>
  <c r="C576" i="12"/>
  <c r="O576" i="12"/>
  <c r="M576" i="12"/>
  <c r="L526" i="12"/>
  <c r="K526" i="12" s="1"/>
  <c r="C281" i="6"/>
  <c r="H65" i="8"/>
  <c r="E110" i="6"/>
  <c r="D110" i="12"/>
  <c r="AB225" i="5"/>
  <c r="W213" i="12"/>
  <c r="X213" i="12"/>
  <c r="AB478" i="5"/>
  <c r="AB471" i="5"/>
  <c r="O146" i="12"/>
  <c r="AO146" i="12"/>
  <c r="M146" i="12"/>
  <c r="C146" i="12"/>
  <c r="L57" i="12"/>
  <c r="K57" i="12" s="1"/>
  <c r="C651" i="12"/>
  <c r="M651" i="12"/>
  <c r="AO651" i="12"/>
  <c r="O651" i="12"/>
  <c r="C205" i="12"/>
  <c r="M205" i="12"/>
  <c r="O205" i="12"/>
  <c r="AO205" i="12"/>
  <c r="AB679" i="5"/>
  <c r="AB389" i="5"/>
  <c r="T609" i="12"/>
  <c r="V609" i="12"/>
  <c r="U609" i="12"/>
  <c r="V552" i="12"/>
  <c r="U552" i="12"/>
  <c r="T552" i="12"/>
  <c r="T703" i="12"/>
  <c r="U703" i="12"/>
  <c r="V703" i="12"/>
  <c r="AB141" i="5"/>
  <c r="AO671" i="12"/>
  <c r="O671" i="12"/>
  <c r="M671" i="12"/>
  <c r="C671" i="12"/>
  <c r="Z620" i="5"/>
  <c r="I620" i="5"/>
  <c r="I621" i="5" s="1"/>
  <c r="I622" i="5" s="1"/>
  <c r="L620" i="5"/>
  <c r="I620" i="12"/>
  <c r="AM620" i="5"/>
  <c r="AC620" i="5"/>
  <c r="X618" i="5"/>
  <c r="C206" i="6"/>
  <c r="M563" i="12"/>
  <c r="O563" i="12"/>
  <c r="AO563" i="12"/>
  <c r="C563" i="12"/>
  <c r="AO409" i="12"/>
  <c r="M409" i="12"/>
  <c r="C409" i="12"/>
  <c r="O409" i="12"/>
  <c r="O627" i="12"/>
  <c r="AO627" i="12"/>
  <c r="M627" i="12"/>
  <c r="C627" i="12"/>
  <c r="Z223" i="5"/>
  <c r="I223" i="12"/>
  <c r="AM223" i="5"/>
  <c r="L223" i="5"/>
  <c r="I223" i="5"/>
  <c r="I224" i="5" s="1"/>
  <c r="I225" i="5" s="1"/>
  <c r="I226" i="5" s="1"/>
  <c r="I227" i="5" s="1"/>
  <c r="I228" i="5" s="1"/>
  <c r="I229" i="5" s="1"/>
  <c r="O229" i="5" s="1"/>
  <c r="AC223" i="5"/>
  <c r="X221" i="5"/>
  <c r="O624" i="12"/>
  <c r="AO624" i="12"/>
  <c r="M624" i="12"/>
  <c r="C624" i="12"/>
  <c r="O395" i="12"/>
  <c r="C395" i="12"/>
  <c r="M395" i="12"/>
  <c r="AO395" i="12"/>
  <c r="AB434" i="5"/>
  <c r="AB562" i="5"/>
  <c r="D607" i="12"/>
  <c r="E607" i="6"/>
  <c r="H200" i="8"/>
  <c r="AB193" i="5"/>
  <c r="AB506" i="5"/>
  <c r="AB167" i="5"/>
  <c r="AB566" i="5"/>
  <c r="C164" i="6"/>
  <c r="V55" i="12"/>
  <c r="U55" i="12"/>
  <c r="T55" i="12"/>
  <c r="T61" i="12"/>
  <c r="U61" i="12"/>
  <c r="V61" i="12"/>
  <c r="O594" i="12"/>
  <c r="M594" i="12"/>
  <c r="AO594" i="12"/>
  <c r="C594" i="12"/>
  <c r="AB677" i="5"/>
  <c r="U264" i="12"/>
  <c r="V264" i="12"/>
  <c r="T264" i="12"/>
  <c r="K654" i="12"/>
  <c r="C157" i="6"/>
  <c r="AO227" i="12"/>
  <c r="Y227" i="12" s="1"/>
  <c r="O227" i="12"/>
  <c r="M227" i="12"/>
  <c r="C227" i="12"/>
  <c r="C371" i="6"/>
  <c r="O371" i="5"/>
  <c r="T485" i="12"/>
  <c r="U485" i="12"/>
  <c r="V485" i="12"/>
  <c r="C449" i="6"/>
  <c r="AB717" i="5"/>
  <c r="AO240" i="12"/>
  <c r="O240" i="12"/>
  <c r="N240" i="12" s="1"/>
  <c r="M240" i="12"/>
  <c r="C240" i="12"/>
  <c r="O719" i="12"/>
  <c r="M719" i="12"/>
  <c r="AO719" i="12"/>
  <c r="C719" i="12"/>
  <c r="C459" i="12"/>
  <c r="O459" i="12"/>
  <c r="M459" i="12"/>
  <c r="AO459" i="12"/>
  <c r="U274" i="12"/>
  <c r="T274" i="12"/>
  <c r="V274" i="12"/>
  <c r="AB659" i="5"/>
  <c r="U310" i="12"/>
  <c r="T310" i="12"/>
  <c r="V310" i="12"/>
  <c r="AB217" i="5"/>
  <c r="C78" i="6"/>
  <c r="O78" i="5"/>
  <c r="C118" i="6"/>
  <c r="O118" i="5"/>
  <c r="X527" i="12"/>
  <c r="W527" i="12"/>
  <c r="E89" i="6"/>
  <c r="H50" i="8"/>
  <c r="D89" i="12"/>
  <c r="W354" i="12"/>
  <c r="X354" i="12"/>
  <c r="AB578" i="5"/>
  <c r="O242" i="12"/>
  <c r="M242" i="12"/>
  <c r="C242" i="12"/>
  <c r="AO242" i="12"/>
  <c r="AB159" i="5"/>
  <c r="X668" i="5"/>
  <c r="AM669" i="5"/>
  <c r="I669" i="12"/>
  <c r="Z669" i="5"/>
  <c r="L669" i="5"/>
  <c r="I669" i="5"/>
  <c r="I670" i="5" s="1"/>
  <c r="I671" i="5" s="1"/>
  <c r="I672" i="5" s="1"/>
  <c r="I673" i="5" s="1"/>
  <c r="I674" i="5" s="1"/>
  <c r="AC669" i="5"/>
  <c r="L96" i="12"/>
  <c r="K96" i="12" s="1"/>
  <c r="W403" i="12"/>
  <c r="X403" i="12"/>
  <c r="M312" i="12"/>
  <c r="C312" i="12"/>
  <c r="AO312" i="12"/>
  <c r="O312" i="12"/>
  <c r="W614" i="12"/>
  <c r="X614" i="12"/>
  <c r="X126" i="5"/>
  <c r="Z127" i="5"/>
  <c r="I127" i="12"/>
  <c r="L127" i="5"/>
  <c r="I127" i="5"/>
  <c r="I128" i="5" s="1"/>
  <c r="I129" i="5" s="1"/>
  <c r="I130" i="5" s="1"/>
  <c r="I131" i="5" s="1"/>
  <c r="I132" i="5" s="1"/>
  <c r="I133" i="5" s="1"/>
  <c r="O133" i="5" s="1"/>
  <c r="AM127" i="5"/>
  <c r="AC127" i="5"/>
  <c r="AO160" i="12"/>
  <c r="M160" i="12"/>
  <c r="O160" i="12"/>
  <c r="C160" i="12"/>
  <c r="AB393" i="5"/>
  <c r="O465" i="12"/>
  <c r="C465" i="12"/>
  <c r="AO465" i="12"/>
  <c r="M465" i="12"/>
  <c r="AO154" i="12"/>
  <c r="M154" i="12"/>
  <c r="C154" i="12"/>
  <c r="O154" i="12"/>
  <c r="C138" i="6"/>
  <c r="AB139" i="5"/>
  <c r="L695" i="12"/>
  <c r="K695" i="12" s="1"/>
  <c r="I135" i="12"/>
  <c r="Z135" i="5"/>
  <c r="X134" i="5"/>
  <c r="L135" i="5"/>
  <c r="I135" i="5"/>
  <c r="I136" i="5" s="1"/>
  <c r="I137" i="5" s="1"/>
  <c r="I138" i="5" s="1"/>
  <c r="I139" i="5" s="1"/>
  <c r="I140" i="5" s="1"/>
  <c r="I141" i="5" s="1"/>
  <c r="I142" i="5" s="1"/>
  <c r="I143" i="5" s="1"/>
  <c r="I144" i="5" s="1"/>
  <c r="I145" i="5" s="1"/>
  <c r="I146" i="5" s="1"/>
  <c r="I147" i="5" s="1"/>
  <c r="I148" i="5" s="1"/>
  <c r="I149" i="5" s="1"/>
  <c r="I150" i="5" s="1"/>
  <c r="I151" i="5" s="1"/>
  <c r="O151" i="5" s="1"/>
  <c r="AM135" i="5"/>
  <c r="AC135" i="5"/>
  <c r="C179" i="6"/>
  <c r="AB147" i="5"/>
  <c r="X490" i="5"/>
  <c r="Z491" i="5"/>
  <c r="I491" i="5"/>
  <c r="I492" i="5" s="1"/>
  <c r="I493" i="5" s="1"/>
  <c r="I494" i="5" s="1"/>
  <c r="I495" i="5" s="1"/>
  <c r="I491" i="12"/>
  <c r="AM491" i="5"/>
  <c r="L491" i="5"/>
  <c r="AC491" i="5"/>
  <c r="AB576" i="5"/>
  <c r="AB461" i="5"/>
  <c r="C162" i="6"/>
  <c r="L316" i="12"/>
  <c r="K316" i="12" s="1"/>
  <c r="AB281" i="5"/>
  <c r="C225" i="6"/>
  <c r="W286" i="12"/>
  <c r="X286" i="12"/>
  <c r="T442" i="12"/>
  <c r="V442" i="12"/>
  <c r="U442" i="12"/>
  <c r="X701" i="12"/>
  <c r="W701" i="12"/>
  <c r="W695" i="12"/>
  <c r="X695" i="12"/>
  <c r="O149" i="12"/>
  <c r="C149" i="12"/>
  <c r="M149" i="12"/>
  <c r="AO149" i="12"/>
  <c r="AO723" i="12"/>
  <c r="O723" i="12"/>
  <c r="C723" i="12"/>
  <c r="M723" i="12"/>
  <c r="C624" i="6"/>
  <c r="M562" i="12"/>
  <c r="C562" i="12"/>
  <c r="AO562" i="12"/>
  <c r="O562" i="12"/>
  <c r="AB150" i="5"/>
  <c r="C506" i="6"/>
  <c r="M165" i="12"/>
  <c r="C165" i="12"/>
  <c r="AO165" i="12"/>
  <c r="O165" i="12"/>
  <c r="C167" i="6"/>
  <c r="AB236" i="5"/>
  <c r="C597" i="6"/>
  <c r="X48" i="12"/>
  <c r="W48" i="12"/>
  <c r="T648" i="12"/>
  <c r="U648" i="12"/>
  <c r="V648" i="12"/>
  <c r="E686" i="6"/>
  <c r="D686" i="12"/>
  <c r="H236" i="8"/>
  <c r="O77" i="12"/>
  <c r="AO77" i="12"/>
  <c r="M77" i="12"/>
  <c r="C77" i="12"/>
  <c r="C136" i="6"/>
  <c r="C227" i="6"/>
  <c r="O227" i="5"/>
  <c r="V685" i="12"/>
  <c r="T685" i="12"/>
  <c r="U685" i="12"/>
  <c r="AB371" i="5"/>
  <c r="M718" i="12"/>
  <c r="O718" i="12"/>
  <c r="AO718" i="12"/>
  <c r="C718" i="12"/>
  <c r="O717" i="12"/>
  <c r="M717" i="12"/>
  <c r="C717" i="12"/>
  <c r="AO717" i="12"/>
  <c r="AB240" i="5"/>
  <c r="W608" i="12"/>
  <c r="X608" i="12"/>
  <c r="O220" i="12"/>
  <c r="C220" i="12"/>
  <c r="M220" i="12"/>
  <c r="AO220" i="12"/>
  <c r="C217" i="12"/>
  <c r="O217" i="12"/>
  <c r="M217" i="12"/>
  <c r="AO217" i="12"/>
  <c r="AB78" i="5"/>
  <c r="W526" i="12"/>
  <c r="X526" i="12"/>
  <c r="AB462" i="5"/>
  <c r="H56" i="8"/>
  <c r="E96" i="6"/>
  <c r="D96" i="12"/>
  <c r="C376" i="6"/>
  <c r="C194" i="6"/>
  <c r="M658" i="12"/>
  <c r="AO658" i="12"/>
  <c r="C658" i="12"/>
  <c r="O658" i="12"/>
  <c r="AB242" i="5"/>
  <c r="C159" i="12"/>
  <c r="AO159" i="12"/>
  <c r="M159" i="12"/>
  <c r="O159" i="12"/>
  <c r="C433" i="6"/>
  <c r="L428" i="5"/>
  <c r="Z428" i="5"/>
  <c r="I428" i="12"/>
  <c r="AM428" i="5"/>
  <c r="I428" i="5"/>
  <c r="I429" i="5" s="1"/>
  <c r="AC428" i="5"/>
  <c r="X421" i="5"/>
  <c r="C599" i="12"/>
  <c r="AO599" i="12"/>
  <c r="O599" i="12"/>
  <c r="M599" i="12"/>
  <c r="C312" i="6"/>
  <c r="X613" i="12"/>
  <c r="W613" i="12"/>
  <c r="C397" i="6"/>
  <c r="C314" i="6"/>
  <c r="O600" i="12"/>
  <c r="AO600" i="12"/>
  <c r="C600" i="12"/>
  <c r="M600" i="12"/>
  <c r="H131" i="8"/>
  <c r="D316" i="12"/>
  <c r="E316" i="6"/>
  <c r="C297" i="6"/>
  <c r="O297" i="5"/>
  <c r="AB160" i="5"/>
  <c r="AB653" i="5"/>
  <c r="M239" i="12"/>
  <c r="O239" i="12"/>
  <c r="C239" i="12"/>
  <c r="AO239" i="12"/>
  <c r="T647" i="12"/>
  <c r="U647" i="12"/>
  <c r="V647" i="12"/>
  <c r="AB140" i="5"/>
  <c r="U486" i="12"/>
  <c r="T486" i="12"/>
  <c r="V486" i="12"/>
  <c r="V611" i="12"/>
  <c r="U611" i="12"/>
  <c r="T611" i="12"/>
  <c r="C461" i="12"/>
  <c r="M461" i="12"/>
  <c r="O461" i="12"/>
  <c r="AO461" i="12"/>
  <c r="M503" i="12"/>
  <c r="C503" i="12"/>
  <c r="AO503" i="12"/>
  <c r="O503" i="12"/>
  <c r="U305" i="12"/>
  <c r="T305" i="12"/>
  <c r="V305" i="12"/>
  <c r="C161" i="6"/>
  <c r="L642" i="5"/>
  <c r="Z642" i="5"/>
  <c r="I642" i="5"/>
  <c r="AM642" i="5"/>
  <c r="I642" i="12"/>
  <c r="AC642" i="5"/>
  <c r="X640" i="5"/>
  <c r="V352" i="12"/>
  <c r="U352" i="12"/>
  <c r="T352" i="12"/>
  <c r="Y285" i="12"/>
  <c r="L37" i="12"/>
  <c r="K37" i="12" s="1"/>
  <c r="AB496" i="5"/>
  <c r="C667" i="12"/>
  <c r="AO667" i="12"/>
  <c r="O667" i="12"/>
  <c r="M667" i="12"/>
  <c r="C651" i="6"/>
  <c r="W231" i="12"/>
  <c r="X231" i="12"/>
  <c r="AB623" i="5"/>
  <c r="O649" i="12"/>
  <c r="AO649" i="12"/>
  <c r="M649" i="12"/>
  <c r="C649" i="12"/>
  <c r="AB671" i="5"/>
  <c r="X96" i="12"/>
  <c r="W96" i="12"/>
  <c r="C563" i="6"/>
  <c r="H119" i="8"/>
  <c r="D285" i="12"/>
  <c r="E285" i="6"/>
  <c r="AB409" i="5"/>
  <c r="D230" i="12"/>
  <c r="H104" i="8"/>
  <c r="E230" i="6"/>
  <c r="C148" i="6"/>
  <c r="O148" i="5"/>
  <c r="T42" i="12"/>
  <c r="U42" i="12"/>
  <c r="V42" i="12"/>
  <c r="C395" i="6"/>
  <c r="AO207" i="12"/>
  <c r="M207" i="12"/>
  <c r="C207" i="12"/>
  <c r="O207" i="12"/>
  <c r="C632" i="6"/>
  <c r="O632" i="5"/>
  <c r="M163" i="12"/>
  <c r="O163" i="12"/>
  <c r="AO163" i="12"/>
  <c r="C163" i="12"/>
  <c r="V558" i="12"/>
  <c r="T558" i="12"/>
  <c r="U558" i="12"/>
  <c r="C457" i="6"/>
  <c r="C569" i="6"/>
  <c r="O569" i="5"/>
  <c r="C385" i="6"/>
  <c r="AB165" i="5"/>
  <c r="C241" i="6"/>
  <c r="O241" i="5"/>
  <c r="AB678" i="5"/>
  <c r="C566" i="12"/>
  <c r="AO566" i="12"/>
  <c r="O566" i="12"/>
  <c r="M566" i="12"/>
  <c r="M236" i="12"/>
  <c r="C236" i="12"/>
  <c r="O236" i="12"/>
  <c r="AO236" i="12"/>
  <c r="U688" i="12"/>
  <c r="T688" i="12"/>
  <c r="V688" i="12"/>
  <c r="X47" i="12"/>
  <c r="W47" i="12"/>
  <c r="U548" i="12"/>
  <c r="T548" i="12"/>
  <c r="V548" i="12"/>
  <c r="AB77" i="5"/>
  <c r="AB136" i="5"/>
  <c r="V309" i="12"/>
  <c r="T309" i="12"/>
  <c r="U309" i="12"/>
  <c r="AB227" i="5"/>
  <c r="M371" i="12"/>
  <c r="C371" i="12"/>
  <c r="AO371" i="12"/>
  <c r="O371" i="12"/>
  <c r="V529" i="12"/>
  <c r="T529" i="12"/>
  <c r="U529" i="12"/>
  <c r="AB718" i="5"/>
  <c r="X607" i="12"/>
  <c r="W607" i="12"/>
  <c r="AO501" i="12"/>
  <c r="C501" i="12"/>
  <c r="M501" i="12"/>
  <c r="O501" i="12"/>
  <c r="L89" i="12"/>
  <c r="K89" i="12" s="1"/>
  <c r="C659" i="6"/>
  <c r="C78" i="12"/>
  <c r="AO78" i="12"/>
  <c r="M78" i="12"/>
  <c r="O78" i="12"/>
  <c r="Z474" i="5"/>
  <c r="I474" i="12"/>
  <c r="AM474" i="5"/>
  <c r="L474" i="5"/>
  <c r="I474" i="5"/>
  <c r="I475" i="5" s="1"/>
  <c r="O475" i="5" s="1"/>
  <c r="AC474" i="5"/>
  <c r="X472" i="5"/>
  <c r="I200" i="12"/>
  <c r="X199" i="5"/>
  <c r="AM200" i="5"/>
  <c r="L200" i="5"/>
  <c r="Z200" i="5"/>
  <c r="I200" i="5"/>
  <c r="I201" i="5" s="1"/>
  <c r="AC200" i="5"/>
  <c r="C462" i="6"/>
  <c r="C633" i="6"/>
  <c r="O633" i="5"/>
  <c r="T626" i="12"/>
  <c r="U626" i="12"/>
  <c r="V626" i="12"/>
  <c r="C658" i="6"/>
  <c r="Y110" i="12"/>
  <c r="C578" i="6"/>
  <c r="C242" i="6"/>
  <c r="O242" i="5"/>
  <c r="C599" i="6"/>
  <c r="T253" i="12"/>
  <c r="V253" i="12"/>
  <c r="U253" i="12"/>
  <c r="AB397" i="5"/>
  <c r="C600" i="6"/>
  <c r="C598" i="6"/>
  <c r="C160" i="6"/>
  <c r="W619" i="12"/>
  <c r="X619" i="12"/>
  <c r="L418" i="12"/>
  <c r="K418" i="12" s="1"/>
  <c r="O601" i="12"/>
  <c r="N601" i="12" s="1"/>
  <c r="C601" i="12"/>
  <c r="AO601" i="12"/>
  <c r="M601" i="12"/>
  <c r="AB493" i="5"/>
  <c r="T211" i="12"/>
  <c r="V211" i="12"/>
  <c r="U211" i="12"/>
  <c r="AB239" i="5"/>
  <c r="W531" i="12"/>
  <c r="X531" i="12"/>
  <c r="AB120" i="5"/>
  <c r="AB179" i="5"/>
  <c r="M147" i="12"/>
  <c r="O147" i="12"/>
  <c r="C147" i="12"/>
  <c r="AO147" i="12"/>
  <c r="T488" i="12"/>
  <c r="V488" i="12"/>
  <c r="U488" i="12"/>
  <c r="Y508" i="12"/>
  <c r="L29" i="12"/>
  <c r="K29" i="12" s="1"/>
  <c r="L245" i="12"/>
  <c r="K245" i="12" s="1"/>
  <c r="C461" i="6"/>
  <c r="AB162" i="5"/>
  <c r="AB503" i="5"/>
  <c r="AB161" i="5"/>
  <c r="I637" i="5"/>
  <c r="I638" i="5" s="1"/>
  <c r="L637" i="5"/>
  <c r="X636" i="5"/>
  <c r="AM637" i="5"/>
  <c r="I637" i="12"/>
  <c r="Z637" i="5"/>
  <c r="AC637" i="5"/>
  <c r="O119" i="5"/>
  <c r="C119" i="6"/>
  <c r="T49" i="12"/>
  <c r="U49" i="12"/>
  <c r="V49" i="12"/>
  <c r="C561" i="6"/>
  <c r="AB588" i="5"/>
  <c r="AB667" i="5"/>
  <c r="AB381" i="5"/>
  <c r="AB148" i="5"/>
  <c r="AB207" i="5"/>
  <c r="AB507" i="5"/>
  <c r="M141" i="12"/>
  <c r="O141" i="12"/>
  <c r="C141" i="12"/>
  <c r="AO141" i="12"/>
  <c r="O117" i="12"/>
  <c r="AO117" i="12"/>
  <c r="M117" i="12"/>
  <c r="C117" i="12"/>
  <c r="T88" i="12"/>
  <c r="U88" i="12"/>
  <c r="V88" i="12"/>
  <c r="AB149" i="5"/>
  <c r="AB168" i="5"/>
  <c r="C141" i="6"/>
  <c r="O141" i="5"/>
  <c r="I259" i="12"/>
  <c r="L259" i="5"/>
  <c r="AM259" i="5"/>
  <c r="Z259" i="5"/>
  <c r="I259" i="5"/>
  <c r="I260" i="5" s="1"/>
  <c r="AC259" i="5"/>
  <c r="X247" i="5"/>
  <c r="O494" i="12"/>
  <c r="C494" i="12"/>
  <c r="AO494" i="12"/>
  <c r="M494" i="12"/>
  <c r="AB723" i="5"/>
  <c r="C132" i="6"/>
  <c r="O132" i="5"/>
  <c r="O148" i="12"/>
  <c r="C148" i="12"/>
  <c r="M148" i="12"/>
  <c r="AO148" i="12"/>
  <c r="Y148" i="12" s="1"/>
  <c r="AB624" i="5"/>
  <c r="AB163" i="5"/>
  <c r="C562" i="6"/>
  <c r="AB457" i="5"/>
  <c r="AB173" i="5"/>
  <c r="O569" i="12"/>
  <c r="M569" i="12"/>
  <c r="C569" i="12"/>
  <c r="AO569" i="12"/>
  <c r="C385" i="12"/>
  <c r="M385" i="12"/>
  <c r="O385" i="12"/>
  <c r="AO385" i="12"/>
  <c r="C150" i="6"/>
  <c r="O150" i="5"/>
  <c r="AO241" i="12"/>
  <c r="M241" i="12"/>
  <c r="O241" i="12"/>
  <c r="C241" i="12"/>
  <c r="O167" i="12"/>
  <c r="AO167" i="12"/>
  <c r="C167" i="12"/>
  <c r="M167" i="12"/>
  <c r="O678" i="12"/>
  <c r="N678" i="12" s="1"/>
  <c r="C678" i="12"/>
  <c r="M678" i="12"/>
  <c r="AO678" i="12"/>
  <c r="AB597" i="5"/>
  <c r="AM657" i="5"/>
  <c r="X656" i="5"/>
  <c r="Z657" i="5"/>
  <c r="I657" i="5"/>
  <c r="I658" i="5" s="1"/>
  <c r="I659" i="5" s="1"/>
  <c r="I660" i="5" s="1"/>
  <c r="I661" i="5" s="1"/>
  <c r="I657" i="12"/>
  <c r="L657" i="5"/>
  <c r="AC657" i="5"/>
  <c r="C191" i="6"/>
  <c r="C77" i="6"/>
  <c r="O77" i="5"/>
  <c r="L124" i="5"/>
  <c r="Z124" i="5"/>
  <c r="AM124" i="5"/>
  <c r="I124" i="12"/>
  <c r="AC124" i="5"/>
  <c r="X121" i="5"/>
  <c r="C136" i="12"/>
  <c r="AO136" i="12"/>
  <c r="O136" i="12"/>
  <c r="M136" i="12"/>
  <c r="U525" i="12"/>
  <c r="V525" i="12"/>
  <c r="T525" i="12"/>
  <c r="C718" i="6"/>
  <c r="O718" i="5"/>
  <c r="O452" i="12"/>
  <c r="M452" i="12"/>
  <c r="C452" i="12"/>
  <c r="AO452" i="12"/>
  <c r="M283" i="12"/>
  <c r="AO283" i="12"/>
  <c r="O283" i="12"/>
  <c r="C283" i="12"/>
  <c r="C717" i="6"/>
  <c r="O717" i="5"/>
  <c r="I559" i="5"/>
  <c r="I560" i="5" s="1"/>
  <c r="I561" i="5" s="1"/>
  <c r="I562" i="5" s="1"/>
  <c r="I563" i="5" s="1"/>
  <c r="I564" i="5" s="1"/>
  <c r="I565" i="5" s="1"/>
  <c r="I566" i="5" s="1"/>
  <c r="O566" i="5" s="1"/>
  <c r="I559" i="12"/>
  <c r="Z559" i="5"/>
  <c r="L559" i="5"/>
  <c r="AM559" i="5"/>
  <c r="AC559" i="5"/>
  <c r="X543" i="5"/>
  <c r="AO659" i="12"/>
  <c r="M659" i="12"/>
  <c r="C659" i="12"/>
  <c r="O659" i="12"/>
  <c r="V34" i="12"/>
  <c r="U34" i="12"/>
  <c r="T34" i="12"/>
  <c r="T363" i="12"/>
  <c r="U363" i="12"/>
  <c r="V363" i="12"/>
  <c r="O462" i="12"/>
  <c r="C462" i="12"/>
  <c r="AO462" i="12"/>
  <c r="M462" i="12"/>
  <c r="V495" i="12"/>
  <c r="T495" i="12"/>
  <c r="U495" i="12"/>
  <c r="I606" i="12"/>
  <c r="AM606" i="5"/>
  <c r="L606" i="5"/>
  <c r="I606" i="5"/>
  <c r="Z606" i="5"/>
  <c r="AC606" i="5"/>
  <c r="X604" i="5"/>
  <c r="AB194" i="5"/>
  <c r="X111" i="12"/>
  <c r="W111" i="12"/>
  <c r="AO578" i="12"/>
  <c r="C578" i="12"/>
  <c r="M578" i="12"/>
  <c r="O578" i="12"/>
  <c r="C466" i="6"/>
  <c r="L107" i="5"/>
  <c r="AM107" i="5"/>
  <c r="I107" i="12"/>
  <c r="Z107" i="5"/>
  <c r="I107" i="5"/>
  <c r="I108" i="5" s="1"/>
  <c r="AC107" i="5"/>
  <c r="X103" i="5"/>
  <c r="C235" i="6"/>
  <c r="O235" i="5"/>
  <c r="AB598" i="5"/>
  <c r="U516" i="12"/>
  <c r="V516" i="12"/>
  <c r="T516" i="12"/>
  <c r="AB601" i="5"/>
  <c r="W581" i="12"/>
  <c r="X581" i="12"/>
  <c r="C625" i="6"/>
  <c r="C179" i="12"/>
  <c r="M179" i="12"/>
  <c r="AO179" i="12"/>
  <c r="O179" i="12"/>
  <c r="O140" i="12"/>
  <c r="C140" i="12"/>
  <c r="AO140" i="12"/>
  <c r="M140" i="12"/>
  <c r="X509" i="12"/>
  <c r="W509" i="12"/>
  <c r="C383" i="6"/>
  <c r="O162" i="12"/>
  <c r="M162" i="12"/>
  <c r="C162" i="12"/>
  <c r="AO162" i="12"/>
  <c r="V273" i="12"/>
  <c r="T273" i="12"/>
  <c r="U273" i="12"/>
  <c r="O161" i="12"/>
  <c r="AO161" i="12"/>
  <c r="C161" i="12"/>
  <c r="M161" i="12"/>
  <c r="O119" i="12"/>
  <c r="M119" i="12"/>
  <c r="C119" i="12"/>
  <c r="AO119" i="12"/>
  <c r="AO572" i="12"/>
  <c r="C572" i="12"/>
  <c r="M572" i="12"/>
  <c r="O572" i="12"/>
  <c r="L47" i="12"/>
  <c r="K47" i="12" s="1"/>
  <c r="C500" i="6"/>
  <c r="C496" i="6"/>
  <c r="AB561" i="5"/>
  <c r="C588" i="6"/>
  <c r="U254" i="12"/>
  <c r="T254" i="12"/>
  <c r="V254" i="12"/>
  <c r="M381" i="12"/>
  <c r="O381" i="12"/>
  <c r="AO381" i="12"/>
  <c r="C381" i="12"/>
  <c r="C117" i="6"/>
  <c r="O117" i="5"/>
  <c r="X122" i="12"/>
  <c r="W122" i="12"/>
  <c r="AB117" i="5"/>
  <c r="AM477" i="5"/>
  <c r="L477" i="5"/>
  <c r="I477" i="5"/>
  <c r="I478" i="5" s="1"/>
  <c r="O478" i="5" s="1"/>
  <c r="X476" i="5"/>
  <c r="I477" i="12"/>
  <c r="Z477" i="5"/>
  <c r="AC477" i="5"/>
  <c r="AO507" i="12"/>
  <c r="Y507" i="12" s="1"/>
  <c r="C507" i="12"/>
  <c r="O507" i="12"/>
  <c r="M507" i="12"/>
  <c r="C149" i="6"/>
  <c r="O149" i="5"/>
  <c r="AO168" i="12"/>
  <c r="O168" i="12"/>
  <c r="M168" i="12"/>
  <c r="C168" i="12"/>
  <c r="X155" i="5"/>
  <c r="I156" i="12"/>
  <c r="I156" i="5"/>
  <c r="I157" i="5" s="1"/>
  <c r="I158" i="5" s="1"/>
  <c r="I159" i="5" s="1"/>
  <c r="I160" i="5" s="1"/>
  <c r="I161" i="5" s="1"/>
  <c r="I162" i="5" s="1"/>
  <c r="I163" i="5" s="1"/>
  <c r="I164" i="5" s="1"/>
  <c r="I165" i="5" s="1"/>
  <c r="I166" i="5" s="1"/>
  <c r="I167" i="5" s="1"/>
  <c r="I168" i="5" s="1"/>
  <c r="O168" i="5" s="1"/>
  <c r="L156" i="5"/>
  <c r="AM156" i="5"/>
  <c r="Z156" i="5"/>
  <c r="AC156" i="5"/>
  <c r="AB494" i="5"/>
  <c r="C411" i="12"/>
  <c r="AO411" i="12"/>
  <c r="M411" i="12"/>
  <c r="O411" i="12"/>
  <c r="U514" i="12"/>
  <c r="V514" i="12"/>
  <c r="T514" i="12"/>
  <c r="AB132" i="5"/>
  <c r="M196" i="12"/>
  <c r="O196" i="12"/>
  <c r="AO196" i="12"/>
  <c r="Y196" i="12" s="1"/>
  <c r="C196" i="12"/>
  <c r="U448" i="12"/>
  <c r="V448" i="12"/>
  <c r="T448" i="12"/>
  <c r="O632" i="12"/>
  <c r="M632" i="12"/>
  <c r="AO632" i="12"/>
  <c r="C632" i="12"/>
  <c r="C163" i="6"/>
  <c r="AO457" i="12"/>
  <c r="C457" i="12"/>
  <c r="O457" i="12"/>
  <c r="M457" i="12"/>
  <c r="C173" i="6"/>
  <c r="Y89" i="12"/>
  <c r="AB569" i="5"/>
  <c r="AO150" i="12"/>
  <c r="M150" i="12"/>
  <c r="O150" i="12"/>
  <c r="C150" i="12"/>
  <c r="W301" i="12"/>
  <c r="X301" i="12"/>
  <c r="C165" i="6"/>
  <c r="AB142" i="5"/>
  <c r="U691" i="12"/>
  <c r="T691" i="12"/>
  <c r="V691" i="12"/>
  <c r="AB241" i="5"/>
  <c r="C678" i="6"/>
  <c r="W349" i="12"/>
  <c r="X349" i="12"/>
  <c r="AO597" i="12"/>
  <c r="Y597" i="12" s="1"/>
  <c r="O597" i="12"/>
  <c r="M597" i="12"/>
  <c r="C597" i="12"/>
  <c r="O218" i="12"/>
  <c r="AO218" i="12"/>
  <c r="C218" i="12"/>
  <c r="M218" i="12"/>
  <c r="C441" i="6"/>
  <c r="AB191" i="5"/>
  <c r="X15" i="5"/>
  <c r="AM18" i="5"/>
  <c r="I18" i="5"/>
  <c r="I19" i="5" s="1"/>
  <c r="I20" i="5" s="1"/>
  <c r="I21" i="5" s="1"/>
  <c r="I22" i="5" s="1"/>
  <c r="I23" i="5" s="1"/>
  <c r="I24" i="5" s="1"/>
  <c r="Z18" i="5"/>
  <c r="X16" i="5"/>
  <c r="L18" i="5"/>
  <c r="X17" i="5"/>
  <c r="I18" i="12"/>
  <c r="AC18" i="5"/>
  <c r="AB501" i="5"/>
  <c r="V65" i="12"/>
  <c r="U65" i="12"/>
  <c r="T65" i="12"/>
  <c r="U547" i="12"/>
  <c r="T547" i="12"/>
  <c r="V547" i="12"/>
  <c r="L63" i="12"/>
  <c r="K63" i="12" s="1"/>
  <c r="AO633" i="12"/>
  <c r="C633" i="12"/>
  <c r="O633" i="12"/>
  <c r="M633" i="12"/>
  <c r="X102" i="12"/>
  <c r="W102" i="12"/>
  <c r="C194" i="12"/>
  <c r="O194" i="12"/>
  <c r="M194" i="12"/>
  <c r="AO194" i="12"/>
  <c r="V45" i="12"/>
  <c r="U45" i="12"/>
  <c r="T45" i="12"/>
  <c r="AB466" i="5"/>
  <c r="M129" i="12"/>
  <c r="O129" i="12"/>
  <c r="AO129" i="12"/>
  <c r="C129" i="12"/>
  <c r="O145" i="12"/>
  <c r="AO145" i="12"/>
  <c r="C145" i="12"/>
  <c r="M145" i="12"/>
  <c r="T53" i="12"/>
  <c r="V53" i="12"/>
  <c r="U53" i="12"/>
  <c r="Z711" i="5"/>
  <c r="X710" i="5"/>
  <c r="I711" i="5"/>
  <c r="I712" i="5" s="1"/>
  <c r="I713" i="5" s="1"/>
  <c r="O713" i="5" s="1"/>
  <c r="AM711" i="5"/>
  <c r="L711" i="5"/>
  <c r="I711" i="12"/>
  <c r="AC711" i="5"/>
  <c r="T175" i="12"/>
  <c r="V175" i="12"/>
  <c r="U175" i="12"/>
  <c r="AB599" i="5"/>
  <c r="AB79" i="5"/>
  <c r="AB235" i="5"/>
  <c r="T574" i="12"/>
  <c r="V574" i="12"/>
  <c r="U574" i="12"/>
  <c r="AO397" i="12"/>
  <c r="C397" i="12"/>
  <c r="M397" i="12"/>
  <c r="O397" i="12"/>
  <c r="AB600" i="5"/>
  <c r="O598" i="12"/>
  <c r="AO598" i="12"/>
  <c r="Y598" i="12" s="1"/>
  <c r="C598" i="12"/>
  <c r="M598" i="12"/>
  <c r="V35" i="12"/>
  <c r="T35" i="12"/>
  <c r="U35" i="12"/>
  <c r="M625" i="12"/>
  <c r="AO625" i="12"/>
  <c r="O625" i="12"/>
  <c r="C625" i="12"/>
  <c r="C493" i="6"/>
  <c r="O493" i="5"/>
  <c r="AB244" i="5"/>
  <c r="O133" i="12"/>
  <c r="AO133" i="12"/>
  <c r="Y133" i="12" s="1"/>
  <c r="C133" i="12"/>
  <c r="M133" i="12"/>
  <c r="C120" i="12"/>
  <c r="M120" i="12"/>
  <c r="AO120" i="12"/>
  <c r="O120" i="12"/>
  <c r="N120" i="12" s="1"/>
  <c r="C464" i="12"/>
  <c r="AO464" i="12"/>
  <c r="M464" i="12"/>
  <c r="O464" i="12"/>
  <c r="N464" i="12" s="1"/>
  <c r="C502" i="6"/>
  <c r="C143" i="12"/>
  <c r="AO143" i="12"/>
  <c r="O143" i="12"/>
  <c r="M143" i="12"/>
  <c r="C140" i="6"/>
  <c r="O140" i="5"/>
  <c r="V404" i="12"/>
  <c r="T404" i="12"/>
  <c r="U404" i="12"/>
  <c r="C503" i="6"/>
  <c r="C673" i="6"/>
  <c r="O673" i="5"/>
  <c r="V340" i="12"/>
  <c r="U340" i="12"/>
  <c r="T340" i="12"/>
  <c r="AB119" i="5"/>
  <c r="C621" i="6"/>
  <c r="O621" i="5"/>
  <c r="C572" i="6"/>
  <c r="O572" i="5"/>
  <c r="C496" i="12"/>
  <c r="O496" i="12"/>
  <c r="M496" i="12"/>
  <c r="AO496" i="12"/>
  <c r="M577" i="12"/>
  <c r="O577" i="12"/>
  <c r="C577" i="12"/>
  <c r="AO577" i="12"/>
  <c r="Z311" i="5"/>
  <c r="I311" i="5"/>
  <c r="I312" i="5" s="1"/>
  <c r="I313" i="5" s="1"/>
  <c r="I311" i="12"/>
  <c r="L311" i="5"/>
  <c r="AM311" i="5"/>
  <c r="AC311" i="5"/>
  <c r="X300" i="5"/>
  <c r="T181" i="12"/>
  <c r="V181" i="12"/>
  <c r="U181" i="12"/>
  <c r="AB411" i="5"/>
  <c r="X721" i="5"/>
  <c r="Z722" i="5"/>
  <c r="L722" i="5"/>
  <c r="I722" i="5"/>
  <c r="I723" i="5" s="1"/>
  <c r="O723" i="5" s="1"/>
  <c r="I722" i="12"/>
  <c r="AM722" i="5"/>
  <c r="AC722" i="5"/>
  <c r="H47" i="8"/>
  <c r="E81" i="6"/>
  <c r="D81" i="12"/>
  <c r="C196" i="6"/>
  <c r="Y81" i="12"/>
  <c r="M463" i="12"/>
  <c r="AO463" i="12"/>
  <c r="C463" i="12"/>
  <c r="O463" i="12"/>
  <c r="U302" i="12"/>
  <c r="V302" i="12"/>
  <c r="T302" i="12"/>
  <c r="AB632" i="5"/>
  <c r="W366" i="12"/>
  <c r="X366" i="12"/>
  <c r="AO173" i="12"/>
  <c r="M173" i="12"/>
  <c r="O173" i="12"/>
  <c r="C173" i="12"/>
  <c r="W90" i="12"/>
  <c r="X90" i="12"/>
  <c r="AB385" i="5"/>
  <c r="X222" i="12"/>
  <c r="W222" i="12"/>
  <c r="W350" i="12"/>
  <c r="X350" i="12"/>
  <c r="AB224" i="5"/>
  <c r="C218" i="6"/>
  <c r="O218" i="5"/>
  <c r="AO441" i="12"/>
  <c r="M441" i="12"/>
  <c r="O441" i="12"/>
  <c r="C441" i="12"/>
  <c r="V519" i="12"/>
  <c r="U519" i="12"/>
  <c r="T519" i="12"/>
  <c r="V408" i="12"/>
  <c r="U408" i="12"/>
  <c r="T408" i="12"/>
  <c r="W713" i="12"/>
  <c r="X713" i="12"/>
  <c r="V318" i="12"/>
  <c r="U318" i="12"/>
  <c r="T318" i="12"/>
  <c r="W661" i="12"/>
  <c r="X661" i="12"/>
  <c r="T358" i="12"/>
  <c r="U358" i="12"/>
  <c r="V358" i="12"/>
  <c r="AB452" i="5"/>
  <c r="AB283" i="5"/>
  <c r="L686" i="12"/>
  <c r="K686" i="12" s="1"/>
  <c r="AB178" i="5"/>
  <c r="AO467" i="12"/>
  <c r="C467" i="12"/>
  <c r="M467" i="12"/>
  <c r="O467" i="12"/>
  <c r="C401" i="12"/>
  <c r="O401" i="12"/>
  <c r="AO401" i="12"/>
  <c r="M401" i="12"/>
  <c r="C501" i="6"/>
  <c r="M166" i="12"/>
  <c r="O166" i="12"/>
  <c r="AO166" i="12"/>
  <c r="C166" i="12"/>
  <c r="AB498" i="5"/>
  <c r="V123" i="12"/>
  <c r="T123" i="12"/>
  <c r="U123" i="12"/>
  <c r="AB394" i="5"/>
  <c r="AB633" i="5"/>
  <c r="X101" i="12"/>
  <c r="W101" i="12"/>
  <c r="Z596" i="5"/>
  <c r="I596" i="5"/>
  <c r="I597" i="5" s="1"/>
  <c r="I598" i="5" s="1"/>
  <c r="I599" i="5" s="1"/>
  <c r="I600" i="5" s="1"/>
  <c r="I601" i="5" s="1"/>
  <c r="I602" i="5" s="1"/>
  <c r="I603" i="5" s="1"/>
  <c r="O603" i="5" s="1"/>
  <c r="X595" i="5"/>
  <c r="L596" i="5"/>
  <c r="AM596" i="5"/>
  <c r="I596" i="12"/>
  <c r="AC596" i="5"/>
  <c r="M466" i="12"/>
  <c r="O466" i="12"/>
  <c r="N466" i="12" s="1"/>
  <c r="C466" i="12"/>
  <c r="AO466" i="12"/>
  <c r="H239" i="8"/>
  <c r="D695" i="12"/>
  <c r="E695" i="6"/>
  <c r="Y418" i="12"/>
  <c r="C130" i="12"/>
  <c r="M130" i="12"/>
  <c r="O130" i="12"/>
  <c r="AO130" i="12"/>
  <c r="Y130" i="12" s="1"/>
  <c r="C79" i="6"/>
  <c r="O79" i="5"/>
  <c r="C235" i="12"/>
  <c r="AO235" i="12"/>
  <c r="Y235" i="12" s="1"/>
  <c r="M235" i="12"/>
  <c r="O235" i="12"/>
  <c r="W40" i="12"/>
  <c r="X40" i="12"/>
  <c r="AB284" i="5"/>
  <c r="D91" i="12"/>
  <c r="E91" i="6"/>
  <c r="H53" i="8"/>
  <c r="C601" i="6"/>
  <c r="O601" i="5"/>
  <c r="W320" i="12"/>
  <c r="X320" i="12"/>
  <c r="AB625" i="5"/>
  <c r="T331" i="12"/>
  <c r="U331" i="12"/>
  <c r="V331" i="12"/>
  <c r="AO493" i="12"/>
  <c r="M493" i="12"/>
  <c r="C493" i="12"/>
  <c r="O493" i="12"/>
  <c r="N493" i="12" s="1"/>
  <c r="O21" i="12"/>
  <c r="AO21" i="12"/>
  <c r="Y21" i="12" s="1"/>
  <c r="C21" i="12"/>
  <c r="M21" i="12"/>
  <c r="M244" i="12"/>
  <c r="AO244" i="12"/>
  <c r="C244" i="12"/>
  <c r="O244" i="12"/>
  <c r="N244" i="12" s="1"/>
  <c r="C120" i="6"/>
  <c r="O120" i="5"/>
  <c r="AB464" i="5"/>
  <c r="V66" i="12"/>
  <c r="U66" i="12"/>
  <c r="T66" i="12"/>
  <c r="O502" i="12"/>
  <c r="M502" i="12"/>
  <c r="AO502" i="12"/>
  <c r="C502" i="12"/>
  <c r="AB602" i="5"/>
  <c r="C143" i="6"/>
  <c r="O143" i="5"/>
  <c r="U282" i="12"/>
  <c r="T282" i="12"/>
  <c r="V282" i="12"/>
  <c r="U60" i="12"/>
  <c r="V60" i="12"/>
  <c r="T60" i="12"/>
  <c r="Y415" i="12"/>
  <c r="AB383" i="5"/>
  <c r="O492" i="12"/>
  <c r="M492" i="12"/>
  <c r="C492" i="12"/>
  <c r="AO492" i="12"/>
  <c r="T536" i="12"/>
  <c r="U536" i="12"/>
  <c r="V536" i="12"/>
  <c r="U214" i="12"/>
  <c r="T214" i="12"/>
  <c r="V214" i="12"/>
  <c r="AB673" i="5"/>
  <c r="L91" i="12"/>
  <c r="K91" i="12" s="1"/>
  <c r="AB621" i="5"/>
  <c r="AB572" i="5"/>
  <c r="V260" i="12"/>
  <c r="U260" i="12"/>
  <c r="T260" i="12"/>
  <c r="AB500" i="5"/>
  <c r="X176" i="5"/>
  <c r="L177" i="5"/>
  <c r="I177" i="12"/>
  <c r="Z177" i="5"/>
  <c r="AM177" i="5"/>
  <c r="I177" i="5"/>
  <c r="I178" i="5" s="1"/>
  <c r="I179" i="5" s="1"/>
  <c r="I180" i="5" s="1"/>
  <c r="I181" i="5" s="1"/>
  <c r="AC177" i="5"/>
  <c r="AO561" i="12"/>
  <c r="O561" i="12"/>
  <c r="C561" i="12"/>
  <c r="M561" i="12"/>
  <c r="O588" i="12"/>
  <c r="C588" i="12"/>
  <c r="AO588" i="12"/>
  <c r="M588" i="12"/>
  <c r="C577" i="6"/>
  <c r="C381" i="6"/>
  <c r="Y397" i="12" l="1"/>
  <c r="N194" i="12"/>
  <c r="Y600" i="12"/>
  <c r="W600" i="12" s="1"/>
  <c r="Y563" i="12"/>
  <c r="N452" i="12"/>
  <c r="N217" i="12"/>
  <c r="Y191" i="12"/>
  <c r="Y465" i="12"/>
  <c r="N395" i="12"/>
  <c r="N146" i="12"/>
  <c r="N576" i="12"/>
  <c r="N487" i="12"/>
  <c r="N389" i="12"/>
  <c r="N393" i="12"/>
  <c r="Y187" i="12"/>
  <c r="Y621" i="12"/>
  <c r="N602" i="12"/>
  <c r="Y195" i="12"/>
  <c r="N140" i="12"/>
  <c r="Y220" i="12"/>
  <c r="N205" i="12"/>
  <c r="N478" i="12"/>
  <c r="Y225" i="12"/>
  <c r="N186" i="12"/>
  <c r="N165" i="12"/>
  <c r="N463" i="12"/>
  <c r="N143" i="12"/>
  <c r="Y147" i="12"/>
  <c r="Y239" i="12"/>
  <c r="Y409" i="12"/>
  <c r="N164" i="12"/>
  <c r="Y449" i="12"/>
  <c r="N129" i="12"/>
  <c r="Y168" i="12"/>
  <c r="N385" i="12"/>
  <c r="Y371" i="12"/>
  <c r="X371" i="12" s="1"/>
  <c r="N667" i="12"/>
  <c r="Y461" i="12"/>
  <c r="Y599" i="12"/>
  <c r="N312" i="12"/>
  <c r="N188" i="12"/>
  <c r="N457" i="12"/>
  <c r="N119" i="12"/>
  <c r="Y136" i="12"/>
  <c r="N314" i="12"/>
  <c r="N560" i="12"/>
  <c r="Y347" i="12"/>
  <c r="X347" i="12" s="1"/>
  <c r="Y570" i="12"/>
  <c r="Y502" i="12"/>
  <c r="N462" i="12"/>
  <c r="Y167" i="12"/>
  <c r="W167" i="12" s="1"/>
  <c r="N167" i="12"/>
  <c r="N600" i="12"/>
  <c r="N284" i="12"/>
  <c r="Y652" i="12"/>
  <c r="Y400" i="12"/>
  <c r="Y189" i="12"/>
  <c r="N597" i="12"/>
  <c r="Y649" i="12"/>
  <c r="Y198" i="12"/>
  <c r="Y666" i="12"/>
  <c r="Y79" i="12"/>
  <c r="N241" i="12"/>
  <c r="N157" i="12"/>
  <c r="Y434" i="12"/>
  <c r="X434" i="12" s="1"/>
  <c r="Y383" i="12"/>
  <c r="N588" i="12"/>
  <c r="Y78" i="12"/>
  <c r="Y207" i="12"/>
  <c r="Y503" i="12"/>
  <c r="N465" i="12"/>
  <c r="N116" i="12"/>
  <c r="N494" i="12"/>
  <c r="N159" i="12"/>
  <c r="Y243" i="12"/>
  <c r="N178" i="12"/>
  <c r="N594" i="12"/>
  <c r="N193" i="12"/>
  <c r="N565" i="12"/>
  <c r="Y573" i="12"/>
  <c r="Y670" i="12"/>
  <c r="Y492" i="12"/>
  <c r="Y467" i="12"/>
  <c r="N173" i="12"/>
  <c r="Y577" i="12"/>
  <c r="Y129" i="12"/>
  <c r="N168" i="12"/>
  <c r="N371" i="12"/>
  <c r="N599" i="12"/>
  <c r="Y723" i="12"/>
  <c r="N719" i="12"/>
  <c r="Y624" i="12"/>
  <c r="N627" i="12"/>
  <c r="Y653" i="12"/>
  <c r="X653" i="12" s="1"/>
  <c r="N481" i="12"/>
  <c r="N297" i="12"/>
  <c r="N139" i="12"/>
  <c r="Y229" i="12"/>
  <c r="Y454" i="12"/>
  <c r="N137" i="12"/>
  <c r="Y498" i="12"/>
  <c r="N631" i="12"/>
  <c r="N243" i="12"/>
  <c r="N224" i="12"/>
  <c r="Y142" i="12"/>
  <c r="Y639" i="12"/>
  <c r="N283" i="12"/>
  <c r="Y149" i="12"/>
  <c r="Y561" i="12"/>
  <c r="N633" i="12"/>
  <c r="Y659" i="12"/>
  <c r="O225" i="5"/>
  <c r="N160" i="12"/>
  <c r="Y651" i="12"/>
  <c r="N433" i="12"/>
  <c r="Y206" i="12"/>
  <c r="N573" i="12"/>
  <c r="O571" i="5"/>
  <c r="Y151" i="12"/>
  <c r="N133" i="12"/>
  <c r="N658" i="12"/>
  <c r="Y717" i="12"/>
  <c r="Y432" i="12"/>
  <c r="N22" i="12"/>
  <c r="N579" i="12"/>
  <c r="Y457" i="12"/>
  <c r="N117" i="12"/>
  <c r="Y601" i="12"/>
  <c r="Y459" i="12"/>
  <c r="N138" i="12"/>
  <c r="Y164" i="12"/>
  <c r="N228" i="12"/>
  <c r="N376" i="12"/>
  <c r="Y192" i="12"/>
  <c r="N180" i="12"/>
  <c r="Y680" i="12"/>
  <c r="N496" i="12"/>
  <c r="Y603" i="12"/>
  <c r="N666" i="12"/>
  <c r="N344" i="12"/>
  <c r="N394" i="12"/>
  <c r="N569" i="12"/>
  <c r="N236" i="12"/>
  <c r="N207" i="12"/>
  <c r="N671" i="12"/>
  <c r="Y487" i="12"/>
  <c r="Y393" i="12"/>
  <c r="N343" i="12"/>
  <c r="Y500" i="12"/>
  <c r="N191" i="12"/>
  <c r="N132" i="12"/>
  <c r="Y588" i="12"/>
  <c r="X588" i="12" s="1"/>
  <c r="N21" i="12"/>
  <c r="N578" i="12"/>
  <c r="N141" i="12"/>
  <c r="Y671" i="12"/>
  <c r="N458" i="12"/>
  <c r="Y677" i="12"/>
  <c r="N187" i="12"/>
  <c r="Y284" i="12"/>
  <c r="Y675" i="12"/>
  <c r="Y718" i="12"/>
  <c r="Y77" i="12"/>
  <c r="N679" i="12"/>
  <c r="Y625" i="12"/>
  <c r="N145" i="12"/>
  <c r="N500" i="12"/>
  <c r="Y463" i="12"/>
  <c r="X463" i="12" s="1"/>
  <c r="Y179" i="12"/>
  <c r="N566" i="12"/>
  <c r="Y165" i="12"/>
  <c r="Y157" i="12"/>
  <c r="Y186" i="12"/>
  <c r="N158" i="12"/>
  <c r="N431" i="12"/>
  <c r="N79" i="12"/>
  <c r="N216" i="12"/>
  <c r="Y456" i="12"/>
  <c r="X130" i="12"/>
  <c r="W130" i="12"/>
  <c r="AO177" i="12"/>
  <c r="C177" i="12"/>
  <c r="M177" i="12"/>
  <c r="M176" i="12" s="1"/>
  <c r="O177" i="12"/>
  <c r="N492" i="12"/>
  <c r="Y493" i="12"/>
  <c r="N130" i="12"/>
  <c r="E218" i="6"/>
  <c r="D218" i="12"/>
  <c r="E723" i="6"/>
  <c r="D723" i="12"/>
  <c r="E673" i="6"/>
  <c r="D673" i="12"/>
  <c r="Y145" i="12"/>
  <c r="AB18" i="5"/>
  <c r="N218" i="12"/>
  <c r="Y632" i="12"/>
  <c r="O156" i="5"/>
  <c r="C156" i="6"/>
  <c r="U122" i="12"/>
  <c r="T122" i="12"/>
  <c r="V122" i="12"/>
  <c r="Y119" i="12"/>
  <c r="X179" i="12"/>
  <c r="W179" i="12"/>
  <c r="C559" i="6"/>
  <c r="O559" i="5"/>
  <c r="M657" i="12"/>
  <c r="M656" i="12" s="1"/>
  <c r="AO657" i="12"/>
  <c r="C657" i="12"/>
  <c r="O657" i="12"/>
  <c r="Y494" i="12"/>
  <c r="O637" i="12"/>
  <c r="C637" i="12"/>
  <c r="M637" i="12"/>
  <c r="M636" i="12" s="1"/>
  <c r="AO637" i="12"/>
  <c r="O474" i="12"/>
  <c r="C474" i="12"/>
  <c r="AO474" i="12"/>
  <c r="M474" i="12"/>
  <c r="M472" i="12" s="1"/>
  <c r="Y501" i="12"/>
  <c r="E569" i="6"/>
  <c r="D569" i="12"/>
  <c r="L640" i="5"/>
  <c r="Z640" i="5"/>
  <c r="AC640" i="5"/>
  <c r="I640" i="12"/>
  <c r="AM640" i="5"/>
  <c r="R215" i="8"/>
  <c r="N503" i="12"/>
  <c r="O167" i="5"/>
  <c r="O491" i="12"/>
  <c r="AO491" i="12"/>
  <c r="C491" i="12"/>
  <c r="M491" i="12"/>
  <c r="M490" i="12" s="1"/>
  <c r="AM134" i="5"/>
  <c r="L134" i="5"/>
  <c r="I134" i="12"/>
  <c r="R77" i="8"/>
  <c r="Z134" i="5"/>
  <c r="AC134" i="5"/>
  <c r="E133" i="6"/>
  <c r="D133" i="12"/>
  <c r="V403" i="12"/>
  <c r="U403" i="12"/>
  <c r="T403" i="12"/>
  <c r="Y242" i="12"/>
  <c r="I221" i="12"/>
  <c r="Z221" i="5"/>
  <c r="AM221" i="5"/>
  <c r="L221" i="5"/>
  <c r="R101" i="8"/>
  <c r="AC221" i="5"/>
  <c r="M620" i="12"/>
  <c r="M618" i="12" s="1"/>
  <c r="O620" i="12"/>
  <c r="C620" i="12"/>
  <c r="AO620" i="12"/>
  <c r="Y205" i="12"/>
  <c r="Y146" i="12"/>
  <c r="O147" i="5"/>
  <c r="N118" i="12"/>
  <c r="L184" i="5"/>
  <c r="R92" i="8"/>
  <c r="Z184" i="5"/>
  <c r="AM184" i="5"/>
  <c r="I184" i="12"/>
  <c r="AC184" i="5"/>
  <c r="AB665" i="5"/>
  <c r="AB660" i="5" s="1"/>
  <c r="C233" i="8" s="1"/>
  <c r="AB405" i="5"/>
  <c r="AB402" i="5" s="1"/>
  <c r="Y193" i="12"/>
  <c r="AB644" i="5"/>
  <c r="AB643" i="5" s="1"/>
  <c r="O158" i="5"/>
  <c r="O593" i="5"/>
  <c r="I594" i="5"/>
  <c r="O594" i="5" s="1"/>
  <c r="N281" i="12"/>
  <c r="D244" i="12"/>
  <c r="E244" i="6"/>
  <c r="D570" i="12"/>
  <c r="E570" i="6"/>
  <c r="AO153" i="12"/>
  <c r="M153" i="12"/>
  <c r="M152" i="12" s="1"/>
  <c r="C153" i="12"/>
  <c r="O153" i="12"/>
  <c r="I530" i="12"/>
  <c r="AM530" i="5"/>
  <c r="R179" i="8"/>
  <c r="L530" i="5"/>
  <c r="Z530" i="5"/>
  <c r="AC530" i="5"/>
  <c r="N432" i="12"/>
  <c r="N347" i="12"/>
  <c r="O144" i="5"/>
  <c r="T655" i="12"/>
  <c r="V655" i="12"/>
  <c r="U655" i="12"/>
  <c r="V63" i="12"/>
  <c r="U63" i="12"/>
  <c r="T63" i="12"/>
  <c r="O170" i="5"/>
  <c r="C170" i="6"/>
  <c r="L715" i="5"/>
  <c r="AM715" i="5"/>
  <c r="R251" i="8"/>
  <c r="AC715" i="5"/>
  <c r="Z715" i="5"/>
  <c r="I715" i="12"/>
  <c r="AB115" i="5"/>
  <c r="AB114" i="5" s="1"/>
  <c r="E236" i="6"/>
  <c r="D236" i="12"/>
  <c r="O602" i="5"/>
  <c r="V654" i="12"/>
  <c r="U654" i="12"/>
  <c r="T654" i="12"/>
  <c r="L567" i="5"/>
  <c r="AM567" i="5"/>
  <c r="AC567" i="5"/>
  <c r="Z567" i="5"/>
  <c r="R185" i="8"/>
  <c r="I567" i="12"/>
  <c r="T30" i="12"/>
  <c r="U30" i="12"/>
  <c r="V30" i="12"/>
  <c r="Y602" i="12"/>
  <c r="O672" i="5"/>
  <c r="AB215" i="5"/>
  <c r="AB212" i="5" s="1"/>
  <c r="O21" i="5"/>
  <c r="AB630" i="5"/>
  <c r="AB628" i="5" s="1"/>
  <c r="N195" i="12"/>
  <c r="W588" i="12"/>
  <c r="W133" i="12"/>
  <c r="X133" i="12"/>
  <c r="AO711" i="12"/>
  <c r="C711" i="12"/>
  <c r="M711" i="12"/>
  <c r="M710" i="12" s="1"/>
  <c r="O711" i="12"/>
  <c r="I25" i="5"/>
  <c r="O24" i="5"/>
  <c r="E168" i="6"/>
  <c r="D168" i="12"/>
  <c r="X507" i="12"/>
  <c r="W507" i="12"/>
  <c r="O606" i="5"/>
  <c r="C606" i="6"/>
  <c r="AB559" i="5"/>
  <c r="AB543" i="5" s="1"/>
  <c r="I662" i="5"/>
  <c r="O661" i="5"/>
  <c r="Y569" i="12"/>
  <c r="W601" i="12"/>
  <c r="X601" i="12"/>
  <c r="W110" i="12"/>
  <c r="X110" i="12"/>
  <c r="I202" i="5"/>
  <c r="O201" i="5"/>
  <c r="AB474" i="5"/>
  <c r="AB472" i="5" s="1"/>
  <c r="W503" i="12"/>
  <c r="X503" i="12"/>
  <c r="W599" i="12"/>
  <c r="X599" i="12"/>
  <c r="T695" i="12"/>
  <c r="V695" i="12"/>
  <c r="U695" i="12"/>
  <c r="O495" i="5"/>
  <c r="I496" i="5"/>
  <c r="AB135" i="5"/>
  <c r="AB134" i="5" s="1"/>
  <c r="X465" i="12"/>
  <c r="W465" i="12"/>
  <c r="O127" i="5"/>
  <c r="C127" i="6"/>
  <c r="E118" i="6"/>
  <c r="D118" i="12"/>
  <c r="O620" i="5"/>
  <c r="C620" i="6"/>
  <c r="W653" i="12"/>
  <c r="C338" i="6"/>
  <c r="O338" i="5"/>
  <c r="AB185" i="5"/>
  <c r="AB184" i="5" s="1"/>
  <c r="Z580" i="5"/>
  <c r="L580" i="5"/>
  <c r="AC580" i="5"/>
  <c r="I580" i="12"/>
  <c r="AM580" i="5"/>
  <c r="R188" i="8"/>
  <c r="Y506" i="12"/>
  <c r="I643" i="12"/>
  <c r="R218" i="8"/>
  <c r="AM643" i="5"/>
  <c r="L643" i="5"/>
  <c r="AC643" i="5"/>
  <c r="Z643" i="5"/>
  <c r="M592" i="12"/>
  <c r="M591" i="12" s="1"/>
  <c r="O592" i="12"/>
  <c r="C592" i="12"/>
  <c r="AO592" i="12"/>
  <c r="AM237" i="5"/>
  <c r="I237" i="12"/>
  <c r="Z237" i="5"/>
  <c r="R110" i="8"/>
  <c r="L237" i="5"/>
  <c r="AC237" i="5"/>
  <c r="X393" i="12"/>
  <c r="W393" i="12"/>
  <c r="W347" i="12"/>
  <c r="W434" i="12"/>
  <c r="AB170" i="5"/>
  <c r="AB169" i="5" s="1"/>
  <c r="I714" i="5"/>
  <c r="O714" i="5" s="1"/>
  <c r="W29" i="12"/>
  <c r="X29" i="12"/>
  <c r="O568" i="5"/>
  <c r="C568" i="6"/>
  <c r="W603" i="12"/>
  <c r="X603" i="12"/>
  <c r="I74" i="12"/>
  <c r="AM74" i="5"/>
  <c r="Z74" i="5"/>
  <c r="R44" i="8"/>
  <c r="L74" i="5"/>
  <c r="AC74" i="5"/>
  <c r="O492" i="5"/>
  <c r="X284" i="12"/>
  <c r="W284" i="12"/>
  <c r="X79" i="12"/>
  <c r="W79" i="12"/>
  <c r="V473" i="12"/>
  <c r="U473" i="12"/>
  <c r="T473" i="12"/>
  <c r="O219" i="5"/>
  <c r="I220" i="5"/>
  <c r="O220" i="5" s="1"/>
  <c r="X400" i="12"/>
  <c r="W400" i="12"/>
  <c r="I635" i="5"/>
  <c r="O635" i="5" s="1"/>
  <c r="O634" i="5"/>
  <c r="T725" i="12"/>
  <c r="V725" i="12"/>
  <c r="U725" i="12"/>
  <c r="W195" i="12"/>
  <c r="X195" i="12"/>
  <c r="C177" i="6"/>
  <c r="O177" i="5"/>
  <c r="T713" i="12"/>
  <c r="V713" i="12"/>
  <c r="U713" i="12"/>
  <c r="Z176" i="5"/>
  <c r="L176" i="5"/>
  <c r="I176" i="12"/>
  <c r="AM176" i="5"/>
  <c r="R89" i="8"/>
  <c r="AC176" i="5"/>
  <c r="M596" i="12"/>
  <c r="M595" i="12" s="1"/>
  <c r="C596" i="12"/>
  <c r="O596" i="12"/>
  <c r="AO596" i="12"/>
  <c r="Y401" i="12"/>
  <c r="AB722" i="5"/>
  <c r="AB721" i="5" s="1"/>
  <c r="O311" i="5"/>
  <c r="C311" i="6"/>
  <c r="C711" i="6"/>
  <c r="O711" i="5"/>
  <c r="X89" i="12"/>
  <c r="W89" i="12"/>
  <c r="N632" i="12"/>
  <c r="AO156" i="12"/>
  <c r="O156" i="12"/>
  <c r="M156" i="12"/>
  <c r="M155" i="12" s="1"/>
  <c r="C156" i="12"/>
  <c r="D117" i="12"/>
  <c r="E117" i="6"/>
  <c r="N162" i="12"/>
  <c r="E235" i="6"/>
  <c r="D235" i="12"/>
  <c r="O559" i="12"/>
  <c r="C559" i="12"/>
  <c r="M559" i="12"/>
  <c r="M543" i="12" s="1"/>
  <c r="AO559" i="12"/>
  <c r="E718" i="6"/>
  <c r="D718" i="12"/>
  <c r="C124" i="12"/>
  <c r="M124" i="12"/>
  <c r="M121" i="12" s="1"/>
  <c r="O124" i="12"/>
  <c r="AO124" i="12"/>
  <c r="AB657" i="5"/>
  <c r="AB656" i="5" s="1"/>
  <c r="L636" i="5"/>
  <c r="I636" i="12"/>
  <c r="Z636" i="5"/>
  <c r="AC636" i="5"/>
  <c r="AM636" i="5"/>
  <c r="R212" i="8"/>
  <c r="O658" i="5"/>
  <c r="AB200" i="5"/>
  <c r="AB199" i="5" s="1"/>
  <c r="N78" i="12"/>
  <c r="U607" i="12"/>
  <c r="T607" i="12"/>
  <c r="V607" i="12"/>
  <c r="Y566" i="12"/>
  <c r="Y667" i="12"/>
  <c r="AO642" i="12"/>
  <c r="C642" i="12"/>
  <c r="M642" i="12"/>
  <c r="M640" i="12" s="1"/>
  <c r="O642" i="12"/>
  <c r="Y217" i="12"/>
  <c r="W717" i="12"/>
  <c r="X717" i="12"/>
  <c r="V701" i="12"/>
  <c r="T701" i="12"/>
  <c r="U701" i="12"/>
  <c r="AB491" i="5"/>
  <c r="AB490" i="5" s="1"/>
  <c r="AO135" i="12"/>
  <c r="C135" i="12"/>
  <c r="M135" i="12"/>
  <c r="M134" i="12" s="1"/>
  <c r="O135" i="12"/>
  <c r="AO127" i="12"/>
  <c r="M127" i="12"/>
  <c r="M126" i="12" s="1"/>
  <c r="O127" i="12"/>
  <c r="C127" i="12"/>
  <c r="Y240" i="12"/>
  <c r="Y594" i="12"/>
  <c r="D229" i="12"/>
  <c r="E229" i="6"/>
  <c r="W409" i="12"/>
  <c r="X409" i="12"/>
  <c r="O622" i="5"/>
  <c r="I623" i="5"/>
  <c r="O226" i="5"/>
  <c r="AB338" i="5"/>
  <c r="AB319" i="5" s="1"/>
  <c r="V353" i="12"/>
  <c r="T353" i="12"/>
  <c r="U353" i="12"/>
  <c r="C185" i="6"/>
  <c r="O185" i="5"/>
  <c r="U702" i="12"/>
  <c r="T702" i="12"/>
  <c r="V702" i="12"/>
  <c r="O592" i="5"/>
  <c r="C592" i="6"/>
  <c r="C238" i="6"/>
  <c r="O238" i="5"/>
  <c r="L295" i="5"/>
  <c r="AM295" i="5"/>
  <c r="Z295" i="5"/>
  <c r="I295" i="12"/>
  <c r="R125" i="8"/>
  <c r="AC295" i="5"/>
  <c r="I537" i="5"/>
  <c r="O536" i="5"/>
  <c r="U246" i="12"/>
  <c r="V246" i="12"/>
  <c r="T246" i="12"/>
  <c r="Y139" i="12"/>
  <c r="X229" i="12"/>
  <c r="W229" i="12"/>
  <c r="I172" i="5"/>
  <c r="O171" i="5"/>
  <c r="Y623" i="12"/>
  <c r="W571" i="12"/>
  <c r="X571" i="12"/>
  <c r="T544" i="12"/>
  <c r="V544" i="12"/>
  <c r="U544" i="12"/>
  <c r="M714" i="12"/>
  <c r="M712" i="12" s="1"/>
  <c r="C714" i="12"/>
  <c r="O714" i="12"/>
  <c r="AO714" i="12"/>
  <c r="M234" i="12"/>
  <c r="M233" i="12" s="1"/>
  <c r="C234" i="12"/>
  <c r="AO234" i="12"/>
  <c r="O234" i="12"/>
  <c r="I575" i="5"/>
  <c r="O574" i="5"/>
  <c r="Y144" i="12"/>
  <c r="Y469" i="12"/>
  <c r="O189" i="5"/>
  <c r="Y673" i="12"/>
  <c r="O22" i="5"/>
  <c r="N456" i="12"/>
  <c r="T248" i="12"/>
  <c r="U248" i="12"/>
  <c r="V248" i="12"/>
  <c r="U24" i="12"/>
  <c r="T24" i="12"/>
  <c r="V24" i="12"/>
  <c r="Y132" i="12"/>
  <c r="Q105" i="10"/>
  <c r="M105" i="10"/>
  <c r="AM15" i="5"/>
  <c r="K105" i="10"/>
  <c r="Y105" i="10"/>
  <c r="AE105" i="10"/>
  <c r="AC105" i="10"/>
  <c r="Z15" i="5"/>
  <c r="AA105" i="10"/>
  <c r="S105" i="10"/>
  <c r="U105" i="10"/>
  <c r="I105" i="10"/>
  <c r="O105" i="10"/>
  <c r="W105" i="10"/>
  <c r="N411" i="12"/>
  <c r="Z155" i="5"/>
  <c r="L155" i="5"/>
  <c r="R83" i="8"/>
  <c r="I155" i="12"/>
  <c r="AM155" i="5"/>
  <c r="AC155" i="5"/>
  <c r="AB477" i="5"/>
  <c r="AB476" i="5" s="1"/>
  <c r="O606" i="12"/>
  <c r="AO606" i="12"/>
  <c r="M606" i="12"/>
  <c r="M604" i="12" s="1"/>
  <c r="C606" i="12"/>
  <c r="E566" i="6"/>
  <c r="D566" i="12"/>
  <c r="L656" i="5"/>
  <c r="I656" i="12"/>
  <c r="Z656" i="5"/>
  <c r="R224" i="8"/>
  <c r="AM656" i="5"/>
  <c r="AC656" i="5"/>
  <c r="X148" i="12"/>
  <c r="W148" i="12"/>
  <c r="I247" i="12"/>
  <c r="R116" i="8"/>
  <c r="Z247" i="5"/>
  <c r="AM247" i="5"/>
  <c r="L247" i="5"/>
  <c r="AC247" i="5"/>
  <c r="O561" i="5"/>
  <c r="O637" i="5"/>
  <c r="C637" i="6"/>
  <c r="X508" i="12"/>
  <c r="W508" i="12"/>
  <c r="C200" i="6"/>
  <c r="O200" i="5"/>
  <c r="U47" i="12"/>
  <c r="T47" i="12"/>
  <c r="V47" i="12"/>
  <c r="AM421" i="5"/>
  <c r="L421" i="5"/>
  <c r="R155" i="8"/>
  <c r="Z421" i="5"/>
  <c r="I421" i="12"/>
  <c r="AC421" i="5"/>
  <c r="Y159" i="12"/>
  <c r="E227" i="6"/>
  <c r="D227" i="12"/>
  <c r="X165" i="12"/>
  <c r="W165" i="12"/>
  <c r="O162" i="5"/>
  <c r="AC490" i="5"/>
  <c r="R170" i="8"/>
  <c r="AM490" i="5"/>
  <c r="I490" i="12"/>
  <c r="Z490" i="5"/>
  <c r="L490" i="5"/>
  <c r="AB127" i="5"/>
  <c r="AB126" i="5" s="1"/>
  <c r="N242" i="12"/>
  <c r="E78" i="6"/>
  <c r="D78" i="12"/>
  <c r="X459" i="12"/>
  <c r="W459" i="12"/>
  <c r="N227" i="12"/>
  <c r="O223" i="5"/>
  <c r="C223" i="6"/>
  <c r="AB620" i="5"/>
  <c r="AB618" i="5" s="1"/>
  <c r="O338" i="12"/>
  <c r="M338" i="12"/>
  <c r="M319" i="12" s="1"/>
  <c r="AO338" i="12"/>
  <c r="C338" i="12"/>
  <c r="D719" i="12"/>
  <c r="E719" i="6"/>
  <c r="M185" i="12"/>
  <c r="M184" i="12" s="1"/>
  <c r="AO185" i="12"/>
  <c r="C185" i="12"/>
  <c r="O185" i="12"/>
  <c r="C585" i="6"/>
  <c r="O585" i="5"/>
  <c r="X164" i="12"/>
  <c r="W164" i="12"/>
  <c r="Y188" i="12"/>
  <c r="X281" i="12"/>
  <c r="W281" i="12"/>
  <c r="AB238" i="5"/>
  <c r="AB237" i="5" s="1"/>
  <c r="O296" i="12"/>
  <c r="C296" i="12"/>
  <c r="M296" i="12"/>
  <c r="M295" i="12" s="1"/>
  <c r="AO296" i="12"/>
  <c r="C535" i="6"/>
  <c r="O535" i="5"/>
  <c r="E216" i="6"/>
  <c r="D216" i="12"/>
  <c r="V316" i="12"/>
  <c r="U316" i="12"/>
  <c r="T316" i="12"/>
  <c r="N623" i="12"/>
  <c r="AB568" i="5"/>
  <c r="AB567" i="5" s="1"/>
  <c r="X498" i="12"/>
  <c r="W498" i="12"/>
  <c r="V422" i="12"/>
  <c r="U422" i="12"/>
  <c r="T422" i="12"/>
  <c r="N144" i="12"/>
  <c r="X666" i="12"/>
  <c r="W666" i="12"/>
  <c r="C27" i="12"/>
  <c r="AO27" i="12"/>
  <c r="O27" i="12"/>
  <c r="M27" i="12"/>
  <c r="M23" i="12" s="1"/>
  <c r="AB76" i="5"/>
  <c r="AB74" i="5" s="1"/>
  <c r="C53" i="8" s="1"/>
  <c r="Y178" i="12"/>
  <c r="O560" i="5"/>
  <c r="W142" i="12"/>
  <c r="X142" i="12"/>
  <c r="O131" i="5"/>
  <c r="N673" i="12"/>
  <c r="W502" i="12"/>
  <c r="X502" i="12"/>
  <c r="N401" i="12"/>
  <c r="W81" i="12"/>
  <c r="X81" i="12"/>
  <c r="X418" i="12"/>
  <c r="W418" i="12"/>
  <c r="O313" i="5"/>
  <c r="I314" i="5"/>
  <c r="E713" i="6"/>
  <c r="D713" i="12"/>
  <c r="U102" i="12"/>
  <c r="T102" i="12"/>
  <c r="V102" i="12"/>
  <c r="O165" i="5"/>
  <c r="Y578" i="12"/>
  <c r="D717" i="12"/>
  <c r="E717" i="6"/>
  <c r="AB124" i="5"/>
  <c r="AB121" i="5" s="1"/>
  <c r="O638" i="5"/>
  <c r="I639" i="5"/>
  <c r="O639" i="5" s="1"/>
  <c r="U531" i="12"/>
  <c r="T531" i="12"/>
  <c r="V531" i="12"/>
  <c r="X78" i="12"/>
  <c r="W78" i="12"/>
  <c r="X207" i="12"/>
  <c r="W207" i="12"/>
  <c r="W649" i="12"/>
  <c r="X649" i="12"/>
  <c r="W461" i="12"/>
  <c r="X461" i="12"/>
  <c r="AM126" i="5"/>
  <c r="R74" i="8"/>
  <c r="L126" i="5"/>
  <c r="Z126" i="5"/>
  <c r="I126" i="12"/>
  <c r="AC126" i="5"/>
  <c r="O674" i="5"/>
  <c r="I675" i="5"/>
  <c r="W227" i="12"/>
  <c r="X227" i="12"/>
  <c r="Y395" i="12"/>
  <c r="W563" i="12"/>
  <c r="X563" i="12"/>
  <c r="I340" i="5"/>
  <c r="O339" i="5"/>
  <c r="AC436" i="5"/>
  <c r="Z436" i="5"/>
  <c r="I436" i="12"/>
  <c r="R158" i="8"/>
  <c r="AM436" i="5"/>
  <c r="L436" i="5"/>
  <c r="O190" i="5"/>
  <c r="I191" i="5"/>
  <c r="C585" i="12"/>
  <c r="M585" i="12"/>
  <c r="M580" i="12" s="1"/>
  <c r="O585" i="12"/>
  <c r="AO585" i="12"/>
  <c r="W487" i="12"/>
  <c r="X487" i="12"/>
  <c r="X228" i="12"/>
  <c r="W228" i="12"/>
  <c r="W192" i="12"/>
  <c r="X192" i="12"/>
  <c r="AB535" i="5"/>
  <c r="AB530" i="5" s="1"/>
  <c r="V682" i="12"/>
  <c r="U682" i="12"/>
  <c r="T682" i="12"/>
  <c r="W157" i="12"/>
  <c r="X157" i="12"/>
  <c r="X225" i="12"/>
  <c r="W225" i="12"/>
  <c r="O128" i="5"/>
  <c r="W131" i="12"/>
  <c r="X131" i="12"/>
  <c r="X186" i="12"/>
  <c r="W186" i="12"/>
  <c r="AB714" i="5"/>
  <c r="AB712" i="5" s="1"/>
  <c r="X22" i="12"/>
  <c r="W22" i="12"/>
  <c r="O568" i="12"/>
  <c r="AO568" i="12"/>
  <c r="C568" i="12"/>
  <c r="M568" i="12"/>
  <c r="M567" i="12" s="1"/>
  <c r="V57" i="12"/>
  <c r="U57" i="12"/>
  <c r="T57" i="12"/>
  <c r="D571" i="12"/>
  <c r="E571" i="6"/>
  <c r="C27" i="6"/>
  <c r="W621" i="12"/>
  <c r="X621" i="12"/>
  <c r="W680" i="12"/>
  <c r="X680" i="12"/>
  <c r="I479" i="12"/>
  <c r="Z479" i="5"/>
  <c r="R167" i="8"/>
  <c r="AC479" i="5"/>
  <c r="AM479" i="5"/>
  <c r="L479" i="5"/>
  <c r="X151" i="12"/>
  <c r="W151" i="12"/>
  <c r="W383" i="12"/>
  <c r="X383" i="12"/>
  <c r="X456" i="12"/>
  <c r="W456" i="12"/>
  <c r="V41" i="12"/>
  <c r="U41" i="12"/>
  <c r="T41" i="12"/>
  <c r="O145" i="5"/>
  <c r="U75" i="12"/>
  <c r="V75" i="12"/>
  <c r="T75" i="12"/>
  <c r="X191" i="12"/>
  <c r="W191" i="12"/>
  <c r="O671" i="5"/>
  <c r="W415" i="12"/>
  <c r="X415" i="12"/>
  <c r="Y173" i="12"/>
  <c r="E572" i="6"/>
  <c r="D572" i="12"/>
  <c r="X598" i="12"/>
  <c r="W598" i="12"/>
  <c r="W597" i="12"/>
  <c r="X597" i="12"/>
  <c r="O477" i="12"/>
  <c r="C477" i="12"/>
  <c r="M477" i="12"/>
  <c r="M476" i="12" s="1"/>
  <c r="AO477" i="12"/>
  <c r="I103" i="12"/>
  <c r="AM103" i="5"/>
  <c r="R62" i="8"/>
  <c r="Z103" i="5"/>
  <c r="L103" i="5"/>
  <c r="AC103" i="5"/>
  <c r="N502" i="12"/>
  <c r="N235" i="12"/>
  <c r="AM595" i="5"/>
  <c r="I595" i="12"/>
  <c r="L595" i="5"/>
  <c r="Z595" i="5"/>
  <c r="AC595" i="5"/>
  <c r="R194" i="8"/>
  <c r="N467" i="12"/>
  <c r="U350" i="12"/>
  <c r="T350" i="12"/>
  <c r="V350" i="12"/>
  <c r="T366" i="12"/>
  <c r="V366" i="12"/>
  <c r="U366" i="12"/>
  <c r="AB311" i="5"/>
  <c r="AB301" i="5" s="1"/>
  <c r="AB300" i="5" s="1"/>
  <c r="E621" i="6"/>
  <c r="D621" i="12"/>
  <c r="Y464" i="12"/>
  <c r="D493" i="12"/>
  <c r="E493" i="6"/>
  <c r="N598" i="12"/>
  <c r="L710" i="5"/>
  <c r="I710" i="12"/>
  <c r="R245" i="8"/>
  <c r="Z710" i="5"/>
  <c r="AM710" i="5"/>
  <c r="AC710" i="5"/>
  <c r="Y411" i="12"/>
  <c r="I476" i="12"/>
  <c r="R164" i="8"/>
  <c r="L476" i="5"/>
  <c r="Z476" i="5"/>
  <c r="AM476" i="5"/>
  <c r="AC476" i="5"/>
  <c r="Y381" i="12"/>
  <c r="V509" i="12"/>
  <c r="U509" i="12"/>
  <c r="T509" i="12"/>
  <c r="T111" i="12"/>
  <c r="V111" i="12"/>
  <c r="U111" i="12"/>
  <c r="N659" i="12"/>
  <c r="C124" i="6"/>
  <c r="I261" i="5"/>
  <c r="O260" i="5"/>
  <c r="AM199" i="5"/>
  <c r="R95" i="8"/>
  <c r="L199" i="5"/>
  <c r="Z199" i="5"/>
  <c r="I199" i="12"/>
  <c r="AC199" i="5"/>
  <c r="N649" i="12"/>
  <c r="AB642" i="5"/>
  <c r="AB640" i="5" s="1"/>
  <c r="N461" i="12"/>
  <c r="I430" i="5"/>
  <c r="O429" i="5"/>
  <c r="N717" i="12"/>
  <c r="O669" i="5"/>
  <c r="C669" i="6"/>
  <c r="N459" i="12"/>
  <c r="O157" i="5"/>
  <c r="O223" i="12"/>
  <c r="M223" i="12"/>
  <c r="M221" i="12" s="1"/>
  <c r="C223" i="12"/>
  <c r="AO223" i="12"/>
  <c r="N563" i="12"/>
  <c r="N651" i="12"/>
  <c r="I365" i="12"/>
  <c r="Z365" i="5"/>
  <c r="AM365" i="5"/>
  <c r="R143" i="8"/>
  <c r="AC365" i="5"/>
  <c r="L365" i="5"/>
  <c r="O240" i="5"/>
  <c r="AB585" i="5"/>
  <c r="AB580" i="5" s="1"/>
  <c r="C188" i="8" s="1"/>
  <c r="D631" i="12"/>
  <c r="E631" i="6"/>
  <c r="AB296" i="5"/>
  <c r="AB295" i="5" s="1"/>
  <c r="N192" i="12"/>
  <c r="Y343" i="12"/>
  <c r="N229" i="12"/>
  <c r="N454" i="12"/>
  <c r="N131" i="12"/>
  <c r="AB27" i="5"/>
  <c r="AB23" i="5" s="1"/>
  <c r="O76" i="12"/>
  <c r="M76" i="12"/>
  <c r="M74" i="12" s="1"/>
  <c r="AO76" i="12"/>
  <c r="C76" i="12"/>
  <c r="N680" i="12"/>
  <c r="AO480" i="12"/>
  <c r="M480" i="12"/>
  <c r="M479" i="12" s="1"/>
  <c r="O480" i="12"/>
  <c r="C480" i="12"/>
  <c r="N670" i="12"/>
  <c r="V91" i="12"/>
  <c r="U91" i="12"/>
  <c r="T91" i="12"/>
  <c r="N652" i="12"/>
  <c r="N142" i="12"/>
  <c r="N151" i="12"/>
  <c r="O187" i="5"/>
  <c r="N383" i="12"/>
  <c r="Y579" i="12"/>
  <c r="C722" i="6"/>
  <c r="O722" i="5"/>
  <c r="Y244" i="12"/>
  <c r="AM721" i="5"/>
  <c r="I721" i="12"/>
  <c r="L721" i="5"/>
  <c r="Z721" i="5"/>
  <c r="R254" i="8"/>
  <c r="AC721" i="5"/>
  <c r="M311" i="12"/>
  <c r="M300" i="12" s="1"/>
  <c r="O311" i="12"/>
  <c r="C311" i="12"/>
  <c r="AO311" i="12"/>
  <c r="W129" i="12"/>
  <c r="X129" i="12"/>
  <c r="V40" i="12"/>
  <c r="T40" i="12"/>
  <c r="U40" i="12"/>
  <c r="O596" i="5"/>
  <c r="C596" i="6"/>
  <c r="N561" i="12"/>
  <c r="E603" i="6"/>
  <c r="D603" i="12"/>
  <c r="U222" i="12"/>
  <c r="V222" i="12"/>
  <c r="T222" i="12"/>
  <c r="AB711" i="5"/>
  <c r="AB710" i="5" s="1"/>
  <c r="V349" i="12"/>
  <c r="T349" i="12"/>
  <c r="U349" i="12"/>
  <c r="E478" i="6"/>
  <c r="D478" i="12"/>
  <c r="N381" i="12"/>
  <c r="Y161" i="12"/>
  <c r="U581" i="12"/>
  <c r="T581" i="12"/>
  <c r="V581" i="12"/>
  <c r="I109" i="5"/>
  <c r="O109" i="5" s="1"/>
  <c r="O108" i="5"/>
  <c r="D77" i="12"/>
  <c r="E77" i="6"/>
  <c r="Y241" i="12"/>
  <c r="N148" i="12"/>
  <c r="AB259" i="5"/>
  <c r="AB247" i="5" s="1"/>
  <c r="T619" i="12"/>
  <c r="U619" i="12"/>
  <c r="V619" i="12"/>
  <c r="O599" i="5"/>
  <c r="AO200" i="12"/>
  <c r="M200" i="12"/>
  <c r="M199" i="12" s="1"/>
  <c r="O200" i="12"/>
  <c r="C200" i="12"/>
  <c r="O659" i="5"/>
  <c r="E241" i="6"/>
  <c r="D241" i="12"/>
  <c r="O642" i="5"/>
  <c r="C642" i="6"/>
  <c r="D297" i="12"/>
  <c r="E297" i="6"/>
  <c r="W220" i="12"/>
  <c r="X220" i="12"/>
  <c r="O136" i="5"/>
  <c r="T48" i="12"/>
  <c r="V48" i="12"/>
  <c r="U48" i="12"/>
  <c r="N723" i="12"/>
  <c r="O179" i="5"/>
  <c r="O138" i="5"/>
  <c r="V614" i="12"/>
  <c r="U614" i="12"/>
  <c r="T614" i="12"/>
  <c r="AB669" i="5"/>
  <c r="AB668" i="5" s="1"/>
  <c r="AB223" i="5"/>
  <c r="AB221" i="5" s="1"/>
  <c r="W651" i="12"/>
  <c r="X651" i="12"/>
  <c r="AB438" i="5"/>
  <c r="AB436" i="5" s="1"/>
  <c r="I660" i="12"/>
  <c r="L660" i="5"/>
  <c r="AM660" i="5"/>
  <c r="AC660" i="5"/>
  <c r="R227" i="8"/>
  <c r="Z660" i="5"/>
  <c r="AC402" i="5"/>
  <c r="AM402" i="5"/>
  <c r="Z402" i="5"/>
  <c r="L402" i="5"/>
  <c r="R146" i="8"/>
  <c r="I402" i="12"/>
  <c r="Y471" i="12"/>
  <c r="N198" i="12"/>
  <c r="N564" i="12"/>
  <c r="Y433" i="12"/>
  <c r="I299" i="5"/>
  <c r="O299" i="5" s="1"/>
  <c r="O298" i="5"/>
  <c r="M535" i="12"/>
  <c r="M530" i="12" s="1"/>
  <c r="O535" i="12"/>
  <c r="C535" i="12"/>
  <c r="AO535" i="12"/>
  <c r="X449" i="12"/>
  <c r="W449" i="12"/>
  <c r="Y458" i="12"/>
  <c r="U38" i="12"/>
  <c r="T38" i="12"/>
  <c r="V38" i="12"/>
  <c r="Y180" i="12"/>
  <c r="N570" i="12"/>
  <c r="N681" i="12"/>
  <c r="X245" i="12"/>
  <c r="W245" i="12"/>
  <c r="Y565" i="12"/>
  <c r="O130" i="5"/>
  <c r="M294" i="12"/>
  <c r="M293" i="12" s="1"/>
  <c r="O294" i="12"/>
  <c r="AO294" i="12"/>
  <c r="C294" i="12"/>
  <c r="O166" i="5"/>
  <c r="Y208" i="12"/>
  <c r="Y631" i="12"/>
  <c r="Y158" i="12"/>
  <c r="Y679" i="12"/>
  <c r="O186" i="5"/>
  <c r="D80" i="12"/>
  <c r="E80" i="6"/>
  <c r="AB480" i="5"/>
  <c r="AB479" i="5" s="1"/>
  <c r="Y394" i="12"/>
  <c r="O565" i="5"/>
  <c r="O670" i="5"/>
  <c r="O129" i="5"/>
  <c r="N189" i="12"/>
  <c r="Y672" i="12"/>
  <c r="W639" i="12"/>
  <c r="X639" i="12"/>
  <c r="O494" i="5"/>
  <c r="W21" i="12"/>
  <c r="X21" i="12"/>
  <c r="V320" i="12"/>
  <c r="T320" i="12"/>
  <c r="U320" i="12"/>
  <c r="X577" i="12"/>
  <c r="W577" i="12"/>
  <c r="D140" i="12"/>
  <c r="E140" i="6"/>
  <c r="T301" i="12"/>
  <c r="V301" i="12"/>
  <c r="U301" i="12"/>
  <c r="W196" i="12"/>
  <c r="X196" i="12"/>
  <c r="X168" i="12"/>
  <c r="W168" i="12"/>
  <c r="C477" i="6"/>
  <c r="O477" i="5"/>
  <c r="N161" i="12"/>
  <c r="AB107" i="5"/>
  <c r="AB103" i="5" s="1"/>
  <c r="Y678" i="12"/>
  <c r="E150" i="6"/>
  <c r="D150" i="12"/>
  <c r="E132" i="6"/>
  <c r="D132" i="12"/>
  <c r="X147" i="12"/>
  <c r="W147" i="12"/>
  <c r="O160" i="5"/>
  <c r="I472" i="12"/>
  <c r="Z472" i="5"/>
  <c r="AM472" i="5"/>
  <c r="R161" i="8"/>
  <c r="AC472" i="5"/>
  <c r="L472" i="5"/>
  <c r="X285" i="12"/>
  <c r="W285" i="12"/>
  <c r="O161" i="5"/>
  <c r="T613" i="12"/>
  <c r="U613" i="12"/>
  <c r="V613" i="12"/>
  <c r="AO428" i="12"/>
  <c r="C428" i="12"/>
  <c r="M428" i="12"/>
  <c r="M421" i="12" s="1"/>
  <c r="O428" i="12"/>
  <c r="X718" i="12"/>
  <c r="W718" i="12"/>
  <c r="W723" i="12"/>
  <c r="X723" i="12"/>
  <c r="O669" i="12"/>
  <c r="M669" i="12"/>
  <c r="M668" i="12" s="1"/>
  <c r="AO669" i="12"/>
  <c r="C669" i="12"/>
  <c r="V354" i="12"/>
  <c r="T354" i="12"/>
  <c r="U354" i="12"/>
  <c r="W671" i="12"/>
  <c r="X671" i="12"/>
  <c r="X138" i="12"/>
  <c r="W138" i="12"/>
  <c r="C370" i="12"/>
  <c r="M370" i="12"/>
  <c r="M365" i="12" s="1"/>
  <c r="AO370" i="12"/>
  <c r="O370" i="12"/>
  <c r="M438" i="12"/>
  <c r="M436" i="12" s="1"/>
  <c r="O438" i="12"/>
  <c r="C438" i="12"/>
  <c r="AO438" i="12"/>
  <c r="U683" i="12"/>
  <c r="V683" i="12"/>
  <c r="T683" i="12"/>
  <c r="I587" i="5"/>
  <c r="O586" i="5"/>
  <c r="O146" i="5"/>
  <c r="W198" i="12"/>
  <c r="X198" i="12"/>
  <c r="X481" i="12"/>
  <c r="W481" i="12"/>
  <c r="W297" i="12"/>
  <c r="X297" i="12"/>
  <c r="O296" i="5"/>
  <c r="C296" i="6"/>
  <c r="E154" i="6"/>
  <c r="D154" i="12"/>
  <c r="X570" i="12"/>
  <c r="W570" i="12"/>
  <c r="W681" i="12"/>
  <c r="X681" i="12"/>
  <c r="W677" i="12"/>
  <c r="X677" i="12"/>
  <c r="C716" i="6"/>
  <c r="O716" i="5"/>
  <c r="O20" i="12"/>
  <c r="C20" i="12"/>
  <c r="AO20" i="12"/>
  <c r="M20" i="12"/>
  <c r="M19" i="12" s="1"/>
  <c r="O294" i="5"/>
  <c r="C294" i="6"/>
  <c r="T97" i="12"/>
  <c r="V97" i="12"/>
  <c r="U97" i="12"/>
  <c r="C76" i="6"/>
  <c r="O76" i="5"/>
  <c r="I483" i="5"/>
  <c r="O482" i="5"/>
  <c r="X670" i="12"/>
  <c r="W670" i="12"/>
  <c r="X216" i="12"/>
  <c r="W216" i="12"/>
  <c r="X652" i="12"/>
  <c r="W652" i="12"/>
  <c r="O228" i="5"/>
  <c r="X500" i="12"/>
  <c r="W500" i="12"/>
  <c r="W189" i="12"/>
  <c r="X189" i="12"/>
  <c r="O178" i="5"/>
  <c r="V82" i="12"/>
  <c r="T82" i="12"/>
  <c r="U82" i="12"/>
  <c r="X235" i="12"/>
  <c r="W235" i="12"/>
  <c r="AB596" i="5"/>
  <c r="AB595" i="5" s="1"/>
  <c r="D601" i="12"/>
  <c r="E601" i="6"/>
  <c r="Y466" i="12"/>
  <c r="U101" i="12"/>
  <c r="V101" i="12"/>
  <c r="T101" i="12"/>
  <c r="Y166" i="12"/>
  <c r="W467" i="12"/>
  <c r="X467" i="12"/>
  <c r="U661" i="12"/>
  <c r="T661" i="12"/>
  <c r="V661" i="12"/>
  <c r="Y120" i="12"/>
  <c r="N625" i="12"/>
  <c r="N397" i="12"/>
  <c r="AO18" i="12"/>
  <c r="M18" i="12"/>
  <c r="C18" i="12"/>
  <c r="O18" i="12"/>
  <c r="W457" i="12"/>
  <c r="X457" i="12"/>
  <c r="N196" i="12"/>
  <c r="E149" i="6"/>
  <c r="D149" i="12"/>
  <c r="N572" i="12"/>
  <c r="Y140" i="12"/>
  <c r="C107" i="12"/>
  <c r="O107" i="12"/>
  <c r="AO107" i="12"/>
  <c r="M107" i="12"/>
  <c r="M103" i="12" s="1"/>
  <c r="Y462" i="12"/>
  <c r="W659" i="12"/>
  <c r="X659" i="12"/>
  <c r="Y283" i="12"/>
  <c r="N136" i="12"/>
  <c r="O259" i="5"/>
  <c r="C259" i="6"/>
  <c r="E633" i="6"/>
  <c r="D633" i="12"/>
  <c r="Y236" i="12"/>
  <c r="Y163" i="12"/>
  <c r="O563" i="5"/>
  <c r="AB428" i="5"/>
  <c r="AB421" i="5" s="1"/>
  <c r="N718" i="12"/>
  <c r="O597" i="5"/>
  <c r="W149" i="12"/>
  <c r="X149" i="12"/>
  <c r="U286" i="12"/>
  <c r="T286" i="12"/>
  <c r="V286" i="12"/>
  <c r="N154" i="12"/>
  <c r="Y312" i="12"/>
  <c r="Y719" i="12"/>
  <c r="T213" i="12"/>
  <c r="V213" i="12"/>
  <c r="U213" i="12"/>
  <c r="Y576" i="12"/>
  <c r="D239" i="12"/>
  <c r="E239" i="6"/>
  <c r="O159" i="5"/>
  <c r="AB370" i="5"/>
  <c r="AB365" i="5" s="1"/>
  <c r="O405" i="12"/>
  <c r="M405" i="12"/>
  <c r="M402" i="12" s="1"/>
  <c r="AO405" i="12"/>
  <c r="C405" i="12"/>
  <c r="N206" i="12"/>
  <c r="Y389" i="12"/>
  <c r="Y478" i="12"/>
  <c r="W37" i="12"/>
  <c r="X37" i="12"/>
  <c r="O243" i="5"/>
  <c r="E217" i="6"/>
  <c r="D217" i="12"/>
  <c r="N449" i="12"/>
  <c r="W454" i="12"/>
  <c r="X454" i="12"/>
  <c r="N677" i="12"/>
  <c r="N650" i="12"/>
  <c r="N386" i="12"/>
  <c r="AB716" i="5"/>
  <c r="AB715" i="5" s="1"/>
  <c r="O188" i="5"/>
  <c r="C115" i="6"/>
  <c r="O115" i="5"/>
  <c r="L212" i="5"/>
  <c r="Z212" i="5"/>
  <c r="R98" i="8"/>
  <c r="AM212" i="5"/>
  <c r="I212" i="12"/>
  <c r="AC212" i="5"/>
  <c r="V437" i="12"/>
  <c r="U437" i="12"/>
  <c r="T437" i="12"/>
  <c r="U416" i="12"/>
  <c r="V416" i="12"/>
  <c r="T416" i="12"/>
  <c r="R209" i="8"/>
  <c r="AM628" i="5"/>
  <c r="Z628" i="5"/>
  <c r="I628" i="12"/>
  <c r="L628" i="5"/>
  <c r="AC628" i="5"/>
  <c r="N672" i="12"/>
  <c r="U696" i="12"/>
  <c r="V696" i="12"/>
  <c r="T696" i="12"/>
  <c r="T104" i="12"/>
  <c r="V104" i="12"/>
  <c r="U104" i="12"/>
  <c r="W492" i="12"/>
  <c r="X492" i="12"/>
  <c r="E79" i="6"/>
  <c r="D79" i="12"/>
  <c r="N166" i="12"/>
  <c r="N441" i="12"/>
  <c r="N577" i="12"/>
  <c r="W625" i="12"/>
  <c r="X625" i="12"/>
  <c r="Y633" i="12"/>
  <c r="L17" i="5"/>
  <c r="AM17" i="5"/>
  <c r="R17" i="8"/>
  <c r="I17" i="12"/>
  <c r="Z17" i="5"/>
  <c r="AC17" i="5"/>
  <c r="N150" i="12"/>
  <c r="O163" i="5"/>
  <c r="AM604" i="5"/>
  <c r="I604" i="12"/>
  <c r="R197" i="8"/>
  <c r="AC604" i="5"/>
  <c r="L604" i="5"/>
  <c r="Z604" i="5"/>
  <c r="AC543" i="5"/>
  <c r="I543" i="12"/>
  <c r="AM543" i="5"/>
  <c r="R182" i="8"/>
  <c r="L543" i="5"/>
  <c r="Z543" i="5"/>
  <c r="X136" i="12"/>
  <c r="W136" i="12"/>
  <c r="Y385" i="12"/>
  <c r="O562" i="5"/>
  <c r="AO259" i="12"/>
  <c r="O259" i="12"/>
  <c r="C259" i="12"/>
  <c r="M259" i="12"/>
  <c r="M247" i="12" s="1"/>
  <c r="Y117" i="12"/>
  <c r="E119" i="6"/>
  <c r="D119" i="12"/>
  <c r="N147" i="12"/>
  <c r="O598" i="5"/>
  <c r="D242" i="12"/>
  <c r="E242" i="6"/>
  <c r="D475" i="12"/>
  <c r="E475" i="6"/>
  <c r="N501" i="12"/>
  <c r="N163" i="12"/>
  <c r="T231" i="12"/>
  <c r="V231" i="12"/>
  <c r="U231" i="12"/>
  <c r="X239" i="12"/>
  <c r="W239" i="12"/>
  <c r="O312" i="5"/>
  <c r="O428" i="5"/>
  <c r="C428" i="6"/>
  <c r="Y658" i="12"/>
  <c r="V526" i="12"/>
  <c r="U526" i="12"/>
  <c r="T526" i="12"/>
  <c r="N220" i="12"/>
  <c r="E225" i="6"/>
  <c r="D225" i="12"/>
  <c r="Y160" i="12"/>
  <c r="AC668" i="5"/>
  <c r="I668" i="12"/>
  <c r="R230" i="8"/>
  <c r="L668" i="5"/>
  <c r="AM668" i="5"/>
  <c r="Z668" i="5"/>
  <c r="Y627" i="12"/>
  <c r="AM618" i="5"/>
  <c r="R206" i="8"/>
  <c r="L618" i="5"/>
  <c r="I618" i="12"/>
  <c r="Z618" i="5"/>
  <c r="AC618" i="5"/>
  <c r="C370" i="6"/>
  <c r="O370" i="5"/>
  <c r="O438" i="5"/>
  <c r="C438" i="6"/>
  <c r="C665" i="6"/>
  <c r="I407" i="5"/>
  <c r="O406" i="5"/>
  <c r="I646" i="5"/>
  <c r="O645" i="5"/>
  <c r="U230" i="12"/>
  <c r="T230" i="12"/>
  <c r="V230" i="12"/>
  <c r="W564" i="12"/>
  <c r="X564" i="12"/>
  <c r="O153" i="5"/>
  <c r="C153" i="6"/>
  <c r="W432" i="12"/>
  <c r="X432" i="12"/>
  <c r="T64" i="12"/>
  <c r="U64" i="12"/>
  <c r="V64" i="12"/>
  <c r="E720" i="6"/>
  <c r="D720" i="12"/>
  <c r="I123" i="5"/>
  <c r="O122" i="5"/>
  <c r="Z233" i="5"/>
  <c r="I233" i="12"/>
  <c r="AM233" i="5"/>
  <c r="R107" i="8"/>
  <c r="L233" i="5"/>
  <c r="AC233" i="5"/>
  <c r="AB20" i="5"/>
  <c r="AB19" i="5" s="1"/>
  <c r="O180" i="5"/>
  <c r="Y344" i="12"/>
  <c r="O137" i="5"/>
  <c r="Y431" i="12"/>
  <c r="O481" i="5"/>
  <c r="O480" i="5"/>
  <c r="C480" i="6"/>
  <c r="T58" i="12"/>
  <c r="U58" i="12"/>
  <c r="V58" i="12"/>
  <c r="Y204" i="12"/>
  <c r="N128" i="12"/>
  <c r="N639" i="12"/>
  <c r="W561" i="12"/>
  <c r="X561" i="12"/>
  <c r="C18" i="6"/>
  <c r="O18" i="5"/>
  <c r="AB156" i="5"/>
  <c r="AB155" i="5" s="1"/>
  <c r="C107" i="6"/>
  <c r="O107" i="5"/>
  <c r="Y452" i="12"/>
  <c r="E141" i="6"/>
  <c r="D141" i="12"/>
  <c r="C474" i="6"/>
  <c r="O474" i="5"/>
  <c r="E148" i="6"/>
  <c r="D148" i="12"/>
  <c r="V96" i="12"/>
  <c r="U96" i="12"/>
  <c r="T96" i="12"/>
  <c r="W77" i="12"/>
  <c r="X77" i="12"/>
  <c r="N562" i="12"/>
  <c r="C491" i="6"/>
  <c r="O491" i="5"/>
  <c r="E151" i="6"/>
  <c r="D151" i="12"/>
  <c r="W624" i="12"/>
  <c r="X624" i="12"/>
  <c r="I440" i="5"/>
  <c r="O439" i="5"/>
  <c r="O665" i="12"/>
  <c r="C665" i="12"/>
  <c r="M665" i="12"/>
  <c r="M660" i="12" s="1"/>
  <c r="AO665" i="12"/>
  <c r="O405" i="5"/>
  <c r="C405" i="6"/>
  <c r="O644" i="12"/>
  <c r="M644" i="12"/>
  <c r="M643" i="12" s="1"/>
  <c r="AO644" i="12"/>
  <c r="C644" i="12"/>
  <c r="X206" i="12"/>
  <c r="W206" i="12"/>
  <c r="U687" i="12"/>
  <c r="T687" i="12"/>
  <c r="V687" i="12"/>
  <c r="AB592" i="5"/>
  <c r="AB591" i="5" s="1"/>
  <c r="C238" i="12"/>
  <c r="AO238" i="12"/>
  <c r="O238" i="12"/>
  <c r="M238" i="12"/>
  <c r="M237" i="12" s="1"/>
  <c r="O139" i="5"/>
  <c r="X376" i="12"/>
  <c r="W376" i="12"/>
  <c r="AM152" i="5"/>
  <c r="I152" i="12"/>
  <c r="Z152" i="5"/>
  <c r="R80" i="8"/>
  <c r="L152" i="5"/>
  <c r="AC152" i="5"/>
  <c r="T317" i="12"/>
  <c r="V317" i="12"/>
  <c r="U317" i="12"/>
  <c r="N226" i="12"/>
  <c r="W650" i="12"/>
  <c r="X650" i="12"/>
  <c r="X386" i="12"/>
  <c r="W386" i="12"/>
  <c r="C170" i="12"/>
  <c r="M170" i="12"/>
  <c r="M169" i="12" s="1"/>
  <c r="AO170" i="12"/>
  <c r="O170" i="12"/>
  <c r="M716" i="12"/>
  <c r="M715" i="12" s="1"/>
  <c r="AO716" i="12"/>
  <c r="C716" i="12"/>
  <c r="O716" i="12"/>
  <c r="Y137" i="12"/>
  <c r="X187" i="12"/>
  <c r="W187" i="12"/>
  <c r="C115" i="12"/>
  <c r="M115" i="12"/>
  <c r="M114" i="12" s="1"/>
  <c r="AO115" i="12"/>
  <c r="O115" i="12"/>
  <c r="AB234" i="5"/>
  <c r="AB233" i="5" s="1"/>
  <c r="AM19" i="5"/>
  <c r="I19" i="12"/>
  <c r="L19" i="5"/>
  <c r="Z19" i="5"/>
  <c r="R20" i="8"/>
  <c r="AC19" i="5"/>
  <c r="V92" i="12"/>
  <c r="U92" i="12"/>
  <c r="T92" i="12"/>
  <c r="I293" i="12"/>
  <c r="R122" i="8"/>
  <c r="Z293" i="5"/>
  <c r="AM293" i="5"/>
  <c r="L293" i="5"/>
  <c r="AC293" i="5"/>
  <c r="X573" i="12"/>
  <c r="W573" i="12"/>
  <c r="O116" i="5"/>
  <c r="X243" i="12"/>
  <c r="W243" i="12"/>
  <c r="X675" i="12"/>
  <c r="W675" i="12"/>
  <c r="M215" i="12"/>
  <c r="M212" i="12" s="1"/>
  <c r="C215" i="12"/>
  <c r="AO215" i="12"/>
  <c r="O215" i="12"/>
  <c r="N204" i="12"/>
  <c r="C630" i="12"/>
  <c r="M630" i="12"/>
  <c r="M628" i="12" s="1"/>
  <c r="O630" i="12"/>
  <c r="AO630" i="12"/>
  <c r="O224" i="5"/>
  <c r="O142" i="5"/>
  <c r="I182" i="5"/>
  <c r="O181" i="5"/>
  <c r="E143" i="6"/>
  <c r="D143" i="12"/>
  <c r="AB177" i="5"/>
  <c r="AB176" i="5" s="1"/>
  <c r="D120" i="12"/>
  <c r="E120" i="6"/>
  <c r="Y441" i="12"/>
  <c r="U90" i="12"/>
  <c r="V90" i="12"/>
  <c r="T90" i="12"/>
  <c r="O722" i="12"/>
  <c r="M722" i="12"/>
  <c r="M721" i="12" s="1"/>
  <c r="AO722" i="12"/>
  <c r="C722" i="12"/>
  <c r="AM300" i="5"/>
  <c r="L300" i="5"/>
  <c r="Z300" i="5"/>
  <c r="AC300" i="5"/>
  <c r="R128" i="8"/>
  <c r="I300" i="12"/>
  <c r="Y496" i="12"/>
  <c r="Y143" i="12"/>
  <c r="W397" i="12"/>
  <c r="X397" i="12"/>
  <c r="Y194" i="12"/>
  <c r="O14" i="11"/>
  <c r="L16" i="5"/>
  <c r="R14" i="8"/>
  <c r="AM16" i="5"/>
  <c r="I16" i="12"/>
  <c r="Z16" i="5"/>
  <c r="AC16" i="5"/>
  <c r="Y218" i="12"/>
  <c r="Y150" i="12"/>
  <c r="N507" i="12"/>
  <c r="Y572" i="12"/>
  <c r="Y162" i="12"/>
  <c r="N179" i="12"/>
  <c r="AB606" i="5"/>
  <c r="AB604" i="5" s="1"/>
  <c r="Z121" i="5"/>
  <c r="L121" i="5"/>
  <c r="R71" i="8"/>
  <c r="AM121" i="5"/>
  <c r="I121" i="12"/>
  <c r="AC121" i="5"/>
  <c r="O657" i="5"/>
  <c r="C657" i="6"/>
  <c r="Y141" i="12"/>
  <c r="AB637" i="5"/>
  <c r="AB636" i="5" s="1"/>
  <c r="O600" i="5"/>
  <c r="D632" i="12"/>
  <c r="E632" i="6"/>
  <c r="N239" i="12"/>
  <c r="U608" i="12"/>
  <c r="T608" i="12"/>
  <c r="V608" i="12"/>
  <c r="N77" i="12"/>
  <c r="Y562" i="12"/>
  <c r="N149" i="12"/>
  <c r="C135" i="6"/>
  <c r="O135" i="5"/>
  <c r="Y154" i="12"/>
  <c r="T527" i="12"/>
  <c r="U527" i="12"/>
  <c r="V527" i="12"/>
  <c r="E371" i="6"/>
  <c r="D371" i="12"/>
  <c r="O164" i="5"/>
  <c r="N624" i="12"/>
  <c r="N409" i="12"/>
  <c r="N653" i="12"/>
  <c r="AC319" i="5"/>
  <c r="Z319" i="5"/>
  <c r="I319" i="12"/>
  <c r="L319" i="5"/>
  <c r="R134" i="8"/>
  <c r="AM319" i="5"/>
  <c r="I373" i="5"/>
  <c r="O372" i="5"/>
  <c r="Y118" i="12"/>
  <c r="O644" i="5"/>
  <c r="C644" i="6"/>
  <c r="V641" i="12"/>
  <c r="T641" i="12"/>
  <c r="U641" i="12"/>
  <c r="AC591" i="5"/>
  <c r="L591" i="5"/>
  <c r="Z591" i="5"/>
  <c r="AM591" i="5"/>
  <c r="I591" i="12"/>
  <c r="R191" i="8"/>
  <c r="Y314" i="12"/>
  <c r="AB153" i="5"/>
  <c r="AB152" i="5" s="1"/>
  <c r="Y560" i="12"/>
  <c r="O564" i="5"/>
  <c r="Y226" i="12"/>
  <c r="V629" i="12"/>
  <c r="T629" i="12"/>
  <c r="U629" i="12"/>
  <c r="O573" i="5"/>
  <c r="Y116" i="12"/>
  <c r="N434" i="12"/>
  <c r="L169" i="5"/>
  <c r="Z169" i="5"/>
  <c r="R86" i="8"/>
  <c r="I169" i="12"/>
  <c r="AM169" i="5"/>
  <c r="AC169" i="5"/>
  <c r="U686" i="12"/>
  <c r="T686" i="12"/>
  <c r="V686" i="12"/>
  <c r="N571" i="12"/>
  <c r="I712" i="12"/>
  <c r="R248" i="8"/>
  <c r="Z712" i="5"/>
  <c r="AM712" i="5"/>
  <c r="AC712" i="5"/>
  <c r="L712" i="5"/>
  <c r="AM114" i="5"/>
  <c r="R68" i="8"/>
  <c r="Z114" i="5"/>
  <c r="L114" i="5"/>
  <c r="I114" i="12"/>
  <c r="AC114" i="5"/>
  <c r="O234" i="5"/>
  <c r="C234" i="6"/>
  <c r="O20" i="5"/>
  <c r="C20" i="6"/>
  <c r="AB294" i="5"/>
  <c r="AB293" i="5" s="1"/>
  <c r="N603" i="12"/>
  <c r="V605" i="12"/>
  <c r="U605" i="12"/>
  <c r="T605" i="12"/>
  <c r="Z23" i="5"/>
  <c r="L23" i="5"/>
  <c r="I23" i="12"/>
  <c r="R23" i="8"/>
  <c r="AM23" i="5"/>
  <c r="AC23" i="5"/>
  <c r="U724" i="12"/>
  <c r="V724" i="12"/>
  <c r="T724" i="12"/>
  <c r="Y224" i="12"/>
  <c r="N675" i="12"/>
  <c r="C215" i="6"/>
  <c r="O215" i="5"/>
  <c r="N400" i="12"/>
  <c r="U419" i="12"/>
  <c r="T419" i="12"/>
  <c r="V419" i="12"/>
  <c r="C630" i="6"/>
  <c r="O630" i="5"/>
  <c r="Y128" i="12"/>
  <c r="W371" i="12" l="1"/>
  <c r="W463" i="12"/>
  <c r="X600" i="12"/>
  <c r="X167" i="12"/>
  <c r="N716" i="12"/>
  <c r="O715" i="12"/>
  <c r="N715" i="12" s="1"/>
  <c r="Y338" i="12"/>
  <c r="AO319" i="12"/>
  <c r="D188" i="12"/>
  <c r="E188" i="6"/>
  <c r="N311" i="12"/>
  <c r="O300" i="12"/>
  <c r="N300" i="12" s="1"/>
  <c r="X381" i="12"/>
  <c r="W381" i="12"/>
  <c r="V148" i="12"/>
  <c r="U148" i="12"/>
  <c r="T148" i="12"/>
  <c r="T23" i="8"/>
  <c r="W23" i="8"/>
  <c r="AB23" i="8"/>
  <c r="V23" i="8"/>
  <c r="AE23" i="8"/>
  <c r="X23" i="8"/>
  <c r="C23" i="8"/>
  <c r="AC23" i="8"/>
  <c r="F23" i="8"/>
  <c r="AA23" i="8"/>
  <c r="G24" i="8"/>
  <c r="G23" i="8"/>
  <c r="I24" i="8" s="1"/>
  <c r="F24" i="8"/>
  <c r="AD23" i="8"/>
  <c r="Z23" i="8"/>
  <c r="D23" i="8"/>
  <c r="Y23" i="8"/>
  <c r="U23" i="8"/>
  <c r="AA248" i="8"/>
  <c r="W248" i="8"/>
  <c r="U248" i="8"/>
  <c r="AC248" i="8"/>
  <c r="AB248" i="8"/>
  <c r="AD248" i="8"/>
  <c r="Z248" i="8"/>
  <c r="G249" i="8"/>
  <c r="X248" i="8"/>
  <c r="C248" i="8"/>
  <c r="F249" i="8"/>
  <c r="Y248" i="8"/>
  <c r="G248" i="8"/>
  <c r="I249" i="8" s="1"/>
  <c r="F248" i="8"/>
  <c r="D248" i="8"/>
  <c r="V248" i="8"/>
  <c r="T248" i="8"/>
  <c r="AE248" i="8"/>
  <c r="C121" i="12"/>
  <c r="J121" i="12"/>
  <c r="W218" i="12"/>
  <c r="X218" i="12"/>
  <c r="W496" i="12"/>
  <c r="X496" i="12"/>
  <c r="AC11" i="5"/>
  <c r="T386" i="12"/>
  <c r="V386" i="12"/>
  <c r="U386" i="12"/>
  <c r="W312" i="12"/>
  <c r="X312" i="12"/>
  <c r="E296" i="6"/>
  <c r="D296" i="12"/>
  <c r="C161" i="8"/>
  <c r="Y161" i="8"/>
  <c r="W161" i="8"/>
  <c r="F161" i="8"/>
  <c r="T161" i="8"/>
  <c r="AD161" i="8"/>
  <c r="G161" i="8"/>
  <c r="I162" i="8" s="1"/>
  <c r="AA161" i="8"/>
  <c r="D161" i="8"/>
  <c r="AE161" i="8"/>
  <c r="F162" i="8"/>
  <c r="Z161" i="8"/>
  <c r="G162" i="8"/>
  <c r="AB161" i="8"/>
  <c r="V161" i="8"/>
  <c r="X161" i="8"/>
  <c r="U161" i="8"/>
  <c r="AC161" i="8"/>
  <c r="X672" i="12"/>
  <c r="W672" i="12"/>
  <c r="W158" i="12"/>
  <c r="X158" i="12"/>
  <c r="X441" i="12"/>
  <c r="W441" i="12"/>
  <c r="U492" i="12"/>
  <c r="T492" i="12"/>
  <c r="V492" i="12"/>
  <c r="N405" i="12"/>
  <c r="O402" i="12"/>
  <c r="N402" i="12" s="1"/>
  <c r="W236" i="12"/>
  <c r="X236" i="12"/>
  <c r="I484" i="5"/>
  <c r="O483" i="5"/>
  <c r="W631" i="12"/>
  <c r="X631" i="12"/>
  <c r="Y200" i="12"/>
  <c r="AO199" i="12"/>
  <c r="X244" i="12"/>
  <c r="W244" i="12"/>
  <c r="C365" i="6"/>
  <c r="O365" i="5"/>
  <c r="E157" i="6"/>
  <c r="D157" i="12"/>
  <c r="J199" i="12"/>
  <c r="C199" i="12"/>
  <c r="C595" i="6"/>
  <c r="O595" i="5"/>
  <c r="E671" i="6"/>
  <c r="D671" i="12"/>
  <c r="N568" i="12"/>
  <c r="O567" i="12"/>
  <c r="N567" i="12" s="1"/>
  <c r="U487" i="12"/>
  <c r="V487" i="12"/>
  <c r="T487" i="12"/>
  <c r="U502" i="12"/>
  <c r="V502" i="12"/>
  <c r="T502" i="12"/>
  <c r="E162" i="6"/>
  <c r="D162" i="12"/>
  <c r="C155" i="6"/>
  <c r="O155" i="5"/>
  <c r="E215" i="6"/>
  <c r="D215" i="12"/>
  <c r="J114" i="12"/>
  <c r="C114" i="12"/>
  <c r="F135" i="8"/>
  <c r="AC134" i="8"/>
  <c r="G135" i="8"/>
  <c r="T134" i="8"/>
  <c r="G134" i="8"/>
  <c r="I135" i="8" s="1"/>
  <c r="F134" i="8"/>
  <c r="X134" i="8"/>
  <c r="Y134" i="8"/>
  <c r="V134" i="8"/>
  <c r="W134" i="8"/>
  <c r="AD134" i="8"/>
  <c r="Z134" i="8"/>
  <c r="AA134" i="8"/>
  <c r="C134" i="8"/>
  <c r="U134" i="8"/>
  <c r="AE134" i="8"/>
  <c r="D134" i="8"/>
  <c r="AB134" i="8"/>
  <c r="O121" i="5"/>
  <c r="C121" i="6"/>
  <c r="J16" i="12"/>
  <c r="C16" i="12"/>
  <c r="T573" i="12"/>
  <c r="V573" i="12"/>
  <c r="U573" i="12"/>
  <c r="W20" i="8"/>
  <c r="AB20" i="8"/>
  <c r="AC20" i="8"/>
  <c r="C20" i="8"/>
  <c r="G20" i="8"/>
  <c r="I21" i="8" s="1"/>
  <c r="AD20" i="8"/>
  <c r="U20" i="8"/>
  <c r="Y20" i="8"/>
  <c r="V20" i="8"/>
  <c r="AA20" i="8"/>
  <c r="F20" i="8"/>
  <c r="F21" i="8"/>
  <c r="Z20" i="8"/>
  <c r="G21" i="8"/>
  <c r="X20" i="8"/>
  <c r="AE20" i="8"/>
  <c r="D20" i="8"/>
  <c r="T20" i="8"/>
  <c r="V376" i="12"/>
  <c r="T376" i="12"/>
  <c r="U376" i="12"/>
  <c r="T206" i="12"/>
  <c r="V206" i="12"/>
  <c r="U206" i="12"/>
  <c r="D439" i="12"/>
  <c r="E439" i="6"/>
  <c r="G107" i="8"/>
  <c r="I108" i="8" s="1"/>
  <c r="T107" i="8"/>
  <c r="AE107" i="8"/>
  <c r="AA107" i="8"/>
  <c r="W107" i="8"/>
  <c r="F107" i="8"/>
  <c r="G108" i="8"/>
  <c r="Y107" i="8"/>
  <c r="U107" i="8"/>
  <c r="C107" i="8"/>
  <c r="AC107" i="8"/>
  <c r="D107" i="8"/>
  <c r="V107" i="8"/>
  <c r="Z107" i="8"/>
  <c r="F108" i="8"/>
  <c r="AD107" i="8"/>
  <c r="X107" i="8"/>
  <c r="AB107" i="8"/>
  <c r="U432" i="12"/>
  <c r="T432" i="12"/>
  <c r="V432" i="12"/>
  <c r="X627" i="12"/>
  <c r="W627" i="12"/>
  <c r="N259" i="12"/>
  <c r="O247" i="12"/>
  <c r="N247" i="12" s="1"/>
  <c r="AB209" i="8"/>
  <c r="F210" i="8"/>
  <c r="AC209" i="8"/>
  <c r="Z209" i="8"/>
  <c r="Y209" i="8"/>
  <c r="V209" i="8"/>
  <c r="T209" i="8"/>
  <c r="G209" i="8"/>
  <c r="I210" i="8" s="1"/>
  <c r="F209" i="8"/>
  <c r="AA209" i="8"/>
  <c r="U209" i="8"/>
  <c r="W209" i="8"/>
  <c r="G210" i="8"/>
  <c r="D209" i="8"/>
  <c r="X209" i="8"/>
  <c r="AE209" i="8"/>
  <c r="C209" i="8"/>
  <c r="AD209" i="8"/>
  <c r="C212" i="6"/>
  <c r="O212" i="5"/>
  <c r="W466" i="12"/>
  <c r="X466" i="12"/>
  <c r="U189" i="12"/>
  <c r="T189" i="12"/>
  <c r="V189" i="12"/>
  <c r="E76" i="6"/>
  <c r="D76" i="12"/>
  <c r="T297" i="12"/>
  <c r="U297" i="12"/>
  <c r="V297" i="12"/>
  <c r="U577" i="12"/>
  <c r="T577" i="12"/>
  <c r="V577" i="12"/>
  <c r="D129" i="12"/>
  <c r="E129" i="6"/>
  <c r="W208" i="12"/>
  <c r="X208" i="12"/>
  <c r="W180" i="12"/>
  <c r="X180" i="12"/>
  <c r="D299" i="12"/>
  <c r="E299" i="6"/>
  <c r="AB227" i="8"/>
  <c r="AC227" i="8"/>
  <c r="F228" i="8"/>
  <c r="G227" i="8"/>
  <c r="I228" i="8" s="1"/>
  <c r="D227" i="8"/>
  <c r="F227" i="8"/>
  <c r="AE227" i="8"/>
  <c r="C227" i="8"/>
  <c r="T227" i="8"/>
  <c r="AA227" i="8"/>
  <c r="G228" i="8"/>
  <c r="Y227" i="8"/>
  <c r="Z227" i="8"/>
  <c r="X227" i="8"/>
  <c r="W227" i="8"/>
  <c r="U227" i="8"/>
  <c r="V227" i="8"/>
  <c r="AD227" i="8"/>
  <c r="U220" i="12"/>
  <c r="T220" i="12"/>
  <c r="V220" i="12"/>
  <c r="D599" i="12"/>
  <c r="E599" i="6"/>
  <c r="U129" i="12"/>
  <c r="V129" i="12"/>
  <c r="T129" i="12"/>
  <c r="D722" i="12"/>
  <c r="E722" i="6"/>
  <c r="J595" i="12"/>
  <c r="C595" i="12"/>
  <c r="U191" i="12"/>
  <c r="V191" i="12"/>
  <c r="T191" i="12"/>
  <c r="U383" i="12"/>
  <c r="T383" i="12"/>
  <c r="V383" i="12"/>
  <c r="T621" i="12"/>
  <c r="U621" i="12"/>
  <c r="V621" i="12"/>
  <c r="T22" i="12"/>
  <c r="V22" i="12"/>
  <c r="U22" i="12"/>
  <c r="T157" i="12"/>
  <c r="V157" i="12"/>
  <c r="U157" i="12"/>
  <c r="Y585" i="12"/>
  <c r="AO580" i="12"/>
  <c r="D339" i="12"/>
  <c r="E339" i="6"/>
  <c r="C126" i="6"/>
  <c r="O126" i="5"/>
  <c r="U666" i="12"/>
  <c r="T666" i="12"/>
  <c r="V666" i="12"/>
  <c r="T281" i="12"/>
  <c r="V281" i="12"/>
  <c r="U281" i="12"/>
  <c r="T165" i="12"/>
  <c r="V165" i="12"/>
  <c r="U165" i="12"/>
  <c r="O114" i="5"/>
  <c r="C114" i="6"/>
  <c r="O591" i="5"/>
  <c r="C591" i="6"/>
  <c r="C319" i="6"/>
  <c r="O319" i="5"/>
  <c r="W137" i="12"/>
  <c r="X137" i="12"/>
  <c r="V650" i="12"/>
  <c r="U650" i="12"/>
  <c r="T650" i="12"/>
  <c r="O440" i="5"/>
  <c r="I441" i="5"/>
  <c r="Y259" i="12"/>
  <c r="AO247" i="12"/>
  <c r="O604" i="5"/>
  <c r="C604" i="6"/>
  <c r="O17" i="5"/>
  <c r="C17" i="6"/>
  <c r="E115" i="6"/>
  <c r="D115" i="12"/>
  <c r="X140" i="12"/>
  <c r="W140" i="12"/>
  <c r="U500" i="12"/>
  <c r="V500" i="12"/>
  <c r="T500" i="12"/>
  <c r="U481" i="12"/>
  <c r="V481" i="12"/>
  <c r="T481" i="12"/>
  <c r="N438" i="12"/>
  <c r="O436" i="12"/>
  <c r="N436" i="12" s="1"/>
  <c r="Y428" i="12"/>
  <c r="AO421" i="12"/>
  <c r="C472" i="12"/>
  <c r="J472" i="12"/>
  <c r="D477" i="12"/>
  <c r="E477" i="6"/>
  <c r="E670" i="6"/>
  <c r="D670" i="12"/>
  <c r="D166" i="12"/>
  <c r="E166" i="6"/>
  <c r="X433" i="12"/>
  <c r="W433" i="12"/>
  <c r="Y311" i="12"/>
  <c r="AO300" i="12"/>
  <c r="O479" i="12"/>
  <c r="N479" i="12" s="1"/>
  <c r="N480" i="12"/>
  <c r="T143" i="8"/>
  <c r="F144" i="8"/>
  <c r="D143" i="8"/>
  <c r="AA143" i="8"/>
  <c r="AD143" i="8"/>
  <c r="Z143" i="8"/>
  <c r="F143" i="8"/>
  <c r="W143" i="8"/>
  <c r="G144" i="8"/>
  <c r="V143" i="8"/>
  <c r="G143" i="8"/>
  <c r="I144" i="8" s="1"/>
  <c r="Y143" i="8"/>
  <c r="C143" i="8"/>
  <c r="AB143" i="8"/>
  <c r="AE143" i="8"/>
  <c r="X143" i="8"/>
  <c r="U143" i="8"/>
  <c r="AC143" i="8"/>
  <c r="C199" i="6"/>
  <c r="O199" i="5"/>
  <c r="N477" i="12"/>
  <c r="O476" i="12"/>
  <c r="N476" i="12" s="1"/>
  <c r="V151" i="12"/>
  <c r="T151" i="12"/>
  <c r="U151" i="12"/>
  <c r="N585" i="12"/>
  <c r="O580" i="12"/>
  <c r="N580" i="12" s="1"/>
  <c r="I341" i="5"/>
  <c r="O340" i="5"/>
  <c r="AD74" i="8"/>
  <c r="AC74" i="8"/>
  <c r="F74" i="8"/>
  <c r="F75" i="8"/>
  <c r="G74" i="8"/>
  <c r="I75" i="8" s="1"/>
  <c r="T74" i="8"/>
  <c r="Y74" i="8"/>
  <c r="AE74" i="8"/>
  <c r="U74" i="8"/>
  <c r="V74" i="8"/>
  <c r="AB74" i="8"/>
  <c r="Z74" i="8"/>
  <c r="W74" i="8"/>
  <c r="D74" i="8"/>
  <c r="C74" i="8"/>
  <c r="AA74" i="8"/>
  <c r="G75" i="8"/>
  <c r="X74" i="8"/>
  <c r="D131" i="12"/>
  <c r="E131" i="6"/>
  <c r="F117" i="8"/>
  <c r="C116" i="8"/>
  <c r="T116" i="8"/>
  <c r="Z116" i="8"/>
  <c r="U116" i="8"/>
  <c r="X116" i="8"/>
  <c r="D116" i="8"/>
  <c r="Y116" i="8"/>
  <c r="G116" i="8"/>
  <c r="I117" i="8" s="1"/>
  <c r="F116" i="8"/>
  <c r="AC116" i="8"/>
  <c r="V116" i="8"/>
  <c r="AA116" i="8"/>
  <c r="AE116" i="8"/>
  <c r="G117" i="8"/>
  <c r="AD116" i="8"/>
  <c r="W116" i="8"/>
  <c r="AB116" i="8"/>
  <c r="X673" i="12"/>
  <c r="W673" i="12"/>
  <c r="W139" i="12"/>
  <c r="X139" i="12"/>
  <c r="D238" i="12"/>
  <c r="E238" i="6"/>
  <c r="O126" i="12"/>
  <c r="N126" i="12" s="1"/>
  <c r="N127" i="12"/>
  <c r="Y124" i="12"/>
  <c r="AO121" i="12"/>
  <c r="J176" i="12"/>
  <c r="C176" i="12"/>
  <c r="U284" i="12"/>
  <c r="T284" i="12"/>
  <c r="V284" i="12"/>
  <c r="D568" i="12"/>
  <c r="E568" i="6"/>
  <c r="C643" i="6"/>
  <c r="O643" i="5"/>
  <c r="T167" i="12"/>
  <c r="U167" i="12"/>
  <c r="V167" i="12"/>
  <c r="I26" i="5"/>
  <c r="O25" i="5"/>
  <c r="J715" i="12"/>
  <c r="C715" i="12"/>
  <c r="L715" i="12"/>
  <c r="C134" i="6"/>
  <c r="O134" i="5"/>
  <c r="N637" i="12"/>
  <c r="O636" i="12"/>
  <c r="N636" i="12" s="1"/>
  <c r="W103" i="10"/>
  <c r="W102" i="10" s="1"/>
  <c r="W104" i="10"/>
  <c r="M104" i="10"/>
  <c r="M103" i="10"/>
  <c r="M102" i="10" s="1"/>
  <c r="E189" i="6"/>
  <c r="D189" i="12"/>
  <c r="V717" i="12"/>
  <c r="U717" i="12"/>
  <c r="T717" i="12"/>
  <c r="N124" i="12"/>
  <c r="O121" i="12"/>
  <c r="N121" i="12" s="1"/>
  <c r="E311" i="6"/>
  <c r="D311" i="12"/>
  <c r="C176" i="6"/>
  <c r="O176" i="5"/>
  <c r="D634" i="12"/>
  <c r="E634" i="6"/>
  <c r="C237" i="6"/>
  <c r="O237" i="5"/>
  <c r="D338" i="12"/>
  <c r="E338" i="6"/>
  <c r="V503" i="12"/>
  <c r="T503" i="12"/>
  <c r="U503" i="12"/>
  <c r="D661" i="12"/>
  <c r="E661" i="6"/>
  <c r="O710" i="12"/>
  <c r="N710" i="12" s="1"/>
  <c r="N711" i="12"/>
  <c r="X193" i="12"/>
  <c r="W193" i="12"/>
  <c r="D147" i="12"/>
  <c r="E147" i="6"/>
  <c r="C221" i="12"/>
  <c r="J221" i="12"/>
  <c r="O640" i="5"/>
  <c r="C640" i="6"/>
  <c r="X494" i="12"/>
  <c r="W494" i="12"/>
  <c r="O104" i="10"/>
  <c r="O103" i="10"/>
  <c r="O102" i="10" s="1"/>
  <c r="Q103" i="10"/>
  <c r="Q102" i="10" s="1"/>
  <c r="Q104" i="10"/>
  <c r="W469" i="12"/>
  <c r="X469" i="12"/>
  <c r="E226" i="6"/>
  <c r="D226" i="12"/>
  <c r="AO126" i="12"/>
  <c r="Y127" i="12"/>
  <c r="W217" i="12"/>
  <c r="X217" i="12"/>
  <c r="D635" i="12"/>
  <c r="E635" i="6"/>
  <c r="D492" i="12"/>
  <c r="E492" i="6"/>
  <c r="T29" i="12"/>
  <c r="V29" i="12"/>
  <c r="U29" i="12"/>
  <c r="F110" i="8"/>
  <c r="C110" i="8"/>
  <c r="AA110" i="8"/>
  <c r="Y110" i="8"/>
  <c r="G110" i="8"/>
  <c r="I111" i="8" s="1"/>
  <c r="AE110" i="8"/>
  <c r="G111" i="8"/>
  <c r="Z110" i="8"/>
  <c r="W110" i="8"/>
  <c r="D110" i="8"/>
  <c r="AD110" i="8"/>
  <c r="U110" i="8"/>
  <c r="AC110" i="8"/>
  <c r="T110" i="8"/>
  <c r="V110" i="8"/>
  <c r="X110" i="8"/>
  <c r="F111" i="8"/>
  <c r="AB110" i="8"/>
  <c r="W218" i="8"/>
  <c r="F219" i="8"/>
  <c r="AC218" i="8"/>
  <c r="C218" i="8"/>
  <c r="V218" i="8"/>
  <c r="T218" i="8"/>
  <c r="F218" i="8"/>
  <c r="Z218" i="8"/>
  <c r="Y218" i="8"/>
  <c r="D218" i="8"/>
  <c r="G218" i="8"/>
  <c r="I219" i="8" s="1"/>
  <c r="X218" i="8"/>
  <c r="AA218" i="8"/>
  <c r="AB218" i="8"/>
  <c r="U218" i="8"/>
  <c r="G219" i="8"/>
  <c r="AE218" i="8"/>
  <c r="AD218" i="8"/>
  <c r="I663" i="5"/>
  <c r="O662" i="5"/>
  <c r="D21" i="12"/>
  <c r="E21" i="6"/>
  <c r="D144" i="12"/>
  <c r="E144" i="6"/>
  <c r="AO152" i="12"/>
  <c r="Y153" i="12"/>
  <c r="X146" i="12"/>
  <c r="W146" i="12"/>
  <c r="W242" i="12"/>
  <c r="X242" i="12"/>
  <c r="O656" i="12"/>
  <c r="N656" i="12" s="1"/>
  <c r="N657" i="12"/>
  <c r="X154" i="12"/>
  <c r="W154" i="12"/>
  <c r="D438" i="12"/>
  <c r="E438" i="6"/>
  <c r="AO668" i="12"/>
  <c r="Y669" i="12"/>
  <c r="U147" i="12"/>
  <c r="V147" i="12"/>
  <c r="T147" i="12"/>
  <c r="V168" i="12"/>
  <c r="T168" i="12"/>
  <c r="U168" i="12"/>
  <c r="U164" i="12"/>
  <c r="V164" i="12"/>
  <c r="T164" i="12"/>
  <c r="W14" i="11"/>
  <c r="O24" i="11"/>
  <c r="L14" i="13"/>
  <c r="C14" i="11"/>
  <c r="D370" i="12"/>
  <c r="E370" i="6"/>
  <c r="V37" i="12"/>
  <c r="U37" i="12"/>
  <c r="T37" i="12"/>
  <c r="V149" i="12"/>
  <c r="U149" i="12"/>
  <c r="T149" i="12"/>
  <c r="T652" i="12"/>
  <c r="U652" i="12"/>
  <c r="V652" i="12"/>
  <c r="V681" i="12"/>
  <c r="T681" i="12"/>
  <c r="U681" i="12"/>
  <c r="T198" i="12"/>
  <c r="V198" i="12"/>
  <c r="U198" i="12"/>
  <c r="Y370" i="12"/>
  <c r="AO365" i="12"/>
  <c r="O293" i="12"/>
  <c r="N293" i="12" s="1"/>
  <c r="N294" i="12"/>
  <c r="W458" i="12"/>
  <c r="X458" i="12"/>
  <c r="W471" i="12"/>
  <c r="X471" i="12"/>
  <c r="C660" i="12"/>
  <c r="J660" i="12"/>
  <c r="E138" i="6"/>
  <c r="D138" i="12"/>
  <c r="D642" i="12"/>
  <c r="E642" i="6"/>
  <c r="D187" i="12"/>
  <c r="E187" i="6"/>
  <c r="C365" i="12"/>
  <c r="J365" i="12"/>
  <c r="D429" i="12"/>
  <c r="E429" i="6"/>
  <c r="E260" i="6"/>
  <c r="D260" i="12"/>
  <c r="O710" i="5"/>
  <c r="C710" i="6"/>
  <c r="U598" i="12"/>
  <c r="T598" i="12"/>
  <c r="V598" i="12"/>
  <c r="U186" i="12"/>
  <c r="V186" i="12"/>
  <c r="T186" i="12"/>
  <c r="I192" i="5"/>
  <c r="O191" i="5"/>
  <c r="X395" i="12"/>
  <c r="W395" i="12"/>
  <c r="T461" i="12"/>
  <c r="V461" i="12"/>
  <c r="U461" i="12"/>
  <c r="E313" i="6"/>
  <c r="D313" i="12"/>
  <c r="E560" i="6"/>
  <c r="D560" i="12"/>
  <c r="E535" i="6"/>
  <c r="D535" i="12"/>
  <c r="N338" i="12"/>
  <c r="O319" i="12"/>
  <c r="N319" i="12" s="1"/>
  <c r="W159" i="12"/>
  <c r="X159" i="12"/>
  <c r="U508" i="12"/>
  <c r="V508" i="12"/>
  <c r="T508" i="12"/>
  <c r="N606" i="12"/>
  <c r="O604" i="12"/>
  <c r="N604" i="12" s="1"/>
  <c r="I103" i="10"/>
  <c r="I102" i="10" s="1"/>
  <c r="Y9" i="10" s="1"/>
  <c r="I104" i="10"/>
  <c r="AE9" i="10" s="1"/>
  <c r="X132" i="12"/>
  <c r="W132" i="12"/>
  <c r="X144" i="12"/>
  <c r="W144" i="12"/>
  <c r="E592" i="6"/>
  <c r="D592" i="12"/>
  <c r="I624" i="5"/>
  <c r="O623" i="5"/>
  <c r="N135" i="12"/>
  <c r="O134" i="12"/>
  <c r="N134" i="12" s="1"/>
  <c r="N642" i="12"/>
  <c r="O640" i="12"/>
  <c r="N640" i="12" s="1"/>
  <c r="E658" i="6"/>
  <c r="D658" i="12"/>
  <c r="V400" i="12"/>
  <c r="T400" i="12"/>
  <c r="U400" i="12"/>
  <c r="E714" i="6"/>
  <c r="D714" i="12"/>
  <c r="C643" i="12"/>
  <c r="J643" i="12"/>
  <c r="I497" i="5"/>
  <c r="O496" i="5"/>
  <c r="O567" i="5"/>
  <c r="C567" i="6"/>
  <c r="F251" i="8"/>
  <c r="Z251" i="8"/>
  <c r="W251" i="8"/>
  <c r="C251" i="8"/>
  <c r="X251" i="8"/>
  <c r="D251" i="8"/>
  <c r="AB251" i="8"/>
  <c r="F252" i="8"/>
  <c r="AC251" i="8"/>
  <c r="T251" i="8"/>
  <c r="AA251" i="8"/>
  <c r="AD251" i="8"/>
  <c r="U251" i="8"/>
  <c r="Y251" i="8"/>
  <c r="V251" i="8"/>
  <c r="G252" i="8"/>
  <c r="G251" i="8"/>
  <c r="I252" i="8" s="1"/>
  <c r="AE251" i="8"/>
  <c r="X205" i="12"/>
  <c r="W205" i="12"/>
  <c r="E156" i="6"/>
  <c r="D156" i="12"/>
  <c r="X658" i="12"/>
  <c r="W658" i="12"/>
  <c r="N370" i="12"/>
  <c r="O365" i="12"/>
  <c r="N365" i="12" s="1"/>
  <c r="X161" i="12"/>
  <c r="W161" i="12"/>
  <c r="O479" i="5"/>
  <c r="C479" i="6"/>
  <c r="O237" i="12"/>
  <c r="N237" i="12" s="1"/>
  <c r="N238" i="12"/>
  <c r="E122" i="6"/>
  <c r="D122" i="12"/>
  <c r="V564" i="12"/>
  <c r="U564" i="12"/>
  <c r="T564" i="12"/>
  <c r="C604" i="12"/>
  <c r="J604" i="12"/>
  <c r="L604" i="12"/>
  <c r="X128" i="12"/>
  <c r="W128" i="12"/>
  <c r="J169" i="12"/>
  <c r="C169" i="12"/>
  <c r="W141" i="12"/>
  <c r="X141" i="12"/>
  <c r="Y238" i="12"/>
  <c r="AO237" i="12"/>
  <c r="D312" i="12"/>
  <c r="E312" i="6"/>
  <c r="W576" i="12"/>
  <c r="X576" i="12"/>
  <c r="X283" i="12"/>
  <c r="W283" i="12"/>
  <c r="U235" i="12"/>
  <c r="V235" i="12"/>
  <c r="T235" i="12"/>
  <c r="O668" i="12"/>
  <c r="N668" i="12" s="1"/>
  <c r="N669" i="12"/>
  <c r="D161" i="12"/>
  <c r="E161" i="6"/>
  <c r="V449" i="12"/>
  <c r="T449" i="12"/>
  <c r="U449" i="12"/>
  <c r="C402" i="12"/>
  <c r="J402" i="12"/>
  <c r="D179" i="12"/>
  <c r="E179" i="6"/>
  <c r="O430" i="5"/>
  <c r="I431" i="5"/>
  <c r="I262" i="5"/>
  <c r="O261" i="5"/>
  <c r="O103" i="5"/>
  <c r="C103" i="6"/>
  <c r="D145" i="12"/>
  <c r="E145" i="6"/>
  <c r="D190" i="12"/>
  <c r="E190" i="6"/>
  <c r="V418" i="12"/>
  <c r="U418" i="12"/>
  <c r="T418" i="12"/>
  <c r="X178" i="12"/>
  <c r="W178" i="12"/>
  <c r="D585" i="12"/>
  <c r="E585" i="6"/>
  <c r="O490" i="5"/>
  <c r="C490" i="6"/>
  <c r="U103" i="10"/>
  <c r="U102" i="10" s="1"/>
  <c r="U104" i="10"/>
  <c r="D574" i="12"/>
  <c r="E574" i="6"/>
  <c r="E536" i="6"/>
  <c r="D536" i="12"/>
  <c r="D622" i="12"/>
  <c r="E622" i="6"/>
  <c r="U212" i="8"/>
  <c r="Y212" i="8"/>
  <c r="T212" i="8"/>
  <c r="AE212" i="8"/>
  <c r="AA212" i="8"/>
  <c r="G213" i="8"/>
  <c r="V212" i="8"/>
  <c r="W212" i="8"/>
  <c r="AC212" i="8"/>
  <c r="F212" i="8"/>
  <c r="G212" i="8"/>
  <c r="I213" i="8" s="1"/>
  <c r="C212" i="8"/>
  <c r="AB212" i="8"/>
  <c r="X212" i="8"/>
  <c r="F213" i="8"/>
  <c r="D212" i="8"/>
  <c r="Z212" i="8"/>
  <c r="AD212" i="8"/>
  <c r="W401" i="12"/>
  <c r="X401" i="12"/>
  <c r="C74" i="6"/>
  <c r="O74" i="5"/>
  <c r="C237" i="12"/>
  <c r="J237" i="12"/>
  <c r="X506" i="12"/>
  <c r="W506" i="12"/>
  <c r="T653" i="12"/>
  <c r="V653" i="12"/>
  <c r="U653" i="12"/>
  <c r="D495" i="12"/>
  <c r="E495" i="6"/>
  <c r="E201" i="6"/>
  <c r="D201" i="12"/>
  <c r="Y711" i="12"/>
  <c r="AO710" i="12"/>
  <c r="Y710" i="12" s="1"/>
  <c r="Y620" i="12"/>
  <c r="AO618" i="12"/>
  <c r="AO490" i="12"/>
  <c r="Y491" i="12"/>
  <c r="W501" i="12"/>
  <c r="X501" i="12"/>
  <c r="AO656" i="12"/>
  <c r="Y657" i="12"/>
  <c r="X632" i="12"/>
  <c r="W632" i="12"/>
  <c r="X493" i="12"/>
  <c r="W493" i="12"/>
  <c r="D139" i="12"/>
  <c r="E139" i="6"/>
  <c r="E565" i="6"/>
  <c r="D565" i="12"/>
  <c r="W579" i="12"/>
  <c r="X579" i="12"/>
  <c r="D95" i="8"/>
  <c r="AE95" i="8"/>
  <c r="AC95" i="8"/>
  <c r="W95" i="8"/>
  <c r="V95" i="8"/>
  <c r="AD95" i="8"/>
  <c r="G96" i="8"/>
  <c r="X95" i="8"/>
  <c r="Z95" i="8"/>
  <c r="G95" i="8"/>
  <c r="I96" i="8" s="1"/>
  <c r="AB95" i="8"/>
  <c r="Y95" i="8"/>
  <c r="F95" i="8"/>
  <c r="U95" i="8"/>
  <c r="C95" i="8"/>
  <c r="T95" i="8"/>
  <c r="F96" i="8"/>
  <c r="AA95" i="8"/>
  <c r="D18" i="12"/>
  <c r="E18" i="6"/>
  <c r="U197" i="8"/>
  <c r="V197" i="8"/>
  <c r="G198" i="8"/>
  <c r="AB197" i="8"/>
  <c r="X197" i="8"/>
  <c r="C197" i="8"/>
  <c r="D197" i="8"/>
  <c r="W197" i="8"/>
  <c r="T197" i="8"/>
  <c r="Z197" i="8"/>
  <c r="AA197" i="8"/>
  <c r="F198" i="8"/>
  <c r="G197" i="8"/>
  <c r="I198" i="8" s="1"/>
  <c r="AE197" i="8"/>
  <c r="AC197" i="8"/>
  <c r="F197" i="8"/>
  <c r="Y197" i="8"/>
  <c r="AD197" i="8"/>
  <c r="E228" i="6"/>
  <c r="D228" i="12"/>
  <c r="AO715" i="12"/>
  <c r="Y715" i="12" s="1"/>
  <c r="Y716" i="12"/>
  <c r="T371" i="12"/>
  <c r="V371" i="12"/>
  <c r="U371" i="12"/>
  <c r="X162" i="12"/>
  <c r="W162" i="12"/>
  <c r="W194" i="12"/>
  <c r="X194" i="12"/>
  <c r="N644" i="12"/>
  <c r="O643" i="12"/>
  <c r="N643" i="12" s="1"/>
  <c r="E598" i="6"/>
  <c r="D598" i="12"/>
  <c r="D597" i="12"/>
  <c r="E597" i="6"/>
  <c r="U570" i="12"/>
  <c r="V570" i="12"/>
  <c r="T570" i="12"/>
  <c r="D630" i="12"/>
  <c r="E630" i="6"/>
  <c r="Z86" i="8"/>
  <c r="AA86" i="8"/>
  <c r="V86" i="8"/>
  <c r="AC86" i="8"/>
  <c r="AB86" i="8"/>
  <c r="G87" i="8"/>
  <c r="T86" i="8"/>
  <c r="W86" i="8"/>
  <c r="F87" i="8"/>
  <c r="AD86" i="8"/>
  <c r="D86" i="8"/>
  <c r="F86" i="8"/>
  <c r="AE86" i="8"/>
  <c r="X86" i="8"/>
  <c r="G86" i="8"/>
  <c r="I87" i="8" s="1"/>
  <c r="C86" i="8"/>
  <c r="U86" i="8"/>
  <c r="Y86" i="8"/>
  <c r="N170" i="12"/>
  <c r="O169" i="12"/>
  <c r="N169" i="12" s="1"/>
  <c r="D491" i="12"/>
  <c r="E491" i="6"/>
  <c r="D586" i="12"/>
  <c r="E586" i="6"/>
  <c r="Y76" i="12"/>
  <c r="AO74" i="12"/>
  <c r="G168" i="8"/>
  <c r="V167" i="8"/>
  <c r="C167" i="8"/>
  <c r="X167" i="8"/>
  <c r="W167" i="8"/>
  <c r="Z167" i="8"/>
  <c r="AD167" i="8"/>
  <c r="F168" i="8"/>
  <c r="Y167" i="8"/>
  <c r="U167" i="8"/>
  <c r="D167" i="8"/>
  <c r="AA167" i="8"/>
  <c r="AE167" i="8"/>
  <c r="T167" i="8"/>
  <c r="G167" i="8"/>
  <c r="I168" i="8" s="1"/>
  <c r="F167" i="8"/>
  <c r="AB167" i="8"/>
  <c r="AC167" i="8"/>
  <c r="C436" i="6"/>
  <c r="O436" i="5"/>
  <c r="U227" i="12"/>
  <c r="V227" i="12"/>
  <c r="T227" i="12"/>
  <c r="U649" i="12"/>
  <c r="T649" i="12"/>
  <c r="V649" i="12"/>
  <c r="V498" i="12"/>
  <c r="U498" i="12"/>
  <c r="T498" i="12"/>
  <c r="Y296" i="12"/>
  <c r="AO295" i="12"/>
  <c r="C206" i="8"/>
  <c r="J421" i="12"/>
  <c r="C421" i="12"/>
  <c r="S103" i="10"/>
  <c r="S102" i="10" s="1"/>
  <c r="S104" i="10"/>
  <c r="O575" i="5"/>
  <c r="I576" i="5"/>
  <c r="I538" i="5"/>
  <c r="O537" i="5"/>
  <c r="N156" i="12"/>
  <c r="O155" i="12"/>
  <c r="N155" i="12" s="1"/>
  <c r="Y596" i="12"/>
  <c r="AO595" i="12"/>
  <c r="E220" i="6"/>
  <c r="D220" i="12"/>
  <c r="AE44" i="8"/>
  <c r="D44" i="8"/>
  <c r="C44" i="8"/>
  <c r="AD44" i="8"/>
  <c r="AC44" i="8"/>
  <c r="F44" i="8"/>
  <c r="W44" i="8"/>
  <c r="G44" i="8"/>
  <c r="I45" i="8" s="1"/>
  <c r="AA44" i="8"/>
  <c r="X44" i="8"/>
  <c r="F45" i="8"/>
  <c r="T44" i="8"/>
  <c r="AB44" i="8"/>
  <c r="Z44" i="8"/>
  <c r="U44" i="8"/>
  <c r="Y44" i="8"/>
  <c r="G45" i="8"/>
  <c r="V44" i="8"/>
  <c r="G189" i="8"/>
  <c r="V188" i="8"/>
  <c r="Y188" i="8"/>
  <c r="T188" i="8"/>
  <c r="F189" i="8"/>
  <c r="D188" i="8"/>
  <c r="AE188" i="8"/>
  <c r="U188" i="8"/>
  <c r="AA188" i="8"/>
  <c r="F188" i="8"/>
  <c r="W188" i="8"/>
  <c r="X188" i="8"/>
  <c r="Z188" i="8"/>
  <c r="AC188" i="8"/>
  <c r="G188" i="8"/>
  <c r="I189" i="8" s="1"/>
  <c r="AB188" i="8"/>
  <c r="AD188" i="8"/>
  <c r="I203" i="5"/>
  <c r="O202" i="5"/>
  <c r="E672" i="6"/>
  <c r="D672" i="12"/>
  <c r="O715" i="5"/>
  <c r="C715" i="6"/>
  <c r="N491" i="12"/>
  <c r="O490" i="12"/>
  <c r="N490" i="12" s="1"/>
  <c r="C319" i="12"/>
  <c r="J319" i="12"/>
  <c r="L319" i="12"/>
  <c r="C300" i="6"/>
  <c r="O300" i="5"/>
  <c r="E562" i="6"/>
  <c r="D562" i="12"/>
  <c r="X224" i="12"/>
  <c r="W224" i="12"/>
  <c r="W226" i="12"/>
  <c r="X226" i="12"/>
  <c r="W431" i="12"/>
  <c r="X431" i="12"/>
  <c r="Z230" i="8"/>
  <c r="V230" i="8"/>
  <c r="Y230" i="8"/>
  <c r="G230" i="8"/>
  <c r="I231" i="8" s="1"/>
  <c r="W230" i="8"/>
  <c r="U230" i="8"/>
  <c r="C230" i="8"/>
  <c r="F230" i="8"/>
  <c r="T230" i="8"/>
  <c r="AA230" i="8"/>
  <c r="F231" i="8"/>
  <c r="D230" i="8"/>
  <c r="AB230" i="8"/>
  <c r="G231" i="8"/>
  <c r="AE230" i="8"/>
  <c r="AC230" i="8"/>
  <c r="X230" i="8"/>
  <c r="AD230" i="8"/>
  <c r="U136" i="12"/>
  <c r="T136" i="12"/>
  <c r="V136" i="12"/>
  <c r="V625" i="12"/>
  <c r="U625" i="12"/>
  <c r="T625" i="12"/>
  <c r="O712" i="5"/>
  <c r="C712" i="6"/>
  <c r="W560" i="12"/>
  <c r="X560" i="12"/>
  <c r="O123" i="5"/>
  <c r="I124" i="5"/>
  <c r="J668" i="12"/>
  <c r="C668" i="12"/>
  <c r="L668" i="12"/>
  <c r="W478" i="12"/>
  <c r="X478" i="12"/>
  <c r="D146" i="12"/>
  <c r="E146" i="6"/>
  <c r="G123" i="8"/>
  <c r="AE122" i="8"/>
  <c r="D122" i="8"/>
  <c r="W122" i="8"/>
  <c r="Z122" i="8"/>
  <c r="AC122" i="8"/>
  <c r="AA122" i="8"/>
  <c r="U122" i="8"/>
  <c r="F122" i="8"/>
  <c r="F123" i="8"/>
  <c r="C122" i="8"/>
  <c r="AD122" i="8"/>
  <c r="X122" i="8"/>
  <c r="G122" i="8"/>
  <c r="I123" i="8" s="1"/>
  <c r="V122" i="8"/>
  <c r="T122" i="8"/>
  <c r="Y122" i="8"/>
  <c r="AB122" i="8"/>
  <c r="D474" i="12"/>
  <c r="E474" i="6"/>
  <c r="T561" i="12"/>
  <c r="U561" i="12"/>
  <c r="V561" i="12"/>
  <c r="W344" i="12"/>
  <c r="X344" i="12"/>
  <c r="U239" i="12"/>
  <c r="T239" i="12"/>
  <c r="V239" i="12"/>
  <c r="X389" i="12"/>
  <c r="W389" i="12"/>
  <c r="V216" i="12"/>
  <c r="U216" i="12"/>
  <c r="T216" i="12"/>
  <c r="U285" i="12"/>
  <c r="T285" i="12"/>
  <c r="V285" i="12"/>
  <c r="E130" i="6"/>
  <c r="D130" i="12"/>
  <c r="O721" i="12"/>
  <c r="N721" i="12" s="1"/>
  <c r="N722" i="12"/>
  <c r="U675" i="12"/>
  <c r="T675" i="12"/>
  <c r="V675" i="12"/>
  <c r="J293" i="12"/>
  <c r="C293" i="12"/>
  <c r="N115" i="12"/>
  <c r="O114" i="12"/>
  <c r="AA104" i="10"/>
  <c r="AA103" i="10"/>
  <c r="AA102" i="10" s="1"/>
  <c r="O233" i="12"/>
  <c r="N233" i="12" s="1"/>
  <c r="N234" i="12"/>
  <c r="T571" i="12"/>
  <c r="V571" i="12"/>
  <c r="U571" i="12"/>
  <c r="V409" i="12"/>
  <c r="T409" i="12"/>
  <c r="U409" i="12"/>
  <c r="Y135" i="12"/>
  <c r="AO134" i="12"/>
  <c r="Y134" i="12" s="1"/>
  <c r="Y642" i="12"/>
  <c r="AO640" i="12"/>
  <c r="Y559" i="12"/>
  <c r="AO543" i="12"/>
  <c r="Y156" i="12"/>
  <c r="AO155" i="12"/>
  <c r="N596" i="12"/>
  <c r="O595" i="12"/>
  <c r="N595" i="12" s="1"/>
  <c r="E177" i="6"/>
  <c r="D177" i="12"/>
  <c r="D219" i="12"/>
  <c r="E219" i="6"/>
  <c r="U434" i="12"/>
  <c r="T434" i="12"/>
  <c r="V434" i="12"/>
  <c r="AO591" i="12"/>
  <c r="Y592" i="12"/>
  <c r="D620" i="12"/>
  <c r="E620" i="6"/>
  <c r="D606" i="12"/>
  <c r="E606" i="6"/>
  <c r="T133" i="12"/>
  <c r="V133" i="12"/>
  <c r="U133" i="12"/>
  <c r="W602" i="12"/>
  <c r="X602" i="12"/>
  <c r="N620" i="12"/>
  <c r="O618" i="12"/>
  <c r="N618" i="12" s="1"/>
  <c r="E167" i="6"/>
  <c r="D167" i="12"/>
  <c r="Y474" i="12"/>
  <c r="AO472" i="12"/>
  <c r="E559" i="6"/>
  <c r="D559" i="12"/>
  <c r="O176" i="12"/>
  <c r="N176" i="12" s="1"/>
  <c r="N177" i="12"/>
  <c r="G14" i="8"/>
  <c r="I15" i="8" s="1"/>
  <c r="Q261" i="8"/>
  <c r="H261" i="8" s="1"/>
  <c r="F15" i="8"/>
  <c r="F14" i="8"/>
  <c r="G15" i="8"/>
  <c r="E480" i="6"/>
  <c r="D480" i="12"/>
  <c r="D159" i="12"/>
  <c r="E159" i="6"/>
  <c r="AO643" i="12"/>
  <c r="Y644" i="12"/>
  <c r="X385" i="12"/>
  <c r="W385" i="12"/>
  <c r="Y215" i="12"/>
  <c r="AO212" i="12"/>
  <c r="E428" i="6"/>
  <c r="D428" i="12"/>
  <c r="AO721" i="12"/>
  <c r="Y722" i="12"/>
  <c r="E137" i="6"/>
  <c r="D137" i="12"/>
  <c r="W562" i="12"/>
  <c r="X562" i="12"/>
  <c r="X572" i="12"/>
  <c r="W572" i="12"/>
  <c r="D181" i="12"/>
  <c r="E181" i="6"/>
  <c r="D163" i="12"/>
  <c r="E163" i="6"/>
  <c r="D294" i="12"/>
  <c r="E294" i="6"/>
  <c r="T196" i="12"/>
  <c r="V196" i="12"/>
  <c r="U196" i="12"/>
  <c r="T21" i="12"/>
  <c r="V21" i="12"/>
  <c r="U21" i="12"/>
  <c r="Y146" i="8"/>
  <c r="V146" i="8"/>
  <c r="X146" i="8"/>
  <c r="T146" i="8"/>
  <c r="U146" i="8"/>
  <c r="C146" i="8"/>
  <c r="G146" i="8"/>
  <c r="I147" i="8" s="1"/>
  <c r="AE146" i="8"/>
  <c r="F146" i="8"/>
  <c r="F147" i="8"/>
  <c r="D146" i="8"/>
  <c r="AB146" i="8"/>
  <c r="Z146" i="8"/>
  <c r="G147" i="8"/>
  <c r="AD146" i="8"/>
  <c r="W146" i="8"/>
  <c r="AA146" i="8"/>
  <c r="AC146" i="8"/>
  <c r="AA254" i="8"/>
  <c r="F255" i="8"/>
  <c r="G254" i="8"/>
  <c r="I255" i="8" s="1"/>
  <c r="W254" i="8"/>
  <c r="C254" i="8"/>
  <c r="T254" i="8"/>
  <c r="U254" i="8"/>
  <c r="V254" i="8"/>
  <c r="AB254" i="8"/>
  <c r="D254" i="8"/>
  <c r="Z254" i="8"/>
  <c r="AD254" i="8"/>
  <c r="X254" i="8"/>
  <c r="AC254" i="8"/>
  <c r="G255" i="8"/>
  <c r="F254" i="8"/>
  <c r="Y254" i="8"/>
  <c r="AE254" i="8"/>
  <c r="E644" i="6"/>
  <c r="D644" i="12"/>
  <c r="D657" i="12"/>
  <c r="E657" i="6"/>
  <c r="U397" i="12"/>
  <c r="V397" i="12"/>
  <c r="T397" i="12"/>
  <c r="I183" i="5"/>
  <c r="O182" i="5"/>
  <c r="AO169" i="12"/>
  <c r="Y170" i="12"/>
  <c r="O152" i="5"/>
  <c r="C152" i="6"/>
  <c r="E405" i="6"/>
  <c r="D405" i="12"/>
  <c r="E180" i="6"/>
  <c r="D180" i="12"/>
  <c r="X160" i="12"/>
  <c r="W160" i="12"/>
  <c r="O543" i="5"/>
  <c r="C543" i="6"/>
  <c r="T659" i="12"/>
  <c r="U659" i="12"/>
  <c r="V659" i="12"/>
  <c r="V457" i="12"/>
  <c r="U457" i="12"/>
  <c r="T457" i="12"/>
  <c r="T467" i="12"/>
  <c r="V467" i="12"/>
  <c r="U467" i="12"/>
  <c r="O587" i="5"/>
  <c r="I588" i="5"/>
  <c r="T138" i="12"/>
  <c r="V138" i="12"/>
  <c r="U138" i="12"/>
  <c r="T723" i="12"/>
  <c r="U723" i="12"/>
  <c r="V723" i="12"/>
  <c r="E494" i="6"/>
  <c r="D494" i="12"/>
  <c r="X565" i="12"/>
  <c r="W565" i="12"/>
  <c r="Y535" i="12"/>
  <c r="AO530" i="12"/>
  <c r="O402" i="5"/>
  <c r="C402" i="6"/>
  <c r="E659" i="6"/>
  <c r="D659" i="12"/>
  <c r="X241" i="12"/>
  <c r="W241" i="12"/>
  <c r="D596" i="12"/>
  <c r="E596" i="6"/>
  <c r="Y223" i="12"/>
  <c r="AO221" i="12"/>
  <c r="O476" i="5"/>
  <c r="C476" i="6"/>
  <c r="Z62" i="8"/>
  <c r="T62" i="8"/>
  <c r="V62" i="8"/>
  <c r="Y62" i="8"/>
  <c r="F63" i="8"/>
  <c r="AA62" i="8"/>
  <c r="AD62" i="8"/>
  <c r="AE62" i="8"/>
  <c r="G63" i="8"/>
  <c r="C62" i="8"/>
  <c r="F62" i="8"/>
  <c r="U62" i="8"/>
  <c r="AC62" i="8"/>
  <c r="G62" i="8"/>
  <c r="I63" i="8" s="1"/>
  <c r="X62" i="8"/>
  <c r="AB62" i="8"/>
  <c r="D62" i="8"/>
  <c r="W62" i="8"/>
  <c r="U131" i="12"/>
  <c r="T131" i="12"/>
  <c r="V131" i="12"/>
  <c r="U192" i="12"/>
  <c r="T192" i="12"/>
  <c r="V192" i="12"/>
  <c r="I676" i="5"/>
  <c r="O675" i="5"/>
  <c r="U207" i="12"/>
  <c r="T207" i="12"/>
  <c r="V207" i="12"/>
  <c r="O184" i="12"/>
  <c r="N184" i="12" s="1"/>
  <c r="N185" i="12"/>
  <c r="J490" i="12"/>
  <c r="C490" i="12"/>
  <c r="L490" i="12"/>
  <c r="E637" i="6"/>
  <c r="D637" i="12"/>
  <c r="F224" i="8"/>
  <c r="U224" i="8"/>
  <c r="V224" i="8"/>
  <c r="C224" i="8"/>
  <c r="Y224" i="8"/>
  <c r="T224" i="8"/>
  <c r="AC224" i="8"/>
  <c r="D224" i="8"/>
  <c r="Z224" i="8"/>
  <c r="AB224" i="8"/>
  <c r="G224" i="8"/>
  <c r="I225" i="8" s="1"/>
  <c r="AE224" i="8"/>
  <c r="F225" i="8"/>
  <c r="X224" i="8"/>
  <c r="AA224" i="8"/>
  <c r="W224" i="8"/>
  <c r="G225" i="8"/>
  <c r="AD224" i="8"/>
  <c r="E20" i="6"/>
  <c r="D20" i="12"/>
  <c r="O169" i="5"/>
  <c r="C169" i="6"/>
  <c r="W314" i="12"/>
  <c r="X314" i="12"/>
  <c r="X118" i="12"/>
  <c r="W118" i="12"/>
  <c r="D164" i="12"/>
  <c r="E164" i="6"/>
  <c r="X150" i="12"/>
  <c r="W150" i="12"/>
  <c r="X143" i="12"/>
  <c r="W143" i="12"/>
  <c r="D142" i="12"/>
  <c r="E142" i="6"/>
  <c r="AO114" i="12"/>
  <c r="Y114" i="12" s="1"/>
  <c r="Y115" i="12"/>
  <c r="AD80" i="8"/>
  <c r="G81" i="8"/>
  <c r="AC80" i="8"/>
  <c r="W80" i="8"/>
  <c r="Z80" i="8"/>
  <c r="D80" i="8"/>
  <c r="G80" i="8"/>
  <c r="I81" i="8" s="1"/>
  <c r="U80" i="8"/>
  <c r="AA80" i="8"/>
  <c r="T80" i="8"/>
  <c r="F81" i="8"/>
  <c r="V80" i="8"/>
  <c r="C80" i="8"/>
  <c r="Y80" i="8"/>
  <c r="AB80" i="8"/>
  <c r="F80" i="8"/>
  <c r="AE80" i="8"/>
  <c r="X80" i="8"/>
  <c r="Y665" i="12"/>
  <c r="AO660" i="12"/>
  <c r="D645" i="12"/>
  <c r="E645" i="6"/>
  <c r="J618" i="12"/>
  <c r="C618" i="12"/>
  <c r="L618" i="12"/>
  <c r="T182" i="8"/>
  <c r="G182" i="8"/>
  <c r="I183" i="8" s="1"/>
  <c r="AD182" i="8"/>
  <c r="W182" i="8"/>
  <c r="D182" i="8"/>
  <c r="F182" i="8"/>
  <c r="U182" i="8"/>
  <c r="C182" i="8"/>
  <c r="F183" i="8"/>
  <c r="AE182" i="8"/>
  <c r="Y182" i="8"/>
  <c r="AA182" i="8"/>
  <c r="Z182" i="8"/>
  <c r="V182" i="8"/>
  <c r="G183" i="8"/>
  <c r="X182" i="8"/>
  <c r="AB182" i="8"/>
  <c r="AC182" i="8"/>
  <c r="C628" i="6"/>
  <c r="O628" i="5"/>
  <c r="J212" i="12"/>
  <c r="C212" i="12"/>
  <c r="X462" i="12"/>
  <c r="W462" i="12"/>
  <c r="O17" i="12"/>
  <c r="O16" i="12"/>
  <c r="N18" i="12"/>
  <c r="X166" i="12"/>
  <c r="W166" i="12"/>
  <c r="T670" i="12"/>
  <c r="V670" i="12"/>
  <c r="U670" i="12"/>
  <c r="AO19" i="12"/>
  <c r="Y20" i="12"/>
  <c r="U718" i="12"/>
  <c r="T718" i="12"/>
  <c r="V718" i="12"/>
  <c r="O472" i="5"/>
  <c r="C472" i="6"/>
  <c r="E186" i="6"/>
  <c r="D186" i="12"/>
  <c r="T245" i="12"/>
  <c r="U245" i="12"/>
  <c r="V245" i="12"/>
  <c r="T651" i="12"/>
  <c r="U651" i="12"/>
  <c r="V651" i="12"/>
  <c r="O721" i="5"/>
  <c r="C721" i="6"/>
  <c r="N76" i="12"/>
  <c r="O74" i="12"/>
  <c r="N74" i="12" s="1"/>
  <c r="G165" i="8"/>
  <c r="F165" i="8"/>
  <c r="AA164" i="8"/>
  <c r="T164" i="8"/>
  <c r="V164" i="8"/>
  <c r="W164" i="8"/>
  <c r="U164" i="8"/>
  <c r="F164" i="8"/>
  <c r="AB164" i="8"/>
  <c r="AE164" i="8"/>
  <c r="Y164" i="8"/>
  <c r="X164" i="8"/>
  <c r="G164" i="8"/>
  <c r="I165" i="8" s="1"/>
  <c r="Z164" i="8"/>
  <c r="C164" i="8"/>
  <c r="AD164" i="8"/>
  <c r="D164" i="8"/>
  <c r="AC164" i="8"/>
  <c r="X464" i="12"/>
  <c r="W464" i="12"/>
  <c r="F195" i="8"/>
  <c r="F194" i="8"/>
  <c r="V194" i="8"/>
  <c r="AA194" i="8"/>
  <c r="W194" i="8"/>
  <c r="G195" i="8"/>
  <c r="Z194" i="8"/>
  <c r="AC194" i="8"/>
  <c r="AE194" i="8"/>
  <c r="AB194" i="8"/>
  <c r="C194" i="8"/>
  <c r="U194" i="8"/>
  <c r="T194" i="8"/>
  <c r="G194" i="8"/>
  <c r="I195" i="8" s="1"/>
  <c r="Y194" i="8"/>
  <c r="X194" i="8"/>
  <c r="D194" i="8"/>
  <c r="AD194" i="8"/>
  <c r="W173" i="12"/>
  <c r="X173" i="12"/>
  <c r="J479" i="12"/>
  <c r="C479" i="12"/>
  <c r="L479" i="12"/>
  <c r="D128" i="12"/>
  <c r="E128" i="6"/>
  <c r="V228" i="12"/>
  <c r="U228" i="12"/>
  <c r="T228" i="12"/>
  <c r="W158" i="8"/>
  <c r="G159" i="8"/>
  <c r="AE158" i="8"/>
  <c r="Z158" i="8"/>
  <c r="AA158" i="8"/>
  <c r="V158" i="8"/>
  <c r="X158" i="8"/>
  <c r="AD158" i="8"/>
  <c r="U158" i="8"/>
  <c r="AB158" i="8"/>
  <c r="D158" i="8"/>
  <c r="F159" i="8"/>
  <c r="G158" i="8"/>
  <c r="I159" i="8" s="1"/>
  <c r="Y158" i="8"/>
  <c r="T158" i="8"/>
  <c r="C158" i="8"/>
  <c r="F158" i="8"/>
  <c r="AC158" i="8"/>
  <c r="D674" i="12"/>
  <c r="E674" i="6"/>
  <c r="X578" i="12"/>
  <c r="W578" i="12"/>
  <c r="V81" i="12"/>
  <c r="T81" i="12"/>
  <c r="U81" i="12"/>
  <c r="E223" i="6"/>
  <c r="D223" i="12"/>
  <c r="AB155" i="8"/>
  <c r="T155" i="8"/>
  <c r="C155" i="8"/>
  <c r="AD155" i="8"/>
  <c r="G155" i="8"/>
  <c r="I156" i="8" s="1"/>
  <c r="Y155" i="8"/>
  <c r="U155" i="8"/>
  <c r="W155" i="8"/>
  <c r="V155" i="8"/>
  <c r="F156" i="8"/>
  <c r="Z155" i="8"/>
  <c r="AA155" i="8"/>
  <c r="AE155" i="8"/>
  <c r="G156" i="8"/>
  <c r="F155" i="8"/>
  <c r="D155" i="8"/>
  <c r="X155" i="8"/>
  <c r="AC155" i="8"/>
  <c r="D561" i="12"/>
  <c r="E561" i="6"/>
  <c r="AO233" i="12"/>
  <c r="Y233" i="12" s="1"/>
  <c r="Y234" i="12"/>
  <c r="W623" i="12"/>
  <c r="X623" i="12"/>
  <c r="F125" i="8"/>
  <c r="AC125" i="8"/>
  <c r="Z125" i="8"/>
  <c r="U125" i="8"/>
  <c r="AE125" i="8"/>
  <c r="W125" i="8"/>
  <c r="T125" i="8"/>
  <c r="Y125" i="8"/>
  <c r="AA125" i="8"/>
  <c r="G125" i="8"/>
  <c r="I126" i="8" s="1"/>
  <c r="D125" i="8"/>
  <c r="F126" i="8"/>
  <c r="V125" i="8"/>
  <c r="AD125" i="8"/>
  <c r="C125" i="8"/>
  <c r="X125" i="8"/>
  <c r="G126" i="8"/>
  <c r="AB125" i="8"/>
  <c r="E185" i="6"/>
  <c r="D185" i="12"/>
  <c r="X667" i="12"/>
  <c r="W667" i="12"/>
  <c r="C580" i="12"/>
  <c r="J580" i="12"/>
  <c r="L580" i="12"/>
  <c r="V110" i="12"/>
  <c r="T110" i="12"/>
  <c r="U110" i="12"/>
  <c r="T507" i="12"/>
  <c r="V507" i="12"/>
  <c r="U507" i="12"/>
  <c r="D602" i="12"/>
  <c r="E602" i="6"/>
  <c r="E170" i="6"/>
  <c r="D170" i="12"/>
  <c r="O530" i="5"/>
  <c r="C530" i="6"/>
  <c r="J184" i="12"/>
  <c r="C184" i="12"/>
  <c r="AB16" i="5"/>
  <c r="AB17" i="5"/>
  <c r="C17" i="8" s="1"/>
  <c r="AB15" i="5"/>
  <c r="O19" i="5"/>
  <c r="C19" i="6"/>
  <c r="W245" i="8"/>
  <c r="F245" i="8"/>
  <c r="F246" i="8"/>
  <c r="G245" i="8"/>
  <c r="I246" i="8" s="1"/>
  <c r="AA245" i="8"/>
  <c r="Z245" i="8"/>
  <c r="AB245" i="8"/>
  <c r="X245" i="8"/>
  <c r="Y245" i="8"/>
  <c r="D245" i="8"/>
  <c r="G246" i="8"/>
  <c r="AD245" i="8"/>
  <c r="V245" i="8"/>
  <c r="C245" i="8"/>
  <c r="U245" i="8"/>
  <c r="AC245" i="8"/>
  <c r="T245" i="8"/>
  <c r="AE245" i="8"/>
  <c r="D200" i="12"/>
  <c r="E200" i="6"/>
  <c r="D135" i="12"/>
  <c r="E135" i="6"/>
  <c r="D481" i="12"/>
  <c r="E481" i="6"/>
  <c r="Y480" i="12"/>
  <c r="AO479" i="12"/>
  <c r="Y479" i="12" s="1"/>
  <c r="C710" i="12"/>
  <c r="J710" i="12"/>
  <c r="L710" i="12"/>
  <c r="U597" i="12"/>
  <c r="T597" i="12"/>
  <c r="V597" i="12"/>
  <c r="U563" i="12"/>
  <c r="V563" i="12"/>
  <c r="T563" i="12"/>
  <c r="I315" i="5"/>
  <c r="O315" i="5" s="1"/>
  <c r="O314" i="5"/>
  <c r="V142" i="12"/>
  <c r="U142" i="12"/>
  <c r="T142" i="12"/>
  <c r="D372" i="12"/>
  <c r="E372" i="6"/>
  <c r="E224" i="6"/>
  <c r="D224" i="12"/>
  <c r="O618" i="5"/>
  <c r="C618" i="6"/>
  <c r="X117" i="12"/>
  <c r="W117" i="12"/>
  <c r="C628" i="12"/>
  <c r="J628" i="12"/>
  <c r="W678" i="12"/>
  <c r="X678" i="12"/>
  <c r="U639" i="12"/>
  <c r="T639" i="12"/>
  <c r="V639" i="12"/>
  <c r="W679" i="12"/>
  <c r="X679" i="12"/>
  <c r="N535" i="12"/>
  <c r="O530" i="12"/>
  <c r="N530" i="12" s="1"/>
  <c r="O199" i="12"/>
  <c r="N199" i="12" s="1"/>
  <c r="N200" i="12"/>
  <c r="J721" i="12"/>
  <c r="C721" i="12"/>
  <c r="L721" i="12"/>
  <c r="J476" i="12"/>
  <c r="C476" i="12"/>
  <c r="L476" i="12"/>
  <c r="C103" i="12"/>
  <c r="J103" i="12"/>
  <c r="T456" i="12"/>
  <c r="V456" i="12"/>
  <c r="U456" i="12"/>
  <c r="T225" i="12"/>
  <c r="U225" i="12"/>
  <c r="V225" i="12"/>
  <c r="J436" i="12"/>
  <c r="C436" i="12"/>
  <c r="L436" i="12"/>
  <c r="K436" i="12" s="1"/>
  <c r="U78" i="12"/>
  <c r="V78" i="12"/>
  <c r="T78" i="12"/>
  <c r="D165" i="12"/>
  <c r="E165" i="6"/>
  <c r="N27" i="12"/>
  <c r="O23" i="12"/>
  <c r="N23" i="12" s="1"/>
  <c r="N296" i="12"/>
  <c r="O295" i="12"/>
  <c r="N295" i="12" s="1"/>
  <c r="AO184" i="12"/>
  <c r="Y184" i="12" s="1"/>
  <c r="Y185" i="12"/>
  <c r="U170" i="8"/>
  <c r="T170" i="8"/>
  <c r="Z170" i="8"/>
  <c r="D170" i="8"/>
  <c r="W170" i="8"/>
  <c r="F170" i="8"/>
  <c r="AB170" i="8"/>
  <c r="AE170" i="8"/>
  <c r="X170" i="8"/>
  <c r="G171" i="8"/>
  <c r="AA170" i="8"/>
  <c r="G170" i="8"/>
  <c r="I171" i="8" s="1"/>
  <c r="F171" i="8"/>
  <c r="C170" i="8"/>
  <c r="V170" i="8"/>
  <c r="Y170" i="8"/>
  <c r="AD170" i="8"/>
  <c r="AC170" i="8"/>
  <c r="O421" i="5"/>
  <c r="C421" i="6"/>
  <c r="C656" i="12"/>
  <c r="J656" i="12"/>
  <c r="L656" i="12"/>
  <c r="J155" i="12"/>
  <c r="C155" i="12"/>
  <c r="L155" i="12"/>
  <c r="AC103" i="10"/>
  <c r="AC102" i="10" s="1"/>
  <c r="AC104" i="10"/>
  <c r="D171" i="12"/>
  <c r="E171" i="6"/>
  <c r="C295" i="12"/>
  <c r="J295" i="12"/>
  <c r="W566" i="12"/>
  <c r="X566" i="12"/>
  <c r="J636" i="12"/>
  <c r="C636" i="12"/>
  <c r="L636" i="12"/>
  <c r="T89" i="12"/>
  <c r="V89" i="12"/>
  <c r="U89" i="12"/>
  <c r="J74" i="12"/>
  <c r="C74" i="12"/>
  <c r="L74" i="12"/>
  <c r="K74" i="12" s="1"/>
  <c r="O591" i="12"/>
  <c r="N591" i="12" s="1"/>
  <c r="N592" i="12"/>
  <c r="V463" i="12"/>
  <c r="T463" i="12"/>
  <c r="U463" i="12"/>
  <c r="AE179" i="8"/>
  <c r="V179" i="8"/>
  <c r="AB179" i="8"/>
  <c r="D179" i="8"/>
  <c r="Y179" i="8"/>
  <c r="AD179" i="8"/>
  <c r="G180" i="8"/>
  <c r="X179" i="8"/>
  <c r="W179" i="8"/>
  <c r="F180" i="8"/>
  <c r="F179" i="8"/>
  <c r="AA179" i="8"/>
  <c r="U179" i="8"/>
  <c r="C179" i="8"/>
  <c r="G179" i="8"/>
  <c r="I180" i="8" s="1"/>
  <c r="T179" i="8"/>
  <c r="Z179" i="8"/>
  <c r="AC179" i="8"/>
  <c r="E594" i="6"/>
  <c r="D594" i="12"/>
  <c r="Y215" i="8"/>
  <c r="V215" i="8"/>
  <c r="AB215" i="8"/>
  <c r="G215" i="8"/>
  <c r="I216" i="8" s="1"/>
  <c r="F215" i="8"/>
  <c r="Z215" i="8"/>
  <c r="U215" i="8"/>
  <c r="AC215" i="8"/>
  <c r="W215" i="8"/>
  <c r="G216" i="8"/>
  <c r="D215" i="8"/>
  <c r="AA215" i="8"/>
  <c r="T215" i="8"/>
  <c r="X215" i="8"/>
  <c r="F216" i="8"/>
  <c r="C215" i="8"/>
  <c r="AE215" i="8"/>
  <c r="AD215" i="8"/>
  <c r="N474" i="12"/>
  <c r="O472" i="12"/>
  <c r="N472" i="12" s="1"/>
  <c r="V179" i="12"/>
  <c r="T179" i="12"/>
  <c r="U179" i="12"/>
  <c r="W145" i="12"/>
  <c r="X145" i="12"/>
  <c r="D153" i="12"/>
  <c r="E153" i="6"/>
  <c r="D243" i="12"/>
  <c r="E243" i="6"/>
  <c r="W120" i="12"/>
  <c r="X120" i="12"/>
  <c r="E160" i="6"/>
  <c r="D160" i="12"/>
  <c r="X343" i="12"/>
  <c r="W343" i="12"/>
  <c r="D639" i="12"/>
  <c r="E639" i="6"/>
  <c r="J247" i="12"/>
  <c r="C247" i="12"/>
  <c r="L247" i="12"/>
  <c r="F68" i="8"/>
  <c r="T68" i="8"/>
  <c r="AA68" i="8"/>
  <c r="U68" i="8"/>
  <c r="AC68" i="8"/>
  <c r="G69" i="8"/>
  <c r="V68" i="8"/>
  <c r="W68" i="8"/>
  <c r="F69" i="8"/>
  <c r="Z68" i="8"/>
  <c r="AE68" i="8"/>
  <c r="G68" i="8"/>
  <c r="I69" i="8" s="1"/>
  <c r="Y68" i="8"/>
  <c r="AB68" i="8"/>
  <c r="AD68" i="8"/>
  <c r="D68" i="8"/>
  <c r="X68" i="8"/>
  <c r="O16" i="5"/>
  <c r="C16" i="6"/>
  <c r="C293" i="6"/>
  <c r="O293" i="5"/>
  <c r="V624" i="12"/>
  <c r="T624" i="12"/>
  <c r="U624" i="12"/>
  <c r="O660" i="5"/>
  <c r="C660" i="6"/>
  <c r="D638" i="12"/>
  <c r="E638" i="6"/>
  <c r="D564" i="12"/>
  <c r="E564" i="6"/>
  <c r="X204" i="12"/>
  <c r="W204" i="12"/>
  <c r="I647" i="5"/>
  <c r="O646" i="5"/>
  <c r="D563" i="12"/>
  <c r="E563" i="6"/>
  <c r="C23" i="12"/>
  <c r="J23" i="12"/>
  <c r="C712" i="12"/>
  <c r="J712" i="12"/>
  <c r="I374" i="5"/>
  <c r="O373" i="5"/>
  <c r="F207" i="8"/>
  <c r="AA206" i="8"/>
  <c r="G207" i="8"/>
  <c r="T206" i="8"/>
  <c r="U206" i="8"/>
  <c r="F206" i="8"/>
  <c r="D206" i="8"/>
  <c r="G206" i="8"/>
  <c r="I207" i="8" s="1"/>
  <c r="Y206" i="8"/>
  <c r="X206" i="8"/>
  <c r="AE206" i="8"/>
  <c r="Z206" i="8"/>
  <c r="AC206" i="8"/>
  <c r="W206" i="8"/>
  <c r="AB206" i="8"/>
  <c r="V206" i="8"/>
  <c r="AD206" i="8"/>
  <c r="M17" i="12"/>
  <c r="M16" i="12"/>
  <c r="N20" i="12"/>
  <c r="O19" i="12"/>
  <c r="N19" i="12" s="1"/>
  <c r="U671" i="12"/>
  <c r="V671" i="12"/>
  <c r="T671" i="12"/>
  <c r="D240" i="12"/>
  <c r="E240" i="6"/>
  <c r="X411" i="12"/>
  <c r="W411" i="12"/>
  <c r="Y477" i="12"/>
  <c r="AO476" i="12"/>
  <c r="Y476" i="12" s="1"/>
  <c r="T415" i="12"/>
  <c r="U415" i="12"/>
  <c r="V415" i="12"/>
  <c r="U680" i="12"/>
  <c r="V680" i="12"/>
  <c r="T680" i="12"/>
  <c r="AO567" i="12"/>
  <c r="Y567" i="12" s="1"/>
  <c r="Y568" i="12"/>
  <c r="J126" i="12"/>
  <c r="C126" i="12"/>
  <c r="L126" i="12"/>
  <c r="Y27" i="12"/>
  <c r="AO23" i="12"/>
  <c r="U459" i="12"/>
  <c r="V459" i="12"/>
  <c r="T459" i="12"/>
  <c r="C247" i="6"/>
  <c r="O247" i="5"/>
  <c r="C656" i="6"/>
  <c r="O656" i="5"/>
  <c r="Z83" i="8"/>
  <c r="F84" i="8"/>
  <c r="U83" i="8"/>
  <c r="V83" i="8"/>
  <c r="G83" i="8"/>
  <c r="I84" i="8" s="1"/>
  <c r="X83" i="8"/>
  <c r="D83" i="8"/>
  <c r="AA83" i="8"/>
  <c r="AD83" i="8"/>
  <c r="G84" i="8"/>
  <c r="T83" i="8"/>
  <c r="AB83" i="8"/>
  <c r="C83" i="8"/>
  <c r="W83" i="8"/>
  <c r="AC83" i="8"/>
  <c r="AE83" i="8"/>
  <c r="F83" i="8"/>
  <c r="Y83" i="8"/>
  <c r="AE103" i="10"/>
  <c r="AE102" i="10" s="1"/>
  <c r="AE104" i="10"/>
  <c r="O172" i="5"/>
  <c r="I173" i="5"/>
  <c r="X594" i="12"/>
  <c r="W594" i="12"/>
  <c r="C636" i="6"/>
  <c r="O636" i="5"/>
  <c r="N559" i="12"/>
  <c r="O543" i="12"/>
  <c r="N543" i="12" s="1"/>
  <c r="V195" i="12"/>
  <c r="T195" i="12"/>
  <c r="U195" i="12"/>
  <c r="T347" i="12"/>
  <c r="V347" i="12"/>
  <c r="U347" i="12"/>
  <c r="O580" i="5"/>
  <c r="C580" i="6"/>
  <c r="U599" i="12"/>
  <c r="T599" i="12"/>
  <c r="V599" i="12"/>
  <c r="V601" i="12"/>
  <c r="U601" i="12"/>
  <c r="T601" i="12"/>
  <c r="E593" i="6"/>
  <c r="D593" i="12"/>
  <c r="F102" i="8"/>
  <c r="Z101" i="8"/>
  <c r="V101" i="8"/>
  <c r="G101" i="8"/>
  <c r="I102" i="8" s="1"/>
  <c r="AD101" i="8"/>
  <c r="C101" i="8"/>
  <c r="W101" i="8"/>
  <c r="T101" i="8"/>
  <c r="AA101" i="8"/>
  <c r="AE101" i="8"/>
  <c r="AC101" i="8"/>
  <c r="D101" i="8"/>
  <c r="Y101" i="8"/>
  <c r="X101" i="8"/>
  <c r="G102" i="8"/>
  <c r="F101" i="8"/>
  <c r="U101" i="8"/>
  <c r="AB101" i="8"/>
  <c r="AO636" i="12"/>
  <c r="Y636" i="12" s="1"/>
  <c r="Y637" i="12"/>
  <c r="Y177" i="12"/>
  <c r="AO176" i="12"/>
  <c r="Y176" i="12" s="1"/>
  <c r="D600" i="12"/>
  <c r="E600" i="6"/>
  <c r="X633" i="12"/>
  <c r="W633" i="12"/>
  <c r="V677" i="12"/>
  <c r="U677" i="12"/>
  <c r="T677" i="12"/>
  <c r="W188" i="12"/>
  <c r="X188" i="12"/>
  <c r="N215" i="12"/>
  <c r="O212" i="12"/>
  <c r="N212" i="12" s="1"/>
  <c r="C668" i="6"/>
  <c r="O668" i="5"/>
  <c r="AO293" i="12"/>
  <c r="Y294" i="12"/>
  <c r="AB191" i="8"/>
  <c r="D191" i="8"/>
  <c r="AC191" i="8"/>
  <c r="AE191" i="8"/>
  <c r="F192" i="8"/>
  <c r="T191" i="8"/>
  <c r="AA191" i="8"/>
  <c r="X191" i="8"/>
  <c r="Z191" i="8"/>
  <c r="C191" i="8"/>
  <c r="Y191" i="8"/>
  <c r="F191" i="8"/>
  <c r="U191" i="8"/>
  <c r="V191" i="8"/>
  <c r="G191" i="8"/>
  <c r="I192" i="8" s="1"/>
  <c r="W191" i="8"/>
  <c r="G192" i="8"/>
  <c r="AD191" i="8"/>
  <c r="V243" i="12"/>
  <c r="U243" i="12"/>
  <c r="T243" i="12"/>
  <c r="W719" i="12"/>
  <c r="X719" i="12"/>
  <c r="E234" i="6"/>
  <c r="D234" i="12"/>
  <c r="W116" i="12"/>
  <c r="X116" i="12"/>
  <c r="C591" i="12"/>
  <c r="J591" i="12"/>
  <c r="J300" i="12"/>
  <c r="C300" i="12"/>
  <c r="L300" i="12"/>
  <c r="J152" i="12"/>
  <c r="C152" i="12"/>
  <c r="V77" i="12"/>
  <c r="T77" i="12"/>
  <c r="U77" i="12"/>
  <c r="W452" i="12"/>
  <c r="X452" i="12"/>
  <c r="E406" i="6"/>
  <c r="D406" i="12"/>
  <c r="Y107" i="12"/>
  <c r="AO103" i="12"/>
  <c r="D178" i="12"/>
  <c r="E178" i="6"/>
  <c r="N428" i="12"/>
  <c r="O421" i="12"/>
  <c r="N421" i="12" s="1"/>
  <c r="D108" i="12"/>
  <c r="E108" i="6"/>
  <c r="N630" i="12"/>
  <c r="O628" i="12"/>
  <c r="N628" i="12" s="1"/>
  <c r="N665" i="12"/>
  <c r="O660" i="12"/>
  <c r="N660" i="12" s="1"/>
  <c r="O233" i="5"/>
  <c r="C233" i="6"/>
  <c r="AO17" i="12"/>
  <c r="Y17" i="12" s="1"/>
  <c r="AO16" i="12"/>
  <c r="Y18" i="12"/>
  <c r="E716" i="6"/>
  <c r="D716" i="12"/>
  <c r="E298" i="6"/>
  <c r="D298" i="12"/>
  <c r="D109" i="12"/>
  <c r="E109" i="6"/>
  <c r="Y104" i="10"/>
  <c r="Y103" i="10"/>
  <c r="Y102" i="10" s="1"/>
  <c r="Y714" i="12"/>
  <c r="AO712" i="12"/>
  <c r="T229" i="12"/>
  <c r="U229" i="12"/>
  <c r="V229" i="12"/>
  <c r="X240" i="12"/>
  <c r="W240" i="12"/>
  <c r="D711" i="12"/>
  <c r="E711" i="6"/>
  <c r="V89" i="8"/>
  <c r="G90" i="8"/>
  <c r="Y89" i="8"/>
  <c r="C89" i="8"/>
  <c r="AD89" i="8"/>
  <c r="AE89" i="8"/>
  <c r="W89" i="8"/>
  <c r="F90" i="8"/>
  <c r="T89" i="8"/>
  <c r="AC89" i="8"/>
  <c r="X89" i="8"/>
  <c r="AA89" i="8"/>
  <c r="U89" i="8"/>
  <c r="G89" i="8"/>
  <c r="I90" i="8" s="1"/>
  <c r="F89" i="8"/>
  <c r="D89" i="8"/>
  <c r="AB89" i="8"/>
  <c r="Z89" i="8"/>
  <c r="V79" i="12"/>
  <c r="U79" i="12"/>
  <c r="T79" i="12"/>
  <c r="V603" i="12"/>
  <c r="U603" i="12"/>
  <c r="T603" i="12"/>
  <c r="T393" i="12"/>
  <c r="V393" i="12"/>
  <c r="U393" i="12"/>
  <c r="D127" i="12"/>
  <c r="E127" i="6"/>
  <c r="X569" i="12"/>
  <c r="W569" i="12"/>
  <c r="U588" i="12"/>
  <c r="T588" i="12"/>
  <c r="V588" i="12"/>
  <c r="C567" i="12"/>
  <c r="J567" i="12"/>
  <c r="L567" i="12"/>
  <c r="C530" i="12"/>
  <c r="J530" i="12"/>
  <c r="L530" i="12"/>
  <c r="D158" i="12"/>
  <c r="E158" i="6"/>
  <c r="F92" i="8"/>
  <c r="D92" i="8"/>
  <c r="G93" i="8"/>
  <c r="G92" i="8"/>
  <c r="I93" i="8" s="1"/>
  <c r="F93" i="8"/>
  <c r="T92" i="8"/>
  <c r="AA92" i="8"/>
  <c r="Y92" i="8"/>
  <c r="V92" i="8"/>
  <c r="AB92" i="8"/>
  <c r="U92" i="8"/>
  <c r="C92" i="8"/>
  <c r="AC92" i="8"/>
  <c r="AE92" i="8"/>
  <c r="AD92" i="8"/>
  <c r="W92" i="8"/>
  <c r="X92" i="8"/>
  <c r="Z92" i="8"/>
  <c r="O221" i="5"/>
  <c r="C221" i="6"/>
  <c r="V77" i="8"/>
  <c r="W77" i="8"/>
  <c r="AA77" i="8"/>
  <c r="Z77" i="8"/>
  <c r="Y77" i="8"/>
  <c r="AD77" i="8"/>
  <c r="AE77" i="8"/>
  <c r="AC77" i="8"/>
  <c r="C77" i="8"/>
  <c r="T77" i="8"/>
  <c r="F77" i="8"/>
  <c r="G78" i="8"/>
  <c r="AB77" i="8"/>
  <c r="D77" i="8"/>
  <c r="F78" i="8"/>
  <c r="G77" i="8"/>
  <c r="I78" i="8" s="1"/>
  <c r="U77" i="8"/>
  <c r="X77" i="8"/>
  <c r="J640" i="12"/>
  <c r="C640" i="12"/>
  <c r="W119" i="12"/>
  <c r="X119" i="12"/>
  <c r="T130" i="12"/>
  <c r="U130" i="12"/>
  <c r="V130" i="12"/>
  <c r="J233" i="12"/>
  <c r="C233" i="12"/>
  <c r="L233" i="12"/>
  <c r="D669" i="12"/>
  <c r="E669" i="6"/>
  <c r="J19" i="12"/>
  <c r="C19" i="12"/>
  <c r="L19" i="12"/>
  <c r="E259" i="6"/>
  <c r="D259" i="12"/>
  <c r="X394" i="12"/>
  <c r="W394" i="12"/>
  <c r="Y606" i="12"/>
  <c r="AO604" i="12"/>
  <c r="Y604" i="12" s="1"/>
  <c r="Y405" i="12"/>
  <c r="AO402" i="12"/>
  <c r="Y402" i="12" s="1"/>
  <c r="Y630" i="12"/>
  <c r="AO628" i="12"/>
  <c r="C543" i="12"/>
  <c r="J543" i="12"/>
  <c r="C17" i="12"/>
  <c r="J17" i="12"/>
  <c r="F99" i="8"/>
  <c r="AC98" i="8"/>
  <c r="AB98" i="8"/>
  <c r="W98" i="8"/>
  <c r="C98" i="8"/>
  <c r="AD98" i="8"/>
  <c r="D98" i="8"/>
  <c r="V98" i="8"/>
  <c r="T98" i="8"/>
  <c r="X98" i="8"/>
  <c r="U98" i="8"/>
  <c r="AE98" i="8"/>
  <c r="G99" i="8"/>
  <c r="G98" i="8"/>
  <c r="I99" i="8" s="1"/>
  <c r="Y98" i="8"/>
  <c r="Z98" i="8"/>
  <c r="F98" i="8"/>
  <c r="AA98" i="8"/>
  <c r="V454" i="12"/>
  <c r="U454" i="12"/>
  <c r="T454" i="12"/>
  <c r="X163" i="12"/>
  <c r="W163" i="12"/>
  <c r="D482" i="12"/>
  <c r="E482" i="6"/>
  <c r="E136" i="6"/>
  <c r="D136" i="12"/>
  <c r="N223" i="12"/>
  <c r="O221" i="12"/>
  <c r="N221" i="12" s="1"/>
  <c r="C23" i="6"/>
  <c r="O23" i="5"/>
  <c r="D573" i="12"/>
  <c r="E573" i="6"/>
  <c r="W71" i="8"/>
  <c r="AB71" i="8"/>
  <c r="AD71" i="8"/>
  <c r="G72" i="8"/>
  <c r="D71" i="8"/>
  <c r="Y71" i="8"/>
  <c r="T71" i="8"/>
  <c r="AA71" i="8"/>
  <c r="Z71" i="8"/>
  <c r="AE71" i="8"/>
  <c r="V71" i="8"/>
  <c r="C71" i="8"/>
  <c r="F71" i="8"/>
  <c r="U71" i="8"/>
  <c r="F72" i="8"/>
  <c r="G71" i="8"/>
  <c r="I72" i="8" s="1"/>
  <c r="AC71" i="8"/>
  <c r="X71" i="8"/>
  <c r="C128" i="8"/>
  <c r="AE128" i="8"/>
  <c r="F128" i="8"/>
  <c r="F129" i="8"/>
  <c r="W128" i="8"/>
  <c r="AC128" i="8"/>
  <c r="U128" i="8"/>
  <c r="X128" i="8"/>
  <c r="AD128" i="8"/>
  <c r="G129" i="8"/>
  <c r="Y128" i="8"/>
  <c r="D128" i="8"/>
  <c r="G128" i="8"/>
  <c r="I129" i="8" s="1"/>
  <c r="AA128" i="8"/>
  <c r="T128" i="8"/>
  <c r="Z128" i="8"/>
  <c r="V128" i="8"/>
  <c r="AB128" i="8"/>
  <c r="D116" i="12"/>
  <c r="E116" i="6"/>
  <c r="T187" i="12"/>
  <c r="U187" i="12"/>
  <c r="V187" i="12"/>
  <c r="E107" i="6"/>
  <c r="D107" i="12"/>
  <c r="I408" i="5"/>
  <c r="O407" i="5"/>
  <c r="V16" i="8"/>
  <c r="V14" i="8" s="1"/>
  <c r="AA16" i="8"/>
  <c r="AA14" i="8" s="1"/>
  <c r="AB17" i="8"/>
  <c r="G18" i="8"/>
  <c r="F18" i="8"/>
  <c r="X17" i="8"/>
  <c r="D16" i="8"/>
  <c r="AB16" i="8"/>
  <c r="AB14" i="8" s="1"/>
  <c r="Y17" i="8"/>
  <c r="W17" i="8"/>
  <c r="T16" i="8"/>
  <c r="AD17" i="8"/>
  <c r="U16" i="8"/>
  <c r="U14" i="8" s="1"/>
  <c r="F17" i="8"/>
  <c r="G17" i="8"/>
  <c r="I18" i="8" s="1"/>
  <c r="AD16" i="8"/>
  <c r="AD14" i="8" s="1"/>
  <c r="AA17" i="8"/>
  <c r="U17" i="8"/>
  <c r="Y16" i="8"/>
  <c r="Y14" i="8" s="1"/>
  <c r="Z17" i="8"/>
  <c r="Z16" i="8"/>
  <c r="Z14" i="8" s="1"/>
  <c r="AC16" i="8"/>
  <c r="AC14" i="8" s="1"/>
  <c r="V17" i="8"/>
  <c r="W16" i="8"/>
  <c r="W14" i="8" s="1"/>
  <c r="AC17" i="8"/>
  <c r="AE16" i="8"/>
  <c r="AE14" i="8" s="1"/>
  <c r="X16" i="8"/>
  <c r="X14" i="8" s="1"/>
  <c r="AE17" i="8"/>
  <c r="D17" i="8"/>
  <c r="T17" i="8"/>
  <c r="N107" i="12"/>
  <c r="O103" i="12"/>
  <c r="N103" i="12" s="1"/>
  <c r="Y438" i="12"/>
  <c r="AO436" i="12"/>
  <c r="Y436" i="12" s="1"/>
  <c r="K103" i="10"/>
  <c r="K102" i="10" s="1"/>
  <c r="K104" i="10"/>
  <c r="E22" i="6"/>
  <c r="D22" i="12"/>
  <c r="N714" i="12"/>
  <c r="O712" i="12"/>
  <c r="N712" i="12" s="1"/>
  <c r="O295" i="5"/>
  <c r="C295" i="6"/>
  <c r="T465" i="12"/>
  <c r="U465" i="12"/>
  <c r="V465" i="12"/>
  <c r="V600" i="12"/>
  <c r="T600" i="12"/>
  <c r="U600" i="12"/>
  <c r="E24" i="6"/>
  <c r="D24" i="12"/>
  <c r="AA185" i="8"/>
  <c r="AE185" i="8"/>
  <c r="AD185" i="8"/>
  <c r="G186" i="8"/>
  <c r="C185" i="8"/>
  <c r="Y185" i="8"/>
  <c r="F186" i="8"/>
  <c r="G185" i="8"/>
  <c r="I186" i="8" s="1"/>
  <c r="V185" i="8"/>
  <c r="AB185" i="8"/>
  <c r="W185" i="8"/>
  <c r="X185" i="8"/>
  <c r="Z185" i="8"/>
  <c r="U185" i="8"/>
  <c r="D185" i="8"/>
  <c r="F185" i="8"/>
  <c r="T185" i="8"/>
  <c r="AC185" i="8"/>
  <c r="C68" i="8"/>
  <c r="N153" i="12"/>
  <c r="O152" i="12"/>
  <c r="N152" i="12" s="1"/>
  <c r="C184" i="6"/>
  <c r="O184" i="5"/>
  <c r="C134" i="12"/>
  <c r="J134" i="12"/>
  <c r="L134" i="12"/>
  <c r="Y300" i="12" l="1"/>
  <c r="Y293" i="12"/>
  <c r="Y169" i="12"/>
  <c r="Y247" i="12"/>
  <c r="Y16" i="12"/>
  <c r="K636" i="12"/>
  <c r="K247" i="12"/>
  <c r="K710" i="12"/>
  <c r="Y126" i="12"/>
  <c r="K618" i="12"/>
  <c r="L293" i="12"/>
  <c r="K293" i="12" s="1"/>
  <c r="L365" i="12"/>
  <c r="K365" i="12" s="1"/>
  <c r="K233" i="12"/>
  <c r="K155" i="12"/>
  <c r="K476" i="12"/>
  <c r="K668" i="12"/>
  <c r="Y668" i="12"/>
  <c r="L591" i="12"/>
  <c r="K126" i="12"/>
  <c r="Y365" i="12"/>
  <c r="Y656" i="12"/>
  <c r="K134" i="12"/>
  <c r="K19" i="12"/>
  <c r="L628" i="12"/>
  <c r="K628" i="12" s="1"/>
  <c r="L152" i="12"/>
  <c r="K152" i="12" s="1"/>
  <c r="U240" i="12"/>
  <c r="T240" i="12"/>
  <c r="V240" i="12"/>
  <c r="U594" i="12"/>
  <c r="T594" i="12"/>
  <c r="V594" i="12"/>
  <c r="D656" i="12"/>
  <c r="H224" i="8"/>
  <c r="E656" i="6"/>
  <c r="X568" i="12"/>
  <c r="W568" i="12"/>
  <c r="D646" i="12"/>
  <c r="E646" i="6"/>
  <c r="K656" i="12"/>
  <c r="W184" i="12"/>
  <c r="X184" i="12"/>
  <c r="Y19" i="12"/>
  <c r="W114" i="12"/>
  <c r="X114" i="12"/>
  <c r="T314" i="12"/>
  <c r="U314" i="12"/>
  <c r="V314" i="12"/>
  <c r="E476" i="6"/>
  <c r="D476" i="12"/>
  <c r="H164" i="8"/>
  <c r="X535" i="12"/>
  <c r="W535" i="12"/>
  <c r="E587" i="6"/>
  <c r="D587" i="12"/>
  <c r="U160" i="12"/>
  <c r="V160" i="12"/>
  <c r="T160" i="12"/>
  <c r="Y472" i="12"/>
  <c r="U226" i="12"/>
  <c r="V226" i="12"/>
  <c r="T226" i="12"/>
  <c r="I539" i="5"/>
  <c r="O538" i="5"/>
  <c r="W716" i="12"/>
  <c r="X716" i="12"/>
  <c r="U493" i="12"/>
  <c r="T493" i="12"/>
  <c r="V493" i="12"/>
  <c r="X710" i="12"/>
  <c r="W710" i="12"/>
  <c r="V178" i="12"/>
  <c r="U178" i="12"/>
  <c r="T178" i="12"/>
  <c r="I263" i="5"/>
  <c r="O262" i="5"/>
  <c r="Y237" i="12"/>
  <c r="L660" i="12"/>
  <c r="K660" i="12" s="1"/>
  <c r="W127" i="12"/>
  <c r="X127" i="12"/>
  <c r="W124" i="12"/>
  <c r="X124" i="12"/>
  <c r="I342" i="5"/>
  <c r="O341" i="5"/>
  <c r="D604" i="12"/>
  <c r="H197" i="8"/>
  <c r="E604" i="6"/>
  <c r="T627" i="12"/>
  <c r="V627" i="12"/>
  <c r="U627" i="12"/>
  <c r="I485" i="5"/>
  <c r="O484" i="5"/>
  <c r="U672" i="12"/>
  <c r="V672" i="12"/>
  <c r="T672" i="12"/>
  <c r="D295" i="12"/>
  <c r="H125" i="8"/>
  <c r="E295" i="6"/>
  <c r="V163" i="12"/>
  <c r="U163" i="12"/>
  <c r="T163" i="12"/>
  <c r="U119" i="12"/>
  <c r="T119" i="12"/>
  <c r="V119" i="12"/>
  <c r="E184" i="6"/>
  <c r="D184" i="12"/>
  <c r="H92" i="8"/>
  <c r="D23" i="12"/>
  <c r="H23" i="8"/>
  <c r="E23" i="6"/>
  <c r="Y628" i="12"/>
  <c r="E407" i="6"/>
  <c r="D407" i="12"/>
  <c r="T116" i="12"/>
  <c r="U116" i="12"/>
  <c r="V116" i="12"/>
  <c r="E580" i="6"/>
  <c r="D580" i="12"/>
  <c r="H188" i="8"/>
  <c r="X567" i="12"/>
  <c r="W567" i="12"/>
  <c r="I648" i="5"/>
  <c r="O647" i="5"/>
  <c r="E293" i="6"/>
  <c r="H122" i="8"/>
  <c r="D293" i="12"/>
  <c r="U566" i="12"/>
  <c r="T566" i="12"/>
  <c r="V566" i="12"/>
  <c r="K721" i="12"/>
  <c r="K490" i="12"/>
  <c r="Y221" i="12"/>
  <c r="T565" i="12"/>
  <c r="U565" i="12"/>
  <c r="V565" i="12"/>
  <c r="X722" i="12"/>
  <c r="W722" i="12"/>
  <c r="W474" i="12"/>
  <c r="X474" i="12"/>
  <c r="U224" i="12"/>
  <c r="T224" i="12"/>
  <c r="V224" i="12"/>
  <c r="H251" i="8"/>
  <c r="D715" i="12"/>
  <c r="E715" i="6"/>
  <c r="I577" i="5"/>
  <c r="O576" i="5"/>
  <c r="X715" i="12"/>
  <c r="W715" i="12"/>
  <c r="W711" i="12"/>
  <c r="X711" i="12"/>
  <c r="I432" i="5"/>
  <c r="O431" i="5"/>
  <c r="X238" i="12"/>
  <c r="W238" i="12"/>
  <c r="T658" i="12"/>
  <c r="U658" i="12"/>
  <c r="V658" i="12"/>
  <c r="V132" i="12"/>
  <c r="T132" i="12"/>
  <c r="U132" i="12"/>
  <c r="D191" i="12"/>
  <c r="E191" i="6"/>
  <c r="E662" i="6"/>
  <c r="D662" i="12"/>
  <c r="W126" i="12"/>
  <c r="X126" i="12"/>
  <c r="D640" i="12"/>
  <c r="H215" i="8"/>
  <c r="E640" i="6"/>
  <c r="H218" i="8"/>
  <c r="E643" i="6"/>
  <c r="D643" i="12"/>
  <c r="X247" i="12"/>
  <c r="W247" i="12"/>
  <c r="E591" i="6"/>
  <c r="H191" i="8"/>
  <c r="D591" i="12"/>
  <c r="H74" i="8"/>
  <c r="E126" i="6"/>
  <c r="D126" i="12"/>
  <c r="T466" i="12"/>
  <c r="U466" i="12"/>
  <c r="V466" i="12"/>
  <c r="V188" i="12"/>
  <c r="T188" i="12"/>
  <c r="U188" i="12"/>
  <c r="W630" i="12"/>
  <c r="X630" i="12"/>
  <c r="T270" i="8"/>
  <c r="T269" i="8" a="1"/>
  <c r="T269" i="8" s="1"/>
  <c r="T14" i="8"/>
  <c r="O408" i="5"/>
  <c r="I409" i="5"/>
  <c r="W402" i="12"/>
  <c r="X402" i="12"/>
  <c r="V633" i="12"/>
  <c r="U633" i="12"/>
  <c r="T633" i="12"/>
  <c r="I174" i="5"/>
  <c r="O173" i="5"/>
  <c r="H116" i="8"/>
  <c r="D247" i="12"/>
  <c r="E247" i="6"/>
  <c r="E373" i="6"/>
  <c r="D373" i="12"/>
  <c r="V204" i="12"/>
  <c r="U204" i="12"/>
  <c r="T204" i="12"/>
  <c r="V145" i="12"/>
  <c r="U145" i="12"/>
  <c r="T145" i="12"/>
  <c r="L295" i="12"/>
  <c r="K295" i="12" s="1"/>
  <c r="V678" i="12"/>
  <c r="T678" i="12"/>
  <c r="U678" i="12"/>
  <c r="K580" i="12"/>
  <c r="D628" i="12"/>
  <c r="H209" i="8"/>
  <c r="E628" i="6"/>
  <c r="D169" i="12"/>
  <c r="H86" i="8"/>
  <c r="E169" i="6"/>
  <c r="W223" i="12"/>
  <c r="X223" i="12"/>
  <c r="Y721" i="12"/>
  <c r="Y155" i="12"/>
  <c r="U389" i="12"/>
  <c r="V389" i="12"/>
  <c r="T389" i="12"/>
  <c r="D575" i="12"/>
  <c r="E575" i="6"/>
  <c r="V632" i="12"/>
  <c r="T632" i="12"/>
  <c r="U632" i="12"/>
  <c r="D74" i="12"/>
  <c r="E74" i="6"/>
  <c r="H44" i="8"/>
  <c r="E430" i="6"/>
  <c r="D430" i="12"/>
  <c r="D567" i="12"/>
  <c r="E567" i="6"/>
  <c r="H185" i="8"/>
  <c r="I193" i="5"/>
  <c r="O192" i="5"/>
  <c r="I664" i="5"/>
  <c r="O663" i="5"/>
  <c r="L221" i="12"/>
  <c r="K221" i="12" s="1"/>
  <c r="W259" i="12"/>
  <c r="X259" i="12"/>
  <c r="H98" i="8"/>
  <c r="E212" i="6"/>
  <c r="D212" i="12"/>
  <c r="V236" i="12"/>
  <c r="U236" i="12"/>
  <c r="T236" i="12"/>
  <c r="V381" i="12"/>
  <c r="T381" i="12"/>
  <c r="U381" i="12"/>
  <c r="V173" i="12"/>
  <c r="T173" i="12"/>
  <c r="U173" i="12"/>
  <c r="Y660" i="12"/>
  <c r="T143" i="12"/>
  <c r="U143" i="12"/>
  <c r="V143" i="12"/>
  <c r="W592" i="12"/>
  <c r="X592" i="12"/>
  <c r="W156" i="12"/>
  <c r="X156" i="12"/>
  <c r="I125" i="5"/>
  <c r="O125" i="5" s="1"/>
  <c r="O124" i="5"/>
  <c r="T141" i="12"/>
  <c r="U141" i="12"/>
  <c r="V141" i="12"/>
  <c r="D496" i="12"/>
  <c r="E496" i="6"/>
  <c r="D134" i="12"/>
  <c r="E134" i="6"/>
  <c r="H77" i="8"/>
  <c r="I442" i="5"/>
  <c r="O441" i="5"/>
  <c r="D114" i="12"/>
  <c r="E114" i="6"/>
  <c r="H68" i="8"/>
  <c r="D365" i="12"/>
  <c r="H143" i="8"/>
  <c r="E365" i="6"/>
  <c r="W294" i="12"/>
  <c r="X294" i="12"/>
  <c r="H179" i="8"/>
  <c r="D530" i="12"/>
  <c r="E530" i="6"/>
  <c r="X438" i="12"/>
  <c r="W438" i="12"/>
  <c r="X604" i="12"/>
  <c r="W604" i="12"/>
  <c r="W16" i="12"/>
  <c r="X16" i="12"/>
  <c r="W293" i="12"/>
  <c r="X293" i="12"/>
  <c r="L712" i="12"/>
  <c r="K712" i="12" s="1"/>
  <c r="E16" i="6"/>
  <c r="H14" i="8"/>
  <c r="D16" i="12"/>
  <c r="H155" i="8"/>
  <c r="D421" i="12"/>
  <c r="E421" i="6"/>
  <c r="W479" i="12"/>
  <c r="X479" i="12"/>
  <c r="U623" i="12"/>
  <c r="V623" i="12"/>
  <c r="T623" i="12"/>
  <c r="V166" i="12"/>
  <c r="U166" i="12"/>
  <c r="T166" i="12"/>
  <c r="X665" i="12"/>
  <c r="W665" i="12"/>
  <c r="Y591" i="12"/>
  <c r="Y543" i="12"/>
  <c r="D123" i="12"/>
  <c r="E123" i="6"/>
  <c r="E202" i="6"/>
  <c r="D202" i="12"/>
  <c r="Y74" i="12"/>
  <c r="W657" i="12"/>
  <c r="X657" i="12"/>
  <c r="L169" i="12"/>
  <c r="K169" i="12" s="1"/>
  <c r="O497" i="5"/>
  <c r="I498" i="5"/>
  <c r="U471" i="12"/>
  <c r="V471" i="12"/>
  <c r="T471" i="12"/>
  <c r="U242" i="12"/>
  <c r="V242" i="12"/>
  <c r="T242" i="12"/>
  <c r="L472" i="12"/>
  <c r="K472" i="12" s="1"/>
  <c r="D440" i="12"/>
  <c r="E440" i="6"/>
  <c r="W606" i="12"/>
  <c r="X606" i="12"/>
  <c r="Y712" i="12"/>
  <c r="W17" i="12"/>
  <c r="X17" i="12"/>
  <c r="U719" i="12"/>
  <c r="T719" i="12"/>
  <c r="V719" i="12"/>
  <c r="E668" i="6"/>
  <c r="D668" i="12"/>
  <c r="H230" i="8"/>
  <c r="D314" i="12"/>
  <c r="E314" i="6"/>
  <c r="X480" i="12"/>
  <c r="W480" i="12"/>
  <c r="U667" i="12"/>
  <c r="T667" i="12"/>
  <c r="V667" i="12"/>
  <c r="X234" i="12"/>
  <c r="W234" i="12"/>
  <c r="U150" i="12"/>
  <c r="V150" i="12"/>
  <c r="T150" i="12"/>
  <c r="V241" i="12"/>
  <c r="U241" i="12"/>
  <c r="T241" i="12"/>
  <c r="Y212" i="12"/>
  <c r="X559" i="12"/>
  <c r="W559" i="12"/>
  <c r="E300" i="6"/>
  <c r="H128" i="8"/>
  <c r="D300" i="12"/>
  <c r="O203" i="5"/>
  <c r="I204" i="5"/>
  <c r="L421" i="12"/>
  <c r="K421" i="12" s="1"/>
  <c r="W76" i="12"/>
  <c r="X76" i="12"/>
  <c r="W656" i="12"/>
  <c r="X656" i="12"/>
  <c r="U401" i="12"/>
  <c r="V401" i="12"/>
  <c r="T401" i="12"/>
  <c r="L402" i="12"/>
  <c r="K402" i="12" s="1"/>
  <c r="V205" i="12"/>
  <c r="T205" i="12"/>
  <c r="U205" i="12"/>
  <c r="L643" i="12"/>
  <c r="K643" i="12" s="1"/>
  <c r="V146" i="12"/>
  <c r="T146" i="12"/>
  <c r="U146" i="12"/>
  <c r="V469" i="12"/>
  <c r="U469" i="12"/>
  <c r="T469" i="12"/>
  <c r="K715" i="12"/>
  <c r="T140" i="12"/>
  <c r="V140" i="12"/>
  <c r="U140" i="12"/>
  <c r="Y580" i="12"/>
  <c r="U244" i="12"/>
  <c r="V244" i="12"/>
  <c r="T244" i="12"/>
  <c r="T496" i="12"/>
  <c r="V496" i="12"/>
  <c r="U496" i="12"/>
  <c r="W405" i="12"/>
  <c r="X405" i="12"/>
  <c r="T343" i="12"/>
  <c r="V343" i="12"/>
  <c r="U343" i="12"/>
  <c r="D270" i="8"/>
  <c r="D14" i="8"/>
  <c r="D269" i="8" a="1"/>
  <c r="D269" i="8" s="1"/>
  <c r="D264" i="8" s="1"/>
  <c r="U394" i="12"/>
  <c r="T394" i="12"/>
  <c r="V394" i="12"/>
  <c r="K530" i="12"/>
  <c r="X714" i="12"/>
  <c r="W714" i="12"/>
  <c r="Y103" i="12"/>
  <c r="K300" i="12"/>
  <c r="X176" i="12"/>
  <c r="W176" i="12"/>
  <c r="T117" i="12"/>
  <c r="V117" i="12"/>
  <c r="U117" i="12"/>
  <c r="E315" i="6"/>
  <c r="D315" i="12"/>
  <c r="X233" i="12"/>
  <c r="W233" i="12"/>
  <c r="W215" i="12"/>
  <c r="X215" i="12"/>
  <c r="Y640" i="12"/>
  <c r="V560" i="12"/>
  <c r="U560" i="12"/>
  <c r="T560" i="12"/>
  <c r="V194" i="12"/>
  <c r="T194" i="12"/>
  <c r="U194" i="12"/>
  <c r="U283" i="12"/>
  <c r="V283" i="12"/>
  <c r="T283" i="12"/>
  <c r="V458" i="12"/>
  <c r="T458" i="12"/>
  <c r="U458" i="12"/>
  <c r="E237" i="6"/>
  <c r="H110" i="8"/>
  <c r="D237" i="12"/>
  <c r="T139" i="12"/>
  <c r="V139" i="12"/>
  <c r="U139" i="12"/>
  <c r="X300" i="12"/>
  <c r="W300" i="12"/>
  <c r="X585" i="12"/>
  <c r="W585" i="12"/>
  <c r="D155" i="12"/>
  <c r="E155" i="6"/>
  <c r="H83" i="8"/>
  <c r="E172" i="6"/>
  <c r="D172" i="12"/>
  <c r="Y23" i="12"/>
  <c r="L23" i="12"/>
  <c r="K23" i="12" s="1"/>
  <c r="L103" i="12"/>
  <c r="K103" i="12" s="1"/>
  <c r="H20" i="8"/>
  <c r="E19" i="6"/>
  <c r="D19" i="12"/>
  <c r="D472" i="12"/>
  <c r="E472" i="6"/>
  <c r="H161" i="8"/>
  <c r="L16" i="12"/>
  <c r="K16" i="12" s="1"/>
  <c r="N16" i="12"/>
  <c r="D152" i="12"/>
  <c r="H80" i="8"/>
  <c r="E152" i="6"/>
  <c r="T572" i="12"/>
  <c r="V572" i="12"/>
  <c r="U572" i="12"/>
  <c r="U385" i="12"/>
  <c r="V385" i="12"/>
  <c r="T385" i="12"/>
  <c r="V602" i="12"/>
  <c r="T602" i="12"/>
  <c r="U602" i="12"/>
  <c r="X642" i="12"/>
  <c r="W642" i="12"/>
  <c r="K319" i="12"/>
  <c r="Y595" i="12"/>
  <c r="U162" i="12"/>
  <c r="V162" i="12"/>
  <c r="T162" i="12"/>
  <c r="T579" i="12"/>
  <c r="U579" i="12"/>
  <c r="V579" i="12"/>
  <c r="U501" i="12"/>
  <c r="T501" i="12"/>
  <c r="V501" i="12"/>
  <c r="V128" i="12"/>
  <c r="U128" i="12"/>
  <c r="T128" i="12"/>
  <c r="E623" i="6"/>
  <c r="D623" i="12"/>
  <c r="P14" i="13"/>
  <c r="D14" i="13"/>
  <c r="V14" i="13"/>
  <c r="L28" i="13"/>
  <c r="W669" i="12"/>
  <c r="X669" i="12"/>
  <c r="W153" i="12"/>
  <c r="X153" i="12"/>
  <c r="T193" i="12"/>
  <c r="V193" i="12"/>
  <c r="U193" i="12"/>
  <c r="T673" i="12"/>
  <c r="U673" i="12"/>
  <c r="V673" i="12"/>
  <c r="X311" i="12"/>
  <c r="W311" i="12"/>
  <c r="Y421" i="12"/>
  <c r="H71" i="8"/>
  <c r="D121" i="12"/>
  <c r="E121" i="6"/>
  <c r="Y199" i="12"/>
  <c r="V218" i="12"/>
  <c r="T218" i="12"/>
  <c r="U218" i="12"/>
  <c r="X436" i="12"/>
  <c r="W436" i="12"/>
  <c r="X18" i="12"/>
  <c r="W18" i="12"/>
  <c r="E233" i="6"/>
  <c r="D233" i="12"/>
  <c r="H107" i="8"/>
  <c r="X177" i="12"/>
  <c r="W177" i="12"/>
  <c r="X27" i="12"/>
  <c r="W27" i="12"/>
  <c r="W476" i="12"/>
  <c r="X476" i="12"/>
  <c r="T120" i="12"/>
  <c r="V120" i="12"/>
  <c r="U120" i="12"/>
  <c r="U578" i="12"/>
  <c r="T578" i="12"/>
  <c r="V578" i="12"/>
  <c r="L17" i="12"/>
  <c r="K17" i="12" s="1"/>
  <c r="N17" i="12"/>
  <c r="W170" i="12"/>
  <c r="X170" i="12"/>
  <c r="X134" i="12"/>
  <c r="W134" i="12"/>
  <c r="L114" i="12"/>
  <c r="K114" i="12" s="1"/>
  <c r="N114" i="12"/>
  <c r="V344" i="12"/>
  <c r="T344" i="12"/>
  <c r="U344" i="12"/>
  <c r="E712" i="6"/>
  <c r="H248" i="8"/>
  <c r="D712" i="12"/>
  <c r="X596" i="12"/>
  <c r="W596" i="12"/>
  <c r="H158" i="8"/>
  <c r="E436" i="6"/>
  <c r="D436" i="12"/>
  <c r="X491" i="12"/>
  <c r="W491" i="12"/>
  <c r="E479" i="6"/>
  <c r="D479" i="12"/>
  <c r="H167" i="8"/>
  <c r="I625" i="5"/>
  <c r="O624" i="5"/>
  <c r="AA7" i="11"/>
  <c r="O25" i="11"/>
  <c r="W668" i="12"/>
  <c r="X668" i="12"/>
  <c r="Y152" i="12"/>
  <c r="E25" i="6"/>
  <c r="D25" i="12"/>
  <c r="L176" i="12"/>
  <c r="K176" i="12" s="1"/>
  <c r="H95" i="8"/>
  <c r="E199" i="6"/>
  <c r="D199" i="12"/>
  <c r="U433" i="12"/>
  <c r="V433" i="12"/>
  <c r="T433" i="12"/>
  <c r="W428" i="12"/>
  <c r="X428" i="12"/>
  <c r="T180" i="12"/>
  <c r="V180" i="12"/>
  <c r="U180" i="12"/>
  <c r="H194" i="8"/>
  <c r="D595" i="12"/>
  <c r="E595" i="6"/>
  <c r="X200" i="12"/>
  <c r="W200" i="12"/>
  <c r="U441" i="12"/>
  <c r="V441" i="12"/>
  <c r="T441" i="12"/>
  <c r="L121" i="12"/>
  <c r="K121" i="12" s="1"/>
  <c r="Y319" i="12"/>
  <c r="W107" i="12"/>
  <c r="X107" i="12"/>
  <c r="W637" i="12"/>
  <c r="X637" i="12"/>
  <c r="L543" i="12"/>
  <c r="K543" i="12" s="1"/>
  <c r="E221" i="6"/>
  <c r="D221" i="12"/>
  <c r="H101" i="8"/>
  <c r="K567" i="12"/>
  <c r="K591" i="12"/>
  <c r="X636" i="12"/>
  <c r="W636" i="12"/>
  <c r="W477" i="12"/>
  <c r="X477" i="12"/>
  <c r="H227" i="8"/>
  <c r="E660" i="6"/>
  <c r="D660" i="12"/>
  <c r="U679" i="12"/>
  <c r="V679" i="12"/>
  <c r="T679" i="12"/>
  <c r="H206" i="8"/>
  <c r="E618" i="6"/>
  <c r="D618" i="12"/>
  <c r="D721" i="12"/>
  <c r="H254" i="8"/>
  <c r="E721" i="6"/>
  <c r="V462" i="12"/>
  <c r="T462" i="12"/>
  <c r="U462" i="12"/>
  <c r="V118" i="12"/>
  <c r="U118" i="12"/>
  <c r="T118" i="12"/>
  <c r="D675" i="12"/>
  <c r="E675" i="6"/>
  <c r="W169" i="12"/>
  <c r="X169" i="12"/>
  <c r="W644" i="12"/>
  <c r="X644" i="12"/>
  <c r="X135" i="12"/>
  <c r="W135" i="12"/>
  <c r="Y295" i="12"/>
  <c r="Y490" i="12"/>
  <c r="T506" i="12"/>
  <c r="U506" i="12"/>
  <c r="V506" i="12"/>
  <c r="H170" i="8"/>
  <c r="D490" i="12"/>
  <c r="E490" i="6"/>
  <c r="V576" i="12"/>
  <c r="U576" i="12"/>
  <c r="T576" i="12"/>
  <c r="K604" i="12"/>
  <c r="V161" i="12"/>
  <c r="U161" i="12"/>
  <c r="T161" i="12"/>
  <c r="W365" i="12"/>
  <c r="X365" i="12"/>
  <c r="O26" i="5"/>
  <c r="I27" i="5"/>
  <c r="U137" i="12"/>
  <c r="V137" i="12"/>
  <c r="T137" i="12"/>
  <c r="W338" i="12"/>
  <c r="X338" i="12"/>
  <c r="U411" i="12"/>
  <c r="V411" i="12"/>
  <c r="T411" i="12"/>
  <c r="AD14" i="13"/>
  <c r="S14" i="13" s="1"/>
  <c r="M27" i="13" s="1"/>
  <c r="AG14" i="13"/>
  <c r="U14" i="13" s="1"/>
  <c r="AD4" i="13" s="1"/>
  <c r="AB14" i="11"/>
  <c r="V464" i="12"/>
  <c r="U464" i="12"/>
  <c r="T464" i="12"/>
  <c r="O676" i="5"/>
  <c r="I677" i="5"/>
  <c r="D402" i="12"/>
  <c r="E402" i="6"/>
  <c r="H146" i="8"/>
  <c r="D182" i="12"/>
  <c r="E182" i="6"/>
  <c r="T562" i="12"/>
  <c r="V562" i="12"/>
  <c r="U562" i="12"/>
  <c r="Y643" i="12"/>
  <c r="V431" i="12"/>
  <c r="U431" i="12"/>
  <c r="T431" i="12"/>
  <c r="X296" i="12"/>
  <c r="W296" i="12"/>
  <c r="Y618" i="12"/>
  <c r="E103" i="6"/>
  <c r="H62" i="8"/>
  <c r="D103" i="12"/>
  <c r="E710" i="6"/>
  <c r="D710" i="12"/>
  <c r="H245" i="8"/>
  <c r="W370" i="12"/>
  <c r="X370" i="12"/>
  <c r="U494" i="12"/>
  <c r="T494" i="12"/>
  <c r="V494" i="12"/>
  <c r="E176" i="6"/>
  <c r="H89" i="8"/>
  <c r="D176" i="12"/>
  <c r="H17" i="8"/>
  <c r="E17" i="6"/>
  <c r="D17" i="12"/>
  <c r="H134" i="8"/>
  <c r="E319" i="6"/>
  <c r="D319" i="12"/>
  <c r="L595" i="12"/>
  <c r="K595" i="12" s="1"/>
  <c r="U208" i="12"/>
  <c r="T208" i="12"/>
  <c r="V208" i="12"/>
  <c r="L199" i="12"/>
  <c r="K199" i="12" s="1"/>
  <c r="U631" i="12"/>
  <c r="V631" i="12"/>
  <c r="T631" i="12"/>
  <c r="U569" i="12"/>
  <c r="T569" i="12"/>
  <c r="V569" i="12"/>
  <c r="I375" i="5"/>
  <c r="O374" i="5"/>
  <c r="D636" i="12"/>
  <c r="H212" i="8"/>
  <c r="E636" i="6"/>
  <c r="L640" i="12"/>
  <c r="K640" i="12" s="1"/>
  <c r="V452" i="12"/>
  <c r="U452" i="12"/>
  <c r="T452" i="12"/>
  <c r="X185" i="12"/>
  <c r="W185" i="12"/>
  <c r="L184" i="12"/>
  <c r="K184" i="12" s="1"/>
  <c r="K479" i="12"/>
  <c r="W20" i="12"/>
  <c r="X20" i="12"/>
  <c r="L212" i="12"/>
  <c r="K212" i="12" s="1"/>
  <c r="X115" i="12"/>
  <c r="W115" i="12"/>
  <c r="Y530" i="12"/>
  <c r="I589" i="5"/>
  <c r="O588" i="5"/>
  <c r="H182" i="8"/>
  <c r="E543" i="6"/>
  <c r="D543" i="12"/>
  <c r="T478" i="12"/>
  <c r="U478" i="12"/>
  <c r="V478" i="12"/>
  <c r="D537" i="12"/>
  <c r="E537" i="6"/>
  <c r="W620" i="12"/>
  <c r="X620" i="12"/>
  <c r="L237" i="12"/>
  <c r="K237" i="12" s="1"/>
  <c r="E261" i="6"/>
  <c r="D261" i="12"/>
  <c r="V144" i="12"/>
  <c r="U144" i="12"/>
  <c r="T144" i="12"/>
  <c r="T159" i="12"/>
  <c r="V159" i="12"/>
  <c r="U159" i="12"/>
  <c r="T395" i="12"/>
  <c r="V395" i="12"/>
  <c r="U395" i="12"/>
  <c r="V154" i="12"/>
  <c r="U154" i="12"/>
  <c r="T154" i="12"/>
  <c r="V217" i="12"/>
  <c r="U217" i="12"/>
  <c r="T217" i="12"/>
  <c r="Y121" i="12"/>
  <c r="E340" i="6"/>
  <c r="D340" i="12"/>
  <c r="E483" i="6"/>
  <c r="D483" i="12"/>
  <c r="V158" i="12"/>
  <c r="U158" i="12"/>
  <c r="T158" i="12"/>
  <c r="U312" i="12"/>
  <c r="T312" i="12"/>
  <c r="V312" i="12"/>
  <c r="D676" i="12" l="1"/>
  <c r="E676" i="6"/>
  <c r="X421" i="12"/>
  <c r="W421" i="12"/>
  <c r="U669" i="12"/>
  <c r="V669" i="12"/>
  <c r="T669" i="12"/>
  <c r="D265" i="8"/>
  <c r="D261" i="8" s="1"/>
  <c r="D266" i="8"/>
  <c r="X580" i="12"/>
  <c r="W580" i="12"/>
  <c r="I205" i="5"/>
  <c r="O204" i="5"/>
  <c r="X74" i="12"/>
  <c r="W74" i="12"/>
  <c r="U294" i="12"/>
  <c r="V294" i="12"/>
  <c r="T294" i="12"/>
  <c r="D408" i="12"/>
  <c r="E408" i="6"/>
  <c r="I578" i="5"/>
  <c r="O577" i="5"/>
  <c r="O648" i="5"/>
  <c r="I649" i="5"/>
  <c r="U491" i="12"/>
  <c r="T491" i="12"/>
  <c r="V491" i="12"/>
  <c r="P24" i="13"/>
  <c r="F34" i="14" s="1"/>
  <c r="M24" i="13"/>
  <c r="D33" i="14"/>
  <c r="N24" i="13"/>
  <c r="O29" i="13"/>
  <c r="L24" i="13"/>
  <c r="O24" i="13"/>
  <c r="E34" i="14"/>
  <c r="W640" i="12"/>
  <c r="X640" i="12"/>
  <c r="E203" i="6"/>
  <c r="D203" i="12"/>
  <c r="U293" i="12"/>
  <c r="V293" i="12"/>
  <c r="T293" i="12"/>
  <c r="T567" i="12"/>
  <c r="U567" i="12"/>
  <c r="V567" i="12"/>
  <c r="T568" i="12"/>
  <c r="V568" i="12"/>
  <c r="U568" i="12"/>
  <c r="O375" i="5"/>
  <c r="I376" i="5"/>
  <c r="U644" i="12"/>
  <c r="V644" i="12"/>
  <c r="T644" i="12"/>
  <c r="U477" i="12"/>
  <c r="T477" i="12"/>
  <c r="V477" i="12"/>
  <c r="V107" i="12"/>
  <c r="T107" i="12"/>
  <c r="U107" i="12"/>
  <c r="U18" i="12"/>
  <c r="T18" i="12"/>
  <c r="V18" i="12"/>
  <c r="T311" i="12"/>
  <c r="V311" i="12"/>
  <c r="U311" i="12"/>
  <c r="U185" i="12"/>
  <c r="T185" i="12"/>
  <c r="V185" i="12"/>
  <c r="X643" i="12"/>
  <c r="W643" i="12"/>
  <c r="V636" i="12"/>
  <c r="U636" i="12"/>
  <c r="T636" i="12"/>
  <c r="W319" i="12"/>
  <c r="X319" i="12"/>
  <c r="X152" i="12"/>
  <c r="W152" i="12"/>
  <c r="V15" i="13"/>
  <c r="V16" i="13" s="1"/>
  <c r="V17" i="13" s="1"/>
  <c r="V18" i="13" s="1"/>
  <c r="V19" i="13" s="1"/>
  <c r="V20" i="13" s="1"/>
  <c r="V21" i="13" s="1"/>
  <c r="V22" i="13" s="1"/>
  <c r="V23" i="13" s="1"/>
  <c r="I17" i="14" s="1"/>
  <c r="J17" i="14" s="1"/>
  <c r="K17" i="14" s="1"/>
  <c r="L17" i="14" s="1"/>
  <c r="X103" i="12"/>
  <c r="W103" i="12"/>
  <c r="U234" i="12"/>
  <c r="V234" i="12"/>
  <c r="T234" i="12"/>
  <c r="W660" i="12"/>
  <c r="X660" i="12"/>
  <c r="X155" i="12"/>
  <c r="W155" i="12"/>
  <c r="W221" i="12"/>
  <c r="X221" i="12"/>
  <c r="D341" i="12"/>
  <c r="E341" i="6"/>
  <c r="T169" i="12"/>
  <c r="U169" i="12"/>
  <c r="V169" i="12"/>
  <c r="V436" i="12"/>
  <c r="U436" i="12"/>
  <c r="T436" i="12"/>
  <c r="U585" i="12"/>
  <c r="T585" i="12"/>
  <c r="V585" i="12"/>
  <c r="U215" i="12"/>
  <c r="V215" i="12"/>
  <c r="T215" i="12"/>
  <c r="V16" i="12"/>
  <c r="T16" i="12"/>
  <c r="U16" i="12"/>
  <c r="W721" i="12"/>
  <c r="X721" i="12"/>
  <c r="U269" i="8" a="1"/>
  <c r="U269" i="8" s="1"/>
  <c r="T264" i="8"/>
  <c r="U238" i="12"/>
  <c r="T238" i="12"/>
  <c r="V238" i="12"/>
  <c r="O342" i="5"/>
  <c r="I343" i="5"/>
  <c r="T710" i="12"/>
  <c r="V710" i="12"/>
  <c r="U710" i="12"/>
  <c r="W472" i="12"/>
  <c r="X472" i="12"/>
  <c r="T370" i="12"/>
  <c r="V370" i="12"/>
  <c r="U370" i="12"/>
  <c r="V714" i="12"/>
  <c r="U714" i="12"/>
  <c r="T714" i="12"/>
  <c r="D588" i="12"/>
  <c r="E588" i="6"/>
  <c r="N14" i="11"/>
  <c r="N24" i="11" s="1"/>
  <c r="AB24" i="11"/>
  <c r="AB7" i="11" s="1"/>
  <c r="Z3" i="11" s="1"/>
  <c r="AA3" i="11" s="1"/>
  <c r="D26" i="12"/>
  <c r="E26" i="6"/>
  <c r="V428" i="12"/>
  <c r="T428" i="12"/>
  <c r="U428" i="12"/>
  <c r="T668" i="12"/>
  <c r="U668" i="12"/>
  <c r="V668" i="12"/>
  <c r="V134" i="12"/>
  <c r="U134" i="12"/>
  <c r="T134" i="12"/>
  <c r="V233" i="12"/>
  <c r="U233" i="12"/>
  <c r="T233" i="12"/>
  <c r="V479" i="12"/>
  <c r="T479" i="12"/>
  <c r="U479" i="12"/>
  <c r="V604" i="12"/>
  <c r="U604" i="12"/>
  <c r="T604" i="12"/>
  <c r="V259" i="12"/>
  <c r="T259" i="12"/>
  <c r="U259" i="12"/>
  <c r="D173" i="12"/>
  <c r="E173" i="6"/>
  <c r="U270" i="8"/>
  <c r="T266" i="8"/>
  <c r="T265" i="8"/>
  <c r="T261" i="8" s="1"/>
  <c r="T126" i="12"/>
  <c r="V126" i="12"/>
  <c r="U126" i="12"/>
  <c r="V476" i="12"/>
  <c r="U476" i="12"/>
  <c r="T476" i="12"/>
  <c r="T300" i="12"/>
  <c r="U300" i="12"/>
  <c r="V300" i="12"/>
  <c r="T405" i="12"/>
  <c r="U405" i="12"/>
  <c r="V405" i="12"/>
  <c r="U559" i="12"/>
  <c r="T559" i="12"/>
  <c r="V559" i="12"/>
  <c r="W543" i="12"/>
  <c r="X543" i="12"/>
  <c r="E124" i="6"/>
  <c r="D124" i="12"/>
  <c r="U223" i="12"/>
  <c r="V223" i="12"/>
  <c r="T223" i="12"/>
  <c r="I175" i="5"/>
  <c r="O175" i="5" s="1"/>
  <c r="O174" i="5"/>
  <c r="E431" i="6"/>
  <c r="D431" i="12"/>
  <c r="U124" i="12"/>
  <c r="T124" i="12"/>
  <c r="V124" i="12"/>
  <c r="AE4" i="13"/>
  <c r="U365" i="12"/>
  <c r="T365" i="12"/>
  <c r="V365" i="12"/>
  <c r="V596" i="12"/>
  <c r="U596" i="12"/>
  <c r="T596" i="12"/>
  <c r="T27" i="12"/>
  <c r="V27" i="12"/>
  <c r="U27" i="12"/>
  <c r="T17" i="12"/>
  <c r="U17" i="12"/>
  <c r="V17" i="12"/>
  <c r="W591" i="12"/>
  <c r="X591" i="12"/>
  <c r="U438" i="12"/>
  <c r="V438" i="12"/>
  <c r="T438" i="12"/>
  <c r="D125" i="12"/>
  <c r="E125" i="6"/>
  <c r="D663" i="12"/>
  <c r="E663" i="6"/>
  <c r="U630" i="12"/>
  <c r="T630" i="12"/>
  <c r="V630" i="12"/>
  <c r="I433" i="5"/>
  <c r="O432" i="5"/>
  <c r="D484" i="12"/>
  <c r="E484" i="6"/>
  <c r="V114" i="12"/>
  <c r="U114" i="12"/>
  <c r="T114" i="12"/>
  <c r="I28" i="5"/>
  <c r="O28" i="5" s="1"/>
  <c r="O27" i="5"/>
  <c r="I590" i="5"/>
  <c r="O590" i="5" s="1"/>
  <c r="O589" i="5"/>
  <c r="U620" i="12"/>
  <c r="V620" i="12"/>
  <c r="T620" i="12"/>
  <c r="T115" i="12"/>
  <c r="V115" i="12"/>
  <c r="U115" i="12"/>
  <c r="T200" i="12"/>
  <c r="U200" i="12"/>
  <c r="V200" i="12"/>
  <c r="T170" i="12"/>
  <c r="U170" i="12"/>
  <c r="V170" i="12"/>
  <c r="X595" i="12"/>
  <c r="W595" i="12"/>
  <c r="W212" i="12"/>
  <c r="X212" i="12"/>
  <c r="V480" i="12"/>
  <c r="U480" i="12"/>
  <c r="T480" i="12"/>
  <c r="X712" i="12"/>
  <c r="W712" i="12"/>
  <c r="I499" i="5"/>
  <c r="O498" i="5"/>
  <c r="U665" i="12"/>
  <c r="V665" i="12"/>
  <c r="T665" i="12"/>
  <c r="D441" i="12"/>
  <c r="E441" i="6"/>
  <c r="O664" i="5"/>
  <c r="I665" i="5"/>
  <c r="U247" i="12"/>
  <c r="V247" i="12"/>
  <c r="T247" i="12"/>
  <c r="I486" i="5"/>
  <c r="O485" i="5"/>
  <c r="U127" i="12"/>
  <c r="V127" i="12"/>
  <c r="T127" i="12"/>
  <c r="W19" i="12"/>
  <c r="X19" i="12"/>
  <c r="W530" i="12"/>
  <c r="X530" i="12"/>
  <c r="W618" i="12"/>
  <c r="X618" i="12"/>
  <c r="X490" i="12"/>
  <c r="W490" i="12"/>
  <c r="D624" i="12"/>
  <c r="E624" i="6"/>
  <c r="T177" i="12"/>
  <c r="U177" i="12"/>
  <c r="V177" i="12"/>
  <c r="X199" i="12"/>
  <c r="W199" i="12"/>
  <c r="T656" i="12"/>
  <c r="U656" i="12"/>
  <c r="V656" i="12"/>
  <c r="D497" i="12"/>
  <c r="E497" i="6"/>
  <c r="I443" i="5"/>
  <c r="O442" i="5"/>
  <c r="V156" i="12"/>
  <c r="U156" i="12"/>
  <c r="T156" i="12"/>
  <c r="E192" i="6"/>
  <c r="D192" i="12"/>
  <c r="V711" i="12"/>
  <c r="T711" i="12"/>
  <c r="U711" i="12"/>
  <c r="U474" i="12"/>
  <c r="V474" i="12"/>
  <c r="T474" i="12"/>
  <c r="U642" i="12"/>
  <c r="V642" i="12"/>
  <c r="T642" i="12"/>
  <c r="X23" i="12"/>
  <c r="W23" i="12"/>
  <c r="V606" i="12"/>
  <c r="T606" i="12"/>
  <c r="U606" i="12"/>
  <c r="I194" i="5"/>
  <c r="O193" i="5"/>
  <c r="T715" i="12"/>
  <c r="V715" i="12"/>
  <c r="U715" i="12"/>
  <c r="V722" i="12"/>
  <c r="T722" i="12"/>
  <c r="U722" i="12"/>
  <c r="W237" i="12"/>
  <c r="X237" i="12"/>
  <c r="U716" i="12"/>
  <c r="T716" i="12"/>
  <c r="V716" i="12"/>
  <c r="U535" i="12"/>
  <c r="T535" i="12"/>
  <c r="V535" i="12"/>
  <c r="U184" i="12"/>
  <c r="T184" i="12"/>
  <c r="V184" i="12"/>
  <c r="U153" i="12"/>
  <c r="T153" i="12"/>
  <c r="V153" i="12"/>
  <c r="T76" i="12"/>
  <c r="U76" i="12"/>
  <c r="V76" i="12"/>
  <c r="V592" i="12"/>
  <c r="U592" i="12"/>
  <c r="T592" i="12"/>
  <c r="V402" i="12"/>
  <c r="T402" i="12"/>
  <c r="U402" i="12"/>
  <c r="E262" i="6"/>
  <c r="D262" i="12"/>
  <c r="E538" i="6"/>
  <c r="D538" i="12"/>
  <c r="U296" i="12"/>
  <c r="V296" i="12"/>
  <c r="T296" i="12"/>
  <c r="W295" i="12"/>
  <c r="X295" i="12"/>
  <c r="I626" i="5"/>
  <c r="O625" i="5"/>
  <c r="V135" i="12"/>
  <c r="T135" i="12"/>
  <c r="U135" i="12"/>
  <c r="W121" i="12"/>
  <c r="X121" i="12"/>
  <c r="T20" i="12"/>
  <c r="U20" i="12"/>
  <c r="V20" i="12"/>
  <c r="E374" i="6"/>
  <c r="D374" i="12"/>
  <c r="I678" i="5"/>
  <c r="O677" i="5"/>
  <c r="U338" i="12"/>
  <c r="V338" i="12"/>
  <c r="T338" i="12"/>
  <c r="T637" i="12"/>
  <c r="U637" i="12"/>
  <c r="V637" i="12"/>
  <c r="T176" i="12"/>
  <c r="V176" i="12"/>
  <c r="U176" i="12"/>
  <c r="T657" i="12"/>
  <c r="V657" i="12"/>
  <c r="U657" i="12"/>
  <c r="I410" i="5"/>
  <c r="O409" i="5"/>
  <c r="E576" i="6"/>
  <c r="D576" i="12"/>
  <c r="D647" i="12"/>
  <c r="E647" i="6"/>
  <c r="X628" i="12"/>
  <c r="W628" i="12"/>
  <c r="I264" i="5"/>
  <c r="O263" i="5"/>
  <c r="I540" i="5"/>
  <c r="O539" i="5"/>
  <c r="I46" i="14" l="1"/>
  <c r="J46" i="14" s="1"/>
  <c r="K46" i="14" s="1"/>
  <c r="L46" i="14" s="1"/>
  <c r="I12" i="14"/>
  <c r="J12" i="14" s="1"/>
  <c r="K12" i="14" s="1"/>
  <c r="L12" i="14" s="1"/>
  <c r="I27" i="14"/>
  <c r="J27" i="14" s="1"/>
  <c r="K27" i="14" s="1"/>
  <c r="L27" i="14" s="1"/>
  <c r="I25" i="14"/>
  <c r="J25" i="14" s="1"/>
  <c r="K25" i="14" s="1"/>
  <c r="L25" i="14" s="1"/>
  <c r="I43" i="14"/>
  <c r="J43" i="14" s="1"/>
  <c r="K43" i="14" s="1"/>
  <c r="L43" i="14" s="1"/>
  <c r="I45" i="14"/>
  <c r="J45" i="14" s="1"/>
  <c r="K45" i="14" s="1"/>
  <c r="L45" i="14" s="1"/>
  <c r="I40" i="14"/>
  <c r="J40" i="14" s="1"/>
  <c r="K40" i="14" s="1"/>
  <c r="L40" i="14" s="1"/>
  <c r="I10" i="14"/>
  <c r="J10" i="14" s="1"/>
  <c r="K10" i="14" s="1"/>
  <c r="L10" i="14" s="1"/>
  <c r="I22" i="14"/>
  <c r="J22" i="14" s="1"/>
  <c r="K22" i="14" s="1"/>
  <c r="L22" i="14" s="1"/>
  <c r="I34" i="14"/>
  <c r="J34" i="14" s="1"/>
  <c r="K34" i="14" s="1"/>
  <c r="L34" i="14" s="1"/>
  <c r="I31" i="14"/>
  <c r="J31" i="14" s="1"/>
  <c r="K31" i="14" s="1"/>
  <c r="L31" i="14" s="1"/>
  <c r="I14" i="14"/>
  <c r="J14" i="14" s="1"/>
  <c r="K14" i="14" s="1"/>
  <c r="L14" i="14" s="1"/>
  <c r="I44" i="14"/>
  <c r="J44" i="14" s="1"/>
  <c r="K44" i="14" s="1"/>
  <c r="L44" i="14" s="1"/>
  <c r="I19" i="14"/>
  <c r="J19" i="14" s="1"/>
  <c r="K19" i="14" s="1"/>
  <c r="L19" i="14" s="1"/>
  <c r="I37" i="14"/>
  <c r="J37" i="14" s="1"/>
  <c r="K37" i="14" s="1"/>
  <c r="L37" i="14" s="1"/>
  <c r="I28" i="14"/>
  <c r="J28" i="14" s="1"/>
  <c r="K28" i="14" s="1"/>
  <c r="L28" i="14" s="1"/>
  <c r="I13" i="14"/>
  <c r="J13" i="14" s="1"/>
  <c r="K13" i="14" s="1"/>
  <c r="L13" i="14" s="1"/>
  <c r="I29" i="14"/>
  <c r="J29" i="14" s="1"/>
  <c r="K29" i="14" s="1"/>
  <c r="L29" i="14" s="1"/>
  <c r="I11" i="14"/>
  <c r="J11" i="14" s="1"/>
  <c r="K11" i="14" s="1"/>
  <c r="L11" i="14" s="1"/>
  <c r="I38" i="14"/>
  <c r="J38" i="14" s="1"/>
  <c r="K38" i="14" s="1"/>
  <c r="L38" i="14" s="1"/>
  <c r="I41" i="14"/>
  <c r="J41" i="14" s="1"/>
  <c r="K41" i="14" s="1"/>
  <c r="L41" i="14" s="1"/>
  <c r="I26" i="14"/>
  <c r="J26" i="14" s="1"/>
  <c r="K26" i="14" s="1"/>
  <c r="L26" i="14" s="1"/>
  <c r="I9" i="14"/>
  <c r="J9" i="14" s="1"/>
  <c r="K9" i="14" s="1"/>
  <c r="L9" i="14" s="1"/>
  <c r="I39" i="14"/>
  <c r="J39" i="14" s="1"/>
  <c r="K39" i="14" s="1"/>
  <c r="L39" i="14" s="1"/>
  <c r="D625" i="12"/>
  <c r="E625" i="6"/>
  <c r="O626" i="5"/>
  <c r="I627" i="5"/>
  <c r="O627" i="5" s="1"/>
  <c r="O27" i="13"/>
  <c r="I265" i="5"/>
  <c r="O264" i="5"/>
  <c r="U295" i="12"/>
  <c r="T295" i="12"/>
  <c r="V295" i="12"/>
  <c r="V490" i="12"/>
  <c r="T490" i="12"/>
  <c r="U490" i="12"/>
  <c r="O486" i="5"/>
  <c r="I487" i="5"/>
  <c r="O499" i="5"/>
  <c r="I500" i="5"/>
  <c r="D27" i="12"/>
  <c r="E27" i="6"/>
  <c r="V543" i="12"/>
  <c r="U543" i="12"/>
  <c r="T543" i="12"/>
  <c r="I344" i="5"/>
  <c r="O343" i="5"/>
  <c r="I35" i="14"/>
  <c r="J35" i="14" s="1"/>
  <c r="K35" i="14" s="1"/>
  <c r="L35" i="14" s="1"/>
  <c r="I23" i="14"/>
  <c r="J23" i="14" s="1"/>
  <c r="K23" i="14" s="1"/>
  <c r="L23" i="14" s="1"/>
  <c r="I6" i="14"/>
  <c r="J6" i="14" s="1"/>
  <c r="K6" i="14" s="1"/>
  <c r="L6" i="14" s="1"/>
  <c r="E648" i="6"/>
  <c r="D648" i="12"/>
  <c r="V580" i="12"/>
  <c r="T580" i="12"/>
  <c r="U580" i="12"/>
  <c r="U628" i="12"/>
  <c r="V628" i="12"/>
  <c r="T628" i="12"/>
  <c r="T712" i="12"/>
  <c r="V712" i="12"/>
  <c r="U712" i="12"/>
  <c r="E342" i="6"/>
  <c r="D342" i="12"/>
  <c r="T643" i="12"/>
  <c r="V643" i="12"/>
  <c r="U643" i="12"/>
  <c r="E577" i="6"/>
  <c r="D577" i="12"/>
  <c r="T23" i="12"/>
  <c r="U23" i="12"/>
  <c r="V23" i="12"/>
  <c r="D677" i="12"/>
  <c r="E677" i="6"/>
  <c r="D193" i="12"/>
  <c r="E193" i="6"/>
  <c r="E28" i="6"/>
  <c r="D28" i="12"/>
  <c r="I195" i="5"/>
  <c r="O194" i="5"/>
  <c r="I16" i="14"/>
  <c r="J16" i="14" s="1"/>
  <c r="K16" i="14" s="1"/>
  <c r="L16" i="14" s="1"/>
  <c r="I21" i="14"/>
  <c r="J21" i="14" s="1"/>
  <c r="K21" i="14" s="1"/>
  <c r="L21" i="14" s="1"/>
  <c r="I8" i="14"/>
  <c r="J8" i="14" s="1"/>
  <c r="K8" i="14" s="1"/>
  <c r="L8" i="14" s="1"/>
  <c r="I32" i="14"/>
  <c r="J32" i="14" s="1"/>
  <c r="K32" i="14" s="1"/>
  <c r="L32" i="14" s="1"/>
  <c r="I579" i="5"/>
  <c r="O579" i="5" s="1"/>
  <c r="O578" i="5"/>
  <c r="T221" i="12"/>
  <c r="U221" i="12"/>
  <c r="V221" i="12"/>
  <c r="I666" i="5"/>
  <c r="O665" i="5"/>
  <c r="E174" i="6"/>
  <c r="D174" i="12"/>
  <c r="V155" i="12"/>
  <c r="U155" i="12"/>
  <c r="T155" i="12"/>
  <c r="V618" i="12"/>
  <c r="T618" i="12"/>
  <c r="U618" i="12"/>
  <c r="U121" i="12"/>
  <c r="V121" i="12"/>
  <c r="T121" i="12"/>
  <c r="V199" i="12"/>
  <c r="U199" i="12"/>
  <c r="T199" i="12"/>
  <c r="V530" i="12"/>
  <c r="U530" i="12"/>
  <c r="T530" i="12"/>
  <c r="E664" i="6"/>
  <c r="D664" i="12"/>
  <c r="D175" i="12"/>
  <c r="E175" i="6"/>
  <c r="U264" i="8"/>
  <c r="V269" i="8" a="1"/>
  <c r="V269" i="8" s="1"/>
  <c r="I33" i="14"/>
  <c r="J33" i="14" s="1"/>
  <c r="K33" i="14" s="1"/>
  <c r="L33" i="14" s="1"/>
  <c r="I30" i="14"/>
  <c r="J30" i="14" s="1"/>
  <c r="K30" i="14" s="1"/>
  <c r="L30" i="14" s="1"/>
  <c r="I42" i="14"/>
  <c r="J42" i="14" s="1"/>
  <c r="K42" i="14" s="1"/>
  <c r="L42" i="14" s="1"/>
  <c r="T152" i="12"/>
  <c r="V152" i="12"/>
  <c r="U152" i="12"/>
  <c r="D409" i="12"/>
  <c r="E409" i="6"/>
  <c r="V19" i="12"/>
  <c r="U19" i="12"/>
  <c r="T19" i="12"/>
  <c r="V212" i="12"/>
  <c r="U212" i="12"/>
  <c r="T212" i="12"/>
  <c r="E432" i="6"/>
  <c r="D432" i="12"/>
  <c r="U237" i="12"/>
  <c r="V237" i="12"/>
  <c r="T237" i="12"/>
  <c r="U265" i="8"/>
  <c r="U261" i="8" s="1"/>
  <c r="U266" i="8"/>
  <c r="V270" i="8"/>
  <c r="T660" i="12"/>
  <c r="V660" i="12"/>
  <c r="U660" i="12"/>
  <c r="O410" i="5"/>
  <c r="I411" i="5"/>
  <c r="T595" i="12"/>
  <c r="U595" i="12"/>
  <c r="V595" i="12"/>
  <c r="I434" i="5"/>
  <c r="O433" i="5"/>
  <c r="V591" i="12"/>
  <c r="T591" i="12"/>
  <c r="U591" i="12"/>
  <c r="U472" i="12"/>
  <c r="T472" i="12"/>
  <c r="V472" i="12"/>
  <c r="V721" i="12"/>
  <c r="T721" i="12"/>
  <c r="U721" i="12"/>
  <c r="I36" i="14"/>
  <c r="J36" i="14" s="1"/>
  <c r="K36" i="14" s="1"/>
  <c r="L36" i="14" s="1"/>
  <c r="I18" i="14"/>
  <c r="J18" i="14" s="1"/>
  <c r="K18" i="14" s="1"/>
  <c r="L18" i="14" s="1"/>
  <c r="I20" i="14"/>
  <c r="J20" i="14" s="1"/>
  <c r="K20" i="14" s="1"/>
  <c r="L20" i="14" s="1"/>
  <c r="V74" i="12"/>
  <c r="T74" i="12"/>
  <c r="U74" i="12"/>
  <c r="U421" i="12"/>
  <c r="V421" i="12"/>
  <c r="T421" i="12"/>
  <c r="AD16" i="11"/>
  <c r="AD22" i="11"/>
  <c r="AD19" i="11"/>
  <c r="AD20" i="11"/>
  <c r="AD14" i="11"/>
  <c r="AD18" i="11"/>
  <c r="AD15" i="11"/>
  <c r="AD23" i="11"/>
  <c r="AD17" i="11"/>
  <c r="AD12" i="11"/>
  <c r="AD21" i="11"/>
  <c r="AA181" i="5"/>
  <c r="AA450" i="5"/>
  <c r="AA340" i="5"/>
  <c r="AA518" i="5"/>
  <c r="AA545" i="5"/>
  <c r="AA513" i="5"/>
  <c r="AA495" i="5"/>
  <c r="AA260" i="5"/>
  <c r="AA321" i="5"/>
  <c r="AA378" i="5"/>
  <c r="AA610" i="5"/>
  <c r="AA647" i="5"/>
  <c r="AA232" i="5"/>
  <c r="AA269" i="5"/>
  <c r="AA65" i="5"/>
  <c r="AA28" i="5"/>
  <c r="AA512" i="5"/>
  <c r="AA407" i="5"/>
  <c r="AA689" i="5"/>
  <c r="AA489" i="5"/>
  <c r="AA447" i="5"/>
  <c r="AA553" i="5"/>
  <c r="AA429" i="5"/>
  <c r="AA337" i="5"/>
  <c r="AA26" i="5"/>
  <c r="AA522" i="5"/>
  <c r="AA373" i="5"/>
  <c r="AA384" i="5"/>
  <c r="AA586" i="5"/>
  <c r="AA304" i="5"/>
  <c r="AA726" i="5"/>
  <c r="AA532" i="5"/>
  <c r="AA360" i="5"/>
  <c r="AA39" i="5"/>
  <c r="AA25" i="5"/>
  <c r="AA617" i="5"/>
  <c r="AA550" i="5"/>
  <c r="AA483" i="5"/>
  <c r="AA533" i="5"/>
  <c r="AA99" i="5"/>
  <c r="AA51" i="5"/>
  <c r="AA521" i="5"/>
  <c r="AA214" i="5"/>
  <c r="AA523" i="5"/>
  <c r="AA663" i="5"/>
  <c r="AA482" i="5"/>
  <c r="AA315" i="5"/>
  <c r="AA335" i="5"/>
  <c r="AA444" i="5"/>
  <c r="AA611" i="5"/>
  <c r="AA549" i="5"/>
  <c r="AA59" i="5"/>
  <c r="AA112" i="5"/>
  <c r="AA387" i="5"/>
  <c r="AA54" i="5"/>
  <c r="AA84" i="5"/>
  <c r="AA704" i="5"/>
  <c r="AA435" i="5"/>
  <c r="AA406" i="5"/>
  <c r="AA697" i="5"/>
  <c r="AA367" i="5"/>
  <c r="AA333" i="5"/>
  <c r="AA692" i="5"/>
  <c r="AA309" i="5"/>
  <c r="AA50" i="5"/>
  <c r="AA470" i="5"/>
  <c r="AA31" i="5"/>
  <c r="AA589" i="5"/>
  <c r="AA583" i="5"/>
  <c r="AA529" i="5"/>
  <c r="AA307" i="5"/>
  <c r="AA108" i="5"/>
  <c r="AA515" i="5"/>
  <c r="AA380" i="5"/>
  <c r="AA100" i="5"/>
  <c r="AA322" i="5"/>
  <c r="AA552" i="5"/>
  <c r="AA412" i="5"/>
  <c r="AA72" i="5"/>
  <c r="AA172" i="5"/>
  <c r="AA645" i="5"/>
  <c r="AA555" i="5"/>
  <c r="AA93" i="5"/>
  <c r="AA676" i="5"/>
  <c r="AA113" i="5"/>
  <c r="AA219" i="5"/>
  <c r="AA519" i="5"/>
  <c r="AA505" i="5"/>
  <c r="AA341" i="5"/>
  <c r="AA325" i="5"/>
  <c r="AA71" i="5"/>
  <c r="AA270" i="5"/>
  <c r="AA67" i="5"/>
  <c r="AA361" i="5"/>
  <c r="AA446" i="5"/>
  <c r="AA646" i="5"/>
  <c r="AA80" i="5"/>
  <c r="AA609" i="5"/>
  <c r="AA705" i="5"/>
  <c r="AA253" i="5"/>
  <c r="AA510" i="5"/>
  <c r="AA685" i="5"/>
  <c r="AA392" i="5"/>
  <c r="AA674" i="5"/>
  <c r="AA323" i="5"/>
  <c r="AA442" i="5"/>
  <c r="AA305" i="5"/>
  <c r="AA209" i="5"/>
  <c r="AA175" i="5"/>
  <c r="AA60" i="5"/>
  <c r="AA68" i="5"/>
  <c r="AA698" i="5"/>
  <c r="AA379" i="5"/>
  <c r="AA197" i="5"/>
  <c r="AA268" i="5"/>
  <c r="AA339" i="5"/>
  <c r="AA249" i="5"/>
  <c r="AA203" i="5"/>
  <c r="AA310" i="5"/>
  <c r="AA511" i="5"/>
  <c r="AA123" i="5"/>
  <c r="AA460" i="5"/>
  <c r="AA287" i="5"/>
  <c r="AA558" i="5"/>
  <c r="AA263" i="5"/>
  <c r="AA83" i="5"/>
  <c r="AA273" i="5"/>
  <c r="AA537" i="5"/>
  <c r="AA582" i="5"/>
  <c r="AA282" i="5"/>
  <c r="AA439" i="5"/>
  <c r="AA86" i="5"/>
  <c r="AA43" i="5"/>
  <c r="AA52" i="5"/>
  <c r="AA302" i="5"/>
  <c r="AA301" i="5" s="1"/>
  <c r="AA345" i="5"/>
  <c r="AA326" i="5"/>
  <c r="AA634" i="5"/>
  <c r="AA318" i="5"/>
  <c r="AA251" i="5"/>
  <c r="AA33" i="5"/>
  <c r="AA306" i="5"/>
  <c r="AA453" i="5"/>
  <c r="AA369" i="5"/>
  <c r="AA299" i="5"/>
  <c r="AA290" i="5"/>
  <c r="AA346" i="5"/>
  <c r="AA70" i="5"/>
  <c r="AA662" i="5"/>
  <c r="AA425" i="5"/>
  <c r="AA622" i="5"/>
  <c r="AA272" i="5"/>
  <c r="AA410" i="5"/>
  <c r="AA524" i="5"/>
  <c r="AA451" i="5"/>
  <c r="AA504" i="5"/>
  <c r="AA593" i="5"/>
  <c r="AA707" i="5"/>
  <c r="AA374" i="5"/>
  <c r="AA664" i="5"/>
  <c r="AA520" i="5"/>
  <c r="AA364" i="5"/>
  <c r="AA56" i="5"/>
  <c r="AA292" i="5"/>
  <c r="AA699" i="5"/>
  <c r="AA536" i="5"/>
  <c r="AA352" i="5"/>
  <c r="AA42" i="5"/>
  <c r="AA443" i="5"/>
  <c r="AA440" i="5"/>
  <c r="AA538" i="5"/>
  <c r="AA262" i="5"/>
  <c r="AA355" i="5"/>
  <c r="AA267" i="5"/>
  <c r="AA329" i="5"/>
  <c r="AA182" i="5"/>
  <c r="AA391" i="5"/>
  <c r="AA210" i="5"/>
  <c r="AA35" i="5"/>
  <c r="AA551" i="5"/>
  <c r="AA357" i="5"/>
  <c r="AA368" i="5"/>
  <c r="AA484" i="5"/>
  <c r="AA398" i="5"/>
  <c r="AA252" i="5"/>
  <c r="AA497" i="5"/>
  <c r="AA328" i="5"/>
  <c r="AA590" i="5"/>
  <c r="AA691" i="5"/>
  <c r="AA720" i="5"/>
  <c r="AA427" i="5"/>
  <c r="AA201" i="5"/>
  <c r="AA584" i="5"/>
  <c r="AA106" i="5"/>
  <c r="AA125" i="5"/>
  <c r="AA342" i="5"/>
  <c r="AA488" i="5"/>
  <c r="AA332" i="5"/>
  <c r="AA53" i="5"/>
  <c r="AA688" i="5"/>
  <c r="AA424" i="5"/>
  <c r="AA638" i="5"/>
  <c r="AA69" i="5"/>
  <c r="AA390" i="5"/>
  <c r="AA635" i="5"/>
  <c r="AA486" i="5"/>
  <c r="AA694" i="5"/>
  <c r="AA539" i="5"/>
  <c r="AA324" i="5"/>
  <c r="AA626" i="5"/>
  <c r="AA700" i="5"/>
  <c r="AA547" i="5"/>
  <c r="AA98" i="5"/>
  <c r="AA359" i="5"/>
  <c r="AA546" i="5"/>
  <c r="AA88" i="5"/>
  <c r="AA575" i="5"/>
  <c r="AA541" i="5"/>
  <c r="AA556" i="5"/>
  <c r="AA279" i="5"/>
  <c r="AA85" i="5"/>
  <c r="AA548" i="5"/>
  <c r="AA557" i="5"/>
  <c r="AA455" i="5"/>
  <c r="AA693" i="5"/>
  <c r="AA330" i="5"/>
  <c r="AA334" i="5"/>
  <c r="AA348" i="5"/>
  <c r="AA313" i="5"/>
  <c r="AA648" i="5"/>
  <c r="AA475" i="5"/>
  <c r="AA44" i="5"/>
  <c r="AA211" i="5"/>
  <c r="AA61" i="5"/>
  <c r="AA105" i="5"/>
  <c r="AA36" i="5"/>
  <c r="AA377" i="5"/>
  <c r="AA525" i="5"/>
  <c r="AA298" i="5"/>
  <c r="AA280" i="5"/>
  <c r="AA258" i="5"/>
  <c r="AA34" i="5"/>
  <c r="AA202" i="5"/>
  <c r="AA363" i="5"/>
  <c r="AA274" i="5"/>
  <c r="AA372" i="5"/>
  <c r="AA587" i="5"/>
  <c r="AA396" i="5"/>
  <c r="AA499" i="5"/>
  <c r="AA73" i="5"/>
  <c r="AA375" i="5"/>
  <c r="AA420" i="5"/>
  <c r="AA574" i="5"/>
  <c r="AA528" i="5"/>
  <c r="AA542" i="5"/>
  <c r="AA264" i="5"/>
  <c r="AA303" i="5"/>
  <c r="AA417" i="5"/>
  <c r="AA291" i="5"/>
  <c r="AA540" i="5"/>
  <c r="AA265" i="5"/>
  <c r="AA414" i="5"/>
  <c r="AA382" i="5"/>
  <c r="AA430" i="5"/>
  <c r="AA49" i="5"/>
  <c r="AA388" i="5"/>
  <c r="AA684" i="5"/>
  <c r="AA289" i="5"/>
  <c r="AA615" i="5"/>
  <c r="AA408" i="5"/>
  <c r="AA171" i="5"/>
  <c r="AA109" i="5"/>
  <c r="AA517" i="5"/>
  <c r="AA413" i="5"/>
  <c r="AA327" i="5"/>
  <c r="AA709" i="5"/>
  <c r="AA706" i="5"/>
  <c r="AA468" i="5"/>
  <c r="AA703" i="5"/>
  <c r="AA362" i="5"/>
  <c r="AA87" i="5"/>
  <c r="AA404" i="5"/>
  <c r="AA277" i="5"/>
  <c r="AA399" i="5"/>
  <c r="AA445" i="5"/>
  <c r="AA271" i="5"/>
  <c r="AA351" i="5"/>
  <c r="AA46" i="5"/>
  <c r="AA266" i="5"/>
  <c r="AA95" i="5"/>
  <c r="AA174" i="5"/>
  <c r="AA66" i="5"/>
  <c r="AA534" i="5"/>
  <c r="AA276" i="5"/>
  <c r="AA423" i="5"/>
  <c r="AA554" i="5"/>
  <c r="AA288" i="5"/>
  <c r="AA250" i="5"/>
  <c r="AA448" i="5"/>
  <c r="AA256" i="5"/>
  <c r="AA514" i="5"/>
  <c r="AA278" i="5"/>
  <c r="AA358" i="5"/>
  <c r="AA308" i="5"/>
  <c r="AA257" i="5"/>
  <c r="AA485" i="5"/>
  <c r="AA261" i="5"/>
  <c r="AA426" i="5"/>
  <c r="AA255" i="5"/>
  <c r="AA45" i="5"/>
  <c r="AA612" i="5"/>
  <c r="AA32" i="5"/>
  <c r="AA336" i="5"/>
  <c r="AA356" i="5"/>
  <c r="AA616" i="5"/>
  <c r="AA516" i="5"/>
  <c r="AA275" i="5"/>
  <c r="AA190" i="5"/>
  <c r="AA690" i="5"/>
  <c r="AA94" i="5"/>
  <c r="AA331" i="5"/>
  <c r="AA708" i="5"/>
  <c r="AA62" i="5"/>
  <c r="AA254" i="5"/>
  <c r="AA55" i="5"/>
  <c r="AA416" i="5"/>
  <c r="AA102" i="5"/>
  <c r="AA101" i="5" s="1"/>
  <c r="B59" i="8" s="1"/>
  <c r="AA422" i="5"/>
  <c r="AA222" i="5"/>
  <c r="AA655" i="5"/>
  <c r="AA654" i="5" s="1"/>
  <c r="B221" i="8" s="1"/>
  <c r="AA38" i="5"/>
  <c r="AA37" i="5" s="1"/>
  <c r="B29" i="8" s="1"/>
  <c r="AA437" i="5"/>
  <c r="AA473" i="5"/>
  <c r="AA531" i="5"/>
  <c r="AA24" i="5"/>
  <c r="AA350" i="5"/>
  <c r="AA725" i="5"/>
  <c r="AA724" i="5" s="1"/>
  <c r="B257" i="8" s="1"/>
  <c r="AA58" i="5"/>
  <c r="AA713" i="5"/>
  <c r="AA403" i="5"/>
  <c r="AA354" i="5"/>
  <c r="AA286" i="5"/>
  <c r="AA231" i="5"/>
  <c r="AA230" i="5" s="1"/>
  <c r="B104" i="8" s="1"/>
  <c r="AA75" i="5"/>
  <c r="AA696" i="5"/>
  <c r="AA246" i="5"/>
  <c r="AA245" i="5" s="1"/>
  <c r="B113" i="8" s="1"/>
  <c r="AA97" i="5"/>
  <c r="AA509" i="5"/>
  <c r="AA683" i="5"/>
  <c r="AA320" i="5"/>
  <c r="AA30" i="5"/>
  <c r="AA641" i="5"/>
  <c r="AA82" i="5"/>
  <c r="AA544" i="5"/>
  <c r="AA104" i="5"/>
  <c r="AA605" i="5"/>
  <c r="AA661" i="5"/>
  <c r="AA122" i="5"/>
  <c r="AA687" i="5"/>
  <c r="AA90" i="5"/>
  <c r="AA89" i="5" s="1"/>
  <c r="B50" i="8" s="1"/>
  <c r="AA629" i="5"/>
  <c r="AA213" i="5"/>
  <c r="AA527" i="5"/>
  <c r="AA614" i="5"/>
  <c r="AA48" i="5"/>
  <c r="AA64" i="5"/>
  <c r="AA248" i="5"/>
  <c r="AA581" i="5"/>
  <c r="AA619" i="5"/>
  <c r="AA111" i="5"/>
  <c r="AA608" i="5"/>
  <c r="AA607" i="5" s="1"/>
  <c r="B200" i="8" s="1"/>
  <c r="AA419" i="5"/>
  <c r="AA418" i="5" s="1"/>
  <c r="B152" i="8" s="1"/>
  <c r="AA92" i="5"/>
  <c r="AA41" i="5"/>
  <c r="AA702" i="5"/>
  <c r="AA317" i="5"/>
  <c r="AA366" i="5"/>
  <c r="AA570" i="5"/>
  <c r="AA22" i="5"/>
  <c r="AA151" i="5"/>
  <c r="AA639" i="5"/>
  <c r="AA158" i="5"/>
  <c r="AA157" i="5"/>
  <c r="AA658" i="5"/>
  <c r="AA677" i="5"/>
  <c r="AA281" i="5"/>
  <c r="AA179" i="5"/>
  <c r="AA667" i="5"/>
  <c r="AA163" i="5"/>
  <c r="AA395" i="5"/>
  <c r="AA186" i="5"/>
  <c r="AA133" i="5"/>
  <c r="AA492" i="5"/>
  <c r="AA571" i="5"/>
  <c r="AA649" i="5"/>
  <c r="AA432" i="5"/>
  <c r="AA467" i="5"/>
  <c r="AA469" i="5"/>
  <c r="AA431" i="5"/>
  <c r="AA651" i="5"/>
  <c r="AA679" i="5"/>
  <c r="AA659" i="5"/>
  <c r="AA159" i="5"/>
  <c r="AA236" i="5"/>
  <c r="AA371" i="5"/>
  <c r="AA77" i="5"/>
  <c r="AA493" i="5"/>
  <c r="AA117" i="5"/>
  <c r="AA132" i="5"/>
  <c r="AA633" i="5"/>
  <c r="AA621" i="5"/>
  <c r="AA563" i="5"/>
  <c r="AA129" i="5"/>
  <c r="AA130" i="5"/>
  <c r="AA143" i="5"/>
  <c r="AA652" i="5"/>
  <c r="AA189" i="5"/>
  <c r="AA594" i="5"/>
  <c r="AA449" i="5"/>
  <c r="AA312" i="5"/>
  <c r="AA180" i="5"/>
  <c r="AA225" i="5"/>
  <c r="AA162" i="5"/>
  <c r="AA381" i="5"/>
  <c r="AA723" i="5"/>
  <c r="AA241" i="5"/>
  <c r="AA178" i="5"/>
  <c r="AA464" i="5"/>
  <c r="AA196" i="5"/>
  <c r="AA218" i="5"/>
  <c r="AA502" i="5"/>
  <c r="AA463" i="5"/>
  <c r="AA454" i="5"/>
  <c r="AA229" i="5"/>
  <c r="AA627" i="5"/>
  <c r="AA220" i="5"/>
  <c r="AA389" i="5"/>
  <c r="AA141" i="5"/>
  <c r="AA150" i="5"/>
  <c r="AA165" i="5"/>
  <c r="AA385" i="5"/>
  <c r="AA572" i="5"/>
  <c r="AA681" i="5"/>
  <c r="AA145" i="5"/>
  <c r="AA198" i="5"/>
  <c r="AA577" i="5"/>
  <c r="AA226" i="5"/>
  <c r="AA193" i="5"/>
  <c r="AA576" i="5"/>
  <c r="AA136" i="5"/>
  <c r="AA503" i="5"/>
  <c r="AA148" i="5"/>
  <c r="AA457" i="5"/>
  <c r="AA194" i="5"/>
  <c r="AA601" i="5"/>
  <c r="AA494" i="5"/>
  <c r="AA599" i="5"/>
  <c r="AA119" i="5"/>
  <c r="AA631" i="5"/>
  <c r="AA441" i="5"/>
  <c r="AA208" i="5"/>
  <c r="AA131" i="5"/>
  <c r="AA204" i="5"/>
  <c r="AA672" i="5"/>
  <c r="AA146" i="5"/>
  <c r="AA650" i="5"/>
  <c r="AA573" i="5"/>
  <c r="AA433" i="5"/>
  <c r="AA462" i="5"/>
  <c r="AA623" i="5"/>
  <c r="AA466" i="5"/>
  <c r="AA600" i="5"/>
  <c r="AA632" i="5"/>
  <c r="AA411" i="5"/>
  <c r="AA383" i="5"/>
  <c r="AA401" i="5"/>
  <c r="AA666" i="5"/>
  <c r="AA187" i="5"/>
  <c r="AA458" i="5"/>
  <c r="AA128" i="5"/>
  <c r="AA579" i="5"/>
  <c r="AA243" i="5"/>
  <c r="AA21" i="5"/>
  <c r="AA487" i="5"/>
  <c r="AA481" i="5"/>
  <c r="AA478" i="5"/>
  <c r="AA506" i="5"/>
  <c r="AA217" i="5"/>
  <c r="AA461" i="5"/>
  <c r="AA242" i="5"/>
  <c r="AA239" i="5"/>
  <c r="AA161" i="5"/>
  <c r="AA207" i="5"/>
  <c r="AA173" i="5"/>
  <c r="AA597" i="5"/>
  <c r="AA501" i="5"/>
  <c r="AA79" i="5"/>
  <c r="AA498" i="5"/>
  <c r="AA244" i="5"/>
  <c r="AA673" i="5"/>
  <c r="AA205" i="5"/>
  <c r="AA670" i="5"/>
  <c r="AA188" i="5"/>
  <c r="AA565" i="5"/>
  <c r="AA343" i="5"/>
  <c r="AA314" i="5"/>
  <c r="AA465" i="5"/>
  <c r="AA578" i="5"/>
  <c r="AA393" i="5"/>
  <c r="AA139" i="5"/>
  <c r="AA147" i="5"/>
  <c r="AA496" i="5"/>
  <c r="AA678" i="5"/>
  <c r="AA718" i="5"/>
  <c r="AA191" i="5"/>
  <c r="AA625" i="5"/>
  <c r="AA235" i="5"/>
  <c r="AA116" i="5"/>
  <c r="AA195" i="5"/>
  <c r="AA675" i="5"/>
  <c r="AA344" i="5"/>
  <c r="AA456" i="5"/>
  <c r="AA376" i="5"/>
  <c r="AA471" i="5"/>
  <c r="AA167" i="5"/>
  <c r="AA717" i="5"/>
  <c r="AA160" i="5"/>
  <c r="AA140" i="5"/>
  <c r="AA409" i="5"/>
  <c r="AA507" i="5"/>
  <c r="AA500" i="5"/>
  <c r="AA137" i="5"/>
  <c r="AA400" i="5"/>
  <c r="AA680" i="5"/>
  <c r="AA386" i="5"/>
  <c r="AA719" i="5"/>
  <c r="AA118" i="5"/>
  <c r="AA154" i="5"/>
  <c r="AA297" i="5"/>
  <c r="AA564" i="5"/>
  <c r="AA434" i="5"/>
  <c r="AA149" i="5"/>
  <c r="AA142" i="5"/>
  <c r="AA224" i="5"/>
  <c r="AA452" i="5"/>
  <c r="AA284" i="5"/>
  <c r="AA228" i="5"/>
  <c r="AA560" i="5"/>
  <c r="AA206" i="5"/>
  <c r="AA144" i="5"/>
  <c r="AA459" i="5"/>
  <c r="AA566" i="5"/>
  <c r="AA653" i="5"/>
  <c r="AA227" i="5"/>
  <c r="AA397" i="5"/>
  <c r="AA120" i="5"/>
  <c r="AA588" i="5"/>
  <c r="AA624" i="5"/>
  <c r="AA561" i="5"/>
  <c r="AA166" i="5"/>
  <c r="AA347" i="5"/>
  <c r="AA216" i="5"/>
  <c r="AA192" i="5"/>
  <c r="AA164" i="5"/>
  <c r="AA603" i="5"/>
  <c r="AA138" i="5"/>
  <c r="AA562" i="5"/>
  <c r="AA240" i="5"/>
  <c r="AA78" i="5"/>
  <c r="AA671" i="5"/>
  <c r="AA168" i="5"/>
  <c r="AA598" i="5"/>
  <c r="AA569" i="5"/>
  <c r="AA283" i="5"/>
  <c r="AA394" i="5"/>
  <c r="AA602" i="5"/>
  <c r="AA644" i="5"/>
  <c r="AA185" i="5"/>
  <c r="AA669" i="5"/>
  <c r="AA115" i="5"/>
  <c r="AA657" i="5"/>
  <c r="AA711" i="5"/>
  <c r="AA710" i="5" s="1"/>
  <c r="B245" i="8" s="1"/>
  <c r="AA107" i="5"/>
  <c r="AA238" i="5"/>
  <c r="AA177" i="5"/>
  <c r="AA27" i="5"/>
  <c r="AA223" i="5"/>
  <c r="AA606" i="5"/>
  <c r="AA491" i="5"/>
  <c r="AA568" i="5"/>
  <c r="AA585" i="5"/>
  <c r="AA20" i="5"/>
  <c r="AA642" i="5"/>
  <c r="AA428" i="5"/>
  <c r="AA153" i="5"/>
  <c r="AA234" i="5"/>
  <c r="AA714" i="5"/>
  <c r="AA18" i="5"/>
  <c r="AA592" i="5"/>
  <c r="AA591" i="5" s="1"/>
  <c r="B191" i="8" s="1"/>
  <c r="AA76" i="5"/>
  <c r="AA665" i="5"/>
  <c r="AA170" i="5"/>
  <c r="AA169" i="5" s="1"/>
  <c r="B86" i="8" s="1"/>
  <c r="AA477" i="5"/>
  <c r="AA620" i="5"/>
  <c r="AA438" i="5"/>
  <c r="AA294" i="5"/>
  <c r="AA293" i="5" s="1"/>
  <c r="B122" i="8" s="1"/>
  <c r="AA127" i="5"/>
  <c r="AA215" i="5"/>
  <c r="AA559" i="5"/>
  <c r="AA124" i="5"/>
  <c r="AA535" i="5"/>
  <c r="AA296" i="5"/>
  <c r="AA259" i="5"/>
  <c r="AA480" i="5"/>
  <c r="AA716" i="5"/>
  <c r="AA637" i="5"/>
  <c r="AA405" i="5"/>
  <c r="AA474" i="5"/>
  <c r="AA722" i="5"/>
  <c r="AA135" i="5"/>
  <c r="AA200" i="5"/>
  <c r="AA630" i="5"/>
  <c r="AA338" i="5"/>
  <c r="AA156" i="5"/>
  <c r="AA370" i="5"/>
  <c r="AA311" i="5"/>
  <c r="AA596" i="5"/>
  <c r="T319" i="12"/>
  <c r="V319" i="12"/>
  <c r="U319" i="12"/>
  <c r="I377" i="5"/>
  <c r="O376" i="5"/>
  <c r="D539" i="12"/>
  <c r="E539" i="6"/>
  <c r="E375" i="6"/>
  <c r="D375" i="12"/>
  <c r="E204" i="6"/>
  <c r="D204" i="12"/>
  <c r="I541" i="5"/>
  <c r="O540" i="5"/>
  <c r="I679" i="5"/>
  <c r="O678" i="5"/>
  <c r="D442" i="12"/>
  <c r="E442" i="6"/>
  <c r="E589" i="6"/>
  <c r="D589" i="12"/>
  <c r="L27" i="13"/>
  <c r="N25" i="11"/>
  <c r="E263" i="6"/>
  <c r="D263" i="12"/>
  <c r="I444" i="5"/>
  <c r="O443" i="5"/>
  <c r="E485" i="6"/>
  <c r="D485" i="12"/>
  <c r="E498" i="6"/>
  <c r="D498" i="12"/>
  <c r="D590" i="12"/>
  <c r="E590" i="6"/>
  <c r="U103" i="12"/>
  <c r="T103" i="12"/>
  <c r="V103" i="12"/>
  <c r="I24" i="14"/>
  <c r="J24" i="14" s="1"/>
  <c r="K24" i="14" s="1"/>
  <c r="L24" i="14" s="1"/>
  <c r="I7" i="14"/>
  <c r="J7" i="14" s="1"/>
  <c r="K7" i="14" s="1"/>
  <c r="L7" i="14" s="1"/>
  <c r="I15" i="14"/>
  <c r="J15" i="14" s="1"/>
  <c r="K15" i="14" s="1"/>
  <c r="L15" i="14" s="1"/>
  <c r="T640" i="12"/>
  <c r="V640" i="12"/>
  <c r="U640" i="12"/>
  <c r="I650" i="5"/>
  <c r="O649" i="5"/>
  <c r="I206" i="5"/>
  <c r="O205" i="5"/>
  <c r="AA721" i="5" l="1"/>
  <c r="B254" i="8" s="1"/>
  <c r="AA476" i="5"/>
  <c r="B164" i="8" s="1"/>
  <c r="AA567" i="5"/>
  <c r="B185" i="8" s="1"/>
  <c r="AA184" i="5"/>
  <c r="B92" i="8" s="1"/>
  <c r="AA40" i="5"/>
  <c r="B32" i="8" s="1"/>
  <c r="AA57" i="5"/>
  <c r="B38" i="8" s="1"/>
  <c r="AA415" i="5"/>
  <c r="B149" i="8" s="1"/>
  <c r="AA682" i="5"/>
  <c r="B233" i="8" s="1"/>
  <c r="AA479" i="5"/>
  <c r="B167" i="8" s="1"/>
  <c r="AA110" i="5"/>
  <c r="B65" i="8" s="1"/>
  <c r="AA134" i="5"/>
  <c r="B77" i="8" s="1"/>
  <c r="AA233" i="5"/>
  <c r="B107" i="8" s="1"/>
  <c r="AA237" i="5"/>
  <c r="B110" i="8" s="1"/>
  <c r="AA604" i="5"/>
  <c r="B197" i="8" s="1"/>
  <c r="AA656" i="5"/>
  <c r="B224" i="8" s="1"/>
  <c r="AA47" i="5"/>
  <c r="B35" i="8" s="1"/>
  <c r="AA81" i="5"/>
  <c r="B47" i="8" s="1"/>
  <c r="AA353" i="5"/>
  <c r="B140" i="8" s="1"/>
  <c r="AE19" i="11"/>
  <c r="M19" i="11" s="1"/>
  <c r="L19" i="11" s="1"/>
  <c r="AA686" i="5"/>
  <c r="B236" i="8" s="1"/>
  <c r="AA96" i="5"/>
  <c r="B56" i="8" s="1"/>
  <c r="AE16" i="11"/>
  <c r="M16" i="11" s="1"/>
  <c r="L16" i="11" s="1"/>
  <c r="AA126" i="5"/>
  <c r="B74" i="8" s="1"/>
  <c r="AA365" i="5"/>
  <c r="B143" i="8" s="1"/>
  <c r="I445" i="5"/>
  <c r="O444" i="5"/>
  <c r="I542" i="5"/>
  <c r="O542" i="5" s="1"/>
  <c r="O541" i="5"/>
  <c r="AA595" i="5"/>
  <c r="B194" i="8" s="1"/>
  <c r="AA715" i="5"/>
  <c r="B251" i="8" s="1"/>
  <c r="AA668" i="5"/>
  <c r="B230" i="8" s="1"/>
  <c r="AA701" i="5"/>
  <c r="B242" i="8" s="1"/>
  <c r="AA526" i="5"/>
  <c r="B176" i="8" s="1"/>
  <c r="AA29" i="5"/>
  <c r="B26" i="8" s="1"/>
  <c r="AA712" i="5"/>
  <c r="B248" i="8" s="1"/>
  <c r="AA300" i="5"/>
  <c r="B128" i="8" s="1"/>
  <c r="AE21" i="11"/>
  <c r="M21" i="11" s="1"/>
  <c r="L21" i="11" s="1"/>
  <c r="I345" i="5"/>
  <c r="O344" i="5"/>
  <c r="AA319" i="5"/>
  <c r="B134" i="8" s="1"/>
  <c r="AE15" i="11"/>
  <c r="M15" i="11" s="1"/>
  <c r="L15" i="11" s="1"/>
  <c r="I412" i="5"/>
  <c r="O411" i="5"/>
  <c r="AA212" i="5"/>
  <c r="B98" i="8" s="1"/>
  <c r="AA490" i="5"/>
  <c r="B170" i="8" s="1"/>
  <c r="AA643" i="5"/>
  <c r="B218" i="8" s="1"/>
  <c r="AA91" i="5"/>
  <c r="B53" i="8" s="1"/>
  <c r="AA628" i="5"/>
  <c r="B209" i="8" s="1"/>
  <c r="E410" i="6"/>
  <c r="D410" i="12"/>
  <c r="AA155" i="5"/>
  <c r="B83" i="8" s="1"/>
  <c r="AA295" i="5"/>
  <c r="B125" i="8" s="1"/>
  <c r="AA508" i="5"/>
  <c r="B173" i="8" s="1"/>
  <c r="AA349" i="5"/>
  <c r="B137" i="8" s="1"/>
  <c r="AE20" i="11"/>
  <c r="M20" i="11" s="1"/>
  <c r="L20" i="11" s="1"/>
  <c r="D194" i="12"/>
  <c r="E194" i="6"/>
  <c r="AC27" i="13"/>
  <c r="D32" i="14"/>
  <c r="AD27" i="13"/>
  <c r="AA23" i="5"/>
  <c r="B23" i="8" s="1"/>
  <c r="E665" i="6"/>
  <c r="D665" i="12"/>
  <c r="I196" i="5"/>
  <c r="O195" i="5"/>
  <c r="E264" i="6"/>
  <c r="D264" i="12"/>
  <c r="AA17" i="5"/>
  <c r="B17" i="8" s="1"/>
  <c r="AA16" i="5"/>
  <c r="AA15" i="5"/>
  <c r="AA121" i="5"/>
  <c r="B71" i="8" s="1"/>
  <c r="AA530" i="5"/>
  <c r="B179" i="8" s="1"/>
  <c r="W269" i="8" a="1"/>
  <c r="W269" i="8" s="1"/>
  <c r="V264" i="8"/>
  <c r="I667" i="5"/>
  <c r="O667" i="5" s="1"/>
  <c r="O666" i="5"/>
  <c r="I266" i="5"/>
  <c r="O265" i="5"/>
  <c r="E205" i="6"/>
  <c r="D205" i="12"/>
  <c r="I207" i="5"/>
  <c r="O206" i="5"/>
  <c r="D649" i="12"/>
  <c r="E649" i="6"/>
  <c r="AA199" i="5"/>
  <c r="B95" i="8" s="1"/>
  <c r="AA176" i="5"/>
  <c r="B89" i="8" s="1"/>
  <c r="AA618" i="5"/>
  <c r="B206" i="8" s="1"/>
  <c r="AA660" i="5"/>
  <c r="B227" i="8" s="1"/>
  <c r="AA695" i="5"/>
  <c r="B239" i="8" s="1"/>
  <c r="AA472" i="5"/>
  <c r="B161" i="8" s="1"/>
  <c r="AE23" i="11"/>
  <c r="M23" i="11" s="1"/>
  <c r="L23" i="11" s="1"/>
  <c r="AE22" i="11"/>
  <c r="M22" i="11" s="1"/>
  <c r="L22" i="11" s="1"/>
  <c r="I501" i="5"/>
  <c r="O500" i="5"/>
  <c r="D376" i="12"/>
  <c r="E376" i="6"/>
  <c r="AA580" i="5"/>
  <c r="B188" i="8" s="1"/>
  <c r="AA74" i="5"/>
  <c r="B44" i="8" s="1"/>
  <c r="AA436" i="5"/>
  <c r="B158" i="8" s="1"/>
  <c r="W270" i="8"/>
  <c r="V266" i="8"/>
  <c r="V265" i="8"/>
  <c r="V261" i="8" s="1"/>
  <c r="E499" i="6"/>
  <c r="D499" i="12"/>
  <c r="F32" i="14"/>
  <c r="N27" i="13"/>
  <c r="E32" i="14" s="1"/>
  <c r="I378" i="5"/>
  <c r="O377" i="5"/>
  <c r="AA152" i="5"/>
  <c r="B80" i="8" s="1"/>
  <c r="AA247" i="5"/>
  <c r="B116" i="8" s="1"/>
  <c r="AA103" i="5"/>
  <c r="B62" i="8" s="1"/>
  <c r="AE17" i="11"/>
  <c r="M17" i="11" s="1"/>
  <c r="L17" i="11" s="1"/>
  <c r="E433" i="6"/>
  <c r="D433" i="12"/>
  <c r="I488" i="5"/>
  <c r="O487" i="5"/>
  <c r="E627" i="6"/>
  <c r="D627" i="12"/>
  <c r="E678" i="6"/>
  <c r="D678" i="12"/>
  <c r="AA63" i="5"/>
  <c r="B41" i="8" s="1"/>
  <c r="AA543" i="5"/>
  <c r="B182" i="8" s="1"/>
  <c r="AA285" i="5"/>
  <c r="B119" i="8" s="1"/>
  <c r="AE12" i="11"/>
  <c r="M12" i="11" s="1"/>
  <c r="L12" i="11" s="1"/>
  <c r="I435" i="5"/>
  <c r="O435" i="5" s="1"/>
  <c r="O434" i="5"/>
  <c r="D578" i="12"/>
  <c r="E578" i="6"/>
  <c r="E486" i="6"/>
  <c r="D486" i="12"/>
  <c r="D626" i="12"/>
  <c r="E626" i="6"/>
  <c r="AA221" i="5"/>
  <c r="B101" i="8" s="1"/>
  <c r="D579" i="12"/>
  <c r="E579" i="6"/>
  <c r="I651" i="5"/>
  <c r="O650" i="5"/>
  <c r="I680" i="5"/>
  <c r="O679" i="5"/>
  <c r="D443" i="12"/>
  <c r="E443" i="6"/>
  <c r="E540" i="6"/>
  <c r="D540" i="12"/>
  <c r="AA636" i="5"/>
  <c r="B212" i="8" s="1"/>
  <c r="AA19" i="5"/>
  <c r="B20" i="8" s="1"/>
  <c r="AA114" i="5"/>
  <c r="B68" i="8" s="1"/>
  <c r="AA316" i="5"/>
  <c r="B131" i="8" s="1"/>
  <c r="AA613" i="5"/>
  <c r="B203" i="8" s="1"/>
  <c r="AA640" i="5"/>
  <c r="B215" i="8" s="1"/>
  <c r="AA402" i="5"/>
  <c r="B146" i="8" s="1"/>
  <c r="AA421" i="5"/>
  <c r="B155" i="8" s="1"/>
  <c r="AE18" i="11"/>
  <c r="M18" i="11" s="1"/>
  <c r="L18" i="11" s="1"/>
  <c r="E343" i="6"/>
  <c r="D343" i="12"/>
  <c r="I379" i="5" l="1"/>
  <c r="O378" i="5"/>
  <c r="I446" i="5"/>
  <c r="O445" i="5"/>
  <c r="AF14" i="13"/>
  <c r="T14" i="13" s="1"/>
  <c r="AD3" i="13" s="1"/>
  <c r="AD2" i="13" s="1"/>
  <c r="AC14" i="13"/>
  <c r="R14" i="13" s="1"/>
  <c r="M26" i="13" s="1"/>
  <c r="AA14" i="11"/>
  <c r="E679" i="6"/>
  <c r="D679" i="12"/>
  <c r="I489" i="5"/>
  <c r="O489" i="5" s="1"/>
  <c r="O488" i="5"/>
  <c r="I502" i="5"/>
  <c r="O501" i="5"/>
  <c r="I208" i="5"/>
  <c r="O207" i="5"/>
  <c r="I681" i="5"/>
  <c r="O681" i="5" s="1"/>
  <c r="O680" i="5"/>
  <c r="D434" i="12"/>
  <c r="E434" i="6"/>
  <c r="D268" i="8" a="1"/>
  <c r="D268" i="8" s="1"/>
  <c r="T268" i="8" a="1"/>
  <c r="T268" i="8" s="1"/>
  <c r="E487" i="6"/>
  <c r="D487" i="12"/>
  <c r="E650" i="6"/>
  <c r="D650" i="12"/>
  <c r="D500" i="12"/>
  <c r="E500" i="6"/>
  <c r="E411" i="6"/>
  <c r="D411" i="12"/>
  <c r="I652" i="5"/>
  <c r="O651" i="5"/>
  <c r="D265" i="12"/>
  <c r="E265" i="6"/>
  <c r="I413" i="5"/>
  <c r="O412" i="5"/>
  <c r="D206" i="12"/>
  <c r="E206" i="6"/>
  <c r="D435" i="12"/>
  <c r="E435" i="6"/>
  <c r="I267" i="5"/>
  <c r="O266" i="5"/>
  <c r="D195" i="12"/>
  <c r="E195" i="6"/>
  <c r="D541" i="12"/>
  <c r="E541" i="6"/>
  <c r="D666" i="12"/>
  <c r="E666" i="6"/>
  <c r="E667" i="6"/>
  <c r="D667" i="12"/>
  <c r="D344" i="12"/>
  <c r="E344" i="6"/>
  <c r="D542" i="12"/>
  <c r="E542" i="6"/>
  <c r="W266" i="8"/>
  <c r="X270" i="8"/>
  <c r="W265" i="8"/>
  <c r="W261" i="8" s="1"/>
  <c r="I197" i="5"/>
  <c r="O196" i="5"/>
  <c r="E377" i="6"/>
  <c r="D377" i="12"/>
  <c r="I346" i="5"/>
  <c r="O345" i="5"/>
  <c r="D444" i="12"/>
  <c r="E444" i="6"/>
  <c r="W264" i="8"/>
  <c r="X269" i="8" a="1"/>
  <c r="X269" i="8" s="1"/>
  <c r="E196" i="6" l="1"/>
  <c r="D196" i="12"/>
  <c r="E266" i="6"/>
  <c r="D266" i="12"/>
  <c r="I503" i="5"/>
  <c r="O502" i="5"/>
  <c r="D412" i="12"/>
  <c r="E412" i="6"/>
  <c r="E488" i="6"/>
  <c r="D488" i="12"/>
  <c r="O197" i="5"/>
  <c r="I198" i="5"/>
  <c r="O198" i="5" s="1"/>
  <c r="I414" i="5"/>
  <c r="O414" i="5" s="1"/>
  <c r="O413" i="5"/>
  <c r="D489" i="12"/>
  <c r="E489" i="6"/>
  <c r="T263" i="8"/>
  <c r="U268" i="8" a="1"/>
  <c r="U268" i="8" s="1"/>
  <c r="T267" i="8"/>
  <c r="T262" i="8" s="1"/>
  <c r="D263" i="8"/>
  <c r="D267" i="8"/>
  <c r="D262" i="8" s="1"/>
  <c r="X266" i="8"/>
  <c r="X265" i="8"/>
  <c r="X261" i="8" s="1"/>
  <c r="Y270" i="8"/>
  <c r="E651" i="6"/>
  <c r="D651" i="12"/>
  <c r="AA24" i="11"/>
  <c r="AE14" i="11" s="1"/>
  <c r="M14" i="11" s="1"/>
  <c r="Z14" i="11"/>
  <c r="Z24" i="11" s="1"/>
  <c r="AE3" i="13"/>
  <c r="M25" i="13"/>
  <c r="E681" i="6"/>
  <c r="D681" i="12"/>
  <c r="E445" i="6"/>
  <c r="D445" i="12"/>
  <c r="X264" i="8"/>
  <c r="Y269" i="8" a="1"/>
  <c r="Y269" i="8" s="1"/>
  <c r="D345" i="12"/>
  <c r="E345" i="6"/>
  <c r="D207" i="12"/>
  <c r="E207" i="6"/>
  <c r="I447" i="5"/>
  <c r="O446" i="5"/>
  <c r="I653" i="5"/>
  <c r="O653" i="5" s="1"/>
  <c r="O652" i="5"/>
  <c r="D680" i="12"/>
  <c r="E680" i="6"/>
  <c r="D378" i="12"/>
  <c r="E378" i="6"/>
  <c r="I268" i="5"/>
  <c r="O267" i="5"/>
  <c r="O346" i="5"/>
  <c r="I347" i="5"/>
  <c r="I209" i="5"/>
  <c r="O208" i="5"/>
  <c r="E501" i="6"/>
  <c r="D501" i="12"/>
  <c r="I380" i="5"/>
  <c r="O379" i="5"/>
  <c r="I210" i="5" l="1"/>
  <c r="O209" i="5"/>
  <c r="I269" i="5"/>
  <c r="O268" i="5"/>
  <c r="Z270" i="8"/>
  <c r="Y266" i="8"/>
  <c r="Y265" i="8"/>
  <c r="Y261" i="8" s="1"/>
  <c r="D198" i="12"/>
  <c r="E198" i="6"/>
  <c r="D413" i="12"/>
  <c r="E413" i="6"/>
  <c r="D379" i="12"/>
  <c r="E379" i="6"/>
  <c r="E197" i="6"/>
  <c r="D197" i="12"/>
  <c r="O380" i="5"/>
  <c r="I381" i="5"/>
  <c r="I348" i="5"/>
  <c r="O348" i="5" s="1"/>
  <c r="O347" i="5"/>
  <c r="D652" i="12"/>
  <c r="E652" i="6"/>
  <c r="I448" i="5"/>
  <c r="O447" i="5"/>
  <c r="D653" i="12"/>
  <c r="E653" i="6"/>
  <c r="E208" i="6"/>
  <c r="D208" i="12"/>
  <c r="E446" i="6"/>
  <c r="D446" i="12"/>
  <c r="U263" i="8"/>
  <c r="V268" i="8" a="1"/>
  <c r="V268" i="8" s="1"/>
  <c r="U267" i="8"/>
  <c r="U262" i="8" s="1"/>
  <c r="E502" i="6"/>
  <c r="D502" i="12"/>
  <c r="M24" i="11"/>
  <c r="L14" i="11"/>
  <c r="L24" i="11" s="1"/>
  <c r="O26" i="13"/>
  <c r="AE2" i="13"/>
  <c r="I504" i="5"/>
  <c r="O503" i="5"/>
  <c r="E346" i="6"/>
  <c r="D346" i="12"/>
  <c r="D267" i="12"/>
  <c r="E267" i="6"/>
  <c r="Z269" i="8" a="1"/>
  <c r="Z269" i="8" s="1"/>
  <c r="Y264" i="8"/>
  <c r="E414" i="6"/>
  <c r="D414" i="12"/>
  <c r="M10" i="11" l="1"/>
  <c r="N10" i="13" s="1"/>
  <c r="L26" i="13"/>
  <c r="M25" i="11"/>
  <c r="D447" i="12"/>
  <c r="E447" i="6"/>
  <c r="W268" i="8" a="1"/>
  <c r="W268" i="8" s="1"/>
  <c r="V263" i="8"/>
  <c r="V267" i="8"/>
  <c r="V262" i="8" s="1"/>
  <c r="E347" i="6"/>
  <c r="D347" i="12"/>
  <c r="O448" i="5"/>
  <c r="I449" i="5"/>
  <c r="D348" i="12"/>
  <c r="E348" i="6"/>
  <c r="Z264" i="8"/>
  <c r="AA269" i="8" a="1"/>
  <c r="AA269" i="8" s="1"/>
  <c r="I382" i="5"/>
  <c r="O381" i="5"/>
  <c r="D380" i="12"/>
  <c r="E380" i="6"/>
  <c r="D268" i="12"/>
  <c r="E268" i="6"/>
  <c r="I505" i="5"/>
  <c r="O504" i="5"/>
  <c r="I270" i="5"/>
  <c r="O269" i="5"/>
  <c r="D503" i="12"/>
  <c r="E503" i="6"/>
  <c r="D209" i="12"/>
  <c r="E209" i="6"/>
  <c r="AA270" i="8"/>
  <c r="Z266" i="8"/>
  <c r="Z265" i="8"/>
  <c r="Z261" i="8" s="1"/>
  <c r="F31" i="14"/>
  <c r="N26" i="13"/>
  <c r="E31" i="14" s="1"/>
  <c r="O25" i="13"/>
  <c r="L25" i="13"/>
  <c r="D30" i="14" s="1"/>
  <c r="L10" i="11"/>
  <c r="M10" i="13" s="1"/>
  <c r="L25" i="11"/>
  <c r="I211" i="5"/>
  <c r="O211" i="5" s="1"/>
  <c r="O210" i="5"/>
  <c r="D504" i="12" l="1"/>
  <c r="E504" i="6"/>
  <c r="I450" i="5"/>
  <c r="O449" i="5"/>
  <c r="O505" i="5"/>
  <c r="I506" i="5"/>
  <c r="E448" i="6"/>
  <c r="D448" i="12"/>
  <c r="AA265" i="8"/>
  <c r="AA261" i="8" s="1"/>
  <c r="AB270" i="8"/>
  <c r="AA266" i="8"/>
  <c r="W263" i="8"/>
  <c r="X268" i="8" a="1"/>
  <c r="X268" i="8" s="1"/>
  <c r="W267" i="8"/>
  <c r="W262" i="8" s="1"/>
  <c r="D211" i="12"/>
  <c r="E211" i="6"/>
  <c r="O382" i="5"/>
  <c r="I383" i="5"/>
  <c r="D210" i="12"/>
  <c r="E210" i="6"/>
  <c r="G9" i="11"/>
  <c r="D381" i="12"/>
  <c r="E381" i="6"/>
  <c r="D31" i="14"/>
  <c r="AD26" i="13"/>
  <c r="AC26" i="13"/>
  <c r="AB269" i="8" a="1"/>
  <c r="AB269" i="8" s="1"/>
  <c r="AA264" i="8"/>
  <c r="E269" i="6"/>
  <c r="D269" i="12"/>
  <c r="N25" i="13"/>
  <c r="E30" i="14" s="1"/>
  <c r="F30" i="14"/>
  <c r="I271" i="5"/>
  <c r="O270" i="5"/>
  <c r="AB265" i="8" l="1"/>
  <c r="AB261" i="8" s="1"/>
  <c r="AC270" i="8"/>
  <c r="AB266" i="8"/>
  <c r="D270" i="12"/>
  <c r="E270" i="6"/>
  <c r="I384" i="5"/>
  <c r="O383" i="5"/>
  <c r="AB264" i="8"/>
  <c r="AC269" i="8" a="1"/>
  <c r="AC269" i="8" s="1"/>
  <c r="I272" i="5"/>
  <c r="O271" i="5"/>
  <c r="E382" i="6"/>
  <c r="D382" i="12"/>
  <c r="I507" i="5"/>
  <c r="O507" i="5" s="1"/>
  <c r="O506" i="5"/>
  <c r="E505" i="6"/>
  <c r="D505" i="12"/>
  <c r="D449" i="12"/>
  <c r="E449" i="6"/>
  <c r="I451" i="5"/>
  <c r="O450" i="5"/>
  <c r="Y268" i="8" a="1"/>
  <c r="Y268" i="8" s="1"/>
  <c r="X263" i="8"/>
  <c r="X267" i="8"/>
  <c r="X262" i="8" s="1"/>
  <c r="E271" i="6" l="1"/>
  <c r="D271" i="12"/>
  <c r="I273" i="5"/>
  <c r="O272" i="5"/>
  <c r="AC264" i="8"/>
  <c r="AD269" i="8" a="1"/>
  <c r="AD269" i="8" s="1"/>
  <c r="O451" i="5"/>
  <c r="I452" i="5"/>
  <c r="D383" i="12"/>
  <c r="E383" i="6"/>
  <c r="O384" i="5"/>
  <c r="I385" i="5"/>
  <c r="D450" i="12"/>
  <c r="E450" i="6"/>
  <c r="Z268" i="8" a="1"/>
  <c r="Z268" i="8" s="1"/>
  <c r="Y263" i="8"/>
  <c r="Y267" i="8"/>
  <c r="Y262" i="8" s="1"/>
  <c r="E506" i="6"/>
  <c r="D506" i="12"/>
  <c r="D507" i="12"/>
  <c r="E507" i="6"/>
  <c r="AD270" i="8"/>
  <c r="AC265" i="8"/>
  <c r="AC261" i="8" s="1"/>
  <c r="AC266" i="8"/>
  <c r="I386" i="5" l="1"/>
  <c r="O385" i="5"/>
  <c r="I453" i="5"/>
  <c r="O452" i="5"/>
  <c r="D384" i="12"/>
  <c r="E384" i="6"/>
  <c r="D451" i="12"/>
  <c r="E451" i="6"/>
  <c r="AD264" i="8"/>
  <c r="AE269" i="8" a="1"/>
  <c r="AE269" i="8" s="1"/>
  <c r="AE264" i="8" s="1"/>
  <c r="E272" i="6"/>
  <c r="D272" i="12"/>
  <c r="AD265" i="8"/>
  <c r="AD261" i="8" s="1"/>
  <c r="AD266" i="8"/>
  <c r="AE270" i="8"/>
  <c r="I274" i="5"/>
  <c r="O273" i="5"/>
  <c r="AA268" i="8" a="1"/>
  <c r="AA268" i="8" s="1"/>
  <c r="Z263" i="8"/>
  <c r="Z267" i="8"/>
  <c r="Z262" i="8" s="1"/>
  <c r="I275" i="5" l="1"/>
  <c r="O274" i="5"/>
  <c r="D273" i="12"/>
  <c r="E273" i="6"/>
  <c r="E452" i="6"/>
  <c r="D452" i="12"/>
  <c r="AB268" i="8" a="1"/>
  <c r="AB268" i="8" s="1"/>
  <c r="AA263" i="8"/>
  <c r="AA267" i="8"/>
  <c r="AA262" i="8" s="1"/>
  <c r="O453" i="5"/>
  <c r="I454" i="5"/>
  <c r="D385" i="12"/>
  <c r="E385" i="6"/>
  <c r="AE265" i="8"/>
  <c r="AE261" i="8" s="1"/>
  <c r="J10" i="8"/>
  <c r="B9" i="9"/>
  <c r="AE266" i="8"/>
  <c r="J10" i="13" s="1"/>
  <c r="G10" i="13" s="1"/>
  <c r="AF270" i="8"/>
  <c r="I387" i="5"/>
  <c r="O386" i="5"/>
  <c r="D386" i="12" l="1"/>
  <c r="E386" i="6"/>
  <c r="D453" i="12"/>
  <c r="E453" i="6"/>
  <c r="I455" i="5"/>
  <c r="O454" i="5"/>
  <c r="I388" i="5"/>
  <c r="O387" i="5"/>
  <c r="AC268" i="8" a="1"/>
  <c r="AC268" i="8" s="1"/>
  <c r="AB263" i="8"/>
  <c r="AB267" i="8"/>
  <c r="AB262" i="8" s="1"/>
  <c r="E274" i="6"/>
  <c r="D274" i="12"/>
  <c r="I276" i="5"/>
  <c r="O275" i="5"/>
  <c r="O388" i="5" l="1"/>
  <c r="I389" i="5"/>
  <c r="AD268" i="8" a="1"/>
  <c r="AD268" i="8" s="1"/>
  <c r="AC263" i="8"/>
  <c r="AC267" i="8"/>
  <c r="AC262" i="8" s="1"/>
  <c r="D275" i="12"/>
  <c r="E275" i="6"/>
  <c r="D454" i="12"/>
  <c r="E454" i="6"/>
  <c r="E387" i="6"/>
  <c r="D387" i="12"/>
  <c r="O455" i="5"/>
  <c r="I456" i="5"/>
  <c r="I277" i="5"/>
  <c r="O276" i="5"/>
  <c r="E455" i="6" l="1"/>
  <c r="D455" i="12"/>
  <c r="AD263" i="8"/>
  <c r="AE268" i="8" a="1"/>
  <c r="AE268" i="8" s="1"/>
  <c r="AD267" i="8"/>
  <c r="AD262" i="8" s="1"/>
  <c r="E276" i="6"/>
  <c r="D276" i="12"/>
  <c r="I278" i="5"/>
  <c r="O277" i="5"/>
  <c r="I390" i="5"/>
  <c r="O389" i="5"/>
  <c r="I457" i="5"/>
  <c r="O456" i="5"/>
  <c r="D388" i="12"/>
  <c r="E388" i="6"/>
  <c r="I458" i="5" l="1"/>
  <c r="O457" i="5"/>
  <c r="I391" i="5"/>
  <c r="O390" i="5"/>
  <c r="I279" i="5"/>
  <c r="O278" i="5"/>
  <c r="AF268" i="8"/>
  <c r="AE263" i="8"/>
  <c r="AE267" i="8"/>
  <c r="E277" i="6"/>
  <c r="D277" i="12"/>
  <c r="D389" i="12"/>
  <c r="E389" i="6"/>
  <c r="E456" i="6"/>
  <c r="D456" i="12"/>
  <c r="AE262" i="8" l="1"/>
  <c r="AF267" i="8"/>
  <c r="AF269" i="8" s="1"/>
  <c r="I280" i="5"/>
  <c r="O279" i="5"/>
  <c r="E390" i="6"/>
  <c r="D390" i="12"/>
  <c r="I392" i="5"/>
  <c r="O391" i="5"/>
  <c r="E278" i="6"/>
  <c r="D278" i="12"/>
  <c r="D457" i="12"/>
  <c r="E457" i="6"/>
  <c r="I459" i="5"/>
  <c r="O458" i="5"/>
  <c r="D391" i="12" l="1"/>
  <c r="E391" i="6"/>
  <c r="D279" i="12"/>
  <c r="E279" i="6"/>
  <c r="O280" i="5"/>
  <c r="I281" i="5"/>
  <c r="O392" i="5"/>
  <c r="I393" i="5"/>
  <c r="E458" i="6"/>
  <c r="D458" i="12"/>
  <c r="I460" i="5"/>
  <c r="O459" i="5"/>
  <c r="E392" i="6" l="1"/>
  <c r="D392" i="12"/>
  <c r="O460" i="5"/>
  <c r="I461" i="5"/>
  <c r="I394" i="5"/>
  <c r="O393" i="5"/>
  <c r="I282" i="5"/>
  <c r="O281" i="5"/>
  <c r="E459" i="6"/>
  <c r="D459" i="12"/>
  <c r="D280" i="12"/>
  <c r="E280" i="6"/>
  <c r="D281" i="12" l="1"/>
  <c r="E281" i="6"/>
  <c r="E393" i="6"/>
  <c r="D393" i="12"/>
  <c r="D460" i="12"/>
  <c r="E460" i="6"/>
  <c r="O282" i="5"/>
  <c r="I283" i="5"/>
  <c r="I462" i="5"/>
  <c r="O461" i="5"/>
  <c r="I395" i="5"/>
  <c r="O394" i="5"/>
  <c r="I396" i="5" l="1"/>
  <c r="O395" i="5"/>
  <c r="E282" i="6"/>
  <c r="D282" i="12"/>
  <c r="D394" i="12"/>
  <c r="E394" i="6"/>
  <c r="I284" i="5"/>
  <c r="O284" i="5" s="1"/>
  <c r="O283" i="5"/>
  <c r="I463" i="5"/>
  <c r="O462" i="5"/>
  <c r="D461" i="12"/>
  <c r="E461" i="6"/>
  <c r="E283" i="6" l="1"/>
  <c r="D283" i="12"/>
  <c r="E462" i="6"/>
  <c r="D462" i="12"/>
  <c r="I464" i="5"/>
  <c r="O463" i="5"/>
  <c r="D395" i="12"/>
  <c r="E395" i="6"/>
  <c r="D284" i="12"/>
  <c r="E284" i="6"/>
  <c r="O396" i="5"/>
  <c r="I397" i="5"/>
  <c r="D396" i="12" l="1"/>
  <c r="E396" i="6"/>
  <c r="D463" i="12"/>
  <c r="E463" i="6"/>
  <c r="I398" i="5"/>
  <c r="O397" i="5"/>
  <c r="I465" i="5"/>
  <c r="O464" i="5"/>
  <c r="I466" i="5" l="1"/>
  <c r="O465" i="5"/>
  <c r="I399" i="5"/>
  <c r="O398" i="5"/>
  <c r="E397" i="6"/>
  <c r="D397" i="12"/>
  <c r="E464" i="6"/>
  <c r="D464" i="12"/>
  <c r="E465" i="6" l="1"/>
  <c r="D465" i="12"/>
  <c r="D398" i="12"/>
  <c r="E398" i="6"/>
  <c r="O399" i="5"/>
  <c r="I400" i="5"/>
  <c r="I467" i="5"/>
  <c r="O466" i="5"/>
  <c r="I468" i="5" l="1"/>
  <c r="O467" i="5"/>
  <c r="E399" i="6"/>
  <c r="D399" i="12"/>
  <c r="E466" i="6"/>
  <c r="D466" i="12"/>
  <c r="I401" i="5"/>
  <c r="O401" i="5" s="1"/>
  <c r="O400" i="5"/>
  <c r="E401" i="6" l="1"/>
  <c r="D401" i="12"/>
  <c r="D400" i="12"/>
  <c r="E400" i="6"/>
  <c r="D467" i="12"/>
  <c r="E467" i="6"/>
  <c r="O468" i="5"/>
  <c r="I469" i="5"/>
  <c r="E468" i="6" l="1"/>
  <c r="D468" i="12"/>
  <c r="I470" i="5"/>
  <c r="O469" i="5"/>
  <c r="O470" i="5" l="1"/>
  <c r="I471" i="5"/>
  <c r="O471" i="5" s="1"/>
  <c r="D469" i="12"/>
  <c r="E469" i="6"/>
  <c r="E471" i="6" l="1"/>
  <c r="D471" i="12"/>
  <c r="E470" i="6"/>
  <c r="D470" i="12"/>
</calcChain>
</file>

<file path=xl/comments1.xml><?xml version="1.0" encoding="utf-8"?>
<comments xmlns="http://schemas.openxmlformats.org/spreadsheetml/2006/main">
  <authors>
    <author/>
  </authors>
  <commentList>
    <comment ref="F41" authorId="0" shapeId="0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J7" authorId="0" shapeId="0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15" authorId="0" shapeId="0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8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7" authorId="0" shapeId="0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<sst xmlns="http://schemas.openxmlformats.org/spreadsheetml/2006/main" count="6084" uniqueCount="1108">
  <si>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</si>
  <si>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</si>
  <si>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</si>
  <si>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</si>
  <si>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</si>
  <si>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</si>
  <si>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</si>
  <si>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</si>
  <si>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</si>
  <si>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</si>
  <si>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</si>
  <si>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</si>
  <si>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</si>
  <si>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</si>
  <si>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</si>
  <si>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</si>
  <si>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</si>
  <si>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</si>
  <si>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</si>
  <si>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</si>
  <si>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</si>
  <si>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</si>
  <si>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</si>
  <si>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</si>
  <si>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</si>
  <si>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</si>
  <si>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</si>
  <si>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</si>
  <si>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</si>
  <si>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</si>
  <si>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</si>
  <si>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</si>
  <si>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</si>
  <si>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</si>
  <si>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</si>
  <si>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</si>
  <si>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</si>
  <si>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</si>
  <si>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</si>
  <si>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</si>
  <si>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</si>
  <si>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</si>
  <si>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</si>
  <si>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</si>
  <si>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</si>
  <si>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</si>
  <si>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</si>
  <si>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</si>
  <si>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</si>
  <si>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</si>
  <si>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</si>
  <si>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</si>
  <si>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</si>
  <si>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</si>
  <si>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</si>
  <si>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</si>
  <si>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</si>
  <si>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</si>
  <si>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</si>
  <si>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</si>
  <si>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</si>
  <si>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</si>
  <si>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</si>
  <si>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</si>
  <si>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</si>
  <si>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</si>
  <si>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</si>
  <si>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</si>
  <si>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</si>
  <si>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</si>
  <si>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</si>
  <si>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</si>
  <si>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</si>
  <si>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</si>
  <si>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</si>
  <si>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</si>
  <si>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</si>
  <si>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</si>
  <si>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</si>
  <si>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</si>
  <si>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</si>
  <si>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</si>
  <si>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</si>
  <si>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</si>
  <si>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</si>
  <si>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</si>
  <si>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</si>
  <si>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</si>
  <si>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</si>
  <si>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</si>
  <si>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</si>
  <si>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</si>
  <si>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</si>
  <si>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</si>
  <si>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</si>
  <si>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</si>
  <si>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</si>
  <si>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</si>
  <si>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</si>
  <si>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</si>
  <si>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</si>
  <si>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</si>
  <si>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</si>
  <si>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</si>
  <si>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</si>
  <si>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</si>
  <si>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</si>
  <si>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</si>
  <si>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</si>
  <si>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</si>
  <si>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</si>
  <si>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</si>
  <si>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</si>
  <si>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</si>
  <si>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</si>
  <si>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</si>
  <si>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</si>
  <si>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</si>
  <si>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</si>
  <si>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</si>
  <si>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</si>
  <si>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</si>
  <si>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</si>
  <si>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</si>
  <si>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</si>
  <si>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</si>
  <si>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</si>
  <si>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</si>
  <si>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</si>
  <si>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</si>
  <si>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</si>
  <si>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</si>
  <si>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</si>
  <si>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</si>
  <si>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</si>
  <si>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</si>
  <si>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</si>
  <si>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</si>
  <si>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</si>
  <si>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</si>
  <si>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</si>
  <si>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</si>
  <si>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</si>
  <si>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</si>
  <si>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</si>
  <si>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</si>
  <si>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</si>
  <si>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</si>
  <si>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</si>
  <si>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</si>
  <si>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</si>
  <si>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</si>
  <si>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</si>
  <si>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</si>
  <si>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</si>
  <si>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</si>
  <si>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</si>
  <si>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</si>
  <si>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</si>
  <si>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</si>
  <si>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</si>
  <si>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</si>
  <si>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</si>
  <si>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</si>
  <si>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</si>
  <si>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</si>
  <si>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</si>
  <si>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</si>
  <si>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</si>
  <si>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</si>
  <si>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</si>
  <si>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</si>
  <si>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</si>
  <si>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</si>
  <si>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</si>
  <si>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</si>
  <si>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</si>
  <si>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</si>
  <si>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</si>
  <si>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</si>
  <si>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</si>
  <si>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</si>
  <si>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</si>
  <si>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</si>
  <si>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</si>
  <si>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</si>
  <si>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</si>
  <si>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</si>
  <si>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</si>
  <si>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</si>
  <si>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</si>
  <si>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</si>
  <si>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</si>
  <si>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</si>
  <si>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</si>
  <si>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</si>
  <si>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</si>
  <si>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</si>
  <si>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</si>
  <si>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</si>
  <si>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</si>
  <si>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</si>
  <si>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</si>
  <si>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</si>
  <si>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</si>
  <si>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</si>
  <si>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</si>
  <si>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</si>
  <si>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</si>
  <si>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</si>
  <si>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</si>
  <si>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</si>
  <si>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</si>
  <si>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</si>
  <si>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</si>
  <si>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</si>
  <si>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</si>
  <si>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</si>
  <si>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</si>
  <si>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</si>
  <si>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</si>
  <si>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</si>
  <si>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</si>
  <si>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</si>
  <si>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</si>
  <si>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</si>
  <si>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</si>
  <si>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</si>
  <si>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</si>
  <si>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</si>
  <si>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</si>
  <si>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</si>
  <si>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</si>
  <si>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</si>
  <si>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</si>
  <si>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</si>
  <si>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</si>
  <si>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</si>
  <si>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</si>
  <si>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</si>
  <si>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</si>
  <si>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</si>
  <si>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</si>
  <si>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</si>
  <si>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</si>
  <si>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</si>
  <si>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</si>
  <si>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</si>
  <si>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</si>
  <si>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</si>
  <si>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</si>
  <si>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</si>
  <si>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</si>
  <si>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</si>
  <si>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</si>
  <si>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</si>
  <si>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</si>
  <si>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</si>
  <si>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</si>
  <si>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</si>
  <si>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</si>
  <si>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</si>
  <si>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</si>
  <si>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</si>
  <si>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</si>
  <si>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</si>
  <si>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</si>
  <si>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</si>
  <si>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</si>
  <si>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</si>
  <si>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</si>
  <si>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</si>
  <si>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</si>
  <si>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</si>
  <si>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</si>
  <si>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</si>
  <si>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</si>
  <si>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</si>
  <si>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</si>
  <si>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</si>
  <si>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</si>
  <si>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</si>
  <si>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</si>
  <si>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</si>
  <si>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</si>
  <si>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</si>
  <si>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</si>
  <si>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</si>
  <si>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</si>
  <si>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</si>
  <si>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</si>
  <si>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</si>
  <si>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</si>
  <si>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</si>
  <si>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</si>
  <si>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</si>
  <si>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</si>
  <si>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</si>
  <si>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</si>
  <si>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</si>
  <si>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</si>
  <si>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</si>
  <si>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</si>
  <si>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</si>
  <si>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</si>
  <si>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</si>
  <si>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</si>
  <si>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</si>
  <si>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</si>
  <si>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</si>
  <si>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</si>
  <si>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</si>
  <si>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</si>
  <si>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</si>
  <si>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</si>
  <si>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</si>
  <si>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</si>
  <si>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</si>
  <si>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</si>
  <si>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</si>
  <si>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</si>
  <si>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</si>
  <si>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</si>
  <si>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</si>
  <si>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</si>
  <si>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</si>
  <si>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</si>
  <si>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</si>
  <si>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</si>
  <si>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</si>
  <si>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</si>
  <si>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</si>
  <si>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</si>
  <si>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</si>
  <si>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</si>
  <si>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</si>
  <si>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</si>
  <si>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</si>
  <si>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</si>
  <si>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</si>
  <si>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</si>
  <si>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</si>
  <si>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</si>
  <si>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</si>
  <si>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</si>
  <si>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</si>
  <si>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</si>
  <si>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</si>
  <si>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</si>
  <si>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</si>
  <si>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</si>
  <si>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</si>
  <si>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</si>
  <si>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</si>
  <si>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</si>
  <si>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</si>
  <si>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</si>
  <si>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</si>
  <si>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</si>
  <si>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</si>
  <si>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</si>
  <si>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</si>
  <si>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</si>
  <si>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</si>
  <si>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</si>
  <si>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</si>
  <si>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</si>
  <si>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</si>
  <si>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</si>
  <si>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</si>
  <si>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</si>
  <si>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</si>
  <si>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</si>
  <si>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</si>
  <si>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</si>
  <si>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</si>
  <si>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</si>
  <si>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</si>
  <si>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</si>
  <si>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</si>
  <si>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</si>
  <si>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</si>
  <si>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</si>
  <si>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</si>
  <si>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</si>
  <si>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</si>
  <si>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</si>
  <si>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</si>
  <si>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</si>
  <si>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</si>
  <si>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</si>
  <si>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</si>
  <si>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</si>
  <si>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</si>
  <si>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</si>
  <si>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</si>
  <si>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</si>
  <si>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</si>
  <si>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</si>
  <si>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</si>
  <si>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</si>
  <si>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</si>
  <si>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</si>
  <si>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</si>
  <si>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</si>
  <si>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</si>
  <si>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</si>
  <si>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</si>
  <si>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</si>
  <si>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</si>
  <si>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</si>
  <si>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</si>
  <si>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</si>
  <si>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</si>
  <si>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</si>
  <si>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</si>
  <si>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</si>
  <si>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</si>
  <si>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</si>
  <si>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</si>
  <si>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</si>
  <si>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</si>
  <si>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</si>
  <si>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</si>
  <si>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</si>
  <si>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</si>
  <si>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</si>
  <si>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</si>
  <si>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</si>
  <si>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</si>
  <si>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</si>
  <si>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</si>
  <si>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</si>
  <si>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</si>
  <si>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</si>
  <si>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</si>
  <si>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</si>
  <si>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</si>
  <si>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</si>
  <si>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</si>
  <si>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</si>
  <si>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</si>
  <si>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</si>
  <si>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</si>
  <si>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</si>
  <si>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</si>
  <si>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OGU</t>
  </si>
  <si>
    <t>PREFEITURA DE DOIS VIZINHOS - PR</t>
  </si>
  <si>
    <t>DOIS VIZINHOS - PR</t>
  </si>
  <si>
    <t>Construção do CMEI Cleovanize Totti Vitoria (FNDE – Creche tipo 1)</t>
  </si>
  <si>
    <t>Construção do CMEI Cleovanize Totti</t>
  </si>
  <si>
    <t xml:space="preserve">RAUL ZANELLA </t>
  </si>
  <si>
    <t>CREA PR-136200/D</t>
  </si>
  <si>
    <t>LUIS CARLOS TURATTO</t>
  </si>
  <si>
    <t>PREFEITO</t>
  </si>
  <si>
    <t>TransfereGOV</t>
  </si>
  <si>
    <t>SERVIÇOS PRELIMINARES</t>
  </si>
  <si>
    <t>101509</t>
  </si>
  <si>
    <t>COMPOSIÇÃO</t>
  </si>
  <si>
    <t>FNDE 03</t>
  </si>
  <si>
    <t>FNDE 231</t>
  </si>
  <si>
    <t>FNDE 230</t>
  </si>
  <si>
    <t>FNDE 232</t>
  </si>
  <si>
    <t>FNDE 244</t>
  </si>
  <si>
    <t>MOVIMENTO DE TERRA PARA FUNDAÇÕES</t>
  </si>
  <si>
    <t>98525</t>
  </si>
  <si>
    <t>94306</t>
  </si>
  <si>
    <t>96521</t>
  </si>
  <si>
    <t>96525</t>
  </si>
  <si>
    <t>101617</t>
  </si>
  <si>
    <t>93381</t>
  </si>
  <si>
    <t>94316</t>
  </si>
  <si>
    <t>1.Administração Local</t>
  </si>
  <si>
    <t>101096</t>
  </si>
  <si>
    <t>101112</t>
  </si>
  <si>
    <t>96619</t>
  </si>
  <si>
    <t>96558</t>
  </si>
  <si>
    <t>96534</t>
  </si>
  <si>
    <t>104918</t>
  </si>
  <si>
    <t>104919</t>
  </si>
  <si>
    <t>92915</t>
  </si>
  <si>
    <t>96557</t>
  </si>
  <si>
    <t>96546</t>
  </si>
  <si>
    <t>96544</t>
  </si>
  <si>
    <t>96543</t>
  </si>
  <si>
    <t>104920</t>
  </si>
  <si>
    <t>104921</t>
  </si>
  <si>
    <t>104922</t>
  </si>
  <si>
    <t>92443</t>
  </si>
  <si>
    <t>92762</t>
  </si>
  <si>
    <t>92763</t>
  </si>
  <si>
    <t>92759</t>
  </si>
  <si>
    <t>103672</t>
  </si>
  <si>
    <t>92760</t>
  </si>
  <si>
    <t>92761</t>
  </si>
  <si>
    <t>92764</t>
  </si>
  <si>
    <t>92765</t>
  </si>
  <si>
    <t>103675</t>
  </si>
  <si>
    <t>93184</t>
  </si>
  <si>
    <t>93194</t>
  </si>
  <si>
    <t>92514</t>
  </si>
  <si>
    <t>92769</t>
  </si>
  <si>
    <t>92770</t>
  </si>
  <si>
    <t>92773</t>
  </si>
  <si>
    <t>92774</t>
  </si>
  <si>
    <t>92768</t>
  </si>
  <si>
    <t>100775</t>
  </si>
  <si>
    <t>97083</t>
  </si>
  <si>
    <t>96622</t>
  </si>
  <si>
    <t>97087</t>
  </si>
  <si>
    <t>94991</t>
  </si>
  <si>
    <t>PAVIMENTAÇÃO EXTERNA - CALÇADA DE PISO DE CONCRETO 7 CM</t>
  </si>
  <si>
    <t>101161</t>
  </si>
  <si>
    <t>103324</t>
  </si>
  <si>
    <t>103322</t>
  </si>
  <si>
    <t>103328</t>
  </si>
  <si>
    <t>101159</t>
  </si>
  <si>
    <t>103318</t>
  </si>
  <si>
    <t>102253</t>
  </si>
  <si>
    <t>102181</t>
  </si>
  <si>
    <t>102235</t>
  </si>
  <si>
    <t>FNDE 243</t>
  </si>
  <si>
    <t>FNDE 247</t>
  </si>
  <si>
    <t>FNDE 246</t>
  </si>
  <si>
    <t>FNDE 248</t>
  </si>
  <si>
    <t>FNDE 249</t>
  </si>
  <si>
    <t>FNDE 250</t>
  </si>
  <si>
    <t>100705</t>
  </si>
  <si>
    <t>100866</t>
  </si>
  <si>
    <t>FNDE 04</t>
  </si>
  <si>
    <t>102219</t>
  </si>
  <si>
    <t>FNDE 251</t>
  </si>
  <si>
    <t>FNDE 252</t>
  </si>
  <si>
    <t>FNDE 253</t>
  </si>
  <si>
    <t>FNDE 254</t>
  </si>
  <si>
    <t>FNDE 255</t>
  </si>
  <si>
    <t>FNDE 256</t>
  </si>
  <si>
    <t>FNDE 257</t>
  </si>
  <si>
    <t>FNDE 258</t>
  </si>
  <si>
    <t>FNDE 259</t>
  </si>
  <si>
    <t>FNDE 275</t>
  </si>
  <si>
    <t>FNDE 262</t>
  </si>
  <si>
    <t>FNDE 276</t>
  </si>
  <si>
    <t>FNDE 263</t>
  </si>
  <si>
    <t>FNDE 264</t>
  </si>
  <si>
    <t>FNDE 268</t>
  </si>
  <si>
    <t>FNDE 265</t>
  </si>
  <si>
    <t>FNDE 269</t>
  </si>
  <si>
    <t>FNDE 270</t>
  </si>
  <si>
    <t>FNDE 271</t>
  </si>
  <si>
    <t>FNDE 272</t>
  </si>
  <si>
    <t>FNDE 273</t>
  </si>
  <si>
    <t>FNDE 274</t>
  </si>
  <si>
    <t>FNDE 277</t>
  </si>
  <si>
    <t>FNDE 05</t>
  </si>
  <si>
    <t>FNDE 279</t>
  </si>
  <si>
    <t>FNDE 278</t>
  </si>
  <si>
    <t>FNDE 280</t>
  </si>
  <si>
    <t>FNDE 08</t>
  </si>
  <si>
    <t>FNDE 281</t>
  </si>
  <si>
    <t>FNDE 282</t>
  </si>
  <si>
    <t>FNDE 60</t>
  </si>
  <si>
    <t>FNDE 283</t>
  </si>
  <si>
    <t>FNDE 284</t>
  </si>
  <si>
    <t>FNDE 285</t>
  </si>
  <si>
    <t>FNDE 286</t>
  </si>
  <si>
    <t>FNDE 287</t>
  </si>
  <si>
    <t>FNDE 108</t>
  </si>
  <si>
    <t>FNDE 109</t>
  </si>
  <si>
    <t>FNDE 120</t>
  </si>
  <si>
    <t>SISTEMAS DE COBERTURA</t>
  </si>
  <si>
    <t>FNDE 20</t>
  </si>
  <si>
    <t>94228</t>
  </si>
  <si>
    <t>94229</t>
  </si>
  <si>
    <t>FNDE 65</t>
  </si>
  <si>
    <t>100327</t>
  </si>
  <si>
    <t>101979</t>
  </si>
  <si>
    <t>IMPERMEABILIZAÇÃO</t>
  </si>
  <si>
    <t>FNDE 172</t>
  </si>
  <si>
    <t>FNDE 173</t>
  </si>
  <si>
    <t>FNDE 174</t>
  </si>
  <si>
    <t>FNDE 175</t>
  </si>
  <si>
    <t>87755</t>
  </si>
  <si>
    <t>98565</t>
  </si>
  <si>
    <t>FNDE 176</t>
  </si>
  <si>
    <t>FNDE 289</t>
  </si>
  <si>
    <t>FNDE 290</t>
  </si>
  <si>
    <t>FNDE 291</t>
  </si>
  <si>
    <t>FNDE 292</t>
  </si>
  <si>
    <t>87273</t>
  </si>
  <si>
    <t>FNDE 293</t>
  </si>
  <si>
    <t>FNDE 294</t>
  </si>
  <si>
    <t>FNDE 295</t>
  </si>
  <si>
    <t>FNDE 296</t>
  </si>
  <si>
    <t>FNDE 245</t>
  </si>
  <si>
    <t>FNDE 37</t>
  </si>
  <si>
    <t>96114</t>
  </si>
  <si>
    <t>FNDE 18</t>
  </si>
  <si>
    <t>FNDE 182</t>
  </si>
  <si>
    <t>104162</t>
  </si>
  <si>
    <t>87257</t>
  </si>
  <si>
    <t>87251</t>
  </si>
  <si>
    <t>FNDE 09</t>
  </si>
  <si>
    <t>FNDE 298</t>
  </si>
  <si>
    <t>FNDE 297</t>
  </si>
  <si>
    <t>FNDE 299</t>
  </si>
  <si>
    <t>FNDE 300</t>
  </si>
  <si>
    <t>88650</t>
  </si>
  <si>
    <t>98688</t>
  </si>
  <si>
    <t>98689</t>
  </si>
  <si>
    <t>98682</t>
  </si>
  <si>
    <t>92396</t>
  </si>
  <si>
    <t>FNDE 400</t>
  </si>
  <si>
    <t>FNDE 401</t>
  </si>
  <si>
    <t>FNDE 190</t>
  </si>
  <si>
    <t>FNDE 10</t>
  </si>
  <si>
    <t>98504</t>
  </si>
  <si>
    <t>FNDE 38</t>
  </si>
  <si>
    <t>88497</t>
  </si>
  <si>
    <t>FNDE 402</t>
  </si>
  <si>
    <t>FNDE 403</t>
  </si>
  <si>
    <t>FNDE 404</t>
  </si>
  <si>
    <t>FNDE 405</t>
  </si>
  <si>
    <t>FNDE 35</t>
  </si>
  <si>
    <t>FNDE 36</t>
  </si>
  <si>
    <t>FNDE 201</t>
  </si>
  <si>
    <t>88494</t>
  </si>
  <si>
    <t>88488</t>
  </si>
  <si>
    <t>FNDE 406</t>
  </si>
  <si>
    <t>FNDE 407</t>
  </si>
  <si>
    <t>FNDE 409</t>
  </si>
  <si>
    <t>FNDE 410</t>
  </si>
  <si>
    <t>FNDE 411</t>
  </si>
  <si>
    <t>FNDE 412</t>
  </si>
  <si>
    <t>100724</t>
  </si>
  <si>
    <t>89356</t>
  </si>
  <si>
    <t>103978</t>
  </si>
  <si>
    <t>103979</t>
  </si>
  <si>
    <t>89450</t>
  </si>
  <si>
    <t>89452</t>
  </si>
  <si>
    <t>89429</t>
  </si>
  <si>
    <t>94660</t>
  </si>
  <si>
    <t>104001</t>
  </si>
  <si>
    <t>89616</t>
  </si>
  <si>
    <t>103959</t>
  </si>
  <si>
    <t>103968</t>
  </si>
  <si>
    <t>FNDE 413</t>
  </si>
  <si>
    <t>103986</t>
  </si>
  <si>
    <t>89430</t>
  </si>
  <si>
    <t>89408</t>
  </si>
  <si>
    <t>103980</t>
  </si>
  <si>
    <t>103984</t>
  </si>
  <si>
    <t>89505</t>
  </si>
  <si>
    <t>89521</t>
  </si>
  <si>
    <t>103981</t>
  </si>
  <si>
    <t>89409</t>
  </si>
  <si>
    <t>89424</t>
  </si>
  <si>
    <t>103995</t>
  </si>
  <si>
    <t>89440</t>
  </si>
  <si>
    <t>104004</t>
  </si>
  <si>
    <t>89628</t>
  </si>
  <si>
    <t>89631</t>
  </si>
  <si>
    <t>89627</t>
  </si>
  <si>
    <t>89632</t>
  </si>
  <si>
    <t>104011</t>
  </si>
  <si>
    <t>89396</t>
  </si>
  <si>
    <t>89366</t>
  </si>
  <si>
    <t>90373</t>
  </si>
  <si>
    <t>FNDE 414</t>
  </si>
  <si>
    <t>104034</t>
  </si>
  <si>
    <t>FNDE 119</t>
  </si>
  <si>
    <t>FNDE 415</t>
  </si>
  <si>
    <t>94500</t>
  </si>
  <si>
    <t>94794</t>
  </si>
  <si>
    <t>89987</t>
  </si>
  <si>
    <t>89985</t>
  </si>
  <si>
    <t>103042</t>
  </si>
  <si>
    <t>90371</t>
  </si>
  <si>
    <t>94496</t>
  </si>
  <si>
    <t>FNDE 21</t>
  </si>
  <si>
    <t>FNDE 78</t>
  </si>
  <si>
    <t>FNDE 79</t>
  </si>
  <si>
    <t>92692</t>
  </si>
  <si>
    <t>86884</t>
  </si>
  <si>
    <t>89578</t>
  </si>
  <si>
    <t>89580</t>
  </si>
  <si>
    <t>90702</t>
  </si>
  <si>
    <t>90703</t>
  </si>
  <si>
    <t>89509</t>
  </si>
  <si>
    <t>89571</t>
  </si>
  <si>
    <t>89585</t>
  </si>
  <si>
    <t>89520</t>
  </si>
  <si>
    <t>89584</t>
  </si>
  <si>
    <t>104345</t>
  </si>
  <si>
    <t>FNDE 416</t>
  </si>
  <si>
    <t>FNDE 421</t>
  </si>
  <si>
    <t>89549</t>
  </si>
  <si>
    <t>FNDE 30</t>
  </si>
  <si>
    <t>104178</t>
  </si>
  <si>
    <t>99253</t>
  </si>
  <si>
    <t>89482</t>
  </si>
  <si>
    <t>89711</t>
  </si>
  <si>
    <t>89712</t>
  </si>
  <si>
    <t>89713</t>
  </si>
  <si>
    <t>89714</t>
  </si>
  <si>
    <t>89849</t>
  </si>
  <si>
    <t>89726</t>
  </si>
  <si>
    <t>89732</t>
  </si>
  <si>
    <t>89739</t>
  </si>
  <si>
    <t>89746</t>
  </si>
  <si>
    <t>89855</t>
  </si>
  <si>
    <t>89744</t>
  </si>
  <si>
    <t>89731</t>
  </si>
  <si>
    <t>89724</t>
  </si>
  <si>
    <t>104341</t>
  </si>
  <si>
    <t>89748</t>
  </si>
  <si>
    <t>89728</t>
  </si>
  <si>
    <t>89803</t>
  </si>
  <si>
    <t>104063</t>
  </si>
  <si>
    <t>FNDE 417</t>
  </si>
  <si>
    <t>89834</t>
  </si>
  <si>
    <t>89827</t>
  </si>
  <si>
    <t>89783</t>
  </si>
  <si>
    <t>89569</t>
  </si>
  <si>
    <t>FNDE 418</t>
  </si>
  <si>
    <t>FNDE 419</t>
  </si>
  <si>
    <t>FNDE 420</t>
  </si>
  <si>
    <t>89495</t>
  </si>
  <si>
    <t>98087</t>
  </si>
  <si>
    <t>98065</t>
  </si>
  <si>
    <t>98090</t>
  </si>
  <si>
    <t>89801</t>
  </si>
  <si>
    <t>89805</t>
  </si>
  <si>
    <t>89813</t>
  </si>
  <si>
    <t>104348</t>
  </si>
  <si>
    <t>89696</t>
  </si>
  <si>
    <t>104352</t>
  </si>
  <si>
    <t>89825</t>
  </si>
  <si>
    <t>89630</t>
  </si>
  <si>
    <t>LOUÇAS, ACESSÓRIOS E METAIS</t>
  </si>
  <si>
    <t>95470</t>
  </si>
  <si>
    <t>100848</t>
  </si>
  <si>
    <t>100849</t>
  </si>
  <si>
    <t>100851</t>
  </si>
  <si>
    <t>FNDE 11</t>
  </si>
  <si>
    <t>FNDE 219</t>
  </si>
  <si>
    <t>86901</t>
  </si>
  <si>
    <t>86902</t>
  </si>
  <si>
    <t>86872</t>
  </si>
  <si>
    <t>86900</t>
  </si>
  <si>
    <t>FNDE 217</t>
  </si>
  <si>
    <t>100852</t>
  </si>
  <si>
    <t>86877</t>
  </si>
  <si>
    <t>86878</t>
  </si>
  <si>
    <t>86883</t>
  </si>
  <si>
    <t>FNDE 224</t>
  </si>
  <si>
    <t>86911</t>
  </si>
  <si>
    <t>FNDE 14</t>
  </si>
  <si>
    <t>86913</t>
  </si>
  <si>
    <t>FNDE 225</t>
  </si>
  <si>
    <t>FNDE 13</t>
  </si>
  <si>
    <t>86887</t>
  </si>
  <si>
    <t>100860</t>
  </si>
  <si>
    <t>FNDE 226</t>
  </si>
  <si>
    <t>100867</t>
  </si>
  <si>
    <t>100868</t>
  </si>
  <si>
    <t>100875</t>
  </si>
  <si>
    <t>FNDE 215</t>
  </si>
  <si>
    <t>FNDE 15</t>
  </si>
  <si>
    <t>FNDE 16</t>
  </si>
  <si>
    <t>95547</t>
  </si>
  <si>
    <t>FNDE 12</t>
  </si>
  <si>
    <t>104328</t>
  </si>
  <si>
    <t>89708</t>
  </si>
  <si>
    <t>FNDE 17</t>
  </si>
  <si>
    <t>FNDE 34</t>
  </si>
  <si>
    <t>INSTALAÇÃO DE GÁS COMBUSTÍVEL</t>
  </si>
  <si>
    <t>95248</t>
  </si>
  <si>
    <t>95249</t>
  </si>
  <si>
    <t>FNDE 29</t>
  </si>
  <si>
    <t>103029</t>
  </si>
  <si>
    <t>92688</t>
  </si>
  <si>
    <t>92705</t>
  </si>
  <si>
    <t>FNDE 301</t>
  </si>
  <si>
    <t>92695</t>
  </si>
  <si>
    <t>FNDE 260</t>
  </si>
  <si>
    <t>97548</t>
  </si>
  <si>
    <t>97549</t>
  </si>
  <si>
    <t>97547</t>
  </si>
  <si>
    <t>101908</t>
  </si>
  <si>
    <t>101909</t>
  </si>
  <si>
    <t>101912</t>
  </si>
  <si>
    <t>101916</t>
  </si>
  <si>
    <t>94499</t>
  </si>
  <si>
    <t>99622</t>
  </si>
  <si>
    <t>99624</t>
  </si>
  <si>
    <t>99625</t>
  </si>
  <si>
    <t>FNDE 261</t>
  </si>
  <si>
    <t>101917</t>
  </si>
  <si>
    <t>FNDE 112</t>
  </si>
  <si>
    <t>FNDE 113</t>
  </si>
  <si>
    <t>FNDE 114</t>
  </si>
  <si>
    <t>102111</t>
  </si>
  <si>
    <t>95805</t>
  </si>
  <si>
    <t>FNDE 328</t>
  </si>
  <si>
    <t>94473</t>
  </si>
  <si>
    <t>94475</t>
  </si>
  <si>
    <t>FNDE 329</t>
  </si>
  <si>
    <t>97498</t>
  </si>
  <si>
    <t>92364</t>
  </si>
  <si>
    <t>92365</t>
  </si>
  <si>
    <t>92366</t>
  </si>
  <si>
    <t>92367</t>
  </si>
  <si>
    <t>92368</t>
  </si>
  <si>
    <t>95818</t>
  </si>
  <si>
    <t>94773</t>
  </si>
  <si>
    <t>91917</t>
  </si>
  <si>
    <t>89842</t>
  </si>
  <si>
    <t>FNDE 330</t>
  </si>
  <si>
    <t>97503</t>
  </si>
  <si>
    <t>FNDE 333</t>
  </si>
  <si>
    <t>97447</t>
  </si>
  <si>
    <t>FNDE 331</t>
  </si>
  <si>
    <t>FNDE 334</t>
  </si>
  <si>
    <t>FNDE 335</t>
  </si>
  <si>
    <t>FNDE 336</t>
  </si>
  <si>
    <t>97450</t>
  </si>
  <si>
    <t>FNDE 337</t>
  </si>
  <si>
    <t>FNDE 338</t>
  </si>
  <si>
    <t>FNDE 339</t>
  </si>
  <si>
    <t>FNDE 340</t>
  </si>
  <si>
    <t>FNDE 341</t>
  </si>
  <si>
    <t>FNDE 342</t>
  </si>
  <si>
    <t>FNDE 343</t>
  </si>
  <si>
    <t>92920</t>
  </si>
  <si>
    <t>FNDE 344</t>
  </si>
  <si>
    <t>92945</t>
  </si>
  <si>
    <t>FNDE 345</t>
  </si>
  <si>
    <t>97599</t>
  </si>
  <si>
    <t>FNDE 303</t>
  </si>
  <si>
    <t>102520</t>
  </si>
  <si>
    <t>FNDE 350</t>
  </si>
  <si>
    <t>FNDE 346</t>
  </si>
  <si>
    <t>FNDE 347</t>
  </si>
  <si>
    <t>FNDE 353</t>
  </si>
  <si>
    <t>91941</t>
  </si>
  <si>
    <t>91936</t>
  </si>
  <si>
    <t>92867</t>
  </si>
  <si>
    <t>91899</t>
  </si>
  <si>
    <t>FNDE 150</t>
  </si>
  <si>
    <t>91878</t>
  </si>
  <si>
    <t>93013</t>
  </si>
  <si>
    <t>FNDE 354</t>
  </si>
  <si>
    <t>FNDE 355</t>
  </si>
  <si>
    <t>FNDE 356</t>
  </si>
  <si>
    <t>90460</t>
  </si>
  <si>
    <t>FNDE 357</t>
  </si>
  <si>
    <t>101553</t>
  </si>
  <si>
    <t>FNDE 358</t>
  </si>
  <si>
    <t>98306</t>
  </si>
  <si>
    <t>FNDE 359</t>
  </si>
  <si>
    <t>FNDE 360</t>
  </si>
  <si>
    <t>FNDE 362</t>
  </si>
  <si>
    <t>FNDE 361</t>
  </si>
  <si>
    <t>96986</t>
  </si>
  <si>
    <t>101548</t>
  </si>
  <si>
    <t>FNDE 364</t>
  </si>
  <si>
    <t>FNDE 363</t>
  </si>
  <si>
    <t>92996</t>
  </si>
  <si>
    <t>92998</t>
  </si>
  <si>
    <t>93002</t>
  </si>
  <si>
    <t>91932</t>
  </si>
  <si>
    <t>91935</t>
  </si>
  <si>
    <t>91929</t>
  </si>
  <si>
    <t>101564</t>
  </si>
  <si>
    <t>91931</t>
  </si>
  <si>
    <t>101567</t>
  </si>
  <si>
    <t>91924</t>
  </si>
  <si>
    <t>92981</t>
  </si>
  <si>
    <t>91926</t>
  </si>
  <si>
    <t>101562</t>
  </si>
  <si>
    <t>91928</t>
  </si>
  <si>
    <t>91930</t>
  </si>
  <si>
    <t>100556</t>
  </si>
  <si>
    <t>97891</t>
  </si>
  <si>
    <t>SINAPI-I</t>
  </si>
  <si>
    <t>43097</t>
  </si>
  <si>
    <t>91955</t>
  </si>
  <si>
    <t>91953</t>
  </si>
  <si>
    <t>91959</t>
  </si>
  <si>
    <t>91967</t>
  </si>
  <si>
    <t>FNDE 309</t>
  </si>
  <si>
    <t>91946</t>
  </si>
  <si>
    <t>92022</t>
  </si>
  <si>
    <t>92028</t>
  </si>
  <si>
    <t>91964</t>
  </si>
  <si>
    <t>92026</t>
  </si>
  <si>
    <t>91998</t>
  </si>
  <si>
    <t>91999</t>
  </si>
  <si>
    <t>93667</t>
  </si>
  <si>
    <t>93653</t>
  </si>
  <si>
    <t>93654</t>
  </si>
  <si>
    <t>93656</t>
  </si>
  <si>
    <t>93660</t>
  </si>
  <si>
    <t>93661</t>
  </si>
  <si>
    <t>93663</t>
  </si>
  <si>
    <t>93664</t>
  </si>
  <si>
    <t>101895</t>
  </si>
  <si>
    <t>93668</t>
  </si>
  <si>
    <t>101896</t>
  </si>
  <si>
    <t>93670</t>
  </si>
  <si>
    <t>101898</t>
  </si>
  <si>
    <t>93673</t>
  </si>
  <si>
    <t>101894</t>
  </si>
  <si>
    <t>FNDE 22</t>
  </si>
  <si>
    <t>93676</t>
  </si>
  <si>
    <t>FNDE 84</t>
  </si>
  <si>
    <t>FNDE 85</t>
  </si>
  <si>
    <t>FNDE 395</t>
  </si>
  <si>
    <t>FNDE 390</t>
  </si>
  <si>
    <t>FNDE 393</t>
  </si>
  <si>
    <t>FNDE 24</t>
  </si>
  <si>
    <t>FNDE 25</t>
  </si>
  <si>
    <t>FNDE 366</t>
  </si>
  <si>
    <t>FNDE 367</t>
  </si>
  <si>
    <t>FNDE 369</t>
  </si>
  <si>
    <t>FNDE 116</t>
  </si>
  <si>
    <t>FNDE 371</t>
  </si>
  <si>
    <t>FNDE 370</t>
  </si>
  <si>
    <t>FNDE 394</t>
  </si>
  <si>
    <t>2662</t>
  </si>
  <si>
    <t>2668</t>
  </si>
  <si>
    <t>91837</t>
  </si>
  <si>
    <t>91855</t>
  </si>
  <si>
    <t>97667</t>
  </si>
  <si>
    <t>97669</t>
  </si>
  <si>
    <t>FNDE 372</t>
  </si>
  <si>
    <t>91870</t>
  </si>
  <si>
    <t>104409</t>
  </si>
  <si>
    <t>97670</t>
  </si>
  <si>
    <t>101663</t>
  </si>
  <si>
    <t>FNDE 373</t>
  </si>
  <si>
    <t>104764</t>
  </si>
  <si>
    <t>FNDE 32</t>
  </si>
  <si>
    <t>97608</t>
  </si>
  <si>
    <t>100906</t>
  </si>
  <si>
    <t>FNDE 379</t>
  </si>
  <si>
    <t>97587</t>
  </si>
  <si>
    <t>FNDE 380</t>
  </si>
  <si>
    <t>97600</t>
  </si>
  <si>
    <t>97601</t>
  </si>
  <si>
    <t>976001</t>
  </si>
  <si>
    <t>101946</t>
  </si>
  <si>
    <t>FNDE 383</t>
  </si>
  <si>
    <t>91927</t>
  </si>
  <si>
    <t>97327</t>
  </si>
  <si>
    <t>97328</t>
  </si>
  <si>
    <t>103292</t>
  </si>
  <si>
    <t>98307</t>
  </si>
  <si>
    <t>FNDE 384</t>
  </si>
  <si>
    <t>FNDE 385</t>
  </si>
  <si>
    <t>98302</t>
  </si>
  <si>
    <t>FNDE 388</t>
  </si>
  <si>
    <t>FNDE 123</t>
  </si>
  <si>
    <t>FNDE 122</t>
  </si>
  <si>
    <t>100555</t>
  </si>
  <si>
    <t>FNDE 125</t>
  </si>
  <si>
    <t>FNDE 389</t>
  </si>
  <si>
    <t>92884</t>
  </si>
  <si>
    <t>98463</t>
  </si>
  <si>
    <t>FNDE 31</t>
  </si>
  <si>
    <t>100557</t>
  </si>
  <si>
    <t>FNDE 375</t>
  </si>
  <si>
    <t>FNDE 312</t>
  </si>
  <si>
    <t>91835</t>
  </si>
  <si>
    <t>91865</t>
  </si>
  <si>
    <t>93011</t>
  </si>
  <si>
    <t>FNDE 374</t>
  </si>
  <si>
    <t>FNDE 70</t>
  </si>
  <si>
    <t>98297</t>
  </si>
  <si>
    <t>SISTEMA DE EXAUSTÃO MECÂNICA</t>
  </si>
  <si>
    <t>FNDE 42</t>
  </si>
  <si>
    <t>FNDE 44</t>
  </si>
  <si>
    <t>FNDE 45</t>
  </si>
  <si>
    <t>SISTEMA DE PROTEÇÃO CONTRA DESCARGAS ATMOSFÉRICAS (SPDA)</t>
  </si>
  <si>
    <t>98111</t>
  </si>
  <si>
    <t>96985</t>
  </si>
  <si>
    <t>104753</t>
  </si>
  <si>
    <t>96977</t>
  </si>
  <si>
    <t>FNDE 71</t>
  </si>
  <si>
    <t>C3478</t>
  </si>
  <si>
    <t>100873</t>
  </si>
  <si>
    <t>SERVIÇOS COMPLEMENTARES</t>
  </si>
  <si>
    <t>FNDE 39</t>
  </si>
  <si>
    <t>FNDE 40</t>
  </si>
  <si>
    <t>FNDE 46</t>
  </si>
  <si>
    <t>FNDE 47</t>
  </si>
  <si>
    <t>FNDE 48</t>
  </si>
  <si>
    <t>101965</t>
  </si>
  <si>
    <t>FNDE 351</t>
  </si>
  <si>
    <t>100861</t>
  </si>
  <si>
    <t>99856</t>
  </si>
  <si>
    <t>FNDE 51</t>
  </si>
  <si>
    <t>96545</t>
  </si>
  <si>
    <t>FNDE 177</t>
  </si>
  <si>
    <t>FNDE 178</t>
  </si>
  <si>
    <t>FNDE 179</t>
  </si>
  <si>
    <t>FNDE 196</t>
  </si>
  <si>
    <t>FNDE 352</t>
  </si>
  <si>
    <t>SERVIÇOS FINAIS</t>
  </si>
  <si>
    <t>99803</t>
  </si>
  <si>
    <t>103689</t>
  </si>
  <si>
    <t xml:space="preserve">CONSTRUÇÃO - CRECHE TIPO 01 -  FNDE </t>
  </si>
  <si>
    <t>93201</t>
  </si>
  <si>
    <t xml:space="preserve">FNDE 332 </t>
  </si>
  <si>
    <t>FNDE 325</t>
  </si>
  <si>
    <t>FNDE 326</t>
  </si>
  <si>
    <t>FNDE 327</t>
  </si>
  <si>
    <t>ADMINISTRAÇÃO CENTRAL (ADM)</t>
  </si>
  <si>
    <t>CANTEIRO DE OBRAS (CO)</t>
  </si>
  <si>
    <t xml:space="preserve">Serviços Preliminares </t>
  </si>
  <si>
    <t xml:space="preserve">2.Serviços Preliminares </t>
  </si>
  <si>
    <t>3.Fundaçoes com Movimentação de Terra</t>
  </si>
  <si>
    <t xml:space="preserve">4.Supra Estrutura </t>
  </si>
  <si>
    <t>Movimentação de Terra Fundações</t>
  </si>
  <si>
    <t xml:space="preserve">Fundaçoes </t>
  </si>
  <si>
    <t>3.Movimentação de Terra Fundações</t>
  </si>
  <si>
    <t xml:space="preserve">4.Fundaçoes </t>
  </si>
  <si>
    <t xml:space="preserve">5.Supra Estrutura </t>
  </si>
  <si>
    <t xml:space="preserve">Supra Estrutura - Pilares </t>
  </si>
  <si>
    <t xml:space="preserve">Supra Estrutura -  Vigas </t>
  </si>
  <si>
    <t>Em Análise</t>
  </si>
  <si>
    <t>Composição</t>
  </si>
  <si>
    <t>FUNDAÇÕES - CONCRETO ARMADO PARA TUBULÕES</t>
  </si>
  <si>
    <t>FUNDAÇÕES - CONCRETO ARMADO PARA SAPATAS</t>
  </si>
  <si>
    <t>FUNDAÇÕES - CONCRETO ARMADO PARA BLOCOS</t>
  </si>
  <si>
    <t>SUPERESTRUTURA - CONCRETO ARMADO PARA PILARES</t>
  </si>
  <si>
    <t>SUPERESTRUTURA - CONCRETO ARMADO PARA VIGAS INCLUINDO BALDRAME</t>
  </si>
  <si>
    <t>SUPERESTRUTURA - CONCRETO ARMADO PARA VERGAS</t>
  </si>
  <si>
    <t>SUPERESTRUTURA - CONCRETO ARMADO PARA LAJE</t>
  </si>
  <si>
    <t>SUPERESTRUTURA - ESTRUTURA METÁLICA</t>
  </si>
  <si>
    <t>PAVIMENTAÇÃO INTERNA - PISO DE CONCRETO 8 CM</t>
  </si>
  <si>
    <t>SISTEMA DE VEDAÇÃO VERTICAL - ELEMENTOS VAZADOS</t>
  </si>
  <si>
    <t>SISTEMA DE VEDAÇÃO VERTICAL - DIVISÓRIAS</t>
  </si>
  <si>
    <t>SISTEMA DE VEDAÇÃO VERTICAL - ALVENARIA DE VEDAÇÃO</t>
  </si>
  <si>
    <t>ESQUADRIAS - PORTAS DE MADEIRA</t>
  </si>
  <si>
    <t>ESQUADRIAS - FERRAGENS E ACESSÓRIOS</t>
  </si>
  <si>
    <t>ESQUADRIAS - PORTAS EM ALUMÍNIO</t>
  </si>
  <si>
    <t>ESQUADRIAS - JANELAS EM ALUMÍNIO</t>
  </si>
  <si>
    <t>ESQUADRIAS - PORTAS DE VIDRO</t>
  </si>
  <si>
    <t>ESQUADRIAS - GERAL</t>
  </si>
  <si>
    <t>REVESTIMENTOS INTERNO E EXTERNO - EDIFICAÇÃO</t>
  </si>
  <si>
    <t>SISTEMAS DE PISOS - PAVIMENTAÇÃO INTERNA</t>
  </si>
  <si>
    <t>SISTEMAS DE PISOS - PAVIMENTAÇÃO EXTERNA</t>
  </si>
  <si>
    <t>PINTURAS E ACABAMENTOS - PAREDES</t>
  </si>
  <si>
    <t>PINTURAS E ACABAMENTOS - FORROS</t>
  </si>
  <si>
    <t>PINTURAS E ACABAMENTOS - PISO PLAYGROUND</t>
  </si>
  <si>
    <t>PINTURAS E ACABAMENTOS - PISO ESTACIONAMENTO</t>
  </si>
  <si>
    <t>PINTURAS E ACABAMENTOS - ESTRUTURA METÁLICA</t>
  </si>
  <si>
    <t>INSTALAÇÃO HIDRÁULICA - TUBULAÇÕES E CONEXÕES DE PVC RÍGIDO</t>
  </si>
  <si>
    <t>INSTALAÇÃO HIDRÁULICA - TUBULAÇÕES E CONEXÕES DE METAL</t>
  </si>
  <si>
    <t>INSTALAÇÃO HIDRÁULICA - RESERVATÓRIO 30.000 L</t>
  </si>
  <si>
    <t>INSTALAÇÃO HIDRÁULICA - SISTEMA DE REUSO DE ÁGUA</t>
  </si>
  <si>
    <t>DRENAGEM DE ÁGUAS PLUVIAIS - TUBULAÇÕES E CONEXÕES DE PVC</t>
  </si>
  <si>
    <t>DRENAGEM DE ÁGUAS PLUVIAIS - ACESSÓRIOS</t>
  </si>
  <si>
    <t>INSTALAÇÃO SANITÁRIA - TUBULAÇÕES E CONEXÕES</t>
  </si>
  <si>
    <t>INSTALAÇÃO SANITÁRIA - UNIDADE DE TRATAMENTO</t>
  </si>
  <si>
    <t>INSTALAÇÃO SANITÁRIA - VENTILAÇÃO</t>
  </si>
  <si>
    <t>SISTEMA DE PROTEÇÃO CONTRA INCÊNDIO - EXTINTORES</t>
  </si>
  <si>
    <t>SISTEMA DE PROTEÇÃO CONTRA INCÊNDIO - HIDRANTES</t>
  </si>
  <si>
    <t>SISTEMA DE PROTEÇÃO CONTRA INCÊNDIO - ACESSÓRIOS</t>
  </si>
  <si>
    <t>SISTEMA DE PROTEÇÃO CONTRA INCÊNDIO - TUBULAÇÕES E CONEXÕES</t>
  </si>
  <si>
    <t>SISTEMA DE PROTEÇÃO CONTRA INCÊNDIO - SINALIZAÇÕES</t>
  </si>
  <si>
    <t>INSTALAÇÃO ELÉTRICA 110V - ACESSÓRIOS PERFILADOS PERFURADOS</t>
  </si>
  <si>
    <t>INSTALAÇÃO ELÉTRICA 110V - ACESSÓRIOS PARA ELETRODUTOS</t>
  </si>
  <si>
    <t>INSTALAÇÃO ELÉTRICA 110V - ACESSÓRIOS EM GERAL</t>
  </si>
  <si>
    <t>INSTALAÇÃO ELÉTRICA 110V - CABOS</t>
  </si>
  <si>
    <t>INSTALAÇÃO ELÉTRICA 110V - CAIXAS DE PASSAGEM</t>
  </si>
  <si>
    <t>INSTALAÇÃO ELÉTRICA 110V - DISPOSITIVOS ELÉTRICOS</t>
  </si>
  <si>
    <t>INSTALAÇÃO ELÉTRICA 110V - DISPOSITIVOS DE PROTEÇÃO</t>
  </si>
  <si>
    <t>INSTALAÇÃO ELÉTRICA 110V - ELETROCALHAS</t>
  </si>
  <si>
    <t>INSTALAÇÃO ELÉTRICA 110V - ELETRODUTOS</t>
  </si>
  <si>
    <t>INSTALAÇÃO ELÉTRICA 110V - PERFILADOS</t>
  </si>
  <si>
    <t>INSTALAÇÃO ELÉTRICA 110V - ILUMINAÇÃO</t>
  </si>
  <si>
    <t>INSTALAÇÃO ELÉTRICA 110V - QUADROS</t>
  </si>
  <si>
    <t>INSTALAÇÕES DE CLIMATIZAÇÃO - DUTOS</t>
  </si>
  <si>
    <t>INSTALAÇÕES DE CLIMATIZAÇÃO - DRENO</t>
  </si>
  <si>
    <t>INSTALAÇÕES DE CABEAMENTO ESTRUTURADO - ACESSÓRIOS DE CABEAMENTO</t>
  </si>
  <si>
    <t>INSTALAÇÕES DE CABEAMENTO ESTRUTURADO - ACESSÓRIOS</t>
  </si>
  <si>
    <t>INSTALAÇÕES DE CABEAMENTO ESTRUTURADO - CAIXAS E QUADROS</t>
  </si>
  <si>
    <t>INSTALAÇÕES DE CABEAMENTO ESTRUTURADO - DISPOSITIVOS</t>
  </si>
  <si>
    <t>INSTALAÇÕES DE CABEAMENTO ESTRUTURADO - ELETROCALHA E ELETRODUTOS</t>
  </si>
  <si>
    <t>INSTALAÇÕES DE CABEAMENTO ESTRUTURADO - CABEAMENTO</t>
  </si>
  <si>
    <t>MURO DE FECHAMENTO - MOVIMENTO DE TERRA PARA FUNDAÇÕES</t>
  </si>
  <si>
    <t>MURO DE FECHAMENTO - CONCRETO ARMADO PARA SAPATAS E BLOCOS</t>
  </si>
  <si>
    <t>MURO DE FECHAMENTO - CONCRETO ARMADO PARA PILARES</t>
  </si>
  <si>
    <t>MURO DE FECHAMENTO - CONCRETO ARMADO PARA VIGAS INCLUINDO BALDRAME</t>
  </si>
  <si>
    <t>MURO DE FECHAMENTO - IMPERMEABILIZAÇÃO</t>
  </si>
  <si>
    <t>MURO DE FECHAMENTO - ALVENARIA DE VEDAÇÃO</t>
  </si>
  <si>
    <t>MURO DE FECHAMENTO - REVESTIMENTO</t>
  </si>
  <si>
    <t>MURO DE FECHAMENTO - PINTURA</t>
  </si>
  <si>
    <t>1095468-12</t>
  </si>
  <si>
    <t>962693</t>
  </si>
  <si>
    <t>CRECHE  tipo I - de Doiz Vizinhos</t>
  </si>
  <si>
    <t>Automática, conforme os agrupadores Nível 2 do Orçamento</t>
  </si>
  <si>
    <t>EMPREITADA POR PREÇO GLOBAL</t>
  </si>
  <si>
    <t>NÃO DESONERADO</t>
  </si>
  <si>
    <t>Conforme Quantitativo do Projeto Padrao FNDE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</si>
</sst>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2" borderId="0" applyNumberFormat="0" applyBorder="0" applyAlignment="0" applyProtection="0"/>
    <xf numFmtId="0" fontId="5" fillId="11" borderId="1" applyNumberFormat="0" applyAlignment="0" applyProtection="0"/>
    <xf numFmtId="0" fontId="6" fillId="12" borderId="2" applyNumberFormat="0" applyAlignment="0" applyProtection="0"/>
    <xf numFmtId="0" fontId="7" fillId="0" borderId="3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8" fillId="3" borderId="1" applyNumberFormat="0" applyAlignment="0" applyProtection="0"/>
    <xf numFmtId="0" fontId="65" fillId="0" borderId="0" applyNumberFormat="0" applyFill="0" applyBorder="0" applyAlignment="0" applyProtection="0"/>
    <xf numFmtId="180" fontId="57" fillId="0" borderId="0" applyFill="0" applyBorder="0" applyAlignment="0" applyProtection="0"/>
    <xf numFmtId="164" fontId="57" fillId="0" borderId="0" applyFill="0" applyBorder="0" applyAlignment="0" applyProtection="0"/>
    <xf numFmtId="0" fontId="57" fillId="0" borderId="0"/>
    <xf numFmtId="0" fontId="2" fillId="0" borderId="0"/>
    <xf numFmtId="0" fontId="9" fillId="0" borderId="0"/>
    <xf numFmtId="0" fontId="57" fillId="5" borderId="4" applyNumberFormat="0" applyAlignment="0" applyProtection="0"/>
    <xf numFmtId="9" fontId="57" fillId="0" borderId="0" applyFill="0" applyBorder="0" applyAlignment="0" applyProtection="0"/>
    <xf numFmtId="9" fontId="57" fillId="0" borderId="0" applyFill="0" applyBorder="0" applyAlignment="0" applyProtection="0"/>
    <xf numFmtId="0" fontId="10" fillId="11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" fillId="0" borderId="9" applyNumberFormat="0" applyFill="0" applyAlignment="0" applyProtection="0"/>
    <xf numFmtId="171" fontId="57" fillId="0" borderId="0" applyFill="0" applyBorder="0" applyAlignment="0" applyProtection="0"/>
    <xf numFmtId="165" fontId="57" fillId="0" borderId="0" applyFill="0" applyBorder="0" applyAlignment="0" applyProtection="0"/>
    <xf numFmtId="0" fontId="1" fillId="0" borderId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4" fillId="0" borderId="0" xfId="0" applyFont="1" applyAlignment="1">
      <alignment vertical="center"/>
    </xf>
    <xf numFmtId="0" fontId="0" fillId="0" borderId="13" xfId="0" applyBorder="1"/>
    <xf numFmtId="0" fontId="25" fillId="0" borderId="0" xfId="0" applyFont="1"/>
    <xf numFmtId="0" fontId="25" fillId="0" borderId="14" xfId="0" applyFont="1" applyBorder="1" applyAlignment="1">
      <alignment horizontal="left"/>
    </xf>
    <xf numFmtId="0" fontId="25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7" fillId="0" borderId="12" xfId="0" applyFont="1" applyBorder="1" applyAlignment="1">
      <alignment horizontal="left"/>
    </xf>
    <xf numFmtId="0" fontId="0" fillId="0" borderId="29" xfId="0" applyBorder="1"/>
    <xf numFmtId="0" fontId="28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9" fillId="0" borderId="12" xfId="0" applyFont="1" applyBorder="1"/>
    <xf numFmtId="0" fontId="28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0" fontId="13" fillId="0" borderId="0" xfId="0" applyFont="1" applyAlignment="1">
      <alignment horizontal="left" vertical="top" indent="1"/>
    </xf>
    <xf numFmtId="0" fontId="0" fillId="0" borderId="0" xfId="33" applyFont="1"/>
    <xf numFmtId="0" fontId="25" fillId="0" borderId="0" xfId="33" applyFont="1" applyAlignment="1">
      <alignment horizontal="center"/>
    </xf>
    <xf numFmtId="0" fontId="24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5" fillId="0" borderId="32" xfId="33" applyFont="1" applyBorder="1" applyAlignment="1">
      <alignment horizontal="center"/>
    </xf>
    <xf numFmtId="10" fontId="30" fillId="0" borderId="32" xfId="33" applyNumberFormat="1" applyFont="1" applyBorder="1" applyAlignment="1">
      <alignment horizontal="center"/>
    </xf>
    <xf numFmtId="0" fontId="25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5" fillId="0" borderId="0" xfId="33" applyFont="1"/>
    <xf numFmtId="0" fontId="25" fillId="0" borderId="32" xfId="33" applyFont="1" applyBorder="1" applyAlignment="1">
      <alignment horizontal="center" vertical="center" wrapText="1"/>
    </xf>
    <xf numFmtId="0" fontId="9" fillId="0" borderId="0" xfId="33" applyFont="1" applyAlignment="1">
      <alignment horizontal="left"/>
    </xf>
    <xf numFmtId="0" fontId="31" fillId="0" borderId="32" xfId="33" applyFont="1" applyBorder="1" applyAlignment="1">
      <alignment horizontal="center" vertical="center"/>
    </xf>
    <xf numFmtId="10" fontId="31" fillId="6" borderId="32" xfId="33" applyNumberFormat="1" applyFont="1" applyFill="1" applyBorder="1" applyAlignment="1" applyProtection="1">
      <alignment horizontal="center" vertical="center"/>
      <protection locked="0"/>
    </xf>
    <xf numFmtId="10" fontId="31" fillId="0" borderId="32" xfId="33" applyNumberFormat="1" applyFont="1" applyBorder="1" applyAlignment="1">
      <alignment horizontal="center" vertical="center"/>
    </xf>
    <xf numFmtId="10" fontId="31" fillId="0" borderId="32" xfId="33" applyNumberFormat="1" applyFont="1" applyBorder="1" applyAlignment="1">
      <alignment horizontal="center" vertical="center" wrapText="1"/>
    </xf>
    <xf numFmtId="0" fontId="31" fillId="0" borderId="32" xfId="33" applyFont="1" applyBorder="1" applyAlignment="1">
      <alignment horizontal="center" vertical="center" wrapText="1"/>
    </xf>
    <xf numFmtId="0" fontId="31" fillId="8" borderId="32" xfId="33" applyFont="1" applyFill="1" applyBorder="1" applyAlignment="1">
      <alignment horizontal="center" vertical="center" wrapText="1"/>
    </xf>
    <xf numFmtId="10" fontId="18" fillId="8" borderId="32" xfId="33" applyNumberFormat="1" applyFont="1" applyFill="1" applyBorder="1" applyAlignment="1">
      <alignment horizontal="center" vertical="center"/>
    </xf>
    <xf numFmtId="0" fontId="32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top"/>
    </xf>
    <xf numFmtId="0" fontId="36" fillId="0" borderId="0" xfId="33" applyFont="1" applyAlignment="1">
      <alignment horizontal="center" vertical="top"/>
    </xf>
    <xf numFmtId="169" fontId="0" fillId="0" borderId="0" xfId="33" applyNumberFormat="1" applyFont="1"/>
    <xf numFmtId="0" fontId="25" fillId="0" borderId="10" xfId="33" applyFont="1" applyBorder="1" applyAlignment="1">
      <alignment horizontal="left"/>
    </xf>
    <xf numFmtId="0" fontId="0" fillId="0" borderId="10" xfId="33" applyFont="1" applyBorder="1"/>
    <xf numFmtId="0" fontId="31" fillId="0" borderId="0" xfId="33" applyFont="1"/>
    <xf numFmtId="0" fontId="25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7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39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5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3" fillId="0" borderId="0" xfId="0" applyFont="1" applyAlignment="1">
      <alignment horizontal="center"/>
    </xf>
    <xf numFmtId="0" fontId="25" fillId="0" borderId="33" xfId="35" applyFont="1" applyBorder="1" applyAlignment="1">
      <alignment horizontal="left" vertical="top"/>
    </xf>
    <xf numFmtId="0" fontId="25" fillId="0" borderId="0" xfId="35" applyFont="1" applyAlignment="1">
      <alignment horizontal="center" vertical="top"/>
    </xf>
    <xf numFmtId="0" fontId="25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3" fillId="0" borderId="34" xfId="0" applyFont="1" applyBorder="1" applyAlignment="1">
      <alignment horizontal="center" vertical="center" wrapText="1"/>
    </xf>
    <xf numFmtId="0" fontId="44" fillId="0" borderId="0" xfId="0" applyFont="1"/>
    <xf numFmtId="0" fontId="23" fillId="0" borderId="14" xfId="0" applyFont="1" applyBorder="1" applyAlignment="1">
      <alignment horizontal="center"/>
    </xf>
    <xf numFmtId="1" fontId="45" fillId="0" borderId="0" xfId="0" applyNumberFormat="1" applyFont="1" applyAlignment="1">
      <alignment horizontal="center" vertical="center"/>
    </xf>
    <xf numFmtId="0" fontId="25" fillId="0" borderId="32" xfId="0" applyFont="1" applyBorder="1" applyAlignment="1">
      <alignment horizontal="center" vertical="center" wrapText="1"/>
    </xf>
    <xf numFmtId="0" fontId="46" fillId="0" borderId="32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/>
    </xf>
    <xf numFmtId="0" fontId="25" fillId="0" borderId="35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9" fillId="16" borderId="38" xfId="0" applyFont="1" applyFill="1" applyBorder="1" applyAlignment="1" applyProtection="1">
      <alignment horizontal="center" vertical="center" wrapText="1"/>
      <protection locked="0"/>
    </xf>
    <xf numFmtId="0" fontId="9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40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3" fillId="0" borderId="0" xfId="0" applyFont="1"/>
    <xf numFmtId="0" fontId="25" fillId="17" borderId="32" xfId="0" applyFont="1" applyFill="1" applyBorder="1" applyAlignment="1">
      <alignment horizontal="center" vertical="center"/>
    </xf>
    <xf numFmtId="49" fontId="25" fillId="17" borderId="45" xfId="0" applyNumberFormat="1" applyFont="1" applyFill="1" applyBorder="1" applyAlignment="1">
      <alignment horizontal="center" vertical="center"/>
    </xf>
    <xf numFmtId="171" fontId="25" fillId="17" borderId="45" xfId="48" applyFont="1" applyFill="1" applyBorder="1" applyAlignment="1" applyProtection="1">
      <alignment horizontal="center" vertical="center"/>
    </xf>
    <xf numFmtId="10" fontId="25" fillId="17" borderId="45" xfId="37" applyNumberFormat="1" applyFont="1" applyFill="1" applyBorder="1" applyAlignment="1" applyProtection="1">
      <alignment horizontal="center" vertical="center"/>
    </xf>
    <xf numFmtId="171" fontId="25" fillId="17" borderId="46" xfId="48" applyFont="1" applyFill="1" applyBorder="1" applyAlignment="1" applyProtection="1">
      <alignment horizontal="center" vertical="center" shrinkToFit="1"/>
    </xf>
    <xf numFmtId="171" fontId="22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1" fillId="0" borderId="0" xfId="0" applyFont="1"/>
    <xf numFmtId="0" fontId="31" fillId="0" borderId="33" xfId="0" applyFont="1" applyBorder="1" applyAlignment="1">
      <alignment horizontal="left" vertical="center"/>
    </xf>
    <xf numFmtId="0" fontId="31" fillId="0" borderId="0" xfId="0" applyFont="1" applyAlignment="1" applyProtection="1">
      <alignment horizontal="left" wrapText="1"/>
      <protection locked="0"/>
    </xf>
    <xf numFmtId="0" fontId="18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8" fillId="0" borderId="30" xfId="33" applyFont="1" applyBorder="1" applyAlignment="1">
      <alignment vertical="center"/>
    </xf>
    <xf numFmtId="0" fontId="25" fillId="0" borderId="10" xfId="0" applyFont="1" applyBorder="1"/>
    <xf numFmtId="0" fontId="24" fillId="0" borderId="0" xfId="0" applyFont="1" applyAlignment="1">
      <alignment horizontal="left" vertical="center" indent="10"/>
    </xf>
    <xf numFmtId="0" fontId="24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 indent="10"/>
    </xf>
    <xf numFmtId="0" fontId="38" fillId="0" borderId="0" xfId="0" applyFont="1" applyAlignment="1">
      <alignment horizontal="center" vertical="center"/>
    </xf>
    <xf numFmtId="0" fontId="25" fillId="0" borderId="33" xfId="35" applyFont="1" applyBorder="1" applyAlignment="1">
      <alignment vertical="top"/>
    </xf>
    <xf numFmtId="0" fontId="25" fillId="0" borderId="0" xfId="35" applyFont="1" applyAlignment="1">
      <alignment vertical="top"/>
    </xf>
    <xf numFmtId="0" fontId="25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3" fillId="0" borderId="0" xfId="0" applyFont="1" applyAlignment="1">
      <alignment horizontal="center"/>
    </xf>
    <xf numFmtId="0" fontId="23" fillId="0" borderId="30" xfId="0" applyFont="1" applyBorder="1" applyAlignment="1">
      <alignment vertical="center" wrapText="1"/>
    </xf>
    <xf numFmtId="0" fontId="23" fillId="0" borderId="30" xfId="0" applyFont="1" applyBorder="1" applyAlignment="1">
      <alignment horizontal="right" vertical="center" wrapText="1"/>
    </xf>
    <xf numFmtId="0" fontId="48" fillId="0" borderId="0" xfId="0" applyFont="1"/>
    <xf numFmtId="1" fontId="45" fillId="0" borderId="0" xfId="0" applyNumberFormat="1" applyFont="1" applyAlignment="1">
      <alignment horizontal="left" textRotation="90" wrapText="1"/>
    </xf>
    <xf numFmtId="0" fontId="23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5" fillId="0" borderId="50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>
      <alignment horizontal="center"/>
    </xf>
    <xf numFmtId="0" fontId="22" fillId="0" borderId="36" xfId="48" applyNumberFormat="1" applyFont="1" applyFill="1" applyBorder="1" applyAlignment="1" applyProtection="1">
      <alignment horizontal="center" vertical="center" wrapText="1" shrinkToFit="1"/>
    </xf>
    <xf numFmtId="0" fontId="22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5" fillId="17" borderId="32" xfId="0" applyFont="1" applyFill="1" applyBorder="1" applyAlignment="1">
      <alignment horizontal="left" vertical="center"/>
    </xf>
    <xf numFmtId="0" fontId="25" fillId="14" borderId="32" xfId="0" applyFont="1" applyFill="1" applyBorder="1" applyAlignment="1">
      <alignment horizontal="center" vertical="center"/>
    </xf>
    <xf numFmtId="0" fontId="25" fillId="17" borderId="32" xfId="0" applyFont="1" applyFill="1" applyBorder="1" applyAlignment="1">
      <alignment horizontal="right" vertical="center"/>
    </xf>
    <xf numFmtId="4" fontId="25" fillId="17" borderId="55" xfId="0" applyNumberFormat="1" applyFont="1" applyFill="1" applyBorder="1" applyAlignment="1">
      <alignment horizontal="right" vertical="center" shrinkToFit="1"/>
    </xf>
    <xf numFmtId="4" fontId="25" fillId="17" borderId="56" xfId="0" applyNumberFormat="1" applyFont="1" applyFill="1" applyBorder="1" applyAlignment="1">
      <alignment horizontal="right" vertical="center" shrinkToFit="1"/>
    </xf>
    <xf numFmtId="4" fontId="25" fillId="17" borderId="57" xfId="0" applyNumberFormat="1" applyFont="1" applyFill="1" applyBorder="1" applyAlignment="1">
      <alignment horizontal="right" vertical="center" shrinkToFit="1"/>
    </xf>
    <xf numFmtId="4" fontId="25" fillId="17" borderId="37" xfId="0" applyNumberFormat="1" applyFont="1" applyFill="1" applyBorder="1" applyAlignment="1">
      <alignment horizontal="right" vertical="center" shrinkToFit="1"/>
    </xf>
    <xf numFmtId="0" fontId="25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3" fillId="0" borderId="32" xfId="0" applyFont="1" applyBorder="1"/>
    <xf numFmtId="0" fontId="13" fillId="0" borderId="32" xfId="0" applyFont="1" applyBorder="1" applyAlignment="1">
      <alignment horizontal="center"/>
    </xf>
    <xf numFmtId="0" fontId="47" fillId="0" borderId="32" xfId="0" applyFont="1" applyBorder="1" applyAlignment="1">
      <alignment horizontal="center" vertical="center"/>
    </xf>
    <xf numFmtId="171" fontId="57" fillId="0" borderId="32" xfId="48" applyFill="1" applyBorder="1" applyAlignment="1" applyProtection="1"/>
    <xf numFmtId="0" fontId="47" fillId="18" borderId="32" xfId="0" applyFont="1" applyFill="1" applyBorder="1" applyAlignment="1">
      <alignment horizontal="center" vertical="center"/>
    </xf>
    <xf numFmtId="171" fontId="57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7" fillId="0" borderId="0" xfId="34" applyFont="1" applyAlignment="1">
      <alignment horizontal="center"/>
    </xf>
    <xf numFmtId="0" fontId="47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8" fillId="0" borderId="58" xfId="38" applyNumberFormat="1" applyFont="1" applyFill="1" applyBorder="1" applyAlignment="1" applyProtection="1">
      <alignment horizontal="center"/>
    </xf>
    <xf numFmtId="10" fontId="47" fillId="0" borderId="34" xfId="34" applyNumberFormat="1" applyFont="1" applyBorder="1" applyAlignment="1">
      <alignment horizontal="center"/>
    </xf>
    <xf numFmtId="172" fontId="47" fillId="0" borderId="59" xfId="34" applyNumberFormat="1" applyFont="1" applyBorder="1" applyAlignment="1">
      <alignment horizontal="left"/>
    </xf>
    <xf numFmtId="10" fontId="47" fillId="0" borderId="60" xfId="34" applyNumberFormat="1" applyFont="1" applyBorder="1" applyAlignment="1">
      <alignment horizontal="left"/>
    </xf>
    <xf numFmtId="1" fontId="47" fillId="0" borderId="60" xfId="34" applyNumberFormat="1" applyFont="1" applyBorder="1" applyAlignment="1">
      <alignment horizontal="center"/>
    </xf>
    <xf numFmtId="0" fontId="47" fillId="0" borderId="60" xfId="34" applyFont="1" applyBorder="1" applyAlignment="1">
      <alignment horizontal="center"/>
    </xf>
    <xf numFmtId="173" fontId="57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8" fillId="0" borderId="62" xfId="38" applyNumberFormat="1" applyFont="1" applyFill="1" applyBorder="1" applyAlignment="1" applyProtection="1">
      <alignment horizontal="center"/>
    </xf>
    <xf numFmtId="10" fontId="48" fillId="0" borderId="63" xfId="38" applyNumberFormat="1" applyFont="1" applyFill="1" applyBorder="1" applyAlignment="1" applyProtection="1">
      <alignment horizontal="center"/>
    </xf>
    <xf numFmtId="0" fontId="47" fillId="0" borderId="31" xfId="34" applyFont="1" applyBorder="1" applyAlignment="1">
      <alignment horizontal="center"/>
    </xf>
    <xf numFmtId="0" fontId="47" fillId="0" borderId="64" xfId="34" applyFont="1" applyBorder="1"/>
    <xf numFmtId="0" fontId="33" fillId="0" borderId="64" xfId="34" applyFont="1" applyBorder="1"/>
    <xf numFmtId="0" fontId="47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9" fillId="0" borderId="65" xfId="49" applyFont="1" applyFill="1" applyBorder="1" applyAlignment="1" applyProtection="1">
      <alignment horizontal="center"/>
    </xf>
    <xf numFmtId="0" fontId="47" fillId="0" borderId="14" xfId="34" applyFont="1" applyBorder="1" applyAlignment="1">
      <alignment horizontal="center"/>
    </xf>
    <xf numFmtId="165" fontId="49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9" fillId="0" borderId="56" xfId="49" applyFont="1" applyFill="1" applyBorder="1" applyAlignment="1" applyProtection="1">
      <alignment horizontal="center"/>
    </xf>
    <xf numFmtId="165" fontId="49" fillId="0" borderId="57" xfId="49" applyFont="1" applyFill="1" applyBorder="1" applyAlignment="1" applyProtection="1">
      <alignment horizontal="center"/>
    </xf>
    <xf numFmtId="165" fontId="24" fillId="0" borderId="0" xfId="49" applyFont="1" applyFill="1" applyBorder="1" applyAlignment="1" applyProtection="1">
      <alignment horizontal="left"/>
    </xf>
    <xf numFmtId="0" fontId="40" fillId="0" borderId="0" xfId="0" applyFont="1" applyAlignment="1">
      <alignment horizontal="center" textRotation="90"/>
    </xf>
    <xf numFmtId="0" fontId="50" fillId="0" borderId="33" xfId="34" applyFont="1" applyBorder="1"/>
    <xf numFmtId="0" fontId="47" fillId="0" borderId="12" xfId="34" applyFont="1" applyBorder="1"/>
    <xf numFmtId="0" fontId="25" fillId="0" borderId="33" xfId="49" applyNumberFormat="1" applyFont="1" applyFill="1" applyBorder="1" applyAlignment="1" applyProtection="1">
      <alignment horizontal="left"/>
    </xf>
    <xf numFmtId="165" fontId="25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50" fillId="0" borderId="31" xfId="34" applyFont="1" applyBorder="1" applyAlignment="1">
      <alignment horizontal="center"/>
    </xf>
    <xf numFmtId="0" fontId="47" fillId="0" borderId="47" xfId="34" applyFont="1" applyBorder="1"/>
    <xf numFmtId="0" fontId="47" fillId="16" borderId="32" xfId="34" applyFont="1" applyFill="1" applyBorder="1" applyAlignment="1" applyProtection="1">
      <alignment horizontal="center"/>
      <protection locked="0"/>
    </xf>
    <xf numFmtId="0" fontId="47" fillId="0" borderId="30" xfId="34" applyFont="1" applyBorder="1"/>
    <xf numFmtId="0" fontId="50" fillId="0" borderId="50" xfId="34" applyFont="1" applyBorder="1" applyAlignment="1">
      <alignment horizontal="center"/>
    </xf>
    <xf numFmtId="0" fontId="50" fillId="0" borderId="10" xfId="34" applyFont="1" applyBorder="1" applyAlignment="1">
      <alignment horizontal="left" vertical="center" wrapText="1"/>
    </xf>
    <xf numFmtId="0" fontId="47" fillId="0" borderId="10" xfId="34" applyFont="1" applyBorder="1" applyAlignment="1">
      <alignment horizontal="center" vertical="center"/>
    </xf>
    <xf numFmtId="0" fontId="50" fillId="0" borderId="51" xfId="34" applyFont="1" applyBorder="1" applyAlignment="1" applyProtection="1">
      <alignment horizontal="center"/>
      <protection locked="0"/>
    </xf>
    <xf numFmtId="0" fontId="50" fillId="0" borderId="52" xfId="34" applyFont="1" applyBorder="1" applyAlignment="1">
      <alignment horizontal="center"/>
    </xf>
    <xf numFmtId="0" fontId="47" fillId="0" borderId="0" xfId="34" applyFont="1" applyAlignment="1">
      <alignment horizontal="center" wrapText="1"/>
    </xf>
    <xf numFmtId="174" fontId="50" fillId="0" borderId="55" xfId="34" applyNumberFormat="1" applyFont="1" applyBorder="1" applyAlignment="1">
      <alignment horizontal="center"/>
    </xf>
    <xf numFmtId="0" fontId="50" fillId="0" borderId="30" xfId="34" applyFont="1" applyBorder="1" applyAlignment="1">
      <alignment horizontal="left" vertical="center" wrapText="1"/>
    </xf>
    <xf numFmtId="0" fontId="47" fillId="0" borderId="30" xfId="34" applyFont="1" applyBorder="1" applyAlignment="1">
      <alignment horizontal="center" vertical="center"/>
    </xf>
    <xf numFmtId="0" fontId="47" fillId="0" borderId="30" xfId="34" applyFont="1" applyBorder="1" applyAlignment="1">
      <alignment horizontal="center" vertical="center" wrapText="1"/>
    </xf>
    <xf numFmtId="174" fontId="50" fillId="0" borderId="56" xfId="34" applyNumberFormat="1" applyFont="1" applyBorder="1" applyAlignment="1" applyProtection="1">
      <alignment horizontal="center"/>
      <protection locked="0"/>
    </xf>
    <xf numFmtId="174" fontId="50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7" fillId="8" borderId="34" xfId="34" applyFont="1" applyFill="1" applyBorder="1"/>
    <xf numFmtId="165" fontId="25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7" fillId="0" borderId="40" xfId="48" applyFill="1" applyBorder="1" applyAlignment="1" applyProtection="1">
      <alignment shrinkToFit="1"/>
    </xf>
    <xf numFmtId="0" fontId="47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7" fillId="0" borderId="39" xfId="48" applyFill="1" applyBorder="1" applyAlignment="1" applyProtection="1">
      <alignment shrinkToFit="1"/>
    </xf>
    <xf numFmtId="171" fontId="57" fillId="0" borderId="41" xfId="48" applyFill="1" applyBorder="1" applyAlignment="1" applyProtection="1">
      <alignment shrinkToFit="1"/>
    </xf>
    <xf numFmtId="0" fontId="50" fillId="0" borderId="0" xfId="34" applyFont="1" applyAlignment="1">
      <alignment horizontal="left"/>
    </xf>
    <xf numFmtId="0" fontId="47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7" fillId="8" borderId="39" xfId="48" applyFill="1" applyBorder="1" applyAlignment="1" applyProtection="1">
      <alignment shrinkToFit="1"/>
    </xf>
    <xf numFmtId="171" fontId="57" fillId="8" borderId="40" xfId="48" applyFill="1" applyBorder="1" applyAlignment="1" applyProtection="1">
      <alignment shrinkToFit="1"/>
    </xf>
    <xf numFmtId="171" fontId="57" fillId="8" borderId="41" xfId="48" applyFill="1" applyBorder="1" applyAlignment="1" applyProtection="1">
      <alignment shrinkToFit="1"/>
    </xf>
    <xf numFmtId="171" fontId="57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7" fillId="0" borderId="70" xfId="48" applyFill="1" applyBorder="1" applyAlignment="1" applyProtection="1">
      <alignment shrinkToFit="1"/>
    </xf>
    <xf numFmtId="171" fontId="57" fillId="0" borderId="44" xfId="48" applyFill="1" applyBorder="1" applyAlignment="1" applyProtection="1">
      <alignment shrinkToFit="1"/>
    </xf>
    <xf numFmtId="165" fontId="25" fillId="0" borderId="71" xfId="49" applyFont="1" applyFill="1" applyBorder="1" applyAlignment="1" applyProtection="1">
      <alignment shrinkToFit="1"/>
    </xf>
    <xf numFmtId="0" fontId="47" fillId="8" borderId="14" xfId="34" applyFont="1" applyFill="1" applyBorder="1"/>
    <xf numFmtId="165" fontId="25" fillId="8" borderId="72" xfId="49" applyFont="1" applyFill="1" applyBorder="1" applyAlignment="1" applyProtection="1">
      <alignment horizontal="center"/>
    </xf>
    <xf numFmtId="165" fontId="25" fillId="8" borderId="73" xfId="49" applyFont="1" applyFill="1" applyBorder="1" applyAlignment="1" applyProtection="1">
      <alignment horizontal="right"/>
    </xf>
    <xf numFmtId="165" fontId="25" fillId="8" borderId="74" xfId="49" applyFont="1" applyFill="1" applyBorder="1" applyAlignment="1" applyProtection="1">
      <alignment shrinkToFit="1"/>
    </xf>
    <xf numFmtId="165" fontId="25" fillId="8" borderId="71" xfId="49" applyFont="1" applyFill="1" applyBorder="1" applyAlignment="1" applyProtection="1">
      <alignment shrinkToFit="1"/>
    </xf>
    <xf numFmtId="165" fontId="25" fillId="8" borderId="75" xfId="49" applyFont="1" applyFill="1" applyBorder="1" applyAlignment="1" applyProtection="1">
      <alignment shrinkToFit="1"/>
    </xf>
    <xf numFmtId="0" fontId="47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1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2" fillId="8" borderId="1" xfId="0" applyNumberFormat="1" applyFont="1" applyFill="1" applyBorder="1" applyAlignment="1">
      <alignment horizontal="center" textRotation="90" wrapText="1"/>
    </xf>
    <xf numFmtId="0" fontId="25" fillId="8" borderId="1" xfId="0" applyFont="1" applyFill="1" applyBorder="1" applyAlignment="1">
      <alignment horizontal="center"/>
    </xf>
    <xf numFmtId="0" fontId="25" fillId="8" borderId="76" xfId="0" applyFont="1" applyFill="1" applyBorder="1"/>
    <xf numFmtId="0" fontId="25" fillId="8" borderId="77" xfId="0" applyFont="1" applyFill="1" applyBorder="1"/>
    <xf numFmtId="0" fontId="25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7" fillId="19" borderId="32" xfId="34" applyFont="1" applyFill="1" applyBorder="1" applyAlignment="1">
      <alignment horizontal="center"/>
    </xf>
    <xf numFmtId="0" fontId="50" fillId="0" borderId="12" xfId="34" applyFont="1" applyBorder="1"/>
    <xf numFmtId="0" fontId="47" fillId="0" borderId="12" xfId="34" applyFont="1" applyBorder="1" applyAlignment="1">
      <alignment horizontal="center"/>
    </xf>
    <xf numFmtId="0" fontId="0" fillId="0" borderId="33" xfId="0" applyBorder="1"/>
    <xf numFmtId="0" fontId="53" fillId="0" borderId="0" xfId="0" applyFont="1"/>
    <xf numFmtId="0" fontId="25" fillId="0" borderId="0" xfId="0" applyFont="1" applyAlignment="1">
      <alignment horizontal="right"/>
    </xf>
    <xf numFmtId="0" fontId="24" fillId="0" borderId="33" xfId="0" applyFont="1" applyBorder="1"/>
    <xf numFmtId="0" fontId="25" fillId="8" borderId="32" xfId="0" applyFont="1" applyFill="1" applyBorder="1" applyAlignment="1">
      <alignment horizontal="center"/>
    </xf>
    <xf numFmtId="0" fontId="25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4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5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2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5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5" fillId="0" borderId="0" xfId="0" applyFont="1" applyAlignment="1">
      <alignment wrapText="1"/>
    </xf>
    <xf numFmtId="0" fontId="25" fillId="0" borderId="13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8" fillId="8" borderId="82" xfId="0" applyNumberFormat="1" applyFont="1" applyFill="1" applyBorder="1" applyAlignment="1">
      <alignment horizontal="center" vertical="center"/>
    </xf>
    <xf numFmtId="178" fontId="18" fillId="8" borderId="10" xfId="0" applyNumberFormat="1" applyFont="1" applyFill="1" applyBorder="1" applyAlignment="1">
      <alignment horizontal="center" vertical="center"/>
    </xf>
    <xf numFmtId="178" fontId="18" fillId="8" borderId="11" xfId="0" applyNumberFormat="1" applyFont="1" applyFill="1" applyBorder="1" applyAlignment="1">
      <alignment horizontal="center" vertical="center"/>
    </xf>
    <xf numFmtId="178" fontId="18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9" fillId="8" borderId="47" xfId="0" applyNumberFormat="1" applyFont="1" applyFill="1" applyBorder="1" applyAlignment="1">
      <alignment horizontal="center"/>
    </xf>
    <xf numFmtId="181" fontId="9" fillId="8" borderId="30" xfId="0" applyNumberFormat="1" applyFont="1" applyFill="1" applyBorder="1" applyAlignment="1">
      <alignment horizontal="center"/>
    </xf>
    <xf numFmtId="181" fontId="9" fillId="8" borderId="29" xfId="0" applyNumberFormat="1" applyFont="1" applyFill="1" applyBorder="1" applyAlignment="1">
      <alignment horizontal="center"/>
    </xf>
    <xf numFmtId="181" fontId="9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4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8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4" fillId="0" borderId="47" xfId="0" applyFont="1" applyBorder="1"/>
    <xf numFmtId="14" fontId="25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5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5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34" xfId="0" applyFont="1" applyBorder="1" applyAlignment="1">
      <alignment horizontal="center" vertical="center"/>
    </xf>
    <xf numFmtId="183" fontId="25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5" fillId="17" borderId="14" xfId="48" applyFont="1" applyFill="1" applyBorder="1" applyAlignment="1" applyProtection="1">
      <alignment horizontal="center" vertical="center"/>
    </xf>
    <xf numFmtId="171" fontId="25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4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5" fillId="0" borderId="32" xfId="0" applyFont="1" applyBorder="1" applyAlignment="1">
      <alignment horizontal="right" vertical="center" wrapText="1"/>
    </xf>
    <xf numFmtId="184" fontId="25" fillId="0" borderId="32" xfId="31" applyNumberFormat="1" applyFont="1" applyFill="1" applyBorder="1" applyAlignment="1" applyProtection="1">
      <alignment horizontal="right" vertical="center" shrinkToFit="1"/>
    </xf>
    <xf numFmtId="0" fontId="25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3" fillId="0" borderId="0" xfId="0" applyFont="1" applyAlignment="1">
      <alignment wrapText="1"/>
    </xf>
    <xf numFmtId="0" fontId="22" fillId="0" borderId="11" xfId="0" applyFont="1" applyBorder="1" applyAlignment="1">
      <alignment horizontal="center"/>
    </xf>
    <xf numFmtId="0" fontId="54" fillId="0" borderId="0" xfId="0" applyFont="1" applyAlignment="1">
      <alignment horizontal="center" vertical="center" wrapText="1"/>
    </xf>
    <xf numFmtId="170" fontId="25" fillId="0" borderId="47" xfId="0" applyNumberFormat="1" applyFont="1" applyBorder="1" applyAlignment="1">
      <alignment horizontal="center"/>
    </xf>
    <xf numFmtId="10" fontId="25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9" fillId="8" borderId="84" xfId="0" applyNumberFormat="1" applyFont="1" applyFill="1" applyBorder="1" applyAlignment="1">
      <alignment horizontal="center"/>
    </xf>
    <xf numFmtId="181" fontId="9" fillId="8" borderId="85" xfId="0" applyNumberFormat="1" applyFont="1" applyFill="1" applyBorder="1" applyAlignment="1">
      <alignment horizontal="center"/>
    </xf>
    <xf numFmtId="181" fontId="9" fillId="8" borderId="66" xfId="0" applyNumberFormat="1" applyFont="1" applyFill="1" applyBorder="1" applyAlignment="1">
      <alignment horizontal="center"/>
    </xf>
    <xf numFmtId="181" fontId="9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2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6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8" fillId="8" borderId="32" xfId="0" applyNumberFormat="1" applyFont="1" applyFill="1" applyBorder="1" applyAlignment="1">
      <alignment horizontal="center" vertical="center"/>
    </xf>
    <xf numFmtId="178" fontId="18" fillId="8" borderId="13" xfId="0" applyNumberFormat="1" applyFont="1" applyFill="1" applyBorder="1" applyAlignment="1">
      <alignment horizontal="center" vertical="center"/>
    </xf>
    <xf numFmtId="178" fontId="18" fillId="8" borderId="45" xfId="0" applyNumberFormat="1" applyFont="1" applyFill="1" applyBorder="1" applyAlignment="1">
      <alignment horizontal="center" vertical="center"/>
    </xf>
    <xf numFmtId="178" fontId="18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8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2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7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5" fillId="0" borderId="0" xfId="33" applyFont="1" applyAlignment="1">
      <alignment vertical="top"/>
    </xf>
    <xf numFmtId="180" fontId="25" fillId="0" borderId="40" xfId="48" applyNumberFormat="1" applyFont="1" applyFill="1" applyBorder="1" applyAlignment="1" applyProtection="1">
      <alignment vertical="top" shrinkToFit="1"/>
    </xf>
    <xf numFmtId="180" fontId="25" fillId="0" borderId="71" xfId="48" applyNumberFormat="1" applyFont="1" applyFill="1" applyBorder="1" applyAlignment="1" applyProtection="1">
      <alignment horizontal="right" vertical="top" shrinkToFit="1"/>
    </xf>
    <xf numFmtId="10" fontId="25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60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9" fillId="20" borderId="0" xfId="0" applyFont="1" applyFill="1" applyAlignment="1">
      <alignment vertical="center"/>
    </xf>
    <xf numFmtId="0" fontId="20" fillId="20" borderId="0" xfId="0" applyFont="1" applyFill="1" applyAlignment="1">
      <alignment horizontal="center" vertical="top"/>
    </xf>
    <xf numFmtId="0" fontId="20" fillId="20" borderId="0" xfId="0" applyFont="1" applyFill="1" applyAlignment="1">
      <alignment vertical="top"/>
    </xf>
    <xf numFmtId="0" fontId="59" fillId="21" borderId="88" xfId="30" applyFont="1" applyFill="1" applyBorder="1" applyAlignment="1">
      <alignment horizontal="center" vertical="center"/>
    </xf>
    <xf numFmtId="0" fontId="18" fillId="22" borderId="88" xfId="30" applyFont="1" applyFill="1" applyBorder="1" applyAlignment="1">
      <alignment horizontal="center" vertical="center"/>
    </xf>
    <xf numFmtId="0" fontId="24" fillId="22" borderId="88" xfId="30" applyFont="1" applyFill="1" applyBorder="1" applyAlignment="1">
      <alignment horizontal="center" vertical="center"/>
    </xf>
    <xf numFmtId="0" fontId="58" fillId="22" borderId="88" xfId="30" applyFont="1" applyFill="1" applyBorder="1" applyAlignment="1">
      <alignment horizontal="center" vertical="center"/>
    </xf>
    <xf numFmtId="0" fontId="60" fillId="0" borderId="0" xfId="0" applyFont="1" applyAlignment="1" applyProtection="1">
      <alignment horizontal="center" vertical="center"/>
      <protection locked="0"/>
    </xf>
    <xf numFmtId="0" fontId="18" fillId="23" borderId="88" xfId="30" applyFont="1" applyFill="1" applyBorder="1" applyAlignment="1">
      <alignment horizontal="center" vertical="center"/>
    </xf>
    <xf numFmtId="0" fontId="58" fillId="23" borderId="88" xfId="30" applyFont="1" applyFill="1" applyBorder="1" applyAlignment="1">
      <alignment horizontal="center" vertical="center"/>
    </xf>
    <xf numFmtId="0" fontId="25" fillId="24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58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5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60" fillId="0" borderId="0" xfId="0" applyFont="1"/>
    <xf numFmtId="0" fontId="0" fillId="0" borderId="45" xfId="0" applyBorder="1"/>
    <xf numFmtId="0" fontId="48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5" fillId="6" borderId="14" xfId="0" applyFont="1" applyFill="1" applyBorder="1" applyAlignment="1" applyProtection="1">
      <alignment horizontal="center" vertical="center" wrapText="1"/>
      <protection locked="0"/>
    </xf>
    <xf numFmtId="0" fontId="25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2" fillId="17" borderId="32" xfId="48" applyFont="1" applyFill="1" applyBorder="1" applyAlignment="1" applyProtection="1">
      <alignment horizontal="center" vertical="center" shrinkToFit="1"/>
    </xf>
    <xf numFmtId="0" fontId="43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5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7" fillId="28" borderId="45" xfId="34" applyFont="1" applyFill="1" applyBorder="1"/>
    <xf numFmtId="0" fontId="47" fillId="26" borderId="0" xfId="34" applyFont="1" applyFill="1"/>
    <xf numFmtId="0" fontId="47" fillId="27" borderId="32" xfId="34" applyFont="1" applyFill="1" applyBorder="1" applyAlignment="1">
      <alignment horizontal="center"/>
    </xf>
    <xf numFmtId="0" fontId="47" fillId="27" borderId="13" xfId="34" applyFont="1" applyFill="1" applyBorder="1"/>
    <xf numFmtId="0" fontId="47" fillId="27" borderId="45" xfId="34" applyFont="1" applyFill="1" applyBorder="1"/>
    <xf numFmtId="0" fontId="47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7" fillId="27" borderId="46" xfId="34" applyFont="1" applyFill="1" applyBorder="1"/>
    <xf numFmtId="0" fontId="47" fillId="26" borderId="13" xfId="34" applyFont="1" applyFill="1" applyBorder="1" applyAlignment="1">
      <alignment horizontal="center"/>
    </xf>
    <xf numFmtId="0" fontId="47" fillId="26" borderId="46" xfId="34" applyFont="1" applyFill="1" applyBorder="1" applyAlignment="1">
      <alignment horizontal="center"/>
    </xf>
    <xf numFmtId="0" fontId="47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5" fillId="17" borderId="74" xfId="48" applyNumberFormat="1" applyFont="1" applyFill="1" applyBorder="1" applyAlignment="1" applyProtection="1">
      <alignment horizontal="center" vertical="center"/>
    </xf>
    <xf numFmtId="171" fontId="25" fillId="17" borderId="74" xfId="48" applyFont="1" applyFill="1" applyBorder="1" applyAlignment="1" applyProtection="1">
      <alignment horizontal="center" vertical="center"/>
    </xf>
    <xf numFmtId="10" fontId="25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8" fillId="0" borderId="100" xfId="38" applyNumberFormat="1" applyFont="1" applyFill="1" applyBorder="1" applyAlignment="1" applyProtection="1">
      <alignment horizontal="center"/>
      <protection locked="0"/>
    </xf>
    <xf numFmtId="0" fontId="31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5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5" fillId="17" borderId="30" xfId="0" applyNumberFormat="1" applyFont="1" applyFill="1" applyBorder="1" applyAlignment="1">
      <alignment horizontal="center" vertical="center"/>
    </xf>
    <xf numFmtId="171" fontId="25" fillId="17" borderId="30" xfId="48" applyFont="1" applyFill="1" applyBorder="1" applyAlignment="1" applyProtection="1">
      <alignment horizontal="center" vertical="center"/>
    </xf>
    <xf numFmtId="171" fontId="25" fillId="17" borderId="29" xfId="48" applyFont="1" applyFill="1" applyBorder="1" applyAlignment="1" applyProtection="1">
      <alignment horizontal="center" vertical="center" shrinkToFit="1"/>
    </xf>
    <xf numFmtId="1" fontId="62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8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7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5" fillId="17" borderId="32" xfId="0" applyNumberFormat="1" applyFont="1" applyFill="1" applyBorder="1" applyAlignment="1">
      <alignment horizontal="left" vertical="center"/>
    </xf>
    <xf numFmtId="0" fontId="29" fillId="0" borderId="105" xfId="0" applyFont="1" applyBorder="1"/>
    <xf numFmtId="0" fontId="28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5" fillId="17" borderId="71" xfId="48" applyFont="1" applyFill="1" applyBorder="1" applyAlignment="1" applyProtection="1">
      <alignment horizontal="center" vertical="center" shrinkToFit="1"/>
    </xf>
    <xf numFmtId="171" fontId="25" fillId="17" borderId="75" xfId="48" applyFont="1" applyFill="1" applyBorder="1" applyAlignment="1" applyProtection="1">
      <alignment horizontal="center" vertical="center"/>
    </xf>
    <xf numFmtId="10" fontId="64" fillId="0" borderId="106" xfId="38" applyNumberFormat="1" applyFont="1" applyFill="1" applyBorder="1" applyAlignment="1" applyProtection="1">
      <alignment horizontal="center"/>
      <protection locked="0"/>
    </xf>
    <xf numFmtId="10" fontId="64" fillId="0" borderId="107" xfId="38" applyNumberFormat="1" applyFont="1" applyFill="1" applyBorder="1" applyAlignment="1" applyProtection="1">
      <alignment horizontal="center"/>
      <protection locked="0"/>
    </xf>
    <xf numFmtId="10" fontId="64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19" fillId="0" borderId="32" xfId="0" applyFont="1" applyBorder="1" applyAlignment="1">
      <alignment horizontal="center" vertical="center"/>
    </xf>
    <xf numFmtId="0" fontId="20" fillId="20" borderId="0" xfId="0" applyFont="1" applyFill="1" applyAlignment="1">
      <alignment horizontal="center" vertical="center"/>
    </xf>
    <xf numFmtId="0" fontId="13" fillId="0" borderId="111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/>
    </xf>
    <xf numFmtId="0" fontId="0" fillId="0" borderId="10" xfId="33" applyFont="1" applyBorder="1" applyAlignment="1">
      <alignment horizontal="left" vertical="center"/>
    </xf>
    <xf numFmtId="0" fontId="9" fillId="0" borderId="32" xfId="33" applyFont="1" applyBorder="1" applyAlignment="1">
      <alignment horizontal="left" vertical="center" wrapText="1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5" fillId="0" borderId="0" xfId="33" applyFont="1" applyAlignment="1">
      <alignment horizontal="left" vertical="center"/>
    </xf>
    <xf numFmtId="0" fontId="18" fillId="0" borderId="0" xfId="33" applyFont="1" applyAlignment="1">
      <alignment horizontal="left" vertical="center"/>
    </xf>
    <xf numFmtId="0" fontId="34" fillId="0" borderId="0" xfId="0" applyFont="1" applyAlignment="1">
      <alignment horizontal="center" vertical="top"/>
    </xf>
    <xf numFmtId="0" fontId="0" fillId="0" borderId="32" xfId="33" applyFont="1" applyBorder="1" applyAlignment="1">
      <alignment horizontal="center" vertical="center" wrapText="1"/>
    </xf>
    <xf numFmtId="4" fontId="18" fillId="0" borderId="32" xfId="33" applyNumberFormat="1" applyFont="1" applyBorder="1" applyAlignment="1">
      <alignment horizontal="center" vertical="center"/>
    </xf>
    <xf numFmtId="4" fontId="18" fillId="0" borderId="32" xfId="33" applyNumberFormat="1" applyFont="1" applyBorder="1" applyAlignment="1">
      <alignment horizontal="center" vertical="center" wrapText="1"/>
    </xf>
    <xf numFmtId="0" fontId="31" fillId="8" borderId="32" xfId="33" applyFont="1" applyFill="1" applyBorder="1" applyAlignment="1">
      <alignment horizontal="center" vertical="center" wrapText="1"/>
    </xf>
    <xf numFmtId="0" fontId="33" fillId="0" borderId="0" xfId="33" applyFont="1" applyAlignment="1">
      <alignment horizontal="left" vertical="center" indent="1"/>
    </xf>
    <xf numFmtId="0" fontId="40" fillId="0" borderId="0" xfId="0" applyFont="1" applyAlignment="1">
      <alignment horizontal="center" textRotation="90"/>
    </xf>
    <xf numFmtId="0" fontId="0" fillId="0" borderId="0" xfId="33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 vertical="center"/>
    </xf>
    <xf numFmtId="0" fontId="25" fillId="0" borderId="32" xfId="33" applyFont="1" applyBorder="1" applyAlignment="1">
      <alignment horizontal="center" vertical="center"/>
    </xf>
    <xf numFmtId="0" fontId="18" fillId="0" borderId="32" xfId="33" applyFont="1" applyBorder="1" applyAlignment="1">
      <alignment horizontal="center" vertical="center"/>
    </xf>
    <xf numFmtId="0" fontId="25" fillId="0" borderId="31" xfId="35" applyFont="1" applyBorder="1" applyAlignment="1">
      <alignment horizontal="left" vertical="top"/>
    </xf>
    <xf numFmtId="164" fontId="9" fillId="16" borderId="14" xfId="32" applyFont="1" applyFill="1" applyBorder="1" applyAlignment="1" applyProtection="1">
      <alignment horizontal="left"/>
      <protection locked="0"/>
    </xf>
    <xf numFmtId="0" fontId="24" fillId="0" borderId="32" xfId="33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9" fillId="0" borderId="32" xfId="33" applyFont="1" applyBorder="1" applyAlignment="1">
      <alignment horizontal="left"/>
    </xf>
    <xf numFmtId="10" fontId="9" fillId="6" borderId="32" xfId="33" applyNumberFormat="1" applyFont="1" applyFill="1" applyBorder="1" applyAlignment="1" applyProtection="1">
      <alignment horizontal="center"/>
      <protection locked="0"/>
    </xf>
    <xf numFmtId="0" fontId="9" fillId="0" borderId="14" xfId="32" applyNumberFormat="1" applyFont="1" applyFill="1" applyBorder="1" applyAlignment="1" applyProtection="1">
      <alignment horizontal="left" wrapText="1"/>
    </xf>
    <xf numFmtId="0" fontId="9" fillId="0" borderId="32" xfId="33" applyFont="1" applyBorder="1" applyAlignment="1">
      <alignment horizontal="left" wrapText="1"/>
    </xf>
    <xf numFmtId="0" fontId="0" fillId="0" borderId="32" xfId="0" applyBorder="1" applyAlignment="1">
      <alignment horizontal="center"/>
    </xf>
    <xf numFmtId="0" fontId="25" fillId="0" borderId="33" xfId="35" applyFont="1" applyBorder="1" applyAlignment="1">
      <alignment horizontal="left" vertical="top"/>
    </xf>
    <xf numFmtId="0" fontId="63" fillId="0" borderId="0" xfId="0" applyFont="1" applyAlignment="1">
      <alignment horizontal="center" textRotation="90" wrapText="1"/>
    </xf>
    <xf numFmtId="0" fontId="25" fillId="0" borderId="12" xfId="0" applyFont="1" applyBorder="1" applyAlignment="1">
      <alignment horizontal="center"/>
    </xf>
    <xf numFmtId="0" fontId="40" fillId="0" borderId="0" xfId="0" applyFont="1" applyAlignment="1">
      <alignment horizontal="center" textRotation="90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186" fontId="0" fillId="0" borderId="0" xfId="0" applyNumberFormat="1" applyAlignment="1">
      <alignment horizontal="left"/>
    </xf>
    <xf numFmtId="0" fontId="25" fillId="17" borderId="13" xfId="0" applyFont="1" applyFill="1" applyBorder="1" applyAlignment="1">
      <alignment horizontal="left" vertical="center" wrapText="1"/>
    </xf>
    <xf numFmtId="0" fontId="31" fillId="0" borderId="32" xfId="0" applyFont="1" applyBorder="1" applyAlignment="1" applyProtection="1">
      <alignment horizontal="left" vertical="center"/>
      <protection locked="0"/>
    </xf>
    <xf numFmtId="0" fontId="31" fillId="6" borderId="14" xfId="0" applyFont="1" applyFill="1" applyBorder="1" applyAlignment="1" applyProtection="1">
      <alignment horizontal="left" vertical="top" wrapText="1"/>
      <protection locked="0"/>
    </xf>
    <xf numFmtId="0" fontId="18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25" fillId="17" borderId="32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center" indent="10"/>
    </xf>
    <xf numFmtId="0" fontId="38" fillId="0" borderId="0" xfId="0" applyFont="1" applyAlignment="1">
      <alignment horizontal="left" vertical="center" indent="10"/>
    </xf>
    <xf numFmtId="0" fontId="47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2" fillId="0" borderId="0" xfId="0" applyFont="1" applyAlignment="1">
      <alignment horizontal="left" vertical="top" wrapText="1"/>
    </xf>
    <xf numFmtId="0" fontId="13" fillId="0" borderId="32" xfId="0" applyFont="1" applyBorder="1"/>
    <xf numFmtId="0" fontId="47" fillId="18" borderId="32" xfId="0" applyFont="1" applyFill="1" applyBorder="1" applyAlignment="1">
      <alignment horizontal="left" vertical="center"/>
    </xf>
    <xf numFmtId="186" fontId="0" fillId="0" borderId="30" xfId="0" applyNumberFormat="1" applyBorder="1" applyAlignment="1">
      <alignment horizontal="left"/>
    </xf>
    <xf numFmtId="0" fontId="47" fillId="0" borderId="47" xfId="34" applyFont="1" applyBorder="1" applyAlignment="1">
      <alignment horizontal="left"/>
    </xf>
    <xf numFmtId="165" fontId="25" fillId="0" borderId="46" xfId="49" applyFont="1" applyFill="1" applyBorder="1" applyAlignment="1" applyProtection="1">
      <alignment horizontal="center" vertical="center" wrapText="1"/>
    </xf>
    <xf numFmtId="173" fontId="25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47" fillId="0" borderId="14" xfId="34" applyFont="1" applyBorder="1" applyAlignment="1">
      <alignment horizontal="left"/>
    </xf>
    <xf numFmtId="0" fontId="23" fillId="0" borderId="30" xfId="34" applyFont="1" applyBorder="1" applyAlignment="1">
      <alignment horizontal="center" vertical="center" wrapText="1"/>
    </xf>
    <xf numFmtId="0" fontId="47" fillId="0" borderId="0" xfId="34" applyFont="1" applyAlignment="1">
      <alignment horizontal="center" wrapText="1"/>
    </xf>
    <xf numFmtId="0" fontId="51" fillId="0" borderId="11" xfId="34" applyFont="1" applyBorder="1" applyAlignment="1">
      <alignment horizontal="left" vertical="top"/>
    </xf>
    <xf numFmtId="0" fontId="47" fillId="0" borderId="32" xfId="34" applyFont="1" applyBorder="1" applyAlignment="1">
      <alignment horizontal="center" wrapText="1"/>
    </xf>
    <xf numFmtId="0" fontId="50" fillId="0" borderId="13" xfId="34" applyFont="1" applyBorder="1" applyAlignment="1">
      <alignment horizontal="center" vertical="center" wrapText="1"/>
    </xf>
    <xf numFmtId="0" fontId="50" fillId="0" borderId="45" xfId="34" applyFont="1" applyBorder="1" applyAlignment="1">
      <alignment horizontal="left" vertical="center" wrapText="1"/>
    </xf>
    <xf numFmtId="0" fontId="25" fillId="8" borderId="1" xfId="0" applyFont="1" applyFill="1" applyBorder="1" applyAlignment="1">
      <alignment horizontal="center" wrapText="1"/>
    </xf>
    <xf numFmtId="176" fontId="25" fillId="8" borderId="32" xfId="0" applyNumberFormat="1" applyFont="1" applyFill="1" applyBorder="1" applyAlignment="1">
      <alignment horizontal="center" shrinkToFit="1"/>
    </xf>
    <xf numFmtId="10" fontId="57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0" borderId="40" xfId="0" applyBorder="1" applyAlignment="1">
      <alignment horizontal="left"/>
    </xf>
    <xf numFmtId="0" fontId="25" fillId="0" borderId="32" xfId="0" applyFont="1" applyBorder="1" applyAlignment="1">
      <alignment horizontal="right" vertical="center"/>
    </xf>
    <xf numFmtId="177" fontId="57" fillId="0" borderId="30" xfId="48" applyNumberFormat="1" applyFill="1" applyBorder="1" applyAlignment="1" applyProtection="1">
      <alignment horizontal="center" shrinkToFit="1"/>
    </xf>
    <xf numFmtId="177" fontId="57" fillId="0" borderId="14" xfId="48" applyNumberFormat="1" applyFill="1" applyBorder="1" applyAlignment="1" applyProtection="1">
      <alignment horizontal="center" shrinkToFit="1"/>
    </xf>
    <xf numFmtId="10" fontId="57" fillId="0" borderId="34" xfId="37" applyNumberFormat="1" applyFill="1" applyBorder="1" applyAlignment="1" applyProtection="1">
      <alignment horizontal="center"/>
    </xf>
    <xf numFmtId="10" fontId="57" fillId="0" borderId="10" xfId="37" applyNumberFormat="1" applyFill="1" applyBorder="1" applyAlignment="1" applyProtection="1">
      <alignment horizontal="center"/>
    </xf>
    <xf numFmtId="10" fontId="57" fillId="0" borderId="31" xfId="37" applyNumberFormat="1" applyFill="1" applyBorder="1" applyAlignment="1" applyProtection="1">
      <alignment horizontal="center"/>
    </xf>
    <xf numFmtId="10" fontId="57" fillId="0" borderId="0" xfId="37" applyNumberFormat="1" applyFill="1" applyBorder="1" applyAlignment="1" applyProtection="1">
      <alignment horizontal="center"/>
    </xf>
    <xf numFmtId="10" fontId="57" fillId="0" borderId="33" xfId="37" applyNumberFormat="1" applyFill="1" applyBorder="1" applyAlignment="1" applyProtection="1">
      <alignment horizontal="center"/>
    </xf>
    <xf numFmtId="177" fontId="57" fillId="0" borderId="47" xfId="48" applyNumberFormat="1" applyFill="1" applyBorder="1" applyAlignment="1" applyProtection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0" fontId="25" fillId="8" borderId="32" xfId="0" applyFont="1" applyFill="1" applyBorder="1" applyAlignment="1">
      <alignment horizontal="center"/>
    </xf>
    <xf numFmtId="0" fontId="0" fillId="18" borderId="40" xfId="0" applyFill="1" applyBorder="1"/>
    <xf numFmtId="0" fontId="50" fillId="0" borderId="31" xfId="34" applyFont="1" applyBorder="1" applyAlignment="1">
      <alignment horizontal="center"/>
    </xf>
    <xf numFmtId="0" fontId="61" fillId="0" borderId="112" xfId="0" applyFont="1" applyBorder="1" applyAlignment="1">
      <alignment horizontal="center" vertical="top" wrapText="1"/>
    </xf>
    <xf numFmtId="0" fontId="24" fillId="6" borderId="14" xfId="0" applyFont="1" applyFill="1" applyBorder="1" applyAlignment="1" applyProtection="1">
      <alignment horizontal="center"/>
      <protection locked="0"/>
    </xf>
    <xf numFmtId="0" fontId="24" fillId="0" borderId="14" xfId="0" applyFont="1" applyBorder="1" applyAlignment="1">
      <alignment horizontal="center"/>
    </xf>
    <xf numFmtId="0" fontId="47" fillId="0" borderId="14" xfId="34" applyFont="1" applyBorder="1" applyAlignment="1">
      <alignment horizontal="center"/>
    </xf>
    <xf numFmtId="10" fontId="24" fillId="0" borderId="14" xfId="37" applyNumberFormat="1" applyFont="1" applyFill="1" applyBorder="1" applyAlignment="1" applyProtection="1">
      <alignment horizontal="center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5" fillId="8" borderId="46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 wrapText="1"/>
    </xf>
    <xf numFmtId="0" fontId="54" fillId="0" borderId="13" xfId="0" applyFont="1" applyBorder="1" applyAlignment="1">
      <alignment horizontal="center" vertical="center" wrapText="1"/>
    </xf>
    <xf numFmtId="4" fontId="25" fillId="0" borderId="33" xfId="0" applyNumberFormat="1" applyFont="1" applyBorder="1" applyAlignment="1">
      <alignment horizontal="left"/>
    </xf>
    <xf numFmtId="0" fontId="25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8" fillId="0" borderId="30" xfId="33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171" fontId="25" fillId="8" borderId="14" xfId="48" applyFont="1" applyFill="1" applyBorder="1" applyAlignment="1" applyProtection="1">
      <alignment horizontal="center" vertical="center" shrinkToFit="1"/>
    </xf>
    <xf numFmtId="0" fontId="31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5" fillId="17" borderId="47" xfId="0" applyFont="1" applyFill="1" applyBorder="1" applyAlignment="1">
      <alignment horizontal="left" vertical="center" wrapText="1"/>
    </xf>
    <xf numFmtId="0" fontId="24" fillId="6" borderId="33" xfId="0" applyFont="1" applyFill="1" applyBorder="1" applyAlignment="1">
      <alignment horizontal="left"/>
    </xf>
    <xf numFmtId="0" fontId="32" fillId="0" borderId="0" xfId="0" applyFont="1" applyAlignment="1">
      <alignment horizontal="right" vertical="center" wrapText="1"/>
    </xf>
    <xf numFmtId="165" fontId="24" fillId="0" borderId="0" xfId="0" applyNumberFormat="1" applyFont="1" applyAlignment="1">
      <alignment horizontal="right" vertical="top"/>
    </xf>
    <xf numFmtId="0" fontId="0" fillId="0" borderId="14" xfId="0" applyBorder="1" applyAlignment="1">
      <alignment horizontal="center"/>
    </xf>
    <xf numFmtId="0" fontId="25" fillId="0" borderId="33" xfId="35" applyFont="1" applyBorder="1" applyAlignment="1">
      <alignment horizontal="center"/>
    </xf>
    <xf numFmtId="0" fontId="25" fillId="0" borderId="0" xfId="35" applyFont="1" applyAlignment="1">
      <alignment horizontal="center"/>
    </xf>
    <xf numFmtId="0" fontId="25" fillId="0" borderId="12" xfId="35" applyFont="1" applyBorder="1" applyAlignment="1">
      <alignment horizontal="center"/>
    </xf>
    <xf numFmtId="0" fontId="31" fillId="6" borderId="33" xfId="0" applyFont="1" applyFill="1" applyBorder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left" vertical="top" wrapText="1"/>
      <protection locked="0"/>
    </xf>
    <xf numFmtId="0" fontId="31" fillId="6" borderId="12" xfId="0" applyFont="1" applyFill="1" applyBorder="1" applyAlignment="1" applyProtection="1">
      <alignment horizontal="left" vertical="top" wrapText="1"/>
      <protection locked="0"/>
    </xf>
    <xf numFmtId="0" fontId="31" fillId="6" borderId="47" xfId="0" applyFont="1" applyFill="1" applyBorder="1" applyAlignment="1" applyProtection="1">
      <alignment horizontal="left" vertical="top" wrapText="1"/>
      <protection locked="0"/>
    </xf>
    <xf numFmtId="0" fontId="31" fillId="6" borderId="30" xfId="0" applyFont="1" applyFill="1" applyBorder="1" applyAlignment="1" applyProtection="1">
      <alignment horizontal="left" vertical="top" wrapText="1"/>
      <protection locked="0"/>
    </xf>
    <xf numFmtId="0" fontId="31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5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8" fillId="8" borderId="32" xfId="0" applyFont="1" applyFill="1" applyBorder="1" applyAlignment="1">
      <alignment horizontal="center" vertical="center"/>
    </xf>
    <xf numFmtId="0" fontId="18" fillId="8" borderId="4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right"/>
    </xf>
    <xf numFmtId="0" fontId="25" fillId="0" borderId="32" xfId="0" applyFont="1" applyBorder="1" applyAlignment="1">
      <alignment horizontal="center"/>
    </xf>
    <xf numFmtId="0" fontId="25" fillId="0" borderId="64" xfId="0" applyFont="1" applyBorder="1" applyAlignment="1">
      <alignment horizontal="center"/>
    </xf>
    <xf numFmtId="0" fontId="25" fillId="0" borderId="32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left"/>
    </xf>
    <xf numFmtId="0" fontId="25" fillId="0" borderId="34" xfId="0" applyFont="1" applyBorder="1" applyAlignment="1">
      <alignment horizontal="center"/>
    </xf>
    <xf numFmtId="0" fontId="54" fillId="0" borderId="32" xfId="0" applyFont="1" applyBorder="1" applyAlignment="1">
      <alignment horizontal="center" vertical="center" wrapText="1"/>
    </xf>
    <xf numFmtId="4" fontId="25" fillId="0" borderId="31" xfId="0" applyNumberFormat="1" applyFont="1" applyBorder="1" applyAlignment="1">
      <alignment horizontal="left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39" xfId="33" applyFont="1" applyBorder="1" applyAlignment="1">
      <alignment horizontal="right"/>
    </xf>
    <xf numFmtId="180" fontId="25" fillId="0" borderId="41" xfId="48" applyNumberFormat="1" applyFont="1" applyFill="1" applyBorder="1" applyAlignment="1" applyProtection="1">
      <alignment vertical="top" shrinkToFit="1"/>
    </xf>
    <xf numFmtId="0" fontId="0" fillId="0" borderId="74" xfId="33" applyFont="1" applyBorder="1" applyAlignment="1">
      <alignment horizontal="right"/>
    </xf>
    <xf numFmtId="10" fontId="25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25" fillId="8" borderId="113" xfId="0" applyFont="1" applyFill="1" applyBorder="1" applyAlignment="1">
      <alignment horizontal="center" vertical="center" wrapText="1"/>
    </xf>
    <xf numFmtId="0" fontId="25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center"/>
    </xf>
    <xf numFmtId="171" fontId="25" fillId="8" borderId="115" xfId="48" applyFont="1" applyFill="1" applyBorder="1" applyAlignment="1" applyProtection="1">
      <alignment horizontal="center" vertical="center"/>
    </xf>
    <xf numFmtId="171" fontId="25" fillId="8" borderId="116" xfId="48" applyFont="1" applyFill="1" applyBorder="1" applyAlignment="1" applyProtection="1">
      <alignment horizontal="center" vertical="center"/>
    </xf>
    <xf numFmtId="0" fontId="25" fillId="8" borderId="117" xfId="0" applyFont="1" applyFill="1" applyBorder="1" applyAlignment="1">
      <alignment horizontal="center" vertical="center" wrapText="1"/>
    </xf>
    <xf numFmtId="0" fontId="25" fillId="8" borderId="87" xfId="0" applyFont="1" applyFill="1" applyBorder="1" applyAlignment="1">
      <alignment horizontal="center" vertical="center" wrapText="1"/>
    </xf>
  </cellXfs>
  <cellStyles count="51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/>
    <cellStyle name="Normal" xfId="0" builtinId="0"/>
    <cellStyle name="Normal 18" xfId="50"/>
    <cellStyle name="Normal 2" xfId="33"/>
    <cellStyle name="Normal 3" xfId="34"/>
    <cellStyle name="Normal_FICHA DE VERIFICAÇÃO PRELIMINAR - Plano R" xfId="35"/>
    <cellStyle name="Nota" xfId="36" builtinId="10" customBuiltin="1"/>
    <cellStyle name="Porcentagem" xfId="37" builtinId="5"/>
    <cellStyle name="Porcentagem 2" xfId="38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/>
    <cellStyle name="Total" xfId="47" builtinId="25" customBuiltin="1"/>
    <cellStyle name="Vírgula" xfId="48" builtinId="3"/>
    <cellStyle name="Vírgula 2" xfId="49"/>
  </cellStyles>
  <dxfs count="1749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1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2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49"/>
              <a:ext cx="1257300" cy="483870"/>
              <a:chOff x="523876" y="971529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29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49"/>
              <a:ext cx="1230630" cy="483870"/>
              <a:chOff x="1790701" y="971529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29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5"/>
  <dimension ref="A1:O25"/>
  <sheetViews>
    <sheetView showGridLines="0" zoomScaleNormal="100" zoomScaleSheetLayoutView="85" workbookViewId="0">
      <selection activeCell="C18" sqref="C18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437</v>
      </c>
    </row>
    <row r="3" spans="1:15" ht="22.5" customHeight="1" x14ac:dyDescent="0.2">
      <c r="A3" s="454"/>
      <c r="B3" s="456"/>
      <c r="C3" s="456"/>
      <c r="D3" s="456"/>
      <c r="E3" s="577"/>
      <c r="F3" s="577"/>
      <c r="G3" s="577"/>
      <c r="H3" s="458"/>
      <c r="I3" s="456"/>
      <c r="O3" s="463">
        <v>2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1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6" t="str">
        <f>IF($O$3&lt;&gt;2,"DOCUMENTAÇÃO DA PROPOSTA","PROPOSTA: Para visualizar/preencher esta seção, altere o TIPO DE ORÇAMENTO para 'Proposto'")</f>
        <v>PROPOSTA: Para visualizar/preencher esta seção, altere o TIPO DE ORÇAMENTO para 'Proposto'</v>
      </c>
      <c r="C8" s="576"/>
      <c r="D8" s="576"/>
      <c r="E8" s="576"/>
      <c r="F8" s="576"/>
      <c r="G8" s="576"/>
      <c r="H8" s="576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/>
      </c>
      <c r="D10" s="455"/>
      <c r="E10" s="462" t="str">
        <f>IF(TIPOORCAMENTO&lt;&gt;"Proposto","","             ORÇAMENTO             ")</f>
        <v/>
      </c>
      <c r="F10" s="455"/>
      <c r="G10" s="461" t="str">
        <f>IF(TIPOORCAMENTO&lt;&gt;"Proposto","","MEMÓRIA DE CÁLCULO / PLQ")</f>
        <v/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/>
      </c>
      <c r="D12" s="455"/>
      <c r="E12" s="460" t="str">
        <f>IF(TIPOORCAMENTO&lt;&gt;"Proposto","","CRONOGRAMA FÍSICO-FINANCEIRO")</f>
        <v/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>IF(TIPOORCAMENTO&lt;&gt;"Proposto","","Obs: Composições e Cotações devem ser preenchidas diretamente no arquivo Referência "&amp;IF(ISBLANK(Import.DataBase),"mm-aaaa",TEXT(Import.DataBase,"mm-aaaa"))&amp;".xlsm.")</f>
        <v/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6" t="str">
        <f>IF($O$3&lt;&gt;2,"PÓS-LICITADO: Para visualizar/preencher esta seção, altere o TIPO DE ORÇAMENTO para 'Licitado'","RESULTADO DO PROCESSO LICITATÓRIO")</f>
        <v>RESULTADO DO PROCESSO LICITATÓRIO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 xml:space="preserve">             ORÇAMENTO             </v>
      </c>
      <c r="D18" s="455"/>
      <c r="E18" s="465" t="str">
        <f>IF(TIPOORCAMENTO&lt;&gt;"Licitado","","                    QCI                    ")</f>
        <v xml:space="preserve">                    QCI                    </v>
      </c>
      <c r="F18" s="455"/>
      <c r="G18" s="464" t="str">
        <f>IF(TIPOORCAMENTO&lt;&gt;"Licitado","","CRONOGRAMA FÍSICO-FINANCEIRO")</f>
        <v>CRONOGRAMA FÍSICO-FINANCEIRO</v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6" t="str">
        <f>IF($O$3&lt;&gt;2,"ACOMPANHAMENTO: Para visualizar/preencher esta seção, altere o TIPO DE ORÇAMENTO para 'Licitado'","ACOMPANHAMENTO DO EMPREENDIMENTO")</f>
        <v>ACOMPANHAMENTO DO EMPREENDIMENTO</v>
      </c>
      <c r="C20" s="576"/>
      <c r="D20" s="576"/>
      <c r="E20" s="576"/>
      <c r="F20" s="576"/>
      <c r="G20" s="576"/>
      <c r="H20" s="576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>PLAN. DE LEVANT. DE EVENTOS - PLE</v>
      </c>
      <c r="D22" s="455"/>
      <c r="E22" s="468" t="str">
        <f>IF(TIPOORCAMENTO&lt;&gt;"Licitado","","                    RRE                    ")</f>
        <v xml:space="preserve">                    RRE                    </v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>OF. DE SOLICITAÇÃO DE DESBLOQUEIO</v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9" type="noConversion"/>
  <conditionalFormatting sqref="C10:G14">
    <cfRule type="expression" dxfId="1748" priority="70" stopIfTrue="1">
      <formula>TIPOORCAMENTO="Licitado"</formula>
    </cfRule>
  </conditionalFormatting>
  <conditionalFormatting sqref="C18:G18 E22:E24">
    <cfRule type="expression" dxfId="1747" priority="71" stopIfTrue="1">
      <formula>TIPOORCAMENTO&lt;&gt;"Licitado"</formula>
    </cfRule>
  </conditionalFormatting>
  <conditionalFormatting sqref="C22">
    <cfRule type="expression" dxfId="1746" priority="73" stopIfTrue="1">
      <formula>OR(TIPOORCAMENTO&lt;&gt;"Licitado",ACOMPANHAMENTO&lt;&gt;"PLE")</formula>
    </cfRule>
  </conditionalFormatting>
  <conditionalFormatting sqref="G22">
    <cfRule type="expression" dxfId="1745" priority="74" stopIfTrue="1">
      <formula>OR(TIPOORCAMENTO&lt;&gt;"Licitado",ACOMPANHAMENTO&lt;&gt;"BM")</formula>
    </cfRule>
  </conditionalFormatting>
  <conditionalFormatting sqref="B16:H16 B20:H20">
    <cfRule type="expression" dxfId="1744" priority="599" stopIfTrue="1">
      <formula>$O$3&lt;&gt;2</formula>
    </cfRule>
  </conditionalFormatting>
  <conditionalFormatting sqref="B8:H8">
    <cfRule type="expression" dxfId="1743" priority="601" stopIfTrue="1">
      <formula>$O$3&lt;&gt;1</formula>
    </cfRule>
  </conditionalFormatting>
  <hyperlinks>
    <hyperlink ref="E6" location="DADOS!E3" display="DADOS DO CONTRATO"/>
    <hyperlink ref="G6" location="Novo!A1" display="NOVIDADES DA VERSÃO"/>
    <hyperlink ref="C10" location="BDI!Q11" display="BDI!Q11"/>
    <hyperlink ref="E10" location="ORÇAMENTO!M13" display="ORÇAMENTO"/>
    <hyperlink ref="G10" location="CÁLCULO!D13" display="MEMÓRIA DE CÁLCULO / PLQ"/>
    <hyperlink ref="E12" location="CRONO!G12" display="CRONOGRAMA FÍSICO-FINANCEIRO"/>
    <hyperlink ref="C18" location="ORÇAMENTO!AM15" display="             ORÇAMENTO             "/>
    <hyperlink ref="E18" location="QCI!D13" display="                    QCI                    "/>
    <hyperlink ref="G18" location="CRONO!G12" display="CRONOGRAMA FÍSICO-FINANCEIRO"/>
    <hyperlink ref="C22" location="PLE!J8" display="PLAN. DE LEVANT. DE EVENTOS - PLE"/>
    <hyperlink ref="E22" location="RRE!E13" display="                    RRE                    "/>
    <hyperlink ref="G22" location="BM!D13" display="BM!D13"/>
    <hyperlink ref="E24" location="Ofício!C6" display="OF. DE SOLICITAÇÃO DE DESBLOQUEIO"/>
    <hyperlink ref="C12" location="QCI!D13" display="QCI!D13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>
    <pageSetUpPr fitToPage="1"/>
  </sheetPr>
  <dimension ref="E1:AR61"/>
  <sheetViews>
    <sheetView showGridLines="0" zoomScale="130" zoomScaleNormal="130" workbookViewId="0">
      <pane ySplit="2" topLeftCell="A22" activePane="bottomLeft" state="frozen"/>
      <selection pane="bottomLeft" activeCell="H23" sqref="H23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79" t="s">
        <v>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78" t="s">
        <v>25</v>
      </c>
      <c r="F3" s="57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446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447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448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 t="s">
        <v>1101</v>
      </c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440</v>
      </c>
      <c r="F8" s="19" t="s">
        <v>1102</v>
      </c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>
        <v>5945400.9800000004</v>
      </c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>
        <v>60054.559999999998</v>
      </c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>
        <v>0.01</v>
      </c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78" t="s">
        <v>102</v>
      </c>
      <c r="F15" s="578"/>
      <c r="J15" s="13" t="s">
        <v>20</v>
      </c>
    </row>
    <row r="16" spans="5:44" x14ac:dyDescent="0.2">
      <c r="E16" s="25" t="s">
        <v>103</v>
      </c>
      <c r="F16" s="26" t="s">
        <v>450</v>
      </c>
      <c r="J16" s="13" t="s">
        <v>21</v>
      </c>
    </row>
    <row r="17" spans="5:10" ht="25.5" x14ac:dyDescent="0.2">
      <c r="E17" s="18" t="s">
        <v>104</v>
      </c>
      <c r="F17" s="27" t="s">
        <v>449</v>
      </c>
      <c r="J17" s="13" t="s">
        <v>22</v>
      </c>
    </row>
    <row r="18" spans="5:10" x14ac:dyDescent="0.2">
      <c r="E18" s="18" t="s">
        <v>105</v>
      </c>
      <c r="F18" s="28" t="s">
        <v>1106</v>
      </c>
      <c r="J18" s="13" t="s">
        <v>23</v>
      </c>
    </row>
    <row r="19" spans="5:10" x14ac:dyDescent="0.2">
      <c r="E19" s="29" t="s">
        <v>106</v>
      </c>
      <c r="F19" s="30">
        <v>45444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78" t="s">
        <v>107</v>
      </c>
      <c r="F21" s="578"/>
      <c r="J21" s="13"/>
    </row>
    <row r="22" spans="5:10" x14ac:dyDescent="0.2">
      <c r="E22" s="16" t="s">
        <v>108</v>
      </c>
      <c r="F22" s="32" t="s">
        <v>451</v>
      </c>
    </row>
    <row r="23" spans="5:10" x14ac:dyDescent="0.2">
      <c r="E23" s="18" t="s">
        <v>109</v>
      </c>
      <c r="F23" s="19" t="s">
        <v>452</v>
      </c>
    </row>
    <row r="24" spans="5:10" x14ac:dyDescent="0.2">
      <c r="E24" s="18" t="s">
        <v>110</v>
      </c>
      <c r="F24" s="19"/>
    </row>
    <row r="25" spans="5:10" x14ac:dyDescent="0.2">
      <c r="E25" s="22" t="s">
        <v>111</v>
      </c>
      <c r="F25" s="33">
        <f ca="1">TODAY()</f>
        <v>45663</v>
      </c>
    </row>
    <row r="27" spans="5:10" ht="15" x14ac:dyDescent="0.2">
      <c r="E27" s="578" t="s">
        <v>112</v>
      </c>
      <c r="F27" s="578"/>
    </row>
    <row r="28" spans="5:10" x14ac:dyDescent="0.2">
      <c r="E28" s="14" t="s">
        <v>108</v>
      </c>
      <c r="F28" s="34" t="s">
        <v>453</v>
      </c>
    </row>
    <row r="29" spans="5:10" x14ac:dyDescent="0.2">
      <c r="E29" s="22" t="s">
        <v>113</v>
      </c>
      <c r="F29" s="35" t="s">
        <v>454</v>
      </c>
    </row>
    <row r="30" spans="5:10" ht="16.5" thickBot="1" x14ac:dyDescent="0.25">
      <c r="E30" s="8"/>
    </row>
    <row r="31" spans="5:10" ht="13.5" thickBot="1" x14ac:dyDescent="0.25">
      <c r="E31" s="573" t="s">
        <v>438</v>
      </c>
      <c r="F31" s="574" t="s">
        <v>455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78" t="s">
        <v>115</v>
      </c>
      <c r="F35" s="57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1105</v>
      </c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78" t="s">
        <v>123</v>
      </c>
      <c r="F46" s="578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>
        <f ca="1">TODAY()</f>
        <v>45663</v>
      </c>
    </row>
    <row r="49" spans="5:6" ht="15.75" x14ac:dyDescent="0.2">
      <c r="E49" s="8"/>
    </row>
    <row r="50" spans="5:6" ht="12.75" customHeight="1" x14ac:dyDescent="0.2">
      <c r="E50" s="578" t="s">
        <v>126</v>
      </c>
      <c r="F50" s="578"/>
    </row>
    <row r="51" spans="5:6" x14ac:dyDescent="0.2">
      <c r="E51" s="14" t="s">
        <v>108</v>
      </c>
      <c r="F51" s="39"/>
    </row>
    <row r="52" spans="5:6" x14ac:dyDescent="0.2">
      <c r="E52" s="18" t="s">
        <v>127</v>
      </c>
      <c r="F52" s="19"/>
    </row>
    <row r="53" spans="5:6" x14ac:dyDescent="0.2">
      <c r="E53" s="18" t="s">
        <v>128</v>
      </c>
      <c r="F53" s="19"/>
    </row>
    <row r="54" spans="5:6" x14ac:dyDescent="0.2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78" t="s">
        <v>131</v>
      </c>
      <c r="F59" s="57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9" type="noConversion"/>
  <conditionalFormatting sqref="E57:F58">
    <cfRule type="expression" dxfId="1742" priority="2" stopIfTrue="1">
      <formula>CAIXA.Modo=FALSE</formula>
    </cfRule>
  </conditionalFormatting>
  <conditionalFormatting sqref="E59:F61">
    <cfRule type="expression" dxfId="1741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>
      <formula1>36526</formula1>
      <formula2>72686</formula2>
    </dataValidation>
    <dataValidation type="list" allowBlank="1" showErrorMessage="1" sqref="F18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>
      <formula1>0</formula1>
      <formula2>1</formula2>
    </dataValidation>
    <dataValidation type="list" allowBlank="1" showErrorMessage="1" sqref="F4">
      <formula1>"(SELECIONAR),OGU,FGTS"</formula1>
      <formula2>0</formula2>
    </dataValidation>
    <dataValidation type="decimal" operator="greaterThan" allowBlank="1" showErrorMessage="1" error="Digite um valor maior do que 0." sqref="F12">
      <formula1>0</formula1>
      <formula2>0</formula2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411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414</v>
      </c>
    </row>
    <row r="13" spans="1:4" ht="15" x14ac:dyDescent="0.25">
      <c r="A13" s="4"/>
      <c r="B13" s="48" t="s">
        <v>412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415</v>
      </c>
    </row>
    <row r="15" spans="1:4" ht="15" x14ac:dyDescent="0.2">
      <c r="A15" s="476"/>
      <c r="C15" s="49" t="str">
        <f>IF(D15&lt;&gt;"","▪","")</f>
        <v>▪</v>
      </c>
      <c r="D15" s="3" t="s">
        <v>416</v>
      </c>
    </row>
    <row r="16" spans="1:4" x14ac:dyDescent="0.2">
      <c r="A16" s="480"/>
    </row>
    <row r="17" spans="1:4" ht="18.75" x14ac:dyDescent="0.3">
      <c r="A17" s="563" t="s">
        <v>418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414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427</v>
      </c>
    </row>
    <row r="21" spans="1:4" ht="15" x14ac:dyDescent="0.25">
      <c r="A21" s="476"/>
      <c r="B21" s="48" t="s">
        <v>425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426</v>
      </c>
    </row>
    <row r="23" spans="1:4" ht="15" x14ac:dyDescent="0.25">
      <c r="A23" s="476"/>
      <c r="B23" s="48" t="s">
        <v>419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423</v>
      </c>
    </row>
    <row r="25" spans="1:4" ht="15" x14ac:dyDescent="0.25">
      <c r="A25" s="476"/>
      <c r="B25" s="48" t="s">
        <v>420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422</v>
      </c>
    </row>
    <row r="27" spans="1:4" ht="15" x14ac:dyDescent="0.25">
      <c r="A27" s="476"/>
      <c r="B27" s="48" t="s">
        <v>424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421</v>
      </c>
    </row>
    <row r="29" spans="1:4" x14ac:dyDescent="0.2">
      <c r="A29" s="480"/>
    </row>
    <row r="30" spans="1:4" ht="18.75" x14ac:dyDescent="0.3">
      <c r="A30" s="563" t="s">
        <v>428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427</v>
      </c>
    </row>
    <row r="33" spans="1:5" ht="15" x14ac:dyDescent="0.25">
      <c r="A33" s="4"/>
      <c r="B33" s="48" t="s">
        <v>429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430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431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432</v>
      </c>
    </row>
    <row r="40" spans="1:5" ht="15" x14ac:dyDescent="0.25">
      <c r="A40" s="4"/>
      <c r="B40" s="48" t="s">
        <v>419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433</v>
      </c>
    </row>
    <row r="42" spans="1:5" ht="15" x14ac:dyDescent="0.25">
      <c r="A42" s="4"/>
      <c r="B42" s="48" t="s">
        <v>420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434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435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436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439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442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443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9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>
    <pageSetUpPr fitToPage="1"/>
  </sheetPr>
  <dimension ref="A1:Z146"/>
  <sheetViews>
    <sheetView showGridLines="0" view="pageBreakPreview" zoomScaleNormal="100" zoomScaleSheetLayoutView="100" workbookViewId="0">
      <pane ySplit="11" topLeftCell="A12" activePane="bottomLeft" state="frozen"/>
      <selection activeCell="E1" sqref="E1"/>
      <selection pane="bottomLeft" activeCell="V16" sqref="V16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604" t="s">
        <v>140</v>
      </c>
      <c r="S1" s="604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605" t="s">
        <v>143</v>
      </c>
      <c r="S2" s="605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600" t="s">
        <v>146</v>
      </c>
      <c r="K4" s="600"/>
      <c r="L4" s="600" t="s">
        <v>444</v>
      </c>
      <c r="M4" s="600"/>
      <c r="N4" s="600" t="s">
        <v>147</v>
      </c>
      <c r="O4" s="600"/>
      <c r="P4" s="600"/>
      <c r="Q4" s="600"/>
      <c r="R4" s="600"/>
      <c r="S4" s="600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603" t="str">
        <f>Import.CR</f>
        <v>1095468-12</v>
      </c>
      <c r="K5" s="603"/>
      <c r="L5" s="603" t="str">
        <f>Import.TransfereGOV</f>
        <v>962693</v>
      </c>
      <c r="M5" s="603"/>
      <c r="N5" s="603" t="str">
        <f>Import.Proponente</f>
        <v>PREFEITURA DE DOIS VIZINHOS - PR</v>
      </c>
      <c r="O5" s="603"/>
      <c r="P5" s="603"/>
      <c r="Q5" s="603"/>
      <c r="R5" s="603"/>
      <c r="S5" s="603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593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593"/>
      <c r="J7" s="600" t="s">
        <v>151</v>
      </c>
      <c r="K7" s="600"/>
      <c r="L7" s="600"/>
      <c r="M7" s="600"/>
      <c r="N7" s="600"/>
      <c r="O7" s="600"/>
      <c r="P7" s="600"/>
      <c r="Q7" s="600"/>
      <c r="R7" s="600"/>
      <c r="S7" s="600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593"/>
      <c r="J8" s="608" t="str">
        <f>Import.Apelido&amp;" / "&amp;Import.DescLote</f>
        <v>Construção do CMEI Cleovanize Totti / Construção do CMEI Cleovanize Totti Vitoria (FNDE – Creche tipo 1)</v>
      </c>
      <c r="K8" s="608"/>
      <c r="L8" s="608"/>
      <c r="M8" s="608"/>
      <c r="N8" s="608"/>
      <c r="O8" s="608"/>
      <c r="P8" s="608"/>
      <c r="Q8" s="608"/>
      <c r="R8" s="608"/>
      <c r="S8" s="608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593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593"/>
      <c r="J10" s="609" t="s">
        <v>153</v>
      </c>
      <c r="K10" s="609"/>
      <c r="L10" s="609"/>
      <c r="M10" s="609"/>
      <c r="N10" s="609"/>
      <c r="O10" s="609"/>
      <c r="P10" s="609"/>
      <c r="Q10" s="609"/>
      <c r="R10" s="607">
        <v>0.25</v>
      </c>
      <c r="S10" s="607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606" t="s">
        <v>154</v>
      </c>
      <c r="K11" s="606"/>
      <c r="L11" s="606"/>
      <c r="M11" s="606"/>
      <c r="N11" s="606"/>
      <c r="O11" s="606"/>
      <c r="P11" s="606"/>
      <c r="Q11" s="606"/>
      <c r="R11" s="607">
        <v>0.03</v>
      </c>
      <c r="S11" s="607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602" t="s">
        <v>156</v>
      </c>
      <c r="K14" s="602"/>
      <c r="L14" s="602"/>
      <c r="M14" s="602"/>
      <c r="N14" s="602"/>
      <c r="O14" s="602"/>
      <c r="P14" s="602"/>
      <c r="Q14" s="602"/>
      <c r="R14" s="602"/>
      <c r="S14" s="602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600" t="s">
        <v>157</v>
      </c>
      <c r="K16" s="600"/>
      <c r="L16" s="600"/>
      <c r="M16" s="600"/>
      <c r="N16" s="600"/>
      <c r="O16" s="600"/>
      <c r="P16" s="600"/>
      <c r="Q16" s="600"/>
      <c r="R16" s="600"/>
      <c r="S16" s="600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601" t="s">
        <v>141</v>
      </c>
      <c r="K17" s="601"/>
      <c r="L17" s="601"/>
      <c r="M17" s="601"/>
      <c r="N17" s="601"/>
      <c r="O17" s="601"/>
      <c r="P17" s="601"/>
      <c r="Q17" s="601"/>
      <c r="R17" s="601"/>
      <c r="S17" s="601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9" t="s">
        <v>158</v>
      </c>
      <c r="K19" s="599"/>
      <c r="L19" s="599"/>
      <c r="M19" s="599"/>
      <c r="N19" s="599"/>
      <c r="O19" s="599"/>
      <c r="P19" s="599"/>
      <c r="Q19" s="599"/>
      <c r="R19" s="599" t="s">
        <v>159</v>
      </c>
      <c r="S19" s="590" t="s">
        <v>160</v>
      </c>
      <c r="U19" s="590" t="s">
        <v>161</v>
      </c>
      <c r="V19" s="590"/>
      <c r="W19" s="590"/>
      <c r="X19" s="598" t="s">
        <v>162</v>
      </c>
      <c r="Y19" s="598" t="s">
        <v>163</v>
      </c>
      <c r="Z19" s="598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9"/>
      <c r="K20" s="599"/>
      <c r="L20" s="599"/>
      <c r="M20" s="599"/>
      <c r="N20" s="599"/>
      <c r="O20" s="599"/>
      <c r="P20" s="599"/>
      <c r="Q20" s="599"/>
      <c r="R20" s="599"/>
      <c r="S20" s="590"/>
      <c r="U20" s="590"/>
      <c r="V20" s="590"/>
      <c r="W20" s="590"/>
      <c r="X20" s="598"/>
      <c r="Y20" s="598"/>
      <c r="Z20" s="598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88" t="str">
        <f>IF($J$17=$A$146,"Encargos Sociais incidentes sobre a mão de obra","Administração Central")</f>
        <v>Administração Central</v>
      </c>
      <c r="K21" s="588"/>
      <c r="L21" s="588"/>
      <c r="M21" s="588"/>
      <c r="N21" s="588"/>
      <c r="O21" s="588"/>
      <c r="P21" s="588"/>
      <c r="Q21" s="588"/>
      <c r="R21" s="61" t="str">
        <f>IF($J17=$A$146,"K1","AC")</f>
        <v>AC</v>
      </c>
      <c r="S21" s="62">
        <f>Z21</f>
        <v>5.5E-2</v>
      </c>
      <c r="U21" s="589" t="s">
        <v>166</v>
      </c>
      <c r="V21" s="589"/>
      <c r="W21" s="589"/>
      <c r="X21" s="63">
        <f>VLOOKUP(CONCATENATE(J17,"-",R21),$C$2:$G$136,3,FALSE)</f>
        <v>0.03</v>
      </c>
      <c r="Y21" s="63">
        <f>VLOOKUP(CONCATENATE(J17,"-",R21),$C$2:$G$136,4,FALSE)</f>
        <v>0.04</v>
      </c>
      <c r="Z21" s="63">
        <f>VLOOKUP(CONCATENATE(J17,"-",R21),$C$2:$G$136,5,FALSE)</f>
        <v>5.5E-2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88" t="str">
        <f>IF($J$17=$A$146,"Administração Central da empresa ou consultoria - overhead","Seguro e Garantia")</f>
        <v>Seguro e Garantia</v>
      </c>
      <c r="K22" s="588"/>
      <c r="L22" s="588"/>
      <c r="M22" s="588"/>
      <c r="N22" s="588"/>
      <c r="O22" s="588"/>
      <c r="P22" s="588"/>
      <c r="Q22" s="588"/>
      <c r="R22" s="61" t="str">
        <f>IF($J17=$A$146,"K2","SG")</f>
        <v>SG</v>
      </c>
      <c r="S22" s="62">
        <f>Z22</f>
        <v>0.01</v>
      </c>
      <c r="U22" s="589" t="s">
        <v>166</v>
      </c>
      <c r="V22" s="589"/>
      <c r="W22" s="589"/>
      <c r="X22" s="63">
        <f>VLOOKUP(CONCATENATE(J17,"-",R22),$C$2:$G$136,3,FALSE)</f>
        <v>8.0000000000000002E-3</v>
      </c>
      <c r="Y22" s="63">
        <f>VLOOKUP(CONCATENATE(J17,"-",R22),$C$2:$G$136,4,FALSE)</f>
        <v>8.0000000000000002E-3</v>
      </c>
      <c r="Z22" s="63">
        <f>VLOOKUP(CONCATENATE(J17,"-",R22),$C$2:$G$136,5,FALSE)</f>
        <v>0.01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88" t="str">
        <f>IF($J$17=$A$146,"","Risco")</f>
        <v>Risco</v>
      </c>
      <c r="K23" s="588"/>
      <c r="L23" s="588"/>
      <c r="M23" s="588"/>
      <c r="N23" s="588"/>
      <c r="O23" s="588"/>
      <c r="P23" s="588"/>
      <c r="Q23" s="588"/>
      <c r="R23" s="61" t="str">
        <f>IF($J17=$A$146,"","R")</f>
        <v>R</v>
      </c>
      <c r="S23" s="62">
        <v>1.2699999999999999E-2</v>
      </c>
      <c r="U23" s="589" t="s">
        <v>166</v>
      </c>
      <c r="V23" s="589"/>
      <c r="W23" s="589"/>
      <c r="X23" s="63">
        <f>VLOOKUP(CONCATENATE(J17,"-",R23),$C$2:$G$136,3,FALSE)</f>
        <v>9.7000000000000003E-3</v>
      </c>
      <c r="Y23" s="63">
        <f>VLOOKUP(CONCATENATE(J17,"-",R23),$C$2:$G$136,4,FALSE)</f>
        <v>1.2699999999999999E-2</v>
      </c>
      <c r="Z23" s="63">
        <f>VLOOKUP(CONCATENATE(J17,"-",R23),$C$2:$G$136,5,FALSE)</f>
        <v>1.2699999999999999E-2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88" t="str">
        <f>IF($J$17=$A$146,"","Despesas Financeiras")</f>
        <v>Despesas Financeiras</v>
      </c>
      <c r="K24" s="588"/>
      <c r="L24" s="588"/>
      <c r="M24" s="588"/>
      <c r="N24" s="588"/>
      <c r="O24" s="588"/>
      <c r="P24" s="588"/>
      <c r="Q24" s="588"/>
      <c r="R24" s="61" t="str">
        <f>IF($J17=$A$146,"","DF")</f>
        <v>DF</v>
      </c>
      <c r="S24" s="62">
        <v>1.3899999999999999E-2</v>
      </c>
      <c r="U24" s="589" t="s">
        <v>166</v>
      </c>
      <c r="V24" s="589"/>
      <c r="W24" s="589"/>
      <c r="X24" s="63">
        <f>VLOOKUP(CONCATENATE(J17,"-",R24),$C$2:$G$136,3,FALSE)</f>
        <v>5.8999999999999999E-3</v>
      </c>
      <c r="Y24" s="63">
        <f>VLOOKUP(CONCATENATE(J17,"-",R24),$C$2:$G$136,4,FALSE)</f>
        <v>1.23E-2</v>
      </c>
      <c r="Z24" s="63">
        <f>VLOOKUP(CONCATENATE(J17,"-",R24),$C$2:$G$136,5,FALSE)</f>
        <v>1.3899999999999999E-2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88" t="str">
        <f>IF($J$17=$A$146,"Margem bruta da empresa de consultoria","Lucro")</f>
        <v>Lucro</v>
      </c>
      <c r="K25" s="588"/>
      <c r="L25" s="588"/>
      <c r="M25" s="588"/>
      <c r="N25" s="588"/>
      <c r="O25" s="588"/>
      <c r="P25" s="588"/>
      <c r="Q25" s="588"/>
      <c r="R25" s="61" t="str">
        <f>IF($J17=$A$146,"K3","L")</f>
        <v>L</v>
      </c>
      <c r="S25" s="62">
        <v>8.77E-2</v>
      </c>
      <c r="U25" s="589" t="s">
        <v>166</v>
      </c>
      <c r="V25" s="589"/>
      <c r="W25" s="589"/>
      <c r="X25" s="63">
        <f>VLOOKUP(CONCATENATE(J17,"-",R25),$C$2:$G$136,3,FALSE)</f>
        <v>6.1600000000000002E-2</v>
      </c>
      <c r="Y25" s="63">
        <f>VLOOKUP(CONCATENATE(J17,"-",R25),$C$2:$G$136,4,FALSE)</f>
        <v>7.400000000000001E-2</v>
      </c>
      <c r="Z25" s="63">
        <f>VLOOKUP(CONCATENATE(J17,"-",R25),$C$2:$G$136,5,FALSE)</f>
        <v>8.9600000000000013E-2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88" t="s">
        <v>168</v>
      </c>
      <c r="K26" s="588"/>
      <c r="L26" s="588"/>
      <c r="M26" s="588"/>
      <c r="N26" s="588"/>
      <c r="O26" s="588"/>
      <c r="P26" s="588"/>
      <c r="Q26" s="588"/>
      <c r="R26" s="61" t="s">
        <v>169</v>
      </c>
      <c r="S26" s="62">
        <f t="shared" ref="S26" si="1">X26</f>
        <v>3.6499999999999998E-2</v>
      </c>
      <c r="U26" s="589" t="s">
        <v>166</v>
      </c>
      <c r="V26" s="589"/>
      <c r="W26" s="589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88" t="s">
        <v>170</v>
      </c>
      <c r="K27" s="588"/>
      <c r="L27" s="588"/>
      <c r="M27" s="588"/>
      <c r="N27" s="588"/>
      <c r="O27" s="588"/>
      <c r="P27" s="588"/>
      <c r="Q27" s="588"/>
      <c r="R27" s="61" t="s">
        <v>171</v>
      </c>
      <c r="S27" s="63">
        <f ca="1">IF(AND($J17&lt;&gt;$A$145,COUNTA(OFFSET(S20,1,0,6))&gt;0),$R$11*$R$10,0)</f>
        <v>7.4999999999999997E-3</v>
      </c>
      <c r="U27" s="589" t="s">
        <v>166</v>
      </c>
      <c r="V27" s="589"/>
      <c r="W27" s="589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88" t="s">
        <v>172</v>
      </c>
      <c r="K28" s="588"/>
      <c r="L28" s="588"/>
      <c r="M28" s="588"/>
      <c r="N28" s="588"/>
      <c r="O28" s="588"/>
      <c r="P28" s="588"/>
      <c r="Q28" s="588"/>
      <c r="R28" s="61" t="s">
        <v>173</v>
      </c>
      <c r="S28" s="63">
        <f ca="1">IF(BDI.Opcao&lt;&gt;"Desonerado",0,IF(AND($J17&lt;&gt;$A$145,COUNTA(OFFSET(S20,1,0,6))&gt;0),4.5%,0%))</f>
        <v>0</v>
      </c>
      <c r="U28" s="589" t="s">
        <v>166</v>
      </c>
      <c r="V28" s="589"/>
      <c r="W28" s="589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88" t="s">
        <v>174</v>
      </c>
      <c r="K29" s="588"/>
      <c r="L29" s="588"/>
      <c r="M29" s="588"/>
      <c r="N29" s="588"/>
      <c r="O29" s="588"/>
      <c r="P29" s="588"/>
      <c r="Q29" s="588"/>
      <c r="R29" s="65" t="s">
        <v>150</v>
      </c>
      <c r="S29" s="63">
        <f ca="1">IF($J17=$A$145,0,ROUND((((1+S21+S22+S23)*(1+S24)*(1+S25)/(1-(S26+S27)))-1),4))</f>
        <v>0.2432</v>
      </c>
      <c r="U29" s="590" t="str">
        <f ca="1">IF(OR($J$17=$A$146,$J$17=$A$145,AND(S29&gt;=X29,S29&lt;=Z29)),"OK","FORA DO INTERVALO")</f>
        <v>OK</v>
      </c>
      <c r="V29" s="590"/>
      <c r="W29" s="590"/>
      <c r="X29" s="63">
        <f>IF($J17=$A$145,0,VLOOKUP(CONCATENATE($J17,"-",$R29),$C$2:$G$136,3,FALSE))</f>
        <v>0.2034</v>
      </c>
      <c r="Y29" s="63">
        <f>IF($J17=$A$145,0,VLOOKUP(CONCATENATE($J17,"-",$R29),$C$2:$G$136,4,FALSE))</f>
        <v>0.22120000000000001</v>
      </c>
      <c r="Z29" s="63">
        <f>IF($J17=$A$145,0,VLOOKUP(CONCATENATE($J17,"-",$R29),$C$2:$G$136,5,FALSE))</f>
        <v>0.25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1" t="s">
        <v>175</v>
      </c>
      <c r="K30" s="591"/>
      <c r="L30" s="591"/>
      <c r="M30" s="591"/>
      <c r="N30" s="591"/>
      <c r="O30" s="591"/>
      <c r="P30" s="591"/>
      <c r="Q30" s="591"/>
      <c r="R30" s="66" t="s">
        <v>176</v>
      </c>
      <c r="S30" s="67">
        <f ca="1">IF($J17=$A$145,0,ROUND((((1+S21+S22+S23)*(1+S24)*(1+S25)/(1-(S26+S27+S28)))-1),4))</f>
        <v>0.2432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2" t="str">
        <f ca="1">IF(U29&lt;&gt;"ok","Anexo: Relatório Técnico Circunstanciado justificando a adoção do percentual de cada parcela do BDI.","")</f>
        <v/>
      </c>
      <c r="L32" s="592"/>
      <c r="M32" s="592"/>
      <c r="N32" s="592"/>
      <c r="O32" s="592"/>
      <c r="P32" s="592"/>
      <c r="Q32" s="592"/>
      <c r="R32" s="592"/>
      <c r="S32" s="592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594" t="s">
        <v>178</v>
      </c>
      <c r="K34" s="594"/>
      <c r="L34" s="594"/>
      <c r="M34" s="594"/>
      <c r="N34" s="594"/>
      <c r="O34" s="594"/>
      <c r="P34" s="594"/>
      <c r="Q34" s="594"/>
      <c r="R34" s="594"/>
      <c r="S34" s="594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595" t="s">
        <v>179</v>
      </c>
      <c r="N35" s="596" t="str">
        <f>IF($J17=$A$146,"(1+K1+K2)*(1+K3)","(1+AC + S + R + G)*(1 + DF)*(1+L)")</f>
        <v>(1+AC + S + R + G)*(1 + DF)*(1+L)</v>
      </c>
      <c r="O35" s="596"/>
      <c r="P35" s="596"/>
      <c r="Q35" s="597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595"/>
      <c r="N36" s="587" t="s">
        <v>181</v>
      </c>
      <c r="O36" s="587"/>
      <c r="P36" s="587"/>
      <c r="Q36" s="597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25%, com a respectiva alíquota de 3%.</v>
      </c>
      <c r="K38" s="581"/>
      <c r="L38" s="581"/>
      <c r="M38" s="581"/>
      <c r="N38" s="581"/>
      <c r="O38" s="581"/>
      <c r="P38" s="581"/>
      <c r="Q38" s="581"/>
      <c r="R38" s="581"/>
      <c r="S38" s="581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81"/>
      <c r="L40" s="581"/>
      <c r="M40" s="581"/>
      <c r="N40" s="581"/>
      <c r="O40" s="581"/>
      <c r="P40" s="581"/>
      <c r="Q40" s="581"/>
      <c r="R40" s="581"/>
      <c r="S40" s="581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582"/>
      <c r="K43" s="582"/>
      <c r="L43" s="582"/>
      <c r="M43" s="582"/>
      <c r="N43" s="582"/>
      <c r="O43" s="582"/>
      <c r="P43" s="582"/>
      <c r="Q43" s="582"/>
      <c r="R43" s="582"/>
      <c r="S43" s="582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583" t="str">
        <f>Import.Município</f>
        <v>DOIS VIZINHOS - PR</v>
      </c>
      <c r="K45" s="583"/>
      <c r="L45" s="583"/>
      <c r="M45" s="583"/>
      <c r="P45" s="584">
        <f ca="1">DADOS!$F$25</f>
        <v>45663</v>
      </c>
      <c r="Q45" s="584"/>
      <c r="R45" s="584"/>
      <c r="S45" s="584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585" t="s">
        <v>188</v>
      </c>
      <c r="K46" s="585"/>
      <c r="L46" s="585"/>
      <c r="M46" s="585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586"/>
      <c r="K48" s="586"/>
      <c r="L48" s="586"/>
      <c r="M48" s="586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580" t="s">
        <v>190</v>
      </c>
      <c r="K49" s="580"/>
      <c r="L49" s="580"/>
      <c r="M49" s="580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 xml:space="preserve">RAUL ZANELLA 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CREA PR-136200/D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>
        <v>0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602" t="s">
        <v>191</v>
      </c>
      <c r="K54" s="602"/>
      <c r="L54" s="602"/>
      <c r="M54" s="602"/>
      <c r="N54" s="602"/>
      <c r="O54" s="602"/>
      <c r="P54" s="602"/>
      <c r="Q54" s="602"/>
      <c r="R54" s="602"/>
      <c r="S54" s="602"/>
    </row>
    <row r="55" spans="1:26" x14ac:dyDescent="0.2">
      <c r="A55"/>
      <c r="B55"/>
      <c r="C55"/>
      <c r="D55"/>
      <c r="E55"/>
      <c r="F55"/>
      <c r="G55"/>
      <c r="I55" t="str">
        <f t="shared" ref="I55:I93" ca="1" si="2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2"/>
        <v/>
      </c>
      <c r="J56" s="600" t="s">
        <v>157</v>
      </c>
      <c r="K56" s="600"/>
      <c r="L56" s="600"/>
      <c r="M56" s="600"/>
      <c r="N56" s="600"/>
      <c r="O56" s="600"/>
      <c r="P56" s="600"/>
      <c r="Q56" s="600"/>
      <c r="R56" s="600"/>
      <c r="S56" s="600"/>
    </row>
    <row r="57" spans="1:26" x14ac:dyDescent="0.2">
      <c r="A57"/>
      <c r="B57"/>
      <c r="C57"/>
      <c r="D57"/>
      <c r="E57"/>
      <c r="F57"/>
      <c r="G57"/>
      <c r="I57" t="str">
        <f t="shared" ca="1" si="2"/>
        <v/>
      </c>
      <c r="J57" s="601" t="s">
        <v>408</v>
      </c>
      <c r="K57" s="601"/>
      <c r="L57" s="601"/>
      <c r="M57" s="601"/>
      <c r="N57" s="601"/>
      <c r="O57" s="601"/>
      <c r="P57" s="601"/>
      <c r="Q57" s="601"/>
      <c r="R57" s="601"/>
      <c r="S57" s="601"/>
    </row>
    <row r="58" spans="1:26" x14ac:dyDescent="0.2">
      <c r="A58"/>
      <c r="B58"/>
      <c r="C58"/>
      <c r="D58"/>
      <c r="E58"/>
      <c r="F58"/>
      <c r="G58"/>
      <c r="I58" t="str">
        <f t="shared" ca="1" si="2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2"/>
        <v/>
      </c>
      <c r="J59" s="599" t="s">
        <v>158</v>
      </c>
      <c r="K59" s="599"/>
      <c r="L59" s="599"/>
      <c r="M59" s="599"/>
      <c r="N59" s="599"/>
      <c r="O59" s="599"/>
      <c r="P59" s="599"/>
      <c r="Q59" s="599"/>
      <c r="R59" s="599" t="s">
        <v>159</v>
      </c>
      <c r="S59" s="590" t="s">
        <v>160</v>
      </c>
      <c r="U59" s="590" t="s">
        <v>161</v>
      </c>
      <c r="V59" s="590"/>
      <c r="W59" s="590"/>
      <c r="X59" s="598" t="s">
        <v>162</v>
      </c>
      <c r="Y59" s="598" t="s">
        <v>163</v>
      </c>
      <c r="Z59" s="598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2"/>
        <v/>
      </c>
      <c r="J60" s="599"/>
      <c r="K60" s="599"/>
      <c r="L60" s="599"/>
      <c r="M60" s="599"/>
      <c r="N60" s="599"/>
      <c r="O60" s="599"/>
      <c r="P60" s="599"/>
      <c r="Q60" s="599"/>
      <c r="R60" s="599"/>
      <c r="S60" s="590"/>
      <c r="U60" s="590"/>
      <c r="V60" s="590"/>
      <c r="W60" s="590"/>
      <c r="X60" s="598"/>
      <c r="Y60" s="598"/>
      <c r="Z60" s="59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2"/>
        <v/>
      </c>
      <c r="J61" s="588" t="str">
        <f>IF($J$17=$A$146,"Encargos Sociais incidentes sobre a mão de obra","Administração Central")</f>
        <v>Administração Central</v>
      </c>
      <c r="K61" s="588"/>
      <c r="L61" s="588"/>
      <c r="M61" s="588"/>
      <c r="N61" s="588"/>
      <c r="O61" s="588"/>
      <c r="P61" s="588"/>
      <c r="Q61" s="588"/>
      <c r="R61" s="61" t="str">
        <f>IF($J57=$A$146,"K1","AC")</f>
        <v>AC</v>
      </c>
      <c r="S61" s="62"/>
      <c r="U61" s="589" t="s">
        <v>166</v>
      </c>
      <c r="V61" s="589"/>
      <c r="W61" s="589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2"/>
        <v/>
      </c>
      <c r="J62" s="588" t="str">
        <f>IF($J$17=$A$146,"Administração Central da empresa ou consultoria - overhead","Seguro e Garantia")</f>
        <v>Seguro e Garantia</v>
      </c>
      <c r="K62" s="588"/>
      <c r="L62" s="588"/>
      <c r="M62" s="588"/>
      <c r="N62" s="588"/>
      <c r="O62" s="588"/>
      <c r="P62" s="588"/>
      <c r="Q62" s="588"/>
      <c r="R62" s="61" t="str">
        <f>IF($J57=$A$146,"K2","SG")</f>
        <v>SG</v>
      </c>
      <c r="S62" s="62"/>
      <c r="U62" s="589" t="s">
        <v>166</v>
      </c>
      <c r="V62" s="589"/>
      <c r="W62" s="589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2"/>
        <v/>
      </c>
      <c r="J63" s="588" t="str">
        <f>IF($J$17=$A$146,"","Risco")</f>
        <v>Risco</v>
      </c>
      <c r="K63" s="588"/>
      <c r="L63" s="588"/>
      <c r="M63" s="588"/>
      <c r="N63" s="588"/>
      <c r="O63" s="588"/>
      <c r="P63" s="588"/>
      <c r="Q63" s="588"/>
      <c r="R63" s="61" t="str">
        <f>IF($J57=$A$146,"","R")</f>
        <v>R</v>
      </c>
      <c r="S63" s="62"/>
      <c r="U63" s="589" t="s">
        <v>166</v>
      </c>
      <c r="V63" s="589"/>
      <c r="W63" s="589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2"/>
        <v/>
      </c>
      <c r="J64" s="588" t="str">
        <f>IF($J$17=$A$146,"","Despesas Financeiras")</f>
        <v>Despesas Financeiras</v>
      </c>
      <c r="K64" s="588"/>
      <c r="L64" s="588"/>
      <c r="M64" s="588"/>
      <c r="N64" s="588"/>
      <c r="O64" s="588"/>
      <c r="P64" s="588"/>
      <c r="Q64" s="588"/>
      <c r="R64" s="61" t="str">
        <f>IF($J57=$A$146,"","DF")</f>
        <v>DF</v>
      </c>
      <c r="S64" s="62"/>
      <c r="U64" s="589" t="s">
        <v>166</v>
      </c>
      <c r="V64" s="589"/>
      <c r="W64" s="589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2"/>
        <v/>
      </c>
      <c r="J65" s="588" t="str">
        <f>IF($J$17=$A$146,"Margem bruta da empresa de consultoria","Lucro")</f>
        <v>Lucro</v>
      </c>
      <c r="K65" s="588"/>
      <c r="L65" s="588"/>
      <c r="M65" s="588"/>
      <c r="N65" s="588"/>
      <c r="O65" s="588"/>
      <c r="P65" s="588"/>
      <c r="Q65" s="588"/>
      <c r="R65" s="61" t="str">
        <f>IF($J57=$A$146,"K3","L")</f>
        <v>L</v>
      </c>
      <c r="S65" s="62"/>
      <c r="U65" s="589" t="s">
        <v>166</v>
      </c>
      <c r="V65" s="589"/>
      <c r="W65" s="589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2"/>
        <v/>
      </c>
      <c r="J66" s="588" t="s">
        <v>168</v>
      </c>
      <c r="K66" s="588"/>
      <c r="L66" s="588"/>
      <c r="M66" s="588"/>
      <c r="N66" s="588"/>
      <c r="O66" s="588"/>
      <c r="P66" s="588"/>
      <c r="Q66" s="588"/>
      <c r="R66" s="61" t="s">
        <v>169</v>
      </c>
      <c r="S66" s="62"/>
      <c r="U66" s="589" t="s">
        <v>166</v>
      </c>
      <c r="V66" s="589"/>
      <c r="W66" s="589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2"/>
        <v/>
      </c>
      <c r="J67" s="588" t="s">
        <v>170</v>
      </c>
      <c r="K67" s="588"/>
      <c r="L67" s="588"/>
      <c r="M67" s="588"/>
      <c r="N67" s="588"/>
      <c r="O67" s="588"/>
      <c r="P67" s="588"/>
      <c r="Q67" s="588"/>
      <c r="R67" s="61" t="s">
        <v>171</v>
      </c>
      <c r="S67" s="63">
        <f ca="1">IF(AND($J57&lt;&gt;$A$145,COUNTA(OFFSET(S60,1,0,6))&gt;0),$R$11*$R$10,0)</f>
        <v>0</v>
      </c>
      <c r="U67" s="589" t="s">
        <v>166</v>
      </c>
      <c r="V67" s="589"/>
      <c r="W67" s="589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2"/>
        <v/>
      </c>
      <c r="J68" s="588" t="s">
        <v>172</v>
      </c>
      <c r="K68" s="588"/>
      <c r="L68" s="588"/>
      <c r="M68" s="588"/>
      <c r="N68" s="588"/>
      <c r="O68" s="588"/>
      <c r="P68" s="588"/>
      <c r="Q68" s="588"/>
      <c r="R68" s="61" t="s">
        <v>173</v>
      </c>
      <c r="S68" s="63">
        <f ca="1">IF(BDI.Opcao&lt;&gt;"Desonerado",0,IF(AND($J57&lt;&gt;$A$145,COUNTA(OFFSET(S60,1,0,6))&gt;0),4.5%,0%))</f>
        <v>0</v>
      </c>
      <c r="U68" s="589" t="s">
        <v>166</v>
      </c>
      <c r="V68" s="589"/>
      <c r="W68" s="589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2"/>
        <v/>
      </c>
      <c r="J69" s="588" t="s">
        <v>174</v>
      </c>
      <c r="K69" s="588"/>
      <c r="L69" s="588"/>
      <c r="M69" s="588"/>
      <c r="N69" s="588"/>
      <c r="O69" s="588"/>
      <c r="P69" s="588"/>
      <c r="Q69" s="588"/>
      <c r="R69" s="65" t="s">
        <v>150</v>
      </c>
      <c r="S69" s="63">
        <f ca="1">IF($J57=$A$145,0,ROUND((((1+S61+S62+S63)*(1+S64)*(1+S65)/(1-(S66+S67)))-1),4))</f>
        <v>0</v>
      </c>
      <c r="U69" s="590" t="e">
        <f ca="1">IF(OR($J$17=$A$146,$J$17=$A$145,AND(S69&gt;=X69,S69&lt;=Z69)),"OK","FORA DO INTERVALO")</f>
        <v>#N/A</v>
      </c>
      <c r="V69" s="590"/>
      <c r="W69" s="590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2"/>
        <v/>
      </c>
      <c r="J70" s="591" t="s">
        <v>175</v>
      </c>
      <c r="K70" s="591"/>
      <c r="L70" s="591"/>
      <c r="M70" s="591"/>
      <c r="N70" s="591"/>
      <c r="O70" s="591"/>
      <c r="P70" s="591"/>
      <c r="Q70" s="591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2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2"/>
        <v/>
      </c>
      <c r="J72" s="68" t="e">
        <f ca="1">IF(U69&lt;&gt;"ok","X","")</f>
        <v>#N/A</v>
      </c>
      <c r="K72" s="592" t="e">
        <f ca="1">IF(U69&lt;&gt;"ok","Anexo: Relatório Técnico Circunstanciado justificando a adoção do percentual de cada parcela do BDI.","")</f>
        <v>#N/A</v>
      </c>
      <c r="L72" s="592"/>
      <c r="M72" s="592"/>
      <c r="N72" s="592"/>
      <c r="O72" s="592"/>
      <c r="P72" s="592"/>
      <c r="Q72" s="592"/>
      <c r="R72" s="592"/>
      <c r="S72" s="592"/>
    </row>
    <row r="73" spans="1:26" x14ac:dyDescent="0.2">
      <c r="A73"/>
      <c r="B73"/>
      <c r="C73"/>
      <c r="D73"/>
      <c r="E73"/>
      <c r="F73"/>
      <c r="G73"/>
      <c r="I73" t="str">
        <f t="shared" ca="1" si="2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2"/>
        <v/>
      </c>
      <c r="J74" s="594" t="s">
        <v>178</v>
      </c>
      <c r="K74" s="594"/>
      <c r="L74" s="594"/>
      <c r="M74" s="594"/>
      <c r="N74" s="594"/>
      <c r="O74" s="594"/>
      <c r="P74" s="594"/>
      <c r="Q74" s="594"/>
      <c r="R74" s="594"/>
      <c r="S74" s="594"/>
    </row>
    <row r="75" spans="1:26" ht="15.75" x14ac:dyDescent="0.25">
      <c r="A75"/>
      <c r="B75"/>
      <c r="C75"/>
      <c r="D75"/>
      <c r="E75"/>
      <c r="F75"/>
      <c r="G75"/>
      <c r="I75" t="str">
        <f t="shared" ca="1" si="2"/>
        <v/>
      </c>
      <c r="J75" s="69"/>
      <c r="K75" s="69"/>
      <c r="L75" s="69"/>
      <c r="M75" s="595" t="s">
        <v>179</v>
      </c>
      <c r="N75" s="596" t="str">
        <f>IF($J57=$A$146,"(1+K1+K2)*(1+K3)","(1+AC + S + R + G)*(1 + DF)*(1+L)")</f>
        <v>(1+AC + S + R + G)*(1 + DF)*(1+L)</v>
      </c>
      <c r="O75" s="596"/>
      <c r="P75" s="596"/>
      <c r="Q75" s="597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2"/>
        <v/>
      </c>
      <c r="J76" s="69"/>
      <c r="K76" s="69"/>
      <c r="L76" s="69"/>
      <c r="M76" s="595"/>
      <c r="N76" s="587" t="s">
        <v>181</v>
      </c>
      <c r="O76" s="587"/>
      <c r="P76" s="587"/>
      <c r="Q76" s="597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2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2"/>
        <v/>
      </c>
      <c r="J7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25%, com a respectiva alíquota de 3%.</v>
      </c>
      <c r="K78" s="581"/>
      <c r="L78" s="581"/>
      <c r="M78" s="581"/>
      <c r="N78" s="581"/>
      <c r="O78" s="581"/>
      <c r="P78" s="581"/>
      <c r="Q78" s="581"/>
      <c r="R78" s="581"/>
      <c r="S78" s="581"/>
    </row>
    <row r="79" spans="1:26" x14ac:dyDescent="0.2">
      <c r="A79"/>
      <c r="B79"/>
      <c r="C79"/>
      <c r="D79"/>
      <c r="E79"/>
      <c r="F79"/>
      <c r="G79"/>
      <c r="I79" t="str">
        <f t="shared" ca="1" si="2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2"/>
        <v/>
      </c>
      <c r="J8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81"/>
      <c r="L80" s="581"/>
      <c r="M80" s="581"/>
      <c r="N80" s="581"/>
      <c r="O80" s="581"/>
      <c r="P80" s="581"/>
      <c r="Q80" s="581"/>
      <c r="R80" s="581"/>
      <c r="S80" s="581"/>
    </row>
    <row r="81" spans="1:19" x14ac:dyDescent="0.2">
      <c r="A81"/>
      <c r="B81"/>
      <c r="C81"/>
      <c r="D81"/>
      <c r="E81"/>
      <c r="F81"/>
      <c r="G81"/>
      <c r="I81" t="str">
        <f t="shared" ca="1" si="2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2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2"/>
        <v/>
      </c>
      <c r="J83" s="582"/>
      <c r="K83" s="582"/>
      <c r="L83" s="582"/>
      <c r="M83" s="582"/>
      <c r="N83" s="582"/>
      <c r="O83" s="582"/>
      <c r="P83" s="582"/>
      <c r="Q83" s="582"/>
      <c r="R83" s="582"/>
      <c r="S83" s="582"/>
    </row>
    <row r="84" spans="1:19" x14ac:dyDescent="0.2">
      <c r="A84"/>
      <c r="B84"/>
      <c r="C84"/>
      <c r="D84"/>
      <c r="E84"/>
      <c r="F84"/>
      <c r="G84"/>
      <c r="I84" t="str">
        <f t="shared" ca="1" si="2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2"/>
        <v/>
      </c>
      <c r="J85" s="583" t="str">
        <f>Import.Município</f>
        <v>DOIS VIZINHOS - PR</v>
      </c>
      <c r="K85" s="583"/>
      <c r="L85" s="583"/>
      <c r="M85" s="583"/>
      <c r="P85" s="584">
        <f ca="1">DADOS!$F$25</f>
        <v>45663</v>
      </c>
      <c r="Q85" s="584"/>
      <c r="R85" s="584"/>
      <c r="S85" s="584"/>
    </row>
    <row r="86" spans="1:19" x14ac:dyDescent="0.2">
      <c r="A86"/>
      <c r="B86"/>
      <c r="C86"/>
      <c r="D86"/>
      <c r="E86"/>
      <c r="F86"/>
      <c r="G86"/>
      <c r="I86" t="str">
        <f t="shared" ca="1" si="2"/>
        <v/>
      </c>
      <c r="J86" s="585" t="s">
        <v>188</v>
      </c>
      <c r="K86" s="585"/>
      <c r="L86" s="585"/>
      <c r="M86" s="585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2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2"/>
        <v/>
      </c>
      <c r="J88" s="586"/>
      <c r="K88" s="586"/>
      <c r="L88" s="586"/>
      <c r="M88" s="586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2"/>
        <v/>
      </c>
      <c r="J89" s="580" t="s">
        <v>190</v>
      </c>
      <c r="K89" s="580"/>
      <c r="L89" s="580"/>
      <c r="M89" s="580"/>
    </row>
    <row r="90" spans="1:19" ht="14.25" x14ac:dyDescent="0.2">
      <c r="A90"/>
      <c r="B90"/>
      <c r="C90"/>
      <c r="D90"/>
      <c r="E90"/>
      <c r="F90"/>
      <c r="G90"/>
      <c r="I90" t="str">
        <f t="shared" ca="1" si="2"/>
        <v/>
      </c>
      <c r="J90" s="78" t="s">
        <v>108</v>
      </c>
      <c r="K90" s="79" t="str">
        <f t="array" ref="K90:K92">Import.RespOrçamento</f>
        <v xml:space="preserve">RAUL ZANELLA 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2"/>
        <v/>
      </c>
      <c r="J91" s="78" t="s">
        <v>109</v>
      </c>
      <c r="K91" s="79" t="str">
        <v>CREA PR-136200/D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2"/>
        <v/>
      </c>
      <c r="J92" s="78" t="s">
        <v>110</v>
      </c>
      <c r="K92" s="79">
        <v>0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2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602" t="s">
        <v>192</v>
      </c>
      <c r="K94" s="602"/>
      <c r="L94" s="602"/>
      <c r="M94" s="602"/>
      <c r="N94" s="602"/>
      <c r="O94" s="602"/>
      <c r="P94" s="602"/>
      <c r="Q94" s="602"/>
      <c r="R94" s="602"/>
      <c r="S94" s="602"/>
    </row>
    <row r="95" spans="1:19" x14ac:dyDescent="0.2">
      <c r="A95"/>
      <c r="B95"/>
      <c r="C95"/>
      <c r="D95"/>
      <c r="E95"/>
      <c r="F95"/>
      <c r="G95"/>
      <c r="I95" t="str">
        <f t="shared" ref="I95:I132" ca="1" si="3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3"/>
        <v/>
      </c>
      <c r="J96" s="600" t="s">
        <v>157</v>
      </c>
      <c r="K96" s="600"/>
      <c r="L96" s="600"/>
      <c r="M96" s="600"/>
      <c r="N96" s="600"/>
      <c r="O96" s="600"/>
      <c r="P96" s="600"/>
      <c r="Q96" s="600"/>
      <c r="R96" s="600"/>
      <c r="S96" s="600"/>
    </row>
    <row r="97" spans="1:26" x14ac:dyDescent="0.2">
      <c r="A97"/>
      <c r="B97"/>
      <c r="C97"/>
      <c r="D97"/>
      <c r="E97"/>
      <c r="F97"/>
      <c r="G97"/>
      <c r="I97" t="str">
        <f t="shared" ca="1" si="3"/>
        <v/>
      </c>
      <c r="J97" s="601" t="s">
        <v>408</v>
      </c>
      <c r="K97" s="601"/>
      <c r="L97" s="601"/>
      <c r="M97" s="601"/>
      <c r="N97" s="601"/>
      <c r="O97" s="601"/>
      <c r="P97" s="601"/>
      <c r="Q97" s="601"/>
      <c r="R97" s="601"/>
      <c r="S97" s="601"/>
    </row>
    <row r="98" spans="1:26" x14ac:dyDescent="0.2">
      <c r="A98"/>
      <c r="B98"/>
      <c r="C98"/>
      <c r="D98"/>
      <c r="E98"/>
      <c r="F98"/>
      <c r="G98"/>
      <c r="I98" t="str">
        <f t="shared" ca="1" si="3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3"/>
        <v/>
      </c>
      <c r="J99" s="599" t="s">
        <v>158</v>
      </c>
      <c r="K99" s="599"/>
      <c r="L99" s="599"/>
      <c r="M99" s="599"/>
      <c r="N99" s="599"/>
      <c r="O99" s="599"/>
      <c r="P99" s="599"/>
      <c r="Q99" s="599"/>
      <c r="R99" s="599" t="s">
        <v>159</v>
      </c>
      <c r="S99" s="590" t="s">
        <v>160</v>
      </c>
      <c r="U99" s="590" t="s">
        <v>161</v>
      </c>
      <c r="V99" s="590"/>
      <c r="W99" s="590"/>
      <c r="X99" s="598" t="s">
        <v>162</v>
      </c>
      <c r="Y99" s="598" t="s">
        <v>163</v>
      </c>
      <c r="Z99" s="598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3"/>
        <v/>
      </c>
      <c r="J100" s="599"/>
      <c r="K100" s="599"/>
      <c r="L100" s="599"/>
      <c r="M100" s="599"/>
      <c r="N100" s="599"/>
      <c r="O100" s="599"/>
      <c r="P100" s="599"/>
      <c r="Q100" s="599"/>
      <c r="R100" s="599"/>
      <c r="S100" s="590"/>
      <c r="U100" s="590"/>
      <c r="V100" s="590"/>
      <c r="W100" s="590"/>
      <c r="X100" s="598"/>
      <c r="Y100" s="598"/>
      <c r="Z100" s="59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3"/>
        <v/>
      </c>
      <c r="J101" s="588" t="str">
        <f>IF($J$17=$A$146,"Encargos Sociais incidentes sobre a mão de obra","Administração Central")</f>
        <v>Administração Central</v>
      </c>
      <c r="K101" s="588"/>
      <c r="L101" s="588"/>
      <c r="M101" s="588"/>
      <c r="N101" s="588"/>
      <c r="O101" s="588"/>
      <c r="P101" s="588"/>
      <c r="Q101" s="588"/>
      <c r="R101" s="61" t="str">
        <f>IF($J97=$A$146,"K1","AC")</f>
        <v>AC</v>
      </c>
      <c r="S101" s="62"/>
      <c r="U101" s="589" t="s">
        <v>166</v>
      </c>
      <c r="V101" s="589"/>
      <c r="W101" s="589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3"/>
        <v/>
      </c>
      <c r="J102" s="588" t="str">
        <f>IF($J$17=$A$146,"Administração Central da empresa ou consultoria - overhead","Seguro e Garantia")</f>
        <v>Seguro e Garantia</v>
      </c>
      <c r="K102" s="588"/>
      <c r="L102" s="588"/>
      <c r="M102" s="588"/>
      <c r="N102" s="588"/>
      <c r="O102" s="588"/>
      <c r="P102" s="588"/>
      <c r="Q102" s="588"/>
      <c r="R102" s="61" t="str">
        <f>IF($J97=$A$146,"K2","SG")</f>
        <v>SG</v>
      </c>
      <c r="S102" s="62"/>
      <c r="U102" s="589" t="s">
        <v>166</v>
      </c>
      <c r="V102" s="589"/>
      <c r="W102" s="589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3"/>
        <v/>
      </c>
      <c r="J103" s="588" t="str">
        <f>IF($J$17=$A$146,"","Risco")</f>
        <v>Risco</v>
      </c>
      <c r="K103" s="588"/>
      <c r="L103" s="588"/>
      <c r="M103" s="588"/>
      <c r="N103" s="588"/>
      <c r="O103" s="588"/>
      <c r="P103" s="588"/>
      <c r="Q103" s="588"/>
      <c r="R103" s="61" t="str">
        <f>IF($J97=$A$146,"","R")</f>
        <v>R</v>
      </c>
      <c r="S103" s="62"/>
      <c r="U103" s="589" t="s">
        <v>166</v>
      </c>
      <c r="V103" s="589"/>
      <c r="W103" s="589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3"/>
        <v/>
      </c>
      <c r="J104" s="588" t="str">
        <f>IF($J$17=$A$146,"","Despesas Financeiras")</f>
        <v>Despesas Financeiras</v>
      </c>
      <c r="K104" s="588"/>
      <c r="L104" s="588"/>
      <c r="M104" s="588"/>
      <c r="N104" s="588"/>
      <c r="O104" s="588"/>
      <c r="P104" s="588"/>
      <c r="Q104" s="588"/>
      <c r="R104" s="61" t="str">
        <f>IF($J97=$A$146,"","DF")</f>
        <v>DF</v>
      </c>
      <c r="S104" s="62"/>
      <c r="U104" s="589" t="s">
        <v>166</v>
      </c>
      <c r="V104" s="589"/>
      <c r="W104" s="589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3"/>
        <v/>
      </c>
      <c r="J105" s="588" t="str">
        <f>IF($J$17=$A$146,"Margem bruta da empresa de consultoria","Lucro")</f>
        <v>Lucro</v>
      </c>
      <c r="K105" s="588"/>
      <c r="L105" s="588"/>
      <c r="M105" s="588"/>
      <c r="N105" s="588"/>
      <c r="O105" s="588"/>
      <c r="P105" s="588"/>
      <c r="Q105" s="588"/>
      <c r="R105" s="61" t="str">
        <f>IF($J97=$A$146,"K3","L")</f>
        <v>L</v>
      </c>
      <c r="S105" s="62"/>
      <c r="U105" s="589" t="s">
        <v>166</v>
      </c>
      <c r="V105" s="589"/>
      <c r="W105" s="589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3"/>
        <v/>
      </c>
      <c r="J106" s="588" t="s">
        <v>168</v>
      </c>
      <c r="K106" s="588"/>
      <c r="L106" s="588"/>
      <c r="M106" s="588"/>
      <c r="N106" s="588"/>
      <c r="O106" s="588"/>
      <c r="P106" s="588"/>
      <c r="Q106" s="588"/>
      <c r="R106" s="61" t="s">
        <v>169</v>
      </c>
      <c r="S106" s="62"/>
      <c r="U106" s="589" t="s">
        <v>166</v>
      </c>
      <c r="V106" s="589"/>
      <c r="W106" s="589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3"/>
        <v/>
      </c>
      <c r="J107" s="588" t="s">
        <v>170</v>
      </c>
      <c r="K107" s="588"/>
      <c r="L107" s="588"/>
      <c r="M107" s="588"/>
      <c r="N107" s="588"/>
      <c r="O107" s="588"/>
      <c r="P107" s="588"/>
      <c r="Q107" s="588"/>
      <c r="R107" s="61" t="s">
        <v>171</v>
      </c>
      <c r="S107" s="63">
        <f ca="1">IF(AND($J97&lt;&gt;$A$145,COUNTA(OFFSET(S100,1,0,6))&gt;0),$R$11*$R$10,0)</f>
        <v>0</v>
      </c>
      <c r="U107" s="589" t="s">
        <v>166</v>
      </c>
      <c r="V107" s="589"/>
      <c r="W107" s="589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3"/>
        <v/>
      </c>
      <c r="J108" s="588" t="s">
        <v>172</v>
      </c>
      <c r="K108" s="588"/>
      <c r="L108" s="588"/>
      <c r="M108" s="588"/>
      <c r="N108" s="588"/>
      <c r="O108" s="588"/>
      <c r="P108" s="588"/>
      <c r="Q108" s="588"/>
      <c r="R108" s="61" t="s">
        <v>173</v>
      </c>
      <c r="S108" s="63">
        <f ca="1">IF(BDI.Opcao&lt;&gt;"Desonerado",0,IF(AND($J97&lt;&gt;$A$145,COUNTA(OFFSET(S100,1,0,6))&gt;0),4.5%,0%))</f>
        <v>0</v>
      </c>
      <c r="U108" s="589" t="s">
        <v>166</v>
      </c>
      <c r="V108" s="589"/>
      <c r="W108" s="589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3"/>
        <v/>
      </c>
      <c r="J109" s="588" t="s">
        <v>174</v>
      </c>
      <c r="K109" s="588"/>
      <c r="L109" s="588"/>
      <c r="M109" s="588"/>
      <c r="N109" s="588"/>
      <c r="O109" s="588"/>
      <c r="P109" s="588"/>
      <c r="Q109" s="588"/>
      <c r="R109" s="65" t="s">
        <v>150</v>
      </c>
      <c r="S109" s="63">
        <f ca="1">IF($J97=$A$145,0,ROUND((((1+S101+S102+S103)*(1+S104)*(1+S105)/(1-(S106+S107)))-1),4))</f>
        <v>0</v>
      </c>
      <c r="U109" s="590" t="e">
        <f ca="1">IF(OR($J$17=$A$146,$J$17=$A$145,AND(S109&gt;=X109,S109&lt;=Z109)),"OK","FORA DO INTERVALO")</f>
        <v>#N/A</v>
      </c>
      <c r="V109" s="590"/>
      <c r="W109" s="590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3"/>
        <v/>
      </c>
      <c r="J110" s="591" t="s">
        <v>175</v>
      </c>
      <c r="K110" s="591"/>
      <c r="L110" s="591"/>
      <c r="M110" s="591"/>
      <c r="N110" s="591"/>
      <c r="O110" s="591"/>
      <c r="P110" s="591"/>
      <c r="Q110" s="591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3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3"/>
        <v/>
      </c>
      <c r="J112" s="68" t="e">
        <f ca="1">IF(U109&lt;&gt;"ok","X","")</f>
        <v>#N/A</v>
      </c>
      <c r="K112" s="592" t="e">
        <f ca="1">IF(U109&lt;&gt;"ok","Anexo: Relatório Técnico Circunstanciado justificando a adoção do percentual de cada parcela do BDI.","")</f>
        <v>#N/A</v>
      </c>
      <c r="L112" s="592"/>
      <c r="M112" s="592"/>
      <c r="N112" s="592"/>
      <c r="O112" s="592"/>
      <c r="P112" s="592"/>
      <c r="Q112" s="592"/>
      <c r="R112" s="592"/>
      <c r="S112" s="592"/>
    </row>
    <row r="113" spans="1:19" x14ac:dyDescent="0.2">
      <c r="A113"/>
      <c r="B113"/>
      <c r="C113"/>
      <c r="D113"/>
      <c r="E113"/>
      <c r="F113"/>
      <c r="G113"/>
      <c r="I113" t="str">
        <f t="shared" ca="1" si="3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3"/>
        <v/>
      </c>
      <c r="J114" s="594" t="s">
        <v>178</v>
      </c>
      <c r="K114" s="594"/>
      <c r="L114" s="594"/>
      <c r="M114" s="594"/>
      <c r="N114" s="594"/>
      <c r="O114" s="594"/>
      <c r="P114" s="594"/>
      <c r="Q114" s="594"/>
      <c r="R114" s="594"/>
      <c r="S114" s="594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3"/>
        <v/>
      </c>
      <c r="J115" s="69"/>
      <c r="K115" s="69"/>
      <c r="L115" s="69"/>
      <c r="M115" s="595" t="s">
        <v>179</v>
      </c>
      <c r="N115" s="596" t="str">
        <f>IF($J97=$A$146,"(1+K1+K2)*(1+K3)","(1+AC + S + R + G)*(1 + DF)*(1+L)")</f>
        <v>(1+AC + S + R + G)*(1 + DF)*(1+L)</v>
      </c>
      <c r="O115" s="596"/>
      <c r="P115" s="596"/>
      <c r="Q115" s="597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3"/>
        <v/>
      </c>
      <c r="J116" s="69"/>
      <c r="K116" s="69"/>
      <c r="L116" s="69"/>
      <c r="M116" s="595"/>
      <c r="N116" s="587" t="s">
        <v>181</v>
      </c>
      <c r="O116" s="587"/>
      <c r="P116" s="587"/>
      <c r="Q116" s="597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3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3"/>
        <v/>
      </c>
      <c r="J118" s="581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25%, com a respectiva alíquota de 3%.</v>
      </c>
      <c r="K118" s="581"/>
      <c r="L118" s="581"/>
      <c r="M118" s="581"/>
      <c r="N118" s="581"/>
      <c r="O118" s="581"/>
      <c r="P118" s="581"/>
      <c r="Q118" s="581"/>
      <c r="R118" s="581"/>
      <c r="S118" s="581"/>
    </row>
    <row r="119" spans="1:19" x14ac:dyDescent="0.2">
      <c r="A119"/>
      <c r="B119"/>
      <c r="C119"/>
      <c r="D119"/>
      <c r="E119"/>
      <c r="F119"/>
      <c r="G119"/>
      <c r="I119" t="str">
        <f t="shared" ca="1" si="3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3"/>
        <v/>
      </c>
      <c r="J120" s="581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81"/>
      <c r="L120" s="581"/>
      <c r="M120" s="581"/>
      <c r="N120" s="581"/>
      <c r="O120" s="581"/>
      <c r="P120" s="581"/>
      <c r="Q120" s="581"/>
      <c r="R120" s="581"/>
      <c r="S120" s="581"/>
    </row>
    <row r="121" spans="1:19" x14ac:dyDescent="0.2">
      <c r="A121"/>
      <c r="B121"/>
      <c r="C121"/>
      <c r="D121"/>
      <c r="E121"/>
      <c r="F121"/>
      <c r="G121"/>
      <c r="I121" t="str">
        <f t="shared" ca="1" si="3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3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3"/>
        <v/>
      </c>
      <c r="J123" s="582"/>
      <c r="K123" s="582"/>
      <c r="L123" s="582"/>
      <c r="M123" s="582"/>
      <c r="N123" s="582"/>
      <c r="O123" s="582"/>
      <c r="P123" s="582"/>
      <c r="Q123" s="582"/>
      <c r="R123" s="582"/>
      <c r="S123" s="582"/>
    </row>
    <row r="124" spans="1:19" x14ac:dyDescent="0.2">
      <c r="A124"/>
      <c r="B124"/>
      <c r="C124"/>
      <c r="D124"/>
      <c r="E124"/>
      <c r="F124"/>
      <c r="G124"/>
      <c r="I124" t="str">
        <f t="shared" ca="1" si="3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3"/>
        <v/>
      </c>
      <c r="J125" s="583" t="str">
        <f>Import.Município</f>
        <v>DOIS VIZINHOS - PR</v>
      </c>
      <c r="K125" s="583"/>
      <c r="L125" s="583"/>
      <c r="M125" s="583"/>
      <c r="P125" s="584">
        <f ca="1">DADOS!$F$25</f>
        <v>45663</v>
      </c>
      <c r="Q125" s="584"/>
      <c r="R125" s="584"/>
      <c r="S125" s="584"/>
    </row>
    <row r="126" spans="1:19" x14ac:dyDescent="0.2">
      <c r="A126"/>
      <c r="B126"/>
      <c r="C126"/>
      <c r="D126"/>
      <c r="E126"/>
      <c r="F126"/>
      <c r="G126"/>
      <c r="I126" t="str">
        <f t="shared" ca="1" si="3"/>
        <v/>
      </c>
      <c r="J126" s="585" t="s">
        <v>188</v>
      </c>
      <c r="K126" s="585"/>
      <c r="L126" s="585"/>
      <c r="M126" s="585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3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3"/>
        <v/>
      </c>
      <c r="J128" s="586"/>
      <c r="K128" s="586"/>
      <c r="L128" s="586"/>
      <c r="M128" s="586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3"/>
        <v/>
      </c>
      <c r="J129" s="580" t="s">
        <v>190</v>
      </c>
      <c r="K129" s="580"/>
      <c r="L129" s="580"/>
      <c r="M129" s="580"/>
    </row>
    <row r="130" spans="1:14" ht="14.25" x14ac:dyDescent="0.2">
      <c r="A130"/>
      <c r="B130"/>
      <c r="C130"/>
      <c r="D130"/>
      <c r="E130"/>
      <c r="F130"/>
      <c r="G130"/>
      <c r="I130" t="str">
        <f t="shared" ca="1" si="3"/>
        <v/>
      </c>
      <c r="J130" s="78" t="s">
        <v>108</v>
      </c>
      <c r="K130" s="79" t="str">
        <f t="array" ref="K130:K132">Import.RespOrçamento</f>
        <v xml:space="preserve">RAUL ZANELLA 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3"/>
        <v/>
      </c>
      <c r="J131" s="78" t="s">
        <v>109</v>
      </c>
      <c r="K131" s="79" t="str">
        <v>CREA PR-136200/D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3"/>
        <v/>
      </c>
      <c r="J132" s="78" t="s">
        <v>110</v>
      </c>
      <c r="K132" s="79">
        <v>0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408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/>
  <mergeCells count="144"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</mergeCells>
  <phoneticPr fontId="39" type="noConversion"/>
  <conditionalFormatting sqref="J30:S30 J70:S70 J110:S110">
    <cfRule type="expression" dxfId="1740" priority="2" stopIfTrue="1">
      <formula>DESONERACAO="não"</formula>
    </cfRule>
  </conditionalFormatting>
  <conditionalFormatting sqref="U29:W29 U69:W69 U109:W109">
    <cfRule type="expression" dxfId="1739" priority="3" stopIfTrue="1">
      <formula>AND(U29&lt;&gt;"OK",U29&lt;&gt;"-",U29&lt;&gt;"")</formula>
    </cfRule>
    <cfRule type="cellIs" dxfId="1738" priority="4" stopIfTrue="1" operator="equal">
      <formula>"OK"</formula>
    </cfRule>
  </conditionalFormatting>
  <conditionalFormatting sqref="S29 S69 S109">
    <cfRule type="expression" dxfId="1737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>
      <formula1>0</formula1>
      <formula2>1</formula2>
    </dataValidation>
    <dataValidation type="decimal" allowBlank="1" showErrorMessage="1" errorTitle="Erro de valores" error="Digite um valor maior do que 0." sqref="S27 S67 S107">
      <formula1>0</formula1>
      <formula2>1</formula2>
    </dataValidation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list" allowBlank="1" showErrorMessage="1" sqref="J17:S17 J57:S57 J97:S97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5">
    <pageSetUpPr fitToPage="1"/>
  </sheetPr>
  <dimension ref="A1:AN744"/>
  <sheetViews>
    <sheetView showGridLines="0" tabSelected="1" zoomScaleNormal="100" zoomScaleSheetLayoutView="90" workbookViewId="0">
      <pane xSplit="19" ySplit="15" topLeftCell="W16" activePane="bottomRight" state="frozen"/>
      <selection activeCell="L1" sqref="L1"/>
      <selection pane="topRight" activeCell="T1" sqref="T1"/>
      <selection pane="bottomLeft" activeCell="L16" sqref="L16"/>
      <selection pane="bottomRight" activeCell="AL18" sqref="AL18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Licitado - OGU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600" t="s">
        <v>146</v>
      </c>
      <c r="P4" s="600"/>
      <c r="Q4" s="89" t="s">
        <v>441</v>
      </c>
      <c r="R4" s="89" t="s">
        <v>147</v>
      </c>
      <c r="S4" s="600" t="s">
        <v>202</v>
      </c>
      <c r="T4" s="600"/>
      <c r="U4" s="600"/>
      <c r="V4" s="600"/>
      <c r="W4" s="600"/>
      <c r="X4" s="600"/>
      <c r="Y4" s="78"/>
      <c r="Z4" s="78"/>
      <c r="AA4" s="78"/>
      <c r="AB4" s="78"/>
    </row>
    <row r="5" spans="1:40" ht="12.75" customHeight="1" x14ac:dyDescent="0.2">
      <c r="A5" s="7">
        <f ca="1">MAX($C$15:$C$727)</f>
        <v>2</v>
      </c>
      <c r="B5" s="7"/>
      <c r="C5" s="7"/>
      <c r="F5" s="88">
        <f ca="1">IF(BDI.Opcao="DESONERADO",BDI!$S$30,BDI!$S$29)</f>
        <v>0.2432</v>
      </c>
      <c r="G5" s="88">
        <f ca="1">IF(BDI.Opcao="DESONERADO",BDI!$S$70,BDI!$S$69)</f>
        <v>0</v>
      </c>
      <c r="H5" s="88">
        <f ca="1">IF(BDI.Opcao="DESONERADO",BDI!$S$110,BDI!$S$109)</f>
        <v>0</v>
      </c>
      <c r="O5" s="603" t="str">
        <f>Import.CR</f>
        <v>1095468-12</v>
      </c>
      <c r="P5" s="603"/>
      <c r="Q5" s="92" t="str" cm="1">
        <f t="array" ref="Q5">Import.TransfereGOV</f>
        <v>962693</v>
      </c>
      <c r="R5" s="93" t="str">
        <f>Import.Proponente</f>
        <v>PREFEITURA DE DOIS VIZINHOS - PR</v>
      </c>
      <c r="S5" s="603" t="str">
        <f>Import.Apelido</f>
        <v>Construção do CMEI Cleovanize Totti</v>
      </c>
      <c r="T5" s="603"/>
      <c r="U5" s="603"/>
      <c r="V5" s="603"/>
      <c r="W5" s="603"/>
      <c r="X5" s="603"/>
      <c r="Y5" s="94"/>
      <c r="Z5" s="94"/>
      <c r="AA5" s="94"/>
      <c r="AB5" s="94"/>
      <c r="AE5" s="610" t="s">
        <v>200</v>
      </c>
      <c r="AF5" s="610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600" t="s">
        <v>204</v>
      </c>
      <c r="P7" s="600"/>
      <c r="Q7" s="89" t="s">
        <v>205</v>
      </c>
      <c r="R7" s="89" t="str">
        <f>IF(TIPOORCAMENTO="Licitado","NOME DA EMPRESA","DESCRIÇÃO DO LOTE")</f>
        <v>NOME DA EMPRESA</v>
      </c>
      <c r="S7" s="611" t="str">
        <f>IF(TIPOORCAMENTO="Licitado","REGIME DE EXECUÇÃO","MUNICÍPIO / UF")</f>
        <v>REGIME DE EXECUÇÃO</v>
      </c>
      <c r="T7" s="611"/>
      <c r="U7" s="611"/>
      <c r="V7" s="99" t="str">
        <f>IF(TIPOORCAMENTO="Licitado","","BDI 1")</f>
        <v/>
      </c>
      <c r="W7" s="99" t="str">
        <f>IF(TIPOORCAMENTO="Licitado","","BDI 2")</f>
        <v/>
      </c>
      <c r="X7" s="100" t="str">
        <f>IF(TIPOORCAMENTO="Licitado","Nº CTEF","BDI 3")</f>
        <v>Nº CTEF</v>
      </c>
      <c r="Y7" s="99"/>
      <c r="Z7" s="99"/>
      <c r="AE7" s="90" t="s">
        <v>203</v>
      </c>
      <c r="AF7" s="91" t="b">
        <v>1</v>
      </c>
      <c r="AJ7" s="614" t="s">
        <v>207</v>
      </c>
      <c r="AL7" s="612" t="s">
        <v>208</v>
      </c>
    </row>
    <row r="8" spans="1:40" ht="12.75" customHeight="1" x14ac:dyDescent="0.2">
      <c r="A8" s="7"/>
      <c r="B8" s="7"/>
      <c r="C8" s="7"/>
      <c r="F8" s="615" t="str">
        <f ca="1">IF(LEN(INFO("release"))&gt;5,"'Referência "&amp;Excel_BuiltIn_Database&amp;".xlsm'#Banco.$a5:$a$65536","'[Referência "&amp;Excel_BuiltIn_Database&amp;".xlsm]Banco'!$a5:$a$65536")</f>
        <v>'[Referência 06-2024.xlsm]Banco'!$a5:$a$65536</v>
      </c>
      <c r="G8" s="615"/>
      <c r="H8" s="615"/>
      <c r="I8" s="615"/>
      <c r="J8" s="615"/>
      <c r="K8" s="615"/>
      <c r="L8" s="593" t="s">
        <v>209</v>
      </c>
      <c r="O8" s="603" t="str">
        <f ca="1">IF(ISERROR(INDIRECT($F$9)),"(N/D: 'Referência "&amp;Excel_BuiltIn_Database&amp;".xlsm)",INDIRECT($F$9))</f>
        <v>(N/D: 'Referência 06-2024.xlsm)</v>
      </c>
      <c r="P8" s="603"/>
      <c r="Q8" s="101" t="str">
        <f ca="1">TEXT(Import.DataBase,"mm-aa")&amp;IF(DESONERACAO="Sim"," (DES.)"," (N DES.)")</f>
        <v>06-24 (N DES.)</v>
      </c>
      <c r="R8" s="93">
        <f>IF(TIPOORCAMENTO="Licitado",Import.empresa,Import.DescLote)</f>
        <v>0</v>
      </c>
      <c r="S8" s="616" t="str">
        <f ca="1">IF(TIPOORCAMENTO="Licitado",Import.RegimeExecução,Import.Município)</f>
        <v>EMPREITADA POR PREÇO GLOBAL</v>
      </c>
      <c r="T8" s="616"/>
      <c r="U8" s="616"/>
      <c r="V8" s="102" t="str">
        <f>IF(TIPOORCAMENTO="Licitado","",TEXT(F5,"0,00%"))</f>
        <v/>
      </c>
      <c r="W8" s="102" t="str">
        <f>IF(TIPOORCAMENTO="Licitado","",TEXT(G5,"0,00%"))</f>
        <v/>
      </c>
      <c r="X8" s="103">
        <f>IF(TIPOORCAMENTO="Licitado",Import.CTEF,TEXT(H5,"0,00%"))</f>
        <v>0</v>
      </c>
      <c r="Y8" s="593" t="s">
        <v>210</v>
      </c>
      <c r="Z8" s="593" t="s">
        <v>211</v>
      </c>
      <c r="AA8" s="104"/>
      <c r="AB8" s="104"/>
      <c r="AE8" s="90" t="s">
        <v>206</v>
      </c>
      <c r="AF8" s="91" t="b">
        <v>1</v>
      </c>
      <c r="AJ8" s="614"/>
      <c r="AL8" s="612"/>
    </row>
    <row r="9" spans="1:40" ht="12.75" customHeight="1" x14ac:dyDescent="0.2">
      <c r="F9" s="615" t="str">
        <f ca="1">IF(LEN(INFO("release"))&gt;5,"'Referência "&amp;Excel_BuiltIn_Database&amp;".xlsm'#Banco.$d$3","'[Referência "&amp;Excel_BuiltIn_Database&amp;".xlsm]Banco'!$d$3")</f>
        <v>'[Referência 06-2024.xlsm]Banco'!$d$3</v>
      </c>
      <c r="G9" s="615"/>
      <c r="H9" s="615"/>
      <c r="I9" s="615"/>
      <c r="J9" s="615"/>
      <c r="K9" s="615"/>
      <c r="L9" s="593"/>
      <c r="Y9" s="593"/>
      <c r="Z9" s="593"/>
      <c r="AE9" s="90" t="s">
        <v>212</v>
      </c>
      <c r="AF9" s="91" t="b">
        <v>1</v>
      </c>
      <c r="AJ9" s="614"/>
      <c r="AL9" s="612"/>
    </row>
    <row r="10" spans="1:40" x14ac:dyDescent="0.2">
      <c r="G10" s="86"/>
      <c r="H10" s="86"/>
      <c r="L10" s="593"/>
      <c r="Y10" s="593"/>
      <c r="Z10" s="593"/>
      <c r="AC10" s="105" t="s">
        <v>214</v>
      </c>
      <c r="AE10" s="90" t="s">
        <v>213</v>
      </c>
      <c r="AF10" s="91" t="b">
        <v>1</v>
      </c>
      <c r="AJ10" s="614"/>
      <c r="AL10" s="612"/>
    </row>
    <row r="11" spans="1:40" x14ac:dyDescent="0.2">
      <c r="G11" s="86"/>
      <c r="H11" s="106"/>
      <c r="L11" s="593"/>
      <c r="Y11" s="593"/>
      <c r="Z11" s="593"/>
      <c r="AC11" s="107" t="str">
        <f ca="1">IF(COUNTIF($AC$15:OFFSET($AC$727,-1,0),"DESCRIÇÃO")+COUNTIF($AC$15:OFFSET($AC$727,-1,0),"UNIDADE")+COUNTIF($AC$15:OFFSET($AC$727,-1,0),"SEM VALOR")&gt;0,"NÃO OK","OK")</f>
        <v>OK</v>
      </c>
      <c r="AE11" s="90" t="s">
        <v>215</v>
      </c>
      <c r="AF11" s="91" t="b">
        <v>1</v>
      </c>
      <c r="AJ11" s="614"/>
      <c r="AL11" s="612"/>
    </row>
    <row r="12" spans="1:40" x14ac:dyDescent="0.2">
      <c r="G12" s="86"/>
      <c r="H12" s="86"/>
      <c r="L12" s="593"/>
      <c r="Y12" s="593"/>
      <c r="Z12" s="593"/>
      <c r="AA12" s="613" t="s">
        <v>216</v>
      </c>
      <c r="AB12" s="613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/>
      </c>
      <c r="V13" s="109" t="str">
        <f>IF(TIPOORCAMENTO="Licitado","","BDI
(%)")</f>
        <v/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417</v>
      </c>
      <c r="AH13" s="497" t="str">
        <f>IF(TIPOORCAMENTO="LICITADO","Valor BDI Edital","Valor BDI")</f>
        <v>Valor BDI Edital</v>
      </c>
      <c r="AJ13" s="337" t="s">
        <v>203</v>
      </c>
      <c r="AL13" s="337" t="s">
        <v>236</v>
      </c>
      <c r="AM13" s="168" t="s">
        <v>244</v>
      </c>
      <c r="AN13" s="169" t="s">
        <v>413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IF(OR($C14="S",$C14=0),0,MATCH(0,OFFSET($D14,1,$C14,ROW($C$727)-ROW($C14)),0))</f>
        <v>0</v>
      </c>
      <c r="K14">
        <f ca="1">IF(OR($C14="S",$C14=0),0,MATCH(OFFSET($D14,0,$C14)+IF($C14&lt;&gt;1,1,COUNTIF(QCI!$A$13:$A$24,ORÇAMENTO!E14)),OFFSET($D14,1,$C14,ROW($C$727)-ROW($C14)),0))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(abra o arquivo 'Referência 06-2024.xlsm)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IF($C14="S",IF(Import.TipoArredondamento&lt;&gt;"TransfereGOV",VTOTAL1,SUM(OFFSET(CÁLCULO!$AI$15,ROW($X14)-ROW($X$15),1):OFFSET(CÁLCULO!$BB$15,ROW($X14)-ROW($X$15),-1))),IF($C14=0,0,ROUND(SomaAgrup,15-13*$AF$11)))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06-2024.xlsm)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0.2432</v>
      </c>
      <c r="AJ14" s="501"/>
      <c r="AL14" s="527"/>
      <c r="AM14" s="381">
        <f t="shared" ref="AM14:AM69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COUNTA(OFFSET(D15,1,0):D$727)</f>
        <v>711</v>
      </c>
      <c r="E15">
        <v>0</v>
      </c>
      <c r="L15" s="116" t="s">
        <v>246</v>
      </c>
      <c r="M15" s="132" t="str">
        <f>IF(TIPOORCAMENTO="LICITADO","CTEF","LOTE")</f>
        <v>CTEF</v>
      </c>
      <c r="N15" s="132" t="str">
        <f>IF(TIPOORCAMENTO="LICITADO","CTEF","LOTE")</f>
        <v>CTEF</v>
      </c>
      <c r="O15" s="618" t="str">
        <f>Import.DescLote</f>
        <v>Construção do CMEI Cleovanize Totti Vitoria (FNDE – Creche tipo 1)</v>
      </c>
      <c r="P15" s="618"/>
      <c r="Q15" s="618"/>
      <c r="R15" s="618"/>
      <c r="S15" s="133"/>
      <c r="T15" s="134"/>
      <c r="U15" s="134"/>
      <c r="V15" s="135"/>
      <c r="W15" s="134"/>
      <c r="X15" s="136">
        <f ca="1">SUMIF(OFFSET($C15,1,0,ROW(X727)-ROW(X15)-1),"S",OFFSET(X15,1,0,ROW(X727)-ROW(X15)-1))</f>
        <v>0</v>
      </c>
      <c r="Y15" s="7"/>
      <c r="Z15" t="str">
        <f ca="1">IF(AND($C15="S",$X15&gt;0),LEFT($Y15,2),"")</f>
        <v/>
      </c>
      <c r="AA15" s="496">
        <f ca="1">SUMIF(OFFSET($C15,1,0,ROW(AA727)-ROW(AA15)-1),"S",OFFSET(AA15,1,0,ROW(AA727)-ROW(AA15)-1))</f>
        <v>0</v>
      </c>
      <c r="AB15" s="137">
        <f ca="1">SUMIF(OFFSET($C15,1,0,ROW(AB727)-ROW(AB15)-1),"S",OFFSET(AB15,1,0,ROW(AB727)-ROW(AB15)-1))</f>
        <v>0</v>
      </c>
      <c r="AC15" s="131"/>
      <c r="AG15" s="529"/>
      <c r="AH15" s="530"/>
      <c r="AJ15" s="500"/>
      <c r="AL15" s="528"/>
      <c r="AM15" s="567">
        <f t="shared" ca="1" si="0"/>
        <v>0</v>
      </c>
      <c r="AN15" s="568"/>
    </row>
    <row r="16" spans="1:40" x14ac:dyDescent="0.2">
      <c r="A16">
        <f t="shared" ref="A16:A69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69" ca="1" si="2">IF(OR(C16="s",C16=0),OFFSET(B16,-1,0),C16)</f>
        <v>1</v>
      </c>
      <c r="C16">
        <f t="shared" ref="C16:C69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69" ca="1" si="4">IF(OR(C16="S",C16=0),0,IF(ISERROR(K16),J16,SMALL(J16:K16,1)))</f>
        <v>711</v>
      </c>
      <c r="E16">
        <f ca="1">IF($C16=1,OFFSET(E16,-1,0)+MAX(1,COUNTIF(QCI!$A$13:$A$24,OFFSET(ORÇAMENTO!E16,-1,0))),OFFSET(E16,-1,0))</f>
        <v>1</v>
      </c>
      <c r="F16">
        <f t="shared" ref="F16:F69" ca="1" si="5">IF($C16=1,0,IF($C16=2,OFFSET(F16,-1,0)+1,OFFSET(F16,-1,0)))</f>
        <v>0</v>
      </c>
      <c r="G16">
        <f t="shared" ref="G16:G69" ca="1" si="6">IF(AND($C16&lt;=2,$C16&lt;&gt;0),0,IF($C16=3,OFFSET(G16,-1,0)+1,OFFSET(G16,-1,0)))</f>
        <v>0</v>
      </c>
      <c r="H16">
        <f t="shared" ref="H16:H69" ca="1" si="7">IF(AND($C16&lt;=3,$C16&lt;&gt;0),0,IF($C16=4,OFFSET(H16,-1,0)+1,OFFSET(H16,-1,0)))</f>
        <v>0</v>
      </c>
      <c r="I16">
        <f t="shared" ref="I16:I69" ca="1" si="8">IF(AND($C16&lt;=4,$C16&lt;&gt;0),0,IF(AND($C16="S",$X16&gt;0),OFFSET(I16,-1,0)+1,OFFSET(I16,-1,0)))</f>
        <v>0</v>
      </c>
      <c r="J16">
        <f t="shared" ref="J16:J79" ca="1" si="9">IF(OR($C16="S",$C16=0),0,MATCH(0,OFFSET($D16,1,$C16,ROW($C$727)-ROW($C16)),0))</f>
        <v>711</v>
      </c>
      <c r="K16" t="e">
        <f ca="1">IF(OR($C16="S",$C16=0),0,MATCH(OFFSET($D16,0,$C16)+IF($C16&lt;&gt;1,1,COUNTIF(QCI!$A$13:$A$24,ORÇAMENTO!E16)),OFFSET($D16,1,$C16,ROW($C$727)-ROW($C16)),0))</f>
        <v>#N/A</v>
      </c>
      <c r="L16" s="116" t="str">
        <f t="shared" ref="L16:L69" ca="1" si="10">IF(OR($X16&gt;0,$C16=1,$C16=2,$C16=3,$C16=4),"F","")</f>
        <v>F</v>
      </c>
      <c r="M16" s="117" t="s">
        <v>195</v>
      </c>
      <c r="N16" s="118" t="str">
        <f t="shared" ref="N16:N69" ca="1" si="11">CHOOSE(1+LOG(1+2*(C16=1)+4*(C16=2)+8*(C16=3)+16*(C16=4)+32*(C16="S"),2),"","Meta","Nível 2","Nível 3","Nível 4","Serviço")</f>
        <v>Meta</v>
      </c>
      <c r="O16" s="119" t="str">
        <f t="shared" ref="O16:O69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1012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IF($C16="S",IF(Import.TipoArredondamento&lt;&gt;"TransfereGOV",VTOTAL1,SUM(OFFSET(CÁLCULO!$AI$15,ROW($X16)-ROW($X$15),1):OFFSET(CÁLCULO!$BB$15,ROW($X16)-ROW($X$15),-1))),IF($C16=0,0,ROUND(SomaAgrup,15-13*$AF$11)))</f>
        <v>0</v>
      </c>
      <c r="Y16" s="128" t="s">
        <v>245</v>
      </c>
      <c r="Z16" t="str">
        <f t="shared" ref="Z16:Z69" ca="1" si="13">IF(AND($C16="S",$X16&gt;0),IF(ISBLANK($Y16),"RA",LEFT($Y16,2)),"")</f>
        <v/>
      </c>
      <c r="AA16" s="129">
        <f ca="1">IF($C16="S",IF($Z16="CP",$X16,IF($Z16="RA",(($X16)*QCI!$AA$3),0)),SomaAgrup)</f>
        <v>0</v>
      </c>
      <c r="AB16" s="130">
        <f t="shared" ref="AB16:AB69" ca="1" si="14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06-2024.xlsm)</v>
      </c>
      <c r="AG16" s="498">
        <f ca="1">ROUND(IF(DESONERACAO="sim",REFERENCIA.Desonerado,REFERENCIA.NaoDesonerado),2)</f>
        <v>0</v>
      </c>
      <c r="AH16" s="499">
        <f t="shared" ref="AH16:AH69" ca="1" si="15">ROUND(IF(ISNUMBER(ORÇAMENTO.OpcaoBDI),ORÇAMENTO.OpcaoBDI,IF(LEFT(ORÇAMENTO.OpcaoBDI,3)="BDI",HLOOKUP(ORÇAMENTO.OpcaoBDI,$F$4:$H$5,2,FALSE),0)),15-11*$AF$9)</f>
        <v>0.2432</v>
      </c>
      <c r="AJ16" s="501"/>
      <c r="AL16" s="527"/>
      <c r="AM16" s="381">
        <f t="shared" ca="1" si="0"/>
        <v>0</v>
      </c>
      <c r="AN16" s="566">
        <f t="shared" ref="AN16:AN69" ca="1" si="16">ROUND(ORÇAMENTO.CustoUnitario*(1+$AH16),2)</f>
        <v>0</v>
      </c>
    </row>
    <row r="17" spans="1:40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2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710</v>
      </c>
      <c r="K17">
        <f ca="1">IF(OR($C17="S",$C17=0),0,MATCH(OFFSET($D17,0,$C17)+IF($C17&lt;&gt;1,1,COUNTIF(QCI!$A$13:$A$24,ORÇAMENTO!E17)),OFFSET($D17,1,$C17,ROW($C$727)-ROW($C17)),0))</f>
        <v>2</v>
      </c>
      <c r="L17" s="116" t="str">
        <f t="shared" ca="1" si="10"/>
        <v>F</v>
      </c>
      <c r="M17" s="117" t="s">
        <v>196</v>
      </c>
      <c r="N17" s="118" t="str">
        <f t="shared" ca="1" si="11"/>
        <v>Nível 2</v>
      </c>
      <c r="O17" s="119" t="str">
        <f t="shared" ca="1" si="12"/>
        <v>1.1.</v>
      </c>
      <c r="P17" s="120"/>
      <c r="Q17" s="121"/>
      <c r="R17" s="122" t="s">
        <v>1018</v>
      </c>
      <c r="S17" s="123" t="str">
        <f ca="1">REFERENCIA.Unidade</f>
        <v>-</v>
      </c>
      <c r="T17" s="124">
        <f ca="1">OFFSET(CÁLCULO!H$15,ROW($T17)-ROW(T$15),0)</f>
        <v>0</v>
      </c>
      <c r="U17" s="125">
        <f ca="1">AG17</f>
        <v>0</v>
      </c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IF($C17="S",IF(Import.TipoArredondamento&lt;&gt;"TransfereGOV",VTOTAL1,SUM(OFFSET(CÁLCULO!$AI$15,ROW($X17)-ROW($X$15),1):OFFSET(CÁLCULO!$BB$15,ROW($X17)-ROW($X$15),-1))),IF($C17=0,0,ROUND(SomaAgrup,15-13*$AF$11)))</f>
        <v>0</v>
      </c>
      <c r="Y17" s="128" t="s">
        <v>245</v>
      </c>
      <c r="Z17" t="str">
        <f t="shared" ca="1" si="13"/>
        <v/>
      </c>
      <c r="AA17" s="129">
        <f ca="1">IF($C17="S",IF($Z17="CP",$X17,IF($Z17="RA",(($X17)*QCI!$AA$3),0)),SomaAgrup)</f>
        <v>0</v>
      </c>
      <c r="AB17" s="130">
        <f t="shared" ca="1" si="14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06-2024.xlsm)</v>
      </c>
      <c r="AG17" s="498">
        <f ca="1">ROUND(IF(DESONERACAO="sim",REFERENCIA.Desonerado,REFERENCIA.NaoDesonerado),2)</f>
        <v>0</v>
      </c>
      <c r="AH17" s="499">
        <f t="shared" ca="1" si="15"/>
        <v>0.2432</v>
      </c>
      <c r="AJ17" s="501"/>
      <c r="AL17" s="527"/>
      <c r="AM17" s="381">
        <f t="shared" ca="1" si="0"/>
        <v>0</v>
      </c>
      <c r="AN17" s="566">
        <f t="shared" ca="1" si="16"/>
        <v>0</v>
      </c>
    </row>
    <row r="18" spans="1:40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0</v>
      </c>
      <c r="J18">
        <f t="shared" ca="1" si="9"/>
        <v>0</v>
      </c>
      <c r="K18">
        <f ca="1">IF(OR($C18="S",$C18=0),0,MATCH(OFFSET($D18,0,$C18)+IF($C18&lt;&gt;1,1,COUNTIF(QCI!$A$13:$A$24,ORÇAMENTO!E18)),OFFSET($D18,1,$C18,ROW($C$727)-ROW($C18)),0))</f>
        <v>0</v>
      </c>
      <c r="L18" s="116" t="str">
        <f t="shared" ca="1" si="10"/>
        <v/>
      </c>
      <c r="M18" s="117" t="s">
        <v>199</v>
      </c>
      <c r="N18" s="118" t="str">
        <f t="shared" ca="1" si="11"/>
        <v>Serviço</v>
      </c>
      <c r="O18" s="119" t="str">
        <f t="shared" ca="1" si="12"/>
        <v>-</v>
      </c>
      <c r="P18" s="120" t="s">
        <v>458</v>
      </c>
      <c r="Q18" s="121" t="s">
        <v>463</v>
      </c>
      <c r="R18" s="122" t="str">
        <f ca="1">IF($C18="S",REFERENCIA.Descricao,"(digite a descrição aqui)")</f>
        <v>(abra o arquivo 'Referência 06-2024.xlsm)</v>
      </c>
      <c r="S18" s="123" t="str">
        <f ca="1">REFERENCIA.Unidade</f>
        <v>-</v>
      </c>
      <c r="T18" s="124">
        <f ca="1">OFFSET(CÁLCULO!H$15,ROW($T18)-ROW(T$15),0)</f>
        <v>1</v>
      </c>
      <c r="U18" s="125">
        <f ca="1">AG18</f>
        <v>0</v>
      </c>
      <c r="V18" s="126" t="s">
        <v>156</v>
      </c>
      <c r="W18" s="124">
        <f ca="1">IF($C18="S",ROUND(IF(TIPOORCAMENTO="Proposto",ORÇAMENTO.CustoUnitario*(1+$AH18),ORÇAMENTO.PrecoUnitarioLicitado),15-13*$AF$10),0)</f>
        <v>0</v>
      </c>
      <c r="X18" s="127">
        <f ca="1">IF($C18="S",IF(Import.TipoArredondamento&lt;&gt;"TransfereGOV",VTOTAL1,SUM(OFFSET(CÁLCULO!$AI$15,ROW($X18)-ROW($X$15),1):OFFSET(CÁLCULO!$BB$15,ROW($X18)-ROW($X$15),-1))),IF($C18=0,0,ROUND(SomaAgrup,15-13*$AF$11)))</f>
        <v>0</v>
      </c>
      <c r="Y18" s="128" t="s">
        <v>245</v>
      </c>
      <c r="Z18" t="str">
        <f t="shared" ca="1" si="13"/>
        <v/>
      </c>
      <c r="AA18" s="129">
        <f ca="1">IF($C18="S",IF($Z18="CP",$X18,IF($Z18="RA",(($X18)*QCI!$AA$3),0)),SomaAgrup)</f>
        <v>0</v>
      </c>
      <c r="AB18" s="130">
        <f t="shared" ca="1" si="14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COMPOSIÇÃO FNDE 244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06-2024.xlsm)</v>
      </c>
      <c r="AG18" s="498">
        <f ca="1">ROUND(IF(DESONERACAO="sim",REFERENCIA.Desonerado,REFERENCIA.NaoDesonerado),2)</f>
        <v>0</v>
      </c>
      <c r="AH18" s="499">
        <f t="shared" ca="1" si="15"/>
        <v>0.2432</v>
      </c>
      <c r="AJ18" s="501"/>
      <c r="AL18" s="527"/>
      <c r="AM18" s="381">
        <f t="shared" ca="1" si="0"/>
        <v>0</v>
      </c>
      <c r="AN18" s="566">
        <f t="shared" ca="1" si="16"/>
        <v>0</v>
      </c>
    </row>
    <row r="19" spans="1:40" x14ac:dyDescent="0.2">
      <c r="A19">
        <f t="shared" si="1"/>
        <v>2</v>
      </c>
      <c r="B19">
        <f t="shared" ca="1" si="2"/>
        <v>2</v>
      </c>
      <c r="C19">
        <f t="shared" ca="1" si="3"/>
        <v>2</v>
      </c>
      <c r="D19">
        <f t="shared" ca="1" si="4"/>
        <v>4</v>
      </c>
      <c r="E19">
        <f ca="1">IF($C19=1,OFFSET(E19,-1,0)+MAX(1,COUNTIF(QCI!$A$13:$A$24,OFFSET(ORÇAMENTO!E19,-1,0))),OFFSET(E19,-1,0))</f>
        <v>1</v>
      </c>
      <c r="F19">
        <f t="shared" ca="1" si="5"/>
        <v>2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708</v>
      </c>
      <c r="K19">
        <f ca="1">IF(OR($C19="S",$C19=0),0,MATCH(OFFSET($D19,0,$C19)+IF($C19&lt;&gt;1,1,COUNTIF(QCI!$A$13:$A$24,ORÇAMENTO!E19)),OFFSET($D19,1,$C19,ROW($C$727)-ROW($C19)),0))</f>
        <v>4</v>
      </c>
      <c r="L19" s="116" t="str">
        <f t="shared" ca="1" si="10"/>
        <v>F</v>
      </c>
      <c r="M19" s="117" t="s">
        <v>196</v>
      </c>
      <c r="N19" s="118" t="str">
        <f t="shared" ca="1" si="11"/>
        <v>Nível 2</v>
      </c>
      <c r="O19" s="119" t="str">
        <f t="shared" ca="1" si="12"/>
        <v>1.2.</v>
      </c>
      <c r="P19" s="120"/>
      <c r="Q19" s="121"/>
      <c r="R19" s="122" t="s">
        <v>1019</v>
      </c>
      <c r="S19" s="123" t="str">
        <f ca="1">REFERENCIA.Unidade</f>
        <v>-</v>
      </c>
      <c r="T19" s="124">
        <f ca="1">OFFSET(CÁLCULO!H$15,ROW($T19)-ROW(T$15),0)</f>
        <v>0</v>
      </c>
      <c r="U19" s="125">
        <f t="shared" ref="U19:U73" ca="1" si="17">AG19</f>
        <v>0</v>
      </c>
      <c r="V19" s="126" t="s">
        <v>156</v>
      </c>
      <c r="W19" s="124">
        <f ca="1">IF($C19="S",ROUND(IF(TIPOORCAMENTO="Proposto",ORÇAMENTO.CustoUnitario*(1+$AH19),ORÇAMENTO.PrecoUnitarioLicitado),15-13*$AF$10),0)</f>
        <v>0</v>
      </c>
      <c r="X19" s="127">
        <f ca="1">IF($C19="S",IF(Import.TipoArredondamento&lt;&gt;"TransfereGOV",VTOTAL1,SUM(OFFSET(CÁLCULO!$AI$15,ROW($X19)-ROW($X$15),1):OFFSET(CÁLCULO!$BB$15,ROW($X19)-ROW($X$15),-1))),IF($C19=0,0,ROUND(SomaAgrup,15-13*$AF$11)))</f>
        <v>0</v>
      </c>
      <c r="Y19" s="128" t="s">
        <v>245</v>
      </c>
      <c r="Z19" t="str">
        <f t="shared" ca="1" si="13"/>
        <v/>
      </c>
      <c r="AA19" s="129">
        <f ca="1">IF($C19="S",IF($Z19="CP",$X19,IF($Z19="RA",(($X19)*QCI!$AA$3),0)),SomaAgrup)</f>
        <v>0</v>
      </c>
      <c r="AB19" s="130">
        <f t="shared" ca="1" si="14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>
        <f ca="1">IF(C19&lt;=CRONO.NivelExibicao,MAX($AD$15:OFFSET(AD19,-1,0))+IF($C19&lt;&gt;1,1,MAX(1,COUNTIF(QCI!$A$13:$A$24,OFFSET($E19,-1,0)))),"")</f>
        <v>3</v>
      </c>
      <c r="AE19" s="7" t="b">
        <f ca="1">IF(AND($C19="S",ORÇAMENTO.CodBarra&lt;&gt;""),IF(ORÇAMENTO.Fonte="",ORÇAMENTO.CodBarra,CONCATENATE(ORÇAMENTO.Fonte," ",ORÇAMENTO.CodBarra)))</f>
        <v>0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06-2024.xlsm)</v>
      </c>
      <c r="AG19" s="498">
        <f ca="1">ROUND(IF(DESONERACAO="sim",REFERENCIA.Desonerado,REFERENCIA.NaoDesonerado),2)</f>
        <v>0</v>
      </c>
      <c r="AH19" s="499">
        <f t="shared" ca="1" si="15"/>
        <v>0.2432</v>
      </c>
      <c r="AJ19" s="501"/>
      <c r="AL19" s="527"/>
      <c r="AM19" s="381">
        <f t="shared" ca="1" si="0"/>
        <v>0</v>
      </c>
      <c r="AN19" s="566">
        <f t="shared" ca="1" si="16"/>
        <v>0</v>
      </c>
    </row>
    <row r="20" spans="1:40" ht="38.25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2</v>
      </c>
      <c r="G20">
        <f t="shared" ca="1" si="6"/>
        <v>0</v>
      </c>
      <c r="H20">
        <f t="shared" ca="1" si="7"/>
        <v>0</v>
      </c>
      <c r="I20">
        <f t="shared" ca="1" si="8"/>
        <v>0</v>
      </c>
      <c r="J20">
        <f t="shared" ca="1" si="9"/>
        <v>0</v>
      </c>
      <c r="K20">
        <f ca="1">IF(OR($C20="S",$C20=0),0,MATCH(OFFSET($D20,0,$C20)+IF($C20&lt;&gt;1,1,COUNTIF(QCI!$A$13:$A$24,ORÇAMENTO!E20)),OFFSET($D20,1,$C20,ROW($C$727)-ROW($C20)),0))</f>
        <v>0</v>
      </c>
      <c r="L20" s="116" t="str">
        <f t="shared" ca="1" si="10"/>
        <v/>
      </c>
      <c r="M20" s="117" t="s">
        <v>199</v>
      </c>
      <c r="N20" s="118" t="str">
        <f t="shared" ca="1" si="11"/>
        <v>Serviço</v>
      </c>
      <c r="O20" s="119" t="str">
        <f t="shared" ca="1" si="12"/>
        <v>-</v>
      </c>
      <c r="P20" s="120" t="s">
        <v>458</v>
      </c>
      <c r="Q20" s="121" t="s">
        <v>460</v>
      </c>
      <c r="R20" s="122" t="str">
        <f ca="1">IF($C20="S",REFERENCIA.Descricao,"(digite a descrição aqui)")</f>
        <v>(abra o arquivo 'Referência 06-2024.xlsm)</v>
      </c>
      <c r="S20" s="123" t="str">
        <f ca="1">REFERENCIA.Unidade</f>
        <v>-</v>
      </c>
      <c r="T20" s="124">
        <f ca="1">OFFSET(CÁLCULO!H$15,ROW($T20)-ROW(T$15),0)</f>
        <v>12</v>
      </c>
      <c r="U20" s="125">
        <f ca="1">AG20</f>
        <v>0</v>
      </c>
      <c r="V20" s="126" t="s">
        <v>156</v>
      </c>
      <c r="W20" s="124">
        <f ca="1">IF($C20="S",ROUND(IF(TIPOORCAMENTO="Proposto",ORÇAMENTO.CustoUnitario*(1+$AH20),ORÇAMENTO.PrecoUnitarioLicitado),15-13*$AF$10),0)</f>
        <v>0</v>
      </c>
      <c r="X20" s="127">
        <f ca="1">IF($C20="S",IF(Import.TipoArredondamento&lt;&gt;"TransfereGOV",VTOTAL1,SUM(OFFSET(CÁLCULO!$AI$15,ROW($X20)-ROW($X$15),1):OFFSET(CÁLCULO!$BB$15,ROW($X20)-ROW($X$15),-1))),IF($C20=0,0,ROUND(SomaAgrup,15-13*$AF$11)))</f>
        <v>0</v>
      </c>
      <c r="Y20" s="128" t="s">
        <v>245</v>
      </c>
      <c r="Z20" t="str">
        <f t="shared" ca="1" si="13"/>
        <v/>
      </c>
      <c r="AA20" s="129">
        <f ca="1">IF($C20="S",IF($Z20="CP",$X20,IF($Z20="RA",(($X20)*QCI!$AA$3),0)),SomaAgrup)</f>
        <v>0</v>
      </c>
      <c r="AB20" s="130">
        <f t="shared" ca="1" si="14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COMPOSIÇÃO FNDE 231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06-2024.xlsm)</v>
      </c>
      <c r="AG20" s="498">
        <f ca="1">ROUND(IF(DESONERACAO="sim",REFERENCIA.Desonerado,REFERENCIA.NaoDesonerado),2)</f>
        <v>0</v>
      </c>
      <c r="AH20" s="499">
        <f t="shared" ca="1" si="15"/>
        <v>0.2432</v>
      </c>
      <c r="AJ20" s="501"/>
      <c r="AL20" s="527"/>
      <c r="AM20" s="381">
        <f t="shared" ca="1" si="0"/>
        <v>0</v>
      </c>
      <c r="AN20" s="566">
        <f t="shared" ca="1" si="16"/>
        <v>0</v>
      </c>
    </row>
    <row r="21" spans="1:40" ht="38.25" x14ac:dyDescent="0.2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IF($C21=1,OFFSET(E21,-1,0)+MAX(1,COUNTIF(QCI!$A$13:$A$24,OFFSET(ORÇAMENTO!E21,-1,0))),OFFSET(E21,-1,0))</f>
        <v>1</v>
      </c>
      <c r="F21">
        <f t="shared" ca="1" si="5"/>
        <v>2</v>
      </c>
      <c r="G21">
        <f t="shared" ca="1" si="6"/>
        <v>0</v>
      </c>
      <c r="H21">
        <f t="shared" ca="1" si="7"/>
        <v>0</v>
      </c>
      <c r="I21">
        <f t="shared" ca="1" si="8"/>
        <v>0</v>
      </c>
      <c r="J21">
        <f t="shared" ca="1" si="9"/>
        <v>0</v>
      </c>
      <c r="K21">
        <f ca="1">IF(OR($C21="S",$C21=0),0,MATCH(OFFSET($D21,0,$C21)+IF($C21&lt;&gt;1,1,COUNTIF(QCI!$A$13:$A$24,ORÇAMENTO!E21)),OFFSET($D21,1,$C21,ROW($C$727)-ROW($C21)),0))</f>
        <v>0</v>
      </c>
      <c r="L21" s="116" t="str">
        <f t="shared" ca="1" si="10"/>
        <v/>
      </c>
      <c r="M21" s="117" t="s">
        <v>199</v>
      </c>
      <c r="N21" s="118" t="str">
        <f t="shared" ca="1" si="11"/>
        <v>Serviço</v>
      </c>
      <c r="O21" s="119" t="str">
        <f t="shared" ca="1" si="12"/>
        <v>-</v>
      </c>
      <c r="P21" s="120" t="s">
        <v>458</v>
      </c>
      <c r="Q21" s="121" t="s">
        <v>461</v>
      </c>
      <c r="R21" s="122" t="str">
        <f ca="1">IF($C21="S",REFERENCIA.Descricao,"(digite a descrição aqui)")</f>
        <v>(abra o arquivo 'Referência 06-2024.xlsm)</v>
      </c>
      <c r="S21" s="123" t="str">
        <f ca="1">REFERENCIA.Unidade</f>
        <v>-</v>
      </c>
      <c r="T21" s="124">
        <f ca="1">OFFSET(CÁLCULO!H$15,ROW($T21)-ROW(T$15),0)</f>
        <v>12</v>
      </c>
      <c r="U21" s="125">
        <f t="shared" ref="U21:U22" ca="1" si="18">AG21</f>
        <v>0</v>
      </c>
      <c r="V21" s="126" t="s">
        <v>156</v>
      </c>
      <c r="W21" s="124">
        <f ca="1">IF($C21="S",ROUND(IF(TIPOORCAMENTO="Proposto",ORÇAMENTO.CustoUnitario*(1+$AH21),ORÇAMENTO.PrecoUnitarioLicitado),15-13*$AF$10),0)</f>
        <v>0</v>
      </c>
      <c r="X21" s="127">
        <f ca="1">IF($C21="S",IF(Import.TipoArredondamento&lt;&gt;"TransfereGOV",VTOTAL1,SUM(OFFSET(CÁLCULO!$AI$15,ROW($X21)-ROW($X$15),1):OFFSET(CÁLCULO!$BB$15,ROW($X21)-ROW($X$15),-1))),IF($C21=0,0,ROUND(SomaAgrup,15-13*$AF$11)))</f>
        <v>0</v>
      </c>
      <c r="Y21" s="128" t="s">
        <v>245</v>
      </c>
      <c r="Z21" t="str">
        <f t="shared" ca="1" si="13"/>
        <v/>
      </c>
      <c r="AA21" s="129">
        <f ca="1">IF($C21="S",IF($Z21="CP",$X21,IF($Z21="RA",(($X21)*QCI!$AA$3),0)),SomaAgrup)</f>
        <v>0</v>
      </c>
      <c r="AB21" s="130">
        <f t="shared" ca="1" si="14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COMPOSIÇÃO FNDE 230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06-2024.xlsm)</v>
      </c>
      <c r="AG21" s="498">
        <f ca="1">ROUND(IF(DESONERACAO="sim",REFERENCIA.Desonerado,REFERENCIA.NaoDesonerado),2)</f>
        <v>0</v>
      </c>
      <c r="AH21" s="499">
        <f t="shared" ca="1" si="15"/>
        <v>0.2432</v>
      </c>
      <c r="AJ21" s="501"/>
      <c r="AL21" s="527"/>
      <c r="AM21" s="381">
        <f t="shared" ca="1" si="0"/>
        <v>0</v>
      </c>
      <c r="AN21" s="566">
        <f t="shared" ca="1" si="16"/>
        <v>0</v>
      </c>
    </row>
    <row r="22" spans="1:40" ht="38.25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2</v>
      </c>
      <c r="G22">
        <f t="shared" ca="1" si="6"/>
        <v>0</v>
      </c>
      <c r="H22">
        <f t="shared" ca="1" si="7"/>
        <v>0</v>
      </c>
      <c r="I22">
        <f t="shared" ca="1" si="8"/>
        <v>0</v>
      </c>
      <c r="J22">
        <f t="shared" ca="1" si="9"/>
        <v>0</v>
      </c>
      <c r="K22">
        <f ca="1">IF(OR($C22="S",$C22=0),0,MATCH(OFFSET($D22,0,$C22)+IF($C22&lt;&gt;1,1,COUNTIF(QCI!$A$13:$A$24,ORÇAMENTO!E22)),OFFSET($D22,1,$C22,ROW($C$727)-ROW($C22)),0))</f>
        <v>0</v>
      </c>
      <c r="L22" s="116" t="str">
        <f t="shared" ca="1" si="10"/>
        <v/>
      </c>
      <c r="M22" s="117" t="s">
        <v>199</v>
      </c>
      <c r="N22" s="118" t="str">
        <f t="shared" ca="1" si="11"/>
        <v>Serviço</v>
      </c>
      <c r="O22" s="119" t="str">
        <f t="shared" ca="1" si="12"/>
        <v>-</v>
      </c>
      <c r="P22" s="120" t="s">
        <v>458</v>
      </c>
      <c r="Q22" s="121" t="s">
        <v>462</v>
      </c>
      <c r="R22" s="122" t="str">
        <f ca="1">IF($C22="S",REFERENCIA.Descricao,"(digite a descrição aqui)")</f>
        <v>(abra o arquivo 'Referência 06-2024.xlsm)</v>
      </c>
      <c r="S22" s="123" t="str">
        <f ca="1">REFERENCIA.Unidade</f>
        <v>-</v>
      </c>
      <c r="T22" s="124">
        <f ca="1">OFFSET(CÁLCULO!H$15,ROW($T22)-ROW(T$15),0)</f>
        <v>12</v>
      </c>
      <c r="U22" s="125">
        <f t="shared" ca="1" si="18"/>
        <v>0</v>
      </c>
      <c r="V22" s="126" t="s">
        <v>156</v>
      </c>
      <c r="W22" s="124">
        <f ca="1">IF($C22="S",ROUND(IF(TIPOORCAMENTO="Proposto",ORÇAMENTO.CustoUnitario*(1+$AH22),ORÇAMENTO.PrecoUnitarioLicitado),15-13*$AF$10),0)</f>
        <v>0</v>
      </c>
      <c r="X22" s="127">
        <f ca="1">IF($C22="S",IF(Import.TipoArredondamento&lt;&gt;"TransfereGOV",VTOTAL1,SUM(OFFSET(CÁLCULO!$AI$15,ROW($X22)-ROW($X$15),1):OFFSET(CÁLCULO!$BB$15,ROW($X22)-ROW($X$15),-1))),IF($C22=0,0,ROUND(SomaAgrup,15-13*$AF$11)))</f>
        <v>0</v>
      </c>
      <c r="Y22" s="128" t="s">
        <v>245</v>
      </c>
      <c r="Z22" t="str">
        <f t="shared" ca="1" si="13"/>
        <v/>
      </c>
      <c r="AA22" s="129">
        <f ca="1">IF($C22="S",IF($Z22="CP",$X22,IF($Z22="RA",(($X22)*QCI!$AA$3),0)),SomaAgrup)</f>
        <v>0</v>
      </c>
      <c r="AB22" s="130">
        <f t="shared" ca="1" si="14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COMPOSIÇÃO FNDE 232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06-2024.xlsm)</v>
      </c>
      <c r="AG22" s="498">
        <f ca="1">ROUND(IF(DESONERACAO="sim",REFERENCIA.Desonerado,REFERENCIA.NaoDesonerado),2)</f>
        <v>0</v>
      </c>
      <c r="AH22" s="499">
        <f t="shared" ca="1" si="15"/>
        <v>0.2432</v>
      </c>
      <c r="AJ22" s="501"/>
      <c r="AL22" s="527"/>
      <c r="AM22" s="381">
        <f t="shared" ca="1" si="0"/>
        <v>0</v>
      </c>
      <c r="AN22" s="566">
        <f t="shared" ca="1" si="16"/>
        <v>0</v>
      </c>
    </row>
    <row r="23" spans="1:40" x14ac:dyDescent="0.2">
      <c r="A23">
        <f t="shared" si="1"/>
        <v>2</v>
      </c>
      <c r="B23">
        <f t="shared" ca="1" si="2"/>
        <v>2</v>
      </c>
      <c r="C23">
        <f t="shared" ca="1" si="3"/>
        <v>2</v>
      </c>
      <c r="D23">
        <f t="shared" ca="1" si="4"/>
        <v>6</v>
      </c>
      <c r="E23">
        <f ca="1">IF($C23=1,OFFSET(E23,-1,0)+MAX(1,COUNTIF(QCI!$A$13:$A$24,OFFSET(ORÇAMENTO!E23,-1,0))),OFFSET(E23,-1,0))</f>
        <v>1</v>
      </c>
      <c r="F23">
        <f t="shared" ca="1" si="5"/>
        <v>3</v>
      </c>
      <c r="G23">
        <f t="shared" ca="1" si="6"/>
        <v>0</v>
      </c>
      <c r="H23">
        <f t="shared" ca="1" si="7"/>
        <v>0</v>
      </c>
      <c r="I23">
        <f t="shared" ca="1" si="8"/>
        <v>0</v>
      </c>
      <c r="J23">
        <f t="shared" ca="1" si="9"/>
        <v>704</v>
      </c>
      <c r="K23">
        <f ca="1">IF(OR($C23="S",$C23=0),0,MATCH(OFFSET($D23,0,$C23)+IF($C23&lt;&gt;1,1,COUNTIF(QCI!$A$13:$A$24,ORÇAMENTO!E23)),OFFSET($D23,1,$C23,ROW($C$727)-ROW($C23)),0))</f>
        <v>6</v>
      </c>
      <c r="L23" s="116" t="str">
        <f t="shared" ca="1" si="10"/>
        <v>F</v>
      </c>
      <c r="M23" s="117" t="s">
        <v>196</v>
      </c>
      <c r="N23" s="118" t="str">
        <f t="shared" ca="1" si="11"/>
        <v>Nível 2</v>
      </c>
      <c r="O23" s="119" t="str">
        <f t="shared" ca="1" si="12"/>
        <v>1.3.</v>
      </c>
      <c r="P23" s="120" t="s">
        <v>247</v>
      </c>
      <c r="Q23" s="121"/>
      <c r="R23" s="122" t="s">
        <v>456</v>
      </c>
      <c r="S23" s="123" t="str">
        <f ca="1">REFERENCIA.Unidade</f>
        <v>-</v>
      </c>
      <c r="T23" s="124">
        <f ca="1">OFFSET(CÁLCULO!H$15,ROW($T23)-ROW(T$15),0)</f>
        <v>0</v>
      </c>
      <c r="U23" s="125"/>
      <c r="V23" s="126" t="s">
        <v>156</v>
      </c>
      <c r="W23" s="124">
        <f ca="1">IF($C23="S",ROUND(IF(TIPOORCAMENTO="Proposto",ORÇAMENTO.CustoUnitario*(1+$AH23),ORÇAMENTO.PrecoUnitarioLicitado),15-13*$AF$10),0)</f>
        <v>0</v>
      </c>
      <c r="X23" s="127">
        <f ca="1">IF($C23="S",IF(Import.TipoArredondamento&lt;&gt;"TransfereGOV",VTOTAL1,SUM(OFFSET(CÁLCULO!$AI$15,ROW($X23)-ROW($X$15),1):OFFSET(CÁLCULO!$BB$15,ROW($X23)-ROW($X$15),-1))),IF($C23=0,0,ROUND(SomaAgrup,15-13*$AF$11)))</f>
        <v>0</v>
      </c>
      <c r="Y23" s="128" t="s">
        <v>245</v>
      </c>
      <c r="Z23" t="str">
        <f t="shared" ca="1" si="13"/>
        <v/>
      </c>
      <c r="AA23" s="129">
        <f ca="1">IF($C23="S",IF($Z23="CP",$X23,IF($Z23="RA",(($X23)*QCI!$AA$3),0)),SomaAgrup)</f>
        <v>0</v>
      </c>
      <c r="AB23" s="130">
        <f t="shared" ca="1" si="14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>
        <f ca="1">IF(C23&lt;=CRONO.NivelExibicao,MAX($AD$15:OFFSET(AD23,-1,0))+IF($C23&lt;&gt;1,1,MAX(1,COUNTIF(QCI!$A$13:$A$24,OFFSET($E23,-1,0)))),"")</f>
        <v>4</v>
      </c>
      <c r="AE23" s="7" t="b">
        <f ca="1">IF(AND($C23="S",ORÇAMENTO.CodBarra&lt;&gt;""),IF(ORÇAMENTO.Fonte="",ORÇAMENTO.CodBarra,CONCATENATE(ORÇAMENTO.Fonte," ",ORÇAMENTO.CodBarra)))</f>
        <v>0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06-2024.xlsm)</v>
      </c>
      <c r="AG23" s="498">
        <f ca="1">ROUND(IF(DESONERACAO="sim",REFERENCIA.Desonerado,REFERENCIA.NaoDesonerado),2)</f>
        <v>0</v>
      </c>
      <c r="AH23" s="499">
        <f t="shared" ca="1" si="15"/>
        <v>0.2432</v>
      </c>
      <c r="AJ23" s="501"/>
      <c r="AL23" s="527"/>
      <c r="AM23" s="381">
        <f t="shared" ca="1" si="0"/>
        <v>0</v>
      </c>
      <c r="AN23" s="566">
        <f t="shared" ca="1" si="16"/>
        <v>0</v>
      </c>
    </row>
    <row r="24" spans="1:40" ht="25.5" x14ac:dyDescent="0.2">
      <c r="A24" t="str">
        <f t="shared" si="1"/>
        <v>S</v>
      </c>
      <c r="B24">
        <f t="shared" ca="1" si="2"/>
        <v>2</v>
      </c>
      <c r="C24" t="str">
        <f t="shared" ca="1" si="3"/>
        <v>S</v>
      </c>
      <c r="D24">
        <f t="shared" ca="1" si="4"/>
        <v>0</v>
      </c>
      <c r="E24">
        <f ca="1">IF($C24=1,OFFSET(E24,-1,0)+MAX(1,COUNTIF(QCI!$A$13:$A$24,OFFSET(ORÇAMENTO!E24,-1,0))),OFFSET(E24,-1,0))</f>
        <v>1</v>
      </c>
      <c r="F24">
        <f t="shared" ca="1" si="5"/>
        <v>3</v>
      </c>
      <c r="G24">
        <f t="shared" ca="1" si="6"/>
        <v>0</v>
      </c>
      <c r="H24">
        <f t="shared" ca="1" si="7"/>
        <v>0</v>
      </c>
      <c r="I24">
        <f t="shared" ca="1" si="8"/>
        <v>0</v>
      </c>
      <c r="J24">
        <f t="shared" ca="1" si="9"/>
        <v>0</v>
      </c>
      <c r="K24">
        <f ca="1">IF(OR($C24="S",$C24=0),0,MATCH(OFFSET($D24,0,$C24)+IF($C24&lt;&gt;1,1,COUNTIF(QCI!$A$13:$A$24,ORÇAMENTO!E24)),OFFSET($D24,1,$C24,ROW($C$727)-ROW($C24)),0))</f>
        <v>0</v>
      </c>
      <c r="L24" s="116" t="str">
        <f t="shared" ca="1" si="10"/>
        <v/>
      </c>
      <c r="M24" s="117" t="s">
        <v>199</v>
      </c>
      <c r="N24" s="118" t="str">
        <f t="shared" ca="1" si="11"/>
        <v>Serviço</v>
      </c>
      <c r="O24" s="119" t="str">
        <f t="shared" ca="1" si="12"/>
        <v>-</v>
      </c>
      <c r="P24" s="120" t="s">
        <v>247</v>
      </c>
      <c r="Q24" s="121">
        <v>103689</v>
      </c>
      <c r="R24" s="122" t="str">
        <f ca="1">IF($C24="S",REFERENCIA.Descricao,"(digite a descrição aqui)")</f>
        <v>(abra o arquivo 'Referência 06-2024.xlsm)</v>
      </c>
      <c r="S24" s="123" t="str">
        <f ca="1">REFERENCIA.Unidade</f>
        <v>-</v>
      </c>
      <c r="T24" s="124">
        <f ca="1">OFFSET(CÁLCULO!H$15,ROW($T24)-ROW(T$15),0)</f>
        <v>6.48</v>
      </c>
      <c r="U24" s="125">
        <f t="shared" ca="1" si="17"/>
        <v>0</v>
      </c>
      <c r="V24" s="126" t="s">
        <v>156</v>
      </c>
      <c r="W24" s="124">
        <f ca="1">IF($C24="S",ROUND(IF(TIPOORCAMENTO="Proposto",ORÇAMENTO.CustoUnitario*(1+$AH24),ORÇAMENTO.PrecoUnitarioLicitado),15-13*$AF$10),0)</f>
        <v>0</v>
      </c>
      <c r="X24" s="127">
        <f ca="1">IF($C24="S",IF(Import.TipoArredondamento&lt;&gt;"TransfereGOV",VTOTAL1,SUM(OFFSET(CÁLCULO!$AI$15,ROW($X24)-ROW($X$15),1):OFFSET(CÁLCULO!$BB$15,ROW($X24)-ROW($X$15),-1))),IF($C24=0,0,ROUND(SomaAgrup,15-13*$AF$11)))</f>
        <v>0</v>
      </c>
      <c r="Y24" s="128" t="s">
        <v>245</v>
      </c>
      <c r="Z24" t="str">
        <f t="shared" ca="1" si="13"/>
        <v/>
      </c>
      <c r="AA24" s="129">
        <f ca="1">IF($C24="S",IF($Z24="CP",$X24,IF($Z24="RA",(($X24)*QCI!$AA$3),0)),SomaAgrup)</f>
        <v>0</v>
      </c>
      <c r="AB24" s="130">
        <f t="shared" ca="1" si="14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" t="str">
        <f ca="1">IF(AND($C24="S",ORÇAMENTO.CodBarra&lt;&gt;""),IF(ORÇAMENTO.Fonte="",ORÇAMENTO.CodBarra,CONCATENATE(ORÇAMENTO.Fonte," ",ORÇAMENTO.CodBarra)))</f>
        <v>SINAPI 103689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06-2024.xlsm)</v>
      </c>
      <c r="AG24" s="498">
        <f ca="1">ROUND(IF(DESONERACAO="sim",REFERENCIA.Desonerado,REFERENCIA.NaoDesonerado),2)</f>
        <v>0</v>
      </c>
      <c r="AH24" s="499">
        <f t="shared" ca="1" si="15"/>
        <v>0.2432</v>
      </c>
      <c r="AJ24" s="501"/>
      <c r="AL24" s="527"/>
      <c r="AM24" s="381">
        <f t="shared" ca="1" si="0"/>
        <v>0</v>
      </c>
      <c r="AN24" s="566">
        <f t="shared" ca="1" si="16"/>
        <v>0</v>
      </c>
    </row>
    <row r="25" spans="1:40" x14ac:dyDescent="0.2">
      <c r="A25" t="str">
        <f t="shared" si="1"/>
        <v>S</v>
      </c>
      <c r="B25">
        <f t="shared" ca="1" si="2"/>
        <v>2</v>
      </c>
      <c r="C25" t="str">
        <f t="shared" ca="1" si="3"/>
        <v>S</v>
      </c>
      <c r="D25">
        <f t="shared" ca="1" si="4"/>
        <v>0</v>
      </c>
      <c r="E25">
        <f ca="1">IF($C25=1,OFFSET(E25,-1,0)+MAX(1,COUNTIF(QCI!$A$13:$A$24,OFFSET(ORÇAMENTO!E25,-1,0))),OFFSET(E25,-1,0))</f>
        <v>1</v>
      </c>
      <c r="F25">
        <f t="shared" ca="1" si="5"/>
        <v>3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0</v>
      </c>
      <c r="K25">
        <f ca="1">IF(OR($C25="S",$C25=0),0,MATCH(OFFSET($D25,0,$C25)+IF($C25&lt;&gt;1,1,COUNTIF(QCI!$A$13:$A$24,ORÇAMENTO!E25)),OFFSET($D25,1,$C25,ROW($C$727)-ROW($C25)),0))</f>
        <v>0</v>
      </c>
      <c r="L25" s="116" t="str">
        <f t="shared" ca="1" si="10"/>
        <v/>
      </c>
      <c r="M25" s="117" t="s">
        <v>199</v>
      </c>
      <c r="N25" s="118" t="str">
        <f t="shared" ca="1" si="11"/>
        <v>Serviço</v>
      </c>
      <c r="O25" s="119" t="str">
        <f t="shared" ca="1" si="12"/>
        <v>-</v>
      </c>
      <c r="P25" s="120" t="s">
        <v>247</v>
      </c>
      <c r="Q25" s="121">
        <v>98459</v>
      </c>
      <c r="R25" s="122" t="str">
        <f ca="1">IF($C25="S",REFERENCIA.Descricao,"(digite a descrição aqui)")</f>
        <v>(abra o arquivo 'Referência 06-2024.xlsm)</v>
      </c>
      <c r="S25" s="123" t="str">
        <f ca="1">REFERENCIA.Unidade</f>
        <v>-</v>
      </c>
      <c r="T25" s="124">
        <f ca="1">OFFSET(CÁLCULO!H$15,ROW($T25)-ROW(T$15),0)</f>
        <v>501.6</v>
      </c>
      <c r="U25" s="125">
        <f t="shared" ca="1" si="17"/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IF($C25="S",IF(Import.TipoArredondamento&lt;&gt;"TransfereGOV",VTOTAL1,SUM(OFFSET(CÁLCULO!$AI$15,ROW($X25)-ROW($X$15),1):OFFSET(CÁLCULO!$BB$15,ROW($X25)-ROW($X$15),-1))),IF($C25=0,0,ROUND(SomaAgrup,15-13*$AF$11)))</f>
        <v>0</v>
      </c>
      <c r="Y25" s="128" t="s">
        <v>245</v>
      </c>
      <c r="Z25" t="str">
        <f t="shared" ca="1" si="13"/>
        <v/>
      </c>
      <c r="AA25" s="129">
        <f ca="1">IF($C25="S",IF($Z25="CP",$X25,IF($Z25="RA",(($X25)*QCI!$AA$3),0)),SomaAgrup)</f>
        <v>0</v>
      </c>
      <c r="AB25" s="130">
        <f t="shared" ca="1" si="14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" t="str">
        <f ca="1">IF(AND($C25="S",ORÇAMENTO.CodBarra&lt;&gt;""),IF(ORÇAMENTO.Fonte="",ORÇAMENTO.CodBarra,CONCATENATE(ORÇAMENTO.Fonte," ",ORÇAMENTO.CodBarra)))</f>
        <v>SINAPI 98459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06-2024.xlsm)</v>
      </c>
      <c r="AG25" s="498">
        <f ca="1">ROUND(IF(DESONERACAO="sim",REFERENCIA.Desonerado,REFERENCIA.NaoDesonerado),2)</f>
        <v>0</v>
      </c>
      <c r="AH25" s="499">
        <f t="shared" ca="1" si="15"/>
        <v>0.2432</v>
      </c>
      <c r="AJ25" s="501"/>
      <c r="AL25" s="527"/>
      <c r="AM25" s="381">
        <f t="shared" ca="1" si="0"/>
        <v>0</v>
      </c>
      <c r="AN25" s="566">
        <f t="shared" ca="1" si="16"/>
        <v>0</v>
      </c>
    </row>
    <row r="26" spans="1:40" ht="38.25" x14ac:dyDescent="0.2">
      <c r="A26" t="str">
        <f t="shared" si="1"/>
        <v>S</v>
      </c>
      <c r="B26">
        <f t="shared" ca="1" si="2"/>
        <v>2</v>
      </c>
      <c r="C26" t="str">
        <f t="shared" ca="1" si="3"/>
        <v>S</v>
      </c>
      <c r="D26">
        <f t="shared" ca="1" si="4"/>
        <v>0</v>
      </c>
      <c r="E26">
        <f ca="1">IF($C26=1,OFFSET(E26,-1,0)+MAX(1,COUNTIF(QCI!$A$13:$A$24,OFFSET(ORÇAMENTO!E26,-1,0))),OFFSET(E26,-1,0))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0</v>
      </c>
      <c r="J26">
        <f t="shared" ca="1" si="9"/>
        <v>0</v>
      </c>
      <c r="K26">
        <f ca="1">IF(OR($C26="S",$C26=0),0,MATCH(OFFSET($D26,0,$C26)+IF($C26&lt;&gt;1,1,COUNTIF(QCI!$A$13:$A$24,ORÇAMENTO!E26)),OFFSET($D26,1,$C26,ROW($C$727)-ROW($C26)),0))</f>
        <v>0</v>
      </c>
      <c r="L26" s="116" t="str">
        <f t="shared" ca="1" si="10"/>
        <v/>
      </c>
      <c r="M26" s="117" t="s">
        <v>199</v>
      </c>
      <c r="N26" s="118" t="str">
        <f t="shared" ca="1" si="11"/>
        <v>Serviço</v>
      </c>
      <c r="O26" s="119" t="str">
        <f t="shared" ca="1" si="12"/>
        <v>-</v>
      </c>
      <c r="P26" s="120" t="s">
        <v>247</v>
      </c>
      <c r="Q26" s="121" t="s">
        <v>457</v>
      </c>
      <c r="R26" s="122" t="str">
        <f ca="1">IF($C26="S",REFERENCIA.Descricao,"(digite a descrição aqui)")</f>
        <v>(abra o arquivo 'Referência 06-2024.xlsm)</v>
      </c>
      <c r="S26" s="123" t="str">
        <f ca="1">REFERENCIA.Unidade</f>
        <v>-</v>
      </c>
      <c r="T26" s="124">
        <f ca="1">OFFSET(CÁLCULO!H$15,ROW($T26)-ROW(T$15),0)</f>
        <v>1</v>
      </c>
      <c r="U26" s="125">
        <f t="shared" ca="1" si="17"/>
        <v>0</v>
      </c>
      <c r="V26" s="126" t="s">
        <v>156</v>
      </c>
      <c r="W26" s="124">
        <f ca="1">IF($C26="S",ROUND(IF(TIPOORCAMENTO="Proposto",ORÇAMENTO.CustoUnitario*(1+$AH26),ORÇAMENTO.PrecoUnitarioLicitado),15-13*$AF$10),0)</f>
        <v>0</v>
      </c>
      <c r="X26" s="127">
        <f ca="1">IF($C26="S",IF(Import.TipoArredondamento&lt;&gt;"TransfereGOV",VTOTAL1,SUM(OFFSET(CÁLCULO!$AI$15,ROW($X26)-ROW($X$15),1):OFFSET(CÁLCULO!$BB$15,ROW($X26)-ROW($X$15),-1))),IF($C26=0,0,ROUND(SomaAgrup,15-13*$AF$11)))</f>
        <v>0</v>
      </c>
      <c r="Y26" s="128" t="s">
        <v>245</v>
      </c>
      <c r="Z26" t="str">
        <f t="shared" ca="1" si="13"/>
        <v/>
      </c>
      <c r="AA26" s="129">
        <f ca="1">IF($C26="S",IF($Z26="CP",$X26,IF($Z26="RA",(($X26)*QCI!$AA$3),0)),SomaAgrup)</f>
        <v>0</v>
      </c>
      <c r="AB26" s="130">
        <f t="shared" ca="1" si="14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" t="str">
        <f ca="1">IF(AND($C26="S",ORÇAMENTO.CodBarra&lt;&gt;""),IF(ORÇAMENTO.Fonte="",ORÇAMENTO.CodBarra,CONCATENATE(ORÇAMENTO.Fonte," ",ORÇAMENTO.CodBarra)))</f>
        <v>SINAPI 101509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06-2024.xlsm)</v>
      </c>
      <c r="AG26" s="498">
        <f ca="1">ROUND(IF(DESONERACAO="sim",REFERENCIA.Desonerado,REFERENCIA.NaoDesonerado),2)</f>
        <v>0</v>
      </c>
      <c r="AH26" s="499">
        <f t="shared" ca="1" si="15"/>
        <v>0.2432</v>
      </c>
      <c r="AJ26" s="501"/>
      <c r="AL26" s="527"/>
      <c r="AM26" s="381">
        <f t="shared" ca="1" si="0"/>
        <v>0</v>
      </c>
      <c r="AN26" s="566">
        <f t="shared" ca="1" si="16"/>
        <v>0</v>
      </c>
    </row>
    <row r="27" spans="1:40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3</v>
      </c>
      <c r="G27">
        <f t="shared" ca="1" si="6"/>
        <v>0</v>
      </c>
      <c r="H27">
        <f t="shared" ca="1" si="7"/>
        <v>0</v>
      </c>
      <c r="I27">
        <f t="shared" ca="1" si="8"/>
        <v>0</v>
      </c>
      <c r="J27">
        <f t="shared" ca="1" si="9"/>
        <v>0</v>
      </c>
      <c r="K27">
        <f ca="1">IF(OR($C27="S",$C27=0),0,MATCH(OFFSET($D27,0,$C27)+IF($C27&lt;&gt;1,1,COUNTIF(QCI!$A$13:$A$24,ORÇAMENTO!E27)),OFFSET($D27,1,$C27,ROW($C$727)-ROW($C27)),0))</f>
        <v>0</v>
      </c>
      <c r="L27" s="116" t="str">
        <f t="shared" ca="1" si="10"/>
        <v/>
      </c>
      <c r="M27" s="117" t="s">
        <v>199</v>
      </c>
      <c r="N27" s="118" t="str">
        <f t="shared" ca="1" si="11"/>
        <v>Serviço</v>
      </c>
      <c r="O27" s="119" t="str">
        <f t="shared" ca="1" si="12"/>
        <v>-</v>
      </c>
      <c r="P27" s="120" t="s">
        <v>458</v>
      </c>
      <c r="Q27" s="121" t="s">
        <v>459</v>
      </c>
      <c r="R27" s="122" t="str">
        <f ca="1">IF($C27="S",REFERENCIA.Descricao,"(digite a descrição aqui)")</f>
        <v>(abra o arquivo 'Referência 06-2024.xlsm)</v>
      </c>
      <c r="S27" s="123" t="str">
        <f ca="1">REFERENCIA.Unidade</f>
        <v>-</v>
      </c>
      <c r="T27" s="124">
        <f ca="1">OFFSET(CÁLCULO!H$15,ROW($T27)-ROW(T$15),0)</f>
        <v>1</v>
      </c>
      <c r="U27" s="125">
        <f t="shared" ca="1" si="17"/>
        <v>0</v>
      </c>
      <c r="V27" s="126" t="s">
        <v>156</v>
      </c>
      <c r="W27" s="124">
        <f ca="1">IF($C27="S",ROUND(IF(TIPOORCAMENTO="Proposto",ORÇAMENTO.CustoUnitario*(1+$AH27),ORÇAMENTO.PrecoUnitarioLicitado),15-13*$AF$10),0)</f>
        <v>0</v>
      </c>
      <c r="X27" s="127">
        <f ca="1">IF($C27="S",IF(Import.TipoArredondamento&lt;&gt;"TransfereGOV",VTOTAL1,SUM(OFFSET(CÁLCULO!$AI$15,ROW($X27)-ROW($X$15),1):OFFSET(CÁLCULO!$BB$15,ROW($X27)-ROW($X$15),-1))),IF($C27=0,0,ROUND(SomaAgrup,15-13*$AF$11)))</f>
        <v>0</v>
      </c>
      <c r="Y27" s="128" t="s">
        <v>245</v>
      </c>
      <c r="Z27" t="str">
        <f t="shared" ca="1" si="13"/>
        <v/>
      </c>
      <c r="AA27" s="129">
        <f ca="1">IF($C27="S",IF($Z27="CP",$X27,IF($Z27="RA",(($X27)*QCI!$AA$3),0)),SomaAgrup)</f>
        <v>0</v>
      </c>
      <c r="AB27" s="130">
        <f t="shared" ca="1" si="14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COMPOSIÇÃO FNDE 03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06-2024.xlsm)</v>
      </c>
      <c r="AG27" s="498">
        <f ca="1">ROUND(IF(DESONERACAO="sim",REFERENCIA.Desonerado,REFERENCIA.NaoDesonerado),2)</f>
        <v>0</v>
      </c>
      <c r="AH27" s="499">
        <f t="shared" ca="1" si="15"/>
        <v>0.2432</v>
      </c>
      <c r="AJ27" s="501"/>
      <c r="AL27" s="527"/>
      <c r="AM27" s="381">
        <f t="shared" ca="1" si="0"/>
        <v>0</v>
      </c>
      <c r="AN27" s="566">
        <f t="shared" ca="1" si="16"/>
        <v>0</v>
      </c>
    </row>
    <row r="28" spans="1:40" ht="38.25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1</v>
      </c>
      <c r="F28">
        <f t="shared" ca="1" si="5"/>
        <v>3</v>
      </c>
      <c r="G28">
        <f t="shared" ca="1" si="6"/>
        <v>0</v>
      </c>
      <c r="H28">
        <f t="shared" ca="1" si="7"/>
        <v>0</v>
      </c>
      <c r="I28">
        <f t="shared" ca="1" si="8"/>
        <v>0</v>
      </c>
      <c r="J28">
        <f t="shared" ca="1" si="9"/>
        <v>0</v>
      </c>
      <c r="K28">
        <f ca="1">IF(OR($C28="S",$C28=0),0,MATCH(OFFSET($D28,0,$C28)+IF($C28&lt;&gt;1,1,COUNTIF(QCI!$A$13:$A$24,ORÇAMENTO!E28)),OFFSET($D28,1,$C28,ROW($C$727)-ROW($C28)),0))</f>
        <v>0</v>
      </c>
      <c r="L28" s="116" t="str">
        <f t="shared" ca="1" si="10"/>
        <v/>
      </c>
      <c r="M28" s="117" t="s">
        <v>199</v>
      </c>
      <c r="N28" s="118" t="str">
        <f t="shared" ca="1" si="11"/>
        <v>Serviço</v>
      </c>
      <c r="O28" s="119" t="str">
        <f t="shared" ca="1" si="12"/>
        <v>-</v>
      </c>
      <c r="P28" s="120" t="s">
        <v>247</v>
      </c>
      <c r="Q28" s="121">
        <v>99059</v>
      </c>
      <c r="R28" s="122" t="str">
        <f ca="1">IF($C28="S",REFERENCIA.Descricao,"(digite a descrição aqui)")</f>
        <v>(abra o arquivo 'Referência 06-2024.xlsm)</v>
      </c>
      <c r="S28" s="123" t="str">
        <f ca="1">REFERENCIA.Unidade</f>
        <v>-</v>
      </c>
      <c r="T28" s="124">
        <f ca="1">OFFSET(CÁLCULO!H$15,ROW($T28)-ROW(T$15),0)</f>
        <v>254</v>
      </c>
      <c r="U28" s="125">
        <f t="shared" ca="1" si="17"/>
        <v>0</v>
      </c>
      <c r="V28" s="126" t="s">
        <v>156</v>
      </c>
      <c r="W28" s="124">
        <f ca="1">IF($C28="S",ROUND(IF(TIPOORCAMENTO="Proposto",ORÇAMENTO.CustoUnitario*(1+$AH28),ORÇAMENTO.PrecoUnitarioLicitado),15-13*$AF$10),0)</f>
        <v>0</v>
      </c>
      <c r="X28" s="127">
        <f ca="1">IF($C28="S",IF(Import.TipoArredondamento&lt;&gt;"TransfereGOV",VTOTAL1,SUM(OFFSET(CÁLCULO!$AI$15,ROW($X28)-ROW($X$15),1):OFFSET(CÁLCULO!$BB$15,ROW($X28)-ROW($X$15),-1))),IF($C28=0,0,ROUND(SomaAgrup,15-13*$AF$11)))</f>
        <v>0</v>
      </c>
      <c r="Y28" s="128" t="s">
        <v>245</v>
      </c>
      <c r="Z28" t="str">
        <f t="shared" ca="1" si="13"/>
        <v/>
      </c>
      <c r="AA28" s="129">
        <f ca="1">IF($C28="S",IF($Z28="CP",$X28,IF($Z28="RA",(($X28)*QCI!$AA$3),0)),SomaAgrup)</f>
        <v>0</v>
      </c>
      <c r="AB28" s="130">
        <f t="shared" ca="1" si="14"/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SINAPI 99059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06-2024.xlsm)</v>
      </c>
      <c r="AG28" s="498">
        <f ca="1">ROUND(IF(DESONERACAO="sim",REFERENCIA.Desonerado,REFERENCIA.NaoDesonerado),2)</f>
        <v>0</v>
      </c>
      <c r="AH28" s="499">
        <f t="shared" ca="1" si="15"/>
        <v>0.2432</v>
      </c>
      <c r="AJ28" s="501"/>
      <c r="AL28" s="527"/>
      <c r="AM28" s="381">
        <f t="shared" ca="1" si="0"/>
        <v>0</v>
      </c>
      <c r="AN28" s="566">
        <f t="shared" ca="1" si="16"/>
        <v>0</v>
      </c>
    </row>
    <row r="29" spans="1:40" x14ac:dyDescent="0.2">
      <c r="A29">
        <f t="shared" si="1"/>
        <v>2</v>
      </c>
      <c r="B29">
        <f t="shared" ca="1" si="2"/>
        <v>2</v>
      </c>
      <c r="C29">
        <f t="shared" ca="1" si="3"/>
        <v>2</v>
      </c>
      <c r="D29">
        <f t="shared" ca="1" si="4"/>
        <v>8</v>
      </c>
      <c r="E29">
        <f ca="1">IF($C29=1,OFFSET(E29,-1,0)+MAX(1,COUNTIF(QCI!$A$13:$A$24,OFFSET(ORÇAMENTO!E29,-1,0))),OFFSET(E29,-1,0))</f>
        <v>1</v>
      </c>
      <c r="F29">
        <f t="shared" ca="1" si="5"/>
        <v>4</v>
      </c>
      <c r="G29">
        <f t="shared" ca="1" si="6"/>
        <v>0</v>
      </c>
      <c r="H29">
        <f t="shared" ca="1" si="7"/>
        <v>0</v>
      </c>
      <c r="I29">
        <f t="shared" ca="1" si="8"/>
        <v>0</v>
      </c>
      <c r="J29">
        <f t="shared" ca="1" si="9"/>
        <v>698</v>
      </c>
      <c r="K29">
        <f ca="1">IF(OR($C29="S",$C29=0),0,MATCH(OFFSET($D29,0,$C29)+IF($C29&lt;&gt;1,1,COUNTIF(QCI!$A$13:$A$24,ORÇAMENTO!E29)),OFFSET($D29,1,$C29,ROW($C$727)-ROW($C29)),0))</f>
        <v>8</v>
      </c>
      <c r="L29" s="116" t="str">
        <f t="shared" ca="1" si="10"/>
        <v>F</v>
      </c>
      <c r="M29" s="117" t="s">
        <v>196</v>
      </c>
      <c r="N29" s="118" t="str">
        <f t="shared" ca="1" si="11"/>
        <v>Nível 2</v>
      </c>
      <c r="O29" s="119" t="str">
        <f t="shared" ca="1" si="12"/>
        <v>1.4.</v>
      </c>
      <c r="P29" s="120" t="s">
        <v>247</v>
      </c>
      <c r="Q29" s="121"/>
      <c r="R29" s="122" t="s">
        <v>464</v>
      </c>
      <c r="S29" s="123" t="str">
        <f ca="1">REFERENCIA.Unidade</f>
        <v>-</v>
      </c>
      <c r="T29" s="124">
        <f ca="1">OFFSET(CÁLCULO!H$15,ROW($T29)-ROW(T$15),0)</f>
        <v>0</v>
      </c>
      <c r="U29" s="125">
        <f t="shared" ca="1" si="17"/>
        <v>0</v>
      </c>
      <c r="V29" s="126" t="s">
        <v>156</v>
      </c>
      <c r="W29" s="124">
        <f ca="1">IF($C29="S",ROUND(IF(TIPOORCAMENTO="Proposto",ORÇAMENTO.CustoUnitario*(1+$AH29),ORÇAMENTO.PrecoUnitarioLicitado),15-13*$AF$10),0)</f>
        <v>0</v>
      </c>
      <c r="X29" s="127">
        <f ca="1">IF($C29="S",IF(Import.TipoArredondamento&lt;&gt;"TransfereGOV",VTOTAL1,SUM(OFFSET(CÁLCULO!$AI$15,ROW($X29)-ROW($X$15),1):OFFSET(CÁLCULO!$BB$15,ROW($X29)-ROW($X$15),-1))),IF($C29=0,0,ROUND(SomaAgrup,15-13*$AF$11)))</f>
        <v>0</v>
      </c>
      <c r="Y29" s="128" t="s">
        <v>245</v>
      </c>
      <c r="Z29" t="str">
        <f t="shared" ca="1" si="13"/>
        <v/>
      </c>
      <c r="AA29" s="129">
        <f ca="1">IF($C29="S",IF($Z29="CP",$X29,IF($Z29="RA",(($X29)*QCI!$AA$3),0)),SomaAgrup)</f>
        <v>0</v>
      </c>
      <c r="AB29" s="130">
        <f t="shared" ca="1" si="14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>
        <f ca="1">IF(C29&lt;=CRONO.NivelExibicao,MAX($AD$15:OFFSET(AD29,-1,0))+IF($C29&lt;&gt;1,1,MAX(1,COUNTIF(QCI!$A$13:$A$24,OFFSET($E29,-1,0)))),"")</f>
        <v>5</v>
      </c>
      <c r="AE29" s="7" t="b">
        <f ca="1">IF(AND($C29="S",ORÇAMENTO.CodBarra&lt;&gt;""),IF(ORÇAMENTO.Fonte="",ORÇAMENTO.CodBarra,CONCATENATE(ORÇAMENTO.Fonte," ",ORÇAMENTO.CodBarra)))</f>
        <v>0</v>
      </c>
      <c r="AF29" s="13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06-2024.xlsm)</v>
      </c>
      <c r="AG29" s="498">
        <f ca="1">ROUND(IF(DESONERACAO="sim",REFERENCIA.Desonerado,REFERENCIA.NaoDesonerado),2)</f>
        <v>0</v>
      </c>
      <c r="AH29" s="499">
        <f t="shared" ca="1" si="15"/>
        <v>0.2432</v>
      </c>
      <c r="AJ29" s="501"/>
      <c r="AL29" s="527"/>
      <c r="AM29" s="381">
        <f t="shared" ca="1" si="0"/>
        <v>0</v>
      </c>
      <c r="AN29" s="566">
        <f t="shared" ca="1" si="16"/>
        <v>0</v>
      </c>
    </row>
    <row r="30" spans="1:40" ht="38.25" x14ac:dyDescent="0.2">
      <c r="A30" t="str">
        <f t="shared" si="1"/>
        <v>S</v>
      </c>
      <c r="B30">
        <f t="shared" ca="1" si="2"/>
        <v>2</v>
      </c>
      <c r="C30" t="str">
        <f t="shared" ca="1" si="3"/>
        <v>S</v>
      </c>
      <c r="D30">
        <f t="shared" ca="1" si="4"/>
        <v>0</v>
      </c>
      <c r="E30">
        <f ca="1">IF($C30=1,OFFSET(E30,-1,0)+MAX(1,COUNTIF(QCI!$A$13:$A$24,OFFSET(ORÇAMENTO!E30,-1,0))),OFFSET(E30,-1,0))</f>
        <v>1</v>
      </c>
      <c r="F30">
        <f t="shared" ca="1" si="5"/>
        <v>4</v>
      </c>
      <c r="G30">
        <f t="shared" ca="1" si="6"/>
        <v>0</v>
      </c>
      <c r="H30">
        <f t="shared" ca="1" si="7"/>
        <v>0</v>
      </c>
      <c r="I30">
        <f t="shared" ca="1" si="8"/>
        <v>0</v>
      </c>
      <c r="J30">
        <f t="shared" ca="1" si="9"/>
        <v>0</v>
      </c>
      <c r="K30">
        <f ca="1">IF(OR($C30="S",$C30=0),0,MATCH(OFFSET($D30,0,$C30)+IF($C30&lt;&gt;1,1,COUNTIF(QCI!$A$13:$A$24,ORÇAMENTO!E30)),OFFSET($D30,1,$C30,ROW($C$727)-ROW($C30)),0))</f>
        <v>0</v>
      </c>
      <c r="L30" s="116" t="str">
        <f t="shared" ca="1" si="10"/>
        <v/>
      </c>
      <c r="M30" s="117" t="s">
        <v>199</v>
      </c>
      <c r="N30" s="118" t="str">
        <f t="shared" ca="1" si="11"/>
        <v>Serviço</v>
      </c>
      <c r="O30" s="119" t="str">
        <f t="shared" ca="1" si="12"/>
        <v>-</v>
      </c>
      <c r="P30" s="120" t="s">
        <v>247</v>
      </c>
      <c r="Q30" s="121" t="s">
        <v>465</v>
      </c>
      <c r="R30" s="122" t="str">
        <f ca="1">IF($C30="S",REFERENCIA.Descricao,"(digite a descrição aqui)")</f>
        <v>(abra o arquivo 'Referência 06-2024.xlsm)</v>
      </c>
      <c r="S30" s="123" t="str">
        <f ca="1">REFERENCIA.Unidade</f>
        <v>-</v>
      </c>
      <c r="T30" s="124">
        <f ca="1">OFFSET(CÁLCULO!H$15,ROW($T30)-ROW(T$15),0)</f>
        <v>2925</v>
      </c>
      <c r="U30" s="125">
        <f t="shared" ca="1" si="17"/>
        <v>0</v>
      </c>
      <c r="V30" s="126" t="s">
        <v>156</v>
      </c>
      <c r="W30" s="124">
        <f ca="1">IF($C30="S",ROUND(IF(TIPOORCAMENTO="Proposto",ORÇAMENTO.CustoUnitario*(1+$AH30),ORÇAMENTO.PrecoUnitarioLicitado),15-13*$AF$10),0)</f>
        <v>0</v>
      </c>
      <c r="X30" s="127">
        <f ca="1">IF($C30="S",IF(Import.TipoArredondamento&lt;&gt;"TransfereGOV",VTOTAL1,SUM(OFFSET(CÁLCULO!$AI$15,ROW($X30)-ROW($X$15),1):OFFSET(CÁLCULO!$BB$15,ROW($X30)-ROW($X$15),-1))),IF($C30=0,0,ROUND(SomaAgrup,15-13*$AF$11)))</f>
        <v>0</v>
      </c>
      <c r="Y30" s="128" t="s">
        <v>245</v>
      </c>
      <c r="Z30" t="str">
        <f t="shared" ca="1" si="13"/>
        <v/>
      </c>
      <c r="AA30" s="129">
        <f ca="1">IF($C30="S",IF($Z30="CP",$X30,IF($Z30="RA",(($X30)*QCI!$AA$3),0)),SomaAgrup)</f>
        <v>0</v>
      </c>
      <c r="AB30" s="130">
        <f t="shared" ca="1" si="14"/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SINAPI 98525</v>
      </c>
      <c r="AF30" s="13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06-2024.xlsm)</v>
      </c>
      <c r="AG30" s="498">
        <f ca="1">ROUND(IF(DESONERACAO="sim",REFERENCIA.Desonerado,REFERENCIA.NaoDesonerado),2)</f>
        <v>0</v>
      </c>
      <c r="AH30" s="499">
        <f t="shared" ca="1" si="15"/>
        <v>0.2432</v>
      </c>
      <c r="AJ30" s="501"/>
      <c r="AL30" s="527"/>
      <c r="AM30" s="381">
        <f t="shared" ca="1" si="0"/>
        <v>0</v>
      </c>
      <c r="AN30" s="566">
        <f t="shared" ca="1" si="16"/>
        <v>0</v>
      </c>
    </row>
    <row r="31" spans="1:40" ht="51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1</v>
      </c>
      <c r="F31">
        <f t="shared" ca="1" si="5"/>
        <v>4</v>
      </c>
      <c r="G31">
        <f t="shared" ca="1" si="6"/>
        <v>0</v>
      </c>
      <c r="H31">
        <f t="shared" ca="1" si="7"/>
        <v>0</v>
      </c>
      <c r="I31">
        <f t="shared" ca="1" si="8"/>
        <v>0</v>
      </c>
      <c r="J31">
        <f t="shared" ca="1" si="9"/>
        <v>0</v>
      </c>
      <c r="K31">
        <f ca="1">IF(OR($C31="S",$C31=0),0,MATCH(OFFSET($D31,0,$C31)+IF($C31&lt;&gt;1,1,COUNTIF(QCI!$A$13:$A$24,ORÇAMENTO!E31)),OFFSET($D31,1,$C31,ROW($C$727)-ROW($C31)),0))</f>
        <v>0</v>
      </c>
      <c r="L31" s="116" t="str">
        <f t="shared" ca="1" si="10"/>
        <v/>
      </c>
      <c r="M31" s="117" t="s">
        <v>199</v>
      </c>
      <c r="N31" s="118" t="str">
        <f t="shared" ca="1" si="11"/>
        <v>Serviço</v>
      </c>
      <c r="O31" s="119" t="str">
        <f t="shared" ca="1" si="12"/>
        <v>-</v>
      </c>
      <c r="P31" s="120" t="s">
        <v>247</v>
      </c>
      <c r="Q31" s="121" t="s">
        <v>466</v>
      </c>
      <c r="R31" s="122" t="str">
        <f ca="1">IF($C31="S",REFERENCIA.Descricao,"(digite a descrição aqui)")</f>
        <v>(abra o arquivo 'Referência 06-2024.xlsm)</v>
      </c>
      <c r="S31" s="123" t="str">
        <f ca="1">REFERENCIA.Unidade</f>
        <v>-</v>
      </c>
      <c r="T31" s="124">
        <f ca="1">OFFSET(CÁLCULO!H$15,ROW($T31)-ROW(T$15),0)</f>
        <v>585</v>
      </c>
      <c r="U31" s="125">
        <f t="shared" ca="1" si="17"/>
        <v>0</v>
      </c>
      <c r="V31" s="126" t="s">
        <v>156</v>
      </c>
      <c r="W31" s="124">
        <f ca="1">IF($C31="S",ROUND(IF(TIPOORCAMENTO="Proposto",ORÇAMENTO.CustoUnitario*(1+$AH31),ORÇAMENTO.PrecoUnitarioLicitado),15-13*$AF$10),0)</f>
        <v>0</v>
      </c>
      <c r="X31" s="127">
        <f ca="1">IF($C31="S",IF(Import.TipoArredondamento&lt;&gt;"TransfereGOV",VTOTAL1,SUM(OFFSET(CÁLCULO!$AI$15,ROW($X31)-ROW($X$15),1):OFFSET(CÁLCULO!$BB$15,ROW($X31)-ROW($X$15),-1))),IF($C31=0,0,ROUND(SomaAgrup,15-13*$AF$11)))</f>
        <v>0</v>
      </c>
      <c r="Y31" s="128" t="s">
        <v>245</v>
      </c>
      <c r="Z31" t="str">
        <f t="shared" ca="1" si="13"/>
        <v/>
      </c>
      <c r="AA31" s="129">
        <f ca="1">IF($C31="S",IF($Z31="CP",$X31,IF($Z31="RA",(($X31)*QCI!$AA$3),0)),SomaAgrup)</f>
        <v>0</v>
      </c>
      <c r="AB31" s="130">
        <f t="shared" ca="1" si="14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SINAPI 94306</v>
      </c>
      <c r="AF31" s="13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06-2024.xlsm)</v>
      </c>
      <c r="AG31" s="498">
        <f ca="1">ROUND(IF(DESONERACAO="sim",REFERENCIA.Desonerado,REFERENCIA.NaoDesonerado),2)</f>
        <v>0</v>
      </c>
      <c r="AH31" s="499">
        <f t="shared" ca="1" si="15"/>
        <v>0.2432</v>
      </c>
      <c r="AJ31" s="501"/>
      <c r="AL31" s="527"/>
      <c r="AM31" s="381">
        <f t="shared" ca="1" si="0"/>
        <v>0</v>
      </c>
      <c r="AN31" s="566">
        <f t="shared" ca="1" si="16"/>
        <v>0</v>
      </c>
    </row>
    <row r="32" spans="1:40" ht="38.25" x14ac:dyDescent="0.2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1</v>
      </c>
      <c r="F32">
        <f t="shared" ca="1" si="5"/>
        <v>4</v>
      </c>
      <c r="G32">
        <f t="shared" ca="1" si="6"/>
        <v>0</v>
      </c>
      <c r="H32">
        <f t="shared" ca="1" si="7"/>
        <v>0</v>
      </c>
      <c r="I32">
        <f t="shared" ca="1" si="8"/>
        <v>0</v>
      </c>
      <c r="J32">
        <f t="shared" ca="1" si="9"/>
        <v>0</v>
      </c>
      <c r="K32">
        <f ca="1">IF(OR($C32="S",$C32=0),0,MATCH(OFFSET($D32,0,$C32)+IF($C32&lt;&gt;1,1,COUNTIF(QCI!$A$13:$A$24,ORÇAMENTO!E32)),OFFSET($D32,1,$C32,ROW($C$727)-ROW($C32)),0))</f>
        <v>0</v>
      </c>
      <c r="L32" s="116" t="str">
        <f t="shared" ca="1" si="10"/>
        <v/>
      </c>
      <c r="M32" s="117" t="s">
        <v>199</v>
      </c>
      <c r="N32" s="118" t="str">
        <f t="shared" ca="1" si="11"/>
        <v>Serviço</v>
      </c>
      <c r="O32" s="119" t="str">
        <f t="shared" ca="1" si="12"/>
        <v>-</v>
      </c>
      <c r="P32" s="120" t="s">
        <v>247</v>
      </c>
      <c r="Q32" s="121" t="s">
        <v>467</v>
      </c>
      <c r="R32" s="122" t="str">
        <f ca="1">IF($C32="S",REFERENCIA.Descricao,"(digite a descrição aqui)")</f>
        <v>(abra o arquivo 'Referência 06-2024.xlsm)</v>
      </c>
      <c r="S32" s="123" t="str">
        <f ca="1">REFERENCIA.Unidade</f>
        <v>-</v>
      </c>
      <c r="T32" s="124">
        <f ca="1">OFFSET(CÁLCULO!H$15,ROW($T32)-ROW(T$15),0)</f>
        <v>107.36</v>
      </c>
      <c r="U32" s="125">
        <f t="shared" ca="1" si="17"/>
        <v>0</v>
      </c>
      <c r="V32" s="126" t="s">
        <v>156</v>
      </c>
      <c r="W32" s="124">
        <f ca="1">IF($C32="S",ROUND(IF(TIPOORCAMENTO="Proposto",ORÇAMENTO.CustoUnitario*(1+$AH32),ORÇAMENTO.PrecoUnitarioLicitado),15-13*$AF$10),0)</f>
        <v>0</v>
      </c>
      <c r="X32" s="127">
        <f ca="1">IF($C32="S",IF(Import.TipoArredondamento&lt;&gt;"TransfereGOV",VTOTAL1,SUM(OFFSET(CÁLCULO!$AI$15,ROW($X32)-ROW($X$15),1):OFFSET(CÁLCULO!$BB$15,ROW($X32)-ROW($X$15),-1))),IF($C32=0,0,ROUND(SomaAgrup,15-13*$AF$11)))</f>
        <v>0</v>
      </c>
      <c r="Y32" s="128" t="s">
        <v>245</v>
      </c>
      <c r="Z32" t="str">
        <f t="shared" ca="1" si="13"/>
        <v/>
      </c>
      <c r="AA32" s="129">
        <f ca="1">IF($C32="S",IF($Z32="CP",$X32,IF($Z32="RA",(($X32)*QCI!$AA$3),0)),SomaAgrup)</f>
        <v>0</v>
      </c>
      <c r="AB32" s="130">
        <f t="shared" ca="1" si="14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" t="str">
        <f ca="1">IF(AND($C32="S",ORÇAMENTO.CodBarra&lt;&gt;""),IF(ORÇAMENTO.Fonte="",ORÇAMENTO.CodBarra,CONCATENATE(ORÇAMENTO.Fonte," ",ORÇAMENTO.CodBarra)))</f>
        <v>SINAPI 96521</v>
      </c>
      <c r="AF32" s="13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06-2024.xlsm)</v>
      </c>
      <c r="AG32" s="498">
        <f ca="1">ROUND(IF(DESONERACAO="sim",REFERENCIA.Desonerado,REFERENCIA.NaoDesonerado),2)</f>
        <v>0</v>
      </c>
      <c r="AH32" s="499">
        <f t="shared" ca="1" si="15"/>
        <v>0.2432</v>
      </c>
      <c r="AJ32" s="501"/>
      <c r="AL32" s="527"/>
      <c r="AM32" s="381">
        <f t="shared" ca="1" si="0"/>
        <v>0</v>
      </c>
      <c r="AN32" s="566">
        <f t="shared" ca="1" si="16"/>
        <v>0</v>
      </c>
    </row>
    <row r="33" spans="1:40" ht="38.25" x14ac:dyDescent="0.2">
      <c r="A33" t="str">
        <f t="shared" si="1"/>
        <v>S</v>
      </c>
      <c r="B33">
        <f t="shared" ca="1" si="2"/>
        <v>2</v>
      </c>
      <c r="C33" t="str">
        <f t="shared" ca="1" si="3"/>
        <v>S</v>
      </c>
      <c r="D33">
        <f t="shared" ca="1" si="4"/>
        <v>0</v>
      </c>
      <c r="E33">
        <f ca="1">IF($C33=1,OFFSET(E33,-1,0)+MAX(1,COUNTIF(QCI!$A$13:$A$24,OFFSET(ORÇAMENTO!E33,-1,0))),OFFSET(E33,-1,0))</f>
        <v>1</v>
      </c>
      <c r="F33">
        <f t="shared" ca="1" si="5"/>
        <v>4</v>
      </c>
      <c r="G33">
        <f t="shared" ca="1" si="6"/>
        <v>0</v>
      </c>
      <c r="H33">
        <f t="shared" ca="1" si="7"/>
        <v>0</v>
      </c>
      <c r="I33">
        <f t="shared" ca="1" si="8"/>
        <v>0</v>
      </c>
      <c r="J33">
        <f t="shared" ca="1" si="9"/>
        <v>0</v>
      </c>
      <c r="K33">
        <f ca="1">IF(OR($C33="S",$C33=0),0,MATCH(OFFSET($D33,0,$C33)+IF($C33&lt;&gt;1,1,COUNTIF(QCI!$A$13:$A$24,ORÇAMENTO!E33)),OFFSET($D33,1,$C33,ROW($C$727)-ROW($C33)),0))</f>
        <v>0</v>
      </c>
      <c r="L33" s="116" t="str">
        <f t="shared" ca="1" si="10"/>
        <v/>
      </c>
      <c r="M33" s="117" t="s">
        <v>199</v>
      </c>
      <c r="N33" s="118" t="str">
        <f t="shared" ca="1" si="11"/>
        <v>Serviço</v>
      </c>
      <c r="O33" s="119" t="str">
        <f t="shared" ca="1" si="12"/>
        <v>-</v>
      </c>
      <c r="P33" s="120" t="s">
        <v>247</v>
      </c>
      <c r="Q33" s="121" t="s">
        <v>468</v>
      </c>
      <c r="R33" s="122" t="str">
        <f ca="1">IF($C33="S",REFERENCIA.Descricao,"(digite a descrição aqui)")</f>
        <v>(abra o arquivo 'Referência 06-2024.xlsm)</v>
      </c>
      <c r="S33" s="123" t="str">
        <f ca="1">REFERENCIA.Unidade</f>
        <v>-</v>
      </c>
      <c r="T33" s="124">
        <f ca="1">OFFSET(CÁLCULO!H$15,ROW($T33)-ROW(T$15),0)</f>
        <v>41.4</v>
      </c>
      <c r="U33" s="125">
        <f t="shared" ca="1" si="17"/>
        <v>0</v>
      </c>
      <c r="V33" s="126" t="s">
        <v>156</v>
      </c>
      <c r="W33" s="124">
        <f ca="1">IF($C33="S",ROUND(IF(TIPOORCAMENTO="Proposto",ORÇAMENTO.CustoUnitario*(1+$AH33),ORÇAMENTO.PrecoUnitarioLicitado),15-13*$AF$10),0)</f>
        <v>0</v>
      </c>
      <c r="X33" s="127">
        <f ca="1">IF($C33="S",IF(Import.TipoArredondamento&lt;&gt;"TransfereGOV",VTOTAL1,SUM(OFFSET(CÁLCULO!$AI$15,ROW($X33)-ROW($X$15),1):OFFSET(CÁLCULO!$BB$15,ROW($X33)-ROW($X$15),-1))),IF($C33=0,0,ROUND(SomaAgrup,15-13*$AF$11)))</f>
        <v>0</v>
      </c>
      <c r="Y33" s="128" t="s">
        <v>245</v>
      </c>
      <c r="Z33" t="str">
        <f t="shared" ca="1" si="13"/>
        <v/>
      </c>
      <c r="AA33" s="129">
        <f ca="1">IF($C33="S",IF($Z33="CP",$X33,IF($Z33="RA",(($X33)*QCI!$AA$3),0)),SomaAgrup)</f>
        <v>0</v>
      </c>
      <c r="AB33" s="130">
        <f t="shared" ca="1" si="14"/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" t="str">
        <f ca="1">IF(AND($C33="S",ORÇAMENTO.CodBarra&lt;&gt;""),IF(ORÇAMENTO.Fonte="",ORÇAMENTO.CodBarra,CONCATENATE(ORÇAMENTO.Fonte," ",ORÇAMENTO.CodBarra)))</f>
        <v>SINAPI 96525</v>
      </c>
      <c r="AF33" s="13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06-2024.xlsm)</v>
      </c>
      <c r="AG33" s="498">
        <f ca="1">ROUND(IF(DESONERACAO="sim",REFERENCIA.Desonerado,REFERENCIA.NaoDesonerado),2)</f>
        <v>0</v>
      </c>
      <c r="AH33" s="499">
        <f t="shared" ca="1" si="15"/>
        <v>0.2432</v>
      </c>
      <c r="AJ33" s="501"/>
      <c r="AL33" s="527"/>
      <c r="AM33" s="381">
        <f t="shared" ca="1" si="0"/>
        <v>0</v>
      </c>
      <c r="AN33" s="566">
        <f t="shared" ca="1" si="16"/>
        <v>0</v>
      </c>
    </row>
    <row r="34" spans="1:40" ht="25.5" x14ac:dyDescent="0.2">
      <c r="A34" t="str">
        <f t="shared" si="1"/>
        <v>S</v>
      </c>
      <c r="B34">
        <f t="shared" ca="1" si="2"/>
        <v>2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IF($C34=1,OFFSET(E34,-1,0)+MAX(1,COUNTIF(QCI!$A$13:$A$24,OFFSET(ORÇAMENTO!E34,-1,0))),OFFSET(E34,-1,0))</f>
        <v>1</v>
      </c>
      <c r="F34">
        <f t="shared" ca="1" si="5"/>
        <v>4</v>
      </c>
      <c r="G34">
        <f t="shared" ca="1" si="6"/>
        <v>0</v>
      </c>
      <c r="H34">
        <f t="shared" ca="1" si="7"/>
        <v>0</v>
      </c>
      <c r="I34">
        <f t="shared" ca="1" si="8"/>
        <v>0</v>
      </c>
      <c r="J34">
        <f t="shared" ca="1" si="9"/>
        <v>0</v>
      </c>
      <c r="K34">
        <f ca="1">IF(OR($C34="S",$C34=0),0,MATCH(OFFSET($D34,0,$C34)+IF($C34&lt;&gt;1,1,COUNTIF(QCI!$A$13:$A$24,ORÇAMENTO!E34)),OFFSET($D34,1,$C34,ROW($C$727)-ROW($C34)),0))</f>
        <v>0</v>
      </c>
      <c r="L34" s="116" t="str">
        <f t="shared" ca="1" si="10"/>
        <v/>
      </c>
      <c r="M34" s="117" t="s">
        <v>199</v>
      </c>
      <c r="N34" s="118" t="str">
        <f t="shared" ca="1" si="11"/>
        <v>Serviço</v>
      </c>
      <c r="O34" s="119" t="str">
        <f t="shared" ca="1" si="12"/>
        <v>-</v>
      </c>
      <c r="P34" s="120" t="s">
        <v>247</v>
      </c>
      <c r="Q34" s="121" t="s">
        <v>469</v>
      </c>
      <c r="R34" s="122" t="str">
        <f ca="1">IF($C34="S",REFERENCIA.Descricao,"(digite a descrição aqui)")</f>
        <v>(abra o arquivo 'Referência 06-2024.xlsm)</v>
      </c>
      <c r="S34" s="123" t="str">
        <f ca="1">REFERENCIA.Unidade</f>
        <v>-</v>
      </c>
      <c r="T34" s="124">
        <f ca="1">OFFSET(CÁLCULO!H$15,ROW($T34)-ROW(T$15),0)</f>
        <v>47.9</v>
      </c>
      <c r="U34" s="125">
        <f t="shared" ca="1" si="17"/>
        <v>0</v>
      </c>
      <c r="V34" s="126" t="s">
        <v>156</v>
      </c>
      <c r="W34" s="124">
        <f ca="1">IF($C34="S",ROUND(IF(TIPOORCAMENTO="Proposto",ORÇAMENTO.CustoUnitario*(1+$AH34),ORÇAMENTO.PrecoUnitarioLicitado),15-13*$AF$10),0)</f>
        <v>0</v>
      </c>
      <c r="X34" s="127">
        <f ca="1">IF($C34="S",IF(Import.TipoArredondamento&lt;&gt;"TransfereGOV",VTOTAL1,SUM(OFFSET(CÁLCULO!$AI$15,ROW($X34)-ROW($X$15),1):OFFSET(CÁLCULO!$BB$15,ROW($X34)-ROW($X$15),-1))),IF($C34=0,0,ROUND(SomaAgrup,15-13*$AF$11)))</f>
        <v>0</v>
      </c>
      <c r="Y34" s="128" t="s">
        <v>245</v>
      </c>
      <c r="Z34" t="str">
        <f t="shared" ca="1" si="13"/>
        <v/>
      </c>
      <c r="AA34" s="129">
        <f ca="1">IF($C34="S",IF($Z34="CP",$X34,IF($Z34="RA",(($X34)*QCI!$AA$3),0)),SomaAgrup)</f>
        <v>0</v>
      </c>
      <c r="AB34" s="130">
        <f t="shared" ca="1" si="14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" t="str">
        <f ca="1">IF(AND($C34="S",ORÇAMENTO.CodBarra&lt;&gt;""),IF(ORÇAMENTO.Fonte="",ORÇAMENTO.CodBarra,CONCATENATE(ORÇAMENTO.Fonte," ",ORÇAMENTO.CodBarra)))</f>
        <v>SINAPI 101617</v>
      </c>
      <c r="AF34" s="13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06-2024.xlsm)</v>
      </c>
      <c r="AG34" s="498">
        <f ca="1">ROUND(IF(DESONERACAO="sim",REFERENCIA.Desonerado,REFERENCIA.NaoDesonerado),2)</f>
        <v>0</v>
      </c>
      <c r="AH34" s="499">
        <f t="shared" ca="1" si="15"/>
        <v>0.2432</v>
      </c>
      <c r="AJ34" s="501"/>
      <c r="AL34" s="527"/>
      <c r="AM34" s="381">
        <f t="shared" ca="1" si="0"/>
        <v>0</v>
      </c>
      <c r="AN34" s="566">
        <f t="shared" ca="1" si="16"/>
        <v>0</v>
      </c>
    </row>
    <row r="35" spans="1:40" ht="63.75" x14ac:dyDescent="0.2">
      <c r="A35" t="str">
        <f t="shared" si="1"/>
        <v>S</v>
      </c>
      <c r="B35">
        <f t="shared" ca="1" si="2"/>
        <v>2</v>
      </c>
      <c r="C35" t="str">
        <f t="shared" ca="1" si="3"/>
        <v>S</v>
      </c>
      <c r="D35">
        <f t="shared" ca="1" si="4"/>
        <v>0</v>
      </c>
      <c r="E35">
        <f ca="1">IF($C35=1,OFFSET(E35,-1,0)+MAX(1,COUNTIF(QCI!$A$13:$A$24,OFFSET(ORÇAMENTO!E35,-1,0))),OFFSET(E35,-1,0))</f>
        <v>1</v>
      </c>
      <c r="F35">
        <f t="shared" ca="1" si="5"/>
        <v>4</v>
      </c>
      <c r="G35">
        <f t="shared" ca="1" si="6"/>
        <v>0</v>
      </c>
      <c r="H35">
        <f t="shared" ca="1" si="7"/>
        <v>0</v>
      </c>
      <c r="I35">
        <f t="shared" ca="1" si="8"/>
        <v>0</v>
      </c>
      <c r="J35">
        <f t="shared" ca="1" si="9"/>
        <v>0</v>
      </c>
      <c r="K35">
        <f ca="1">IF(OR($C35="S",$C35=0),0,MATCH(OFFSET($D35,0,$C35)+IF($C35&lt;&gt;1,1,COUNTIF(QCI!$A$13:$A$24,ORÇAMENTO!E35)),OFFSET($D35,1,$C35,ROW($C$727)-ROW($C35)),0))</f>
        <v>0</v>
      </c>
      <c r="L35" s="116" t="str">
        <f t="shared" ca="1" si="10"/>
        <v/>
      </c>
      <c r="M35" s="117" t="s">
        <v>199</v>
      </c>
      <c r="N35" s="118" t="str">
        <f t="shared" ca="1" si="11"/>
        <v>Serviço</v>
      </c>
      <c r="O35" s="119" t="str">
        <f t="shared" ca="1" si="12"/>
        <v>-</v>
      </c>
      <c r="P35" s="120" t="s">
        <v>247</v>
      </c>
      <c r="Q35" s="121" t="s">
        <v>470</v>
      </c>
      <c r="R35" s="122" t="str">
        <f ca="1">IF($C35="S",REFERENCIA.Descricao,"(digite a descrição aqui)")</f>
        <v>(abra o arquivo 'Referência 06-2024.xlsm)</v>
      </c>
      <c r="S35" s="123" t="str">
        <f ca="1">REFERENCIA.Unidade</f>
        <v>-</v>
      </c>
      <c r="T35" s="124">
        <f ca="1">OFFSET(CÁLCULO!H$15,ROW($T35)-ROW(T$15),0)</f>
        <v>84.02</v>
      </c>
      <c r="U35" s="125">
        <f t="shared" ca="1" si="17"/>
        <v>0</v>
      </c>
      <c r="V35" s="126" t="s">
        <v>156</v>
      </c>
      <c r="W35" s="124">
        <f ca="1">IF($C35="S",ROUND(IF(TIPOORCAMENTO="Proposto",ORÇAMENTO.CustoUnitario*(1+$AH35),ORÇAMENTO.PrecoUnitarioLicitado),15-13*$AF$10),0)</f>
        <v>0</v>
      </c>
      <c r="X35" s="127">
        <f ca="1">IF($C35="S",IF(Import.TipoArredondamento&lt;&gt;"TransfereGOV",VTOTAL1,SUM(OFFSET(CÁLCULO!$AI$15,ROW($X35)-ROW($X$15),1):OFFSET(CÁLCULO!$BB$15,ROW($X35)-ROW($X$15),-1))),IF($C35=0,0,ROUND(SomaAgrup,15-13*$AF$11)))</f>
        <v>0</v>
      </c>
      <c r="Y35" s="128" t="s">
        <v>245</v>
      </c>
      <c r="Z35" t="str">
        <f t="shared" ca="1" si="13"/>
        <v/>
      </c>
      <c r="AA35" s="129">
        <f ca="1">IF($C35="S",IF($Z35="CP",$X35,IF($Z35="RA",(($X35)*QCI!$AA$3),0)),SomaAgrup)</f>
        <v>0</v>
      </c>
      <c r="AB35" s="130">
        <f t="shared" ca="1" si="14"/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SINAPI 93381</v>
      </c>
      <c r="AF35" s="13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06-2024.xlsm)</v>
      </c>
      <c r="AG35" s="498">
        <f ca="1">ROUND(IF(DESONERACAO="sim",REFERENCIA.Desonerado,REFERENCIA.NaoDesonerado),2)</f>
        <v>0</v>
      </c>
      <c r="AH35" s="499">
        <f t="shared" ca="1" si="15"/>
        <v>0.2432</v>
      </c>
      <c r="AJ35" s="501"/>
      <c r="AL35" s="527"/>
      <c r="AM35" s="381">
        <f t="shared" ca="1" si="0"/>
        <v>0</v>
      </c>
      <c r="AN35" s="566">
        <f t="shared" ca="1" si="16"/>
        <v>0</v>
      </c>
    </row>
    <row r="36" spans="1:40" ht="51" x14ac:dyDescent="0.2">
      <c r="A36" t="str">
        <f t="shared" si="1"/>
        <v>S</v>
      </c>
      <c r="B36">
        <f t="shared" ca="1" si="2"/>
        <v>2</v>
      </c>
      <c r="C36" t="str">
        <f t="shared" ca="1" si="3"/>
        <v>S</v>
      </c>
      <c r="D36">
        <f t="shared" ca="1" si="4"/>
        <v>0</v>
      </c>
      <c r="E36">
        <f ca="1">IF($C36=1,OFFSET(E36,-1,0)+MAX(1,COUNTIF(QCI!$A$13:$A$24,OFFSET(ORÇAMENTO!E36,-1,0))),OFFSET(E36,-1,0))</f>
        <v>1</v>
      </c>
      <c r="F36">
        <f t="shared" ca="1" si="5"/>
        <v>4</v>
      </c>
      <c r="G36">
        <f t="shared" ca="1" si="6"/>
        <v>0</v>
      </c>
      <c r="H36">
        <f t="shared" ca="1" si="7"/>
        <v>0</v>
      </c>
      <c r="I36">
        <f t="shared" ca="1" si="8"/>
        <v>0</v>
      </c>
      <c r="J36">
        <f t="shared" ca="1" si="9"/>
        <v>0</v>
      </c>
      <c r="K36">
        <f ca="1">IF(OR($C36="S",$C36=0),0,MATCH(OFFSET($D36,0,$C36)+IF($C36&lt;&gt;1,1,COUNTIF(QCI!$A$13:$A$24,ORÇAMENTO!E36)),OFFSET($D36,1,$C36,ROW($C$727)-ROW($C36)),0))</f>
        <v>0</v>
      </c>
      <c r="L36" s="116" t="str">
        <f t="shared" ca="1" si="10"/>
        <v/>
      </c>
      <c r="M36" s="117" t="s">
        <v>199</v>
      </c>
      <c r="N36" s="118" t="str">
        <f t="shared" ca="1" si="11"/>
        <v>Serviço</v>
      </c>
      <c r="O36" s="119" t="str">
        <f t="shared" ca="1" si="12"/>
        <v>-</v>
      </c>
      <c r="P36" s="120" t="s">
        <v>247</v>
      </c>
      <c r="Q36" s="121" t="s">
        <v>471</v>
      </c>
      <c r="R36" s="122" t="str">
        <f ca="1">IF($C36="S",REFERENCIA.Descricao,"(digite a descrição aqui)")</f>
        <v>(abra o arquivo 'Referência 06-2024.xlsm)</v>
      </c>
      <c r="S36" s="123" t="str">
        <f ca="1">REFERENCIA.Unidade</f>
        <v>-</v>
      </c>
      <c r="T36" s="124">
        <f ca="1">OFFSET(CÁLCULO!H$15,ROW($T36)-ROW(T$15),0)</f>
        <v>247.36</v>
      </c>
      <c r="U36" s="125">
        <f t="shared" ca="1" si="17"/>
        <v>0</v>
      </c>
      <c r="V36" s="126" t="s">
        <v>156</v>
      </c>
      <c r="W36" s="124">
        <f ca="1">IF($C36="S",ROUND(IF(TIPOORCAMENTO="Proposto",ORÇAMENTO.CustoUnitario*(1+$AH36),ORÇAMENTO.PrecoUnitarioLicitado),15-13*$AF$10),0)</f>
        <v>0</v>
      </c>
      <c r="X36" s="127">
        <f ca="1">IF($C36="S",IF(Import.TipoArredondamento&lt;&gt;"TransfereGOV",VTOTAL1,SUM(OFFSET(CÁLCULO!$AI$15,ROW($X36)-ROW($X$15),1):OFFSET(CÁLCULO!$BB$15,ROW($X36)-ROW($X$15),-1))),IF($C36=0,0,ROUND(SomaAgrup,15-13*$AF$11)))</f>
        <v>0</v>
      </c>
      <c r="Y36" s="128" t="s">
        <v>245</v>
      </c>
      <c r="Z36" t="str">
        <f t="shared" ca="1" si="13"/>
        <v/>
      </c>
      <c r="AA36" s="129">
        <f ca="1">IF($C36="S",IF($Z36="CP",$X36,IF($Z36="RA",(($X36)*QCI!$AA$3),0)),SomaAgrup)</f>
        <v>0</v>
      </c>
      <c r="AB36" s="130">
        <f t="shared" ca="1" si="14"/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SINAPI 94316</v>
      </c>
      <c r="AF36" s="13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06-2024.xlsm)</v>
      </c>
      <c r="AG36" s="498">
        <f ca="1">ROUND(IF(DESONERACAO="sim",REFERENCIA.Desonerado,REFERENCIA.NaoDesonerado),2)</f>
        <v>0</v>
      </c>
      <c r="AH36" s="499">
        <f t="shared" ca="1" si="15"/>
        <v>0.2432</v>
      </c>
      <c r="AJ36" s="501"/>
      <c r="AL36" s="527"/>
      <c r="AM36" s="381">
        <f t="shared" ca="1" si="0"/>
        <v>0</v>
      </c>
      <c r="AN36" s="566">
        <f t="shared" ca="1" si="16"/>
        <v>0</v>
      </c>
    </row>
    <row r="37" spans="1:40" x14ac:dyDescent="0.2">
      <c r="A37">
        <f t="shared" si="1"/>
        <v>2</v>
      </c>
      <c r="B37">
        <f t="shared" ca="1" si="2"/>
        <v>2</v>
      </c>
      <c r="C37">
        <f t="shared" ca="1" si="3"/>
        <v>2</v>
      </c>
      <c r="D37">
        <f t="shared" ca="1" si="4"/>
        <v>3</v>
      </c>
      <c r="E37">
        <f ca="1">IF($C37=1,OFFSET(E37,-1,0)+MAX(1,COUNTIF(QCI!$A$13:$A$24,OFFSET(ORÇAMENTO!E37,-1,0))),OFFSET(E37,-1,0))</f>
        <v>1</v>
      </c>
      <c r="F37">
        <f t="shared" ca="1" si="5"/>
        <v>5</v>
      </c>
      <c r="G37">
        <f t="shared" ca="1" si="6"/>
        <v>0</v>
      </c>
      <c r="H37">
        <f t="shared" ca="1" si="7"/>
        <v>0</v>
      </c>
      <c r="I37">
        <f t="shared" ca="1" si="8"/>
        <v>0</v>
      </c>
      <c r="J37">
        <f t="shared" ca="1" si="9"/>
        <v>690</v>
      </c>
      <c r="K37">
        <f ca="1">IF(OR($C37="S",$C37=0),0,MATCH(OFFSET($D37,0,$C37)+IF($C37&lt;&gt;1,1,COUNTIF(QCI!$A$13:$A$24,ORÇAMENTO!E37)),OFFSET($D37,1,$C37,ROW($C$727)-ROW($C37)),0))</f>
        <v>3</v>
      </c>
      <c r="L37" s="116" t="str">
        <f t="shared" ca="1" si="10"/>
        <v>F</v>
      </c>
      <c r="M37" s="117" t="s">
        <v>196</v>
      </c>
      <c r="N37" s="118" t="str">
        <f t="shared" ca="1" si="11"/>
        <v>Nível 2</v>
      </c>
      <c r="O37" s="119" t="str">
        <f t="shared" ca="1" si="12"/>
        <v>1.5.</v>
      </c>
      <c r="P37" s="120" t="s">
        <v>247</v>
      </c>
      <c r="Q37" s="121"/>
      <c r="R37" s="122" t="s">
        <v>1033</v>
      </c>
      <c r="S37" s="123" t="str">
        <f ca="1">REFERENCIA.Unidade</f>
        <v>-</v>
      </c>
      <c r="T37" s="124">
        <f ca="1">OFFSET(CÁLCULO!H$15,ROW($T37)-ROW(T$15),0)</f>
        <v>0</v>
      </c>
      <c r="U37" s="125">
        <f t="shared" ca="1" si="17"/>
        <v>0</v>
      </c>
      <c r="V37" s="126" t="s">
        <v>156</v>
      </c>
      <c r="W37" s="124">
        <f ca="1">IF($C37="S",ROUND(IF(TIPOORCAMENTO="Proposto",ORÇAMENTO.CustoUnitario*(1+$AH37),ORÇAMENTO.PrecoUnitarioLicitado),15-13*$AF$10),0)</f>
        <v>0</v>
      </c>
      <c r="X37" s="127">
        <f ca="1">IF($C37="S",IF(Import.TipoArredondamento&lt;&gt;"TransfereGOV",VTOTAL1,SUM(OFFSET(CÁLCULO!$AI$15,ROW($X37)-ROW($X$15),1):OFFSET(CÁLCULO!$BB$15,ROW($X37)-ROW($X$15),-1))),IF($C37=0,0,ROUND(SomaAgrup,15-13*$AF$11)))</f>
        <v>0</v>
      </c>
      <c r="Y37" s="128" t="s">
        <v>245</v>
      </c>
      <c r="Z37" t="str">
        <f t="shared" ca="1" si="13"/>
        <v/>
      </c>
      <c r="AA37" s="129">
        <f ca="1">IF($C37="S",IF($Z37="CP",$X37,IF($Z37="RA",(($X37)*QCI!$AA$3),0)),SomaAgrup)</f>
        <v>0</v>
      </c>
      <c r="AB37" s="130">
        <f t="shared" ca="1" si="14"/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>
        <f ca="1">IF(C37&lt;=CRONO.NivelExibicao,MAX($AD$15:OFFSET(AD37,-1,0))+IF($C37&lt;&gt;1,1,MAX(1,COUNTIF(QCI!$A$13:$A$24,OFFSET($E37,-1,0)))),"")</f>
        <v>6</v>
      </c>
      <c r="AE37" s="7" t="b">
        <f ca="1">IF(AND($C37="S",ORÇAMENTO.CodBarra&lt;&gt;""),IF(ORÇAMENTO.Fonte="",ORÇAMENTO.CodBarra,CONCATENATE(ORÇAMENTO.Fonte," ",ORÇAMENTO.CodBarra)))</f>
        <v>0</v>
      </c>
      <c r="AF37" s="13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06-2024.xlsm)</v>
      </c>
      <c r="AG37" s="498">
        <f ca="1">ROUND(IF(DESONERACAO="sim",REFERENCIA.Desonerado,REFERENCIA.NaoDesonerado),2)</f>
        <v>0</v>
      </c>
      <c r="AH37" s="499">
        <f t="shared" ca="1" si="15"/>
        <v>0.2432</v>
      </c>
      <c r="AJ37" s="501"/>
      <c r="AL37" s="527"/>
      <c r="AM37" s="381">
        <f t="shared" ca="1" si="0"/>
        <v>0</v>
      </c>
      <c r="AN37" s="566">
        <f t="shared" ca="1" si="16"/>
        <v>0</v>
      </c>
    </row>
    <row r="38" spans="1:40" ht="38.25" x14ac:dyDescent="0.2">
      <c r="A38" t="str">
        <f t="shared" si="1"/>
        <v>S</v>
      </c>
      <c r="B38">
        <f t="shared" ca="1" si="2"/>
        <v>2</v>
      </c>
      <c r="C38" t="str">
        <f t="shared" ca="1" si="3"/>
        <v>S</v>
      </c>
      <c r="D38">
        <f t="shared" ca="1" si="4"/>
        <v>0</v>
      </c>
      <c r="E38">
        <f ca="1">IF($C38=1,OFFSET(E38,-1,0)+MAX(1,COUNTIF(QCI!$A$13:$A$24,OFFSET(ORÇAMENTO!E38,-1,0))),OFFSET(E38,-1,0))</f>
        <v>1</v>
      </c>
      <c r="F38">
        <f t="shared" ca="1" si="5"/>
        <v>5</v>
      </c>
      <c r="G38">
        <f t="shared" ca="1" si="6"/>
        <v>0</v>
      </c>
      <c r="H38">
        <f t="shared" ca="1" si="7"/>
        <v>0</v>
      </c>
      <c r="I38">
        <f t="shared" ca="1" si="8"/>
        <v>0</v>
      </c>
      <c r="J38">
        <f t="shared" ca="1" si="9"/>
        <v>0</v>
      </c>
      <c r="K38">
        <f ca="1">IF(OR($C38="S",$C38=0),0,MATCH(OFFSET($D38,0,$C38)+IF($C38&lt;&gt;1,1,COUNTIF(QCI!$A$13:$A$24,ORÇAMENTO!E38)),OFFSET($D38,1,$C38,ROW($C$727)-ROW($C38)),0))</f>
        <v>0</v>
      </c>
      <c r="L38" s="116" t="str">
        <f t="shared" ca="1" si="10"/>
        <v/>
      </c>
      <c r="M38" s="117" t="s">
        <v>199</v>
      </c>
      <c r="N38" s="118" t="str">
        <f t="shared" ca="1" si="11"/>
        <v>Serviço</v>
      </c>
      <c r="O38" s="119" t="str">
        <f t="shared" ca="1" si="12"/>
        <v>-</v>
      </c>
      <c r="P38" s="120" t="s">
        <v>247</v>
      </c>
      <c r="Q38" s="121" t="s">
        <v>473</v>
      </c>
      <c r="R38" s="122" t="str">
        <f ca="1">IF($C38="S",REFERENCIA.Descricao,"(digite a descrição aqui)")</f>
        <v>(abra o arquivo 'Referência 06-2024.xlsm)</v>
      </c>
      <c r="S38" s="123" t="str">
        <f ca="1">REFERENCIA.Unidade</f>
        <v>-</v>
      </c>
      <c r="T38" s="124">
        <f ca="1">OFFSET(CÁLCULO!H$15,ROW($T38)-ROW(T$15),0)</f>
        <v>34.35</v>
      </c>
      <c r="U38" s="125">
        <f t="shared" ca="1" si="17"/>
        <v>0</v>
      </c>
      <c r="V38" s="126" t="s">
        <v>156</v>
      </c>
      <c r="W38" s="124">
        <f ca="1">IF($C38="S",ROUND(IF(TIPOORCAMENTO="Proposto",ORÇAMENTO.CustoUnitario*(1+$AH38),ORÇAMENTO.PrecoUnitarioLicitado),15-13*$AF$10),0)</f>
        <v>0</v>
      </c>
      <c r="X38" s="127">
        <f ca="1">IF($C38="S",IF(Import.TipoArredondamento&lt;&gt;"TransfereGOV",VTOTAL1,SUM(OFFSET(CÁLCULO!$AI$15,ROW($X38)-ROW($X$15),1):OFFSET(CÁLCULO!$BB$15,ROW($X38)-ROW($X$15),-1))),IF($C38=0,0,ROUND(SomaAgrup,15-13*$AF$11)))</f>
        <v>0</v>
      </c>
      <c r="Y38" s="128" t="s">
        <v>245</v>
      </c>
      <c r="Z38" t="str">
        <f t="shared" ca="1" si="13"/>
        <v/>
      </c>
      <c r="AA38" s="129">
        <f ca="1">IF($C38="S",IF($Z38="CP",$X38,IF($Z38="RA",(($X38)*QCI!$AA$3),0)),SomaAgrup)</f>
        <v>0</v>
      </c>
      <c r="AB38" s="130">
        <f t="shared" ca="1" si="14"/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str">
        <f ca="1">IF(AND($C38="S",ORÇAMENTO.CodBarra&lt;&gt;""),IF(ORÇAMENTO.Fonte="",ORÇAMENTO.CodBarra,CONCATENATE(ORÇAMENTO.Fonte," ",ORÇAMENTO.CodBarra)))</f>
        <v>SINAPI 101096</v>
      </c>
      <c r="AF38" s="13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06-2024.xlsm)</v>
      </c>
      <c r="AG38" s="498">
        <f ca="1">ROUND(IF(DESONERACAO="sim",REFERENCIA.Desonerado,REFERENCIA.NaoDesonerado),2)</f>
        <v>0</v>
      </c>
      <c r="AH38" s="499">
        <f t="shared" ca="1" si="15"/>
        <v>0.2432</v>
      </c>
      <c r="AJ38" s="501"/>
      <c r="AL38" s="527"/>
      <c r="AM38" s="381">
        <f t="shared" ca="1" si="0"/>
        <v>0</v>
      </c>
      <c r="AN38" s="566">
        <f t="shared" ca="1" si="16"/>
        <v>0</v>
      </c>
    </row>
    <row r="39" spans="1:40" ht="38.25" x14ac:dyDescent="0.2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1</v>
      </c>
      <c r="F39">
        <f t="shared" ca="1" si="5"/>
        <v>5</v>
      </c>
      <c r="G39">
        <f t="shared" ca="1" si="6"/>
        <v>0</v>
      </c>
      <c r="H39">
        <f t="shared" ca="1" si="7"/>
        <v>0</v>
      </c>
      <c r="I39">
        <f t="shared" ca="1" si="8"/>
        <v>0</v>
      </c>
      <c r="J39">
        <f t="shared" ca="1" si="9"/>
        <v>0</v>
      </c>
      <c r="K39">
        <f ca="1">IF(OR($C39="S",$C39=0),0,MATCH(OFFSET($D39,0,$C39)+IF($C39&lt;&gt;1,1,COUNTIF(QCI!$A$13:$A$24,ORÇAMENTO!E39)),OFFSET($D39,1,$C39,ROW($C$727)-ROW($C39)),0))</f>
        <v>0</v>
      </c>
      <c r="L39" s="116" t="str">
        <f t="shared" ca="1" si="10"/>
        <v/>
      </c>
      <c r="M39" s="117" t="s">
        <v>199</v>
      </c>
      <c r="N39" s="118" t="str">
        <f t="shared" ca="1" si="11"/>
        <v>Serviço</v>
      </c>
      <c r="O39" s="119" t="str">
        <f t="shared" ca="1" si="12"/>
        <v>-</v>
      </c>
      <c r="P39" s="120" t="s">
        <v>247</v>
      </c>
      <c r="Q39" s="121" t="s">
        <v>474</v>
      </c>
      <c r="R39" s="122" t="str">
        <f ca="1">IF($C39="S",REFERENCIA.Descricao,"(digite a descrição aqui)")</f>
        <v>(abra o arquivo 'Referência 06-2024.xlsm)</v>
      </c>
      <c r="S39" s="123" t="str">
        <f ca="1">REFERENCIA.Unidade</f>
        <v>-</v>
      </c>
      <c r="T39" s="124">
        <f ca="1">OFFSET(CÁLCULO!H$15,ROW($T39)-ROW(T$15),0)</f>
        <v>3.44</v>
      </c>
      <c r="U39" s="125">
        <f t="shared" ca="1" si="17"/>
        <v>0</v>
      </c>
      <c r="V39" s="126" t="s">
        <v>156</v>
      </c>
      <c r="W39" s="124">
        <f ca="1">IF($C39="S",ROUND(IF(TIPOORCAMENTO="Proposto",ORÇAMENTO.CustoUnitario*(1+$AH39),ORÇAMENTO.PrecoUnitarioLicitado),15-13*$AF$10),0)</f>
        <v>0</v>
      </c>
      <c r="X39" s="127">
        <f ca="1">IF($C39="S",IF(Import.TipoArredondamento&lt;&gt;"TransfereGOV",VTOTAL1,SUM(OFFSET(CÁLCULO!$AI$15,ROW($X39)-ROW($X$15),1):OFFSET(CÁLCULO!$BB$15,ROW($X39)-ROW($X$15),-1))),IF($C39=0,0,ROUND(SomaAgrup,15-13*$AF$11)))</f>
        <v>0</v>
      </c>
      <c r="Y39" s="128" t="s">
        <v>245</v>
      </c>
      <c r="Z39" t="str">
        <f t="shared" ca="1" si="13"/>
        <v/>
      </c>
      <c r="AA39" s="129">
        <f ca="1">IF($C39="S",IF($Z39="CP",$X39,IF($Z39="RA",(($X39)*QCI!$AA$3),0)),SomaAgrup)</f>
        <v>0</v>
      </c>
      <c r="AB39" s="130">
        <f t="shared" ca="1" si="14"/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SINAPI 101112</v>
      </c>
      <c r="AF39" s="13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06-2024.xlsm)</v>
      </c>
      <c r="AG39" s="498">
        <f ca="1">ROUND(IF(DESONERACAO="sim",REFERENCIA.Desonerado,REFERENCIA.NaoDesonerado),2)</f>
        <v>0</v>
      </c>
      <c r="AH39" s="499">
        <f t="shared" ca="1" si="15"/>
        <v>0.2432</v>
      </c>
      <c r="AJ39" s="501"/>
      <c r="AL39" s="527"/>
      <c r="AM39" s="381">
        <f t="shared" ca="1" si="0"/>
        <v>0</v>
      </c>
      <c r="AN39" s="566">
        <f t="shared" ca="1" si="16"/>
        <v>0</v>
      </c>
    </row>
    <row r="40" spans="1:40" x14ac:dyDescent="0.2">
      <c r="A40">
        <f t="shared" si="1"/>
        <v>2</v>
      </c>
      <c r="B40">
        <f t="shared" ca="1" si="2"/>
        <v>2</v>
      </c>
      <c r="C40">
        <f t="shared" ca="1" si="3"/>
        <v>2</v>
      </c>
      <c r="D40">
        <f t="shared" ca="1" si="4"/>
        <v>7</v>
      </c>
      <c r="E40">
        <f ca="1">IF($C40=1,OFFSET(E40,-1,0)+MAX(1,COUNTIF(QCI!$A$13:$A$24,OFFSET(ORÇAMENTO!E40,-1,0))),OFFSET(E40,-1,0))</f>
        <v>1</v>
      </c>
      <c r="F40">
        <f t="shared" ca="1" si="5"/>
        <v>6</v>
      </c>
      <c r="G40">
        <f t="shared" ca="1" si="6"/>
        <v>0</v>
      </c>
      <c r="H40">
        <f t="shared" ca="1" si="7"/>
        <v>0</v>
      </c>
      <c r="I40">
        <f t="shared" ca="1" si="8"/>
        <v>0</v>
      </c>
      <c r="J40">
        <f t="shared" ca="1" si="9"/>
        <v>687</v>
      </c>
      <c r="K40">
        <f ca="1">IF(OR($C40="S",$C40=0),0,MATCH(OFFSET($D40,0,$C40)+IF($C40&lt;&gt;1,1,COUNTIF(QCI!$A$13:$A$24,ORÇAMENTO!E40)),OFFSET($D40,1,$C40,ROW($C$727)-ROW($C40)),0))</f>
        <v>7</v>
      </c>
      <c r="L40" s="116" t="str">
        <f t="shared" ca="1" si="10"/>
        <v>F</v>
      </c>
      <c r="M40" s="117" t="s">
        <v>196</v>
      </c>
      <c r="N40" s="118" t="str">
        <f t="shared" ca="1" si="11"/>
        <v>Nível 2</v>
      </c>
      <c r="O40" s="119" t="str">
        <f t="shared" ca="1" si="12"/>
        <v>1.6.</v>
      </c>
      <c r="P40" s="120" t="s">
        <v>247</v>
      </c>
      <c r="Q40" s="121"/>
      <c r="R40" s="122" t="s">
        <v>1034</v>
      </c>
      <c r="S40" s="123" t="str">
        <f ca="1">REFERENCIA.Unidade</f>
        <v>-</v>
      </c>
      <c r="T40" s="124">
        <f ca="1">OFFSET(CÁLCULO!H$15,ROW($T40)-ROW(T$15),0)</f>
        <v>0</v>
      </c>
      <c r="U40" s="125">
        <f t="shared" ca="1" si="17"/>
        <v>0</v>
      </c>
      <c r="V40" s="126" t="s">
        <v>156</v>
      </c>
      <c r="W40" s="124">
        <f ca="1">IF($C40="S",ROUND(IF(TIPOORCAMENTO="Proposto",ORÇAMENTO.CustoUnitario*(1+$AH40),ORÇAMENTO.PrecoUnitarioLicitado),15-13*$AF$10),0)</f>
        <v>0</v>
      </c>
      <c r="X40" s="127">
        <f ca="1">IF($C40="S",IF(Import.TipoArredondamento&lt;&gt;"TransfereGOV",VTOTAL1,SUM(OFFSET(CÁLCULO!$AI$15,ROW($X40)-ROW($X$15),1):OFFSET(CÁLCULO!$BB$15,ROW($X40)-ROW($X$15),-1))),IF($C40=0,0,ROUND(SomaAgrup,15-13*$AF$11)))</f>
        <v>0</v>
      </c>
      <c r="Y40" s="128" t="s">
        <v>245</v>
      </c>
      <c r="Z40" t="str">
        <f t="shared" ca="1" si="13"/>
        <v/>
      </c>
      <c r="AA40" s="129">
        <f ca="1">IF($C40="S",IF($Z40="CP",$X40,IF($Z40="RA",(($X40)*QCI!$AA$3),0)),SomaAgrup)</f>
        <v>0</v>
      </c>
      <c r="AB40" s="130">
        <f t="shared" ca="1" si="14"/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>
        <f ca="1">IF(C40&lt;=CRONO.NivelExibicao,MAX($AD$15:OFFSET(AD40,-1,0))+IF($C40&lt;&gt;1,1,MAX(1,COUNTIF(QCI!$A$13:$A$24,OFFSET($E40,-1,0)))),"")</f>
        <v>7</v>
      </c>
      <c r="AE40" s="7" t="b">
        <f ca="1">IF(AND($C40="S",ORÇAMENTO.CodBarra&lt;&gt;""),IF(ORÇAMENTO.Fonte="",ORÇAMENTO.CodBarra,CONCATENATE(ORÇAMENTO.Fonte," ",ORÇAMENTO.CodBarra)))</f>
        <v>0</v>
      </c>
      <c r="AF40" s="13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06-2024.xlsm)</v>
      </c>
      <c r="AG40" s="498">
        <f ca="1">ROUND(IF(DESONERACAO="sim",REFERENCIA.Desonerado,REFERENCIA.NaoDesonerado),2)</f>
        <v>0</v>
      </c>
      <c r="AH40" s="499">
        <f t="shared" ca="1" si="15"/>
        <v>0.2432</v>
      </c>
      <c r="AJ40" s="501"/>
      <c r="AL40" s="527"/>
      <c r="AM40" s="381">
        <f t="shared" ca="1" si="0"/>
        <v>0</v>
      </c>
      <c r="AN40" s="566">
        <f t="shared" ca="1" si="16"/>
        <v>0</v>
      </c>
    </row>
    <row r="41" spans="1:40" ht="25.5" x14ac:dyDescent="0.2">
      <c r="A41" t="str">
        <f t="shared" si="1"/>
        <v>S</v>
      </c>
      <c r="B41">
        <f t="shared" ca="1" si="2"/>
        <v>2</v>
      </c>
      <c r="C41" t="str">
        <f t="shared" ca="1" si="3"/>
        <v>S</v>
      </c>
      <c r="D41">
        <f t="shared" ca="1" si="4"/>
        <v>0</v>
      </c>
      <c r="E41">
        <f ca="1">IF($C41=1,OFFSET(E41,-1,0)+MAX(1,COUNTIF(QCI!$A$13:$A$24,OFFSET(ORÇAMENTO!E41,-1,0))),OFFSET(E41,-1,0))</f>
        <v>1</v>
      </c>
      <c r="F41">
        <f t="shared" ca="1" si="5"/>
        <v>6</v>
      </c>
      <c r="G41">
        <f t="shared" ca="1" si="6"/>
        <v>0</v>
      </c>
      <c r="H41">
        <f t="shared" ca="1" si="7"/>
        <v>0</v>
      </c>
      <c r="I41">
        <f t="shared" ca="1" si="8"/>
        <v>0</v>
      </c>
      <c r="J41">
        <f t="shared" ca="1" si="9"/>
        <v>0</v>
      </c>
      <c r="K41">
        <f ca="1">IF(OR($C41="S",$C41=0),0,MATCH(OFFSET($D41,0,$C41)+IF($C41&lt;&gt;1,1,COUNTIF(QCI!$A$13:$A$24,ORÇAMENTO!E41)),OFFSET($D41,1,$C41,ROW($C$727)-ROW($C41)),0))</f>
        <v>0</v>
      </c>
      <c r="L41" s="116" t="str">
        <f t="shared" ca="1" si="10"/>
        <v/>
      </c>
      <c r="M41" s="117" t="s">
        <v>199</v>
      </c>
      <c r="N41" s="118" t="str">
        <f t="shared" ca="1" si="11"/>
        <v>Serviço</v>
      </c>
      <c r="O41" s="119" t="str">
        <f t="shared" ca="1" si="12"/>
        <v>-</v>
      </c>
      <c r="P41" s="120" t="s">
        <v>247</v>
      </c>
      <c r="Q41" s="121" t="s">
        <v>475</v>
      </c>
      <c r="R41" s="122" t="str">
        <f ca="1">IF($C41="S",REFERENCIA.Descricao,"(digite a descrição aqui)")</f>
        <v>(abra o arquivo 'Referência 06-2024.xlsm)</v>
      </c>
      <c r="S41" s="123" t="str">
        <f ca="1">REFERENCIA.Unidade</f>
        <v>-</v>
      </c>
      <c r="T41" s="124">
        <f ca="1">OFFSET(CÁLCULO!H$15,ROW($T41)-ROW(T$15),0)</f>
        <v>7.56</v>
      </c>
      <c r="U41" s="125">
        <f t="shared" ca="1" si="17"/>
        <v>0</v>
      </c>
      <c r="V41" s="126" t="s">
        <v>156</v>
      </c>
      <c r="W41" s="124">
        <f ca="1">IF($C41="S",ROUND(IF(TIPOORCAMENTO="Proposto",ORÇAMENTO.CustoUnitario*(1+$AH41),ORÇAMENTO.PrecoUnitarioLicitado),15-13*$AF$10),0)</f>
        <v>0</v>
      </c>
      <c r="X41" s="127">
        <f ca="1">IF($C41="S",IF(Import.TipoArredondamento&lt;&gt;"TransfereGOV",VTOTAL1,SUM(OFFSET(CÁLCULO!$AI$15,ROW($X41)-ROW($X$15),1):OFFSET(CÁLCULO!$BB$15,ROW($X41)-ROW($X$15),-1))),IF($C41=0,0,ROUND(SomaAgrup,15-13*$AF$11)))</f>
        <v>0</v>
      </c>
      <c r="Y41" s="128" t="s">
        <v>245</v>
      </c>
      <c r="Z41" t="str">
        <f t="shared" ca="1" si="13"/>
        <v/>
      </c>
      <c r="AA41" s="129">
        <f ca="1">IF($C41="S",IF($Z41="CP",$X41,IF($Z41="RA",(($X41)*QCI!$AA$3),0)),SomaAgrup)</f>
        <v>0</v>
      </c>
      <c r="AB41" s="130">
        <f t="shared" ca="1" si="14"/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IF(C41&lt;=CRONO.NivelExibicao,MAX($AD$15:OFFSET(AD41,-1,0))+IF($C41&lt;&gt;1,1,MAX(1,COUNTIF(QCI!$A$13:$A$24,OFFSET($E41,-1,0)))),"")</f>
        <v/>
      </c>
      <c r="AE41" s="7" t="str">
        <f ca="1">IF(AND($C41="S",ORÇAMENTO.CodBarra&lt;&gt;""),IF(ORÇAMENTO.Fonte="",ORÇAMENTO.CodBarra,CONCATENATE(ORÇAMENTO.Fonte," ",ORÇAMENTO.CodBarra)))</f>
        <v>SINAPI 96619</v>
      </c>
      <c r="AF41" s="13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06-2024.xlsm)</v>
      </c>
      <c r="AG41" s="498">
        <f ca="1">ROUND(IF(DESONERACAO="sim",REFERENCIA.Desonerado,REFERENCIA.NaoDesonerado),2)</f>
        <v>0</v>
      </c>
      <c r="AH41" s="499">
        <f t="shared" ca="1" si="15"/>
        <v>0.2432</v>
      </c>
      <c r="AJ41" s="501"/>
      <c r="AL41" s="527"/>
      <c r="AM41" s="381">
        <f t="shared" ca="1" si="0"/>
        <v>0</v>
      </c>
      <c r="AN41" s="566">
        <f t="shared" ca="1" si="16"/>
        <v>0</v>
      </c>
    </row>
    <row r="42" spans="1:40" ht="25.5" x14ac:dyDescent="0.2">
      <c r="A42" t="str">
        <f t="shared" si="1"/>
        <v>S</v>
      </c>
      <c r="B42">
        <f t="shared" ca="1" si="2"/>
        <v>2</v>
      </c>
      <c r="C42" t="str">
        <f t="shared" ca="1" si="3"/>
        <v>S</v>
      </c>
      <c r="D42">
        <f t="shared" ca="1" si="4"/>
        <v>0</v>
      </c>
      <c r="E42">
        <f ca="1">IF($C42=1,OFFSET(E42,-1,0)+MAX(1,COUNTIF(QCI!$A$13:$A$24,OFFSET(ORÇAMENTO!E42,-1,0))),OFFSET(E42,-1,0))</f>
        <v>1</v>
      </c>
      <c r="F42">
        <f t="shared" ca="1" si="5"/>
        <v>6</v>
      </c>
      <c r="G42">
        <f t="shared" ca="1" si="6"/>
        <v>0</v>
      </c>
      <c r="H42">
        <f t="shared" ca="1" si="7"/>
        <v>0</v>
      </c>
      <c r="I42">
        <f t="shared" ca="1" si="8"/>
        <v>0</v>
      </c>
      <c r="J42">
        <f t="shared" ca="1" si="9"/>
        <v>0</v>
      </c>
      <c r="K42">
        <f ca="1">IF(OR($C42="S",$C42=0),0,MATCH(OFFSET($D42,0,$C42)+IF($C42&lt;&gt;1,1,COUNTIF(QCI!$A$13:$A$24,ORÇAMENTO!E42)),OFFSET($D42,1,$C42,ROW($C$727)-ROW($C42)),0))</f>
        <v>0</v>
      </c>
      <c r="L42" s="116" t="str">
        <f t="shared" ca="1" si="10"/>
        <v/>
      </c>
      <c r="M42" s="117" t="s">
        <v>199</v>
      </c>
      <c r="N42" s="118" t="str">
        <f t="shared" ca="1" si="11"/>
        <v>Serviço</v>
      </c>
      <c r="O42" s="119" t="str">
        <f t="shared" ca="1" si="12"/>
        <v>-</v>
      </c>
      <c r="P42" s="120" t="s">
        <v>247</v>
      </c>
      <c r="Q42" s="121" t="s">
        <v>476</v>
      </c>
      <c r="R42" s="122" t="str">
        <f ca="1">IF($C42="S",REFERENCIA.Descricao,"(digite a descrição aqui)")</f>
        <v>(abra o arquivo 'Referência 06-2024.xlsm)</v>
      </c>
      <c r="S42" s="123" t="str">
        <f ca="1">REFERENCIA.Unidade</f>
        <v>-</v>
      </c>
      <c r="T42" s="124">
        <f ca="1">OFFSET(CÁLCULO!H$15,ROW($T42)-ROW(T$15),0)</f>
        <v>3.13</v>
      </c>
      <c r="U42" s="125">
        <f t="shared" ca="1" si="17"/>
        <v>0</v>
      </c>
      <c r="V42" s="126" t="s">
        <v>156</v>
      </c>
      <c r="W42" s="124">
        <f ca="1">IF($C42="S",ROUND(IF(TIPOORCAMENTO="Proposto",ORÇAMENTO.CustoUnitario*(1+$AH42),ORÇAMENTO.PrecoUnitarioLicitado),15-13*$AF$10),0)</f>
        <v>0</v>
      </c>
      <c r="X42" s="127">
        <f ca="1">IF($C42="S",IF(Import.TipoArredondamento&lt;&gt;"TransfereGOV",VTOTAL1,SUM(OFFSET(CÁLCULO!$AI$15,ROW($X42)-ROW($X$15),1):OFFSET(CÁLCULO!$BB$15,ROW($X42)-ROW($X$15),-1))),IF($C42=0,0,ROUND(SomaAgrup,15-13*$AF$11)))</f>
        <v>0</v>
      </c>
      <c r="Y42" s="128" t="s">
        <v>245</v>
      </c>
      <c r="Z42" t="str">
        <f t="shared" ca="1" si="13"/>
        <v/>
      </c>
      <c r="AA42" s="129">
        <f ca="1">IF($C42="S",IF($Z42="CP",$X42,IF($Z42="RA",(($X42)*QCI!$AA$3),0)),SomaAgrup)</f>
        <v>0</v>
      </c>
      <c r="AB42" s="130">
        <f t="shared" ca="1" si="14"/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" t="str">
        <f ca="1">IF(AND($C42="S",ORÇAMENTO.CodBarra&lt;&gt;""),IF(ORÇAMENTO.Fonte="",ORÇAMENTO.CodBarra,CONCATENATE(ORÇAMENTO.Fonte," ",ORÇAMENTO.CodBarra)))</f>
        <v>SINAPI 96558</v>
      </c>
      <c r="AF42" s="13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06-2024.xlsm)</v>
      </c>
      <c r="AG42" s="498">
        <f ca="1">ROUND(IF(DESONERACAO="sim",REFERENCIA.Desonerado,REFERENCIA.NaoDesonerado),2)</f>
        <v>0</v>
      </c>
      <c r="AH42" s="499">
        <f t="shared" ca="1" si="15"/>
        <v>0.2432</v>
      </c>
      <c r="AJ42" s="501"/>
      <c r="AL42" s="527"/>
      <c r="AM42" s="381">
        <f t="shared" ca="1" si="0"/>
        <v>0</v>
      </c>
      <c r="AN42" s="566">
        <f t="shared" ca="1" si="16"/>
        <v>0</v>
      </c>
    </row>
    <row r="43" spans="1:40" ht="38.25" x14ac:dyDescent="0.2">
      <c r="A43" t="str">
        <f t="shared" si="1"/>
        <v>S</v>
      </c>
      <c r="B43">
        <f t="shared" ca="1" si="2"/>
        <v>2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1</v>
      </c>
      <c r="F43">
        <f t="shared" ca="1" si="5"/>
        <v>6</v>
      </c>
      <c r="G43">
        <f t="shared" ca="1" si="6"/>
        <v>0</v>
      </c>
      <c r="H43">
        <f t="shared" ca="1" si="7"/>
        <v>0</v>
      </c>
      <c r="I43">
        <f t="shared" ca="1" si="8"/>
        <v>0</v>
      </c>
      <c r="J43">
        <f t="shared" ca="1" si="9"/>
        <v>0</v>
      </c>
      <c r="K43">
        <f ca="1">IF(OR($C43="S",$C43=0),0,MATCH(OFFSET($D43,0,$C43)+IF($C43&lt;&gt;1,1,COUNTIF(QCI!$A$13:$A$24,ORÇAMENTO!E43)),OFFSET($D43,1,$C43,ROW($C$727)-ROW($C43)),0))</f>
        <v>0</v>
      </c>
      <c r="L43" s="116" t="str">
        <f t="shared" ca="1" si="10"/>
        <v/>
      </c>
      <c r="M43" s="117" t="s">
        <v>199</v>
      </c>
      <c r="N43" s="118" t="str">
        <f t="shared" ca="1" si="11"/>
        <v>Serviço</v>
      </c>
      <c r="O43" s="119" t="str">
        <f t="shared" ca="1" si="12"/>
        <v>-</v>
      </c>
      <c r="P43" s="120" t="s">
        <v>247</v>
      </c>
      <c r="Q43" s="121" t="s">
        <v>477</v>
      </c>
      <c r="R43" s="122" t="str">
        <f ca="1">IF($C43="S",REFERENCIA.Descricao,"(digite a descrição aqui)")</f>
        <v>(abra o arquivo 'Referência 06-2024.xlsm)</v>
      </c>
      <c r="S43" s="123" t="str">
        <f ca="1">REFERENCIA.Unidade</f>
        <v>-</v>
      </c>
      <c r="T43" s="124">
        <f ca="1">OFFSET(CÁLCULO!H$15,ROW($T43)-ROW(T$15),0)</f>
        <v>19.46</v>
      </c>
      <c r="U43" s="125">
        <f t="shared" ca="1" si="17"/>
        <v>0</v>
      </c>
      <c r="V43" s="126" t="s">
        <v>156</v>
      </c>
      <c r="W43" s="124">
        <f ca="1">IF($C43="S",ROUND(IF(TIPOORCAMENTO="Proposto",ORÇAMENTO.CustoUnitario*(1+$AH43),ORÇAMENTO.PrecoUnitarioLicitado),15-13*$AF$10),0)</f>
        <v>0</v>
      </c>
      <c r="X43" s="127">
        <f ca="1">IF($C43="S",IF(Import.TipoArredondamento&lt;&gt;"TransfereGOV",VTOTAL1,SUM(OFFSET(CÁLCULO!$AI$15,ROW($X43)-ROW($X$15),1):OFFSET(CÁLCULO!$BB$15,ROW($X43)-ROW($X$15),-1))),IF($C43=0,0,ROUND(SomaAgrup,15-13*$AF$11)))</f>
        <v>0</v>
      </c>
      <c r="Y43" s="128" t="s">
        <v>245</v>
      </c>
      <c r="Z43" t="str">
        <f t="shared" ca="1" si="13"/>
        <v/>
      </c>
      <c r="AA43" s="129">
        <f ca="1">IF($C43="S",IF($Z43="CP",$X43,IF($Z43="RA",(($X43)*QCI!$AA$3),0)),SomaAgrup)</f>
        <v>0</v>
      </c>
      <c r="AB43" s="130">
        <f t="shared" ca="1" si="14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SINAPI 96534</v>
      </c>
      <c r="AF43" s="13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06-2024.xlsm)</v>
      </c>
      <c r="AG43" s="498">
        <f ca="1">ROUND(IF(DESONERACAO="sim",REFERENCIA.Desonerado,REFERENCIA.NaoDesonerado),2)</f>
        <v>0</v>
      </c>
      <c r="AH43" s="499">
        <f t="shared" ca="1" si="15"/>
        <v>0.2432</v>
      </c>
      <c r="AJ43" s="501"/>
      <c r="AL43" s="527"/>
      <c r="AM43" s="381">
        <f t="shared" ca="1" si="0"/>
        <v>0</v>
      </c>
      <c r="AN43" s="566">
        <f t="shared" ca="1" si="16"/>
        <v>0</v>
      </c>
    </row>
    <row r="44" spans="1:40" ht="25.5" x14ac:dyDescent="0.2">
      <c r="A44" t="str">
        <f t="shared" si="1"/>
        <v>S</v>
      </c>
      <c r="B44">
        <f t="shared" ca="1" si="2"/>
        <v>2</v>
      </c>
      <c r="C44" t="str">
        <f t="shared" ca="1" si="3"/>
        <v>S</v>
      </c>
      <c r="D44">
        <f t="shared" ca="1" si="4"/>
        <v>0</v>
      </c>
      <c r="E44">
        <f ca="1">IF($C44=1,OFFSET(E44,-1,0)+MAX(1,COUNTIF(QCI!$A$13:$A$24,OFFSET(ORÇAMENTO!E44,-1,0))),OFFSET(E44,-1,0))</f>
        <v>1</v>
      </c>
      <c r="F44">
        <f t="shared" ca="1" si="5"/>
        <v>6</v>
      </c>
      <c r="G44">
        <f t="shared" ca="1" si="6"/>
        <v>0</v>
      </c>
      <c r="H44">
        <f t="shared" ca="1" si="7"/>
        <v>0</v>
      </c>
      <c r="I44">
        <f t="shared" ca="1" si="8"/>
        <v>0</v>
      </c>
      <c r="J44">
        <f t="shared" ca="1" si="9"/>
        <v>0</v>
      </c>
      <c r="K44">
        <f ca="1">IF(OR($C44="S",$C44=0),0,MATCH(OFFSET($D44,0,$C44)+IF($C44&lt;&gt;1,1,COUNTIF(QCI!$A$13:$A$24,ORÇAMENTO!E44)),OFFSET($D44,1,$C44,ROW($C$727)-ROW($C44)),0))</f>
        <v>0</v>
      </c>
      <c r="L44" s="116" t="str">
        <f t="shared" ca="1" si="10"/>
        <v/>
      </c>
      <c r="M44" s="117" t="s">
        <v>199</v>
      </c>
      <c r="N44" s="118" t="str">
        <f t="shared" ca="1" si="11"/>
        <v>Serviço</v>
      </c>
      <c r="O44" s="119" t="str">
        <f t="shared" ca="1" si="12"/>
        <v>-</v>
      </c>
      <c r="P44" s="120" t="s">
        <v>247</v>
      </c>
      <c r="Q44" s="121" t="s">
        <v>478</v>
      </c>
      <c r="R44" s="122" t="str">
        <f ca="1">IF($C44="S",REFERENCIA.Descricao,"(digite a descrição aqui)")</f>
        <v>(abra o arquivo 'Referência 06-2024.xlsm)</v>
      </c>
      <c r="S44" s="123" t="str">
        <f ca="1">REFERENCIA.Unidade</f>
        <v>-</v>
      </c>
      <c r="T44" s="124">
        <f ca="1">OFFSET(CÁLCULO!H$15,ROW($T44)-ROW(T$15),0)</f>
        <v>129.56</v>
      </c>
      <c r="U44" s="125">
        <f t="shared" ca="1" si="17"/>
        <v>0</v>
      </c>
      <c r="V44" s="126" t="s">
        <v>156</v>
      </c>
      <c r="W44" s="124">
        <f ca="1">IF($C44="S",ROUND(IF(TIPOORCAMENTO="Proposto",ORÇAMENTO.CustoUnitario*(1+$AH44),ORÇAMENTO.PrecoUnitarioLicitado),15-13*$AF$10),0)</f>
        <v>0</v>
      </c>
      <c r="X44" s="127">
        <f ca="1">IF($C44="S",IF(Import.TipoArredondamento&lt;&gt;"TransfereGOV",VTOTAL1,SUM(OFFSET(CÁLCULO!$AI$15,ROW($X44)-ROW($X$15),1):OFFSET(CÁLCULO!$BB$15,ROW($X44)-ROW($X$15),-1))),IF($C44=0,0,ROUND(SomaAgrup,15-13*$AF$11)))</f>
        <v>0</v>
      </c>
      <c r="Y44" s="128" t="s">
        <v>245</v>
      </c>
      <c r="Z44" t="str">
        <f t="shared" ca="1" si="13"/>
        <v/>
      </c>
      <c r="AA44" s="129">
        <f ca="1">IF($C44="S",IF($Z44="CP",$X44,IF($Z44="RA",(($X44)*QCI!$AA$3),0)),SomaAgrup)</f>
        <v>0</v>
      </c>
      <c r="AB44" s="130">
        <f t="shared" ca="1" si="14"/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" t="str">
        <f ca="1">IF(AND($C44="S",ORÇAMENTO.CodBarra&lt;&gt;""),IF(ORÇAMENTO.Fonte="",ORÇAMENTO.CodBarra,CONCATENATE(ORÇAMENTO.Fonte," ",ORÇAMENTO.CodBarra)))</f>
        <v>SINAPI 104918</v>
      </c>
      <c r="AF44" s="13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06-2024.xlsm)</v>
      </c>
      <c r="AG44" s="498">
        <f ca="1">ROUND(IF(DESONERACAO="sim",REFERENCIA.Desonerado,REFERENCIA.NaoDesonerado),2)</f>
        <v>0</v>
      </c>
      <c r="AH44" s="499">
        <f t="shared" ca="1" si="15"/>
        <v>0.2432</v>
      </c>
      <c r="AJ44" s="501"/>
      <c r="AL44" s="527"/>
      <c r="AM44" s="381">
        <f t="shared" ca="1" si="0"/>
        <v>0</v>
      </c>
      <c r="AN44" s="566">
        <f t="shared" ca="1" si="16"/>
        <v>0</v>
      </c>
    </row>
    <row r="45" spans="1:40" ht="25.5" x14ac:dyDescent="0.2">
      <c r="A45" t="str">
        <f t="shared" si="1"/>
        <v>S</v>
      </c>
      <c r="B45">
        <f t="shared" ca="1" si="2"/>
        <v>2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1</v>
      </c>
      <c r="F45">
        <f t="shared" ca="1" si="5"/>
        <v>6</v>
      </c>
      <c r="G45">
        <f t="shared" ca="1" si="6"/>
        <v>0</v>
      </c>
      <c r="H45">
        <f t="shared" ca="1" si="7"/>
        <v>0</v>
      </c>
      <c r="I45">
        <f t="shared" ca="1" si="8"/>
        <v>0</v>
      </c>
      <c r="J45">
        <f t="shared" ca="1" si="9"/>
        <v>0</v>
      </c>
      <c r="K45">
        <f ca="1">IF(OR($C45="S",$C45=0),0,MATCH(OFFSET($D45,0,$C45)+IF($C45&lt;&gt;1,1,COUNTIF(QCI!$A$13:$A$24,ORÇAMENTO!E45)),OFFSET($D45,1,$C45,ROW($C$727)-ROW($C45)),0))</f>
        <v>0</v>
      </c>
      <c r="L45" s="116" t="str">
        <f t="shared" ca="1" si="10"/>
        <v/>
      </c>
      <c r="M45" s="117" t="s">
        <v>199</v>
      </c>
      <c r="N45" s="118" t="str">
        <f t="shared" ca="1" si="11"/>
        <v>Serviço</v>
      </c>
      <c r="O45" s="119" t="str">
        <f t="shared" ca="1" si="12"/>
        <v>-</v>
      </c>
      <c r="P45" s="120" t="s">
        <v>247</v>
      </c>
      <c r="Q45" s="121" t="s">
        <v>479</v>
      </c>
      <c r="R45" s="122" t="str">
        <f ca="1">IF($C45="S",REFERENCIA.Descricao,"(digite a descrição aqui)")</f>
        <v>(abra o arquivo 'Referência 06-2024.xlsm)</v>
      </c>
      <c r="S45" s="123" t="str">
        <f ca="1">REFERENCIA.Unidade</f>
        <v>-</v>
      </c>
      <c r="T45" s="124">
        <f ca="1">OFFSET(CÁLCULO!H$15,ROW($T45)-ROW(T$15),0)</f>
        <v>54.16</v>
      </c>
      <c r="U45" s="125">
        <f t="shared" ca="1" si="17"/>
        <v>0</v>
      </c>
      <c r="V45" s="126" t="s">
        <v>156</v>
      </c>
      <c r="W45" s="124">
        <f ca="1">IF($C45="S",ROUND(IF(TIPOORCAMENTO="Proposto",ORÇAMENTO.CustoUnitario*(1+$AH45),ORÇAMENTO.PrecoUnitarioLicitado),15-13*$AF$10),0)</f>
        <v>0</v>
      </c>
      <c r="X45" s="127">
        <f ca="1">IF($C45="S",IF(Import.TipoArredondamento&lt;&gt;"TransfereGOV",VTOTAL1,SUM(OFFSET(CÁLCULO!$AI$15,ROW($X45)-ROW($X$15),1):OFFSET(CÁLCULO!$BB$15,ROW($X45)-ROW($X$15),-1))),IF($C45=0,0,ROUND(SomaAgrup,15-13*$AF$11)))</f>
        <v>0</v>
      </c>
      <c r="Y45" s="128" t="s">
        <v>245</v>
      </c>
      <c r="Z45" t="str">
        <f t="shared" ca="1" si="13"/>
        <v/>
      </c>
      <c r="AA45" s="129">
        <f ca="1">IF($C45="S",IF($Z45="CP",$X45,IF($Z45="RA",(($X45)*QCI!$AA$3),0)),SomaAgrup)</f>
        <v>0</v>
      </c>
      <c r="AB45" s="130">
        <f t="shared" ca="1" si="14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SINAPI 104919</v>
      </c>
      <c r="AF45" s="13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06-2024.xlsm)</v>
      </c>
      <c r="AG45" s="498">
        <f ca="1">ROUND(IF(DESONERACAO="sim",REFERENCIA.Desonerado,REFERENCIA.NaoDesonerado),2)</f>
        <v>0</v>
      </c>
      <c r="AH45" s="499">
        <f t="shared" ca="1" si="15"/>
        <v>0.2432</v>
      </c>
      <c r="AJ45" s="501"/>
      <c r="AL45" s="527"/>
      <c r="AM45" s="381">
        <f t="shared" ca="1" si="0"/>
        <v>0</v>
      </c>
      <c r="AN45" s="566">
        <f t="shared" ca="1" si="16"/>
        <v>0</v>
      </c>
    </row>
    <row r="46" spans="1:40" ht="38.25" x14ac:dyDescent="0.2">
      <c r="A46" t="str">
        <f t="shared" si="1"/>
        <v>S</v>
      </c>
      <c r="B46">
        <f t="shared" ca="1" si="2"/>
        <v>2</v>
      </c>
      <c r="C46" t="str">
        <f t="shared" ca="1" si="3"/>
        <v>S</v>
      </c>
      <c r="D46">
        <f t="shared" ca="1" si="4"/>
        <v>0</v>
      </c>
      <c r="E46">
        <f ca="1">IF($C46=1,OFFSET(E46,-1,0)+MAX(1,COUNTIF(QCI!$A$13:$A$24,OFFSET(ORÇAMENTO!E46,-1,0))),OFFSET(E46,-1,0))</f>
        <v>1</v>
      </c>
      <c r="F46">
        <f t="shared" ca="1" si="5"/>
        <v>6</v>
      </c>
      <c r="G46">
        <f t="shared" ca="1" si="6"/>
        <v>0</v>
      </c>
      <c r="H46">
        <f t="shared" ca="1" si="7"/>
        <v>0</v>
      </c>
      <c r="I46">
        <f t="shared" ca="1" si="8"/>
        <v>0</v>
      </c>
      <c r="J46">
        <f t="shared" ca="1" si="9"/>
        <v>0</v>
      </c>
      <c r="K46">
        <f ca="1">IF(OR($C46="S",$C46=0),0,MATCH(OFFSET($D46,0,$C46)+IF($C46&lt;&gt;1,1,COUNTIF(QCI!$A$13:$A$24,ORÇAMENTO!E46)),OFFSET($D46,1,$C46,ROW($C$727)-ROW($C46)),0))</f>
        <v>0</v>
      </c>
      <c r="L46" s="116" t="str">
        <f t="shared" ca="1" si="10"/>
        <v/>
      </c>
      <c r="M46" s="117" t="s">
        <v>199</v>
      </c>
      <c r="N46" s="118" t="str">
        <f t="shared" ca="1" si="11"/>
        <v>Serviço</v>
      </c>
      <c r="O46" s="119" t="str">
        <f t="shared" ca="1" si="12"/>
        <v>-</v>
      </c>
      <c r="P46" s="120" t="s">
        <v>247</v>
      </c>
      <c r="Q46" s="121" t="s">
        <v>480</v>
      </c>
      <c r="R46" s="122" t="str">
        <f ca="1">IF($C46="S",REFERENCIA.Descricao,"(digite a descrição aqui)")</f>
        <v>(abra o arquivo 'Referência 06-2024.xlsm)</v>
      </c>
      <c r="S46" s="123" t="str">
        <f ca="1">REFERENCIA.Unidade</f>
        <v>-</v>
      </c>
      <c r="T46" s="124">
        <f ca="1">OFFSET(CÁLCULO!H$15,ROW($T46)-ROW(T$15),0)</f>
        <v>14.45</v>
      </c>
      <c r="U46" s="125">
        <f t="shared" ca="1" si="17"/>
        <v>0</v>
      </c>
      <c r="V46" s="126" t="s">
        <v>156</v>
      </c>
      <c r="W46" s="124">
        <f ca="1">IF($C46="S",ROUND(IF(TIPOORCAMENTO="Proposto",ORÇAMENTO.CustoUnitario*(1+$AH46),ORÇAMENTO.PrecoUnitarioLicitado),15-13*$AF$10),0)</f>
        <v>0</v>
      </c>
      <c r="X46" s="127">
        <f ca="1">IF($C46="S",IF(Import.TipoArredondamento&lt;&gt;"TransfereGOV",VTOTAL1,SUM(OFFSET(CÁLCULO!$AI$15,ROW($X46)-ROW($X$15),1):OFFSET(CÁLCULO!$BB$15,ROW($X46)-ROW($X$15),-1))),IF($C46=0,0,ROUND(SomaAgrup,15-13*$AF$11)))</f>
        <v>0</v>
      </c>
      <c r="Y46" s="128" t="s">
        <v>245</v>
      </c>
      <c r="Z46" t="str">
        <f t="shared" ca="1" si="13"/>
        <v/>
      </c>
      <c r="AA46" s="129">
        <f ca="1">IF($C46="S",IF($Z46="CP",$X46,IF($Z46="RA",(($X46)*QCI!$AA$3),0)),SomaAgrup)</f>
        <v>0</v>
      </c>
      <c r="AB46" s="130">
        <f t="shared" ca="1" si="14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" t="str">
        <f ca="1">IF(AND($C46="S",ORÇAMENTO.CodBarra&lt;&gt;""),IF(ORÇAMENTO.Fonte="",ORÇAMENTO.CodBarra,CONCATENATE(ORÇAMENTO.Fonte," ",ORÇAMENTO.CodBarra)))</f>
        <v>SINAPI 92915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06-2024.xlsm)</v>
      </c>
      <c r="AG46" s="498">
        <f ca="1">ROUND(IF(DESONERACAO="sim",REFERENCIA.Desonerado,REFERENCIA.NaoDesonerado),2)</f>
        <v>0</v>
      </c>
      <c r="AH46" s="499">
        <f t="shared" ca="1" si="15"/>
        <v>0.2432</v>
      </c>
      <c r="AJ46" s="501"/>
      <c r="AL46" s="527"/>
      <c r="AM46" s="381">
        <f t="shared" ca="1" si="0"/>
        <v>0</v>
      </c>
      <c r="AN46" s="566">
        <f t="shared" ca="1" si="16"/>
        <v>0</v>
      </c>
    </row>
    <row r="47" spans="1:40" x14ac:dyDescent="0.2">
      <c r="A47">
        <f t="shared" si="1"/>
        <v>2</v>
      </c>
      <c r="B47">
        <f t="shared" ca="1" si="2"/>
        <v>2</v>
      </c>
      <c r="C47">
        <f t="shared" ca="1" si="3"/>
        <v>2</v>
      </c>
      <c r="D47">
        <f t="shared" ca="1" si="4"/>
        <v>10</v>
      </c>
      <c r="E47">
        <f ca="1">IF($C47=1,OFFSET(E47,-1,0)+MAX(1,COUNTIF(QCI!$A$13:$A$24,OFFSET(ORÇAMENTO!E47,-1,0))),OFFSET(E47,-1,0))</f>
        <v>1</v>
      </c>
      <c r="F47">
        <f t="shared" ca="1" si="5"/>
        <v>7</v>
      </c>
      <c r="G47">
        <f t="shared" ca="1" si="6"/>
        <v>0</v>
      </c>
      <c r="H47">
        <f t="shared" ca="1" si="7"/>
        <v>0</v>
      </c>
      <c r="I47">
        <f t="shared" ca="1" si="8"/>
        <v>0</v>
      </c>
      <c r="J47">
        <f t="shared" ca="1" si="9"/>
        <v>680</v>
      </c>
      <c r="K47">
        <f ca="1">IF(OR($C47="S",$C47=0),0,MATCH(OFFSET($D47,0,$C47)+IF($C47&lt;&gt;1,1,COUNTIF(QCI!$A$13:$A$24,ORÇAMENTO!E47)),OFFSET($D47,1,$C47,ROW($C$727)-ROW($C47)),0))</f>
        <v>10</v>
      </c>
      <c r="L47" s="116" t="str">
        <f t="shared" ca="1" si="10"/>
        <v>F</v>
      </c>
      <c r="M47" s="117" t="s">
        <v>196</v>
      </c>
      <c r="N47" s="118" t="str">
        <f t="shared" ca="1" si="11"/>
        <v>Nível 2</v>
      </c>
      <c r="O47" s="119" t="str">
        <f t="shared" ca="1" si="12"/>
        <v>1.7.</v>
      </c>
      <c r="P47" s="120" t="s">
        <v>247</v>
      </c>
      <c r="Q47" s="121"/>
      <c r="R47" s="122" t="s">
        <v>1035</v>
      </c>
      <c r="S47" s="123" t="str">
        <f ca="1">REFERENCIA.Unidade</f>
        <v>-</v>
      </c>
      <c r="T47" s="124">
        <f ca="1">OFFSET(CÁLCULO!H$15,ROW($T47)-ROW(T$15),0)</f>
        <v>0</v>
      </c>
      <c r="U47" s="125">
        <f t="shared" ca="1" si="17"/>
        <v>0</v>
      </c>
      <c r="V47" s="126" t="s">
        <v>156</v>
      </c>
      <c r="W47" s="124">
        <f ca="1">IF($C47="S",ROUND(IF(TIPOORCAMENTO="Proposto",ORÇAMENTO.CustoUnitario*(1+$AH47),ORÇAMENTO.PrecoUnitarioLicitado),15-13*$AF$10),0)</f>
        <v>0</v>
      </c>
      <c r="X47" s="127">
        <f ca="1">IF($C47="S",IF(Import.TipoArredondamento&lt;&gt;"TransfereGOV",VTOTAL1,SUM(OFFSET(CÁLCULO!$AI$15,ROW($X47)-ROW($X$15),1):OFFSET(CÁLCULO!$BB$15,ROW($X47)-ROW($X$15),-1))),IF($C47=0,0,ROUND(SomaAgrup,15-13*$AF$11)))</f>
        <v>0</v>
      </c>
      <c r="Y47" s="128" t="s">
        <v>245</v>
      </c>
      <c r="Z47" t="str">
        <f t="shared" ca="1" si="13"/>
        <v/>
      </c>
      <c r="AA47" s="129">
        <f ca="1">IF($C47="S",IF($Z47="CP",$X47,IF($Z47="RA",(($X47)*QCI!$AA$3),0)),SomaAgrup)</f>
        <v>0</v>
      </c>
      <c r="AB47" s="130">
        <f t="shared" ca="1" si="14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>
        <f ca="1">IF(C47&lt;=CRONO.NivelExibicao,MAX($AD$15:OFFSET(AD47,-1,0))+IF($C47&lt;&gt;1,1,MAX(1,COUNTIF(QCI!$A$13:$A$24,OFFSET($E47,-1,0)))),"")</f>
        <v>8</v>
      </c>
      <c r="AE47" s="7" t="b">
        <f ca="1">IF(AND($C47="S",ORÇAMENTO.CodBarra&lt;&gt;""),IF(ORÇAMENTO.Fonte="",ORÇAMENTO.CodBarra,CONCATENATE(ORÇAMENTO.Fonte," ",ORÇAMENTO.CodBarra)))</f>
        <v>0</v>
      </c>
      <c r="AF47" s="13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06-2024.xlsm)</v>
      </c>
      <c r="AG47" s="498">
        <f ca="1">ROUND(IF(DESONERACAO="sim",REFERENCIA.Desonerado,REFERENCIA.NaoDesonerado),2)</f>
        <v>0</v>
      </c>
      <c r="AH47" s="499">
        <f t="shared" ca="1" si="15"/>
        <v>0.2432</v>
      </c>
      <c r="AJ47" s="501"/>
      <c r="AL47" s="527"/>
      <c r="AM47" s="381">
        <f t="shared" ca="1" si="0"/>
        <v>0</v>
      </c>
      <c r="AN47" s="566">
        <f t="shared" ca="1" si="16"/>
        <v>0</v>
      </c>
    </row>
    <row r="48" spans="1:40" ht="25.5" x14ac:dyDescent="0.2">
      <c r="A48" t="str">
        <f t="shared" si="1"/>
        <v>S</v>
      </c>
      <c r="B48">
        <f t="shared" ca="1" si="2"/>
        <v>2</v>
      </c>
      <c r="C48" t="str">
        <f t="shared" ca="1" si="3"/>
        <v>S</v>
      </c>
      <c r="D48">
        <f t="shared" ca="1" si="4"/>
        <v>0</v>
      </c>
      <c r="E48">
        <f ca="1">IF($C48=1,OFFSET(E48,-1,0)+MAX(1,COUNTIF(QCI!$A$13:$A$24,OFFSET(ORÇAMENTO!E48,-1,0))),OFFSET(E48,-1,0))</f>
        <v>1</v>
      </c>
      <c r="F48">
        <f t="shared" ca="1" si="5"/>
        <v>7</v>
      </c>
      <c r="G48">
        <f t="shared" ca="1" si="6"/>
        <v>0</v>
      </c>
      <c r="H48">
        <f t="shared" ca="1" si="7"/>
        <v>0</v>
      </c>
      <c r="I48">
        <f t="shared" ca="1" si="8"/>
        <v>0</v>
      </c>
      <c r="J48">
        <f t="shared" ca="1" si="9"/>
        <v>0</v>
      </c>
      <c r="K48">
        <f ca="1">IF(OR($C48="S",$C48=0),0,MATCH(OFFSET($D48,0,$C48)+IF($C48&lt;&gt;1,1,COUNTIF(QCI!$A$13:$A$24,ORÇAMENTO!E48)),OFFSET($D48,1,$C48,ROW($C$727)-ROW($C48)),0))</f>
        <v>0</v>
      </c>
      <c r="L48" s="116" t="str">
        <f t="shared" ca="1" si="10"/>
        <v/>
      </c>
      <c r="M48" s="117" t="s">
        <v>199</v>
      </c>
      <c r="N48" s="118" t="str">
        <f t="shared" ca="1" si="11"/>
        <v>Serviço</v>
      </c>
      <c r="O48" s="119" t="str">
        <f t="shared" ca="1" si="12"/>
        <v>-</v>
      </c>
      <c r="P48" s="120" t="s">
        <v>247</v>
      </c>
      <c r="Q48" s="121" t="s">
        <v>475</v>
      </c>
      <c r="R48" s="122" t="str">
        <f ca="1">IF($C48="S",REFERENCIA.Descricao,"(digite a descrição aqui)")</f>
        <v>(abra o arquivo 'Referência 06-2024.xlsm)</v>
      </c>
      <c r="S48" s="123" t="str">
        <f ca="1">REFERENCIA.Unidade</f>
        <v>-</v>
      </c>
      <c r="T48" s="124">
        <f ca="1">OFFSET(CÁLCULO!H$15,ROW($T48)-ROW(T$15),0)</f>
        <v>20.21</v>
      </c>
      <c r="U48" s="125">
        <f t="shared" ca="1" si="17"/>
        <v>0</v>
      </c>
      <c r="V48" s="126" t="s">
        <v>156</v>
      </c>
      <c r="W48" s="124">
        <f ca="1">IF($C48="S",ROUND(IF(TIPOORCAMENTO="Proposto",ORÇAMENTO.CustoUnitario*(1+$AH48),ORÇAMENTO.PrecoUnitarioLicitado),15-13*$AF$10),0)</f>
        <v>0</v>
      </c>
      <c r="X48" s="127">
        <f ca="1">IF($C48="S",IF(Import.TipoArredondamento&lt;&gt;"TransfereGOV",VTOTAL1,SUM(OFFSET(CÁLCULO!$AI$15,ROW($X48)-ROW($X$15),1):OFFSET(CÁLCULO!$BB$15,ROW($X48)-ROW($X$15),-1))),IF($C48=0,0,ROUND(SomaAgrup,15-13*$AF$11)))</f>
        <v>0</v>
      </c>
      <c r="Y48" s="128" t="s">
        <v>245</v>
      </c>
      <c r="Z48" t="str">
        <f t="shared" ca="1" si="13"/>
        <v/>
      </c>
      <c r="AA48" s="129">
        <f ca="1">IF($C48="S",IF($Z48="CP",$X48,IF($Z48="RA",(($X48)*QCI!$AA$3),0)),SomaAgrup)</f>
        <v>0</v>
      </c>
      <c r="AB48" s="130">
        <f t="shared" ca="1" si="14"/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" t="str">
        <f ca="1">IF(AND($C48="S",ORÇAMENTO.CodBarra&lt;&gt;""),IF(ORÇAMENTO.Fonte="",ORÇAMENTO.CodBarra,CONCATENATE(ORÇAMENTO.Fonte," ",ORÇAMENTO.CodBarra)))</f>
        <v>SINAPI 96619</v>
      </c>
      <c r="AF48" s="13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06-2024.xlsm)</v>
      </c>
      <c r="AG48" s="498">
        <f ca="1">ROUND(IF(DESONERACAO="sim",REFERENCIA.Desonerado,REFERENCIA.NaoDesonerado),2)</f>
        <v>0</v>
      </c>
      <c r="AH48" s="499">
        <f t="shared" ca="1" si="15"/>
        <v>0.2432</v>
      </c>
      <c r="AJ48" s="501"/>
      <c r="AL48" s="527"/>
      <c r="AM48" s="381">
        <f t="shared" ca="1" si="0"/>
        <v>0</v>
      </c>
      <c r="AN48" s="566">
        <f t="shared" ca="1" si="16"/>
        <v>0</v>
      </c>
    </row>
    <row r="49" spans="1:40" ht="38.25" x14ac:dyDescent="0.2">
      <c r="A49" t="str">
        <f t="shared" si="1"/>
        <v>S</v>
      </c>
      <c r="B49">
        <f t="shared" ca="1" si="2"/>
        <v>2</v>
      </c>
      <c r="C49" t="str">
        <f t="shared" ca="1" si="3"/>
        <v>S</v>
      </c>
      <c r="D49">
        <f t="shared" ca="1" si="4"/>
        <v>0</v>
      </c>
      <c r="E49">
        <f ca="1">IF($C49=1,OFFSET(E49,-1,0)+MAX(1,COUNTIF(QCI!$A$13:$A$24,OFFSET(ORÇAMENTO!E49,-1,0))),OFFSET(E49,-1,0))</f>
        <v>1</v>
      </c>
      <c r="F49">
        <f t="shared" ca="1" si="5"/>
        <v>7</v>
      </c>
      <c r="G49">
        <f t="shared" ca="1" si="6"/>
        <v>0</v>
      </c>
      <c r="H49">
        <f t="shared" ca="1" si="7"/>
        <v>0</v>
      </c>
      <c r="I49">
        <f t="shared" ca="1" si="8"/>
        <v>0</v>
      </c>
      <c r="J49">
        <f t="shared" ca="1" si="9"/>
        <v>0</v>
      </c>
      <c r="K49">
        <f ca="1">IF(OR($C49="S",$C49=0),0,MATCH(OFFSET($D49,0,$C49)+IF($C49&lt;&gt;1,1,COUNTIF(QCI!$A$13:$A$24,ORÇAMENTO!E49)),OFFSET($D49,1,$C49,ROW($C$727)-ROW($C49)),0))</f>
        <v>0</v>
      </c>
      <c r="L49" s="116" t="str">
        <f t="shared" ca="1" si="10"/>
        <v/>
      </c>
      <c r="M49" s="117" t="s">
        <v>199</v>
      </c>
      <c r="N49" s="118" t="str">
        <f t="shared" ca="1" si="11"/>
        <v>Serviço</v>
      </c>
      <c r="O49" s="119" t="str">
        <f t="shared" ca="1" si="12"/>
        <v>-</v>
      </c>
      <c r="P49" s="120" t="s">
        <v>247</v>
      </c>
      <c r="Q49" s="121" t="s">
        <v>481</v>
      </c>
      <c r="R49" s="122" t="str">
        <f ca="1">IF($C49="S",REFERENCIA.Descricao,"(digite a descrição aqui)")</f>
        <v>(abra o arquivo 'Referência 06-2024.xlsm)</v>
      </c>
      <c r="S49" s="123" t="str">
        <f ca="1">REFERENCIA.Unidade</f>
        <v>-</v>
      </c>
      <c r="T49" s="124">
        <f ca="1">OFFSET(CÁLCULO!H$15,ROW($T49)-ROW(T$15),0)</f>
        <v>20.32</v>
      </c>
      <c r="U49" s="125">
        <f t="shared" ca="1" si="17"/>
        <v>0</v>
      </c>
      <c r="V49" s="126" t="s">
        <v>156</v>
      </c>
      <c r="W49" s="124">
        <f ca="1">IF($C49="S",ROUND(IF(TIPOORCAMENTO="Proposto",ORÇAMENTO.CustoUnitario*(1+$AH49),ORÇAMENTO.PrecoUnitarioLicitado),15-13*$AF$10),0)</f>
        <v>0</v>
      </c>
      <c r="X49" s="127">
        <f ca="1">IF($C49="S",IF(Import.TipoArredondamento&lt;&gt;"TransfereGOV",VTOTAL1,SUM(OFFSET(CÁLCULO!$AI$15,ROW($X49)-ROW($X$15),1):OFFSET(CÁLCULO!$BB$15,ROW($X49)-ROW($X$15),-1))),IF($C49=0,0,ROUND(SomaAgrup,15-13*$AF$11)))</f>
        <v>0</v>
      </c>
      <c r="Y49" s="128" t="s">
        <v>245</v>
      </c>
      <c r="Z49" t="str">
        <f t="shared" ca="1" si="13"/>
        <v/>
      </c>
      <c r="AA49" s="129">
        <f ca="1">IF($C49="S",IF($Z49="CP",$X49,IF($Z49="RA",(($X49)*QCI!$AA$3),0)),SomaAgrup)</f>
        <v>0</v>
      </c>
      <c r="AB49" s="130">
        <f t="shared" ca="1" si="14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" t="str">
        <f ca="1">IF(AND($C49="S",ORÇAMENTO.CodBarra&lt;&gt;""),IF(ORÇAMENTO.Fonte="",ORÇAMENTO.CodBarra,CONCATENATE(ORÇAMENTO.Fonte," ",ORÇAMENTO.CodBarra)))</f>
        <v>SINAPI 96557</v>
      </c>
      <c r="AF49" s="13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06-2024.xlsm)</v>
      </c>
      <c r="AG49" s="498">
        <f ca="1">ROUND(IF(DESONERACAO="sim",REFERENCIA.Desonerado,REFERENCIA.NaoDesonerado),2)</f>
        <v>0</v>
      </c>
      <c r="AH49" s="499">
        <f t="shared" ca="1" si="15"/>
        <v>0.2432</v>
      </c>
      <c r="AJ49" s="501"/>
      <c r="AL49" s="527"/>
      <c r="AM49" s="381">
        <f t="shared" ca="1" si="0"/>
        <v>0</v>
      </c>
      <c r="AN49" s="566">
        <f t="shared" ca="1" si="16"/>
        <v>0</v>
      </c>
    </row>
    <row r="50" spans="1:40" ht="38.25" x14ac:dyDescent="0.2">
      <c r="A50" t="str">
        <f t="shared" si="1"/>
        <v>S</v>
      </c>
      <c r="B50">
        <f t="shared" ca="1" si="2"/>
        <v>2</v>
      </c>
      <c r="C50" t="str">
        <f t="shared" ca="1" si="3"/>
        <v>S</v>
      </c>
      <c r="D50">
        <f t="shared" ca="1" si="4"/>
        <v>0</v>
      </c>
      <c r="E50">
        <f ca="1">IF($C50=1,OFFSET(E50,-1,0)+MAX(1,COUNTIF(QCI!$A$13:$A$24,OFFSET(ORÇAMENTO!E50,-1,0))),OFFSET(E50,-1,0))</f>
        <v>1</v>
      </c>
      <c r="F50">
        <f t="shared" ca="1" si="5"/>
        <v>7</v>
      </c>
      <c r="G50">
        <f t="shared" ca="1" si="6"/>
        <v>0</v>
      </c>
      <c r="H50">
        <f t="shared" ca="1" si="7"/>
        <v>0</v>
      </c>
      <c r="I50">
        <f t="shared" ca="1" si="8"/>
        <v>0</v>
      </c>
      <c r="J50">
        <f t="shared" ca="1" si="9"/>
        <v>0</v>
      </c>
      <c r="K50">
        <f ca="1">IF(OR($C50="S",$C50=0),0,MATCH(OFFSET($D50,0,$C50)+IF($C50&lt;&gt;1,1,COUNTIF(QCI!$A$13:$A$24,ORÇAMENTO!E50)),OFFSET($D50,1,$C50,ROW($C$727)-ROW($C50)),0))</f>
        <v>0</v>
      </c>
      <c r="L50" s="116" t="str">
        <f t="shared" ca="1" si="10"/>
        <v/>
      </c>
      <c r="M50" s="117" t="s">
        <v>199</v>
      </c>
      <c r="N50" s="118" t="str">
        <f t="shared" ca="1" si="11"/>
        <v>Serviço</v>
      </c>
      <c r="O50" s="119" t="str">
        <f t="shared" ca="1" si="12"/>
        <v>-</v>
      </c>
      <c r="P50" s="120" t="s">
        <v>247</v>
      </c>
      <c r="Q50" s="121" t="s">
        <v>477</v>
      </c>
      <c r="R50" s="122" t="str">
        <f ca="1">IF($C50="S",REFERENCIA.Descricao,"(digite a descrição aqui)")</f>
        <v>(abra o arquivo 'Referência 06-2024.xlsm)</v>
      </c>
      <c r="S50" s="123" t="str">
        <f ca="1">REFERENCIA.Unidade</f>
        <v>-</v>
      </c>
      <c r="T50" s="124">
        <f ca="1">OFFSET(CÁLCULO!H$15,ROW($T50)-ROW(T$15),0)</f>
        <v>213.82</v>
      </c>
      <c r="U50" s="125">
        <f t="shared" ca="1" si="17"/>
        <v>0</v>
      </c>
      <c r="V50" s="126" t="s">
        <v>156</v>
      </c>
      <c r="W50" s="124">
        <f ca="1">IF($C50="S",ROUND(IF(TIPOORCAMENTO="Proposto",ORÇAMENTO.CustoUnitario*(1+$AH50),ORÇAMENTO.PrecoUnitarioLicitado),15-13*$AF$10),0)</f>
        <v>0</v>
      </c>
      <c r="X50" s="127">
        <f ca="1">IF($C50="S",IF(Import.TipoArredondamento&lt;&gt;"TransfereGOV",VTOTAL1,SUM(OFFSET(CÁLCULO!$AI$15,ROW($X50)-ROW($X$15),1):OFFSET(CÁLCULO!$BB$15,ROW($X50)-ROW($X$15),-1))),IF($C50=0,0,ROUND(SomaAgrup,15-13*$AF$11)))</f>
        <v>0</v>
      </c>
      <c r="Y50" s="128" t="s">
        <v>245</v>
      </c>
      <c r="Z50" t="str">
        <f t="shared" ca="1" si="13"/>
        <v/>
      </c>
      <c r="AA50" s="129">
        <f ca="1">IF($C50="S",IF($Z50="CP",$X50,IF($Z50="RA",(($X50)*QCI!$AA$3),0)),SomaAgrup)</f>
        <v>0</v>
      </c>
      <c r="AB50" s="130">
        <f t="shared" ca="1" si="14"/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" t="str">
        <f ca="1">IF(AND($C50="S",ORÇAMENTO.CodBarra&lt;&gt;""),IF(ORÇAMENTO.Fonte="",ORÇAMENTO.CodBarra,CONCATENATE(ORÇAMENTO.Fonte," ",ORÇAMENTO.CodBarra)))</f>
        <v>SINAPI 96534</v>
      </c>
      <c r="AF50" s="13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06-2024.xlsm)</v>
      </c>
      <c r="AG50" s="498">
        <f ca="1">ROUND(IF(DESONERACAO="sim",REFERENCIA.Desonerado,REFERENCIA.NaoDesonerado),2)</f>
        <v>0</v>
      </c>
      <c r="AH50" s="499">
        <f t="shared" ca="1" si="15"/>
        <v>0.2432</v>
      </c>
      <c r="AJ50" s="501"/>
      <c r="AL50" s="527"/>
      <c r="AM50" s="381">
        <f t="shared" ca="1" si="0"/>
        <v>0</v>
      </c>
      <c r="AN50" s="566">
        <f t="shared" ca="1" si="16"/>
        <v>0</v>
      </c>
    </row>
    <row r="51" spans="1:40" ht="25.5" x14ac:dyDescent="0.2">
      <c r="A51" t="str">
        <f t="shared" si="1"/>
        <v>S</v>
      </c>
      <c r="B51">
        <f t="shared" ca="1" si="2"/>
        <v>2</v>
      </c>
      <c r="C51" t="str">
        <f t="shared" ca="1" si="3"/>
        <v>S</v>
      </c>
      <c r="D51">
        <f t="shared" ca="1" si="4"/>
        <v>0</v>
      </c>
      <c r="E51">
        <f ca="1">IF($C51=1,OFFSET(E51,-1,0)+MAX(1,COUNTIF(QCI!$A$13:$A$24,OFFSET(ORÇAMENTO!E51,-1,0))),OFFSET(E51,-1,0))</f>
        <v>1</v>
      </c>
      <c r="F51">
        <f t="shared" ca="1" si="5"/>
        <v>7</v>
      </c>
      <c r="G51">
        <f t="shared" ca="1" si="6"/>
        <v>0</v>
      </c>
      <c r="H51">
        <f t="shared" ca="1" si="7"/>
        <v>0</v>
      </c>
      <c r="I51">
        <f t="shared" ca="1" si="8"/>
        <v>0</v>
      </c>
      <c r="J51">
        <f t="shared" ca="1" si="9"/>
        <v>0</v>
      </c>
      <c r="K51">
        <f ca="1">IF(OR($C51="S",$C51=0),0,MATCH(OFFSET($D51,0,$C51)+IF($C51&lt;&gt;1,1,COUNTIF(QCI!$A$13:$A$24,ORÇAMENTO!E51)),OFFSET($D51,1,$C51,ROW($C$727)-ROW($C51)),0))</f>
        <v>0</v>
      </c>
      <c r="L51" s="116" t="str">
        <f t="shared" ca="1" si="10"/>
        <v/>
      </c>
      <c r="M51" s="117" t="s">
        <v>199</v>
      </c>
      <c r="N51" s="118" t="str">
        <f t="shared" ca="1" si="11"/>
        <v>Serviço</v>
      </c>
      <c r="O51" s="119" t="str">
        <f t="shared" ca="1" si="12"/>
        <v>-</v>
      </c>
      <c r="P51" s="120" t="s">
        <v>247</v>
      </c>
      <c r="Q51" s="121" t="s">
        <v>482</v>
      </c>
      <c r="R51" s="122" t="str">
        <f ca="1">IF($C51="S",REFERENCIA.Descricao,"(digite a descrição aqui)")</f>
        <v>(abra o arquivo 'Referência 06-2024.xlsm)</v>
      </c>
      <c r="S51" s="123" t="str">
        <f ca="1">REFERENCIA.Unidade</f>
        <v>-</v>
      </c>
      <c r="T51" s="124">
        <f ca="1">OFFSET(CÁLCULO!H$15,ROW($T51)-ROW(T$15),0)</f>
        <v>872.12</v>
      </c>
      <c r="U51" s="125">
        <f t="shared" ca="1" si="17"/>
        <v>0</v>
      </c>
      <c r="V51" s="126" t="s">
        <v>156</v>
      </c>
      <c r="W51" s="124">
        <f ca="1">IF($C51="S",ROUND(IF(TIPOORCAMENTO="Proposto",ORÇAMENTO.CustoUnitario*(1+$AH51),ORÇAMENTO.PrecoUnitarioLicitado),15-13*$AF$10),0)</f>
        <v>0</v>
      </c>
      <c r="X51" s="127">
        <f ca="1">IF($C51="S",IF(Import.TipoArredondamento&lt;&gt;"TransfereGOV",VTOTAL1,SUM(OFFSET(CÁLCULO!$AI$15,ROW($X51)-ROW($X$15),1):OFFSET(CÁLCULO!$BB$15,ROW($X51)-ROW($X$15),-1))),IF($C51=0,0,ROUND(SomaAgrup,15-13*$AF$11)))</f>
        <v>0</v>
      </c>
      <c r="Y51" s="128" t="s">
        <v>245</v>
      </c>
      <c r="Z51" t="str">
        <f t="shared" ca="1" si="13"/>
        <v/>
      </c>
      <c r="AA51" s="129">
        <f ca="1">IF($C51="S",IF($Z51="CP",$X51,IF($Z51="RA",(($X51)*QCI!$AA$3),0)),SomaAgrup)</f>
        <v>0</v>
      </c>
      <c r="AB51" s="130">
        <f t="shared" ca="1" si="14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" t="str">
        <f ca="1">IF(AND($C51="S",ORÇAMENTO.CodBarra&lt;&gt;""),IF(ORÇAMENTO.Fonte="",ORÇAMENTO.CodBarra,CONCATENATE(ORÇAMENTO.Fonte," ",ORÇAMENTO.CodBarra)))</f>
        <v>SINAPI 96546</v>
      </c>
      <c r="AF51" s="13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06-2024.xlsm)</v>
      </c>
      <c r="AG51" s="498">
        <f ca="1">ROUND(IF(DESONERACAO="sim",REFERENCIA.Desonerado,REFERENCIA.NaoDesonerado),2)</f>
        <v>0</v>
      </c>
      <c r="AH51" s="499">
        <f t="shared" ca="1" si="15"/>
        <v>0.2432</v>
      </c>
      <c r="AJ51" s="501"/>
      <c r="AL51" s="527"/>
      <c r="AM51" s="381">
        <f t="shared" ca="1" si="0"/>
        <v>0</v>
      </c>
      <c r="AN51" s="566">
        <f t="shared" ca="1" si="16"/>
        <v>0</v>
      </c>
    </row>
    <row r="52" spans="1:40" ht="25.5" x14ac:dyDescent="0.2">
      <c r="A52" t="str">
        <f t="shared" si="1"/>
        <v>S</v>
      </c>
      <c r="B52">
        <f t="shared" ca="1" si="2"/>
        <v>2</v>
      </c>
      <c r="C52" t="str">
        <f t="shared" ca="1" si="3"/>
        <v>S</v>
      </c>
      <c r="D52">
        <f t="shared" ca="1" si="4"/>
        <v>0</v>
      </c>
      <c r="E52">
        <f ca="1">IF($C52=1,OFFSET(E52,-1,0)+MAX(1,COUNTIF(QCI!$A$13:$A$24,OFFSET(ORÇAMENTO!E52,-1,0))),OFFSET(E52,-1,0))</f>
        <v>1</v>
      </c>
      <c r="F52">
        <f t="shared" ca="1" si="5"/>
        <v>7</v>
      </c>
      <c r="G52">
        <f t="shared" ca="1" si="6"/>
        <v>0</v>
      </c>
      <c r="H52">
        <f t="shared" ca="1" si="7"/>
        <v>0</v>
      </c>
      <c r="I52">
        <f t="shared" ca="1" si="8"/>
        <v>0</v>
      </c>
      <c r="J52">
        <f t="shared" ca="1" si="9"/>
        <v>0</v>
      </c>
      <c r="K52">
        <f ca="1">IF(OR($C52="S",$C52=0),0,MATCH(OFFSET($D52,0,$C52)+IF($C52&lt;&gt;1,1,COUNTIF(QCI!$A$13:$A$24,ORÇAMENTO!E52)),OFFSET($D52,1,$C52,ROW($C$727)-ROW($C52)),0))</f>
        <v>0</v>
      </c>
      <c r="L52" s="116" t="str">
        <f t="shared" ca="1" si="10"/>
        <v/>
      </c>
      <c r="M52" s="117" t="s">
        <v>199</v>
      </c>
      <c r="N52" s="118" t="str">
        <f t="shared" ca="1" si="11"/>
        <v>Serviço</v>
      </c>
      <c r="O52" s="119" t="str">
        <f t="shared" ca="1" si="12"/>
        <v>-</v>
      </c>
      <c r="P52" s="120" t="s">
        <v>247</v>
      </c>
      <c r="Q52" s="121" t="s">
        <v>483</v>
      </c>
      <c r="R52" s="122" t="str">
        <f ca="1">IF($C52="S",REFERENCIA.Descricao,"(digite a descrição aqui)")</f>
        <v>(abra o arquivo 'Referência 06-2024.xlsm)</v>
      </c>
      <c r="S52" s="123" t="str">
        <f ca="1">REFERENCIA.Unidade</f>
        <v>-</v>
      </c>
      <c r="T52" s="124">
        <f ca="1">OFFSET(CÁLCULO!H$15,ROW($T52)-ROW(T$15),0)</f>
        <v>135.97999999999999</v>
      </c>
      <c r="U52" s="125">
        <f t="shared" ca="1" si="17"/>
        <v>0</v>
      </c>
      <c r="V52" s="126" t="s">
        <v>156</v>
      </c>
      <c r="W52" s="124">
        <f ca="1">IF($C52="S",ROUND(IF(TIPOORCAMENTO="Proposto",ORÇAMENTO.CustoUnitario*(1+$AH52),ORÇAMENTO.PrecoUnitarioLicitado),15-13*$AF$10),0)</f>
        <v>0</v>
      </c>
      <c r="X52" s="127">
        <f ca="1">IF($C52="S",IF(Import.TipoArredondamento&lt;&gt;"TransfereGOV",VTOTAL1,SUM(OFFSET(CÁLCULO!$AI$15,ROW($X52)-ROW($X$15),1):OFFSET(CÁLCULO!$BB$15,ROW($X52)-ROW($X$15),-1))),IF($C52=0,0,ROUND(SomaAgrup,15-13*$AF$11)))</f>
        <v>0</v>
      </c>
      <c r="Y52" s="128" t="s">
        <v>245</v>
      </c>
      <c r="Z52" t="str">
        <f t="shared" ca="1" si="13"/>
        <v/>
      </c>
      <c r="AA52" s="129">
        <f ca="1">IF($C52="S",IF($Z52="CP",$X52,IF($Z52="RA",(($X52)*QCI!$AA$3),0)),SomaAgrup)</f>
        <v>0</v>
      </c>
      <c r="AB52" s="130">
        <f t="shared" ca="1" si="14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SINAPI 96544</v>
      </c>
      <c r="AF52" s="13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06-2024.xlsm)</v>
      </c>
      <c r="AG52" s="498">
        <f ca="1">ROUND(IF(DESONERACAO="sim",REFERENCIA.Desonerado,REFERENCIA.NaoDesonerado),2)</f>
        <v>0</v>
      </c>
      <c r="AH52" s="499">
        <f t="shared" ca="1" si="15"/>
        <v>0.2432</v>
      </c>
      <c r="AJ52" s="501"/>
      <c r="AL52" s="527"/>
      <c r="AM52" s="381">
        <f t="shared" ca="1" si="0"/>
        <v>0</v>
      </c>
      <c r="AN52" s="566">
        <f t="shared" ca="1" si="16"/>
        <v>0</v>
      </c>
    </row>
    <row r="53" spans="1:40" ht="25.5" x14ac:dyDescent="0.2">
      <c r="A53" t="str">
        <f t="shared" si="1"/>
        <v>S</v>
      </c>
      <c r="B53">
        <f t="shared" ca="1" si="2"/>
        <v>2</v>
      </c>
      <c r="C53" t="str">
        <f t="shared" ca="1" si="3"/>
        <v>S</v>
      </c>
      <c r="D53">
        <f t="shared" ca="1" si="4"/>
        <v>0</v>
      </c>
      <c r="E53">
        <f ca="1">IF($C53=1,OFFSET(E53,-1,0)+MAX(1,COUNTIF(QCI!$A$13:$A$24,OFFSET(ORÇAMENTO!E53,-1,0))),OFFSET(E53,-1,0))</f>
        <v>1</v>
      </c>
      <c r="F53">
        <f t="shared" ca="1" si="5"/>
        <v>7</v>
      </c>
      <c r="G53">
        <f t="shared" ca="1" si="6"/>
        <v>0</v>
      </c>
      <c r="H53">
        <f t="shared" ca="1" si="7"/>
        <v>0</v>
      </c>
      <c r="I53">
        <f t="shared" ca="1" si="8"/>
        <v>0</v>
      </c>
      <c r="J53">
        <f t="shared" ca="1" si="9"/>
        <v>0</v>
      </c>
      <c r="K53">
        <f ca="1">IF(OR($C53="S",$C53=0),0,MATCH(OFFSET($D53,0,$C53)+IF($C53&lt;&gt;1,1,COUNTIF(QCI!$A$13:$A$24,ORÇAMENTO!E53)),OFFSET($D53,1,$C53,ROW($C$727)-ROW($C53)),0))</f>
        <v>0</v>
      </c>
      <c r="L53" s="116" t="str">
        <f t="shared" ca="1" si="10"/>
        <v/>
      </c>
      <c r="M53" s="117" t="s">
        <v>199</v>
      </c>
      <c r="N53" s="118" t="str">
        <f t="shared" ca="1" si="11"/>
        <v>Serviço</v>
      </c>
      <c r="O53" s="119" t="str">
        <f t="shared" ca="1" si="12"/>
        <v>-</v>
      </c>
      <c r="P53" s="120" t="s">
        <v>247</v>
      </c>
      <c r="Q53" s="121" t="s">
        <v>484</v>
      </c>
      <c r="R53" s="122" t="str">
        <f ca="1">IF($C53="S",REFERENCIA.Descricao,"(digite a descrição aqui)")</f>
        <v>(abra o arquivo 'Referência 06-2024.xlsm)</v>
      </c>
      <c r="S53" s="123" t="str">
        <f ca="1">REFERENCIA.Unidade</f>
        <v>-</v>
      </c>
      <c r="T53" s="124">
        <f ca="1">OFFSET(CÁLCULO!H$15,ROW($T53)-ROW(T$15),0)</f>
        <v>213.48</v>
      </c>
      <c r="U53" s="125">
        <f t="shared" ca="1" si="17"/>
        <v>0</v>
      </c>
      <c r="V53" s="126" t="s">
        <v>156</v>
      </c>
      <c r="W53" s="124">
        <f ca="1">IF($C53="S",ROUND(IF(TIPOORCAMENTO="Proposto",ORÇAMENTO.CustoUnitario*(1+$AH53),ORÇAMENTO.PrecoUnitarioLicitado),15-13*$AF$10),0)</f>
        <v>0</v>
      </c>
      <c r="X53" s="127">
        <f ca="1">IF($C53="S",IF(Import.TipoArredondamento&lt;&gt;"TransfereGOV",VTOTAL1,SUM(OFFSET(CÁLCULO!$AI$15,ROW($X53)-ROW($X$15),1):OFFSET(CÁLCULO!$BB$15,ROW($X53)-ROW($X$15),-1))),IF($C53=0,0,ROUND(SomaAgrup,15-13*$AF$11)))</f>
        <v>0</v>
      </c>
      <c r="Y53" s="128" t="s">
        <v>245</v>
      </c>
      <c r="Z53" t="str">
        <f t="shared" ca="1" si="13"/>
        <v/>
      </c>
      <c r="AA53" s="129">
        <f ca="1">IF($C53="S",IF($Z53="CP",$X53,IF($Z53="RA",(($X53)*QCI!$AA$3),0)),SomaAgrup)</f>
        <v>0</v>
      </c>
      <c r="AB53" s="130">
        <f t="shared" ca="1" si="14"/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" t="str">
        <f ca="1">IF(AND($C53="S",ORÇAMENTO.CodBarra&lt;&gt;""),IF(ORÇAMENTO.Fonte="",ORÇAMENTO.CodBarra,CONCATENATE(ORÇAMENTO.Fonte," ",ORÇAMENTO.CodBarra)))</f>
        <v>SINAPI 96543</v>
      </c>
      <c r="AF53" s="13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06-2024.xlsm)</v>
      </c>
      <c r="AG53" s="498">
        <f ca="1">ROUND(IF(DESONERACAO="sim",REFERENCIA.Desonerado,REFERENCIA.NaoDesonerado),2)</f>
        <v>0</v>
      </c>
      <c r="AH53" s="499">
        <f t="shared" ca="1" si="15"/>
        <v>0.2432</v>
      </c>
      <c r="AJ53" s="501"/>
      <c r="AL53" s="527"/>
      <c r="AM53" s="381">
        <f t="shared" ca="1" si="0"/>
        <v>0</v>
      </c>
      <c r="AN53" s="566">
        <f t="shared" ca="1" si="16"/>
        <v>0</v>
      </c>
    </row>
    <row r="54" spans="1:40" ht="38.25" x14ac:dyDescent="0.2">
      <c r="A54" t="str">
        <f t="shared" si="1"/>
        <v>S</v>
      </c>
      <c r="B54">
        <f t="shared" ca="1" si="2"/>
        <v>2</v>
      </c>
      <c r="C54" t="str">
        <f t="shared" ca="1" si="3"/>
        <v>S</v>
      </c>
      <c r="D54">
        <f t="shared" ca="1" si="4"/>
        <v>0</v>
      </c>
      <c r="E54">
        <f ca="1">IF($C54=1,OFFSET(E54,-1,0)+MAX(1,COUNTIF(QCI!$A$13:$A$24,OFFSET(ORÇAMENTO!E54,-1,0))),OFFSET(E54,-1,0))</f>
        <v>1</v>
      </c>
      <c r="F54">
        <f t="shared" ca="1" si="5"/>
        <v>7</v>
      </c>
      <c r="G54">
        <f t="shared" ca="1" si="6"/>
        <v>0</v>
      </c>
      <c r="H54">
        <f t="shared" ca="1" si="7"/>
        <v>0</v>
      </c>
      <c r="I54">
        <f t="shared" ca="1" si="8"/>
        <v>0</v>
      </c>
      <c r="J54">
        <f t="shared" ca="1" si="9"/>
        <v>0</v>
      </c>
      <c r="K54">
        <f ca="1">IF(OR($C54="S",$C54=0),0,MATCH(OFFSET($D54,0,$C54)+IF($C54&lt;&gt;1,1,COUNTIF(QCI!$A$13:$A$24,ORÇAMENTO!E54)),OFFSET($D54,1,$C54,ROW($C$727)-ROW($C54)),0))</f>
        <v>0</v>
      </c>
      <c r="L54" s="116" t="str">
        <f t="shared" ca="1" si="10"/>
        <v/>
      </c>
      <c r="M54" s="117" t="s">
        <v>199</v>
      </c>
      <c r="N54" s="118" t="str">
        <f t="shared" ca="1" si="11"/>
        <v>Serviço</v>
      </c>
      <c r="O54" s="119" t="str">
        <f t="shared" ca="1" si="12"/>
        <v>-</v>
      </c>
      <c r="P54" s="120" t="s">
        <v>247</v>
      </c>
      <c r="Q54" s="121" t="s">
        <v>485</v>
      </c>
      <c r="R54" s="122" t="str">
        <f ca="1">IF($C54="S",REFERENCIA.Descricao,"(digite a descrição aqui)")</f>
        <v>(abra o arquivo 'Referência 06-2024.xlsm)</v>
      </c>
      <c r="S54" s="123" t="str">
        <f ca="1">REFERENCIA.Unidade</f>
        <v>-</v>
      </c>
      <c r="T54" s="124">
        <f ca="1">OFFSET(CÁLCULO!H$15,ROW($T54)-ROW(T$15),0)</f>
        <v>37.83</v>
      </c>
      <c r="U54" s="125">
        <f t="shared" ca="1" si="17"/>
        <v>0</v>
      </c>
      <c r="V54" s="126" t="s">
        <v>156</v>
      </c>
      <c r="W54" s="124">
        <f ca="1">IF($C54="S",ROUND(IF(TIPOORCAMENTO="Proposto",ORÇAMENTO.CustoUnitario*(1+$AH54),ORÇAMENTO.PrecoUnitarioLicitado),15-13*$AF$10),0)</f>
        <v>0</v>
      </c>
      <c r="X54" s="127">
        <f ca="1">IF($C54="S",IF(Import.TipoArredondamento&lt;&gt;"TransfereGOV",VTOTAL1,SUM(OFFSET(CÁLCULO!$AI$15,ROW($X54)-ROW($X$15),1):OFFSET(CÁLCULO!$BB$15,ROW($X54)-ROW($X$15),-1))),IF($C54=0,0,ROUND(SomaAgrup,15-13*$AF$11)))</f>
        <v>0</v>
      </c>
      <c r="Y54" s="128" t="s">
        <v>245</v>
      </c>
      <c r="Z54" t="str">
        <f t="shared" ca="1" si="13"/>
        <v/>
      </c>
      <c r="AA54" s="129">
        <f ca="1">IF($C54="S",IF($Z54="CP",$X54,IF($Z54="RA",(($X54)*QCI!$AA$3),0)),SomaAgrup)</f>
        <v>0</v>
      </c>
      <c r="AB54" s="130">
        <f t="shared" ca="1" si="14"/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" t="str">
        <f ca="1">IF(AND($C54="S",ORÇAMENTO.CodBarra&lt;&gt;""),IF(ORÇAMENTO.Fonte="",ORÇAMENTO.CodBarra,CONCATENATE(ORÇAMENTO.Fonte," ",ORÇAMENTO.CodBarra)))</f>
        <v>SINAPI 104920</v>
      </c>
      <c r="AF54" s="13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06-2024.xlsm)</v>
      </c>
      <c r="AG54" s="498">
        <f ca="1">ROUND(IF(DESONERACAO="sim",REFERENCIA.Desonerado,REFERENCIA.NaoDesonerado),2)</f>
        <v>0</v>
      </c>
      <c r="AH54" s="499">
        <f t="shared" ca="1" si="15"/>
        <v>0.2432</v>
      </c>
      <c r="AJ54" s="501"/>
      <c r="AL54" s="527"/>
      <c r="AM54" s="381">
        <f t="shared" ca="1" si="0"/>
        <v>0</v>
      </c>
      <c r="AN54" s="566">
        <f t="shared" ca="1" si="16"/>
        <v>0</v>
      </c>
    </row>
    <row r="55" spans="1:40" ht="38.25" x14ac:dyDescent="0.2">
      <c r="A55" t="str">
        <f t="shared" si="1"/>
        <v>S</v>
      </c>
      <c r="B55">
        <f t="shared" ca="1" si="2"/>
        <v>2</v>
      </c>
      <c r="C55" t="str">
        <f t="shared" ca="1" si="3"/>
        <v>S</v>
      </c>
      <c r="D55">
        <f t="shared" ca="1" si="4"/>
        <v>0</v>
      </c>
      <c r="E55">
        <f ca="1">IF($C55=1,OFFSET(E55,-1,0)+MAX(1,COUNTIF(QCI!$A$13:$A$24,OFFSET(ORÇAMENTO!E55,-1,0))),OFFSET(E55,-1,0))</f>
        <v>1</v>
      </c>
      <c r="F55">
        <f t="shared" ca="1" si="5"/>
        <v>7</v>
      </c>
      <c r="G55">
        <f t="shared" ca="1" si="6"/>
        <v>0</v>
      </c>
      <c r="H55">
        <f t="shared" ca="1" si="7"/>
        <v>0</v>
      </c>
      <c r="I55">
        <f t="shared" ca="1" si="8"/>
        <v>0</v>
      </c>
      <c r="J55">
        <f t="shared" ca="1" si="9"/>
        <v>0</v>
      </c>
      <c r="K55">
        <f ca="1">IF(OR($C55="S",$C55=0),0,MATCH(OFFSET($D55,0,$C55)+IF($C55&lt;&gt;1,1,COUNTIF(QCI!$A$13:$A$24,ORÇAMENTO!E55)),OFFSET($D55,1,$C55,ROW($C$727)-ROW($C55)),0))</f>
        <v>0</v>
      </c>
      <c r="L55" s="116" t="str">
        <f t="shared" ca="1" si="10"/>
        <v/>
      </c>
      <c r="M55" s="117" t="s">
        <v>199</v>
      </c>
      <c r="N55" s="118" t="str">
        <f t="shared" ca="1" si="11"/>
        <v>Serviço</v>
      </c>
      <c r="O55" s="119" t="str">
        <f t="shared" ca="1" si="12"/>
        <v>-</v>
      </c>
      <c r="P55" s="120" t="s">
        <v>247</v>
      </c>
      <c r="Q55" s="121" t="s">
        <v>486</v>
      </c>
      <c r="R55" s="122" t="str">
        <f ca="1">IF($C55="S",REFERENCIA.Descricao,"(digite a descrição aqui)")</f>
        <v>(abra o arquivo 'Referência 06-2024.xlsm)</v>
      </c>
      <c r="S55" s="123" t="str">
        <f ca="1">REFERENCIA.Unidade</f>
        <v>-</v>
      </c>
      <c r="T55" s="124">
        <f ca="1">OFFSET(CÁLCULO!H$15,ROW($T55)-ROW(T$15),0)</f>
        <v>41.38</v>
      </c>
      <c r="U55" s="125">
        <f t="shared" ca="1" si="17"/>
        <v>0</v>
      </c>
      <c r="V55" s="126" t="s">
        <v>156</v>
      </c>
      <c r="W55" s="124">
        <f ca="1">IF($C55="S",ROUND(IF(TIPOORCAMENTO="Proposto",ORÇAMENTO.CustoUnitario*(1+$AH55),ORÇAMENTO.PrecoUnitarioLicitado),15-13*$AF$10),0)</f>
        <v>0</v>
      </c>
      <c r="X55" s="127">
        <f ca="1">IF($C55="S",IF(Import.TipoArredondamento&lt;&gt;"TransfereGOV",VTOTAL1,SUM(OFFSET(CÁLCULO!$AI$15,ROW($X55)-ROW($X$15),1):OFFSET(CÁLCULO!$BB$15,ROW($X55)-ROW($X$15),-1))),IF($C55=0,0,ROUND(SomaAgrup,15-13*$AF$11)))</f>
        <v>0</v>
      </c>
      <c r="Y55" s="128" t="s">
        <v>245</v>
      </c>
      <c r="Z55" t="str">
        <f t="shared" ca="1" si="13"/>
        <v/>
      </c>
      <c r="AA55" s="129">
        <f ca="1">IF($C55="S",IF($Z55="CP",$X55,IF($Z55="RA",(($X55)*QCI!$AA$3),0)),SomaAgrup)</f>
        <v>0</v>
      </c>
      <c r="AB55" s="130">
        <f t="shared" ca="1" si="14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" t="str">
        <f ca="1">IF(AND($C55="S",ORÇAMENTO.CodBarra&lt;&gt;""),IF(ORÇAMENTO.Fonte="",ORÇAMENTO.CodBarra,CONCATENATE(ORÇAMENTO.Fonte," ",ORÇAMENTO.CodBarra)))</f>
        <v>SINAPI 104921</v>
      </c>
      <c r="AF55" s="13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06-2024.xlsm)</v>
      </c>
      <c r="AG55" s="498">
        <f ca="1">ROUND(IF(DESONERACAO="sim",REFERENCIA.Desonerado,REFERENCIA.NaoDesonerado),2)</f>
        <v>0</v>
      </c>
      <c r="AH55" s="499">
        <f t="shared" ca="1" si="15"/>
        <v>0.2432</v>
      </c>
      <c r="AJ55" s="501"/>
      <c r="AL55" s="527"/>
      <c r="AM55" s="381">
        <f t="shared" ca="1" si="0"/>
        <v>0</v>
      </c>
      <c r="AN55" s="566">
        <f t="shared" ca="1" si="16"/>
        <v>0</v>
      </c>
    </row>
    <row r="56" spans="1:40" ht="25.5" x14ac:dyDescent="0.2">
      <c r="A56" t="str">
        <f t="shared" si="1"/>
        <v>S</v>
      </c>
      <c r="B56">
        <f t="shared" ca="1" si="2"/>
        <v>2</v>
      </c>
      <c r="C56" t="str">
        <f t="shared" ca="1" si="3"/>
        <v>S</v>
      </c>
      <c r="D56">
        <f t="shared" ca="1" si="4"/>
        <v>0</v>
      </c>
      <c r="E56">
        <f ca="1">IF($C56=1,OFFSET(E56,-1,0)+MAX(1,COUNTIF(QCI!$A$13:$A$24,OFFSET(ORÇAMENTO!E56,-1,0))),OFFSET(E56,-1,0))</f>
        <v>1</v>
      </c>
      <c r="F56">
        <f t="shared" ca="1" si="5"/>
        <v>7</v>
      </c>
      <c r="G56">
        <f t="shared" ca="1" si="6"/>
        <v>0</v>
      </c>
      <c r="H56">
        <f t="shared" ca="1" si="7"/>
        <v>0</v>
      </c>
      <c r="I56">
        <f t="shared" ca="1" si="8"/>
        <v>0</v>
      </c>
      <c r="J56">
        <f t="shared" ca="1" si="9"/>
        <v>0</v>
      </c>
      <c r="K56">
        <f ca="1">IF(OR($C56="S",$C56=0),0,MATCH(OFFSET($D56,0,$C56)+IF($C56&lt;&gt;1,1,COUNTIF(QCI!$A$13:$A$24,ORÇAMENTO!E56)),OFFSET($D56,1,$C56,ROW($C$727)-ROW($C56)),0))</f>
        <v>0</v>
      </c>
      <c r="L56" s="116" t="str">
        <f t="shared" ca="1" si="10"/>
        <v/>
      </c>
      <c r="M56" s="117" t="s">
        <v>199</v>
      </c>
      <c r="N56" s="118" t="str">
        <f t="shared" ca="1" si="11"/>
        <v>Serviço</v>
      </c>
      <c r="O56" s="119" t="str">
        <f t="shared" ca="1" si="12"/>
        <v>-</v>
      </c>
      <c r="P56" s="120" t="s">
        <v>247</v>
      </c>
      <c r="Q56" s="121" t="s">
        <v>487</v>
      </c>
      <c r="R56" s="122" t="str">
        <f ca="1">IF($C56="S",REFERENCIA.Descricao,"(digite a descrição aqui)")</f>
        <v>(abra o arquivo 'Referência 06-2024.xlsm)</v>
      </c>
      <c r="S56" s="123" t="str">
        <f ca="1">REFERENCIA.Unidade</f>
        <v>-</v>
      </c>
      <c r="T56" s="124">
        <f ca="1">OFFSET(CÁLCULO!H$15,ROW($T56)-ROW(T$15),0)</f>
        <v>14.11</v>
      </c>
      <c r="U56" s="125">
        <f t="shared" ca="1" si="17"/>
        <v>0</v>
      </c>
      <c r="V56" s="126" t="s">
        <v>156</v>
      </c>
      <c r="W56" s="124">
        <f ca="1">IF($C56="S",ROUND(IF(TIPOORCAMENTO="Proposto",ORÇAMENTO.CustoUnitario*(1+$AH56),ORÇAMENTO.PrecoUnitarioLicitado),15-13*$AF$10),0)</f>
        <v>0</v>
      </c>
      <c r="X56" s="127">
        <f ca="1">IF($C56="S",IF(Import.TipoArredondamento&lt;&gt;"TransfereGOV",VTOTAL1,SUM(OFFSET(CÁLCULO!$AI$15,ROW($X56)-ROW($X$15),1):OFFSET(CÁLCULO!$BB$15,ROW($X56)-ROW($X$15),-1))),IF($C56=0,0,ROUND(SomaAgrup,15-13*$AF$11)))</f>
        <v>0</v>
      </c>
      <c r="Y56" s="128" t="s">
        <v>245</v>
      </c>
      <c r="Z56" t="str">
        <f t="shared" ca="1" si="13"/>
        <v/>
      </c>
      <c r="AA56" s="129">
        <f ca="1">IF($C56="S",IF($Z56="CP",$X56,IF($Z56="RA",(($X56)*QCI!$AA$3),0)),SomaAgrup)</f>
        <v>0</v>
      </c>
      <c r="AB56" s="130">
        <f t="shared" ca="1" si="14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" t="str">
        <f ca="1">IF(AND($C56="S",ORÇAMENTO.CodBarra&lt;&gt;""),IF(ORÇAMENTO.Fonte="",ORÇAMENTO.CodBarra,CONCATENATE(ORÇAMENTO.Fonte," ",ORÇAMENTO.CodBarra)))</f>
        <v>SINAPI 104922</v>
      </c>
      <c r="AF56" s="13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06-2024.xlsm)</v>
      </c>
      <c r="AG56" s="498">
        <f ca="1">ROUND(IF(DESONERACAO="sim",REFERENCIA.Desonerado,REFERENCIA.NaoDesonerado),2)</f>
        <v>0</v>
      </c>
      <c r="AH56" s="499">
        <f t="shared" ca="1" si="15"/>
        <v>0.2432</v>
      </c>
      <c r="AJ56" s="501"/>
      <c r="AL56" s="527"/>
      <c r="AM56" s="381">
        <f t="shared" ca="1" si="0"/>
        <v>0</v>
      </c>
      <c r="AN56" s="566">
        <f t="shared" ca="1" si="16"/>
        <v>0</v>
      </c>
    </row>
    <row r="57" spans="1:40" x14ac:dyDescent="0.2">
      <c r="A57">
        <f t="shared" si="1"/>
        <v>2</v>
      </c>
      <c r="B57">
        <f t="shared" ca="1" si="2"/>
        <v>2</v>
      </c>
      <c r="C57">
        <f t="shared" ca="1" si="3"/>
        <v>2</v>
      </c>
      <c r="D57">
        <f t="shared" ca="1" si="4"/>
        <v>6</v>
      </c>
      <c r="E57">
        <f ca="1">IF($C57=1,OFFSET(E57,-1,0)+MAX(1,COUNTIF(QCI!$A$13:$A$24,OFFSET(ORÇAMENTO!E57,-1,0))),OFFSET(E57,-1,0))</f>
        <v>1</v>
      </c>
      <c r="F57">
        <f t="shared" ca="1" si="5"/>
        <v>8</v>
      </c>
      <c r="G57">
        <f t="shared" ca="1" si="6"/>
        <v>0</v>
      </c>
      <c r="H57">
        <f t="shared" ca="1" si="7"/>
        <v>0</v>
      </c>
      <c r="I57">
        <f t="shared" ca="1" si="8"/>
        <v>0</v>
      </c>
      <c r="J57">
        <f t="shared" ca="1" si="9"/>
        <v>670</v>
      </c>
      <c r="K57">
        <f ca="1">IF(OR($C57="S",$C57=0),0,MATCH(OFFSET($D57,0,$C57)+IF($C57&lt;&gt;1,1,COUNTIF(QCI!$A$13:$A$24,ORÇAMENTO!E57)),OFFSET($D57,1,$C57,ROW($C$727)-ROW($C57)),0))</f>
        <v>6</v>
      </c>
      <c r="L57" s="116" t="str">
        <f t="shared" ca="1" si="10"/>
        <v>F</v>
      </c>
      <c r="M57" s="117" t="s">
        <v>196</v>
      </c>
      <c r="N57" s="118" t="str">
        <f t="shared" ca="1" si="11"/>
        <v>Nível 2</v>
      </c>
      <c r="O57" s="119" t="str">
        <f t="shared" ca="1" si="12"/>
        <v>1.8.</v>
      </c>
      <c r="P57" s="120" t="s">
        <v>247</v>
      </c>
      <c r="Q57" s="121"/>
      <c r="R57" s="122" t="s">
        <v>1036</v>
      </c>
      <c r="S57" s="123" t="str">
        <f ca="1">REFERENCIA.Unidade</f>
        <v>-</v>
      </c>
      <c r="T57" s="124">
        <f ca="1">OFFSET(CÁLCULO!H$15,ROW($T57)-ROW(T$15),0)</f>
        <v>0</v>
      </c>
      <c r="U57" s="125">
        <f t="shared" ca="1" si="17"/>
        <v>0</v>
      </c>
      <c r="V57" s="126" t="s">
        <v>156</v>
      </c>
      <c r="W57" s="124">
        <f ca="1">IF($C57="S",ROUND(IF(TIPOORCAMENTO="Proposto",ORÇAMENTO.CustoUnitario*(1+$AH57),ORÇAMENTO.PrecoUnitarioLicitado),15-13*$AF$10),0)</f>
        <v>0</v>
      </c>
      <c r="X57" s="127">
        <f ca="1">IF($C57="S",IF(Import.TipoArredondamento&lt;&gt;"TransfereGOV",VTOTAL1,SUM(OFFSET(CÁLCULO!$AI$15,ROW($X57)-ROW($X$15),1):OFFSET(CÁLCULO!$BB$15,ROW($X57)-ROW($X$15),-1))),IF($C57=0,0,ROUND(SomaAgrup,15-13*$AF$11)))</f>
        <v>0</v>
      </c>
      <c r="Y57" s="128" t="s">
        <v>245</v>
      </c>
      <c r="Z57" t="str">
        <f t="shared" ca="1" si="13"/>
        <v/>
      </c>
      <c r="AA57" s="129">
        <f ca="1">IF($C57="S",IF($Z57="CP",$X57,IF($Z57="RA",(($X57)*QCI!$AA$3),0)),SomaAgrup)</f>
        <v>0</v>
      </c>
      <c r="AB57" s="130">
        <f t="shared" ca="1" si="14"/>
        <v>0</v>
      </c>
      <c r="AC57" s="131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>
        <f ca="1">IF(C57&lt;=CRONO.NivelExibicao,MAX($AD$15:OFFSET(AD57,-1,0))+IF($C57&lt;&gt;1,1,MAX(1,COUNTIF(QCI!$A$13:$A$24,OFFSET($E57,-1,0)))),"")</f>
        <v>9</v>
      </c>
      <c r="AE57" s="7" t="b">
        <f ca="1">IF(AND($C57="S",ORÇAMENTO.CodBarra&lt;&gt;""),IF(ORÇAMENTO.Fonte="",ORÇAMENTO.CodBarra,CONCATENATE(ORÇAMENTO.Fonte," ",ORÇAMENTO.CodBarra)))</f>
        <v>0</v>
      </c>
      <c r="AF57" s="13" t="str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06-2024.xlsm)</v>
      </c>
      <c r="AG57" s="498">
        <f ca="1">ROUND(IF(DESONERACAO="sim",REFERENCIA.Desonerado,REFERENCIA.NaoDesonerado),2)</f>
        <v>0</v>
      </c>
      <c r="AH57" s="499">
        <f t="shared" ca="1" si="15"/>
        <v>0.2432</v>
      </c>
      <c r="AJ57" s="501"/>
      <c r="AL57" s="527"/>
      <c r="AM57" s="381">
        <f t="shared" ca="1" si="0"/>
        <v>0</v>
      </c>
      <c r="AN57" s="566">
        <f t="shared" ca="1" si="16"/>
        <v>0</v>
      </c>
    </row>
    <row r="58" spans="1:40" ht="51" x14ac:dyDescent="0.2">
      <c r="A58" t="str">
        <f t="shared" si="1"/>
        <v>S</v>
      </c>
      <c r="B58">
        <f t="shared" ca="1" si="2"/>
        <v>2</v>
      </c>
      <c r="C58" t="str">
        <f t="shared" ca="1" si="3"/>
        <v>S</v>
      </c>
      <c r="D58">
        <f t="shared" ca="1" si="4"/>
        <v>0</v>
      </c>
      <c r="E58">
        <f ca="1">IF($C58=1,OFFSET(E58,-1,0)+MAX(1,COUNTIF(QCI!$A$13:$A$24,OFFSET(ORÇAMENTO!E58,-1,0))),OFFSET(E58,-1,0))</f>
        <v>1</v>
      </c>
      <c r="F58">
        <f t="shared" ca="1" si="5"/>
        <v>8</v>
      </c>
      <c r="G58">
        <f t="shared" ca="1" si="6"/>
        <v>0</v>
      </c>
      <c r="H58">
        <f t="shared" ca="1" si="7"/>
        <v>0</v>
      </c>
      <c r="I58">
        <f t="shared" ca="1" si="8"/>
        <v>0</v>
      </c>
      <c r="J58">
        <f t="shared" ca="1" si="9"/>
        <v>0</v>
      </c>
      <c r="K58">
        <f ca="1">IF(OR($C58="S",$C58=0),0,MATCH(OFFSET($D58,0,$C58)+IF($C58&lt;&gt;1,1,COUNTIF(QCI!$A$13:$A$24,ORÇAMENTO!E58)),OFFSET($D58,1,$C58,ROW($C$727)-ROW($C58)),0))</f>
        <v>0</v>
      </c>
      <c r="L58" s="116" t="str">
        <f t="shared" ca="1" si="10"/>
        <v/>
      </c>
      <c r="M58" s="117" t="s">
        <v>199</v>
      </c>
      <c r="N58" s="118" t="str">
        <f t="shared" ca="1" si="11"/>
        <v>Serviço</v>
      </c>
      <c r="O58" s="119" t="str">
        <f t="shared" ca="1" si="12"/>
        <v>-</v>
      </c>
      <c r="P58" s="120" t="s">
        <v>247</v>
      </c>
      <c r="Q58" s="121" t="s">
        <v>488</v>
      </c>
      <c r="R58" s="122" t="str">
        <f ca="1">IF($C58="S",REFERENCIA.Descricao,"(digite a descrição aqui)")</f>
        <v>(abra o arquivo 'Referência 06-2024.xlsm)</v>
      </c>
      <c r="S58" s="123" t="str">
        <f ca="1">REFERENCIA.Unidade</f>
        <v>-</v>
      </c>
      <c r="T58" s="124">
        <f ca="1">OFFSET(CÁLCULO!H$15,ROW($T58)-ROW(T$15),0)</f>
        <v>605.94000000000005</v>
      </c>
      <c r="U58" s="125">
        <f t="shared" ca="1" si="17"/>
        <v>0</v>
      </c>
      <c r="V58" s="126" t="s">
        <v>156</v>
      </c>
      <c r="W58" s="124">
        <f ca="1">IF($C58="S",ROUND(IF(TIPOORCAMENTO="Proposto",ORÇAMENTO.CustoUnitario*(1+$AH58),ORÇAMENTO.PrecoUnitarioLicitado),15-13*$AF$10),0)</f>
        <v>0</v>
      </c>
      <c r="X58" s="127">
        <f ca="1">IF($C58="S",IF(Import.TipoArredondamento&lt;&gt;"TransfereGOV",VTOTAL1,SUM(OFFSET(CÁLCULO!$AI$15,ROW($X58)-ROW($X$15),1):OFFSET(CÁLCULO!$BB$15,ROW($X58)-ROW($X$15),-1))),IF($C58=0,0,ROUND(SomaAgrup,15-13*$AF$11)))</f>
        <v>0</v>
      </c>
      <c r="Y58" s="128" t="s">
        <v>245</v>
      </c>
      <c r="Z58" t="str">
        <f t="shared" ca="1" si="13"/>
        <v/>
      </c>
      <c r="AA58" s="129">
        <f ca="1">IF($C58="S",IF($Z58="CP",$X58,IF($Z58="RA",(($X58)*QCI!$AA$3),0)),SomaAgrup)</f>
        <v>0</v>
      </c>
      <c r="AB58" s="130">
        <f t="shared" ca="1" si="14"/>
        <v>0</v>
      </c>
      <c r="AC58" s="131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t="str">
        <f ca="1">IF(C58&lt;=CRONO.NivelExibicao,MAX($AD$15:OFFSET(AD58,-1,0))+IF($C58&lt;&gt;1,1,MAX(1,COUNTIF(QCI!$A$13:$A$24,OFFSET($E58,-1,0)))),"")</f>
        <v/>
      </c>
      <c r="AE58" s="7" t="str">
        <f ca="1">IF(AND($C58="S",ORÇAMENTO.CodBarra&lt;&gt;""),IF(ORÇAMENTO.Fonte="",ORÇAMENTO.CodBarra,CONCATENATE(ORÇAMENTO.Fonte," ",ORÇAMENTO.CodBarra)))</f>
        <v>SINAPI 92443</v>
      </c>
      <c r="AF58" s="13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06-2024.xlsm)</v>
      </c>
      <c r="AG58" s="498">
        <f ca="1">ROUND(IF(DESONERACAO="sim",REFERENCIA.Desonerado,REFERENCIA.NaoDesonerado),2)</f>
        <v>0</v>
      </c>
      <c r="AH58" s="499">
        <f t="shared" ca="1" si="15"/>
        <v>0.2432</v>
      </c>
      <c r="AJ58" s="501"/>
      <c r="AL58" s="527"/>
      <c r="AM58" s="381">
        <f t="shared" ca="1" si="0"/>
        <v>0</v>
      </c>
      <c r="AN58" s="566">
        <f t="shared" ca="1" si="16"/>
        <v>0</v>
      </c>
    </row>
    <row r="59" spans="1:40" ht="38.25" x14ac:dyDescent="0.2">
      <c r="A59" t="str">
        <f t="shared" si="1"/>
        <v>S</v>
      </c>
      <c r="B59">
        <f t="shared" ca="1" si="2"/>
        <v>2</v>
      </c>
      <c r="C59" t="str">
        <f t="shared" ca="1" si="3"/>
        <v>S</v>
      </c>
      <c r="D59">
        <f t="shared" ca="1" si="4"/>
        <v>0</v>
      </c>
      <c r="E59">
        <f ca="1">IF($C59=1,OFFSET(E59,-1,0)+MAX(1,COUNTIF(QCI!$A$13:$A$24,OFFSET(ORÇAMENTO!E59,-1,0))),OFFSET(E59,-1,0))</f>
        <v>1</v>
      </c>
      <c r="F59">
        <f t="shared" ca="1" si="5"/>
        <v>8</v>
      </c>
      <c r="G59">
        <f t="shared" ca="1" si="6"/>
        <v>0</v>
      </c>
      <c r="H59">
        <f t="shared" ca="1" si="7"/>
        <v>0</v>
      </c>
      <c r="I59">
        <f t="shared" ca="1" si="8"/>
        <v>0</v>
      </c>
      <c r="J59">
        <f t="shared" ca="1" si="9"/>
        <v>0</v>
      </c>
      <c r="K59">
        <f ca="1">IF(OR($C59="S",$C59=0),0,MATCH(OFFSET($D59,0,$C59)+IF($C59&lt;&gt;1,1,COUNTIF(QCI!$A$13:$A$24,ORÇAMENTO!E59)),OFFSET($D59,1,$C59,ROW($C$727)-ROW($C59)),0))</f>
        <v>0</v>
      </c>
      <c r="L59" s="116" t="str">
        <f t="shared" ca="1" si="10"/>
        <v/>
      </c>
      <c r="M59" s="117" t="s">
        <v>199</v>
      </c>
      <c r="N59" s="118" t="str">
        <f t="shared" ca="1" si="11"/>
        <v>Serviço</v>
      </c>
      <c r="O59" s="119" t="str">
        <f t="shared" ca="1" si="12"/>
        <v>-</v>
      </c>
      <c r="P59" s="120" t="s">
        <v>247</v>
      </c>
      <c r="Q59" s="121" t="s">
        <v>489</v>
      </c>
      <c r="R59" s="122" t="str">
        <f ca="1">IF($C59="S",REFERENCIA.Descricao,"(digite a descrição aqui)")</f>
        <v>(abra o arquivo 'Referência 06-2024.xlsm)</v>
      </c>
      <c r="S59" s="123" t="str">
        <f ca="1">REFERENCIA.Unidade</f>
        <v>-</v>
      </c>
      <c r="T59" s="124">
        <f ca="1">OFFSET(CÁLCULO!H$15,ROW($T59)-ROW(T$15),0)</f>
        <v>1560.82</v>
      </c>
      <c r="U59" s="125">
        <f t="shared" ca="1" si="17"/>
        <v>0</v>
      </c>
      <c r="V59" s="126" t="s">
        <v>156</v>
      </c>
      <c r="W59" s="124">
        <f ca="1">IF($C59="S",ROUND(IF(TIPOORCAMENTO="Proposto",ORÇAMENTO.CustoUnitario*(1+$AH59),ORÇAMENTO.PrecoUnitarioLicitado),15-13*$AF$10),0)</f>
        <v>0</v>
      </c>
      <c r="X59" s="127">
        <f ca="1">IF($C59="S",IF(Import.TipoArredondamento&lt;&gt;"TransfereGOV",VTOTAL1,SUM(OFFSET(CÁLCULO!$AI$15,ROW($X59)-ROW($X$15),1):OFFSET(CÁLCULO!$BB$15,ROW($X59)-ROW($X$15),-1))),IF($C59=0,0,ROUND(SomaAgrup,15-13*$AF$11)))</f>
        <v>0</v>
      </c>
      <c r="Y59" s="128" t="s">
        <v>245</v>
      </c>
      <c r="Z59" t="str">
        <f t="shared" ca="1" si="13"/>
        <v/>
      </c>
      <c r="AA59" s="129">
        <f ca="1">IF($C59="S",IF($Z59="CP",$X59,IF($Z59="RA",(($X59)*QCI!$AA$3),0)),SomaAgrup)</f>
        <v>0</v>
      </c>
      <c r="AB59" s="130">
        <f t="shared" ca="1" si="14"/>
        <v>0</v>
      </c>
      <c r="AC59" s="131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IF(C59&lt;=CRONO.NivelExibicao,MAX($AD$15:OFFSET(AD59,-1,0))+IF($C59&lt;&gt;1,1,MAX(1,COUNTIF(QCI!$A$13:$A$24,OFFSET($E59,-1,0)))),"")</f>
        <v/>
      </c>
      <c r="AE59" s="7" t="str">
        <f ca="1">IF(AND($C59="S",ORÇAMENTO.CodBarra&lt;&gt;""),IF(ORÇAMENTO.Fonte="",ORÇAMENTO.CodBarra,CONCATENATE(ORÇAMENTO.Fonte," ",ORÇAMENTO.CodBarra)))</f>
        <v>SINAPI 92762</v>
      </c>
      <c r="AF59" s="13" t="str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06-2024.xlsm)</v>
      </c>
      <c r="AG59" s="498">
        <f ca="1">ROUND(IF(DESONERACAO="sim",REFERENCIA.Desonerado,REFERENCIA.NaoDesonerado),2)</f>
        <v>0</v>
      </c>
      <c r="AH59" s="499">
        <f t="shared" ca="1" si="15"/>
        <v>0.2432</v>
      </c>
      <c r="AJ59" s="501"/>
      <c r="AL59" s="527"/>
      <c r="AM59" s="381">
        <f t="shared" ca="1" si="0"/>
        <v>0</v>
      </c>
      <c r="AN59" s="566">
        <f t="shared" ca="1" si="16"/>
        <v>0</v>
      </c>
    </row>
    <row r="60" spans="1:40" ht="38.25" x14ac:dyDescent="0.2">
      <c r="A60" t="str">
        <f t="shared" si="1"/>
        <v>S</v>
      </c>
      <c r="B60">
        <f t="shared" ca="1" si="2"/>
        <v>2</v>
      </c>
      <c r="C60" t="str">
        <f t="shared" ca="1" si="3"/>
        <v>S</v>
      </c>
      <c r="D60">
        <f t="shared" ca="1" si="4"/>
        <v>0</v>
      </c>
      <c r="E60">
        <f ca="1">IF($C60=1,OFFSET(E60,-1,0)+MAX(1,COUNTIF(QCI!$A$13:$A$24,OFFSET(ORÇAMENTO!E60,-1,0))),OFFSET(E60,-1,0))</f>
        <v>1</v>
      </c>
      <c r="F60">
        <f t="shared" ca="1" si="5"/>
        <v>8</v>
      </c>
      <c r="G60">
        <f t="shared" ca="1" si="6"/>
        <v>0</v>
      </c>
      <c r="H60">
        <f t="shared" ca="1" si="7"/>
        <v>0</v>
      </c>
      <c r="I60">
        <f t="shared" ca="1" si="8"/>
        <v>0</v>
      </c>
      <c r="J60">
        <f t="shared" ca="1" si="9"/>
        <v>0</v>
      </c>
      <c r="K60">
        <f ca="1">IF(OR($C60="S",$C60=0),0,MATCH(OFFSET($D60,0,$C60)+IF($C60&lt;&gt;1,1,COUNTIF(QCI!$A$13:$A$24,ORÇAMENTO!E60)),OFFSET($D60,1,$C60,ROW($C$727)-ROW($C60)),0))</f>
        <v>0</v>
      </c>
      <c r="L60" s="116" t="str">
        <f t="shared" ca="1" si="10"/>
        <v/>
      </c>
      <c r="M60" s="117" t="s">
        <v>199</v>
      </c>
      <c r="N60" s="118" t="str">
        <f t="shared" ca="1" si="11"/>
        <v>Serviço</v>
      </c>
      <c r="O60" s="119" t="str">
        <f t="shared" ca="1" si="12"/>
        <v>-</v>
      </c>
      <c r="P60" s="120" t="s">
        <v>247</v>
      </c>
      <c r="Q60" s="121" t="s">
        <v>490</v>
      </c>
      <c r="R60" s="122" t="str">
        <f ca="1">IF($C60="S",REFERENCIA.Descricao,"(digite a descrição aqui)")</f>
        <v>(abra o arquivo 'Referência 06-2024.xlsm)</v>
      </c>
      <c r="S60" s="123" t="str">
        <f ca="1">REFERENCIA.Unidade</f>
        <v>-</v>
      </c>
      <c r="T60" s="124">
        <f ca="1">OFFSET(CÁLCULO!H$15,ROW($T60)-ROW(T$15),0)</f>
        <v>46.94</v>
      </c>
      <c r="U60" s="125">
        <f t="shared" ca="1" si="17"/>
        <v>0</v>
      </c>
      <c r="V60" s="126" t="s">
        <v>156</v>
      </c>
      <c r="W60" s="124">
        <f ca="1">IF($C60="S",ROUND(IF(TIPOORCAMENTO="Proposto",ORÇAMENTO.CustoUnitario*(1+$AH60),ORÇAMENTO.PrecoUnitarioLicitado),15-13*$AF$10),0)</f>
        <v>0</v>
      </c>
      <c r="X60" s="127">
        <f ca="1">IF($C60="S",IF(Import.TipoArredondamento&lt;&gt;"TransfereGOV",VTOTAL1,SUM(OFFSET(CÁLCULO!$AI$15,ROW($X60)-ROW($X$15),1):OFFSET(CÁLCULO!$BB$15,ROW($X60)-ROW($X$15),-1))),IF($C60=0,0,ROUND(SomaAgrup,15-13*$AF$11)))</f>
        <v>0</v>
      </c>
      <c r="Y60" s="128" t="s">
        <v>245</v>
      </c>
      <c r="Z60" t="str">
        <f t="shared" ca="1" si="13"/>
        <v/>
      </c>
      <c r="AA60" s="129">
        <f ca="1">IF($C60="S",IF($Z60="CP",$X60,IF($Z60="RA",(($X60)*QCI!$AA$3),0)),SomaAgrup)</f>
        <v>0</v>
      </c>
      <c r="AB60" s="130">
        <f t="shared" ca="1" si="14"/>
        <v>0</v>
      </c>
      <c r="AC60" s="131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t="str">
        <f ca="1">IF(C60&lt;=CRONO.NivelExibicao,MAX($AD$15:OFFSET(AD60,-1,0))+IF($C60&lt;&gt;1,1,MAX(1,COUNTIF(QCI!$A$13:$A$24,OFFSET($E60,-1,0)))),"")</f>
        <v/>
      </c>
      <c r="AE60" s="7" t="str">
        <f ca="1">IF(AND($C60="S",ORÇAMENTO.CodBarra&lt;&gt;""),IF(ORÇAMENTO.Fonte="",ORÇAMENTO.CodBarra,CONCATENATE(ORÇAMENTO.Fonte," ",ORÇAMENTO.CodBarra)))</f>
        <v>SINAPI 92763</v>
      </c>
      <c r="AF60" s="13" t="str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06-2024.xlsm)</v>
      </c>
      <c r="AG60" s="498">
        <f ca="1">ROUND(IF(DESONERACAO="sim",REFERENCIA.Desonerado,REFERENCIA.NaoDesonerado),2)</f>
        <v>0</v>
      </c>
      <c r="AH60" s="499">
        <f t="shared" ca="1" si="15"/>
        <v>0.2432</v>
      </c>
      <c r="AJ60" s="501"/>
      <c r="AL60" s="527"/>
      <c r="AM60" s="381">
        <f t="shared" ca="1" si="0"/>
        <v>0</v>
      </c>
      <c r="AN60" s="566">
        <f t="shared" ca="1" si="16"/>
        <v>0</v>
      </c>
    </row>
    <row r="61" spans="1:40" ht="38.25" x14ac:dyDescent="0.2">
      <c r="A61" t="str">
        <f t="shared" si="1"/>
        <v>S</v>
      </c>
      <c r="B61">
        <f t="shared" ca="1" si="2"/>
        <v>2</v>
      </c>
      <c r="C61" t="str">
        <f t="shared" ca="1" si="3"/>
        <v>S</v>
      </c>
      <c r="D61">
        <f t="shared" ca="1" si="4"/>
        <v>0</v>
      </c>
      <c r="E61">
        <f ca="1">IF($C61=1,OFFSET(E61,-1,0)+MAX(1,COUNTIF(QCI!$A$13:$A$24,OFFSET(ORÇAMENTO!E61,-1,0))),OFFSET(E61,-1,0))</f>
        <v>1</v>
      </c>
      <c r="F61">
        <f t="shared" ca="1" si="5"/>
        <v>8</v>
      </c>
      <c r="G61">
        <f t="shared" ca="1" si="6"/>
        <v>0</v>
      </c>
      <c r="H61">
        <f t="shared" ca="1" si="7"/>
        <v>0</v>
      </c>
      <c r="I61">
        <f t="shared" ca="1" si="8"/>
        <v>0</v>
      </c>
      <c r="J61">
        <f t="shared" ca="1" si="9"/>
        <v>0</v>
      </c>
      <c r="K61">
        <f ca="1">IF(OR($C61="S",$C61=0),0,MATCH(OFFSET($D61,0,$C61)+IF($C61&lt;&gt;1,1,COUNTIF(QCI!$A$13:$A$24,ORÇAMENTO!E61)),OFFSET($D61,1,$C61,ROW($C$727)-ROW($C61)),0))</f>
        <v>0</v>
      </c>
      <c r="L61" s="116" t="str">
        <f t="shared" ca="1" si="10"/>
        <v/>
      </c>
      <c r="M61" s="117" t="s">
        <v>199</v>
      </c>
      <c r="N61" s="118" t="str">
        <f t="shared" ca="1" si="11"/>
        <v>Serviço</v>
      </c>
      <c r="O61" s="119" t="str">
        <f t="shared" ca="1" si="12"/>
        <v>-</v>
      </c>
      <c r="P61" s="120" t="s">
        <v>247</v>
      </c>
      <c r="Q61" s="121" t="s">
        <v>491</v>
      </c>
      <c r="R61" s="122" t="str">
        <f ca="1">IF($C61="S",REFERENCIA.Descricao,"(digite a descrição aqui)")</f>
        <v>(abra o arquivo 'Referência 06-2024.xlsm)</v>
      </c>
      <c r="S61" s="123" t="str">
        <f ca="1">REFERENCIA.Unidade</f>
        <v>-</v>
      </c>
      <c r="T61" s="124">
        <f ca="1">OFFSET(CÁLCULO!H$15,ROW($T61)-ROW(T$15),0)</f>
        <v>880.4</v>
      </c>
      <c r="U61" s="125">
        <f t="shared" ca="1" si="17"/>
        <v>0</v>
      </c>
      <c r="V61" s="126" t="s">
        <v>156</v>
      </c>
      <c r="W61" s="124">
        <f ca="1">IF($C61="S",ROUND(IF(TIPOORCAMENTO="Proposto",ORÇAMENTO.CustoUnitario*(1+$AH61),ORÇAMENTO.PrecoUnitarioLicitado),15-13*$AF$10),0)</f>
        <v>0</v>
      </c>
      <c r="X61" s="127">
        <f ca="1">IF($C61="S",IF(Import.TipoArredondamento&lt;&gt;"TransfereGOV",VTOTAL1,SUM(OFFSET(CÁLCULO!$AI$15,ROW($X61)-ROW($X$15),1):OFFSET(CÁLCULO!$BB$15,ROW($X61)-ROW($X$15),-1))),IF($C61=0,0,ROUND(SomaAgrup,15-13*$AF$11)))</f>
        <v>0</v>
      </c>
      <c r="Y61" s="128" t="s">
        <v>245</v>
      </c>
      <c r="Z61" t="str">
        <f t="shared" ca="1" si="13"/>
        <v/>
      </c>
      <c r="AA61" s="129">
        <f ca="1">IF($C61="S",IF($Z61="CP",$X61,IF($Z61="RA",(($X61)*QCI!$AA$3),0)),SomaAgrup)</f>
        <v>0</v>
      </c>
      <c r="AB61" s="130">
        <f t="shared" ca="1" si="14"/>
        <v>0</v>
      </c>
      <c r="AC61" s="131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 t="str">
        <f ca="1">IF(C61&lt;=CRONO.NivelExibicao,MAX($AD$15:OFFSET(AD61,-1,0))+IF($C61&lt;&gt;1,1,MAX(1,COUNTIF(QCI!$A$13:$A$24,OFFSET($E61,-1,0)))),"")</f>
        <v/>
      </c>
      <c r="AE61" s="7" t="str">
        <f ca="1">IF(AND($C61="S",ORÇAMENTO.CodBarra&lt;&gt;""),IF(ORÇAMENTO.Fonte="",ORÇAMENTO.CodBarra,CONCATENATE(ORÇAMENTO.Fonte," ",ORÇAMENTO.CodBarra)))</f>
        <v>SINAPI 92759</v>
      </c>
      <c r="AF61" s="13" t="str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06-2024.xlsm)</v>
      </c>
      <c r="AG61" s="498">
        <f ca="1">ROUND(IF(DESONERACAO="sim",REFERENCIA.Desonerado,REFERENCIA.NaoDesonerado),2)</f>
        <v>0</v>
      </c>
      <c r="AH61" s="499">
        <f t="shared" ca="1" si="15"/>
        <v>0.2432</v>
      </c>
      <c r="AJ61" s="501"/>
      <c r="AL61" s="527"/>
      <c r="AM61" s="381">
        <f t="shared" ca="1" si="0"/>
        <v>0</v>
      </c>
      <c r="AN61" s="566">
        <f t="shared" ca="1" si="16"/>
        <v>0</v>
      </c>
    </row>
    <row r="62" spans="1:40" ht="25.5" x14ac:dyDescent="0.2">
      <c r="A62" t="str">
        <f t="shared" si="1"/>
        <v>S</v>
      </c>
      <c r="B62">
        <f t="shared" ca="1" si="2"/>
        <v>2</v>
      </c>
      <c r="C62" t="str">
        <f t="shared" ca="1" si="3"/>
        <v>S</v>
      </c>
      <c r="D62">
        <f t="shared" ca="1" si="4"/>
        <v>0</v>
      </c>
      <c r="E62">
        <f ca="1">IF($C62=1,OFFSET(E62,-1,0)+MAX(1,COUNTIF(QCI!$A$13:$A$24,OFFSET(ORÇAMENTO!E62,-1,0))),OFFSET(E62,-1,0))</f>
        <v>1</v>
      </c>
      <c r="F62">
        <f t="shared" ca="1" si="5"/>
        <v>8</v>
      </c>
      <c r="G62">
        <f t="shared" ca="1" si="6"/>
        <v>0</v>
      </c>
      <c r="H62">
        <f t="shared" ca="1" si="7"/>
        <v>0</v>
      </c>
      <c r="I62">
        <f t="shared" ca="1" si="8"/>
        <v>0</v>
      </c>
      <c r="J62">
        <f t="shared" ca="1" si="9"/>
        <v>0</v>
      </c>
      <c r="K62">
        <f ca="1">IF(OR($C62="S",$C62=0),0,MATCH(OFFSET($D62,0,$C62)+IF($C62&lt;&gt;1,1,COUNTIF(QCI!$A$13:$A$24,ORÇAMENTO!E62)),OFFSET($D62,1,$C62,ROW($C$727)-ROW($C62)),0))</f>
        <v>0</v>
      </c>
      <c r="L62" s="116" t="str">
        <f t="shared" ca="1" si="10"/>
        <v/>
      </c>
      <c r="M62" s="117" t="s">
        <v>199</v>
      </c>
      <c r="N62" s="118" t="str">
        <f t="shared" ca="1" si="11"/>
        <v>Serviço</v>
      </c>
      <c r="O62" s="119" t="str">
        <f t="shared" ca="1" si="12"/>
        <v>-</v>
      </c>
      <c r="P62" s="120" t="s">
        <v>247</v>
      </c>
      <c r="Q62" s="121" t="s">
        <v>492</v>
      </c>
      <c r="R62" s="122" t="str">
        <f ca="1">IF($C62="S",REFERENCIA.Descricao,"(digite a descrição aqui)")</f>
        <v>(abra o arquivo 'Referência 06-2024.xlsm)</v>
      </c>
      <c r="S62" s="123" t="str">
        <f ca="1">REFERENCIA.Unidade</f>
        <v>-</v>
      </c>
      <c r="T62" s="124">
        <f ca="1">OFFSET(CÁLCULO!H$15,ROW($T62)-ROW(T$15),0)</f>
        <v>29.76</v>
      </c>
      <c r="U62" s="125">
        <f t="shared" ca="1" si="17"/>
        <v>0</v>
      </c>
      <c r="V62" s="126" t="s">
        <v>156</v>
      </c>
      <c r="W62" s="124">
        <f ca="1">IF($C62="S",ROUND(IF(TIPOORCAMENTO="Proposto",ORÇAMENTO.CustoUnitario*(1+$AH62),ORÇAMENTO.PrecoUnitarioLicitado),15-13*$AF$10),0)</f>
        <v>0</v>
      </c>
      <c r="X62" s="127">
        <f ca="1">IF($C62="S",IF(Import.TipoArredondamento&lt;&gt;"TransfereGOV",VTOTAL1,SUM(OFFSET(CÁLCULO!$AI$15,ROW($X62)-ROW($X$15),1):OFFSET(CÁLCULO!$BB$15,ROW($X62)-ROW($X$15),-1))),IF($C62=0,0,ROUND(SomaAgrup,15-13*$AF$11)))</f>
        <v>0</v>
      </c>
      <c r="Y62" s="128" t="s">
        <v>245</v>
      </c>
      <c r="Z62" t="str">
        <f t="shared" ca="1" si="13"/>
        <v/>
      </c>
      <c r="AA62" s="129">
        <f ca="1">IF($C62="S",IF($Z62="CP",$X62,IF($Z62="RA",(($X62)*QCI!$AA$3),0)),SomaAgrup)</f>
        <v>0</v>
      </c>
      <c r="AB62" s="130">
        <f t="shared" ca="1" si="14"/>
        <v>0</v>
      </c>
      <c r="AC62" s="131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t="str">
        <f ca="1">IF(C62&lt;=CRONO.NivelExibicao,MAX($AD$15:OFFSET(AD62,-1,0))+IF($C62&lt;&gt;1,1,MAX(1,COUNTIF(QCI!$A$13:$A$24,OFFSET($E62,-1,0)))),"")</f>
        <v/>
      </c>
      <c r="AE62" s="7" t="str">
        <f ca="1">IF(AND($C62="S",ORÇAMENTO.CodBarra&lt;&gt;""),IF(ORÇAMENTO.Fonte="",ORÇAMENTO.CodBarra,CONCATENATE(ORÇAMENTO.Fonte," ",ORÇAMENTO.CodBarra)))</f>
        <v>SINAPI 103672</v>
      </c>
      <c r="AF62" s="13" t="str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(abra o arquivo 'Referência 06-2024.xlsm)</v>
      </c>
      <c r="AG62" s="498">
        <f ca="1">ROUND(IF(DESONERACAO="sim",REFERENCIA.Desonerado,REFERENCIA.NaoDesonerado),2)</f>
        <v>0</v>
      </c>
      <c r="AH62" s="499">
        <f t="shared" ca="1" si="15"/>
        <v>0.2432</v>
      </c>
      <c r="AJ62" s="501"/>
      <c r="AL62" s="527"/>
      <c r="AM62" s="381">
        <f t="shared" ca="1" si="0"/>
        <v>0</v>
      </c>
      <c r="AN62" s="566">
        <f t="shared" ca="1" si="16"/>
        <v>0</v>
      </c>
    </row>
    <row r="63" spans="1:40" ht="25.5" x14ac:dyDescent="0.2">
      <c r="A63">
        <f t="shared" si="1"/>
        <v>2</v>
      </c>
      <c r="B63">
        <f t="shared" ca="1" si="2"/>
        <v>2</v>
      </c>
      <c r="C63">
        <f t="shared" ca="1" si="3"/>
        <v>2</v>
      </c>
      <c r="D63">
        <f t="shared" ca="1" si="4"/>
        <v>11</v>
      </c>
      <c r="E63">
        <f ca="1">IF($C63=1,OFFSET(E63,-1,0)+MAX(1,COUNTIF(QCI!$A$13:$A$24,OFFSET(ORÇAMENTO!E63,-1,0))),OFFSET(E63,-1,0))</f>
        <v>1</v>
      </c>
      <c r="F63">
        <f t="shared" ca="1" si="5"/>
        <v>9</v>
      </c>
      <c r="G63">
        <f t="shared" ca="1" si="6"/>
        <v>0</v>
      </c>
      <c r="H63">
        <f t="shared" ca="1" si="7"/>
        <v>0</v>
      </c>
      <c r="I63">
        <f t="shared" ca="1" si="8"/>
        <v>0</v>
      </c>
      <c r="J63">
        <f t="shared" ca="1" si="9"/>
        <v>664</v>
      </c>
      <c r="K63">
        <f ca="1">IF(OR($C63="S",$C63=0),0,MATCH(OFFSET($D63,0,$C63)+IF($C63&lt;&gt;1,1,COUNTIF(QCI!$A$13:$A$24,ORÇAMENTO!E63)),OFFSET($D63,1,$C63,ROW($C$727)-ROW($C63)),0))</f>
        <v>11</v>
      </c>
      <c r="L63" s="116" t="str">
        <f t="shared" ca="1" si="10"/>
        <v>F</v>
      </c>
      <c r="M63" s="117" t="s">
        <v>196</v>
      </c>
      <c r="N63" s="118" t="str">
        <f t="shared" ca="1" si="11"/>
        <v>Nível 2</v>
      </c>
      <c r="O63" s="119" t="str">
        <f t="shared" ca="1" si="12"/>
        <v>1.9.</v>
      </c>
      <c r="P63" s="120" t="s">
        <v>247</v>
      </c>
      <c r="Q63" s="121"/>
      <c r="R63" s="122" t="s">
        <v>1037</v>
      </c>
      <c r="S63" s="123" t="str">
        <f ca="1">REFERENCIA.Unidade</f>
        <v>-</v>
      </c>
      <c r="T63" s="124">
        <f ca="1">OFFSET(CÁLCULO!H$15,ROW($T63)-ROW(T$15),0)</f>
        <v>0</v>
      </c>
      <c r="U63" s="125">
        <f t="shared" ca="1" si="17"/>
        <v>0</v>
      </c>
      <c r="V63" s="126" t="s">
        <v>156</v>
      </c>
      <c r="W63" s="124">
        <f ca="1">IF($C63="S",ROUND(IF(TIPOORCAMENTO="Proposto",ORÇAMENTO.CustoUnitario*(1+$AH63),ORÇAMENTO.PrecoUnitarioLicitado),15-13*$AF$10),0)</f>
        <v>0</v>
      </c>
      <c r="X63" s="127">
        <f ca="1">IF($C63="S",IF(Import.TipoArredondamento&lt;&gt;"TransfereGOV",VTOTAL1,SUM(OFFSET(CÁLCULO!$AI$15,ROW($X63)-ROW($X$15),1):OFFSET(CÁLCULO!$BB$15,ROW($X63)-ROW($X$15),-1))),IF($C63=0,0,ROUND(SomaAgrup,15-13*$AF$11)))</f>
        <v>0</v>
      </c>
      <c r="Y63" s="128" t="s">
        <v>245</v>
      </c>
      <c r="Z63" t="str">
        <f t="shared" ca="1" si="13"/>
        <v/>
      </c>
      <c r="AA63" s="129">
        <f ca="1">IF($C63="S",IF($Z63="CP",$X63,IF($Z63="RA",(($X63)*QCI!$AA$3),0)),SomaAgrup)</f>
        <v>0</v>
      </c>
      <c r="AB63" s="130">
        <f t="shared" ca="1" si="14"/>
        <v>0</v>
      </c>
      <c r="AC63" s="131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>
        <f ca="1">IF(C63&lt;=CRONO.NivelExibicao,MAX($AD$15:OFFSET(AD63,-1,0))+IF($C63&lt;&gt;1,1,MAX(1,COUNTIF(QCI!$A$13:$A$24,OFFSET($E63,-1,0)))),"")</f>
        <v>10</v>
      </c>
      <c r="AE63" s="7" t="b">
        <f ca="1">IF(AND($C63="S",ORÇAMENTO.CodBarra&lt;&gt;""),IF(ORÇAMENTO.Fonte="",ORÇAMENTO.CodBarra,CONCATENATE(ORÇAMENTO.Fonte," ",ORÇAMENTO.CodBarra)))</f>
        <v>0</v>
      </c>
      <c r="AF63" s="13" t="str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(abra o arquivo 'Referência 06-2024.xlsm)</v>
      </c>
      <c r="AG63" s="498">
        <f ca="1">ROUND(IF(DESONERACAO="sim",REFERENCIA.Desonerado,REFERENCIA.NaoDesonerado),2)</f>
        <v>0</v>
      </c>
      <c r="AH63" s="499">
        <f t="shared" ca="1" si="15"/>
        <v>0.2432</v>
      </c>
      <c r="AJ63" s="501"/>
      <c r="AL63" s="527"/>
      <c r="AM63" s="381">
        <f t="shared" ca="1" si="0"/>
        <v>0</v>
      </c>
      <c r="AN63" s="566">
        <f t="shared" ca="1" si="16"/>
        <v>0</v>
      </c>
    </row>
    <row r="64" spans="1:40" ht="25.5" x14ac:dyDescent="0.2">
      <c r="A64" t="str">
        <f t="shared" si="1"/>
        <v>S</v>
      </c>
      <c r="B64">
        <f t="shared" ca="1" si="2"/>
        <v>2</v>
      </c>
      <c r="C64" t="str">
        <f t="shared" ca="1" si="3"/>
        <v>S</v>
      </c>
      <c r="D64">
        <f t="shared" ca="1" si="4"/>
        <v>0</v>
      </c>
      <c r="E64">
        <f ca="1">IF($C64=1,OFFSET(E64,-1,0)+MAX(1,COUNTIF(QCI!$A$13:$A$24,OFFSET(ORÇAMENTO!E64,-1,0))),OFFSET(E64,-1,0))</f>
        <v>1</v>
      </c>
      <c r="F64">
        <f t="shared" ca="1" si="5"/>
        <v>9</v>
      </c>
      <c r="G64">
        <f t="shared" ca="1" si="6"/>
        <v>0</v>
      </c>
      <c r="H64">
        <f t="shared" ca="1" si="7"/>
        <v>0</v>
      </c>
      <c r="I64">
        <f t="shared" ca="1" si="8"/>
        <v>0</v>
      </c>
      <c r="J64">
        <f t="shared" ca="1" si="9"/>
        <v>0</v>
      </c>
      <c r="K64">
        <f ca="1">IF(OR($C64="S",$C64=0),0,MATCH(OFFSET($D64,0,$C64)+IF($C64&lt;&gt;1,1,COUNTIF(QCI!$A$13:$A$24,ORÇAMENTO!E64)),OFFSET($D64,1,$C64,ROW($C$727)-ROW($C64)),0))</f>
        <v>0</v>
      </c>
      <c r="L64" s="116" t="str">
        <f t="shared" ca="1" si="10"/>
        <v/>
      </c>
      <c r="M64" s="117" t="s">
        <v>199</v>
      </c>
      <c r="N64" s="118" t="str">
        <f t="shared" ca="1" si="11"/>
        <v>Serviço</v>
      </c>
      <c r="O64" s="119" t="str">
        <f t="shared" ca="1" si="12"/>
        <v>-</v>
      </c>
      <c r="P64" s="120" t="s">
        <v>247</v>
      </c>
      <c r="Q64" s="121" t="s">
        <v>475</v>
      </c>
      <c r="R64" s="122" t="str">
        <f ca="1">IF($C64="S",REFERENCIA.Descricao,"(digite a descrição aqui)")</f>
        <v>(abra o arquivo 'Referência 06-2024.xlsm)</v>
      </c>
      <c r="S64" s="123" t="str">
        <f ca="1">REFERENCIA.Unidade</f>
        <v>-</v>
      </c>
      <c r="T64" s="124">
        <f ca="1">OFFSET(CÁLCULO!H$15,ROW($T64)-ROW(T$15),0)</f>
        <v>191</v>
      </c>
      <c r="U64" s="125">
        <f t="shared" ca="1" si="17"/>
        <v>0</v>
      </c>
      <c r="V64" s="126" t="s">
        <v>156</v>
      </c>
      <c r="W64" s="124">
        <f ca="1">IF($C64="S",ROUND(IF(TIPOORCAMENTO="Proposto",ORÇAMENTO.CustoUnitario*(1+$AH64),ORÇAMENTO.PrecoUnitarioLicitado),15-13*$AF$10),0)</f>
        <v>0</v>
      </c>
      <c r="X64" s="127">
        <f ca="1">IF($C64="S",IF(Import.TipoArredondamento&lt;&gt;"TransfereGOV",VTOTAL1,SUM(OFFSET(CÁLCULO!$AI$15,ROW($X64)-ROW($X$15),1):OFFSET(CÁLCULO!$BB$15,ROW($X64)-ROW($X$15),-1))),IF($C64=0,0,ROUND(SomaAgrup,15-13*$AF$11)))</f>
        <v>0</v>
      </c>
      <c r="Y64" s="128" t="s">
        <v>245</v>
      </c>
      <c r="Z64" t="str">
        <f t="shared" ca="1" si="13"/>
        <v/>
      </c>
      <c r="AA64" s="129">
        <f ca="1">IF($C64="S",IF($Z64="CP",$X64,IF($Z64="RA",(($X64)*QCI!$AA$3),0)),SomaAgrup)</f>
        <v>0</v>
      </c>
      <c r="AB64" s="130">
        <f t="shared" ca="1" si="14"/>
        <v>0</v>
      </c>
      <c r="AC64" s="131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t="str">
        <f ca="1">IF(C64&lt;=CRONO.NivelExibicao,MAX($AD$15:OFFSET(AD64,-1,0))+IF($C64&lt;&gt;1,1,MAX(1,COUNTIF(QCI!$A$13:$A$24,OFFSET($E64,-1,0)))),"")</f>
        <v/>
      </c>
      <c r="AE64" s="7" t="str">
        <f ca="1">IF(AND($C64="S",ORÇAMENTO.CodBarra&lt;&gt;""),IF(ORÇAMENTO.Fonte="",ORÇAMENTO.CodBarra,CONCATENATE(ORÇAMENTO.Fonte," ",ORÇAMENTO.CodBarra)))</f>
        <v>SINAPI 96619</v>
      </c>
      <c r="AF64" s="13" t="str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(abra o arquivo 'Referência 06-2024.xlsm)</v>
      </c>
      <c r="AG64" s="498">
        <f ca="1">ROUND(IF(DESONERACAO="sim",REFERENCIA.Desonerado,REFERENCIA.NaoDesonerado),2)</f>
        <v>0</v>
      </c>
      <c r="AH64" s="499">
        <f t="shared" ca="1" si="15"/>
        <v>0.2432</v>
      </c>
      <c r="AJ64" s="501"/>
      <c r="AL64" s="527"/>
      <c r="AM64" s="381">
        <f t="shared" ca="1" si="0"/>
        <v>0</v>
      </c>
      <c r="AN64" s="566">
        <f t="shared" ca="1" si="16"/>
        <v>0</v>
      </c>
    </row>
    <row r="65" spans="1:40" ht="51" x14ac:dyDescent="0.2">
      <c r="A65" t="str">
        <f t="shared" si="1"/>
        <v>S</v>
      </c>
      <c r="B65">
        <f t="shared" ca="1" si="2"/>
        <v>2</v>
      </c>
      <c r="C65" t="str">
        <f t="shared" ca="1" si="3"/>
        <v>S</v>
      </c>
      <c r="D65">
        <f t="shared" ca="1" si="4"/>
        <v>0</v>
      </c>
      <c r="E65">
        <f ca="1">IF($C65=1,OFFSET(E65,-1,0)+MAX(1,COUNTIF(QCI!$A$13:$A$24,OFFSET(ORÇAMENTO!E65,-1,0))),OFFSET(E65,-1,0))</f>
        <v>1</v>
      </c>
      <c r="F65">
        <f t="shared" ca="1" si="5"/>
        <v>9</v>
      </c>
      <c r="G65">
        <f t="shared" ca="1" si="6"/>
        <v>0</v>
      </c>
      <c r="H65">
        <f t="shared" ca="1" si="7"/>
        <v>0</v>
      </c>
      <c r="I65">
        <f t="shared" ca="1" si="8"/>
        <v>0</v>
      </c>
      <c r="J65">
        <f t="shared" ca="1" si="9"/>
        <v>0</v>
      </c>
      <c r="K65">
        <f ca="1">IF(OR($C65="S",$C65=0),0,MATCH(OFFSET($D65,0,$C65)+IF($C65&lt;&gt;1,1,COUNTIF(QCI!$A$13:$A$24,ORÇAMENTO!E65)),OFFSET($D65,1,$C65,ROW($C$727)-ROW($C65)),0))</f>
        <v>0</v>
      </c>
      <c r="L65" s="116" t="str">
        <f t="shared" ca="1" si="10"/>
        <v/>
      </c>
      <c r="M65" s="117" t="s">
        <v>199</v>
      </c>
      <c r="N65" s="118" t="str">
        <f t="shared" ca="1" si="11"/>
        <v>Serviço</v>
      </c>
      <c r="O65" s="119" t="str">
        <f t="shared" ca="1" si="12"/>
        <v>-</v>
      </c>
      <c r="P65" s="120" t="s">
        <v>247</v>
      </c>
      <c r="Q65" s="121" t="s">
        <v>488</v>
      </c>
      <c r="R65" s="122" t="str">
        <f ca="1">IF($C65="S",REFERENCIA.Descricao,"(digite a descrição aqui)")</f>
        <v>(abra o arquivo 'Referência 06-2024.xlsm)</v>
      </c>
      <c r="S65" s="123" t="str">
        <f ca="1">REFERENCIA.Unidade</f>
        <v>-</v>
      </c>
      <c r="T65" s="124">
        <f ca="1">OFFSET(CÁLCULO!H$15,ROW($T65)-ROW(T$15),0)</f>
        <v>1673.1</v>
      </c>
      <c r="U65" s="125">
        <f t="shared" ca="1" si="17"/>
        <v>0</v>
      </c>
      <c r="V65" s="126" t="s">
        <v>156</v>
      </c>
      <c r="W65" s="124">
        <f ca="1">IF($C65="S",ROUND(IF(TIPOORCAMENTO="Proposto",ORÇAMENTO.CustoUnitario*(1+$AH65),ORÇAMENTO.PrecoUnitarioLicitado),15-13*$AF$10),0)</f>
        <v>0</v>
      </c>
      <c r="X65" s="127">
        <f ca="1">IF($C65="S",IF(Import.TipoArredondamento&lt;&gt;"TransfereGOV",VTOTAL1,SUM(OFFSET(CÁLCULO!$AI$15,ROW($X65)-ROW($X$15),1):OFFSET(CÁLCULO!$BB$15,ROW($X65)-ROW($X$15),-1))),IF($C65=0,0,ROUND(SomaAgrup,15-13*$AF$11)))</f>
        <v>0</v>
      </c>
      <c r="Y65" s="128" t="s">
        <v>245</v>
      </c>
      <c r="Z65" t="str">
        <f t="shared" ca="1" si="13"/>
        <v/>
      </c>
      <c r="AA65" s="129">
        <f ca="1">IF($C65="S",IF($Z65="CP",$X65,IF($Z65="RA",(($X65)*QCI!$AA$3),0)),SomaAgrup)</f>
        <v>0</v>
      </c>
      <c r="AB65" s="130">
        <f t="shared" ca="1" si="14"/>
        <v>0</v>
      </c>
      <c r="AC65" s="131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 t="str">
        <f ca="1">IF(C65&lt;=CRONO.NivelExibicao,MAX($AD$15:OFFSET(AD65,-1,0))+IF($C65&lt;&gt;1,1,MAX(1,COUNTIF(QCI!$A$13:$A$24,OFFSET($E65,-1,0)))),"")</f>
        <v/>
      </c>
      <c r="AE65" s="7" t="str">
        <f ca="1">IF(AND($C65="S",ORÇAMENTO.CodBarra&lt;&gt;""),IF(ORÇAMENTO.Fonte="",ORÇAMENTO.CodBarra,CONCATENATE(ORÇAMENTO.Fonte," ",ORÇAMENTO.CodBarra)))</f>
        <v>SINAPI 92443</v>
      </c>
      <c r="AF65" s="13" t="str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(abra o arquivo 'Referência 06-2024.xlsm)</v>
      </c>
      <c r="AG65" s="498">
        <f ca="1">ROUND(IF(DESONERACAO="sim",REFERENCIA.Desonerado,REFERENCIA.NaoDesonerado),2)</f>
        <v>0</v>
      </c>
      <c r="AH65" s="499">
        <f t="shared" ca="1" si="15"/>
        <v>0.2432</v>
      </c>
      <c r="AJ65" s="501"/>
      <c r="AL65" s="527"/>
      <c r="AM65" s="381">
        <f t="shared" ca="1" si="0"/>
        <v>0</v>
      </c>
      <c r="AN65" s="566">
        <f t="shared" ca="1" si="16"/>
        <v>0</v>
      </c>
    </row>
    <row r="66" spans="1:40" ht="38.25" x14ac:dyDescent="0.2">
      <c r="A66" t="str">
        <f t="shared" si="1"/>
        <v>S</v>
      </c>
      <c r="B66">
        <f t="shared" ca="1" si="2"/>
        <v>2</v>
      </c>
      <c r="C66" t="str">
        <f t="shared" ca="1" si="3"/>
        <v>S</v>
      </c>
      <c r="D66">
        <f t="shared" ca="1" si="4"/>
        <v>0</v>
      </c>
      <c r="E66">
        <f ca="1">IF($C66=1,OFFSET(E66,-1,0)+MAX(1,COUNTIF(QCI!$A$13:$A$24,OFFSET(ORÇAMENTO!E66,-1,0))),OFFSET(E66,-1,0))</f>
        <v>1</v>
      </c>
      <c r="F66">
        <f t="shared" ca="1" si="5"/>
        <v>9</v>
      </c>
      <c r="G66">
        <f t="shared" ca="1" si="6"/>
        <v>0</v>
      </c>
      <c r="H66">
        <f t="shared" ca="1" si="7"/>
        <v>0</v>
      </c>
      <c r="I66">
        <f t="shared" ca="1" si="8"/>
        <v>0</v>
      </c>
      <c r="J66">
        <f t="shared" ca="1" si="9"/>
        <v>0</v>
      </c>
      <c r="K66">
        <f ca="1">IF(OR($C66="S",$C66=0),0,MATCH(OFFSET($D66,0,$C66)+IF($C66&lt;&gt;1,1,COUNTIF(QCI!$A$13:$A$24,ORÇAMENTO!E66)),OFFSET($D66,1,$C66,ROW($C$727)-ROW($C66)),0))</f>
        <v>0</v>
      </c>
      <c r="L66" s="116" t="str">
        <f t="shared" ca="1" si="10"/>
        <v/>
      </c>
      <c r="M66" s="117" t="s">
        <v>199</v>
      </c>
      <c r="N66" s="118" t="str">
        <f t="shared" ca="1" si="11"/>
        <v>Serviço</v>
      </c>
      <c r="O66" s="119" t="str">
        <f t="shared" ca="1" si="12"/>
        <v>-</v>
      </c>
      <c r="P66" s="120" t="s">
        <v>247</v>
      </c>
      <c r="Q66" s="121" t="s">
        <v>493</v>
      </c>
      <c r="R66" s="122" t="str">
        <f ca="1">IF($C66="S",REFERENCIA.Descricao,"(digite a descrição aqui)")</f>
        <v>(abra o arquivo 'Referência 06-2024.xlsm)</v>
      </c>
      <c r="S66" s="123" t="str">
        <f ca="1">REFERENCIA.Unidade</f>
        <v>-</v>
      </c>
      <c r="T66" s="124">
        <f ca="1">OFFSET(CÁLCULO!H$15,ROW($T66)-ROW(T$15),0)</f>
        <v>23.7</v>
      </c>
      <c r="U66" s="125">
        <f t="shared" ca="1" si="17"/>
        <v>0</v>
      </c>
      <c r="V66" s="126" t="s">
        <v>156</v>
      </c>
      <c r="W66" s="124">
        <f ca="1">IF($C66="S",ROUND(IF(TIPOORCAMENTO="Proposto",ORÇAMENTO.CustoUnitario*(1+$AH66),ORÇAMENTO.PrecoUnitarioLicitado),15-13*$AF$10),0)</f>
        <v>0</v>
      </c>
      <c r="X66" s="127">
        <f ca="1">IF($C66="S",IF(Import.TipoArredondamento&lt;&gt;"TransfereGOV",VTOTAL1,SUM(OFFSET(CÁLCULO!$AI$15,ROW($X66)-ROW($X$15),1):OFFSET(CÁLCULO!$BB$15,ROW($X66)-ROW($X$15),-1))),IF($C66=0,0,ROUND(SomaAgrup,15-13*$AF$11)))</f>
        <v>0</v>
      </c>
      <c r="Y66" s="128" t="s">
        <v>245</v>
      </c>
      <c r="Z66" t="str">
        <f t="shared" ca="1" si="13"/>
        <v/>
      </c>
      <c r="AA66" s="129">
        <f ca="1">IF($C66="S",IF($Z66="CP",$X66,IF($Z66="RA",(($X66)*QCI!$AA$3),0)),SomaAgrup)</f>
        <v>0</v>
      </c>
      <c r="AB66" s="130">
        <f t="shared" ca="1" si="14"/>
        <v>0</v>
      </c>
      <c r="AC66" s="131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IF(C66&lt;=CRONO.NivelExibicao,MAX($AD$15:OFFSET(AD66,-1,0))+IF($C66&lt;&gt;1,1,MAX(1,COUNTIF(QCI!$A$13:$A$24,OFFSET($E66,-1,0)))),"")</f>
        <v/>
      </c>
      <c r="AE66" s="7" t="str">
        <f ca="1">IF(AND($C66="S",ORÇAMENTO.CodBarra&lt;&gt;""),IF(ORÇAMENTO.Fonte="",ORÇAMENTO.CodBarra,CONCATENATE(ORÇAMENTO.Fonte," ",ORÇAMENTO.CodBarra)))</f>
        <v>SINAPI 92760</v>
      </c>
      <c r="AF66" s="13" t="str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(abra o arquivo 'Referência 06-2024.xlsm)</v>
      </c>
      <c r="AG66" s="498">
        <f ca="1">ROUND(IF(DESONERACAO="sim",REFERENCIA.Desonerado,REFERENCIA.NaoDesonerado),2)</f>
        <v>0</v>
      </c>
      <c r="AH66" s="499">
        <f t="shared" ca="1" si="15"/>
        <v>0.2432</v>
      </c>
      <c r="AJ66" s="501"/>
      <c r="AL66" s="527"/>
      <c r="AM66" s="381">
        <f t="shared" ca="1" si="0"/>
        <v>0</v>
      </c>
      <c r="AN66" s="566">
        <f t="shared" ca="1" si="16"/>
        <v>0</v>
      </c>
    </row>
    <row r="67" spans="1:40" ht="38.25" x14ac:dyDescent="0.2">
      <c r="A67" t="str">
        <f t="shared" si="1"/>
        <v>S</v>
      </c>
      <c r="B67">
        <f t="shared" ca="1" si="2"/>
        <v>2</v>
      </c>
      <c r="C67" t="str">
        <f t="shared" ca="1" si="3"/>
        <v>S</v>
      </c>
      <c r="D67">
        <f t="shared" ca="1" si="4"/>
        <v>0</v>
      </c>
      <c r="E67">
        <f ca="1">IF($C67=1,OFFSET(E67,-1,0)+MAX(1,COUNTIF(QCI!$A$13:$A$24,OFFSET(ORÇAMENTO!E67,-1,0))),OFFSET(E67,-1,0))</f>
        <v>1</v>
      </c>
      <c r="F67">
        <f t="shared" ca="1" si="5"/>
        <v>9</v>
      </c>
      <c r="G67">
        <f t="shared" ca="1" si="6"/>
        <v>0</v>
      </c>
      <c r="H67">
        <f t="shared" ca="1" si="7"/>
        <v>0</v>
      </c>
      <c r="I67">
        <f t="shared" ca="1" si="8"/>
        <v>0</v>
      </c>
      <c r="J67">
        <f t="shared" ca="1" si="9"/>
        <v>0</v>
      </c>
      <c r="K67">
        <f ca="1">IF(OR($C67="S",$C67=0),0,MATCH(OFFSET($D67,0,$C67)+IF($C67&lt;&gt;1,1,COUNTIF(QCI!$A$13:$A$24,ORÇAMENTO!E67)),OFFSET($D67,1,$C67,ROW($C$727)-ROW($C67)),0))</f>
        <v>0</v>
      </c>
      <c r="L67" s="116" t="str">
        <f t="shared" ca="1" si="10"/>
        <v/>
      </c>
      <c r="M67" s="117" t="s">
        <v>199</v>
      </c>
      <c r="N67" s="118" t="str">
        <f t="shared" ca="1" si="11"/>
        <v>Serviço</v>
      </c>
      <c r="O67" s="119" t="str">
        <f t="shared" ca="1" si="12"/>
        <v>-</v>
      </c>
      <c r="P67" s="120" t="s">
        <v>247</v>
      </c>
      <c r="Q67" s="121" t="s">
        <v>494</v>
      </c>
      <c r="R67" s="122" t="str">
        <f ca="1">IF($C67="S",REFERENCIA.Descricao,"(digite a descrição aqui)")</f>
        <v>(abra o arquivo 'Referência 06-2024.xlsm)</v>
      </c>
      <c r="S67" s="123" t="str">
        <f ca="1">REFERENCIA.Unidade</f>
        <v>-</v>
      </c>
      <c r="T67" s="124">
        <f ca="1">OFFSET(CÁLCULO!H$15,ROW($T67)-ROW(T$15),0)</f>
        <v>2752.7</v>
      </c>
      <c r="U67" s="125">
        <f t="shared" ca="1" si="17"/>
        <v>0</v>
      </c>
      <c r="V67" s="126" t="s">
        <v>156</v>
      </c>
      <c r="W67" s="124">
        <f ca="1">IF($C67="S",ROUND(IF(TIPOORCAMENTO="Proposto",ORÇAMENTO.CustoUnitario*(1+$AH67),ORÇAMENTO.PrecoUnitarioLicitado),15-13*$AF$10),0)</f>
        <v>0</v>
      </c>
      <c r="X67" s="127">
        <f ca="1">IF($C67="S",IF(Import.TipoArredondamento&lt;&gt;"TransfereGOV",VTOTAL1,SUM(OFFSET(CÁLCULO!$AI$15,ROW($X67)-ROW($X$15),1):OFFSET(CÁLCULO!$BB$15,ROW($X67)-ROW($X$15),-1))),IF($C67=0,0,ROUND(SomaAgrup,15-13*$AF$11)))</f>
        <v>0</v>
      </c>
      <c r="Y67" s="128" t="s">
        <v>245</v>
      </c>
      <c r="Z67" t="str">
        <f t="shared" ca="1" si="13"/>
        <v/>
      </c>
      <c r="AA67" s="129">
        <f ca="1">IF($C67="S",IF($Z67="CP",$X67,IF($Z67="RA",(($X67)*QCI!$AA$3),0)),SomaAgrup)</f>
        <v>0</v>
      </c>
      <c r="AB67" s="130">
        <f t="shared" ca="1" si="14"/>
        <v>0</v>
      </c>
      <c r="AC67" s="131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 t="str">
        <f ca="1">IF(C67&lt;=CRONO.NivelExibicao,MAX($AD$15:OFFSET(AD67,-1,0))+IF($C67&lt;&gt;1,1,MAX(1,COUNTIF(QCI!$A$13:$A$24,OFFSET($E67,-1,0)))),"")</f>
        <v/>
      </c>
      <c r="AE67" s="7" t="str">
        <f ca="1">IF(AND($C67="S",ORÇAMENTO.CodBarra&lt;&gt;""),IF(ORÇAMENTO.Fonte="",ORÇAMENTO.CodBarra,CONCATENATE(ORÇAMENTO.Fonte," ",ORÇAMENTO.CodBarra)))</f>
        <v>SINAPI 92761</v>
      </c>
      <c r="AF67" s="13" t="str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(abra o arquivo 'Referência 06-2024.xlsm)</v>
      </c>
      <c r="AG67" s="498">
        <f ca="1">ROUND(IF(DESONERACAO="sim",REFERENCIA.Desonerado,REFERENCIA.NaoDesonerado),2)</f>
        <v>0</v>
      </c>
      <c r="AH67" s="499">
        <f t="shared" ca="1" si="15"/>
        <v>0.2432</v>
      </c>
      <c r="AJ67" s="501"/>
      <c r="AL67" s="527"/>
      <c r="AM67" s="381">
        <f t="shared" ca="1" si="0"/>
        <v>0</v>
      </c>
      <c r="AN67" s="566">
        <f t="shared" ca="1" si="16"/>
        <v>0</v>
      </c>
    </row>
    <row r="68" spans="1:40" ht="38.25" x14ac:dyDescent="0.2">
      <c r="A68" t="str">
        <f t="shared" si="1"/>
        <v>S</v>
      </c>
      <c r="B68">
        <f t="shared" ca="1" si="2"/>
        <v>2</v>
      </c>
      <c r="C68" t="str">
        <f t="shared" ca="1" si="3"/>
        <v>S</v>
      </c>
      <c r="D68">
        <f t="shared" ca="1" si="4"/>
        <v>0</v>
      </c>
      <c r="E68">
        <f ca="1">IF($C68=1,OFFSET(E68,-1,0)+MAX(1,COUNTIF(QCI!$A$13:$A$24,OFFSET(ORÇAMENTO!E68,-1,0))),OFFSET(E68,-1,0))</f>
        <v>1</v>
      </c>
      <c r="F68">
        <f t="shared" ca="1" si="5"/>
        <v>9</v>
      </c>
      <c r="G68">
        <f t="shared" ca="1" si="6"/>
        <v>0</v>
      </c>
      <c r="H68">
        <f t="shared" ca="1" si="7"/>
        <v>0</v>
      </c>
      <c r="I68">
        <f t="shared" ca="1" si="8"/>
        <v>0</v>
      </c>
      <c r="J68">
        <f t="shared" ca="1" si="9"/>
        <v>0</v>
      </c>
      <c r="K68">
        <f ca="1">IF(OR($C68="S",$C68=0),0,MATCH(OFFSET($D68,0,$C68)+IF($C68&lt;&gt;1,1,COUNTIF(QCI!$A$13:$A$24,ORÇAMENTO!E68)),OFFSET($D68,1,$C68,ROW($C$727)-ROW($C68)),0))</f>
        <v>0</v>
      </c>
      <c r="L68" s="116" t="str">
        <f t="shared" ca="1" si="10"/>
        <v/>
      </c>
      <c r="M68" s="117" t="s">
        <v>199</v>
      </c>
      <c r="N68" s="118" t="str">
        <f t="shared" ca="1" si="11"/>
        <v>Serviço</v>
      </c>
      <c r="O68" s="119" t="str">
        <f t="shared" ca="1" si="12"/>
        <v>-</v>
      </c>
      <c r="P68" s="120" t="s">
        <v>247</v>
      </c>
      <c r="Q68" s="121" t="s">
        <v>489</v>
      </c>
      <c r="R68" s="122" t="str">
        <f ca="1">IF($C68="S",REFERENCIA.Descricao,"(digite a descrição aqui)")</f>
        <v>(abra o arquivo 'Referência 06-2024.xlsm)</v>
      </c>
      <c r="S68" s="123" t="str">
        <f ca="1">REFERENCIA.Unidade</f>
        <v>-</v>
      </c>
      <c r="T68" s="124">
        <f ca="1">OFFSET(CÁLCULO!H$15,ROW($T68)-ROW(T$15),0)</f>
        <v>573.70000000000005</v>
      </c>
      <c r="U68" s="125">
        <f t="shared" ca="1" si="17"/>
        <v>0</v>
      </c>
      <c r="V68" s="126" t="s">
        <v>156</v>
      </c>
      <c r="W68" s="124">
        <f ca="1">IF($C68="S",ROUND(IF(TIPOORCAMENTO="Proposto",ORÇAMENTO.CustoUnitario*(1+$AH68),ORÇAMENTO.PrecoUnitarioLicitado),15-13*$AF$10),0)</f>
        <v>0</v>
      </c>
      <c r="X68" s="127">
        <f ca="1">IF($C68="S",IF(Import.TipoArredondamento&lt;&gt;"TransfereGOV",VTOTAL1,SUM(OFFSET(CÁLCULO!$AI$15,ROW($X68)-ROW($X$15),1):OFFSET(CÁLCULO!$BB$15,ROW($X68)-ROW($X$15),-1))),IF($C68=0,0,ROUND(SomaAgrup,15-13*$AF$11)))</f>
        <v>0</v>
      </c>
      <c r="Y68" s="128" t="s">
        <v>245</v>
      </c>
      <c r="Z68" t="str">
        <f t="shared" ca="1" si="13"/>
        <v/>
      </c>
      <c r="AA68" s="129">
        <f ca="1">IF($C68="S",IF($Z68="CP",$X68,IF($Z68="RA",(($X68)*QCI!$AA$3),0)),SomaAgrup)</f>
        <v>0</v>
      </c>
      <c r="AB68" s="130">
        <f t="shared" ca="1" si="14"/>
        <v>0</v>
      </c>
      <c r="AC68" s="131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t="str">
        <f ca="1">IF(C68&lt;=CRONO.NivelExibicao,MAX($AD$15:OFFSET(AD68,-1,0))+IF($C68&lt;&gt;1,1,MAX(1,COUNTIF(QCI!$A$13:$A$24,OFFSET($E68,-1,0)))),"")</f>
        <v/>
      </c>
      <c r="AE68" s="7" t="str">
        <f ca="1">IF(AND($C68="S",ORÇAMENTO.CodBarra&lt;&gt;""),IF(ORÇAMENTO.Fonte="",ORÇAMENTO.CodBarra,CONCATENATE(ORÇAMENTO.Fonte," ",ORÇAMENTO.CodBarra)))</f>
        <v>SINAPI 92762</v>
      </c>
      <c r="AF68" s="13" t="str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(abra o arquivo 'Referência 06-2024.xlsm)</v>
      </c>
      <c r="AG68" s="498">
        <f ca="1">ROUND(IF(DESONERACAO="sim",REFERENCIA.Desonerado,REFERENCIA.NaoDesonerado),2)</f>
        <v>0</v>
      </c>
      <c r="AH68" s="499">
        <f t="shared" ca="1" si="15"/>
        <v>0.2432</v>
      </c>
      <c r="AJ68" s="501"/>
      <c r="AL68" s="527"/>
      <c r="AM68" s="381">
        <f t="shared" ref="AM68" ca="1" si="19">$X68</f>
        <v>0</v>
      </c>
      <c r="AN68" s="566">
        <f t="shared" ca="1" si="16"/>
        <v>0</v>
      </c>
    </row>
    <row r="69" spans="1:40" ht="38.25" x14ac:dyDescent="0.2">
      <c r="A69" t="str">
        <f t="shared" si="1"/>
        <v>S</v>
      </c>
      <c r="B69">
        <f t="shared" ca="1" si="2"/>
        <v>2</v>
      </c>
      <c r="C69" t="str">
        <f t="shared" ca="1" si="3"/>
        <v>S</v>
      </c>
      <c r="D69">
        <f t="shared" ca="1" si="4"/>
        <v>0</v>
      </c>
      <c r="E69">
        <f ca="1">IF($C69=1,OFFSET(E69,-1,0)+MAX(1,COUNTIF(QCI!$A$13:$A$24,OFFSET(ORÇAMENTO!E69,-1,0))),OFFSET(E69,-1,0))</f>
        <v>1</v>
      </c>
      <c r="F69">
        <f t="shared" ca="1" si="5"/>
        <v>9</v>
      </c>
      <c r="G69">
        <f t="shared" ca="1" si="6"/>
        <v>0</v>
      </c>
      <c r="H69">
        <f t="shared" ca="1" si="7"/>
        <v>0</v>
      </c>
      <c r="I69">
        <f t="shared" ca="1" si="8"/>
        <v>0</v>
      </c>
      <c r="J69">
        <f t="shared" ca="1" si="9"/>
        <v>0</v>
      </c>
      <c r="K69">
        <f ca="1">IF(OR($C69="S",$C69=0),0,MATCH(OFFSET($D69,0,$C69)+IF($C69&lt;&gt;1,1,COUNTIF(QCI!$A$13:$A$24,ORÇAMENTO!E69)),OFFSET($D69,1,$C69,ROW($C$727)-ROW($C69)),0))</f>
        <v>0</v>
      </c>
      <c r="L69" s="116" t="str">
        <f t="shared" ca="1" si="10"/>
        <v/>
      </c>
      <c r="M69" s="117" t="s">
        <v>199</v>
      </c>
      <c r="N69" s="118" t="str">
        <f t="shared" ca="1" si="11"/>
        <v>Serviço</v>
      </c>
      <c r="O69" s="119" t="str">
        <f t="shared" ca="1" si="12"/>
        <v>-</v>
      </c>
      <c r="P69" s="120" t="s">
        <v>247</v>
      </c>
      <c r="Q69" s="121" t="s">
        <v>490</v>
      </c>
      <c r="R69" s="122" t="str">
        <f ca="1">IF($C69="S",REFERENCIA.Descricao,"(digite a descrição aqui)")</f>
        <v>(abra o arquivo 'Referência 06-2024.xlsm)</v>
      </c>
      <c r="S69" s="123" t="str">
        <f ca="1">REFERENCIA.Unidade</f>
        <v>-</v>
      </c>
      <c r="T69" s="124">
        <f ca="1">OFFSET(CÁLCULO!H$15,ROW($T69)-ROW(T$15),0)</f>
        <v>876.4</v>
      </c>
      <c r="U69" s="125">
        <f t="shared" ca="1" si="17"/>
        <v>0</v>
      </c>
      <c r="V69" s="126" t="s">
        <v>156</v>
      </c>
      <c r="W69" s="124">
        <f ca="1">IF($C69="S",ROUND(IF(TIPOORCAMENTO="Proposto",ORÇAMENTO.CustoUnitario*(1+$AH69),ORÇAMENTO.PrecoUnitarioLicitado),15-13*$AF$10),0)</f>
        <v>0</v>
      </c>
      <c r="X69" s="127">
        <f ca="1">IF($C69="S",IF(Import.TipoArredondamento&lt;&gt;"TransfereGOV",VTOTAL1,SUM(OFFSET(CÁLCULO!$AI$15,ROW($X69)-ROW($X$15),1):OFFSET(CÁLCULO!$BB$15,ROW($X69)-ROW($X$15),-1))),IF($C69=0,0,ROUND(SomaAgrup,15-13*$AF$11)))</f>
        <v>0</v>
      </c>
      <c r="Y69" s="128" t="s">
        <v>245</v>
      </c>
      <c r="Z69" t="str">
        <f t="shared" ca="1" si="13"/>
        <v/>
      </c>
      <c r="AA69" s="129">
        <f ca="1">IF($C69="S",IF($Z69="CP",$X69,IF($Z69="RA",(($X69)*QCI!$AA$3),0)),SomaAgrup)</f>
        <v>0</v>
      </c>
      <c r="AB69" s="130">
        <f t="shared" ca="1" si="14"/>
        <v>0</v>
      </c>
      <c r="AC69" s="131" t="str">
        <f ca="1">IF($N69="","",IF(ORÇAMENTO.Descricao="","DESCRIÇÃO",IF(AND($C69="S",ORÇAMENTO.Unidade=""),"UNIDADE",IF($X69&lt;0,"VALOR NEGATIVO",IF(OR(AND(TIPOORCAMENTO="Proposto",$AG69&lt;&gt;"",$AG69&gt;0,ORÇAMENTO.CustoUnitario&gt;$AG69),AND(TIPOORCAMENTO="LICITADO",ORÇAMENTO.PrecoUnitarioLicitado&gt;$AN69)),"ACIMA REF.","")))))</f>
        <v/>
      </c>
      <c r="AD69" t="str">
        <f ca="1">IF(C69&lt;=CRONO.NivelExibicao,MAX($AD$15:OFFSET(AD69,-1,0))+IF($C69&lt;&gt;1,1,MAX(1,COUNTIF(QCI!$A$13:$A$24,OFFSET($E69,-1,0)))),"")</f>
        <v/>
      </c>
      <c r="AE69" s="7" t="str">
        <f ca="1">IF(AND($C69="S",ORÇAMENTO.CodBarra&lt;&gt;""),IF(ORÇAMENTO.Fonte="",ORÇAMENTO.CodBarra,CONCATENATE(ORÇAMENTO.Fonte," ",ORÇAMENTO.CodBarra)))</f>
        <v>SINAPI 92763</v>
      </c>
      <c r="AF69" s="13" t="str">
        <f ca="1">IF(ISERROR(INDIRECT(ORÇAMENTO.BancoRef)),"(abra o arquivo 'Referência "&amp;Excel_BuiltIn_Database&amp;".xlsm)",IF(OR($C69&lt;&gt;"S",ORÇAMENTO.CodBarra=""),"(Sem Código)",IF(ISERROR(MATCH($AE69,INDIRECT(ORÇAMENTO.BancoRef),0)),"(Código não identificado nas referências)",MATCH($AE69,INDIRECT(ORÇAMENTO.BancoRef),0))))</f>
        <v>(abra o arquivo 'Referência 06-2024.xlsm)</v>
      </c>
      <c r="AG69" s="498">
        <f ca="1">ROUND(IF(DESONERACAO="sim",REFERENCIA.Desonerado,REFERENCIA.NaoDesonerado),2)</f>
        <v>0</v>
      </c>
      <c r="AH69" s="499">
        <f t="shared" ca="1" si="15"/>
        <v>0.2432</v>
      </c>
      <c r="AJ69" s="501"/>
      <c r="AL69" s="527"/>
      <c r="AM69" s="381">
        <f t="shared" ca="1" si="0"/>
        <v>0</v>
      </c>
      <c r="AN69" s="566">
        <f t="shared" ca="1" si="16"/>
        <v>0</v>
      </c>
    </row>
    <row r="70" spans="1:40" ht="38.25" x14ac:dyDescent="0.2">
      <c r="A70" t="str">
        <f t="shared" ref="A70:A117" si="20">CHOOSE(1+LOG(1+2*(ORÇAMENTO.Nivel="Meta")+4*(ORÇAMENTO.Nivel="Nível 2")+8*(ORÇAMENTO.Nivel="Nível 3")+16*(ORÇAMENTO.Nivel="Nível 4")+32*(ORÇAMENTO.Nivel="Serviço"),2),0,1,2,3,4,"S")</f>
        <v>S</v>
      </c>
      <c r="B70">
        <f t="shared" ref="B70:B117" ca="1" si="21">IF(OR(C70="s",C70=0),OFFSET(B70,-1,0),C70)</f>
        <v>2</v>
      </c>
      <c r="C70" t="str">
        <f t="shared" ref="C70:C117" ca="1" si="22">IF(OFFSET(C70,-1,0)="L",1,IF(OFFSET(C70,-1,0)=1,2,IF(OR(A70="s",A70=0),"S",IF(AND(OFFSET(C70,-1,0)=2,A70=4),3,IF(AND(OR(OFFSET(C70,-1,0)="s",OFFSET(C70,-1,0)=0),A70&lt;&gt;"s",A70&gt;OFFSET(B70,-1,0)),OFFSET(B70,-1,0),A70)))))</f>
        <v>S</v>
      </c>
      <c r="D70">
        <f t="shared" ref="D70:D117" ca="1" si="23">IF(OR(C70="S",C70=0),0,IF(ISERROR(K70),J70,SMALL(J70:K70,1)))</f>
        <v>0</v>
      </c>
      <c r="E70">
        <f ca="1">IF($C70=1,OFFSET(E70,-1,0)+MAX(1,COUNTIF(QCI!$A$13:$A$24,OFFSET(ORÇAMENTO!E70,-1,0))),OFFSET(E70,-1,0))</f>
        <v>1</v>
      </c>
      <c r="F70">
        <f t="shared" ref="F70:F117" ca="1" si="24">IF($C70=1,0,IF($C70=2,OFFSET(F70,-1,0)+1,OFFSET(F70,-1,0)))</f>
        <v>9</v>
      </c>
      <c r="G70">
        <f t="shared" ref="G70:G117" ca="1" si="25">IF(AND($C70&lt;=2,$C70&lt;&gt;0),0,IF($C70=3,OFFSET(G70,-1,0)+1,OFFSET(G70,-1,0)))</f>
        <v>0</v>
      </c>
      <c r="H70">
        <f t="shared" ref="H70:H117" ca="1" si="26">IF(AND($C70&lt;=3,$C70&lt;&gt;0),0,IF($C70=4,OFFSET(H70,-1,0)+1,OFFSET(H70,-1,0)))</f>
        <v>0</v>
      </c>
      <c r="I70">
        <f t="shared" ref="I70:I117" ca="1" si="27">IF(AND($C70&lt;=4,$C70&lt;&gt;0),0,IF(AND($C70="S",$X70&gt;0),OFFSET(I70,-1,0)+1,OFFSET(I70,-1,0)))</f>
        <v>0</v>
      </c>
      <c r="J70">
        <f t="shared" ca="1" si="9"/>
        <v>0</v>
      </c>
      <c r="K70">
        <f ca="1">IF(OR($C70="S",$C70=0),0,MATCH(OFFSET($D70,0,$C70)+IF($C70&lt;&gt;1,1,COUNTIF(QCI!$A$13:$A$24,ORÇAMENTO!E70)),OFFSET($D70,1,$C70,ROW($C$727)-ROW($C70)),0))</f>
        <v>0</v>
      </c>
      <c r="L70" s="116" t="str">
        <f t="shared" ref="L70:L117" ca="1" si="28">IF(OR($X70&gt;0,$C70=1,$C70=2,$C70=3,$C70=4),"F","")</f>
        <v/>
      </c>
      <c r="M70" s="117" t="s">
        <v>199</v>
      </c>
      <c r="N70" s="118" t="str">
        <f t="shared" ref="N70:N117" ca="1" si="29">CHOOSE(1+LOG(1+2*(C70=1)+4*(C70=2)+8*(C70=3)+16*(C70=4)+32*(C70="S"),2),"","Meta","Nível 2","Nível 3","Nível 4","Serviço")</f>
        <v>Serviço</v>
      </c>
      <c r="O70" s="119" t="str">
        <f t="shared" ref="O70:O117" ca="1" si="30">IF(OR($C70=0,$L70=""),"-",CONCATENATE(E70&amp;".",IF(AND($A$5&gt;=2,$C70&gt;=2),F70&amp;".",""),IF(AND($A$5&gt;=3,$C70&gt;=3),G70&amp;".",""),IF(AND($A$5&gt;=4,$C70&gt;=4),H70&amp;".",""),IF($C70="S",I70&amp;".","")))</f>
        <v>-</v>
      </c>
      <c r="P70" s="120" t="s">
        <v>247</v>
      </c>
      <c r="Q70" s="121" t="s">
        <v>495</v>
      </c>
      <c r="R70" s="122" t="str">
        <f ca="1">IF($C70="S",REFERENCIA.Descricao,"(digite a descrição aqui)")</f>
        <v>(abra o arquivo 'Referência 06-2024.xlsm)</v>
      </c>
      <c r="S70" s="123" t="str">
        <f ca="1">REFERENCIA.Unidade</f>
        <v>-</v>
      </c>
      <c r="T70" s="124">
        <f ca="1">OFFSET(CÁLCULO!H$15,ROW($T70)-ROW(T$15),0)</f>
        <v>385.1</v>
      </c>
      <c r="U70" s="125">
        <f t="shared" ca="1" si="17"/>
        <v>0</v>
      </c>
      <c r="V70" s="126" t="s">
        <v>156</v>
      </c>
      <c r="W70" s="124">
        <f ca="1">IF($C70="S",ROUND(IF(TIPOORCAMENTO="Proposto",ORÇAMENTO.CustoUnitario*(1+$AH70),ORÇAMENTO.PrecoUnitarioLicitado),15-13*$AF$10),0)</f>
        <v>0</v>
      </c>
      <c r="X70" s="127">
        <f ca="1">IF($C70="S",IF(Import.TipoArredondamento&lt;&gt;"TransfereGOV",VTOTAL1,SUM(OFFSET(CÁLCULO!$AI$15,ROW($X70)-ROW($X$15),1):OFFSET(CÁLCULO!$BB$15,ROW($X70)-ROW($X$15),-1))),IF($C70=0,0,ROUND(SomaAgrup,15-13*$AF$11)))</f>
        <v>0</v>
      </c>
      <c r="Y70" s="128" t="s">
        <v>245</v>
      </c>
      <c r="Z70" t="str">
        <f t="shared" ref="Z70:Z117" ca="1" si="31">IF(AND($C70="S",$X70&gt;0),IF(ISBLANK($Y70),"RA",LEFT($Y70,2)),"")</f>
        <v/>
      </c>
      <c r="AA70" s="129">
        <f ca="1">IF($C70="S",IF($Z70="CP",$X70,IF($Z70="RA",(($X70)*QCI!$AA$3),0)),SomaAgrup)</f>
        <v>0</v>
      </c>
      <c r="AB70" s="130">
        <f t="shared" ref="AB70:AB117" ca="1" si="32">IF($C70="S",IF($Z70="OU",ROUND($X70,2),0),SomaAgrup)</f>
        <v>0</v>
      </c>
      <c r="AC70" s="131" t="str">
        <f ca="1">IF($N70="","",IF(ORÇAMENTO.Descricao="","DESCRIÇÃO",IF(AND($C70="S",ORÇAMENTO.Unidade=""),"UNIDADE",IF($X70&lt;0,"VALOR NEGATIVO",IF(OR(AND(TIPOORCAMENTO="Proposto",$AG70&lt;&gt;"",$AG70&gt;0,ORÇAMENTO.CustoUnitario&gt;$AG70),AND(TIPOORCAMENTO="LICITADO",ORÇAMENTO.PrecoUnitarioLicitado&gt;$AN70)),"ACIMA REF.","")))))</f>
        <v/>
      </c>
      <c r="AD70" t="str">
        <f ca="1">IF(C70&lt;=CRONO.NivelExibicao,MAX($AD$15:OFFSET(AD70,-1,0))+IF($C70&lt;&gt;1,1,MAX(1,COUNTIF(QCI!$A$13:$A$24,OFFSET($E70,-1,0)))),"")</f>
        <v/>
      </c>
      <c r="AE70" s="7" t="str">
        <f ca="1">IF(AND($C70="S",ORÇAMENTO.CodBarra&lt;&gt;""),IF(ORÇAMENTO.Fonte="",ORÇAMENTO.CodBarra,CONCATENATE(ORÇAMENTO.Fonte," ",ORÇAMENTO.CodBarra)))</f>
        <v>SINAPI 92764</v>
      </c>
      <c r="AF70" s="13" t="str">
        <f ca="1">IF(ISERROR(INDIRECT(ORÇAMENTO.BancoRef)),"(abra o arquivo 'Referência "&amp;Excel_BuiltIn_Database&amp;".xlsm)",IF(OR($C70&lt;&gt;"S",ORÇAMENTO.CodBarra=""),"(Sem Código)",IF(ISERROR(MATCH($AE70,INDIRECT(ORÇAMENTO.BancoRef),0)),"(Código não identificado nas referências)",MATCH($AE70,INDIRECT(ORÇAMENTO.BancoRef),0))))</f>
        <v>(abra o arquivo 'Referência 06-2024.xlsm)</v>
      </c>
      <c r="AG70" s="498">
        <f ca="1">ROUND(IF(DESONERACAO="sim",REFERENCIA.Desonerado,REFERENCIA.NaoDesonerado),2)</f>
        <v>0</v>
      </c>
      <c r="AH70" s="499">
        <f t="shared" ref="AH70:AH117" ca="1" si="33">ROUND(IF(ISNUMBER(ORÇAMENTO.OpcaoBDI),ORÇAMENTO.OpcaoBDI,IF(LEFT(ORÇAMENTO.OpcaoBDI,3)="BDI",HLOOKUP(ORÇAMENTO.OpcaoBDI,$F$4:$H$5,2,FALSE),0)),15-11*$AF$9)</f>
        <v>0.2432</v>
      </c>
      <c r="AJ70" s="501"/>
      <c r="AL70" s="527"/>
      <c r="AM70" s="381">
        <f t="shared" ref="AM70:AM117" ca="1" si="34">$X70</f>
        <v>0</v>
      </c>
      <c r="AN70" s="566">
        <f t="shared" ref="AN70:AN117" ca="1" si="35">ROUND(ORÇAMENTO.CustoUnitario*(1+$AH70),2)</f>
        <v>0</v>
      </c>
    </row>
    <row r="71" spans="1:40" ht="38.25" x14ac:dyDescent="0.2">
      <c r="A71" t="str">
        <f t="shared" si="20"/>
        <v>S</v>
      </c>
      <c r="B71">
        <f t="shared" ca="1" si="21"/>
        <v>2</v>
      </c>
      <c r="C71" t="str">
        <f t="shared" ca="1" si="22"/>
        <v>S</v>
      </c>
      <c r="D71">
        <f t="shared" ca="1" si="23"/>
        <v>0</v>
      </c>
      <c r="E71">
        <f ca="1">IF($C71=1,OFFSET(E71,-1,0)+MAX(1,COUNTIF(QCI!$A$13:$A$24,OFFSET(ORÇAMENTO!E71,-1,0))),OFFSET(E71,-1,0))</f>
        <v>1</v>
      </c>
      <c r="F71">
        <f t="shared" ca="1" si="24"/>
        <v>9</v>
      </c>
      <c r="G71">
        <f t="shared" ca="1" si="25"/>
        <v>0</v>
      </c>
      <c r="H71">
        <f t="shared" ca="1" si="26"/>
        <v>0</v>
      </c>
      <c r="I71">
        <f t="shared" ca="1" si="27"/>
        <v>0</v>
      </c>
      <c r="J71">
        <f t="shared" ca="1" si="9"/>
        <v>0</v>
      </c>
      <c r="K71">
        <f ca="1">IF(OR($C71="S",$C71=0),0,MATCH(OFFSET($D71,0,$C71)+IF($C71&lt;&gt;1,1,COUNTIF(QCI!$A$13:$A$24,ORÇAMENTO!E71)),OFFSET($D71,1,$C71,ROW($C$727)-ROW($C71)),0))</f>
        <v>0</v>
      </c>
      <c r="L71" s="116" t="str">
        <f t="shared" ca="1" si="28"/>
        <v/>
      </c>
      <c r="M71" s="117" t="s">
        <v>199</v>
      </c>
      <c r="N71" s="118" t="str">
        <f t="shared" ca="1" si="29"/>
        <v>Serviço</v>
      </c>
      <c r="O71" s="119" t="str">
        <f t="shared" ca="1" si="30"/>
        <v>-</v>
      </c>
      <c r="P71" s="120" t="s">
        <v>247</v>
      </c>
      <c r="Q71" s="121" t="s">
        <v>496</v>
      </c>
      <c r="R71" s="122" t="str">
        <f ca="1">IF($C71="S",REFERENCIA.Descricao,"(digite a descrição aqui)")</f>
        <v>(abra o arquivo 'Referência 06-2024.xlsm)</v>
      </c>
      <c r="S71" s="123" t="str">
        <f ca="1">REFERENCIA.Unidade</f>
        <v>-</v>
      </c>
      <c r="T71" s="124">
        <f ca="1">OFFSET(CÁLCULO!H$15,ROW($T71)-ROW(T$15),0)</f>
        <v>122.6</v>
      </c>
      <c r="U71" s="125">
        <f t="shared" ca="1" si="17"/>
        <v>0</v>
      </c>
      <c r="V71" s="126" t="s">
        <v>156</v>
      </c>
      <c r="W71" s="124">
        <f ca="1">IF($C71="S",ROUND(IF(TIPOORCAMENTO="Proposto",ORÇAMENTO.CustoUnitario*(1+$AH71),ORÇAMENTO.PrecoUnitarioLicitado),15-13*$AF$10),0)</f>
        <v>0</v>
      </c>
      <c r="X71" s="127">
        <f ca="1">IF($C71="S",IF(Import.TipoArredondamento&lt;&gt;"TransfereGOV",VTOTAL1,SUM(OFFSET(CÁLCULO!$AI$15,ROW($X71)-ROW($X$15),1):OFFSET(CÁLCULO!$BB$15,ROW($X71)-ROW($X$15),-1))),IF($C71=0,0,ROUND(SomaAgrup,15-13*$AF$11)))</f>
        <v>0</v>
      </c>
      <c r="Y71" s="128" t="s">
        <v>245</v>
      </c>
      <c r="Z71" t="str">
        <f t="shared" ca="1" si="31"/>
        <v/>
      </c>
      <c r="AA71" s="129">
        <f ca="1">IF($C71="S",IF($Z71="CP",$X71,IF($Z71="RA",(($X71)*QCI!$AA$3),0)),SomaAgrup)</f>
        <v>0</v>
      </c>
      <c r="AB71" s="130">
        <f t="shared" ca="1" si="32"/>
        <v>0</v>
      </c>
      <c r="AC71" s="131" t="str">
        <f ca="1">IF($N71="","",IF(ORÇAMENTO.Descricao="","DESCRIÇÃO",IF(AND($C71="S",ORÇAMENTO.Unidade=""),"UNIDADE",IF($X71&lt;0,"VALOR NEGATIVO",IF(OR(AND(TIPOORCAMENTO="Proposto",$AG71&lt;&gt;"",$AG71&gt;0,ORÇAMENTO.CustoUnitario&gt;$AG71),AND(TIPOORCAMENTO="LICITADO",ORÇAMENTO.PrecoUnitarioLicitado&gt;$AN71)),"ACIMA REF.","")))))</f>
        <v/>
      </c>
      <c r="AD71" t="str">
        <f ca="1">IF(C71&lt;=CRONO.NivelExibicao,MAX($AD$15:OFFSET(AD71,-1,0))+IF($C71&lt;&gt;1,1,MAX(1,COUNTIF(QCI!$A$13:$A$24,OFFSET($E71,-1,0)))),"")</f>
        <v/>
      </c>
      <c r="AE71" s="7" t="str">
        <f ca="1">IF(AND($C71="S",ORÇAMENTO.CodBarra&lt;&gt;""),IF(ORÇAMENTO.Fonte="",ORÇAMENTO.CodBarra,CONCATENATE(ORÇAMENTO.Fonte," ",ORÇAMENTO.CodBarra)))</f>
        <v>SINAPI 92765</v>
      </c>
      <c r="AF71" s="13" t="str">
        <f ca="1">IF(ISERROR(INDIRECT(ORÇAMENTO.BancoRef)),"(abra o arquivo 'Referência "&amp;Excel_BuiltIn_Database&amp;".xlsm)",IF(OR($C71&lt;&gt;"S",ORÇAMENTO.CodBarra=""),"(Sem Código)",IF(ISERROR(MATCH($AE71,INDIRECT(ORÇAMENTO.BancoRef),0)),"(Código não identificado nas referências)",MATCH($AE71,INDIRECT(ORÇAMENTO.BancoRef),0))))</f>
        <v>(abra o arquivo 'Referência 06-2024.xlsm)</v>
      </c>
      <c r="AG71" s="498">
        <f ca="1">ROUND(IF(DESONERACAO="sim",REFERENCIA.Desonerado,REFERENCIA.NaoDesonerado),2)</f>
        <v>0</v>
      </c>
      <c r="AH71" s="499">
        <f t="shared" ca="1" si="33"/>
        <v>0.2432</v>
      </c>
      <c r="AJ71" s="501"/>
      <c r="AL71" s="527"/>
      <c r="AM71" s="381">
        <f t="shared" ca="1" si="34"/>
        <v>0</v>
      </c>
      <c r="AN71" s="566">
        <f t="shared" ca="1" si="35"/>
        <v>0</v>
      </c>
    </row>
    <row r="72" spans="1:40" ht="38.25" x14ac:dyDescent="0.2">
      <c r="A72" t="str">
        <f t="shared" si="20"/>
        <v>S</v>
      </c>
      <c r="B72">
        <f t="shared" ca="1" si="21"/>
        <v>2</v>
      </c>
      <c r="C72" t="str">
        <f t="shared" ca="1" si="22"/>
        <v>S</v>
      </c>
      <c r="D72">
        <f t="shared" ca="1" si="23"/>
        <v>0</v>
      </c>
      <c r="E72">
        <f ca="1">IF($C72=1,OFFSET(E72,-1,0)+MAX(1,COUNTIF(QCI!$A$13:$A$24,OFFSET(ORÇAMENTO!E72,-1,0))),OFFSET(E72,-1,0))</f>
        <v>1</v>
      </c>
      <c r="F72">
        <f t="shared" ca="1" si="24"/>
        <v>9</v>
      </c>
      <c r="G72">
        <f t="shared" ca="1" si="25"/>
        <v>0</v>
      </c>
      <c r="H72">
        <f t="shared" ca="1" si="26"/>
        <v>0</v>
      </c>
      <c r="I72">
        <f t="shared" ca="1" si="27"/>
        <v>0</v>
      </c>
      <c r="J72">
        <f t="shared" ca="1" si="9"/>
        <v>0</v>
      </c>
      <c r="K72">
        <f ca="1">IF(OR($C72="S",$C72=0),0,MATCH(OFFSET($D72,0,$C72)+IF($C72&lt;&gt;1,1,COUNTIF(QCI!$A$13:$A$24,ORÇAMENTO!E72)),OFFSET($D72,1,$C72,ROW($C$727)-ROW($C72)),0))</f>
        <v>0</v>
      </c>
      <c r="L72" s="116" t="str">
        <f t="shared" ca="1" si="28"/>
        <v/>
      </c>
      <c r="M72" s="117" t="s">
        <v>199</v>
      </c>
      <c r="N72" s="118" t="str">
        <f t="shared" ca="1" si="29"/>
        <v>Serviço</v>
      </c>
      <c r="O72" s="119" t="str">
        <f t="shared" ca="1" si="30"/>
        <v>-</v>
      </c>
      <c r="P72" s="120" t="s">
        <v>247</v>
      </c>
      <c r="Q72" s="121" t="s">
        <v>491</v>
      </c>
      <c r="R72" s="122" t="str">
        <f ca="1">IF($C72="S",REFERENCIA.Descricao,"(digite a descrição aqui)")</f>
        <v>(abra o arquivo 'Referência 06-2024.xlsm)</v>
      </c>
      <c r="S72" s="123" t="str">
        <f ca="1">REFERENCIA.Unidade</f>
        <v>-</v>
      </c>
      <c r="T72" s="124">
        <f ca="1">OFFSET(CÁLCULO!H$15,ROW($T72)-ROW(T$15),0)</f>
        <v>1746.5</v>
      </c>
      <c r="U72" s="125">
        <f t="shared" ca="1" si="17"/>
        <v>0</v>
      </c>
      <c r="V72" s="126" t="s">
        <v>156</v>
      </c>
      <c r="W72" s="124">
        <f ca="1">IF($C72="S",ROUND(IF(TIPOORCAMENTO="Proposto",ORÇAMENTO.CustoUnitario*(1+$AH72),ORÇAMENTO.PrecoUnitarioLicitado),15-13*$AF$10),0)</f>
        <v>0</v>
      </c>
      <c r="X72" s="127">
        <f ca="1">IF($C72="S",IF(Import.TipoArredondamento&lt;&gt;"TransfereGOV",VTOTAL1,SUM(OFFSET(CÁLCULO!$AI$15,ROW($X72)-ROW($X$15),1):OFFSET(CÁLCULO!$BB$15,ROW($X72)-ROW($X$15),-1))),IF($C72=0,0,ROUND(SomaAgrup,15-13*$AF$11)))</f>
        <v>0</v>
      </c>
      <c r="Y72" s="128" t="s">
        <v>245</v>
      </c>
      <c r="Z72" t="str">
        <f t="shared" ca="1" si="31"/>
        <v/>
      </c>
      <c r="AA72" s="129">
        <f ca="1">IF($C72="S",IF($Z72="CP",$X72,IF($Z72="RA",(($X72)*QCI!$AA$3),0)),SomaAgrup)</f>
        <v>0</v>
      </c>
      <c r="AB72" s="130">
        <f t="shared" ca="1" si="32"/>
        <v>0</v>
      </c>
      <c r="AC72" s="131" t="str">
        <f ca="1">IF($N72="","",IF(ORÇAMENTO.Descricao="","DESCRIÇÃO",IF(AND($C72="S",ORÇAMENTO.Unidade=""),"UNIDADE",IF($X72&lt;0,"VALOR NEGATIVO",IF(OR(AND(TIPOORCAMENTO="Proposto",$AG72&lt;&gt;"",$AG72&gt;0,ORÇAMENTO.CustoUnitario&gt;$AG72),AND(TIPOORCAMENTO="LICITADO",ORÇAMENTO.PrecoUnitarioLicitado&gt;$AN72)),"ACIMA REF.","")))))</f>
        <v/>
      </c>
      <c r="AD72" t="str">
        <f ca="1">IF(C72&lt;=CRONO.NivelExibicao,MAX($AD$15:OFFSET(AD72,-1,0))+IF($C72&lt;&gt;1,1,MAX(1,COUNTIF(QCI!$A$13:$A$24,OFFSET($E72,-1,0)))),"")</f>
        <v/>
      </c>
      <c r="AE72" s="7" t="str">
        <f ca="1">IF(AND($C72="S",ORÇAMENTO.CodBarra&lt;&gt;""),IF(ORÇAMENTO.Fonte="",ORÇAMENTO.CodBarra,CONCATENATE(ORÇAMENTO.Fonte," ",ORÇAMENTO.CodBarra)))</f>
        <v>SINAPI 92759</v>
      </c>
      <c r="AF72" s="13" t="str">
        <f ca="1">IF(ISERROR(INDIRECT(ORÇAMENTO.BancoRef)),"(abra o arquivo 'Referência "&amp;Excel_BuiltIn_Database&amp;".xlsm)",IF(OR($C72&lt;&gt;"S",ORÇAMENTO.CodBarra=""),"(Sem Código)",IF(ISERROR(MATCH($AE72,INDIRECT(ORÇAMENTO.BancoRef),0)),"(Código não identificado nas referências)",MATCH($AE72,INDIRECT(ORÇAMENTO.BancoRef),0))))</f>
        <v>(abra o arquivo 'Referência 06-2024.xlsm)</v>
      </c>
      <c r="AG72" s="498">
        <f ca="1">ROUND(IF(DESONERACAO="sim",REFERENCIA.Desonerado,REFERENCIA.NaoDesonerado),2)</f>
        <v>0</v>
      </c>
      <c r="AH72" s="499">
        <f t="shared" ca="1" si="33"/>
        <v>0.2432</v>
      </c>
      <c r="AJ72" s="501"/>
      <c r="AL72" s="527"/>
      <c r="AM72" s="381">
        <f t="shared" ca="1" si="34"/>
        <v>0</v>
      </c>
      <c r="AN72" s="566">
        <f t="shared" ca="1" si="35"/>
        <v>0</v>
      </c>
    </row>
    <row r="73" spans="1:40" ht="38.25" x14ac:dyDescent="0.2">
      <c r="A73" t="str">
        <f t="shared" si="20"/>
        <v>S</v>
      </c>
      <c r="B73">
        <f t="shared" ca="1" si="21"/>
        <v>2</v>
      </c>
      <c r="C73" t="str">
        <f t="shared" ca="1" si="22"/>
        <v>S</v>
      </c>
      <c r="D73">
        <f t="shared" ca="1" si="23"/>
        <v>0</v>
      </c>
      <c r="E73">
        <f ca="1">IF($C73=1,OFFSET(E73,-1,0)+MAX(1,COUNTIF(QCI!$A$13:$A$24,OFFSET(ORÇAMENTO!E73,-1,0))),OFFSET(E73,-1,0))</f>
        <v>1</v>
      </c>
      <c r="F73">
        <f t="shared" ca="1" si="24"/>
        <v>9</v>
      </c>
      <c r="G73">
        <f t="shared" ca="1" si="25"/>
        <v>0</v>
      </c>
      <c r="H73">
        <f t="shared" ca="1" si="26"/>
        <v>0</v>
      </c>
      <c r="I73">
        <f t="shared" ca="1" si="27"/>
        <v>0</v>
      </c>
      <c r="J73">
        <f t="shared" ca="1" si="9"/>
        <v>0</v>
      </c>
      <c r="K73">
        <f ca="1">IF(OR($C73="S",$C73=0),0,MATCH(OFFSET($D73,0,$C73)+IF($C73&lt;&gt;1,1,COUNTIF(QCI!$A$13:$A$24,ORÇAMENTO!E73)),OFFSET($D73,1,$C73,ROW($C$727)-ROW($C73)),0))</f>
        <v>0</v>
      </c>
      <c r="L73" s="116" t="str">
        <f t="shared" ca="1" si="28"/>
        <v/>
      </c>
      <c r="M73" s="117" t="s">
        <v>199</v>
      </c>
      <c r="N73" s="118" t="str">
        <f t="shared" ca="1" si="29"/>
        <v>Serviço</v>
      </c>
      <c r="O73" s="119" t="str">
        <f t="shared" ca="1" si="30"/>
        <v>-</v>
      </c>
      <c r="P73" s="120" t="s">
        <v>247</v>
      </c>
      <c r="Q73" s="121" t="s">
        <v>497</v>
      </c>
      <c r="R73" s="122" t="str">
        <f ca="1">IF($C73="S",REFERENCIA.Descricao,"(digite a descrição aqui)")</f>
        <v>(abra o arquivo 'Referência 06-2024.xlsm)</v>
      </c>
      <c r="S73" s="123" t="str">
        <f ca="1">REFERENCIA.Unidade</f>
        <v>-</v>
      </c>
      <c r="T73" s="124">
        <f ca="1">OFFSET(CÁLCULO!H$15,ROW($T73)-ROW(T$15),0)</f>
        <v>108.4</v>
      </c>
      <c r="U73" s="125">
        <f t="shared" ca="1" si="17"/>
        <v>0</v>
      </c>
      <c r="V73" s="126" t="s">
        <v>156</v>
      </c>
      <c r="W73" s="124">
        <f ca="1">IF($C73="S",ROUND(IF(TIPOORCAMENTO="Proposto",ORÇAMENTO.CustoUnitario*(1+$AH73),ORÇAMENTO.PrecoUnitarioLicitado),15-13*$AF$10),0)</f>
        <v>0</v>
      </c>
      <c r="X73" s="127">
        <f ca="1">IF($C73="S",IF(Import.TipoArredondamento&lt;&gt;"TransfereGOV",VTOTAL1,SUM(OFFSET(CÁLCULO!$AI$15,ROW($X73)-ROW($X$15),1):OFFSET(CÁLCULO!$BB$15,ROW($X73)-ROW($X$15),-1))),IF($C73=0,0,ROUND(SomaAgrup,15-13*$AF$11)))</f>
        <v>0</v>
      </c>
      <c r="Y73" s="128" t="s">
        <v>245</v>
      </c>
      <c r="Z73" t="str">
        <f t="shared" ca="1" si="31"/>
        <v/>
      </c>
      <c r="AA73" s="129">
        <f ca="1">IF($C73="S",IF($Z73="CP",$X73,IF($Z73="RA",(($X73)*QCI!$AA$3),0)),SomaAgrup)</f>
        <v>0</v>
      </c>
      <c r="AB73" s="130">
        <f t="shared" ca="1" si="32"/>
        <v>0</v>
      </c>
      <c r="AC73" s="131" t="str">
        <f ca="1">IF($N73="","",IF(ORÇAMENTO.Descricao="","DESCRIÇÃO",IF(AND($C73="S",ORÇAMENTO.Unidade=""),"UNIDADE",IF($X73&lt;0,"VALOR NEGATIVO",IF(OR(AND(TIPOORCAMENTO="Proposto",$AG73&lt;&gt;"",$AG73&gt;0,ORÇAMENTO.CustoUnitario&gt;$AG73),AND(TIPOORCAMENTO="LICITADO",ORÇAMENTO.PrecoUnitarioLicitado&gt;$AN73)),"ACIMA REF.","")))))</f>
        <v/>
      </c>
      <c r="AD73" t="str">
        <f ca="1">IF(C73&lt;=CRONO.NivelExibicao,MAX($AD$15:OFFSET(AD73,-1,0))+IF($C73&lt;&gt;1,1,MAX(1,COUNTIF(QCI!$A$13:$A$24,OFFSET($E73,-1,0)))),"")</f>
        <v/>
      </c>
      <c r="AE73" s="7" t="str">
        <f ca="1">IF(AND($C73="S",ORÇAMENTO.CodBarra&lt;&gt;""),IF(ORÇAMENTO.Fonte="",ORÇAMENTO.CodBarra,CONCATENATE(ORÇAMENTO.Fonte," ",ORÇAMENTO.CodBarra)))</f>
        <v>SINAPI 103675</v>
      </c>
      <c r="AF73" s="13" t="str">
        <f ca="1">IF(ISERROR(INDIRECT(ORÇAMENTO.BancoRef)),"(abra o arquivo 'Referência "&amp;Excel_BuiltIn_Database&amp;".xlsm)",IF(OR($C73&lt;&gt;"S",ORÇAMENTO.CodBarra=""),"(Sem Código)",IF(ISERROR(MATCH($AE73,INDIRECT(ORÇAMENTO.BancoRef),0)),"(Código não identificado nas referências)",MATCH($AE73,INDIRECT(ORÇAMENTO.BancoRef),0))))</f>
        <v>(abra o arquivo 'Referência 06-2024.xlsm)</v>
      </c>
      <c r="AG73" s="498">
        <f ca="1">ROUND(IF(DESONERACAO="sim",REFERENCIA.Desonerado,REFERENCIA.NaoDesonerado),2)</f>
        <v>0</v>
      </c>
      <c r="AH73" s="499">
        <f t="shared" ca="1" si="33"/>
        <v>0.2432</v>
      </c>
      <c r="AJ73" s="501"/>
      <c r="AL73" s="527"/>
      <c r="AM73" s="381">
        <f t="shared" ca="1" si="34"/>
        <v>0</v>
      </c>
      <c r="AN73" s="566">
        <f t="shared" ca="1" si="35"/>
        <v>0</v>
      </c>
    </row>
    <row r="74" spans="1:40" x14ac:dyDescent="0.2">
      <c r="A74">
        <f t="shared" si="20"/>
        <v>2</v>
      </c>
      <c r="B74">
        <f t="shared" ca="1" si="21"/>
        <v>2</v>
      </c>
      <c r="C74">
        <f t="shared" ca="1" si="22"/>
        <v>2</v>
      </c>
      <c r="D74">
        <f t="shared" ca="1" si="23"/>
        <v>7</v>
      </c>
      <c r="E74">
        <f ca="1">IF($C74=1,OFFSET(E74,-1,0)+MAX(1,COUNTIF(QCI!$A$13:$A$24,OFFSET(ORÇAMENTO!E74,-1,0))),OFFSET(E74,-1,0))</f>
        <v>1</v>
      </c>
      <c r="F74">
        <f t="shared" ca="1" si="24"/>
        <v>10</v>
      </c>
      <c r="G74">
        <f t="shared" ca="1" si="25"/>
        <v>0</v>
      </c>
      <c r="H74">
        <f t="shared" ca="1" si="26"/>
        <v>0</v>
      </c>
      <c r="I74">
        <f t="shared" ca="1" si="27"/>
        <v>0</v>
      </c>
      <c r="J74">
        <f t="shared" ca="1" si="9"/>
        <v>653</v>
      </c>
      <c r="K74">
        <f ca="1">IF(OR($C74="S",$C74=0),0,MATCH(OFFSET($D74,0,$C74)+IF($C74&lt;&gt;1,1,COUNTIF(QCI!$A$13:$A$24,ORÇAMENTO!E74)),OFFSET($D74,1,$C74,ROW($C$727)-ROW($C74)),0))</f>
        <v>7</v>
      </c>
      <c r="L74" s="116" t="str">
        <f t="shared" ca="1" si="28"/>
        <v>F</v>
      </c>
      <c r="M74" s="117" t="s">
        <v>196</v>
      </c>
      <c r="N74" s="118" t="str">
        <f t="shared" ca="1" si="29"/>
        <v>Nível 2</v>
      </c>
      <c r="O74" s="119" t="str">
        <f t="shared" ca="1" si="30"/>
        <v>1.10.</v>
      </c>
      <c r="P74" s="120" t="s">
        <v>247</v>
      </c>
      <c r="Q74" s="121"/>
      <c r="R74" s="122" t="s">
        <v>1038</v>
      </c>
      <c r="S74" s="123" t="str">
        <f ca="1">REFERENCIA.Unidade</f>
        <v>-</v>
      </c>
      <c r="T74" s="124">
        <f ca="1">OFFSET(CÁLCULO!H$15,ROW($T74)-ROW(T$15),0)</f>
        <v>0</v>
      </c>
      <c r="U74" s="125">
        <f t="shared" ref="U74:U120" ca="1" si="36">AG74</f>
        <v>0</v>
      </c>
      <c r="V74" s="126" t="s">
        <v>156</v>
      </c>
      <c r="W74" s="124">
        <f ca="1">IF($C74="S",ROUND(IF(TIPOORCAMENTO="Proposto",ORÇAMENTO.CustoUnitario*(1+$AH74),ORÇAMENTO.PrecoUnitarioLicitado),15-13*$AF$10),0)</f>
        <v>0</v>
      </c>
      <c r="X74" s="127">
        <f ca="1">IF($C74="S",IF(Import.TipoArredondamento&lt;&gt;"TransfereGOV",VTOTAL1,SUM(OFFSET(CÁLCULO!$AI$15,ROW($X74)-ROW($X$15),1):OFFSET(CÁLCULO!$BB$15,ROW($X74)-ROW($X$15),-1))),IF($C74=0,0,ROUND(SomaAgrup,15-13*$AF$11)))</f>
        <v>0</v>
      </c>
      <c r="Y74" s="128" t="s">
        <v>245</v>
      </c>
      <c r="Z74" t="str">
        <f t="shared" ca="1" si="31"/>
        <v/>
      </c>
      <c r="AA74" s="129">
        <f ca="1">IF($C74="S",IF($Z74="CP",$X74,IF($Z74="RA",(($X74)*QCI!$AA$3),0)),SomaAgrup)</f>
        <v>0</v>
      </c>
      <c r="AB74" s="130">
        <f t="shared" ca="1" si="32"/>
        <v>0</v>
      </c>
      <c r="AC74" s="131" t="str">
        <f ca="1">IF($N74="","",IF(ORÇAMENTO.Descricao="","DESCRIÇÃO",IF(AND($C74="S",ORÇAMENTO.Unidade=""),"UNIDADE",IF($X74&lt;0,"VALOR NEGATIVO",IF(OR(AND(TIPOORCAMENTO="Proposto",$AG74&lt;&gt;"",$AG74&gt;0,ORÇAMENTO.CustoUnitario&gt;$AG74),AND(TIPOORCAMENTO="LICITADO",ORÇAMENTO.PrecoUnitarioLicitado&gt;$AN74)),"ACIMA REF.","")))))</f>
        <v/>
      </c>
      <c r="AD74">
        <f ca="1">IF(C74&lt;=CRONO.NivelExibicao,MAX($AD$15:OFFSET(AD74,-1,0))+IF($C74&lt;&gt;1,1,MAX(1,COUNTIF(QCI!$A$13:$A$24,OFFSET($E74,-1,0)))),"")</f>
        <v>11</v>
      </c>
      <c r="AE74" s="7" t="b">
        <f ca="1">IF(AND($C74="S",ORÇAMENTO.CodBarra&lt;&gt;""),IF(ORÇAMENTO.Fonte="",ORÇAMENTO.CodBarra,CONCATENATE(ORÇAMENTO.Fonte," ",ORÇAMENTO.CodBarra)))</f>
        <v>0</v>
      </c>
      <c r="AF74" s="13" t="str">
        <f ca="1">IF(ISERROR(INDIRECT(ORÇAMENTO.BancoRef)),"(abra o arquivo 'Referência "&amp;Excel_BuiltIn_Database&amp;".xlsm)",IF(OR($C74&lt;&gt;"S",ORÇAMENTO.CodBarra=""),"(Sem Código)",IF(ISERROR(MATCH($AE74,INDIRECT(ORÇAMENTO.BancoRef),0)),"(Código não identificado nas referências)",MATCH($AE74,INDIRECT(ORÇAMENTO.BancoRef),0))))</f>
        <v>(abra o arquivo 'Referência 06-2024.xlsm)</v>
      </c>
      <c r="AG74" s="498">
        <f ca="1">ROUND(IF(DESONERACAO="sim",REFERENCIA.Desonerado,REFERENCIA.NaoDesonerado),2)</f>
        <v>0</v>
      </c>
      <c r="AH74" s="499">
        <f t="shared" ca="1" si="33"/>
        <v>0.2432</v>
      </c>
      <c r="AJ74" s="501"/>
      <c r="AL74" s="527"/>
      <c r="AM74" s="381">
        <f t="shared" ca="1" si="34"/>
        <v>0</v>
      </c>
      <c r="AN74" s="566">
        <f t="shared" ca="1" si="35"/>
        <v>0</v>
      </c>
    </row>
    <row r="75" spans="1:40" ht="25.5" x14ac:dyDescent="0.2">
      <c r="A75" t="str">
        <f t="shared" si="20"/>
        <v>S</v>
      </c>
      <c r="B75">
        <f t="shared" ca="1" si="21"/>
        <v>2</v>
      </c>
      <c r="C75" t="str">
        <f t="shared" ca="1" si="22"/>
        <v>S</v>
      </c>
      <c r="D75">
        <f t="shared" ca="1" si="23"/>
        <v>0</v>
      </c>
      <c r="E75">
        <f ca="1">IF($C75=1,OFFSET(E75,-1,0)+MAX(1,COUNTIF(QCI!$A$13:$A$24,OFFSET(ORÇAMENTO!E75,-1,0))),OFFSET(E75,-1,0))</f>
        <v>1</v>
      </c>
      <c r="F75">
        <f t="shared" ca="1" si="24"/>
        <v>10</v>
      </c>
      <c r="G75">
        <f t="shared" ca="1" si="25"/>
        <v>0</v>
      </c>
      <c r="H75">
        <f t="shared" ca="1" si="26"/>
        <v>0</v>
      </c>
      <c r="I75">
        <f t="shared" ca="1" si="27"/>
        <v>0</v>
      </c>
      <c r="J75">
        <f t="shared" ca="1" si="9"/>
        <v>0</v>
      </c>
      <c r="K75">
        <f ca="1">IF(OR($C75="S",$C75=0),0,MATCH(OFFSET($D75,0,$C75)+IF($C75&lt;&gt;1,1,COUNTIF(QCI!$A$13:$A$24,ORÇAMENTO!E75)),OFFSET($D75,1,$C75,ROW($C$727)-ROW($C75)),0))</f>
        <v>0</v>
      </c>
      <c r="L75" s="116" t="str">
        <f t="shared" ca="1" si="28"/>
        <v/>
      </c>
      <c r="M75" s="117" t="s">
        <v>199</v>
      </c>
      <c r="N75" s="118" t="str">
        <f t="shared" ca="1" si="29"/>
        <v>Serviço</v>
      </c>
      <c r="O75" s="119" t="str">
        <f t="shared" ca="1" si="30"/>
        <v>-</v>
      </c>
      <c r="P75" s="120" t="s">
        <v>247</v>
      </c>
      <c r="Q75" s="121" t="s">
        <v>498</v>
      </c>
      <c r="R75" s="122" t="str">
        <f ca="1">IF($C75="S",REFERENCIA.Descricao,"(digite a descrição aqui)")</f>
        <v>(abra o arquivo 'Referência 06-2024.xlsm)</v>
      </c>
      <c r="S75" s="123" t="str">
        <f ca="1">REFERENCIA.Unidade</f>
        <v>-</v>
      </c>
      <c r="T75" s="124">
        <f ca="1">OFFSET(CÁLCULO!H$15,ROW($T75)-ROW(T$15),0)</f>
        <v>43.7</v>
      </c>
      <c r="U75" s="125">
        <f t="shared" ca="1" si="36"/>
        <v>0</v>
      </c>
      <c r="V75" s="126" t="s">
        <v>156</v>
      </c>
      <c r="W75" s="124">
        <f ca="1">IF($C75="S",ROUND(IF(TIPOORCAMENTO="Proposto",ORÇAMENTO.CustoUnitario*(1+$AH75),ORÇAMENTO.PrecoUnitarioLicitado),15-13*$AF$10),0)</f>
        <v>0</v>
      </c>
      <c r="X75" s="127">
        <f ca="1">IF($C75="S",IF(Import.TipoArredondamento&lt;&gt;"TransfereGOV",VTOTAL1,SUM(OFFSET(CÁLCULO!$AI$15,ROW($X75)-ROW($X$15),1):OFFSET(CÁLCULO!$BB$15,ROW($X75)-ROW($X$15),-1))),IF($C75=0,0,ROUND(SomaAgrup,15-13*$AF$11)))</f>
        <v>0</v>
      </c>
      <c r="Y75" s="128" t="s">
        <v>245</v>
      </c>
      <c r="Z75" t="str">
        <f t="shared" ca="1" si="31"/>
        <v/>
      </c>
      <c r="AA75" s="129">
        <f ca="1">IF($C75="S",IF($Z75="CP",$X75,IF($Z75="RA",(($X75)*QCI!$AA$3),0)),SomaAgrup)</f>
        <v>0</v>
      </c>
      <c r="AB75" s="130">
        <f t="shared" ca="1" si="32"/>
        <v>0</v>
      </c>
      <c r="AC75" s="131" t="str">
        <f ca="1">IF($N75="","",IF(ORÇAMENTO.Descricao="","DESCRIÇÃO",IF(AND($C75="S",ORÇAMENTO.Unidade=""),"UNIDADE",IF($X75&lt;0,"VALOR NEGATIVO",IF(OR(AND(TIPOORCAMENTO="Proposto",$AG75&lt;&gt;"",$AG75&gt;0,ORÇAMENTO.CustoUnitario&gt;$AG75),AND(TIPOORCAMENTO="LICITADO",ORÇAMENTO.PrecoUnitarioLicitado&gt;$AN75)),"ACIMA REF.","")))))</f>
        <v/>
      </c>
      <c r="AD75" t="str">
        <f ca="1">IF(C75&lt;=CRONO.NivelExibicao,MAX($AD$15:OFFSET(AD75,-1,0))+IF($C75&lt;&gt;1,1,MAX(1,COUNTIF(QCI!$A$13:$A$24,OFFSET($E75,-1,0)))),"")</f>
        <v/>
      </c>
      <c r="AE75" s="7" t="str">
        <f ca="1">IF(AND($C75="S",ORÇAMENTO.CodBarra&lt;&gt;""),IF(ORÇAMENTO.Fonte="",ORÇAMENTO.CodBarra,CONCATENATE(ORÇAMENTO.Fonte," ",ORÇAMENTO.CodBarra)))</f>
        <v>SINAPI 93184</v>
      </c>
      <c r="AF75" s="13" t="str">
        <f ca="1">IF(ISERROR(INDIRECT(ORÇAMENTO.BancoRef)),"(abra o arquivo 'Referência "&amp;Excel_BuiltIn_Database&amp;".xlsm)",IF(OR($C75&lt;&gt;"S",ORÇAMENTO.CodBarra=""),"(Sem Código)",IF(ISERROR(MATCH($AE75,INDIRECT(ORÇAMENTO.BancoRef),0)),"(Código não identificado nas referências)",MATCH($AE75,INDIRECT(ORÇAMENTO.BancoRef),0))))</f>
        <v>(abra o arquivo 'Referência 06-2024.xlsm)</v>
      </c>
      <c r="AG75" s="498">
        <f ca="1">ROUND(IF(DESONERACAO="sim",REFERENCIA.Desonerado,REFERENCIA.NaoDesonerado),2)</f>
        <v>0</v>
      </c>
      <c r="AH75" s="499">
        <f t="shared" ca="1" si="33"/>
        <v>0.2432</v>
      </c>
      <c r="AJ75" s="501"/>
      <c r="AL75" s="527"/>
      <c r="AM75" s="381">
        <f t="shared" ca="1" si="34"/>
        <v>0</v>
      </c>
      <c r="AN75" s="566">
        <f t="shared" ca="1" si="35"/>
        <v>0</v>
      </c>
    </row>
    <row r="76" spans="1:40" ht="25.5" x14ac:dyDescent="0.2">
      <c r="A76" t="str">
        <f t="shared" si="20"/>
        <v>S</v>
      </c>
      <c r="B76">
        <f t="shared" ca="1" si="21"/>
        <v>2</v>
      </c>
      <c r="C76" t="str">
        <f t="shared" ca="1" si="22"/>
        <v>S</v>
      </c>
      <c r="D76">
        <f t="shared" ca="1" si="23"/>
        <v>0</v>
      </c>
      <c r="E76">
        <f ca="1">IF($C76=1,OFFSET(E76,-1,0)+MAX(1,COUNTIF(QCI!$A$13:$A$24,OFFSET(ORÇAMENTO!E76,-1,0))),OFFSET(E76,-1,0))</f>
        <v>1</v>
      </c>
      <c r="F76">
        <f t="shared" ca="1" si="24"/>
        <v>10</v>
      </c>
      <c r="G76">
        <f t="shared" ca="1" si="25"/>
        <v>0</v>
      </c>
      <c r="H76">
        <f t="shared" ca="1" si="26"/>
        <v>0</v>
      </c>
      <c r="I76">
        <f t="shared" ca="1" si="27"/>
        <v>0</v>
      </c>
      <c r="J76">
        <f t="shared" ca="1" si="9"/>
        <v>0</v>
      </c>
      <c r="K76">
        <f ca="1">IF(OR($C76="S",$C76=0),0,MATCH(OFFSET($D76,0,$C76)+IF($C76&lt;&gt;1,1,COUNTIF(QCI!$A$13:$A$24,ORÇAMENTO!E76)),OFFSET($D76,1,$C76,ROW($C$727)-ROW($C76)),0))</f>
        <v>0</v>
      </c>
      <c r="L76" s="116" t="str">
        <f t="shared" ca="1" si="28"/>
        <v/>
      </c>
      <c r="M76" s="117" t="s">
        <v>199</v>
      </c>
      <c r="N76" s="118" t="str">
        <f t="shared" ca="1" si="29"/>
        <v>Serviço</v>
      </c>
      <c r="O76" s="119" t="str">
        <f t="shared" ca="1" si="30"/>
        <v>-</v>
      </c>
      <c r="P76" s="120" t="s">
        <v>458</v>
      </c>
      <c r="Q76" s="121">
        <v>93185</v>
      </c>
      <c r="R76" s="122" t="str">
        <f ca="1">IF($C76="S",REFERENCIA.Descricao,"(digite a descrição aqui)")</f>
        <v>(abra o arquivo 'Referência 06-2024.xlsm)</v>
      </c>
      <c r="S76" s="123" t="str">
        <f ca="1">REFERENCIA.Unidade</f>
        <v>-</v>
      </c>
      <c r="T76" s="124">
        <f ca="1">OFFSET(CÁLCULO!H$15,ROW($T76)-ROW(T$15),0)</f>
        <v>8.9</v>
      </c>
      <c r="U76" s="125">
        <f t="shared" ca="1" si="36"/>
        <v>0</v>
      </c>
      <c r="V76" s="126" t="s">
        <v>156</v>
      </c>
      <c r="W76" s="124">
        <f ca="1">IF($C76="S",ROUND(IF(TIPOORCAMENTO="Proposto",ORÇAMENTO.CustoUnitario*(1+$AH76),ORÇAMENTO.PrecoUnitarioLicitado),15-13*$AF$10),0)</f>
        <v>0</v>
      </c>
      <c r="X76" s="127">
        <f ca="1">IF($C76="S",IF(Import.TipoArredondamento&lt;&gt;"TransfereGOV",VTOTAL1,SUM(OFFSET(CÁLCULO!$AI$15,ROW($X76)-ROW($X$15),1):OFFSET(CÁLCULO!$BB$15,ROW($X76)-ROW($X$15),-1))),IF($C76=0,0,ROUND(SomaAgrup,15-13*$AF$11)))</f>
        <v>0</v>
      </c>
      <c r="Y76" s="128" t="s">
        <v>245</v>
      </c>
      <c r="Z76" t="str">
        <f t="shared" ca="1" si="31"/>
        <v/>
      </c>
      <c r="AA76" s="129">
        <f ca="1">IF($C76="S",IF($Z76="CP",$X76,IF($Z76="RA",(($X76)*QCI!$AA$3),0)),SomaAgrup)</f>
        <v>0</v>
      </c>
      <c r="AB76" s="130">
        <f t="shared" ca="1" si="32"/>
        <v>0</v>
      </c>
      <c r="AC76" s="131" t="str">
        <f ca="1">IF($N76="","",IF(ORÇAMENTO.Descricao="","DESCRIÇÃO",IF(AND($C76="S",ORÇAMENTO.Unidade=""),"UNIDADE",IF($X76&lt;0,"VALOR NEGATIVO",IF(OR(AND(TIPOORCAMENTO="Proposto",$AG76&lt;&gt;"",$AG76&gt;0,ORÇAMENTO.CustoUnitario&gt;$AG76),AND(TIPOORCAMENTO="LICITADO",ORÇAMENTO.PrecoUnitarioLicitado&gt;$AN76)),"ACIMA REF.","")))))</f>
        <v/>
      </c>
      <c r="AD76" t="str">
        <f ca="1">IF(C76&lt;=CRONO.NivelExibicao,MAX($AD$15:OFFSET(AD76,-1,0))+IF($C76&lt;&gt;1,1,MAX(1,COUNTIF(QCI!$A$13:$A$24,OFFSET($E76,-1,0)))),"")</f>
        <v/>
      </c>
      <c r="AE76" s="7" t="str">
        <f ca="1">IF(AND($C76="S",ORÇAMENTO.CodBarra&lt;&gt;""),IF(ORÇAMENTO.Fonte="",ORÇAMENTO.CodBarra,CONCATENATE(ORÇAMENTO.Fonte," ",ORÇAMENTO.CodBarra)))</f>
        <v>COMPOSIÇÃO 93185</v>
      </c>
      <c r="AF76" s="13" t="str">
        <f ca="1">IF(ISERROR(INDIRECT(ORÇAMENTO.BancoRef)),"(abra o arquivo 'Referência "&amp;Excel_BuiltIn_Database&amp;".xlsm)",IF(OR($C76&lt;&gt;"S",ORÇAMENTO.CodBarra=""),"(Sem Código)",IF(ISERROR(MATCH($AE76,INDIRECT(ORÇAMENTO.BancoRef),0)),"(Código não identificado nas referências)",MATCH($AE76,INDIRECT(ORÇAMENTO.BancoRef),0))))</f>
        <v>(abra o arquivo 'Referência 06-2024.xlsm)</v>
      </c>
      <c r="AG76" s="498">
        <f ca="1">ROUND(IF(DESONERACAO="sim",REFERENCIA.Desonerado,REFERENCIA.NaoDesonerado),2)</f>
        <v>0</v>
      </c>
      <c r="AH76" s="499">
        <f t="shared" ca="1" si="33"/>
        <v>0.2432</v>
      </c>
      <c r="AJ76" s="501"/>
      <c r="AL76" s="527"/>
      <c r="AM76" s="381">
        <f t="shared" ca="1" si="34"/>
        <v>0</v>
      </c>
      <c r="AN76" s="566">
        <f t="shared" ca="1" si="35"/>
        <v>0</v>
      </c>
    </row>
    <row r="77" spans="1:40" ht="25.5" x14ac:dyDescent="0.2">
      <c r="A77" t="str">
        <f t="shared" si="20"/>
        <v>S</v>
      </c>
      <c r="B77">
        <f t="shared" ca="1" si="21"/>
        <v>2</v>
      </c>
      <c r="C77" t="str">
        <f t="shared" ca="1" si="22"/>
        <v>S</v>
      </c>
      <c r="D77">
        <f t="shared" ca="1" si="23"/>
        <v>0</v>
      </c>
      <c r="E77">
        <f ca="1">IF($C77=1,OFFSET(E77,-1,0)+MAX(1,COUNTIF(QCI!$A$13:$A$24,OFFSET(ORÇAMENTO!E77,-1,0))),OFFSET(E77,-1,0))</f>
        <v>1</v>
      </c>
      <c r="F77">
        <f t="shared" ca="1" si="24"/>
        <v>10</v>
      </c>
      <c r="G77">
        <f t="shared" ca="1" si="25"/>
        <v>0</v>
      </c>
      <c r="H77">
        <f t="shared" ca="1" si="26"/>
        <v>0</v>
      </c>
      <c r="I77">
        <f t="shared" ca="1" si="27"/>
        <v>0</v>
      </c>
      <c r="J77">
        <f t="shared" ca="1" si="9"/>
        <v>0</v>
      </c>
      <c r="K77">
        <f ca="1">IF(OR($C77="S",$C77=0),0,MATCH(OFFSET($D77,0,$C77)+IF($C77&lt;&gt;1,1,COUNTIF(QCI!$A$13:$A$24,ORÇAMENTO!E77)),OFFSET($D77,1,$C77,ROW($C$727)-ROW($C77)),0))</f>
        <v>0</v>
      </c>
      <c r="L77" s="116" t="str">
        <f t="shared" ca="1" si="28"/>
        <v/>
      </c>
      <c r="M77" s="117" t="s">
        <v>199</v>
      </c>
      <c r="N77" s="118" t="str">
        <f t="shared" ca="1" si="29"/>
        <v>Serviço</v>
      </c>
      <c r="O77" s="119" t="str">
        <f t="shared" ca="1" si="30"/>
        <v>-</v>
      </c>
      <c r="P77" s="120" t="s">
        <v>458</v>
      </c>
      <c r="Q77" s="121">
        <v>93183</v>
      </c>
      <c r="R77" s="122" t="str">
        <f ca="1">IF($C77="S",REFERENCIA.Descricao,"(digite a descrição aqui)")</f>
        <v>(abra o arquivo 'Referência 06-2024.xlsm)</v>
      </c>
      <c r="S77" s="123" t="str">
        <f ca="1">REFERENCIA.Unidade</f>
        <v>-</v>
      </c>
      <c r="T77" s="124">
        <f ca="1">OFFSET(CÁLCULO!H$15,ROW($T77)-ROW(T$15),0)</f>
        <v>9.4</v>
      </c>
      <c r="U77" s="125">
        <f t="shared" ca="1" si="36"/>
        <v>0</v>
      </c>
      <c r="V77" s="126" t="s">
        <v>156</v>
      </c>
      <c r="W77" s="124">
        <f ca="1">IF($C77="S",ROUND(IF(TIPOORCAMENTO="Proposto",ORÇAMENTO.CustoUnitario*(1+$AH77),ORÇAMENTO.PrecoUnitarioLicitado),15-13*$AF$10),0)</f>
        <v>0</v>
      </c>
      <c r="X77" s="127">
        <f ca="1">IF($C77="S",IF(Import.TipoArredondamento&lt;&gt;"TransfereGOV",VTOTAL1,SUM(OFFSET(CÁLCULO!$AI$15,ROW($X77)-ROW($X$15),1):OFFSET(CÁLCULO!$BB$15,ROW($X77)-ROW($X$15),-1))),IF($C77=0,0,ROUND(SomaAgrup,15-13*$AF$11)))</f>
        <v>0</v>
      </c>
      <c r="Y77" s="128" t="s">
        <v>245</v>
      </c>
      <c r="Z77" t="str">
        <f t="shared" ca="1" si="31"/>
        <v/>
      </c>
      <c r="AA77" s="129">
        <f ca="1">IF($C77="S",IF($Z77="CP",$X77,IF($Z77="RA",(($X77)*QCI!$AA$3),0)),SomaAgrup)</f>
        <v>0</v>
      </c>
      <c r="AB77" s="130">
        <f t="shared" ca="1" si="32"/>
        <v>0</v>
      </c>
      <c r="AC77" s="131" t="str">
        <f ca="1">IF($N77="","",IF(ORÇAMENTO.Descricao="","DESCRIÇÃO",IF(AND($C77="S",ORÇAMENTO.Unidade=""),"UNIDADE",IF($X77&lt;0,"VALOR NEGATIVO",IF(OR(AND(TIPOORCAMENTO="Proposto",$AG77&lt;&gt;"",$AG77&gt;0,ORÇAMENTO.CustoUnitario&gt;$AG77),AND(TIPOORCAMENTO="LICITADO",ORÇAMENTO.PrecoUnitarioLicitado&gt;$AN77)),"ACIMA REF.","")))))</f>
        <v/>
      </c>
      <c r="AD77" t="str">
        <f ca="1">IF(C77&lt;=CRONO.NivelExibicao,MAX($AD$15:OFFSET(AD77,-1,0))+IF($C77&lt;&gt;1,1,MAX(1,COUNTIF(QCI!$A$13:$A$24,OFFSET($E77,-1,0)))),"")</f>
        <v/>
      </c>
      <c r="AE77" s="7" t="str">
        <f ca="1">IF(AND($C77="S",ORÇAMENTO.CodBarra&lt;&gt;""),IF(ORÇAMENTO.Fonte="",ORÇAMENTO.CodBarra,CONCATENATE(ORÇAMENTO.Fonte," ",ORÇAMENTO.CodBarra)))</f>
        <v>COMPOSIÇÃO 93183</v>
      </c>
      <c r="AF77" s="13" t="str">
        <f ca="1">IF(ISERROR(INDIRECT(ORÇAMENTO.BancoRef)),"(abra o arquivo 'Referência "&amp;Excel_BuiltIn_Database&amp;".xlsm)",IF(OR($C77&lt;&gt;"S",ORÇAMENTO.CodBarra=""),"(Sem Código)",IF(ISERROR(MATCH($AE77,INDIRECT(ORÇAMENTO.BancoRef),0)),"(Código não identificado nas referências)",MATCH($AE77,INDIRECT(ORÇAMENTO.BancoRef),0))))</f>
        <v>(abra o arquivo 'Referência 06-2024.xlsm)</v>
      </c>
      <c r="AG77" s="498">
        <f ca="1">ROUND(IF(DESONERACAO="sim",REFERENCIA.Desonerado,REFERENCIA.NaoDesonerado),2)</f>
        <v>0</v>
      </c>
      <c r="AH77" s="499">
        <f t="shared" ca="1" si="33"/>
        <v>0.2432</v>
      </c>
      <c r="AJ77" s="501"/>
      <c r="AL77" s="527"/>
      <c r="AM77" s="381">
        <f t="shared" ca="1" si="34"/>
        <v>0</v>
      </c>
      <c r="AN77" s="566">
        <f t="shared" ca="1" si="35"/>
        <v>0</v>
      </c>
    </row>
    <row r="78" spans="1:40" ht="25.5" x14ac:dyDescent="0.2">
      <c r="A78" t="str">
        <f t="shared" si="20"/>
        <v>S</v>
      </c>
      <c r="B78">
        <f t="shared" ca="1" si="21"/>
        <v>2</v>
      </c>
      <c r="C78" t="str">
        <f t="shared" ca="1" si="22"/>
        <v>S</v>
      </c>
      <c r="D78">
        <f t="shared" ca="1" si="23"/>
        <v>0</v>
      </c>
      <c r="E78">
        <f ca="1">IF($C78=1,OFFSET(E78,-1,0)+MAX(1,COUNTIF(QCI!$A$13:$A$24,OFFSET(ORÇAMENTO!E78,-1,0))),OFFSET(E78,-1,0))</f>
        <v>1</v>
      </c>
      <c r="F78">
        <f t="shared" ca="1" si="24"/>
        <v>10</v>
      </c>
      <c r="G78">
        <f t="shared" ca="1" si="25"/>
        <v>0</v>
      </c>
      <c r="H78">
        <f t="shared" ca="1" si="26"/>
        <v>0</v>
      </c>
      <c r="I78">
        <f t="shared" ca="1" si="27"/>
        <v>0</v>
      </c>
      <c r="J78">
        <f t="shared" ca="1" si="9"/>
        <v>0</v>
      </c>
      <c r="K78">
        <f ca="1">IF(OR($C78="S",$C78=0),0,MATCH(OFFSET($D78,0,$C78)+IF($C78&lt;&gt;1,1,COUNTIF(QCI!$A$13:$A$24,ORÇAMENTO!E78)),OFFSET($D78,1,$C78,ROW($C$727)-ROW($C78)),0))</f>
        <v>0</v>
      </c>
      <c r="L78" s="116" t="str">
        <f t="shared" ca="1" si="28"/>
        <v/>
      </c>
      <c r="M78" s="117" t="s">
        <v>199</v>
      </c>
      <c r="N78" s="118" t="str">
        <f t="shared" ca="1" si="29"/>
        <v>Serviço</v>
      </c>
      <c r="O78" s="119" t="str">
        <f t="shared" ca="1" si="30"/>
        <v>-</v>
      </c>
      <c r="P78" s="120" t="s">
        <v>458</v>
      </c>
      <c r="Q78" s="121">
        <v>93182</v>
      </c>
      <c r="R78" s="122" t="str">
        <f ca="1">IF($C78="S",REFERENCIA.Descricao,"(digite a descrição aqui)")</f>
        <v>(abra o arquivo 'Referência 06-2024.xlsm)</v>
      </c>
      <c r="S78" s="123" t="str">
        <f ca="1">REFERENCIA.Unidade</f>
        <v>-</v>
      </c>
      <c r="T78" s="124">
        <f ca="1">OFFSET(CÁLCULO!H$15,ROW($T78)-ROW(T$15),0)</f>
        <v>7</v>
      </c>
      <c r="U78" s="125">
        <f t="shared" ca="1" si="36"/>
        <v>0</v>
      </c>
      <c r="V78" s="126" t="s">
        <v>156</v>
      </c>
      <c r="W78" s="124">
        <f ca="1">IF($C78="S",ROUND(IF(TIPOORCAMENTO="Proposto",ORÇAMENTO.CustoUnitario*(1+$AH78),ORÇAMENTO.PrecoUnitarioLicitado),15-13*$AF$10),0)</f>
        <v>0</v>
      </c>
      <c r="X78" s="127">
        <f ca="1">IF($C78="S",IF(Import.TipoArredondamento&lt;&gt;"TransfereGOV",VTOTAL1,SUM(OFFSET(CÁLCULO!$AI$15,ROW($X78)-ROW($X$15),1):OFFSET(CÁLCULO!$BB$15,ROW($X78)-ROW($X$15),-1))),IF($C78=0,0,ROUND(SomaAgrup,15-13*$AF$11)))</f>
        <v>0</v>
      </c>
      <c r="Y78" s="128" t="s">
        <v>245</v>
      </c>
      <c r="Z78" t="str">
        <f t="shared" ca="1" si="31"/>
        <v/>
      </c>
      <c r="AA78" s="129">
        <f ca="1">IF($C78="S",IF($Z78="CP",$X78,IF($Z78="RA",(($X78)*QCI!$AA$3),0)),SomaAgrup)</f>
        <v>0</v>
      </c>
      <c r="AB78" s="130">
        <f t="shared" ca="1" si="32"/>
        <v>0</v>
      </c>
      <c r="AC78" s="131" t="str">
        <f ca="1">IF($N78="","",IF(ORÇAMENTO.Descricao="","DESCRIÇÃO",IF(AND($C78="S",ORÇAMENTO.Unidade=""),"UNIDADE",IF($X78&lt;0,"VALOR NEGATIVO",IF(OR(AND(TIPOORCAMENTO="Proposto",$AG78&lt;&gt;"",$AG78&gt;0,ORÇAMENTO.CustoUnitario&gt;$AG78),AND(TIPOORCAMENTO="LICITADO",ORÇAMENTO.PrecoUnitarioLicitado&gt;$AN78)),"ACIMA REF.","")))))</f>
        <v/>
      </c>
      <c r="AD78" t="str">
        <f ca="1">IF(C78&lt;=CRONO.NivelExibicao,MAX($AD$15:OFFSET(AD78,-1,0))+IF($C78&lt;&gt;1,1,MAX(1,COUNTIF(QCI!$A$13:$A$24,OFFSET($E78,-1,0)))),"")</f>
        <v/>
      </c>
      <c r="AE78" s="7" t="str">
        <f ca="1">IF(AND($C78="S",ORÇAMENTO.CodBarra&lt;&gt;""),IF(ORÇAMENTO.Fonte="",ORÇAMENTO.CodBarra,CONCATENATE(ORÇAMENTO.Fonte," ",ORÇAMENTO.CodBarra)))</f>
        <v>COMPOSIÇÃO 93182</v>
      </c>
      <c r="AF78" s="13" t="str">
        <f ca="1">IF(ISERROR(INDIRECT(ORÇAMENTO.BancoRef)),"(abra o arquivo 'Referência "&amp;Excel_BuiltIn_Database&amp;".xlsm)",IF(OR($C78&lt;&gt;"S",ORÇAMENTO.CodBarra=""),"(Sem Código)",IF(ISERROR(MATCH($AE78,INDIRECT(ORÇAMENTO.BancoRef),0)),"(Código não identificado nas referências)",MATCH($AE78,INDIRECT(ORÇAMENTO.BancoRef),0))))</f>
        <v>(abra o arquivo 'Referência 06-2024.xlsm)</v>
      </c>
      <c r="AG78" s="498">
        <f ca="1">ROUND(IF(DESONERACAO="sim",REFERENCIA.Desonerado,REFERENCIA.NaoDesonerado),2)</f>
        <v>0</v>
      </c>
      <c r="AH78" s="499">
        <f t="shared" ca="1" si="33"/>
        <v>0.2432</v>
      </c>
      <c r="AJ78" s="501"/>
      <c r="AL78" s="527"/>
      <c r="AM78" s="381">
        <f t="shared" ca="1" si="34"/>
        <v>0</v>
      </c>
      <c r="AN78" s="566">
        <f t="shared" ca="1" si="35"/>
        <v>0</v>
      </c>
    </row>
    <row r="79" spans="1:40" ht="25.5" x14ac:dyDescent="0.2">
      <c r="A79" t="str">
        <f t="shared" si="20"/>
        <v>S</v>
      </c>
      <c r="B79">
        <f t="shared" ca="1" si="21"/>
        <v>2</v>
      </c>
      <c r="C79" t="str">
        <f t="shared" ca="1" si="22"/>
        <v>S</v>
      </c>
      <c r="D79">
        <f t="shared" ca="1" si="23"/>
        <v>0</v>
      </c>
      <c r="E79">
        <f ca="1">IF($C79=1,OFFSET(E79,-1,0)+MAX(1,COUNTIF(QCI!$A$13:$A$24,OFFSET(ORÇAMENTO!E79,-1,0))),OFFSET(E79,-1,0))</f>
        <v>1</v>
      </c>
      <c r="F79">
        <f t="shared" ca="1" si="24"/>
        <v>10</v>
      </c>
      <c r="G79">
        <f t="shared" ca="1" si="25"/>
        <v>0</v>
      </c>
      <c r="H79">
        <f t="shared" ca="1" si="26"/>
        <v>0</v>
      </c>
      <c r="I79">
        <f t="shared" ca="1" si="27"/>
        <v>0</v>
      </c>
      <c r="J79">
        <f t="shared" ca="1" si="9"/>
        <v>0</v>
      </c>
      <c r="K79">
        <f ca="1">IF(OR($C79="S",$C79=0),0,MATCH(OFFSET($D79,0,$C79)+IF($C79&lt;&gt;1,1,COUNTIF(QCI!$A$13:$A$24,ORÇAMENTO!E79)),OFFSET($D79,1,$C79,ROW($C$727)-ROW($C79)),0))</f>
        <v>0</v>
      </c>
      <c r="L79" s="116" t="str">
        <f t="shared" ca="1" si="28"/>
        <v/>
      </c>
      <c r="M79" s="117" t="s">
        <v>199</v>
      </c>
      <c r="N79" s="118" t="str">
        <f t="shared" ca="1" si="29"/>
        <v>Serviço</v>
      </c>
      <c r="O79" s="119" t="str">
        <f t="shared" ca="1" si="30"/>
        <v>-</v>
      </c>
      <c r="P79" s="120" t="s">
        <v>458</v>
      </c>
      <c r="Q79" s="121">
        <v>93195</v>
      </c>
      <c r="R79" s="122" t="str">
        <f ca="1">IF($C79="S",REFERENCIA.Descricao,"(digite a descrição aqui)")</f>
        <v>(abra o arquivo 'Referência 06-2024.xlsm)</v>
      </c>
      <c r="S79" s="123" t="str">
        <f ca="1">REFERENCIA.Unidade</f>
        <v>-</v>
      </c>
      <c r="T79" s="124">
        <f ca="1">OFFSET(CÁLCULO!H$15,ROW($T79)-ROW(T$15),0)</f>
        <v>122.7</v>
      </c>
      <c r="U79" s="125">
        <f t="shared" ca="1" si="36"/>
        <v>0</v>
      </c>
      <c r="V79" s="126" t="s">
        <v>156</v>
      </c>
      <c r="W79" s="124">
        <f ca="1">IF($C79="S",ROUND(IF(TIPOORCAMENTO="Proposto",ORÇAMENTO.CustoUnitario*(1+$AH79),ORÇAMENTO.PrecoUnitarioLicitado),15-13*$AF$10),0)</f>
        <v>0</v>
      </c>
      <c r="X79" s="127">
        <f ca="1">IF($C79="S",IF(Import.TipoArredondamento&lt;&gt;"TransfereGOV",VTOTAL1,SUM(OFFSET(CÁLCULO!$AI$15,ROW($X79)-ROW($X$15),1):OFFSET(CÁLCULO!$BB$15,ROW($X79)-ROW($X$15),-1))),IF($C79=0,0,ROUND(SomaAgrup,15-13*$AF$11)))</f>
        <v>0</v>
      </c>
      <c r="Y79" s="128" t="s">
        <v>245</v>
      </c>
      <c r="Z79" t="str">
        <f t="shared" ca="1" si="31"/>
        <v/>
      </c>
      <c r="AA79" s="129">
        <f ca="1">IF($C79="S",IF($Z79="CP",$X79,IF($Z79="RA",(($X79)*QCI!$AA$3),0)),SomaAgrup)</f>
        <v>0</v>
      </c>
      <c r="AB79" s="130">
        <f t="shared" ca="1" si="32"/>
        <v>0</v>
      </c>
      <c r="AC79" s="131" t="str">
        <f ca="1">IF($N79="","",IF(ORÇAMENTO.Descricao="","DESCRIÇÃO",IF(AND($C79="S",ORÇAMENTO.Unidade=""),"UNIDADE",IF($X79&lt;0,"VALOR NEGATIVO",IF(OR(AND(TIPOORCAMENTO="Proposto",$AG79&lt;&gt;"",$AG79&gt;0,ORÇAMENTO.CustoUnitario&gt;$AG79),AND(TIPOORCAMENTO="LICITADO",ORÇAMENTO.PrecoUnitarioLicitado&gt;$AN79)),"ACIMA REF.","")))))</f>
        <v/>
      </c>
      <c r="AD79" t="str">
        <f ca="1">IF(C79&lt;=CRONO.NivelExibicao,MAX($AD$15:OFFSET(AD79,-1,0))+IF($C79&lt;&gt;1,1,MAX(1,COUNTIF(QCI!$A$13:$A$24,OFFSET($E79,-1,0)))),"")</f>
        <v/>
      </c>
      <c r="AE79" s="7" t="str">
        <f ca="1">IF(AND($C79="S",ORÇAMENTO.CodBarra&lt;&gt;""),IF(ORÇAMENTO.Fonte="",ORÇAMENTO.CodBarra,CONCATENATE(ORÇAMENTO.Fonte," ",ORÇAMENTO.CodBarra)))</f>
        <v>COMPOSIÇÃO 93195</v>
      </c>
      <c r="AF79" s="13" t="str">
        <f ca="1">IF(ISERROR(INDIRECT(ORÇAMENTO.BancoRef)),"(abra o arquivo 'Referência "&amp;Excel_BuiltIn_Database&amp;".xlsm)",IF(OR($C79&lt;&gt;"S",ORÇAMENTO.CodBarra=""),"(Sem Código)",IF(ISERROR(MATCH($AE79,INDIRECT(ORÇAMENTO.BancoRef),0)),"(Código não identificado nas referências)",MATCH($AE79,INDIRECT(ORÇAMENTO.BancoRef),0))))</f>
        <v>(abra o arquivo 'Referência 06-2024.xlsm)</v>
      </c>
      <c r="AG79" s="498">
        <f ca="1">ROUND(IF(DESONERACAO="sim",REFERENCIA.Desonerado,REFERENCIA.NaoDesonerado),2)</f>
        <v>0</v>
      </c>
      <c r="AH79" s="499">
        <f t="shared" ca="1" si="33"/>
        <v>0.2432</v>
      </c>
      <c r="AJ79" s="501"/>
      <c r="AL79" s="527"/>
      <c r="AM79" s="381">
        <f t="shared" ca="1" si="34"/>
        <v>0</v>
      </c>
      <c r="AN79" s="566">
        <f t="shared" ca="1" si="35"/>
        <v>0</v>
      </c>
    </row>
    <row r="80" spans="1:40" x14ac:dyDescent="0.2">
      <c r="A80" t="str">
        <f t="shared" si="20"/>
        <v>S</v>
      </c>
      <c r="B80">
        <f t="shared" ca="1" si="21"/>
        <v>2</v>
      </c>
      <c r="C80" t="str">
        <f t="shared" ca="1" si="22"/>
        <v>S</v>
      </c>
      <c r="D80">
        <f t="shared" ca="1" si="23"/>
        <v>0</v>
      </c>
      <c r="E80">
        <f ca="1">IF($C80=1,OFFSET(E80,-1,0)+MAX(1,COUNTIF(QCI!$A$13:$A$24,OFFSET(ORÇAMENTO!E80,-1,0))),OFFSET(E80,-1,0))</f>
        <v>1</v>
      </c>
      <c r="F80">
        <f t="shared" ca="1" si="24"/>
        <v>10</v>
      </c>
      <c r="G80">
        <f t="shared" ca="1" si="25"/>
        <v>0</v>
      </c>
      <c r="H80">
        <f t="shared" ca="1" si="26"/>
        <v>0</v>
      </c>
      <c r="I80">
        <f t="shared" ca="1" si="27"/>
        <v>0</v>
      </c>
      <c r="J80">
        <f t="shared" ref="J80:J143" ca="1" si="37">IF(OR($C80="S",$C80=0),0,MATCH(0,OFFSET($D80,1,$C80,ROW($C$727)-ROW($C80)),0))</f>
        <v>0</v>
      </c>
      <c r="K80">
        <f ca="1">IF(OR($C80="S",$C80=0),0,MATCH(OFFSET($D80,0,$C80)+IF($C80&lt;&gt;1,1,COUNTIF(QCI!$A$13:$A$24,ORÇAMENTO!E80)),OFFSET($D80,1,$C80,ROW($C$727)-ROW($C80)),0))</f>
        <v>0</v>
      </c>
      <c r="L80" s="116" t="str">
        <f t="shared" ca="1" si="28"/>
        <v/>
      </c>
      <c r="M80" s="117" t="s">
        <v>199</v>
      </c>
      <c r="N80" s="118" t="str">
        <f t="shared" ca="1" si="29"/>
        <v>Serviço</v>
      </c>
      <c r="O80" s="119" t="str">
        <f t="shared" ca="1" si="30"/>
        <v>-</v>
      </c>
      <c r="P80" s="120" t="s">
        <v>247</v>
      </c>
      <c r="Q80" s="121" t="s">
        <v>499</v>
      </c>
      <c r="R80" s="122" t="str">
        <f ca="1">IF($C80="S",REFERENCIA.Descricao,"(digite a descrição aqui)")</f>
        <v>(abra o arquivo 'Referência 06-2024.xlsm)</v>
      </c>
      <c r="S80" s="123" t="str">
        <f ca="1">REFERENCIA.Unidade</f>
        <v>-</v>
      </c>
      <c r="T80" s="124">
        <f ca="1">OFFSET(CÁLCULO!H$15,ROW($T80)-ROW(T$15),0)</f>
        <v>16.600000000000001</v>
      </c>
      <c r="U80" s="125">
        <f t="shared" ca="1" si="36"/>
        <v>0</v>
      </c>
      <c r="V80" s="126" t="s">
        <v>156</v>
      </c>
      <c r="W80" s="124">
        <f ca="1">IF($C80="S",ROUND(IF(TIPOORCAMENTO="Proposto",ORÇAMENTO.CustoUnitario*(1+$AH80),ORÇAMENTO.PrecoUnitarioLicitado),15-13*$AF$10),0)</f>
        <v>0</v>
      </c>
      <c r="X80" s="127">
        <f ca="1">IF($C80="S",IF(Import.TipoArredondamento&lt;&gt;"TransfereGOV",VTOTAL1,SUM(OFFSET(CÁLCULO!$AI$15,ROW($X80)-ROW($X$15),1):OFFSET(CÁLCULO!$BB$15,ROW($X80)-ROW($X$15),-1))),IF($C80=0,0,ROUND(SomaAgrup,15-13*$AF$11)))</f>
        <v>0</v>
      </c>
      <c r="Y80" s="128" t="s">
        <v>245</v>
      </c>
      <c r="Z80" t="str">
        <f t="shared" ca="1" si="31"/>
        <v/>
      </c>
      <c r="AA80" s="129">
        <f ca="1">IF($C80="S",IF($Z80="CP",$X80,IF($Z80="RA",(($X80)*QCI!$AA$3),0)),SomaAgrup)</f>
        <v>0</v>
      </c>
      <c r="AB80" s="130">
        <f t="shared" ca="1" si="32"/>
        <v>0</v>
      </c>
      <c r="AC80" s="131" t="str">
        <f ca="1">IF($N80="","",IF(ORÇAMENTO.Descricao="","DESCRIÇÃO",IF(AND($C80="S",ORÇAMENTO.Unidade=""),"UNIDADE",IF($X80&lt;0,"VALOR NEGATIVO",IF(OR(AND(TIPOORCAMENTO="Proposto",$AG80&lt;&gt;"",$AG80&gt;0,ORÇAMENTO.CustoUnitario&gt;$AG80),AND(TIPOORCAMENTO="LICITADO",ORÇAMENTO.PrecoUnitarioLicitado&gt;$AN80)),"ACIMA REF.","")))))</f>
        <v/>
      </c>
      <c r="AD80" t="str">
        <f ca="1">IF(C80&lt;=CRONO.NivelExibicao,MAX($AD$15:OFFSET(AD80,-1,0))+IF($C80&lt;&gt;1,1,MAX(1,COUNTIF(QCI!$A$13:$A$24,OFFSET($E80,-1,0)))),"")</f>
        <v/>
      </c>
      <c r="AE80" s="7" t="str">
        <f ca="1">IF(AND($C80="S",ORÇAMENTO.CodBarra&lt;&gt;""),IF(ORÇAMENTO.Fonte="",ORÇAMENTO.CodBarra,CONCATENATE(ORÇAMENTO.Fonte," ",ORÇAMENTO.CodBarra)))</f>
        <v>SINAPI 93194</v>
      </c>
      <c r="AF80" s="13" t="str">
        <f ca="1">IF(ISERROR(INDIRECT(ORÇAMENTO.BancoRef)),"(abra o arquivo 'Referência "&amp;Excel_BuiltIn_Database&amp;".xlsm)",IF(OR($C80&lt;&gt;"S",ORÇAMENTO.CodBarra=""),"(Sem Código)",IF(ISERROR(MATCH($AE80,INDIRECT(ORÇAMENTO.BancoRef),0)),"(Código não identificado nas referências)",MATCH($AE80,INDIRECT(ORÇAMENTO.BancoRef),0))))</f>
        <v>(abra o arquivo 'Referência 06-2024.xlsm)</v>
      </c>
      <c r="AG80" s="498">
        <f ca="1">ROUND(IF(DESONERACAO="sim",REFERENCIA.Desonerado,REFERENCIA.NaoDesonerado),2)</f>
        <v>0</v>
      </c>
      <c r="AH80" s="499">
        <f t="shared" ca="1" si="33"/>
        <v>0.2432</v>
      </c>
      <c r="AJ80" s="501"/>
      <c r="AL80" s="527"/>
      <c r="AM80" s="381">
        <f t="shared" ca="1" si="34"/>
        <v>0</v>
      </c>
      <c r="AN80" s="566">
        <f t="shared" ca="1" si="35"/>
        <v>0</v>
      </c>
    </row>
    <row r="81" spans="1:40" x14ac:dyDescent="0.2">
      <c r="A81">
        <f t="shared" si="20"/>
        <v>2</v>
      </c>
      <c r="B81">
        <f t="shared" ca="1" si="21"/>
        <v>2</v>
      </c>
      <c r="C81">
        <f t="shared" ca="1" si="22"/>
        <v>2</v>
      </c>
      <c r="D81">
        <f t="shared" ca="1" si="23"/>
        <v>8</v>
      </c>
      <c r="E81">
        <f ca="1">IF($C81=1,OFFSET(E81,-1,0)+MAX(1,COUNTIF(QCI!$A$13:$A$24,OFFSET(ORÇAMENTO!E81,-1,0))),OFFSET(E81,-1,0))</f>
        <v>1</v>
      </c>
      <c r="F81">
        <f t="shared" ca="1" si="24"/>
        <v>11</v>
      </c>
      <c r="G81">
        <f t="shared" ca="1" si="25"/>
        <v>0</v>
      </c>
      <c r="H81">
        <f t="shared" ca="1" si="26"/>
        <v>0</v>
      </c>
      <c r="I81">
        <f t="shared" ca="1" si="27"/>
        <v>0</v>
      </c>
      <c r="J81">
        <f t="shared" ca="1" si="37"/>
        <v>646</v>
      </c>
      <c r="K81">
        <f ca="1">IF(OR($C81="S",$C81=0),0,MATCH(OFFSET($D81,0,$C81)+IF($C81&lt;&gt;1,1,COUNTIF(QCI!$A$13:$A$24,ORÇAMENTO!E81)),OFFSET($D81,1,$C81,ROW($C$727)-ROW($C81)),0))</f>
        <v>8</v>
      </c>
      <c r="L81" s="116" t="str">
        <f t="shared" ca="1" si="28"/>
        <v>F</v>
      </c>
      <c r="M81" s="117" t="s">
        <v>196</v>
      </c>
      <c r="N81" s="118" t="str">
        <f t="shared" ca="1" si="29"/>
        <v>Nível 2</v>
      </c>
      <c r="O81" s="119" t="str">
        <f t="shared" ca="1" si="30"/>
        <v>1.11.</v>
      </c>
      <c r="P81" s="120" t="s">
        <v>247</v>
      </c>
      <c r="Q81" s="121"/>
      <c r="R81" s="122" t="s">
        <v>1039</v>
      </c>
      <c r="S81" s="123" t="str">
        <f ca="1">REFERENCIA.Unidade</f>
        <v>-</v>
      </c>
      <c r="T81" s="124">
        <f ca="1">OFFSET(CÁLCULO!H$15,ROW($T81)-ROW(T$15),0)</f>
        <v>0</v>
      </c>
      <c r="U81" s="125">
        <f t="shared" ca="1" si="36"/>
        <v>0</v>
      </c>
      <c r="V81" s="126" t="s">
        <v>156</v>
      </c>
      <c r="W81" s="124">
        <f ca="1">IF($C81="S",ROUND(IF(TIPOORCAMENTO="Proposto",ORÇAMENTO.CustoUnitario*(1+$AH81),ORÇAMENTO.PrecoUnitarioLicitado),15-13*$AF$10),0)</f>
        <v>0</v>
      </c>
      <c r="X81" s="127">
        <f ca="1">IF($C81="S",IF(Import.TipoArredondamento&lt;&gt;"TransfereGOV",VTOTAL1,SUM(OFFSET(CÁLCULO!$AI$15,ROW($X81)-ROW($X$15),1):OFFSET(CÁLCULO!$BB$15,ROW($X81)-ROW($X$15),-1))),IF($C81=0,0,ROUND(SomaAgrup,15-13*$AF$11)))</f>
        <v>0</v>
      </c>
      <c r="Y81" s="128" t="s">
        <v>245</v>
      </c>
      <c r="Z81" t="str">
        <f t="shared" ca="1" si="31"/>
        <v/>
      </c>
      <c r="AA81" s="129">
        <f ca="1">IF($C81="S",IF($Z81="CP",$X81,IF($Z81="RA",(($X81)*QCI!$AA$3),0)),SomaAgrup)</f>
        <v>0</v>
      </c>
      <c r="AB81" s="130">
        <f t="shared" ca="1" si="32"/>
        <v>0</v>
      </c>
      <c r="AC81" s="131" t="str">
        <f ca="1">IF($N81="","",IF(ORÇAMENTO.Descricao="","DESCRIÇÃO",IF(AND($C81="S",ORÇAMENTO.Unidade=""),"UNIDADE",IF($X81&lt;0,"VALOR NEGATIVO",IF(OR(AND(TIPOORCAMENTO="Proposto",$AG81&lt;&gt;"",$AG81&gt;0,ORÇAMENTO.CustoUnitario&gt;$AG81),AND(TIPOORCAMENTO="LICITADO",ORÇAMENTO.PrecoUnitarioLicitado&gt;$AN81)),"ACIMA REF.","")))))</f>
        <v/>
      </c>
      <c r="AD81">
        <f ca="1">IF(C81&lt;=CRONO.NivelExibicao,MAX($AD$15:OFFSET(AD81,-1,0))+IF($C81&lt;&gt;1,1,MAX(1,COUNTIF(QCI!$A$13:$A$24,OFFSET($E81,-1,0)))),"")</f>
        <v>12</v>
      </c>
      <c r="AE81" s="7" t="b">
        <f ca="1">IF(AND($C81="S",ORÇAMENTO.CodBarra&lt;&gt;""),IF(ORÇAMENTO.Fonte="",ORÇAMENTO.CodBarra,CONCATENATE(ORÇAMENTO.Fonte," ",ORÇAMENTO.CodBarra)))</f>
        <v>0</v>
      </c>
      <c r="AF81" s="13" t="str">
        <f ca="1">IF(ISERROR(INDIRECT(ORÇAMENTO.BancoRef)),"(abra o arquivo 'Referência "&amp;Excel_BuiltIn_Database&amp;".xlsm)",IF(OR($C81&lt;&gt;"S",ORÇAMENTO.CodBarra=""),"(Sem Código)",IF(ISERROR(MATCH($AE81,INDIRECT(ORÇAMENTO.BancoRef),0)),"(Código não identificado nas referências)",MATCH($AE81,INDIRECT(ORÇAMENTO.BancoRef),0))))</f>
        <v>(abra o arquivo 'Referência 06-2024.xlsm)</v>
      </c>
      <c r="AG81" s="498">
        <f ca="1">ROUND(IF(DESONERACAO="sim",REFERENCIA.Desonerado,REFERENCIA.NaoDesonerado),2)</f>
        <v>0</v>
      </c>
      <c r="AH81" s="499">
        <f t="shared" ca="1" si="33"/>
        <v>0.2432</v>
      </c>
      <c r="AJ81" s="501"/>
      <c r="AL81" s="527"/>
      <c r="AM81" s="381">
        <f t="shared" ca="1" si="34"/>
        <v>0</v>
      </c>
      <c r="AN81" s="566">
        <f t="shared" ca="1" si="35"/>
        <v>0</v>
      </c>
    </row>
    <row r="82" spans="1:40" ht="38.25" x14ac:dyDescent="0.2">
      <c r="A82" t="str">
        <f t="shared" si="20"/>
        <v>S</v>
      </c>
      <c r="B82">
        <f t="shared" ca="1" si="21"/>
        <v>2</v>
      </c>
      <c r="C82" t="str">
        <f t="shared" ca="1" si="22"/>
        <v>S</v>
      </c>
      <c r="D82">
        <f t="shared" ca="1" si="23"/>
        <v>0</v>
      </c>
      <c r="E82">
        <f ca="1">IF($C82=1,OFFSET(E82,-1,0)+MAX(1,COUNTIF(QCI!$A$13:$A$24,OFFSET(ORÇAMENTO!E82,-1,0))),OFFSET(E82,-1,0))</f>
        <v>1</v>
      </c>
      <c r="F82">
        <f t="shared" ca="1" si="24"/>
        <v>11</v>
      </c>
      <c r="G82">
        <f t="shared" ca="1" si="25"/>
        <v>0</v>
      </c>
      <c r="H82">
        <f t="shared" ca="1" si="26"/>
        <v>0</v>
      </c>
      <c r="I82">
        <f t="shared" ca="1" si="27"/>
        <v>0</v>
      </c>
      <c r="J82">
        <f t="shared" ca="1" si="37"/>
        <v>0</v>
      </c>
      <c r="K82">
        <f ca="1">IF(OR($C82="S",$C82=0),0,MATCH(OFFSET($D82,0,$C82)+IF($C82&lt;&gt;1,1,COUNTIF(QCI!$A$13:$A$24,ORÇAMENTO!E82)),OFFSET($D82,1,$C82,ROW($C$727)-ROW($C82)),0))</f>
        <v>0</v>
      </c>
      <c r="L82" s="116" t="str">
        <f t="shared" ca="1" si="28"/>
        <v/>
      </c>
      <c r="M82" s="117" t="s">
        <v>199</v>
      </c>
      <c r="N82" s="118" t="str">
        <f t="shared" ca="1" si="29"/>
        <v>Serviço</v>
      </c>
      <c r="O82" s="119" t="str">
        <f t="shared" ca="1" si="30"/>
        <v>-</v>
      </c>
      <c r="P82" s="120" t="s">
        <v>247</v>
      </c>
      <c r="Q82" s="121" t="s">
        <v>500</v>
      </c>
      <c r="R82" s="122" t="str">
        <f ca="1">IF($C82="S",REFERENCIA.Descricao,"(digite a descrição aqui)")</f>
        <v>(abra o arquivo 'Referência 06-2024.xlsm)</v>
      </c>
      <c r="S82" s="123" t="str">
        <f ca="1">REFERENCIA.Unidade</f>
        <v>-</v>
      </c>
      <c r="T82" s="124">
        <f ca="1">OFFSET(CÁLCULO!H$15,ROW($T82)-ROW(T$15),0)</f>
        <v>37.799999999999997</v>
      </c>
      <c r="U82" s="125">
        <f t="shared" ca="1" si="36"/>
        <v>0</v>
      </c>
      <c r="V82" s="126" t="s">
        <v>156</v>
      </c>
      <c r="W82" s="124">
        <f ca="1">IF($C82="S",ROUND(IF(TIPOORCAMENTO="Proposto",ORÇAMENTO.CustoUnitario*(1+$AH82),ORÇAMENTO.PrecoUnitarioLicitado),15-13*$AF$10),0)</f>
        <v>0</v>
      </c>
      <c r="X82" s="127">
        <f ca="1">IF($C82="S",IF(Import.TipoArredondamento&lt;&gt;"TransfereGOV",VTOTAL1,SUM(OFFSET(CÁLCULO!$AI$15,ROW($X82)-ROW($X$15),1):OFFSET(CÁLCULO!$BB$15,ROW($X82)-ROW($X$15),-1))),IF($C82=0,0,ROUND(SomaAgrup,15-13*$AF$11)))</f>
        <v>0</v>
      </c>
      <c r="Y82" s="128" t="s">
        <v>245</v>
      </c>
      <c r="Z82" t="str">
        <f t="shared" ca="1" si="31"/>
        <v/>
      </c>
      <c r="AA82" s="129">
        <f ca="1">IF($C82="S",IF($Z82="CP",$X82,IF($Z82="RA",(($X82)*QCI!$AA$3),0)),SomaAgrup)</f>
        <v>0</v>
      </c>
      <c r="AB82" s="130">
        <f t="shared" ca="1" si="32"/>
        <v>0</v>
      </c>
      <c r="AC82" s="131" t="str">
        <f ca="1">IF($N82="","",IF(ORÇAMENTO.Descricao="","DESCRIÇÃO",IF(AND($C82="S",ORÇAMENTO.Unidade=""),"UNIDADE",IF($X82&lt;0,"VALOR NEGATIVO",IF(OR(AND(TIPOORCAMENTO="Proposto",$AG82&lt;&gt;"",$AG82&gt;0,ORÇAMENTO.CustoUnitario&gt;$AG82),AND(TIPOORCAMENTO="LICITADO",ORÇAMENTO.PrecoUnitarioLicitado&gt;$AN82)),"ACIMA REF.","")))))</f>
        <v/>
      </c>
      <c r="AD82" t="str">
        <f ca="1">IF(C82&lt;=CRONO.NivelExibicao,MAX($AD$15:OFFSET(AD82,-1,0))+IF($C82&lt;&gt;1,1,MAX(1,COUNTIF(QCI!$A$13:$A$24,OFFSET($E82,-1,0)))),"")</f>
        <v/>
      </c>
      <c r="AE82" s="7" t="str">
        <f ca="1">IF(AND($C82="S",ORÇAMENTO.CodBarra&lt;&gt;""),IF(ORÇAMENTO.Fonte="",ORÇAMENTO.CodBarra,CONCATENATE(ORÇAMENTO.Fonte," ",ORÇAMENTO.CodBarra)))</f>
        <v>SINAPI 92514</v>
      </c>
      <c r="AF82" s="13" t="str">
        <f ca="1">IF(ISERROR(INDIRECT(ORÇAMENTO.BancoRef)),"(abra o arquivo 'Referência "&amp;Excel_BuiltIn_Database&amp;".xlsm)",IF(OR($C82&lt;&gt;"S",ORÇAMENTO.CodBarra=""),"(Sem Código)",IF(ISERROR(MATCH($AE82,INDIRECT(ORÇAMENTO.BancoRef),0)),"(Código não identificado nas referências)",MATCH($AE82,INDIRECT(ORÇAMENTO.BancoRef),0))))</f>
        <v>(abra o arquivo 'Referência 06-2024.xlsm)</v>
      </c>
      <c r="AG82" s="498">
        <f ca="1">ROUND(IF(DESONERACAO="sim",REFERENCIA.Desonerado,REFERENCIA.NaoDesonerado),2)</f>
        <v>0</v>
      </c>
      <c r="AH82" s="499">
        <f t="shared" ca="1" si="33"/>
        <v>0.2432</v>
      </c>
      <c r="AJ82" s="501"/>
      <c r="AL82" s="527"/>
      <c r="AM82" s="381">
        <f t="shared" ca="1" si="34"/>
        <v>0</v>
      </c>
      <c r="AN82" s="566">
        <f t="shared" ca="1" si="35"/>
        <v>0</v>
      </c>
    </row>
    <row r="83" spans="1:40" ht="38.25" x14ac:dyDescent="0.2">
      <c r="A83" t="str">
        <f t="shared" si="20"/>
        <v>S</v>
      </c>
      <c r="B83">
        <f t="shared" ca="1" si="21"/>
        <v>2</v>
      </c>
      <c r="C83" t="str">
        <f t="shared" ca="1" si="22"/>
        <v>S</v>
      </c>
      <c r="D83">
        <f t="shared" ca="1" si="23"/>
        <v>0</v>
      </c>
      <c r="E83">
        <f ca="1">IF($C83=1,OFFSET(E83,-1,0)+MAX(1,COUNTIF(QCI!$A$13:$A$24,OFFSET(ORÇAMENTO!E83,-1,0))),OFFSET(E83,-1,0))</f>
        <v>1</v>
      </c>
      <c r="F83">
        <f t="shared" ca="1" si="24"/>
        <v>11</v>
      </c>
      <c r="G83">
        <f t="shared" ca="1" si="25"/>
        <v>0</v>
      </c>
      <c r="H83">
        <f t="shared" ca="1" si="26"/>
        <v>0</v>
      </c>
      <c r="I83">
        <f t="shared" ca="1" si="27"/>
        <v>0</v>
      </c>
      <c r="J83">
        <f t="shared" ca="1" si="37"/>
        <v>0</v>
      </c>
      <c r="K83">
        <f ca="1">IF(OR($C83="S",$C83=0),0,MATCH(OFFSET($D83,0,$C83)+IF($C83&lt;&gt;1,1,COUNTIF(QCI!$A$13:$A$24,ORÇAMENTO!E83)),OFFSET($D83,1,$C83,ROW($C$727)-ROW($C83)),0))</f>
        <v>0</v>
      </c>
      <c r="L83" s="116" t="str">
        <f t="shared" ca="1" si="28"/>
        <v/>
      </c>
      <c r="M83" s="117" t="s">
        <v>199</v>
      </c>
      <c r="N83" s="118" t="str">
        <f t="shared" ca="1" si="29"/>
        <v>Serviço</v>
      </c>
      <c r="O83" s="119" t="str">
        <f t="shared" ca="1" si="30"/>
        <v>-</v>
      </c>
      <c r="P83" s="120" t="s">
        <v>247</v>
      </c>
      <c r="Q83" s="121" t="s">
        <v>501</v>
      </c>
      <c r="R83" s="122" t="str">
        <f ca="1">IF($C83="S",REFERENCIA.Descricao,"(digite a descrição aqui)")</f>
        <v>(abra o arquivo 'Referência 06-2024.xlsm)</v>
      </c>
      <c r="S83" s="123" t="str">
        <f ca="1">REFERENCIA.Unidade</f>
        <v>-</v>
      </c>
      <c r="T83" s="124">
        <f ca="1">OFFSET(CÁLCULO!H$15,ROW($T83)-ROW(T$15),0)</f>
        <v>13.8</v>
      </c>
      <c r="U83" s="125">
        <f t="shared" ca="1" si="36"/>
        <v>0</v>
      </c>
      <c r="V83" s="126" t="s">
        <v>156</v>
      </c>
      <c r="W83" s="124">
        <f ca="1">IF($C83="S",ROUND(IF(TIPOORCAMENTO="Proposto",ORÇAMENTO.CustoUnitario*(1+$AH83),ORÇAMENTO.PrecoUnitarioLicitado),15-13*$AF$10),0)</f>
        <v>0</v>
      </c>
      <c r="X83" s="127">
        <f ca="1">IF($C83="S",IF(Import.TipoArredondamento&lt;&gt;"TransfereGOV",VTOTAL1,SUM(OFFSET(CÁLCULO!$AI$15,ROW($X83)-ROW($X$15),1):OFFSET(CÁLCULO!$BB$15,ROW($X83)-ROW($X$15),-1))),IF($C83=0,0,ROUND(SomaAgrup,15-13*$AF$11)))</f>
        <v>0</v>
      </c>
      <c r="Y83" s="128" t="s">
        <v>245</v>
      </c>
      <c r="Z83" t="str">
        <f t="shared" ca="1" si="31"/>
        <v/>
      </c>
      <c r="AA83" s="129">
        <f ca="1">IF($C83="S",IF($Z83="CP",$X83,IF($Z83="RA",(($X83)*QCI!$AA$3),0)),SomaAgrup)</f>
        <v>0</v>
      </c>
      <c r="AB83" s="130">
        <f t="shared" ca="1" si="32"/>
        <v>0</v>
      </c>
      <c r="AC83" s="131" t="str">
        <f ca="1">IF($N83="","",IF(ORÇAMENTO.Descricao="","DESCRIÇÃO",IF(AND($C83="S",ORÇAMENTO.Unidade=""),"UNIDADE",IF($X83&lt;0,"VALOR NEGATIVO",IF(OR(AND(TIPOORCAMENTO="Proposto",$AG83&lt;&gt;"",$AG83&gt;0,ORÇAMENTO.CustoUnitario&gt;$AG83),AND(TIPOORCAMENTO="LICITADO",ORÇAMENTO.PrecoUnitarioLicitado&gt;$AN83)),"ACIMA REF.","")))))</f>
        <v/>
      </c>
      <c r="AD83" t="str">
        <f ca="1">IF(C83&lt;=CRONO.NivelExibicao,MAX($AD$15:OFFSET(AD83,-1,0))+IF($C83&lt;&gt;1,1,MAX(1,COUNTIF(QCI!$A$13:$A$24,OFFSET($E83,-1,0)))),"")</f>
        <v/>
      </c>
      <c r="AE83" s="7" t="str">
        <f ca="1">IF(AND($C83="S",ORÇAMENTO.CodBarra&lt;&gt;""),IF(ORÇAMENTO.Fonte="",ORÇAMENTO.CodBarra,CONCATENATE(ORÇAMENTO.Fonte," ",ORÇAMENTO.CodBarra)))</f>
        <v>SINAPI 92769</v>
      </c>
      <c r="AF83" s="13" t="str">
        <f ca="1">IF(ISERROR(INDIRECT(ORÇAMENTO.BancoRef)),"(abra o arquivo 'Referência "&amp;Excel_BuiltIn_Database&amp;".xlsm)",IF(OR($C83&lt;&gt;"S",ORÇAMENTO.CodBarra=""),"(Sem Código)",IF(ISERROR(MATCH($AE83,INDIRECT(ORÇAMENTO.BancoRef),0)),"(Código não identificado nas referências)",MATCH($AE83,INDIRECT(ORÇAMENTO.BancoRef),0))))</f>
        <v>(abra o arquivo 'Referência 06-2024.xlsm)</v>
      </c>
      <c r="AG83" s="498">
        <f ca="1">ROUND(IF(DESONERACAO="sim",REFERENCIA.Desonerado,REFERENCIA.NaoDesonerado),2)</f>
        <v>0</v>
      </c>
      <c r="AH83" s="499">
        <f t="shared" ca="1" si="33"/>
        <v>0.2432</v>
      </c>
      <c r="AJ83" s="501"/>
      <c r="AL83" s="527"/>
      <c r="AM83" s="381">
        <f t="shared" ca="1" si="34"/>
        <v>0</v>
      </c>
      <c r="AN83" s="566">
        <f t="shared" ca="1" si="35"/>
        <v>0</v>
      </c>
    </row>
    <row r="84" spans="1:40" ht="38.25" x14ac:dyDescent="0.2">
      <c r="A84" t="str">
        <f t="shared" si="20"/>
        <v>S</v>
      </c>
      <c r="B84">
        <f t="shared" ca="1" si="21"/>
        <v>2</v>
      </c>
      <c r="C84" t="str">
        <f t="shared" ca="1" si="22"/>
        <v>S</v>
      </c>
      <c r="D84">
        <f t="shared" ca="1" si="23"/>
        <v>0</v>
      </c>
      <c r="E84">
        <f ca="1">IF($C84=1,OFFSET(E84,-1,0)+MAX(1,COUNTIF(QCI!$A$13:$A$24,OFFSET(ORÇAMENTO!E84,-1,0))),OFFSET(E84,-1,0))</f>
        <v>1</v>
      </c>
      <c r="F84">
        <f t="shared" ca="1" si="24"/>
        <v>11</v>
      </c>
      <c r="G84">
        <f t="shared" ca="1" si="25"/>
        <v>0</v>
      </c>
      <c r="H84">
        <f t="shared" ca="1" si="26"/>
        <v>0</v>
      </c>
      <c r="I84">
        <f t="shared" ca="1" si="27"/>
        <v>0</v>
      </c>
      <c r="J84">
        <f t="shared" ca="1" si="37"/>
        <v>0</v>
      </c>
      <c r="K84">
        <f ca="1">IF(OR($C84="S",$C84=0),0,MATCH(OFFSET($D84,0,$C84)+IF($C84&lt;&gt;1,1,COUNTIF(QCI!$A$13:$A$24,ORÇAMENTO!E84)),OFFSET($D84,1,$C84,ROW($C$727)-ROW($C84)),0))</f>
        <v>0</v>
      </c>
      <c r="L84" s="116" t="str">
        <f t="shared" ca="1" si="28"/>
        <v/>
      </c>
      <c r="M84" s="117" t="s">
        <v>199</v>
      </c>
      <c r="N84" s="118" t="str">
        <f t="shared" ca="1" si="29"/>
        <v>Serviço</v>
      </c>
      <c r="O84" s="119" t="str">
        <f t="shared" ca="1" si="30"/>
        <v>-</v>
      </c>
      <c r="P84" s="120" t="s">
        <v>247</v>
      </c>
      <c r="Q84" s="121" t="s">
        <v>502</v>
      </c>
      <c r="R84" s="122" t="str">
        <f ca="1">IF($C84="S",REFERENCIA.Descricao,"(digite a descrição aqui)")</f>
        <v>(abra o arquivo 'Referência 06-2024.xlsm)</v>
      </c>
      <c r="S84" s="123" t="str">
        <f ca="1">REFERENCIA.Unidade</f>
        <v>-</v>
      </c>
      <c r="T84" s="124">
        <f ca="1">OFFSET(CÁLCULO!H$15,ROW($T84)-ROW(T$15),0)</f>
        <v>49.3</v>
      </c>
      <c r="U84" s="125">
        <f t="shared" ca="1" si="36"/>
        <v>0</v>
      </c>
      <c r="V84" s="126" t="s">
        <v>156</v>
      </c>
      <c r="W84" s="124">
        <f ca="1">IF($C84="S",ROUND(IF(TIPOORCAMENTO="Proposto",ORÇAMENTO.CustoUnitario*(1+$AH84),ORÇAMENTO.PrecoUnitarioLicitado),15-13*$AF$10),0)</f>
        <v>0</v>
      </c>
      <c r="X84" s="127">
        <f ca="1">IF($C84="S",IF(Import.TipoArredondamento&lt;&gt;"TransfereGOV",VTOTAL1,SUM(OFFSET(CÁLCULO!$AI$15,ROW($X84)-ROW($X$15),1):OFFSET(CÁLCULO!$BB$15,ROW($X84)-ROW($X$15),-1))),IF($C84=0,0,ROUND(SomaAgrup,15-13*$AF$11)))</f>
        <v>0</v>
      </c>
      <c r="Y84" s="128" t="s">
        <v>245</v>
      </c>
      <c r="Z84" t="str">
        <f t="shared" ca="1" si="31"/>
        <v/>
      </c>
      <c r="AA84" s="129">
        <f ca="1">IF($C84="S",IF($Z84="CP",$X84,IF($Z84="RA",(($X84)*QCI!$AA$3),0)),SomaAgrup)</f>
        <v>0</v>
      </c>
      <c r="AB84" s="130">
        <f t="shared" ca="1" si="32"/>
        <v>0</v>
      </c>
      <c r="AC84" s="131" t="str">
        <f ca="1">IF($N84="","",IF(ORÇAMENTO.Descricao="","DESCRIÇÃO",IF(AND($C84="S",ORÇAMENTO.Unidade=""),"UNIDADE",IF($X84&lt;0,"VALOR NEGATIVO",IF(OR(AND(TIPOORCAMENTO="Proposto",$AG84&lt;&gt;"",$AG84&gt;0,ORÇAMENTO.CustoUnitario&gt;$AG84),AND(TIPOORCAMENTO="LICITADO",ORÇAMENTO.PrecoUnitarioLicitado&gt;$AN84)),"ACIMA REF.","")))))</f>
        <v/>
      </c>
      <c r="AD84" t="str">
        <f ca="1">IF(C84&lt;=CRONO.NivelExibicao,MAX($AD$15:OFFSET(AD84,-1,0))+IF($C84&lt;&gt;1,1,MAX(1,COUNTIF(QCI!$A$13:$A$24,OFFSET($E84,-1,0)))),"")</f>
        <v/>
      </c>
      <c r="AE84" s="7" t="str">
        <f ca="1">IF(AND($C84="S",ORÇAMENTO.CodBarra&lt;&gt;""),IF(ORÇAMENTO.Fonte="",ORÇAMENTO.CodBarra,CONCATENATE(ORÇAMENTO.Fonte," ",ORÇAMENTO.CodBarra)))</f>
        <v>SINAPI 92770</v>
      </c>
      <c r="AF84" s="13" t="str">
        <f ca="1">IF(ISERROR(INDIRECT(ORÇAMENTO.BancoRef)),"(abra o arquivo 'Referência "&amp;Excel_BuiltIn_Database&amp;".xlsm)",IF(OR($C84&lt;&gt;"S",ORÇAMENTO.CodBarra=""),"(Sem Código)",IF(ISERROR(MATCH($AE84,INDIRECT(ORÇAMENTO.BancoRef),0)),"(Código não identificado nas referências)",MATCH($AE84,INDIRECT(ORÇAMENTO.BancoRef),0))))</f>
        <v>(abra o arquivo 'Referência 06-2024.xlsm)</v>
      </c>
      <c r="AG84" s="498">
        <f ca="1">ROUND(IF(DESONERACAO="sim",REFERENCIA.Desonerado,REFERENCIA.NaoDesonerado),2)</f>
        <v>0</v>
      </c>
      <c r="AH84" s="499">
        <f t="shared" ca="1" si="33"/>
        <v>0.2432</v>
      </c>
      <c r="AJ84" s="501"/>
      <c r="AL84" s="527"/>
      <c r="AM84" s="381">
        <f t="shared" ca="1" si="34"/>
        <v>0</v>
      </c>
      <c r="AN84" s="566">
        <f t="shared" ca="1" si="35"/>
        <v>0</v>
      </c>
    </row>
    <row r="85" spans="1:40" ht="38.25" x14ac:dyDescent="0.2">
      <c r="A85" t="str">
        <f t="shared" si="20"/>
        <v>S</v>
      </c>
      <c r="B85">
        <f t="shared" ca="1" si="21"/>
        <v>2</v>
      </c>
      <c r="C85" t="str">
        <f t="shared" ca="1" si="22"/>
        <v>S</v>
      </c>
      <c r="D85">
        <f t="shared" ca="1" si="23"/>
        <v>0</v>
      </c>
      <c r="E85">
        <f ca="1">IF($C85=1,OFFSET(E85,-1,0)+MAX(1,COUNTIF(QCI!$A$13:$A$24,OFFSET(ORÇAMENTO!E85,-1,0))),OFFSET(E85,-1,0))</f>
        <v>1</v>
      </c>
      <c r="F85">
        <f t="shared" ca="1" si="24"/>
        <v>11</v>
      </c>
      <c r="G85">
        <f t="shared" ca="1" si="25"/>
        <v>0</v>
      </c>
      <c r="H85">
        <f t="shared" ca="1" si="26"/>
        <v>0</v>
      </c>
      <c r="I85">
        <f t="shared" ca="1" si="27"/>
        <v>0</v>
      </c>
      <c r="J85">
        <f t="shared" ca="1" si="37"/>
        <v>0</v>
      </c>
      <c r="K85">
        <f ca="1">IF(OR($C85="S",$C85=0),0,MATCH(OFFSET($D85,0,$C85)+IF($C85&lt;&gt;1,1,COUNTIF(QCI!$A$13:$A$24,ORÇAMENTO!E85)),OFFSET($D85,1,$C85,ROW($C$727)-ROW($C85)),0))</f>
        <v>0</v>
      </c>
      <c r="L85" s="116" t="str">
        <f t="shared" ca="1" si="28"/>
        <v/>
      </c>
      <c r="M85" s="117" t="s">
        <v>199</v>
      </c>
      <c r="N85" s="118" t="str">
        <f t="shared" ca="1" si="29"/>
        <v>Serviço</v>
      </c>
      <c r="O85" s="119" t="str">
        <f t="shared" ca="1" si="30"/>
        <v>-</v>
      </c>
      <c r="P85" s="120" t="s">
        <v>247</v>
      </c>
      <c r="Q85" s="121" t="s">
        <v>503</v>
      </c>
      <c r="R85" s="122" t="str">
        <f ca="1">IF($C85="S",REFERENCIA.Descricao,"(digite a descrição aqui)")</f>
        <v>(abra o arquivo 'Referência 06-2024.xlsm)</v>
      </c>
      <c r="S85" s="123" t="str">
        <f ca="1">REFERENCIA.Unidade</f>
        <v>-</v>
      </c>
      <c r="T85" s="124">
        <f ca="1">OFFSET(CÁLCULO!H$15,ROW($T85)-ROW(T$15),0)</f>
        <v>453.1</v>
      </c>
      <c r="U85" s="125">
        <f t="shared" ca="1" si="36"/>
        <v>0</v>
      </c>
      <c r="V85" s="126" t="s">
        <v>156</v>
      </c>
      <c r="W85" s="124">
        <f ca="1">IF($C85="S",ROUND(IF(TIPOORCAMENTO="Proposto",ORÇAMENTO.CustoUnitario*(1+$AH85),ORÇAMENTO.PrecoUnitarioLicitado),15-13*$AF$10),0)</f>
        <v>0</v>
      </c>
      <c r="X85" s="127">
        <f ca="1">IF($C85="S",IF(Import.TipoArredondamento&lt;&gt;"TransfereGOV",VTOTAL1,SUM(OFFSET(CÁLCULO!$AI$15,ROW($X85)-ROW($X$15),1):OFFSET(CÁLCULO!$BB$15,ROW($X85)-ROW($X$15),-1))),IF($C85=0,0,ROUND(SomaAgrup,15-13*$AF$11)))</f>
        <v>0</v>
      </c>
      <c r="Y85" s="128" t="s">
        <v>245</v>
      </c>
      <c r="Z85" t="str">
        <f t="shared" ca="1" si="31"/>
        <v/>
      </c>
      <c r="AA85" s="129">
        <f ca="1">IF($C85="S",IF($Z85="CP",$X85,IF($Z85="RA",(($X85)*QCI!$AA$3),0)),SomaAgrup)</f>
        <v>0</v>
      </c>
      <c r="AB85" s="130">
        <f t="shared" ca="1" si="32"/>
        <v>0</v>
      </c>
      <c r="AC85" s="131" t="str">
        <f ca="1">IF($N85="","",IF(ORÇAMENTO.Descricao="","DESCRIÇÃO",IF(AND($C85="S",ORÇAMENTO.Unidade=""),"UNIDADE",IF($X85&lt;0,"VALOR NEGATIVO",IF(OR(AND(TIPOORCAMENTO="Proposto",$AG85&lt;&gt;"",$AG85&gt;0,ORÇAMENTO.CustoUnitario&gt;$AG85),AND(TIPOORCAMENTO="LICITADO",ORÇAMENTO.PrecoUnitarioLicitado&gt;$AN85)),"ACIMA REF.","")))))</f>
        <v/>
      </c>
      <c r="AD85" t="str">
        <f ca="1">IF(C85&lt;=CRONO.NivelExibicao,MAX($AD$15:OFFSET(AD85,-1,0))+IF($C85&lt;&gt;1,1,MAX(1,COUNTIF(QCI!$A$13:$A$24,OFFSET($E85,-1,0)))),"")</f>
        <v/>
      </c>
      <c r="AE85" s="7" t="str">
        <f ca="1">IF(AND($C85="S",ORÇAMENTO.CodBarra&lt;&gt;""),IF(ORÇAMENTO.Fonte="",ORÇAMENTO.CodBarra,CONCATENATE(ORÇAMENTO.Fonte," ",ORÇAMENTO.CodBarra)))</f>
        <v>SINAPI 92773</v>
      </c>
      <c r="AF85" s="13" t="str">
        <f ca="1">IF(ISERROR(INDIRECT(ORÇAMENTO.BancoRef)),"(abra o arquivo 'Referência "&amp;Excel_BuiltIn_Database&amp;".xlsm)",IF(OR($C85&lt;&gt;"S",ORÇAMENTO.CodBarra=""),"(Sem Código)",IF(ISERROR(MATCH($AE85,INDIRECT(ORÇAMENTO.BancoRef),0)),"(Código não identificado nas referências)",MATCH($AE85,INDIRECT(ORÇAMENTO.BancoRef),0))))</f>
        <v>(abra o arquivo 'Referência 06-2024.xlsm)</v>
      </c>
      <c r="AG85" s="498">
        <f ca="1">ROUND(IF(DESONERACAO="sim",REFERENCIA.Desonerado,REFERENCIA.NaoDesonerado),2)</f>
        <v>0</v>
      </c>
      <c r="AH85" s="499">
        <f t="shared" ca="1" si="33"/>
        <v>0.2432</v>
      </c>
      <c r="AJ85" s="501"/>
      <c r="AL85" s="527"/>
      <c r="AM85" s="381">
        <f t="shared" ca="1" si="34"/>
        <v>0</v>
      </c>
      <c r="AN85" s="566">
        <f t="shared" ca="1" si="35"/>
        <v>0</v>
      </c>
    </row>
    <row r="86" spans="1:40" ht="38.25" x14ac:dyDescent="0.2">
      <c r="A86" t="str">
        <f t="shared" si="20"/>
        <v>S</v>
      </c>
      <c r="B86">
        <f t="shared" ca="1" si="21"/>
        <v>2</v>
      </c>
      <c r="C86" t="str">
        <f t="shared" ca="1" si="22"/>
        <v>S</v>
      </c>
      <c r="D86">
        <f t="shared" ca="1" si="23"/>
        <v>0</v>
      </c>
      <c r="E86">
        <f ca="1">IF($C86=1,OFFSET(E86,-1,0)+MAX(1,COUNTIF(QCI!$A$13:$A$24,OFFSET(ORÇAMENTO!E86,-1,0))),OFFSET(E86,-1,0))</f>
        <v>1</v>
      </c>
      <c r="F86">
        <f t="shared" ca="1" si="24"/>
        <v>11</v>
      </c>
      <c r="G86">
        <f t="shared" ca="1" si="25"/>
        <v>0</v>
      </c>
      <c r="H86">
        <f t="shared" ca="1" si="26"/>
        <v>0</v>
      </c>
      <c r="I86">
        <f t="shared" ca="1" si="27"/>
        <v>0</v>
      </c>
      <c r="J86">
        <f t="shared" ca="1" si="37"/>
        <v>0</v>
      </c>
      <c r="K86">
        <f ca="1">IF(OR($C86="S",$C86=0),0,MATCH(OFFSET($D86,0,$C86)+IF($C86&lt;&gt;1,1,COUNTIF(QCI!$A$13:$A$24,ORÇAMENTO!E86)),OFFSET($D86,1,$C86,ROW($C$727)-ROW($C86)),0))</f>
        <v>0</v>
      </c>
      <c r="L86" s="116" t="str">
        <f t="shared" ca="1" si="28"/>
        <v/>
      </c>
      <c r="M86" s="117" t="s">
        <v>199</v>
      </c>
      <c r="N86" s="118" t="str">
        <f t="shared" ca="1" si="29"/>
        <v>Serviço</v>
      </c>
      <c r="O86" s="119" t="str">
        <f t="shared" ca="1" si="30"/>
        <v>-</v>
      </c>
      <c r="P86" s="120" t="s">
        <v>247</v>
      </c>
      <c r="Q86" s="121" t="s">
        <v>504</v>
      </c>
      <c r="R86" s="122" t="str">
        <f ca="1">IF($C86="S",REFERENCIA.Descricao,"(digite a descrição aqui)")</f>
        <v>(abra o arquivo 'Referência 06-2024.xlsm)</v>
      </c>
      <c r="S86" s="123" t="str">
        <f ca="1">REFERENCIA.Unidade</f>
        <v>-</v>
      </c>
      <c r="T86" s="124">
        <f ca="1">OFFSET(CÁLCULO!H$15,ROW($T86)-ROW(T$15),0)</f>
        <v>3.5</v>
      </c>
      <c r="U86" s="125">
        <f t="shared" ca="1" si="36"/>
        <v>0</v>
      </c>
      <c r="V86" s="126" t="s">
        <v>156</v>
      </c>
      <c r="W86" s="124">
        <f ca="1">IF($C86="S",ROUND(IF(TIPOORCAMENTO="Proposto",ORÇAMENTO.CustoUnitario*(1+$AH86),ORÇAMENTO.PrecoUnitarioLicitado),15-13*$AF$10),0)</f>
        <v>0</v>
      </c>
      <c r="X86" s="127">
        <f ca="1">IF($C86="S",IF(Import.TipoArredondamento&lt;&gt;"TransfereGOV",VTOTAL1,SUM(OFFSET(CÁLCULO!$AI$15,ROW($X86)-ROW($X$15),1):OFFSET(CÁLCULO!$BB$15,ROW($X86)-ROW($X$15),-1))),IF($C86=0,0,ROUND(SomaAgrup,15-13*$AF$11)))</f>
        <v>0</v>
      </c>
      <c r="Y86" s="128" t="s">
        <v>245</v>
      </c>
      <c r="Z86" t="str">
        <f t="shared" ca="1" si="31"/>
        <v/>
      </c>
      <c r="AA86" s="129">
        <f ca="1">IF($C86="S",IF($Z86="CP",$X86,IF($Z86="RA",(($X86)*QCI!$AA$3),0)),SomaAgrup)</f>
        <v>0</v>
      </c>
      <c r="AB86" s="130">
        <f t="shared" ca="1" si="32"/>
        <v>0</v>
      </c>
      <c r="AC86" s="131" t="str">
        <f ca="1">IF($N86="","",IF(ORÇAMENTO.Descricao="","DESCRIÇÃO",IF(AND($C86="S",ORÇAMENTO.Unidade=""),"UNIDADE",IF($X86&lt;0,"VALOR NEGATIVO",IF(OR(AND(TIPOORCAMENTO="Proposto",$AG86&lt;&gt;"",$AG86&gt;0,ORÇAMENTO.CustoUnitario&gt;$AG86),AND(TIPOORCAMENTO="LICITADO",ORÇAMENTO.PrecoUnitarioLicitado&gt;$AN86)),"ACIMA REF.","")))))</f>
        <v/>
      </c>
      <c r="AD86" t="str">
        <f ca="1">IF(C86&lt;=CRONO.NivelExibicao,MAX($AD$15:OFFSET(AD86,-1,0))+IF($C86&lt;&gt;1,1,MAX(1,COUNTIF(QCI!$A$13:$A$24,OFFSET($E86,-1,0)))),"")</f>
        <v/>
      </c>
      <c r="AE86" s="7" t="str">
        <f ca="1">IF(AND($C86="S",ORÇAMENTO.CodBarra&lt;&gt;""),IF(ORÇAMENTO.Fonte="",ORÇAMENTO.CodBarra,CONCATENATE(ORÇAMENTO.Fonte," ",ORÇAMENTO.CodBarra)))</f>
        <v>SINAPI 92774</v>
      </c>
      <c r="AF86" s="13" t="str">
        <f ca="1">IF(ISERROR(INDIRECT(ORÇAMENTO.BancoRef)),"(abra o arquivo 'Referência "&amp;Excel_BuiltIn_Database&amp;".xlsm)",IF(OR($C86&lt;&gt;"S",ORÇAMENTO.CodBarra=""),"(Sem Código)",IF(ISERROR(MATCH($AE86,INDIRECT(ORÇAMENTO.BancoRef),0)),"(Código não identificado nas referências)",MATCH($AE86,INDIRECT(ORÇAMENTO.BancoRef),0))))</f>
        <v>(abra o arquivo 'Referência 06-2024.xlsm)</v>
      </c>
      <c r="AG86" s="498">
        <f ca="1">ROUND(IF(DESONERACAO="sim",REFERENCIA.Desonerado,REFERENCIA.NaoDesonerado),2)</f>
        <v>0</v>
      </c>
      <c r="AH86" s="499">
        <f t="shared" ca="1" si="33"/>
        <v>0.2432</v>
      </c>
      <c r="AJ86" s="501"/>
      <c r="AL86" s="527"/>
      <c r="AM86" s="381">
        <f t="shared" ca="1" si="34"/>
        <v>0</v>
      </c>
      <c r="AN86" s="566">
        <f t="shared" ca="1" si="35"/>
        <v>0</v>
      </c>
    </row>
    <row r="87" spans="1:40" ht="38.25" x14ac:dyDescent="0.2">
      <c r="A87" t="str">
        <f t="shared" si="20"/>
        <v>S</v>
      </c>
      <c r="B87">
        <f t="shared" ca="1" si="21"/>
        <v>2</v>
      </c>
      <c r="C87" t="str">
        <f t="shared" ca="1" si="22"/>
        <v>S</v>
      </c>
      <c r="D87">
        <f t="shared" ca="1" si="23"/>
        <v>0</v>
      </c>
      <c r="E87">
        <f ca="1">IF($C87=1,OFFSET(E87,-1,0)+MAX(1,COUNTIF(QCI!$A$13:$A$24,OFFSET(ORÇAMENTO!E87,-1,0))),OFFSET(E87,-1,0))</f>
        <v>1</v>
      </c>
      <c r="F87">
        <f t="shared" ca="1" si="24"/>
        <v>11</v>
      </c>
      <c r="G87">
        <f t="shared" ca="1" si="25"/>
        <v>0</v>
      </c>
      <c r="H87">
        <f t="shared" ca="1" si="26"/>
        <v>0</v>
      </c>
      <c r="I87">
        <f t="shared" ca="1" si="27"/>
        <v>0</v>
      </c>
      <c r="J87">
        <f t="shared" ca="1" si="37"/>
        <v>0</v>
      </c>
      <c r="K87">
        <f ca="1">IF(OR($C87="S",$C87=0),0,MATCH(OFFSET($D87,0,$C87)+IF($C87&lt;&gt;1,1,COUNTIF(QCI!$A$13:$A$24,ORÇAMENTO!E87)),OFFSET($D87,1,$C87,ROW($C$727)-ROW($C87)),0))</f>
        <v>0</v>
      </c>
      <c r="L87" s="116" t="str">
        <f t="shared" ca="1" si="28"/>
        <v/>
      </c>
      <c r="M87" s="117" t="s">
        <v>199</v>
      </c>
      <c r="N87" s="118" t="str">
        <f t="shared" ca="1" si="29"/>
        <v>Serviço</v>
      </c>
      <c r="O87" s="119" t="str">
        <f t="shared" ca="1" si="30"/>
        <v>-</v>
      </c>
      <c r="P87" s="120" t="s">
        <v>247</v>
      </c>
      <c r="Q87" s="121" t="s">
        <v>505</v>
      </c>
      <c r="R87" s="122" t="str">
        <f ca="1">IF($C87="S",REFERENCIA.Descricao,"(digite a descrição aqui)")</f>
        <v>(abra o arquivo 'Referência 06-2024.xlsm)</v>
      </c>
      <c r="S87" s="123" t="str">
        <f ca="1">REFERENCIA.Unidade</f>
        <v>-</v>
      </c>
      <c r="T87" s="124">
        <f ca="1">OFFSET(CÁLCULO!H$15,ROW($T87)-ROW(T$15),0)</f>
        <v>0.2</v>
      </c>
      <c r="U87" s="125">
        <f t="shared" ca="1" si="36"/>
        <v>0</v>
      </c>
      <c r="V87" s="126" t="s">
        <v>156</v>
      </c>
      <c r="W87" s="124">
        <f ca="1">IF($C87="S",ROUND(IF(TIPOORCAMENTO="Proposto",ORÇAMENTO.CustoUnitario*(1+$AH87),ORÇAMENTO.PrecoUnitarioLicitado),15-13*$AF$10),0)</f>
        <v>0</v>
      </c>
      <c r="X87" s="127">
        <f ca="1">IF($C87="S",IF(Import.TipoArredondamento&lt;&gt;"TransfereGOV",VTOTAL1,SUM(OFFSET(CÁLCULO!$AI$15,ROW($X87)-ROW($X$15),1):OFFSET(CÁLCULO!$BB$15,ROW($X87)-ROW($X$15),-1))),IF($C87=0,0,ROUND(SomaAgrup,15-13*$AF$11)))</f>
        <v>0</v>
      </c>
      <c r="Y87" s="128" t="s">
        <v>245</v>
      </c>
      <c r="Z87" t="str">
        <f t="shared" ca="1" si="31"/>
        <v/>
      </c>
      <c r="AA87" s="129">
        <f ca="1">IF($C87="S",IF($Z87="CP",$X87,IF($Z87="RA",(($X87)*QCI!$AA$3),0)),SomaAgrup)</f>
        <v>0</v>
      </c>
      <c r="AB87" s="130">
        <f t="shared" ca="1" si="32"/>
        <v>0</v>
      </c>
      <c r="AC87" s="131" t="str">
        <f ca="1">IF($N87="","",IF(ORÇAMENTO.Descricao="","DESCRIÇÃO",IF(AND($C87="S",ORÇAMENTO.Unidade=""),"UNIDADE",IF($X87&lt;0,"VALOR NEGATIVO",IF(OR(AND(TIPOORCAMENTO="Proposto",$AG87&lt;&gt;"",$AG87&gt;0,ORÇAMENTO.CustoUnitario&gt;$AG87),AND(TIPOORCAMENTO="LICITADO",ORÇAMENTO.PrecoUnitarioLicitado&gt;$AN87)),"ACIMA REF.","")))))</f>
        <v/>
      </c>
      <c r="AD87" t="str">
        <f ca="1">IF(C87&lt;=CRONO.NivelExibicao,MAX($AD$15:OFFSET(AD87,-1,0))+IF($C87&lt;&gt;1,1,MAX(1,COUNTIF(QCI!$A$13:$A$24,OFFSET($E87,-1,0)))),"")</f>
        <v/>
      </c>
      <c r="AE87" s="7" t="str">
        <f ca="1">IF(AND($C87="S",ORÇAMENTO.CodBarra&lt;&gt;""),IF(ORÇAMENTO.Fonte="",ORÇAMENTO.CodBarra,CONCATENATE(ORÇAMENTO.Fonte," ",ORÇAMENTO.CodBarra)))</f>
        <v>SINAPI 92768</v>
      </c>
      <c r="AF87" s="13" t="str">
        <f ca="1">IF(ISERROR(INDIRECT(ORÇAMENTO.BancoRef)),"(abra o arquivo 'Referência "&amp;Excel_BuiltIn_Database&amp;".xlsm)",IF(OR($C87&lt;&gt;"S",ORÇAMENTO.CodBarra=""),"(Sem Código)",IF(ISERROR(MATCH($AE87,INDIRECT(ORÇAMENTO.BancoRef),0)),"(Código não identificado nas referências)",MATCH($AE87,INDIRECT(ORÇAMENTO.BancoRef),0))))</f>
        <v>(abra o arquivo 'Referência 06-2024.xlsm)</v>
      </c>
      <c r="AG87" s="498">
        <f ca="1">ROUND(IF(DESONERACAO="sim",REFERENCIA.Desonerado,REFERENCIA.NaoDesonerado),2)</f>
        <v>0</v>
      </c>
      <c r="AH87" s="499">
        <f t="shared" ca="1" si="33"/>
        <v>0.2432</v>
      </c>
      <c r="AJ87" s="501"/>
      <c r="AL87" s="527"/>
      <c r="AM87" s="381">
        <f t="shared" ca="1" si="34"/>
        <v>0</v>
      </c>
      <c r="AN87" s="566">
        <f t="shared" ca="1" si="35"/>
        <v>0</v>
      </c>
    </row>
    <row r="88" spans="1:40" ht="38.25" x14ac:dyDescent="0.2">
      <c r="A88" t="str">
        <f t="shared" si="20"/>
        <v>S</v>
      </c>
      <c r="B88">
        <f t="shared" ca="1" si="21"/>
        <v>2</v>
      </c>
      <c r="C88" t="str">
        <f t="shared" ca="1" si="22"/>
        <v>S</v>
      </c>
      <c r="D88">
        <f t="shared" ca="1" si="23"/>
        <v>0</v>
      </c>
      <c r="E88">
        <f ca="1">IF($C88=1,OFFSET(E88,-1,0)+MAX(1,COUNTIF(QCI!$A$13:$A$24,OFFSET(ORÇAMENTO!E88,-1,0))),OFFSET(E88,-1,0))</f>
        <v>1</v>
      </c>
      <c r="F88">
        <f t="shared" ca="1" si="24"/>
        <v>11</v>
      </c>
      <c r="G88">
        <f t="shared" ca="1" si="25"/>
        <v>0</v>
      </c>
      <c r="H88">
        <f t="shared" ca="1" si="26"/>
        <v>0</v>
      </c>
      <c r="I88">
        <f t="shared" ca="1" si="27"/>
        <v>0</v>
      </c>
      <c r="J88">
        <f t="shared" ca="1" si="37"/>
        <v>0</v>
      </c>
      <c r="K88">
        <f ca="1">IF(OR($C88="S",$C88=0),0,MATCH(OFFSET($D88,0,$C88)+IF($C88&lt;&gt;1,1,COUNTIF(QCI!$A$13:$A$24,ORÇAMENTO!E88)),OFFSET($D88,1,$C88,ROW($C$727)-ROW($C88)),0))</f>
        <v>0</v>
      </c>
      <c r="L88" s="116" t="str">
        <f t="shared" ca="1" si="28"/>
        <v/>
      </c>
      <c r="M88" s="117" t="s">
        <v>199</v>
      </c>
      <c r="N88" s="118" t="str">
        <f t="shared" ca="1" si="29"/>
        <v>Serviço</v>
      </c>
      <c r="O88" s="119" t="str">
        <f t="shared" ca="1" si="30"/>
        <v>-</v>
      </c>
      <c r="P88" s="120" t="s">
        <v>247</v>
      </c>
      <c r="Q88" s="121" t="s">
        <v>497</v>
      </c>
      <c r="R88" s="122" t="str">
        <f ca="1">IF($C88="S",REFERENCIA.Descricao,"(digite a descrição aqui)")</f>
        <v>(abra o arquivo 'Referência 06-2024.xlsm)</v>
      </c>
      <c r="S88" s="123" t="str">
        <f ca="1">REFERENCIA.Unidade</f>
        <v>-</v>
      </c>
      <c r="T88" s="124">
        <f ca="1">OFFSET(CÁLCULO!H$15,ROW($T88)-ROW(T$15),0)</f>
        <v>7.1</v>
      </c>
      <c r="U88" s="125">
        <f t="shared" ca="1" si="36"/>
        <v>0</v>
      </c>
      <c r="V88" s="126" t="s">
        <v>156</v>
      </c>
      <c r="W88" s="124">
        <f ca="1">IF($C88="S",ROUND(IF(TIPOORCAMENTO="Proposto",ORÇAMENTO.CustoUnitario*(1+$AH88),ORÇAMENTO.PrecoUnitarioLicitado),15-13*$AF$10),0)</f>
        <v>0</v>
      </c>
      <c r="X88" s="127">
        <f ca="1">IF($C88="S",IF(Import.TipoArredondamento&lt;&gt;"TransfereGOV",VTOTAL1,SUM(OFFSET(CÁLCULO!$AI$15,ROW($X88)-ROW($X$15),1):OFFSET(CÁLCULO!$BB$15,ROW($X88)-ROW($X$15),-1))),IF($C88=0,0,ROUND(SomaAgrup,15-13*$AF$11)))</f>
        <v>0</v>
      </c>
      <c r="Y88" s="128" t="s">
        <v>245</v>
      </c>
      <c r="Z88" t="str">
        <f t="shared" ca="1" si="31"/>
        <v/>
      </c>
      <c r="AA88" s="129">
        <f ca="1">IF($C88="S",IF($Z88="CP",$X88,IF($Z88="RA",(($X88)*QCI!$AA$3),0)),SomaAgrup)</f>
        <v>0</v>
      </c>
      <c r="AB88" s="130">
        <f t="shared" ca="1" si="32"/>
        <v>0</v>
      </c>
      <c r="AC88" s="131" t="str">
        <f ca="1">IF($N88="","",IF(ORÇAMENTO.Descricao="","DESCRIÇÃO",IF(AND($C88="S",ORÇAMENTO.Unidade=""),"UNIDADE",IF($X88&lt;0,"VALOR NEGATIVO",IF(OR(AND(TIPOORCAMENTO="Proposto",$AG88&lt;&gt;"",$AG88&gt;0,ORÇAMENTO.CustoUnitario&gt;$AG88),AND(TIPOORCAMENTO="LICITADO",ORÇAMENTO.PrecoUnitarioLicitado&gt;$AN88)),"ACIMA REF.","")))))</f>
        <v/>
      </c>
      <c r="AD88" t="str">
        <f ca="1">IF(C88&lt;=CRONO.NivelExibicao,MAX($AD$15:OFFSET(AD88,-1,0))+IF($C88&lt;&gt;1,1,MAX(1,COUNTIF(QCI!$A$13:$A$24,OFFSET($E88,-1,0)))),"")</f>
        <v/>
      </c>
      <c r="AE88" s="7" t="str">
        <f ca="1">IF(AND($C88="S",ORÇAMENTO.CodBarra&lt;&gt;""),IF(ORÇAMENTO.Fonte="",ORÇAMENTO.CodBarra,CONCATENATE(ORÇAMENTO.Fonte," ",ORÇAMENTO.CodBarra)))</f>
        <v>SINAPI 103675</v>
      </c>
      <c r="AF88" s="13" t="str">
        <f ca="1">IF(ISERROR(INDIRECT(ORÇAMENTO.BancoRef)),"(abra o arquivo 'Referência "&amp;Excel_BuiltIn_Database&amp;".xlsm)",IF(OR($C88&lt;&gt;"S",ORÇAMENTO.CodBarra=""),"(Sem Código)",IF(ISERROR(MATCH($AE88,INDIRECT(ORÇAMENTO.BancoRef),0)),"(Código não identificado nas referências)",MATCH($AE88,INDIRECT(ORÇAMENTO.BancoRef),0))))</f>
        <v>(abra o arquivo 'Referência 06-2024.xlsm)</v>
      </c>
      <c r="AG88" s="498">
        <f ca="1">ROUND(IF(DESONERACAO="sim",REFERENCIA.Desonerado,REFERENCIA.NaoDesonerado),2)</f>
        <v>0</v>
      </c>
      <c r="AH88" s="499">
        <f t="shared" ca="1" si="33"/>
        <v>0.2432</v>
      </c>
      <c r="AJ88" s="501"/>
      <c r="AL88" s="527"/>
      <c r="AM88" s="381">
        <f t="shared" ca="1" si="34"/>
        <v>0</v>
      </c>
      <c r="AN88" s="566">
        <f t="shared" ca="1" si="35"/>
        <v>0</v>
      </c>
    </row>
    <row r="89" spans="1:40" x14ac:dyDescent="0.2">
      <c r="A89">
        <f t="shared" si="20"/>
        <v>2</v>
      </c>
      <c r="B89">
        <f t="shared" ca="1" si="21"/>
        <v>2</v>
      </c>
      <c r="C89">
        <f t="shared" ca="1" si="22"/>
        <v>2</v>
      </c>
      <c r="D89">
        <f t="shared" ca="1" si="23"/>
        <v>2</v>
      </c>
      <c r="E89">
        <f ca="1">IF($C89=1,OFFSET(E89,-1,0)+MAX(1,COUNTIF(QCI!$A$13:$A$24,OFFSET(ORÇAMENTO!E89,-1,0))),OFFSET(E89,-1,0))</f>
        <v>1</v>
      </c>
      <c r="F89">
        <f t="shared" ca="1" si="24"/>
        <v>12</v>
      </c>
      <c r="G89">
        <f t="shared" ca="1" si="25"/>
        <v>0</v>
      </c>
      <c r="H89">
        <f t="shared" ca="1" si="26"/>
        <v>0</v>
      </c>
      <c r="I89">
        <f t="shared" ca="1" si="27"/>
        <v>0</v>
      </c>
      <c r="J89">
        <f t="shared" ca="1" si="37"/>
        <v>638</v>
      </c>
      <c r="K89">
        <f ca="1">IF(OR($C89="S",$C89=0),0,MATCH(OFFSET($D89,0,$C89)+IF($C89&lt;&gt;1,1,COUNTIF(QCI!$A$13:$A$24,ORÇAMENTO!E89)),OFFSET($D89,1,$C89,ROW($C$727)-ROW($C89)),0))</f>
        <v>2</v>
      </c>
      <c r="L89" s="116" t="str">
        <f t="shared" ca="1" si="28"/>
        <v>F</v>
      </c>
      <c r="M89" s="117" t="s">
        <v>196</v>
      </c>
      <c r="N89" s="118" t="str">
        <f t="shared" ca="1" si="29"/>
        <v>Nível 2</v>
      </c>
      <c r="O89" s="119" t="str">
        <f t="shared" ca="1" si="30"/>
        <v>1.12.</v>
      </c>
      <c r="P89" s="120" t="s">
        <v>247</v>
      </c>
      <c r="Q89" s="121"/>
      <c r="R89" s="122" t="s">
        <v>1040</v>
      </c>
      <c r="S89" s="123" t="str">
        <f ca="1">REFERENCIA.Unidade</f>
        <v>-</v>
      </c>
      <c r="T89" s="124">
        <f ca="1">OFFSET(CÁLCULO!H$15,ROW($T89)-ROW(T$15),0)</f>
        <v>0</v>
      </c>
      <c r="U89" s="125">
        <f t="shared" ca="1" si="36"/>
        <v>0</v>
      </c>
      <c r="V89" s="126" t="s">
        <v>156</v>
      </c>
      <c r="W89" s="124">
        <f ca="1">IF($C89="S",ROUND(IF(TIPOORCAMENTO="Proposto",ORÇAMENTO.CustoUnitario*(1+$AH89),ORÇAMENTO.PrecoUnitarioLicitado),15-13*$AF$10),0)</f>
        <v>0</v>
      </c>
      <c r="X89" s="127">
        <f ca="1">IF($C89="S",IF(Import.TipoArredondamento&lt;&gt;"TransfereGOV",VTOTAL1,SUM(OFFSET(CÁLCULO!$AI$15,ROW($X89)-ROW($X$15),1):OFFSET(CÁLCULO!$BB$15,ROW($X89)-ROW($X$15),-1))),IF($C89=0,0,ROUND(SomaAgrup,15-13*$AF$11)))</f>
        <v>0</v>
      </c>
      <c r="Y89" s="128" t="s">
        <v>245</v>
      </c>
      <c r="Z89" t="str">
        <f t="shared" ca="1" si="31"/>
        <v/>
      </c>
      <c r="AA89" s="129">
        <f ca="1">IF($C89="S",IF($Z89="CP",$X89,IF($Z89="RA",(($X89)*QCI!$AA$3),0)),SomaAgrup)</f>
        <v>0</v>
      </c>
      <c r="AB89" s="130">
        <f t="shared" ca="1" si="32"/>
        <v>0</v>
      </c>
      <c r="AC89" s="131" t="str">
        <f ca="1">IF($N89="","",IF(ORÇAMENTO.Descricao="","DESCRIÇÃO",IF(AND($C89="S",ORÇAMENTO.Unidade=""),"UNIDADE",IF($X89&lt;0,"VALOR NEGATIVO",IF(OR(AND(TIPOORCAMENTO="Proposto",$AG89&lt;&gt;"",$AG89&gt;0,ORÇAMENTO.CustoUnitario&gt;$AG89),AND(TIPOORCAMENTO="LICITADO",ORÇAMENTO.PrecoUnitarioLicitado&gt;$AN89)),"ACIMA REF.","")))))</f>
        <v/>
      </c>
      <c r="AD89">
        <f ca="1">IF(C89&lt;=CRONO.NivelExibicao,MAX($AD$15:OFFSET(AD89,-1,0))+IF($C89&lt;&gt;1,1,MAX(1,COUNTIF(QCI!$A$13:$A$24,OFFSET($E89,-1,0)))),"")</f>
        <v>13</v>
      </c>
      <c r="AE89" s="7" t="b">
        <f ca="1">IF(AND($C89="S",ORÇAMENTO.CodBarra&lt;&gt;""),IF(ORÇAMENTO.Fonte="",ORÇAMENTO.CodBarra,CONCATENATE(ORÇAMENTO.Fonte," ",ORÇAMENTO.CodBarra)))</f>
        <v>0</v>
      </c>
      <c r="AF89" s="13" t="str">
        <f ca="1">IF(ISERROR(INDIRECT(ORÇAMENTO.BancoRef)),"(abra o arquivo 'Referência "&amp;Excel_BuiltIn_Database&amp;".xlsm)",IF(OR($C89&lt;&gt;"S",ORÇAMENTO.CodBarra=""),"(Sem Código)",IF(ISERROR(MATCH($AE89,INDIRECT(ORÇAMENTO.BancoRef),0)),"(Código não identificado nas referências)",MATCH($AE89,INDIRECT(ORÇAMENTO.BancoRef),0))))</f>
        <v>(abra o arquivo 'Referência 06-2024.xlsm)</v>
      </c>
      <c r="AG89" s="498">
        <f ca="1">ROUND(IF(DESONERACAO="sim",REFERENCIA.Desonerado,REFERENCIA.NaoDesonerado),2)</f>
        <v>0</v>
      </c>
      <c r="AH89" s="499">
        <f t="shared" ca="1" si="33"/>
        <v>0.2432</v>
      </c>
      <c r="AJ89" s="501"/>
      <c r="AL89" s="527"/>
      <c r="AM89" s="381">
        <f t="shared" ca="1" si="34"/>
        <v>0</v>
      </c>
      <c r="AN89" s="566">
        <f t="shared" ca="1" si="35"/>
        <v>0</v>
      </c>
    </row>
    <row r="90" spans="1:40" ht="51" x14ac:dyDescent="0.2">
      <c r="A90" t="str">
        <f t="shared" si="20"/>
        <v>S</v>
      </c>
      <c r="B90">
        <f t="shared" ca="1" si="21"/>
        <v>2</v>
      </c>
      <c r="C90" t="str">
        <f t="shared" ca="1" si="22"/>
        <v>S</v>
      </c>
      <c r="D90">
        <f t="shared" ca="1" si="23"/>
        <v>0</v>
      </c>
      <c r="E90">
        <f ca="1">IF($C90=1,OFFSET(E90,-1,0)+MAX(1,COUNTIF(QCI!$A$13:$A$24,OFFSET(ORÇAMENTO!E90,-1,0))),OFFSET(E90,-1,0))</f>
        <v>1</v>
      </c>
      <c r="F90">
        <f t="shared" ca="1" si="24"/>
        <v>12</v>
      </c>
      <c r="G90">
        <f t="shared" ca="1" si="25"/>
        <v>0</v>
      </c>
      <c r="H90">
        <f t="shared" ca="1" si="26"/>
        <v>0</v>
      </c>
      <c r="I90">
        <f t="shared" ca="1" si="27"/>
        <v>0</v>
      </c>
      <c r="J90">
        <f t="shared" ca="1" si="37"/>
        <v>0</v>
      </c>
      <c r="K90">
        <f ca="1">IF(OR($C90="S",$C90=0),0,MATCH(OFFSET($D90,0,$C90)+IF($C90&lt;&gt;1,1,COUNTIF(QCI!$A$13:$A$24,ORÇAMENTO!E90)),OFFSET($D90,1,$C90,ROW($C$727)-ROW($C90)),0))</f>
        <v>0</v>
      </c>
      <c r="L90" s="116" t="str">
        <f t="shared" ca="1" si="28"/>
        <v/>
      </c>
      <c r="M90" s="117" t="s">
        <v>199</v>
      </c>
      <c r="N90" s="118" t="str">
        <f t="shared" ca="1" si="29"/>
        <v>Serviço</v>
      </c>
      <c r="O90" s="119" t="str">
        <f t="shared" ca="1" si="30"/>
        <v>-</v>
      </c>
      <c r="P90" s="120" t="s">
        <v>247</v>
      </c>
      <c r="Q90" s="121" t="s">
        <v>506</v>
      </c>
      <c r="R90" s="122" t="str">
        <f ca="1">IF($C90="S",REFERENCIA.Descricao,"(digite a descrição aqui)")</f>
        <v>(abra o arquivo 'Referência 06-2024.xlsm)</v>
      </c>
      <c r="S90" s="123" t="str">
        <f ca="1">REFERENCIA.Unidade</f>
        <v>-</v>
      </c>
      <c r="T90" s="124">
        <f ca="1">OFFSET(CÁLCULO!H$15,ROW($T90)-ROW(T$15),0)</f>
        <v>19006</v>
      </c>
      <c r="U90" s="125">
        <f t="shared" ca="1" si="36"/>
        <v>0</v>
      </c>
      <c r="V90" s="126" t="s">
        <v>156</v>
      </c>
      <c r="W90" s="124">
        <f ca="1">IF($C90="S",ROUND(IF(TIPOORCAMENTO="Proposto",ORÇAMENTO.CustoUnitario*(1+$AH90),ORÇAMENTO.PrecoUnitarioLicitado),15-13*$AF$10),0)</f>
        <v>0</v>
      </c>
      <c r="X90" s="127">
        <f ca="1">IF($C90="S",IF(Import.TipoArredondamento&lt;&gt;"TransfereGOV",VTOTAL1,SUM(OFFSET(CÁLCULO!$AI$15,ROW($X90)-ROW($X$15),1):OFFSET(CÁLCULO!$BB$15,ROW($X90)-ROW($X$15),-1))),IF($C90=0,0,ROUND(SomaAgrup,15-13*$AF$11)))</f>
        <v>0</v>
      </c>
      <c r="Y90" s="128" t="s">
        <v>245</v>
      </c>
      <c r="Z90" t="str">
        <f t="shared" ca="1" si="31"/>
        <v/>
      </c>
      <c r="AA90" s="129">
        <f ca="1">IF($C90="S",IF($Z90="CP",$X90,IF($Z90="RA",(($X90)*QCI!$AA$3),0)),SomaAgrup)</f>
        <v>0</v>
      </c>
      <c r="AB90" s="130">
        <f t="shared" ca="1" si="32"/>
        <v>0</v>
      </c>
      <c r="AC90" s="131" t="str">
        <f ca="1">IF($N90="","",IF(ORÇAMENTO.Descricao="","DESCRIÇÃO",IF(AND($C90="S",ORÇAMENTO.Unidade=""),"UNIDADE",IF($X90&lt;0,"VALOR NEGATIVO",IF(OR(AND(TIPOORCAMENTO="Proposto",$AG90&lt;&gt;"",$AG90&gt;0,ORÇAMENTO.CustoUnitario&gt;$AG90),AND(TIPOORCAMENTO="LICITADO",ORÇAMENTO.PrecoUnitarioLicitado&gt;$AN90)),"ACIMA REF.","")))))</f>
        <v/>
      </c>
      <c r="AD90" t="str">
        <f ca="1">IF(C90&lt;=CRONO.NivelExibicao,MAX($AD$15:OFFSET(AD90,-1,0))+IF($C90&lt;&gt;1,1,MAX(1,COUNTIF(QCI!$A$13:$A$24,OFFSET($E90,-1,0)))),"")</f>
        <v/>
      </c>
      <c r="AE90" s="7" t="str">
        <f ca="1">IF(AND($C90="S",ORÇAMENTO.CodBarra&lt;&gt;""),IF(ORÇAMENTO.Fonte="",ORÇAMENTO.CodBarra,CONCATENATE(ORÇAMENTO.Fonte," ",ORÇAMENTO.CodBarra)))</f>
        <v>SINAPI 100775</v>
      </c>
      <c r="AF90" s="13" t="str">
        <f ca="1">IF(ISERROR(INDIRECT(ORÇAMENTO.BancoRef)),"(abra o arquivo 'Referência "&amp;Excel_BuiltIn_Database&amp;".xlsm)",IF(OR($C90&lt;&gt;"S",ORÇAMENTO.CodBarra=""),"(Sem Código)",IF(ISERROR(MATCH($AE90,INDIRECT(ORÇAMENTO.BancoRef),0)),"(Código não identificado nas referências)",MATCH($AE90,INDIRECT(ORÇAMENTO.BancoRef),0))))</f>
        <v>(abra o arquivo 'Referência 06-2024.xlsm)</v>
      </c>
      <c r="AG90" s="498">
        <f ca="1">ROUND(IF(DESONERACAO="sim",REFERENCIA.Desonerado,REFERENCIA.NaoDesonerado),2)</f>
        <v>0</v>
      </c>
      <c r="AH90" s="499">
        <f t="shared" ca="1" si="33"/>
        <v>0.2432</v>
      </c>
      <c r="AJ90" s="501"/>
      <c r="AL90" s="527"/>
      <c r="AM90" s="381">
        <f t="shared" ca="1" si="34"/>
        <v>0</v>
      </c>
      <c r="AN90" s="566">
        <f t="shared" ca="1" si="35"/>
        <v>0</v>
      </c>
    </row>
    <row r="91" spans="1:40" x14ac:dyDescent="0.2">
      <c r="A91">
        <f t="shared" si="20"/>
        <v>2</v>
      </c>
      <c r="B91">
        <f t="shared" ca="1" si="21"/>
        <v>2</v>
      </c>
      <c r="C91">
        <f t="shared" ca="1" si="22"/>
        <v>2</v>
      </c>
      <c r="D91">
        <f t="shared" ca="1" si="23"/>
        <v>5</v>
      </c>
      <c r="E91">
        <f ca="1">IF($C91=1,OFFSET(E91,-1,0)+MAX(1,COUNTIF(QCI!$A$13:$A$24,OFFSET(ORÇAMENTO!E91,-1,0))),OFFSET(E91,-1,0))</f>
        <v>1</v>
      </c>
      <c r="F91">
        <f t="shared" ca="1" si="24"/>
        <v>13</v>
      </c>
      <c r="G91">
        <f t="shared" ca="1" si="25"/>
        <v>0</v>
      </c>
      <c r="H91">
        <f t="shared" ca="1" si="26"/>
        <v>0</v>
      </c>
      <c r="I91">
        <f t="shared" ca="1" si="27"/>
        <v>0</v>
      </c>
      <c r="J91">
        <f t="shared" ca="1" si="37"/>
        <v>636</v>
      </c>
      <c r="K91">
        <f ca="1">IF(OR($C91="S",$C91=0),0,MATCH(OFFSET($D91,0,$C91)+IF($C91&lt;&gt;1,1,COUNTIF(QCI!$A$13:$A$24,ORÇAMENTO!E91)),OFFSET($D91,1,$C91,ROW($C$727)-ROW($C91)),0))</f>
        <v>5</v>
      </c>
      <c r="L91" s="116" t="str">
        <f t="shared" ca="1" si="28"/>
        <v>F</v>
      </c>
      <c r="M91" s="117" t="s">
        <v>196</v>
      </c>
      <c r="N91" s="118" t="str">
        <f t="shared" ca="1" si="29"/>
        <v>Nível 2</v>
      </c>
      <c r="O91" s="119" t="str">
        <f t="shared" ca="1" si="30"/>
        <v>1.13.</v>
      </c>
      <c r="P91" s="120" t="s">
        <v>247</v>
      </c>
      <c r="Q91" s="121"/>
      <c r="R91" s="122" t="s">
        <v>1041</v>
      </c>
      <c r="S91" s="123" t="str">
        <f ca="1">REFERENCIA.Unidade</f>
        <v>-</v>
      </c>
      <c r="T91" s="124">
        <f ca="1">OFFSET(CÁLCULO!H$15,ROW($T91)-ROW(T$15),0)</f>
        <v>0</v>
      </c>
      <c r="U91" s="125">
        <f t="shared" ca="1" si="36"/>
        <v>0</v>
      </c>
      <c r="V91" s="126" t="s">
        <v>156</v>
      </c>
      <c r="W91" s="124">
        <f ca="1">IF($C91="S",ROUND(IF(TIPOORCAMENTO="Proposto",ORÇAMENTO.CustoUnitario*(1+$AH91),ORÇAMENTO.PrecoUnitarioLicitado),15-13*$AF$10),0)</f>
        <v>0</v>
      </c>
      <c r="X91" s="127">
        <f ca="1">IF($C91="S",IF(Import.TipoArredondamento&lt;&gt;"TransfereGOV",VTOTAL1,SUM(OFFSET(CÁLCULO!$AI$15,ROW($X91)-ROW($X$15),1):OFFSET(CÁLCULO!$BB$15,ROW($X91)-ROW($X$15),-1))),IF($C91=0,0,ROUND(SomaAgrup,15-13*$AF$11)))</f>
        <v>0</v>
      </c>
      <c r="Y91" s="128" t="s">
        <v>245</v>
      </c>
      <c r="Z91" t="str">
        <f t="shared" ca="1" si="31"/>
        <v/>
      </c>
      <c r="AA91" s="129">
        <f ca="1">IF($C91="S",IF($Z91="CP",$X91,IF($Z91="RA",(($X91)*QCI!$AA$3),0)),SomaAgrup)</f>
        <v>0</v>
      </c>
      <c r="AB91" s="130">
        <f t="shared" ca="1" si="32"/>
        <v>0</v>
      </c>
      <c r="AC91" s="131" t="str">
        <f ca="1">IF($N91="","",IF(ORÇAMENTO.Descricao="","DESCRIÇÃO",IF(AND($C91="S",ORÇAMENTO.Unidade=""),"UNIDADE",IF($X91&lt;0,"VALOR NEGATIVO",IF(OR(AND(TIPOORCAMENTO="Proposto",$AG91&lt;&gt;"",$AG91&gt;0,ORÇAMENTO.CustoUnitario&gt;$AG91),AND(TIPOORCAMENTO="LICITADO",ORÇAMENTO.PrecoUnitarioLicitado&gt;$AN91)),"ACIMA REF.","")))))</f>
        <v/>
      </c>
      <c r="AD91">
        <f ca="1">IF(C91&lt;=CRONO.NivelExibicao,MAX($AD$15:OFFSET(AD91,-1,0))+IF($C91&lt;&gt;1,1,MAX(1,COUNTIF(QCI!$A$13:$A$24,OFFSET($E91,-1,0)))),"")</f>
        <v>14</v>
      </c>
      <c r="AE91" s="7" t="b">
        <f ca="1">IF(AND($C91="S",ORÇAMENTO.CodBarra&lt;&gt;""),IF(ORÇAMENTO.Fonte="",ORÇAMENTO.CodBarra,CONCATENATE(ORÇAMENTO.Fonte," ",ORÇAMENTO.CodBarra)))</f>
        <v>0</v>
      </c>
      <c r="AF91" s="13" t="str">
        <f ca="1">IF(ISERROR(INDIRECT(ORÇAMENTO.BancoRef)),"(abra o arquivo 'Referência "&amp;Excel_BuiltIn_Database&amp;".xlsm)",IF(OR($C91&lt;&gt;"S",ORÇAMENTO.CodBarra=""),"(Sem Código)",IF(ISERROR(MATCH($AE91,INDIRECT(ORÇAMENTO.BancoRef),0)),"(Código não identificado nas referências)",MATCH($AE91,INDIRECT(ORÇAMENTO.BancoRef),0))))</f>
        <v>(abra o arquivo 'Referência 06-2024.xlsm)</v>
      </c>
      <c r="AG91" s="498">
        <f ca="1">ROUND(IF(DESONERACAO="sim",REFERENCIA.Desonerado,REFERENCIA.NaoDesonerado),2)</f>
        <v>0</v>
      </c>
      <c r="AH91" s="499">
        <f t="shared" ca="1" si="33"/>
        <v>0.2432</v>
      </c>
      <c r="AJ91" s="501"/>
      <c r="AL91" s="527"/>
      <c r="AM91" s="381">
        <f t="shared" ca="1" si="34"/>
        <v>0</v>
      </c>
      <c r="AN91" s="566">
        <f t="shared" ca="1" si="35"/>
        <v>0</v>
      </c>
    </row>
    <row r="92" spans="1:40" ht="38.25" x14ac:dyDescent="0.2">
      <c r="A92" t="str">
        <f t="shared" si="20"/>
        <v>S</v>
      </c>
      <c r="B92">
        <f t="shared" ca="1" si="21"/>
        <v>2</v>
      </c>
      <c r="C92" t="str">
        <f t="shared" ca="1" si="22"/>
        <v>S</v>
      </c>
      <c r="D92">
        <f t="shared" ca="1" si="23"/>
        <v>0</v>
      </c>
      <c r="E92">
        <f ca="1">IF($C92=1,OFFSET(E92,-1,0)+MAX(1,COUNTIF(QCI!$A$13:$A$24,OFFSET(ORÇAMENTO!E92,-1,0))),OFFSET(E92,-1,0))</f>
        <v>1</v>
      </c>
      <c r="F92">
        <f t="shared" ca="1" si="24"/>
        <v>13</v>
      </c>
      <c r="G92">
        <f t="shared" ca="1" si="25"/>
        <v>0</v>
      </c>
      <c r="H92">
        <f t="shared" ca="1" si="26"/>
        <v>0</v>
      </c>
      <c r="I92">
        <f t="shared" ca="1" si="27"/>
        <v>0</v>
      </c>
      <c r="J92">
        <f t="shared" ca="1" si="37"/>
        <v>0</v>
      </c>
      <c r="K92">
        <f ca="1">IF(OR($C92="S",$C92=0),0,MATCH(OFFSET($D92,0,$C92)+IF($C92&lt;&gt;1,1,COUNTIF(QCI!$A$13:$A$24,ORÇAMENTO!E92)),OFFSET($D92,1,$C92,ROW($C$727)-ROW($C92)),0))</f>
        <v>0</v>
      </c>
      <c r="L92" s="116" t="str">
        <f t="shared" ca="1" si="28"/>
        <v/>
      </c>
      <c r="M92" s="117" t="s">
        <v>199</v>
      </c>
      <c r="N92" s="118" t="str">
        <f t="shared" ca="1" si="29"/>
        <v>Serviço</v>
      </c>
      <c r="O92" s="119" t="str">
        <f t="shared" ca="1" si="30"/>
        <v>-</v>
      </c>
      <c r="P92" s="120" t="s">
        <v>247</v>
      </c>
      <c r="Q92" s="121" t="s">
        <v>507</v>
      </c>
      <c r="R92" s="122" t="str">
        <f ca="1">IF($C92="S",REFERENCIA.Descricao,"(digite a descrição aqui)")</f>
        <v>(abra o arquivo 'Referência 06-2024.xlsm)</v>
      </c>
      <c r="S92" s="123" t="str">
        <f ca="1">REFERENCIA.Unidade</f>
        <v>-</v>
      </c>
      <c r="T92" s="124">
        <f ca="1">OFFSET(CÁLCULO!H$15,ROW($T92)-ROW(T$15),0)</f>
        <v>1394.71</v>
      </c>
      <c r="U92" s="125">
        <f t="shared" ca="1" si="36"/>
        <v>0</v>
      </c>
      <c r="V92" s="126" t="s">
        <v>156</v>
      </c>
      <c r="W92" s="124">
        <f ca="1">IF($C92="S",ROUND(IF(TIPOORCAMENTO="Proposto",ORÇAMENTO.CustoUnitario*(1+$AH92),ORÇAMENTO.PrecoUnitarioLicitado),15-13*$AF$10),0)</f>
        <v>0</v>
      </c>
      <c r="X92" s="127">
        <f ca="1">IF($C92="S",IF(Import.TipoArredondamento&lt;&gt;"TransfereGOV",VTOTAL1,SUM(OFFSET(CÁLCULO!$AI$15,ROW($X92)-ROW($X$15),1):OFFSET(CÁLCULO!$BB$15,ROW($X92)-ROW($X$15),-1))),IF($C92=0,0,ROUND(SomaAgrup,15-13*$AF$11)))</f>
        <v>0</v>
      </c>
      <c r="Y92" s="128" t="s">
        <v>245</v>
      </c>
      <c r="Z92" t="str">
        <f t="shared" ca="1" si="31"/>
        <v/>
      </c>
      <c r="AA92" s="129">
        <f ca="1">IF($C92="S",IF($Z92="CP",$X92,IF($Z92="RA",(($X92)*QCI!$AA$3),0)),SomaAgrup)</f>
        <v>0</v>
      </c>
      <c r="AB92" s="130">
        <f t="shared" ca="1" si="32"/>
        <v>0</v>
      </c>
      <c r="AC92" s="131" t="str">
        <f ca="1">IF($N92="","",IF(ORÇAMENTO.Descricao="","DESCRIÇÃO",IF(AND($C92="S",ORÇAMENTO.Unidade=""),"UNIDADE",IF($X92&lt;0,"VALOR NEGATIVO",IF(OR(AND(TIPOORCAMENTO="Proposto",$AG92&lt;&gt;"",$AG92&gt;0,ORÇAMENTO.CustoUnitario&gt;$AG92),AND(TIPOORCAMENTO="LICITADO",ORÇAMENTO.PrecoUnitarioLicitado&gt;$AN92)),"ACIMA REF.","")))))</f>
        <v/>
      </c>
      <c r="AD92" t="str">
        <f ca="1">IF(C92&lt;=CRONO.NivelExibicao,MAX($AD$15:OFFSET(AD92,-1,0))+IF($C92&lt;&gt;1,1,MAX(1,COUNTIF(QCI!$A$13:$A$24,OFFSET($E92,-1,0)))),"")</f>
        <v/>
      </c>
      <c r="AE92" s="7" t="str">
        <f ca="1">IF(AND($C92="S",ORÇAMENTO.CodBarra&lt;&gt;""),IF(ORÇAMENTO.Fonte="",ORÇAMENTO.CodBarra,CONCATENATE(ORÇAMENTO.Fonte," ",ORÇAMENTO.CodBarra)))</f>
        <v>SINAPI 97083</v>
      </c>
      <c r="AF92" s="13" t="str">
        <f ca="1">IF(ISERROR(INDIRECT(ORÇAMENTO.BancoRef)),"(abra o arquivo 'Referência "&amp;Excel_BuiltIn_Database&amp;".xlsm)",IF(OR($C92&lt;&gt;"S",ORÇAMENTO.CodBarra=""),"(Sem Código)",IF(ISERROR(MATCH($AE92,INDIRECT(ORÇAMENTO.BancoRef),0)),"(Código não identificado nas referências)",MATCH($AE92,INDIRECT(ORÇAMENTO.BancoRef),0))))</f>
        <v>(abra o arquivo 'Referência 06-2024.xlsm)</v>
      </c>
      <c r="AG92" s="498">
        <f ca="1">ROUND(IF(DESONERACAO="sim",REFERENCIA.Desonerado,REFERENCIA.NaoDesonerado),2)</f>
        <v>0</v>
      </c>
      <c r="AH92" s="499">
        <f t="shared" ca="1" si="33"/>
        <v>0.2432</v>
      </c>
      <c r="AJ92" s="501"/>
      <c r="AL92" s="527"/>
      <c r="AM92" s="381">
        <f t="shared" ca="1" si="34"/>
        <v>0</v>
      </c>
      <c r="AN92" s="566">
        <f t="shared" ca="1" si="35"/>
        <v>0</v>
      </c>
    </row>
    <row r="93" spans="1:40" ht="25.5" x14ac:dyDescent="0.2">
      <c r="A93" t="str">
        <f t="shared" si="20"/>
        <v>S</v>
      </c>
      <c r="B93">
        <f t="shared" ca="1" si="21"/>
        <v>2</v>
      </c>
      <c r="C93" t="str">
        <f t="shared" ca="1" si="22"/>
        <v>S</v>
      </c>
      <c r="D93">
        <f t="shared" ca="1" si="23"/>
        <v>0</v>
      </c>
      <c r="E93">
        <f ca="1">IF($C93=1,OFFSET(E93,-1,0)+MAX(1,COUNTIF(QCI!$A$13:$A$24,OFFSET(ORÇAMENTO!E93,-1,0))),OFFSET(E93,-1,0))</f>
        <v>1</v>
      </c>
      <c r="F93">
        <f t="shared" ca="1" si="24"/>
        <v>13</v>
      </c>
      <c r="G93">
        <f t="shared" ca="1" si="25"/>
        <v>0</v>
      </c>
      <c r="H93">
        <f t="shared" ca="1" si="26"/>
        <v>0</v>
      </c>
      <c r="I93">
        <f t="shared" ca="1" si="27"/>
        <v>0</v>
      </c>
      <c r="J93">
        <f t="shared" ca="1" si="37"/>
        <v>0</v>
      </c>
      <c r="K93">
        <f ca="1">IF(OR($C93="S",$C93=0),0,MATCH(OFFSET($D93,0,$C93)+IF($C93&lt;&gt;1,1,COUNTIF(QCI!$A$13:$A$24,ORÇAMENTO!E93)),OFFSET($D93,1,$C93,ROW($C$727)-ROW($C93)),0))</f>
        <v>0</v>
      </c>
      <c r="L93" s="116" t="str">
        <f t="shared" ca="1" si="28"/>
        <v/>
      </c>
      <c r="M93" s="117" t="s">
        <v>199</v>
      </c>
      <c r="N93" s="118" t="str">
        <f t="shared" ca="1" si="29"/>
        <v>Serviço</v>
      </c>
      <c r="O93" s="119" t="str">
        <f t="shared" ca="1" si="30"/>
        <v>-</v>
      </c>
      <c r="P93" s="120" t="s">
        <v>247</v>
      </c>
      <c r="Q93" s="121" t="s">
        <v>508</v>
      </c>
      <c r="R93" s="122" t="str">
        <f ca="1">IF($C93="S",REFERENCIA.Descricao,"(digite a descrição aqui)")</f>
        <v>(abra o arquivo 'Referência 06-2024.xlsm)</v>
      </c>
      <c r="S93" s="123" t="str">
        <f ca="1">REFERENCIA.Unidade</f>
        <v>-</v>
      </c>
      <c r="T93" s="124">
        <f ca="1">OFFSET(CÁLCULO!H$15,ROW($T93)-ROW(T$15),0)</f>
        <v>69.739999999999995</v>
      </c>
      <c r="U93" s="125">
        <f t="shared" ca="1" si="36"/>
        <v>0</v>
      </c>
      <c r="V93" s="126" t="s">
        <v>156</v>
      </c>
      <c r="W93" s="124">
        <f ca="1">IF($C93="S",ROUND(IF(TIPOORCAMENTO="Proposto",ORÇAMENTO.CustoUnitario*(1+$AH93),ORÇAMENTO.PrecoUnitarioLicitado),15-13*$AF$10),0)</f>
        <v>0</v>
      </c>
      <c r="X93" s="127">
        <f ca="1">IF($C93="S",IF(Import.TipoArredondamento&lt;&gt;"TransfereGOV",VTOTAL1,SUM(OFFSET(CÁLCULO!$AI$15,ROW($X93)-ROW($X$15),1):OFFSET(CÁLCULO!$BB$15,ROW($X93)-ROW($X$15),-1))),IF($C93=0,0,ROUND(SomaAgrup,15-13*$AF$11)))</f>
        <v>0</v>
      </c>
      <c r="Y93" s="128" t="s">
        <v>245</v>
      </c>
      <c r="Z93" t="str">
        <f t="shared" ca="1" si="31"/>
        <v/>
      </c>
      <c r="AA93" s="129">
        <f ca="1">IF($C93="S",IF($Z93="CP",$X93,IF($Z93="RA",(($X93)*QCI!$AA$3),0)),SomaAgrup)</f>
        <v>0</v>
      </c>
      <c r="AB93" s="130">
        <f t="shared" ca="1" si="32"/>
        <v>0</v>
      </c>
      <c r="AC93" s="131" t="str">
        <f ca="1">IF($N93="","",IF(ORÇAMENTO.Descricao="","DESCRIÇÃO",IF(AND($C93="S",ORÇAMENTO.Unidade=""),"UNIDADE",IF($X93&lt;0,"VALOR NEGATIVO",IF(OR(AND(TIPOORCAMENTO="Proposto",$AG93&lt;&gt;"",$AG93&gt;0,ORÇAMENTO.CustoUnitario&gt;$AG93),AND(TIPOORCAMENTO="LICITADO",ORÇAMENTO.PrecoUnitarioLicitado&gt;$AN93)),"ACIMA REF.","")))))</f>
        <v/>
      </c>
      <c r="AD93" t="str">
        <f ca="1">IF(C93&lt;=CRONO.NivelExibicao,MAX($AD$15:OFFSET(AD93,-1,0))+IF($C93&lt;&gt;1,1,MAX(1,COUNTIF(QCI!$A$13:$A$24,OFFSET($E93,-1,0)))),"")</f>
        <v/>
      </c>
      <c r="AE93" s="7" t="str">
        <f ca="1">IF(AND($C93="S",ORÇAMENTO.CodBarra&lt;&gt;""),IF(ORÇAMENTO.Fonte="",ORÇAMENTO.CodBarra,CONCATENATE(ORÇAMENTO.Fonte," ",ORÇAMENTO.CodBarra)))</f>
        <v>SINAPI 96622</v>
      </c>
      <c r="AF93" s="13" t="str">
        <f ca="1">IF(ISERROR(INDIRECT(ORÇAMENTO.BancoRef)),"(abra o arquivo 'Referência "&amp;Excel_BuiltIn_Database&amp;".xlsm)",IF(OR($C93&lt;&gt;"S",ORÇAMENTO.CodBarra=""),"(Sem Código)",IF(ISERROR(MATCH($AE93,INDIRECT(ORÇAMENTO.BancoRef),0)),"(Código não identificado nas referências)",MATCH($AE93,INDIRECT(ORÇAMENTO.BancoRef),0))))</f>
        <v>(abra o arquivo 'Referência 06-2024.xlsm)</v>
      </c>
      <c r="AG93" s="498">
        <f ca="1">ROUND(IF(DESONERACAO="sim",REFERENCIA.Desonerado,REFERENCIA.NaoDesonerado),2)</f>
        <v>0</v>
      </c>
      <c r="AH93" s="499">
        <f t="shared" ca="1" si="33"/>
        <v>0.2432</v>
      </c>
      <c r="AJ93" s="501"/>
      <c r="AL93" s="527"/>
      <c r="AM93" s="381">
        <f t="shared" ca="1" si="34"/>
        <v>0</v>
      </c>
      <c r="AN93" s="566">
        <f t="shared" ca="1" si="35"/>
        <v>0</v>
      </c>
    </row>
    <row r="94" spans="1:40" ht="25.5" x14ac:dyDescent="0.2">
      <c r="A94" t="str">
        <f t="shared" si="20"/>
        <v>S</v>
      </c>
      <c r="B94">
        <f t="shared" ca="1" si="21"/>
        <v>2</v>
      </c>
      <c r="C94" t="str">
        <f t="shared" ca="1" si="22"/>
        <v>S</v>
      </c>
      <c r="D94">
        <f t="shared" ca="1" si="23"/>
        <v>0</v>
      </c>
      <c r="E94">
        <f ca="1">IF($C94=1,OFFSET(E94,-1,0)+MAX(1,COUNTIF(QCI!$A$13:$A$24,OFFSET(ORÇAMENTO!E94,-1,0))),OFFSET(E94,-1,0))</f>
        <v>1</v>
      </c>
      <c r="F94">
        <f t="shared" ca="1" si="24"/>
        <v>13</v>
      </c>
      <c r="G94">
        <f t="shared" ca="1" si="25"/>
        <v>0</v>
      </c>
      <c r="H94">
        <f t="shared" ca="1" si="26"/>
        <v>0</v>
      </c>
      <c r="I94">
        <f t="shared" ca="1" si="27"/>
        <v>0</v>
      </c>
      <c r="J94">
        <f t="shared" ca="1" si="37"/>
        <v>0</v>
      </c>
      <c r="K94">
        <f ca="1">IF(OR($C94="S",$C94=0),0,MATCH(OFFSET($D94,0,$C94)+IF($C94&lt;&gt;1,1,COUNTIF(QCI!$A$13:$A$24,ORÇAMENTO!E94)),OFFSET($D94,1,$C94,ROW($C$727)-ROW($C94)),0))</f>
        <v>0</v>
      </c>
      <c r="L94" s="116" t="str">
        <f t="shared" ca="1" si="28"/>
        <v/>
      </c>
      <c r="M94" s="117" t="s">
        <v>199</v>
      </c>
      <c r="N94" s="118" t="str">
        <f t="shared" ca="1" si="29"/>
        <v>Serviço</v>
      </c>
      <c r="O94" s="119" t="str">
        <f t="shared" ca="1" si="30"/>
        <v>-</v>
      </c>
      <c r="P94" s="120" t="s">
        <v>247</v>
      </c>
      <c r="Q94" s="121" t="s">
        <v>509</v>
      </c>
      <c r="R94" s="122" t="str">
        <f ca="1">IF($C94="S",REFERENCIA.Descricao,"(digite a descrição aqui)")</f>
        <v>(abra o arquivo 'Referência 06-2024.xlsm)</v>
      </c>
      <c r="S94" s="123" t="str">
        <f ca="1">REFERENCIA.Unidade</f>
        <v>-</v>
      </c>
      <c r="T94" s="124">
        <f ca="1">OFFSET(CÁLCULO!H$15,ROW($T94)-ROW(T$15),0)</f>
        <v>1394.71</v>
      </c>
      <c r="U94" s="125">
        <f t="shared" ca="1" si="36"/>
        <v>0</v>
      </c>
      <c r="V94" s="126" t="s">
        <v>156</v>
      </c>
      <c r="W94" s="124">
        <f ca="1">IF($C94="S",ROUND(IF(TIPOORCAMENTO="Proposto",ORÇAMENTO.CustoUnitario*(1+$AH94),ORÇAMENTO.PrecoUnitarioLicitado),15-13*$AF$10),0)</f>
        <v>0</v>
      </c>
      <c r="X94" s="127">
        <f ca="1">IF($C94="S",IF(Import.TipoArredondamento&lt;&gt;"TransfereGOV",VTOTAL1,SUM(OFFSET(CÁLCULO!$AI$15,ROW($X94)-ROW($X$15),1):OFFSET(CÁLCULO!$BB$15,ROW($X94)-ROW($X$15),-1))),IF($C94=0,0,ROUND(SomaAgrup,15-13*$AF$11)))</f>
        <v>0</v>
      </c>
      <c r="Y94" s="128" t="s">
        <v>245</v>
      </c>
      <c r="Z94" t="str">
        <f t="shared" ca="1" si="31"/>
        <v/>
      </c>
      <c r="AA94" s="129">
        <f ca="1">IF($C94="S",IF($Z94="CP",$X94,IF($Z94="RA",(($X94)*QCI!$AA$3),0)),SomaAgrup)</f>
        <v>0</v>
      </c>
      <c r="AB94" s="130">
        <f t="shared" ca="1" si="32"/>
        <v>0</v>
      </c>
      <c r="AC94" s="131" t="str">
        <f ca="1">IF($N94="","",IF(ORÇAMENTO.Descricao="","DESCRIÇÃO",IF(AND($C94="S",ORÇAMENTO.Unidade=""),"UNIDADE",IF($X94&lt;0,"VALOR NEGATIVO",IF(OR(AND(TIPOORCAMENTO="Proposto",$AG94&lt;&gt;"",$AG94&gt;0,ORÇAMENTO.CustoUnitario&gt;$AG94),AND(TIPOORCAMENTO="LICITADO",ORÇAMENTO.PrecoUnitarioLicitado&gt;$AN94)),"ACIMA REF.","")))))</f>
        <v/>
      </c>
      <c r="AD94" t="str">
        <f ca="1">IF(C94&lt;=CRONO.NivelExibicao,MAX($AD$15:OFFSET(AD94,-1,0))+IF($C94&lt;&gt;1,1,MAX(1,COUNTIF(QCI!$A$13:$A$24,OFFSET($E94,-1,0)))),"")</f>
        <v/>
      </c>
      <c r="AE94" s="7" t="str">
        <f ca="1">IF(AND($C94="S",ORÇAMENTO.CodBarra&lt;&gt;""),IF(ORÇAMENTO.Fonte="",ORÇAMENTO.CodBarra,CONCATENATE(ORÇAMENTO.Fonte," ",ORÇAMENTO.CodBarra)))</f>
        <v>SINAPI 97087</v>
      </c>
      <c r="AF94" s="13" t="str">
        <f ca="1">IF(ISERROR(INDIRECT(ORÇAMENTO.BancoRef)),"(abra o arquivo 'Referência "&amp;Excel_BuiltIn_Database&amp;".xlsm)",IF(OR($C94&lt;&gt;"S",ORÇAMENTO.CodBarra=""),"(Sem Código)",IF(ISERROR(MATCH($AE94,INDIRECT(ORÇAMENTO.BancoRef),0)),"(Código não identificado nas referências)",MATCH($AE94,INDIRECT(ORÇAMENTO.BancoRef),0))))</f>
        <v>(abra o arquivo 'Referência 06-2024.xlsm)</v>
      </c>
      <c r="AG94" s="498">
        <f ca="1">ROUND(IF(DESONERACAO="sim",REFERENCIA.Desonerado,REFERENCIA.NaoDesonerado),2)</f>
        <v>0</v>
      </c>
      <c r="AH94" s="499">
        <f t="shared" ca="1" si="33"/>
        <v>0.2432</v>
      </c>
      <c r="AJ94" s="501"/>
      <c r="AL94" s="527"/>
      <c r="AM94" s="381">
        <f t="shared" ca="1" si="34"/>
        <v>0</v>
      </c>
      <c r="AN94" s="566">
        <f t="shared" ca="1" si="35"/>
        <v>0</v>
      </c>
    </row>
    <row r="95" spans="1:40" ht="38.25" x14ac:dyDescent="0.2">
      <c r="A95" t="str">
        <f t="shared" si="20"/>
        <v>S</v>
      </c>
      <c r="B95">
        <f t="shared" ca="1" si="21"/>
        <v>2</v>
      </c>
      <c r="C95" t="str">
        <f t="shared" ca="1" si="22"/>
        <v>S</v>
      </c>
      <c r="D95">
        <f t="shared" ca="1" si="23"/>
        <v>0</v>
      </c>
      <c r="E95">
        <f ca="1">IF($C95=1,OFFSET(E95,-1,0)+MAX(1,COUNTIF(QCI!$A$13:$A$24,OFFSET(ORÇAMENTO!E95,-1,0))),OFFSET(E95,-1,0))</f>
        <v>1</v>
      </c>
      <c r="F95">
        <f t="shared" ca="1" si="24"/>
        <v>13</v>
      </c>
      <c r="G95">
        <f t="shared" ca="1" si="25"/>
        <v>0</v>
      </c>
      <c r="H95">
        <f t="shared" ca="1" si="26"/>
        <v>0</v>
      </c>
      <c r="I95">
        <f t="shared" ca="1" si="27"/>
        <v>0</v>
      </c>
      <c r="J95">
        <f t="shared" ca="1" si="37"/>
        <v>0</v>
      </c>
      <c r="K95">
        <f ca="1">IF(OR($C95="S",$C95=0),0,MATCH(OFFSET($D95,0,$C95)+IF($C95&lt;&gt;1,1,COUNTIF(QCI!$A$13:$A$24,ORÇAMENTO!E95)),OFFSET($D95,1,$C95,ROW($C$727)-ROW($C95)),0))</f>
        <v>0</v>
      </c>
      <c r="L95" s="116" t="str">
        <f t="shared" ca="1" si="28"/>
        <v/>
      </c>
      <c r="M95" s="117" t="s">
        <v>199</v>
      </c>
      <c r="N95" s="118" t="str">
        <f t="shared" ca="1" si="29"/>
        <v>Serviço</v>
      </c>
      <c r="O95" s="119" t="str">
        <f t="shared" ca="1" si="30"/>
        <v>-</v>
      </c>
      <c r="P95" s="120" t="s">
        <v>247</v>
      </c>
      <c r="Q95" s="121" t="s">
        <v>510</v>
      </c>
      <c r="R95" s="122" t="str">
        <f ca="1">IF($C95="S",REFERENCIA.Descricao,"(digite a descrição aqui)")</f>
        <v>(abra o arquivo 'Referência 06-2024.xlsm)</v>
      </c>
      <c r="S95" s="123" t="str">
        <f ca="1">REFERENCIA.Unidade</f>
        <v>-</v>
      </c>
      <c r="T95" s="124">
        <f ca="1">OFFSET(CÁLCULO!H$15,ROW($T95)-ROW(T$15),0)</f>
        <v>111.58</v>
      </c>
      <c r="U95" s="125">
        <f t="shared" ca="1" si="36"/>
        <v>0</v>
      </c>
      <c r="V95" s="126" t="s">
        <v>156</v>
      </c>
      <c r="W95" s="124">
        <f ca="1">IF($C95="S",ROUND(IF(TIPOORCAMENTO="Proposto",ORÇAMENTO.CustoUnitario*(1+$AH95),ORÇAMENTO.PrecoUnitarioLicitado),15-13*$AF$10),0)</f>
        <v>0</v>
      </c>
      <c r="X95" s="127">
        <f ca="1">IF($C95="S",IF(Import.TipoArredondamento&lt;&gt;"TransfereGOV",VTOTAL1,SUM(OFFSET(CÁLCULO!$AI$15,ROW($X95)-ROW($X$15),1):OFFSET(CÁLCULO!$BB$15,ROW($X95)-ROW($X$15),-1))),IF($C95=0,0,ROUND(SomaAgrup,15-13*$AF$11)))</f>
        <v>0</v>
      </c>
      <c r="Y95" s="128" t="s">
        <v>245</v>
      </c>
      <c r="Z95" t="str">
        <f t="shared" ca="1" si="31"/>
        <v/>
      </c>
      <c r="AA95" s="129">
        <f ca="1">IF($C95="S",IF($Z95="CP",$X95,IF($Z95="RA",(($X95)*QCI!$AA$3),0)),SomaAgrup)</f>
        <v>0</v>
      </c>
      <c r="AB95" s="130">
        <f t="shared" ca="1" si="32"/>
        <v>0</v>
      </c>
      <c r="AC95" s="131" t="str">
        <f ca="1">IF($N95="","",IF(ORÇAMENTO.Descricao="","DESCRIÇÃO",IF(AND($C95="S",ORÇAMENTO.Unidade=""),"UNIDADE",IF($X95&lt;0,"VALOR NEGATIVO",IF(OR(AND(TIPOORCAMENTO="Proposto",$AG95&lt;&gt;"",$AG95&gt;0,ORÇAMENTO.CustoUnitario&gt;$AG95),AND(TIPOORCAMENTO="LICITADO",ORÇAMENTO.PrecoUnitarioLicitado&gt;$AN95)),"ACIMA REF.","")))))</f>
        <v/>
      </c>
      <c r="AD95" t="str">
        <f ca="1">IF(C95&lt;=CRONO.NivelExibicao,MAX($AD$15:OFFSET(AD95,-1,0))+IF($C95&lt;&gt;1,1,MAX(1,COUNTIF(QCI!$A$13:$A$24,OFFSET($E95,-1,0)))),"")</f>
        <v/>
      </c>
      <c r="AE95" s="7" t="str">
        <f ca="1">IF(AND($C95="S",ORÇAMENTO.CodBarra&lt;&gt;""),IF(ORÇAMENTO.Fonte="",ORÇAMENTO.CodBarra,CONCATENATE(ORÇAMENTO.Fonte," ",ORÇAMENTO.CodBarra)))</f>
        <v>SINAPI 94991</v>
      </c>
      <c r="AF95" s="13" t="str">
        <f ca="1">IF(ISERROR(INDIRECT(ORÇAMENTO.BancoRef)),"(abra o arquivo 'Referência "&amp;Excel_BuiltIn_Database&amp;".xlsm)",IF(OR($C95&lt;&gt;"S",ORÇAMENTO.CodBarra=""),"(Sem Código)",IF(ISERROR(MATCH($AE95,INDIRECT(ORÇAMENTO.BancoRef),0)),"(Código não identificado nas referências)",MATCH($AE95,INDIRECT(ORÇAMENTO.BancoRef),0))))</f>
        <v>(abra o arquivo 'Referência 06-2024.xlsm)</v>
      </c>
      <c r="AG95" s="498">
        <f ca="1">ROUND(IF(DESONERACAO="sim",REFERENCIA.Desonerado,REFERENCIA.NaoDesonerado),2)</f>
        <v>0</v>
      </c>
      <c r="AH95" s="499">
        <f t="shared" ca="1" si="33"/>
        <v>0.2432</v>
      </c>
      <c r="AJ95" s="501"/>
      <c r="AL95" s="527"/>
      <c r="AM95" s="381">
        <f t="shared" ca="1" si="34"/>
        <v>0</v>
      </c>
      <c r="AN95" s="566">
        <f t="shared" ca="1" si="35"/>
        <v>0</v>
      </c>
    </row>
    <row r="96" spans="1:40" x14ac:dyDescent="0.2">
      <c r="A96">
        <f t="shared" si="20"/>
        <v>2</v>
      </c>
      <c r="B96">
        <f t="shared" ca="1" si="21"/>
        <v>2</v>
      </c>
      <c r="C96">
        <f t="shared" ca="1" si="22"/>
        <v>2</v>
      </c>
      <c r="D96">
        <f t="shared" ca="1" si="23"/>
        <v>5</v>
      </c>
      <c r="E96">
        <f ca="1">IF($C96=1,OFFSET(E96,-1,0)+MAX(1,COUNTIF(QCI!$A$13:$A$24,OFFSET(ORÇAMENTO!E96,-1,0))),OFFSET(E96,-1,0))</f>
        <v>1</v>
      </c>
      <c r="F96">
        <f t="shared" ca="1" si="24"/>
        <v>14</v>
      </c>
      <c r="G96">
        <f t="shared" ca="1" si="25"/>
        <v>0</v>
      </c>
      <c r="H96">
        <f t="shared" ca="1" si="26"/>
        <v>0</v>
      </c>
      <c r="I96">
        <f t="shared" ca="1" si="27"/>
        <v>0</v>
      </c>
      <c r="J96">
        <f t="shared" ca="1" si="37"/>
        <v>631</v>
      </c>
      <c r="K96">
        <f ca="1">IF(OR($C96="S",$C96=0),0,MATCH(OFFSET($D96,0,$C96)+IF($C96&lt;&gt;1,1,COUNTIF(QCI!$A$13:$A$24,ORÇAMENTO!E96)),OFFSET($D96,1,$C96,ROW($C$727)-ROW($C96)),0))</f>
        <v>5</v>
      </c>
      <c r="L96" s="116" t="str">
        <f t="shared" ca="1" si="28"/>
        <v>F</v>
      </c>
      <c r="M96" s="117" t="s">
        <v>196</v>
      </c>
      <c r="N96" s="118" t="str">
        <f t="shared" ca="1" si="29"/>
        <v>Nível 2</v>
      </c>
      <c r="O96" s="119" t="str">
        <f t="shared" ca="1" si="30"/>
        <v>1.14.</v>
      </c>
      <c r="P96" s="120" t="s">
        <v>247</v>
      </c>
      <c r="Q96" s="121"/>
      <c r="R96" s="122" t="s">
        <v>511</v>
      </c>
      <c r="S96" s="123" t="str">
        <f ca="1">REFERENCIA.Unidade</f>
        <v>-</v>
      </c>
      <c r="T96" s="124">
        <f ca="1">OFFSET(CÁLCULO!H$15,ROW($T96)-ROW(T$15),0)</f>
        <v>0</v>
      </c>
      <c r="U96" s="125">
        <f t="shared" ca="1" si="36"/>
        <v>0</v>
      </c>
      <c r="V96" s="126" t="s">
        <v>156</v>
      </c>
      <c r="W96" s="124">
        <f ca="1">IF($C96="S",ROUND(IF(TIPOORCAMENTO="Proposto",ORÇAMENTO.CustoUnitario*(1+$AH96),ORÇAMENTO.PrecoUnitarioLicitado),15-13*$AF$10),0)</f>
        <v>0</v>
      </c>
      <c r="X96" s="127">
        <f ca="1">IF($C96="S",IF(Import.TipoArredondamento&lt;&gt;"TransfereGOV",VTOTAL1,SUM(OFFSET(CÁLCULO!$AI$15,ROW($X96)-ROW($X$15),1):OFFSET(CÁLCULO!$BB$15,ROW($X96)-ROW($X$15),-1))),IF($C96=0,0,ROUND(SomaAgrup,15-13*$AF$11)))</f>
        <v>0</v>
      </c>
      <c r="Y96" s="128" t="s">
        <v>245</v>
      </c>
      <c r="Z96" t="str">
        <f t="shared" ca="1" si="31"/>
        <v/>
      </c>
      <c r="AA96" s="129">
        <f ca="1">IF($C96="S",IF($Z96="CP",$X96,IF($Z96="RA",(($X96)*QCI!$AA$3),0)),SomaAgrup)</f>
        <v>0</v>
      </c>
      <c r="AB96" s="130">
        <f t="shared" ca="1" si="32"/>
        <v>0</v>
      </c>
      <c r="AC96" s="131" t="str">
        <f ca="1">IF($N96="","",IF(ORÇAMENTO.Descricao="","DESCRIÇÃO",IF(AND($C96="S",ORÇAMENTO.Unidade=""),"UNIDADE",IF($X96&lt;0,"VALOR NEGATIVO",IF(OR(AND(TIPOORCAMENTO="Proposto",$AG96&lt;&gt;"",$AG96&gt;0,ORÇAMENTO.CustoUnitario&gt;$AG96),AND(TIPOORCAMENTO="LICITADO",ORÇAMENTO.PrecoUnitarioLicitado&gt;$AN96)),"ACIMA REF.","")))))</f>
        <v/>
      </c>
      <c r="AD96">
        <f ca="1">IF(C96&lt;=CRONO.NivelExibicao,MAX($AD$15:OFFSET(AD96,-1,0))+IF($C96&lt;&gt;1,1,MAX(1,COUNTIF(QCI!$A$13:$A$24,OFFSET($E96,-1,0)))),"")</f>
        <v>15</v>
      </c>
      <c r="AE96" s="7" t="b">
        <f ca="1">IF(AND($C96="S",ORÇAMENTO.CodBarra&lt;&gt;""),IF(ORÇAMENTO.Fonte="",ORÇAMENTO.CodBarra,CONCATENATE(ORÇAMENTO.Fonte," ",ORÇAMENTO.CodBarra)))</f>
        <v>0</v>
      </c>
      <c r="AF96" s="13" t="str">
        <f ca="1">IF(ISERROR(INDIRECT(ORÇAMENTO.BancoRef)),"(abra o arquivo 'Referência "&amp;Excel_BuiltIn_Database&amp;".xlsm)",IF(OR($C96&lt;&gt;"S",ORÇAMENTO.CodBarra=""),"(Sem Código)",IF(ISERROR(MATCH($AE96,INDIRECT(ORÇAMENTO.BancoRef),0)),"(Código não identificado nas referências)",MATCH($AE96,INDIRECT(ORÇAMENTO.BancoRef),0))))</f>
        <v>(abra o arquivo 'Referência 06-2024.xlsm)</v>
      </c>
      <c r="AG96" s="498">
        <f ca="1">ROUND(IF(DESONERACAO="sim",REFERENCIA.Desonerado,REFERENCIA.NaoDesonerado),2)</f>
        <v>0</v>
      </c>
      <c r="AH96" s="499">
        <f t="shared" ca="1" si="33"/>
        <v>0.2432</v>
      </c>
      <c r="AJ96" s="501"/>
      <c r="AL96" s="527"/>
      <c r="AM96" s="381">
        <f t="shared" ca="1" si="34"/>
        <v>0</v>
      </c>
      <c r="AN96" s="566">
        <f t="shared" ca="1" si="35"/>
        <v>0</v>
      </c>
    </row>
    <row r="97" spans="1:40" ht="38.25" x14ac:dyDescent="0.2">
      <c r="A97" t="str">
        <f t="shared" si="20"/>
        <v>S</v>
      </c>
      <c r="B97">
        <f t="shared" ca="1" si="21"/>
        <v>2</v>
      </c>
      <c r="C97" t="str">
        <f t="shared" ca="1" si="22"/>
        <v>S</v>
      </c>
      <c r="D97">
        <f t="shared" ca="1" si="23"/>
        <v>0</v>
      </c>
      <c r="E97">
        <f ca="1">IF($C97=1,OFFSET(E97,-1,0)+MAX(1,COUNTIF(QCI!$A$13:$A$24,OFFSET(ORÇAMENTO!E97,-1,0))),OFFSET(E97,-1,0))</f>
        <v>1</v>
      </c>
      <c r="F97">
        <f t="shared" ca="1" si="24"/>
        <v>14</v>
      </c>
      <c r="G97">
        <f t="shared" ca="1" si="25"/>
        <v>0</v>
      </c>
      <c r="H97">
        <f t="shared" ca="1" si="26"/>
        <v>0</v>
      </c>
      <c r="I97">
        <f t="shared" ca="1" si="27"/>
        <v>0</v>
      </c>
      <c r="J97">
        <f t="shared" ca="1" si="37"/>
        <v>0</v>
      </c>
      <c r="K97">
        <f ca="1">IF(OR($C97="S",$C97=0),0,MATCH(OFFSET($D97,0,$C97)+IF($C97&lt;&gt;1,1,COUNTIF(QCI!$A$13:$A$24,ORÇAMENTO!E97)),OFFSET($D97,1,$C97,ROW($C$727)-ROW($C97)),0))</f>
        <v>0</v>
      </c>
      <c r="L97" s="116" t="str">
        <f t="shared" ca="1" si="28"/>
        <v/>
      </c>
      <c r="M97" s="117" t="s">
        <v>199</v>
      </c>
      <c r="N97" s="118" t="str">
        <f t="shared" ca="1" si="29"/>
        <v>Serviço</v>
      </c>
      <c r="O97" s="119" t="str">
        <f t="shared" ca="1" si="30"/>
        <v>-</v>
      </c>
      <c r="P97" s="120" t="s">
        <v>247</v>
      </c>
      <c r="Q97" s="121" t="s">
        <v>507</v>
      </c>
      <c r="R97" s="122" t="str">
        <f ca="1">IF($C97="S",REFERENCIA.Descricao,"(digite a descrição aqui)")</f>
        <v>(abra o arquivo 'Referência 06-2024.xlsm)</v>
      </c>
      <c r="S97" s="123" t="str">
        <f ca="1">REFERENCIA.Unidade</f>
        <v>-</v>
      </c>
      <c r="T97" s="124">
        <f ca="1">OFFSET(CÁLCULO!H$15,ROW($T97)-ROW(T$15),0)</f>
        <v>490.26</v>
      </c>
      <c r="U97" s="125">
        <f t="shared" ca="1" si="36"/>
        <v>0</v>
      </c>
      <c r="V97" s="126" t="s">
        <v>156</v>
      </c>
      <c r="W97" s="124">
        <f ca="1">IF($C97="S",ROUND(IF(TIPOORCAMENTO="Proposto",ORÇAMENTO.CustoUnitario*(1+$AH97),ORÇAMENTO.PrecoUnitarioLicitado),15-13*$AF$10),0)</f>
        <v>0</v>
      </c>
      <c r="X97" s="127">
        <f ca="1">IF($C97="S",IF(Import.TipoArredondamento&lt;&gt;"TransfereGOV",VTOTAL1,SUM(OFFSET(CÁLCULO!$AI$15,ROW($X97)-ROW($X$15),1):OFFSET(CÁLCULO!$BB$15,ROW($X97)-ROW($X$15),-1))),IF($C97=0,0,ROUND(SomaAgrup,15-13*$AF$11)))</f>
        <v>0</v>
      </c>
      <c r="Y97" s="128" t="s">
        <v>245</v>
      </c>
      <c r="Z97" t="str">
        <f t="shared" ca="1" si="31"/>
        <v/>
      </c>
      <c r="AA97" s="129">
        <f ca="1">IF($C97="S",IF($Z97="CP",$X97,IF($Z97="RA",(($X97)*QCI!$AA$3),0)),SomaAgrup)</f>
        <v>0</v>
      </c>
      <c r="AB97" s="130">
        <f t="shared" ca="1" si="32"/>
        <v>0</v>
      </c>
      <c r="AC97" s="131" t="str">
        <f ca="1">IF($N97="","",IF(ORÇAMENTO.Descricao="","DESCRIÇÃO",IF(AND($C97="S",ORÇAMENTO.Unidade=""),"UNIDADE",IF($X97&lt;0,"VALOR NEGATIVO",IF(OR(AND(TIPOORCAMENTO="Proposto",$AG97&lt;&gt;"",$AG97&gt;0,ORÇAMENTO.CustoUnitario&gt;$AG97),AND(TIPOORCAMENTO="LICITADO",ORÇAMENTO.PrecoUnitarioLicitado&gt;$AN97)),"ACIMA REF.","")))))</f>
        <v/>
      </c>
      <c r="AD97" t="str">
        <f ca="1">IF(C97&lt;=CRONO.NivelExibicao,MAX($AD$15:OFFSET(AD97,-1,0))+IF($C97&lt;&gt;1,1,MAX(1,COUNTIF(QCI!$A$13:$A$24,OFFSET($E97,-1,0)))),"")</f>
        <v/>
      </c>
      <c r="AE97" s="7" t="str">
        <f ca="1">IF(AND($C97="S",ORÇAMENTO.CodBarra&lt;&gt;""),IF(ORÇAMENTO.Fonte="",ORÇAMENTO.CodBarra,CONCATENATE(ORÇAMENTO.Fonte," ",ORÇAMENTO.CodBarra)))</f>
        <v>SINAPI 97083</v>
      </c>
      <c r="AF97" s="13" t="str">
        <f ca="1">IF(ISERROR(INDIRECT(ORÇAMENTO.BancoRef)),"(abra o arquivo 'Referência "&amp;Excel_BuiltIn_Database&amp;".xlsm)",IF(OR($C97&lt;&gt;"S",ORÇAMENTO.CodBarra=""),"(Sem Código)",IF(ISERROR(MATCH($AE97,INDIRECT(ORÇAMENTO.BancoRef),0)),"(Código não identificado nas referências)",MATCH($AE97,INDIRECT(ORÇAMENTO.BancoRef),0))))</f>
        <v>(abra o arquivo 'Referência 06-2024.xlsm)</v>
      </c>
      <c r="AG97" s="498">
        <f ca="1">ROUND(IF(DESONERACAO="sim",REFERENCIA.Desonerado,REFERENCIA.NaoDesonerado),2)</f>
        <v>0</v>
      </c>
      <c r="AH97" s="499">
        <f t="shared" ca="1" si="33"/>
        <v>0.2432</v>
      </c>
      <c r="AJ97" s="501"/>
      <c r="AL97" s="527"/>
      <c r="AM97" s="381">
        <f t="shared" ca="1" si="34"/>
        <v>0</v>
      </c>
      <c r="AN97" s="566">
        <f t="shared" ca="1" si="35"/>
        <v>0</v>
      </c>
    </row>
    <row r="98" spans="1:40" ht="25.5" x14ac:dyDescent="0.2">
      <c r="A98" t="str">
        <f t="shared" si="20"/>
        <v>S</v>
      </c>
      <c r="B98">
        <f t="shared" ca="1" si="21"/>
        <v>2</v>
      </c>
      <c r="C98" t="str">
        <f t="shared" ca="1" si="22"/>
        <v>S</v>
      </c>
      <c r="D98">
        <f t="shared" ca="1" si="23"/>
        <v>0</v>
      </c>
      <c r="E98">
        <f ca="1">IF($C98=1,OFFSET(E98,-1,0)+MAX(1,COUNTIF(QCI!$A$13:$A$24,OFFSET(ORÇAMENTO!E98,-1,0))),OFFSET(E98,-1,0))</f>
        <v>1</v>
      </c>
      <c r="F98">
        <f t="shared" ca="1" si="24"/>
        <v>14</v>
      </c>
      <c r="G98">
        <f t="shared" ca="1" si="25"/>
        <v>0</v>
      </c>
      <c r="H98">
        <f t="shared" ca="1" si="26"/>
        <v>0</v>
      </c>
      <c r="I98">
        <f t="shared" ca="1" si="27"/>
        <v>0</v>
      </c>
      <c r="J98">
        <f t="shared" ca="1" si="37"/>
        <v>0</v>
      </c>
      <c r="K98">
        <f ca="1">IF(OR($C98="S",$C98=0),0,MATCH(OFFSET($D98,0,$C98)+IF($C98&lt;&gt;1,1,COUNTIF(QCI!$A$13:$A$24,ORÇAMENTO!E98)),OFFSET($D98,1,$C98,ROW($C$727)-ROW($C98)),0))</f>
        <v>0</v>
      </c>
      <c r="L98" s="116" t="str">
        <f t="shared" ca="1" si="28"/>
        <v/>
      </c>
      <c r="M98" s="117" t="s">
        <v>199</v>
      </c>
      <c r="N98" s="118" t="str">
        <f t="shared" ca="1" si="29"/>
        <v>Serviço</v>
      </c>
      <c r="O98" s="119" t="str">
        <f t="shared" ca="1" si="30"/>
        <v>-</v>
      </c>
      <c r="P98" s="120" t="s">
        <v>247</v>
      </c>
      <c r="Q98" s="121" t="s">
        <v>508</v>
      </c>
      <c r="R98" s="122" t="str">
        <f ca="1">IF($C98="S",REFERENCIA.Descricao,"(digite a descrição aqui)")</f>
        <v>(abra o arquivo 'Referência 06-2024.xlsm)</v>
      </c>
      <c r="S98" s="123" t="str">
        <f ca="1">REFERENCIA.Unidade</f>
        <v>-</v>
      </c>
      <c r="T98" s="124">
        <f ca="1">OFFSET(CÁLCULO!H$15,ROW($T98)-ROW(T$15),0)</f>
        <v>24.51</v>
      </c>
      <c r="U98" s="125">
        <f t="shared" ca="1" si="36"/>
        <v>0</v>
      </c>
      <c r="V98" s="126" t="s">
        <v>156</v>
      </c>
      <c r="W98" s="124">
        <f ca="1">IF($C98="S",ROUND(IF(TIPOORCAMENTO="Proposto",ORÇAMENTO.CustoUnitario*(1+$AH98),ORÇAMENTO.PrecoUnitarioLicitado),15-13*$AF$10),0)</f>
        <v>0</v>
      </c>
      <c r="X98" s="127">
        <f ca="1">IF($C98="S",IF(Import.TipoArredondamento&lt;&gt;"TransfereGOV",VTOTAL1,SUM(OFFSET(CÁLCULO!$AI$15,ROW($X98)-ROW($X$15),1):OFFSET(CÁLCULO!$BB$15,ROW($X98)-ROW($X$15),-1))),IF($C98=0,0,ROUND(SomaAgrup,15-13*$AF$11)))</f>
        <v>0</v>
      </c>
      <c r="Y98" s="128" t="s">
        <v>245</v>
      </c>
      <c r="Z98" t="str">
        <f t="shared" ca="1" si="31"/>
        <v/>
      </c>
      <c r="AA98" s="129">
        <f ca="1">IF($C98="S",IF($Z98="CP",$X98,IF($Z98="RA",(($X98)*QCI!$AA$3),0)),SomaAgrup)</f>
        <v>0</v>
      </c>
      <c r="AB98" s="130">
        <f t="shared" ca="1" si="32"/>
        <v>0</v>
      </c>
      <c r="AC98" s="131" t="str">
        <f ca="1">IF($N98="","",IF(ORÇAMENTO.Descricao="","DESCRIÇÃO",IF(AND($C98="S",ORÇAMENTO.Unidade=""),"UNIDADE",IF($X98&lt;0,"VALOR NEGATIVO",IF(OR(AND(TIPOORCAMENTO="Proposto",$AG98&lt;&gt;"",$AG98&gt;0,ORÇAMENTO.CustoUnitario&gt;$AG98),AND(TIPOORCAMENTO="LICITADO",ORÇAMENTO.PrecoUnitarioLicitado&gt;$AN98)),"ACIMA REF.","")))))</f>
        <v/>
      </c>
      <c r="AD98" t="str">
        <f ca="1">IF(C98&lt;=CRONO.NivelExibicao,MAX($AD$15:OFFSET(AD98,-1,0))+IF($C98&lt;&gt;1,1,MAX(1,COUNTIF(QCI!$A$13:$A$24,OFFSET($E98,-1,0)))),"")</f>
        <v/>
      </c>
      <c r="AE98" s="7" t="str">
        <f ca="1">IF(AND($C98="S",ORÇAMENTO.CodBarra&lt;&gt;""),IF(ORÇAMENTO.Fonte="",ORÇAMENTO.CodBarra,CONCATENATE(ORÇAMENTO.Fonte," ",ORÇAMENTO.CodBarra)))</f>
        <v>SINAPI 96622</v>
      </c>
      <c r="AF98" s="13" t="str">
        <f ca="1">IF(ISERROR(INDIRECT(ORÇAMENTO.BancoRef)),"(abra o arquivo 'Referência "&amp;Excel_BuiltIn_Database&amp;".xlsm)",IF(OR($C98&lt;&gt;"S",ORÇAMENTO.CodBarra=""),"(Sem Código)",IF(ISERROR(MATCH($AE98,INDIRECT(ORÇAMENTO.BancoRef),0)),"(Código não identificado nas referências)",MATCH($AE98,INDIRECT(ORÇAMENTO.BancoRef),0))))</f>
        <v>(abra o arquivo 'Referência 06-2024.xlsm)</v>
      </c>
      <c r="AG98" s="498">
        <f ca="1">ROUND(IF(DESONERACAO="sim",REFERENCIA.Desonerado,REFERENCIA.NaoDesonerado),2)</f>
        <v>0</v>
      </c>
      <c r="AH98" s="499">
        <f t="shared" ca="1" si="33"/>
        <v>0.2432</v>
      </c>
      <c r="AJ98" s="501"/>
      <c r="AL98" s="527"/>
      <c r="AM98" s="381">
        <f t="shared" ca="1" si="34"/>
        <v>0</v>
      </c>
      <c r="AN98" s="566">
        <f t="shared" ca="1" si="35"/>
        <v>0</v>
      </c>
    </row>
    <row r="99" spans="1:40" ht="25.5" x14ac:dyDescent="0.2">
      <c r="A99" t="str">
        <f t="shared" si="20"/>
        <v>S</v>
      </c>
      <c r="B99">
        <f t="shared" ca="1" si="21"/>
        <v>2</v>
      </c>
      <c r="C99" t="str">
        <f t="shared" ca="1" si="22"/>
        <v>S</v>
      </c>
      <c r="D99">
        <f t="shared" ca="1" si="23"/>
        <v>0</v>
      </c>
      <c r="E99">
        <f ca="1">IF($C99=1,OFFSET(E99,-1,0)+MAX(1,COUNTIF(QCI!$A$13:$A$24,OFFSET(ORÇAMENTO!E99,-1,0))),OFFSET(E99,-1,0))</f>
        <v>1</v>
      </c>
      <c r="F99">
        <f t="shared" ca="1" si="24"/>
        <v>14</v>
      </c>
      <c r="G99">
        <f t="shared" ca="1" si="25"/>
        <v>0</v>
      </c>
      <c r="H99">
        <f t="shared" ca="1" si="26"/>
        <v>0</v>
      </c>
      <c r="I99">
        <f t="shared" ca="1" si="27"/>
        <v>0</v>
      </c>
      <c r="J99">
        <f t="shared" ca="1" si="37"/>
        <v>0</v>
      </c>
      <c r="K99">
        <f ca="1">IF(OR($C99="S",$C99=0),0,MATCH(OFFSET($D99,0,$C99)+IF($C99&lt;&gt;1,1,COUNTIF(QCI!$A$13:$A$24,ORÇAMENTO!E99)),OFFSET($D99,1,$C99,ROW($C$727)-ROW($C99)),0))</f>
        <v>0</v>
      </c>
      <c r="L99" s="116" t="str">
        <f t="shared" ca="1" si="28"/>
        <v/>
      </c>
      <c r="M99" s="117" t="s">
        <v>199</v>
      </c>
      <c r="N99" s="118" t="str">
        <f t="shared" ca="1" si="29"/>
        <v>Serviço</v>
      </c>
      <c r="O99" s="119" t="str">
        <f t="shared" ca="1" si="30"/>
        <v>-</v>
      </c>
      <c r="P99" s="120" t="s">
        <v>247</v>
      </c>
      <c r="Q99" s="121" t="s">
        <v>509</v>
      </c>
      <c r="R99" s="122" t="str">
        <f ca="1">IF($C99="S",REFERENCIA.Descricao,"(digite a descrição aqui)")</f>
        <v>(abra o arquivo 'Referência 06-2024.xlsm)</v>
      </c>
      <c r="S99" s="123" t="str">
        <f ca="1">REFERENCIA.Unidade</f>
        <v>-</v>
      </c>
      <c r="T99" s="124">
        <f ca="1">OFFSET(CÁLCULO!H$15,ROW($T99)-ROW(T$15),0)</f>
        <v>490.26</v>
      </c>
      <c r="U99" s="125">
        <f t="shared" ca="1" si="36"/>
        <v>0</v>
      </c>
      <c r="V99" s="126" t="s">
        <v>156</v>
      </c>
      <c r="W99" s="124">
        <f ca="1">IF($C99="S",ROUND(IF(TIPOORCAMENTO="Proposto",ORÇAMENTO.CustoUnitario*(1+$AH99),ORÇAMENTO.PrecoUnitarioLicitado),15-13*$AF$10),0)</f>
        <v>0</v>
      </c>
      <c r="X99" s="127">
        <f ca="1">IF($C99="S",IF(Import.TipoArredondamento&lt;&gt;"TransfereGOV",VTOTAL1,SUM(OFFSET(CÁLCULO!$AI$15,ROW($X99)-ROW($X$15),1):OFFSET(CÁLCULO!$BB$15,ROW($X99)-ROW($X$15),-1))),IF($C99=0,0,ROUND(SomaAgrup,15-13*$AF$11)))</f>
        <v>0</v>
      </c>
      <c r="Y99" s="128" t="s">
        <v>245</v>
      </c>
      <c r="Z99" t="str">
        <f t="shared" ca="1" si="31"/>
        <v/>
      </c>
      <c r="AA99" s="129">
        <f ca="1">IF($C99="S",IF($Z99="CP",$X99,IF($Z99="RA",(($X99)*QCI!$AA$3),0)),SomaAgrup)</f>
        <v>0</v>
      </c>
      <c r="AB99" s="130">
        <f t="shared" ca="1" si="32"/>
        <v>0</v>
      </c>
      <c r="AC99" s="131" t="str">
        <f ca="1">IF($N99="","",IF(ORÇAMENTO.Descricao="","DESCRIÇÃO",IF(AND($C99="S",ORÇAMENTO.Unidade=""),"UNIDADE",IF($X99&lt;0,"VALOR NEGATIVO",IF(OR(AND(TIPOORCAMENTO="Proposto",$AG99&lt;&gt;"",$AG99&gt;0,ORÇAMENTO.CustoUnitario&gt;$AG99),AND(TIPOORCAMENTO="LICITADO",ORÇAMENTO.PrecoUnitarioLicitado&gt;$AN99)),"ACIMA REF.","")))))</f>
        <v/>
      </c>
      <c r="AD99" t="str">
        <f ca="1">IF(C99&lt;=CRONO.NivelExibicao,MAX($AD$15:OFFSET(AD99,-1,0))+IF($C99&lt;&gt;1,1,MAX(1,COUNTIF(QCI!$A$13:$A$24,OFFSET($E99,-1,0)))),"")</f>
        <v/>
      </c>
      <c r="AE99" s="7" t="str">
        <f ca="1">IF(AND($C99="S",ORÇAMENTO.CodBarra&lt;&gt;""),IF(ORÇAMENTO.Fonte="",ORÇAMENTO.CodBarra,CONCATENATE(ORÇAMENTO.Fonte," ",ORÇAMENTO.CodBarra)))</f>
        <v>SINAPI 97087</v>
      </c>
      <c r="AF99" s="13" t="str">
        <f ca="1">IF(ISERROR(INDIRECT(ORÇAMENTO.BancoRef)),"(abra o arquivo 'Referência "&amp;Excel_BuiltIn_Database&amp;".xlsm)",IF(OR($C99&lt;&gt;"S",ORÇAMENTO.CodBarra=""),"(Sem Código)",IF(ISERROR(MATCH($AE99,INDIRECT(ORÇAMENTO.BancoRef),0)),"(Código não identificado nas referências)",MATCH($AE99,INDIRECT(ORÇAMENTO.BancoRef),0))))</f>
        <v>(abra o arquivo 'Referência 06-2024.xlsm)</v>
      </c>
      <c r="AG99" s="498">
        <f ca="1">ROUND(IF(DESONERACAO="sim",REFERENCIA.Desonerado,REFERENCIA.NaoDesonerado),2)</f>
        <v>0</v>
      </c>
      <c r="AH99" s="499">
        <f t="shared" ca="1" si="33"/>
        <v>0.2432</v>
      </c>
      <c r="AJ99" s="501"/>
      <c r="AL99" s="527"/>
      <c r="AM99" s="381">
        <f t="shared" ca="1" si="34"/>
        <v>0</v>
      </c>
      <c r="AN99" s="566">
        <f t="shared" ca="1" si="35"/>
        <v>0</v>
      </c>
    </row>
    <row r="100" spans="1:40" ht="38.25" x14ac:dyDescent="0.2">
      <c r="A100" t="str">
        <f t="shared" si="20"/>
        <v>S</v>
      </c>
      <c r="B100">
        <f t="shared" ca="1" si="21"/>
        <v>2</v>
      </c>
      <c r="C100" t="str">
        <f t="shared" ca="1" si="22"/>
        <v>S</v>
      </c>
      <c r="D100">
        <f t="shared" ca="1" si="23"/>
        <v>0</v>
      </c>
      <c r="E100">
        <f ca="1">IF($C100=1,OFFSET(E100,-1,0)+MAX(1,COUNTIF(QCI!$A$13:$A$24,OFFSET(ORÇAMENTO!E100,-1,0))),OFFSET(E100,-1,0))</f>
        <v>1</v>
      </c>
      <c r="F100">
        <f t="shared" ca="1" si="24"/>
        <v>14</v>
      </c>
      <c r="G100">
        <f t="shared" ca="1" si="25"/>
        <v>0</v>
      </c>
      <c r="H100">
        <f t="shared" ca="1" si="26"/>
        <v>0</v>
      </c>
      <c r="I100">
        <f t="shared" ca="1" si="27"/>
        <v>0</v>
      </c>
      <c r="J100">
        <f t="shared" ca="1" si="37"/>
        <v>0</v>
      </c>
      <c r="K100">
        <f ca="1">IF(OR($C100="S",$C100=0),0,MATCH(OFFSET($D100,0,$C100)+IF($C100&lt;&gt;1,1,COUNTIF(QCI!$A$13:$A$24,ORÇAMENTO!E100)),OFFSET($D100,1,$C100,ROW($C$727)-ROW($C100)),0))</f>
        <v>0</v>
      </c>
      <c r="L100" s="116" t="str">
        <f t="shared" ca="1" si="28"/>
        <v/>
      </c>
      <c r="M100" s="117" t="s">
        <v>199</v>
      </c>
      <c r="N100" s="118" t="str">
        <f t="shared" ca="1" si="29"/>
        <v>Serviço</v>
      </c>
      <c r="O100" s="119" t="str">
        <f t="shared" ca="1" si="30"/>
        <v>-</v>
      </c>
      <c r="P100" s="120" t="s">
        <v>247</v>
      </c>
      <c r="Q100" s="121" t="s">
        <v>510</v>
      </c>
      <c r="R100" s="122" t="str">
        <f ca="1">IF($C100="S",REFERENCIA.Descricao,"(digite a descrição aqui)")</f>
        <v>(abra o arquivo 'Referência 06-2024.xlsm)</v>
      </c>
      <c r="S100" s="123" t="str">
        <f ca="1">REFERENCIA.Unidade</f>
        <v>-</v>
      </c>
      <c r="T100" s="124">
        <f ca="1">OFFSET(CÁLCULO!H$15,ROW($T100)-ROW(T$15),0)</f>
        <v>39.22</v>
      </c>
      <c r="U100" s="125">
        <f t="shared" ca="1" si="36"/>
        <v>0</v>
      </c>
      <c r="V100" s="126" t="s">
        <v>156</v>
      </c>
      <c r="W100" s="124">
        <f ca="1">IF($C100="S",ROUND(IF(TIPOORCAMENTO="Proposto",ORÇAMENTO.CustoUnitario*(1+$AH100),ORÇAMENTO.PrecoUnitarioLicitado),15-13*$AF$10),0)</f>
        <v>0</v>
      </c>
      <c r="X100" s="127">
        <f ca="1">IF($C100="S",IF(Import.TipoArredondamento&lt;&gt;"TransfereGOV",VTOTAL1,SUM(OFFSET(CÁLCULO!$AI$15,ROW($X100)-ROW($X$15),1):OFFSET(CÁLCULO!$BB$15,ROW($X100)-ROW($X$15),-1))),IF($C100=0,0,ROUND(SomaAgrup,15-13*$AF$11)))</f>
        <v>0</v>
      </c>
      <c r="Y100" s="128" t="s">
        <v>245</v>
      </c>
      <c r="Z100" t="str">
        <f t="shared" ca="1" si="31"/>
        <v/>
      </c>
      <c r="AA100" s="129">
        <f ca="1">IF($C100="S",IF($Z100="CP",$X100,IF($Z100="RA",(($X100)*QCI!$AA$3),0)),SomaAgrup)</f>
        <v>0</v>
      </c>
      <c r="AB100" s="130">
        <f t="shared" ca="1" si="32"/>
        <v>0</v>
      </c>
      <c r="AC100" s="131" t="str">
        <f ca="1">IF($N100="","",IF(ORÇAMENTO.Descricao="","DESCRIÇÃO",IF(AND($C100="S",ORÇAMENTO.Unidade=""),"UNIDADE",IF($X100&lt;0,"VALOR NEGATIVO",IF(OR(AND(TIPOORCAMENTO="Proposto",$AG100&lt;&gt;"",$AG100&gt;0,ORÇAMENTO.CustoUnitario&gt;$AG100),AND(TIPOORCAMENTO="LICITADO",ORÇAMENTO.PrecoUnitarioLicitado&gt;$AN100)),"ACIMA REF.","")))))</f>
        <v/>
      </c>
      <c r="AD100" t="str">
        <f ca="1">IF(C100&lt;=CRONO.NivelExibicao,MAX($AD$15:OFFSET(AD100,-1,0))+IF($C100&lt;&gt;1,1,MAX(1,COUNTIF(QCI!$A$13:$A$24,OFFSET($E100,-1,0)))),"")</f>
        <v/>
      </c>
      <c r="AE100" s="7" t="str">
        <f ca="1">IF(AND($C100="S",ORÇAMENTO.CodBarra&lt;&gt;""),IF(ORÇAMENTO.Fonte="",ORÇAMENTO.CodBarra,CONCATENATE(ORÇAMENTO.Fonte," ",ORÇAMENTO.CodBarra)))</f>
        <v>SINAPI 94991</v>
      </c>
      <c r="AF100" s="13" t="str">
        <f ca="1">IF(ISERROR(INDIRECT(ORÇAMENTO.BancoRef)),"(abra o arquivo 'Referência "&amp;Excel_BuiltIn_Database&amp;".xlsm)",IF(OR($C100&lt;&gt;"S",ORÇAMENTO.CodBarra=""),"(Sem Código)",IF(ISERROR(MATCH($AE100,INDIRECT(ORÇAMENTO.BancoRef),0)),"(Código não identificado nas referências)",MATCH($AE100,INDIRECT(ORÇAMENTO.BancoRef),0))))</f>
        <v>(abra o arquivo 'Referência 06-2024.xlsm)</v>
      </c>
      <c r="AG100" s="498">
        <f ca="1">ROUND(IF(DESONERACAO="sim",REFERENCIA.Desonerado,REFERENCIA.NaoDesonerado),2)</f>
        <v>0</v>
      </c>
      <c r="AH100" s="499">
        <f t="shared" ca="1" si="33"/>
        <v>0.2432</v>
      </c>
      <c r="AJ100" s="501"/>
      <c r="AL100" s="527"/>
      <c r="AM100" s="381">
        <f t="shared" ca="1" si="34"/>
        <v>0</v>
      </c>
      <c r="AN100" s="566">
        <f t="shared" ca="1" si="35"/>
        <v>0</v>
      </c>
    </row>
    <row r="101" spans="1:40" x14ac:dyDescent="0.2">
      <c r="A101">
        <f t="shared" si="20"/>
        <v>2</v>
      </c>
      <c r="B101">
        <f t="shared" ca="1" si="21"/>
        <v>2</v>
      </c>
      <c r="C101">
        <f t="shared" ca="1" si="22"/>
        <v>2</v>
      </c>
      <c r="D101">
        <f t="shared" ca="1" si="23"/>
        <v>2</v>
      </c>
      <c r="E101">
        <f ca="1">IF($C101=1,OFFSET(E101,-1,0)+MAX(1,COUNTIF(QCI!$A$13:$A$24,OFFSET(ORÇAMENTO!E101,-1,0))),OFFSET(E101,-1,0))</f>
        <v>1</v>
      </c>
      <c r="F101">
        <f t="shared" ca="1" si="24"/>
        <v>15</v>
      </c>
      <c r="G101">
        <f t="shared" ca="1" si="25"/>
        <v>0</v>
      </c>
      <c r="H101">
        <f t="shared" ca="1" si="26"/>
        <v>0</v>
      </c>
      <c r="I101">
        <f t="shared" ca="1" si="27"/>
        <v>0</v>
      </c>
      <c r="J101">
        <f t="shared" ca="1" si="37"/>
        <v>626</v>
      </c>
      <c r="K101">
        <f ca="1">IF(OR($C101="S",$C101=0),0,MATCH(OFFSET($D101,0,$C101)+IF($C101&lt;&gt;1,1,COUNTIF(QCI!$A$13:$A$24,ORÇAMENTO!E101)),OFFSET($D101,1,$C101,ROW($C$727)-ROW($C101)),0))</f>
        <v>2</v>
      </c>
      <c r="L101" s="116" t="str">
        <f t="shared" ca="1" si="28"/>
        <v>F</v>
      </c>
      <c r="M101" s="117" t="s">
        <v>196</v>
      </c>
      <c r="N101" s="118" t="str">
        <f t="shared" ca="1" si="29"/>
        <v>Nível 2</v>
      </c>
      <c r="O101" s="119" t="str">
        <f t="shared" ca="1" si="30"/>
        <v>1.15.</v>
      </c>
      <c r="P101" s="120" t="s">
        <v>247</v>
      </c>
      <c r="Q101" s="121"/>
      <c r="R101" s="122" t="s">
        <v>1042</v>
      </c>
      <c r="S101" s="123" t="str">
        <f ca="1">REFERENCIA.Unidade</f>
        <v>-</v>
      </c>
      <c r="T101" s="124">
        <f ca="1">OFFSET(CÁLCULO!H$15,ROW($T101)-ROW(T$15),0)</f>
        <v>0</v>
      </c>
      <c r="U101" s="125">
        <f t="shared" ca="1" si="36"/>
        <v>0</v>
      </c>
      <c r="V101" s="126" t="s">
        <v>156</v>
      </c>
      <c r="W101" s="124">
        <f ca="1">IF($C101="S",ROUND(IF(TIPOORCAMENTO="Proposto",ORÇAMENTO.CustoUnitario*(1+$AH101),ORÇAMENTO.PrecoUnitarioLicitado),15-13*$AF$10),0)</f>
        <v>0</v>
      </c>
      <c r="X101" s="127">
        <f ca="1">IF($C101="S",IF(Import.TipoArredondamento&lt;&gt;"TransfereGOV",VTOTAL1,SUM(OFFSET(CÁLCULO!$AI$15,ROW($X101)-ROW($X$15),1):OFFSET(CÁLCULO!$BB$15,ROW($X101)-ROW($X$15),-1))),IF($C101=0,0,ROUND(SomaAgrup,15-13*$AF$11)))</f>
        <v>0</v>
      </c>
      <c r="Y101" s="128" t="s">
        <v>245</v>
      </c>
      <c r="Z101" t="str">
        <f t="shared" ca="1" si="31"/>
        <v/>
      </c>
      <c r="AA101" s="129">
        <f ca="1">IF($C101="S",IF($Z101="CP",$X101,IF($Z101="RA",(($X101)*QCI!$AA$3),0)),SomaAgrup)</f>
        <v>0</v>
      </c>
      <c r="AB101" s="130">
        <f t="shared" ca="1" si="32"/>
        <v>0</v>
      </c>
      <c r="AC101" s="131" t="str">
        <f ca="1">IF($N101="","",IF(ORÇAMENTO.Descricao="","DESCRIÇÃO",IF(AND($C101="S",ORÇAMENTO.Unidade=""),"UNIDADE",IF($X101&lt;0,"VALOR NEGATIVO",IF(OR(AND(TIPOORCAMENTO="Proposto",$AG101&lt;&gt;"",$AG101&gt;0,ORÇAMENTO.CustoUnitario&gt;$AG101),AND(TIPOORCAMENTO="LICITADO",ORÇAMENTO.PrecoUnitarioLicitado&gt;$AN101)),"ACIMA REF.","")))))</f>
        <v/>
      </c>
      <c r="AD101">
        <f ca="1">IF(C101&lt;=CRONO.NivelExibicao,MAX($AD$15:OFFSET(AD101,-1,0))+IF($C101&lt;&gt;1,1,MAX(1,COUNTIF(QCI!$A$13:$A$24,OFFSET($E101,-1,0)))),"")</f>
        <v>16</v>
      </c>
      <c r="AE101" s="7" t="b">
        <f ca="1">IF(AND($C101="S",ORÇAMENTO.CodBarra&lt;&gt;""),IF(ORÇAMENTO.Fonte="",ORÇAMENTO.CodBarra,CONCATENATE(ORÇAMENTO.Fonte," ",ORÇAMENTO.CodBarra)))</f>
        <v>0</v>
      </c>
      <c r="AF101" s="13" t="str">
        <f ca="1">IF(ISERROR(INDIRECT(ORÇAMENTO.BancoRef)),"(abra o arquivo 'Referência "&amp;Excel_BuiltIn_Database&amp;".xlsm)",IF(OR($C101&lt;&gt;"S",ORÇAMENTO.CodBarra=""),"(Sem Código)",IF(ISERROR(MATCH($AE101,INDIRECT(ORÇAMENTO.BancoRef),0)),"(Código não identificado nas referências)",MATCH($AE101,INDIRECT(ORÇAMENTO.BancoRef),0))))</f>
        <v>(abra o arquivo 'Referência 06-2024.xlsm)</v>
      </c>
      <c r="AG101" s="498">
        <f ca="1">ROUND(IF(DESONERACAO="sim",REFERENCIA.Desonerado,REFERENCIA.NaoDesonerado),2)</f>
        <v>0</v>
      </c>
      <c r="AH101" s="499">
        <f t="shared" ca="1" si="33"/>
        <v>0.2432</v>
      </c>
      <c r="AJ101" s="501"/>
      <c r="AL101" s="527"/>
      <c r="AM101" s="381">
        <f t="shared" ca="1" si="34"/>
        <v>0</v>
      </c>
      <c r="AN101" s="566">
        <f t="shared" ca="1" si="35"/>
        <v>0</v>
      </c>
    </row>
    <row r="102" spans="1:40" ht="38.25" x14ac:dyDescent="0.2">
      <c r="A102" t="str">
        <f t="shared" si="20"/>
        <v>S</v>
      </c>
      <c r="B102">
        <f t="shared" ca="1" si="21"/>
        <v>2</v>
      </c>
      <c r="C102" t="str">
        <f t="shared" ca="1" si="22"/>
        <v>S</v>
      </c>
      <c r="D102">
        <f t="shared" ca="1" si="23"/>
        <v>0</v>
      </c>
      <c r="E102">
        <f ca="1">IF($C102=1,OFFSET(E102,-1,0)+MAX(1,COUNTIF(QCI!$A$13:$A$24,OFFSET(ORÇAMENTO!E102,-1,0))),OFFSET(E102,-1,0))</f>
        <v>1</v>
      </c>
      <c r="F102">
        <f t="shared" ca="1" si="24"/>
        <v>15</v>
      </c>
      <c r="G102">
        <f t="shared" ca="1" si="25"/>
        <v>0</v>
      </c>
      <c r="H102">
        <f t="shared" ca="1" si="26"/>
        <v>0</v>
      </c>
      <c r="I102">
        <f t="shared" ca="1" si="27"/>
        <v>0</v>
      </c>
      <c r="J102">
        <f t="shared" ca="1" si="37"/>
        <v>0</v>
      </c>
      <c r="K102">
        <f ca="1">IF(OR($C102="S",$C102=0),0,MATCH(OFFSET($D102,0,$C102)+IF($C102&lt;&gt;1,1,COUNTIF(QCI!$A$13:$A$24,ORÇAMENTO!E102)),OFFSET($D102,1,$C102,ROW($C$727)-ROW($C102)),0))</f>
        <v>0</v>
      </c>
      <c r="L102" s="116" t="str">
        <f t="shared" ca="1" si="28"/>
        <v/>
      </c>
      <c r="M102" s="117" t="s">
        <v>199</v>
      </c>
      <c r="N102" s="118" t="str">
        <f t="shared" ca="1" si="29"/>
        <v>Serviço</v>
      </c>
      <c r="O102" s="119" t="str">
        <f t="shared" ca="1" si="30"/>
        <v>-</v>
      </c>
      <c r="P102" s="120" t="s">
        <v>247</v>
      </c>
      <c r="Q102" s="121" t="s">
        <v>512</v>
      </c>
      <c r="R102" s="122" t="str">
        <f ca="1">IF($C102="S",REFERENCIA.Descricao,"(digite a descrição aqui)")</f>
        <v>(abra o arquivo 'Referência 06-2024.xlsm)</v>
      </c>
      <c r="S102" s="123" t="str">
        <f ca="1">REFERENCIA.Unidade</f>
        <v>-</v>
      </c>
      <c r="T102" s="124">
        <f ca="1">OFFSET(CÁLCULO!H$15,ROW($T102)-ROW(T$15),0)</f>
        <v>4.8</v>
      </c>
      <c r="U102" s="125">
        <f t="shared" ca="1" si="36"/>
        <v>0</v>
      </c>
      <c r="V102" s="126" t="s">
        <v>156</v>
      </c>
      <c r="W102" s="124">
        <f ca="1">IF($C102="S",ROUND(IF(TIPOORCAMENTO="Proposto",ORÇAMENTO.CustoUnitario*(1+$AH102),ORÇAMENTO.PrecoUnitarioLicitado),15-13*$AF$10),0)</f>
        <v>0</v>
      </c>
      <c r="X102" s="127">
        <f ca="1">IF($C102="S",IF(Import.TipoArredondamento&lt;&gt;"TransfereGOV",VTOTAL1,SUM(OFFSET(CÁLCULO!$AI$15,ROW($X102)-ROW($X$15),1):OFFSET(CÁLCULO!$BB$15,ROW($X102)-ROW($X$15),-1))),IF($C102=0,0,ROUND(SomaAgrup,15-13*$AF$11)))</f>
        <v>0</v>
      </c>
      <c r="Y102" s="128" t="s">
        <v>245</v>
      </c>
      <c r="Z102" t="str">
        <f t="shared" ca="1" si="31"/>
        <v/>
      </c>
      <c r="AA102" s="129">
        <f ca="1">IF($C102="S",IF($Z102="CP",$X102,IF($Z102="RA",(($X102)*QCI!$AA$3),0)),SomaAgrup)</f>
        <v>0</v>
      </c>
      <c r="AB102" s="130">
        <f t="shared" ca="1" si="32"/>
        <v>0</v>
      </c>
      <c r="AC102" s="131" t="str">
        <f ca="1">IF($N102="","",IF(ORÇAMENTO.Descricao="","DESCRIÇÃO",IF(AND($C102="S",ORÇAMENTO.Unidade=""),"UNIDADE",IF($X102&lt;0,"VALOR NEGATIVO",IF(OR(AND(TIPOORCAMENTO="Proposto",$AG102&lt;&gt;"",$AG102&gt;0,ORÇAMENTO.CustoUnitario&gt;$AG102),AND(TIPOORCAMENTO="LICITADO",ORÇAMENTO.PrecoUnitarioLicitado&gt;$AN102)),"ACIMA REF.","")))))</f>
        <v/>
      </c>
      <c r="AD102" t="str">
        <f ca="1">IF(C102&lt;=CRONO.NivelExibicao,MAX($AD$15:OFFSET(AD102,-1,0))+IF($C102&lt;&gt;1,1,MAX(1,COUNTIF(QCI!$A$13:$A$24,OFFSET($E102,-1,0)))),"")</f>
        <v/>
      </c>
      <c r="AE102" s="7" t="str">
        <f ca="1">IF(AND($C102="S",ORÇAMENTO.CodBarra&lt;&gt;""),IF(ORÇAMENTO.Fonte="",ORÇAMENTO.CodBarra,CONCATENATE(ORÇAMENTO.Fonte," ",ORÇAMENTO.CodBarra)))</f>
        <v>SINAPI 101161</v>
      </c>
      <c r="AF102" s="13" t="str">
        <f ca="1">IF(ISERROR(INDIRECT(ORÇAMENTO.BancoRef)),"(abra o arquivo 'Referência "&amp;Excel_BuiltIn_Database&amp;".xlsm)",IF(OR($C102&lt;&gt;"S",ORÇAMENTO.CodBarra=""),"(Sem Código)",IF(ISERROR(MATCH($AE102,INDIRECT(ORÇAMENTO.BancoRef),0)),"(Código não identificado nas referências)",MATCH($AE102,INDIRECT(ORÇAMENTO.BancoRef),0))))</f>
        <v>(abra o arquivo 'Referência 06-2024.xlsm)</v>
      </c>
      <c r="AG102" s="498">
        <f ca="1">ROUND(IF(DESONERACAO="sim",REFERENCIA.Desonerado,REFERENCIA.NaoDesonerado),2)</f>
        <v>0</v>
      </c>
      <c r="AH102" s="499">
        <f t="shared" ca="1" si="33"/>
        <v>0.2432</v>
      </c>
      <c r="AJ102" s="501"/>
      <c r="AL102" s="527"/>
      <c r="AM102" s="381">
        <f t="shared" ca="1" si="34"/>
        <v>0</v>
      </c>
      <c r="AN102" s="566">
        <f t="shared" ca="1" si="35"/>
        <v>0</v>
      </c>
    </row>
    <row r="103" spans="1:40" x14ac:dyDescent="0.2">
      <c r="A103">
        <f t="shared" si="20"/>
        <v>2</v>
      </c>
      <c r="B103">
        <f t="shared" ca="1" si="21"/>
        <v>2</v>
      </c>
      <c r="C103">
        <f t="shared" ca="1" si="22"/>
        <v>2</v>
      </c>
      <c r="D103">
        <f t="shared" ca="1" si="23"/>
        <v>7</v>
      </c>
      <c r="E103">
        <f ca="1">IF($C103=1,OFFSET(E103,-1,0)+MAX(1,COUNTIF(QCI!$A$13:$A$24,OFFSET(ORÇAMENTO!E103,-1,0))),OFFSET(E103,-1,0))</f>
        <v>1</v>
      </c>
      <c r="F103">
        <f t="shared" ca="1" si="24"/>
        <v>16</v>
      </c>
      <c r="G103">
        <f t="shared" ca="1" si="25"/>
        <v>0</v>
      </c>
      <c r="H103">
        <f t="shared" ca="1" si="26"/>
        <v>0</v>
      </c>
      <c r="I103">
        <f t="shared" ca="1" si="27"/>
        <v>0</v>
      </c>
      <c r="J103">
        <f t="shared" ca="1" si="37"/>
        <v>624</v>
      </c>
      <c r="K103">
        <f ca="1">IF(OR($C103="S",$C103=0),0,MATCH(OFFSET($D103,0,$C103)+IF($C103&lt;&gt;1,1,COUNTIF(QCI!$A$13:$A$24,ORÇAMENTO!E103)),OFFSET($D103,1,$C103,ROW($C$727)-ROW($C103)),0))</f>
        <v>7</v>
      </c>
      <c r="L103" s="116" t="str">
        <f t="shared" ca="1" si="28"/>
        <v>F</v>
      </c>
      <c r="M103" s="117" t="s">
        <v>196</v>
      </c>
      <c r="N103" s="118" t="str">
        <f t="shared" ca="1" si="29"/>
        <v>Nível 2</v>
      </c>
      <c r="O103" s="119" t="str">
        <f t="shared" ca="1" si="30"/>
        <v>1.16.</v>
      </c>
      <c r="P103" s="120" t="s">
        <v>247</v>
      </c>
      <c r="Q103" s="121"/>
      <c r="R103" s="122" t="s">
        <v>1044</v>
      </c>
      <c r="S103" s="123" t="str">
        <f ca="1">REFERENCIA.Unidade</f>
        <v>-</v>
      </c>
      <c r="T103" s="124">
        <f ca="1">OFFSET(CÁLCULO!H$15,ROW($T103)-ROW(T$15),0)</f>
        <v>0</v>
      </c>
      <c r="U103" s="125">
        <f t="shared" ca="1" si="36"/>
        <v>0</v>
      </c>
      <c r="V103" s="126" t="s">
        <v>156</v>
      </c>
      <c r="W103" s="124">
        <f ca="1">IF($C103="S",ROUND(IF(TIPOORCAMENTO="Proposto",ORÇAMENTO.CustoUnitario*(1+$AH103),ORÇAMENTO.PrecoUnitarioLicitado),15-13*$AF$10),0)</f>
        <v>0</v>
      </c>
      <c r="X103" s="127">
        <f ca="1">IF($C103="S",IF(Import.TipoArredondamento&lt;&gt;"TransfereGOV",VTOTAL1,SUM(OFFSET(CÁLCULO!$AI$15,ROW($X103)-ROW($X$15),1):OFFSET(CÁLCULO!$BB$15,ROW($X103)-ROW($X$15),-1))),IF($C103=0,0,ROUND(SomaAgrup,15-13*$AF$11)))</f>
        <v>0</v>
      </c>
      <c r="Y103" s="128" t="s">
        <v>245</v>
      </c>
      <c r="Z103" t="str">
        <f t="shared" ca="1" si="31"/>
        <v/>
      </c>
      <c r="AA103" s="129">
        <f ca="1">IF($C103="S",IF($Z103="CP",$X103,IF($Z103="RA",(($X103)*QCI!$AA$3),0)),SomaAgrup)</f>
        <v>0</v>
      </c>
      <c r="AB103" s="130">
        <f t="shared" ca="1" si="32"/>
        <v>0</v>
      </c>
      <c r="AC103" s="131" t="str">
        <f ca="1">IF($N103="","",IF(ORÇAMENTO.Descricao="","DESCRIÇÃO",IF(AND($C103="S",ORÇAMENTO.Unidade=""),"UNIDADE",IF($X103&lt;0,"VALOR NEGATIVO",IF(OR(AND(TIPOORCAMENTO="Proposto",$AG103&lt;&gt;"",$AG103&gt;0,ORÇAMENTO.CustoUnitario&gt;$AG103),AND(TIPOORCAMENTO="LICITADO",ORÇAMENTO.PrecoUnitarioLicitado&gt;$AN103)),"ACIMA REF.","")))))</f>
        <v/>
      </c>
      <c r="AD103">
        <f ca="1">IF(C103&lt;=CRONO.NivelExibicao,MAX($AD$15:OFFSET(AD103,-1,0))+IF($C103&lt;&gt;1,1,MAX(1,COUNTIF(QCI!$A$13:$A$24,OFFSET($E103,-1,0)))),"")</f>
        <v>17</v>
      </c>
      <c r="AE103" s="7" t="b">
        <f ca="1">IF(AND($C103="S",ORÇAMENTO.CodBarra&lt;&gt;""),IF(ORÇAMENTO.Fonte="",ORÇAMENTO.CodBarra,CONCATENATE(ORÇAMENTO.Fonte," ",ORÇAMENTO.CodBarra)))</f>
        <v>0</v>
      </c>
      <c r="AF103" s="13" t="str">
        <f ca="1">IF(ISERROR(INDIRECT(ORÇAMENTO.BancoRef)),"(abra o arquivo 'Referência "&amp;Excel_BuiltIn_Database&amp;".xlsm)",IF(OR($C103&lt;&gt;"S",ORÇAMENTO.CodBarra=""),"(Sem Código)",IF(ISERROR(MATCH($AE103,INDIRECT(ORÇAMENTO.BancoRef),0)),"(Código não identificado nas referências)",MATCH($AE103,INDIRECT(ORÇAMENTO.BancoRef),0))))</f>
        <v>(abra o arquivo 'Referência 06-2024.xlsm)</v>
      </c>
      <c r="AG103" s="498">
        <f ca="1">ROUND(IF(DESONERACAO="sim",REFERENCIA.Desonerado,REFERENCIA.NaoDesonerado),2)</f>
        <v>0</v>
      </c>
      <c r="AH103" s="499">
        <f t="shared" ca="1" si="33"/>
        <v>0.2432</v>
      </c>
      <c r="AJ103" s="501"/>
      <c r="AL103" s="527"/>
      <c r="AM103" s="381">
        <f t="shared" ca="1" si="34"/>
        <v>0</v>
      </c>
      <c r="AN103" s="566">
        <f t="shared" ca="1" si="35"/>
        <v>0</v>
      </c>
    </row>
    <row r="104" spans="1:40" ht="38.25" x14ac:dyDescent="0.2">
      <c r="A104" t="str">
        <f t="shared" si="20"/>
        <v>S</v>
      </c>
      <c r="B104">
        <f t="shared" ca="1" si="21"/>
        <v>2</v>
      </c>
      <c r="C104" t="str">
        <f t="shared" ca="1" si="22"/>
        <v>S</v>
      </c>
      <c r="D104">
        <f t="shared" ca="1" si="23"/>
        <v>0</v>
      </c>
      <c r="E104">
        <f ca="1">IF($C104=1,OFFSET(E104,-1,0)+MAX(1,COUNTIF(QCI!$A$13:$A$24,OFFSET(ORÇAMENTO!E104,-1,0))),OFFSET(E104,-1,0))</f>
        <v>1</v>
      </c>
      <c r="F104">
        <f t="shared" ca="1" si="24"/>
        <v>16</v>
      </c>
      <c r="G104">
        <f t="shared" ca="1" si="25"/>
        <v>0</v>
      </c>
      <c r="H104">
        <f t="shared" ca="1" si="26"/>
        <v>0</v>
      </c>
      <c r="I104">
        <f t="shared" ca="1" si="27"/>
        <v>0</v>
      </c>
      <c r="J104">
        <f t="shared" ca="1" si="37"/>
        <v>0</v>
      </c>
      <c r="K104">
        <f ca="1">IF(OR($C104="S",$C104=0),0,MATCH(OFFSET($D104,0,$C104)+IF($C104&lt;&gt;1,1,COUNTIF(QCI!$A$13:$A$24,ORÇAMENTO!E104)),OFFSET($D104,1,$C104,ROW($C$727)-ROW($C104)),0))</f>
        <v>0</v>
      </c>
      <c r="L104" s="116" t="str">
        <f t="shared" ca="1" si="28"/>
        <v/>
      </c>
      <c r="M104" s="117" t="s">
        <v>199</v>
      </c>
      <c r="N104" s="118" t="str">
        <f t="shared" ca="1" si="29"/>
        <v>Serviço</v>
      </c>
      <c r="O104" s="119" t="str">
        <f t="shared" ca="1" si="30"/>
        <v>-</v>
      </c>
      <c r="P104" s="120" t="s">
        <v>247</v>
      </c>
      <c r="Q104" s="121" t="s">
        <v>513</v>
      </c>
      <c r="R104" s="122" t="str">
        <f ca="1">IF($C104="S",REFERENCIA.Descricao,"(digite a descrição aqui)")</f>
        <v>(abra o arquivo 'Referência 06-2024.xlsm)</v>
      </c>
      <c r="S104" s="123" t="str">
        <f ca="1">REFERENCIA.Unidade</f>
        <v>-</v>
      </c>
      <c r="T104" s="124">
        <f ca="1">OFFSET(CÁLCULO!H$15,ROW($T104)-ROW(T$15),0)</f>
        <v>778.74</v>
      </c>
      <c r="U104" s="125">
        <f t="shared" ca="1" si="36"/>
        <v>0</v>
      </c>
      <c r="V104" s="126" t="s">
        <v>156</v>
      </c>
      <c r="W104" s="124">
        <f ca="1">IF($C104="S",ROUND(IF(TIPOORCAMENTO="Proposto",ORÇAMENTO.CustoUnitario*(1+$AH104),ORÇAMENTO.PrecoUnitarioLicitado),15-13*$AF$10),0)</f>
        <v>0</v>
      </c>
      <c r="X104" s="127">
        <f ca="1">IF($C104="S",IF(Import.TipoArredondamento&lt;&gt;"TransfereGOV",VTOTAL1,SUM(OFFSET(CÁLCULO!$AI$15,ROW($X104)-ROW($X$15),1):OFFSET(CÁLCULO!$BB$15,ROW($X104)-ROW($X$15),-1))),IF($C104=0,0,ROUND(SomaAgrup,15-13*$AF$11)))</f>
        <v>0</v>
      </c>
      <c r="Y104" s="128" t="s">
        <v>245</v>
      </c>
      <c r="Z104" t="str">
        <f t="shared" ca="1" si="31"/>
        <v/>
      </c>
      <c r="AA104" s="129">
        <f ca="1">IF($C104="S",IF($Z104="CP",$X104,IF($Z104="RA",(($X104)*QCI!$AA$3),0)),SomaAgrup)</f>
        <v>0</v>
      </c>
      <c r="AB104" s="130">
        <f t="shared" ca="1" si="32"/>
        <v>0</v>
      </c>
      <c r="AC104" s="131" t="str">
        <f ca="1">IF($N104="","",IF(ORÇAMENTO.Descricao="","DESCRIÇÃO",IF(AND($C104="S",ORÇAMENTO.Unidade=""),"UNIDADE",IF($X104&lt;0,"VALOR NEGATIVO",IF(OR(AND(TIPOORCAMENTO="Proposto",$AG104&lt;&gt;"",$AG104&gt;0,ORÇAMENTO.CustoUnitario&gt;$AG104),AND(TIPOORCAMENTO="LICITADO",ORÇAMENTO.PrecoUnitarioLicitado&gt;$AN104)),"ACIMA REF.","")))))</f>
        <v/>
      </c>
      <c r="AD104" t="str">
        <f ca="1">IF(C104&lt;=CRONO.NivelExibicao,MAX($AD$15:OFFSET(AD104,-1,0))+IF($C104&lt;&gt;1,1,MAX(1,COUNTIF(QCI!$A$13:$A$24,OFFSET($E104,-1,0)))),"")</f>
        <v/>
      </c>
      <c r="AE104" s="7" t="str">
        <f ca="1">IF(AND($C104="S",ORÇAMENTO.CodBarra&lt;&gt;""),IF(ORÇAMENTO.Fonte="",ORÇAMENTO.CodBarra,CONCATENATE(ORÇAMENTO.Fonte," ",ORÇAMENTO.CodBarra)))</f>
        <v>SINAPI 103324</v>
      </c>
      <c r="AF104" s="13" t="str">
        <f ca="1">IF(ISERROR(INDIRECT(ORÇAMENTO.BancoRef)),"(abra o arquivo 'Referência "&amp;Excel_BuiltIn_Database&amp;".xlsm)",IF(OR($C104&lt;&gt;"S",ORÇAMENTO.CodBarra=""),"(Sem Código)",IF(ISERROR(MATCH($AE104,INDIRECT(ORÇAMENTO.BancoRef),0)),"(Código não identificado nas referências)",MATCH($AE104,INDIRECT(ORÇAMENTO.BancoRef),0))))</f>
        <v>(abra o arquivo 'Referência 06-2024.xlsm)</v>
      </c>
      <c r="AG104" s="498">
        <f ca="1">ROUND(IF(DESONERACAO="sim",REFERENCIA.Desonerado,REFERENCIA.NaoDesonerado),2)</f>
        <v>0</v>
      </c>
      <c r="AH104" s="499">
        <f t="shared" ca="1" si="33"/>
        <v>0.2432</v>
      </c>
      <c r="AJ104" s="501"/>
      <c r="AL104" s="527"/>
      <c r="AM104" s="381">
        <f t="shared" ca="1" si="34"/>
        <v>0</v>
      </c>
      <c r="AN104" s="566">
        <f t="shared" ca="1" si="35"/>
        <v>0</v>
      </c>
    </row>
    <row r="105" spans="1:40" ht="38.25" x14ac:dyDescent="0.2">
      <c r="A105" t="str">
        <f t="shared" si="20"/>
        <v>S</v>
      </c>
      <c r="B105">
        <f t="shared" ca="1" si="21"/>
        <v>2</v>
      </c>
      <c r="C105" t="str">
        <f t="shared" ca="1" si="22"/>
        <v>S</v>
      </c>
      <c r="D105">
        <f t="shared" ca="1" si="23"/>
        <v>0</v>
      </c>
      <c r="E105">
        <f ca="1">IF($C105=1,OFFSET(E105,-1,0)+MAX(1,COUNTIF(QCI!$A$13:$A$24,OFFSET(ORÇAMENTO!E105,-1,0))),OFFSET(E105,-1,0))</f>
        <v>1</v>
      </c>
      <c r="F105">
        <f t="shared" ca="1" si="24"/>
        <v>16</v>
      </c>
      <c r="G105">
        <f t="shared" ca="1" si="25"/>
        <v>0</v>
      </c>
      <c r="H105">
        <f t="shared" ca="1" si="26"/>
        <v>0</v>
      </c>
      <c r="I105">
        <f t="shared" ca="1" si="27"/>
        <v>0</v>
      </c>
      <c r="J105">
        <f t="shared" ca="1" si="37"/>
        <v>0</v>
      </c>
      <c r="K105">
        <f ca="1">IF(OR($C105="S",$C105=0),0,MATCH(OFFSET($D105,0,$C105)+IF($C105&lt;&gt;1,1,COUNTIF(QCI!$A$13:$A$24,ORÇAMENTO!E105)),OFFSET($D105,1,$C105,ROW($C$727)-ROW($C105)),0))</f>
        <v>0</v>
      </c>
      <c r="L105" s="116" t="str">
        <f t="shared" ca="1" si="28"/>
        <v/>
      </c>
      <c r="M105" s="117" t="s">
        <v>199</v>
      </c>
      <c r="N105" s="118" t="str">
        <f t="shared" ca="1" si="29"/>
        <v>Serviço</v>
      </c>
      <c r="O105" s="119" t="str">
        <f t="shared" ca="1" si="30"/>
        <v>-</v>
      </c>
      <c r="P105" s="120" t="s">
        <v>247</v>
      </c>
      <c r="Q105" s="121" t="s">
        <v>514</v>
      </c>
      <c r="R105" s="122" t="str">
        <f ca="1">IF($C105="S",REFERENCIA.Descricao,"(digite a descrição aqui)")</f>
        <v>(abra o arquivo 'Referência 06-2024.xlsm)</v>
      </c>
      <c r="S105" s="123" t="str">
        <f ca="1">REFERENCIA.Unidade</f>
        <v>-</v>
      </c>
      <c r="T105" s="124">
        <f ca="1">OFFSET(CÁLCULO!H$15,ROW($T105)-ROW(T$15),0)</f>
        <v>931.08</v>
      </c>
      <c r="U105" s="125">
        <f t="shared" ca="1" si="36"/>
        <v>0</v>
      </c>
      <c r="V105" s="126" t="s">
        <v>156</v>
      </c>
      <c r="W105" s="124">
        <f ca="1">IF($C105="S",ROUND(IF(TIPOORCAMENTO="Proposto",ORÇAMENTO.CustoUnitario*(1+$AH105),ORÇAMENTO.PrecoUnitarioLicitado),15-13*$AF$10),0)</f>
        <v>0</v>
      </c>
      <c r="X105" s="127">
        <f ca="1">IF($C105="S",IF(Import.TipoArredondamento&lt;&gt;"TransfereGOV",VTOTAL1,SUM(OFFSET(CÁLCULO!$AI$15,ROW($X105)-ROW($X$15),1):OFFSET(CÁLCULO!$BB$15,ROW($X105)-ROW($X$15),-1))),IF($C105=0,0,ROUND(SomaAgrup,15-13*$AF$11)))</f>
        <v>0</v>
      </c>
      <c r="Y105" s="128" t="s">
        <v>245</v>
      </c>
      <c r="Z105" t="str">
        <f t="shared" ca="1" si="31"/>
        <v/>
      </c>
      <c r="AA105" s="129">
        <f ca="1">IF($C105="S",IF($Z105="CP",$X105,IF($Z105="RA",(($X105)*QCI!$AA$3),0)),SomaAgrup)</f>
        <v>0</v>
      </c>
      <c r="AB105" s="130">
        <f t="shared" ca="1" si="32"/>
        <v>0</v>
      </c>
      <c r="AC105" s="131" t="str">
        <f ca="1">IF($N105="","",IF(ORÇAMENTO.Descricao="","DESCRIÇÃO",IF(AND($C105="S",ORÇAMENTO.Unidade=""),"UNIDADE",IF($X105&lt;0,"VALOR NEGATIVO",IF(OR(AND(TIPOORCAMENTO="Proposto",$AG105&lt;&gt;"",$AG105&gt;0,ORÇAMENTO.CustoUnitario&gt;$AG105),AND(TIPOORCAMENTO="LICITADO",ORÇAMENTO.PrecoUnitarioLicitado&gt;$AN105)),"ACIMA REF.","")))))</f>
        <v/>
      </c>
      <c r="AD105" t="str">
        <f ca="1">IF(C105&lt;=CRONO.NivelExibicao,MAX($AD$15:OFFSET(AD105,-1,0))+IF($C105&lt;&gt;1,1,MAX(1,COUNTIF(QCI!$A$13:$A$24,OFFSET($E105,-1,0)))),"")</f>
        <v/>
      </c>
      <c r="AE105" s="7" t="str">
        <f ca="1">IF(AND($C105="S",ORÇAMENTO.CodBarra&lt;&gt;""),IF(ORÇAMENTO.Fonte="",ORÇAMENTO.CodBarra,CONCATENATE(ORÇAMENTO.Fonte," ",ORÇAMENTO.CodBarra)))</f>
        <v>SINAPI 103322</v>
      </c>
      <c r="AF105" s="13" t="str">
        <f ca="1">IF(ISERROR(INDIRECT(ORÇAMENTO.BancoRef)),"(abra o arquivo 'Referência "&amp;Excel_BuiltIn_Database&amp;".xlsm)",IF(OR($C105&lt;&gt;"S",ORÇAMENTO.CodBarra=""),"(Sem Código)",IF(ISERROR(MATCH($AE105,INDIRECT(ORÇAMENTO.BancoRef),0)),"(Código não identificado nas referências)",MATCH($AE105,INDIRECT(ORÇAMENTO.BancoRef),0))))</f>
        <v>(abra o arquivo 'Referência 06-2024.xlsm)</v>
      </c>
      <c r="AG105" s="498">
        <f ca="1">ROUND(IF(DESONERACAO="sim",REFERENCIA.Desonerado,REFERENCIA.NaoDesonerado),2)</f>
        <v>0</v>
      </c>
      <c r="AH105" s="499">
        <f t="shared" ca="1" si="33"/>
        <v>0.2432</v>
      </c>
      <c r="AJ105" s="501"/>
      <c r="AL105" s="527"/>
      <c r="AM105" s="381">
        <f t="shared" ca="1" si="34"/>
        <v>0</v>
      </c>
      <c r="AN105" s="566">
        <f t="shared" ca="1" si="35"/>
        <v>0</v>
      </c>
    </row>
    <row r="106" spans="1:40" ht="38.25" x14ac:dyDescent="0.2">
      <c r="A106" t="str">
        <f t="shared" si="20"/>
        <v>S</v>
      </c>
      <c r="B106">
        <f t="shared" ca="1" si="21"/>
        <v>2</v>
      </c>
      <c r="C106" t="str">
        <f t="shared" ca="1" si="22"/>
        <v>S</v>
      </c>
      <c r="D106">
        <f t="shared" ca="1" si="23"/>
        <v>0</v>
      </c>
      <c r="E106">
        <f ca="1">IF($C106=1,OFFSET(E106,-1,0)+MAX(1,COUNTIF(QCI!$A$13:$A$24,OFFSET(ORÇAMENTO!E106,-1,0))),OFFSET(E106,-1,0))</f>
        <v>1</v>
      </c>
      <c r="F106">
        <f t="shared" ca="1" si="24"/>
        <v>16</v>
      </c>
      <c r="G106">
        <f t="shared" ca="1" si="25"/>
        <v>0</v>
      </c>
      <c r="H106">
        <f t="shared" ca="1" si="26"/>
        <v>0</v>
      </c>
      <c r="I106">
        <f t="shared" ca="1" si="27"/>
        <v>0</v>
      </c>
      <c r="J106">
        <f t="shared" ca="1" si="37"/>
        <v>0</v>
      </c>
      <c r="K106">
        <f ca="1">IF(OR($C106="S",$C106=0),0,MATCH(OFFSET($D106,0,$C106)+IF($C106&lt;&gt;1,1,COUNTIF(QCI!$A$13:$A$24,ORÇAMENTO!E106)),OFFSET($D106,1,$C106,ROW($C$727)-ROW($C106)),0))</f>
        <v>0</v>
      </c>
      <c r="L106" s="116" t="str">
        <f t="shared" ca="1" si="28"/>
        <v/>
      </c>
      <c r="M106" s="117" t="s">
        <v>199</v>
      </c>
      <c r="N106" s="118" t="str">
        <f t="shared" ca="1" si="29"/>
        <v>Serviço</v>
      </c>
      <c r="O106" s="119" t="str">
        <f t="shared" ca="1" si="30"/>
        <v>-</v>
      </c>
      <c r="P106" s="120" t="s">
        <v>247</v>
      </c>
      <c r="Q106" s="121" t="s">
        <v>515</v>
      </c>
      <c r="R106" s="122" t="str">
        <f ca="1">IF($C106="S",REFERENCIA.Descricao,"(digite a descrição aqui)")</f>
        <v>(abra o arquivo 'Referência 06-2024.xlsm)</v>
      </c>
      <c r="S106" s="123" t="str">
        <f ca="1">REFERENCIA.Unidade</f>
        <v>-</v>
      </c>
      <c r="T106" s="124">
        <f ca="1">OFFSET(CÁLCULO!H$15,ROW($T106)-ROW(T$15),0)</f>
        <v>17.16</v>
      </c>
      <c r="U106" s="125">
        <f t="shared" ca="1" si="36"/>
        <v>0</v>
      </c>
      <c r="V106" s="126" t="s">
        <v>156</v>
      </c>
      <c r="W106" s="124">
        <f ca="1">IF($C106="S",ROUND(IF(TIPOORCAMENTO="Proposto",ORÇAMENTO.CustoUnitario*(1+$AH106),ORÇAMENTO.PrecoUnitarioLicitado),15-13*$AF$10),0)</f>
        <v>0</v>
      </c>
      <c r="X106" s="127">
        <f ca="1">IF($C106="S",IF(Import.TipoArredondamento&lt;&gt;"TransfereGOV",VTOTAL1,SUM(OFFSET(CÁLCULO!$AI$15,ROW($X106)-ROW($X$15),1):OFFSET(CÁLCULO!$BB$15,ROW($X106)-ROW($X$15),-1))),IF($C106=0,0,ROUND(SomaAgrup,15-13*$AF$11)))</f>
        <v>0</v>
      </c>
      <c r="Y106" s="128" t="s">
        <v>245</v>
      </c>
      <c r="Z106" t="str">
        <f t="shared" ca="1" si="31"/>
        <v/>
      </c>
      <c r="AA106" s="129">
        <f ca="1">IF($C106="S",IF($Z106="CP",$X106,IF($Z106="RA",(($X106)*QCI!$AA$3),0)),SomaAgrup)</f>
        <v>0</v>
      </c>
      <c r="AB106" s="130">
        <f t="shared" ca="1" si="32"/>
        <v>0</v>
      </c>
      <c r="AC106" s="131" t="str">
        <f ca="1">IF($N106="","",IF(ORÇAMENTO.Descricao="","DESCRIÇÃO",IF(AND($C106="S",ORÇAMENTO.Unidade=""),"UNIDADE",IF($X106&lt;0,"VALOR NEGATIVO",IF(OR(AND(TIPOORCAMENTO="Proposto",$AG106&lt;&gt;"",$AG106&gt;0,ORÇAMENTO.CustoUnitario&gt;$AG106),AND(TIPOORCAMENTO="LICITADO",ORÇAMENTO.PrecoUnitarioLicitado&gt;$AN106)),"ACIMA REF.","")))))</f>
        <v/>
      </c>
      <c r="AD106" t="str">
        <f ca="1">IF(C106&lt;=CRONO.NivelExibicao,MAX($AD$15:OFFSET(AD106,-1,0))+IF($C106&lt;&gt;1,1,MAX(1,COUNTIF(QCI!$A$13:$A$24,OFFSET($E106,-1,0)))),"")</f>
        <v/>
      </c>
      <c r="AE106" s="7" t="str">
        <f ca="1">IF(AND($C106="S",ORÇAMENTO.CodBarra&lt;&gt;""),IF(ORÇAMENTO.Fonte="",ORÇAMENTO.CodBarra,CONCATENATE(ORÇAMENTO.Fonte," ",ORÇAMENTO.CodBarra)))</f>
        <v>SINAPI 103328</v>
      </c>
      <c r="AF106" s="13" t="str">
        <f ca="1">IF(ISERROR(INDIRECT(ORÇAMENTO.BancoRef)),"(abra o arquivo 'Referência "&amp;Excel_BuiltIn_Database&amp;".xlsm)",IF(OR($C106&lt;&gt;"S",ORÇAMENTO.CodBarra=""),"(Sem Código)",IF(ISERROR(MATCH($AE106,INDIRECT(ORÇAMENTO.BancoRef),0)),"(Código não identificado nas referências)",MATCH($AE106,INDIRECT(ORÇAMENTO.BancoRef),0))))</f>
        <v>(abra o arquivo 'Referência 06-2024.xlsm)</v>
      </c>
      <c r="AG106" s="498">
        <f ca="1">ROUND(IF(DESONERACAO="sim",REFERENCIA.Desonerado,REFERENCIA.NaoDesonerado),2)</f>
        <v>0</v>
      </c>
      <c r="AH106" s="499">
        <f t="shared" ca="1" si="33"/>
        <v>0.2432</v>
      </c>
      <c r="AJ106" s="501"/>
      <c r="AL106" s="527"/>
      <c r="AM106" s="381">
        <f t="shared" ca="1" si="34"/>
        <v>0</v>
      </c>
      <c r="AN106" s="566">
        <f t="shared" ca="1" si="35"/>
        <v>0</v>
      </c>
    </row>
    <row r="107" spans="1:40" ht="25.5" x14ac:dyDescent="0.2">
      <c r="A107" t="str">
        <f t="shared" si="20"/>
        <v>S</v>
      </c>
      <c r="B107">
        <f t="shared" ca="1" si="21"/>
        <v>2</v>
      </c>
      <c r="C107" t="str">
        <f t="shared" ca="1" si="22"/>
        <v>S</v>
      </c>
      <c r="D107">
        <f t="shared" ca="1" si="23"/>
        <v>0</v>
      </c>
      <c r="E107">
        <f ca="1">IF($C107=1,OFFSET(E107,-1,0)+MAX(1,COUNTIF(QCI!$A$13:$A$24,OFFSET(ORÇAMENTO!E107,-1,0))),OFFSET(E107,-1,0))</f>
        <v>1</v>
      </c>
      <c r="F107">
        <f t="shared" ca="1" si="24"/>
        <v>16</v>
      </c>
      <c r="G107">
        <f t="shared" ca="1" si="25"/>
        <v>0</v>
      </c>
      <c r="H107">
        <f t="shared" ca="1" si="26"/>
        <v>0</v>
      </c>
      <c r="I107">
        <f t="shared" ca="1" si="27"/>
        <v>0</v>
      </c>
      <c r="J107">
        <f t="shared" ca="1" si="37"/>
        <v>0</v>
      </c>
      <c r="K107">
        <f ca="1">IF(OR($C107="S",$C107=0),0,MATCH(OFFSET($D107,0,$C107)+IF($C107&lt;&gt;1,1,COUNTIF(QCI!$A$13:$A$24,ORÇAMENTO!E107)),OFFSET($D107,1,$C107,ROW($C$727)-ROW($C107)),0))</f>
        <v>0</v>
      </c>
      <c r="L107" s="116" t="str">
        <f t="shared" ca="1" si="28"/>
        <v/>
      </c>
      <c r="M107" s="117" t="s">
        <v>199</v>
      </c>
      <c r="N107" s="118" t="str">
        <f t="shared" ca="1" si="29"/>
        <v>Serviço</v>
      </c>
      <c r="O107" s="119" t="str">
        <f t="shared" ca="1" si="30"/>
        <v>-</v>
      </c>
      <c r="P107" s="120" t="s">
        <v>458</v>
      </c>
      <c r="Q107" s="121" t="s">
        <v>1013</v>
      </c>
      <c r="R107" s="122" t="str">
        <f ca="1">IF($C107="S",REFERENCIA.Descricao,"(digite a descrição aqui)")</f>
        <v>(abra o arquivo 'Referência 06-2024.xlsm)</v>
      </c>
      <c r="S107" s="123" t="str">
        <f ca="1">REFERENCIA.Unidade</f>
        <v>-</v>
      </c>
      <c r="T107" s="124">
        <f ca="1">OFFSET(CÁLCULO!H$15,ROW($T107)-ROW(T$15),0)</f>
        <v>636.52</v>
      </c>
      <c r="U107" s="125">
        <f t="shared" ca="1" si="36"/>
        <v>0</v>
      </c>
      <c r="V107" s="126" t="s">
        <v>156</v>
      </c>
      <c r="W107" s="124">
        <f ca="1">IF($C107="S",ROUND(IF(TIPOORCAMENTO="Proposto",ORÇAMENTO.CustoUnitario*(1+$AH107),ORÇAMENTO.PrecoUnitarioLicitado),15-13*$AF$10),0)</f>
        <v>0</v>
      </c>
      <c r="X107" s="127">
        <f ca="1">IF($C107="S",IF(Import.TipoArredondamento&lt;&gt;"TransfereGOV",VTOTAL1,SUM(OFFSET(CÁLCULO!$AI$15,ROW($X107)-ROW($X$15),1):OFFSET(CÁLCULO!$BB$15,ROW($X107)-ROW($X$15),-1))),IF($C107=0,0,ROUND(SomaAgrup,15-13*$AF$11)))</f>
        <v>0</v>
      </c>
      <c r="Y107" s="128" t="s">
        <v>245</v>
      </c>
      <c r="Z107" t="str">
        <f t="shared" ca="1" si="31"/>
        <v/>
      </c>
      <c r="AA107" s="129">
        <f ca="1">IF($C107="S",IF($Z107="CP",$X107,IF($Z107="RA",(($X107)*QCI!$AA$3),0)),SomaAgrup)</f>
        <v>0</v>
      </c>
      <c r="AB107" s="130">
        <f t="shared" ca="1" si="32"/>
        <v>0</v>
      </c>
      <c r="AC107" s="131" t="str">
        <f ca="1">IF($N107="","",IF(ORÇAMENTO.Descricao="","DESCRIÇÃO",IF(AND($C107="S",ORÇAMENTO.Unidade=""),"UNIDADE",IF($X107&lt;0,"VALOR NEGATIVO",IF(OR(AND(TIPOORCAMENTO="Proposto",$AG107&lt;&gt;"",$AG107&gt;0,ORÇAMENTO.CustoUnitario&gt;$AG107),AND(TIPOORCAMENTO="LICITADO",ORÇAMENTO.PrecoUnitarioLicitado&gt;$AN107)),"ACIMA REF.","")))))</f>
        <v/>
      </c>
      <c r="AD107" t="str">
        <f ca="1">IF(C107&lt;=CRONO.NivelExibicao,MAX($AD$15:OFFSET(AD107,-1,0))+IF($C107&lt;&gt;1,1,MAX(1,COUNTIF(QCI!$A$13:$A$24,OFFSET($E107,-1,0)))),"")</f>
        <v/>
      </c>
      <c r="AE107" s="7" t="str">
        <f ca="1">IF(AND($C107="S",ORÇAMENTO.CodBarra&lt;&gt;""),IF(ORÇAMENTO.Fonte="",ORÇAMENTO.CodBarra,CONCATENATE(ORÇAMENTO.Fonte," ",ORÇAMENTO.CodBarra)))</f>
        <v>COMPOSIÇÃO 93201</v>
      </c>
      <c r="AF107" s="13" t="str">
        <f ca="1">IF(ISERROR(INDIRECT(ORÇAMENTO.BancoRef)),"(abra o arquivo 'Referência "&amp;Excel_BuiltIn_Database&amp;".xlsm)",IF(OR($C107&lt;&gt;"S",ORÇAMENTO.CodBarra=""),"(Sem Código)",IF(ISERROR(MATCH($AE107,INDIRECT(ORÇAMENTO.BancoRef),0)),"(Código não identificado nas referências)",MATCH($AE107,INDIRECT(ORÇAMENTO.BancoRef),0))))</f>
        <v>(abra o arquivo 'Referência 06-2024.xlsm)</v>
      </c>
      <c r="AG107" s="498">
        <f ca="1">ROUND(IF(DESONERACAO="sim",REFERENCIA.Desonerado,REFERENCIA.NaoDesonerado),2)</f>
        <v>0</v>
      </c>
      <c r="AH107" s="499">
        <f t="shared" ca="1" si="33"/>
        <v>0.2432</v>
      </c>
      <c r="AJ107" s="501"/>
      <c r="AL107" s="527"/>
      <c r="AM107" s="381">
        <f t="shared" ca="1" si="34"/>
        <v>0</v>
      </c>
      <c r="AN107" s="566">
        <f t="shared" ca="1" si="35"/>
        <v>0</v>
      </c>
    </row>
    <row r="108" spans="1:40" ht="38.25" x14ac:dyDescent="0.2">
      <c r="A108" t="str">
        <f t="shared" si="20"/>
        <v>S</v>
      </c>
      <c r="B108">
        <f t="shared" ca="1" si="21"/>
        <v>2</v>
      </c>
      <c r="C108" t="str">
        <f t="shared" ca="1" si="22"/>
        <v>S</v>
      </c>
      <c r="D108">
        <f t="shared" ca="1" si="23"/>
        <v>0</v>
      </c>
      <c r="E108">
        <f ca="1">IF($C108=1,OFFSET(E108,-1,0)+MAX(1,COUNTIF(QCI!$A$13:$A$24,OFFSET(ORÇAMENTO!E108,-1,0))),OFFSET(E108,-1,0))</f>
        <v>1</v>
      </c>
      <c r="F108">
        <f t="shared" ca="1" si="24"/>
        <v>16</v>
      </c>
      <c r="G108">
        <f t="shared" ca="1" si="25"/>
        <v>0</v>
      </c>
      <c r="H108">
        <f t="shared" ca="1" si="26"/>
        <v>0</v>
      </c>
      <c r="I108">
        <f t="shared" ca="1" si="27"/>
        <v>0</v>
      </c>
      <c r="J108">
        <f t="shared" ca="1" si="37"/>
        <v>0</v>
      </c>
      <c r="K108">
        <f ca="1">IF(OR($C108="S",$C108=0),0,MATCH(OFFSET($D108,0,$C108)+IF($C108&lt;&gt;1,1,COUNTIF(QCI!$A$13:$A$24,ORÇAMENTO!E108)),OFFSET($D108,1,$C108,ROW($C$727)-ROW($C108)),0))</f>
        <v>0</v>
      </c>
      <c r="L108" s="116" t="str">
        <f t="shared" ca="1" si="28"/>
        <v/>
      </c>
      <c r="M108" s="117" t="s">
        <v>199</v>
      </c>
      <c r="N108" s="118" t="str">
        <f t="shared" ca="1" si="29"/>
        <v>Serviço</v>
      </c>
      <c r="O108" s="119" t="str">
        <f t="shared" ca="1" si="30"/>
        <v>-</v>
      </c>
      <c r="P108" s="120" t="s">
        <v>247</v>
      </c>
      <c r="Q108" s="121" t="s">
        <v>516</v>
      </c>
      <c r="R108" s="122" t="str">
        <f ca="1">IF($C108="S",REFERENCIA.Descricao,"(digite a descrição aqui)")</f>
        <v>(abra o arquivo 'Referência 06-2024.xlsm)</v>
      </c>
      <c r="S108" s="123" t="str">
        <f ca="1">REFERENCIA.Unidade</f>
        <v>-</v>
      </c>
      <c r="T108" s="124">
        <f ca="1">OFFSET(CÁLCULO!H$15,ROW($T108)-ROW(T$15),0)</f>
        <v>14.71</v>
      </c>
      <c r="U108" s="125">
        <f t="shared" ca="1" si="36"/>
        <v>0</v>
      </c>
      <c r="V108" s="126" t="s">
        <v>156</v>
      </c>
      <c r="W108" s="124">
        <f ca="1">IF($C108="S",ROUND(IF(TIPOORCAMENTO="Proposto",ORÇAMENTO.CustoUnitario*(1+$AH108),ORÇAMENTO.PrecoUnitarioLicitado),15-13*$AF$10),0)</f>
        <v>0</v>
      </c>
      <c r="X108" s="127">
        <f ca="1">IF($C108="S",IF(Import.TipoArredondamento&lt;&gt;"TransfereGOV",VTOTAL1,SUM(OFFSET(CÁLCULO!$AI$15,ROW($X108)-ROW($X$15),1):OFFSET(CÁLCULO!$BB$15,ROW($X108)-ROW($X$15),-1))),IF($C108=0,0,ROUND(SomaAgrup,15-13*$AF$11)))</f>
        <v>0</v>
      </c>
      <c r="Y108" s="128" t="s">
        <v>245</v>
      </c>
      <c r="Z108" t="str">
        <f t="shared" ca="1" si="31"/>
        <v/>
      </c>
      <c r="AA108" s="129">
        <f ca="1">IF($C108="S",IF($Z108="CP",$X108,IF($Z108="RA",(($X108)*QCI!$AA$3),0)),SomaAgrup)</f>
        <v>0</v>
      </c>
      <c r="AB108" s="130">
        <f t="shared" ca="1" si="32"/>
        <v>0</v>
      </c>
      <c r="AC108" s="131" t="str">
        <f ca="1">IF($N108="","",IF(ORÇAMENTO.Descricao="","DESCRIÇÃO",IF(AND($C108="S",ORÇAMENTO.Unidade=""),"UNIDADE",IF($X108&lt;0,"VALOR NEGATIVO",IF(OR(AND(TIPOORCAMENTO="Proposto",$AG108&lt;&gt;"",$AG108&gt;0,ORÇAMENTO.CustoUnitario&gt;$AG108),AND(TIPOORCAMENTO="LICITADO",ORÇAMENTO.PrecoUnitarioLicitado&gt;$AN108)),"ACIMA REF.","")))))</f>
        <v/>
      </c>
      <c r="AD108" t="str">
        <f ca="1">IF(C108&lt;=CRONO.NivelExibicao,MAX($AD$15:OFFSET(AD108,-1,0))+IF($C108&lt;&gt;1,1,MAX(1,COUNTIF(QCI!$A$13:$A$24,OFFSET($E108,-1,0)))),"")</f>
        <v/>
      </c>
      <c r="AE108" s="7" t="str">
        <f ca="1">IF(AND($C108="S",ORÇAMENTO.CodBarra&lt;&gt;""),IF(ORÇAMENTO.Fonte="",ORÇAMENTO.CodBarra,CONCATENATE(ORÇAMENTO.Fonte," ",ORÇAMENTO.CodBarra)))</f>
        <v>SINAPI 101159</v>
      </c>
      <c r="AF108" s="13" t="str">
        <f ca="1">IF(ISERROR(INDIRECT(ORÇAMENTO.BancoRef)),"(abra o arquivo 'Referência "&amp;Excel_BuiltIn_Database&amp;".xlsm)",IF(OR($C108&lt;&gt;"S",ORÇAMENTO.CodBarra=""),"(Sem Código)",IF(ISERROR(MATCH($AE108,INDIRECT(ORÇAMENTO.BancoRef),0)),"(Código não identificado nas referências)",MATCH($AE108,INDIRECT(ORÇAMENTO.BancoRef),0))))</f>
        <v>(abra o arquivo 'Referência 06-2024.xlsm)</v>
      </c>
      <c r="AG108" s="498">
        <f ca="1">ROUND(IF(DESONERACAO="sim",REFERENCIA.Desonerado,REFERENCIA.NaoDesonerado),2)</f>
        <v>0</v>
      </c>
      <c r="AH108" s="499">
        <f t="shared" ca="1" si="33"/>
        <v>0.2432</v>
      </c>
      <c r="AJ108" s="501"/>
      <c r="AL108" s="527"/>
      <c r="AM108" s="381">
        <f t="shared" ca="1" si="34"/>
        <v>0</v>
      </c>
      <c r="AN108" s="566">
        <f t="shared" ca="1" si="35"/>
        <v>0</v>
      </c>
    </row>
    <row r="109" spans="1:40" ht="38.25" x14ac:dyDescent="0.2">
      <c r="A109" t="str">
        <f t="shared" si="20"/>
        <v>S</v>
      </c>
      <c r="B109">
        <f t="shared" ca="1" si="21"/>
        <v>2</v>
      </c>
      <c r="C109" t="str">
        <f t="shared" ca="1" si="22"/>
        <v>S</v>
      </c>
      <c r="D109">
        <f t="shared" ca="1" si="23"/>
        <v>0</v>
      </c>
      <c r="E109">
        <f ca="1">IF($C109=1,OFFSET(E109,-1,0)+MAX(1,COUNTIF(QCI!$A$13:$A$24,OFFSET(ORÇAMENTO!E109,-1,0))),OFFSET(E109,-1,0))</f>
        <v>1</v>
      </c>
      <c r="F109">
        <f t="shared" ca="1" si="24"/>
        <v>16</v>
      </c>
      <c r="G109">
        <f t="shared" ca="1" si="25"/>
        <v>0</v>
      </c>
      <c r="H109">
        <f t="shared" ca="1" si="26"/>
        <v>0</v>
      </c>
      <c r="I109">
        <f t="shared" ca="1" si="27"/>
        <v>0</v>
      </c>
      <c r="J109">
        <f t="shared" ca="1" si="37"/>
        <v>0</v>
      </c>
      <c r="K109">
        <f ca="1">IF(OR($C109="S",$C109=0),0,MATCH(OFFSET($D109,0,$C109)+IF($C109&lt;&gt;1,1,COUNTIF(QCI!$A$13:$A$24,ORÇAMENTO!E109)),OFFSET($D109,1,$C109,ROW($C$727)-ROW($C109)),0))</f>
        <v>0</v>
      </c>
      <c r="L109" s="116" t="str">
        <f t="shared" ca="1" si="28"/>
        <v/>
      </c>
      <c r="M109" s="117" t="s">
        <v>199</v>
      </c>
      <c r="N109" s="118" t="str">
        <f t="shared" ca="1" si="29"/>
        <v>Serviço</v>
      </c>
      <c r="O109" s="119" t="str">
        <f t="shared" ca="1" si="30"/>
        <v>-</v>
      </c>
      <c r="P109" s="120" t="s">
        <v>247</v>
      </c>
      <c r="Q109" s="121" t="s">
        <v>517</v>
      </c>
      <c r="R109" s="122" t="str">
        <f ca="1">IF($C109="S",REFERENCIA.Descricao,"(digite a descrição aqui)")</f>
        <v>(abra o arquivo 'Referência 06-2024.xlsm)</v>
      </c>
      <c r="S109" s="123" t="str">
        <f ca="1">REFERENCIA.Unidade</f>
        <v>-</v>
      </c>
      <c r="T109" s="124">
        <f ca="1">OFFSET(CÁLCULO!H$15,ROW($T109)-ROW(T$15),0)</f>
        <v>9.5299999999999994</v>
      </c>
      <c r="U109" s="125">
        <f t="shared" ca="1" si="36"/>
        <v>0</v>
      </c>
      <c r="V109" s="126" t="s">
        <v>156</v>
      </c>
      <c r="W109" s="124">
        <f ca="1">IF($C109="S",ROUND(IF(TIPOORCAMENTO="Proposto",ORÇAMENTO.CustoUnitario*(1+$AH109),ORÇAMENTO.PrecoUnitarioLicitado),15-13*$AF$10),0)</f>
        <v>0</v>
      </c>
      <c r="X109" s="127">
        <f ca="1">IF($C109="S",IF(Import.TipoArredondamento&lt;&gt;"TransfereGOV",VTOTAL1,SUM(OFFSET(CÁLCULO!$AI$15,ROW($X109)-ROW($X$15),1):OFFSET(CÁLCULO!$BB$15,ROW($X109)-ROW($X$15),-1))),IF($C109=0,0,ROUND(SomaAgrup,15-13*$AF$11)))</f>
        <v>0</v>
      </c>
      <c r="Y109" s="128" t="s">
        <v>245</v>
      </c>
      <c r="Z109" t="str">
        <f t="shared" ca="1" si="31"/>
        <v/>
      </c>
      <c r="AA109" s="129">
        <f ca="1">IF($C109="S",IF($Z109="CP",$X109,IF($Z109="RA",(($X109)*QCI!$AA$3),0)),SomaAgrup)</f>
        <v>0</v>
      </c>
      <c r="AB109" s="130">
        <f t="shared" ca="1" si="32"/>
        <v>0</v>
      </c>
      <c r="AC109" s="131" t="str">
        <f ca="1">IF($N109="","",IF(ORÇAMENTO.Descricao="","DESCRIÇÃO",IF(AND($C109="S",ORÇAMENTO.Unidade=""),"UNIDADE",IF($X109&lt;0,"VALOR NEGATIVO",IF(OR(AND(TIPOORCAMENTO="Proposto",$AG109&lt;&gt;"",$AG109&gt;0,ORÇAMENTO.CustoUnitario&gt;$AG109),AND(TIPOORCAMENTO="LICITADO",ORÇAMENTO.PrecoUnitarioLicitado&gt;$AN109)),"ACIMA REF.","")))))</f>
        <v/>
      </c>
      <c r="AD109" t="str">
        <f ca="1">IF(C109&lt;=CRONO.NivelExibicao,MAX($AD$15:OFFSET(AD109,-1,0))+IF($C109&lt;&gt;1,1,MAX(1,COUNTIF(QCI!$A$13:$A$24,OFFSET($E109,-1,0)))),"")</f>
        <v/>
      </c>
      <c r="AE109" s="7" t="str">
        <f ca="1">IF(AND($C109="S",ORÇAMENTO.CodBarra&lt;&gt;""),IF(ORÇAMENTO.Fonte="",ORÇAMENTO.CodBarra,CONCATENATE(ORÇAMENTO.Fonte," ",ORÇAMENTO.CodBarra)))</f>
        <v>SINAPI 103318</v>
      </c>
      <c r="AF109" s="13" t="str">
        <f ca="1">IF(ISERROR(INDIRECT(ORÇAMENTO.BancoRef)),"(abra o arquivo 'Referência "&amp;Excel_BuiltIn_Database&amp;".xlsm)",IF(OR($C109&lt;&gt;"S",ORÇAMENTO.CodBarra=""),"(Sem Código)",IF(ISERROR(MATCH($AE109,INDIRECT(ORÇAMENTO.BancoRef),0)),"(Código não identificado nas referências)",MATCH($AE109,INDIRECT(ORÇAMENTO.BancoRef),0))))</f>
        <v>(abra o arquivo 'Referência 06-2024.xlsm)</v>
      </c>
      <c r="AG109" s="498">
        <f ca="1">ROUND(IF(DESONERACAO="sim",REFERENCIA.Desonerado,REFERENCIA.NaoDesonerado),2)</f>
        <v>0</v>
      </c>
      <c r="AH109" s="499">
        <f t="shared" ca="1" si="33"/>
        <v>0.2432</v>
      </c>
      <c r="AJ109" s="501"/>
      <c r="AL109" s="527"/>
      <c r="AM109" s="381">
        <f t="shared" ca="1" si="34"/>
        <v>0</v>
      </c>
      <c r="AN109" s="566">
        <f t="shared" ca="1" si="35"/>
        <v>0</v>
      </c>
    </row>
    <row r="110" spans="1:40" x14ac:dyDescent="0.2">
      <c r="A110">
        <f t="shared" si="20"/>
        <v>2</v>
      </c>
      <c r="B110">
        <f t="shared" ca="1" si="21"/>
        <v>2</v>
      </c>
      <c r="C110">
        <f t="shared" ca="1" si="22"/>
        <v>2</v>
      </c>
      <c r="D110">
        <f t="shared" ca="1" si="23"/>
        <v>4</v>
      </c>
      <c r="E110">
        <f ca="1">IF($C110=1,OFFSET(E110,-1,0)+MAX(1,COUNTIF(QCI!$A$13:$A$24,OFFSET(ORÇAMENTO!E110,-1,0))),OFFSET(E110,-1,0))</f>
        <v>1</v>
      </c>
      <c r="F110">
        <f t="shared" ca="1" si="24"/>
        <v>17</v>
      </c>
      <c r="G110">
        <f t="shared" ca="1" si="25"/>
        <v>0</v>
      </c>
      <c r="H110">
        <f t="shared" ca="1" si="26"/>
        <v>0</v>
      </c>
      <c r="I110">
        <f t="shared" ca="1" si="27"/>
        <v>0</v>
      </c>
      <c r="J110">
        <f t="shared" ca="1" si="37"/>
        <v>617</v>
      </c>
      <c r="K110">
        <f ca="1">IF(OR($C110="S",$C110=0),0,MATCH(OFFSET($D110,0,$C110)+IF($C110&lt;&gt;1,1,COUNTIF(QCI!$A$13:$A$24,ORÇAMENTO!E110)),OFFSET($D110,1,$C110,ROW($C$727)-ROW($C110)),0))</f>
        <v>4</v>
      </c>
      <c r="L110" s="116" t="str">
        <f t="shared" ca="1" si="28"/>
        <v>F</v>
      </c>
      <c r="M110" s="117" t="s">
        <v>196</v>
      </c>
      <c r="N110" s="118" t="str">
        <f t="shared" ca="1" si="29"/>
        <v>Nível 2</v>
      </c>
      <c r="O110" s="119" t="str">
        <f t="shared" ca="1" si="30"/>
        <v>1.17.</v>
      </c>
      <c r="P110" s="120" t="s">
        <v>247</v>
      </c>
      <c r="Q110" s="121"/>
      <c r="R110" s="122" t="s">
        <v>1043</v>
      </c>
      <c r="S110" s="123" t="str">
        <f ca="1">REFERENCIA.Unidade</f>
        <v>-</v>
      </c>
      <c r="T110" s="124">
        <f ca="1">OFFSET(CÁLCULO!H$15,ROW($T110)-ROW(T$15),0)</f>
        <v>0</v>
      </c>
      <c r="U110" s="125">
        <f t="shared" ca="1" si="36"/>
        <v>0</v>
      </c>
      <c r="V110" s="126" t="s">
        <v>156</v>
      </c>
      <c r="W110" s="124">
        <f ca="1">IF($C110="S",ROUND(IF(TIPOORCAMENTO="Proposto",ORÇAMENTO.CustoUnitario*(1+$AH110),ORÇAMENTO.PrecoUnitarioLicitado),15-13*$AF$10),0)</f>
        <v>0</v>
      </c>
      <c r="X110" s="127">
        <f ca="1">IF($C110="S",IF(Import.TipoArredondamento&lt;&gt;"TransfereGOV",VTOTAL1,SUM(OFFSET(CÁLCULO!$AI$15,ROW($X110)-ROW($X$15),1):OFFSET(CÁLCULO!$BB$15,ROW($X110)-ROW($X$15),-1))),IF($C110=0,0,ROUND(SomaAgrup,15-13*$AF$11)))</f>
        <v>0</v>
      </c>
      <c r="Y110" s="128" t="s">
        <v>245</v>
      </c>
      <c r="Z110" t="str">
        <f t="shared" ca="1" si="31"/>
        <v/>
      </c>
      <c r="AA110" s="129">
        <f ca="1">IF($C110="S",IF($Z110="CP",$X110,IF($Z110="RA",(($X110)*QCI!$AA$3),0)),SomaAgrup)</f>
        <v>0</v>
      </c>
      <c r="AB110" s="130">
        <f t="shared" ca="1" si="32"/>
        <v>0</v>
      </c>
      <c r="AC110" s="131" t="str">
        <f ca="1">IF($N110="","",IF(ORÇAMENTO.Descricao="","DESCRIÇÃO",IF(AND($C110="S",ORÇAMENTO.Unidade=""),"UNIDADE",IF($X110&lt;0,"VALOR NEGATIVO",IF(OR(AND(TIPOORCAMENTO="Proposto",$AG110&lt;&gt;"",$AG110&gt;0,ORÇAMENTO.CustoUnitario&gt;$AG110),AND(TIPOORCAMENTO="LICITADO",ORÇAMENTO.PrecoUnitarioLicitado&gt;$AN110)),"ACIMA REF.","")))))</f>
        <v/>
      </c>
      <c r="AD110">
        <f ca="1">IF(C110&lt;=CRONO.NivelExibicao,MAX($AD$15:OFFSET(AD110,-1,0))+IF($C110&lt;&gt;1,1,MAX(1,COUNTIF(QCI!$A$13:$A$24,OFFSET($E110,-1,0)))),"")</f>
        <v>18</v>
      </c>
      <c r="AE110" s="7" t="b">
        <f ca="1">IF(AND($C110="S",ORÇAMENTO.CodBarra&lt;&gt;""),IF(ORÇAMENTO.Fonte="",ORÇAMENTO.CodBarra,CONCATENATE(ORÇAMENTO.Fonte," ",ORÇAMENTO.CodBarra)))</f>
        <v>0</v>
      </c>
      <c r="AF110" s="13" t="str">
        <f ca="1">IF(ISERROR(INDIRECT(ORÇAMENTO.BancoRef)),"(abra o arquivo 'Referência "&amp;Excel_BuiltIn_Database&amp;".xlsm)",IF(OR($C110&lt;&gt;"S",ORÇAMENTO.CodBarra=""),"(Sem Código)",IF(ISERROR(MATCH($AE110,INDIRECT(ORÇAMENTO.BancoRef),0)),"(Código não identificado nas referências)",MATCH($AE110,INDIRECT(ORÇAMENTO.BancoRef),0))))</f>
        <v>(abra o arquivo 'Referência 06-2024.xlsm)</v>
      </c>
      <c r="AG110" s="498">
        <f ca="1">ROUND(IF(DESONERACAO="sim",REFERENCIA.Desonerado,REFERENCIA.NaoDesonerado),2)</f>
        <v>0</v>
      </c>
      <c r="AH110" s="499">
        <f t="shared" ca="1" si="33"/>
        <v>0.2432</v>
      </c>
      <c r="AJ110" s="501"/>
      <c r="AL110" s="527"/>
      <c r="AM110" s="381">
        <f t="shared" ca="1" si="34"/>
        <v>0</v>
      </c>
      <c r="AN110" s="566">
        <f t="shared" ca="1" si="35"/>
        <v>0</v>
      </c>
    </row>
    <row r="111" spans="1:40" ht="38.25" x14ac:dyDescent="0.2">
      <c r="A111" t="str">
        <f t="shared" si="20"/>
        <v>S</v>
      </c>
      <c r="B111">
        <f t="shared" ca="1" si="21"/>
        <v>2</v>
      </c>
      <c r="C111" t="str">
        <f t="shared" ca="1" si="22"/>
        <v>S</v>
      </c>
      <c r="D111">
        <f t="shared" ca="1" si="23"/>
        <v>0</v>
      </c>
      <c r="E111">
        <f ca="1">IF($C111=1,OFFSET(E111,-1,0)+MAX(1,COUNTIF(QCI!$A$13:$A$24,OFFSET(ORÇAMENTO!E111,-1,0))),OFFSET(E111,-1,0))</f>
        <v>1</v>
      </c>
      <c r="F111">
        <f t="shared" ca="1" si="24"/>
        <v>17</v>
      </c>
      <c r="G111">
        <f t="shared" ca="1" si="25"/>
        <v>0</v>
      </c>
      <c r="H111">
        <f t="shared" ca="1" si="26"/>
        <v>0</v>
      </c>
      <c r="I111">
        <f t="shared" ca="1" si="27"/>
        <v>0</v>
      </c>
      <c r="J111">
        <f t="shared" ca="1" si="37"/>
        <v>0</v>
      </c>
      <c r="K111">
        <f ca="1">IF(OR($C111="S",$C111=0),0,MATCH(OFFSET($D111,0,$C111)+IF($C111&lt;&gt;1,1,COUNTIF(QCI!$A$13:$A$24,ORÇAMENTO!E111)),OFFSET($D111,1,$C111,ROW($C$727)-ROW($C111)),0))</f>
        <v>0</v>
      </c>
      <c r="L111" s="116" t="str">
        <f t="shared" ca="1" si="28"/>
        <v/>
      </c>
      <c r="M111" s="117" t="s">
        <v>199</v>
      </c>
      <c r="N111" s="118" t="str">
        <f t="shared" ca="1" si="29"/>
        <v>Serviço</v>
      </c>
      <c r="O111" s="119" t="str">
        <f t="shared" ca="1" si="30"/>
        <v>-</v>
      </c>
      <c r="P111" s="120" t="s">
        <v>247</v>
      </c>
      <c r="Q111" s="121" t="s">
        <v>518</v>
      </c>
      <c r="R111" s="122" t="str">
        <f ca="1">IF($C111="S",REFERENCIA.Descricao,"(digite a descrição aqui)")</f>
        <v>(abra o arquivo 'Referência 06-2024.xlsm)</v>
      </c>
      <c r="S111" s="123" t="str">
        <f ca="1">REFERENCIA.Unidade</f>
        <v>-</v>
      </c>
      <c r="T111" s="124">
        <f ca="1">OFFSET(CÁLCULO!H$15,ROW($T111)-ROW(T$15),0)</f>
        <v>14.36</v>
      </c>
      <c r="U111" s="125">
        <f t="shared" ca="1" si="36"/>
        <v>0</v>
      </c>
      <c r="V111" s="126" t="s">
        <v>156</v>
      </c>
      <c r="W111" s="124">
        <f ca="1">IF($C111="S",ROUND(IF(TIPOORCAMENTO="Proposto",ORÇAMENTO.CustoUnitario*(1+$AH111),ORÇAMENTO.PrecoUnitarioLicitado),15-13*$AF$10),0)</f>
        <v>0</v>
      </c>
      <c r="X111" s="127">
        <f ca="1">IF($C111="S",IF(Import.TipoArredondamento&lt;&gt;"TransfereGOV",VTOTAL1,SUM(OFFSET(CÁLCULO!$AI$15,ROW($X111)-ROW($X$15),1):OFFSET(CÁLCULO!$BB$15,ROW($X111)-ROW($X$15),-1))),IF($C111=0,0,ROUND(SomaAgrup,15-13*$AF$11)))</f>
        <v>0</v>
      </c>
      <c r="Y111" s="128" t="s">
        <v>245</v>
      </c>
      <c r="Z111" t="str">
        <f t="shared" ca="1" si="31"/>
        <v/>
      </c>
      <c r="AA111" s="129">
        <f ca="1">IF($C111="S",IF($Z111="CP",$X111,IF($Z111="RA",(($X111)*QCI!$AA$3),0)),SomaAgrup)</f>
        <v>0</v>
      </c>
      <c r="AB111" s="130">
        <f t="shared" ca="1" si="32"/>
        <v>0</v>
      </c>
      <c r="AC111" s="131" t="str">
        <f ca="1">IF($N111="","",IF(ORÇAMENTO.Descricao="","DESCRIÇÃO",IF(AND($C111="S",ORÇAMENTO.Unidade=""),"UNIDADE",IF($X111&lt;0,"VALOR NEGATIVO",IF(OR(AND(TIPOORCAMENTO="Proposto",$AG111&lt;&gt;"",$AG111&gt;0,ORÇAMENTO.CustoUnitario&gt;$AG111),AND(TIPOORCAMENTO="LICITADO",ORÇAMENTO.PrecoUnitarioLicitado&gt;$AN111)),"ACIMA REF.","")))))</f>
        <v/>
      </c>
      <c r="AD111" t="str">
        <f ca="1">IF(C111&lt;=CRONO.NivelExibicao,MAX($AD$15:OFFSET(AD111,-1,0))+IF($C111&lt;&gt;1,1,MAX(1,COUNTIF(QCI!$A$13:$A$24,OFFSET($E111,-1,0)))),"")</f>
        <v/>
      </c>
      <c r="AE111" s="7" t="str">
        <f ca="1">IF(AND($C111="S",ORÇAMENTO.CodBarra&lt;&gt;""),IF(ORÇAMENTO.Fonte="",ORÇAMENTO.CodBarra,CONCATENATE(ORÇAMENTO.Fonte," ",ORÇAMENTO.CodBarra)))</f>
        <v>SINAPI 102253</v>
      </c>
      <c r="AF111" s="13" t="str">
        <f ca="1">IF(ISERROR(INDIRECT(ORÇAMENTO.BancoRef)),"(abra o arquivo 'Referência "&amp;Excel_BuiltIn_Database&amp;".xlsm)",IF(OR($C111&lt;&gt;"S",ORÇAMENTO.CodBarra=""),"(Sem Código)",IF(ISERROR(MATCH($AE111,INDIRECT(ORÇAMENTO.BancoRef),0)),"(Código não identificado nas referências)",MATCH($AE111,INDIRECT(ORÇAMENTO.BancoRef),0))))</f>
        <v>(abra o arquivo 'Referência 06-2024.xlsm)</v>
      </c>
      <c r="AG111" s="498">
        <f ca="1">ROUND(IF(DESONERACAO="sim",REFERENCIA.Desonerado,REFERENCIA.NaoDesonerado),2)</f>
        <v>0</v>
      </c>
      <c r="AH111" s="499">
        <f t="shared" ca="1" si="33"/>
        <v>0.2432</v>
      </c>
      <c r="AJ111" s="501"/>
      <c r="AL111" s="527"/>
      <c r="AM111" s="381">
        <f t="shared" ca="1" si="34"/>
        <v>0</v>
      </c>
      <c r="AN111" s="566">
        <f t="shared" ca="1" si="35"/>
        <v>0</v>
      </c>
    </row>
    <row r="112" spans="1:40" ht="25.5" x14ac:dyDescent="0.2">
      <c r="A112" t="str">
        <f t="shared" si="20"/>
        <v>S</v>
      </c>
      <c r="B112">
        <f t="shared" ca="1" si="21"/>
        <v>2</v>
      </c>
      <c r="C112" t="str">
        <f t="shared" ca="1" si="22"/>
        <v>S</v>
      </c>
      <c r="D112">
        <f t="shared" ca="1" si="23"/>
        <v>0</v>
      </c>
      <c r="E112">
        <f ca="1">IF($C112=1,OFFSET(E112,-1,0)+MAX(1,COUNTIF(QCI!$A$13:$A$24,OFFSET(ORÇAMENTO!E112,-1,0))),OFFSET(E112,-1,0))</f>
        <v>1</v>
      </c>
      <c r="F112">
        <f t="shared" ca="1" si="24"/>
        <v>17</v>
      </c>
      <c r="G112">
        <f t="shared" ca="1" si="25"/>
        <v>0</v>
      </c>
      <c r="H112">
        <f t="shared" ca="1" si="26"/>
        <v>0</v>
      </c>
      <c r="I112">
        <f t="shared" ca="1" si="27"/>
        <v>0</v>
      </c>
      <c r="J112">
        <f t="shared" ca="1" si="37"/>
        <v>0</v>
      </c>
      <c r="K112">
        <f ca="1">IF(OR($C112="S",$C112=0),0,MATCH(OFFSET($D112,0,$C112)+IF($C112&lt;&gt;1,1,COUNTIF(QCI!$A$13:$A$24,ORÇAMENTO!E112)),OFFSET($D112,1,$C112,ROW($C$727)-ROW($C112)),0))</f>
        <v>0</v>
      </c>
      <c r="L112" s="116" t="str">
        <f t="shared" ca="1" si="28"/>
        <v/>
      </c>
      <c r="M112" s="117" t="s">
        <v>199</v>
      </c>
      <c r="N112" s="118" t="str">
        <f t="shared" ca="1" si="29"/>
        <v>Serviço</v>
      </c>
      <c r="O112" s="119" t="str">
        <f t="shared" ca="1" si="30"/>
        <v>-</v>
      </c>
      <c r="P112" s="120" t="s">
        <v>247</v>
      </c>
      <c r="Q112" s="121" t="s">
        <v>519</v>
      </c>
      <c r="R112" s="122" t="str">
        <f ca="1">IF($C112="S",REFERENCIA.Descricao,"(digite a descrição aqui)")</f>
        <v>(abra o arquivo 'Referência 06-2024.xlsm)</v>
      </c>
      <c r="S112" s="123" t="str">
        <f ca="1">REFERENCIA.Unidade</f>
        <v>-</v>
      </c>
      <c r="T112" s="124">
        <f ca="1">OFFSET(CÁLCULO!H$15,ROW($T112)-ROW(T$15),0)</f>
        <v>5.94</v>
      </c>
      <c r="U112" s="125">
        <f t="shared" ca="1" si="36"/>
        <v>0</v>
      </c>
      <c r="V112" s="126" t="s">
        <v>156</v>
      </c>
      <c r="W112" s="124">
        <f ca="1">IF($C112="S",ROUND(IF(TIPOORCAMENTO="Proposto",ORÇAMENTO.CustoUnitario*(1+$AH112),ORÇAMENTO.PrecoUnitarioLicitado),15-13*$AF$10),0)</f>
        <v>0</v>
      </c>
      <c r="X112" s="127">
        <f ca="1">IF($C112="S",IF(Import.TipoArredondamento&lt;&gt;"TransfereGOV",VTOTAL1,SUM(OFFSET(CÁLCULO!$AI$15,ROW($X112)-ROW($X$15),1):OFFSET(CÁLCULO!$BB$15,ROW($X112)-ROW($X$15),-1))),IF($C112=0,0,ROUND(SomaAgrup,15-13*$AF$11)))</f>
        <v>0</v>
      </c>
      <c r="Y112" s="128" t="s">
        <v>245</v>
      </c>
      <c r="Z112" t="str">
        <f t="shared" ca="1" si="31"/>
        <v/>
      </c>
      <c r="AA112" s="129">
        <f ca="1">IF($C112="S",IF($Z112="CP",$X112,IF($Z112="RA",(($X112)*QCI!$AA$3),0)),SomaAgrup)</f>
        <v>0</v>
      </c>
      <c r="AB112" s="130">
        <f t="shared" ca="1" si="32"/>
        <v>0</v>
      </c>
      <c r="AC112" s="131" t="str">
        <f ca="1">IF($N112="","",IF(ORÇAMENTO.Descricao="","DESCRIÇÃO",IF(AND($C112="S",ORÇAMENTO.Unidade=""),"UNIDADE",IF($X112&lt;0,"VALOR NEGATIVO",IF(OR(AND(TIPOORCAMENTO="Proposto",$AG112&lt;&gt;"",$AG112&gt;0,ORÇAMENTO.CustoUnitario&gt;$AG112),AND(TIPOORCAMENTO="LICITADO",ORÇAMENTO.PrecoUnitarioLicitado&gt;$AN112)),"ACIMA REF.","")))))</f>
        <v/>
      </c>
      <c r="AD112" t="str">
        <f ca="1">IF(C112&lt;=CRONO.NivelExibicao,MAX($AD$15:OFFSET(AD112,-1,0))+IF($C112&lt;&gt;1,1,MAX(1,COUNTIF(QCI!$A$13:$A$24,OFFSET($E112,-1,0)))),"")</f>
        <v/>
      </c>
      <c r="AE112" s="7" t="str">
        <f ca="1">IF(AND($C112="S",ORÇAMENTO.CodBarra&lt;&gt;""),IF(ORÇAMENTO.Fonte="",ORÇAMENTO.CodBarra,CONCATENATE(ORÇAMENTO.Fonte," ",ORÇAMENTO.CodBarra)))</f>
        <v>SINAPI 102181</v>
      </c>
      <c r="AF112" s="13" t="str">
        <f ca="1">IF(ISERROR(INDIRECT(ORÇAMENTO.BancoRef)),"(abra o arquivo 'Referência "&amp;Excel_BuiltIn_Database&amp;".xlsm)",IF(OR($C112&lt;&gt;"S",ORÇAMENTO.CodBarra=""),"(Sem Código)",IF(ISERROR(MATCH($AE112,INDIRECT(ORÇAMENTO.BancoRef),0)),"(Código não identificado nas referências)",MATCH($AE112,INDIRECT(ORÇAMENTO.BancoRef),0))))</f>
        <v>(abra o arquivo 'Referência 06-2024.xlsm)</v>
      </c>
      <c r="AG112" s="498">
        <f ca="1">ROUND(IF(DESONERACAO="sim",REFERENCIA.Desonerado,REFERENCIA.NaoDesonerado),2)</f>
        <v>0</v>
      </c>
      <c r="AH112" s="499">
        <f t="shared" ca="1" si="33"/>
        <v>0.2432</v>
      </c>
      <c r="AJ112" s="501"/>
      <c r="AL112" s="527"/>
      <c r="AM112" s="381">
        <f t="shared" ca="1" si="34"/>
        <v>0</v>
      </c>
      <c r="AN112" s="566">
        <f t="shared" ca="1" si="35"/>
        <v>0</v>
      </c>
    </row>
    <row r="113" spans="1:40" ht="25.5" x14ac:dyDescent="0.2">
      <c r="A113" t="str">
        <f t="shared" si="20"/>
        <v>S</v>
      </c>
      <c r="B113">
        <f t="shared" ca="1" si="21"/>
        <v>2</v>
      </c>
      <c r="C113" t="str">
        <f t="shared" ca="1" si="22"/>
        <v>S</v>
      </c>
      <c r="D113">
        <f t="shared" ca="1" si="23"/>
        <v>0</v>
      </c>
      <c r="E113">
        <f ca="1">IF($C113=1,OFFSET(E113,-1,0)+MAX(1,COUNTIF(QCI!$A$13:$A$24,OFFSET(ORÇAMENTO!E113,-1,0))),OFFSET(E113,-1,0))</f>
        <v>1</v>
      </c>
      <c r="F113">
        <f t="shared" ca="1" si="24"/>
        <v>17</v>
      </c>
      <c r="G113">
        <f t="shared" ca="1" si="25"/>
        <v>0</v>
      </c>
      <c r="H113">
        <f t="shared" ca="1" si="26"/>
        <v>0</v>
      </c>
      <c r="I113">
        <f t="shared" ca="1" si="27"/>
        <v>0</v>
      </c>
      <c r="J113">
        <f t="shared" ca="1" si="37"/>
        <v>0</v>
      </c>
      <c r="K113">
        <f ca="1">IF(OR($C113="S",$C113=0),0,MATCH(OFFSET($D113,0,$C113)+IF($C113&lt;&gt;1,1,COUNTIF(QCI!$A$13:$A$24,ORÇAMENTO!E113)),OFFSET($D113,1,$C113,ROW($C$727)-ROW($C113)),0))</f>
        <v>0</v>
      </c>
      <c r="L113" s="116" t="str">
        <f t="shared" ca="1" si="28"/>
        <v/>
      </c>
      <c r="M113" s="117" t="s">
        <v>199</v>
      </c>
      <c r="N113" s="118" t="str">
        <f t="shared" ca="1" si="29"/>
        <v>Serviço</v>
      </c>
      <c r="O113" s="119" t="str">
        <f t="shared" ca="1" si="30"/>
        <v>-</v>
      </c>
      <c r="P113" s="120" t="s">
        <v>247</v>
      </c>
      <c r="Q113" s="121" t="s">
        <v>520</v>
      </c>
      <c r="R113" s="122" t="str">
        <f ca="1">IF($C113="S",REFERENCIA.Descricao,"(digite a descrição aqui)")</f>
        <v>(abra o arquivo 'Referência 06-2024.xlsm)</v>
      </c>
      <c r="S113" s="123" t="str">
        <f ca="1">REFERENCIA.Unidade</f>
        <v>-</v>
      </c>
      <c r="T113" s="124">
        <f ca="1">OFFSET(CÁLCULO!H$15,ROW($T113)-ROW(T$15),0)</f>
        <v>5.38</v>
      </c>
      <c r="U113" s="125">
        <f t="shared" ca="1" si="36"/>
        <v>0</v>
      </c>
      <c r="V113" s="126" t="s">
        <v>156</v>
      </c>
      <c r="W113" s="124">
        <f ca="1">IF($C113="S",ROUND(IF(TIPOORCAMENTO="Proposto",ORÇAMENTO.CustoUnitario*(1+$AH113),ORÇAMENTO.PrecoUnitarioLicitado),15-13*$AF$10),0)</f>
        <v>0</v>
      </c>
      <c r="X113" s="127">
        <f ca="1">IF($C113="S",IF(Import.TipoArredondamento&lt;&gt;"TransfereGOV",VTOTAL1,SUM(OFFSET(CÁLCULO!$AI$15,ROW($X113)-ROW($X$15),1):OFFSET(CÁLCULO!$BB$15,ROW($X113)-ROW($X$15),-1))),IF($C113=0,0,ROUND(SomaAgrup,15-13*$AF$11)))</f>
        <v>0</v>
      </c>
      <c r="Y113" s="128" t="s">
        <v>245</v>
      </c>
      <c r="Z113" t="str">
        <f t="shared" ca="1" si="31"/>
        <v/>
      </c>
      <c r="AA113" s="129">
        <f ca="1">IF($C113="S",IF($Z113="CP",$X113,IF($Z113="RA",(($X113)*QCI!$AA$3),0)),SomaAgrup)</f>
        <v>0</v>
      </c>
      <c r="AB113" s="130">
        <f t="shared" ca="1" si="32"/>
        <v>0</v>
      </c>
      <c r="AC113" s="131" t="str">
        <f ca="1">IF($N113="","",IF(ORÇAMENTO.Descricao="","DESCRIÇÃO",IF(AND($C113="S",ORÇAMENTO.Unidade=""),"UNIDADE",IF($X113&lt;0,"VALOR NEGATIVO",IF(OR(AND(TIPOORCAMENTO="Proposto",$AG113&lt;&gt;"",$AG113&gt;0,ORÇAMENTO.CustoUnitario&gt;$AG113),AND(TIPOORCAMENTO="LICITADO",ORÇAMENTO.PrecoUnitarioLicitado&gt;$AN113)),"ACIMA REF.","")))))</f>
        <v/>
      </c>
      <c r="AD113" t="str">
        <f ca="1">IF(C113&lt;=CRONO.NivelExibicao,MAX($AD$15:OFFSET(AD113,-1,0))+IF($C113&lt;&gt;1,1,MAX(1,COUNTIF(QCI!$A$13:$A$24,OFFSET($E113,-1,0)))),"")</f>
        <v/>
      </c>
      <c r="AE113" s="7" t="str">
        <f ca="1">IF(AND($C113="S",ORÇAMENTO.CodBarra&lt;&gt;""),IF(ORÇAMENTO.Fonte="",ORÇAMENTO.CodBarra,CONCATENATE(ORÇAMENTO.Fonte," ",ORÇAMENTO.CodBarra)))</f>
        <v>SINAPI 102235</v>
      </c>
      <c r="AF113" s="13" t="str">
        <f ca="1">IF(ISERROR(INDIRECT(ORÇAMENTO.BancoRef)),"(abra o arquivo 'Referência "&amp;Excel_BuiltIn_Database&amp;".xlsm)",IF(OR($C113&lt;&gt;"S",ORÇAMENTO.CodBarra=""),"(Sem Código)",IF(ISERROR(MATCH($AE113,INDIRECT(ORÇAMENTO.BancoRef),0)),"(Código não identificado nas referências)",MATCH($AE113,INDIRECT(ORÇAMENTO.BancoRef),0))))</f>
        <v>(abra o arquivo 'Referência 06-2024.xlsm)</v>
      </c>
      <c r="AG113" s="498">
        <f ca="1">ROUND(IF(DESONERACAO="sim",REFERENCIA.Desonerado,REFERENCIA.NaoDesonerado),2)</f>
        <v>0</v>
      </c>
      <c r="AH113" s="499">
        <f t="shared" ca="1" si="33"/>
        <v>0.2432</v>
      </c>
      <c r="AJ113" s="501"/>
      <c r="AL113" s="527"/>
      <c r="AM113" s="381">
        <f t="shared" ca="1" si="34"/>
        <v>0</v>
      </c>
      <c r="AN113" s="566">
        <f t="shared" ca="1" si="35"/>
        <v>0</v>
      </c>
    </row>
    <row r="114" spans="1:40" x14ac:dyDescent="0.2">
      <c r="A114">
        <f t="shared" si="20"/>
        <v>2</v>
      </c>
      <c r="B114">
        <f t="shared" ca="1" si="21"/>
        <v>2</v>
      </c>
      <c r="C114">
        <f t="shared" ca="1" si="22"/>
        <v>2</v>
      </c>
      <c r="D114">
        <f t="shared" ca="1" si="23"/>
        <v>7</v>
      </c>
      <c r="E114">
        <f ca="1">IF($C114=1,OFFSET(E114,-1,0)+MAX(1,COUNTIF(QCI!$A$13:$A$24,OFFSET(ORÇAMENTO!E114,-1,0))),OFFSET(E114,-1,0))</f>
        <v>1</v>
      </c>
      <c r="F114">
        <f t="shared" ca="1" si="24"/>
        <v>18</v>
      </c>
      <c r="G114">
        <f t="shared" ca="1" si="25"/>
        <v>0</v>
      </c>
      <c r="H114">
        <f t="shared" ca="1" si="26"/>
        <v>0</v>
      </c>
      <c r="I114">
        <f t="shared" ca="1" si="27"/>
        <v>0</v>
      </c>
      <c r="J114">
        <f t="shared" ca="1" si="37"/>
        <v>613</v>
      </c>
      <c r="K114">
        <f ca="1">IF(OR($C114="S",$C114=0),0,MATCH(OFFSET($D114,0,$C114)+IF($C114&lt;&gt;1,1,COUNTIF(QCI!$A$13:$A$24,ORÇAMENTO!E114)),OFFSET($D114,1,$C114,ROW($C$727)-ROW($C114)),0))</f>
        <v>7</v>
      </c>
      <c r="L114" s="116" t="str">
        <f t="shared" ca="1" si="28"/>
        <v>F</v>
      </c>
      <c r="M114" s="117" t="s">
        <v>196</v>
      </c>
      <c r="N114" s="118" t="str">
        <f t="shared" ca="1" si="29"/>
        <v>Nível 2</v>
      </c>
      <c r="O114" s="119" t="str">
        <f t="shared" ca="1" si="30"/>
        <v>1.18.</v>
      </c>
      <c r="P114" s="120" t="s">
        <v>247</v>
      </c>
      <c r="Q114" s="121"/>
      <c r="R114" s="122" t="s">
        <v>1045</v>
      </c>
      <c r="S114" s="123" t="str">
        <f ca="1">REFERENCIA.Unidade</f>
        <v>-</v>
      </c>
      <c r="T114" s="124">
        <f ca="1">OFFSET(CÁLCULO!H$15,ROW($T114)-ROW(T$15),0)</f>
        <v>0</v>
      </c>
      <c r="U114" s="125">
        <f t="shared" ca="1" si="36"/>
        <v>0</v>
      </c>
      <c r="V114" s="126" t="s">
        <v>156</v>
      </c>
      <c r="W114" s="124">
        <f ca="1">IF($C114="S",ROUND(IF(TIPOORCAMENTO="Proposto",ORÇAMENTO.CustoUnitario*(1+$AH114),ORÇAMENTO.PrecoUnitarioLicitado),15-13*$AF$10),0)</f>
        <v>0</v>
      </c>
      <c r="X114" s="127">
        <f ca="1">IF($C114="S",IF(Import.TipoArredondamento&lt;&gt;"TransfereGOV",VTOTAL1,SUM(OFFSET(CÁLCULO!$AI$15,ROW($X114)-ROW($X$15),1):OFFSET(CÁLCULO!$BB$15,ROW($X114)-ROW($X$15),-1))),IF($C114=0,0,ROUND(SomaAgrup,15-13*$AF$11)))</f>
        <v>0</v>
      </c>
      <c r="Y114" s="128" t="s">
        <v>245</v>
      </c>
      <c r="Z114" t="str">
        <f t="shared" ca="1" si="31"/>
        <v/>
      </c>
      <c r="AA114" s="129">
        <f ca="1">IF($C114="S",IF($Z114="CP",$X114,IF($Z114="RA",(($X114)*QCI!$AA$3),0)),SomaAgrup)</f>
        <v>0</v>
      </c>
      <c r="AB114" s="130">
        <f t="shared" ca="1" si="32"/>
        <v>0</v>
      </c>
      <c r="AC114" s="131" t="str">
        <f ca="1">IF($N114="","",IF(ORÇAMENTO.Descricao="","DESCRIÇÃO",IF(AND($C114="S",ORÇAMENTO.Unidade=""),"UNIDADE",IF($X114&lt;0,"VALOR NEGATIVO",IF(OR(AND(TIPOORCAMENTO="Proposto",$AG114&lt;&gt;"",$AG114&gt;0,ORÇAMENTO.CustoUnitario&gt;$AG114),AND(TIPOORCAMENTO="LICITADO",ORÇAMENTO.PrecoUnitarioLicitado&gt;$AN114)),"ACIMA REF.","")))))</f>
        <v/>
      </c>
      <c r="AD114">
        <f ca="1">IF(C114&lt;=CRONO.NivelExibicao,MAX($AD$15:OFFSET(AD114,-1,0))+IF($C114&lt;&gt;1,1,MAX(1,COUNTIF(QCI!$A$13:$A$24,OFFSET($E114,-1,0)))),"")</f>
        <v>19</v>
      </c>
      <c r="AE114" s="7" t="b">
        <f ca="1">IF(AND($C114="S",ORÇAMENTO.CodBarra&lt;&gt;""),IF(ORÇAMENTO.Fonte="",ORÇAMENTO.CodBarra,CONCATENATE(ORÇAMENTO.Fonte," ",ORÇAMENTO.CodBarra)))</f>
        <v>0</v>
      </c>
      <c r="AF114" s="13" t="str">
        <f ca="1">IF(ISERROR(INDIRECT(ORÇAMENTO.BancoRef)),"(abra o arquivo 'Referência "&amp;Excel_BuiltIn_Database&amp;".xlsm)",IF(OR($C114&lt;&gt;"S",ORÇAMENTO.CodBarra=""),"(Sem Código)",IF(ISERROR(MATCH($AE114,INDIRECT(ORÇAMENTO.BancoRef),0)),"(Código não identificado nas referências)",MATCH($AE114,INDIRECT(ORÇAMENTO.BancoRef),0))))</f>
        <v>(abra o arquivo 'Referência 06-2024.xlsm)</v>
      </c>
      <c r="AG114" s="498">
        <f ca="1">ROUND(IF(DESONERACAO="sim",REFERENCIA.Desonerado,REFERENCIA.NaoDesonerado),2)</f>
        <v>0</v>
      </c>
      <c r="AH114" s="499">
        <f t="shared" ca="1" si="33"/>
        <v>0.2432</v>
      </c>
      <c r="AJ114" s="501"/>
      <c r="AL114" s="527"/>
      <c r="AM114" s="381">
        <f t="shared" ca="1" si="34"/>
        <v>0</v>
      </c>
      <c r="AN114" s="566">
        <f t="shared" ca="1" si="35"/>
        <v>0</v>
      </c>
    </row>
    <row r="115" spans="1:40" ht="63.75" x14ac:dyDescent="0.2">
      <c r="A115" t="str">
        <f t="shared" si="20"/>
        <v>S</v>
      </c>
      <c r="B115">
        <f t="shared" ca="1" si="21"/>
        <v>2</v>
      </c>
      <c r="C115" t="str">
        <f t="shared" ca="1" si="22"/>
        <v>S</v>
      </c>
      <c r="D115">
        <f t="shared" ca="1" si="23"/>
        <v>0</v>
      </c>
      <c r="E115">
        <f ca="1">IF($C115=1,OFFSET(E115,-1,0)+MAX(1,COUNTIF(QCI!$A$13:$A$24,OFFSET(ORÇAMENTO!E115,-1,0))),OFFSET(E115,-1,0))</f>
        <v>1</v>
      </c>
      <c r="F115">
        <f t="shared" ca="1" si="24"/>
        <v>18</v>
      </c>
      <c r="G115">
        <f t="shared" ca="1" si="25"/>
        <v>0</v>
      </c>
      <c r="H115">
        <f t="shared" ca="1" si="26"/>
        <v>0</v>
      </c>
      <c r="I115">
        <f t="shared" ca="1" si="27"/>
        <v>0</v>
      </c>
      <c r="J115">
        <f t="shared" ca="1" si="37"/>
        <v>0</v>
      </c>
      <c r="K115">
        <f ca="1">IF(OR($C115="S",$C115=0),0,MATCH(OFFSET($D115,0,$C115)+IF($C115&lt;&gt;1,1,COUNTIF(QCI!$A$13:$A$24,ORÇAMENTO!E115)),OFFSET($D115,1,$C115,ROW($C$727)-ROW($C115)),0))</f>
        <v>0</v>
      </c>
      <c r="L115" s="116" t="str">
        <f t="shared" ca="1" si="28"/>
        <v/>
      </c>
      <c r="M115" s="117" t="s">
        <v>199</v>
      </c>
      <c r="N115" s="118" t="str">
        <f t="shared" ca="1" si="29"/>
        <v>Serviço</v>
      </c>
      <c r="O115" s="119" t="str">
        <f t="shared" ca="1" si="30"/>
        <v>-</v>
      </c>
      <c r="P115" s="120" t="s">
        <v>458</v>
      </c>
      <c r="Q115" s="121" t="s">
        <v>521</v>
      </c>
      <c r="R115" s="122" t="str">
        <f ca="1">IF($C115="S",REFERENCIA.Descricao,"(digite a descrição aqui)")</f>
        <v>(abra o arquivo 'Referência 06-2024.xlsm)</v>
      </c>
      <c r="S115" s="123" t="str">
        <f ca="1">REFERENCIA.Unidade</f>
        <v>-</v>
      </c>
      <c r="T115" s="124">
        <f ca="1">OFFSET(CÁLCULO!H$15,ROW($T115)-ROW(T$15),0)</f>
        <v>17</v>
      </c>
      <c r="U115" s="125">
        <f t="shared" ca="1" si="36"/>
        <v>0</v>
      </c>
      <c r="V115" s="126" t="s">
        <v>156</v>
      </c>
      <c r="W115" s="124">
        <f ca="1">IF($C115="S",ROUND(IF(TIPOORCAMENTO="Proposto",ORÇAMENTO.CustoUnitario*(1+$AH115),ORÇAMENTO.PrecoUnitarioLicitado),15-13*$AF$10),0)</f>
        <v>0</v>
      </c>
      <c r="X115" s="127">
        <f ca="1">IF($C115="S",IF(Import.TipoArredondamento&lt;&gt;"TransfereGOV",VTOTAL1,SUM(OFFSET(CÁLCULO!$AI$15,ROW($X115)-ROW($X$15),1):OFFSET(CÁLCULO!$BB$15,ROW($X115)-ROW($X$15),-1))),IF($C115=0,0,ROUND(SomaAgrup,15-13*$AF$11)))</f>
        <v>0</v>
      </c>
      <c r="Y115" s="128" t="s">
        <v>245</v>
      </c>
      <c r="Z115" t="str">
        <f t="shared" ca="1" si="31"/>
        <v/>
      </c>
      <c r="AA115" s="129">
        <f ca="1">IF($C115="S",IF($Z115="CP",$X115,IF($Z115="RA",(($X115)*QCI!$AA$3),0)),SomaAgrup)</f>
        <v>0</v>
      </c>
      <c r="AB115" s="130">
        <f t="shared" ca="1" si="32"/>
        <v>0</v>
      </c>
      <c r="AC115" s="131" t="str">
        <f ca="1">IF($N115="","",IF(ORÇAMENTO.Descricao="","DESCRIÇÃO",IF(AND($C115="S",ORÇAMENTO.Unidade=""),"UNIDADE",IF($X115&lt;0,"VALOR NEGATIVO",IF(OR(AND(TIPOORCAMENTO="Proposto",$AG115&lt;&gt;"",$AG115&gt;0,ORÇAMENTO.CustoUnitario&gt;$AG115),AND(TIPOORCAMENTO="LICITADO",ORÇAMENTO.PrecoUnitarioLicitado&gt;$AN115)),"ACIMA REF.","")))))</f>
        <v/>
      </c>
      <c r="AD115" t="str">
        <f ca="1">IF(C115&lt;=CRONO.NivelExibicao,MAX($AD$15:OFFSET(AD115,-1,0))+IF($C115&lt;&gt;1,1,MAX(1,COUNTIF(QCI!$A$13:$A$24,OFFSET($E115,-1,0)))),"")</f>
        <v/>
      </c>
      <c r="AE115" s="7" t="str">
        <f ca="1">IF(AND($C115="S",ORÇAMENTO.CodBarra&lt;&gt;""),IF(ORÇAMENTO.Fonte="",ORÇAMENTO.CodBarra,CONCATENATE(ORÇAMENTO.Fonte," ",ORÇAMENTO.CodBarra)))</f>
        <v>COMPOSIÇÃO FNDE 243</v>
      </c>
      <c r="AF115" s="13" t="str">
        <f ca="1">IF(ISERROR(INDIRECT(ORÇAMENTO.BancoRef)),"(abra o arquivo 'Referência "&amp;Excel_BuiltIn_Database&amp;".xlsm)",IF(OR($C115&lt;&gt;"S",ORÇAMENTO.CodBarra=""),"(Sem Código)",IF(ISERROR(MATCH($AE115,INDIRECT(ORÇAMENTO.BancoRef),0)),"(Código não identificado nas referências)",MATCH($AE115,INDIRECT(ORÇAMENTO.BancoRef),0))))</f>
        <v>(abra o arquivo 'Referência 06-2024.xlsm)</v>
      </c>
      <c r="AG115" s="498">
        <f ca="1">ROUND(IF(DESONERACAO="sim",REFERENCIA.Desonerado,REFERENCIA.NaoDesonerado),2)</f>
        <v>0</v>
      </c>
      <c r="AH115" s="499">
        <f t="shared" ca="1" si="33"/>
        <v>0.2432</v>
      </c>
      <c r="AJ115" s="501"/>
      <c r="AL115" s="527"/>
      <c r="AM115" s="381">
        <f t="shared" ca="1" si="34"/>
        <v>0</v>
      </c>
      <c r="AN115" s="566">
        <f t="shared" ca="1" si="35"/>
        <v>0</v>
      </c>
    </row>
    <row r="116" spans="1:40" ht="51" x14ac:dyDescent="0.2">
      <c r="A116" t="str">
        <f t="shared" si="20"/>
        <v>S</v>
      </c>
      <c r="B116">
        <f t="shared" ca="1" si="21"/>
        <v>2</v>
      </c>
      <c r="C116" t="str">
        <f t="shared" ca="1" si="22"/>
        <v>S</v>
      </c>
      <c r="D116">
        <f t="shared" ca="1" si="23"/>
        <v>0</v>
      </c>
      <c r="E116">
        <f ca="1">IF($C116=1,OFFSET(E116,-1,0)+MAX(1,COUNTIF(QCI!$A$13:$A$24,OFFSET(ORÇAMENTO!E116,-1,0))),OFFSET(E116,-1,0))</f>
        <v>1</v>
      </c>
      <c r="F116">
        <f t="shared" ca="1" si="24"/>
        <v>18</v>
      </c>
      <c r="G116">
        <f t="shared" ca="1" si="25"/>
        <v>0</v>
      </c>
      <c r="H116">
        <f t="shared" ca="1" si="26"/>
        <v>0</v>
      </c>
      <c r="I116">
        <f t="shared" ca="1" si="27"/>
        <v>0</v>
      </c>
      <c r="J116">
        <f t="shared" ca="1" si="37"/>
        <v>0</v>
      </c>
      <c r="K116">
        <f ca="1">IF(OR($C116="S",$C116=0),0,MATCH(OFFSET($D116,0,$C116)+IF($C116&lt;&gt;1,1,COUNTIF(QCI!$A$13:$A$24,ORÇAMENTO!E116)),OFFSET($D116,1,$C116,ROW($C$727)-ROW($C116)),0))</f>
        <v>0</v>
      </c>
      <c r="L116" s="116" t="str">
        <f t="shared" ca="1" si="28"/>
        <v/>
      </c>
      <c r="M116" s="117" t="s">
        <v>199</v>
      </c>
      <c r="N116" s="118" t="str">
        <f t="shared" ca="1" si="29"/>
        <v>Serviço</v>
      </c>
      <c r="O116" s="119" t="str">
        <f t="shared" ca="1" si="30"/>
        <v>-</v>
      </c>
      <c r="P116" s="120" t="s">
        <v>458</v>
      </c>
      <c r="Q116" s="121" t="s">
        <v>522</v>
      </c>
      <c r="R116" s="122" t="str">
        <f ca="1">IF($C116="S",REFERENCIA.Descricao,"(digite a descrição aqui)")</f>
        <v>(abra o arquivo 'Referência 06-2024.xlsm)</v>
      </c>
      <c r="S116" s="123" t="str">
        <f ca="1">REFERENCIA.Unidade</f>
        <v>-</v>
      </c>
      <c r="T116" s="124">
        <f ca="1">OFFSET(CÁLCULO!H$15,ROW($T116)-ROW(T$15),0)</f>
        <v>2</v>
      </c>
      <c r="U116" s="125">
        <f t="shared" ca="1" si="36"/>
        <v>0</v>
      </c>
      <c r="V116" s="126" t="s">
        <v>156</v>
      </c>
      <c r="W116" s="124">
        <f ca="1">IF($C116="S",ROUND(IF(TIPOORCAMENTO="Proposto",ORÇAMENTO.CustoUnitario*(1+$AH116),ORÇAMENTO.PrecoUnitarioLicitado),15-13*$AF$10),0)</f>
        <v>0</v>
      </c>
      <c r="X116" s="127">
        <f ca="1">IF($C116="S",IF(Import.TipoArredondamento&lt;&gt;"TransfereGOV",VTOTAL1,SUM(OFFSET(CÁLCULO!$AI$15,ROW($X116)-ROW($X$15),1):OFFSET(CÁLCULO!$BB$15,ROW($X116)-ROW($X$15),-1))),IF($C116=0,0,ROUND(SomaAgrup,15-13*$AF$11)))</f>
        <v>0</v>
      </c>
      <c r="Y116" s="128" t="s">
        <v>245</v>
      </c>
      <c r="Z116" t="str">
        <f t="shared" ca="1" si="31"/>
        <v/>
      </c>
      <c r="AA116" s="129">
        <f ca="1">IF($C116="S",IF($Z116="CP",$X116,IF($Z116="RA",(($X116)*QCI!$AA$3),0)),SomaAgrup)</f>
        <v>0</v>
      </c>
      <c r="AB116" s="130">
        <f t="shared" ca="1" si="32"/>
        <v>0</v>
      </c>
      <c r="AC116" s="131" t="str">
        <f ca="1">IF($N116="","",IF(ORÇAMENTO.Descricao="","DESCRIÇÃO",IF(AND($C116="S",ORÇAMENTO.Unidade=""),"UNIDADE",IF($X116&lt;0,"VALOR NEGATIVO",IF(OR(AND(TIPOORCAMENTO="Proposto",$AG116&lt;&gt;"",$AG116&gt;0,ORÇAMENTO.CustoUnitario&gt;$AG116),AND(TIPOORCAMENTO="LICITADO",ORÇAMENTO.PrecoUnitarioLicitado&gt;$AN116)),"ACIMA REF.","")))))</f>
        <v/>
      </c>
      <c r="AD116" t="str">
        <f ca="1">IF(C116&lt;=CRONO.NivelExibicao,MAX($AD$15:OFFSET(AD116,-1,0))+IF($C116&lt;&gt;1,1,MAX(1,COUNTIF(QCI!$A$13:$A$24,OFFSET($E116,-1,0)))),"")</f>
        <v/>
      </c>
      <c r="AE116" s="7" t="str">
        <f ca="1">IF(AND($C116="S",ORÇAMENTO.CodBarra&lt;&gt;""),IF(ORÇAMENTO.Fonte="",ORÇAMENTO.CodBarra,CONCATENATE(ORÇAMENTO.Fonte," ",ORÇAMENTO.CodBarra)))</f>
        <v>COMPOSIÇÃO FNDE 247</v>
      </c>
      <c r="AF116" s="13" t="str">
        <f ca="1">IF(ISERROR(INDIRECT(ORÇAMENTO.BancoRef)),"(abra o arquivo 'Referência "&amp;Excel_BuiltIn_Database&amp;".xlsm)",IF(OR($C116&lt;&gt;"S",ORÇAMENTO.CodBarra=""),"(Sem Código)",IF(ISERROR(MATCH($AE116,INDIRECT(ORÇAMENTO.BancoRef),0)),"(Código não identificado nas referências)",MATCH($AE116,INDIRECT(ORÇAMENTO.BancoRef),0))))</f>
        <v>(abra o arquivo 'Referência 06-2024.xlsm)</v>
      </c>
      <c r="AG116" s="498">
        <f ca="1">ROUND(IF(DESONERACAO="sim",REFERENCIA.Desonerado,REFERENCIA.NaoDesonerado),2)</f>
        <v>0</v>
      </c>
      <c r="AH116" s="499">
        <f t="shared" ca="1" si="33"/>
        <v>0.2432</v>
      </c>
      <c r="AJ116" s="501"/>
      <c r="AL116" s="527"/>
      <c r="AM116" s="381">
        <f t="shared" ca="1" si="34"/>
        <v>0</v>
      </c>
      <c r="AN116" s="566">
        <f t="shared" ca="1" si="35"/>
        <v>0</v>
      </c>
    </row>
    <row r="117" spans="1:40" ht="63.75" x14ac:dyDescent="0.2">
      <c r="A117" t="str">
        <f t="shared" si="20"/>
        <v>S</v>
      </c>
      <c r="B117">
        <f t="shared" ca="1" si="21"/>
        <v>2</v>
      </c>
      <c r="C117" t="str">
        <f t="shared" ca="1" si="22"/>
        <v>S</v>
      </c>
      <c r="D117">
        <f t="shared" ca="1" si="23"/>
        <v>0</v>
      </c>
      <c r="E117">
        <f ca="1">IF($C117=1,OFFSET(E117,-1,0)+MAX(1,COUNTIF(QCI!$A$13:$A$24,OFFSET(ORÇAMENTO!E117,-1,0))),OFFSET(E117,-1,0))</f>
        <v>1</v>
      </c>
      <c r="F117">
        <f t="shared" ca="1" si="24"/>
        <v>18</v>
      </c>
      <c r="G117">
        <f t="shared" ca="1" si="25"/>
        <v>0</v>
      </c>
      <c r="H117">
        <f t="shared" ca="1" si="26"/>
        <v>0</v>
      </c>
      <c r="I117">
        <f t="shared" ca="1" si="27"/>
        <v>0</v>
      </c>
      <c r="J117">
        <f t="shared" ca="1" si="37"/>
        <v>0</v>
      </c>
      <c r="K117">
        <f ca="1">IF(OR($C117="S",$C117=0),0,MATCH(OFFSET($D117,0,$C117)+IF($C117&lt;&gt;1,1,COUNTIF(QCI!$A$13:$A$24,ORÇAMENTO!E117)),OFFSET($D117,1,$C117,ROW($C$727)-ROW($C117)),0))</f>
        <v>0</v>
      </c>
      <c r="L117" s="116" t="str">
        <f t="shared" ca="1" si="28"/>
        <v/>
      </c>
      <c r="M117" s="117" t="s">
        <v>199</v>
      </c>
      <c r="N117" s="118" t="str">
        <f t="shared" ca="1" si="29"/>
        <v>Serviço</v>
      </c>
      <c r="O117" s="119" t="str">
        <f t="shared" ca="1" si="30"/>
        <v>-</v>
      </c>
      <c r="P117" s="120" t="s">
        <v>458</v>
      </c>
      <c r="Q117" s="121" t="s">
        <v>523</v>
      </c>
      <c r="R117" s="122" t="str">
        <f ca="1">IF($C117="S",REFERENCIA.Descricao,"(digite a descrição aqui)")</f>
        <v>(abra o arquivo 'Referência 06-2024.xlsm)</v>
      </c>
      <c r="S117" s="123" t="str">
        <f ca="1">REFERENCIA.Unidade</f>
        <v>-</v>
      </c>
      <c r="T117" s="124">
        <f ca="1">OFFSET(CÁLCULO!H$15,ROW($T117)-ROW(T$15),0)</f>
        <v>4</v>
      </c>
      <c r="U117" s="125">
        <f t="shared" ca="1" si="36"/>
        <v>0</v>
      </c>
      <c r="V117" s="126" t="s">
        <v>156</v>
      </c>
      <c r="W117" s="124">
        <f ca="1">IF($C117="S",ROUND(IF(TIPOORCAMENTO="Proposto",ORÇAMENTO.CustoUnitario*(1+$AH117),ORÇAMENTO.PrecoUnitarioLicitado),15-13*$AF$10),0)</f>
        <v>0</v>
      </c>
      <c r="X117" s="127">
        <f ca="1">IF($C117="S",IF(Import.TipoArredondamento&lt;&gt;"TransfereGOV",VTOTAL1,SUM(OFFSET(CÁLCULO!$AI$15,ROW($X117)-ROW($X$15),1):OFFSET(CÁLCULO!$BB$15,ROW($X117)-ROW($X$15),-1))),IF($C117=0,0,ROUND(SomaAgrup,15-13*$AF$11)))</f>
        <v>0</v>
      </c>
      <c r="Y117" s="128" t="s">
        <v>245</v>
      </c>
      <c r="Z117" t="str">
        <f t="shared" ca="1" si="31"/>
        <v/>
      </c>
      <c r="AA117" s="129">
        <f ca="1">IF($C117="S",IF($Z117="CP",$X117,IF($Z117="RA",(($X117)*QCI!$AA$3),0)),SomaAgrup)</f>
        <v>0</v>
      </c>
      <c r="AB117" s="130">
        <f t="shared" ca="1" si="32"/>
        <v>0</v>
      </c>
      <c r="AC117" s="131" t="str">
        <f ca="1">IF($N117="","",IF(ORÇAMENTO.Descricao="","DESCRIÇÃO",IF(AND($C117="S",ORÇAMENTO.Unidade=""),"UNIDADE",IF($X117&lt;0,"VALOR NEGATIVO",IF(OR(AND(TIPOORCAMENTO="Proposto",$AG117&lt;&gt;"",$AG117&gt;0,ORÇAMENTO.CustoUnitario&gt;$AG117),AND(TIPOORCAMENTO="LICITADO",ORÇAMENTO.PrecoUnitarioLicitado&gt;$AN117)),"ACIMA REF.","")))))</f>
        <v/>
      </c>
      <c r="AD117" t="str">
        <f ca="1">IF(C117&lt;=CRONO.NivelExibicao,MAX($AD$15:OFFSET(AD117,-1,0))+IF($C117&lt;&gt;1,1,MAX(1,COUNTIF(QCI!$A$13:$A$24,OFFSET($E117,-1,0)))),"")</f>
        <v/>
      </c>
      <c r="AE117" s="7" t="str">
        <f ca="1">IF(AND($C117="S",ORÇAMENTO.CodBarra&lt;&gt;""),IF(ORÇAMENTO.Fonte="",ORÇAMENTO.CodBarra,CONCATENATE(ORÇAMENTO.Fonte," ",ORÇAMENTO.CodBarra)))</f>
        <v>COMPOSIÇÃO FNDE 246</v>
      </c>
      <c r="AF117" s="13" t="str">
        <f ca="1">IF(ISERROR(INDIRECT(ORÇAMENTO.BancoRef)),"(abra o arquivo 'Referência "&amp;Excel_BuiltIn_Database&amp;".xlsm)",IF(OR($C117&lt;&gt;"S",ORÇAMENTO.CodBarra=""),"(Sem Código)",IF(ISERROR(MATCH($AE117,INDIRECT(ORÇAMENTO.BancoRef),0)),"(Código não identificado nas referências)",MATCH($AE117,INDIRECT(ORÇAMENTO.BancoRef),0))))</f>
        <v>(abra o arquivo 'Referência 06-2024.xlsm)</v>
      </c>
      <c r="AG117" s="498">
        <f ca="1">ROUND(IF(DESONERACAO="sim",REFERENCIA.Desonerado,REFERENCIA.NaoDesonerado),2)</f>
        <v>0</v>
      </c>
      <c r="AH117" s="499">
        <f t="shared" ca="1" si="33"/>
        <v>0.2432</v>
      </c>
      <c r="AJ117" s="501"/>
      <c r="AL117" s="527"/>
      <c r="AM117" s="381">
        <f t="shared" ca="1" si="34"/>
        <v>0</v>
      </c>
      <c r="AN117" s="566">
        <f t="shared" ca="1" si="35"/>
        <v>0</v>
      </c>
    </row>
    <row r="118" spans="1:40" ht="63.75" x14ac:dyDescent="0.2">
      <c r="A118" t="str">
        <f t="shared" ref="A118:A175" si="38">CHOOSE(1+LOG(1+2*(ORÇAMENTO.Nivel="Meta")+4*(ORÇAMENTO.Nivel="Nível 2")+8*(ORÇAMENTO.Nivel="Nível 3")+16*(ORÇAMENTO.Nivel="Nível 4")+32*(ORÇAMENTO.Nivel="Serviço"),2),0,1,2,3,4,"S")</f>
        <v>S</v>
      </c>
      <c r="B118">
        <f t="shared" ref="B118:B175" ca="1" si="39">IF(OR(C118="s",C118=0),OFFSET(B118,-1,0),C118)</f>
        <v>2</v>
      </c>
      <c r="C118" t="str">
        <f t="shared" ref="C118:C175" ca="1" si="40">IF(OFFSET(C118,-1,0)="L",1,IF(OFFSET(C118,-1,0)=1,2,IF(OR(A118="s",A118=0),"S",IF(AND(OFFSET(C118,-1,0)=2,A118=4),3,IF(AND(OR(OFFSET(C118,-1,0)="s",OFFSET(C118,-1,0)=0),A118&lt;&gt;"s",A118&gt;OFFSET(B118,-1,0)),OFFSET(B118,-1,0),A118)))))</f>
        <v>S</v>
      </c>
      <c r="D118">
        <f t="shared" ref="D118:D175" ca="1" si="41">IF(OR(C118="S",C118=0),0,IF(ISERROR(K118),J118,SMALL(J118:K118,1)))</f>
        <v>0</v>
      </c>
      <c r="E118">
        <f ca="1">IF($C118=1,OFFSET(E118,-1,0)+MAX(1,COUNTIF(QCI!$A$13:$A$24,OFFSET(ORÇAMENTO!E118,-1,0))),OFFSET(E118,-1,0))</f>
        <v>1</v>
      </c>
      <c r="F118">
        <f t="shared" ref="F118:F175" ca="1" si="42">IF($C118=1,0,IF($C118=2,OFFSET(F118,-1,0)+1,OFFSET(F118,-1,0)))</f>
        <v>18</v>
      </c>
      <c r="G118">
        <f t="shared" ref="G118:G175" ca="1" si="43">IF(AND($C118&lt;=2,$C118&lt;&gt;0),0,IF($C118=3,OFFSET(G118,-1,0)+1,OFFSET(G118,-1,0)))</f>
        <v>0</v>
      </c>
      <c r="H118">
        <f t="shared" ref="H118:H175" ca="1" si="44">IF(AND($C118&lt;=3,$C118&lt;&gt;0),0,IF($C118=4,OFFSET(H118,-1,0)+1,OFFSET(H118,-1,0)))</f>
        <v>0</v>
      </c>
      <c r="I118">
        <f t="shared" ref="I118:I175" ca="1" si="45">IF(AND($C118&lt;=4,$C118&lt;&gt;0),0,IF(AND($C118="S",$X118&gt;0),OFFSET(I118,-1,0)+1,OFFSET(I118,-1,0)))</f>
        <v>0</v>
      </c>
      <c r="J118">
        <f t="shared" ca="1" si="37"/>
        <v>0</v>
      </c>
      <c r="K118">
        <f ca="1">IF(OR($C118="S",$C118=0),0,MATCH(OFFSET($D118,0,$C118)+IF($C118&lt;&gt;1,1,COUNTIF(QCI!$A$13:$A$24,ORÇAMENTO!E118)),OFFSET($D118,1,$C118,ROW($C$727)-ROW($C118)),0))</f>
        <v>0</v>
      </c>
      <c r="L118" s="116" t="str">
        <f t="shared" ref="L118:L175" ca="1" si="46">IF(OR($X118&gt;0,$C118=1,$C118=2,$C118=3,$C118=4),"F","")</f>
        <v/>
      </c>
      <c r="M118" s="117" t="s">
        <v>199</v>
      </c>
      <c r="N118" s="118" t="str">
        <f t="shared" ref="N118:N175" ca="1" si="47">CHOOSE(1+LOG(1+2*(C118=1)+4*(C118=2)+8*(C118=3)+16*(C118=4)+32*(C118="S"),2),"","Meta","Nível 2","Nível 3","Nível 4","Serviço")</f>
        <v>Serviço</v>
      </c>
      <c r="O118" s="119" t="str">
        <f t="shared" ref="O118:O175" ca="1" si="48">IF(OR($C118=0,$L118=""),"-",CONCATENATE(E118&amp;".",IF(AND($A$5&gt;=2,$C118&gt;=2),F118&amp;".",""),IF(AND($A$5&gt;=3,$C118&gt;=3),G118&amp;".",""),IF(AND($A$5&gt;=4,$C118&gt;=4),H118&amp;".",""),IF($C118="S",I118&amp;".","")))</f>
        <v>-</v>
      </c>
      <c r="P118" s="120" t="s">
        <v>458</v>
      </c>
      <c r="Q118" s="121" t="s">
        <v>524</v>
      </c>
      <c r="R118" s="122" t="str">
        <f ca="1">IF($C118="S",REFERENCIA.Descricao,"(digite a descrição aqui)")</f>
        <v>(abra o arquivo 'Referência 06-2024.xlsm)</v>
      </c>
      <c r="S118" s="123" t="str">
        <f ca="1">REFERENCIA.Unidade</f>
        <v>-</v>
      </c>
      <c r="T118" s="124">
        <f ca="1">OFFSET(CÁLCULO!H$15,ROW($T118)-ROW(T$15),0)</f>
        <v>10</v>
      </c>
      <c r="U118" s="125">
        <f t="shared" ca="1" si="36"/>
        <v>0</v>
      </c>
      <c r="V118" s="126" t="s">
        <v>156</v>
      </c>
      <c r="W118" s="124">
        <f ca="1">IF($C118="S",ROUND(IF(TIPOORCAMENTO="Proposto",ORÇAMENTO.CustoUnitario*(1+$AH118),ORÇAMENTO.PrecoUnitarioLicitado),15-13*$AF$10),0)</f>
        <v>0</v>
      </c>
      <c r="X118" s="127">
        <f ca="1">IF($C118="S",IF(Import.TipoArredondamento&lt;&gt;"TransfereGOV",VTOTAL1,SUM(OFFSET(CÁLCULO!$AI$15,ROW($X118)-ROW($X$15),1):OFFSET(CÁLCULO!$BB$15,ROW($X118)-ROW($X$15),-1))),IF($C118=0,0,ROUND(SomaAgrup,15-13*$AF$11)))</f>
        <v>0</v>
      </c>
      <c r="Y118" s="128" t="s">
        <v>245</v>
      </c>
      <c r="Z118" t="str">
        <f t="shared" ref="Z118:Z175" ca="1" si="49">IF(AND($C118="S",$X118&gt;0),IF(ISBLANK($Y118),"RA",LEFT($Y118,2)),"")</f>
        <v/>
      </c>
      <c r="AA118" s="129">
        <f ca="1">IF($C118="S",IF($Z118="CP",$X118,IF($Z118="RA",(($X118)*QCI!$AA$3),0)),SomaAgrup)</f>
        <v>0</v>
      </c>
      <c r="AB118" s="130">
        <f t="shared" ref="AB118:AB175" ca="1" si="50">IF($C118="S",IF($Z118="OU",ROUND($X118,2),0),SomaAgrup)</f>
        <v>0</v>
      </c>
      <c r="AC118" s="131" t="str">
        <f ca="1">IF($N118="","",IF(ORÇAMENTO.Descricao="","DESCRIÇÃO",IF(AND($C118="S",ORÇAMENTO.Unidade=""),"UNIDADE",IF($X118&lt;0,"VALOR NEGATIVO",IF(OR(AND(TIPOORCAMENTO="Proposto",$AG118&lt;&gt;"",$AG118&gt;0,ORÇAMENTO.CustoUnitario&gt;$AG118),AND(TIPOORCAMENTO="LICITADO",ORÇAMENTO.PrecoUnitarioLicitado&gt;$AN118)),"ACIMA REF.","")))))</f>
        <v/>
      </c>
      <c r="AD118" t="str">
        <f ca="1">IF(C118&lt;=CRONO.NivelExibicao,MAX($AD$15:OFFSET(AD118,-1,0))+IF($C118&lt;&gt;1,1,MAX(1,COUNTIF(QCI!$A$13:$A$24,OFFSET($E118,-1,0)))),"")</f>
        <v/>
      </c>
      <c r="AE118" s="7" t="str">
        <f ca="1">IF(AND($C118="S",ORÇAMENTO.CodBarra&lt;&gt;""),IF(ORÇAMENTO.Fonte="",ORÇAMENTO.CodBarra,CONCATENATE(ORÇAMENTO.Fonte," ",ORÇAMENTO.CodBarra)))</f>
        <v>COMPOSIÇÃO FNDE 248</v>
      </c>
      <c r="AF118" s="13" t="str">
        <f ca="1">IF(ISERROR(INDIRECT(ORÇAMENTO.BancoRef)),"(abra o arquivo 'Referência "&amp;Excel_BuiltIn_Database&amp;".xlsm)",IF(OR($C118&lt;&gt;"S",ORÇAMENTO.CodBarra=""),"(Sem Código)",IF(ISERROR(MATCH($AE118,INDIRECT(ORÇAMENTO.BancoRef),0)),"(Código não identificado nas referências)",MATCH($AE118,INDIRECT(ORÇAMENTO.BancoRef),0))))</f>
        <v>(abra o arquivo 'Referência 06-2024.xlsm)</v>
      </c>
      <c r="AG118" s="498">
        <f ca="1">ROUND(IF(DESONERACAO="sim",REFERENCIA.Desonerado,REFERENCIA.NaoDesonerado),2)</f>
        <v>0</v>
      </c>
      <c r="AH118" s="499">
        <f t="shared" ref="AH118:AH175" ca="1" si="51">ROUND(IF(ISNUMBER(ORÇAMENTO.OpcaoBDI),ORÇAMENTO.OpcaoBDI,IF(LEFT(ORÇAMENTO.OpcaoBDI,3)="BDI",HLOOKUP(ORÇAMENTO.OpcaoBDI,$F$4:$H$5,2,FALSE),0)),15-11*$AF$9)</f>
        <v>0.2432</v>
      </c>
      <c r="AJ118" s="501"/>
      <c r="AL118" s="527"/>
      <c r="AM118" s="381">
        <f t="shared" ref="AM118:AM175" ca="1" si="52">$X118</f>
        <v>0</v>
      </c>
      <c r="AN118" s="566">
        <f t="shared" ref="AN118:AN175" ca="1" si="53">ROUND(ORÇAMENTO.CustoUnitario*(1+$AH118),2)</f>
        <v>0</v>
      </c>
    </row>
    <row r="119" spans="1:40" ht="38.25" x14ac:dyDescent="0.2">
      <c r="A119" t="str">
        <f t="shared" si="38"/>
        <v>S</v>
      </c>
      <c r="B119">
        <f t="shared" ca="1" si="39"/>
        <v>2</v>
      </c>
      <c r="C119" t="str">
        <f t="shared" ca="1" si="40"/>
        <v>S</v>
      </c>
      <c r="D119">
        <f t="shared" ca="1" si="41"/>
        <v>0</v>
      </c>
      <c r="E119">
        <f ca="1">IF($C119=1,OFFSET(E119,-1,0)+MAX(1,COUNTIF(QCI!$A$13:$A$24,OFFSET(ORÇAMENTO!E119,-1,0))),OFFSET(E119,-1,0))</f>
        <v>1</v>
      </c>
      <c r="F119">
        <f t="shared" ca="1" si="42"/>
        <v>18</v>
      </c>
      <c r="G119">
        <f t="shared" ca="1" si="43"/>
        <v>0</v>
      </c>
      <c r="H119">
        <f t="shared" ca="1" si="44"/>
        <v>0</v>
      </c>
      <c r="I119">
        <f t="shared" ca="1" si="45"/>
        <v>0</v>
      </c>
      <c r="J119">
        <f t="shared" ca="1" si="37"/>
        <v>0</v>
      </c>
      <c r="K119">
        <f ca="1">IF(OR($C119="S",$C119=0),0,MATCH(OFFSET($D119,0,$C119)+IF($C119&lt;&gt;1,1,COUNTIF(QCI!$A$13:$A$24,ORÇAMENTO!E119)),OFFSET($D119,1,$C119,ROW($C$727)-ROW($C119)),0))</f>
        <v>0</v>
      </c>
      <c r="L119" s="116" t="str">
        <f t="shared" ca="1" si="46"/>
        <v/>
      </c>
      <c r="M119" s="117" t="s">
        <v>199</v>
      </c>
      <c r="N119" s="118" t="str">
        <f t="shared" ca="1" si="47"/>
        <v>Serviço</v>
      </c>
      <c r="O119" s="119" t="str">
        <f t="shared" ca="1" si="48"/>
        <v>-</v>
      </c>
      <c r="P119" s="120" t="s">
        <v>458</v>
      </c>
      <c r="Q119" s="121" t="s">
        <v>525</v>
      </c>
      <c r="R119" s="122" t="str">
        <f ca="1">IF($C119="S",REFERENCIA.Descricao,"(digite a descrição aqui)")</f>
        <v>(abra o arquivo 'Referência 06-2024.xlsm)</v>
      </c>
      <c r="S119" s="123" t="str">
        <f ca="1">REFERENCIA.Unidade</f>
        <v>-</v>
      </c>
      <c r="T119" s="124">
        <f ca="1">OFFSET(CÁLCULO!H$15,ROW($T119)-ROW(T$15),0)</f>
        <v>8</v>
      </c>
      <c r="U119" s="125">
        <f t="shared" ca="1" si="36"/>
        <v>0</v>
      </c>
      <c r="V119" s="126" t="s">
        <v>156</v>
      </c>
      <c r="W119" s="124">
        <f ca="1">IF($C119="S",ROUND(IF(TIPOORCAMENTO="Proposto",ORÇAMENTO.CustoUnitario*(1+$AH119),ORÇAMENTO.PrecoUnitarioLicitado),15-13*$AF$10),0)</f>
        <v>0</v>
      </c>
      <c r="X119" s="127">
        <f ca="1">IF($C119="S",IF(Import.TipoArredondamento&lt;&gt;"TransfereGOV",VTOTAL1,SUM(OFFSET(CÁLCULO!$AI$15,ROW($X119)-ROW($X$15),1):OFFSET(CÁLCULO!$BB$15,ROW($X119)-ROW($X$15),-1))),IF($C119=0,0,ROUND(SomaAgrup,15-13*$AF$11)))</f>
        <v>0</v>
      </c>
      <c r="Y119" s="128" t="s">
        <v>245</v>
      </c>
      <c r="Z119" t="str">
        <f t="shared" ca="1" si="49"/>
        <v/>
      </c>
      <c r="AA119" s="129">
        <f ca="1">IF($C119="S",IF($Z119="CP",$X119,IF($Z119="RA",(($X119)*QCI!$AA$3),0)),SomaAgrup)</f>
        <v>0</v>
      </c>
      <c r="AB119" s="130">
        <f t="shared" ca="1" si="50"/>
        <v>0</v>
      </c>
      <c r="AC119" s="131" t="str">
        <f ca="1">IF($N119="","",IF(ORÇAMENTO.Descricao="","DESCRIÇÃO",IF(AND($C119="S",ORÇAMENTO.Unidade=""),"UNIDADE",IF($X119&lt;0,"VALOR NEGATIVO",IF(OR(AND(TIPOORCAMENTO="Proposto",$AG119&lt;&gt;"",$AG119&gt;0,ORÇAMENTO.CustoUnitario&gt;$AG119),AND(TIPOORCAMENTO="LICITADO",ORÇAMENTO.PrecoUnitarioLicitado&gt;$AN119)),"ACIMA REF.","")))))</f>
        <v/>
      </c>
      <c r="AD119" t="str">
        <f ca="1">IF(C119&lt;=CRONO.NivelExibicao,MAX($AD$15:OFFSET(AD119,-1,0))+IF($C119&lt;&gt;1,1,MAX(1,COUNTIF(QCI!$A$13:$A$24,OFFSET($E119,-1,0)))),"")</f>
        <v/>
      </c>
      <c r="AE119" s="7" t="str">
        <f ca="1">IF(AND($C119="S",ORÇAMENTO.CodBarra&lt;&gt;""),IF(ORÇAMENTO.Fonte="",ORÇAMENTO.CodBarra,CONCATENATE(ORÇAMENTO.Fonte," ",ORÇAMENTO.CodBarra)))</f>
        <v>COMPOSIÇÃO FNDE 249</v>
      </c>
      <c r="AF119" s="13" t="str">
        <f ca="1">IF(ISERROR(INDIRECT(ORÇAMENTO.BancoRef)),"(abra o arquivo 'Referência "&amp;Excel_BuiltIn_Database&amp;".xlsm)",IF(OR($C119&lt;&gt;"S",ORÇAMENTO.CodBarra=""),"(Sem Código)",IF(ISERROR(MATCH($AE119,INDIRECT(ORÇAMENTO.BancoRef),0)),"(Código não identificado nas referências)",MATCH($AE119,INDIRECT(ORÇAMENTO.BancoRef),0))))</f>
        <v>(abra o arquivo 'Referência 06-2024.xlsm)</v>
      </c>
      <c r="AG119" s="498">
        <f ca="1">ROUND(IF(DESONERACAO="sim",REFERENCIA.Desonerado,REFERENCIA.NaoDesonerado),2)</f>
        <v>0</v>
      </c>
      <c r="AH119" s="499">
        <f t="shared" ca="1" si="51"/>
        <v>0.2432</v>
      </c>
      <c r="AJ119" s="501"/>
      <c r="AL119" s="527"/>
      <c r="AM119" s="381">
        <f t="shared" ca="1" si="52"/>
        <v>0</v>
      </c>
      <c r="AN119" s="566">
        <f t="shared" ca="1" si="53"/>
        <v>0</v>
      </c>
    </row>
    <row r="120" spans="1:40" ht="25.5" x14ac:dyDescent="0.2">
      <c r="A120" t="str">
        <f t="shared" si="38"/>
        <v>S</v>
      </c>
      <c r="B120">
        <f t="shared" ca="1" si="39"/>
        <v>2</v>
      </c>
      <c r="C120" t="str">
        <f t="shared" ca="1" si="40"/>
        <v>S</v>
      </c>
      <c r="D120">
        <f t="shared" ca="1" si="41"/>
        <v>0</v>
      </c>
      <c r="E120">
        <f ca="1">IF($C120=1,OFFSET(E120,-1,0)+MAX(1,COUNTIF(QCI!$A$13:$A$24,OFFSET(ORÇAMENTO!E120,-1,0))),OFFSET(E120,-1,0))</f>
        <v>1</v>
      </c>
      <c r="F120">
        <f t="shared" ca="1" si="42"/>
        <v>18</v>
      </c>
      <c r="G120">
        <f t="shared" ca="1" si="43"/>
        <v>0</v>
      </c>
      <c r="H120">
        <f t="shared" ca="1" si="44"/>
        <v>0</v>
      </c>
      <c r="I120">
        <f t="shared" ca="1" si="45"/>
        <v>0</v>
      </c>
      <c r="J120">
        <f t="shared" ca="1" si="37"/>
        <v>0</v>
      </c>
      <c r="K120">
        <f ca="1">IF(OR($C120="S",$C120=0),0,MATCH(OFFSET($D120,0,$C120)+IF($C120&lt;&gt;1,1,COUNTIF(QCI!$A$13:$A$24,ORÇAMENTO!E120)),OFFSET($D120,1,$C120,ROW($C$727)-ROW($C120)),0))</f>
        <v>0</v>
      </c>
      <c r="L120" s="116" t="str">
        <f t="shared" ca="1" si="46"/>
        <v/>
      </c>
      <c r="M120" s="117" t="s">
        <v>199</v>
      </c>
      <c r="N120" s="118" t="str">
        <f t="shared" ca="1" si="47"/>
        <v>Serviço</v>
      </c>
      <c r="O120" s="119" t="str">
        <f t="shared" ca="1" si="48"/>
        <v>-</v>
      </c>
      <c r="P120" s="120" t="s">
        <v>458</v>
      </c>
      <c r="Q120" s="121" t="s">
        <v>526</v>
      </c>
      <c r="R120" s="122" t="str">
        <f ca="1">IF($C120="S",REFERENCIA.Descricao,"(digite a descrição aqui)")</f>
        <v>(abra o arquivo 'Referência 06-2024.xlsm)</v>
      </c>
      <c r="S120" s="123" t="str">
        <f ca="1">REFERENCIA.Unidade</f>
        <v>-</v>
      </c>
      <c r="T120" s="124">
        <f ca="1">OFFSET(CÁLCULO!H$15,ROW($T120)-ROW(T$15),0)</f>
        <v>2.2999999999999998</v>
      </c>
      <c r="U120" s="125">
        <f t="shared" ca="1" si="36"/>
        <v>0</v>
      </c>
      <c r="V120" s="126" t="s">
        <v>156</v>
      </c>
      <c r="W120" s="124">
        <f ca="1">IF($C120="S",ROUND(IF(TIPOORCAMENTO="Proposto",ORÇAMENTO.CustoUnitario*(1+$AH120),ORÇAMENTO.PrecoUnitarioLicitado),15-13*$AF$10),0)</f>
        <v>0</v>
      </c>
      <c r="X120" s="127">
        <f ca="1">IF($C120="S",IF(Import.TipoArredondamento&lt;&gt;"TransfereGOV",VTOTAL1,SUM(OFFSET(CÁLCULO!$AI$15,ROW($X120)-ROW($X$15),1):OFFSET(CÁLCULO!$BB$15,ROW($X120)-ROW($X$15),-1))),IF($C120=0,0,ROUND(SomaAgrup,15-13*$AF$11)))</f>
        <v>0</v>
      </c>
      <c r="Y120" s="128" t="s">
        <v>245</v>
      </c>
      <c r="Z120" t="str">
        <f t="shared" ca="1" si="49"/>
        <v/>
      </c>
      <c r="AA120" s="129">
        <f ca="1">IF($C120="S",IF($Z120="CP",$X120,IF($Z120="RA",(($X120)*QCI!$AA$3),0)),SomaAgrup)</f>
        <v>0</v>
      </c>
      <c r="AB120" s="130">
        <f t="shared" ca="1" si="50"/>
        <v>0</v>
      </c>
      <c r="AC120" s="131" t="str">
        <f ca="1">IF($N120="","",IF(ORÇAMENTO.Descricao="","DESCRIÇÃO",IF(AND($C120="S",ORÇAMENTO.Unidade=""),"UNIDADE",IF($X120&lt;0,"VALOR NEGATIVO",IF(OR(AND(TIPOORCAMENTO="Proposto",$AG120&lt;&gt;"",$AG120&gt;0,ORÇAMENTO.CustoUnitario&gt;$AG120),AND(TIPOORCAMENTO="LICITADO",ORÇAMENTO.PrecoUnitarioLicitado&gt;$AN120)),"ACIMA REF.","")))))</f>
        <v/>
      </c>
      <c r="AD120" t="str">
        <f ca="1">IF(C120&lt;=CRONO.NivelExibicao,MAX($AD$15:OFFSET(AD120,-1,0))+IF($C120&lt;&gt;1,1,MAX(1,COUNTIF(QCI!$A$13:$A$24,OFFSET($E120,-1,0)))),"")</f>
        <v/>
      </c>
      <c r="AE120" s="7" t="str">
        <f ca="1">IF(AND($C120="S",ORÇAMENTO.CodBarra&lt;&gt;""),IF(ORÇAMENTO.Fonte="",ORÇAMENTO.CodBarra,CONCATENATE(ORÇAMENTO.Fonte," ",ORÇAMENTO.CodBarra)))</f>
        <v>COMPOSIÇÃO FNDE 250</v>
      </c>
      <c r="AF120" s="13" t="str">
        <f ca="1">IF(ISERROR(INDIRECT(ORÇAMENTO.BancoRef)),"(abra o arquivo 'Referência "&amp;Excel_BuiltIn_Database&amp;".xlsm)",IF(OR($C120&lt;&gt;"S",ORÇAMENTO.CodBarra=""),"(Sem Código)",IF(ISERROR(MATCH($AE120,INDIRECT(ORÇAMENTO.BancoRef),0)),"(Código não identificado nas referências)",MATCH($AE120,INDIRECT(ORÇAMENTO.BancoRef),0))))</f>
        <v>(abra o arquivo 'Referência 06-2024.xlsm)</v>
      </c>
      <c r="AG120" s="498">
        <f ca="1">ROUND(IF(DESONERACAO="sim",REFERENCIA.Desonerado,REFERENCIA.NaoDesonerado),2)</f>
        <v>0</v>
      </c>
      <c r="AH120" s="499">
        <f t="shared" ca="1" si="51"/>
        <v>0.2432</v>
      </c>
      <c r="AJ120" s="501"/>
      <c r="AL120" s="527"/>
      <c r="AM120" s="381">
        <f t="shared" ca="1" si="52"/>
        <v>0</v>
      </c>
      <c r="AN120" s="566">
        <f t="shared" ca="1" si="53"/>
        <v>0</v>
      </c>
    </row>
    <row r="121" spans="1:40" x14ac:dyDescent="0.2">
      <c r="A121">
        <f t="shared" si="38"/>
        <v>2</v>
      </c>
      <c r="B121">
        <f t="shared" ca="1" si="39"/>
        <v>2</v>
      </c>
      <c r="C121">
        <f t="shared" ca="1" si="40"/>
        <v>2</v>
      </c>
      <c r="D121">
        <f t="shared" ca="1" si="41"/>
        <v>5</v>
      </c>
      <c r="E121">
        <f ca="1">IF($C121=1,OFFSET(E121,-1,0)+MAX(1,COUNTIF(QCI!$A$13:$A$24,OFFSET(ORÇAMENTO!E121,-1,0))),OFFSET(E121,-1,0))</f>
        <v>1</v>
      </c>
      <c r="F121">
        <f t="shared" ca="1" si="42"/>
        <v>19</v>
      </c>
      <c r="G121">
        <f t="shared" ca="1" si="43"/>
        <v>0</v>
      </c>
      <c r="H121">
        <f t="shared" ca="1" si="44"/>
        <v>0</v>
      </c>
      <c r="I121">
        <f t="shared" ca="1" si="45"/>
        <v>0</v>
      </c>
      <c r="J121">
        <f t="shared" ca="1" si="37"/>
        <v>606</v>
      </c>
      <c r="K121">
        <f ca="1">IF(OR($C121="S",$C121=0),0,MATCH(OFFSET($D121,0,$C121)+IF($C121&lt;&gt;1,1,COUNTIF(QCI!$A$13:$A$24,ORÇAMENTO!E121)),OFFSET($D121,1,$C121,ROW($C$727)-ROW($C121)),0))</f>
        <v>5</v>
      </c>
      <c r="L121" s="116" t="str">
        <f t="shared" ca="1" si="46"/>
        <v>F</v>
      </c>
      <c r="M121" s="117" t="s">
        <v>196</v>
      </c>
      <c r="N121" s="118" t="str">
        <f t="shared" ca="1" si="47"/>
        <v>Nível 2</v>
      </c>
      <c r="O121" s="119" t="str">
        <f t="shared" ca="1" si="48"/>
        <v>1.19.</v>
      </c>
      <c r="P121" s="120" t="s">
        <v>247</v>
      </c>
      <c r="Q121" s="121"/>
      <c r="R121" s="122" t="s">
        <v>1046</v>
      </c>
      <c r="S121" s="123" t="str">
        <f ca="1">REFERENCIA.Unidade</f>
        <v>-</v>
      </c>
      <c r="T121" s="124">
        <f ca="1">OFFSET(CÁLCULO!H$15,ROW($T121)-ROW(T$15),0)</f>
        <v>0</v>
      </c>
      <c r="U121" s="125">
        <f t="shared" ref="U121:U177" ca="1" si="54">AG121</f>
        <v>0</v>
      </c>
      <c r="V121" s="126" t="s">
        <v>156</v>
      </c>
      <c r="W121" s="124">
        <f ca="1">IF($C121="S",ROUND(IF(TIPOORCAMENTO="Proposto",ORÇAMENTO.CustoUnitario*(1+$AH121),ORÇAMENTO.PrecoUnitarioLicitado),15-13*$AF$10),0)</f>
        <v>0</v>
      </c>
      <c r="X121" s="127">
        <f ca="1">IF($C121="S",IF(Import.TipoArredondamento&lt;&gt;"TransfereGOV",VTOTAL1,SUM(OFFSET(CÁLCULO!$AI$15,ROW($X121)-ROW($X$15),1):OFFSET(CÁLCULO!$BB$15,ROW($X121)-ROW($X$15),-1))),IF($C121=0,0,ROUND(SomaAgrup,15-13*$AF$11)))</f>
        <v>0</v>
      </c>
      <c r="Y121" s="128" t="s">
        <v>245</v>
      </c>
      <c r="Z121" t="str">
        <f t="shared" ca="1" si="49"/>
        <v/>
      </c>
      <c r="AA121" s="129">
        <f ca="1">IF($C121="S",IF($Z121="CP",$X121,IF($Z121="RA",(($X121)*QCI!$AA$3),0)),SomaAgrup)</f>
        <v>0</v>
      </c>
      <c r="AB121" s="130">
        <f t="shared" ca="1" si="50"/>
        <v>0</v>
      </c>
      <c r="AC121" s="131" t="str">
        <f ca="1">IF($N121="","",IF(ORÇAMENTO.Descricao="","DESCRIÇÃO",IF(AND($C121="S",ORÇAMENTO.Unidade=""),"UNIDADE",IF($X121&lt;0,"VALOR NEGATIVO",IF(OR(AND(TIPOORCAMENTO="Proposto",$AG121&lt;&gt;"",$AG121&gt;0,ORÇAMENTO.CustoUnitario&gt;$AG121),AND(TIPOORCAMENTO="LICITADO",ORÇAMENTO.PrecoUnitarioLicitado&gt;$AN121)),"ACIMA REF.","")))))</f>
        <v/>
      </c>
      <c r="AD121">
        <f ca="1">IF(C121&lt;=CRONO.NivelExibicao,MAX($AD$15:OFFSET(AD121,-1,0))+IF($C121&lt;&gt;1,1,MAX(1,COUNTIF(QCI!$A$13:$A$24,OFFSET($E121,-1,0)))),"")</f>
        <v>20</v>
      </c>
      <c r="AE121" s="7" t="b">
        <f ca="1">IF(AND($C121="S",ORÇAMENTO.CodBarra&lt;&gt;""),IF(ORÇAMENTO.Fonte="",ORÇAMENTO.CodBarra,CONCATENATE(ORÇAMENTO.Fonte," ",ORÇAMENTO.CodBarra)))</f>
        <v>0</v>
      </c>
      <c r="AF121" s="13" t="str">
        <f ca="1">IF(ISERROR(INDIRECT(ORÇAMENTO.BancoRef)),"(abra o arquivo 'Referência "&amp;Excel_BuiltIn_Database&amp;".xlsm)",IF(OR($C121&lt;&gt;"S",ORÇAMENTO.CodBarra=""),"(Sem Código)",IF(ISERROR(MATCH($AE121,INDIRECT(ORÇAMENTO.BancoRef),0)),"(Código não identificado nas referências)",MATCH($AE121,INDIRECT(ORÇAMENTO.BancoRef),0))))</f>
        <v>(abra o arquivo 'Referência 06-2024.xlsm)</v>
      </c>
      <c r="AG121" s="498">
        <f ca="1">ROUND(IF(DESONERACAO="sim",REFERENCIA.Desonerado,REFERENCIA.NaoDesonerado),2)</f>
        <v>0</v>
      </c>
      <c r="AH121" s="499">
        <f t="shared" ca="1" si="51"/>
        <v>0.2432</v>
      </c>
      <c r="AJ121" s="501"/>
      <c r="AL121" s="527"/>
      <c r="AM121" s="381">
        <f t="shared" ca="1" si="52"/>
        <v>0</v>
      </c>
      <c r="AN121" s="566">
        <f t="shared" ca="1" si="53"/>
        <v>0</v>
      </c>
    </row>
    <row r="122" spans="1:40" ht="25.5" x14ac:dyDescent="0.2">
      <c r="A122" t="str">
        <f t="shared" si="38"/>
        <v>S</v>
      </c>
      <c r="B122">
        <f t="shared" ca="1" si="39"/>
        <v>2</v>
      </c>
      <c r="C122" t="str">
        <f t="shared" ca="1" si="40"/>
        <v>S</v>
      </c>
      <c r="D122">
        <f t="shared" ca="1" si="41"/>
        <v>0</v>
      </c>
      <c r="E122">
        <f ca="1">IF($C122=1,OFFSET(E122,-1,0)+MAX(1,COUNTIF(QCI!$A$13:$A$24,OFFSET(ORÇAMENTO!E122,-1,0))),OFFSET(E122,-1,0))</f>
        <v>1</v>
      </c>
      <c r="F122">
        <f t="shared" ca="1" si="42"/>
        <v>19</v>
      </c>
      <c r="G122">
        <f t="shared" ca="1" si="43"/>
        <v>0</v>
      </c>
      <c r="H122">
        <f t="shared" ca="1" si="44"/>
        <v>0</v>
      </c>
      <c r="I122">
        <f t="shared" ca="1" si="45"/>
        <v>0</v>
      </c>
      <c r="J122">
        <f t="shared" ca="1" si="37"/>
        <v>0</v>
      </c>
      <c r="K122">
        <f ca="1">IF(OR($C122="S",$C122=0),0,MATCH(OFFSET($D122,0,$C122)+IF($C122&lt;&gt;1,1,COUNTIF(QCI!$A$13:$A$24,ORÇAMENTO!E122)),OFFSET($D122,1,$C122,ROW($C$727)-ROW($C122)),0))</f>
        <v>0</v>
      </c>
      <c r="L122" s="116" t="str">
        <f t="shared" ca="1" si="46"/>
        <v/>
      </c>
      <c r="M122" s="117" t="s">
        <v>199</v>
      </c>
      <c r="N122" s="118" t="str">
        <f t="shared" ca="1" si="47"/>
        <v>Serviço</v>
      </c>
      <c r="O122" s="119" t="str">
        <f t="shared" ca="1" si="48"/>
        <v>-</v>
      </c>
      <c r="P122" s="120" t="s">
        <v>247</v>
      </c>
      <c r="Q122" s="121" t="s">
        <v>527</v>
      </c>
      <c r="R122" s="122" t="str">
        <f ca="1">IF($C122="S",REFERENCIA.Descricao,"(digite a descrição aqui)")</f>
        <v>(abra o arquivo 'Referência 06-2024.xlsm)</v>
      </c>
      <c r="S122" s="123" t="str">
        <f ca="1">REFERENCIA.Unidade</f>
        <v>-</v>
      </c>
      <c r="T122" s="124">
        <f ca="1">OFFSET(CÁLCULO!H$15,ROW($T122)-ROW(T$15),0)</f>
        <v>8</v>
      </c>
      <c r="U122" s="125">
        <f t="shared" ca="1" si="54"/>
        <v>0</v>
      </c>
      <c r="V122" s="126" t="s">
        <v>156</v>
      </c>
      <c r="W122" s="124">
        <f ca="1">IF($C122="S",ROUND(IF(TIPOORCAMENTO="Proposto",ORÇAMENTO.CustoUnitario*(1+$AH122),ORÇAMENTO.PrecoUnitarioLicitado),15-13*$AF$10),0)</f>
        <v>0</v>
      </c>
      <c r="X122" s="127">
        <f ca="1">IF($C122="S",IF(Import.TipoArredondamento&lt;&gt;"TransfereGOV",VTOTAL1,SUM(OFFSET(CÁLCULO!$AI$15,ROW($X122)-ROW($X$15),1):OFFSET(CÁLCULO!$BB$15,ROW($X122)-ROW($X$15),-1))),IF($C122=0,0,ROUND(SomaAgrup,15-13*$AF$11)))</f>
        <v>0</v>
      </c>
      <c r="Y122" s="128" t="s">
        <v>245</v>
      </c>
      <c r="Z122" t="str">
        <f t="shared" ca="1" si="49"/>
        <v/>
      </c>
      <c r="AA122" s="129">
        <f ca="1">IF($C122="S",IF($Z122="CP",$X122,IF($Z122="RA",(($X122)*QCI!$AA$3),0)),SomaAgrup)</f>
        <v>0</v>
      </c>
      <c r="AB122" s="130">
        <f t="shared" ca="1" si="50"/>
        <v>0</v>
      </c>
      <c r="AC122" s="131" t="str">
        <f ca="1">IF($N122="","",IF(ORÇAMENTO.Descricao="","DESCRIÇÃO",IF(AND($C122="S",ORÇAMENTO.Unidade=""),"UNIDADE",IF($X122&lt;0,"VALOR NEGATIVO",IF(OR(AND(TIPOORCAMENTO="Proposto",$AG122&lt;&gt;"",$AG122&gt;0,ORÇAMENTO.CustoUnitario&gt;$AG122),AND(TIPOORCAMENTO="LICITADO",ORÇAMENTO.PrecoUnitarioLicitado&gt;$AN122)),"ACIMA REF.","")))))</f>
        <v/>
      </c>
      <c r="AD122" t="str">
        <f ca="1">IF(C122&lt;=CRONO.NivelExibicao,MAX($AD$15:OFFSET(AD122,-1,0))+IF($C122&lt;&gt;1,1,MAX(1,COUNTIF(QCI!$A$13:$A$24,OFFSET($E122,-1,0)))),"")</f>
        <v/>
      </c>
      <c r="AE122" s="7" t="str">
        <f ca="1">IF(AND($C122="S",ORÇAMENTO.CodBarra&lt;&gt;""),IF(ORÇAMENTO.Fonte="",ORÇAMENTO.CodBarra,CONCATENATE(ORÇAMENTO.Fonte," ",ORÇAMENTO.CodBarra)))</f>
        <v>SINAPI 100705</v>
      </c>
      <c r="AF122" s="13" t="str">
        <f ca="1">IF(ISERROR(INDIRECT(ORÇAMENTO.BancoRef)),"(abra o arquivo 'Referência "&amp;Excel_BuiltIn_Database&amp;".xlsm)",IF(OR($C122&lt;&gt;"S",ORÇAMENTO.CodBarra=""),"(Sem Código)",IF(ISERROR(MATCH($AE122,INDIRECT(ORÇAMENTO.BancoRef),0)),"(Código não identificado nas referências)",MATCH($AE122,INDIRECT(ORÇAMENTO.BancoRef),0))))</f>
        <v>(abra o arquivo 'Referência 06-2024.xlsm)</v>
      </c>
      <c r="AG122" s="498">
        <f ca="1">ROUND(IF(DESONERACAO="sim",REFERENCIA.Desonerado,REFERENCIA.NaoDesonerado),2)</f>
        <v>0</v>
      </c>
      <c r="AH122" s="499">
        <f t="shared" ca="1" si="51"/>
        <v>0.2432</v>
      </c>
      <c r="AJ122" s="501"/>
      <c r="AL122" s="527"/>
      <c r="AM122" s="381">
        <f t="shared" ca="1" si="52"/>
        <v>0</v>
      </c>
      <c r="AN122" s="566">
        <f t="shared" ca="1" si="53"/>
        <v>0</v>
      </c>
    </row>
    <row r="123" spans="1:40" ht="38.25" x14ac:dyDescent="0.2">
      <c r="A123" t="str">
        <f t="shared" si="38"/>
        <v>S</v>
      </c>
      <c r="B123">
        <f t="shared" ca="1" si="39"/>
        <v>2</v>
      </c>
      <c r="C123" t="str">
        <f t="shared" ca="1" si="40"/>
        <v>S</v>
      </c>
      <c r="D123">
        <f t="shared" ca="1" si="41"/>
        <v>0</v>
      </c>
      <c r="E123">
        <f ca="1">IF($C123=1,OFFSET(E123,-1,0)+MAX(1,COUNTIF(QCI!$A$13:$A$24,OFFSET(ORÇAMENTO!E123,-1,0))),OFFSET(E123,-1,0))</f>
        <v>1</v>
      </c>
      <c r="F123">
        <f t="shared" ca="1" si="42"/>
        <v>19</v>
      </c>
      <c r="G123">
        <f t="shared" ca="1" si="43"/>
        <v>0</v>
      </c>
      <c r="H123">
        <f t="shared" ca="1" si="44"/>
        <v>0</v>
      </c>
      <c r="I123">
        <f t="shared" ca="1" si="45"/>
        <v>0</v>
      </c>
      <c r="J123">
        <f t="shared" ca="1" si="37"/>
        <v>0</v>
      </c>
      <c r="K123">
        <f ca="1">IF(OR($C123="S",$C123=0),0,MATCH(OFFSET($D123,0,$C123)+IF($C123&lt;&gt;1,1,COUNTIF(QCI!$A$13:$A$24,ORÇAMENTO!E123)),OFFSET($D123,1,$C123,ROW($C$727)-ROW($C123)),0))</f>
        <v>0</v>
      </c>
      <c r="L123" s="116" t="str">
        <f t="shared" ca="1" si="46"/>
        <v/>
      </c>
      <c r="M123" s="117" t="s">
        <v>199</v>
      </c>
      <c r="N123" s="118" t="str">
        <f t="shared" ca="1" si="47"/>
        <v>Serviço</v>
      </c>
      <c r="O123" s="119" t="str">
        <f t="shared" ca="1" si="48"/>
        <v>-</v>
      </c>
      <c r="P123" s="120" t="s">
        <v>247</v>
      </c>
      <c r="Q123" s="121" t="s">
        <v>528</v>
      </c>
      <c r="R123" s="122" t="str">
        <f ca="1">IF($C123="S",REFERENCIA.Descricao,"(digite a descrição aqui)")</f>
        <v>(abra o arquivo 'Referência 06-2024.xlsm)</v>
      </c>
      <c r="S123" s="123" t="str">
        <f ca="1">REFERENCIA.Unidade</f>
        <v>-</v>
      </c>
      <c r="T123" s="124">
        <f ca="1">OFFSET(CÁLCULO!H$15,ROW($T123)-ROW(T$15),0)</f>
        <v>4</v>
      </c>
      <c r="U123" s="125">
        <f t="shared" ca="1" si="54"/>
        <v>0</v>
      </c>
      <c r="V123" s="126" t="s">
        <v>156</v>
      </c>
      <c r="W123" s="124">
        <f ca="1">IF($C123="S",ROUND(IF(TIPOORCAMENTO="Proposto",ORÇAMENTO.CustoUnitario*(1+$AH123),ORÇAMENTO.PrecoUnitarioLicitado),15-13*$AF$10),0)</f>
        <v>0</v>
      </c>
      <c r="X123" s="127">
        <f ca="1">IF($C123="S",IF(Import.TipoArredondamento&lt;&gt;"TransfereGOV",VTOTAL1,SUM(OFFSET(CÁLCULO!$AI$15,ROW($X123)-ROW($X$15),1):OFFSET(CÁLCULO!$BB$15,ROW($X123)-ROW($X$15),-1))),IF($C123=0,0,ROUND(SomaAgrup,15-13*$AF$11)))</f>
        <v>0</v>
      </c>
      <c r="Y123" s="128" t="s">
        <v>245</v>
      </c>
      <c r="Z123" t="str">
        <f t="shared" ca="1" si="49"/>
        <v/>
      </c>
      <c r="AA123" s="129">
        <f ca="1">IF($C123="S",IF($Z123="CP",$X123,IF($Z123="RA",(($X123)*QCI!$AA$3),0)),SomaAgrup)</f>
        <v>0</v>
      </c>
      <c r="AB123" s="130">
        <f t="shared" ca="1" si="50"/>
        <v>0</v>
      </c>
      <c r="AC123" s="131" t="str">
        <f ca="1">IF($N123="","",IF(ORÇAMENTO.Descricao="","DESCRIÇÃO",IF(AND($C123="S",ORÇAMENTO.Unidade=""),"UNIDADE",IF($X123&lt;0,"VALOR NEGATIVO",IF(OR(AND(TIPOORCAMENTO="Proposto",$AG123&lt;&gt;"",$AG123&gt;0,ORÇAMENTO.CustoUnitario&gt;$AG123),AND(TIPOORCAMENTO="LICITADO",ORÇAMENTO.PrecoUnitarioLicitado&gt;$AN123)),"ACIMA REF.","")))))</f>
        <v/>
      </c>
      <c r="AD123" t="str">
        <f ca="1">IF(C123&lt;=CRONO.NivelExibicao,MAX($AD$15:OFFSET(AD123,-1,0))+IF($C123&lt;&gt;1,1,MAX(1,COUNTIF(QCI!$A$13:$A$24,OFFSET($E123,-1,0)))),"")</f>
        <v/>
      </c>
      <c r="AE123" s="7" t="str">
        <f ca="1">IF(AND($C123="S",ORÇAMENTO.CodBarra&lt;&gt;""),IF(ORÇAMENTO.Fonte="",ORÇAMENTO.CodBarra,CONCATENATE(ORÇAMENTO.Fonte," ",ORÇAMENTO.CodBarra)))</f>
        <v>SINAPI 100866</v>
      </c>
      <c r="AF123" s="13" t="str">
        <f ca="1">IF(ISERROR(INDIRECT(ORÇAMENTO.BancoRef)),"(abra o arquivo 'Referência "&amp;Excel_BuiltIn_Database&amp;".xlsm)",IF(OR($C123&lt;&gt;"S",ORÇAMENTO.CodBarra=""),"(Sem Código)",IF(ISERROR(MATCH($AE123,INDIRECT(ORÇAMENTO.BancoRef),0)),"(Código não identificado nas referências)",MATCH($AE123,INDIRECT(ORÇAMENTO.BancoRef),0))))</f>
        <v>(abra o arquivo 'Referência 06-2024.xlsm)</v>
      </c>
      <c r="AG123" s="498">
        <f ca="1">ROUND(IF(DESONERACAO="sim",REFERENCIA.Desonerado,REFERENCIA.NaoDesonerado),2)</f>
        <v>0</v>
      </c>
      <c r="AH123" s="499">
        <f t="shared" ca="1" si="51"/>
        <v>0.2432</v>
      </c>
      <c r="AJ123" s="501"/>
      <c r="AL123" s="527"/>
      <c r="AM123" s="381">
        <f t="shared" ca="1" si="52"/>
        <v>0</v>
      </c>
      <c r="AN123" s="566">
        <f t="shared" ca="1" si="53"/>
        <v>0</v>
      </c>
    </row>
    <row r="124" spans="1:40" ht="25.5" x14ac:dyDescent="0.2">
      <c r="A124" t="str">
        <f t="shared" si="38"/>
        <v>S</v>
      </c>
      <c r="B124">
        <f t="shared" ca="1" si="39"/>
        <v>2</v>
      </c>
      <c r="C124" t="str">
        <f t="shared" ca="1" si="40"/>
        <v>S</v>
      </c>
      <c r="D124">
        <f t="shared" ca="1" si="41"/>
        <v>0</v>
      </c>
      <c r="E124">
        <f ca="1">IF($C124=1,OFFSET(E124,-1,0)+MAX(1,COUNTIF(QCI!$A$13:$A$24,OFFSET(ORÇAMENTO!E124,-1,0))),OFFSET(E124,-1,0))</f>
        <v>1</v>
      </c>
      <c r="F124">
        <f t="shared" ca="1" si="42"/>
        <v>19</v>
      </c>
      <c r="G124">
        <f t="shared" ca="1" si="43"/>
        <v>0</v>
      </c>
      <c r="H124">
        <f t="shared" ca="1" si="44"/>
        <v>0</v>
      </c>
      <c r="I124">
        <f t="shared" ca="1" si="45"/>
        <v>0</v>
      </c>
      <c r="J124">
        <f t="shared" ca="1" si="37"/>
        <v>0</v>
      </c>
      <c r="K124">
        <f ca="1">IF(OR($C124="S",$C124=0),0,MATCH(OFFSET($D124,0,$C124)+IF($C124&lt;&gt;1,1,COUNTIF(QCI!$A$13:$A$24,ORÇAMENTO!E124)),OFFSET($D124,1,$C124,ROW($C$727)-ROW($C124)),0))</f>
        <v>0</v>
      </c>
      <c r="L124" s="116" t="str">
        <f t="shared" ca="1" si="46"/>
        <v/>
      </c>
      <c r="M124" s="117" t="s">
        <v>199</v>
      </c>
      <c r="N124" s="118" t="str">
        <f t="shared" ca="1" si="47"/>
        <v>Serviço</v>
      </c>
      <c r="O124" s="119" t="str">
        <f t="shared" ca="1" si="48"/>
        <v>-</v>
      </c>
      <c r="P124" s="120" t="s">
        <v>458</v>
      </c>
      <c r="Q124" s="121" t="s">
        <v>529</v>
      </c>
      <c r="R124" s="122" t="str">
        <f ca="1">IF($C124="S",REFERENCIA.Descricao,"(digite a descrição aqui)")</f>
        <v>(abra o arquivo 'Referência 06-2024.xlsm)</v>
      </c>
      <c r="S124" s="123" t="str">
        <f ca="1">REFERENCIA.Unidade</f>
        <v>-</v>
      </c>
      <c r="T124" s="124">
        <f ca="1">OFFSET(CÁLCULO!H$15,ROW($T124)-ROW(T$15),0)</f>
        <v>19.84</v>
      </c>
      <c r="U124" s="125">
        <f t="shared" ca="1" si="54"/>
        <v>0</v>
      </c>
      <c r="V124" s="126" t="s">
        <v>156</v>
      </c>
      <c r="W124" s="124">
        <f ca="1">IF($C124="S",ROUND(IF(TIPOORCAMENTO="Proposto",ORÇAMENTO.CustoUnitario*(1+$AH124),ORÇAMENTO.PrecoUnitarioLicitado),15-13*$AF$10),0)</f>
        <v>0</v>
      </c>
      <c r="X124" s="127">
        <f ca="1">IF($C124="S",IF(Import.TipoArredondamento&lt;&gt;"TransfereGOV",VTOTAL1,SUM(OFFSET(CÁLCULO!$AI$15,ROW($X124)-ROW($X$15),1):OFFSET(CÁLCULO!$BB$15,ROW($X124)-ROW($X$15),-1))),IF($C124=0,0,ROUND(SomaAgrup,15-13*$AF$11)))</f>
        <v>0</v>
      </c>
      <c r="Y124" s="128" t="s">
        <v>245</v>
      </c>
      <c r="Z124" t="str">
        <f t="shared" ca="1" si="49"/>
        <v/>
      </c>
      <c r="AA124" s="129">
        <f ca="1">IF($C124="S",IF($Z124="CP",$X124,IF($Z124="RA",(($X124)*QCI!$AA$3),0)),SomaAgrup)</f>
        <v>0</v>
      </c>
      <c r="AB124" s="130">
        <f t="shared" ca="1" si="50"/>
        <v>0</v>
      </c>
      <c r="AC124" s="131" t="str">
        <f ca="1">IF($N124="","",IF(ORÇAMENTO.Descricao="","DESCRIÇÃO",IF(AND($C124="S",ORÇAMENTO.Unidade=""),"UNIDADE",IF($X124&lt;0,"VALOR NEGATIVO",IF(OR(AND(TIPOORCAMENTO="Proposto",$AG124&lt;&gt;"",$AG124&gt;0,ORÇAMENTO.CustoUnitario&gt;$AG124),AND(TIPOORCAMENTO="LICITADO",ORÇAMENTO.PrecoUnitarioLicitado&gt;$AN124)),"ACIMA REF.","")))))</f>
        <v/>
      </c>
      <c r="AD124" t="str">
        <f ca="1">IF(C124&lt;=CRONO.NivelExibicao,MAX($AD$15:OFFSET(AD124,-1,0))+IF($C124&lt;&gt;1,1,MAX(1,COUNTIF(QCI!$A$13:$A$24,OFFSET($E124,-1,0)))),"")</f>
        <v/>
      </c>
      <c r="AE124" s="7" t="str">
        <f ca="1">IF(AND($C124="S",ORÇAMENTO.CodBarra&lt;&gt;""),IF(ORÇAMENTO.Fonte="",ORÇAMENTO.CodBarra,CONCATENATE(ORÇAMENTO.Fonte," ",ORÇAMENTO.CodBarra)))</f>
        <v>COMPOSIÇÃO FNDE 04</v>
      </c>
      <c r="AF124" s="13" t="str">
        <f ca="1">IF(ISERROR(INDIRECT(ORÇAMENTO.BancoRef)),"(abra o arquivo 'Referência "&amp;Excel_BuiltIn_Database&amp;".xlsm)",IF(OR($C124&lt;&gt;"S",ORÇAMENTO.CodBarra=""),"(Sem Código)",IF(ISERROR(MATCH($AE124,INDIRECT(ORÇAMENTO.BancoRef),0)),"(Código não identificado nas referências)",MATCH($AE124,INDIRECT(ORÇAMENTO.BancoRef),0))))</f>
        <v>(abra o arquivo 'Referência 06-2024.xlsm)</v>
      </c>
      <c r="AG124" s="498">
        <f ca="1">ROUND(IF(DESONERACAO="sim",REFERENCIA.Desonerado,REFERENCIA.NaoDesonerado),2)</f>
        <v>0</v>
      </c>
      <c r="AH124" s="499">
        <f t="shared" ca="1" si="51"/>
        <v>0.2432</v>
      </c>
      <c r="AJ124" s="501"/>
      <c r="AL124" s="527"/>
      <c r="AM124" s="381">
        <f t="shared" ca="1" si="52"/>
        <v>0</v>
      </c>
      <c r="AN124" s="566">
        <f t="shared" ca="1" si="53"/>
        <v>0</v>
      </c>
    </row>
    <row r="125" spans="1:40" ht="25.5" x14ac:dyDescent="0.2">
      <c r="A125" t="str">
        <f t="shared" si="38"/>
        <v>S</v>
      </c>
      <c r="B125">
        <f t="shared" ca="1" si="39"/>
        <v>2</v>
      </c>
      <c r="C125" t="str">
        <f t="shared" ca="1" si="40"/>
        <v>S</v>
      </c>
      <c r="D125">
        <f t="shared" ca="1" si="41"/>
        <v>0</v>
      </c>
      <c r="E125">
        <f ca="1">IF($C125=1,OFFSET(E125,-1,0)+MAX(1,COUNTIF(QCI!$A$13:$A$24,OFFSET(ORÇAMENTO!E125,-1,0))),OFFSET(E125,-1,0))</f>
        <v>1</v>
      </c>
      <c r="F125">
        <f t="shared" ca="1" si="42"/>
        <v>19</v>
      </c>
      <c r="G125">
        <f t="shared" ca="1" si="43"/>
        <v>0</v>
      </c>
      <c r="H125">
        <f t="shared" ca="1" si="44"/>
        <v>0</v>
      </c>
      <c r="I125">
        <f t="shared" ca="1" si="45"/>
        <v>0</v>
      </c>
      <c r="J125">
        <f t="shared" ca="1" si="37"/>
        <v>0</v>
      </c>
      <c r="K125">
        <f ca="1">IF(OR($C125="S",$C125=0),0,MATCH(OFFSET($D125,0,$C125)+IF($C125&lt;&gt;1,1,COUNTIF(QCI!$A$13:$A$24,ORÇAMENTO!E125)),OFFSET($D125,1,$C125,ROW($C$727)-ROW($C125)),0))</f>
        <v>0</v>
      </c>
      <c r="L125" s="116" t="str">
        <f t="shared" ca="1" si="46"/>
        <v/>
      </c>
      <c r="M125" s="117" t="s">
        <v>199</v>
      </c>
      <c r="N125" s="118" t="str">
        <f t="shared" ca="1" si="47"/>
        <v>Serviço</v>
      </c>
      <c r="O125" s="119" t="str">
        <f t="shared" ca="1" si="48"/>
        <v>-</v>
      </c>
      <c r="P125" s="120" t="s">
        <v>247</v>
      </c>
      <c r="Q125" s="121" t="s">
        <v>530</v>
      </c>
      <c r="R125" s="122" t="str">
        <f ca="1">IF($C125="S",REFERENCIA.Descricao,"(digite a descrição aqui)")</f>
        <v>(abra o arquivo 'Referência 06-2024.xlsm)</v>
      </c>
      <c r="S125" s="123" t="str">
        <f ca="1">REFERENCIA.Unidade</f>
        <v>-</v>
      </c>
      <c r="T125" s="124">
        <f ca="1">OFFSET(CÁLCULO!H$15,ROW($T125)-ROW(T$15),0)</f>
        <v>205.25</v>
      </c>
      <c r="U125" s="125">
        <f t="shared" ca="1" si="54"/>
        <v>0</v>
      </c>
      <c r="V125" s="126" t="s">
        <v>156</v>
      </c>
      <c r="W125" s="124">
        <f ca="1">IF($C125="S",ROUND(IF(TIPOORCAMENTO="Proposto",ORÇAMENTO.CustoUnitario*(1+$AH125),ORÇAMENTO.PrecoUnitarioLicitado),15-13*$AF$10),0)</f>
        <v>0</v>
      </c>
      <c r="X125" s="127">
        <f ca="1">IF($C125="S",IF(Import.TipoArredondamento&lt;&gt;"TransfereGOV",VTOTAL1,SUM(OFFSET(CÁLCULO!$AI$15,ROW($X125)-ROW($X$15),1):OFFSET(CÁLCULO!$BB$15,ROW($X125)-ROW($X$15),-1))),IF($C125=0,0,ROUND(SomaAgrup,15-13*$AF$11)))</f>
        <v>0</v>
      </c>
      <c r="Y125" s="128" t="s">
        <v>245</v>
      </c>
      <c r="Z125" t="str">
        <f t="shared" ca="1" si="49"/>
        <v/>
      </c>
      <c r="AA125" s="129">
        <f ca="1">IF($C125="S",IF($Z125="CP",$X125,IF($Z125="RA",(($X125)*QCI!$AA$3),0)),SomaAgrup)</f>
        <v>0</v>
      </c>
      <c r="AB125" s="130">
        <f t="shared" ca="1" si="50"/>
        <v>0</v>
      </c>
      <c r="AC125" s="131" t="str">
        <f ca="1">IF($N125="","",IF(ORÇAMENTO.Descricao="","DESCRIÇÃO",IF(AND($C125="S",ORÇAMENTO.Unidade=""),"UNIDADE",IF($X125&lt;0,"VALOR NEGATIVO",IF(OR(AND(TIPOORCAMENTO="Proposto",$AG125&lt;&gt;"",$AG125&gt;0,ORÇAMENTO.CustoUnitario&gt;$AG125),AND(TIPOORCAMENTO="LICITADO",ORÇAMENTO.PrecoUnitarioLicitado&gt;$AN125)),"ACIMA REF.","")))))</f>
        <v/>
      </c>
      <c r="AD125" t="str">
        <f ca="1">IF(C125&lt;=CRONO.NivelExibicao,MAX($AD$15:OFFSET(AD125,-1,0))+IF($C125&lt;&gt;1,1,MAX(1,COUNTIF(QCI!$A$13:$A$24,OFFSET($E125,-1,0)))),"")</f>
        <v/>
      </c>
      <c r="AE125" s="7" t="str">
        <f ca="1">IF(AND($C125="S",ORÇAMENTO.CodBarra&lt;&gt;""),IF(ORÇAMENTO.Fonte="",ORÇAMENTO.CodBarra,CONCATENATE(ORÇAMENTO.Fonte," ",ORÇAMENTO.CodBarra)))</f>
        <v>SINAPI 102219</v>
      </c>
      <c r="AF125" s="13" t="str">
        <f ca="1">IF(ISERROR(INDIRECT(ORÇAMENTO.BancoRef)),"(abra o arquivo 'Referência "&amp;Excel_BuiltIn_Database&amp;".xlsm)",IF(OR($C125&lt;&gt;"S",ORÇAMENTO.CodBarra=""),"(Sem Código)",IF(ISERROR(MATCH($AE125,INDIRECT(ORÇAMENTO.BancoRef),0)),"(Código não identificado nas referências)",MATCH($AE125,INDIRECT(ORÇAMENTO.BancoRef),0))))</f>
        <v>(abra o arquivo 'Referência 06-2024.xlsm)</v>
      </c>
      <c r="AG125" s="498">
        <f ca="1">ROUND(IF(DESONERACAO="sim",REFERENCIA.Desonerado,REFERENCIA.NaoDesonerado),2)</f>
        <v>0</v>
      </c>
      <c r="AH125" s="499">
        <f t="shared" ca="1" si="51"/>
        <v>0.2432</v>
      </c>
      <c r="AJ125" s="501"/>
      <c r="AL125" s="527"/>
      <c r="AM125" s="381">
        <f t="shared" ca="1" si="52"/>
        <v>0</v>
      </c>
      <c r="AN125" s="566">
        <f t="shared" ca="1" si="53"/>
        <v>0</v>
      </c>
    </row>
    <row r="126" spans="1:40" x14ac:dyDescent="0.2">
      <c r="A126">
        <f t="shared" si="38"/>
        <v>2</v>
      </c>
      <c r="B126">
        <f t="shared" ca="1" si="39"/>
        <v>2</v>
      </c>
      <c r="C126">
        <f t="shared" ca="1" si="40"/>
        <v>2</v>
      </c>
      <c r="D126">
        <f t="shared" ca="1" si="41"/>
        <v>8</v>
      </c>
      <c r="E126">
        <f ca="1">IF($C126=1,OFFSET(E126,-1,0)+MAX(1,COUNTIF(QCI!$A$13:$A$24,OFFSET(ORÇAMENTO!E126,-1,0))),OFFSET(E126,-1,0))</f>
        <v>1</v>
      </c>
      <c r="F126">
        <f t="shared" ca="1" si="42"/>
        <v>20</v>
      </c>
      <c r="G126">
        <f t="shared" ca="1" si="43"/>
        <v>0</v>
      </c>
      <c r="H126">
        <f t="shared" ca="1" si="44"/>
        <v>0</v>
      </c>
      <c r="I126">
        <f t="shared" ca="1" si="45"/>
        <v>0</v>
      </c>
      <c r="J126">
        <f t="shared" ca="1" si="37"/>
        <v>601</v>
      </c>
      <c r="K126">
        <f ca="1">IF(OR($C126="S",$C126=0),0,MATCH(OFFSET($D126,0,$C126)+IF($C126&lt;&gt;1,1,COUNTIF(QCI!$A$13:$A$24,ORÇAMENTO!E126)),OFFSET($D126,1,$C126,ROW($C$727)-ROW($C126)),0))</f>
        <v>8</v>
      </c>
      <c r="L126" s="116" t="str">
        <f t="shared" ca="1" si="46"/>
        <v>F</v>
      </c>
      <c r="M126" s="117" t="s">
        <v>196</v>
      </c>
      <c r="N126" s="118" t="str">
        <f t="shared" ca="1" si="47"/>
        <v>Nível 2</v>
      </c>
      <c r="O126" s="119" t="str">
        <f t="shared" ca="1" si="48"/>
        <v>1.20.</v>
      </c>
      <c r="P126" s="120" t="s">
        <v>247</v>
      </c>
      <c r="Q126" s="121"/>
      <c r="R126" s="122" t="s">
        <v>1047</v>
      </c>
      <c r="S126" s="123" t="str">
        <f ca="1">REFERENCIA.Unidade</f>
        <v>-</v>
      </c>
      <c r="T126" s="124">
        <f ca="1">OFFSET(CÁLCULO!H$15,ROW($T126)-ROW(T$15),0)</f>
        <v>0</v>
      </c>
      <c r="U126" s="125">
        <f t="shared" ca="1" si="54"/>
        <v>0</v>
      </c>
      <c r="V126" s="126" t="s">
        <v>156</v>
      </c>
      <c r="W126" s="124">
        <f ca="1">IF($C126="S",ROUND(IF(TIPOORCAMENTO="Proposto",ORÇAMENTO.CustoUnitario*(1+$AH126),ORÇAMENTO.PrecoUnitarioLicitado),15-13*$AF$10),0)</f>
        <v>0</v>
      </c>
      <c r="X126" s="127">
        <f ca="1">IF($C126="S",IF(Import.TipoArredondamento&lt;&gt;"TransfereGOV",VTOTAL1,SUM(OFFSET(CÁLCULO!$AI$15,ROW($X126)-ROW($X$15),1):OFFSET(CÁLCULO!$BB$15,ROW($X126)-ROW($X$15),-1))),IF($C126=0,0,ROUND(SomaAgrup,15-13*$AF$11)))</f>
        <v>0</v>
      </c>
      <c r="Y126" s="128" t="s">
        <v>245</v>
      </c>
      <c r="Z126" t="str">
        <f t="shared" ca="1" si="49"/>
        <v/>
      </c>
      <c r="AA126" s="129">
        <f ca="1">IF($C126="S",IF($Z126="CP",$X126,IF($Z126="RA",(($X126)*QCI!$AA$3),0)),SomaAgrup)</f>
        <v>0</v>
      </c>
      <c r="AB126" s="130">
        <f t="shared" ca="1" si="50"/>
        <v>0</v>
      </c>
      <c r="AC126" s="131" t="str">
        <f ca="1">IF($N126="","",IF(ORÇAMENTO.Descricao="","DESCRIÇÃO",IF(AND($C126="S",ORÇAMENTO.Unidade=""),"UNIDADE",IF($X126&lt;0,"VALOR NEGATIVO",IF(OR(AND(TIPOORCAMENTO="Proposto",$AG126&lt;&gt;"",$AG126&gt;0,ORÇAMENTO.CustoUnitario&gt;$AG126),AND(TIPOORCAMENTO="LICITADO",ORÇAMENTO.PrecoUnitarioLicitado&gt;$AN126)),"ACIMA REF.","")))))</f>
        <v/>
      </c>
      <c r="AD126">
        <f ca="1">IF(C126&lt;=CRONO.NivelExibicao,MAX($AD$15:OFFSET(AD126,-1,0))+IF($C126&lt;&gt;1,1,MAX(1,COUNTIF(QCI!$A$13:$A$24,OFFSET($E126,-1,0)))),"")</f>
        <v>21</v>
      </c>
      <c r="AE126" s="7" t="b">
        <f ca="1">IF(AND($C126="S",ORÇAMENTO.CodBarra&lt;&gt;""),IF(ORÇAMENTO.Fonte="",ORÇAMENTO.CodBarra,CONCATENATE(ORÇAMENTO.Fonte," ",ORÇAMENTO.CodBarra)))</f>
        <v>0</v>
      </c>
      <c r="AF126" s="13" t="str">
        <f ca="1">IF(ISERROR(INDIRECT(ORÇAMENTO.BancoRef)),"(abra o arquivo 'Referência "&amp;Excel_BuiltIn_Database&amp;".xlsm)",IF(OR($C126&lt;&gt;"S",ORÇAMENTO.CodBarra=""),"(Sem Código)",IF(ISERROR(MATCH($AE126,INDIRECT(ORÇAMENTO.BancoRef),0)),"(Código não identificado nas referências)",MATCH($AE126,INDIRECT(ORÇAMENTO.BancoRef),0))))</f>
        <v>(abra o arquivo 'Referência 06-2024.xlsm)</v>
      </c>
      <c r="AG126" s="498">
        <f ca="1">ROUND(IF(DESONERACAO="sim",REFERENCIA.Desonerado,REFERENCIA.NaoDesonerado),2)</f>
        <v>0</v>
      </c>
      <c r="AH126" s="499">
        <f t="shared" ca="1" si="51"/>
        <v>0.2432</v>
      </c>
      <c r="AJ126" s="501"/>
      <c r="AL126" s="527"/>
      <c r="AM126" s="381">
        <f t="shared" ca="1" si="52"/>
        <v>0</v>
      </c>
      <c r="AN126" s="566">
        <f t="shared" ca="1" si="53"/>
        <v>0</v>
      </c>
    </row>
    <row r="127" spans="1:40" ht="38.25" x14ac:dyDescent="0.2">
      <c r="A127" t="str">
        <f t="shared" si="38"/>
        <v>S</v>
      </c>
      <c r="B127">
        <f t="shared" ca="1" si="39"/>
        <v>2</v>
      </c>
      <c r="C127" t="str">
        <f t="shared" ca="1" si="40"/>
        <v>S</v>
      </c>
      <c r="D127">
        <f t="shared" ca="1" si="41"/>
        <v>0</v>
      </c>
      <c r="E127">
        <f ca="1">IF($C127=1,OFFSET(E127,-1,0)+MAX(1,COUNTIF(QCI!$A$13:$A$24,OFFSET(ORÇAMENTO!E127,-1,0))),OFFSET(E127,-1,0))</f>
        <v>1</v>
      </c>
      <c r="F127">
        <f t="shared" ca="1" si="42"/>
        <v>20</v>
      </c>
      <c r="G127">
        <f t="shared" ca="1" si="43"/>
        <v>0</v>
      </c>
      <c r="H127">
        <f t="shared" ca="1" si="44"/>
        <v>0</v>
      </c>
      <c r="I127">
        <f t="shared" ca="1" si="45"/>
        <v>0</v>
      </c>
      <c r="J127">
        <f t="shared" ca="1" si="37"/>
        <v>0</v>
      </c>
      <c r="K127">
        <f ca="1">IF(OR($C127="S",$C127=0),0,MATCH(OFFSET($D127,0,$C127)+IF($C127&lt;&gt;1,1,COUNTIF(QCI!$A$13:$A$24,ORÇAMENTO!E127)),OFFSET($D127,1,$C127,ROW($C$727)-ROW($C127)),0))</f>
        <v>0</v>
      </c>
      <c r="L127" s="116" t="str">
        <f t="shared" ca="1" si="46"/>
        <v/>
      </c>
      <c r="M127" s="117" t="s">
        <v>199</v>
      </c>
      <c r="N127" s="118" t="str">
        <f t="shared" ca="1" si="47"/>
        <v>Serviço</v>
      </c>
      <c r="O127" s="119" t="str">
        <f t="shared" ca="1" si="48"/>
        <v>-</v>
      </c>
      <c r="P127" s="120" t="s">
        <v>458</v>
      </c>
      <c r="Q127" s="121" t="s">
        <v>531</v>
      </c>
      <c r="R127" s="122" t="str">
        <f ca="1">IF($C127="S",REFERENCIA.Descricao,"(digite a descrição aqui)")</f>
        <v>(abra o arquivo 'Referência 06-2024.xlsm)</v>
      </c>
      <c r="S127" s="123" t="str">
        <f ca="1">REFERENCIA.Unidade</f>
        <v>-</v>
      </c>
      <c r="T127" s="124">
        <f ca="1">OFFSET(CÁLCULO!H$15,ROW($T127)-ROW(T$15),0)</f>
        <v>1</v>
      </c>
      <c r="U127" s="125">
        <f t="shared" ca="1" si="54"/>
        <v>0</v>
      </c>
      <c r="V127" s="126" t="s">
        <v>156</v>
      </c>
      <c r="W127" s="124">
        <f ca="1">IF($C127="S",ROUND(IF(TIPOORCAMENTO="Proposto",ORÇAMENTO.CustoUnitario*(1+$AH127),ORÇAMENTO.PrecoUnitarioLicitado),15-13*$AF$10),0)</f>
        <v>0</v>
      </c>
      <c r="X127" s="127">
        <f ca="1">IF($C127="S",IF(Import.TipoArredondamento&lt;&gt;"TransfereGOV",VTOTAL1,SUM(OFFSET(CÁLCULO!$AI$15,ROW($X127)-ROW($X$15),1):OFFSET(CÁLCULO!$BB$15,ROW($X127)-ROW($X$15),-1))),IF($C127=0,0,ROUND(SomaAgrup,15-13*$AF$11)))</f>
        <v>0</v>
      </c>
      <c r="Y127" s="128" t="s">
        <v>245</v>
      </c>
      <c r="Z127" t="str">
        <f t="shared" ca="1" si="49"/>
        <v/>
      </c>
      <c r="AA127" s="129">
        <f ca="1">IF($C127="S",IF($Z127="CP",$X127,IF($Z127="RA",(($X127)*QCI!$AA$3),0)),SomaAgrup)</f>
        <v>0</v>
      </c>
      <c r="AB127" s="130">
        <f t="shared" ca="1" si="50"/>
        <v>0</v>
      </c>
      <c r="AC127" s="131" t="str">
        <f ca="1">IF($N127="","",IF(ORÇAMENTO.Descricao="","DESCRIÇÃO",IF(AND($C127="S",ORÇAMENTO.Unidade=""),"UNIDADE",IF($X127&lt;0,"VALOR NEGATIVO",IF(OR(AND(TIPOORCAMENTO="Proposto",$AG127&lt;&gt;"",$AG127&gt;0,ORÇAMENTO.CustoUnitario&gt;$AG127),AND(TIPOORCAMENTO="LICITADO",ORÇAMENTO.PrecoUnitarioLicitado&gt;$AN127)),"ACIMA REF.","")))))</f>
        <v/>
      </c>
      <c r="AD127" t="str">
        <f ca="1">IF(C127&lt;=CRONO.NivelExibicao,MAX($AD$15:OFFSET(AD127,-1,0))+IF($C127&lt;&gt;1,1,MAX(1,COUNTIF(QCI!$A$13:$A$24,OFFSET($E127,-1,0)))),"")</f>
        <v/>
      </c>
      <c r="AE127" s="7" t="str">
        <f ca="1">IF(AND($C127="S",ORÇAMENTO.CodBarra&lt;&gt;""),IF(ORÇAMENTO.Fonte="",ORÇAMENTO.CodBarra,CONCATENATE(ORÇAMENTO.Fonte," ",ORÇAMENTO.CodBarra)))</f>
        <v>COMPOSIÇÃO FNDE 251</v>
      </c>
      <c r="AF127" s="13" t="str">
        <f ca="1">IF(ISERROR(INDIRECT(ORÇAMENTO.BancoRef)),"(abra o arquivo 'Referência "&amp;Excel_BuiltIn_Database&amp;".xlsm)",IF(OR($C127&lt;&gt;"S",ORÇAMENTO.CodBarra=""),"(Sem Código)",IF(ISERROR(MATCH($AE127,INDIRECT(ORÇAMENTO.BancoRef),0)),"(Código não identificado nas referências)",MATCH($AE127,INDIRECT(ORÇAMENTO.BancoRef),0))))</f>
        <v>(abra o arquivo 'Referência 06-2024.xlsm)</v>
      </c>
      <c r="AG127" s="498">
        <f ca="1">ROUND(IF(DESONERACAO="sim",REFERENCIA.Desonerado,REFERENCIA.NaoDesonerado),2)</f>
        <v>0</v>
      </c>
      <c r="AH127" s="499">
        <f t="shared" ca="1" si="51"/>
        <v>0.2432</v>
      </c>
      <c r="AJ127" s="501"/>
      <c r="AL127" s="527"/>
      <c r="AM127" s="381">
        <f t="shared" ca="1" si="52"/>
        <v>0</v>
      </c>
      <c r="AN127" s="566">
        <f t="shared" ca="1" si="53"/>
        <v>0</v>
      </c>
    </row>
    <row r="128" spans="1:40" ht="51" x14ac:dyDescent="0.2">
      <c r="A128" t="str">
        <f t="shared" si="38"/>
        <v>S</v>
      </c>
      <c r="B128">
        <f t="shared" ca="1" si="39"/>
        <v>2</v>
      </c>
      <c r="C128" t="str">
        <f t="shared" ca="1" si="40"/>
        <v>S</v>
      </c>
      <c r="D128">
        <f t="shared" ca="1" si="41"/>
        <v>0</v>
      </c>
      <c r="E128">
        <f ca="1">IF($C128=1,OFFSET(E128,-1,0)+MAX(1,COUNTIF(QCI!$A$13:$A$24,OFFSET(ORÇAMENTO!E128,-1,0))),OFFSET(E128,-1,0))</f>
        <v>1</v>
      </c>
      <c r="F128">
        <f t="shared" ca="1" si="42"/>
        <v>20</v>
      </c>
      <c r="G128">
        <f t="shared" ca="1" si="43"/>
        <v>0</v>
      </c>
      <c r="H128">
        <f t="shared" ca="1" si="44"/>
        <v>0</v>
      </c>
      <c r="I128">
        <f t="shared" ca="1" si="45"/>
        <v>0</v>
      </c>
      <c r="J128">
        <f t="shared" ca="1" si="37"/>
        <v>0</v>
      </c>
      <c r="K128">
        <f ca="1">IF(OR($C128="S",$C128=0),0,MATCH(OFFSET($D128,0,$C128)+IF($C128&lt;&gt;1,1,COUNTIF(QCI!$A$13:$A$24,ORÇAMENTO!E128)),OFFSET($D128,1,$C128,ROW($C$727)-ROW($C128)),0))</f>
        <v>0</v>
      </c>
      <c r="L128" s="116" t="str">
        <f t="shared" ca="1" si="46"/>
        <v/>
      </c>
      <c r="M128" s="117" t="s">
        <v>199</v>
      </c>
      <c r="N128" s="118" t="str">
        <f t="shared" ca="1" si="47"/>
        <v>Serviço</v>
      </c>
      <c r="O128" s="119" t="str">
        <f t="shared" ca="1" si="48"/>
        <v>-</v>
      </c>
      <c r="P128" s="120" t="s">
        <v>458</v>
      </c>
      <c r="Q128" s="121" t="s">
        <v>532</v>
      </c>
      <c r="R128" s="122" t="str">
        <f ca="1">IF($C128="S",REFERENCIA.Descricao,"(digite a descrição aqui)")</f>
        <v>(abra o arquivo 'Referência 06-2024.xlsm)</v>
      </c>
      <c r="S128" s="123" t="str">
        <f ca="1">REFERENCIA.Unidade</f>
        <v>-</v>
      </c>
      <c r="T128" s="124">
        <f ca="1">OFFSET(CÁLCULO!H$15,ROW($T128)-ROW(T$15),0)</f>
        <v>1.68</v>
      </c>
      <c r="U128" s="125">
        <f t="shared" ca="1" si="54"/>
        <v>0</v>
      </c>
      <c r="V128" s="126" t="s">
        <v>156</v>
      </c>
      <c r="W128" s="124">
        <f ca="1">IF($C128="S",ROUND(IF(TIPOORCAMENTO="Proposto",ORÇAMENTO.CustoUnitario*(1+$AH128),ORÇAMENTO.PrecoUnitarioLicitado),15-13*$AF$10),0)</f>
        <v>0</v>
      </c>
      <c r="X128" s="127">
        <f ca="1">IF($C128="S",IF(Import.TipoArredondamento&lt;&gt;"TransfereGOV",VTOTAL1,SUM(OFFSET(CÁLCULO!$AI$15,ROW($X128)-ROW($X$15),1):OFFSET(CÁLCULO!$BB$15,ROW($X128)-ROW($X$15),-1))),IF($C128=0,0,ROUND(SomaAgrup,15-13*$AF$11)))</f>
        <v>0</v>
      </c>
      <c r="Y128" s="128" t="s">
        <v>245</v>
      </c>
      <c r="Z128" t="str">
        <f t="shared" ca="1" si="49"/>
        <v/>
      </c>
      <c r="AA128" s="129">
        <f ca="1">IF($C128="S",IF($Z128="CP",$X128,IF($Z128="RA",(($X128)*QCI!$AA$3),0)),SomaAgrup)</f>
        <v>0</v>
      </c>
      <c r="AB128" s="130">
        <f t="shared" ca="1" si="50"/>
        <v>0</v>
      </c>
      <c r="AC128" s="131" t="str">
        <f ca="1">IF($N128="","",IF(ORÇAMENTO.Descricao="","DESCRIÇÃO",IF(AND($C128="S",ORÇAMENTO.Unidade=""),"UNIDADE",IF($X128&lt;0,"VALOR NEGATIVO",IF(OR(AND(TIPOORCAMENTO="Proposto",$AG128&lt;&gt;"",$AG128&gt;0,ORÇAMENTO.CustoUnitario&gt;$AG128),AND(TIPOORCAMENTO="LICITADO",ORÇAMENTO.PrecoUnitarioLicitado&gt;$AN128)),"ACIMA REF.","")))))</f>
        <v/>
      </c>
      <c r="AD128" t="str">
        <f ca="1">IF(C128&lt;=CRONO.NivelExibicao,MAX($AD$15:OFFSET(AD128,-1,0))+IF($C128&lt;&gt;1,1,MAX(1,COUNTIF(QCI!$A$13:$A$24,OFFSET($E128,-1,0)))),"")</f>
        <v/>
      </c>
      <c r="AE128" s="7" t="str">
        <f ca="1">IF(AND($C128="S",ORÇAMENTO.CodBarra&lt;&gt;""),IF(ORÇAMENTO.Fonte="",ORÇAMENTO.CodBarra,CONCATENATE(ORÇAMENTO.Fonte," ",ORÇAMENTO.CodBarra)))</f>
        <v>COMPOSIÇÃO FNDE 252</v>
      </c>
      <c r="AF128" s="13" t="str">
        <f ca="1">IF(ISERROR(INDIRECT(ORÇAMENTO.BancoRef)),"(abra o arquivo 'Referência "&amp;Excel_BuiltIn_Database&amp;".xlsm)",IF(OR($C128&lt;&gt;"S",ORÇAMENTO.CodBarra=""),"(Sem Código)",IF(ISERROR(MATCH($AE128,INDIRECT(ORÇAMENTO.BancoRef),0)),"(Código não identificado nas referências)",MATCH($AE128,INDIRECT(ORÇAMENTO.BancoRef),0))))</f>
        <v>(abra o arquivo 'Referência 06-2024.xlsm)</v>
      </c>
      <c r="AG128" s="498">
        <f ca="1">ROUND(IF(DESONERACAO="sim",REFERENCIA.Desonerado,REFERENCIA.NaoDesonerado),2)</f>
        <v>0</v>
      </c>
      <c r="AH128" s="499">
        <f t="shared" ca="1" si="51"/>
        <v>0.2432</v>
      </c>
      <c r="AJ128" s="501"/>
      <c r="AL128" s="527"/>
      <c r="AM128" s="381">
        <f t="shared" ca="1" si="52"/>
        <v>0</v>
      </c>
      <c r="AN128" s="566">
        <f t="shared" ca="1" si="53"/>
        <v>0</v>
      </c>
    </row>
    <row r="129" spans="1:40" ht="51" x14ac:dyDescent="0.2">
      <c r="A129" t="str">
        <f t="shared" si="38"/>
        <v>S</v>
      </c>
      <c r="B129">
        <f t="shared" ca="1" si="39"/>
        <v>2</v>
      </c>
      <c r="C129" t="str">
        <f t="shared" ca="1" si="40"/>
        <v>S</v>
      </c>
      <c r="D129">
        <f t="shared" ca="1" si="41"/>
        <v>0</v>
      </c>
      <c r="E129">
        <f ca="1">IF($C129=1,OFFSET(E129,-1,0)+MAX(1,COUNTIF(QCI!$A$13:$A$24,OFFSET(ORÇAMENTO!E129,-1,0))),OFFSET(E129,-1,0))</f>
        <v>1</v>
      </c>
      <c r="F129">
        <f t="shared" ca="1" si="42"/>
        <v>20</v>
      </c>
      <c r="G129">
        <f t="shared" ca="1" si="43"/>
        <v>0</v>
      </c>
      <c r="H129">
        <f t="shared" ca="1" si="44"/>
        <v>0</v>
      </c>
      <c r="I129">
        <f t="shared" ca="1" si="45"/>
        <v>0</v>
      </c>
      <c r="J129">
        <f t="shared" ca="1" si="37"/>
        <v>0</v>
      </c>
      <c r="K129">
        <f ca="1">IF(OR($C129="S",$C129=0),0,MATCH(OFFSET($D129,0,$C129)+IF($C129&lt;&gt;1,1,COUNTIF(QCI!$A$13:$A$24,ORÇAMENTO!E129)),OFFSET($D129,1,$C129,ROW($C$727)-ROW($C129)),0))</f>
        <v>0</v>
      </c>
      <c r="L129" s="116" t="str">
        <f t="shared" ca="1" si="46"/>
        <v/>
      </c>
      <c r="M129" s="117" t="s">
        <v>199</v>
      </c>
      <c r="N129" s="118" t="str">
        <f t="shared" ca="1" si="47"/>
        <v>Serviço</v>
      </c>
      <c r="O129" s="119" t="str">
        <f t="shared" ca="1" si="48"/>
        <v>-</v>
      </c>
      <c r="P129" s="120" t="s">
        <v>458</v>
      </c>
      <c r="Q129" s="121" t="s">
        <v>533</v>
      </c>
      <c r="R129" s="122" t="str">
        <f ca="1">IF($C129="S",REFERENCIA.Descricao,"(digite a descrição aqui)")</f>
        <v>(abra o arquivo 'Referência 06-2024.xlsm)</v>
      </c>
      <c r="S129" s="123" t="str">
        <f ca="1">REFERENCIA.Unidade</f>
        <v>-</v>
      </c>
      <c r="T129" s="124">
        <f ca="1">OFFSET(CÁLCULO!H$15,ROW($T129)-ROW(T$15),0)</f>
        <v>6.72</v>
      </c>
      <c r="U129" s="125">
        <f t="shared" ca="1" si="54"/>
        <v>0</v>
      </c>
      <c r="V129" s="126" t="s">
        <v>156</v>
      </c>
      <c r="W129" s="124">
        <f ca="1">IF($C129="S",ROUND(IF(TIPOORCAMENTO="Proposto",ORÇAMENTO.CustoUnitario*(1+$AH129),ORÇAMENTO.PrecoUnitarioLicitado),15-13*$AF$10),0)</f>
        <v>0</v>
      </c>
      <c r="X129" s="127">
        <f ca="1">IF($C129="S",IF(Import.TipoArredondamento&lt;&gt;"TransfereGOV",VTOTAL1,SUM(OFFSET(CÁLCULO!$AI$15,ROW($X129)-ROW($X$15),1):OFFSET(CÁLCULO!$BB$15,ROW($X129)-ROW($X$15),-1))),IF($C129=0,0,ROUND(SomaAgrup,15-13*$AF$11)))</f>
        <v>0</v>
      </c>
      <c r="Y129" s="128" t="s">
        <v>245</v>
      </c>
      <c r="Z129" t="str">
        <f t="shared" ca="1" si="49"/>
        <v/>
      </c>
      <c r="AA129" s="129">
        <f ca="1">IF($C129="S",IF($Z129="CP",$X129,IF($Z129="RA",(($X129)*QCI!$AA$3),0)),SomaAgrup)</f>
        <v>0</v>
      </c>
      <c r="AB129" s="130">
        <f t="shared" ca="1" si="50"/>
        <v>0</v>
      </c>
      <c r="AC129" s="131" t="str">
        <f ca="1">IF($N129="","",IF(ORÇAMENTO.Descricao="","DESCRIÇÃO",IF(AND($C129="S",ORÇAMENTO.Unidade=""),"UNIDADE",IF($X129&lt;0,"VALOR NEGATIVO",IF(OR(AND(TIPOORCAMENTO="Proposto",$AG129&lt;&gt;"",$AG129&gt;0,ORÇAMENTO.CustoUnitario&gt;$AG129),AND(TIPOORCAMENTO="LICITADO",ORÇAMENTO.PrecoUnitarioLicitado&gt;$AN129)),"ACIMA REF.","")))))</f>
        <v/>
      </c>
      <c r="AD129" t="str">
        <f ca="1">IF(C129&lt;=CRONO.NivelExibicao,MAX($AD$15:OFFSET(AD129,-1,0))+IF($C129&lt;&gt;1,1,MAX(1,COUNTIF(QCI!$A$13:$A$24,OFFSET($E129,-1,0)))),"")</f>
        <v/>
      </c>
      <c r="AE129" s="7" t="str">
        <f ca="1">IF(AND($C129="S",ORÇAMENTO.CodBarra&lt;&gt;""),IF(ORÇAMENTO.Fonte="",ORÇAMENTO.CodBarra,CONCATENATE(ORÇAMENTO.Fonte," ",ORÇAMENTO.CodBarra)))</f>
        <v>COMPOSIÇÃO FNDE 253</v>
      </c>
      <c r="AF129" s="13" t="str">
        <f ca="1">IF(ISERROR(INDIRECT(ORÇAMENTO.BancoRef)),"(abra o arquivo 'Referência "&amp;Excel_BuiltIn_Database&amp;".xlsm)",IF(OR($C129&lt;&gt;"S",ORÇAMENTO.CodBarra=""),"(Sem Código)",IF(ISERROR(MATCH($AE129,INDIRECT(ORÇAMENTO.BancoRef),0)),"(Código não identificado nas referências)",MATCH($AE129,INDIRECT(ORÇAMENTO.BancoRef),0))))</f>
        <v>(abra o arquivo 'Referência 06-2024.xlsm)</v>
      </c>
      <c r="AG129" s="498">
        <f ca="1">ROUND(IF(DESONERACAO="sim",REFERENCIA.Desonerado,REFERENCIA.NaoDesonerado),2)</f>
        <v>0</v>
      </c>
      <c r="AH129" s="499">
        <f t="shared" ca="1" si="51"/>
        <v>0.2432</v>
      </c>
      <c r="AJ129" s="501"/>
      <c r="AL129" s="527"/>
      <c r="AM129" s="381">
        <f t="shared" ca="1" si="52"/>
        <v>0</v>
      </c>
      <c r="AN129" s="566">
        <f t="shared" ca="1" si="53"/>
        <v>0</v>
      </c>
    </row>
    <row r="130" spans="1:40" ht="51" x14ac:dyDescent="0.2">
      <c r="A130" t="str">
        <f t="shared" si="38"/>
        <v>S</v>
      </c>
      <c r="B130">
        <f t="shared" ca="1" si="39"/>
        <v>2</v>
      </c>
      <c r="C130" t="str">
        <f t="shared" ca="1" si="40"/>
        <v>S</v>
      </c>
      <c r="D130">
        <f t="shared" ca="1" si="41"/>
        <v>0</v>
      </c>
      <c r="E130">
        <f ca="1">IF($C130=1,OFFSET(E130,-1,0)+MAX(1,COUNTIF(QCI!$A$13:$A$24,OFFSET(ORÇAMENTO!E130,-1,0))),OFFSET(E130,-1,0))</f>
        <v>1</v>
      </c>
      <c r="F130">
        <f t="shared" ca="1" si="42"/>
        <v>20</v>
      </c>
      <c r="G130">
        <f t="shared" ca="1" si="43"/>
        <v>0</v>
      </c>
      <c r="H130">
        <f t="shared" ca="1" si="44"/>
        <v>0</v>
      </c>
      <c r="I130">
        <f t="shared" ca="1" si="45"/>
        <v>0</v>
      </c>
      <c r="J130">
        <f t="shared" ca="1" si="37"/>
        <v>0</v>
      </c>
      <c r="K130">
        <f ca="1">IF(OR($C130="S",$C130=0),0,MATCH(OFFSET($D130,0,$C130)+IF($C130&lt;&gt;1,1,COUNTIF(QCI!$A$13:$A$24,ORÇAMENTO!E130)),OFFSET($D130,1,$C130,ROW($C$727)-ROW($C130)),0))</f>
        <v>0</v>
      </c>
      <c r="L130" s="116" t="str">
        <f t="shared" ca="1" si="46"/>
        <v/>
      </c>
      <c r="M130" s="117" t="s">
        <v>199</v>
      </c>
      <c r="N130" s="118" t="str">
        <f t="shared" ca="1" si="47"/>
        <v>Serviço</v>
      </c>
      <c r="O130" s="119" t="str">
        <f t="shared" ca="1" si="48"/>
        <v>-</v>
      </c>
      <c r="P130" s="120" t="s">
        <v>458</v>
      </c>
      <c r="Q130" s="121" t="s">
        <v>534</v>
      </c>
      <c r="R130" s="122" t="str">
        <f ca="1">IF($C130="S",REFERENCIA.Descricao,"(digite a descrição aqui)")</f>
        <v>(abra o arquivo 'Referência 06-2024.xlsm)</v>
      </c>
      <c r="S130" s="123" t="str">
        <f ca="1">REFERENCIA.Unidade</f>
        <v>-</v>
      </c>
      <c r="T130" s="124">
        <f ca="1">OFFSET(CÁLCULO!H$15,ROW($T130)-ROW(T$15),0)</f>
        <v>143.1</v>
      </c>
      <c r="U130" s="125">
        <f t="shared" ca="1" si="54"/>
        <v>0</v>
      </c>
      <c r="V130" s="126" t="s">
        <v>156</v>
      </c>
      <c r="W130" s="124">
        <f ca="1">IF($C130="S",ROUND(IF(TIPOORCAMENTO="Proposto",ORÇAMENTO.CustoUnitario*(1+$AH130),ORÇAMENTO.PrecoUnitarioLicitado),15-13*$AF$10),0)</f>
        <v>0</v>
      </c>
      <c r="X130" s="127">
        <f ca="1">IF($C130="S",IF(Import.TipoArredondamento&lt;&gt;"TransfereGOV",VTOTAL1,SUM(OFFSET(CÁLCULO!$AI$15,ROW($X130)-ROW($X$15),1):OFFSET(CÁLCULO!$BB$15,ROW($X130)-ROW($X$15),-1))),IF($C130=0,0,ROUND(SomaAgrup,15-13*$AF$11)))</f>
        <v>0</v>
      </c>
      <c r="Y130" s="128" t="s">
        <v>245</v>
      </c>
      <c r="Z130" t="str">
        <f t="shared" ca="1" si="49"/>
        <v/>
      </c>
      <c r="AA130" s="129">
        <f ca="1">IF($C130="S",IF($Z130="CP",$X130,IF($Z130="RA",(($X130)*QCI!$AA$3),0)),SomaAgrup)</f>
        <v>0</v>
      </c>
      <c r="AB130" s="130">
        <f t="shared" ca="1" si="50"/>
        <v>0</v>
      </c>
      <c r="AC130" s="131" t="str">
        <f ca="1">IF($N130="","",IF(ORÇAMENTO.Descricao="","DESCRIÇÃO",IF(AND($C130="S",ORÇAMENTO.Unidade=""),"UNIDADE",IF($X130&lt;0,"VALOR NEGATIVO",IF(OR(AND(TIPOORCAMENTO="Proposto",$AG130&lt;&gt;"",$AG130&gt;0,ORÇAMENTO.CustoUnitario&gt;$AG130),AND(TIPOORCAMENTO="LICITADO",ORÇAMENTO.PrecoUnitarioLicitado&gt;$AN130)),"ACIMA REF.","")))))</f>
        <v/>
      </c>
      <c r="AD130" t="str">
        <f ca="1">IF(C130&lt;=CRONO.NivelExibicao,MAX($AD$15:OFFSET(AD130,-1,0))+IF($C130&lt;&gt;1,1,MAX(1,COUNTIF(QCI!$A$13:$A$24,OFFSET($E130,-1,0)))),"")</f>
        <v/>
      </c>
      <c r="AE130" s="7" t="str">
        <f ca="1">IF(AND($C130="S",ORÇAMENTO.CodBarra&lt;&gt;""),IF(ORÇAMENTO.Fonte="",ORÇAMENTO.CodBarra,CONCATENATE(ORÇAMENTO.Fonte," ",ORÇAMENTO.CodBarra)))</f>
        <v>COMPOSIÇÃO FNDE 254</v>
      </c>
      <c r="AF130" s="13" t="str">
        <f ca="1">IF(ISERROR(INDIRECT(ORÇAMENTO.BancoRef)),"(abra o arquivo 'Referência "&amp;Excel_BuiltIn_Database&amp;".xlsm)",IF(OR($C130&lt;&gt;"S",ORÇAMENTO.CodBarra=""),"(Sem Código)",IF(ISERROR(MATCH($AE130,INDIRECT(ORÇAMENTO.BancoRef),0)),"(Código não identificado nas referências)",MATCH($AE130,INDIRECT(ORÇAMENTO.BancoRef),0))))</f>
        <v>(abra o arquivo 'Referência 06-2024.xlsm)</v>
      </c>
      <c r="AG130" s="498">
        <f ca="1">ROUND(IF(DESONERACAO="sim",REFERENCIA.Desonerado,REFERENCIA.NaoDesonerado),2)</f>
        <v>0</v>
      </c>
      <c r="AH130" s="499">
        <f t="shared" ca="1" si="51"/>
        <v>0.2432</v>
      </c>
      <c r="AJ130" s="501"/>
      <c r="AL130" s="527"/>
      <c r="AM130" s="381">
        <f t="shared" ca="1" si="52"/>
        <v>0</v>
      </c>
      <c r="AN130" s="566">
        <f t="shared" ca="1" si="53"/>
        <v>0</v>
      </c>
    </row>
    <row r="131" spans="1:40" ht="51" x14ac:dyDescent="0.2">
      <c r="A131" t="str">
        <f t="shared" si="38"/>
        <v>S</v>
      </c>
      <c r="B131">
        <f t="shared" ca="1" si="39"/>
        <v>2</v>
      </c>
      <c r="C131" t="str">
        <f t="shared" ca="1" si="40"/>
        <v>S</v>
      </c>
      <c r="D131">
        <f t="shared" ca="1" si="41"/>
        <v>0</v>
      </c>
      <c r="E131">
        <f ca="1">IF($C131=1,OFFSET(E131,-1,0)+MAX(1,COUNTIF(QCI!$A$13:$A$24,OFFSET(ORÇAMENTO!E131,-1,0))),OFFSET(E131,-1,0))</f>
        <v>1</v>
      </c>
      <c r="F131">
        <f t="shared" ca="1" si="42"/>
        <v>20</v>
      </c>
      <c r="G131">
        <f t="shared" ca="1" si="43"/>
        <v>0</v>
      </c>
      <c r="H131">
        <f t="shared" ca="1" si="44"/>
        <v>0</v>
      </c>
      <c r="I131">
        <f t="shared" ca="1" si="45"/>
        <v>0</v>
      </c>
      <c r="J131">
        <f t="shared" ca="1" si="37"/>
        <v>0</v>
      </c>
      <c r="K131">
        <f ca="1">IF(OR($C131="S",$C131=0),0,MATCH(OFFSET($D131,0,$C131)+IF($C131&lt;&gt;1,1,COUNTIF(QCI!$A$13:$A$24,ORÇAMENTO!E131)),OFFSET($D131,1,$C131,ROW($C$727)-ROW($C131)),0))</f>
        <v>0</v>
      </c>
      <c r="L131" s="116" t="str">
        <f t="shared" ca="1" si="46"/>
        <v/>
      </c>
      <c r="M131" s="117" t="s">
        <v>199</v>
      </c>
      <c r="N131" s="118" t="str">
        <f t="shared" ca="1" si="47"/>
        <v>Serviço</v>
      </c>
      <c r="O131" s="119" t="str">
        <f t="shared" ca="1" si="48"/>
        <v>-</v>
      </c>
      <c r="P131" s="120" t="s">
        <v>458</v>
      </c>
      <c r="Q131" s="121" t="s">
        <v>535</v>
      </c>
      <c r="R131" s="122" t="str">
        <f ca="1">IF($C131="S",REFERENCIA.Descricao,"(digite a descrição aqui)")</f>
        <v>(abra o arquivo 'Referência 06-2024.xlsm)</v>
      </c>
      <c r="S131" s="123" t="str">
        <f ca="1">REFERENCIA.Unidade</f>
        <v>-</v>
      </c>
      <c r="T131" s="124">
        <f ca="1">OFFSET(CÁLCULO!H$15,ROW($T131)-ROW(T$15),0)</f>
        <v>5.04</v>
      </c>
      <c r="U131" s="125">
        <f t="shared" ca="1" si="54"/>
        <v>0</v>
      </c>
      <c r="V131" s="126" t="s">
        <v>156</v>
      </c>
      <c r="W131" s="124">
        <f ca="1">IF($C131="S",ROUND(IF(TIPOORCAMENTO="Proposto",ORÇAMENTO.CustoUnitario*(1+$AH131),ORÇAMENTO.PrecoUnitarioLicitado),15-13*$AF$10),0)</f>
        <v>0</v>
      </c>
      <c r="X131" s="127">
        <f ca="1">IF($C131="S",IF(Import.TipoArredondamento&lt;&gt;"TransfereGOV",VTOTAL1,SUM(OFFSET(CÁLCULO!$AI$15,ROW($X131)-ROW($X$15),1):OFFSET(CÁLCULO!$BB$15,ROW($X131)-ROW($X$15),-1))),IF($C131=0,0,ROUND(SomaAgrup,15-13*$AF$11)))</f>
        <v>0</v>
      </c>
      <c r="Y131" s="128" t="s">
        <v>245</v>
      </c>
      <c r="Z131" t="str">
        <f t="shared" ca="1" si="49"/>
        <v/>
      </c>
      <c r="AA131" s="129">
        <f ca="1">IF($C131="S",IF($Z131="CP",$X131,IF($Z131="RA",(($X131)*QCI!$AA$3),0)),SomaAgrup)</f>
        <v>0</v>
      </c>
      <c r="AB131" s="130">
        <f t="shared" ca="1" si="50"/>
        <v>0</v>
      </c>
      <c r="AC131" s="131" t="str">
        <f ca="1">IF($N131="","",IF(ORÇAMENTO.Descricao="","DESCRIÇÃO",IF(AND($C131="S",ORÇAMENTO.Unidade=""),"UNIDADE",IF($X131&lt;0,"VALOR NEGATIVO",IF(OR(AND(TIPOORCAMENTO="Proposto",$AG131&lt;&gt;"",$AG131&gt;0,ORÇAMENTO.CustoUnitario&gt;$AG131),AND(TIPOORCAMENTO="LICITADO",ORÇAMENTO.PrecoUnitarioLicitado&gt;$AN131)),"ACIMA REF.","")))))</f>
        <v/>
      </c>
      <c r="AD131" t="str">
        <f ca="1">IF(C131&lt;=CRONO.NivelExibicao,MAX($AD$15:OFFSET(AD131,-1,0))+IF($C131&lt;&gt;1,1,MAX(1,COUNTIF(QCI!$A$13:$A$24,OFFSET($E131,-1,0)))),"")</f>
        <v/>
      </c>
      <c r="AE131" s="7" t="str">
        <f ca="1">IF(AND($C131="S",ORÇAMENTO.CodBarra&lt;&gt;""),IF(ORÇAMENTO.Fonte="",ORÇAMENTO.CodBarra,CONCATENATE(ORÇAMENTO.Fonte," ",ORÇAMENTO.CodBarra)))</f>
        <v>COMPOSIÇÃO FNDE 255</v>
      </c>
      <c r="AF131" s="13" t="str">
        <f ca="1">IF(ISERROR(INDIRECT(ORÇAMENTO.BancoRef)),"(abra o arquivo 'Referência "&amp;Excel_BuiltIn_Database&amp;".xlsm)",IF(OR($C131&lt;&gt;"S",ORÇAMENTO.CodBarra=""),"(Sem Código)",IF(ISERROR(MATCH($AE131,INDIRECT(ORÇAMENTO.BancoRef),0)),"(Código não identificado nas referências)",MATCH($AE131,INDIRECT(ORÇAMENTO.BancoRef),0))))</f>
        <v>(abra o arquivo 'Referência 06-2024.xlsm)</v>
      </c>
      <c r="AG131" s="498">
        <f ca="1">ROUND(IF(DESONERACAO="sim",REFERENCIA.Desonerado,REFERENCIA.NaoDesonerado),2)</f>
        <v>0</v>
      </c>
      <c r="AH131" s="499">
        <f t="shared" ca="1" si="51"/>
        <v>0.2432</v>
      </c>
      <c r="AJ131" s="501"/>
      <c r="AL131" s="527"/>
      <c r="AM131" s="381">
        <f t="shared" ca="1" si="52"/>
        <v>0</v>
      </c>
      <c r="AN131" s="566">
        <f t="shared" ca="1" si="53"/>
        <v>0</v>
      </c>
    </row>
    <row r="132" spans="1:40" ht="51" x14ac:dyDescent="0.2">
      <c r="A132" t="str">
        <f t="shared" si="38"/>
        <v>S</v>
      </c>
      <c r="B132">
        <f t="shared" ca="1" si="39"/>
        <v>2</v>
      </c>
      <c r="C132" t="str">
        <f t="shared" ca="1" si="40"/>
        <v>S</v>
      </c>
      <c r="D132">
        <f t="shared" ca="1" si="41"/>
        <v>0</v>
      </c>
      <c r="E132">
        <f ca="1">IF($C132=1,OFFSET(E132,-1,0)+MAX(1,COUNTIF(QCI!$A$13:$A$24,OFFSET(ORÇAMENTO!E132,-1,0))),OFFSET(E132,-1,0))</f>
        <v>1</v>
      </c>
      <c r="F132">
        <f t="shared" ca="1" si="42"/>
        <v>20</v>
      </c>
      <c r="G132">
        <f t="shared" ca="1" si="43"/>
        <v>0</v>
      </c>
      <c r="H132">
        <f t="shared" ca="1" si="44"/>
        <v>0</v>
      </c>
      <c r="I132">
        <f t="shared" ca="1" si="45"/>
        <v>0</v>
      </c>
      <c r="J132">
        <f t="shared" ca="1" si="37"/>
        <v>0</v>
      </c>
      <c r="K132">
        <f ca="1">IF(OR($C132="S",$C132=0),0,MATCH(OFFSET($D132,0,$C132)+IF($C132&lt;&gt;1,1,COUNTIF(QCI!$A$13:$A$24,ORÇAMENTO!E132)),OFFSET($D132,1,$C132,ROW($C$727)-ROW($C132)),0))</f>
        <v>0</v>
      </c>
      <c r="L132" s="116" t="str">
        <f t="shared" ca="1" si="46"/>
        <v/>
      </c>
      <c r="M132" s="117" t="s">
        <v>199</v>
      </c>
      <c r="N132" s="118" t="str">
        <f t="shared" ca="1" si="47"/>
        <v>Serviço</v>
      </c>
      <c r="O132" s="119" t="str">
        <f t="shared" ca="1" si="48"/>
        <v>-</v>
      </c>
      <c r="P132" s="120" t="s">
        <v>458</v>
      </c>
      <c r="Q132" s="121" t="s">
        <v>536</v>
      </c>
      <c r="R132" s="122" t="str">
        <f ca="1">IF($C132="S",REFERENCIA.Descricao,"(digite a descrição aqui)")</f>
        <v>(abra o arquivo 'Referência 06-2024.xlsm)</v>
      </c>
      <c r="S132" s="123" t="str">
        <f ca="1">REFERENCIA.Unidade</f>
        <v>-</v>
      </c>
      <c r="T132" s="124">
        <f ca="1">OFFSET(CÁLCULO!H$15,ROW($T132)-ROW(T$15),0)</f>
        <v>7.48</v>
      </c>
      <c r="U132" s="125">
        <f t="shared" ca="1" si="54"/>
        <v>0</v>
      </c>
      <c r="V132" s="126" t="s">
        <v>156</v>
      </c>
      <c r="W132" s="124">
        <f ca="1">IF($C132="S",ROUND(IF(TIPOORCAMENTO="Proposto",ORÇAMENTO.CustoUnitario*(1+$AH132),ORÇAMENTO.PrecoUnitarioLicitado),15-13*$AF$10),0)</f>
        <v>0</v>
      </c>
      <c r="X132" s="127">
        <f ca="1">IF($C132="S",IF(Import.TipoArredondamento&lt;&gt;"TransfereGOV",VTOTAL1,SUM(OFFSET(CÁLCULO!$AI$15,ROW($X132)-ROW($X$15),1):OFFSET(CÁLCULO!$BB$15,ROW($X132)-ROW($X$15),-1))),IF($C132=0,0,ROUND(SomaAgrup,15-13*$AF$11)))</f>
        <v>0</v>
      </c>
      <c r="Y132" s="128" t="s">
        <v>245</v>
      </c>
      <c r="Z132" t="str">
        <f t="shared" ca="1" si="49"/>
        <v/>
      </c>
      <c r="AA132" s="129">
        <f ca="1">IF($C132="S",IF($Z132="CP",$X132,IF($Z132="RA",(($X132)*QCI!$AA$3),0)),SomaAgrup)</f>
        <v>0</v>
      </c>
      <c r="AB132" s="130">
        <f t="shared" ca="1" si="50"/>
        <v>0</v>
      </c>
      <c r="AC132" s="131" t="str">
        <f ca="1">IF($N132="","",IF(ORÇAMENTO.Descricao="","DESCRIÇÃO",IF(AND($C132="S",ORÇAMENTO.Unidade=""),"UNIDADE",IF($X132&lt;0,"VALOR NEGATIVO",IF(OR(AND(TIPOORCAMENTO="Proposto",$AG132&lt;&gt;"",$AG132&gt;0,ORÇAMENTO.CustoUnitario&gt;$AG132),AND(TIPOORCAMENTO="LICITADO",ORÇAMENTO.PrecoUnitarioLicitado&gt;$AN132)),"ACIMA REF.","")))))</f>
        <v/>
      </c>
      <c r="AD132" t="str">
        <f ca="1">IF(C132&lt;=CRONO.NivelExibicao,MAX($AD$15:OFFSET(AD132,-1,0))+IF($C132&lt;&gt;1,1,MAX(1,COUNTIF(QCI!$A$13:$A$24,OFFSET($E132,-1,0)))),"")</f>
        <v/>
      </c>
      <c r="AE132" s="7" t="str">
        <f ca="1">IF(AND($C132="S",ORÇAMENTO.CodBarra&lt;&gt;""),IF(ORÇAMENTO.Fonte="",ORÇAMENTO.CodBarra,CONCATENATE(ORÇAMENTO.Fonte," ",ORÇAMENTO.CodBarra)))</f>
        <v>COMPOSIÇÃO FNDE 256</v>
      </c>
      <c r="AF132" s="13" t="str">
        <f ca="1">IF(ISERROR(INDIRECT(ORÇAMENTO.BancoRef)),"(abra o arquivo 'Referência "&amp;Excel_BuiltIn_Database&amp;".xlsm)",IF(OR($C132&lt;&gt;"S",ORÇAMENTO.CodBarra=""),"(Sem Código)",IF(ISERROR(MATCH($AE132,INDIRECT(ORÇAMENTO.BancoRef),0)),"(Código não identificado nas referências)",MATCH($AE132,INDIRECT(ORÇAMENTO.BancoRef),0))))</f>
        <v>(abra o arquivo 'Referência 06-2024.xlsm)</v>
      </c>
      <c r="AG132" s="498">
        <f ca="1">ROUND(IF(DESONERACAO="sim",REFERENCIA.Desonerado,REFERENCIA.NaoDesonerado),2)</f>
        <v>0</v>
      </c>
      <c r="AH132" s="499">
        <f t="shared" ca="1" si="51"/>
        <v>0.2432</v>
      </c>
      <c r="AJ132" s="501"/>
      <c r="AL132" s="527"/>
      <c r="AM132" s="381">
        <f t="shared" ca="1" si="52"/>
        <v>0</v>
      </c>
      <c r="AN132" s="566">
        <f t="shared" ca="1" si="53"/>
        <v>0</v>
      </c>
    </row>
    <row r="133" spans="1:40" ht="63.75" x14ac:dyDescent="0.2">
      <c r="A133" t="str">
        <f t="shared" si="38"/>
        <v>S</v>
      </c>
      <c r="B133">
        <f t="shared" ca="1" si="39"/>
        <v>2</v>
      </c>
      <c r="C133" t="str">
        <f t="shared" ca="1" si="40"/>
        <v>S</v>
      </c>
      <c r="D133">
        <f t="shared" ca="1" si="41"/>
        <v>0</v>
      </c>
      <c r="E133">
        <f ca="1">IF($C133=1,OFFSET(E133,-1,0)+MAX(1,COUNTIF(QCI!$A$13:$A$24,OFFSET(ORÇAMENTO!E133,-1,0))),OFFSET(E133,-1,0))</f>
        <v>1</v>
      </c>
      <c r="F133">
        <f t="shared" ca="1" si="42"/>
        <v>20</v>
      </c>
      <c r="G133">
        <f t="shared" ca="1" si="43"/>
        <v>0</v>
      </c>
      <c r="H133">
        <f t="shared" ca="1" si="44"/>
        <v>0</v>
      </c>
      <c r="I133">
        <f t="shared" ca="1" si="45"/>
        <v>0</v>
      </c>
      <c r="J133">
        <f t="shared" ca="1" si="37"/>
        <v>0</v>
      </c>
      <c r="K133">
        <f ca="1">IF(OR($C133="S",$C133=0),0,MATCH(OFFSET($D133,0,$C133)+IF($C133&lt;&gt;1,1,COUNTIF(QCI!$A$13:$A$24,ORÇAMENTO!E133)),OFFSET($D133,1,$C133,ROW($C$727)-ROW($C133)),0))</f>
        <v>0</v>
      </c>
      <c r="L133" s="116" t="str">
        <f t="shared" ca="1" si="46"/>
        <v/>
      </c>
      <c r="M133" s="117" t="s">
        <v>199</v>
      </c>
      <c r="N133" s="118" t="str">
        <f t="shared" ca="1" si="47"/>
        <v>Serviço</v>
      </c>
      <c r="O133" s="119" t="str">
        <f t="shared" ca="1" si="48"/>
        <v>-</v>
      </c>
      <c r="P133" s="120" t="s">
        <v>458</v>
      </c>
      <c r="Q133" s="121" t="s">
        <v>537</v>
      </c>
      <c r="R133" s="122" t="str">
        <f ca="1">IF($C133="S",REFERENCIA.Descricao,"(digite a descrição aqui)")</f>
        <v>(abra o arquivo 'Referência 06-2024.xlsm)</v>
      </c>
      <c r="S133" s="123" t="str">
        <f ca="1">REFERENCIA.Unidade</f>
        <v>-</v>
      </c>
      <c r="T133" s="124">
        <f ca="1">OFFSET(CÁLCULO!H$15,ROW($T133)-ROW(T$15),0)</f>
        <v>5.25</v>
      </c>
      <c r="U133" s="125">
        <f t="shared" ca="1" si="54"/>
        <v>0</v>
      </c>
      <c r="V133" s="126" t="s">
        <v>156</v>
      </c>
      <c r="W133" s="124">
        <f ca="1">IF($C133="S",ROUND(IF(TIPOORCAMENTO="Proposto",ORÇAMENTO.CustoUnitario*(1+$AH133),ORÇAMENTO.PrecoUnitarioLicitado),15-13*$AF$10),0)</f>
        <v>0</v>
      </c>
      <c r="X133" s="127">
        <f ca="1">IF($C133="S",IF(Import.TipoArredondamento&lt;&gt;"TransfereGOV",VTOTAL1,SUM(OFFSET(CÁLCULO!$AI$15,ROW($X133)-ROW($X$15),1):OFFSET(CÁLCULO!$BB$15,ROW($X133)-ROW($X$15),-1))),IF($C133=0,0,ROUND(SomaAgrup,15-13*$AF$11)))</f>
        <v>0</v>
      </c>
      <c r="Y133" s="128" t="s">
        <v>245</v>
      </c>
      <c r="Z133" t="str">
        <f t="shared" ca="1" si="49"/>
        <v/>
      </c>
      <c r="AA133" s="129">
        <f ca="1">IF($C133="S",IF($Z133="CP",$X133,IF($Z133="RA",(($X133)*QCI!$AA$3),0)),SomaAgrup)</f>
        <v>0</v>
      </c>
      <c r="AB133" s="130">
        <f t="shared" ca="1" si="50"/>
        <v>0</v>
      </c>
      <c r="AC133" s="131" t="str">
        <f ca="1">IF($N133="","",IF(ORÇAMENTO.Descricao="","DESCRIÇÃO",IF(AND($C133="S",ORÇAMENTO.Unidade=""),"UNIDADE",IF($X133&lt;0,"VALOR NEGATIVO",IF(OR(AND(TIPOORCAMENTO="Proposto",$AG133&lt;&gt;"",$AG133&gt;0,ORÇAMENTO.CustoUnitario&gt;$AG133),AND(TIPOORCAMENTO="LICITADO",ORÇAMENTO.PrecoUnitarioLicitado&gt;$AN133)),"ACIMA REF.","")))))</f>
        <v/>
      </c>
      <c r="AD133" t="str">
        <f ca="1">IF(C133&lt;=CRONO.NivelExibicao,MAX($AD$15:OFFSET(AD133,-1,0))+IF($C133&lt;&gt;1,1,MAX(1,COUNTIF(QCI!$A$13:$A$24,OFFSET($E133,-1,0)))),"")</f>
        <v/>
      </c>
      <c r="AE133" s="7" t="str">
        <f ca="1">IF(AND($C133="S",ORÇAMENTO.CodBarra&lt;&gt;""),IF(ORÇAMENTO.Fonte="",ORÇAMENTO.CodBarra,CONCATENATE(ORÇAMENTO.Fonte," ",ORÇAMENTO.CodBarra)))</f>
        <v>COMPOSIÇÃO FNDE 257</v>
      </c>
      <c r="AF133" s="13" t="str">
        <f ca="1">IF(ISERROR(INDIRECT(ORÇAMENTO.BancoRef)),"(abra o arquivo 'Referência "&amp;Excel_BuiltIn_Database&amp;".xlsm)",IF(OR($C133&lt;&gt;"S",ORÇAMENTO.CodBarra=""),"(Sem Código)",IF(ISERROR(MATCH($AE133,INDIRECT(ORÇAMENTO.BancoRef),0)),"(Código não identificado nas referências)",MATCH($AE133,INDIRECT(ORÇAMENTO.BancoRef),0))))</f>
        <v>(abra o arquivo 'Referência 06-2024.xlsm)</v>
      </c>
      <c r="AG133" s="498">
        <f ca="1">ROUND(IF(DESONERACAO="sim",REFERENCIA.Desonerado,REFERENCIA.NaoDesonerado),2)</f>
        <v>0</v>
      </c>
      <c r="AH133" s="499">
        <f t="shared" ca="1" si="51"/>
        <v>0.2432</v>
      </c>
      <c r="AJ133" s="501"/>
      <c r="AL133" s="527"/>
      <c r="AM133" s="381">
        <f t="shared" ca="1" si="52"/>
        <v>0</v>
      </c>
      <c r="AN133" s="566">
        <f t="shared" ca="1" si="53"/>
        <v>0</v>
      </c>
    </row>
    <row r="134" spans="1:40" x14ac:dyDescent="0.2">
      <c r="A134">
        <f t="shared" si="38"/>
        <v>2</v>
      </c>
      <c r="B134">
        <f t="shared" ca="1" si="39"/>
        <v>2</v>
      </c>
      <c r="C134">
        <f t="shared" ca="1" si="40"/>
        <v>2</v>
      </c>
      <c r="D134">
        <f t="shared" ca="1" si="41"/>
        <v>18</v>
      </c>
      <c r="E134">
        <f ca="1">IF($C134=1,OFFSET(E134,-1,0)+MAX(1,COUNTIF(QCI!$A$13:$A$24,OFFSET(ORÇAMENTO!E134,-1,0))),OFFSET(E134,-1,0))</f>
        <v>1</v>
      </c>
      <c r="F134">
        <f t="shared" ca="1" si="42"/>
        <v>21</v>
      </c>
      <c r="G134">
        <f t="shared" ca="1" si="43"/>
        <v>0</v>
      </c>
      <c r="H134">
        <f t="shared" ca="1" si="44"/>
        <v>0</v>
      </c>
      <c r="I134">
        <f t="shared" ca="1" si="45"/>
        <v>0</v>
      </c>
      <c r="J134">
        <f t="shared" ca="1" si="37"/>
        <v>593</v>
      </c>
      <c r="K134">
        <f ca="1">IF(OR($C134="S",$C134=0),0,MATCH(OFFSET($D134,0,$C134)+IF($C134&lt;&gt;1,1,COUNTIF(QCI!$A$13:$A$24,ORÇAMENTO!E134)),OFFSET($D134,1,$C134,ROW($C$727)-ROW($C134)),0))</f>
        <v>18</v>
      </c>
      <c r="L134" s="116" t="str">
        <f t="shared" ca="1" si="46"/>
        <v>F</v>
      </c>
      <c r="M134" s="117" t="s">
        <v>196</v>
      </c>
      <c r="N134" s="118" t="str">
        <f t="shared" ca="1" si="47"/>
        <v>Nível 2</v>
      </c>
      <c r="O134" s="119" t="str">
        <f t="shared" ca="1" si="48"/>
        <v>1.21.</v>
      </c>
      <c r="P134" s="120" t="s">
        <v>247</v>
      </c>
      <c r="Q134" s="121"/>
      <c r="R134" s="122" t="s">
        <v>1048</v>
      </c>
      <c r="S134" s="123" t="str">
        <f ca="1">REFERENCIA.Unidade</f>
        <v>-</v>
      </c>
      <c r="T134" s="124">
        <f ca="1">OFFSET(CÁLCULO!H$15,ROW($T134)-ROW(T$15),0)</f>
        <v>0</v>
      </c>
      <c r="U134" s="125">
        <f t="shared" ca="1" si="54"/>
        <v>0</v>
      </c>
      <c r="V134" s="126" t="s">
        <v>156</v>
      </c>
      <c r="W134" s="124">
        <f ca="1">IF($C134="S",ROUND(IF(TIPOORCAMENTO="Proposto",ORÇAMENTO.CustoUnitario*(1+$AH134),ORÇAMENTO.PrecoUnitarioLicitado),15-13*$AF$10),0)</f>
        <v>0</v>
      </c>
      <c r="X134" s="127">
        <f ca="1">IF($C134="S",IF(Import.TipoArredondamento&lt;&gt;"TransfereGOV",VTOTAL1,SUM(OFFSET(CÁLCULO!$AI$15,ROW($X134)-ROW($X$15),1):OFFSET(CÁLCULO!$BB$15,ROW($X134)-ROW($X$15),-1))),IF($C134=0,0,ROUND(SomaAgrup,15-13*$AF$11)))</f>
        <v>0</v>
      </c>
      <c r="Y134" s="128" t="s">
        <v>245</v>
      </c>
      <c r="Z134" t="str">
        <f t="shared" ca="1" si="49"/>
        <v/>
      </c>
      <c r="AA134" s="129">
        <f ca="1">IF($C134="S",IF($Z134="CP",$X134,IF($Z134="RA",(($X134)*QCI!$AA$3),0)),SomaAgrup)</f>
        <v>0</v>
      </c>
      <c r="AB134" s="130">
        <f t="shared" ca="1" si="50"/>
        <v>0</v>
      </c>
      <c r="AC134" s="131" t="str">
        <f ca="1">IF($N134="","",IF(ORÇAMENTO.Descricao="","DESCRIÇÃO",IF(AND($C134="S",ORÇAMENTO.Unidade=""),"UNIDADE",IF($X134&lt;0,"VALOR NEGATIVO",IF(OR(AND(TIPOORCAMENTO="Proposto",$AG134&lt;&gt;"",$AG134&gt;0,ORÇAMENTO.CustoUnitario&gt;$AG134),AND(TIPOORCAMENTO="LICITADO",ORÇAMENTO.PrecoUnitarioLicitado&gt;$AN134)),"ACIMA REF.","")))))</f>
        <v/>
      </c>
      <c r="AD134">
        <f ca="1">IF(C134&lt;=CRONO.NivelExibicao,MAX($AD$15:OFFSET(AD134,-1,0))+IF($C134&lt;&gt;1,1,MAX(1,COUNTIF(QCI!$A$13:$A$24,OFFSET($E134,-1,0)))),"")</f>
        <v>22</v>
      </c>
      <c r="AE134" s="7" t="b">
        <f ca="1">IF(AND($C134="S",ORÇAMENTO.CodBarra&lt;&gt;""),IF(ORÇAMENTO.Fonte="",ORÇAMENTO.CodBarra,CONCATENATE(ORÇAMENTO.Fonte," ",ORÇAMENTO.CodBarra)))</f>
        <v>0</v>
      </c>
      <c r="AF134" s="13" t="str">
        <f ca="1">IF(ISERROR(INDIRECT(ORÇAMENTO.BancoRef)),"(abra o arquivo 'Referência "&amp;Excel_BuiltIn_Database&amp;".xlsm)",IF(OR($C134&lt;&gt;"S",ORÇAMENTO.CodBarra=""),"(Sem Código)",IF(ISERROR(MATCH($AE134,INDIRECT(ORÇAMENTO.BancoRef),0)),"(Código não identificado nas referências)",MATCH($AE134,INDIRECT(ORÇAMENTO.BancoRef),0))))</f>
        <v>(abra o arquivo 'Referência 06-2024.xlsm)</v>
      </c>
      <c r="AG134" s="498">
        <f ca="1">ROUND(IF(DESONERACAO="sim",REFERENCIA.Desonerado,REFERENCIA.NaoDesonerado),2)</f>
        <v>0</v>
      </c>
      <c r="AH134" s="499">
        <f t="shared" ca="1" si="51"/>
        <v>0.2432</v>
      </c>
      <c r="AJ134" s="501"/>
      <c r="AL134" s="527"/>
      <c r="AM134" s="381">
        <f t="shared" ca="1" si="52"/>
        <v>0</v>
      </c>
      <c r="AN134" s="566">
        <f t="shared" ca="1" si="53"/>
        <v>0</v>
      </c>
    </row>
    <row r="135" spans="1:40" ht="51" x14ac:dyDescent="0.2">
      <c r="A135" t="str">
        <f t="shared" si="38"/>
        <v>S</v>
      </c>
      <c r="B135">
        <f t="shared" ca="1" si="39"/>
        <v>2</v>
      </c>
      <c r="C135" t="str">
        <f t="shared" ca="1" si="40"/>
        <v>S</v>
      </c>
      <c r="D135">
        <f t="shared" ca="1" si="41"/>
        <v>0</v>
      </c>
      <c r="E135">
        <f ca="1">IF($C135=1,OFFSET(E135,-1,0)+MAX(1,COUNTIF(QCI!$A$13:$A$24,OFFSET(ORÇAMENTO!E135,-1,0))),OFFSET(E135,-1,0))</f>
        <v>1</v>
      </c>
      <c r="F135">
        <f t="shared" ca="1" si="42"/>
        <v>21</v>
      </c>
      <c r="G135">
        <f t="shared" ca="1" si="43"/>
        <v>0</v>
      </c>
      <c r="H135">
        <f t="shared" ca="1" si="44"/>
        <v>0</v>
      </c>
      <c r="I135">
        <f t="shared" ca="1" si="45"/>
        <v>0</v>
      </c>
      <c r="J135">
        <f t="shared" ca="1" si="37"/>
        <v>0</v>
      </c>
      <c r="K135">
        <f ca="1">IF(OR($C135="S",$C135=0),0,MATCH(OFFSET($D135,0,$C135)+IF($C135&lt;&gt;1,1,COUNTIF(QCI!$A$13:$A$24,ORÇAMENTO!E135)),OFFSET($D135,1,$C135,ROW($C$727)-ROW($C135)),0))</f>
        <v>0</v>
      </c>
      <c r="L135" s="116" t="str">
        <f t="shared" ca="1" si="46"/>
        <v/>
      </c>
      <c r="M135" s="117" t="s">
        <v>199</v>
      </c>
      <c r="N135" s="118" t="str">
        <f t="shared" ca="1" si="47"/>
        <v>Serviço</v>
      </c>
      <c r="O135" s="119" t="str">
        <f t="shared" ca="1" si="48"/>
        <v>-</v>
      </c>
      <c r="P135" s="120" t="s">
        <v>458</v>
      </c>
      <c r="Q135" s="121" t="s">
        <v>538</v>
      </c>
      <c r="R135" s="122" t="str">
        <f ca="1">IF($C135="S",REFERENCIA.Descricao,"(digite a descrição aqui)")</f>
        <v>(abra o arquivo 'Referência 06-2024.xlsm)</v>
      </c>
      <c r="S135" s="123" t="str">
        <f ca="1">REFERENCIA.Unidade</f>
        <v>-</v>
      </c>
      <c r="T135" s="124">
        <f ca="1">OFFSET(CÁLCULO!H$15,ROW($T135)-ROW(T$15),0)</f>
        <v>0.88</v>
      </c>
      <c r="U135" s="125">
        <f t="shared" ca="1" si="54"/>
        <v>0</v>
      </c>
      <c r="V135" s="126" t="s">
        <v>156</v>
      </c>
      <c r="W135" s="124">
        <f ca="1">IF($C135="S",ROUND(IF(TIPOORCAMENTO="Proposto",ORÇAMENTO.CustoUnitario*(1+$AH135),ORÇAMENTO.PrecoUnitarioLicitado),15-13*$AF$10),0)</f>
        <v>0</v>
      </c>
      <c r="X135" s="127">
        <f ca="1">IF($C135="S",IF(Import.TipoArredondamento&lt;&gt;"TransfereGOV",VTOTAL1,SUM(OFFSET(CÁLCULO!$AI$15,ROW($X135)-ROW($X$15),1):OFFSET(CÁLCULO!$BB$15,ROW($X135)-ROW($X$15),-1))),IF($C135=0,0,ROUND(SomaAgrup,15-13*$AF$11)))</f>
        <v>0</v>
      </c>
      <c r="Y135" s="128" t="s">
        <v>245</v>
      </c>
      <c r="Z135" t="str">
        <f t="shared" ca="1" si="49"/>
        <v/>
      </c>
      <c r="AA135" s="129">
        <f ca="1">IF($C135="S",IF($Z135="CP",$X135,IF($Z135="RA",(($X135)*QCI!$AA$3),0)),SomaAgrup)</f>
        <v>0</v>
      </c>
      <c r="AB135" s="130">
        <f t="shared" ca="1" si="50"/>
        <v>0</v>
      </c>
      <c r="AC135" s="131" t="str">
        <f ca="1">IF($N135="","",IF(ORÇAMENTO.Descricao="","DESCRIÇÃO",IF(AND($C135="S",ORÇAMENTO.Unidade=""),"UNIDADE",IF($X135&lt;0,"VALOR NEGATIVO",IF(OR(AND(TIPOORCAMENTO="Proposto",$AG135&lt;&gt;"",$AG135&gt;0,ORÇAMENTO.CustoUnitario&gt;$AG135),AND(TIPOORCAMENTO="LICITADO",ORÇAMENTO.PrecoUnitarioLicitado&gt;$AN135)),"ACIMA REF.","")))))</f>
        <v/>
      </c>
      <c r="AD135" t="str">
        <f ca="1">IF(C135&lt;=CRONO.NivelExibicao,MAX($AD$15:OFFSET(AD135,-1,0))+IF($C135&lt;&gt;1,1,MAX(1,COUNTIF(QCI!$A$13:$A$24,OFFSET($E135,-1,0)))),"")</f>
        <v/>
      </c>
      <c r="AE135" s="7" t="str">
        <f ca="1">IF(AND($C135="S",ORÇAMENTO.CodBarra&lt;&gt;""),IF(ORÇAMENTO.Fonte="",ORÇAMENTO.CodBarra,CONCATENATE(ORÇAMENTO.Fonte," ",ORÇAMENTO.CodBarra)))</f>
        <v>COMPOSIÇÃO FNDE 258</v>
      </c>
      <c r="AF135" s="13" t="str">
        <f ca="1">IF(ISERROR(INDIRECT(ORÇAMENTO.BancoRef)),"(abra o arquivo 'Referência "&amp;Excel_BuiltIn_Database&amp;".xlsm)",IF(OR($C135&lt;&gt;"S",ORÇAMENTO.CodBarra=""),"(Sem Código)",IF(ISERROR(MATCH($AE135,INDIRECT(ORÇAMENTO.BancoRef),0)),"(Código não identificado nas referências)",MATCH($AE135,INDIRECT(ORÇAMENTO.BancoRef),0))))</f>
        <v>(abra o arquivo 'Referência 06-2024.xlsm)</v>
      </c>
      <c r="AG135" s="498">
        <f ca="1">ROUND(IF(DESONERACAO="sim",REFERENCIA.Desonerado,REFERENCIA.NaoDesonerado),2)</f>
        <v>0</v>
      </c>
      <c r="AH135" s="499">
        <f t="shared" ca="1" si="51"/>
        <v>0.2432</v>
      </c>
      <c r="AJ135" s="501"/>
      <c r="AL135" s="527"/>
      <c r="AM135" s="381">
        <f t="shared" ca="1" si="52"/>
        <v>0</v>
      </c>
      <c r="AN135" s="566">
        <f t="shared" ca="1" si="53"/>
        <v>0</v>
      </c>
    </row>
    <row r="136" spans="1:40" ht="51" x14ac:dyDescent="0.2">
      <c r="A136" t="str">
        <f t="shared" si="38"/>
        <v>S</v>
      </c>
      <c r="B136">
        <f t="shared" ca="1" si="39"/>
        <v>2</v>
      </c>
      <c r="C136" t="str">
        <f t="shared" ca="1" si="40"/>
        <v>S</v>
      </c>
      <c r="D136">
        <f t="shared" ca="1" si="41"/>
        <v>0</v>
      </c>
      <c r="E136">
        <f ca="1">IF($C136=1,OFFSET(E136,-1,0)+MAX(1,COUNTIF(QCI!$A$13:$A$24,OFFSET(ORÇAMENTO!E136,-1,0))),OFFSET(E136,-1,0))</f>
        <v>1</v>
      </c>
      <c r="F136">
        <f t="shared" ca="1" si="42"/>
        <v>21</v>
      </c>
      <c r="G136">
        <f t="shared" ca="1" si="43"/>
        <v>0</v>
      </c>
      <c r="H136">
        <f t="shared" ca="1" si="44"/>
        <v>0</v>
      </c>
      <c r="I136">
        <f t="shared" ca="1" si="45"/>
        <v>0</v>
      </c>
      <c r="J136">
        <f t="shared" ca="1" si="37"/>
        <v>0</v>
      </c>
      <c r="K136">
        <f ca="1">IF(OR($C136="S",$C136=0),0,MATCH(OFFSET($D136,0,$C136)+IF($C136&lt;&gt;1,1,COUNTIF(QCI!$A$13:$A$24,ORÇAMENTO!E136)),OFFSET($D136,1,$C136,ROW($C$727)-ROW($C136)),0))</f>
        <v>0</v>
      </c>
      <c r="L136" s="116" t="str">
        <f t="shared" ca="1" si="46"/>
        <v/>
      </c>
      <c r="M136" s="117" t="s">
        <v>199</v>
      </c>
      <c r="N136" s="118" t="str">
        <f t="shared" ca="1" si="47"/>
        <v>Serviço</v>
      </c>
      <c r="O136" s="119" t="str">
        <f t="shared" ca="1" si="48"/>
        <v>-</v>
      </c>
      <c r="P136" s="120" t="s">
        <v>458</v>
      </c>
      <c r="Q136" s="121" t="s">
        <v>539</v>
      </c>
      <c r="R136" s="122" t="str">
        <f ca="1">IF($C136="S",REFERENCIA.Descricao,"(digite a descrição aqui)")</f>
        <v>(abra o arquivo 'Referência 06-2024.xlsm)</v>
      </c>
      <c r="S136" s="123" t="str">
        <f ca="1">REFERENCIA.Unidade</f>
        <v>-</v>
      </c>
      <c r="T136" s="124">
        <f ca="1">OFFSET(CÁLCULO!H$15,ROW($T136)-ROW(T$15),0)</f>
        <v>1.6</v>
      </c>
      <c r="U136" s="125">
        <f t="shared" ca="1" si="54"/>
        <v>0</v>
      </c>
      <c r="V136" s="126" t="s">
        <v>156</v>
      </c>
      <c r="W136" s="124">
        <f ca="1">IF($C136="S",ROUND(IF(TIPOORCAMENTO="Proposto",ORÇAMENTO.CustoUnitario*(1+$AH136),ORÇAMENTO.PrecoUnitarioLicitado),15-13*$AF$10),0)</f>
        <v>0</v>
      </c>
      <c r="X136" s="127">
        <f ca="1">IF($C136="S",IF(Import.TipoArredondamento&lt;&gt;"TransfereGOV",VTOTAL1,SUM(OFFSET(CÁLCULO!$AI$15,ROW($X136)-ROW($X$15),1):OFFSET(CÁLCULO!$BB$15,ROW($X136)-ROW($X$15),-1))),IF($C136=0,0,ROUND(SomaAgrup,15-13*$AF$11)))</f>
        <v>0</v>
      </c>
      <c r="Y136" s="128" t="s">
        <v>245</v>
      </c>
      <c r="Z136" t="str">
        <f t="shared" ca="1" si="49"/>
        <v/>
      </c>
      <c r="AA136" s="129">
        <f ca="1">IF($C136="S",IF($Z136="CP",$X136,IF($Z136="RA",(($X136)*QCI!$AA$3),0)),SomaAgrup)</f>
        <v>0</v>
      </c>
      <c r="AB136" s="130">
        <f t="shared" ca="1" si="50"/>
        <v>0</v>
      </c>
      <c r="AC136" s="131" t="str">
        <f ca="1">IF($N136="","",IF(ORÇAMENTO.Descricao="","DESCRIÇÃO",IF(AND($C136="S",ORÇAMENTO.Unidade=""),"UNIDADE",IF($X136&lt;0,"VALOR NEGATIVO",IF(OR(AND(TIPOORCAMENTO="Proposto",$AG136&lt;&gt;"",$AG136&gt;0,ORÇAMENTO.CustoUnitario&gt;$AG136),AND(TIPOORCAMENTO="LICITADO",ORÇAMENTO.PrecoUnitarioLicitado&gt;$AN136)),"ACIMA REF.","")))))</f>
        <v/>
      </c>
      <c r="AD136" t="str">
        <f ca="1">IF(C136&lt;=CRONO.NivelExibicao,MAX($AD$15:OFFSET(AD136,-1,0))+IF($C136&lt;&gt;1,1,MAX(1,COUNTIF(QCI!$A$13:$A$24,OFFSET($E136,-1,0)))),"")</f>
        <v/>
      </c>
      <c r="AE136" s="7" t="str">
        <f ca="1">IF(AND($C136="S",ORÇAMENTO.CodBarra&lt;&gt;""),IF(ORÇAMENTO.Fonte="",ORÇAMENTO.CodBarra,CONCATENATE(ORÇAMENTO.Fonte," ",ORÇAMENTO.CodBarra)))</f>
        <v>COMPOSIÇÃO FNDE 259</v>
      </c>
      <c r="AF136" s="13" t="str">
        <f ca="1">IF(ISERROR(INDIRECT(ORÇAMENTO.BancoRef)),"(abra o arquivo 'Referência "&amp;Excel_BuiltIn_Database&amp;".xlsm)",IF(OR($C136&lt;&gt;"S",ORÇAMENTO.CodBarra=""),"(Sem Código)",IF(ISERROR(MATCH($AE136,INDIRECT(ORÇAMENTO.BancoRef),0)),"(Código não identificado nas referências)",MATCH($AE136,INDIRECT(ORÇAMENTO.BancoRef),0))))</f>
        <v>(abra o arquivo 'Referência 06-2024.xlsm)</v>
      </c>
      <c r="AG136" s="498">
        <f ca="1">ROUND(IF(DESONERACAO="sim",REFERENCIA.Desonerado,REFERENCIA.NaoDesonerado),2)</f>
        <v>0</v>
      </c>
      <c r="AH136" s="499">
        <f t="shared" ca="1" si="51"/>
        <v>0.2432</v>
      </c>
      <c r="AJ136" s="501"/>
      <c r="AL136" s="527"/>
      <c r="AM136" s="381">
        <f t="shared" ca="1" si="52"/>
        <v>0</v>
      </c>
      <c r="AN136" s="566">
        <f t="shared" ca="1" si="53"/>
        <v>0</v>
      </c>
    </row>
    <row r="137" spans="1:40" ht="38.25" x14ac:dyDescent="0.2">
      <c r="A137" t="str">
        <f t="shared" si="38"/>
        <v>S</v>
      </c>
      <c r="B137">
        <f t="shared" ca="1" si="39"/>
        <v>2</v>
      </c>
      <c r="C137" t="str">
        <f t="shared" ca="1" si="40"/>
        <v>S</v>
      </c>
      <c r="D137">
        <f t="shared" ca="1" si="41"/>
        <v>0</v>
      </c>
      <c r="E137">
        <f ca="1">IF($C137=1,OFFSET(E137,-1,0)+MAX(1,COUNTIF(QCI!$A$13:$A$24,OFFSET(ORÇAMENTO!E137,-1,0))),OFFSET(E137,-1,0))</f>
        <v>1</v>
      </c>
      <c r="F137">
        <f t="shared" ca="1" si="42"/>
        <v>21</v>
      </c>
      <c r="G137">
        <f t="shared" ca="1" si="43"/>
        <v>0</v>
      </c>
      <c r="H137">
        <f t="shared" ca="1" si="44"/>
        <v>0</v>
      </c>
      <c r="I137">
        <f t="shared" ca="1" si="45"/>
        <v>0</v>
      </c>
      <c r="J137">
        <f t="shared" ca="1" si="37"/>
        <v>0</v>
      </c>
      <c r="K137">
        <f ca="1">IF(OR($C137="S",$C137=0),0,MATCH(OFFSET($D137,0,$C137)+IF($C137&lt;&gt;1,1,COUNTIF(QCI!$A$13:$A$24,ORÇAMENTO!E137)),OFFSET($D137,1,$C137,ROW($C$727)-ROW($C137)),0))</f>
        <v>0</v>
      </c>
      <c r="L137" s="116" t="str">
        <f t="shared" ca="1" si="46"/>
        <v/>
      </c>
      <c r="M137" s="117" t="s">
        <v>199</v>
      </c>
      <c r="N137" s="118" t="str">
        <f t="shared" ca="1" si="47"/>
        <v>Serviço</v>
      </c>
      <c r="O137" s="119" t="str">
        <f t="shared" ca="1" si="48"/>
        <v>-</v>
      </c>
      <c r="P137" s="120" t="s">
        <v>458</v>
      </c>
      <c r="Q137" s="121" t="s">
        <v>540</v>
      </c>
      <c r="R137" s="122" t="str">
        <f ca="1">IF($C137="S",REFERENCIA.Descricao,"(digite a descrição aqui)")</f>
        <v>(abra o arquivo 'Referência 06-2024.xlsm)</v>
      </c>
      <c r="S137" s="123" t="str">
        <f ca="1">REFERENCIA.Unidade</f>
        <v>-</v>
      </c>
      <c r="T137" s="124">
        <f ca="1">OFFSET(CÁLCULO!H$15,ROW($T137)-ROW(T$15),0)</f>
        <v>3.22</v>
      </c>
      <c r="U137" s="125">
        <f t="shared" ca="1" si="54"/>
        <v>0</v>
      </c>
      <c r="V137" s="126" t="s">
        <v>156</v>
      </c>
      <c r="W137" s="124">
        <f ca="1">IF($C137="S",ROUND(IF(TIPOORCAMENTO="Proposto",ORÇAMENTO.CustoUnitario*(1+$AH137),ORÇAMENTO.PrecoUnitarioLicitado),15-13*$AF$10),0)</f>
        <v>0</v>
      </c>
      <c r="X137" s="127">
        <f ca="1">IF($C137="S",IF(Import.TipoArredondamento&lt;&gt;"TransfereGOV",VTOTAL1,SUM(OFFSET(CÁLCULO!$AI$15,ROW($X137)-ROW($X$15),1):OFFSET(CÁLCULO!$BB$15,ROW($X137)-ROW($X$15),-1))),IF($C137=0,0,ROUND(SomaAgrup,15-13*$AF$11)))</f>
        <v>0</v>
      </c>
      <c r="Y137" s="128" t="s">
        <v>245</v>
      </c>
      <c r="Z137" t="str">
        <f t="shared" ca="1" si="49"/>
        <v/>
      </c>
      <c r="AA137" s="129">
        <f ca="1">IF($C137="S",IF($Z137="CP",$X137,IF($Z137="RA",(($X137)*QCI!$AA$3),0)),SomaAgrup)</f>
        <v>0</v>
      </c>
      <c r="AB137" s="130">
        <f t="shared" ca="1" si="50"/>
        <v>0</v>
      </c>
      <c r="AC137" s="131" t="str">
        <f ca="1">IF($N137="","",IF(ORÇAMENTO.Descricao="","DESCRIÇÃO",IF(AND($C137="S",ORÇAMENTO.Unidade=""),"UNIDADE",IF($X137&lt;0,"VALOR NEGATIVO",IF(OR(AND(TIPOORCAMENTO="Proposto",$AG137&lt;&gt;"",$AG137&gt;0,ORÇAMENTO.CustoUnitario&gt;$AG137),AND(TIPOORCAMENTO="LICITADO",ORÇAMENTO.PrecoUnitarioLicitado&gt;$AN137)),"ACIMA REF.","")))))</f>
        <v/>
      </c>
      <c r="AD137" t="str">
        <f ca="1">IF(C137&lt;=CRONO.NivelExibicao,MAX($AD$15:OFFSET(AD137,-1,0))+IF($C137&lt;&gt;1,1,MAX(1,COUNTIF(QCI!$A$13:$A$24,OFFSET($E137,-1,0)))),"")</f>
        <v/>
      </c>
      <c r="AE137" s="7" t="str">
        <f ca="1">IF(AND($C137="S",ORÇAMENTO.CodBarra&lt;&gt;""),IF(ORÇAMENTO.Fonte="",ORÇAMENTO.CodBarra,CONCATENATE(ORÇAMENTO.Fonte," ",ORÇAMENTO.CodBarra)))</f>
        <v>COMPOSIÇÃO FNDE 275</v>
      </c>
      <c r="AF137" s="13" t="str">
        <f ca="1">IF(ISERROR(INDIRECT(ORÇAMENTO.BancoRef)),"(abra o arquivo 'Referência "&amp;Excel_BuiltIn_Database&amp;".xlsm)",IF(OR($C137&lt;&gt;"S",ORÇAMENTO.CodBarra=""),"(Sem Código)",IF(ISERROR(MATCH($AE137,INDIRECT(ORÇAMENTO.BancoRef),0)),"(Código não identificado nas referências)",MATCH($AE137,INDIRECT(ORÇAMENTO.BancoRef),0))))</f>
        <v>(abra o arquivo 'Referência 06-2024.xlsm)</v>
      </c>
      <c r="AG137" s="498">
        <f ca="1">ROUND(IF(DESONERACAO="sim",REFERENCIA.Desonerado,REFERENCIA.NaoDesonerado),2)</f>
        <v>0</v>
      </c>
      <c r="AH137" s="499">
        <f t="shared" ca="1" si="51"/>
        <v>0.2432</v>
      </c>
      <c r="AJ137" s="501"/>
      <c r="AL137" s="527"/>
      <c r="AM137" s="381">
        <f t="shared" ca="1" si="52"/>
        <v>0</v>
      </c>
      <c r="AN137" s="566">
        <f t="shared" ca="1" si="53"/>
        <v>0</v>
      </c>
    </row>
    <row r="138" spans="1:40" ht="51" x14ac:dyDescent="0.2">
      <c r="A138" t="str">
        <f t="shared" si="38"/>
        <v>S</v>
      </c>
      <c r="B138">
        <f t="shared" ca="1" si="39"/>
        <v>2</v>
      </c>
      <c r="C138" t="str">
        <f t="shared" ca="1" si="40"/>
        <v>S</v>
      </c>
      <c r="D138">
        <f t="shared" ca="1" si="41"/>
        <v>0</v>
      </c>
      <c r="E138">
        <f ca="1">IF($C138=1,OFFSET(E138,-1,0)+MAX(1,COUNTIF(QCI!$A$13:$A$24,OFFSET(ORÇAMENTO!E138,-1,0))),OFFSET(E138,-1,0))</f>
        <v>1</v>
      </c>
      <c r="F138">
        <f t="shared" ca="1" si="42"/>
        <v>21</v>
      </c>
      <c r="G138">
        <f t="shared" ca="1" si="43"/>
        <v>0</v>
      </c>
      <c r="H138">
        <f t="shared" ca="1" si="44"/>
        <v>0</v>
      </c>
      <c r="I138">
        <f t="shared" ca="1" si="45"/>
        <v>0</v>
      </c>
      <c r="J138">
        <f t="shared" ca="1" si="37"/>
        <v>0</v>
      </c>
      <c r="K138">
        <f ca="1">IF(OR($C138="S",$C138=0),0,MATCH(OFFSET($D138,0,$C138)+IF($C138&lt;&gt;1,1,COUNTIF(QCI!$A$13:$A$24,ORÇAMENTO!E138)),OFFSET($D138,1,$C138,ROW($C$727)-ROW($C138)),0))</f>
        <v>0</v>
      </c>
      <c r="L138" s="116" t="str">
        <f t="shared" ca="1" si="46"/>
        <v/>
      </c>
      <c r="M138" s="117" t="s">
        <v>199</v>
      </c>
      <c r="N138" s="118" t="str">
        <f t="shared" ca="1" si="47"/>
        <v>Serviço</v>
      </c>
      <c r="O138" s="119" t="str">
        <f t="shared" ca="1" si="48"/>
        <v>-</v>
      </c>
      <c r="P138" s="120" t="s">
        <v>458</v>
      </c>
      <c r="Q138" s="121" t="s">
        <v>541</v>
      </c>
      <c r="R138" s="122" t="str">
        <f ca="1">IF($C138="S",REFERENCIA.Descricao,"(digite a descrição aqui)")</f>
        <v>(abra o arquivo 'Referência 06-2024.xlsm)</v>
      </c>
      <c r="S138" s="123" t="str">
        <f ca="1">REFERENCIA.Unidade</f>
        <v>-</v>
      </c>
      <c r="T138" s="124">
        <f ca="1">OFFSET(CÁLCULO!H$15,ROW($T138)-ROW(T$15),0)</f>
        <v>2.0299999999999998</v>
      </c>
      <c r="U138" s="125">
        <f t="shared" ca="1" si="54"/>
        <v>0</v>
      </c>
      <c r="V138" s="126" t="s">
        <v>156</v>
      </c>
      <c r="W138" s="124">
        <f ca="1">IF($C138="S",ROUND(IF(TIPOORCAMENTO="Proposto",ORÇAMENTO.CustoUnitario*(1+$AH138),ORÇAMENTO.PrecoUnitarioLicitado),15-13*$AF$10),0)</f>
        <v>0</v>
      </c>
      <c r="X138" s="127">
        <f ca="1">IF($C138="S",IF(Import.TipoArredondamento&lt;&gt;"TransfereGOV",VTOTAL1,SUM(OFFSET(CÁLCULO!$AI$15,ROW($X138)-ROW($X$15),1):OFFSET(CÁLCULO!$BB$15,ROW($X138)-ROW($X$15),-1))),IF($C138=0,0,ROUND(SomaAgrup,15-13*$AF$11)))</f>
        <v>0</v>
      </c>
      <c r="Y138" s="128" t="s">
        <v>245</v>
      </c>
      <c r="Z138" t="str">
        <f t="shared" ca="1" si="49"/>
        <v/>
      </c>
      <c r="AA138" s="129">
        <f ca="1">IF($C138="S",IF($Z138="CP",$X138,IF($Z138="RA",(($X138)*QCI!$AA$3),0)),SomaAgrup)</f>
        <v>0</v>
      </c>
      <c r="AB138" s="130">
        <f t="shared" ca="1" si="50"/>
        <v>0</v>
      </c>
      <c r="AC138" s="131" t="str">
        <f ca="1">IF($N138="","",IF(ORÇAMENTO.Descricao="","DESCRIÇÃO",IF(AND($C138="S",ORÇAMENTO.Unidade=""),"UNIDADE",IF($X138&lt;0,"VALOR NEGATIVO",IF(OR(AND(TIPOORCAMENTO="Proposto",$AG138&lt;&gt;"",$AG138&gt;0,ORÇAMENTO.CustoUnitario&gt;$AG138),AND(TIPOORCAMENTO="LICITADO",ORÇAMENTO.PrecoUnitarioLicitado&gt;$AN138)),"ACIMA REF.","")))))</f>
        <v/>
      </c>
      <c r="AD138" t="str">
        <f ca="1">IF(C138&lt;=CRONO.NivelExibicao,MAX($AD$15:OFFSET(AD138,-1,0))+IF($C138&lt;&gt;1,1,MAX(1,COUNTIF(QCI!$A$13:$A$24,OFFSET($E138,-1,0)))),"")</f>
        <v/>
      </c>
      <c r="AE138" s="7" t="str">
        <f ca="1">IF(AND($C138="S",ORÇAMENTO.CodBarra&lt;&gt;""),IF(ORÇAMENTO.Fonte="",ORÇAMENTO.CodBarra,CONCATENATE(ORÇAMENTO.Fonte," ",ORÇAMENTO.CodBarra)))</f>
        <v>COMPOSIÇÃO FNDE 262</v>
      </c>
      <c r="AF138" s="13" t="str">
        <f ca="1">IF(ISERROR(INDIRECT(ORÇAMENTO.BancoRef)),"(abra o arquivo 'Referência "&amp;Excel_BuiltIn_Database&amp;".xlsm)",IF(OR($C138&lt;&gt;"S",ORÇAMENTO.CodBarra=""),"(Sem Código)",IF(ISERROR(MATCH($AE138,INDIRECT(ORÇAMENTO.BancoRef),0)),"(Código não identificado nas referências)",MATCH($AE138,INDIRECT(ORÇAMENTO.BancoRef),0))))</f>
        <v>(abra o arquivo 'Referência 06-2024.xlsm)</v>
      </c>
      <c r="AG138" s="498">
        <f ca="1">ROUND(IF(DESONERACAO="sim",REFERENCIA.Desonerado,REFERENCIA.NaoDesonerado),2)</f>
        <v>0</v>
      </c>
      <c r="AH138" s="499">
        <f t="shared" ca="1" si="51"/>
        <v>0.2432</v>
      </c>
      <c r="AJ138" s="501"/>
      <c r="AL138" s="527"/>
      <c r="AM138" s="381">
        <f t="shared" ca="1" si="52"/>
        <v>0</v>
      </c>
      <c r="AN138" s="566">
        <f t="shared" ca="1" si="53"/>
        <v>0</v>
      </c>
    </row>
    <row r="139" spans="1:40" ht="38.25" x14ac:dyDescent="0.2">
      <c r="A139" t="str">
        <f t="shared" si="38"/>
        <v>S</v>
      </c>
      <c r="B139">
        <f t="shared" ca="1" si="39"/>
        <v>2</v>
      </c>
      <c r="C139" t="str">
        <f t="shared" ca="1" si="40"/>
        <v>S</v>
      </c>
      <c r="D139">
        <f t="shared" ca="1" si="41"/>
        <v>0</v>
      </c>
      <c r="E139">
        <f ca="1">IF($C139=1,OFFSET(E139,-1,0)+MAX(1,COUNTIF(QCI!$A$13:$A$24,OFFSET(ORÇAMENTO!E139,-1,0))),OFFSET(E139,-1,0))</f>
        <v>1</v>
      </c>
      <c r="F139">
        <f t="shared" ca="1" si="42"/>
        <v>21</v>
      </c>
      <c r="G139">
        <f t="shared" ca="1" si="43"/>
        <v>0</v>
      </c>
      <c r="H139">
        <f t="shared" ca="1" si="44"/>
        <v>0</v>
      </c>
      <c r="I139">
        <f t="shared" ca="1" si="45"/>
        <v>0</v>
      </c>
      <c r="J139">
        <f t="shared" ca="1" si="37"/>
        <v>0</v>
      </c>
      <c r="K139">
        <f ca="1">IF(OR($C139="S",$C139=0),0,MATCH(OFFSET($D139,0,$C139)+IF($C139&lt;&gt;1,1,COUNTIF(QCI!$A$13:$A$24,ORÇAMENTO!E139)),OFFSET($D139,1,$C139,ROW($C$727)-ROW($C139)),0))</f>
        <v>0</v>
      </c>
      <c r="L139" s="116" t="str">
        <f t="shared" ca="1" si="46"/>
        <v/>
      </c>
      <c r="M139" s="117" t="s">
        <v>199</v>
      </c>
      <c r="N139" s="118" t="str">
        <f t="shared" ca="1" si="47"/>
        <v>Serviço</v>
      </c>
      <c r="O139" s="119" t="str">
        <f t="shared" ca="1" si="48"/>
        <v>-</v>
      </c>
      <c r="P139" s="120" t="s">
        <v>458</v>
      </c>
      <c r="Q139" s="121" t="s">
        <v>542</v>
      </c>
      <c r="R139" s="122" t="str">
        <f ca="1">IF($C139="S",REFERENCIA.Descricao,"(digite a descrição aqui)")</f>
        <v>(abra o arquivo 'Referência 06-2024.xlsm)</v>
      </c>
      <c r="S139" s="123" t="str">
        <f ca="1">REFERENCIA.Unidade</f>
        <v>-</v>
      </c>
      <c r="T139" s="124">
        <f ca="1">OFFSET(CÁLCULO!H$15,ROW($T139)-ROW(T$15),0)</f>
        <v>2.56</v>
      </c>
      <c r="U139" s="125">
        <f t="shared" ca="1" si="54"/>
        <v>0</v>
      </c>
      <c r="V139" s="126" t="s">
        <v>156</v>
      </c>
      <c r="W139" s="124">
        <f ca="1">IF($C139="S",ROUND(IF(TIPOORCAMENTO="Proposto",ORÇAMENTO.CustoUnitario*(1+$AH139),ORÇAMENTO.PrecoUnitarioLicitado),15-13*$AF$10),0)</f>
        <v>0</v>
      </c>
      <c r="X139" s="127">
        <f ca="1">IF($C139="S",IF(Import.TipoArredondamento&lt;&gt;"TransfereGOV",VTOTAL1,SUM(OFFSET(CÁLCULO!$AI$15,ROW($X139)-ROW($X$15),1):OFFSET(CÁLCULO!$BB$15,ROW($X139)-ROW($X$15),-1))),IF($C139=0,0,ROUND(SomaAgrup,15-13*$AF$11)))</f>
        <v>0</v>
      </c>
      <c r="Y139" s="128" t="s">
        <v>245</v>
      </c>
      <c r="Z139" t="str">
        <f t="shared" ca="1" si="49"/>
        <v/>
      </c>
      <c r="AA139" s="129">
        <f ca="1">IF($C139="S",IF($Z139="CP",$X139,IF($Z139="RA",(($X139)*QCI!$AA$3),0)),SomaAgrup)</f>
        <v>0</v>
      </c>
      <c r="AB139" s="130">
        <f t="shared" ca="1" si="50"/>
        <v>0</v>
      </c>
      <c r="AC139" s="131" t="str">
        <f ca="1">IF($N139="","",IF(ORÇAMENTO.Descricao="","DESCRIÇÃO",IF(AND($C139="S",ORÇAMENTO.Unidade=""),"UNIDADE",IF($X139&lt;0,"VALOR NEGATIVO",IF(OR(AND(TIPOORCAMENTO="Proposto",$AG139&lt;&gt;"",$AG139&gt;0,ORÇAMENTO.CustoUnitario&gt;$AG139),AND(TIPOORCAMENTO="LICITADO",ORÇAMENTO.PrecoUnitarioLicitado&gt;$AN139)),"ACIMA REF.","")))))</f>
        <v/>
      </c>
      <c r="AD139" t="str">
        <f ca="1">IF(C139&lt;=CRONO.NivelExibicao,MAX($AD$15:OFFSET(AD139,-1,0))+IF($C139&lt;&gt;1,1,MAX(1,COUNTIF(QCI!$A$13:$A$24,OFFSET($E139,-1,0)))),"")</f>
        <v/>
      </c>
      <c r="AE139" s="7" t="str">
        <f ca="1">IF(AND($C139="S",ORÇAMENTO.CodBarra&lt;&gt;""),IF(ORÇAMENTO.Fonte="",ORÇAMENTO.CodBarra,CONCATENATE(ORÇAMENTO.Fonte," ",ORÇAMENTO.CodBarra)))</f>
        <v>COMPOSIÇÃO FNDE 276</v>
      </c>
      <c r="AF139" s="13" t="str">
        <f ca="1">IF(ISERROR(INDIRECT(ORÇAMENTO.BancoRef)),"(abra o arquivo 'Referência "&amp;Excel_BuiltIn_Database&amp;".xlsm)",IF(OR($C139&lt;&gt;"S",ORÇAMENTO.CodBarra=""),"(Sem Código)",IF(ISERROR(MATCH($AE139,INDIRECT(ORÇAMENTO.BancoRef),0)),"(Código não identificado nas referências)",MATCH($AE139,INDIRECT(ORÇAMENTO.BancoRef),0))))</f>
        <v>(abra o arquivo 'Referência 06-2024.xlsm)</v>
      </c>
      <c r="AG139" s="498">
        <f ca="1">ROUND(IF(DESONERACAO="sim",REFERENCIA.Desonerado,REFERENCIA.NaoDesonerado),2)</f>
        <v>0</v>
      </c>
      <c r="AH139" s="499">
        <f t="shared" ca="1" si="51"/>
        <v>0.2432</v>
      </c>
      <c r="AJ139" s="501"/>
      <c r="AL139" s="527"/>
      <c r="AM139" s="381">
        <f t="shared" ca="1" si="52"/>
        <v>0</v>
      </c>
      <c r="AN139" s="566">
        <f t="shared" ca="1" si="53"/>
        <v>0</v>
      </c>
    </row>
    <row r="140" spans="1:40" ht="38.25" x14ac:dyDescent="0.2">
      <c r="A140" t="str">
        <f t="shared" si="38"/>
        <v>S</v>
      </c>
      <c r="B140">
        <f t="shared" ca="1" si="39"/>
        <v>2</v>
      </c>
      <c r="C140" t="str">
        <f t="shared" ca="1" si="40"/>
        <v>S</v>
      </c>
      <c r="D140">
        <f t="shared" ca="1" si="41"/>
        <v>0</v>
      </c>
      <c r="E140">
        <f ca="1">IF($C140=1,OFFSET(E140,-1,0)+MAX(1,COUNTIF(QCI!$A$13:$A$24,OFFSET(ORÇAMENTO!E140,-1,0))),OFFSET(E140,-1,0))</f>
        <v>1</v>
      </c>
      <c r="F140">
        <f t="shared" ca="1" si="42"/>
        <v>21</v>
      </c>
      <c r="G140">
        <f t="shared" ca="1" si="43"/>
        <v>0</v>
      </c>
      <c r="H140">
        <f t="shared" ca="1" si="44"/>
        <v>0</v>
      </c>
      <c r="I140">
        <f t="shared" ca="1" si="45"/>
        <v>0</v>
      </c>
      <c r="J140">
        <f t="shared" ca="1" si="37"/>
        <v>0</v>
      </c>
      <c r="K140">
        <f ca="1">IF(OR($C140="S",$C140=0),0,MATCH(OFFSET($D140,0,$C140)+IF($C140&lt;&gt;1,1,COUNTIF(QCI!$A$13:$A$24,ORÇAMENTO!E140)),OFFSET($D140,1,$C140,ROW($C$727)-ROW($C140)),0))</f>
        <v>0</v>
      </c>
      <c r="L140" s="116" t="str">
        <f t="shared" ca="1" si="46"/>
        <v/>
      </c>
      <c r="M140" s="117" t="s">
        <v>199</v>
      </c>
      <c r="N140" s="118" t="str">
        <f t="shared" ca="1" si="47"/>
        <v>Serviço</v>
      </c>
      <c r="O140" s="119" t="str">
        <f t="shared" ca="1" si="48"/>
        <v>-</v>
      </c>
      <c r="P140" s="120" t="s">
        <v>458</v>
      </c>
      <c r="Q140" s="121" t="s">
        <v>543</v>
      </c>
      <c r="R140" s="122" t="str">
        <f ca="1">IF($C140="S",REFERENCIA.Descricao,"(digite a descrição aqui)")</f>
        <v>(abra o arquivo 'Referência 06-2024.xlsm)</v>
      </c>
      <c r="S140" s="123" t="str">
        <f ca="1">REFERENCIA.Unidade</f>
        <v>-</v>
      </c>
      <c r="T140" s="124">
        <f ca="1">OFFSET(CÁLCULO!H$15,ROW($T140)-ROW(T$15),0)</f>
        <v>2.1</v>
      </c>
      <c r="U140" s="125">
        <f t="shared" ca="1" si="54"/>
        <v>0</v>
      </c>
      <c r="V140" s="126" t="s">
        <v>156</v>
      </c>
      <c r="W140" s="124">
        <f ca="1">IF($C140="S",ROUND(IF(TIPOORCAMENTO="Proposto",ORÇAMENTO.CustoUnitario*(1+$AH140),ORÇAMENTO.PrecoUnitarioLicitado),15-13*$AF$10),0)</f>
        <v>0</v>
      </c>
      <c r="X140" s="127">
        <f ca="1">IF($C140="S",IF(Import.TipoArredondamento&lt;&gt;"TransfereGOV",VTOTAL1,SUM(OFFSET(CÁLCULO!$AI$15,ROW($X140)-ROW($X$15),1):OFFSET(CÁLCULO!$BB$15,ROW($X140)-ROW($X$15),-1))),IF($C140=0,0,ROUND(SomaAgrup,15-13*$AF$11)))</f>
        <v>0</v>
      </c>
      <c r="Y140" s="128" t="s">
        <v>245</v>
      </c>
      <c r="Z140" t="str">
        <f t="shared" ca="1" si="49"/>
        <v/>
      </c>
      <c r="AA140" s="129">
        <f ca="1">IF($C140="S",IF($Z140="CP",$X140,IF($Z140="RA",(($X140)*QCI!$AA$3),0)),SomaAgrup)</f>
        <v>0</v>
      </c>
      <c r="AB140" s="130">
        <f t="shared" ca="1" si="50"/>
        <v>0</v>
      </c>
      <c r="AC140" s="131" t="str">
        <f ca="1">IF($N140="","",IF(ORÇAMENTO.Descricao="","DESCRIÇÃO",IF(AND($C140="S",ORÇAMENTO.Unidade=""),"UNIDADE",IF($X140&lt;0,"VALOR NEGATIVO",IF(OR(AND(TIPOORCAMENTO="Proposto",$AG140&lt;&gt;"",$AG140&gt;0,ORÇAMENTO.CustoUnitario&gt;$AG140),AND(TIPOORCAMENTO="LICITADO",ORÇAMENTO.PrecoUnitarioLicitado&gt;$AN140)),"ACIMA REF.","")))))</f>
        <v/>
      </c>
      <c r="AD140" t="str">
        <f ca="1">IF(C140&lt;=CRONO.NivelExibicao,MAX($AD$15:OFFSET(AD140,-1,0))+IF($C140&lt;&gt;1,1,MAX(1,COUNTIF(QCI!$A$13:$A$24,OFFSET($E140,-1,0)))),"")</f>
        <v/>
      </c>
      <c r="AE140" s="7" t="str">
        <f ca="1">IF(AND($C140="S",ORÇAMENTO.CodBarra&lt;&gt;""),IF(ORÇAMENTO.Fonte="",ORÇAMENTO.CodBarra,CONCATENATE(ORÇAMENTO.Fonte," ",ORÇAMENTO.CodBarra)))</f>
        <v>COMPOSIÇÃO FNDE 263</v>
      </c>
      <c r="AF140" s="13" t="str">
        <f ca="1">IF(ISERROR(INDIRECT(ORÇAMENTO.BancoRef)),"(abra o arquivo 'Referência "&amp;Excel_BuiltIn_Database&amp;".xlsm)",IF(OR($C140&lt;&gt;"S",ORÇAMENTO.CodBarra=""),"(Sem Código)",IF(ISERROR(MATCH($AE140,INDIRECT(ORÇAMENTO.BancoRef),0)),"(Código não identificado nas referências)",MATCH($AE140,INDIRECT(ORÇAMENTO.BancoRef),0))))</f>
        <v>(abra o arquivo 'Referência 06-2024.xlsm)</v>
      </c>
      <c r="AG140" s="498">
        <f ca="1">ROUND(IF(DESONERACAO="sim",REFERENCIA.Desonerado,REFERENCIA.NaoDesonerado),2)</f>
        <v>0</v>
      </c>
      <c r="AH140" s="499">
        <f t="shared" ca="1" si="51"/>
        <v>0.2432</v>
      </c>
      <c r="AJ140" s="501"/>
      <c r="AL140" s="527"/>
      <c r="AM140" s="381">
        <f t="shared" ca="1" si="52"/>
        <v>0</v>
      </c>
      <c r="AN140" s="566">
        <f t="shared" ca="1" si="53"/>
        <v>0</v>
      </c>
    </row>
    <row r="141" spans="1:40" ht="38.25" x14ac:dyDescent="0.2">
      <c r="A141" t="str">
        <f t="shared" si="38"/>
        <v>S</v>
      </c>
      <c r="B141">
        <f t="shared" ca="1" si="39"/>
        <v>2</v>
      </c>
      <c r="C141" t="str">
        <f t="shared" ca="1" si="40"/>
        <v>S</v>
      </c>
      <c r="D141">
        <f t="shared" ca="1" si="41"/>
        <v>0</v>
      </c>
      <c r="E141">
        <f ca="1">IF($C141=1,OFFSET(E141,-1,0)+MAX(1,COUNTIF(QCI!$A$13:$A$24,OFFSET(ORÇAMENTO!E141,-1,0))),OFFSET(E141,-1,0))</f>
        <v>1</v>
      </c>
      <c r="F141">
        <f t="shared" ca="1" si="42"/>
        <v>21</v>
      </c>
      <c r="G141">
        <f t="shared" ca="1" si="43"/>
        <v>0</v>
      </c>
      <c r="H141">
        <f t="shared" ca="1" si="44"/>
        <v>0</v>
      </c>
      <c r="I141">
        <f t="shared" ca="1" si="45"/>
        <v>0</v>
      </c>
      <c r="J141">
        <f t="shared" ca="1" si="37"/>
        <v>0</v>
      </c>
      <c r="K141">
        <f ca="1">IF(OR($C141="S",$C141=0),0,MATCH(OFFSET($D141,0,$C141)+IF($C141&lt;&gt;1,1,COUNTIF(QCI!$A$13:$A$24,ORÇAMENTO!E141)),OFFSET($D141,1,$C141,ROW($C$727)-ROW($C141)),0))</f>
        <v>0</v>
      </c>
      <c r="L141" s="116" t="str">
        <f t="shared" ca="1" si="46"/>
        <v/>
      </c>
      <c r="M141" s="117" t="s">
        <v>199</v>
      </c>
      <c r="N141" s="118" t="str">
        <f t="shared" ca="1" si="47"/>
        <v>Serviço</v>
      </c>
      <c r="O141" s="119" t="str">
        <f t="shared" ca="1" si="48"/>
        <v>-</v>
      </c>
      <c r="P141" s="120" t="s">
        <v>458</v>
      </c>
      <c r="Q141" s="121" t="s">
        <v>544</v>
      </c>
      <c r="R141" s="122" t="str">
        <f ca="1">IF($C141="S",REFERENCIA.Descricao,"(digite a descrição aqui)")</f>
        <v>(abra o arquivo 'Referência 06-2024.xlsm)</v>
      </c>
      <c r="S141" s="123" t="str">
        <f ca="1">REFERENCIA.Unidade</f>
        <v>-</v>
      </c>
      <c r="T141" s="124">
        <f ca="1">OFFSET(CÁLCULO!H$15,ROW($T141)-ROW(T$15),0)</f>
        <v>11.03</v>
      </c>
      <c r="U141" s="125">
        <f t="shared" ca="1" si="54"/>
        <v>0</v>
      </c>
      <c r="V141" s="126" t="s">
        <v>156</v>
      </c>
      <c r="W141" s="124">
        <f ca="1">IF($C141="S",ROUND(IF(TIPOORCAMENTO="Proposto",ORÇAMENTO.CustoUnitario*(1+$AH141),ORÇAMENTO.PrecoUnitarioLicitado),15-13*$AF$10),0)</f>
        <v>0</v>
      </c>
      <c r="X141" s="127">
        <f ca="1">IF($C141="S",IF(Import.TipoArredondamento&lt;&gt;"TransfereGOV",VTOTAL1,SUM(OFFSET(CÁLCULO!$AI$15,ROW($X141)-ROW($X$15),1):OFFSET(CÁLCULO!$BB$15,ROW($X141)-ROW($X$15),-1))),IF($C141=0,0,ROUND(SomaAgrup,15-13*$AF$11)))</f>
        <v>0</v>
      </c>
      <c r="Y141" s="128" t="s">
        <v>245</v>
      </c>
      <c r="Z141" t="str">
        <f t="shared" ca="1" si="49"/>
        <v/>
      </c>
      <c r="AA141" s="129">
        <f ca="1">IF($C141="S",IF($Z141="CP",$X141,IF($Z141="RA",(($X141)*QCI!$AA$3),0)),SomaAgrup)</f>
        <v>0</v>
      </c>
      <c r="AB141" s="130">
        <f t="shared" ca="1" si="50"/>
        <v>0</v>
      </c>
      <c r="AC141" s="131" t="str">
        <f ca="1">IF($N141="","",IF(ORÇAMENTO.Descricao="","DESCRIÇÃO",IF(AND($C141="S",ORÇAMENTO.Unidade=""),"UNIDADE",IF($X141&lt;0,"VALOR NEGATIVO",IF(OR(AND(TIPOORCAMENTO="Proposto",$AG141&lt;&gt;"",$AG141&gt;0,ORÇAMENTO.CustoUnitario&gt;$AG141),AND(TIPOORCAMENTO="LICITADO",ORÇAMENTO.PrecoUnitarioLicitado&gt;$AN141)),"ACIMA REF.","")))))</f>
        <v/>
      </c>
      <c r="AD141" t="str">
        <f ca="1">IF(C141&lt;=CRONO.NivelExibicao,MAX($AD$15:OFFSET(AD141,-1,0))+IF($C141&lt;&gt;1,1,MAX(1,COUNTIF(QCI!$A$13:$A$24,OFFSET($E141,-1,0)))),"")</f>
        <v/>
      </c>
      <c r="AE141" s="7" t="str">
        <f ca="1">IF(AND($C141="S",ORÇAMENTO.CodBarra&lt;&gt;""),IF(ORÇAMENTO.Fonte="",ORÇAMENTO.CodBarra,CONCATENATE(ORÇAMENTO.Fonte," ",ORÇAMENTO.CodBarra)))</f>
        <v>COMPOSIÇÃO FNDE 264</v>
      </c>
      <c r="AF141" s="13" t="str">
        <f ca="1">IF(ISERROR(INDIRECT(ORÇAMENTO.BancoRef)),"(abra o arquivo 'Referência "&amp;Excel_BuiltIn_Database&amp;".xlsm)",IF(OR($C141&lt;&gt;"S",ORÇAMENTO.CodBarra=""),"(Sem Código)",IF(ISERROR(MATCH($AE141,INDIRECT(ORÇAMENTO.BancoRef),0)),"(Código não identificado nas referências)",MATCH($AE141,INDIRECT(ORÇAMENTO.BancoRef),0))))</f>
        <v>(abra o arquivo 'Referência 06-2024.xlsm)</v>
      </c>
      <c r="AG141" s="498">
        <f ca="1">ROUND(IF(DESONERACAO="sim",REFERENCIA.Desonerado,REFERENCIA.NaoDesonerado),2)</f>
        <v>0</v>
      </c>
      <c r="AH141" s="499">
        <f t="shared" ca="1" si="51"/>
        <v>0.2432</v>
      </c>
      <c r="AJ141" s="501"/>
      <c r="AL141" s="527"/>
      <c r="AM141" s="381">
        <f t="shared" ca="1" si="52"/>
        <v>0</v>
      </c>
      <c r="AN141" s="566">
        <f t="shared" ca="1" si="53"/>
        <v>0</v>
      </c>
    </row>
    <row r="142" spans="1:40" ht="38.25" x14ac:dyDescent="0.2">
      <c r="A142" t="str">
        <f t="shared" si="38"/>
        <v>S</v>
      </c>
      <c r="B142">
        <f t="shared" ca="1" si="39"/>
        <v>2</v>
      </c>
      <c r="C142" t="str">
        <f t="shared" ca="1" si="40"/>
        <v>S</v>
      </c>
      <c r="D142">
        <f t="shared" ca="1" si="41"/>
        <v>0</v>
      </c>
      <c r="E142">
        <f ca="1">IF($C142=1,OFFSET(E142,-1,0)+MAX(1,COUNTIF(QCI!$A$13:$A$24,OFFSET(ORÇAMENTO!E142,-1,0))),OFFSET(E142,-1,0))</f>
        <v>1</v>
      </c>
      <c r="F142">
        <f t="shared" ca="1" si="42"/>
        <v>21</v>
      </c>
      <c r="G142">
        <f t="shared" ca="1" si="43"/>
        <v>0</v>
      </c>
      <c r="H142">
        <f t="shared" ca="1" si="44"/>
        <v>0</v>
      </c>
      <c r="I142">
        <f t="shared" ca="1" si="45"/>
        <v>0</v>
      </c>
      <c r="J142">
        <f t="shared" ca="1" si="37"/>
        <v>0</v>
      </c>
      <c r="K142">
        <f ca="1">IF(OR($C142="S",$C142=0),0,MATCH(OFFSET($D142,0,$C142)+IF($C142&lt;&gt;1,1,COUNTIF(QCI!$A$13:$A$24,ORÇAMENTO!E142)),OFFSET($D142,1,$C142,ROW($C$727)-ROW($C142)),0))</f>
        <v>0</v>
      </c>
      <c r="L142" s="116" t="str">
        <f t="shared" ca="1" si="46"/>
        <v/>
      </c>
      <c r="M142" s="117" t="s">
        <v>199</v>
      </c>
      <c r="N142" s="118" t="str">
        <f t="shared" ca="1" si="47"/>
        <v>Serviço</v>
      </c>
      <c r="O142" s="119" t="str">
        <f t="shared" ca="1" si="48"/>
        <v>-</v>
      </c>
      <c r="P142" s="120" t="s">
        <v>458</v>
      </c>
      <c r="Q142" s="121" t="s">
        <v>545</v>
      </c>
      <c r="R142" s="122" t="str">
        <f ca="1">IF($C142="S",REFERENCIA.Descricao,"(digite a descrição aqui)")</f>
        <v>(abra o arquivo 'Referência 06-2024.xlsm)</v>
      </c>
      <c r="S142" s="123" t="str">
        <f ca="1">REFERENCIA.Unidade</f>
        <v>-</v>
      </c>
      <c r="T142" s="124">
        <f ca="1">OFFSET(CÁLCULO!H$15,ROW($T142)-ROW(T$15),0)</f>
        <v>6.3</v>
      </c>
      <c r="U142" s="125">
        <f t="shared" ca="1" si="54"/>
        <v>0</v>
      </c>
      <c r="V142" s="126" t="s">
        <v>156</v>
      </c>
      <c r="W142" s="124">
        <f ca="1">IF($C142="S",ROUND(IF(TIPOORCAMENTO="Proposto",ORÇAMENTO.CustoUnitario*(1+$AH142),ORÇAMENTO.PrecoUnitarioLicitado),15-13*$AF$10),0)</f>
        <v>0</v>
      </c>
      <c r="X142" s="127">
        <f ca="1">IF($C142="S",IF(Import.TipoArredondamento&lt;&gt;"TransfereGOV",VTOTAL1,SUM(OFFSET(CÁLCULO!$AI$15,ROW($X142)-ROW($X$15),1):OFFSET(CÁLCULO!$BB$15,ROW($X142)-ROW($X$15),-1))),IF($C142=0,0,ROUND(SomaAgrup,15-13*$AF$11)))</f>
        <v>0</v>
      </c>
      <c r="Y142" s="128" t="s">
        <v>245</v>
      </c>
      <c r="Z142" t="str">
        <f t="shared" ca="1" si="49"/>
        <v/>
      </c>
      <c r="AA142" s="129">
        <f ca="1">IF($C142="S",IF($Z142="CP",$X142,IF($Z142="RA",(($X142)*QCI!$AA$3),0)),SomaAgrup)</f>
        <v>0</v>
      </c>
      <c r="AB142" s="130">
        <f t="shared" ca="1" si="50"/>
        <v>0</v>
      </c>
      <c r="AC142" s="131" t="str">
        <f ca="1">IF($N142="","",IF(ORÇAMENTO.Descricao="","DESCRIÇÃO",IF(AND($C142="S",ORÇAMENTO.Unidade=""),"UNIDADE",IF($X142&lt;0,"VALOR NEGATIVO",IF(OR(AND(TIPOORCAMENTO="Proposto",$AG142&lt;&gt;"",$AG142&gt;0,ORÇAMENTO.CustoUnitario&gt;$AG142),AND(TIPOORCAMENTO="LICITADO",ORÇAMENTO.PrecoUnitarioLicitado&gt;$AN142)),"ACIMA REF.","")))))</f>
        <v/>
      </c>
      <c r="AD142" t="str">
        <f ca="1">IF(C142&lt;=CRONO.NivelExibicao,MAX($AD$15:OFFSET(AD142,-1,0))+IF($C142&lt;&gt;1,1,MAX(1,COUNTIF(QCI!$A$13:$A$24,OFFSET($E142,-1,0)))),"")</f>
        <v/>
      </c>
      <c r="AE142" s="7" t="str">
        <f ca="1">IF(AND($C142="S",ORÇAMENTO.CodBarra&lt;&gt;""),IF(ORÇAMENTO.Fonte="",ORÇAMENTO.CodBarra,CONCATENATE(ORÇAMENTO.Fonte," ",ORÇAMENTO.CodBarra)))</f>
        <v>COMPOSIÇÃO FNDE 268</v>
      </c>
      <c r="AF142" s="13" t="str">
        <f ca="1">IF(ISERROR(INDIRECT(ORÇAMENTO.BancoRef)),"(abra o arquivo 'Referência "&amp;Excel_BuiltIn_Database&amp;".xlsm)",IF(OR($C142&lt;&gt;"S",ORÇAMENTO.CodBarra=""),"(Sem Código)",IF(ISERROR(MATCH($AE142,INDIRECT(ORÇAMENTO.BancoRef),0)),"(Código não identificado nas referências)",MATCH($AE142,INDIRECT(ORÇAMENTO.BancoRef),0))))</f>
        <v>(abra o arquivo 'Referência 06-2024.xlsm)</v>
      </c>
      <c r="AG142" s="498">
        <f ca="1">ROUND(IF(DESONERACAO="sim",REFERENCIA.Desonerado,REFERENCIA.NaoDesonerado),2)</f>
        <v>0</v>
      </c>
      <c r="AH142" s="499">
        <f t="shared" ca="1" si="51"/>
        <v>0.2432</v>
      </c>
      <c r="AJ142" s="501"/>
      <c r="AL142" s="527"/>
      <c r="AM142" s="381">
        <f t="shared" ca="1" si="52"/>
        <v>0</v>
      </c>
      <c r="AN142" s="566">
        <f t="shared" ca="1" si="53"/>
        <v>0</v>
      </c>
    </row>
    <row r="143" spans="1:40" ht="38.25" x14ac:dyDescent="0.2">
      <c r="A143" t="str">
        <f t="shared" si="38"/>
        <v>S</v>
      </c>
      <c r="B143">
        <f t="shared" ca="1" si="39"/>
        <v>2</v>
      </c>
      <c r="C143" t="str">
        <f t="shared" ca="1" si="40"/>
        <v>S</v>
      </c>
      <c r="D143">
        <f t="shared" ca="1" si="41"/>
        <v>0</v>
      </c>
      <c r="E143">
        <f ca="1">IF($C143=1,OFFSET(E143,-1,0)+MAX(1,COUNTIF(QCI!$A$13:$A$24,OFFSET(ORÇAMENTO!E143,-1,0))),OFFSET(E143,-1,0))</f>
        <v>1</v>
      </c>
      <c r="F143">
        <f t="shared" ca="1" si="42"/>
        <v>21</v>
      </c>
      <c r="G143">
        <f t="shared" ca="1" si="43"/>
        <v>0</v>
      </c>
      <c r="H143">
        <f t="shared" ca="1" si="44"/>
        <v>0</v>
      </c>
      <c r="I143">
        <f t="shared" ca="1" si="45"/>
        <v>0</v>
      </c>
      <c r="J143">
        <f t="shared" ca="1" si="37"/>
        <v>0</v>
      </c>
      <c r="K143">
        <f ca="1">IF(OR($C143="S",$C143=0),0,MATCH(OFFSET($D143,0,$C143)+IF($C143&lt;&gt;1,1,COUNTIF(QCI!$A$13:$A$24,ORÇAMENTO!E143)),OFFSET($D143,1,$C143,ROW($C$727)-ROW($C143)),0))</f>
        <v>0</v>
      </c>
      <c r="L143" s="116" t="str">
        <f t="shared" ca="1" si="46"/>
        <v/>
      </c>
      <c r="M143" s="117" t="s">
        <v>199</v>
      </c>
      <c r="N143" s="118" t="str">
        <f t="shared" ca="1" si="47"/>
        <v>Serviço</v>
      </c>
      <c r="O143" s="119" t="str">
        <f t="shared" ca="1" si="48"/>
        <v>-</v>
      </c>
      <c r="P143" s="120" t="s">
        <v>458</v>
      </c>
      <c r="Q143" s="121" t="s">
        <v>546</v>
      </c>
      <c r="R143" s="122" t="str">
        <f ca="1">IF($C143="S",REFERENCIA.Descricao,"(digite a descrição aqui)")</f>
        <v>(abra o arquivo 'Referência 06-2024.xlsm)</v>
      </c>
      <c r="S143" s="123" t="str">
        <f ca="1">REFERENCIA.Unidade</f>
        <v>-</v>
      </c>
      <c r="T143" s="124">
        <f ca="1">OFFSET(CÁLCULO!H$15,ROW($T143)-ROW(T$15),0)</f>
        <v>18.899999999999999</v>
      </c>
      <c r="U143" s="125">
        <f t="shared" ca="1" si="54"/>
        <v>0</v>
      </c>
      <c r="V143" s="126" t="s">
        <v>156</v>
      </c>
      <c r="W143" s="124">
        <f ca="1">IF($C143="S",ROUND(IF(TIPOORCAMENTO="Proposto",ORÇAMENTO.CustoUnitario*(1+$AH143),ORÇAMENTO.PrecoUnitarioLicitado),15-13*$AF$10),0)</f>
        <v>0</v>
      </c>
      <c r="X143" s="127">
        <f ca="1">IF($C143="S",IF(Import.TipoArredondamento&lt;&gt;"TransfereGOV",VTOTAL1,SUM(OFFSET(CÁLCULO!$AI$15,ROW($X143)-ROW($X$15),1):OFFSET(CÁLCULO!$BB$15,ROW($X143)-ROW($X$15),-1))),IF($C143=0,0,ROUND(SomaAgrup,15-13*$AF$11)))</f>
        <v>0</v>
      </c>
      <c r="Y143" s="128" t="s">
        <v>245</v>
      </c>
      <c r="Z143" t="str">
        <f t="shared" ca="1" si="49"/>
        <v/>
      </c>
      <c r="AA143" s="129">
        <f ca="1">IF($C143="S",IF($Z143="CP",$X143,IF($Z143="RA",(($X143)*QCI!$AA$3),0)),SomaAgrup)</f>
        <v>0</v>
      </c>
      <c r="AB143" s="130">
        <f t="shared" ca="1" si="50"/>
        <v>0</v>
      </c>
      <c r="AC143" s="131" t="str">
        <f ca="1">IF($N143="","",IF(ORÇAMENTO.Descricao="","DESCRIÇÃO",IF(AND($C143="S",ORÇAMENTO.Unidade=""),"UNIDADE",IF($X143&lt;0,"VALOR NEGATIVO",IF(OR(AND(TIPOORCAMENTO="Proposto",$AG143&lt;&gt;"",$AG143&gt;0,ORÇAMENTO.CustoUnitario&gt;$AG143),AND(TIPOORCAMENTO="LICITADO",ORÇAMENTO.PrecoUnitarioLicitado&gt;$AN143)),"ACIMA REF.","")))))</f>
        <v/>
      </c>
      <c r="AD143" t="str">
        <f ca="1">IF(C143&lt;=CRONO.NivelExibicao,MAX($AD$15:OFFSET(AD143,-1,0))+IF($C143&lt;&gt;1,1,MAX(1,COUNTIF(QCI!$A$13:$A$24,OFFSET($E143,-1,0)))),"")</f>
        <v/>
      </c>
      <c r="AE143" s="7" t="str">
        <f ca="1">IF(AND($C143="S",ORÇAMENTO.CodBarra&lt;&gt;""),IF(ORÇAMENTO.Fonte="",ORÇAMENTO.CodBarra,CONCATENATE(ORÇAMENTO.Fonte," ",ORÇAMENTO.CodBarra)))</f>
        <v>COMPOSIÇÃO FNDE 265</v>
      </c>
      <c r="AF143" s="13" t="str">
        <f ca="1">IF(ISERROR(INDIRECT(ORÇAMENTO.BancoRef)),"(abra o arquivo 'Referência "&amp;Excel_BuiltIn_Database&amp;".xlsm)",IF(OR($C143&lt;&gt;"S",ORÇAMENTO.CodBarra=""),"(Sem Código)",IF(ISERROR(MATCH($AE143,INDIRECT(ORÇAMENTO.BancoRef),0)),"(Código não identificado nas referências)",MATCH($AE143,INDIRECT(ORÇAMENTO.BancoRef),0))))</f>
        <v>(abra o arquivo 'Referência 06-2024.xlsm)</v>
      </c>
      <c r="AG143" s="498">
        <f ca="1">ROUND(IF(DESONERACAO="sim",REFERENCIA.Desonerado,REFERENCIA.NaoDesonerado),2)</f>
        <v>0</v>
      </c>
      <c r="AH143" s="499">
        <f t="shared" ca="1" si="51"/>
        <v>0.2432</v>
      </c>
      <c r="AJ143" s="501"/>
      <c r="AL143" s="527"/>
      <c r="AM143" s="381">
        <f t="shared" ca="1" si="52"/>
        <v>0</v>
      </c>
      <c r="AN143" s="566">
        <f t="shared" ca="1" si="53"/>
        <v>0</v>
      </c>
    </row>
    <row r="144" spans="1:40" ht="38.25" x14ac:dyDescent="0.2">
      <c r="A144" t="str">
        <f t="shared" si="38"/>
        <v>S</v>
      </c>
      <c r="B144">
        <f t="shared" ca="1" si="39"/>
        <v>2</v>
      </c>
      <c r="C144" t="str">
        <f t="shared" ca="1" si="40"/>
        <v>S</v>
      </c>
      <c r="D144">
        <f t="shared" ca="1" si="41"/>
        <v>0</v>
      </c>
      <c r="E144">
        <f ca="1">IF($C144=1,OFFSET(E144,-1,0)+MAX(1,COUNTIF(QCI!$A$13:$A$24,OFFSET(ORÇAMENTO!E144,-1,0))),OFFSET(E144,-1,0))</f>
        <v>1</v>
      </c>
      <c r="F144">
        <f t="shared" ca="1" si="42"/>
        <v>21</v>
      </c>
      <c r="G144">
        <f t="shared" ca="1" si="43"/>
        <v>0</v>
      </c>
      <c r="H144">
        <f t="shared" ca="1" si="44"/>
        <v>0</v>
      </c>
      <c r="I144">
        <f t="shared" ca="1" si="45"/>
        <v>0</v>
      </c>
      <c r="J144">
        <f t="shared" ref="J144:J207" ca="1" si="55">IF(OR($C144="S",$C144=0),0,MATCH(0,OFFSET($D144,1,$C144,ROW($C$727)-ROW($C144)),0))</f>
        <v>0</v>
      </c>
      <c r="K144">
        <f ca="1">IF(OR($C144="S",$C144=0),0,MATCH(OFFSET($D144,0,$C144)+IF($C144&lt;&gt;1,1,COUNTIF(QCI!$A$13:$A$24,ORÇAMENTO!E144)),OFFSET($D144,1,$C144,ROW($C$727)-ROW($C144)),0))</f>
        <v>0</v>
      </c>
      <c r="L144" s="116" t="str">
        <f t="shared" ca="1" si="46"/>
        <v/>
      </c>
      <c r="M144" s="117" t="s">
        <v>199</v>
      </c>
      <c r="N144" s="118" t="str">
        <f t="shared" ca="1" si="47"/>
        <v>Serviço</v>
      </c>
      <c r="O144" s="119" t="str">
        <f t="shared" ca="1" si="48"/>
        <v>-</v>
      </c>
      <c r="P144" s="120" t="s">
        <v>458</v>
      </c>
      <c r="Q144" s="121" t="s">
        <v>547</v>
      </c>
      <c r="R144" s="122" t="str">
        <f ca="1">IF($C144="S",REFERENCIA.Descricao,"(digite a descrição aqui)")</f>
        <v>(abra o arquivo 'Referência 06-2024.xlsm)</v>
      </c>
      <c r="S144" s="123" t="str">
        <f ca="1">REFERENCIA.Unidade</f>
        <v>-</v>
      </c>
      <c r="T144" s="124">
        <f ca="1">OFFSET(CÁLCULO!H$15,ROW($T144)-ROW(T$15),0)</f>
        <v>2.1</v>
      </c>
      <c r="U144" s="125">
        <f t="shared" ca="1" si="54"/>
        <v>0</v>
      </c>
      <c r="V144" s="126" t="s">
        <v>156</v>
      </c>
      <c r="W144" s="124">
        <f ca="1">IF($C144="S",ROUND(IF(TIPOORCAMENTO="Proposto",ORÇAMENTO.CustoUnitario*(1+$AH144),ORÇAMENTO.PrecoUnitarioLicitado),15-13*$AF$10),0)</f>
        <v>0</v>
      </c>
      <c r="X144" s="127">
        <f ca="1">IF($C144="S",IF(Import.TipoArredondamento&lt;&gt;"TransfereGOV",VTOTAL1,SUM(OFFSET(CÁLCULO!$AI$15,ROW($X144)-ROW($X$15),1):OFFSET(CÁLCULO!$BB$15,ROW($X144)-ROW($X$15),-1))),IF($C144=0,0,ROUND(SomaAgrup,15-13*$AF$11)))</f>
        <v>0</v>
      </c>
      <c r="Y144" s="128" t="s">
        <v>245</v>
      </c>
      <c r="Z144" t="str">
        <f t="shared" ca="1" si="49"/>
        <v/>
      </c>
      <c r="AA144" s="129">
        <f ca="1">IF($C144="S",IF($Z144="CP",$X144,IF($Z144="RA",(($X144)*QCI!$AA$3),0)),SomaAgrup)</f>
        <v>0</v>
      </c>
      <c r="AB144" s="130">
        <f t="shared" ca="1" si="50"/>
        <v>0</v>
      </c>
      <c r="AC144" s="131" t="str">
        <f ca="1">IF($N144="","",IF(ORÇAMENTO.Descricao="","DESCRIÇÃO",IF(AND($C144="S",ORÇAMENTO.Unidade=""),"UNIDADE",IF($X144&lt;0,"VALOR NEGATIVO",IF(OR(AND(TIPOORCAMENTO="Proposto",$AG144&lt;&gt;"",$AG144&gt;0,ORÇAMENTO.CustoUnitario&gt;$AG144),AND(TIPOORCAMENTO="LICITADO",ORÇAMENTO.PrecoUnitarioLicitado&gt;$AN144)),"ACIMA REF.","")))))</f>
        <v/>
      </c>
      <c r="AD144" t="str">
        <f ca="1">IF(C144&lt;=CRONO.NivelExibicao,MAX($AD$15:OFFSET(AD144,-1,0))+IF($C144&lt;&gt;1,1,MAX(1,COUNTIF(QCI!$A$13:$A$24,OFFSET($E144,-1,0)))),"")</f>
        <v/>
      </c>
      <c r="AE144" s="7" t="str">
        <f ca="1">IF(AND($C144="S",ORÇAMENTO.CodBarra&lt;&gt;""),IF(ORÇAMENTO.Fonte="",ORÇAMENTO.CodBarra,CONCATENATE(ORÇAMENTO.Fonte," ",ORÇAMENTO.CodBarra)))</f>
        <v>COMPOSIÇÃO FNDE 269</v>
      </c>
      <c r="AF144" s="13" t="str">
        <f ca="1">IF(ISERROR(INDIRECT(ORÇAMENTO.BancoRef)),"(abra o arquivo 'Referência "&amp;Excel_BuiltIn_Database&amp;".xlsm)",IF(OR($C144&lt;&gt;"S",ORÇAMENTO.CodBarra=""),"(Sem Código)",IF(ISERROR(MATCH($AE144,INDIRECT(ORÇAMENTO.BancoRef),0)),"(Código não identificado nas referências)",MATCH($AE144,INDIRECT(ORÇAMENTO.BancoRef),0))))</f>
        <v>(abra o arquivo 'Referência 06-2024.xlsm)</v>
      </c>
      <c r="AG144" s="498">
        <f ca="1">ROUND(IF(DESONERACAO="sim",REFERENCIA.Desonerado,REFERENCIA.NaoDesonerado),2)</f>
        <v>0</v>
      </c>
      <c r="AH144" s="499">
        <f t="shared" ca="1" si="51"/>
        <v>0.2432</v>
      </c>
      <c r="AJ144" s="501"/>
      <c r="AL144" s="527"/>
      <c r="AM144" s="381">
        <f t="shared" ca="1" si="52"/>
        <v>0</v>
      </c>
      <c r="AN144" s="566">
        <f t="shared" ca="1" si="53"/>
        <v>0</v>
      </c>
    </row>
    <row r="145" spans="1:40" ht="38.25" x14ac:dyDescent="0.2">
      <c r="A145" t="str">
        <f t="shared" si="38"/>
        <v>S</v>
      </c>
      <c r="B145">
        <f t="shared" ca="1" si="39"/>
        <v>2</v>
      </c>
      <c r="C145" t="str">
        <f t="shared" ca="1" si="40"/>
        <v>S</v>
      </c>
      <c r="D145">
        <f t="shared" ca="1" si="41"/>
        <v>0</v>
      </c>
      <c r="E145">
        <f ca="1">IF($C145=1,OFFSET(E145,-1,0)+MAX(1,COUNTIF(QCI!$A$13:$A$24,OFFSET(ORÇAMENTO!E145,-1,0))),OFFSET(E145,-1,0))</f>
        <v>1</v>
      </c>
      <c r="F145">
        <f t="shared" ca="1" si="42"/>
        <v>21</v>
      </c>
      <c r="G145">
        <f t="shared" ca="1" si="43"/>
        <v>0</v>
      </c>
      <c r="H145">
        <f t="shared" ca="1" si="44"/>
        <v>0</v>
      </c>
      <c r="I145">
        <f t="shared" ca="1" si="45"/>
        <v>0</v>
      </c>
      <c r="J145">
        <f t="shared" ca="1" si="55"/>
        <v>0</v>
      </c>
      <c r="K145">
        <f ca="1">IF(OR($C145="S",$C145=0),0,MATCH(OFFSET($D145,0,$C145)+IF($C145&lt;&gt;1,1,COUNTIF(QCI!$A$13:$A$24,ORÇAMENTO!E145)),OFFSET($D145,1,$C145,ROW($C$727)-ROW($C145)),0))</f>
        <v>0</v>
      </c>
      <c r="L145" s="116" t="str">
        <f t="shared" ca="1" si="46"/>
        <v/>
      </c>
      <c r="M145" s="117" t="s">
        <v>199</v>
      </c>
      <c r="N145" s="118" t="str">
        <f t="shared" ca="1" si="47"/>
        <v>Serviço</v>
      </c>
      <c r="O145" s="119" t="str">
        <f t="shared" ca="1" si="48"/>
        <v>-</v>
      </c>
      <c r="P145" s="120" t="s">
        <v>458</v>
      </c>
      <c r="Q145" s="121" t="s">
        <v>548</v>
      </c>
      <c r="R145" s="122" t="str">
        <f ca="1">IF($C145="S",REFERENCIA.Descricao,"(digite a descrição aqui)")</f>
        <v>(abra o arquivo 'Referência 06-2024.xlsm)</v>
      </c>
      <c r="S145" s="123" t="str">
        <f ca="1">REFERENCIA.Unidade</f>
        <v>-</v>
      </c>
      <c r="T145" s="124">
        <f ca="1">OFFSET(CÁLCULO!H$15,ROW($T145)-ROW(T$15),0)</f>
        <v>6.3</v>
      </c>
      <c r="U145" s="125">
        <f t="shared" ca="1" si="54"/>
        <v>0</v>
      </c>
      <c r="V145" s="126" t="s">
        <v>156</v>
      </c>
      <c r="W145" s="124">
        <f ca="1">IF($C145="S",ROUND(IF(TIPOORCAMENTO="Proposto",ORÇAMENTO.CustoUnitario*(1+$AH145),ORÇAMENTO.PrecoUnitarioLicitado),15-13*$AF$10),0)</f>
        <v>0</v>
      </c>
      <c r="X145" s="127">
        <f ca="1">IF($C145="S",IF(Import.TipoArredondamento&lt;&gt;"TransfereGOV",VTOTAL1,SUM(OFFSET(CÁLCULO!$AI$15,ROW($X145)-ROW($X$15),1):OFFSET(CÁLCULO!$BB$15,ROW($X145)-ROW($X$15),-1))),IF($C145=0,0,ROUND(SomaAgrup,15-13*$AF$11)))</f>
        <v>0</v>
      </c>
      <c r="Y145" s="128" t="s">
        <v>245</v>
      </c>
      <c r="Z145" t="str">
        <f t="shared" ca="1" si="49"/>
        <v/>
      </c>
      <c r="AA145" s="129">
        <f ca="1">IF($C145="S",IF($Z145="CP",$X145,IF($Z145="RA",(($X145)*QCI!$AA$3),0)),SomaAgrup)</f>
        <v>0</v>
      </c>
      <c r="AB145" s="130">
        <f t="shared" ca="1" si="50"/>
        <v>0</v>
      </c>
      <c r="AC145" s="131" t="str">
        <f ca="1">IF($N145="","",IF(ORÇAMENTO.Descricao="","DESCRIÇÃO",IF(AND($C145="S",ORÇAMENTO.Unidade=""),"UNIDADE",IF($X145&lt;0,"VALOR NEGATIVO",IF(OR(AND(TIPOORCAMENTO="Proposto",$AG145&lt;&gt;"",$AG145&gt;0,ORÇAMENTO.CustoUnitario&gt;$AG145),AND(TIPOORCAMENTO="LICITADO",ORÇAMENTO.PrecoUnitarioLicitado&gt;$AN145)),"ACIMA REF.","")))))</f>
        <v/>
      </c>
      <c r="AD145" t="str">
        <f ca="1">IF(C145&lt;=CRONO.NivelExibicao,MAX($AD$15:OFFSET(AD145,-1,0))+IF($C145&lt;&gt;1,1,MAX(1,COUNTIF(QCI!$A$13:$A$24,OFFSET($E145,-1,0)))),"")</f>
        <v/>
      </c>
      <c r="AE145" s="7" t="str">
        <f ca="1">IF(AND($C145="S",ORÇAMENTO.CodBarra&lt;&gt;""),IF(ORÇAMENTO.Fonte="",ORÇAMENTO.CodBarra,CONCATENATE(ORÇAMENTO.Fonte," ",ORÇAMENTO.CodBarra)))</f>
        <v>COMPOSIÇÃO FNDE 270</v>
      </c>
      <c r="AF145" s="13" t="str">
        <f ca="1">IF(ISERROR(INDIRECT(ORÇAMENTO.BancoRef)),"(abra o arquivo 'Referência "&amp;Excel_BuiltIn_Database&amp;".xlsm)",IF(OR($C145&lt;&gt;"S",ORÇAMENTO.CodBarra=""),"(Sem Código)",IF(ISERROR(MATCH($AE145,INDIRECT(ORÇAMENTO.BancoRef),0)),"(Código não identificado nas referências)",MATCH($AE145,INDIRECT(ORÇAMENTO.BancoRef),0))))</f>
        <v>(abra o arquivo 'Referência 06-2024.xlsm)</v>
      </c>
      <c r="AG145" s="498">
        <f ca="1">ROUND(IF(DESONERACAO="sim",REFERENCIA.Desonerado,REFERENCIA.NaoDesonerado),2)</f>
        <v>0</v>
      </c>
      <c r="AH145" s="499">
        <f t="shared" ca="1" si="51"/>
        <v>0.2432</v>
      </c>
      <c r="AJ145" s="501"/>
      <c r="AL145" s="527"/>
      <c r="AM145" s="381">
        <f t="shared" ca="1" si="52"/>
        <v>0</v>
      </c>
      <c r="AN145" s="566">
        <f t="shared" ca="1" si="53"/>
        <v>0</v>
      </c>
    </row>
    <row r="146" spans="1:40" ht="38.25" x14ac:dyDescent="0.2">
      <c r="A146" t="str">
        <f t="shared" si="38"/>
        <v>S</v>
      </c>
      <c r="B146">
        <f t="shared" ca="1" si="39"/>
        <v>2</v>
      </c>
      <c r="C146" t="str">
        <f t="shared" ca="1" si="40"/>
        <v>S</v>
      </c>
      <c r="D146">
        <f t="shared" ca="1" si="41"/>
        <v>0</v>
      </c>
      <c r="E146">
        <f ca="1">IF($C146=1,OFFSET(E146,-1,0)+MAX(1,COUNTIF(QCI!$A$13:$A$24,OFFSET(ORÇAMENTO!E146,-1,0))),OFFSET(E146,-1,0))</f>
        <v>1</v>
      </c>
      <c r="F146">
        <f t="shared" ca="1" si="42"/>
        <v>21</v>
      </c>
      <c r="G146">
        <f t="shared" ca="1" si="43"/>
        <v>0</v>
      </c>
      <c r="H146">
        <f t="shared" ca="1" si="44"/>
        <v>0</v>
      </c>
      <c r="I146">
        <f t="shared" ca="1" si="45"/>
        <v>0</v>
      </c>
      <c r="J146">
        <f t="shared" ca="1" si="55"/>
        <v>0</v>
      </c>
      <c r="K146">
        <f ca="1">IF(OR($C146="S",$C146=0),0,MATCH(OFFSET($D146,0,$C146)+IF($C146&lt;&gt;1,1,COUNTIF(QCI!$A$13:$A$24,ORÇAMENTO!E146)),OFFSET($D146,1,$C146,ROW($C$727)-ROW($C146)),0))</f>
        <v>0</v>
      </c>
      <c r="L146" s="116" t="str">
        <f t="shared" ca="1" si="46"/>
        <v/>
      </c>
      <c r="M146" s="117" t="s">
        <v>199</v>
      </c>
      <c r="N146" s="118" t="str">
        <f t="shared" ca="1" si="47"/>
        <v>Serviço</v>
      </c>
      <c r="O146" s="119" t="str">
        <f t="shared" ca="1" si="48"/>
        <v>-</v>
      </c>
      <c r="P146" s="120" t="s">
        <v>458</v>
      </c>
      <c r="Q146" s="121" t="s">
        <v>549</v>
      </c>
      <c r="R146" s="122" t="str">
        <f ca="1">IF($C146="S",REFERENCIA.Descricao,"(digite a descrição aqui)")</f>
        <v>(abra o arquivo 'Referência 06-2024.xlsm)</v>
      </c>
      <c r="S146" s="123" t="str">
        <f ca="1">REFERENCIA.Unidade</f>
        <v>-</v>
      </c>
      <c r="T146" s="124">
        <f ca="1">OFFSET(CÁLCULO!H$15,ROW($T146)-ROW(T$15),0)</f>
        <v>8.4</v>
      </c>
      <c r="U146" s="125">
        <f t="shared" ca="1" si="54"/>
        <v>0</v>
      </c>
      <c r="V146" s="126" t="s">
        <v>156</v>
      </c>
      <c r="W146" s="124">
        <f ca="1">IF($C146="S",ROUND(IF(TIPOORCAMENTO="Proposto",ORÇAMENTO.CustoUnitario*(1+$AH146),ORÇAMENTO.PrecoUnitarioLicitado),15-13*$AF$10),0)</f>
        <v>0</v>
      </c>
      <c r="X146" s="127">
        <f ca="1">IF($C146="S",IF(Import.TipoArredondamento&lt;&gt;"TransfereGOV",VTOTAL1,SUM(OFFSET(CÁLCULO!$AI$15,ROW($X146)-ROW($X$15),1):OFFSET(CÁLCULO!$BB$15,ROW($X146)-ROW($X$15),-1))),IF($C146=0,0,ROUND(SomaAgrup,15-13*$AF$11)))</f>
        <v>0</v>
      </c>
      <c r="Y146" s="128" t="s">
        <v>245</v>
      </c>
      <c r="Z146" t="str">
        <f t="shared" ca="1" si="49"/>
        <v/>
      </c>
      <c r="AA146" s="129">
        <f ca="1">IF($C146="S",IF($Z146="CP",$X146,IF($Z146="RA",(($X146)*QCI!$AA$3),0)),SomaAgrup)</f>
        <v>0</v>
      </c>
      <c r="AB146" s="130">
        <f t="shared" ca="1" si="50"/>
        <v>0</v>
      </c>
      <c r="AC146" s="131" t="str">
        <f ca="1">IF($N146="","",IF(ORÇAMENTO.Descricao="","DESCRIÇÃO",IF(AND($C146="S",ORÇAMENTO.Unidade=""),"UNIDADE",IF($X146&lt;0,"VALOR NEGATIVO",IF(OR(AND(TIPOORCAMENTO="Proposto",$AG146&lt;&gt;"",$AG146&gt;0,ORÇAMENTO.CustoUnitario&gt;$AG146),AND(TIPOORCAMENTO="LICITADO",ORÇAMENTO.PrecoUnitarioLicitado&gt;$AN146)),"ACIMA REF.","")))))</f>
        <v/>
      </c>
      <c r="AD146" t="str">
        <f ca="1">IF(C146&lt;=CRONO.NivelExibicao,MAX($AD$15:OFFSET(AD146,-1,0))+IF($C146&lt;&gt;1,1,MAX(1,COUNTIF(QCI!$A$13:$A$24,OFFSET($E146,-1,0)))),"")</f>
        <v/>
      </c>
      <c r="AE146" s="7" t="str">
        <f ca="1">IF(AND($C146="S",ORÇAMENTO.CodBarra&lt;&gt;""),IF(ORÇAMENTO.Fonte="",ORÇAMENTO.CodBarra,CONCATENATE(ORÇAMENTO.Fonte," ",ORÇAMENTO.CodBarra)))</f>
        <v>COMPOSIÇÃO FNDE 271</v>
      </c>
      <c r="AF146" s="13" t="str">
        <f ca="1">IF(ISERROR(INDIRECT(ORÇAMENTO.BancoRef)),"(abra o arquivo 'Referência "&amp;Excel_BuiltIn_Database&amp;".xlsm)",IF(OR($C146&lt;&gt;"S",ORÇAMENTO.CodBarra=""),"(Sem Código)",IF(ISERROR(MATCH($AE146,INDIRECT(ORÇAMENTO.BancoRef),0)),"(Código não identificado nas referências)",MATCH($AE146,INDIRECT(ORÇAMENTO.BancoRef),0))))</f>
        <v>(abra o arquivo 'Referência 06-2024.xlsm)</v>
      </c>
      <c r="AG146" s="498">
        <f ca="1">ROUND(IF(DESONERACAO="sim",REFERENCIA.Desonerado,REFERENCIA.NaoDesonerado),2)</f>
        <v>0</v>
      </c>
      <c r="AH146" s="499">
        <f t="shared" ca="1" si="51"/>
        <v>0.2432</v>
      </c>
      <c r="AJ146" s="501"/>
      <c r="AL146" s="527"/>
      <c r="AM146" s="381">
        <f t="shared" ca="1" si="52"/>
        <v>0</v>
      </c>
      <c r="AN146" s="566">
        <f t="shared" ca="1" si="53"/>
        <v>0</v>
      </c>
    </row>
    <row r="147" spans="1:40" ht="38.25" x14ac:dyDescent="0.2">
      <c r="A147" t="str">
        <f t="shared" si="38"/>
        <v>S</v>
      </c>
      <c r="B147">
        <f t="shared" ca="1" si="39"/>
        <v>2</v>
      </c>
      <c r="C147" t="str">
        <f t="shared" ca="1" si="40"/>
        <v>S</v>
      </c>
      <c r="D147">
        <f t="shared" ca="1" si="41"/>
        <v>0</v>
      </c>
      <c r="E147">
        <f ca="1">IF($C147=1,OFFSET(E147,-1,0)+MAX(1,COUNTIF(QCI!$A$13:$A$24,OFFSET(ORÇAMENTO!E147,-1,0))),OFFSET(E147,-1,0))</f>
        <v>1</v>
      </c>
      <c r="F147">
        <f t="shared" ca="1" si="42"/>
        <v>21</v>
      </c>
      <c r="G147">
        <f t="shared" ca="1" si="43"/>
        <v>0</v>
      </c>
      <c r="H147">
        <f t="shared" ca="1" si="44"/>
        <v>0</v>
      </c>
      <c r="I147">
        <f t="shared" ca="1" si="45"/>
        <v>0</v>
      </c>
      <c r="J147">
        <f t="shared" ca="1" si="55"/>
        <v>0</v>
      </c>
      <c r="K147">
        <f ca="1">IF(OR($C147="S",$C147=0),0,MATCH(OFFSET($D147,0,$C147)+IF($C147&lt;&gt;1,1,COUNTIF(QCI!$A$13:$A$24,ORÇAMENTO!E147)),OFFSET($D147,1,$C147,ROW($C$727)-ROW($C147)),0))</f>
        <v>0</v>
      </c>
      <c r="L147" s="116" t="str">
        <f t="shared" ca="1" si="46"/>
        <v/>
      </c>
      <c r="M147" s="117" t="s">
        <v>199</v>
      </c>
      <c r="N147" s="118" t="str">
        <f t="shared" ca="1" si="47"/>
        <v>Serviço</v>
      </c>
      <c r="O147" s="119" t="str">
        <f t="shared" ca="1" si="48"/>
        <v>-</v>
      </c>
      <c r="P147" s="120" t="s">
        <v>458</v>
      </c>
      <c r="Q147" s="121" t="s">
        <v>550</v>
      </c>
      <c r="R147" s="122" t="str">
        <f ca="1">IF($C147="S",REFERENCIA.Descricao,"(digite a descrição aqui)")</f>
        <v>(abra o arquivo 'Referência 06-2024.xlsm)</v>
      </c>
      <c r="S147" s="123" t="str">
        <f ca="1">REFERENCIA.Unidade</f>
        <v>-</v>
      </c>
      <c r="T147" s="124">
        <f ca="1">OFFSET(CÁLCULO!H$15,ROW($T147)-ROW(T$15),0)</f>
        <v>12.6</v>
      </c>
      <c r="U147" s="125">
        <f t="shared" ca="1" si="54"/>
        <v>0</v>
      </c>
      <c r="V147" s="126" t="s">
        <v>156</v>
      </c>
      <c r="W147" s="124">
        <f ca="1">IF($C147="S",ROUND(IF(TIPOORCAMENTO="Proposto",ORÇAMENTO.CustoUnitario*(1+$AH147),ORÇAMENTO.PrecoUnitarioLicitado),15-13*$AF$10),0)</f>
        <v>0</v>
      </c>
      <c r="X147" s="127">
        <f ca="1">IF($C147="S",IF(Import.TipoArredondamento&lt;&gt;"TransfereGOV",VTOTAL1,SUM(OFFSET(CÁLCULO!$AI$15,ROW($X147)-ROW($X$15),1):OFFSET(CÁLCULO!$BB$15,ROW($X147)-ROW($X$15),-1))),IF($C147=0,0,ROUND(SomaAgrup,15-13*$AF$11)))</f>
        <v>0</v>
      </c>
      <c r="Y147" s="128" t="s">
        <v>245</v>
      </c>
      <c r="Z147" t="str">
        <f t="shared" ca="1" si="49"/>
        <v/>
      </c>
      <c r="AA147" s="129">
        <f ca="1">IF($C147="S",IF($Z147="CP",$X147,IF($Z147="RA",(($X147)*QCI!$AA$3),0)),SomaAgrup)</f>
        <v>0</v>
      </c>
      <c r="AB147" s="130">
        <f t="shared" ca="1" si="50"/>
        <v>0</v>
      </c>
      <c r="AC147" s="131" t="str">
        <f ca="1">IF($N147="","",IF(ORÇAMENTO.Descricao="","DESCRIÇÃO",IF(AND($C147="S",ORÇAMENTO.Unidade=""),"UNIDADE",IF($X147&lt;0,"VALOR NEGATIVO",IF(OR(AND(TIPOORCAMENTO="Proposto",$AG147&lt;&gt;"",$AG147&gt;0,ORÇAMENTO.CustoUnitario&gt;$AG147),AND(TIPOORCAMENTO="LICITADO",ORÇAMENTO.PrecoUnitarioLicitado&gt;$AN147)),"ACIMA REF.","")))))</f>
        <v/>
      </c>
      <c r="AD147" t="str">
        <f ca="1">IF(C147&lt;=CRONO.NivelExibicao,MAX($AD$15:OFFSET(AD147,-1,0))+IF($C147&lt;&gt;1,1,MAX(1,COUNTIF(QCI!$A$13:$A$24,OFFSET($E147,-1,0)))),"")</f>
        <v/>
      </c>
      <c r="AE147" s="7" t="str">
        <f ca="1">IF(AND($C147="S",ORÇAMENTO.CodBarra&lt;&gt;""),IF(ORÇAMENTO.Fonte="",ORÇAMENTO.CodBarra,CONCATENATE(ORÇAMENTO.Fonte," ",ORÇAMENTO.CodBarra)))</f>
        <v>COMPOSIÇÃO FNDE 272</v>
      </c>
      <c r="AF147" s="13" t="str">
        <f ca="1">IF(ISERROR(INDIRECT(ORÇAMENTO.BancoRef)),"(abra o arquivo 'Referência "&amp;Excel_BuiltIn_Database&amp;".xlsm)",IF(OR($C147&lt;&gt;"S",ORÇAMENTO.CodBarra=""),"(Sem Código)",IF(ISERROR(MATCH($AE147,INDIRECT(ORÇAMENTO.BancoRef),0)),"(Código não identificado nas referências)",MATCH($AE147,INDIRECT(ORÇAMENTO.BancoRef),0))))</f>
        <v>(abra o arquivo 'Referência 06-2024.xlsm)</v>
      </c>
      <c r="AG147" s="498">
        <f ca="1">ROUND(IF(DESONERACAO="sim",REFERENCIA.Desonerado,REFERENCIA.NaoDesonerado),2)</f>
        <v>0</v>
      </c>
      <c r="AH147" s="499">
        <f t="shared" ca="1" si="51"/>
        <v>0.2432</v>
      </c>
      <c r="AJ147" s="501"/>
      <c r="AL147" s="527"/>
      <c r="AM147" s="381">
        <f t="shared" ca="1" si="52"/>
        <v>0</v>
      </c>
      <c r="AN147" s="566">
        <f t="shared" ca="1" si="53"/>
        <v>0</v>
      </c>
    </row>
    <row r="148" spans="1:40" ht="38.25" x14ac:dyDescent="0.2">
      <c r="A148" t="str">
        <f t="shared" si="38"/>
        <v>S</v>
      </c>
      <c r="B148">
        <f t="shared" ca="1" si="39"/>
        <v>2</v>
      </c>
      <c r="C148" t="str">
        <f t="shared" ca="1" si="40"/>
        <v>S</v>
      </c>
      <c r="D148">
        <f t="shared" ca="1" si="41"/>
        <v>0</v>
      </c>
      <c r="E148">
        <f ca="1">IF($C148=1,OFFSET(E148,-1,0)+MAX(1,COUNTIF(QCI!$A$13:$A$24,OFFSET(ORÇAMENTO!E148,-1,0))),OFFSET(E148,-1,0))</f>
        <v>1</v>
      </c>
      <c r="F148">
        <f t="shared" ca="1" si="42"/>
        <v>21</v>
      </c>
      <c r="G148">
        <f t="shared" ca="1" si="43"/>
        <v>0</v>
      </c>
      <c r="H148">
        <f t="shared" ca="1" si="44"/>
        <v>0</v>
      </c>
      <c r="I148">
        <f t="shared" ca="1" si="45"/>
        <v>0</v>
      </c>
      <c r="J148">
        <f t="shared" ca="1" si="55"/>
        <v>0</v>
      </c>
      <c r="K148">
        <f ca="1">IF(OR($C148="S",$C148=0),0,MATCH(OFFSET($D148,0,$C148)+IF($C148&lt;&gt;1,1,COUNTIF(QCI!$A$13:$A$24,ORÇAMENTO!E148)),OFFSET($D148,1,$C148,ROW($C$727)-ROW($C148)),0))</f>
        <v>0</v>
      </c>
      <c r="L148" s="116" t="str">
        <f t="shared" ca="1" si="46"/>
        <v/>
      </c>
      <c r="M148" s="117" t="s">
        <v>199</v>
      </c>
      <c r="N148" s="118" t="str">
        <f t="shared" ca="1" si="47"/>
        <v>Serviço</v>
      </c>
      <c r="O148" s="119" t="str">
        <f t="shared" ca="1" si="48"/>
        <v>-</v>
      </c>
      <c r="P148" s="120" t="s">
        <v>458</v>
      </c>
      <c r="Q148" s="121" t="s">
        <v>551</v>
      </c>
      <c r="R148" s="122" t="str">
        <f ca="1">IF($C148="S",REFERENCIA.Descricao,"(digite a descrição aqui)")</f>
        <v>(abra o arquivo 'Referência 06-2024.xlsm)</v>
      </c>
      <c r="S148" s="123" t="str">
        <f ca="1">REFERENCIA.Unidade</f>
        <v>-</v>
      </c>
      <c r="T148" s="124">
        <f ca="1">OFFSET(CÁLCULO!H$15,ROW($T148)-ROW(T$15),0)</f>
        <v>33.6</v>
      </c>
      <c r="U148" s="125">
        <f t="shared" ca="1" si="54"/>
        <v>0</v>
      </c>
      <c r="V148" s="126" t="s">
        <v>156</v>
      </c>
      <c r="W148" s="124">
        <f ca="1">IF($C148="S",ROUND(IF(TIPOORCAMENTO="Proposto",ORÇAMENTO.CustoUnitario*(1+$AH148),ORÇAMENTO.PrecoUnitarioLicitado),15-13*$AF$10),0)</f>
        <v>0</v>
      </c>
      <c r="X148" s="127">
        <f ca="1">IF($C148="S",IF(Import.TipoArredondamento&lt;&gt;"TransfereGOV",VTOTAL1,SUM(OFFSET(CÁLCULO!$AI$15,ROW($X148)-ROW($X$15),1):OFFSET(CÁLCULO!$BB$15,ROW($X148)-ROW($X$15),-1))),IF($C148=0,0,ROUND(SomaAgrup,15-13*$AF$11)))</f>
        <v>0</v>
      </c>
      <c r="Y148" s="128" t="s">
        <v>245</v>
      </c>
      <c r="Z148" t="str">
        <f t="shared" ca="1" si="49"/>
        <v/>
      </c>
      <c r="AA148" s="129">
        <f ca="1">IF($C148="S",IF($Z148="CP",$X148,IF($Z148="RA",(($X148)*QCI!$AA$3),0)),SomaAgrup)</f>
        <v>0</v>
      </c>
      <c r="AB148" s="130">
        <f t="shared" ca="1" si="50"/>
        <v>0</v>
      </c>
      <c r="AC148" s="131" t="str">
        <f ca="1">IF($N148="","",IF(ORÇAMENTO.Descricao="","DESCRIÇÃO",IF(AND($C148="S",ORÇAMENTO.Unidade=""),"UNIDADE",IF($X148&lt;0,"VALOR NEGATIVO",IF(OR(AND(TIPOORCAMENTO="Proposto",$AG148&lt;&gt;"",$AG148&gt;0,ORÇAMENTO.CustoUnitario&gt;$AG148),AND(TIPOORCAMENTO="LICITADO",ORÇAMENTO.PrecoUnitarioLicitado&gt;$AN148)),"ACIMA REF.","")))))</f>
        <v/>
      </c>
      <c r="AD148" t="str">
        <f ca="1">IF(C148&lt;=CRONO.NivelExibicao,MAX($AD$15:OFFSET(AD148,-1,0))+IF($C148&lt;&gt;1,1,MAX(1,COUNTIF(QCI!$A$13:$A$24,OFFSET($E148,-1,0)))),"")</f>
        <v/>
      </c>
      <c r="AE148" s="7" t="str">
        <f ca="1">IF(AND($C148="S",ORÇAMENTO.CodBarra&lt;&gt;""),IF(ORÇAMENTO.Fonte="",ORÇAMENTO.CodBarra,CONCATENATE(ORÇAMENTO.Fonte," ",ORÇAMENTO.CodBarra)))</f>
        <v>COMPOSIÇÃO FNDE 273</v>
      </c>
      <c r="AF148" s="13" t="str">
        <f ca="1">IF(ISERROR(INDIRECT(ORÇAMENTO.BancoRef)),"(abra o arquivo 'Referência "&amp;Excel_BuiltIn_Database&amp;".xlsm)",IF(OR($C148&lt;&gt;"S",ORÇAMENTO.CodBarra=""),"(Sem Código)",IF(ISERROR(MATCH($AE148,INDIRECT(ORÇAMENTO.BancoRef),0)),"(Código não identificado nas referências)",MATCH($AE148,INDIRECT(ORÇAMENTO.BancoRef),0))))</f>
        <v>(abra o arquivo 'Referência 06-2024.xlsm)</v>
      </c>
      <c r="AG148" s="498">
        <f ca="1">ROUND(IF(DESONERACAO="sim",REFERENCIA.Desonerado,REFERENCIA.NaoDesonerado),2)</f>
        <v>0</v>
      </c>
      <c r="AH148" s="499">
        <f t="shared" ca="1" si="51"/>
        <v>0.2432</v>
      </c>
      <c r="AJ148" s="501"/>
      <c r="AL148" s="527"/>
      <c r="AM148" s="381">
        <f t="shared" ca="1" si="52"/>
        <v>0</v>
      </c>
      <c r="AN148" s="566">
        <f t="shared" ca="1" si="53"/>
        <v>0</v>
      </c>
    </row>
    <row r="149" spans="1:40" ht="38.25" x14ac:dyDescent="0.2">
      <c r="A149" t="str">
        <f t="shared" si="38"/>
        <v>S</v>
      </c>
      <c r="B149">
        <f t="shared" ca="1" si="39"/>
        <v>2</v>
      </c>
      <c r="C149" t="str">
        <f t="shared" ca="1" si="40"/>
        <v>S</v>
      </c>
      <c r="D149">
        <f t="shared" ca="1" si="41"/>
        <v>0</v>
      </c>
      <c r="E149">
        <f ca="1">IF($C149=1,OFFSET(E149,-1,0)+MAX(1,COUNTIF(QCI!$A$13:$A$24,OFFSET(ORÇAMENTO!E149,-1,0))),OFFSET(E149,-1,0))</f>
        <v>1</v>
      </c>
      <c r="F149">
        <f t="shared" ca="1" si="42"/>
        <v>21</v>
      </c>
      <c r="G149">
        <f t="shared" ca="1" si="43"/>
        <v>0</v>
      </c>
      <c r="H149">
        <f t="shared" ca="1" si="44"/>
        <v>0</v>
      </c>
      <c r="I149">
        <f t="shared" ca="1" si="45"/>
        <v>0</v>
      </c>
      <c r="J149">
        <f t="shared" ca="1" si="55"/>
        <v>0</v>
      </c>
      <c r="K149">
        <f ca="1">IF(OR($C149="S",$C149=0),0,MATCH(OFFSET($D149,0,$C149)+IF($C149&lt;&gt;1,1,COUNTIF(QCI!$A$13:$A$24,ORÇAMENTO!E149)),OFFSET($D149,1,$C149,ROW($C$727)-ROW($C149)),0))</f>
        <v>0</v>
      </c>
      <c r="L149" s="116" t="str">
        <f t="shared" ca="1" si="46"/>
        <v/>
      </c>
      <c r="M149" s="117" t="s">
        <v>199</v>
      </c>
      <c r="N149" s="118" t="str">
        <f t="shared" ca="1" si="47"/>
        <v>Serviço</v>
      </c>
      <c r="O149" s="119" t="str">
        <f t="shared" ca="1" si="48"/>
        <v>-</v>
      </c>
      <c r="P149" s="120" t="s">
        <v>458</v>
      </c>
      <c r="Q149" s="121" t="s">
        <v>552</v>
      </c>
      <c r="R149" s="122" t="str">
        <f ca="1">IF($C149="S",REFERENCIA.Descricao,"(digite a descrição aqui)")</f>
        <v>(abra o arquivo 'Referência 06-2024.xlsm)</v>
      </c>
      <c r="S149" s="123" t="str">
        <f ca="1">REFERENCIA.Unidade</f>
        <v>-</v>
      </c>
      <c r="T149" s="124">
        <f ca="1">OFFSET(CÁLCULO!H$15,ROW($T149)-ROW(T$15),0)</f>
        <v>16.8</v>
      </c>
      <c r="U149" s="125">
        <f t="shared" ca="1" si="54"/>
        <v>0</v>
      </c>
      <c r="V149" s="126" t="s">
        <v>156</v>
      </c>
      <c r="W149" s="124">
        <f ca="1">IF($C149="S",ROUND(IF(TIPOORCAMENTO="Proposto",ORÇAMENTO.CustoUnitario*(1+$AH149),ORÇAMENTO.PrecoUnitarioLicitado),15-13*$AF$10),0)</f>
        <v>0</v>
      </c>
      <c r="X149" s="127">
        <f ca="1">IF($C149="S",IF(Import.TipoArredondamento&lt;&gt;"TransfereGOV",VTOTAL1,SUM(OFFSET(CÁLCULO!$AI$15,ROW($X149)-ROW($X$15),1):OFFSET(CÁLCULO!$BB$15,ROW($X149)-ROW($X$15),-1))),IF($C149=0,0,ROUND(SomaAgrup,15-13*$AF$11)))</f>
        <v>0</v>
      </c>
      <c r="Y149" s="128" t="s">
        <v>245</v>
      </c>
      <c r="Z149" t="str">
        <f t="shared" ca="1" si="49"/>
        <v/>
      </c>
      <c r="AA149" s="129">
        <f ca="1">IF($C149="S",IF($Z149="CP",$X149,IF($Z149="RA",(($X149)*QCI!$AA$3),0)),SomaAgrup)</f>
        <v>0</v>
      </c>
      <c r="AB149" s="130">
        <f t="shared" ca="1" si="50"/>
        <v>0</v>
      </c>
      <c r="AC149" s="131" t="str">
        <f ca="1">IF($N149="","",IF(ORÇAMENTO.Descricao="","DESCRIÇÃO",IF(AND($C149="S",ORÇAMENTO.Unidade=""),"UNIDADE",IF($X149&lt;0,"VALOR NEGATIVO",IF(OR(AND(TIPOORCAMENTO="Proposto",$AG149&lt;&gt;"",$AG149&gt;0,ORÇAMENTO.CustoUnitario&gt;$AG149),AND(TIPOORCAMENTO="LICITADO",ORÇAMENTO.PrecoUnitarioLicitado&gt;$AN149)),"ACIMA REF.","")))))</f>
        <v/>
      </c>
      <c r="AD149" t="str">
        <f ca="1">IF(C149&lt;=CRONO.NivelExibicao,MAX($AD$15:OFFSET(AD149,-1,0))+IF($C149&lt;&gt;1,1,MAX(1,COUNTIF(QCI!$A$13:$A$24,OFFSET($E149,-1,0)))),"")</f>
        <v/>
      </c>
      <c r="AE149" s="7" t="str">
        <f ca="1">IF(AND($C149="S",ORÇAMENTO.CodBarra&lt;&gt;""),IF(ORÇAMENTO.Fonte="",ORÇAMENTO.CodBarra,CONCATENATE(ORÇAMENTO.Fonte," ",ORÇAMENTO.CodBarra)))</f>
        <v>COMPOSIÇÃO FNDE 274</v>
      </c>
      <c r="AF149" s="13" t="str">
        <f ca="1">IF(ISERROR(INDIRECT(ORÇAMENTO.BancoRef)),"(abra o arquivo 'Referência "&amp;Excel_BuiltIn_Database&amp;".xlsm)",IF(OR($C149&lt;&gt;"S",ORÇAMENTO.CodBarra=""),"(Sem Código)",IF(ISERROR(MATCH($AE149,INDIRECT(ORÇAMENTO.BancoRef),0)),"(Código não identificado nas referências)",MATCH($AE149,INDIRECT(ORÇAMENTO.BancoRef),0))))</f>
        <v>(abra o arquivo 'Referência 06-2024.xlsm)</v>
      </c>
      <c r="AG149" s="498">
        <f ca="1">ROUND(IF(DESONERACAO="sim",REFERENCIA.Desonerado,REFERENCIA.NaoDesonerado),2)</f>
        <v>0</v>
      </c>
      <c r="AH149" s="499">
        <f t="shared" ca="1" si="51"/>
        <v>0.2432</v>
      </c>
      <c r="AJ149" s="501"/>
      <c r="AL149" s="527"/>
      <c r="AM149" s="381">
        <f t="shared" ca="1" si="52"/>
        <v>0</v>
      </c>
      <c r="AN149" s="566">
        <f t="shared" ca="1" si="53"/>
        <v>0</v>
      </c>
    </row>
    <row r="150" spans="1:40" ht="38.25" x14ac:dyDescent="0.2">
      <c r="A150" t="str">
        <f t="shared" si="38"/>
        <v>S</v>
      </c>
      <c r="B150">
        <f t="shared" ca="1" si="39"/>
        <v>2</v>
      </c>
      <c r="C150" t="str">
        <f t="shared" ca="1" si="40"/>
        <v>S</v>
      </c>
      <c r="D150">
        <f t="shared" ca="1" si="41"/>
        <v>0</v>
      </c>
      <c r="E150">
        <f ca="1">IF($C150=1,OFFSET(E150,-1,0)+MAX(1,COUNTIF(QCI!$A$13:$A$24,OFFSET(ORÇAMENTO!E150,-1,0))),OFFSET(E150,-1,0))</f>
        <v>1</v>
      </c>
      <c r="F150">
        <f t="shared" ca="1" si="42"/>
        <v>21</v>
      </c>
      <c r="G150">
        <f t="shared" ca="1" si="43"/>
        <v>0</v>
      </c>
      <c r="H150">
        <f t="shared" ca="1" si="44"/>
        <v>0</v>
      </c>
      <c r="I150">
        <f t="shared" ca="1" si="45"/>
        <v>0</v>
      </c>
      <c r="J150">
        <f t="shared" ca="1" si="55"/>
        <v>0</v>
      </c>
      <c r="K150">
        <f ca="1">IF(OR($C150="S",$C150=0),0,MATCH(OFFSET($D150,0,$C150)+IF($C150&lt;&gt;1,1,COUNTIF(QCI!$A$13:$A$24,ORÇAMENTO!E150)),OFFSET($D150,1,$C150,ROW($C$727)-ROW($C150)),0))</f>
        <v>0</v>
      </c>
      <c r="L150" s="116" t="str">
        <f t="shared" ca="1" si="46"/>
        <v/>
      </c>
      <c r="M150" s="117" t="s">
        <v>199</v>
      </c>
      <c r="N150" s="118" t="str">
        <f t="shared" ca="1" si="47"/>
        <v>Serviço</v>
      </c>
      <c r="O150" s="119" t="str">
        <f t="shared" ca="1" si="48"/>
        <v>-</v>
      </c>
      <c r="P150" s="120" t="s">
        <v>458</v>
      </c>
      <c r="Q150" s="121" t="s">
        <v>553</v>
      </c>
      <c r="R150" s="122" t="str">
        <f ca="1">IF($C150="S",REFERENCIA.Descricao,"(digite a descrição aqui)")</f>
        <v>(abra o arquivo 'Referência 06-2024.xlsm)</v>
      </c>
      <c r="S150" s="123" t="str">
        <f ca="1">REFERENCIA.Unidade</f>
        <v>-</v>
      </c>
      <c r="T150" s="124">
        <f ca="1">OFFSET(CÁLCULO!H$15,ROW($T150)-ROW(T$15),0)</f>
        <v>5.44</v>
      </c>
      <c r="U150" s="125">
        <f t="shared" ca="1" si="54"/>
        <v>0</v>
      </c>
      <c r="V150" s="126" t="s">
        <v>156</v>
      </c>
      <c r="W150" s="124">
        <f ca="1">IF($C150="S",ROUND(IF(TIPOORCAMENTO="Proposto",ORÇAMENTO.CustoUnitario*(1+$AH150),ORÇAMENTO.PrecoUnitarioLicitado),15-13*$AF$10),0)</f>
        <v>0</v>
      </c>
      <c r="X150" s="127">
        <f ca="1">IF($C150="S",IF(Import.TipoArredondamento&lt;&gt;"TransfereGOV",VTOTAL1,SUM(OFFSET(CÁLCULO!$AI$15,ROW($X150)-ROW($X$15),1):OFFSET(CÁLCULO!$BB$15,ROW($X150)-ROW($X$15),-1))),IF($C150=0,0,ROUND(SomaAgrup,15-13*$AF$11)))</f>
        <v>0</v>
      </c>
      <c r="Y150" s="128" t="s">
        <v>245</v>
      </c>
      <c r="Z150" t="str">
        <f t="shared" ca="1" si="49"/>
        <v/>
      </c>
      <c r="AA150" s="129">
        <f ca="1">IF($C150="S",IF($Z150="CP",$X150,IF($Z150="RA",(($X150)*QCI!$AA$3),0)),SomaAgrup)</f>
        <v>0</v>
      </c>
      <c r="AB150" s="130">
        <f t="shared" ca="1" si="50"/>
        <v>0</v>
      </c>
      <c r="AC150" s="131" t="str">
        <f ca="1">IF($N150="","",IF(ORÇAMENTO.Descricao="","DESCRIÇÃO",IF(AND($C150="S",ORÇAMENTO.Unidade=""),"UNIDADE",IF($X150&lt;0,"VALOR NEGATIVO",IF(OR(AND(TIPOORCAMENTO="Proposto",$AG150&lt;&gt;"",$AG150&gt;0,ORÇAMENTO.CustoUnitario&gt;$AG150),AND(TIPOORCAMENTO="LICITADO",ORÇAMENTO.PrecoUnitarioLicitado&gt;$AN150)),"ACIMA REF.","")))))</f>
        <v/>
      </c>
      <c r="AD150" t="str">
        <f ca="1">IF(C150&lt;=CRONO.NivelExibicao,MAX($AD$15:OFFSET(AD150,-1,0))+IF($C150&lt;&gt;1,1,MAX(1,COUNTIF(QCI!$A$13:$A$24,OFFSET($E150,-1,0)))),"")</f>
        <v/>
      </c>
      <c r="AE150" s="7" t="str">
        <f ca="1">IF(AND($C150="S",ORÇAMENTO.CodBarra&lt;&gt;""),IF(ORÇAMENTO.Fonte="",ORÇAMENTO.CodBarra,CONCATENATE(ORÇAMENTO.Fonte," ",ORÇAMENTO.CodBarra)))</f>
        <v>COMPOSIÇÃO FNDE 277</v>
      </c>
      <c r="AF150" s="13" t="str">
        <f ca="1">IF(ISERROR(INDIRECT(ORÇAMENTO.BancoRef)),"(abra o arquivo 'Referência "&amp;Excel_BuiltIn_Database&amp;".xlsm)",IF(OR($C150&lt;&gt;"S",ORÇAMENTO.CodBarra=""),"(Sem Código)",IF(ISERROR(MATCH($AE150,INDIRECT(ORÇAMENTO.BancoRef),0)),"(Código não identificado nas referências)",MATCH($AE150,INDIRECT(ORÇAMENTO.BancoRef),0))))</f>
        <v>(abra o arquivo 'Referência 06-2024.xlsm)</v>
      </c>
      <c r="AG150" s="498">
        <f ca="1">ROUND(IF(DESONERACAO="sim",REFERENCIA.Desonerado,REFERENCIA.NaoDesonerado),2)</f>
        <v>0</v>
      </c>
      <c r="AH150" s="499">
        <f t="shared" ca="1" si="51"/>
        <v>0.2432</v>
      </c>
      <c r="AJ150" s="501"/>
      <c r="AL150" s="527"/>
      <c r="AM150" s="381">
        <f t="shared" ca="1" si="52"/>
        <v>0</v>
      </c>
      <c r="AN150" s="566">
        <f t="shared" ca="1" si="53"/>
        <v>0</v>
      </c>
    </row>
    <row r="151" spans="1:40" ht="25.5" x14ac:dyDescent="0.2">
      <c r="A151" t="str">
        <f t="shared" si="38"/>
        <v>S</v>
      </c>
      <c r="B151">
        <f t="shared" ca="1" si="39"/>
        <v>2</v>
      </c>
      <c r="C151" t="str">
        <f t="shared" ca="1" si="40"/>
        <v>S</v>
      </c>
      <c r="D151">
        <f t="shared" ca="1" si="41"/>
        <v>0</v>
      </c>
      <c r="E151">
        <f ca="1">IF($C151=1,OFFSET(E151,-1,0)+MAX(1,COUNTIF(QCI!$A$13:$A$24,OFFSET(ORÇAMENTO!E151,-1,0))),OFFSET(E151,-1,0))</f>
        <v>1</v>
      </c>
      <c r="F151">
        <f t="shared" ca="1" si="42"/>
        <v>21</v>
      </c>
      <c r="G151">
        <f t="shared" ca="1" si="43"/>
        <v>0</v>
      </c>
      <c r="H151">
        <f t="shared" ca="1" si="44"/>
        <v>0</v>
      </c>
      <c r="I151">
        <f t="shared" ca="1" si="45"/>
        <v>0</v>
      </c>
      <c r="J151">
        <f t="shared" ca="1" si="55"/>
        <v>0</v>
      </c>
      <c r="K151">
        <f ca="1">IF(OR($C151="S",$C151=0),0,MATCH(OFFSET($D151,0,$C151)+IF($C151&lt;&gt;1,1,COUNTIF(QCI!$A$13:$A$24,ORÇAMENTO!E151)),OFFSET($D151,1,$C151,ROW($C$727)-ROW($C151)),0))</f>
        <v>0</v>
      </c>
      <c r="L151" s="116" t="str">
        <f t="shared" ca="1" si="46"/>
        <v/>
      </c>
      <c r="M151" s="117" t="s">
        <v>199</v>
      </c>
      <c r="N151" s="118" t="str">
        <f t="shared" ca="1" si="47"/>
        <v>Serviço</v>
      </c>
      <c r="O151" s="119" t="str">
        <f t="shared" ca="1" si="48"/>
        <v>-</v>
      </c>
      <c r="P151" s="120" t="s">
        <v>458</v>
      </c>
      <c r="Q151" s="121" t="s">
        <v>554</v>
      </c>
      <c r="R151" s="122" t="str">
        <f ca="1">IF($C151="S",REFERENCIA.Descricao,"(digite a descrição aqui)")</f>
        <v>(abra o arquivo 'Referência 06-2024.xlsm)</v>
      </c>
      <c r="S151" s="123" t="str">
        <f ca="1">REFERENCIA.Unidade</f>
        <v>-</v>
      </c>
      <c r="T151" s="124">
        <f ca="1">OFFSET(CÁLCULO!H$15,ROW($T151)-ROW(T$15),0)</f>
        <v>28.24</v>
      </c>
      <c r="U151" s="125">
        <f t="shared" ca="1" si="54"/>
        <v>0</v>
      </c>
      <c r="V151" s="126" t="s">
        <v>156</v>
      </c>
      <c r="W151" s="124">
        <f ca="1">IF($C151="S",ROUND(IF(TIPOORCAMENTO="Proposto",ORÇAMENTO.CustoUnitario*(1+$AH151),ORÇAMENTO.PrecoUnitarioLicitado),15-13*$AF$10),0)</f>
        <v>0</v>
      </c>
      <c r="X151" s="127">
        <f ca="1">IF($C151="S",IF(Import.TipoArredondamento&lt;&gt;"TransfereGOV",VTOTAL1,SUM(OFFSET(CÁLCULO!$AI$15,ROW($X151)-ROW($X$15),1):OFFSET(CÁLCULO!$BB$15,ROW($X151)-ROW($X$15),-1))),IF($C151=0,0,ROUND(SomaAgrup,15-13*$AF$11)))</f>
        <v>0</v>
      </c>
      <c r="Y151" s="128" t="s">
        <v>245</v>
      </c>
      <c r="Z151" t="str">
        <f t="shared" ca="1" si="49"/>
        <v/>
      </c>
      <c r="AA151" s="129">
        <f ca="1">IF($C151="S",IF($Z151="CP",$X151,IF($Z151="RA",(($X151)*QCI!$AA$3),0)),SomaAgrup)</f>
        <v>0</v>
      </c>
      <c r="AB151" s="130">
        <f t="shared" ca="1" si="50"/>
        <v>0</v>
      </c>
      <c r="AC151" s="131" t="str">
        <f ca="1">IF($N151="","",IF(ORÇAMENTO.Descricao="","DESCRIÇÃO",IF(AND($C151="S",ORÇAMENTO.Unidade=""),"UNIDADE",IF($X151&lt;0,"VALOR NEGATIVO",IF(OR(AND(TIPOORCAMENTO="Proposto",$AG151&lt;&gt;"",$AG151&gt;0,ORÇAMENTO.CustoUnitario&gt;$AG151),AND(TIPOORCAMENTO="LICITADO",ORÇAMENTO.PrecoUnitarioLicitado&gt;$AN151)),"ACIMA REF.","")))))</f>
        <v/>
      </c>
      <c r="AD151" t="str">
        <f ca="1">IF(C151&lt;=CRONO.NivelExibicao,MAX($AD$15:OFFSET(AD151,-1,0))+IF($C151&lt;&gt;1,1,MAX(1,COUNTIF(QCI!$A$13:$A$24,OFFSET($E151,-1,0)))),"")</f>
        <v/>
      </c>
      <c r="AE151" s="7" t="str">
        <f ca="1">IF(AND($C151="S",ORÇAMENTO.CodBarra&lt;&gt;""),IF(ORÇAMENTO.Fonte="",ORÇAMENTO.CodBarra,CONCATENATE(ORÇAMENTO.Fonte," ",ORÇAMENTO.CodBarra)))</f>
        <v>COMPOSIÇÃO FNDE 05</v>
      </c>
      <c r="AF151" s="13" t="str">
        <f ca="1">IF(ISERROR(INDIRECT(ORÇAMENTO.BancoRef)),"(abra o arquivo 'Referência "&amp;Excel_BuiltIn_Database&amp;".xlsm)",IF(OR($C151&lt;&gt;"S",ORÇAMENTO.CodBarra=""),"(Sem Código)",IF(ISERROR(MATCH($AE151,INDIRECT(ORÇAMENTO.BancoRef),0)),"(Código não identificado nas referências)",MATCH($AE151,INDIRECT(ORÇAMENTO.BancoRef),0))))</f>
        <v>(abra o arquivo 'Referência 06-2024.xlsm)</v>
      </c>
      <c r="AG151" s="498">
        <f ca="1">ROUND(IF(DESONERACAO="sim",REFERENCIA.Desonerado,REFERENCIA.NaoDesonerado),2)</f>
        <v>0</v>
      </c>
      <c r="AH151" s="499">
        <f t="shared" ca="1" si="51"/>
        <v>0.2432</v>
      </c>
      <c r="AJ151" s="501"/>
      <c r="AL151" s="527"/>
      <c r="AM151" s="381">
        <f t="shared" ca="1" si="52"/>
        <v>0</v>
      </c>
      <c r="AN151" s="566">
        <f t="shared" ca="1" si="53"/>
        <v>0</v>
      </c>
    </row>
    <row r="152" spans="1:40" x14ac:dyDescent="0.2">
      <c r="A152">
        <f t="shared" si="38"/>
        <v>2</v>
      </c>
      <c r="B152">
        <f t="shared" ca="1" si="39"/>
        <v>2</v>
      </c>
      <c r="C152">
        <f t="shared" ca="1" si="40"/>
        <v>2</v>
      </c>
      <c r="D152">
        <f t="shared" ca="1" si="41"/>
        <v>3</v>
      </c>
      <c r="E152">
        <f ca="1">IF($C152=1,OFFSET(E152,-1,0)+MAX(1,COUNTIF(QCI!$A$13:$A$24,OFFSET(ORÇAMENTO!E152,-1,0))),OFFSET(E152,-1,0))</f>
        <v>1</v>
      </c>
      <c r="F152">
        <f t="shared" ca="1" si="42"/>
        <v>22</v>
      </c>
      <c r="G152">
        <f t="shared" ca="1" si="43"/>
        <v>0</v>
      </c>
      <c r="H152">
        <f t="shared" ca="1" si="44"/>
        <v>0</v>
      </c>
      <c r="I152">
        <f t="shared" ca="1" si="45"/>
        <v>0</v>
      </c>
      <c r="J152">
        <f t="shared" ca="1" si="55"/>
        <v>575</v>
      </c>
      <c r="K152">
        <f ca="1">IF(OR($C152="S",$C152=0),0,MATCH(OFFSET($D152,0,$C152)+IF($C152&lt;&gt;1,1,COUNTIF(QCI!$A$13:$A$24,ORÇAMENTO!E152)),OFFSET($D152,1,$C152,ROW($C$727)-ROW($C152)),0))</f>
        <v>3</v>
      </c>
      <c r="L152" s="116" t="str">
        <f t="shared" ca="1" si="46"/>
        <v>F</v>
      </c>
      <c r="M152" s="117" t="s">
        <v>196</v>
      </c>
      <c r="N152" s="118" t="str">
        <f t="shared" ca="1" si="47"/>
        <v>Nível 2</v>
      </c>
      <c r="O152" s="119" t="str">
        <f t="shared" ca="1" si="48"/>
        <v>1.22.</v>
      </c>
      <c r="P152" s="120" t="s">
        <v>247</v>
      </c>
      <c r="Q152" s="121"/>
      <c r="R152" s="122" t="s">
        <v>1049</v>
      </c>
      <c r="S152" s="123" t="str">
        <f ca="1">REFERENCIA.Unidade</f>
        <v>-</v>
      </c>
      <c r="T152" s="124">
        <f ca="1">OFFSET(CÁLCULO!H$15,ROW($T152)-ROW(T$15),0)</f>
        <v>0</v>
      </c>
      <c r="U152" s="125">
        <f t="shared" ca="1" si="54"/>
        <v>0</v>
      </c>
      <c r="V152" s="126" t="s">
        <v>156</v>
      </c>
      <c r="W152" s="124">
        <f ca="1">IF($C152="S",ROUND(IF(TIPOORCAMENTO="Proposto",ORÇAMENTO.CustoUnitario*(1+$AH152),ORÇAMENTO.PrecoUnitarioLicitado),15-13*$AF$10),0)</f>
        <v>0</v>
      </c>
      <c r="X152" s="127">
        <f ca="1">IF($C152="S",IF(Import.TipoArredondamento&lt;&gt;"TransfereGOV",VTOTAL1,SUM(OFFSET(CÁLCULO!$AI$15,ROW($X152)-ROW($X$15),1):OFFSET(CÁLCULO!$BB$15,ROW($X152)-ROW($X$15),-1))),IF($C152=0,0,ROUND(SomaAgrup,15-13*$AF$11)))</f>
        <v>0</v>
      </c>
      <c r="Y152" s="128" t="s">
        <v>245</v>
      </c>
      <c r="Z152" t="str">
        <f t="shared" ca="1" si="49"/>
        <v/>
      </c>
      <c r="AA152" s="129">
        <f ca="1">IF($C152="S",IF($Z152="CP",$X152,IF($Z152="RA",(($X152)*QCI!$AA$3),0)),SomaAgrup)</f>
        <v>0</v>
      </c>
      <c r="AB152" s="130">
        <f t="shared" ca="1" si="50"/>
        <v>0</v>
      </c>
      <c r="AC152" s="131" t="str">
        <f ca="1">IF($N152="","",IF(ORÇAMENTO.Descricao="","DESCRIÇÃO",IF(AND($C152="S",ORÇAMENTO.Unidade=""),"UNIDADE",IF($X152&lt;0,"VALOR NEGATIVO",IF(OR(AND(TIPOORCAMENTO="Proposto",$AG152&lt;&gt;"",$AG152&gt;0,ORÇAMENTO.CustoUnitario&gt;$AG152),AND(TIPOORCAMENTO="LICITADO",ORÇAMENTO.PrecoUnitarioLicitado&gt;$AN152)),"ACIMA REF.","")))))</f>
        <v/>
      </c>
      <c r="AD152">
        <f ca="1">IF(C152&lt;=CRONO.NivelExibicao,MAX($AD$15:OFFSET(AD152,-1,0))+IF($C152&lt;&gt;1,1,MAX(1,COUNTIF(QCI!$A$13:$A$24,OFFSET($E152,-1,0)))),"")</f>
        <v>23</v>
      </c>
      <c r="AE152" s="7" t="b">
        <f ca="1">IF(AND($C152="S",ORÇAMENTO.CodBarra&lt;&gt;""),IF(ORÇAMENTO.Fonte="",ORÇAMENTO.CodBarra,CONCATENATE(ORÇAMENTO.Fonte," ",ORÇAMENTO.CodBarra)))</f>
        <v>0</v>
      </c>
      <c r="AF152" s="13" t="str">
        <f ca="1">IF(ISERROR(INDIRECT(ORÇAMENTO.BancoRef)),"(abra o arquivo 'Referência "&amp;Excel_BuiltIn_Database&amp;".xlsm)",IF(OR($C152&lt;&gt;"S",ORÇAMENTO.CodBarra=""),"(Sem Código)",IF(ISERROR(MATCH($AE152,INDIRECT(ORÇAMENTO.BancoRef),0)),"(Código não identificado nas referências)",MATCH($AE152,INDIRECT(ORÇAMENTO.BancoRef),0))))</f>
        <v>(abra o arquivo 'Referência 06-2024.xlsm)</v>
      </c>
      <c r="AG152" s="498">
        <f ca="1">ROUND(IF(DESONERACAO="sim",REFERENCIA.Desonerado,REFERENCIA.NaoDesonerado),2)</f>
        <v>0</v>
      </c>
      <c r="AH152" s="499">
        <f t="shared" ca="1" si="51"/>
        <v>0.2432</v>
      </c>
      <c r="AJ152" s="501"/>
      <c r="AL152" s="527"/>
      <c r="AM152" s="381">
        <f t="shared" ca="1" si="52"/>
        <v>0</v>
      </c>
      <c r="AN152" s="566">
        <f t="shared" ca="1" si="53"/>
        <v>0</v>
      </c>
    </row>
    <row r="153" spans="1:40" ht="25.5" x14ac:dyDescent="0.2">
      <c r="A153" t="str">
        <f t="shared" si="38"/>
        <v>S</v>
      </c>
      <c r="B153">
        <f t="shared" ca="1" si="39"/>
        <v>2</v>
      </c>
      <c r="C153" t="str">
        <f t="shared" ca="1" si="40"/>
        <v>S</v>
      </c>
      <c r="D153">
        <f t="shared" ca="1" si="41"/>
        <v>0</v>
      </c>
      <c r="E153">
        <f ca="1">IF($C153=1,OFFSET(E153,-1,0)+MAX(1,COUNTIF(QCI!$A$13:$A$24,OFFSET(ORÇAMENTO!E153,-1,0))),OFFSET(E153,-1,0))</f>
        <v>1</v>
      </c>
      <c r="F153">
        <f t="shared" ca="1" si="42"/>
        <v>22</v>
      </c>
      <c r="G153">
        <f t="shared" ca="1" si="43"/>
        <v>0</v>
      </c>
      <c r="H153">
        <f t="shared" ca="1" si="44"/>
        <v>0</v>
      </c>
      <c r="I153">
        <f t="shared" ca="1" si="45"/>
        <v>0</v>
      </c>
      <c r="J153">
        <f t="shared" ca="1" si="55"/>
        <v>0</v>
      </c>
      <c r="K153">
        <f ca="1">IF(OR($C153="S",$C153=0),0,MATCH(OFFSET($D153,0,$C153)+IF($C153&lt;&gt;1,1,COUNTIF(QCI!$A$13:$A$24,ORÇAMENTO!E153)),OFFSET($D153,1,$C153,ROW($C$727)-ROW($C153)),0))</f>
        <v>0</v>
      </c>
      <c r="L153" s="116" t="str">
        <f t="shared" ca="1" si="46"/>
        <v/>
      </c>
      <c r="M153" s="117" t="s">
        <v>199</v>
      </c>
      <c r="N153" s="118" t="str">
        <f t="shared" ca="1" si="47"/>
        <v>Serviço</v>
      </c>
      <c r="O153" s="119" t="str">
        <f t="shared" ca="1" si="48"/>
        <v>-</v>
      </c>
      <c r="P153" s="120" t="s">
        <v>458</v>
      </c>
      <c r="Q153" s="121" t="s">
        <v>555</v>
      </c>
      <c r="R153" s="122" t="str">
        <f ca="1">IF($C153="S",REFERENCIA.Descricao,"(digite a descrição aqui)")</f>
        <v>(abra o arquivo 'Referência 06-2024.xlsm)</v>
      </c>
      <c r="S153" s="123" t="str">
        <f ca="1">REFERENCIA.Unidade</f>
        <v>-</v>
      </c>
      <c r="T153" s="124">
        <f ca="1">OFFSET(CÁLCULO!H$15,ROW($T153)-ROW(T$15),0)</f>
        <v>8.51</v>
      </c>
      <c r="U153" s="125">
        <f t="shared" ca="1" si="54"/>
        <v>0</v>
      </c>
      <c r="V153" s="126" t="s">
        <v>156</v>
      </c>
      <c r="W153" s="124">
        <f ca="1">IF($C153="S",ROUND(IF(TIPOORCAMENTO="Proposto",ORÇAMENTO.CustoUnitario*(1+$AH153),ORÇAMENTO.PrecoUnitarioLicitado),15-13*$AF$10),0)</f>
        <v>0</v>
      </c>
      <c r="X153" s="127">
        <f ca="1">IF($C153="S",IF(Import.TipoArredondamento&lt;&gt;"TransfereGOV",VTOTAL1,SUM(OFFSET(CÁLCULO!$AI$15,ROW($X153)-ROW($X$15),1):OFFSET(CÁLCULO!$BB$15,ROW($X153)-ROW($X$15),-1))),IF($C153=0,0,ROUND(SomaAgrup,15-13*$AF$11)))</f>
        <v>0</v>
      </c>
      <c r="Y153" s="128" t="s">
        <v>245</v>
      </c>
      <c r="Z153" t="str">
        <f t="shared" ca="1" si="49"/>
        <v/>
      </c>
      <c r="AA153" s="129">
        <f ca="1">IF($C153="S",IF($Z153="CP",$X153,IF($Z153="RA",(($X153)*QCI!$AA$3),0)),SomaAgrup)</f>
        <v>0</v>
      </c>
      <c r="AB153" s="130">
        <f t="shared" ca="1" si="50"/>
        <v>0</v>
      </c>
      <c r="AC153" s="131" t="str">
        <f ca="1">IF($N153="","",IF(ORÇAMENTO.Descricao="","DESCRIÇÃO",IF(AND($C153="S",ORÇAMENTO.Unidade=""),"UNIDADE",IF($X153&lt;0,"VALOR NEGATIVO",IF(OR(AND(TIPOORCAMENTO="Proposto",$AG153&lt;&gt;"",$AG153&gt;0,ORÇAMENTO.CustoUnitario&gt;$AG153),AND(TIPOORCAMENTO="LICITADO",ORÇAMENTO.PrecoUnitarioLicitado&gt;$AN153)),"ACIMA REF.","")))))</f>
        <v/>
      </c>
      <c r="AD153" t="str">
        <f ca="1">IF(C153&lt;=CRONO.NivelExibicao,MAX($AD$15:OFFSET(AD153,-1,0))+IF($C153&lt;&gt;1,1,MAX(1,COUNTIF(QCI!$A$13:$A$24,OFFSET($E153,-1,0)))),"")</f>
        <v/>
      </c>
      <c r="AE153" s="7" t="str">
        <f ca="1">IF(AND($C153="S",ORÇAMENTO.CodBarra&lt;&gt;""),IF(ORÇAMENTO.Fonte="",ORÇAMENTO.CodBarra,CONCATENATE(ORÇAMENTO.Fonte," ",ORÇAMENTO.CodBarra)))</f>
        <v>COMPOSIÇÃO FNDE 279</v>
      </c>
      <c r="AF153" s="13" t="str">
        <f ca="1">IF(ISERROR(INDIRECT(ORÇAMENTO.BancoRef)),"(abra o arquivo 'Referência "&amp;Excel_BuiltIn_Database&amp;".xlsm)",IF(OR($C153&lt;&gt;"S",ORÇAMENTO.CodBarra=""),"(Sem Código)",IF(ISERROR(MATCH($AE153,INDIRECT(ORÇAMENTO.BancoRef),0)),"(Código não identificado nas referências)",MATCH($AE153,INDIRECT(ORÇAMENTO.BancoRef),0))))</f>
        <v>(abra o arquivo 'Referência 06-2024.xlsm)</v>
      </c>
      <c r="AG153" s="498">
        <f ca="1">ROUND(IF(DESONERACAO="sim",REFERENCIA.Desonerado,REFERENCIA.NaoDesonerado),2)</f>
        <v>0</v>
      </c>
      <c r="AH153" s="499">
        <f t="shared" ca="1" si="51"/>
        <v>0.2432</v>
      </c>
      <c r="AJ153" s="501"/>
      <c r="AL153" s="527"/>
      <c r="AM153" s="381">
        <f t="shared" ca="1" si="52"/>
        <v>0</v>
      </c>
      <c r="AN153" s="566">
        <f t="shared" ca="1" si="53"/>
        <v>0</v>
      </c>
    </row>
    <row r="154" spans="1:40" ht="38.25" x14ac:dyDescent="0.2">
      <c r="A154" t="str">
        <f t="shared" si="38"/>
        <v>S</v>
      </c>
      <c r="B154">
        <f t="shared" ca="1" si="39"/>
        <v>2</v>
      </c>
      <c r="C154" t="str">
        <f t="shared" ca="1" si="40"/>
        <v>S</v>
      </c>
      <c r="D154">
        <f t="shared" ca="1" si="41"/>
        <v>0</v>
      </c>
      <c r="E154">
        <f ca="1">IF($C154=1,OFFSET(E154,-1,0)+MAX(1,COUNTIF(QCI!$A$13:$A$24,OFFSET(ORÇAMENTO!E154,-1,0))),OFFSET(E154,-1,0))</f>
        <v>1</v>
      </c>
      <c r="F154">
        <f t="shared" ca="1" si="42"/>
        <v>22</v>
      </c>
      <c r="G154">
        <f t="shared" ca="1" si="43"/>
        <v>0</v>
      </c>
      <c r="H154">
        <f t="shared" ca="1" si="44"/>
        <v>0</v>
      </c>
      <c r="I154">
        <f t="shared" ca="1" si="45"/>
        <v>0</v>
      </c>
      <c r="J154">
        <f t="shared" ca="1" si="55"/>
        <v>0</v>
      </c>
      <c r="K154">
        <f ca="1">IF(OR($C154="S",$C154=0),0,MATCH(OFFSET($D154,0,$C154)+IF($C154&lt;&gt;1,1,COUNTIF(QCI!$A$13:$A$24,ORÇAMENTO!E154)),OFFSET($D154,1,$C154,ROW($C$727)-ROW($C154)),0))</f>
        <v>0</v>
      </c>
      <c r="L154" s="116" t="str">
        <f t="shared" ca="1" si="46"/>
        <v/>
      </c>
      <c r="M154" s="117" t="s">
        <v>199</v>
      </c>
      <c r="N154" s="118" t="str">
        <f t="shared" ca="1" si="47"/>
        <v>Serviço</v>
      </c>
      <c r="O154" s="119" t="str">
        <f t="shared" ca="1" si="48"/>
        <v>-</v>
      </c>
      <c r="P154" s="120" t="s">
        <v>458</v>
      </c>
      <c r="Q154" s="121" t="s">
        <v>556</v>
      </c>
      <c r="R154" s="122" t="str">
        <f ca="1">IF($C154="S",REFERENCIA.Descricao,"(digite a descrição aqui)")</f>
        <v>(abra o arquivo 'Referência 06-2024.xlsm)</v>
      </c>
      <c r="S154" s="123" t="str">
        <f ca="1">REFERENCIA.Unidade</f>
        <v>-</v>
      </c>
      <c r="T154" s="124">
        <f ca="1">OFFSET(CÁLCULO!H$15,ROW($T154)-ROW(T$15),0)</f>
        <v>7.55</v>
      </c>
      <c r="U154" s="125">
        <f t="shared" ca="1" si="54"/>
        <v>0</v>
      </c>
      <c r="V154" s="126" t="s">
        <v>156</v>
      </c>
      <c r="W154" s="124">
        <f ca="1">IF($C154="S",ROUND(IF(TIPOORCAMENTO="Proposto",ORÇAMENTO.CustoUnitario*(1+$AH154),ORÇAMENTO.PrecoUnitarioLicitado),15-13*$AF$10),0)</f>
        <v>0</v>
      </c>
      <c r="X154" s="127">
        <f ca="1">IF($C154="S",IF(Import.TipoArredondamento&lt;&gt;"TransfereGOV",VTOTAL1,SUM(OFFSET(CÁLCULO!$AI$15,ROW($X154)-ROW($X$15),1):OFFSET(CÁLCULO!$BB$15,ROW($X154)-ROW($X$15),-1))),IF($C154=0,0,ROUND(SomaAgrup,15-13*$AF$11)))</f>
        <v>0</v>
      </c>
      <c r="Y154" s="128" t="s">
        <v>245</v>
      </c>
      <c r="Z154" t="str">
        <f t="shared" ca="1" si="49"/>
        <v/>
      </c>
      <c r="AA154" s="129">
        <f ca="1">IF($C154="S",IF($Z154="CP",$X154,IF($Z154="RA",(($X154)*QCI!$AA$3),0)),SomaAgrup)</f>
        <v>0</v>
      </c>
      <c r="AB154" s="130">
        <f t="shared" ca="1" si="50"/>
        <v>0</v>
      </c>
      <c r="AC154" s="131" t="str">
        <f ca="1">IF($N154="","",IF(ORÇAMENTO.Descricao="","DESCRIÇÃO",IF(AND($C154="S",ORÇAMENTO.Unidade=""),"UNIDADE",IF($X154&lt;0,"VALOR NEGATIVO",IF(OR(AND(TIPOORCAMENTO="Proposto",$AG154&lt;&gt;"",$AG154&gt;0,ORÇAMENTO.CustoUnitario&gt;$AG154),AND(TIPOORCAMENTO="LICITADO",ORÇAMENTO.PrecoUnitarioLicitado&gt;$AN154)),"ACIMA REF.","")))))</f>
        <v/>
      </c>
      <c r="AD154" t="str">
        <f ca="1">IF(C154&lt;=CRONO.NivelExibicao,MAX($AD$15:OFFSET(AD154,-1,0))+IF($C154&lt;&gt;1,1,MAX(1,COUNTIF(QCI!$A$13:$A$24,OFFSET($E154,-1,0)))),"")</f>
        <v/>
      </c>
      <c r="AE154" s="7" t="str">
        <f ca="1">IF(AND($C154="S",ORÇAMENTO.CodBarra&lt;&gt;""),IF(ORÇAMENTO.Fonte="",ORÇAMENTO.CodBarra,CONCATENATE(ORÇAMENTO.Fonte," ",ORÇAMENTO.CodBarra)))</f>
        <v>COMPOSIÇÃO FNDE 278</v>
      </c>
      <c r="AF154" s="13" t="str">
        <f ca="1">IF(ISERROR(INDIRECT(ORÇAMENTO.BancoRef)),"(abra o arquivo 'Referência "&amp;Excel_BuiltIn_Database&amp;".xlsm)",IF(OR($C154&lt;&gt;"S",ORÇAMENTO.CodBarra=""),"(Sem Código)",IF(ISERROR(MATCH($AE154,INDIRECT(ORÇAMENTO.BancoRef),0)),"(Código não identificado nas referências)",MATCH($AE154,INDIRECT(ORÇAMENTO.BancoRef),0))))</f>
        <v>(abra o arquivo 'Referência 06-2024.xlsm)</v>
      </c>
      <c r="AG154" s="498">
        <f ca="1">ROUND(IF(DESONERACAO="sim",REFERENCIA.Desonerado,REFERENCIA.NaoDesonerado),2)</f>
        <v>0</v>
      </c>
      <c r="AH154" s="499">
        <f t="shared" ca="1" si="51"/>
        <v>0.2432</v>
      </c>
      <c r="AJ154" s="501"/>
      <c r="AL154" s="527"/>
      <c r="AM154" s="381">
        <f t="shared" ca="1" si="52"/>
        <v>0</v>
      </c>
      <c r="AN154" s="566">
        <f t="shared" ca="1" si="53"/>
        <v>0</v>
      </c>
    </row>
    <row r="155" spans="1:40" x14ac:dyDescent="0.2">
      <c r="A155">
        <f t="shared" si="38"/>
        <v>2</v>
      </c>
      <c r="B155">
        <f t="shared" ca="1" si="39"/>
        <v>2</v>
      </c>
      <c r="C155">
        <f t="shared" ca="1" si="40"/>
        <v>2</v>
      </c>
      <c r="D155">
        <f t="shared" ca="1" si="41"/>
        <v>14</v>
      </c>
      <c r="E155">
        <f ca="1">IF($C155=1,OFFSET(E155,-1,0)+MAX(1,COUNTIF(QCI!$A$13:$A$24,OFFSET(ORÇAMENTO!E155,-1,0))),OFFSET(E155,-1,0))</f>
        <v>1</v>
      </c>
      <c r="F155">
        <f t="shared" ca="1" si="42"/>
        <v>23</v>
      </c>
      <c r="G155">
        <f t="shared" ca="1" si="43"/>
        <v>0</v>
      </c>
      <c r="H155">
        <f t="shared" ca="1" si="44"/>
        <v>0</v>
      </c>
      <c r="I155">
        <f t="shared" ca="1" si="45"/>
        <v>0</v>
      </c>
      <c r="J155">
        <f t="shared" ca="1" si="55"/>
        <v>572</v>
      </c>
      <c r="K155">
        <f ca="1">IF(OR($C155="S",$C155=0),0,MATCH(OFFSET($D155,0,$C155)+IF($C155&lt;&gt;1,1,COUNTIF(QCI!$A$13:$A$24,ORÇAMENTO!E155)),OFFSET($D155,1,$C155,ROW($C$727)-ROW($C155)),0))</f>
        <v>14</v>
      </c>
      <c r="L155" s="116" t="str">
        <f t="shared" ca="1" si="46"/>
        <v>F</v>
      </c>
      <c r="M155" s="117" t="s">
        <v>196</v>
      </c>
      <c r="N155" s="118" t="str">
        <f t="shared" ca="1" si="47"/>
        <v>Nível 2</v>
      </c>
      <c r="O155" s="119" t="str">
        <f t="shared" ca="1" si="48"/>
        <v>1.23.</v>
      </c>
      <c r="P155" s="120" t="s">
        <v>247</v>
      </c>
      <c r="Q155" s="121"/>
      <c r="R155" s="122" t="s">
        <v>1050</v>
      </c>
      <c r="S155" s="123" t="str">
        <f ca="1">REFERENCIA.Unidade</f>
        <v>-</v>
      </c>
      <c r="T155" s="124">
        <f ca="1">OFFSET(CÁLCULO!H$15,ROW($T155)-ROW(T$15),0)</f>
        <v>0</v>
      </c>
      <c r="U155" s="125">
        <f t="shared" ca="1" si="54"/>
        <v>0</v>
      </c>
      <c r="V155" s="126" t="s">
        <v>156</v>
      </c>
      <c r="W155" s="124">
        <f ca="1">IF($C155="S",ROUND(IF(TIPOORCAMENTO="Proposto",ORÇAMENTO.CustoUnitario*(1+$AH155),ORÇAMENTO.PrecoUnitarioLicitado),15-13*$AF$10),0)</f>
        <v>0</v>
      </c>
      <c r="X155" s="127">
        <f ca="1">IF($C155="S",IF(Import.TipoArredondamento&lt;&gt;"TransfereGOV",VTOTAL1,SUM(OFFSET(CÁLCULO!$AI$15,ROW($X155)-ROW($X$15),1):OFFSET(CÁLCULO!$BB$15,ROW($X155)-ROW($X$15),-1))),IF($C155=0,0,ROUND(SomaAgrup,15-13*$AF$11)))</f>
        <v>0</v>
      </c>
      <c r="Y155" s="128" t="s">
        <v>245</v>
      </c>
      <c r="Z155" t="str">
        <f t="shared" ca="1" si="49"/>
        <v/>
      </c>
      <c r="AA155" s="129">
        <f ca="1">IF($C155="S",IF($Z155="CP",$X155,IF($Z155="RA",(($X155)*QCI!$AA$3),0)),SomaAgrup)</f>
        <v>0</v>
      </c>
      <c r="AB155" s="130">
        <f t="shared" ca="1" si="50"/>
        <v>0</v>
      </c>
      <c r="AC155" s="131" t="str">
        <f ca="1">IF($N155="","",IF(ORÇAMENTO.Descricao="","DESCRIÇÃO",IF(AND($C155="S",ORÇAMENTO.Unidade=""),"UNIDADE",IF($X155&lt;0,"VALOR NEGATIVO",IF(OR(AND(TIPOORCAMENTO="Proposto",$AG155&lt;&gt;"",$AG155&gt;0,ORÇAMENTO.CustoUnitario&gt;$AG155),AND(TIPOORCAMENTO="LICITADO",ORÇAMENTO.PrecoUnitarioLicitado&gt;$AN155)),"ACIMA REF.","")))))</f>
        <v/>
      </c>
      <c r="AD155">
        <f ca="1">IF(C155&lt;=CRONO.NivelExibicao,MAX($AD$15:OFFSET(AD155,-1,0))+IF($C155&lt;&gt;1,1,MAX(1,COUNTIF(QCI!$A$13:$A$24,OFFSET($E155,-1,0)))),"")</f>
        <v>24</v>
      </c>
      <c r="AE155" s="7" t="b">
        <f ca="1">IF(AND($C155="S",ORÇAMENTO.CodBarra&lt;&gt;""),IF(ORÇAMENTO.Fonte="",ORÇAMENTO.CodBarra,CONCATENATE(ORÇAMENTO.Fonte," ",ORÇAMENTO.CodBarra)))</f>
        <v>0</v>
      </c>
      <c r="AF155" s="13" t="str">
        <f ca="1">IF(ISERROR(INDIRECT(ORÇAMENTO.BancoRef)),"(abra o arquivo 'Referência "&amp;Excel_BuiltIn_Database&amp;".xlsm)",IF(OR($C155&lt;&gt;"S",ORÇAMENTO.CodBarra=""),"(Sem Código)",IF(ISERROR(MATCH($AE155,INDIRECT(ORÇAMENTO.BancoRef),0)),"(Código não identificado nas referências)",MATCH($AE155,INDIRECT(ORÇAMENTO.BancoRef),0))))</f>
        <v>(abra o arquivo 'Referência 06-2024.xlsm)</v>
      </c>
      <c r="AG155" s="498">
        <f ca="1">ROUND(IF(DESONERACAO="sim",REFERENCIA.Desonerado,REFERENCIA.NaoDesonerado),2)</f>
        <v>0</v>
      </c>
      <c r="AH155" s="499">
        <f t="shared" ca="1" si="51"/>
        <v>0.2432</v>
      </c>
      <c r="AJ155" s="501"/>
      <c r="AL155" s="527"/>
      <c r="AM155" s="381">
        <f t="shared" ca="1" si="52"/>
        <v>0</v>
      </c>
      <c r="AN155" s="566">
        <f t="shared" ca="1" si="53"/>
        <v>0</v>
      </c>
    </row>
    <row r="156" spans="1:40" ht="38.25" x14ac:dyDescent="0.2">
      <c r="A156" t="str">
        <f t="shared" si="38"/>
        <v>S</v>
      </c>
      <c r="B156">
        <f t="shared" ca="1" si="39"/>
        <v>2</v>
      </c>
      <c r="C156" t="str">
        <f t="shared" ca="1" si="40"/>
        <v>S</v>
      </c>
      <c r="D156">
        <f t="shared" ca="1" si="41"/>
        <v>0</v>
      </c>
      <c r="E156">
        <f ca="1">IF($C156=1,OFFSET(E156,-1,0)+MAX(1,COUNTIF(QCI!$A$13:$A$24,OFFSET(ORÇAMENTO!E156,-1,0))),OFFSET(E156,-1,0))</f>
        <v>1</v>
      </c>
      <c r="F156">
        <f t="shared" ca="1" si="42"/>
        <v>23</v>
      </c>
      <c r="G156">
        <f t="shared" ca="1" si="43"/>
        <v>0</v>
      </c>
      <c r="H156">
        <f t="shared" ca="1" si="44"/>
        <v>0</v>
      </c>
      <c r="I156">
        <f t="shared" ca="1" si="45"/>
        <v>0</v>
      </c>
      <c r="J156">
        <f t="shared" ca="1" si="55"/>
        <v>0</v>
      </c>
      <c r="K156">
        <f ca="1">IF(OR($C156="S",$C156=0),0,MATCH(OFFSET($D156,0,$C156)+IF($C156&lt;&gt;1,1,COUNTIF(QCI!$A$13:$A$24,ORÇAMENTO!E156)),OFFSET($D156,1,$C156,ROW($C$727)-ROW($C156)),0))</f>
        <v>0</v>
      </c>
      <c r="L156" s="116" t="str">
        <f t="shared" ca="1" si="46"/>
        <v/>
      </c>
      <c r="M156" s="117" t="s">
        <v>199</v>
      </c>
      <c r="N156" s="118" t="str">
        <f t="shared" ca="1" si="47"/>
        <v>Serviço</v>
      </c>
      <c r="O156" s="119" t="str">
        <f t="shared" ca="1" si="48"/>
        <v>-</v>
      </c>
      <c r="P156" s="120" t="s">
        <v>458</v>
      </c>
      <c r="Q156" s="121" t="s">
        <v>557</v>
      </c>
      <c r="R156" s="122" t="str">
        <f ca="1">IF($C156="S",REFERENCIA.Descricao,"(digite a descrição aqui)")</f>
        <v>(abra o arquivo 'Referência 06-2024.xlsm)</v>
      </c>
      <c r="S156" s="123" t="str">
        <f ca="1">REFERENCIA.Unidade</f>
        <v>-</v>
      </c>
      <c r="T156" s="124">
        <f ca="1">OFFSET(CÁLCULO!H$15,ROW($T156)-ROW(T$15),0)</f>
        <v>3.08</v>
      </c>
      <c r="U156" s="125">
        <f t="shared" ca="1" si="54"/>
        <v>0</v>
      </c>
      <c r="V156" s="126" t="s">
        <v>156</v>
      </c>
      <c r="W156" s="124">
        <f ca="1">IF($C156="S",ROUND(IF(TIPOORCAMENTO="Proposto",ORÇAMENTO.CustoUnitario*(1+$AH156),ORÇAMENTO.PrecoUnitarioLicitado),15-13*$AF$10),0)</f>
        <v>0</v>
      </c>
      <c r="X156" s="127">
        <f ca="1">IF($C156="S",IF(Import.TipoArredondamento&lt;&gt;"TransfereGOV",VTOTAL1,SUM(OFFSET(CÁLCULO!$AI$15,ROW($X156)-ROW($X$15),1):OFFSET(CÁLCULO!$BB$15,ROW($X156)-ROW($X$15),-1))),IF($C156=0,0,ROUND(SomaAgrup,15-13*$AF$11)))</f>
        <v>0</v>
      </c>
      <c r="Y156" s="128" t="s">
        <v>245</v>
      </c>
      <c r="Z156" t="str">
        <f t="shared" ca="1" si="49"/>
        <v/>
      </c>
      <c r="AA156" s="129">
        <f ca="1">IF($C156="S",IF($Z156="CP",$X156,IF($Z156="RA",(($X156)*QCI!$AA$3),0)),SomaAgrup)</f>
        <v>0</v>
      </c>
      <c r="AB156" s="130">
        <f t="shared" ca="1" si="50"/>
        <v>0</v>
      </c>
      <c r="AC156" s="131" t="str">
        <f ca="1">IF($N156="","",IF(ORÇAMENTO.Descricao="","DESCRIÇÃO",IF(AND($C156="S",ORÇAMENTO.Unidade=""),"UNIDADE",IF($X156&lt;0,"VALOR NEGATIVO",IF(OR(AND(TIPOORCAMENTO="Proposto",$AG156&lt;&gt;"",$AG156&gt;0,ORÇAMENTO.CustoUnitario&gt;$AG156),AND(TIPOORCAMENTO="LICITADO",ORÇAMENTO.PrecoUnitarioLicitado&gt;$AN156)),"ACIMA REF.","")))))</f>
        <v/>
      </c>
      <c r="AD156" t="str">
        <f ca="1">IF(C156&lt;=CRONO.NivelExibicao,MAX($AD$15:OFFSET(AD156,-1,0))+IF($C156&lt;&gt;1,1,MAX(1,COUNTIF(QCI!$A$13:$A$24,OFFSET($E156,-1,0)))),"")</f>
        <v/>
      </c>
      <c r="AE156" s="7" t="str">
        <f ca="1">IF(AND($C156="S",ORÇAMENTO.CodBarra&lt;&gt;""),IF(ORÇAMENTO.Fonte="",ORÇAMENTO.CodBarra,CONCATENATE(ORÇAMENTO.Fonte," ",ORÇAMENTO.CodBarra)))</f>
        <v>COMPOSIÇÃO FNDE 280</v>
      </c>
      <c r="AF156" s="13" t="str">
        <f ca="1">IF(ISERROR(INDIRECT(ORÇAMENTO.BancoRef)),"(abra o arquivo 'Referência "&amp;Excel_BuiltIn_Database&amp;".xlsm)",IF(OR($C156&lt;&gt;"S",ORÇAMENTO.CodBarra=""),"(Sem Código)",IF(ISERROR(MATCH($AE156,INDIRECT(ORÇAMENTO.BancoRef),0)),"(Código não identificado nas referências)",MATCH($AE156,INDIRECT(ORÇAMENTO.BancoRef),0))))</f>
        <v>(abra o arquivo 'Referência 06-2024.xlsm)</v>
      </c>
      <c r="AG156" s="498">
        <f ca="1">ROUND(IF(DESONERACAO="sim",REFERENCIA.Desonerado,REFERENCIA.NaoDesonerado),2)</f>
        <v>0</v>
      </c>
      <c r="AH156" s="499">
        <f t="shared" ca="1" si="51"/>
        <v>0.2432</v>
      </c>
      <c r="AJ156" s="501"/>
      <c r="AL156" s="527"/>
      <c r="AM156" s="381">
        <f t="shared" ca="1" si="52"/>
        <v>0</v>
      </c>
      <c r="AN156" s="566">
        <f t="shared" ca="1" si="53"/>
        <v>0</v>
      </c>
    </row>
    <row r="157" spans="1:40" ht="38.25" x14ac:dyDescent="0.2">
      <c r="A157" t="str">
        <f t="shared" si="38"/>
        <v>S</v>
      </c>
      <c r="B157">
        <f t="shared" ca="1" si="39"/>
        <v>2</v>
      </c>
      <c r="C157" t="str">
        <f t="shared" ca="1" si="40"/>
        <v>S</v>
      </c>
      <c r="D157">
        <f t="shared" ca="1" si="41"/>
        <v>0</v>
      </c>
      <c r="E157">
        <f ca="1">IF($C157=1,OFFSET(E157,-1,0)+MAX(1,COUNTIF(QCI!$A$13:$A$24,OFFSET(ORÇAMENTO!E157,-1,0))),OFFSET(E157,-1,0))</f>
        <v>1</v>
      </c>
      <c r="F157">
        <f t="shared" ca="1" si="42"/>
        <v>23</v>
      </c>
      <c r="G157">
        <f t="shared" ca="1" si="43"/>
        <v>0</v>
      </c>
      <c r="H157">
        <f t="shared" ca="1" si="44"/>
        <v>0</v>
      </c>
      <c r="I157">
        <f t="shared" ca="1" si="45"/>
        <v>0</v>
      </c>
      <c r="J157">
        <f t="shared" ca="1" si="55"/>
        <v>0</v>
      </c>
      <c r="K157">
        <f ca="1">IF(OR($C157="S",$C157=0),0,MATCH(OFFSET($D157,0,$C157)+IF($C157&lt;&gt;1,1,COUNTIF(QCI!$A$13:$A$24,ORÇAMENTO!E157)),OFFSET($D157,1,$C157,ROW($C$727)-ROW($C157)),0))</f>
        <v>0</v>
      </c>
      <c r="L157" s="116" t="str">
        <f t="shared" ca="1" si="46"/>
        <v/>
      </c>
      <c r="M157" s="117" t="s">
        <v>199</v>
      </c>
      <c r="N157" s="118" t="str">
        <f t="shared" ca="1" si="47"/>
        <v>Serviço</v>
      </c>
      <c r="O157" s="119" t="str">
        <f t="shared" ca="1" si="48"/>
        <v>-</v>
      </c>
      <c r="P157" s="120" t="s">
        <v>458</v>
      </c>
      <c r="Q157" s="121" t="s">
        <v>558</v>
      </c>
      <c r="R157" s="122" t="str">
        <f ca="1">IF($C157="S",REFERENCIA.Descricao,"(digite a descrição aqui)")</f>
        <v>(abra o arquivo 'Referência 06-2024.xlsm)</v>
      </c>
      <c r="S157" s="123" t="str">
        <f ca="1">REFERENCIA.Unidade</f>
        <v>-</v>
      </c>
      <c r="T157" s="124">
        <f ca="1">OFFSET(CÁLCULO!H$15,ROW($T157)-ROW(T$15),0)</f>
        <v>7.35</v>
      </c>
      <c r="U157" s="125">
        <f t="shared" ca="1" si="54"/>
        <v>0</v>
      </c>
      <c r="V157" s="126" t="s">
        <v>156</v>
      </c>
      <c r="W157" s="124">
        <f ca="1">IF($C157="S",ROUND(IF(TIPOORCAMENTO="Proposto",ORÇAMENTO.CustoUnitario*(1+$AH157),ORÇAMENTO.PrecoUnitarioLicitado),15-13*$AF$10),0)</f>
        <v>0</v>
      </c>
      <c r="X157" s="127">
        <f ca="1">IF($C157="S",IF(Import.TipoArredondamento&lt;&gt;"TransfereGOV",VTOTAL1,SUM(OFFSET(CÁLCULO!$AI$15,ROW($X157)-ROW($X$15),1):OFFSET(CÁLCULO!$BB$15,ROW($X157)-ROW($X$15),-1))),IF($C157=0,0,ROUND(SomaAgrup,15-13*$AF$11)))</f>
        <v>0</v>
      </c>
      <c r="Y157" s="128" t="s">
        <v>245</v>
      </c>
      <c r="Z157" t="str">
        <f t="shared" ca="1" si="49"/>
        <v/>
      </c>
      <c r="AA157" s="129">
        <f ca="1">IF($C157="S",IF($Z157="CP",$X157,IF($Z157="RA",(($X157)*QCI!$AA$3),0)),SomaAgrup)</f>
        <v>0</v>
      </c>
      <c r="AB157" s="130">
        <f t="shared" ca="1" si="50"/>
        <v>0</v>
      </c>
      <c r="AC157" s="131" t="str">
        <f ca="1">IF($N157="","",IF(ORÇAMENTO.Descricao="","DESCRIÇÃO",IF(AND($C157="S",ORÇAMENTO.Unidade=""),"UNIDADE",IF($X157&lt;0,"VALOR NEGATIVO",IF(OR(AND(TIPOORCAMENTO="Proposto",$AG157&lt;&gt;"",$AG157&gt;0,ORÇAMENTO.CustoUnitario&gt;$AG157),AND(TIPOORCAMENTO="LICITADO",ORÇAMENTO.PrecoUnitarioLicitado&gt;$AN157)),"ACIMA REF.","")))))</f>
        <v/>
      </c>
      <c r="AD157" t="str">
        <f ca="1">IF(C157&lt;=CRONO.NivelExibicao,MAX($AD$15:OFFSET(AD157,-1,0))+IF($C157&lt;&gt;1,1,MAX(1,COUNTIF(QCI!$A$13:$A$24,OFFSET($E157,-1,0)))),"")</f>
        <v/>
      </c>
      <c r="AE157" s="7" t="str">
        <f ca="1">IF(AND($C157="S",ORÇAMENTO.CodBarra&lt;&gt;""),IF(ORÇAMENTO.Fonte="",ORÇAMENTO.CodBarra,CONCATENATE(ORÇAMENTO.Fonte," ",ORÇAMENTO.CodBarra)))</f>
        <v>COMPOSIÇÃO FNDE 08</v>
      </c>
      <c r="AF157" s="13" t="str">
        <f ca="1">IF(ISERROR(INDIRECT(ORÇAMENTO.BancoRef)),"(abra o arquivo 'Referência "&amp;Excel_BuiltIn_Database&amp;".xlsm)",IF(OR($C157&lt;&gt;"S",ORÇAMENTO.CodBarra=""),"(Sem Código)",IF(ISERROR(MATCH($AE157,INDIRECT(ORÇAMENTO.BancoRef),0)),"(Código não identificado nas referências)",MATCH($AE157,INDIRECT(ORÇAMENTO.BancoRef),0))))</f>
        <v>(abra o arquivo 'Referência 06-2024.xlsm)</v>
      </c>
      <c r="AG157" s="498">
        <f ca="1">ROUND(IF(DESONERACAO="sim",REFERENCIA.Desonerado,REFERENCIA.NaoDesonerado),2)</f>
        <v>0</v>
      </c>
      <c r="AH157" s="499">
        <f t="shared" ca="1" si="51"/>
        <v>0.2432</v>
      </c>
      <c r="AJ157" s="501"/>
      <c r="AL157" s="527"/>
      <c r="AM157" s="381">
        <f t="shared" ca="1" si="52"/>
        <v>0</v>
      </c>
      <c r="AN157" s="566">
        <f t="shared" ca="1" si="53"/>
        <v>0</v>
      </c>
    </row>
    <row r="158" spans="1:40" ht="25.5" x14ac:dyDescent="0.2">
      <c r="A158" t="str">
        <f t="shared" si="38"/>
        <v>S</v>
      </c>
      <c r="B158">
        <f t="shared" ca="1" si="39"/>
        <v>2</v>
      </c>
      <c r="C158" t="str">
        <f t="shared" ca="1" si="40"/>
        <v>S</v>
      </c>
      <c r="D158">
        <f t="shared" ca="1" si="41"/>
        <v>0</v>
      </c>
      <c r="E158">
        <f ca="1">IF($C158=1,OFFSET(E158,-1,0)+MAX(1,COUNTIF(QCI!$A$13:$A$24,OFFSET(ORÇAMENTO!E158,-1,0))),OFFSET(E158,-1,0))</f>
        <v>1</v>
      </c>
      <c r="F158">
        <f t="shared" ca="1" si="42"/>
        <v>23</v>
      </c>
      <c r="G158">
        <f t="shared" ca="1" si="43"/>
        <v>0</v>
      </c>
      <c r="H158">
        <f t="shared" ca="1" si="44"/>
        <v>0</v>
      </c>
      <c r="I158">
        <f t="shared" ca="1" si="45"/>
        <v>0</v>
      </c>
      <c r="J158">
        <f t="shared" ca="1" si="55"/>
        <v>0</v>
      </c>
      <c r="K158">
        <f ca="1">IF(OR($C158="S",$C158=0),0,MATCH(OFFSET($D158,0,$C158)+IF($C158&lt;&gt;1,1,COUNTIF(QCI!$A$13:$A$24,ORÇAMENTO!E158)),OFFSET($D158,1,$C158,ROW($C$727)-ROW($C158)),0))</f>
        <v>0</v>
      </c>
      <c r="L158" s="116" t="str">
        <f t="shared" ca="1" si="46"/>
        <v/>
      </c>
      <c r="M158" s="117" t="s">
        <v>199</v>
      </c>
      <c r="N158" s="118" t="str">
        <f t="shared" ca="1" si="47"/>
        <v>Serviço</v>
      </c>
      <c r="O158" s="119" t="str">
        <f t="shared" ca="1" si="48"/>
        <v>-</v>
      </c>
      <c r="P158" s="120" t="s">
        <v>458</v>
      </c>
      <c r="Q158" s="121" t="s">
        <v>559</v>
      </c>
      <c r="R158" s="122" t="str">
        <f ca="1">IF($C158="S",REFERENCIA.Descricao,"(digite a descrição aqui)")</f>
        <v>(abra o arquivo 'Referência 06-2024.xlsm)</v>
      </c>
      <c r="S158" s="123" t="str">
        <f ca="1">REFERENCIA.Unidade</f>
        <v>-</v>
      </c>
      <c r="T158" s="124">
        <f ca="1">OFFSET(CÁLCULO!H$15,ROW($T158)-ROW(T$15),0)</f>
        <v>73.25</v>
      </c>
      <c r="U158" s="125">
        <f t="shared" ca="1" si="54"/>
        <v>0</v>
      </c>
      <c r="V158" s="126" t="s">
        <v>156</v>
      </c>
      <c r="W158" s="124">
        <f ca="1">IF($C158="S",ROUND(IF(TIPOORCAMENTO="Proposto",ORÇAMENTO.CustoUnitario*(1+$AH158),ORÇAMENTO.PrecoUnitarioLicitado),15-13*$AF$10),0)</f>
        <v>0</v>
      </c>
      <c r="X158" s="127">
        <f ca="1">IF($C158="S",IF(Import.TipoArredondamento&lt;&gt;"TransfereGOV",VTOTAL1,SUM(OFFSET(CÁLCULO!$AI$15,ROW($X158)-ROW($X$15),1):OFFSET(CÁLCULO!$BB$15,ROW($X158)-ROW($X$15),-1))),IF($C158=0,0,ROUND(SomaAgrup,15-13*$AF$11)))</f>
        <v>0</v>
      </c>
      <c r="Y158" s="128" t="s">
        <v>245</v>
      </c>
      <c r="Z158" t="str">
        <f t="shared" ca="1" si="49"/>
        <v/>
      </c>
      <c r="AA158" s="129">
        <f ca="1">IF($C158="S",IF($Z158="CP",$X158,IF($Z158="RA",(($X158)*QCI!$AA$3),0)),SomaAgrup)</f>
        <v>0</v>
      </c>
      <c r="AB158" s="130">
        <f t="shared" ca="1" si="50"/>
        <v>0</v>
      </c>
      <c r="AC158" s="131" t="str">
        <f ca="1">IF($N158="","",IF(ORÇAMENTO.Descricao="","DESCRIÇÃO",IF(AND($C158="S",ORÇAMENTO.Unidade=""),"UNIDADE",IF($X158&lt;0,"VALOR NEGATIVO",IF(OR(AND(TIPOORCAMENTO="Proposto",$AG158&lt;&gt;"",$AG158&gt;0,ORÇAMENTO.CustoUnitario&gt;$AG158),AND(TIPOORCAMENTO="LICITADO",ORÇAMENTO.PrecoUnitarioLicitado&gt;$AN158)),"ACIMA REF.","")))))</f>
        <v/>
      </c>
      <c r="AD158" t="str">
        <f ca="1">IF(C158&lt;=CRONO.NivelExibicao,MAX($AD$15:OFFSET(AD158,-1,0))+IF($C158&lt;&gt;1,1,MAX(1,COUNTIF(QCI!$A$13:$A$24,OFFSET($E158,-1,0)))),"")</f>
        <v/>
      </c>
      <c r="AE158" s="7" t="str">
        <f ca="1">IF(AND($C158="S",ORÇAMENTO.CodBarra&lt;&gt;""),IF(ORÇAMENTO.Fonte="",ORÇAMENTO.CodBarra,CONCATENATE(ORÇAMENTO.Fonte," ",ORÇAMENTO.CodBarra)))</f>
        <v>COMPOSIÇÃO FNDE 281</v>
      </c>
      <c r="AF158" s="13" t="str">
        <f ca="1">IF(ISERROR(INDIRECT(ORÇAMENTO.BancoRef)),"(abra o arquivo 'Referência "&amp;Excel_BuiltIn_Database&amp;".xlsm)",IF(OR($C158&lt;&gt;"S",ORÇAMENTO.CodBarra=""),"(Sem Código)",IF(ISERROR(MATCH($AE158,INDIRECT(ORÇAMENTO.BancoRef),0)),"(Código não identificado nas referências)",MATCH($AE158,INDIRECT(ORÇAMENTO.BancoRef),0))))</f>
        <v>(abra o arquivo 'Referência 06-2024.xlsm)</v>
      </c>
      <c r="AG158" s="498">
        <f ca="1">ROUND(IF(DESONERACAO="sim",REFERENCIA.Desonerado,REFERENCIA.NaoDesonerado),2)</f>
        <v>0</v>
      </c>
      <c r="AH158" s="499">
        <f t="shared" ca="1" si="51"/>
        <v>0.2432</v>
      </c>
      <c r="AJ158" s="501"/>
      <c r="AL158" s="527"/>
      <c r="AM158" s="381">
        <f t="shared" ca="1" si="52"/>
        <v>0</v>
      </c>
      <c r="AN158" s="566">
        <f t="shared" ca="1" si="53"/>
        <v>0</v>
      </c>
    </row>
    <row r="159" spans="1:40" ht="25.5" x14ac:dyDescent="0.2">
      <c r="A159" t="str">
        <f t="shared" si="38"/>
        <v>S</v>
      </c>
      <c r="B159">
        <f t="shared" ca="1" si="39"/>
        <v>2</v>
      </c>
      <c r="C159" t="str">
        <f t="shared" ca="1" si="40"/>
        <v>S</v>
      </c>
      <c r="D159">
        <f t="shared" ca="1" si="41"/>
        <v>0</v>
      </c>
      <c r="E159">
        <f ca="1">IF($C159=1,OFFSET(E159,-1,0)+MAX(1,COUNTIF(QCI!$A$13:$A$24,OFFSET(ORÇAMENTO!E159,-1,0))),OFFSET(E159,-1,0))</f>
        <v>1</v>
      </c>
      <c r="F159">
        <f t="shared" ca="1" si="42"/>
        <v>23</v>
      </c>
      <c r="G159">
        <f t="shared" ca="1" si="43"/>
        <v>0</v>
      </c>
      <c r="H159">
        <f t="shared" ca="1" si="44"/>
        <v>0</v>
      </c>
      <c r="I159">
        <f t="shared" ca="1" si="45"/>
        <v>0</v>
      </c>
      <c r="J159">
        <f t="shared" ca="1" si="55"/>
        <v>0</v>
      </c>
      <c r="K159">
        <f ca="1">IF(OR($C159="S",$C159=0),0,MATCH(OFFSET($D159,0,$C159)+IF($C159&lt;&gt;1,1,COUNTIF(QCI!$A$13:$A$24,ORÇAMENTO!E159)),OFFSET($D159,1,$C159,ROW($C$727)-ROW($C159)),0))</f>
        <v>0</v>
      </c>
      <c r="L159" s="116" t="str">
        <f t="shared" ca="1" si="46"/>
        <v/>
      </c>
      <c r="M159" s="117" t="s">
        <v>199</v>
      </c>
      <c r="N159" s="118" t="str">
        <f t="shared" ca="1" si="47"/>
        <v>Serviço</v>
      </c>
      <c r="O159" s="119" t="str">
        <f t="shared" ca="1" si="48"/>
        <v>-</v>
      </c>
      <c r="P159" s="120" t="s">
        <v>458</v>
      </c>
      <c r="Q159" s="121" t="s">
        <v>560</v>
      </c>
      <c r="R159" s="122" t="str">
        <f ca="1">IF($C159="S",REFERENCIA.Descricao,"(digite a descrição aqui)")</f>
        <v>(abra o arquivo 'Referência 06-2024.xlsm)</v>
      </c>
      <c r="S159" s="123" t="str">
        <f ca="1">REFERENCIA.Unidade</f>
        <v>-</v>
      </c>
      <c r="T159" s="124">
        <f ca="1">OFFSET(CÁLCULO!H$15,ROW($T159)-ROW(T$15),0)</f>
        <v>66.83</v>
      </c>
      <c r="U159" s="125">
        <f t="shared" ca="1" si="54"/>
        <v>0</v>
      </c>
      <c r="V159" s="126" t="s">
        <v>156</v>
      </c>
      <c r="W159" s="124">
        <f ca="1">IF($C159="S",ROUND(IF(TIPOORCAMENTO="Proposto",ORÇAMENTO.CustoUnitario*(1+$AH159),ORÇAMENTO.PrecoUnitarioLicitado),15-13*$AF$10),0)</f>
        <v>0</v>
      </c>
      <c r="X159" s="127">
        <f ca="1">IF($C159="S",IF(Import.TipoArredondamento&lt;&gt;"TransfereGOV",VTOTAL1,SUM(OFFSET(CÁLCULO!$AI$15,ROW($X159)-ROW($X$15),1):OFFSET(CÁLCULO!$BB$15,ROW($X159)-ROW($X$15),-1))),IF($C159=0,0,ROUND(SomaAgrup,15-13*$AF$11)))</f>
        <v>0</v>
      </c>
      <c r="Y159" s="128" t="s">
        <v>245</v>
      </c>
      <c r="Z159" t="str">
        <f t="shared" ca="1" si="49"/>
        <v/>
      </c>
      <c r="AA159" s="129">
        <f ca="1">IF($C159="S",IF($Z159="CP",$X159,IF($Z159="RA",(($X159)*QCI!$AA$3),0)),SomaAgrup)</f>
        <v>0</v>
      </c>
      <c r="AB159" s="130">
        <f t="shared" ca="1" si="50"/>
        <v>0</v>
      </c>
      <c r="AC159" s="131" t="str">
        <f ca="1">IF($N159="","",IF(ORÇAMENTO.Descricao="","DESCRIÇÃO",IF(AND($C159="S",ORÇAMENTO.Unidade=""),"UNIDADE",IF($X159&lt;0,"VALOR NEGATIVO",IF(OR(AND(TIPOORCAMENTO="Proposto",$AG159&lt;&gt;"",$AG159&gt;0,ORÇAMENTO.CustoUnitario&gt;$AG159),AND(TIPOORCAMENTO="LICITADO",ORÇAMENTO.PrecoUnitarioLicitado&gt;$AN159)),"ACIMA REF.","")))))</f>
        <v/>
      </c>
      <c r="AD159" t="str">
        <f ca="1">IF(C159&lt;=CRONO.NivelExibicao,MAX($AD$15:OFFSET(AD159,-1,0))+IF($C159&lt;&gt;1,1,MAX(1,COUNTIF(QCI!$A$13:$A$24,OFFSET($E159,-1,0)))),"")</f>
        <v/>
      </c>
      <c r="AE159" s="7" t="str">
        <f ca="1">IF(AND($C159="S",ORÇAMENTO.CodBarra&lt;&gt;""),IF(ORÇAMENTO.Fonte="",ORÇAMENTO.CodBarra,CONCATENATE(ORÇAMENTO.Fonte," ",ORÇAMENTO.CodBarra)))</f>
        <v>COMPOSIÇÃO FNDE 282</v>
      </c>
      <c r="AF159" s="13" t="str">
        <f ca="1">IF(ISERROR(INDIRECT(ORÇAMENTO.BancoRef)),"(abra o arquivo 'Referência "&amp;Excel_BuiltIn_Database&amp;".xlsm)",IF(OR($C159&lt;&gt;"S",ORÇAMENTO.CodBarra=""),"(Sem Código)",IF(ISERROR(MATCH($AE159,INDIRECT(ORÇAMENTO.BancoRef),0)),"(Código não identificado nas referências)",MATCH($AE159,INDIRECT(ORÇAMENTO.BancoRef),0))))</f>
        <v>(abra o arquivo 'Referência 06-2024.xlsm)</v>
      </c>
      <c r="AG159" s="498">
        <f ca="1">ROUND(IF(DESONERACAO="sim",REFERENCIA.Desonerado,REFERENCIA.NaoDesonerado),2)</f>
        <v>0</v>
      </c>
      <c r="AH159" s="499">
        <f t="shared" ca="1" si="51"/>
        <v>0.2432</v>
      </c>
      <c r="AJ159" s="501"/>
      <c r="AL159" s="527"/>
      <c r="AM159" s="381">
        <f t="shared" ca="1" si="52"/>
        <v>0</v>
      </c>
      <c r="AN159" s="566">
        <f t="shared" ca="1" si="53"/>
        <v>0</v>
      </c>
    </row>
    <row r="160" spans="1:40" ht="25.5" x14ac:dyDescent="0.2">
      <c r="A160" t="str">
        <f t="shared" si="38"/>
        <v>S</v>
      </c>
      <c r="B160">
        <f t="shared" ca="1" si="39"/>
        <v>2</v>
      </c>
      <c r="C160" t="str">
        <f t="shared" ca="1" si="40"/>
        <v>S</v>
      </c>
      <c r="D160">
        <f t="shared" ca="1" si="41"/>
        <v>0</v>
      </c>
      <c r="E160">
        <f ca="1">IF($C160=1,OFFSET(E160,-1,0)+MAX(1,COUNTIF(QCI!$A$13:$A$24,OFFSET(ORÇAMENTO!E160,-1,0))),OFFSET(E160,-1,0))</f>
        <v>1</v>
      </c>
      <c r="F160">
        <f t="shared" ca="1" si="42"/>
        <v>23</v>
      </c>
      <c r="G160">
        <f t="shared" ca="1" si="43"/>
        <v>0</v>
      </c>
      <c r="H160">
        <f t="shared" ca="1" si="44"/>
        <v>0</v>
      </c>
      <c r="I160">
        <f t="shared" ca="1" si="45"/>
        <v>0</v>
      </c>
      <c r="J160">
        <f t="shared" ca="1" si="55"/>
        <v>0</v>
      </c>
      <c r="K160">
        <f ca="1">IF(OR($C160="S",$C160=0),0,MATCH(OFFSET($D160,0,$C160)+IF($C160&lt;&gt;1,1,COUNTIF(QCI!$A$13:$A$24,ORÇAMENTO!E160)),OFFSET($D160,1,$C160,ROW($C$727)-ROW($C160)),0))</f>
        <v>0</v>
      </c>
      <c r="L160" s="116" t="str">
        <f t="shared" ca="1" si="46"/>
        <v/>
      </c>
      <c r="M160" s="117" t="s">
        <v>199</v>
      </c>
      <c r="N160" s="118" t="str">
        <f t="shared" ca="1" si="47"/>
        <v>Serviço</v>
      </c>
      <c r="O160" s="119" t="str">
        <f t="shared" ca="1" si="48"/>
        <v>-</v>
      </c>
      <c r="P160" s="120" t="s">
        <v>458</v>
      </c>
      <c r="Q160" s="121" t="s">
        <v>561</v>
      </c>
      <c r="R160" s="122" t="str">
        <f ca="1">IF($C160="S",REFERENCIA.Descricao,"(digite a descrição aqui)")</f>
        <v>(abra o arquivo 'Referência 06-2024.xlsm)</v>
      </c>
      <c r="S160" s="123" t="str">
        <f ca="1">REFERENCIA.Unidade</f>
        <v>-</v>
      </c>
      <c r="T160" s="124">
        <f ca="1">OFFSET(CÁLCULO!H$15,ROW($T160)-ROW(T$15),0)</f>
        <v>33.96</v>
      </c>
      <c r="U160" s="125">
        <f t="shared" ca="1" si="54"/>
        <v>0</v>
      </c>
      <c r="V160" s="126" t="s">
        <v>156</v>
      </c>
      <c r="W160" s="124">
        <f ca="1">IF($C160="S",ROUND(IF(TIPOORCAMENTO="Proposto",ORÇAMENTO.CustoUnitario*(1+$AH160),ORÇAMENTO.PrecoUnitarioLicitado),15-13*$AF$10),0)</f>
        <v>0</v>
      </c>
      <c r="X160" s="127">
        <f ca="1">IF($C160="S",IF(Import.TipoArredondamento&lt;&gt;"TransfereGOV",VTOTAL1,SUM(OFFSET(CÁLCULO!$AI$15,ROW($X160)-ROW($X$15),1):OFFSET(CÁLCULO!$BB$15,ROW($X160)-ROW($X$15),-1))),IF($C160=0,0,ROUND(SomaAgrup,15-13*$AF$11)))</f>
        <v>0</v>
      </c>
      <c r="Y160" s="128" t="s">
        <v>245</v>
      </c>
      <c r="Z160" t="str">
        <f t="shared" ca="1" si="49"/>
        <v/>
      </c>
      <c r="AA160" s="129">
        <f ca="1">IF($C160="S",IF($Z160="CP",$X160,IF($Z160="RA",(($X160)*QCI!$AA$3),0)),SomaAgrup)</f>
        <v>0</v>
      </c>
      <c r="AB160" s="130">
        <f t="shared" ca="1" si="50"/>
        <v>0</v>
      </c>
      <c r="AC160" s="131" t="str">
        <f ca="1">IF($N160="","",IF(ORÇAMENTO.Descricao="","DESCRIÇÃO",IF(AND($C160="S",ORÇAMENTO.Unidade=""),"UNIDADE",IF($X160&lt;0,"VALOR NEGATIVO",IF(OR(AND(TIPOORCAMENTO="Proposto",$AG160&lt;&gt;"",$AG160&gt;0,ORÇAMENTO.CustoUnitario&gt;$AG160),AND(TIPOORCAMENTO="LICITADO",ORÇAMENTO.PrecoUnitarioLicitado&gt;$AN160)),"ACIMA REF.","")))))</f>
        <v/>
      </c>
      <c r="AD160" t="str">
        <f ca="1">IF(C160&lt;=CRONO.NivelExibicao,MAX($AD$15:OFFSET(AD160,-1,0))+IF($C160&lt;&gt;1,1,MAX(1,COUNTIF(QCI!$A$13:$A$24,OFFSET($E160,-1,0)))),"")</f>
        <v/>
      </c>
      <c r="AE160" s="7" t="str">
        <f ca="1">IF(AND($C160="S",ORÇAMENTO.CodBarra&lt;&gt;""),IF(ORÇAMENTO.Fonte="",ORÇAMENTO.CodBarra,CONCATENATE(ORÇAMENTO.Fonte," ",ORÇAMENTO.CodBarra)))</f>
        <v>COMPOSIÇÃO FNDE 60</v>
      </c>
      <c r="AF160" s="13" t="str">
        <f ca="1">IF(ISERROR(INDIRECT(ORÇAMENTO.BancoRef)),"(abra o arquivo 'Referência "&amp;Excel_BuiltIn_Database&amp;".xlsm)",IF(OR($C160&lt;&gt;"S",ORÇAMENTO.CodBarra=""),"(Sem Código)",IF(ISERROR(MATCH($AE160,INDIRECT(ORÇAMENTO.BancoRef),0)),"(Código não identificado nas referências)",MATCH($AE160,INDIRECT(ORÇAMENTO.BancoRef),0))))</f>
        <v>(abra o arquivo 'Referência 06-2024.xlsm)</v>
      </c>
      <c r="AG160" s="498">
        <f ca="1">ROUND(IF(DESONERACAO="sim",REFERENCIA.Desonerado,REFERENCIA.NaoDesonerado),2)</f>
        <v>0</v>
      </c>
      <c r="AH160" s="499">
        <f t="shared" ca="1" si="51"/>
        <v>0.2432</v>
      </c>
      <c r="AJ160" s="501"/>
      <c r="AL160" s="527"/>
      <c r="AM160" s="381">
        <f t="shared" ca="1" si="52"/>
        <v>0</v>
      </c>
      <c r="AN160" s="566">
        <f t="shared" ca="1" si="53"/>
        <v>0</v>
      </c>
    </row>
    <row r="161" spans="1:40" x14ac:dyDescent="0.2">
      <c r="A161" t="str">
        <f t="shared" si="38"/>
        <v>S</v>
      </c>
      <c r="B161">
        <f t="shared" ca="1" si="39"/>
        <v>2</v>
      </c>
      <c r="C161" t="str">
        <f t="shared" ca="1" si="40"/>
        <v>S</v>
      </c>
      <c r="D161">
        <f t="shared" ca="1" si="41"/>
        <v>0</v>
      </c>
      <c r="E161">
        <f ca="1">IF($C161=1,OFFSET(E161,-1,0)+MAX(1,COUNTIF(QCI!$A$13:$A$24,OFFSET(ORÇAMENTO!E161,-1,0))),OFFSET(E161,-1,0))</f>
        <v>1</v>
      </c>
      <c r="F161">
        <f t="shared" ca="1" si="42"/>
        <v>23</v>
      </c>
      <c r="G161">
        <f t="shared" ca="1" si="43"/>
        <v>0</v>
      </c>
      <c r="H161">
        <f t="shared" ca="1" si="44"/>
        <v>0</v>
      </c>
      <c r="I161">
        <f t="shared" ca="1" si="45"/>
        <v>0</v>
      </c>
      <c r="J161">
        <f t="shared" ca="1" si="55"/>
        <v>0</v>
      </c>
      <c r="K161">
        <f ca="1">IF(OR($C161="S",$C161=0),0,MATCH(OFFSET($D161,0,$C161)+IF($C161&lt;&gt;1,1,COUNTIF(QCI!$A$13:$A$24,ORÇAMENTO!E161)),OFFSET($D161,1,$C161,ROW($C$727)-ROW($C161)),0))</f>
        <v>0</v>
      </c>
      <c r="L161" s="116" t="str">
        <f t="shared" ca="1" si="46"/>
        <v/>
      </c>
      <c r="M161" s="117" t="s">
        <v>199</v>
      </c>
      <c r="N161" s="118" t="str">
        <f t="shared" ca="1" si="47"/>
        <v>Serviço</v>
      </c>
      <c r="O161" s="119" t="str">
        <f t="shared" ca="1" si="48"/>
        <v>-</v>
      </c>
      <c r="P161" s="120" t="s">
        <v>458</v>
      </c>
      <c r="Q161" s="121" t="s">
        <v>562</v>
      </c>
      <c r="R161" s="122" t="str">
        <f ca="1">IF($C161="S",REFERENCIA.Descricao,"(digite a descrição aqui)")</f>
        <v>(abra o arquivo 'Referência 06-2024.xlsm)</v>
      </c>
      <c r="S161" s="123" t="str">
        <f ca="1">REFERENCIA.Unidade</f>
        <v>-</v>
      </c>
      <c r="T161" s="124">
        <f ca="1">OFFSET(CÁLCULO!H$15,ROW($T161)-ROW(T$15),0)</f>
        <v>81.37</v>
      </c>
      <c r="U161" s="125">
        <f t="shared" ca="1" si="54"/>
        <v>0</v>
      </c>
      <c r="V161" s="126" t="s">
        <v>156</v>
      </c>
      <c r="W161" s="124">
        <f ca="1">IF($C161="S",ROUND(IF(TIPOORCAMENTO="Proposto",ORÇAMENTO.CustoUnitario*(1+$AH161),ORÇAMENTO.PrecoUnitarioLicitado),15-13*$AF$10),0)</f>
        <v>0</v>
      </c>
      <c r="X161" s="127">
        <f ca="1">IF($C161="S",IF(Import.TipoArredondamento&lt;&gt;"TransfereGOV",VTOTAL1,SUM(OFFSET(CÁLCULO!$AI$15,ROW($X161)-ROW($X$15),1):OFFSET(CÁLCULO!$BB$15,ROW($X161)-ROW($X$15),-1))),IF($C161=0,0,ROUND(SomaAgrup,15-13*$AF$11)))</f>
        <v>0</v>
      </c>
      <c r="Y161" s="128" t="s">
        <v>245</v>
      </c>
      <c r="Z161" t="str">
        <f t="shared" ca="1" si="49"/>
        <v/>
      </c>
      <c r="AA161" s="129">
        <f ca="1">IF($C161="S",IF($Z161="CP",$X161,IF($Z161="RA",(($X161)*QCI!$AA$3),0)),SomaAgrup)</f>
        <v>0</v>
      </c>
      <c r="AB161" s="130">
        <f t="shared" ca="1" si="50"/>
        <v>0</v>
      </c>
      <c r="AC161" s="131" t="str">
        <f ca="1">IF($N161="","",IF(ORÇAMENTO.Descricao="","DESCRIÇÃO",IF(AND($C161="S",ORÇAMENTO.Unidade=""),"UNIDADE",IF($X161&lt;0,"VALOR NEGATIVO",IF(OR(AND(TIPOORCAMENTO="Proposto",$AG161&lt;&gt;"",$AG161&gt;0,ORÇAMENTO.CustoUnitario&gt;$AG161),AND(TIPOORCAMENTO="LICITADO",ORÇAMENTO.PrecoUnitarioLicitado&gt;$AN161)),"ACIMA REF.","")))))</f>
        <v/>
      </c>
      <c r="AD161" t="str">
        <f ca="1">IF(C161&lt;=CRONO.NivelExibicao,MAX($AD$15:OFFSET(AD161,-1,0))+IF($C161&lt;&gt;1,1,MAX(1,COUNTIF(QCI!$A$13:$A$24,OFFSET($E161,-1,0)))),"")</f>
        <v/>
      </c>
      <c r="AE161" s="7" t="str">
        <f ca="1">IF(AND($C161="S",ORÇAMENTO.CodBarra&lt;&gt;""),IF(ORÇAMENTO.Fonte="",ORÇAMENTO.CodBarra,CONCATENATE(ORÇAMENTO.Fonte," ",ORÇAMENTO.CodBarra)))</f>
        <v>COMPOSIÇÃO FNDE 283</v>
      </c>
      <c r="AF161" s="13" t="str">
        <f ca="1">IF(ISERROR(INDIRECT(ORÇAMENTO.BancoRef)),"(abra o arquivo 'Referência "&amp;Excel_BuiltIn_Database&amp;".xlsm)",IF(OR($C161&lt;&gt;"S",ORÇAMENTO.CodBarra=""),"(Sem Código)",IF(ISERROR(MATCH($AE161,INDIRECT(ORÇAMENTO.BancoRef),0)),"(Código não identificado nas referências)",MATCH($AE161,INDIRECT(ORÇAMENTO.BancoRef),0))))</f>
        <v>(abra o arquivo 'Referência 06-2024.xlsm)</v>
      </c>
      <c r="AG161" s="498">
        <f ca="1">ROUND(IF(DESONERACAO="sim",REFERENCIA.Desonerado,REFERENCIA.NaoDesonerado),2)</f>
        <v>0</v>
      </c>
      <c r="AH161" s="499">
        <f t="shared" ca="1" si="51"/>
        <v>0.2432</v>
      </c>
      <c r="AJ161" s="501"/>
      <c r="AL161" s="527"/>
      <c r="AM161" s="381">
        <f t="shared" ca="1" si="52"/>
        <v>0</v>
      </c>
      <c r="AN161" s="566">
        <f t="shared" ca="1" si="53"/>
        <v>0</v>
      </c>
    </row>
    <row r="162" spans="1:40" ht="51" x14ac:dyDescent="0.2">
      <c r="A162" t="str">
        <f t="shared" si="38"/>
        <v>S</v>
      </c>
      <c r="B162">
        <f t="shared" ca="1" si="39"/>
        <v>2</v>
      </c>
      <c r="C162" t="str">
        <f t="shared" ca="1" si="40"/>
        <v>S</v>
      </c>
      <c r="D162">
        <f t="shared" ca="1" si="41"/>
        <v>0</v>
      </c>
      <c r="E162">
        <f ca="1">IF($C162=1,OFFSET(E162,-1,0)+MAX(1,COUNTIF(QCI!$A$13:$A$24,OFFSET(ORÇAMENTO!E162,-1,0))),OFFSET(E162,-1,0))</f>
        <v>1</v>
      </c>
      <c r="F162">
        <f t="shared" ca="1" si="42"/>
        <v>23</v>
      </c>
      <c r="G162">
        <f t="shared" ca="1" si="43"/>
        <v>0</v>
      </c>
      <c r="H162">
        <f t="shared" ca="1" si="44"/>
        <v>0</v>
      </c>
      <c r="I162">
        <f t="shared" ca="1" si="45"/>
        <v>0</v>
      </c>
      <c r="J162">
        <f t="shared" ca="1" si="55"/>
        <v>0</v>
      </c>
      <c r="K162">
        <f ca="1">IF(OR($C162="S",$C162=0),0,MATCH(OFFSET($D162,0,$C162)+IF($C162&lt;&gt;1,1,COUNTIF(QCI!$A$13:$A$24,ORÇAMENTO!E162)),OFFSET($D162,1,$C162,ROW($C$727)-ROW($C162)),0))</f>
        <v>0</v>
      </c>
      <c r="L162" s="116" t="str">
        <f t="shared" ca="1" si="46"/>
        <v/>
      </c>
      <c r="M162" s="117" t="s">
        <v>199</v>
      </c>
      <c r="N162" s="118" t="str">
        <f t="shared" ca="1" si="47"/>
        <v>Serviço</v>
      </c>
      <c r="O162" s="119" t="str">
        <f t="shared" ca="1" si="48"/>
        <v>-</v>
      </c>
      <c r="P162" s="120" t="s">
        <v>458</v>
      </c>
      <c r="Q162" s="121" t="s">
        <v>563</v>
      </c>
      <c r="R162" s="122" t="str">
        <f ca="1">IF($C162="S",REFERENCIA.Descricao,"(digite a descrição aqui)")</f>
        <v>(abra o arquivo 'Referência 06-2024.xlsm)</v>
      </c>
      <c r="S162" s="123" t="str">
        <f ca="1">REFERENCIA.Unidade</f>
        <v>-</v>
      </c>
      <c r="T162" s="124">
        <f ca="1">OFFSET(CÁLCULO!H$15,ROW($T162)-ROW(T$15),0)</f>
        <v>7.7</v>
      </c>
      <c r="U162" s="125">
        <f t="shared" ca="1" si="54"/>
        <v>0</v>
      </c>
      <c r="V162" s="126" t="s">
        <v>156</v>
      </c>
      <c r="W162" s="124">
        <f ca="1">IF($C162="S",ROUND(IF(TIPOORCAMENTO="Proposto",ORÇAMENTO.CustoUnitario*(1+$AH162),ORÇAMENTO.PrecoUnitarioLicitado),15-13*$AF$10),0)</f>
        <v>0</v>
      </c>
      <c r="X162" s="127">
        <f ca="1">IF($C162="S",IF(Import.TipoArredondamento&lt;&gt;"TransfereGOV",VTOTAL1,SUM(OFFSET(CÁLCULO!$AI$15,ROW($X162)-ROW($X$15),1):OFFSET(CÁLCULO!$BB$15,ROW($X162)-ROW($X$15),-1))),IF($C162=0,0,ROUND(SomaAgrup,15-13*$AF$11)))</f>
        <v>0</v>
      </c>
      <c r="Y162" s="128" t="s">
        <v>245</v>
      </c>
      <c r="Z162" t="str">
        <f t="shared" ca="1" si="49"/>
        <v/>
      </c>
      <c r="AA162" s="129">
        <f ca="1">IF($C162="S",IF($Z162="CP",$X162,IF($Z162="RA",(($X162)*QCI!$AA$3),0)),SomaAgrup)</f>
        <v>0</v>
      </c>
      <c r="AB162" s="130">
        <f t="shared" ca="1" si="50"/>
        <v>0</v>
      </c>
      <c r="AC162" s="131" t="str">
        <f ca="1">IF($N162="","",IF(ORÇAMENTO.Descricao="","DESCRIÇÃO",IF(AND($C162="S",ORÇAMENTO.Unidade=""),"UNIDADE",IF($X162&lt;0,"VALOR NEGATIVO",IF(OR(AND(TIPOORCAMENTO="Proposto",$AG162&lt;&gt;"",$AG162&gt;0,ORÇAMENTO.CustoUnitario&gt;$AG162),AND(TIPOORCAMENTO="LICITADO",ORÇAMENTO.PrecoUnitarioLicitado&gt;$AN162)),"ACIMA REF.","")))))</f>
        <v/>
      </c>
      <c r="AD162" t="str">
        <f ca="1">IF(C162&lt;=CRONO.NivelExibicao,MAX($AD$15:OFFSET(AD162,-1,0))+IF($C162&lt;&gt;1,1,MAX(1,COUNTIF(QCI!$A$13:$A$24,OFFSET($E162,-1,0)))),"")</f>
        <v/>
      </c>
      <c r="AE162" s="7" t="str">
        <f ca="1">IF(AND($C162="S",ORÇAMENTO.CodBarra&lt;&gt;""),IF(ORÇAMENTO.Fonte="",ORÇAMENTO.CodBarra,CONCATENATE(ORÇAMENTO.Fonte," ",ORÇAMENTO.CodBarra)))</f>
        <v>COMPOSIÇÃO FNDE 284</v>
      </c>
      <c r="AF162" s="13" t="str">
        <f ca="1">IF(ISERROR(INDIRECT(ORÇAMENTO.BancoRef)),"(abra o arquivo 'Referência "&amp;Excel_BuiltIn_Database&amp;".xlsm)",IF(OR($C162&lt;&gt;"S",ORÇAMENTO.CodBarra=""),"(Sem Código)",IF(ISERROR(MATCH($AE162,INDIRECT(ORÇAMENTO.BancoRef),0)),"(Código não identificado nas referências)",MATCH($AE162,INDIRECT(ORÇAMENTO.BancoRef),0))))</f>
        <v>(abra o arquivo 'Referência 06-2024.xlsm)</v>
      </c>
      <c r="AG162" s="498">
        <f ca="1">ROUND(IF(DESONERACAO="sim",REFERENCIA.Desonerado,REFERENCIA.NaoDesonerado),2)</f>
        <v>0</v>
      </c>
      <c r="AH162" s="499">
        <f t="shared" ca="1" si="51"/>
        <v>0.2432</v>
      </c>
      <c r="AJ162" s="501"/>
      <c r="AL162" s="527"/>
      <c r="AM162" s="381">
        <f t="shared" ca="1" si="52"/>
        <v>0</v>
      </c>
      <c r="AN162" s="566">
        <f t="shared" ca="1" si="53"/>
        <v>0</v>
      </c>
    </row>
    <row r="163" spans="1:40" ht="51" x14ac:dyDescent="0.2">
      <c r="A163" t="str">
        <f t="shared" si="38"/>
        <v>S</v>
      </c>
      <c r="B163">
        <f t="shared" ca="1" si="39"/>
        <v>2</v>
      </c>
      <c r="C163" t="str">
        <f t="shared" ca="1" si="40"/>
        <v>S</v>
      </c>
      <c r="D163">
        <f t="shared" ca="1" si="41"/>
        <v>0</v>
      </c>
      <c r="E163">
        <f ca="1">IF($C163=1,OFFSET(E163,-1,0)+MAX(1,COUNTIF(QCI!$A$13:$A$24,OFFSET(ORÇAMENTO!E163,-1,0))),OFFSET(E163,-1,0))</f>
        <v>1</v>
      </c>
      <c r="F163">
        <f t="shared" ca="1" si="42"/>
        <v>23</v>
      </c>
      <c r="G163">
        <f t="shared" ca="1" si="43"/>
        <v>0</v>
      </c>
      <c r="H163">
        <f t="shared" ca="1" si="44"/>
        <v>0</v>
      </c>
      <c r="I163">
        <f t="shared" ca="1" si="45"/>
        <v>0</v>
      </c>
      <c r="J163">
        <f t="shared" ca="1" si="55"/>
        <v>0</v>
      </c>
      <c r="K163">
        <f ca="1">IF(OR($C163="S",$C163=0),0,MATCH(OFFSET($D163,0,$C163)+IF($C163&lt;&gt;1,1,COUNTIF(QCI!$A$13:$A$24,ORÇAMENTO!E163)),OFFSET($D163,1,$C163,ROW($C$727)-ROW($C163)),0))</f>
        <v>0</v>
      </c>
      <c r="L163" s="116" t="str">
        <f t="shared" ca="1" si="46"/>
        <v/>
      </c>
      <c r="M163" s="117" t="s">
        <v>199</v>
      </c>
      <c r="N163" s="118" t="str">
        <f t="shared" ca="1" si="47"/>
        <v>Serviço</v>
      </c>
      <c r="O163" s="119" t="str">
        <f t="shared" ca="1" si="48"/>
        <v>-</v>
      </c>
      <c r="P163" s="120" t="s">
        <v>458</v>
      </c>
      <c r="Q163" s="121" t="s">
        <v>564</v>
      </c>
      <c r="R163" s="122" t="str">
        <f ca="1">IF($C163="S",REFERENCIA.Descricao,"(digite a descrição aqui)")</f>
        <v>(abra o arquivo 'Referência 06-2024.xlsm)</v>
      </c>
      <c r="S163" s="123" t="str">
        <f ca="1">REFERENCIA.Unidade</f>
        <v>-</v>
      </c>
      <c r="T163" s="124">
        <f ca="1">OFFSET(CÁLCULO!H$15,ROW($T163)-ROW(T$15),0)</f>
        <v>5.6</v>
      </c>
      <c r="U163" s="125">
        <f t="shared" ca="1" si="54"/>
        <v>0</v>
      </c>
      <c r="V163" s="126" t="s">
        <v>156</v>
      </c>
      <c r="W163" s="124">
        <f ca="1">IF($C163="S",ROUND(IF(TIPOORCAMENTO="Proposto",ORÇAMENTO.CustoUnitario*(1+$AH163),ORÇAMENTO.PrecoUnitarioLicitado),15-13*$AF$10),0)</f>
        <v>0</v>
      </c>
      <c r="X163" s="127">
        <f ca="1">IF($C163="S",IF(Import.TipoArredondamento&lt;&gt;"TransfereGOV",VTOTAL1,SUM(OFFSET(CÁLCULO!$AI$15,ROW($X163)-ROW($X$15),1):OFFSET(CÁLCULO!$BB$15,ROW($X163)-ROW($X$15),-1))),IF($C163=0,0,ROUND(SomaAgrup,15-13*$AF$11)))</f>
        <v>0</v>
      </c>
      <c r="Y163" s="128" t="s">
        <v>245</v>
      </c>
      <c r="Z163" t="str">
        <f t="shared" ca="1" si="49"/>
        <v/>
      </c>
      <c r="AA163" s="129">
        <f ca="1">IF($C163="S",IF($Z163="CP",$X163,IF($Z163="RA",(($X163)*QCI!$AA$3),0)),SomaAgrup)</f>
        <v>0</v>
      </c>
      <c r="AB163" s="130">
        <f t="shared" ca="1" si="50"/>
        <v>0</v>
      </c>
      <c r="AC163" s="131" t="str">
        <f ca="1">IF($N163="","",IF(ORÇAMENTO.Descricao="","DESCRIÇÃO",IF(AND($C163="S",ORÇAMENTO.Unidade=""),"UNIDADE",IF($X163&lt;0,"VALOR NEGATIVO",IF(OR(AND(TIPOORCAMENTO="Proposto",$AG163&lt;&gt;"",$AG163&gt;0,ORÇAMENTO.CustoUnitario&gt;$AG163),AND(TIPOORCAMENTO="LICITADO",ORÇAMENTO.PrecoUnitarioLicitado&gt;$AN163)),"ACIMA REF.","")))))</f>
        <v/>
      </c>
      <c r="AD163" t="str">
        <f ca="1">IF(C163&lt;=CRONO.NivelExibicao,MAX($AD$15:OFFSET(AD163,-1,0))+IF($C163&lt;&gt;1,1,MAX(1,COUNTIF(QCI!$A$13:$A$24,OFFSET($E163,-1,0)))),"")</f>
        <v/>
      </c>
      <c r="AE163" s="7" t="str">
        <f ca="1">IF(AND($C163="S",ORÇAMENTO.CodBarra&lt;&gt;""),IF(ORÇAMENTO.Fonte="",ORÇAMENTO.CodBarra,CONCATENATE(ORÇAMENTO.Fonte," ",ORÇAMENTO.CodBarra)))</f>
        <v>COMPOSIÇÃO FNDE 285</v>
      </c>
      <c r="AF163" s="13" t="str">
        <f ca="1">IF(ISERROR(INDIRECT(ORÇAMENTO.BancoRef)),"(abra o arquivo 'Referência "&amp;Excel_BuiltIn_Database&amp;".xlsm)",IF(OR($C163&lt;&gt;"S",ORÇAMENTO.CodBarra=""),"(Sem Código)",IF(ISERROR(MATCH($AE163,INDIRECT(ORÇAMENTO.BancoRef),0)),"(Código não identificado nas referências)",MATCH($AE163,INDIRECT(ORÇAMENTO.BancoRef),0))))</f>
        <v>(abra o arquivo 'Referência 06-2024.xlsm)</v>
      </c>
      <c r="AG163" s="498">
        <f ca="1">ROUND(IF(DESONERACAO="sim",REFERENCIA.Desonerado,REFERENCIA.NaoDesonerado),2)</f>
        <v>0</v>
      </c>
      <c r="AH163" s="499">
        <f t="shared" ca="1" si="51"/>
        <v>0.2432</v>
      </c>
      <c r="AJ163" s="501"/>
      <c r="AL163" s="527"/>
      <c r="AM163" s="381">
        <f t="shared" ca="1" si="52"/>
        <v>0</v>
      </c>
      <c r="AN163" s="566">
        <f t="shared" ca="1" si="53"/>
        <v>0</v>
      </c>
    </row>
    <row r="164" spans="1:40" ht="51" x14ac:dyDescent="0.2">
      <c r="A164" t="str">
        <f t="shared" si="38"/>
        <v>S</v>
      </c>
      <c r="B164">
        <f t="shared" ca="1" si="39"/>
        <v>2</v>
      </c>
      <c r="C164" t="str">
        <f t="shared" ca="1" si="40"/>
        <v>S</v>
      </c>
      <c r="D164">
        <f t="shared" ca="1" si="41"/>
        <v>0</v>
      </c>
      <c r="E164">
        <f ca="1">IF($C164=1,OFFSET(E164,-1,0)+MAX(1,COUNTIF(QCI!$A$13:$A$24,OFFSET(ORÇAMENTO!E164,-1,0))),OFFSET(E164,-1,0))</f>
        <v>1</v>
      </c>
      <c r="F164">
        <f t="shared" ca="1" si="42"/>
        <v>23</v>
      </c>
      <c r="G164">
        <f t="shared" ca="1" si="43"/>
        <v>0</v>
      </c>
      <c r="H164">
        <f t="shared" ca="1" si="44"/>
        <v>0</v>
      </c>
      <c r="I164">
        <f t="shared" ca="1" si="45"/>
        <v>0</v>
      </c>
      <c r="J164">
        <f t="shared" ca="1" si="55"/>
        <v>0</v>
      </c>
      <c r="K164">
        <f ca="1">IF(OR($C164="S",$C164=0),0,MATCH(OFFSET($D164,0,$C164)+IF($C164&lt;&gt;1,1,COUNTIF(QCI!$A$13:$A$24,ORÇAMENTO!E164)),OFFSET($D164,1,$C164,ROW($C$727)-ROW($C164)),0))</f>
        <v>0</v>
      </c>
      <c r="L164" s="116" t="str">
        <f t="shared" ca="1" si="46"/>
        <v/>
      </c>
      <c r="M164" s="117" t="s">
        <v>199</v>
      </c>
      <c r="N164" s="118" t="str">
        <f t="shared" ca="1" si="47"/>
        <v>Serviço</v>
      </c>
      <c r="O164" s="119" t="str">
        <f t="shared" ca="1" si="48"/>
        <v>-</v>
      </c>
      <c r="P164" s="120" t="s">
        <v>458</v>
      </c>
      <c r="Q164" s="121" t="s">
        <v>565</v>
      </c>
      <c r="R164" s="122" t="str">
        <f ca="1">IF($C164="S",REFERENCIA.Descricao,"(digite a descrição aqui)")</f>
        <v>(abra o arquivo 'Referência 06-2024.xlsm)</v>
      </c>
      <c r="S164" s="123" t="str">
        <f ca="1">REFERENCIA.Unidade</f>
        <v>-</v>
      </c>
      <c r="T164" s="124">
        <f ca="1">OFFSET(CÁLCULO!H$15,ROW($T164)-ROW(T$15),0)</f>
        <v>2.4</v>
      </c>
      <c r="U164" s="125">
        <f t="shared" ca="1" si="54"/>
        <v>0</v>
      </c>
      <c r="V164" s="126" t="s">
        <v>156</v>
      </c>
      <c r="W164" s="124">
        <f ca="1">IF($C164="S",ROUND(IF(TIPOORCAMENTO="Proposto",ORÇAMENTO.CustoUnitario*(1+$AH164),ORÇAMENTO.PrecoUnitarioLicitado),15-13*$AF$10),0)</f>
        <v>0</v>
      </c>
      <c r="X164" s="127">
        <f ca="1">IF($C164="S",IF(Import.TipoArredondamento&lt;&gt;"TransfereGOV",VTOTAL1,SUM(OFFSET(CÁLCULO!$AI$15,ROW($X164)-ROW($X$15),1):OFFSET(CÁLCULO!$BB$15,ROW($X164)-ROW($X$15),-1))),IF($C164=0,0,ROUND(SomaAgrup,15-13*$AF$11)))</f>
        <v>0</v>
      </c>
      <c r="Y164" s="128" t="s">
        <v>245</v>
      </c>
      <c r="Z164" t="str">
        <f t="shared" ca="1" si="49"/>
        <v/>
      </c>
      <c r="AA164" s="129">
        <f ca="1">IF($C164="S",IF($Z164="CP",$X164,IF($Z164="RA",(($X164)*QCI!$AA$3),0)),SomaAgrup)</f>
        <v>0</v>
      </c>
      <c r="AB164" s="130">
        <f t="shared" ca="1" si="50"/>
        <v>0</v>
      </c>
      <c r="AC164" s="131" t="str">
        <f ca="1">IF($N164="","",IF(ORÇAMENTO.Descricao="","DESCRIÇÃO",IF(AND($C164="S",ORÇAMENTO.Unidade=""),"UNIDADE",IF($X164&lt;0,"VALOR NEGATIVO",IF(OR(AND(TIPOORCAMENTO="Proposto",$AG164&lt;&gt;"",$AG164&gt;0,ORÇAMENTO.CustoUnitario&gt;$AG164),AND(TIPOORCAMENTO="LICITADO",ORÇAMENTO.PrecoUnitarioLicitado&gt;$AN164)),"ACIMA REF.","")))))</f>
        <v/>
      </c>
      <c r="AD164" t="str">
        <f ca="1">IF(C164&lt;=CRONO.NivelExibicao,MAX($AD$15:OFFSET(AD164,-1,0))+IF($C164&lt;&gt;1,1,MAX(1,COUNTIF(QCI!$A$13:$A$24,OFFSET($E164,-1,0)))),"")</f>
        <v/>
      </c>
      <c r="AE164" s="7" t="str">
        <f ca="1">IF(AND($C164="S",ORÇAMENTO.CodBarra&lt;&gt;""),IF(ORÇAMENTO.Fonte="",ORÇAMENTO.CodBarra,CONCATENATE(ORÇAMENTO.Fonte," ",ORÇAMENTO.CodBarra)))</f>
        <v>COMPOSIÇÃO FNDE 286</v>
      </c>
      <c r="AF164" s="13" t="str">
        <f ca="1">IF(ISERROR(INDIRECT(ORÇAMENTO.BancoRef)),"(abra o arquivo 'Referência "&amp;Excel_BuiltIn_Database&amp;".xlsm)",IF(OR($C164&lt;&gt;"S",ORÇAMENTO.CodBarra=""),"(Sem Código)",IF(ISERROR(MATCH($AE164,INDIRECT(ORÇAMENTO.BancoRef),0)),"(Código não identificado nas referências)",MATCH($AE164,INDIRECT(ORÇAMENTO.BancoRef),0))))</f>
        <v>(abra o arquivo 'Referência 06-2024.xlsm)</v>
      </c>
      <c r="AG164" s="498">
        <f ca="1">ROUND(IF(DESONERACAO="sim",REFERENCIA.Desonerado,REFERENCIA.NaoDesonerado),2)</f>
        <v>0</v>
      </c>
      <c r="AH164" s="499">
        <f t="shared" ca="1" si="51"/>
        <v>0.2432</v>
      </c>
      <c r="AJ164" s="501"/>
      <c r="AL164" s="527"/>
      <c r="AM164" s="381">
        <f t="shared" ca="1" si="52"/>
        <v>0</v>
      </c>
      <c r="AN164" s="566">
        <f t="shared" ca="1" si="53"/>
        <v>0</v>
      </c>
    </row>
    <row r="165" spans="1:40" ht="51" x14ac:dyDescent="0.2">
      <c r="A165" t="str">
        <f t="shared" si="38"/>
        <v>S</v>
      </c>
      <c r="B165">
        <f t="shared" ca="1" si="39"/>
        <v>2</v>
      </c>
      <c r="C165" t="str">
        <f t="shared" ca="1" si="40"/>
        <v>S</v>
      </c>
      <c r="D165">
        <f t="shared" ca="1" si="41"/>
        <v>0</v>
      </c>
      <c r="E165">
        <f ca="1">IF($C165=1,OFFSET(E165,-1,0)+MAX(1,COUNTIF(QCI!$A$13:$A$24,OFFSET(ORÇAMENTO!E165,-1,0))),OFFSET(E165,-1,0))</f>
        <v>1</v>
      </c>
      <c r="F165">
        <f t="shared" ca="1" si="42"/>
        <v>23</v>
      </c>
      <c r="G165">
        <f t="shared" ca="1" si="43"/>
        <v>0</v>
      </c>
      <c r="H165">
        <f t="shared" ca="1" si="44"/>
        <v>0</v>
      </c>
      <c r="I165">
        <f t="shared" ca="1" si="45"/>
        <v>0</v>
      </c>
      <c r="J165">
        <f t="shared" ca="1" si="55"/>
        <v>0</v>
      </c>
      <c r="K165">
        <f ca="1">IF(OR($C165="S",$C165=0),0,MATCH(OFFSET($D165,0,$C165)+IF($C165&lt;&gt;1,1,COUNTIF(QCI!$A$13:$A$24,ORÇAMENTO!E165)),OFFSET($D165,1,$C165,ROW($C$727)-ROW($C165)),0))</f>
        <v>0</v>
      </c>
      <c r="L165" s="116" t="str">
        <f t="shared" ca="1" si="46"/>
        <v/>
      </c>
      <c r="M165" s="117" t="s">
        <v>199</v>
      </c>
      <c r="N165" s="118" t="str">
        <f t="shared" ca="1" si="47"/>
        <v>Serviço</v>
      </c>
      <c r="O165" s="119" t="str">
        <f t="shared" ca="1" si="48"/>
        <v>-</v>
      </c>
      <c r="P165" s="120" t="s">
        <v>458</v>
      </c>
      <c r="Q165" s="121" t="s">
        <v>566</v>
      </c>
      <c r="R165" s="122" t="str">
        <f ca="1">IF($C165="S",REFERENCIA.Descricao,"(digite a descrição aqui)")</f>
        <v>(abra o arquivo 'Referência 06-2024.xlsm)</v>
      </c>
      <c r="S165" s="123" t="str">
        <f ca="1">REFERENCIA.Unidade</f>
        <v>-</v>
      </c>
      <c r="T165" s="124">
        <f ca="1">OFFSET(CÁLCULO!H$15,ROW($T165)-ROW(T$15),0)</f>
        <v>2</v>
      </c>
      <c r="U165" s="125">
        <f t="shared" ca="1" si="54"/>
        <v>0</v>
      </c>
      <c r="V165" s="126" t="s">
        <v>156</v>
      </c>
      <c r="W165" s="124">
        <f ca="1">IF($C165="S",ROUND(IF(TIPOORCAMENTO="Proposto",ORÇAMENTO.CustoUnitario*(1+$AH165),ORÇAMENTO.PrecoUnitarioLicitado),15-13*$AF$10),0)</f>
        <v>0</v>
      </c>
      <c r="X165" s="127">
        <f ca="1">IF($C165="S",IF(Import.TipoArredondamento&lt;&gt;"TransfereGOV",VTOTAL1,SUM(OFFSET(CÁLCULO!$AI$15,ROW($X165)-ROW($X$15),1):OFFSET(CÁLCULO!$BB$15,ROW($X165)-ROW($X$15),-1))),IF($C165=0,0,ROUND(SomaAgrup,15-13*$AF$11)))</f>
        <v>0</v>
      </c>
      <c r="Y165" s="128" t="s">
        <v>245</v>
      </c>
      <c r="Z165" t="str">
        <f t="shared" ca="1" si="49"/>
        <v/>
      </c>
      <c r="AA165" s="129">
        <f ca="1">IF($C165="S",IF($Z165="CP",$X165,IF($Z165="RA",(($X165)*QCI!$AA$3),0)),SomaAgrup)</f>
        <v>0</v>
      </c>
      <c r="AB165" s="130">
        <f t="shared" ca="1" si="50"/>
        <v>0</v>
      </c>
      <c r="AC165" s="131" t="str">
        <f ca="1">IF($N165="","",IF(ORÇAMENTO.Descricao="","DESCRIÇÃO",IF(AND($C165="S",ORÇAMENTO.Unidade=""),"UNIDADE",IF($X165&lt;0,"VALOR NEGATIVO",IF(OR(AND(TIPOORCAMENTO="Proposto",$AG165&lt;&gt;"",$AG165&gt;0,ORÇAMENTO.CustoUnitario&gt;$AG165),AND(TIPOORCAMENTO="LICITADO",ORÇAMENTO.PrecoUnitarioLicitado&gt;$AN165)),"ACIMA REF.","")))))</f>
        <v/>
      </c>
      <c r="AD165" t="str">
        <f ca="1">IF(C165&lt;=CRONO.NivelExibicao,MAX($AD$15:OFFSET(AD165,-1,0))+IF($C165&lt;&gt;1,1,MAX(1,COUNTIF(QCI!$A$13:$A$24,OFFSET($E165,-1,0)))),"")</f>
        <v/>
      </c>
      <c r="AE165" s="7" t="str">
        <f ca="1">IF(AND($C165="S",ORÇAMENTO.CodBarra&lt;&gt;""),IF(ORÇAMENTO.Fonte="",ORÇAMENTO.CodBarra,CONCATENATE(ORÇAMENTO.Fonte," ",ORÇAMENTO.CodBarra)))</f>
        <v>COMPOSIÇÃO FNDE 287</v>
      </c>
      <c r="AF165" s="13" t="str">
        <f ca="1">IF(ISERROR(INDIRECT(ORÇAMENTO.BancoRef)),"(abra o arquivo 'Referência "&amp;Excel_BuiltIn_Database&amp;".xlsm)",IF(OR($C165&lt;&gt;"S",ORÇAMENTO.CodBarra=""),"(Sem Código)",IF(ISERROR(MATCH($AE165,INDIRECT(ORÇAMENTO.BancoRef),0)),"(Código não identificado nas referências)",MATCH($AE165,INDIRECT(ORÇAMENTO.BancoRef),0))))</f>
        <v>(abra o arquivo 'Referência 06-2024.xlsm)</v>
      </c>
      <c r="AG165" s="498">
        <f ca="1">ROUND(IF(DESONERACAO="sim",REFERENCIA.Desonerado,REFERENCIA.NaoDesonerado),2)</f>
        <v>0</v>
      </c>
      <c r="AH165" s="499">
        <f t="shared" ca="1" si="51"/>
        <v>0.2432</v>
      </c>
      <c r="AJ165" s="501"/>
      <c r="AL165" s="527"/>
      <c r="AM165" s="381">
        <f t="shared" ca="1" si="52"/>
        <v>0</v>
      </c>
      <c r="AN165" s="566">
        <f t="shared" ca="1" si="53"/>
        <v>0</v>
      </c>
    </row>
    <row r="166" spans="1:40" ht="25.5" x14ac:dyDescent="0.2">
      <c r="A166" t="str">
        <f t="shared" si="38"/>
        <v>S</v>
      </c>
      <c r="B166">
        <f t="shared" ca="1" si="39"/>
        <v>2</v>
      </c>
      <c r="C166" t="str">
        <f t="shared" ca="1" si="40"/>
        <v>S</v>
      </c>
      <c r="D166">
        <f t="shared" ca="1" si="41"/>
        <v>0</v>
      </c>
      <c r="E166">
        <f ca="1">IF($C166=1,OFFSET(E166,-1,0)+MAX(1,COUNTIF(QCI!$A$13:$A$24,OFFSET(ORÇAMENTO!E166,-1,0))),OFFSET(E166,-1,0))</f>
        <v>1</v>
      </c>
      <c r="F166">
        <f t="shared" ca="1" si="42"/>
        <v>23</v>
      </c>
      <c r="G166">
        <f t="shared" ca="1" si="43"/>
        <v>0</v>
      </c>
      <c r="H166">
        <f t="shared" ca="1" si="44"/>
        <v>0</v>
      </c>
      <c r="I166">
        <f t="shared" ca="1" si="45"/>
        <v>0</v>
      </c>
      <c r="J166">
        <f t="shared" ca="1" si="55"/>
        <v>0</v>
      </c>
      <c r="K166">
        <f ca="1">IF(OR($C166="S",$C166=0),0,MATCH(OFFSET($D166,0,$C166)+IF($C166&lt;&gt;1,1,COUNTIF(QCI!$A$13:$A$24,ORÇAMENTO!E166)),OFFSET($D166,1,$C166,ROW($C$727)-ROW($C166)),0))</f>
        <v>0</v>
      </c>
      <c r="L166" s="116" t="str">
        <f t="shared" ca="1" si="46"/>
        <v/>
      </c>
      <c r="M166" s="117" t="s">
        <v>199</v>
      </c>
      <c r="N166" s="118" t="str">
        <f t="shared" ca="1" si="47"/>
        <v>Serviço</v>
      </c>
      <c r="O166" s="119" t="str">
        <f t="shared" ca="1" si="48"/>
        <v>-</v>
      </c>
      <c r="P166" s="120" t="s">
        <v>458</v>
      </c>
      <c r="Q166" s="121" t="s">
        <v>567</v>
      </c>
      <c r="R166" s="122" t="str">
        <f ca="1">IF($C166="S",REFERENCIA.Descricao,"(digite a descrição aqui)")</f>
        <v>(abra o arquivo 'Referência 06-2024.xlsm)</v>
      </c>
      <c r="S166" s="123" t="str">
        <f ca="1">REFERENCIA.Unidade</f>
        <v>-</v>
      </c>
      <c r="T166" s="124">
        <f ca="1">OFFSET(CÁLCULO!H$15,ROW($T166)-ROW(T$15),0)</f>
        <v>0.24</v>
      </c>
      <c r="U166" s="125">
        <f t="shared" ca="1" si="54"/>
        <v>0</v>
      </c>
      <c r="V166" s="126" t="s">
        <v>156</v>
      </c>
      <c r="W166" s="124">
        <f ca="1">IF($C166="S",ROUND(IF(TIPOORCAMENTO="Proposto",ORÇAMENTO.CustoUnitario*(1+$AH166),ORÇAMENTO.PrecoUnitarioLicitado),15-13*$AF$10),0)</f>
        <v>0</v>
      </c>
      <c r="X166" s="127">
        <f ca="1">IF($C166="S",IF(Import.TipoArredondamento&lt;&gt;"TransfereGOV",VTOTAL1,SUM(OFFSET(CÁLCULO!$AI$15,ROW($X166)-ROW($X$15),1):OFFSET(CÁLCULO!$BB$15,ROW($X166)-ROW($X$15),-1))),IF($C166=0,0,ROUND(SomaAgrup,15-13*$AF$11)))</f>
        <v>0</v>
      </c>
      <c r="Y166" s="128" t="s">
        <v>245</v>
      </c>
      <c r="Z166" t="str">
        <f t="shared" ca="1" si="49"/>
        <v/>
      </c>
      <c r="AA166" s="129">
        <f ca="1">IF($C166="S",IF($Z166="CP",$X166,IF($Z166="RA",(($X166)*QCI!$AA$3),0)),SomaAgrup)</f>
        <v>0</v>
      </c>
      <c r="AB166" s="130">
        <f t="shared" ca="1" si="50"/>
        <v>0</v>
      </c>
      <c r="AC166" s="131" t="str">
        <f ca="1">IF($N166="","",IF(ORÇAMENTO.Descricao="","DESCRIÇÃO",IF(AND($C166="S",ORÇAMENTO.Unidade=""),"UNIDADE",IF($X166&lt;0,"VALOR NEGATIVO",IF(OR(AND(TIPOORCAMENTO="Proposto",$AG166&lt;&gt;"",$AG166&gt;0,ORÇAMENTO.CustoUnitario&gt;$AG166),AND(TIPOORCAMENTO="LICITADO",ORÇAMENTO.PrecoUnitarioLicitado&gt;$AN166)),"ACIMA REF.","")))))</f>
        <v/>
      </c>
      <c r="AD166" t="str">
        <f ca="1">IF(C166&lt;=CRONO.NivelExibicao,MAX($AD$15:OFFSET(AD166,-1,0))+IF($C166&lt;&gt;1,1,MAX(1,COUNTIF(QCI!$A$13:$A$24,OFFSET($E166,-1,0)))),"")</f>
        <v/>
      </c>
      <c r="AE166" s="7" t="str">
        <f ca="1">IF(AND($C166="S",ORÇAMENTO.CodBarra&lt;&gt;""),IF(ORÇAMENTO.Fonte="",ORÇAMENTO.CodBarra,CONCATENATE(ORÇAMENTO.Fonte," ",ORÇAMENTO.CodBarra)))</f>
        <v>COMPOSIÇÃO FNDE 108</v>
      </c>
      <c r="AF166" s="13" t="str">
        <f ca="1">IF(ISERROR(INDIRECT(ORÇAMENTO.BancoRef)),"(abra o arquivo 'Referência "&amp;Excel_BuiltIn_Database&amp;".xlsm)",IF(OR($C166&lt;&gt;"S",ORÇAMENTO.CodBarra=""),"(Sem Código)",IF(ISERROR(MATCH($AE166,INDIRECT(ORÇAMENTO.BancoRef),0)),"(Código não identificado nas referências)",MATCH($AE166,INDIRECT(ORÇAMENTO.BancoRef),0))))</f>
        <v>(abra o arquivo 'Referência 06-2024.xlsm)</v>
      </c>
      <c r="AG166" s="498">
        <f ca="1">ROUND(IF(DESONERACAO="sim",REFERENCIA.Desonerado,REFERENCIA.NaoDesonerado),2)</f>
        <v>0</v>
      </c>
      <c r="AH166" s="499">
        <f t="shared" ca="1" si="51"/>
        <v>0.2432</v>
      </c>
      <c r="AJ166" s="501"/>
      <c r="AL166" s="527"/>
      <c r="AM166" s="381">
        <f t="shared" ca="1" si="52"/>
        <v>0</v>
      </c>
      <c r="AN166" s="566">
        <f t="shared" ca="1" si="53"/>
        <v>0</v>
      </c>
    </row>
    <row r="167" spans="1:40" ht="25.5" x14ac:dyDescent="0.2">
      <c r="A167" t="str">
        <f t="shared" si="38"/>
        <v>S</v>
      </c>
      <c r="B167">
        <f t="shared" ca="1" si="39"/>
        <v>2</v>
      </c>
      <c r="C167" t="str">
        <f t="shared" ca="1" si="40"/>
        <v>S</v>
      </c>
      <c r="D167">
        <f t="shared" ca="1" si="41"/>
        <v>0</v>
      </c>
      <c r="E167">
        <f ca="1">IF($C167=1,OFFSET(E167,-1,0)+MAX(1,COUNTIF(QCI!$A$13:$A$24,OFFSET(ORÇAMENTO!E167,-1,0))),OFFSET(E167,-1,0))</f>
        <v>1</v>
      </c>
      <c r="F167">
        <f t="shared" ca="1" si="42"/>
        <v>23</v>
      </c>
      <c r="G167">
        <f t="shared" ca="1" si="43"/>
        <v>0</v>
      </c>
      <c r="H167">
        <f t="shared" ca="1" si="44"/>
        <v>0</v>
      </c>
      <c r="I167">
        <f t="shared" ca="1" si="45"/>
        <v>0</v>
      </c>
      <c r="J167">
        <f t="shared" ca="1" si="55"/>
        <v>0</v>
      </c>
      <c r="K167">
        <f ca="1">IF(OR($C167="S",$C167=0),0,MATCH(OFFSET($D167,0,$C167)+IF($C167&lt;&gt;1,1,COUNTIF(QCI!$A$13:$A$24,ORÇAMENTO!E167)),OFFSET($D167,1,$C167,ROW($C$727)-ROW($C167)),0))</f>
        <v>0</v>
      </c>
      <c r="L167" s="116" t="str">
        <f t="shared" ca="1" si="46"/>
        <v/>
      </c>
      <c r="M167" s="117" t="s">
        <v>199</v>
      </c>
      <c r="N167" s="118" t="str">
        <f t="shared" ca="1" si="47"/>
        <v>Serviço</v>
      </c>
      <c r="O167" s="119" t="str">
        <f t="shared" ca="1" si="48"/>
        <v>-</v>
      </c>
      <c r="P167" s="120" t="s">
        <v>458</v>
      </c>
      <c r="Q167" s="121" t="s">
        <v>568</v>
      </c>
      <c r="R167" s="122" t="str">
        <f ca="1">IF($C167="S",REFERENCIA.Descricao,"(digite a descrição aqui)")</f>
        <v>(abra o arquivo 'Referência 06-2024.xlsm)</v>
      </c>
      <c r="S167" s="123" t="str">
        <f ca="1">REFERENCIA.Unidade</f>
        <v>-</v>
      </c>
      <c r="T167" s="124">
        <f ca="1">OFFSET(CÁLCULO!H$15,ROW($T167)-ROW(T$15),0)</f>
        <v>0.24</v>
      </c>
      <c r="U167" s="125">
        <f t="shared" ca="1" si="54"/>
        <v>0</v>
      </c>
      <c r="V167" s="126" t="s">
        <v>156</v>
      </c>
      <c r="W167" s="124">
        <f ca="1">IF($C167="S",ROUND(IF(TIPOORCAMENTO="Proposto",ORÇAMENTO.CustoUnitario*(1+$AH167),ORÇAMENTO.PrecoUnitarioLicitado),15-13*$AF$10),0)</f>
        <v>0</v>
      </c>
      <c r="X167" s="127">
        <f ca="1">IF($C167="S",IF(Import.TipoArredondamento&lt;&gt;"TransfereGOV",VTOTAL1,SUM(OFFSET(CÁLCULO!$AI$15,ROW($X167)-ROW($X$15),1):OFFSET(CÁLCULO!$BB$15,ROW($X167)-ROW($X$15),-1))),IF($C167=0,0,ROUND(SomaAgrup,15-13*$AF$11)))</f>
        <v>0</v>
      </c>
      <c r="Y167" s="128" t="s">
        <v>245</v>
      </c>
      <c r="Z167" t="str">
        <f t="shared" ca="1" si="49"/>
        <v/>
      </c>
      <c r="AA167" s="129">
        <f ca="1">IF($C167="S",IF($Z167="CP",$X167,IF($Z167="RA",(($X167)*QCI!$AA$3),0)),SomaAgrup)</f>
        <v>0</v>
      </c>
      <c r="AB167" s="130">
        <f t="shared" ca="1" si="50"/>
        <v>0</v>
      </c>
      <c r="AC167" s="131" t="str">
        <f ca="1">IF($N167="","",IF(ORÇAMENTO.Descricao="","DESCRIÇÃO",IF(AND($C167="S",ORÇAMENTO.Unidade=""),"UNIDADE",IF($X167&lt;0,"VALOR NEGATIVO",IF(OR(AND(TIPOORCAMENTO="Proposto",$AG167&lt;&gt;"",$AG167&gt;0,ORÇAMENTO.CustoUnitario&gt;$AG167),AND(TIPOORCAMENTO="LICITADO",ORÇAMENTO.PrecoUnitarioLicitado&gt;$AN167)),"ACIMA REF.","")))))</f>
        <v/>
      </c>
      <c r="AD167" t="str">
        <f ca="1">IF(C167&lt;=CRONO.NivelExibicao,MAX($AD$15:OFFSET(AD167,-1,0))+IF($C167&lt;&gt;1,1,MAX(1,COUNTIF(QCI!$A$13:$A$24,OFFSET($E167,-1,0)))),"")</f>
        <v/>
      </c>
      <c r="AE167" s="7" t="str">
        <f ca="1">IF(AND($C167="S",ORÇAMENTO.CodBarra&lt;&gt;""),IF(ORÇAMENTO.Fonte="",ORÇAMENTO.CodBarra,CONCATENATE(ORÇAMENTO.Fonte," ",ORÇAMENTO.CodBarra)))</f>
        <v>COMPOSIÇÃO FNDE 109</v>
      </c>
      <c r="AF167" s="13" t="str">
        <f ca="1">IF(ISERROR(INDIRECT(ORÇAMENTO.BancoRef)),"(abra o arquivo 'Referência "&amp;Excel_BuiltIn_Database&amp;".xlsm)",IF(OR($C167&lt;&gt;"S",ORÇAMENTO.CodBarra=""),"(Sem Código)",IF(ISERROR(MATCH($AE167,INDIRECT(ORÇAMENTO.BancoRef),0)),"(Código não identificado nas referências)",MATCH($AE167,INDIRECT(ORÇAMENTO.BancoRef),0))))</f>
        <v>(abra o arquivo 'Referência 06-2024.xlsm)</v>
      </c>
      <c r="AG167" s="498">
        <f ca="1">ROUND(IF(DESONERACAO="sim",REFERENCIA.Desonerado,REFERENCIA.NaoDesonerado),2)</f>
        <v>0</v>
      </c>
      <c r="AH167" s="499">
        <f t="shared" ca="1" si="51"/>
        <v>0.2432</v>
      </c>
      <c r="AJ167" s="501"/>
      <c r="AL167" s="527"/>
      <c r="AM167" s="381">
        <f t="shared" ca="1" si="52"/>
        <v>0</v>
      </c>
      <c r="AN167" s="566">
        <f t="shared" ca="1" si="53"/>
        <v>0</v>
      </c>
    </row>
    <row r="168" spans="1:40" ht="38.25" x14ac:dyDescent="0.2">
      <c r="A168" t="str">
        <f t="shared" si="38"/>
        <v>S</v>
      </c>
      <c r="B168">
        <f t="shared" ca="1" si="39"/>
        <v>2</v>
      </c>
      <c r="C168" t="str">
        <f t="shared" ca="1" si="40"/>
        <v>S</v>
      </c>
      <c r="D168">
        <f t="shared" ca="1" si="41"/>
        <v>0</v>
      </c>
      <c r="E168">
        <f ca="1">IF($C168=1,OFFSET(E168,-1,0)+MAX(1,COUNTIF(QCI!$A$13:$A$24,OFFSET(ORÇAMENTO!E168,-1,0))),OFFSET(E168,-1,0))</f>
        <v>1</v>
      </c>
      <c r="F168">
        <f t="shared" ca="1" si="42"/>
        <v>23</v>
      </c>
      <c r="G168">
        <f t="shared" ca="1" si="43"/>
        <v>0</v>
      </c>
      <c r="H168">
        <f t="shared" ca="1" si="44"/>
        <v>0</v>
      </c>
      <c r="I168">
        <f t="shared" ca="1" si="45"/>
        <v>0</v>
      </c>
      <c r="J168">
        <f t="shared" ca="1" si="55"/>
        <v>0</v>
      </c>
      <c r="K168">
        <f ca="1">IF(OR($C168="S",$C168=0),0,MATCH(OFFSET($D168,0,$C168)+IF($C168&lt;&gt;1,1,COUNTIF(QCI!$A$13:$A$24,ORÇAMENTO!E168)),OFFSET($D168,1,$C168,ROW($C$727)-ROW($C168)),0))</f>
        <v>0</v>
      </c>
      <c r="L168" s="116" t="str">
        <f t="shared" ca="1" si="46"/>
        <v/>
      </c>
      <c r="M168" s="117" t="s">
        <v>199</v>
      </c>
      <c r="N168" s="118" t="str">
        <f t="shared" ca="1" si="47"/>
        <v>Serviço</v>
      </c>
      <c r="O168" s="119" t="str">
        <f t="shared" ca="1" si="48"/>
        <v>-</v>
      </c>
      <c r="P168" s="120" t="s">
        <v>458</v>
      </c>
      <c r="Q168" s="121" t="s">
        <v>569</v>
      </c>
      <c r="R168" s="122" t="str">
        <f ca="1">IF($C168="S",REFERENCIA.Descricao,"(digite a descrição aqui)")</f>
        <v>(abra o arquivo 'Referência 06-2024.xlsm)</v>
      </c>
      <c r="S168" s="123" t="str">
        <f ca="1">REFERENCIA.Unidade</f>
        <v>-</v>
      </c>
      <c r="T168" s="124">
        <f ca="1">OFFSET(CÁLCULO!H$15,ROW($T168)-ROW(T$15),0)</f>
        <v>16.12</v>
      </c>
      <c r="U168" s="125">
        <f t="shared" ca="1" si="54"/>
        <v>0</v>
      </c>
      <c r="V168" s="126" t="s">
        <v>156</v>
      </c>
      <c r="W168" s="124">
        <f ca="1">IF($C168="S",ROUND(IF(TIPOORCAMENTO="Proposto",ORÇAMENTO.CustoUnitario*(1+$AH168),ORÇAMENTO.PrecoUnitarioLicitado),15-13*$AF$10),0)</f>
        <v>0</v>
      </c>
      <c r="X168" s="127">
        <f ca="1">IF($C168="S",IF(Import.TipoArredondamento&lt;&gt;"TransfereGOV",VTOTAL1,SUM(OFFSET(CÁLCULO!$AI$15,ROW($X168)-ROW($X$15),1):OFFSET(CÁLCULO!$BB$15,ROW($X168)-ROW($X$15),-1))),IF($C168=0,0,ROUND(SomaAgrup,15-13*$AF$11)))</f>
        <v>0</v>
      </c>
      <c r="Y168" s="128" t="s">
        <v>245</v>
      </c>
      <c r="Z168" t="str">
        <f t="shared" ca="1" si="49"/>
        <v/>
      </c>
      <c r="AA168" s="129">
        <f ca="1">IF($C168="S",IF($Z168="CP",$X168,IF($Z168="RA",(($X168)*QCI!$AA$3),0)),SomaAgrup)</f>
        <v>0</v>
      </c>
      <c r="AB168" s="130">
        <f t="shared" ca="1" si="50"/>
        <v>0</v>
      </c>
      <c r="AC168" s="131" t="str">
        <f ca="1">IF($N168="","",IF(ORÇAMENTO.Descricao="","DESCRIÇÃO",IF(AND($C168="S",ORÇAMENTO.Unidade=""),"UNIDADE",IF($X168&lt;0,"VALOR NEGATIVO",IF(OR(AND(TIPOORCAMENTO="Proposto",$AG168&lt;&gt;"",$AG168&gt;0,ORÇAMENTO.CustoUnitario&gt;$AG168),AND(TIPOORCAMENTO="LICITADO",ORÇAMENTO.PrecoUnitarioLicitado&gt;$AN168)),"ACIMA REF.","")))))</f>
        <v/>
      </c>
      <c r="AD168" t="str">
        <f ca="1">IF(C168&lt;=CRONO.NivelExibicao,MAX($AD$15:OFFSET(AD168,-1,0))+IF($C168&lt;&gt;1,1,MAX(1,COUNTIF(QCI!$A$13:$A$24,OFFSET($E168,-1,0)))),"")</f>
        <v/>
      </c>
      <c r="AE168" s="7" t="str">
        <f ca="1">IF(AND($C168="S",ORÇAMENTO.CodBarra&lt;&gt;""),IF(ORÇAMENTO.Fonte="",ORÇAMENTO.CodBarra,CONCATENATE(ORÇAMENTO.Fonte," ",ORÇAMENTO.CodBarra)))</f>
        <v>COMPOSIÇÃO FNDE 120</v>
      </c>
      <c r="AF168" s="13" t="str">
        <f ca="1">IF(ISERROR(INDIRECT(ORÇAMENTO.BancoRef)),"(abra o arquivo 'Referência "&amp;Excel_BuiltIn_Database&amp;".xlsm)",IF(OR($C168&lt;&gt;"S",ORÇAMENTO.CodBarra=""),"(Sem Código)",IF(ISERROR(MATCH($AE168,INDIRECT(ORÇAMENTO.BancoRef),0)),"(Código não identificado nas referências)",MATCH($AE168,INDIRECT(ORÇAMENTO.BancoRef),0))))</f>
        <v>(abra o arquivo 'Referência 06-2024.xlsm)</v>
      </c>
      <c r="AG168" s="498">
        <f ca="1">ROUND(IF(DESONERACAO="sim",REFERENCIA.Desonerado,REFERENCIA.NaoDesonerado),2)</f>
        <v>0</v>
      </c>
      <c r="AH168" s="499">
        <f t="shared" ca="1" si="51"/>
        <v>0.2432</v>
      </c>
      <c r="AJ168" s="501"/>
      <c r="AL168" s="527"/>
      <c r="AM168" s="381">
        <f t="shared" ca="1" si="52"/>
        <v>0</v>
      </c>
      <c r="AN168" s="566">
        <f t="shared" ca="1" si="53"/>
        <v>0</v>
      </c>
    </row>
    <row r="169" spans="1:40" x14ac:dyDescent="0.2">
      <c r="A169">
        <f t="shared" si="38"/>
        <v>2</v>
      </c>
      <c r="B169">
        <f t="shared" ca="1" si="39"/>
        <v>2</v>
      </c>
      <c r="C169">
        <f t="shared" ca="1" si="40"/>
        <v>2</v>
      </c>
      <c r="D169">
        <f t="shared" ca="1" si="41"/>
        <v>7</v>
      </c>
      <c r="E169">
        <f ca="1">IF($C169=1,OFFSET(E169,-1,0)+MAX(1,COUNTIF(QCI!$A$13:$A$24,OFFSET(ORÇAMENTO!E169,-1,0))),OFFSET(E169,-1,0))</f>
        <v>1</v>
      </c>
      <c r="F169">
        <f t="shared" ca="1" si="42"/>
        <v>24</v>
      </c>
      <c r="G169">
        <f t="shared" ca="1" si="43"/>
        <v>0</v>
      </c>
      <c r="H169">
        <f t="shared" ca="1" si="44"/>
        <v>0</v>
      </c>
      <c r="I169">
        <f t="shared" ca="1" si="45"/>
        <v>0</v>
      </c>
      <c r="J169">
        <f t="shared" ca="1" si="55"/>
        <v>558</v>
      </c>
      <c r="K169">
        <f ca="1">IF(OR($C169="S",$C169=0),0,MATCH(OFFSET($D169,0,$C169)+IF($C169&lt;&gt;1,1,COUNTIF(QCI!$A$13:$A$24,ORÇAMENTO!E169)),OFFSET($D169,1,$C169,ROW($C$727)-ROW($C169)),0))</f>
        <v>7</v>
      </c>
      <c r="L169" s="116" t="str">
        <f t="shared" ca="1" si="46"/>
        <v>F</v>
      </c>
      <c r="M169" s="117" t="s">
        <v>196</v>
      </c>
      <c r="N169" s="118" t="str">
        <f t="shared" ca="1" si="47"/>
        <v>Nível 2</v>
      </c>
      <c r="O169" s="119" t="str">
        <f t="shared" ca="1" si="48"/>
        <v>1.24.</v>
      </c>
      <c r="P169" s="120" t="s">
        <v>247</v>
      </c>
      <c r="Q169" s="121"/>
      <c r="R169" s="122" t="s">
        <v>570</v>
      </c>
      <c r="S169" s="123" t="str">
        <f ca="1">REFERENCIA.Unidade</f>
        <v>-</v>
      </c>
      <c r="T169" s="124">
        <f ca="1">OFFSET(CÁLCULO!H$15,ROW($T169)-ROW(T$15),0)</f>
        <v>0</v>
      </c>
      <c r="U169" s="125">
        <f t="shared" ca="1" si="54"/>
        <v>0</v>
      </c>
      <c r="V169" s="126" t="s">
        <v>156</v>
      </c>
      <c r="W169" s="124">
        <f ca="1">IF($C169="S",ROUND(IF(TIPOORCAMENTO="Proposto",ORÇAMENTO.CustoUnitario*(1+$AH169),ORÇAMENTO.PrecoUnitarioLicitado),15-13*$AF$10),0)</f>
        <v>0</v>
      </c>
      <c r="X169" s="127">
        <f ca="1">IF($C169="S",IF(Import.TipoArredondamento&lt;&gt;"TransfereGOV",VTOTAL1,SUM(OFFSET(CÁLCULO!$AI$15,ROW($X169)-ROW($X$15),1):OFFSET(CÁLCULO!$BB$15,ROW($X169)-ROW($X$15),-1))),IF($C169=0,0,ROUND(SomaAgrup,15-13*$AF$11)))</f>
        <v>0</v>
      </c>
      <c r="Y169" s="128" t="s">
        <v>245</v>
      </c>
      <c r="Z169" t="str">
        <f t="shared" ca="1" si="49"/>
        <v/>
      </c>
      <c r="AA169" s="129">
        <f ca="1">IF($C169="S",IF($Z169="CP",$X169,IF($Z169="RA",(($X169)*QCI!$AA$3),0)),SomaAgrup)</f>
        <v>0</v>
      </c>
      <c r="AB169" s="130">
        <f t="shared" ca="1" si="50"/>
        <v>0</v>
      </c>
      <c r="AC169" s="131" t="str">
        <f ca="1">IF($N169="","",IF(ORÇAMENTO.Descricao="","DESCRIÇÃO",IF(AND($C169="S",ORÇAMENTO.Unidade=""),"UNIDADE",IF($X169&lt;0,"VALOR NEGATIVO",IF(OR(AND(TIPOORCAMENTO="Proposto",$AG169&lt;&gt;"",$AG169&gt;0,ORÇAMENTO.CustoUnitario&gt;$AG169),AND(TIPOORCAMENTO="LICITADO",ORÇAMENTO.PrecoUnitarioLicitado&gt;$AN169)),"ACIMA REF.","")))))</f>
        <v/>
      </c>
      <c r="AD169">
        <f ca="1">IF(C169&lt;=CRONO.NivelExibicao,MAX($AD$15:OFFSET(AD169,-1,0))+IF($C169&lt;&gt;1,1,MAX(1,COUNTIF(QCI!$A$13:$A$24,OFFSET($E169,-1,0)))),"")</f>
        <v>25</v>
      </c>
      <c r="AE169" s="7" t="b">
        <f ca="1">IF(AND($C169="S",ORÇAMENTO.CodBarra&lt;&gt;""),IF(ORÇAMENTO.Fonte="",ORÇAMENTO.CodBarra,CONCATENATE(ORÇAMENTO.Fonte," ",ORÇAMENTO.CodBarra)))</f>
        <v>0</v>
      </c>
      <c r="AF169" s="13" t="str">
        <f ca="1">IF(ISERROR(INDIRECT(ORÇAMENTO.BancoRef)),"(abra o arquivo 'Referência "&amp;Excel_BuiltIn_Database&amp;".xlsm)",IF(OR($C169&lt;&gt;"S",ORÇAMENTO.CodBarra=""),"(Sem Código)",IF(ISERROR(MATCH($AE169,INDIRECT(ORÇAMENTO.BancoRef),0)),"(Código não identificado nas referências)",MATCH($AE169,INDIRECT(ORÇAMENTO.BancoRef),0))))</f>
        <v>(abra o arquivo 'Referência 06-2024.xlsm)</v>
      </c>
      <c r="AG169" s="498">
        <f ca="1">ROUND(IF(DESONERACAO="sim",REFERENCIA.Desonerado,REFERENCIA.NaoDesonerado),2)</f>
        <v>0</v>
      </c>
      <c r="AH169" s="499">
        <f t="shared" ca="1" si="51"/>
        <v>0.2432</v>
      </c>
      <c r="AJ169" s="501"/>
      <c r="AL169" s="527"/>
      <c r="AM169" s="381">
        <f t="shared" ca="1" si="52"/>
        <v>0</v>
      </c>
      <c r="AN169" s="566">
        <f t="shared" ca="1" si="53"/>
        <v>0</v>
      </c>
    </row>
    <row r="170" spans="1:40" ht="63.75" x14ac:dyDescent="0.2">
      <c r="A170" t="str">
        <f t="shared" si="38"/>
        <v>S</v>
      </c>
      <c r="B170">
        <f t="shared" ca="1" si="39"/>
        <v>2</v>
      </c>
      <c r="C170" t="str">
        <f t="shared" ca="1" si="40"/>
        <v>S</v>
      </c>
      <c r="D170">
        <f t="shared" ca="1" si="41"/>
        <v>0</v>
      </c>
      <c r="E170">
        <f ca="1">IF($C170=1,OFFSET(E170,-1,0)+MAX(1,COUNTIF(QCI!$A$13:$A$24,OFFSET(ORÇAMENTO!E170,-1,0))),OFFSET(E170,-1,0))</f>
        <v>1</v>
      </c>
      <c r="F170">
        <f t="shared" ca="1" si="42"/>
        <v>24</v>
      </c>
      <c r="G170">
        <f t="shared" ca="1" si="43"/>
        <v>0</v>
      </c>
      <c r="H170">
        <f t="shared" ca="1" si="44"/>
        <v>0</v>
      </c>
      <c r="I170">
        <f t="shared" ca="1" si="45"/>
        <v>0</v>
      </c>
      <c r="J170">
        <f t="shared" ca="1" si="55"/>
        <v>0</v>
      </c>
      <c r="K170">
        <f ca="1">IF(OR($C170="S",$C170=0),0,MATCH(OFFSET($D170,0,$C170)+IF($C170&lt;&gt;1,1,COUNTIF(QCI!$A$13:$A$24,ORÇAMENTO!E170)),OFFSET($D170,1,$C170,ROW($C$727)-ROW($C170)),0))</f>
        <v>0</v>
      </c>
      <c r="L170" s="116" t="str">
        <f t="shared" ca="1" si="46"/>
        <v/>
      </c>
      <c r="M170" s="117" t="s">
        <v>199</v>
      </c>
      <c r="N170" s="118" t="str">
        <f t="shared" ca="1" si="47"/>
        <v>Serviço</v>
      </c>
      <c r="O170" s="119" t="str">
        <f t="shared" ca="1" si="48"/>
        <v>-</v>
      </c>
      <c r="P170" s="120" t="s">
        <v>458</v>
      </c>
      <c r="Q170" s="121" t="s">
        <v>571</v>
      </c>
      <c r="R170" s="122" t="str">
        <f ca="1">IF($C170="S",REFERENCIA.Descricao,"(digite a descrição aqui)")</f>
        <v>(abra o arquivo 'Referência 06-2024.xlsm)</v>
      </c>
      <c r="S170" s="123" t="str">
        <f ca="1">REFERENCIA.Unidade</f>
        <v>-</v>
      </c>
      <c r="T170" s="124">
        <f ca="1">OFFSET(CÁLCULO!H$15,ROW($T170)-ROW(T$15),0)</f>
        <v>1441</v>
      </c>
      <c r="U170" s="125">
        <f t="shared" ca="1" si="54"/>
        <v>0</v>
      </c>
      <c r="V170" s="126" t="s">
        <v>156</v>
      </c>
      <c r="W170" s="124">
        <f ca="1">IF($C170="S",ROUND(IF(TIPOORCAMENTO="Proposto",ORÇAMENTO.CustoUnitario*(1+$AH170),ORÇAMENTO.PrecoUnitarioLicitado),15-13*$AF$10),0)</f>
        <v>0</v>
      </c>
      <c r="X170" s="127">
        <f ca="1">IF($C170="S",IF(Import.TipoArredondamento&lt;&gt;"TransfereGOV",VTOTAL1,SUM(OFFSET(CÁLCULO!$AI$15,ROW($X170)-ROW($X$15),1):OFFSET(CÁLCULO!$BB$15,ROW($X170)-ROW($X$15),-1))),IF($C170=0,0,ROUND(SomaAgrup,15-13*$AF$11)))</f>
        <v>0</v>
      </c>
      <c r="Y170" s="128" t="s">
        <v>245</v>
      </c>
      <c r="Z170" t="str">
        <f t="shared" ca="1" si="49"/>
        <v/>
      </c>
      <c r="AA170" s="129">
        <f ca="1">IF($C170="S",IF($Z170="CP",$X170,IF($Z170="RA",(($X170)*QCI!$AA$3),0)),SomaAgrup)</f>
        <v>0</v>
      </c>
      <c r="AB170" s="130">
        <f t="shared" ca="1" si="50"/>
        <v>0</v>
      </c>
      <c r="AC170" s="131" t="str">
        <f ca="1">IF($N170="","",IF(ORÇAMENTO.Descricao="","DESCRIÇÃO",IF(AND($C170="S",ORÇAMENTO.Unidade=""),"UNIDADE",IF($X170&lt;0,"VALOR NEGATIVO",IF(OR(AND(TIPOORCAMENTO="Proposto",$AG170&lt;&gt;"",$AG170&gt;0,ORÇAMENTO.CustoUnitario&gt;$AG170),AND(TIPOORCAMENTO="LICITADO",ORÇAMENTO.PrecoUnitarioLicitado&gt;$AN170)),"ACIMA REF.","")))))</f>
        <v/>
      </c>
      <c r="AD170" t="str">
        <f ca="1">IF(C170&lt;=CRONO.NivelExibicao,MAX($AD$15:OFFSET(AD170,-1,0))+IF($C170&lt;&gt;1,1,MAX(1,COUNTIF(QCI!$A$13:$A$24,OFFSET($E170,-1,0)))),"")</f>
        <v/>
      </c>
      <c r="AE170" s="7" t="str">
        <f ca="1">IF(AND($C170="S",ORÇAMENTO.CodBarra&lt;&gt;""),IF(ORÇAMENTO.Fonte="",ORÇAMENTO.CodBarra,CONCATENATE(ORÇAMENTO.Fonte," ",ORÇAMENTO.CodBarra)))</f>
        <v>COMPOSIÇÃO FNDE 20</v>
      </c>
      <c r="AF170" s="13" t="str">
        <f ca="1">IF(ISERROR(INDIRECT(ORÇAMENTO.BancoRef)),"(abra o arquivo 'Referência "&amp;Excel_BuiltIn_Database&amp;".xlsm)",IF(OR($C170&lt;&gt;"S",ORÇAMENTO.CodBarra=""),"(Sem Código)",IF(ISERROR(MATCH($AE170,INDIRECT(ORÇAMENTO.BancoRef),0)),"(Código não identificado nas referências)",MATCH($AE170,INDIRECT(ORÇAMENTO.BancoRef),0))))</f>
        <v>(abra o arquivo 'Referência 06-2024.xlsm)</v>
      </c>
      <c r="AG170" s="498">
        <f ca="1">ROUND(IF(DESONERACAO="sim",REFERENCIA.Desonerado,REFERENCIA.NaoDesonerado),2)</f>
        <v>0</v>
      </c>
      <c r="AH170" s="499">
        <f t="shared" ca="1" si="51"/>
        <v>0.2432</v>
      </c>
      <c r="AJ170" s="501"/>
      <c r="AL170" s="527"/>
      <c r="AM170" s="381">
        <f t="shared" ca="1" si="52"/>
        <v>0</v>
      </c>
      <c r="AN170" s="566">
        <f t="shared" ca="1" si="53"/>
        <v>0</v>
      </c>
    </row>
    <row r="171" spans="1:40" ht="38.25" x14ac:dyDescent="0.2">
      <c r="A171" t="str">
        <f t="shared" si="38"/>
        <v>S</v>
      </c>
      <c r="B171">
        <f t="shared" ca="1" si="39"/>
        <v>2</v>
      </c>
      <c r="C171" t="str">
        <f t="shared" ca="1" si="40"/>
        <v>S</v>
      </c>
      <c r="D171">
        <f t="shared" ca="1" si="41"/>
        <v>0</v>
      </c>
      <c r="E171">
        <f ca="1">IF($C171=1,OFFSET(E171,-1,0)+MAX(1,COUNTIF(QCI!$A$13:$A$24,OFFSET(ORÇAMENTO!E171,-1,0))),OFFSET(E171,-1,0))</f>
        <v>1</v>
      </c>
      <c r="F171">
        <f t="shared" ca="1" si="42"/>
        <v>24</v>
      </c>
      <c r="G171">
        <f t="shared" ca="1" si="43"/>
        <v>0</v>
      </c>
      <c r="H171">
        <f t="shared" ca="1" si="44"/>
        <v>0</v>
      </c>
      <c r="I171">
        <f t="shared" ca="1" si="45"/>
        <v>0</v>
      </c>
      <c r="J171">
        <f t="shared" ca="1" si="55"/>
        <v>0</v>
      </c>
      <c r="K171">
        <f ca="1">IF(OR($C171="S",$C171=0),0,MATCH(OFFSET($D171,0,$C171)+IF($C171&lt;&gt;1,1,COUNTIF(QCI!$A$13:$A$24,ORÇAMENTO!E171)),OFFSET($D171,1,$C171,ROW($C$727)-ROW($C171)),0))</f>
        <v>0</v>
      </c>
      <c r="L171" s="116" t="str">
        <f t="shared" ca="1" si="46"/>
        <v/>
      </c>
      <c r="M171" s="117" t="s">
        <v>199</v>
      </c>
      <c r="N171" s="118" t="str">
        <f t="shared" ca="1" si="47"/>
        <v>Serviço</v>
      </c>
      <c r="O171" s="119" t="str">
        <f t="shared" ca="1" si="48"/>
        <v>-</v>
      </c>
      <c r="P171" s="120" t="s">
        <v>247</v>
      </c>
      <c r="Q171" s="121" t="s">
        <v>572</v>
      </c>
      <c r="R171" s="122" t="str">
        <f ca="1">IF($C171="S",REFERENCIA.Descricao,"(digite a descrição aqui)")</f>
        <v>(abra o arquivo 'Referência 06-2024.xlsm)</v>
      </c>
      <c r="S171" s="123" t="str">
        <f ca="1">REFERENCIA.Unidade</f>
        <v>-</v>
      </c>
      <c r="T171" s="124">
        <f ca="1">OFFSET(CÁLCULO!H$15,ROW($T171)-ROW(T$15),0)</f>
        <v>33.700000000000003</v>
      </c>
      <c r="U171" s="125">
        <f t="shared" ca="1" si="54"/>
        <v>0</v>
      </c>
      <c r="V171" s="126" t="s">
        <v>156</v>
      </c>
      <c r="W171" s="124">
        <f ca="1">IF($C171="S",ROUND(IF(TIPOORCAMENTO="Proposto",ORÇAMENTO.CustoUnitario*(1+$AH171),ORÇAMENTO.PrecoUnitarioLicitado),15-13*$AF$10),0)</f>
        <v>0</v>
      </c>
      <c r="X171" s="127">
        <f ca="1">IF($C171="S",IF(Import.TipoArredondamento&lt;&gt;"TransfereGOV",VTOTAL1,SUM(OFFSET(CÁLCULO!$AI$15,ROW($X171)-ROW($X$15),1):OFFSET(CÁLCULO!$BB$15,ROW($X171)-ROW($X$15),-1))),IF($C171=0,0,ROUND(SomaAgrup,15-13*$AF$11)))</f>
        <v>0</v>
      </c>
      <c r="Y171" s="128" t="s">
        <v>245</v>
      </c>
      <c r="Z171" t="str">
        <f t="shared" ca="1" si="49"/>
        <v/>
      </c>
      <c r="AA171" s="129">
        <f ca="1">IF($C171="S",IF($Z171="CP",$X171,IF($Z171="RA",(($X171)*QCI!$AA$3),0)),SomaAgrup)</f>
        <v>0</v>
      </c>
      <c r="AB171" s="130">
        <f t="shared" ca="1" si="50"/>
        <v>0</v>
      </c>
      <c r="AC171" s="131" t="str">
        <f ca="1">IF($N171="","",IF(ORÇAMENTO.Descricao="","DESCRIÇÃO",IF(AND($C171="S",ORÇAMENTO.Unidade=""),"UNIDADE",IF($X171&lt;0,"VALOR NEGATIVO",IF(OR(AND(TIPOORCAMENTO="Proposto",$AG171&lt;&gt;"",$AG171&gt;0,ORÇAMENTO.CustoUnitario&gt;$AG171),AND(TIPOORCAMENTO="LICITADO",ORÇAMENTO.PrecoUnitarioLicitado&gt;$AN171)),"ACIMA REF.","")))))</f>
        <v/>
      </c>
      <c r="AD171" t="str">
        <f ca="1">IF(C171&lt;=CRONO.NivelExibicao,MAX($AD$15:OFFSET(AD171,-1,0))+IF($C171&lt;&gt;1,1,MAX(1,COUNTIF(QCI!$A$13:$A$24,OFFSET($E171,-1,0)))),"")</f>
        <v/>
      </c>
      <c r="AE171" s="7" t="str">
        <f ca="1">IF(AND($C171="S",ORÇAMENTO.CodBarra&lt;&gt;""),IF(ORÇAMENTO.Fonte="",ORÇAMENTO.CodBarra,CONCATENATE(ORÇAMENTO.Fonte," ",ORÇAMENTO.CodBarra)))</f>
        <v>SINAPI 94228</v>
      </c>
      <c r="AF171" s="13" t="str">
        <f ca="1">IF(ISERROR(INDIRECT(ORÇAMENTO.BancoRef)),"(abra o arquivo 'Referência "&amp;Excel_BuiltIn_Database&amp;".xlsm)",IF(OR($C171&lt;&gt;"S",ORÇAMENTO.CodBarra=""),"(Sem Código)",IF(ISERROR(MATCH($AE171,INDIRECT(ORÇAMENTO.BancoRef),0)),"(Código não identificado nas referências)",MATCH($AE171,INDIRECT(ORÇAMENTO.BancoRef),0))))</f>
        <v>(abra o arquivo 'Referência 06-2024.xlsm)</v>
      </c>
      <c r="AG171" s="498">
        <f ca="1">ROUND(IF(DESONERACAO="sim",REFERENCIA.Desonerado,REFERENCIA.NaoDesonerado),2)</f>
        <v>0</v>
      </c>
      <c r="AH171" s="499">
        <f t="shared" ca="1" si="51"/>
        <v>0.2432</v>
      </c>
      <c r="AJ171" s="501"/>
      <c r="AL171" s="527"/>
      <c r="AM171" s="381">
        <f t="shared" ca="1" si="52"/>
        <v>0</v>
      </c>
      <c r="AN171" s="566">
        <f t="shared" ca="1" si="53"/>
        <v>0</v>
      </c>
    </row>
    <row r="172" spans="1:40" ht="38.25" x14ac:dyDescent="0.2">
      <c r="A172" t="str">
        <f t="shared" si="38"/>
        <v>S</v>
      </c>
      <c r="B172">
        <f t="shared" ca="1" si="39"/>
        <v>2</v>
      </c>
      <c r="C172" t="str">
        <f t="shared" ca="1" si="40"/>
        <v>S</v>
      </c>
      <c r="D172">
        <f t="shared" ca="1" si="41"/>
        <v>0</v>
      </c>
      <c r="E172">
        <f ca="1">IF($C172=1,OFFSET(E172,-1,0)+MAX(1,COUNTIF(QCI!$A$13:$A$24,OFFSET(ORÇAMENTO!E172,-1,0))),OFFSET(E172,-1,0))</f>
        <v>1</v>
      </c>
      <c r="F172">
        <f t="shared" ca="1" si="42"/>
        <v>24</v>
      </c>
      <c r="G172">
        <f t="shared" ca="1" si="43"/>
        <v>0</v>
      </c>
      <c r="H172">
        <f t="shared" ca="1" si="44"/>
        <v>0</v>
      </c>
      <c r="I172">
        <f t="shared" ca="1" si="45"/>
        <v>0</v>
      </c>
      <c r="J172">
        <f t="shared" ca="1" si="55"/>
        <v>0</v>
      </c>
      <c r="K172">
        <f ca="1">IF(OR($C172="S",$C172=0),0,MATCH(OFFSET($D172,0,$C172)+IF($C172&lt;&gt;1,1,COUNTIF(QCI!$A$13:$A$24,ORÇAMENTO!E172)),OFFSET($D172,1,$C172,ROW($C$727)-ROW($C172)),0))</f>
        <v>0</v>
      </c>
      <c r="L172" s="116" t="str">
        <f t="shared" ca="1" si="46"/>
        <v/>
      </c>
      <c r="M172" s="117" t="s">
        <v>199</v>
      </c>
      <c r="N172" s="118" t="str">
        <f t="shared" ca="1" si="47"/>
        <v>Serviço</v>
      </c>
      <c r="O172" s="119" t="str">
        <f t="shared" ca="1" si="48"/>
        <v>-</v>
      </c>
      <c r="P172" s="120" t="s">
        <v>247</v>
      </c>
      <c r="Q172" s="121" t="s">
        <v>573</v>
      </c>
      <c r="R172" s="122" t="str">
        <f ca="1">IF($C172="S",REFERENCIA.Descricao,"(digite a descrição aqui)")</f>
        <v>(abra o arquivo 'Referência 06-2024.xlsm)</v>
      </c>
      <c r="S172" s="123" t="str">
        <f ca="1">REFERENCIA.Unidade</f>
        <v>-</v>
      </c>
      <c r="T172" s="124">
        <f ca="1">OFFSET(CÁLCULO!H$15,ROW($T172)-ROW(T$15),0)</f>
        <v>153.1</v>
      </c>
      <c r="U172" s="125">
        <f t="shared" ca="1" si="54"/>
        <v>0</v>
      </c>
      <c r="V172" s="126" t="s">
        <v>156</v>
      </c>
      <c r="W172" s="124">
        <f ca="1">IF($C172="S",ROUND(IF(TIPOORCAMENTO="Proposto",ORÇAMENTO.CustoUnitario*(1+$AH172),ORÇAMENTO.PrecoUnitarioLicitado),15-13*$AF$10),0)</f>
        <v>0</v>
      </c>
      <c r="X172" s="127">
        <f ca="1">IF($C172="S",IF(Import.TipoArredondamento&lt;&gt;"TransfereGOV",VTOTAL1,SUM(OFFSET(CÁLCULO!$AI$15,ROW($X172)-ROW($X$15),1):OFFSET(CÁLCULO!$BB$15,ROW($X172)-ROW($X$15),-1))),IF($C172=0,0,ROUND(SomaAgrup,15-13*$AF$11)))</f>
        <v>0</v>
      </c>
      <c r="Y172" s="128" t="s">
        <v>245</v>
      </c>
      <c r="Z172" t="str">
        <f t="shared" ca="1" si="49"/>
        <v/>
      </c>
      <c r="AA172" s="129">
        <f ca="1">IF($C172="S",IF($Z172="CP",$X172,IF($Z172="RA",(($X172)*QCI!$AA$3),0)),SomaAgrup)</f>
        <v>0</v>
      </c>
      <c r="AB172" s="130">
        <f t="shared" ca="1" si="50"/>
        <v>0</v>
      </c>
      <c r="AC172" s="131" t="str">
        <f ca="1">IF($N172="","",IF(ORÇAMENTO.Descricao="","DESCRIÇÃO",IF(AND($C172="S",ORÇAMENTO.Unidade=""),"UNIDADE",IF($X172&lt;0,"VALOR NEGATIVO",IF(OR(AND(TIPOORCAMENTO="Proposto",$AG172&lt;&gt;"",$AG172&gt;0,ORÇAMENTO.CustoUnitario&gt;$AG172),AND(TIPOORCAMENTO="LICITADO",ORÇAMENTO.PrecoUnitarioLicitado&gt;$AN172)),"ACIMA REF.","")))))</f>
        <v/>
      </c>
      <c r="AD172" t="str">
        <f ca="1">IF(C172&lt;=CRONO.NivelExibicao,MAX($AD$15:OFFSET(AD172,-1,0))+IF($C172&lt;&gt;1,1,MAX(1,COUNTIF(QCI!$A$13:$A$24,OFFSET($E172,-1,0)))),"")</f>
        <v/>
      </c>
      <c r="AE172" s="7" t="str">
        <f ca="1">IF(AND($C172="S",ORÇAMENTO.CodBarra&lt;&gt;""),IF(ORÇAMENTO.Fonte="",ORÇAMENTO.CodBarra,CONCATENATE(ORÇAMENTO.Fonte," ",ORÇAMENTO.CodBarra)))</f>
        <v>SINAPI 94229</v>
      </c>
      <c r="AF172" s="13" t="str">
        <f ca="1">IF(ISERROR(INDIRECT(ORÇAMENTO.BancoRef)),"(abra o arquivo 'Referência "&amp;Excel_BuiltIn_Database&amp;".xlsm)",IF(OR($C172&lt;&gt;"S",ORÇAMENTO.CodBarra=""),"(Sem Código)",IF(ISERROR(MATCH($AE172,INDIRECT(ORÇAMENTO.BancoRef),0)),"(Código não identificado nas referências)",MATCH($AE172,INDIRECT(ORÇAMENTO.BancoRef),0))))</f>
        <v>(abra o arquivo 'Referência 06-2024.xlsm)</v>
      </c>
      <c r="AG172" s="498">
        <f ca="1">ROUND(IF(DESONERACAO="sim",REFERENCIA.Desonerado,REFERENCIA.NaoDesonerado),2)</f>
        <v>0</v>
      </c>
      <c r="AH172" s="499">
        <f t="shared" ca="1" si="51"/>
        <v>0.2432</v>
      </c>
      <c r="AJ172" s="501"/>
      <c r="AL172" s="527"/>
      <c r="AM172" s="381">
        <f t="shared" ca="1" si="52"/>
        <v>0</v>
      </c>
      <c r="AN172" s="566">
        <f t="shared" ca="1" si="53"/>
        <v>0</v>
      </c>
    </row>
    <row r="173" spans="1:40" ht="25.5" x14ac:dyDescent="0.2">
      <c r="A173" t="str">
        <f t="shared" si="38"/>
        <v>S</v>
      </c>
      <c r="B173">
        <f t="shared" ca="1" si="39"/>
        <v>2</v>
      </c>
      <c r="C173" t="str">
        <f t="shared" ca="1" si="40"/>
        <v>S</v>
      </c>
      <c r="D173">
        <f t="shared" ca="1" si="41"/>
        <v>0</v>
      </c>
      <c r="E173">
        <f ca="1">IF($C173=1,OFFSET(E173,-1,0)+MAX(1,COUNTIF(QCI!$A$13:$A$24,OFFSET(ORÇAMENTO!E173,-1,0))),OFFSET(E173,-1,0))</f>
        <v>1</v>
      </c>
      <c r="F173">
        <f t="shared" ca="1" si="42"/>
        <v>24</v>
      </c>
      <c r="G173">
        <f t="shared" ca="1" si="43"/>
        <v>0</v>
      </c>
      <c r="H173">
        <f t="shared" ca="1" si="44"/>
        <v>0</v>
      </c>
      <c r="I173">
        <f t="shared" ca="1" si="45"/>
        <v>0</v>
      </c>
      <c r="J173">
        <f t="shared" ca="1" si="55"/>
        <v>0</v>
      </c>
      <c r="K173">
        <f ca="1">IF(OR($C173="S",$C173=0),0,MATCH(OFFSET($D173,0,$C173)+IF($C173&lt;&gt;1,1,COUNTIF(QCI!$A$13:$A$24,ORÇAMENTO!E173)),OFFSET($D173,1,$C173,ROW($C$727)-ROW($C173)),0))</f>
        <v>0</v>
      </c>
      <c r="L173" s="116" t="str">
        <f t="shared" ca="1" si="46"/>
        <v/>
      </c>
      <c r="M173" s="117" t="s">
        <v>199</v>
      </c>
      <c r="N173" s="118" t="str">
        <f t="shared" ca="1" si="47"/>
        <v>Serviço</v>
      </c>
      <c r="O173" s="119" t="str">
        <f t="shared" ca="1" si="48"/>
        <v>-</v>
      </c>
      <c r="P173" s="120" t="s">
        <v>458</v>
      </c>
      <c r="Q173" s="121" t="s">
        <v>574</v>
      </c>
      <c r="R173" s="122" t="str">
        <f ca="1">IF($C173="S",REFERENCIA.Descricao,"(digite a descrição aqui)")</f>
        <v>(abra o arquivo 'Referência 06-2024.xlsm)</v>
      </c>
      <c r="S173" s="123" t="str">
        <f ca="1">REFERENCIA.Unidade</f>
        <v>-</v>
      </c>
      <c r="T173" s="124">
        <f ca="1">OFFSET(CÁLCULO!H$15,ROW($T173)-ROW(T$15),0)</f>
        <v>86.02</v>
      </c>
      <c r="U173" s="125">
        <f t="shared" ca="1" si="54"/>
        <v>0</v>
      </c>
      <c r="V173" s="126" t="s">
        <v>156</v>
      </c>
      <c r="W173" s="124">
        <f ca="1">IF($C173="S",ROUND(IF(TIPOORCAMENTO="Proposto",ORÇAMENTO.CustoUnitario*(1+$AH173),ORÇAMENTO.PrecoUnitarioLicitado),15-13*$AF$10),0)</f>
        <v>0</v>
      </c>
      <c r="X173" s="127">
        <f ca="1">IF($C173="S",IF(Import.TipoArredondamento&lt;&gt;"TransfereGOV",VTOTAL1,SUM(OFFSET(CÁLCULO!$AI$15,ROW($X173)-ROW($X$15),1):OFFSET(CÁLCULO!$BB$15,ROW($X173)-ROW($X$15),-1))),IF($C173=0,0,ROUND(SomaAgrup,15-13*$AF$11)))</f>
        <v>0</v>
      </c>
      <c r="Y173" s="128" t="s">
        <v>245</v>
      </c>
      <c r="Z173" t="str">
        <f t="shared" ca="1" si="49"/>
        <v/>
      </c>
      <c r="AA173" s="129">
        <f ca="1">IF($C173="S",IF($Z173="CP",$X173,IF($Z173="RA",(($X173)*QCI!$AA$3),0)),SomaAgrup)</f>
        <v>0</v>
      </c>
      <c r="AB173" s="130">
        <f t="shared" ca="1" si="50"/>
        <v>0</v>
      </c>
      <c r="AC173" s="131" t="str">
        <f ca="1">IF($N173="","",IF(ORÇAMENTO.Descricao="","DESCRIÇÃO",IF(AND($C173="S",ORÇAMENTO.Unidade=""),"UNIDADE",IF($X173&lt;0,"VALOR NEGATIVO",IF(OR(AND(TIPOORCAMENTO="Proposto",$AG173&lt;&gt;"",$AG173&gt;0,ORÇAMENTO.CustoUnitario&gt;$AG173),AND(TIPOORCAMENTO="LICITADO",ORÇAMENTO.PrecoUnitarioLicitado&gt;$AN173)),"ACIMA REF.","")))))</f>
        <v/>
      </c>
      <c r="AD173" t="str">
        <f ca="1">IF(C173&lt;=CRONO.NivelExibicao,MAX($AD$15:OFFSET(AD173,-1,0))+IF($C173&lt;&gt;1,1,MAX(1,COUNTIF(QCI!$A$13:$A$24,OFFSET($E173,-1,0)))),"")</f>
        <v/>
      </c>
      <c r="AE173" s="7" t="str">
        <f ca="1">IF(AND($C173="S",ORÇAMENTO.CodBarra&lt;&gt;""),IF(ORÇAMENTO.Fonte="",ORÇAMENTO.CodBarra,CONCATENATE(ORÇAMENTO.Fonte," ",ORÇAMENTO.CodBarra)))</f>
        <v>COMPOSIÇÃO FNDE 65</v>
      </c>
      <c r="AF173" s="13" t="str">
        <f ca="1">IF(ISERROR(INDIRECT(ORÇAMENTO.BancoRef)),"(abra o arquivo 'Referência "&amp;Excel_BuiltIn_Database&amp;".xlsm)",IF(OR($C173&lt;&gt;"S",ORÇAMENTO.CodBarra=""),"(Sem Código)",IF(ISERROR(MATCH($AE173,INDIRECT(ORÇAMENTO.BancoRef),0)),"(Código não identificado nas referências)",MATCH($AE173,INDIRECT(ORÇAMENTO.BancoRef),0))))</f>
        <v>(abra o arquivo 'Referência 06-2024.xlsm)</v>
      </c>
      <c r="AG173" s="498">
        <f ca="1">ROUND(IF(DESONERACAO="sim",REFERENCIA.Desonerado,REFERENCIA.NaoDesonerado),2)</f>
        <v>0</v>
      </c>
      <c r="AH173" s="499">
        <f t="shared" ca="1" si="51"/>
        <v>0.2432</v>
      </c>
      <c r="AJ173" s="501"/>
      <c r="AL173" s="527"/>
      <c r="AM173" s="381">
        <f t="shared" ca="1" si="52"/>
        <v>0</v>
      </c>
      <c r="AN173" s="566">
        <f t="shared" ca="1" si="53"/>
        <v>0</v>
      </c>
    </row>
    <row r="174" spans="1:40" ht="25.5" x14ac:dyDescent="0.2">
      <c r="A174" t="str">
        <f t="shared" si="38"/>
        <v>S</v>
      </c>
      <c r="B174">
        <f t="shared" ca="1" si="39"/>
        <v>2</v>
      </c>
      <c r="C174" t="str">
        <f t="shared" ca="1" si="40"/>
        <v>S</v>
      </c>
      <c r="D174">
        <f t="shared" ca="1" si="41"/>
        <v>0</v>
      </c>
      <c r="E174">
        <f ca="1">IF($C174=1,OFFSET(E174,-1,0)+MAX(1,COUNTIF(QCI!$A$13:$A$24,OFFSET(ORÇAMENTO!E174,-1,0))),OFFSET(E174,-1,0))</f>
        <v>1</v>
      </c>
      <c r="F174">
        <f t="shared" ca="1" si="42"/>
        <v>24</v>
      </c>
      <c r="G174">
        <f t="shared" ca="1" si="43"/>
        <v>0</v>
      </c>
      <c r="H174">
        <f t="shared" ca="1" si="44"/>
        <v>0</v>
      </c>
      <c r="I174">
        <f t="shared" ca="1" si="45"/>
        <v>0</v>
      </c>
      <c r="J174">
        <f t="shared" ca="1" si="55"/>
        <v>0</v>
      </c>
      <c r="K174">
        <f ca="1">IF(OR($C174="S",$C174=0),0,MATCH(OFFSET($D174,0,$C174)+IF($C174&lt;&gt;1,1,COUNTIF(QCI!$A$13:$A$24,ORÇAMENTO!E174)),OFFSET($D174,1,$C174,ROW($C$727)-ROW($C174)),0))</f>
        <v>0</v>
      </c>
      <c r="L174" s="116" t="str">
        <f t="shared" ca="1" si="46"/>
        <v/>
      </c>
      <c r="M174" s="117" t="s">
        <v>199</v>
      </c>
      <c r="N174" s="118" t="str">
        <f t="shared" ca="1" si="47"/>
        <v>Serviço</v>
      </c>
      <c r="O174" s="119" t="str">
        <f t="shared" ca="1" si="48"/>
        <v>-</v>
      </c>
      <c r="P174" s="120" t="s">
        <v>247</v>
      </c>
      <c r="Q174" s="121" t="s">
        <v>575</v>
      </c>
      <c r="R174" s="122" t="str">
        <f ca="1">IF($C174="S",REFERENCIA.Descricao,"(digite a descrição aqui)")</f>
        <v>(abra o arquivo 'Referência 06-2024.xlsm)</v>
      </c>
      <c r="S174" s="123" t="str">
        <f ca="1">REFERENCIA.Unidade</f>
        <v>-</v>
      </c>
      <c r="T174" s="124">
        <f ca="1">OFFSET(CÁLCULO!H$15,ROW($T174)-ROW(T$15),0)</f>
        <v>311.35000000000002</v>
      </c>
      <c r="U174" s="125">
        <f t="shared" ca="1" si="54"/>
        <v>0</v>
      </c>
      <c r="V174" s="126" t="s">
        <v>156</v>
      </c>
      <c r="W174" s="124">
        <f ca="1">IF($C174="S",ROUND(IF(TIPOORCAMENTO="Proposto",ORÇAMENTO.CustoUnitario*(1+$AH174),ORÇAMENTO.PrecoUnitarioLicitado),15-13*$AF$10),0)</f>
        <v>0</v>
      </c>
      <c r="X174" s="127">
        <f ca="1">IF($C174="S",IF(Import.TipoArredondamento&lt;&gt;"TransfereGOV",VTOTAL1,SUM(OFFSET(CÁLCULO!$AI$15,ROW($X174)-ROW($X$15),1):OFFSET(CÁLCULO!$BB$15,ROW($X174)-ROW($X$15),-1))),IF($C174=0,0,ROUND(SomaAgrup,15-13*$AF$11)))</f>
        <v>0</v>
      </c>
      <c r="Y174" s="128" t="s">
        <v>245</v>
      </c>
      <c r="Z174" t="str">
        <f t="shared" ca="1" si="49"/>
        <v/>
      </c>
      <c r="AA174" s="129">
        <f ca="1">IF($C174="S",IF($Z174="CP",$X174,IF($Z174="RA",(($X174)*QCI!$AA$3),0)),SomaAgrup)</f>
        <v>0</v>
      </c>
      <c r="AB174" s="130">
        <f t="shared" ca="1" si="50"/>
        <v>0</v>
      </c>
      <c r="AC174" s="131" t="str">
        <f ca="1">IF($N174="","",IF(ORÇAMENTO.Descricao="","DESCRIÇÃO",IF(AND($C174="S",ORÇAMENTO.Unidade=""),"UNIDADE",IF($X174&lt;0,"VALOR NEGATIVO",IF(OR(AND(TIPOORCAMENTO="Proposto",$AG174&lt;&gt;"",$AG174&gt;0,ORÇAMENTO.CustoUnitario&gt;$AG174),AND(TIPOORCAMENTO="LICITADO",ORÇAMENTO.PrecoUnitarioLicitado&gt;$AN174)),"ACIMA REF.","")))))</f>
        <v/>
      </c>
      <c r="AD174" t="str">
        <f ca="1">IF(C174&lt;=CRONO.NivelExibicao,MAX($AD$15:OFFSET(AD174,-1,0))+IF($C174&lt;&gt;1,1,MAX(1,COUNTIF(QCI!$A$13:$A$24,OFFSET($E174,-1,0)))),"")</f>
        <v/>
      </c>
      <c r="AE174" s="7" t="str">
        <f ca="1">IF(AND($C174="S",ORÇAMENTO.CodBarra&lt;&gt;""),IF(ORÇAMENTO.Fonte="",ORÇAMENTO.CodBarra,CONCATENATE(ORÇAMENTO.Fonte," ",ORÇAMENTO.CodBarra)))</f>
        <v>SINAPI 100327</v>
      </c>
      <c r="AF174" s="13" t="str">
        <f ca="1">IF(ISERROR(INDIRECT(ORÇAMENTO.BancoRef)),"(abra o arquivo 'Referência "&amp;Excel_BuiltIn_Database&amp;".xlsm)",IF(OR($C174&lt;&gt;"S",ORÇAMENTO.CodBarra=""),"(Sem Código)",IF(ISERROR(MATCH($AE174,INDIRECT(ORÇAMENTO.BancoRef),0)),"(Código não identificado nas referências)",MATCH($AE174,INDIRECT(ORÇAMENTO.BancoRef),0))))</f>
        <v>(abra o arquivo 'Referência 06-2024.xlsm)</v>
      </c>
      <c r="AG174" s="498">
        <f ca="1">ROUND(IF(DESONERACAO="sim",REFERENCIA.Desonerado,REFERENCIA.NaoDesonerado),2)</f>
        <v>0</v>
      </c>
      <c r="AH174" s="499">
        <f t="shared" ca="1" si="51"/>
        <v>0.2432</v>
      </c>
      <c r="AJ174" s="501"/>
      <c r="AL174" s="527"/>
      <c r="AM174" s="381">
        <f t="shared" ca="1" si="52"/>
        <v>0</v>
      </c>
      <c r="AN174" s="566">
        <f t="shared" ca="1" si="53"/>
        <v>0</v>
      </c>
    </row>
    <row r="175" spans="1:40" x14ac:dyDescent="0.2">
      <c r="A175" t="str">
        <f t="shared" si="38"/>
        <v>S</v>
      </c>
      <c r="B175">
        <f t="shared" ca="1" si="39"/>
        <v>2</v>
      </c>
      <c r="C175" t="str">
        <f t="shared" ca="1" si="40"/>
        <v>S</v>
      </c>
      <c r="D175">
        <f t="shared" ca="1" si="41"/>
        <v>0</v>
      </c>
      <c r="E175">
        <f ca="1">IF($C175=1,OFFSET(E175,-1,0)+MAX(1,COUNTIF(QCI!$A$13:$A$24,OFFSET(ORÇAMENTO!E175,-1,0))),OFFSET(E175,-1,0))</f>
        <v>1</v>
      </c>
      <c r="F175">
        <f t="shared" ca="1" si="42"/>
        <v>24</v>
      </c>
      <c r="G175">
        <f t="shared" ca="1" si="43"/>
        <v>0</v>
      </c>
      <c r="H175">
        <f t="shared" ca="1" si="44"/>
        <v>0</v>
      </c>
      <c r="I175">
        <f t="shared" ca="1" si="45"/>
        <v>0</v>
      </c>
      <c r="J175">
        <f t="shared" ca="1" si="55"/>
        <v>0</v>
      </c>
      <c r="K175">
        <f ca="1">IF(OR($C175="S",$C175=0),0,MATCH(OFFSET($D175,0,$C175)+IF($C175&lt;&gt;1,1,COUNTIF(QCI!$A$13:$A$24,ORÇAMENTO!E175)),OFFSET($D175,1,$C175,ROW($C$727)-ROW($C175)),0))</f>
        <v>0</v>
      </c>
      <c r="L175" s="116" t="str">
        <f t="shared" ca="1" si="46"/>
        <v/>
      </c>
      <c r="M175" s="117" t="s">
        <v>199</v>
      </c>
      <c r="N175" s="118" t="str">
        <f t="shared" ca="1" si="47"/>
        <v>Serviço</v>
      </c>
      <c r="O175" s="119" t="str">
        <f t="shared" ca="1" si="48"/>
        <v>-</v>
      </c>
      <c r="P175" s="120" t="s">
        <v>247</v>
      </c>
      <c r="Q175" s="121" t="s">
        <v>576</v>
      </c>
      <c r="R175" s="122" t="str">
        <f ca="1">IF($C175="S",REFERENCIA.Descricao,"(digite a descrição aqui)")</f>
        <v>(abra o arquivo 'Referência 06-2024.xlsm)</v>
      </c>
      <c r="S175" s="123" t="str">
        <f ca="1">REFERENCIA.Unidade</f>
        <v>-</v>
      </c>
      <c r="T175" s="124">
        <f ca="1">OFFSET(CÁLCULO!H$15,ROW($T175)-ROW(T$15),0)</f>
        <v>266.39999999999998</v>
      </c>
      <c r="U175" s="125">
        <f t="shared" ca="1" si="54"/>
        <v>0</v>
      </c>
      <c r="V175" s="126" t="s">
        <v>156</v>
      </c>
      <c r="W175" s="124">
        <f ca="1">IF($C175="S",ROUND(IF(TIPOORCAMENTO="Proposto",ORÇAMENTO.CustoUnitario*(1+$AH175),ORÇAMENTO.PrecoUnitarioLicitado),15-13*$AF$10),0)</f>
        <v>0</v>
      </c>
      <c r="X175" s="127">
        <f ca="1">IF($C175="S",IF(Import.TipoArredondamento&lt;&gt;"TransfereGOV",VTOTAL1,SUM(OFFSET(CÁLCULO!$AI$15,ROW($X175)-ROW($X$15),1):OFFSET(CÁLCULO!$BB$15,ROW($X175)-ROW($X$15),-1))),IF($C175=0,0,ROUND(SomaAgrup,15-13*$AF$11)))</f>
        <v>0</v>
      </c>
      <c r="Y175" s="128" t="s">
        <v>245</v>
      </c>
      <c r="Z175" t="str">
        <f t="shared" ca="1" si="49"/>
        <v/>
      </c>
      <c r="AA175" s="129">
        <f ca="1">IF($C175="S",IF($Z175="CP",$X175,IF($Z175="RA",(($X175)*QCI!$AA$3),0)),SomaAgrup)</f>
        <v>0</v>
      </c>
      <c r="AB175" s="130">
        <f t="shared" ca="1" si="50"/>
        <v>0</v>
      </c>
      <c r="AC175" s="131" t="str">
        <f ca="1">IF($N175="","",IF(ORÇAMENTO.Descricao="","DESCRIÇÃO",IF(AND($C175="S",ORÇAMENTO.Unidade=""),"UNIDADE",IF($X175&lt;0,"VALOR NEGATIVO",IF(OR(AND(TIPOORCAMENTO="Proposto",$AG175&lt;&gt;"",$AG175&gt;0,ORÇAMENTO.CustoUnitario&gt;$AG175),AND(TIPOORCAMENTO="LICITADO",ORÇAMENTO.PrecoUnitarioLicitado&gt;$AN175)),"ACIMA REF.","")))))</f>
        <v/>
      </c>
      <c r="AD175" t="str">
        <f ca="1">IF(C175&lt;=CRONO.NivelExibicao,MAX($AD$15:OFFSET(AD175,-1,0))+IF($C175&lt;&gt;1,1,MAX(1,COUNTIF(QCI!$A$13:$A$24,OFFSET($E175,-1,0)))),"")</f>
        <v/>
      </c>
      <c r="AE175" s="7" t="str">
        <f ca="1">IF(AND($C175="S",ORÇAMENTO.CodBarra&lt;&gt;""),IF(ORÇAMENTO.Fonte="",ORÇAMENTO.CodBarra,CONCATENATE(ORÇAMENTO.Fonte," ",ORÇAMENTO.CodBarra)))</f>
        <v>SINAPI 101979</v>
      </c>
      <c r="AF175" s="13" t="str">
        <f ca="1">IF(ISERROR(INDIRECT(ORÇAMENTO.BancoRef)),"(abra o arquivo 'Referência "&amp;Excel_BuiltIn_Database&amp;".xlsm)",IF(OR($C175&lt;&gt;"S",ORÇAMENTO.CodBarra=""),"(Sem Código)",IF(ISERROR(MATCH($AE175,INDIRECT(ORÇAMENTO.BancoRef),0)),"(Código não identificado nas referências)",MATCH($AE175,INDIRECT(ORÇAMENTO.BancoRef),0))))</f>
        <v>(abra o arquivo 'Referência 06-2024.xlsm)</v>
      </c>
      <c r="AG175" s="498">
        <f ca="1">ROUND(IF(DESONERACAO="sim",REFERENCIA.Desonerado,REFERENCIA.NaoDesonerado),2)</f>
        <v>0</v>
      </c>
      <c r="AH175" s="499">
        <f t="shared" ca="1" si="51"/>
        <v>0.2432</v>
      </c>
      <c r="AJ175" s="501"/>
      <c r="AL175" s="527"/>
      <c r="AM175" s="381">
        <f t="shared" ca="1" si="52"/>
        <v>0</v>
      </c>
      <c r="AN175" s="566">
        <f t="shared" ca="1" si="53"/>
        <v>0</v>
      </c>
    </row>
    <row r="176" spans="1:40" x14ac:dyDescent="0.2">
      <c r="A176">
        <f t="shared" ref="A176:A471" si="56">CHOOSE(1+LOG(1+2*(ORÇAMENTO.Nivel="Meta")+4*(ORÇAMENTO.Nivel="Nível 2")+8*(ORÇAMENTO.Nivel="Nível 3")+16*(ORÇAMENTO.Nivel="Nível 4")+32*(ORÇAMENTO.Nivel="Serviço"),2),0,1,2,3,4,"S")</f>
        <v>2</v>
      </c>
      <c r="B176">
        <f t="shared" ref="B176:B471" ca="1" si="57">IF(OR(C176="s",C176=0),OFFSET(B176,-1,0),C176)</f>
        <v>2</v>
      </c>
      <c r="C176">
        <f t="shared" ref="C176:C471" ca="1" si="58">IF(OFFSET(C176,-1,0)="L",1,IF(OFFSET(C176,-1,0)=1,2,IF(OR(A176="s",A176=0),"S",IF(AND(OFFSET(C176,-1,0)=2,A176=4),3,IF(AND(OR(OFFSET(C176,-1,0)="s",OFFSET(C176,-1,0)=0),A176&lt;&gt;"s",A176&gt;OFFSET(B176,-1,0)),OFFSET(B176,-1,0),A176)))))</f>
        <v>2</v>
      </c>
      <c r="D176">
        <f t="shared" ref="D176:D471" ca="1" si="59">IF(OR(C176="S",C176=0),0,IF(ISERROR(K176),J176,SMALL(J176:K176,1)))</f>
        <v>8</v>
      </c>
      <c r="E176">
        <f ca="1">IF($C176=1,OFFSET(E176,-1,0)+MAX(1,COUNTIF(QCI!$A$13:$A$24,OFFSET(ORÇAMENTO!E176,-1,0))),OFFSET(E176,-1,0))</f>
        <v>1</v>
      </c>
      <c r="F176">
        <f t="shared" ref="F176:F471" ca="1" si="60">IF($C176=1,0,IF($C176=2,OFFSET(F176,-1,0)+1,OFFSET(F176,-1,0)))</f>
        <v>25</v>
      </c>
      <c r="G176">
        <f t="shared" ref="G176:G471" ca="1" si="61">IF(AND($C176&lt;=2,$C176&lt;&gt;0),0,IF($C176=3,OFFSET(G176,-1,0)+1,OFFSET(G176,-1,0)))</f>
        <v>0</v>
      </c>
      <c r="H176">
        <f t="shared" ref="H176:H471" ca="1" si="62">IF(AND($C176&lt;=3,$C176&lt;&gt;0),0,IF($C176=4,OFFSET(H176,-1,0)+1,OFFSET(H176,-1,0)))</f>
        <v>0</v>
      </c>
      <c r="I176">
        <f t="shared" ref="I176:I471" ca="1" si="63">IF(AND($C176&lt;=4,$C176&lt;&gt;0),0,IF(AND($C176="S",$X176&gt;0),OFFSET(I176,-1,0)+1,OFFSET(I176,-1,0)))</f>
        <v>0</v>
      </c>
      <c r="J176">
        <f t="shared" ca="1" si="55"/>
        <v>551</v>
      </c>
      <c r="K176">
        <f ca="1">IF(OR($C176="S",$C176=0),0,MATCH(OFFSET($D176,0,$C176)+IF($C176&lt;&gt;1,1,COUNTIF(QCI!$A$13:$A$24,ORÇAMENTO!E176)),OFFSET($D176,1,$C176,ROW($C$727)-ROW($C176)),0))</f>
        <v>8</v>
      </c>
      <c r="L176" s="116" t="str">
        <f t="shared" ref="L176:L471" ca="1" si="64">IF(OR($X176&gt;0,$C176=1,$C176=2,$C176=3,$C176=4),"F","")</f>
        <v>F</v>
      </c>
      <c r="M176" s="117" t="s">
        <v>196</v>
      </c>
      <c r="N176" s="118" t="str">
        <f t="shared" ref="N176:N471" ca="1" si="65">CHOOSE(1+LOG(1+2*(C176=1)+4*(C176=2)+8*(C176=3)+16*(C176=4)+32*(C176="S"),2),"","Meta","Nível 2","Nível 3","Nível 4","Serviço")</f>
        <v>Nível 2</v>
      </c>
      <c r="O176" s="119" t="str">
        <f t="shared" ref="O176:O471" ca="1" si="66">IF(OR($C176=0,$L176=""),"-",CONCATENATE(E176&amp;".",IF(AND($A$5&gt;=2,$C176&gt;=2),F176&amp;".",""),IF(AND($A$5&gt;=3,$C176&gt;=3),G176&amp;".",""),IF(AND($A$5&gt;=4,$C176&gt;=4),H176&amp;".",""),IF($C176="S",I176&amp;".","")))</f>
        <v>1.25.</v>
      </c>
      <c r="P176" s="120" t="s">
        <v>247</v>
      </c>
      <c r="Q176" s="121"/>
      <c r="R176" s="122" t="s">
        <v>577</v>
      </c>
      <c r="S176" s="123" t="str">
        <f ca="1">REFERENCIA.Unidade</f>
        <v>-</v>
      </c>
      <c r="T176" s="124">
        <f ca="1">OFFSET(CÁLCULO!H$15,ROW($T176)-ROW(T$15),0)</f>
        <v>0</v>
      </c>
      <c r="U176" s="125">
        <f t="shared" ca="1" si="54"/>
        <v>0</v>
      </c>
      <c r="V176" s="126" t="s">
        <v>156</v>
      </c>
      <c r="W176" s="124">
        <f ca="1">IF($C176="S",ROUND(IF(TIPOORCAMENTO="Proposto",ORÇAMENTO.CustoUnitario*(1+$AH176),ORÇAMENTO.PrecoUnitarioLicitado),15-13*$AF$10),0)</f>
        <v>0</v>
      </c>
      <c r="X176" s="127">
        <f ca="1">IF($C176="S",IF(Import.TipoArredondamento&lt;&gt;"TransfereGOV",VTOTAL1,SUM(OFFSET(CÁLCULO!$AI$15,ROW($X176)-ROW($X$15),1):OFFSET(CÁLCULO!$BB$15,ROW($X176)-ROW($X$15),-1))),IF($C176=0,0,ROUND(SomaAgrup,15-13*$AF$11)))</f>
        <v>0</v>
      </c>
      <c r="Y176" s="128" t="s">
        <v>245</v>
      </c>
      <c r="Z176" t="str">
        <f t="shared" ref="Z176:Z471" ca="1" si="67">IF(AND($C176="S",$X176&gt;0),IF(ISBLANK($Y176),"RA",LEFT($Y176,2)),"")</f>
        <v/>
      </c>
      <c r="AA176" s="129">
        <f ca="1">IF($C176="S",IF($Z176="CP",$X176,IF($Z176="RA",(($X176)*QCI!$AA$3),0)),SomaAgrup)</f>
        <v>0</v>
      </c>
      <c r="AB176" s="130">
        <f t="shared" ref="AB176:AB471" ca="1" si="68">IF($C176="S",IF($Z176="OU",ROUND($X176,2),0),SomaAgrup)</f>
        <v>0</v>
      </c>
      <c r="AC176" s="131" t="str">
        <f ca="1">IF($N176="","",IF(ORÇAMENTO.Descricao="","DESCRIÇÃO",IF(AND($C176="S",ORÇAMENTO.Unidade=""),"UNIDADE",IF($X176&lt;0,"VALOR NEGATIVO",IF(OR(AND(TIPOORCAMENTO="Proposto",$AG176&lt;&gt;"",$AG176&gt;0,ORÇAMENTO.CustoUnitario&gt;$AG176),AND(TIPOORCAMENTO="LICITADO",ORÇAMENTO.PrecoUnitarioLicitado&gt;$AN176)),"ACIMA REF.","")))))</f>
        <v/>
      </c>
      <c r="AD176">
        <f ca="1">IF(C176&lt;=CRONO.NivelExibicao,MAX($AD$15:OFFSET(AD176,-1,0))+IF($C176&lt;&gt;1,1,MAX(1,COUNTIF(QCI!$A$13:$A$24,OFFSET($E176,-1,0)))),"")</f>
        <v>26</v>
      </c>
      <c r="AE176" s="7" t="b">
        <f ca="1">IF(AND($C176="S",ORÇAMENTO.CodBarra&lt;&gt;""),IF(ORÇAMENTO.Fonte="",ORÇAMENTO.CodBarra,CONCATENATE(ORÇAMENTO.Fonte," ",ORÇAMENTO.CodBarra)))</f>
        <v>0</v>
      </c>
      <c r="AF176" s="13" t="str">
        <f ca="1">IF(ISERROR(INDIRECT(ORÇAMENTO.BancoRef)),"(abra o arquivo 'Referência "&amp;Excel_BuiltIn_Database&amp;".xlsm)",IF(OR($C176&lt;&gt;"S",ORÇAMENTO.CodBarra=""),"(Sem Código)",IF(ISERROR(MATCH($AE176,INDIRECT(ORÇAMENTO.BancoRef),0)),"(Código não identificado nas referências)",MATCH($AE176,INDIRECT(ORÇAMENTO.BancoRef),0))))</f>
        <v>(abra o arquivo 'Referência 06-2024.xlsm)</v>
      </c>
      <c r="AG176" s="498">
        <f ca="1">ROUND(IF(DESONERACAO="sim",REFERENCIA.Desonerado,REFERENCIA.NaoDesonerado),2)</f>
        <v>0</v>
      </c>
      <c r="AH176" s="499">
        <f t="shared" ref="AH176:AH471" ca="1" si="69">ROUND(IF(ISNUMBER(ORÇAMENTO.OpcaoBDI),ORÇAMENTO.OpcaoBDI,IF(LEFT(ORÇAMENTO.OpcaoBDI,3)="BDI",HLOOKUP(ORÇAMENTO.OpcaoBDI,$F$4:$H$5,2,FALSE),0)),15-11*$AF$9)</f>
        <v>0.2432</v>
      </c>
      <c r="AJ176" s="501"/>
      <c r="AL176" s="527"/>
      <c r="AM176" s="381">
        <f t="shared" ref="AM176:AM471" ca="1" si="70">$X176</f>
        <v>0</v>
      </c>
      <c r="AN176" s="566">
        <f t="shared" ref="AN176:AN471" ca="1" si="71">ROUND(ORÇAMENTO.CustoUnitario*(1+$AH176),2)</f>
        <v>0</v>
      </c>
    </row>
    <row r="177" spans="1:40" ht="25.5" x14ac:dyDescent="0.2">
      <c r="A177" t="str">
        <f t="shared" si="56"/>
        <v>S</v>
      </c>
      <c r="B177">
        <f t="shared" ca="1" si="57"/>
        <v>2</v>
      </c>
      <c r="C177" t="str">
        <f t="shared" ca="1" si="58"/>
        <v>S</v>
      </c>
      <c r="D177">
        <f t="shared" ca="1" si="59"/>
        <v>0</v>
      </c>
      <c r="E177">
        <f ca="1">IF($C177=1,OFFSET(E177,-1,0)+MAX(1,COUNTIF(QCI!$A$13:$A$24,OFFSET(ORÇAMENTO!E177,-1,0))),OFFSET(E177,-1,0))</f>
        <v>1</v>
      </c>
      <c r="F177">
        <f t="shared" ca="1" si="60"/>
        <v>25</v>
      </c>
      <c r="G177">
        <f t="shared" ca="1" si="61"/>
        <v>0</v>
      </c>
      <c r="H177">
        <f t="shared" ca="1" si="62"/>
        <v>0</v>
      </c>
      <c r="I177">
        <f t="shared" ca="1" si="63"/>
        <v>0</v>
      </c>
      <c r="J177">
        <f t="shared" ca="1" si="55"/>
        <v>0</v>
      </c>
      <c r="K177">
        <f ca="1">IF(OR($C177="S",$C177=0),0,MATCH(OFFSET($D177,0,$C177)+IF($C177&lt;&gt;1,1,COUNTIF(QCI!$A$13:$A$24,ORÇAMENTO!E177)),OFFSET($D177,1,$C177,ROW($C$727)-ROW($C177)),0))</f>
        <v>0</v>
      </c>
      <c r="L177" s="116" t="str">
        <f t="shared" ca="1" si="64"/>
        <v/>
      </c>
      <c r="M177" s="117" t="s">
        <v>199</v>
      </c>
      <c r="N177" s="118" t="str">
        <f t="shared" ca="1" si="65"/>
        <v>Serviço</v>
      </c>
      <c r="O177" s="119" t="str">
        <f t="shared" ca="1" si="66"/>
        <v>-</v>
      </c>
      <c r="P177" s="120" t="s">
        <v>458</v>
      </c>
      <c r="Q177" s="121" t="s">
        <v>578</v>
      </c>
      <c r="R177" s="122" t="str">
        <f ca="1">IF($C177="S",REFERENCIA.Descricao,"(digite a descrição aqui)")</f>
        <v>(abra o arquivo 'Referência 06-2024.xlsm)</v>
      </c>
      <c r="S177" s="123" t="str">
        <f ca="1">REFERENCIA.Unidade</f>
        <v>-</v>
      </c>
      <c r="T177" s="124">
        <f ca="1">OFFSET(CÁLCULO!H$15,ROW($T177)-ROW(T$15),0)</f>
        <v>1084.7</v>
      </c>
      <c r="U177" s="125">
        <f t="shared" ca="1" si="54"/>
        <v>0</v>
      </c>
      <c r="V177" s="126" t="s">
        <v>156</v>
      </c>
      <c r="W177" s="124">
        <f ca="1">IF($C177="S",ROUND(IF(TIPOORCAMENTO="Proposto",ORÇAMENTO.CustoUnitario*(1+$AH177),ORÇAMENTO.PrecoUnitarioLicitado),15-13*$AF$10),0)</f>
        <v>0</v>
      </c>
      <c r="X177" s="127">
        <f ca="1">IF($C177="S",IF(Import.TipoArredondamento&lt;&gt;"TransfereGOV",VTOTAL1,SUM(OFFSET(CÁLCULO!$AI$15,ROW($X177)-ROW($X$15),1):OFFSET(CÁLCULO!$BB$15,ROW($X177)-ROW($X$15),-1))),IF($C177=0,0,ROUND(SomaAgrup,15-13*$AF$11)))</f>
        <v>0</v>
      </c>
      <c r="Y177" s="128" t="s">
        <v>245</v>
      </c>
      <c r="Z177" t="str">
        <f t="shared" ca="1" si="67"/>
        <v/>
      </c>
      <c r="AA177" s="129">
        <f ca="1">IF($C177="S",IF($Z177="CP",$X177,IF($Z177="RA",(($X177)*QCI!$AA$3),0)),SomaAgrup)</f>
        <v>0</v>
      </c>
      <c r="AB177" s="130">
        <f t="shared" ca="1" si="68"/>
        <v>0</v>
      </c>
      <c r="AC177" s="131" t="str">
        <f ca="1">IF($N177="","",IF(ORÇAMENTO.Descricao="","DESCRIÇÃO",IF(AND($C177="S",ORÇAMENTO.Unidade=""),"UNIDADE",IF($X177&lt;0,"VALOR NEGATIVO",IF(OR(AND(TIPOORCAMENTO="Proposto",$AG177&lt;&gt;"",$AG177&gt;0,ORÇAMENTO.CustoUnitario&gt;$AG177),AND(TIPOORCAMENTO="LICITADO",ORÇAMENTO.PrecoUnitarioLicitado&gt;$AN177)),"ACIMA REF.","")))))</f>
        <v/>
      </c>
      <c r="AD177" t="str">
        <f ca="1">IF(C177&lt;=CRONO.NivelExibicao,MAX($AD$15:OFFSET(AD177,-1,0))+IF($C177&lt;&gt;1,1,MAX(1,COUNTIF(QCI!$A$13:$A$24,OFFSET($E177,-1,0)))),"")</f>
        <v/>
      </c>
      <c r="AE177" s="7" t="str">
        <f ca="1">IF(AND($C177="S",ORÇAMENTO.CodBarra&lt;&gt;""),IF(ORÇAMENTO.Fonte="",ORÇAMENTO.CodBarra,CONCATENATE(ORÇAMENTO.Fonte," ",ORÇAMENTO.CodBarra)))</f>
        <v>COMPOSIÇÃO FNDE 172</v>
      </c>
      <c r="AF177" s="13" t="str">
        <f ca="1">IF(ISERROR(INDIRECT(ORÇAMENTO.BancoRef)),"(abra o arquivo 'Referência "&amp;Excel_BuiltIn_Database&amp;".xlsm)",IF(OR($C177&lt;&gt;"S",ORÇAMENTO.CodBarra=""),"(Sem Código)",IF(ISERROR(MATCH($AE177,INDIRECT(ORÇAMENTO.BancoRef),0)),"(Código não identificado nas referências)",MATCH($AE177,INDIRECT(ORÇAMENTO.BancoRef),0))))</f>
        <v>(abra o arquivo 'Referência 06-2024.xlsm)</v>
      </c>
      <c r="AG177" s="498">
        <f ca="1">ROUND(IF(DESONERACAO="sim",REFERENCIA.Desonerado,REFERENCIA.NaoDesonerado),2)</f>
        <v>0</v>
      </c>
      <c r="AH177" s="499">
        <f t="shared" ca="1" si="69"/>
        <v>0.2432</v>
      </c>
      <c r="AJ177" s="501"/>
      <c r="AL177" s="527"/>
      <c r="AM177" s="381">
        <f t="shared" ca="1" si="70"/>
        <v>0</v>
      </c>
      <c r="AN177" s="566">
        <f t="shared" ca="1" si="71"/>
        <v>0</v>
      </c>
    </row>
    <row r="178" spans="1:40" ht="25.5" x14ac:dyDescent="0.2">
      <c r="A178" t="str">
        <f t="shared" si="56"/>
        <v>S</v>
      </c>
      <c r="B178">
        <f t="shared" ca="1" si="57"/>
        <v>2</v>
      </c>
      <c r="C178" t="str">
        <f t="shared" ca="1" si="58"/>
        <v>S</v>
      </c>
      <c r="D178">
        <f t="shared" ca="1" si="59"/>
        <v>0</v>
      </c>
      <c r="E178">
        <f ca="1">IF($C178=1,OFFSET(E178,-1,0)+MAX(1,COUNTIF(QCI!$A$13:$A$24,OFFSET(ORÇAMENTO!E178,-1,0))),OFFSET(E178,-1,0))</f>
        <v>1</v>
      </c>
      <c r="F178">
        <f t="shared" ca="1" si="60"/>
        <v>25</v>
      </c>
      <c r="G178">
        <f t="shared" ca="1" si="61"/>
        <v>0</v>
      </c>
      <c r="H178">
        <f t="shared" ca="1" si="62"/>
        <v>0</v>
      </c>
      <c r="I178">
        <f t="shared" ca="1" si="63"/>
        <v>0</v>
      </c>
      <c r="J178">
        <f t="shared" ca="1" si="55"/>
        <v>0</v>
      </c>
      <c r="K178">
        <f ca="1">IF(OR($C178="S",$C178=0),0,MATCH(OFFSET($D178,0,$C178)+IF($C178&lt;&gt;1,1,COUNTIF(QCI!$A$13:$A$24,ORÇAMENTO!E178)),OFFSET($D178,1,$C178,ROW($C$727)-ROW($C178)),0))</f>
        <v>0</v>
      </c>
      <c r="L178" s="116" t="str">
        <f t="shared" ca="1" si="64"/>
        <v/>
      </c>
      <c r="M178" s="117" t="s">
        <v>199</v>
      </c>
      <c r="N178" s="118" t="str">
        <f t="shared" ca="1" si="65"/>
        <v>Serviço</v>
      </c>
      <c r="O178" s="119" t="str">
        <f t="shared" ca="1" si="66"/>
        <v>-</v>
      </c>
      <c r="P178" s="120" t="s">
        <v>458</v>
      </c>
      <c r="Q178" s="121" t="s">
        <v>579</v>
      </c>
      <c r="R178" s="122" t="str">
        <f ca="1">IF($C178="S",REFERENCIA.Descricao,"(digite a descrição aqui)")</f>
        <v>(abra o arquivo 'Referência 06-2024.xlsm)</v>
      </c>
      <c r="S178" s="123" t="str">
        <f ca="1">REFERENCIA.Unidade</f>
        <v>-</v>
      </c>
      <c r="T178" s="124">
        <f ca="1">OFFSET(CÁLCULO!H$15,ROW($T178)-ROW(T$15),0)</f>
        <v>41.56</v>
      </c>
      <c r="U178" s="125">
        <f t="shared" ref="U178:U230" ca="1" si="72">AG178</f>
        <v>0</v>
      </c>
      <c r="V178" s="126" t="s">
        <v>156</v>
      </c>
      <c r="W178" s="124">
        <f ca="1">IF($C178="S",ROUND(IF(TIPOORCAMENTO="Proposto",ORÇAMENTO.CustoUnitario*(1+$AH178),ORÇAMENTO.PrecoUnitarioLicitado),15-13*$AF$10),0)</f>
        <v>0</v>
      </c>
      <c r="X178" s="127">
        <f ca="1">IF($C178="S",IF(Import.TipoArredondamento&lt;&gt;"TransfereGOV",VTOTAL1,SUM(OFFSET(CÁLCULO!$AI$15,ROW($X178)-ROW($X$15),1):OFFSET(CÁLCULO!$BB$15,ROW($X178)-ROW($X$15),-1))),IF($C178=0,0,ROUND(SomaAgrup,15-13*$AF$11)))</f>
        <v>0</v>
      </c>
      <c r="Y178" s="128" t="s">
        <v>245</v>
      </c>
      <c r="Z178" t="str">
        <f t="shared" ca="1" si="67"/>
        <v/>
      </c>
      <c r="AA178" s="129">
        <f ca="1">IF($C178="S",IF($Z178="CP",$X178,IF($Z178="RA",(($X178)*QCI!$AA$3),0)),SomaAgrup)</f>
        <v>0</v>
      </c>
      <c r="AB178" s="130">
        <f t="shared" ca="1" si="68"/>
        <v>0</v>
      </c>
      <c r="AC178" s="131" t="str">
        <f ca="1">IF($N178="","",IF(ORÇAMENTO.Descricao="","DESCRIÇÃO",IF(AND($C178="S",ORÇAMENTO.Unidade=""),"UNIDADE",IF($X178&lt;0,"VALOR NEGATIVO",IF(OR(AND(TIPOORCAMENTO="Proposto",$AG178&lt;&gt;"",$AG178&gt;0,ORÇAMENTO.CustoUnitario&gt;$AG178),AND(TIPOORCAMENTO="LICITADO",ORÇAMENTO.PrecoUnitarioLicitado&gt;$AN178)),"ACIMA REF.","")))))</f>
        <v/>
      </c>
      <c r="AD178" t="str">
        <f ca="1">IF(C178&lt;=CRONO.NivelExibicao,MAX($AD$15:OFFSET(AD178,-1,0))+IF($C178&lt;&gt;1,1,MAX(1,COUNTIF(QCI!$A$13:$A$24,OFFSET($E178,-1,0)))),"")</f>
        <v/>
      </c>
      <c r="AE178" s="7" t="str">
        <f ca="1">IF(AND($C178="S",ORÇAMENTO.CodBarra&lt;&gt;""),IF(ORÇAMENTO.Fonte="",ORÇAMENTO.CodBarra,CONCATENATE(ORÇAMENTO.Fonte," ",ORÇAMENTO.CodBarra)))</f>
        <v>COMPOSIÇÃO FNDE 173</v>
      </c>
      <c r="AF178" s="13" t="str">
        <f ca="1">IF(ISERROR(INDIRECT(ORÇAMENTO.BancoRef)),"(abra o arquivo 'Referência "&amp;Excel_BuiltIn_Database&amp;".xlsm)",IF(OR($C178&lt;&gt;"S",ORÇAMENTO.CodBarra=""),"(Sem Código)",IF(ISERROR(MATCH($AE178,INDIRECT(ORÇAMENTO.BancoRef),0)),"(Código não identificado nas referências)",MATCH($AE178,INDIRECT(ORÇAMENTO.BancoRef),0))))</f>
        <v>(abra o arquivo 'Referência 06-2024.xlsm)</v>
      </c>
      <c r="AG178" s="498">
        <f ca="1">ROUND(IF(DESONERACAO="sim",REFERENCIA.Desonerado,REFERENCIA.NaoDesonerado),2)</f>
        <v>0</v>
      </c>
      <c r="AH178" s="499">
        <f t="shared" ca="1" si="69"/>
        <v>0.2432</v>
      </c>
      <c r="AJ178" s="501"/>
      <c r="AL178" s="527"/>
      <c r="AM178" s="381">
        <f t="shared" ca="1" si="70"/>
        <v>0</v>
      </c>
      <c r="AN178" s="566">
        <f t="shared" ca="1" si="71"/>
        <v>0</v>
      </c>
    </row>
    <row r="179" spans="1:40" ht="25.5" x14ac:dyDescent="0.2">
      <c r="A179" t="str">
        <f t="shared" si="56"/>
        <v>S</v>
      </c>
      <c r="B179">
        <f t="shared" ca="1" si="57"/>
        <v>2</v>
      </c>
      <c r="C179" t="str">
        <f t="shared" ca="1" si="58"/>
        <v>S</v>
      </c>
      <c r="D179">
        <f t="shared" ca="1" si="59"/>
        <v>0</v>
      </c>
      <c r="E179">
        <f ca="1">IF($C179=1,OFFSET(E179,-1,0)+MAX(1,COUNTIF(QCI!$A$13:$A$24,OFFSET(ORÇAMENTO!E179,-1,0))),OFFSET(E179,-1,0))</f>
        <v>1</v>
      </c>
      <c r="F179">
        <f t="shared" ca="1" si="60"/>
        <v>25</v>
      </c>
      <c r="G179">
        <f t="shared" ca="1" si="61"/>
        <v>0</v>
      </c>
      <c r="H179">
        <f t="shared" ca="1" si="62"/>
        <v>0</v>
      </c>
      <c r="I179">
        <f t="shared" ca="1" si="63"/>
        <v>0</v>
      </c>
      <c r="J179">
        <f t="shared" ca="1" si="55"/>
        <v>0</v>
      </c>
      <c r="K179">
        <f ca="1">IF(OR($C179="S",$C179=0),0,MATCH(OFFSET($D179,0,$C179)+IF($C179&lt;&gt;1,1,COUNTIF(QCI!$A$13:$A$24,ORÇAMENTO!E179)),OFFSET($D179,1,$C179,ROW($C$727)-ROW($C179)),0))</f>
        <v>0</v>
      </c>
      <c r="L179" s="116" t="str">
        <f t="shared" ca="1" si="64"/>
        <v/>
      </c>
      <c r="M179" s="117" t="s">
        <v>199</v>
      </c>
      <c r="N179" s="118" t="str">
        <f t="shared" ca="1" si="65"/>
        <v>Serviço</v>
      </c>
      <c r="O179" s="119" t="str">
        <f t="shared" ca="1" si="66"/>
        <v>-</v>
      </c>
      <c r="P179" s="120" t="s">
        <v>458</v>
      </c>
      <c r="Q179" s="121" t="s">
        <v>580</v>
      </c>
      <c r="R179" s="122" t="str">
        <f ca="1">IF($C179="S",REFERENCIA.Descricao,"(digite a descrição aqui)")</f>
        <v>(abra o arquivo 'Referência 06-2024.xlsm)</v>
      </c>
      <c r="S179" s="123" t="str">
        <f ca="1">REFERENCIA.Unidade</f>
        <v>-</v>
      </c>
      <c r="T179" s="124">
        <f ca="1">OFFSET(CÁLCULO!H$15,ROW($T179)-ROW(T$15),0)</f>
        <v>179.11</v>
      </c>
      <c r="U179" s="125">
        <f t="shared" ca="1" si="72"/>
        <v>0</v>
      </c>
      <c r="V179" s="126" t="s">
        <v>156</v>
      </c>
      <c r="W179" s="124">
        <f ca="1">IF($C179="S",ROUND(IF(TIPOORCAMENTO="Proposto",ORÇAMENTO.CustoUnitario*(1+$AH179),ORÇAMENTO.PrecoUnitarioLicitado),15-13*$AF$10),0)</f>
        <v>0</v>
      </c>
      <c r="X179" s="127">
        <f ca="1">IF($C179="S",IF(Import.TipoArredondamento&lt;&gt;"TransfereGOV",VTOTAL1,SUM(OFFSET(CÁLCULO!$AI$15,ROW($X179)-ROW($X$15),1):OFFSET(CÁLCULO!$BB$15,ROW($X179)-ROW($X$15),-1))),IF($C179=0,0,ROUND(SomaAgrup,15-13*$AF$11)))</f>
        <v>0</v>
      </c>
      <c r="Y179" s="128" t="s">
        <v>245</v>
      </c>
      <c r="Z179" t="str">
        <f t="shared" ca="1" si="67"/>
        <v/>
      </c>
      <c r="AA179" s="129">
        <f ca="1">IF($C179="S",IF($Z179="CP",$X179,IF($Z179="RA",(($X179)*QCI!$AA$3),0)),SomaAgrup)</f>
        <v>0</v>
      </c>
      <c r="AB179" s="130">
        <f t="shared" ca="1" si="68"/>
        <v>0</v>
      </c>
      <c r="AC179" s="131" t="str">
        <f ca="1">IF($N179="","",IF(ORÇAMENTO.Descricao="","DESCRIÇÃO",IF(AND($C179="S",ORÇAMENTO.Unidade=""),"UNIDADE",IF($X179&lt;0,"VALOR NEGATIVO",IF(OR(AND(TIPOORCAMENTO="Proposto",$AG179&lt;&gt;"",$AG179&gt;0,ORÇAMENTO.CustoUnitario&gt;$AG179),AND(TIPOORCAMENTO="LICITADO",ORÇAMENTO.PrecoUnitarioLicitado&gt;$AN179)),"ACIMA REF.","")))))</f>
        <v/>
      </c>
      <c r="AD179" t="str">
        <f ca="1">IF(C179&lt;=CRONO.NivelExibicao,MAX($AD$15:OFFSET(AD179,-1,0))+IF($C179&lt;&gt;1,1,MAX(1,COUNTIF(QCI!$A$13:$A$24,OFFSET($E179,-1,0)))),"")</f>
        <v/>
      </c>
      <c r="AE179" s="7" t="str">
        <f ca="1">IF(AND($C179="S",ORÇAMENTO.CodBarra&lt;&gt;""),IF(ORÇAMENTO.Fonte="",ORÇAMENTO.CodBarra,CONCATENATE(ORÇAMENTO.Fonte," ",ORÇAMENTO.CodBarra)))</f>
        <v>COMPOSIÇÃO FNDE 174</v>
      </c>
      <c r="AF179" s="13" t="str">
        <f ca="1">IF(ISERROR(INDIRECT(ORÇAMENTO.BancoRef)),"(abra o arquivo 'Referência "&amp;Excel_BuiltIn_Database&amp;".xlsm)",IF(OR($C179&lt;&gt;"S",ORÇAMENTO.CodBarra=""),"(Sem Código)",IF(ISERROR(MATCH($AE179,INDIRECT(ORÇAMENTO.BancoRef),0)),"(Código não identificado nas referências)",MATCH($AE179,INDIRECT(ORÇAMENTO.BancoRef),0))))</f>
        <v>(abra o arquivo 'Referência 06-2024.xlsm)</v>
      </c>
      <c r="AG179" s="498">
        <f ca="1">ROUND(IF(DESONERACAO="sim",REFERENCIA.Desonerado,REFERENCIA.NaoDesonerado),2)</f>
        <v>0</v>
      </c>
      <c r="AH179" s="499">
        <f t="shared" ca="1" si="69"/>
        <v>0.2432</v>
      </c>
      <c r="AJ179" s="501"/>
      <c r="AL179" s="527"/>
      <c r="AM179" s="381">
        <f t="shared" ca="1" si="70"/>
        <v>0</v>
      </c>
      <c r="AN179" s="566">
        <f t="shared" ca="1" si="71"/>
        <v>0</v>
      </c>
    </row>
    <row r="180" spans="1:40" ht="25.5" x14ac:dyDescent="0.2">
      <c r="A180" t="str">
        <f t="shared" si="56"/>
        <v>S</v>
      </c>
      <c r="B180">
        <f t="shared" ca="1" si="57"/>
        <v>2</v>
      </c>
      <c r="C180" t="str">
        <f t="shared" ca="1" si="58"/>
        <v>S</v>
      </c>
      <c r="D180">
        <f t="shared" ca="1" si="59"/>
        <v>0</v>
      </c>
      <c r="E180">
        <f ca="1">IF($C180=1,OFFSET(E180,-1,0)+MAX(1,COUNTIF(QCI!$A$13:$A$24,OFFSET(ORÇAMENTO!E180,-1,0))),OFFSET(E180,-1,0))</f>
        <v>1</v>
      </c>
      <c r="F180">
        <f t="shared" ca="1" si="60"/>
        <v>25</v>
      </c>
      <c r="G180">
        <f t="shared" ca="1" si="61"/>
        <v>0</v>
      </c>
      <c r="H180">
        <f t="shared" ca="1" si="62"/>
        <v>0</v>
      </c>
      <c r="I180">
        <f t="shared" ca="1" si="63"/>
        <v>0</v>
      </c>
      <c r="J180">
        <f t="shared" ca="1" si="55"/>
        <v>0</v>
      </c>
      <c r="K180">
        <f ca="1">IF(OR($C180="S",$C180=0),0,MATCH(OFFSET($D180,0,$C180)+IF($C180&lt;&gt;1,1,COUNTIF(QCI!$A$13:$A$24,ORÇAMENTO!E180)),OFFSET($D180,1,$C180,ROW($C$727)-ROW($C180)),0))</f>
        <v>0</v>
      </c>
      <c r="L180" s="116" t="str">
        <f t="shared" ca="1" si="64"/>
        <v/>
      </c>
      <c r="M180" s="117" t="s">
        <v>199</v>
      </c>
      <c r="N180" s="118" t="str">
        <f t="shared" ca="1" si="65"/>
        <v>Serviço</v>
      </c>
      <c r="O180" s="119" t="str">
        <f t="shared" ca="1" si="66"/>
        <v>-</v>
      </c>
      <c r="P180" s="120" t="s">
        <v>458</v>
      </c>
      <c r="Q180" s="121" t="s">
        <v>581</v>
      </c>
      <c r="R180" s="122" t="str">
        <f ca="1">IF($C180="S",REFERENCIA.Descricao,"(digite a descrição aqui)")</f>
        <v>(abra o arquivo 'Referência 06-2024.xlsm)</v>
      </c>
      <c r="S180" s="123" t="str">
        <f ca="1">REFERENCIA.Unidade</f>
        <v>-</v>
      </c>
      <c r="T180" s="124">
        <f ca="1">OFFSET(CÁLCULO!H$15,ROW($T180)-ROW(T$15),0)</f>
        <v>50.17</v>
      </c>
      <c r="U180" s="125">
        <f t="shared" ca="1" si="72"/>
        <v>0</v>
      </c>
      <c r="V180" s="126" t="s">
        <v>156</v>
      </c>
      <c r="W180" s="124">
        <f ca="1">IF($C180="S",ROUND(IF(TIPOORCAMENTO="Proposto",ORÇAMENTO.CustoUnitario*(1+$AH180),ORÇAMENTO.PrecoUnitarioLicitado),15-13*$AF$10),0)</f>
        <v>0</v>
      </c>
      <c r="X180" s="127">
        <f ca="1">IF($C180="S",IF(Import.TipoArredondamento&lt;&gt;"TransfereGOV",VTOTAL1,SUM(OFFSET(CÁLCULO!$AI$15,ROW($X180)-ROW($X$15),1):OFFSET(CÁLCULO!$BB$15,ROW($X180)-ROW($X$15),-1))),IF($C180=0,0,ROUND(SomaAgrup,15-13*$AF$11)))</f>
        <v>0</v>
      </c>
      <c r="Y180" s="128" t="s">
        <v>245</v>
      </c>
      <c r="Z180" t="str">
        <f t="shared" ca="1" si="67"/>
        <v/>
      </c>
      <c r="AA180" s="129">
        <f ca="1">IF($C180="S",IF($Z180="CP",$X180,IF($Z180="RA",(($X180)*QCI!$AA$3),0)),SomaAgrup)</f>
        <v>0</v>
      </c>
      <c r="AB180" s="130">
        <f t="shared" ca="1" si="68"/>
        <v>0</v>
      </c>
      <c r="AC180" s="131" t="str">
        <f ca="1">IF($N180="","",IF(ORÇAMENTO.Descricao="","DESCRIÇÃO",IF(AND($C180="S",ORÇAMENTO.Unidade=""),"UNIDADE",IF($X180&lt;0,"VALOR NEGATIVO",IF(OR(AND(TIPOORCAMENTO="Proposto",$AG180&lt;&gt;"",$AG180&gt;0,ORÇAMENTO.CustoUnitario&gt;$AG180),AND(TIPOORCAMENTO="LICITADO",ORÇAMENTO.PrecoUnitarioLicitado&gt;$AN180)),"ACIMA REF.","")))))</f>
        <v/>
      </c>
      <c r="AD180" t="str">
        <f ca="1">IF(C180&lt;=CRONO.NivelExibicao,MAX($AD$15:OFFSET(AD180,-1,0))+IF($C180&lt;&gt;1,1,MAX(1,COUNTIF(QCI!$A$13:$A$24,OFFSET($E180,-1,0)))),"")</f>
        <v/>
      </c>
      <c r="AE180" s="7" t="str">
        <f ca="1">IF(AND($C180="S",ORÇAMENTO.CodBarra&lt;&gt;""),IF(ORÇAMENTO.Fonte="",ORÇAMENTO.CodBarra,CONCATENATE(ORÇAMENTO.Fonte," ",ORÇAMENTO.CodBarra)))</f>
        <v>COMPOSIÇÃO FNDE 175</v>
      </c>
      <c r="AF180" s="13" t="str">
        <f ca="1">IF(ISERROR(INDIRECT(ORÇAMENTO.BancoRef)),"(abra o arquivo 'Referência "&amp;Excel_BuiltIn_Database&amp;".xlsm)",IF(OR($C180&lt;&gt;"S",ORÇAMENTO.CodBarra=""),"(Sem Código)",IF(ISERROR(MATCH($AE180,INDIRECT(ORÇAMENTO.BancoRef),0)),"(Código não identificado nas referências)",MATCH($AE180,INDIRECT(ORÇAMENTO.BancoRef),0))))</f>
        <v>(abra o arquivo 'Referência 06-2024.xlsm)</v>
      </c>
      <c r="AG180" s="498">
        <f ca="1">ROUND(IF(DESONERACAO="sim",REFERENCIA.Desonerado,REFERENCIA.NaoDesonerado),2)</f>
        <v>0</v>
      </c>
      <c r="AH180" s="499">
        <f t="shared" ca="1" si="69"/>
        <v>0.2432</v>
      </c>
      <c r="AJ180" s="501"/>
      <c r="AL180" s="527"/>
      <c r="AM180" s="381">
        <f t="shared" ca="1" si="70"/>
        <v>0</v>
      </c>
      <c r="AN180" s="566">
        <f t="shared" ca="1" si="71"/>
        <v>0</v>
      </c>
    </row>
    <row r="181" spans="1:40" ht="51" x14ac:dyDescent="0.2">
      <c r="A181" t="str">
        <f t="shared" si="56"/>
        <v>S</v>
      </c>
      <c r="B181">
        <f t="shared" ca="1" si="57"/>
        <v>2</v>
      </c>
      <c r="C181" t="str">
        <f t="shared" ca="1" si="58"/>
        <v>S</v>
      </c>
      <c r="D181">
        <f t="shared" ca="1" si="59"/>
        <v>0</v>
      </c>
      <c r="E181">
        <f ca="1">IF($C181=1,OFFSET(E181,-1,0)+MAX(1,COUNTIF(QCI!$A$13:$A$24,OFFSET(ORÇAMENTO!E181,-1,0))),OFFSET(E181,-1,0))</f>
        <v>1</v>
      </c>
      <c r="F181">
        <f t="shared" ca="1" si="60"/>
        <v>25</v>
      </c>
      <c r="G181">
        <f t="shared" ca="1" si="61"/>
        <v>0</v>
      </c>
      <c r="H181">
        <f t="shared" ca="1" si="62"/>
        <v>0</v>
      </c>
      <c r="I181">
        <f t="shared" ca="1" si="63"/>
        <v>0</v>
      </c>
      <c r="J181">
        <f t="shared" ca="1" si="55"/>
        <v>0</v>
      </c>
      <c r="K181">
        <f ca="1">IF(OR($C181="S",$C181=0),0,MATCH(OFFSET($D181,0,$C181)+IF($C181&lt;&gt;1,1,COUNTIF(QCI!$A$13:$A$24,ORÇAMENTO!E181)),OFFSET($D181,1,$C181,ROW($C$727)-ROW($C181)),0))</f>
        <v>0</v>
      </c>
      <c r="L181" s="116" t="str">
        <f t="shared" ca="1" si="64"/>
        <v/>
      </c>
      <c r="M181" s="117" t="s">
        <v>199</v>
      </c>
      <c r="N181" s="118" t="str">
        <f t="shared" ca="1" si="65"/>
        <v>Serviço</v>
      </c>
      <c r="O181" s="119" t="str">
        <f t="shared" ca="1" si="66"/>
        <v>-</v>
      </c>
      <c r="P181" s="120" t="s">
        <v>247</v>
      </c>
      <c r="Q181" s="121" t="s">
        <v>582</v>
      </c>
      <c r="R181" s="122" t="str">
        <f ca="1">IF($C181="S",REFERENCIA.Descricao,"(digite a descrição aqui)")</f>
        <v>(abra o arquivo 'Referência 06-2024.xlsm)</v>
      </c>
      <c r="S181" s="123" t="str">
        <f ca="1">REFERENCIA.Unidade</f>
        <v>-</v>
      </c>
      <c r="T181" s="124">
        <f ca="1">OFFSET(CÁLCULO!H$15,ROW($T181)-ROW(T$15),0)</f>
        <v>41.56</v>
      </c>
      <c r="U181" s="125">
        <f t="shared" ca="1" si="72"/>
        <v>0</v>
      </c>
      <c r="V181" s="126" t="s">
        <v>156</v>
      </c>
      <c r="W181" s="124">
        <f ca="1">IF($C181="S",ROUND(IF(TIPOORCAMENTO="Proposto",ORÇAMENTO.CustoUnitario*(1+$AH181),ORÇAMENTO.PrecoUnitarioLicitado),15-13*$AF$10),0)</f>
        <v>0</v>
      </c>
      <c r="X181" s="127">
        <f ca="1">IF($C181="S",IF(Import.TipoArredondamento&lt;&gt;"TransfereGOV",VTOTAL1,SUM(OFFSET(CÁLCULO!$AI$15,ROW($X181)-ROW($X$15),1):OFFSET(CÁLCULO!$BB$15,ROW($X181)-ROW($X$15),-1))),IF($C181=0,0,ROUND(SomaAgrup,15-13*$AF$11)))</f>
        <v>0</v>
      </c>
      <c r="Y181" s="128" t="s">
        <v>245</v>
      </c>
      <c r="Z181" t="str">
        <f t="shared" ca="1" si="67"/>
        <v/>
      </c>
      <c r="AA181" s="129">
        <f ca="1">IF($C181="S",IF($Z181="CP",$X181,IF($Z181="RA",(($X181)*QCI!$AA$3),0)),SomaAgrup)</f>
        <v>0</v>
      </c>
      <c r="AB181" s="130">
        <f t="shared" ca="1" si="68"/>
        <v>0</v>
      </c>
      <c r="AC181" s="131" t="str">
        <f ca="1">IF($N181="","",IF(ORÇAMENTO.Descricao="","DESCRIÇÃO",IF(AND($C181="S",ORÇAMENTO.Unidade=""),"UNIDADE",IF($X181&lt;0,"VALOR NEGATIVO",IF(OR(AND(TIPOORCAMENTO="Proposto",$AG181&lt;&gt;"",$AG181&gt;0,ORÇAMENTO.CustoUnitario&gt;$AG181),AND(TIPOORCAMENTO="LICITADO",ORÇAMENTO.PrecoUnitarioLicitado&gt;$AN181)),"ACIMA REF.","")))))</f>
        <v/>
      </c>
      <c r="AD181" t="str">
        <f ca="1">IF(C181&lt;=CRONO.NivelExibicao,MAX($AD$15:OFFSET(AD181,-1,0))+IF($C181&lt;&gt;1,1,MAX(1,COUNTIF(QCI!$A$13:$A$24,OFFSET($E181,-1,0)))),"")</f>
        <v/>
      </c>
      <c r="AE181" s="7" t="str">
        <f ca="1">IF(AND($C181="S",ORÇAMENTO.CodBarra&lt;&gt;""),IF(ORÇAMENTO.Fonte="",ORÇAMENTO.CodBarra,CONCATENATE(ORÇAMENTO.Fonte," ",ORÇAMENTO.CodBarra)))</f>
        <v>SINAPI 87755</v>
      </c>
      <c r="AF181" s="13" t="str">
        <f ca="1">IF(ISERROR(INDIRECT(ORÇAMENTO.BancoRef)),"(abra o arquivo 'Referência "&amp;Excel_BuiltIn_Database&amp;".xlsm)",IF(OR($C181&lt;&gt;"S",ORÇAMENTO.CodBarra=""),"(Sem Código)",IF(ISERROR(MATCH($AE181,INDIRECT(ORÇAMENTO.BancoRef),0)),"(Código não identificado nas referências)",MATCH($AE181,INDIRECT(ORÇAMENTO.BancoRef),0))))</f>
        <v>(abra o arquivo 'Referência 06-2024.xlsm)</v>
      </c>
      <c r="AG181" s="498">
        <f ca="1">ROUND(IF(DESONERACAO="sim",REFERENCIA.Desonerado,REFERENCIA.NaoDesonerado),2)</f>
        <v>0</v>
      </c>
      <c r="AH181" s="499">
        <f t="shared" ca="1" si="69"/>
        <v>0.2432</v>
      </c>
      <c r="AJ181" s="501"/>
      <c r="AL181" s="527"/>
      <c r="AM181" s="381">
        <f t="shared" ca="1" si="70"/>
        <v>0</v>
      </c>
      <c r="AN181" s="566">
        <f t="shared" ca="1" si="71"/>
        <v>0</v>
      </c>
    </row>
    <row r="182" spans="1:40" ht="25.5" x14ac:dyDescent="0.2">
      <c r="A182" t="str">
        <f t="shared" si="56"/>
        <v>S</v>
      </c>
      <c r="B182">
        <f t="shared" ca="1" si="57"/>
        <v>2</v>
      </c>
      <c r="C182" t="str">
        <f t="shared" ca="1" si="58"/>
        <v>S</v>
      </c>
      <c r="D182">
        <f t="shared" ca="1" si="59"/>
        <v>0</v>
      </c>
      <c r="E182">
        <f ca="1">IF($C182=1,OFFSET(E182,-1,0)+MAX(1,COUNTIF(QCI!$A$13:$A$24,OFFSET(ORÇAMENTO!E182,-1,0))),OFFSET(E182,-1,0))</f>
        <v>1</v>
      </c>
      <c r="F182">
        <f t="shared" ca="1" si="60"/>
        <v>25</v>
      </c>
      <c r="G182">
        <f t="shared" ca="1" si="61"/>
        <v>0</v>
      </c>
      <c r="H182">
        <f t="shared" ca="1" si="62"/>
        <v>0</v>
      </c>
      <c r="I182">
        <f t="shared" ca="1" si="63"/>
        <v>0</v>
      </c>
      <c r="J182">
        <f t="shared" ca="1" si="55"/>
        <v>0</v>
      </c>
      <c r="K182">
        <f ca="1">IF(OR($C182="S",$C182=0),0,MATCH(OFFSET($D182,0,$C182)+IF($C182&lt;&gt;1,1,COUNTIF(QCI!$A$13:$A$24,ORÇAMENTO!E182)),OFFSET($D182,1,$C182,ROW($C$727)-ROW($C182)),0))</f>
        <v>0</v>
      </c>
      <c r="L182" s="116" t="str">
        <f t="shared" ca="1" si="64"/>
        <v/>
      </c>
      <c r="M182" s="117" t="s">
        <v>199</v>
      </c>
      <c r="N182" s="118" t="str">
        <f t="shared" ca="1" si="65"/>
        <v>Serviço</v>
      </c>
      <c r="O182" s="119" t="str">
        <f t="shared" ca="1" si="66"/>
        <v>-</v>
      </c>
      <c r="P182" s="120" t="s">
        <v>247</v>
      </c>
      <c r="Q182" s="121" t="s">
        <v>583</v>
      </c>
      <c r="R182" s="122" t="str">
        <f ca="1">IF($C182="S",REFERENCIA.Descricao,"(digite a descrição aqui)")</f>
        <v>(abra o arquivo 'Referência 06-2024.xlsm)</v>
      </c>
      <c r="S182" s="123" t="str">
        <f ca="1">REFERENCIA.Unidade</f>
        <v>-</v>
      </c>
      <c r="T182" s="124">
        <f ca="1">OFFSET(CÁLCULO!H$15,ROW($T182)-ROW(T$15),0)</f>
        <v>41.56</v>
      </c>
      <c r="U182" s="125">
        <f t="shared" ca="1" si="72"/>
        <v>0</v>
      </c>
      <c r="V182" s="126" t="s">
        <v>156</v>
      </c>
      <c r="W182" s="124">
        <f ca="1">IF($C182="S",ROUND(IF(TIPOORCAMENTO="Proposto",ORÇAMENTO.CustoUnitario*(1+$AH182),ORÇAMENTO.PrecoUnitarioLicitado),15-13*$AF$10),0)</f>
        <v>0</v>
      </c>
      <c r="X182" s="127">
        <f ca="1">IF($C182="S",IF(Import.TipoArredondamento&lt;&gt;"TransfereGOV",VTOTAL1,SUM(OFFSET(CÁLCULO!$AI$15,ROW($X182)-ROW($X$15),1):OFFSET(CÁLCULO!$BB$15,ROW($X182)-ROW($X$15),-1))),IF($C182=0,0,ROUND(SomaAgrup,15-13*$AF$11)))</f>
        <v>0</v>
      </c>
      <c r="Y182" s="128" t="s">
        <v>245</v>
      </c>
      <c r="Z182" t="str">
        <f t="shared" ca="1" si="67"/>
        <v/>
      </c>
      <c r="AA182" s="129">
        <f ca="1">IF($C182="S",IF($Z182="CP",$X182,IF($Z182="RA",(($X182)*QCI!$AA$3),0)),SomaAgrup)</f>
        <v>0</v>
      </c>
      <c r="AB182" s="130">
        <f t="shared" ca="1" si="68"/>
        <v>0</v>
      </c>
      <c r="AC182" s="131" t="str">
        <f ca="1">IF($N182="","",IF(ORÇAMENTO.Descricao="","DESCRIÇÃO",IF(AND($C182="S",ORÇAMENTO.Unidade=""),"UNIDADE",IF($X182&lt;0,"VALOR NEGATIVO",IF(OR(AND(TIPOORCAMENTO="Proposto",$AG182&lt;&gt;"",$AG182&gt;0,ORÇAMENTO.CustoUnitario&gt;$AG182),AND(TIPOORCAMENTO="LICITADO",ORÇAMENTO.PrecoUnitarioLicitado&gt;$AN182)),"ACIMA REF.","")))))</f>
        <v/>
      </c>
      <c r="AD182" t="str">
        <f ca="1">IF(C182&lt;=CRONO.NivelExibicao,MAX($AD$15:OFFSET(AD182,-1,0))+IF($C182&lt;&gt;1,1,MAX(1,COUNTIF(QCI!$A$13:$A$24,OFFSET($E182,-1,0)))),"")</f>
        <v/>
      </c>
      <c r="AE182" s="7" t="str">
        <f ca="1">IF(AND($C182="S",ORÇAMENTO.CodBarra&lt;&gt;""),IF(ORÇAMENTO.Fonte="",ORÇAMENTO.CodBarra,CONCATENATE(ORÇAMENTO.Fonte," ",ORÇAMENTO.CodBarra)))</f>
        <v>SINAPI 98565</v>
      </c>
      <c r="AF182" s="13" t="str">
        <f ca="1">IF(ISERROR(INDIRECT(ORÇAMENTO.BancoRef)),"(abra o arquivo 'Referência "&amp;Excel_BuiltIn_Database&amp;".xlsm)",IF(OR($C182&lt;&gt;"S",ORÇAMENTO.CodBarra=""),"(Sem Código)",IF(ISERROR(MATCH($AE182,INDIRECT(ORÇAMENTO.BancoRef),0)),"(Código não identificado nas referências)",MATCH($AE182,INDIRECT(ORÇAMENTO.BancoRef),0))))</f>
        <v>(abra o arquivo 'Referência 06-2024.xlsm)</v>
      </c>
      <c r="AG182" s="498">
        <f ca="1">ROUND(IF(DESONERACAO="sim",REFERENCIA.Desonerado,REFERENCIA.NaoDesonerado),2)</f>
        <v>0</v>
      </c>
      <c r="AH182" s="499">
        <f t="shared" ca="1" si="69"/>
        <v>0.2432</v>
      </c>
      <c r="AJ182" s="501"/>
      <c r="AL182" s="527"/>
      <c r="AM182" s="381">
        <f t="shared" ca="1" si="70"/>
        <v>0</v>
      </c>
      <c r="AN182" s="566">
        <f t="shared" ca="1" si="71"/>
        <v>0</v>
      </c>
    </row>
    <row r="183" spans="1:40" x14ac:dyDescent="0.2">
      <c r="A183" t="str">
        <f t="shared" si="56"/>
        <v>S</v>
      </c>
      <c r="B183">
        <f t="shared" ca="1" si="57"/>
        <v>2</v>
      </c>
      <c r="C183" t="str">
        <f t="shared" ca="1" si="58"/>
        <v>S</v>
      </c>
      <c r="D183">
        <f t="shared" ca="1" si="59"/>
        <v>0</v>
      </c>
      <c r="E183">
        <f ca="1">IF($C183=1,OFFSET(E183,-1,0)+MAX(1,COUNTIF(QCI!$A$13:$A$24,OFFSET(ORÇAMENTO!E183,-1,0))),OFFSET(E183,-1,0))</f>
        <v>1</v>
      </c>
      <c r="F183">
        <f t="shared" ca="1" si="60"/>
        <v>25</v>
      </c>
      <c r="G183">
        <f t="shared" ca="1" si="61"/>
        <v>0</v>
      </c>
      <c r="H183">
        <f t="shared" ca="1" si="62"/>
        <v>0</v>
      </c>
      <c r="I183">
        <f t="shared" ca="1" si="63"/>
        <v>0</v>
      </c>
      <c r="J183">
        <f t="shared" ca="1" si="55"/>
        <v>0</v>
      </c>
      <c r="K183">
        <f ca="1">IF(OR($C183="S",$C183=0),0,MATCH(OFFSET($D183,0,$C183)+IF($C183&lt;&gt;1,1,COUNTIF(QCI!$A$13:$A$24,ORÇAMENTO!E183)),OFFSET($D183,1,$C183,ROW($C$727)-ROW($C183)),0))</f>
        <v>0</v>
      </c>
      <c r="L183" s="116" t="str">
        <f t="shared" ca="1" si="64"/>
        <v/>
      </c>
      <c r="M183" s="117" t="s">
        <v>199</v>
      </c>
      <c r="N183" s="118" t="str">
        <f t="shared" ca="1" si="65"/>
        <v>Serviço</v>
      </c>
      <c r="O183" s="119" t="str">
        <f t="shared" ca="1" si="66"/>
        <v>-</v>
      </c>
      <c r="P183" s="120" t="s">
        <v>247</v>
      </c>
      <c r="Q183" s="121"/>
      <c r="R183" s="122" t="str">
        <f ca="1">IF($C183="S",REFERENCIA.Descricao,"(digite a descrição aqui)")</f>
        <v>(abra o arquivo 'Referência 06-2024.xlsm)</v>
      </c>
      <c r="S183" s="123" t="str">
        <f ca="1">REFERENCIA.Unidade</f>
        <v>-</v>
      </c>
      <c r="T183" s="124">
        <f ca="1">OFFSET(CÁLCULO!H$15,ROW($T183)-ROW(T$15),0)</f>
        <v>0</v>
      </c>
      <c r="U183" s="125">
        <f t="shared" ca="1" si="72"/>
        <v>0</v>
      </c>
      <c r="V183" s="126" t="s">
        <v>156</v>
      </c>
      <c r="W183" s="124">
        <f ca="1">IF($C183="S",ROUND(IF(TIPOORCAMENTO="Proposto",ORÇAMENTO.CustoUnitario*(1+$AH183),ORÇAMENTO.PrecoUnitarioLicitado),15-13*$AF$10),0)</f>
        <v>0</v>
      </c>
      <c r="X183" s="127">
        <f ca="1">IF($C183="S",IF(Import.TipoArredondamento&lt;&gt;"TransfereGOV",VTOTAL1,SUM(OFFSET(CÁLCULO!$AI$15,ROW($X183)-ROW($X$15),1):OFFSET(CÁLCULO!$BB$15,ROW($X183)-ROW($X$15),-1))),IF($C183=0,0,ROUND(SomaAgrup,15-13*$AF$11)))</f>
        <v>0</v>
      </c>
      <c r="Y183" s="128" t="s">
        <v>245</v>
      </c>
      <c r="Z183" t="str">
        <f t="shared" ca="1" si="67"/>
        <v/>
      </c>
      <c r="AA183" s="129">
        <f ca="1">IF($C183="S",IF($Z183="CP",$X183,IF($Z183="RA",(($X183)*QCI!$AA$3),0)),SomaAgrup)</f>
        <v>0</v>
      </c>
      <c r="AB183" s="130">
        <f t="shared" ca="1" si="68"/>
        <v>0</v>
      </c>
      <c r="AC183" s="131" t="str">
        <f ca="1">IF($N183="","",IF(ORÇAMENTO.Descricao="","DESCRIÇÃO",IF(AND($C183="S",ORÇAMENTO.Unidade=""),"UNIDADE",IF($X183&lt;0,"VALOR NEGATIVO",IF(OR(AND(TIPOORCAMENTO="Proposto",$AG183&lt;&gt;"",$AG183&gt;0,ORÇAMENTO.CustoUnitario&gt;$AG183),AND(TIPOORCAMENTO="LICITADO",ORÇAMENTO.PrecoUnitarioLicitado&gt;$AN183)),"ACIMA REF.","")))))</f>
        <v/>
      </c>
      <c r="AD183" t="str">
        <f ca="1">IF(C183&lt;=CRONO.NivelExibicao,MAX($AD$15:OFFSET(AD183,-1,0))+IF($C183&lt;&gt;1,1,MAX(1,COUNTIF(QCI!$A$13:$A$24,OFFSET($E183,-1,0)))),"")</f>
        <v/>
      </c>
      <c r="AE183" s="7" t="b">
        <f ca="1">IF(AND($C183="S",ORÇAMENTO.CodBarra&lt;&gt;""),IF(ORÇAMENTO.Fonte="",ORÇAMENTO.CodBarra,CONCATENATE(ORÇAMENTO.Fonte," ",ORÇAMENTO.CodBarra)))</f>
        <v>0</v>
      </c>
      <c r="AF183" s="13" t="str">
        <f ca="1">IF(ISERROR(INDIRECT(ORÇAMENTO.BancoRef)),"(abra o arquivo 'Referência "&amp;Excel_BuiltIn_Database&amp;".xlsm)",IF(OR($C183&lt;&gt;"S",ORÇAMENTO.CodBarra=""),"(Sem Código)",IF(ISERROR(MATCH($AE183,INDIRECT(ORÇAMENTO.BancoRef),0)),"(Código não identificado nas referências)",MATCH($AE183,INDIRECT(ORÇAMENTO.BancoRef),0))))</f>
        <v>(abra o arquivo 'Referência 06-2024.xlsm)</v>
      </c>
      <c r="AG183" s="498">
        <f ca="1">ROUND(IF(DESONERACAO="sim",REFERENCIA.Desonerado,REFERENCIA.NaoDesonerado),2)</f>
        <v>0</v>
      </c>
      <c r="AH183" s="499">
        <f t="shared" ca="1" si="69"/>
        <v>0.2432</v>
      </c>
      <c r="AJ183" s="501"/>
      <c r="AL183" s="527"/>
      <c r="AM183" s="381">
        <f t="shared" ca="1" si="70"/>
        <v>0</v>
      </c>
      <c r="AN183" s="566">
        <f t="shared" ca="1" si="71"/>
        <v>0</v>
      </c>
    </row>
    <row r="184" spans="1:40" x14ac:dyDescent="0.2">
      <c r="A184">
        <f t="shared" si="56"/>
        <v>2</v>
      </c>
      <c r="B184">
        <f t="shared" ca="1" si="57"/>
        <v>2</v>
      </c>
      <c r="C184">
        <f t="shared" ca="1" si="58"/>
        <v>2</v>
      </c>
      <c r="D184">
        <f t="shared" ca="1" si="59"/>
        <v>15</v>
      </c>
      <c r="E184">
        <f ca="1">IF($C184=1,OFFSET(E184,-1,0)+MAX(1,COUNTIF(QCI!$A$13:$A$24,OFFSET(ORÇAMENTO!E184,-1,0))),OFFSET(E184,-1,0))</f>
        <v>1</v>
      </c>
      <c r="F184">
        <f t="shared" ca="1" si="60"/>
        <v>26</v>
      </c>
      <c r="G184">
        <f t="shared" ca="1" si="61"/>
        <v>0</v>
      </c>
      <c r="H184">
        <f t="shared" ca="1" si="62"/>
        <v>0</v>
      </c>
      <c r="I184">
        <f t="shared" ca="1" si="63"/>
        <v>0</v>
      </c>
      <c r="J184">
        <f t="shared" ca="1" si="55"/>
        <v>543</v>
      </c>
      <c r="K184">
        <f ca="1">IF(OR($C184="S",$C184=0),0,MATCH(OFFSET($D184,0,$C184)+IF($C184&lt;&gt;1,1,COUNTIF(QCI!$A$13:$A$24,ORÇAMENTO!E184)),OFFSET($D184,1,$C184,ROW($C$727)-ROW($C184)),0))</f>
        <v>15</v>
      </c>
      <c r="L184" s="116" t="str">
        <f t="shared" ca="1" si="64"/>
        <v>F</v>
      </c>
      <c r="M184" s="117" t="s">
        <v>196</v>
      </c>
      <c r="N184" s="118" t="str">
        <f t="shared" ca="1" si="65"/>
        <v>Nível 2</v>
      </c>
      <c r="O184" s="119" t="str">
        <f t="shared" ca="1" si="66"/>
        <v>1.26.</v>
      </c>
      <c r="P184" s="120" t="s">
        <v>247</v>
      </c>
      <c r="Q184" s="121"/>
      <c r="R184" s="122" t="s">
        <v>1051</v>
      </c>
      <c r="S184" s="123" t="str">
        <f ca="1">REFERENCIA.Unidade</f>
        <v>-</v>
      </c>
      <c r="T184" s="124">
        <f ca="1">OFFSET(CÁLCULO!H$15,ROW($T184)-ROW(T$15),0)</f>
        <v>0</v>
      </c>
      <c r="U184" s="125">
        <f t="shared" ca="1" si="72"/>
        <v>0</v>
      </c>
      <c r="V184" s="126" t="s">
        <v>156</v>
      </c>
      <c r="W184" s="124">
        <f ca="1">IF($C184="S",ROUND(IF(TIPOORCAMENTO="Proposto",ORÇAMENTO.CustoUnitario*(1+$AH184),ORÇAMENTO.PrecoUnitarioLicitado),15-13*$AF$10),0)</f>
        <v>0</v>
      </c>
      <c r="X184" s="127">
        <f ca="1">IF($C184="S",IF(Import.TipoArredondamento&lt;&gt;"TransfereGOV",VTOTAL1,SUM(OFFSET(CÁLCULO!$AI$15,ROW($X184)-ROW($X$15),1):OFFSET(CÁLCULO!$BB$15,ROW($X184)-ROW($X$15),-1))),IF($C184=0,0,ROUND(SomaAgrup,15-13*$AF$11)))</f>
        <v>0</v>
      </c>
      <c r="Y184" s="128" t="s">
        <v>245</v>
      </c>
      <c r="Z184" t="str">
        <f t="shared" ca="1" si="67"/>
        <v/>
      </c>
      <c r="AA184" s="129">
        <f ca="1">IF($C184="S",IF($Z184="CP",$X184,IF($Z184="RA",(($X184)*QCI!$AA$3),0)),SomaAgrup)</f>
        <v>0</v>
      </c>
      <c r="AB184" s="130">
        <f t="shared" ca="1" si="68"/>
        <v>0</v>
      </c>
      <c r="AC184" s="131" t="str">
        <f ca="1">IF($N184="","",IF(ORÇAMENTO.Descricao="","DESCRIÇÃO",IF(AND($C184="S",ORÇAMENTO.Unidade=""),"UNIDADE",IF($X184&lt;0,"VALOR NEGATIVO",IF(OR(AND(TIPOORCAMENTO="Proposto",$AG184&lt;&gt;"",$AG184&gt;0,ORÇAMENTO.CustoUnitario&gt;$AG184),AND(TIPOORCAMENTO="LICITADO",ORÇAMENTO.PrecoUnitarioLicitado&gt;$AN184)),"ACIMA REF.","")))))</f>
        <v/>
      </c>
      <c r="AD184">
        <f ca="1">IF(C184&lt;=CRONO.NivelExibicao,MAX($AD$15:OFFSET(AD184,-1,0))+IF($C184&lt;&gt;1,1,MAX(1,COUNTIF(QCI!$A$13:$A$24,OFFSET($E184,-1,0)))),"")</f>
        <v>27</v>
      </c>
      <c r="AE184" s="7" t="b">
        <f ca="1">IF(AND($C184="S",ORÇAMENTO.CodBarra&lt;&gt;""),IF(ORÇAMENTO.Fonte="",ORÇAMENTO.CodBarra,CONCATENATE(ORÇAMENTO.Fonte," ",ORÇAMENTO.CodBarra)))</f>
        <v>0</v>
      </c>
      <c r="AF184" s="13" t="str">
        <f ca="1">IF(ISERROR(INDIRECT(ORÇAMENTO.BancoRef)),"(abra o arquivo 'Referência "&amp;Excel_BuiltIn_Database&amp;".xlsm)",IF(OR($C184&lt;&gt;"S",ORÇAMENTO.CodBarra=""),"(Sem Código)",IF(ISERROR(MATCH($AE184,INDIRECT(ORÇAMENTO.BancoRef),0)),"(Código não identificado nas referências)",MATCH($AE184,INDIRECT(ORÇAMENTO.BancoRef),0))))</f>
        <v>(abra o arquivo 'Referência 06-2024.xlsm)</v>
      </c>
      <c r="AG184" s="498">
        <f ca="1">ROUND(IF(DESONERACAO="sim",REFERENCIA.Desonerado,REFERENCIA.NaoDesonerado),2)</f>
        <v>0</v>
      </c>
      <c r="AH184" s="499">
        <f t="shared" ca="1" si="69"/>
        <v>0.2432</v>
      </c>
      <c r="AJ184" s="501"/>
      <c r="AL184" s="527"/>
      <c r="AM184" s="381">
        <f t="shared" ca="1" si="70"/>
        <v>0</v>
      </c>
      <c r="AN184" s="566">
        <f t="shared" ca="1" si="71"/>
        <v>0</v>
      </c>
    </row>
    <row r="185" spans="1:40" ht="38.25" x14ac:dyDescent="0.2">
      <c r="A185" t="str">
        <f t="shared" si="56"/>
        <v>S</v>
      </c>
      <c r="B185">
        <f t="shared" ca="1" si="57"/>
        <v>2</v>
      </c>
      <c r="C185" t="str">
        <f t="shared" ca="1" si="58"/>
        <v>S</v>
      </c>
      <c r="D185">
        <f t="shared" ca="1" si="59"/>
        <v>0</v>
      </c>
      <c r="E185">
        <f ca="1">IF($C185=1,OFFSET(E185,-1,0)+MAX(1,COUNTIF(QCI!$A$13:$A$24,OFFSET(ORÇAMENTO!E185,-1,0))),OFFSET(E185,-1,0))</f>
        <v>1</v>
      </c>
      <c r="F185">
        <f t="shared" ca="1" si="60"/>
        <v>26</v>
      </c>
      <c r="G185">
        <f t="shared" ca="1" si="61"/>
        <v>0</v>
      </c>
      <c r="H185">
        <f t="shared" ca="1" si="62"/>
        <v>0</v>
      </c>
      <c r="I185">
        <f t="shared" ca="1" si="63"/>
        <v>0</v>
      </c>
      <c r="J185">
        <f t="shared" ca="1" si="55"/>
        <v>0</v>
      </c>
      <c r="K185">
        <f ca="1">IF(OR($C185="S",$C185=0),0,MATCH(OFFSET($D185,0,$C185)+IF($C185&lt;&gt;1,1,COUNTIF(QCI!$A$13:$A$24,ORÇAMENTO!E185)),OFFSET($D185,1,$C185,ROW($C$727)-ROW($C185)),0))</f>
        <v>0</v>
      </c>
      <c r="L185" s="116" t="str">
        <f t="shared" ca="1" si="64"/>
        <v/>
      </c>
      <c r="M185" s="117" t="s">
        <v>199</v>
      </c>
      <c r="N185" s="118" t="str">
        <f t="shared" ca="1" si="65"/>
        <v>Serviço</v>
      </c>
      <c r="O185" s="119" t="str">
        <f t="shared" ca="1" si="66"/>
        <v>-</v>
      </c>
      <c r="P185" s="120" t="s">
        <v>458</v>
      </c>
      <c r="Q185" s="121" t="s">
        <v>584</v>
      </c>
      <c r="R185" s="122" t="str">
        <f ca="1">IF($C185="S",REFERENCIA.Descricao,"(digite a descrição aqui)")</f>
        <v>(abra o arquivo 'Referência 06-2024.xlsm)</v>
      </c>
      <c r="S185" s="123" t="str">
        <f ca="1">REFERENCIA.Unidade</f>
        <v>-</v>
      </c>
      <c r="T185" s="124">
        <f ca="1">OFFSET(CÁLCULO!H$15,ROW($T185)-ROW(T$15),0)</f>
        <v>2001.17</v>
      </c>
      <c r="U185" s="125">
        <f t="shared" ca="1" si="72"/>
        <v>0</v>
      </c>
      <c r="V185" s="126" t="s">
        <v>156</v>
      </c>
      <c r="W185" s="124">
        <f ca="1">IF($C185="S",ROUND(IF(TIPOORCAMENTO="Proposto",ORÇAMENTO.CustoUnitario*(1+$AH185),ORÇAMENTO.PrecoUnitarioLicitado),15-13*$AF$10),0)</f>
        <v>0</v>
      </c>
      <c r="X185" s="127">
        <f ca="1">IF($C185="S",IF(Import.TipoArredondamento&lt;&gt;"TransfereGOV",VTOTAL1,SUM(OFFSET(CÁLCULO!$AI$15,ROW($X185)-ROW($X$15),1):OFFSET(CÁLCULO!$BB$15,ROW($X185)-ROW($X$15),-1))),IF($C185=0,0,ROUND(SomaAgrup,15-13*$AF$11)))</f>
        <v>0</v>
      </c>
      <c r="Y185" s="128" t="s">
        <v>245</v>
      </c>
      <c r="Z185" t="str">
        <f t="shared" ca="1" si="67"/>
        <v/>
      </c>
      <c r="AA185" s="129">
        <f ca="1">IF($C185="S",IF($Z185="CP",$X185,IF($Z185="RA",(($X185)*QCI!$AA$3),0)),SomaAgrup)</f>
        <v>0</v>
      </c>
      <c r="AB185" s="130">
        <f t="shared" ca="1" si="68"/>
        <v>0</v>
      </c>
      <c r="AC185" s="131" t="str">
        <f ca="1">IF($N185="","",IF(ORÇAMENTO.Descricao="","DESCRIÇÃO",IF(AND($C185="S",ORÇAMENTO.Unidade=""),"UNIDADE",IF($X185&lt;0,"VALOR NEGATIVO",IF(OR(AND(TIPOORCAMENTO="Proposto",$AG185&lt;&gt;"",$AG185&gt;0,ORÇAMENTO.CustoUnitario&gt;$AG185),AND(TIPOORCAMENTO="LICITADO",ORÇAMENTO.PrecoUnitarioLicitado&gt;$AN185)),"ACIMA REF.","")))))</f>
        <v/>
      </c>
      <c r="AD185" t="str">
        <f ca="1">IF(C185&lt;=CRONO.NivelExibicao,MAX($AD$15:OFFSET(AD185,-1,0))+IF($C185&lt;&gt;1,1,MAX(1,COUNTIF(QCI!$A$13:$A$24,OFFSET($E185,-1,0)))),"")</f>
        <v/>
      </c>
      <c r="AE185" s="7" t="str">
        <f ca="1">IF(AND($C185="S",ORÇAMENTO.CodBarra&lt;&gt;""),IF(ORÇAMENTO.Fonte="",ORÇAMENTO.CodBarra,CONCATENATE(ORÇAMENTO.Fonte," ",ORÇAMENTO.CodBarra)))</f>
        <v>COMPOSIÇÃO FNDE 176</v>
      </c>
      <c r="AF185" s="13" t="str">
        <f ca="1">IF(ISERROR(INDIRECT(ORÇAMENTO.BancoRef)),"(abra o arquivo 'Referência "&amp;Excel_BuiltIn_Database&amp;".xlsm)",IF(OR($C185&lt;&gt;"S",ORÇAMENTO.CodBarra=""),"(Sem Código)",IF(ISERROR(MATCH($AE185,INDIRECT(ORÇAMENTO.BancoRef),0)),"(Código não identificado nas referências)",MATCH($AE185,INDIRECT(ORÇAMENTO.BancoRef),0))))</f>
        <v>(abra o arquivo 'Referência 06-2024.xlsm)</v>
      </c>
      <c r="AG185" s="498">
        <f ca="1">ROUND(IF(DESONERACAO="sim",REFERENCIA.Desonerado,REFERENCIA.NaoDesonerado),2)</f>
        <v>0</v>
      </c>
      <c r="AH185" s="499">
        <f t="shared" ca="1" si="69"/>
        <v>0.2432</v>
      </c>
      <c r="AJ185" s="501"/>
      <c r="AL185" s="527"/>
      <c r="AM185" s="381">
        <f t="shared" ca="1" si="70"/>
        <v>0</v>
      </c>
      <c r="AN185" s="566">
        <f t="shared" ca="1" si="71"/>
        <v>0</v>
      </c>
    </row>
    <row r="186" spans="1:40" ht="38.25" x14ac:dyDescent="0.2">
      <c r="A186" t="str">
        <f t="shared" si="56"/>
        <v>S</v>
      </c>
      <c r="B186">
        <f t="shared" ca="1" si="57"/>
        <v>2</v>
      </c>
      <c r="C186" t="str">
        <f t="shared" ca="1" si="58"/>
        <v>S</v>
      </c>
      <c r="D186">
        <f t="shared" ca="1" si="59"/>
        <v>0</v>
      </c>
      <c r="E186">
        <f ca="1">IF($C186=1,OFFSET(E186,-1,0)+MAX(1,COUNTIF(QCI!$A$13:$A$24,OFFSET(ORÇAMENTO!E186,-1,0))),OFFSET(E186,-1,0))</f>
        <v>1</v>
      </c>
      <c r="F186">
        <f t="shared" ca="1" si="60"/>
        <v>26</v>
      </c>
      <c r="G186">
        <f t="shared" ca="1" si="61"/>
        <v>0</v>
      </c>
      <c r="H186">
        <f t="shared" ca="1" si="62"/>
        <v>0</v>
      </c>
      <c r="I186">
        <f t="shared" ca="1" si="63"/>
        <v>0</v>
      </c>
      <c r="J186">
        <f t="shared" ca="1" si="55"/>
        <v>0</v>
      </c>
      <c r="K186">
        <f ca="1">IF(OR($C186="S",$C186=0),0,MATCH(OFFSET($D186,0,$C186)+IF($C186&lt;&gt;1,1,COUNTIF(QCI!$A$13:$A$24,ORÇAMENTO!E186)),OFFSET($D186,1,$C186,ROW($C$727)-ROW($C186)),0))</f>
        <v>0</v>
      </c>
      <c r="L186" s="116" t="str">
        <f t="shared" ca="1" si="64"/>
        <v/>
      </c>
      <c r="M186" s="117" t="s">
        <v>199</v>
      </c>
      <c r="N186" s="118" t="str">
        <f t="shared" ca="1" si="65"/>
        <v>Serviço</v>
      </c>
      <c r="O186" s="119" t="str">
        <f t="shared" ca="1" si="66"/>
        <v>-</v>
      </c>
      <c r="P186" s="120" t="s">
        <v>458</v>
      </c>
      <c r="Q186" s="121" t="s">
        <v>585</v>
      </c>
      <c r="R186" s="122" t="str">
        <f ca="1">IF($C186="S",REFERENCIA.Descricao,"(digite a descrição aqui)")</f>
        <v>(abra o arquivo 'Referência 06-2024.xlsm)</v>
      </c>
      <c r="S186" s="123" t="str">
        <f ca="1">REFERENCIA.Unidade</f>
        <v>-</v>
      </c>
      <c r="T186" s="124">
        <f ca="1">OFFSET(CÁLCULO!H$15,ROW($T186)-ROW(T$15),0)</f>
        <v>1906.28</v>
      </c>
      <c r="U186" s="125">
        <f t="shared" ca="1" si="72"/>
        <v>0</v>
      </c>
      <c r="V186" s="126" t="s">
        <v>156</v>
      </c>
      <c r="W186" s="124">
        <f ca="1">IF($C186="S",ROUND(IF(TIPOORCAMENTO="Proposto",ORÇAMENTO.CustoUnitario*(1+$AH186),ORÇAMENTO.PrecoUnitarioLicitado),15-13*$AF$10),0)</f>
        <v>0</v>
      </c>
      <c r="X186" s="127">
        <f ca="1">IF($C186="S",IF(Import.TipoArredondamento&lt;&gt;"TransfereGOV",VTOTAL1,SUM(OFFSET(CÁLCULO!$AI$15,ROW($X186)-ROW($X$15),1):OFFSET(CÁLCULO!$BB$15,ROW($X186)-ROW($X$15),-1))),IF($C186=0,0,ROUND(SomaAgrup,15-13*$AF$11)))</f>
        <v>0</v>
      </c>
      <c r="Y186" s="128" t="s">
        <v>245</v>
      </c>
      <c r="Z186" t="str">
        <f t="shared" ca="1" si="67"/>
        <v/>
      </c>
      <c r="AA186" s="129">
        <f ca="1">IF($C186="S",IF($Z186="CP",$X186,IF($Z186="RA",(($X186)*QCI!$AA$3),0)),SomaAgrup)</f>
        <v>0</v>
      </c>
      <c r="AB186" s="130">
        <f t="shared" ca="1" si="68"/>
        <v>0</v>
      </c>
      <c r="AC186" s="131" t="str">
        <f ca="1">IF($N186="","",IF(ORÇAMENTO.Descricao="","DESCRIÇÃO",IF(AND($C186="S",ORÇAMENTO.Unidade=""),"UNIDADE",IF($X186&lt;0,"VALOR NEGATIVO",IF(OR(AND(TIPOORCAMENTO="Proposto",$AG186&lt;&gt;"",$AG186&gt;0,ORÇAMENTO.CustoUnitario&gt;$AG186),AND(TIPOORCAMENTO="LICITADO",ORÇAMENTO.PrecoUnitarioLicitado&gt;$AN186)),"ACIMA REF.","")))))</f>
        <v/>
      </c>
      <c r="AD186" t="str">
        <f ca="1">IF(C186&lt;=CRONO.NivelExibicao,MAX($AD$15:OFFSET(AD186,-1,0))+IF($C186&lt;&gt;1,1,MAX(1,COUNTIF(QCI!$A$13:$A$24,OFFSET($E186,-1,0)))),"")</f>
        <v/>
      </c>
      <c r="AE186" s="7" t="str">
        <f ca="1">IF(AND($C186="S",ORÇAMENTO.CodBarra&lt;&gt;""),IF(ORÇAMENTO.Fonte="",ORÇAMENTO.CodBarra,CONCATENATE(ORÇAMENTO.Fonte," ",ORÇAMENTO.CodBarra)))</f>
        <v>COMPOSIÇÃO FNDE 289</v>
      </c>
      <c r="AF186" s="13" t="str">
        <f ca="1">IF(ISERROR(INDIRECT(ORÇAMENTO.BancoRef)),"(abra o arquivo 'Referência "&amp;Excel_BuiltIn_Database&amp;".xlsm)",IF(OR($C186&lt;&gt;"S",ORÇAMENTO.CodBarra=""),"(Sem Código)",IF(ISERROR(MATCH($AE186,INDIRECT(ORÇAMENTO.BancoRef),0)),"(Código não identificado nas referências)",MATCH($AE186,INDIRECT(ORÇAMENTO.BancoRef),0))))</f>
        <v>(abra o arquivo 'Referência 06-2024.xlsm)</v>
      </c>
      <c r="AG186" s="498">
        <f ca="1">ROUND(IF(DESONERACAO="sim",REFERENCIA.Desonerado,REFERENCIA.NaoDesonerado),2)</f>
        <v>0</v>
      </c>
      <c r="AH186" s="499">
        <f t="shared" ca="1" si="69"/>
        <v>0.2432</v>
      </c>
      <c r="AJ186" s="501"/>
      <c r="AL186" s="527"/>
      <c r="AM186" s="381">
        <f t="shared" ca="1" si="70"/>
        <v>0</v>
      </c>
      <c r="AN186" s="566">
        <f t="shared" ca="1" si="71"/>
        <v>0</v>
      </c>
    </row>
    <row r="187" spans="1:40" ht="51" x14ac:dyDescent="0.2">
      <c r="A187" t="str">
        <f t="shared" si="56"/>
        <v>S</v>
      </c>
      <c r="B187">
        <f t="shared" ca="1" si="57"/>
        <v>2</v>
      </c>
      <c r="C187" t="str">
        <f t="shared" ca="1" si="58"/>
        <v>S</v>
      </c>
      <c r="D187">
        <f t="shared" ca="1" si="59"/>
        <v>0</v>
      </c>
      <c r="E187">
        <f ca="1">IF($C187=1,OFFSET(E187,-1,0)+MAX(1,COUNTIF(QCI!$A$13:$A$24,OFFSET(ORÇAMENTO!E187,-1,0))),OFFSET(E187,-1,0))</f>
        <v>1</v>
      </c>
      <c r="F187">
        <f t="shared" ca="1" si="60"/>
        <v>26</v>
      </c>
      <c r="G187">
        <f t="shared" ca="1" si="61"/>
        <v>0</v>
      </c>
      <c r="H187">
        <f t="shared" ca="1" si="62"/>
        <v>0</v>
      </c>
      <c r="I187">
        <f t="shared" ca="1" si="63"/>
        <v>0</v>
      </c>
      <c r="J187">
        <f t="shared" ca="1" si="55"/>
        <v>0</v>
      </c>
      <c r="K187">
        <f ca="1">IF(OR($C187="S",$C187=0),0,MATCH(OFFSET($D187,0,$C187)+IF($C187&lt;&gt;1,1,COUNTIF(QCI!$A$13:$A$24,ORÇAMENTO!E187)),OFFSET($D187,1,$C187,ROW($C$727)-ROW($C187)),0))</f>
        <v>0</v>
      </c>
      <c r="L187" s="116" t="str">
        <f t="shared" ca="1" si="64"/>
        <v/>
      </c>
      <c r="M187" s="117" t="s">
        <v>199</v>
      </c>
      <c r="N187" s="118" t="str">
        <f t="shared" ca="1" si="65"/>
        <v>Serviço</v>
      </c>
      <c r="O187" s="119" t="str">
        <f t="shared" ca="1" si="66"/>
        <v>-</v>
      </c>
      <c r="P187" s="120" t="s">
        <v>458</v>
      </c>
      <c r="Q187" s="121" t="s">
        <v>586</v>
      </c>
      <c r="R187" s="122" t="str">
        <f ca="1">IF($C187="S",REFERENCIA.Descricao,"(digite a descrição aqui)")</f>
        <v>(abra o arquivo 'Referência 06-2024.xlsm)</v>
      </c>
      <c r="S187" s="123" t="str">
        <f ca="1">REFERENCIA.Unidade</f>
        <v>-</v>
      </c>
      <c r="T187" s="124">
        <f ca="1">OFFSET(CÁLCULO!H$15,ROW($T187)-ROW(T$15),0)</f>
        <v>1478.38</v>
      </c>
      <c r="U187" s="125">
        <f t="shared" ca="1" si="72"/>
        <v>0</v>
      </c>
      <c r="V187" s="126" t="s">
        <v>156</v>
      </c>
      <c r="W187" s="124">
        <f ca="1">IF($C187="S",ROUND(IF(TIPOORCAMENTO="Proposto",ORÇAMENTO.CustoUnitario*(1+$AH187),ORÇAMENTO.PrecoUnitarioLicitado),15-13*$AF$10),0)</f>
        <v>0</v>
      </c>
      <c r="X187" s="127">
        <f ca="1">IF($C187="S",IF(Import.TipoArredondamento&lt;&gt;"TransfereGOV",VTOTAL1,SUM(OFFSET(CÁLCULO!$AI$15,ROW($X187)-ROW($X$15),1):OFFSET(CÁLCULO!$BB$15,ROW($X187)-ROW($X$15),-1))),IF($C187=0,0,ROUND(SomaAgrup,15-13*$AF$11)))</f>
        <v>0</v>
      </c>
      <c r="Y187" s="128" t="s">
        <v>245</v>
      </c>
      <c r="Z187" t="str">
        <f t="shared" ca="1" si="67"/>
        <v/>
      </c>
      <c r="AA187" s="129">
        <f ca="1">IF($C187="S",IF($Z187="CP",$X187,IF($Z187="RA",(($X187)*QCI!$AA$3),0)),SomaAgrup)</f>
        <v>0</v>
      </c>
      <c r="AB187" s="130">
        <f t="shared" ca="1" si="68"/>
        <v>0</v>
      </c>
      <c r="AC187" s="131" t="str">
        <f ca="1">IF($N187="","",IF(ORÇAMENTO.Descricao="","DESCRIÇÃO",IF(AND($C187="S",ORÇAMENTO.Unidade=""),"UNIDADE",IF($X187&lt;0,"VALOR NEGATIVO",IF(OR(AND(TIPOORCAMENTO="Proposto",$AG187&lt;&gt;"",$AG187&gt;0,ORÇAMENTO.CustoUnitario&gt;$AG187),AND(TIPOORCAMENTO="LICITADO",ORÇAMENTO.PrecoUnitarioLicitado&gt;$AN187)),"ACIMA REF.","")))))</f>
        <v/>
      </c>
      <c r="AD187" t="str">
        <f ca="1">IF(C187&lt;=CRONO.NivelExibicao,MAX($AD$15:OFFSET(AD187,-1,0))+IF($C187&lt;&gt;1,1,MAX(1,COUNTIF(QCI!$A$13:$A$24,OFFSET($E187,-1,0)))),"")</f>
        <v/>
      </c>
      <c r="AE187" s="7" t="str">
        <f ca="1">IF(AND($C187="S",ORÇAMENTO.CodBarra&lt;&gt;""),IF(ORÇAMENTO.Fonte="",ORÇAMENTO.CodBarra,CONCATENATE(ORÇAMENTO.Fonte," ",ORÇAMENTO.CodBarra)))</f>
        <v>COMPOSIÇÃO FNDE 290</v>
      </c>
      <c r="AF187" s="13" t="str">
        <f ca="1">IF(ISERROR(INDIRECT(ORÇAMENTO.BancoRef)),"(abra o arquivo 'Referência "&amp;Excel_BuiltIn_Database&amp;".xlsm)",IF(OR($C187&lt;&gt;"S",ORÇAMENTO.CodBarra=""),"(Sem Código)",IF(ISERROR(MATCH($AE187,INDIRECT(ORÇAMENTO.BancoRef),0)),"(Código não identificado nas referências)",MATCH($AE187,INDIRECT(ORÇAMENTO.BancoRef),0))))</f>
        <v>(abra o arquivo 'Referência 06-2024.xlsm)</v>
      </c>
      <c r="AG187" s="498">
        <f ca="1">ROUND(IF(DESONERACAO="sim",REFERENCIA.Desonerado,REFERENCIA.NaoDesonerado),2)</f>
        <v>0</v>
      </c>
      <c r="AH187" s="499">
        <f t="shared" ca="1" si="69"/>
        <v>0.2432</v>
      </c>
      <c r="AJ187" s="501"/>
      <c r="AL187" s="527"/>
      <c r="AM187" s="381">
        <f t="shared" ca="1" si="70"/>
        <v>0</v>
      </c>
      <c r="AN187" s="566">
        <f t="shared" ca="1" si="71"/>
        <v>0</v>
      </c>
    </row>
    <row r="188" spans="1:40" ht="51" x14ac:dyDescent="0.2">
      <c r="A188" t="str">
        <f t="shared" si="56"/>
        <v>S</v>
      </c>
      <c r="B188">
        <f t="shared" ca="1" si="57"/>
        <v>2</v>
      </c>
      <c r="C188" t="str">
        <f t="shared" ca="1" si="58"/>
        <v>S</v>
      </c>
      <c r="D188">
        <f t="shared" ca="1" si="59"/>
        <v>0</v>
      </c>
      <c r="E188">
        <f ca="1">IF($C188=1,OFFSET(E188,-1,0)+MAX(1,COUNTIF(QCI!$A$13:$A$24,OFFSET(ORÇAMENTO!E188,-1,0))),OFFSET(E188,-1,0))</f>
        <v>1</v>
      </c>
      <c r="F188">
        <f t="shared" ca="1" si="60"/>
        <v>26</v>
      </c>
      <c r="G188">
        <f t="shared" ca="1" si="61"/>
        <v>0</v>
      </c>
      <c r="H188">
        <f t="shared" ca="1" si="62"/>
        <v>0</v>
      </c>
      <c r="I188">
        <f t="shared" ca="1" si="63"/>
        <v>0</v>
      </c>
      <c r="J188">
        <f t="shared" ca="1" si="55"/>
        <v>0</v>
      </c>
      <c r="K188">
        <f ca="1">IF(OR($C188="S",$C188=0),0,MATCH(OFFSET($D188,0,$C188)+IF($C188&lt;&gt;1,1,COUNTIF(QCI!$A$13:$A$24,ORÇAMENTO!E188)),OFFSET($D188,1,$C188,ROW($C$727)-ROW($C188)),0))</f>
        <v>0</v>
      </c>
      <c r="L188" s="116" t="str">
        <f t="shared" ca="1" si="64"/>
        <v/>
      </c>
      <c r="M188" s="117" t="s">
        <v>199</v>
      </c>
      <c r="N188" s="118" t="str">
        <f t="shared" ca="1" si="65"/>
        <v>Serviço</v>
      </c>
      <c r="O188" s="119" t="str">
        <f t="shared" ca="1" si="66"/>
        <v>-</v>
      </c>
      <c r="P188" s="120" t="s">
        <v>458</v>
      </c>
      <c r="Q188" s="121" t="s">
        <v>587</v>
      </c>
      <c r="R188" s="122" t="str">
        <f ca="1">IF($C188="S",REFERENCIA.Descricao,"(digite a descrição aqui)")</f>
        <v>(abra o arquivo 'Referência 06-2024.xlsm)</v>
      </c>
      <c r="S188" s="123" t="str">
        <f ca="1">REFERENCIA.Unidade</f>
        <v>-</v>
      </c>
      <c r="T188" s="124">
        <f ca="1">OFFSET(CÁLCULO!H$15,ROW($T188)-ROW(T$15),0)</f>
        <v>2420.0300000000002</v>
      </c>
      <c r="U188" s="125">
        <f t="shared" ca="1" si="72"/>
        <v>0</v>
      </c>
      <c r="V188" s="126" t="s">
        <v>156</v>
      </c>
      <c r="W188" s="124">
        <f ca="1">IF($C188="S",ROUND(IF(TIPOORCAMENTO="Proposto",ORÇAMENTO.CustoUnitario*(1+$AH188),ORÇAMENTO.PrecoUnitarioLicitado),15-13*$AF$10),0)</f>
        <v>0</v>
      </c>
      <c r="X188" s="127">
        <f ca="1">IF($C188="S",IF(Import.TipoArredondamento&lt;&gt;"TransfereGOV",VTOTAL1,SUM(OFFSET(CÁLCULO!$AI$15,ROW($X188)-ROW($X$15),1):OFFSET(CÁLCULO!$BB$15,ROW($X188)-ROW($X$15),-1))),IF($C188=0,0,ROUND(SomaAgrup,15-13*$AF$11)))</f>
        <v>0</v>
      </c>
      <c r="Y188" s="128" t="s">
        <v>245</v>
      </c>
      <c r="Z188" t="str">
        <f t="shared" ca="1" si="67"/>
        <v/>
      </c>
      <c r="AA188" s="129">
        <f ca="1">IF($C188="S",IF($Z188="CP",$X188,IF($Z188="RA",(($X188)*QCI!$AA$3),0)),SomaAgrup)</f>
        <v>0</v>
      </c>
      <c r="AB188" s="130">
        <f t="shared" ca="1" si="68"/>
        <v>0</v>
      </c>
      <c r="AC188" s="131" t="str">
        <f ca="1">IF($N188="","",IF(ORÇAMENTO.Descricao="","DESCRIÇÃO",IF(AND($C188="S",ORÇAMENTO.Unidade=""),"UNIDADE",IF($X188&lt;0,"VALOR NEGATIVO",IF(OR(AND(TIPOORCAMENTO="Proposto",$AG188&lt;&gt;"",$AG188&gt;0,ORÇAMENTO.CustoUnitario&gt;$AG188),AND(TIPOORCAMENTO="LICITADO",ORÇAMENTO.PrecoUnitarioLicitado&gt;$AN188)),"ACIMA REF.","")))))</f>
        <v/>
      </c>
      <c r="AD188" t="str">
        <f ca="1">IF(C188&lt;=CRONO.NivelExibicao,MAX($AD$15:OFFSET(AD188,-1,0))+IF($C188&lt;&gt;1,1,MAX(1,COUNTIF(QCI!$A$13:$A$24,OFFSET($E188,-1,0)))),"")</f>
        <v/>
      </c>
      <c r="AE188" s="7" t="str">
        <f ca="1">IF(AND($C188="S",ORÇAMENTO.CodBarra&lt;&gt;""),IF(ORÇAMENTO.Fonte="",ORÇAMENTO.CodBarra,CONCATENATE(ORÇAMENTO.Fonte," ",ORÇAMENTO.CodBarra)))</f>
        <v>COMPOSIÇÃO FNDE 291</v>
      </c>
      <c r="AF188" s="13" t="str">
        <f ca="1">IF(ISERROR(INDIRECT(ORÇAMENTO.BancoRef)),"(abra o arquivo 'Referência "&amp;Excel_BuiltIn_Database&amp;".xlsm)",IF(OR($C188&lt;&gt;"S",ORÇAMENTO.CodBarra=""),"(Sem Código)",IF(ISERROR(MATCH($AE188,INDIRECT(ORÇAMENTO.BancoRef),0)),"(Código não identificado nas referências)",MATCH($AE188,INDIRECT(ORÇAMENTO.BancoRef),0))))</f>
        <v>(abra o arquivo 'Referência 06-2024.xlsm)</v>
      </c>
      <c r="AG188" s="498">
        <f ca="1">ROUND(IF(DESONERACAO="sim",REFERENCIA.Desonerado,REFERENCIA.NaoDesonerado),2)</f>
        <v>0</v>
      </c>
      <c r="AH188" s="499">
        <f t="shared" ca="1" si="69"/>
        <v>0.2432</v>
      </c>
      <c r="AJ188" s="501"/>
      <c r="AL188" s="527"/>
      <c r="AM188" s="381">
        <f t="shared" ca="1" si="70"/>
        <v>0</v>
      </c>
      <c r="AN188" s="566">
        <f t="shared" ca="1" si="71"/>
        <v>0</v>
      </c>
    </row>
    <row r="189" spans="1:40" ht="51" x14ac:dyDescent="0.2">
      <c r="A189" t="str">
        <f t="shared" si="56"/>
        <v>S</v>
      </c>
      <c r="B189">
        <f t="shared" ca="1" si="57"/>
        <v>2</v>
      </c>
      <c r="C189" t="str">
        <f t="shared" ca="1" si="58"/>
        <v>S</v>
      </c>
      <c r="D189">
        <f t="shared" ca="1" si="59"/>
        <v>0</v>
      </c>
      <c r="E189">
        <f ca="1">IF($C189=1,OFFSET(E189,-1,0)+MAX(1,COUNTIF(QCI!$A$13:$A$24,OFFSET(ORÇAMENTO!E189,-1,0))),OFFSET(E189,-1,0))</f>
        <v>1</v>
      </c>
      <c r="F189">
        <f t="shared" ca="1" si="60"/>
        <v>26</v>
      </c>
      <c r="G189">
        <f t="shared" ca="1" si="61"/>
        <v>0</v>
      </c>
      <c r="H189">
        <f t="shared" ca="1" si="62"/>
        <v>0</v>
      </c>
      <c r="I189">
        <f t="shared" ca="1" si="63"/>
        <v>0</v>
      </c>
      <c r="J189">
        <f t="shared" ca="1" si="55"/>
        <v>0</v>
      </c>
      <c r="K189">
        <f ca="1">IF(OR($C189="S",$C189=0),0,MATCH(OFFSET($D189,0,$C189)+IF($C189&lt;&gt;1,1,COUNTIF(QCI!$A$13:$A$24,ORÇAMENTO!E189)),OFFSET($D189,1,$C189,ROW($C$727)-ROW($C189)),0))</f>
        <v>0</v>
      </c>
      <c r="L189" s="116" t="str">
        <f t="shared" ca="1" si="64"/>
        <v/>
      </c>
      <c r="M189" s="117" t="s">
        <v>199</v>
      </c>
      <c r="N189" s="118" t="str">
        <f t="shared" ca="1" si="65"/>
        <v>Serviço</v>
      </c>
      <c r="O189" s="119" t="str">
        <f t="shared" ca="1" si="66"/>
        <v>-</v>
      </c>
      <c r="P189" s="120" t="s">
        <v>458</v>
      </c>
      <c r="Q189" s="121" t="s">
        <v>588</v>
      </c>
      <c r="R189" s="122" t="str">
        <f ca="1">IF($C189="S",REFERENCIA.Descricao,"(digite a descrição aqui)")</f>
        <v>(abra o arquivo 'Referência 06-2024.xlsm)</v>
      </c>
      <c r="S189" s="123" t="str">
        <f ca="1">REFERENCIA.Unidade</f>
        <v>-</v>
      </c>
      <c r="T189" s="124">
        <f ca="1">OFFSET(CÁLCULO!H$15,ROW($T189)-ROW(T$15),0)</f>
        <v>1354.58</v>
      </c>
      <c r="U189" s="125">
        <f t="shared" ca="1" si="72"/>
        <v>0</v>
      </c>
      <c r="V189" s="126" t="s">
        <v>156</v>
      </c>
      <c r="W189" s="124">
        <f ca="1">IF($C189="S",ROUND(IF(TIPOORCAMENTO="Proposto",ORÇAMENTO.CustoUnitario*(1+$AH189),ORÇAMENTO.PrecoUnitarioLicitado),15-13*$AF$10),0)</f>
        <v>0</v>
      </c>
      <c r="X189" s="127">
        <f ca="1">IF($C189="S",IF(Import.TipoArredondamento&lt;&gt;"TransfereGOV",VTOTAL1,SUM(OFFSET(CÁLCULO!$AI$15,ROW($X189)-ROW($X$15),1):OFFSET(CÁLCULO!$BB$15,ROW($X189)-ROW($X$15),-1))),IF($C189=0,0,ROUND(SomaAgrup,15-13*$AF$11)))</f>
        <v>0</v>
      </c>
      <c r="Y189" s="128" t="s">
        <v>245</v>
      </c>
      <c r="Z189" t="str">
        <f t="shared" ca="1" si="67"/>
        <v/>
      </c>
      <c r="AA189" s="129">
        <f ca="1">IF($C189="S",IF($Z189="CP",$X189,IF($Z189="RA",(($X189)*QCI!$AA$3),0)),SomaAgrup)</f>
        <v>0</v>
      </c>
      <c r="AB189" s="130">
        <f t="shared" ca="1" si="68"/>
        <v>0</v>
      </c>
      <c r="AC189" s="131" t="str">
        <f ca="1">IF($N189="","",IF(ORÇAMENTO.Descricao="","DESCRIÇÃO",IF(AND($C189="S",ORÇAMENTO.Unidade=""),"UNIDADE",IF($X189&lt;0,"VALOR NEGATIVO",IF(OR(AND(TIPOORCAMENTO="Proposto",$AG189&lt;&gt;"",$AG189&gt;0,ORÇAMENTO.CustoUnitario&gt;$AG189),AND(TIPOORCAMENTO="LICITADO",ORÇAMENTO.PrecoUnitarioLicitado&gt;$AN189)),"ACIMA REF.","")))))</f>
        <v/>
      </c>
      <c r="AD189" t="str">
        <f ca="1">IF(C189&lt;=CRONO.NivelExibicao,MAX($AD$15:OFFSET(AD189,-1,0))+IF($C189&lt;&gt;1,1,MAX(1,COUNTIF(QCI!$A$13:$A$24,OFFSET($E189,-1,0)))),"")</f>
        <v/>
      </c>
      <c r="AE189" s="7" t="str">
        <f ca="1">IF(AND($C189="S",ORÇAMENTO.CodBarra&lt;&gt;""),IF(ORÇAMENTO.Fonte="",ORÇAMENTO.CodBarra,CONCATENATE(ORÇAMENTO.Fonte," ",ORÇAMENTO.CodBarra)))</f>
        <v>COMPOSIÇÃO FNDE 292</v>
      </c>
      <c r="AF189" s="13" t="str">
        <f ca="1">IF(ISERROR(INDIRECT(ORÇAMENTO.BancoRef)),"(abra o arquivo 'Referência "&amp;Excel_BuiltIn_Database&amp;".xlsm)",IF(OR($C189&lt;&gt;"S",ORÇAMENTO.CodBarra=""),"(Sem Código)",IF(ISERROR(MATCH($AE189,INDIRECT(ORÇAMENTO.BancoRef),0)),"(Código não identificado nas referências)",MATCH($AE189,INDIRECT(ORÇAMENTO.BancoRef),0))))</f>
        <v>(abra o arquivo 'Referência 06-2024.xlsm)</v>
      </c>
      <c r="AG189" s="498">
        <f ca="1">ROUND(IF(DESONERACAO="sim",REFERENCIA.Desonerado,REFERENCIA.NaoDesonerado),2)</f>
        <v>0</v>
      </c>
      <c r="AH189" s="499">
        <f t="shared" ca="1" si="69"/>
        <v>0.2432</v>
      </c>
      <c r="AJ189" s="501"/>
      <c r="AL189" s="527"/>
      <c r="AM189" s="381">
        <f t="shared" ca="1" si="70"/>
        <v>0</v>
      </c>
      <c r="AN189" s="566">
        <f t="shared" ca="1" si="71"/>
        <v>0</v>
      </c>
    </row>
    <row r="190" spans="1:40" ht="38.25" x14ac:dyDescent="0.2">
      <c r="A190" t="str">
        <f t="shared" si="56"/>
        <v>S</v>
      </c>
      <c r="B190">
        <f t="shared" ca="1" si="57"/>
        <v>2</v>
      </c>
      <c r="C190" t="str">
        <f t="shared" ca="1" si="58"/>
        <v>S</v>
      </c>
      <c r="D190">
        <f t="shared" ca="1" si="59"/>
        <v>0</v>
      </c>
      <c r="E190">
        <f ca="1">IF($C190=1,OFFSET(E190,-1,0)+MAX(1,COUNTIF(QCI!$A$13:$A$24,OFFSET(ORÇAMENTO!E190,-1,0))),OFFSET(E190,-1,0))</f>
        <v>1</v>
      </c>
      <c r="F190">
        <f t="shared" ca="1" si="60"/>
        <v>26</v>
      </c>
      <c r="G190">
        <f t="shared" ca="1" si="61"/>
        <v>0</v>
      </c>
      <c r="H190">
        <f t="shared" ca="1" si="62"/>
        <v>0</v>
      </c>
      <c r="I190">
        <f t="shared" ca="1" si="63"/>
        <v>0</v>
      </c>
      <c r="J190">
        <f t="shared" ca="1" si="55"/>
        <v>0</v>
      </c>
      <c r="K190">
        <f ca="1">IF(OR($C190="S",$C190=0),0,MATCH(OFFSET($D190,0,$C190)+IF($C190&lt;&gt;1,1,COUNTIF(QCI!$A$13:$A$24,ORÇAMENTO!E190)),OFFSET($D190,1,$C190,ROW($C$727)-ROW($C190)),0))</f>
        <v>0</v>
      </c>
      <c r="L190" s="116" t="str">
        <f t="shared" ca="1" si="64"/>
        <v/>
      </c>
      <c r="M190" s="117" t="s">
        <v>199</v>
      </c>
      <c r="N190" s="118" t="str">
        <f t="shared" ca="1" si="65"/>
        <v>Serviço</v>
      </c>
      <c r="O190" s="119" t="str">
        <f t="shared" ca="1" si="66"/>
        <v>-</v>
      </c>
      <c r="P190" s="120" t="s">
        <v>247</v>
      </c>
      <c r="Q190" s="121" t="s">
        <v>589</v>
      </c>
      <c r="R190" s="122" t="str">
        <f ca="1">IF($C190="S",REFERENCIA.Descricao,"(digite a descrição aqui)")</f>
        <v>(abra o arquivo 'Referência 06-2024.xlsm)</v>
      </c>
      <c r="S190" s="123" t="str">
        <f ca="1">REFERENCIA.Unidade</f>
        <v>-</v>
      </c>
      <c r="T190" s="124">
        <f ca="1">OFFSET(CÁLCULO!H$15,ROW($T190)-ROW(T$15),0)</f>
        <v>660.81</v>
      </c>
      <c r="U190" s="125">
        <f t="shared" ca="1" si="72"/>
        <v>0</v>
      </c>
      <c r="V190" s="126" t="s">
        <v>156</v>
      </c>
      <c r="W190" s="124">
        <f ca="1">IF($C190="S",ROUND(IF(TIPOORCAMENTO="Proposto",ORÇAMENTO.CustoUnitario*(1+$AH190),ORÇAMENTO.PrecoUnitarioLicitado),15-13*$AF$10),0)</f>
        <v>0</v>
      </c>
      <c r="X190" s="127">
        <f ca="1">IF($C190="S",IF(Import.TipoArredondamento&lt;&gt;"TransfereGOV",VTOTAL1,SUM(OFFSET(CÁLCULO!$AI$15,ROW($X190)-ROW($X$15),1):OFFSET(CÁLCULO!$BB$15,ROW($X190)-ROW($X$15),-1))),IF($C190=0,0,ROUND(SomaAgrup,15-13*$AF$11)))</f>
        <v>0</v>
      </c>
      <c r="Y190" s="128" t="s">
        <v>245</v>
      </c>
      <c r="Z190" t="str">
        <f t="shared" ca="1" si="67"/>
        <v/>
      </c>
      <c r="AA190" s="129">
        <f ca="1">IF($C190="S",IF($Z190="CP",$X190,IF($Z190="RA",(($X190)*QCI!$AA$3),0)),SomaAgrup)</f>
        <v>0</v>
      </c>
      <c r="AB190" s="130">
        <f t="shared" ca="1" si="68"/>
        <v>0</v>
      </c>
      <c r="AC190" s="131" t="str">
        <f ca="1">IF($N190="","",IF(ORÇAMENTO.Descricao="","DESCRIÇÃO",IF(AND($C190="S",ORÇAMENTO.Unidade=""),"UNIDADE",IF($X190&lt;0,"VALOR NEGATIVO",IF(OR(AND(TIPOORCAMENTO="Proposto",$AG190&lt;&gt;"",$AG190&gt;0,ORÇAMENTO.CustoUnitario&gt;$AG190),AND(TIPOORCAMENTO="LICITADO",ORÇAMENTO.PrecoUnitarioLicitado&gt;$AN190)),"ACIMA REF.","")))))</f>
        <v/>
      </c>
      <c r="AD190" t="str">
        <f ca="1">IF(C190&lt;=CRONO.NivelExibicao,MAX($AD$15:OFFSET(AD190,-1,0))+IF($C190&lt;&gt;1,1,MAX(1,COUNTIF(QCI!$A$13:$A$24,OFFSET($E190,-1,0)))),"")</f>
        <v/>
      </c>
      <c r="AE190" s="7" t="str">
        <f ca="1">IF(AND($C190="S",ORÇAMENTO.CodBarra&lt;&gt;""),IF(ORÇAMENTO.Fonte="",ORÇAMENTO.CodBarra,CONCATENATE(ORÇAMENTO.Fonte," ",ORÇAMENTO.CodBarra)))</f>
        <v>SINAPI 87273</v>
      </c>
      <c r="AF190" s="13" t="str">
        <f ca="1">IF(ISERROR(INDIRECT(ORÇAMENTO.BancoRef)),"(abra o arquivo 'Referência "&amp;Excel_BuiltIn_Database&amp;".xlsm)",IF(OR($C190&lt;&gt;"S",ORÇAMENTO.CodBarra=""),"(Sem Código)",IF(ISERROR(MATCH($AE190,INDIRECT(ORÇAMENTO.BancoRef),0)),"(Código não identificado nas referências)",MATCH($AE190,INDIRECT(ORÇAMENTO.BancoRef),0))))</f>
        <v>(abra o arquivo 'Referência 06-2024.xlsm)</v>
      </c>
      <c r="AG190" s="498">
        <f ca="1">ROUND(IF(DESONERACAO="sim",REFERENCIA.Desonerado,REFERENCIA.NaoDesonerado),2)</f>
        <v>0</v>
      </c>
      <c r="AH190" s="499">
        <f t="shared" ca="1" si="69"/>
        <v>0.2432</v>
      </c>
      <c r="AJ190" s="501"/>
      <c r="AL190" s="527"/>
      <c r="AM190" s="381">
        <f t="shared" ca="1" si="70"/>
        <v>0</v>
      </c>
      <c r="AN190" s="566">
        <f t="shared" ca="1" si="71"/>
        <v>0</v>
      </c>
    </row>
    <row r="191" spans="1:40" ht="38.25" x14ac:dyDescent="0.2">
      <c r="A191" t="str">
        <f t="shared" si="56"/>
        <v>S</v>
      </c>
      <c r="B191">
        <f t="shared" ca="1" si="57"/>
        <v>2</v>
      </c>
      <c r="C191" t="str">
        <f t="shared" ca="1" si="58"/>
        <v>S</v>
      </c>
      <c r="D191">
        <f t="shared" ca="1" si="59"/>
        <v>0</v>
      </c>
      <c r="E191">
        <f ca="1">IF($C191=1,OFFSET(E191,-1,0)+MAX(1,COUNTIF(QCI!$A$13:$A$24,OFFSET(ORÇAMENTO!E191,-1,0))),OFFSET(E191,-1,0))</f>
        <v>1</v>
      </c>
      <c r="F191">
        <f t="shared" ca="1" si="60"/>
        <v>26</v>
      </c>
      <c r="G191">
        <f t="shared" ca="1" si="61"/>
        <v>0</v>
      </c>
      <c r="H191">
        <f t="shared" ca="1" si="62"/>
        <v>0</v>
      </c>
      <c r="I191">
        <f t="shared" ca="1" si="63"/>
        <v>0</v>
      </c>
      <c r="J191">
        <f t="shared" ca="1" si="55"/>
        <v>0</v>
      </c>
      <c r="K191">
        <f ca="1">IF(OR($C191="S",$C191=0),0,MATCH(OFFSET($D191,0,$C191)+IF($C191&lt;&gt;1,1,COUNTIF(QCI!$A$13:$A$24,ORÇAMENTO!E191)),OFFSET($D191,1,$C191,ROW($C$727)-ROW($C191)),0))</f>
        <v>0</v>
      </c>
      <c r="L191" s="116" t="str">
        <f t="shared" ca="1" si="64"/>
        <v/>
      </c>
      <c r="M191" s="117" t="s">
        <v>199</v>
      </c>
      <c r="N191" s="118" t="str">
        <f t="shared" ca="1" si="65"/>
        <v>Serviço</v>
      </c>
      <c r="O191" s="119" t="str">
        <f t="shared" ca="1" si="66"/>
        <v>-</v>
      </c>
      <c r="P191" s="120" t="s">
        <v>458</v>
      </c>
      <c r="Q191" s="121" t="s">
        <v>590</v>
      </c>
      <c r="R191" s="122" t="str">
        <f ca="1">IF($C191="S",REFERENCIA.Descricao,"(digite a descrição aqui)")</f>
        <v>(abra o arquivo 'Referência 06-2024.xlsm)</v>
      </c>
      <c r="S191" s="123" t="str">
        <f ca="1">REFERENCIA.Unidade</f>
        <v>-</v>
      </c>
      <c r="T191" s="124">
        <f ca="1">OFFSET(CÁLCULO!H$15,ROW($T191)-ROW(T$15),0)</f>
        <v>139.66999999999999</v>
      </c>
      <c r="U191" s="125">
        <f t="shared" ca="1" si="72"/>
        <v>0</v>
      </c>
      <c r="V191" s="126" t="s">
        <v>156</v>
      </c>
      <c r="W191" s="124">
        <f ca="1">IF($C191="S",ROUND(IF(TIPOORCAMENTO="Proposto",ORÇAMENTO.CustoUnitario*(1+$AH191),ORÇAMENTO.PrecoUnitarioLicitado),15-13*$AF$10),0)</f>
        <v>0</v>
      </c>
      <c r="X191" s="127">
        <f ca="1">IF($C191="S",IF(Import.TipoArredondamento&lt;&gt;"TransfereGOV",VTOTAL1,SUM(OFFSET(CÁLCULO!$AI$15,ROW($X191)-ROW($X$15),1):OFFSET(CÁLCULO!$BB$15,ROW($X191)-ROW($X$15),-1))),IF($C191=0,0,ROUND(SomaAgrup,15-13*$AF$11)))</f>
        <v>0</v>
      </c>
      <c r="Y191" s="128" t="s">
        <v>245</v>
      </c>
      <c r="Z191" t="str">
        <f t="shared" ca="1" si="67"/>
        <v/>
      </c>
      <c r="AA191" s="129">
        <f ca="1">IF($C191="S",IF($Z191="CP",$X191,IF($Z191="RA",(($X191)*QCI!$AA$3),0)),SomaAgrup)</f>
        <v>0</v>
      </c>
      <c r="AB191" s="130">
        <f t="shared" ca="1" si="68"/>
        <v>0</v>
      </c>
      <c r="AC191" s="131" t="str">
        <f ca="1">IF($N191="","",IF(ORÇAMENTO.Descricao="","DESCRIÇÃO",IF(AND($C191="S",ORÇAMENTO.Unidade=""),"UNIDADE",IF($X191&lt;0,"VALOR NEGATIVO",IF(OR(AND(TIPOORCAMENTO="Proposto",$AG191&lt;&gt;"",$AG191&gt;0,ORÇAMENTO.CustoUnitario&gt;$AG191),AND(TIPOORCAMENTO="LICITADO",ORÇAMENTO.PrecoUnitarioLicitado&gt;$AN191)),"ACIMA REF.","")))))</f>
        <v/>
      </c>
      <c r="AD191" t="str">
        <f ca="1">IF(C191&lt;=CRONO.NivelExibicao,MAX($AD$15:OFFSET(AD191,-1,0))+IF($C191&lt;&gt;1,1,MAX(1,COUNTIF(QCI!$A$13:$A$24,OFFSET($E191,-1,0)))),"")</f>
        <v/>
      </c>
      <c r="AE191" s="7" t="str">
        <f ca="1">IF(AND($C191="S",ORÇAMENTO.CodBarra&lt;&gt;""),IF(ORÇAMENTO.Fonte="",ORÇAMENTO.CodBarra,CONCATENATE(ORÇAMENTO.Fonte," ",ORÇAMENTO.CodBarra)))</f>
        <v>COMPOSIÇÃO FNDE 293</v>
      </c>
      <c r="AF191" s="13" t="str">
        <f ca="1">IF(ISERROR(INDIRECT(ORÇAMENTO.BancoRef)),"(abra o arquivo 'Referência "&amp;Excel_BuiltIn_Database&amp;".xlsm)",IF(OR($C191&lt;&gt;"S",ORÇAMENTO.CodBarra=""),"(Sem Código)",IF(ISERROR(MATCH($AE191,INDIRECT(ORÇAMENTO.BancoRef),0)),"(Código não identificado nas referências)",MATCH($AE191,INDIRECT(ORÇAMENTO.BancoRef),0))))</f>
        <v>(abra o arquivo 'Referência 06-2024.xlsm)</v>
      </c>
      <c r="AG191" s="498">
        <f ca="1">ROUND(IF(DESONERACAO="sim",REFERENCIA.Desonerado,REFERENCIA.NaoDesonerado),2)</f>
        <v>0</v>
      </c>
      <c r="AH191" s="499">
        <f t="shared" ca="1" si="69"/>
        <v>0.2432</v>
      </c>
      <c r="AJ191" s="501"/>
      <c r="AL191" s="527"/>
      <c r="AM191" s="381">
        <f t="shared" ca="1" si="70"/>
        <v>0</v>
      </c>
      <c r="AN191" s="566">
        <f t="shared" ca="1" si="71"/>
        <v>0</v>
      </c>
    </row>
    <row r="192" spans="1:40" ht="38.25" x14ac:dyDescent="0.2">
      <c r="A192" t="str">
        <f t="shared" si="56"/>
        <v>S</v>
      </c>
      <c r="B192">
        <f t="shared" ca="1" si="57"/>
        <v>2</v>
      </c>
      <c r="C192" t="str">
        <f t="shared" ca="1" si="58"/>
        <v>S</v>
      </c>
      <c r="D192">
        <f t="shared" ca="1" si="59"/>
        <v>0</v>
      </c>
      <c r="E192">
        <f ca="1">IF($C192=1,OFFSET(E192,-1,0)+MAX(1,COUNTIF(QCI!$A$13:$A$24,OFFSET(ORÇAMENTO!E192,-1,0))),OFFSET(E192,-1,0))</f>
        <v>1</v>
      </c>
      <c r="F192">
        <f t="shared" ca="1" si="60"/>
        <v>26</v>
      </c>
      <c r="G192">
        <f t="shared" ca="1" si="61"/>
        <v>0</v>
      </c>
      <c r="H192">
        <f t="shared" ca="1" si="62"/>
        <v>0</v>
      </c>
      <c r="I192">
        <f t="shared" ca="1" si="63"/>
        <v>0</v>
      </c>
      <c r="J192">
        <f t="shared" ca="1" si="55"/>
        <v>0</v>
      </c>
      <c r="K192">
        <f ca="1">IF(OR($C192="S",$C192=0),0,MATCH(OFFSET($D192,0,$C192)+IF($C192&lt;&gt;1,1,COUNTIF(QCI!$A$13:$A$24,ORÇAMENTO!E192)),OFFSET($D192,1,$C192,ROW($C$727)-ROW($C192)),0))</f>
        <v>0</v>
      </c>
      <c r="L192" s="116" t="str">
        <f t="shared" ca="1" si="64"/>
        <v/>
      </c>
      <c r="M192" s="117" t="s">
        <v>199</v>
      </c>
      <c r="N192" s="118" t="str">
        <f t="shared" ca="1" si="65"/>
        <v>Serviço</v>
      </c>
      <c r="O192" s="119" t="str">
        <f t="shared" ca="1" si="66"/>
        <v>-</v>
      </c>
      <c r="P192" s="120" t="s">
        <v>458</v>
      </c>
      <c r="Q192" s="121" t="s">
        <v>591</v>
      </c>
      <c r="R192" s="122" t="str">
        <f ca="1">IF($C192="S",REFERENCIA.Descricao,"(digite a descrição aqui)")</f>
        <v>(abra o arquivo 'Referência 06-2024.xlsm)</v>
      </c>
      <c r="S192" s="123" t="str">
        <f ca="1">REFERENCIA.Unidade</f>
        <v>-</v>
      </c>
      <c r="T192" s="124">
        <f ca="1">OFFSET(CÁLCULO!H$15,ROW($T192)-ROW(T$15),0)</f>
        <v>8.4600000000000009</v>
      </c>
      <c r="U192" s="125">
        <f t="shared" ca="1" si="72"/>
        <v>0</v>
      </c>
      <c r="V192" s="126" t="s">
        <v>156</v>
      </c>
      <c r="W192" s="124">
        <f ca="1">IF($C192="S",ROUND(IF(TIPOORCAMENTO="Proposto",ORÇAMENTO.CustoUnitario*(1+$AH192),ORÇAMENTO.PrecoUnitarioLicitado),15-13*$AF$10),0)</f>
        <v>0</v>
      </c>
      <c r="X192" s="127">
        <f ca="1">IF($C192="S",IF(Import.TipoArredondamento&lt;&gt;"TransfereGOV",VTOTAL1,SUM(OFFSET(CÁLCULO!$AI$15,ROW($X192)-ROW($X$15),1):OFFSET(CÁLCULO!$BB$15,ROW($X192)-ROW($X$15),-1))),IF($C192=0,0,ROUND(SomaAgrup,15-13*$AF$11)))</f>
        <v>0</v>
      </c>
      <c r="Y192" s="128" t="s">
        <v>245</v>
      </c>
      <c r="Z192" t="str">
        <f t="shared" ca="1" si="67"/>
        <v/>
      </c>
      <c r="AA192" s="129">
        <f ca="1">IF($C192="S",IF($Z192="CP",$X192,IF($Z192="RA",(($X192)*QCI!$AA$3),0)),SomaAgrup)</f>
        <v>0</v>
      </c>
      <c r="AB192" s="130">
        <f t="shared" ca="1" si="68"/>
        <v>0</v>
      </c>
      <c r="AC192" s="131" t="str">
        <f ca="1">IF($N192="","",IF(ORÇAMENTO.Descricao="","DESCRIÇÃO",IF(AND($C192="S",ORÇAMENTO.Unidade=""),"UNIDADE",IF($X192&lt;0,"VALOR NEGATIVO",IF(OR(AND(TIPOORCAMENTO="Proposto",$AG192&lt;&gt;"",$AG192&gt;0,ORÇAMENTO.CustoUnitario&gt;$AG192),AND(TIPOORCAMENTO="LICITADO",ORÇAMENTO.PrecoUnitarioLicitado&gt;$AN192)),"ACIMA REF.","")))))</f>
        <v/>
      </c>
      <c r="AD192" t="str">
        <f ca="1">IF(C192&lt;=CRONO.NivelExibicao,MAX($AD$15:OFFSET(AD192,-1,0))+IF($C192&lt;&gt;1,1,MAX(1,COUNTIF(QCI!$A$13:$A$24,OFFSET($E192,-1,0)))),"")</f>
        <v/>
      </c>
      <c r="AE192" s="7" t="str">
        <f ca="1">IF(AND($C192="S",ORÇAMENTO.CodBarra&lt;&gt;""),IF(ORÇAMENTO.Fonte="",ORÇAMENTO.CodBarra,CONCATENATE(ORÇAMENTO.Fonte," ",ORÇAMENTO.CodBarra)))</f>
        <v>COMPOSIÇÃO FNDE 294</v>
      </c>
      <c r="AF192" s="13" t="str">
        <f ca="1">IF(ISERROR(INDIRECT(ORÇAMENTO.BancoRef)),"(abra o arquivo 'Referência "&amp;Excel_BuiltIn_Database&amp;".xlsm)",IF(OR($C192&lt;&gt;"S",ORÇAMENTO.CodBarra=""),"(Sem Código)",IF(ISERROR(MATCH($AE192,INDIRECT(ORÇAMENTO.BancoRef),0)),"(Código não identificado nas referências)",MATCH($AE192,INDIRECT(ORÇAMENTO.BancoRef),0))))</f>
        <v>(abra o arquivo 'Referência 06-2024.xlsm)</v>
      </c>
      <c r="AG192" s="498">
        <f ca="1">ROUND(IF(DESONERACAO="sim",REFERENCIA.Desonerado,REFERENCIA.NaoDesonerado),2)</f>
        <v>0</v>
      </c>
      <c r="AH192" s="499">
        <f t="shared" ca="1" si="69"/>
        <v>0.2432</v>
      </c>
      <c r="AJ192" s="501"/>
      <c r="AL192" s="527"/>
      <c r="AM192" s="381">
        <f t="shared" ca="1" si="70"/>
        <v>0</v>
      </c>
      <c r="AN192" s="566">
        <f t="shared" ca="1" si="71"/>
        <v>0</v>
      </c>
    </row>
    <row r="193" spans="1:40" ht="38.25" x14ac:dyDescent="0.2">
      <c r="A193" t="str">
        <f t="shared" si="56"/>
        <v>S</v>
      </c>
      <c r="B193">
        <f t="shared" ca="1" si="57"/>
        <v>2</v>
      </c>
      <c r="C193" t="str">
        <f t="shared" ca="1" si="58"/>
        <v>S</v>
      </c>
      <c r="D193">
        <f t="shared" ca="1" si="59"/>
        <v>0</v>
      </c>
      <c r="E193">
        <f ca="1">IF($C193=1,OFFSET(E193,-1,0)+MAX(1,COUNTIF(QCI!$A$13:$A$24,OFFSET(ORÇAMENTO!E193,-1,0))),OFFSET(E193,-1,0))</f>
        <v>1</v>
      </c>
      <c r="F193">
        <f t="shared" ca="1" si="60"/>
        <v>26</v>
      </c>
      <c r="G193">
        <f t="shared" ca="1" si="61"/>
        <v>0</v>
      </c>
      <c r="H193">
        <f t="shared" ca="1" si="62"/>
        <v>0</v>
      </c>
      <c r="I193">
        <f t="shared" ca="1" si="63"/>
        <v>0</v>
      </c>
      <c r="J193">
        <f t="shared" ca="1" si="55"/>
        <v>0</v>
      </c>
      <c r="K193">
        <f ca="1">IF(OR($C193="S",$C193=0),0,MATCH(OFFSET($D193,0,$C193)+IF($C193&lt;&gt;1,1,COUNTIF(QCI!$A$13:$A$24,ORÇAMENTO!E193)),OFFSET($D193,1,$C193,ROW($C$727)-ROW($C193)),0))</f>
        <v>0</v>
      </c>
      <c r="L193" s="116" t="str">
        <f t="shared" ca="1" si="64"/>
        <v/>
      </c>
      <c r="M193" s="117" t="s">
        <v>199</v>
      </c>
      <c r="N193" s="118" t="str">
        <f t="shared" ca="1" si="65"/>
        <v>Serviço</v>
      </c>
      <c r="O193" s="119" t="str">
        <f t="shared" ca="1" si="66"/>
        <v>-</v>
      </c>
      <c r="P193" s="120" t="s">
        <v>458</v>
      </c>
      <c r="Q193" s="121" t="s">
        <v>592</v>
      </c>
      <c r="R193" s="122" t="str">
        <f ca="1">IF($C193="S",REFERENCIA.Descricao,"(digite a descrição aqui)")</f>
        <v>(abra o arquivo 'Referência 06-2024.xlsm)</v>
      </c>
      <c r="S193" s="123" t="str">
        <f ca="1">REFERENCIA.Unidade</f>
        <v>-</v>
      </c>
      <c r="T193" s="124">
        <f ca="1">OFFSET(CÁLCULO!H$15,ROW($T193)-ROW(T$15),0)</f>
        <v>15.01</v>
      </c>
      <c r="U193" s="125">
        <f t="shared" ca="1" si="72"/>
        <v>0</v>
      </c>
      <c r="V193" s="126" t="s">
        <v>156</v>
      </c>
      <c r="W193" s="124">
        <f ca="1">IF($C193="S",ROUND(IF(TIPOORCAMENTO="Proposto",ORÇAMENTO.CustoUnitario*(1+$AH193),ORÇAMENTO.PrecoUnitarioLicitado),15-13*$AF$10),0)</f>
        <v>0</v>
      </c>
      <c r="X193" s="127">
        <f ca="1">IF($C193="S",IF(Import.TipoArredondamento&lt;&gt;"TransfereGOV",VTOTAL1,SUM(OFFSET(CÁLCULO!$AI$15,ROW($X193)-ROW($X$15),1):OFFSET(CÁLCULO!$BB$15,ROW($X193)-ROW($X$15),-1))),IF($C193=0,0,ROUND(SomaAgrup,15-13*$AF$11)))</f>
        <v>0</v>
      </c>
      <c r="Y193" s="128" t="s">
        <v>245</v>
      </c>
      <c r="Z193" t="str">
        <f t="shared" ca="1" si="67"/>
        <v/>
      </c>
      <c r="AA193" s="129">
        <f ca="1">IF($C193="S",IF($Z193="CP",$X193,IF($Z193="RA",(($X193)*QCI!$AA$3),0)),SomaAgrup)</f>
        <v>0</v>
      </c>
      <c r="AB193" s="130">
        <f t="shared" ca="1" si="68"/>
        <v>0</v>
      </c>
      <c r="AC193" s="131" t="str">
        <f ca="1">IF($N193="","",IF(ORÇAMENTO.Descricao="","DESCRIÇÃO",IF(AND($C193="S",ORÇAMENTO.Unidade=""),"UNIDADE",IF($X193&lt;0,"VALOR NEGATIVO",IF(OR(AND(TIPOORCAMENTO="Proposto",$AG193&lt;&gt;"",$AG193&gt;0,ORÇAMENTO.CustoUnitario&gt;$AG193),AND(TIPOORCAMENTO="LICITADO",ORÇAMENTO.PrecoUnitarioLicitado&gt;$AN193)),"ACIMA REF.","")))))</f>
        <v/>
      </c>
      <c r="AD193" t="str">
        <f ca="1">IF(C193&lt;=CRONO.NivelExibicao,MAX($AD$15:OFFSET(AD193,-1,0))+IF($C193&lt;&gt;1,1,MAX(1,COUNTIF(QCI!$A$13:$A$24,OFFSET($E193,-1,0)))),"")</f>
        <v/>
      </c>
      <c r="AE193" s="7" t="str">
        <f ca="1">IF(AND($C193="S",ORÇAMENTO.CodBarra&lt;&gt;""),IF(ORÇAMENTO.Fonte="",ORÇAMENTO.CodBarra,CONCATENATE(ORÇAMENTO.Fonte," ",ORÇAMENTO.CodBarra)))</f>
        <v>COMPOSIÇÃO FNDE 295</v>
      </c>
      <c r="AF193" s="13" t="str">
        <f ca="1">IF(ISERROR(INDIRECT(ORÇAMENTO.BancoRef)),"(abra o arquivo 'Referência "&amp;Excel_BuiltIn_Database&amp;".xlsm)",IF(OR($C193&lt;&gt;"S",ORÇAMENTO.CodBarra=""),"(Sem Código)",IF(ISERROR(MATCH($AE193,INDIRECT(ORÇAMENTO.BancoRef),0)),"(Código não identificado nas referências)",MATCH($AE193,INDIRECT(ORÇAMENTO.BancoRef),0))))</f>
        <v>(abra o arquivo 'Referência 06-2024.xlsm)</v>
      </c>
      <c r="AG193" s="498">
        <f ca="1">ROUND(IF(DESONERACAO="sim",REFERENCIA.Desonerado,REFERENCIA.NaoDesonerado),2)</f>
        <v>0</v>
      </c>
      <c r="AH193" s="499">
        <f t="shared" ca="1" si="69"/>
        <v>0.2432</v>
      </c>
      <c r="AJ193" s="501"/>
      <c r="AL193" s="527"/>
      <c r="AM193" s="381">
        <f t="shared" ca="1" si="70"/>
        <v>0</v>
      </c>
      <c r="AN193" s="566">
        <f t="shared" ca="1" si="71"/>
        <v>0</v>
      </c>
    </row>
    <row r="194" spans="1:40" ht="38.25" x14ac:dyDescent="0.2">
      <c r="A194" t="str">
        <f t="shared" si="56"/>
        <v>S</v>
      </c>
      <c r="B194">
        <f t="shared" ca="1" si="57"/>
        <v>2</v>
      </c>
      <c r="C194" t="str">
        <f t="shared" ca="1" si="58"/>
        <v>S</v>
      </c>
      <c r="D194">
        <f t="shared" ca="1" si="59"/>
        <v>0</v>
      </c>
      <c r="E194">
        <f ca="1">IF($C194=1,OFFSET(E194,-1,0)+MAX(1,COUNTIF(QCI!$A$13:$A$24,OFFSET(ORÇAMENTO!E194,-1,0))),OFFSET(E194,-1,0))</f>
        <v>1</v>
      </c>
      <c r="F194">
        <f t="shared" ca="1" si="60"/>
        <v>26</v>
      </c>
      <c r="G194">
        <f t="shared" ca="1" si="61"/>
        <v>0</v>
      </c>
      <c r="H194">
        <f t="shared" ca="1" si="62"/>
        <v>0</v>
      </c>
      <c r="I194">
        <f t="shared" ca="1" si="63"/>
        <v>0</v>
      </c>
      <c r="J194">
        <f t="shared" ca="1" si="55"/>
        <v>0</v>
      </c>
      <c r="K194">
        <f ca="1">IF(OR($C194="S",$C194=0),0,MATCH(OFFSET($D194,0,$C194)+IF($C194&lt;&gt;1,1,COUNTIF(QCI!$A$13:$A$24,ORÇAMENTO!E194)),OFFSET($D194,1,$C194,ROW($C$727)-ROW($C194)),0))</f>
        <v>0</v>
      </c>
      <c r="L194" s="116" t="str">
        <f t="shared" ca="1" si="64"/>
        <v/>
      </c>
      <c r="M194" s="117" t="s">
        <v>199</v>
      </c>
      <c r="N194" s="118" t="str">
        <f t="shared" ca="1" si="65"/>
        <v>Serviço</v>
      </c>
      <c r="O194" s="119" t="str">
        <f t="shared" ca="1" si="66"/>
        <v>-</v>
      </c>
      <c r="P194" s="120" t="s">
        <v>458</v>
      </c>
      <c r="Q194" s="121" t="s">
        <v>593</v>
      </c>
      <c r="R194" s="122" t="str">
        <f ca="1">IF($C194="S",REFERENCIA.Descricao,"(digite a descrição aqui)")</f>
        <v>(abra o arquivo 'Referência 06-2024.xlsm)</v>
      </c>
      <c r="S194" s="123" t="str">
        <f ca="1">REFERENCIA.Unidade</f>
        <v>-</v>
      </c>
      <c r="T194" s="124">
        <f ca="1">OFFSET(CÁLCULO!H$15,ROW($T194)-ROW(T$15),0)</f>
        <v>8.75</v>
      </c>
      <c r="U194" s="125">
        <f t="shared" ca="1" si="72"/>
        <v>0</v>
      </c>
      <c r="V194" s="126" t="s">
        <v>156</v>
      </c>
      <c r="W194" s="124">
        <f ca="1">IF($C194="S",ROUND(IF(TIPOORCAMENTO="Proposto",ORÇAMENTO.CustoUnitario*(1+$AH194),ORÇAMENTO.PrecoUnitarioLicitado),15-13*$AF$10),0)</f>
        <v>0</v>
      </c>
      <c r="X194" s="127">
        <f ca="1">IF($C194="S",IF(Import.TipoArredondamento&lt;&gt;"TransfereGOV",VTOTAL1,SUM(OFFSET(CÁLCULO!$AI$15,ROW($X194)-ROW($X$15),1):OFFSET(CÁLCULO!$BB$15,ROW($X194)-ROW($X$15),-1))),IF($C194=0,0,ROUND(SomaAgrup,15-13*$AF$11)))</f>
        <v>0</v>
      </c>
      <c r="Y194" s="128" t="s">
        <v>245</v>
      </c>
      <c r="Z194" t="str">
        <f t="shared" ca="1" si="67"/>
        <v/>
      </c>
      <c r="AA194" s="129">
        <f ca="1">IF($C194="S",IF($Z194="CP",$X194,IF($Z194="RA",(($X194)*QCI!$AA$3),0)),SomaAgrup)</f>
        <v>0</v>
      </c>
      <c r="AB194" s="130">
        <f t="shared" ca="1" si="68"/>
        <v>0</v>
      </c>
      <c r="AC194" s="131" t="str">
        <f ca="1">IF($N194="","",IF(ORÇAMENTO.Descricao="","DESCRIÇÃO",IF(AND($C194="S",ORÇAMENTO.Unidade=""),"UNIDADE",IF($X194&lt;0,"VALOR NEGATIVO",IF(OR(AND(TIPOORCAMENTO="Proposto",$AG194&lt;&gt;"",$AG194&gt;0,ORÇAMENTO.CustoUnitario&gt;$AG194),AND(TIPOORCAMENTO="LICITADO",ORÇAMENTO.PrecoUnitarioLicitado&gt;$AN194)),"ACIMA REF.","")))))</f>
        <v/>
      </c>
      <c r="AD194" t="str">
        <f ca="1">IF(C194&lt;=CRONO.NivelExibicao,MAX($AD$15:OFFSET(AD194,-1,0))+IF($C194&lt;&gt;1,1,MAX(1,COUNTIF(QCI!$A$13:$A$24,OFFSET($E194,-1,0)))),"")</f>
        <v/>
      </c>
      <c r="AE194" s="7" t="str">
        <f ca="1">IF(AND($C194="S",ORÇAMENTO.CodBarra&lt;&gt;""),IF(ORÇAMENTO.Fonte="",ORÇAMENTO.CodBarra,CONCATENATE(ORÇAMENTO.Fonte," ",ORÇAMENTO.CodBarra)))</f>
        <v>COMPOSIÇÃO FNDE 296</v>
      </c>
      <c r="AF194" s="13" t="str">
        <f ca="1">IF(ISERROR(INDIRECT(ORÇAMENTO.BancoRef)),"(abra o arquivo 'Referência "&amp;Excel_BuiltIn_Database&amp;".xlsm)",IF(OR($C194&lt;&gt;"S",ORÇAMENTO.CodBarra=""),"(Sem Código)",IF(ISERROR(MATCH($AE194,INDIRECT(ORÇAMENTO.BancoRef),0)),"(Código não identificado nas referências)",MATCH($AE194,INDIRECT(ORÇAMENTO.BancoRef),0))))</f>
        <v>(abra o arquivo 'Referência 06-2024.xlsm)</v>
      </c>
      <c r="AG194" s="498">
        <f ca="1">ROUND(IF(DESONERACAO="sim",REFERENCIA.Desonerado,REFERENCIA.NaoDesonerado),2)</f>
        <v>0</v>
      </c>
      <c r="AH194" s="499">
        <f t="shared" ca="1" si="69"/>
        <v>0.2432</v>
      </c>
      <c r="AJ194" s="501"/>
      <c r="AL194" s="527"/>
      <c r="AM194" s="381">
        <f t="shared" ca="1" si="70"/>
        <v>0</v>
      </c>
      <c r="AN194" s="566">
        <f t="shared" ca="1" si="71"/>
        <v>0</v>
      </c>
    </row>
    <row r="195" spans="1:40" x14ac:dyDescent="0.2">
      <c r="A195" t="str">
        <f t="shared" si="56"/>
        <v>S</v>
      </c>
      <c r="B195">
        <f t="shared" ca="1" si="57"/>
        <v>2</v>
      </c>
      <c r="C195" t="str">
        <f t="shared" ca="1" si="58"/>
        <v>S</v>
      </c>
      <c r="D195">
        <f t="shared" ca="1" si="59"/>
        <v>0</v>
      </c>
      <c r="E195">
        <f ca="1">IF($C195=1,OFFSET(E195,-1,0)+MAX(1,COUNTIF(QCI!$A$13:$A$24,OFFSET(ORÇAMENTO!E195,-1,0))),OFFSET(E195,-1,0))</f>
        <v>1</v>
      </c>
      <c r="F195">
        <f t="shared" ca="1" si="60"/>
        <v>26</v>
      </c>
      <c r="G195">
        <f t="shared" ca="1" si="61"/>
        <v>0</v>
      </c>
      <c r="H195">
        <f t="shared" ca="1" si="62"/>
        <v>0</v>
      </c>
      <c r="I195">
        <f t="shared" ca="1" si="63"/>
        <v>0</v>
      </c>
      <c r="J195">
        <f t="shared" ca="1" si="55"/>
        <v>0</v>
      </c>
      <c r="K195">
        <f ca="1">IF(OR($C195="S",$C195=0),0,MATCH(OFFSET($D195,0,$C195)+IF($C195&lt;&gt;1,1,COUNTIF(QCI!$A$13:$A$24,ORÇAMENTO!E195)),OFFSET($D195,1,$C195,ROW($C$727)-ROW($C195)),0))</f>
        <v>0</v>
      </c>
      <c r="L195" s="116" t="str">
        <f t="shared" ca="1" si="64"/>
        <v/>
      </c>
      <c r="M195" s="117" t="s">
        <v>199</v>
      </c>
      <c r="N195" s="118" t="str">
        <f t="shared" ca="1" si="65"/>
        <v>Serviço</v>
      </c>
      <c r="O195" s="119" t="str">
        <f t="shared" ca="1" si="66"/>
        <v>-</v>
      </c>
      <c r="P195" s="120" t="s">
        <v>458</v>
      </c>
      <c r="Q195" s="121" t="s">
        <v>594</v>
      </c>
      <c r="R195" s="122" t="str">
        <f ca="1">IF($C195="S",REFERENCIA.Descricao,"(digite a descrição aqui)")</f>
        <v>(abra o arquivo 'Referência 06-2024.xlsm)</v>
      </c>
      <c r="S195" s="123" t="str">
        <f ca="1">REFERENCIA.Unidade</f>
        <v>-</v>
      </c>
      <c r="T195" s="124">
        <f ca="1">OFFSET(CÁLCULO!H$15,ROW($T195)-ROW(T$15),0)</f>
        <v>217.5</v>
      </c>
      <c r="U195" s="125">
        <f t="shared" ca="1" si="72"/>
        <v>0</v>
      </c>
      <c r="V195" s="126" t="s">
        <v>156</v>
      </c>
      <c r="W195" s="124">
        <f ca="1">IF($C195="S",ROUND(IF(TIPOORCAMENTO="Proposto",ORÇAMENTO.CustoUnitario*(1+$AH195),ORÇAMENTO.PrecoUnitarioLicitado),15-13*$AF$10),0)</f>
        <v>0</v>
      </c>
      <c r="X195" s="127">
        <f ca="1">IF($C195="S",IF(Import.TipoArredondamento&lt;&gt;"TransfereGOV",VTOTAL1,SUM(OFFSET(CÁLCULO!$AI$15,ROW($X195)-ROW($X$15),1):OFFSET(CÁLCULO!$BB$15,ROW($X195)-ROW($X$15),-1))),IF($C195=0,0,ROUND(SomaAgrup,15-13*$AF$11)))</f>
        <v>0</v>
      </c>
      <c r="Y195" s="128" t="s">
        <v>245</v>
      </c>
      <c r="Z195" t="str">
        <f t="shared" ca="1" si="67"/>
        <v/>
      </c>
      <c r="AA195" s="129">
        <f ca="1">IF($C195="S",IF($Z195="CP",$X195,IF($Z195="RA",(($X195)*QCI!$AA$3),0)),SomaAgrup)</f>
        <v>0</v>
      </c>
      <c r="AB195" s="130">
        <f t="shared" ca="1" si="68"/>
        <v>0</v>
      </c>
      <c r="AC195" s="131" t="str">
        <f ca="1">IF($N195="","",IF(ORÇAMENTO.Descricao="","DESCRIÇÃO",IF(AND($C195="S",ORÇAMENTO.Unidade=""),"UNIDADE",IF($X195&lt;0,"VALOR NEGATIVO",IF(OR(AND(TIPOORCAMENTO="Proposto",$AG195&lt;&gt;"",$AG195&gt;0,ORÇAMENTO.CustoUnitario&gt;$AG195),AND(TIPOORCAMENTO="LICITADO",ORÇAMENTO.PrecoUnitarioLicitado&gt;$AN195)),"ACIMA REF.","")))))</f>
        <v/>
      </c>
      <c r="AD195" t="str">
        <f ca="1">IF(C195&lt;=CRONO.NivelExibicao,MAX($AD$15:OFFSET(AD195,-1,0))+IF($C195&lt;&gt;1,1,MAX(1,COUNTIF(QCI!$A$13:$A$24,OFFSET($E195,-1,0)))),"")</f>
        <v/>
      </c>
      <c r="AE195" s="7" t="str">
        <f ca="1">IF(AND($C195="S",ORÇAMENTO.CodBarra&lt;&gt;""),IF(ORÇAMENTO.Fonte="",ORÇAMENTO.CodBarra,CONCATENATE(ORÇAMENTO.Fonte," ",ORÇAMENTO.CodBarra)))</f>
        <v>COMPOSIÇÃO FNDE 245</v>
      </c>
      <c r="AF195" s="13" t="str">
        <f ca="1">IF(ISERROR(INDIRECT(ORÇAMENTO.BancoRef)),"(abra o arquivo 'Referência "&amp;Excel_BuiltIn_Database&amp;".xlsm)",IF(OR($C195&lt;&gt;"S",ORÇAMENTO.CodBarra=""),"(Sem Código)",IF(ISERROR(MATCH($AE195,INDIRECT(ORÇAMENTO.BancoRef),0)),"(Código não identificado nas referências)",MATCH($AE195,INDIRECT(ORÇAMENTO.BancoRef),0))))</f>
        <v>(abra o arquivo 'Referência 06-2024.xlsm)</v>
      </c>
      <c r="AG195" s="498">
        <f ca="1">ROUND(IF(DESONERACAO="sim",REFERENCIA.Desonerado,REFERENCIA.NaoDesonerado),2)</f>
        <v>0</v>
      </c>
      <c r="AH195" s="499">
        <f t="shared" ca="1" si="69"/>
        <v>0.2432</v>
      </c>
      <c r="AJ195" s="501"/>
      <c r="AL195" s="527"/>
      <c r="AM195" s="381">
        <f t="shared" ca="1" si="70"/>
        <v>0</v>
      </c>
      <c r="AN195" s="566">
        <f t="shared" ca="1" si="71"/>
        <v>0</v>
      </c>
    </row>
    <row r="196" spans="1:40" x14ac:dyDescent="0.2">
      <c r="A196" t="str">
        <f t="shared" si="56"/>
        <v>S</v>
      </c>
      <c r="B196">
        <f t="shared" ca="1" si="57"/>
        <v>2</v>
      </c>
      <c r="C196" t="str">
        <f t="shared" ca="1" si="58"/>
        <v>S</v>
      </c>
      <c r="D196">
        <f t="shared" ca="1" si="59"/>
        <v>0</v>
      </c>
      <c r="E196">
        <f ca="1">IF($C196=1,OFFSET(E196,-1,0)+MAX(1,COUNTIF(QCI!$A$13:$A$24,OFFSET(ORÇAMENTO!E196,-1,0))),OFFSET(E196,-1,0))</f>
        <v>1</v>
      </c>
      <c r="F196">
        <f t="shared" ca="1" si="60"/>
        <v>26</v>
      </c>
      <c r="G196">
        <f t="shared" ca="1" si="61"/>
        <v>0</v>
      </c>
      <c r="H196">
        <f t="shared" ca="1" si="62"/>
        <v>0</v>
      </c>
      <c r="I196">
        <f t="shared" ca="1" si="63"/>
        <v>0</v>
      </c>
      <c r="J196">
        <f t="shared" ca="1" si="55"/>
        <v>0</v>
      </c>
      <c r="K196">
        <f ca="1">IF(OR($C196="S",$C196=0),0,MATCH(OFFSET($D196,0,$C196)+IF($C196&lt;&gt;1,1,COUNTIF(QCI!$A$13:$A$24,ORÇAMENTO!E196)),OFFSET($D196,1,$C196,ROW($C$727)-ROW($C196)),0))</f>
        <v>0</v>
      </c>
      <c r="L196" s="116" t="str">
        <f t="shared" ca="1" si="64"/>
        <v/>
      </c>
      <c r="M196" s="117" t="s">
        <v>199</v>
      </c>
      <c r="N196" s="118" t="str">
        <f t="shared" ca="1" si="65"/>
        <v>Serviço</v>
      </c>
      <c r="O196" s="119" t="str">
        <f t="shared" ca="1" si="66"/>
        <v>-</v>
      </c>
      <c r="P196" s="120" t="s">
        <v>458</v>
      </c>
      <c r="Q196" s="121" t="s">
        <v>595</v>
      </c>
      <c r="R196" s="122" t="str">
        <f ca="1">IF($C196="S",REFERENCIA.Descricao,"(digite a descrição aqui)")</f>
        <v>(abra o arquivo 'Referência 06-2024.xlsm)</v>
      </c>
      <c r="S196" s="123" t="str">
        <f ca="1">REFERENCIA.Unidade</f>
        <v>-</v>
      </c>
      <c r="T196" s="124">
        <f ca="1">OFFSET(CÁLCULO!H$15,ROW($T196)-ROW(T$15),0)</f>
        <v>69.45</v>
      </c>
      <c r="U196" s="125">
        <f t="shared" ca="1" si="72"/>
        <v>0</v>
      </c>
      <c r="V196" s="126" t="s">
        <v>156</v>
      </c>
      <c r="W196" s="124">
        <f ca="1">IF($C196="S",ROUND(IF(TIPOORCAMENTO="Proposto",ORÇAMENTO.CustoUnitario*(1+$AH196),ORÇAMENTO.PrecoUnitarioLicitado),15-13*$AF$10),0)</f>
        <v>0</v>
      </c>
      <c r="X196" s="127">
        <f ca="1">IF($C196="S",IF(Import.TipoArredondamento&lt;&gt;"TransfereGOV",VTOTAL1,SUM(OFFSET(CÁLCULO!$AI$15,ROW($X196)-ROW($X$15),1):OFFSET(CÁLCULO!$BB$15,ROW($X196)-ROW($X$15),-1))),IF($C196=0,0,ROUND(SomaAgrup,15-13*$AF$11)))</f>
        <v>0</v>
      </c>
      <c r="Y196" s="128" t="s">
        <v>245</v>
      </c>
      <c r="Z196" t="str">
        <f t="shared" ca="1" si="67"/>
        <v/>
      </c>
      <c r="AA196" s="129">
        <f ca="1">IF($C196="S",IF($Z196="CP",$X196,IF($Z196="RA",(($X196)*QCI!$AA$3),0)),SomaAgrup)</f>
        <v>0</v>
      </c>
      <c r="AB196" s="130">
        <f t="shared" ca="1" si="68"/>
        <v>0</v>
      </c>
      <c r="AC196" s="131" t="str">
        <f ca="1">IF($N196="","",IF(ORÇAMENTO.Descricao="","DESCRIÇÃO",IF(AND($C196="S",ORÇAMENTO.Unidade=""),"UNIDADE",IF($X196&lt;0,"VALOR NEGATIVO",IF(OR(AND(TIPOORCAMENTO="Proposto",$AG196&lt;&gt;"",$AG196&gt;0,ORÇAMENTO.CustoUnitario&gt;$AG196),AND(TIPOORCAMENTO="LICITADO",ORÇAMENTO.PrecoUnitarioLicitado&gt;$AN196)),"ACIMA REF.","")))))</f>
        <v/>
      </c>
      <c r="AD196" t="str">
        <f ca="1">IF(C196&lt;=CRONO.NivelExibicao,MAX($AD$15:OFFSET(AD196,-1,0))+IF($C196&lt;&gt;1,1,MAX(1,COUNTIF(QCI!$A$13:$A$24,OFFSET($E196,-1,0)))),"")</f>
        <v/>
      </c>
      <c r="AE196" s="7" t="str">
        <f ca="1">IF(AND($C196="S",ORÇAMENTO.CodBarra&lt;&gt;""),IF(ORÇAMENTO.Fonte="",ORÇAMENTO.CodBarra,CONCATENATE(ORÇAMENTO.Fonte," ",ORÇAMENTO.CodBarra)))</f>
        <v>COMPOSIÇÃO FNDE 37</v>
      </c>
      <c r="AF196" s="13" t="str">
        <f ca="1">IF(ISERROR(INDIRECT(ORÇAMENTO.BancoRef)),"(abra o arquivo 'Referência "&amp;Excel_BuiltIn_Database&amp;".xlsm)",IF(OR($C196&lt;&gt;"S",ORÇAMENTO.CodBarra=""),"(Sem Código)",IF(ISERROR(MATCH($AE196,INDIRECT(ORÇAMENTO.BancoRef),0)),"(Código não identificado nas referências)",MATCH($AE196,INDIRECT(ORÇAMENTO.BancoRef),0))))</f>
        <v>(abra o arquivo 'Referência 06-2024.xlsm)</v>
      </c>
      <c r="AG196" s="498">
        <f ca="1">ROUND(IF(DESONERACAO="sim",REFERENCIA.Desonerado,REFERENCIA.NaoDesonerado),2)</f>
        <v>0</v>
      </c>
      <c r="AH196" s="499">
        <f t="shared" ca="1" si="69"/>
        <v>0.2432</v>
      </c>
      <c r="AJ196" s="501"/>
      <c r="AL196" s="527"/>
      <c r="AM196" s="381">
        <f t="shared" ca="1" si="70"/>
        <v>0</v>
      </c>
      <c r="AN196" s="566">
        <f t="shared" ca="1" si="71"/>
        <v>0</v>
      </c>
    </row>
    <row r="197" spans="1:40" ht="25.5" x14ac:dyDescent="0.2">
      <c r="A197" t="str">
        <f t="shared" si="56"/>
        <v>S</v>
      </c>
      <c r="B197">
        <f t="shared" ca="1" si="57"/>
        <v>2</v>
      </c>
      <c r="C197" t="str">
        <f t="shared" ca="1" si="58"/>
        <v>S</v>
      </c>
      <c r="D197">
        <f t="shared" ca="1" si="59"/>
        <v>0</v>
      </c>
      <c r="E197">
        <f ca="1">IF($C197=1,OFFSET(E197,-1,0)+MAX(1,COUNTIF(QCI!$A$13:$A$24,OFFSET(ORÇAMENTO!E197,-1,0))),OFFSET(E197,-1,0))</f>
        <v>1</v>
      </c>
      <c r="F197">
        <f t="shared" ca="1" si="60"/>
        <v>26</v>
      </c>
      <c r="G197">
        <f t="shared" ca="1" si="61"/>
        <v>0</v>
      </c>
      <c r="H197">
        <f t="shared" ca="1" si="62"/>
        <v>0</v>
      </c>
      <c r="I197">
        <f t="shared" ca="1" si="63"/>
        <v>0</v>
      </c>
      <c r="J197">
        <f t="shared" ca="1" si="55"/>
        <v>0</v>
      </c>
      <c r="K197">
        <f ca="1">IF(OR($C197="S",$C197=0),0,MATCH(OFFSET($D197,0,$C197)+IF($C197&lt;&gt;1,1,COUNTIF(QCI!$A$13:$A$24,ORÇAMENTO!E197)),OFFSET($D197,1,$C197,ROW($C$727)-ROW($C197)),0))</f>
        <v>0</v>
      </c>
      <c r="L197" s="116" t="str">
        <f t="shared" ca="1" si="64"/>
        <v/>
      </c>
      <c r="M197" s="117" t="s">
        <v>199</v>
      </c>
      <c r="N197" s="118" t="str">
        <f t="shared" ca="1" si="65"/>
        <v>Serviço</v>
      </c>
      <c r="O197" s="119" t="str">
        <f t="shared" ca="1" si="66"/>
        <v>-</v>
      </c>
      <c r="P197" s="120" t="s">
        <v>247</v>
      </c>
      <c r="Q197" s="121" t="s">
        <v>596</v>
      </c>
      <c r="R197" s="122" t="str">
        <f ca="1">IF($C197="S",REFERENCIA.Descricao,"(digite a descrição aqui)")</f>
        <v>(abra o arquivo 'Referência 06-2024.xlsm)</v>
      </c>
      <c r="S197" s="123" t="str">
        <f ca="1">REFERENCIA.Unidade</f>
        <v>-</v>
      </c>
      <c r="T197" s="124">
        <f ca="1">OFFSET(CÁLCULO!H$15,ROW($T197)-ROW(T$15),0)</f>
        <v>472.22</v>
      </c>
      <c r="U197" s="125">
        <f t="shared" ca="1" si="72"/>
        <v>0</v>
      </c>
      <c r="V197" s="126" t="s">
        <v>156</v>
      </c>
      <c r="W197" s="124">
        <f ca="1">IF($C197="S",ROUND(IF(TIPOORCAMENTO="Proposto",ORÇAMENTO.CustoUnitario*(1+$AH197),ORÇAMENTO.PrecoUnitarioLicitado),15-13*$AF$10),0)</f>
        <v>0</v>
      </c>
      <c r="X197" s="127">
        <f ca="1">IF($C197="S",IF(Import.TipoArredondamento&lt;&gt;"TransfereGOV",VTOTAL1,SUM(OFFSET(CÁLCULO!$AI$15,ROW($X197)-ROW($X$15),1):OFFSET(CÁLCULO!$BB$15,ROW($X197)-ROW($X$15),-1))),IF($C197=0,0,ROUND(SomaAgrup,15-13*$AF$11)))</f>
        <v>0</v>
      </c>
      <c r="Y197" s="128" t="s">
        <v>245</v>
      </c>
      <c r="Z197" t="str">
        <f t="shared" ca="1" si="67"/>
        <v/>
      </c>
      <c r="AA197" s="129">
        <f ca="1">IF($C197="S",IF($Z197="CP",$X197,IF($Z197="RA",(($X197)*QCI!$AA$3),0)),SomaAgrup)</f>
        <v>0</v>
      </c>
      <c r="AB197" s="130">
        <f t="shared" ca="1" si="68"/>
        <v>0</v>
      </c>
      <c r="AC197" s="131" t="str">
        <f ca="1">IF($N197="","",IF(ORÇAMENTO.Descricao="","DESCRIÇÃO",IF(AND($C197="S",ORÇAMENTO.Unidade=""),"UNIDADE",IF($X197&lt;0,"VALOR NEGATIVO",IF(OR(AND(TIPOORCAMENTO="Proposto",$AG197&lt;&gt;"",$AG197&gt;0,ORÇAMENTO.CustoUnitario&gt;$AG197),AND(TIPOORCAMENTO="LICITADO",ORÇAMENTO.PrecoUnitarioLicitado&gt;$AN197)),"ACIMA REF.","")))))</f>
        <v/>
      </c>
      <c r="AD197" t="str">
        <f ca="1">IF(C197&lt;=CRONO.NivelExibicao,MAX($AD$15:OFFSET(AD197,-1,0))+IF($C197&lt;&gt;1,1,MAX(1,COUNTIF(QCI!$A$13:$A$24,OFFSET($E197,-1,0)))),"")</f>
        <v/>
      </c>
      <c r="AE197" s="7" t="str">
        <f ca="1">IF(AND($C197="S",ORÇAMENTO.CodBarra&lt;&gt;""),IF(ORÇAMENTO.Fonte="",ORÇAMENTO.CodBarra,CONCATENATE(ORÇAMENTO.Fonte," ",ORÇAMENTO.CodBarra)))</f>
        <v>SINAPI 96114</v>
      </c>
      <c r="AF197" s="13" t="str">
        <f ca="1">IF(ISERROR(INDIRECT(ORÇAMENTO.BancoRef)),"(abra o arquivo 'Referência "&amp;Excel_BuiltIn_Database&amp;".xlsm)",IF(OR($C197&lt;&gt;"S",ORÇAMENTO.CodBarra=""),"(Sem Código)",IF(ISERROR(MATCH($AE197,INDIRECT(ORÇAMENTO.BancoRef),0)),"(Código não identificado nas referências)",MATCH($AE197,INDIRECT(ORÇAMENTO.BancoRef),0))))</f>
        <v>(abra o arquivo 'Referência 06-2024.xlsm)</v>
      </c>
      <c r="AG197" s="498">
        <f ca="1">ROUND(IF(DESONERACAO="sim",REFERENCIA.Desonerado,REFERENCIA.NaoDesonerado),2)</f>
        <v>0</v>
      </c>
      <c r="AH197" s="499">
        <f t="shared" ca="1" si="69"/>
        <v>0.2432</v>
      </c>
      <c r="AJ197" s="501"/>
      <c r="AL197" s="527"/>
      <c r="AM197" s="381">
        <f t="shared" ca="1" si="70"/>
        <v>0</v>
      </c>
      <c r="AN197" s="566">
        <f t="shared" ca="1" si="71"/>
        <v>0</v>
      </c>
    </row>
    <row r="198" spans="1:40" ht="38.25" x14ac:dyDescent="0.2">
      <c r="A198" t="str">
        <f t="shared" si="56"/>
        <v>S</v>
      </c>
      <c r="B198">
        <f t="shared" ca="1" si="57"/>
        <v>2</v>
      </c>
      <c r="C198" t="str">
        <f t="shared" ca="1" si="58"/>
        <v>S</v>
      </c>
      <c r="D198">
        <f t="shared" ca="1" si="59"/>
        <v>0</v>
      </c>
      <c r="E198">
        <f ca="1">IF($C198=1,OFFSET(E198,-1,0)+MAX(1,COUNTIF(QCI!$A$13:$A$24,OFFSET(ORÇAMENTO!E198,-1,0))),OFFSET(E198,-1,0))</f>
        <v>1</v>
      </c>
      <c r="F198">
        <f t="shared" ca="1" si="60"/>
        <v>26</v>
      </c>
      <c r="G198">
        <f t="shared" ca="1" si="61"/>
        <v>0</v>
      </c>
      <c r="H198">
        <f t="shared" ca="1" si="62"/>
        <v>0</v>
      </c>
      <c r="I198">
        <f t="shared" ca="1" si="63"/>
        <v>0</v>
      </c>
      <c r="J198">
        <f t="shared" ca="1" si="55"/>
        <v>0</v>
      </c>
      <c r="K198">
        <f ca="1">IF(OR($C198="S",$C198=0),0,MATCH(OFFSET($D198,0,$C198)+IF($C198&lt;&gt;1,1,COUNTIF(QCI!$A$13:$A$24,ORÇAMENTO!E198)),OFFSET($D198,1,$C198,ROW($C$727)-ROW($C198)),0))</f>
        <v>0</v>
      </c>
      <c r="L198" s="116" t="str">
        <f t="shared" ca="1" si="64"/>
        <v/>
      </c>
      <c r="M198" s="117" t="s">
        <v>199</v>
      </c>
      <c r="N198" s="118" t="str">
        <f t="shared" ca="1" si="65"/>
        <v>Serviço</v>
      </c>
      <c r="O198" s="119" t="str">
        <f t="shared" ca="1" si="66"/>
        <v>-</v>
      </c>
      <c r="P198" s="120" t="s">
        <v>458</v>
      </c>
      <c r="Q198" s="121" t="s">
        <v>597</v>
      </c>
      <c r="R198" s="122" t="str">
        <f ca="1">IF($C198="S",REFERENCIA.Descricao,"(digite a descrição aqui)")</f>
        <v>(abra o arquivo 'Referência 06-2024.xlsm)</v>
      </c>
      <c r="S198" s="123" t="str">
        <f ca="1">REFERENCIA.Unidade</f>
        <v>-</v>
      </c>
      <c r="T198" s="124">
        <f ca="1">OFFSET(CÁLCULO!H$15,ROW($T198)-ROW(T$15),0)</f>
        <v>736.37</v>
      </c>
      <c r="U198" s="125">
        <f t="shared" ca="1" si="72"/>
        <v>0</v>
      </c>
      <c r="V198" s="126" t="s">
        <v>156</v>
      </c>
      <c r="W198" s="124">
        <f ca="1">IF($C198="S",ROUND(IF(TIPOORCAMENTO="Proposto",ORÇAMENTO.CustoUnitario*(1+$AH198),ORÇAMENTO.PrecoUnitarioLicitado),15-13*$AF$10),0)</f>
        <v>0</v>
      </c>
      <c r="X198" s="127">
        <f ca="1">IF($C198="S",IF(Import.TipoArredondamento&lt;&gt;"TransfereGOV",VTOTAL1,SUM(OFFSET(CÁLCULO!$AI$15,ROW($X198)-ROW($X$15),1):OFFSET(CÁLCULO!$BB$15,ROW($X198)-ROW($X$15),-1))),IF($C198=0,0,ROUND(SomaAgrup,15-13*$AF$11)))</f>
        <v>0</v>
      </c>
      <c r="Y198" s="128" t="s">
        <v>245</v>
      </c>
      <c r="Z198" t="str">
        <f t="shared" ca="1" si="67"/>
        <v/>
      </c>
      <c r="AA198" s="129">
        <f ca="1">IF($C198="S",IF($Z198="CP",$X198,IF($Z198="RA",(($X198)*QCI!$AA$3),0)),SomaAgrup)</f>
        <v>0</v>
      </c>
      <c r="AB198" s="130">
        <f t="shared" ca="1" si="68"/>
        <v>0</v>
      </c>
      <c r="AC198" s="131" t="str">
        <f ca="1">IF($N198="","",IF(ORÇAMENTO.Descricao="","DESCRIÇÃO",IF(AND($C198="S",ORÇAMENTO.Unidade=""),"UNIDADE",IF($X198&lt;0,"VALOR NEGATIVO",IF(OR(AND(TIPOORCAMENTO="Proposto",$AG198&lt;&gt;"",$AG198&gt;0,ORÇAMENTO.CustoUnitario&gt;$AG198),AND(TIPOORCAMENTO="LICITADO",ORÇAMENTO.PrecoUnitarioLicitado&gt;$AN198)),"ACIMA REF.","")))))</f>
        <v/>
      </c>
      <c r="AD198" t="str">
        <f ca="1">IF(C198&lt;=CRONO.NivelExibicao,MAX($AD$15:OFFSET(AD198,-1,0))+IF($C198&lt;&gt;1,1,MAX(1,COUNTIF(QCI!$A$13:$A$24,OFFSET($E198,-1,0)))),"")</f>
        <v/>
      </c>
      <c r="AE198" s="7" t="str">
        <f ca="1">IF(AND($C198="S",ORÇAMENTO.CodBarra&lt;&gt;""),IF(ORÇAMENTO.Fonte="",ORÇAMENTO.CodBarra,CONCATENATE(ORÇAMENTO.Fonte," ",ORÇAMENTO.CodBarra)))</f>
        <v>COMPOSIÇÃO FNDE 18</v>
      </c>
      <c r="AF198" s="13" t="str">
        <f ca="1">IF(ISERROR(INDIRECT(ORÇAMENTO.BancoRef)),"(abra o arquivo 'Referência "&amp;Excel_BuiltIn_Database&amp;".xlsm)",IF(OR($C198&lt;&gt;"S",ORÇAMENTO.CodBarra=""),"(Sem Código)",IF(ISERROR(MATCH($AE198,INDIRECT(ORÇAMENTO.BancoRef),0)),"(Código não identificado nas referências)",MATCH($AE198,INDIRECT(ORÇAMENTO.BancoRef),0))))</f>
        <v>(abra o arquivo 'Referência 06-2024.xlsm)</v>
      </c>
      <c r="AG198" s="498">
        <f ca="1">ROUND(IF(DESONERACAO="sim",REFERENCIA.Desonerado,REFERENCIA.NaoDesonerado),2)</f>
        <v>0</v>
      </c>
      <c r="AH198" s="499">
        <f t="shared" ca="1" si="69"/>
        <v>0.2432</v>
      </c>
      <c r="AJ198" s="501"/>
      <c r="AL198" s="527"/>
      <c r="AM198" s="381">
        <f t="shared" ca="1" si="70"/>
        <v>0</v>
      </c>
      <c r="AN198" s="566">
        <f t="shared" ca="1" si="71"/>
        <v>0</v>
      </c>
    </row>
    <row r="199" spans="1:40" x14ac:dyDescent="0.2">
      <c r="A199">
        <f t="shared" si="56"/>
        <v>2</v>
      </c>
      <c r="B199">
        <f t="shared" ca="1" si="57"/>
        <v>2</v>
      </c>
      <c r="C199">
        <f t="shared" ca="1" si="58"/>
        <v>2</v>
      </c>
      <c r="D199">
        <f t="shared" ca="1" si="59"/>
        <v>13</v>
      </c>
      <c r="E199">
        <f ca="1">IF($C199=1,OFFSET(E199,-1,0)+MAX(1,COUNTIF(QCI!$A$13:$A$24,OFFSET(ORÇAMENTO!E199,-1,0))),OFFSET(E199,-1,0))</f>
        <v>1</v>
      </c>
      <c r="F199">
        <f t="shared" ca="1" si="60"/>
        <v>27</v>
      </c>
      <c r="G199">
        <f t="shared" ca="1" si="61"/>
        <v>0</v>
      </c>
      <c r="H199">
        <f t="shared" ca="1" si="62"/>
        <v>0</v>
      </c>
      <c r="I199">
        <f t="shared" ca="1" si="63"/>
        <v>0</v>
      </c>
      <c r="J199">
        <f t="shared" ca="1" si="55"/>
        <v>528</v>
      </c>
      <c r="K199">
        <f ca="1">IF(OR($C199="S",$C199=0),0,MATCH(OFFSET($D199,0,$C199)+IF($C199&lt;&gt;1,1,COUNTIF(QCI!$A$13:$A$24,ORÇAMENTO!E199)),OFFSET($D199,1,$C199,ROW($C$727)-ROW($C199)),0))</f>
        <v>13</v>
      </c>
      <c r="L199" s="116" t="str">
        <f t="shared" ca="1" si="64"/>
        <v>F</v>
      </c>
      <c r="M199" s="117" t="s">
        <v>196</v>
      </c>
      <c r="N199" s="118" t="str">
        <f t="shared" ca="1" si="65"/>
        <v>Nível 2</v>
      </c>
      <c r="O199" s="119" t="str">
        <f t="shared" ca="1" si="66"/>
        <v>1.27.</v>
      </c>
      <c r="P199" s="120" t="s">
        <v>247</v>
      </c>
      <c r="Q199" s="121"/>
      <c r="R199" s="122" t="s">
        <v>1052</v>
      </c>
      <c r="S199" s="123" t="str">
        <f ca="1">REFERENCIA.Unidade</f>
        <v>-</v>
      </c>
      <c r="T199" s="124">
        <f ca="1">OFFSET(CÁLCULO!H$15,ROW($T199)-ROW(T$15),0)</f>
        <v>0</v>
      </c>
      <c r="U199" s="125">
        <f t="shared" ca="1" si="72"/>
        <v>0</v>
      </c>
      <c r="V199" s="126" t="s">
        <v>156</v>
      </c>
      <c r="W199" s="124">
        <f ca="1">IF($C199="S",ROUND(IF(TIPOORCAMENTO="Proposto",ORÇAMENTO.CustoUnitario*(1+$AH199),ORÇAMENTO.PrecoUnitarioLicitado),15-13*$AF$10),0)</f>
        <v>0</v>
      </c>
      <c r="X199" s="127">
        <f ca="1">IF($C199="S",IF(Import.TipoArredondamento&lt;&gt;"TransfereGOV",VTOTAL1,SUM(OFFSET(CÁLCULO!$AI$15,ROW($X199)-ROW($X$15),1):OFFSET(CÁLCULO!$BB$15,ROW($X199)-ROW($X$15),-1))),IF($C199=0,0,ROUND(SomaAgrup,15-13*$AF$11)))</f>
        <v>0</v>
      </c>
      <c r="Y199" s="128" t="s">
        <v>245</v>
      </c>
      <c r="Z199" t="str">
        <f t="shared" ca="1" si="67"/>
        <v/>
      </c>
      <c r="AA199" s="129">
        <f ca="1">IF($C199="S",IF($Z199="CP",$X199,IF($Z199="RA",(($X199)*QCI!$AA$3),0)),SomaAgrup)</f>
        <v>0</v>
      </c>
      <c r="AB199" s="130">
        <f t="shared" ca="1" si="68"/>
        <v>0</v>
      </c>
      <c r="AC199" s="131" t="str">
        <f ca="1">IF($N199="","",IF(ORÇAMENTO.Descricao="","DESCRIÇÃO",IF(AND($C199="S",ORÇAMENTO.Unidade=""),"UNIDADE",IF($X199&lt;0,"VALOR NEGATIVO",IF(OR(AND(TIPOORCAMENTO="Proposto",$AG199&lt;&gt;"",$AG199&gt;0,ORÇAMENTO.CustoUnitario&gt;$AG199),AND(TIPOORCAMENTO="LICITADO",ORÇAMENTO.PrecoUnitarioLicitado&gt;$AN199)),"ACIMA REF.","")))))</f>
        <v/>
      </c>
      <c r="AD199">
        <f ca="1">IF(C199&lt;=CRONO.NivelExibicao,MAX($AD$15:OFFSET(AD199,-1,0))+IF($C199&lt;&gt;1,1,MAX(1,COUNTIF(QCI!$A$13:$A$24,OFFSET($E199,-1,0)))),"")</f>
        <v>28</v>
      </c>
      <c r="AE199" s="7" t="b">
        <f ca="1">IF(AND($C199="S",ORÇAMENTO.CodBarra&lt;&gt;""),IF(ORÇAMENTO.Fonte="",ORÇAMENTO.CodBarra,CONCATENATE(ORÇAMENTO.Fonte," ",ORÇAMENTO.CodBarra)))</f>
        <v>0</v>
      </c>
      <c r="AF199" s="13" t="str">
        <f ca="1">IF(ISERROR(INDIRECT(ORÇAMENTO.BancoRef)),"(abra o arquivo 'Referência "&amp;Excel_BuiltIn_Database&amp;".xlsm)",IF(OR($C199&lt;&gt;"S",ORÇAMENTO.CodBarra=""),"(Sem Código)",IF(ISERROR(MATCH($AE199,INDIRECT(ORÇAMENTO.BancoRef),0)),"(Código não identificado nas referências)",MATCH($AE199,INDIRECT(ORÇAMENTO.BancoRef),0))))</f>
        <v>(abra o arquivo 'Referência 06-2024.xlsm)</v>
      </c>
      <c r="AG199" s="498">
        <f ca="1">ROUND(IF(DESONERACAO="sim",REFERENCIA.Desonerado,REFERENCIA.NaoDesonerado),2)</f>
        <v>0</v>
      </c>
      <c r="AH199" s="499">
        <f t="shared" ca="1" si="69"/>
        <v>0.2432</v>
      </c>
      <c r="AJ199" s="501"/>
      <c r="AL199" s="527"/>
      <c r="AM199" s="381">
        <f t="shared" ca="1" si="70"/>
        <v>0</v>
      </c>
      <c r="AN199" s="566">
        <f t="shared" ca="1" si="71"/>
        <v>0</v>
      </c>
    </row>
    <row r="200" spans="1:40" ht="25.5" x14ac:dyDescent="0.2">
      <c r="A200" t="str">
        <f t="shared" si="56"/>
        <v>S</v>
      </c>
      <c r="B200">
        <f t="shared" ca="1" si="57"/>
        <v>2</v>
      </c>
      <c r="C200" t="str">
        <f t="shared" ca="1" si="58"/>
        <v>S</v>
      </c>
      <c r="D200">
        <f t="shared" ca="1" si="59"/>
        <v>0</v>
      </c>
      <c r="E200">
        <f ca="1">IF($C200=1,OFFSET(E200,-1,0)+MAX(1,COUNTIF(QCI!$A$13:$A$24,OFFSET(ORÇAMENTO!E200,-1,0))),OFFSET(E200,-1,0))</f>
        <v>1</v>
      </c>
      <c r="F200">
        <f t="shared" ca="1" si="60"/>
        <v>27</v>
      </c>
      <c r="G200">
        <f t="shared" ca="1" si="61"/>
        <v>0</v>
      </c>
      <c r="H200">
        <f t="shared" ca="1" si="62"/>
        <v>0</v>
      </c>
      <c r="I200">
        <f t="shared" ca="1" si="63"/>
        <v>0</v>
      </c>
      <c r="J200">
        <f t="shared" ca="1" si="55"/>
        <v>0</v>
      </c>
      <c r="K200">
        <f ca="1">IF(OR($C200="S",$C200=0),0,MATCH(OFFSET($D200,0,$C200)+IF($C200&lt;&gt;1,1,COUNTIF(QCI!$A$13:$A$24,ORÇAMENTO!E200)),OFFSET($D200,1,$C200,ROW($C$727)-ROW($C200)),0))</f>
        <v>0</v>
      </c>
      <c r="L200" s="116" t="str">
        <f t="shared" ca="1" si="64"/>
        <v/>
      </c>
      <c r="M200" s="117" t="s">
        <v>199</v>
      </c>
      <c r="N200" s="118" t="str">
        <f t="shared" ca="1" si="65"/>
        <v>Serviço</v>
      </c>
      <c r="O200" s="119" t="str">
        <f t="shared" ca="1" si="66"/>
        <v>-</v>
      </c>
      <c r="P200" s="120" t="s">
        <v>458</v>
      </c>
      <c r="Q200" s="121" t="s">
        <v>598</v>
      </c>
      <c r="R200" s="122" t="str">
        <f ca="1">IF($C200="S",REFERENCIA.Descricao,"(digite a descrição aqui)")</f>
        <v>(abra o arquivo 'Referência 06-2024.xlsm)</v>
      </c>
      <c r="S200" s="123" t="str">
        <f ca="1">REFERENCIA.Unidade</f>
        <v>-</v>
      </c>
      <c r="T200" s="124">
        <f ca="1">OFFSET(CÁLCULO!H$15,ROW($T200)-ROW(T$15),0)</f>
        <v>1394.71</v>
      </c>
      <c r="U200" s="125">
        <f t="shared" ca="1" si="72"/>
        <v>0</v>
      </c>
      <c r="V200" s="126" t="s">
        <v>156</v>
      </c>
      <c r="W200" s="124">
        <f ca="1">IF($C200="S",ROUND(IF(TIPOORCAMENTO="Proposto",ORÇAMENTO.CustoUnitario*(1+$AH200),ORÇAMENTO.PrecoUnitarioLicitado),15-13*$AF$10),0)</f>
        <v>0</v>
      </c>
      <c r="X200" s="127">
        <f ca="1">IF($C200="S",IF(Import.TipoArredondamento&lt;&gt;"TransfereGOV",VTOTAL1,SUM(OFFSET(CÁLCULO!$AI$15,ROW($X200)-ROW($X$15),1):OFFSET(CÁLCULO!$BB$15,ROW($X200)-ROW($X$15),-1))),IF($C200=0,0,ROUND(SomaAgrup,15-13*$AF$11)))</f>
        <v>0</v>
      </c>
      <c r="Y200" s="128" t="s">
        <v>245</v>
      </c>
      <c r="Z200" t="str">
        <f t="shared" ca="1" si="67"/>
        <v/>
      </c>
      <c r="AA200" s="129">
        <f ca="1">IF($C200="S",IF($Z200="CP",$X200,IF($Z200="RA",(($X200)*QCI!$AA$3),0)),SomaAgrup)</f>
        <v>0</v>
      </c>
      <c r="AB200" s="130">
        <f t="shared" ca="1" si="68"/>
        <v>0</v>
      </c>
      <c r="AC200" s="131" t="str">
        <f ca="1">IF($N200="","",IF(ORÇAMENTO.Descricao="","DESCRIÇÃO",IF(AND($C200="S",ORÇAMENTO.Unidade=""),"UNIDADE",IF($X200&lt;0,"VALOR NEGATIVO",IF(OR(AND(TIPOORCAMENTO="Proposto",$AG200&lt;&gt;"",$AG200&gt;0,ORÇAMENTO.CustoUnitario&gt;$AG200),AND(TIPOORCAMENTO="LICITADO",ORÇAMENTO.PrecoUnitarioLicitado&gt;$AN200)),"ACIMA REF.","")))))</f>
        <v/>
      </c>
      <c r="AD200" t="str">
        <f ca="1">IF(C200&lt;=CRONO.NivelExibicao,MAX($AD$15:OFFSET(AD200,-1,0))+IF($C200&lt;&gt;1,1,MAX(1,COUNTIF(QCI!$A$13:$A$24,OFFSET($E200,-1,0)))),"")</f>
        <v/>
      </c>
      <c r="AE200" s="7" t="str">
        <f ca="1">IF(AND($C200="S",ORÇAMENTO.CodBarra&lt;&gt;""),IF(ORÇAMENTO.Fonte="",ORÇAMENTO.CodBarra,CONCATENATE(ORÇAMENTO.Fonte," ",ORÇAMENTO.CodBarra)))</f>
        <v>COMPOSIÇÃO FNDE 182</v>
      </c>
      <c r="AF200" s="13" t="str">
        <f ca="1">IF(ISERROR(INDIRECT(ORÇAMENTO.BancoRef)),"(abra o arquivo 'Referência "&amp;Excel_BuiltIn_Database&amp;".xlsm)",IF(OR($C200&lt;&gt;"S",ORÇAMENTO.CodBarra=""),"(Sem Código)",IF(ISERROR(MATCH($AE200,INDIRECT(ORÇAMENTO.BancoRef),0)),"(Código não identificado nas referências)",MATCH($AE200,INDIRECT(ORÇAMENTO.BancoRef),0))))</f>
        <v>(abra o arquivo 'Referência 06-2024.xlsm)</v>
      </c>
      <c r="AG200" s="498">
        <f ca="1">ROUND(IF(DESONERACAO="sim",REFERENCIA.Desonerado,REFERENCIA.NaoDesonerado),2)</f>
        <v>0</v>
      </c>
      <c r="AH200" s="499">
        <f t="shared" ca="1" si="69"/>
        <v>0.2432</v>
      </c>
      <c r="AJ200" s="501"/>
      <c r="AL200" s="527"/>
      <c r="AM200" s="381">
        <f t="shared" ca="1" si="70"/>
        <v>0</v>
      </c>
      <c r="AN200" s="566">
        <f t="shared" ca="1" si="71"/>
        <v>0</v>
      </c>
    </row>
    <row r="201" spans="1:40" ht="63.75" x14ac:dyDescent="0.2">
      <c r="A201" t="str">
        <f t="shared" si="56"/>
        <v>S</v>
      </c>
      <c r="B201">
        <f t="shared" ca="1" si="57"/>
        <v>2</v>
      </c>
      <c r="C201" t="str">
        <f t="shared" ca="1" si="58"/>
        <v>S</v>
      </c>
      <c r="D201">
        <f t="shared" ca="1" si="59"/>
        <v>0</v>
      </c>
      <c r="E201">
        <f ca="1">IF($C201=1,OFFSET(E201,-1,0)+MAX(1,COUNTIF(QCI!$A$13:$A$24,OFFSET(ORÇAMENTO!E201,-1,0))),OFFSET(E201,-1,0))</f>
        <v>1</v>
      </c>
      <c r="F201">
        <f t="shared" ca="1" si="60"/>
        <v>27</v>
      </c>
      <c r="G201">
        <f t="shared" ca="1" si="61"/>
        <v>0</v>
      </c>
      <c r="H201">
        <f t="shared" ca="1" si="62"/>
        <v>0</v>
      </c>
      <c r="I201">
        <f t="shared" ca="1" si="63"/>
        <v>0</v>
      </c>
      <c r="J201">
        <f t="shared" ca="1" si="55"/>
        <v>0</v>
      </c>
      <c r="K201">
        <f ca="1">IF(OR($C201="S",$C201=0),0,MATCH(OFFSET($D201,0,$C201)+IF($C201&lt;&gt;1,1,COUNTIF(QCI!$A$13:$A$24,ORÇAMENTO!E201)),OFFSET($D201,1,$C201,ROW($C$727)-ROW($C201)),0))</f>
        <v>0</v>
      </c>
      <c r="L201" s="116" t="str">
        <f t="shared" ca="1" si="64"/>
        <v/>
      </c>
      <c r="M201" s="117" t="s">
        <v>199</v>
      </c>
      <c r="N201" s="118" t="str">
        <f t="shared" ca="1" si="65"/>
        <v>Serviço</v>
      </c>
      <c r="O201" s="119" t="str">
        <f t="shared" ca="1" si="66"/>
        <v>-</v>
      </c>
      <c r="P201" s="120" t="s">
        <v>247</v>
      </c>
      <c r="Q201" s="121" t="s">
        <v>599</v>
      </c>
      <c r="R201" s="122" t="str">
        <f ca="1">IF($C201="S",REFERENCIA.Descricao,"(digite a descrição aqui)")</f>
        <v>(abra o arquivo 'Referência 06-2024.xlsm)</v>
      </c>
      <c r="S201" s="123" t="str">
        <f ca="1">REFERENCIA.Unidade</f>
        <v>-</v>
      </c>
      <c r="T201" s="124">
        <f ca="1">OFFSET(CÁLCULO!H$15,ROW($T201)-ROW(T$15),0)</f>
        <v>412.53</v>
      </c>
      <c r="U201" s="125">
        <f t="shared" ca="1" si="72"/>
        <v>0</v>
      </c>
      <c r="V201" s="126" t="s">
        <v>156</v>
      </c>
      <c r="W201" s="124">
        <f ca="1">IF($C201="S",ROUND(IF(TIPOORCAMENTO="Proposto",ORÇAMENTO.CustoUnitario*(1+$AH201),ORÇAMENTO.PrecoUnitarioLicitado),15-13*$AF$10),0)</f>
        <v>0</v>
      </c>
      <c r="X201" s="127">
        <f ca="1">IF($C201="S",IF(Import.TipoArredondamento&lt;&gt;"TransfereGOV",VTOTAL1,SUM(OFFSET(CÁLCULO!$AI$15,ROW($X201)-ROW($X$15),1):OFFSET(CÁLCULO!$BB$15,ROW($X201)-ROW($X$15),-1))),IF($C201=0,0,ROUND(SomaAgrup,15-13*$AF$11)))</f>
        <v>0</v>
      </c>
      <c r="Y201" s="128" t="s">
        <v>245</v>
      </c>
      <c r="Z201" t="str">
        <f t="shared" ca="1" si="67"/>
        <v/>
      </c>
      <c r="AA201" s="129">
        <f ca="1">IF($C201="S",IF($Z201="CP",$X201,IF($Z201="RA",(($X201)*QCI!$AA$3),0)),SomaAgrup)</f>
        <v>0</v>
      </c>
      <c r="AB201" s="130">
        <f t="shared" ca="1" si="68"/>
        <v>0</v>
      </c>
      <c r="AC201" s="131" t="str">
        <f ca="1">IF($N201="","",IF(ORÇAMENTO.Descricao="","DESCRIÇÃO",IF(AND($C201="S",ORÇAMENTO.Unidade=""),"UNIDADE",IF($X201&lt;0,"VALOR NEGATIVO",IF(OR(AND(TIPOORCAMENTO="Proposto",$AG201&lt;&gt;"",$AG201&gt;0,ORÇAMENTO.CustoUnitario&gt;$AG201),AND(TIPOORCAMENTO="LICITADO",ORÇAMENTO.PrecoUnitarioLicitado&gt;$AN201)),"ACIMA REF.","")))))</f>
        <v/>
      </c>
      <c r="AD201" t="str">
        <f ca="1">IF(C201&lt;=CRONO.NivelExibicao,MAX($AD$15:OFFSET(AD201,-1,0))+IF($C201&lt;&gt;1,1,MAX(1,COUNTIF(QCI!$A$13:$A$24,OFFSET($E201,-1,0)))),"")</f>
        <v/>
      </c>
      <c r="AE201" s="7" t="str">
        <f ca="1">IF(AND($C201="S",ORÇAMENTO.CodBarra&lt;&gt;""),IF(ORÇAMENTO.Fonte="",ORÇAMENTO.CodBarra,CONCATENATE(ORÇAMENTO.Fonte," ",ORÇAMENTO.CodBarra)))</f>
        <v>SINAPI 104162</v>
      </c>
      <c r="AF201" s="13" t="str">
        <f ca="1">IF(ISERROR(INDIRECT(ORÇAMENTO.BancoRef)),"(abra o arquivo 'Referência "&amp;Excel_BuiltIn_Database&amp;".xlsm)",IF(OR($C201&lt;&gt;"S",ORÇAMENTO.CodBarra=""),"(Sem Código)",IF(ISERROR(MATCH($AE201,INDIRECT(ORÇAMENTO.BancoRef),0)),"(Código não identificado nas referências)",MATCH($AE201,INDIRECT(ORÇAMENTO.BancoRef),0))))</f>
        <v>(abra o arquivo 'Referência 06-2024.xlsm)</v>
      </c>
      <c r="AG201" s="498">
        <f ca="1">ROUND(IF(DESONERACAO="sim",REFERENCIA.Desonerado,REFERENCIA.NaoDesonerado),2)</f>
        <v>0</v>
      </c>
      <c r="AH201" s="499">
        <f t="shared" ca="1" si="69"/>
        <v>0.2432</v>
      </c>
      <c r="AJ201" s="501"/>
      <c r="AL201" s="527"/>
      <c r="AM201" s="381">
        <f t="shared" ca="1" si="70"/>
        <v>0</v>
      </c>
      <c r="AN201" s="566">
        <f t="shared" ca="1" si="71"/>
        <v>0</v>
      </c>
    </row>
    <row r="202" spans="1:40" ht="38.25" x14ac:dyDescent="0.2">
      <c r="A202" t="str">
        <f t="shared" si="56"/>
        <v>S</v>
      </c>
      <c r="B202">
        <f t="shared" ca="1" si="57"/>
        <v>2</v>
      </c>
      <c r="C202" t="str">
        <f t="shared" ca="1" si="58"/>
        <v>S</v>
      </c>
      <c r="D202">
        <f t="shared" ca="1" si="59"/>
        <v>0</v>
      </c>
      <c r="E202">
        <f ca="1">IF($C202=1,OFFSET(E202,-1,0)+MAX(1,COUNTIF(QCI!$A$13:$A$24,OFFSET(ORÇAMENTO!E202,-1,0))),OFFSET(E202,-1,0))</f>
        <v>1</v>
      </c>
      <c r="F202">
        <f t="shared" ca="1" si="60"/>
        <v>27</v>
      </c>
      <c r="G202">
        <f t="shared" ca="1" si="61"/>
        <v>0</v>
      </c>
      <c r="H202">
        <f t="shared" ca="1" si="62"/>
        <v>0</v>
      </c>
      <c r="I202">
        <f t="shared" ca="1" si="63"/>
        <v>0</v>
      </c>
      <c r="J202">
        <f t="shared" ca="1" si="55"/>
        <v>0</v>
      </c>
      <c r="K202">
        <f ca="1">IF(OR($C202="S",$C202=0),0,MATCH(OFFSET($D202,0,$C202)+IF($C202&lt;&gt;1,1,COUNTIF(QCI!$A$13:$A$24,ORÇAMENTO!E202)),OFFSET($D202,1,$C202,ROW($C$727)-ROW($C202)),0))</f>
        <v>0</v>
      </c>
      <c r="L202" s="116" t="str">
        <f t="shared" ca="1" si="64"/>
        <v/>
      </c>
      <c r="M202" s="117" t="s">
        <v>199</v>
      </c>
      <c r="N202" s="118" t="str">
        <f t="shared" ca="1" si="65"/>
        <v>Serviço</v>
      </c>
      <c r="O202" s="119" t="str">
        <f t="shared" ca="1" si="66"/>
        <v>-</v>
      </c>
      <c r="P202" s="120" t="s">
        <v>247</v>
      </c>
      <c r="Q202" s="121" t="s">
        <v>600</v>
      </c>
      <c r="R202" s="122" t="str">
        <f ca="1">IF($C202="S",REFERENCIA.Descricao,"(digite a descrição aqui)")</f>
        <v>(abra o arquivo 'Referência 06-2024.xlsm)</v>
      </c>
      <c r="S202" s="123" t="str">
        <f ca="1">REFERENCIA.Unidade</f>
        <v>-</v>
      </c>
      <c r="T202" s="124">
        <f ca="1">OFFSET(CÁLCULO!H$15,ROW($T202)-ROW(T$15),0)</f>
        <v>348</v>
      </c>
      <c r="U202" s="125">
        <f t="shared" ca="1" si="72"/>
        <v>0</v>
      </c>
      <c r="V202" s="126" t="s">
        <v>156</v>
      </c>
      <c r="W202" s="124">
        <f ca="1">IF($C202="S",ROUND(IF(TIPOORCAMENTO="Proposto",ORÇAMENTO.CustoUnitario*(1+$AH202),ORÇAMENTO.PrecoUnitarioLicitado),15-13*$AF$10),0)</f>
        <v>0</v>
      </c>
      <c r="X202" s="127">
        <f ca="1">IF($C202="S",IF(Import.TipoArredondamento&lt;&gt;"TransfereGOV",VTOTAL1,SUM(OFFSET(CÁLCULO!$AI$15,ROW($X202)-ROW($X$15),1):OFFSET(CÁLCULO!$BB$15,ROW($X202)-ROW($X$15),-1))),IF($C202=0,0,ROUND(SomaAgrup,15-13*$AF$11)))</f>
        <v>0</v>
      </c>
      <c r="Y202" s="128" t="s">
        <v>245</v>
      </c>
      <c r="Z202" t="str">
        <f t="shared" ca="1" si="67"/>
        <v/>
      </c>
      <c r="AA202" s="129">
        <f ca="1">IF($C202="S",IF($Z202="CP",$X202,IF($Z202="RA",(($X202)*QCI!$AA$3),0)),SomaAgrup)</f>
        <v>0</v>
      </c>
      <c r="AB202" s="130">
        <f t="shared" ca="1" si="68"/>
        <v>0</v>
      </c>
      <c r="AC202" s="131" t="str">
        <f ca="1">IF($N202="","",IF(ORÇAMENTO.Descricao="","DESCRIÇÃO",IF(AND($C202="S",ORÇAMENTO.Unidade=""),"UNIDADE",IF($X202&lt;0,"VALOR NEGATIVO",IF(OR(AND(TIPOORCAMENTO="Proposto",$AG202&lt;&gt;"",$AG202&gt;0,ORÇAMENTO.CustoUnitario&gt;$AG202),AND(TIPOORCAMENTO="LICITADO",ORÇAMENTO.PrecoUnitarioLicitado&gt;$AN202)),"ACIMA REF.","")))))</f>
        <v/>
      </c>
      <c r="AD202" t="str">
        <f ca="1">IF(C202&lt;=CRONO.NivelExibicao,MAX($AD$15:OFFSET(AD202,-1,0))+IF($C202&lt;&gt;1,1,MAX(1,COUNTIF(QCI!$A$13:$A$24,OFFSET($E202,-1,0)))),"")</f>
        <v/>
      </c>
      <c r="AE202" s="7" t="str">
        <f ca="1">IF(AND($C202="S",ORÇAMENTO.CodBarra&lt;&gt;""),IF(ORÇAMENTO.Fonte="",ORÇAMENTO.CodBarra,CONCATENATE(ORÇAMENTO.Fonte," ",ORÇAMENTO.CodBarra)))</f>
        <v>SINAPI 87257</v>
      </c>
      <c r="AF202" s="13" t="str">
        <f ca="1">IF(ISERROR(INDIRECT(ORÇAMENTO.BancoRef)),"(abra o arquivo 'Referência "&amp;Excel_BuiltIn_Database&amp;".xlsm)",IF(OR($C202&lt;&gt;"S",ORÇAMENTO.CodBarra=""),"(Sem Código)",IF(ISERROR(MATCH($AE202,INDIRECT(ORÇAMENTO.BancoRef),0)),"(Código não identificado nas referências)",MATCH($AE202,INDIRECT(ORÇAMENTO.BancoRef),0))))</f>
        <v>(abra o arquivo 'Referência 06-2024.xlsm)</v>
      </c>
      <c r="AG202" s="498">
        <f ca="1">ROUND(IF(DESONERACAO="sim",REFERENCIA.Desonerado,REFERENCIA.NaoDesonerado),2)</f>
        <v>0</v>
      </c>
      <c r="AH202" s="499">
        <f t="shared" ca="1" si="69"/>
        <v>0.2432</v>
      </c>
      <c r="AJ202" s="501"/>
      <c r="AL202" s="527"/>
      <c r="AM202" s="381">
        <f t="shared" ca="1" si="70"/>
        <v>0</v>
      </c>
      <c r="AN202" s="566">
        <f t="shared" ca="1" si="71"/>
        <v>0</v>
      </c>
    </row>
    <row r="203" spans="1:40" ht="38.25" x14ac:dyDescent="0.2">
      <c r="A203" t="str">
        <f t="shared" si="56"/>
        <v>S</v>
      </c>
      <c r="B203">
        <f t="shared" ca="1" si="57"/>
        <v>2</v>
      </c>
      <c r="C203" t="str">
        <f t="shared" ca="1" si="58"/>
        <v>S</v>
      </c>
      <c r="D203">
        <f t="shared" ca="1" si="59"/>
        <v>0</v>
      </c>
      <c r="E203">
        <f ca="1">IF($C203=1,OFFSET(E203,-1,0)+MAX(1,COUNTIF(QCI!$A$13:$A$24,OFFSET(ORÇAMENTO!E203,-1,0))),OFFSET(E203,-1,0))</f>
        <v>1</v>
      </c>
      <c r="F203">
        <f t="shared" ca="1" si="60"/>
        <v>27</v>
      </c>
      <c r="G203">
        <f t="shared" ca="1" si="61"/>
        <v>0</v>
      </c>
      <c r="H203">
        <f t="shared" ca="1" si="62"/>
        <v>0</v>
      </c>
      <c r="I203">
        <f t="shared" ca="1" si="63"/>
        <v>0</v>
      </c>
      <c r="J203">
        <f t="shared" ca="1" si="55"/>
        <v>0</v>
      </c>
      <c r="K203">
        <f ca="1">IF(OR($C203="S",$C203=0),0,MATCH(OFFSET($D203,0,$C203)+IF($C203&lt;&gt;1,1,COUNTIF(QCI!$A$13:$A$24,ORÇAMENTO!E203)),OFFSET($D203,1,$C203,ROW($C$727)-ROW($C203)),0))</f>
        <v>0</v>
      </c>
      <c r="L203" s="116" t="str">
        <f t="shared" ca="1" si="64"/>
        <v/>
      </c>
      <c r="M203" s="117" t="s">
        <v>199</v>
      </c>
      <c r="N203" s="118" t="str">
        <f t="shared" ca="1" si="65"/>
        <v>Serviço</v>
      </c>
      <c r="O203" s="119" t="str">
        <f t="shared" ca="1" si="66"/>
        <v>-</v>
      </c>
      <c r="P203" s="120" t="s">
        <v>247</v>
      </c>
      <c r="Q203" s="121" t="s">
        <v>601</v>
      </c>
      <c r="R203" s="122" t="str">
        <f ca="1">IF($C203="S",REFERENCIA.Descricao,"(digite a descrição aqui)")</f>
        <v>(abra o arquivo 'Referência 06-2024.xlsm)</v>
      </c>
      <c r="S203" s="123" t="str">
        <f ca="1">REFERENCIA.Unidade</f>
        <v>-</v>
      </c>
      <c r="T203" s="124">
        <f ca="1">OFFSET(CÁLCULO!H$15,ROW($T203)-ROW(T$15),0)</f>
        <v>235.9</v>
      </c>
      <c r="U203" s="125">
        <f t="shared" ca="1" si="72"/>
        <v>0</v>
      </c>
      <c r="V203" s="126" t="s">
        <v>156</v>
      </c>
      <c r="W203" s="124">
        <f ca="1">IF($C203="S",ROUND(IF(TIPOORCAMENTO="Proposto",ORÇAMENTO.CustoUnitario*(1+$AH203),ORÇAMENTO.PrecoUnitarioLicitado),15-13*$AF$10),0)</f>
        <v>0</v>
      </c>
      <c r="X203" s="127">
        <f ca="1">IF($C203="S",IF(Import.TipoArredondamento&lt;&gt;"TransfereGOV",VTOTAL1,SUM(OFFSET(CÁLCULO!$AI$15,ROW($X203)-ROW($X$15),1):OFFSET(CÁLCULO!$BB$15,ROW($X203)-ROW($X$15),-1))),IF($C203=0,0,ROUND(SomaAgrup,15-13*$AF$11)))</f>
        <v>0</v>
      </c>
      <c r="Y203" s="128" t="s">
        <v>245</v>
      </c>
      <c r="Z203" t="str">
        <f t="shared" ca="1" si="67"/>
        <v/>
      </c>
      <c r="AA203" s="129">
        <f ca="1">IF($C203="S",IF($Z203="CP",$X203,IF($Z203="RA",(($X203)*QCI!$AA$3),0)),SomaAgrup)</f>
        <v>0</v>
      </c>
      <c r="AB203" s="130">
        <f t="shared" ca="1" si="68"/>
        <v>0</v>
      </c>
      <c r="AC203" s="131" t="str">
        <f ca="1">IF($N203="","",IF(ORÇAMENTO.Descricao="","DESCRIÇÃO",IF(AND($C203="S",ORÇAMENTO.Unidade=""),"UNIDADE",IF($X203&lt;0,"VALOR NEGATIVO",IF(OR(AND(TIPOORCAMENTO="Proposto",$AG203&lt;&gt;"",$AG203&gt;0,ORÇAMENTO.CustoUnitario&gt;$AG203),AND(TIPOORCAMENTO="LICITADO",ORÇAMENTO.PrecoUnitarioLicitado&gt;$AN203)),"ACIMA REF.","")))))</f>
        <v/>
      </c>
      <c r="AD203" t="str">
        <f ca="1">IF(C203&lt;=CRONO.NivelExibicao,MAX($AD$15:OFFSET(AD203,-1,0))+IF($C203&lt;&gt;1,1,MAX(1,COUNTIF(QCI!$A$13:$A$24,OFFSET($E203,-1,0)))),"")</f>
        <v/>
      </c>
      <c r="AE203" s="7" t="str">
        <f ca="1">IF(AND($C203="S",ORÇAMENTO.CodBarra&lt;&gt;""),IF(ORÇAMENTO.Fonte="",ORÇAMENTO.CodBarra,CONCATENATE(ORÇAMENTO.Fonte," ",ORÇAMENTO.CodBarra)))</f>
        <v>SINAPI 87251</v>
      </c>
      <c r="AF203" s="13" t="str">
        <f ca="1">IF(ISERROR(INDIRECT(ORÇAMENTO.BancoRef)),"(abra o arquivo 'Referência "&amp;Excel_BuiltIn_Database&amp;".xlsm)",IF(OR($C203&lt;&gt;"S",ORÇAMENTO.CodBarra=""),"(Sem Código)",IF(ISERROR(MATCH($AE203,INDIRECT(ORÇAMENTO.BancoRef),0)),"(Código não identificado nas referências)",MATCH($AE203,INDIRECT(ORÇAMENTO.BancoRef),0))))</f>
        <v>(abra o arquivo 'Referência 06-2024.xlsm)</v>
      </c>
      <c r="AG203" s="498">
        <f ca="1">ROUND(IF(DESONERACAO="sim",REFERENCIA.Desonerado,REFERENCIA.NaoDesonerado),2)</f>
        <v>0</v>
      </c>
      <c r="AH203" s="499">
        <f t="shared" ca="1" si="69"/>
        <v>0.2432</v>
      </c>
      <c r="AJ203" s="501"/>
      <c r="AL203" s="527"/>
      <c r="AM203" s="381">
        <f t="shared" ca="1" si="70"/>
        <v>0</v>
      </c>
      <c r="AN203" s="566">
        <f t="shared" ca="1" si="71"/>
        <v>0</v>
      </c>
    </row>
    <row r="204" spans="1:40" ht="25.5" x14ac:dyDescent="0.2">
      <c r="A204" t="str">
        <f t="shared" si="56"/>
        <v>S</v>
      </c>
      <c r="B204">
        <f t="shared" ca="1" si="57"/>
        <v>2</v>
      </c>
      <c r="C204" t="str">
        <f t="shared" ca="1" si="58"/>
        <v>S</v>
      </c>
      <c r="D204">
        <f t="shared" ca="1" si="59"/>
        <v>0</v>
      </c>
      <c r="E204">
        <f ca="1">IF($C204=1,OFFSET(E204,-1,0)+MAX(1,COUNTIF(QCI!$A$13:$A$24,OFFSET(ORÇAMENTO!E204,-1,0))),OFFSET(E204,-1,0))</f>
        <v>1</v>
      </c>
      <c r="F204">
        <f t="shared" ca="1" si="60"/>
        <v>27</v>
      </c>
      <c r="G204">
        <f t="shared" ca="1" si="61"/>
        <v>0</v>
      </c>
      <c r="H204">
        <f t="shared" ca="1" si="62"/>
        <v>0</v>
      </c>
      <c r="I204">
        <f t="shared" ca="1" si="63"/>
        <v>0</v>
      </c>
      <c r="J204">
        <f t="shared" ca="1" si="55"/>
        <v>0</v>
      </c>
      <c r="K204">
        <f ca="1">IF(OR($C204="S",$C204=0),0,MATCH(OFFSET($D204,0,$C204)+IF($C204&lt;&gt;1,1,COUNTIF(QCI!$A$13:$A$24,ORÇAMENTO!E204)),OFFSET($D204,1,$C204,ROW($C$727)-ROW($C204)),0))</f>
        <v>0</v>
      </c>
      <c r="L204" s="116" t="str">
        <f t="shared" ca="1" si="64"/>
        <v/>
      </c>
      <c r="M204" s="117" t="s">
        <v>199</v>
      </c>
      <c r="N204" s="118" t="str">
        <f t="shared" ca="1" si="65"/>
        <v>Serviço</v>
      </c>
      <c r="O204" s="119" t="str">
        <f t="shared" ca="1" si="66"/>
        <v>-</v>
      </c>
      <c r="P204" s="120" t="s">
        <v>458</v>
      </c>
      <c r="Q204" s="121" t="s">
        <v>602</v>
      </c>
      <c r="R204" s="122" t="str">
        <f ca="1">IF($C204="S",REFERENCIA.Descricao,"(digite a descrição aqui)")</f>
        <v>(abra o arquivo 'Referência 06-2024.xlsm)</v>
      </c>
      <c r="S204" s="123" t="str">
        <f ca="1">REFERENCIA.Unidade</f>
        <v>-</v>
      </c>
      <c r="T204" s="124">
        <f ca="1">OFFSET(CÁLCULO!H$15,ROW($T204)-ROW(T$15),0)</f>
        <v>398.28</v>
      </c>
      <c r="U204" s="125">
        <f t="shared" ca="1" si="72"/>
        <v>0</v>
      </c>
      <c r="V204" s="126" t="s">
        <v>156</v>
      </c>
      <c r="W204" s="124">
        <f ca="1">IF($C204="S",ROUND(IF(TIPOORCAMENTO="Proposto",ORÇAMENTO.CustoUnitario*(1+$AH204),ORÇAMENTO.PrecoUnitarioLicitado),15-13*$AF$10),0)</f>
        <v>0</v>
      </c>
      <c r="X204" s="127">
        <f ca="1">IF($C204="S",IF(Import.TipoArredondamento&lt;&gt;"TransfereGOV",VTOTAL1,SUM(OFFSET(CÁLCULO!$AI$15,ROW($X204)-ROW($X$15),1):OFFSET(CÁLCULO!$BB$15,ROW($X204)-ROW($X$15),-1))),IF($C204=0,0,ROUND(SomaAgrup,15-13*$AF$11)))</f>
        <v>0</v>
      </c>
      <c r="Y204" s="128" t="s">
        <v>245</v>
      </c>
      <c r="Z204" t="str">
        <f t="shared" ca="1" si="67"/>
        <v/>
      </c>
      <c r="AA204" s="129">
        <f ca="1">IF($C204="S",IF($Z204="CP",$X204,IF($Z204="RA",(($X204)*QCI!$AA$3),0)),SomaAgrup)</f>
        <v>0</v>
      </c>
      <c r="AB204" s="130">
        <f t="shared" ca="1" si="68"/>
        <v>0</v>
      </c>
      <c r="AC204" s="131" t="str">
        <f ca="1">IF($N204="","",IF(ORÇAMENTO.Descricao="","DESCRIÇÃO",IF(AND($C204="S",ORÇAMENTO.Unidade=""),"UNIDADE",IF($X204&lt;0,"VALOR NEGATIVO",IF(OR(AND(TIPOORCAMENTO="Proposto",$AG204&lt;&gt;"",$AG204&gt;0,ORÇAMENTO.CustoUnitario&gt;$AG204),AND(TIPOORCAMENTO="LICITADO",ORÇAMENTO.PrecoUnitarioLicitado&gt;$AN204)),"ACIMA REF.","")))))</f>
        <v/>
      </c>
      <c r="AD204" t="str">
        <f ca="1">IF(C204&lt;=CRONO.NivelExibicao,MAX($AD$15:OFFSET(AD204,-1,0))+IF($C204&lt;&gt;1,1,MAX(1,COUNTIF(QCI!$A$13:$A$24,OFFSET($E204,-1,0)))),"")</f>
        <v/>
      </c>
      <c r="AE204" s="7" t="str">
        <f ca="1">IF(AND($C204="S",ORÇAMENTO.CodBarra&lt;&gt;""),IF(ORÇAMENTO.Fonte="",ORÇAMENTO.CodBarra,CONCATENATE(ORÇAMENTO.Fonte," ",ORÇAMENTO.CodBarra)))</f>
        <v>COMPOSIÇÃO FNDE 09</v>
      </c>
      <c r="AF204" s="13" t="str">
        <f ca="1">IF(ISERROR(INDIRECT(ORÇAMENTO.BancoRef)),"(abra o arquivo 'Referência "&amp;Excel_BuiltIn_Database&amp;".xlsm)",IF(OR($C204&lt;&gt;"S",ORÇAMENTO.CodBarra=""),"(Sem Código)",IF(ISERROR(MATCH($AE204,INDIRECT(ORÇAMENTO.BancoRef),0)),"(Código não identificado nas referências)",MATCH($AE204,INDIRECT(ORÇAMENTO.BancoRef),0))))</f>
        <v>(abra o arquivo 'Referência 06-2024.xlsm)</v>
      </c>
      <c r="AG204" s="498">
        <f ca="1">ROUND(IF(DESONERACAO="sim",REFERENCIA.Desonerado,REFERENCIA.NaoDesonerado),2)</f>
        <v>0</v>
      </c>
      <c r="AH204" s="499">
        <f t="shared" ca="1" si="69"/>
        <v>0.2432</v>
      </c>
      <c r="AJ204" s="501"/>
      <c r="AL204" s="527"/>
      <c r="AM204" s="381">
        <f t="shared" ca="1" si="70"/>
        <v>0</v>
      </c>
      <c r="AN204" s="566">
        <f t="shared" ca="1" si="71"/>
        <v>0</v>
      </c>
    </row>
    <row r="205" spans="1:40" ht="25.5" x14ac:dyDescent="0.2">
      <c r="A205" t="str">
        <f t="shared" si="56"/>
        <v>S</v>
      </c>
      <c r="B205">
        <f t="shared" ca="1" si="57"/>
        <v>2</v>
      </c>
      <c r="C205" t="str">
        <f t="shared" ca="1" si="58"/>
        <v>S</v>
      </c>
      <c r="D205">
        <f t="shared" ca="1" si="59"/>
        <v>0</v>
      </c>
      <c r="E205">
        <f ca="1">IF($C205=1,OFFSET(E205,-1,0)+MAX(1,COUNTIF(QCI!$A$13:$A$24,OFFSET(ORÇAMENTO!E205,-1,0))),OFFSET(E205,-1,0))</f>
        <v>1</v>
      </c>
      <c r="F205">
        <f t="shared" ca="1" si="60"/>
        <v>27</v>
      </c>
      <c r="G205">
        <f t="shared" ca="1" si="61"/>
        <v>0</v>
      </c>
      <c r="H205">
        <f t="shared" ca="1" si="62"/>
        <v>0</v>
      </c>
      <c r="I205">
        <f t="shared" ca="1" si="63"/>
        <v>0</v>
      </c>
      <c r="J205">
        <f t="shared" ca="1" si="55"/>
        <v>0</v>
      </c>
      <c r="K205">
        <f ca="1">IF(OR($C205="S",$C205=0),0,MATCH(OFFSET($D205,0,$C205)+IF($C205&lt;&gt;1,1,COUNTIF(QCI!$A$13:$A$24,ORÇAMENTO!E205)),OFFSET($D205,1,$C205,ROW($C$727)-ROW($C205)),0))</f>
        <v>0</v>
      </c>
      <c r="L205" s="116" t="str">
        <f t="shared" ca="1" si="64"/>
        <v/>
      </c>
      <c r="M205" s="117" t="s">
        <v>199</v>
      </c>
      <c r="N205" s="118" t="str">
        <f t="shared" ca="1" si="65"/>
        <v>Serviço</v>
      </c>
      <c r="O205" s="119" t="str">
        <f t="shared" ca="1" si="66"/>
        <v>-</v>
      </c>
      <c r="P205" s="120" t="s">
        <v>458</v>
      </c>
      <c r="Q205" s="121" t="s">
        <v>603</v>
      </c>
      <c r="R205" s="122" t="str">
        <f ca="1">IF($C205="S",REFERENCIA.Descricao,"(digite a descrição aqui)")</f>
        <v>(abra o arquivo 'Referência 06-2024.xlsm)</v>
      </c>
      <c r="S205" s="123" t="str">
        <f ca="1">REFERENCIA.Unidade</f>
        <v>-</v>
      </c>
      <c r="T205" s="124">
        <f ca="1">OFFSET(CÁLCULO!H$15,ROW($T205)-ROW(T$15),0)</f>
        <v>32.9</v>
      </c>
      <c r="U205" s="125">
        <f t="shared" ca="1" si="72"/>
        <v>0</v>
      </c>
      <c r="V205" s="126" t="s">
        <v>156</v>
      </c>
      <c r="W205" s="124">
        <f ca="1">IF($C205="S",ROUND(IF(TIPOORCAMENTO="Proposto",ORÇAMENTO.CustoUnitario*(1+$AH205),ORÇAMENTO.PrecoUnitarioLicitado),15-13*$AF$10),0)</f>
        <v>0</v>
      </c>
      <c r="X205" s="127">
        <f ca="1">IF($C205="S",IF(Import.TipoArredondamento&lt;&gt;"TransfereGOV",VTOTAL1,SUM(OFFSET(CÁLCULO!$AI$15,ROW($X205)-ROW($X$15),1):OFFSET(CÁLCULO!$BB$15,ROW($X205)-ROW($X$15),-1))),IF($C205=0,0,ROUND(SomaAgrup,15-13*$AF$11)))</f>
        <v>0</v>
      </c>
      <c r="Y205" s="128" t="s">
        <v>245</v>
      </c>
      <c r="Z205" t="str">
        <f t="shared" ca="1" si="67"/>
        <v/>
      </c>
      <c r="AA205" s="129">
        <f ca="1">IF($C205="S",IF($Z205="CP",$X205,IF($Z205="RA",(($X205)*QCI!$AA$3),0)),SomaAgrup)</f>
        <v>0</v>
      </c>
      <c r="AB205" s="130">
        <f t="shared" ca="1" si="68"/>
        <v>0</v>
      </c>
      <c r="AC205" s="131" t="str">
        <f ca="1">IF($N205="","",IF(ORÇAMENTO.Descricao="","DESCRIÇÃO",IF(AND($C205="S",ORÇAMENTO.Unidade=""),"UNIDADE",IF($X205&lt;0,"VALOR NEGATIVO",IF(OR(AND(TIPOORCAMENTO="Proposto",$AG205&lt;&gt;"",$AG205&gt;0,ORÇAMENTO.CustoUnitario&gt;$AG205),AND(TIPOORCAMENTO="LICITADO",ORÇAMENTO.PrecoUnitarioLicitado&gt;$AN205)),"ACIMA REF.","")))))</f>
        <v/>
      </c>
      <c r="AD205" t="str">
        <f ca="1">IF(C205&lt;=CRONO.NivelExibicao,MAX($AD$15:OFFSET(AD205,-1,0))+IF($C205&lt;&gt;1,1,MAX(1,COUNTIF(QCI!$A$13:$A$24,OFFSET($E205,-1,0)))),"")</f>
        <v/>
      </c>
      <c r="AE205" s="7" t="str">
        <f ca="1">IF(AND($C205="S",ORÇAMENTO.CodBarra&lt;&gt;""),IF(ORÇAMENTO.Fonte="",ORÇAMENTO.CodBarra,CONCATENATE(ORÇAMENTO.Fonte," ",ORÇAMENTO.CodBarra)))</f>
        <v>COMPOSIÇÃO FNDE 298</v>
      </c>
      <c r="AF205" s="13" t="str">
        <f ca="1">IF(ISERROR(INDIRECT(ORÇAMENTO.BancoRef)),"(abra o arquivo 'Referência "&amp;Excel_BuiltIn_Database&amp;".xlsm)",IF(OR($C205&lt;&gt;"S",ORÇAMENTO.CodBarra=""),"(Sem Código)",IF(ISERROR(MATCH($AE205,INDIRECT(ORÇAMENTO.BancoRef),0)),"(Código não identificado nas referências)",MATCH($AE205,INDIRECT(ORÇAMENTO.BancoRef),0))))</f>
        <v>(abra o arquivo 'Referência 06-2024.xlsm)</v>
      </c>
      <c r="AG205" s="498">
        <f ca="1">ROUND(IF(DESONERACAO="sim",REFERENCIA.Desonerado,REFERENCIA.NaoDesonerado),2)</f>
        <v>0</v>
      </c>
      <c r="AH205" s="499">
        <f t="shared" ca="1" si="69"/>
        <v>0.2432</v>
      </c>
      <c r="AJ205" s="501"/>
      <c r="AL205" s="527"/>
      <c r="AM205" s="381">
        <f t="shared" ca="1" si="70"/>
        <v>0</v>
      </c>
      <c r="AN205" s="566">
        <f t="shared" ca="1" si="71"/>
        <v>0</v>
      </c>
    </row>
    <row r="206" spans="1:40" ht="25.5" x14ac:dyDescent="0.2">
      <c r="A206" t="str">
        <f t="shared" si="56"/>
        <v>S</v>
      </c>
      <c r="B206">
        <f t="shared" ca="1" si="57"/>
        <v>2</v>
      </c>
      <c r="C206" t="str">
        <f t="shared" ca="1" si="58"/>
        <v>S</v>
      </c>
      <c r="D206">
        <f t="shared" ca="1" si="59"/>
        <v>0</v>
      </c>
      <c r="E206">
        <f ca="1">IF($C206=1,OFFSET(E206,-1,0)+MAX(1,COUNTIF(QCI!$A$13:$A$24,OFFSET(ORÇAMENTO!E206,-1,0))),OFFSET(E206,-1,0))</f>
        <v>1</v>
      </c>
      <c r="F206">
        <f t="shared" ca="1" si="60"/>
        <v>27</v>
      </c>
      <c r="G206">
        <f t="shared" ca="1" si="61"/>
        <v>0</v>
      </c>
      <c r="H206">
        <f t="shared" ca="1" si="62"/>
        <v>0</v>
      </c>
      <c r="I206">
        <f t="shared" ca="1" si="63"/>
        <v>0</v>
      </c>
      <c r="J206">
        <f t="shared" ca="1" si="55"/>
        <v>0</v>
      </c>
      <c r="K206">
        <f ca="1">IF(OR($C206="S",$C206=0),0,MATCH(OFFSET($D206,0,$C206)+IF($C206&lt;&gt;1,1,COUNTIF(QCI!$A$13:$A$24,ORÇAMENTO!E206)),OFFSET($D206,1,$C206,ROW($C$727)-ROW($C206)),0))</f>
        <v>0</v>
      </c>
      <c r="L206" s="116" t="str">
        <f t="shared" ca="1" si="64"/>
        <v/>
      </c>
      <c r="M206" s="117" t="s">
        <v>199</v>
      </c>
      <c r="N206" s="118" t="str">
        <f t="shared" ca="1" si="65"/>
        <v>Serviço</v>
      </c>
      <c r="O206" s="119" t="str">
        <f t="shared" ca="1" si="66"/>
        <v>-</v>
      </c>
      <c r="P206" s="120" t="s">
        <v>458</v>
      </c>
      <c r="Q206" s="121" t="s">
        <v>604</v>
      </c>
      <c r="R206" s="122" t="str">
        <f ca="1">IF($C206="S",REFERENCIA.Descricao,"(digite a descrição aqui)")</f>
        <v>(abra o arquivo 'Referência 06-2024.xlsm)</v>
      </c>
      <c r="S206" s="123" t="str">
        <f ca="1">REFERENCIA.Unidade</f>
        <v>-</v>
      </c>
      <c r="T206" s="124">
        <f ca="1">OFFSET(CÁLCULO!H$15,ROW($T206)-ROW(T$15),0)</f>
        <v>115.08</v>
      </c>
      <c r="U206" s="125">
        <f t="shared" ca="1" si="72"/>
        <v>0</v>
      </c>
      <c r="V206" s="126" t="s">
        <v>156</v>
      </c>
      <c r="W206" s="124">
        <f ca="1">IF($C206="S",ROUND(IF(TIPOORCAMENTO="Proposto",ORÇAMENTO.CustoUnitario*(1+$AH206),ORÇAMENTO.PrecoUnitarioLicitado),15-13*$AF$10),0)</f>
        <v>0</v>
      </c>
      <c r="X206" s="127">
        <f ca="1">IF($C206="S",IF(Import.TipoArredondamento&lt;&gt;"TransfereGOV",VTOTAL1,SUM(OFFSET(CÁLCULO!$AI$15,ROW($X206)-ROW($X$15),1):OFFSET(CÁLCULO!$BB$15,ROW($X206)-ROW($X$15),-1))),IF($C206=0,0,ROUND(SomaAgrup,15-13*$AF$11)))</f>
        <v>0</v>
      </c>
      <c r="Y206" s="128" t="s">
        <v>245</v>
      </c>
      <c r="Z206" t="str">
        <f t="shared" ca="1" si="67"/>
        <v/>
      </c>
      <c r="AA206" s="129">
        <f ca="1">IF($C206="S",IF($Z206="CP",$X206,IF($Z206="RA",(($X206)*QCI!$AA$3),0)),SomaAgrup)</f>
        <v>0</v>
      </c>
      <c r="AB206" s="130">
        <f t="shared" ca="1" si="68"/>
        <v>0</v>
      </c>
      <c r="AC206" s="131" t="str">
        <f ca="1">IF($N206="","",IF(ORÇAMENTO.Descricao="","DESCRIÇÃO",IF(AND($C206="S",ORÇAMENTO.Unidade=""),"UNIDADE",IF($X206&lt;0,"VALOR NEGATIVO",IF(OR(AND(TIPOORCAMENTO="Proposto",$AG206&lt;&gt;"",$AG206&gt;0,ORÇAMENTO.CustoUnitario&gt;$AG206),AND(TIPOORCAMENTO="LICITADO",ORÇAMENTO.PrecoUnitarioLicitado&gt;$AN206)),"ACIMA REF.","")))))</f>
        <v/>
      </c>
      <c r="AD206" t="str">
        <f ca="1">IF(C206&lt;=CRONO.NivelExibicao,MAX($AD$15:OFFSET(AD206,-1,0))+IF($C206&lt;&gt;1,1,MAX(1,COUNTIF(QCI!$A$13:$A$24,OFFSET($E206,-1,0)))),"")</f>
        <v/>
      </c>
      <c r="AE206" s="7" t="str">
        <f ca="1">IF(AND($C206="S",ORÇAMENTO.CodBarra&lt;&gt;""),IF(ORÇAMENTO.Fonte="",ORÇAMENTO.CodBarra,CONCATENATE(ORÇAMENTO.Fonte," ",ORÇAMENTO.CodBarra)))</f>
        <v>COMPOSIÇÃO FNDE 297</v>
      </c>
      <c r="AF206" s="13" t="str">
        <f ca="1">IF(ISERROR(INDIRECT(ORÇAMENTO.BancoRef)),"(abra o arquivo 'Referência "&amp;Excel_BuiltIn_Database&amp;".xlsm)",IF(OR($C206&lt;&gt;"S",ORÇAMENTO.CodBarra=""),"(Sem Código)",IF(ISERROR(MATCH($AE206,INDIRECT(ORÇAMENTO.BancoRef),0)),"(Código não identificado nas referências)",MATCH($AE206,INDIRECT(ORÇAMENTO.BancoRef),0))))</f>
        <v>(abra o arquivo 'Referência 06-2024.xlsm)</v>
      </c>
      <c r="AG206" s="498">
        <f ca="1">ROUND(IF(DESONERACAO="sim",REFERENCIA.Desonerado,REFERENCIA.NaoDesonerado),2)</f>
        <v>0</v>
      </c>
      <c r="AH206" s="499">
        <f t="shared" ca="1" si="69"/>
        <v>0.2432</v>
      </c>
      <c r="AJ206" s="501"/>
      <c r="AL206" s="527"/>
      <c r="AM206" s="381">
        <f t="shared" ca="1" si="70"/>
        <v>0</v>
      </c>
      <c r="AN206" s="566">
        <f t="shared" ca="1" si="71"/>
        <v>0</v>
      </c>
    </row>
    <row r="207" spans="1:40" ht="25.5" x14ac:dyDescent="0.2">
      <c r="A207" t="str">
        <f t="shared" si="56"/>
        <v>S</v>
      </c>
      <c r="B207">
        <f t="shared" ca="1" si="57"/>
        <v>2</v>
      </c>
      <c r="C207" t="str">
        <f t="shared" ca="1" si="58"/>
        <v>S</v>
      </c>
      <c r="D207">
        <f t="shared" ca="1" si="59"/>
        <v>0</v>
      </c>
      <c r="E207">
        <f ca="1">IF($C207=1,OFFSET(E207,-1,0)+MAX(1,COUNTIF(QCI!$A$13:$A$24,OFFSET(ORÇAMENTO!E207,-1,0))),OFFSET(E207,-1,0))</f>
        <v>1</v>
      </c>
      <c r="F207">
        <f t="shared" ca="1" si="60"/>
        <v>27</v>
      </c>
      <c r="G207">
        <f t="shared" ca="1" si="61"/>
        <v>0</v>
      </c>
      <c r="H207">
        <f t="shared" ca="1" si="62"/>
        <v>0</v>
      </c>
      <c r="I207">
        <f t="shared" ca="1" si="63"/>
        <v>0</v>
      </c>
      <c r="J207">
        <f t="shared" ca="1" si="55"/>
        <v>0</v>
      </c>
      <c r="K207">
        <f ca="1">IF(OR($C207="S",$C207=0),0,MATCH(OFFSET($D207,0,$C207)+IF($C207&lt;&gt;1,1,COUNTIF(QCI!$A$13:$A$24,ORÇAMENTO!E207)),OFFSET($D207,1,$C207,ROW($C$727)-ROW($C207)),0))</f>
        <v>0</v>
      </c>
      <c r="L207" s="116" t="str">
        <f t="shared" ca="1" si="64"/>
        <v/>
      </c>
      <c r="M207" s="117" t="s">
        <v>199</v>
      </c>
      <c r="N207" s="118" t="str">
        <f t="shared" ca="1" si="65"/>
        <v>Serviço</v>
      </c>
      <c r="O207" s="119" t="str">
        <f t="shared" ca="1" si="66"/>
        <v>-</v>
      </c>
      <c r="P207" s="120" t="s">
        <v>458</v>
      </c>
      <c r="Q207" s="121" t="s">
        <v>605</v>
      </c>
      <c r="R207" s="122" t="str">
        <f ca="1">IF($C207="S",REFERENCIA.Descricao,"(digite a descrição aqui)")</f>
        <v>(abra o arquivo 'Referência 06-2024.xlsm)</v>
      </c>
      <c r="S207" s="123" t="str">
        <f ca="1">REFERENCIA.Unidade</f>
        <v>-</v>
      </c>
      <c r="T207" s="124">
        <f ca="1">OFFSET(CÁLCULO!H$15,ROW($T207)-ROW(T$15),0)</f>
        <v>30.19</v>
      </c>
      <c r="U207" s="125">
        <f t="shared" ca="1" si="72"/>
        <v>0</v>
      </c>
      <c r="V207" s="126" t="s">
        <v>156</v>
      </c>
      <c r="W207" s="124">
        <f ca="1">IF($C207="S",ROUND(IF(TIPOORCAMENTO="Proposto",ORÇAMENTO.CustoUnitario*(1+$AH207),ORÇAMENTO.PrecoUnitarioLicitado),15-13*$AF$10),0)</f>
        <v>0</v>
      </c>
      <c r="X207" s="127">
        <f ca="1">IF($C207="S",IF(Import.TipoArredondamento&lt;&gt;"TransfereGOV",VTOTAL1,SUM(OFFSET(CÁLCULO!$AI$15,ROW($X207)-ROW($X$15),1):OFFSET(CÁLCULO!$BB$15,ROW($X207)-ROW($X$15),-1))),IF($C207=0,0,ROUND(SomaAgrup,15-13*$AF$11)))</f>
        <v>0</v>
      </c>
      <c r="Y207" s="128" t="s">
        <v>245</v>
      </c>
      <c r="Z207" t="str">
        <f t="shared" ca="1" si="67"/>
        <v/>
      </c>
      <c r="AA207" s="129">
        <f ca="1">IF($C207="S",IF($Z207="CP",$X207,IF($Z207="RA",(($X207)*QCI!$AA$3),0)),SomaAgrup)</f>
        <v>0</v>
      </c>
      <c r="AB207" s="130">
        <f t="shared" ca="1" si="68"/>
        <v>0</v>
      </c>
      <c r="AC207" s="131" t="str">
        <f ca="1">IF($N207="","",IF(ORÇAMENTO.Descricao="","DESCRIÇÃO",IF(AND($C207="S",ORÇAMENTO.Unidade=""),"UNIDADE",IF($X207&lt;0,"VALOR NEGATIVO",IF(OR(AND(TIPOORCAMENTO="Proposto",$AG207&lt;&gt;"",$AG207&gt;0,ORÇAMENTO.CustoUnitario&gt;$AG207),AND(TIPOORCAMENTO="LICITADO",ORÇAMENTO.PrecoUnitarioLicitado&gt;$AN207)),"ACIMA REF.","")))))</f>
        <v/>
      </c>
      <c r="AD207" t="str">
        <f ca="1">IF(C207&lt;=CRONO.NivelExibicao,MAX($AD$15:OFFSET(AD207,-1,0))+IF($C207&lt;&gt;1,1,MAX(1,COUNTIF(QCI!$A$13:$A$24,OFFSET($E207,-1,0)))),"")</f>
        <v/>
      </c>
      <c r="AE207" s="7" t="str">
        <f ca="1">IF(AND($C207="S",ORÇAMENTO.CodBarra&lt;&gt;""),IF(ORÇAMENTO.Fonte="",ORÇAMENTO.CodBarra,CONCATENATE(ORÇAMENTO.Fonte," ",ORÇAMENTO.CodBarra)))</f>
        <v>COMPOSIÇÃO FNDE 299</v>
      </c>
      <c r="AF207" s="13" t="str">
        <f ca="1">IF(ISERROR(INDIRECT(ORÇAMENTO.BancoRef)),"(abra o arquivo 'Referência "&amp;Excel_BuiltIn_Database&amp;".xlsm)",IF(OR($C207&lt;&gt;"S",ORÇAMENTO.CodBarra=""),"(Sem Código)",IF(ISERROR(MATCH($AE207,INDIRECT(ORÇAMENTO.BancoRef),0)),"(Código não identificado nas referências)",MATCH($AE207,INDIRECT(ORÇAMENTO.BancoRef),0))))</f>
        <v>(abra o arquivo 'Referência 06-2024.xlsm)</v>
      </c>
      <c r="AG207" s="498">
        <f ca="1">ROUND(IF(DESONERACAO="sim",REFERENCIA.Desonerado,REFERENCIA.NaoDesonerado),2)</f>
        <v>0</v>
      </c>
      <c r="AH207" s="499">
        <f t="shared" ca="1" si="69"/>
        <v>0.2432</v>
      </c>
      <c r="AJ207" s="501"/>
      <c r="AL207" s="527"/>
      <c r="AM207" s="381">
        <f t="shared" ca="1" si="70"/>
        <v>0</v>
      </c>
      <c r="AN207" s="566">
        <f t="shared" ca="1" si="71"/>
        <v>0</v>
      </c>
    </row>
    <row r="208" spans="1:40" ht="25.5" x14ac:dyDescent="0.2">
      <c r="A208" t="str">
        <f t="shared" si="56"/>
        <v>S</v>
      </c>
      <c r="B208">
        <f t="shared" ca="1" si="57"/>
        <v>2</v>
      </c>
      <c r="C208" t="str">
        <f t="shared" ca="1" si="58"/>
        <v>S</v>
      </c>
      <c r="D208">
        <f t="shared" ca="1" si="59"/>
        <v>0</v>
      </c>
      <c r="E208">
        <f ca="1">IF($C208=1,OFFSET(E208,-1,0)+MAX(1,COUNTIF(QCI!$A$13:$A$24,OFFSET(ORÇAMENTO!E208,-1,0))),OFFSET(E208,-1,0))</f>
        <v>1</v>
      </c>
      <c r="F208">
        <f t="shared" ca="1" si="60"/>
        <v>27</v>
      </c>
      <c r="G208">
        <f t="shared" ca="1" si="61"/>
        <v>0</v>
      </c>
      <c r="H208">
        <f t="shared" ca="1" si="62"/>
        <v>0</v>
      </c>
      <c r="I208">
        <f t="shared" ca="1" si="63"/>
        <v>0</v>
      </c>
      <c r="J208">
        <f t="shared" ref="J208:J271" ca="1" si="73">IF(OR($C208="S",$C208=0),0,MATCH(0,OFFSET($D208,1,$C208,ROW($C$727)-ROW($C208)),0))</f>
        <v>0</v>
      </c>
      <c r="K208">
        <f ca="1">IF(OR($C208="S",$C208=0),0,MATCH(OFFSET($D208,0,$C208)+IF($C208&lt;&gt;1,1,COUNTIF(QCI!$A$13:$A$24,ORÇAMENTO!E208)),OFFSET($D208,1,$C208,ROW($C$727)-ROW($C208)),0))</f>
        <v>0</v>
      </c>
      <c r="L208" s="116" t="str">
        <f t="shared" ca="1" si="64"/>
        <v/>
      </c>
      <c r="M208" s="117" t="s">
        <v>199</v>
      </c>
      <c r="N208" s="118" t="str">
        <f t="shared" ca="1" si="65"/>
        <v>Serviço</v>
      </c>
      <c r="O208" s="119" t="str">
        <f t="shared" ca="1" si="66"/>
        <v>-</v>
      </c>
      <c r="P208" s="120" t="s">
        <v>458</v>
      </c>
      <c r="Q208" s="121" t="s">
        <v>606</v>
      </c>
      <c r="R208" s="122" t="str">
        <f ca="1">IF($C208="S",REFERENCIA.Descricao,"(digite a descrição aqui)")</f>
        <v>(abra o arquivo 'Referência 06-2024.xlsm)</v>
      </c>
      <c r="S208" s="123" t="str">
        <f ca="1">REFERENCIA.Unidade</f>
        <v>-</v>
      </c>
      <c r="T208" s="124">
        <f ca="1">OFFSET(CÁLCULO!H$15,ROW($T208)-ROW(T$15),0)</f>
        <v>220.11</v>
      </c>
      <c r="U208" s="125">
        <f t="shared" ca="1" si="72"/>
        <v>0</v>
      </c>
      <c r="V208" s="126" t="s">
        <v>156</v>
      </c>
      <c r="W208" s="124">
        <f ca="1">IF($C208="S",ROUND(IF(TIPOORCAMENTO="Proposto",ORÇAMENTO.CustoUnitario*(1+$AH208),ORÇAMENTO.PrecoUnitarioLicitado),15-13*$AF$10),0)</f>
        <v>0</v>
      </c>
      <c r="X208" s="127">
        <f ca="1">IF($C208="S",IF(Import.TipoArredondamento&lt;&gt;"TransfereGOV",VTOTAL1,SUM(OFFSET(CÁLCULO!$AI$15,ROW($X208)-ROW($X$15),1):OFFSET(CÁLCULO!$BB$15,ROW($X208)-ROW($X$15),-1))),IF($C208=0,0,ROUND(SomaAgrup,15-13*$AF$11)))</f>
        <v>0</v>
      </c>
      <c r="Y208" s="128" t="s">
        <v>245</v>
      </c>
      <c r="Z208" t="str">
        <f t="shared" ca="1" si="67"/>
        <v/>
      </c>
      <c r="AA208" s="129">
        <f ca="1">IF($C208="S",IF($Z208="CP",$X208,IF($Z208="RA",(($X208)*QCI!$AA$3),0)),SomaAgrup)</f>
        <v>0</v>
      </c>
      <c r="AB208" s="130">
        <f t="shared" ca="1" si="68"/>
        <v>0</v>
      </c>
      <c r="AC208" s="131" t="str">
        <f ca="1">IF($N208="","",IF(ORÇAMENTO.Descricao="","DESCRIÇÃO",IF(AND($C208="S",ORÇAMENTO.Unidade=""),"UNIDADE",IF($X208&lt;0,"VALOR NEGATIVO",IF(OR(AND(TIPOORCAMENTO="Proposto",$AG208&lt;&gt;"",$AG208&gt;0,ORÇAMENTO.CustoUnitario&gt;$AG208),AND(TIPOORCAMENTO="LICITADO",ORÇAMENTO.PrecoUnitarioLicitado&gt;$AN208)),"ACIMA REF.","")))))</f>
        <v/>
      </c>
      <c r="AD208" t="str">
        <f ca="1">IF(C208&lt;=CRONO.NivelExibicao,MAX($AD$15:OFFSET(AD208,-1,0))+IF($C208&lt;&gt;1,1,MAX(1,COUNTIF(QCI!$A$13:$A$24,OFFSET($E208,-1,0)))),"")</f>
        <v/>
      </c>
      <c r="AE208" s="7" t="str">
        <f ca="1">IF(AND($C208="S",ORÇAMENTO.CodBarra&lt;&gt;""),IF(ORÇAMENTO.Fonte="",ORÇAMENTO.CodBarra,CONCATENATE(ORÇAMENTO.Fonte," ",ORÇAMENTO.CodBarra)))</f>
        <v>COMPOSIÇÃO FNDE 300</v>
      </c>
      <c r="AF208" s="13" t="str">
        <f ca="1">IF(ISERROR(INDIRECT(ORÇAMENTO.BancoRef)),"(abra o arquivo 'Referência "&amp;Excel_BuiltIn_Database&amp;".xlsm)",IF(OR($C208&lt;&gt;"S",ORÇAMENTO.CodBarra=""),"(Sem Código)",IF(ISERROR(MATCH($AE208,INDIRECT(ORÇAMENTO.BancoRef),0)),"(Código não identificado nas referências)",MATCH($AE208,INDIRECT(ORÇAMENTO.BancoRef),0))))</f>
        <v>(abra o arquivo 'Referência 06-2024.xlsm)</v>
      </c>
      <c r="AG208" s="498">
        <f ca="1">ROUND(IF(DESONERACAO="sim",REFERENCIA.Desonerado,REFERENCIA.NaoDesonerado),2)</f>
        <v>0</v>
      </c>
      <c r="AH208" s="499">
        <f t="shared" ca="1" si="69"/>
        <v>0.2432</v>
      </c>
      <c r="AJ208" s="501"/>
      <c r="AL208" s="527"/>
      <c r="AM208" s="381">
        <f t="shared" ca="1" si="70"/>
        <v>0</v>
      </c>
      <c r="AN208" s="566">
        <f t="shared" ca="1" si="71"/>
        <v>0</v>
      </c>
    </row>
    <row r="209" spans="1:40" ht="25.5" x14ac:dyDescent="0.2">
      <c r="A209" t="str">
        <f t="shared" si="56"/>
        <v>S</v>
      </c>
      <c r="B209">
        <f t="shared" ca="1" si="57"/>
        <v>2</v>
      </c>
      <c r="C209" t="str">
        <f t="shared" ca="1" si="58"/>
        <v>S</v>
      </c>
      <c r="D209">
        <f t="shared" ca="1" si="59"/>
        <v>0</v>
      </c>
      <c r="E209">
        <f ca="1">IF($C209=1,OFFSET(E209,-1,0)+MAX(1,COUNTIF(QCI!$A$13:$A$24,OFFSET(ORÇAMENTO!E209,-1,0))),OFFSET(E209,-1,0))</f>
        <v>1</v>
      </c>
      <c r="F209">
        <f t="shared" ca="1" si="60"/>
        <v>27</v>
      </c>
      <c r="G209">
        <f t="shared" ca="1" si="61"/>
        <v>0</v>
      </c>
      <c r="H209">
        <f t="shared" ca="1" si="62"/>
        <v>0</v>
      </c>
      <c r="I209">
        <f t="shared" ca="1" si="63"/>
        <v>0</v>
      </c>
      <c r="J209">
        <f t="shared" ca="1" si="73"/>
        <v>0</v>
      </c>
      <c r="K209">
        <f ca="1">IF(OR($C209="S",$C209=0),0,MATCH(OFFSET($D209,0,$C209)+IF($C209&lt;&gt;1,1,COUNTIF(QCI!$A$13:$A$24,ORÇAMENTO!E209)),OFFSET($D209,1,$C209,ROW($C$727)-ROW($C209)),0))</f>
        <v>0</v>
      </c>
      <c r="L209" s="116" t="str">
        <f t="shared" ca="1" si="64"/>
        <v/>
      </c>
      <c r="M209" s="117" t="s">
        <v>199</v>
      </c>
      <c r="N209" s="118" t="str">
        <f t="shared" ca="1" si="65"/>
        <v>Serviço</v>
      </c>
      <c r="O209" s="119" t="str">
        <f t="shared" ca="1" si="66"/>
        <v>-</v>
      </c>
      <c r="P209" s="120" t="s">
        <v>247</v>
      </c>
      <c r="Q209" s="121" t="s">
        <v>607</v>
      </c>
      <c r="R209" s="122" t="str">
        <f ca="1">IF($C209="S",REFERENCIA.Descricao,"(digite a descrição aqui)")</f>
        <v>(abra o arquivo 'Referência 06-2024.xlsm)</v>
      </c>
      <c r="S209" s="123" t="str">
        <f ca="1">REFERENCIA.Unidade</f>
        <v>-</v>
      </c>
      <c r="T209" s="124">
        <f ca="1">OFFSET(CÁLCULO!H$15,ROW($T209)-ROW(T$15),0)</f>
        <v>77</v>
      </c>
      <c r="U209" s="125">
        <f t="shared" ca="1" si="72"/>
        <v>0</v>
      </c>
      <c r="V209" s="126" t="s">
        <v>156</v>
      </c>
      <c r="W209" s="124">
        <f ca="1">IF($C209="S",ROUND(IF(TIPOORCAMENTO="Proposto",ORÇAMENTO.CustoUnitario*(1+$AH209),ORÇAMENTO.PrecoUnitarioLicitado),15-13*$AF$10),0)</f>
        <v>0</v>
      </c>
      <c r="X209" s="127">
        <f ca="1">IF($C209="S",IF(Import.TipoArredondamento&lt;&gt;"TransfereGOV",VTOTAL1,SUM(OFFSET(CÁLCULO!$AI$15,ROW($X209)-ROW($X$15),1):OFFSET(CÁLCULO!$BB$15,ROW($X209)-ROW($X$15),-1))),IF($C209=0,0,ROUND(SomaAgrup,15-13*$AF$11)))</f>
        <v>0</v>
      </c>
      <c r="Y209" s="128" t="s">
        <v>245</v>
      </c>
      <c r="Z209" t="str">
        <f t="shared" ca="1" si="67"/>
        <v/>
      </c>
      <c r="AA209" s="129">
        <f ca="1">IF($C209="S",IF($Z209="CP",$X209,IF($Z209="RA",(($X209)*QCI!$AA$3),0)),SomaAgrup)</f>
        <v>0</v>
      </c>
      <c r="AB209" s="130">
        <f t="shared" ca="1" si="68"/>
        <v>0</v>
      </c>
      <c r="AC209" s="131" t="str">
        <f ca="1">IF($N209="","",IF(ORÇAMENTO.Descricao="","DESCRIÇÃO",IF(AND($C209="S",ORÇAMENTO.Unidade=""),"UNIDADE",IF($X209&lt;0,"VALOR NEGATIVO",IF(OR(AND(TIPOORCAMENTO="Proposto",$AG209&lt;&gt;"",$AG209&gt;0,ORÇAMENTO.CustoUnitario&gt;$AG209),AND(TIPOORCAMENTO="LICITADO",ORÇAMENTO.PrecoUnitarioLicitado&gt;$AN209)),"ACIMA REF.","")))))</f>
        <v/>
      </c>
      <c r="AD209" t="str">
        <f ca="1">IF(C209&lt;=CRONO.NivelExibicao,MAX($AD$15:OFFSET(AD209,-1,0))+IF($C209&lt;&gt;1,1,MAX(1,COUNTIF(QCI!$A$13:$A$24,OFFSET($E209,-1,0)))),"")</f>
        <v/>
      </c>
      <c r="AE209" s="7" t="str">
        <f ca="1">IF(AND($C209="S",ORÇAMENTO.CodBarra&lt;&gt;""),IF(ORÇAMENTO.Fonte="",ORÇAMENTO.CodBarra,CONCATENATE(ORÇAMENTO.Fonte," ",ORÇAMENTO.CodBarra)))</f>
        <v>SINAPI 88650</v>
      </c>
      <c r="AF209" s="13" t="str">
        <f ca="1">IF(ISERROR(INDIRECT(ORÇAMENTO.BancoRef)),"(abra o arquivo 'Referência "&amp;Excel_BuiltIn_Database&amp;".xlsm)",IF(OR($C209&lt;&gt;"S",ORÇAMENTO.CodBarra=""),"(Sem Código)",IF(ISERROR(MATCH($AE209,INDIRECT(ORÇAMENTO.BancoRef),0)),"(Código não identificado nas referências)",MATCH($AE209,INDIRECT(ORÇAMENTO.BancoRef),0))))</f>
        <v>(abra o arquivo 'Referência 06-2024.xlsm)</v>
      </c>
      <c r="AG209" s="498">
        <f ca="1">ROUND(IF(DESONERACAO="sim",REFERENCIA.Desonerado,REFERENCIA.NaoDesonerado),2)</f>
        <v>0</v>
      </c>
      <c r="AH209" s="499">
        <f t="shared" ca="1" si="69"/>
        <v>0.2432</v>
      </c>
      <c r="AJ209" s="501"/>
      <c r="AL209" s="527"/>
      <c r="AM209" s="381">
        <f t="shared" ca="1" si="70"/>
        <v>0</v>
      </c>
      <c r="AN209" s="566">
        <f t="shared" ca="1" si="71"/>
        <v>0</v>
      </c>
    </row>
    <row r="210" spans="1:40" x14ac:dyDescent="0.2">
      <c r="A210" t="str">
        <f t="shared" si="56"/>
        <v>S</v>
      </c>
      <c r="B210">
        <f t="shared" ca="1" si="57"/>
        <v>2</v>
      </c>
      <c r="C210" t="str">
        <f t="shared" ca="1" si="58"/>
        <v>S</v>
      </c>
      <c r="D210">
        <f t="shared" ca="1" si="59"/>
        <v>0</v>
      </c>
      <c r="E210">
        <f ca="1">IF($C210=1,OFFSET(E210,-1,0)+MAX(1,COUNTIF(QCI!$A$13:$A$24,OFFSET(ORÇAMENTO!E210,-1,0))),OFFSET(E210,-1,0))</f>
        <v>1</v>
      </c>
      <c r="F210">
        <f t="shared" ca="1" si="60"/>
        <v>27</v>
      </c>
      <c r="G210">
        <f t="shared" ca="1" si="61"/>
        <v>0</v>
      </c>
      <c r="H210">
        <f t="shared" ca="1" si="62"/>
        <v>0</v>
      </c>
      <c r="I210">
        <f t="shared" ca="1" si="63"/>
        <v>0</v>
      </c>
      <c r="J210">
        <f t="shared" ca="1" si="73"/>
        <v>0</v>
      </c>
      <c r="K210">
        <f ca="1">IF(OR($C210="S",$C210=0),0,MATCH(OFFSET($D210,0,$C210)+IF($C210&lt;&gt;1,1,COUNTIF(QCI!$A$13:$A$24,ORÇAMENTO!E210)),OFFSET($D210,1,$C210,ROW($C$727)-ROW($C210)),0))</f>
        <v>0</v>
      </c>
      <c r="L210" s="116" t="str">
        <f t="shared" ca="1" si="64"/>
        <v/>
      </c>
      <c r="M210" s="117" t="s">
        <v>199</v>
      </c>
      <c r="N210" s="118" t="str">
        <f t="shared" ca="1" si="65"/>
        <v>Serviço</v>
      </c>
      <c r="O210" s="119" t="str">
        <f t="shared" ca="1" si="66"/>
        <v>-</v>
      </c>
      <c r="P210" s="120" t="s">
        <v>247</v>
      </c>
      <c r="Q210" s="121" t="s">
        <v>608</v>
      </c>
      <c r="R210" s="122" t="str">
        <f ca="1">IF($C210="S",REFERENCIA.Descricao,"(digite a descrição aqui)")</f>
        <v>(abra o arquivo 'Referência 06-2024.xlsm)</v>
      </c>
      <c r="S210" s="123" t="str">
        <f ca="1">REFERENCIA.Unidade</f>
        <v>-</v>
      </c>
      <c r="T210" s="124">
        <f ca="1">OFFSET(CÁLCULO!H$15,ROW($T210)-ROW(T$15),0)</f>
        <v>202.29</v>
      </c>
      <c r="U210" s="125">
        <f t="shared" ca="1" si="72"/>
        <v>0</v>
      </c>
      <c r="V210" s="126" t="s">
        <v>156</v>
      </c>
      <c r="W210" s="124">
        <f ca="1">IF($C210="S",ROUND(IF(TIPOORCAMENTO="Proposto",ORÇAMENTO.CustoUnitario*(1+$AH210),ORÇAMENTO.PrecoUnitarioLicitado),15-13*$AF$10),0)</f>
        <v>0</v>
      </c>
      <c r="X210" s="127">
        <f ca="1">IF($C210="S",IF(Import.TipoArredondamento&lt;&gt;"TransfereGOV",VTOTAL1,SUM(OFFSET(CÁLCULO!$AI$15,ROW($X210)-ROW($X$15),1):OFFSET(CÁLCULO!$BB$15,ROW($X210)-ROW($X$15),-1))),IF($C210=0,0,ROUND(SomaAgrup,15-13*$AF$11)))</f>
        <v>0</v>
      </c>
      <c r="Y210" s="128" t="s">
        <v>245</v>
      </c>
      <c r="Z210" t="str">
        <f t="shared" ca="1" si="67"/>
        <v/>
      </c>
      <c r="AA210" s="129">
        <f ca="1">IF($C210="S",IF($Z210="CP",$X210,IF($Z210="RA",(($X210)*QCI!$AA$3),0)),SomaAgrup)</f>
        <v>0</v>
      </c>
      <c r="AB210" s="130">
        <f t="shared" ca="1" si="68"/>
        <v>0</v>
      </c>
      <c r="AC210" s="131" t="str">
        <f ca="1">IF($N210="","",IF(ORÇAMENTO.Descricao="","DESCRIÇÃO",IF(AND($C210="S",ORÇAMENTO.Unidade=""),"UNIDADE",IF($X210&lt;0,"VALOR NEGATIVO",IF(OR(AND(TIPOORCAMENTO="Proposto",$AG210&lt;&gt;"",$AG210&gt;0,ORÇAMENTO.CustoUnitario&gt;$AG210),AND(TIPOORCAMENTO="LICITADO",ORÇAMENTO.PrecoUnitarioLicitado&gt;$AN210)),"ACIMA REF.","")))))</f>
        <v/>
      </c>
      <c r="AD210" t="str">
        <f ca="1">IF(C210&lt;=CRONO.NivelExibicao,MAX($AD$15:OFFSET(AD210,-1,0))+IF($C210&lt;&gt;1,1,MAX(1,COUNTIF(QCI!$A$13:$A$24,OFFSET($E210,-1,0)))),"")</f>
        <v/>
      </c>
      <c r="AE210" s="7" t="str">
        <f ca="1">IF(AND($C210="S",ORÇAMENTO.CodBarra&lt;&gt;""),IF(ORÇAMENTO.Fonte="",ORÇAMENTO.CodBarra,CONCATENATE(ORÇAMENTO.Fonte," ",ORÇAMENTO.CodBarra)))</f>
        <v>SINAPI 98688</v>
      </c>
      <c r="AF210" s="13" t="str">
        <f ca="1">IF(ISERROR(INDIRECT(ORÇAMENTO.BancoRef)),"(abra o arquivo 'Referência "&amp;Excel_BuiltIn_Database&amp;".xlsm)",IF(OR($C210&lt;&gt;"S",ORÇAMENTO.CodBarra=""),"(Sem Código)",IF(ISERROR(MATCH($AE210,INDIRECT(ORÇAMENTO.BancoRef),0)),"(Código não identificado nas referências)",MATCH($AE210,INDIRECT(ORÇAMENTO.BancoRef),0))))</f>
        <v>(abra o arquivo 'Referência 06-2024.xlsm)</v>
      </c>
      <c r="AG210" s="498">
        <f ca="1">ROUND(IF(DESONERACAO="sim",REFERENCIA.Desonerado,REFERENCIA.NaoDesonerado),2)</f>
        <v>0</v>
      </c>
      <c r="AH210" s="499">
        <f t="shared" ca="1" si="69"/>
        <v>0.2432</v>
      </c>
      <c r="AJ210" s="501"/>
      <c r="AL210" s="527"/>
      <c r="AM210" s="381">
        <f t="shared" ca="1" si="70"/>
        <v>0</v>
      </c>
      <c r="AN210" s="566">
        <f t="shared" ca="1" si="71"/>
        <v>0</v>
      </c>
    </row>
    <row r="211" spans="1:40" ht="25.5" x14ac:dyDescent="0.2">
      <c r="A211" t="str">
        <f t="shared" si="56"/>
        <v>S</v>
      </c>
      <c r="B211">
        <f t="shared" ca="1" si="57"/>
        <v>2</v>
      </c>
      <c r="C211" t="str">
        <f t="shared" ca="1" si="58"/>
        <v>S</v>
      </c>
      <c r="D211">
        <f t="shared" ca="1" si="59"/>
        <v>0</v>
      </c>
      <c r="E211">
        <f ca="1">IF($C211=1,OFFSET(E211,-1,0)+MAX(1,COUNTIF(QCI!$A$13:$A$24,OFFSET(ORÇAMENTO!E211,-1,0))),OFFSET(E211,-1,0))</f>
        <v>1</v>
      </c>
      <c r="F211">
        <f t="shared" ca="1" si="60"/>
        <v>27</v>
      </c>
      <c r="G211">
        <f t="shared" ca="1" si="61"/>
        <v>0</v>
      </c>
      <c r="H211">
        <f t="shared" ca="1" si="62"/>
        <v>0</v>
      </c>
      <c r="I211">
        <f t="shared" ca="1" si="63"/>
        <v>0</v>
      </c>
      <c r="J211">
        <f t="shared" ca="1" si="73"/>
        <v>0</v>
      </c>
      <c r="K211">
        <f ca="1">IF(OR($C211="S",$C211=0),0,MATCH(OFFSET($D211,0,$C211)+IF($C211&lt;&gt;1,1,COUNTIF(QCI!$A$13:$A$24,ORÇAMENTO!E211)),OFFSET($D211,1,$C211,ROW($C$727)-ROW($C211)),0))</f>
        <v>0</v>
      </c>
      <c r="L211" s="116" t="str">
        <f t="shared" ca="1" si="64"/>
        <v/>
      </c>
      <c r="M211" s="117" t="s">
        <v>199</v>
      </c>
      <c r="N211" s="118" t="str">
        <f t="shared" ca="1" si="65"/>
        <v>Serviço</v>
      </c>
      <c r="O211" s="119" t="str">
        <f t="shared" ca="1" si="66"/>
        <v>-</v>
      </c>
      <c r="P211" s="120" t="s">
        <v>247</v>
      </c>
      <c r="Q211" s="121" t="s">
        <v>609</v>
      </c>
      <c r="R211" s="122" t="str">
        <f ca="1">IF($C211="S",REFERENCIA.Descricao,"(digite a descrição aqui)")</f>
        <v>(abra o arquivo 'Referência 06-2024.xlsm)</v>
      </c>
      <c r="S211" s="123" t="str">
        <f ca="1">REFERENCIA.Unidade</f>
        <v>-</v>
      </c>
      <c r="T211" s="124">
        <f ca="1">OFFSET(CÁLCULO!H$15,ROW($T211)-ROW(T$15),0)</f>
        <v>107.69</v>
      </c>
      <c r="U211" s="125">
        <f t="shared" ca="1" si="72"/>
        <v>0</v>
      </c>
      <c r="V211" s="126" t="s">
        <v>156</v>
      </c>
      <c r="W211" s="124">
        <f ca="1">IF($C211="S",ROUND(IF(TIPOORCAMENTO="Proposto",ORÇAMENTO.CustoUnitario*(1+$AH211),ORÇAMENTO.PrecoUnitarioLicitado),15-13*$AF$10),0)</f>
        <v>0</v>
      </c>
      <c r="X211" s="127">
        <f ca="1">IF($C211="S",IF(Import.TipoArredondamento&lt;&gt;"TransfereGOV",VTOTAL1,SUM(OFFSET(CÁLCULO!$AI$15,ROW($X211)-ROW($X$15),1):OFFSET(CÁLCULO!$BB$15,ROW($X211)-ROW($X$15),-1))),IF($C211=0,0,ROUND(SomaAgrup,15-13*$AF$11)))</f>
        <v>0</v>
      </c>
      <c r="Y211" s="128" t="s">
        <v>245</v>
      </c>
      <c r="Z211" t="str">
        <f t="shared" ca="1" si="67"/>
        <v/>
      </c>
      <c r="AA211" s="129">
        <f ca="1">IF($C211="S",IF($Z211="CP",$X211,IF($Z211="RA",(($X211)*QCI!$AA$3),0)),SomaAgrup)</f>
        <v>0</v>
      </c>
      <c r="AB211" s="130">
        <f t="shared" ca="1" si="68"/>
        <v>0</v>
      </c>
      <c r="AC211" s="131" t="str">
        <f ca="1">IF($N211="","",IF(ORÇAMENTO.Descricao="","DESCRIÇÃO",IF(AND($C211="S",ORÇAMENTO.Unidade=""),"UNIDADE",IF($X211&lt;0,"VALOR NEGATIVO",IF(OR(AND(TIPOORCAMENTO="Proposto",$AG211&lt;&gt;"",$AG211&gt;0,ORÇAMENTO.CustoUnitario&gt;$AG211),AND(TIPOORCAMENTO="LICITADO",ORÇAMENTO.PrecoUnitarioLicitado&gt;$AN211)),"ACIMA REF.","")))))</f>
        <v/>
      </c>
      <c r="AD211" t="str">
        <f ca="1">IF(C211&lt;=CRONO.NivelExibicao,MAX($AD$15:OFFSET(AD211,-1,0))+IF($C211&lt;&gt;1,1,MAX(1,COUNTIF(QCI!$A$13:$A$24,OFFSET($E211,-1,0)))),"")</f>
        <v/>
      </c>
      <c r="AE211" s="7" t="str">
        <f ca="1">IF(AND($C211="S",ORÇAMENTO.CodBarra&lt;&gt;""),IF(ORÇAMENTO.Fonte="",ORÇAMENTO.CodBarra,CONCATENATE(ORÇAMENTO.Fonte," ",ORÇAMENTO.CodBarra)))</f>
        <v>SINAPI 98689</v>
      </c>
      <c r="AF211" s="13" t="str">
        <f ca="1">IF(ISERROR(INDIRECT(ORÇAMENTO.BancoRef)),"(abra o arquivo 'Referência "&amp;Excel_BuiltIn_Database&amp;".xlsm)",IF(OR($C211&lt;&gt;"S",ORÇAMENTO.CodBarra=""),"(Sem Código)",IF(ISERROR(MATCH($AE211,INDIRECT(ORÇAMENTO.BancoRef),0)),"(Código não identificado nas referências)",MATCH($AE211,INDIRECT(ORÇAMENTO.BancoRef),0))))</f>
        <v>(abra o arquivo 'Referência 06-2024.xlsm)</v>
      </c>
      <c r="AG211" s="498">
        <f ca="1">ROUND(IF(DESONERACAO="sim",REFERENCIA.Desonerado,REFERENCIA.NaoDesonerado),2)</f>
        <v>0</v>
      </c>
      <c r="AH211" s="499">
        <f t="shared" ca="1" si="69"/>
        <v>0.2432</v>
      </c>
      <c r="AJ211" s="501"/>
      <c r="AL211" s="527"/>
      <c r="AM211" s="381">
        <f t="shared" ca="1" si="70"/>
        <v>0</v>
      </c>
      <c r="AN211" s="566">
        <f t="shared" ca="1" si="71"/>
        <v>0</v>
      </c>
    </row>
    <row r="212" spans="1:40" x14ac:dyDescent="0.2">
      <c r="A212">
        <f t="shared" si="56"/>
        <v>2</v>
      </c>
      <c r="B212">
        <f t="shared" ca="1" si="57"/>
        <v>2</v>
      </c>
      <c r="C212">
        <f t="shared" ca="1" si="58"/>
        <v>2</v>
      </c>
      <c r="D212">
        <f t="shared" ca="1" si="59"/>
        <v>9</v>
      </c>
      <c r="E212">
        <f ca="1">IF($C212=1,OFFSET(E212,-1,0)+MAX(1,COUNTIF(QCI!$A$13:$A$24,OFFSET(ORÇAMENTO!E212,-1,0))),OFFSET(E212,-1,0))</f>
        <v>1</v>
      </c>
      <c r="F212">
        <f t="shared" ca="1" si="60"/>
        <v>28</v>
      </c>
      <c r="G212">
        <f t="shared" ca="1" si="61"/>
        <v>0</v>
      </c>
      <c r="H212">
        <f t="shared" ca="1" si="62"/>
        <v>0</v>
      </c>
      <c r="I212">
        <f t="shared" ca="1" si="63"/>
        <v>0</v>
      </c>
      <c r="J212">
        <f t="shared" ca="1" si="73"/>
        <v>515</v>
      </c>
      <c r="K212">
        <f ca="1">IF(OR($C212="S",$C212=0),0,MATCH(OFFSET($D212,0,$C212)+IF($C212&lt;&gt;1,1,COUNTIF(QCI!$A$13:$A$24,ORÇAMENTO!E212)),OFFSET($D212,1,$C212,ROW($C$727)-ROW($C212)),0))</f>
        <v>9</v>
      </c>
      <c r="L212" s="116" t="str">
        <f t="shared" ca="1" si="64"/>
        <v>F</v>
      </c>
      <c r="M212" s="117" t="s">
        <v>196</v>
      </c>
      <c r="N212" s="118" t="str">
        <f t="shared" ca="1" si="65"/>
        <v>Nível 2</v>
      </c>
      <c r="O212" s="119" t="str">
        <f t="shared" ca="1" si="66"/>
        <v>1.28.</v>
      </c>
      <c r="P212" s="120" t="s">
        <v>247</v>
      </c>
      <c r="Q212" s="121"/>
      <c r="R212" s="122" t="s">
        <v>1053</v>
      </c>
      <c r="S212" s="123" t="str">
        <f ca="1">REFERENCIA.Unidade</f>
        <v>-</v>
      </c>
      <c r="T212" s="124">
        <f ca="1">OFFSET(CÁLCULO!H$15,ROW($T212)-ROW(T$15),0)</f>
        <v>0</v>
      </c>
      <c r="U212" s="125">
        <f t="shared" ca="1" si="72"/>
        <v>0</v>
      </c>
      <c r="V212" s="126" t="s">
        <v>156</v>
      </c>
      <c r="W212" s="124">
        <f ca="1">IF($C212="S",ROUND(IF(TIPOORCAMENTO="Proposto",ORÇAMENTO.CustoUnitario*(1+$AH212),ORÇAMENTO.PrecoUnitarioLicitado),15-13*$AF$10),0)</f>
        <v>0</v>
      </c>
      <c r="X212" s="127">
        <f ca="1">IF($C212="S",IF(Import.TipoArredondamento&lt;&gt;"TransfereGOV",VTOTAL1,SUM(OFFSET(CÁLCULO!$AI$15,ROW($X212)-ROW($X$15),1):OFFSET(CÁLCULO!$BB$15,ROW($X212)-ROW($X$15),-1))),IF($C212=0,0,ROUND(SomaAgrup,15-13*$AF$11)))</f>
        <v>0</v>
      </c>
      <c r="Y212" s="128" t="s">
        <v>245</v>
      </c>
      <c r="Z212" t="str">
        <f t="shared" ca="1" si="67"/>
        <v/>
      </c>
      <c r="AA212" s="129">
        <f ca="1">IF($C212="S",IF($Z212="CP",$X212,IF($Z212="RA",(($X212)*QCI!$AA$3),0)),SomaAgrup)</f>
        <v>0</v>
      </c>
      <c r="AB212" s="130">
        <f t="shared" ca="1" si="68"/>
        <v>0</v>
      </c>
      <c r="AC212" s="131" t="str">
        <f ca="1">IF($N212="","",IF(ORÇAMENTO.Descricao="","DESCRIÇÃO",IF(AND($C212="S",ORÇAMENTO.Unidade=""),"UNIDADE",IF($X212&lt;0,"VALOR NEGATIVO",IF(OR(AND(TIPOORCAMENTO="Proposto",$AG212&lt;&gt;"",$AG212&gt;0,ORÇAMENTO.CustoUnitario&gt;$AG212),AND(TIPOORCAMENTO="LICITADO",ORÇAMENTO.PrecoUnitarioLicitado&gt;$AN212)),"ACIMA REF.","")))))</f>
        <v/>
      </c>
      <c r="AD212">
        <f ca="1">IF(C212&lt;=CRONO.NivelExibicao,MAX($AD$15:OFFSET(AD212,-1,0))+IF($C212&lt;&gt;1,1,MAX(1,COUNTIF(QCI!$A$13:$A$24,OFFSET($E212,-1,0)))),"")</f>
        <v>29</v>
      </c>
      <c r="AE212" s="7" t="b">
        <f ca="1">IF(AND($C212="S",ORÇAMENTO.CodBarra&lt;&gt;""),IF(ORÇAMENTO.Fonte="",ORÇAMENTO.CodBarra,CONCATENATE(ORÇAMENTO.Fonte," ",ORÇAMENTO.CodBarra)))</f>
        <v>0</v>
      </c>
      <c r="AF212" s="13" t="str">
        <f ca="1">IF(ISERROR(INDIRECT(ORÇAMENTO.BancoRef)),"(abra o arquivo 'Referência "&amp;Excel_BuiltIn_Database&amp;".xlsm)",IF(OR($C212&lt;&gt;"S",ORÇAMENTO.CodBarra=""),"(Sem Código)",IF(ISERROR(MATCH($AE212,INDIRECT(ORÇAMENTO.BancoRef),0)),"(Código não identificado nas referências)",MATCH($AE212,INDIRECT(ORÇAMENTO.BancoRef),0))))</f>
        <v>(abra o arquivo 'Referência 06-2024.xlsm)</v>
      </c>
      <c r="AG212" s="498">
        <f ca="1">ROUND(IF(DESONERACAO="sim",REFERENCIA.Desonerado,REFERENCIA.NaoDesonerado),2)</f>
        <v>0</v>
      </c>
      <c r="AH212" s="499">
        <f t="shared" ca="1" si="69"/>
        <v>0.2432</v>
      </c>
      <c r="AJ212" s="501"/>
      <c r="AL212" s="527"/>
      <c r="AM212" s="381">
        <f t="shared" ca="1" si="70"/>
        <v>0</v>
      </c>
      <c r="AN212" s="566">
        <f t="shared" ca="1" si="71"/>
        <v>0</v>
      </c>
    </row>
    <row r="213" spans="1:40" ht="38.25" x14ac:dyDescent="0.2">
      <c r="A213" t="str">
        <f t="shared" si="56"/>
        <v>S</v>
      </c>
      <c r="B213">
        <f t="shared" ca="1" si="57"/>
        <v>2</v>
      </c>
      <c r="C213" t="str">
        <f t="shared" ca="1" si="58"/>
        <v>S</v>
      </c>
      <c r="D213">
        <f t="shared" ca="1" si="59"/>
        <v>0</v>
      </c>
      <c r="E213">
        <f ca="1">IF($C213=1,OFFSET(E213,-1,0)+MAX(1,COUNTIF(QCI!$A$13:$A$24,OFFSET(ORÇAMENTO!E213,-1,0))),OFFSET(E213,-1,0))</f>
        <v>1</v>
      </c>
      <c r="F213">
        <f t="shared" ca="1" si="60"/>
        <v>28</v>
      </c>
      <c r="G213">
        <f t="shared" ca="1" si="61"/>
        <v>0</v>
      </c>
      <c r="H213">
        <f t="shared" ca="1" si="62"/>
        <v>0</v>
      </c>
      <c r="I213">
        <f t="shared" ca="1" si="63"/>
        <v>0</v>
      </c>
      <c r="J213">
        <f t="shared" ca="1" si="73"/>
        <v>0</v>
      </c>
      <c r="K213">
        <f ca="1">IF(OR($C213="S",$C213=0),0,MATCH(OFFSET($D213,0,$C213)+IF($C213&lt;&gt;1,1,COUNTIF(QCI!$A$13:$A$24,ORÇAMENTO!E213)),OFFSET($D213,1,$C213,ROW($C$727)-ROW($C213)),0))</f>
        <v>0</v>
      </c>
      <c r="L213" s="116" t="str">
        <f t="shared" ca="1" si="64"/>
        <v/>
      </c>
      <c r="M213" s="117" t="s">
        <v>199</v>
      </c>
      <c r="N213" s="118" t="str">
        <f t="shared" ca="1" si="65"/>
        <v>Serviço</v>
      </c>
      <c r="O213" s="119" t="str">
        <f t="shared" ca="1" si="66"/>
        <v>-</v>
      </c>
      <c r="P213" s="120" t="s">
        <v>247</v>
      </c>
      <c r="Q213" s="121" t="s">
        <v>610</v>
      </c>
      <c r="R213" s="122" t="str">
        <f ca="1">IF($C213="S",REFERENCIA.Descricao,"(digite a descrição aqui)")</f>
        <v>(abra o arquivo 'Referência 06-2024.xlsm)</v>
      </c>
      <c r="S213" s="123" t="str">
        <f ca="1">REFERENCIA.Unidade</f>
        <v>-</v>
      </c>
      <c r="T213" s="124">
        <f ca="1">OFFSET(CÁLCULO!H$15,ROW($T213)-ROW(T$15),0)</f>
        <v>490.26</v>
      </c>
      <c r="U213" s="125">
        <f t="shared" ca="1" si="72"/>
        <v>0</v>
      </c>
      <c r="V213" s="126" t="s">
        <v>156</v>
      </c>
      <c r="W213" s="124">
        <f ca="1">IF($C213="S",ROUND(IF(TIPOORCAMENTO="Proposto",ORÇAMENTO.CustoUnitario*(1+$AH213),ORÇAMENTO.PrecoUnitarioLicitado),15-13*$AF$10),0)</f>
        <v>0</v>
      </c>
      <c r="X213" s="127">
        <f ca="1">IF($C213="S",IF(Import.TipoArredondamento&lt;&gt;"TransfereGOV",VTOTAL1,SUM(OFFSET(CÁLCULO!$AI$15,ROW($X213)-ROW($X$15),1):OFFSET(CÁLCULO!$BB$15,ROW($X213)-ROW($X$15),-1))),IF($C213=0,0,ROUND(SomaAgrup,15-13*$AF$11)))</f>
        <v>0</v>
      </c>
      <c r="Y213" s="128" t="s">
        <v>245</v>
      </c>
      <c r="Z213" t="str">
        <f t="shared" ca="1" si="67"/>
        <v/>
      </c>
      <c r="AA213" s="129">
        <f ca="1">IF($C213="S",IF($Z213="CP",$X213,IF($Z213="RA",(($X213)*QCI!$AA$3),0)),SomaAgrup)</f>
        <v>0</v>
      </c>
      <c r="AB213" s="130">
        <f t="shared" ca="1" si="68"/>
        <v>0</v>
      </c>
      <c r="AC213" s="131" t="str">
        <f ca="1">IF($N213="","",IF(ORÇAMENTO.Descricao="","DESCRIÇÃO",IF(AND($C213="S",ORÇAMENTO.Unidade=""),"UNIDADE",IF($X213&lt;0,"VALOR NEGATIVO",IF(OR(AND(TIPOORCAMENTO="Proposto",$AG213&lt;&gt;"",$AG213&gt;0,ORÇAMENTO.CustoUnitario&gt;$AG213),AND(TIPOORCAMENTO="LICITADO",ORÇAMENTO.PrecoUnitarioLicitado&gt;$AN213)),"ACIMA REF.","")))))</f>
        <v/>
      </c>
      <c r="AD213" t="str">
        <f ca="1">IF(C213&lt;=CRONO.NivelExibicao,MAX($AD$15:OFFSET(AD213,-1,0))+IF($C213&lt;&gt;1,1,MAX(1,COUNTIF(QCI!$A$13:$A$24,OFFSET($E213,-1,0)))),"")</f>
        <v/>
      </c>
      <c r="AE213" s="7" t="str">
        <f ca="1">IF(AND($C213="S",ORÇAMENTO.CodBarra&lt;&gt;""),IF(ORÇAMENTO.Fonte="",ORÇAMENTO.CodBarra,CONCATENATE(ORÇAMENTO.Fonte," ",ORÇAMENTO.CodBarra)))</f>
        <v>SINAPI 98682</v>
      </c>
      <c r="AF213" s="13" t="str">
        <f ca="1">IF(ISERROR(INDIRECT(ORÇAMENTO.BancoRef)),"(abra o arquivo 'Referência "&amp;Excel_BuiltIn_Database&amp;".xlsm)",IF(OR($C213&lt;&gt;"S",ORÇAMENTO.CodBarra=""),"(Sem Código)",IF(ISERROR(MATCH($AE213,INDIRECT(ORÇAMENTO.BancoRef),0)),"(Código não identificado nas referências)",MATCH($AE213,INDIRECT(ORÇAMENTO.BancoRef),0))))</f>
        <v>(abra o arquivo 'Referência 06-2024.xlsm)</v>
      </c>
      <c r="AG213" s="498">
        <f ca="1">ROUND(IF(DESONERACAO="sim",REFERENCIA.Desonerado,REFERENCIA.NaoDesonerado),2)</f>
        <v>0</v>
      </c>
      <c r="AH213" s="499">
        <f t="shared" ca="1" si="69"/>
        <v>0.2432</v>
      </c>
      <c r="AJ213" s="501"/>
      <c r="AL213" s="527"/>
      <c r="AM213" s="381">
        <f t="shared" ca="1" si="70"/>
        <v>0</v>
      </c>
      <c r="AN213" s="566">
        <f t="shared" ca="1" si="71"/>
        <v>0</v>
      </c>
    </row>
    <row r="214" spans="1:40" ht="38.25" x14ac:dyDescent="0.2">
      <c r="A214" t="str">
        <f t="shared" si="56"/>
        <v>S</v>
      </c>
      <c r="B214">
        <f t="shared" ca="1" si="57"/>
        <v>2</v>
      </c>
      <c r="C214" t="str">
        <f t="shared" ca="1" si="58"/>
        <v>S</v>
      </c>
      <c r="D214">
        <f t="shared" ca="1" si="59"/>
        <v>0</v>
      </c>
      <c r="E214">
        <f ca="1">IF($C214=1,OFFSET(E214,-1,0)+MAX(1,COUNTIF(QCI!$A$13:$A$24,OFFSET(ORÇAMENTO!E214,-1,0))),OFFSET(E214,-1,0))</f>
        <v>1</v>
      </c>
      <c r="F214">
        <f t="shared" ca="1" si="60"/>
        <v>28</v>
      </c>
      <c r="G214">
        <f t="shared" ca="1" si="61"/>
        <v>0</v>
      </c>
      <c r="H214">
        <f t="shared" ca="1" si="62"/>
        <v>0</v>
      </c>
      <c r="I214">
        <f t="shared" ca="1" si="63"/>
        <v>0</v>
      </c>
      <c r="J214">
        <f t="shared" ca="1" si="73"/>
        <v>0</v>
      </c>
      <c r="K214">
        <f ca="1">IF(OR($C214="S",$C214=0),0,MATCH(OFFSET($D214,0,$C214)+IF($C214&lt;&gt;1,1,COUNTIF(QCI!$A$13:$A$24,ORÇAMENTO!E214)),OFFSET($D214,1,$C214,ROW($C$727)-ROW($C214)),0))</f>
        <v>0</v>
      </c>
      <c r="L214" s="116" t="str">
        <f t="shared" ca="1" si="64"/>
        <v/>
      </c>
      <c r="M214" s="117" t="s">
        <v>199</v>
      </c>
      <c r="N214" s="118" t="str">
        <f t="shared" ca="1" si="65"/>
        <v>Serviço</v>
      </c>
      <c r="O214" s="119" t="str">
        <f t="shared" ca="1" si="66"/>
        <v>-</v>
      </c>
      <c r="P214" s="120" t="s">
        <v>247</v>
      </c>
      <c r="Q214" s="121" t="s">
        <v>611</v>
      </c>
      <c r="R214" s="122" t="str">
        <f ca="1">IF($C214="S",REFERENCIA.Descricao,"(digite a descrição aqui)")</f>
        <v>(abra o arquivo 'Referência 06-2024.xlsm)</v>
      </c>
      <c r="S214" s="123" t="str">
        <f ca="1">REFERENCIA.Unidade</f>
        <v>-</v>
      </c>
      <c r="T214" s="124">
        <f ca="1">OFFSET(CÁLCULO!H$15,ROW($T214)-ROW(T$15),0)</f>
        <v>84</v>
      </c>
      <c r="U214" s="125">
        <f t="shared" ca="1" si="72"/>
        <v>0</v>
      </c>
      <c r="V214" s="126" t="s">
        <v>156</v>
      </c>
      <c r="W214" s="124">
        <f ca="1">IF($C214="S",ROUND(IF(TIPOORCAMENTO="Proposto",ORÇAMENTO.CustoUnitario*(1+$AH214),ORÇAMENTO.PrecoUnitarioLicitado),15-13*$AF$10),0)</f>
        <v>0</v>
      </c>
      <c r="X214" s="127">
        <f ca="1">IF($C214="S",IF(Import.TipoArredondamento&lt;&gt;"TransfereGOV",VTOTAL1,SUM(OFFSET(CÁLCULO!$AI$15,ROW($X214)-ROW($X$15),1):OFFSET(CÁLCULO!$BB$15,ROW($X214)-ROW($X$15),-1))),IF($C214=0,0,ROUND(SomaAgrup,15-13*$AF$11)))</f>
        <v>0</v>
      </c>
      <c r="Y214" s="128" t="s">
        <v>245</v>
      </c>
      <c r="Z214" t="str">
        <f t="shared" ca="1" si="67"/>
        <v/>
      </c>
      <c r="AA214" s="129">
        <f ca="1">IF($C214="S",IF($Z214="CP",$X214,IF($Z214="RA",(($X214)*QCI!$AA$3),0)),SomaAgrup)</f>
        <v>0</v>
      </c>
      <c r="AB214" s="130">
        <f t="shared" ca="1" si="68"/>
        <v>0</v>
      </c>
      <c r="AC214" s="131" t="str">
        <f ca="1">IF($N214="","",IF(ORÇAMENTO.Descricao="","DESCRIÇÃO",IF(AND($C214="S",ORÇAMENTO.Unidade=""),"UNIDADE",IF($X214&lt;0,"VALOR NEGATIVO",IF(OR(AND(TIPOORCAMENTO="Proposto",$AG214&lt;&gt;"",$AG214&gt;0,ORÇAMENTO.CustoUnitario&gt;$AG214),AND(TIPOORCAMENTO="LICITADO",ORÇAMENTO.PrecoUnitarioLicitado&gt;$AN214)),"ACIMA REF.","")))))</f>
        <v/>
      </c>
      <c r="AD214" t="str">
        <f ca="1">IF(C214&lt;=CRONO.NivelExibicao,MAX($AD$15:OFFSET(AD214,-1,0))+IF($C214&lt;&gt;1,1,MAX(1,COUNTIF(QCI!$A$13:$A$24,OFFSET($E214,-1,0)))),"")</f>
        <v/>
      </c>
      <c r="AE214" s="7" t="str">
        <f ca="1">IF(AND($C214="S",ORÇAMENTO.CodBarra&lt;&gt;""),IF(ORÇAMENTO.Fonte="",ORÇAMENTO.CodBarra,CONCATENATE(ORÇAMENTO.Fonte," ",ORÇAMENTO.CodBarra)))</f>
        <v>SINAPI 92396</v>
      </c>
      <c r="AF214" s="13" t="str">
        <f ca="1">IF(ISERROR(INDIRECT(ORÇAMENTO.BancoRef)),"(abra o arquivo 'Referência "&amp;Excel_BuiltIn_Database&amp;".xlsm)",IF(OR($C214&lt;&gt;"S",ORÇAMENTO.CodBarra=""),"(Sem Código)",IF(ISERROR(MATCH($AE214,INDIRECT(ORÇAMENTO.BancoRef),0)),"(Código não identificado nas referências)",MATCH($AE214,INDIRECT(ORÇAMENTO.BancoRef),0))))</f>
        <v>(abra o arquivo 'Referência 06-2024.xlsm)</v>
      </c>
      <c r="AG214" s="498">
        <f ca="1">ROUND(IF(DESONERACAO="sim",REFERENCIA.Desonerado,REFERENCIA.NaoDesonerado),2)</f>
        <v>0</v>
      </c>
      <c r="AH214" s="499">
        <f t="shared" ca="1" si="69"/>
        <v>0.2432</v>
      </c>
      <c r="AJ214" s="501"/>
      <c r="AL214" s="527"/>
      <c r="AM214" s="381">
        <f t="shared" ca="1" si="70"/>
        <v>0</v>
      </c>
      <c r="AN214" s="566">
        <f t="shared" ca="1" si="71"/>
        <v>0</v>
      </c>
    </row>
    <row r="215" spans="1:40" ht="25.5" x14ac:dyDescent="0.2">
      <c r="A215" t="str">
        <f t="shared" si="56"/>
        <v>S</v>
      </c>
      <c r="B215">
        <f t="shared" ca="1" si="57"/>
        <v>2</v>
      </c>
      <c r="C215" t="str">
        <f t="shared" ca="1" si="58"/>
        <v>S</v>
      </c>
      <c r="D215">
        <f t="shared" ca="1" si="59"/>
        <v>0</v>
      </c>
      <c r="E215">
        <f ca="1">IF($C215=1,OFFSET(E215,-1,0)+MAX(1,COUNTIF(QCI!$A$13:$A$24,OFFSET(ORÇAMENTO!E215,-1,0))),OFFSET(E215,-1,0))</f>
        <v>1</v>
      </c>
      <c r="F215">
        <f t="shared" ca="1" si="60"/>
        <v>28</v>
      </c>
      <c r="G215">
        <f t="shared" ca="1" si="61"/>
        <v>0</v>
      </c>
      <c r="H215">
        <f t="shared" ca="1" si="62"/>
        <v>0</v>
      </c>
      <c r="I215">
        <f t="shared" ca="1" si="63"/>
        <v>0</v>
      </c>
      <c r="J215">
        <f t="shared" ca="1" si="73"/>
        <v>0</v>
      </c>
      <c r="K215">
        <f ca="1">IF(OR($C215="S",$C215=0),0,MATCH(OFFSET($D215,0,$C215)+IF($C215&lt;&gt;1,1,COUNTIF(QCI!$A$13:$A$24,ORÇAMENTO!E215)),OFFSET($D215,1,$C215,ROW($C$727)-ROW($C215)),0))</f>
        <v>0</v>
      </c>
      <c r="L215" s="116" t="str">
        <f t="shared" ca="1" si="64"/>
        <v/>
      </c>
      <c r="M215" s="117" t="s">
        <v>199</v>
      </c>
      <c r="N215" s="118" t="str">
        <f t="shared" ca="1" si="65"/>
        <v>Serviço</v>
      </c>
      <c r="O215" s="119" t="str">
        <f t="shared" ca="1" si="66"/>
        <v>-</v>
      </c>
      <c r="P215" s="120" t="s">
        <v>458</v>
      </c>
      <c r="Q215" s="121" t="s">
        <v>612</v>
      </c>
      <c r="R215" s="122" t="str">
        <f ca="1">IF($C215="S",REFERENCIA.Descricao,"(digite a descrição aqui)")</f>
        <v>(abra o arquivo 'Referência 06-2024.xlsm)</v>
      </c>
      <c r="S215" s="123" t="str">
        <f ca="1">REFERENCIA.Unidade</f>
        <v>-</v>
      </c>
      <c r="T215" s="124">
        <f ca="1">OFFSET(CÁLCULO!H$15,ROW($T215)-ROW(T$15),0)</f>
        <v>21</v>
      </c>
      <c r="U215" s="125">
        <f t="shared" ca="1" si="72"/>
        <v>0</v>
      </c>
      <c r="V215" s="126" t="s">
        <v>156</v>
      </c>
      <c r="W215" s="124">
        <f ca="1">IF($C215="S",ROUND(IF(TIPOORCAMENTO="Proposto",ORÇAMENTO.CustoUnitario*(1+$AH215),ORÇAMENTO.PrecoUnitarioLicitado),15-13*$AF$10),0)</f>
        <v>0</v>
      </c>
      <c r="X215" s="127">
        <f ca="1">IF($C215="S",IF(Import.TipoArredondamento&lt;&gt;"TransfereGOV",VTOTAL1,SUM(OFFSET(CÁLCULO!$AI$15,ROW($X215)-ROW($X$15),1):OFFSET(CÁLCULO!$BB$15,ROW($X215)-ROW($X$15),-1))),IF($C215=0,0,ROUND(SomaAgrup,15-13*$AF$11)))</f>
        <v>0</v>
      </c>
      <c r="Y215" s="128" t="s">
        <v>245</v>
      </c>
      <c r="Z215" t="str">
        <f t="shared" ca="1" si="67"/>
        <v/>
      </c>
      <c r="AA215" s="129">
        <f ca="1">IF($C215="S",IF($Z215="CP",$X215,IF($Z215="RA",(($X215)*QCI!$AA$3),0)),SomaAgrup)</f>
        <v>0</v>
      </c>
      <c r="AB215" s="130">
        <f t="shared" ca="1" si="68"/>
        <v>0</v>
      </c>
      <c r="AC215" s="131" t="str">
        <f ca="1">IF($N215="","",IF(ORÇAMENTO.Descricao="","DESCRIÇÃO",IF(AND($C215="S",ORÇAMENTO.Unidade=""),"UNIDADE",IF($X215&lt;0,"VALOR NEGATIVO",IF(OR(AND(TIPOORCAMENTO="Proposto",$AG215&lt;&gt;"",$AG215&gt;0,ORÇAMENTO.CustoUnitario&gt;$AG215),AND(TIPOORCAMENTO="LICITADO",ORÇAMENTO.PrecoUnitarioLicitado&gt;$AN215)),"ACIMA REF.","")))))</f>
        <v/>
      </c>
      <c r="AD215" t="str">
        <f ca="1">IF(C215&lt;=CRONO.NivelExibicao,MAX($AD$15:OFFSET(AD215,-1,0))+IF($C215&lt;&gt;1,1,MAX(1,COUNTIF(QCI!$A$13:$A$24,OFFSET($E215,-1,0)))),"")</f>
        <v/>
      </c>
      <c r="AE215" s="7" t="str">
        <f ca="1">IF(AND($C215="S",ORÇAMENTO.CodBarra&lt;&gt;""),IF(ORÇAMENTO.Fonte="",ORÇAMENTO.CodBarra,CONCATENATE(ORÇAMENTO.Fonte," ",ORÇAMENTO.CodBarra)))</f>
        <v>COMPOSIÇÃO FNDE 400</v>
      </c>
      <c r="AF215" s="13" t="str">
        <f ca="1">IF(ISERROR(INDIRECT(ORÇAMENTO.BancoRef)),"(abra o arquivo 'Referência "&amp;Excel_BuiltIn_Database&amp;".xlsm)",IF(OR($C215&lt;&gt;"S",ORÇAMENTO.CodBarra=""),"(Sem Código)",IF(ISERROR(MATCH($AE215,INDIRECT(ORÇAMENTO.BancoRef),0)),"(Código não identificado nas referências)",MATCH($AE215,INDIRECT(ORÇAMENTO.BancoRef),0))))</f>
        <v>(abra o arquivo 'Referência 06-2024.xlsm)</v>
      </c>
      <c r="AG215" s="498">
        <f ca="1">ROUND(IF(DESONERACAO="sim",REFERENCIA.Desonerado,REFERENCIA.NaoDesonerado),2)</f>
        <v>0</v>
      </c>
      <c r="AH215" s="499">
        <f t="shared" ca="1" si="69"/>
        <v>0.2432</v>
      </c>
      <c r="AJ215" s="501"/>
      <c r="AL215" s="527"/>
      <c r="AM215" s="381">
        <f t="shared" ca="1" si="70"/>
        <v>0</v>
      </c>
      <c r="AN215" s="566">
        <f t="shared" ca="1" si="71"/>
        <v>0</v>
      </c>
    </row>
    <row r="216" spans="1:40" ht="25.5" x14ac:dyDescent="0.2">
      <c r="A216" t="str">
        <f t="shared" si="56"/>
        <v>S</v>
      </c>
      <c r="B216">
        <f t="shared" ca="1" si="57"/>
        <v>2</v>
      </c>
      <c r="C216" t="str">
        <f t="shared" ca="1" si="58"/>
        <v>S</v>
      </c>
      <c r="D216">
        <f t="shared" ca="1" si="59"/>
        <v>0</v>
      </c>
      <c r="E216">
        <f ca="1">IF($C216=1,OFFSET(E216,-1,0)+MAX(1,COUNTIF(QCI!$A$13:$A$24,OFFSET(ORÇAMENTO!E216,-1,0))),OFFSET(E216,-1,0))</f>
        <v>1</v>
      </c>
      <c r="F216">
        <f t="shared" ca="1" si="60"/>
        <v>28</v>
      </c>
      <c r="G216">
        <f t="shared" ca="1" si="61"/>
        <v>0</v>
      </c>
      <c r="H216">
        <f t="shared" ca="1" si="62"/>
        <v>0</v>
      </c>
      <c r="I216">
        <f t="shared" ca="1" si="63"/>
        <v>0</v>
      </c>
      <c r="J216">
        <f t="shared" ca="1" si="73"/>
        <v>0</v>
      </c>
      <c r="K216">
        <f ca="1">IF(OR($C216="S",$C216=0),0,MATCH(OFFSET($D216,0,$C216)+IF($C216&lt;&gt;1,1,COUNTIF(QCI!$A$13:$A$24,ORÇAMENTO!E216)),OFFSET($D216,1,$C216,ROW($C$727)-ROW($C216)),0))</f>
        <v>0</v>
      </c>
      <c r="L216" s="116" t="str">
        <f t="shared" ca="1" si="64"/>
        <v/>
      </c>
      <c r="M216" s="117" t="s">
        <v>199</v>
      </c>
      <c r="N216" s="118" t="str">
        <f t="shared" ca="1" si="65"/>
        <v>Serviço</v>
      </c>
      <c r="O216" s="119" t="str">
        <f t="shared" ca="1" si="66"/>
        <v>-</v>
      </c>
      <c r="P216" s="120" t="s">
        <v>458</v>
      </c>
      <c r="Q216" s="121" t="s">
        <v>613</v>
      </c>
      <c r="R216" s="122" t="str">
        <f ca="1">IF($C216="S",REFERENCIA.Descricao,"(digite a descrição aqui)")</f>
        <v>(abra o arquivo 'Referência 06-2024.xlsm)</v>
      </c>
      <c r="S216" s="123" t="str">
        <f ca="1">REFERENCIA.Unidade</f>
        <v>-</v>
      </c>
      <c r="T216" s="124">
        <f ca="1">OFFSET(CÁLCULO!H$15,ROW($T216)-ROW(T$15),0)</f>
        <v>38.76</v>
      </c>
      <c r="U216" s="125">
        <f t="shared" ca="1" si="72"/>
        <v>0</v>
      </c>
      <c r="V216" s="126" t="s">
        <v>156</v>
      </c>
      <c r="W216" s="124">
        <f ca="1">IF($C216="S",ROUND(IF(TIPOORCAMENTO="Proposto",ORÇAMENTO.CustoUnitario*(1+$AH216),ORÇAMENTO.PrecoUnitarioLicitado),15-13*$AF$10),0)</f>
        <v>0</v>
      </c>
      <c r="X216" s="127">
        <f ca="1">IF($C216="S",IF(Import.TipoArredondamento&lt;&gt;"TransfereGOV",VTOTAL1,SUM(OFFSET(CÁLCULO!$AI$15,ROW($X216)-ROW($X$15),1):OFFSET(CÁLCULO!$BB$15,ROW($X216)-ROW($X$15),-1))),IF($C216=0,0,ROUND(SomaAgrup,15-13*$AF$11)))</f>
        <v>0</v>
      </c>
      <c r="Y216" s="128" t="s">
        <v>245</v>
      </c>
      <c r="Z216" t="str">
        <f t="shared" ca="1" si="67"/>
        <v/>
      </c>
      <c r="AA216" s="129">
        <f ca="1">IF($C216="S",IF($Z216="CP",$X216,IF($Z216="RA",(($X216)*QCI!$AA$3),0)),SomaAgrup)</f>
        <v>0</v>
      </c>
      <c r="AB216" s="130">
        <f t="shared" ca="1" si="68"/>
        <v>0</v>
      </c>
      <c r="AC216" s="131" t="str">
        <f ca="1">IF($N216="","",IF(ORÇAMENTO.Descricao="","DESCRIÇÃO",IF(AND($C216="S",ORÇAMENTO.Unidade=""),"UNIDADE",IF($X216&lt;0,"VALOR NEGATIVO",IF(OR(AND(TIPOORCAMENTO="Proposto",$AG216&lt;&gt;"",$AG216&gt;0,ORÇAMENTO.CustoUnitario&gt;$AG216),AND(TIPOORCAMENTO="LICITADO",ORÇAMENTO.PrecoUnitarioLicitado&gt;$AN216)),"ACIMA REF.","")))))</f>
        <v/>
      </c>
      <c r="AD216" t="str">
        <f ca="1">IF(C216&lt;=CRONO.NivelExibicao,MAX($AD$15:OFFSET(AD216,-1,0))+IF($C216&lt;&gt;1,1,MAX(1,COUNTIF(QCI!$A$13:$A$24,OFFSET($E216,-1,0)))),"")</f>
        <v/>
      </c>
      <c r="AE216" s="7" t="str">
        <f ca="1">IF(AND($C216="S",ORÇAMENTO.CodBarra&lt;&gt;""),IF(ORÇAMENTO.Fonte="",ORÇAMENTO.CodBarra,CONCATENATE(ORÇAMENTO.Fonte," ",ORÇAMENTO.CodBarra)))</f>
        <v>COMPOSIÇÃO FNDE 401</v>
      </c>
      <c r="AF216" s="13" t="str">
        <f ca="1">IF(ISERROR(INDIRECT(ORÇAMENTO.BancoRef)),"(abra o arquivo 'Referência "&amp;Excel_BuiltIn_Database&amp;".xlsm)",IF(OR($C216&lt;&gt;"S",ORÇAMENTO.CodBarra=""),"(Sem Código)",IF(ISERROR(MATCH($AE216,INDIRECT(ORÇAMENTO.BancoRef),0)),"(Código não identificado nas referências)",MATCH($AE216,INDIRECT(ORÇAMENTO.BancoRef),0))))</f>
        <v>(abra o arquivo 'Referência 06-2024.xlsm)</v>
      </c>
      <c r="AG216" s="498">
        <f ca="1">ROUND(IF(DESONERACAO="sim",REFERENCIA.Desonerado,REFERENCIA.NaoDesonerado),2)</f>
        <v>0</v>
      </c>
      <c r="AH216" s="499">
        <f t="shared" ca="1" si="69"/>
        <v>0.2432</v>
      </c>
      <c r="AJ216" s="501"/>
      <c r="AL216" s="527"/>
      <c r="AM216" s="381">
        <f t="shared" ca="1" si="70"/>
        <v>0</v>
      </c>
      <c r="AN216" s="566">
        <f t="shared" ca="1" si="71"/>
        <v>0</v>
      </c>
    </row>
    <row r="217" spans="1:40" ht="25.5" x14ac:dyDescent="0.2">
      <c r="A217" t="str">
        <f t="shared" si="56"/>
        <v>S</v>
      </c>
      <c r="B217">
        <f t="shared" ca="1" si="57"/>
        <v>2</v>
      </c>
      <c r="C217" t="str">
        <f t="shared" ca="1" si="58"/>
        <v>S</v>
      </c>
      <c r="D217">
        <f t="shared" ca="1" si="59"/>
        <v>0</v>
      </c>
      <c r="E217">
        <f ca="1">IF($C217=1,OFFSET(E217,-1,0)+MAX(1,COUNTIF(QCI!$A$13:$A$24,OFFSET(ORÇAMENTO!E217,-1,0))),OFFSET(E217,-1,0))</f>
        <v>1</v>
      </c>
      <c r="F217">
        <f t="shared" ca="1" si="60"/>
        <v>28</v>
      </c>
      <c r="G217">
        <f t="shared" ca="1" si="61"/>
        <v>0</v>
      </c>
      <c r="H217">
        <f t="shared" ca="1" si="62"/>
        <v>0</v>
      </c>
      <c r="I217">
        <f t="shared" ca="1" si="63"/>
        <v>0</v>
      </c>
      <c r="J217">
        <f t="shared" ca="1" si="73"/>
        <v>0</v>
      </c>
      <c r="K217">
        <f ca="1">IF(OR($C217="S",$C217=0),0,MATCH(OFFSET($D217,0,$C217)+IF($C217&lt;&gt;1,1,COUNTIF(QCI!$A$13:$A$24,ORÇAMENTO!E217)),OFFSET($D217,1,$C217,ROW($C$727)-ROW($C217)),0))</f>
        <v>0</v>
      </c>
      <c r="L217" s="116" t="str">
        <f t="shared" ca="1" si="64"/>
        <v/>
      </c>
      <c r="M217" s="117" t="s">
        <v>199</v>
      </c>
      <c r="N217" s="118" t="str">
        <f t="shared" ca="1" si="65"/>
        <v>Serviço</v>
      </c>
      <c r="O217" s="119" t="str">
        <f t="shared" ca="1" si="66"/>
        <v>-</v>
      </c>
      <c r="P217" s="120" t="s">
        <v>458</v>
      </c>
      <c r="Q217" s="121" t="s">
        <v>614</v>
      </c>
      <c r="R217" s="122" t="str">
        <f ca="1">IF($C217="S",REFERENCIA.Descricao,"(digite a descrição aqui)")</f>
        <v>(abra o arquivo 'Referência 06-2024.xlsm)</v>
      </c>
      <c r="S217" s="123" t="str">
        <f ca="1">REFERENCIA.Unidade</f>
        <v>-</v>
      </c>
      <c r="T217" s="124">
        <f ca="1">OFFSET(CÁLCULO!H$15,ROW($T217)-ROW(T$15),0)</f>
        <v>3.44</v>
      </c>
      <c r="U217" s="125">
        <f t="shared" ca="1" si="72"/>
        <v>0</v>
      </c>
      <c r="V217" s="126" t="s">
        <v>156</v>
      </c>
      <c r="W217" s="124">
        <f ca="1">IF($C217="S",ROUND(IF(TIPOORCAMENTO="Proposto",ORÇAMENTO.CustoUnitario*(1+$AH217),ORÇAMENTO.PrecoUnitarioLicitado),15-13*$AF$10),0)</f>
        <v>0</v>
      </c>
      <c r="X217" s="127">
        <f ca="1">IF($C217="S",IF(Import.TipoArredondamento&lt;&gt;"TransfereGOV",VTOTAL1,SUM(OFFSET(CÁLCULO!$AI$15,ROW($X217)-ROW($X$15),1):OFFSET(CÁLCULO!$BB$15,ROW($X217)-ROW($X$15),-1))),IF($C217=0,0,ROUND(SomaAgrup,15-13*$AF$11)))</f>
        <v>0</v>
      </c>
      <c r="Y217" s="128" t="s">
        <v>245</v>
      </c>
      <c r="Z217" t="str">
        <f t="shared" ca="1" si="67"/>
        <v/>
      </c>
      <c r="AA217" s="129">
        <f ca="1">IF($C217="S",IF($Z217="CP",$X217,IF($Z217="RA",(($X217)*QCI!$AA$3),0)),SomaAgrup)</f>
        <v>0</v>
      </c>
      <c r="AB217" s="130">
        <f t="shared" ca="1" si="68"/>
        <v>0</v>
      </c>
      <c r="AC217" s="131" t="str">
        <f ca="1">IF($N217="","",IF(ORÇAMENTO.Descricao="","DESCRIÇÃO",IF(AND($C217="S",ORÇAMENTO.Unidade=""),"UNIDADE",IF($X217&lt;0,"VALOR NEGATIVO",IF(OR(AND(TIPOORCAMENTO="Proposto",$AG217&lt;&gt;"",$AG217&gt;0,ORÇAMENTO.CustoUnitario&gt;$AG217),AND(TIPOORCAMENTO="LICITADO",ORÇAMENTO.PrecoUnitarioLicitado&gt;$AN217)),"ACIMA REF.","")))))</f>
        <v/>
      </c>
      <c r="AD217" t="str">
        <f ca="1">IF(C217&lt;=CRONO.NivelExibicao,MAX($AD$15:OFFSET(AD217,-1,0))+IF($C217&lt;&gt;1,1,MAX(1,COUNTIF(QCI!$A$13:$A$24,OFFSET($E217,-1,0)))),"")</f>
        <v/>
      </c>
      <c r="AE217" s="7" t="str">
        <f ca="1">IF(AND($C217="S",ORÇAMENTO.CodBarra&lt;&gt;""),IF(ORÇAMENTO.Fonte="",ORÇAMENTO.CodBarra,CONCATENATE(ORÇAMENTO.Fonte," ",ORÇAMENTO.CodBarra)))</f>
        <v>COMPOSIÇÃO FNDE 190</v>
      </c>
      <c r="AF217" s="13" t="str">
        <f ca="1">IF(ISERROR(INDIRECT(ORÇAMENTO.BancoRef)),"(abra o arquivo 'Referência "&amp;Excel_BuiltIn_Database&amp;".xlsm)",IF(OR($C217&lt;&gt;"S",ORÇAMENTO.CodBarra=""),"(Sem Código)",IF(ISERROR(MATCH($AE217,INDIRECT(ORÇAMENTO.BancoRef),0)),"(Código não identificado nas referências)",MATCH($AE217,INDIRECT(ORÇAMENTO.BancoRef),0))))</f>
        <v>(abra o arquivo 'Referência 06-2024.xlsm)</v>
      </c>
      <c r="AG217" s="498">
        <f ca="1">ROUND(IF(DESONERACAO="sim",REFERENCIA.Desonerado,REFERENCIA.NaoDesonerado),2)</f>
        <v>0</v>
      </c>
      <c r="AH217" s="499">
        <f t="shared" ca="1" si="69"/>
        <v>0.2432</v>
      </c>
      <c r="AJ217" s="501"/>
      <c r="AL217" s="527"/>
      <c r="AM217" s="381">
        <f t="shared" ca="1" si="70"/>
        <v>0</v>
      </c>
      <c r="AN217" s="566">
        <f t="shared" ca="1" si="71"/>
        <v>0</v>
      </c>
    </row>
    <row r="218" spans="1:40" x14ac:dyDescent="0.2">
      <c r="A218" t="str">
        <f t="shared" si="56"/>
        <v>S</v>
      </c>
      <c r="B218">
        <f t="shared" ca="1" si="57"/>
        <v>2</v>
      </c>
      <c r="C218" t="str">
        <f t="shared" ca="1" si="58"/>
        <v>S</v>
      </c>
      <c r="D218">
        <f t="shared" ca="1" si="59"/>
        <v>0</v>
      </c>
      <c r="E218">
        <f ca="1">IF($C218=1,OFFSET(E218,-1,0)+MAX(1,COUNTIF(QCI!$A$13:$A$24,OFFSET(ORÇAMENTO!E218,-1,0))),OFFSET(E218,-1,0))</f>
        <v>1</v>
      </c>
      <c r="F218">
        <f t="shared" ca="1" si="60"/>
        <v>28</v>
      </c>
      <c r="G218">
        <f t="shared" ca="1" si="61"/>
        <v>0</v>
      </c>
      <c r="H218">
        <f t="shared" ca="1" si="62"/>
        <v>0</v>
      </c>
      <c r="I218">
        <f t="shared" ca="1" si="63"/>
        <v>0</v>
      </c>
      <c r="J218">
        <f t="shared" ca="1" si="73"/>
        <v>0</v>
      </c>
      <c r="K218">
        <f ca="1">IF(OR($C218="S",$C218=0),0,MATCH(OFFSET($D218,0,$C218)+IF($C218&lt;&gt;1,1,COUNTIF(QCI!$A$13:$A$24,ORÇAMENTO!E218)),OFFSET($D218,1,$C218,ROW($C$727)-ROW($C218)),0))</f>
        <v>0</v>
      </c>
      <c r="L218" s="116" t="str">
        <f t="shared" ca="1" si="64"/>
        <v/>
      </c>
      <c r="M218" s="117" t="s">
        <v>199</v>
      </c>
      <c r="N218" s="118" t="str">
        <f t="shared" ca="1" si="65"/>
        <v>Serviço</v>
      </c>
      <c r="O218" s="119" t="str">
        <f t="shared" ca="1" si="66"/>
        <v>-</v>
      </c>
      <c r="P218" s="120" t="s">
        <v>458</v>
      </c>
      <c r="Q218" s="121" t="s">
        <v>615</v>
      </c>
      <c r="R218" s="122" t="str">
        <f ca="1">IF($C218="S",REFERENCIA.Descricao,"(digite a descrição aqui)")</f>
        <v>(abra o arquivo 'Referência 06-2024.xlsm)</v>
      </c>
      <c r="S218" s="123" t="str">
        <f ca="1">REFERENCIA.Unidade</f>
        <v>-</v>
      </c>
      <c r="T218" s="124">
        <f ca="1">OFFSET(CÁLCULO!H$15,ROW($T218)-ROW(T$15),0)</f>
        <v>23</v>
      </c>
      <c r="U218" s="125">
        <f t="shared" ca="1" si="72"/>
        <v>0</v>
      </c>
      <c r="V218" s="126" t="s">
        <v>156</v>
      </c>
      <c r="W218" s="124">
        <f ca="1">IF($C218="S",ROUND(IF(TIPOORCAMENTO="Proposto",ORÇAMENTO.CustoUnitario*(1+$AH218),ORÇAMENTO.PrecoUnitarioLicitado),15-13*$AF$10),0)</f>
        <v>0</v>
      </c>
      <c r="X218" s="127">
        <f ca="1">IF($C218="S",IF(Import.TipoArredondamento&lt;&gt;"TransfereGOV",VTOTAL1,SUM(OFFSET(CÁLCULO!$AI$15,ROW($X218)-ROW($X$15),1):OFFSET(CÁLCULO!$BB$15,ROW($X218)-ROW($X$15),-1))),IF($C218=0,0,ROUND(SomaAgrup,15-13*$AF$11)))</f>
        <v>0</v>
      </c>
      <c r="Y218" s="128" t="s">
        <v>245</v>
      </c>
      <c r="Z218" t="str">
        <f t="shared" ca="1" si="67"/>
        <v/>
      </c>
      <c r="AA218" s="129">
        <f ca="1">IF($C218="S",IF($Z218="CP",$X218,IF($Z218="RA",(($X218)*QCI!$AA$3),0)),SomaAgrup)</f>
        <v>0</v>
      </c>
      <c r="AB218" s="130">
        <f t="shared" ca="1" si="68"/>
        <v>0</v>
      </c>
      <c r="AC218" s="131" t="str">
        <f ca="1">IF($N218="","",IF(ORÇAMENTO.Descricao="","DESCRIÇÃO",IF(AND($C218="S",ORÇAMENTO.Unidade=""),"UNIDADE",IF($X218&lt;0,"VALOR NEGATIVO",IF(OR(AND(TIPOORCAMENTO="Proposto",$AG218&lt;&gt;"",$AG218&gt;0,ORÇAMENTO.CustoUnitario&gt;$AG218),AND(TIPOORCAMENTO="LICITADO",ORÇAMENTO.PrecoUnitarioLicitado&gt;$AN218)),"ACIMA REF.","")))))</f>
        <v/>
      </c>
      <c r="AD218" t="str">
        <f ca="1">IF(C218&lt;=CRONO.NivelExibicao,MAX($AD$15:OFFSET(AD218,-1,0))+IF($C218&lt;&gt;1,1,MAX(1,COUNTIF(QCI!$A$13:$A$24,OFFSET($E218,-1,0)))),"")</f>
        <v/>
      </c>
      <c r="AE218" s="7" t="str">
        <f ca="1">IF(AND($C218="S",ORÇAMENTO.CodBarra&lt;&gt;""),IF(ORÇAMENTO.Fonte="",ORÇAMENTO.CodBarra,CONCATENATE(ORÇAMENTO.Fonte," ",ORÇAMENTO.CodBarra)))</f>
        <v>COMPOSIÇÃO FNDE 10</v>
      </c>
      <c r="AF218" s="13" t="str">
        <f ca="1">IF(ISERROR(INDIRECT(ORÇAMENTO.BancoRef)),"(abra o arquivo 'Referência "&amp;Excel_BuiltIn_Database&amp;".xlsm)",IF(OR($C218&lt;&gt;"S",ORÇAMENTO.CodBarra=""),"(Sem Código)",IF(ISERROR(MATCH($AE218,INDIRECT(ORÇAMENTO.BancoRef),0)),"(Código não identificado nas referências)",MATCH($AE218,INDIRECT(ORÇAMENTO.BancoRef),0))))</f>
        <v>(abra o arquivo 'Referência 06-2024.xlsm)</v>
      </c>
      <c r="AG218" s="498">
        <f ca="1">ROUND(IF(DESONERACAO="sim",REFERENCIA.Desonerado,REFERENCIA.NaoDesonerado),2)</f>
        <v>0</v>
      </c>
      <c r="AH218" s="499">
        <f t="shared" ca="1" si="69"/>
        <v>0.2432</v>
      </c>
      <c r="AJ218" s="501"/>
      <c r="AL218" s="527"/>
      <c r="AM218" s="381">
        <f t="shared" ca="1" si="70"/>
        <v>0</v>
      </c>
      <c r="AN218" s="566">
        <f t="shared" ca="1" si="71"/>
        <v>0</v>
      </c>
    </row>
    <row r="219" spans="1:40" x14ac:dyDescent="0.2">
      <c r="A219" t="str">
        <f t="shared" si="56"/>
        <v>S</v>
      </c>
      <c r="B219">
        <f t="shared" ca="1" si="57"/>
        <v>2</v>
      </c>
      <c r="C219" t="str">
        <f t="shared" ca="1" si="58"/>
        <v>S</v>
      </c>
      <c r="D219">
        <f t="shared" ca="1" si="59"/>
        <v>0</v>
      </c>
      <c r="E219">
        <f ca="1">IF($C219=1,OFFSET(E219,-1,0)+MAX(1,COUNTIF(QCI!$A$13:$A$24,OFFSET(ORÇAMENTO!E219,-1,0))),OFFSET(E219,-1,0))</f>
        <v>1</v>
      </c>
      <c r="F219">
        <f t="shared" ca="1" si="60"/>
        <v>28</v>
      </c>
      <c r="G219">
        <f t="shared" ca="1" si="61"/>
        <v>0</v>
      </c>
      <c r="H219">
        <f t="shared" ca="1" si="62"/>
        <v>0</v>
      </c>
      <c r="I219">
        <f t="shared" ca="1" si="63"/>
        <v>0</v>
      </c>
      <c r="J219">
        <f t="shared" ca="1" si="73"/>
        <v>0</v>
      </c>
      <c r="K219">
        <f ca="1">IF(OR($C219="S",$C219=0),0,MATCH(OFFSET($D219,0,$C219)+IF($C219&lt;&gt;1,1,COUNTIF(QCI!$A$13:$A$24,ORÇAMENTO!E219)),OFFSET($D219,1,$C219,ROW($C$727)-ROW($C219)),0))</f>
        <v>0</v>
      </c>
      <c r="L219" s="116" t="str">
        <f t="shared" ca="1" si="64"/>
        <v/>
      </c>
      <c r="M219" s="117" t="s">
        <v>199</v>
      </c>
      <c r="N219" s="118" t="str">
        <f t="shared" ca="1" si="65"/>
        <v>Serviço</v>
      </c>
      <c r="O219" s="119" t="str">
        <f t="shared" ca="1" si="66"/>
        <v>-</v>
      </c>
      <c r="P219" s="120" t="s">
        <v>247</v>
      </c>
      <c r="Q219" s="121" t="s">
        <v>616</v>
      </c>
      <c r="R219" s="122" t="str">
        <f ca="1">IF($C219="S",REFERENCIA.Descricao,"(digite a descrição aqui)")</f>
        <v>(abra o arquivo 'Referência 06-2024.xlsm)</v>
      </c>
      <c r="S219" s="123" t="str">
        <f ca="1">REFERENCIA.Unidade</f>
        <v>-</v>
      </c>
      <c r="T219" s="124">
        <f ca="1">OFFSET(CÁLCULO!H$15,ROW($T219)-ROW(T$15),0)</f>
        <v>724.76</v>
      </c>
      <c r="U219" s="125">
        <f t="shared" ca="1" si="72"/>
        <v>0</v>
      </c>
      <c r="V219" s="126" t="s">
        <v>156</v>
      </c>
      <c r="W219" s="124">
        <f ca="1">IF($C219="S",ROUND(IF(TIPOORCAMENTO="Proposto",ORÇAMENTO.CustoUnitario*(1+$AH219),ORÇAMENTO.PrecoUnitarioLicitado),15-13*$AF$10),0)</f>
        <v>0</v>
      </c>
      <c r="X219" s="127">
        <f ca="1">IF($C219="S",IF(Import.TipoArredondamento&lt;&gt;"TransfereGOV",VTOTAL1,SUM(OFFSET(CÁLCULO!$AI$15,ROW($X219)-ROW($X$15),1):OFFSET(CÁLCULO!$BB$15,ROW($X219)-ROW($X$15),-1))),IF($C219=0,0,ROUND(SomaAgrup,15-13*$AF$11)))</f>
        <v>0</v>
      </c>
      <c r="Y219" s="128" t="s">
        <v>245</v>
      </c>
      <c r="Z219" t="str">
        <f t="shared" ca="1" si="67"/>
        <v/>
      </c>
      <c r="AA219" s="129">
        <f ca="1">IF($C219="S",IF($Z219="CP",$X219,IF($Z219="RA",(($X219)*QCI!$AA$3),0)),SomaAgrup)</f>
        <v>0</v>
      </c>
      <c r="AB219" s="130">
        <f t="shared" ca="1" si="68"/>
        <v>0</v>
      </c>
      <c r="AC219" s="131" t="str">
        <f ca="1">IF($N219="","",IF(ORÇAMENTO.Descricao="","DESCRIÇÃO",IF(AND($C219="S",ORÇAMENTO.Unidade=""),"UNIDADE",IF($X219&lt;0,"VALOR NEGATIVO",IF(OR(AND(TIPOORCAMENTO="Proposto",$AG219&lt;&gt;"",$AG219&gt;0,ORÇAMENTO.CustoUnitario&gt;$AG219),AND(TIPOORCAMENTO="LICITADO",ORÇAMENTO.PrecoUnitarioLicitado&gt;$AN219)),"ACIMA REF.","")))))</f>
        <v/>
      </c>
      <c r="AD219" t="str">
        <f ca="1">IF(C219&lt;=CRONO.NivelExibicao,MAX($AD$15:OFFSET(AD219,-1,0))+IF($C219&lt;&gt;1,1,MAX(1,COUNTIF(QCI!$A$13:$A$24,OFFSET($E219,-1,0)))),"")</f>
        <v/>
      </c>
      <c r="AE219" s="7" t="str">
        <f ca="1">IF(AND($C219="S",ORÇAMENTO.CodBarra&lt;&gt;""),IF(ORÇAMENTO.Fonte="",ORÇAMENTO.CodBarra,CONCATENATE(ORÇAMENTO.Fonte," ",ORÇAMENTO.CodBarra)))</f>
        <v>SINAPI 98504</v>
      </c>
      <c r="AF219" s="13" t="str">
        <f ca="1">IF(ISERROR(INDIRECT(ORÇAMENTO.BancoRef)),"(abra o arquivo 'Referência "&amp;Excel_BuiltIn_Database&amp;".xlsm)",IF(OR($C219&lt;&gt;"S",ORÇAMENTO.CodBarra=""),"(Sem Código)",IF(ISERROR(MATCH($AE219,INDIRECT(ORÇAMENTO.BancoRef),0)),"(Código não identificado nas referências)",MATCH($AE219,INDIRECT(ORÇAMENTO.BancoRef),0))))</f>
        <v>(abra o arquivo 'Referência 06-2024.xlsm)</v>
      </c>
      <c r="AG219" s="498">
        <f ca="1">ROUND(IF(DESONERACAO="sim",REFERENCIA.Desonerado,REFERENCIA.NaoDesonerado),2)</f>
        <v>0</v>
      </c>
      <c r="AH219" s="499">
        <f t="shared" ca="1" si="69"/>
        <v>0.2432</v>
      </c>
      <c r="AJ219" s="501"/>
      <c r="AL219" s="527"/>
      <c r="AM219" s="381">
        <f t="shared" ca="1" si="70"/>
        <v>0</v>
      </c>
      <c r="AN219" s="566">
        <f t="shared" ca="1" si="71"/>
        <v>0</v>
      </c>
    </row>
    <row r="220" spans="1:40" x14ac:dyDescent="0.2">
      <c r="A220" t="str">
        <f t="shared" si="56"/>
        <v>S</v>
      </c>
      <c r="B220">
        <f t="shared" ca="1" si="57"/>
        <v>2</v>
      </c>
      <c r="C220" t="str">
        <f t="shared" ca="1" si="58"/>
        <v>S</v>
      </c>
      <c r="D220">
        <f t="shared" ca="1" si="59"/>
        <v>0</v>
      </c>
      <c r="E220">
        <f ca="1">IF($C220=1,OFFSET(E220,-1,0)+MAX(1,COUNTIF(QCI!$A$13:$A$24,OFFSET(ORÇAMENTO!E220,-1,0))),OFFSET(E220,-1,0))</f>
        <v>1</v>
      </c>
      <c r="F220">
        <f t="shared" ca="1" si="60"/>
        <v>28</v>
      </c>
      <c r="G220">
        <f t="shared" ca="1" si="61"/>
        <v>0</v>
      </c>
      <c r="H220">
        <f t="shared" ca="1" si="62"/>
        <v>0</v>
      </c>
      <c r="I220">
        <f t="shared" ca="1" si="63"/>
        <v>0</v>
      </c>
      <c r="J220">
        <f t="shared" ca="1" si="73"/>
        <v>0</v>
      </c>
      <c r="K220">
        <f ca="1">IF(OR($C220="S",$C220=0),0,MATCH(OFFSET($D220,0,$C220)+IF($C220&lt;&gt;1,1,COUNTIF(QCI!$A$13:$A$24,ORÇAMENTO!E220)),OFFSET($D220,1,$C220,ROW($C$727)-ROW($C220)),0))</f>
        <v>0</v>
      </c>
      <c r="L220" s="116" t="str">
        <f t="shared" ca="1" si="64"/>
        <v/>
      </c>
      <c r="M220" s="117" t="s">
        <v>199</v>
      </c>
      <c r="N220" s="118" t="str">
        <f t="shared" ca="1" si="65"/>
        <v>Serviço</v>
      </c>
      <c r="O220" s="119" t="str">
        <f t="shared" ca="1" si="66"/>
        <v>-</v>
      </c>
      <c r="P220" s="120" t="s">
        <v>458</v>
      </c>
      <c r="Q220" s="121" t="s">
        <v>617</v>
      </c>
      <c r="R220" s="122" t="str">
        <f ca="1">IF($C220="S",REFERENCIA.Descricao,"(digite a descrição aqui)")</f>
        <v>(abra o arquivo 'Referência 06-2024.xlsm)</v>
      </c>
      <c r="S220" s="123" t="str">
        <f ca="1">REFERENCIA.Unidade</f>
        <v>-</v>
      </c>
      <c r="T220" s="124">
        <f ca="1">OFFSET(CÁLCULO!H$15,ROW($T220)-ROW(T$15),0)</f>
        <v>6.8</v>
      </c>
      <c r="U220" s="125">
        <f t="shared" ca="1" si="72"/>
        <v>0</v>
      </c>
      <c r="V220" s="126" t="s">
        <v>156</v>
      </c>
      <c r="W220" s="124">
        <f ca="1">IF($C220="S",ROUND(IF(TIPOORCAMENTO="Proposto",ORÇAMENTO.CustoUnitario*(1+$AH220),ORÇAMENTO.PrecoUnitarioLicitado),15-13*$AF$10),0)</f>
        <v>0</v>
      </c>
      <c r="X220" s="127">
        <f ca="1">IF($C220="S",IF(Import.TipoArredondamento&lt;&gt;"TransfereGOV",VTOTAL1,SUM(OFFSET(CÁLCULO!$AI$15,ROW($X220)-ROW($X$15),1):OFFSET(CÁLCULO!$BB$15,ROW($X220)-ROW($X$15),-1))),IF($C220=0,0,ROUND(SomaAgrup,15-13*$AF$11)))</f>
        <v>0</v>
      </c>
      <c r="Y220" s="128" t="s">
        <v>245</v>
      </c>
      <c r="Z220" t="str">
        <f t="shared" ca="1" si="67"/>
        <v/>
      </c>
      <c r="AA220" s="129">
        <f ca="1">IF($C220="S",IF($Z220="CP",$X220,IF($Z220="RA",(($X220)*QCI!$AA$3),0)),SomaAgrup)</f>
        <v>0</v>
      </c>
      <c r="AB220" s="130">
        <f t="shared" ca="1" si="68"/>
        <v>0</v>
      </c>
      <c r="AC220" s="131" t="str">
        <f ca="1">IF($N220="","",IF(ORÇAMENTO.Descricao="","DESCRIÇÃO",IF(AND($C220="S",ORÇAMENTO.Unidade=""),"UNIDADE",IF($X220&lt;0,"VALOR NEGATIVO",IF(OR(AND(TIPOORCAMENTO="Proposto",$AG220&lt;&gt;"",$AG220&gt;0,ORÇAMENTO.CustoUnitario&gt;$AG220),AND(TIPOORCAMENTO="LICITADO",ORÇAMENTO.PrecoUnitarioLicitado&gt;$AN220)),"ACIMA REF.","")))))</f>
        <v/>
      </c>
      <c r="AD220" t="str">
        <f ca="1">IF(C220&lt;=CRONO.NivelExibicao,MAX($AD$15:OFFSET(AD220,-1,0))+IF($C220&lt;&gt;1,1,MAX(1,COUNTIF(QCI!$A$13:$A$24,OFFSET($E220,-1,0)))),"")</f>
        <v/>
      </c>
      <c r="AE220" s="7" t="str">
        <f ca="1">IF(AND($C220="S",ORÇAMENTO.CodBarra&lt;&gt;""),IF(ORÇAMENTO.Fonte="",ORÇAMENTO.CodBarra,CONCATENATE(ORÇAMENTO.Fonte," ",ORÇAMENTO.CodBarra)))</f>
        <v>COMPOSIÇÃO FNDE 38</v>
      </c>
      <c r="AF220" s="13" t="str">
        <f ca="1">IF(ISERROR(INDIRECT(ORÇAMENTO.BancoRef)),"(abra o arquivo 'Referência "&amp;Excel_BuiltIn_Database&amp;".xlsm)",IF(OR($C220&lt;&gt;"S",ORÇAMENTO.CodBarra=""),"(Sem Código)",IF(ISERROR(MATCH($AE220,INDIRECT(ORÇAMENTO.BancoRef),0)),"(Código não identificado nas referências)",MATCH($AE220,INDIRECT(ORÇAMENTO.BancoRef),0))))</f>
        <v>(abra o arquivo 'Referência 06-2024.xlsm)</v>
      </c>
      <c r="AG220" s="498">
        <f ca="1">ROUND(IF(DESONERACAO="sim",REFERENCIA.Desonerado,REFERENCIA.NaoDesonerado),2)</f>
        <v>0</v>
      </c>
      <c r="AH220" s="499">
        <f t="shared" ca="1" si="69"/>
        <v>0.2432</v>
      </c>
      <c r="AJ220" s="501"/>
      <c r="AL220" s="527"/>
      <c r="AM220" s="381">
        <f t="shared" ca="1" si="70"/>
        <v>0</v>
      </c>
      <c r="AN220" s="566">
        <f t="shared" ca="1" si="71"/>
        <v>0</v>
      </c>
    </row>
    <row r="221" spans="1:40" x14ac:dyDescent="0.2">
      <c r="A221">
        <f t="shared" si="56"/>
        <v>2</v>
      </c>
      <c r="B221">
        <f t="shared" ca="1" si="57"/>
        <v>2</v>
      </c>
      <c r="C221">
        <f t="shared" ca="1" si="58"/>
        <v>2</v>
      </c>
      <c r="D221">
        <f t="shared" ca="1" si="59"/>
        <v>9</v>
      </c>
      <c r="E221">
        <f ca="1">IF($C221=1,OFFSET(E221,-1,0)+MAX(1,COUNTIF(QCI!$A$13:$A$24,OFFSET(ORÇAMENTO!E221,-1,0))),OFFSET(E221,-1,0))</f>
        <v>1</v>
      </c>
      <c r="F221">
        <f t="shared" ca="1" si="60"/>
        <v>29</v>
      </c>
      <c r="G221">
        <f t="shared" ca="1" si="61"/>
        <v>0</v>
      </c>
      <c r="H221">
        <f t="shared" ca="1" si="62"/>
        <v>0</v>
      </c>
      <c r="I221">
        <f t="shared" ca="1" si="63"/>
        <v>0</v>
      </c>
      <c r="J221">
        <f t="shared" ca="1" si="73"/>
        <v>506</v>
      </c>
      <c r="K221">
        <f ca="1">IF(OR($C221="S",$C221=0),0,MATCH(OFFSET($D221,0,$C221)+IF($C221&lt;&gt;1,1,COUNTIF(QCI!$A$13:$A$24,ORÇAMENTO!E221)),OFFSET($D221,1,$C221,ROW($C$727)-ROW($C221)),0))</f>
        <v>9</v>
      </c>
      <c r="L221" s="116" t="str">
        <f t="shared" ca="1" si="64"/>
        <v>F</v>
      </c>
      <c r="M221" s="117" t="s">
        <v>196</v>
      </c>
      <c r="N221" s="118" t="str">
        <f t="shared" ca="1" si="65"/>
        <v>Nível 2</v>
      </c>
      <c r="O221" s="119" t="str">
        <f t="shared" ca="1" si="66"/>
        <v>1.29.</v>
      </c>
      <c r="P221" s="120" t="s">
        <v>247</v>
      </c>
      <c r="Q221" s="121"/>
      <c r="R221" s="122" t="s">
        <v>1054</v>
      </c>
      <c r="S221" s="123" t="str">
        <f ca="1">REFERENCIA.Unidade</f>
        <v>-</v>
      </c>
      <c r="T221" s="124">
        <f ca="1">OFFSET(CÁLCULO!H$15,ROW($T221)-ROW(T$15),0)</f>
        <v>0</v>
      </c>
      <c r="U221" s="125">
        <f t="shared" ca="1" si="72"/>
        <v>0</v>
      </c>
      <c r="V221" s="126" t="s">
        <v>156</v>
      </c>
      <c r="W221" s="124">
        <f ca="1">IF($C221="S",ROUND(IF(TIPOORCAMENTO="Proposto",ORÇAMENTO.CustoUnitario*(1+$AH221),ORÇAMENTO.PrecoUnitarioLicitado),15-13*$AF$10),0)</f>
        <v>0</v>
      </c>
      <c r="X221" s="127">
        <f ca="1">IF($C221="S",IF(Import.TipoArredondamento&lt;&gt;"TransfereGOV",VTOTAL1,SUM(OFFSET(CÁLCULO!$AI$15,ROW($X221)-ROW($X$15),1):OFFSET(CÁLCULO!$BB$15,ROW($X221)-ROW($X$15),-1))),IF($C221=0,0,ROUND(SomaAgrup,15-13*$AF$11)))</f>
        <v>0</v>
      </c>
      <c r="Y221" s="128" t="s">
        <v>245</v>
      </c>
      <c r="Z221" t="str">
        <f t="shared" ca="1" si="67"/>
        <v/>
      </c>
      <c r="AA221" s="129">
        <f ca="1">IF($C221="S",IF($Z221="CP",$X221,IF($Z221="RA",(($X221)*QCI!$AA$3),0)),SomaAgrup)</f>
        <v>0</v>
      </c>
      <c r="AB221" s="130">
        <f t="shared" ca="1" si="68"/>
        <v>0</v>
      </c>
      <c r="AC221" s="131" t="str">
        <f ca="1">IF($N221="","",IF(ORÇAMENTO.Descricao="","DESCRIÇÃO",IF(AND($C221="S",ORÇAMENTO.Unidade=""),"UNIDADE",IF($X221&lt;0,"VALOR NEGATIVO",IF(OR(AND(TIPOORCAMENTO="Proposto",$AG221&lt;&gt;"",$AG221&gt;0,ORÇAMENTO.CustoUnitario&gt;$AG221),AND(TIPOORCAMENTO="LICITADO",ORÇAMENTO.PrecoUnitarioLicitado&gt;$AN221)),"ACIMA REF.","")))))</f>
        <v/>
      </c>
      <c r="AD221">
        <f ca="1">IF(C221&lt;=CRONO.NivelExibicao,MAX($AD$15:OFFSET(AD221,-1,0))+IF($C221&lt;&gt;1,1,MAX(1,COUNTIF(QCI!$A$13:$A$24,OFFSET($E221,-1,0)))),"")</f>
        <v>30</v>
      </c>
      <c r="AE221" s="7" t="b">
        <f ca="1">IF(AND($C221="S",ORÇAMENTO.CodBarra&lt;&gt;""),IF(ORÇAMENTO.Fonte="",ORÇAMENTO.CodBarra,CONCATENATE(ORÇAMENTO.Fonte," ",ORÇAMENTO.CodBarra)))</f>
        <v>0</v>
      </c>
      <c r="AF221" s="13" t="str">
        <f ca="1">IF(ISERROR(INDIRECT(ORÇAMENTO.BancoRef)),"(abra o arquivo 'Referência "&amp;Excel_BuiltIn_Database&amp;".xlsm)",IF(OR($C221&lt;&gt;"S",ORÇAMENTO.CodBarra=""),"(Sem Código)",IF(ISERROR(MATCH($AE221,INDIRECT(ORÇAMENTO.BancoRef),0)),"(Código não identificado nas referências)",MATCH($AE221,INDIRECT(ORÇAMENTO.BancoRef),0))))</f>
        <v>(abra o arquivo 'Referência 06-2024.xlsm)</v>
      </c>
      <c r="AG221" s="498">
        <f ca="1">ROUND(IF(DESONERACAO="sim",REFERENCIA.Desonerado,REFERENCIA.NaoDesonerado),2)</f>
        <v>0</v>
      </c>
      <c r="AH221" s="499">
        <f t="shared" ca="1" si="69"/>
        <v>0.2432</v>
      </c>
      <c r="AJ221" s="501"/>
      <c r="AL221" s="527"/>
      <c r="AM221" s="381">
        <f t="shared" ca="1" si="70"/>
        <v>0</v>
      </c>
      <c r="AN221" s="566">
        <f t="shared" ca="1" si="71"/>
        <v>0</v>
      </c>
    </row>
    <row r="222" spans="1:40" ht="25.5" x14ac:dyDescent="0.2">
      <c r="A222" t="str">
        <f t="shared" si="56"/>
        <v>S</v>
      </c>
      <c r="B222">
        <f t="shared" ca="1" si="57"/>
        <v>2</v>
      </c>
      <c r="C222" t="str">
        <f t="shared" ca="1" si="58"/>
        <v>S</v>
      </c>
      <c r="D222">
        <f t="shared" ca="1" si="59"/>
        <v>0</v>
      </c>
      <c r="E222">
        <f ca="1">IF($C222=1,OFFSET(E222,-1,0)+MAX(1,COUNTIF(QCI!$A$13:$A$24,OFFSET(ORÇAMENTO!E222,-1,0))),OFFSET(E222,-1,0))</f>
        <v>1</v>
      </c>
      <c r="F222">
        <f t="shared" ca="1" si="60"/>
        <v>29</v>
      </c>
      <c r="G222">
        <f t="shared" ca="1" si="61"/>
        <v>0</v>
      </c>
      <c r="H222">
        <f t="shared" ca="1" si="62"/>
        <v>0</v>
      </c>
      <c r="I222">
        <f t="shared" ca="1" si="63"/>
        <v>0</v>
      </c>
      <c r="J222">
        <f t="shared" ca="1" si="73"/>
        <v>0</v>
      </c>
      <c r="K222">
        <f ca="1">IF(OR($C222="S",$C222=0),0,MATCH(OFFSET($D222,0,$C222)+IF($C222&lt;&gt;1,1,COUNTIF(QCI!$A$13:$A$24,ORÇAMENTO!E222)),OFFSET($D222,1,$C222,ROW($C$727)-ROW($C222)),0))</f>
        <v>0</v>
      </c>
      <c r="L222" s="116" t="str">
        <f t="shared" ca="1" si="64"/>
        <v/>
      </c>
      <c r="M222" s="117" t="s">
        <v>199</v>
      </c>
      <c r="N222" s="118" t="str">
        <f t="shared" ca="1" si="65"/>
        <v>Serviço</v>
      </c>
      <c r="O222" s="119" t="str">
        <f t="shared" ca="1" si="66"/>
        <v>-</v>
      </c>
      <c r="P222" s="120" t="s">
        <v>247</v>
      </c>
      <c r="Q222" s="121" t="s">
        <v>618</v>
      </c>
      <c r="R222" s="122" t="str">
        <f ca="1">IF($C222="S",REFERENCIA.Descricao,"(digite a descrição aqui)")</f>
        <v>(abra o arquivo 'Referência 06-2024.xlsm)</v>
      </c>
      <c r="S222" s="123" t="str">
        <f ca="1">REFERENCIA.Unidade</f>
        <v>-</v>
      </c>
      <c r="T222" s="124">
        <f ca="1">OFFSET(CÁLCULO!H$15,ROW($T222)-ROW(T$15),0)</f>
        <v>2827.9</v>
      </c>
      <c r="U222" s="125">
        <f t="shared" ca="1" si="72"/>
        <v>0</v>
      </c>
      <c r="V222" s="126" t="s">
        <v>156</v>
      </c>
      <c r="W222" s="124">
        <f ca="1">IF($C222="S",ROUND(IF(TIPOORCAMENTO="Proposto",ORÇAMENTO.CustoUnitario*(1+$AH222),ORÇAMENTO.PrecoUnitarioLicitado),15-13*$AF$10),0)</f>
        <v>0</v>
      </c>
      <c r="X222" s="127">
        <f ca="1">IF($C222="S",IF(Import.TipoArredondamento&lt;&gt;"TransfereGOV",VTOTAL1,SUM(OFFSET(CÁLCULO!$AI$15,ROW($X222)-ROW($X$15),1):OFFSET(CÁLCULO!$BB$15,ROW($X222)-ROW($X$15),-1))),IF($C222=0,0,ROUND(SomaAgrup,15-13*$AF$11)))</f>
        <v>0</v>
      </c>
      <c r="Y222" s="128" t="s">
        <v>245</v>
      </c>
      <c r="Z222" t="str">
        <f t="shared" ca="1" si="67"/>
        <v/>
      </c>
      <c r="AA222" s="129">
        <f ca="1">IF($C222="S",IF($Z222="CP",$X222,IF($Z222="RA",(($X222)*QCI!$AA$3),0)),SomaAgrup)</f>
        <v>0</v>
      </c>
      <c r="AB222" s="130">
        <f t="shared" ca="1" si="68"/>
        <v>0</v>
      </c>
      <c r="AC222" s="131" t="str">
        <f ca="1">IF($N222="","",IF(ORÇAMENTO.Descricao="","DESCRIÇÃO",IF(AND($C222="S",ORÇAMENTO.Unidade=""),"UNIDADE",IF($X222&lt;0,"VALOR NEGATIVO",IF(OR(AND(TIPOORCAMENTO="Proposto",$AG222&lt;&gt;"",$AG222&gt;0,ORÇAMENTO.CustoUnitario&gt;$AG222),AND(TIPOORCAMENTO="LICITADO",ORÇAMENTO.PrecoUnitarioLicitado&gt;$AN222)),"ACIMA REF.","")))))</f>
        <v/>
      </c>
      <c r="AD222" t="str">
        <f ca="1">IF(C222&lt;=CRONO.NivelExibicao,MAX($AD$15:OFFSET(AD222,-1,0))+IF($C222&lt;&gt;1,1,MAX(1,COUNTIF(QCI!$A$13:$A$24,OFFSET($E222,-1,0)))),"")</f>
        <v/>
      </c>
      <c r="AE222" s="7" t="str">
        <f ca="1">IF(AND($C222="S",ORÇAMENTO.CodBarra&lt;&gt;""),IF(ORÇAMENTO.Fonte="",ORÇAMENTO.CodBarra,CONCATENATE(ORÇAMENTO.Fonte," ",ORÇAMENTO.CodBarra)))</f>
        <v>SINAPI 88497</v>
      </c>
      <c r="AF222" s="13" t="str">
        <f ca="1">IF(ISERROR(INDIRECT(ORÇAMENTO.BancoRef)),"(abra o arquivo 'Referência "&amp;Excel_BuiltIn_Database&amp;".xlsm)",IF(OR($C222&lt;&gt;"S",ORÇAMENTO.CodBarra=""),"(Sem Código)",IF(ISERROR(MATCH($AE222,INDIRECT(ORÇAMENTO.BancoRef),0)),"(Código não identificado nas referências)",MATCH($AE222,INDIRECT(ORÇAMENTO.BancoRef),0))))</f>
        <v>(abra o arquivo 'Referência 06-2024.xlsm)</v>
      </c>
      <c r="AG222" s="498">
        <f ca="1">ROUND(IF(DESONERACAO="sim",REFERENCIA.Desonerado,REFERENCIA.NaoDesonerado),2)</f>
        <v>0</v>
      </c>
      <c r="AH222" s="499">
        <f t="shared" ca="1" si="69"/>
        <v>0.2432</v>
      </c>
      <c r="AJ222" s="501"/>
      <c r="AL222" s="527"/>
      <c r="AM222" s="381">
        <f t="shared" ca="1" si="70"/>
        <v>0</v>
      </c>
      <c r="AN222" s="566">
        <f t="shared" ca="1" si="71"/>
        <v>0</v>
      </c>
    </row>
    <row r="223" spans="1:40" ht="25.5" x14ac:dyDescent="0.2">
      <c r="A223" t="str">
        <f t="shared" si="56"/>
        <v>S</v>
      </c>
      <c r="B223">
        <f t="shared" ca="1" si="57"/>
        <v>2</v>
      </c>
      <c r="C223" t="str">
        <f t="shared" ca="1" si="58"/>
        <v>S</v>
      </c>
      <c r="D223">
        <f t="shared" ca="1" si="59"/>
        <v>0</v>
      </c>
      <c r="E223">
        <f ca="1">IF($C223=1,OFFSET(E223,-1,0)+MAX(1,COUNTIF(QCI!$A$13:$A$24,OFFSET(ORÇAMENTO!E223,-1,0))),OFFSET(E223,-1,0))</f>
        <v>1</v>
      </c>
      <c r="F223">
        <f t="shared" ca="1" si="60"/>
        <v>29</v>
      </c>
      <c r="G223">
        <f t="shared" ca="1" si="61"/>
        <v>0</v>
      </c>
      <c r="H223">
        <f t="shared" ca="1" si="62"/>
        <v>0</v>
      </c>
      <c r="I223">
        <f t="shared" ca="1" si="63"/>
        <v>0</v>
      </c>
      <c r="J223">
        <f t="shared" ca="1" si="73"/>
        <v>0</v>
      </c>
      <c r="K223">
        <f ca="1">IF(OR($C223="S",$C223=0),0,MATCH(OFFSET($D223,0,$C223)+IF($C223&lt;&gt;1,1,COUNTIF(QCI!$A$13:$A$24,ORÇAMENTO!E223)),OFFSET($D223,1,$C223,ROW($C$727)-ROW($C223)),0))</f>
        <v>0</v>
      </c>
      <c r="L223" s="116" t="str">
        <f t="shared" ca="1" si="64"/>
        <v/>
      </c>
      <c r="M223" s="117" t="s">
        <v>199</v>
      </c>
      <c r="N223" s="118" t="str">
        <f t="shared" ca="1" si="65"/>
        <v>Serviço</v>
      </c>
      <c r="O223" s="119" t="str">
        <f t="shared" ca="1" si="66"/>
        <v>-</v>
      </c>
      <c r="P223" s="120" t="s">
        <v>458</v>
      </c>
      <c r="Q223" s="121" t="s">
        <v>619</v>
      </c>
      <c r="R223" s="122" t="str">
        <f ca="1">IF($C223="S",REFERENCIA.Descricao,"(digite a descrição aqui)")</f>
        <v>(abra o arquivo 'Referência 06-2024.xlsm)</v>
      </c>
      <c r="S223" s="123" t="str">
        <f ca="1">REFERENCIA.Unidade</f>
        <v>-</v>
      </c>
      <c r="T223" s="124">
        <f ca="1">OFFSET(CÁLCULO!H$15,ROW($T223)-ROW(T$15),0)</f>
        <v>2143.17</v>
      </c>
      <c r="U223" s="125">
        <f t="shared" ca="1" si="72"/>
        <v>0</v>
      </c>
      <c r="V223" s="126" t="s">
        <v>156</v>
      </c>
      <c r="W223" s="124">
        <f ca="1">IF($C223="S",ROUND(IF(TIPOORCAMENTO="Proposto",ORÇAMENTO.CustoUnitario*(1+$AH223),ORÇAMENTO.PrecoUnitarioLicitado),15-13*$AF$10),0)</f>
        <v>0</v>
      </c>
      <c r="X223" s="127">
        <f ca="1">IF($C223="S",IF(Import.TipoArredondamento&lt;&gt;"TransfereGOV",VTOTAL1,SUM(OFFSET(CÁLCULO!$AI$15,ROW($X223)-ROW($X$15),1):OFFSET(CÁLCULO!$BB$15,ROW($X223)-ROW($X$15),-1))),IF($C223=0,0,ROUND(SomaAgrup,15-13*$AF$11)))</f>
        <v>0</v>
      </c>
      <c r="Y223" s="128" t="s">
        <v>245</v>
      </c>
      <c r="Z223" t="str">
        <f t="shared" ca="1" si="67"/>
        <v/>
      </c>
      <c r="AA223" s="129">
        <f ca="1">IF($C223="S",IF($Z223="CP",$X223,IF($Z223="RA",(($X223)*QCI!$AA$3),0)),SomaAgrup)</f>
        <v>0</v>
      </c>
      <c r="AB223" s="130">
        <f t="shared" ca="1" si="68"/>
        <v>0</v>
      </c>
      <c r="AC223" s="131" t="str">
        <f ca="1">IF($N223="","",IF(ORÇAMENTO.Descricao="","DESCRIÇÃO",IF(AND($C223="S",ORÇAMENTO.Unidade=""),"UNIDADE",IF($X223&lt;0,"VALOR NEGATIVO",IF(OR(AND(TIPOORCAMENTO="Proposto",$AG223&lt;&gt;"",$AG223&gt;0,ORÇAMENTO.CustoUnitario&gt;$AG223),AND(TIPOORCAMENTO="LICITADO",ORÇAMENTO.PrecoUnitarioLicitado&gt;$AN223)),"ACIMA REF.","")))))</f>
        <v/>
      </c>
      <c r="AD223" t="str">
        <f ca="1">IF(C223&lt;=CRONO.NivelExibicao,MAX($AD$15:OFFSET(AD223,-1,0))+IF($C223&lt;&gt;1,1,MAX(1,COUNTIF(QCI!$A$13:$A$24,OFFSET($E223,-1,0)))),"")</f>
        <v/>
      </c>
      <c r="AE223" s="7" t="str">
        <f ca="1">IF(AND($C223="S",ORÇAMENTO.CodBarra&lt;&gt;""),IF(ORÇAMENTO.Fonte="",ORÇAMENTO.CodBarra,CONCATENATE(ORÇAMENTO.Fonte," ",ORÇAMENTO.CodBarra)))</f>
        <v>COMPOSIÇÃO FNDE 402</v>
      </c>
      <c r="AF223" s="13" t="str">
        <f ca="1">IF(ISERROR(INDIRECT(ORÇAMENTO.BancoRef)),"(abra o arquivo 'Referência "&amp;Excel_BuiltIn_Database&amp;".xlsm)",IF(OR($C223&lt;&gt;"S",ORÇAMENTO.CodBarra=""),"(Sem Código)",IF(ISERROR(MATCH($AE223,INDIRECT(ORÇAMENTO.BancoRef),0)),"(Código não identificado nas referências)",MATCH($AE223,INDIRECT(ORÇAMENTO.BancoRef),0))))</f>
        <v>(abra o arquivo 'Referência 06-2024.xlsm)</v>
      </c>
      <c r="AG223" s="498">
        <f ca="1">ROUND(IF(DESONERACAO="sim",REFERENCIA.Desonerado,REFERENCIA.NaoDesonerado),2)</f>
        <v>0</v>
      </c>
      <c r="AH223" s="499">
        <f t="shared" ca="1" si="69"/>
        <v>0.2432</v>
      </c>
      <c r="AJ223" s="501"/>
      <c r="AL223" s="527"/>
      <c r="AM223" s="381">
        <f t="shared" ca="1" si="70"/>
        <v>0</v>
      </c>
      <c r="AN223" s="566">
        <f t="shared" ca="1" si="71"/>
        <v>0</v>
      </c>
    </row>
    <row r="224" spans="1:40" ht="25.5" x14ac:dyDescent="0.2">
      <c r="A224" t="str">
        <f t="shared" si="56"/>
        <v>S</v>
      </c>
      <c r="B224">
        <f t="shared" ca="1" si="57"/>
        <v>2</v>
      </c>
      <c r="C224" t="str">
        <f t="shared" ca="1" si="58"/>
        <v>S</v>
      </c>
      <c r="D224">
        <f t="shared" ca="1" si="59"/>
        <v>0</v>
      </c>
      <c r="E224">
        <f ca="1">IF($C224=1,OFFSET(E224,-1,0)+MAX(1,COUNTIF(QCI!$A$13:$A$24,OFFSET(ORÇAMENTO!E224,-1,0))),OFFSET(E224,-1,0))</f>
        <v>1</v>
      </c>
      <c r="F224">
        <f t="shared" ca="1" si="60"/>
        <v>29</v>
      </c>
      <c r="G224">
        <f t="shared" ca="1" si="61"/>
        <v>0</v>
      </c>
      <c r="H224">
        <f t="shared" ca="1" si="62"/>
        <v>0</v>
      </c>
      <c r="I224">
        <f t="shared" ca="1" si="63"/>
        <v>0</v>
      </c>
      <c r="J224">
        <f t="shared" ca="1" si="73"/>
        <v>0</v>
      </c>
      <c r="K224">
        <f ca="1">IF(OR($C224="S",$C224=0),0,MATCH(OFFSET($D224,0,$C224)+IF($C224&lt;&gt;1,1,COUNTIF(QCI!$A$13:$A$24,ORÇAMENTO!E224)),OFFSET($D224,1,$C224,ROW($C$727)-ROW($C224)),0))</f>
        <v>0</v>
      </c>
      <c r="L224" s="116" t="str">
        <f t="shared" ca="1" si="64"/>
        <v/>
      </c>
      <c r="M224" s="117" t="s">
        <v>199</v>
      </c>
      <c r="N224" s="118" t="str">
        <f t="shared" ca="1" si="65"/>
        <v>Serviço</v>
      </c>
      <c r="O224" s="119" t="str">
        <f t="shared" ca="1" si="66"/>
        <v>-</v>
      </c>
      <c r="P224" s="120" t="s">
        <v>458</v>
      </c>
      <c r="Q224" s="121" t="s">
        <v>620</v>
      </c>
      <c r="R224" s="122" t="str">
        <f ca="1">IF($C224="S",REFERENCIA.Descricao,"(digite a descrição aqui)")</f>
        <v>(abra o arquivo 'Referência 06-2024.xlsm)</v>
      </c>
      <c r="S224" s="123" t="str">
        <f ca="1">REFERENCIA.Unidade</f>
        <v>-</v>
      </c>
      <c r="T224" s="124">
        <f ca="1">OFFSET(CÁLCULO!H$15,ROW($T224)-ROW(T$15),0)</f>
        <v>14.86</v>
      </c>
      <c r="U224" s="125">
        <f t="shared" ca="1" si="72"/>
        <v>0</v>
      </c>
      <c r="V224" s="126" t="s">
        <v>156</v>
      </c>
      <c r="W224" s="124">
        <f ca="1">IF($C224="S",ROUND(IF(TIPOORCAMENTO="Proposto",ORÇAMENTO.CustoUnitario*(1+$AH224),ORÇAMENTO.PrecoUnitarioLicitado),15-13*$AF$10),0)</f>
        <v>0</v>
      </c>
      <c r="X224" s="127">
        <f ca="1">IF($C224="S",IF(Import.TipoArredondamento&lt;&gt;"TransfereGOV",VTOTAL1,SUM(OFFSET(CÁLCULO!$AI$15,ROW($X224)-ROW($X$15),1):OFFSET(CÁLCULO!$BB$15,ROW($X224)-ROW($X$15),-1))),IF($C224=0,0,ROUND(SomaAgrup,15-13*$AF$11)))</f>
        <v>0</v>
      </c>
      <c r="Y224" s="128" t="s">
        <v>245</v>
      </c>
      <c r="Z224" t="str">
        <f t="shared" ca="1" si="67"/>
        <v/>
      </c>
      <c r="AA224" s="129">
        <f ca="1">IF($C224="S",IF($Z224="CP",$X224,IF($Z224="RA",(($X224)*QCI!$AA$3),0)),SomaAgrup)</f>
        <v>0</v>
      </c>
      <c r="AB224" s="130">
        <f t="shared" ca="1" si="68"/>
        <v>0</v>
      </c>
      <c r="AC224" s="131" t="str">
        <f ca="1">IF($N224="","",IF(ORÇAMENTO.Descricao="","DESCRIÇÃO",IF(AND($C224="S",ORÇAMENTO.Unidade=""),"UNIDADE",IF($X224&lt;0,"VALOR NEGATIVO",IF(OR(AND(TIPOORCAMENTO="Proposto",$AG224&lt;&gt;"",$AG224&gt;0,ORÇAMENTO.CustoUnitario&gt;$AG224),AND(TIPOORCAMENTO="LICITADO",ORÇAMENTO.PrecoUnitarioLicitado&gt;$AN224)),"ACIMA REF.","")))))</f>
        <v/>
      </c>
      <c r="AD224" t="str">
        <f ca="1">IF(C224&lt;=CRONO.NivelExibicao,MAX($AD$15:OFFSET(AD224,-1,0))+IF($C224&lt;&gt;1,1,MAX(1,COUNTIF(QCI!$A$13:$A$24,OFFSET($E224,-1,0)))),"")</f>
        <v/>
      </c>
      <c r="AE224" s="7" t="str">
        <f ca="1">IF(AND($C224="S",ORÇAMENTO.CodBarra&lt;&gt;""),IF(ORÇAMENTO.Fonte="",ORÇAMENTO.CodBarra,CONCATENATE(ORÇAMENTO.Fonte," ",ORÇAMENTO.CodBarra)))</f>
        <v>COMPOSIÇÃO FNDE 403</v>
      </c>
      <c r="AF224" s="13" t="str">
        <f ca="1">IF(ISERROR(INDIRECT(ORÇAMENTO.BancoRef)),"(abra o arquivo 'Referência "&amp;Excel_BuiltIn_Database&amp;".xlsm)",IF(OR($C224&lt;&gt;"S",ORÇAMENTO.CodBarra=""),"(Sem Código)",IF(ISERROR(MATCH($AE224,INDIRECT(ORÇAMENTO.BancoRef),0)),"(Código não identificado nas referências)",MATCH($AE224,INDIRECT(ORÇAMENTO.BancoRef),0))))</f>
        <v>(abra o arquivo 'Referência 06-2024.xlsm)</v>
      </c>
      <c r="AG224" s="498">
        <f ca="1">ROUND(IF(DESONERACAO="sim",REFERENCIA.Desonerado,REFERENCIA.NaoDesonerado),2)</f>
        <v>0</v>
      </c>
      <c r="AH224" s="499">
        <f t="shared" ca="1" si="69"/>
        <v>0.2432</v>
      </c>
      <c r="AJ224" s="501"/>
      <c r="AL224" s="527"/>
      <c r="AM224" s="381">
        <f t="shared" ca="1" si="70"/>
        <v>0</v>
      </c>
      <c r="AN224" s="566">
        <f t="shared" ca="1" si="71"/>
        <v>0</v>
      </c>
    </row>
    <row r="225" spans="1:40" ht="25.5" x14ac:dyDescent="0.2">
      <c r="A225" t="str">
        <f t="shared" si="56"/>
        <v>S</v>
      </c>
      <c r="B225">
        <f t="shared" ca="1" si="57"/>
        <v>2</v>
      </c>
      <c r="C225" t="str">
        <f t="shared" ca="1" si="58"/>
        <v>S</v>
      </c>
      <c r="D225">
        <f t="shared" ca="1" si="59"/>
        <v>0</v>
      </c>
      <c r="E225">
        <f ca="1">IF($C225=1,OFFSET(E225,-1,0)+MAX(1,COUNTIF(QCI!$A$13:$A$24,OFFSET(ORÇAMENTO!E225,-1,0))),OFFSET(E225,-1,0))</f>
        <v>1</v>
      </c>
      <c r="F225">
        <f t="shared" ca="1" si="60"/>
        <v>29</v>
      </c>
      <c r="G225">
        <f t="shared" ca="1" si="61"/>
        <v>0</v>
      </c>
      <c r="H225">
        <f t="shared" ca="1" si="62"/>
        <v>0</v>
      </c>
      <c r="I225">
        <f t="shared" ca="1" si="63"/>
        <v>0</v>
      </c>
      <c r="J225">
        <f t="shared" ca="1" si="73"/>
        <v>0</v>
      </c>
      <c r="K225">
        <f ca="1">IF(OR($C225="S",$C225=0),0,MATCH(OFFSET($D225,0,$C225)+IF($C225&lt;&gt;1,1,COUNTIF(QCI!$A$13:$A$24,ORÇAMENTO!E225)),OFFSET($D225,1,$C225,ROW($C$727)-ROW($C225)),0))</f>
        <v>0</v>
      </c>
      <c r="L225" s="116" t="str">
        <f t="shared" ca="1" si="64"/>
        <v/>
      </c>
      <c r="M225" s="117" t="s">
        <v>199</v>
      </c>
      <c r="N225" s="118" t="str">
        <f t="shared" ca="1" si="65"/>
        <v>Serviço</v>
      </c>
      <c r="O225" s="119" t="str">
        <f t="shared" ca="1" si="66"/>
        <v>-</v>
      </c>
      <c r="P225" s="120" t="s">
        <v>458</v>
      </c>
      <c r="Q225" s="121" t="s">
        <v>621</v>
      </c>
      <c r="R225" s="122" t="str">
        <f ca="1">IF($C225="S",REFERENCIA.Descricao,"(digite a descrição aqui)")</f>
        <v>(abra o arquivo 'Referência 06-2024.xlsm)</v>
      </c>
      <c r="S225" s="123" t="str">
        <f ca="1">REFERENCIA.Unidade</f>
        <v>-</v>
      </c>
      <c r="T225" s="124">
        <f ca="1">OFFSET(CÁLCULO!H$15,ROW($T225)-ROW(T$15),0)</f>
        <v>534.91</v>
      </c>
      <c r="U225" s="125">
        <f t="shared" ca="1" si="72"/>
        <v>0</v>
      </c>
      <c r="V225" s="126" t="s">
        <v>156</v>
      </c>
      <c r="W225" s="124">
        <f ca="1">IF($C225="S",ROUND(IF(TIPOORCAMENTO="Proposto",ORÇAMENTO.CustoUnitario*(1+$AH225),ORÇAMENTO.PrecoUnitarioLicitado),15-13*$AF$10),0)</f>
        <v>0</v>
      </c>
      <c r="X225" s="127">
        <f ca="1">IF($C225="S",IF(Import.TipoArredondamento&lt;&gt;"TransfereGOV",VTOTAL1,SUM(OFFSET(CÁLCULO!$AI$15,ROW($X225)-ROW($X$15),1):OFFSET(CÁLCULO!$BB$15,ROW($X225)-ROW($X$15),-1))),IF($C225=0,0,ROUND(SomaAgrup,15-13*$AF$11)))</f>
        <v>0</v>
      </c>
      <c r="Y225" s="128" t="s">
        <v>245</v>
      </c>
      <c r="Z225" t="str">
        <f t="shared" ca="1" si="67"/>
        <v/>
      </c>
      <c r="AA225" s="129">
        <f ca="1">IF($C225="S",IF($Z225="CP",$X225,IF($Z225="RA",(($X225)*QCI!$AA$3),0)),SomaAgrup)</f>
        <v>0</v>
      </c>
      <c r="AB225" s="130">
        <f t="shared" ca="1" si="68"/>
        <v>0</v>
      </c>
      <c r="AC225" s="131" t="str">
        <f ca="1">IF($N225="","",IF(ORÇAMENTO.Descricao="","DESCRIÇÃO",IF(AND($C225="S",ORÇAMENTO.Unidade=""),"UNIDADE",IF($X225&lt;0,"VALOR NEGATIVO",IF(OR(AND(TIPOORCAMENTO="Proposto",$AG225&lt;&gt;"",$AG225&gt;0,ORÇAMENTO.CustoUnitario&gt;$AG225),AND(TIPOORCAMENTO="LICITADO",ORÇAMENTO.PrecoUnitarioLicitado&gt;$AN225)),"ACIMA REF.","")))))</f>
        <v/>
      </c>
      <c r="AD225" t="str">
        <f ca="1">IF(C225&lt;=CRONO.NivelExibicao,MAX($AD$15:OFFSET(AD225,-1,0))+IF($C225&lt;&gt;1,1,MAX(1,COUNTIF(QCI!$A$13:$A$24,OFFSET($E225,-1,0)))),"")</f>
        <v/>
      </c>
      <c r="AE225" s="7" t="str">
        <f ca="1">IF(AND($C225="S",ORÇAMENTO.CodBarra&lt;&gt;""),IF(ORÇAMENTO.Fonte="",ORÇAMENTO.CodBarra,CONCATENATE(ORÇAMENTO.Fonte," ",ORÇAMENTO.CodBarra)))</f>
        <v>COMPOSIÇÃO FNDE 404</v>
      </c>
      <c r="AF225" s="13" t="str">
        <f ca="1">IF(ISERROR(INDIRECT(ORÇAMENTO.BancoRef)),"(abra o arquivo 'Referência "&amp;Excel_BuiltIn_Database&amp;".xlsm)",IF(OR($C225&lt;&gt;"S",ORÇAMENTO.CodBarra=""),"(Sem Código)",IF(ISERROR(MATCH($AE225,INDIRECT(ORÇAMENTO.BancoRef),0)),"(Código não identificado nas referências)",MATCH($AE225,INDIRECT(ORÇAMENTO.BancoRef),0))))</f>
        <v>(abra o arquivo 'Referência 06-2024.xlsm)</v>
      </c>
      <c r="AG225" s="498">
        <f ca="1">ROUND(IF(DESONERACAO="sim",REFERENCIA.Desonerado,REFERENCIA.NaoDesonerado),2)</f>
        <v>0</v>
      </c>
      <c r="AH225" s="499">
        <f t="shared" ca="1" si="69"/>
        <v>0.2432</v>
      </c>
      <c r="AJ225" s="501"/>
      <c r="AL225" s="527"/>
      <c r="AM225" s="381">
        <f t="shared" ca="1" si="70"/>
        <v>0</v>
      </c>
      <c r="AN225" s="566">
        <f t="shared" ca="1" si="71"/>
        <v>0</v>
      </c>
    </row>
    <row r="226" spans="1:40" ht="25.5" x14ac:dyDescent="0.2">
      <c r="A226" t="str">
        <f t="shared" si="56"/>
        <v>S</v>
      </c>
      <c r="B226">
        <f t="shared" ca="1" si="57"/>
        <v>2</v>
      </c>
      <c r="C226" t="str">
        <f t="shared" ca="1" si="58"/>
        <v>S</v>
      </c>
      <c r="D226">
        <f t="shared" ca="1" si="59"/>
        <v>0</v>
      </c>
      <c r="E226">
        <f ca="1">IF($C226=1,OFFSET(E226,-1,0)+MAX(1,COUNTIF(QCI!$A$13:$A$24,OFFSET(ORÇAMENTO!E226,-1,0))),OFFSET(E226,-1,0))</f>
        <v>1</v>
      </c>
      <c r="F226">
        <f t="shared" ca="1" si="60"/>
        <v>29</v>
      </c>
      <c r="G226">
        <f t="shared" ca="1" si="61"/>
        <v>0</v>
      </c>
      <c r="H226">
        <f t="shared" ca="1" si="62"/>
        <v>0</v>
      </c>
      <c r="I226">
        <f t="shared" ca="1" si="63"/>
        <v>0</v>
      </c>
      <c r="J226">
        <f t="shared" ca="1" si="73"/>
        <v>0</v>
      </c>
      <c r="K226">
        <f ca="1">IF(OR($C226="S",$C226=0),0,MATCH(OFFSET($D226,0,$C226)+IF($C226&lt;&gt;1,1,COUNTIF(QCI!$A$13:$A$24,ORÇAMENTO!E226)),OFFSET($D226,1,$C226,ROW($C$727)-ROW($C226)),0))</f>
        <v>0</v>
      </c>
      <c r="L226" s="116" t="str">
        <f t="shared" ca="1" si="64"/>
        <v/>
      </c>
      <c r="M226" s="117" t="s">
        <v>199</v>
      </c>
      <c r="N226" s="118" t="str">
        <f t="shared" ca="1" si="65"/>
        <v>Serviço</v>
      </c>
      <c r="O226" s="119" t="str">
        <f t="shared" ca="1" si="66"/>
        <v>-</v>
      </c>
      <c r="P226" s="120" t="s">
        <v>458</v>
      </c>
      <c r="Q226" s="121" t="s">
        <v>622</v>
      </c>
      <c r="R226" s="122" t="str">
        <f ca="1">IF($C226="S",REFERENCIA.Descricao,"(digite a descrição aqui)")</f>
        <v>(abra o arquivo 'Referência 06-2024.xlsm)</v>
      </c>
      <c r="S226" s="123" t="str">
        <f ca="1">REFERENCIA.Unidade</f>
        <v>-</v>
      </c>
      <c r="T226" s="124">
        <f ca="1">OFFSET(CÁLCULO!H$15,ROW($T226)-ROW(T$15),0)</f>
        <v>152.01</v>
      </c>
      <c r="U226" s="125">
        <f t="shared" ca="1" si="72"/>
        <v>0</v>
      </c>
      <c r="V226" s="126" t="s">
        <v>156</v>
      </c>
      <c r="W226" s="124">
        <f ca="1">IF($C226="S",ROUND(IF(TIPOORCAMENTO="Proposto",ORÇAMENTO.CustoUnitario*(1+$AH226),ORÇAMENTO.PrecoUnitarioLicitado),15-13*$AF$10),0)</f>
        <v>0</v>
      </c>
      <c r="X226" s="127">
        <f ca="1">IF($C226="S",IF(Import.TipoArredondamento&lt;&gt;"TransfereGOV",VTOTAL1,SUM(OFFSET(CÁLCULO!$AI$15,ROW($X226)-ROW($X$15),1):OFFSET(CÁLCULO!$BB$15,ROW($X226)-ROW($X$15),-1))),IF($C226=0,0,ROUND(SomaAgrup,15-13*$AF$11)))</f>
        <v>0</v>
      </c>
      <c r="Y226" s="128" t="s">
        <v>245</v>
      </c>
      <c r="Z226" t="str">
        <f t="shared" ca="1" si="67"/>
        <v/>
      </c>
      <c r="AA226" s="129">
        <f ca="1">IF($C226="S",IF($Z226="CP",$X226,IF($Z226="RA",(($X226)*QCI!$AA$3),0)),SomaAgrup)</f>
        <v>0</v>
      </c>
      <c r="AB226" s="130">
        <f t="shared" ca="1" si="68"/>
        <v>0</v>
      </c>
      <c r="AC226" s="131" t="str">
        <f ca="1">IF($N226="","",IF(ORÇAMENTO.Descricao="","DESCRIÇÃO",IF(AND($C226="S",ORÇAMENTO.Unidade=""),"UNIDADE",IF($X226&lt;0,"VALOR NEGATIVO",IF(OR(AND(TIPOORCAMENTO="Proposto",$AG226&lt;&gt;"",$AG226&gt;0,ORÇAMENTO.CustoUnitario&gt;$AG226),AND(TIPOORCAMENTO="LICITADO",ORÇAMENTO.PrecoUnitarioLicitado&gt;$AN226)),"ACIMA REF.","")))))</f>
        <v/>
      </c>
      <c r="AD226" t="str">
        <f ca="1">IF(C226&lt;=CRONO.NivelExibicao,MAX($AD$15:OFFSET(AD226,-1,0))+IF($C226&lt;&gt;1,1,MAX(1,COUNTIF(QCI!$A$13:$A$24,OFFSET($E226,-1,0)))),"")</f>
        <v/>
      </c>
      <c r="AE226" s="7" t="str">
        <f ca="1">IF(AND($C226="S",ORÇAMENTO.CodBarra&lt;&gt;""),IF(ORÇAMENTO.Fonte="",ORÇAMENTO.CodBarra,CONCATENATE(ORÇAMENTO.Fonte," ",ORÇAMENTO.CodBarra)))</f>
        <v>COMPOSIÇÃO FNDE 405</v>
      </c>
      <c r="AF226" s="13" t="str">
        <f ca="1">IF(ISERROR(INDIRECT(ORÇAMENTO.BancoRef)),"(abra o arquivo 'Referência "&amp;Excel_BuiltIn_Database&amp;".xlsm)",IF(OR($C226&lt;&gt;"S",ORÇAMENTO.CodBarra=""),"(Sem Código)",IF(ISERROR(MATCH($AE226,INDIRECT(ORÇAMENTO.BancoRef),0)),"(Código não identificado nas referências)",MATCH($AE226,INDIRECT(ORÇAMENTO.BancoRef),0))))</f>
        <v>(abra o arquivo 'Referência 06-2024.xlsm)</v>
      </c>
      <c r="AG226" s="498">
        <f ca="1">ROUND(IF(DESONERACAO="sim",REFERENCIA.Desonerado,REFERENCIA.NaoDesonerado),2)</f>
        <v>0</v>
      </c>
      <c r="AH226" s="499">
        <f t="shared" ca="1" si="69"/>
        <v>0.2432</v>
      </c>
      <c r="AJ226" s="501"/>
      <c r="AL226" s="527"/>
      <c r="AM226" s="381">
        <f t="shared" ca="1" si="70"/>
        <v>0</v>
      </c>
      <c r="AN226" s="566">
        <f t="shared" ca="1" si="71"/>
        <v>0</v>
      </c>
    </row>
    <row r="227" spans="1:40" ht="25.5" x14ac:dyDescent="0.2">
      <c r="A227" t="str">
        <f t="shared" si="56"/>
        <v>S</v>
      </c>
      <c r="B227">
        <f t="shared" ca="1" si="57"/>
        <v>2</v>
      </c>
      <c r="C227" t="str">
        <f t="shared" ca="1" si="58"/>
        <v>S</v>
      </c>
      <c r="D227">
        <f t="shared" ca="1" si="59"/>
        <v>0</v>
      </c>
      <c r="E227">
        <f ca="1">IF($C227=1,OFFSET(E227,-1,0)+MAX(1,COUNTIF(QCI!$A$13:$A$24,OFFSET(ORÇAMENTO!E227,-1,0))),OFFSET(E227,-1,0))</f>
        <v>1</v>
      </c>
      <c r="F227">
        <f t="shared" ca="1" si="60"/>
        <v>29</v>
      </c>
      <c r="G227">
        <f t="shared" ca="1" si="61"/>
        <v>0</v>
      </c>
      <c r="H227">
        <f t="shared" ca="1" si="62"/>
        <v>0</v>
      </c>
      <c r="I227">
        <f t="shared" ca="1" si="63"/>
        <v>0</v>
      </c>
      <c r="J227">
        <f t="shared" ca="1" si="73"/>
        <v>0</v>
      </c>
      <c r="K227">
        <f ca="1">IF(OR($C227="S",$C227=0),0,MATCH(OFFSET($D227,0,$C227)+IF($C227&lt;&gt;1,1,COUNTIF(QCI!$A$13:$A$24,ORÇAMENTO!E227)),OFFSET($D227,1,$C227,ROW($C$727)-ROW($C227)),0))</f>
        <v>0</v>
      </c>
      <c r="L227" s="116" t="str">
        <f t="shared" ca="1" si="64"/>
        <v/>
      </c>
      <c r="M227" s="117" t="s">
        <v>199</v>
      </c>
      <c r="N227" s="118" t="str">
        <f t="shared" ca="1" si="65"/>
        <v>Serviço</v>
      </c>
      <c r="O227" s="119" t="str">
        <f t="shared" ca="1" si="66"/>
        <v>-</v>
      </c>
      <c r="P227" s="120" t="s">
        <v>458</v>
      </c>
      <c r="Q227" s="121" t="s">
        <v>623</v>
      </c>
      <c r="R227" s="122" t="str">
        <f ca="1">IF($C227="S",REFERENCIA.Descricao,"(digite a descrição aqui)")</f>
        <v>(abra o arquivo 'Referência 06-2024.xlsm)</v>
      </c>
      <c r="S227" s="123" t="str">
        <f ca="1">REFERENCIA.Unidade</f>
        <v>-</v>
      </c>
      <c r="T227" s="124">
        <f ca="1">OFFSET(CÁLCULO!H$15,ROW($T227)-ROW(T$15),0)</f>
        <v>90.54</v>
      </c>
      <c r="U227" s="125">
        <f t="shared" ca="1" si="72"/>
        <v>0</v>
      </c>
      <c r="V227" s="126" t="s">
        <v>156</v>
      </c>
      <c r="W227" s="124">
        <f ca="1">IF($C227="S",ROUND(IF(TIPOORCAMENTO="Proposto",ORÇAMENTO.CustoUnitario*(1+$AH227),ORÇAMENTO.PrecoUnitarioLicitado),15-13*$AF$10),0)</f>
        <v>0</v>
      </c>
      <c r="X227" s="127">
        <f ca="1">IF($C227="S",IF(Import.TipoArredondamento&lt;&gt;"TransfereGOV",VTOTAL1,SUM(OFFSET(CÁLCULO!$AI$15,ROW($X227)-ROW($X$15),1):OFFSET(CÁLCULO!$BB$15,ROW($X227)-ROW($X$15),-1))),IF($C227=0,0,ROUND(SomaAgrup,15-13*$AF$11)))</f>
        <v>0</v>
      </c>
      <c r="Y227" s="128" t="s">
        <v>245</v>
      </c>
      <c r="Z227" t="str">
        <f t="shared" ca="1" si="67"/>
        <v/>
      </c>
      <c r="AA227" s="129">
        <f ca="1">IF($C227="S",IF($Z227="CP",$X227,IF($Z227="RA",(($X227)*QCI!$AA$3),0)),SomaAgrup)</f>
        <v>0</v>
      </c>
      <c r="AB227" s="130">
        <f t="shared" ca="1" si="68"/>
        <v>0</v>
      </c>
      <c r="AC227" s="131" t="str">
        <f ca="1">IF($N227="","",IF(ORÇAMENTO.Descricao="","DESCRIÇÃO",IF(AND($C227="S",ORÇAMENTO.Unidade=""),"UNIDADE",IF($X227&lt;0,"VALOR NEGATIVO",IF(OR(AND(TIPOORCAMENTO="Proposto",$AG227&lt;&gt;"",$AG227&gt;0,ORÇAMENTO.CustoUnitario&gt;$AG227),AND(TIPOORCAMENTO="LICITADO",ORÇAMENTO.PrecoUnitarioLicitado&gt;$AN227)),"ACIMA REF.","")))))</f>
        <v/>
      </c>
      <c r="AD227" t="str">
        <f ca="1">IF(C227&lt;=CRONO.NivelExibicao,MAX($AD$15:OFFSET(AD227,-1,0))+IF($C227&lt;&gt;1,1,MAX(1,COUNTIF(QCI!$A$13:$A$24,OFFSET($E227,-1,0)))),"")</f>
        <v/>
      </c>
      <c r="AE227" s="7" t="str">
        <f ca="1">IF(AND($C227="S",ORÇAMENTO.CodBarra&lt;&gt;""),IF(ORÇAMENTO.Fonte="",ORÇAMENTO.CodBarra,CONCATENATE(ORÇAMENTO.Fonte," ",ORÇAMENTO.CodBarra)))</f>
        <v>COMPOSIÇÃO FNDE 35</v>
      </c>
      <c r="AF227" s="13" t="str">
        <f ca="1">IF(ISERROR(INDIRECT(ORÇAMENTO.BancoRef)),"(abra o arquivo 'Referência "&amp;Excel_BuiltIn_Database&amp;".xlsm)",IF(OR($C227&lt;&gt;"S",ORÇAMENTO.CodBarra=""),"(Sem Código)",IF(ISERROR(MATCH($AE227,INDIRECT(ORÇAMENTO.BancoRef),0)),"(Código não identificado nas referências)",MATCH($AE227,INDIRECT(ORÇAMENTO.BancoRef),0))))</f>
        <v>(abra o arquivo 'Referência 06-2024.xlsm)</v>
      </c>
      <c r="AG227" s="498">
        <f ca="1">ROUND(IF(DESONERACAO="sim",REFERENCIA.Desonerado,REFERENCIA.NaoDesonerado),2)</f>
        <v>0</v>
      </c>
      <c r="AH227" s="499">
        <f t="shared" ca="1" si="69"/>
        <v>0.2432</v>
      </c>
      <c r="AJ227" s="501"/>
      <c r="AL227" s="527"/>
      <c r="AM227" s="381">
        <f t="shared" ca="1" si="70"/>
        <v>0</v>
      </c>
      <c r="AN227" s="566">
        <f t="shared" ca="1" si="71"/>
        <v>0</v>
      </c>
    </row>
    <row r="228" spans="1:40" ht="25.5" x14ac:dyDescent="0.2">
      <c r="A228" t="str">
        <f t="shared" si="56"/>
        <v>S</v>
      </c>
      <c r="B228">
        <f t="shared" ca="1" si="57"/>
        <v>2</v>
      </c>
      <c r="C228" t="str">
        <f t="shared" ca="1" si="58"/>
        <v>S</v>
      </c>
      <c r="D228">
        <f t="shared" ca="1" si="59"/>
        <v>0</v>
      </c>
      <c r="E228">
        <f ca="1">IF($C228=1,OFFSET(E228,-1,0)+MAX(1,COUNTIF(QCI!$A$13:$A$24,OFFSET(ORÇAMENTO!E228,-1,0))),OFFSET(E228,-1,0))</f>
        <v>1</v>
      </c>
      <c r="F228">
        <f t="shared" ca="1" si="60"/>
        <v>29</v>
      </c>
      <c r="G228">
        <f t="shared" ca="1" si="61"/>
        <v>0</v>
      </c>
      <c r="H228">
        <f t="shared" ca="1" si="62"/>
        <v>0</v>
      </c>
      <c r="I228">
        <f t="shared" ca="1" si="63"/>
        <v>0</v>
      </c>
      <c r="J228">
        <f t="shared" ca="1" si="73"/>
        <v>0</v>
      </c>
      <c r="K228">
        <f ca="1">IF(OR($C228="S",$C228=0),0,MATCH(OFFSET($D228,0,$C228)+IF($C228&lt;&gt;1,1,COUNTIF(QCI!$A$13:$A$24,ORÇAMENTO!E228)),OFFSET($D228,1,$C228,ROW($C$727)-ROW($C228)),0))</f>
        <v>0</v>
      </c>
      <c r="L228" s="116" t="str">
        <f t="shared" ca="1" si="64"/>
        <v/>
      </c>
      <c r="M228" s="117" t="s">
        <v>199</v>
      </c>
      <c r="N228" s="118" t="str">
        <f t="shared" ca="1" si="65"/>
        <v>Serviço</v>
      </c>
      <c r="O228" s="119" t="str">
        <f t="shared" ca="1" si="66"/>
        <v>-</v>
      </c>
      <c r="P228" s="120" t="s">
        <v>458</v>
      </c>
      <c r="Q228" s="121" t="s">
        <v>624</v>
      </c>
      <c r="R228" s="122" t="str">
        <f ca="1">IF($C228="S",REFERENCIA.Descricao,"(digite a descrição aqui)")</f>
        <v>(abra o arquivo 'Referência 06-2024.xlsm)</v>
      </c>
      <c r="S228" s="123" t="str">
        <f ca="1">REFERENCIA.Unidade</f>
        <v>-</v>
      </c>
      <c r="T228" s="124">
        <f ca="1">OFFSET(CÁLCULO!H$15,ROW($T228)-ROW(T$15),0)</f>
        <v>78.13</v>
      </c>
      <c r="U228" s="125">
        <f t="shared" ca="1" si="72"/>
        <v>0</v>
      </c>
      <c r="V228" s="126" t="s">
        <v>156</v>
      </c>
      <c r="W228" s="124">
        <f ca="1">IF($C228="S",ROUND(IF(TIPOORCAMENTO="Proposto",ORÇAMENTO.CustoUnitario*(1+$AH228),ORÇAMENTO.PrecoUnitarioLicitado),15-13*$AF$10),0)</f>
        <v>0</v>
      </c>
      <c r="X228" s="127">
        <f ca="1">IF($C228="S",IF(Import.TipoArredondamento&lt;&gt;"TransfereGOV",VTOTAL1,SUM(OFFSET(CÁLCULO!$AI$15,ROW($X228)-ROW($X$15),1):OFFSET(CÁLCULO!$BB$15,ROW($X228)-ROW($X$15),-1))),IF($C228=0,0,ROUND(SomaAgrup,15-13*$AF$11)))</f>
        <v>0</v>
      </c>
      <c r="Y228" s="128" t="s">
        <v>245</v>
      </c>
      <c r="Z228" t="str">
        <f t="shared" ca="1" si="67"/>
        <v/>
      </c>
      <c r="AA228" s="129">
        <f ca="1">IF($C228="S",IF($Z228="CP",$X228,IF($Z228="RA",(($X228)*QCI!$AA$3),0)),SomaAgrup)</f>
        <v>0</v>
      </c>
      <c r="AB228" s="130">
        <f t="shared" ca="1" si="68"/>
        <v>0</v>
      </c>
      <c r="AC228" s="131" t="str">
        <f ca="1">IF($N228="","",IF(ORÇAMENTO.Descricao="","DESCRIÇÃO",IF(AND($C228="S",ORÇAMENTO.Unidade=""),"UNIDADE",IF($X228&lt;0,"VALOR NEGATIVO",IF(OR(AND(TIPOORCAMENTO="Proposto",$AG228&lt;&gt;"",$AG228&gt;0,ORÇAMENTO.CustoUnitario&gt;$AG228),AND(TIPOORCAMENTO="LICITADO",ORÇAMENTO.PrecoUnitarioLicitado&gt;$AN228)),"ACIMA REF.","")))))</f>
        <v/>
      </c>
      <c r="AD228" t="str">
        <f ca="1">IF(C228&lt;=CRONO.NivelExibicao,MAX($AD$15:OFFSET(AD228,-1,0))+IF($C228&lt;&gt;1,1,MAX(1,COUNTIF(QCI!$A$13:$A$24,OFFSET($E228,-1,0)))),"")</f>
        <v/>
      </c>
      <c r="AE228" s="7" t="str">
        <f ca="1">IF(AND($C228="S",ORÇAMENTO.CodBarra&lt;&gt;""),IF(ORÇAMENTO.Fonte="",ORÇAMENTO.CodBarra,CONCATENATE(ORÇAMENTO.Fonte," ",ORÇAMENTO.CodBarra)))</f>
        <v>COMPOSIÇÃO FNDE 36</v>
      </c>
      <c r="AF228" s="13" t="str">
        <f ca="1">IF(ISERROR(INDIRECT(ORÇAMENTO.BancoRef)),"(abra o arquivo 'Referência "&amp;Excel_BuiltIn_Database&amp;".xlsm)",IF(OR($C228&lt;&gt;"S",ORÇAMENTO.CodBarra=""),"(Sem Código)",IF(ISERROR(MATCH($AE228,INDIRECT(ORÇAMENTO.BancoRef),0)),"(Código não identificado nas referências)",MATCH($AE228,INDIRECT(ORÇAMENTO.BancoRef),0))))</f>
        <v>(abra o arquivo 'Referência 06-2024.xlsm)</v>
      </c>
      <c r="AG228" s="498">
        <f ca="1">ROUND(IF(DESONERACAO="sim",REFERENCIA.Desonerado,REFERENCIA.NaoDesonerado),2)</f>
        <v>0</v>
      </c>
      <c r="AH228" s="499">
        <f t="shared" ca="1" si="69"/>
        <v>0.2432</v>
      </c>
      <c r="AJ228" s="501"/>
      <c r="AL228" s="527"/>
      <c r="AM228" s="381">
        <f t="shared" ca="1" si="70"/>
        <v>0</v>
      </c>
      <c r="AN228" s="566">
        <f t="shared" ca="1" si="71"/>
        <v>0</v>
      </c>
    </row>
    <row r="229" spans="1:40" ht="25.5" x14ac:dyDescent="0.2">
      <c r="A229" t="str">
        <f t="shared" si="56"/>
        <v>S</v>
      </c>
      <c r="B229">
        <f t="shared" ca="1" si="57"/>
        <v>2</v>
      </c>
      <c r="C229" t="str">
        <f t="shared" ca="1" si="58"/>
        <v>S</v>
      </c>
      <c r="D229">
        <f t="shared" ca="1" si="59"/>
        <v>0</v>
      </c>
      <c r="E229">
        <f ca="1">IF($C229=1,OFFSET(E229,-1,0)+MAX(1,COUNTIF(QCI!$A$13:$A$24,OFFSET(ORÇAMENTO!E229,-1,0))),OFFSET(E229,-1,0))</f>
        <v>1</v>
      </c>
      <c r="F229">
        <f t="shared" ca="1" si="60"/>
        <v>29</v>
      </c>
      <c r="G229">
        <f t="shared" ca="1" si="61"/>
        <v>0</v>
      </c>
      <c r="H229">
        <f t="shared" ca="1" si="62"/>
        <v>0</v>
      </c>
      <c r="I229">
        <f t="shared" ca="1" si="63"/>
        <v>0</v>
      </c>
      <c r="J229">
        <f t="shared" ca="1" si="73"/>
        <v>0</v>
      </c>
      <c r="K229">
        <f ca="1">IF(OR($C229="S",$C229=0),0,MATCH(OFFSET($D229,0,$C229)+IF($C229&lt;&gt;1,1,COUNTIF(QCI!$A$13:$A$24,ORÇAMENTO!E229)),OFFSET($D229,1,$C229,ROW($C$727)-ROW($C229)),0))</f>
        <v>0</v>
      </c>
      <c r="L229" s="116" t="str">
        <f t="shared" ca="1" si="64"/>
        <v/>
      </c>
      <c r="M229" s="117" t="s">
        <v>199</v>
      </c>
      <c r="N229" s="118" t="str">
        <f t="shared" ca="1" si="65"/>
        <v>Serviço</v>
      </c>
      <c r="O229" s="119" t="str">
        <f t="shared" ca="1" si="66"/>
        <v>-</v>
      </c>
      <c r="P229" s="120" t="s">
        <v>458</v>
      </c>
      <c r="Q229" s="121" t="s">
        <v>625</v>
      </c>
      <c r="R229" s="122" t="str">
        <f ca="1">IF($C229="S",REFERENCIA.Descricao,"(digite a descrição aqui)")</f>
        <v>(abra o arquivo 'Referência 06-2024.xlsm)</v>
      </c>
      <c r="S229" s="123" t="str">
        <f ca="1">REFERENCIA.Unidade</f>
        <v>-</v>
      </c>
      <c r="T229" s="124">
        <f ca="1">OFFSET(CÁLCULO!H$15,ROW($T229)-ROW(T$15),0)</f>
        <v>15.19</v>
      </c>
      <c r="U229" s="125">
        <f t="shared" ca="1" si="72"/>
        <v>0</v>
      </c>
      <c r="V229" s="126" t="s">
        <v>156</v>
      </c>
      <c r="W229" s="124">
        <f ca="1">IF($C229="S",ROUND(IF(TIPOORCAMENTO="Proposto",ORÇAMENTO.CustoUnitario*(1+$AH229),ORÇAMENTO.PrecoUnitarioLicitado),15-13*$AF$10),0)</f>
        <v>0</v>
      </c>
      <c r="X229" s="127">
        <f ca="1">IF($C229="S",IF(Import.TipoArredondamento&lt;&gt;"TransfereGOV",VTOTAL1,SUM(OFFSET(CÁLCULO!$AI$15,ROW($X229)-ROW($X$15),1):OFFSET(CÁLCULO!$BB$15,ROW($X229)-ROW($X$15),-1))),IF($C229=0,0,ROUND(SomaAgrup,15-13*$AF$11)))</f>
        <v>0</v>
      </c>
      <c r="Y229" s="128" t="s">
        <v>245</v>
      </c>
      <c r="Z229" t="str">
        <f t="shared" ca="1" si="67"/>
        <v/>
      </c>
      <c r="AA229" s="129">
        <f ca="1">IF($C229="S",IF($Z229="CP",$X229,IF($Z229="RA",(($X229)*QCI!$AA$3),0)),SomaAgrup)</f>
        <v>0</v>
      </c>
      <c r="AB229" s="130">
        <f t="shared" ca="1" si="68"/>
        <v>0</v>
      </c>
      <c r="AC229" s="131" t="str">
        <f ca="1">IF($N229="","",IF(ORÇAMENTO.Descricao="","DESCRIÇÃO",IF(AND($C229="S",ORÇAMENTO.Unidade=""),"UNIDADE",IF($X229&lt;0,"VALOR NEGATIVO",IF(OR(AND(TIPOORCAMENTO="Proposto",$AG229&lt;&gt;"",$AG229&gt;0,ORÇAMENTO.CustoUnitario&gt;$AG229),AND(TIPOORCAMENTO="LICITADO",ORÇAMENTO.PrecoUnitarioLicitado&gt;$AN229)),"ACIMA REF.","")))))</f>
        <v/>
      </c>
      <c r="AD229" t="str">
        <f ca="1">IF(C229&lt;=CRONO.NivelExibicao,MAX($AD$15:OFFSET(AD229,-1,0))+IF($C229&lt;&gt;1,1,MAX(1,COUNTIF(QCI!$A$13:$A$24,OFFSET($E229,-1,0)))),"")</f>
        <v/>
      </c>
      <c r="AE229" s="7" t="str">
        <f ca="1">IF(AND($C229="S",ORÇAMENTO.CodBarra&lt;&gt;""),IF(ORÇAMENTO.Fonte="",ORÇAMENTO.CodBarra,CONCATENATE(ORÇAMENTO.Fonte," ",ORÇAMENTO.CodBarra)))</f>
        <v>COMPOSIÇÃO FNDE 201</v>
      </c>
      <c r="AF229" s="13" t="str">
        <f ca="1">IF(ISERROR(INDIRECT(ORÇAMENTO.BancoRef)),"(abra o arquivo 'Referência "&amp;Excel_BuiltIn_Database&amp;".xlsm)",IF(OR($C229&lt;&gt;"S",ORÇAMENTO.CodBarra=""),"(Sem Código)",IF(ISERROR(MATCH($AE229,INDIRECT(ORÇAMENTO.BancoRef),0)),"(Código não identificado nas referências)",MATCH($AE229,INDIRECT(ORÇAMENTO.BancoRef),0))))</f>
        <v>(abra o arquivo 'Referência 06-2024.xlsm)</v>
      </c>
      <c r="AG229" s="498">
        <f ca="1">ROUND(IF(DESONERACAO="sim",REFERENCIA.Desonerado,REFERENCIA.NaoDesonerado),2)</f>
        <v>0</v>
      </c>
      <c r="AH229" s="499">
        <f t="shared" ca="1" si="69"/>
        <v>0.2432</v>
      </c>
      <c r="AJ229" s="501"/>
      <c r="AL229" s="527"/>
      <c r="AM229" s="381">
        <f t="shared" ca="1" si="70"/>
        <v>0</v>
      </c>
      <c r="AN229" s="566">
        <f t="shared" ca="1" si="71"/>
        <v>0</v>
      </c>
    </row>
    <row r="230" spans="1:40" x14ac:dyDescent="0.2">
      <c r="A230">
        <f t="shared" si="56"/>
        <v>2</v>
      </c>
      <c r="B230">
        <f t="shared" ca="1" si="57"/>
        <v>2</v>
      </c>
      <c r="C230">
        <f t="shared" ca="1" si="58"/>
        <v>2</v>
      </c>
      <c r="D230">
        <f t="shared" ca="1" si="59"/>
        <v>3</v>
      </c>
      <c r="E230">
        <f ca="1">IF($C230=1,OFFSET(E230,-1,0)+MAX(1,COUNTIF(QCI!$A$13:$A$24,OFFSET(ORÇAMENTO!E230,-1,0))),OFFSET(E230,-1,0))</f>
        <v>1</v>
      </c>
      <c r="F230">
        <f t="shared" ca="1" si="60"/>
        <v>30</v>
      </c>
      <c r="G230">
        <f t="shared" ca="1" si="61"/>
        <v>0</v>
      </c>
      <c r="H230">
        <f t="shared" ca="1" si="62"/>
        <v>0</v>
      </c>
      <c r="I230">
        <f t="shared" ca="1" si="63"/>
        <v>0</v>
      </c>
      <c r="J230">
        <f t="shared" ca="1" si="73"/>
        <v>497</v>
      </c>
      <c r="K230">
        <f ca="1">IF(OR($C230="S",$C230=0),0,MATCH(OFFSET($D230,0,$C230)+IF($C230&lt;&gt;1,1,COUNTIF(QCI!$A$13:$A$24,ORÇAMENTO!E230)),OFFSET($D230,1,$C230,ROW($C$727)-ROW($C230)),0))</f>
        <v>3</v>
      </c>
      <c r="L230" s="116" t="str">
        <f t="shared" ca="1" si="64"/>
        <v>F</v>
      </c>
      <c r="M230" s="117" t="s">
        <v>196</v>
      </c>
      <c r="N230" s="118" t="str">
        <f t="shared" ca="1" si="65"/>
        <v>Nível 2</v>
      </c>
      <c r="O230" s="119" t="str">
        <f t="shared" ca="1" si="66"/>
        <v>1.30.</v>
      </c>
      <c r="P230" s="120" t="s">
        <v>247</v>
      </c>
      <c r="Q230" s="121"/>
      <c r="R230" s="122" t="s">
        <v>1055</v>
      </c>
      <c r="S230" s="123" t="str">
        <f ca="1">REFERENCIA.Unidade</f>
        <v>-</v>
      </c>
      <c r="T230" s="124">
        <f ca="1">OFFSET(CÁLCULO!H$15,ROW($T230)-ROW(T$15),0)</f>
        <v>0</v>
      </c>
      <c r="U230" s="125">
        <f t="shared" ca="1" si="72"/>
        <v>0</v>
      </c>
      <c r="V230" s="126" t="s">
        <v>156</v>
      </c>
      <c r="W230" s="124">
        <f ca="1">IF($C230="S",ROUND(IF(TIPOORCAMENTO="Proposto",ORÇAMENTO.CustoUnitario*(1+$AH230),ORÇAMENTO.PrecoUnitarioLicitado),15-13*$AF$10),0)</f>
        <v>0</v>
      </c>
      <c r="X230" s="127">
        <f ca="1">IF($C230="S",IF(Import.TipoArredondamento&lt;&gt;"TransfereGOV",VTOTAL1,SUM(OFFSET(CÁLCULO!$AI$15,ROW($X230)-ROW($X$15),1):OFFSET(CÁLCULO!$BB$15,ROW($X230)-ROW($X$15),-1))),IF($C230=0,0,ROUND(SomaAgrup,15-13*$AF$11)))</f>
        <v>0</v>
      </c>
      <c r="Y230" s="128" t="s">
        <v>245</v>
      </c>
      <c r="Z230" t="str">
        <f t="shared" ca="1" si="67"/>
        <v/>
      </c>
      <c r="AA230" s="129">
        <f ca="1">IF($C230="S",IF($Z230="CP",$X230,IF($Z230="RA",(($X230)*QCI!$AA$3),0)),SomaAgrup)</f>
        <v>0</v>
      </c>
      <c r="AB230" s="130">
        <f t="shared" ca="1" si="68"/>
        <v>0</v>
      </c>
      <c r="AC230" s="131" t="str">
        <f ca="1">IF($N230="","",IF(ORÇAMENTO.Descricao="","DESCRIÇÃO",IF(AND($C230="S",ORÇAMENTO.Unidade=""),"UNIDADE",IF($X230&lt;0,"VALOR NEGATIVO",IF(OR(AND(TIPOORCAMENTO="Proposto",$AG230&lt;&gt;"",$AG230&gt;0,ORÇAMENTO.CustoUnitario&gt;$AG230),AND(TIPOORCAMENTO="LICITADO",ORÇAMENTO.PrecoUnitarioLicitado&gt;$AN230)),"ACIMA REF.","")))))</f>
        <v/>
      </c>
      <c r="AD230">
        <f ca="1">IF(C230&lt;=CRONO.NivelExibicao,MAX($AD$15:OFFSET(AD230,-1,0))+IF($C230&lt;&gt;1,1,MAX(1,COUNTIF(QCI!$A$13:$A$24,OFFSET($E230,-1,0)))),"")</f>
        <v>31</v>
      </c>
      <c r="AE230" s="7" t="b">
        <f ca="1">IF(AND($C230="S",ORÇAMENTO.CodBarra&lt;&gt;""),IF(ORÇAMENTO.Fonte="",ORÇAMENTO.CodBarra,CONCATENATE(ORÇAMENTO.Fonte," ",ORÇAMENTO.CodBarra)))</f>
        <v>0</v>
      </c>
      <c r="AF230" s="13" t="str">
        <f ca="1">IF(ISERROR(INDIRECT(ORÇAMENTO.BancoRef)),"(abra o arquivo 'Referência "&amp;Excel_BuiltIn_Database&amp;".xlsm)",IF(OR($C230&lt;&gt;"S",ORÇAMENTO.CodBarra=""),"(Sem Código)",IF(ISERROR(MATCH($AE230,INDIRECT(ORÇAMENTO.BancoRef),0)),"(Código não identificado nas referências)",MATCH($AE230,INDIRECT(ORÇAMENTO.BancoRef),0))))</f>
        <v>(abra o arquivo 'Referência 06-2024.xlsm)</v>
      </c>
      <c r="AG230" s="498">
        <f ca="1">ROUND(IF(DESONERACAO="sim",REFERENCIA.Desonerado,REFERENCIA.NaoDesonerado),2)</f>
        <v>0</v>
      </c>
      <c r="AH230" s="499">
        <f t="shared" ca="1" si="69"/>
        <v>0.2432</v>
      </c>
      <c r="AJ230" s="501"/>
      <c r="AL230" s="527"/>
      <c r="AM230" s="381">
        <f t="shared" ca="1" si="70"/>
        <v>0</v>
      </c>
      <c r="AN230" s="566">
        <f t="shared" ca="1" si="71"/>
        <v>0</v>
      </c>
    </row>
    <row r="231" spans="1:40" ht="25.5" x14ac:dyDescent="0.2">
      <c r="A231" t="str">
        <f t="shared" si="56"/>
        <v>S</v>
      </c>
      <c r="B231">
        <f t="shared" ca="1" si="57"/>
        <v>2</v>
      </c>
      <c r="C231" t="str">
        <f t="shared" ca="1" si="58"/>
        <v>S</v>
      </c>
      <c r="D231">
        <f t="shared" ca="1" si="59"/>
        <v>0</v>
      </c>
      <c r="E231">
        <f ca="1">IF($C231=1,OFFSET(E231,-1,0)+MAX(1,COUNTIF(QCI!$A$13:$A$24,OFFSET(ORÇAMENTO!E231,-1,0))),OFFSET(E231,-1,0))</f>
        <v>1</v>
      </c>
      <c r="F231">
        <f t="shared" ca="1" si="60"/>
        <v>30</v>
      </c>
      <c r="G231">
        <f t="shared" ca="1" si="61"/>
        <v>0</v>
      </c>
      <c r="H231">
        <f t="shared" ca="1" si="62"/>
        <v>0</v>
      </c>
      <c r="I231">
        <f t="shared" ca="1" si="63"/>
        <v>0</v>
      </c>
      <c r="J231">
        <f t="shared" ca="1" si="73"/>
        <v>0</v>
      </c>
      <c r="K231">
        <f ca="1">IF(OR($C231="S",$C231=0),0,MATCH(OFFSET($D231,0,$C231)+IF($C231&lt;&gt;1,1,COUNTIF(QCI!$A$13:$A$24,ORÇAMENTO!E231)),OFFSET($D231,1,$C231,ROW($C$727)-ROW($C231)),0))</f>
        <v>0</v>
      </c>
      <c r="L231" s="116" t="str">
        <f t="shared" ca="1" si="64"/>
        <v/>
      </c>
      <c r="M231" s="117" t="s">
        <v>199</v>
      </c>
      <c r="N231" s="118" t="str">
        <f t="shared" ca="1" si="65"/>
        <v>Serviço</v>
      </c>
      <c r="O231" s="119" t="str">
        <f t="shared" ca="1" si="66"/>
        <v>-</v>
      </c>
      <c r="P231" s="120" t="s">
        <v>247</v>
      </c>
      <c r="Q231" s="121" t="s">
        <v>626</v>
      </c>
      <c r="R231" s="122" t="str">
        <f ca="1">IF($C231="S",REFERENCIA.Descricao,"(digite a descrição aqui)")</f>
        <v>(abra o arquivo 'Referência 06-2024.xlsm)</v>
      </c>
      <c r="S231" s="123" t="str">
        <f ca="1">REFERENCIA.Unidade</f>
        <v>-</v>
      </c>
      <c r="T231" s="124">
        <f ca="1">OFFSET(CÁLCULO!H$15,ROW($T231)-ROW(T$15),0)</f>
        <v>481.84</v>
      </c>
      <c r="U231" s="125">
        <f t="shared" ref="U231:U286" ca="1" si="74">AG231</f>
        <v>0</v>
      </c>
      <c r="V231" s="126" t="s">
        <v>156</v>
      </c>
      <c r="W231" s="124">
        <f ca="1">IF($C231="S",ROUND(IF(TIPOORCAMENTO="Proposto",ORÇAMENTO.CustoUnitario*(1+$AH231),ORÇAMENTO.PrecoUnitarioLicitado),15-13*$AF$10),0)</f>
        <v>0</v>
      </c>
      <c r="X231" s="127">
        <f ca="1">IF($C231="S",IF(Import.TipoArredondamento&lt;&gt;"TransfereGOV",VTOTAL1,SUM(OFFSET(CÁLCULO!$AI$15,ROW($X231)-ROW($X$15),1):OFFSET(CÁLCULO!$BB$15,ROW($X231)-ROW($X$15),-1))),IF($C231=0,0,ROUND(SomaAgrup,15-13*$AF$11)))</f>
        <v>0</v>
      </c>
      <c r="Y231" s="128" t="s">
        <v>245</v>
      </c>
      <c r="Z231" t="str">
        <f t="shared" ca="1" si="67"/>
        <v/>
      </c>
      <c r="AA231" s="129">
        <f ca="1">IF($C231="S",IF($Z231="CP",$X231,IF($Z231="RA",(($X231)*QCI!$AA$3),0)),SomaAgrup)</f>
        <v>0</v>
      </c>
      <c r="AB231" s="130">
        <f t="shared" ca="1" si="68"/>
        <v>0</v>
      </c>
      <c r="AC231" s="131" t="str">
        <f ca="1">IF($N231="","",IF(ORÇAMENTO.Descricao="","DESCRIÇÃO",IF(AND($C231="S",ORÇAMENTO.Unidade=""),"UNIDADE",IF($X231&lt;0,"VALOR NEGATIVO",IF(OR(AND(TIPOORCAMENTO="Proposto",$AG231&lt;&gt;"",$AG231&gt;0,ORÇAMENTO.CustoUnitario&gt;$AG231),AND(TIPOORCAMENTO="LICITADO",ORÇAMENTO.PrecoUnitarioLicitado&gt;$AN231)),"ACIMA REF.","")))))</f>
        <v/>
      </c>
      <c r="AD231" t="str">
        <f ca="1">IF(C231&lt;=CRONO.NivelExibicao,MAX($AD$15:OFFSET(AD231,-1,0))+IF($C231&lt;&gt;1,1,MAX(1,COUNTIF(QCI!$A$13:$A$24,OFFSET($E231,-1,0)))),"")</f>
        <v/>
      </c>
      <c r="AE231" s="7" t="str">
        <f ca="1">IF(AND($C231="S",ORÇAMENTO.CodBarra&lt;&gt;""),IF(ORÇAMENTO.Fonte="",ORÇAMENTO.CodBarra,CONCATENATE(ORÇAMENTO.Fonte," ",ORÇAMENTO.CodBarra)))</f>
        <v>SINAPI 88494</v>
      </c>
      <c r="AF231" s="13" t="str">
        <f ca="1">IF(ISERROR(INDIRECT(ORÇAMENTO.BancoRef)),"(abra o arquivo 'Referência "&amp;Excel_BuiltIn_Database&amp;".xlsm)",IF(OR($C231&lt;&gt;"S",ORÇAMENTO.CodBarra=""),"(Sem Código)",IF(ISERROR(MATCH($AE231,INDIRECT(ORÇAMENTO.BancoRef),0)),"(Código não identificado nas referências)",MATCH($AE231,INDIRECT(ORÇAMENTO.BancoRef),0))))</f>
        <v>(abra o arquivo 'Referência 06-2024.xlsm)</v>
      </c>
      <c r="AG231" s="498">
        <f ca="1">ROUND(IF(DESONERACAO="sim",REFERENCIA.Desonerado,REFERENCIA.NaoDesonerado),2)</f>
        <v>0</v>
      </c>
      <c r="AH231" s="499">
        <f t="shared" ca="1" si="69"/>
        <v>0.2432</v>
      </c>
      <c r="AJ231" s="501"/>
      <c r="AL231" s="527"/>
      <c r="AM231" s="381">
        <f t="shared" ca="1" si="70"/>
        <v>0</v>
      </c>
      <c r="AN231" s="566">
        <f t="shared" ca="1" si="71"/>
        <v>0</v>
      </c>
    </row>
    <row r="232" spans="1:40" ht="25.5" x14ac:dyDescent="0.2">
      <c r="A232" t="str">
        <f t="shared" si="56"/>
        <v>S</v>
      </c>
      <c r="B232">
        <f t="shared" ca="1" si="57"/>
        <v>2</v>
      </c>
      <c r="C232" t="str">
        <f t="shared" ca="1" si="58"/>
        <v>S</v>
      </c>
      <c r="D232">
        <f t="shared" ca="1" si="59"/>
        <v>0</v>
      </c>
      <c r="E232">
        <f ca="1">IF($C232=1,OFFSET(E232,-1,0)+MAX(1,COUNTIF(QCI!$A$13:$A$24,OFFSET(ORÇAMENTO!E232,-1,0))),OFFSET(E232,-1,0))</f>
        <v>1</v>
      </c>
      <c r="F232">
        <f t="shared" ca="1" si="60"/>
        <v>30</v>
      </c>
      <c r="G232">
        <f t="shared" ca="1" si="61"/>
        <v>0</v>
      </c>
      <c r="H232">
        <f t="shared" ca="1" si="62"/>
        <v>0</v>
      </c>
      <c r="I232">
        <f t="shared" ca="1" si="63"/>
        <v>0</v>
      </c>
      <c r="J232">
        <f t="shared" ca="1" si="73"/>
        <v>0</v>
      </c>
      <c r="K232">
        <f ca="1">IF(OR($C232="S",$C232=0),0,MATCH(OFFSET($D232,0,$C232)+IF($C232&lt;&gt;1,1,COUNTIF(QCI!$A$13:$A$24,ORÇAMENTO!E232)),OFFSET($D232,1,$C232,ROW($C$727)-ROW($C232)),0))</f>
        <v>0</v>
      </c>
      <c r="L232" s="116" t="str">
        <f t="shared" ca="1" si="64"/>
        <v/>
      </c>
      <c r="M232" s="117" t="s">
        <v>199</v>
      </c>
      <c r="N232" s="118" t="str">
        <f t="shared" ca="1" si="65"/>
        <v>Serviço</v>
      </c>
      <c r="O232" s="119" t="str">
        <f t="shared" ca="1" si="66"/>
        <v>-</v>
      </c>
      <c r="P232" s="120" t="s">
        <v>247</v>
      </c>
      <c r="Q232" s="121" t="s">
        <v>627</v>
      </c>
      <c r="R232" s="122" t="str">
        <f ca="1">IF($C232="S",REFERENCIA.Descricao,"(digite a descrição aqui)")</f>
        <v>(abra o arquivo 'Referência 06-2024.xlsm)</v>
      </c>
      <c r="S232" s="123" t="str">
        <f ca="1">REFERENCIA.Unidade</f>
        <v>-</v>
      </c>
      <c r="T232" s="124">
        <f ca="1">OFFSET(CÁLCULO!H$15,ROW($T232)-ROW(T$15),0)</f>
        <v>481.84</v>
      </c>
      <c r="U232" s="125">
        <f t="shared" ca="1" si="74"/>
        <v>0</v>
      </c>
      <c r="V232" s="126" t="s">
        <v>156</v>
      </c>
      <c r="W232" s="124">
        <f ca="1">IF($C232="S",ROUND(IF(TIPOORCAMENTO="Proposto",ORÇAMENTO.CustoUnitario*(1+$AH232),ORÇAMENTO.PrecoUnitarioLicitado),15-13*$AF$10),0)</f>
        <v>0</v>
      </c>
      <c r="X232" s="127">
        <f ca="1">IF($C232="S",IF(Import.TipoArredondamento&lt;&gt;"TransfereGOV",VTOTAL1,SUM(OFFSET(CÁLCULO!$AI$15,ROW($X232)-ROW($X$15),1):OFFSET(CÁLCULO!$BB$15,ROW($X232)-ROW($X$15),-1))),IF($C232=0,0,ROUND(SomaAgrup,15-13*$AF$11)))</f>
        <v>0</v>
      </c>
      <c r="Y232" s="128" t="s">
        <v>245</v>
      </c>
      <c r="Z232" t="str">
        <f t="shared" ca="1" si="67"/>
        <v/>
      </c>
      <c r="AA232" s="129">
        <f ca="1">IF($C232="S",IF($Z232="CP",$X232,IF($Z232="RA",(($X232)*QCI!$AA$3),0)),SomaAgrup)</f>
        <v>0</v>
      </c>
      <c r="AB232" s="130">
        <f t="shared" ca="1" si="68"/>
        <v>0</v>
      </c>
      <c r="AC232" s="131" t="str">
        <f ca="1">IF($N232="","",IF(ORÇAMENTO.Descricao="","DESCRIÇÃO",IF(AND($C232="S",ORÇAMENTO.Unidade=""),"UNIDADE",IF($X232&lt;0,"VALOR NEGATIVO",IF(OR(AND(TIPOORCAMENTO="Proposto",$AG232&lt;&gt;"",$AG232&gt;0,ORÇAMENTO.CustoUnitario&gt;$AG232),AND(TIPOORCAMENTO="LICITADO",ORÇAMENTO.PrecoUnitarioLicitado&gt;$AN232)),"ACIMA REF.","")))))</f>
        <v/>
      </c>
      <c r="AD232" t="str">
        <f ca="1">IF(C232&lt;=CRONO.NivelExibicao,MAX($AD$15:OFFSET(AD232,-1,0))+IF($C232&lt;&gt;1,1,MAX(1,COUNTIF(QCI!$A$13:$A$24,OFFSET($E232,-1,0)))),"")</f>
        <v/>
      </c>
      <c r="AE232" s="7" t="str">
        <f ca="1">IF(AND($C232="S",ORÇAMENTO.CodBarra&lt;&gt;""),IF(ORÇAMENTO.Fonte="",ORÇAMENTO.CodBarra,CONCATENATE(ORÇAMENTO.Fonte," ",ORÇAMENTO.CodBarra)))</f>
        <v>SINAPI 88488</v>
      </c>
      <c r="AF232" s="13" t="str">
        <f ca="1">IF(ISERROR(INDIRECT(ORÇAMENTO.BancoRef)),"(abra o arquivo 'Referência "&amp;Excel_BuiltIn_Database&amp;".xlsm)",IF(OR($C232&lt;&gt;"S",ORÇAMENTO.CodBarra=""),"(Sem Código)",IF(ISERROR(MATCH($AE232,INDIRECT(ORÇAMENTO.BancoRef),0)),"(Código não identificado nas referências)",MATCH($AE232,INDIRECT(ORÇAMENTO.BancoRef),0))))</f>
        <v>(abra o arquivo 'Referência 06-2024.xlsm)</v>
      </c>
      <c r="AG232" s="498">
        <f ca="1">ROUND(IF(DESONERACAO="sim",REFERENCIA.Desonerado,REFERENCIA.NaoDesonerado),2)</f>
        <v>0</v>
      </c>
      <c r="AH232" s="499">
        <f t="shared" ca="1" si="69"/>
        <v>0.2432</v>
      </c>
      <c r="AJ232" s="501"/>
      <c r="AL232" s="527"/>
      <c r="AM232" s="381">
        <f t="shared" ca="1" si="70"/>
        <v>0</v>
      </c>
      <c r="AN232" s="566">
        <f t="shared" ca="1" si="71"/>
        <v>0</v>
      </c>
    </row>
    <row r="233" spans="1:40" x14ac:dyDescent="0.2">
      <c r="A233">
        <f t="shared" si="56"/>
        <v>2</v>
      </c>
      <c r="B233">
        <f t="shared" ca="1" si="57"/>
        <v>2</v>
      </c>
      <c r="C233">
        <f t="shared" ca="1" si="58"/>
        <v>2</v>
      </c>
      <c r="D233">
        <f t="shared" ca="1" si="59"/>
        <v>4</v>
      </c>
      <c r="E233">
        <f ca="1">IF($C233=1,OFFSET(E233,-1,0)+MAX(1,COUNTIF(QCI!$A$13:$A$24,OFFSET(ORÇAMENTO!E233,-1,0))),OFFSET(E233,-1,0))</f>
        <v>1</v>
      </c>
      <c r="F233">
        <f t="shared" ca="1" si="60"/>
        <v>31</v>
      </c>
      <c r="G233">
        <f t="shared" ca="1" si="61"/>
        <v>0</v>
      </c>
      <c r="H233">
        <f t="shared" ca="1" si="62"/>
        <v>0</v>
      </c>
      <c r="I233">
        <f t="shared" ca="1" si="63"/>
        <v>0</v>
      </c>
      <c r="J233">
        <f t="shared" ca="1" si="73"/>
        <v>494</v>
      </c>
      <c r="K233">
        <f ca="1">IF(OR($C233="S",$C233=0),0,MATCH(OFFSET($D233,0,$C233)+IF($C233&lt;&gt;1,1,COUNTIF(QCI!$A$13:$A$24,ORÇAMENTO!E233)),OFFSET($D233,1,$C233,ROW($C$727)-ROW($C233)),0))</f>
        <v>4</v>
      </c>
      <c r="L233" s="116" t="str">
        <f t="shared" ca="1" si="64"/>
        <v>F</v>
      </c>
      <c r="M233" s="117" t="s">
        <v>196</v>
      </c>
      <c r="N233" s="118" t="str">
        <f t="shared" ca="1" si="65"/>
        <v>Nível 2</v>
      </c>
      <c r="O233" s="119" t="str">
        <f t="shared" ca="1" si="66"/>
        <v>1.31.</v>
      </c>
      <c r="P233" s="120" t="s">
        <v>247</v>
      </c>
      <c r="Q233" s="121"/>
      <c r="R233" s="122" t="s">
        <v>1057</v>
      </c>
      <c r="S233" s="123" t="str">
        <f ca="1">REFERENCIA.Unidade</f>
        <v>-</v>
      </c>
      <c r="T233" s="124">
        <f ca="1">OFFSET(CÁLCULO!H$15,ROW($T233)-ROW(T$15),0)</f>
        <v>0</v>
      </c>
      <c r="U233" s="125">
        <f t="shared" ca="1" si="74"/>
        <v>0</v>
      </c>
      <c r="V233" s="126" t="s">
        <v>156</v>
      </c>
      <c r="W233" s="124">
        <f ca="1">IF($C233="S",ROUND(IF(TIPOORCAMENTO="Proposto",ORÇAMENTO.CustoUnitario*(1+$AH233),ORÇAMENTO.PrecoUnitarioLicitado),15-13*$AF$10),0)</f>
        <v>0</v>
      </c>
      <c r="X233" s="127">
        <f ca="1">IF($C233="S",IF(Import.TipoArredondamento&lt;&gt;"TransfereGOV",VTOTAL1,SUM(OFFSET(CÁLCULO!$AI$15,ROW($X233)-ROW($X$15),1):OFFSET(CÁLCULO!$BB$15,ROW($X233)-ROW($X$15),-1))),IF($C233=0,0,ROUND(SomaAgrup,15-13*$AF$11)))</f>
        <v>0</v>
      </c>
      <c r="Y233" s="128" t="s">
        <v>245</v>
      </c>
      <c r="Z233" t="str">
        <f t="shared" ca="1" si="67"/>
        <v/>
      </c>
      <c r="AA233" s="129">
        <f ca="1">IF($C233="S",IF($Z233="CP",$X233,IF($Z233="RA",(($X233)*QCI!$AA$3),0)),SomaAgrup)</f>
        <v>0</v>
      </c>
      <c r="AB233" s="130">
        <f t="shared" ca="1" si="68"/>
        <v>0</v>
      </c>
      <c r="AC233" s="131" t="str">
        <f ca="1">IF($N233="","",IF(ORÇAMENTO.Descricao="","DESCRIÇÃO",IF(AND($C233="S",ORÇAMENTO.Unidade=""),"UNIDADE",IF($X233&lt;0,"VALOR NEGATIVO",IF(OR(AND(TIPOORCAMENTO="Proposto",$AG233&lt;&gt;"",$AG233&gt;0,ORÇAMENTO.CustoUnitario&gt;$AG233),AND(TIPOORCAMENTO="LICITADO",ORÇAMENTO.PrecoUnitarioLicitado&gt;$AN233)),"ACIMA REF.","")))))</f>
        <v/>
      </c>
      <c r="AD233">
        <f ca="1">IF(C233&lt;=CRONO.NivelExibicao,MAX($AD$15:OFFSET(AD233,-1,0))+IF($C233&lt;&gt;1,1,MAX(1,COUNTIF(QCI!$A$13:$A$24,OFFSET($E233,-1,0)))),"")</f>
        <v>32</v>
      </c>
      <c r="AE233" s="7" t="b">
        <f ca="1">IF(AND($C233="S",ORÇAMENTO.CodBarra&lt;&gt;""),IF(ORÇAMENTO.Fonte="",ORÇAMENTO.CodBarra,CONCATENATE(ORÇAMENTO.Fonte," ",ORÇAMENTO.CodBarra)))</f>
        <v>0</v>
      </c>
      <c r="AF233" s="13" t="str">
        <f ca="1">IF(ISERROR(INDIRECT(ORÇAMENTO.BancoRef)),"(abra o arquivo 'Referência "&amp;Excel_BuiltIn_Database&amp;".xlsm)",IF(OR($C233&lt;&gt;"S",ORÇAMENTO.CodBarra=""),"(Sem Código)",IF(ISERROR(MATCH($AE233,INDIRECT(ORÇAMENTO.BancoRef),0)),"(Código não identificado nas referências)",MATCH($AE233,INDIRECT(ORÇAMENTO.BancoRef),0))))</f>
        <v>(abra o arquivo 'Referência 06-2024.xlsm)</v>
      </c>
      <c r="AG233" s="498">
        <f ca="1">ROUND(IF(DESONERACAO="sim",REFERENCIA.Desonerado,REFERENCIA.NaoDesonerado),2)</f>
        <v>0</v>
      </c>
      <c r="AH233" s="499">
        <f t="shared" ca="1" si="69"/>
        <v>0.2432</v>
      </c>
      <c r="AJ233" s="501"/>
      <c r="AL233" s="527"/>
      <c r="AM233" s="381">
        <f t="shared" ca="1" si="70"/>
        <v>0</v>
      </c>
      <c r="AN233" s="566">
        <f t="shared" ca="1" si="71"/>
        <v>0</v>
      </c>
    </row>
    <row r="234" spans="1:40" ht="25.5" x14ac:dyDescent="0.2">
      <c r="A234" t="str">
        <f t="shared" si="56"/>
        <v>S</v>
      </c>
      <c r="B234">
        <f t="shared" ca="1" si="57"/>
        <v>2</v>
      </c>
      <c r="C234" t="str">
        <f t="shared" ca="1" si="58"/>
        <v>S</v>
      </c>
      <c r="D234">
        <f t="shared" ca="1" si="59"/>
        <v>0</v>
      </c>
      <c r="E234">
        <f ca="1">IF($C234=1,OFFSET(E234,-1,0)+MAX(1,COUNTIF(QCI!$A$13:$A$24,OFFSET(ORÇAMENTO!E234,-1,0))),OFFSET(E234,-1,0))</f>
        <v>1</v>
      </c>
      <c r="F234">
        <f t="shared" ca="1" si="60"/>
        <v>31</v>
      </c>
      <c r="G234">
        <f t="shared" ca="1" si="61"/>
        <v>0</v>
      </c>
      <c r="H234">
        <f t="shared" ca="1" si="62"/>
        <v>0</v>
      </c>
      <c r="I234">
        <f t="shared" ca="1" si="63"/>
        <v>0</v>
      </c>
      <c r="J234">
        <f t="shared" ca="1" si="73"/>
        <v>0</v>
      </c>
      <c r="K234">
        <f ca="1">IF(OR($C234="S",$C234=0),0,MATCH(OFFSET($D234,0,$C234)+IF($C234&lt;&gt;1,1,COUNTIF(QCI!$A$13:$A$24,ORÇAMENTO!E234)),OFFSET($D234,1,$C234,ROW($C$727)-ROW($C234)),0))</f>
        <v>0</v>
      </c>
      <c r="L234" s="116" t="str">
        <f t="shared" ca="1" si="64"/>
        <v/>
      </c>
      <c r="M234" s="117" t="s">
        <v>199</v>
      </c>
      <c r="N234" s="118" t="str">
        <f t="shared" ca="1" si="65"/>
        <v>Serviço</v>
      </c>
      <c r="O234" s="119" t="str">
        <f t="shared" ca="1" si="66"/>
        <v>-</v>
      </c>
      <c r="P234" s="120" t="s">
        <v>458</v>
      </c>
      <c r="Q234" s="121" t="s">
        <v>628</v>
      </c>
      <c r="R234" s="122" t="str">
        <f ca="1">IF($C234="S",REFERENCIA.Descricao,"(digite a descrição aqui)")</f>
        <v>(abra o arquivo 'Referência 06-2024.xlsm)</v>
      </c>
      <c r="S234" s="123" t="str">
        <f ca="1">REFERENCIA.Unidade</f>
        <v>-</v>
      </c>
      <c r="T234" s="124">
        <f ca="1">OFFSET(CÁLCULO!H$15,ROW($T234)-ROW(T$15),0)</f>
        <v>2.81</v>
      </c>
      <c r="U234" s="125">
        <f t="shared" ca="1" si="74"/>
        <v>0</v>
      </c>
      <c r="V234" s="126" t="s">
        <v>156</v>
      </c>
      <c r="W234" s="124">
        <f ca="1">IF($C234="S",ROUND(IF(TIPOORCAMENTO="Proposto",ORÇAMENTO.CustoUnitario*(1+$AH234),ORÇAMENTO.PrecoUnitarioLicitado),15-13*$AF$10),0)</f>
        <v>0</v>
      </c>
      <c r="X234" s="127">
        <f ca="1">IF($C234="S",IF(Import.TipoArredondamento&lt;&gt;"TransfereGOV",VTOTAL1,SUM(OFFSET(CÁLCULO!$AI$15,ROW($X234)-ROW($X$15),1):OFFSET(CÁLCULO!$BB$15,ROW($X234)-ROW($X$15),-1))),IF($C234=0,0,ROUND(SomaAgrup,15-13*$AF$11)))</f>
        <v>0</v>
      </c>
      <c r="Y234" s="128" t="s">
        <v>245</v>
      </c>
      <c r="Z234" t="str">
        <f t="shared" ca="1" si="67"/>
        <v/>
      </c>
      <c r="AA234" s="129">
        <f ca="1">IF($C234="S",IF($Z234="CP",$X234,IF($Z234="RA",(($X234)*QCI!$AA$3),0)),SomaAgrup)</f>
        <v>0</v>
      </c>
      <c r="AB234" s="130">
        <f t="shared" ca="1" si="68"/>
        <v>0</v>
      </c>
      <c r="AC234" s="131" t="str">
        <f ca="1">IF($N234="","",IF(ORÇAMENTO.Descricao="","DESCRIÇÃO",IF(AND($C234="S",ORÇAMENTO.Unidade=""),"UNIDADE",IF($X234&lt;0,"VALOR NEGATIVO",IF(OR(AND(TIPOORCAMENTO="Proposto",$AG234&lt;&gt;"",$AG234&gt;0,ORÇAMENTO.CustoUnitario&gt;$AG234),AND(TIPOORCAMENTO="LICITADO",ORÇAMENTO.PrecoUnitarioLicitado&gt;$AN234)),"ACIMA REF.","")))))</f>
        <v/>
      </c>
      <c r="AD234" t="str">
        <f ca="1">IF(C234&lt;=CRONO.NivelExibicao,MAX($AD$15:OFFSET(AD234,-1,0))+IF($C234&lt;&gt;1,1,MAX(1,COUNTIF(QCI!$A$13:$A$24,OFFSET($E234,-1,0)))),"")</f>
        <v/>
      </c>
      <c r="AE234" s="7" t="str">
        <f ca="1">IF(AND($C234="S",ORÇAMENTO.CodBarra&lt;&gt;""),IF(ORÇAMENTO.Fonte="",ORÇAMENTO.CodBarra,CONCATENATE(ORÇAMENTO.Fonte," ",ORÇAMENTO.CodBarra)))</f>
        <v>COMPOSIÇÃO FNDE 406</v>
      </c>
      <c r="AF234" s="13" t="str">
        <f ca="1">IF(ISERROR(INDIRECT(ORÇAMENTO.BancoRef)),"(abra o arquivo 'Referência "&amp;Excel_BuiltIn_Database&amp;".xlsm)",IF(OR($C234&lt;&gt;"S",ORÇAMENTO.CodBarra=""),"(Sem Código)",IF(ISERROR(MATCH($AE234,INDIRECT(ORÇAMENTO.BancoRef),0)),"(Código não identificado nas referências)",MATCH($AE234,INDIRECT(ORÇAMENTO.BancoRef),0))))</f>
        <v>(abra o arquivo 'Referência 06-2024.xlsm)</v>
      </c>
      <c r="AG234" s="498">
        <f ca="1">ROUND(IF(DESONERACAO="sim",REFERENCIA.Desonerado,REFERENCIA.NaoDesonerado),2)</f>
        <v>0</v>
      </c>
      <c r="AH234" s="499">
        <f t="shared" ca="1" si="69"/>
        <v>0.2432</v>
      </c>
      <c r="AJ234" s="501"/>
      <c r="AL234" s="527"/>
      <c r="AM234" s="381">
        <f t="shared" ca="1" si="70"/>
        <v>0</v>
      </c>
      <c r="AN234" s="566">
        <f t="shared" ca="1" si="71"/>
        <v>0</v>
      </c>
    </row>
    <row r="235" spans="1:40" ht="25.5" x14ac:dyDescent="0.2">
      <c r="A235" t="str">
        <f t="shared" si="56"/>
        <v>S</v>
      </c>
      <c r="B235">
        <f t="shared" ca="1" si="57"/>
        <v>2</v>
      </c>
      <c r="C235" t="str">
        <f t="shared" ca="1" si="58"/>
        <v>S</v>
      </c>
      <c r="D235">
        <f t="shared" ca="1" si="59"/>
        <v>0</v>
      </c>
      <c r="E235">
        <f ca="1">IF($C235=1,OFFSET(E235,-1,0)+MAX(1,COUNTIF(QCI!$A$13:$A$24,OFFSET(ORÇAMENTO!E235,-1,0))),OFFSET(E235,-1,0))</f>
        <v>1</v>
      </c>
      <c r="F235">
        <f t="shared" ca="1" si="60"/>
        <v>31</v>
      </c>
      <c r="G235">
        <f t="shared" ca="1" si="61"/>
        <v>0</v>
      </c>
      <c r="H235">
        <f t="shared" ca="1" si="62"/>
        <v>0</v>
      </c>
      <c r="I235">
        <f t="shared" ca="1" si="63"/>
        <v>0</v>
      </c>
      <c r="J235">
        <f t="shared" ca="1" si="73"/>
        <v>0</v>
      </c>
      <c r="K235">
        <f ca="1">IF(OR($C235="S",$C235=0),0,MATCH(OFFSET($D235,0,$C235)+IF($C235&lt;&gt;1,1,COUNTIF(QCI!$A$13:$A$24,ORÇAMENTO!E235)),OFFSET($D235,1,$C235,ROW($C$727)-ROW($C235)),0))</f>
        <v>0</v>
      </c>
      <c r="L235" s="116" t="str">
        <f t="shared" ca="1" si="64"/>
        <v/>
      </c>
      <c r="M235" s="117" t="s">
        <v>199</v>
      </c>
      <c r="N235" s="118" t="str">
        <f t="shared" ca="1" si="65"/>
        <v>Serviço</v>
      </c>
      <c r="O235" s="119" t="str">
        <f t="shared" ca="1" si="66"/>
        <v>-</v>
      </c>
      <c r="P235" s="120" t="s">
        <v>458</v>
      </c>
      <c r="Q235" s="121" t="s">
        <v>629</v>
      </c>
      <c r="R235" s="122" t="str">
        <f ca="1">IF($C235="S",REFERENCIA.Descricao,"(digite a descrição aqui)")</f>
        <v>(abra o arquivo 'Referência 06-2024.xlsm)</v>
      </c>
      <c r="S235" s="123" t="str">
        <f ca="1">REFERENCIA.Unidade</f>
        <v>-</v>
      </c>
      <c r="T235" s="124">
        <f ca="1">OFFSET(CÁLCULO!H$15,ROW($T235)-ROW(T$15),0)</f>
        <v>2.4900000000000002</v>
      </c>
      <c r="U235" s="125">
        <f t="shared" ca="1" si="74"/>
        <v>0</v>
      </c>
      <c r="V235" s="126" t="s">
        <v>156</v>
      </c>
      <c r="W235" s="124">
        <f ca="1">IF($C235="S",ROUND(IF(TIPOORCAMENTO="Proposto",ORÇAMENTO.CustoUnitario*(1+$AH235),ORÇAMENTO.PrecoUnitarioLicitado),15-13*$AF$10),0)</f>
        <v>0</v>
      </c>
      <c r="X235" s="127">
        <f ca="1">IF($C235="S",IF(Import.TipoArredondamento&lt;&gt;"TransfereGOV",VTOTAL1,SUM(OFFSET(CÁLCULO!$AI$15,ROW($X235)-ROW($X$15),1):OFFSET(CÁLCULO!$BB$15,ROW($X235)-ROW($X$15),-1))),IF($C235=0,0,ROUND(SomaAgrup,15-13*$AF$11)))</f>
        <v>0</v>
      </c>
      <c r="Y235" s="128" t="s">
        <v>245</v>
      </c>
      <c r="Z235" t="str">
        <f t="shared" ca="1" si="67"/>
        <v/>
      </c>
      <c r="AA235" s="129">
        <f ca="1">IF($C235="S",IF($Z235="CP",$X235,IF($Z235="RA",(($X235)*QCI!$AA$3),0)),SomaAgrup)</f>
        <v>0</v>
      </c>
      <c r="AB235" s="130">
        <f t="shared" ca="1" si="68"/>
        <v>0</v>
      </c>
      <c r="AC235" s="131" t="str">
        <f ca="1">IF($N235="","",IF(ORÇAMENTO.Descricao="","DESCRIÇÃO",IF(AND($C235="S",ORÇAMENTO.Unidade=""),"UNIDADE",IF($X235&lt;0,"VALOR NEGATIVO",IF(OR(AND(TIPOORCAMENTO="Proposto",$AG235&lt;&gt;"",$AG235&gt;0,ORÇAMENTO.CustoUnitario&gt;$AG235),AND(TIPOORCAMENTO="LICITADO",ORÇAMENTO.PrecoUnitarioLicitado&gt;$AN235)),"ACIMA REF.","")))))</f>
        <v/>
      </c>
      <c r="AD235" t="str">
        <f ca="1">IF(C235&lt;=CRONO.NivelExibicao,MAX($AD$15:OFFSET(AD235,-1,0))+IF($C235&lt;&gt;1,1,MAX(1,COUNTIF(QCI!$A$13:$A$24,OFFSET($E235,-1,0)))),"")</f>
        <v/>
      </c>
      <c r="AE235" s="7" t="str">
        <f ca="1">IF(AND($C235="S",ORÇAMENTO.CodBarra&lt;&gt;""),IF(ORÇAMENTO.Fonte="",ORÇAMENTO.CodBarra,CONCATENATE(ORÇAMENTO.Fonte," ",ORÇAMENTO.CodBarra)))</f>
        <v>COMPOSIÇÃO FNDE 407</v>
      </c>
      <c r="AF235" s="13" t="str">
        <f ca="1">IF(ISERROR(INDIRECT(ORÇAMENTO.BancoRef)),"(abra o arquivo 'Referência "&amp;Excel_BuiltIn_Database&amp;".xlsm)",IF(OR($C235&lt;&gt;"S",ORÇAMENTO.CodBarra=""),"(Sem Código)",IF(ISERROR(MATCH($AE235,INDIRECT(ORÇAMENTO.BancoRef),0)),"(Código não identificado nas referências)",MATCH($AE235,INDIRECT(ORÇAMENTO.BancoRef),0))))</f>
        <v>(abra o arquivo 'Referência 06-2024.xlsm)</v>
      </c>
      <c r="AG235" s="498">
        <f ca="1">ROUND(IF(DESONERACAO="sim",REFERENCIA.Desonerado,REFERENCIA.NaoDesonerado),2)</f>
        <v>0</v>
      </c>
      <c r="AH235" s="499">
        <f t="shared" ca="1" si="69"/>
        <v>0.2432</v>
      </c>
      <c r="AJ235" s="501"/>
      <c r="AL235" s="527"/>
      <c r="AM235" s="381">
        <f t="shared" ca="1" si="70"/>
        <v>0</v>
      </c>
      <c r="AN235" s="566">
        <f t="shared" ca="1" si="71"/>
        <v>0</v>
      </c>
    </row>
    <row r="236" spans="1:40" ht="25.5" x14ac:dyDescent="0.2">
      <c r="A236" t="str">
        <f t="shared" si="56"/>
        <v>S</v>
      </c>
      <c r="B236">
        <f t="shared" ca="1" si="57"/>
        <v>2</v>
      </c>
      <c r="C236" t="str">
        <f t="shared" ca="1" si="58"/>
        <v>S</v>
      </c>
      <c r="D236">
        <f t="shared" ca="1" si="59"/>
        <v>0</v>
      </c>
      <c r="E236">
        <f ca="1">IF($C236=1,OFFSET(E236,-1,0)+MAX(1,COUNTIF(QCI!$A$13:$A$24,OFFSET(ORÇAMENTO!E236,-1,0))),OFFSET(E236,-1,0))</f>
        <v>1</v>
      </c>
      <c r="F236">
        <f t="shared" ca="1" si="60"/>
        <v>31</v>
      </c>
      <c r="G236">
        <f t="shared" ca="1" si="61"/>
        <v>0</v>
      </c>
      <c r="H236">
        <f t="shared" ca="1" si="62"/>
        <v>0</v>
      </c>
      <c r="I236">
        <f t="shared" ca="1" si="63"/>
        <v>0</v>
      </c>
      <c r="J236">
        <f t="shared" ca="1" si="73"/>
        <v>0</v>
      </c>
      <c r="K236">
        <f ca="1">IF(OR($C236="S",$C236=0),0,MATCH(OFFSET($D236,0,$C236)+IF($C236&lt;&gt;1,1,COUNTIF(QCI!$A$13:$A$24,ORÇAMENTO!E236)),OFFSET($D236,1,$C236,ROW($C$727)-ROW($C236)),0))</f>
        <v>0</v>
      </c>
      <c r="L236" s="116" t="str">
        <f t="shared" ca="1" si="64"/>
        <v/>
      </c>
      <c r="M236" s="117" t="s">
        <v>199</v>
      </c>
      <c r="N236" s="118" t="str">
        <f t="shared" ca="1" si="65"/>
        <v>Serviço</v>
      </c>
      <c r="O236" s="119" t="str">
        <f t="shared" ca="1" si="66"/>
        <v>-</v>
      </c>
      <c r="P236" s="120" t="s">
        <v>458</v>
      </c>
      <c r="Q236" s="121" t="s">
        <v>630</v>
      </c>
      <c r="R236" s="122" t="str">
        <f ca="1">IF($C236="S",REFERENCIA.Descricao,"(digite a descrição aqui)")</f>
        <v>(abra o arquivo 'Referência 06-2024.xlsm)</v>
      </c>
      <c r="S236" s="123" t="str">
        <f ca="1">REFERENCIA.Unidade</f>
        <v>-</v>
      </c>
      <c r="T236" s="124">
        <f ca="1">OFFSET(CÁLCULO!H$15,ROW($T236)-ROW(T$15),0)</f>
        <v>2.65</v>
      </c>
      <c r="U236" s="125">
        <f t="shared" ca="1" si="74"/>
        <v>0</v>
      </c>
      <c r="V236" s="126" t="s">
        <v>156</v>
      </c>
      <c r="W236" s="124">
        <f ca="1">IF($C236="S",ROUND(IF(TIPOORCAMENTO="Proposto",ORÇAMENTO.CustoUnitario*(1+$AH236),ORÇAMENTO.PrecoUnitarioLicitado),15-13*$AF$10),0)</f>
        <v>0</v>
      </c>
      <c r="X236" s="127">
        <f ca="1">IF($C236="S",IF(Import.TipoArredondamento&lt;&gt;"TransfereGOV",VTOTAL1,SUM(OFFSET(CÁLCULO!$AI$15,ROW($X236)-ROW($X$15),1):OFFSET(CÁLCULO!$BB$15,ROW($X236)-ROW($X$15),-1))),IF($C236=0,0,ROUND(SomaAgrup,15-13*$AF$11)))</f>
        <v>0</v>
      </c>
      <c r="Y236" s="128" t="s">
        <v>245</v>
      </c>
      <c r="Z236" t="str">
        <f t="shared" ca="1" si="67"/>
        <v/>
      </c>
      <c r="AA236" s="129">
        <f ca="1">IF($C236="S",IF($Z236="CP",$X236,IF($Z236="RA",(($X236)*QCI!$AA$3),0)),SomaAgrup)</f>
        <v>0</v>
      </c>
      <c r="AB236" s="130">
        <f t="shared" ca="1" si="68"/>
        <v>0</v>
      </c>
      <c r="AC236" s="131" t="str">
        <f ca="1">IF($N236="","",IF(ORÇAMENTO.Descricao="","DESCRIÇÃO",IF(AND($C236="S",ORÇAMENTO.Unidade=""),"UNIDADE",IF($X236&lt;0,"VALOR NEGATIVO",IF(OR(AND(TIPOORCAMENTO="Proposto",$AG236&lt;&gt;"",$AG236&gt;0,ORÇAMENTO.CustoUnitario&gt;$AG236),AND(TIPOORCAMENTO="LICITADO",ORÇAMENTO.PrecoUnitarioLicitado&gt;$AN236)),"ACIMA REF.","")))))</f>
        <v/>
      </c>
      <c r="AD236" t="str">
        <f ca="1">IF(C236&lt;=CRONO.NivelExibicao,MAX($AD$15:OFFSET(AD236,-1,0))+IF($C236&lt;&gt;1,1,MAX(1,COUNTIF(QCI!$A$13:$A$24,OFFSET($E236,-1,0)))),"")</f>
        <v/>
      </c>
      <c r="AE236" s="7" t="str">
        <f ca="1">IF(AND($C236="S",ORÇAMENTO.CodBarra&lt;&gt;""),IF(ORÇAMENTO.Fonte="",ORÇAMENTO.CodBarra,CONCATENATE(ORÇAMENTO.Fonte," ",ORÇAMENTO.CodBarra)))</f>
        <v>COMPOSIÇÃO FNDE 409</v>
      </c>
      <c r="AF236" s="13" t="str">
        <f ca="1">IF(ISERROR(INDIRECT(ORÇAMENTO.BancoRef)),"(abra o arquivo 'Referência "&amp;Excel_BuiltIn_Database&amp;".xlsm)",IF(OR($C236&lt;&gt;"S",ORÇAMENTO.CodBarra=""),"(Sem Código)",IF(ISERROR(MATCH($AE236,INDIRECT(ORÇAMENTO.BancoRef),0)),"(Código não identificado nas referências)",MATCH($AE236,INDIRECT(ORÇAMENTO.BancoRef),0))))</f>
        <v>(abra o arquivo 'Referência 06-2024.xlsm)</v>
      </c>
      <c r="AG236" s="498">
        <f ca="1">ROUND(IF(DESONERACAO="sim",REFERENCIA.Desonerado,REFERENCIA.NaoDesonerado),2)</f>
        <v>0</v>
      </c>
      <c r="AH236" s="499">
        <f t="shared" ca="1" si="69"/>
        <v>0.2432</v>
      </c>
      <c r="AJ236" s="501"/>
      <c r="AL236" s="527"/>
      <c r="AM236" s="381">
        <f t="shared" ca="1" si="70"/>
        <v>0</v>
      </c>
      <c r="AN236" s="566">
        <f t="shared" ca="1" si="71"/>
        <v>0</v>
      </c>
    </row>
    <row r="237" spans="1:40" x14ac:dyDescent="0.2">
      <c r="A237">
        <f t="shared" si="56"/>
        <v>2</v>
      </c>
      <c r="B237">
        <f t="shared" ca="1" si="57"/>
        <v>2</v>
      </c>
      <c r="C237">
        <f t="shared" ca="1" si="58"/>
        <v>2</v>
      </c>
      <c r="D237">
        <f t="shared" ca="1" si="59"/>
        <v>8</v>
      </c>
      <c r="E237">
        <f ca="1">IF($C237=1,OFFSET(E237,-1,0)+MAX(1,COUNTIF(QCI!$A$13:$A$24,OFFSET(ORÇAMENTO!E237,-1,0))),OFFSET(E237,-1,0))</f>
        <v>1</v>
      </c>
      <c r="F237">
        <f t="shared" ca="1" si="60"/>
        <v>32</v>
      </c>
      <c r="G237">
        <f t="shared" ca="1" si="61"/>
        <v>0</v>
      </c>
      <c r="H237">
        <f t="shared" ca="1" si="62"/>
        <v>0</v>
      </c>
      <c r="I237">
        <f t="shared" ca="1" si="63"/>
        <v>0</v>
      </c>
      <c r="J237">
        <f t="shared" ca="1" si="73"/>
        <v>490</v>
      </c>
      <c r="K237">
        <f ca="1">IF(OR($C237="S",$C237=0),0,MATCH(OFFSET($D237,0,$C237)+IF($C237&lt;&gt;1,1,COUNTIF(QCI!$A$13:$A$24,ORÇAMENTO!E237)),OFFSET($D237,1,$C237,ROW($C$727)-ROW($C237)),0))</f>
        <v>8</v>
      </c>
      <c r="L237" s="116" t="str">
        <f t="shared" ca="1" si="64"/>
        <v>F</v>
      </c>
      <c r="M237" s="117" t="s">
        <v>196</v>
      </c>
      <c r="N237" s="118" t="str">
        <f t="shared" ca="1" si="65"/>
        <v>Nível 2</v>
      </c>
      <c r="O237" s="119" t="str">
        <f t="shared" ca="1" si="66"/>
        <v>1.32.</v>
      </c>
      <c r="P237" s="120" t="s">
        <v>247</v>
      </c>
      <c r="Q237" s="121"/>
      <c r="R237" s="122" t="s">
        <v>1056</v>
      </c>
      <c r="S237" s="123" t="str">
        <f ca="1">REFERENCIA.Unidade</f>
        <v>-</v>
      </c>
      <c r="T237" s="124">
        <f ca="1">OFFSET(CÁLCULO!H$15,ROW($T237)-ROW(T$15),0)</f>
        <v>0</v>
      </c>
      <c r="U237" s="125">
        <f t="shared" ca="1" si="74"/>
        <v>0</v>
      </c>
      <c r="V237" s="126" t="s">
        <v>156</v>
      </c>
      <c r="W237" s="124">
        <f ca="1">IF($C237="S",ROUND(IF(TIPOORCAMENTO="Proposto",ORÇAMENTO.CustoUnitario*(1+$AH237),ORÇAMENTO.PrecoUnitarioLicitado),15-13*$AF$10),0)</f>
        <v>0</v>
      </c>
      <c r="X237" s="127">
        <f ca="1">IF($C237="S",IF(Import.TipoArredondamento&lt;&gt;"TransfereGOV",VTOTAL1,SUM(OFFSET(CÁLCULO!$AI$15,ROW($X237)-ROW($X$15),1):OFFSET(CÁLCULO!$BB$15,ROW($X237)-ROW($X$15),-1))),IF($C237=0,0,ROUND(SomaAgrup,15-13*$AF$11)))</f>
        <v>0</v>
      </c>
      <c r="Y237" s="128" t="s">
        <v>245</v>
      </c>
      <c r="Z237" t="str">
        <f t="shared" ca="1" si="67"/>
        <v/>
      </c>
      <c r="AA237" s="129">
        <f ca="1">IF($C237="S",IF($Z237="CP",$X237,IF($Z237="RA",(($X237)*QCI!$AA$3),0)),SomaAgrup)</f>
        <v>0</v>
      </c>
      <c r="AB237" s="130">
        <f t="shared" ca="1" si="68"/>
        <v>0</v>
      </c>
      <c r="AC237" s="131" t="str">
        <f ca="1">IF($N237="","",IF(ORÇAMENTO.Descricao="","DESCRIÇÃO",IF(AND($C237="S",ORÇAMENTO.Unidade=""),"UNIDADE",IF($X237&lt;0,"VALOR NEGATIVO",IF(OR(AND(TIPOORCAMENTO="Proposto",$AG237&lt;&gt;"",$AG237&gt;0,ORÇAMENTO.CustoUnitario&gt;$AG237),AND(TIPOORCAMENTO="LICITADO",ORÇAMENTO.PrecoUnitarioLicitado&gt;$AN237)),"ACIMA REF.","")))))</f>
        <v/>
      </c>
      <c r="AD237">
        <f ca="1">IF(C237&lt;=CRONO.NivelExibicao,MAX($AD$15:OFFSET(AD237,-1,0))+IF($C237&lt;&gt;1,1,MAX(1,COUNTIF(QCI!$A$13:$A$24,OFFSET($E237,-1,0)))),"")</f>
        <v>33</v>
      </c>
      <c r="AE237" s="7" t="b">
        <f ca="1">IF(AND($C237="S",ORÇAMENTO.CodBarra&lt;&gt;""),IF(ORÇAMENTO.Fonte="",ORÇAMENTO.CodBarra,CONCATENATE(ORÇAMENTO.Fonte," ",ORÇAMENTO.CodBarra)))</f>
        <v>0</v>
      </c>
      <c r="AF237" s="13" t="str">
        <f ca="1">IF(ISERROR(INDIRECT(ORÇAMENTO.BancoRef)),"(abra o arquivo 'Referência "&amp;Excel_BuiltIn_Database&amp;".xlsm)",IF(OR($C237&lt;&gt;"S",ORÇAMENTO.CodBarra=""),"(Sem Código)",IF(ISERROR(MATCH($AE237,INDIRECT(ORÇAMENTO.BancoRef),0)),"(Código não identificado nas referências)",MATCH($AE237,INDIRECT(ORÇAMENTO.BancoRef),0))))</f>
        <v>(abra o arquivo 'Referência 06-2024.xlsm)</v>
      </c>
      <c r="AG237" s="498">
        <f ca="1">ROUND(IF(DESONERACAO="sim",REFERENCIA.Desonerado,REFERENCIA.NaoDesonerado),2)</f>
        <v>0</v>
      </c>
      <c r="AH237" s="499">
        <f t="shared" ca="1" si="69"/>
        <v>0.2432</v>
      </c>
      <c r="AJ237" s="501"/>
      <c r="AL237" s="527"/>
      <c r="AM237" s="381">
        <f t="shared" ca="1" si="70"/>
        <v>0</v>
      </c>
      <c r="AN237" s="566">
        <f t="shared" ca="1" si="71"/>
        <v>0</v>
      </c>
    </row>
    <row r="238" spans="1:40" ht="25.5" x14ac:dyDescent="0.2">
      <c r="A238" t="str">
        <f t="shared" si="56"/>
        <v>S</v>
      </c>
      <c r="B238">
        <f t="shared" ca="1" si="57"/>
        <v>2</v>
      </c>
      <c r="C238" t="str">
        <f t="shared" ca="1" si="58"/>
        <v>S</v>
      </c>
      <c r="D238">
        <f t="shared" ca="1" si="59"/>
        <v>0</v>
      </c>
      <c r="E238">
        <f ca="1">IF($C238=1,OFFSET(E238,-1,0)+MAX(1,COUNTIF(QCI!$A$13:$A$24,OFFSET(ORÇAMENTO!E238,-1,0))),OFFSET(E238,-1,0))</f>
        <v>1</v>
      </c>
      <c r="F238">
        <f t="shared" ca="1" si="60"/>
        <v>32</v>
      </c>
      <c r="G238">
        <f t="shared" ca="1" si="61"/>
        <v>0</v>
      </c>
      <c r="H238">
        <f t="shared" ca="1" si="62"/>
        <v>0</v>
      </c>
      <c r="I238">
        <f t="shared" ca="1" si="63"/>
        <v>0</v>
      </c>
      <c r="J238">
        <f t="shared" ca="1" si="73"/>
        <v>0</v>
      </c>
      <c r="K238">
        <f ca="1">IF(OR($C238="S",$C238=0),0,MATCH(OFFSET($D238,0,$C238)+IF($C238&lt;&gt;1,1,COUNTIF(QCI!$A$13:$A$24,ORÇAMENTO!E238)),OFFSET($D238,1,$C238,ROW($C$727)-ROW($C238)),0))</f>
        <v>0</v>
      </c>
      <c r="L238" s="116" t="str">
        <f t="shared" ca="1" si="64"/>
        <v/>
      </c>
      <c r="M238" s="117" t="s">
        <v>199</v>
      </c>
      <c r="N238" s="118" t="str">
        <f t="shared" ca="1" si="65"/>
        <v>Serviço</v>
      </c>
      <c r="O238" s="119" t="str">
        <f t="shared" ca="1" si="66"/>
        <v>-</v>
      </c>
      <c r="P238" s="120" t="s">
        <v>458</v>
      </c>
      <c r="Q238" s="121" t="s">
        <v>628</v>
      </c>
      <c r="R238" s="122" t="str">
        <f ca="1">IF($C238="S",REFERENCIA.Descricao,"(digite a descrição aqui)")</f>
        <v>(abra o arquivo 'Referência 06-2024.xlsm)</v>
      </c>
      <c r="S238" s="123" t="str">
        <f ca="1">REFERENCIA.Unidade</f>
        <v>-</v>
      </c>
      <c r="T238" s="124">
        <f ca="1">OFFSET(CÁLCULO!H$15,ROW($T238)-ROW(T$15),0)</f>
        <v>4.47</v>
      </c>
      <c r="U238" s="125">
        <f t="shared" ca="1" si="74"/>
        <v>0</v>
      </c>
      <c r="V238" s="126" t="s">
        <v>156</v>
      </c>
      <c r="W238" s="124">
        <f ca="1">IF($C238="S",ROUND(IF(TIPOORCAMENTO="Proposto",ORÇAMENTO.CustoUnitario*(1+$AH238),ORÇAMENTO.PrecoUnitarioLicitado),15-13*$AF$10),0)</f>
        <v>0</v>
      </c>
      <c r="X238" s="127">
        <f ca="1">IF($C238="S",IF(Import.TipoArredondamento&lt;&gt;"TransfereGOV",VTOTAL1,SUM(OFFSET(CÁLCULO!$AI$15,ROW($X238)-ROW($X$15),1):OFFSET(CÁLCULO!$BB$15,ROW($X238)-ROW($X$15),-1))),IF($C238=0,0,ROUND(SomaAgrup,15-13*$AF$11)))</f>
        <v>0</v>
      </c>
      <c r="Y238" s="128" t="s">
        <v>245</v>
      </c>
      <c r="Z238" t="str">
        <f t="shared" ca="1" si="67"/>
        <v/>
      </c>
      <c r="AA238" s="129">
        <f ca="1">IF($C238="S",IF($Z238="CP",$X238,IF($Z238="RA",(($X238)*QCI!$AA$3),0)),SomaAgrup)</f>
        <v>0</v>
      </c>
      <c r="AB238" s="130">
        <f t="shared" ca="1" si="68"/>
        <v>0</v>
      </c>
      <c r="AC238" s="131" t="str">
        <f ca="1">IF($N238="","",IF(ORÇAMENTO.Descricao="","DESCRIÇÃO",IF(AND($C238="S",ORÇAMENTO.Unidade=""),"UNIDADE",IF($X238&lt;0,"VALOR NEGATIVO",IF(OR(AND(TIPOORCAMENTO="Proposto",$AG238&lt;&gt;"",$AG238&gt;0,ORÇAMENTO.CustoUnitario&gt;$AG238),AND(TIPOORCAMENTO="LICITADO",ORÇAMENTO.PrecoUnitarioLicitado&gt;$AN238)),"ACIMA REF.","")))))</f>
        <v/>
      </c>
      <c r="AD238" t="str">
        <f ca="1">IF(C238&lt;=CRONO.NivelExibicao,MAX($AD$15:OFFSET(AD238,-1,0))+IF($C238&lt;&gt;1,1,MAX(1,COUNTIF(QCI!$A$13:$A$24,OFFSET($E238,-1,0)))),"")</f>
        <v/>
      </c>
      <c r="AE238" s="7" t="str">
        <f ca="1">IF(AND($C238="S",ORÇAMENTO.CodBarra&lt;&gt;""),IF(ORÇAMENTO.Fonte="",ORÇAMENTO.CodBarra,CONCATENATE(ORÇAMENTO.Fonte," ",ORÇAMENTO.CodBarra)))</f>
        <v>COMPOSIÇÃO FNDE 406</v>
      </c>
      <c r="AF238" s="13" t="str">
        <f ca="1">IF(ISERROR(INDIRECT(ORÇAMENTO.BancoRef)),"(abra o arquivo 'Referência "&amp;Excel_BuiltIn_Database&amp;".xlsm)",IF(OR($C238&lt;&gt;"S",ORÇAMENTO.CodBarra=""),"(Sem Código)",IF(ISERROR(MATCH($AE238,INDIRECT(ORÇAMENTO.BancoRef),0)),"(Código não identificado nas referências)",MATCH($AE238,INDIRECT(ORÇAMENTO.BancoRef),0))))</f>
        <v>(abra o arquivo 'Referência 06-2024.xlsm)</v>
      </c>
      <c r="AG238" s="498">
        <f ca="1">ROUND(IF(DESONERACAO="sim",REFERENCIA.Desonerado,REFERENCIA.NaoDesonerado),2)</f>
        <v>0</v>
      </c>
      <c r="AH238" s="499">
        <f t="shared" ca="1" si="69"/>
        <v>0.2432</v>
      </c>
      <c r="AJ238" s="501"/>
      <c r="AL238" s="527"/>
      <c r="AM238" s="381">
        <f t="shared" ca="1" si="70"/>
        <v>0</v>
      </c>
      <c r="AN238" s="566">
        <f t="shared" ca="1" si="71"/>
        <v>0</v>
      </c>
    </row>
    <row r="239" spans="1:40" ht="25.5" x14ac:dyDescent="0.2">
      <c r="A239" t="str">
        <f t="shared" si="56"/>
        <v>S</v>
      </c>
      <c r="B239">
        <f t="shared" ca="1" si="57"/>
        <v>2</v>
      </c>
      <c r="C239" t="str">
        <f t="shared" ca="1" si="58"/>
        <v>S</v>
      </c>
      <c r="D239">
        <f t="shared" ca="1" si="59"/>
        <v>0</v>
      </c>
      <c r="E239">
        <f ca="1">IF($C239=1,OFFSET(E239,-1,0)+MAX(1,COUNTIF(QCI!$A$13:$A$24,OFFSET(ORÇAMENTO!E239,-1,0))),OFFSET(E239,-1,0))</f>
        <v>1</v>
      </c>
      <c r="F239">
        <f t="shared" ca="1" si="60"/>
        <v>32</v>
      </c>
      <c r="G239">
        <f t="shared" ca="1" si="61"/>
        <v>0</v>
      </c>
      <c r="H239">
        <f t="shared" ca="1" si="62"/>
        <v>0</v>
      </c>
      <c r="I239">
        <f t="shared" ca="1" si="63"/>
        <v>0</v>
      </c>
      <c r="J239">
        <f t="shared" ca="1" si="73"/>
        <v>0</v>
      </c>
      <c r="K239">
        <f ca="1">IF(OR($C239="S",$C239=0),0,MATCH(OFFSET($D239,0,$C239)+IF($C239&lt;&gt;1,1,COUNTIF(QCI!$A$13:$A$24,ORÇAMENTO!E239)),OFFSET($D239,1,$C239,ROW($C$727)-ROW($C239)),0))</f>
        <v>0</v>
      </c>
      <c r="L239" s="116" t="str">
        <f t="shared" ca="1" si="64"/>
        <v/>
      </c>
      <c r="M239" s="117" t="s">
        <v>199</v>
      </c>
      <c r="N239" s="118" t="str">
        <f t="shared" ca="1" si="65"/>
        <v>Serviço</v>
      </c>
      <c r="O239" s="119" t="str">
        <f t="shared" ca="1" si="66"/>
        <v>-</v>
      </c>
      <c r="P239" s="120" t="s">
        <v>458</v>
      </c>
      <c r="Q239" s="121" t="s">
        <v>629</v>
      </c>
      <c r="R239" s="122" t="str">
        <f ca="1">IF($C239="S",REFERENCIA.Descricao,"(digite a descrição aqui)")</f>
        <v>(abra o arquivo 'Referência 06-2024.xlsm)</v>
      </c>
      <c r="S239" s="123" t="str">
        <f ca="1">REFERENCIA.Unidade</f>
        <v>-</v>
      </c>
      <c r="T239" s="124">
        <f ca="1">OFFSET(CÁLCULO!H$15,ROW($T239)-ROW(T$15),0)</f>
        <v>3.23</v>
      </c>
      <c r="U239" s="125">
        <f t="shared" ca="1" si="74"/>
        <v>0</v>
      </c>
      <c r="V239" s="126" t="s">
        <v>156</v>
      </c>
      <c r="W239" s="124">
        <f ca="1">IF($C239="S",ROUND(IF(TIPOORCAMENTO="Proposto",ORÇAMENTO.CustoUnitario*(1+$AH239),ORÇAMENTO.PrecoUnitarioLicitado),15-13*$AF$10),0)</f>
        <v>0</v>
      </c>
      <c r="X239" s="127">
        <f ca="1">IF($C239="S",IF(Import.TipoArredondamento&lt;&gt;"TransfereGOV",VTOTAL1,SUM(OFFSET(CÁLCULO!$AI$15,ROW($X239)-ROW($X$15),1):OFFSET(CÁLCULO!$BB$15,ROW($X239)-ROW($X$15),-1))),IF($C239=0,0,ROUND(SomaAgrup,15-13*$AF$11)))</f>
        <v>0</v>
      </c>
      <c r="Y239" s="128" t="s">
        <v>245</v>
      </c>
      <c r="Z239" t="str">
        <f t="shared" ca="1" si="67"/>
        <v/>
      </c>
      <c r="AA239" s="129">
        <f ca="1">IF($C239="S",IF($Z239="CP",$X239,IF($Z239="RA",(($X239)*QCI!$AA$3),0)),SomaAgrup)</f>
        <v>0</v>
      </c>
      <c r="AB239" s="130">
        <f t="shared" ca="1" si="68"/>
        <v>0</v>
      </c>
      <c r="AC239" s="131" t="str">
        <f ca="1">IF($N239="","",IF(ORÇAMENTO.Descricao="","DESCRIÇÃO",IF(AND($C239="S",ORÇAMENTO.Unidade=""),"UNIDADE",IF($X239&lt;0,"VALOR NEGATIVO",IF(OR(AND(TIPOORCAMENTO="Proposto",$AG239&lt;&gt;"",$AG239&gt;0,ORÇAMENTO.CustoUnitario&gt;$AG239),AND(TIPOORCAMENTO="LICITADO",ORÇAMENTO.PrecoUnitarioLicitado&gt;$AN239)),"ACIMA REF.","")))))</f>
        <v/>
      </c>
      <c r="AD239" t="str">
        <f ca="1">IF(C239&lt;=CRONO.NivelExibicao,MAX($AD$15:OFFSET(AD239,-1,0))+IF($C239&lt;&gt;1,1,MAX(1,COUNTIF(QCI!$A$13:$A$24,OFFSET($E239,-1,0)))),"")</f>
        <v/>
      </c>
      <c r="AE239" s="7" t="str">
        <f ca="1">IF(AND($C239="S",ORÇAMENTO.CodBarra&lt;&gt;""),IF(ORÇAMENTO.Fonte="",ORÇAMENTO.CodBarra,CONCATENATE(ORÇAMENTO.Fonte," ",ORÇAMENTO.CodBarra)))</f>
        <v>COMPOSIÇÃO FNDE 407</v>
      </c>
      <c r="AF239" s="13" t="str">
        <f ca="1">IF(ISERROR(INDIRECT(ORÇAMENTO.BancoRef)),"(abra o arquivo 'Referência "&amp;Excel_BuiltIn_Database&amp;".xlsm)",IF(OR($C239&lt;&gt;"S",ORÇAMENTO.CodBarra=""),"(Sem Código)",IF(ISERROR(MATCH($AE239,INDIRECT(ORÇAMENTO.BancoRef),0)),"(Código não identificado nas referências)",MATCH($AE239,INDIRECT(ORÇAMENTO.BancoRef),0))))</f>
        <v>(abra o arquivo 'Referência 06-2024.xlsm)</v>
      </c>
      <c r="AG239" s="498">
        <f ca="1">ROUND(IF(DESONERACAO="sim",REFERENCIA.Desonerado,REFERENCIA.NaoDesonerado),2)</f>
        <v>0</v>
      </c>
      <c r="AH239" s="499">
        <f t="shared" ca="1" si="69"/>
        <v>0.2432</v>
      </c>
      <c r="AJ239" s="501"/>
      <c r="AL239" s="527"/>
      <c r="AM239" s="381">
        <f t="shared" ca="1" si="70"/>
        <v>0</v>
      </c>
      <c r="AN239" s="566">
        <f t="shared" ca="1" si="71"/>
        <v>0</v>
      </c>
    </row>
    <row r="240" spans="1:40" ht="25.5" x14ac:dyDescent="0.2">
      <c r="A240" t="str">
        <f t="shared" si="56"/>
        <v>S</v>
      </c>
      <c r="B240">
        <f t="shared" ca="1" si="57"/>
        <v>2</v>
      </c>
      <c r="C240" t="str">
        <f t="shared" ca="1" si="58"/>
        <v>S</v>
      </c>
      <c r="D240">
        <f t="shared" ca="1" si="59"/>
        <v>0</v>
      </c>
      <c r="E240">
        <f ca="1">IF($C240=1,OFFSET(E240,-1,0)+MAX(1,COUNTIF(QCI!$A$13:$A$24,OFFSET(ORÇAMENTO!E240,-1,0))),OFFSET(E240,-1,0))</f>
        <v>1</v>
      </c>
      <c r="F240">
        <f t="shared" ca="1" si="60"/>
        <v>32</v>
      </c>
      <c r="G240">
        <f t="shared" ca="1" si="61"/>
        <v>0</v>
      </c>
      <c r="H240">
        <f t="shared" ca="1" si="62"/>
        <v>0</v>
      </c>
      <c r="I240">
        <f t="shared" ca="1" si="63"/>
        <v>0</v>
      </c>
      <c r="J240">
        <f t="shared" ca="1" si="73"/>
        <v>0</v>
      </c>
      <c r="K240">
        <f ca="1">IF(OR($C240="S",$C240=0),0,MATCH(OFFSET($D240,0,$C240)+IF($C240&lt;&gt;1,1,COUNTIF(QCI!$A$13:$A$24,ORÇAMENTO!E240)),OFFSET($D240,1,$C240,ROW($C$727)-ROW($C240)),0))</f>
        <v>0</v>
      </c>
      <c r="L240" s="116" t="str">
        <f t="shared" ca="1" si="64"/>
        <v/>
      </c>
      <c r="M240" s="117" t="s">
        <v>199</v>
      </c>
      <c r="N240" s="118" t="str">
        <f t="shared" ca="1" si="65"/>
        <v>Serviço</v>
      </c>
      <c r="O240" s="119" t="str">
        <f t="shared" ca="1" si="66"/>
        <v>-</v>
      </c>
      <c r="P240" s="120" t="s">
        <v>458</v>
      </c>
      <c r="Q240" s="121" t="s">
        <v>630</v>
      </c>
      <c r="R240" s="122" t="str">
        <f ca="1">IF($C240="S",REFERENCIA.Descricao,"(digite a descrição aqui)")</f>
        <v>(abra o arquivo 'Referência 06-2024.xlsm)</v>
      </c>
      <c r="S240" s="123" t="str">
        <f ca="1">REFERENCIA.Unidade</f>
        <v>-</v>
      </c>
      <c r="T240" s="124">
        <f ca="1">OFFSET(CÁLCULO!H$15,ROW($T240)-ROW(T$15),0)</f>
        <v>1.72</v>
      </c>
      <c r="U240" s="125">
        <f t="shared" ca="1" si="74"/>
        <v>0</v>
      </c>
      <c r="V240" s="126" t="s">
        <v>156</v>
      </c>
      <c r="W240" s="124">
        <f ca="1">IF($C240="S",ROUND(IF(TIPOORCAMENTO="Proposto",ORÇAMENTO.CustoUnitario*(1+$AH240),ORÇAMENTO.PrecoUnitarioLicitado),15-13*$AF$10),0)</f>
        <v>0</v>
      </c>
      <c r="X240" s="127">
        <f ca="1">IF($C240="S",IF(Import.TipoArredondamento&lt;&gt;"TransfereGOV",VTOTAL1,SUM(OFFSET(CÁLCULO!$AI$15,ROW($X240)-ROW($X$15),1):OFFSET(CÁLCULO!$BB$15,ROW($X240)-ROW($X$15),-1))),IF($C240=0,0,ROUND(SomaAgrup,15-13*$AF$11)))</f>
        <v>0</v>
      </c>
      <c r="Y240" s="128" t="s">
        <v>245</v>
      </c>
      <c r="Z240" t="str">
        <f t="shared" ca="1" si="67"/>
        <v/>
      </c>
      <c r="AA240" s="129">
        <f ca="1">IF($C240="S",IF($Z240="CP",$X240,IF($Z240="RA",(($X240)*QCI!$AA$3),0)),SomaAgrup)</f>
        <v>0</v>
      </c>
      <c r="AB240" s="130">
        <f t="shared" ca="1" si="68"/>
        <v>0</v>
      </c>
      <c r="AC240" s="131" t="str">
        <f ca="1">IF($N240="","",IF(ORÇAMENTO.Descricao="","DESCRIÇÃO",IF(AND($C240="S",ORÇAMENTO.Unidade=""),"UNIDADE",IF($X240&lt;0,"VALOR NEGATIVO",IF(OR(AND(TIPOORCAMENTO="Proposto",$AG240&lt;&gt;"",$AG240&gt;0,ORÇAMENTO.CustoUnitario&gt;$AG240),AND(TIPOORCAMENTO="LICITADO",ORÇAMENTO.PrecoUnitarioLicitado&gt;$AN240)),"ACIMA REF.","")))))</f>
        <v/>
      </c>
      <c r="AD240" t="str">
        <f ca="1">IF(C240&lt;=CRONO.NivelExibicao,MAX($AD$15:OFFSET(AD240,-1,0))+IF($C240&lt;&gt;1,1,MAX(1,COUNTIF(QCI!$A$13:$A$24,OFFSET($E240,-1,0)))),"")</f>
        <v/>
      </c>
      <c r="AE240" s="7" t="str">
        <f ca="1">IF(AND($C240="S",ORÇAMENTO.CodBarra&lt;&gt;""),IF(ORÇAMENTO.Fonte="",ORÇAMENTO.CodBarra,CONCATENATE(ORÇAMENTO.Fonte," ",ORÇAMENTO.CodBarra)))</f>
        <v>COMPOSIÇÃO FNDE 409</v>
      </c>
      <c r="AF240" s="13" t="str">
        <f ca="1">IF(ISERROR(INDIRECT(ORÇAMENTO.BancoRef)),"(abra o arquivo 'Referência "&amp;Excel_BuiltIn_Database&amp;".xlsm)",IF(OR($C240&lt;&gt;"S",ORÇAMENTO.CodBarra=""),"(Sem Código)",IF(ISERROR(MATCH($AE240,INDIRECT(ORÇAMENTO.BancoRef),0)),"(Código não identificado nas referências)",MATCH($AE240,INDIRECT(ORÇAMENTO.BancoRef),0))))</f>
        <v>(abra o arquivo 'Referência 06-2024.xlsm)</v>
      </c>
      <c r="AG240" s="498">
        <f ca="1">ROUND(IF(DESONERACAO="sim",REFERENCIA.Desonerado,REFERENCIA.NaoDesonerado),2)</f>
        <v>0</v>
      </c>
      <c r="AH240" s="499">
        <f t="shared" ca="1" si="69"/>
        <v>0.2432</v>
      </c>
      <c r="AJ240" s="501"/>
      <c r="AL240" s="527"/>
      <c r="AM240" s="381">
        <f t="shared" ca="1" si="70"/>
        <v>0</v>
      </c>
      <c r="AN240" s="566">
        <f t="shared" ca="1" si="71"/>
        <v>0</v>
      </c>
    </row>
    <row r="241" spans="1:40" ht="25.5" x14ac:dyDescent="0.2">
      <c r="A241" t="str">
        <f t="shared" si="56"/>
        <v>S</v>
      </c>
      <c r="B241">
        <f t="shared" ca="1" si="57"/>
        <v>2</v>
      </c>
      <c r="C241" t="str">
        <f t="shared" ca="1" si="58"/>
        <v>S</v>
      </c>
      <c r="D241">
        <f t="shared" ca="1" si="59"/>
        <v>0</v>
      </c>
      <c r="E241">
        <f ca="1">IF($C241=1,OFFSET(E241,-1,0)+MAX(1,COUNTIF(QCI!$A$13:$A$24,OFFSET(ORÇAMENTO!E241,-1,0))),OFFSET(E241,-1,0))</f>
        <v>1</v>
      </c>
      <c r="F241">
        <f t="shared" ca="1" si="60"/>
        <v>32</v>
      </c>
      <c r="G241">
        <f t="shared" ca="1" si="61"/>
        <v>0</v>
      </c>
      <c r="H241">
        <f t="shared" ca="1" si="62"/>
        <v>0</v>
      </c>
      <c r="I241">
        <f t="shared" ca="1" si="63"/>
        <v>0</v>
      </c>
      <c r="J241">
        <f t="shared" ca="1" si="73"/>
        <v>0</v>
      </c>
      <c r="K241">
        <f ca="1">IF(OR($C241="S",$C241=0),0,MATCH(OFFSET($D241,0,$C241)+IF($C241&lt;&gt;1,1,COUNTIF(QCI!$A$13:$A$24,ORÇAMENTO!E241)),OFFSET($D241,1,$C241,ROW($C$727)-ROW($C241)),0))</f>
        <v>0</v>
      </c>
      <c r="L241" s="116" t="str">
        <f t="shared" ca="1" si="64"/>
        <v/>
      </c>
      <c r="M241" s="117" t="s">
        <v>199</v>
      </c>
      <c r="N241" s="118" t="str">
        <f t="shared" ca="1" si="65"/>
        <v>Serviço</v>
      </c>
      <c r="O241" s="119" t="str">
        <f t="shared" ca="1" si="66"/>
        <v>-</v>
      </c>
      <c r="P241" s="120" t="s">
        <v>458</v>
      </c>
      <c r="Q241" s="121" t="s">
        <v>630</v>
      </c>
      <c r="R241" s="122" t="str">
        <f ca="1">IF($C241="S",REFERENCIA.Descricao,"(digite a descrição aqui)")</f>
        <v>(abra o arquivo 'Referência 06-2024.xlsm)</v>
      </c>
      <c r="S241" s="123" t="str">
        <f ca="1">REFERENCIA.Unidade</f>
        <v>-</v>
      </c>
      <c r="T241" s="124">
        <f ca="1">OFFSET(CÁLCULO!H$15,ROW($T241)-ROW(T$15),0)</f>
        <v>10.49</v>
      </c>
      <c r="U241" s="125">
        <f t="shared" ca="1" si="74"/>
        <v>0</v>
      </c>
      <c r="V241" s="126" t="s">
        <v>156</v>
      </c>
      <c r="W241" s="124">
        <f ca="1">IF($C241="S",ROUND(IF(TIPOORCAMENTO="Proposto",ORÇAMENTO.CustoUnitario*(1+$AH241),ORÇAMENTO.PrecoUnitarioLicitado),15-13*$AF$10),0)</f>
        <v>0</v>
      </c>
      <c r="X241" s="127">
        <f ca="1">IF($C241="S",IF(Import.TipoArredondamento&lt;&gt;"TransfereGOV",VTOTAL1,SUM(OFFSET(CÁLCULO!$AI$15,ROW($X241)-ROW($X$15),1):OFFSET(CÁLCULO!$BB$15,ROW($X241)-ROW($X$15),-1))),IF($C241=0,0,ROUND(SomaAgrup,15-13*$AF$11)))</f>
        <v>0</v>
      </c>
      <c r="Y241" s="128" t="s">
        <v>245</v>
      </c>
      <c r="Z241" t="str">
        <f t="shared" ca="1" si="67"/>
        <v/>
      </c>
      <c r="AA241" s="129">
        <f ca="1">IF($C241="S",IF($Z241="CP",$X241,IF($Z241="RA",(($X241)*QCI!$AA$3),0)),SomaAgrup)</f>
        <v>0</v>
      </c>
      <c r="AB241" s="130">
        <f t="shared" ca="1" si="68"/>
        <v>0</v>
      </c>
      <c r="AC241" s="131" t="str">
        <f ca="1">IF($N241="","",IF(ORÇAMENTO.Descricao="","DESCRIÇÃO",IF(AND($C241="S",ORÇAMENTO.Unidade=""),"UNIDADE",IF($X241&lt;0,"VALOR NEGATIVO",IF(OR(AND(TIPOORCAMENTO="Proposto",$AG241&lt;&gt;"",$AG241&gt;0,ORÇAMENTO.CustoUnitario&gt;$AG241),AND(TIPOORCAMENTO="LICITADO",ORÇAMENTO.PrecoUnitarioLicitado&gt;$AN241)),"ACIMA REF.","")))))</f>
        <v/>
      </c>
      <c r="AD241" t="str">
        <f ca="1">IF(C241&lt;=CRONO.NivelExibicao,MAX($AD$15:OFFSET(AD241,-1,0))+IF($C241&lt;&gt;1,1,MAX(1,COUNTIF(QCI!$A$13:$A$24,OFFSET($E241,-1,0)))),"")</f>
        <v/>
      </c>
      <c r="AE241" s="7" t="str">
        <f ca="1">IF(AND($C241="S",ORÇAMENTO.CodBarra&lt;&gt;""),IF(ORÇAMENTO.Fonte="",ORÇAMENTO.CodBarra,CONCATENATE(ORÇAMENTO.Fonte," ",ORÇAMENTO.CodBarra)))</f>
        <v>COMPOSIÇÃO FNDE 409</v>
      </c>
      <c r="AF241" s="13" t="str">
        <f ca="1">IF(ISERROR(INDIRECT(ORÇAMENTO.BancoRef)),"(abra o arquivo 'Referência "&amp;Excel_BuiltIn_Database&amp;".xlsm)",IF(OR($C241&lt;&gt;"S",ORÇAMENTO.CodBarra=""),"(Sem Código)",IF(ISERROR(MATCH($AE241,INDIRECT(ORÇAMENTO.BancoRef),0)),"(Código não identificado nas referências)",MATCH($AE241,INDIRECT(ORÇAMENTO.BancoRef),0))))</f>
        <v>(abra o arquivo 'Referência 06-2024.xlsm)</v>
      </c>
      <c r="AG241" s="498">
        <f ca="1">ROUND(IF(DESONERACAO="sim",REFERENCIA.Desonerado,REFERENCIA.NaoDesonerado),2)</f>
        <v>0</v>
      </c>
      <c r="AH241" s="499">
        <f t="shared" ca="1" si="69"/>
        <v>0.2432</v>
      </c>
      <c r="AJ241" s="501"/>
      <c r="AL241" s="527"/>
      <c r="AM241" s="381">
        <f t="shared" ca="1" si="70"/>
        <v>0</v>
      </c>
      <c r="AN241" s="566">
        <f t="shared" ca="1" si="71"/>
        <v>0</v>
      </c>
    </row>
    <row r="242" spans="1:40" ht="25.5" x14ac:dyDescent="0.2">
      <c r="A242" t="str">
        <f t="shared" si="56"/>
        <v>S</v>
      </c>
      <c r="B242">
        <f t="shared" ca="1" si="57"/>
        <v>2</v>
      </c>
      <c r="C242" t="str">
        <f t="shared" ca="1" si="58"/>
        <v>S</v>
      </c>
      <c r="D242">
        <f t="shared" ca="1" si="59"/>
        <v>0</v>
      </c>
      <c r="E242">
        <f ca="1">IF($C242=1,OFFSET(E242,-1,0)+MAX(1,COUNTIF(QCI!$A$13:$A$24,OFFSET(ORÇAMENTO!E242,-1,0))),OFFSET(E242,-1,0))</f>
        <v>1</v>
      </c>
      <c r="F242">
        <f t="shared" ca="1" si="60"/>
        <v>32</v>
      </c>
      <c r="G242">
        <f t="shared" ca="1" si="61"/>
        <v>0</v>
      </c>
      <c r="H242">
        <f t="shared" ca="1" si="62"/>
        <v>0</v>
      </c>
      <c r="I242">
        <f t="shared" ca="1" si="63"/>
        <v>0</v>
      </c>
      <c r="J242">
        <f t="shared" ca="1" si="73"/>
        <v>0</v>
      </c>
      <c r="K242">
        <f ca="1">IF(OR($C242="S",$C242=0),0,MATCH(OFFSET($D242,0,$C242)+IF($C242&lt;&gt;1,1,COUNTIF(QCI!$A$13:$A$24,ORÇAMENTO!E242)),OFFSET($D242,1,$C242,ROW($C$727)-ROW($C242)),0))</f>
        <v>0</v>
      </c>
      <c r="L242" s="116" t="str">
        <f t="shared" ca="1" si="64"/>
        <v/>
      </c>
      <c r="M242" s="117" t="s">
        <v>199</v>
      </c>
      <c r="N242" s="118" t="str">
        <f t="shared" ca="1" si="65"/>
        <v>Serviço</v>
      </c>
      <c r="O242" s="119" t="str">
        <f t="shared" ca="1" si="66"/>
        <v>-</v>
      </c>
      <c r="P242" s="120" t="s">
        <v>458</v>
      </c>
      <c r="Q242" s="121" t="s">
        <v>631</v>
      </c>
      <c r="R242" s="122" t="str">
        <f ca="1">IF($C242="S",REFERENCIA.Descricao,"(digite a descrição aqui)")</f>
        <v>(abra o arquivo 'Referência 06-2024.xlsm)</v>
      </c>
      <c r="S242" s="123" t="str">
        <f ca="1">REFERENCIA.Unidade</f>
        <v>-</v>
      </c>
      <c r="T242" s="124">
        <f ca="1">OFFSET(CÁLCULO!H$15,ROW($T242)-ROW(T$15),0)</f>
        <v>2.94</v>
      </c>
      <c r="U242" s="125">
        <f t="shared" ca="1" si="74"/>
        <v>0</v>
      </c>
      <c r="V242" s="126" t="s">
        <v>156</v>
      </c>
      <c r="W242" s="124">
        <f ca="1">IF($C242="S",ROUND(IF(TIPOORCAMENTO="Proposto",ORÇAMENTO.CustoUnitario*(1+$AH242),ORÇAMENTO.PrecoUnitarioLicitado),15-13*$AF$10),0)</f>
        <v>0</v>
      </c>
      <c r="X242" s="127">
        <f ca="1">IF($C242="S",IF(Import.TipoArredondamento&lt;&gt;"TransfereGOV",VTOTAL1,SUM(OFFSET(CÁLCULO!$AI$15,ROW($X242)-ROW($X$15),1):OFFSET(CÁLCULO!$BB$15,ROW($X242)-ROW($X$15),-1))),IF($C242=0,0,ROUND(SomaAgrup,15-13*$AF$11)))</f>
        <v>0</v>
      </c>
      <c r="Y242" s="128" t="s">
        <v>245</v>
      </c>
      <c r="Z242" t="str">
        <f t="shared" ca="1" si="67"/>
        <v/>
      </c>
      <c r="AA242" s="129">
        <f ca="1">IF($C242="S",IF($Z242="CP",$X242,IF($Z242="RA",(($X242)*QCI!$AA$3),0)),SomaAgrup)</f>
        <v>0</v>
      </c>
      <c r="AB242" s="130">
        <f t="shared" ca="1" si="68"/>
        <v>0</v>
      </c>
      <c r="AC242" s="131" t="str">
        <f ca="1">IF($N242="","",IF(ORÇAMENTO.Descricao="","DESCRIÇÃO",IF(AND($C242="S",ORÇAMENTO.Unidade=""),"UNIDADE",IF($X242&lt;0,"VALOR NEGATIVO",IF(OR(AND(TIPOORCAMENTO="Proposto",$AG242&lt;&gt;"",$AG242&gt;0,ORÇAMENTO.CustoUnitario&gt;$AG242),AND(TIPOORCAMENTO="LICITADO",ORÇAMENTO.PrecoUnitarioLicitado&gt;$AN242)),"ACIMA REF.","")))))</f>
        <v/>
      </c>
      <c r="AD242" t="str">
        <f ca="1">IF(C242&lt;=CRONO.NivelExibicao,MAX($AD$15:OFFSET(AD242,-1,0))+IF($C242&lt;&gt;1,1,MAX(1,COUNTIF(QCI!$A$13:$A$24,OFFSET($E242,-1,0)))),"")</f>
        <v/>
      </c>
      <c r="AE242" s="7" t="str">
        <f ca="1">IF(AND($C242="S",ORÇAMENTO.CodBarra&lt;&gt;""),IF(ORÇAMENTO.Fonte="",ORÇAMENTO.CodBarra,CONCATENATE(ORÇAMENTO.Fonte," ",ORÇAMENTO.CodBarra)))</f>
        <v>COMPOSIÇÃO FNDE 410</v>
      </c>
      <c r="AF242" s="13" t="str">
        <f ca="1">IF(ISERROR(INDIRECT(ORÇAMENTO.BancoRef)),"(abra o arquivo 'Referência "&amp;Excel_BuiltIn_Database&amp;".xlsm)",IF(OR($C242&lt;&gt;"S",ORÇAMENTO.CodBarra=""),"(Sem Código)",IF(ISERROR(MATCH($AE242,INDIRECT(ORÇAMENTO.BancoRef),0)),"(Código não identificado nas referências)",MATCH($AE242,INDIRECT(ORÇAMENTO.BancoRef),0))))</f>
        <v>(abra o arquivo 'Referência 06-2024.xlsm)</v>
      </c>
      <c r="AG242" s="498">
        <f ca="1">ROUND(IF(DESONERACAO="sim",REFERENCIA.Desonerado,REFERENCIA.NaoDesonerado),2)</f>
        <v>0</v>
      </c>
      <c r="AH242" s="499">
        <f t="shared" ca="1" si="69"/>
        <v>0.2432</v>
      </c>
      <c r="AJ242" s="501"/>
      <c r="AL242" s="527"/>
      <c r="AM242" s="381">
        <f t="shared" ca="1" si="70"/>
        <v>0</v>
      </c>
      <c r="AN242" s="566">
        <f t="shared" ca="1" si="71"/>
        <v>0</v>
      </c>
    </row>
    <row r="243" spans="1:40" ht="25.5" x14ac:dyDescent="0.2">
      <c r="A243" t="str">
        <f t="shared" si="56"/>
        <v>S</v>
      </c>
      <c r="B243">
        <f t="shared" ca="1" si="57"/>
        <v>2</v>
      </c>
      <c r="C243" t="str">
        <f t="shared" ca="1" si="58"/>
        <v>S</v>
      </c>
      <c r="D243">
        <f t="shared" ca="1" si="59"/>
        <v>0</v>
      </c>
      <c r="E243">
        <f ca="1">IF($C243=1,OFFSET(E243,-1,0)+MAX(1,COUNTIF(QCI!$A$13:$A$24,OFFSET(ORÇAMENTO!E243,-1,0))),OFFSET(E243,-1,0))</f>
        <v>1</v>
      </c>
      <c r="F243">
        <f t="shared" ca="1" si="60"/>
        <v>32</v>
      </c>
      <c r="G243">
        <f t="shared" ca="1" si="61"/>
        <v>0</v>
      </c>
      <c r="H243">
        <f t="shared" ca="1" si="62"/>
        <v>0</v>
      </c>
      <c r="I243">
        <f t="shared" ca="1" si="63"/>
        <v>0</v>
      </c>
      <c r="J243">
        <f t="shared" ca="1" si="73"/>
        <v>0</v>
      </c>
      <c r="K243">
        <f ca="1">IF(OR($C243="S",$C243=0),0,MATCH(OFFSET($D243,0,$C243)+IF($C243&lt;&gt;1,1,COUNTIF(QCI!$A$13:$A$24,ORÇAMENTO!E243)),OFFSET($D243,1,$C243,ROW($C$727)-ROW($C243)),0))</f>
        <v>0</v>
      </c>
      <c r="L243" s="116" t="str">
        <f t="shared" ca="1" si="64"/>
        <v/>
      </c>
      <c r="M243" s="117" t="s">
        <v>199</v>
      </c>
      <c r="N243" s="118" t="str">
        <f t="shared" ca="1" si="65"/>
        <v>Serviço</v>
      </c>
      <c r="O243" s="119" t="str">
        <f t="shared" ca="1" si="66"/>
        <v>-</v>
      </c>
      <c r="P243" s="120" t="s">
        <v>458</v>
      </c>
      <c r="Q243" s="121" t="s">
        <v>632</v>
      </c>
      <c r="R243" s="122" t="str">
        <f ca="1">IF($C243="S",REFERENCIA.Descricao,"(digite a descrição aqui)")</f>
        <v>(abra o arquivo 'Referência 06-2024.xlsm)</v>
      </c>
      <c r="S243" s="123" t="str">
        <f ca="1">REFERENCIA.Unidade</f>
        <v>-</v>
      </c>
      <c r="T243" s="124">
        <f ca="1">OFFSET(CÁLCULO!H$15,ROW($T243)-ROW(T$15),0)</f>
        <v>1.7</v>
      </c>
      <c r="U243" s="125">
        <f t="shared" ca="1" si="74"/>
        <v>0</v>
      </c>
      <c r="V243" s="126" t="s">
        <v>156</v>
      </c>
      <c r="W243" s="124">
        <f ca="1">IF($C243="S",ROUND(IF(TIPOORCAMENTO="Proposto",ORÇAMENTO.CustoUnitario*(1+$AH243),ORÇAMENTO.PrecoUnitarioLicitado),15-13*$AF$10),0)</f>
        <v>0</v>
      </c>
      <c r="X243" s="127">
        <f ca="1">IF($C243="S",IF(Import.TipoArredondamento&lt;&gt;"TransfereGOV",VTOTAL1,SUM(OFFSET(CÁLCULO!$AI$15,ROW($X243)-ROW($X$15),1):OFFSET(CÁLCULO!$BB$15,ROW($X243)-ROW($X$15),-1))),IF($C243=0,0,ROUND(SomaAgrup,15-13*$AF$11)))</f>
        <v>0</v>
      </c>
      <c r="Y243" s="128" t="s">
        <v>245</v>
      </c>
      <c r="Z243" t="str">
        <f t="shared" ca="1" si="67"/>
        <v/>
      </c>
      <c r="AA243" s="129">
        <f ca="1">IF($C243="S",IF($Z243="CP",$X243,IF($Z243="RA",(($X243)*QCI!$AA$3),0)),SomaAgrup)</f>
        <v>0</v>
      </c>
      <c r="AB243" s="130">
        <f t="shared" ca="1" si="68"/>
        <v>0</v>
      </c>
      <c r="AC243" s="131" t="str">
        <f ca="1">IF($N243="","",IF(ORÇAMENTO.Descricao="","DESCRIÇÃO",IF(AND($C243="S",ORÇAMENTO.Unidade=""),"UNIDADE",IF($X243&lt;0,"VALOR NEGATIVO",IF(OR(AND(TIPOORCAMENTO="Proposto",$AG243&lt;&gt;"",$AG243&gt;0,ORÇAMENTO.CustoUnitario&gt;$AG243),AND(TIPOORCAMENTO="LICITADO",ORÇAMENTO.PrecoUnitarioLicitado&gt;$AN243)),"ACIMA REF.","")))))</f>
        <v/>
      </c>
      <c r="AD243" t="str">
        <f ca="1">IF(C243&lt;=CRONO.NivelExibicao,MAX($AD$15:OFFSET(AD243,-1,0))+IF($C243&lt;&gt;1,1,MAX(1,COUNTIF(QCI!$A$13:$A$24,OFFSET($E243,-1,0)))),"")</f>
        <v/>
      </c>
      <c r="AE243" s="7" t="str">
        <f ca="1">IF(AND($C243="S",ORÇAMENTO.CodBarra&lt;&gt;""),IF(ORÇAMENTO.Fonte="",ORÇAMENTO.CodBarra,CONCATENATE(ORÇAMENTO.Fonte," ",ORÇAMENTO.CodBarra)))</f>
        <v>COMPOSIÇÃO FNDE 411</v>
      </c>
      <c r="AF243" s="13" t="str">
        <f ca="1">IF(ISERROR(INDIRECT(ORÇAMENTO.BancoRef)),"(abra o arquivo 'Referência "&amp;Excel_BuiltIn_Database&amp;".xlsm)",IF(OR($C243&lt;&gt;"S",ORÇAMENTO.CodBarra=""),"(Sem Código)",IF(ISERROR(MATCH($AE243,INDIRECT(ORÇAMENTO.BancoRef),0)),"(Código não identificado nas referências)",MATCH($AE243,INDIRECT(ORÇAMENTO.BancoRef),0))))</f>
        <v>(abra o arquivo 'Referência 06-2024.xlsm)</v>
      </c>
      <c r="AG243" s="498">
        <f ca="1">ROUND(IF(DESONERACAO="sim",REFERENCIA.Desonerado,REFERENCIA.NaoDesonerado),2)</f>
        <v>0</v>
      </c>
      <c r="AH243" s="499">
        <f t="shared" ca="1" si="69"/>
        <v>0.2432</v>
      </c>
      <c r="AJ243" s="501"/>
      <c r="AL243" s="527"/>
      <c r="AM243" s="381">
        <f t="shared" ca="1" si="70"/>
        <v>0</v>
      </c>
      <c r="AN243" s="566">
        <f t="shared" ca="1" si="71"/>
        <v>0</v>
      </c>
    </row>
    <row r="244" spans="1:40" ht="25.5" x14ac:dyDescent="0.2">
      <c r="A244" t="str">
        <f t="shared" si="56"/>
        <v>S</v>
      </c>
      <c r="B244">
        <f t="shared" ca="1" si="57"/>
        <v>2</v>
      </c>
      <c r="C244" t="str">
        <f t="shared" ca="1" si="58"/>
        <v>S</v>
      </c>
      <c r="D244">
        <f t="shared" ca="1" si="59"/>
        <v>0</v>
      </c>
      <c r="E244">
        <f ca="1">IF($C244=1,OFFSET(E244,-1,0)+MAX(1,COUNTIF(QCI!$A$13:$A$24,OFFSET(ORÇAMENTO!E244,-1,0))),OFFSET(E244,-1,0))</f>
        <v>1</v>
      </c>
      <c r="F244">
        <f t="shared" ca="1" si="60"/>
        <v>32</v>
      </c>
      <c r="G244">
        <f t="shared" ca="1" si="61"/>
        <v>0</v>
      </c>
      <c r="H244">
        <f t="shared" ca="1" si="62"/>
        <v>0</v>
      </c>
      <c r="I244">
        <f t="shared" ca="1" si="63"/>
        <v>0</v>
      </c>
      <c r="J244">
        <f t="shared" ca="1" si="73"/>
        <v>0</v>
      </c>
      <c r="K244">
        <f ca="1">IF(OR($C244="S",$C244=0),0,MATCH(OFFSET($D244,0,$C244)+IF($C244&lt;&gt;1,1,COUNTIF(QCI!$A$13:$A$24,ORÇAMENTO!E244)),OFFSET($D244,1,$C244,ROW($C$727)-ROW($C244)),0))</f>
        <v>0</v>
      </c>
      <c r="L244" s="116" t="str">
        <f t="shared" ca="1" si="64"/>
        <v/>
      </c>
      <c r="M244" s="117" t="s">
        <v>199</v>
      </c>
      <c r="N244" s="118" t="str">
        <f t="shared" ca="1" si="65"/>
        <v>Serviço</v>
      </c>
      <c r="O244" s="119" t="str">
        <f t="shared" ca="1" si="66"/>
        <v>-</v>
      </c>
      <c r="P244" s="120" t="s">
        <v>458</v>
      </c>
      <c r="Q244" s="121" t="s">
        <v>633</v>
      </c>
      <c r="R244" s="122" t="str">
        <f ca="1">IF($C244="S",REFERENCIA.Descricao,"(digite a descrição aqui)")</f>
        <v>(abra o arquivo 'Referência 06-2024.xlsm)</v>
      </c>
      <c r="S244" s="123" t="str">
        <f ca="1">REFERENCIA.Unidade</f>
        <v>-</v>
      </c>
      <c r="T244" s="124">
        <f ca="1">OFFSET(CÁLCULO!H$15,ROW($T244)-ROW(T$15),0)</f>
        <v>0.49</v>
      </c>
      <c r="U244" s="125">
        <f t="shared" ca="1" si="74"/>
        <v>0</v>
      </c>
      <c r="V244" s="126" t="s">
        <v>156</v>
      </c>
      <c r="W244" s="124">
        <f ca="1">IF($C244="S",ROUND(IF(TIPOORCAMENTO="Proposto",ORÇAMENTO.CustoUnitario*(1+$AH244),ORÇAMENTO.PrecoUnitarioLicitado),15-13*$AF$10),0)</f>
        <v>0</v>
      </c>
      <c r="X244" s="127">
        <f ca="1">IF($C244="S",IF(Import.TipoArredondamento&lt;&gt;"TransfereGOV",VTOTAL1,SUM(OFFSET(CÁLCULO!$AI$15,ROW($X244)-ROW($X$15),1):OFFSET(CÁLCULO!$BB$15,ROW($X244)-ROW($X$15),-1))),IF($C244=0,0,ROUND(SomaAgrup,15-13*$AF$11)))</f>
        <v>0</v>
      </c>
      <c r="Y244" s="128" t="s">
        <v>245</v>
      </c>
      <c r="Z244" t="str">
        <f t="shared" ca="1" si="67"/>
        <v/>
      </c>
      <c r="AA244" s="129">
        <f ca="1">IF($C244="S",IF($Z244="CP",$X244,IF($Z244="RA",(($X244)*QCI!$AA$3),0)),SomaAgrup)</f>
        <v>0</v>
      </c>
      <c r="AB244" s="130">
        <f t="shared" ca="1" si="68"/>
        <v>0</v>
      </c>
      <c r="AC244" s="131" t="str">
        <f ca="1">IF($N244="","",IF(ORÇAMENTO.Descricao="","DESCRIÇÃO",IF(AND($C244="S",ORÇAMENTO.Unidade=""),"UNIDADE",IF($X244&lt;0,"VALOR NEGATIVO",IF(OR(AND(TIPOORCAMENTO="Proposto",$AG244&lt;&gt;"",$AG244&gt;0,ORÇAMENTO.CustoUnitario&gt;$AG244),AND(TIPOORCAMENTO="LICITADO",ORÇAMENTO.PrecoUnitarioLicitado&gt;$AN244)),"ACIMA REF.","")))))</f>
        <v/>
      </c>
      <c r="AD244" t="str">
        <f ca="1">IF(C244&lt;=CRONO.NivelExibicao,MAX($AD$15:OFFSET(AD244,-1,0))+IF($C244&lt;&gt;1,1,MAX(1,COUNTIF(QCI!$A$13:$A$24,OFFSET($E244,-1,0)))),"")</f>
        <v/>
      </c>
      <c r="AE244" s="7" t="str">
        <f ca="1">IF(AND($C244="S",ORÇAMENTO.CodBarra&lt;&gt;""),IF(ORÇAMENTO.Fonte="",ORÇAMENTO.CodBarra,CONCATENATE(ORÇAMENTO.Fonte," ",ORÇAMENTO.CodBarra)))</f>
        <v>COMPOSIÇÃO FNDE 412</v>
      </c>
      <c r="AF244" s="13" t="str">
        <f ca="1">IF(ISERROR(INDIRECT(ORÇAMENTO.BancoRef)),"(abra o arquivo 'Referência "&amp;Excel_BuiltIn_Database&amp;".xlsm)",IF(OR($C244&lt;&gt;"S",ORÇAMENTO.CodBarra=""),"(Sem Código)",IF(ISERROR(MATCH($AE244,INDIRECT(ORÇAMENTO.BancoRef),0)),"(Código não identificado nas referências)",MATCH($AE244,INDIRECT(ORÇAMENTO.BancoRef),0))))</f>
        <v>(abra o arquivo 'Referência 06-2024.xlsm)</v>
      </c>
      <c r="AG244" s="498">
        <f ca="1">ROUND(IF(DESONERACAO="sim",REFERENCIA.Desonerado,REFERENCIA.NaoDesonerado),2)</f>
        <v>0</v>
      </c>
      <c r="AH244" s="499">
        <f t="shared" ca="1" si="69"/>
        <v>0.2432</v>
      </c>
      <c r="AJ244" s="501"/>
      <c r="AL244" s="527"/>
      <c r="AM244" s="381">
        <f t="shared" ca="1" si="70"/>
        <v>0</v>
      </c>
      <c r="AN244" s="566">
        <f t="shared" ca="1" si="71"/>
        <v>0</v>
      </c>
    </row>
    <row r="245" spans="1:40" x14ac:dyDescent="0.2">
      <c r="A245">
        <f t="shared" si="56"/>
        <v>2</v>
      </c>
      <c r="B245">
        <f t="shared" ca="1" si="57"/>
        <v>2</v>
      </c>
      <c r="C245">
        <f t="shared" ca="1" si="58"/>
        <v>2</v>
      </c>
      <c r="D245">
        <f t="shared" ca="1" si="59"/>
        <v>2</v>
      </c>
      <c r="E245">
        <f ca="1">IF($C245=1,OFFSET(E245,-1,0)+MAX(1,COUNTIF(QCI!$A$13:$A$24,OFFSET(ORÇAMENTO!E245,-1,0))),OFFSET(E245,-1,0))</f>
        <v>1</v>
      </c>
      <c r="F245">
        <f t="shared" ca="1" si="60"/>
        <v>33</v>
      </c>
      <c r="G245">
        <f t="shared" ca="1" si="61"/>
        <v>0</v>
      </c>
      <c r="H245">
        <f t="shared" ca="1" si="62"/>
        <v>0</v>
      </c>
      <c r="I245">
        <f t="shared" ca="1" si="63"/>
        <v>0</v>
      </c>
      <c r="J245">
        <f t="shared" ca="1" si="73"/>
        <v>482</v>
      </c>
      <c r="K245">
        <f ca="1">IF(OR($C245="S",$C245=0),0,MATCH(OFFSET($D245,0,$C245)+IF($C245&lt;&gt;1,1,COUNTIF(QCI!$A$13:$A$24,ORÇAMENTO!E245)),OFFSET($D245,1,$C245,ROW($C$727)-ROW($C245)),0))</f>
        <v>2</v>
      </c>
      <c r="L245" s="116" t="str">
        <f t="shared" ca="1" si="64"/>
        <v>F</v>
      </c>
      <c r="M245" s="117" t="s">
        <v>196</v>
      </c>
      <c r="N245" s="118" t="str">
        <f t="shared" ca="1" si="65"/>
        <v>Nível 2</v>
      </c>
      <c r="O245" s="119" t="str">
        <f t="shared" ca="1" si="66"/>
        <v>1.33.</v>
      </c>
      <c r="P245" s="120" t="s">
        <v>247</v>
      </c>
      <c r="Q245" s="121"/>
      <c r="R245" s="122" t="s">
        <v>1058</v>
      </c>
      <c r="S245" s="123" t="str">
        <f ca="1">REFERENCIA.Unidade</f>
        <v>-</v>
      </c>
      <c r="T245" s="124">
        <f ca="1">OFFSET(CÁLCULO!H$15,ROW($T245)-ROW(T$15),0)</f>
        <v>0</v>
      </c>
      <c r="U245" s="125">
        <f t="shared" ca="1" si="74"/>
        <v>0</v>
      </c>
      <c r="V245" s="126" t="s">
        <v>156</v>
      </c>
      <c r="W245" s="124">
        <f ca="1">IF($C245="S",ROUND(IF(TIPOORCAMENTO="Proposto",ORÇAMENTO.CustoUnitario*(1+$AH245),ORÇAMENTO.PrecoUnitarioLicitado),15-13*$AF$10),0)</f>
        <v>0</v>
      </c>
      <c r="X245" s="127">
        <f ca="1">IF($C245="S",IF(Import.TipoArredondamento&lt;&gt;"TransfereGOV",VTOTAL1,SUM(OFFSET(CÁLCULO!$AI$15,ROW($X245)-ROW($X$15),1):OFFSET(CÁLCULO!$BB$15,ROW($X245)-ROW($X$15),-1))),IF($C245=0,0,ROUND(SomaAgrup,15-13*$AF$11)))</f>
        <v>0</v>
      </c>
      <c r="Y245" s="128" t="s">
        <v>245</v>
      </c>
      <c r="Z245" t="str">
        <f t="shared" ca="1" si="67"/>
        <v/>
      </c>
      <c r="AA245" s="129">
        <f ca="1">IF($C245="S",IF($Z245="CP",$X245,IF($Z245="RA",(($X245)*QCI!$AA$3),0)),SomaAgrup)</f>
        <v>0</v>
      </c>
      <c r="AB245" s="130">
        <f t="shared" ca="1" si="68"/>
        <v>0</v>
      </c>
      <c r="AC245" s="131" t="str">
        <f ca="1">IF($N245="","",IF(ORÇAMENTO.Descricao="","DESCRIÇÃO",IF(AND($C245="S",ORÇAMENTO.Unidade=""),"UNIDADE",IF($X245&lt;0,"VALOR NEGATIVO",IF(OR(AND(TIPOORCAMENTO="Proposto",$AG245&lt;&gt;"",$AG245&gt;0,ORÇAMENTO.CustoUnitario&gt;$AG245),AND(TIPOORCAMENTO="LICITADO",ORÇAMENTO.PrecoUnitarioLicitado&gt;$AN245)),"ACIMA REF.","")))))</f>
        <v/>
      </c>
      <c r="AD245">
        <f ca="1">IF(C245&lt;=CRONO.NivelExibicao,MAX($AD$15:OFFSET(AD245,-1,0))+IF($C245&lt;&gt;1,1,MAX(1,COUNTIF(QCI!$A$13:$A$24,OFFSET($E245,-1,0)))),"")</f>
        <v>34</v>
      </c>
      <c r="AE245" s="7" t="b">
        <f ca="1">IF(AND($C245="S",ORÇAMENTO.CodBarra&lt;&gt;""),IF(ORÇAMENTO.Fonte="",ORÇAMENTO.CodBarra,CONCATENATE(ORÇAMENTO.Fonte," ",ORÇAMENTO.CodBarra)))</f>
        <v>0</v>
      </c>
      <c r="AF245" s="13" t="str">
        <f ca="1">IF(ISERROR(INDIRECT(ORÇAMENTO.BancoRef)),"(abra o arquivo 'Referência "&amp;Excel_BuiltIn_Database&amp;".xlsm)",IF(OR($C245&lt;&gt;"S",ORÇAMENTO.CodBarra=""),"(Sem Código)",IF(ISERROR(MATCH($AE245,INDIRECT(ORÇAMENTO.BancoRef),0)),"(Código não identificado nas referências)",MATCH($AE245,INDIRECT(ORÇAMENTO.BancoRef),0))))</f>
        <v>(abra o arquivo 'Referência 06-2024.xlsm)</v>
      </c>
      <c r="AG245" s="498">
        <f ca="1">ROUND(IF(DESONERACAO="sim",REFERENCIA.Desonerado,REFERENCIA.NaoDesonerado),2)</f>
        <v>0</v>
      </c>
      <c r="AH245" s="499">
        <f t="shared" ca="1" si="69"/>
        <v>0.2432</v>
      </c>
      <c r="AJ245" s="501"/>
      <c r="AL245" s="527"/>
      <c r="AM245" s="381">
        <f t="shared" ca="1" si="70"/>
        <v>0</v>
      </c>
      <c r="AN245" s="566">
        <f t="shared" ca="1" si="71"/>
        <v>0</v>
      </c>
    </row>
    <row r="246" spans="1:40" ht="51" x14ac:dyDescent="0.2">
      <c r="A246" t="str">
        <f t="shared" si="56"/>
        <v>S</v>
      </c>
      <c r="B246">
        <f t="shared" ca="1" si="57"/>
        <v>2</v>
      </c>
      <c r="C246" t="str">
        <f t="shared" ca="1" si="58"/>
        <v>S</v>
      </c>
      <c r="D246">
        <f t="shared" ca="1" si="59"/>
        <v>0</v>
      </c>
      <c r="E246">
        <f ca="1">IF($C246=1,OFFSET(E246,-1,0)+MAX(1,COUNTIF(QCI!$A$13:$A$24,OFFSET(ORÇAMENTO!E246,-1,0))),OFFSET(E246,-1,0))</f>
        <v>1</v>
      </c>
      <c r="F246">
        <f t="shared" ca="1" si="60"/>
        <v>33</v>
      </c>
      <c r="G246">
        <f t="shared" ca="1" si="61"/>
        <v>0</v>
      </c>
      <c r="H246">
        <f t="shared" ca="1" si="62"/>
        <v>0</v>
      </c>
      <c r="I246">
        <f t="shared" ca="1" si="63"/>
        <v>0</v>
      </c>
      <c r="J246">
        <f t="shared" ca="1" si="73"/>
        <v>0</v>
      </c>
      <c r="K246">
        <f ca="1">IF(OR($C246="S",$C246=0),0,MATCH(OFFSET($D246,0,$C246)+IF($C246&lt;&gt;1,1,COUNTIF(QCI!$A$13:$A$24,ORÇAMENTO!E246)),OFFSET($D246,1,$C246,ROW($C$727)-ROW($C246)),0))</f>
        <v>0</v>
      </c>
      <c r="L246" s="116" t="str">
        <f t="shared" ca="1" si="64"/>
        <v/>
      </c>
      <c r="M246" s="117" t="s">
        <v>199</v>
      </c>
      <c r="N246" s="118" t="str">
        <f t="shared" ca="1" si="65"/>
        <v>Serviço</v>
      </c>
      <c r="O246" s="119" t="str">
        <f t="shared" ca="1" si="66"/>
        <v>-</v>
      </c>
      <c r="P246" s="120" t="s">
        <v>247</v>
      </c>
      <c r="Q246" s="121" t="s">
        <v>634</v>
      </c>
      <c r="R246" s="122" t="str">
        <f ca="1">IF($C246="S",REFERENCIA.Descricao,"(digite a descrição aqui)")</f>
        <v>(abra o arquivo 'Referência 06-2024.xlsm)</v>
      </c>
      <c r="S246" s="123" t="str">
        <f ca="1">REFERENCIA.Unidade</f>
        <v>-</v>
      </c>
      <c r="T246" s="124">
        <f ca="1">OFFSET(CÁLCULO!H$15,ROW($T246)-ROW(T$15),0)</f>
        <v>1836.4</v>
      </c>
      <c r="U246" s="125">
        <f t="shared" ca="1" si="74"/>
        <v>0</v>
      </c>
      <c r="V246" s="126" t="s">
        <v>156</v>
      </c>
      <c r="W246" s="124">
        <f ca="1">IF($C246="S",ROUND(IF(TIPOORCAMENTO="Proposto",ORÇAMENTO.CustoUnitario*(1+$AH246),ORÇAMENTO.PrecoUnitarioLicitado),15-13*$AF$10),0)</f>
        <v>0</v>
      </c>
      <c r="X246" s="127">
        <f ca="1">IF($C246="S",IF(Import.TipoArredondamento&lt;&gt;"TransfereGOV",VTOTAL1,SUM(OFFSET(CÁLCULO!$AI$15,ROW($X246)-ROW($X$15),1):OFFSET(CÁLCULO!$BB$15,ROW($X246)-ROW($X$15),-1))),IF($C246=0,0,ROUND(SomaAgrup,15-13*$AF$11)))</f>
        <v>0</v>
      </c>
      <c r="Y246" s="128" t="s">
        <v>245</v>
      </c>
      <c r="Z246" t="str">
        <f t="shared" ca="1" si="67"/>
        <v/>
      </c>
      <c r="AA246" s="129">
        <f ca="1">IF($C246="S",IF($Z246="CP",$X246,IF($Z246="RA",(($X246)*QCI!$AA$3),0)),SomaAgrup)</f>
        <v>0</v>
      </c>
      <c r="AB246" s="130">
        <f t="shared" ca="1" si="68"/>
        <v>0</v>
      </c>
      <c r="AC246" s="131" t="str">
        <f ca="1">IF($N246="","",IF(ORÇAMENTO.Descricao="","DESCRIÇÃO",IF(AND($C246="S",ORÇAMENTO.Unidade=""),"UNIDADE",IF($X246&lt;0,"VALOR NEGATIVO",IF(OR(AND(TIPOORCAMENTO="Proposto",$AG246&lt;&gt;"",$AG246&gt;0,ORÇAMENTO.CustoUnitario&gt;$AG246),AND(TIPOORCAMENTO="LICITADO",ORÇAMENTO.PrecoUnitarioLicitado&gt;$AN246)),"ACIMA REF.","")))))</f>
        <v/>
      </c>
      <c r="AD246" t="str">
        <f ca="1">IF(C246&lt;=CRONO.NivelExibicao,MAX($AD$15:OFFSET(AD246,-1,0))+IF($C246&lt;&gt;1,1,MAX(1,COUNTIF(QCI!$A$13:$A$24,OFFSET($E246,-1,0)))),"")</f>
        <v/>
      </c>
      <c r="AE246" s="7" t="str">
        <f ca="1">IF(AND($C246="S",ORÇAMENTO.CodBarra&lt;&gt;""),IF(ORÇAMENTO.Fonte="",ORÇAMENTO.CodBarra,CONCATENATE(ORÇAMENTO.Fonte," ",ORÇAMENTO.CodBarra)))</f>
        <v>SINAPI 100724</v>
      </c>
      <c r="AF246" s="13" t="str">
        <f ca="1">IF(ISERROR(INDIRECT(ORÇAMENTO.BancoRef)),"(abra o arquivo 'Referência "&amp;Excel_BuiltIn_Database&amp;".xlsm)",IF(OR($C246&lt;&gt;"S",ORÇAMENTO.CodBarra=""),"(Sem Código)",IF(ISERROR(MATCH($AE246,INDIRECT(ORÇAMENTO.BancoRef),0)),"(Código não identificado nas referências)",MATCH($AE246,INDIRECT(ORÇAMENTO.BancoRef),0))))</f>
        <v>(abra o arquivo 'Referência 06-2024.xlsm)</v>
      </c>
      <c r="AG246" s="498">
        <f ca="1">ROUND(IF(DESONERACAO="sim",REFERENCIA.Desonerado,REFERENCIA.NaoDesonerado),2)</f>
        <v>0</v>
      </c>
      <c r="AH246" s="499">
        <f t="shared" ca="1" si="69"/>
        <v>0.2432</v>
      </c>
      <c r="AJ246" s="501"/>
      <c r="AL246" s="527"/>
      <c r="AM246" s="381">
        <f t="shared" ca="1" si="70"/>
        <v>0</v>
      </c>
      <c r="AN246" s="566">
        <f t="shared" ca="1" si="71"/>
        <v>0</v>
      </c>
    </row>
    <row r="247" spans="1:40" ht="25.5" x14ac:dyDescent="0.2">
      <c r="A247">
        <f t="shared" si="56"/>
        <v>2</v>
      </c>
      <c r="B247">
        <f t="shared" ca="1" si="57"/>
        <v>2</v>
      </c>
      <c r="C247">
        <f t="shared" ca="1" si="58"/>
        <v>2</v>
      </c>
      <c r="D247">
        <f t="shared" ca="1" si="59"/>
        <v>38</v>
      </c>
      <c r="E247">
        <f ca="1">IF($C247=1,OFFSET(E247,-1,0)+MAX(1,COUNTIF(QCI!$A$13:$A$24,OFFSET(ORÇAMENTO!E247,-1,0))),OFFSET(E247,-1,0))</f>
        <v>1</v>
      </c>
      <c r="F247">
        <f t="shared" ca="1" si="60"/>
        <v>34</v>
      </c>
      <c r="G247">
        <f t="shared" ca="1" si="61"/>
        <v>0</v>
      </c>
      <c r="H247">
        <f t="shared" ca="1" si="62"/>
        <v>0</v>
      </c>
      <c r="I247">
        <f t="shared" ca="1" si="63"/>
        <v>0</v>
      </c>
      <c r="J247">
        <f t="shared" ca="1" si="73"/>
        <v>480</v>
      </c>
      <c r="K247">
        <f ca="1">IF(OR($C247="S",$C247=0),0,MATCH(OFFSET($D247,0,$C247)+IF($C247&lt;&gt;1,1,COUNTIF(QCI!$A$13:$A$24,ORÇAMENTO!E247)),OFFSET($D247,1,$C247,ROW($C$727)-ROW($C247)),0))</f>
        <v>38</v>
      </c>
      <c r="L247" s="116" t="str">
        <f t="shared" ca="1" si="64"/>
        <v>F</v>
      </c>
      <c r="M247" s="117" t="s">
        <v>196</v>
      </c>
      <c r="N247" s="118" t="str">
        <f t="shared" ca="1" si="65"/>
        <v>Nível 2</v>
      </c>
      <c r="O247" s="119" t="str">
        <f t="shared" ca="1" si="66"/>
        <v>1.34.</v>
      </c>
      <c r="P247" s="120" t="s">
        <v>247</v>
      </c>
      <c r="Q247" s="121"/>
      <c r="R247" s="122" t="s">
        <v>1059</v>
      </c>
      <c r="S247" s="123" t="str">
        <f ca="1">REFERENCIA.Unidade</f>
        <v>-</v>
      </c>
      <c r="T247" s="124">
        <f ca="1">OFFSET(CÁLCULO!H$15,ROW($T247)-ROW(T$15),0)</f>
        <v>0</v>
      </c>
      <c r="U247" s="125">
        <f t="shared" ca="1" si="74"/>
        <v>0</v>
      </c>
      <c r="V247" s="126" t="s">
        <v>156</v>
      </c>
      <c r="W247" s="124">
        <f ca="1">IF($C247="S",ROUND(IF(TIPOORCAMENTO="Proposto",ORÇAMENTO.CustoUnitario*(1+$AH247),ORÇAMENTO.PrecoUnitarioLicitado),15-13*$AF$10),0)</f>
        <v>0</v>
      </c>
      <c r="X247" s="127">
        <f ca="1">IF($C247="S",IF(Import.TipoArredondamento&lt;&gt;"TransfereGOV",VTOTAL1,SUM(OFFSET(CÁLCULO!$AI$15,ROW($X247)-ROW($X$15),1):OFFSET(CÁLCULO!$BB$15,ROW($X247)-ROW($X$15),-1))),IF($C247=0,0,ROUND(SomaAgrup,15-13*$AF$11)))</f>
        <v>0</v>
      </c>
      <c r="Y247" s="128" t="s">
        <v>245</v>
      </c>
      <c r="Z247" t="str">
        <f t="shared" ca="1" si="67"/>
        <v/>
      </c>
      <c r="AA247" s="129">
        <f ca="1">IF($C247="S",IF($Z247="CP",$X247,IF($Z247="RA",(($X247)*QCI!$AA$3),0)),SomaAgrup)</f>
        <v>0</v>
      </c>
      <c r="AB247" s="130">
        <f t="shared" ca="1" si="68"/>
        <v>0</v>
      </c>
      <c r="AC247" s="131" t="str">
        <f ca="1">IF($N247="","",IF(ORÇAMENTO.Descricao="","DESCRIÇÃO",IF(AND($C247="S",ORÇAMENTO.Unidade=""),"UNIDADE",IF($X247&lt;0,"VALOR NEGATIVO",IF(OR(AND(TIPOORCAMENTO="Proposto",$AG247&lt;&gt;"",$AG247&gt;0,ORÇAMENTO.CustoUnitario&gt;$AG247),AND(TIPOORCAMENTO="LICITADO",ORÇAMENTO.PrecoUnitarioLicitado&gt;$AN247)),"ACIMA REF.","")))))</f>
        <v/>
      </c>
      <c r="AD247">
        <f ca="1">IF(C247&lt;=CRONO.NivelExibicao,MAX($AD$15:OFFSET(AD247,-1,0))+IF($C247&lt;&gt;1,1,MAX(1,COUNTIF(QCI!$A$13:$A$24,OFFSET($E247,-1,0)))),"")</f>
        <v>35</v>
      </c>
      <c r="AE247" s="7" t="b">
        <f ca="1">IF(AND($C247="S",ORÇAMENTO.CodBarra&lt;&gt;""),IF(ORÇAMENTO.Fonte="",ORÇAMENTO.CodBarra,CONCATENATE(ORÇAMENTO.Fonte," ",ORÇAMENTO.CodBarra)))</f>
        <v>0</v>
      </c>
      <c r="AF247" s="13" t="str">
        <f ca="1">IF(ISERROR(INDIRECT(ORÇAMENTO.BancoRef)),"(abra o arquivo 'Referência "&amp;Excel_BuiltIn_Database&amp;".xlsm)",IF(OR($C247&lt;&gt;"S",ORÇAMENTO.CodBarra=""),"(Sem Código)",IF(ISERROR(MATCH($AE247,INDIRECT(ORÇAMENTO.BancoRef),0)),"(Código não identificado nas referências)",MATCH($AE247,INDIRECT(ORÇAMENTO.BancoRef),0))))</f>
        <v>(abra o arquivo 'Referência 06-2024.xlsm)</v>
      </c>
      <c r="AG247" s="498">
        <f ca="1">ROUND(IF(DESONERACAO="sim",REFERENCIA.Desonerado,REFERENCIA.NaoDesonerado),2)</f>
        <v>0</v>
      </c>
      <c r="AH247" s="499">
        <f t="shared" ca="1" si="69"/>
        <v>0.2432</v>
      </c>
      <c r="AJ247" s="501"/>
      <c r="AL247" s="527"/>
      <c r="AM247" s="381">
        <f t="shared" ca="1" si="70"/>
        <v>0</v>
      </c>
      <c r="AN247" s="566">
        <f t="shared" ca="1" si="71"/>
        <v>0</v>
      </c>
    </row>
    <row r="248" spans="1:40" ht="25.5" x14ac:dyDescent="0.2">
      <c r="A248" t="str">
        <f t="shared" si="56"/>
        <v>S</v>
      </c>
      <c r="B248">
        <f t="shared" ca="1" si="57"/>
        <v>2</v>
      </c>
      <c r="C248" t="str">
        <f t="shared" ca="1" si="58"/>
        <v>S</v>
      </c>
      <c r="D248">
        <f t="shared" ca="1" si="59"/>
        <v>0</v>
      </c>
      <c r="E248">
        <f ca="1">IF($C248=1,OFFSET(E248,-1,0)+MAX(1,COUNTIF(QCI!$A$13:$A$24,OFFSET(ORÇAMENTO!E248,-1,0))),OFFSET(E248,-1,0))</f>
        <v>1</v>
      </c>
      <c r="F248">
        <f t="shared" ca="1" si="60"/>
        <v>34</v>
      </c>
      <c r="G248">
        <f t="shared" ca="1" si="61"/>
        <v>0</v>
      </c>
      <c r="H248">
        <f t="shared" ca="1" si="62"/>
        <v>0</v>
      </c>
      <c r="I248">
        <f t="shared" ca="1" si="63"/>
        <v>0</v>
      </c>
      <c r="J248">
        <f t="shared" ca="1" si="73"/>
        <v>0</v>
      </c>
      <c r="K248">
        <f ca="1">IF(OR($C248="S",$C248=0),0,MATCH(OFFSET($D248,0,$C248)+IF($C248&lt;&gt;1,1,COUNTIF(QCI!$A$13:$A$24,ORÇAMENTO!E248)),OFFSET($D248,1,$C248,ROW($C$727)-ROW($C248)),0))</f>
        <v>0</v>
      </c>
      <c r="L248" s="116" t="str">
        <f t="shared" ca="1" si="64"/>
        <v/>
      </c>
      <c r="M248" s="117" t="s">
        <v>199</v>
      </c>
      <c r="N248" s="118" t="str">
        <f t="shared" ca="1" si="65"/>
        <v>Serviço</v>
      </c>
      <c r="O248" s="119" t="str">
        <f t="shared" ca="1" si="66"/>
        <v>-</v>
      </c>
      <c r="P248" s="120" t="s">
        <v>247</v>
      </c>
      <c r="Q248" s="121" t="s">
        <v>635</v>
      </c>
      <c r="R248" s="122" t="str">
        <f ca="1">IF($C248="S",REFERENCIA.Descricao,"(digite a descrição aqui)")</f>
        <v>(abra o arquivo 'Referência 06-2024.xlsm)</v>
      </c>
      <c r="S248" s="123" t="str">
        <f ca="1">REFERENCIA.Unidade</f>
        <v>-</v>
      </c>
      <c r="T248" s="124">
        <f ca="1">OFFSET(CÁLCULO!H$15,ROW($T248)-ROW(T$15),0)</f>
        <v>414.1</v>
      </c>
      <c r="U248" s="125">
        <f t="shared" ca="1" si="74"/>
        <v>0</v>
      </c>
      <c r="V248" s="126" t="s">
        <v>156</v>
      </c>
      <c r="W248" s="124">
        <f ca="1">IF($C248="S",ROUND(IF(TIPOORCAMENTO="Proposto",ORÇAMENTO.CustoUnitario*(1+$AH248),ORÇAMENTO.PrecoUnitarioLicitado),15-13*$AF$10),0)</f>
        <v>0</v>
      </c>
      <c r="X248" s="127">
        <f ca="1">IF($C248="S",IF(Import.TipoArredondamento&lt;&gt;"TransfereGOV",VTOTAL1,SUM(OFFSET(CÁLCULO!$AI$15,ROW($X248)-ROW($X$15),1):OFFSET(CÁLCULO!$BB$15,ROW($X248)-ROW($X$15),-1))),IF($C248=0,0,ROUND(SomaAgrup,15-13*$AF$11)))</f>
        <v>0</v>
      </c>
      <c r="Y248" s="128" t="s">
        <v>245</v>
      </c>
      <c r="Z248" t="str">
        <f t="shared" ca="1" si="67"/>
        <v/>
      </c>
      <c r="AA248" s="129">
        <f ca="1">IF($C248="S",IF($Z248="CP",$X248,IF($Z248="RA",(($X248)*QCI!$AA$3),0)),SomaAgrup)</f>
        <v>0</v>
      </c>
      <c r="AB248" s="130">
        <f t="shared" ca="1" si="68"/>
        <v>0</v>
      </c>
      <c r="AC248" s="131" t="str">
        <f ca="1">IF($N248="","",IF(ORÇAMENTO.Descricao="","DESCRIÇÃO",IF(AND($C248="S",ORÇAMENTO.Unidade=""),"UNIDADE",IF($X248&lt;0,"VALOR NEGATIVO",IF(OR(AND(TIPOORCAMENTO="Proposto",$AG248&lt;&gt;"",$AG248&gt;0,ORÇAMENTO.CustoUnitario&gt;$AG248),AND(TIPOORCAMENTO="LICITADO",ORÇAMENTO.PrecoUnitarioLicitado&gt;$AN248)),"ACIMA REF.","")))))</f>
        <v/>
      </c>
      <c r="AD248" t="str">
        <f ca="1">IF(C248&lt;=CRONO.NivelExibicao,MAX($AD$15:OFFSET(AD248,-1,0))+IF($C248&lt;&gt;1,1,MAX(1,COUNTIF(QCI!$A$13:$A$24,OFFSET($E248,-1,0)))),"")</f>
        <v/>
      </c>
      <c r="AE248" s="7" t="str">
        <f ca="1">IF(AND($C248="S",ORÇAMENTO.CodBarra&lt;&gt;""),IF(ORÇAMENTO.Fonte="",ORÇAMENTO.CodBarra,CONCATENATE(ORÇAMENTO.Fonte," ",ORÇAMENTO.CodBarra)))</f>
        <v>SINAPI 89356</v>
      </c>
      <c r="AF248" s="13" t="str">
        <f ca="1">IF(ISERROR(INDIRECT(ORÇAMENTO.BancoRef)),"(abra o arquivo 'Referência "&amp;Excel_BuiltIn_Database&amp;".xlsm)",IF(OR($C248&lt;&gt;"S",ORÇAMENTO.CodBarra=""),"(Sem Código)",IF(ISERROR(MATCH($AE248,INDIRECT(ORÇAMENTO.BancoRef),0)),"(Código não identificado nas referências)",MATCH($AE248,INDIRECT(ORÇAMENTO.BancoRef),0))))</f>
        <v>(abra o arquivo 'Referência 06-2024.xlsm)</v>
      </c>
      <c r="AG248" s="498">
        <f ca="1">ROUND(IF(DESONERACAO="sim",REFERENCIA.Desonerado,REFERENCIA.NaoDesonerado),2)</f>
        <v>0</v>
      </c>
      <c r="AH248" s="499">
        <f t="shared" ca="1" si="69"/>
        <v>0.2432</v>
      </c>
      <c r="AJ248" s="501"/>
      <c r="AL248" s="527"/>
      <c r="AM248" s="381">
        <f t="shared" ca="1" si="70"/>
        <v>0</v>
      </c>
      <c r="AN248" s="566">
        <f t="shared" ca="1" si="71"/>
        <v>0</v>
      </c>
    </row>
    <row r="249" spans="1:40" ht="38.25" x14ac:dyDescent="0.2">
      <c r="A249" t="str">
        <f t="shared" si="56"/>
        <v>S</v>
      </c>
      <c r="B249">
        <f t="shared" ca="1" si="57"/>
        <v>2</v>
      </c>
      <c r="C249" t="str">
        <f t="shared" ca="1" si="58"/>
        <v>S</v>
      </c>
      <c r="D249">
        <f t="shared" ca="1" si="59"/>
        <v>0</v>
      </c>
      <c r="E249">
        <f ca="1">IF($C249=1,OFFSET(E249,-1,0)+MAX(1,COUNTIF(QCI!$A$13:$A$24,OFFSET(ORÇAMENTO!E249,-1,0))),OFFSET(E249,-1,0))</f>
        <v>1</v>
      </c>
      <c r="F249">
        <f t="shared" ca="1" si="60"/>
        <v>34</v>
      </c>
      <c r="G249">
        <f t="shared" ca="1" si="61"/>
        <v>0</v>
      </c>
      <c r="H249">
        <f t="shared" ca="1" si="62"/>
        <v>0</v>
      </c>
      <c r="I249">
        <f t="shared" ca="1" si="63"/>
        <v>0</v>
      </c>
      <c r="J249">
        <f t="shared" ca="1" si="73"/>
        <v>0</v>
      </c>
      <c r="K249">
        <f ca="1">IF(OR($C249="S",$C249=0),0,MATCH(OFFSET($D249,0,$C249)+IF($C249&lt;&gt;1,1,COUNTIF(QCI!$A$13:$A$24,ORÇAMENTO!E249)),OFFSET($D249,1,$C249,ROW($C$727)-ROW($C249)),0))</f>
        <v>0</v>
      </c>
      <c r="L249" s="116" t="str">
        <f t="shared" ca="1" si="64"/>
        <v/>
      </c>
      <c r="M249" s="117" t="s">
        <v>199</v>
      </c>
      <c r="N249" s="118" t="str">
        <f t="shared" ca="1" si="65"/>
        <v>Serviço</v>
      </c>
      <c r="O249" s="119" t="str">
        <f t="shared" ca="1" si="66"/>
        <v>-</v>
      </c>
      <c r="P249" s="120" t="s">
        <v>247</v>
      </c>
      <c r="Q249" s="121" t="s">
        <v>636</v>
      </c>
      <c r="R249" s="122" t="str">
        <f ca="1">IF($C249="S",REFERENCIA.Descricao,"(digite a descrição aqui)")</f>
        <v>(abra o arquivo 'Referência 06-2024.xlsm)</v>
      </c>
      <c r="S249" s="123" t="str">
        <f ca="1">REFERENCIA.Unidade</f>
        <v>-</v>
      </c>
      <c r="T249" s="124">
        <f ca="1">OFFSET(CÁLCULO!H$15,ROW($T249)-ROW(T$15),0)</f>
        <v>15.5</v>
      </c>
      <c r="U249" s="125">
        <f t="shared" ca="1" si="74"/>
        <v>0</v>
      </c>
      <c r="V249" s="126" t="s">
        <v>156</v>
      </c>
      <c r="W249" s="124">
        <f ca="1">IF($C249="S",ROUND(IF(TIPOORCAMENTO="Proposto",ORÇAMENTO.CustoUnitario*(1+$AH249),ORÇAMENTO.PrecoUnitarioLicitado),15-13*$AF$10),0)</f>
        <v>0</v>
      </c>
      <c r="X249" s="127">
        <f ca="1">IF($C249="S",IF(Import.TipoArredondamento&lt;&gt;"TransfereGOV",VTOTAL1,SUM(OFFSET(CÁLCULO!$AI$15,ROW($X249)-ROW($X$15),1):OFFSET(CÁLCULO!$BB$15,ROW($X249)-ROW($X$15),-1))),IF($C249=0,0,ROUND(SomaAgrup,15-13*$AF$11)))</f>
        <v>0</v>
      </c>
      <c r="Y249" s="128" t="s">
        <v>245</v>
      </c>
      <c r="Z249" t="str">
        <f t="shared" ca="1" si="67"/>
        <v/>
      </c>
      <c r="AA249" s="129">
        <f ca="1">IF($C249="S",IF($Z249="CP",$X249,IF($Z249="RA",(($X249)*QCI!$AA$3),0)),SomaAgrup)</f>
        <v>0</v>
      </c>
      <c r="AB249" s="130">
        <f t="shared" ca="1" si="68"/>
        <v>0</v>
      </c>
      <c r="AC249" s="131" t="str">
        <f ca="1">IF($N249="","",IF(ORÇAMENTO.Descricao="","DESCRIÇÃO",IF(AND($C249="S",ORÇAMENTO.Unidade=""),"UNIDADE",IF($X249&lt;0,"VALOR NEGATIVO",IF(OR(AND(TIPOORCAMENTO="Proposto",$AG249&lt;&gt;"",$AG249&gt;0,ORÇAMENTO.CustoUnitario&gt;$AG249),AND(TIPOORCAMENTO="LICITADO",ORÇAMENTO.PrecoUnitarioLicitado&gt;$AN249)),"ACIMA REF.","")))))</f>
        <v/>
      </c>
      <c r="AD249" t="str">
        <f ca="1">IF(C249&lt;=CRONO.NivelExibicao,MAX($AD$15:OFFSET(AD249,-1,0))+IF($C249&lt;&gt;1,1,MAX(1,COUNTIF(QCI!$A$13:$A$24,OFFSET($E249,-1,0)))),"")</f>
        <v/>
      </c>
      <c r="AE249" s="7" t="str">
        <f ca="1">IF(AND($C249="S",ORÇAMENTO.CodBarra&lt;&gt;""),IF(ORÇAMENTO.Fonte="",ORÇAMENTO.CodBarra,CONCATENATE(ORÇAMENTO.Fonte," ",ORÇAMENTO.CodBarra)))</f>
        <v>SINAPI 103978</v>
      </c>
      <c r="AF249" s="13" t="str">
        <f ca="1">IF(ISERROR(INDIRECT(ORÇAMENTO.BancoRef)),"(abra o arquivo 'Referência "&amp;Excel_BuiltIn_Database&amp;".xlsm)",IF(OR($C249&lt;&gt;"S",ORÇAMENTO.CodBarra=""),"(Sem Código)",IF(ISERROR(MATCH($AE249,INDIRECT(ORÇAMENTO.BancoRef),0)),"(Código não identificado nas referências)",MATCH($AE249,INDIRECT(ORÇAMENTO.BancoRef),0))))</f>
        <v>(abra o arquivo 'Referência 06-2024.xlsm)</v>
      </c>
      <c r="AG249" s="498">
        <f ca="1">ROUND(IF(DESONERACAO="sim",REFERENCIA.Desonerado,REFERENCIA.NaoDesonerado),2)</f>
        <v>0</v>
      </c>
      <c r="AH249" s="499">
        <f t="shared" ca="1" si="69"/>
        <v>0.2432</v>
      </c>
      <c r="AJ249" s="501"/>
      <c r="AL249" s="527"/>
      <c r="AM249" s="381">
        <f t="shared" ca="1" si="70"/>
        <v>0</v>
      </c>
      <c r="AN249" s="566">
        <f t="shared" ca="1" si="71"/>
        <v>0</v>
      </c>
    </row>
    <row r="250" spans="1:40" ht="38.25" x14ac:dyDescent="0.2">
      <c r="A250" t="str">
        <f t="shared" si="56"/>
        <v>S</v>
      </c>
      <c r="B250">
        <f t="shared" ca="1" si="57"/>
        <v>2</v>
      </c>
      <c r="C250" t="str">
        <f t="shared" ca="1" si="58"/>
        <v>S</v>
      </c>
      <c r="D250">
        <f t="shared" ca="1" si="59"/>
        <v>0</v>
      </c>
      <c r="E250">
        <f ca="1">IF($C250=1,OFFSET(E250,-1,0)+MAX(1,COUNTIF(QCI!$A$13:$A$24,OFFSET(ORÇAMENTO!E250,-1,0))),OFFSET(E250,-1,0))</f>
        <v>1</v>
      </c>
      <c r="F250">
        <f t="shared" ca="1" si="60"/>
        <v>34</v>
      </c>
      <c r="G250">
        <f t="shared" ca="1" si="61"/>
        <v>0</v>
      </c>
      <c r="H250">
        <f t="shared" ca="1" si="62"/>
        <v>0</v>
      </c>
      <c r="I250">
        <f t="shared" ca="1" si="63"/>
        <v>0</v>
      </c>
      <c r="J250">
        <f t="shared" ca="1" si="73"/>
        <v>0</v>
      </c>
      <c r="K250">
        <f ca="1">IF(OR($C250="S",$C250=0),0,MATCH(OFFSET($D250,0,$C250)+IF($C250&lt;&gt;1,1,COUNTIF(QCI!$A$13:$A$24,ORÇAMENTO!E250)),OFFSET($D250,1,$C250,ROW($C$727)-ROW($C250)),0))</f>
        <v>0</v>
      </c>
      <c r="L250" s="116" t="str">
        <f t="shared" ca="1" si="64"/>
        <v/>
      </c>
      <c r="M250" s="117" t="s">
        <v>199</v>
      </c>
      <c r="N250" s="118" t="str">
        <f t="shared" ca="1" si="65"/>
        <v>Serviço</v>
      </c>
      <c r="O250" s="119" t="str">
        <f t="shared" ca="1" si="66"/>
        <v>-</v>
      </c>
      <c r="P250" s="120" t="s">
        <v>247</v>
      </c>
      <c r="Q250" s="121" t="s">
        <v>637</v>
      </c>
      <c r="R250" s="122" t="str">
        <f ca="1">IF($C250="S",REFERENCIA.Descricao,"(digite a descrição aqui)")</f>
        <v>(abra o arquivo 'Referência 06-2024.xlsm)</v>
      </c>
      <c r="S250" s="123" t="str">
        <f ca="1">REFERENCIA.Unidade</f>
        <v>-</v>
      </c>
      <c r="T250" s="124">
        <f ca="1">OFFSET(CÁLCULO!H$15,ROW($T250)-ROW(T$15),0)</f>
        <v>51.6</v>
      </c>
      <c r="U250" s="125">
        <f t="shared" ca="1" si="74"/>
        <v>0</v>
      </c>
      <c r="V250" s="126" t="s">
        <v>156</v>
      </c>
      <c r="W250" s="124">
        <f ca="1">IF($C250="S",ROUND(IF(TIPOORCAMENTO="Proposto",ORÇAMENTO.CustoUnitario*(1+$AH250),ORÇAMENTO.PrecoUnitarioLicitado),15-13*$AF$10),0)</f>
        <v>0</v>
      </c>
      <c r="X250" s="127">
        <f ca="1">IF($C250="S",IF(Import.TipoArredondamento&lt;&gt;"TransfereGOV",VTOTAL1,SUM(OFFSET(CÁLCULO!$AI$15,ROW($X250)-ROW($X$15),1):OFFSET(CÁLCULO!$BB$15,ROW($X250)-ROW($X$15),-1))),IF($C250=0,0,ROUND(SomaAgrup,15-13*$AF$11)))</f>
        <v>0</v>
      </c>
      <c r="Y250" s="128" t="s">
        <v>245</v>
      </c>
      <c r="Z250" t="str">
        <f t="shared" ca="1" si="67"/>
        <v/>
      </c>
      <c r="AA250" s="129">
        <f ca="1">IF($C250="S",IF($Z250="CP",$X250,IF($Z250="RA",(($X250)*QCI!$AA$3),0)),SomaAgrup)</f>
        <v>0</v>
      </c>
      <c r="AB250" s="130">
        <f t="shared" ca="1" si="68"/>
        <v>0</v>
      </c>
      <c r="AC250" s="131" t="str">
        <f ca="1">IF($N250="","",IF(ORÇAMENTO.Descricao="","DESCRIÇÃO",IF(AND($C250="S",ORÇAMENTO.Unidade=""),"UNIDADE",IF($X250&lt;0,"VALOR NEGATIVO",IF(OR(AND(TIPOORCAMENTO="Proposto",$AG250&lt;&gt;"",$AG250&gt;0,ORÇAMENTO.CustoUnitario&gt;$AG250),AND(TIPOORCAMENTO="LICITADO",ORÇAMENTO.PrecoUnitarioLicitado&gt;$AN250)),"ACIMA REF.","")))))</f>
        <v/>
      </c>
      <c r="AD250" t="str">
        <f ca="1">IF(C250&lt;=CRONO.NivelExibicao,MAX($AD$15:OFFSET(AD250,-1,0))+IF($C250&lt;&gt;1,1,MAX(1,COUNTIF(QCI!$A$13:$A$24,OFFSET($E250,-1,0)))),"")</f>
        <v/>
      </c>
      <c r="AE250" s="7" t="str">
        <f ca="1">IF(AND($C250="S",ORÇAMENTO.CodBarra&lt;&gt;""),IF(ORÇAMENTO.Fonte="",ORÇAMENTO.CodBarra,CONCATENATE(ORÇAMENTO.Fonte," ",ORÇAMENTO.CodBarra)))</f>
        <v>SINAPI 103979</v>
      </c>
      <c r="AF250" s="13" t="str">
        <f ca="1">IF(ISERROR(INDIRECT(ORÇAMENTO.BancoRef)),"(abra o arquivo 'Referência "&amp;Excel_BuiltIn_Database&amp;".xlsm)",IF(OR($C250&lt;&gt;"S",ORÇAMENTO.CodBarra=""),"(Sem Código)",IF(ISERROR(MATCH($AE250,INDIRECT(ORÇAMENTO.BancoRef),0)),"(Código não identificado nas referências)",MATCH($AE250,INDIRECT(ORÇAMENTO.BancoRef),0))))</f>
        <v>(abra o arquivo 'Referência 06-2024.xlsm)</v>
      </c>
      <c r="AG250" s="498">
        <f ca="1">ROUND(IF(DESONERACAO="sim",REFERENCIA.Desonerado,REFERENCIA.NaoDesonerado),2)</f>
        <v>0</v>
      </c>
      <c r="AH250" s="499">
        <f t="shared" ca="1" si="69"/>
        <v>0.2432</v>
      </c>
      <c r="AJ250" s="501"/>
      <c r="AL250" s="527"/>
      <c r="AM250" s="381">
        <f t="shared" ca="1" si="70"/>
        <v>0</v>
      </c>
      <c r="AN250" s="566">
        <f t="shared" ca="1" si="71"/>
        <v>0</v>
      </c>
    </row>
    <row r="251" spans="1:40" ht="25.5" x14ac:dyDescent="0.2">
      <c r="A251" t="str">
        <f t="shared" si="56"/>
        <v>S</v>
      </c>
      <c r="B251">
        <f t="shared" ca="1" si="57"/>
        <v>2</v>
      </c>
      <c r="C251" t="str">
        <f t="shared" ca="1" si="58"/>
        <v>S</v>
      </c>
      <c r="D251">
        <f t="shared" ca="1" si="59"/>
        <v>0</v>
      </c>
      <c r="E251">
        <f ca="1">IF($C251=1,OFFSET(E251,-1,0)+MAX(1,COUNTIF(QCI!$A$13:$A$24,OFFSET(ORÇAMENTO!E251,-1,0))),OFFSET(E251,-1,0))</f>
        <v>1</v>
      </c>
      <c r="F251">
        <f t="shared" ca="1" si="60"/>
        <v>34</v>
      </c>
      <c r="G251">
        <f t="shared" ca="1" si="61"/>
        <v>0</v>
      </c>
      <c r="H251">
        <f t="shared" ca="1" si="62"/>
        <v>0</v>
      </c>
      <c r="I251">
        <f t="shared" ca="1" si="63"/>
        <v>0</v>
      </c>
      <c r="J251">
        <f t="shared" ca="1" si="73"/>
        <v>0</v>
      </c>
      <c r="K251">
        <f ca="1">IF(OR($C251="S",$C251=0),0,MATCH(OFFSET($D251,0,$C251)+IF($C251&lt;&gt;1,1,COUNTIF(QCI!$A$13:$A$24,ORÇAMENTO!E251)),OFFSET($D251,1,$C251,ROW($C$727)-ROW($C251)),0))</f>
        <v>0</v>
      </c>
      <c r="L251" s="116" t="str">
        <f t="shared" ca="1" si="64"/>
        <v/>
      </c>
      <c r="M251" s="117" t="s">
        <v>199</v>
      </c>
      <c r="N251" s="118" t="str">
        <f t="shared" ca="1" si="65"/>
        <v>Serviço</v>
      </c>
      <c r="O251" s="119" t="str">
        <f t="shared" ca="1" si="66"/>
        <v>-</v>
      </c>
      <c r="P251" s="120" t="s">
        <v>247</v>
      </c>
      <c r="Q251" s="121" t="s">
        <v>638</v>
      </c>
      <c r="R251" s="122" t="str">
        <f ca="1">IF($C251="S",REFERENCIA.Descricao,"(digite a descrição aqui)")</f>
        <v>(abra o arquivo 'Referência 06-2024.xlsm)</v>
      </c>
      <c r="S251" s="123" t="str">
        <f ca="1">REFERENCIA.Unidade</f>
        <v>-</v>
      </c>
      <c r="T251" s="124">
        <f ca="1">OFFSET(CÁLCULO!H$15,ROW($T251)-ROW(T$15),0)</f>
        <v>44.4</v>
      </c>
      <c r="U251" s="125">
        <f t="shared" ca="1" si="74"/>
        <v>0</v>
      </c>
      <c r="V251" s="126" t="s">
        <v>156</v>
      </c>
      <c r="W251" s="124">
        <f ca="1">IF($C251="S",ROUND(IF(TIPOORCAMENTO="Proposto",ORÇAMENTO.CustoUnitario*(1+$AH251),ORÇAMENTO.PrecoUnitarioLicitado),15-13*$AF$10),0)</f>
        <v>0</v>
      </c>
      <c r="X251" s="127">
        <f ca="1">IF($C251="S",IF(Import.TipoArredondamento&lt;&gt;"TransfereGOV",VTOTAL1,SUM(OFFSET(CÁLCULO!$AI$15,ROW($X251)-ROW($X$15),1):OFFSET(CÁLCULO!$BB$15,ROW($X251)-ROW($X$15),-1))),IF($C251=0,0,ROUND(SomaAgrup,15-13*$AF$11)))</f>
        <v>0</v>
      </c>
      <c r="Y251" s="128" t="s">
        <v>245</v>
      </c>
      <c r="Z251" t="str">
        <f t="shared" ca="1" si="67"/>
        <v/>
      </c>
      <c r="AA251" s="129">
        <f ca="1">IF($C251="S",IF($Z251="CP",$X251,IF($Z251="RA",(($X251)*QCI!$AA$3),0)),SomaAgrup)</f>
        <v>0</v>
      </c>
      <c r="AB251" s="130">
        <f t="shared" ca="1" si="68"/>
        <v>0</v>
      </c>
      <c r="AC251" s="131" t="str">
        <f ca="1">IF($N251="","",IF(ORÇAMENTO.Descricao="","DESCRIÇÃO",IF(AND($C251="S",ORÇAMENTO.Unidade=""),"UNIDADE",IF($X251&lt;0,"VALOR NEGATIVO",IF(OR(AND(TIPOORCAMENTO="Proposto",$AG251&lt;&gt;"",$AG251&gt;0,ORÇAMENTO.CustoUnitario&gt;$AG251),AND(TIPOORCAMENTO="LICITADO",ORÇAMENTO.PrecoUnitarioLicitado&gt;$AN251)),"ACIMA REF.","")))))</f>
        <v/>
      </c>
      <c r="AD251" t="str">
        <f ca="1">IF(C251&lt;=CRONO.NivelExibicao,MAX($AD$15:OFFSET(AD251,-1,0))+IF($C251&lt;&gt;1,1,MAX(1,COUNTIF(QCI!$A$13:$A$24,OFFSET($E251,-1,0)))),"")</f>
        <v/>
      </c>
      <c r="AE251" s="7" t="str">
        <f ca="1">IF(AND($C251="S",ORÇAMENTO.CodBarra&lt;&gt;""),IF(ORÇAMENTO.Fonte="",ORÇAMENTO.CodBarra,CONCATENATE(ORÇAMENTO.Fonte," ",ORÇAMENTO.CodBarra)))</f>
        <v>SINAPI 89450</v>
      </c>
      <c r="AF251" s="13" t="str">
        <f ca="1">IF(ISERROR(INDIRECT(ORÇAMENTO.BancoRef)),"(abra o arquivo 'Referência "&amp;Excel_BuiltIn_Database&amp;".xlsm)",IF(OR($C251&lt;&gt;"S",ORÇAMENTO.CodBarra=""),"(Sem Código)",IF(ISERROR(MATCH($AE251,INDIRECT(ORÇAMENTO.BancoRef),0)),"(Código não identificado nas referências)",MATCH($AE251,INDIRECT(ORÇAMENTO.BancoRef),0))))</f>
        <v>(abra o arquivo 'Referência 06-2024.xlsm)</v>
      </c>
      <c r="AG251" s="498">
        <f ca="1">ROUND(IF(DESONERACAO="sim",REFERENCIA.Desonerado,REFERENCIA.NaoDesonerado),2)</f>
        <v>0</v>
      </c>
      <c r="AH251" s="499">
        <f t="shared" ca="1" si="69"/>
        <v>0.2432</v>
      </c>
      <c r="AJ251" s="501"/>
      <c r="AL251" s="527"/>
      <c r="AM251" s="381">
        <f t="shared" ca="1" si="70"/>
        <v>0</v>
      </c>
      <c r="AN251" s="566">
        <f t="shared" ca="1" si="71"/>
        <v>0</v>
      </c>
    </row>
    <row r="252" spans="1:40" ht="25.5" x14ac:dyDescent="0.2">
      <c r="A252" t="str">
        <f t="shared" si="56"/>
        <v>S</v>
      </c>
      <c r="B252">
        <f t="shared" ca="1" si="57"/>
        <v>2</v>
      </c>
      <c r="C252" t="str">
        <f t="shared" ca="1" si="58"/>
        <v>S</v>
      </c>
      <c r="D252">
        <f t="shared" ca="1" si="59"/>
        <v>0</v>
      </c>
      <c r="E252">
        <f ca="1">IF($C252=1,OFFSET(E252,-1,0)+MAX(1,COUNTIF(QCI!$A$13:$A$24,OFFSET(ORÇAMENTO!E252,-1,0))),OFFSET(E252,-1,0))</f>
        <v>1</v>
      </c>
      <c r="F252">
        <f t="shared" ca="1" si="60"/>
        <v>34</v>
      </c>
      <c r="G252">
        <f t="shared" ca="1" si="61"/>
        <v>0</v>
      </c>
      <c r="H252">
        <f t="shared" ca="1" si="62"/>
        <v>0</v>
      </c>
      <c r="I252">
        <f t="shared" ca="1" si="63"/>
        <v>0</v>
      </c>
      <c r="J252">
        <f t="shared" ca="1" si="73"/>
        <v>0</v>
      </c>
      <c r="K252">
        <f ca="1">IF(OR($C252="S",$C252=0),0,MATCH(OFFSET($D252,0,$C252)+IF($C252&lt;&gt;1,1,COUNTIF(QCI!$A$13:$A$24,ORÇAMENTO!E252)),OFFSET($D252,1,$C252,ROW($C$727)-ROW($C252)),0))</f>
        <v>0</v>
      </c>
      <c r="L252" s="116" t="str">
        <f t="shared" ca="1" si="64"/>
        <v/>
      </c>
      <c r="M252" s="117" t="s">
        <v>199</v>
      </c>
      <c r="N252" s="118" t="str">
        <f t="shared" ca="1" si="65"/>
        <v>Serviço</v>
      </c>
      <c r="O252" s="119" t="str">
        <f t="shared" ca="1" si="66"/>
        <v>-</v>
      </c>
      <c r="P252" s="120" t="s">
        <v>247</v>
      </c>
      <c r="Q252" s="121" t="s">
        <v>639</v>
      </c>
      <c r="R252" s="122" t="str">
        <f ca="1">IF($C252="S",REFERENCIA.Descricao,"(digite a descrição aqui)")</f>
        <v>(abra o arquivo 'Referência 06-2024.xlsm)</v>
      </c>
      <c r="S252" s="123" t="str">
        <f ca="1">REFERENCIA.Unidade</f>
        <v>-</v>
      </c>
      <c r="T252" s="124">
        <f ca="1">OFFSET(CÁLCULO!H$15,ROW($T252)-ROW(T$15),0)</f>
        <v>316.8</v>
      </c>
      <c r="U252" s="125">
        <f t="shared" ca="1" si="74"/>
        <v>0</v>
      </c>
      <c r="V252" s="126" t="s">
        <v>156</v>
      </c>
      <c r="W252" s="124">
        <f ca="1">IF($C252="S",ROUND(IF(TIPOORCAMENTO="Proposto",ORÇAMENTO.CustoUnitario*(1+$AH252),ORÇAMENTO.PrecoUnitarioLicitado),15-13*$AF$10),0)</f>
        <v>0</v>
      </c>
      <c r="X252" s="127">
        <f ca="1">IF($C252="S",IF(Import.TipoArredondamento&lt;&gt;"TransfereGOV",VTOTAL1,SUM(OFFSET(CÁLCULO!$AI$15,ROW($X252)-ROW($X$15),1):OFFSET(CÁLCULO!$BB$15,ROW($X252)-ROW($X$15),-1))),IF($C252=0,0,ROUND(SomaAgrup,15-13*$AF$11)))</f>
        <v>0</v>
      </c>
      <c r="Y252" s="128" t="s">
        <v>245</v>
      </c>
      <c r="Z252" t="str">
        <f t="shared" ca="1" si="67"/>
        <v/>
      </c>
      <c r="AA252" s="129">
        <f ca="1">IF($C252="S",IF($Z252="CP",$X252,IF($Z252="RA",(($X252)*QCI!$AA$3),0)),SomaAgrup)</f>
        <v>0</v>
      </c>
      <c r="AB252" s="130">
        <f t="shared" ca="1" si="68"/>
        <v>0</v>
      </c>
      <c r="AC252" s="131" t="str">
        <f ca="1">IF($N252="","",IF(ORÇAMENTO.Descricao="","DESCRIÇÃO",IF(AND($C252="S",ORÇAMENTO.Unidade=""),"UNIDADE",IF($X252&lt;0,"VALOR NEGATIVO",IF(OR(AND(TIPOORCAMENTO="Proposto",$AG252&lt;&gt;"",$AG252&gt;0,ORÇAMENTO.CustoUnitario&gt;$AG252),AND(TIPOORCAMENTO="LICITADO",ORÇAMENTO.PrecoUnitarioLicitado&gt;$AN252)),"ACIMA REF.","")))))</f>
        <v/>
      </c>
      <c r="AD252" t="str">
        <f ca="1">IF(C252&lt;=CRONO.NivelExibicao,MAX($AD$15:OFFSET(AD252,-1,0))+IF($C252&lt;&gt;1,1,MAX(1,COUNTIF(QCI!$A$13:$A$24,OFFSET($E252,-1,0)))),"")</f>
        <v/>
      </c>
      <c r="AE252" s="7" t="str">
        <f ca="1">IF(AND($C252="S",ORÇAMENTO.CodBarra&lt;&gt;""),IF(ORÇAMENTO.Fonte="",ORÇAMENTO.CodBarra,CONCATENATE(ORÇAMENTO.Fonte," ",ORÇAMENTO.CodBarra)))</f>
        <v>SINAPI 89452</v>
      </c>
      <c r="AF252" s="13" t="str">
        <f ca="1">IF(ISERROR(INDIRECT(ORÇAMENTO.BancoRef)),"(abra o arquivo 'Referência "&amp;Excel_BuiltIn_Database&amp;".xlsm)",IF(OR($C252&lt;&gt;"S",ORÇAMENTO.CodBarra=""),"(Sem Código)",IF(ISERROR(MATCH($AE252,INDIRECT(ORÇAMENTO.BancoRef),0)),"(Código não identificado nas referências)",MATCH($AE252,INDIRECT(ORÇAMENTO.BancoRef),0))))</f>
        <v>(abra o arquivo 'Referência 06-2024.xlsm)</v>
      </c>
      <c r="AG252" s="498">
        <f ca="1">ROUND(IF(DESONERACAO="sim",REFERENCIA.Desonerado,REFERENCIA.NaoDesonerado),2)</f>
        <v>0</v>
      </c>
      <c r="AH252" s="499">
        <f t="shared" ca="1" si="69"/>
        <v>0.2432</v>
      </c>
      <c r="AJ252" s="501"/>
      <c r="AL252" s="527"/>
      <c r="AM252" s="381">
        <f t="shared" ca="1" si="70"/>
        <v>0</v>
      </c>
      <c r="AN252" s="566">
        <f t="shared" ca="1" si="71"/>
        <v>0</v>
      </c>
    </row>
    <row r="253" spans="1:40" ht="38.25" x14ac:dyDescent="0.2">
      <c r="A253" t="str">
        <f t="shared" si="56"/>
        <v>S</v>
      </c>
      <c r="B253">
        <f t="shared" ca="1" si="57"/>
        <v>2</v>
      </c>
      <c r="C253" t="str">
        <f t="shared" ca="1" si="58"/>
        <v>S</v>
      </c>
      <c r="D253">
        <f t="shared" ca="1" si="59"/>
        <v>0</v>
      </c>
      <c r="E253">
        <f ca="1">IF($C253=1,OFFSET(E253,-1,0)+MAX(1,COUNTIF(QCI!$A$13:$A$24,OFFSET(ORÇAMENTO!E253,-1,0))),OFFSET(E253,-1,0))</f>
        <v>1</v>
      </c>
      <c r="F253">
        <f t="shared" ca="1" si="60"/>
        <v>34</v>
      </c>
      <c r="G253">
        <f t="shared" ca="1" si="61"/>
        <v>0</v>
      </c>
      <c r="H253">
        <f t="shared" ca="1" si="62"/>
        <v>0</v>
      </c>
      <c r="I253">
        <f t="shared" ca="1" si="63"/>
        <v>0</v>
      </c>
      <c r="J253">
        <f t="shared" ca="1" si="73"/>
        <v>0</v>
      </c>
      <c r="K253">
        <f ca="1">IF(OR($C253="S",$C253=0),0,MATCH(OFFSET($D253,0,$C253)+IF($C253&lt;&gt;1,1,COUNTIF(QCI!$A$13:$A$24,ORÇAMENTO!E253)),OFFSET($D253,1,$C253,ROW($C$727)-ROW($C253)),0))</f>
        <v>0</v>
      </c>
      <c r="L253" s="116" t="str">
        <f t="shared" ca="1" si="64"/>
        <v/>
      </c>
      <c r="M253" s="117" t="s">
        <v>199</v>
      </c>
      <c r="N253" s="118" t="str">
        <f t="shared" ca="1" si="65"/>
        <v>Serviço</v>
      </c>
      <c r="O253" s="119" t="str">
        <f t="shared" ca="1" si="66"/>
        <v>-</v>
      </c>
      <c r="P253" s="120" t="s">
        <v>247</v>
      </c>
      <c r="Q253" s="121" t="s">
        <v>640</v>
      </c>
      <c r="R253" s="122" t="str">
        <f ca="1">IF($C253="S",REFERENCIA.Descricao,"(digite a descrição aqui)")</f>
        <v>(abra o arquivo 'Referência 06-2024.xlsm)</v>
      </c>
      <c r="S253" s="123" t="str">
        <f ca="1">REFERENCIA.Unidade</f>
        <v>-</v>
      </c>
      <c r="T253" s="124">
        <f ca="1">OFFSET(CÁLCULO!H$15,ROW($T253)-ROW(T$15),0)</f>
        <v>83</v>
      </c>
      <c r="U253" s="125">
        <f t="shared" ca="1" si="74"/>
        <v>0</v>
      </c>
      <c r="V253" s="126" t="s">
        <v>156</v>
      </c>
      <c r="W253" s="124">
        <f ca="1">IF($C253="S",ROUND(IF(TIPOORCAMENTO="Proposto",ORÇAMENTO.CustoUnitario*(1+$AH253),ORÇAMENTO.PrecoUnitarioLicitado),15-13*$AF$10),0)</f>
        <v>0</v>
      </c>
      <c r="X253" s="127">
        <f ca="1">IF($C253="S",IF(Import.TipoArredondamento&lt;&gt;"TransfereGOV",VTOTAL1,SUM(OFFSET(CÁLCULO!$AI$15,ROW($X253)-ROW($X$15),1):OFFSET(CÁLCULO!$BB$15,ROW($X253)-ROW($X$15),-1))),IF($C253=0,0,ROUND(SomaAgrup,15-13*$AF$11)))</f>
        <v>0</v>
      </c>
      <c r="Y253" s="128" t="s">
        <v>245</v>
      </c>
      <c r="Z253" t="str">
        <f t="shared" ca="1" si="67"/>
        <v/>
      </c>
      <c r="AA253" s="129">
        <f ca="1">IF($C253="S",IF($Z253="CP",$X253,IF($Z253="RA",(($X253)*QCI!$AA$3),0)),SomaAgrup)</f>
        <v>0</v>
      </c>
      <c r="AB253" s="130">
        <f t="shared" ca="1" si="68"/>
        <v>0</v>
      </c>
      <c r="AC253" s="131" t="str">
        <f ca="1">IF($N253="","",IF(ORÇAMENTO.Descricao="","DESCRIÇÃO",IF(AND($C253="S",ORÇAMENTO.Unidade=""),"UNIDADE",IF($X253&lt;0,"VALOR NEGATIVO",IF(OR(AND(TIPOORCAMENTO="Proposto",$AG253&lt;&gt;"",$AG253&gt;0,ORÇAMENTO.CustoUnitario&gt;$AG253),AND(TIPOORCAMENTO="LICITADO",ORÇAMENTO.PrecoUnitarioLicitado&gt;$AN253)),"ACIMA REF.","")))))</f>
        <v/>
      </c>
      <c r="AD253" t="str">
        <f ca="1">IF(C253&lt;=CRONO.NivelExibicao,MAX($AD$15:OFFSET(AD253,-1,0))+IF($C253&lt;&gt;1,1,MAX(1,COUNTIF(QCI!$A$13:$A$24,OFFSET($E253,-1,0)))),"")</f>
        <v/>
      </c>
      <c r="AE253" s="7" t="str">
        <f ca="1">IF(AND($C253="S",ORÇAMENTO.CodBarra&lt;&gt;""),IF(ORÇAMENTO.Fonte="",ORÇAMENTO.CodBarra,CONCATENATE(ORÇAMENTO.Fonte," ",ORÇAMENTO.CodBarra)))</f>
        <v>SINAPI 89429</v>
      </c>
      <c r="AF253" s="13" t="str">
        <f ca="1">IF(ISERROR(INDIRECT(ORÇAMENTO.BancoRef)),"(abra o arquivo 'Referência "&amp;Excel_BuiltIn_Database&amp;".xlsm)",IF(OR($C253&lt;&gt;"S",ORÇAMENTO.CodBarra=""),"(Sem Código)",IF(ISERROR(MATCH($AE253,INDIRECT(ORÇAMENTO.BancoRef),0)),"(Código não identificado nas referências)",MATCH($AE253,INDIRECT(ORÇAMENTO.BancoRef),0))))</f>
        <v>(abra o arquivo 'Referência 06-2024.xlsm)</v>
      </c>
      <c r="AG253" s="498">
        <f ca="1">ROUND(IF(DESONERACAO="sim",REFERENCIA.Desonerado,REFERENCIA.NaoDesonerado),2)</f>
        <v>0</v>
      </c>
      <c r="AH253" s="499">
        <f t="shared" ca="1" si="69"/>
        <v>0.2432</v>
      </c>
      <c r="AJ253" s="501"/>
      <c r="AL253" s="527"/>
      <c r="AM253" s="381">
        <f t="shared" ca="1" si="70"/>
        <v>0</v>
      </c>
      <c r="AN253" s="566">
        <f t="shared" ca="1" si="71"/>
        <v>0</v>
      </c>
    </row>
    <row r="254" spans="1:40" ht="38.25" x14ac:dyDescent="0.2">
      <c r="A254" t="str">
        <f t="shared" si="56"/>
        <v>S</v>
      </c>
      <c r="B254">
        <f t="shared" ca="1" si="57"/>
        <v>2</v>
      </c>
      <c r="C254" t="str">
        <f t="shared" ca="1" si="58"/>
        <v>S</v>
      </c>
      <c r="D254">
        <f t="shared" ca="1" si="59"/>
        <v>0</v>
      </c>
      <c r="E254">
        <f ca="1">IF($C254=1,OFFSET(E254,-1,0)+MAX(1,COUNTIF(QCI!$A$13:$A$24,OFFSET(ORÇAMENTO!E254,-1,0))),OFFSET(E254,-1,0))</f>
        <v>1</v>
      </c>
      <c r="F254">
        <f t="shared" ca="1" si="60"/>
        <v>34</v>
      </c>
      <c r="G254">
        <f t="shared" ca="1" si="61"/>
        <v>0</v>
      </c>
      <c r="H254">
        <f t="shared" ca="1" si="62"/>
        <v>0</v>
      </c>
      <c r="I254">
        <f t="shared" ca="1" si="63"/>
        <v>0</v>
      </c>
      <c r="J254">
        <f t="shared" ca="1" si="73"/>
        <v>0</v>
      </c>
      <c r="K254">
        <f ca="1">IF(OR($C254="S",$C254=0),0,MATCH(OFFSET($D254,0,$C254)+IF($C254&lt;&gt;1,1,COUNTIF(QCI!$A$13:$A$24,ORÇAMENTO!E254)),OFFSET($D254,1,$C254,ROW($C$727)-ROW($C254)),0))</f>
        <v>0</v>
      </c>
      <c r="L254" s="116" t="str">
        <f t="shared" ca="1" si="64"/>
        <v/>
      </c>
      <c r="M254" s="117" t="s">
        <v>199</v>
      </c>
      <c r="N254" s="118" t="str">
        <f t="shared" ca="1" si="65"/>
        <v>Serviço</v>
      </c>
      <c r="O254" s="119" t="str">
        <f t="shared" ca="1" si="66"/>
        <v>-</v>
      </c>
      <c r="P254" s="120" t="s">
        <v>247</v>
      </c>
      <c r="Q254" s="121" t="s">
        <v>641</v>
      </c>
      <c r="R254" s="122" t="str">
        <f ca="1">IF($C254="S",REFERENCIA.Descricao,"(digite a descrição aqui)")</f>
        <v>(abra o arquivo 'Referência 06-2024.xlsm)</v>
      </c>
      <c r="S254" s="123" t="str">
        <f ca="1">REFERENCIA.Unidade</f>
        <v>-</v>
      </c>
      <c r="T254" s="124">
        <f ca="1">OFFSET(CÁLCULO!H$15,ROW($T254)-ROW(T$15),0)</f>
        <v>2</v>
      </c>
      <c r="U254" s="125">
        <f t="shared" ca="1" si="74"/>
        <v>0</v>
      </c>
      <c r="V254" s="126" t="s">
        <v>156</v>
      </c>
      <c r="W254" s="124">
        <f ca="1">IF($C254="S",ROUND(IF(TIPOORCAMENTO="Proposto",ORÇAMENTO.CustoUnitario*(1+$AH254),ORÇAMENTO.PrecoUnitarioLicitado),15-13*$AF$10),0)</f>
        <v>0</v>
      </c>
      <c r="X254" s="127">
        <f ca="1">IF($C254="S",IF(Import.TipoArredondamento&lt;&gt;"TransfereGOV",VTOTAL1,SUM(OFFSET(CÁLCULO!$AI$15,ROW($X254)-ROW($X$15),1):OFFSET(CÁLCULO!$BB$15,ROW($X254)-ROW($X$15),-1))),IF($C254=0,0,ROUND(SomaAgrup,15-13*$AF$11)))</f>
        <v>0</v>
      </c>
      <c r="Y254" s="128" t="s">
        <v>245</v>
      </c>
      <c r="Z254" t="str">
        <f t="shared" ca="1" si="67"/>
        <v/>
      </c>
      <c r="AA254" s="129">
        <f ca="1">IF($C254="S",IF($Z254="CP",$X254,IF($Z254="RA",(($X254)*QCI!$AA$3),0)),SomaAgrup)</f>
        <v>0</v>
      </c>
      <c r="AB254" s="130">
        <f t="shared" ca="1" si="68"/>
        <v>0</v>
      </c>
      <c r="AC254" s="131" t="str">
        <f ca="1">IF($N254="","",IF(ORÇAMENTO.Descricao="","DESCRIÇÃO",IF(AND($C254="S",ORÇAMENTO.Unidade=""),"UNIDADE",IF($X254&lt;0,"VALOR NEGATIVO",IF(OR(AND(TIPOORCAMENTO="Proposto",$AG254&lt;&gt;"",$AG254&gt;0,ORÇAMENTO.CustoUnitario&gt;$AG254),AND(TIPOORCAMENTO="LICITADO",ORÇAMENTO.PrecoUnitarioLicitado&gt;$AN254)),"ACIMA REF.","")))))</f>
        <v/>
      </c>
      <c r="AD254" t="str">
        <f ca="1">IF(C254&lt;=CRONO.NivelExibicao,MAX($AD$15:OFFSET(AD254,-1,0))+IF($C254&lt;&gt;1,1,MAX(1,COUNTIF(QCI!$A$13:$A$24,OFFSET($E254,-1,0)))),"")</f>
        <v/>
      </c>
      <c r="AE254" s="7" t="str">
        <f ca="1">IF(AND($C254="S",ORÇAMENTO.CodBarra&lt;&gt;""),IF(ORÇAMENTO.Fonte="",ORÇAMENTO.CodBarra,CONCATENATE(ORÇAMENTO.Fonte," ",ORÇAMENTO.CodBarra)))</f>
        <v>SINAPI 94660</v>
      </c>
      <c r="AF254" s="13" t="str">
        <f ca="1">IF(ISERROR(INDIRECT(ORÇAMENTO.BancoRef)),"(abra o arquivo 'Referência "&amp;Excel_BuiltIn_Database&amp;".xlsm)",IF(OR($C254&lt;&gt;"S",ORÇAMENTO.CodBarra=""),"(Sem Código)",IF(ISERROR(MATCH($AE254,INDIRECT(ORÇAMENTO.BancoRef),0)),"(Código não identificado nas referências)",MATCH($AE254,INDIRECT(ORÇAMENTO.BancoRef),0))))</f>
        <v>(abra o arquivo 'Referência 06-2024.xlsm)</v>
      </c>
      <c r="AG254" s="498">
        <f ca="1">ROUND(IF(DESONERACAO="sim",REFERENCIA.Desonerado,REFERENCIA.NaoDesonerado),2)</f>
        <v>0</v>
      </c>
      <c r="AH254" s="499">
        <f t="shared" ca="1" si="69"/>
        <v>0.2432</v>
      </c>
      <c r="AJ254" s="501"/>
      <c r="AL254" s="527"/>
      <c r="AM254" s="381">
        <f t="shared" ca="1" si="70"/>
        <v>0</v>
      </c>
      <c r="AN254" s="566">
        <f t="shared" ca="1" si="71"/>
        <v>0</v>
      </c>
    </row>
    <row r="255" spans="1:40" ht="51" x14ac:dyDescent="0.2">
      <c r="A255" t="str">
        <f t="shared" si="56"/>
        <v>S</v>
      </c>
      <c r="B255">
        <f t="shared" ca="1" si="57"/>
        <v>2</v>
      </c>
      <c r="C255" t="str">
        <f t="shared" ca="1" si="58"/>
        <v>S</v>
      </c>
      <c r="D255">
        <f t="shared" ca="1" si="59"/>
        <v>0</v>
      </c>
      <c r="E255">
        <f ca="1">IF($C255=1,OFFSET(E255,-1,0)+MAX(1,COUNTIF(QCI!$A$13:$A$24,OFFSET(ORÇAMENTO!E255,-1,0))),OFFSET(E255,-1,0))</f>
        <v>1</v>
      </c>
      <c r="F255">
        <f t="shared" ca="1" si="60"/>
        <v>34</v>
      </c>
      <c r="G255">
        <f t="shared" ca="1" si="61"/>
        <v>0</v>
      </c>
      <c r="H255">
        <f t="shared" ca="1" si="62"/>
        <v>0</v>
      </c>
      <c r="I255">
        <f t="shared" ca="1" si="63"/>
        <v>0</v>
      </c>
      <c r="J255">
        <f t="shared" ca="1" si="73"/>
        <v>0</v>
      </c>
      <c r="K255">
        <f ca="1">IF(OR($C255="S",$C255=0),0,MATCH(OFFSET($D255,0,$C255)+IF($C255&lt;&gt;1,1,COUNTIF(QCI!$A$13:$A$24,ORÇAMENTO!E255)),OFFSET($D255,1,$C255,ROW($C$727)-ROW($C255)),0))</f>
        <v>0</v>
      </c>
      <c r="L255" s="116" t="str">
        <f t="shared" ca="1" si="64"/>
        <v/>
      </c>
      <c r="M255" s="117" t="s">
        <v>199</v>
      </c>
      <c r="N255" s="118" t="str">
        <f t="shared" ca="1" si="65"/>
        <v>Serviço</v>
      </c>
      <c r="O255" s="119" t="str">
        <f t="shared" ca="1" si="66"/>
        <v>-</v>
      </c>
      <c r="P255" s="120" t="s">
        <v>247</v>
      </c>
      <c r="Q255" s="121" t="s">
        <v>642</v>
      </c>
      <c r="R255" s="122" t="str">
        <f ca="1">IF($C255="S",REFERENCIA.Descricao,"(digite a descrição aqui)")</f>
        <v>(abra o arquivo 'Referência 06-2024.xlsm)</v>
      </c>
      <c r="S255" s="123" t="str">
        <f ca="1">REFERENCIA.Unidade</f>
        <v>-</v>
      </c>
      <c r="T255" s="124">
        <f ca="1">OFFSET(CÁLCULO!H$15,ROW($T255)-ROW(T$15),0)</f>
        <v>56</v>
      </c>
      <c r="U255" s="125">
        <f t="shared" ca="1" si="74"/>
        <v>0</v>
      </c>
      <c r="V255" s="126" t="s">
        <v>156</v>
      </c>
      <c r="W255" s="124">
        <f ca="1">IF($C255="S",ROUND(IF(TIPOORCAMENTO="Proposto",ORÇAMENTO.CustoUnitario*(1+$AH255),ORÇAMENTO.PrecoUnitarioLicitado),15-13*$AF$10),0)</f>
        <v>0</v>
      </c>
      <c r="X255" s="127">
        <f ca="1">IF($C255="S",IF(Import.TipoArredondamento&lt;&gt;"TransfereGOV",VTOTAL1,SUM(OFFSET(CÁLCULO!$AI$15,ROW($X255)-ROW($X$15),1):OFFSET(CÁLCULO!$BB$15,ROW($X255)-ROW($X$15),-1))),IF($C255=0,0,ROUND(SomaAgrup,15-13*$AF$11)))</f>
        <v>0</v>
      </c>
      <c r="Y255" s="128" t="s">
        <v>245</v>
      </c>
      <c r="Z255" t="str">
        <f t="shared" ca="1" si="67"/>
        <v/>
      </c>
      <c r="AA255" s="129">
        <f ca="1">IF($C255="S",IF($Z255="CP",$X255,IF($Z255="RA",(($X255)*QCI!$AA$3),0)),SomaAgrup)</f>
        <v>0</v>
      </c>
      <c r="AB255" s="130">
        <f t="shared" ca="1" si="68"/>
        <v>0</v>
      </c>
      <c r="AC255" s="131" t="str">
        <f ca="1">IF($N255="","",IF(ORÇAMENTO.Descricao="","DESCRIÇÃO",IF(AND($C255="S",ORÇAMENTO.Unidade=""),"UNIDADE",IF($X255&lt;0,"VALOR NEGATIVO",IF(OR(AND(TIPOORCAMENTO="Proposto",$AG255&lt;&gt;"",$AG255&gt;0,ORÇAMENTO.CustoUnitario&gt;$AG255),AND(TIPOORCAMENTO="LICITADO",ORÇAMENTO.PrecoUnitarioLicitado&gt;$AN255)),"ACIMA REF.","")))))</f>
        <v/>
      </c>
      <c r="AD255" t="str">
        <f ca="1">IF(C255&lt;=CRONO.NivelExibicao,MAX($AD$15:OFFSET(AD255,-1,0))+IF($C255&lt;&gt;1,1,MAX(1,COUNTIF(QCI!$A$13:$A$24,OFFSET($E255,-1,0)))),"")</f>
        <v/>
      </c>
      <c r="AE255" s="7" t="str">
        <f ca="1">IF(AND($C255="S",ORÇAMENTO.CodBarra&lt;&gt;""),IF(ORÇAMENTO.Fonte="",ORÇAMENTO.CodBarra,CONCATENATE(ORÇAMENTO.Fonte," ",ORÇAMENTO.CodBarra)))</f>
        <v>SINAPI 104001</v>
      </c>
      <c r="AF255" s="13" t="str">
        <f ca="1">IF(ISERROR(INDIRECT(ORÇAMENTO.BancoRef)),"(abra o arquivo 'Referência "&amp;Excel_BuiltIn_Database&amp;".xlsm)",IF(OR($C255&lt;&gt;"S",ORÇAMENTO.CodBarra=""),"(Sem Código)",IF(ISERROR(MATCH($AE255,INDIRECT(ORÇAMENTO.BancoRef),0)),"(Código não identificado nas referências)",MATCH($AE255,INDIRECT(ORÇAMENTO.BancoRef),0))))</f>
        <v>(abra o arquivo 'Referência 06-2024.xlsm)</v>
      </c>
      <c r="AG255" s="498">
        <f ca="1">ROUND(IF(DESONERACAO="sim",REFERENCIA.Desonerado,REFERENCIA.NaoDesonerado),2)</f>
        <v>0</v>
      </c>
      <c r="AH255" s="499">
        <f t="shared" ca="1" si="69"/>
        <v>0.2432</v>
      </c>
      <c r="AJ255" s="501"/>
      <c r="AL255" s="527"/>
      <c r="AM255" s="381">
        <f t="shared" ca="1" si="70"/>
        <v>0</v>
      </c>
      <c r="AN255" s="566">
        <f t="shared" ca="1" si="71"/>
        <v>0</v>
      </c>
    </row>
    <row r="256" spans="1:40" ht="38.25" x14ac:dyDescent="0.2">
      <c r="A256" t="str">
        <f t="shared" si="56"/>
        <v>S</v>
      </c>
      <c r="B256">
        <f t="shared" ca="1" si="57"/>
        <v>2</v>
      </c>
      <c r="C256" t="str">
        <f t="shared" ca="1" si="58"/>
        <v>S</v>
      </c>
      <c r="D256">
        <f t="shared" ca="1" si="59"/>
        <v>0</v>
      </c>
      <c r="E256">
        <f ca="1">IF($C256=1,OFFSET(E256,-1,0)+MAX(1,COUNTIF(QCI!$A$13:$A$24,OFFSET(ORÇAMENTO!E256,-1,0))),OFFSET(E256,-1,0))</f>
        <v>1</v>
      </c>
      <c r="F256">
        <f t="shared" ca="1" si="60"/>
        <v>34</v>
      </c>
      <c r="G256">
        <f t="shared" ca="1" si="61"/>
        <v>0</v>
      </c>
      <c r="H256">
        <f t="shared" ca="1" si="62"/>
        <v>0</v>
      </c>
      <c r="I256">
        <f t="shared" ca="1" si="63"/>
        <v>0</v>
      </c>
      <c r="J256">
        <f t="shared" ca="1" si="73"/>
        <v>0</v>
      </c>
      <c r="K256">
        <f ca="1">IF(OR($C256="S",$C256=0),0,MATCH(OFFSET($D256,0,$C256)+IF($C256&lt;&gt;1,1,COUNTIF(QCI!$A$13:$A$24,ORÇAMENTO!E256)),OFFSET($D256,1,$C256,ROW($C$727)-ROW($C256)),0))</f>
        <v>0</v>
      </c>
      <c r="L256" s="116" t="str">
        <f t="shared" ca="1" si="64"/>
        <v/>
      </c>
      <c r="M256" s="117" t="s">
        <v>199</v>
      </c>
      <c r="N256" s="118" t="str">
        <f t="shared" ca="1" si="65"/>
        <v>Serviço</v>
      </c>
      <c r="O256" s="119" t="str">
        <f t="shared" ca="1" si="66"/>
        <v>-</v>
      </c>
      <c r="P256" s="120" t="s">
        <v>247</v>
      </c>
      <c r="Q256" s="121" t="s">
        <v>643</v>
      </c>
      <c r="R256" s="122" t="str">
        <f ca="1">IF($C256="S",REFERENCIA.Descricao,"(digite a descrição aqui)")</f>
        <v>(abra o arquivo 'Referência 06-2024.xlsm)</v>
      </c>
      <c r="S256" s="123" t="str">
        <f ca="1">REFERENCIA.Unidade</f>
        <v>-</v>
      </c>
      <c r="T256" s="124">
        <f ca="1">OFFSET(CÁLCULO!H$15,ROW($T256)-ROW(T$15),0)</f>
        <v>16</v>
      </c>
      <c r="U256" s="125">
        <f t="shared" ca="1" si="74"/>
        <v>0</v>
      </c>
      <c r="V256" s="126" t="s">
        <v>156</v>
      </c>
      <c r="W256" s="124">
        <f ca="1">IF($C256="S",ROUND(IF(TIPOORCAMENTO="Proposto",ORÇAMENTO.CustoUnitario*(1+$AH256),ORÇAMENTO.PrecoUnitarioLicitado),15-13*$AF$10),0)</f>
        <v>0</v>
      </c>
      <c r="X256" s="127">
        <f ca="1">IF($C256="S",IF(Import.TipoArredondamento&lt;&gt;"TransfereGOV",VTOTAL1,SUM(OFFSET(CÁLCULO!$AI$15,ROW($X256)-ROW($X$15),1):OFFSET(CÁLCULO!$BB$15,ROW($X256)-ROW($X$15),-1))),IF($C256=0,0,ROUND(SomaAgrup,15-13*$AF$11)))</f>
        <v>0</v>
      </c>
      <c r="Y256" s="128" t="s">
        <v>245</v>
      </c>
      <c r="Z256" t="str">
        <f t="shared" ca="1" si="67"/>
        <v/>
      </c>
      <c r="AA256" s="129">
        <f ca="1">IF($C256="S",IF($Z256="CP",$X256,IF($Z256="RA",(($X256)*QCI!$AA$3),0)),SomaAgrup)</f>
        <v>0</v>
      </c>
      <c r="AB256" s="130">
        <f t="shared" ca="1" si="68"/>
        <v>0</v>
      </c>
      <c r="AC256" s="131" t="str">
        <f ca="1">IF($N256="","",IF(ORÇAMENTO.Descricao="","DESCRIÇÃO",IF(AND($C256="S",ORÇAMENTO.Unidade=""),"UNIDADE",IF($X256&lt;0,"VALOR NEGATIVO",IF(OR(AND(TIPOORCAMENTO="Proposto",$AG256&lt;&gt;"",$AG256&gt;0,ORÇAMENTO.CustoUnitario&gt;$AG256),AND(TIPOORCAMENTO="LICITADO",ORÇAMENTO.PrecoUnitarioLicitado&gt;$AN256)),"ACIMA REF.","")))))</f>
        <v/>
      </c>
      <c r="AD256" t="str">
        <f ca="1">IF(C256&lt;=CRONO.NivelExibicao,MAX($AD$15:OFFSET(AD256,-1,0))+IF($C256&lt;&gt;1,1,MAX(1,COUNTIF(QCI!$A$13:$A$24,OFFSET($E256,-1,0)))),"")</f>
        <v/>
      </c>
      <c r="AE256" s="7" t="str">
        <f ca="1">IF(AND($C256="S",ORÇAMENTO.CodBarra&lt;&gt;""),IF(ORÇAMENTO.Fonte="",ORÇAMENTO.CodBarra,CONCATENATE(ORÇAMENTO.Fonte," ",ORÇAMENTO.CodBarra)))</f>
        <v>SINAPI 89616</v>
      </c>
      <c r="AF256" s="13" t="str">
        <f ca="1">IF(ISERROR(INDIRECT(ORÇAMENTO.BancoRef)),"(abra o arquivo 'Referência "&amp;Excel_BuiltIn_Database&amp;".xlsm)",IF(OR($C256&lt;&gt;"S",ORÇAMENTO.CodBarra=""),"(Sem Código)",IF(ISERROR(MATCH($AE256,INDIRECT(ORÇAMENTO.BancoRef),0)),"(Código não identificado nas referências)",MATCH($AE256,INDIRECT(ORÇAMENTO.BancoRef),0))))</f>
        <v>(abra o arquivo 'Referência 06-2024.xlsm)</v>
      </c>
      <c r="AG256" s="498">
        <f ca="1">ROUND(IF(DESONERACAO="sim",REFERENCIA.Desonerado,REFERENCIA.NaoDesonerado),2)</f>
        <v>0</v>
      </c>
      <c r="AH256" s="499">
        <f t="shared" ca="1" si="69"/>
        <v>0.2432</v>
      </c>
      <c r="AJ256" s="501"/>
      <c r="AL256" s="527"/>
      <c r="AM256" s="381">
        <f t="shared" ca="1" si="70"/>
        <v>0</v>
      </c>
      <c r="AN256" s="566">
        <f t="shared" ca="1" si="71"/>
        <v>0</v>
      </c>
    </row>
    <row r="257" spans="1:40" ht="38.25" x14ac:dyDescent="0.2">
      <c r="A257" t="str">
        <f t="shared" si="56"/>
        <v>S</v>
      </c>
      <c r="B257">
        <f t="shared" ca="1" si="57"/>
        <v>2</v>
      </c>
      <c r="C257" t="str">
        <f t="shared" ca="1" si="58"/>
        <v>S</v>
      </c>
      <c r="D257">
        <f t="shared" ca="1" si="59"/>
        <v>0</v>
      </c>
      <c r="E257">
        <f ca="1">IF($C257=1,OFFSET(E257,-1,0)+MAX(1,COUNTIF(QCI!$A$13:$A$24,OFFSET(ORÇAMENTO!E257,-1,0))),OFFSET(E257,-1,0))</f>
        <v>1</v>
      </c>
      <c r="F257">
        <f t="shared" ca="1" si="60"/>
        <v>34</v>
      </c>
      <c r="G257">
        <f t="shared" ca="1" si="61"/>
        <v>0</v>
      </c>
      <c r="H257">
        <f t="shared" ca="1" si="62"/>
        <v>0</v>
      </c>
      <c r="I257">
        <f t="shared" ca="1" si="63"/>
        <v>0</v>
      </c>
      <c r="J257">
        <f t="shared" ca="1" si="73"/>
        <v>0</v>
      </c>
      <c r="K257">
        <f ca="1">IF(OR($C257="S",$C257=0),0,MATCH(OFFSET($D257,0,$C257)+IF($C257&lt;&gt;1,1,COUNTIF(QCI!$A$13:$A$24,ORÇAMENTO!E257)),OFFSET($D257,1,$C257,ROW($C$727)-ROW($C257)),0))</f>
        <v>0</v>
      </c>
      <c r="L257" s="116" t="str">
        <f t="shared" ca="1" si="64"/>
        <v/>
      </c>
      <c r="M257" s="117" t="s">
        <v>199</v>
      </c>
      <c r="N257" s="118" t="str">
        <f t="shared" ca="1" si="65"/>
        <v>Serviço</v>
      </c>
      <c r="O257" s="119" t="str">
        <f t="shared" ca="1" si="66"/>
        <v>-</v>
      </c>
      <c r="P257" s="120" t="s">
        <v>247</v>
      </c>
      <c r="Q257" s="121" t="s">
        <v>644</v>
      </c>
      <c r="R257" s="122" t="str">
        <f ca="1">IF($C257="S",REFERENCIA.Descricao,"(digite a descrição aqui)")</f>
        <v>(abra o arquivo 'Referência 06-2024.xlsm)</v>
      </c>
      <c r="S257" s="123" t="str">
        <f ca="1">REFERENCIA.Unidade</f>
        <v>-</v>
      </c>
      <c r="T257" s="124">
        <f ca="1">OFFSET(CÁLCULO!H$15,ROW($T257)-ROW(T$15),0)</f>
        <v>16</v>
      </c>
      <c r="U257" s="125">
        <f t="shared" ca="1" si="74"/>
        <v>0</v>
      </c>
      <c r="V257" s="126" t="s">
        <v>156</v>
      </c>
      <c r="W257" s="124">
        <f ca="1">IF($C257="S",ROUND(IF(TIPOORCAMENTO="Proposto",ORÇAMENTO.CustoUnitario*(1+$AH257),ORÇAMENTO.PrecoUnitarioLicitado),15-13*$AF$10),0)</f>
        <v>0</v>
      </c>
      <c r="X257" s="127">
        <f ca="1">IF($C257="S",IF(Import.TipoArredondamento&lt;&gt;"TransfereGOV",VTOTAL1,SUM(OFFSET(CÁLCULO!$AI$15,ROW($X257)-ROW($X$15),1):OFFSET(CÁLCULO!$BB$15,ROW($X257)-ROW($X$15),-1))),IF($C257=0,0,ROUND(SomaAgrup,15-13*$AF$11)))</f>
        <v>0</v>
      </c>
      <c r="Y257" s="128" t="s">
        <v>245</v>
      </c>
      <c r="Z257" t="str">
        <f t="shared" ca="1" si="67"/>
        <v/>
      </c>
      <c r="AA257" s="129">
        <f ca="1">IF($C257="S",IF($Z257="CP",$X257,IF($Z257="RA",(($X257)*QCI!$AA$3),0)),SomaAgrup)</f>
        <v>0</v>
      </c>
      <c r="AB257" s="130">
        <f t="shared" ca="1" si="68"/>
        <v>0</v>
      </c>
      <c r="AC257" s="131" t="str">
        <f ca="1">IF($N257="","",IF(ORÇAMENTO.Descricao="","DESCRIÇÃO",IF(AND($C257="S",ORÇAMENTO.Unidade=""),"UNIDADE",IF($X257&lt;0,"VALOR NEGATIVO",IF(OR(AND(TIPOORCAMENTO="Proposto",$AG257&lt;&gt;"",$AG257&gt;0,ORÇAMENTO.CustoUnitario&gt;$AG257),AND(TIPOORCAMENTO="LICITADO",ORÇAMENTO.PrecoUnitarioLicitado&gt;$AN257)),"ACIMA REF.","")))))</f>
        <v/>
      </c>
      <c r="AD257" t="str">
        <f ca="1">IF(C257&lt;=CRONO.NivelExibicao,MAX($AD$15:OFFSET(AD257,-1,0))+IF($C257&lt;&gt;1,1,MAX(1,COUNTIF(QCI!$A$13:$A$24,OFFSET($E257,-1,0)))),"")</f>
        <v/>
      </c>
      <c r="AE257" s="7" t="str">
        <f ca="1">IF(AND($C257="S",ORÇAMENTO.CodBarra&lt;&gt;""),IF(ORÇAMENTO.Fonte="",ORÇAMENTO.CodBarra,CONCATENATE(ORÇAMENTO.Fonte," ",ORÇAMENTO.CodBarra)))</f>
        <v>SINAPI 103959</v>
      </c>
      <c r="AF257" s="13" t="str">
        <f ca="1">IF(ISERROR(INDIRECT(ORÇAMENTO.BancoRef)),"(abra o arquivo 'Referência "&amp;Excel_BuiltIn_Database&amp;".xlsm)",IF(OR($C257&lt;&gt;"S",ORÇAMENTO.CodBarra=""),"(Sem Código)",IF(ISERROR(MATCH($AE257,INDIRECT(ORÇAMENTO.BancoRef),0)),"(Código não identificado nas referências)",MATCH($AE257,INDIRECT(ORÇAMENTO.BancoRef),0))))</f>
        <v>(abra o arquivo 'Referência 06-2024.xlsm)</v>
      </c>
      <c r="AG257" s="498">
        <f ca="1">ROUND(IF(DESONERACAO="sim",REFERENCIA.Desonerado,REFERENCIA.NaoDesonerado),2)</f>
        <v>0</v>
      </c>
      <c r="AH257" s="499">
        <f t="shared" ca="1" si="69"/>
        <v>0.2432</v>
      </c>
      <c r="AJ257" s="501"/>
      <c r="AL257" s="527"/>
      <c r="AM257" s="381">
        <f t="shared" ca="1" si="70"/>
        <v>0</v>
      </c>
      <c r="AN257" s="566">
        <f t="shared" ca="1" si="71"/>
        <v>0</v>
      </c>
    </row>
    <row r="258" spans="1:40" ht="38.25" x14ac:dyDescent="0.2">
      <c r="A258" t="str">
        <f t="shared" si="56"/>
        <v>S</v>
      </c>
      <c r="B258">
        <f t="shared" ca="1" si="57"/>
        <v>2</v>
      </c>
      <c r="C258" t="str">
        <f t="shared" ca="1" si="58"/>
        <v>S</v>
      </c>
      <c r="D258">
        <f t="shared" ca="1" si="59"/>
        <v>0</v>
      </c>
      <c r="E258">
        <f ca="1">IF($C258=1,OFFSET(E258,-1,0)+MAX(1,COUNTIF(QCI!$A$13:$A$24,OFFSET(ORÇAMENTO!E258,-1,0))),OFFSET(E258,-1,0))</f>
        <v>1</v>
      </c>
      <c r="F258">
        <f t="shared" ca="1" si="60"/>
        <v>34</v>
      </c>
      <c r="G258">
        <f t="shared" ca="1" si="61"/>
        <v>0</v>
      </c>
      <c r="H258">
        <f t="shared" ca="1" si="62"/>
        <v>0</v>
      </c>
      <c r="I258">
        <f t="shared" ca="1" si="63"/>
        <v>0</v>
      </c>
      <c r="J258">
        <f t="shared" ca="1" si="73"/>
        <v>0</v>
      </c>
      <c r="K258">
        <f ca="1">IF(OR($C258="S",$C258=0),0,MATCH(OFFSET($D258,0,$C258)+IF($C258&lt;&gt;1,1,COUNTIF(QCI!$A$13:$A$24,ORÇAMENTO!E258)),OFFSET($D258,1,$C258,ROW($C$727)-ROW($C258)),0))</f>
        <v>0</v>
      </c>
      <c r="L258" s="116" t="str">
        <f t="shared" ca="1" si="64"/>
        <v/>
      </c>
      <c r="M258" s="117" t="s">
        <v>199</v>
      </c>
      <c r="N258" s="118" t="str">
        <f t="shared" ca="1" si="65"/>
        <v>Serviço</v>
      </c>
      <c r="O258" s="119" t="str">
        <f t="shared" ca="1" si="66"/>
        <v>-</v>
      </c>
      <c r="P258" s="120" t="s">
        <v>247</v>
      </c>
      <c r="Q258" s="121" t="s">
        <v>645</v>
      </c>
      <c r="R258" s="122" t="str">
        <f ca="1">IF($C258="S",REFERENCIA.Descricao,"(digite a descrição aqui)")</f>
        <v>(abra o arquivo 'Referência 06-2024.xlsm)</v>
      </c>
      <c r="S258" s="123" t="str">
        <f ca="1">REFERENCIA.Unidade</f>
        <v>-</v>
      </c>
      <c r="T258" s="124">
        <f ca="1">OFFSET(CÁLCULO!H$15,ROW($T258)-ROW(T$15),0)</f>
        <v>38</v>
      </c>
      <c r="U258" s="125">
        <f t="shared" ca="1" si="74"/>
        <v>0</v>
      </c>
      <c r="V258" s="126" t="s">
        <v>156</v>
      </c>
      <c r="W258" s="124">
        <f ca="1">IF($C258="S",ROUND(IF(TIPOORCAMENTO="Proposto",ORÇAMENTO.CustoUnitario*(1+$AH258),ORÇAMENTO.PrecoUnitarioLicitado),15-13*$AF$10),0)</f>
        <v>0</v>
      </c>
      <c r="X258" s="127">
        <f ca="1">IF($C258="S",IF(Import.TipoArredondamento&lt;&gt;"TransfereGOV",VTOTAL1,SUM(OFFSET(CÁLCULO!$AI$15,ROW($X258)-ROW($X$15),1):OFFSET(CÁLCULO!$BB$15,ROW($X258)-ROW($X$15),-1))),IF($C258=0,0,ROUND(SomaAgrup,15-13*$AF$11)))</f>
        <v>0</v>
      </c>
      <c r="Y258" s="128" t="s">
        <v>245</v>
      </c>
      <c r="Z258" t="str">
        <f t="shared" ca="1" si="67"/>
        <v/>
      </c>
      <c r="AA258" s="129">
        <f ca="1">IF($C258="S",IF($Z258="CP",$X258,IF($Z258="RA",(($X258)*QCI!$AA$3),0)),SomaAgrup)</f>
        <v>0</v>
      </c>
      <c r="AB258" s="130">
        <f t="shared" ca="1" si="68"/>
        <v>0</v>
      </c>
      <c r="AC258" s="131" t="str">
        <f ca="1">IF($N258="","",IF(ORÇAMENTO.Descricao="","DESCRIÇÃO",IF(AND($C258="S",ORÇAMENTO.Unidade=""),"UNIDADE",IF($X258&lt;0,"VALOR NEGATIVO",IF(OR(AND(TIPOORCAMENTO="Proposto",$AG258&lt;&gt;"",$AG258&gt;0,ORÇAMENTO.CustoUnitario&gt;$AG258),AND(TIPOORCAMENTO="LICITADO",ORÇAMENTO.PrecoUnitarioLicitado&gt;$AN258)),"ACIMA REF.","")))))</f>
        <v/>
      </c>
      <c r="AD258" t="str">
        <f ca="1">IF(C258&lt;=CRONO.NivelExibicao,MAX($AD$15:OFFSET(AD258,-1,0))+IF($C258&lt;&gt;1,1,MAX(1,COUNTIF(QCI!$A$13:$A$24,OFFSET($E258,-1,0)))),"")</f>
        <v/>
      </c>
      <c r="AE258" s="7" t="str">
        <f ca="1">IF(AND($C258="S",ORÇAMENTO.CodBarra&lt;&gt;""),IF(ORÇAMENTO.Fonte="",ORÇAMENTO.CodBarra,CONCATENATE(ORÇAMENTO.Fonte," ",ORÇAMENTO.CodBarra)))</f>
        <v>SINAPI 103968</v>
      </c>
      <c r="AF258" s="13" t="str">
        <f ca="1">IF(ISERROR(INDIRECT(ORÇAMENTO.BancoRef)),"(abra o arquivo 'Referência "&amp;Excel_BuiltIn_Database&amp;".xlsm)",IF(OR($C258&lt;&gt;"S",ORÇAMENTO.CodBarra=""),"(Sem Código)",IF(ISERROR(MATCH($AE258,INDIRECT(ORÇAMENTO.BancoRef),0)),"(Código não identificado nas referências)",MATCH($AE258,INDIRECT(ORÇAMENTO.BancoRef),0))))</f>
        <v>(abra o arquivo 'Referência 06-2024.xlsm)</v>
      </c>
      <c r="AG258" s="498">
        <f ca="1">ROUND(IF(DESONERACAO="sim",REFERENCIA.Desonerado,REFERENCIA.NaoDesonerado),2)</f>
        <v>0</v>
      </c>
      <c r="AH258" s="499">
        <f t="shared" ca="1" si="69"/>
        <v>0.2432</v>
      </c>
      <c r="AJ258" s="501"/>
      <c r="AL258" s="527"/>
      <c r="AM258" s="381">
        <f t="shared" ca="1" si="70"/>
        <v>0</v>
      </c>
      <c r="AN258" s="566">
        <f t="shared" ca="1" si="71"/>
        <v>0</v>
      </c>
    </row>
    <row r="259" spans="1:40" ht="38.25" x14ac:dyDescent="0.2">
      <c r="A259" t="str">
        <f t="shared" si="56"/>
        <v>S</v>
      </c>
      <c r="B259">
        <f t="shared" ca="1" si="57"/>
        <v>2</v>
      </c>
      <c r="C259" t="str">
        <f t="shared" ca="1" si="58"/>
        <v>S</v>
      </c>
      <c r="D259">
        <f t="shared" ca="1" si="59"/>
        <v>0</v>
      </c>
      <c r="E259">
        <f ca="1">IF($C259=1,OFFSET(E259,-1,0)+MAX(1,COUNTIF(QCI!$A$13:$A$24,OFFSET(ORÇAMENTO!E259,-1,0))),OFFSET(E259,-1,0))</f>
        <v>1</v>
      </c>
      <c r="F259">
        <f t="shared" ca="1" si="60"/>
        <v>34</v>
      </c>
      <c r="G259">
        <f t="shared" ca="1" si="61"/>
        <v>0</v>
      </c>
      <c r="H259">
        <f t="shared" ca="1" si="62"/>
        <v>0</v>
      </c>
      <c r="I259">
        <f t="shared" ca="1" si="63"/>
        <v>0</v>
      </c>
      <c r="J259">
        <f t="shared" ca="1" si="73"/>
        <v>0</v>
      </c>
      <c r="K259">
        <f ca="1">IF(OR($C259="S",$C259=0),0,MATCH(OFFSET($D259,0,$C259)+IF($C259&lt;&gt;1,1,COUNTIF(QCI!$A$13:$A$24,ORÇAMENTO!E259)),OFFSET($D259,1,$C259,ROW($C$727)-ROW($C259)),0))</f>
        <v>0</v>
      </c>
      <c r="L259" s="116" t="str">
        <f t="shared" ca="1" si="64"/>
        <v/>
      </c>
      <c r="M259" s="117" t="s">
        <v>199</v>
      </c>
      <c r="N259" s="118" t="str">
        <f t="shared" ca="1" si="65"/>
        <v>Serviço</v>
      </c>
      <c r="O259" s="119" t="str">
        <f t="shared" ca="1" si="66"/>
        <v>-</v>
      </c>
      <c r="P259" s="120" t="s">
        <v>458</v>
      </c>
      <c r="Q259" s="121" t="s">
        <v>646</v>
      </c>
      <c r="R259" s="122" t="str">
        <f ca="1">IF($C259="S",REFERENCIA.Descricao,"(digite a descrição aqui)")</f>
        <v>(abra o arquivo 'Referência 06-2024.xlsm)</v>
      </c>
      <c r="S259" s="123" t="str">
        <f ca="1">REFERENCIA.Unidade</f>
        <v>-</v>
      </c>
      <c r="T259" s="124">
        <f ca="1">OFFSET(CÁLCULO!H$15,ROW($T259)-ROW(T$15),0)</f>
        <v>18</v>
      </c>
      <c r="U259" s="125">
        <f t="shared" ca="1" si="74"/>
        <v>0</v>
      </c>
      <c r="V259" s="126" t="s">
        <v>156</v>
      </c>
      <c r="W259" s="124">
        <f ca="1">IF($C259="S",ROUND(IF(TIPOORCAMENTO="Proposto",ORÇAMENTO.CustoUnitario*(1+$AH259),ORÇAMENTO.PrecoUnitarioLicitado),15-13*$AF$10),0)</f>
        <v>0</v>
      </c>
      <c r="X259" s="127">
        <f ca="1">IF($C259="S",IF(Import.TipoArredondamento&lt;&gt;"TransfereGOV",VTOTAL1,SUM(OFFSET(CÁLCULO!$AI$15,ROW($X259)-ROW($X$15),1):OFFSET(CÁLCULO!$BB$15,ROW($X259)-ROW($X$15),-1))),IF($C259=0,0,ROUND(SomaAgrup,15-13*$AF$11)))</f>
        <v>0</v>
      </c>
      <c r="Y259" s="128" t="s">
        <v>245</v>
      </c>
      <c r="Z259" t="str">
        <f t="shared" ca="1" si="67"/>
        <v/>
      </c>
      <c r="AA259" s="129">
        <f ca="1">IF($C259="S",IF($Z259="CP",$X259,IF($Z259="RA",(($X259)*QCI!$AA$3),0)),SomaAgrup)</f>
        <v>0</v>
      </c>
      <c r="AB259" s="130">
        <f t="shared" ca="1" si="68"/>
        <v>0</v>
      </c>
      <c r="AC259" s="131" t="str">
        <f ca="1">IF($N259="","",IF(ORÇAMENTO.Descricao="","DESCRIÇÃO",IF(AND($C259="S",ORÇAMENTO.Unidade=""),"UNIDADE",IF($X259&lt;0,"VALOR NEGATIVO",IF(OR(AND(TIPOORCAMENTO="Proposto",$AG259&lt;&gt;"",$AG259&gt;0,ORÇAMENTO.CustoUnitario&gt;$AG259),AND(TIPOORCAMENTO="LICITADO",ORÇAMENTO.PrecoUnitarioLicitado&gt;$AN259)),"ACIMA REF.","")))))</f>
        <v/>
      </c>
      <c r="AD259" t="str">
        <f ca="1">IF(C259&lt;=CRONO.NivelExibicao,MAX($AD$15:OFFSET(AD259,-1,0))+IF($C259&lt;&gt;1,1,MAX(1,COUNTIF(QCI!$A$13:$A$24,OFFSET($E259,-1,0)))),"")</f>
        <v/>
      </c>
      <c r="AE259" s="7" t="str">
        <f ca="1">IF(AND($C259="S",ORÇAMENTO.CodBarra&lt;&gt;""),IF(ORÇAMENTO.Fonte="",ORÇAMENTO.CodBarra,CONCATENATE(ORÇAMENTO.Fonte," ",ORÇAMENTO.CodBarra)))</f>
        <v>COMPOSIÇÃO FNDE 413</v>
      </c>
      <c r="AF259" s="13" t="str">
        <f ca="1">IF(ISERROR(INDIRECT(ORÇAMENTO.BancoRef)),"(abra o arquivo 'Referência "&amp;Excel_BuiltIn_Database&amp;".xlsm)",IF(OR($C259&lt;&gt;"S",ORÇAMENTO.CodBarra=""),"(Sem Código)",IF(ISERROR(MATCH($AE259,INDIRECT(ORÇAMENTO.BancoRef),0)),"(Código não identificado nas referências)",MATCH($AE259,INDIRECT(ORÇAMENTO.BancoRef),0))))</f>
        <v>(abra o arquivo 'Referência 06-2024.xlsm)</v>
      </c>
      <c r="AG259" s="498">
        <f ca="1">ROUND(IF(DESONERACAO="sim",REFERENCIA.Desonerado,REFERENCIA.NaoDesonerado),2)</f>
        <v>0</v>
      </c>
      <c r="AH259" s="499">
        <f t="shared" ca="1" si="69"/>
        <v>0.2432</v>
      </c>
      <c r="AJ259" s="501"/>
      <c r="AL259" s="527"/>
      <c r="AM259" s="381">
        <f t="shared" ca="1" si="70"/>
        <v>0</v>
      </c>
      <c r="AN259" s="566">
        <f t="shared" ca="1" si="71"/>
        <v>0</v>
      </c>
    </row>
    <row r="260" spans="1:40" ht="38.25" x14ac:dyDescent="0.2">
      <c r="A260" t="str">
        <f t="shared" si="56"/>
        <v>S</v>
      </c>
      <c r="B260">
        <f t="shared" ca="1" si="57"/>
        <v>2</v>
      </c>
      <c r="C260" t="str">
        <f t="shared" ca="1" si="58"/>
        <v>S</v>
      </c>
      <c r="D260">
        <f t="shared" ca="1" si="59"/>
        <v>0</v>
      </c>
      <c r="E260">
        <f ca="1">IF($C260=1,OFFSET(E260,-1,0)+MAX(1,COUNTIF(QCI!$A$13:$A$24,OFFSET(ORÇAMENTO!E260,-1,0))),OFFSET(E260,-1,0))</f>
        <v>1</v>
      </c>
      <c r="F260">
        <f t="shared" ca="1" si="60"/>
        <v>34</v>
      </c>
      <c r="G260">
        <f t="shared" ca="1" si="61"/>
        <v>0</v>
      </c>
      <c r="H260">
        <f t="shared" ca="1" si="62"/>
        <v>0</v>
      </c>
      <c r="I260">
        <f t="shared" ca="1" si="63"/>
        <v>0</v>
      </c>
      <c r="J260">
        <f t="shared" ca="1" si="73"/>
        <v>0</v>
      </c>
      <c r="K260">
        <f ca="1">IF(OR($C260="S",$C260=0),0,MATCH(OFFSET($D260,0,$C260)+IF($C260&lt;&gt;1,1,COUNTIF(QCI!$A$13:$A$24,ORÇAMENTO!E260)),OFFSET($D260,1,$C260,ROW($C$727)-ROW($C260)),0))</f>
        <v>0</v>
      </c>
      <c r="L260" s="116" t="str">
        <f t="shared" ca="1" si="64"/>
        <v/>
      </c>
      <c r="M260" s="117" t="s">
        <v>199</v>
      </c>
      <c r="N260" s="118" t="str">
        <f t="shared" ca="1" si="65"/>
        <v>Serviço</v>
      </c>
      <c r="O260" s="119" t="str">
        <f t="shared" ca="1" si="66"/>
        <v>-</v>
      </c>
      <c r="P260" s="120" t="s">
        <v>247</v>
      </c>
      <c r="Q260" s="121" t="s">
        <v>647</v>
      </c>
      <c r="R260" s="122" t="str">
        <f ca="1">IF($C260="S",REFERENCIA.Descricao,"(digite a descrição aqui)")</f>
        <v>(abra o arquivo 'Referência 06-2024.xlsm)</v>
      </c>
      <c r="S260" s="123" t="str">
        <f ca="1">REFERENCIA.Unidade</f>
        <v>-</v>
      </c>
      <c r="T260" s="124">
        <f ca="1">OFFSET(CÁLCULO!H$15,ROW($T260)-ROW(T$15),0)</f>
        <v>24</v>
      </c>
      <c r="U260" s="125">
        <f t="shared" ca="1" si="74"/>
        <v>0</v>
      </c>
      <c r="V260" s="126" t="s">
        <v>156</v>
      </c>
      <c r="W260" s="124">
        <f ca="1">IF($C260="S",ROUND(IF(TIPOORCAMENTO="Proposto",ORÇAMENTO.CustoUnitario*(1+$AH260),ORÇAMENTO.PrecoUnitarioLicitado),15-13*$AF$10),0)</f>
        <v>0</v>
      </c>
      <c r="X260" s="127">
        <f ca="1">IF($C260="S",IF(Import.TipoArredondamento&lt;&gt;"TransfereGOV",VTOTAL1,SUM(OFFSET(CÁLCULO!$AI$15,ROW($X260)-ROW($X$15),1):OFFSET(CÁLCULO!$BB$15,ROW($X260)-ROW($X$15),-1))),IF($C260=0,0,ROUND(SomaAgrup,15-13*$AF$11)))</f>
        <v>0</v>
      </c>
      <c r="Y260" s="128" t="s">
        <v>245</v>
      </c>
      <c r="Z260" t="str">
        <f t="shared" ca="1" si="67"/>
        <v/>
      </c>
      <c r="AA260" s="129">
        <f ca="1">IF($C260="S",IF($Z260="CP",$X260,IF($Z260="RA",(($X260)*QCI!$AA$3),0)),SomaAgrup)</f>
        <v>0</v>
      </c>
      <c r="AB260" s="130">
        <f t="shared" ca="1" si="68"/>
        <v>0</v>
      </c>
      <c r="AC260" s="131" t="str">
        <f ca="1">IF($N260="","",IF(ORÇAMENTO.Descricao="","DESCRIÇÃO",IF(AND($C260="S",ORÇAMENTO.Unidade=""),"UNIDADE",IF($X260&lt;0,"VALOR NEGATIVO",IF(OR(AND(TIPOORCAMENTO="Proposto",$AG260&lt;&gt;"",$AG260&gt;0,ORÇAMENTO.CustoUnitario&gt;$AG260),AND(TIPOORCAMENTO="LICITADO",ORÇAMENTO.PrecoUnitarioLicitado&gt;$AN260)),"ACIMA REF.","")))))</f>
        <v/>
      </c>
      <c r="AD260" t="str">
        <f ca="1">IF(C260&lt;=CRONO.NivelExibicao,MAX($AD$15:OFFSET(AD260,-1,0))+IF($C260&lt;&gt;1,1,MAX(1,COUNTIF(QCI!$A$13:$A$24,OFFSET($E260,-1,0)))),"")</f>
        <v/>
      </c>
      <c r="AE260" s="7" t="str">
        <f ca="1">IF(AND($C260="S",ORÇAMENTO.CodBarra&lt;&gt;""),IF(ORÇAMENTO.Fonte="",ORÇAMENTO.CodBarra,CONCATENATE(ORÇAMENTO.Fonte," ",ORÇAMENTO.CodBarra)))</f>
        <v>SINAPI 103986</v>
      </c>
      <c r="AF260" s="13" t="str">
        <f ca="1">IF(ISERROR(INDIRECT(ORÇAMENTO.BancoRef)),"(abra o arquivo 'Referência "&amp;Excel_BuiltIn_Database&amp;".xlsm)",IF(OR($C260&lt;&gt;"S",ORÇAMENTO.CodBarra=""),"(Sem Código)",IF(ISERROR(MATCH($AE260,INDIRECT(ORÇAMENTO.BancoRef),0)),"(Código não identificado nas referências)",MATCH($AE260,INDIRECT(ORÇAMENTO.BancoRef),0))))</f>
        <v>(abra o arquivo 'Referência 06-2024.xlsm)</v>
      </c>
      <c r="AG260" s="498">
        <f ca="1">ROUND(IF(DESONERACAO="sim",REFERENCIA.Desonerado,REFERENCIA.NaoDesonerado),2)</f>
        <v>0</v>
      </c>
      <c r="AH260" s="499">
        <f t="shared" ca="1" si="69"/>
        <v>0.2432</v>
      </c>
      <c r="AJ260" s="501"/>
      <c r="AL260" s="527"/>
      <c r="AM260" s="381">
        <f t="shared" ca="1" si="70"/>
        <v>0</v>
      </c>
      <c r="AN260" s="566">
        <f t="shared" ca="1" si="71"/>
        <v>0</v>
      </c>
    </row>
    <row r="261" spans="1:40" ht="38.25" x14ac:dyDescent="0.2">
      <c r="A261" t="str">
        <f t="shared" si="56"/>
        <v>S</v>
      </c>
      <c r="B261">
        <f t="shared" ca="1" si="57"/>
        <v>2</v>
      </c>
      <c r="C261" t="str">
        <f t="shared" ca="1" si="58"/>
        <v>S</v>
      </c>
      <c r="D261">
        <f t="shared" ca="1" si="59"/>
        <v>0</v>
      </c>
      <c r="E261">
        <f ca="1">IF($C261=1,OFFSET(E261,-1,0)+MAX(1,COUNTIF(QCI!$A$13:$A$24,OFFSET(ORÇAMENTO!E261,-1,0))),OFFSET(E261,-1,0))</f>
        <v>1</v>
      </c>
      <c r="F261">
        <f t="shared" ca="1" si="60"/>
        <v>34</v>
      </c>
      <c r="G261">
        <f t="shared" ca="1" si="61"/>
        <v>0</v>
      </c>
      <c r="H261">
        <f t="shared" ca="1" si="62"/>
        <v>0</v>
      </c>
      <c r="I261">
        <f t="shared" ca="1" si="63"/>
        <v>0</v>
      </c>
      <c r="J261">
        <f t="shared" ca="1" si="73"/>
        <v>0</v>
      </c>
      <c r="K261">
        <f ca="1">IF(OR($C261="S",$C261=0),0,MATCH(OFFSET($D261,0,$C261)+IF($C261&lt;&gt;1,1,COUNTIF(QCI!$A$13:$A$24,ORÇAMENTO!E261)),OFFSET($D261,1,$C261,ROW($C$727)-ROW($C261)),0))</f>
        <v>0</v>
      </c>
      <c r="L261" s="116" t="str">
        <f t="shared" ca="1" si="64"/>
        <v/>
      </c>
      <c r="M261" s="117" t="s">
        <v>199</v>
      </c>
      <c r="N261" s="118" t="str">
        <f t="shared" ca="1" si="65"/>
        <v>Serviço</v>
      </c>
      <c r="O261" s="119" t="str">
        <f t="shared" ca="1" si="66"/>
        <v>-</v>
      </c>
      <c r="P261" s="120" t="s">
        <v>247</v>
      </c>
      <c r="Q261" s="121" t="s">
        <v>648</v>
      </c>
      <c r="R261" s="122" t="str">
        <f ca="1">IF($C261="S",REFERENCIA.Descricao,"(digite a descrição aqui)")</f>
        <v>(abra o arquivo 'Referência 06-2024.xlsm)</v>
      </c>
      <c r="S261" s="123" t="str">
        <f ca="1">REFERENCIA.Unidade</f>
        <v>-</v>
      </c>
      <c r="T261" s="124">
        <f ca="1">OFFSET(CÁLCULO!H$15,ROW($T261)-ROW(T$15),0)</f>
        <v>4</v>
      </c>
      <c r="U261" s="125">
        <f t="shared" ca="1" si="74"/>
        <v>0</v>
      </c>
      <c r="V261" s="126" t="s">
        <v>156</v>
      </c>
      <c r="W261" s="124">
        <f ca="1">IF($C261="S",ROUND(IF(TIPOORCAMENTO="Proposto",ORÇAMENTO.CustoUnitario*(1+$AH261),ORÇAMENTO.PrecoUnitarioLicitado),15-13*$AF$10),0)</f>
        <v>0</v>
      </c>
      <c r="X261" s="127">
        <f ca="1">IF($C261="S",IF(Import.TipoArredondamento&lt;&gt;"TransfereGOV",VTOTAL1,SUM(OFFSET(CÁLCULO!$AI$15,ROW($X261)-ROW($X$15),1):OFFSET(CÁLCULO!$BB$15,ROW($X261)-ROW($X$15),-1))),IF($C261=0,0,ROUND(SomaAgrup,15-13*$AF$11)))</f>
        <v>0</v>
      </c>
      <c r="Y261" s="128" t="s">
        <v>245</v>
      </c>
      <c r="Z261" t="str">
        <f t="shared" ca="1" si="67"/>
        <v/>
      </c>
      <c r="AA261" s="129">
        <f ca="1">IF($C261="S",IF($Z261="CP",$X261,IF($Z261="RA",(($X261)*QCI!$AA$3),0)),SomaAgrup)</f>
        <v>0</v>
      </c>
      <c r="AB261" s="130">
        <f t="shared" ca="1" si="68"/>
        <v>0</v>
      </c>
      <c r="AC261" s="131" t="str">
        <f ca="1">IF($N261="","",IF(ORÇAMENTO.Descricao="","DESCRIÇÃO",IF(AND($C261="S",ORÇAMENTO.Unidade=""),"UNIDADE",IF($X261&lt;0,"VALOR NEGATIVO",IF(OR(AND(TIPOORCAMENTO="Proposto",$AG261&lt;&gt;"",$AG261&gt;0,ORÇAMENTO.CustoUnitario&gt;$AG261),AND(TIPOORCAMENTO="LICITADO",ORÇAMENTO.PrecoUnitarioLicitado&gt;$AN261)),"ACIMA REF.","")))))</f>
        <v/>
      </c>
      <c r="AD261" t="str">
        <f ca="1">IF(C261&lt;=CRONO.NivelExibicao,MAX($AD$15:OFFSET(AD261,-1,0))+IF($C261&lt;&gt;1,1,MAX(1,COUNTIF(QCI!$A$13:$A$24,OFFSET($E261,-1,0)))),"")</f>
        <v/>
      </c>
      <c r="AE261" s="7" t="str">
        <f ca="1">IF(AND($C261="S",ORÇAMENTO.CodBarra&lt;&gt;""),IF(ORÇAMENTO.Fonte="",ORÇAMENTO.CodBarra,CONCATENATE(ORÇAMENTO.Fonte," ",ORÇAMENTO.CodBarra)))</f>
        <v>SINAPI 89430</v>
      </c>
      <c r="AF261" s="13" t="str">
        <f ca="1">IF(ISERROR(INDIRECT(ORÇAMENTO.BancoRef)),"(abra o arquivo 'Referência "&amp;Excel_BuiltIn_Database&amp;".xlsm)",IF(OR($C261&lt;&gt;"S",ORÇAMENTO.CodBarra=""),"(Sem Código)",IF(ISERROR(MATCH($AE261,INDIRECT(ORÇAMENTO.BancoRef),0)),"(Código não identificado nas referências)",MATCH($AE261,INDIRECT(ORÇAMENTO.BancoRef),0))))</f>
        <v>(abra o arquivo 'Referência 06-2024.xlsm)</v>
      </c>
      <c r="AG261" s="498">
        <f ca="1">ROUND(IF(DESONERACAO="sim",REFERENCIA.Desonerado,REFERENCIA.NaoDesonerado),2)</f>
        <v>0</v>
      </c>
      <c r="AH261" s="499">
        <f t="shared" ca="1" si="69"/>
        <v>0.2432</v>
      </c>
      <c r="AJ261" s="501"/>
      <c r="AL261" s="527"/>
      <c r="AM261" s="381">
        <f t="shared" ca="1" si="70"/>
        <v>0</v>
      </c>
      <c r="AN261" s="566">
        <f t="shared" ca="1" si="71"/>
        <v>0</v>
      </c>
    </row>
    <row r="262" spans="1:40" ht="38.25" x14ac:dyDescent="0.2">
      <c r="A262" t="str">
        <f t="shared" si="56"/>
        <v>S</v>
      </c>
      <c r="B262">
        <f t="shared" ca="1" si="57"/>
        <v>2</v>
      </c>
      <c r="C262" t="str">
        <f t="shared" ca="1" si="58"/>
        <v>S</v>
      </c>
      <c r="D262">
        <f t="shared" ca="1" si="59"/>
        <v>0</v>
      </c>
      <c r="E262">
        <f ca="1">IF($C262=1,OFFSET(E262,-1,0)+MAX(1,COUNTIF(QCI!$A$13:$A$24,OFFSET(ORÇAMENTO!E262,-1,0))),OFFSET(E262,-1,0))</f>
        <v>1</v>
      </c>
      <c r="F262">
        <f t="shared" ca="1" si="60"/>
        <v>34</v>
      </c>
      <c r="G262">
        <f t="shared" ca="1" si="61"/>
        <v>0</v>
      </c>
      <c r="H262">
        <f t="shared" ca="1" si="62"/>
        <v>0</v>
      </c>
      <c r="I262">
        <f t="shared" ca="1" si="63"/>
        <v>0</v>
      </c>
      <c r="J262">
        <f t="shared" ca="1" si="73"/>
        <v>0</v>
      </c>
      <c r="K262">
        <f ca="1">IF(OR($C262="S",$C262=0),0,MATCH(OFFSET($D262,0,$C262)+IF($C262&lt;&gt;1,1,COUNTIF(QCI!$A$13:$A$24,ORÇAMENTO!E262)),OFFSET($D262,1,$C262,ROW($C$727)-ROW($C262)),0))</f>
        <v>0</v>
      </c>
      <c r="L262" s="116" t="str">
        <f t="shared" ca="1" si="64"/>
        <v/>
      </c>
      <c r="M262" s="117" t="s">
        <v>199</v>
      </c>
      <c r="N262" s="118" t="str">
        <f t="shared" ca="1" si="65"/>
        <v>Serviço</v>
      </c>
      <c r="O262" s="119" t="str">
        <f t="shared" ca="1" si="66"/>
        <v>-</v>
      </c>
      <c r="P262" s="120" t="s">
        <v>247</v>
      </c>
      <c r="Q262" s="121" t="s">
        <v>649</v>
      </c>
      <c r="R262" s="122" t="str">
        <f ca="1">IF($C262="S",REFERENCIA.Descricao,"(digite a descrição aqui)")</f>
        <v>(abra o arquivo 'Referência 06-2024.xlsm)</v>
      </c>
      <c r="S262" s="123" t="str">
        <f ca="1">REFERENCIA.Unidade</f>
        <v>-</v>
      </c>
      <c r="T262" s="124">
        <f ca="1">OFFSET(CÁLCULO!H$15,ROW($T262)-ROW(T$15),0)</f>
        <v>248</v>
      </c>
      <c r="U262" s="125">
        <f t="shared" ca="1" si="74"/>
        <v>0</v>
      </c>
      <c r="V262" s="126" t="s">
        <v>156</v>
      </c>
      <c r="W262" s="124">
        <f ca="1">IF($C262="S",ROUND(IF(TIPOORCAMENTO="Proposto",ORÇAMENTO.CustoUnitario*(1+$AH262),ORÇAMENTO.PrecoUnitarioLicitado),15-13*$AF$10),0)</f>
        <v>0</v>
      </c>
      <c r="X262" s="127">
        <f ca="1">IF($C262="S",IF(Import.TipoArredondamento&lt;&gt;"TransfereGOV",VTOTAL1,SUM(OFFSET(CÁLCULO!$AI$15,ROW($X262)-ROW($X$15),1):OFFSET(CÁLCULO!$BB$15,ROW($X262)-ROW($X$15),-1))),IF($C262=0,0,ROUND(SomaAgrup,15-13*$AF$11)))</f>
        <v>0</v>
      </c>
      <c r="Y262" s="128" t="s">
        <v>245</v>
      </c>
      <c r="Z262" t="str">
        <f t="shared" ca="1" si="67"/>
        <v/>
      </c>
      <c r="AA262" s="129">
        <f ca="1">IF($C262="S",IF($Z262="CP",$X262,IF($Z262="RA",(($X262)*QCI!$AA$3),0)),SomaAgrup)</f>
        <v>0</v>
      </c>
      <c r="AB262" s="130">
        <f t="shared" ca="1" si="68"/>
        <v>0</v>
      </c>
      <c r="AC262" s="131" t="str">
        <f ca="1">IF($N262="","",IF(ORÇAMENTO.Descricao="","DESCRIÇÃO",IF(AND($C262="S",ORÇAMENTO.Unidade=""),"UNIDADE",IF($X262&lt;0,"VALOR NEGATIVO",IF(OR(AND(TIPOORCAMENTO="Proposto",$AG262&lt;&gt;"",$AG262&gt;0,ORÇAMENTO.CustoUnitario&gt;$AG262),AND(TIPOORCAMENTO="LICITADO",ORÇAMENTO.PrecoUnitarioLicitado&gt;$AN262)),"ACIMA REF.","")))))</f>
        <v/>
      </c>
      <c r="AD262" t="str">
        <f ca="1">IF(C262&lt;=CRONO.NivelExibicao,MAX($AD$15:OFFSET(AD262,-1,0))+IF($C262&lt;&gt;1,1,MAX(1,COUNTIF(QCI!$A$13:$A$24,OFFSET($E262,-1,0)))),"")</f>
        <v/>
      </c>
      <c r="AE262" s="7" t="str">
        <f ca="1">IF(AND($C262="S",ORÇAMENTO.CodBarra&lt;&gt;""),IF(ORÇAMENTO.Fonte="",ORÇAMENTO.CodBarra,CONCATENATE(ORÇAMENTO.Fonte," ",ORÇAMENTO.CodBarra)))</f>
        <v>SINAPI 89408</v>
      </c>
      <c r="AF262" s="13" t="str">
        <f ca="1">IF(ISERROR(INDIRECT(ORÇAMENTO.BancoRef)),"(abra o arquivo 'Referência "&amp;Excel_BuiltIn_Database&amp;".xlsm)",IF(OR($C262&lt;&gt;"S",ORÇAMENTO.CodBarra=""),"(Sem Código)",IF(ISERROR(MATCH($AE262,INDIRECT(ORÇAMENTO.BancoRef),0)),"(Código não identificado nas referências)",MATCH($AE262,INDIRECT(ORÇAMENTO.BancoRef),0))))</f>
        <v>(abra o arquivo 'Referência 06-2024.xlsm)</v>
      </c>
      <c r="AG262" s="498">
        <f ca="1">ROUND(IF(DESONERACAO="sim",REFERENCIA.Desonerado,REFERENCIA.NaoDesonerado),2)</f>
        <v>0</v>
      </c>
      <c r="AH262" s="499">
        <f t="shared" ca="1" si="69"/>
        <v>0.2432</v>
      </c>
      <c r="AJ262" s="501"/>
      <c r="AL262" s="527"/>
      <c r="AM262" s="381">
        <f t="shared" ca="1" si="70"/>
        <v>0</v>
      </c>
      <c r="AN262" s="566">
        <f t="shared" ca="1" si="71"/>
        <v>0</v>
      </c>
    </row>
    <row r="263" spans="1:40" ht="38.25" x14ac:dyDescent="0.2">
      <c r="A263" t="str">
        <f t="shared" si="56"/>
        <v>S</v>
      </c>
      <c r="B263">
        <f t="shared" ca="1" si="57"/>
        <v>2</v>
      </c>
      <c r="C263" t="str">
        <f t="shared" ca="1" si="58"/>
        <v>S</v>
      </c>
      <c r="D263">
        <f t="shared" ca="1" si="59"/>
        <v>0</v>
      </c>
      <c r="E263">
        <f ca="1">IF($C263=1,OFFSET(E263,-1,0)+MAX(1,COUNTIF(QCI!$A$13:$A$24,OFFSET(ORÇAMENTO!E263,-1,0))),OFFSET(E263,-1,0))</f>
        <v>1</v>
      </c>
      <c r="F263">
        <f t="shared" ca="1" si="60"/>
        <v>34</v>
      </c>
      <c r="G263">
        <f t="shared" ca="1" si="61"/>
        <v>0</v>
      </c>
      <c r="H263">
        <f t="shared" ca="1" si="62"/>
        <v>0</v>
      </c>
      <c r="I263">
        <f t="shared" ca="1" si="63"/>
        <v>0</v>
      </c>
      <c r="J263">
        <f t="shared" ca="1" si="73"/>
        <v>0</v>
      </c>
      <c r="K263">
        <f ca="1">IF(OR($C263="S",$C263=0),0,MATCH(OFFSET($D263,0,$C263)+IF($C263&lt;&gt;1,1,COUNTIF(QCI!$A$13:$A$24,ORÇAMENTO!E263)),OFFSET($D263,1,$C263,ROW($C$727)-ROW($C263)),0))</f>
        <v>0</v>
      </c>
      <c r="L263" s="116" t="str">
        <f t="shared" ca="1" si="64"/>
        <v/>
      </c>
      <c r="M263" s="117" t="s">
        <v>199</v>
      </c>
      <c r="N263" s="118" t="str">
        <f t="shared" ca="1" si="65"/>
        <v>Serviço</v>
      </c>
      <c r="O263" s="119" t="str">
        <f t="shared" ca="1" si="66"/>
        <v>-</v>
      </c>
      <c r="P263" s="120" t="s">
        <v>247</v>
      </c>
      <c r="Q263" s="121" t="s">
        <v>650</v>
      </c>
      <c r="R263" s="122" t="str">
        <f ca="1">IF($C263="S",REFERENCIA.Descricao,"(digite a descrição aqui)")</f>
        <v>(abra o arquivo 'Referência 06-2024.xlsm)</v>
      </c>
      <c r="S263" s="123" t="str">
        <f ca="1">REFERENCIA.Unidade</f>
        <v>-</v>
      </c>
      <c r="T263" s="124">
        <f ca="1">OFFSET(CÁLCULO!H$15,ROW($T263)-ROW(T$15),0)</f>
        <v>2</v>
      </c>
      <c r="U263" s="125">
        <f t="shared" ca="1" si="74"/>
        <v>0</v>
      </c>
      <c r="V263" s="126" t="s">
        <v>156</v>
      </c>
      <c r="W263" s="124">
        <f ca="1">IF($C263="S",ROUND(IF(TIPOORCAMENTO="Proposto",ORÇAMENTO.CustoUnitario*(1+$AH263),ORÇAMENTO.PrecoUnitarioLicitado),15-13*$AF$10),0)</f>
        <v>0</v>
      </c>
      <c r="X263" s="127">
        <f ca="1">IF($C263="S",IF(Import.TipoArredondamento&lt;&gt;"TransfereGOV",VTOTAL1,SUM(OFFSET(CÁLCULO!$AI$15,ROW($X263)-ROW($X$15),1):OFFSET(CÁLCULO!$BB$15,ROW($X263)-ROW($X$15),-1))),IF($C263=0,0,ROUND(SomaAgrup,15-13*$AF$11)))</f>
        <v>0</v>
      </c>
      <c r="Y263" s="128" t="s">
        <v>245</v>
      </c>
      <c r="Z263" t="str">
        <f t="shared" ca="1" si="67"/>
        <v/>
      </c>
      <c r="AA263" s="129">
        <f ca="1">IF($C263="S",IF($Z263="CP",$X263,IF($Z263="RA",(($X263)*QCI!$AA$3),0)),SomaAgrup)</f>
        <v>0</v>
      </c>
      <c r="AB263" s="130">
        <f t="shared" ca="1" si="68"/>
        <v>0</v>
      </c>
      <c r="AC263" s="131" t="str">
        <f ca="1">IF($N263="","",IF(ORÇAMENTO.Descricao="","DESCRIÇÃO",IF(AND($C263="S",ORÇAMENTO.Unidade=""),"UNIDADE",IF($X263&lt;0,"VALOR NEGATIVO",IF(OR(AND(TIPOORCAMENTO="Proposto",$AG263&lt;&gt;"",$AG263&gt;0,ORÇAMENTO.CustoUnitario&gt;$AG263),AND(TIPOORCAMENTO="LICITADO",ORÇAMENTO.PrecoUnitarioLicitado&gt;$AN263)),"ACIMA REF.","")))))</f>
        <v/>
      </c>
      <c r="AD263" t="str">
        <f ca="1">IF(C263&lt;=CRONO.NivelExibicao,MAX($AD$15:OFFSET(AD263,-1,0))+IF($C263&lt;&gt;1,1,MAX(1,COUNTIF(QCI!$A$13:$A$24,OFFSET($E263,-1,0)))),"")</f>
        <v/>
      </c>
      <c r="AE263" s="7" t="str">
        <f ca="1">IF(AND($C263="S",ORÇAMENTO.CodBarra&lt;&gt;""),IF(ORÇAMENTO.Fonte="",ORÇAMENTO.CodBarra,CONCATENATE(ORÇAMENTO.Fonte," ",ORÇAMENTO.CodBarra)))</f>
        <v>SINAPI 103980</v>
      </c>
      <c r="AF263" s="13" t="str">
        <f ca="1">IF(ISERROR(INDIRECT(ORÇAMENTO.BancoRef)),"(abra o arquivo 'Referência "&amp;Excel_BuiltIn_Database&amp;".xlsm)",IF(OR($C263&lt;&gt;"S",ORÇAMENTO.CodBarra=""),"(Sem Código)",IF(ISERROR(MATCH($AE263,INDIRECT(ORÇAMENTO.BancoRef),0)),"(Código não identificado nas referências)",MATCH($AE263,INDIRECT(ORÇAMENTO.BancoRef),0))))</f>
        <v>(abra o arquivo 'Referência 06-2024.xlsm)</v>
      </c>
      <c r="AG263" s="498">
        <f ca="1">ROUND(IF(DESONERACAO="sim",REFERENCIA.Desonerado,REFERENCIA.NaoDesonerado),2)</f>
        <v>0</v>
      </c>
      <c r="AH263" s="499">
        <f t="shared" ca="1" si="69"/>
        <v>0.2432</v>
      </c>
      <c r="AJ263" s="501"/>
      <c r="AL263" s="527"/>
      <c r="AM263" s="381">
        <f t="shared" ca="1" si="70"/>
        <v>0</v>
      </c>
      <c r="AN263" s="566">
        <f t="shared" ca="1" si="71"/>
        <v>0</v>
      </c>
    </row>
    <row r="264" spans="1:40" ht="38.25" x14ac:dyDescent="0.2">
      <c r="A264" t="str">
        <f t="shared" si="56"/>
        <v>S</v>
      </c>
      <c r="B264">
        <f t="shared" ca="1" si="57"/>
        <v>2</v>
      </c>
      <c r="C264" t="str">
        <f t="shared" ca="1" si="58"/>
        <v>S</v>
      </c>
      <c r="D264">
        <f t="shared" ca="1" si="59"/>
        <v>0</v>
      </c>
      <c r="E264">
        <f ca="1">IF($C264=1,OFFSET(E264,-1,0)+MAX(1,COUNTIF(QCI!$A$13:$A$24,OFFSET(ORÇAMENTO!E264,-1,0))),OFFSET(E264,-1,0))</f>
        <v>1</v>
      </c>
      <c r="F264">
        <f t="shared" ca="1" si="60"/>
        <v>34</v>
      </c>
      <c r="G264">
        <f t="shared" ca="1" si="61"/>
        <v>0</v>
      </c>
      <c r="H264">
        <f t="shared" ca="1" si="62"/>
        <v>0</v>
      </c>
      <c r="I264">
        <f t="shared" ca="1" si="63"/>
        <v>0</v>
      </c>
      <c r="J264">
        <f t="shared" ca="1" si="73"/>
        <v>0</v>
      </c>
      <c r="K264">
        <f ca="1">IF(OR($C264="S",$C264=0),0,MATCH(OFFSET($D264,0,$C264)+IF($C264&lt;&gt;1,1,COUNTIF(QCI!$A$13:$A$24,ORÇAMENTO!E264)),OFFSET($D264,1,$C264,ROW($C$727)-ROW($C264)),0))</f>
        <v>0</v>
      </c>
      <c r="L264" s="116" t="str">
        <f t="shared" ca="1" si="64"/>
        <v/>
      </c>
      <c r="M264" s="117" t="s">
        <v>199</v>
      </c>
      <c r="N264" s="118" t="str">
        <f t="shared" ca="1" si="65"/>
        <v>Serviço</v>
      </c>
      <c r="O264" s="119" t="str">
        <f t="shared" ca="1" si="66"/>
        <v>-</v>
      </c>
      <c r="P264" s="120" t="s">
        <v>247</v>
      </c>
      <c r="Q264" s="121" t="s">
        <v>651</v>
      </c>
      <c r="R264" s="122" t="str">
        <f ca="1">IF($C264="S",REFERENCIA.Descricao,"(digite a descrição aqui)")</f>
        <v>(abra o arquivo 'Referência 06-2024.xlsm)</v>
      </c>
      <c r="S264" s="123" t="str">
        <f ca="1">REFERENCIA.Unidade</f>
        <v>-</v>
      </c>
      <c r="T264" s="124">
        <f ca="1">OFFSET(CÁLCULO!H$15,ROW($T264)-ROW(T$15),0)</f>
        <v>6</v>
      </c>
      <c r="U264" s="125">
        <f t="shared" ca="1" si="74"/>
        <v>0</v>
      </c>
      <c r="V264" s="126" t="s">
        <v>156</v>
      </c>
      <c r="W264" s="124">
        <f ca="1">IF($C264="S",ROUND(IF(TIPOORCAMENTO="Proposto",ORÇAMENTO.CustoUnitario*(1+$AH264),ORÇAMENTO.PrecoUnitarioLicitado),15-13*$AF$10),0)</f>
        <v>0</v>
      </c>
      <c r="X264" s="127">
        <f ca="1">IF($C264="S",IF(Import.TipoArredondamento&lt;&gt;"TransfereGOV",VTOTAL1,SUM(OFFSET(CÁLCULO!$AI$15,ROW($X264)-ROW($X$15),1):OFFSET(CÁLCULO!$BB$15,ROW($X264)-ROW($X$15),-1))),IF($C264=0,0,ROUND(SomaAgrup,15-13*$AF$11)))</f>
        <v>0</v>
      </c>
      <c r="Y264" s="128" t="s">
        <v>245</v>
      </c>
      <c r="Z264" t="str">
        <f t="shared" ca="1" si="67"/>
        <v/>
      </c>
      <c r="AA264" s="129">
        <f ca="1">IF($C264="S",IF($Z264="CP",$X264,IF($Z264="RA",(($X264)*QCI!$AA$3),0)),SomaAgrup)</f>
        <v>0</v>
      </c>
      <c r="AB264" s="130">
        <f t="shared" ca="1" si="68"/>
        <v>0</v>
      </c>
      <c r="AC264" s="131" t="str">
        <f ca="1">IF($N264="","",IF(ORÇAMENTO.Descricao="","DESCRIÇÃO",IF(AND($C264="S",ORÇAMENTO.Unidade=""),"UNIDADE",IF($X264&lt;0,"VALOR NEGATIVO",IF(OR(AND(TIPOORCAMENTO="Proposto",$AG264&lt;&gt;"",$AG264&gt;0,ORÇAMENTO.CustoUnitario&gt;$AG264),AND(TIPOORCAMENTO="LICITADO",ORÇAMENTO.PrecoUnitarioLicitado&gt;$AN264)),"ACIMA REF.","")))))</f>
        <v/>
      </c>
      <c r="AD264" t="str">
        <f ca="1">IF(C264&lt;=CRONO.NivelExibicao,MAX($AD$15:OFFSET(AD264,-1,0))+IF($C264&lt;&gt;1,1,MAX(1,COUNTIF(QCI!$A$13:$A$24,OFFSET($E264,-1,0)))),"")</f>
        <v/>
      </c>
      <c r="AE264" s="7" t="str">
        <f ca="1">IF(AND($C264="S",ORÇAMENTO.CodBarra&lt;&gt;""),IF(ORÇAMENTO.Fonte="",ORÇAMENTO.CodBarra,CONCATENATE(ORÇAMENTO.Fonte," ",ORÇAMENTO.CodBarra)))</f>
        <v>SINAPI 103984</v>
      </c>
      <c r="AF264" s="13" t="str">
        <f ca="1">IF(ISERROR(INDIRECT(ORÇAMENTO.BancoRef)),"(abra o arquivo 'Referência "&amp;Excel_BuiltIn_Database&amp;".xlsm)",IF(OR($C264&lt;&gt;"S",ORÇAMENTO.CodBarra=""),"(Sem Código)",IF(ISERROR(MATCH($AE264,INDIRECT(ORÇAMENTO.BancoRef),0)),"(Código não identificado nas referências)",MATCH($AE264,INDIRECT(ORÇAMENTO.BancoRef),0))))</f>
        <v>(abra o arquivo 'Referência 06-2024.xlsm)</v>
      </c>
      <c r="AG264" s="498">
        <f ca="1">ROUND(IF(DESONERACAO="sim",REFERENCIA.Desonerado,REFERENCIA.NaoDesonerado),2)</f>
        <v>0</v>
      </c>
      <c r="AH264" s="499">
        <f t="shared" ca="1" si="69"/>
        <v>0.2432</v>
      </c>
      <c r="AJ264" s="501"/>
      <c r="AL264" s="527"/>
      <c r="AM264" s="381">
        <f t="shared" ca="1" si="70"/>
        <v>0</v>
      </c>
      <c r="AN264" s="566">
        <f t="shared" ca="1" si="71"/>
        <v>0</v>
      </c>
    </row>
    <row r="265" spans="1:40" ht="25.5" x14ac:dyDescent="0.2">
      <c r="A265" t="str">
        <f t="shared" si="56"/>
        <v>S</v>
      </c>
      <c r="B265">
        <f t="shared" ca="1" si="57"/>
        <v>2</v>
      </c>
      <c r="C265" t="str">
        <f t="shared" ca="1" si="58"/>
        <v>S</v>
      </c>
      <c r="D265">
        <f t="shared" ca="1" si="59"/>
        <v>0</v>
      </c>
      <c r="E265">
        <f ca="1">IF($C265=1,OFFSET(E265,-1,0)+MAX(1,COUNTIF(QCI!$A$13:$A$24,OFFSET(ORÇAMENTO!E265,-1,0))),OFFSET(E265,-1,0))</f>
        <v>1</v>
      </c>
      <c r="F265">
        <f t="shared" ca="1" si="60"/>
        <v>34</v>
      </c>
      <c r="G265">
        <f t="shared" ca="1" si="61"/>
        <v>0</v>
      </c>
      <c r="H265">
        <f t="shared" ca="1" si="62"/>
        <v>0</v>
      </c>
      <c r="I265">
        <f t="shared" ca="1" si="63"/>
        <v>0</v>
      </c>
      <c r="J265">
        <f t="shared" ca="1" si="73"/>
        <v>0</v>
      </c>
      <c r="K265">
        <f ca="1">IF(OR($C265="S",$C265=0),0,MATCH(OFFSET($D265,0,$C265)+IF($C265&lt;&gt;1,1,COUNTIF(QCI!$A$13:$A$24,ORÇAMENTO!E265)),OFFSET($D265,1,$C265,ROW($C$727)-ROW($C265)),0))</f>
        <v>0</v>
      </c>
      <c r="L265" s="116" t="str">
        <f t="shared" ca="1" si="64"/>
        <v/>
      </c>
      <c r="M265" s="117" t="s">
        <v>199</v>
      </c>
      <c r="N265" s="118" t="str">
        <f t="shared" ca="1" si="65"/>
        <v>Serviço</v>
      </c>
      <c r="O265" s="119" t="str">
        <f t="shared" ca="1" si="66"/>
        <v>-</v>
      </c>
      <c r="P265" s="120" t="s">
        <v>247</v>
      </c>
      <c r="Q265" s="121" t="s">
        <v>652</v>
      </c>
      <c r="R265" s="122" t="str">
        <f ca="1">IF($C265="S",REFERENCIA.Descricao,"(digite a descrição aqui)")</f>
        <v>(abra o arquivo 'Referência 06-2024.xlsm)</v>
      </c>
      <c r="S265" s="123" t="str">
        <f ca="1">REFERENCIA.Unidade</f>
        <v>-</v>
      </c>
      <c r="T265" s="124">
        <f ca="1">OFFSET(CÁLCULO!H$15,ROW($T265)-ROW(T$15),0)</f>
        <v>1</v>
      </c>
      <c r="U265" s="125">
        <f t="shared" ca="1" si="74"/>
        <v>0</v>
      </c>
      <c r="V265" s="126" t="s">
        <v>156</v>
      </c>
      <c r="W265" s="124">
        <f ca="1">IF($C265="S",ROUND(IF(TIPOORCAMENTO="Proposto",ORÇAMENTO.CustoUnitario*(1+$AH265),ORÇAMENTO.PrecoUnitarioLicitado),15-13*$AF$10),0)</f>
        <v>0</v>
      </c>
      <c r="X265" s="127">
        <f ca="1">IF($C265="S",IF(Import.TipoArredondamento&lt;&gt;"TransfereGOV",VTOTAL1,SUM(OFFSET(CÁLCULO!$AI$15,ROW($X265)-ROW($X$15),1):OFFSET(CÁLCULO!$BB$15,ROW($X265)-ROW($X$15),-1))),IF($C265=0,0,ROUND(SomaAgrup,15-13*$AF$11)))</f>
        <v>0</v>
      </c>
      <c r="Y265" s="128" t="s">
        <v>245</v>
      </c>
      <c r="Z265" t="str">
        <f t="shared" ca="1" si="67"/>
        <v/>
      </c>
      <c r="AA265" s="129">
        <f ca="1">IF($C265="S",IF($Z265="CP",$X265,IF($Z265="RA",(($X265)*QCI!$AA$3),0)),SomaAgrup)</f>
        <v>0</v>
      </c>
      <c r="AB265" s="130">
        <f t="shared" ca="1" si="68"/>
        <v>0</v>
      </c>
      <c r="AC265" s="131" t="str">
        <f ca="1">IF($N265="","",IF(ORÇAMENTO.Descricao="","DESCRIÇÃO",IF(AND($C265="S",ORÇAMENTO.Unidade=""),"UNIDADE",IF($X265&lt;0,"VALOR NEGATIVO",IF(OR(AND(TIPOORCAMENTO="Proposto",$AG265&lt;&gt;"",$AG265&gt;0,ORÇAMENTO.CustoUnitario&gt;$AG265),AND(TIPOORCAMENTO="LICITADO",ORÇAMENTO.PrecoUnitarioLicitado&gt;$AN265)),"ACIMA REF.","")))))</f>
        <v/>
      </c>
      <c r="AD265" t="str">
        <f ca="1">IF(C265&lt;=CRONO.NivelExibicao,MAX($AD$15:OFFSET(AD265,-1,0))+IF($C265&lt;&gt;1,1,MAX(1,COUNTIF(QCI!$A$13:$A$24,OFFSET($E265,-1,0)))),"")</f>
        <v/>
      </c>
      <c r="AE265" s="7" t="str">
        <f ca="1">IF(AND($C265="S",ORÇAMENTO.CodBarra&lt;&gt;""),IF(ORÇAMENTO.Fonte="",ORÇAMENTO.CodBarra,CONCATENATE(ORÇAMENTO.Fonte," ",ORÇAMENTO.CodBarra)))</f>
        <v>SINAPI 89505</v>
      </c>
      <c r="AF265" s="13" t="str">
        <f ca="1">IF(ISERROR(INDIRECT(ORÇAMENTO.BancoRef)),"(abra o arquivo 'Referência "&amp;Excel_BuiltIn_Database&amp;".xlsm)",IF(OR($C265&lt;&gt;"S",ORÇAMENTO.CodBarra=""),"(Sem Código)",IF(ISERROR(MATCH($AE265,INDIRECT(ORÇAMENTO.BancoRef),0)),"(Código não identificado nas referências)",MATCH($AE265,INDIRECT(ORÇAMENTO.BancoRef),0))))</f>
        <v>(abra o arquivo 'Referência 06-2024.xlsm)</v>
      </c>
      <c r="AG265" s="498">
        <f ca="1">ROUND(IF(DESONERACAO="sim",REFERENCIA.Desonerado,REFERENCIA.NaoDesonerado),2)</f>
        <v>0</v>
      </c>
      <c r="AH265" s="499">
        <f t="shared" ca="1" si="69"/>
        <v>0.2432</v>
      </c>
      <c r="AJ265" s="501"/>
      <c r="AL265" s="527"/>
      <c r="AM265" s="381">
        <f t="shared" ca="1" si="70"/>
        <v>0</v>
      </c>
      <c r="AN265" s="566">
        <f t="shared" ca="1" si="71"/>
        <v>0</v>
      </c>
    </row>
    <row r="266" spans="1:40" ht="25.5" x14ac:dyDescent="0.2">
      <c r="A266" t="str">
        <f t="shared" si="56"/>
        <v>S</v>
      </c>
      <c r="B266">
        <f t="shared" ca="1" si="57"/>
        <v>2</v>
      </c>
      <c r="C266" t="str">
        <f t="shared" ca="1" si="58"/>
        <v>S</v>
      </c>
      <c r="D266">
        <f t="shared" ca="1" si="59"/>
        <v>0</v>
      </c>
      <c r="E266">
        <f ca="1">IF($C266=1,OFFSET(E266,-1,0)+MAX(1,COUNTIF(QCI!$A$13:$A$24,OFFSET(ORÇAMENTO!E266,-1,0))),OFFSET(E266,-1,0))</f>
        <v>1</v>
      </c>
      <c r="F266">
        <f t="shared" ca="1" si="60"/>
        <v>34</v>
      </c>
      <c r="G266">
        <f t="shared" ca="1" si="61"/>
        <v>0</v>
      </c>
      <c r="H266">
        <f t="shared" ca="1" si="62"/>
        <v>0</v>
      </c>
      <c r="I266">
        <f t="shared" ca="1" si="63"/>
        <v>0</v>
      </c>
      <c r="J266">
        <f t="shared" ca="1" si="73"/>
        <v>0</v>
      </c>
      <c r="K266">
        <f ca="1">IF(OR($C266="S",$C266=0),0,MATCH(OFFSET($D266,0,$C266)+IF($C266&lt;&gt;1,1,COUNTIF(QCI!$A$13:$A$24,ORÇAMENTO!E266)),OFFSET($D266,1,$C266,ROW($C$727)-ROW($C266)),0))</f>
        <v>0</v>
      </c>
      <c r="L266" s="116" t="str">
        <f t="shared" ca="1" si="64"/>
        <v/>
      </c>
      <c r="M266" s="117" t="s">
        <v>199</v>
      </c>
      <c r="N266" s="118" t="str">
        <f t="shared" ca="1" si="65"/>
        <v>Serviço</v>
      </c>
      <c r="O266" s="119" t="str">
        <f t="shared" ca="1" si="66"/>
        <v>-</v>
      </c>
      <c r="P266" s="120" t="s">
        <v>247</v>
      </c>
      <c r="Q266" s="121" t="s">
        <v>653</v>
      </c>
      <c r="R266" s="122" t="str">
        <f ca="1">IF($C266="S",REFERENCIA.Descricao,"(digite a descrição aqui)")</f>
        <v>(abra o arquivo 'Referência 06-2024.xlsm)</v>
      </c>
      <c r="S266" s="123" t="str">
        <f ca="1">REFERENCIA.Unidade</f>
        <v>-</v>
      </c>
      <c r="T266" s="124">
        <f ca="1">OFFSET(CÁLCULO!H$15,ROW($T266)-ROW(T$15),0)</f>
        <v>45</v>
      </c>
      <c r="U266" s="125">
        <f t="shared" ca="1" si="74"/>
        <v>0</v>
      </c>
      <c r="V266" s="126" t="s">
        <v>156</v>
      </c>
      <c r="W266" s="124">
        <f ca="1">IF($C266="S",ROUND(IF(TIPOORCAMENTO="Proposto",ORÇAMENTO.CustoUnitario*(1+$AH266),ORÇAMENTO.PrecoUnitarioLicitado),15-13*$AF$10),0)</f>
        <v>0</v>
      </c>
      <c r="X266" s="127">
        <f ca="1">IF($C266="S",IF(Import.TipoArredondamento&lt;&gt;"TransfereGOV",VTOTAL1,SUM(OFFSET(CÁLCULO!$AI$15,ROW($X266)-ROW($X$15),1):OFFSET(CÁLCULO!$BB$15,ROW($X266)-ROW($X$15),-1))),IF($C266=0,0,ROUND(SomaAgrup,15-13*$AF$11)))</f>
        <v>0</v>
      </c>
      <c r="Y266" s="128" t="s">
        <v>245</v>
      </c>
      <c r="Z266" t="str">
        <f t="shared" ca="1" si="67"/>
        <v/>
      </c>
      <c r="AA266" s="129">
        <f ca="1">IF($C266="S",IF($Z266="CP",$X266,IF($Z266="RA",(($X266)*QCI!$AA$3),0)),SomaAgrup)</f>
        <v>0</v>
      </c>
      <c r="AB266" s="130">
        <f t="shared" ca="1" si="68"/>
        <v>0</v>
      </c>
      <c r="AC266" s="131" t="str">
        <f ca="1">IF($N266="","",IF(ORÇAMENTO.Descricao="","DESCRIÇÃO",IF(AND($C266="S",ORÇAMENTO.Unidade=""),"UNIDADE",IF($X266&lt;0,"VALOR NEGATIVO",IF(OR(AND(TIPOORCAMENTO="Proposto",$AG266&lt;&gt;"",$AG266&gt;0,ORÇAMENTO.CustoUnitario&gt;$AG266),AND(TIPOORCAMENTO="LICITADO",ORÇAMENTO.PrecoUnitarioLicitado&gt;$AN266)),"ACIMA REF.","")))))</f>
        <v/>
      </c>
      <c r="AD266" t="str">
        <f ca="1">IF(C266&lt;=CRONO.NivelExibicao,MAX($AD$15:OFFSET(AD266,-1,0))+IF($C266&lt;&gt;1,1,MAX(1,COUNTIF(QCI!$A$13:$A$24,OFFSET($E266,-1,0)))),"")</f>
        <v/>
      </c>
      <c r="AE266" s="7" t="str">
        <f ca="1">IF(AND($C266="S",ORÇAMENTO.CodBarra&lt;&gt;""),IF(ORÇAMENTO.Fonte="",ORÇAMENTO.CodBarra,CONCATENATE(ORÇAMENTO.Fonte," ",ORÇAMENTO.CodBarra)))</f>
        <v>SINAPI 89521</v>
      </c>
      <c r="AF266" s="13" t="str">
        <f ca="1">IF(ISERROR(INDIRECT(ORÇAMENTO.BancoRef)),"(abra o arquivo 'Referência "&amp;Excel_BuiltIn_Database&amp;".xlsm)",IF(OR($C266&lt;&gt;"S",ORÇAMENTO.CodBarra=""),"(Sem Código)",IF(ISERROR(MATCH($AE266,INDIRECT(ORÇAMENTO.BancoRef),0)),"(Código não identificado nas referências)",MATCH($AE266,INDIRECT(ORÇAMENTO.BancoRef),0))))</f>
        <v>(abra o arquivo 'Referência 06-2024.xlsm)</v>
      </c>
      <c r="AG266" s="498">
        <f ca="1">ROUND(IF(DESONERACAO="sim",REFERENCIA.Desonerado,REFERENCIA.NaoDesonerado),2)</f>
        <v>0</v>
      </c>
      <c r="AH266" s="499">
        <f t="shared" ca="1" si="69"/>
        <v>0.2432</v>
      </c>
      <c r="AJ266" s="501"/>
      <c r="AL266" s="527"/>
      <c r="AM266" s="381">
        <f t="shared" ca="1" si="70"/>
        <v>0</v>
      </c>
      <c r="AN266" s="566">
        <f t="shared" ca="1" si="71"/>
        <v>0</v>
      </c>
    </row>
    <row r="267" spans="1:40" ht="38.25" x14ac:dyDescent="0.2">
      <c r="A267" t="str">
        <f t="shared" si="56"/>
        <v>S</v>
      </c>
      <c r="B267">
        <f t="shared" ca="1" si="57"/>
        <v>2</v>
      </c>
      <c r="C267" t="str">
        <f t="shared" ca="1" si="58"/>
        <v>S</v>
      </c>
      <c r="D267">
        <f t="shared" ca="1" si="59"/>
        <v>0</v>
      </c>
      <c r="E267">
        <f ca="1">IF($C267=1,OFFSET(E267,-1,0)+MAX(1,COUNTIF(QCI!$A$13:$A$24,OFFSET(ORÇAMENTO!E267,-1,0))),OFFSET(E267,-1,0))</f>
        <v>1</v>
      </c>
      <c r="F267">
        <f t="shared" ca="1" si="60"/>
        <v>34</v>
      </c>
      <c r="G267">
        <f t="shared" ca="1" si="61"/>
        <v>0</v>
      </c>
      <c r="H267">
        <f t="shared" ca="1" si="62"/>
        <v>0</v>
      </c>
      <c r="I267">
        <f t="shared" ca="1" si="63"/>
        <v>0</v>
      </c>
      <c r="J267">
        <f t="shared" ca="1" si="73"/>
        <v>0</v>
      </c>
      <c r="K267">
        <f ca="1">IF(OR($C267="S",$C267=0),0,MATCH(OFFSET($D267,0,$C267)+IF($C267&lt;&gt;1,1,COUNTIF(QCI!$A$13:$A$24,ORÇAMENTO!E267)),OFFSET($D267,1,$C267,ROW($C$727)-ROW($C267)),0))</f>
        <v>0</v>
      </c>
      <c r="L267" s="116" t="str">
        <f t="shared" ca="1" si="64"/>
        <v/>
      </c>
      <c r="M267" s="117" t="s">
        <v>199</v>
      </c>
      <c r="N267" s="118" t="str">
        <f t="shared" ca="1" si="65"/>
        <v>Serviço</v>
      </c>
      <c r="O267" s="119" t="str">
        <f t="shared" ca="1" si="66"/>
        <v>-</v>
      </c>
      <c r="P267" s="120" t="s">
        <v>247</v>
      </c>
      <c r="Q267" s="121" t="s">
        <v>654</v>
      </c>
      <c r="R267" s="122" t="str">
        <f ca="1">IF($C267="S",REFERENCIA.Descricao,"(digite a descrição aqui)")</f>
        <v>(abra o arquivo 'Referência 06-2024.xlsm)</v>
      </c>
      <c r="S267" s="123" t="str">
        <f ca="1">REFERENCIA.Unidade</f>
        <v>-</v>
      </c>
      <c r="T267" s="124">
        <f ca="1">OFFSET(CÁLCULO!H$15,ROW($T267)-ROW(T$15),0)</f>
        <v>1</v>
      </c>
      <c r="U267" s="125">
        <f t="shared" ca="1" si="74"/>
        <v>0</v>
      </c>
      <c r="V267" s="126" t="s">
        <v>156</v>
      </c>
      <c r="W267" s="124">
        <f ca="1">IF($C267="S",ROUND(IF(TIPOORCAMENTO="Proposto",ORÇAMENTO.CustoUnitario*(1+$AH267),ORÇAMENTO.PrecoUnitarioLicitado),15-13*$AF$10),0)</f>
        <v>0</v>
      </c>
      <c r="X267" s="127">
        <f ca="1">IF($C267="S",IF(Import.TipoArredondamento&lt;&gt;"TransfereGOV",VTOTAL1,SUM(OFFSET(CÁLCULO!$AI$15,ROW($X267)-ROW($X$15),1):OFFSET(CÁLCULO!$BB$15,ROW($X267)-ROW($X$15),-1))),IF($C267=0,0,ROUND(SomaAgrup,15-13*$AF$11)))</f>
        <v>0</v>
      </c>
      <c r="Y267" s="128" t="s">
        <v>245</v>
      </c>
      <c r="Z267" t="str">
        <f t="shared" ca="1" si="67"/>
        <v/>
      </c>
      <c r="AA267" s="129">
        <f ca="1">IF($C267="S",IF($Z267="CP",$X267,IF($Z267="RA",(($X267)*QCI!$AA$3),0)),SomaAgrup)</f>
        <v>0</v>
      </c>
      <c r="AB267" s="130">
        <f t="shared" ca="1" si="68"/>
        <v>0</v>
      </c>
      <c r="AC267" s="131" t="str">
        <f ca="1">IF($N267="","",IF(ORÇAMENTO.Descricao="","DESCRIÇÃO",IF(AND($C267="S",ORÇAMENTO.Unidade=""),"UNIDADE",IF($X267&lt;0,"VALOR NEGATIVO",IF(OR(AND(TIPOORCAMENTO="Proposto",$AG267&lt;&gt;"",$AG267&gt;0,ORÇAMENTO.CustoUnitario&gt;$AG267),AND(TIPOORCAMENTO="LICITADO",ORÇAMENTO.PrecoUnitarioLicitado&gt;$AN267)),"ACIMA REF.","")))))</f>
        <v/>
      </c>
      <c r="AD267" t="str">
        <f ca="1">IF(C267&lt;=CRONO.NivelExibicao,MAX($AD$15:OFFSET(AD267,-1,0))+IF($C267&lt;&gt;1,1,MAX(1,COUNTIF(QCI!$A$13:$A$24,OFFSET($E267,-1,0)))),"")</f>
        <v/>
      </c>
      <c r="AE267" s="7" t="str">
        <f ca="1">IF(AND($C267="S",ORÇAMENTO.CodBarra&lt;&gt;""),IF(ORÇAMENTO.Fonte="",ORÇAMENTO.CodBarra,CONCATENATE(ORÇAMENTO.Fonte," ",ORÇAMENTO.CodBarra)))</f>
        <v>SINAPI 103981</v>
      </c>
      <c r="AF267" s="13" t="str">
        <f ca="1">IF(ISERROR(INDIRECT(ORÇAMENTO.BancoRef)),"(abra o arquivo 'Referência "&amp;Excel_BuiltIn_Database&amp;".xlsm)",IF(OR($C267&lt;&gt;"S",ORÇAMENTO.CodBarra=""),"(Sem Código)",IF(ISERROR(MATCH($AE267,INDIRECT(ORÇAMENTO.BancoRef),0)),"(Código não identificado nas referências)",MATCH($AE267,INDIRECT(ORÇAMENTO.BancoRef),0))))</f>
        <v>(abra o arquivo 'Referência 06-2024.xlsm)</v>
      </c>
      <c r="AG267" s="498">
        <f ca="1">ROUND(IF(DESONERACAO="sim",REFERENCIA.Desonerado,REFERENCIA.NaoDesonerado),2)</f>
        <v>0</v>
      </c>
      <c r="AH267" s="499">
        <f t="shared" ca="1" si="69"/>
        <v>0.2432</v>
      </c>
      <c r="AJ267" s="501"/>
      <c r="AL267" s="527"/>
      <c r="AM267" s="381">
        <f t="shared" ca="1" si="70"/>
        <v>0</v>
      </c>
      <c r="AN267" s="566">
        <f t="shared" ca="1" si="71"/>
        <v>0</v>
      </c>
    </row>
    <row r="268" spans="1:40" ht="38.25" x14ac:dyDescent="0.2">
      <c r="A268" t="str">
        <f t="shared" si="56"/>
        <v>S</v>
      </c>
      <c r="B268">
        <f t="shared" ca="1" si="57"/>
        <v>2</v>
      </c>
      <c r="C268" t="str">
        <f t="shared" ca="1" si="58"/>
        <v>S</v>
      </c>
      <c r="D268">
        <f t="shared" ca="1" si="59"/>
        <v>0</v>
      </c>
      <c r="E268">
        <f ca="1">IF($C268=1,OFFSET(E268,-1,0)+MAX(1,COUNTIF(QCI!$A$13:$A$24,OFFSET(ORÇAMENTO!E268,-1,0))),OFFSET(E268,-1,0))</f>
        <v>1</v>
      </c>
      <c r="F268">
        <f t="shared" ca="1" si="60"/>
        <v>34</v>
      </c>
      <c r="G268">
        <f t="shared" ca="1" si="61"/>
        <v>0</v>
      </c>
      <c r="H268">
        <f t="shared" ca="1" si="62"/>
        <v>0</v>
      </c>
      <c r="I268">
        <f t="shared" ca="1" si="63"/>
        <v>0</v>
      </c>
      <c r="J268">
        <f t="shared" ca="1" si="73"/>
        <v>0</v>
      </c>
      <c r="K268">
        <f ca="1">IF(OR($C268="S",$C268=0),0,MATCH(OFFSET($D268,0,$C268)+IF($C268&lt;&gt;1,1,COUNTIF(QCI!$A$13:$A$24,ORÇAMENTO!E268)),OFFSET($D268,1,$C268,ROW($C$727)-ROW($C268)),0))</f>
        <v>0</v>
      </c>
      <c r="L268" s="116" t="str">
        <f t="shared" ca="1" si="64"/>
        <v/>
      </c>
      <c r="M268" s="117" t="s">
        <v>199</v>
      </c>
      <c r="N268" s="118" t="str">
        <f t="shared" ca="1" si="65"/>
        <v>Serviço</v>
      </c>
      <c r="O268" s="119" t="str">
        <f t="shared" ca="1" si="66"/>
        <v>-</v>
      </c>
      <c r="P268" s="120" t="s">
        <v>247</v>
      </c>
      <c r="Q268" s="121" t="s">
        <v>655</v>
      </c>
      <c r="R268" s="122" t="str">
        <f ca="1">IF($C268="S",REFERENCIA.Descricao,"(digite a descrição aqui)")</f>
        <v>(abra o arquivo 'Referência 06-2024.xlsm)</v>
      </c>
      <c r="S268" s="123" t="str">
        <f ca="1">REFERENCIA.Unidade</f>
        <v>-</v>
      </c>
      <c r="T268" s="124">
        <f ca="1">OFFSET(CÁLCULO!H$15,ROW($T268)-ROW(T$15),0)</f>
        <v>2</v>
      </c>
      <c r="U268" s="125">
        <f t="shared" ca="1" si="74"/>
        <v>0</v>
      </c>
      <c r="V268" s="126" t="s">
        <v>156</v>
      </c>
      <c r="W268" s="124">
        <f ca="1">IF($C268="S",ROUND(IF(TIPOORCAMENTO="Proposto",ORÇAMENTO.CustoUnitario*(1+$AH268),ORÇAMENTO.PrecoUnitarioLicitado),15-13*$AF$10),0)</f>
        <v>0</v>
      </c>
      <c r="X268" s="127">
        <f ca="1">IF($C268="S",IF(Import.TipoArredondamento&lt;&gt;"TransfereGOV",VTOTAL1,SUM(OFFSET(CÁLCULO!$AI$15,ROW($X268)-ROW($X$15),1):OFFSET(CÁLCULO!$BB$15,ROW($X268)-ROW($X$15),-1))),IF($C268=0,0,ROUND(SomaAgrup,15-13*$AF$11)))</f>
        <v>0</v>
      </c>
      <c r="Y268" s="128" t="s">
        <v>245</v>
      </c>
      <c r="Z268" t="str">
        <f t="shared" ca="1" si="67"/>
        <v/>
      </c>
      <c r="AA268" s="129">
        <f ca="1">IF($C268="S",IF($Z268="CP",$X268,IF($Z268="RA",(($X268)*QCI!$AA$3),0)),SomaAgrup)</f>
        <v>0</v>
      </c>
      <c r="AB268" s="130">
        <f t="shared" ca="1" si="68"/>
        <v>0</v>
      </c>
      <c r="AC268" s="131" t="str">
        <f ca="1">IF($N268="","",IF(ORÇAMENTO.Descricao="","DESCRIÇÃO",IF(AND($C268="S",ORÇAMENTO.Unidade=""),"UNIDADE",IF($X268&lt;0,"VALOR NEGATIVO",IF(OR(AND(TIPOORCAMENTO="Proposto",$AG268&lt;&gt;"",$AG268&gt;0,ORÇAMENTO.CustoUnitario&gt;$AG268),AND(TIPOORCAMENTO="LICITADO",ORÇAMENTO.PrecoUnitarioLicitado&gt;$AN268)),"ACIMA REF.","")))))</f>
        <v/>
      </c>
      <c r="AD268" t="str">
        <f ca="1">IF(C268&lt;=CRONO.NivelExibicao,MAX($AD$15:OFFSET(AD268,-1,0))+IF($C268&lt;&gt;1,1,MAX(1,COUNTIF(QCI!$A$13:$A$24,OFFSET($E268,-1,0)))),"")</f>
        <v/>
      </c>
      <c r="AE268" s="7" t="str">
        <f ca="1">IF(AND($C268="S",ORÇAMENTO.CodBarra&lt;&gt;""),IF(ORÇAMENTO.Fonte="",ORÇAMENTO.CodBarra,CONCATENATE(ORÇAMENTO.Fonte," ",ORÇAMENTO.CodBarra)))</f>
        <v>SINAPI 89409</v>
      </c>
      <c r="AF268" s="13" t="str">
        <f ca="1">IF(ISERROR(INDIRECT(ORÇAMENTO.BancoRef)),"(abra o arquivo 'Referência "&amp;Excel_BuiltIn_Database&amp;".xlsm)",IF(OR($C268&lt;&gt;"S",ORÇAMENTO.CodBarra=""),"(Sem Código)",IF(ISERROR(MATCH($AE268,INDIRECT(ORÇAMENTO.BancoRef),0)),"(Código não identificado nas referências)",MATCH($AE268,INDIRECT(ORÇAMENTO.BancoRef),0))))</f>
        <v>(abra o arquivo 'Referência 06-2024.xlsm)</v>
      </c>
      <c r="AG268" s="498">
        <f ca="1">ROUND(IF(DESONERACAO="sim",REFERENCIA.Desonerado,REFERENCIA.NaoDesonerado),2)</f>
        <v>0</v>
      </c>
      <c r="AH268" s="499">
        <f t="shared" ca="1" si="69"/>
        <v>0.2432</v>
      </c>
      <c r="AJ268" s="501"/>
      <c r="AL268" s="527"/>
      <c r="AM268" s="381">
        <f t="shared" ca="1" si="70"/>
        <v>0</v>
      </c>
      <c r="AN268" s="566">
        <f t="shared" ca="1" si="71"/>
        <v>0</v>
      </c>
    </row>
    <row r="269" spans="1:40" ht="38.25" x14ac:dyDescent="0.2">
      <c r="A269" t="str">
        <f t="shared" si="56"/>
        <v>S</v>
      </c>
      <c r="B269">
        <f t="shared" ca="1" si="57"/>
        <v>2</v>
      </c>
      <c r="C269" t="str">
        <f t="shared" ca="1" si="58"/>
        <v>S</v>
      </c>
      <c r="D269">
        <f t="shared" ca="1" si="59"/>
        <v>0</v>
      </c>
      <c r="E269">
        <f ca="1">IF($C269=1,OFFSET(E269,-1,0)+MAX(1,COUNTIF(QCI!$A$13:$A$24,OFFSET(ORÇAMENTO!E269,-1,0))),OFFSET(E269,-1,0))</f>
        <v>1</v>
      </c>
      <c r="F269">
        <f t="shared" ca="1" si="60"/>
        <v>34</v>
      </c>
      <c r="G269">
        <f t="shared" ca="1" si="61"/>
        <v>0</v>
      </c>
      <c r="H269">
        <f t="shared" ca="1" si="62"/>
        <v>0</v>
      </c>
      <c r="I269">
        <f t="shared" ca="1" si="63"/>
        <v>0</v>
      </c>
      <c r="J269">
        <f t="shared" ca="1" si="73"/>
        <v>0</v>
      </c>
      <c r="K269">
        <f ca="1">IF(OR($C269="S",$C269=0),0,MATCH(OFFSET($D269,0,$C269)+IF($C269&lt;&gt;1,1,COUNTIF(QCI!$A$13:$A$24,ORÇAMENTO!E269)),OFFSET($D269,1,$C269,ROW($C$727)-ROW($C269)),0))</f>
        <v>0</v>
      </c>
      <c r="L269" s="116" t="str">
        <f t="shared" ca="1" si="64"/>
        <v/>
      </c>
      <c r="M269" s="117" t="s">
        <v>199</v>
      </c>
      <c r="N269" s="118" t="str">
        <f t="shared" ca="1" si="65"/>
        <v>Serviço</v>
      </c>
      <c r="O269" s="119" t="str">
        <f t="shared" ca="1" si="66"/>
        <v>-</v>
      </c>
      <c r="P269" s="120" t="s">
        <v>247</v>
      </c>
      <c r="Q269" s="121" t="s">
        <v>656</v>
      </c>
      <c r="R269" s="122" t="str">
        <f ca="1">IF($C269="S",REFERENCIA.Descricao,"(digite a descrição aqui)")</f>
        <v>(abra o arquivo 'Referência 06-2024.xlsm)</v>
      </c>
      <c r="S269" s="123" t="str">
        <f ca="1">REFERENCIA.Unidade</f>
        <v>-</v>
      </c>
      <c r="T269" s="124">
        <f ca="1">OFFSET(CÁLCULO!H$15,ROW($T269)-ROW(T$15),0)</f>
        <v>40</v>
      </c>
      <c r="U269" s="125">
        <f t="shared" ca="1" si="74"/>
        <v>0</v>
      </c>
      <c r="V269" s="126" t="s">
        <v>156</v>
      </c>
      <c r="W269" s="124">
        <f ca="1">IF($C269="S",ROUND(IF(TIPOORCAMENTO="Proposto",ORÇAMENTO.CustoUnitario*(1+$AH269),ORÇAMENTO.PrecoUnitarioLicitado),15-13*$AF$10),0)</f>
        <v>0</v>
      </c>
      <c r="X269" s="127">
        <f ca="1">IF($C269="S",IF(Import.TipoArredondamento&lt;&gt;"TransfereGOV",VTOTAL1,SUM(OFFSET(CÁLCULO!$AI$15,ROW($X269)-ROW($X$15),1):OFFSET(CÁLCULO!$BB$15,ROW($X269)-ROW($X$15),-1))),IF($C269=0,0,ROUND(SomaAgrup,15-13*$AF$11)))</f>
        <v>0</v>
      </c>
      <c r="Y269" s="128" t="s">
        <v>245</v>
      </c>
      <c r="Z269" t="str">
        <f t="shared" ca="1" si="67"/>
        <v/>
      </c>
      <c r="AA269" s="129">
        <f ca="1">IF($C269="S",IF($Z269="CP",$X269,IF($Z269="RA",(($X269)*QCI!$AA$3),0)),SomaAgrup)</f>
        <v>0</v>
      </c>
      <c r="AB269" s="130">
        <f t="shared" ca="1" si="68"/>
        <v>0</v>
      </c>
      <c r="AC269" s="131" t="str">
        <f ca="1">IF($N269="","",IF(ORÇAMENTO.Descricao="","DESCRIÇÃO",IF(AND($C269="S",ORÇAMENTO.Unidade=""),"UNIDADE",IF($X269&lt;0,"VALOR NEGATIVO",IF(OR(AND(TIPOORCAMENTO="Proposto",$AG269&lt;&gt;"",$AG269&gt;0,ORÇAMENTO.CustoUnitario&gt;$AG269),AND(TIPOORCAMENTO="LICITADO",ORÇAMENTO.PrecoUnitarioLicitado&gt;$AN269)),"ACIMA REF.","")))))</f>
        <v/>
      </c>
      <c r="AD269" t="str">
        <f ca="1">IF(C269&lt;=CRONO.NivelExibicao,MAX($AD$15:OFFSET(AD269,-1,0))+IF($C269&lt;&gt;1,1,MAX(1,COUNTIF(QCI!$A$13:$A$24,OFFSET($E269,-1,0)))),"")</f>
        <v/>
      </c>
      <c r="AE269" s="7" t="str">
        <f ca="1">IF(AND($C269="S",ORÇAMENTO.CodBarra&lt;&gt;""),IF(ORÇAMENTO.Fonte="",ORÇAMENTO.CodBarra,CONCATENATE(ORÇAMENTO.Fonte," ",ORÇAMENTO.CodBarra)))</f>
        <v>SINAPI 89424</v>
      </c>
      <c r="AF269" s="13" t="str">
        <f ca="1">IF(ISERROR(INDIRECT(ORÇAMENTO.BancoRef)),"(abra o arquivo 'Referência "&amp;Excel_BuiltIn_Database&amp;".xlsm)",IF(OR($C269&lt;&gt;"S",ORÇAMENTO.CodBarra=""),"(Sem Código)",IF(ISERROR(MATCH($AE269,INDIRECT(ORÇAMENTO.BancoRef),0)),"(Código não identificado nas referências)",MATCH($AE269,INDIRECT(ORÇAMENTO.BancoRef),0))))</f>
        <v>(abra o arquivo 'Referência 06-2024.xlsm)</v>
      </c>
      <c r="AG269" s="498">
        <f ca="1">ROUND(IF(DESONERACAO="sim",REFERENCIA.Desonerado,REFERENCIA.NaoDesonerado),2)</f>
        <v>0</v>
      </c>
      <c r="AH269" s="499">
        <f t="shared" ca="1" si="69"/>
        <v>0.2432</v>
      </c>
      <c r="AJ269" s="501"/>
      <c r="AL269" s="527"/>
      <c r="AM269" s="381">
        <f t="shared" ca="1" si="70"/>
        <v>0</v>
      </c>
      <c r="AN269" s="566">
        <f t="shared" ca="1" si="71"/>
        <v>0</v>
      </c>
    </row>
    <row r="270" spans="1:40" ht="38.25" x14ac:dyDescent="0.2">
      <c r="A270" t="str">
        <f t="shared" si="56"/>
        <v>S</v>
      </c>
      <c r="B270">
        <f t="shared" ca="1" si="57"/>
        <v>2</v>
      </c>
      <c r="C270" t="str">
        <f t="shared" ca="1" si="58"/>
        <v>S</v>
      </c>
      <c r="D270">
        <f t="shared" ca="1" si="59"/>
        <v>0</v>
      </c>
      <c r="E270">
        <f ca="1">IF($C270=1,OFFSET(E270,-1,0)+MAX(1,COUNTIF(QCI!$A$13:$A$24,OFFSET(ORÇAMENTO!E270,-1,0))),OFFSET(E270,-1,0))</f>
        <v>1</v>
      </c>
      <c r="F270">
        <f t="shared" ca="1" si="60"/>
        <v>34</v>
      </c>
      <c r="G270">
        <f t="shared" ca="1" si="61"/>
        <v>0</v>
      </c>
      <c r="H270">
        <f t="shared" ca="1" si="62"/>
        <v>0</v>
      </c>
      <c r="I270">
        <f t="shared" ca="1" si="63"/>
        <v>0</v>
      </c>
      <c r="J270">
        <f t="shared" ca="1" si="73"/>
        <v>0</v>
      </c>
      <c r="K270">
        <f ca="1">IF(OR($C270="S",$C270=0),0,MATCH(OFFSET($D270,0,$C270)+IF($C270&lt;&gt;1,1,COUNTIF(QCI!$A$13:$A$24,ORÇAMENTO!E270)),OFFSET($D270,1,$C270,ROW($C$727)-ROW($C270)),0))</f>
        <v>0</v>
      </c>
      <c r="L270" s="116" t="str">
        <f t="shared" ca="1" si="64"/>
        <v/>
      </c>
      <c r="M270" s="117" t="s">
        <v>199</v>
      </c>
      <c r="N270" s="118" t="str">
        <f t="shared" ca="1" si="65"/>
        <v>Serviço</v>
      </c>
      <c r="O270" s="119" t="str">
        <f t="shared" ca="1" si="66"/>
        <v>-</v>
      </c>
      <c r="P270" s="120" t="s">
        <v>247</v>
      </c>
      <c r="Q270" s="121" t="s">
        <v>657</v>
      </c>
      <c r="R270" s="122" t="str">
        <f ca="1">IF($C270="S",REFERENCIA.Descricao,"(digite a descrição aqui)")</f>
        <v>(abra o arquivo 'Referência 06-2024.xlsm)</v>
      </c>
      <c r="S270" s="123" t="str">
        <f ca="1">REFERENCIA.Unidade</f>
        <v>-</v>
      </c>
      <c r="T270" s="124">
        <f ca="1">OFFSET(CÁLCULO!H$15,ROW($T270)-ROW(T$15),0)</f>
        <v>16</v>
      </c>
      <c r="U270" s="125">
        <f t="shared" ca="1" si="74"/>
        <v>0</v>
      </c>
      <c r="V270" s="126" t="s">
        <v>156</v>
      </c>
      <c r="W270" s="124">
        <f ca="1">IF($C270="S",ROUND(IF(TIPOORCAMENTO="Proposto",ORÇAMENTO.CustoUnitario*(1+$AH270),ORÇAMENTO.PrecoUnitarioLicitado),15-13*$AF$10),0)</f>
        <v>0</v>
      </c>
      <c r="X270" s="127">
        <f ca="1">IF($C270="S",IF(Import.TipoArredondamento&lt;&gt;"TransfereGOV",VTOTAL1,SUM(OFFSET(CÁLCULO!$AI$15,ROW($X270)-ROW($X$15),1):OFFSET(CÁLCULO!$BB$15,ROW($X270)-ROW($X$15),-1))),IF($C270=0,0,ROUND(SomaAgrup,15-13*$AF$11)))</f>
        <v>0</v>
      </c>
      <c r="Y270" s="128" t="s">
        <v>245</v>
      </c>
      <c r="Z270" t="str">
        <f t="shared" ca="1" si="67"/>
        <v/>
      </c>
      <c r="AA270" s="129">
        <f ca="1">IF($C270="S",IF($Z270="CP",$X270,IF($Z270="RA",(($X270)*QCI!$AA$3),0)),SomaAgrup)</f>
        <v>0</v>
      </c>
      <c r="AB270" s="130">
        <f t="shared" ca="1" si="68"/>
        <v>0</v>
      </c>
      <c r="AC270" s="131" t="str">
        <f ca="1">IF($N270="","",IF(ORÇAMENTO.Descricao="","DESCRIÇÃO",IF(AND($C270="S",ORÇAMENTO.Unidade=""),"UNIDADE",IF($X270&lt;0,"VALOR NEGATIVO",IF(OR(AND(TIPOORCAMENTO="Proposto",$AG270&lt;&gt;"",$AG270&gt;0,ORÇAMENTO.CustoUnitario&gt;$AG270),AND(TIPOORCAMENTO="LICITADO",ORÇAMENTO.PrecoUnitarioLicitado&gt;$AN270)),"ACIMA REF.","")))))</f>
        <v/>
      </c>
      <c r="AD270" t="str">
        <f ca="1">IF(C270&lt;=CRONO.NivelExibicao,MAX($AD$15:OFFSET(AD270,-1,0))+IF($C270&lt;&gt;1,1,MAX(1,COUNTIF(QCI!$A$13:$A$24,OFFSET($E270,-1,0)))),"")</f>
        <v/>
      </c>
      <c r="AE270" s="7" t="str">
        <f ca="1">IF(AND($C270="S",ORÇAMENTO.CodBarra&lt;&gt;""),IF(ORÇAMENTO.Fonte="",ORÇAMENTO.CodBarra,CONCATENATE(ORÇAMENTO.Fonte," ",ORÇAMENTO.CodBarra)))</f>
        <v>SINAPI 103995</v>
      </c>
      <c r="AF270" s="13" t="str">
        <f ca="1">IF(ISERROR(INDIRECT(ORÇAMENTO.BancoRef)),"(abra o arquivo 'Referência "&amp;Excel_BuiltIn_Database&amp;".xlsm)",IF(OR($C270&lt;&gt;"S",ORÇAMENTO.CodBarra=""),"(Sem Código)",IF(ISERROR(MATCH($AE270,INDIRECT(ORÇAMENTO.BancoRef),0)),"(Código não identificado nas referências)",MATCH($AE270,INDIRECT(ORÇAMENTO.BancoRef),0))))</f>
        <v>(abra o arquivo 'Referência 06-2024.xlsm)</v>
      </c>
      <c r="AG270" s="498">
        <f ca="1">ROUND(IF(DESONERACAO="sim",REFERENCIA.Desonerado,REFERENCIA.NaoDesonerado),2)</f>
        <v>0</v>
      </c>
      <c r="AH270" s="499">
        <f t="shared" ca="1" si="69"/>
        <v>0.2432</v>
      </c>
      <c r="AJ270" s="501"/>
      <c r="AL270" s="527"/>
      <c r="AM270" s="381">
        <f t="shared" ca="1" si="70"/>
        <v>0</v>
      </c>
      <c r="AN270" s="566">
        <f t="shared" ca="1" si="71"/>
        <v>0</v>
      </c>
    </row>
    <row r="271" spans="1:40" ht="38.25" x14ac:dyDescent="0.2">
      <c r="A271" t="str">
        <f t="shared" si="56"/>
        <v>S</v>
      </c>
      <c r="B271">
        <f t="shared" ca="1" si="57"/>
        <v>2</v>
      </c>
      <c r="C271" t="str">
        <f t="shared" ca="1" si="58"/>
        <v>S</v>
      </c>
      <c r="D271">
        <f t="shared" ca="1" si="59"/>
        <v>0</v>
      </c>
      <c r="E271">
        <f ca="1">IF($C271=1,OFFSET(E271,-1,0)+MAX(1,COUNTIF(QCI!$A$13:$A$24,OFFSET(ORÇAMENTO!E271,-1,0))),OFFSET(E271,-1,0))</f>
        <v>1</v>
      </c>
      <c r="F271">
        <f t="shared" ca="1" si="60"/>
        <v>34</v>
      </c>
      <c r="G271">
        <f t="shared" ca="1" si="61"/>
        <v>0</v>
      </c>
      <c r="H271">
        <f t="shared" ca="1" si="62"/>
        <v>0</v>
      </c>
      <c r="I271">
        <f t="shared" ca="1" si="63"/>
        <v>0</v>
      </c>
      <c r="J271">
        <f t="shared" ca="1" si="73"/>
        <v>0</v>
      </c>
      <c r="K271">
        <f ca="1">IF(OR($C271="S",$C271=0),0,MATCH(OFFSET($D271,0,$C271)+IF($C271&lt;&gt;1,1,COUNTIF(QCI!$A$13:$A$24,ORÇAMENTO!E271)),OFFSET($D271,1,$C271,ROW($C$727)-ROW($C271)),0))</f>
        <v>0</v>
      </c>
      <c r="L271" s="116" t="str">
        <f t="shared" ca="1" si="64"/>
        <v/>
      </c>
      <c r="M271" s="117" t="s">
        <v>199</v>
      </c>
      <c r="N271" s="118" t="str">
        <f t="shared" ca="1" si="65"/>
        <v>Serviço</v>
      </c>
      <c r="O271" s="119" t="str">
        <f t="shared" ca="1" si="66"/>
        <v>-</v>
      </c>
      <c r="P271" s="120" t="s">
        <v>247</v>
      </c>
      <c r="Q271" s="121" t="s">
        <v>658</v>
      </c>
      <c r="R271" s="122" t="str">
        <f ca="1">IF($C271="S",REFERENCIA.Descricao,"(digite a descrição aqui)")</f>
        <v>(abra o arquivo 'Referência 06-2024.xlsm)</v>
      </c>
      <c r="S271" s="123" t="str">
        <f ca="1">REFERENCIA.Unidade</f>
        <v>-</v>
      </c>
      <c r="T271" s="124">
        <f ca="1">OFFSET(CÁLCULO!H$15,ROW($T271)-ROW(T$15),0)</f>
        <v>63</v>
      </c>
      <c r="U271" s="125">
        <f t="shared" ca="1" si="74"/>
        <v>0</v>
      </c>
      <c r="V271" s="126" t="s">
        <v>156</v>
      </c>
      <c r="W271" s="124">
        <f ca="1">IF($C271="S",ROUND(IF(TIPOORCAMENTO="Proposto",ORÇAMENTO.CustoUnitario*(1+$AH271),ORÇAMENTO.PrecoUnitarioLicitado),15-13*$AF$10),0)</f>
        <v>0</v>
      </c>
      <c r="X271" s="127">
        <f ca="1">IF($C271="S",IF(Import.TipoArredondamento&lt;&gt;"TransfereGOV",VTOTAL1,SUM(OFFSET(CÁLCULO!$AI$15,ROW($X271)-ROW($X$15),1):OFFSET(CÁLCULO!$BB$15,ROW($X271)-ROW($X$15),-1))),IF($C271=0,0,ROUND(SomaAgrup,15-13*$AF$11)))</f>
        <v>0</v>
      </c>
      <c r="Y271" s="128" t="s">
        <v>245</v>
      </c>
      <c r="Z271" t="str">
        <f t="shared" ca="1" si="67"/>
        <v/>
      </c>
      <c r="AA271" s="129">
        <f ca="1">IF($C271="S",IF($Z271="CP",$X271,IF($Z271="RA",(($X271)*QCI!$AA$3),0)),SomaAgrup)</f>
        <v>0</v>
      </c>
      <c r="AB271" s="130">
        <f t="shared" ca="1" si="68"/>
        <v>0</v>
      </c>
      <c r="AC271" s="131" t="str">
        <f ca="1">IF($N271="","",IF(ORÇAMENTO.Descricao="","DESCRIÇÃO",IF(AND($C271="S",ORÇAMENTO.Unidade=""),"UNIDADE",IF($X271&lt;0,"VALOR NEGATIVO",IF(OR(AND(TIPOORCAMENTO="Proposto",$AG271&lt;&gt;"",$AG271&gt;0,ORÇAMENTO.CustoUnitario&gt;$AG271),AND(TIPOORCAMENTO="LICITADO",ORÇAMENTO.PrecoUnitarioLicitado&gt;$AN271)),"ACIMA REF.","")))))</f>
        <v/>
      </c>
      <c r="AD271" t="str">
        <f ca="1">IF(C271&lt;=CRONO.NivelExibicao,MAX($AD$15:OFFSET(AD271,-1,0))+IF($C271&lt;&gt;1,1,MAX(1,COUNTIF(QCI!$A$13:$A$24,OFFSET($E271,-1,0)))),"")</f>
        <v/>
      </c>
      <c r="AE271" s="7" t="str">
        <f ca="1">IF(AND($C271="S",ORÇAMENTO.CodBarra&lt;&gt;""),IF(ORÇAMENTO.Fonte="",ORÇAMENTO.CodBarra,CONCATENATE(ORÇAMENTO.Fonte," ",ORÇAMENTO.CodBarra)))</f>
        <v>SINAPI 89440</v>
      </c>
      <c r="AF271" s="13" t="str">
        <f ca="1">IF(ISERROR(INDIRECT(ORÇAMENTO.BancoRef)),"(abra o arquivo 'Referência "&amp;Excel_BuiltIn_Database&amp;".xlsm)",IF(OR($C271&lt;&gt;"S",ORÇAMENTO.CodBarra=""),"(Sem Código)",IF(ISERROR(MATCH($AE271,INDIRECT(ORÇAMENTO.BancoRef),0)),"(Código não identificado nas referências)",MATCH($AE271,INDIRECT(ORÇAMENTO.BancoRef),0))))</f>
        <v>(abra o arquivo 'Referência 06-2024.xlsm)</v>
      </c>
      <c r="AG271" s="498">
        <f ca="1">ROUND(IF(DESONERACAO="sim",REFERENCIA.Desonerado,REFERENCIA.NaoDesonerado),2)</f>
        <v>0</v>
      </c>
      <c r="AH271" s="499">
        <f t="shared" ca="1" si="69"/>
        <v>0.2432</v>
      </c>
      <c r="AJ271" s="501"/>
      <c r="AL271" s="527"/>
      <c r="AM271" s="381">
        <f t="shared" ca="1" si="70"/>
        <v>0</v>
      </c>
      <c r="AN271" s="566">
        <f t="shared" ca="1" si="71"/>
        <v>0</v>
      </c>
    </row>
    <row r="272" spans="1:40" ht="38.25" x14ac:dyDescent="0.2">
      <c r="A272" t="str">
        <f t="shared" si="56"/>
        <v>S</v>
      </c>
      <c r="B272">
        <f t="shared" ca="1" si="57"/>
        <v>2</v>
      </c>
      <c r="C272" t="str">
        <f t="shared" ca="1" si="58"/>
        <v>S</v>
      </c>
      <c r="D272">
        <f t="shared" ca="1" si="59"/>
        <v>0</v>
      </c>
      <c r="E272">
        <f ca="1">IF($C272=1,OFFSET(E272,-1,0)+MAX(1,COUNTIF(QCI!$A$13:$A$24,OFFSET(ORÇAMENTO!E272,-1,0))),OFFSET(E272,-1,0))</f>
        <v>1</v>
      </c>
      <c r="F272">
        <f t="shared" ca="1" si="60"/>
        <v>34</v>
      </c>
      <c r="G272">
        <f t="shared" ca="1" si="61"/>
        <v>0</v>
      </c>
      <c r="H272">
        <f t="shared" ca="1" si="62"/>
        <v>0</v>
      </c>
      <c r="I272">
        <f t="shared" ca="1" si="63"/>
        <v>0</v>
      </c>
      <c r="J272">
        <f t="shared" ref="J272:J335" ca="1" si="75">IF(OR($C272="S",$C272=0),0,MATCH(0,OFFSET($D272,1,$C272,ROW($C$727)-ROW($C272)),0))</f>
        <v>0</v>
      </c>
      <c r="K272">
        <f ca="1">IF(OR($C272="S",$C272=0),0,MATCH(OFFSET($D272,0,$C272)+IF($C272&lt;&gt;1,1,COUNTIF(QCI!$A$13:$A$24,ORÇAMENTO!E272)),OFFSET($D272,1,$C272,ROW($C$727)-ROW($C272)),0))</f>
        <v>0</v>
      </c>
      <c r="L272" s="116" t="str">
        <f t="shared" ca="1" si="64"/>
        <v/>
      </c>
      <c r="M272" s="117" t="s">
        <v>199</v>
      </c>
      <c r="N272" s="118" t="str">
        <f t="shared" ca="1" si="65"/>
        <v>Serviço</v>
      </c>
      <c r="O272" s="119" t="str">
        <f t="shared" ca="1" si="66"/>
        <v>-</v>
      </c>
      <c r="P272" s="120" t="s">
        <v>247</v>
      </c>
      <c r="Q272" s="121" t="s">
        <v>659</v>
      </c>
      <c r="R272" s="122" t="str">
        <f ca="1">IF($C272="S",REFERENCIA.Descricao,"(digite a descrição aqui)")</f>
        <v>(abra o arquivo 'Referência 06-2024.xlsm)</v>
      </c>
      <c r="S272" s="123" t="str">
        <f ca="1">REFERENCIA.Unidade</f>
        <v>-</v>
      </c>
      <c r="T272" s="124">
        <f ca="1">OFFSET(CÁLCULO!H$15,ROW($T272)-ROW(T$15),0)</f>
        <v>8</v>
      </c>
      <c r="U272" s="125">
        <f t="shared" ca="1" si="74"/>
        <v>0</v>
      </c>
      <c r="V272" s="126" t="s">
        <v>156</v>
      </c>
      <c r="W272" s="124">
        <f ca="1">IF($C272="S",ROUND(IF(TIPOORCAMENTO="Proposto",ORÇAMENTO.CustoUnitario*(1+$AH272),ORÇAMENTO.PrecoUnitarioLicitado),15-13*$AF$10),0)</f>
        <v>0</v>
      </c>
      <c r="X272" s="127">
        <f ca="1">IF($C272="S",IF(Import.TipoArredondamento&lt;&gt;"TransfereGOV",VTOTAL1,SUM(OFFSET(CÁLCULO!$AI$15,ROW($X272)-ROW($X$15),1):OFFSET(CÁLCULO!$BB$15,ROW($X272)-ROW($X$15),-1))),IF($C272=0,0,ROUND(SomaAgrup,15-13*$AF$11)))</f>
        <v>0</v>
      </c>
      <c r="Y272" s="128" t="s">
        <v>245</v>
      </c>
      <c r="Z272" t="str">
        <f t="shared" ca="1" si="67"/>
        <v/>
      </c>
      <c r="AA272" s="129">
        <f ca="1">IF($C272="S",IF($Z272="CP",$X272,IF($Z272="RA",(($X272)*QCI!$AA$3),0)),SomaAgrup)</f>
        <v>0</v>
      </c>
      <c r="AB272" s="130">
        <f t="shared" ca="1" si="68"/>
        <v>0</v>
      </c>
      <c r="AC272" s="131" t="str">
        <f ca="1">IF($N272="","",IF(ORÇAMENTO.Descricao="","DESCRIÇÃO",IF(AND($C272="S",ORÇAMENTO.Unidade=""),"UNIDADE",IF($X272&lt;0,"VALOR NEGATIVO",IF(OR(AND(TIPOORCAMENTO="Proposto",$AG272&lt;&gt;"",$AG272&gt;0,ORÇAMENTO.CustoUnitario&gt;$AG272),AND(TIPOORCAMENTO="LICITADO",ORÇAMENTO.PrecoUnitarioLicitado&gt;$AN272)),"ACIMA REF.","")))))</f>
        <v/>
      </c>
      <c r="AD272" t="str">
        <f ca="1">IF(C272&lt;=CRONO.NivelExibicao,MAX($AD$15:OFFSET(AD272,-1,0))+IF($C272&lt;&gt;1,1,MAX(1,COUNTIF(QCI!$A$13:$A$24,OFFSET($E272,-1,0)))),"")</f>
        <v/>
      </c>
      <c r="AE272" s="7" t="str">
        <f ca="1">IF(AND($C272="S",ORÇAMENTO.CodBarra&lt;&gt;""),IF(ORÇAMENTO.Fonte="",ORÇAMENTO.CodBarra,CONCATENATE(ORÇAMENTO.Fonte," ",ORÇAMENTO.CodBarra)))</f>
        <v>SINAPI 104004</v>
      </c>
      <c r="AF272" s="13" t="str">
        <f ca="1">IF(ISERROR(INDIRECT(ORÇAMENTO.BancoRef)),"(abra o arquivo 'Referência "&amp;Excel_BuiltIn_Database&amp;".xlsm)",IF(OR($C272&lt;&gt;"S",ORÇAMENTO.CodBarra=""),"(Sem Código)",IF(ISERROR(MATCH($AE272,INDIRECT(ORÇAMENTO.BancoRef),0)),"(Código não identificado nas referências)",MATCH($AE272,INDIRECT(ORÇAMENTO.BancoRef),0))))</f>
        <v>(abra o arquivo 'Referência 06-2024.xlsm)</v>
      </c>
      <c r="AG272" s="498">
        <f ca="1">ROUND(IF(DESONERACAO="sim",REFERENCIA.Desonerado,REFERENCIA.NaoDesonerado),2)</f>
        <v>0</v>
      </c>
      <c r="AH272" s="499">
        <f t="shared" ca="1" si="69"/>
        <v>0.2432</v>
      </c>
      <c r="AJ272" s="501"/>
      <c r="AL272" s="527"/>
      <c r="AM272" s="381">
        <f t="shared" ca="1" si="70"/>
        <v>0</v>
      </c>
      <c r="AN272" s="566">
        <f t="shared" ca="1" si="71"/>
        <v>0</v>
      </c>
    </row>
    <row r="273" spans="1:40" ht="25.5" x14ac:dyDescent="0.2">
      <c r="A273" t="str">
        <f t="shared" si="56"/>
        <v>S</v>
      </c>
      <c r="B273">
        <f t="shared" ca="1" si="57"/>
        <v>2</v>
      </c>
      <c r="C273" t="str">
        <f t="shared" ca="1" si="58"/>
        <v>S</v>
      </c>
      <c r="D273">
        <f t="shared" ca="1" si="59"/>
        <v>0</v>
      </c>
      <c r="E273">
        <f ca="1">IF($C273=1,OFFSET(E273,-1,0)+MAX(1,COUNTIF(QCI!$A$13:$A$24,OFFSET(ORÇAMENTO!E273,-1,0))),OFFSET(E273,-1,0))</f>
        <v>1</v>
      </c>
      <c r="F273">
        <f t="shared" ca="1" si="60"/>
        <v>34</v>
      </c>
      <c r="G273">
        <f t="shared" ca="1" si="61"/>
        <v>0</v>
      </c>
      <c r="H273">
        <f t="shared" ca="1" si="62"/>
        <v>0</v>
      </c>
      <c r="I273">
        <f t="shared" ca="1" si="63"/>
        <v>0</v>
      </c>
      <c r="J273">
        <f t="shared" ca="1" si="75"/>
        <v>0</v>
      </c>
      <c r="K273">
        <f ca="1">IF(OR($C273="S",$C273=0),0,MATCH(OFFSET($D273,0,$C273)+IF($C273&lt;&gt;1,1,COUNTIF(QCI!$A$13:$A$24,ORÇAMENTO!E273)),OFFSET($D273,1,$C273,ROW($C$727)-ROW($C273)),0))</f>
        <v>0</v>
      </c>
      <c r="L273" s="116" t="str">
        <f t="shared" ca="1" si="64"/>
        <v/>
      </c>
      <c r="M273" s="117" t="s">
        <v>199</v>
      </c>
      <c r="N273" s="118" t="str">
        <f t="shared" ca="1" si="65"/>
        <v>Serviço</v>
      </c>
      <c r="O273" s="119" t="str">
        <f t="shared" ca="1" si="66"/>
        <v>-</v>
      </c>
      <c r="P273" s="120" t="s">
        <v>247</v>
      </c>
      <c r="Q273" s="121" t="s">
        <v>660</v>
      </c>
      <c r="R273" s="122" t="str">
        <f ca="1">IF($C273="S",REFERENCIA.Descricao,"(digite a descrição aqui)")</f>
        <v>(abra o arquivo 'Referência 06-2024.xlsm)</v>
      </c>
      <c r="S273" s="123" t="str">
        <f ca="1">REFERENCIA.Unidade</f>
        <v>-</v>
      </c>
      <c r="T273" s="124">
        <f ca="1">OFFSET(CÁLCULO!H$15,ROW($T273)-ROW(T$15),0)</f>
        <v>3</v>
      </c>
      <c r="U273" s="125">
        <f t="shared" ca="1" si="74"/>
        <v>0</v>
      </c>
      <c r="V273" s="126" t="s">
        <v>156</v>
      </c>
      <c r="W273" s="124">
        <f ca="1">IF($C273="S",ROUND(IF(TIPOORCAMENTO="Proposto",ORÇAMENTO.CustoUnitario*(1+$AH273),ORÇAMENTO.PrecoUnitarioLicitado),15-13*$AF$10),0)</f>
        <v>0</v>
      </c>
      <c r="X273" s="127">
        <f ca="1">IF($C273="S",IF(Import.TipoArredondamento&lt;&gt;"TransfereGOV",VTOTAL1,SUM(OFFSET(CÁLCULO!$AI$15,ROW($X273)-ROW($X$15),1):OFFSET(CÁLCULO!$BB$15,ROW($X273)-ROW($X$15),-1))),IF($C273=0,0,ROUND(SomaAgrup,15-13*$AF$11)))</f>
        <v>0</v>
      </c>
      <c r="Y273" s="128" t="s">
        <v>245</v>
      </c>
      <c r="Z273" t="str">
        <f t="shared" ca="1" si="67"/>
        <v/>
      </c>
      <c r="AA273" s="129">
        <f ca="1">IF($C273="S",IF($Z273="CP",$X273,IF($Z273="RA",(($X273)*QCI!$AA$3),0)),SomaAgrup)</f>
        <v>0</v>
      </c>
      <c r="AB273" s="130">
        <f t="shared" ca="1" si="68"/>
        <v>0</v>
      </c>
      <c r="AC273" s="131" t="str">
        <f ca="1">IF($N273="","",IF(ORÇAMENTO.Descricao="","DESCRIÇÃO",IF(AND($C273="S",ORÇAMENTO.Unidade=""),"UNIDADE",IF($X273&lt;0,"VALOR NEGATIVO",IF(OR(AND(TIPOORCAMENTO="Proposto",$AG273&lt;&gt;"",$AG273&gt;0,ORÇAMENTO.CustoUnitario&gt;$AG273),AND(TIPOORCAMENTO="LICITADO",ORÇAMENTO.PrecoUnitarioLicitado&gt;$AN273)),"ACIMA REF.","")))))</f>
        <v/>
      </c>
      <c r="AD273" t="str">
        <f ca="1">IF(C273&lt;=CRONO.NivelExibicao,MAX($AD$15:OFFSET(AD273,-1,0))+IF($C273&lt;&gt;1,1,MAX(1,COUNTIF(QCI!$A$13:$A$24,OFFSET($E273,-1,0)))),"")</f>
        <v/>
      </c>
      <c r="AE273" s="7" t="str">
        <f ca="1">IF(AND($C273="S",ORÇAMENTO.CodBarra&lt;&gt;""),IF(ORÇAMENTO.Fonte="",ORÇAMENTO.CodBarra,CONCATENATE(ORÇAMENTO.Fonte," ",ORÇAMENTO.CodBarra)))</f>
        <v>SINAPI 89628</v>
      </c>
      <c r="AF273" s="13" t="str">
        <f ca="1">IF(ISERROR(INDIRECT(ORÇAMENTO.BancoRef)),"(abra o arquivo 'Referência "&amp;Excel_BuiltIn_Database&amp;".xlsm)",IF(OR($C273&lt;&gt;"S",ORÇAMENTO.CodBarra=""),"(Sem Código)",IF(ISERROR(MATCH($AE273,INDIRECT(ORÇAMENTO.BancoRef),0)),"(Código não identificado nas referências)",MATCH($AE273,INDIRECT(ORÇAMENTO.BancoRef),0))))</f>
        <v>(abra o arquivo 'Referência 06-2024.xlsm)</v>
      </c>
      <c r="AG273" s="498">
        <f ca="1">ROUND(IF(DESONERACAO="sim",REFERENCIA.Desonerado,REFERENCIA.NaoDesonerado),2)</f>
        <v>0</v>
      </c>
      <c r="AH273" s="499">
        <f t="shared" ca="1" si="69"/>
        <v>0.2432</v>
      </c>
      <c r="AJ273" s="501"/>
      <c r="AL273" s="527"/>
      <c r="AM273" s="381">
        <f t="shared" ca="1" si="70"/>
        <v>0</v>
      </c>
      <c r="AN273" s="566">
        <f t="shared" ca="1" si="71"/>
        <v>0</v>
      </c>
    </row>
    <row r="274" spans="1:40" ht="25.5" x14ac:dyDescent="0.2">
      <c r="A274" t="str">
        <f t="shared" si="56"/>
        <v>S</v>
      </c>
      <c r="B274">
        <f t="shared" ca="1" si="57"/>
        <v>2</v>
      </c>
      <c r="C274" t="str">
        <f t="shared" ca="1" si="58"/>
        <v>S</v>
      </c>
      <c r="D274">
        <f t="shared" ca="1" si="59"/>
        <v>0</v>
      </c>
      <c r="E274">
        <f ca="1">IF($C274=1,OFFSET(E274,-1,0)+MAX(1,COUNTIF(QCI!$A$13:$A$24,OFFSET(ORÇAMENTO!E274,-1,0))),OFFSET(E274,-1,0))</f>
        <v>1</v>
      </c>
      <c r="F274">
        <f t="shared" ca="1" si="60"/>
        <v>34</v>
      </c>
      <c r="G274">
        <f t="shared" ca="1" si="61"/>
        <v>0</v>
      </c>
      <c r="H274">
        <f t="shared" ca="1" si="62"/>
        <v>0</v>
      </c>
      <c r="I274">
        <f t="shared" ca="1" si="63"/>
        <v>0</v>
      </c>
      <c r="J274">
        <f t="shared" ca="1" si="75"/>
        <v>0</v>
      </c>
      <c r="K274">
        <f ca="1">IF(OR($C274="S",$C274=0),0,MATCH(OFFSET($D274,0,$C274)+IF($C274&lt;&gt;1,1,COUNTIF(QCI!$A$13:$A$24,ORÇAMENTO!E274)),OFFSET($D274,1,$C274,ROW($C$727)-ROW($C274)),0))</f>
        <v>0</v>
      </c>
      <c r="L274" s="116" t="str">
        <f t="shared" ca="1" si="64"/>
        <v/>
      </c>
      <c r="M274" s="117" t="s">
        <v>199</v>
      </c>
      <c r="N274" s="118" t="str">
        <f t="shared" ca="1" si="65"/>
        <v>Serviço</v>
      </c>
      <c r="O274" s="119" t="str">
        <f t="shared" ca="1" si="66"/>
        <v>-</v>
      </c>
      <c r="P274" s="120" t="s">
        <v>247</v>
      </c>
      <c r="Q274" s="121" t="s">
        <v>661</v>
      </c>
      <c r="R274" s="122" t="str">
        <f ca="1">IF($C274="S",REFERENCIA.Descricao,"(digite a descrição aqui)")</f>
        <v>(abra o arquivo 'Referência 06-2024.xlsm)</v>
      </c>
      <c r="S274" s="123" t="str">
        <f ca="1">REFERENCIA.Unidade</f>
        <v>-</v>
      </c>
      <c r="T274" s="124">
        <f ca="1">OFFSET(CÁLCULO!H$15,ROW($T274)-ROW(T$15),0)</f>
        <v>18</v>
      </c>
      <c r="U274" s="125">
        <f t="shared" ca="1" si="74"/>
        <v>0</v>
      </c>
      <c r="V274" s="126" t="s">
        <v>156</v>
      </c>
      <c r="W274" s="124">
        <f ca="1">IF($C274="S",ROUND(IF(TIPOORCAMENTO="Proposto",ORÇAMENTO.CustoUnitario*(1+$AH274),ORÇAMENTO.PrecoUnitarioLicitado),15-13*$AF$10),0)</f>
        <v>0</v>
      </c>
      <c r="X274" s="127">
        <f ca="1">IF($C274="S",IF(Import.TipoArredondamento&lt;&gt;"TransfereGOV",VTOTAL1,SUM(OFFSET(CÁLCULO!$AI$15,ROW($X274)-ROW($X$15),1):OFFSET(CÁLCULO!$BB$15,ROW($X274)-ROW($X$15),-1))),IF($C274=0,0,ROUND(SomaAgrup,15-13*$AF$11)))</f>
        <v>0</v>
      </c>
      <c r="Y274" s="128" t="s">
        <v>245</v>
      </c>
      <c r="Z274" t="str">
        <f t="shared" ca="1" si="67"/>
        <v/>
      </c>
      <c r="AA274" s="129">
        <f ca="1">IF($C274="S",IF($Z274="CP",$X274,IF($Z274="RA",(($X274)*QCI!$AA$3),0)),SomaAgrup)</f>
        <v>0</v>
      </c>
      <c r="AB274" s="130">
        <f t="shared" ca="1" si="68"/>
        <v>0</v>
      </c>
      <c r="AC274" s="131" t="str">
        <f ca="1">IF($N274="","",IF(ORÇAMENTO.Descricao="","DESCRIÇÃO",IF(AND($C274="S",ORÇAMENTO.Unidade=""),"UNIDADE",IF($X274&lt;0,"VALOR NEGATIVO",IF(OR(AND(TIPOORCAMENTO="Proposto",$AG274&lt;&gt;"",$AG274&gt;0,ORÇAMENTO.CustoUnitario&gt;$AG274),AND(TIPOORCAMENTO="LICITADO",ORÇAMENTO.PrecoUnitarioLicitado&gt;$AN274)),"ACIMA REF.","")))))</f>
        <v/>
      </c>
      <c r="AD274" t="str">
        <f ca="1">IF(C274&lt;=CRONO.NivelExibicao,MAX($AD$15:OFFSET(AD274,-1,0))+IF($C274&lt;&gt;1,1,MAX(1,COUNTIF(QCI!$A$13:$A$24,OFFSET($E274,-1,0)))),"")</f>
        <v/>
      </c>
      <c r="AE274" s="7" t="str">
        <f ca="1">IF(AND($C274="S",ORÇAMENTO.CodBarra&lt;&gt;""),IF(ORÇAMENTO.Fonte="",ORÇAMENTO.CodBarra,CONCATENATE(ORÇAMENTO.Fonte," ",ORÇAMENTO.CodBarra)))</f>
        <v>SINAPI 89631</v>
      </c>
      <c r="AF274" s="13" t="str">
        <f ca="1">IF(ISERROR(INDIRECT(ORÇAMENTO.BancoRef)),"(abra o arquivo 'Referência "&amp;Excel_BuiltIn_Database&amp;".xlsm)",IF(OR($C274&lt;&gt;"S",ORÇAMENTO.CodBarra=""),"(Sem Código)",IF(ISERROR(MATCH($AE274,INDIRECT(ORÇAMENTO.BancoRef),0)),"(Código não identificado nas referências)",MATCH($AE274,INDIRECT(ORÇAMENTO.BancoRef),0))))</f>
        <v>(abra o arquivo 'Referência 06-2024.xlsm)</v>
      </c>
      <c r="AG274" s="498">
        <f ca="1">ROUND(IF(DESONERACAO="sim",REFERENCIA.Desonerado,REFERENCIA.NaoDesonerado),2)</f>
        <v>0</v>
      </c>
      <c r="AH274" s="499">
        <f t="shared" ca="1" si="69"/>
        <v>0.2432</v>
      </c>
      <c r="AJ274" s="501"/>
      <c r="AL274" s="527"/>
      <c r="AM274" s="381">
        <f t="shared" ca="1" si="70"/>
        <v>0</v>
      </c>
      <c r="AN274" s="566">
        <f t="shared" ca="1" si="71"/>
        <v>0</v>
      </c>
    </row>
    <row r="275" spans="1:40" ht="25.5" x14ac:dyDescent="0.2">
      <c r="A275" t="str">
        <f t="shared" si="56"/>
        <v>S</v>
      </c>
      <c r="B275">
        <f t="shared" ca="1" si="57"/>
        <v>2</v>
      </c>
      <c r="C275" t="str">
        <f t="shared" ca="1" si="58"/>
        <v>S</v>
      </c>
      <c r="D275">
        <f t="shared" ca="1" si="59"/>
        <v>0</v>
      </c>
      <c r="E275">
        <f ca="1">IF($C275=1,OFFSET(E275,-1,0)+MAX(1,COUNTIF(QCI!$A$13:$A$24,OFFSET(ORÇAMENTO!E275,-1,0))),OFFSET(E275,-1,0))</f>
        <v>1</v>
      </c>
      <c r="F275">
        <f t="shared" ca="1" si="60"/>
        <v>34</v>
      </c>
      <c r="G275">
        <f t="shared" ca="1" si="61"/>
        <v>0</v>
      </c>
      <c r="H275">
        <f t="shared" ca="1" si="62"/>
        <v>0</v>
      </c>
      <c r="I275">
        <f t="shared" ca="1" si="63"/>
        <v>0</v>
      </c>
      <c r="J275">
        <f t="shared" ca="1" si="75"/>
        <v>0</v>
      </c>
      <c r="K275">
        <f ca="1">IF(OR($C275="S",$C275=0),0,MATCH(OFFSET($D275,0,$C275)+IF($C275&lt;&gt;1,1,COUNTIF(QCI!$A$13:$A$24,ORÇAMENTO!E275)),OFFSET($D275,1,$C275,ROW($C$727)-ROW($C275)),0))</f>
        <v>0</v>
      </c>
      <c r="L275" s="116" t="str">
        <f t="shared" ca="1" si="64"/>
        <v/>
      </c>
      <c r="M275" s="117" t="s">
        <v>199</v>
      </c>
      <c r="N275" s="118" t="str">
        <f t="shared" ca="1" si="65"/>
        <v>Serviço</v>
      </c>
      <c r="O275" s="119" t="str">
        <f t="shared" ca="1" si="66"/>
        <v>-</v>
      </c>
      <c r="P275" s="120" t="s">
        <v>247</v>
      </c>
      <c r="Q275" s="121" t="s">
        <v>662</v>
      </c>
      <c r="R275" s="122" t="str">
        <f ca="1">IF($C275="S",REFERENCIA.Descricao,"(digite a descrição aqui)")</f>
        <v>(abra o arquivo 'Referência 06-2024.xlsm)</v>
      </c>
      <c r="S275" s="123" t="str">
        <f ca="1">REFERENCIA.Unidade</f>
        <v>-</v>
      </c>
      <c r="T275" s="124">
        <f ca="1">OFFSET(CÁLCULO!H$15,ROW($T275)-ROW(T$15),0)</f>
        <v>19</v>
      </c>
      <c r="U275" s="125">
        <f t="shared" ca="1" si="74"/>
        <v>0</v>
      </c>
      <c r="V275" s="126" t="s">
        <v>156</v>
      </c>
      <c r="W275" s="124">
        <f ca="1">IF($C275="S",ROUND(IF(TIPOORCAMENTO="Proposto",ORÇAMENTO.CustoUnitario*(1+$AH275),ORÇAMENTO.PrecoUnitarioLicitado),15-13*$AF$10),0)</f>
        <v>0</v>
      </c>
      <c r="X275" s="127">
        <f ca="1">IF($C275="S",IF(Import.TipoArredondamento&lt;&gt;"TransfereGOV",VTOTAL1,SUM(OFFSET(CÁLCULO!$AI$15,ROW($X275)-ROW($X$15),1):OFFSET(CÁLCULO!$BB$15,ROW($X275)-ROW($X$15),-1))),IF($C275=0,0,ROUND(SomaAgrup,15-13*$AF$11)))</f>
        <v>0</v>
      </c>
      <c r="Y275" s="128" t="s">
        <v>245</v>
      </c>
      <c r="Z275" t="str">
        <f t="shared" ca="1" si="67"/>
        <v/>
      </c>
      <c r="AA275" s="129">
        <f ca="1">IF($C275="S",IF($Z275="CP",$X275,IF($Z275="RA",(($X275)*QCI!$AA$3),0)),SomaAgrup)</f>
        <v>0</v>
      </c>
      <c r="AB275" s="130">
        <f t="shared" ca="1" si="68"/>
        <v>0</v>
      </c>
      <c r="AC275" s="131" t="str">
        <f ca="1">IF($N275="","",IF(ORÇAMENTO.Descricao="","DESCRIÇÃO",IF(AND($C275="S",ORÇAMENTO.Unidade=""),"UNIDADE",IF($X275&lt;0,"VALOR NEGATIVO",IF(OR(AND(TIPOORCAMENTO="Proposto",$AG275&lt;&gt;"",$AG275&gt;0,ORÇAMENTO.CustoUnitario&gt;$AG275),AND(TIPOORCAMENTO="LICITADO",ORÇAMENTO.PrecoUnitarioLicitado&gt;$AN275)),"ACIMA REF.","")))))</f>
        <v/>
      </c>
      <c r="AD275" t="str">
        <f ca="1">IF(C275&lt;=CRONO.NivelExibicao,MAX($AD$15:OFFSET(AD275,-1,0))+IF($C275&lt;&gt;1,1,MAX(1,COUNTIF(QCI!$A$13:$A$24,OFFSET($E275,-1,0)))),"")</f>
        <v/>
      </c>
      <c r="AE275" s="7" t="str">
        <f ca="1">IF(AND($C275="S",ORÇAMENTO.CodBarra&lt;&gt;""),IF(ORÇAMENTO.Fonte="",ORÇAMENTO.CodBarra,CONCATENATE(ORÇAMENTO.Fonte," ",ORÇAMENTO.CodBarra)))</f>
        <v>SINAPI 89627</v>
      </c>
      <c r="AF275" s="13" t="str">
        <f ca="1">IF(ISERROR(INDIRECT(ORÇAMENTO.BancoRef)),"(abra o arquivo 'Referência "&amp;Excel_BuiltIn_Database&amp;".xlsm)",IF(OR($C275&lt;&gt;"S",ORÇAMENTO.CodBarra=""),"(Sem Código)",IF(ISERROR(MATCH($AE275,INDIRECT(ORÇAMENTO.BancoRef),0)),"(Código não identificado nas referências)",MATCH($AE275,INDIRECT(ORÇAMENTO.BancoRef),0))))</f>
        <v>(abra o arquivo 'Referência 06-2024.xlsm)</v>
      </c>
      <c r="AG275" s="498">
        <f ca="1">ROUND(IF(DESONERACAO="sim",REFERENCIA.Desonerado,REFERENCIA.NaoDesonerado),2)</f>
        <v>0</v>
      </c>
      <c r="AH275" s="499">
        <f t="shared" ca="1" si="69"/>
        <v>0.2432</v>
      </c>
      <c r="AJ275" s="501"/>
      <c r="AL275" s="527"/>
      <c r="AM275" s="381">
        <f t="shared" ca="1" si="70"/>
        <v>0</v>
      </c>
      <c r="AN275" s="566">
        <f t="shared" ca="1" si="71"/>
        <v>0</v>
      </c>
    </row>
    <row r="276" spans="1:40" ht="25.5" x14ac:dyDescent="0.2">
      <c r="A276" t="str">
        <f t="shared" si="56"/>
        <v>S</v>
      </c>
      <c r="B276">
        <f t="shared" ca="1" si="57"/>
        <v>2</v>
      </c>
      <c r="C276" t="str">
        <f t="shared" ca="1" si="58"/>
        <v>S</v>
      </c>
      <c r="D276">
        <f t="shared" ca="1" si="59"/>
        <v>0</v>
      </c>
      <c r="E276">
        <f ca="1">IF($C276=1,OFFSET(E276,-1,0)+MAX(1,COUNTIF(QCI!$A$13:$A$24,OFFSET(ORÇAMENTO!E276,-1,0))),OFFSET(E276,-1,0))</f>
        <v>1</v>
      </c>
      <c r="F276">
        <f t="shared" ca="1" si="60"/>
        <v>34</v>
      </c>
      <c r="G276">
        <f t="shared" ca="1" si="61"/>
        <v>0</v>
      </c>
      <c r="H276">
        <f t="shared" ca="1" si="62"/>
        <v>0</v>
      </c>
      <c r="I276">
        <f t="shared" ca="1" si="63"/>
        <v>0</v>
      </c>
      <c r="J276">
        <f t="shared" ca="1" si="75"/>
        <v>0</v>
      </c>
      <c r="K276">
        <f ca="1">IF(OR($C276="S",$C276=0),0,MATCH(OFFSET($D276,0,$C276)+IF($C276&lt;&gt;1,1,COUNTIF(QCI!$A$13:$A$24,ORÇAMENTO!E276)),OFFSET($D276,1,$C276,ROW($C$727)-ROW($C276)),0))</f>
        <v>0</v>
      </c>
      <c r="L276" s="116" t="str">
        <f t="shared" ca="1" si="64"/>
        <v/>
      </c>
      <c r="M276" s="117" t="s">
        <v>199</v>
      </c>
      <c r="N276" s="118" t="str">
        <f t="shared" ca="1" si="65"/>
        <v>Serviço</v>
      </c>
      <c r="O276" s="119" t="str">
        <f t="shared" ca="1" si="66"/>
        <v>-</v>
      </c>
      <c r="P276" s="120" t="s">
        <v>247</v>
      </c>
      <c r="Q276" s="121" t="s">
        <v>663</v>
      </c>
      <c r="R276" s="122" t="str">
        <f ca="1">IF($C276="S",REFERENCIA.Descricao,"(digite a descrição aqui)")</f>
        <v>(abra o arquivo 'Referência 06-2024.xlsm)</v>
      </c>
      <c r="S276" s="123" t="str">
        <f ca="1">REFERENCIA.Unidade</f>
        <v>-</v>
      </c>
      <c r="T276" s="124">
        <f ca="1">OFFSET(CÁLCULO!H$15,ROW($T276)-ROW(T$15),0)</f>
        <v>33</v>
      </c>
      <c r="U276" s="125">
        <f t="shared" ca="1" si="74"/>
        <v>0</v>
      </c>
      <c r="V276" s="126" t="s">
        <v>156</v>
      </c>
      <c r="W276" s="124">
        <f ca="1">IF($C276="S",ROUND(IF(TIPOORCAMENTO="Proposto",ORÇAMENTO.CustoUnitario*(1+$AH276),ORÇAMENTO.PrecoUnitarioLicitado),15-13*$AF$10),0)</f>
        <v>0</v>
      </c>
      <c r="X276" s="127">
        <f ca="1">IF($C276="S",IF(Import.TipoArredondamento&lt;&gt;"TransfereGOV",VTOTAL1,SUM(OFFSET(CÁLCULO!$AI$15,ROW($X276)-ROW($X$15),1):OFFSET(CÁLCULO!$BB$15,ROW($X276)-ROW($X$15),-1))),IF($C276=0,0,ROUND(SomaAgrup,15-13*$AF$11)))</f>
        <v>0</v>
      </c>
      <c r="Y276" s="128" t="s">
        <v>245</v>
      </c>
      <c r="Z276" t="str">
        <f t="shared" ca="1" si="67"/>
        <v/>
      </c>
      <c r="AA276" s="129">
        <f ca="1">IF($C276="S",IF($Z276="CP",$X276,IF($Z276="RA",(($X276)*QCI!$AA$3),0)),SomaAgrup)</f>
        <v>0</v>
      </c>
      <c r="AB276" s="130">
        <f t="shared" ca="1" si="68"/>
        <v>0</v>
      </c>
      <c r="AC276" s="131" t="str">
        <f ca="1">IF($N276="","",IF(ORÇAMENTO.Descricao="","DESCRIÇÃO",IF(AND($C276="S",ORÇAMENTO.Unidade=""),"UNIDADE",IF($X276&lt;0,"VALOR NEGATIVO",IF(OR(AND(TIPOORCAMENTO="Proposto",$AG276&lt;&gt;"",$AG276&gt;0,ORÇAMENTO.CustoUnitario&gt;$AG276),AND(TIPOORCAMENTO="LICITADO",ORÇAMENTO.PrecoUnitarioLicitado&gt;$AN276)),"ACIMA REF.","")))))</f>
        <v/>
      </c>
      <c r="AD276" t="str">
        <f ca="1">IF(C276&lt;=CRONO.NivelExibicao,MAX($AD$15:OFFSET(AD276,-1,0))+IF($C276&lt;&gt;1,1,MAX(1,COUNTIF(QCI!$A$13:$A$24,OFFSET($E276,-1,0)))),"")</f>
        <v/>
      </c>
      <c r="AE276" s="7" t="str">
        <f ca="1">IF(AND($C276="S",ORÇAMENTO.CodBarra&lt;&gt;""),IF(ORÇAMENTO.Fonte="",ORÇAMENTO.CodBarra,CONCATENATE(ORÇAMENTO.Fonte," ",ORÇAMENTO.CodBarra)))</f>
        <v>SINAPI 89632</v>
      </c>
      <c r="AF276" s="13" t="str">
        <f ca="1">IF(ISERROR(INDIRECT(ORÇAMENTO.BancoRef)),"(abra o arquivo 'Referência "&amp;Excel_BuiltIn_Database&amp;".xlsm)",IF(OR($C276&lt;&gt;"S",ORÇAMENTO.CodBarra=""),"(Sem Código)",IF(ISERROR(MATCH($AE276,INDIRECT(ORÇAMENTO.BancoRef),0)),"(Código não identificado nas referências)",MATCH($AE276,INDIRECT(ORÇAMENTO.BancoRef),0))))</f>
        <v>(abra o arquivo 'Referência 06-2024.xlsm)</v>
      </c>
      <c r="AG276" s="498">
        <f ca="1">ROUND(IF(DESONERACAO="sim",REFERENCIA.Desonerado,REFERENCIA.NaoDesonerado),2)</f>
        <v>0</v>
      </c>
      <c r="AH276" s="499">
        <f t="shared" ca="1" si="69"/>
        <v>0.2432</v>
      </c>
      <c r="AJ276" s="501"/>
      <c r="AL276" s="527"/>
      <c r="AM276" s="381">
        <f t="shared" ca="1" si="70"/>
        <v>0</v>
      </c>
      <c r="AN276" s="566">
        <f t="shared" ca="1" si="71"/>
        <v>0</v>
      </c>
    </row>
    <row r="277" spans="1:40" ht="38.25" x14ac:dyDescent="0.2">
      <c r="A277" t="str">
        <f t="shared" si="56"/>
        <v>S</v>
      </c>
      <c r="B277">
        <f t="shared" ca="1" si="57"/>
        <v>2</v>
      </c>
      <c r="C277" t="str">
        <f t="shared" ca="1" si="58"/>
        <v>S</v>
      </c>
      <c r="D277">
        <f t="shared" ca="1" si="59"/>
        <v>0</v>
      </c>
      <c r="E277">
        <f ca="1">IF($C277=1,OFFSET(E277,-1,0)+MAX(1,COUNTIF(QCI!$A$13:$A$24,OFFSET(ORÇAMENTO!E277,-1,0))),OFFSET(E277,-1,0))</f>
        <v>1</v>
      </c>
      <c r="F277">
        <f t="shared" ca="1" si="60"/>
        <v>34</v>
      </c>
      <c r="G277">
        <f t="shared" ca="1" si="61"/>
        <v>0</v>
      </c>
      <c r="H277">
        <f t="shared" ca="1" si="62"/>
        <v>0</v>
      </c>
      <c r="I277">
        <f t="shared" ca="1" si="63"/>
        <v>0</v>
      </c>
      <c r="J277">
        <f t="shared" ca="1" si="75"/>
        <v>0</v>
      </c>
      <c r="K277">
        <f ca="1">IF(OR($C277="S",$C277=0),0,MATCH(OFFSET($D277,0,$C277)+IF($C277&lt;&gt;1,1,COUNTIF(QCI!$A$13:$A$24,ORÇAMENTO!E277)),OFFSET($D277,1,$C277,ROW($C$727)-ROW($C277)),0))</f>
        <v>0</v>
      </c>
      <c r="L277" s="116" t="str">
        <f t="shared" ca="1" si="64"/>
        <v/>
      </c>
      <c r="M277" s="117" t="s">
        <v>199</v>
      </c>
      <c r="N277" s="118" t="str">
        <f t="shared" ca="1" si="65"/>
        <v>Serviço</v>
      </c>
      <c r="O277" s="119" t="str">
        <f t="shared" ca="1" si="66"/>
        <v>-</v>
      </c>
      <c r="P277" s="120" t="s">
        <v>247</v>
      </c>
      <c r="Q277" s="121" t="s">
        <v>664</v>
      </c>
      <c r="R277" s="122" t="str">
        <f ca="1">IF($C277="S",REFERENCIA.Descricao,"(digite a descrição aqui)")</f>
        <v>(abra o arquivo 'Referência 06-2024.xlsm)</v>
      </c>
      <c r="S277" s="123" t="str">
        <f ca="1">REFERENCIA.Unidade</f>
        <v>-</v>
      </c>
      <c r="T277" s="124">
        <f ca="1">OFFSET(CÁLCULO!H$15,ROW($T277)-ROW(T$15),0)</f>
        <v>1</v>
      </c>
      <c r="U277" s="125">
        <f t="shared" ca="1" si="74"/>
        <v>0</v>
      </c>
      <c r="V277" s="126" t="s">
        <v>156</v>
      </c>
      <c r="W277" s="124">
        <f ca="1">IF($C277="S",ROUND(IF(TIPOORCAMENTO="Proposto",ORÇAMENTO.CustoUnitario*(1+$AH277),ORÇAMENTO.PrecoUnitarioLicitado),15-13*$AF$10),0)</f>
        <v>0</v>
      </c>
      <c r="X277" s="127">
        <f ca="1">IF($C277="S",IF(Import.TipoArredondamento&lt;&gt;"TransfereGOV",VTOTAL1,SUM(OFFSET(CÁLCULO!$AI$15,ROW($X277)-ROW($X$15),1):OFFSET(CÁLCULO!$BB$15,ROW($X277)-ROW($X$15),-1))),IF($C277=0,0,ROUND(SomaAgrup,15-13*$AF$11)))</f>
        <v>0</v>
      </c>
      <c r="Y277" s="128" t="s">
        <v>245</v>
      </c>
      <c r="Z277" t="str">
        <f t="shared" ca="1" si="67"/>
        <v/>
      </c>
      <c r="AA277" s="129">
        <f ca="1">IF($C277="S",IF($Z277="CP",$X277,IF($Z277="RA",(($X277)*QCI!$AA$3),0)),SomaAgrup)</f>
        <v>0</v>
      </c>
      <c r="AB277" s="130">
        <f t="shared" ca="1" si="68"/>
        <v>0</v>
      </c>
      <c r="AC277" s="131" t="str">
        <f ca="1">IF($N277="","",IF(ORÇAMENTO.Descricao="","DESCRIÇÃO",IF(AND($C277="S",ORÇAMENTO.Unidade=""),"UNIDADE",IF($X277&lt;0,"VALOR NEGATIVO",IF(OR(AND(TIPOORCAMENTO="Proposto",$AG277&lt;&gt;"",$AG277&gt;0,ORÇAMENTO.CustoUnitario&gt;$AG277),AND(TIPOORCAMENTO="LICITADO",ORÇAMENTO.PrecoUnitarioLicitado&gt;$AN277)),"ACIMA REF.","")))))</f>
        <v/>
      </c>
      <c r="AD277" t="str">
        <f ca="1">IF(C277&lt;=CRONO.NivelExibicao,MAX($AD$15:OFFSET(AD277,-1,0))+IF($C277&lt;&gt;1,1,MAX(1,COUNTIF(QCI!$A$13:$A$24,OFFSET($E277,-1,0)))),"")</f>
        <v/>
      </c>
      <c r="AE277" s="7" t="str">
        <f ca="1">IF(AND($C277="S",ORÇAMENTO.CodBarra&lt;&gt;""),IF(ORÇAMENTO.Fonte="",ORÇAMENTO.CodBarra,CONCATENATE(ORÇAMENTO.Fonte," ",ORÇAMENTO.CodBarra)))</f>
        <v>SINAPI 104011</v>
      </c>
      <c r="AF277" s="13" t="str">
        <f ca="1">IF(ISERROR(INDIRECT(ORÇAMENTO.BancoRef)),"(abra o arquivo 'Referência "&amp;Excel_BuiltIn_Database&amp;".xlsm)",IF(OR($C277&lt;&gt;"S",ORÇAMENTO.CodBarra=""),"(Sem Código)",IF(ISERROR(MATCH($AE277,INDIRECT(ORÇAMENTO.BancoRef),0)),"(Código não identificado nas referências)",MATCH($AE277,INDIRECT(ORÇAMENTO.BancoRef),0))))</f>
        <v>(abra o arquivo 'Referência 06-2024.xlsm)</v>
      </c>
      <c r="AG277" s="498">
        <f ca="1">ROUND(IF(DESONERACAO="sim",REFERENCIA.Desonerado,REFERENCIA.NaoDesonerado),2)</f>
        <v>0</v>
      </c>
      <c r="AH277" s="499">
        <f t="shared" ca="1" si="69"/>
        <v>0.2432</v>
      </c>
      <c r="AJ277" s="501"/>
      <c r="AL277" s="527"/>
      <c r="AM277" s="381">
        <f t="shared" ca="1" si="70"/>
        <v>0</v>
      </c>
      <c r="AN277" s="566">
        <f t="shared" ca="1" si="71"/>
        <v>0</v>
      </c>
    </row>
    <row r="278" spans="1:40" ht="38.25" x14ac:dyDescent="0.2">
      <c r="A278" t="str">
        <f t="shared" si="56"/>
        <v>S</v>
      </c>
      <c r="B278">
        <f t="shared" ca="1" si="57"/>
        <v>2</v>
      </c>
      <c r="C278" t="str">
        <f t="shared" ca="1" si="58"/>
        <v>S</v>
      </c>
      <c r="D278">
        <f t="shared" ca="1" si="59"/>
        <v>0</v>
      </c>
      <c r="E278">
        <f ca="1">IF($C278=1,OFFSET(E278,-1,0)+MAX(1,COUNTIF(QCI!$A$13:$A$24,OFFSET(ORÇAMENTO!E278,-1,0))),OFFSET(E278,-1,0))</f>
        <v>1</v>
      </c>
      <c r="F278">
        <f t="shared" ca="1" si="60"/>
        <v>34</v>
      </c>
      <c r="G278">
        <f t="shared" ca="1" si="61"/>
        <v>0</v>
      </c>
      <c r="H278">
        <f t="shared" ca="1" si="62"/>
        <v>0</v>
      </c>
      <c r="I278">
        <f t="shared" ca="1" si="63"/>
        <v>0</v>
      </c>
      <c r="J278">
        <f t="shared" ca="1" si="75"/>
        <v>0</v>
      </c>
      <c r="K278">
        <f ca="1">IF(OR($C278="S",$C278=0),0,MATCH(OFFSET($D278,0,$C278)+IF($C278&lt;&gt;1,1,COUNTIF(QCI!$A$13:$A$24,ORÇAMENTO!E278)),OFFSET($D278,1,$C278,ROW($C$727)-ROW($C278)),0))</f>
        <v>0</v>
      </c>
      <c r="L278" s="116" t="str">
        <f t="shared" ca="1" si="64"/>
        <v/>
      </c>
      <c r="M278" s="117" t="s">
        <v>199</v>
      </c>
      <c r="N278" s="118" t="str">
        <f t="shared" ca="1" si="65"/>
        <v>Serviço</v>
      </c>
      <c r="O278" s="119" t="str">
        <f t="shared" ca="1" si="66"/>
        <v>-</v>
      </c>
      <c r="P278" s="120" t="s">
        <v>247</v>
      </c>
      <c r="Q278" s="121" t="s">
        <v>665</v>
      </c>
      <c r="R278" s="122" t="str">
        <f ca="1">IF($C278="S",REFERENCIA.Descricao,"(digite a descrição aqui)")</f>
        <v>(abra o arquivo 'Referência 06-2024.xlsm)</v>
      </c>
      <c r="S278" s="123" t="str">
        <f ca="1">REFERENCIA.Unidade</f>
        <v>-</v>
      </c>
      <c r="T278" s="124">
        <f ca="1">OFFSET(CÁLCULO!H$15,ROW($T278)-ROW(T$15),0)</f>
        <v>4</v>
      </c>
      <c r="U278" s="125">
        <f t="shared" ca="1" si="74"/>
        <v>0</v>
      </c>
      <c r="V278" s="126" t="s">
        <v>156</v>
      </c>
      <c r="W278" s="124">
        <f ca="1">IF($C278="S",ROUND(IF(TIPOORCAMENTO="Proposto",ORÇAMENTO.CustoUnitario*(1+$AH278),ORÇAMENTO.PrecoUnitarioLicitado),15-13*$AF$10),0)</f>
        <v>0</v>
      </c>
      <c r="X278" s="127">
        <f ca="1">IF($C278="S",IF(Import.TipoArredondamento&lt;&gt;"TransfereGOV",VTOTAL1,SUM(OFFSET(CÁLCULO!$AI$15,ROW($X278)-ROW($X$15),1):OFFSET(CÁLCULO!$BB$15,ROW($X278)-ROW($X$15),-1))),IF($C278=0,0,ROUND(SomaAgrup,15-13*$AF$11)))</f>
        <v>0</v>
      </c>
      <c r="Y278" s="128" t="s">
        <v>245</v>
      </c>
      <c r="Z278" t="str">
        <f t="shared" ca="1" si="67"/>
        <v/>
      </c>
      <c r="AA278" s="129">
        <f ca="1">IF($C278="S",IF($Z278="CP",$X278,IF($Z278="RA",(($X278)*QCI!$AA$3),0)),SomaAgrup)</f>
        <v>0</v>
      </c>
      <c r="AB278" s="130">
        <f t="shared" ca="1" si="68"/>
        <v>0</v>
      </c>
      <c r="AC278" s="131" t="str">
        <f ca="1">IF($N278="","",IF(ORÇAMENTO.Descricao="","DESCRIÇÃO",IF(AND($C278="S",ORÇAMENTO.Unidade=""),"UNIDADE",IF($X278&lt;0,"VALOR NEGATIVO",IF(OR(AND(TIPOORCAMENTO="Proposto",$AG278&lt;&gt;"",$AG278&gt;0,ORÇAMENTO.CustoUnitario&gt;$AG278),AND(TIPOORCAMENTO="LICITADO",ORÇAMENTO.PrecoUnitarioLicitado&gt;$AN278)),"ACIMA REF.","")))))</f>
        <v/>
      </c>
      <c r="AD278" t="str">
        <f ca="1">IF(C278&lt;=CRONO.NivelExibicao,MAX($AD$15:OFFSET(AD278,-1,0))+IF($C278&lt;&gt;1,1,MAX(1,COUNTIF(QCI!$A$13:$A$24,OFFSET($E278,-1,0)))),"")</f>
        <v/>
      </c>
      <c r="AE278" s="7" t="str">
        <f ca="1">IF(AND($C278="S",ORÇAMENTO.CodBarra&lt;&gt;""),IF(ORÇAMENTO.Fonte="",ORÇAMENTO.CodBarra,CONCATENATE(ORÇAMENTO.Fonte," ",ORÇAMENTO.CodBarra)))</f>
        <v>SINAPI 89396</v>
      </c>
      <c r="AF278" s="13" t="str">
        <f ca="1">IF(ISERROR(INDIRECT(ORÇAMENTO.BancoRef)),"(abra o arquivo 'Referência "&amp;Excel_BuiltIn_Database&amp;".xlsm)",IF(OR($C278&lt;&gt;"S",ORÇAMENTO.CodBarra=""),"(Sem Código)",IF(ISERROR(MATCH($AE278,INDIRECT(ORÇAMENTO.BancoRef),0)),"(Código não identificado nas referências)",MATCH($AE278,INDIRECT(ORÇAMENTO.BancoRef),0))))</f>
        <v>(abra o arquivo 'Referência 06-2024.xlsm)</v>
      </c>
      <c r="AG278" s="498">
        <f ca="1">ROUND(IF(DESONERACAO="sim",REFERENCIA.Desonerado,REFERENCIA.NaoDesonerado),2)</f>
        <v>0</v>
      </c>
      <c r="AH278" s="499">
        <f t="shared" ca="1" si="69"/>
        <v>0.2432</v>
      </c>
      <c r="AJ278" s="501"/>
      <c r="AL278" s="527"/>
      <c r="AM278" s="381">
        <f t="shared" ca="1" si="70"/>
        <v>0</v>
      </c>
      <c r="AN278" s="566">
        <f t="shared" ca="1" si="71"/>
        <v>0</v>
      </c>
    </row>
    <row r="279" spans="1:40" ht="38.25" x14ac:dyDescent="0.2">
      <c r="A279" t="str">
        <f t="shared" si="56"/>
        <v>S</v>
      </c>
      <c r="B279">
        <f t="shared" ca="1" si="57"/>
        <v>2</v>
      </c>
      <c r="C279" t="str">
        <f t="shared" ca="1" si="58"/>
        <v>S</v>
      </c>
      <c r="D279">
        <f t="shared" ca="1" si="59"/>
        <v>0</v>
      </c>
      <c r="E279">
        <f ca="1">IF($C279=1,OFFSET(E279,-1,0)+MAX(1,COUNTIF(QCI!$A$13:$A$24,OFFSET(ORÇAMENTO!E279,-1,0))),OFFSET(E279,-1,0))</f>
        <v>1</v>
      </c>
      <c r="F279">
        <f t="shared" ca="1" si="60"/>
        <v>34</v>
      </c>
      <c r="G279">
        <f t="shared" ca="1" si="61"/>
        <v>0</v>
      </c>
      <c r="H279">
        <f t="shared" ca="1" si="62"/>
        <v>0</v>
      </c>
      <c r="I279">
        <f t="shared" ca="1" si="63"/>
        <v>0</v>
      </c>
      <c r="J279">
        <f t="shared" ca="1" si="75"/>
        <v>0</v>
      </c>
      <c r="K279">
        <f ca="1">IF(OR($C279="S",$C279=0),0,MATCH(OFFSET($D279,0,$C279)+IF($C279&lt;&gt;1,1,COUNTIF(QCI!$A$13:$A$24,ORÇAMENTO!E279)),OFFSET($D279,1,$C279,ROW($C$727)-ROW($C279)),0))</f>
        <v>0</v>
      </c>
      <c r="L279" s="116" t="str">
        <f t="shared" ca="1" si="64"/>
        <v/>
      </c>
      <c r="M279" s="117" t="s">
        <v>199</v>
      </c>
      <c r="N279" s="118" t="str">
        <f t="shared" ca="1" si="65"/>
        <v>Serviço</v>
      </c>
      <c r="O279" s="119" t="str">
        <f t="shared" ca="1" si="66"/>
        <v>-</v>
      </c>
      <c r="P279" s="120" t="s">
        <v>247</v>
      </c>
      <c r="Q279" s="121" t="s">
        <v>666</v>
      </c>
      <c r="R279" s="122" t="str">
        <f ca="1">IF($C279="S",REFERENCIA.Descricao,"(digite a descrição aqui)")</f>
        <v>(abra o arquivo 'Referência 06-2024.xlsm)</v>
      </c>
      <c r="S279" s="123" t="str">
        <f ca="1">REFERENCIA.Unidade</f>
        <v>-</v>
      </c>
      <c r="T279" s="124">
        <f ca="1">OFFSET(CÁLCULO!H$15,ROW($T279)-ROW(T$15),0)</f>
        <v>38</v>
      </c>
      <c r="U279" s="125">
        <f t="shared" ca="1" si="74"/>
        <v>0</v>
      </c>
      <c r="V279" s="126" t="s">
        <v>156</v>
      </c>
      <c r="W279" s="124">
        <f ca="1">IF($C279="S",ROUND(IF(TIPOORCAMENTO="Proposto",ORÇAMENTO.CustoUnitario*(1+$AH279),ORÇAMENTO.PrecoUnitarioLicitado),15-13*$AF$10),0)</f>
        <v>0</v>
      </c>
      <c r="X279" s="127">
        <f ca="1">IF($C279="S",IF(Import.TipoArredondamento&lt;&gt;"TransfereGOV",VTOTAL1,SUM(OFFSET(CÁLCULO!$AI$15,ROW($X279)-ROW($X$15),1):OFFSET(CÁLCULO!$BB$15,ROW($X279)-ROW($X$15),-1))),IF($C279=0,0,ROUND(SomaAgrup,15-13*$AF$11)))</f>
        <v>0</v>
      </c>
      <c r="Y279" s="128" t="s">
        <v>245</v>
      </c>
      <c r="Z279" t="str">
        <f t="shared" ca="1" si="67"/>
        <v/>
      </c>
      <c r="AA279" s="129">
        <f ca="1">IF($C279="S",IF($Z279="CP",$X279,IF($Z279="RA",(($X279)*QCI!$AA$3),0)),SomaAgrup)</f>
        <v>0</v>
      </c>
      <c r="AB279" s="130">
        <f t="shared" ca="1" si="68"/>
        <v>0</v>
      </c>
      <c r="AC279" s="131" t="str">
        <f ca="1">IF($N279="","",IF(ORÇAMENTO.Descricao="","DESCRIÇÃO",IF(AND($C279="S",ORÇAMENTO.Unidade=""),"UNIDADE",IF($X279&lt;0,"VALOR NEGATIVO",IF(OR(AND(TIPOORCAMENTO="Proposto",$AG279&lt;&gt;"",$AG279&gt;0,ORÇAMENTO.CustoUnitario&gt;$AG279),AND(TIPOORCAMENTO="LICITADO",ORÇAMENTO.PrecoUnitarioLicitado&gt;$AN279)),"ACIMA REF.","")))))</f>
        <v/>
      </c>
      <c r="AD279" t="str">
        <f ca="1">IF(C279&lt;=CRONO.NivelExibicao,MAX($AD$15:OFFSET(AD279,-1,0))+IF($C279&lt;&gt;1,1,MAX(1,COUNTIF(QCI!$A$13:$A$24,OFFSET($E279,-1,0)))),"")</f>
        <v/>
      </c>
      <c r="AE279" s="7" t="str">
        <f ca="1">IF(AND($C279="S",ORÇAMENTO.CodBarra&lt;&gt;""),IF(ORÇAMENTO.Fonte="",ORÇAMENTO.CodBarra,CONCATENATE(ORÇAMENTO.Fonte," ",ORÇAMENTO.CodBarra)))</f>
        <v>SINAPI 89366</v>
      </c>
      <c r="AF279" s="13" t="str">
        <f ca="1">IF(ISERROR(INDIRECT(ORÇAMENTO.BancoRef)),"(abra o arquivo 'Referência "&amp;Excel_BuiltIn_Database&amp;".xlsm)",IF(OR($C279&lt;&gt;"S",ORÇAMENTO.CodBarra=""),"(Sem Código)",IF(ISERROR(MATCH($AE279,INDIRECT(ORÇAMENTO.BancoRef),0)),"(Código não identificado nas referências)",MATCH($AE279,INDIRECT(ORÇAMENTO.BancoRef),0))))</f>
        <v>(abra o arquivo 'Referência 06-2024.xlsm)</v>
      </c>
      <c r="AG279" s="498">
        <f ca="1">ROUND(IF(DESONERACAO="sim",REFERENCIA.Desonerado,REFERENCIA.NaoDesonerado),2)</f>
        <v>0</v>
      </c>
      <c r="AH279" s="499">
        <f t="shared" ca="1" si="69"/>
        <v>0.2432</v>
      </c>
      <c r="AJ279" s="501"/>
      <c r="AL279" s="527"/>
      <c r="AM279" s="381">
        <f t="shared" ca="1" si="70"/>
        <v>0</v>
      </c>
      <c r="AN279" s="566">
        <f t="shared" ca="1" si="71"/>
        <v>0</v>
      </c>
    </row>
    <row r="280" spans="1:40" ht="38.25" x14ac:dyDescent="0.2">
      <c r="A280" t="str">
        <f t="shared" si="56"/>
        <v>S</v>
      </c>
      <c r="B280">
        <f t="shared" ca="1" si="57"/>
        <v>2</v>
      </c>
      <c r="C280" t="str">
        <f t="shared" ca="1" si="58"/>
        <v>S</v>
      </c>
      <c r="D280">
        <f t="shared" ca="1" si="59"/>
        <v>0</v>
      </c>
      <c r="E280">
        <f ca="1">IF($C280=1,OFFSET(E280,-1,0)+MAX(1,COUNTIF(QCI!$A$13:$A$24,OFFSET(ORÇAMENTO!E280,-1,0))),OFFSET(E280,-1,0))</f>
        <v>1</v>
      </c>
      <c r="F280">
        <f t="shared" ca="1" si="60"/>
        <v>34</v>
      </c>
      <c r="G280">
        <f t="shared" ca="1" si="61"/>
        <v>0</v>
      </c>
      <c r="H280">
        <f t="shared" ca="1" si="62"/>
        <v>0</v>
      </c>
      <c r="I280">
        <f t="shared" ca="1" si="63"/>
        <v>0</v>
      </c>
      <c r="J280">
        <f t="shared" ca="1" si="75"/>
        <v>0</v>
      </c>
      <c r="K280">
        <f ca="1">IF(OR($C280="S",$C280=0),0,MATCH(OFFSET($D280,0,$C280)+IF($C280&lt;&gt;1,1,COUNTIF(QCI!$A$13:$A$24,ORÇAMENTO!E280)),OFFSET($D280,1,$C280,ROW($C$727)-ROW($C280)),0))</f>
        <v>0</v>
      </c>
      <c r="L280" s="116" t="str">
        <f t="shared" ca="1" si="64"/>
        <v/>
      </c>
      <c r="M280" s="117" t="s">
        <v>199</v>
      </c>
      <c r="N280" s="118" t="str">
        <f t="shared" ca="1" si="65"/>
        <v>Serviço</v>
      </c>
      <c r="O280" s="119" t="str">
        <f t="shared" ca="1" si="66"/>
        <v>-</v>
      </c>
      <c r="P280" s="120" t="s">
        <v>247</v>
      </c>
      <c r="Q280" s="121" t="s">
        <v>667</v>
      </c>
      <c r="R280" s="122" t="str">
        <f ca="1">IF($C280="S",REFERENCIA.Descricao,"(digite a descrição aqui)")</f>
        <v>(abra o arquivo 'Referência 06-2024.xlsm)</v>
      </c>
      <c r="S280" s="123" t="str">
        <f ca="1">REFERENCIA.Unidade</f>
        <v>-</v>
      </c>
      <c r="T280" s="124">
        <f ca="1">OFFSET(CÁLCULO!H$15,ROW($T280)-ROW(T$15),0)</f>
        <v>82</v>
      </c>
      <c r="U280" s="125">
        <f t="shared" ca="1" si="74"/>
        <v>0</v>
      </c>
      <c r="V280" s="126" t="s">
        <v>156</v>
      </c>
      <c r="W280" s="124">
        <f ca="1">IF($C280="S",ROUND(IF(TIPOORCAMENTO="Proposto",ORÇAMENTO.CustoUnitario*(1+$AH280),ORÇAMENTO.PrecoUnitarioLicitado),15-13*$AF$10),0)</f>
        <v>0</v>
      </c>
      <c r="X280" s="127">
        <f ca="1">IF($C280="S",IF(Import.TipoArredondamento&lt;&gt;"TransfereGOV",VTOTAL1,SUM(OFFSET(CÁLCULO!$AI$15,ROW($X280)-ROW($X$15),1):OFFSET(CÁLCULO!$BB$15,ROW($X280)-ROW($X$15),-1))),IF($C280=0,0,ROUND(SomaAgrup,15-13*$AF$11)))</f>
        <v>0</v>
      </c>
      <c r="Y280" s="128" t="s">
        <v>245</v>
      </c>
      <c r="Z280" t="str">
        <f t="shared" ca="1" si="67"/>
        <v/>
      </c>
      <c r="AA280" s="129">
        <f ca="1">IF($C280="S",IF($Z280="CP",$X280,IF($Z280="RA",(($X280)*QCI!$AA$3),0)),SomaAgrup)</f>
        <v>0</v>
      </c>
      <c r="AB280" s="130">
        <f t="shared" ca="1" si="68"/>
        <v>0</v>
      </c>
      <c r="AC280" s="131" t="str">
        <f ca="1">IF($N280="","",IF(ORÇAMENTO.Descricao="","DESCRIÇÃO",IF(AND($C280="S",ORÇAMENTO.Unidade=""),"UNIDADE",IF($X280&lt;0,"VALOR NEGATIVO",IF(OR(AND(TIPOORCAMENTO="Proposto",$AG280&lt;&gt;"",$AG280&gt;0,ORÇAMENTO.CustoUnitario&gt;$AG280),AND(TIPOORCAMENTO="LICITADO",ORÇAMENTO.PrecoUnitarioLicitado&gt;$AN280)),"ACIMA REF.","")))))</f>
        <v/>
      </c>
      <c r="AD280" t="str">
        <f ca="1">IF(C280&lt;=CRONO.NivelExibicao,MAX($AD$15:OFFSET(AD280,-1,0))+IF($C280&lt;&gt;1,1,MAX(1,COUNTIF(QCI!$A$13:$A$24,OFFSET($E280,-1,0)))),"")</f>
        <v/>
      </c>
      <c r="AE280" s="7" t="str">
        <f ca="1">IF(AND($C280="S",ORÇAMENTO.CodBarra&lt;&gt;""),IF(ORÇAMENTO.Fonte="",ORÇAMENTO.CodBarra,CONCATENATE(ORÇAMENTO.Fonte," ",ORÇAMENTO.CodBarra)))</f>
        <v>SINAPI 90373</v>
      </c>
      <c r="AF280" s="13" t="str">
        <f ca="1">IF(ISERROR(INDIRECT(ORÇAMENTO.BancoRef)),"(abra o arquivo 'Referência "&amp;Excel_BuiltIn_Database&amp;".xlsm)",IF(OR($C280&lt;&gt;"S",ORÇAMENTO.CodBarra=""),"(Sem Código)",IF(ISERROR(MATCH($AE280,INDIRECT(ORÇAMENTO.BancoRef),0)),"(Código não identificado nas referências)",MATCH($AE280,INDIRECT(ORÇAMENTO.BancoRef),0))))</f>
        <v>(abra o arquivo 'Referência 06-2024.xlsm)</v>
      </c>
      <c r="AG280" s="498">
        <f ca="1">ROUND(IF(DESONERACAO="sim",REFERENCIA.Desonerado,REFERENCIA.NaoDesonerado),2)</f>
        <v>0</v>
      </c>
      <c r="AH280" s="499">
        <f t="shared" ca="1" si="69"/>
        <v>0.2432</v>
      </c>
      <c r="AJ280" s="501"/>
      <c r="AL280" s="527"/>
      <c r="AM280" s="381">
        <f t="shared" ca="1" si="70"/>
        <v>0</v>
      </c>
      <c r="AN280" s="566">
        <f t="shared" ca="1" si="71"/>
        <v>0</v>
      </c>
    </row>
    <row r="281" spans="1:40" ht="25.5" x14ac:dyDescent="0.2">
      <c r="A281" t="str">
        <f t="shared" si="56"/>
        <v>S</v>
      </c>
      <c r="B281">
        <f t="shared" ca="1" si="57"/>
        <v>2</v>
      </c>
      <c r="C281" t="str">
        <f t="shared" ca="1" si="58"/>
        <v>S</v>
      </c>
      <c r="D281">
        <f t="shared" ca="1" si="59"/>
        <v>0</v>
      </c>
      <c r="E281">
        <f ca="1">IF($C281=1,OFFSET(E281,-1,0)+MAX(1,COUNTIF(QCI!$A$13:$A$24,OFFSET(ORÇAMENTO!E281,-1,0))),OFFSET(E281,-1,0))</f>
        <v>1</v>
      </c>
      <c r="F281">
        <f t="shared" ca="1" si="60"/>
        <v>34</v>
      </c>
      <c r="G281">
        <f t="shared" ca="1" si="61"/>
        <v>0</v>
      </c>
      <c r="H281">
        <f t="shared" ca="1" si="62"/>
        <v>0</v>
      </c>
      <c r="I281">
        <f t="shared" ca="1" si="63"/>
        <v>0</v>
      </c>
      <c r="J281">
        <f t="shared" ca="1" si="75"/>
        <v>0</v>
      </c>
      <c r="K281">
        <f ca="1">IF(OR($C281="S",$C281=0),0,MATCH(OFFSET($D281,0,$C281)+IF($C281&lt;&gt;1,1,COUNTIF(QCI!$A$13:$A$24,ORÇAMENTO!E281)),OFFSET($D281,1,$C281,ROW($C$727)-ROW($C281)),0))</f>
        <v>0</v>
      </c>
      <c r="L281" s="116" t="str">
        <f t="shared" ca="1" si="64"/>
        <v/>
      </c>
      <c r="M281" s="117" t="s">
        <v>199</v>
      </c>
      <c r="N281" s="118" t="str">
        <f t="shared" ca="1" si="65"/>
        <v>Serviço</v>
      </c>
      <c r="O281" s="119" t="str">
        <f t="shared" ca="1" si="66"/>
        <v>-</v>
      </c>
      <c r="P281" s="120" t="s">
        <v>458</v>
      </c>
      <c r="Q281" s="121" t="s">
        <v>668</v>
      </c>
      <c r="R281" s="122" t="str">
        <f ca="1">IF($C281="S",REFERENCIA.Descricao,"(digite a descrição aqui)")</f>
        <v>(abra o arquivo 'Referência 06-2024.xlsm)</v>
      </c>
      <c r="S281" s="123" t="str">
        <f ca="1">REFERENCIA.Unidade</f>
        <v>-</v>
      </c>
      <c r="T281" s="124">
        <f ca="1">OFFSET(CÁLCULO!H$15,ROW($T281)-ROW(T$15),0)</f>
        <v>3</v>
      </c>
      <c r="U281" s="125">
        <f t="shared" ca="1" si="74"/>
        <v>0</v>
      </c>
      <c r="V281" s="126" t="s">
        <v>156</v>
      </c>
      <c r="W281" s="124">
        <f ca="1">IF($C281="S",ROUND(IF(TIPOORCAMENTO="Proposto",ORÇAMENTO.CustoUnitario*(1+$AH281),ORÇAMENTO.PrecoUnitarioLicitado),15-13*$AF$10),0)</f>
        <v>0</v>
      </c>
      <c r="X281" s="127">
        <f ca="1">IF($C281="S",IF(Import.TipoArredondamento&lt;&gt;"TransfereGOV",VTOTAL1,SUM(OFFSET(CÁLCULO!$AI$15,ROW($X281)-ROW($X$15),1):OFFSET(CÁLCULO!$BB$15,ROW($X281)-ROW($X$15),-1))),IF($C281=0,0,ROUND(SomaAgrup,15-13*$AF$11)))</f>
        <v>0</v>
      </c>
      <c r="Y281" s="128" t="s">
        <v>245</v>
      </c>
      <c r="Z281" t="str">
        <f t="shared" ca="1" si="67"/>
        <v/>
      </c>
      <c r="AA281" s="129">
        <f ca="1">IF($C281="S",IF($Z281="CP",$X281,IF($Z281="RA",(($X281)*QCI!$AA$3),0)),SomaAgrup)</f>
        <v>0</v>
      </c>
      <c r="AB281" s="130">
        <f t="shared" ca="1" si="68"/>
        <v>0</v>
      </c>
      <c r="AC281" s="131" t="str">
        <f ca="1">IF($N281="","",IF(ORÇAMENTO.Descricao="","DESCRIÇÃO",IF(AND($C281="S",ORÇAMENTO.Unidade=""),"UNIDADE",IF($X281&lt;0,"VALOR NEGATIVO",IF(OR(AND(TIPOORCAMENTO="Proposto",$AG281&lt;&gt;"",$AG281&gt;0,ORÇAMENTO.CustoUnitario&gt;$AG281),AND(TIPOORCAMENTO="LICITADO",ORÇAMENTO.PrecoUnitarioLicitado&gt;$AN281)),"ACIMA REF.","")))))</f>
        <v/>
      </c>
      <c r="AD281" t="str">
        <f ca="1">IF(C281&lt;=CRONO.NivelExibicao,MAX($AD$15:OFFSET(AD281,-1,0))+IF($C281&lt;&gt;1,1,MAX(1,COUNTIF(QCI!$A$13:$A$24,OFFSET($E281,-1,0)))),"")</f>
        <v/>
      </c>
      <c r="AE281" s="7" t="str">
        <f ca="1">IF(AND($C281="S",ORÇAMENTO.CodBarra&lt;&gt;""),IF(ORÇAMENTO.Fonte="",ORÇAMENTO.CodBarra,CONCATENATE(ORÇAMENTO.Fonte," ",ORÇAMENTO.CodBarra)))</f>
        <v>COMPOSIÇÃO FNDE 414</v>
      </c>
      <c r="AF281" s="13" t="str">
        <f ca="1">IF(ISERROR(INDIRECT(ORÇAMENTO.BancoRef)),"(abra o arquivo 'Referência "&amp;Excel_BuiltIn_Database&amp;".xlsm)",IF(OR($C281&lt;&gt;"S",ORÇAMENTO.CodBarra=""),"(Sem Código)",IF(ISERROR(MATCH($AE281,INDIRECT(ORÇAMENTO.BancoRef),0)),"(Código não identificado nas referências)",MATCH($AE281,INDIRECT(ORÇAMENTO.BancoRef),0))))</f>
        <v>(abra o arquivo 'Referência 06-2024.xlsm)</v>
      </c>
      <c r="AG281" s="498">
        <f ca="1">ROUND(IF(DESONERACAO="sim",REFERENCIA.Desonerado,REFERENCIA.NaoDesonerado),2)</f>
        <v>0</v>
      </c>
      <c r="AH281" s="499">
        <f t="shared" ca="1" si="69"/>
        <v>0.2432</v>
      </c>
      <c r="AJ281" s="501"/>
      <c r="AL281" s="527"/>
      <c r="AM281" s="381">
        <f t="shared" ca="1" si="70"/>
        <v>0</v>
      </c>
      <c r="AN281" s="566">
        <f t="shared" ca="1" si="71"/>
        <v>0</v>
      </c>
    </row>
    <row r="282" spans="1:40" ht="25.5" x14ac:dyDescent="0.2">
      <c r="A282" t="str">
        <f t="shared" si="56"/>
        <v>S</v>
      </c>
      <c r="B282">
        <f t="shared" ca="1" si="57"/>
        <v>2</v>
      </c>
      <c r="C282" t="str">
        <f t="shared" ca="1" si="58"/>
        <v>S</v>
      </c>
      <c r="D282">
        <f t="shared" ca="1" si="59"/>
        <v>0</v>
      </c>
      <c r="E282">
        <f ca="1">IF($C282=1,OFFSET(E282,-1,0)+MAX(1,COUNTIF(QCI!$A$13:$A$24,OFFSET(ORÇAMENTO!E282,-1,0))),OFFSET(E282,-1,0))</f>
        <v>1</v>
      </c>
      <c r="F282">
        <f t="shared" ca="1" si="60"/>
        <v>34</v>
      </c>
      <c r="G282">
        <f t="shared" ca="1" si="61"/>
        <v>0</v>
      </c>
      <c r="H282">
        <f t="shared" ca="1" si="62"/>
        <v>0</v>
      </c>
      <c r="I282">
        <f t="shared" ca="1" si="63"/>
        <v>0</v>
      </c>
      <c r="J282">
        <f t="shared" ca="1" si="75"/>
        <v>0</v>
      </c>
      <c r="K282">
        <f ca="1">IF(OR($C282="S",$C282=0),0,MATCH(OFFSET($D282,0,$C282)+IF($C282&lt;&gt;1,1,COUNTIF(QCI!$A$13:$A$24,ORÇAMENTO!E282)),OFFSET($D282,1,$C282,ROW($C$727)-ROW($C282)),0))</f>
        <v>0</v>
      </c>
      <c r="L282" s="116" t="str">
        <f t="shared" ca="1" si="64"/>
        <v/>
      </c>
      <c r="M282" s="117" t="s">
        <v>199</v>
      </c>
      <c r="N282" s="118" t="str">
        <f t="shared" ca="1" si="65"/>
        <v>Serviço</v>
      </c>
      <c r="O282" s="119" t="str">
        <f t="shared" ca="1" si="66"/>
        <v>-</v>
      </c>
      <c r="P282" s="120" t="s">
        <v>247</v>
      </c>
      <c r="Q282" s="121" t="s">
        <v>669</v>
      </c>
      <c r="R282" s="122" t="str">
        <f ca="1">IF($C282="S",REFERENCIA.Descricao,"(digite a descrição aqui)")</f>
        <v>(abra o arquivo 'Referência 06-2024.xlsm)</v>
      </c>
      <c r="S282" s="123" t="str">
        <f ca="1">REFERENCIA.Unidade</f>
        <v>-</v>
      </c>
      <c r="T282" s="124">
        <f ca="1">OFFSET(CÁLCULO!H$15,ROW($T282)-ROW(T$15),0)</f>
        <v>1</v>
      </c>
      <c r="U282" s="125">
        <f t="shared" ca="1" si="74"/>
        <v>0</v>
      </c>
      <c r="V282" s="126" t="s">
        <v>156</v>
      </c>
      <c r="W282" s="124">
        <f ca="1">IF($C282="S",ROUND(IF(TIPOORCAMENTO="Proposto",ORÇAMENTO.CustoUnitario*(1+$AH282),ORÇAMENTO.PrecoUnitarioLicitado),15-13*$AF$10),0)</f>
        <v>0</v>
      </c>
      <c r="X282" s="127">
        <f ca="1">IF($C282="S",IF(Import.TipoArredondamento&lt;&gt;"TransfereGOV",VTOTAL1,SUM(OFFSET(CÁLCULO!$AI$15,ROW($X282)-ROW($X$15),1):OFFSET(CÁLCULO!$BB$15,ROW($X282)-ROW($X$15),-1))),IF($C282=0,0,ROUND(SomaAgrup,15-13*$AF$11)))</f>
        <v>0</v>
      </c>
      <c r="Y282" s="128" t="s">
        <v>245</v>
      </c>
      <c r="Z282" t="str">
        <f t="shared" ca="1" si="67"/>
        <v/>
      </c>
      <c r="AA282" s="129">
        <f ca="1">IF($C282="S",IF($Z282="CP",$X282,IF($Z282="RA",(($X282)*QCI!$AA$3),0)),SomaAgrup)</f>
        <v>0</v>
      </c>
      <c r="AB282" s="130">
        <f t="shared" ca="1" si="68"/>
        <v>0</v>
      </c>
      <c r="AC282" s="131" t="str">
        <f ca="1">IF($N282="","",IF(ORÇAMENTO.Descricao="","DESCRIÇÃO",IF(AND($C282="S",ORÇAMENTO.Unidade=""),"UNIDADE",IF($X282&lt;0,"VALOR NEGATIVO",IF(OR(AND(TIPOORCAMENTO="Proposto",$AG282&lt;&gt;"",$AG282&gt;0,ORÇAMENTO.CustoUnitario&gt;$AG282),AND(TIPOORCAMENTO="LICITADO",ORÇAMENTO.PrecoUnitarioLicitado&gt;$AN282)),"ACIMA REF.","")))))</f>
        <v/>
      </c>
      <c r="AD282" t="str">
        <f ca="1">IF(C282&lt;=CRONO.NivelExibicao,MAX($AD$15:OFFSET(AD282,-1,0))+IF($C282&lt;&gt;1,1,MAX(1,COUNTIF(QCI!$A$13:$A$24,OFFSET($E282,-1,0)))),"")</f>
        <v/>
      </c>
      <c r="AE282" s="7" t="str">
        <f ca="1">IF(AND($C282="S",ORÇAMENTO.CodBarra&lt;&gt;""),IF(ORÇAMENTO.Fonte="",ORÇAMENTO.CodBarra,CONCATENATE(ORÇAMENTO.Fonte," ",ORÇAMENTO.CodBarra)))</f>
        <v>SINAPI 104034</v>
      </c>
      <c r="AF282" s="13" t="str">
        <f ca="1">IF(ISERROR(INDIRECT(ORÇAMENTO.BancoRef)),"(abra o arquivo 'Referência "&amp;Excel_BuiltIn_Database&amp;".xlsm)",IF(OR($C282&lt;&gt;"S",ORÇAMENTO.CodBarra=""),"(Sem Código)",IF(ISERROR(MATCH($AE282,INDIRECT(ORÇAMENTO.BancoRef),0)),"(Código não identificado nas referências)",MATCH($AE282,INDIRECT(ORÇAMENTO.BancoRef),0))))</f>
        <v>(abra o arquivo 'Referência 06-2024.xlsm)</v>
      </c>
      <c r="AG282" s="498">
        <f ca="1">ROUND(IF(DESONERACAO="sim",REFERENCIA.Desonerado,REFERENCIA.NaoDesonerado),2)</f>
        <v>0</v>
      </c>
      <c r="AH282" s="499">
        <f t="shared" ca="1" si="69"/>
        <v>0.2432</v>
      </c>
      <c r="AJ282" s="501"/>
      <c r="AL282" s="527"/>
      <c r="AM282" s="381">
        <f t="shared" ca="1" si="70"/>
        <v>0</v>
      </c>
      <c r="AN282" s="566">
        <f t="shared" ca="1" si="71"/>
        <v>0</v>
      </c>
    </row>
    <row r="283" spans="1:40" ht="25.5" x14ac:dyDescent="0.2">
      <c r="A283" t="str">
        <f t="shared" si="56"/>
        <v>S</v>
      </c>
      <c r="B283">
        <f t="shared" ca="1" si="57"/>
        <v>2</v>
      </c>
      <c r="C283" t="str">
        <f t="shared" ca="1" si="58"/>
        <v>S</v>
      </c>
      <c r="D283">
        <f t="shared" ca="1" si="59"/>
        <v>0</v>
      </c>
      <c r="E283">
        <f ca="1">IF($C283=1,OFFSET(E283,-1,0)+MAX(1,COUNTIF(QCI!$A$13:$A$24,OFFSET(ORÇAMENTO!E283,-1,0))),OFFSET(E283,-1,0))</f>
        <v>1</v>
      </c>
      <c r="F283">
        <f t="shared" ca="1" si="60"/>
        <v>34</v>
      </c>
      <c r="G283">
        <f t="shared" ca="1" si="61"/>
        <v>0</v>
      </c>
      <c r="H283">
        <f t="shared" ca="1" si="62"/>
        <v>0</v>
      </c>
      <c r="I283">
        <f t="shared" ca="1" si="63"/>
        <v>0</v>
      </c>
      <c r="J283">
        <f t="shared" ca="1" si="75"/>
        <v>0</v>
      </c>
      <c r="K283">
        <f ca="1">IF(OR($C283="S",$C283=0),0,MATCH(OFFSET($D283,0,$C283)+IF($C283&lt;&gt;1,1,COUNTIF(QCI!$A$13:$A$24,ORÇAMENTO!E283)),OFFSET($D283,1,$C283,ROW($C$727)-ROW($C283)),0))</f>
        <v>0</v>
      </c>
      <c r="L283" s="116" t="str">
        <f t="shared" ca="1" si="64"/>
        <v/>
      </c>
      <c r="M283" s="117" t="s">
        <v>199</v>
      </c>
      <c r="N283" s="118" t="str">
        <f t="shared" ca="1" si="65"/>
        <v>Serviço</v>
      </c>
      <c r="O283" s="119" t="str">
        <f t="shared" ca="1" si="66"/>
        <v>-</v>
      </c>
      <c r="P283" s="120" t="s">
        <v>458</v>
      </c>
      <c r="Q283" s="121" t="s">
        <v>670</v>
      </c>
      <c r="R283" s="122" t="str">
        <f ca="1">IF($C283="S",REFERENCIA.Descricao,"(digite a descrição aqui)")</f>
        <v>(abra o arquivo 'Referência 06-2024.xlsm)</v>
      </c>
      <c r="S283" s="123" t="str">
        <f ca="1">REFERENCIA.Unidade</f>
        <v>-</v>
      </c>
      <c r="T283" s="124">
        <f ca="1">OFFSET(CÁLCULO!H$15,ROW($T283)-ROW(T$15),0)</f>
        <v>24</v>
      </c>
      <c r="U283" s="125">
        <f t="shared" ca="1" si="74"/>
        <v>0</v>
      </c>
      <c r="V283" s="126" t="s">
        <v>156</v>
      </c>
      <c r="W283" s="124">
        <f ca="1">IF($C283="S",ROUND(IF(TIPOORCAMENTO="Proposto",ORÇAMENTO.CustoUnitario*(1+$AH283),ORÇAMENTO.PrecoUnitarioLicitado),15-13*$AF$10),0)</f>
        <v>0</v>
      </c>
      <c r="X283" s="127">
        <f ca="1">IF($C283="S",IF(Import.TipoArredondamento&lt;&gt;"TransfereGOV",VTOTAL1,SUM(OFFSET(CÁLCULO!$AI$15,ROW($X283)-ROW($X$15),1):OFFSET(CÁLCULO!$BB$15,ROW($X283)-ROW($X$15),-1))),IF($C283=0,0,ROUND(SomaAgrup,15-13*$AF$11)))</f>
        <v>0</v>
      </c>
      <c r="Y283" s="128" t="s">
        <v>245</v>
      </c>
      <c r="Z283" t="str">
        <f t="shared" ca="1" si="67"/>
        <v/>
      </c>
      <c r="AA283" s="129">
        <f ca="1">IF($C283="S",IF($Z283="CP",$X283,IF($Z283="RA",(($X283)*QCI!$AA$3),0)),SomaAgrup)</f>
        <v>0</v>
      </c>
      <c r="AB283" s="130">
        <f t="shared" ca="1" si="68"/>
        <v>0</v>
      </c>
      <c r="AC283" s="131" t="str">
        <f ca="1">IF($N283="","",IF(ORÇAMENTO.Descricao="","DESCRIÇÃO",IF(AND($C283="S",ORÇAMENTO.Unidade=""),"UNIDADE",IF($X283&lt;0,"VALOR NEGATIVO",IF(OR(AND(TIPOORCAMENTO="Proposto",$AG283&lt;&gt;"",$AG283&gt;0,ORÇAMENTO.CustoUnitario&gt;$AG283),AND(TIPOORCAMENTO="LICITADO",ORÇAMENTO.PrecoUnitarioLicitado&gt;$AN283)),"ACIMA REF.","")))))</f>
        <v/>
      </c>
      <c r="AD283" t="str">
        <f ca="1">IF(C283&lt;=CRONO.NivelExibicao,MAX($AD$15:OFFSET(AD283,-1,0))+IF($C283&lt;&gt;1,1,MAX(1,COUNTIF(QCI!$A$13:$A$24,OFFSET($E283,-1,0)))),"")</f>
        <v/>
      </c>
      <c r="AE283" s="7" t="str">
        <f ca="1">IF(AND($C283="S",ORÇAMENTO.CodBarra&lt;&gt;""),IF(ORÇAMENTO.Fonte="",ORÇAMENTO.CodBarra,CONCATENATE(ORÇAMENTO.Fonte," ",ORÇAMENTO.CodBarra)))</f>
        <v>COMPOSIÇÃO FNDE 119</v>
      </c>
      <c r="AF283" s="13" t="str">
        <f ca="1">IF(ISERROR(INDIRECT(ORÇAMENTO.BancoRef)),"(abra o arquivo 'Referência "&amp;Excel_BuiltIn_Database&amp;".xlsm)",IF(OR($C283&lt;&gt;"S",ORÇAMENTO.CodBarra=""),"(Sem Código)",IF(ISERROR(MATCH($AE283,INDIRECT(ORÇAMENTO.BancoRef),0)),"(Código não identificado nas referências)",MATCH($AE283,INDIRECT(ORÇAMENTO.BancoRef),0))))</f>
        <v>(abra o arquivo 'Referência 06-2024.xlsm)</v>
      </c>
      <c r="AG283" s="498">
        <f ca="1">ROUND(IF(DESONERACAO="sim",REFERENCIA.Desonerado,REFERENCIA.NaoDesonerado),2)</f>
        <v>0</v>
      </c>
      <c r="AH283" s="499">
        <f t="shared" ca="1" si="69"/>
        <v>0.2432</v>
      </c>
      <c r="AJ283" s="501"/>
      <c r="AL283" s="527"/>
      <c r="AM283" s="381">
        <f t="shared" ca="1" si="70"/>
        <v>0</v>
      </c>
      <c r="AN283" s="566">
        <f t="shared" ca="1" si="71"/>
        <v>0</v>
      </c>
    </row>
    <row r="284" spans="1:40" ht="25.5" x14ac:dyDescent="0.2">
      <c r="A284" t="str">
        <f t="shared" si="56"/>
        <v>S</v>
      </c>
      <c r="B284">
        <f t="shared" ca="1" si="57"/>
        <v>2</v>
      </c>
      <c r="C284" t="str">
        <f t="shared" ca="1" si="58"/>
        <v>S</v>
      </c>
      <c r="D284">
        <f t="shared" ca="1" si="59"/>
        <v>0</v>
      </c>
      <c r="E284">
        <f ca="1">IF($C284=1,OFFSET(E284,-1,0)+MAX(1,COUNTIF(QCI!$A$13:$A$24,OFFSET(ORÇAMENTO!E284,-1,0))),OFFSET(E284,-1,0))</f>
        <v>1</v>
      </c>
      <c r="F284">
        <f t="shared" ca="1" si="60"/>
        <v>34</v>
      </c>
      <c r="G284">
        <f t="shared" ca="1" si="61"/>
        <v>0</v>
      </c>
      <c r="H284">
        <f t="shared" ca="1" si="62"/>
        <v>0</v>
      </c>
      <c r="I284">
        <f t="shared" ca="1" si="63"/>
        <v>0</v>
      </c>
      <c r="J284">
        <f t="shared" ca="1" si="75"/>
        <v>0</v>
      </c>
      <c r="K284">
        <f ca="1">IF(OR($C284="S",$C284=0),0,MATCH(OFFSET($D284,0,$C284)+IF($C284&lt;&gt;1,1,COUNTIF(QCI!$A$13:$A$24,ORÇAMENTO!E284)),OFFSET($D284,1,$C284,ROW($C$727)-ROW($C284)),0))</f>
        <v>0</v>
      </c>
      <c r="L284" s="116" t="str">
        <f t="shared" ca="1" si="64"/>
        <v/>
      </c>
      <c r="M284" s="117" t="s">
        <v>199</v>
      </c>
      <c r="N284" s="118" t="str">
        <f t="shared" ca="1" si="65"/>
        <v>Serviço</v>
      </c>
      <c r="O284" s="119" t="str">
        <f t="shared" ca="1" si="66"/>
        <v>-</v>
      </c>
      <c r="P284" s="120" t="s">
        <v>458</v>
      </c>
      <c r="Q284" s="121" t="s">
        <v>671</v>
      </c>
      <c r="R284" s="122" t="str">
        <f ca="1">IF($C284="S",REFERENCIA.Descricao,"(digite a descrição aqui)")</f>
        <v>(abra o arquivo 'Referência 06-2024.xlsm)</v>
      </c>
      <c r="S284" s="123" t="str">
        <f ca="1">REFERENCIA.Unidade</f>
        <v>-</v>
      </c>
      <c r="T284" s="124">
        <f ca="1">OFFSET(CÁLCULO!H$15,ROW($T284)-ROW(T$15),0)</f>
        <v>4</v>
      </c>
      <c r="U284" s="125">
        <f t="shared" ca="1" si="74"/>
        <v>0</v>
      </c>
      <c r="V284" s="126" t="s">
        <v>156</v>
      </c>
      <c r="W284" s="124">
        <f ca="1">IF($C284="S",ROUND(IF(TIPOORCAMENTO="Proposto",ORÇAMENTO.CustoUnitario*(1+$AH284),ORÇAMENTO.PrecoUnitarioLicitado),15-13*$AF$10),0)</f>
        <v>0</v>
      </c>
      <c r="X284" s="127">
        <f ca="1">IF($C284="S",IF(Import.TipoArredondamento&lt;&gt;"TransfereGOV",VTOTAL1,SUM(OFFSET(CÁLCULO!$AI$15,ROW($X284)-ROW($X$15),1):OFFSET(CÁLCULO!$BB$15,ROW($X284)-ROW($X$15),-1))),IF($C284=0,0,ROUND(SomaAgrup,15-13*$AF$11)))</f>
        <v>0</v>
      </c>
      <c r="Y284" s="128" t="s">
        <v>245</v>
      </c>
      <c r="Z284" t="str">
        <f t="shared" ca="1" si="67"/>
        <v/>
      </c>
      <c r="AA284" s="129">
        <f ca="1">IF($C284="S",IF($Z284="CP",$X284,IF($Z284="RA",(($X284)*QCI!$AA$3),0)),SomaAgrup)</f>
        <v>0</v>
      </c>
      <c r="AB284" s="130">
        <f t="shared" ca="1" si="68"/>
        <v>0</v>
      </c>
      <c r="AC284" s="131" t="str">
        <f ca="1">IF($N284="","",IF(ORÇAMENTO.Descricao="","DESCRIÇÃO",IF(AND($C284="S",ORÇAMENTO.Unidade=""),"UNIDADE",IF($X284&lt;0,"VALOR NEGATIVO",IF(OR(AND(TIPOORCAMENTO="Proposto",$AG284&lt;&gt;"",$AG284&gt;0,ORÇAMENTO.CustoUnitario&gt;$AG284),AND(TIPOORCAMENTO="LICITADO",ORÇAMENTO.PrecoUnitarioLicitado&gt;$AN284)),"ACIMA REF.","")))))</f>
        <v/>
      </c>
      <c r="AD284" t="str">
        <f ca="1">IF(C284&lt;=CRONO.NivelExibicao,MAX($AD$15:OFFSET(AD284,-1,0))+IF($C284&lt;&gt;1,1,MAX(1,COUNTIF(QCI!$A$13:$A$24,OFFSET($E284,-1,0)))),"")</f>
        <v/>
      </c>
      <c r="AE284" s="7" t="str">
        <f ca="1">IF(AND($C284="S",ORÇAMENTO.CodBarra&lt;&gt;""),IF(ORÇAMENTO.Fonte="",ORÇAMENTO.CodBarra,CONCATENATE(ORÇAMENTO.Fonte," ",ORÇAMENTO.CodBarra)))</f>
        <v>COMPOSIÇÃO FNDE 415</v>
      </c>
      <c r="AF284" s="13" t="str">
        <f ca="1">IF(ISERROR(INDIRECT(ORÇAMENTO.BancoRef)),"(abra o arquivo 'Referência "&amp;Excel_BuiltIn_Database&amp;".xlsm)",IF(OR($C284&lt;&gt;"S",ORÇAMENTO.CodBarra=""),"(Sem Código)",IF(ISERROR(MATCH($AE284,INDIRECT(ORÇAMENTO.BancoRef),0)),"(Código não identificado nas referências)",MATCH($AE284,INDIRECT(ORÇAMENTO.BancoRef),0))))</f>
        <v>(abra o arquivo 'Referência 06-2024.xlsm)</v>
      </c>
      <c r="AG284" s="498">
        <f ca="1">ROUND(IF(DESONERACAO="sim",REFERENCIA.Desonerado,REFERENCIA.NaoDesonerado),2)</f>
        <v>0</v>
      </c>
      <c r="AH284" s="499">
        <f t="shared" ca="1" si="69"/>
        <v>0.2432</v>
      </c>
      <c r="AJ284" s="501"/>
      <c r="AL284" s="527"/>
      <c r="AM284" s="381">
        <f t="shared" ca="1" si="70"/>
        <v>0</v>
      </c>
      <c r="AN284" s="566">
        <f t="shared" ca="1" si="71"/>
        <v>0</v>
      </c>
    </row>
    <row r="285" spans="1:40" x14ac:dyDescent="0.2">
      <c r="A285">
        <f t="shared" si="56"/>
        <v>2</v>
      </c>
      <c r="B285">
        <f t="shared" ca="1" si="57"/>
        <v>2</v>
      </c>
      <c r="C285">
        <f t="shared" ca="1" si="58"/>
        <v>2</v>
      </c>
      <c r="D285">
        <f t="shared" ca="1" si="59"/>
        <v>8</v>
      </c>
      <c r="E285">
        <f ca="1">IF($C285=1,OFFSET(E285,-1,0)+MAX(1,COUNTIF(QCI!$A$13:$A$24,OFFSET(ORÇAMENTO!E285,-1,0))),OFFSET(E285,-1,0))</f>
        <v>1</v>
      </c>
      <c r="F285">
        <f t="shared" ca="1" si="60"/>
        <v>35</v>
      </c>
      <c r="G285">
        <f t="shared" ca="1" si="61"/>
        <v>0</v>
      </c>
      <c r="H285">
        <f t="shared" ca="1" si="62"/>
        <v>0</v>
      </c>
      <c r="I285">
        <f t="shared" ca="1" si="63"/>
        <v>0</v>
      </c>
      <c r="J285">
        <f t="shared" ca="1" si="75"/>
        <v>442</v>
      </c>
      <c r="K285">
        <f ca="1">IF(OR($C285="S",$C285=0),0,MATCH(OFFSET($D285,0,$C285)+IF($C285&lt;&gt;1,1,COUNTIF(QCI!$A$13:$A$24,ORÇAMENTO!E285)),OFFSET($D285,1,$C285,ROW($C$727)-ROW($C285)),0))</f>
        <v>8</v>
      </c>
      <c r="L285" s="116" t="str">
        <f t="shared" ca="1" si="64"/>
        <v>F</v>
      </c>
      <c r="M285" s="117" t="s">
        <v>196</v>
      </c>
      <c r="N285" s="118" t="str">
        <f t="shared" ca="1" si="65"/>
        <v>Nível 2</v>
      </c>
      <c r="O285" s="119" t="str">
        <f t="shared" ca="1" si="66"/>
        <v>1.35.</v>
      </c>
      <c r="P285" s="120" t="s">
        <v>247</v>
      </c>
      <c r="Q285" s="121"/>
      <c r="R285" s="122" t="s">
        <v>1060</v>
      </c>
      <c r="S285" s="123" t="str">
        <f ca="1">REFERENCIA.Unidade</f>
        <v>-</v>
      </c>
      <c r="T285" s="124">
        <f ca="1">OFFSET(CÁLCULO!H$15,ROW($T285)-ROW(T$15),0)</f>
        <v>0</v>
      </c>
      <c r="U285" s="125">
        <f t="shared" ca="1" si="74"/>
        <v>0</v>
      </c>
      <c r="V285" s="126" t="s">
        <v>156</v>
      </c>
      <c r="W285" s="124">
        <f ca="1">IF($C285="S",ROUND(IF(TIPOORCAMENTO="Proposto",ORÇAMENTO.CustoUnitario*(1+$AH285),ORÇAMENTO.PrecoUnitarioLicitado),15-13*$AF$10),0)</f>
        <v>0</v>
      </c>
      <c r="X285" s="127">
        <f ca="1">IF($C285="S",IF(Import.TipoArredondamento&lt;&gt;"TransfereGOV",VTOTAL1,SUM(OFFSET(CÁLCULO!$AI$15,ROW($X285)-ROW($X$15),1):OFFSET(CÁLCULO!$BB$15,ROW($X285)-ROW($X$15),-1))),IF($C285=0,0,ROUND(SomaAgrup,15-13*$AF$11)))</f>
        <v>0</v>
      </c>
      <c r="Y285" s="128" t="s">
        <v>245</v>
      </c>
      <c r="Z285" t="str">
        <f t="shared" ca="1" si="67"/>
        <v/>
      </c>
      <c r="AA285" s="129">
        <f ca="1">IF($C285="S",IF($Z285="CP",$X285,IF($Z285="RA",(($X285)*QCI!$AA$3),0)),SomaAgrup)</f>
        <v>0</v>
      </c>
      <c r="AB285" s="130">
        <f t="shared" ca="1" si="68"/>
        <v>0</v>
      </c>
      <c r="AC285" s="131" t="str">
        <f ca="1">IF($N285="","",IF(ORÇAMENTO.Descricao="","DESCRIÇÃO",IF(AND($C285="S",ORÇAMENTO.Unidade=""),"UNIDADE",IF($X285&lt;0,"VALOR NEGATIVO",IF(OR(AND(TIPOORCAMENTO="Proposto",$AG285&lt;&gt;"",$AG285&gt;0,ORÇAMENTO.CustoUnitario&gt;$AG285),AND(TIPOORCAMENTO="LICITADO",ORÇAMENTO.PrecoUnitarioLicitado&gt;$AN285)),"ACIMA REF.","")))))</f>
        <v/>
      </c>
      <c r="AD285">
        <f ca="1">IF(C285&lt;=CRONO.NivelExibicao,MAX($AD$15:OFFSET(AD285,-1,0))+IF($C285&lt;&gt;1,1,MAX(1,COUNTIF(QCI!$A$13:$A$24,OFFSET($E285,-1,0)))),"")</f>
        <v>36</v>
      </c>
      <c r="AE285" s="7" t="b">
        <f ca="1">IF(AND($C285="S",ORÇAMENTO.CodBarra&lt;&gt;""),IF(ORÇAMENTO.Fonte="",ORÇAMENTO.CodBarra,CONCATENATE(ORÇAMENTO.Fonte," ",ORÇAMENTO.CodBarra)))</f>
        <v>0</v>
      </c>
      <c r="AF285" s="13" t="str">
        <f ca="1">IF(ISERROR(INDIRECT(ORÇAMENTO.BancoRef)),"(abra o arquivo 'Referência "&amp;Excel_BuiltIn_Database&amp;".xlsm)",IF(OR($C285&lt;&gt;"S",ORÇAMENTO.CodBarra=""),"(Sem Código)",IF(ISERROR(MATCH($AE285,INDIRECT(ORÇAMENTO.BancoRef),0)),"(Código não identificado nas referências)",MATCH($AE285,INDIRECT(ORÇAMENTO.BancoRef),0))))</f>
        <v>(abra o arquivo 'Referência 06-2024.xlsm)</v>
      </c>
      <c r="AG285" s="498">
        <f ca="1">ROUND(IF(DESONERACAO="sim",REFERENCIA.Desonerado,REFERENCIA.NaoDesonerado),2)</f>
        <v>0</v>
      </c>
      <c r="AH285" s="499">
        <f t="shared" ca="1" si="69"/>
        <v>0.2432</v>
      </c>
      <c r="AJ285" s="501"/>
      <c r="AL285" s="527"/>
      <c r="AM285" s="381">
        <f t="shared" ca="1" si="70"/>
        <v>0</v>
      </c>
      <c r="AN285" s="566">
        <f t="shared" ca="1" si="71"/>
        <v>0</v>
      </c>
    </row>
    <row r="286" spans="1:40" ht="25.5" x14ac:dyDescent="0.2">
      <c r="A286" t="str">
        <f t="shared" si="56"/>
        <v>S</v>
      </c>
      <c r="B286">
        <f t="shared" ca="1" si="57"/>
        <v>2</v>
      </c>
      <c r="C286" t="str">
        <f t="shared" ca="1" si="58"/>
        <v>S</v>
      </c>
      <c r="D286">
        <f t="shared" ca="1" si="59"/>
        <v>0</v>
      </c>
      <c r="E286">
        <f ca="1">IF($C286=1,OFFSET(E286,-1,0)+MAX(1,COUNTIF(QCI!$A$13:$A$24,OFFSET(ORÇAMENTO!E286,-1,0))),OFFSET(E286,-1,0))</f>
        <v>1</v>
      </c>
      <c r="F286">
        <f t="shared" ca="1" si="60"/>
        <v>35</v>
      </c>
      <c r="G286">
        <f t="shared" ca="1" si="61"/>
        <v>0</v>
      </c>
      <c r="H286">
        <f t="shared" ca="1" si="62"/>
        <v>0</v>
      </c>
      <c r="I286">
        <f t="shared" ca="1" si="63"/>
        <v>0</v>
      </c>
      <c r="J286">
        <f t="shared" ca="1" si="75"/>
        <v>0</v>
      </c>
      <c r="K286">
        <f ca="1">IF(OR($C286="S",$C286=0),0,MATCH(OFFSET($D286,0,$C286)+IF($C286&lt;&gt;1,1,COUNTIF(QCI!$A$13:$A$24,ORÇAMENTO!E286)),OFFSET($D286,1,$C286,ROW($C$727)-ROW($C286)),0))</f>
        <v>0</v>
      </c>
      <c r="L286" s="116" t="str">
        <f t="shared" ca="1" si="64"/>
        <v/>
      </c>
      <c r="M286" s="117" t="s">
        <v>199</v>
      </c>
      <c r="N286" s="118" t="str">
        <f t="shared" ca="1" si="65"/>
        <v>Serviço</v>
      </c>
      <c r="O286" s="119" t="str">
        <f t="shared" ca="1" si="66"/>
        <v>-</v>
      </c>
      <c r="P286" s="120" t="s">
        <v>247</v>
      </c>
      <c r="Q286" s="121" t="s">
        <v>672</v>
      </c>
      <c r="R286" s="122" t="str">
        <f ca="1">IF($C286="S",REFERENCIA.Descricao,"(digite a descrição aqui)")</f>
        <v>(abra o arquivo 'Referência 06-2024.xlsm)</v>
      </c>
      <c r="S286" s="123" t="str">
        <f ca="1">REFERENCIA.Unidade</f>
        <v>-</v>
      </c>
      <c r="T286" s="124">
        <f ca="1">OFFSET(CÁLCULO!H$15,ROW($T286)-ROW(T$15),0)</f>
        <v>8</v>
      </c>
      <c r="U286" s="125">
        <f t="shared" ca="1" si="74"/>
        <v>0</v>
      </c>
      <c r="V286" s="126" t="s">
        <v>156</v>
      </c>
      <c r="W286" s="124">
        <f ca="1">IF($C286="S",ROUND(IF(TIPOORCAMENTO="Proposto",ORÇAMENTO.CustoUnitario*(1+$AH286),ORÇAMENTO.PrecoUnitarioLicitado),15-13*$AF$10),0)</f>
        <v>0</v>
      </c>
      <c r="X286" s="127">
        <f ca="1">IF($C286="S",IF(Import.TipoArredondamento&lt;&gt;"TransfereGOV",VTOTAL1,SUM(OFFSET(CÁLCULO!$AI$15,ROW($X286)-ROW($X$15),1):OFFSET(CÁLCULO!$BB$15,ROW($X286)-ROW($X$15),-1))),IF($C286=0,0,ROUND(SomaAgrup,15-13*$AF$11)))</f>
        <v>0</v>
      </c>
      <c r="Y286" s="128" t="s">
        <v>245</v>
      </c>
      <c r="Z286" t="str">
        <f t="shared" ca="1" si="67"/>
        <v/>
      </c>
      <c r="AA286" s="129">
        <f ca="1">IF($C286="S",IF($Z286="CP",$X286,IF($Z286="RA",(($X286)*QCI!$AA$3),0)),SomaAgrup)</f>
        <v>0</v>
      </c>
      <c r="AB286" s="130">
        <f t="shared" ca="1" si="68"/>
        <v>0</v>
      </c>
      <c r="AC286" s="131" t="str">
        <f ca="1">IF($N286="","",IF(ORÇAMENTO.Descricao="","DESCRIÇÃO",IF(AND($C286="S",ORÇAMENTO.Unidade=""),"UNIDADE",IF($X286&lt;0,"VALOR NEGATIVO",IF(OR(AND(TIPOORCAMENTO="Proposto",$AG286&lt;&gt;"",$AG286&gt;0,ORÇAMENTO.CustoUnitario&gt;$AG286),AND(TIPOORCAMENTO="LICITADO",ORÇAMENTO.PrecoUnitarioLicitado&gt;$AN286)),"ACIMA REF.","")))))</f>
        <v/>
      </c>
      <c r="AD286" t="str">
        <f ca="1">IF(C286&lt;=CRONO.NivelExibicao,MAX($AD$15:OFFSET(AD286,-1,0))+IF($C286&lt;&gt;1,1,MAX(1,COUNTIF(QCI!$A$13:$A$24,OFFSET($E286,-1,0)))),"")</f>
        <v/>
      </c>
      <c r="AE286" s="7" t="str">
        <f ca="1">IF(AND($C286="S",ORÇAMENTO.CodBarra&lt;&gt;""),IF(ORÇAMENTO.Fonte="",ORÇAMENTO.CodBarra,CONCATENATE(ORÇAMENTO.Fonte," ",ORÇAMENTO.CodBarra)))</f>
        <v>SINAPI 94500</v>
      </c>
      <c r="AF286" s="13" t="str">
        <f ca="1">IF(ISERROR(INDIRECT(ORÇAMENTO.BancoRef)),"(abra o arquivo 'Referência "&amp;Excel_BuiltIn_Database&amp;".xlsm)",IF(OR($C286&lt;&gt;"S",ORÇAMENTO.CodBarra=""),"(Sem Código)",IF(ISERROR(MATCH($AE286,INDIRECT(ORÇAMENTO.BancoRef),0)),"(Código não identificado nas referências)",MATCH($AE286,INDIRECT(ORÇAMENTO.BancoRef),0))))</f>
        <v>(abra o arquivo 'Referência 06-2024.xlsm)</v>
      </c>
      <c r="AG286" s="498">
        <f ca="1">ROUND(IF(DESONERACAO="sim",REFERENCIA.Desonerado,REFERENCIA.NaoDesonerado),2)</f>
        <v>0</v>
      </c>
      <c r="AH286" s="499">
        <f t="shared" ca="1" si="69"/>
        <v>0.2432</v>
      </c>
      <c r="AJ286" s="501"/>
      <c r="AL286" s="527"/>
      <c r="AM286" s="381">
        <f t="shared" ca="1" si="70"/>
        <v>0</v>
      </c>
      <c r="AN286" s="566">
        <f t="shared" ca="1" si="71"/>
        <v>0</v>
      </c>
    </row>
    <row r="287" spans="1:40" ht="38.25" x14ac:dyDescent="0.2">
      <c r="A287" t="str">
        <f t="shared" si="56"/>
        <v>S</v>
      </c>
      <c r="B287">
        <f t="shared" ca="1" si="57"/>
        <v>2</v>
      </c>
      <c r="C287" t="str">
        <f t="shared" ca="1" si="58"/>
        <v>S</v>
      </c>
      <c r="D287">
        <f t="shared" ca="1" si="59"/>
        <v>0</v>
      </c>
      <c r="E287">
        <f ca="1">IF($C287=1,OFFSET(E287,-1,0)+MAX(1,COUNTIF(QCI!$A$13:$A$24,OFFSET(ORÇAMENTO!E287,-1,0))),OFFSET(E287,-1,0))</f>
        <v>1</v>
      </c>
      <c r="F287">
        <f t="shared" ca="1" si="60"/>
        <v>35</v>
      </c>
      <c r="G287">
        <f t="shared" ca="1" si="61"/>
        <v>0</v>
      </c>
      <c r="H287">
        <f t="shared" ca="1" si="62"/>
        <v>0</v>
      </c>
      <c r="I287">
        <f t="shared" ca="1" si="63"/>
        <v>0</v>
      </c>
      <c r="J287">
        <f t="shared" ca="1" si="75"/>
        <v>0</v>
      </c>
      <c r="K287">
        <f ca="1">IF(OR($C287="S",$C287=0),0,MATCH(OFFSET($D287,0,$C287)+IF($C287&lt;&gt;1,1,COUNTIF(QCI!$A$13:$A$24,ORÇAMENTO!E287)),OFFSET($D287,1,$C287,ROW($C$727)-ROW($C287)),0))</f>
        <v>0</v>
      </c>
      <c r="L287" s="116" t="str">
        <f t="shared" ca="1" si="64"/>
        <v/>
      </c>
      <c r="M287" s="117" t="s">
        <v>199</v>
      </c>
      <c r="N287" s="118" t="str">
        <f t="shared" ca="1" si="65"/>
        <v>Serviço</v>
      </c>
      <c r="O287" s="119" t="str">
        <f t="shared" ca="1" si="66"/>
        <v>-</v>
      </c>
      <c r="P287" s="120" t="s">
        <v>247</v>
      </c>
      <c r="Q287" s="121" t="s">
        <v>673</v>
      </c>
      <c r="R287" s="122" t="str">
        <f ca="1">IF($C287="S",REFERENCIA.Descricao,"(digite a descrição aqui)")</f>
        <v>(abra o arquivo 'Referência 06-2024.xlsm)</v>
      </c>
      <c r="S287" s="123" t="str">
        <f ca="1">REFERENCIA.Unidade</f>
        <v>-</v>
      </c>
      <c r="T287" s="124">
        <f ca="1">OFFSET(CÁLCULO!H$15,ROW($T287)-ROW(T$15),0)</f>
        <v>16</v>
      </c>
      <c r="U287" s="125">
        <f t="shared" ref="U287:U342" ca="1" si="76">AG287</f>
        <v>0</v>
      </c>
      <c r="V287" s="126" t="s">
        <v>156</v>
      </c>
      <c r="W287" s="124">
        <f ca="1">IF($C287="S",ROUND(IF(TIPOORCAMENTO="Proposto",ORÇAMENTO.CustoUnitario*(1+$AH287),ORÇAMENTO.PrecoUnitarioLicitado),15-13*$AF$10),0)</f>
        <v>0</v>
      </c>
      <c r="X287" s="127">
        <f ca="1">IF($C287="S",IF(Import.TipoArredondamento&lt;&gt;"TransfereGOV",VTOTAL1,SUM(OFFSET(CÁLCULO!$AI$15,ROW($X287)-ROW($X$15),1):OFFSET(CÁLCULO!$BB$15,ROW($X287)-ROW($X$15),-1))),IF($C287=0,0,ROUND(SomaAgrup,15-13*$AF$11)))</f>
        <v>0</v>
      </c>
      <c r="Y287" s="128" t="s">
        <v>245</v>
      </c>
      <c r="Z287" t="str">
        <f t="shared" ca="1" si="67"/>
        <v/>
      </c>
      <c r="AA287" s="129">
        <f ca="1">IF($C287="S",IF($Z287="CP",$X287,IF($Z287="RA",(($X287)*QCI!$AA$3),0)),SomaAgrup)</f>
        <v>0</v>
      </c>
      <c r="AB287" s="130">
        <f t="shared" ca="1" si="68"/>
        <v>0</v>
      </c>
      <c r="AC287" s="131" t="str">
        <f ca="1">IF($N287="","",IF(ORÇAMENTO.Descricao="","DESCRIÇÃO",IF(AND($C287="S",ORÇAMENTO.Unidade=""),"UNIDADE",IF($X287&lt;0,"VALOR NEGATIVO",IF(OR(AND(TIPOORCAMENTO="Proposto",$AG287&lt;&gt;"",$AG287&gt;0,ORÇAMENTO.CustoUnitario&gt;$AG287),AND(TIPOORCAMENTO="LICITADO",ORÇAMENTO.PrecoUnitarioLicitado&gt;$AN287)),"ACIMA REF.","")))))</f>
        <v/>
      </c>
      <c r="AD287" t="str">
        <f ca="1">IF(C287&lt;=CRONO.NivelExibicao,MAX($AD$15:OFFSET(AD287,-1,0))+IF($C287&lt;&gt;1,1,MAX(1,COUNTIF(QCI!$A$13:$A$24,OFFSET($E287,-1,0)))),"")</f>
        <v/>
      </c>
      <c r="AE287" s="7" t="str">
        <f ca="1">IF(AND($C287="S",ORÇAMENTO.CodBarra&lt;&gt;""),IF(ORÇAMENTO.Fonte="",ORÇAMENTO.CodBarra,CONCATENATE(ORÇAMENTO.Fonte," ",ORÇAMENTO.CodBarra)))</f>
        <v>SINAPI 94794</v>
      </c>
      <c r="AF287" s="13" t="str">
        <f ca="1">IF(ISERROR(INDIRECT(ORÇAMENTO.BancoRef)),"(abra o arquivo 'Referência "&amp;Excel_BuiltIn_Database&amp;".xlsm)",IF(OR($C287&lt;&gt;"S",ORÇAMENTO.CodBarra=""),"(Sem Código)",IF(ISERROR(MATCH($AE287,INDIRECT(ORÇAMENTO.BancoRef),0)),"(Código não identificado nas referências)",MATCH($AE287,INDIRECT(ORÇAMENTO.BancoRef),0))))</f>
        <v>(abra o arquivo 'Referência 06-2024.xlsm)</v>
      </c>
      <c r="AG287" s="498">
        <f ca="1">ROUND(IF(DESONERACAO="sim",REFERENCIA.Desonerado,REFERENCIA.NaoDesonerado),2)</f>
        <v>0</v>
      </c>
      <c r="AH287" s="499">
        <f t="shared" ca="1" si="69"/>
        <v>0.2432</v>
      </c>
      <c r="AJ287" s="501"/>
      <c r="AL287" s="527"/>
      <c r="AM287" s="381">
        <f t="shared" ca="1" si="70"/>
        <v>0</v>
      </c>
      <c r="AN287" s="566">
        <f t="shared" ca="1" si="71"/>
        <v>0</v>
      </c>
    </row>
    <row r="288" spans="1:40" ht="38.25" x14ac:dyDescent="0.2">
      <c r="A288" t="str">
        <f t="shared" si="56"/>
        <v>S</v>
      </c>
      <c r="B288">
        <f t="shared" ca="1" si="57"/>
        <v>2</v>
      </c>
      <c r="C288" t="str">
        <f t="shared" ca="1" si="58"/>
        <v>S</v>
      </c>
      <c r="D288">
        <f t="shared" ca="1" si="59"/>
        <v>0</v>
      </c>
      <c r="E288">
        <f ca="1">IF($C288=1,OFFSET(E288,-1,0)+MAX(1,COUNTIF(QCI!$A$13:$A$24,OFFSET(ORÇAMENTO!E288,-1,0))),OFFSET(E288,-1,0))</f>
        <v>1</v>
      </c>
      <c r="F288">
        <f t="shared" ca="1" si="60"/>
        <v>35</v>
      </c>
      <c r="G288">
        <f t="shared" ca="1" si="61"/>
        <v>0</v>
      </c>
      <c r="H288">
        <f t="shared" ca="1" si="62"/>
        <v>0</v>
      </c>
      <c r="I288">
        <f t="shared" ca="1" si="63"/>
        <v>0</v>
      </c>
      <c r="J288">
        <f t="shared" ca="1" si="75"/>
        <v>0</v>
      </c>
      <c r="K288">
        <f ca="1">IF(OR($C288="S",$C288=0),0,MATCH(OFFSET($D288,0,$C288)+IF($C288&lt;&gt;1,1,COUNTIF(QCI!$A$13:$A$24,ORÇAMENTO!E288)),OFFSET($D288,1,$C288,ROW($C$727)-ROW($C288)),0))</f>
        <v>0</v>
      </c>
      <c r="L288" s="116" t="str">
        <f t="shared" ca="1" si="64"/>
        <v/>
      </c>
      <c r="M288" s="117" t="s">
        <v>199</v>
      </c>
      <c r="N288" s="118" t="str">
        <f t="shared" ca="1" si="65"/>
        <v>Serviço</v>
      </c>
      <c r="O288" s="119" t="str">
        <f t="shared" ca="1" si="66"/>
        <v>-</v>
      </c>
      <c r="P288" s="120" t="s">
        <v>247</v>
      </c>
      <c r="Q288" s="121" t="s">
        <v>674</v>
      </c>
      <c r="R288" s="122" t="str">
        <f ca="1">IF($C288="S",REFERENCIA.Descricao,"(digite a descrição aqui)")</f>
        <v>(abra o arquivo 'Referência 06-2024.xlsm)</v>
      </c>
      <c r="S288" s="123" t="str">
        <f ca="1">REFERENCIA.Unidade</f>
        <v>-</v>
      </c>
      <c r="T288" s="124">
        <f ca="1">OFFSET(CÁLCULO!H$15,ROW($T288)-ROW(T$15),0)</f>
        <v>39</v>
      </c>
      <c r="U288" s="125">
        <f t="shared" ca="1" si="76"/>
        <v>0</v>
      </c>
      <c r="V288" s="126" t="s">
        <v>156</v>
      </c>
      <c r="W288" s="124">
        <f ca="1">IF($C288="S",ROUND(IF(TIPOORCAMENTO="Proposto",ORÇAMENTO.CustoUnitario*(1+$AH288),ORÇAMENTO.PrecoUnitarioLicitado),15-13*$AF$10),0)</f>
        <v>0</v>
      </c>
      <c r="X288" s="127">
        <f ca="1">IF($C288="S",IF(Import.TipoArredondamento&lt;&gt;"TransfereGOV",VTOTAL1,SUM(OFFSET(CÁLCULO!$AI$15,ROW($X288)-ROW($X$15),1):OFFSET(CÁLCULO!$BB$15,ROW($X288)-ROW($X$15),-1))),IF($C288=0,0,ROUND(SomaAgrup,15-13*$AF$11)))</f>
        <v>0</v>
      </c>
      <c r="Y288" s="128" t="s">
        <v>245</v>
      </c>
      <c r="Z288" t="str">
        <f t="shared" ca="1" si="67"/>
        <v/>
      </c>
      <c r="AA288" s="129">
        <f ca="1">IF($C288="S",IF($Z288="CP",$X288,IF($Z288="RA",(($X288)*QCI!$AA$3),0)),SomaAgrup)</f>
        <v>0</v>
      </c>
      <c r="AB288" s="130">
        <f t="shared" ca="1" si="68"/>
        <v>0</v>
      </c>
      <c r="AC288" s="131" t="str">
        <f ca="1">IF($N288="","",IF(ORÇAMENTO.Descricao="","DESCRIÇÃO",IF(AND($C288="S",ORÇAMENTO.Unidade=""),"UNIDADE",IF($X288&lt;0,"VALOR NEGATIVO",IF(OR(AND(TIPOORCAMENTO="Proposto",$AG288&lt;&gt;"",$AG288&gt;0,ORÇAMENTO.CustoUnitario&gt;$AG288),AND(TIPOORCAMENTO="LICITADO",ORÇAMENTO.PrecoUnitarioLicitado&gt;$AN288)),"ACIMA REF.","")))))</f>
        <v/>
      </c>
      <c r="AD288" t="str">
        <f ca="1">IF(C288&lt;=CRONO.NivelExibicao,MAX($AD$15:OFFSET(AD288,-1,0))+IF($C288&lt;&gt;1,1,MAX(1,COUNTIF(QCI!$A$13:$A$24,OFFSET($E288,-1,0)))),"")</f>
        <v/>
      </c>
      <c r="AE288" s="7" t="str">
        <f ca="1">IF(AND($C288="S",ORÇAMENTO.CodBarra&lt;&gt;""),IF(ORÇAMENTO.Fonte="",ORÇAMENTO.CodBarra,CONCATENATE(ORÇAMENTO.Fonte," ",ORÇAMENTO.CodBarra)))</f>
        <v>SINAPI 89987</v>
      </c>
      <c r="AF288" s="13" t="str">
        <f ca="1">IF(ISERROR(INDIRECT(ORÇAMENTO.BancoRef)),"(abra o arquivo 'Referência "&amp;Excel_BuiltIn_Database&amp;".xlsm)",IF(OR($C288&lt;&gt;"S",ORÇAMENTO.CodBarra=""),"(Sem Código)",IF(ISERROR(MATCH($AE288,INDIRECT(ORÇAMENTO.BancoRef),0)),"(Código não identificado nas referências)",MATCH($AE288,INDIRECT(ORÇAMENTO.BancoRef),0))))</f>
        <v>(abra o arquivo 'Referência 06-2024.xlsm)</v>
      </c>
      <c r="AG288" s="498">
        <f ca="1">ROUND(IF(DESONERACAO="sim",REFERENCIA.Desonerado,REFERENCIA.NaoDesonerado),2)</f>
        <v>0</v>
      </c>
      <c r="AH288" s="499">
        <f t="shared" ca="1" si="69"/>
        <v>0.2432</v>
      </c>
      <c r="AJ288" s="501"/>
      <c r="AL288" s="527"/>
      <c r="AM288" s="381">
        <f t="shared" ca="1" si="70"/>
        <v>0</v>
      </c>
      <c r="AN288" s="566">
        <f t="shared" ca="1" si="71"/>
        <v>0</v>
      </c>
    </row>
    <row r="289" spans="1:40" ht="38.25" x14ac:dyDescent="0.2">
      <c r="A289" t="str">
        <f t="shared" si="56"/>
        <v>S</v>
      </c>
      <c r="B289">
        <f t="shared" ca="1" si="57"/>
        <v>2</v>
      </c>
      <c r="C289" t="str">
        <f t="shared" ca="1" si="58"/>
        <v>S</v>
      </c>
      <c r="D289">
        <f t="shared" ca="1" si="59"/>
        <v>0</v>
      </c>
      <c r="E289">
        <f ca="1">IF($C289=1,OFFSET(E289,-1,0)+MAX(1,COUNTIF(QCI!$A$13:$A$24,OFFSET(ORÇAMENTO!E289,-1,0))),OFFSET(E289,-1,0))</f>
        <v>1</v>
      </c>
      <c r="F289">
        <f t="shared" ca="1" si="60"/>
        <v>35</v>
      </c>
      <c r="G289">
        <f t="shared" ca="1" si="61"/>
        <v>0</v>
      </c>
      <c r="H289">
        <f t="shared" ca="1" si="62"/>
        <v>0</v>
      </c>
      <c r="I289">
        <f t="shared" ca="1" si="63"/>
        <v>0</v>
      </c>
      <c r="J289">
        <f t="shared" ca="1" si="75"/>
        <v>0</v>
      </c>
      <c r="K289">
        <f ca="1">IF(OR($C289="S",$C289=0),0,MATCH(OFFSET($D289,0,$C289)+IF($C289&lt;&gt;1,1,COUNTIF(QCI!$A$13:$A$24,ORÇAMENTO!E289)),OFFSET($D289,1,$C289,ROW($C$727)-ROW($C289)),0))</f>
        <v>0</v>
      </c>
      <c r="L289" s="116" t="str">
        <f t="shared" ca="1" si="64"/>
        <v/>
      </c>
      <c r="M289" s="117" t="s">
        <v>199</v>
      </c>
      <c r="N289" s="118" t="str">
        <f t="shared" ca="1" si="65"/>
        <v>Serviço</v>
      </c>
      <c r="O289" s="119" t="str">
        <f t="shared" ca="1" si="66"/>
        <v>-</v>
      </c>
      <c r="P289" s="120" t="s">
        <v>247</v>
      </c>
      <c r="Q289" s="121" t="s">
        <v>675</v>
      </c>
      <c r="R289" s="122" t="str">
        <f ca="1">IF($C289="S",REFERENCIA.Descricao,"(digite a descrição aqui)")</f>
        <v>(abra o arquivo 'Referência 06-2024.xlsm)</v>
      </c>
      <c r="S289" s="123" t="str">
        <f ca="1">REFERENCIA.Unidade</f>
        <v>-</v>
      </c>
      <c r="T289" s="124">
        <f ca="1">OFFSET(CÁLCULO!H$15,ROW($T289)-ROW(T$15),0)</f>
        <v>13</v>
      </c>
      <c r="U289" s="125">
        <f t="shared" ca="1" si="76"/>
        <v>0</v>
      </c>
      <c r="V289" s="126" t="s">
        <v>156</v>
      </c>
      <c r="W289" s="124">
        <f ca="1">IF($C289="S",ROUND(IF(TIPOORCAMENTO="Proposto",ORÇAMENTO.CustoUnitario*(1+$AH289),ORÇAMENTO.PrecoUnitarioLicitado),15-13*$AF$10),0)</f>
        <v>0</v>
      </c>
      <c r="X289" s="127">
        <f ca="1">IF($C289="S",IF(Import.TipoArredondamento&lt;&gt;"TransfereGOV",VTOTAL1,SUM(OFFSET(CÁLCULO!$AI$15,ROW($X289)-ROW($X$15),1):OFFSET(CÁLCULO!$BB$15,ROW($X289)-ROW($X$15),-1))),IF($C289=0,0,ROUND(SomaAgrup,15-13*$AF$11)))</f>
        <v>0</v>
      </c>
      <c r="Y289" s="128" t="s">
        <v>245</v>
      </c>
      <c r="Z289" t="str">
        <f t="shared" ca="1" si="67"/>
        <v/>
      </c>
      <c r="AA289" s="129">
        <f ca="1">IF($C289="S",IF($Z289="CP",$X289,IF($Z289="RA",(($X289)*QCI!$AA$3),0)),SomaAgrup)</f>
        <v>0</v>
      </c>
      <c r="AB289" s="130">
        <f t="shared" ca="1" si="68"/>
        <v>0</v>
      </c>
      <c r="AC289" s="131" t="str">
        <f ca="1">IF($N289="","",IF(ORÇAMENTO.Descricao="","DESCRIÇÃO",IF(AND($C289="S",ORÇAMENTO.Unidade=""),"UNIDADE",IF($X289&lt;0,"VALOR NEGATIVO",IF(OR(AND(TIPOORCAMENTO="Proposto",$AG289&lt;&gt;"",$AG289&gt;0,ORÇAMENTO.CustoUnitario&gt;$AG289),AND(TIPOORCAMENTO="LICITADO",ORÇAMENTO.PrecoUnitarioLicitado&gt;$AN289)),"ACIMA REF.","")))))</f>
        <v/>
      </c>
      <c r="AD289" t="str">
        <f ca="1">IF(C289&lt;=CRONO.NivelExibicao,MAX($AD$15:OFFSET(AD289,-1,0))+IF($C289&lt;&gt;1,1,MAX(1,COUNTIF(QCI!$A$13:$A$24,OFFSET($E289,-1,0)))),"")</f>
        <v/>
      </c>
      <c r="AE289" s="7" t="str">
        <f ca="1">IF(AND($C289="S",ORÇAMENTO.CodBarra&lt;&gt;""),IF(ORÇAMENTO.Fonte="",ORÇAMENTO.CodBarra,CONCATENATE(ORÇAMENTO.Fonte," ",ORÇAMENTO.CodBarra)))</f>
        <v>SINAPI 89985</v>
      </c>
      <c r="AF289" s="13" t="str">
        <f ca="1">IF(ISERROR(INDIRECT(ORÇAMENTO.BancoRef)),"(abra o arquivo 'Referência "&amp;Excel_BuiltIn_Database&amp;".xlsm)",IF(OR($C289&lt;&gt;"S",ORÇAMENTO.CodBarra=""),"(Sem Código)",IF(ISERROR(MATCH($AE289,INDIRECT(ORÇAMENTO.BancoRef),0)),"(Código não identificado nas referências)",MATCH($AE289,INDIRECT(ORÇAMENTO.BancoRef),0))))</f>
        <v>(abra o arquivo 'Referência 06-2024.xlsm)</v>
      </c>
      <c r="AG289" s="498">
        <f ca="1">ROUND(IF(DESONERACAO="sim",REFERENCIA.Desonerado,REFERENCIA.NaoDesonerado),2)</f>
        <v>0</v>
      </c>
      <c r="AH289" s="499">
        <f t="shared" ca="1" si="69"/>
        <v>0.2432</v>
      </c>
      <c r="AJ289" s="501"/>
      <c r="AL289" s="527"/>
      <c r="AM289" s="381">
        <f t="shared" ca="1" si="70"/>
        <v>0</v>
      </c>
      <c r="AN289" s="566">
        <f t="shared" ca="1" si="71"/>
        <v>0</v>
      </c>
    </row>
    <row r="290" spans="1:40" ht="25.5" x14ac:dyDescent="0.2">
      <c r="A290" t="str">
        <f t="shared" si="56"/>
        <v>S</v>
      </c>
      <c r="B290">
        <f t="shared" ca="1" si="57"/>
        <v>2</v>
      </c>
      <c r="C290" t="str">
        <f t="shared" ca="1" si="58"/>
        <v>S</v>
      </c>
      <c r="D290">
        <f t="shared" ca="1" si="59"/>
        <v>0</v>
      </c>
      <c r="E290">
        <f ca="1">IF($C290=1,OFFSET(E290,-1,0)+MAX(1,COUNTIF(QCI!$A$13:$A$24,OFFSET(ORÇAMENTO!E290,-1,0))),OFFSET(E290,-1,0))</f>
        <v>1</v>
      </c>
      <c r="F290">
        <f t="shared" ca="1" si="60"/>
        <v>35</v>
      </c>
      <c r="G290">
        <f t="shared" ca="1" si="61"/>
        <v>0</v>
      </c>
      <c r="H290">
        <f t="shared" ca="1" si="62"/>
        <v>0</v>
      </c>
      <c r="I290">
        <f t="shared" ca="1" si="63"/>
        <v>0</v>
      </c>
      <c r="J290">
        <f t="shared" ca="1" si="75"/>
        <v>0</v>
      </c>
      <c r="K290">
        <f ca="1">IF(OR($C290="S",$C290=0),0,MATCH(OFFSET($D290,0,$C290)+IF($C290&lt;&gt;1,1,COUNTIF(QCI!$A$13:$A$24,ORÇAMENTO!E290)),OFFSET($D290,1,$C290,ROW($C$727)-ROW($C290)),0))</f>
        <v>0</v>
      </c>
      <c r="L290" s="116" t="str">
        <f t="shared" ca="1" si="64"/>
        <v/>
      </c>
      <c r="M290" s="117" t="s">
        <v>199</v>
      </c>
      <c r="N290" s="118" t="str">
        <f t="shared" ca="1" si="65"/>
        <v>Serviço</v>
      </c>
      <c r="O290" s="119" t="str">
        <f t="shared" ca="1" si="66"/>
        <v>-</v>
      </c>
      <c r="P290" s="120" t="s">
        <v>247</v>
      </c>
      <c r="Q290" s="121" t="s">
        <v>676</v>
      </c>
      <c r="R290" s="122" t="str">
        <f ca="1">IF($C290="S",REFERENCIA.Descricao,"(digite a descrição aqui)")</f>
        <v>(abra o arquivo 'Referência 06-2024.xlsm)</v>
      </c>
      <c r="S290" s="123" t="str">
        <f ca="1">REFERENCIA.Unidade</f>
        <v>-</v>
      </c>
      <c r="T290" s="124">
        <f ca="1">OFFSET(CÁLCULO!H$15,ROW($T290)-ROW(T$15),0)</f>
        <v>1</v>
      </c>
      <c r="U290" s="125">
        <f t="shared" ca="1" si="76"/>
        <v>0</v>
      </c>
      <c r="V290" s="126" t="s">
        <v>156</v>
      </c>
      <c r="W290" s="124">
        <f ca="1">IF($C290="S",ROUND(IF(TIPOORCAMENTO="Proposto",ORÇAMENTO.CustoUnitario*(1+$AH290),ORÇAMENTO.PrecoUnitarioLicitado),15-13*$AF$10),0)</f>
        <v>0</v>
      </c>
      <c r="X290" s="127">
        <f ca="1">IF($C290="S",IF(Import.TipoArredondamento&lt;&gt;"TransfereGOV",VTOTAL1,SUM(OFFSET(CÁLCULO!$AI$15,ROW($X290)-ROW($X$15),1):OFFSET(CÁLCULO!$BB$15,ROW($X290)-ROW($X$15),-1))),IF($C290=0,0,ROUND(SomaAgrup,15-13*$AF$11)))</f>
        <v>0</v>
      </c>
      <c r="Y290" s="128" t="s">
        <v>245</v>
      </c>
      <c r="Z290" t="str">
        <f t="shared" ca="1" si="67"/>
        <v/>
      </c>
      <c r="AA290" s="129">
        <f ca="1">IF($C290="S",IF($Z290="CP",$X290,IF($Z290="RA",(($X290)*QCI!$AA$3),0)),SomaAgrup)</f>
        <v>0</v>
      </c>
      <c r="AB290" s="130">
        <f t="shared" ca="1" si="68"/>
        <v>0</v>
      </c>
      <c r="AC290" s="131" t="str">
        <f ca="1">IF($N290="","",IF(ORÇAMENTO.Descricao="","DESCRIÇÃO",IF(AND($C290="S",ORÇAMENTO.Unidade=""),"UNIDADE",IF($X290&lt;0,"VALOR NEGATIVO",IF(OR(AND(TIPOORCAMENTO="Proposto",$AG290&lt;&gt;"",$AG290&gt;0,ORÇAMENTO.CustoUnitario&gt;$AG290),AND(TIPOORCAMENTO="LICITADO",ORÇAMENTO.PrecoUnitarioLicitado&gt;$AN290)),"ACIMA REF.","")))))</f>
        <v/>
      </c>
      <c r="AD290" t="str">
        <f ca="1">IF(C290&lt;=CRONO.NivelExibicao,MAX($AD$15:OFFSET(AD290,-1,0))+IF($C290&lt;&gt;1,1,MAX(1,COUNTIF(QCI!$A$13:$A$24,OFFSET($E290,-1,0)))),"")</f>
        <v/>
      </c>
      <c r="AE290" s="7" t="str">
        <f ca="1">IF(AND($C290="S",ORÇAMENTO.CodBarra&lt;&gt;""),IF(ORÇAMENTO.Fonte="",ORÇAMENTO.CodBarra,CONCATENATE(ORÇAMENTO.Fonte," ",ORÇAMENTO.CodBarra)))</f>
        <v>SINAPI 103042</v>
      </c>
      <c r="AF290" s="13" t="str">
        <f ca="1">IF(ISERROR(INDIRECT(ORÇAMENTO.BancoRef)),"(abra o arquivo 'Referência "&amp;Excel_BuiltIn_Database&amp;".xlsm)",IF(OR($C290&lt;&gt;"S",ORÇAMENTO.CodBarra=""),"(Sem Código)",IF(ISERROR(MATCH($AE290,INDIRECT(ORÇAMENTO.BancoRef),0)),"(Código não identificado nas referências)",MATCH($AE290,INDIRECT(ORÇAMENTO.BancoRef),0))))</f>
        <v>(abra o arquivo 'Referência 06-2024.xlsm)</v>
      </c>
      <c r="AG290" s="498">
        <f ca="1">ROUND(IF(DESONERACAO="sim",REFERENCIA.Desonerado,REFERENCIA.NaoDesonerado),2)</f>
        <v>0</v>
      </c>
      <c r="AH290" s="499">
        <f t="shared" ca="1" si="69"/>
        <v>0.2432</v>
      </c>
      <c r="AJ290" s="501"/>
      <c r="AL290" s="527"/>
      <c r="AM290" s="381">
        <f t="shared" ca="1" si="70"/>
        <v>0</v>
      </c>
      <c r="AN290" s="566">
        <f t="shared" ca="1" si="71"/>
        <v>0</v>
      </c>
    </row>
    <row r="291" spans="1:40" ht="25.5" x14ac:dyDescent="0.2">
      <c r="A291" t="str">
        <f t="shared" si="56"/>
        <v>S</v>
      </c>
      <c r="B291">
        <f t="shared" ca="1" si="57"/>
        <v>2</v>
      </c>
      <c r="C291" t="str">
        <f t="shared" ca="1" si="58"/>
        <v>S</v>
      </c>
      <c r="D291">
        <f t="shared" ca="1" si="59"/>
        <v>0</v>
      </c>
      <c r="E291">
        <f ca="1">IF($C291=1,OFFSET(E291,-1,0)+MAX(1,COUNTIF(QCI!$A$13:$A$24,OFFSET(ORÇAMENTO!E291,-1,0))),OFFSET(E291,-1,0))</f>
        <v>1</v>
      </c>
      <c r="F291">
        <f t="shared" ca="1" si="60"/>
        <v>35</v>
      </c>
      <c r="G291">
        <f t="shared" ca="1" si="61"/>
        <v>0</v>
      </c>
      <c r="H291">
        <f t="shared" ca="1" si="62"/>
        <v>0</v>
      </c>
      <c r="I291">
        <f t="shared" ca="1" si="63"/>
        <v>0</v>
      </c>
      <c r="J291">
        <f t="shared" ca="1" si="75"/>
        <v>0</v>
      </c>
      <c r="K291">
        <f ca="1">IF(OR($C291="S",$C291=0),0,MATCH(OFFSET($D291,0,$C291)+IF($C291&lt;&gt;1,1,COUNTIF(QCI!$A$13:$A$24,ORÇAMENTO!E291)),OFFSET($D291,1,$C291,ROW($C$727)-ROW($C291)),0))</f>
        <v>0</v>
      </c>
      <c r="L291" s="116" t="str">
        <f t="shared" ca="1" si="64"/>
        <v/>
      </c>
      <c r="M291" s="117" t="s">
        <v>199</v>
      </c>
      <c r="N291" s="118" t="str">
        <f t="shared" ca="1" si="65"/>
        <v>Serviço</v>
      </c>
      <c r="O291" s="119" t="str">
        <f t="shared" ca="1" si="66"/>
        <v>-</v>
      </c>
      <c r="P291" s="120" t="s">
        <v>247</v>
      </c>
      <c r="Q291" s="121" t="s">
        <v>677</v>
      </c>
      <c r="R291" s="122" t="str">
        <f ca="1">IF($C291="S",REFERENCIA.Descricao,"(digite a descrição aqui)")</f>
        <v>(abra o arquivo 'Referência 06-2024.xlsm)</v>
      </c>
      <c r="S291" s="123" t="str">
        <f ca="1">REFERENCIA.Unidade</f>
        <v>-</v>
      </c>
      <c r="T291" s="124">
        <f ca="1">OFFSET(CÁLCULO!H$15,ROW($T291)-ROW(T$15),0)</f>
        <v>1</v>
      </c>
      <c r="U291" s="125">
        <f t="shared" ca="1" si="76"/>
        <v>0</v>
      </c>
      <c r="V291" s="126" t="s">
        <v>156</v>
      </c>
      <c r="W291" s="124">
        <f ca="1">IF($C291="S",ROUND(IF(TIPOORCAMENTO="Proposto",ORÇAMENTO.CustoUnitario*(1+$AH291),ORÇAMENTO.PrecoUnitarioLicitado),15-13*$AF$10),0)</f>
        <v>0</v>
      </c>
      <c r="X291" s="127">
        <f ca="1">IF($C291="S",IF(Import.TipoArredondamento&lt;&gt;"TransfereGOV",VTOTAL1,SUM(OFFSET(CÁLCULO!$AI$15,ROW($X291)-ROW($X$15),1):OFFSET(CÁLCULO!$BB$15,ROW($X291)-ROW($X$15),-1))),IF($C291=0,0,ROUND(SomaAgrup,15-13*$AF$11)))</f>
        <v>0</v>
      </c>
      <c r="Y291" s="128" t="s">
        <v>245</v>
      </c>
      <c r="Z291" t="str">
        <f t="shared" ca="1" si="67"/>
        <v/>
      </c>
      <c r="AA291" s="129">
        <f ca="1">IF($C291="S",IF($Z291="CP",$X291,IF($Z291="RA",(($X291)*QCI!$AA$3),0)),SomaAgrup)</f>
        <v>0</v>
      </c>
      <c r="AB291" s="130">
        <f t="shared" ca="1" si="68"/>
        <v>0</v>
      </c>
      <c r="AC291" s="131" t="str">
        <f ca="1">IF($N291="","",IF(ORÇAMENTO.Descricao="","DESCRIÇÃO",IF(AND($C291="S",ORÇAMENTO.Unidade=""),"UNIDADE",IF($X291&lt;0,"VALOR NEGATIVO",IF(OR(AND(TIPOORCAMENTO="Proposto",$AG291&lt;&gt;"",$AG291&gt;0,ORÇAMENTO.CustoUnitario&gt;$AG291),AND(TIPOORCAMENTO="LICITADO",ORÇAMENTO.PrecoUnitarioLicitado&gt;$AN291)),"ACIMA REF.","")))))</f>
        <v/>
      </c>
      <c r="AD291" t="str">
        <f ca="1">IF(C291&lt;=CRONO.NivelExibicao,MAX($AD$15:OFFSET(AD291,-1,0))+IF($C291&lt;&gt;1,1,MAX(1,COUNTIF(QCI!$A$13:$A$24,OFFSET($E291,-1,0)))),"")</f>
        <v/>
      </c>
      <c r="AE291" s="7" t="str">
        <f ca="1">IF(AND($C291="S",ORÇAMENTO.CodBarra&lt;&gt;""),IF(ORÇAMENTO.Fonte="",ORÇAMENTO.CodBarra,CONCATENATE(ORÇAMENTO.Fonte," ",ORÇAMENTO.CodBarra)))</f>
        <v>SINAPI 90371</v>
      </c>
      <c r="AF291" s="13" t="str">
        <f ca="1">IF(ISERROR(INDIRECT(ORÇAMENTO.BancoRef)),"(abra o arquivo 'Referência "&amp;Excel_BuiltIn_Database&amp;".xlsm)",IF(OR($C291&lt;&gt;"S",ORÇAMENTO.CodBarra=""),"(Sem Código)",IF(ISERROR(MATCH($AE291,INDIRECT(ORÇAMENTO.BancoRef),0)),"(Código não identificado nas referências)",MATCH($AE291,INDIRECT(ORÇAMENTO.BancoRef),0))))</f>
        <v>(abra o arquivo 'Referência 06-2024.xlsm)</v>
      </c>
      <c r="AG291" s="498">
        <f ca="1">ROUND(IF(DESONERACAO="sim",REFERENCIA.Desonerado,REFERENCIA.NaoDesonerado),2)</f>
        <v>0</v>
      </c>
      <c r="AH291" s="499">
        <f t="shared" ca="1" si="69"/>
        <v>0.2432</v>
      </c>
      <c r="AJ291" s="501"/>
      <c r="AL291" s="527"/>
      <c r="AM291" s="381">
        <f t="shared" ca="1" si="70"/>
        <v>0</v>
      </c>
      <c r="AN291" s="566">
        <f t="shared" ca="1" si="71"/>
        <v>0</v>
      </c>
    </row>
    <row r="292" spans="1:40" ht="25.5" x14ac:dyDescent="0.2">
      <c r="A292" t="str">
        <f t="shared" si="56"/>
        <v>S</v>
      </c>
      <c r="B292">
        <f t="shared" ca="1" si="57"/>
        <v>2</v>
      </c>
      <c r="C292" t="str">
        <f t="shared" ca="1" si="58"/>
        <v>S</v>
      </c>
      <c r="D292">
        <f t="shared" ca="1" si="59"/>
        <v>0</v>
      </c>
      <c r="E292">
        <f ca="1">IF($C292=1,OFFSET(E292,-1,0)+MAX(1,COUNTIF(QCI!$A$13:$A$24,OFFSET(ORÇAMENTO!E292,-1,0))),OFFSET(E292,-1,0))</f>
        <v>1</v>
      </c>
      <c r="F292">
        <f t="shared" ca="1" si="60"/>
        <v>35</v>
      </c>
      <c r="G292">
        <f t="shared" ca="1" si="61"/>
        <v>0</v>
      </c>
      <c r="H292">
        <f t="shared" ca="1" si="62"/>
        <v>0</v>
      </c>
      <c r="I292">
        <f t="shared" ca="1" si="63"/>
        <v>0</v>
      </c>
      <c r="J292">
        <f t="shared" ca="1" si="75"/>
        <v>0</v>
      </c>
      <c r="K292">
        <f ca="1">IF(OR($C292="S",$C292=0),0,MATCH(OFFSET($D292,0,$C292)+IF($C292&lt;&gt;1,1,COUNTIF(QCI!$A$13:$A$24,ORÇAMENTO!E292)),OFFSET($D292,1,$C292,ROW($C$727)-ROW($C292)),0))</f>
        <v>0</v>
      </c>
      <c r="L292" s="116" t="str">
        <f t="shared" ca="1" si="64"/>
        <v/>
      </c>
      <c r="M292" s="117" t="s">
        <v>199</v>
      </c>
      <c r="N292" s="118" t="str">
        <f t="shared" ca="1" si="65"/>
        <v>Serviço</v>
      </c>
      <c r="O292" s="119" t="str">
        <f t="shared" ca="1" si="66"/>
        <v>-</v>
      </c>
      <c r="P292" s="120" t="s">
        <v>247</v>
      </c>
      <c r="Q292" s="121" t="s">
        <v>678</v>
      </c>
      <c r="R292" s="122" t="str">
        <f ca="1">IF($C292="S",REFERENCIA.Descricao,"(digite a descrição aqui)")</f>
        <v>(abra o arquivo 'Referência 06-2024.xlsm)</v>
      </c>
      <c r="S292" s="123" t="str">
        <f ca="1">REFERENCIA.Unidade</f>
        <v>-</v>
      </c>
      <c r="T292" s="124">
        <f ca="1">OFFSET(CÁLCULO!H$15,ROW($T292)-ROW(T$15),0)</f>
        <v>1</v>
      </c>
      <c r="U292" s="125">
        <f t="shared" ca="1" si="76"/>
        <v>0</v>
      </c>
      <c r="V292" s="126" t="s">
        <v>156</v>
      </c>
      <c r="W292" s="124">
        <f ca="1">IF($C292="S",ROUND(IF(TIPOORCAMENTO="Proposto",ORÇAMENTO.CustoUnitario*(1+$AH292),ORÇAMENTO.PrecoUnitarioLicitado),15-13*$AF$10),0)</f>
        <v>0</v>
      </c>
      <c r="X292" s="127">
        <f ca="1">IF($C292="S",IF(Import.TipoArredondamento&lt;&gt;"TransfereGOV",VTOTAL1,SUM(OFFSET(CÁLCULO!$AI$15,ROW($X292)-ROW($X$15),1):OFFSET(CÁLCULO!$BB$15,ROW($X292)-ROW($X$15),-1))),IF($C292=0,0,ROUND(SomaAgrup,15-13*$AF$11)))</f>
        <v>0</v>
      </c>
      <c r="Y292" s="128" t="s">
        <v>245</v>
      </c>
      <c r="Z292" t="str">
        <f t="shared" ca="1" si="67"/>
        <v/>
      </c>
      <c r="AA292" s="129">
        <f ca="1">IF($C292="S",IF($Z292="CP",$X292,IF($Z292="RA",(($X292)*QCI!$AA$3),0)),SomaAgrup)</f>
        <v>0</v>
      </c>
      <c r="AB292" s="130">
        <f t="shared" ca="1" si="68"/>
        <v>0</v>
      </c>
      <c r="AC292" s="131" t="str">
        <f ca="1">IF($N292="","",IF(ORÇAMENTO.Descricao="","DESCRIÇÃO",IF(AND($C292="S",ORÇAMENTO.Unidade=""),"UNIDADE",IF($X292&lt;0,"VALOR NEGATIVO",IF(OR(AND(TIPOORCAMENTO="Proposto",$AG292&lt;&gt;"",$AG292&gt;0,ORÇAMENTO.CustoUnitario&gt;$AG292),AND(TIPOORCAMENTO="LICITADO",ORÇAMENTO.PrecoUnitarioLicitado&gt;$AN292)),"ACIMA REF.","")))))</f>
        <v/>
      </c>
      <c r="AD292" t="str">
        <f ca="1">IF(C292&lt;=CRONO.NivelExibicao,MAX($AD$15:OFFSET(AD292,-1,0))+IF($C292&lt;&gt;1,1,MAX(1,COUNTIF(QCI!$A$13:$A$24,OFFSET($E292,-1,0)))),"")</f>
        <v/>
      </c>
      <c r="AE292" s="7" t="str">
        <f ca="1">IF(AND($C292="S",ORÇAMENTO.CodBarra&lt;&gt;""),IF(ORÇAMENTO.Fonte="",ORÇAMENTO.CodBarra,CONCATENATE(ORÇAMENTO.Fonte," ",ORÇAMENTO.CodBarra)))</f>
        <v>SINAPI 94496</v>
      </c>
      <c r="AF292" s="13" t="str">
        <f ca="1">IF(ISERROR(INDIRECT(ORÇAMENTO.BancoRef)),"(abra o arquivo 'Referência "&amp;Excel_BuiltIn_Database&amp;".xlsm)",IF(OR($C292&lt;&gt;"S",ORÇAMENTO.CodBarra=""),"(Sem Código)",IF(ISERROR(MATCH($AE292,INDIRECT(ORÇAMENTO.BancoRef),0)),"(Código não identificado nas referências)",MATCH($AE292,INDIRECT(ORÇAMENTO.BancoRef),0))))</f>
        <v>(abra o arquivo 'Referência 06-2024.xlsm)</v>
      </c>
      <c r="AG292" s="498">
        <f ca="1">ROUND(IF(DESONERACAO="sim",REFERENCIA.Desonerado,REFERENCIA.NaoDesonerado),2)</f>
        <v>0</v>
      </c>
      <c r="AH292" s="499">
        <f t="shared" ca="1" si="69"/>
        <v>0.2432</v>
      </c>
      <c r="AJ292" s="501"/>
      <c r="AL292" s="527"/>
      <c r="AM292" s="381">
        <f t="shared" ca="1" si="70"/>
        <v>0</v>
      </c>
      <c r="AN292" s="566">
        <f t="shared" ca="1" si="71"/>
        <v>0</v>
      </c>
    </row>
    <row r="293" spans="1:40" x14ac:dyDescent="0.2">
      <c r="A293">
        <f t="shared" si="56"/>
        <v>2</v>
      </c>
      <c r="B293">
        <f t="shared" ca="1" si="57"/>
        <v>2</v>
      </c>
      <c r="C293">
        <f t="shared" ca="1" si="58"/>
        <v>2</v>
      </c>
      <c r="D293">
        <f t="shared" ca="1" si="59"/>
        <v>2</v>
      </c>
      <c r="E293">
        <f ca="1">IF($C293=1,OFFSET(E293,-1,0)+MAX(1,COUNTIF(QCI!$A$13:$A$24,OFFSET(ORÇAMENTO!E293,-1,0))),OFFSET(E293,-1,0))</f>
        <v>1</v>
      </c>
      <c r="F293">
        <f t="shared" ca="1" si="60"/>
        <v>36</v>
      </c>
      <c r="G293">
        <f t="shared" ca="1" si="61"/>
        <v>0</v>
      </c>
      <c r="H293">
        <f t="shared" ca="1" si="62"/>
        <v>0</v>
      </c>
      <c r="I293">
        <f t="shared" ca="1" si="63"/>
        <v>0</v>
      </c>
      <c r="J293">
        <f t="shared" ca="1" si="75"/>
        <v>434</v>
      </c>
      <c r="K293">
        <f ca="1">IF(OR($C293="S",$C293=0),0,MATCH(OFFSET($D293,0,$C293)+IF($C293&lt;&gt;1,1,COUNTIF(QCI!$A$13:$A$24,ORÇAMENTO!E293)),OFFSET($D293,1,$C293,ROW($C$727)-ROW($C293)),0))</f>
        <v>2</v>
      </c>
      <c r="L293" s="116" t="str">
        <f t="shared" ca="1" si="64"/>
        <v>F</v>
      </c>
      <c r="M293" s="117" t="s">
        <v>196</v>
      </c>
      <c r="N293" s="118" t="str">
        <f t="shared" ca="1" si="65"/>
        <v>Nível 2</v>
      </c>
      <c r="O293" s="119" t="str">
        <f t="shared" ca="1" si="66"/>
        <v>1.36.</v>
      </c>
      <c r="P293" s="120" t="s">
        <v>247</v>
      </c>
      <c r="Q293" s="121"/>
      <c r="R293" s="122" t="s">
        <v>1061</v>
      </c>
      <c r="S293" s="123" t="str">
        <f ca="1">REFERENCIA.Unidade</f>
        <v>-</v>
      </c>
      <c r="T293" s="124">
        <f ca="1">OFFSET(CÁLCULO!H$15,ROW($T293)-ROW(T$15),0)</f>
        <v>0</v>
      </c>
      <c r="U293" s="125">
        <f t="shared" ca="1" si="76"/>
        <v>0</v>
      </c>
      <c r="V293" s="126" t="s">
        <v>156</v>
      </c>
      <c r="W293" s="124">
        <f ca="1">IF($C293="S",ROUND(IF(TIPOORCAMENTO="Proposto",ORÇAMENTO.CustoUnitario*(1+$AH293),ORÇAMENTO.PrecoUnitarioLicitado),15-13*$AF$10),0)</f>
        <v>0</v>
      </c>
      <c r="X293" s="127">
        <f ca="1">IF($C293="S",IF(Import.TipoArredondamento&lt;&gt;"TransfereGOV",VTOTAL1,SUM(OFFSET(CÁLCULO!$AI$15,ROW($X293)-ROW($X$15),1):OFFSET(CÁLCULO!$BB$15,ROW($X293)-ROW($X$15),-1))),IF($C293=0,0,ROUND(SomaAgrup,15-13*$AF$11)))</f>
        <v>0</v>
      </c>
      <c r="Y293" s="128" t="s">
        <v>245</v>
      </c>
      <c r="Z293" t="str">
        <f t="shared" ca="1" si="67"/>
        <v/>
      </c>
      <c r="AA293" s="129">
        <f ca="1">IF($C293="S",IF($Z293="CP",$X293,IF($Z293="RA",(($X293)*QCI!$AA$3),0)),SomaAgrup)</f>
        <v>0</v>
      </c>
      <c r="AB293" s="130">
        <f t="shared" ca="1" si="68"/>
        <v>0</v>
      </c>
      <c r="AC293" s="131" t="str">
        <f ca="1">IF($N293="","",IF(ORÇAMENTO.Descricao="","DESCRIÇÃO",IF(AND($C293="S",ORÇAMENTO.Unidade=""),"UNIDADE",IF($X293&lt;0,"VALOR NEGATIVO",IF(OR(AND(TIPOORCAMENTO="Proposto",$AG293&lt;&gt;"",$AG293&gt;0,ORÇAMENTO.CustoUnitario&gt;$AG293),AND(TIPOORCAMENTO="LICITADO",ORÇAMENTO.PrecoUnitarioLicitado&gt;$AN293)),"ACIMA REF.","")))))</f>
        <v/>
      </c>
      <c r="AD293">
        <f ca="1">IF(C293&lt;=CRONO.NivelExibicao,MAX($AD$15:OFFSET(AD293,-1,0))+IF($C293&lt;&gt;1,1,MAX(1,COUNTIF(QCI!$A$13:$A$24,OFFSET($E293,-1,0)))),"")</f>
        <v>37</v>
      </c>
      <c r="AE293" s="7" t="b">
        <f ca="1">IF(AND($C293="S",ORÇAMENTO.CodBarra&lt;&gt;""),IF(ORÇAMENTO.Fonte="",ORÇAMENTO.CodBarra,CONCATENATE(ORÇAMENTO.Fonte," ",ORÇAMENTO.CodBarra)))</f>
        <v>0</v>
      </c>
      <c r="AF293" s="13" t="str">
        <f ca="1">IF(ISERROR(INDIRECT(ORÇAMENTO.BancoRef)),"(abra o arquivo 'Referência "&amp;Excel_BuiltIn_Database&amp;".xlsm)",IF(OR($C293&lt;&gt;"S",ORÇAMENTO.CodBarra=""),"(Sem Código)",IF(ISERROR(MATCH($AE293,INDIRECT(ORÇAMENTO.BancoRef),0)),"(Código não identificado nas referências)",MATCH($AE293,INDIRECT(ORÇAMENTO.BancoRef),0))))</f>
        <v>(abra o arquivo 'Referência 06-2024.xlsm)</v>
      </c>
      <c r="AG293" s="498">
        <f ca="1">ROUND(IF(DESONERACAO="sim",REFERENCIA.Desonerado,REFERENCIA.NaoDesonerado),2)</f>
        <v>0</v>
      </c>
      <c r="AH293" s="499">
        <f t="shared" ca="1" si="69"/>
        <v>0.2432</v>
      </c>
      <c r="AJ293" s="501"/>
      <c r="AL293" s="527"/>
      <c r="AM293" s="381">
        <f t="shared" ca="1" si="70"/>
        <v>0</v>
      </c>
      <c r="AN293" s="566">
        <f t="shared" ca="1" si="71"/>
        <v>0</v>
      </c>
    </row>
    <row r="294" spans="1:40" ht="51" x14ac:dyDescent="0.2">
      <c r="A294" t="str">
        <f t="shared" si="56"/>
        <v>S</v>
      </c>
      <c r="B294">
        <f t="shared" ca="1" si="57"/>
        <v>2</v>
      </c>
      <c r="C294" t="str">
        <f t="shared" ca="1" si="58"/>
        <v>S</v>
      </c>
      <c r="D294">
        <f t="shared" ca="1" si="59"/>
        <v>0</v>
      </c>
      <c r="E294">
        <f ca="1">IF($C294=1,OFFSET(E294,-1,0)+MAX(1,COUNTIF(QCI!$A$13:$A$24,OFFSET(ORÇAMENTO!E294,-1,0))),OFFSET(E294,-1,0))</f>
        <v>1</v>
      </c>
      <c r="F294">
        <f t="shared" ca="1" si="60"/>
        <v>36</v>
      </c>
      <c r="G294">
        <f t="shared" ca="1" si="61"/>
        <v>0</v>
      </c>
      <c r="H294">
        <f t="shared" ca="1" si="62"/>
        <v>0</v>
      </c>
      <c r="I294">
        <f t="shared" ca="1" si="63"/>
        <v>0</v>
      </c>
      <c r="J294">
        <f t="shared" ca="1" si="75"/>
        <v>0</v>
      </c>
      <c r="K294">
        <f ca="1">IF(OR($C294="S",$C294=0),0,MATCH(OFFSET($D294,0,$C294)+IF($C294&lt;&gt;1,1,COUNTIF(QCI!$A$13:$A$24,ORÇAMENTO!E294)),OFFSET($D294,1,$C294,ROW($C$727)-ROW($C294)),0))</f>
        <v>0</v>
      </c>
      <c r="L294" s="116" t="str">
        <f t="shared" ca="1" si="64"/>
        <v/>
      </c>
      <c r="M294" s="117" t="s">
        <v>199</v>
      </c>
      <c r="N294" s="118" t="str">
        <f t="shared" ca="1" si="65"/>
        <v>Serviço</v>
      </c>
      <c r="O294" s="119" t="str">
        <f t="shared" ca="1" si="66"/>
        <v>-</v>
      </c>
      <c r="P294" s="120" t="s">
        <v>458</v>
      </c>
      <c r="Q294" s="121" t="s">
        <v>679</v>
      </c>
      <c r="R294" s="122" t="str">
        <f ca="1">IF($C294="S",REFERENCIA.Descricao,"(digite a descrição aqui)")</f>
        <v>(abra o arquivo 'Referência 06-2024.xlsm)</v>
      </c>
      <c r="S294" s="123" t="str">
        <f ca="1">REFERENCIA.Unidade</f>
        <v>-</v>
      </c>
      <c r="T294" s="124">
        <f ca="1">OFFSET(CÁLCULO!H$15,ROW($T294)-ROW(T$15),0)</f>
        <v>1</v>
      </c>
      <c r="U294" s="125">
        <f t="shared" ca="1" si="76"/>
        <v>0</v>
      </c>
      <c r="V294" s="126" t="s">
        <v>156</v>
      </c>
      <c r="W294" s="124">
        <f ca="1">IF($C294="S",ROUND(IF(TIPOORCAMENTO="Proposto",ORÇAMENTO.CustoUnitario*(1+$AH294),ORÇAMENTO.PrecoUnitarioLicitado),15-13*$AF$10),0)</f>
        <v>0</v>
      </c>
      <c r="X294" s="127">
        <f ca="1">IF($C294="S",IF(Import.TipoArredondamento&lt;&gt;"TransfereGOV",VTOTAL1,SUM(OFFSET(CÁLCULO!$AI$15,ROW($X294)-ROW($X$15),1):OFFSET(CÁLCULO!$BB$15,ROW($X294)-ROW($X$15),-1))),IF($C294=0,0,ROUND(SomaAgrup,15-13*$AF$11)))</f>
        <v>0</v>
      </c>
      <c r="Y294" s="128" t="s">
        <v>245</v>
      </c>
      <c r="Z294" t="str">
        <f t="shared" ca="1" si="67"/>
        <v/>
      </c>
      <c r="AA294" s="129">
        <f ca="1">IF($C294="S",IF($Z294="CP",$X294,IF($Z294="RA",(($X294)*QCI!$AA$3),0)),SomaAgrup)</f>
        <v>0</v>
      </c>
      <c r="AB294" s="130">
        <f t="shared" ca="1" si="68"/>
        <v>0</v>
      </c>
      <c r="AC294" s="131" t="str">
        <f ca="1">IF($N294="","",IF(ORÇAMENTO.Descricao="","DESCRIÇÃO",IF(AND($C294="S",ORÇAMENTO.Unidade=""),"UNIDADE",IF($X294&lt;0,"VALOR NEGATIVO",IF(OR(AND(TIPOORCAMENTO="Proposto",$AG294&lt;&gt;"",$AG294&gt;0,ORÇAMENTO.CustoUnitario&gt;$AG294),AND(TIPOORCAMENTO="LICITADO",ORÇAMENTO.PrecoUnitarioLicitado&gt;$AN294)),"ACIMA REF.","")))))</f>
        <v/>
      </c>
      <c r="AD294" t="str">
        <f ca="1">IF(C294&lt;=CRONO.NivelExibicao,MAX($AD$15:OFFSET(AD294,-1,0))+IF($C294&lt;&gt;1,1,MAX(1,COUNTIF(QCI!$A$13:$A$24,OFFSET($E294,-1,0)))),"")</f>
        <v/>
      </c>
      <c r="AE294" s="7" t="str">
        <f ca="1">IF(AND($C294="S",ORÇAMENTO.CodBarra&lt;&gt;""),IF(ORÇAMENTO.Fonte="",ORÇAMENTO.CodBarra,CONCATENATE(ORÇAMENTO.Fonte," ",ORÇAMENTO.CodBarra)))</f>
        <v>COMPOSIÇÃO FNDE 21</v>
      </c>
      <c r="AF294" s="13" t="str">
        <f ca="1">IF(ISERROR(INDIRECT(ORÇAMENTO.BancoRef)),"(abra o arquivo 'Referência "&amp;Excel_BuiltIn_Database&amp;".xlsm)",IF(OR($C294&lt;&gt;"S",ORÇAMENTO.CodBarra=""),"(Sem Código)",IF(ISERROR(MATCH($AE294,INDIRECT(ORÇAMENTO.BancoRef),0)),"(Código não identificado nas referências)",MATCH($AE294,INDIRECT(ORÇAMENTO.BancoRef),0))))</f>
        <v>(abra o arquivo 'Referência 06-2024.xlsm)</v>
      </c>
      <c r="AG294" s="498">
        <f ca="1">ROUND(IF(DESONERACAO="sim",REFERENCIA.Desonerado,REFERENCIA.NaoDesonerado),2)</f>
        <v>0</v>
      </c>
      <c r="AH294" s="499">
        <f t="shared" ca="1" si="69"/>
        <v>0.2432</v>
      </c>
      <c r="AJ294" s="501"/>
      <c r="AL294" s="527"/>
      <c r="AM294" s="381">
        <f t="shared" ca="1" si="70"/>
        <v>0</v>
      </c>
      <c r="AN294" s="566">
        <f t="shared" ca="1" si="71"/>
        <v>0</v>
      </c>
    </row>
    <row r="295" spans="1:40" x14ac:dyDescent="0.2">
      <c r="A295">
        <f t="shared" si="56"/>
        <v>2</v>
      </c>
      <c r="B295">
        <f t="shared" ca="1" si="57"/>
        <v>2</v>
      </c>
      <c r="C295">
        <f t="shared" ca="1" si="58"/>
        <v>2</v>
      </c>
      <c r="D295">
        <f t="shared" ca="1" si="59"/>
        <v>5</v>
      </c>
      <c r="E295">
        <f ca="1">IF($C295=1,OFFSET(E295,-1,0)+MAX(1,COUNTIF(QCI!$A$13:$A$24,OFFSET(ORÇAMENTO!E295,-1,0))),OFFSET(E295,-1,0))</f>
        <v>1</v>
      </c>
      <c r="F295">
        <f t="shared" ca="1" si="60"/>
        <v>37</v>
      </c>
      <c r="G295">
        <f t="shared" ca="1" si="61"/>
        <v>0</v>
      </c>
      <c r="H295">
        <f t="shared" ca="1" si="62"/>
        <v>0</v>
      </c>
      <c r="I295">
        <f t="shared" ca="1" si="63"/>
        <v>0</v>
      </c>
      <c r="J295">
        <f t="shared" ca="1" si="75"/>
        <v>432</v>
      </c>
      <c r="K295">
        <f ca="1">IF(OR($C295="S",$C295=0),0,MATCH(OFFSET($D295,0,$C295)+IF($C295&lt;&gt;1,1,COUNTIF(QCI!$A$13:$A$24,ORÇAMENTO!E295)),OFFSET($D295,1,$C295,ROW($C$727)-ROW($C295)),0))</f>
        <v>5</v>
      </c>
      <c r="L295" s="116" t="str">
        <f t="shared" ca="1" si="64"/>
        <v>F</v>
      </c>
      <c r="M295" s="117" t="s">
        <v>196</v>
      </c>
      <c r="N295" s="118" t="str">
        <f t="shared" ca="1" si="65"/>
        <v>Nível 2</v>
      </c>
      <c r="O295" s="119" t="str">
        <f t="shared" ca="1" si="66"/>
        <v>1.37.</v>
      </c>
      <c r="P295" s="120" t="s">
        <v>247</v>
      </c>
      <c r="Q295" s="121"/>
      <c r="R295" s="122" t="s">
        <v>1062</v>
      </c>
      <c r="S295" s="123" t="str">
        <f ca="1">REFERENCIA.Unidade</f>
        <v>-</v>
      </c>
      <c r="T295" s="124">
        <f ca="1">OFFSET(CÁLCULO!H$15,ROW($T295)-ROW(T$15),0)</f>
        <v>0</v>
      </c>
      <c r="U295" s="125">
        <f t="shared" ca="1" si="76"/>
        <v>0</v>
      </c>
      <c r="V295" s="126" t="s">
        <v>156</v>
      </c>
      <c r="W295" s="124">
        <f ca="1">IF($C295="S",ROUND(IF(TIPOORCAMENTO="Proposto",ORÇAMENTO.CustoUnitario*(1+$AH295),ORÇAMENTO.PrecoUnitarioLicitado),15-13*$AF$10),0)</f>
        <v>0</v>
      </c>
      <c r="X295" s="127">
        <f ca="1">IF($C295="S",IF(Import.TipoArredondamento&lt;&gt;"TransfereGOV",VTOTAL1,SUM(OFFSET(CÁLCULO!$AI$15,ROW($X295)-ROW($X$15),1):OFFSET(CÁLCULO!$BB$15,ROW($X295)-ROW($X$15),-1))),IF($C295=0,0,ROUND(SomaAgrup,15-13*$AF$11)))</f>
        <v>0</v>
      </c>
      <c r="Y295" s="128" t="s">
        <v>245</v>
      </c>
      <c r="Z295" t="str">
        <f t="shared" ca="1" si="67"/>
        <v/>
      </c>
      <c r="AA295" s="129">
        <f ca="1">IF($C295="S",IF($Z295="CP",$X295,IF($Z295="RA",(($X295)*QCI!$AA$3),0)),SomaAgrup)</f>
        <v>0</v>
      </c>
      <c r="AB295" s="130">
        <f t="shared" ca="1" si="68"/>
        <v>0</v>
      </c>
      <c r="AC295" s="131" t="str">
        <f ca="1">IF($N295="","",IF(ORÇAMENTO.Descricao="","DESCRIÇÃO",IF(AND($C295="S",ORÇAMENTO.Unidade=""),"UNIDADE",IF($X295&lt;0,"VALOR NEGATIVO",IF(OR(AND(TIPOORCAMENTO="Proposto",$AG295&lt;&gt;"",$AG295&gt;0,ORÇAMENTO.CustoUnitario&gt;$AG295),AND(TIPOORCAMENTO="LICITADO",ORÇAMENTO.PrecoUnitarioLicitado&gt;$AN295)),"ACIMA REF.","")))))</f>
        <v/>
      </c>
      <c r="AD295">
        <f ca="1">IF(C295&lt;=CRONO.NivelExibicao,MAX($AD$15:OFFSET(AD295,-1,0))+IF($C295&lt;&gt;1,1,MAX(1,COUNTIF(QCI!$A$13:$A$24,OFFSET($E295,-1,0)))),"")</f>
        <v>38</v>
      </c>
      <c r="AE295" s="7" t="b">
        <f ca="1">IF(AND($C295="S",ORÇAMENTO.CodBarra&lt;&gt;""),IF(ORÇAMENTO.Fonte="",ORÇAMENTO.CodBarra,CONCATENATE(ORÇAMENTO.Fonte," ",ORÇAMENTO.CodBarra)))</f>
        <v>0</v>
      </c>
      <c r="AF295" s="13" t="str">
        <f ca="1">IF(ISERROR(INDIRECT(ORÇAMENTO.BancoRef)),"(abra o arquivo 'Referência "&amp;Excel_BuiltIn_Database&amp;".xlsm)",IF(OR($C295&lt;&gt;"S",ORÇAMENTO.CodBarra=""),"(Sem Código)",IF(ISERROR(MATCH($AE295,INDIRECT(ORÇAMENTO.BancoRef),0)),"(Código não identificado nas referências)",MATCH($AE295,INDIRECT(ORÇAMENTO.BancoRef),0))))</f>
        <v>(abra o arquivo 'Referência 06-2024.xlsm)</v>
      </c>
      <c r="AG295" s="498">
        <f ca="1">ROUND(IF(DESONERACAO="sim",REFERENCIA.Desonerado,REFERENCIA.NaoDesonerado),2)</f>
        <v>0</v>
      </c>
      <c r="AH295" s="499">
        <f t="shared" ca="1" si="69"/>
        <v>0.2432</v>
      </c>
      <c r="AJ295" s="501"/>
      <c r="AL295" s="527"/>
      <c r="AM295" s="381">
        <f t="shared" ca="1" si="70"/>
        <v>0</v>
      </c>
      <c r="AN295" s="566">
        <f t="shared" ca="1" si="71"/>
        <v>0</v>
      </c>
    </row>
    <row r="296" spans="1:40" x14ac:dyDescent="0.2">
      <c r="A296" t="str">
        <f t="shared" si="56"/>
        <v>S</v>
      </c>
      <c r="B296">
        <f t="shared" ca="1" si="57"/>
        <v>2</v>
      </c>
      <c r="C296" t="str">
        <f t="shared" ca="1" si="58"/>
        <v>S</v>
      </c>
      <c r="D296">
        <f t="shared" ca="1" si="59"/>
        <v>0</v>
      </c>
      <c r="E296">
        <f ca="1">IF($C296=1,OFFSET(E296,-1,0)+MAX(1,COUNTIF(QCI!$A$13:$A$24,OFFSET(ORÇAMENTO!E296,-1,0))),OFFSET(E296,-1,0))</f>
        <v>1</v>
      </c>
      <c r="F296">
        <f t="shared" ca="1" si="60"/>
        <v>37</v>
      </c>
      <c r="G296">
        <f t="shared" ca="1" si="61"/>
        <v>0</v>
      </c>
      <c r="H296">
        <f t="shared" ca="1" si="62"/>
        <v>0</v>
      </c>
      <c r="I296">
        <f t="shared" ca="1" si="63"/>
        <v>0</v>
      </c>
      <c r="J296">
        <f t="shared" ca="1" si="75"/>
        <v>0</v>
      </c>
      <c r="K296">
        <f ca="1">IF(OR($C296="S",$C296=0),0,MATCH(OFFSET($D296,0,$C296)+IF($C296&lt;&gt;1,1,COUNTIF(QCI!$A$13:$A$24,ORÇAMENTO!E296)),OFFSET($D296,1,$C296,ROW($C$727)-ROW($C296)),0))</f>
        <v>0</v>
      </c>
      <c r="L296" s="116" t="str">
        <f t="shared" ca="1" si="64"/>
        <v/>
      </c>
      <c r="M296" s="117" t="s">
        <v>199</v>
      </c>
      <c r="N296" s="118" t="str">
        <f t="shared" ca="1" si="65"/>
        <v>Serviço</v>
      </c>
      <c r="O296" s="119" t="str">
        <f t="shared" ca="1" si="66"/>
        <v>-</v>
      </c>
      <c r="P296" s="120" t="s">
        <v>458</v>
      </c>
      <c r="Q296" s="121" t="s">
        <v>680</v>
      </c>
      <c r="R296" s="122" t="str">
        <f ca="1">IF($C296="S",REFERENCIA.Descricao,"(digite a descrição aqui)")</f>
        <v>(abra o arquivo 'Referência 06-2024.xlsm)</v>
      </c>
      <c r="S296" s="123" t="str">
        <f ca="1">REFERENCIA.Unidade</f>
        <v>-</v>
      </c>
      <c r="T296" s="124">
        <f ca="1">OFFSET(CÁLCULO!H$15,ROW($T296)-ROW(T$15),0)</f>
        <v>6</v>
      </c>
      <c r="U296" s="125">
        <f t="shared" ca="1" si="76"/>
        <v>0</v>
      </c>
      <c r="V296" s="126" t="s">
        <v>156</v>
      </c>
      <c r="W296" s="124">
        <f ca="1">IF($C296="S",ROUND(IF(TIPOORCAMENTO="Proposto",ORÇAMENTO.CustoUnitario*(1+$AH296),ORÇAMENTO.PrecoUnitarioLicitado),15-13*$AF$10),0)</f>
        <v>0</v>
      </c>
      <c r="X296" s="127">
        <f ca="1">IF($C296="S",IF(Import.TipoArredondamento&lt;&gt;"TransfereGOV",VTOTAL1,SUM(OFFSET(CÁLCULO!$AI$15,ROW($X296)-ROW($X$15),1):OFFSET(CÁLCULO!$BB$15,ROW($X296)-ROW($X$15),-1))),IF($C296=0,0,ROUND(SomaAgrup,15-13*$AF$11)))</f>
        <v>0</v>
      </c>
      <c r="Y296" s="128" t="s">
        <v>245</v>
      </c>
      <c r="Z296" t="str">
        <f t="shared" ca="1" si="67"/>
        <v/>
      </c>
      <c r="AA296" s="129">
        <f ca="1">IF($C296="S",IF($Z296="CP",$X296,IF($Z296="RA",(($X296)*QCI!$AA$3),0)),SomaAgrup)</f>
        <v>0</v>
      </c>
      <c r="AB296" s="130">
        <f t="shared" ca="1" si="68"/>
        <v>0</v>
      </c>
      <c r="AC296" s="131" t="str">
        <f ca="1">IF($N296="","",IF(ORÇAMENTO.Descricao="","DESCRIÇÃO",IF(AND($C296="S",ORÇAMENTO.Unidade=""),"UNIDADE",IF($X296&lt;0,"VALOR NEGATIVO",IF(OR(AND(TIPOORCAMENTO="Proposto",$AG296&lt;&gt;"",$AG296&gt;0,ORÇAMENTO.CustoUnitario&gt;$AG296),AND(TIPOORCAMENTO="LICITADO",ORÇAMENTO.PrecoUnitarioLicitado&gt;$AN296)),"ACIMA REF.","")))))</f>
        <v/>
      </c>
      <c r="AD296" t="str">
        <f ca="1">IF(C296&lt;=CRONO.NivelExibicao,MAX($AD$15:OFFSET(AD296,-1,0))+IF($C296&lt;&gt;1,1,MAX(1,COUNTIF(QCI!$A$13:$A$24,OFFSET($E296,-1,0)))),"")</f>
        <v/>
      </c>
      <c r="AE296" s="7" t="str">
        <f ca="1">IF(AND($C296="S",ORÇAMENTO.CodBarra&lt;&gt;""),IF(ORÇAMENTO.Fonte="",ORÇAMENTO.CodBarra,CONCATENATE(ORÇAMENTO.Fonte," ",ORÇAMENTO.CodBarra)))</f>
        <v>COMPOSIÇÃO FNDE 78</v>
      </c>
      <c r="AF296" s="13" t="str">
        <f ca="1">IF(ISERROR(INDIRECT(ORÇAMENTO.BancoRef)),"(abra o arquivo 'Referência "&amp;Excel_BuiltIn_Database&amp;".xlsm)",IF(OR($C296&lt;&gt;"S",ORÇAMENTO.CodBarra=""),"(Sem Código)",IF(ISERROR(MATCH($AE296,INDIRECT(ORÇAMENTO.BancoRef),0)),"(Código não identificado nas referências)",MATCH($AE296,INDIRECT(ORÇAMENTO.BancoRef),0))))</f>
        <v>(abra o arquivo 'Referência 06-2024.xlsm)</v>
      </c>
      <c r="AG296" s="498">
        <f ca="1">ROUND(IF(DESONERACAO="sim",REFERENCIA.Desonerado,REFERENCIA.NaoDesonerado),2)</f>
        <v>0</v>
      </c>
      <c r="AH296" s="499">
        <f t="shared" ca="1" si="69"/>
        <v>0.2432</v>
      </c>
      <c r="AJ296" s="501"/>
      <c r="AL296" s="527"/>
      <c r="AM296" s="381">
        <f t="shared" ca="1" si="70"/>
        <v>0</v>
      </c>
      <c r="AN296" s="566">
        <f t="shared" ca="1" si="71"/>
        <v>0</v>
      </c>
    </row>
    <row r="297" spans="1:40" x14ac:dyDescent="0.2">
      <c r="A297" t="str">
        <f t="shared" si="56"/>
        <v>S</v>
      </c>
      <c r="B297">
        <f t="shared" ca="1" si="57"/>
        <v>2</v>
      </c>
      <c r="C297" t="str">
        <f t="shared" ca="1" si="58"/>
        <v>S</v>
      </c>
      <c r="D297">
        <f t="shared" ca="1" si="59"/>
        <v>0</v>
      </c>
      <c r="E297">
        <f ca="1">IF($C297=1,OFFSET(E297,-1,0)+MAX(1,COUNTIF(QCI!$A$13:$A$24,OFFSET(ORÇAMENTO!E297,-1,0))),OFFSET(E297,-1,0))</f>
        <v>1</v>
      </c>
      <c r="F297">
        <f t="shared" ca="1" si="60"/>
        <v>37</v>
      </c>
      <c r="G297">
        <f t="shared" ca="1" si="61"/>
        <v>0</v>
      </c>
      <c r="H297">
        <f t="shared" ca="1" si="62"/>
        <v>0</v>
      </c>
      <c r="I297">
        <f t="shared" ca="1" si="63"/>
        <v>0</v>
      </c>
      <c r="J297">
        <f t="shared" ca="1" si="75"/>
        <v>0</v>
      </c>
      <c r="K297">
        <f ca="1">IF(OR($C297="S",$C297=0),0,MATCH(OFFSET($D297,0,$C297)+IF($C297&lt;&gt;1,1,COUNTIF(QCI!$A$13:$A$24,ORÇAMENTO!E297)),OFFSET($D297,1,$C297,ROW($C$727)-ROW($C297)),0))</f>
        <v>0</v>
      </c>
      <c r="L297" s="116" t="str">
        <f t="shared" ca="1" si="64"/>
        <v/>
      </c>
      <c r="M297" s="117" t="s">
        <v>199</v>
      </c>
      <c r="N297" s="118" t="str">
        <f t="shared" ca="1" si="65"/>
        <v>Serviço</v>
      </c>
      <c r="O297" s="119" t="str">
        <f t="shared" ca="1" si="66"/>
        <v>-</v>
      </c>
      <c r="P297" s="120" t="s">
        <v>458</v>
      </c>
      <c r="Q297" s="121" t="s">
        <v>681</v>
      </c>
      <c r="R297" s="122" t="str">
        <f ca="1">IF($C297="S",REFERENCIA.Descricao,"(digite a descrição aqui)")</f>
        <v>(abra o arquivo 'Referência 06-2024.xlsm)</v>
      </c>
      <c r="S297" s="123" t="str">
        <f ca="1">REFERENCIA.Unidade</f>
        <v>-</v>
      </c>
      <c r="T297" s="124">
        <f ca="1">OFFSET(CÁLCULO!H$15,ROW($T297)-ROW(T$15),0)</f>
        <v>2</v>
      </c>
      <c r="U297" s="125">
        <f t="shared" ca="1" si="76"/>
        <v>0</v>
      </c>
      <c r="V297" s="126" t="s">
        <v>156</v>
      </c>
      <c r="W297" s="124">
        <f ca="1">IF($C297="S",ROUND(IF(TIPOORCAMENTO="Proposto",ORÇAMENTO.CustoUnitario*(1+$AH297),ORÇAMENTO.PrecoUnitarioLicitado),15-13*$AF$10),0)</f>
        <v>0</v>
      </c>
      <c r="X297" s="127">
        <f ca="1">IF($C297="S",IF(Import.TipoArredondamento&lt;&gt;"TransfereGOV",VTOTAL1,SUM(OFFSET(CÁLCULO!$AI$15,ROW($X297)-ROW($X$15),1):OFFSET(CÁLCULO!$BB$15,ROW($X297)-ROW($X$15),-1))),IF($C297=0,0,ROUND(SomaAgrup,15-13*$AF$11)))</f>
        <v>0</v>
      </c>
      <c r="Y297" s="128" t="s">
        <v>245</v>
      </c>
      <c r="Z297" t="str">
        <f t="shared" ca="1" si="67"/>
        <v/>
      </c>
      <c r="AA297" s="129">
        <f ca="1">IF($C297="S",IF($Z297="CP",$X297,IF($Z297="RA",(($X297)*QCI!$AA$3),0)),SomaAgrup)</f>
        <v>0</v>
      </c>
      <c r="AB297" s="130">
        <f t="shared" ca="1" si="68"/>
        <v>0</v>
      </c>
      <c r="AC297" s="131" t="str">
        <f ca="1">IF($N297="","",IF(ORÇAMENTO.Descricao="","DESCRIÇÃO",IF(AND($C297="S",ORÇAMENTO.Unidade=""),"UNIDADE",IF($X297&lt;0,"VALOR NEGATIVO",IF(OR(AND(TIPOORCAMENTO="Proposto",$AG297&lt;&gt;"",$AG297&gt;0,ORÇAMENTO.CustoUnitario&gt;$AG297),AND(TIPOORCAMENTO="LICITADO",ORÇAMENTO.PrecoUnitarioLicitado&gt;$AN297)),"ACIMA REF.","")))))</f>
        <v/>
      </c>
      <c r="AD297" t="str">
        <f ca="1">IF(C297&lt;=CRONO.NivelExibicao,MAX($AD$15:OFFSET(AD297,-1,0))+IF($C297&lt;&gt;1,1,MAX(1,COUNTIF(QCI!$A$13:$A$24,OFFSET($E297,-1,0)))),"")</f>
        <v/>
      </c>
      <c r="AE297" s="7" t="str">
        <f ca="1">IF(AND($C297="S",ORÇAMENTO.CodBarra&lt;&gt;""),IF(ORÇAMENTO.Fonte="",ORÇAMENTO.CodBarra,CONCATENATE(ORÇAMENTO.Fonte," ",ORÇAMENTO.CodBarra)))</f>
        <v>COMPOSIÇÃO FNDE 79</v>
      </c>
      <c r="AF297" s="13" t="str">
        <f ca="1">IF(ISERROR(INDIRECT(ORÇAMENTO.BancoRef)),"(abra o arquivo 'Referência "&amp;Excel_BuiltIn_Database&amp;".xlsm)",IF(OR($C297&lt;&gt;"S",ORÇAMENTO.CodBarra=""),"(Sem Código)",IF(ISERROR(MATCH($AE297,INDIRECT(ORÇAMENTO.BancoRef),0)),"(Código não identificado nas referências)",MATCH($AE297,INDIRECT(ORÇAMENTO.BancoRef),0))))</f>
        <v>(abra o arquivo 'Referência 06-2024.xlsm)</v>
      </c>
      <c r="AG297" s="498">
        <f ca="1">ROUND(IF(DESONERACAO="sim",REFERENCIA.Desonerado,REFERENCIA.NaoDesonerado),2)</f>
        <v>0</v>
      </c>
      <c r="AH297" s="499">
        <f t="shared" ca="1" si="69"/>
        <v>0.2432</v>
      </c>
      <c r="AJ297" s="501"/>
      <c r="AL297" s="527"/>
      <c r="AM297" s="381">
        <f t="shared" ca="1" si="70"/>
        <v>0</v>
      </c>
      <c r="AN297" s="566">
        <f t="shared" ca="1" si="71"/>
        <v>0</v>
      </c>
    </row>
    <row r="298" spans="1:40" ht="38.25" x14ac:dyDescent="0.2">
      <c r="A298" t="str">
        <f t="shared" si="56"/>
        <v>S</v>
      </c>
      <c r="B298">
        <f t="shared" ca="1" si="57"/>
        <v>2</v>
      </c>
      <c r="C298" t="str">
        <f t="shared" ca="1" si="58"/>
        <v>S</v>
      </c>
      <c r="D298">
        <f t="shared" ca="1" si="59"/>
        <v>0</v>
      </c>
      <c r="E298">
        <f ca="1">IF($C298=1,OFFSET(E298,-1,0)+MAX(1,COUNTIF(QCI!$A$13:$A$24,OFFSET(ORÇAMENTO!E298,-1,0))),OFFSET(E298,-1,0))</f>
        <v>1</v>
      </c>
      <c r="F298">
        <f t="shared" ca="1" si="60"/>
        <v>37</v>
      </c>
      <c r="G298">
        <f t="shared" ca="1" si="61"/>
        <v>0</v>
      </c>
      <c r="H298">
        <f t="shared" ca="1" si="62"/>
        <v>0</v>
      </c>
      <c r="I298">
        <f t="shared" ca="1" si="63"/>
        <v>0</v>
      </c>
      <c r="J298">
        <f t="shared" ca="1" si="75"/>
        <v>0</v>
      </c>
      <c r="K298">
        <f ca="1">IF(OR($C298="S",$C298=0),0,MATCH(OFFSET($D298,0,$C298)+IF($C298&lt;&gt;1,1,COUNTIF(QCI!$A$13:$A$24,ORÇAMENTO!E298)),OFFSET($D298,1,$C298,ROW($C$727)-ROW($C298)),0))</f>
        <v>0</v>
      </c>
      <c r="L298" s="116" t="str">
        <f t="shared" ca="1" si="64"/>
        <v/>
      </c>
      <c r="M298" s="117" t="s">
        <v>199</v>
      </c>
      <c r="N298" s="118" t="str">
        <f t="shared" ca="1" si="65"/>
        <v>Serviço</v>
      </c>
      <c r="O298" s="119" t="str">
        <f t="shared" ca="1" si="66"/>
        <v>-</v>
      </c>
      <c r="P298" s="120" t="s">
        <v>247</v>
      </c>
      <c r="Q298" s="121" t="s">
        <v>682</v>
      </c>
      <c r="R298" s="122" t="str">
        <f ca="1">IF($C298="S",REFERENCIA.Descricao,"(digite a descrição aqui)")</f>
        <v>(abra o arquivo 'Referência 06-2024.xlsm)</v>
      </c>
      <c r="S298" s="123" t="str">
        <f ca="1">REFERENCIA.Unidade</f>
        <v>-</v>
      </c>
      <c r="T298" s="124">
        <f ca="1">OFFSET(CÁLCULO!H$15,ROW($T298)-ROW(T$15),0)</f>
        <v>10</v>
      </c>
      <c r="U298" s="125">
        <f t="shared" ca="1" si="76"/>
        <v>0</v>
      </c>
      <c r="V298" s="126" t="s">
        <v>156</v>
      </c>
      <c r="W298" s="124">
        <f ca="1">IF($C298="S",ROUND(IF(TIPOORCAMENTO="Proposto",ORÇAMENTO.CustoUnitario*(1+$AH298),ORÇAMENTO.PrecoUnitarioLicitado),15-13*$AF$10),0)</f>
        <v>0</v>
      </c>
      <c r="X298" s="127">
        <f ca="1">IF($C298="S",IF(Import.TipoArredondamento&lt;&gt;"TransfereGOV",VTOTAL1,SUM(OFFSET(CÁLCULO!$AI$15,ROW($X298)-ROW($X$15),1):OFFSET(CÁLCULO!$BB$15,ROW($X298)-ROW($X$15),-1))),IF($C298=0,0,ROUND(SomaAgrup,15-13*$AF$11)))</f>
        <v>0</v>
      </c>
      <c r="Y298" s="128" t="s">
        <v>245</v>
      </c>
      <c r="Z298" t="str">
        <f t="shared" ca="1" si="67"/>
        <v/>
      </c>
      <c r="AA298" s="129">
        <f ca="1">IF($C298="S",IF($Z298="CP",$X298,IF($Z298="RA",(($X298)*QCI!$AA$3),0)),SomaAgrup)</f>
        <v>0</v>
      </c>
      <c r="AB298" s="130">
        <f t="shared" ca="1" si="68"/>
        <v>0</v>
      </c>
      <c r="AC298" s="131" t="str">
        <f ca="1">IF($N298="","",IF(ORÇAMENTO.Descricao="","DESCRIÇÃO",IF(AND($C298="S",ORÇAMENTO.Unidade=""),"UNIDADE",IF($X298&lt;0,"VALOR NEGATIVO",IF(OR(AND(TIPOORCAMENTO="Proposto",$AG298&lt;&gt;"",$AG298&gt;0,ORÇAMENTO.CustoUnitario&gt;$AG298),AND(TIPOORCAMENTO="LICITADO",ORÇAMENTO.PrecoUnitarioLicitado&gt;$AN298)),"ACIMA REF.","")))))</f>
        <v/>
      </c>
      <c r="AD298" t="str">
        <f ca="1">IF(C298&lt;=CRONO.NivelExibicao,MAX($AD$15:OFFSET(AD298,-1,0))+IF($C298&lt;&gt;1,1,MAX(1,COUNTIF(QCI!$A$13:$A$24,OFFSET($E298,-1,0)))),"")</f>
        <v/>
      </c>
      <c r="AE298" s="7" t="str">
        <f ca="1">IF(AND($C298="S",ORÇAMENTO.CodBarra&lt;&gt;""),IF(ORÇAMENTO.Fonte="",ORÇAMENTO.CodBarra,CONCATENATE(ORÇAMENTO.Fonte," ",ORÇAMENTO.CodBarra)))</f>
        <v>SINAPI 92692</v>
      </c>
      <c r="AF298" s="13" t="str">
        <f ca="1">IF(ISERROR(INDIRECT(ORÇAMENTO.BancoRef)),"(abra o arquivo 'Referência "&amp;Excel_BuiltIn_Database&amp;".xlsm)",IF(OR($C298&lt;&gt;"S",ORÇAMENTO.CodBarra=""),"(Sem Código)",IF(ISERROR(MATCH($AE298,INDIRECT(ORÇAMENTO.BancoRef),0)),"(Código não identificado nas referências)",MATCH($AE298,INDIRECT(ORÇAMENTO.BancoRef),0))))</f>
        <v>(abra o arquivo 'Referência 06-2024.xlsm)</v>
      </c>
      <c r="AG298" s="498">
        <f ca="1">ROUND(IF(DESONERACAO="sim",REFERENCIA.Desonerado,REFERENCIA.NaoDesonerado),2)</f>
        <v>0</v>
      </c>
      <c r="AH298" s="499">
        <f t="shared" ca="1" si="69"/>
        <v>0.2432</v>
      </c>
      <c r="AJ298" s="501"/>
      <c r="AL298" s="527"/>
      <c r="AM298" s="381">
        <f t="shared" ca="1" si="70"/>
        <v>0</v>
      </c>
      <c r="AN298" s="566">
        <f t="shared" ca="1" si="71"/>
        <v>0</v>
      </c>
    </row>
    <row r="299" spans="1:40" ht="25.5" x14ac:dyDescent="0.2">
      <c r="A299" t="str">
        <f t="shared" si="56"/>
        <v>S</v>
      </c>
      <c r="B299">
        <f t="shared" ca="1" si="57"/>
        <v>2</v>
      </c>
      <c r="C299" t="str">
        <f t="shared" ca="1" si="58"/>
        <v>S</v>
      </c>
      <c r="D299">
        <f t="shared" ca="1" si="59"/>
        <v>0</v>
      </c>
      <c r="E299">
        <f ca="1">IF($C299=1,OFFSET(E299,-1,0)+MAX(1,COUNTIF(QCI!$A$13:$A$24,OFFSET(ORÇAMENTO!E299,-1,0))),OFFSET(E299,-1,0))</f>
        <v>1</v>
      </c>
      <c r="F299">
        <f t="shared" ca="1" si="60"/>
        <v>37</v>
      </c>
      <c r="G299">
        <f t="shared" ca="1" si="61"/>
        <v>0</v>
      </c>
      <c r="H299">
        <f t="shared" ca="1" si="62"/>
        <v>0</v>
      </c>
      <c r="I299">
        <f t="shared" ca="1" si="63"/>
        <v>0</v>
      </c>
      <c r="J299">
        <f t="shared" ca="1" si="75"/>
        <v>0</v>
      </c>
      <c r="K299">
        <f ca="1">IF(OR($C299="S",$C299=0),0,MATCH(OFFSET($D299,0,$C299)+IF($C299&lt;&gt;1,1,COUNTIF(QCI!$A$13:$A$24,ORÇAMENTO!E299)),OFFSET($D299,1,$C299,ROW($C$727)-ROW($C299)),0))</f>
        <v>0</v>
      </c>
      <c r="L299" s="116" t="str">
        <f t="shared" ca="1" si="64"/>
        <v/>
      </c>
      <c r="M299" s="117" t="s">
        <v>199</v>
      </c>
      <c r="N299" s="118" t="str">
        <f t="shared" ca="1" si="65"/>
        <v>Serviço</v>
      </c>
      <c r="O299" s="119" t="str">
        <f t="shared" ca="1" si="66"/>
        <v>-</v>
      </c>
      <c r="P299" s="120" t="s">
        <v>247</v>
      </c>
      <c r="Q299" s="121" t="s">
        <v>683</v>
      </c>
      <c r="R299" s="122" t="str">
        <f ca="1">IF($C299="S",REFERENCIA.Descricao,"(digite a descrição aqui)")</f>
        <v>(abra o arquivo 'Referência 06-2024.xlsm)</v>
      </c>
      <c r="S299" s="123" t="str">
        <f ca="1">REFERENCIA.Unidade</f>
        <v>-</v>
      </c>
      <c r="T299" s="124">
        <f ca="1">OFFSET(CÁLCULO!H$15,ROW($T299)-ROW(T$15),0)</f>
        <v>5</v>
      </c>
      <c r="U299" s="125">
        <f t="shared" ca="1" si="76"/>
        <v>0</v>
      </c>
      <c r="V299" s="126" t="s">
        <v>156</v>
      </c>
      <c r="W299" s="124">
        <f ca="1">IF($C299="S",ROUND(IF(TIPOORCAMENTO="Proposto",ORÇAMENTO.CustoUnitario*(1+$AH299),ORÇAMENTO.PrecoUnitarioLicitado),15-13*$AF$10),0)</f>
        <v>0</v>
      </c>
      <c r="X299" s="127">
        <f ca="1">IF($C299="S",IF(Import.TipoArredondamento&lt;&gt;"TransfereGOV",VTOTAL1,SUM(OFFSET(CÁLCULO!$AI$15,ROW($X299)-ROW($X$15),1):OFFSET(CÁLCULO!$BB$15,ROW($X299)-ROW($X$15),-1))),IF($C299=0,0,ROUND(SomaAgrup,15-13*$AF$11)))</f>
        <v>0</v>
      </c>
      <c r="Y299" s="128" t="s">
        <v>245</v>
      </c>
      <c r="Z299" t="str">
        <f t="shared" ca="1" si="67"/>
        <v/>
      </c>
      <c r="AA299" s="129">
        <f ca="1">IF($C299="S",IF($Z299="CP",$X299,IF($Z299="RA",(($X299)*QCI!$AA$3),0)),SomaAgrup)</f>
        <v>0</v>
      </c>
      <c r="AB299" s="130">
        <f t="shared" ca="1" si="68"/>
        <v>0</v>
      </c>
      <c r="AC299" s="131" t="str">
        <f ca="1">IF($N299="","",IF(ORÇAMENTO.Descricao="","DESCRIÇÃO",IF(AND($C299="S",ORÇAMENTO.Unidade=""),"UNIDADE",IF($X299&lt;0,"VALOR NEGATIVO",IF(OR(AND(TIPOORCAMENTO="Proposto",$AG299&lt;&gt;"",$AG299&gt;0,ORÇAMENTO.CustoUnitario&gt;$AG299),AND(TIPOORCAMENTO="LICITADO",ORÇAMENTO.PrecoUnitarioLicitado&gt;$AN299)),"ACIMA REF.","")))))</f>
        <v/>
      </c>
      <c r="AD299" t="str">
        <f ca="1">IF(C299&lt;=CRONO.NivelExibicao,MAX($AD$15:OFFSET(AD299,-1,0))+IF($C299&lt;&gt;1,1,MAX(1,COUNTIF(QCI!$A$13:$A$24,OFFSET($E299,-1,0)))),"")</f>
        <v/>
      </c>
      <c r="AE299" s="7" t="str">
        <f ca="1">IF(AND($C299="S",ORÇAMENTO.CodBarra&lt;&gt;""),IF(ORÇAMENTO.Fonte="",ORÇAMENTO.CodBarra,CONCATENATE(ORÇAMENTO.Fonte," ",ORÇAMENTO.CodBarra)))</f>
        <v>SINAPI 86884</v>
      </c>
      <c r="AF299" s="13" t="str">
        <f ca="1">IF(ISERROR(INDIRECT(ORÇAMENTO.BancoRef)),"(abra o arquivo 'Referência "&amp;Excel_BuiltIn_Database&amp;".xlsm)",IF(OR($C299&lt;&gt;"S",ORÇAMENTO.CodBarra=""),"(Sem Código)",IF(ISERROR(MATCH($AE299,INDIRECT(ORÇAMENTO.BancoRef),0)),"(Código não identificado nas referências)",MATCH($AE299,INDIRECT(ORÇAMENTO.BancoRef),0))))</f>
        <v>(abra o arquivo 'Referência 06-2024.xlsm)</v>
      </c>
      <c r="AG299" s="498">
        <f ca="1">ROUND(IF(DESONERACAO="sim",REFERENCIA.Desonerado,REFERENCIA.NaoDesonerado),2)</f>
        <v>0</v>
      </c>
      <c r="AH299" s="499">
        <f t="shared" ca="1" si="69"/>
        <v>0.2432</v>
      </c>
      <c r="AJ299" s="501"/>
      <c r="AL299" s="527"/>
      <c r="AM299" s="381">
        <f t="shared" ca="1" si="70"/>
        <v>0</v>
      </c>
      <c r="AN299" s="566">
        <f t="shared" ca="1" si="71"/>
        <v>0</v>
      </c>
    </row>
    <row r="300" spans="1:40" ht="25.5" x14ac:dyDescent="0.2">
      <c r="A300">
        <f t="shared" si="56"/>
        <v>2</v>
      </c>
      <c r="B300">
        <f t="shared" ca="1" si="57"/>
        <v>2</v>
      </c>
      <c r="C300">
        <f t="shared" ca="1" si="58"/>
        <v>2</v>
      </c>
      <c r="D300">
        <f t="shared" ca="1" si="59"/>
        <v>16</v>
      </c>
      <c r="E300">
        <f ca="1">IF($C300=1,OFFSET(E300,-1,0)+MAX(1,COUNTIF(QCI!$A$13:$A$24,OFFSET(ORÇAMENTO!E300,-1,0))),OFFSET(E300,-1,0))</f>
        <v>1</v>
      </c>
      <c r="F300">
        <f t="shared" ca="1" si="60"/>
        <v>38</v>
      </c>
      <c r="G300">
        <f t="shared" ca="1" si="61"/>
        <v>0</v>
      </c>
      <c r="H300">
        <f t="shared" ca="1" si="62"/>
        <v>0</v>
      </c>
      <c r="I300">
        <f t="shared" ca="1" si="63"/>
        <v>0</v>
      </c>
      <c r="J300">
        <f t="shared" ca="1" si="75"/>
        <v>427</v>
      </c>
      <c r="K300">
        <f ca="1">IF(OR($C300="S",$C300=0),0,MATCH(OFFSET($D300,0,$C300)+IF($C300&lt;&gt;1,1,COUNTIF(QCI!$A$13:$A$24,ORÇAMENTO!E300)),OFFSET($D300,1,$C300,ROW($C$727)-ROW($C300)),0))</f>
        <v>16</v>
      </c>
      <c r="L300" s="116" t="str">
        <f t="shared" ca="1" si="64"/>
        <v>F</v>
      </c>
      <c r="M300" s="117" t="s">
        <v>196</v>
      </c>
      <c r="N300" s="118" t="str">
        <f t="shared" ca="1" si="65"/>
        <v>Nível 2</v>
      </c>
      <c r="O300" s="119" t="str">
        <f t="shared" ca="1" si="66"/>
        <v>1.38.</v>
      </c>
      <c r="P300" s="120" t="s">
        <v>247</v>
      </c>
      <c r="Q300" s="121"/>
      <c r="R300" s="122" t="s">
        <v>1063</v>
      </c>
      <c r="S300" s="123" t="str">
        <f ca="1">REFERENCIA.Unidade</f>
        <v>-</v>
      </c>
      <c r="T300" s="124">
        <f ca="1">OFFSET(CÁLCULO!H$15,ROW($T300)-ROW(T$15),0)</f>
        <v>0</v>
      </c>
      <c r="U300" s="125">
        <f t="shared" ca="1" si="76"/>
        <v>0</v>
      </c>
      <c r="V300" s="126" t="s">
        <v>156</v>
      </c>
      <c r="W300" s="124">
        <f ca="1">IF($C300="S",ROUND(IF(TIPOORCAMENTO="Proposto",ORÇAMENTO.CustoUnitario*(1+$AH300),ORÇAMENTO.PrecoUnitarioLicitado),15-13*$AF$10),0)</f>
        <v>0</v>
      </c>
      <c r="X300" s="127">
        <f ca="1">IF($C300="S",IF(Import.TipoArredondamento&lt;&gt;"TransfereGOV",VTOTAL1,SUM(OFFSET(CÁLCULO!$AI$15,ROW($X300)-ROW($X$15),1):OFFSET(CÁLCULO!$BB$15,ROW($X300)-ROW($X$15),-1))),IF($C300=0,0,ROUND(SomaAgrup,15-13*$AF$11)))</f>
        <v>0</v>
      </c>
      <c r="Y300" s="128" t="s">
        <v>245</v>
      </c>
      <c r="Z300" t="str">
        <f t="shared" ca="1" si="67"/>
        <v/>
      </c>
      <c r="AA300" s="129">
        <f ca="1">IF($C300="S",IF($Z300="CP",$X300,IF($Z300="RA",(($X300)*QCI!$AA$3),0)),SomaAgrup)</f>
        <v>0</v>
      </c>
      <c r="AB300" s="130">
        <f t="shared" ca="1" si="68"/>
        <v>0</v>
      </c>
      <c r="AC300" s="131" t="str">
        <f ca="1">IF($N300="","",IF(ORÇAMENTO.Descricao="","DESCRIÇÃO",IF(AND($C300="S",ORÇAMENTO.Unidade=""),"UNIDADE",IF($X300&lt;0,"VALOR NEGATIVO",IF(OR(AND(TIPOORCAMENTO="Proposto",$AG300&lt;&gt;"",$AG300&gt;0,ORÇAMENTO.CustoUnitario&gt;$AG300),AND(TIPOORCAMENTO="LICITADO",ORÇAMENTO.PrecoUnitarioLicitado&gt;$AN300)),"ACIMA REF.","")))))</f>
        <v/>
      </c>
      <c r="AD300">
        <f ca="1">IF(C300&lt;=CRONO.NivelExibicao,MAX($AD$15:OFFSET(AD300,-1,0))+IF($C300&lt;&gt;1,1,MAX(1,COUNTIF(QCI!$A$13:$A$24,OFFSET($E300,-1,0)))),"")</f>
        <v>39</v>
      </c>
      <c r="AE300" s="7" t="b">
        <f ca="1">IF(AND($C300="S",ORÇAMENTO.CodBarra&lt;&gt;""),IF(ORÇAMENTO.Fonte="",ORÇAMENTO.CodBarra,CONCATENATE(ORÇAMENTO.Fonte," ",ORÇAMENTO.CodBarra)))</f>
        <v>0</v>
      </c>
      <c r="AF300" s="13" t="str">
        <f ca="1">IF(ISERROR(INDIRECT(ORÇAMENTO.BancoRef)),"(abra o arquivo 'Referência "&amp;Excel_BuiltIn_Database&amp;".xlsm)",IF(OR($C300&lt;&gt;"S",ORÇAMENTO.CodBarra=""),"(Sem Código)",IF(ISERROR(MATCH($AE300,INDIRECT(ORÇAMENTO.BancoRef),0)),"(Código não identificado nas referências)",MATCH($AE300,INDIRECT(ORÇAMENTO.BancoRef),0))))</f>
        <v>(abra o arquivo 'Referência 06-2024.xlsm)</v>
      </c>
      <c r="AG300" s="498">
        <f ca="1">ROUND(IF(DESONERACAO="sim",REFERENCIA.Desonerado,REFERENCIA.NaoDesonerado),2)</f>
        <v>0</v>
      </c>
      <c r="AH300" s="499">
        <f t="shared" ca="1" si="69"/>
        <v>0.2432</v>
      </c>
      <c r="AJ300" s="501"/>
      <c r="AL300" s="527"/>
      <c r="AM300" s="381">
        <f t="shared" ca="1" si="70"/>
        <v>0</v>
      </c>
      <c r="AN300" s="566">
        <f t="shared" ca="1" si="71"/>
        <v>0</v>
      </c>
    </row>
    <row r="301" spans="1:40" ht="38.25" x14ac:dyDescent="0.2">
      <c r="A301" t="str">
        <f t="shared" si="56"/>
        <v>S</v>
      </c>
      <c r="B301">
        <f t="shared" ca="1" si="57"/>
        <v>2</v>
      </c>
      <c r="C301" t="str">
        <f t="shared" ca="1" si="58"/>
        <v>S</v>
      </c>
      <c r="D301">
        <f t="shared" ca="1" si="59"/>
        <v>0</v>
      </c>
      <c r="E301">
        <f ca="1">IF($C301=1,OFFSET(E301,-1,0)+MAX(1,COUNTIF(QCI!$A$13:$A$24,OFFSET(ORÇAMENTO!E301,-1,0))),OFFSET(E301,-1,0))</f>
        <v>1</v>
      </c>
      <c r="F301">
        <f t="shared" ca="1" si="60"/>
        <v>38</v>
      </c>
      <c r="G301">
        <f t="shared" ca="1" si="61"/>
        <v>0</v>
      </c>
      <c r="H301">
        <f t="shared" ca="1" si="62"/>
        <v>0</v>
      </c>
      <c r="I301">
        <f t="shared" ca="1" si="63"/>
        <v>0</v>
      </c>
      <c r="J301">
        <f t="shared" ca="1" si="75"/>
        <v>0</v>
      </c>
      <c r="K301">
        <f ca="1">IF(OR($C301="S",$C301=0),0,MATCH(OFFSET($D301,0,$C301)+IF($C301&lt;&gt;1,1,COUNTIF(QCI!$A$13:$A$24,ORÇAMENTO!E301)),OFFSET($D301,1,$C301,ROW($C$727)-ROW($C301)),0))</f>
        <v>0</v>
      </c>
      <c r="L301" s="116" t="str">
        <f t="shared" ca="1" si="64"/>
        <v/>
      </c>
      <c r="M301" s="117" t="s">
        <v>199</v>
      </c>
      <c r="N301" s="118" t="str">
        <f t="shared" ca="1" si="65"/>
        <v>Serviço</v>
      </c>
      <c r="O301" s="119" t="str">
        <f t="shared" ca="1" si="66"/>
        <v>-</v>
      </c>
      <c r="P301" s="120" t="s">
        <v>247</v>
      </c>
      <c r="Q301" s="121" t="s">
        <v>684</v>
      </c>
      <c r="R301" s="122" t="str">
        <f ca="1">IF($C301="S",REFERENCIA.Descricao,"(digite a descrição aqui)")</f>
        <v>(abra o arquivo 'Referência 06-2024.xlsm)</v>
      </c>
      <c r="S301" s="123" t="str">
        <f ca="1">REFERENCIA.Unidade</f>
        <v>-</v>
      </c>
      <c r="T301" s="124">
        <f ca="1">OFFSET(CÁLCULO!H$15,ROW($T301)-ROW(T$15),0)</f>
        <v>164.6</v>
      </c>
      <c r="U301" s="125">
        <f t="shared" ca="1" si="76"/>
        <v>0</v>
      </c>
      <c r="V301" s="126" t="s">
        <v>156</v>
      </c>
      <c r="W301" s="124">
        <f ca="1">IF($C301="S",ROUND(IF(TIPOORCAMENTO="Proposto",ORÇAMENTO.CustoUnitario*(1+$AH301),ORÇAMENTO.PrecoUnitarioLicitado),15-13*$AF$10),0)</f>
        <v>0</v>
      </c>
      <c r="X301" s="127">
        <f ca="1">IF($C301="S",IF(Import.TipoArredondamento&lt;&gt;"TransfereGOV",VTOTAL1,SUM(OFFSET(CÁLCULO!$AI$15,ROW($X301)-ROW($X$15),1):OFFSET(CÁLCULO!$BB$15,ROW($X301)-ROW($X$15),-1))),IF($C301=0,0,ROUND(SomaAgrup,15-13*$AF$11)))</f>
        <v>0</v>
      </c>
      <c r="Y301" s="128" t="s">
        <v>245</v>
      </c>
      <c r="Z301" t="str">
        <f t="shared" ca="1" si="67"/>
        <v/>
      </c>
      <c r="AA301" s="129">
        <f ca="1">IF($C301="S",IF($Z301="CP",$X301,IF($Z301="RA",(($X301)*QCI!$AA$3),0)),SomaAgrup)</f>
        <v>0</v>
      </c>
      <c r="AB301" s="130">
        <f t="shared" ca="1" si="68"/>
        <v>0</v>
      </c>
      <c r="AC301" s="131" t="str">
        <f ca="1">IF($N301="","",IF(ORÇAMENTO.Descricao="","DESCRIÇÃO",IF(AND($C301="S",ORÇAMENTO.Unidade=""),"UNIDADE",IF($X301&lt;0,"VALOR NEGATIVO",IF(OR(AND(TIPOORCAMENTO="Proposto",$AG301&lt;&gt;"",$AG301&gt;0,ORÇAMENTO.CustoUnitario&gt;$AG301),AND(TIPOORCAMENTO="LICITADO",ORÇAMENTO.PrecoUnitarioLicitado&gt;$AN301)),"ACIMA REF.","")))))</f>
        <v/>
      </c>
      <c r="AD301" t="str">
        <f ca="1">IF(C301&lt;=CRONO.NivelExibicao,MAX($AD$15:OFFSET(AD301,-1,0))+IF($C301&lt;&gt;1,1,MAX(1,COUNTIF(QCI!$A$13:$A$24,OFFSET($E301,-1,0)))),"")</f>
        <v/>
      </c>
      <c r="AE301" s="7" t="str">
        <f ca="1">IF(AND($C301="S",ORÇAMENTO.CodBarra&lt;&gt;""),IF(ORÇAMENTO.Fonte="",ORÇAMENTO.CodBarra,CONCATENATE(ORÇAMENTO.Fonte," ",ORÇAMENTO.CodBarra)))</f>
        <v>SINAPI 89578</v>
      </c>
      <c r="AF301" s="13" t="str">
        <f ca="1">IF(ISERROR(INDIRECT(ORÇAMENTO.BancoRef)),"(abra o arquivo 'Referência "&amp;Excel_BuiltIn_Database&amp;".xlsm)",IF(OR($C301&lt;&gt;"S",ORÇAMENTO.CodBarra=""),"(Sem Código)",IF(ISERROR(MATCH($AE301,INDIRECT(ORÇAMENTO.BancoRef),0)),"(Código não identificado nas referências)",MATCH($AE301,INDIRECT(ORÇAMENTO.BancoRef),0))))</f>
        <v>(abra o arquivo 'Referência 06-2024.xlsm)</v>
      </c>
      <c r="AG301" s="498">
        <f ca="1">ROUND(IF(DESONERACAO="sim",REFERENCIA.Desonerado,REFERENCIA.NaoDesonerado),2)</f>
        <v>0</v>
      </c>
      <c r="AH301" s="499">
        <f t="shared" ca="1" si="69"/>
        <v>0.2432</v>
      </c>
      <c r="AJ301" s="501"/>
      <c r="AL301" s="527"/>
      <c r="AM301" s="381">
        <f t="shared" ca="1" si="70"/>
        <v>0</v>
      </c>
      <c r="AN301" s="566">
        <f t="shared" ca="1" si="71"/>
        <v>0</v>
      </c>
    </row>
    <row r="302" spans="1:40" ht="38.25" x14ac:dyDescent="0.2">
      <c r="A302" t="str">
        <f t="shared" si="56"/>
        <v>S</v>
      </c>
      <c r="B302">
        <f t="shared" ca="1" si="57"/>
        <v>2</v>
      </c>
      <c r="C302" t="str">
        <f t="shared" ca="1" si="58"/>
        <v>S</v>
      </c>
      <c r="D302">
        <f t="shared" ca="1" si="59"/>
        <v>0</v>
      </c>
      <c r="E302">
        <f ca="1">IF($C302=1,OFFSET(E302,-1,0)+MAX(1,COUNTIF(QCI!$A$13:$A$24,OFFSET(ORÇAMENTO!E302,-1,0))),OFFSET(E302,-1,0))</f>
        <v>1</v>
      </c>
      <c r="F302">
        <f t="shared" ca="1" si="60"/>
        <v>38</v>
      </c>
      <c r="G302">
        <f t="shared" ca="1" si="61"/>
        <v>0</v>
      </c>
      <c r="H302">
        <f t="shared" ca="1" si="62"/>
        <v>0</v>
      </c>
      <c r="I302">
        <f t="shared" ca="1" si="63"/>
        <v>0</v>
      </c>
      <c r="J302">
        <f t="shared" ca="1" si="75"/>
        <v>0</v>
      </c>
      <c r="K302">
        <f ca="1">IF(OR($C302="S",$C302=0),0,MATCH(OFFSET($D302,0,$C302)+IF($C302&lt;&gt;1,1,COUNTIF(QCI!$A$13:$A$24,ORÇAMENTO!E302)),OFFSET($D302,1,$C302,ROW($C$727)-ROW($C302)),0))</f>
        <v>0</v>
      </c>
      <c r="L302" s="116" t="str">
        <f t="shared" ca="1" si="64"/>
        <v/>
      </c>
      <c r="M302" s="117" t="s">
        <v>199</v>
      </c>
      <c r="N302" s="118" t="str">
        <f t="shared" ca="1" si="65"/>
        <v>Serviço</v>
      </c>
      <c r="O302" s="119" t="str">
        <f t="shared" ca="1" si="66"/>
        <v>-</v>
      </c>
      <c r="P302" s="120" t="s">
        <v>247</v>
      </c>
      <c r="Q302" s="121" t="s">
        <v>685</v>
      </c>
      <c r="R302" s="122" t="str">
        <f ca="1">IF($C302="S",REFERENCIA.Descricao,"(digite a descrição aqui)")</f>
        <v>(abra o arquivo 'Referência 06-2024.xlsm)</v>
      </c>
      <c r="S302" s="123" t="str">
        <f ca="1">REFERENCIA.Unidade</f>
        <v>-</v>
      </c>
      <c r="T302" s="124">
        <f ca="1">OFFSET(CÁLCULO!H$15,ROW($T302)-ROW(T$15),0)</f>
        <v>65.7</v>
      </c>
      <c r="U302" s="125">
        <f t="shared" ca="1" si="76"/>
        <v>0</v>
      </c>
      <c r="V302" s="126" t="s">
        <v>156</v>
      </c>
      <c r="W302" s="124">
        <f ca="1">IF($C302="S",ROUND(IF(TIPOORCAMENTO="Proposto",ORÇAMENTO.CustoUnitario*(1+$AH302),ORÇAMENTO.PrecoUnitarioLicitado),15-13*$AF$10),0)</f>
        <v>0</v>
      </c>
      <c r="X302" s="127">
        <f ca="1">IF($C302="S",IF(Import.TipoArredondamento&lt;&gt;"TransfereGOV",VTOTAL1,SUM(OFFSET(CÁLCULO!$AI$15,ROW($X302)-ROW($X$15),1):OFFSET(CÁLCULO!$BB$15,ROW($X302)-ROW($X$15),-1))),IF($C302=0,0,ROUND(SomaAgrup,15-13*$AF$11)))</f>
        <v>0</v>
      </c>
      <c r="Y302" s="128" t="s">
        <v>245</v>
      </c>
      <c r="Z302" t="str">
        <f t="shared" ca="1" si="67"/>
        <v/>
      </c>
      <c r="AA302" s="129">
        <f ca="1">IF($C302="S",IF($Z302="CP",$X302,IF($Z302="RA",(($X302)*QCI!$AA$3),0)),SomaAgrup)</f>
        <v>0</v>
      </c>
      <c r="AB302" s="130">
        <f t="shared" ca="1" si="68"/>
        <v>0</v>
      </c>
      <c r="AC302" s="131" t="str">
        <f ca="1">IF($N302="","",IF(ORÇAMENTO.Descricao="","DESCRIÇÃO",IF(AND($C302="S",ORÇAMENTO.Unidade=""),"UNIDADE",IF($X302&lt;0,"VALOR NEGATIVO",IF(OR(AND(TIPOORCAMENTO="Proposto",$AG302&lt;&gt;"",$AG302&gt;0,ORÇAMENTO.CustoUnitario&gt;$AG302),AND(TIPOORCAMENTO="LICITADO",ORÇAMENTO.PrecoUnitarioLicitado&gt;$AN302)),"ACIMA REF.","")))))</f>
        <v/>
      </c>
      <c r="AD302" t="str">
        <f ca="1">IF(C302&lt;=CRONO.NivelExibicao,MAX($AD$15:OFFSET(AD302,-1,0))+IF($C302&lt;&gt;1,1,MAX(1,COUNTIF(QCI!$A$13:$A$24,OFFSET($E302,-1,0)))),"")</f>
        <v/>
      </c>
      <c r="AE302" s="7" t="str">
        <f ca="1">IF(AND($C302="S",ORÇAMENTO.CodBarra&lt;&gt;""),IF(ORÇAMENTO.Fonte="",ORÇAMENTO.CodBarra,CONCATENATE(ORÇAMENTO.Fonte," ",ORÇAMENTO.CodBarra)))</f>
        <v>SINAPI 89580</v>
      </c>
      <c r="AF302" s="13" t="str">
        <f ca="1">IF(ISERROR(INDIRECT(ORÇAMENTO.BancoRef)),"(abra o arquivo 'Referência "&amp;Excel_BuiltIn_Database&amp;".xlsm)",IF(OR($C302&lt;&gt;"S",ORÇAMENTO.CodBarra=""),"(Sem Código)",IF(ISERROR(MATCH($AE302,INDIRECT(ORÇAMENTO.BancoRef),0)),"(Código não identificado nas referências)",MATCH($AE302,INDIRECT(ORÇAMENTO.BancoRef),0))))</f>
        <v>(abra o arquivo 'Referência 06-2024.xlsm)</v>
      </c>
      <c r="AG302" s="498">
        <f ca="1">ROUND(IF(DESONERACAO="sim",REFERENCIA.Desonerado,REFERENCIA.NaoDesonerado),2)</f>
        <v>0</v>
      </c>
      <c r="AH302" s="499">
        <f t="shared" ca="1" si="69"/>
        <v>0.2432</v>
      </c>
      <c r="AJ302" s="501"/>
      <c r="AL302" s="527"/>
      <c r="AM302" s="381">
        <f t="shared" ca="1" si="70"/>
        <v>0</v>
      </c>
      <c r="AN302" s="566">
        <f t="shared" ca="1" si="71"/>
        <v>0</v>
      </c>
    </row>
    <row r="303" spans="1:40" ht="38.25" x14ac:dyDescent="0.2">
      <c r="A303" t="str">
        <f t="shared" si="56"/>
        <v>S</v>
      </c>
      <c r="B303">
        <f t="shared" ca="1" si="57"/>
        <v>2</v>
      </c>
      <c r="C303" t="str">
        <f t="shared" ca="1" si="58"/>
        <v>S</v>
      </c>
      <c r="D303">
        <f t="shared" ca="1" si="59"/>
        <v>0</v>
      </c>
      <c r="E303">
        <f ca="1">IF($C303=1,OFFSET(E303,-1,0)+MAX(1,COUNTIF(QCI!$A$13:$A$24,OFFSET(ORÇAMENTO!E303,-1,0))),OFFSET(E303,-1,0))</f>
        <v>1</v>
      </c>
      <c r="F303">
        <f t="shared" ca="1" si="60"/>
        <v>38</v>
      </c>
      <c r="G303">
        <f t="shared" ca="1" si="61"/>
        <v>0</v>
      </c>
      <c r="H303">
        <f t="shared" ca="1" si="62"/>
        <v>0</v>
      </c>
      <c r="I303">
        <f t="shared" ca="1" si="63"/>
        <v>0</v>
      </c>
      <c r="J303">
        <f t="shared" ca="1" si="75"/>
        <v>0</v>
      </c>
      <c r="K303">
        <f ca="1">IF(OR($C303="S",$C303=0),0,MATCH(OFFSET($D303,0,$C303)+IF($C303&lt;&gt;1,1,COUNTIF(QCI!$A$13:$A$24,ORÇAMENTO!E303)),OFFSET($D303,1,$C303,ROW($C$727)-ROW($C303)),0))</f>
        <v>0</v>
      </c>
      <c r="L303" s="116" t="str">
        <f t="shared" ca="1" si="64"/>
        <v/>
      </c>
      <c r="M303" s="117" t="s">
        <v>199</v>
      </c>
      <c r="N303" s="118" t="str">
        <f t="shared" ca="1" si="65"/>
        <v>Serviço</v>
      </c>
      <c r="O303" s="119" t="str">
        <f t="shared" ca="1" si="66"/>
        <v>-</v>
      </c>
      <c r="P303" s="120" t="s">
        <v>247</v>
      </c>
      <c r="Q303" s="121" t="s">
        <v>686</v>
      </c>
      <c r="R303" s="122" t="str">
        <f ca="1">IF($C303="S",REFERENCIA.Descricao,"(digite a descrição aqui)")</f>
        <v>(abra o arquivo 'Referência 06-2024.xlsm)</v>
      </c>
      <c r="S303" s="123" t="str">
        <f ca="1">REFERENCIA.Unidade</f>
        <v>-</v>
      </c>
      <c r="T303" s="124">
        <f ca="1">OFFSET(CÁLCULO!H$15,ROW($T303)-ROW(T$15),0)</f>
        <v>39.700000000000003</v>
      </c>
      <c r="U303" s="125">
        <f t="shared" ca="1" si="76"/>
        <v>0</v>
      </c>
      <c r="V303" s="126" t="s">
        <v>156</v>
      </c>
      <c r="W303" s="124">
        <f ca="1">IF($C303="S",ROUND(IF(TIPOORCAMENTO="Proposto",ORÇAMENTO.CustoUnitario*(1+$AH303),ORÇAMENTO.PrecoUnitarioLicitado),15-13*$AF$10),0)</f>
        <v>0</v>
      </c>
      <c r="X303" s="127">
        <f ca="1">IF($C303="S",IF(Import.TipoArredondamento&lt;&gt;"TransfereGOV",VTOTAL1,SUM(OFFSET(CÁLCULO!$AI$15,ROW($X303)-ROW($X$15),1):OFFSET(CÁLCULO!$BB$15,ROW($X303)-ROW($X$15),-1))),IF($C303=0,0,ROUND(SomaAgrup,15-13*$AF$11)))</f>
        <v>0</v>
      </c>
      <c r="Y303" s="128" t="s">
        <v>245</v>
      </c>
      <c r="Z303" t="str">
        <f t="shared" ca="1" si="67"/>
        <v/>
      </c>
      <c r="AA303" s="129">
        <f ca="1">IF($C303="S",IF($Z303="CP",$X303,IF($Z303="RA",(($X303)*QCI!$AA$3),0)),SomaAgrup)</f>
        <v>0</v>
      </c>
      <c r="AB303" s="130">
        <f t="shared" ca="1" si="68"/>
        <v>0</v>
      </c>
      <c r="AC303" s="131" t="str">
        <f ca="1">IF($N303="","",IF(ORÇAMENTO.Descricao="","DESCRIÇÃO",IF(AND($C303="S",ORÇAMENTO.Unidade=""),"UNIDADE",IF($X303&lt;0,"VALOR NEGATIVO",IF(OR(AND(TIPOORCAMENTO="Proposto",$AG303&lt;&gt;"",$AG303&gt;0,ORÇAMENTO.CustoUnitario&gt;$AG303),AND(TIPOORCAMENTO="LICITADO",ORÇAMENTO.PrecoUnitarioLicitado&gt;$AN303)),"ACIMA REF.","")))))</f>
        <v/>
      </c>
      <c r="AD303" t="str">
        <f ca="1">IF(C303&lt;=CRONO.NivelExibicao,MAX($AD$15:OFFSET(AD303,-1,0))+IF($C303&lt;&gt;1,1,MAX(1,COUNTIF(QCI!$A$13:$A$24,OFFSET($E303,-1,0)))),"")</f>
        <v/>
      </c>
      <c r="AE303" s="7" t="str">
        <f ca="1">IF(AND($C303="S",ORÇAMENTO.CodBarra&lt;&gt;""),IF(ORÇAMENTO.Fonte="",ORÇAMENTO.CodBarra,CONCATENATE(ORÇAMENTO.Fonte," ",ORÇAMENTO.CodBarra)))</f>
        <v>SINAPI 90702</v>
      </c>
      <c r="AF303" s="13" t="str">
        <f ca="1">IF(ISERROR(INDIRECT(ORÇAMENTO.BancoRef)),"(abra o arquivo 'Referência "&amp;Excel_BuiltIn_Database&amp;".xlsm)",IF(OR($C303&lt;&gt;"S",ORÇAMENTO.CodBarra=""),"(Sem Código)",IF(ISERROR(MATCH($AE303,INDIRECT(ORÇAMENTO.BancoRef),0)),"(Código não identificado nas referências)",MATCH($AE303,INDIRECT(ORÇAMENTO.BancoRef),0))))</f>
        <v>(abra o arquivo 'Referência 06-2024.xlsm)</v>
      </c>
      <c r="AG303" s="498">
        <f ca="1">ROUND(IF(DESONERACAO="sim",REFERENCIA.Desonerado,REFERENCIA.NaoDesonerado),2)</f>
        <v>0</v>
      </c>
      <c r="AH303" s="499">
        <f t="shared" ca="1" si="69"/>
        <v>0.2432</v>
      </c>
      <c r="AJ303" s="501"/>
      <c r="AL303" s="527"/>
      <c r="AM303" s="381">
        <f t="shared" ca="1" si="70"/>
        <v>0</v>
      </c>
      <c r="AN303" s="566">
        <f t="shared" ca="1" si="71"/>
        <v>0</v>
      </c>
    </row>
    <row r="304" spans="1:40" ht="38.25" x14ac:dyDescent="0.2">
      <c r="A304" t="str">
        <f t="shared" si="56"/>
        <v>S</v>
      </c>
      <c r="B304">
        <f t="shared" ca="1" si="57"/>
        <v>2</v>
      </c>
      <c r="C304" t="str">
        <f t="shared" ca="1" si="58"/>
        <v>S</v>
      </c>
      <c r="D304">
        <f t="shared" ca="1" si="59"/>
        <v>0</v>
      </c>
      <c r="E304">
        <f ca="1">IF($C304=1,OFFSET(E304,-1,0)+MAX(1,COUNTIF(QCI!$A$13:$A$24,OFFSET(ORÇAMENTO!E304,-1,0))),OFFSET(E304,-1,0))</f>
        <v>1</v>
      </c>
      <c r="F304">
        <f t="shared" ca="1" si="60"/>
        <v>38</v>
      </c>
      <c r="G304">
        <f t="shared" ca="1" si="61"/>
        <v>0</v>
      </c>
      <c r="H304">
        <f t="shared" ca="1" si="62"/>
        <v>0</v>
      </c>
      <c r="I304">
        <f t="shared" ca="1" si="63"/>
        <v>0</v>
      </c>
      <c r="J304">
        <f t="shared" ca="1" si="75"/>
        <v>0</v>
      </c>
      <c r="K304">
        <f ca="1">IF(OR($C304="S",$C304=0),0,MATCH(OFFSET($D304,0,$C304)+IF($C304&lt;&gt;1,1,COUNTIF(QCI!$A$13:$A$24,ORÇAMENTO!E304)),OFFSET($D304,1,$C304,ROW($C$727)-ROW($C304)),0))</f>
        <v>0</v>
      </c>
      <c r="L304" s="116" t="str">
        <f t="shared" ca="1" si="64"/>
        <v/>
      </c>
      <c r="M304" s="117" t="s">
        <v>199</v>
      </c>
      <c r="N304" s="118" t="str">
        <f t="shared" ca="1" si="65"/>
        <v>Serviço</v>
      </c>
      <c r="O304" s="119" t="str">
        <f t="shared" ca="1" si="66"/>
        <v>-</v>
      </c>
      <c r="P304" s="120" t="s">
        <v>247</v>
      </c>
      <c r="Q304" s="121" t="s">
        <v>687</v>
      </c>
      <c r="R304" s="122" t="str">
        <f ca="1">IF($C304="S",REFERENCIA.Descricao,"(digite a descrição aqui)")</f>
        <v>(abra o arquivo 'Referência 06-2024.xlsm)</v>
      </c>
      <c r="S304" s="123" t="str">
        <f ca="1">REFERENCIA.Unidade</f>
        <v>-</v>
      </c>
      <c r="T304" s="124">
        <f ca="1">OFFSET(CÁLCULO!H$15,ROW($T304)-ROW(T$15),0)</f>
        <v>62.8</v>
      </c>
      <c r="U304" s="125">
        <f t="shared" ca="1" si="76"/>
        <v>0</v>
      </c>
      <c r="V304" s="126" t="s">
        <v>156</v>
      </c>
      <c r="W304" s="124">
        <f ca="1">IF($C304="S",ROUND(IF(TIPOORCAMENTO="Proposto",ORÇAMENTO.CustoUnitario*(1+$AH304),ORÇAMENTO.PrecoUnitarioLicitado),15-13*$AF$10),0)</f>
        <v>0</v>
      </c>
      <c r="X304" s="127">
        <f ca="1">IF($C304="S",IF(Import.TipoArredondamento&lt;&gt;"TransfereGOV",VTOTAL1,SUM(OFFSET(CÁLCULO!$AI$15,ROW($X304)-ROW($X$15),1):OFFSET(CÁLCULO!$BB$15,ROW($X304)-ROW($X$15),-1))),IF($C304=0,0,ROUND(SomaAgrup,15-13*$AF$11)))</f>
        <v>0</v>
      </c>
      <c r="Y304" s="128" t="s">
        <v>245</v>
      </c>
      <c r="Z304" t="str">
        <f t="shared" ca="1" si="67"/>
        <v/>
      </c>
      <c r="AA304" s="129">
        <f ca="1">IF($C304="S",IF($Z304="CP",$X304,IF($Z304="RA",(($X304)*QCI!$AA$3),0)),SomaAgrup)</f>
        <v>0</v>
      </c>
      <c r="AB304" s="130">
        <f t="shared" ca="1" si="68"/>
        <v>0</v>
      </c>
      <c r="AC304" s="131" t="str">
        <f ca="1">IF($N304="","",IF(ORÇAMENTO.Descricao="","DESCRIÇÃO",IF(AND($C304="S",ORÇAMENTO.Unidade=""),"UNIDADE",IF($X304&lt;0,"VALOR NEGATIVO",IF(OR(AND(TIPOORCAMENTO="Proposto",$AG304&lt;&gt;"",$AG304&gt;0,ORÇAMENTO.CustoUnitario&gt;$AG304),AND(TIPOORCAMENTO="LICITADO",ORÇAMENTO.PrecoUnitarioLicitado&gt;$AN304)),"ACIMA REF.","")))))</f>
        <v/>
      </c>
      <c r="AD304" t="str">
        <f ca="1">IF(C304&lt;=CRONO.NivelExibicao,MAX($AD$15:OFFSET(AD304,-1,0))+IF($C304&lt;&gt;1,1,MAX(1,COUNTIF(QCI!$A$13:$A$24,OFFSET($E304,-1,0)))),"")</f>
        <v/>
      </c>
      <c r="AE304" s="7" t="str">
        <f ca="1">IF(AND($C304="S",ORÇAMENTO.CodBarra&lt;&gt;""),IF(ORÇAMENTO.Fonte="",ORÇAMENTO.CodBarra,CONCATENATE(ORÇAMENTO.Fonte," ",ORÇAMENTO.CodBarra)))</f>
        <v>SINAPI 90703</v>
      </c>
      <c r="AF304" s="13" t="str">
        <f ca="1">IF(ISERROR(INDIRECT(ORÇAMENTO.BancoRef)),"(abra o arquivo 'Referência "&amp;Excel_BuiltIn_Database&amp;".xlsm)",IF(OR($C304&lt;&gt;"S",ORÇAMENTO.CodBarra=""),"(Sem Código)",IF(ISERROR(MATCH($AE304,INDIRECT(ORÇAMENTO.BancoRef),0)),"(Código não identificado nas referências)",MATCH($AE304,INDIRECT(ORÇAMENTO.BancoRef),0))))</f>
        <v>(abra o arquivo 'Referência 06-2024.xlsm)</v>
      </c>
      <c r="AG304" s="498">
        <f ca="1">ROUND(IF(DESONERACAO="sim",REFERENCIA.Desonerado,REFERENCIA.NaoDesonerado),2)</f>
        <v>0</v>
      </c>
      <c r="AH304" s="499">
        <f t="shared" ca="1" si="69"/>
        <v>0.2432</v>
      </c>
      <c r="AJ304" s="501"/>
      <c r="AL304" s="527"/>
      <c r="AM304" s="381">
        <f t="shared" ca="1" si="70"/>
        <v>0</v>
      </c>
      <c r="AN304" s="566">
        <f t="shared" ca="1" si="71"/>
        <v>0</v>
      </c>
    </row>
    <row r="305" spans="1:40" ht="25.5" x14ac:dyDescent="0.2">
      <c r="A305" t="str">
        <f t="shared" si="56"/>
        <v>S</v>
      </c>
      <c r="B305">
        <f t="shared" ca="1" si="57"/>
        <v>2</v>
      </c>
      <c r="C305" t="str">
        <f t="shared" ca="1" si="58"/>
        <v>S</v>
      </c>
      <c r="D305">
        <f t="shared" ca="1" si="59"/>
        <v>0</v>
      </c>
      <c r="E305">
        <f ca="1">IF($C305=1,OFFSET(E305,-1,0)+MAX(1,COUNTIF(QCI!$A$13:$A$24,OFFSET(ORÇAMENTO!E305,-1,0))),OFFSET(E305,-1,0))</f>
        <v>1</v>
      </c>
      <c r="F305">
        <f t="shared" ca="1" si="60"/>
        <v>38</v>
      </c>
      <c r="G305">
        <f t="shared" ca="1" si="61"/>
        <v>0</v>
      </c>
      <c r="H305">
        <f t="shared" ca="1" si="62"/>
        <v>0</v>
      </c>
      <c r="I305">
        <f t="shared" ca="1" si="63"/>
        <v>0</v>
      </c>
      <c r="J305">
        <f t="shared" ca="1" si="75"/>
        <v>0</v>
      </c>
      <c r="K305">
        <f ca="1">IF(OR($C305="S",$C305=0),0,MATCH(OFFSET($D305,0,$C305)+IF($C305&lt;&gt;1,1,COUNTIF(QCI!$A$13:$A$24,ORÇAMENTO!E305)),OFFSET($D305,1,$C305,ROW($C$727)-ROW($C305)),0))</f>
        <v>0</v>
      </c>
      <c r="L305" s="116" t="str">
        <f t="shared" ca="1" si="64"/>
        <v/>
      </c>
      <c r="M305" s="117" t="s">
        <v>199</v>
      </c>
      <c r="N305" s="118" t="str">
        <f t="shared" ca="1" si="65"/>
        <v>Serviço</v>
      </c>
      <c r="O305" s="119" t="str">
        <f t="shared" ca="1" si="66"/>
        <v>-</v>
      </c>
      <c r="P305" s="120" t="s">
        <v>247</v>
      </c>
      <c r="Q305" s="121" t="s">
        <v>688</v>
      </c>
      <c r="R305" s="122" t="str">
        <f ca="1">IF($C305="S",REFERENCIA.Descricao,"(digite a descrição aqui)")</f>
        <v>(abra o arquivo 'Referência 06-2024.xlsm)</v>
      </c>
      <c r="S305" s="123" t="str">
        <f ca="1">REFERENCIA.Unidade</f>
        <v>-</v>
      </c>
      <c r="T305" s="124">
        <f ca="1">OFFSET(CÁLCULO!H$15,ROW($T305)-ROW(T$15),0)</f>
        <v>32.4</v>
      </c>
      <c r="U305" s="125">
        <f t="shared" ca="1" si="76"/>
        <v>0</v>
      </c>
      <c r="V305" s="126" t="s">
        <v>156</v>
      </c>
      <c r="W305" s="124">
        <f ca="1">IF($C305="S",ROUND(IF(TIPOORCAMENTO="Proposto",ORÇAMENTO.CustoUnitario*(1+$AH305),ORÇAMENTO.PrecoUnitarioLicitado),15-13*$AF$10),0)</f>
        <v>0</v>
      </c>
      <c r="X305" s="127">
        <f ca="1">IF($C305="S",IF(Import.TipoArredondamento&lt;&gt;"TransfereGOV",VTOTAL1,SUM(OFFSET(CÁLCULO!$AI$15,ROW($X305)-ROW($X$15),1):OFFSET(CÁLCULO!$BB$15,ROW($X305)-ROW($X$15),-1))),IF($C305=0,0,ROUND(SomaAgrup,15-13*$AF$11)))</f>
        <v>0</v>
      </c>
      <c r="Y305" s="128" t="s">
        <v>245</v>
      </c>
      <c r="Z305" t="str">
        <f t="shared" ca="1" si="67"/>
        <v/>
      </c>
      <c r="AA305" s="129">
        <f ca="1">IF($C305="S",IF($Z305="CP",$X305,IF($Z305="RA",(($X305)*QCI!$AA$3),0)),SomaAgrup)</f>
        <v>0</v>
      </c>
      <c r="AB305" s="130">
        <f t="shared" ca="1" si="68"/>
        <v>0</v>
      </c>
      <c r="AC305" s="131" t="str">
        <f ca="1">IF($N305="","",IF(ORÇAMENTO.Descricao="","DESCRIÇÃO",IF(AND($C305="S",ORÇAMENTO.Unidade=""),"UNIDADE",IF($X305&lt;0,"VALOR NEGATIVO",IF(OR(AND(TIPOORCAMENTO="Proposto",$AG305&lt;&gt;"",$AG305&gt;0,ORÇAMENTO.CustoUnitario&gt;$AG305),AND(TIPOORCAMENTO="LICITADO",ORÇAMENTO.PrecoUnitarioLicitado&gt;$AN305)),"ACIMA REF.","")))))</f>
        <v/>
      </c>
      <c r="AD305" t="str">
        <f ca="1">IF(C305&lt;=CRONO.NivelExibicao,MAX($AD$15:OFFSET(AD305,-1,0))+IF($C305&lt;&gt;1,1,MAX(1,COUNTIF(QCI!$A$13:$A$24,OFFSET($E305,-1,0)))),"")</f>
        <v/>
      </c>
      <c r="AE305" s="7" t="str">
        <f ca="1">IF(AND($C305="S",ORÇAMENTO.CodBarra&lt;&gt;""),IF(ORÇAMENTO.Fonte="",ORÇAMENTO.CodBarra,CONCATENATE(ORÇAMENTO.Fonte," ",ORÇAMENTO.CodBarra)))</f>
        <v>SINAPI 89509</v>
      </c>
      <c r="AF305" s="13" t="str">
        <f ca="1">IF(ISERROR(INDIRECT(ORÇAMENTO.BancoRef)),"(abra o arquivo 'Referência "&amp;Excel_BuiltIn_Database&amp;".xlsm)",IF(OR($C305&lt;&gt;"S",ORÇAMENTO.CodBarra=""),"(Sem Código)",IF(ISERROR(MATCH($AE305,INDIRECT(ORÇAMENTO.BancoRef),0)),"(Código não identificado nas referências)",MATCH($AE305,INDIRECT(ORÇAMENTO.BancoRef),0))))</f>
        <v>(abra o arquivo 'Referência 06-2024.xlsm)</v>
      </c>
      <c r="AG305" s="498">
        <f ca="1">ROUND(IF(DESONERACAO="sim",REFERENCIA.Desonerado,REFERENCIA.NaoDesonerado),2)</f>
        <v>0</v>
      </c>
      <c r="AH305" s="499">
        <f t="shared" ca="1" si="69"/>
        <v>0.2432</v>
      </c>
      <c r="AJ305" s="501"/>
      <c r="AL305" s="527"/>
      <c r="AM305" s="381">
        <f t="shared" ca="1" si="70"/>
        <v>0</v>
      </c>
      <c r="AN305" s="566">
        <f t="shared" ca="1" si="71"/>
        <v>0</v>
      </c>
    </row>
    <row r="306" spans="1:40" ht="38.25" x14ac:dyDescent="0.2">
      <c r="A306" t="str">
        <f t="shared" si="56"/>
        <v>S</v>
      </c>
      <c r="B306">
        <f t="shared" ca="1" si="57"/>
        <v>2</v>
      </c>
      <c r="C306" t="str">
        <f t="shared" ca="1" si="58"/>
        <v>S</v>
      </c>
      <c r="D306">
        <f t="shared" ca="1" si="59"/>
        <v>0</v>
      </c>
      <c r="E306">
        <f ca="1">IF($C306=1,OFFSET(E306,-1,0)+MAX(1,COUNTIF(QCI!$A$13:$A$24,OFFSET(ORÇAMENTO!E306,-1,0))),OFFSET(E306,-1,0))</f>
        <v>1</v>
      </c>
      <c r="F306">
        <f t="shared" ca="1" si="60"/>
        <v>38</v>
      </c>
      <c r="G306">
        <f t="shared" ca="1" si="61"/>
        <v>0</v>
      </c>
      <c r="H306">
        <f t="shared" ca="1" si="62"/>
        <v>0</v>
      </c>
      <c r="I306">
        <f t="shared" ca="1" si="63"/>
        <v>0</v>
      </c>
      <c r="J306">
        <f t="shared" ca="1" si="75"/>
        <v>0</v>
      </c>
      <c r="K306">
        <f ca="1">IF(OR($C306="S",$C306=0),0,MATCH(OFFSET($D306,0,$C306)+IF($C306&lt;&gt;1,1,COUNTIF(QCI!$A$13:$A$24,ORÇAMENTO!E306)),OFFSET($D306,1,$C306,ROW($C$727)-ROW($C306)),0))</f>
        <v>0</v>
      </c>
      <c r="L306" s="116" t="str">
        <f t="shared" ca="1" si="64"/>
        <v/>
      </c>
      <c r="M306" s="117" t="s">
        <v>199</v>
      </c>
      <c r="N306" s="118" t="str">
        <f t="shared" ca="1" si="65"/>
        <v>Serviço</v>
      </c>
      <c r="O306" s="119" t="str">
        <f t="shared" ca="1" si="66"/>
        <v>-</v>
      </c>
      <c r="P306" s="120" t="s">
        <v>247</v>
      </c>
      <c r="Q306" s="121" t="s">
        <v>689</v>
      </c>
      <c r="R306" s="122" t="str">
        <f ca="1">IF($C306="S",REFERENCIA.Descricao,"(digite a descrição aqui)")</f>
        <v>(abra o arquivo 'Referência 06-2024.xlsm)</v>
      </c>
      <c r="S306" s="123" t="str">
        <f ca="1">REFERENCIA.Unidade</f>
        <v>-</v>
      </c>
      <c r="T306" s="124">
        <f ca="1">OFFSET(CÁLCULO!H$15,ROW($T306)-ROW(T$15),0)</f>
        <v>6</v>
      </c>
      <c r="U306" s="125">
        <f t="shared" ca="1" si="76"/>
        <v>0</v>
      </c>
      <c r="V306" s="126" t="s">
        <v>156</v>
      </c>
      <c r="W306" s="124">
        <f ca="1">IF($C306="S",ROUND(IF(TIPOORCAMENTO="Proposto",ORÇAMENTO.CustoUnitario*(1+$AH306),ORÇAMENTO.PrecoUnitarioLicitado),15-13*$AF$10),0)</f>
        <v>0</v>
      </c>
      <c r="X306" s="127">
        <f ca="1">IF($C306="S",IF(Import.TipoArredondamento&lt;&gt;"TransfereGOV",VTOTAL1,SUM(OFFSET(CÁLCULO!$AI$15,ROW($X306)-ROW($X$15),1):OFFSET(CÁLCULO!$BB$15,ROW($X306)-ROW($X$15),-1))),IF($C306=0,0,ROUND(SomaAgrup,15-13*$AF$11)))</f>
        <v>0</v>
      </c>
      <c r="Y306" s="128" t="s">
        <v>245</v>
      </c>
      <c r="Z306" t="str">
        <f t="shared" ca="1" si="67"/>
        <v/>
      </c>
      <c r="AA306" s="129">
        <f ca="1">IF($C306="S",IF($Z306="CP",$X306,IF($Z306="RA",(($X306)*QCI!$AA$3),0)),SomaAgrup)</f>
        <v>0</v>
      </c>
      <c r="AB306" s="130">
        <f t="shared" ca="1" si="68"/>
        <v>0</v>
      </c>
      <c r="AC306" s="131" t="str">
        <f ca="1">IF($N306="","",IF(ORÇAMENTO.Descricao="","DESCRIÇÃO",IF(AND($C306="S",ORÇAMENTO.Unidade=""),"UNIDADE",IF($X306&lt;0,"VALOR NEGATIVO",IF(OR(AND(TIPOORCAMENTO="Proposto",$AG306&lt;&gt;"",$AG306&gt;0,ORÇAMENTO.CustoUnitario&gt;$AG306),AND(TIPOORCAMENTO="LICITADO",ORÇAMENTO.PrecoUnitarioLicitado&gt;$AN306)),"ACIMA REF.","")))))</f>
        <v/>
      </c>
      <c r="AD306" t="str">
        <f ca="1">IF(C306&lt;=CRONO.NivelExibicao,MAX($AD$15:OFFSET(AD306,-1,0))+IF($C306&lt;&gt;1,1,MAX(1,COUNTIF(QCI!$A$13:$A$24,OFFSET($E306,-1,0)))),"")</f>
        <v/>
      </c>
      <c r="AE306" s="7" t="str">
        <f ca="1">IF(AND($C306="S",ORÇAMENTO.CodBarra&lt;&gt;""),IF(ORÇAMENTO.Fonte="",ORÇAMENTO.CodBarra,CONCATENATE(ORÇAMENTO.Fonte," ",ORÇAMENTO.CodBarra)))</f>
        <v>SINAPI 89571</v>
      </c>
      <c r="AF306" s="13" t="str">
        <f ca="1">IF(ISERROR(INDIRECT(ORÇAMENTO.BancoRef)),"(abra o arquivo 'Referência "&amp;Excel_BuiltIn_Database&amp;".xlsm)",IF(OR($C306&lt;&gt;"S",ORÇAMENTO.CodBarra=""),"(Sem Código)",IF(ISERROR(MATCH($AE306,INDIRECT(ORÇAMENTO.BancoRef),0)),"(Código não identificado nas referências)",MATCH($AE306,INDIRECT(ORÇAMENTO.BancoRef),0))))</f>
        <v>(abra o arquivo 'Referência 06-2024.xlsm)</v>
      </c>
      <c r="AG306" s="498">
        <f ca="1">ROUND(IF(DESONERACAO="sim",REFERENCIA.Desonerado,REFERENCIA.NaoDesonerado),2)</f>
        <v>0</v>
      </c>
      <c r="AH306" s="499">
        <f t="shared" ca="1" si="69"/>
        <v>0.2432</v>
      </c>
      <c r="AJ306" s="501"/>
      <c r="AL306" s="527"/>
      <c r="AM306" s="381">
        <f t="shared" ca="1" si="70"/>
        <v>0</v>
      </c>
      <c r="AN306" s="566">
        <f t="shared" ca="1" si="71"/>
        <v>0</v>
      </c>
    </row>
    <row r="307" spans="1:40" ht="38.25" x14ac:dyDescent="0.2">
      <c r="A307" t="str">
        <f t="shared" si="56"/>
        <v>S</v>
      </c>
      <c r="B307">
        <f t="shared" ca="1" si="57"/>
        <v>2</v>
      </c>
      <c r="C307" t="str">
        <f t="shared" ca="1" si="58"/>
        <v>S</v>
      </c>
      <c r="D307">
        <f t="shared" ca="1" si="59"/>
        <v>0</v>
      </c>
      <c r="E307">
        <f ca="1">IF($C307=1,OFFSET(E307,-1,0)+MAX(1,COUNTIF(QCI!$A$13:$A$24,OFFSET(ORÇAMENTO!E307,-1,0))),OFFSET(E307,-1,0))</f>
        <v>1</v>
      </c>
      <c r="F307">
        <f t="shared" ca="1" si="60"/>
        <v>38</v>
      </c>
      <c r="G307">
        <f t="shared" ca="1" si="61"/>
        <v>0</v>
      </c>
      <c r="H307">
        <f t="shared" ca="1" si="62"/>
        <v>0</v>
      </c>
      <c r="I307">
        <f t="shared" ca="1" si="63"/>
        <v>0</v>
      </c>
      <c r="J307">
        <f t="shared" ca="1" si="75"/>
        <v>0</v>
      </c>
      <c r="K307">
        <f ca="1">IF(OR($C307="S",$C307=0),0,MATCH(OFFSET($D307,0,$C307)+IF($C307&lt;&gt;1,1,COUNTIF(QCI!$A$13:$A$24,ORÇAMENTO!E307)),OFFSET($D307,1,$C307,ROW($C$727)-ROW($C307)),0))</f>
        <v>0</v>
      </c>
      <c r="L307" s="116" t="str">
        <f t="shared" ca="1" si="64"/>
        <v/>
      </c>
      <c r="M307" s="117" t="s">
        <v>199</v>
      </c>
      <c r="N307" s="118" t="str">
        <f t="shared" ca="1" si="65"/>
        <v>Serviço</v>
      </c>
      <c r="O307" s="119" t="str">
        <f t="shared" ca="1" si="66"/>
        <v>-</v>
      </c>
      <c r="P307" s="120" t="s">
        <v>247</v>
      </c>
      <c r="Q307" s="121" t="s">
        <v>690</v>
      </c>
      <c r="R307" s="122" t="str">
        <f ca="1">IF($C307="S",REFERENCIA.Descricao,"(digite a descrição aqui)")</f>
        <v>(abra o arquivo 'Referência 06-2024.xlsm)</v>
      </c>
      <c r="S307" s="123" t="str">
        <f ca="1">REFERENCIA.Unidade</f>
        <v>-</v>
      </c>
      <c r="T307" s="124">
        <f ca="1">OFFSET(CÁLCULO!H$15,ROW($T307)-ROW(T$15),0)</f>
        <v>16</v>
      </c>
      <c r="U307" s="125">
        <f t="shared" ca="1" si="76"/>
        <v>0</v>
      </c>
      <c r="V307" s="126" t="s">
        <v>156</v>
      </c>
      <c r="W307" s="124">
        <f ca="1">IF($C307="S",ROUND(IF(TIPOORCAMENTO="Proposto",ORÇAMENTO.CustoUnitario*(1+$AH307),ORÇAMENTO.PrecoUnitarioLicitado),15-13*$AF$10),0)</f>
        <v>0</v>
      </c>
      <c r="X307" s="127">
        <f ca="1">IF($C307="S",IF(Import.TipoArredondamento&lt;&gt;"TransfereGOV",VTOTAL1,SUM(OFFSET(CÁLCULO!$AI$15,ROW($X307)-ROW($X$15),1):OFFSET(CÁLCULO!$BB$15,ROW($X307)-ROW($X$15),-1))),IF($C307=0,0,ROUND(SomaAgrup,15-13*$AF$11)))</f>
        <v>0</v>
      </c>
      <c r="Y307" s="128" t="s">
        <v>245</v>
      </c>
      <c r="Z307" t="str">
        <f t="shared" ca="1" si="67"/>
        <v/>
      </c>
      <c r="AA307" s="129">
        <f ca="1">IF($C307="S",IF($Z307="CP",$X307,IF($Z307="RA",(($X307)*QCI!$AA$3),0)),SomaAgrup)</f>
        <v>0</v>
      </c>
      <c r="AB307" s="130">
        <f t="shared" ca="1" si="68"/>
        <v>0</v>
      </c>
      <c r="AC307" s="131" t="str">
        <f ca="1">IF($N307="","",IF(ORÇAMENTO.Descricao="","DESCRIÇÃO",IF(AND($C307="S",ORÇAMENTO.Unidade=""),"UNIDADE",IF($X307&lt;0,"VALOR NEGATIVO",IF(OR(AND(TIPOORCAMENTO="Proposto",$AG307&lt;&gt;"",$AG307&gt;0,ORÇAMENTO.CustoUnitario&gt;$AG307),AND(TIPOORCAMENTO="LICITADO",ORÇAMENTO.PrecoUnitarioLicitado&gt;$AN307)),"ACIMA REF.","")))))</f>
        <v/>
      </c>
      <c r="AD307" t="str">
        <f ca="1">IF(C307&lt;=CRONO.NivelExibicao,MAX($AD$15:OFFSET(AD307,-1,0))+IF($C307&lt;&gt;1,1,MAX(1,COUNTIF(QCI!$A$13:$A$24,OFFSET($E307,-1,0)))),"")</f>
        <v/>
      </c>
      <c r="AE307" s="7" t="str">
        <f ca="1">IF(AND($C307="S",ORÇAMENTO.CodBarra&lt;&gt;""),IF(ORÇAMENTO.Fonte="",ORÇAMENTO.CodBarra,CONCATENATE(ORÇAMENTO.Fonte," ",ORÇAMENTO.CodBarra)))</f>
        <v>SINAPI 89585</v>
      </c>
      <c r="AF307" s="13" t="str">
        <f ca="1">IF(ISERROR(INDIRECT(ORÇAMENTO.BancoRef)),"(abra o arquivo 'Referência "&amp;Excel_BuiltIn_Database&amp;".xlsm)",IF(OR($C307&lt;&gt;"S",ORÇAMENTO.CodBarra=""),"(Sem Código)",IF(ISERROR(MATCH($AE307,INDIRECT(ORÇAMENTO.BancoRef),0)),"(Código não identificado nas referências)",MATCH($AE307,INDIRECT(ORÇAMENTO.BancoRef),0))))</f>
        <v>(abra o arquivo 'Referência 06-2024.xlsm)</v>
      </c>
      <c r="AG307" s="498">
        <f ca="1">ROUND(IF(DESONERACAO="sim",REFERENCIA.Desonerado,REFERENCIA.NaoDesonerado),2)</f>
        <v>0</v>
      </c>
      <c r="AH307" s="499">
        <f t="shared" ca="1" si="69"/>
        <v>0.2432</v>
      </c>
      <c r="AJ307" s="501"/>
      <c r="AL307" s="527"/>
      <c r="AM307" s="381">
        <f t="shared" ca="1" si="70"/>
        <v>0</v>
      </c>
      <c r="AN307" s="566">
        <f t="shared" ca="1" si="71"/>
        <v>0</v>
      </c>
    </row>
    <row r="308" spans="1:40" ht="38.25" x14ac:dyDescent="0.2">
      <c r="A308" t="str">
        <f t="shared" si="56"/>
        <v>S</v>
      </c>
      <c r="B308">
        <f t="shared" ca="1" si="57"/>
        <v>2</v>
      </c>
      <c r="C308" t="str">
        <f t="shared" ca="1" si="58"/>
        <v>S</v>
      </c>
      <c r="D308">
        <f t="shared" ca="1" si="59"/>
        <v>0</v>
      </c>
      <c r="E308">
        <f ca="1">IF($C308=1,OFFSET(E308,-1,0)+MAX(1,COUNTIF(QCI!$A$13:$A$24,OFFSET(ORÇAMENTO!E308,-1,0))),OFFSET(E308,-1,0))</f>
        <v>1</v>
      </c>
      <c r="F308">
        <f t="shared" ca="1" si="60"/>
        <v>38</v>
      </c>
      <c r="G308">
        <f t="shared" ca="1" si="61"/>
        <v>0</v>
      </c>
      <c r="H308">
        <f t="shared" ca="1" si="62"/>
        <v>0</v>
      </c>
      <c r="I308">
        <f t="shared" ca="1" si="63"/>
        <v>0</v>
      </c>
      <c r="J308">
        <f t="shared" ca="1" si="75"/>
        <v>0</v>
      </c>
      <c r="K308">
        <f ca="1">IF(OR($C308="S",$C308=0),0,MATCH(OFFSET($D308,0,$C308)+IF($C308&lt;&gt;1,1,COUNTIF(QCI!$A$13:$A$24,ORÇAMENTO!E308)),OFFSET($D308,1,$C308,ROW($C$727)-ROW($C308)),0))</f>
        <v>0</v>
      </c>
      <c r="L308" s="116" t="str">
        <f t="shared" ca="1" si="64"/>
        <v/>
      </c>
      <c r="M308" s="117" t="s">
        <v>199</v>
      </c>
      <c r="N308" s="118" t="str">
        <f t="shared" ca="1" si="65"/>
        <v>Serviço</v>
      </c>
      <c r="O308" s="119" t="str">
        <f t="shared" ca="1" si="66"/>
        <v>-</v>
      </c>
      <c r="P308" s="120" t="s">
        <v>247</v>
      </c>
      <c r="Q308" s="121" t="s">
        <v>691</v>
      </c>
      <c r="R308" s="122" t="str">
        <f ca="1">IF($C308="S",REFERENCIA.Descricao,"(digite a descrição aqui)")</f>
        <v>(abra o arquivo 'Referência 06-2024.xlsm)</v>
      </c>
      <c r="S308" s="123" t="str">
        <f ca="1">REFERENCIA.Unidade</f>
        <v>-</v>
      </c>
      <c r="T308" s="124">
        <f ca="1">OFFSET(CÁLCULO!H$15,ROW($T308)-ROW(T$15),0)</f>
        <v>2</v>
      </c>
      <c r="U308" s="125">
        <f t="shared" ca="1" si="76"/>
        <v>0</v>
      </c>
      <c r="V308" s="126" t="s">
        <v>156</v>
      </c>
      <c r="W308" s="124">
        <f ca="1">IF($C308="S",ROUND(IF(TIPOORCAMENTO="Proposto",ORÇAMENTO.CustoUnitario*(1+$AH308),ORÇAMENTO.PrecoUnitarioLicitado),15-13*$AF$10),0)</f>
        <v>0</v>
      </c>
      <c r="X308" s="127">
        <f ca="1">IF($C308="S",IF(Import.TipoArredondamento&lt;&gt;"TransfereGOV",VTOTAL1,SUM(OFFSET(CÁLCULO!$AI$15,ROW($X308)-ROW($X$15),1):OFFSET(CÁLCULO!$BB$15,ROW($X308)-ROW($X$15),-1))),IF($C308=0,0,ROUND(SomaAgrup,15-13*$AF$11)))</f>
        <v>0</v>
      </c>
      <c r="Y308" s="128" t="s">
        <v>245</v>
      </c>
      <c r="Z308" t="str">
        <f t="shared" ca="1" si="67"/>
        <v/>
      </c>
      <c r="AA308" s="129">
        <f ca="1">IF($C308="S",IF($Z308="CP",$X308,IF($Z308="RA",(($X308)*QCI!$AA$3),0)),SomaAgrup)</f>
        <v>0</v>
      </c>
      <c r="AB308" s="130">
        <f t="shared" ca="1" si="68"/>
        <v>0</v>
      </c>
      <c r="AC308" s="131" t="str">
        <f ca="1">IF($N308="","",IF(ORÇAMENTO.Descricao="","DESCRIÇÃO",IF(AND($C308="S",ORÇAMENTO.Unidade=""),"UNIDADE",IF($X308&lt;0,"VALOR NEGATIVO",IF(OR(AND(TIPOORCAMENTO="Proposto",$AG308&lt;&gt;"",$AG308&gt;0,ORÇAMENTO.CustoUnitario&gt;$AG308),AND(TIPOORCAMENTO="LICITADO",ORÇAMENTO.PrecoUnitarioLicitado&gt;$AN308)),"ACIMA REF.","")))))</f>
        <v/>
      </c>
      <c r="AD308" t="str">
        <f ca="1">IF(C308&lt;=CRONO.NivelExibicao,MAX($AD$15:OFFSET(AD308,-1,0))+IF($C308&lt;&gt;1,1,MAX(1,COUNTIF(QCI!$A$13:$A$24,OFFSET($E308,-1,0)))),"")</f>
        <v/>
      </c>
      <c r="AE308" s="7" t="str">
        <f ca="1">IF(AND($C308="S",ORÇAMENTO.CodBarra&lt;&gt;""),IF(ORÇAMENTO.Fonte="",ORÇAMENTO.CodBarra,CONCATENATE(ORÇAMENTO.Fonte," ",ORÇAMENTO.CodBarra)))</f>
        <v>SINAPI 89520</v>
      </c>
      <c r="AF308" s="13" t="str">
        <f ca="1">IF(ISERROR(INDIRECT(ORÇAMENTO.BancoRef)),"(abra o arquivo 'Referência "&amp;Excel_BuiltIn_Database&amp;".xlsm)",IF(OR($C308&lt;&gt;"S",ORÇAMENTO.CodBarra=""),"(Sem Código)",IF(ISERROR(MATCH($AE308,INDIRECT(ORÇAMENTO.BancoRef),0)),"(Código não identificado nas referências)",MATCH($AE308,INDIRECT(ORÇAMENTO.BancoRef),0))))</f>
        <v>(abra o arquivo 'Referência 06-2024.xlsm)</v>
      </c>
      <c r="AG308" s="498">
        <f ca="1">ROUND(IF(DESONERACAO="sim",REFERENCIA.Desonerado,REFERENCIA.NaoDesonerado),2)</f>
        <v>0</v>
      </c>
      <c r="AH308" s="499">
        <f t="shared" ca="1" si="69"/>
        <v>0.2432</v>
      </c>
      <c r="AJ308" s="501"/>
      <c r="AL308" s="527"/>
      <c r="AM308" s="381">
        <f t="shared" ca="1" si="70"/>
        <v>0</v>
      </c>
      <c r="AN308" s="566">
        <f t="shared" ca="1" si="71"/>
        <v>0</v>
      </c>
    </row>
    <row r="309" spans="1:40" ht="38.25" x14ac:dyDescent="0.2">
      <c r="A309" t="str">
        <f t="shared" si="56"/>
        <v>S</v>
      </c>
      <c r="B309">
        <f t="shared" ca="1" si="57"/>
        <v>2</v>
      </c>
      <c r="C309" t="str">
        <f t="shared" ca="1" si="58"/>
        <v>S</v>
      </c>
      <c r="D309">
        <f t="shared" ca="1" si="59"/>
        <v>0</v>
      </c>
      <c r="E309">
        <f ca="1">IF($C309=1,OFFSET(E309,-1,0)+MAX(1,COUNTIF(QCI!$A$13:$A$24,OFFSET(ORÇAMENTO!E309,-1,0))),OFFSET(E309,-1,0))</f>
        <v>1</v>
      </c>
      <c r="F309">
        <f t="shared" ca="1" si="60"/>
        <v>38</v>
      </c>
      <c r="G309">
        <f t="shared" ca="1" si="61"/>
        <v>0</v>
      </c>
      <c r="H309">
        <f t="shared" ca="1" si="62"/>
        <v>0</v>
      </c>
      <c r="I309">
        <f t="shared" ca="1" si="63"/>
        <v>0</v>
      </c>
      <c r="J309">
        <f t="shared" ca="1" si="75"/>
        <v>0</v>
      </c>
      <c r="K309">
        <f ca="1">IF(OR($C309="S",$C309=0),0,MATCH(OFFSET($D309,0,$C309)+IF($C309&lt;&gt;1,1,COUNTIF(QCI!$A$13:$A$24,ORÇAMENTO!E309)),OFFSET($D309,1,$C309,ROW($C$727)-ROW($C309)),0))</f>
        <v>0</v>
      </c>
      <c r="L309" s="116" t="str">
        <f t="shared" ca="1" si="64"/>
        <v/>
      </c>
      <c r="M309" s="117" t="s">
        <v>199</v>
      </c>
      <c r="N309" s="118" t="str">
        <f t="shared" ca="1" si="65"/>
        <v>Serviço</v>
      </c>
      <c r="O309" s="119" t="str">
        <f t="shared" ca="1" si="66"/>
        <v>-</v>
      </c>
      <c r="P309" s="120" t="s">
        <v>247</v>
      </c>
      <c r="Q309" s="121" t="s">
        <v>692</v>
      </c>
      <c r="R309" s="122" t="str">
        <f ca="1">IF($C309="S",REFERENCIA.Descricao,"(digite a descrição aqui)")</f>
        <v>(abra o arquivo 'Referência 06-2024.xlsm)</v>
      </c>
      <c r="S309" s="123" t="str">
        <f ca="1">REFERENCIA.Unidade</f>
        <v>-</v>
      </c>
      <c r="T309" s="124">
        <f ca="1">OFFSET(CÁLCULO!H$15,ROW($T309)-ROW(T$15),0)</f>
        <v>45</v>
      </c>
      <c r="U309" s="125">
        <f t="shared" ca="1" si="76"/>
        <v>0</v>
      </c>
      <c r="V309" s="126" t="s">
        <v>156</v>
      </c>
      <c r="W309" s="124">
        <f ca="1">IF($C309="S",ROUND(IF(TIPOORCAMENTO="Proposto",ORÇAMENTO.CustoUnitario*(1+$AH309),ORÇAMENTO.PrecoUnitarioLicitado),15-13*$AF$10),0)</f>
        <v>0</v>
      </c>
      <c r="X309" s="127">
        <f ca="1">IF($C309="S",IF(Import.TipoArredondamento&lt;&gt;"TransfereGOV",VTOTAL1,SUM(OFFSET(CÁLCULO!$AI$15,ROW($X309)-ROW($X$15),1):OFFSET(CÁLCULO!$BB$15,ROW($X309)-ROW($X$15),-1))),IF($C309=0,0,ROUND(SomaAgrup,15-13*$AF$11)))</f>
        <v>0</v>
      </c>
      <c r="Y309" s="128" t="s">
        <v>245</v>
      </c>
      <c r="Z309" t="str">
        <f t="shared" ca="1" si="67"/>
        <v/>
      </c>
      <c r="AA309" s="129">
        <f ca="1">IF($C309="S",IF($Z309="CP",$X309,IF($Z309="RA",(($X309)*QCI!$AA$3),0)),SomaAgrup)</f>
        <v>0</v>
      </c>
      <c r="AB309" s="130">
        <f t="shared" ca="1" si="68"/>
        <v>0</v>
      </c>
      <c r="AC309" s="131" t="str">
        <f ca="1">IF($N309="","",IF(ORÇAMENTO.Descricao="","DESCRIÇÃO",IF(AND($C309="S",ORÇAMENTO.Unidade=""),"UNIDADE",IF($X309&lt;0,"VALOR NEGATIVO",IF(OR(AND(TIPOORCAMENTO="Proposto",$AG309&lt;&gt;"",$AG309&gt;0,ORÇAMENTO.CustoUnitario&gt;$AG309),AND(TIPOORCAMENTO="LICITADO",ORÇAMENTO.PrecoUnitarioLicitado&gt;$AN309)),"ACIMA REF.","")))))</f>
        <v/>
      </c>
      <c r="AD309" t="str">
        <f ca="1">IF(C309&lt;=CRONO.NivelExibicao,MAX($AD$15:OFFSET(AD309,-1,0))+IF($C309&lt;&gt;1,1,MAX(1,COUNTIF(QCI!$A$13:$A$24,OFFSET($E309,-1,0)))),"")</f>
        <v/>
      </c>
      <c r="AE309" s="7" t="str">
        <f ca="1">IF(AND($C309="S",ORÇAMENTO.CodBarra&lt;&gt;""),IF(ORÇAMENTO.Fonte="",ORÇAMENTO.CodBarra,CONCATENATE(ORÇAMENTO.Fonte," ",ORÇAMENTO.CodBarra)))</f>
        <v>SINAPI 89584</v>
      </c>
      <c r="AF309" s="13" t="str">
        <f ca="1">IF(ISERROR(INDIRECT(ORÇAMENTO.BancoRef)),"(abra o arquivo 'Referência "&amp;Excel_BuiltIn_Database&amp;".xlsm)",IF(OR($C309&lt;&gt;"S",ORÇAMENTO.CodBarra=""),"(Sem Código)",IF(ISERROR(MATCH($AE309,INDIRECT(ORÇAMENTO.BancoRef),0)),"(Código não identificado nas referências)",MATCH($AE309,INDIRECT(ORÇAMENTO.BancoRef),0))))</f>
        <v>(abra o arquivo 'Referência 06-2024.xlsm)</v>
      </c>
      <c r="AG309" s="498">
        <f ca="1">ROUND(IF(DESONERACAO="sim",REFERENCIA.Desonerado,REFERENCIA.NaoDesonerado),2)</f>
        <v>0</v>
      </c>
      <c r="AH309" s="499">
        <f t="shared" ca="1" si="69"/>
        <v>0.2432</v>
      </c>
      <c r="AJ309" s="501"/>
      <c r="AL309" s="527"/>
      <c r="AM309" s="381">
        <f t="shared" ca="1" si="70"/>
        <v>0</v>
      </c>
      <c r="AN309" s="566">
        <f t="shared" ca="1" si="71"/>
        <v>0</v>
      </c>
    </row>
    <row r="310" spans="1:40" ht="51" x14ac:dyDescent="0.2">
      <c r="A310" t="str">
        <f t="shared" si="56"/>
        <v>S</v>
      </c>
      <c r="B310">
        <f t="shared" ca="1" si="57"/>
        <v>2</v>
      </c>
      <c r="C310" t="str">
        <f t="shared" ca="1" si="58"/>
        <v>S</v>
      </c>
      <c r="D310">
        <f t="shared" ca="1" si="59"/>
        <v>0</v>
      </c>
      <c r="E310">
        <f ca="1">IF($C310=1,OFFSET(E310,-1,0)+MAX(1,COUNTIF(QCI!$A$13:$A$24,OFFSET(ORÇAMENTO!E310,-1,0))),OFFSET(E310,-1,0))</f>
        <v>1</v>
      </c>
      <c r="F310">
        <f t="shared" ca="1" si="60"/>
        <v>38</v>
      </c>
      <c r="G310">
        <f t="shared" ca="1" si="61"/>
        <v>0</v>
      </c>
      <c r="H310">
        <f t="shared" ca="1" si="62"/>
        <v>0</v>
      </c>
      <c r="I310">
        <f t="shared" ca="1" si="63"/>
        <v>0</v>
      </c>
      <c r="J310">
        <f t="shared" ca="1" si="75"/>
        <v>0</v>
      </c>
      <c r="K310">
        <f ca="1">IF(OR($C310="S",$C310=0),0,MATCH(OFFSET($D310,0,$C310)+IF($C310&lt;&gt;1,1,COUNTIF(QCI!$A$13:$A$24,ORÇAMENTO!E310)),OFFSET($D310,1,$C310,ROW($C$727)-ROW($C310)),0))</f>
        <v>0</v>
      </c>
      <c r="L310" s="116" t="str">
        <f t="shared" ca="1" si="64"/>
        <v/>
      </c>
      <c r="M310" s="117" t="s">
        <v>199</v>
      </c>
      <c r="N310" s="118" t="str">
        <f t="shared" ca="1" si="65"/>
        <v>Serviço</v>
      </c>
      <c r="O310" s="119" t="str">
        <f t="shared" ca="1" si="66"/>
        <v>-</v>
      </c>
      <c r="P310" s="120" t="s">
        <v>247</v>
      </c>
      <c r="Q310" s="121" t="s">
        <v>693</v>
      </c>
      <c r="R310" s="122" t="str">
        <f ca="1">IF($C310="S",REFERENCIA.Descricao,"(digite a descrição aqui)")</f>
        <v>(abra o arquivo 'Referência 06-2024.xlsm)</v>
      </c>
      <c r="S310" s="123" t="str">
        <f ca="1">REFERENCIA.Unidade</f>
        <v>-</v>
      </c>
      <c r="T310" s="124">
        <f ca="1">OFFSET(CÁLCULO!H$15,ROW($T310)-ROW(T$15),0)</f>
        <v>1</v>
      </c>
      <c r="U310" s="125">
        <f t="shared" ca="1" si="76"/>
        <v>0</v>
      </c>
      <c r="V310" s="126" t="s">
        <v>156</v>
      </c>
      <c r="W310" s="124">
        <f ca="1">IF($C310="S",ROUND(IF(TIPOORCAMENTO="Proposto",ORÇAMENTO.CustoUnitario*(1+$AH310),ORÇAMENTO.PrecoUnitarioLicitado),15-13*$AF$10),0)</f>
        <v>0</v>
      </c>
      <c r="X310" s="127">
        <f ca="1">IF($C310="S",IF(Import.TipoArredondamento&lt;&gt;"TransfereGOV",VTOTAL1,SUM(OFFSET(CÁLCULO!$AI$15,ROW($X310)-ROW($X$15),1):OFFSET(CÁLCULO!$BB$15,ROW($X310)-ROW($X$15),-1))),IF($C310=0,0,ROUND(SomaAgrup,15-13*$AF$11)))</f>
        <v>0</v>
      </c>
      <c r="Y310" s="128" t="s">
        <v>245</v>
      </c>
      <c r="Z310" t="str">
        <f t="shared" ca="1" si="67"/>
        <v/>
      </c>
      <c r="AA310" s="129">
        <f ca="1">IF($C310="S",IF($Z310="CP",$X310,IF($Z310="RA",(($X310)*QCI!$AA$3),0)),SomaAgrup)</f>
        <v>0</v>
      </c>
      <c r="AB310" s="130">
        <f t="shared" ca="1" si="68"/>
        <v>0</v>
      </c>
      <c r="AC310" s="131" t="str">
        <f ca="1">IF($N310="","",IF(ORÇAMENTO.Descricao="","DESCRIÇÃO",IF(AND($C310="S",ORÇAMENTO.Unidade=""),"UNIDADE",IF($X310&lt;0,"VALOR NEGATIVO",IF(OR(AND(TIPOORCAMENTO="Proposto",$AG310&lt;&gt;"",$AG310&gt;0,ORÇAMENTO.CustoUnitario&gt;$AG310),AND(TIPOORCAMENTO="LICITADO",ORÇAMENTO.PrecoUnitarioLicitado&gt;$AN310)),"ACIMA REF.","")))))</f>
        <v/>
      </c>
      <c r="AD310" t="str">
        <f ca="1">IF(C310&lt;=CRONO.NivelExibicao,MAX($AD$15:OFFSET(AD310,-1,0))+IF($C310&lt;&gt;1,1,MAX(1,COUNTIF(QCI!$A$13:$A$24,OFFSET($E310,-1,0)))),"")</f>
        <v/>
      </c>
      <c r="AE310" s="7" t="str">
        <f ca="1">IF(AND($C310="S",ORÇAMENTO.CodBarra&lt;&gt;""),IF(ORÇAMENTO.Fonte="",ORÇAMENTO.CodBarra,CONCATENATE(ORÇAMENTO.Fonte," ",ORÇAMENTO.CodBarra)))</f>
        <v>SINAPI 104345</v>
      </c>
      <c r="AF310" s="13" t="str">
        <f ca="1">IF(ISERROR(INDIRECT(ORÇAMENTO.BancoRef)),"(abra o arquivo 'Referência "&amp;Excel_BuiltIn_Database&amp;".xlsm)",IF(OR($C310&lt;&gt;"S",ORÇAMENTO.CodBarra=""),"(Sem Código)",IF(ISERROR(MATCH($AE310,INDIRECT(ORÇAMENTO.BancoRef),0)),"(Código não identificado nas referências)",MATCH($AE310,INDIRECT(ORÇAMENTO.BancoRef),0))))</f>
        <v>(abra o arquivo 'Referência 06-2024.xlsm)</v>
      </c>
      <c r="AG310" s="498">
        <f ca="1">ROUND(IF(DESONERACAO="sim",REFERENCIA.Desonerado,REFERENCIA.NaoDesonerado),2)</f>
        <v>0</v>
      </c>
      <c r="AH310" s="499">
        <f t="shared" ca="1" si="69"/>
        <v>0.2432</v>
      </c>
      <c r="AJ310" s="501"/>
      <c r="AL310" s="527"/>
      <c r="AM310" s="381">
        <f t="shared" ca="1" si="70"/>
        <v>0</v>
      </c>
      <c r="AN310" s="566">
        <f t="shared" ca="1" si="71"/>
        <v>0</v>
      </c>
    </row>
    <row r="311" spans="1:40" ht="38.25" x14ac:dyDescent="0.2">
      <c r="A311" t="str">
        <f t="shared" si="56"/>
        <v>S</v>
      </c>
      <c r="B311">
        <f t="shared" ca="1" si="57"/>
        <v>2</v>
      </c>
      <c r="C311" t="str">
        <f t="shared" ca="1" si="58"/>
        <v>S</v>
      </c>
      <c r="D311">
        <f t="shared" ca="1" si="59"/>
        <v>0</v>
      </c>
      <c r="E311">
        <f ca="1">IF($C311=1,OFFSET(E311,-1,0)+MAX(1,COUNTIF(QCI!$A$13:$A$24,OFFSET(ORÇAMENTO!E311,-1,0))),OFFSET(E311,-1,0))</f>
        <v>1</v>
      </c>
      <c r="F311">
        <f t="shared" ca="1" si="60"/>
        <v>38</v>
      </c>
      <c r="G311">
        <f t="shared" ca="1" si="61"/>
        <v>0</v>
      </c>
      <c r="H311">
        <f t="shared" ca="1" si="62"/>
        <v>0</v>
      </c>
      <c r="I311">
        <f t="shared" ca="1" si="63"/>
        <v>0</v>
      </c>
      <c r="J311">
        <f t="shared" ca="1" si="75"/>
        <v>0</v>
      </c>
      <c r="K311">
        <f ca="1">IF(OR($C311="S",$C311=0),0,MATCH(OFFSET($D311,0,$C311)+IF($C311&lt;&gt;1,1,COUNTIF(QCI!$A$13:$A$24,ORÇAMENTO!E311)),OFFSET($D311,1,$C311,ROW($C$727)-ROW($C311)),0))</f>
        <v>0</v>
      </c>
      <c r="L311" s="116" t="str">
        <f t="shared" ca="1" si="64"/>
        <v/>
      </c>
      <c r="M311" s="117" t="s">
        <v>199</v>
      </c>
      <c r="N311" s="118" t="str">
        <f t="shared" ca="1" si="65"/>
        <v>Serviço</v>
      </c>
      <c r="O311" s="119" t="str">
        <f t="shared" ca="1" si="66"/>
        <v>-</v>
      </c>
      <c r="P311" s="120" t="s">
        <v>458</v>
      </c>
      <c r="Q311" s="121" t="s">
        <v>694</v>
      </c>
      <c r="R311" s="122" t="str">
        <f ca="1">IF($C311="S",REFERENCIA.Descricao,"(digite a descrição aqui)")</f>
        <v>(abra o arquivo 'Referência 06-2024.xlsm)</v>
      </c>
      <c r="S311" s="123" t="str">
        <f ca="1">REFERENCIA.Unidade</f>
        <v>-</v>
      </c>
      <c r="T311" s="124">
        <f ca="1">OFFSET(CÁLCULO!H$15,ROW($T311)-ROW(T$15),0)</f>
        <v>3</v>
      </c>
      <c r="U311" s="125">
        <f t="shared" ca="1" si="76"/>
        <v>0</v>
      </c>
      <c r="V311" s="126" t="s">
        <v>156</v>
      </c>
      <c r="W311" s="124">
        <f ca="1">IF($C311="S",ROUND(IF(TIPOORCAMENTO="Proposto",ORÇAMENTO.CustoUnitario*(1+$AH311),ORÇAMENTO.PrecoUnitarioLicitado),15-13*$AF$10),0)</f>
        <v>0</v>
      </c>
      <c r="X311" s="127">
        <f ca="1">IF($C311="S",IF(Import.TipoArredondamento&lt;&gt;"TransfereGOV",VTOTAL1,SUM(OFFSET(CÁLCULO!$AI$15,ROW($X311)-ROW($X$15),1):OFFSET(CÁLCULO!$BB$15,ROW($X311)-ROW($X$15),-1))),IF($C311=0,0,ROUND(SomaAgrup,15-13*$AF$11)))</f>
        <v>0</v>
      </c>
      <c r="Y311" s="128" t="s">
        <v>245</v>
      </c>
      <c r="Z311" t="str">
        <f t="shared" ca="1" si="67"/>
        <v/>
      </c>
      <c r="AA311" s="129">
        <f ca="1">IF($C311="S",IF($Z311="CP",$X311,IF($Z311="RA",(($X311)*QCI!$AA$3),0)),SomaAgrup)</f>
        <v>0</v>
      </c>
      <c r="AB311" s="130">
        <f t="shared" ca="1" si="68"/>
        <v>0</v>
      </c>
      <c r="AC311" s="131" t="str">
        <f ca="1">IF($N311="","",IF(ORÇAMENTO.Descricao="","DESCRIÇÃO",IF(AND($C311="S",ORÇAMENTO.Unidade=""),"UNIDADE",IF($X311&lt;0,"VALOR NEGATIVO",IF(OR(AND(TIPOORCAMENTO="Proposto",$AG311&lt;&gt;"",$AG311&gt;0,ORÇAMENTO.CustoUnitario&gt;$AG311),AND(TIPOORCAMENTO="LICITADO",ORÇAMENTO.PrecoUnitarioLicitado&gt;$AN311)),"ACIMA REF.","")))))</f>
        <v/>
      </c>
      <c r="AD311" t="str">
        <f ca="1">IF(C311&lt;=CRONO.NivelExibicao,MAX($AD$15:OFFSET(AD311,-1,0))+IF($C311&lt;&gt;1,1,MAX(1,COUNTIF(QCI!$A$13:$A$24,OFFSET($E311,-1,0)))),"")</f>
        <v/>
      </c>
      <c r="AE311" s="7" t="str">
        <f ca="1">IF(AND($C311="S",ORÇAMENTO.CodBarra&lt;&gt;""),IF(ORÇAMENTO.Fonte="",ORÇAMENTO.CodBarra,CONCATENATE(ORÇAMENTO.Fonte," ",ORÇAMENTO.CodBarra)))</f>
        <v>COMPOSIÇÃO FNDE 416</v>
      </c>
      <c r="AF311" s="13" t="str">
        <f ca="1">IF(ISERROR(INDIRECT(ORÇAMENTO.BancoRef)),"(abra o arquivo 'Referência "&amp;Excel_BuiltIn_Database&amp;".xlsm)",IF(OR($C311&lt;&gt;"S",ORÇAMENTO.CodBarra=""),"(Sem Código)",IF(ISERROR(MATCH($AE311,INDIRECT(ORÇAMENTO.BancoRef),0)),"(Código não identificado nas referências)",MATCH($AE311,INDIRECT(ORÇAMENTO.BancoRef),0))))</f>
        <v>(abra o arquivo 'Referência 06-2024.xlsm)</v>
      </c>
      <c r="AG311" s="498">
        <f ca="1">ROUND(IF(DESONERACAO="sim",REFERENCIA.Desonerado,REFERENCIA.NaoDesonerado),2)</f>
        <v>0</v>
      </c>
      <c r="AH311" s="499">
        <f t="shared" ca="1" si="69"/>
        <v>0.2432</v>
      </c>
      <c r="AJ311" s="501"/>
      <c r="AL311" s="527"/>
      <c r="AM311" s="381">
        <f t="shared" ca="1" si="70"/>
        <v>0</v>
      </c>
      <c r="AN311" s="566">
        <f t="shared" ca="1" si="71"/>
        <v>0</v>
      </c>
    </row>
    <row r="312" spans="1:40" ht="38.25" x14ac:dyDescent="0.2">
      <c r="A312" t="str">
        <f t="shared" si="56"/>
        <v>S</v>
      </c>
      <c r="B312">
        <f t="shared" ca="1" si="57"/>
        <v>2</v>
      </c>
      <c r="C312" t="str">
        <f t="shared" ca="1" si="58"/>
        <v>S</v>
      </c>
      <c r="D312">
        <f t="shared" ca="1" si="59"/>
        <v>0</v>
      </c>
      <c r="E312">
        <f ca="1">IF($C312=1,OFFSET(E312,-1,0)+MAX(1,COUNTIF(QCI!$A$13:$A$24,OFFSET(ORÇAMENTO!E312,-1,0))),OFFSET(E312,-1,0))</f>
        <v>1</v>
      </c>
      <c r="F312">
        <f t="shared" ca="1" si="60"/>
        <v>38</v>
      </c>
      <c r="G312">
        <f t="shared" ca="1" si="61"/>
        <v>0</v>
      </c>
      <c r="H312">
        <f t="shared" ca="1" si="62"/>
        <v>0</v>
      </c>
      <c r="I312">
        <f t="shared" ca="1" si="63"/>
        <v>0</v>
      </c>
      <c r="J312">
        <f t="shared" ca="1" si="75"/>
        <v>0</v>
      </c>
      <c r="K312">
        <f ca="1">IF(OR($C312="S",$C312=0),0,MATCH(OFFSET($D312,0,$C312)+IF($C312&lt;&gt;1,1,COUNTIF(QCI!$A$13:$A$24,ORÇAMENTO!E312)),OFFSET($D312,1,$C312,ROW($C$727)-ROW($C312)),0))</f>
        <v>0</v>
      </c>
      <c r="L312" s="116" t="str">
        <f t="shared" ca="1" si="64"/>
        <v/>
      </c>
      <c r="M312" s="117" t="s">
        <v>199</v>
      </c>
      <c r="N312" s="118" t="str">
        <f t="shared" ca="1" si="65"/>
        <v>Serviço</v>
      </c>
      <c r="O312" s="119" t="str">
        <f t="shared" ca="1" si="66"/>
        <v>-</v>
      </c>
      <c r="P312" s="120" t="s">
        <v>458</v>
      </c>
      <c r="Q312" s="121" t="s">
        <v>695</v>
      </c>
      <c r="R312" s="122" t="str">
        <f ca="1">IF($C312="S",REFERENCIA.Descricao,"(digite a descrição aqui)")</f>
        <v>(abra o arquivo 'Referência 06-2024.xlsm)</v>
      </c>
      <c r="S312" s="123" t="str">
        <f ca="1">REFERENCIA.Unidade</f>
        <v>-</v>
      </c>
      <c r="T312" s="124">
        <f ca="1">OFFSET(CÁLCULO!H$15,ROW($T312)-ROW(T$15),0)</f>
        <v>2</v>
      </c>
      <c r="U312" s="125">
        <f t="shared" ca="1" si="76"/>
        <v>0</v>
      </c>
      <c r="V312" s="126" t="s">
        <v>156</v>
      </c>
      <c r="W312" s="124">
        <f ca="1">IF($C312="S",ROUND(IF(TIPOORCAMENTO="Proposto",ORÇAMENTO.CustoUnitario*(1+$AH312),ORÇAMENTO.PrecoUnitarioLicitado),15-13*$AF$10),0)</f>
        <v>0</v>
      </c>
      <c r="X312" s="127">
        <f ca="1">IF($C312="S",IF(Import.TipoArredondamento&lt;&gt;"TransfereGOV",VTOTAL1,SUM(OFFSET(CÁLCULO!$AI$15,ROW($X312)-ROW($X$15),1):OFFSET(CÁLCULO!$BB$15,ROW($X312)-ROW($X$15),-1))),IF($C312=0,0,ROUND(SomaAgrup,15-13*$AF$11)))</f>
        <v>0</v>
      </c>
      <c r="Y312" s="128" t="s">
        <v>245</v>
      </c>
      <c r="Z312" t="str">
        <f t="shared" ca="1" si="67"/>
        <v/>
      </c>
      <c r="AA312" s="129">
        <f ca="1">IF($C312="S",IF($Z312="CP",$X312,IF($Z312="RA",(($X312)*QCI!$AA$3),0)),SomaAgrup)</f>
        <v>0</v>
      </c>
      <c r="AB312" s="130">
        <f t="shared" ca="1" si="68"/>
        <v>0</v>
      </c>
      <c r="AC312" s="131" t="str">
        <f ca="1">IF($N312="","",IF(ORÇAMENTO.Descricao="","DESCRIÇÃO",IF(AND($C312="S",ORÇAMENTO.Unidade=""),"UNIDADE",IF($X312&lt;0,"VALOR NEGATIVO",IF(OR(AND(TIPOORCAMENTO="Proposto",$AG312&lt;&gt;"",$AG312&gt;0,ORÇAMENTO.CustoUnitario&gt;$AG312),AND(TIPOORCAMENTO="LICITADO",ORÇAMENTO.PrecoUnitarioLicitado&gt;$AN312)),"ACIMA REF.","")))))</f>
        <v/>
      </c>
      <c r="AD312" t="str">
        <f ca="1">IF(C312&lt;=CRONO.NivelExibicao,MAX($AD$15:OFFSET(AD312,-1,0))+IF($C312&lt;&gt;1,1,MAX(1,COUNTIF(QCI!$A$13:$A$24,OFFSET($E312,-1,0)))),"")</f>
        <v/>
      </c>
      <c r="AE312" s="7" t="str">
        <f ca="1">IF(AND($C312="S",ORÇAMENTO.CodBarra&lt;&gt;""),IF(ORÇAMENTO.Fonte="",ORÇAMENTO.CodBarra,CONCATENATE(ORÇAMENTO.Fonte," ",ORÇAMENTO.CodBarra)))</f>
        <v>COMPOSIÇÃO FNDE 421</v>
      </c>
      <c r="AF312" s="13" t="str">
        <f ca="1">IF(ISERROR(INDIRECT(ORÇAMENTO.BancoRef)),"(abra o arquivo 'Referência "&amp;Excel_BuiltIn_Database&amp;".xlsm)",IF(OR($C312&lt;&gt;"S",ORÇAMENTO.CodBarra=""),"(Sem Código)",IF(ISERROR(MATCH($AE312,INDIRECT(ORÇAMENTO.BancoRef),0)),"(Código não identificado nas referências)",MATCH($AE312,INDIRECT(ORÇAMENTO.BancoRef),0))))</f>
        <v>(abra o arquivo 'Referência 06-2024.xlsm)</v>
      </c>
      <c r="AG312" s="498">
        <f ca="1">ROUND(IF(DESONERACAO="sim",REFERENCIA.Desonerado,REFERENCIA.NaoDesonerado),2)</f>
        <v>0</v>
      </c>
      <c r="AH312" s="499">
        <f t="shared" ca="1" si="69"/>
        <v>0.2432</v>
      </c>
      <c r="AJ312" s="501"/>
      <c r="AL312" s="527"/>
      <c r="AM312" s="381">
        <f t="shared" ca="1" si="70"/>
        <v>0</v>
      </c>
      <c r="AN312" s="566">
        <f t="shared" ca="1" si="71"/>
        <v>0</v>
      </c>
    </row>
    <row r="313" spans="1:40" ht="38.25" x14ac:dyDescent="0.2">
      <c r="A313" t="str">
        <f t="shared" si="56"/>
        <v>S</v>
      </c>
      <c r="B313">
        <f t="shared" ca="1" si="57"/>
        <v>2</v>
      </c>
      <c r="C313" t="str">
        <f t="shared" ca="1" si="58"/>
        <v>S</v>
      </c>
      <c r="D313">
        <f t="shared" ca="1" si="59"/>
        <v>0</v>
      </c>
      <c r="E313">
        <f ca="1">IF($C313=1,OFFSET(E313,-1,0)+MAX(1,COUNTIF(QCI!$A$13:$A$24,OFFSET(ORÇAMENTO!E313,-1,0))),OFFSET(E313,-1,0))</f>
        <v>1</v>
      </c>
      <c r="F313">
        <f t="shared" ca="1" si="60"/>
        <v>38</v>
      </c>
      <c r="G313">
        <f t="shared" ca="1" si="61"/>
        <v>0</v>
      </c>
      <c r="H313">
        <f t="shared" ca="1" si="62"/>
        <v>0</v>
      </c>
      <c r="I313">
        <f t="shared" ca="1" si="63"/>
        <v>0</v>
      </c>
      <c r="J313">
        <f t="shared" ca="1" si="75"/>
        <v>0</v>
      </c>
      <c r="K313">
        <f ca="1">IF(OR($C313="S",$C313=0),0,MATCH(OFFSET($D313,0,$C313)+IF($C313&lt;&gt;1,1,COUNTIF(QCI!$A$13:$A$24,ORÇAMENTO!E313)),OFFSET($D313,1,$C313,ROW($C$727)-ROW($C313)),0))</f>
        <v>0</v>
      </c>
      <c r="L313" s="116" t="str">
        <f t="shared" ca="1" si="64"/>
        <v/>
      </c>
      <c r="M313" s="117" t="s">
        <v>199</v>
      </c>
      <c r="N313" s="118" t="str">
        <f t="shared" ca="1" si="65"/>
        <v>Serviço</v>
      </c>
      <c r="O313" s="119" t="str">
        <f t="shared" ca="1" si="66"/>
        <v>-</v>
      </c>
      <c r="P313" s="120" t="s">
        <v>247</v>
      </c>
      <c r="Q313" s="121" t="s">
        <v>696</v>
      </c>
      <c r="R313" s="122" t="str">
        <f ca="1">IF($C313="S",REFERENCIA.Descricao,"(digite a descrição aqui)")</f>
        <v>(abra o arquivo 'Referência 06-2024.xlsm)</v>
      </c>
      <c r="S313" s="123" t="str">
        <f ca="1">REFERENCIA.Unidade</f>
        <v>-</v>
      </c>
      <c r="T313" s="124">
        <f ca="1">OFFSET(CÁLCULO!H$15,ROW($T313)-ROW(T$15),0)</f>
        <v>2</v>
      </c>
      <c r="U313" s="125">
        <f t="shared" ca="1" si="76"/>
        <v>0</v>
      </c>
      <c r="V313" s="126" t="s">
        <v>156</v>
      </c>
      <c r="W313" s="124">
        <f ca="1">IF($C313="S",ROUND(IF(TIPOORCAMENTO="Proposto",ORÇAMENTO.CustoUnitario*(1+$AH313),ORÇAMENTO.PrecoUnitarioLicitado),15-13*$AF$10),0)</f>
        <v>0</v>
      </c>
      <c r="X313" s="127">
        <f ca="1">IF($C313="S",IF(Import.TipoArredondamento&lt;&gt;"TransfereGOV",VTOTAL1,SUM(OFFSET(CÁLCULO!$AI$15,ROW($X313)-ROW($X$15),1):OFFSET(CÁLCULO!$BB$15,ROW($X313)-ROW($X$15),-1))),IF($C313=0,0,ROUND(SomaAgrup,15-13*$AF$11)))</f>
        <v>0</v>
      </c>
      <c r="Y313" s="128" t="s">
        <v>245</v>
      </c>
      <c r="Z313" t="str">
        <f t="shared" ca="1" si="67"/>
        <v/>
      </c>
      <c r="AA313" s="129">
        <f ca="1">IF($C313="S",IF($Z313="CP",$X313,IF($Z313="RA",(($X313)*QCI!$AA$3),0)),SomaAgrup)</f>
        <v>0</v>
      </c>
      <c r="AB313" s="130">
        <f t="shared" ca="1" si="68"/>
        <v>0</v>
      </c>
      <c r="AC313" s="131" t="str">
        <f ca="1">IF($N313="","",IF(ORÇAMENTO.Descricao="","DESCRIÇÃO",IF(AND($C313="S",ORÇAMENTO.Unidade=""),"UNIDADE",IF($X313&lt;0,"VALOR NEGATIVO",IF(OR(AND(TIPOORCAMENTO="Proposto",$AG313&lt;&gt;"",$AG313&gt;0,ORÇAMENTO.CustoUnitario&gt;$AG313),AND(TIPOORCAMENTO="LICITADO",ORÇAMENTO.PrecoUnitarioLicitado&gt;$AN313)),"ACIMA REF.","")))))</f>
        <v/>
      </c>
      <c r="AD313" t="str">
        <f ca="1">IF(C313&lt;=CRONO.NivelExibicao,MAX($AD$15:OFFSET(AD313,-1,0))+IF($C313&lt;&gt;1,1,MAX(1,COUNTIF(QCI!$A$13:$A$24,OFFSET($E313,-1,0)))),"")</f>
        <v/>
      </c>
      <c r="AE313" s="7" t="str">
        <f ca="1">IF(AND($C313="S",ORÇAMENTO.CodBarra&lt;&gt;""),IF(ORÇAMENTO.Fonte="",ORÇAMENTO.CodBarra,CONCATENATE(ORÇAMENTO.Fonte," ",ORÇAMENTO.CodBarra)))</f>
        <v>SINAPI 89549</v>
      </c>
      <c r="AF313" s="13" t="str">
        <f ca="1">IF(ISERROR(INDIRECT(ORÇAMENTO.BancoRef)),"(abra o arquivo 'Referência "&amp;Excel_BuiltIn_Database&amp;".xlsm)",IF(OR($C313&lt;&gt;"S",ORÇAMENTO.CodBarra=""),"(Sem Código)",IF(ISERROR(MATCH($AE313,INDIRECT(ORÇAMENTO.BancoRef),0)),"(Código não identificado nas referências)",MATCH($AE313,INDIRECT(ORÇAMENTO.BancoRef),0))))</f>
        <v>(abra o arquivo 'Referência 06-2024.xlsm)</v>
      </c>
      <c r="AG313" s="498">
        <f ca="1">ROUND(IF(DESONERACAO="sim",REFERENCIA.Desonerado,REFERENCIA.NaoDesonerado),2)</f>
        <v>0</v>
      </c>
      <c r="AH313" s="499">
        <f t="shared" ca="1" si="69"/>
        <v>0.2432</v>
      </c>
      <c r="AJ313" s="501"/>
      <c r="AL313" s="527"/>
      <c r="AM313" s="381">
        <f t="shared" ca="1" si="70"/>
        <v>0</v>
      </c>
      <c r="AN313" s="566">
        <f t="shared" ca="1" si="71"/>
        <v>0</v>
      </c>
    </row>
    <row r="314" spans="1:40" ht="38.25" x14ac:dyDescent="0.2">
      <c r="A314" t="str">
        <f t="shared" si="56"/>
        <v>S</v>
      </c>
      <c r="B314">
        <f t="shared" ca="1" si="57"/>
        <v>2</v>
      </c>
      <c r="C314" t="str">
        <f t="shared" ca="1" si="58"/>
        <v>S</v>
      </c>
      <c r="D314">
        <f t="shared" ca="1" si="59"/>
        <v>0</v>
      </c>
      <c r="E314">
        <f ca="1">IF($C314=1,OFFSET(E314,-1,0)+MAX(1,COUNTIF(QCI!$A$13:$A$24,OFFSET(ORÇAMENTO!E314,-1,0))),OFFSET(E314,-1,0))</f>
        <v>1</v>
      </c>
      <c r="F314">
        <f t="shared" ca="1" si="60"/>
        <v>38</v>
      </c>
      <c r="G314">
        <f t="shared" ca="1" si="61"/>
        <v>0</v>
      </c>
      <c r="H314">
        <f t="shared" ca="1" si="62"/>
        <v>0</v>
      </c>
      <c r="I314">
        <f t="shared" ca="1" si="63"/>
        <v>0</v>
      </c>
      <c r="J314">
        <f t="shared" ca="1" si="75"/>
        <v>0</v>
      </c>
      <c r="K314">
        <f ca="1">IF(OR($C314="S",$C314=0),0,MATCH(OFFSET($D314,0,$C314)+IF($C314&lt;&gt;1,1,COUNTIF(QCI!$A$13:$A$24,ORÇAMENTO!E314)),OFFSET($D314,1,$C314,ROW($C$727)-ROW($C314)),0))</f>
        <v>0</v>
      </c>
      <c r="L314" s="116" t="str">
        <f t="shared" ca="1" si="64"/>
        <v/>
      </c>
      <c r="M314" s="117" t="s">
        <v>199</v>
      </c>
      <c r="N314" s="118" t="str">
        <f t="shared" ca="1" si="65"/>
        <v>Serviço</v>
      </c>
      <c r="O314" s="119" t="str">
        <f t="shared" ca="1" si="66"/>
        <v>-</v>
      </c>
      <c r="P314" s="120" t="s">
        <v>458</v>
      </c>
      <c r="Q314" s="121" t="s">
        <v>697</v>
      </c>
      <c r="R314" s="122" t="str">
        <f ca="1">IF($C314="S",REFERENCIA.Descricao,"(digite a descrição aqui)")</f>
        <v>(abra o arquivo 'Referência 06-2024.xlsm)</v>
      </c>
      <c r="S314" s="123" t="str">
        <f ca="1">REFERENCIA.Unidade</f>
        <v>-</v>
      </c>
      <c r="T314" s="124">
        <f ca="1">OFFSET(CÁLCULO!H$15,ROW($T314)-ROW(T$15),0)</f>
        <v>2</v>
      </c>
      <c r="U314" s="125">
        <f t="shared" ca="1" si="76"/>
        <v>0</v>
      </c>
      <c r="V314" s="126" t="s">
        <v>156</v>
      </c>
      <c r="W314" s="124">
        <f ca="1">IF($C314="S",ROUND(IF(TIPOORCAMENTO="Proposto",ORÇAMENTO.CustoUnitario*(1+$AH314),ORÇAMENTO.PrecoUnitarioLicitado),15-13*$AF$10),0)</f>
        <v>0</v>
      </c>
      <c r="X314" s="127">
        <f ca="1">IF($C314="S",IF(Import.TipoArredondamento&lt;&gt;"TransfereGOV",VTOTAL1,SUM(OFFSET(CÁLCULO!$AI$15,ROW($X314)-ROW($X$15),1):OFFSET(CÁLCULO!$BB$15,ROW($X314)-ROW($X$15),-1))),IF($C314=0,0,ROUND(SomaAgrup,15-13*$AF$11)))</f>
        <v>0</v>
      </c>
      <c r="Y314" s="128" t="s">
        <v>245</v>
      </c>
      <c r="Z314" t="str">
        <f t="shared" ca="1" si="67"/>
        <v/>
      </c>
      <c r="AA314" s="129">
        <f ca="1">IF($C314="S",IF($Z314="CP",$X314,IF($Z314="RA",(($X314)*QCI!$AA$3),0)),SomaAgrup)</f>
        <v>0</v>
      </c>
      <c r="AB314" s="130">
        <f t="shared" ca="1" si="68"/>
        <v>0</v>
      </c>
      <c r="AC314" s="131" t="str">
        <f ca="1">IF($N314="","",IF(ORÇAMENTO.Descricao="","DESCRIÇÃO",IF(AND($C314="S",ORÇAMENTO.Unidade=""),"UNIDADE",IF($X314&lt;0,"VALOR NEGATIVO",IF(OR(AND(TIPOORCAMENTO="Proposto",$AG314&lt;&gt;"",$AG314&gt;0,ORÇAMENTO.CustoUnitario&gt;$AG314),AND(TIPOORCAMENTO="LICITADO",ORÇAMENTO.PrecoUnitarioLicitado&gt;$AN314)),"ACIMA REF.","")))))</f>
        <v/>
      </c>
      <c r="AD314" t="str">
        <f ca="1">IF(C314&lt;=CRONO.NivelExibicao,MAX($AD$15:OFFSET(AD314,-1,0))+IF($C314&lt;&gt;1,1,MAX(1,COUNTIF(QCI!$A$13:$A$24,OFFSET($E314,-1,0)))),"")</f>
        <v/>
      </c>
      <c r="AE314" s="7" t="str">
        <f ca="1">IF(AND($C314="S",ORÇAMENTO.CodBarra&lt;&gt;""),IF(ORÇAMENTO.Fonte="",ORÇAMENTO.CodBarra,CONCATENATE(ORÇAMENTO.Fonte," ",ORÇAMENTO.CodBarra)))</f>
        <v>COMPOSIÇÃO FNDE 30</v>
      </c>
      <c r="AF314" s="13" t="str">
        <f ca="1">IF(ISERROR(INDIRECT(ORÇAMENTO.BancoRef)),"(abra o arquivo 'Referência "&amp;Excel_BuiltIn_Database&amp;".xlsm)",IF(OR($C314&lt;&gt;"S",ORÇAMENTO.CodBarra=""),"(Sem Código)",IF(ISERROR(MATCH($AE314,INDIRECT(ORÇAMENTO.BancoRef),0)),"(Código não identificado nas referências)",MATCH($AE314,INDIRECT(ORÇAMENTO.BancoRef),0))))</f>
        <v>(abra o arquivo 'Referência 06-2024.xlsm)</v>
      </c>
      <c r="AG314" s="498">
        <f ca="1">ROUND(IF(DESONERACAO="sim",REFERENCIA.Desonerado,REFERENCIA.NaoDesonerado),2)</f>
        <v>0</v>
      </c>
      <c r="AH314" s="499">
        <f t="shared" ca="1" si="69"/>
        <v>0.2432</v>
      </c>
      <c r="AJ314" s="501"/>
      <c r="AL314" s="527"/>
      <c r="AM314" s="381">
        <f t="shared" ca="1" si="70"/>
        <v>0</v>
      </c>
      <c r="AN314" s="566">
        <f t="shared" ca="1" si="71"/>
        <v>0</v>
      </c>
    </row>
    <row r="315" spans="1:40" ht="38.25" x14ac:dyDescent="0.2">
      <c r="A315" t="str">
        <f>CHOOSE(1+LOG(1+2*(ORÇAMENTO.Nivel="Meta")+4*(ORÇAMENTO.Nivel="Nível 2")+8*(ORÇAMENTO.Nivel="Nível 3")+16*(ORÇAMENTO.Nivel="Nível 4")+32*(ORÇAMENTO.Nivel="Serviço"),2),0,1,2,3,4,"S")</f>
        <v>S</v>
      </c>
      <c r="B315">
        <f t="shared" ref="B315:B316" ca="1" si="77">IF(OR(C315="s",C315=0),OFFSET(B315,-1,0),C315)</f>
        <v>2</v>
      </c>
      <c r="C315" t="str">
        <f t="shared" ref="C315:C316" ca="1" si="78">IF(OFFSET(C315,-1,0)="L",1,IF(OFFSET(C315,-1,0)=1,2,IF(OR(A315="s",A315=0),"S",IF(AND(OFFSET(C315,-1,0)=2,A315=4),3,IF(AND(OR(OFFSET(C315,-1,0)="s",OFFSET(C315,-1,0)=0),A315&lt;&gt;"s",A315&gt;OFFSET(B315,-1,0)),OFFSET(B315,-1,0),A315)))))</f>
        <v>S</v>
      </c>
      <c r="D315">
        <f t="shared" ref="D315:D316" ca="1" si="79">IF(OR(C315="S",C315=0),0,IF(ISERROR(K315),J315,SMALL(J315:K315,1)))</f>
        <v>0</v>
      </c>
      <c r="E315">
        <f ca="1">IF($C315=1,OFFSET(E315,-1,0)+MAX(1,COUNTIF(QCI!$A$13:$A$24,OFFSET(ORÇAMENTO!E315,-1,0))),OFFSET(E315,-1,0))</f>
        <v>1</v>
      </c>
      <c r="F315">
        <f t="shared" ref="F315:F316" ca="1" si="80">IF($C315=1,0,IF($C315=2,OFFSET(F315,-1,0)+1,OFFSET(F315,-1,0)))</f>
        <v>38</v>
      </c>
      <c r="G315">
        <f t="shared" ref="G315:G316" ca="1" si="81">IF(AND($C315&lt;=2,$C315&lt;&gt;0),0,IF($C315=3,OFFSET(G315,-1,0)+1,OFFSET(G315,-1,0)))</f>
        <v>0</v>
      </c>
      <c r="H315">
        <f t="shared" ref="H315:H316" ca="1" si="82">IF(AND($C315&lt;=3,$C315&lt;&gt;0),0,IF($C315=4,OFFSET(H315,-1,0)+1,OFFSET(H315,-1,0)))</f>
        <v>0</v>
      </c>
      <c r="I315">
        <f t="shared" ref="I315:I316" ca="1" si="83">IF(AND($C315&lt;=4,$C315&lt;&gt;0),0,IF(AND($C315="S",$X315&gt;0),OFFSET(I315,-1,0)+1,OFFSET(I315,-1,0)))</f>
        <v>0</v>
      </c>
      <c r="J315">
        <f t="shared" ca="1" si="75"/>
        <v>0</v>
      </c>
      <c r="K315">
        <f ca="1">IF(OR($C315="S",$C315=0),0,MATCH(OFFSET($D315,0,$C315)+IF($C315&lt;&gt;1,1,COUNTIF(QCI!$A$13:$A$24,ORÇAMENTO!E315)),OFFSET($D315,1,$C315,ROW($C$727)-ROW($C315)),0))</f>
        <v>0</v>
      </c>
      <c r="L315" s="116" t="str">
        <f t="shared" ref="L315:L316" ca="1" si="84">IF(OR($X315&gt;0,$C315=1,$C315=2,$C315=3,$C315=4),"F","")</f>
        <v/>
      </c>
      <c r="M315" s="117" t="s">
        <v>199</v>
      </c>
      <c r="N315" s="118" t="str">
        <f t="shared" ref="N315:N316" ca="1" si="85">CHOOSE(1+LOG(1+2*(C315=1)+4*(C315=2)+8*(C315=3)+16*(C315=4)+32*(C315="S"),2),"","Meta","Nível 2","Nível 3","Nível 4","Serviço")</f>
        <v>Serviço</v>
      </c>
      <c r="O315" s="119" t="str">
        <f t="shared" ref="O315:O316" ca="1" si="86">IF(OR($C315=0,$L315=""),"-",CONCATENATE(E315&amp;".",IF(AND($A$5&gt;=2,$C315&gt;=2),F315&amp;".",""),IF(AND($A$5&gt;=3,$C315&gt;=3),G315&amp;".",""),IF(AND($A$5&gt;=4,$C315&gt;=4),H315&amp;".",""),IF($C315="S",I315&amp;".","")))</f>
        <v>-</v>
      </c>
      <c r="P315" s="120" t="s">
        <v>247</v>
      </c>
      <c r="Q315" s="121" t="s">
        <v>698</v>
      </c>
      <c r="R315" s="122" t="str">
        <f ca="1">IF($C315="S",REFERENCIA.Descricao,"(digite a descrição aqui)")</f>
        <v>(abra o arquivo 'Referência 06-2024.xlsm)</v>
      </c>
      <c r="S315" s="123" t="str">
        <f ca="1">REFERENCIA.Unidade</f>
        <v>-</v>
      </c>
      <c r="T315" s="124">
        <f ca="1">OFFSET(CÁLCULO!H$15,ROW($T315)-ROW(T$15),0)</f>
        <v>6</v>
      </c>
      <c r="U315" s="125">
        <f t="shared" ca="1" si="76"/>
        <v>0</v>
      </c>
      <c r="V315" s="126" t="s">
        <v>156</v>
      </c>
      <c r="W315" s="124">
        <f ca="1">IF($C315="S",ROUND(IF(TIPOORCAMENTO="Proposto",ORÇAMENTO.CustoUnitario*(1+$AH315),ORÇAMENTO.PrecoUnitarioLicitado),15-13*$AF$10),0)</f>
        <v>0</v>
      </c>
      <c r="X315" s="127">
        <f ca="1">IF($C315="S",IF(Import.TipoArredondamento&lt;&gt;"TransfereGOV",VTOTAL1,SUM(OFFSET(CÁLCULO!$AI$15,ROW($X315)-ROW($X$15),1):OFFSET(CÁLCULO!$BB$15,ROW($X315)-ROW($X$15),-1))),IF($C315=0,0,ROUND(SomaAgrup,15-13*$AF$11)))</f>
        <v>0</v>
      </c>
      <c r="Y315" s="128" t="s">
        <v>245</v>
      </c>
      <c r="Z315" t="str">
        <f t="shared" ref="Z315:Z316" ca="1" si="87">IF(AND($C315="S",$X315&gt;0),IF(ISBLANK($Y315),"RA",LEFT($Y315,2)),"")</f>
        <v/>
      </c>
      <c r="AA315" s="129">
        <f ca="1">IF($C315="S",IF($Z315="CP",$X315,IF($Z315="RA",(($X315)*QCI!$AA$3),0)),SomaAgrup)</f>
        <v>0</v>
      </c>
      <c r="AB315" s="130">
        <f ca="1">IF($C315="S",IF($Z315="OU",ROUND($X315,2),0),SomaAgrup)</f>
        <v>0</v>
      </c>
      <c r="AC315" s="131" t="str">
        <f ca="1">IF($N315="","",IF(ORÇAMENTO.Descricao="","DESCRIÇÃO",IF(AND($C315="S",ORÇAMENTO.Unidade=""),"UNIDADE",IF($X315&lt;0,"VALOR NEGATIVO",IF(OR(AND(TIPOORCAMENTO="Proposto",$AG315&lt;&gt;"",$AG315&gt;0,ORÇAMENTO.CustoUnitario&gt;$AG315),AND(TIPOORCAMENTO="LICITADO",ORÇAMENTO.PrecoUnitarioLicitado&gt;$AN315)),"ACIMA REF.","")))))</f>
        <v/>
      </c>
      <c r="AD315" t="str">
        <f ca="1">IF(C315&lt;=CRONO.NivelExibicao,MAX($AD$15:OFFSET(AD315,-1,0))+IF($C315&lt;&gt;1,1,MAX(1,COUNTIF(QCI!$A$13:$A$24,OFFSET($E315,-1,0)))),"")</f>
        <v/>
      </c>
      <c r="AE315" s="7" t="str">
        <f ca="1">IF(AND($C315="S",ORÇAMENTO.CodBarra&lt;&gt;""),IF(ORÇAMENTO.Fonte="",ORÇAMENTO.CodBarra,CONCATENATE(ORÇAMENTO.Fonte," ",ORÇAMENTO.CodBarra)))</f>
        <v>SINAPI 104178</v>
      </c>
      <c r="AF315" s="13" t="str">
        <f ca="1">IF(ISERROR(INDIRECT(ORÇAMENTO.BancoRef)),"(abra o arquivo 'Referência "&amp;Excel_BuiltIn_Database&amp;".xlsm)",IF(OR($C315&lt;&gt;"S",ORÇAMENTO.CodBarra=""),"(Sem Código)",IF(ISERROR(MATCH($AE315,INDIRECT(ORÇAMENTO.BancoRef),0)),"(Código não identificado nas referências)",MATCH($AE315,INDIRECT(ORÇAMENTO.BancoRef),0))))</f>
        <v>(abra o arquivo 'Referência 06-2024.xlsm)</v>
      </c>
      <c r="AG315" s="498">
        <f ca="1">ROUND(IF(DESONERACAO="sim",REFERENCIA.Desonerado,REFERENCIA.NaoDesonerado),2)</f>
        <v>0</v>
      </c>
      <c r="AH315" s="499">
        <f ca="1">ROUND(IF(ISNUMBER(ORÇAMENTO.OpcaoBDI),ORÇAMENTO.OpcaoBDI,IF(LEFT(ORÇAMENTO.OpcaoBDI,3)="BDI",HLOOKUP(ORÇAMENTO.OpcaoBDI,$F$4:$H$5,2,FALSE),0)),15-11*$AF$9)</f>
        <v>0.2432</v>
      </c>
      <c r="AJ315" s="501"/>
      <c r="AL315" s="527"/>
      <c r="AM315" s="381">
        <f t="shared" ref="AM315:AM316" ca="1" si="88">$X315</f>
        <v>0</v>
      </c>
      <c r="AN315" s="566">
        <f ca="1">ROUND(ORÇAMENTO.CustoUnitario*(1+$AH315),2)</f>
        <v>0</v>
      </c>
    </row>
    <row r="316" spans="1:40" x14ac:dyDescent="0.2">
      <c r="A316">
        <f>CHOOSE(1+LOG(1+2*(ORÇAMENTO.Nivel="Meta")+4*(ORÇAMENTO.Nivel="Nível 2")+8*(ORÇAMENTO.Nivel="Nível 3")+16*(ORÇAMENTO.Nivel="Nível 4")+32*(ORÇAMENTO.Nivel="Serviço"),2),0,1,2,3,4,"S")</f>
        <v>2</v>
      </c>
      <c r="B316">
        <f t="shared" ca="1" si="77"/>
        <v>2</v>
      </c>
      <c r="C316">
        <f t="shared" ca="1" si="78"/>
        <v>2</v>
      </c>
      <c r="D316">
        <f t="shared" ca="1" si="79"/>
        <v>3</v>
      </c>
      <c r="E316">
        <f ca="1">IF($C316=1,OFFSET(E316,-1,0)+MAX(1,COUNTIF(QCI!$A$13:$A$24,OFFSET(ORÇAMENTO!E316,-1,0))),OFFSET(E316,-1,0))</f>
        <v>1</v>
      </c>
      <c r="F316">
        <f t="shared" ca="1" si="80"/>
        <v>39</v>
      </c>
      <c r="G316">
        <f t="shared" ca="1" si="81"/>
        <v>0</v>
      </c>
      <c r="H316">
        <f t="shared" ca="1" si="82"/>
        <v>0</v>
      </c>
      <c r="I316">
        <f t="shared" ca="1" si="83"/>
        <v>0</v>
      </c>
      <c r="J316">
        <f t="shared" ca="1" si="75"/>
        <v>411</v>
      </c>
      <c r="K316">
        <f ca="1">IF(OR($C316="S",$C316=0),0,MATCH(OFFSET($D316,0,$C316)+IF($C316&lt;&gt;1,1,COUNTIF(QCI!$A$13:$A$24,ORÇAMENTO!E316)),OFFSET($D316,1,$C316,ROW($C$727)-ROW($C316)),0))</f>
        <v>3</v>
      </c>
      <c r="L316" s="116" t="str">
        <f t="shared" ca="1" si="84"/>
        <v>F</v>
      </c>
      <c r="M316" s="117" t="s">
        <v>196</v>
      </c>
      <c r="N316" s="118" t="str">
        <f t="shared" ca="1" si="85"/>
        <v>Nível 2</v>
      </c>
      <c r="O316" s="119" t="str">
        <f t="shared" ca="1" si="86"/>
        <v>1.39.</v>
      </c>
      <c r="P316" s="120" t="s">
        <v>247</v>
      </c>
      <c r="Q316" s="121"/>
      <c r="R316" s="122" t="s">
        <v>1064</v>
      </c>
      <c r="S316" s="123" t="str">
        <f ca="1">REFERENCIA.Unidade</f>
        <v>-</v>
      </c>
      <c r="T316" s="124">
        <f ca="1">OFFSET(CÁLCULO!H$15,ROW($T316)-ROW(T$15),0)</f>
        <v>0</v>
      </c>
      <c r="U316" s="125">
        <f t="shared" ca="1" si="76"/>
        <v>0</v>
      </c>
      <c r="V316" s="126" t="s">
        <v>156</v>
      </c>
      <c r="W316" s="124">
        <f ca="1">IF($C316="S",ROUND(IF(TIPOORCAMENTO="Proposto",ORÇAMENTO.CustoUnitario*(1+$AH316),ORÇAMENTO.PrecoUnitarioLicitado),15-13*$AF$10),0)</f>
        <v>0</v>
      </c>
      <c r="X316" s="127">
        <f ca="1">IF($C316="S",IF(Import.TipoArredondamento&lt;&gt;"TransfereGOV",VTOTAL1,SUM(OFFSET(CÁLCULO!$AI$15,ROW($X316)-ROW($X$15),1):OFFSET(CÁLCULO!$BB$15,ROW($X316)-ROW($X$15),-1))),IF($C316=0,0,ROUND(SomaAgrup,15-13*$AF$11)))</f>
        <v>0</v>
      </c>
      <c r="Y316" s="128" t="s">
        <v>245</v>
      </c>
      <c r="Z316" t="str">
        <f t="shared" ca="1" si="87"/>
        <v/>
      </c>
      <c r="AA316" s="129">
        <f ca="1">IF($C316="S",IF($Z316="CP",$X316,IF($Z316="RA",(($X316)*QCI!$AA$3),0)),SomaAgrup)</f>
        <v>0</v>
      </c>
      <c r="AB316" s="130">
        <f ca="1">IF($C316="S",IF($Z316="OU",ROUND($X316,2),0),SomaAgrup)</f>
        <v>0</v>
      </c>
      <c r="AC316" s="131" t="str">
        <f ca="1">IF($N316="","",IF(ORÇAMENTO.Descricao="","DESCRIÇÃO",IF(AND($C316="S",ORÇAMENTO.Unidade=""),"UNIDADE",IF($X316&lt;0,"VALOR NEGATIVO",IF(OR(AND(TIPOORCAMENTO="Proposto",$AG316&lt;&gt;"",$AG316&gt;0,ORÇAMENTO.CustoUnitario&gt;$AG316),AND(TIPOORCAMENTO="LICITADO",ORÇAMENTO.PrecoUnitarioLicitado&gt;$AN316)),"ACIMA REF.","")))))</f>
        <v/>
      </c>
      <c r="AD316">
        <f ca="1">IF(C316&lt;=CRONO.NivelExibicao,MAX($AD$15:OFFSET(AD316,-1,0))+IF($C316&lt;&gt;1,1,MAX(1,COUNTIF(QCI!$A$13:$A$24,OFFSET($E316,-1,0)))),"")</f>
        <v>40</v>
      </c>
      <c r="AE316" s="7" t="b">
        <f ca="1">IF(AND($C316="S",ORÇAMENTO.CodBarra&lt;&gt;""),IF(ORÇAMENTO.Fonte="",ORÇAMENTO.CodBarra,CONCATENATE(ORÇAMENTO.Fonte," ",ORÇAMENTO.CodBarra)))</f>
        <v>0</v>
      </c>
      <c r="AF316" s="13" t="str">
        <f ca="1">IF(ISERROR(INDIRECT(ORÇAMENTO.BancoRef)),"(abra o arquivo 'Referência "&amp;Excel_BuiltIn_Database&amp;".xlsm)",IF(OR($C316&lt;&gt;"S",ORÇAMENTO.CodBarra=""),"(Sem Código)",IF(ISERROR(MATCH($AE316,INDIRECT(ORÇAMENTO.BancoRef),0)),"(Código não identificado nas referências)",MATCH($AE316,INDIRECT(ORÇAMENTO.BancoRef),0))))</f>
        <v>(abra o arquivo 'Referência 06-2024.xlsm)</v>
      </c>
      <c r="AG316" s="498">
        <f ca="1">ROUND(IF(DESONERACAO="sim",REFERENCIA.Desonerado,REFERENCIA.NaoDesonerado),2)</f>
        <v>0</v>
      </c>
      <c r="AH316" s="499">
        <f ca="1">ROUND(IF(ISNUMBER(ORÇAMENTO.OpcaoBDI),ORÇAMENTO.OpcaoBDI,IF(LEFT(ORÇAMENTO.OpcaoBDI,3)="BDI",HLOOKUP(ORÇAMENTO.OpcaoBDI,$F$4:$H$5,2,FALSE),0)),15-11*$AF$9)</f>
        <v>0.2432</v>
      </c>
      <c r="AJ316" s="501"/>
      <c r="AL316" s="527"/>
      <c r="AM316" s="381">
        <f t="shared" ca="1" si="88"/>
        <v>0</v>
      </c>
      <c r="AN316" s="566">
        <f ca="1">ROUND(ORÇAMENTO.CustoUnitario*(1+$AH316),2)</f>
        <v>0</v>
      </c>
    </row>
    <row r="317" spans="1:40" ht="38.25" x14ac:dyDescent="0.2">
      <c r="A317" t="str">
        <f t="shared" si="56"/>
        <v>S</v>
      </c>
      <c r="B317">
        <f t="shared" ca="1" si="57"/>
        <v>2</v>
      </c>
      <c r="C317" t="str">
        <f t="shared" ca="1" si="58"/>
        <v>S</v>
      </c>
      <c r="D317">
        <f t="shared" ca="1" si="59"/>
        <v>0</v>
      </c>
      <c r="E317">
        <f ca="1">IF($C317=1,OFFSET(E317,-1,0)+MAX(1,COUNTIF(QCI!$A$13:$A$24,OFFSET(ORÇAMENTO!E317,-1,0))),OFFSET(E317,-1,0))</f>
        <v>1</v>
      </c>
      <c r="F317">
        <f t="shared" ca="1" si="60"/>
        <v>39</v>
      </c>
      <c r="G317">
        <f t="shared" ca="1" si="61"/>
        <v>0</v>
      </c>
      <c r="H317">
        <f t="shared" ca="1" si="62"/>
        <v>0</v>
      </c>
      <c r="I317">
        <f t="shared" ca="1" si="63"/>
        <v>0</v>
      </c>
      <c r="J317">
        <f t="shared" ca="1" si="75"/>
        <v>0</v>
      </c>
      <c r="K317">
        <f ca="1">IF(OR($C317="S",$C317=0),0,MATCH(OFFSET($D317,0,$C317)+IF($C317&lt;&gt;1,1,COUNTIF(QCI!$A$13:$A$24,ORÇAMENTO!E317)),OFFSET($D317,1,$C317,ROW($C$727)-ROW($C317)),0))</f>
        <v>0</v>
      </c>
      <c r="L317" s="116" t="str">
        <f t="shared" ca="1" si="64"/>
        <v/>
      </c>
      <c r="M317" s="117" t="s">
        <v>199</v>
      </c>
      <c r="N317" s="118" t="str">
        <f t="shared" ca="1" si="65"/>
        <v>Serviço</v>
      </c>
      <c r="O317" s="119" t="str">
        <f t="shared" ca="1" si="66"/>
        <v>-</v>
      </c>
      <c r="P317" s="120" t="s">
        <v>247</v>
      </c>
      <c r="Q317" s="121" t="s">
        <v>699</v>
      </c>
      <c r="R317" s="122" t="str">
        <f ca="1">IF($C317="S",REFERENCIA.Descricao,"(digite a descrição aqui)")</f>
        <v>(abra o arquivo 'Referência 06-2024.xlsm)</v>
      </c>
      <c r="S317" s="123" t="str">
        <f ca="1">REFERENCIA.Unidade</f>
        <v>-</v>
      </c>
      <c r="T317" s="124">
        <f ca="1">OFFSET(CÁLCULO!H$15,ROW($T317)-ROW(T$15),0)</f>
        <v>13</v>
      </c>
      <c r="U317" s="125">
        <f t="shared" ca="1" si="76"/>
        <v>0</v>
      </c>
      <c r="V317" s="126" t="s">
        <v>156</v>
      </c>
      <c r="W317" s="124">
        <f ca="1">IF($C317="S",ROUND(IF(TIPOORCAMENTO="Proposto",ORÇAMENTO.CustoUnitario*(1+$AH317),ORÇAMENTO.PrecoUnitarioLicitado),15-13*$AF$10),0)</f>
        <v>0</v>
      </c>
      <c r="X317" s="127">
        <f ca="1">IF($C317="S",IF(Import.TipoArredondamento&lt;&gt;"TransfereGOV",VTOTAL1,SUM(OFFSET(CÁLCULO!$AI$15,ROW($X317)-ROW($X$15),1):OFFSET(CÁLCULO!$BB$15,ROW($X317)-ROW($X$15),-1))),IF($C317=0,0,ROUND(SomaAgrup,15-13*$AF$11)))</f>
        <v>0</v>
      </c>
      <c r="Y317" s="128" t="s">
        <v>245</v>
      </c>
      <c r="Z317" t="str">
        <f t="shared" ca="1" si="67"/>
        <v/>
      </c>
      <c r="AA317" s="129">
        <f ca="1">IF($C317="S",IF($Z317="CP",$X317,IF($Z317="RA",(($X317)*QCI!$AA$3),0)),SomaAgrup)</f>
        <v>0</v>
      </c>
      <c r="AB317" s="130">
        <f t="shared" ca="1" si="68"/>
        <v>0</v>
      </c>
      <c r="AC317" s="131" t="str">
        <f ca="1">IF($N317="","",IF(ORÇAMENTO.Descricao="","DESCRIÇÃO",IF(AND($C317="S",ORÇAMENTO.Unidade=""),"UNIDADE",IF($X317&lt;0,"VALOR NEGATIVO",IF(OR(AND(TIPOORCAMENTO="Proposto",$AG317&lt;&gt;"",$AG317&gt;0,ORÇAMENTO.CustoUnitario&gt;$AG317),AND(TIPOORCAMENTO="LICITADO",ORÇAMENTO.PrecoUnitarioLicitado&gt;$AN317)),"ACIMA REF.","")))))</f>
        <v/>
      </c>
      <c r="AD317" t="str">
        <f ca="1">IF(C317&lt;=CRONO.NivelExibicao,MAX($AD$15:OFFSET(AD317,-1,0))+IF($C317&lt;&gt;1,1,MAX(1,COUNTIF(QCI!$A$13:$A$24,OFFSET($E317,-1,0)))),"")</f>
        <v/>
      </c>
      <c r="AE317" s="7" t="str">
        <f ca="1">IF(AND($C317="S",ORÇAMENTO.CodBarra&lt;&gt;""),IF(ORÇAMENTO.Fonte="",ORÇAMENTO.CodBarra,CONCATENATE(ORÇAMENTO.Fonte," ",ORÇAMENTO.CodBarra)))</f>
        <v>SINAPI 99253</v>
      </c>
      <c r="AF317" s="13" t="str">
        <f ca="1">IF(ISERROR(INDIRECT(ORÇAMENTO.BancoRef)),"(abra o arquivo 'Referência "&amp;Excel_BuiltIn_Database&amp;".xlsm)",IF(OR($C317&lt;&gt;"S",ORÇAMENTO.CodBarra=""),"(Sem Código)",IF(ISERROR(MATCH($AE317,INDIRECT(ORÇAMENTO.BancoRef),0)),"(Código não identificado nas referências)",MATCH($AE317,INDIRECT(ORÇAMENTO.BancoRef),0))))</f>
        <v>(abra o arquivo 'Referência 06-2024.xlsm)</v>
      </c>
      <c r="AG317" s="498">
        <f ca="1">ROUND(IF(DESONERACAO="sim",REFERENCIA.Desonerado,REFERENCIA.NaoDesonerado),2)</f>
        <v>0</v>
      </c>
      <c r="AH317" s="499">
        <f t="shared" ca="1" si="69"/>
        <v>0.2432</v>
      </c>
      <c r="AJ317" s="501"/>
      <c r="AL317" s="527"/>
      <c r="AM317" s="381">
        <f t="shared" ca="1" si="70"/>
        <v>0</v>
      </c>
      <c r="AN317" s="566">
        <f t="shared" ca="1" si="71"/>
        <v>0</v>
      </c>
    </row>
    <row r="318" spans="1:40" ht="38.25" x14ac:dyDescent="0.2">
      <c r="A318" t="str">
        <f t="shared" si="56"/>
        <v>S</v>
      </c>
      <c r="B318">
        <f t="shared" ca="1" si="57"/>
        <v>2</v>
      </c>
      <c r="C318" t="str">
        <f t="shared" ca="1" si="58"/>
        <v>S</v>
      </c>
      <c r="D318">
        <f t="shared" ca="1" si="59"/>
        <v>0</v>
      </c>
      <c r="E318">
        <f ca="1">IF($C318=1,OFFSET(E318,-1,0)+MAX(1,COUNTIF(QCI!$A$13:$A$24,OFFSET(ORÇAMENTO!E318,-1,0))),OFFSET(E318,-1,0))</f>
        <v>1</v>
      </c>
      <c r="F318">
        <f t="shared" ca="1" si="60"/>
        <v>39</v>
      </c>
      <c r="G318">
        <f t="shared" ca="1" si="61"/>
        <v>0</v>
      </c>
      <c r="H318">
        <f t="shared" ca="1" si="62"/>
        <v>0</v>
      </c>
      <c r="I318">
        <f t="shared" ca="1" si="63"/>
        <v>0</v>
      </c>
      <c r="J318">
        <f t="shared" ca="1" si="75"/>
        <v>0</v>
      </c>
      <c r="K318">
        <f ca="1">IF(OR($C318="S",$C318=0),0,MATCH(OFFSET($D318,0,$C318)+IF($C318&lt;&gt;1,1,COUNTIF(QCI!$A$13:$A$24,ORÇAMENTO!E318)),OFFSET($D318,1,$C318,ROW($C$727)-ROW($C318)),0))</f>
        <v>0</v>
      </c>
      <c r="L318" s="116" t="str">
        <f t="shared" ca="1" si="64"/>
        <v/>
      </c>
      <c r="M318" s="117" t="s">
        <v>199</v>
      </c>
      <c r="N318" s="118" t="str">
        <f t="shared" ca="1" si="65"/>
        <v>Serviço</v>
      </c>
      <c r="O318" s="119" t="str">
        <f t="shared" ca="1" si="66"/>
        <v>-</v>
      </c>
      <c r="P318" s="120" t="s">
        <v>247</v>
      </c>
      <c r="Q318" s="121" t="s">
        <v>700</v>
      </c>
      <c r="R318" s="122" t="str">
        <f ca="1">IF($C318="S",REFERENCIA.Descricao,"(digite a descrição aqui)")</f>
        <v>(abra o arquivo 'Referência 06-2024.xlsm)</v>
      </c>
      <c r="S318" s="123" t="str">
        <f ca="1">REFERENCIA.Unidade</f>
        <v>-</v>
      </c>
      <c r="T318" s="124">
        <f ca="1">OFFSET(CÁLCULO!H$15,ROW($T318)-ROW(T$15),0)</f>
        <v>11</v>
      </c>
      <c r="U318" s="125">
        <f t="shared" ca="1" si="76"/>
        <v>0</v>
      </c>
      <c r="V318" s="126" t="s">
        <v>156</v>
      </c>
      <c r="W318" s="124">
        <f ca="1">IF($C318="S",ROUND(IF(TIPOORCAMENTO="Proposto",ORÇAMENTO.CustoUnitario*(1+$AH318),ORÇAMENTO.PrecoUnitarioLicitado),15-13*$AF$10),0)</f>
        <v>0</v>
      </c>
      <c r="X318" s="127">
        <f ca="1">IF($C318="S",IF(Import.TipoArredondamento&lt;&gt;"TransfereGOV",VTOTAL1,SUM(OFFSET(CÁLCULO!$AI$15,ROW($X318)-ROW($X$15),1):OFFSET(CÁLCULO!$BB$15,ROW($X318)-ROW($X$15),-1))),IF($C318=0,0,ROUND(SomaAgrup,15-13*$AF$11)))</f>
        <v>0</v>
      </c>
      <c r="Y318" s="128" t="s">
        <v>245</v>
      </c>
      <c r="Z318" t="str">
        <f t="shared" ca="1" si="67"/>
        <v/>
      </c>
      <c r="AA318" s="129">
        <f ca="1">IF($C318="S",IF($Z318="CP",$X318,IF($Z318="RA",(($X318)*QCI!$AA$3),0)),SomaAgrup)</f>
        <v>0</v>
      </c>
      <c r="AB318" s="130">
        <f t="shared" ca="1" si="68"/>
        <v>0</v>
      </c>
      <c r="AC318" s="131" t="str">
        <f ca="1">IF($N318="","",IF(ORÇAMENTO.Descricao="","DESCRIÇÃO",IF(AND($C318="S",ORÇAMENTO.Unidade=""),"UNIDADE",IF($X318&lt;0,"VALOR NEGATIVO",IF(OR(AND(TIPOORCAMENTO="Proposto",$AG318&lt;&gt;"",$AG318&gt;0,ORÇAMENTO.CustoUnitario&gt;$AG318),AND(TIPOORCAMENTO="LICITADO",ORÇAMENTO.PrecoUnitarioLicitado&gt;$AN318)),"ACIMA REF.","")))))</f>
        <v/>
      </c>
      <c r="AD318" t="str">
        <f ca="1">IF(C318&lt;=CRONO.NivelExibicao,MAX($AD$15:OFFSET(AD318,-1,0))+IF($C318&lt;&gt;1,1,MAX(1,COUNTIF(QCI!$A$13:$A$24,OFFSET($E318,-1,0)))),"")</f>
        <v/>
      </c>
      <c r="AE318" s="7" t="str">
        <f ca="1">IF(AND($C318="S",ORÇAMENTO.CodBarra&lt;&gt;""),IF(ORÇAMENTO.Fonte="",ORÇAMENTO.CodBarra,CONCATENATE(ORÇAMENTO.Fonte," ",ORÇAMENTO.CodBarra)))</f>
        <v>SINAPI 89482</v>
      </c>
      <c r="AF318" s="13" t="str">
        <f ca="1">IF(ISERROR(INDIRECT(ORÇAMENTO.BancoRef)),"(abra o arquivo 'Referência "&amp;Excel_BuiltIn_Database&amp;".xlsm)",IF(OR($C318&lt;&gt;"S",ORÇAMENTO.CodBarra=""),"(Sem Código)",IF(ISERROR(MATCH($AE318,INDIRECT(ORÇAMENTO.BancoRef),0)),"(Código não identificado nas referências)",MATCH($AE318,INDIRECT(ORÇAMENTO.BancoRef),0))))</f>
        <v>(abra o arquivo 'Referência 06-2024.xlsm)</v>
      </c>
      <c r="AG318" s="498">
        <f ca="1">ROUND(IF(DESONERACAO="sim",REFERENCIA.Desonerado,REFERENCIA.NaoDesonerado),2)</f>
        <v>0</v>
      </c>
      <c r="AH318" s="499">
        <f t="shared" ca="1" si="69"/>
        <v>0.2432</v>
      </c>
      <c r="AJ318" s="501"/>
      <c r="AL318" s="527"/>
      <c r="AM318" s="381">
        <f t="shared" ca="1" si="70"/>
        <v>0</v>
      </c>
      <c r="AN318" s="566">
        <f t="shared" ca="1" si="71"/>
        <v>0</v>
      </c>
    </row>
    <row r="319" spans="1:40" x14ac:dyDescent="0.2">
      <c r="A319">
        <f t="shared" si="56"/>
        <v>2</v>
      </c>
      <c r="B319">
        <f t="shared" ca="1" si="57"/>
        <v>2</v>
      </c>
      <c r="C319">
        <f t="shared" ca="1" si="58"/>
        <v>2</v>
      </c>
      <c r="D319">
        <f t="shared" ca="1" si="59"/>
        <v>30</v>
      </c>
      <c r="E319">
        <f ca="1">IF($C319=1,OFFSET(E319,-1,0)+MAX(1,COUNTIF(QCI!$A$13:$A$24,OFFSET(ORÇAMENTO!E319,-1,0))),OFFSET(E319,-1,0))</f>
        <v>1</v>
      </c>
      <c r="F319">
        <f t="shared" ca="1" si="60"/>
        <v>40</v>
      </c>
      <c r="G319">
        <f t="shared" ca="1" si="61"/>
        <v>0</v>
      </c>
      <c r="H319">
        <f t="shared" ca="1" si="62"/>
        <v>0</v>
      </c>
      <c r="I319">
        <f t="shared" ca="1" si="63"/>
        <v>0</v>
      </c>
      <c r="J319">
        <f t="shared" ca="1" si="75"/>
        <v>408</v>
      </c>
      <c r="K319">
        <f ca="1">IF(OR($C319="S",$C319=0),0,MATCH(OFFSET($D319,0,$C319)+IF($C319&lt;&gt;1,1,COUNTIF(QCI!$A$13:$A$24,ORÇAMENTO!E319)),OFFSET($D319,1,$C319,ROW($C$727)-ROW($C319)),0))</f>
        <v>30</v>
      </c>
      <c r="L319" s="116" t="str">
        <f t="shared" ca="1" si="64"/>
        <v>F</v>
      </c>
      <c r="M319" s="117" t="s">
        <v>196</v>
      </c>
      <c r="N319" s="118" t="str">
        <f t="shared" ca="1" si="65"/>
        <v>Nível 2</v>
      </c>
      <c r="O319" s="119" t="str">
        <f t="shared" ca="1" si="66"/>
        <v>1.40.</v>
      </c>
      <c r="P319" s="120" t="s">
        <v>247</v>
      </c>
      <c r="Q319" s="121"/>
      <c r="R319" s="122" t="s">
        <v>1065</v>
      </c>
      <c r="S319" s="123" t="str">
        <f ca="1">REFERENCIA.Unidade</f>
        <v>-</v>
      </c>
      <c r="T319" s="124">
        <f ca="1">OFFSET(CÁLCULO!H$15,ROW($T319)-ROW(T$15),0)</f>
        <v>0</v>
      </c>
      <c r="U319" s="125">
        <f t="shared" ca="1" si="76"/>
        <v>0</v>
      </c>
      <c r="V319" s="126" t="s">
        <v>156</v>
      </c>
      <c r="W319" s="124">
        <f ca="1">IF($C319="S",ROUND(IF(TIPOORCAMENTO="Proposto",ORÇAMENTO.CustoUnitario*(1+$AH319),ORÇAMENTO.PrecoUnitarioLicitado),15-13*$AF$10),0)</f>
        <v>0</v>
      </c>
      <c r="X319" s="127">
        <f ca="1">IF($C319="S",IF(Import.TipoArredondamento&lt;&gt;"TransfereGOV",VTOTAL1,SUM(OFFSET(CÁLCULO!$AI$15,ROW($X319)-ROW($X$15),1):OFFSET(CÁLCULO!$BB$15,ROW($X319)-ROW($X$15),-1))),IF($C319=0,0,ROUND(SomaAgrup,15-13*$AF$11)))</f>
        <v>0</v>
      </c>
      <c r="Y319" s="128" t="s">
        <v>245</v>
      </c>
      <c r="Z319" t="str">
        <f t="shared" ca="1" si="67"/>
        <v/>
      </c>
      <c r="AA319" s="129">
        <f ca="1">IF($C319="S",IF($Z319="CP",$X319,IF($Z319="RA",(($X319)*QCI!$AA$3),0)),SomaAgrup)</f>
        <v>0</v>
      </c>
      <c r="AB319" s="130">
        <f t="shared" ca="1" si="68"/>
        <v>0</v>
      </c>
      <c r="AC319" s="131" t="str">
        <f ca="1">IF($N319="","",IF(ORÇAMENTO.Descricao="","DESCRIÇÃO",IF(AND($C319="S",ORÇAMENTO.Unidade=""),"UNIDADE",IF($X319&lt;0,"VALOR NEGATIVO",IF(OR(AND(TIPOORCAMENTO="Proposto",$AG319&lt;&gt;"",$AG319&gt;0,ORÇAMENTO.CustoUnitario&gt;$AG319),AND(TIPOORCAMENTO="LICITADO",ORÇAMENTO.PrecoUnitarioLicitado&gt;$AN319)),"ACIMA REF.","")))))</f>
        <v/>
      </c>
      <c r="AD319">
        <f ca="1">IF(C319&lt;=CRONO.NivelExibicao,MAX($AD$15:OFFSET(AD319,-1,0))+IF($C319&lt;&gt;1,1,MAX(1,COUNTIF(QCI!$A$13:$A$24,OFFSET($E319,-1,0)))),"")</f>
        <v>41</v>
      </c>
      <c r="AE319" s="7" t="b">
        <f ca="1">IF(AND($C319="S",ORÇAMENTO.CodBarra&lt;&gt;""),IF(ORÇAMENTO.Fonte="",ORÇAMENTO.CodBarra,CONCATENATE(ORÇAMENTO.Fonte," ",ORÇAMENTO.CodBarra)))</f>
        <v>0</v>
      </c>
      <c r="AF319" s="13" t="str">
        <f ca="1">IF(ISERROR(INDIRECT(ORÇAMENTO.BancoRef)),"(abra o arquivo 'Referência "&amp;Excel_BuiltIn_Database&amp;".xlsm)",IF(OR($C319&lt;&gt;"S",ORÇAMENTO.CodBarra=""),"(Sem Código)",IF(ISERROR(MATCH($AE319,INDIRECT(ORÇAMENTO.BancoRef),0)),"(Código não identificado nas referências)",MATCH($AE319,INDIRECT(ORÇAMENTO.BancoRef),0))))</f>
        <v>(abra o arquivo 'Referência 06-2024.xlsm)</v>
      </c>
      <c r="AG319" s="498">
        <f ca="1">ROUND(IF(DESONERACAO="sim",REFERENCIA.Desonerado,REFERENCIA.NaoDesonerado),2)</f>
        <v>0</v>
      </c>
      <c r="AH319" s="499">
        <f t="shared" ca="1" si="69"/>
        <v>0.2432</v>
      </c>
      <c r="AJ319" s="501"/>
      <c r="AL319" s="527"/>
      <c r="AM319" s="381">
        <f t="shared" ca="1" si="70"/>
        <v>0</v>
      </c>
      <c r="AN319" s="566">
        <f t="shared" ca="1" si="71"/>
        <v>0</v>
      </c>
    </row>
    <row r="320" spans="1:40" ht="38.25" x14ac:dyDescent="0.2">
      <c r="A320" t="str">
        <f t="shared" si="56"/>
        <v>S</v>
      </c>
      <c r="B320">
        <f t="shared" ca="1" si="57"/>
        <v>2</v>
      </c>
      <c r="C320" t="str">
        <f t="shared" ca="1" si="58"/>
        <v>S</v>
      </c>
      <c r="D320">
        <f t="shared" ca="1" si="59"/>
        <v>0</v>
      </c>
      <c r="E320">
        <f ca="1">IF($C320=1,OFFSET(E320,-1,0)+MAX(1,COUNTIF(QCI!$A$13:$A$24,OFFSET(ORÇAMENTO!E320,-1,0))),OFFSET(E320,-1,0))</f>
        <v>1</v>
      </c>
      <c r="F320">
        <f t="shared" ca="1" si="60"/>
        <v>40</v>
      </c>
      <c r="G320">
        <f t="shared" ca="1" si="61"/>
        <v>0</v>
      </c>
      <c r="H320">
        <f t="shared" ca="1" si="62"/>
        <v>0</v>
      </c>
      <c r="I320">
        <f t="shared" ca="1" si="63"/>
        <v>0</v>
      </c>
      <c r="J320">
        <f t="shared" ca="1" si="75"/>
        <v>0</v>
      </c>
      <c r="K320">
        <f ca="1">IF(OR($C320="S",$C320=0),0,MATCH(OFFSET($D320,0,$C320)+IF($C320&lt;&gt;1,1,COUNTIF(QCI!$A$13:$A$24,ORÇAMENTO!E320)),OFFSET($D320,1,$C320,ROW($C$727)-ROW($C320)),0))</f>
        <v>0</v>
      </c>
      <c r="L320" s="116" t="str">
        <f t="shared" ca="1" si="64"/>
        <v/>
      </c>
      <c r="M320" s="117" t="s">
        <v>199</v>
      </c>
      <c r="N320" s="118" t="str">
        <f t="shared" ca="1" si="65"/>
        <v>Serviço</v>
      </c>
      <c r="O320" s="119" t="str">
        <f t="shared" ca="1" si="66"/>
        <v>-</v>
      </c>
      <c r="P320" s="120" t="s">
        <v>247</v>
      </c>
      <c r="Q320" s="121" t="s">
        <v>701</v>
      </c>
      <c r="R320" s="122" t="str">
        <f ca="1">IF($C320="S",REFERENCIA.Descricao,"(digite a descrição aqui)")</f>
        <v>(abra o arquivo 'Referência 06-2024.xlsm)</v>
      </c>
      <c r="S320" s="123" t="str">
        <f ca="1">REFERENCIA.Unidade</f>
        <v>-</v>
      </c>
      <c r="T320" s="124">
        <f ca="1">OFFSET(CÁLCULO!H$15,ROW($T320)-ROW(T$15),0)</f>
        <v>88.7</v>
      </c>
      <c r="U320" s="125">
        <f t="shared" ca="1" si="76"/>
        <v>0</v>
      </c>
      <c r="V320" s="126" t="s">
        <v>156</v>
      </c>
      <c r="W320" s="124">
        <f ca="1">IF($C320="S",ROUND(IF(TIPOORCAMENTO="Proposto",ORÇAMENTO.CustoUnitario*(1+$AH320),ORÇAMENTO.PrecoUnitarioLicitado),15-13*$AF$10),0)</f>
        <v>0</v>
      </c>
      <c r="X320" s="127">
        <f ca="1">IF($C320="S",IF(Import.TipoArredondamento&lt;&gt;"TransfereGOV",VTOTAL1,SUM(OFFSET(CÁLCULO!$AI$15,ROW($X320)-ROW($X$15),1):OFFSET(CÁLCULO!$BB$15,ROW($X320)-ROW($X$15),-1))),IF($C320=0,0,ROUND(SomaAgrup,15-13*$AF$11)))</f>
        <v>0</v>
      </c>
      <c r="Y320" s="128" t="s">
        <v>245</v>
      </c>
      <c r="Z320" t="str">
        <f t="shared" ca="1" si="67"/>
        <v/>
      </c>
      <c r="AA320" s="129">
        <f ca="1">IF($C320="S",IF($Z320="CP",$X320,IF($Z320="RA",(($X320)*QCI!$AA$3),0)),SomaAgrup)</f>
        <v>0</v>
      </c>
      <c r="AB320" s="130">
        <f t="shared" ca="1" si="68"/>
        <v>0</v>
      </c>
      <c r="AC320" s="131" t="str">
        <f ca="1">IF($N320="","",IF(ORÇAMENTO.Descricao="","DESCRIÇÃO",IF(AND($C320="S",ORÇAMENTO.Unidade=""),"UNIDADE",IF($X320&lt;0,"VALOR NEGATIVO",IF(OR(AND(TIPOORCAMENTO="Proposto",$AG320&lt;&gt;"",$AG320&gt;0,ORÇAMENTO.CustoUnitario&gt;$AG320),AND(TIPOORCAMENTO="LICITADO",ORÇAMENTO.PrecoUnitarioLicitado&gt;$AN320)),"ACIMA REF.","")))))</f>
        <v/>
      </c>
      <c r="AD320" t="str">
        <f ca="1">IF(C320&lt;=CRONO.NivelExibicao,MAX($AD$15:OFFSET(AD320,-1,0))+IF($C320&lt;&gt;1,1,MAX(1,COUNTIF(QCI!$A$13:$A$24,OFFSET($E320,-1,0)))),"")</f>
        <v/>
      </c>
      <c r="AE320" s="7" t="str">
        <f ca="1">IF(AND($C320="S",ORÇAMENTO.CodBarra&lt;&gt;""),IF(ORÇAMENTO.Fonte="",ORÇAMENTO.CodBarra,CONCATENATE(ORÇAMENTO.Fonte," ",ORÇAMENTO.CodBarra)))</f>
        <v>SINAPI 89711</v>
      </c>
      <c r="AF320" s="13" t="str">
        <f ca="1">IF(ISERROR(INDIRECT(ORÇAMENTO.BancoRef)),"(abra o arquivo 'Referência "&amp;Excel_BuiltIn_Database&amp;".xlsm)",IF(OR($C320&lt;&gt;"S",ORÇAMENTO.CodBarra=""),"(Sem Código)",IF(ISERROR(MATCH($AE320,INDIRECT(ORÇAMENTO.BancoRef),0)),"(Código não identificado nas referências)",MATCH($AE320,INDIRECT(ORÇAMENTO.BancoRef),0))))</f>
        <v>(abra o arquivo 'Referência 06-2024.xlsm)</v>
      </c>
      <c r="AG320" s="498">
        <f ca="1">ROUND(IF(DESONERACAO="sim",REFERENCIA.Desonerado,REFERENCIA.NaoDesonerado),2)</f>
        <v>0</v>
      </c>
      <c r="AH320" s="499">
        <f t="shared" ca="1" si="69"/>
        <v>0.2432</v>
      </c>
      <c r="AJ320" s="501"/>
      <c r="AL320" s="527"/>
      <c r="AM320" s="381">
        <f t="shared" ca="1" si="70"/>
        <v>0</v>
      </c>
      <c r="AN320" s="566">
        <f t="shared" ca="1" si="71"/>
        <v>0</v>
      </c>
    </row>
    <row r="321" spans="1:40" ht="38.25" x14ac:dyDescent="0.2">
      <c r="A321" t="str">
        <f t="shared" si="56"/>
        <v>S</v>
      </c>
      <c r="B321">
        <f t="shared" ca="1" si="57"/>
        <v>2</v>
      </c>
      <c r="C321" t="str">
        <f t="shared" ca="1" si="58"/>
        <v>S</v>
      </c>
      <c r="D321">
        <f t="shared" ca="1" si="59"/>
        <v>0</v>
      </c>
      <c r="E321">
        <f ca="1">IF($C321=1,OFFSET(E321,-1,0)+MAX(1,COUNTIF(QCI!$A$13:$A$24,OFFSET(ORÇAMENTO!E321,-1,0))),OFFSET(E321,-1,0))</f>
        <v>1</v>
      </c>
      <c r="F321">
        <f t="shared" ca="1" si="60"/>
        <v>40</v>
      </c>
      <c r="G321">
        <f t="shared" ca="1" si="61"/>
        <v>0</v>
      </c>
      <c r="H321">
        <f t="shared" ca="1" si="62"/>
        <v>0</v>
      </c>
      <c r="I321">
        <f t="shared" ca="1" si="63"/>
        <v>0</v>
      </c>
      <c r="J321">
        <f t="shared" ca="1" si="75"/>
        <v>0</v>
      </c>
      <c r="K321">
        <f ca="1">IF(OR($C321="S",$C321=0),0,MATCH(OFFSET($D321,0,$C321)+IF($C321&lt;&gt;1,1,COUNTIF(QCI!$A$13:$A$24,ORÇAMENTO!E321)),OFFSET($D321,1,$C321,ROW($C$727)-ROW($C321)),0))</f>
        <v>0</v>
      </c>
      <c r="L321" s="116" t="str">
        <f t="shared" ca="1" si="64"/>
        <v/>
      </c>
      <c r="M321" s="117" t="s">
        <v>199</v>
      </c>
      <c r="N321" s="118" t="str">
        <f t="shared" ca="1" si="65"/>
        <v>Serviço</v>
      </c>
      <c r="O321" s="119" t="str">
        <f t="shared" ca="1" si="66"/>
        <v>-</v>
      </c>
      <c r="P321" s="120" t="s">
        <v>247</v>
      </c>
      <c r="Q321" s="121" t="s">
        <v>702</v>
      </c>
      <c r="R321" s="122" t="str">
        <f ca="1">IF($C321="S",REFERENCIA.Descricao,"(digite a descrição aqui)")</f>
        <v>(abra o arquivo 'Referência 06-2024.xlsm)</v>
      </c>
      <c r="S321" s="123" t="str">
        <f ca="1">REFERENCIA.Unidade</f>
        <v>-</v>
      </c>
      <c r="T321" s="124">
        <f ca="1">OFFSET(CÁLCULO!H$15,ROW($T321)-ROW(T$15),0)</f>
        <v>207.2</v>
      </c>
      <c r="U321" s="125">
        <f t="shared" ca="1" si="76"/>
        <v>0</v>
      </c>
      <c r="V321" s="126" t="s">
        <v>156</v>
      </c>
      <c r="W321" s="124">
        <f ca="1">IF($C321="S",ROUND(IF(TIPOORCAMENTO="Proposto",ORÇAMENTO.CustoUnitario*(1+$AH321),ORÇAMENTO.PrecoUnitarioLicitado),15-13*$AF$10),0)</f>
        <v>0</v>
      </c>
      <c r="X321" s="127">
        <f ca="1">IF($C321="S",IF(Import.TipoArredondamento&lt;&gt;"TransfereGOV",VTOTAL1,SUM(OFFSET(CÁLCULO!$AI$15,ROW($X321)-ROW($X$15),1):OFFSET(CÁLCULO!$BB$15,ROW($X321)-ROW($X$15),-1))),IF($C321=0,0,ROUND(SomaAgrup,15-13*$AF$11)))</f>
        <v>0</v>
      </c>
      <c r="Y321" s="128" t="s">
        <v>245</v>
      </c>
      <c r="Z321" t="str">
        <f t="shared" ca="1" si="67"/>
        <v/>
      </c>
      <c r="AA321" s="129">
        <f ca="1">IF($C321="S",IF($Z321="CP",$X321,IF($Z321="RA",(($X321)*QCI!$AA$3),0)),SomaAgrup)</f>
        <v>0</v>
      </c>
      <c r="AB321" s="130">
        <f t="shared" ca="1" si="68"/>
        <v>0</v>
      </c>
      <c r="AC321" s="131" t="str">
        <f ca="1">IF($N321="","",IF(ORÇAMENTO.Descricao="","DESCRIÇÃO",IF(AND($C321="S",ORÇAMENTO.Unidade=""),"UNIDADE",IF($X321&lt;0,"VALOR NEGATIVO",IF(OR(AND(TIPOORCAMENTO="Proposto",$AG321&lt;&gt;"",$AG321&gt;0,ORÇAMENTO.CustoUnitario&gt;$AG321),AND(TIPOORCAMENTO="LICITADO",ORÇAMENTO.PrecoUnitarioLicitado&gt;$AN321)),"ACIMA REF.","")))))</f>
        <v/>
      </c>
      <c r="AD321" t="str">
        <f ca="1">IF(C321&lt;=CRONO.NivelExibicao,MAX($AD$15:OFFSET(AD321,-1,0))+IF($C321&lt;&gt;1,1,MAX(1,COUNTIF(QCI!$A$13:$A$24,OFFSET($E321,-1,0)))),"")</f>
        <v/>
      </c>
      <c r="AE321" s="7" t="str">
        <f ca="1">IF(AND($C321="S",ORÇAMENTO.CodBarra&lt;&gt;""),IF(ORÇAMENTO.Fonte="",ORÇAMENTO.CodBarra,CONCATENATE(ORÇAMENTO.Fonte," ",ORÇAMENTO.CodBarra)))</f>
        <v>SINAPI 89712</v>
      </c>
      <c r="AF321" s="13" t="str">
        <f ca="1">IF(ISERROR(INDIRECT(ORÇAMENTO.BancoRef)),"(abra o arquivo 'Referência "&amp;Excel_BuiltIn_Database&amp;".xlsm)",IF(OR($C321&lt;&gt;"S",ORÇAMENTO.CodBarra=""),"(Sem Código)",IF(ISERROR(MATCH($AE321,INDIRECT(ORÇAMENTO.BancoRef),0)),"(Código não identificado nas referências)",MATCH($AE321,INDIRECT(ORÇAMENTO.BancoRef),0))))</f>
        <v>(abra o arquivo 'Referência 06-2024.xlsm)</v>
      </c>
      <c r="AG321" s="498">
        <f ca="1">ROUND(IF(DESONERACAO="sim",REFERENCIA.Desonerado,REFERENCIA.NaoDesonerado),2)</f>
        <v>0</v>
      </c>
      <c r="AH321" s="499">
        <f t="shared" ca="1" si="69"/>
        <v>0.2432</v>
      </c>
      <c r="AJ321" s="501"/>
      <c r="AL321" s="527"/>
      <c r="AM321" s="381">
        <f t="shared" ca="1" si="70"/>
        <v>0</v>
      </c>
      <c r="AN321" s="566">
        <f t="shared" ca="1" si="71"/>
        <v>0</v>
      </c>
    </row>
    <row r="322" spans="1:40" ht="38.25" x14ac:dyDescent="0.2">
      <c r="A322" t="str">
        <f t="shared" si="56"/>
        <v>S</v>
      </c>
      <c r="B322">
        <f t="shared" ca="1" si="57"/>
        <v>2</v>
      </c>
      <c r="C322" t="str">
        <f t="shared" ca="1" si="58"/>
        <v>S</v>
      </c>
      <c r="D322">
        <f t="shared" ca="1" si="59"/>
        <v>0</v>
      </c>
      <c r="E322">
        <f ca="1">IF($C322=1,OFFSET(E322,-1,0)+MAX(1,COUNTIF(QCI!$A$13:$A$24,OFFSET(ORÇAMENTO!E322,-1,0))),OFFSET(E322,-1,0))</f>
        <v>1</v>
      </c>
      <c r="F322">
        <f t="shared" ca="1" si="60"/>
        <v>40</v>
      </c>
      <c r="G322">
        <f t="shared" ca="1" si="61"/>
        <v>0</v>
      </c>
      <c r="H322">
        <f t="shared" ca="1" si="62"/>
        <v>0</v>
      </c>
      <c r="I322">
        <f t="shared" ca="1" si="63"/>
        <v>0</v>
      </c>
      <c r="J322">
        <f t="shared" ca="1" si="75"/>
        <v>0</v>
      </c>
      <c r="K322">
        <f ca="1">IF(OR($C322="S",$C322=0),0,MATCH(OFFSET($D322,0,$C322)+IF($C322&lt;&gt;1,1,COUNTIF(QCI!$A$13:$A$24,ORÇAMENTO!E322)),OFFSET($D322,1,$C322,ROW($C$727)-ROW($C322)),0))</f>
        <v>0</v>
      </c>
      <c r="L322" s="116" t="str">
        <f t="shared" ca="1" si="64"/>
        <v/>
      </c>
      <c r="M322" s="117" t="s">
        <v>199</v>
      </c>
      <c r="N322" s="118" t="str">
        <f t="shared" ca="1" si="65"/>
        <v>Serviço</v>
      </c>
      <c r="O322" s="119" t="str">
        <f t="shared" ca="1" si="66"/>
        <v>-</v>
      </c>
      <c r="P322" s="120" t="s">
        <v>247</v>
      </c>
      <c r="Q322" s="121" t="s">
        <v>703</v>
      </c>
      <c r="R322" s="122" t="str">
        <f ca="1">IF($C322="S",REFERENCIA.Descricao,"(digite a descrição aqui)")</f>
        <v>(abra o arquivo 'Referência 06-2024.xlsm)</v>
      </c>
      <c r="S322" s="123" t="str">
        <f ca="1">REFERENCIA.Unidade</f>
        <v>-</v>
      </c>
      <c r="T322" s="124">
        <f ca="1">OFFSET(CÁLCULO!H$15,ROW($T322)-ROW(T$15),0)</f>
        <v>21.1</v>
      </c>
      <c r="U322" s="125">
        <f t="shared" ca="1" si="76"/>
        <v>0</v>
      </c>
      <c r="V322" s="126" t="s">
        <v>156</v>
      </c>
      <c r="W322" s="124">
        <f ca="1">IF($C322="S",ROUND(IF(TIPOORCAMENTO="Proposto",ORÇAMENTO.CustoUnitario*(1+$AH322),ORÇAMENTO.PrecoUnitarioLicitado),15-13*$AF$10),0)</f>
        <v>0</v>
      </c>
      <c r="X322" s="127">
        <f ca="1">IF($C322="S",IF(Import.TipoArredondamento&lt;&gt;"TransfereGOV",VTOTAL1,SUM(OFFSET(CÁLCULO!$AI$15,ROW($X322)-ROW($X$15),1):OFFSET(CÁLCULO!$BB$15,ROW($X322)-ROW($X$15),-1))),IF($C322=0,0,ROUND(SomaAgrup,15-13*$AF$11)))</f>
        <v>0</v>
      </c>
      <c r="Y322" s="128" t="s">
        <v>245</v>
      </c>
      <c r="Z322" t="str">
        <f t="shared" ca="1" si="67"/>
        <v/>
      </c>
      <c r="AA322" s="129">
        <f ca="1">IF($C322="S",IF($Z322="CP",$X322,IF($Z322="RA",(($X322)*QCI!$AA$3),0)),SomaAgrup)</f>
        <v>0</v>
      </c>
      <c r="AB322" s="130">
        <f t="shared" ca="1" si="68"/>
        <v>0</v>
      </c>
      <c r="AC322" s="131" t="str">
        <f ca="1">IF($N322="","",IF(ORÇAMENTO.Descricao="","DESCRIÇÃO",IF(AND($C322="S",ORÇAMENTO.Unidade=""),"UNIDADE",IF($X322&lt;0,"VALOR NEGATIVO",IF(OR(AND(TIPOORCAMENTO="Proposto",$AG322&lt;&gt;"",$AG322&gt;0,ORÇAMENTO.CustoUnitario&gt;$AG322),AND(TIPOORCAMENTO="LICITADO",ORÇAMENTO.PrecoUnitarioLicitado&gt;$AN322)),"ACIMA REF.","")))))</f>
        <v/>
      </c>
      <c r="AD322" t="str">
        <f ca="1">IF(C322&lt;=CRONO.NivelExibicao,MAX($AD$15:OFFSET(AD322,-1,0))+IF($C322&lt;&gt;1,1,MAX(1,COUNTIF(QCI!$A$13:$A$24,OFFSET($E322,-1,0)))),"")</f>
        <v/>
      </c>
      <c r="AE322" s="7" t="str">
        <f ca="1">IF(AND($C322="S",ORÇAMENTO.CodBarra&lt;&gt;""),IF(ORÇAMENTO.Fonte="",ORÇAMENTO.CodBarra,CONCATENATE(ORÇAMENTO.Fonte," ",ORÇAMENTO.CodBarra)))</f>
        <v>SINAPI 89713</v>
      </c>
      <c r="AF322" s="13" t="str">
        <f ca="1">IF(ISERROR(INDIRECT(ORÇAMENTO.BancoRef)),"(abra o arquivo 'Referência "&amp;Excel_BuiltIn_Database&amp;".xlsm)",IF(OR($C322&lt;&gt;"S",ORÇAMENTO.CodBarra=""),"(Sem Código)",IF(ISERROR(MATCH($AE322,INDIRECT(ORÇAMENTO.BancoRef),0)),"(Código não identificado nas referências)",MATCH($AE322,INDIRECT(ORÇAMENTO.BancoRef),0))))</f>
        <v>(abra o arquivo 'Referência 06-2024.xlsm)</v>
      </c>
      <c r="AG322" s="498">
        <f ca="1">ROUND(IF(DESONERACAO="sim",REFERENCIA.Desonerado,REFERENCIA.NaoDesonerado),2)</f>
        <v>0</v>
      </c>
      <c r="AH322" s="499">
        <f t="shared" ca="1" si="69"/>
        <v>0.2432</v>
      </c>
      <c r="AJ322" s="501"/>
      <c r="AL322" s="527"/>
      <c r="AM322" s="381">
        <f t="shared" ca="1" si="70"/>
        <v>0</v>
      </c>
      <c r="AN322" s="566">
        <f t="shared" ca="1" si="71"/>
        <v>0</v>
      </c>
    </row>
    <row r="323" spans="1:40" ht="38.25" x14ac:dyDescent="0.2">
      <c r="A323" t="str">
        <f t="shared" si="56"/>
        <v>S</v>
      </c>
      <c r="B323">
        <f t="shared" ca="1" si="57"/>
        <v>2</v>
      </c>
      <c r="C323" t="str">
        <f t="shared" ca="1" si="58"/>
        <v>S</v>
      </c>
      <c r="D323">
        <f t="shared" ca="1" si="59"/>
        <v>0</v>
      </c>
      <c r="E323">
        <f ca="1">IF($C323=1,OFFSET(E323,-1,0)+MAX(1,COUNTIF(QCI!$A$13:$A$24,OFFSET(ORÇAMENTO!E323,-1,0))),OFFSET(E323,-1,0))</f>
        <v>1</v>
      </c>
      <c r="F323">
        <f t="shared" ca="1" si="60"/>
        <v>40</v>
      </c>
      <c r="G323">
        <f t="shared" ca="1" si="61"/>
        <v>0</v>
      </c>
      <c r="H323">
        <f t="shared" ca="1" si="62"/>
        <v>0</v>
      </c>
      <c r="I323">
        <f t="shared" ca="1" si="63"/>
        <v>0</v>
      </c>
      <c r="J323">
        <f t="shared" ca="1" si="75"/>
        <v>0</v>
      </c>
      <c r="K323">
        <f ca="1">IF(OR($C323="S",$C323=0),0,MATCH(OFFSET($D323,0,$C323)+IF($C323&lt;&gt;1,1,COUNTIF(QCI!$A$13:$A$24,ORÇAMENTO!E323)),OFFSET($D323,1,$C323,ROW($C$727)-ROW($C323)),0))</f>
        <v>0</v>
      </c>
      <c r="L323" s="116" t="str">
        <f t="shared" ca="1" si="64"/>
        <v/>
      </c>
      <c r="M323" s="117" t="s">
        <v>199</v>
      </c>
      <c r="N323" s="118" t="str">
        <f t="shared" ca="1" si="65"/>
        <v>Serviço</v>
      </c>
      <c r="O323" s="119" t="str">
        <f t="shared" ca="1" si="66"/>
        <v>-</v>
      </c>
      <c r="P323" s="120" t="s">
        <v>247</v>
      </c>
      <c r="Q323" s="121" t="s">
        <v>704</v>
      </c>
      <c r="R323" s="122" t="str">
        <f ca="1">IF($C323="S",REFERENCIA.Descricao,"(digite a descrição aqui)")</f>
        <v>(abra o arquivo 'Referência 06-2024.xlsm)</v>
      </c>
      <c r="S323" s="123" t="str">
        <f ca="1">REFERENCIA.Unidade</f>
        <v>-</v>
      </c>
      <c r="T323" s="124">
        <f ca="1">OFFSET(CÁLCULO!H$15,ROW($T323)-ROW(T$15),0)</f>
        <v>252.1</v>
      </c>
      <c r="U323" s="125">
        <f t="shared" ca="1" si="76"/>
        <v>0</v>
      </c>
      <c r="V323" s="126" t="s">
        <v>156</v>
      </c>
      <c r="W323" s="124">
        <f ca="1">IF($C323="S",ROUND(IF(TIPOORCAMENTO="Proposto",ORÇAMENTO.CustoUnitario*(1+$AH323),ORÇAMENTO.PrecoUnitarioLicitado),15-13*$AF$10),0)</f>
        <v>0</v>
      </c>
      <c r="X323" s="127">
        <f ca="1">IF($C323="S",IF(Import.TipoArredondamento&lt;&gt;"TransfereGOV",VTOTAL1,SUM(OFFSET(CÁLCULO!$AI$15,ROW($X323)-ROW($X$15),1):OFFSET(CÁLCULO!$BB$15,ROW($X323)-ROW($X$15),-1))),IF($C323=0,0,ROUND(SomaAgrup,15-13*$AF$11)))</f>
        <v>0</v>
      </c>
      <c r="Y323" s="128" t="s">
        <v>245</v>
      </c>
      <c r="Z323" t="str">
        <f t="shared" ca="1" si="67"/>
        <v/>
      </c>
      <c r="AA323" s="129">
        <f ca="1">IF($C323="S",IF($Z323="CP",$X323,IF($Z323="RA",(($X323)*QCI!$AA$3),0)),SomaAgrup)</f>
        <v>0</v>
      </c>
      <c r="AB323" s="130">
        <f t="shared" ca="1" si="68"/>
        <v>0</v>
      </c>
      <c r="AC323" s="131" t="str">
        <f ca="1">IF($N323="","",IF(ORÇAMENTO.Descricao="","DESCRIÇÃO",IF(AND($C323="S",ORÇAMENTO.Unidade=""),"UNIDADE",IF($X323&lt;0,"VALOR NEGATIVO",IF(OR(AND(TIPOORCAMENTO="Proposto",$AG323&lt;&gt;"",$AG323&gt;0,ORÇAMENTO.CustoUnitario&gt;$AG323),AND(TIPOORCAMENTO="LICITADO",ORÇAMENTO.PrecoUnitarioLicitado&gt;$AN323)),"ACIMA REF.","")))))</f>
        <v/>
      </c>
      <c r="AD323" t="str">
        <f ca="1">IF(C323&lt;=CRONO.NivelExibicao,MAX($AD$15:OFFSET(AD323,-1,0))+IF($C323&lt;&gt;1,1,MAX(1,COUNTIF(QCI!$A$13:$A$24,OFFSET($E323,-1,0)))),"")</f>
        <v/>
      </c>
      <c r="AE323" s="7" t="str">
        <f ca="1">IF(AND($C323="S",ORÇAMENTO.CodBarra&lt;&gt;""),IF(ORÇAMENTO.Fonte="",ORÇAMENTO.CodBarra,CONCATENATE(ORÇAMENTO.Fonte," ",ORÇAMENTO.CodBarra)))</f>
        <v>SINAPI 89714</v>
      </c>
      <c r="AF323" s="13" t="str">
        <f ca="1">IF(ISERROR(INDIRECT(ORÇAMENTO.BancoRef)),"(abra o arquivo 'Referência "&amp;Excel_BuiltIn_Database&amp;".xlsm)",IF(OR($C323&lt;&gt;"S",ORÇAMENTO.CodBarra=""),"(Sem Código)",IF(ISERROR(MATCH($AE323,INDIRECT(ORÇAMENTO.BancoRef),0)),"(Código não identificado nas referências)",MATCH($AE323,INDIRECT(ORÇAMENTO.BancoRef),0))))</f>
        <v>(abra o arquivo 'Referência 06-2024.xlsm)</v>
      </c>
      <c r="AG323" s="498">
        <f ca="1">ROUND(IF(DESONERACAO="sim",REFERENCIA.Desonerado,REFERENCIA.NaoDesonerado),2)</f>
        <v>0</v>
      </c>
      <c r="AH323" s="499">
        <f t="shared" ca="1" si="69"/>
        <v>0.2432</v>
      </c>
      <c r="AJ323" s="501"/>
      <c r="AL323" s="527"/>
      <c r="AM323" s="381">
        <f t="shared" ca="1" si="70"/>
        <v>0</v>
      </c>
      <c r="AN323" s="566">
        <f t="shared" ca="1" si="71"/>
        <v>0</v>
      </c>
    </row>
    <row r="324" spans="1:40" ht="38.25" x14ac:dyDescent="0.2">
      <c r="A324" t="str">
        <f t="shared" si="56"/>
        <v>S</v>
      </c>
      <c r="B324">
        <f t="shared" ca="1" si="57"/>
        <v>2</v>
      </c>
      <c r="C324" t="str">
        <f t="shared" ca="1" si="58"/>
        <v>S</v>
      </c>
      <c r="D324">
        <f t="shared" ca="1" si="59"/>
        <v>0</v>
      </c>
      <c r="E324">
        <f ca="1">IF($C324=1,OFFSET(E324,-1,0)+MAX(1,COUNTIF(QCI!$A$13:$A$24,OFFSET(ORÇAMENTO!E324,-1,0))),OFFSET(E324,-1,0))</f>
        <v>1</v>
      </c>
      <c r="F324">
        <f t="shared" ca="1" si="60"/>
        <v>40</v>
      </c>
      <c r="G324">
        <f t="shared" ca="1" si="61"/>
        <v>0</v>
      </c>
      <c r="H324">
        <f t="shared" ca="1" si="62"/>
        <v>0</v>
      </c>
      <c r="I324">
        <f t="shared" ca="1" si="63"/>
        <v>0</v>
      </c>
      <c r="J324">
        <f t="shared" ca="1" si="75"/>
        <v>0</v>
      </c>
      <c r="K324">
        <f ca="1">IF(OR($C324="S",$C324=0),0,MATCH(OFFSET($D324,0,$C324)+IF($C324&lt;&gt;1,1,COUNTIF(QCI!$A$13:$A$24,ORÇAMENTO!E324)),OFFSET($D324,1,$C324,ROW($C$727)-ROW($C324)),0))</f>
        <v>0</v>
      </c>
      <c r="L324" s="116" t="str">
        <f t="shared" ca="1" si="64"/>
        <v/>
      </c>
      <c r="M324" s="117" t="s">
        <v>199</v>
      </c>
      <c r="N324" s="118" t="str">
        <f t="shared" ca="1" si="65"/>
        <v>Serviço</v>
      </c>
      <c r="O324" s="119" t="str">
        <f t="shared" ca="1" si="66"/>
        <v>-</v>
      </c>
      <c r="P324" s="120" t="s">
        <v>247</v>
      </c>
      <c r="Q324" s="121" t="s">
        <v>705</v>
      </c>
      <c r="R324" s="122" t="str">
        <f ca="1">IF($C324="S",REFERENCIA.Descricao,"(digite a descrição aqui)")</f>
        <v>(abra o arquivo 'Referência 06-2024.xlsm)</v>
      </c>
      <c r="S324" s="123" t="str">
        <f ca="1">REFERENCIA.Unidade</f>
        <v>-</v>
      </c>
      <c r="T324" s="124">
        <f ca="1">OFFSET(CÁLCULO!H$15,ROW($T324)-ROW(T$15),0)</f>
        <v>39</v>
      </c>
      <c r="U324" s="125">
        <f t="shared" ca="1" si="76"/>
        <v>0</v>
      </c>
      <c r="V324" s="126" t="s">
        <v>156</v>
      </c>
      <c r="W324" s="124">
        <f ca="1">IF($C324="S",ROUND(IF(TIPOORCAMENTO="Proposto",ORÇAMENTO.CustoUnitario*(1+$AH324),ORÇAMENTO.PrecoUnitarioLicitado),15-13*$AF$10),0)</f>
        <v>0</v>
      </c>
      <c r="X324" s="127">
        <f ca="1">IF($C324="S",IF(Import.TipoArredondamento&lt;&gt;"TransfereGOV",VTOTAL1,SUM(OFFSET(CÁLCULO!$AI$15,ROW($X324)-ROW($X$15),1):OFFSET(CÁLCULO!$BB$15,ROW($X324)-ROW($X$15),-1))),IF($C324=0,0,ROUND(SomaAgrup,15-13*$AF$11)))</f>
        <v>0</v>
      </c>
      <c r="Y324" s="128" t="s">
        <v>245</v>
      </c>
      <c r="Z324" t="str">
        <f t="shared" ca="1" si="67"/>
        <v/>
      </c>
      <c r="AA324" s="129">
        <f ca="1">IF($C324="S",IF($Z324="CP",$X324,IF($Z324="RA",(($X324)*QCI!$AA$3),0)),SomaAgrup)</f>
        <v>0</v>
      </c>
      <c r="AB324" s="130">
        <f t="shared" ca="1" si="68"/>
        <v>0</v>
      </c>
      <c r="AC324" s="131" t="str">
        <f ca="1">IF($N324="","",IF(ORÇAMENTO.Descricao="","DESCRIÇÃO",IF(AND($C324="S",ORÇAMENTO.Unidade=""),"UNIDADE",IF($X324&lt;0,"VALOR NEGATIVO",IF(OR(AND(TIPOORCAMENTO="Proposto",$AG324&lt;&gt;"",$AG324&gt;0,ORÇAMENTO.CustoUnitario&gt;$AG324),AND(TIPOORCAMENTO="LICITADO",ORÇAMENTO.PrecoUnitarioLicitado&gt;$AN324)),"ACIMA REF.","")))))</f>
        <v/>
      </c>
      <c r="AD324" t="str">
        <f ca="1">IF(C324&lt;=CRONO.NivelExibicao,MAX($AD$15:OFFSET(AD324,-1,0))+IF($C324&lt;&gt;1,1,MAX(1,COUNTIF(QCI!$A$13:$A$24,OFFSET($E324,-1,0)))),"")</f>
        <v/>
      </c>
      <c r="AE324" s="7" t="str">
        <f ca="1">IF(AND($C324="S",ORÇAMENTO.CodBarra&lt;&gt;""),IF(ORÇAMENTO.Fonte="",ORÇAMENTO.CodBarra,CONCATENATE(ORÇAMENTO.Fonte," ",ORÇAMENTO.CodBarra)))</f>
        <v>SINAPI 89849</v>
      </c>
      <c r="AF324" s="13" t="str">
        <f ca="1">IF(ISERROR(INDIRECT(ORÇAMENTO.BancoRef)),"(abra o arquivo 'Referência "&amp;Excel_BuiltIn_Database&amp;".xlsm)",IF(OR($C324&lt;&gt;"S",ORÇAMENTO.CodBarra=""),"(Sem Código)",IF(ISERROR(MATCH($AE324,INDIRECT(ORÇAMENTO.BancoRef),0)),"(Código não identificado nas referências)",MATCH($AE324,INDIRECT(ORÇAMENTO.BancoRef),0))))</f>
        <v>(abra o arquivo 'Referência 06-2024.xlsm)</v>
      </c>
      <c r="AG324" s="498">
        <f ca="1">ROUND(IF(DESONERACAO="sim",REFERENCIA.Desonerado,REFERENCIA.NaoDesonerado),2)</f>
        <v>0</v>
      </c>
      <c r="AH324" s="499">
        <f t="shared" ca="1" si="69"/>
        <v>0.2432</v>
      </c>
      <c r="AJ324" s="501"/>
      <c r="AL324" s="527"/>
      <c r="AM324" s="381">
        <f t="shared" ca="1" si="70"/>
        <v>0</v>
      </c>
      <c r="AN324" s="566">
        <f t="shared" ca="1" si="71"/>
        <v>0</v>
      </c>
    </row>
    <row r="325" spans="1:40" ht="38.25" x14ac:dyDescent="0.2">
      <c r="A325" t="str">
        <f t="shared" si="56"/>
        <v>S</v>
      </c>
      <c r="B325">
        <f t="shared" ca="1" si="57"/>
        <v>2</v>
      </c>
      <c r="C325" t="str">
        <f t="shared" ca="1" si="58"/>
        <v>S</v>
      </c>
      <c r="D325">
        <f t="shared" ca="1" si="59"/>
        <v>0</v>
      </c>
      <c r="E325">
        <f ca="1">IF($C325=1,OFFSET(E325,-1,0)+MAX(1,COUNTIF(QCI!$A$13:$A$24,OFFSET(ORÇAMENTO!E325,-1,0))),OFFSET(E325,-1,0))</f>
        <v>1</v>
      </c>
      <c r="F325">
        <f t="shared" ca="1" si="60"/>
        <v>40</v>
      </c>
      <c r="G325">
        <f t="shared" ca="1" si="61"/>
        <v>0</v>
      </c>
      <c r="H325">
        <f t="shared" ca="1" si="62"/>
        <v>0</v>
      </c>
      <c r="I325">
        <f t="shared" ca="1" si="63"/>
        <v>0</v>
      </c>
      <c r="J325">
        <f t="shared" ca="1" si="75"/>
        <v>0</v>
      </c>
      <c r="K325">
        <f ca="1">IF(OR($C325="S",$C325=0),0,MATCH(OFFSET($D325,0,$C325)+IF($C325&lt;&gt;1,1,COUNTIF(QCI!$A$13:$A$24,ORÇAMENTO!E325)),OFFSET($D325,1,$C325,ROW($C$727)-ROW($C325)),0))</f>
        <v>0</v>
      </c>
      <c r="L325" s="116" t="str">
        <f t="shared" ca="1" si="64"/>
        <v/>
      </c>
      <c r="M325" s="117" t="s">
        <v>199</v>
      </c>
      <c r="N325" s="118" t="str">
        <f t="shared" ca="1" si="65"/>
        <v>Serviço</v>
      </c>
      <c r="O325" s="119" t="str">
        <f t="shared" ca="1" si="66"/>
        <v>-</v>
      </c>
      <c r="P325" s="120" t="s">
        <v>247</v>
      </c>
      <c r="Q325" s="121" t="s">
        <v>706</v>
      </c>
      <c r="R325" s="122" t="str">
        <f ca="1">IF($C325="S",REFERENCIA.Descricao,"(digite a descrição aqui)")</f>
        <v>(abra o arquivo 'Referência 06-2024.xlsm)</v>
      </c>
      <c r="S325" s="123" t="str">
        <f ca="1">REFERENCIA.Unidade</f>
        <v>-</v>
      </c>
      <c r="T325" s="124">
        <f ca="1">OFFSET(CÁLCULO!H$15,ROW($T325)-ROW(T$15),0)</f>
        <v>40</v>
      </c>
      <c r="U325" s="125">
        <f t="shared" ca="1" si="76"/>
        <v>0</v>
      </c>
      <c r="V325" s="126" t="s">
        <v>156</v>
      </c>
      <c r="W325" s="124">
        <f ca="1">IF($C325="S",ROUND(IF(TIPOORCAMENTO="Proposto",ORÇAMENTO.CustoUnitario*(1+$AH325),ORÇAMENTO.PrecoUnitarioLicitado),15-13*$AF$10),0)</f>
        <v>0</v>
      </c>
      <c r="X325" s="127">
        <f ca="1">IF($C325="S",IF(Import.TipoArredondamento&lt;&gt;"TransfereGOV",VTOTAL1,SUM(OFFSET(CÁLCULO!$AI$15,ROW($X325)-ROW($X$15),1):OFFSET(CÁLCULO!$BB$15,ROW($X325)-ROW($X$15),-1))),IF($C325=0,0,ROUND(SomaAgrup,15-13*$AF$11)))</f>
        <v>0</v>
      </c>
      <c r="Y325" s="128" t="s">
        <v>245</v>
      </c>
      <c r="Z325" t="str">
        <f t="shared" ca="1" si="67"/>
        <v/>
      </c>
      <c r="AA325" s="129">
        <f ca="1">IF($C325="S",IF($Z325="CP",$X325,IF($Z325="RA",(($X325)*QCI!$AA$3),0)),SomaAgrup)</f>
        <v>0</v>
      </c>
      <c r="AB325" s="130">
        <f t="shared" ca="1" si="68"/>
        <v>0</v>
      </c>
      <c r="AC325" s="131" t="str">
        <f ca="1">IF($N325="","",IF(ORÇAMENTO.Descricao="","DESCRIÇÃO",IF(AND($C325="S",ORÇAMENTO.Unidade=""),"UNIDADE",IF($X325&lt;0,"VALOR NEGATIVO",IF(OR(AND(TIPOORCAMENTO="Proposto",$AG325&lt;&gt;"",$AG325&gt;0,ORÇAMENTO.CustoUnitario&gt;$AG325),AND(TIPOORCAMENTO="LICITADO",ORÇAMENTO.PrecoUnitarioLicitado&gt;$AN325)),"ACIMA REF.","")))))</f>
        <v/>
      </c>
      <c r="AD325" t="str">
        <f ca="1">IF(C325&lt;=CRONO.NivelExibicao,MAX($AD$15:OFFSET(AD325,-1,0))+IF($C325&lt;&gt;1,1,MAX(1,COUNTIF(QCI!$A$13:$A$24,OFFSET($E325,-1,0)))),"")</f>
        <v/>
      </c>
      <c r="AE325" s="7" t="str">
        <f ca="1">IF(AND($C325="S",ORÇAMENTO.CodBarra&lt;&gt;""),IF(ORÇAMENTO.Fonte="",ORÇAMENTO.CodBarra,CONCATENATE(ORÇAMENTO.Fonte," ",ORÇAMENTO.CodBarra)))</f>
        <v>SINAPI 89726</v>
      </c>
      <c r="AF325" s="13" t="str">
        <f ca="1">IF(ISERROR(INDIRECT(ORÇAMENTO.BancoRef)),"(abra o arquivo 'Referência "&amp;Excel_BuiltIn_Database&amp;".xlsm)",IF(OR($C325&lt;&gt;"S",ORÇAMENTO.CodBarra=""),"(Sem Código)",IF(ISERROR(MATCH($AE325,INDIRECT(ORÇAMENTO.BancoRef),0)),"(Código não identificado nas referências)",MATCH($AE325,INDIRECT(ORÇAMENTO.BancoRef),0))))</f>
        <v>(abra o arquivo 'Referência 06-2024.xlsm)</v>
      </c>
      <c r="AG325" s="498">
        <f ca="1">ROUND(IF(DESONERACAO="sim",REFERENCIA.Desonerado,REFERENCIA.NaoDesonerado),2)</f>
        <v>0</v>
      </c>
      <c r="AH325" s="499">
        <f t="shared" ca="1" si="69"/>
        <v>0.2432</v>
      </c>
      <c r="AJ325" s="501"/>
      <c r="AL325" s="527"/>
      <c r="AM325" s="381">
        <f t="shared" ca="1" si="70"/>
        <v>0</v>
      </c>
      <c r="AN325" s="566">
        <f t="shared" ca="1" si="71"/>
        <v>0</v>
      </c>
    </row>
    <row r="326" spans="1:40" ht="38.25" x14ac:dyDescent="0.2">
      <c r="A326" t="str">
        <f t="shared" si="56"/>
        <v>S</v>
      </c>
      <c r="B326">
        <f t="shared" ca="1" si="57"/>
        <v>2</v>
      </c>
      <c r="C326" t="str">
        <f t="shared" ca="1" si="58"/>
        <v>S</v>
      </c>
      <c r="D326">
        <f t="shared" ca="1" si="59"/>
        <v>0</v>
      </c>
      <c r="E326">
        <f ca="1">IF($C326=1,OFFSET(E326,-1,0)+MAX(1,COUNTIF(QCI!$A$13:$A$24,OFFSET(ORÇAMENTO!E326,-1,0))),OFFSET(E326,-1,0))</f>
        <v>1</v>
      </c>
      <c r="F326">
        <f t="shared" ca="1" si="60"/>
        <v>40</v>
      </c>
      <c r="G326">
        <f t="shared" ca="1" si="61"/>
        <v>0</v>
      </c>
      <c r="H326">
        <f t="shared" ca="1" si="62"/>
        <v>0</v>
      </c>
      <c r="I326">
        <f t="shared" ca="1" si="63"/>
        <v>0</v>
      </c>
      <c r="J326">
        <f t="shared" ca="1" si="75"/>
        <v>0</v>
      </c>
      <c r="K326">
        <f ca="1">IF(OR($C326="S",$C326=0),0,MATCH(OFFSET($D326,0,$C326)+IF($C326&lt;&gt;1,1,COUNTIF(QCI!$A$13:$A$24,ORÇAMENTO!E326)),OFFSET($D326,1,$C326,ROW($C$727)-ROW($C326)),0))</f>
        <v>0</v>
      </c>
      <c r="L326" s="116" t="str">
        <f t="shared" ca="1" si="64"/>
        <v/>
      </c>
      <c r="M326" s="117" t="s">
        <v>199</v>
      </c>
      <c r="N326" s="118" t="str">
        <f t="shared" ca="1" si="65"/>
        <v>Serviço</v>
      </c>
      <c r="O326" s="119" t="str">
        <f t="shared" ca="1" si="66"/>
        <v>-</v>
      </c>
      <c r="P326" s="120" t="s">
        <v>247</v>
      </c>
      <c r="Q326" s="121" t="s">
        <v>707</v>
      </c>
      <c r="R326" s="122" t="str">
        <f ca="1">IF($C326="S",REFERENCIA.Descricao,"(digite a descrição aqui)")</f>
        <v>(abra o arquivo 'Referência 06-2024.xlsm)</v>
      </c>
      <c r="S326" s="123" t="str">
        <f ca="1">REFERENCIA.Unidade</f>
        <v>-</v>
      </c>
      <c r="T326" s="124">
        <f ca="1">OFFSET(CÁLCULO!H$15,ROW($T326)-ROW(T$15),0)</f>
        <v>60</v>
      </c>
      <c r="U326" s="125">
        <f t="shared" ca="1" si="76"/>
        <v>0</v>
      </c>
      <c r="V326" s="126" t="s">
        <v>156</v>
      </c>
      <c r="W326" s="124">
        <f ca="1">IF($C326="S",ROUND(IF(TIPOORCAMENTO="Proposto",ORÇAMENTO.CustoUnitario*(1+$AH326),ORÇAMENTO.PrecoUnitarioLicitado),15-13*$AF$10),0)</f>
        <v>0</v>
      </c>
      <c r="X326" s="127">
        <f ca="1">IF($C326="S",IF(Import.TipoArredondamento&lt;&gt;"TransfereGOV",VTOTAL1,SUM(OFFSET(CÁLCULO!$AI$15,ROW($X326)-ROW($X$15),1):OFFSET(CÁLCULO!$BB$15,ROW($X326)-ROW($X$15),-1))),IF($C326=0,0,ROUND(SomaAgrup,15-13*$AF$11)))</f>
        <v>0</v>
      </c>
      <c r="Y326" s="128" t="s">
        <v>245</v>
      </c>
      <c r="Z326" t="str">
        <f t="shared" ca="1" si="67"/>
        <v/>
      </c>
      <c r="AA326" s="129">
        <f ca="1">IF($C326="S",IF($Z326="CP",$X326,IF($Z326="RA",(($X326)*QCI!$AA$3),0)),SomaAgrup)</f>
        <v>0</v>
      </c>
      <c r="AB326" s="130">
        <f t="shared" ca="1" si="68"/>
        <v>0</v>
      </c>
      <c r="AC326" s="131" t="str">
        <f ca="1">IF($N326="","",IF(ORÇAMENTO.Descricao="","DESCRIÇÃO",IF(AND($C326="S",ORÇAMENTO.Unidade=""),"UNIDADE",IF($X326&lt;0,"VALOR NEGATIVO",IF(OR(AND(TIPOORCAMENTO="Proposto",$AG326&lt;&gt;"",$AG326&gt;0,ORÇAMENTO.CustoUnitario&gt;$AG326),AND(TIPOORCAMENTO="LICITADO",ORÇAMENTO.PrecoUnitarioLicitado&gt;$AN326)),"ACIMA REF.","")))))</f>
        <v/>
      </c>
      <c r="AD326" t="str">
        <f ca="1">IF(C326&lt;=CRONO.NivelExibicao,MAX($AD$15:OFFSET(AD326,-1,0))+IF($C326&lt;&gt;1,1,MAX(1,COUNTIF(QCI!$A$13:$A$24,OFFSET($E326,-1,0)))),"")</f>
        <v/>
      </c>
      <c r="AE326" s="7" t="str">
        <f ca="1">IF(AND($C326="S",ORÇAMENTO.CodBarra&lt;&gt;""),IF(ORÇAMENTO.Fonte="",ORÇAMENTO.CodBarra,CONCATENATE(ORÇAMENTO.Fonte," ",ORÇAMENTO.CodBarra)))</f>
        <v>SINAPI 89732</v>
      </c>
      <c r="AF326" s="13" t="str">
        <f ca="1">IF(ISERROR(INDIRECT(ORÇAMENTO.BancoRef)),"(abra o arquivo 'Referência "&amp;Excel_BuiltIn_Database&amp;".xlsm)",IF(OR($C326&lt;&gt;"S",ORÇAMENTO.CodBarra=""),"(Sem Código)",IF(ISERROR(MATCH($AE326,INDIRECT(ORÇAMENTO.BancoRef),0)),"(Código não identificado nas referências)",MATCH($AE326,INDIRECT(ORÇAMENTO.BancoRef),0))))</f>
        <v>(abra o arquivo 'Referência 06-2024.xlsm)</v>
      </c>
      <c r="AG326" s="498">
        <f ca="1">ROUND(IF(DESONERACAO="sim",REFERENCIA.Desonerado,REFERENCIA.NaoDesonerado),2)</f>
        <v>0</v>
      </c>
      <c r="AH326" s="499">
        <f t="shared" ca="1" si="69"/>
        <v>0.2432</v>
      </c>
      <c r="AJ326" s="501"/>
      <c r="AL326" s="527"/>
      <c r="AM326" s="381">
        <f t="shared" ca="1" si="70"/>
        <v>0</v>
      </c>
      <c r="AN326" s="566">
        <f t="shared" ca="1" si="71"/>
        <v>0</v>
      </c>
    </row>
    <row r="327" spans="1:40" ht="38.25" x14ac:dyDescent="0.2">
      <c r="A327" t="str">
        <f t="shared" si="56"/>
        <v>S</v>
      </c>
      <c r="B327">
        <f t="shared" ca="1" si="57"/>
        <v>2</v>
      </c>
      <c r="C327" t="str">
        <f t="shared" ca="1" si="58"/>
        <v>S</v>
      </c>
      <c r="D327">
        <f t="shared" ca="1" si="59"/>
        <v>0</v>
      </c>
      <c r="E327">
        <f ca="1">IF($C327=1,OFFSET(E327,-1,0)+MAX(1,COUNTIF(QCI!$A$13:$A$24,OFFSET(ORÇAMENTO!E327,-1,0))),OFFSET(E327,-1,0))</f>
        <v>1</v>
      </c>
      <c r="F327">
        <f t="shared" ca="1" si="60"/>
        <v>40</v>
      </c>
      <c r="G327">
        <f t="shared" ca="1" si="61"/>
        <v>0</v>
      </c>
      <c r="H327">
        <f t="shared" ca="1" si="62"/>
        <v>0</v>
      </c>
      <c r="I327">
        <f t="shared" ca="1" si="63"/>
        <v>0</v>
      </c>
      <c r="J327">
        <f t="shared" ca="1" si="75"/>
        <v>0</v>
      </c>
      <c r="K327">
        <f ca="1">IF(OR($C327="S",$C327=0),0,MATCH(OFFSET($D327,0,$C327)+IF($C327&lt;&gt;1,1,COUNTIF(QCI!$A$13:$A$24,ORÇAMENTO!E327)),OFFSET($D327,1,$C327,ROW($C$727)-ROW($C327)),0))</f>
        <v>0</v>
      </c>
      <c r="L327" s="116" t="str">
        <f t="shared" ca="1" si="64"/>
        <v/>
      </c>
      <c r="M327" s="117" t="s">
        <v>199</v>
      </c>
      <c r="N327" s="118" t="str">
        <f t="shared" ca="1" si="65"/>
        <v>Serviço</v>
      </c>
      <c r="O327" s="119" t="str">
        <f t="shared" ca="1" si="66"/>
        <v>-</v>
      </c>
      <c r="P327" s="120" t="s">
        <v>247</v>
      </c>
      <c r="Q327" s="121" t="s">
        <v>708</v>
      </c>
      <c r="R327" s="122" t="str">
        <f ca="1">IF($C327="S",REFERENCIA.Descricao,"(digite a descrição aqui)")</f>
        <v>(abra o arquivo 'Referência 06-2024.xlsm)</v>
      </c>
      <c r="S327" s="123" t="str">
        <f ca="1">REFERENCIA.Unidade</f>
        <v>-</v>
      </c>
      <c r="T327" s="124">
        <f ca="1">OFFSET(CÁLCULO!H$15,ROW($T327)-ROW(T$15),0)</f>
        <v>4</v>
      </c>
      <c r="U327" s="125">
        <f t="shared" ca="1" si="76"/>
        <v>0</v>
      </c>
      <c r="V327" s="126" t="s">
        <v>156</v>
      </c>
      <c r="W327" s="124">
        <f ca="1">IF($C327="S",ROUND(IF(TIPOORCAMENTO="Proposto",ORÇAMENTO.CustoUnitario*(1+$AH327),ORÇAMENTO.PrecoUnitarioLicitado),15-13*$AF$10),0)</f>
        <v>0</v>
      </c>
      <c r="X327" s="127">
        <f ca="1">IF($C327="S",IF(Import.TipoArredondamento&lt;&gt;"TransfereGOV",VTOTAL1,SUM(OFFSET(CÁLCULO!$AI$15,ROW($X327)-ROW($X$15),1):OFFSET(CÁLCULO!$BB$15,ROW($X327)-ROW($X$15),-1))),IF($C327=0,0,ROUND(SomaAgrup,15-13*$AF$11)))</f>
        <v>0</v>
      </c>
      <c r="Y327" s="128" t="s">
        <v>245</v>
      </c>
      <c r="Z327" t="str">
        <f t="shared" ca="1" si="67"/>
        <v/>
      </c>
      <c r="AA327" s="129">
        <f ca="1">IF($C327="S",IF($Z327="CP",$X327,IF($Z327="RA",(($X327)*QCI!$AA$3),0)),SomaAgrup)</f>
        <v>0</v>
      </c>
      <c r="AB327" s="130">
        <f t="shared" ca="1" si="68"/>
        <v>0</v>
      </c>
      <c r="AC327" s="131" t="str">
        <f ca="1">IF($N327="","",IF(ORÇAMENTO.Descricao="","DESCRIÇÃO",IF(AND($C327="S",ORÇAMENTO.Unidade=""),"UNIDADE",IF($X327&lt;0,"VALOR NEGATIVO",IF(OR(AND(TIPOORCAMENTO="Proposto",$AG327&lt;&gt;"",$AG327&gt;0,ORÇAMENTO.CustoUnitario&gt;$AG327),AND(TIPOORCAMENTO="LICITADO",ORÇAMENTO.PrecoUnitarioLicitado&gt;$AN327)),"ACIMA REF.","")))))</f>
        <v/>
      </c>
      <c r="AD327" t="str">
        <f ca="1">IF(C327&lt;=CRONO.NivelExibicao,MAX($AD$15:OFFSET(AD327,-1,0))+IF($C327&lt;&gt;1,1,MAX(1,COUNTIF(QCI!$A$13:$A$24,OFFSET($E327,-1,0)))),"")</f>
        <v/>
      </c>
      <c r="AE327" s="7" t="str">
        <f ca="1">IF(AND($C327="S",ORÇAMENTO.CodBarra&lt;&gt;""),IF(ORÇAMENTO.Fonte="",ORÇAMENTO.CodBarra,CONCATENATE(ORÇAMENTO.Fonte," ",ORÇAMENTO.CodBarra)))</f>
        <v>SINAPI 89739</v>
      </c>
      <c r="AF327" s="13" t="str">
        <f ca="1">IF(ISERROR(INDIRECT(ORÇAMENTO.BancoRef)),"(abra o arquivo 'Referência "&amp;Excel_BuiltIn_Database&amp;".xlsm)",IF(OR($C327&lt;&gt;"S",ORÇAMENTO.CodBarra=""),"(Sem Código)",IF(ISERROR(MATCH($AE327,INDIRECT(ORÇAMENTO.BancoRef),0)),"(Código não identificado nas referências)",MATCH($AE327,INDIRECT(ORÇAMENTO.BancoRef),0))))</f>
        <v>(abra o arquivo 'Referência 06-2024.xlsm)</v>
      </c>
      <c r="AG327" s="498">
        <f ca="1">ROUND(IF(DESONERACAO="sim",REFERENCIA.Desonerado,REFERENCIA.NaoDesonerado),2)</f>
        <v>0</v>
      </c>
      <c r="AH327" s="499">
        <f t="shared" ca="1" si="69"/>
        <v>0.2432</v>
      </c>
      <c r="AJ327" s="501"/>
      <c r="AL327" s="527"/>
      <c r="AM327" s="381">
        <f t="shared" ca="1" si="70"/>
        <v>0</v>
      </c>
      <c r="AN327" s="566">
        <f t="shared" ca="1" si="71"/>
        <v>0</v>
      </c>
    </row>
    <row r="328" spans="1:40" ht="38.25" x14ac:dyDescent="0.2">
      <c r="A328" t="str">
        <f t="shared" si="56"/>
        <v>S</v>
      </c>
      <c r="B328">
        <f t="shared" ca="1" si="57"/>
        <v>2</v>
      </c>
      <c r="C328" t="str">
        <f t="shared" ca="1" si="58"/>
        <v>S</v>
      </c>
      <c r="D328">
        <f t="shared" ca="1" si="59"/>
        <v>0</v>
      </c>
      <c r="E328">
        <f ca="1">IF($C328=1,OFFSET(E328,-1,0)+MAX(1,COUNTIF(QCI!$A$13:$A$24,OFFSET(ORÇAMENTO!E328,-1,0))),OFFSET(E328,-1,0))</f>
        <v>1</v>
      </c>
      <c r="F328">
        <f t="shared" ca="1" si="60"/>
        <v>40</v>
      </c>
      <c r="G328">
        <f t="shared" ca="1" si="61"/>
        <v>0</v>
      </c>
      <c r="H328">
        <f t="shared" ca="1" si="62"/>
        <v>0</v>
      </c>
      <c r="I328">
        <f t="shared" ca="1" si="63"/>
        <v>0</v>
      </c>
      <c r="J328">
        <f t="shared" ca="1" si="75"/>
        <v>0</v>
      </c>
      <c r="K328">
        <f ca="1">IF(OR($C328="S",$C328=0),0,MATCH(OFFSET($D328,0,$C328)+IF($C328&lt;&gt;1,1,COUNTIF(QCI!$A$13:$A$24,ORÇAMENTO!E328)),OFFSET($D328,1,$C328,ROW($C$727)-ROW($C328)),0))</f>
        <v>0</v>
      </c>
      <c r="L328" s="116" t="str">
        <f t="shared" ca="1" si="64"/>
        <v/>
      </c>
      <c r="M328" s="117" t="s">
        <v>199</v>
      </c>
      <c r="N328" s="118" t="str">
        <f t="shared" ca="1" si="65"/>
        <v>Serviço</v>
      </c>
      <c r="O328" s="119" t="str">
        <f t="shared" ca="1" si="66"/>
        <v>-</v>
      </c>
      <c r="P328" s="120" t="s">
        <v>247</v>
      </c>
      <c r="Q328" s="121" t="s">
        <v>709</v>
      </c>
      <c r="R328" s="122" t="str">
        <f ca="1">IF($C328="S",REFERENCIA.Descricao,"(digite a descrição aqui)")</f>
        <v>(abra o arquivo 'Referência 06-2024.xlsm)</v>
      </c>
      <c r="S328" s="123" t="str">
        <f ca="1">REFERENCIA.Unidade</f>
        <v>-</v>
      </c>
      <c r="T328" s="124">
        <f ca="1">OFFSET(CÁLCULO!H$15,ROW($T328)-ROW(T$15),0)</f>
        <v>7</v>
      </c>
      <c r="U328" s="125">
        <f t="shared" ca="1" si="76"/>
        <v>0</v>
      </c>
      <c r="V328" s="126" t="s">
        <v>156</v>
      </c>
      <c r="W328" s="124">
        <f ca="1">IF($C328="S",ROUND(IF(TIPOORCAMENTO="Proposto",ORÇAMENTO.CustoUnitario*(1+$AH328),ORÇAMENTO.PrecoUnitarioLicitado),15-13*$AF$10),0)</f>
        <v>0</v>
      </c>
      <c r="X328" s="127">
        <f ca="1">IF($C328="S",IF(Import.TipoArredondamento&lt;&gt;"TransfereGOV",VTOTAL1,SUM(OFFSET(CÁLCULO!$AI$15,ROW($X328)-ROW($X$15),1):OFFSET(CÁLCULO!$BB$15,ROW($X328)-ROW($X$15),-1))),IF($C328=0,0,ROUND(SomaAgrup,15-13*$AF$11)))</f>
        <v>0</v>
      </c>
      <c r="Y328" s="128" t="s">
        <v>245</v>
      </c>
      <c r="Z328" t="str">
        <f t="shared" ca="1" si="67"/>
        <v/>
      </c>
      <c r="AA328" s="129">
        <f ca="1">IF($C328="S",IF($Z328="CP",$X328,IF($Z328="RA",(($X328)*QCI!$AA$3),0)),SomaAgrup)</f>
        <v>0</v>
      </c>
      <c r="AB328" s="130">
        <f t="shared" ca="1" si="68"/>
        <v>0</v>
      </c>
      <c r="AC328" s="131" t="str">
        <f ca="1">IF($N328="","",IF(ORÇAMENTO.Descricao="","DESCRIÇÃO",IF(AND($C328="S",ORÇAMENTO.Unidade=""),"UNIDADE",IF($X328&lt;0,"VALOR NEGATIVO",IF(OR(AND(TIPOORCAMENTO="Proposto",$AG328&lt;&gt;"",$AG328&gt;0,ORÇAMENTO.CustoUnitario&gt;$AG328),AND(TIPOORCAMENTO="LICITADO",ORÇAMENTO.PrecoUnitarioLicitado&gt;$AN328)),"ACIMA REF.","")))))</f>
        <v/>
      </c>
      <c r="AD328" t="str">
        <f ca="1">IF(C328&lt;=CRONO.NivelExibicao,MAX($AD$15:OFFSET(AD328,-1,0))+IF($C328&lt;&gt;1,1,MAX(1,COUNTIF(QCI!$A$13:$A$24,OFFSET($E328,-1,0)))),"")</f>
        <v/>
      </c>
      <c r="AE328" s="7" t="str">
        <f ca="1">IF(AND($C328="S",ORÇAMENTO.CodBarra&lt;&gt;""),IF(ORÇAMENTO.Fonte="",ORÇAMENTO.CodBarra,CONCATENATE(ORÇAMENTO.Fonte," ",ORÇAMENTO.CodBarra)))</f>
        <v>SINAPI 89746</v>
      </c>
      <c r="AF328" s="13" t="str">
        <f ca="1">IF(ISERROR(INDIRECT(ORÇAMENTO.BancoRef)),"(abra o arquivo 'Referência "&amp;Excel_BuiltIn_Database&amp;".xlsm)",IF(OR($C328&lt;&gt;"S",ORÇAMENTO.CodBarra=""),"(Sem Código)",IF(ISERROR(MATCH($AE328,INDIRECT(ORÇAMENTO.BancoRef),0)),"(Código não identificado nas referências)",MATCH($AE328,INDIRECT(ORÇAMENTO.BancoRef),0))))</f>
        <v>(abra o arquivo 'Referência 06-2024.xlsm)</v>
      </c>
      <c r="AG328" s="498">
        <f ca="1">ROUND(IF(DESONERACAO="sim",REFERENCIA.Desonerado,REFERENCIA.NaoDesonerado),2)</f>
        <v>0</v>
      </c>
      <c r="AH328" s="499">
        <f t="shared" ca="1" si="69"/>
        <v>0.2432</v>
      </c>
      <c r="AJ328" s="501"/>
      <c r="AL328" s="527"/>
      <c r="AM328" s="381">
        <f t="shared" ca="1" si="70"/>
        <v>0</v>
      </c>
      <c r="AN328" s="566">
        <f t="shared" ca="1" si="71"/>
        <v>0</v>
      </c>
    </row>
    <row r="329" spans="1:40" ht="38.25" x14ac:dyDescent="0.2">
      <c r="A329" t="str">
        <f t="shared" si="56"/>
        <v>S</v>
      </c>
      <c r="B329">
        <f t="shared" ca="1" si="57"/>
        <v>2</v>
      </c>
      <c r="C329" t="str">
        <f t="shared" ca="1" si="58"/>
        <v>S</v>
      </c>
      <c r="D329">
        <f t="shared" ca="1" si="59"/>
        <v>0</v>
      </c>
      <c r="E329">
        <f ca="1">IF($C329=1,OFFSET(E329,-1,0)+MAX(1,COUNTIF(QCI!$A$13:$A$24,OFFSET(ORÇAMENTO!E329,-1,0))),OFFSET(E329,-1,0))</f>
        <v>1</v>
      </c>
      <c r="F329">
        <f t="shared" ca="1" si="60"/>
        <v>40</v>
      </c>
      <c r="G329">
        <f t="shared" ca="1" si="61"/>
        <v>0</v>
      </c>
      <c r="H329">
        <f t="shared" ca="1" si="62"/>
        <v>0</v>
      </c>
      <c r="I329">
        <f t="shared" ca="1" si="63"/>
        <v>0</v>
      </c>
      <c r="J329">
        <f t="shared" ca="1" si="75"/>
        <v>0</v>
      </c>
      <c r="K329">
        <f ca="1">IF(OR($C329="S",$C329=0),0,MATCH(OFFSET($D329,0,$C329)+IF($C329&lt;&gt;1,1,COUNTIF(QCI!$A$13:$A$24,ORÇAMENTO!E329)),OFFSET($D329,1,$C329,ROW($C$727)-ROW($C329)),0))</f>
        <v>0</v>
      </c>
      <c r="L329" s="116" t="str">
        <f t="shared" ca="1" si="64"/>
        <v/>
      </c>
      <c r="M329" s="117" t="s">
        <v>199</v>
      </c>
      <c r="N329" s="118" t="str">
        <f t="shared" ca="1" si="65"/>
        <v>Serviço</v>
      </c>
      <c r="O329" s="119" t="str">
        <f t="shared" ca="1" si="66"/>
        <v>-</v>
      </c>
      <c r="P329" s="120" t="s">
        <v>247</v>
      </c>
      <c r="Q329" s="121" t="s">
        <v>710</v>
      </c>
      <c r="R329" s="122" t="str">
        <f ca="1">IF($C329="S",REFERENCIA.Descricao,"(digite a descrição aqui)")</f>
        <v>(abra o arquivo 'Referência 06-2024.xlsm)</v>
      </c>
      <c r="S329" s="123" t="str">
        <f ca="1">REFERENCIA.Unidade</f>
        <v>-</v>
      </c>
      <c r="T329" s="124">
        <f ca="1">OFFSET(CÁLCULO!H$15,ROW($T329)-ROW(T$15),0)</f>
        <v>3</v>
      </c>
      <c r="U329" s="125">
        <f t="shared" ca="1" si="76"/>
        <v>0</v>
      </c>
      <c r="V329" s="126" t="s">
        <v>156</v>
      </c>
      <c r="W329" s="124">
        <f ca="1">IF($C329="S",ROUND(IF(TIPOORCAMENTO="Proposto",ORÇAMENTO.CustoUnitario*(1+$AH329),ORÇAMENTO.PrecoUnitarioLicitado),15-13*$AF$10),0)</f>
        <v>0</v>
      </c>
      <c r="X329" s="127">
        <f ca="1">IF($C329="S",IF(Import.TipoArredondamento&lt;&gt;"TransfereGOV",VTOTAL1,SUM(OFFSET(CÁLCULO!$AI$15,ROW($X329)-ROW($X$15),1):OFFSET(CÁLCULO!$BB$15,ROW($X329)-ROW($X$15),-1))),IF($C329=0,0,ROUND(SomaAgrup,15-13*$AF$11)))</f>
        <v>0</v>
      </c>
      <c r="Y329" s="128" t="s">
        <v>245</v>
      </c>
      <c r="Z329" t="str">
        <f t="shared" ca="1" si="67"/>
        <v/>
      </c>
      <c r="AA329" s="129">
        <f ca="1">IF($C329="S",IF($Z329="CP",$X329,IF($Z329="RA",(($X329)*QCI!$AA$3),0)),SomaAgrup)</f>
        <v>0</v>
      </c>
      <c r="AB329" s="130">
        <f t="shared" ca="1" si="68"/>
        <v>0</v>
      </c>
      <c r="AC329" s="131" t="str">
        <f ca="1">IF($N329="","",IF(ORÇAMENTO.Descricao="","DESCRIÇÃO",IF(AND($C329="S",ORÇAMENTO.Unidade=""),"UNIDADE",IF($X329&lt;0,"VALOR NEGATIVO",IF(OR(AND(TIPOORCAMENTO="Proposto",$AG329&lt;&gt;"",$AG329&gt;0,ORÇAMENTO.CustoUnitario&gt;$AG329),AND(TIPOORCAMENTO="LICITADO",ORÇAMENTO.PrecoUnitarioLicitado&gt;$AN329)),"ACIMA REF.","")))))</f>
        <v/>
      </c>
      <c r="AD329" t="str">
        <f ca="1">IF(C329&lt;=CRONO.NivelExibicao,MAX($AD$15:OFFSET(AD329,-1,0))+IF($C329&lt;&gt;1,1,MAX(1,COUNTIF(QCI!$A$13:$A$24,OFFSET($E329,-1,0)))),"")</f>
        <v/>
      </c>
      <c r="AE329" s="7" t="str">
        <f ca="1">IF(AND($C329="S",ORÇAMENTO.CodBarra&lt;&gt;""),IF(ORÇAMENTO.Fonte="",ORÇAMENTO.CodBarra,CONCATENATE(ORÇAMENTO.Fonte," ",ORÇAMENTO.CodBarra)))</f>
        <v>SINAPI 89855</v>
      </c>
      <c r="AF329" s="13" t="str">
        <f ca="1">IF(ISERROR(INDIRECT(ORÇAMENTO.BancoRef)),"(abra o arquivo 'Referência "&amp;Excel_BuiltIn_Database&amp;".xlsm)",IF(OR($C329&lt;&gt;"S",ORÇAMENTO.CodBarra=""),"(Sem Código)",IF(ISERROR(MATCH($AE329,INDIRECT(ORÇAMENTO.BancoRef),0)),"(Código não identificado nas referências)",MATCH($AE329,INDIRECT(ORÇAMENTO.BancoRef),0))))</f>
        <v>(abra o arquivo 'Referência 06-2024.xlsm)</v>
      </c>
      <c r="AG329" s="498">
        <f ca="1">ROUND(IF(DESONERACAO="sim",REFERENCIA.Desonerado,REFERENCIA.NaoDesonerado),2)</f>
        <v>0</v>
      </c>
      <c r="AH329" s="499">
        <f t="shared" ca="1" si="69"/>
        <v>0.2432</v>
      </c>
      <c r="AJ329" s="501"/>
      <c r="AL329" s="527"/>
      <c r="AM329" s="381">
        <f t="shared" ca="1" si="70"/>
        <v>0</v>
      </c>
      <c r="AN329" s="566">
        <f t="shared" ca="1" si="71"/>
        <v>0</v>
      </c>
    </row>
    <row r="330" spans="1:40" ht="38.25" x14ac:dyDescent="0.2">
      <c r="A330" t="str">
        <f t="shared" si="56"/>
        <v>S</v>
      </c>
      <c r="B330">
        <f t="shared" ca="1" si="57"/>
        <v>2</v>
      </c>
      <c r="C330" t="str">
        <f t="shared" ca="1" si="58"/>
        <v>S</v>
      </c>
      <c r="D330">
        <f t="shared" ca="1" si="59"/>
        <v>0</v>
      </c>
      <c r="E330">
        <f ca="1">IF($C330=1,OFFSET(E330,-1,0)+MAX(1,COUNTIF(QCI!$A$13:$A$24,OFFSET(ORÇAMENTO!E330,-1,0))),OFFSET(E330,-1,0))</f>
        <v>1</v>
      </c>
      <c r="F330">
        <f t="shared" ca="1" si="60"/>
        <v>40</v>
      </c>
      <c r="G330">
        <f t="shared" ca="1" si="61"/>
        <v>0</v>
      </c>
      <c r="H330">
        <f t="shared" ca="1" si="62"/>
        <v>0</v>
      </c>
      <c r="I330">
        <f t="shared" ca="1" si="63"/>
        <v>0</v>
      </c>
      <c r="J330">
        <f t="shared" ca="1" si="75"/>
        <v>0</v>
      </c>
      <c r="K330">
        <f ca="1">IF(OR($C330="S",$C330=0),0,MATCH(OFFSET($D330,0,$C330)+IF($C330&lt;&gt;1,1,COUNTIF(QCI!$A$13:$A$24,ORÇAMENTO!E330)),OFFSET($D330,1,$C330,ROW($C$727)-ROW($C330)),0))</f>
        <v>0</v>
      </c>
      <c r="L330" s="116" t="str">
        <f t="shared" ca="1" si="64"/>
        <v/>
      </c>
      <c r="M330" s="117" t="s">
        <v>199</v>
      </c>
      <c r="N330" s="118" t="str">
        <f t="shared" ca="1" si="65"/>
        <v>Serviço</v>
      </c>
      <c r="O330" s="119" t="str">
        <f t="shared" ca="1" si="66"/>
        <v>-</v>
      </c>
      <c r="P330" s="120" t="s">
        <v>247</v>
      </c>
      <c r="Q330" s="121" t="s">
        <v>711</v>
      </c>
      <c r="R330" s="122" t="str">
        <f ca="1">IF($C330="S",REFERENCIA.Descricao,"(digite a descrição aqui)")</f>
        <v>(abra o arquivo 'Referência 06-2024.xlsm)</v>
      </c>
      <c r="S330" s="123" t="str">
        <f ca="1">REFERENCIA.Unidade</f>
        <v>-</v>
      </c>
      <c r="T330" s="124">
        <f ca="1">OFFSET(CÁLCULO!H$15,ROW($T330)-ROW(T$15),0)</f>
        <v>15</v>
      </c>
      <c r="U330" s="125">
        <f t="shared" ca="1" si="76"/>
        <v>0</v>
      </c>
      <c r="V330" s="126" t="s">
        <v>156</v>
      </c>
      <c r="W330" s="124">
        <f ca="1">IF($C330="S",ROUND(IF(TIPOORCAMENTO="Proposto",ORÇAMENTO.CustoUnitario*(1+$AH330),ORÇAMENTO.PrecoUnitarioLicitado),15-13*$AF$10),0)</f>
        <v>0</v>
      </c>
      <c r="X330" s="127">
        <f ca="1">IF($C330="S",IF(Import.TipoArredondamento&lt;&gt;"TransfereGOV",VTOTAL1,SUM(OFFSET(CÁLCULO!$AI$15,ROW($X330)-ROW($X$15),1):OFFSET(CÁLCULO!$BB$15,ROW($X330)-ROW($X$15),-1))),IF($C330=0,0,ROUND(SomaAgrup,15-13*$AF$11)))</f>
        <v>0</v>
      </c>
      <c r="Y330" s="128" t="s">
        <v>245</v>
      </c>
      <c r="Z330" t="str">
        <f t="shared" ca="1" si="67"/>
        <v/>
      </c>
      <c r="AA330" s="129">
        <f ca="1">IF($C330="S",IF($Z330="CP",$X330,IF($Z330="RA",(($X330)*QCI!$AA$3),0)),SomaAgrup)</f>
        <v>0</v>
      </c>
      <c r="AB330" s="130">
        <f t="shared" ca="1" si="68"/>
        <v>0</v>
      </c>
      <c r="AC330" s="131" t="str">
        <f ca="1">IF($N330="","",IF(ORÇAMENTO.Descricao="","DESCRIÇÃO",IF(AND($C330="S",ORÇAMENTO.Unidade=""),"UNIDADE",IF($X330&lt;0,"VALOR NEGATIVO",IF(OR(AND(TIPOORCAMENTO="Proposto",$AG330&lt;&gt;"",$AG330&gt;0,ORÇAMENTO.CustoUnitario&gt;$AG330),AND(TIPOORCAMENTO="LICITADO",ORÇAMENTO.PrecoUnitarioLicitado&gt;$AN330)),"ACIMA REF.","")))))</f>
        <v/>
      </c>
      <c r="AD330" t="str">
        <f ca="1">IF(C330&lt;=CRONO.NivelExibicao,MAX($AD$15:OFFSET(AD330,-1,0))+IF($C330&lt;&gt;1,1,MAX(1,COUNTIF(QCI!$A$13:$A$24,OFFSET($E330,-1,0)))),"")</f>
        <v/>
      </c>
      <c r="AE330" s="7" t="str">
        <f ca="1">IF(AND($C330="S",ORÇAMENTO.CodBarra&lt;&gt;""),IF(ORÇAMENTO.Fonte="",ORÇAMENTO.CodBarra,CONCATENATE(ORÇAMENTO.Fonte," ",ORÇAMENTO.CodBarra)))</f>
        <v>SINAPI 89744</v>
      </c>
      <c r="AF330" s="13" t="str">
        <f ca="1">IF(ISERROR(INDIRECT(ORÇAMENTO.BancoRef)),"(abra o arquivo 'Referência "&amp;Excel_BuiltIn_Database&amp;".xlsm)",IF(OR($C330&lt;&gt;"S",ORÇAMENTO.CodBarra=""),"(Sem Código)",IF(ISERROR(MATCH($AE330,INDIRECT(ORÇAMENTO.BancoRef),0)),"(Código não identificado nas referências)",MATCH($AE330,INDIRECT(ORÇAMENTO.BancoRef),0))))</f>
        <v>(abra o arquivo 'Referência 06-2024.xlsm)</v>
      </c>
      <c r="AG330" s="498">
        <f ca="1">ROUND(IF(DESONERACAO="sim",REFERENCIA.Desonerado,REFERENCIA.NaoDesonerado),2)</f>
        <v>0</v>
      </c>
      <c r="AH330" s="499">
        <f t="shared" ca="1" si="69"/>
        <v>0.2432</v>
      </c>
      <c r="AJ330" s="501"/>
      <c r="AL330" s="527"/>
      <c r="AM330" s="381">
        <f t="shared" ca="1" si="70"/>
        <v>0</v>
      </c>
      <c r="AN330" s="566">
        <f t="shared" ca="1" si="71"/>
        <v>0</v>
      </c>
    </row>
    <row r="331" spans="1:40" ht="38.25" x14ac:dyDescent="0.2">
      <c r="A331" t="str">
        <f t="shared" si="56"/>
        <v>S</v>
      </c>
      <c r="B331">
        <f t="shared" ca="1" si="57"/>
        <v>2</v>
      </c>
      <c r="C331" t="str">
        <f t="shared" ca="1" si="58"/>
        <v>S</v>
      </c>
      <c r="D331">
        <f t="shared" ca="1" si="59"/>
        <v>0</v>
      </c>
      <c r="E331">
        <f ca="1">IF($C331=1,OFFSET(E331,-1,0)+MAX(1,COUNTIF(QCI!$A$13:$A$24,OFFSET(ORÇAMENTO!E331,-1,0))),OFFSET(E331,-1,0))</f>
        <v>1</v>
      </c>
      <c r="F331">
        <f t="shared" ca="1" si="60"/>
        <v>40</v>
      </c>
      <c r="G331">
        <f t="shared" ca="1" si="61"/>
        <v>0</v>
      </c>
      <c r="H331">
        <f t="shared" ca="1" si="62"/>
        <v>0</v>
      </c>
      <c r="I331">
        <f t="shared" ca="1" si="63"/>
        <v>0</v>
      </c>
      <c r="J331">
        <f t="shared" ca="1" si="75"/>
        <v>0</v>
      </c>
      <c r="K331">
        <f ca="1">IF(OR($C331="S",$C331=0),0,MATCH(OFFSET($D331,0,$C331)+IF($C331&lt;&gt;1,1,COUNTIF(QCI!$A$13:$A$24,ORÇAMENTO!E331)),OFFSET($D331,1,$C331,ROW($C$727)-ROW($C331)),0))</f>
        <v>0</v>
      </c>
      <c r="L331" s="116" t="str">
        <f t="shared" ca="1" si="64"/>
        <v/>
      </c>
      <c r="M331" s="117" t="s">
        <v>199</v>
      </c>
      <c r="N331" s="118" t="str">
        <f t="shared" ca="1" si="65"/>
        <v>Serviço</v>
      </c>
      <c r="O331" s="119" t="str">
        <f t="shared" ca="1" si="66"/>
        <v>-</v>
      </c>
      <c r="P331" s="120" t="s">
        <v>247</v>
      </c>
      <c r="Q331" s="121" t="s">
        <v>712</v>
      </c>
      <c r="R331" s="122" t="str">
        <f ca="1">IF($C331="S",REFERENCIA.Descricao,"(digite a descrição aqui)")</f>
        <v>(abra o arquivo 'Referência 06-2024.xlsm)</v>
      </c>
      <c r="S331" s="123" t="str">
        <f ca="1">REFERENCIA.Unidade</f>
        <v>-</v>
      </c>
      <c r="T331" s="124">
        <f ca="1">OFFSET(CÁLCULO!H$15,ROW($T331)-ROW(T$15),0)</f>
        <v>51</v>
      </c>
      <c r="U331" s="125">
        <f t="shared" ca="1" si="76"/>
        <v>0</v>
      </c>
      <c r="V331" s="126" t="s">
        <v>156</v>
      </c>
      <c r="W331" s="124">
        <f ca="1">IF($C331="S",ROUND(IF(TIPOORCAMENTO="Proposto",ORÇAMENTO.CustoUnitario*(1+$AH331),ORÇAMENTO.PrecoUnitarioLicitado),15-13*$AF$10),0)</f>
        <v>0</v>
      </c>
      <c r="X331" s="127">
        <f ca="1">IF($C331="S",IF(Import.TipoArredondamento&lt;&gt;"TransfereGOV",VTOTAL1,SUM(OFFSET(CÁLCULO!$AI$15,ROW($X331)-ROW($X$15),1):OFFSET(CÁLCULO!$BB$15,ROW($X331)-ROW($X$15),-1))),IF($C331=0,0,ROUND(SomaAgrup,15-13*$AF$11)))</f>
        <v>0</v>
      </c>
      <c r="Y331" s="128" t="s">
        <v>245</v>
      </c>
      <c r="Z331" t="str">
        <f t="shared" ca="1" si="67"/>
        <v/>
      </c>
      <c r="AA331" s="129">
        <f ca="1">IF($C331="S",IF($Z331="CP",$X331,IF($Z331="RA",(($X331)*QCI!$AA$3),0)),SomaAgrup)</f>
        <v>0</v>
      </c>
      <c r="AB331" s="130">
        <f t="shared" ca="1" si="68"/>
        <v>0</v>
      </c>
      <c r="AC331" s="131" t="str">
        <f ca="1">IF($N331="","",IF(ORÇAMENTO.Descricao="","DESCRIÇÃO",IF(AND($C331="S",ORÇAMENTO.Unidade=""),"UNIDADE",IF($X331&lt;0,"VALOR NEGATIVO",IF(OR(AND(TIPOORCAMENTO="Proposto",$AG331&lt;&gt;"",$AG331&gt;0,ORÇAMENTO.CustoUnitario&gt;$AG331),AND(TIPOORCAMENTO="LICITADO",ORÇAMENTO.PrecoUnitarioLicitado&gt;$AN331)),"ACIMA REF.","")))))</f>
        <v/>
      </c>
      <c r="AD331" t="str">
        <f ca="1">IF(C331&lt;=CRONO.NivelExibicao,MAX($AD$15:OFFSET(AD331,-1,0))+IF($C331&lt;&gt;1,1,MAX(1,COUNTIF(QCI!$A$13:$A$24,OFFSET($E331,-1,0)))),"")</f>
        <v/>
      </c>
      <c r="AE331" s="7" t="str">
        <f ca="1">IF(AND($C331="S",ORÇAMENTO.CodBarra&lt;&gt;""),IF(ORÇAMENTO.Fonte="",ORÇAMENTO.CodBarra,CONCATENATE(ORÇAMENTO.Fonte," ",ORÇAMENTO.CodBarra)))</f>
        <v>SINAPI 89731</v>
      </c>
      <c r="AF331" s="13" t="str">
        <f ca="1">IF(ISERROR(INDIRECT(ORÇAMENTO.BancoRef)),"(abra o arquivo 'Referência "&amp;Excel_BuiltIn_Database&amp;".xlsm)",IF(OR($C331&lt;&gt;"S",ORÇAMENTO.CodBarra=""),"(Sem Código)",IF(ISERROR(MATCH($AE331,INDIRECT(ORÇAMENTO.BancoRef),0)),"(Código não identificado nas referências)",MATCH($AE331,INDIRECT(ORÇAMENTO.BancoRef),0))))</f>
        <v>(abra o arquivo 'Referência 06-2024.xlsm)</v>
      </c>
      <c r="AG331" s="498">
        <f ca="1">ROUND(IF(DESONERACAO="sim",REFERENCIA.Desonerado,REFERENCIA.NaoDesonerado),2)</f>
        <v>0</v>
      </c>
      <c r="AH331" s="499">
        <f t="shared" ca="1" si="69"/>
        <v>0.2432</v>
      </c>
      <c r="AJ331" s="501"/>
      <c r="AL331" s="527"/>
      <c r="AM331" s="381">
        <f t="shared" ca="1" si="70"/>
        <v>0</v>
      </c>
      <c r="AN331" s="566">
        <f t="shared" ca="1" si="71"/>
        <v>0</v>
      </c>
    </row>
    <row r="332" spans="1:40" ht="38.25" x14ac:dyDescent="0.2">
      <c r="A332" t="str">
        <f t="shared" si="56"/>
        <v>S</v>
      </c>
      <c r="B332">
        <f t="shared" ca="1" si="57"/>
        <v>2</v>
      </c>
      <c r="C332" t="str">
        <f t="shared" ca="1" si="58"/>
        <v>S</v>
      </c>
      <c r="D332">
        <f t="shared" ca="1" si="59"/>
        <v>0</v>
      </c>
      <c r="E332">
        <f ca="1">IF($C332=1,OFFSET(E332,-1,0)+MAX(1,COUNTIF(QCI!$A$13:$A$24,OFFSET(ORÇAMENTO!E332,-1,0))),OFFSET(E332,-1,0))</f>
        <v>1</v>
      </c>
      <c r="F332">
        <f t="shared" ca="1" si="60"/>
        <v>40</v>
      </c>
      <c r="G332">
        <f t="shared" ca="1" si="61"/>
        <v>0</v>
      </c>
      <c r="H332">
        <f t="shared" ca="1" si="62"/>
        <v>0</v>
      </c>
      <c r="I332">
        <f t="shared" ca="1" si="63"/>
        <v>0</v>
      </c>
      <c r="J332">
        <f t="shared" ca="1" si="75"/>
        <v>0</v>
      </c>
      <c r="K332">
        <f ca="1">IF(OR($C332="S",$C332=0),0,MATCH(OFFSET($D332,0,$C332)+IF($C332&lt;&gt;1,1,COUNTIF(QCI!$A$13:$A$24,ORÇAMENTO!E332)),OFFSET($D332,1,$C332,ROW($C$727)-ROW($C332)),0))</f>
        <v>0</v>
      </c>
      <c r="L332" s="116" t="str">
        <f t="shared" ca="1" si="64"/>
        <v/>
      </c>
      <c r="M332" s="117" t="s">
        <v>199</v>
      </c>
      <c r="N332" s="118" t="str">
        <f t="shared" ca="1" si="65"/>
        <v>Serviço</v>
      </c>
      <c r="O332" s="119" t="str">
        <f t="shared" ca="1" si="66"/>
        <v>-</v>
      </c>
      <c r="P332" s="120" t="s">
        <v>247</v>
      </c>
      <c r="Q332" s="121" t="s">
        <v>713</v>
      </c>
      <c r="R332" s="122" t="str">
        <f ca="1">IF($C332="S",REFERENCIA.Descricao,"(digite a descrição aqui)")</f>
        <v>(abra o arquivo 'Referência 06-2024.xlsm)</v>
      </c>
      <c r="S332" s="123" t="str">
        <f ca="1">REFERENCIA.Unidade</f>
        <v>-</v>
      </c>
      <c r="T332" s="124">
        <f ca="1">OFFSET(CÁLCULO!H$15,ROW($T332)-ROW(T$15),0)</f>
        <v>46</v>
      </c>
      <c r="U332" s="125">
        <f t="shared" ca="1" si="76"/>
        <v>0</v>
      </c>
      <c r="V332" s="126" t="s">
        <v>156</v>
      </c>
      <c r="W332" s="124">
        <f ca="1">IF($C332="S",ROUND(IF(TIPOORCAMENTO="Proposto",ORÇAMENTO.CustoUnitario*(1+$AH332),ORÇAMENTO.PrecoUnitarioLicitado),15-13*$AF$10),0)</f>
        <v>0</v>
      </c>
      <c r="X332" s="127">
        <f ca="1">IF($C332="S",IF(Import.TipoArredondamento&lt;&gt;"TransfereGOV",VTOTAL1,SUM(OFFSET(CÁLCULO!$AI$15,ROW($X332)-ROW($X$15),1):OFFSET(CÁLCULO!$BB$15,ROW($X332)-ROW($X$15),-1))),IF($C332=0,0,ROUND(SomaAgrup,15-13*$AF$11)))</f>
        <v>0</v>
      </c>
      <c r="Y332" s="128" t="s">
        <v>245</v>
      </c>
      <c r="Z332" t="str">
        <f t="shared" ca="1" si="67"/>
        <v/>
      </c>
      <c r="AA332" s="129">
        <f ca="1">IF($C332="S",IF($Z332="CP",$X332,IF($Z332="RA",(($X332)*QCI!$AA$3),0)),SomaAgrup)</f>
        <v>0</v>
      </c>
      <c r="AB332" s="130">
        <f t="shared" ca="1" si="68"/>
        <v>0</v>
      </c>
      <c r="AC332" s="131" t="str">
        <f ca="1">IF($N332="","",IF(ORÇAMENTO.Descricao="","DESCRIÇÃO",IF(AND($C332="S",ORÇAMENTO.Unidade=""),"UNIDADE",IF($X332&lt;0,"VALOR NEGATIVO",IF(OR(AND(TIPOORCAMENTO="Proposto",$AG332&lt;&gt;"",$AG332&gt;0,ORÇAMENTO.CustoUnitario&gt;$AG332),AND(TIPOORCAMENTO="LICITADO",ORÇAMENTO.PrecoUnitarioLicitado&gt;$AN332)),"ACIMA REF.","")))))</f>
        <v/>
      </c>
      <c r="AD332" t="str">
        <f ca="1">IF(C332&lt;=CRONO.NivelExibicao,MAX($AD$15:OFFSET(AD332,-1,0))+IF($C332&lt;&gt;1,1,MAX(1,COUNTIF(QCI!$A$13:$A$24,OFFSET($E332,-1,0)))),"")</f>
        <v/>
      </c>
      <c r="AE332" s="7" t="str">
        <f ca="1">IF(AND($C332="S",ORÇAMENTO.CodBarra&lt;&gt;""),IF(ORÇAMENTO.Fonte="",ORÇAMENTO.CodBarra,CONCATENATE(ORÇAMENTO.Fonte," ",ORÇAMENTO.CodBarra)))</f>
        <v>SINAPI 89724</v>
      </c>
      <c r="AF332" s="13" t="str">
        <f ca="1">IF(ISERROR(INDIRECT(ORÇAMENTO.BancoRef)),"(abra o arquivo 'Referência "&amp;Excel_BuiltIn_Database&amp;".xlsm)",IF(OR($C332&lt;&gt;"S",ORÇAMENTO.CodBarra=""),"(Sem Código)",IF(ISERROR(MATCH($AE332,INDIRECT(ORÇAMENTO.BancoRef),0)),"(Código não identificado nas referências)",MATCH($AE332,INDIRECT(ORÇAMENTO.BancoRef),0))))</f>
        <v>(abra o arquivo 'Referência 06-2024.xlsm)</v>
      </c>
      <c r="AG332" s="498">
        <f ca="1">ROUND(IF(DESONERACAO="sim",REFERENCIA.Desonerado,REFERENCIA.NaoDesonerado),2)</f>
        <v>0</v>
      </c>
      <c r="AH332" s="499">
        <f t="shared" ca="1" si="69"/>
        <v>0.2432</v>
      </c>
      <c r="AJ332" s="501"/>
      <c r="AL332" s="527"/>
      <c r="AM332" s="381">
        <f t="shared" ca="1" si="70"/>
        <v>0</v>
      </c>
      <c r="AN332" s="566">
        <f t="shared" ca="1" si="71"/>
        <v>0</v>
      </c>
    </row>
    <row r="333" spans="1:40" ht="51" x14ac:dyDescent="0.2">
      <c r="A333" t="str">
        <f t="shared" si="56"/>
        <v>S</v>
      </c>
      <c r="B333">
        <f t="shared" ca="1" si="57"/>
        <v>2</v>
      </c>
      <c r="C333" t="str">
        <f t="shared" ca="1" si="58"/>
        <v>S</v>
      </c>
      <c r="D333">
        <f t="shared" ca="1" si="59"/>
        <v>0</v>
      </c>
      <c r="E333">
        <f ca="1">IF($C333=1,OFFSET(E333,-1,0)+MAX(1,COUNTIF(QCI!$A$13:$A$24,OFFSET(ORÇAMENTO!E333,-1,0))),OFFSET(E333,-1,0))</f>
        <v>1</v>
      </c>
      <c r="F333">
        <f t="shared" ca="1" si="60"/>
        <v>40</v>
      </c>
      <c r="G333">
        <f t="shared" ca="1" si="61"/>
        <v>0</v>
      </c>
      <c r="H333">
        <f t="shared" ca="1" si="62"/>
        <v>0</v>
      </c>
      <c r="I333">
        <f t="shared" ca="1" si="63"/>
        <v>0</v>
      </c>
      <c r="J333">
        <f t="shared" ca="1" si="75"/>
        <v>0</v>
      </c>
      <c r="K333">
        <f ca="1">IF(OR($C333="S",$C333=0),0,MATCH(OFFSET($D333,0,$C333)+IF($C333&lt;&gt;1,1,COUNTIF(QCI!$A$13:$A$24,ORÇAMENTO!E333)),OFFSET($D333,1,$C333,ROW($C$727)-ROW($C333)),0))</f>
        <v>0</v>
      </c>
      <c r="L333" s="116" t="str">
        <f t="shared" ca="1" si="64"/>
        <v/>
      </c>
      <c r="M333" s="117" t="s">
        <v>199</v>
      </c>
      <c r="N333" s="118" t="str">
        <f t="shared" ca="1" si="65"/>
        <v>Serviço</v>
      </c>
      <c r="O333" s="119" t="str">
        <f t="shared" ca="1" si="66"/>
        <v>-</v>
      </c>
      <c r="P333" s="120" t="s">
        <v>247</v>
      </c>
      <c r="Q333" s="121" t="s">
        <v>714</v>
      </c>
      <c r="R333" s="122" t="str">
        <f ca="1">IF($C333="S",REFERENCIA.Descricao,"(digite a descrição aqui)")</f>
        <v>(abra o arquivo 'Referência 06-2024.xlsm)</v>
      </c>
      <c r="S333" s="123" t="str">
        <f ca="1">REFERENCIA.Unidade</f>
        <v>-</v>
      </c>
      <c r="T333" s="124">
        <f ca="1">OFFSET(CÁLCULO!H$15,ROW($T333)-ROW(T$15),0)</f>
        <v>24</v>
      </c>
      <c r="U333" s="125">
        <f t="shared" ca="1" si="76"/>
        <v>0</v>
      </c>
      <c r="V333" s="126" t="s">
        <v>156</v>
      </c>
      <c r="W333" s="124">
        <f ca="1">IF($C333="S",ROUND(IF(TIPOORCAMENTO="Proposto",ORÇAMENTO.CustoUnitario*(1+$AH333),ORÇAMENTO.PrecoUnitarioLicitado),15-13*$AF$10),0)</f>
        <v>0</v>
      </c>
      <c r="X333" s="127">
        <f ca="1">IF($C333="S",IF(Import.TipoArredondamento&lt;&gt;"TransfereGOV",VTOTAL1,SUM(OFFSET(CÁLCULO!$AI$15,ROW($X333)-ROW($X$15),1):OFFSET(CÁLCULO!$BB$15,ROW($X333)-ROW($X$15),-1))),IF($C333=0,0,ROUND(SomaAgrup,15-13*$AF$11)))</f>
        <v>0</v>
      </c>
      <c r="Y333" s="128" t="s">
        <v>245</v>
      </c>
      <c r="Z333" t="str">
        <f t="shared" ca="1" si="67"/>
        <v/>
      </c>
      <c r="AA333" s="129">
        <f ca="1">IF($C333="S",IF($Z333="CP",$X333,IF($Z333="RA",(($X333)*QCI!$AA$3),0)),SomaAgrup)</f>
        <v>0</v>
      </c>
      <c r="AB333" s="130">
        <f t="shared" ca="1" si="68"/>
        <v>0</v>
      </c>
      <c r="AC333" s="131" t="str">
        <f ca="1">IF($N333="","",IF(ORÇAMENTO.Descricao="","DESCRIÇÃO",IF(AND($C333="S",ORÇAMENTO.Unidade=""),"UNIDADE",IF($X333&lt;0,"VALOR NEGATIVO",IF(OR(AND(TIPOORCAMENTO="Proposto",$AG333&lt;&gt;"",$AG333&gt;0,ORÇAMENTO.CustoUnitario&gt;$AG333),AND(TIPOORCAMENTO="LICITADO",ORÇAMENTO.PrecoUnitarioLicitado&gt;$AN333)),"ACIMA REF.","")))))</f>
        <v/>
      </c>
      <c r="AD333" t="str">
        <f ca="1">IF(C333&lt;=CRONO.NivelExibicao,MAX($AD$15:OFFSET(AD333,-1,0))+IF($C333&lt;&gt;1,1,MAX(1,COUNTIF(QCI!$A$13:$A$24,OFFSET($E333,-1,0)))),"")</f>
        <v/>
      </c>
      <c r="AE333" s="7" t="str">
        <f ca="1">IF(AND($C333="S",ORÇAMENTO.CodBarra&lt;&gt;""),IF(ORÇAMENTO.Fonte="",ORÇAMENTO.CodBarra,CONCATENATE(ORÇAMENTO.Fonte," ",ORÇAMENTO.CodBarra)))</f>
        <v>SINAPI 104341</v>
      </c>
      <c r="AF333" s="13" t="str">
        <f ca="1">IF(ISERROR(INDIRECT(ORÇAMENTO.BancoRef)),"(abra o arquivo 'Referência "&amp;Excel_BuiltIn_Database&amp;".xlsm)",IF(OR($C333&lt;&gt;"S",ORÇAMENTO.CodBarra=""),"(Sem Código)",IF(ISERROR(MATCH($AE333,INDIRECT(ORÇAMENTO.BancoRef),0)),"(Código não identificado nas referências)",MATCH($AE333,INDIRECT(ORÇAMENTO.BancoRef),0))))</f>
        <v>(abra o arquivo 'Referência 06-2024.xlsm)</v>
      </c>
      <c r="AG333" s="498">
        <f ca="1">ROUND(IF(DESONERACAO="sim",REFERENCIA.Desonerado,REFERENCIA.NaoDesonerado),2)</f>
        <v>0</v>
      </c>
      <c r="AH333" s="499">
        <f t="shared" ca="1" si="69"/>
        <v>0.2432</v>
      </c>
      <c r="AJ333" s="501"/>
      <c r="AL333" s="527"/>
      <c r="AM333" s="381">
        <f t="shared" ca="1" si="70"/>
        <v>0</v>
      </c>
      <c r="AN333" s="566">
        <f t="shared" ca="1" si="71"/>
        <v>0</v>
      </c>
    </row>
    <row r="334" spans="1:40" ht="38.25" x14ac:dyDescent="0.2">
      <c r="A334" t="str">
        <f t="shared" si="56"/>
        <v>S</v>
      </c>
      <c r="B334">
        <f t="shared" ca="1" si="57"/>
        <v>2</v>
      </c>
      <c r="C334" t="str">
        <f t="shared" ca="1" si="58"/>
        <v>S</v>
      </c>
      <c r="D334">
        <f t="shared" ca="1" si="59"/>
        <v>0</v>
      </c>
      <c r="E334">
        <f ca="1">IF($C334=1,OFFSET(E334,-1,0)+MAX(1,COUNTIF(QCI!$A$13:$A$24,OFFSET(ORÇAMENTO!E334,-1,0))),OFFSET(E334,-1,0))</f>
        <v>1</v>
      </c>
      <c r="F334">
        <f t="shared" ca="1" si="60"/>
        <v>40</v>
      </c>
      <c r="G334">
        <f t="shared" ca="1" si="61"/>
        <v>0</v>
      </c>
      <c r="H334">
        <f t="shared" ca="1" si="62"/>
        <v>0</v>
      </c>
      <c r="I334">
        <f t="shared" ca="1" si="63"/>
        <v>0</v>
      </c>
      <c r="J334">
        <f t="shared" ca="1" si="75"/>
        <v>0</v>
      </c>
      <c r="K334">
        <f ca="1">IF(OR($C334="S",$C334=0),0,MATCH(OFFSET($D334,0,$C334)+IF($C334&lt;&gt;1,1,COUNTIF(QCI!$A$13:$A$24,ORÇAMENTO!E334)),OFFSET($D334,1,$C334,ROW($C$727)-ROW($C334)),0))</f>
        <v>0</v>
      </c>
      <c r="L334" s="116" t="str">
        <f t="shared" ca="1" si="64"/>
        <v/>
      </c>
      <c r="M334" s="117" t="s">
        <v>199</v>
      </c>
      <c r="N334" s="118" t="str">
        <f t="shared" ca="1" si="65"/>
        <v>Serviço</v>
      </c>
      <c r="O334" s="119" t="str">
        <f t="shared" ca="1" si="66"/>
        <v>-</v>
      </c>
      <c r="P334" s="120" t="s">
        <v>247</v>
      </c>
      <c r="Q334" s="121" t="s">
        <v>715</v>
      </c>
      <c r="R334" s="122" t="str">
        <f ca="1">IF($C334="S",REFERENCIA.Descricao,"(digite a descrição aqui)")</f>
        <v>(abra o arquivo 'Referência 06-2024.xlsm)</v>
      </c>
      <c r="S334" s="123" t="str">
        <f ca="1">REFERENCIA.Unidade</f>
        <v>-</v>
      </c>
      <c r="T334" s="124">
        <f ca="1">OFFSET(CÁLCULO!H$15,ROW($T334)-ROW(T$15),0)</f>
        <v>24</v>
      </c>
      <c r="U334" s="125">
        <f t="shared" ca="1" si="76"/>
        <v>0</v>
      </c>
      <c r="V334" s="126" t="s">
        <v>156</v>
      </c>
      <c r="W334" s="124">
        <f ca="1">IF($C334="S",ROUND(IF(TIPOORCAMENTO="Proposto",ORÇAMENTO.CustoUnitario*(1+$AH334),ORÇAMENTO.PrecoUnitarioLicitado),15-13*$AF$10),0)</f>
        <v>0</v>
      </c>
      <c r="X334" s="127">
        <f ca="1">IF($C334="S",IF(Import.TipoArredondamento&lt;&gt;"TransfereGOV",VTOTAL1,SUM(OFFSET(CÁLCULO!$AI$15,ROW($X334)-ROW($X$15),1):OFFSET(CÁLCULO!$BB$15,ROW($X334)-ROW($X$15),-1))),IF($C334=0,0,ROUND(SomaAgrup,15-13*$AF$11)))</f>
        <v>0</v>
      </c>
      <c r="Y334" s="128" t="s">
        <v>245</v>
      </c>
      <c r="Z334" t="str">
        <f t="shared" ca="1" si="67"/>
        <v/>
      </c>
      <c r="AA334" s="129">
        <f ca="1">IF($C334="S",IF($Z334="CP",$X334,IF($Z334="RA",(($X334)*QCI!$AA$3),0)),SomaAgrup)</f>
        <v>0</v>
      </c>
      <c r="AB334" s="130">
        <f t="shared" ca="1" si="68"/>
        <v>0</v>
      </c>
      <c r="AC334" s="131" t="str">
        <f ca="1">IF($N334="","",IF(ORÇAMENTO.Descricao="","DESCRIÇÃO",IF(AND($C334="S",ORÇAMENTO.Unidade=""),"UNIDADE",IF($X334&lt;0,"VALOR NEGATIVO",IF(OR(AND(TIPOORCAMENTO="Proposto",$AG334&lt;&gt;"",$AG334&gt;0,ORÇAMENTO.CustoUnitario&gt;$AG334),AND(TIPOORCAMENTO="LICITADO",ORÇAMENTO.PrecoUnitarioLicitado&gt;$AN334)),"ACIMA REF.","")))))</f>
        <v/>
      </c>
      <c r="AD334" t="str">
        <f ca="1">IF(C334&lt;=CRONO.NivelExibicao,MAX($AD$15:OFFSET(AD334,-1,0))+IF($C334&lt;&gt;1,1,MAX(1,COUNTIF(QCI!$A$13:$A$24,OFFSET($E334,-1,0)))),"")</f>
        <v/>
      </c>
      <c r="AE334" s="7" t="str">
        <f ca="1">IF(AND($C334="S",ORÇAMENTO.CodBarra&lt;&gt;""),IF(ORÇAMENTO.Fonte="",ORÇAMENTO.CodBarra,CONCATENATE(ORÇAMENTO.Fonte," ",ORÇAMENTO.CodBarra)))</f>
        <v>SINAPI 89748</v>
      </c>
      <c r="AF334" s="13" t="str">
        <f ca="1">IF(ISERROR(INDIRECT(ORÇAMENTO.BancoRef)),"(abra o arquivo 'Referência "&amp;Excel_BuiltIn_Database&amp;".xlsm)",IF(OR($C334&lt;&gt;"S",ORÇAMENTO.CodBarra=""),"(Sem Código)",IF(ISERROR(MATCH($AE334,INDIRECT(ORÇAMENTO.BancoRef),0)),"(Código não identificado nas referências)",MATCH($AE334,INDIRECT(ORÇAMENTO.BancoRef),0))))</f>
        <v>(abra o arquivo 'Referência 06-2024.xlsm)</v>
      </c>
      <c r="AG334" s="498">
        <f ca="1">ROUND(IF(DESONERACAO="sim",REFERENCIA.Desonerado,REFERENCIA.NaoDesonerado),2)</f>
        <v>0</v>
      </c>
      <c r="AH334" s="499">
        <f t="shared" ca="1" si="69"/>
        <v>0.2432</v>
      </c>
      <c r="AJ334" s="501"/>
      <c r="AL334" s="527"/>
      <c r="AM334" s="381">
        <f t="shared" ca="1" si="70"/>
        <v>0</v>
      </c>
      <c r="AN334" s="566">
        <f t="shared" ca="1" si="71"/>
        <v>0</v>
      </c>
    </row>
    <row r="335" spans="1:40" ht="38.25" x14ac:dyDescent="0.2">
      <c r="A335" t="str">
        <f t="shared" si="56"/>
        <v>S</v>
      </c>
      <c r="B335">
        <f t="shared" ca="1" si="57"/>
        <v>2</v>
      </c>
      <c r="C335" t="str">
        <f t="shared" ca="1" si="58"/>
        <v>S</v>
      </c>
      <c r="D335">
        <f t="shared" ca="1" si="59"/>
        <v>0</v>
      </c>
      <c r="E335">
        <f ca="1">IF($C335=1,OFFSET(E335,-1,0)+MAX(1,COUNTIF(QCI!$A$13:$A$24,OFFSET(ORÇAMENTO!E335,-1,0))),OFFSET(E335,-1,0))</f>
        <v>1</v>
      </c>
      <c r="F335">
        <f t="shared" ca="1" si="60"/>
        <v>40</v>
      </c>
      <c r="G335">
        <f t="shared" ca="1" si="61"/>
        <v>0</v>
      </c>
      <c r="H335">
        <f t="shared" ca="1" si="62"/>
        <v>0</v>
      </c>
      <c r="I335">
        <f t="shared" ca="1" si="63"/>
        <v>0</v>
      </c>
      <c r="J335">
        <f t="shared" ca="1" si="75"/>
        <v>0</v>
      </c>
      <c r="K335">
        <f ca="1">IF(OR($C335="S",$C335=0),0,MATCH(OFFSET($D335,0,$C335)+IF($C335&lt;&gt;1,1,COUNTIF(QCI!$A$13:$A$24,ORÇAMENTO!E335)),OFFSET($D335,1,$C335,ROW($C$727)-ROW($C335)),0))</f>
        <v>0</v>
      </c>
      <c r="L335" s="116" t="str">
        <f t="shared" ca="1" si="64"/>
        <v/>
      </c>
      <c r="M335" s="117" t="s">
        <v>199</v>
      </c>
      <c r="N335" s="118" t="str">
        <f t="shared" ca="1" si="65"/>
        <v>Serviço</v>
      </c>
      <c r="O335" s="119" t="str">
        <f t="shared" ca="1" si="66"/>
        <v>-</v>
      </c>
      <c r="P335" s="120" t="s">
        <v>247</v>
      </c>
      <c r="Q335" s="121" t="s">
        <v>716</v>
      </c>
      <c r="R335" s="122" t="str">
        <f ca="1">IF($C335="S",REFERENCIA.Descricao,"(digite a descrição aqui)")</f>
        <v>(abra o arquivo 'Referência 06-2024.xlsm)</v>
      </c>
      <c r="S335" s="123" t="str">
        <f ca="1">REFERENCIA.Unidade</f>
        <v>-</v>
      </c>
      <c r="T335" s="124">
        <f ca="1">OFFSET(CÁLCULO!H$15,ROW($T335)-ROW(T$15),0)</f>
        <v>74</v>
      </c>
      <c r="U335" s="125">
        <f t="shared" ca="1" si="76"/>
        <v>0</v>
      </c>
      <c r="V335" s="126" t="s">
        <v>156</v>
      </c>
      <c r="W335" s="124">
        <f ca="1">IF($C335="S",ROUND(IF(TIPOORCAMENTO="Proposto",ORÇAMENTO.CustoUnitario*(1+$AH335),ORÇAMENTO.PrecoUnitarioLicitado),15-13*$AF$10),0)</f>
        <v>0</v>
      </c>
      <c r="X335" s="127">
        <f ca="1">IF($C335="S",IF(Import.TipoArredondamento&lt;&gt;"TransfereGOV",VTOTAL1,SUM(OFFSET(CÁLCULO!$AI$15,ROW($X335)-ROW($X$15),1):OFFSET(CÁLCULO!$BB$15,ROW($X335)-ROW($X$15),-1))),IF($C335=0,0,ROUND(SomaAgrup,15-13*$AF$11)))</f>
        <v>0</v>
      </c>
      <c r="Y335" s="128" t="s">
        <v>245</v>
      </c>
      <c r="Z335" t="str">
        <f t="shared" ca="1" si="67"/>
        <v/>
      </c>
      <c r="AA335" s="129">
        <f ca="1">IF($C335="S",IF($Z335="CP",$X335,IF($Z335="RA",(($X335)*QCI!$AA$3),0)),SomaAgrup)</f>
        <v>0</v>
      </c>
      <c r="AB335" s="130">
        <f t="shared" ca="1" si="68"/>
        <v>0</v>
      </c>
      <c r="AC335" s="131" t="str">
        <f ca="1">IF($N335="","",IF(ORÇAMENTO.Descricao="","DESCRIÇÃO",IF(AND($C335="S",ORÇAMENTO.Unidade=""),"UNIDADE",IF($X335&lt;0,"VALOR NEGATIVO",IF(OR(AND(TIPOORCAMENTO="Proposto",$AG335&lt;&gt;"",$AG335&gt;0,ORÇAMENTO.CustoUnitario&gt;$AG335),AND(TIPOORCAMENTO="LICITADO",ORÇAMENTO.PrecoUnitarioLicitado&gt;$AN335)),"ACIMA REF.","")))))</f>
        <v/>
      </c>
      <c r="AD335" t="str">
        <f ca="1">IF(C335&lt;=CRONO.NivelExibicao,MAX($AD$15:OFFSET(AD335,-1,0))+IF($C335&lt;&gt;1,1,MAX(1,COUNTIF(QCI!$A$13:$A$24,OFFSET($E335,-1,0)))),"")</f>
        <v/>
      </c>
      <c r="AE335" s="7" t="str">
        <f ca="1">IF(AND($C335="S",ORÇAMENTO.CodBarra&lt;&gt;""),IF(ORÇAMENTO.Fonte="",ORÇAMENTO.CodBarra,CONCATENATE(ORÇAMENTO.Fonte," ",ORÇAMENTO.CodBarra)))</f>
        <v>SINAPI 89728</v>
      </c>
      <c r="AF335" s="13" t="str">
        <f ca="1">IF(ISERROR(INDIRECT(ORÇAMENTO.BancoRef)),"(abra o arquivo 'Referência "&amp;Excel_BuiltIn_Database&amp;".xlsm)",IF(OR($C335&lt;&gt;"S",ORÇAMENTO.CodBarra=""),"(Sem Código)",IF(ISERROR(MATCH($AE335,INDIRECT(ORÇAMENTO.BancoRef),0)),"(Código não identificado nas referências)",MATCH($AE335,INDIRECT(ORÇAMENTO.BancoRef),0))))</f>
        <v>(abra o arquivo 'Referência 06-2024.xlsm)</v>
      </c>
      <c r="AG335" s="498">
        <f ca="1">ROUND(IF(DESONERACAO="sim",REFERENCIA.Desonerado,REFERENCIA.NaoDesonerado),2)</f>
        <v>0</v>
      </c>
      <c r="AH335" s="499">
        <f t="shared" ca="1" si="69"/>
        <v>0.2432</v>
      </c>
      <c r="AJ335" s="501"/>
      <c r="AL335" s="527"/>
      <c r="AM335" s="381">
        <f t="shared" ca="1" si="70"/>
        <v>0</v>
      </c>
      <c r="AN335" s="566">
        <f t="shared" ca="1" si="71"/>
        <v>0</v>
      </c>
    </row>
    <row r="336" spans="1:40" ht="38.25" x14ac:dyDescent="0.2">
      <c r="A336" t="str">
        <f t="shared" si="56"/>
        <v>S</v>
      </c>
      <c r="B336">
        <f t="shared" ca="1" si="57"/>
        <v>2</v>
      </c>
      <c r="C336" t="str">
        <f t="shared" ca="1" si="58"/>
        <v>S</v>
      </c>
      <c r="D336">
        <f t="shared" ca="1" si="59"/>
        <v>0</v>
      </c>
      <c r="E336">
        <f ca="1">IF($C336=1,OFFSET(E336,-1,0)+MAX(1,COUNTIF(QCI!$A$13:$A$24,OFFSET(ORÇAMENTO!E336,-1,0))),OFFSET(E336,-1,0))</f>
        <v>1</v>
      </c>
      <c r="F336">
        <f t="shared" ca="1" si="60"/>
        <v>40</v>
      </c>
      <c r="G336">
        <f t="shared" ca="1" si="61"/>
        <v>0</v>
      </c>
      <c r="H336">
        <f t="shared" ca="1" si="62"/>
        <v>0</v>
      </c>
      <c r="I336">
        <f t="shared" ca="1" si="63"/>
        <v>0</v>
      </c>
      <c r="J336">
        <f t="shared" ref="J336:J399" ca="1" si="89">IF(OR($C336="S",$C336=0),0,MATCH(0,OFFSET($D336,1,$C336,ROW($C$727)-ROW($C336)),0))</f>
        <v>0</v>
      </c>
      <c r="K336">
        <f ca="1">IF(OR($C336="S",$C336=0),0,MATCH(OFFSET($D336,0,$C336)+IF($C336&lt;&gt;1,1,COUNTIF(QCI!$A$13:$A$24,ORÇAMENTO!E336)),OFFSET($D336,1,$C336,ROW($C$727)-ROW($C336)),0))</f>
        <v>0</v>
      </c>
      <c r="L336" s="116" t="str">
        <f t="shared" ca="1" si="64"/>
        <v/>
      </c>
      <c r="M336" s="117" t="s">
        <v>199</v>
      </c>
      <c r="N336" s="118" t="str">
        <f t="shared" ca="1" si="65"/>
        <v>Serviço</v>
      </c>
      <c r="O336" s="119" t="str">
        <f t="shared" ca="1" si="66"/>
        <v>-</v>
      </c>
      <c r="P336" s="120" t="s">
        <v>247</v>
      </c>
      <c r="Q336" s="121" t="s">
        <v>717</v>
      </c>
      <c r="R336" s="122" t="str">
        <f ca="1">IF($C336="S",REFERENCIA.Descricao,"(digite a descrição aqui)")</f>
        <v>(abra o arquivo 'Referência 06-2024.xlsm)</v>
      </c>
      <c r="S336" s="123" t="str">
        <f ca="1">REFERENCIA.Unidade</f>
        <v>-</v>
      </c>
      <c r="T336" s="124">
        <f ca="1">OFFSET(CÁLCULO!H$15,ROW($T336)-ROW(T$15),0)</f>
        <v>8</v>
      </c>
      <c r="U336" s="125">
        <f t="shared" ca="1" si="76"/>
        <v>0</v>
      </c>
      <c r="V336" s="126" t="s">
        <v>156</v>
      </c>
      <c r="W336" s="124">
        <f ca="1">IF($C336="S",ROUND(IF(TIPOORCAMENTO="Proposto",ORÇAMENTO.CustoUnitario*(1+$AH336),ORÇAMENTO.PrecoUnitarioLicitado),15-13*$AF$10),0)</f>
        <v>0</v>
      </c>
      <c r="X336" s="127">
        <f ca="1">IF($C336="S",IF(Import.TipoArredondamento&lt;&gt;"TransfereGOV",VTOTAL1,SUM(OFFSET(CÁLCULO!$AI$15,ROW($X336)-ROW($X$15),1):OFFSET(CÁLCULO!$BB$15,ROW($X336)-ROW($X$15),-1))),IF($C336=0,0,ROUND(SomaAgrup,15-13*$AF$11)))</f>
        <v>0</v>
      </c>
      <c r="Y336" s="128" t="s">
        <v>245</v>
      </c>
      <c r="Z336" t="str">
        <f t="shared" ca="1" si="67"/>
        <v/>
      </c>
      <c r="AA336" s="129">
        <f ca="1">IF($C336="S",IF($Z336="CP",$X336,IF($Z336="RA",(($X336)*QCI!$AA$3),0)),SomaAgrup)</f>
        <v>0</v>
      </c>
      <c r="AB336" s="130">
        <f t="shared" ca="1" si="68"/>
        <v>0</v>
      </c>
      <c r="AC336" s="131" t="str">
        <f ca="1">IF($N336="","",IF(ORÇAMENTO.Descricao="","DESCRIÇÃO",IF(AND($C336="S",ORÇAMENTO.Unidade=""),"UNIDADE",IF($X336&lt;0,"VALOR NEGATIVO",IF(OR(AND(TIPOORCAMENTO="Proposto",$AG336&lt;&gt;"",$AG336&gt;0,ORÇAMENTO.CustoUnitario&gt;$AG336),AND(TIPOORCAMENTO="LICITADO",ORÇAMENTO.PrecoUnitarioLicitado&gt;$AN336)),"ACIMA REF.","")))))</f>
        <v/>
      </c>
      <c r="AD336" t="str">
        <f ca="1">IF(C336&lt;=CRONO.NivelExibicao,MAX($AD$15:OFFSET(AD336,-1,0))+IF($C336&lt;&gt;1,1,MAX(1,COUNTIF(QCI!$A$13:$A$24,OFFSET($E336,-1,0)))),"")</f>
        <v/>
      </c>
      <c r="AE336" s="7" t="str">
        <f ca="1">IF(AND($C336="S",ORÇAMENTO.CodBarra&lt;&gt;""),IF(ORÇAMENTO.Fonte="",ORÇAMENTO.CodBarra,CONCATENATE(ORÇAMENTO.Fonte," ",ORÇAMENTO.CodBarra)))</f>
        <v>SINAPI 89803</v>
      </c>
      <c r="AF336" s="13" t="str">
        <f ca="1">IF(ISERROR(INDIRECT(ORÇAMENTO.BancoRef)),"(abra o arquivo 'Referência "&amp;Excel_BuiltIn_Database&amp;".xlsm)",IF(OR($C336&lt;&gt;"S",ORÇAMENTO.CodBarra=""),"(Sem Código)",IF(ISERROR(MATCH($AE336,INDIRECT(ORÇAMENTO.BancoRef),0)),"(Código não identificado nas referências)",MATCH($AE336,INDIRECT(ORÇAMENTO.BancoRef),0))))</f>
        <v>(abra o arquivo 'Referência 06-2024.xlsm)</v>
      </c>
      <c r="AG336" s="498">
        <f ca="1">ROUND(IF(DESONERACAO="sim",REFERENCIA.Desonerado,REFERENCIA.NaoDesonerado),2)</f>
        <v>0</v>
      </c>
      <c r="AH336" s="499">
        <f t="shared" ca="1" si="69"/>
        <v>0.2432</v>
      </c>
      <c r="AJ336" s="501"/>
      <c r="AL336" s="527"/>
      <c r="AM336" s="381">
        <f t="shared" ca="1" si="70"/>
        <v>0</v>
      </c>
      <c r="AN336" s="566">
        <f t="shared" ca="1" si="71"/>
        <v>0</v>
      </c>
    </row>
    <row r="337" spans="1:40" ht="25.5" x14ac:dyDescent="0.2">
      <c r="A337" t="str">
        <f t="shared" si="56"/>
        <v>S</v>
      </c>
      <c r="B337">
        <f t="shared" ca="1" si="57"/>
        <v>2</v>
      </c>
      <c r="C337" t="str">
        <f t="shared" ca="1" si="58"/>
        <v>S</v>
      </c>
      <c r="D337">
        <f t="shared" ca="1" si="59"/>
        <v>0</v>
      </c>
      <c r="E337">
        <f ca="1">IF($C337=1,OFFSET(E337,-1,0)+MAX(1,COUNTIF(QCI!$A$13:$A$24,OFFSET(ORÇAMENTO!E337,-1,0))),OFFSET(E337,-1,0))</f>
        <v>1</v>
      </c>
      <c r="F337">
        <f t="shared" ca="1" si="60"/>
        <v>40</v>
      </c>
      <c r="G337">
        <f t="shared" ca="1" si="61"/>
        <v>0</v>
      </c>
      <c r="H337">
        <f t="shared" ca="1" si="62"/>
        <v>0</v>
      </c>
      <c r="I337">
        <f t="shared" ca="1" si="63"/>
        <v>0</v>
      </c>
      <c r="J337">
        <f t="shared" ca="1" si="89"/>
        <v>0</v>
      </c>
      <c r="K337">
        <f ca="1">IF(OR($C337="S",$C337=0),0,MATCH(OFFSET($D337,0,$C337)+IF($C337&lt;&gt;1,1,COUNTIF(QCI!$A$13:$A$24,ORÇAMENTO!E337)),OFFSET($D337,1,$C337,ROW($C$727)-ROW($C337)),0))</f>
        <v>0</v>
      </c>
      <c r="L337" s="116" t="str">
        <f t="shared" ca="1" si="64"/>
        <v/>
      </c>
      <c r="M337" s="117" t="s">
        <v>199</v>
      </c>
      <c r="N337" s="118" t="str">
        <f t="shared" ca="1" si="65"/>
        <v>Serviço</v>
      </c>
      <c r="O337" s="119" t="str">
        <f t="shared" ca="1" si="66"/>
        <v>-</v>
      </c>
      <c r="P337" s="120" t="s">
        <v>247</v>
      </c>
      <c r="Q337" s="121" t="s">
        <v>718</v>
      </c>
      <c r="R337" s="122" t="str">
        <f ca="1">IF($C337="S",REFERENCIA.Descricao,"(digite a descrição aqui)")</f>
        <v>(abra o arquivo 'Referência 06-2024.xlsm)</v>
      </c>
      <c r="S337" s="123" t="str">
        <f ca="1">REFERENCIA.Unidade</f>
        <v>-</v>
      </c>
      <c r="T337" s="124">
        <f ca="1">OFFSET(CÁLCULO!H$15,ROW($T337)-ROW(T$15),0)</f>
        <v>5</v>
      </c>
      <c r="U337" s="125">
        <f t="shared" ca="1" si="76"/>
        <v>0</v>
      </c>
      <c r="V337" s="126" t="s">
        <v>156</v>
      </c>
      <c r="W337" s="124">
        <f ca="1">IF($C337="S",ROUND(IF(TIPOORCAMENTO="Proposto",ORÇAMENTO.CustoUnitario*(1+$AH337),ORÇAMENTO.PrecoUnitarioLicitado),15-13*$AF$10),0)</f>
        <v>0</v>
      </c>
      <c r="X337" s="127">
        <f ca="1">IF($C337="S",IF(Import.TipoArredondamento&lt;&gt;"TransfereGOV",VTOTAL1,SUM(OFFSET(CÁLCULO!$AI$15,ROW($X337)-ROW($X$15),1):OFFSET(CÁLCULO!$BB$15,ROW($X337)-ROW($X$15),-1))),IF($C337=0,0,ROUND(SomaAgrup,15-13*$AF$11)))</f>
        <v>0</v>
      </c>
      <c r="Y337" s="128" t="s">
        <v>245</v>
      </c>
      <c r="Z337" t="str">
        <f t="shared" ca="1" si="67"/>
        <v/>
      </c>
      <c r="AA337" s="129">
        <f ca="1">IF($C337="S",IF($Z337="CP",$X337,IF($Z337="RA",(($X337)*QCI!$AA$3),0)),SomaAgrup)</f>
        <v>0</v>
      </c>
      <c r="AB337" s="130">
        <f t="shared" ca="1" si="68"/>
        <v>0</v>
      </c>
      <c r="AC337" s="131" t="str">
        <f ca="1">IF($N337="","",IF(ORÇAMENTO.Descricao="","DESCRIÇÃO",IF(AND($C337="S",ORÇAMENTO.Unidade=""),"UNIDADE",IF($X337&lt;0,"VALOR NEGATIVO",IF(OR(AND(TIPOORCAMENTO="Proposto",$AG337&lt;&gt;"",$AG337&gt;0,ORÇAMENTO.CustoUnitario&gt;$AG337),AND(TIPOORCAMENTO="LICITADO",ORÇAMENTO.PrecoUnitarioLicitado&gt;$AN337)),"ACIMA REF.","")))))</f>
        <v/>
      </c>
      <c r="AD337" t="str">
        <f ca="1">IF(C337&lt;=CRONO.NivelExibicao,MAX($AD$15:OFFSET(AD337,-1,0))+IF($C337&lt;&gt;1,1,MAX(1,COUNTIF(QCI!$A$13:$A$24,OFFSET($E337,-1,0)))),"")</f>
        <v/>
      </c>
      <c r="AE337" s="7" t="str">
        <f ca="1">IF(AND($C337="S",ORÇAMENTO.CodBarra&lt;&gt;""),IF(ORÇAMENTO.Fonte="",ORÇAMENTO.CodBarra,CONCATENATE(ORÇAMENTO.Fonte," ",ORÇAMENTO.CodBarra)))</f>
        <v>SINAPI 104063</v>
      </c>
      <c r="AF337" s="13" t="str">
        <f ca="1">IF(ISERROR(INDIRECT(ORÇAMENTO.BancoRef)),"(abra o arquivo 'Referência "&amp;Excel_BuiltIn_Database&amp;".xlsm)",IF(OR($C337&lt;&gt;"S",ORÇAMENTO.CodBarra=""),"(Sem Código)",IF(ISERROR(MATCH($AE337,INDIRECT(ORÇAMENTO.BancoRef),0)),"(Código não identificado nas referências)",MATCH($AE337,INDIRECT(ORÇAMENTO.BancoRef),0))))</f>
        <v>(abra o arquivo 'Referência 06-2024.xlsm)</v>
      </c>
      <c r="AG337" s="498">
        <f ca="1">ROUND(IF(DESONERACAO="sim",REFERENCIA.Desonerado,REFERENCIA.NaoDesonerado),2)</f>
        <v>0</v>
      </c>
      <c r="AH337" s="499">
        <f t="shared" ca="1" si="69"/>
        <v>0.2432</v>
      </c>
      <c r="AJ337" s="501"/>
      <c r="AL337" s="527"/>
      <c r="AM337" s="381">
        <f t="shared" ca="1" si="70"/>
        <v>0</v>
      </c>
      <c r="AN337" s="566">
        <f t="shared" ca="1" si="71"/>
        <v>0</v>
      </c>
    </row>
    <row r="338" spans="1:40" ht="38.25" x14ac:dyDescent="0.2">
      <c r="A338" t="str">
        <f t="shared" si="56"/>
        <v>S</v>
      </c>
      <c r="B338">
        <f t="shared" ca="1" si="57"/>
        <v>2</v>
      </c>
      <c r="C338" t="str">
        <f t="shared" ca="1" si="58"/>
        <v>S</v>
      </c>
      <c r="D338">
        <f t="shared" ca="1" si="59"/>
        <v>0</v>
      </c>
      <c r="E338">
        <f ca="1">IF($C338=1,OFFSET(E338,-1,0)+MAX(1,COUNTIF(QCI!$A$13:$A$24,OFFSET(ORÇAMENTO!E338,-1,0))),OFFSET(E338,-1,0))</f>
        <v>1</v>
      </c>
      <c r="F338">
        <f t="shared" ca="1" si="60"/>
        <v>40</v>
      </c>
      <c r="G338">
        <f t="shared" ca="1" si="61"/>
        <v>0</v>
      </c>
      <c r="H338">
        <f t="shared" ca="1" si="62"/>
        <v>0</v>
      </c>
      <c r="I338">
        <f t="shared" ca="1" si="63"/>
        <v>0</v>
      </c>
      <c r="J338">
        <f t="shared" ca="1" si="89"/>
        <v>0</v>
      </c>
      <c r="K338">
        <f ca="1">IF(OR($C338="S",$C338=0),0,MATCH(OFFSET($D338,0,$C338)+IF($C338&lt;&gt;1,1,COUNTIF(QCI!$A$13:$A$24,ORÇAMENTO!E338)),OFFSET($D338,1,$C338,ROW($C$727)-ROW($C338)),0))</f>
        <v>0</v>
      </c>
      <c r="L338" s="116" t="str">
        <f t="shared" ca="1" si="64"/>
        <v/>
      </c>
      <c r="M338" s="117" t="s">
        <v>199</v>
      </c>
      <c r="N338" s="118" t="str">
        <f t="shared" ca="1" si="65"/>
        <v>Serviço</v>
      </c>
      <c r="O338" s="119" t="str">
        <f t="shared" ca="1" si="66"/>
        <v>-</v>
      </c>
      <c r="P338" s="120" t="s">
        <v>458</v>
      </c>
      <c r="Q338" s="121" t="s">
        <v>719</v>
      </c>
      <c r="R338" s="122" t="str">
        <f ca="1">IF($C338="S",REFERENCIA.Descricao,"(digite a descrição aqui)")</f>
        <v>(abra o arquivo 'Referência 06-2024.xlsm)</v>
      </c>
      <c r="S338" s="123" t="str">
        <f ca="1">REFERENCIA.Unidade</f>
        <v>-</v>
      </c>
      <c r="T338" s="124">
        <f ca="1">OFFSET(CÁLCULO!H$15,ROW($T338)-ROW(T$15),0)</f>
        <v>3</v>
      </c>
      <c r="U338" s="125">
        <f t="shared" ca="1" si="76"/>
        <v>0</v>
      </c>
      <c r="V338" s="126" t="s">
        <v>156</v>
      </c>
      <c r="W338" s="124">
        <f ca="1">IF($C338="S",ROUND(IF(TIPOORCAMENTO="Proposto",ORÇAMENTO.CustoUnitario*(1+$AH338),ORÇAMENTO.PrecoUnitarioLicitado),15-13*$AF$10),0)</f>
        <v>0</v>
      </c>
      <c r="X338" s="127">
        <f ca="1">IF($C338="S",IF(Import.TipoArredondamento&lt;&gt;"TransfereGOV",VTOTAL1,SUM(OFFSET(CÁLCULO!$AI$15,ROW($X338)-ROW($X$15),1):OFFSET(CÁLCULO!$BB$15,ROW($X338)-ROW($X$15),-1))),IF($C338=0,0,ROUND(SomaAgrup,15-13*$AF$11)))</f>
        <v>0</v>
      </c>
      <c r="Y338" s="128" t="s">
        <v>245</v>
      </c>
      <c r="Z338" t="str">
        <f t="shared" ca="1" si="67"/>
        <v/>
      </c>
      <c r="AA338" s="129">
        <f ca="1">IF($C338="S",IF($Z338="CP",$X338,IF($Z338="RA",(($X338)*QCI!$AA$3),0)),SomaAgrup)</f>
        <v>0</v>
      </c>
      <c r="AB338" s="130">
        <f t="shared" ca="1" si="68"/>
        <v>0</v>
      </c>
      <c r="AC338" s="131" t="str">
        <f ca="1">IF($N338="","",IF(ORÇAMENTO.Descricao="","DESCRIÇÃO",IF(AND($C338="S",ORÇAMENTO.Unidade=""),"UNIDADE",IF($X338&lt;0,"VALOR NEGATIVO",IF(OR(AND(TIPOORCAMENTO="Proposto",$AG338&lt;&gt;"",$AG338&gt;0,ORÇAMENTO.CustoUnitario&gt;$AG338),AND(TIPOORCAMENTO="LICITADO",ORÇAMENTO.PrecoUnitarioLicitado&gt;$AN338)),"ACIMA REF.","")))))</f>
        <v/>
      </c>
      <c r="AD338" t="str">
        <f ca="1">IF(C338&lt;=CRONO.NivelExibicao,MAX($AD$15:OFFSET(AD338,-1,0))+IF($C338&lt;&gt;1,1,MAX(1,COUNTIF(QCI!$A$13:$A$24,OFFSET($E338,-1,0)))),"")</f>
        <v/>
      </c>
      <c r="AE338" s="7" t="str">
        <f ca="1">IF(AND($C338="S",ORÇAMENTO.CodBarra&lt;&gt;""),IF(ORÇAMENTO.Fonte="",ORÇAMENTO.CodBarra,CONCATENATE(ORÇAMENTO.Fonte," ",ORÇAMENTO.CodBarra)))</f>
        <v>COMPOSIÇÃO FNDE 417</v>
      </c>
      <c r="AF338" s="13" t="str">
        <f ca="1">IF(ISERROR(INDIRECT(ORÇAMENTO.BancoRef)),"(abra o arquivo 'Referência "&amp;Excel_BuiltIn_Database&amp;".xlsm)",IF(OR($C338&lt;&gt;"S",ORÇAMENTO.CodBarra=""),"(Sem Código)",IF(ISERROR(MATCH($AE338,INDIRECT(ORÇAMENTO.BancoRef),0)),"(Código não identificado nas referências)",MATCH($AE338,INDIRECT(ORÇAMENTO.BancoRef),0))))</f>
        <v>(abra o arquivo 'Referência 06-2024.xlsm)</v>
      </c>
      <c r="AG338" s="498">
        <f ca="1">ROUND(IF(DESONERACAO="sim",REFERENCIA.Desonerado,REFERENCIA.NaoDesonerado),2)</f>
        <v>0</v>
      </c>
      <c r="AH338" s="499">
        <f t="shared" ca="1" si="69"/>
        <v>0.2432</v>
      </c>
      <c r="AJ338" s="501"/>
      <c r="AL338" s="527"/>
      <c r="AM338" s="381">
        <f t="shared" ca="1" si="70"/>
        <v>0</v>
      </c>
      <c r="AN338" s="566">
        <f t="shared" ca="1" si="71"/>
        <v>0</v>
      </c>
    </row>
    <row r="339" spans="1:40" ht="38.25" x14ac:dyDescent="0.2">
      <c r="A339" t="str">
        <f t="shared" si="56"/>
        <v>S</v>
      </c>
      <c r="B339">
        <f t="shared" ca="1" si="57"/>
        <v>2</v>
      </c>
      <c r="C339" t="str">
        <f t="shared" ca="1" si="58"/>
        <v>S</v>
      </c>
      <c r="D339">
        <f t="shared" ca="1" si="59"/>
        <v>0</v>
      </c>
      <c r="E339">
        <f ca="1">IF($C339=1,OFFSET(E339,-1,0)+MAX(1,COUNTIF(QCI!$A$13:$A$24,OFFSET(ORÇAMENTO!E339,-1,0))),OFFSET(E339,-1,0))</f>
        <v>1</v>
      </c>
      <c r="F339">
        <f t="shared" ca="1" si="60"/>
        <v>40</v>
      </c>
      <c r="G339">
        <f t="shared" ca="1" si="61"/>
        <v>0</v>
      </c>
      <c r="H339">
        <f t="shared" ca="1" si="62"/>
        <v>0</v>
      </c>
      <c r="I339">
        <f t="shared" ca="1" si="63"/>
        <v>0</v>
      </c>
      <c r="J339">
        <f t="shared" ca="1" si="89"/>
        <v>0</v>
      </c>
      <c r="K339">
        <f ca="1">IF(OR($C339="S",$C339=0),0,MATCH(OFFSET($D339,0,$C339)+IF($C339&lt;&gt;1,1,COUNTIF(QCI!$A$13:$A$24,ORÇAMENTO!E339)),OFFSET($D339,1,$C339,ROW($C$727)-ROW($C339)),0))</f>
        <v>0</v>
      </c>
      <c r="L339" s="116" t="str">
        <f t="shared" ca="1" si="64"/>
        <v/>
      </c>
      <c r="M339" s="117" t="s">
        <v>199</v>
      </c>
      <c r="N339" s="118" t="str">
        <f t="shared" ca="1" si="65"/>
        <v>Serviço</v>
      </c>
      <c r="O339" s="119" t="str">
        <f t="shared" ca="1" si="66"/>
        <v>-</v>
      </c>
      <c r="P339" s="120" t="s">
        <v>247</v>
      </c>
      <c r="Q339" s="121" t="s">
        <v>720</v>
      </c>
      <c r="R339" s="122" t="str">
        <f ca="1">IF($C339="S",REFERENCIA.Descricao,"(digite a descrição aqui)")</f>
        <v>(abra o arquivo 'Referência 06-2024.xlsm)</v>
      </c>
      <c r="S339" s="123" t="str">
        <f ca="1">REFERENCIA.Unidade</f>
        <v>-</v>
      </c>
      <c r="T339" s="124">
        <f ca="1">OFFSET(CÁLCULO!H$15,ROW($T339)-ROW(T$15),0)</f>
        <v>13</v>
      </c>
      <c r="U339" s="125">
        <f t="shared" ca="1" si="76"/>
        <v>0</v>
      </c>
      <c r="V339" s="126" t="s">
        <v>156</v>
      </c>
      <c r="W339" s="124">
        <f ca="1">IF($C339="S",ROUND(IF(TIPOORCAMENTO="Proposto",ORÇAMENTO.CustoUnitario*(1+$AH339),ORÇAMENTO.PrecoUnitarioLicitado),15-13*$AF$10),0)</f>
        <v>0</v>
      </c>
      <c r="X339" s="127">
        <f ca="1">IF($C339="S",IF(Import.TipoArredondamento&lt;&gt;"TransfereGOV",VTOTAL1,SUM(OFFSET(CÁLCULO!$AI$15,ROW($X339)-ROW($X$15),1):OFFSET(CÁLCULO!$BB$15,ROW($X339)-ROW($X$15),-1))),IF($C339=0,0,ROUND(SomaAgrup,15-13*$AF$11)))</f>
        <v>0</v>
      </c>
      <c r="Y339" s="128" t="s">
        <v>245</v>
      </c>
      <c r="Z339" t="str">
        <f t="shared" ca="1" si="67"/>
        <v/>
      </c>
      <c r="AA339" s="129">
        <f ca="1">IF($C339="S",IF($Z339="CP",$X339,IF($Z339="RA",(($X339)*QCI!$AA$3),0)),SomaAgrup)</f>
        <v>0</v>
      </c>
      <c r="AB339" s="130">
        <f t="shared" ca="1" si="68"/>
        <v>0</v>
      </c>
      <c r="AC339" s="131" t="str">
        <f ca="1">IF($N339="","",IF(ORÇAMENTO.Descricao="","DESCRIÇÃO",IF(AND($C339="S",ORÇAMENTO.Unidade=""),"UNIDADE",IF($X339&lt;0,"VALOR NEGATIVO",IF(OR(AND(TIPOORCAMENTO="Proposto",$AG339&lt;&gt;"",$AG339&gt;0,ORÇAMENTO.CustoUnitario&gt;$AG339),AND(TIPOORCAMENTO="LICITADO",ORÇAMENTO.PrecoUnitarioLicitado&gt;$AN339)),"ACIMA REF.","")))))</f>
        <v/>
      </c>
      <c r="AD339" t="str">
        <f ca="1">IF(C339&lt;=CRONO.NivelExibicao,MAX($AD$15:OFFSET(AD339,-1,0))+IF($C339&lt;&gt;1,1,MAX(1,COUNTIF(QCI!$A$13:$A$24,OFFSET($E339,-1,0)))),"")</f>
        <v/>
      </c>
      <c r="AE339" s="7" t="str">
        <f ca="1">IF(AND($C339="S",ORÇAMENTO.CodBarra&lt;&gt;""),IF(ORÇAMENTO.Fonte="",ORÇAMENTO.CodBarra,CONCATENATE(ORÇAMENTO.Fonte," ",ORÇAMENTO.CodBarra)))</f>
        <v>SINAPI 89834</v>
      </c>
      <c r="AF339" s="13" t="str">
        <f ca="1">IF(ISERROR(INDIRECT(ORÇAMENTO.BancoRef)),"(abra o arquivo 'Referência "&amp;Excel_BuiltIn_Database&amp;".xlsm)",IF(OR($C339&lt;&gt;"S",ORÇAMENTO.CodBarra=""),"(Sem Código)",IF(ISERROR(MATCH($AE339,INDIRECT(ORÇAMENTO.BancoRef),0)),"(Código não identificado nas referências)",MATCH($AE339,INDIRECT(ORÇAMENTO.BancoRef),0))))</f>
        <v>(abra o arquivo 'Referência 06-2024.xlsm)</v>
      </c>
      <c r="AG339" s="498">
        <f ca="1">ROUND(IF(DESONERACAO="sim",REFERENCIA.Desonerado,REFERENCIA.NaoDesonerado),2)</f>
        <v>0</v>
      </c>
      <c r="AH339" s="499">
        <f t="shared" ca="1" si="69"/>
        <v>0.2432</v>
      </c>
      <c r="AJ339" s="501"/>
      <c r="AL339" s="527"/>
      <c r="AM339" s="381">
        <f t="shared" ca="1" si="70"/>
        <v>0</v>
      </c>
      <c r="AN339" s="566">
        <f t="shared" ca="1" si="71"/>
        <v>0</v>
      </c>
    </row>
    <row r="340" spans="1:40" ht="38.25" x14ac:dyDescent="0.2">
      <c r="A340" t="str">
        <f t="shared" si="56"/>
        <v>S</v>
      </c>
      <c r="B340">
        <f t="shared" ca="1" si="57"/>
        <v>2</v>
      </c>
      <c r="C340" t="str">
        <f t="shared" ca="1" si="58"/>
        <v>S</v>
      </c>
      <c r="D340">
        <f t="shared" ca="1" si="59"/>
        <v>0</v>
      </c>
      <c r="E340">
        <f ca="1">IF($C340=1,OFFSET(E340,-1,0)+MAX(1,COUNTIF(QCI!$A$13:$A$24,OFFSET(ORÇAMENTO!E340,-1,0))),OFFSET(E340,-1,0))</f>
        <v>1</v>
      </c>
      <c r="F340">
        <f t="shared" ca="1" si="60"/>
        <v>40</v>
      </c>
      <c r="G340">
        <f t="shared" ca="1" si="61"/>
        <v>0</v>
      </c>
      <c r="H340">
        <f t="shared" ca="1" si="62"/>
        <v>0</v>
      </c>
      <c r="I340">
        <f t="shared" ca="1" si="63"/>
        <v>0</v>
      </c>
      <c r="J340">
        <f t="shared" ca="1" si="89"/>
        <v>0</v>
      </c>
      <c r="K340">
        <f ca="1">IF(OR($C340="S",$C340=0),0,MATCH(OFFSET($D340,0,$C340)+IF($C340&lt;&gt;1,1,COUNTIF(QCI!$A$13:$A$24,ORÇAMENTO!E340)),OFFSET($D340,1,$C340,ROW($C$727)-ROW($C340)),0))</f>
        <v>0</v>
      </c>
      <c r="L340" s="116" t="str">
        <f t="shared" ca="1" si="64"/>
        <v/>
      </c>
      <c r="M340" s="117" t="s">
        <v>199</v>
      </c>
      <c r="N340" s="118" t="str">
        <f t="shared" ca="1" si="65"/>
        <v>Serviço</v>
      </c>
      <c r="O340" s="119" t="str">
        <f t="shared" ca="1" si="66"/>
        <v>-</v>
      </c>
      <c r="P340" s="120" t="s">
        <v>247</v>
      </c>
      <c r="Q340" s="121" t="s">
        <v>721</v>
      </c>
      <c r="R340" s="122" t="str">
        <f ca="1">IF($C340="S",REFERENCIA.Descricao,"(digite a descrição aqui)")</f>
        <v>(abra o arquivo 'Referência 06-2024.xlsm)</v>
      </c>
      <c r="S340" s="123" t="str">
        <f ca="1">REFERENCIA.Unidade</f>
        <v>-</v>
      </c>
      <c r="T340" s="124">
        <f ca="1">OFFSET(CÁLCULO!H$15,ROW($T340)-ROW(T$15),0)</f>
        <v>21</v>
      </c>
      <c r="U340" s="125">
        <f t="shared" ca="1" si="76"/>
        <v>0</v>
      </c>
      <c r="V340" s="126" t="s">
        <v>156</v>
      </c>
      <c r="W340" s="124">
        <f ca="1">IF($C340="S",ROUND(IF(TIPOORCAMENTO="Proposto",ORÇAMENTO.CustoUnitario*(1+$AH340),ORÇAMENTO.PrecoUnitarioLicitado),15-13*$AF$10),0)</f>
        <v>0</v>
      </c>
      <c r="X340" s="127">
        <f ca="1">IF($C340="S",IF(Import.TipoArredondamento&lt;&gt;"TransfereGOV",VTOTAL1,SUM(OFFSET(CÁLCULO!$AI$15,ROW($X340)-ROW($X$15),1):OFFSET(CÁLCULO!$BB$15,ROW($X340)-ROW($X$15),-1))),IF($C340=0,0,ROUND(SomaAgrup,15-13*$AF$11)))</f>
        <v>0</v>
      </c>
      <c r="Y340" s="128" t="s">
        <v>245</v>
      </c>
      <c r="Z340" t="str">
        <f t="shared" ca="1" si="67"/>
        <v/>
      </c>
      <c r="AA340" s="129">
        <f ca="1">IF($C340="S",IF($Z340="CP",$X340,IF($Z340="RA",(($X340)*QCI!$AA$3),0)),SomaAgrup)</f>
        <v>0</v>
      </c>
      <c r="AB340" s="130">
        <f t="shared" ca="1" si="68"/>
        <v>0</v>
      </c>
      <c r="AC340" s="131" t="str">
        <f ca="1">IF($N340="","",IF(ORÇAMENTO.Descricao="","DESCRIÇÃO",IF(AND($C340="S",ORÇAMENTO.Unidade=""),"UNIDADE",IF($X340&lt;0,"VALOR NEGATIVO",IF(OR(AND(TIPOORCAMENTO="Proposto",$AG340&lt;&gt;"",$AG340&gt;0,ORÇAMENTO.CustoUnitario&gt;$AG340),AND(TIPOORCAMENTO="LICITADO",ORÇAMENTO.PrecoUnitarioLicitado&gt;$AN340)),"ACIMA REF.","")))))</f>
        <v/>
      </c>
      <c r="AD340" t="str">
        <f ca="1">IF(C340&lt;=CRONO.NivelExibicao,MAX($AD$15:OFFSET(AD340,-1,0))+IF($C340&lt;&gt;1,1,MAX(1,COUNTIF(QCI!$A$13:$A$24,OFFSET($E340,-1,0)))),"")</f>
        <v/>
      </c>
      <c r="AE340" s="7" t="str">
        <f ca="1">IF(AND($C340="S",ORÇAMENTO.CodBarra&lt;&gt;""),IF(ORÇAMENTO.Fonte="",ORÇAMENTO.CodBarra,CONCATENATE(ORÇAMENTO.Fonte," ",ORÇAMENTO.CodBarra)))</f>
        <v>SINAPI 89827</v>
      </c>
      <c r="AF340" s="13" t="str">
        <f ca="1">IF(ISERROR(INDIRECT(ORÇAMENTO.BancoRef)),"(abra o arquivo 'Referência "&amp;Excel_BuiltIn_Database&amp;".xlsm)",IF(OR($C340&lt;&gt;"S",ORÇAMENTO.CodBarra=""),"(Sem Código)",IF(ISERROR(MATCH($AE340,INDIRECT(ORÇAMENTO.BancoRef),0)),"(Código não identificado nas referências)",MATCH($AE340,INDIRECT(ORÇAMENTO.BancoRef),0))))</f>
        <v>(abra o arquivo 'Referência 06-2024.xlsm)</v>
      </c>
      <c r="AG340" s="498">
        <f ca="1">ROUND(IF(DESONERACAO="sim",REFERENCIA.Desonerado,REFERENCIA.NaoDesonerado),2)</f>
        <v>0</v>
      </c>
      <c r="AH340" s="499">
        <f t="shared" ca="1" si="69"/>
        <v>0.2432</v>
      </c>
      <c r="AJ340" s="501"/>
      <c r="AL340" s="527"/>
      <c r="AM340" s="381">
        <f t="shared" ca="1" si="70"/>
        <v>0</v>
      </c>
      <c r="AN340" s="566">
        <f t="shared" ca="1" si="71"/>
        <v>0</v>
      </c>
    </row>
    <row r="341" spans="1:40" ht="38.25" x14ac:dyDescent="0.2">
      <c r="A341" t="str">
        <f t="shared" si="56"/>
        <v>S</v>
      </c>
      <c r="B341">
        <f t="shared" ca="1" si="57"/>
        <v>2</v>
      </c>
      <c r="C341" t="str">
        <f t="shared" ca="1" si="58"/>
        <v>S</v>
      </c>
      <c r="D341">
        <f t="shared" ca="1" si="59"/>
        <v>0</v>
      </c>
      <c r="E341">
        <f ca="1">IF($C341=1,OFFSET(E341,-1,0)+MAX(1,COUNTIF(QCI!$A$13:$A$24,OFFSET(ORÇAMENTO!E341,-1,0))),OFFSET(E341,-1,0))</f>
        <v>1</v>
      </c>
      <c r="F341">
        <f t="shared" ca="1" si="60"/>
        <v>40</v>
      </c>
      <c r="G341">
        <f t="shared" ca="1" si="61"/>
        <v>0</v>
      </c>
      <c r="H341">
        <f t="shared" ca="1" si="62"/>
        <v>0</v>
      </c>
      <c r="I341">
        <f t="shared" ca="1" si="63"/>
        <v>0</v>
      </c>
      <c r="J341">
        <f t="shared" ca="1" si="89"/>
        <v>0</v>
      </c>
      <c r="K341">
        <f ca="1">IF(OR($C341="S",$C341=0),0,MATCH(OFFSET($D341,0,$C341)+IF($C341&lt;&gt;1,1,COUNTIF(QCI!$A$13:$A$24,ORÇAMENTO!E341)),OFFSET($D341,1,$C341,ROW($C$727)-ROW($C341)),0))</f>
        <v>0</v>
      </c>
      <c r="L341" s="116" t="str">
        <f t="shared" ca="1" si="64"/>
        <v/>
      </c>
      <c r="M341" s="117" t="s">
        <v>199</v>
      </c>
      <c r="N341" s="118" t="str">
        <f t="shared" ca="1" si="65"/>
        <v>Serviço</v>
      </c>
      <c r="O341" s="119" t="str">
        <f t="shared" ca="1" si="66"/>
        <v>-</v>
      </c>
      <c r="P341" s="120" t="s">
        <v>247</v>
      </c>
      <c r="Q341" s="121" t="s">
        <v>722</v>
      </c>
      <c r="R341" s="122" t="str">
        <f ca="1">IF($C341="S",REFERENCIA.Descricao,"(digite a descrição aqui)")</f>
        <v>(abra o arquivo 'Referência 06-2024.xlsm)</v>
      </c>
      <c r="S341" s="123" t="str">
        <f ca="1">REFERENCIA.Unidade</f>
        <v>-</v>
      </c>
      <c r="T341" s="124">
        <f ca="1">OFFSET(CÁLCULO!H$15,ROW($T341)-ROW(T$15),0)</f>
        <v>9</v>
      </c>
      <c r="U341" s="125">
        <f t="shared" ca="1" si="76"/>
        <v>0</v>
      </c>
      <c r="V341" s="126" t="s">
        <v>156</v>
      </c>
      <c r="W341" s="124">
        <f ca="1">IF($C341="S",ROUND(IF(TIPOORCAMENTO="Proposto",ORÇAMENTO.CustoUnitario*(1+$AH341),ORÇAMENTO.PrecoUnitarioLicitado),15-13*$AF$10),0)</f>
        <v>0</v>
      </c>
      <c r="X341" s="127">
        <f ca="1">IF($C341="S",IF(Import.TipoArredondamento&lt;&gt;"TransfereGOV",VTOTAL1,SUM(OFFSET(CÁLCULO!$AI$15,ROW($X341)-ROW($X$15),1):OFFSET(CÁLCULO!$BB$15,ROW($X341)-ROW($X$15),-1))),IF($C341=0,0,ROUND(SomaAgrup,15-13*$AF$11)))</f>
        <v>0</v>
      </c>
      <c r="Y341" s="128" t="s">
        <v>245</v>
      </c>
      <c r="Z341" t="str">
        <f t="shared" ca="1" si="67"/>
        <v/>
      </c>
      <c r="AA341" s="129">
        <f ca="1">IF($C341="S",IF($Z341="CP",$X341,IF($Z341="RA",(($X341)*QCI!$AA$3),0)),SomaAgrup)</f>
        <v>0</v>
      </c>
      <c r="AB341" s="130">
        <f t="shared" ca="1" si="68"/>
        <v>0</v>
      </c>
      <c r="AC341" s="131" t="str">
        <f ca="1">IF($N341="","",IF(ORÇAMENTO.Descricao="","DESCRIÇÃO",IF(AND($C341="S",ORÇAMENTO.Unidade=""),"UNIDADE",IF($X341&lt;0,"VALOR NEGATIVO",IF(OR(AND(TIPOORCAMENTO="Proposto",$AG341&lt;&gt;"",$AG341&gt;0,ORÇAMENTO.CustoUnitario&gt;$AG341),AND(TIPOORCAMENTO="LICITADO",ORÇAMENTO.PrecoUnitarioLicitado&gt;$AN341)),"ACIMA REF.","")))))</f>
        <v/>
      </c>
      <c r="AD341" t="str">
        <f ca="1">IF(C341&lt;=CRONO.NivelExibicao,MAX($AD$15:OFFSET(AD341,-1,0))+IF($C341&lt;&gt;1,1,MAX(1,COUNTIF(QCI!$A$13:$A$24,OFFSET($E341,-1,0)))),"")</f>
        <v/>
      </c>
      <c r="AE341" s="7" t="str">
        <f ca="1">IF(AND($C341="S",ORÇAMENTO.CodBarra&lt;&gt;""),IF(ORÇAMENTO.Fonte="",ORÇAMENTO.CodBarra,CONCATENATE(ORÇAMENTO.Fonte," ",ORÇAMENTO.CodBarra)))</f>
        <v>SINAPI 89783</v>
      </c>
      <c r="AF341" s="13" t="str">
        <f ca="1">IF(ISERROR(INDIRECT(ORÇAMENTO.BancoRef)),"(abra o arquivo 'Referência "&amp;Excel_BuiltIn_Database&amp;".xlsm)",IF(OR($C341&lt;&gt;"S",ORÇAMENTO.CodBarra=""),"(Sem Código)",IF(ISERROR(MATCH($AE341,INDIRECT(ORÇAMENTO.BancoRef),0)),"(Código não identificado nas referências)",MATCH($AE341,INDIRECT(ORÇAMENTO.BancoRef),0))))</f>
        <v>(abra o arquivo 'Referência 06-2024.xlsm)</v>
      </c>
      <c r="AG341" s="498">
        <f ca="1">ROUND(IF(DESONERACAO="sim",REFERENCIA.Desonerado,REFERENCIA.NaoDesonerado),2)</f>
        <v>0</v>
      </c>
      <c r="AH341" s="499">
        <f t="shared" ca="1" si="69"/>
        <v>0.2432</v>
      </c>
      <c r="AJ341" s="501"/>
      <c r="AL341" s="527"/>
      <c r="AM341" s="381">
        <f t="shared" ca="1" si="70"/>
        <v>0</v>
      </c>
      <c r="AN341" s="566">
        <f t="shared" ca="1" si="71"/>
        <v>0</v>
      </c>
    </row>
    <row r="342" spans="1:40" ht="38.25" x14ac:dyDescent="0.2">
      <c r="A342" t="str">
        <f t="shared" si="56"/>
        <v>S</v>
      </c>
      <c r="B342">
        <f t="shared" ca="1" si="57"/>
        <v>2</v>
      </c>
      <c r="C342" t="str">
        <f t="shared" ca="1" si="58"/>
        <v>S</v>
      </c>
      <c r="D342">
        <f t="shared" ca="1" si="59"/>
        <v>0</v>
      </c>
      <c r="E342">
        <f ca="1">IF($C342=1,OFFSET(E342,-1,0)+MAX(1,COUNTIF(QCI!$A$13:$A$24,OFFSET(ORÇAMENTO!E342,-1,0))),OFFSET(E342,-1,0))</f>
        <v>1</v>
      </c>
      <c r="F342">
        <f t="shared" ca="1" si="60"/>
        <v>40</v>
      </c>
      <c r="G342">
        <f t="shared" ca="1" si="61"/>
        <v>0</v>
      </c>
      <c r="H342">
        <f t="shared" ca="1" si="62"/>
        <v>0</v>
      </c>
      <c r="I342">
        <f t="shared" ca="1" si="63"/>
        <v>0</v>
      </c>
      <c r="J342">
        <f t="shared" ca="1" si="89"/>
        <v>0</v>
      </c>
      <c r="K342">
        <f ca="1">IF(OR($C342="S",$C342=0),0,MATCH(OFFSET($D342,0,$C342)+IF($C342&lt;&gt;1,1,COUNTIF(QCI!$A$13:$A$24,ORÇAMENTO!E342)),OFFSET($D342,1,$C342,ROW($C$727)-ROW($C342)),0))</f>
        <v>0</v>
      </c>
      <c r="L342" s="116" t="str">
        <f t="shared" ca="1" si="64"/>
        <v/>
      </c>
      <c r="M342" s="117" t="s">
        <v>199</v>
      </c>
      <c r="N342" s="118" t="str">
        <f t="shared" ca="1" si="65"/>
        <v>Serviço</v>
      </c>
      <c r="O342" s="119" t="str">
        <f t="shared" ca="1" si="66"/>
        <v>-</v>
      </c>
      <c r="P342" s="120" t="s">
        <v>247</v>
      </c>
      <c r="Q342" s="121" t="s">
        <v>723</v>
      </c>
      <c r="R342" s="122" t="str">
        <f ca="1">IF($C342="S",REFERENCIA.Descricao,"(digite a descrição aqui)")</f>
        <v>(abra o arquivo 'Referência 06-2024.xlsm)</v>
      </c>
      <c r="S342" s="123" t="str">
        <f ca="1">REFERENCIA.Unidade</f>
        <v>-</v>
      </c>
      <c r="T342" s="124">
        <f ca="1">OFFSET(CÁLCULO!H$15,ROW($T342)-ROW(T$15),0)</f>
        <v>6</v>
      </c>
      <c r="U342" s="125">
        <f t="shared" ca="1" si="76"/>
        <v>0</v>
      </c>
      <c r="V342" s="126" t="s">
        <v>156</v>
      </c>
      <c r="W342" s="124">
        <f ca="1">IF($C342="S",ROUND(IF(TIPOORCAMENTO="Proposto",ORÇAMENTO.CustoUnitario*(1+$AH342),ORÇAMENTO.PrecoUnitarioLicitado),15-13*$AF$10),0)</f>
        <v>0</v>
      </c>
      <c r="X342" s="127">
        <f ca="1">IF($C342="S",IF(Import.TipoArredondamento&lt;&gt;"TransfereGOV",VTOTAL1,SUM(OFFSET(CÁLCULO!$AI$15,ROW($X342)-ROW($X$15),1):OFFSET(CÁLCULO!$BB$15,ROW($X342)-ROW($X$15),-1))),IF($C342=0,0,ROUND(SomaAgrup,15-13*$AF$11)))</f>
        <v>0</v>
      </c>
      <c r="Y342" s="128" t="s">
        <v>245</v>
      </c>
      <c r="Z342" t="str">
        <f t="shared" ca="1" si="67"/>
        <v/>
      </c>
      <c r="AA342" s="129">
        <f ca="1">IF($C342="S",IF($Z342="CP",$X342,IF($Z342="RA",(($X342)*QCI!$AA$3),0)),SomaAgrup)</f>
        <v>0</v>
      </c>
      <c r="AB342" s="130">
        <f t="shared" ca="1" si="68"/>
        <v>0</v>
      </c>
      <c r="AC342" s="131" t="str">
        <f ca="1">IF($N342="","",IF(ORÇAMENTO.Descricao="","DESCRIÇÃO",IF(AND($C342="S",ORÇAMENTO.Unidade=""),"UNIDADE",IF($X342&lt;0,"VALOR NEGATIVO",IF(OR(AND(TIPOORCAMENTO="Proposto",$AG342&lt;&gt;"",$AG342&gt;0,ORÇAMENTO.CustoUnitario&gt;$AG342),AND(TIPOORCAMENTO="LICITADO",ORÇAMENTO.PrecoUnitarioLicitado&gt;$AN342)),"ACIMA REF.","")))))</f>
        <v/>
      </c>
      <c r="AD342" t="str">
        <f ca="1">IF(C342&lt;=CRONO.NivelExibicao,MAX($AD$15:OFFSET(AD342,-1,0))+IF($C342&lt;&gt;1,1,MAX(1,COUNTIF(QCI!$A$13:$A$24,OFFSET($E342,-1,0)))),"")</f>
        <v/>
      </c>
      <c r="AE342" s="7" t="str">
        <f ca="1">IF(AND($C342="S",ORÇAMENTO.CodBarra&lt;&gt;""),IF(ORÇAMENTO.Fonte="",ORÇAMENTO.CodBarra,CONCATENATE(ORÇAMENTO.Fonte," ",ORÇAMENTO.CodBarra)))</f>
        <v>SINAPI 89569</v>
      </c>
      <c r="AF342" s="13" t="str">
        <f ca="1">IF(ISERROR(INDIRECT(ORÇAMENTO.BancoRef)),"(abra o arquivo 'Referência "&amp;Excel_BuiltIn_Database&amp;".xlsm)",IF(OR($C342&lt;&gt;"S",ORÇAMENTO.CodBarra=""),"(Sem Código)",IF(ISERROR(MATCH($AE342,INDIRECT(ORÇAMENTO.BancoRef),0)),"(Código não identificado nas referências)",MATCH($AE342,INDIRECT(ORÇAMENTO.BancoRef),0))))</f>
        <v>(abra o arquivo 'Referência 06-2024.xlsm)</v>
      </c>
      <c r="AG342" s="498">
        <f ca="1">ROUND(IF(DESONERACAO="sim",REFERENCIA.Desonerado,REFERENCIA.NaoDesonerado),2)</f>
        <v>0</v>
      </c>
      <c r="AH342" s="499">
        <f t="shared" ca="1" si="69"/>
        <v>0.2432</v>
      </c>
      <c r="AJ342" s="501"/>
      <c r="AL342" s="527"/>
      <c r="AM342" s="381">
        <f t="shared" ca="1" si="70"/>
        <v>0</v>
      </c>
      <c r="AN342" s="566">
        <f t="shared" ca="1" si="71"/>
        <v>0</v>
      </c>
    </row>
    <row r="343" spans="1:40" ht="38.25" x14ac:dyDescent="0.2">
      <c r="A343" t="str">
        <f t="shared" si="56"/>
        <v>S</v>
      </c>
      <c r="B343">
        <f t="shared" ca="1" si="57"/>
        <v>2</v>
      </c>
      <c r="C343" t="str">
        <f t="shared" ca="1" si="58"/>
        <v>S</v>
      </c>
      <c r="D343">
        <f t="shared" ca="1" si="59"/>
        <v>0</v>
      </c>
      <c r="E343">
        <f ca="1">IF($C343=1,OFFSET(E343,-1,0)+MAX(1,COUNTIF(QCI!$A$13:$A$24,OFFSET(ORÇAMENTO!E343,-1,0))),OFFSET(E343,-1,0))</f>
        <v>1</v>
      </c>
      <c r="F343">
        <f t="shared" ca="1" si="60"/>
        <v>40</v>
      </c>
      <c r="G343">
        <f t="shared" ca="1" si="61"/>
        <v>0</v>
      </c>
      <c r="H343">
        <f t="shared" ca="1" si="62"/>
        <v>0</v>
      </c>
      <c r="I343">
        <f t="shared" ca="1" si="63"/>
        <v>0</v>
      </c>
      <c r="J343">
        <f t="shared" ca="1" si="89"/>
        <v>0</v>
      </c>
      <c r="K343">
        <f ca="1">IF(OR($C343="S",$C343=0),0,MATCH(OFFSET($D343,0,$C343)+IF($C343&lt;&gt;1,1,COUNTIF(QCI!$A$13:$A$24,ORÇAMENTO!E343)),OFFSET($D343,1,$C343,ROW($C$727)-ROW($C343)),0))</f>
        <v>0</v>
      </c>
      <c r="L343" s="116" t="str">
        <f t="shared" ca="1" si="64"/>
        <v/>
      </c>
      <c r="M343" s="117" t="s">
        <v>199</v>
      </c>
      <c r="N343" s="118" t="str">
        <f t="shared" ca="1" si="65"/>
        <v>Serviço</v>
      </c>
      <c r="O343" s="119" t="str">
        <f t="shared" ca="1" si="66"/>
        <v>-</v>
      </c>
      <c r="P343" s="120" t="s">
        <v>458</v>
      </c>
      <c r="Q343" s="121" t="s">
        <v>724</v>
      </c>
      <c r="R343" s="122" t="str">
        <f ca="1">IF($C343="S",REFERENCIA.Descricao,"(digite a descrição aqui)")</f>
        <v>(abra o arquivo 'Referência 06-2024.xlsm)</v>
      </c>
      <c r="S343" s="123" t="str">
        <f ca="1">REFERENCIA.Unidade</f>
        <v>-</v>
      </c>
      <c r="T343" s="124">
        <f ca="1">OFFSET(CÁLCULO!H$15,ROW($T343)-ROW(T$15),0)</f>
        <v>16</v>
      </c>
      <c r="U343" s="125">
        <f t="shared" ref="U343:U401" ca="1" si="90">AG343</f>
        <v>0</v>
      </c>
      <c r="V343" s="126" t="s">
        <v>156</v>
      </c>
      <c r="W343" s="124">
        <f ca="1">IF($C343="S",ROUND(IF(TIPOORCAMENTO="Proposto",ORÇAMENTO.CustoUnitario*(1+$AH343),ORÇAMENTO.PrecoUnitarioLicitado),15-13*$AF$10),0)</f>
        <v>0</v>
      </c>
      <c r="X343" s="127">
        <f ca="1">IF($C343="S",IF(Import.TipoArredondamento&lt;&gt;"TransfereGOV",VTOTAL1,SUM(OFFSET(CÁLCULO!$AI$15,ROW($X343)-ROW($X$15),1):OFFSET(CÁLCULO!$BB$15,ROW($X343)-ROW($X$15),-1))),IF($C343=0,0,ROUND(SomaAgrup,15-13*$AF$11)))</f>
        <v>0</v>
      </c>
      <c r="Y343" s="128" t="s">
        <v>245</v>
      </c>
      <c r="Z343" t="str">
        <f t="shared" ca="1" si="67"/>
        <v/>
      </c>
      <c r="AA343" s="129">
        <f ca="1">IF($C343="S",IF($Z343="CP",$X343,IF($Z343="RA",(($X343)*QCI!$AA$3),0)),SomaAgrup)</f>
        <v>0</v>
      </c>
      <c r="AB343" s="130">
        <f t="shared" ca="1" si="68"/>
        <v>0</v>
      </c>
      <c r="AC343" s="131" t="str">
        <f ca="1">IF($N343="","",IF(ORÇAMENTO.Descricao="","DESCRIÇÃO",IF(AND($C343="S",ORÇAMENTO.Unidade=""),"UNIDADE",IF($X343&lt;0,"VALOR NEGATIVO",IF(OR(AND(TIPOORCAMENTO="Proposto",$AG343&lt;&gt;"",$AG343&gt;0,ORÇAMENTO.CustoUnitario&gt;$AG343),AND(TIPOORCAMENTO="LICITADO",ORÇAMENTO.PrecoUnitarioLicitado&gt;$AN343)),"ACIMA REF.","")))))</f>
        <v/>
      </c>
      <c r="AD343" t="str">
        <f ca="1">IF(C343&lt;=CRONO.NivelExibicao,MAX($AD$15:OFFSET(AD343,-1,0))+IF($C343&lt;&gt;1,1,MAX(1,COUNTIF(QCI!$A$13:$A$24,OFFSET($E343,-1,0)))),"")</f>
        <v/>
      </c>
      <c r="AE343" s="7" t="str">
        <f ca="1">IF(AND($C343="S",ORÇAMENTO.CodBarra&lt;&gt;""),IF(ORÇAMENTO.Fonte="",ORÇAMENTO.CodBarra,CONCATENATE(ORÇAMENTO.Fonte," ",ORÇAMENTO.CodBarra)))</f>
        <v>COMPOSIÇÃO FNDE 418</v>
      </c>
      <c r="AF343" s="13" t="str">
        <f ca="1">IF(ISERROR(INDIRECT(ORÇAMENTO.BancoRef)),"(abra o arquivo 'Referência "&amp;Excel_BuiltIn_Database&amp;".xlsm)",IF(OR($C343&lt;&gt;"S",ORÇAMENTO.CodBarra=""),"(Sem Código)",IF(ISERROR(MATCH($AE343,INDIRECT(ORÇAMENTO.BancoRef),0)),"(Código não identificado nas referências)",MATCH($AE343,INDIRECT(ORÇAMENTO.BancoRef),0))))</f>
        <v>(abra o arquivo 'Referência 06-2024.xlsm)</v>
      </c>
      <c r="AG343" s="498">
        <f ca="1">ROUND(IF(DESONERACAO="sim",REFERENCIA.Desonerado,REFERENCIA.NaoDesonerado),2)</f>
        <v>0</v>
      </c>
      <c r="AH343" s="499">
        <f t="shared" ca="1" si="69"/>
        <v>0.2432</v>
      </c>
      <c r="AJ343" s="501"/>
      <c r="AL343" s="527"/>
      <c r="AM343" s="381">
        <f t="shared" ca="1" si="70"/>
        <v>0</v>
      </c>
      <c r="AN343" s="566">
        <f t="shared" ca="1" si="71"/>
        <v>0</v>
      </c>
    </row>
    <row r="344" spans="1:40" ht="38.25" x14ac:dyDescent="0.2">
      <c r="A344" t="str">
        <f t="shared" si="56"/>
        <v>S</v>
      </c>
      <c r="B344">
        <f t="shared" ca="1" si="57"/>
        <v>2</v>
      </c>
      <c r="C344" t="str">
        <f t="shared" ca="1" si="58"/>
        <v>S</v>
      </c>
      <c r="D344">
        <f t="shared" ca="1" si="59"/>
        <v>0</v>
      </c>
      <c r="E344">
        <f ca="1">IF($C344=1,OFFSET(E344,-1,0)+MAX(1,COUNTIF(QCI!$A$13:$A$24,OFFSET(ORÇAMENTO!E344,-1,0))),OFFSET(E344,-1,0))</f>
        <v>1</v>
      </c>
      <c r="F344">
        <f t="shared" ca="1" si="60"/>
        <v>40</v>
      </c>
      <c r="G344">
        <f t="shared" ca="1" si="61"/>
        <v>0</v>
      </c>
      <c r="H344">
        <f t="shared" ca="1" si="62"/>
        <v>0</v>
      </c>
      <c r="I344">
        <f t="shared" ca="1" si="63"/>
        <v>0</v>
      </c>
      <c r="J344">
        <f t="shared" ca="1" si="89"/>
        <v>0</v>
      </c>
      <c r="K344">
        <f ca="1">IF(OR($C344="S",$C344=0),0,MATCH(OFFSET($D344,0,$C344)+IF($C344&lt;&gt;1,1,COUNTIF(QCI!$A$13:$A$24,ORÇAMENTO!E344)),OFFSET($D344,1,$C344,ROW($C$727)-ROW($C344)),0))</f>
        <v>0</v>
      </c>
      <c r="L344" s="116" t="str">
        <f t="shared" ca="1" si="64"/>
        <v/>
      </c>
      <c r="M344" s="117" t="s">
        <v>199</v>
      </c>
      <c r="N344" s="118" t="str">
        <f t="shared" ca="1" si="65"/>
        <v>Serviço</v>
      </c>
      <c r="O344" s="119" t="str">
        <f t="shared" ca="1" si="66"/>
        <v>-</v>
      </c>
      <c r="P344" s="120" t="s">
        <v>458</v>
      </c>
      <c r="Q344" s="121" t="s">
        <v>725</v>
      </c>
      <c r="R344" s="122" t="str">
        <f ca="1">IF($C344="S",REFERENCIA.Descricao,"(digite a descrição aqui)")</f>
        <v>(abra o arquivo 'Referência 06-2024.xlsm)</v>
      </c>
      <c r="S344" s="123" t="str">
        <f ca="1">REFERENCIA.Unidade</f>
        <v>-</v>
      </c>
      <c r="T344" s="124">
        <f ca="1">OFFSET(CÁLCULO!H$15,ROW($T344)-ROW(T$15),0)</f>
        <v>2</v>
      </c>
      <c r="U344" s="125">
        <f t="shared" ca="1" si="90"/>
        <v>0</v>
      </c>
      <c r="V344" s="126" t="s">
        <v>156</v>
      </c>
      <c r="W344" s="124">
        <f ca="1">IF($C344="S",ROUND(IF(TIPOORCAMENTO="Proposto",ORÇAMENTO.CustoUnitario*(1+$AH344),ORÇAMENTO.PrecoUnitarioLicitado),15-13*$AF$10),0)</f>
        <v>0</v>
      </c>
      <c r="X344" s="127">
        <f ca="1">IF($C344="S",IF(Import.TipoArredondamento&lt;&gt;"TransfereGOV",VTOTAL1,SUM(OFFSET(CÁLCULO!$AI$15,ROW($X344)-ROW($X$15),1):OFFSET(CÁLCULO!$BB$15,ROW($X344)-ROW($X$15),-1))),IF($C344=0,0,ROUND(SomaAgrup,15-13*$AF$11)))</f>
        <v>0</v>
      </c>
      <c r="Y344" s="128" t="s">
        <v>245</v>
      </c>
      <c r="Z344" t="str">
        <f t="shared" ca="1" si="67"/>
        <v/>
      </c>
      <c r="AA344" s="129">
        <f ca="1">IF($C344="S",IF($Z344="CP",$X344,IF($Z344="RA",(($X344)*QCI!$AA$3),0)),SomaAgrup)</f>
        <v>0</v>
      </c>
      <c r="AB344" s="130">
        <f t="shared" ca="1" si="68"/>
        <v>0</v>
      </c>
      <c r="AC344" s="131" t="str">
        <f ca="1">IF($N344="","",IF(ORÇAMENTO.Descricao="","DESCRIÇÃO",IF(AND($C344="S",ORÇAMENTO.Unidade=""),"UNIDADE",IF($X344&lt;0,"VALOR NEGATIVO",IF(OR(AND(TIPOORCAMENTO="Proposto",$AG344&lt;&gt;"",$AG344&gt;0,ORÇAMENTO.CustoUnitario&gt;$AG344),AND(TIPOORCAMENTO="LICITADO",ORÇAMENTO.PrecoUnitarioLicitado&gt;$AN344)),"ACIMA REF.","")))))</f>
        <v/>
      </c>
      <c r="AD344" t="str">
        <f ca="1">IF(C344&lt;=CRONO.NivelExibicao,MAX($AD$15:OFFSET(AD344,-1,0))+IF($C344&lt;&gt;1,1,MAX(1,COUNTIF(QCI!$A$13:$A$24,OFFSET($E344,-1,0)))),"")</f>
        <v/>
      </c>
      <c r="AE344" s="7" t="str">
        <f ca="1">IF(AND($C344="S",ORÇAMENTO.CodBarra&lt;&gt;""),IF(ORÇAMENTO.Fonte="",ORÇAMENTO.CodBarra,CONCATENATE(ORÇAMENTO.Fonte," ",ORÇAMENTO.CodBarra)))</f>
        <v>COMPOSIÇÃO FNDE 419</v>
      </c>
      <c r="AF344" s="13" t="str">
        <f ca="1">IF(ISERROR(INDIRECT(ORÇAMENTO.BancoRef)),"(abra o arquivo 'Referência "&amp;Excel_BuiltIn_Database&amp;".xlsm)",IF(OR($C344&lt;&gt;"S",ORÇAMENTO.CodBarra=""),"(Sem Código)",IF(ISERROR(MATCH($AE344,INDIRECT(ORÇAMENTO.BancoRef),0)),"(Código não identificado nas referências)",MATCH($AE344,INDIRECT(ORÇAMENTO.BancoRef),0))))</f>
        <v>(abra o arquivo 'Referência 06-2024.xlsm)</v>
      </c>
      <c r="AG344" s="498">
        <f ca="1">ROUND(IF(DESONERACAO="sim",REFERENCIA.Desonerado,REFERENCIA.NaoDesonerado),2)</f>
        <v>0</v>
      </c>
      <c r="AH344" s="499">
        <f t="shared" ca="1" si="69"/>
        <v>0.2432</v>
      </c>
      <c r="AJ344" s="501"/>
      <c r="AL344" s="527"/>
      <c r="AM344" s="381">
        <f t="shared" ca="1" si="70"/>
        <v>0</v>
      </c>
      <c r="AN344" s="566">
        <f t="shared" ca="1" si="71"/>
        <v>0</v>
      </c>
    </row>
    <row r="345" spans="1:40" ht="38.25" x14ac:dyDescent="0.2">
      <c r="A345" t="str">
        <f t="shared" si="56"/>
        <v>S</v>
      </c>
      <c r="B345">
        <f t="shared" ca="1" si="57"/>
        <v>2</v>
      </c>
      <c r="C345" t="str">
        <f t="shared" ca="1" si="58"/>
        <v>S</v>
      </c>
      <c r="D345">
        <f t="shared" ca="1" si="59"/>
        <v>0</v>
      </c>
      <c r="E345">
        <f ca="1">IF($C345=1,OFFSET(E345,-1,0)+MAX(1,COUNTIF(QCI!$A$13:$A$24,OFFSET(ORÇAMENTO!E345,-1,0))),OFFSET(E345,-1,0))</f>
        <v>1</v>
      </c>
      <c r="F345">
        <f t="shared" ca="1" si="60"/>
        <v>40</v>
      </c>
      <c r="G345">
        <f t="shared" ca="1" si="61"/>
        <v>0</v>
      </c>
      <c r="H345">
        <f t="shared" ca="1" si="62"/>
        <v>0</v>
      </c>
      <c r="I345">
        <f t="shared" ca="1" si="63"/>
        <v>0</v>
      </c>
      <c r="J345">
        <f t="shared" ca="1" si="89"/>
        <v>0</v>
      </c>
      <c r="K345">
        <f ca="1">IF(OR($C345="S",$C345=0),0,MATCH(OFFSET($D345,0,$C345)+IF($C345&lt;&gt;1,1,COUNTIF(QCI!$A$13:$A$24,ORÇAMENTO!E345)),OFFSET($D345,1,$C345,ROW($C$727)-ROW($C345)),0))</f>
        <v>0</v>
      </c>
      <c r="L345" s="116" t="str">
        <f t="shared" ca="1" si="64"/>
        <v/>
      </c>
      <c r="M345" s="117" t="s">
        <v>199</v>
      </c>
      <c r="N345" s="118" t="str">
        <f t="shared" ca="1" si="65"/>
        <v>Serviço</v>
      </c>
      <c r="O345" s="119" t="str">
        <f t="shared" ca="1" si="66"/>
        <v>-</v>
      </c>
      <c r="P345" s="120" t="s">
        <v>247</v>
      </c>
      <c r="Q345" s="121" t="s">
        <v>696</v>
      </c>
      <c r="R345" s="122" t="str">
        <f ca="1">IF($C345="S",REFERENCIA.Descricao,"(digite a descrição aqui)")</f>
        <v>(abra o arquivo 'Referência 06-2024.xlsm)</v>
      </c>
      <c r="S345" s="123" t="str">
        <f ca="1">REFERENCIA.Unidade</f>
        <v>-</v>
      </c>
      <c r="T345" s="124">
        <f ca="1">OFFSET(CÁLCULO!H$15,ROW($T345)-ROW(T$15),0)</f>
        <v>1</v>
      </c>
      <c r="U345" s="125">
        <f t="shared" ca="1" si="90"/>
        <v>0</v>
      </c>
      <c r="V345" s="126" t="s">
        <v>156</v>
      </c>
      <c r="W345" s="124">
        <f ca="1">IF($C345="S",ROUND(IF(TIPOORCAMENTO="Proposto",ORÇAMENTO.CustoUnitario*(1+$AH345),ORÇAMENTO.PrecoUnitarioLicitado),15-13*$AF$10),0)</f>
        <v>0</v>
      </c>
      <c r="X345" s="127">
        <f ca="1">IF($C345="S",IF(Import.TipoArredondamento&lt;&gt;"TransfereGOV",VTOTAL1,SUM(OFFSET(CÁLCULO!$AI$15,ROW($X345)-ROW($X$15),1):OFFSET(CÁLCULO!$BB$15,ROW($X345)-ROW($X$15),-1))),IF($C345=0,0,ROUND(SomaAgrup,15-13*$AF$11)))</f>
        <v>0</v>
      </c>
      <c r="Y345" s="128" t="s">
        <v>245</v>
      </c>
      <c r="Z345" t="str">
        <f t="shared" ca="1" si="67"/>
        <v/>
      </c>
      <c r="AA345" s="129">
        <f ca="1">IF($C345="S",IF($Z345="CP",$X345,IF($Z345="RA",(($X345)*QCI!$AA$3),0)),SomaAgrup)</f>
        <v>0</v>
      </c>
      <c r="AB345" s="130">
        <f t="shared" ca="1" si="68"/>
        <v>0</v>
      </c>
      <c r="AC345" s="131" t="str">
        <f ca="1">IF($N345="","",IF(ORÇAMENTO.Descricao="","DESCRIÇÃO",IF(AND($C345="S",ORÇAMENTO.Unidade=""),"UNIDADE",IF($X345&lt;0,"VALOR NEGATIVO",IF(OR(AND(TIPOORCAMENTO="Proposto",$AG345&lt;&gt;"",$AG345&gt;0,ORÇAMENTO.CustoUnitario&gt;$AG345),AND(TIPOORCAMENTO="LICITADO",ORÇAMENTO.PrecoUnitarioLicitado&gt;$AN345)),"ACIMA REF.","")))))</f>
        <v/>
      </c>
      <c r="AD345" t="str">
        <f ca="1">IF(C345&lt;=CRONO.NivelExibicao,MAX($AD$15:OFFSET(AD345,-1,0))+IF($C345&lt;&gt;1,1,MAX(1,COUNTIF(QCI!$A$13:$A$24,OFFSET($E345,-1,0)))),"")</f>
        <v/>
      </c>
      <c r="AE345" s="7" t="str">
        <f ca="1">IF(AND($C345="S",ORÇAMENTO.CodBarra&lt;&gt;""),IF(ORÇAMENTO.Fonte="",ORÇAMENTO.CodBarra,CONCATENATE(ORÇAMENTO.Fonte," ",ORÇAMENTO.CodBarra)))</f>
        <v>SINAPI 89549</v>
      </c>
      <c r="AF345" s="13" t="str">
        <f ca="1">IF(ISERROR(INDIRECT(ORÇAMENTO.BancoRef)),"(abra o arquivo 'Referência "&amp;Excel_BuiltIn_Database&amp;".xlsm)",IF(OR($C345&lt;&gt;"S",ORÇAMENTO.CodBarra=""),"(Sem Código)",IF(ISERROR(MATCH($AE345,INDIRECT(ORÇAMENTO.BancoRef),0)),"(Código não identificado nas referências)",MATCH($AE345,INDIRECT(ORÇAMENTO.BancoRef),0))))</f>
        <v>(abra o arquivo 'Referência 06-2024.xlsm)</v>
      </c>
      <c r="AG345" s="498">
        <f ca="1">ROUND(IF(DESONERACAO="sim",REFERENCIA.Desonerado,REFERENCIA.NaoDesonerado),2)</f>
        <v>0</v>
      </c>
      <c r="AH345" s="499">
        <f t="shared" ca="1" si="69"/>
        <v>0.2432</v>
      </c>
      <c r="AJ345" s="501"/>
      <c r="AL345" s="527"/>
      <c r="AM345" s="381">
        <f t="shared" ca="1" si="70"/>
        <v>0</v>
      </c>
      <c r="AN345" s="566">
        <f t="shared" ca="1" si="71"/>
        <v>0</v>
      </c>
    </row>
    <row r="346" spans="1:40" ht="38.25" x14ac:dyDescent="0.2">
      <c r="A346" t="str">
        <f t="shared" si="56"/>
        <v>S</v>
      </c>
      <c r="B346">
        <f t="shared" ca="1" si="57"/>
        <v>2</v>
      </c>
      <c r="C346" t="str">
        <f t="shared" ca="1" si="58"/>
        <v>S</v>
      </c>
      <c r="D346">
        <f t="shared" ca="1" si="59"/>
        <v>0</v>
      </c>
      <c r="E346">
        <f ca="1">IF($C346=1,OFFSET(E346,-1,0)+MAX(1,COUNTIF(QCI!$A$13:$A$24,OFFSET(ORÇAMENTO!E346,-1,0))),OFFSET(E346,-1,0))</f>
        <v>1</v>
      </c>
      <c r="F346">
        <f t="shared" ca="1" si="60"/>
        <v>40</v>
      </c>
      <c r="G346">
        <f t="shared" ca="1" si="61"/>
        <v>0</v>
      </c>
      <c r="H346">
        <f t="shared" ca="1" si="62"/>
        <v>0</v>
      </c>
      <c r="I346">
        <f t="shared" ca="1" si="63"/>
        <v>0</v>
      </c>
      <c r="J346">
        <f t="shared" ca="1" si="89"/>
        <v>0</v>
      </c>
      <c r="K346">
        <f ca="1">IF(OR($C346="S",$C346=0),0,MATCH(OFFSET($D346,0,$C346)+IF($C346&lt;&gt;1,1,COUNTIF(QCI!$A$13:$A$24,ORÇAMENTO!E346)),OFFSET($D346,1,$C346,ROW($C$727)-ROW($C346)),0))</f>
        <v>0</v>
      </c>
      <c r="L346" s="116" t="str">
        <f t="shared" ca="1" si="64"/>
        <v/>
      </c>
      <c r="M346" s="117" t="s">
        <v>199</v>
      </c>
      <c r="N346" s="118" t="str">
        <f t="shared" ca="1" si="65"/>
        <v>Serviço</v>
      </c>
      <c r="O346" s="119" t="str">
        <f t="shared" ca="1" si="66"/>
        <v>-</v>
      </c>
      <c r="P346" s="120" t="s">
        <v>247</v>
      </c>
      <c r="Q346" s="121" t="s">
        <v>699</v>
      </c>
      <c r="R346" s="122" t="str">
        <f ca="1">IF($C346="S",REFERENCIA.Descricao,"(digite a descrição aqui)")</f>
        <v>(abra o arquivo 'Referência 06-2024.xlsm)</v>
      </c>
      <c r="S346" s="123" t="str">
        <f ca="1">REFERENCIA.Unidade</f>
        <v>-</v>
      </c>
      <c r="T346" s="124">
        <f ca="1">OFFSET(CÁLCULO!H$15,ROW($T346)-ROW(T$15),0)</f>
        <v>17</v>
      </c>
      <c r="U346" s="125">
        <f t="shared" ca="1" si="90"/>
        <v>0</v>
      </c>
      <c r="V346" s="126" t="s">
        <v>156</v>
      </c>
      <c r="W346" s="124">
        <f ca="1">IF($C346="S",ROUND(IF(TIPOORCAMENTO="Proposto",ORÇAMENTO.CustoUnitario*(1+$AH346),ORÇAMENTO.PrecoUnitarioLicitado),15-13*$AF$10),0)</f>
        <v>0</v>
      </c>
      <c r="X346" s="127">
        <f ca="1">IF($C346="S",IF(Import.TipoArredondamento&lt;&gt;"TransfereGOV",VTOTAL1,SUM(OFFSET(CÁLCULO!$AI$15,ROW($X346)-ROW($X$15),1):OFFSET(CÁLCULO!$BB$15,ROW($X346)-ROW($X$15),-1))),IF($C346=0,0,ROUND(SomaAgrup,15-13*$AF$11)))</f>
        <v>0</v>
      </c>
      <c r="Y346" s="128" t="s">
        <v>245</v>
      </c>
      <c r="Z346" t="str">
        <f t="shared" ca="1" si="67"/>
        <v/>
      </c>
      <c r="AA346" s="129">
        <f ca="1">IF($C346="S",IF($Z346="CP",$X346,IF($Z346="RA",(($X346)*QCI!$AA$3),0)),SomaAgrup)</f>
        <v>0</v>
      </c>
      <c r="AB346" s="130">
        <f t="shared" ca="1" si="68"/>
        <v>0</v>
      </c>
      <c r="AC346" s="131" t="str">
        <f ca="1">IF($N346="","",IF(ORÇAMENTO.Descricao="","DESCRIÇÃO",IF(AND($C346="S",ORÇAMENTO.Unidade=""),"UNIDADE",IF($X346&lt;0,"VALOR NEGATIVO",IF(OR(AND(TIPOORCAMENTO="Proposto",$AG346&lt;&gt;"",$AG346&gt;0,ORÇAMENTO.CustoUnitario&gt;$AG346),AND(TIPOORCAMENTO="LICITADO",ORÇAMENTO.PrecoUnitarioLicitado&gt;$AN346)),"ACIMA REF.","")))))</f>
        <v/>
      </c>
      <c r="AD346" t="str">
        <f ca="1">IF(C346&lt;=CRONO.NivelExibicao,MAX($AD$15:OFFSET(AD346,-1,0))+IF($C346&lt;&gt;1,1,MAX(1,COUNTIF(QCI!$A$13:$A$24,OFFSET($E346,-1,0)))),"")</f>
        <v/>
      </c>
      <c r="AE346" s="7" t="str">
        <f ca="1">IF(AND($C346="S",ORÇAMENTO.CodBarra&lt;&gt;""),IF(ORÇAMENTO.Fonte="",ORÇAMENTO.CodBarra,CONCATENATE(ORÇAMENTO.Fonte," ",ORÇAMENTO.CodBarra)))</f>
        <v>SINAPI 99253</v>
      </c>
      <c r="AF346" s="13" t="str">
        <f ca="1">IF(ISERROR(INDIRECT(ORÇAMENTO.BancoRef)),"(abra o arquivo 'Referência "&amp;Excel_BuiltIn_Database&amp;".xlsm)",IF(OR($C346&lt;&gt;"S",ORÇAMENTO.CodBarra=""),"(Sem Código)",IF(ISERROR(MATCH($AE346,INDIRECT(ORÇAMENTO.BancoRef),0)),"(Código não identificado nas referências)",MATCH($AE346,INDIRECT(ORÇAMENTO.BancoRef),0))))</f>
        <v>(abra o arquivo 'Referência 06-2024.xlsm)</v>
      </c>
      <c r="AG346" s="498">
        <f ca="1">ROUND(IF(DESONERACAO="sim",REFERENCIA.Desonerado,REFERENCIA.NaoDesonerado),2)</f>
        <v>0</v>
      </c>
      <c r="AH346" s="499">
        <f t="shared" ca="1" si="69"/>
        <v>0.2432</v>
      </c>
      <c r="AJ346" s="501"/>
      <c r="AL346" s="527"/>
      <c r="AM346" s="381">
        <f t="shared" ca="1" si="70"/>
        <v>0</v>
      </c>
      <c r="AN346" s="566">
        <f t="shared" ca="1" si="71"/>
        <v>0</v>
      </c>
    </row>
    <row r="347" spans="1:40" ht="38.25" x14ac:dyDescent="0.2">
      <c r="A347" t="str">
        <f t="shared" si="56"/>
        <v>S</v>
      </c>
      <c r="B347">
        <f t="shared" ca="1" si="57"/>
        <v>2</v>
      </c>
      <c r="C347" t="str">
        <f t="shared" ca="1" si="58"/>
        <v>S</v>
      </c>
      <c r="D347">
        <f t="shared" ca="1" si="59"/>
        <v>0</v>
      </c>
      <c r="E347">
        <f ca="1">IF($C347=1,OFFSET(E347,-1,0)+MAX(1,COUNTIF(QCI!$A$13:$A$24,OFFSET(ORÇAMENTO!E347,-1,0))),OFFSET(E347,-1,0))</f>
        <v>1</v>
      </c>
      <c r="F347">
        <f t="shared" ca="1" si="60"/>
        <v>40</v>
      </c>
      <c r="G347">
        <f t="shared" ca="1" si="61"/>
        <v>0</v>
      </c>
      <c r="H347">
        <f t="shared" ca="1" si="62"/>
        <v>0</v>
      </c>
      <c r="I347">
        <f t="shared" ca="1" si="63"/>
        <v>0</v>
      </c>
      <c r="J347">
        <f t="shared" ca="1" si="89"/>
        <v>0</v>
      </c>
      <c r="K347">
        <f ca="1">IF(OR($C347="S",$C347=0),0,MATCH(OFFSET($D347,0,$C347)+IF($C347&lt;&gt;1,1,COUNTIF(QCI!$A$13:$A$24,ORÇAMENTO!E347)),OFFSET($D347,1,$C347,ROW($C$727)-ROW($C347)),0))</f>
        <v>0</v>
      </c>
      <c r="L347" s="116" t="str">
        <f t="shared" ca="1" si="64"/>
        <v/>
      </c>
      <c r="M347" s="117" t="s">
        <v>199</v>
      </c>
      <c r="N347" s="118" t="str">
        <f t="shared" ca="1" si="65"/>
        <v>Serviço</v>
      </c>
      <c r="O347" s="119" t="str">
        <f t="shared" ca="1" si="66"/>
        <v>-</v>
      </c>
      <c r="P347" s="120" t="s">
        <v>458</v>
      </c>
      <c r="Q347" s="121" t="s">
        <v>726</v>
      </c>
      <c r="R347" s="122" t="str">
        <f ca="1">IF($C347="S",REFERENCIA.Descricao,"(digite a descrição aqui)")</f>
        <v>(abra o arquivo 'Referência 06-2024.xlsm)</v>
      </c>
      <c r="S347" s="123" t="str">
        <f ca="1">REFERENCIA.Unidade</f>
        <v>-</v>
      </c>
      <c r="T347" s="124">
        <f ca="1">OFFSET(CÁLCULO!H$15,ROW($T347)-ROW(T$15),0)</f>
        <v>4</v>
      </c>
      <c r="U347" s="125">
        <f t="shared" ca="1" si="90"/>
        <v>0</v>
      </c>
      <c r="V347" s="126" t="s">
        <v>156</v>
      </c>
      <c r="W347" s="124">
        <f ca="1">IF($C347="S",ROUND(IF(TIPOORCAMENTO="Proposto",ORÇAMENTO.CustoUnitario*(1+$AH347),ORÇAMENTO.PrecoUnitarioLicitado),15-13*$AF$10),0)</f>
        <v>0</v>
      </c>
      <c r="X347" s="127">
        <f ca="1">IF($C347="S",IF(Import.TipoArredondamento&lt;&gt;"TransfereGOV",VTOTAL1,SUM(OFFSET(CÁLCULO!$AI$15,ROW($X347)-ROW($X$15),1):OFFSET(CÁLCULO!$BB$15,ROW($X347)-ROW($X$15),-1))),IF($C347=0,0,ROUND(SomaAgrup,15-13*$AF$11)))</f>
        <v>0</v>
      </c>
      <c r="Y347" s="128" t="s">
        <v>245</v>
      </c>
      <c r="Z347" t="str">
        <f t="shared" ca="1" si="67"/>
        <v/>
      </c>
      <c r="AA347" s="129">
        <f ca="1">IF($C347="S",IF($Z347="CP",$X347,IF($Z347="RA",(($X347)*QCI!$AA$3),0)),SomaAgrup)</f>
        <v>0</v>
      </c>
      <c r="AB347" s="130">
        <f t="shared" ca="1" si="68"/>
        <v>0</v>
      </c>
      <c r="AC347" s="131" t="str">
        <f ca="1">IF($N347="","",IF(ORÇAMENTO.Descricao="","DESCRIÇÃO",IF(AND($C347="S",ORÇAMENTO.Unidade=""),"UNIDADE",IF($X347&lt;0,"VALOR NEGATIVO",IF(OR(AND(TIPOORCAMENTO="Proposto",$AG347&lt;&gt;"",$AG347&gt;0,ORÇAMENTO.CustoUnitario&gt;$AG347),AND(TIPOORCAMENTO="LICITADO",ORÇAMENTO.PrecoUnitarioLicitado&gt;$AN347)),"ACIMA REF.","")))))</f>
        <v/>
      </c>
      <c r="AD347" t="str">
        <f ca="1">IF(C347&lt;=CRONO.NivelExibicao,MAX($AD$15:OFFSET(AD347,-1,0))+IF($C347&lt;&gt;1,1,MAX(1,COUNTIF(QCI!$A$13:$A$24,OFFSET($E347,-1,0)))),"")</f>
        <v/>
      </c>
      <c r="AE347" s="7" t="str">
        <f ca="1">IF(AND($C347="S",ORÇAMENTO.CodBarra&lt;&gt;""),IF(ORÇAMENTO.Fonte="",ORÇAMENTO.CodBarra,CONCATENATE(ORÇAMENTO.Fonte," ",ORÇAMENTO.CodBarra)))</f>
        <v>COMPOSIÇÃO FNDE 420</v>
      </c>
      <c r="AF347" s="13" t="str">
        <f ca="1">IF(ISERROR(INDIRECT(ORÇAMENTO.BancoRef)),"(abra o arquivo 'Referência "&amp;Excel_BuiltIn_Database&amp;".xlsm)",IF(OR($C347&lt;&gt;"S",ORÇAMENTO.CodBarra=""),"(Sem Código)",IF(ISERROR(MATCH($AE347,INDIRECT(ORÇAMENTO.BancoRef),0)),"(Código não identificado nas referências)",MATCH($AE347,INDIRECT(ORÇAMENTO.BancoRef),0))))</f>
        <v>(abra o arquivo 'Referência 06-2024.xlsm)</v>
      </c>
      <c r="AG347" s="498">
        <f ca="1">ROUND(IF(DESONERACAO="sim",REFERENCIA.Desonerado,REFERENCIA.NaoDesonerado),2)</f>
        <v>0</v>
      </c>
      <c r="AH347" s="499">
        <f t="shared" ca="1" si="69"/>
        <v>0.2432</v>
      </c>
      <c r="AJ347" s="501"/>
      <c r="AL347" s="527"/>
      <c r="AM347" s="381">
        <f t="shared" ca="1" si="70"/>
        <v>0</v>
      </c>
      <c r="AN347" s="566">
        <f t="shared" ca="1" si="71"/>
        <v>0</v>
      </c>
    </row>
    <row r="348" spans="1:40" ht="38.25" x14ac:dyDescent="0.2">
      <c r="A348" t="str">
        <f t="shared" si="56"/>
        <v>S</v>
      </c>
      <c r="B348">
        <f t="shared" ca="1" si="57"/>
        <v>2</v>
      </c>
      <c r="C348" t="str">
        <f t="shared" ca="1" si="58"/>
        <v>S</v>
      </c>
      <c r="D348">
        <f t="shared" ca="1" si="59"/>
        <v>0</v>
      </c>
      <c r="E348">
        <f ca="1">IF($C348=1,OFFSET(E348,-1,0)+MAX(1,COUNTIF(QCI!$A$13:$A$24,OFFSET(ORÇAMENTO!E348,-1,0))),OFFSET(E348,-1,0))</f>
        <v>1</v>
      </c>
      <c r="F348">
        <f t="shared" ca="1" si="60"/>
        <v>40</v>
      </c>
      <c r="G348">
        <f t="shared" ca="1" si="61"/>
        <v>0</v>
      </c>
      <c r="H348">
        <f t="shared" ca="1" si="62"/>
        <v>0</v>
      </c>
      <c r="I348">
        <f t="shared" ca="1" si="63"/>
        <v>0</v>
      </c>
      <c r="J348">
        <f t="shared" ca="1" si="89"/>
        <v>0</v>
      </c>
      <c r="K348">
        <f ca="1">IF(OR($C348="S",$C348=0),0,MATCH(OFFSET($D348,0,$C348)+IF($C348&lt;&gt;1,1,COUNTIF(QCI!$A$13:$A$24,ORÇAMENTO!E348)),OFFSET($D348,1,$C348,ROW($C$727)-ROW($C348)),0))</f>
        <v>0</v>
      </c>
      <c r="L348" s="116" t="str">
        <f t="shared" ca="1" si="64"/>
        <v/>
      </c>
      <c r="M348" s="117" t="s">
        <v>199</v>
      </c>
      <c r="N348" s="118" t="str">
        <f t="shared" ca="1" si="65"/>
        <v>Serviço</v>
      </c>
      <c r="O348" s="119" t="str">
        <f t="shared" ca="1" si="66"/>
        <v>-</v>
      </c>
      <c r="P348" s="120" t="s">
        <v>247</v>
      </c>
      <c r="Q348" s="121" t="s">
        <v>727</v>
      </c>
      <c r="R348" s="122" t="str">
        <f ca="1">IF($C348="S",REFERENCIA.Descricao,"(digite a descrição aqui)")</f>
        <v>(abra o arquivo 'Referência 06-2024.xlsm)</v>
      </c>
      <c r="S348" s="123" t="str">
        <f ca="1">REFERENCIA.Unidade</f>
        <v>-</v>
      </c>
      <c r="T348" s="124">
        <f ca="1">OFFSET(CÁLCULO!H$15,ROW($T348)-ROW(T$15),0)</f>
        <v>28</v>
      </c>
      <c r="U348" s="125">
        <f t="shared" ca="1" si="90"/>
        <v>0</v>
      </c>
      <c r="V348" s="126" t="s">
        <v>156</v>
      </c>
      <c r="W348" s="124">
        <f ca="1">IF($C348="S",ROUND(IF(TIPOORCAMENTO="Proposto",ORÇAMENTO.CustoUnitario*(1+$AH348),ORÇAMENTO.PrecoUnitarioLicitado),15-13*$AF$10),0)</f>
        <v>0</v>
      </c>
      <c r="X348" s="127">
        <f ca="1">IF($C348="S",IF(Import.TipoArredondamento&lt;&gt;"TransfereGOV",VTOTAL1,SUM(OFFSET(CÁLCULO!$AI$15,ROW($X348)-ROW($X$15),1):OFFSET(CÁLCULO!$BB$15,ROW($X348)-ROW($X$15),-1))),IF($C348=0,0,ROUND(SomaAgrup,15-13*$AF$11)))</f>
        <v>0</v>
      </c>
      <c r="Y348" s="128" t="s">
        <v>245</v>
      </c>
      <c r="Z348" t="str">
        <f t="shared" ca="1" si="67"/>
        <v/>
      </c>
      <c r="AA348" s="129">
        <f ca="1">IF($C348="S",IF($Z348="CP",$X348,IF($Z348="RA",(($X348)*QCI!$AA$3),0)),SomaAgrup)</f>
        <v>0</v>
      </c>
      <c r="AB348" s="130">
        <f t="shared" ca="1" si="68"/>
        <v>0</v>
      </c>
      <c r="AC348" s="131" t="str">
        <f ca="1">IF($N348="","",IF(ORÇAMENTO.Descricao="","DESCRIÇÃO",IF(AND($C348="S",ORÇAMENTO.Unidade=""),"UNIDADE",IF($X348&lt;0,"VALOR NEGATIVO",IF(OR(AND(TIPOORCAMENTO="Proposto",$AG348&lt;&gt;"",$AG348&gt;0,ORÇAMENTO.CustoUnitario&gt;$AG348),AND(TIPOORCAMENTO="LICITADO",ORÇAMENTO.PrecoUnitarioLicitado&gt;$AN348)),"ACIMA REF.","")))))</f>
        <v/>
      </c>
      <c r="AD348" t="str">
        <f ca="1">IF(C348&lt;=CRONO.NivelExibicao,MAX($AD$15:OFFSET(AD348,-1,0))+IF($C348&lt;&gt;1,1,MAX(1,COUNTIF(QCI!$A$13:$A$24,OFFSET($E348,-1,0)))),"")</f>
        <v/>
      </c>
      <c r="AE348" s="7" t="str">
        <f ca="1">IF(AND($C348="S",ORÇAMENTO.CodBarra&lt;&gt;""),IF(ORÇAMENTO.Fonte="",ORÇAMENTO.CodBarra,CONCATENATE(ORÇAMENTO.Fonte," ",ORÇAMENTO.CodBarra)))</f>
        <v>SINAPI 89495</v>
      </c>
      <c r="AF348" s="13" t="str">
        <f ca="1">IF(ISERROR(INDIRECT(ORÇAMENTO.BancoRef)),"(abra o arquivo 'Referência "&amp;Excel_BuiltIn_Database&amp;".xlsm)",IF(OR($C348&lt;&gt;"S",ORÇAMENTO.CodBarra=""),"(Sem Código)",IF(ISERROR(MATCH($AE348,INDIRECT(ORÇAMENTO.BancoRef),0)),"(Código não identificado nas referências)",MATCH($AE348,INDIRECT(ORÇAMENTO.BancoRef),0))))</f>
        <v>(abra o arquivo 'Referência 06-2024.xlsm)</v>
      </c>
      <c r="AG348" s="498">
        <f ca="1">ROUND(IF(DESONERACAO="sim",REFERENCIA.Desonerado,REFERENCIA.NaoDesonerado),2)</f>
        <v>0</v>
      </c>
      <c r="AH348" s="499">
        <f t="shared" ca="1" si="69"/>
        <v>0.2432</v>
      </c>
      <c r="AJ348" s="501"/>
      <c r="AL348" s="527"/>
      <c r="AM348" s="381">
        <f t="shared" ca="1" si="70"/>
        <v>0</v>
      </c>
      <c r="AN348" s="566">
        <f t="shared" ca="1" si="71"/>
        <v>0</v>
      </c>
    </row>
    <row r="349" spans="1:40" x14ac:dyDescent="0.2">
      <c r="A349">
        <f t="shared" si="56"/>
        <v>2</v>
      </c>
      <c r="B349">
        <f t="shared" ca="1" si="57"/>
        <v>2</v>
      </c>
      <c r="C349">
        <f t="shared" ca="1" si="58"/>
        <v>2</v>
      </c>
      <c r="D349">
        <f t="shared" ca="1" si="59"/>
        <v>4</v>
      </c>
      <c r="E349">
        <f ca="1">IF($C349=1,OFFSET(E349,-1,0)+MAX(1,COUNTIF(QCI!$A$13:$A$24,OFFSET(ORÇAMENTO!E349,-1,0))),OFFSET(E349,-1,0))</f>
        <v>1</v>
      </c>
      <c r="F349">
        <f t="shared" ca="1" si="60"/>
        <v>41</v>
      </c>
      <c r="G349">
        <f t="shared" ca="1" si="61"/>
        <v>0</v>
      </c>
      <c r="H349">
        <f t="shared" ca="1" si="62"/>
        <v>0</v>
      </c>
      <c r="I349">
        <f t="shared" ca="1" si="63"/>
        <v>0</v>
      </c>
      <c r="J349">
        <f t="shared" ca="1" si="89"/>
        <v>378</v>
      </c>
      <c r="K349">
        <f ca="1">IF(OR($C349="S",$C349=0),0,MATCH(OFFSET($D349,0,$C349)+IF($C349&lt;&gt;1,1,COUNTIF(QCI!$A$13:$A$24,ORÇAMENTO!E349)),OFFSET($D349,1,$C349,ROW($C$727)-ROW($C349)),0))</f>
        <v>4</v>
      </c>
      <c r="L349" s="116" t="str">
        <f t="shared" ca="1" si="64"/>
        <v>F</v>
      </c>
      <c r="M349" s="117" t="s">
        <v>196</v>
      </c>
      <c r="N349" s="118" t="str">
        <f t="shared" ca="1" si="65"/>
        <v>Nível 2</v>
      </c>
      <c r="O349" s="119" t="str">
        <f t="shared" ca="1" si="66"/>
        <v>1.41.</v>
      </c>
      <c r="P349" s="120" t="s">
        <v>247</v>
      </c>
      <c r="Q349" s="121"/>
      <c r="R349" s="122" t="s">
        <v>1066</v>
      </c>
      <c r="S349" s="123" t="str">
        <f ca="1">REFERENCIA.Unidade</f>
        <v>-</v>
      </c>
      <c r="T349" s="124">
        <f ca="1">OFFSET(CÁLCULO!H$15,ROW($T349)-ROW(T$15),0)</f>
        <v>0</v>
      </c>
      <c r="U349" s="125">
        <f t="shared" ca="1" si="90"/>
        <v>0</v>
      </c>
      <c r="V349" s="126" t="s">
        <v>156</v>
      </c>
      <c r="W349" s="124">
        <f ca="1">IF($C349="S",ROUND(IF(TIPOORCAMENTO="Proposto",ORÇAMENTO.CustoUnitario*(1+$AH349),ORÇAMENTO.PrecoUnitarioLicitado),15-13*$AF$10),0)</f>
        <v>0</v>
      </c>
      <c r="X349" s="127">
        <f ca="1">IF($C349="S",IF(Import.TipoArredondamento&lt;&gt;"TransfereGOV",VTOTAL1,SUM(OFFSET(CÁLCULO!$AI$15,ROW($X349)-ROW($X$15),1):OFFSET(CÁLCULO!$BB$15,ROW($X349)-ROW($X$15),-1))),IF($C349=0,0,ROUND(SomaAgrup,15-13*$AF$11)))</f>
        <v>0</v>
      </c>
      <c r="Y349" s="128" t="s">
        <v>245</v>
      </c>
      <c r="Z349" t="str">
        <f t="shared" ca="1" si="67"/>
        <v/>
      </c>
      <c r="AA349" s="129">
        <f ca="1">IF($C349="S",IF($Z349="CP",$X349,IF($Z349="RA",(($X349)*QCI!$AA$3),0)),SomaAgrup)</f>
        <v>0</v>
      </c>
      <c r="AB349" s="130">
        <f t="shared" ca="1" si="68"/>
        <v>0</v>
      </c>
      <c r="AC349" s="131" t="str">
        <f ca="1">IF($N349="","",IF(ORÇAMENTO.Descricao="","DESCRIÇÃO",IF(AND($C349="S",ORÇAMENTO.Unidade=""),"UNIDADE",IF($X349&lt;0,"VALOR NEGATIVO",IF(OR(AND(TIPOORCAMENTO="Proposto",$AG349&lt;&gt;"",$AG349&gt;0,ORÇAMENTO.CustoUnitario&gt;$AG349),AND(TIPOORCAMENTO="LICITADO",ORÇAMENTO.PrecoUnitarioLicitado&gt;$AN349)),"ACIMA REF.","")))))</f>
        <v/>
      </c>
      <c r="AD349">
        <f ca="1">IF(C349&lt;=CRONO.NivelExibicao,MAX($AD$15:OFFSET(AD349,-1,0))+IF($C349&lt;&gt;1,1,MAX(1,COUNTIF(QCI!$A$13:$A$24,OFFSET($E349,-1,0)))),"")</f>
        <v>42</v>
      </c>
      <c r="AE349" s="7" t="b">
        <f ca="1">IF(AND($C349="S",ORÇAMENTO.CodBarra&lt;&gt;""),IF(ORÇAMENTO.Fonte="",ORÇAMENTO.CodBarra,CONCATENATE(ORÇAMENTO.Fonte," ",ORÇAMENTO.CodBarra)))</f>
        <v>0</v>
      </c>
      <c r="AF349" s="13" t="str">
        <f ca="1">IF(ISERROR(INDIRECT(ORÇAMENTO.BancoRef)),"(abra o arquivo 'Referência "&amp;Excel_BuiltIn_Database&amp;".xlsm)",IF(OR($C349&lt;&gt;"S",ORÇAMENTO.CodBarra=""),"(Sem Código)",IF(ISERROR(MATCH($AE349,INDIRECT(ORÇAMENTO.BancoRef),0)),"(Código não identificado nas referências)",MATCH($AE349,INDIRECT(ORÇAMENTO.BancoRef),0))))</f>
        <v>(abra o arquivo 'Referência 06-2024.xlsm)</v>
      </c>
      <c r="AG349" s="498">
        <f ca="1">ROUND(IF(DESONERACAO="sim",REFERENCIA.Desonerado,REFERENCIA.NaoDesonerado),2)</f>
        <v>0</v>
      </c>
      <c r="AH349" s="499">
        <f t="shared" ca="1" si="69"/>
        <v>0.2432</v>
      </c>
      <c r="AJ349" s="501"/>
      <c r="AL349" s="527"/>
      <c r="AM349" s="381">
        <f t="shared" ca="1" si="70"/>
        <v>0</v>
      </c>
      <c r="AN349" s="566">
        <f t="shared" ca="1" si="71"/>
        <v>0</v>
      </c>
    </row>
    <row r="350" spans="1:40" ht="38.25" x14ac:dyDescent="0.2">
      <c r="A350" t="str">
        <f t="shared" si="56"/>
        <v>S</v>
      </c>
      <c r="B350">
        <f t="shared" ca="1" si="57"/>
        <v>2</v>
      </c>
      <c r="C350" t="str">
        <f t="shared" ca="1" si="58"/>
        <v>S</v>
      </c>
      <c r="D350">
        <f t="shared" ca="1" si="59"/>
        <v>0</v>
      </c>
      <c r="E350">
        <f ca="1">IF($C350=1,OFFSET(E350,-1,0)+MAX(1,COUNTIF(QCI!$A$13:$A$24,OFFSET(ORÇAMENTO!E350,-1,0))),OFFSET(E350,-1,0))</f>
        <v>1</v>
      </c>
      <c r="F350">
        <f t="shared" ca="1" si="60"/>
        <v>41</v>
      </c>
      <c r="G350">
        <f t="shared" ca="1" si="61"/>
        <v>0</v>
      </c>
      <c r="H350">
        <f t="shared" ca="1" si="62"/>
        <v>0</v>
      </c>
      <c r="I350">
        <f t="shared" ca="1" si="63"/>
        <v>0</v>
      </c>
      <c r="J350">
        <f t="shared" ca="1" si="89"/>
        <v>0</v>
      </c>
      <c r="K350">
        <f ca="1">IF(OR($C350="S",$C350=0),0,MATCH(OFFSET($D350,0,$C350)+IF($C350&lt;&gt;1,1,COUNTIF(QCI!$A$13:$A$24,ORÇAMENTO!E350)),OFFSET($D350,1,$C350,ROW($C$727)-ROW($C350)),0))</f>
        <v>0</v>
      </c>
      <c r="L350" s="116" t="str">
        <f t="shared" ca="1" si="64"/>
        <v/>
      </c>
      <c r="M350" s="117" t="s">
        <v>199</v>
      </c>
      <c r="N350" s="118" t="str">
        <f t="shared" ca="1" si="65"/>
        <v>Serviço</v>
      </c>
      <c r="O350" s="119" t="str">
        <f t="shared" ca="1" si="66"/>
        <v>-</v>
      </c>
      <c r="P350" s="120" t="s">
        <v>247</v>
      </c>
      <c r="Q350" s="121" t="s">
        <v>728</v>
      </c>
      <c r="R350" s="122" t="str">
        <f ca="1">IF($C350="S",REFERENCIA.Descricao,"(digite a descrição aqui)")</f>
        <v>(abra o arquivo 'Referência 06-2024.xlsm)</v>
      </c>
      <c r="S350" s="123" t="str">
        <f ca="1">REFERENCIA.Unidade</f>
        <v>-</v>
      </c>
      <c r="T350" s="124">
        <f ca="1">OFFSET(CÁLCULO!H$15,ROW($T350)-ROW(T$15),0)</f>
        <v>1</v>
      </c>
      <c r="U350" s="125">
        <f t="shared" ca="1" si="90"/>
        <v>0</v>
      </c>
      <c r="V350" s="126" t="s">
        <v>156</v>
      </c>
      <c r="W350" s="124">
        <f ca="1">IF($C350="S",ROUND(IF(TIPOORCAMENTO="Proposto",ORÇAMENTO.CustoUnitario*(1+$AH350),ORÇAMENTO.PrecoUnitarioLicitado),15-13*$AF$10),0)</f>
        <v>0</v>
      </c>
      <c r="X350" s="127">
        <f ca="1">IF($C350="S",IF(Import.TipoArredondamento&lt;&gt;"TransfereGOV",VTOTAL1,SUM(OFFSET(CÁLCULO!$AI$15,ROW($X350)-ROW($X$15),1):OFFSET(CÁLCULO!$BB$15,ROW($X350)-ROW($X$15),-1))),IF($C350=0,0,ROUND(SomaAgrup,15-13*$AF$11)))</f>
        <v>0</v>
      </c>
      <c r="Y350" s="128" t="s">
        <v>245</v>
      </c>
      <c r="Z350" t="str">
        <f t="shared" ca="1" si="67"/>
        <v/>
      </c>
      <c r="AA350" s="129">
        <f ca="1">IF($C350="S",IF($Z350="CP",$X350,IF($Z350="RA",(($X350)*QCI!$AA$3),0)),SomaAgrup)</f>
        <v>0</v>
      </c>
      <c r="AB350" s="130">
        <f t="shared" ca="1" si="68"/>
        <v>0</v>
      </c>
      <c r="AC350" s="131" t="str">
        <f ca="1">IF($N350="","",IF(ORÇAMENTO.Descricao="","DESCRIÇÃO",IF(AND($C350="S",ORÇAMENTO.Unidade=""),"UNIDADE",IF($X350&lt;0,"VALOR NEGATIVO",IF(OR(AND(TIPOORCAMENTO="Proposto",$AG350&lt;&gt;"",$AG350&gt;0,ORÇAMENTO.CustoUnitario&gt;$AG350),AND(TIPOORCAMENTO="LICITADO",ORÇAMENTO.PrecoUnitarioLicitado&gt;$AN350)),"ACIMA REF.","")))))</f>
        <v/>
      </c>
      <c r="AD350" t="str">
        <f ca="1">IF(C350&lt;=CRONO.NivelExibicao,MAX($AD$15:OFFSET(AD350,-1,0))+IF($C350&lt;&gt;1,1,MAX(1,COUNTIF(QCI!$A$13:$A$24,OFFSET($E350,-1,0)))),"")</f>
        <v/>
      </c>
      <c r="AE350" s="7" t="str">
        <f ca="1">IF(AND($C350="S",ORÇAMENTO.CodBarra&lt;&gt;""),IF(ORÇAMENTO.Fonte="",ORÇAMENTO.CodBarra,CONCATENATE(ORÇAMENTO.Fonte," ",ORÇAMENTO.CodBarra)))</f>
        <v>SINAPI 98087</v>
      </c>
      <c r="AF350" s="13" t="str">
        <f ca="1">IF(ISERROR(INDIRECT(ORÇAMENTO.BancoRef)),"(abra o arquivo 'Referência "&amp;Excel_BuiltIn_Database&amp;".xlsm)",IF(OR($C350&lt;&gt;"S",ORÇAMENTO.CodBarra=""),"(Sem Código)",IF(ISERROR(MATCH($AE350,INDIRECT(ORÇAMENTO.BancoRef),0)),"(Código não identificado nas referências)",MATCH($AE350,INDIRECT(ORÇAMENTO.BancoRef),0))))</f>
        <v>(abra o arquivo 'Referência 06-2024.xlsm)</v>
      </c>
      <c r="AG350" s="498">
        <f ca="1">ROUND(IF(DESONERACAO="sim",REFERENCIA.Desonerado,REFERENCIA.NaoDesonerado),2)</f>
        <v>0</v>
      </c>
      <c r="AH350" s="499">
        <f t="shared" ca="1" si="69"/>
        <v>0.2432</v>
      </c>
      <c r="AJ350" s="501"/>
      <c r="AL350" s="527"/>
      <c r="AM350" s="381">
        <f t="shared" ca="1" si="70"/>
        <v>0</v>
      </c>
      <c r="AN350" s="566">
        <f t="shared" ca="1" si="71"/>
        <v>0</v>
      </c>
    </row>
    <row r="351" spans="1:40" ht="38.25" x14ac:dyDescent="0.2">
      <c r="A351" t="str">
        <f t="shared" si="56"/>
        <v>S</v>
      </c>
      <c r="B351">
        <f t="shared" ca="1" si="57"/>
        <v>2</v>
      </c>
      <c r="C351" t="str">
        <f t="shared" ca="1" si="58"/>
        <v>S</v>
      </c>
      <c r="D351">
        <f t="shared" ca="1" si="59"/>
        <v>0</v>
      </c>
      <c r="E351">
        <f ca="1">IF($C351=1,OFFSET(E351,-1,0)+MAX(1,COUNTIF(QCI!$A$13:$A$24,OFFSET(ORÇAMENTO!E351,-1,0))),OFFSET(E351,-1,0))</f>
        <v>1</v>
      </c>
      <c r="F351">
        <f t="shared" ca="1" si="60"/>
        <v>41</v>
      </c>
      <c r="G351">
        <f t="shared" ca="1" si="61"/>
        <v>0</v>
      </c>
      <c r="H351">
        <f t="shared" ca="1" si="62"/>
        <v>0</v>
      </c>
      <c r="I351">
        <f t="shared" ca="1" si="63"/>
        <v>0</v>
      </c>
      <c r="J351">
        <f t="shared" ca="1" si="89"/>
        <v>0</v>
      </c>
      <c r="K351">
        <f ca="1">IF(OR($C351="S",$C351=0),0,MATCH(OFFSET($D351,0,$C351)+IF($C351&lt;&gt;1,1,COUNTIF(QCI!$A$13:$A$24,ORÇAMENTO!E351)),OFFSET($D351,1,$C351,ROW($C$727)-ROW($C351)),0))</f>
        <v>0</v>
      </c>
      <c r="L351" s="116" t="str">
        <f t="shared" ca="1" si="64"/>
        <v/>
      </c>
      <c r="M351" s="117" t="s">
        <v>199</v>
      </c>
      <c r="N351" s="118" t="str">
        <f t="shared" ca="1" si="65"/>
        <v>Serviço</v>
      </c>
      <c r="O351" s="119" t="str">
        <f t="shared" ca="1" si="66"/>
        <v>-</v>
      </c>
      <c r="P351" s="120" t="s">
        <v>247</v>
      </c>
      <c r="Q351" s="121" t="s">
        <v>729</v>
      </c>
      <c r="R351" s="122" t="str">
        <f ca="1">IF($C351="S",REFERENCIA.Descricao,"(digite a descrição aqui)")</f>
        <v>(abra o arquivo 'Referência 06-2024.xlsm)</v>
      </c>
      <c r="S351" s="123" t="str">
        <f ca="1">REFERENCIA.Unidade</f>
        <v>-</v>
      </c>
      <c r="T351" s="124">
        <f ca="1">OFFSET(CÁLCULO!H$15,ROW($T351)-ROW(T$15),0)</f>
        <v>1</v>
      </c>
      <c r="U351" s="125">
        <f t="shared" ca="1" si="90"/>
        <v>0</v>
      </c>
      <c r="V351" s="126" t="s">
        <v>156</v>
      </c>
      <c r="W351" s="124">
        <f ca="1">IF($C351="S",ROUND(IF(TIPOORCAMENTO="Proposto",ORÇAMENTO.CustoUnitario*(1+$AH351),ORÇAMENTO.PrecoUnitarioLicitado),15-13*$AF$10),0)</f>
        <v>0</v>
      </c>
      <c r="X351" s="127">
        <f ca="1">IF($C351="S",IF(Import.TipoArredondamento&lt;&gt;"TransfereGOV",VTOTAL1,SUM(OFFSET(CÁLCULO!$AI$15,ROW($X351)-ROW($X$15),1):OFFSET(CÁLCULO!$BB$15,ROW($X351)-ROW($X$15),-1))),IF($C351=0,0,ROUND(SomaAgrup,15-13*$AF$11)))</f>
        <v>0</v>
      </c>
      <c r="Y351" s="128" t="s">
        <v>245</v>
      </c>
      <c r="Z351" t="str">
        <f t="shared" ca="1" si="67"/>
        <v/>
      </c>
      <c r="AA351" s="129">
        <f ca="1">IF($C351="S",IF($Z351="CP",$X351,IF($Z351="RA",(($X351)*QCI!$AA$3),0)),SomaAgrup)</f>
        <v>0</v>
      </c>
      <c r="AB351" s="130">
        <f t="shared" ca="1" si="68"/>
        <v>0</v>
      </c>
      <c r="AC351" s="131" t="str">
        <f ca="1">IF($N351="","",IF(ORÇAMENTO.Descricao="","DESCRIÇÃO",IF(AND($C351="S",ORÇAMENTO.Unidade=""),"UNIDADE",IF($X351&lt;0,"VALOR NEGATIVO",IF(OR(AND(TIPOORCAMENTO="Proposto",$AG351&lt;&gt;"",$AG351&gt;0,ORÇAMENTO.CustoUnitario&gt;$AG351),AND(TIPOORCAMENTO="LICITADO",ORÇAMENTO.PrecoUnitarioLicitado&gt;$AN351)),"ACIMA REF.","")))))</f>
        <v/>
      </c>
      <c r="AD351" t="str">
        <f ca="1">IF(C351&lt;=CRONO.NivelExibicao,MAX($AD$15:OFFSET(AD351,-1,0))+IF($C351&lt;&gt;1,1,MAX(1,COUNTIF(QCI!$A$13:$A$24,OFFSET($E351,-1,0)))),"")</f>
        <v/>
      </c>
      <c r="AE351" s="7" t="str">
        <f ca="1">IF(AND($C351="S",ORÇAMENTO.CodBarra&lt;&gt;""),IF(ORÇAMENTO.Fonte="",ORÇAMENTO.CodBarra,CONCATENATE(ORÇAMENTO.Fonte," ",ORÇAMENTO.CodBarra)))</f>
        <v>SINAPI 98065</v>
      </c>
      <c r="AF351" s="13" t="str">
        <f ca="1">IF(ISERROR(INDIRECT(ORÇAMENTO.BancoRef)),"(abra o arquivo 'Referência "&amp;Excel_BuiltIn_Database&amp;".xlsm)",IF(OR($C351&lt;&gt;"S",ORÇAMENTO.CodBarra=""),"(Sem Código)",IF(ISERROR(MATCH($AE351,INDIRECT(ORÇAMENTO.BancoRef),0)),"(Código não identificado nas referências)",MATCH($AE351,INDIRECT(ORÇAMENTO.BancoRef),0))))</f>
        <v>(abra o arquivo 'Referência 06-2024.xlsm)</v>
      </c>
      <c r="AG351" s="498">
        <f ca="1">ROUND(IF(DESONERACAO="sim",REFERENCIA.Desonerado,REFERENCIA.NaoDesonerado),2)</f>
        <v>0</v>
      </c>
      <c r="AH351" s="499">
        <f t="shared" ca="1" si="69"/>
        <v>0.2432</v>
      </c>
      <c r="AJ351" s="501"/>
      <c r="AL351" s="527"/>
      <c r="AM351" s="381">
        <f t="shared" ca="1" si="70"/>
        <v>0</v>
      </c>
      <c r="AN351" s="566">
        <f t="shared" ca="1" si="71"/>
        <v>0</v>
      </c>
    </row>
    <row r="352" spans="1:40" ht="38.25" x14ac:dyDescent="0.2">
      <c r="A352" t="str">
        <f t="shared" si="56"/>
        <v>S</v>
      </c>
      <c r="B352">
        <f t="shared" ca="1" si="57"/>
        <v>2</v>
      </c>
      <c r="C352" t="str">
        <f t="shared" ca="1" si="58"/>
        <v>S</v>
      </c>
      <c r="D352">
        <f t="shared" ca="1" si="59"/>
        <v>0</v>
      </c>
      <c r="E352">
        <f ca="1">IF($C352=1,OFFSET(E352,-1,0)+MAX(1,COUNTIF(QCI!$A$13:$A$24,OFFSET(ORÇAMENTO!E352,-1,0))),OFFSET(E352,-1,0))</f>
        <v>1</v>
      </c>
      <c r="F352">
        <f t="shared" ca="1" si="60"/>
        <v>41</v>
      </c>
      <c r="G352">
        <f t="shared" ca="1" si="61"/>
        <v>0</v>
      </c>
      <c r="H352">
        <f t="shared" ca="1" si="62"/>
        <v>0</v>
      </c>
      <c r="I352">
        <f t="shared" ca="1" si="63"/>
        <v>0</v>
      </c>
      <c r="J352">
        <f t="shared" ca="1" si="89"/>
        <v>0</v>
      </c>
      <c r="K352">
        <f ca="1">IF(OR($C352="S",$C352=0),0,MATCH(OFFSET($D352,0,$C352)+IF($C352&lt;&gt;1,1,COUNTIF(QCI!$A$13:$A$24,ORÇAMENTO!E352)),OFFSET($D352,1,$C352,ROW($C$727)-ROW($C352)),0))</f>
        <v>0</v>
      </c>
      <c r="L352" s="116" t="str">
        <f t="shared" ca="1" si="64"/>
        <v/>
      </c>
      <c r="M352" s="117" t="s">
        <v>199</v>
      </c>
      <c r="N352" s="118" t="str">
        <f t="shared" ca="1" si="65"/>
        <v>Serviço</v>
      </c>
      <c r="O352" s="119" t="str">
        <f t="shared" ca="1" si="66"/>
        <v>-</v>
      </c>
      <c r="P352" s="120" t="s">
        <v>247</v>
      </c>
      <c r="Q352" s="121" t="s">
        <v>730</v>
      </c>
      <c r="R352" s="122" t="str">
        <f ca="1">IF($C352="S",REFERENCIA.Descricao,"(digite a descrição aqui)")</f>
        <v>(abra o arquivo 'Referência 06-2024.xlsm)</v>
      </c>
      <c r="S352" s="123" t="str">
        <f ca="1">REFERENCIA.Unidade</f>
        <v>-</v>
      </c>
      <c r="T352" s="124">
        <f ca="1">OFFSET(CÁLCULO!H$15,ROW($T352)-ROW(T$15),0)</f>
        <v>1</v>
      </c>
      <c r="U352" s="125">
        <f t="shared" ca="1" si="90"/>
        <v>0</v>
      </c>
      <c r="V352" s="126" t="s">
        <v>156</v>
      </c>
      <c r="W352" s="124">
        <f ca="1">IF($C352="S",ROUND(IF(TIPOORCAMENTO="Proposto",ORÇAMENTO.CustoUnitario*(1+$AH352),ORÇAMENTO.PrecoUnitarioLicitado),15-13*$AF$10),0)</f>
        <v>0</v>
      </c>
      <c r="X352" s="127">
        <f ca="1">IF($C352="S",IF(Import.TipoArredondamento&lt;&gt;"TransfereGOV",VTOTAL1,SUM(OFFSET(CÁLCULO!$AI$15,ROW($X352)-ROW($X$15),1):OFFSET(CÁLCULO!$BB$15,ROW($X352)-ROW($X$15),-1))),IF($C352=0,0,ROUND(SomaAgrup,15-13*$AF$11)))</f>
        <v>0</v>
      </c>
      <c r="Y352" s="128" t="s">
        <v>245</v>
      </c>
      <c r="Z352" t="str">
        <f t="shared" ca="1" si="67"/>
        <v/>
      </c>
      <c r="AA352" s="129">
        <f ca="1">IF($C352="S",IF($Z352="CP",$X352,IF($Z352="RA",(($X352)*QCI!$AA$3),0)),SomaAgrup)</f>
        <v>0</v>
      </c>
      <c r="AB352" s="130">
        <f t="shared" ca="1" si="68"/>
        <v>0</v>
      </c>
      <c r="AC352" s="131" t="str">
        <f ca="1">IF($N352="","",IF(ORÇAMENTO.Descricao="","DESCRIÇÃO",IF(AND($C352="S",ORÇAMENTO.Unidade=""),"UNIDADE",IF($X352&lt;0,"VALOR NEGATIVO",IF(OR(AND(TIPOORCAMENTO="Proposto",$AG352&lt;&gt;"",$AG352&gt;0,ORÇAMENTO.CustoUnitario&gt;$AG352),AND(TIPOORCAMENTO="LICITADO",ORÇAMENTO.PrecoUnitarioLicitado&gt;$AN352)),"ACIMA REF.","")))))</f>
        <v/>
      </c>
      <c r="AD352" t="str">
        <f ca="1">IF(C352&lt;=CRONO.NivelExibicao,MAX($AD$15:OFFSET(AD352,-1,0))+IF($C352&lt;&gt;1,1,MAX(1,COUNTIF(QCI!$A$13:$A$24,OFFSET($E352,-1,0)))),"")</f>
        <v/>
      </c>
      <c r="AE352" s="7" t="str">
        <f ca="1">IF(AND($C352="S",ORÇAMENTO.CodBarra&lt;&gt;""),IF(ORÇAMENTO.Fonte="",ORÇAMENTO.CodBarra,CONCATENATE(ORÇAMENTO.Fonte," ",ORÇAMENTO.CodBarra)))</f>
        <v>SINAPI 98090</v>
      </c>
      <c r="AF352" s="13" t="str">
        <f ca="1">IF(ISERROR(INDIRECT(ORÇAMENTO.BancoRef)),"(abra o arquivo 'Referência "&amp;Excel_BuiltIn_Database&amp;".xlsm)",IF(OR($C352&lt;&gt;"S",ORÇAMENTO.CodBarra=""),"(Sem Código)",IF(ISERROR(MATCH($AE352,INDIRECT(ORÇAMENTO.BancoRef),0)),"(Código não identificado nas referências)",MATCH($AE352,INDIRECT(ORÇAMENTO.BancoRef),0))))</f>
        <v>(abra o arquivo 'Referência 06-2024.xlsm)</v>
      </c>
      <c r="AG352" s="498">
        <f ca="1">ROUND(IF(DESONERACAO="sim",REFERENCIA.Desonerado,REFERENCIA.NaoDesonerado),2)</f>
        <v>0</v>
      </c>
      <c r="AH352" s="499">
        <f t="shared" ca="1" si="69"/>
        <v>0.2432</v>
      </c>
      <c r="AJ352" s="501"/>
      <c r="AL352" s="527"/>
      <c r="AM352" s="381">
        <f t="shared" ca="1" si="70"/>
        <v>0</v>
      </c>
      <c r="AN352" s="566">
        <f t="shared" ca="1" si="71"/>
        <v>0</v>
      </c>
    </row>
    <row r="353" spans="1:40" x14ac:dyDescent="0.2">
      <c r="A353">
        <f t="shared" si="56"/>
        <v>2</v>
      </c>
      <c r="B353">
        <f t="shared" ca="1" si="57"/>
        <v>2</v>
      </c>
      <c r="C353">
        <f t="shared" ca="1" si="58"/>
        <v>2</v>
      </c>
      <c r="D353">
        <f t="shared" ca="1" si="59"/>
        <v>12</v>
      </c>
      <c r="E353">
        <f ca="1">IF($C353=1,OFFSET(E353,-1,0)+MAX(1,COUNTIF(QCI!$A$13:$A$24,OFFSET(ORÇAMENTO!E353,-1,0))),OFFSET(E353,-1,0))</f>
        <v>1</v>
      </c>
      <c r="F353">
        <f t="shared" ca="1" si="60"/>
        <v>42</v>
      </c>
      <c r="G353">
        <f t="shared" ca="1" si="61"/>
        <v>0</v>
      </c>
      <c r="H353">
        <f t="shared" ca="1" si="62"/>
        <v>0</v>
      </c>
      <c r="I353">
        <f t="shared" ca="1" si="63"/>
        <v>0</v>
      </c>
      <c r="J353">
        <f t="shared" ca="1" si="89"/>
        <v>374</v>
      </c>
      <c r="K353">
        <f ca="1">IF(OR($C353="S",$C353=0),0,MATCH(OFFSET($D353,0,$C353)+IF($C353&lt;&gt;1,1,COUNTIF(QCI!$A$13:$A$24,ORÇAMENTO!E353)),OFFSET($D353,1,$C353,ROW($C$727)-ROW($C353)),0))</f>
        <v>12</v>
      </c>
      <c r="L353" s="116" t="str">
        <f t="shared" ca="1" si="64"/>
        <v>F</v>
      </c>
      <c r="M353" s="117" t="s">
        <v>196</v>
      </c>
      <c r="N353" s="118" t="str">
        <f t="shared" ca="1" si="65"/>
        <v>Nível 2</v>
      </c>
      <c r="O353" s="119" t="str">
        <f t="shared" ca="1" si="66"/>
        <v>1.42.</v>
      </c>
      <c r="P353" s="120" t="s">
        <v>247</v>
      </c>
      <c r="Q353" s="121"/>
      <c r="R353" s="122" t="s">
        <v>1067</v>
      </c>
      <c r="S353" s="123" t="str">
        <f ca="1">REFERENCIA.Unidade</f>
        <v>-</v>
      </c>
      <c r="T353" s="124">
        <f ca="1">OFFSET(CÁLCULO!H$15,ROW($T353)-ROW(T$15),0)</f>
        <v>0</v>
      </c>
      <c r="U353" s="125">
        <f t="shared" ca="1" si="90"/>
        <v>0</v>
      </c>
      <c r="V353" s="126" t="s">
        <v>156</v>
      </c>
      <c r="W353" s="124">
        <f ca="1">IF($C353="S",ROUND(IF(TIPOORCAMENTO="Proposto",ORÇAMENTO.CustoUnitario*(1+$AH353),ORÇAMENTO.PrecoUnitarioLicitado),15-13*$AF$10),0)</f>
        <v>0</v>
      </c>
      <c r="X353" s="127">
        <f ca="1">IF($C353="S",IF(Import.TipoArredondamento&lt;&gt;"TransfereGOV",VTOTAL1,SUM(OFFSET(CÁLCULO!$AI$15,ROW($X353)-ROW($X$15),1):OFFSET(CÁLCULO!$BB$15,ROW($X353)-ROW($X$15),-1))),IF($C353=0,0,ROUND(SomaAgrup,15-13*$AF$11)))</f>
        <v>0</v>
      </c>
      <c r="Y353" s="128" t="s">
        <v>245</v>
      </c>
      <c r="Z353" t="str">
        <f t="shared" ca="1" si="67"/>
        <v/>
      </c>
      <c r="AA353" s="129">
        <f ca="1">IF($C353="S",IF($Z353="CP",$X353,IF($Z353="RA",(($X353)*QCI!$AA$3),0)),SomaAgrup)</f>
        <v>0</v>
      </c>
      <c r="AB353" s="130">
        <f t="shared" ca="1" si="68"/>
        <v>0</v>
      </c>
      <c r="AC353" s="131" t="str">
        <f ca="1">IF($N353="","",IF(ORÇAMENTO.Descricao="","DESCRIÇÃO",IF(AND($C353="S",ORÇAMENTO.Unidade=""),"UNIDADE",IF($X353&lt;0,"VALOR NEGATIVO",IF(OR(AND(TIPOORCAMENTO="Proposto",$AG353&lt;&gt;"",$AG353&gt;0,ORÇAMENTO.CustoUnitario&gt;$AG353),AND(TIPOORCAMENTO="LICITADO",ORÇAMENTO.PrecoUnitarioLicitado&gt;$AN353)),"ACIMA REF.","")))))</f>
        <v/>
      </c>
      <c r="AD353">
        <f ca="1">IF(C353&lt;=CRONO.NivelExibicao,MAX($AD$15:OFFSET(AD353,-1,0))+IF($C353&lt;&gt;1,1,MAX(1,COUNTIF(QCI!$A$13:$A$24,OFFSET($E353,-1,0)))),"")</f>
        <v>43</v>
      </c>
      <c r="AE353" s="7" t="b">
        <f ca="1">IF(AND($C353="S",ORÇAMENTO.CodBarra&lt;&gt;""),IF(ORÇAMENTO.Fonte="",ORÇAMENTO.CodBarra,CONCATENATE(ORÇAMENTO.Fonte," ",ORÇAMENTO.CodBarra)))</f>
        <v>0</v>
      </c>
      <c r="AF353" s="13" t="str">
        <f ca="1">IF(ISERROR(INDIRECT(ORÇAMENTO.BancoRef)),"(abra o arquivo 'Referência "&amp;Excel_BuiltIn_Database&amp;".xlsm)",IF(OR($C353&lt;&gt;"S",ORÇAMENTO.CodBarra=""),"(Sem Código)",IF(ISERROR(MATCH($AE353,INDIRECT(ORÇAMENTO.BancoRef),0)),"(Código não identificado nas referências)",MATCH($AE353,INDIRECT(ORÇAMENTO.BancoRef),0))))</f>
        <v>(abra o arquivo 'Referência 06-2024.xlsm)</v>
      </c>
      <c r="AG353" s="498">
        <f ca="1">ROUND(IF(DESONERACAO="sim",REFERENCIA.Desonerado,REFERENCIA.NaoDesonerado),2)</f>
        <v>0</v>
      </c>
      <c r="AH353" s="499">
        <f t="shared" ca="1" si="69"/>
        <v>0.2432</v>
      </c>
      <c r="AJ353" s="501"/>
      <c r="AL353" s="527"/>
      <c r="AM353" s="381">
        <f t="shared" ca="1" si="70"/>
        <v>0</v>
      </c>
      <c r="AN353" s="566">
        <f t="shared" ca="1" si="71"/>
        <v>0</v>
      </c>
    </row>
    <row r="354" spans="1:40" ht="38.25" x14ac:dyDescent="0.2">
      <c r="A354" t="str">
        <f t="shared" si="56"/>
        <v>S</v>
      </c>
      <c r="B354">
        <f t="shared" ca="1" si="57"/>
        <v>2</v>
      </c>
      <c r="C354" t="str">
        <f t="shared" ca="1" si="58"/>
        <v>S</v>
      </c>
      <c r="D354">
        <f t="shared" ca="1" si="59"/>
        <v>0</v>
      </c>
      <c r="E354">
        <f ca="1">IF($C354=1,OFFSET(E354,-1,0)+MAX(1,COUNTIF(QCI!$A$13:$A$24,OFFSET(ORÇAMENTO!E354,-1,0))),OFFSET(E354,-1,0))</f>
        <v>1</v>
      </c>
      <c r="F354">
        <f t="shared" ca="1" si="60"/>
        <v>42</v>
      </c>
      <c r="G354">
        <f t="shared" ca="1" si="61"/>
        <v>0</v>
      </c>
      <c r="H354">
        <f t="shared" ca="1" si="62"/>
        <v>0</v>
      </c>
      <c r="I354">
        <f t="shared" ca="1" si="63"/>
        <v>0</v>
      </c>
      <c r="J354">
        <f t="shared" ca="1" si="89"/>
        <v>0</v>
      </c>
      <c r="K354">
        <f ca="1">IF(OR($C354="S",$C354=0),0,MATCH(OFFSET($D354,0,$C354)+IF($C354&lt;&gt;1,1,COUNTIF(QCI!$A$13:$A$24,ORÇAMENTO!E354)),OFFSET($D354,1,$C354,ROW($C$727)-ROW($C354)),0))</f>
        <v>0</v>
      </c>
      <c r="L354" s="116" t="str">
        <f t="shared" ca="1" si="64"/>
        <v/>
      </c>
      <c r="M354" s="117" t="s">
        <v>199</v>
      </c>
      <c r="N354" s="118" t="str">
        <f t="shared" ca="1" si="65"/>
        <v>Serviço</v>
      </c>
      <c r="O354" s="119" t="str">
        <f t="shared" ca="1" si="66"/>
        <v>-</v>
      </c>
      <c r="P354" s="120" t="s">
        <v>247</v>
      </c>
      <c r="Q354" s="121" t="s">
        <v>707</v>
      </c>
      <c r="R354" s="122" t="str">
        <f ca="1">IF($C354="S",REFERENCIA.Descricao,"(digite a descrição aqui)")</f>
        <v>(abra o arquivo 'Referência 06-2024.xlsm)</v>
      </c>
      <c r="S354" s="123" t="str">
        <f ca="1">REFERENCIA.Unidade</f>
        <v>-</v>
      </c>
      <c r="T354" s="124">
        <f ca="1">OFFSET(CÁLCULO!H$15,ROW($T354)-ROW(T$15),0)</f>
        <v>46</v>
      </c>
      <c r="U354" s="125">
        <f t="shared" ca="1" si="90"/>
        <v>0</v>
      </c>
      <c r="V354" s="126" t="s">
        <v>156</v>
      </c>
      <c r="W354" s="124">
        <f ca="1">IF($C354="S",ROUND(IF(TIPOORCAMENTO="Proposto",ORÇAMENTO.CustoUnitario*(1+$AH354),ORÇAMENTO.PrecoUnitarioLicitado),15-13*$AF$10),0)</f>
        <v>0</v>
      </c>
      <c r="X354" s="127">
        <f ca="1">IF($C354="S",IF(Import.TipoArredondamento&lt;&gt;"TransfereGOV",VTOTAL1,SUM(OFFSET(CÁLCULO!$AI$15,ROW($X354)-ROW($X$15),1):OFFSET(CÁLCULO!$BB$15,ROW($X354)-ROW($X$15),-1))),IF($C354=0,0,ROUND(SomaAgrup,15-13*$AF$11)))</f>
        <v>0</v>
      </c>
      <c r="Y354" s="128" t="s">
        <v>245</v>
      </c>
      <c r="Z354" t="str">
        <f t="shared" ca="1" si="67"/>
        <v/>
      </c>
      <c r="AA354" s="129">
        <f ca="1">IF($C354="S",IF($Z354="CP",$X354,IF($Z354="RA",(($X354)*QCI!$AA$3),0)),SomaAgrup)</f>
        <v>0</v>
      </c>
      <c r="AB354" s="130">
        <f t="shared" ca="1" si="68"/>
        <v>0</v>
      </c>
      <c r="AC354" s="131" t="str">
        <f ca="1">IF($N354="","",IF(ORÇAMENTO.Descricao="","DESCRIÇÃO",IF(AND($C354="S",ORÇAMENTO.Unidade=""),"UNIDADE",IF($X354&lt;0,"VALOR NEGATIVO",IF(OR(AND(TIPOORCAMENTO="Proposto",$AG354&lt;&gt;"",$AG354&gt;0,ORÇAMENTO.CustoUnitario&gt;$AG354),AND(TIPOORCAMENTO="LICITADO",ORÇAMENTO.PrecoUnitarioLicitado&gt;$AN354)),"ACIMA REF.","")))))</f>
        <v/>
      </c>
      <c r="AD354" t="str">
        <f ca="1">IF(C354&lt;=CRONO.NivelExibicao,MAX($AD$15:OFFSET(AD354,-1,0))+IF($C354&lt;&gt;1,1,MAX(1,COUNTIF(QCI!$A$13:$A$24,OFFSET($E354,-1,0)))),"")</f>
        <v/>
      </c>
      <c r="AE354" s="7" t="str">
        <f ca="1">IF(AND($C354="S",ORÇAMENTO.CodBarra&lt;&gt;""),IF(ORÇAMENTO.Fonte="",ORÇAMENTO.CodBarra,CONCATENATE(ORÇAMENTO.Fonte," ",ORÇAMENTO.CodBarra)))</f>
        <v>SINAPI 89732</v>
      </c>
      <c r="AF354" s="13" t="str">
        <f ca="1">IF(ISERROR(INDIRECT(ORÇAMENTO.BancoRef)),"(abra o arquivo 'Referência "&amp;Excel_BuiltIn_Database&amp;".xlsm)",IF(OR($C354&lt;&gt;"S",ORÇAMENTO.CodBarra=""),"(Sem Código)",IF(ISERROR(MATCH($AE354,INDIRECT(ORÇAMENTO.BancoRef),0)),"(Código não identificado nas referências)",MATCH($AE354,INDIRECT(ORÇAMENTO.BancoRef),0))))</f>
        <v>(abra o arquivo 'Referência 06-2024.xlsm)</v>
      </c>
      <c r="AG354" s="498">
        <f ca="1">ROUND(IF(DESONERACAO="sim",REFERENCIA.Desonerado,REFERENCIA.NaoDesonerado),2)</f>
        <v>0</v>
      </c>
      <c r="AH354" s="499">
        <f t="shared" ca="1" si="69"/>
        <v>0.2432</v>
      </c>
      <c r="AJ354" s="501"/>
      <c r="AL354" s="527"/>
      <c r="AM354" s="381">
        <f t="shared" ca="1" si="70"/>
        <v>0</v>
      </c>
      <c r="AN354" s="566">
        <f t="shared" ca="1" si="71"/>
        <v>0</v>
      </c>
    </row>
    <row r="355" spans="1:40" ht="38.25" x14ac:dyDescent="0.2">
      <c r="A355" t="str">
        <f t="shared" si="56"/>
        <v>S</v>
      </c>
      <c r="B355">
        <f t="shared" ca="1" si="57"/>
        <v>2</v>
      </c>
      <c r="C355" t="str">
        <f t="shared" ca="1" si="58"/>
        <v>S</v>
      </c>
      <c r="D355">
        <f t="shared" ca="1" si="59"/>
        <v>0</v>
      </c>
      <c r="E355">
        <f ca="1">IF($C355=1,OFFSET(E355,-1,0)+MAX(1,COUNTIF(QCI!$A$13:$A$24,OFFSET(ORÇAMENTO!E355,-1,0))),OFFSET(E355,-1,0))</f>
        <v>1</v>
      </c>
      <c r="F355">
        <f t="shared" ca="1" si="60"/>
        <v>42</v>
      </c>
      <c r="G355">
        <f t="shared" ca="1" si="61"/>
        <v>0</v>
      </c>
      <c r="H355">
        <f t="shared" ca="1" si="62"/>
        <v>0</v>
      </c>
      <c r="I355">
        <f t="shared" ca="1" si="63"/>
        <v>0</v>
      </c>
      <c r="J355">
        <f t="shared" ca="1" si="89"/>
        <v>0</v>
      </c>
      <c r="K355">
        <f ca="1">IF(OR($C355="S",$C355=0),0,MATCH(OFFSET($D355,0,$C355)+IF($C355&lt;&gt;1,1,COUNTIF(QCI!$A$13:$A$24,ORÇAMENTO!E355)),OFFSET($D355,1,$C355,ROW($C$727)-ROW($C355)),0))</f>
        <v>0</v>
      </c>
      <c r="L355" s="116" t="str">
        <f t="shared" ca="1" si="64"/>
        <v/>
      </c>
      <c r="M355" s="117" t="s">
        <v>199</v>
      </c>
      <c r="N355" s="118" t="str">
        <f t="shared" ca="1" si="65"/>
        <v>Serviço</v>
      </c>
      <c r="O355" s="119" t="str">
        <f t="shared" ca="1" si="66"/>
        <v>-</v>
      </c>
      <c r="P355" s="120" t="s">
        <v>247</v>
      </c>
      <c r="Q355" s="121" t="s">
        <v>731</v>
      </c>
      <c r="R355" s="122" t="str">
        <f ca="1">IF($C355="S",REFERENCIA.Descricao,"(digite a descrição aqui)")</f>
        <v>(abra o arquivo 'Referência 06-2024.xlsm)</v>
      </c>
      <c r="S355" s="123" t="str">
        <f ca="1">REFERENCIA.Unidade</f>
        <v>-</v>
      </c>
      <c r="T355" s="124">
        <f ca="1">OFFSET(CÁLCULO!H$15,ROW($T355)-ROW(T$15),0)</f>
        <v>248</v>
      </c>
      <c r="U355" s="125">
        <f t="shared" ca="1" si="90"/>
        <v>0</v>
      </c>
      <c r="V355" s="126" t="s">
        <v>156</v>
      </c>
      <c r="W355" s="124">
        <f ca="1">IF($C355="S",ROUND(IF(TIPOORCAMENTO="Proposto",ORÇAMENTO.CustoUnitario*(1+$AH355),ORÇAMENTO.PrecoUnitarioLicitado),15-13*$AF$10),0)</f>
        <v>0</v>
      </c>
      <c r="X355" s="127">
        <f ca="1">IF($C355="S",IF(Import.TipoArredondamento&lt;&gt;"TransfereGOV",VTOTAL1,SUM(OFFSET(CÁLCULO!$AI$15,ROW($X355)-ROW($X$15),1):OFFSET(CÁLCULO!$BB$15,ROW($X355)-ROW($X$15),-1))),IF($C355=0,0,ROUND(SomaAgrup,15-13*$AF$11)))</f>
        <v>0</v>
      </c>
      <c r="Y355" s="128" t="s">
        <v>245</v>
      </c>
      <c r="Z355" t="str">
        <f t="shared" ca="1" si="67"/>
        <v/>
      </c>
      <c r="AA355" s="129">
        <f ca="1">IF($C355="S",IF($Z355="CP",$X355,IF($Z355="RA",(($X355)*QCI!$AA$3),0)),SomaAgrup)</f>
        <v>0</v>
      </c>
      <c r="AB355" s="130">
        <f t="shared" ca="1" si="68"/>
        <v>0</v>
      </c>
      <c r="AC355" s="131" t="str">
        <f ca="1">IF($N355="","",IF(ORÇAMENTO.Descricao="","DESCRIÇÃO",IF(AND($C355="S",ORÇAMENTO.Unidade=""),"UNIDADE",IF($X355&lt;0,"VALOR NEGATIVO",IF(OR(AND(TIPOORCAMENTO="Proposto",$AG355&lt;&gt;"",$AG355&gt;0,ORÇAMENTO.CustoUnitario&gt;$AG355),AND(TIPOORCAMENTO="LICITADO",ORÇAMENTO.PrecoUnitarioLicitado&gt;$AN355)),"ACIMA REF.","")))))</f>
        <v/>
      </c>
      <c r="AD355" t="str">
        <f ca="1">IF(C355&lt;=CRONO.NivelExibicao,MAX($AD$15:OFFSET(AD355,-1,0))+IF($C355&lt;&gt;1,1,MAX(1,COUNTIF(QCI!$A$13:$A$24,OFFSET($E355,-1,0)))),"")</f>
        <v/>
      </c>
      <c r="AE355" s="7" t="str">
        <f ca="1">IF(AND($C355="S",ORÇAMENTO.CodBarra&lt;&gt;""),IF(ORÇAMENTO.Fonte="",ORÇAMENTO.CodBarra,CONCATENATE(ORÇAMENTO.Fonte," ",ORÇAMENTO.CodBarra)))</f>
        <v>SINAPI 89801</v>
      </c>
      <c r="AF355" s="13" t="str">
        <f ca="1">IF(ISERROR(INDIRECT(ORÇAMENTO.BancoRef)),"(abra o arquivo 'Referência "&amp;Excel_BuiltIn_Database&amp;".xlsm)",IF(OR($C355&lt;&gt;"S",ORÇAMENTO.CodBarra=""),"(Sem Código)",IF(ISERROR(MATCH($AE355,INDIRECT(ORÇAMENTO.BancoRef),0)),"(Código não identificado nas referências)",MATCH($AE355,INDIRECT(ORÇAMENTO.BancoRef),0))))</f>
        <v>(abra o arquivo 'Referência 06-2024.xlsm)</v>
      </c>
      <c r="AG355" s="498">
        <f ca="1">ROUND(IF(DESONERACAO="sim",REFERENCIA.Desonerado,REFERENCIA.NaoDesonerado),2)</f>
        <v>0</v>
      </c>
      <c r="AH355" s="499">
        <f t="shared" ca="1" si="69"/>
        <v>0.2432</v>
      </c>
      <c r="AJ355" s="501"/>
      <c r="AL355" s="527"/>
      <c r="AM355" s="381">
        <f t="shared" ca="1" si="70"/>
        <v>0</v>
      </c>
      <c r="AN355" s="566">
        <f t="shared" ca="1" si="71"/>
        <v>0</v>
      </c>
    </row>
    <row r="356" spans="1:40" ht="38.25" x14ac:dyDescent="0.2">
      <c r="A356" t="str">
        <f t="shared" si="56"/>
        <v>S</v>
      </c>
      <c r="B356">
        <f t="shared" ca="1" si="57"/>
        <v>2</v>
      </c>
      <c r="C356" t="str">
        <f t="shared" ca="1" si="58"/>
        <v>S</v>
      </c>
      <c r="D356">
        <f t="shared" ca="1" si="59"/>
        <v>0</v>
      </c>
      <c r="E356">
        <f ca="1">IF($C356=1,OFFSET(E356,-1,0)+MAX(1,COUNTIF(QCI!$A$13:$A$24,OFFSET(ORÇAMENTO!E356,-1,0))),OFFSET(E356,-1,0))</f>
        <v>1</v>
      </c>
      <c r="F356">
        <f t="shared" ca="1" si="60"/>
        <v>42</v>
      </c>
      <c r="G356">
        <f t="shared" ca="1" si="61"/>
        <v>0</v>
      </c>
      <c r="H356">
        <f t="shared" ca="1" si="62"/>
        <v>0</v>
      </c>
      <c r="I356">
        <f t="shared" ca="1" si="63"/>
        <v>0</v>
      </c>
      <c r="J356">
        <f t="shared" ca="1" si="89"/>
        <v>0</v>
      </c>
      <c r="K356">
        <f ca="1">IF(OR($C356="S",$C356=0),0,MATCH(OFFSET($D356,0,$C356)+IF($C356&lt;&gt;1,1,COUNTIF(QCI!$A$13:$A$24,ORÇAMENTO!E356)),OFFSET($D356,1,$C356,ROW($C$727)-ROW($C356)),0))</f>
        <v>0</v>
      </c>
      <c r="L356" s="116" t="str">
        <f t="shared" ca="1" si="64"/>
        <v/>
      </c>
      <c r="M356" s="117" t="s">
        <v>199</v>
      </c>
      <c r="N356" s="118" t="str">
        <f t="shared" ca="1" si="65"/>
        <v>Serviço</v>
      </c>
      <c r="O356" s="119" t="str">
        <f t="shared" ca="1" si="66"/>
        <v>-</v>
      </c>
      <c r="P356" s="120" t="s">
        <v>247</v>
      </c>
      <c r="Q356" s="121" t="s">
        <v>732</v>
      </c>
      <c r="R356" s="122" t="str">
        <f ca="1">IF($C356="S",REFERENCIA.Descricao,"(digite a descrição aqui)")</f>
        <v>(abra o arquivo 'Referência 06-2024.xlsm)</v>
      </c>
      <c r="S356" s="123" t="str">
        <f ca="1">REFERENCIA.Unidade</f>
        <v>-</v>
      </c>
      <c r="T356" s="124">
        <f ca="1">OFFSET(CÁLCULO!H$15,ROW($T356)-ROW(T$15),0)</f>
        <v>2</v>
      </c>
      <c r="U356" s="125">
        <f t="shared" ca="1" si="90"/>
        <v>0</v>
      </c>
      <c r="V356" s="126" t="s">
        <v>156</v>
      </c>
      <c r="W356" s="124">
        <f ca="1">IF($C356="S",ROUND(IF(TIPOORCAMENTO="Proposto",ORÇAMENTO.CustoUnitario*(1+$AH356),ORÇAMENTO.PrecoUnitarioLicitado),15-13*$AF$10),0)</f>
        <v>0</v>
      </c>
      <c r="X356" s="127">
        <f ca="1">IF($C356="S",IF(Import.TipoArredondamento&lt;&gt;"TransfereGOV",VTOTAL1,SUM(OFFSET(CÁLCULO!$AI$15,ROW($X356)-ROW($X$15),1):OFFSET(CÁLCULO!$BB$15,ROW($X356)-ROW($X$15),-1))),IF($C356=0,0,ROUND(SomaAgrup,15-13*$AF$11)))</f>
        <v>0</v>
      </c>
      <c r="Y356" s="128" t="s">
        <v>245</v>
      </c>
      <c r="Z356" t="str">
        <f t="shared" ca="1" si="67"/>
        <v/>
      </c>
      <c r="AA356" s="129">
        <f ca="1">IF($C356="S",IF($Z356="CP",$X356,IF($Z356="RA",(($X356)*QCI!$AA$3),0)),SomaAgrup)</f>
        <v>0</v>
      </c>
      <c r="AB356" s="130">
        <f t="shared" ca="1" si="68"/>
        <v>0</v>
      </c>
      <c r="AC356" s="131" t="str">
        <f ca="1">IF($N356="","",IF(ORÇAMENTO.Descricao="","DESCRIÇÃO",IF(AND($C356="S",ORÇAMENTO.Unidade=""),"UNIDADE",IF($X356&lt;0,"VALOR NEGATIVO",IF(OR(AND(TIPOORCAMENTO="Proposto",$AG356&lt;&gt;"",$AG356&gt;0,ORÇAMENTO.CustoUnitario&gt;$AG356),AND(TIPOORCAMENTO="LICITADO",ORÇAMENTO.PrecoUnitarioLicitado&gt;$AN356)),"ACIMA REF.","")))))</f>
        <v/>
      </c>
      <c r="AD356" t="str">
        <f ca="1">IF(C356&lt;=CRONO.NivelExibicao,MAX($AD$15:OFFSET(AD356,-1,0))+IF($C356&lt;&gt;1,1,MAX(1,COUNTIF(QCI!$A$13:$A$24,OFFSET($E356,-1,0)))),"")</f>
        <v/>
      </c>
      <c r="AE356" s="7" t="str">
        <f ca="1">IF(AND($C356="S",ORÇAMENTO.CodBarra&lt;&gt;""),IF(ORÇAMENTO.Fonte="",ORÇAMENTO.CodBarra,CONCATENATE(ORÇAMENTO.Fonte," ",ORÇAMENTO.CodBarra)))</f>
        <v>SINAPI 89805</v>
      </c>
      <c r="AF356" s="13" t="str">
        <f ca="1">IF(ISERROR(INDIRECT(ORÇAMENTO.BancoRef)),"(abra o arquivo 'Referência "&amp;Excel_BuiltIn_Database&amp;".xlsm)",IF(OR($C356&lt;&gt;"S",ORÇAMENTO.CodBarra=""),"(Sem Código)",IF(ISERROR(MATCH($AE356,INDIRECT(ORÇAMENTO.BancoRef),0)),"(Código não identificado nas referências)",MATCH($AE356,INDIRECT(ORÇAMENTO.BancoRef),0))))</f>
        <v>(abra o arquivo 'Referência 06-2024.xlsm)</v>
      </c>
      <c r="AG356" s="498">
        <f ca="1">ROUND(IF(DESONERACAO="sim",REFERENCIA.Desonerado,REFERENCIA.NaoDesonerado),2)</f>
        <v>0</v>
      </c>
      <c r="AH356" s="499">
        <f t="shared" ca="1" si="69"/>
        <v>0.2432</v>
      </c>
      <c r="AJ356" s="501"/>
      <c r="AL356" s="527"/>
      <c r="AM356" s="381">
        <f t="shared" ca="1" si="70"/>
        <v>0</v>
      </c>
      <c r="AN356" s="566">
        <f t="shared" ca="1" si="71"/>
        <v>0</v>
      </c>
    </row>
    <row r="357" spans="1:40" ht="38.25" x14ac:dyDescent="0.2">
      <c r="A357" t="str">
        <f t="shared" si="56"/>
        <v>S</v>
      </c>
      <c r="B357">
        <f t="shared" ca="1" si="57"/>
        <v>2</v>
      </c>
      <c r="C357" t="str">
        <f t="shared" ca="1" si="58"/>
        <v>S</v>
      </c>
      <c r="D357">
        <f t="shared" ca="1" si="59"/>
        <v>0</v>
      </c>
      <c r="E357">
        <f ca="1">IF($C357=1,OFFSET(E357,-1,0)+MAX(1,COUNTIF(QCI!$A$13:$A$24,OFFSET(ORÇAMENTO!E357,-1,0))),OFFSET(E357,-1,0))</f>
        <v>1</v>
      </c>
      <c r="F357">
        <f t="shared" ca="1" si="60"/>
        <v>42</v>
      </c>
      <c r="G357">
        <f t="shared" ca="1" si="61"/>
        <v>0</v>
      </c>
      <c r="H357">
        <f t="shared" ca="1" si="62"/>
        <v>0</v>
      </c>
      <c r="I357">
        <f t="shared" ca="1" si="63"/>
        <v>0</v>
      </c>
      <c r="J357">
        <f t="shared" ca="1" si="89"/>
        <v>0</v>
      </c>
      <c r="K357">
        <f ca="1">IF(OR($C357="S",$C357=0),0,MATCH(OFFSET($D357,0,$C357)+IF($C357&lt;&gt;1,1,COUNTIF(QCI!$A$13:$A$24,ORÇAMENTO!E357)),OFFSET($D357,1,$C357,ROW($C$727)-ROW($C357)),0))</f>
        <v>0</v>
      </c>
      <c r="L357" s="116" t="str">
        <f t="shared" ca="1" si="64"/>
        <v/>
      </c>
      <c r="M357" s="117" t="s">
        <v>199</v>
      </c>
      <c r="N357" s="118" t="str">
        <f t="shared" ca="1" si="65"/>
        <v>Serviço</v>
      </c>
      <c r="O357" s="119" t="str">
        <f t="shared" ca="1" si="66"/>
        <v>-</v>
      </c>
      <c r="P357" s="120" t="s">
        <v>247</v>
      </c>
      <c r="Q357" s="121" t="s">
        <v>721</v>
      </c>
      <c r="R357" s="122" t="str">
        <f ca="1">IF($C357="S",REFERENCIA.Descricao,"(digite a descrição aqui)")</f>
        <v>(abra o arquivo 'Referência 06-2024.xlsm)</v>
      </c>
      <c r="S357" s="123" t="str">
        <f ca="1">REFERENCIA.Unidade</f>
        <v>-</v>
      </c>
      <c r="T357" s="124">
        <f ca="1">OFFSET(CÁLCULO!H$15,ROW($T357)-ROW(T$15),0)</f>
        <v>39</v>
      </c>
      <c r="U357" s="125">
        <f t="shared" ca="1" si="90"/>
        <v>0</v>
      </c>
      <c r="V357" s="126" t="s">
        <v>156</v>
      </c>
      <c r="W357" s="124">
        <f ca="1">IF($C357="S",ROUND(IF(TIPOORCAMENTO="Proposto",ORÇAMENTO.CustoUnitario*(1+$AH357),ORÇAMENTO.PrecoUnitarioLicitado),15-13*$AF$10),0)</f>
        <v>0</v>
      </c>
      <c r="X357" s="127">
        <f ca="1">IF($C357="S",IF(Import.TipoArredondamento&lt;&gt;"TransfereGOV",VTOTAL1,SUM(OFFSET(CÁLCULO!$AI$15,ROW($X357)-ROW($X$15),1):OFFSET(CÁLCULO!$BB$15,ROW($X357)-ROW($X$15),-1))),IF($C357=0,0,ROUND(SomaAgrup,15-13*$AF$11)))</f>
        <v>0</v>
      </c>
      <c r="Y357" s="128" t="s">
        <v>245</v>
      </c>
      <c r="Z357" t="str">
        <f t="shared" ca="1" si="67"/>
        <v/>
      </c>
      <c r="AA357" s="129">
        <f ca="1">IF($C357="S",IF($Z357="CP",$X357,IF($Z357="RA",(($X357)*QCI!$AA$3),0)),SomaAgrup)</f>
        <v>0</v>
      </c>
      <c r="AB357" s="130">
        <f t="shared" ca="1" si="68"/>
        <v>0</v>
      </c>
      <c r="AC357" s="131" t="str">
        <f ca="1">IF($N357="","",IF(ORÇAMENTO.Descricao="","DESCRIÇÃO",IF(AND($C357="S",ORÇAMENTO.Unidade=""),"UNIDADE",IF($X357&lt;0,"VALOR NEGATIVO",IF(OR(AND(TIPOORCAMENTO="Proposto",$AG357&lt;&gt;"",$AG357&gt;0,ORÇAMENTO.CustoUnitario&gt;$AG357),AND(TIPOORCAMENTO="LICITADO",ORÇAMENTO.PrecoUnitarioLicitado&gt;$AN357)),"ACIMA REF.","")))))</f>
        <v/>
      </c>
      <c r="AD357" t="str">
        <f ca="1">IF(C357&lt;=CRONO.NivelExibicao,MAX($AD$15:OFFSET(AD357,-1,0))+IF($C357&lt;&gt;1,1,MAX(1,COUNTIF(QCI!$A$13:$A$24,OFFSET($E357,-1,0)))),"")</f>
        <v/>
      </c>
      <c r="AE357" s="7" t="str">
        <f ca="1">IF(AND($C357="S",ORÇAMENTO.CodBarra&lt;&gt;""),IF(ORÇAMENTO.Fonte="",ORÇAMENTO.CodBarra,CONCATENATE(ORÇAMENTO.Fonte," ",ORÇAMENTO.CodBarra)))</f>
        <v>SINAPI 89827</v>
      </c>
      <c r="AF357" s="13" t="str">
        <f ca="1">IF(ISERROR(INDIRECT(ORÇAMENTO.BancoRef)),"(abra o arquivo 'Referência "&amp;Excel_BuiltIn_Database&amp;".xlsm)",IF(OR($C357&lt;&gt;"S",ORÇAMENTO.CodBarra=""),"(Sem Código)",IF(ISERROR(MATCH($AE357,INDIRECT(ORÇAMENTO.BancoRef),0)),"(Código não identificado nas referências)",MATCH($AE357,INDIRECT(ORÇAMENTO.BancoRef),0))))</f>
        <v>(abra o arquivo 'Referência 06-2024.xlsm)</v>
      </c>
      <c r="AG357" s="498">
        <f ca="1">ROUND(IF(DESONERACAO="sim",REFERENCIA.Desonerado,REFERENCIA.NaoDesonerado),2)</f>
        <v>0</v>
      </c>
      <c r="AH357" s="499">
        <f t="shared" ca="1" si="69"/>
        <v>0.2432</v>
      </c>
      <c r="AJ357" s="501"/>
      <c r="AL357" s="527"/>
      <c r="AM357" s="381">
        <f t="shared" ca="1" si="70"/>
        <v>0</v>
      </c>
      <c r="AN357" s="566">
        <f t="shared" ca="1" si="71"/>
        <v>0</v>
      </c>
    </row>
    <row r="358" spans="1:40" ht="38.25" x14ac:dyDescent="0.2">
      <c r="A358" t="str">
        <f t="shared" si="56"/>
        <v>S</v>
      </c>
      <c r="B358">
        <f t="shared" ca="1" si="57"/>
        <v>2</v>
      </c>
      <c r="C358" t="str">
        <f t="shared" ca="1" si="58"/>
        <v>S</v>
      </c>
      <c r="D358">
        <f t="shared" ca="1" si="59"/>
        <v>0</v>
      </c>
      <c r="E358">
        <f ca="1">IF($C358=1,OFFSET(E358,-1,0)+MAX(1,COUNTIF(QCI!$A$13:$A$24,OFFSET(ORÇAMENTO!E358,-1,0))),OFFSET(E358,-1,0))</f>
        <v>1</v>
      </c>
      <c r="F358">
        <f t="shared" ca="1" si="60"/>
        <v>42</v>
      </c>
      <c r="G358">
        <f t="shared" ca="1" si="61"/>
        <v>0</v>
      </c>
      <c r="H358">
        <f t="shared" ca="1" si="62"/>
        <v>0</v>
      </c>
      <c r="I358">
        <f t="shared" ca="1" si="63"/>
        <v>0</v>
      </c>
      <c r="J358">
        <f t="shared" ca="1" si="89"/>
        <v>0</v>
      </c>
      <c r="K358">
        <f ca="1">IF(OR($C358="S",$C358=0),0,MATCH(OFFSET($D358,0,$C358)+IF($C358&lt;&gt;1,1,COUNTIF(QCI!$A$13:$A$24,ORÇAMENTO!E358)),OFFSET($D358,1,$C358,ROW($C$727)-ROW($C358)),0))</f>
        <v>0</v>
      </c>
      <c r="L358" s="116" t="str">
        <f t="shared" ca="1" si="64"/>
        <v/>
      </c>
      <c r="M358" s="117" t="s">
        <v>199</v>
      </c>
      <c r="N358" s="118" t="str">
        <f t="shared" ca="1" si="65"/>
        <v>Serviço</v>
      </c>
      <c r="O358" s="119" t="str">
        <f t="shared" ca="1" si="66"/>
        <v>-</v>
      </c>
      <c r="P358" s="120" t="s">
        <v>247</v>
      </c>
      <c r="Q358" s="121" t="s">
        <v>733</v>
      </c>
      <c r="R358" s="122" t="str">
        <f ca="1">IF($C358="S",REFERENCIA.Descricao,"(digite a descrição aqui)")</f>
        <v>(abra o arquivo 'Referência 06-2024.xlsm)</v>
      </c>
      <c r="S358" s="123" t="str">
        <f ca="1">REFERENCIA.Unidade</f>
        <v>-</v>
      </c>
      <c r="T358" s="124">
        <f ca="1">OFFSET(CÁLCULO!H$15,ROW($T358)-ROW(T$15),0)</f>
        <v>2</v>
      </c>
      <c r="U358" s="125">
        <f t="shared" ca="1" si="90"/>
        <v>0</v>
      </c>
      <c r="V358" s="126" t="s">
        <v>156</v>
      </c>
      <c r="W358" s="124">
        <f ca="1">IF($C358="S",ROUND(IF(TIPOORCAMENTO="Proposto",ORÇAMENTO.CustoUnitario*(1+$AH358),ORÇAMENTO.PrecoUnitarioLicitado),15-13*$AF$10),0)</f>
        <v>0</v>
      </c>
      <c r="X358" s="127">
        <f ca="1">IF($C358="S",IF(Import.TipoArredondamento&lt;&gt;"TransfereGOV",VTOTAL1,SUM(OFFSET(CÁLCULO!$AI$15,ROW($X358)-ROW($X$15),1):OFFSET(CÁLCULO!$BB$15,ROW($X358)-ROW($X$15),-1))),IF($C358=0,0,ROUND(SomaAgrup,15-13*$AF$11)))</f>
        <v>0</v>
      </c>
      <c r="Y358" s="128" t="s">
        <v>245</v>
      </c>
      <c r="Z358" t="str">
        <f t="shared" ca="1" si="67"/>
        <v/>
      </c>
      <c r="AA358" s="129">
        <f ca="1">IF($C358="S",IF($Z358="CP",$X358,IF($Z358="RA",(($X358)*QCI!$AA$3),0)),SomaAgrup)</f>
        <v>0</v>
      </c>
      <c r="AB358" s="130">
        <f t="shared" ca="1" si="68"/>
        <v>0</v>
      </c>
      <c r="AC358" s="131" t="str">
        <f ca="1">IF($N358="","",IF(ORÇAMENTO.Descricao="","DESCRIÇÃO",IF(AND($C358="S",ORÇAMENTO.Unidade=""),"UNIDADE",IF($X358&lt;0,"VALOR NEGATIVO",IF(OR(AND(TIPOORCAMENTO="Proposto",$AG358&lt;&gt;"",$AG358&gt;0,ORÇAMENTO.CustoUnitario&gt;$AG358),AND(TIPOORCAMENTO="LICITADO",ORÇAMENTO.PrecoUnitarioLicitado&gt;$AN358)),"ACIMA REF.","")))))</f>
        <v/>
      </c>
      <c r="AD358" t="str">
        <f ca="1">IF(C358&lt;=CRONO.NivelExibicao,MAX($AD$15:OFFSET(AD358,-1,0))+IF($C358&lt;&gt;1,1,MAX(1,COUNTIF(QCI!$A$13:$A$24,OFFSET($E358,-1,0)))),"")</f>
        <v/>
      </c>
      <c r="AE358" s="7" t="str">
        <f ca="1">IF(AND($C358="S",ORÇAMENTO.CodBarra&lt;&gt;""),IF(ORÇAMENTO.Fonte="",ORÇAMENTO.CodBarra,CONCATENATE(ORÇAMENTO.Fonte," ",ORÇAMENTO.CodBarra)))</f>
        <v>SINAPI 89813</v>
      </c>
      <c r="AF358" s="13" t="str">
        <f ca="1">IF(ISERROR(INDIRECT(ORÇAMENTO.BancoRef)),"(abra o arquivo 'Referência "&amp;Excel_BuiltIn_Database&amp;".xlsm)",IF(OR($C358&lt;&gt;"S",ORÇAMENTO.CodBarra=""),"(Sem Código)",IF(ISERROR(MATCH($AE358,INDIRECT(ORÇAMENTO.BancoRef),0)),"(Código não identificado nas referências)",MATCH($AE358,INDIRECT(ORÇAMENTO.BancoRef),0))))</f>
        <v>(abra o arquivo 'Referência 06-2024.xlsm)</v>
      </c>
      <c r="AG358" s="498">
        <f ca="1">ROUND(IF(DESONERACAO="sim",REFERENCIA.Desonerado,REFERENCIA.NaoDesonerado),2)</f>
        <v>0</v>
      </c>
      <c r="AH358" s="499">
        <f t="shared" ca="1" si="69"/>
        <v>0.2432</v>
      </c>
      <c r="AJ358" s="501"/>
      <c r="AL358" s="527"/>
      <c r="AM358" s="381">
        <f t="shared" ca="1" si="70"/>
        <v>0</v>
      </c>
      <c r="AN358" s="566">
        <f t="shared" ca="1" si="71"/>
        <v>0</v>
      </c>
    </row>
    <row r="359" spans="1:40" ht="38.25" x14ac:dyDescent="0.2">
      <c r="A359" t="str">
        <f t="shared" si="56"/>
        <v>S</v>
      </c>
      <c r="B359">
        <f t="shared" ca="1" si="57"/>
        <v>2</v>
      </c>
      <c r="C359" t="str">
        <f t="shared" ca="1" si="58"/>
        <v>S</v>
      </c>
      <c r="D359">
        <f t="shared" ca="1" si="59"/>
        <v>0</v>
      </c>
      <c r="E359">
        <f ca="1">IF($C359=1,OFFSET(E359,-1,0)+MAX(1,COUNTIF(QCI!$A$13:$A$24,OFFSET(ORÇAMENTO!E359,-1,0))),OFFSET(E359,-1,0))</f>
        <v>1</v>
      </c>
      <c r="F359">
        <f t="shared" ca="1" si="60"/>
        <v>42</v>
      </c>
      <c r="G359">
        <f t="shared" ca="1" si="61"/>
        <v>0</v>
      </c>
      <c r="H359">
        <f t="shared" ca="1" si="62"/>
        <v>0</v>
      </c>
      <c r="I359">
        <f t="shared" ca="1" si="63"/>
        <v>0</v>
      </c>
      <c r="J359">
        <f t="shared" ca="1" si="89"/>
        <v>0</v>
      </c>
      <c r="K359">
        <f ca="1">IF(OR($C359="S",$C359=0),0,MATCH(OFFSET($D359,0,$C359)+IF($C359&lt;&gt;1,1,COUNTIF(QCI!$A$13:$A$24,ORÇAMENTO!E359)),OFFSET($D359,1,$C359,ROW($C$727)-ROW($C359)),0))</f>
        <v>0</v>
      </c>
      <c r="L359" s="116" t="str">
        <f t="shared" ca="1" si="64"/>
        <v/>
      </c>
      <c r="M359" s="117" t="s">
        <v>199</v>
      </c>
      <c r="N359" s="118" t="str">
        <f t="shared" ca="1" si="65"/>
        <v>Serviço</v>
      </c>
      <c r="O359" s="119" t="str">
        <f t="shared" ca="1" si="66"/>
        <v>-</v>
      </c>
      <c r="P359" s="120" t="s">
        <v>247</v>
      </c>
      <c r="Q359" s="121" t="s">
        <v>734</v>
      </c>
      <c r="R359" s="122" t="str">
        <f ca="1">IF($C359="S",REFERENCIA.Descricao,"(digite a descrição aqui)")</f>
        <v>(abra o arquivo 'Referência 06-2024.xlsm)</v>
      </c>
      <c r="S359" s="123" t="str">
        <f ca="1">REFERENCIA.Unidade</f>
        <v>-</v>
      </c>
      <c r="T359" s="124">
        <f ca="1">OFFSET(CÁLCULO!H$15,ROW($T359)-ROW(T$15),0)</f>
        <v>24</v>
      </c>
      <c r="U359" s="125">
        <f t="shared" ca="1" si="90"/>
        <v>0</v>
      </c>
      <c r="V359" s="126" t="s">
        <v>156</v>
      </c>
      <c r="W359" s="124">
        <f ca="1">IF($C359="S",ROUND(IF(TIPOORCAMENTO="Proposto",ORÇAMENTO.CustoUnitario*(1+$AH359),ORÇAMENTO.PrecoUnitarioLicitado),15-13*$AF$10),0)</f>
        <v>0</v>
      </c>
      <c r="X359" s="127">
        <f ca="1">IF($C359="S",IF(Import.TipoArredondamento&lt;&gt;"TransfereGOV",VTOTAL1,SUM(OFFSET(CÁLCULO!$AI$15,ROW($X359)-ROW($X$15),1):OFFSET(CÁLCULO!$BB$15,ROW($X359)-ROW($X$15),-1))),IF($C359=0,0,ROUND(SomaAgrup,15-13*$AF$11)))</f>
        <v>0</v>
      </c>
      <c r="Y359" s="128" t="s">
        <v>245</v>
      </c>
      <c r="Z359" t="str">
        <f t="shared" ca="1" si="67"/>
        <v/>
      </c>
      <c r="AA359" s="129">
        <f ca="1">IF($C359="S",IF($Z359="CP",$X359,IF($Z359="RA",(($X359)*QCI!$AA$3),0)),SomaAgrup)</f>
        <v>0</v>
      </c>
      <c r="AB359" s="130">
        <f t="shared" ca="1" si="68"/>
        <v>0</v>
      </c>
      <c r="AC359" s="131" t="str">
        <f ca="1">IF($N359="","",IF(ORÇAMENTO.Descricao="","DESCRIÇÃO",IF(AND($C359="S",ORÇAMENTO.Unidade=""),"UNIDADE",IF($X359&lt;0,"VALOR NEGATIVO",IF(OR(AND(TIPOORCAMENTO="Proposto",$AG359&lt;&gt;"",$AG359&gt;0,ORÇAMENTO.CustoUnitario&gt;$AG359),AND(TIPOORCAMENTO="LICITADO",ORÇAMENTO.PrecoUnitarioLicitado&gt;$AN359)),"ACIMA REF.","")))))</f>
        <v/>
      </c>
      <c r="AD359" t="str">
        <f ca="1">IF(C359&lt;=CRONO.NivelExibicao,MAX($AD$15:OFFSET(AD359,-1,0))+IF($C359&lt;&gt;1,1,MAX(1,COUNTIF(QCI!$A$13:$A$24,OFFSET($E359,-1,0)))),"")</f>
        <v/>
      </c>
      <c r="AE359" s="7" t="str">
        <f ca="1">IF(AND($C359="S",ORÇAMENTO.CodBarra&lt;&gt;""),IF(ORÇAMENTO.Fonte="",ORÇAMENTO.CodBarra,CONCATENATE(ORÇAMENTO.Fonte," ",ORÇAMENTO.CodBarra)))</f>
        <v>SINAPI 104348</v>
      </c>
      <c r="AF359" s="13" t="str">
        <f ca="1">IF(ISERROR(INDIRECT(ORÇAMENTO.BancoRef)),"(abra o arquivo 'Referência "&amp;Excel_BuiltIn_Database&amp;".xlsm)",IF(OR($C359&lt;&gt;"S",ORÇAMENTO.CodBarra=""),"(Sem Código)",IF(ISERROR(MATCH($AE359,INDIRECT(ORÇAMENTO.BancoRef),0)),"(Código não identificado nas referências)",MATCH($AE359,INDIRECT(ORÇAMENTO.BancoRef),0))))</f>
        <v>(abra o arquivo 'Referência 06-2024.xlsm)</v>
      </c>
      <c r="AG359" s="498">
        <f ca="1">ROUND(IF(DESONERACAO="sim",REFERENCIA.Desonerado,REFERENCIA.NaoDesonerado),2)</f>
        <v>0</v>
      </c>
      <c r="AH359" s="499">
        <f t="shared" ca="1" si="69"/>
        <v>0.2432</v>
      </c>
      <c r="AJ359" s="501"/>
      <c r="AL359" s="527"/>
      <c r="AM359" s="381">
        <f t="shared" ca="1" si="70"/>
        <v>0</v>
      </c>
      <c r="AN359" s="566">
        <f t="shared" ca="1" si="71"/>
        <v>0</v>
      </c>
    </row>
    <row r="360" spans="1:40" ht="38.25" x14ac:dyDescent="0.2">
      <c r="A360" t="str">
        <f t="shared" si="56"/>
        <v>S</v>
      </c>
      <c r="B360">
        <f t="shared" ca="1" si="57"/>
        <v>2</v>
      </c>
      <c r="C360" t="str">
        <f t="shared" ca="1" si="58"/>
        <v>S</v>
      </c>
      <c r="D360">
        <f t="shared" ca="1" si="59"/>
        <v>0</v>
      </c>
      <c r="E360">
        <f ca="1">IF($C360=1,OFFSET(E360,-1,0)+MAX(1,COUNTIF(QCI!$A$13:$A$24,OFFSET(ORÇAMENTO!E360,-1,0))),OFFSET(E360,-1,0))</f>
        <v>1</v>
      </c>
      <c r="F360">
        <f t="shared" ca="1" si="60"/>
        <v>42</v>
      </c>
      <c r="G360">
        <f t="shared" ca="1" si="61"/>
        <v>0</v>
      </c>
      <c r="H360">
        <f t="shared" ca="1" si="62"/>
        <v>0</v>
      </c>
      <c r="I360">
        <f t="shared" ca="1" si="63"/>
        <v>0</v>
      </c>
      <c r="J360">
        <f t="shared" ca="1" si="89"/>
        <v>0</v>
      </c>
      <c r="K360">
        <f ca="1">IF(OR($C360="S",$C360=0),0,MATCH(OFFSET($D360,0,$C360)+IF($C360&lt;&gt;1,1,COUNTIF(QCI!$A$13:$A$24,ORÇAMENTO!E360)),OFFSET($D360,1,$C360,ROW($C$727)-ROW($C360)),0))</f>
        <v>0</v>
      </c>
      <c r="L360" s="116" t="str">
        <f t="shared" ca="1" si="64"/>
        <v/>
      </c>
      <c r="M360" s="117" t="s">
        <v>199</v>
      </c>
      <c r="N360" s="118" t="str">
        <f t="shared" ca="1" si="65"/>
        <v>Serviço</v>
      </c>
      <c r="O360" s="119" t="str">
        <f t="shared" ca="1" si="66"/>
        <v>-</v>
      </c>
      <c r="P360" s="120" t="s">
        <v>247</v>
      </c>
      <c r="Q360" s="121" t="s">
        <v>702</v>
      </c>
      <c r="R360" s="122" t="str">
        <f ca="1">IF($C360="S",REFERENCIA.Descricao,"(digite a descrição aqui)")</f>
        <v>(abra o arquivo 'Referência 06-2024.xlsm)</v>
      </c>
      <c r="S360" s="123" t="str">
        <f ca="1">REFERENCIA.Unidade</f>
        <v>-</v>
      </c>
      <c r="T360" s="124">
        <f ca="1">OFFSET(CÁLCULO!H$15,ROW($T360)-ROW(T$15),0)</f>
        <v>388.1</v>
      </c>
      <c r="U360" s="125">
        <f t="shared" ca="1" si="90"/>
        <v>0</v>
      </c>
      <c r="V360" s="126" t="s">
        <v>156</v>
      </c>
      <c r="W360" s="124">
        <f ca="1">IF($C360="S",ROUND(IF(TIPOORCAMENTO="Proposto",ORÇAMENTO.CustoUnitario*(1+$AH360),ORÇAMENTO.PrecoUnitarioLicitado),15-13*$AF$10),0)</f>
        <v>0</v>
      </c>
      <c r="X360" s="127">
        <f ca="1">IF($C360="S",IF(Import.TipoArredondamento&lt;&gt;"TransfereGOV",VTOTAL1,SUM(OFFSET(CÁLCULO!$AI$15,ROW($X360)-ROW($X$15),1):OFFSET(CÁLCULO!$BB$15,ROW($X360)-ROW($X$15),-1))),IF($C360=0,0,ROUND(SomaAgrup,15-13*$AF$11)))</f>
        <v>0</v>
      </c>
      <c r="Y360" s="128" t="s">
        <v>245</v>
      </c>
      <c r="Z360" t="str">
        <f t="shared" ca="1" si="67"/>
        <v/>
      </c>
      <c r="AA360" s="129">
        <f ca="1">IF($C360="S",IF($Z360="CP",$X360,IF($Z360="RA",(($X360)*QCI!$AA$3),0)),SomaAgrup)</f>
        <v>0</v>
      </c>
      <c r="AB360" s="130">
        <f t="shared" ca="1" si="68"/>
        <v>0</v>
      </c>
      <c r="AC360" s="131" t="str">
        <f ca="1">IF($N360="","",IF(ORÇAMENTO.Descricao="","DESCRIÇÃO",IF(AND($C360="S",ORÇAMENTO.Unidade=""),"UNIDADE",IF($X360&lt;0,"VALOR NEGATIVO",IF(OR(AND(TIPOORCAMENTO="Proposto",$AG360&lt;&gt;"",$AG360&gt;0,ORÇAMENTO.CustoUnitario&gt;$AG360),AND(TIPOORCAMENTO="LICITADO",ORÇAMENTO.PrecoUnitarioLicitado&gt;$AN360)),"ACIMA REF.","")))))</f>
        <v/>
      </c>
      <c r="AD360" t="str">
        <f ca="1">IF(C360&lt;=CRONO.NivelExibicao,MAX($AD$15:OFFSET(AD360,-1,0))+IF($C360&lt;&gt;1,1,MAX(1,COUNTIF(QCI!$A$13:$A$24,OFFSET($E360,-1,0)))),"")</f>
        <v/>
      </c>
      <c r="AE360" s="7" t="str">
        <f ca="1">IF(AND($C360="S",ORÇAMENTO.CodBarra&lt;&gt;""),IF(ORÇAMENTO.Fonte="",ORÇAMENTO.CodBarra,CONCATENATE(ORÇAMENTO.Fonte," ",ORÇAMENTO.CodBarra)))</f>
        <v>SINAPI 89712</v>
      </c>
      <c r="AF360" s="13" t="str">
        <f ca="1">IF(ISERROR(INDIRECT(ORÇAMENTO.BancoRef)),"(abra o arquivo 'Referência "&amp;Excel_BuiltIn_Database&amp;".xlsm)",IF(OR($C360&lt;&gt;"S",ORÇAMENTO.CodBarra=""),"(Sem Código)",IF(ISERROR(MATCH($AE360,INDIRECT(ORÇAMENTO.BancoRef),0)),"(Código não identificado nas referências)",MATCH($AE360,INDIRECT(ORÇAMENTO.BancoRef),0))))</f>
        <v>(abra o arquivo 'Referência 06-2024.xlsm)</v>
      </c>
      <c r="AG360" s="498">
        <f ca="1">ROUND(IF(DESONERACAO="sim",REFERENCIA.Desonerado,REFERENCIA.NaoDesonerado),2)</f>
        <v>0</v>
      </c>
      <c r="AH360" s="499">
        <f t="shared" ca="1" si="69"/>
        <v>0.2432</v>
      </c>
      <c r="AJ360" s="501"/>
      <c r="AL360" s="527"/>
      <c r="AM360" s="381">
        <f t="shared" ca="1" si="70"/>
        <v>0</v>
      </c>
      <c r="AN360" s="566">
        <f t="shared" ca="1" si="71"/>
        <v>0</v>
      </c>
    </row>
    <row r="361" spans="1:40" ht="38.25" x14ac:dyDescent="0.2">
      <c r="A361" t="str">
        <f t="shared" si="56"/>
        <v>S</v>
      </c>
      <c r="B361">
        <f t="shared" ca="1" si="57"/>
        <v>2</v>
      </c>
      <c r="C361" t="str">
        <f t="shared" ca="1" si="58"/>
        <v>S</v>
      </c>
      <c r="D361">
        <f t="shared" ca="1" si="59"/>
        <v>0</v>
      </c>
      <c r="E361">
        <f ca="1">IF($C361=1,OFFSET(E361,-1,0)+MAX(1,COUNTIF(QCI!$A$13:$A$24,OFFSET(ORÇAMENTO!E361,-1,0))),OFFSET(E361,-1,0))</f>
        <v>1</v>
      </c>
      <c r="F361">
        <f t="shared" ca="1" si="60"/>
        <v>42</v>
      </c>
      <c r="G361">
        <f t="shared" ca="1" si="61"/>
        <v>0</v>
      </c>
      <c r="H361">
        <f t="shared" ca="1" si="62"/>
        <v>0</v>
      </c>
      <c r="I361">
        <f t="shared" ca="1" si="63"/>
        <v>0</v>
      </c>
      <c r="J361">
        <f t="shared" ca="1" si="89"/>
        <v>0</v>
      </c>
      <c r="K361">
        <f ca="1">IF(OR($C361="S",$C361=0),0,MATCH(OFFSET($D361,0,$C361)+IF($C361&lt;&gt;1,1,COUNTIF(QCI!$A$13:$A$24,ORÇAMENTO!E361)),OFFSET($D361,1,$C361,ROW($C$727)-ROW($C361)),0))</f>
        <v>0</v>
      </c>
      <c r="L361" s="116" t="str">
        <f t="shared" ca="1" si="64"/>
        <v/>
      </c>
      <c r="M361" s="117" t="s">
        <v>199</v>
      </c>
      <c r="N361" s="118" t="str">
        <f t="shared" ca="1" si="65"/>
        <v>Serviço</v>
      </c>
      <c r="O361" s="119" t="str">
        <f t="shared" ca="1" si="66"/>
        <v>-</v>
      </c>
      <c r="P361" s="120" t="s">
        <v>247</v>
      </c>
      <c r="Q361" s="121" t="s">
        <v>735</v>
      </c>
      <c r="R361" s="122" t="str">
        <f ca="1">IF($C361="S",REFERENCIA.Descricao,"(digite a descrição aqui)")</f>
        <v>(abra o arquivo 'Referência 06-2024.xlsm)</v>
      </c>
      <c r="S361" s="123" t="str">
        <f ca="1">REFERENCIA.Unidade</f>
        <v>-</v>
      </c>
      <c r="T361" s="124">
        <f ca="1">OFFSET(CÁLCULO!H$15,ROW($T361)-ROW(T$15),0)</f>
        <v>2</v>
      </c>
      <c r="U361" s="125">
        <f t="shared" ca="1" si="90"/>
        <v>0</v>
      </c>
      <c r="V361" s="126" t="s">
        <v>156</v>
      </c>
      <c r="W361" s="124">
        <f ca="1">IF($C361="S",ROUND(IF(TIPOORCAMENTO="Proposto",ORÇAMENTO.CustoUnitario*(1+$AH361),ORÇAMENTO.PrecoUnitarioLicitado),15-13*$AF$10),0)</f>
        <v>0</v>
      </c>
      <c r="X361" s="127">
        <f ca="1">IF($C361="S",IF(Import.TipoArredondamento&lt;&gt;"TransfereGOV",VTOTAL1,SUM(OFFSET(CÁLCULO!$AI$15,ROW($X361)-ROW($X$15),1):OFFSET(CÁLCULO!$BB$15,ROW($X361)-ROW($X$15),-1))),IF($C361=0,0,ROUND(SomaAgrup,15-13*$AF$11)))</f>
        <v>0</v>
      </c>
      <c r="Y361" s="128" t="s">
        <v>245</v>
      </c>
      <c r="Z361" t="str">
        <f t="shared" ca="1" si="67"/>
        <v/>
      </c>
      <c r="AA361" s="129">
        <f ca="1">IF($C361="S",IF($Z361="CP",$X361,IF($Z361="RA",(($X361)*QCI!$AA$3),0)),SomaAgrup)</f>
        <v>0</v>
      </c>
      <c r="AB361" s="130">
        <f t="shared" ca="1" si="68"/>
        <v>0</v>
      </c>
      <c r="AC361" s="131" t="str">
        <f ca="1">IF($N361="","",IF(ORÇAMENTO.Descricao="","DESCRIÇÃO",IF(AND($C361="S",ORÇAMENTO.Unidade=""),"UNIDADE",IF($X361&lt;0,"VALOR NEGATIVO",IF(OR(AND(TIPOORCAMENTO="Proposto",$AG361&lt;&gt;"",$AG361&gt;0,ORÇAMENTO.CustoUnitario&gt;$AG361),AND(TIPOORCAMENTO="LICITADO",ORÇAMENTO.PrecoUnitarioLicitado&gt;$AN361)),"ACIMA REF.","")))))</f>
        <v/>
      </c>
      <c r="AD361" t="str">
        <f ca="1">IF(C361&lt;=CRONO.NivelExibicao,MAX($AD$15:OFFSET(AD361,-1,0))+IF($C361&lt;&gt;1,1,MAX(1,COUNTIF(QCI!$A$13:$A$24,OFFSET($E361,-1,0)))),"")</f>
        <v/>
      </c>
      <c r="AE361" s="7" t="str">
        <f ca="1">IF(AND($C361="S",ORÇAMENTO.CodBarra&lt;&gt;""),IF(ORÇAMENTO.Fonte="",ORÇAMENTO.CodBarra,CONCATENATE(ORÇAMENTO.Fonte," ",ORÇAMENTO.CodBarra)))</f>
        <v>SINAPI 89696</v>
      </c>
      <c r="AF361" s="13" t="str">
        <f ca="1">IF(ISERROR(INDIRECT(ORÇAMENTO.BancoRef)),"(abra o arquivo 'Referência "&amp;Excel_BuiltIn_Database&amp;".xlsm)",IF(OR($C361&lt;&gt;"S",ORÇAMENTO.CodBarra=""),"(Sem Código)",IF(ISERROR(MATCH($AE361,INDIRECT(ORÇAMENTO.BancoRef),0)),"(Código não identificado nas referências)",MATCH($AE361,INDIRECT(ORÇAMENTO.BancoRef),0))))</f>
        <v>(abra o arquivo 'Referência 06-2024.xlsm)</v>
      </c>
      <c r="AG361" s="498">
        <f ca="1">ROUND(IF(DESONERACAO="sim",REFERENCIA.Desonerado,REFERENCIA.NaoDesonerado),2)</f>
        <v>0</v>
      </c>
      <c r="AH361" s="499">
        <f t="shared" ca="1" si="69"/>
        <v>0.2432</v>
      </c>
      <c r="AJ361" s="501"/>
      <c r="AL361" s="527"/>
      <c r="AM361" s="381">
        <f t="shared" ca="1" si="70"/>
        <v>0</v>
      </c>
      <c r="AN361" s="566">
        <f t="shared" ca="1" si="71"/>
        <v>0</v>
      </c>
    </row>
    <row r="362" spans="1:40" ht="38.25" x14ac:dyDescent="0.2">
      <c r="A362" t="str">
        <f t="shared" si="56"/>
        <v>S</v>
      </c>
      <c r="B362">
        <f t="shared" ca="1" si="57"/>
        <v>2</v>
      </c>
      <c r="C362" t="str">
        <f t="shared" ca="1" si="58"/>
        <v>S</v>
      </c>
      <c r="D362">
        <f t="shared" ca="1" si="59"/>
        <v>0</v>
      </c>
      <c r="E362">
        <f ca="1">IF($C362=1,OFFSET(E362,-1,0)+MAX(1,COUNTIF(QCI!$A$13:$A$24,OFFSET(ORÇAMENTO!E362,-1,0))),OFFSET(E362,-1,0))</f>
        <v>1</v>
      </c>
      <c r="F362">
        <f t="shared" ca="1" si="60"/>
        <v>42</v>
      </c>
      <c r="G362">
        <f t="shared" ca="1" si="61"/>
        <v>0</v>
      </c>
      <c r="H362">
        <f t="shared" ca="1" si="62"/>
        <v>0</v>
      </c>
      <c r="I362">
        <f t="shared" ca="1" si="63"/>
        <v>0</v>
      </c>
      <c r="J362">
        <f t="shared" ca="1" si="89"/>
        <v>0</v>
      </c>
      <c r="K362">
        <f ca="1">IF(OR($C362="S",$C362=0),0,MATCH(OFFSET($D362,0,$C362)+IF($C362&lt;&gt;1,1,COUNTIF(QCI!$A$13:$A$24,ORÇAMENTO!E362)),OFFSET($D362,1,$C362,ROW($C$727)-ROW($C362)),0))</f>
        <v>0</v>
      </c>
      <c r="L362" s="116" t="str">
        <f t="shared" ca="1" si="64"/>
        <v/>
      </c>
      <c r="M362" s="117" t="s">
        <v>199</v>
      </c>
      <c r="N362" s="118" t="str">
        <f t="shared" ca="1" si="65"/>
        <v>Serviço</v>
      </c>
      <c r="O362" s="119" t="str">
        <f t="shared" ca="1" si="66"/>
        <v>-</v>
      </c>
      <c r="P362" s="120" t="s">
        <v>247</v>
      </c>
      <c r="Q362" s="121" t="s">
        <v>736</v>
      </c>
      <c r="R362" s="122" t="str">
        <f ca="1">IF($C362="S",REFERENCIA.Descricao,"(digite a descrição aqui)")</f>
        <v>(abra o arquivo 'Referência 06-2024.xlsm)</v>
      </c>
      <c r="S362" s="123" t="str">
        <f ca="1">REFERENCIA.Unidade</f>
        <v>-</v>
      </c>
      <c r="T362" s="124">
        <f ca="1">OFFSET(CÁLCULO!H$15,ROW($T362)-ROW(T$15),0)</f>
        <v>6</v>
      </c>
      <c r="U362" s="125">
        <f t="shared" ca="1" si="90"/>
        <v>0</v>
      </c>
      <c r="V362" s="126" t="s">
        <v>156</v>
      </c>
      <c r="W362" s="124">
        <f ca="1">IF($C362="S",ROUND(IF(TIPOORCAMENTO="Proposto",ORÇAMENTO.CustoUnitario*(1+$AH362),ORÇAMENTO.PrecoUnitarioLicitado),15-13*$AF$10),0)</f>
        <v>0</v>
      </c>
      <c r="X362" s="127">
        <f ca="1">IF($C362="S",IF(Import.TipoArredondamento&lt;&gt;"TransfereGOV",VTOTAL1,SUM(OFFSET(CÁLCULO!$AI$15,ROW($X362)-ROW($X$15),1):OFFSET(CÁLCULO!$BB$15,ROW($X362)-ROW($X$15),-1))),IF($C362=0,0,ROUND(SomaAgrup,15-13*$AF$11)))</f>
        <v>0</v>
      </c>
      <c r="Y362" s="128" t="s">
        <v>245</v>
      </c>
      <c r="Z362" t="str">
        <f t="shared" ca="1" si="67"/>
        <v/>
      </c>
      <c r="AA362" s="129">
        <f ca="1">IF($C362="S",IF($Z362="CP",$X362,IF($Z362="RA",(($X362)*QCI!$AA$3),0)),SomaAgrup)</f>
        <v>0</v>
      </c>
      <c r="AB362" s="130">
        <f t="shared" ca="1" si="68"/>
        <v>0</v>
      </c>
      <c r="AC362" s="131" t="str">
        <f ca="1">IF($N362="","",IF(ORÇAMENTO.Descricao="","DESCRIÇÃO",IF(AND($C362="S",ORÇAMENTO.Unidade=""),"UNIDADE",IF($X362&lt;0,"VALOR NEGATIVO",IF(OR(AND(TIPOORCAMENTO="Proposto",$AG362&lt;&gt;"",$AG362&gt;0,ORÇAMENTO.CustoUnitario&gt;$AG362),AND(TIPOORCAMENTO="LICITADO",ORÇAMENTO.PrecoUnitarioLicitado&gt;$AN362)),"ACIMA REF.","")))))</f>
        <v/>
      </c>
      <c r="AD362" t="str">
        <f ca="1">IF(C362&lt;=CRONO.NivelExibicao,MAX($AD$15:OFFSET(AD362,-1,0))+IF($C362&lt;&gt;1,1,MAX(1,COUNTIF(QCI!$A$13:$A$24,OFFSET($E362,-1,0)))),"")</f>
        <v/>
      </c>
      <c r="AE362" s="7" t="str">
        <f ca="1">IF(AND($C362="S",ORÇAMENTO.CodBarra&lt;&gt;""),IF(ORÇAMENTO.Fonte="",ORÇAMENTO.CodBarra,CONCATENATE(ORÇAMENTO.Fonte," ",ORÇAMENTO.CodBarra)))</f>
        <v>SINAPI 104352</v>
      </c>
      <c r="AF362" s="13" t="str">
        <f ca="1">IF(ISERROR(INDIRECT(ORÇAMENTO.BancoRef)),"(abra o arquivo 'Referência "&amp;Excel_BuiltIn_Database&amp;".xlsm)",IF(OR($C362&lt;&gt;"S",ORÇAMENTO.CodBarra=""),"(Sem Código)",IF(ISERROR(MATCH($AE362,INDIRECT(ORÇAMENTO.BancoRef),0)),"(Código não identificado nas referências)",MATCH($AE362,INDIRECT(ORÇAMENTO.BancoRef),0))))</f>
        <v>(abra o arquivo 'Referência 06-2024.xlsm)</v>
      </c>
      <c r="AG362" s="498">
        <f ca="1">ROUND(IF(DESONERACAO="sim",REFERENCIA.Desonerado,REFERENCIA.NaoDesonerado),2)</f>
        <v>0</v>
      </c>
      <c r="AH362" s="499">
        <f t="shared" ca="1" si="69"/>
        <v>0.2432</v>
      </c>
      <c r="AJ362" s="501"/>
      <c r="AL362" s="527"/>
      <c r="AM362" s="381">
        <f t="shared" ca="1" si="70"/>
        <v>0</v>
      </c>
      <c r="AN362" s="566">
        <f t="shared" ca="1" si="71"/>
        <v>0</v>
      </c>
    </row>
    <row r="363" spans="1:40" ht="38.25" x14ac:dyDescent="0.2">
      <c r="A363" t="str">
        <f t="shared" si="56"/>
        <v>S</v>
      </c>
      <c r="B363">
        <f t="shared" ca="1" si="57"/>
        <v>2</v>
      </c>
      <c r="C363" t="str">
        <f t="shared" ca="1" si="58"/>
        <v>S</v>
      </c>
      <c r="D363">
        <f t="shared" ca="1" si="59"/>
        <v>0</v>
      </c>
      <c r="E363">
        <f ca="1">IF($C363=1,OFFSET(E363,-1,0)+MAX(1,COUNTIF(QCI!$A$13:$A$24,OFFSET(ORÇAMENTO!E363,-1,0))),OFFSET(E363,-1,0))</f>
        <v>1</v>
      </c>
      <c r="F363">
        <f t="shared" ca="1" si="60"/>
        <v>42</v>
      </c>
      <c r="G363">
        <f t="shared" ca="1" si="61"/>
        <v>0</v>
      </c>
      <c r="H363">
        <f t="shared" ca="1" si="62"/>
        <v>0</v>
      </c>
      <c r="I363">
        <f t="shared" ca="1" si="63"/>
        <v>0</v>
      </c>
      <c r="J363">
        <f t="shared" ca="1" si="89"/>
        <v>0</v>
      </c>
      <c r="K363">
        <f ca="1">IF(OR($C363="S",$C363=0),0,MATCH(OFFSET($D363,0,$C363)+IF($C363&lt;&gt;1,1,COUNTIF(QCI!$A$13:$A$24,ORÇAMENTO!E363)),OFFSET($D363,1,$C363,ROW($C$727)-ROW($C363)),0))</f>
        <v>0</v>
      </c>
      <c r="L363" s="116" t="str">
        <f t="shared" ca="1" si="64"/>
        <v/>
      </c>
      <c r="M363" s="117" t="s">
        <v>199</v>
      </c>
      <c r="N363" s="118" t="str">
        <f t="shared" ca="1" si="65"/>
        <v>Serviço</v>
      </c>
      <c r="O363" s="119" t="str">
        <f t="shared" ca="1" si="66"/>
        <v>-</v>
      </c>
      <c r="P363" s="120" t="s">
        <v>247</v>
      </c>
      <c r="Q363" s="121" t="s">
        <v>737</v>
      </c>
      <c r="R363" s="122" t="str">
        <f ca="1">IF($C363="S",REFERENCIA.Descricao,"(digite a descrição aqui)")</f>
        <v>(abra o arquivo 'Referência 06-2024.xlsm)</v>
      </c>
      <c r="S363" s="123" t="str">
        <f ca="1">REFERENCIA.Unidade</f>
        <v>-</v>
      </c>
      <c r="T363" s="124">
        <f ca="1">OFFSET(CÁLCULO!H$15,ROW($T363)-ROW(T$15),0)</f>
        <v>56</v>
      </c>
      <c r="U363" s="125">
        <f t="shared" ca="1" si="90"/>
        <v>0</v>
      </c>
      <c r="V363" s="126" t="s">
        <v>156</v>
      </c>
      <c r="W363" s="124">
        <f ca="1">IF($C363="S",ROUND(IF(TIPOORCAMENTO="Proposto",ORÇAMENTO.CustoUnitario*(1+$AH363),ORÇAMENTO.PrecoUnitarioLicitado),15-13*$AF$10),0)</f>
        <v>0</v>
      </c>
      <c r="X363" s="127">
        <f ca="1">IF($C363="S",IF(Import.TipoArredondamento&lt;&gt;"TransfereGOV",VTOTAL1,SUM(OFFSET(CÁLCULO!$AI$15,ROW($X363)-ROW($X$15),1):OFFSET(CÁLCULO!$BB$15,ROW($X363)-ROW($X$15),-1))),IF($C363=0,0,ROUND(SomaAgrup,15-13*$AF$11)))</f>
        <v>0</v>
      </c>
      <c r="Y363" s="128" t="s">
        <v>245</v>
      </c>
      <c r="Z363" t="str">
        <f t="shared" ca="1" si="67"/>
        <v/>
      </c>
      <c r="AA363" s="129">
        <f ca="1">IF($C363="S",IF($Z363="CP",$X363,IF($Z363="RA",(($X363)*QCI!$AA$3),0)),SomaAgrup)</f>
        <v>0</v>
      </c>
      <c r="AB363" s="130">
        <f t="shared" ca="1" si="68"/>
        <v>0</v>
      </c>
      <c r="AC363" s="131" t="str">
        <f ca="1">IF($N363="","",IF(ORÇAMENTO.Descricao="","DESCRIÇÃO",IF(AND($C363="S",ORÇAMENTO.Unidade=""),"UNIDADE",IF($X363&lt;0,"VALOR NEGATIVO",IF(OR(AND(TIPOORCAMENTO="Proposto",$AG363&lt;&gt;"",$AG363&gt;0,ORÇAMENTO.CustoUnitario&gt;$AG363),AND(TIPOORCAMENTO="LICITADO",ORÇAMENTO.PrecoUnitarioLicitado&gt;$AN363)),"ACIMA REF.","")))))</f>
        <v/>
      </c>
      <c r="AD363" t="str">
        <f ca="1">IF(C363&lt;=CRONO.NivelExibicao,MAX($AD$15:OFFSET(AD363,-1,0))+IF($C363&lt;&gt;1,1,MAX(1,COUNTIF(QCI!$A$13:$A$24,OFFSET($E363,-1,0)))),"")</f>
        <v/>
      </c>
      <c r="AE363" s="7" t="str">
        <f ca="1">IF(AND($C363="S",ORÇAMENTO.CodBarra&lt;&gt;""),IF(ORÇAMENTO.Fonte="",ORÇAMENTO.CodBarra,CONCATENATE(ORÇAMENTO.Fonte," ",ORÇAMENTO.CodBarra)))</f>
        <v>SINAPI 89825</v>
      </c>
      <c r="AF363" s="13" t="str">
        <f ca="1">IF(ISERROR(INDIRECT(ORÇAMENTO.BancoRef)),"(abra o arquivo 'Referência "&amp;Excel_BuiltIn_Database&amp;".xlsm)",IF(OR($C363&lt;&gt;"S",ORÇAMENTO.CodBarra=""),"(Sem Código)",IF(ISERROR(MATCH($AE363,INDIRECT(ORÇAMENTO.BancoRef),0)),"(Código não identificado nas referências)",MATCH($AE363,INDIRECT(ORÇAMENTO.BancoRef),0))))</f>
        <v>(abra o arquivo 'Referência 06-2024.xlsm)</v>
      </c>
      <c r="AG363" s="498">
        <f ca="1">ROUND(IF(DESONERACAO="sim",REFERENCIA.Desonerado,REFERENCIA.NaoDesonerado),2)</f>
        <v>0</v>
      </c>
      <c r="AH363" s="499">
        <f t="shared" ca="1" si="69"/>
        <v>0.2432</v>
      </c>
      <c r="AJ363" s="501"/>
      <c r="AL363" s="527"/>
      <c r="AM363" s="381">
        <f t="shared" ca="1" si="70"/>
        <v>0</v>
      </c>
      <c r="AN363" s="566">
        <f t="shared" ca="1" si="71"/>
        <v>0</v>
      </c>
    </row>
    <row r="364" spans="1:40" ht="25.5" x14ac:dyDescent="0.2">
      <c r="A364" t="str">
        <f t="shared" si="56"/>
        <v>S</v>
      </c>
      <c r="B364">
        <f t="shared" ca="1" si="57"/>
        <v>2</v>
      </c>
      <c r="C364" t="str">
        <f t="shared" ca="1" si="58"/>
        <v>S</v>
      </c>
      <c r="D364">
        <f t="shared" ca="1" si="59"/>
        <v>0</v>
      </c>
      <c r="E364">
        <f ca="1">IF($C364=1,OFFSET(E364,-1,0)+MAX(1,COUNTIF(QCI!$A$13:$A$24,OFFSET(ORÇAMENTO!E364,-1,0))),OFFSET(E364,-1,0))</f>
        <v>1</v>
      </c>
      <c r="F364">
        <f t="shared" ca="1" si="60"/>
        <v>42</v>
      </c>
      <c r="G364">
        <f t="shared" ca="1" si="61"/>
        <v>0</v>
      </c>
      <c r="H364">
        <f t="shared" ca="1" si="62"/>
        <v>0</v>
      </c>
      <c r="I364">
        <f t="shared" ca="1" si="63"/>
        <v>0</v>
      </c>
      <c r="J364">
        <f t="shared" ca="1" si="89"/>
        <v>0</v>
      </c>
      <c r="K364">
        <f ca="1">IF(OR($C364="S",$C364=0),0,MATCH(OFFSET($D364,0,$C364)+IF($C364&lt;&gt;1,1,COUNTIF(QCI!$A$13:$A$24,ORÇAMENTO!E364)),OFFSET($D364,1,$C364,ROW($C$727)-ROW($C364)),0))</f>
        <v>0</v>
      </c>
      <c r="L364" s="116" t="str">
        <f t="shared" ca="1" si="64"/>
        <v/>
      </c>
      <c r="M364" s="117" t="s">
        <v>199</v>
      </c>
      <c r="N364" s="118" t="str">
        <f t="shared" ca="1" si="65"/>
        <v>Serviço</v>
      </c>
      <c r="O364" s="119" t="str">
        <f t="shared" ca="1" si="66"/>
        <v>-</v>
      </c>
      <c r="P364" s="120" t="s">
        <v>247</v>
      </c>
      <c r="Q364" s="121" t="s">
        <v>738</v>
      </c>
      <c r="R364" s="122" t="str">
        <f ca="1">IF($C364="S",REFERENCIA.Descricao,"(digite a descrição aqui)")</f>
        <v>(abra o arquivo 'Referência 06-2024.xlsm)</v>
      </c>
      <c r="S364" s="123" t="str">
        <f ca="1">REFERENCIA.Unidade</f>
        <v>-</v>
      </c>
      <c r="T364" s="124">
        <f ca="1">OFFSET(CÁLCULO!H$15,ROW($T364)-ROW(T$15),0)</f>
        <v>7</v>
      </c>
      <c r="U364" s="125">
        <f t="shared" ca="1" si="90"/>
        <v>0</v>
      </c>
      <c r="V364" s="126" t="s">
        <v>156</v>
      </c>
      <c r="W364" s="124">
        <f ca="1">IF($C364="S",ROUND(IF(TIPOORCAMENTO="Proposto",ORÇAMENTO.CustoUnitario*(1+$AH364),ORÇAMENTO.PrecoUnitarioLicitado),15-13*$AF$10),0)</f>
        <v>0</v>
      </c>
      <c r="X364" s="127">
        <f ca="1">IF($C364="S",IF(Import.TipoArredondamento&lt;&gt;"TransfereGOV",VTOTAL1,SUM(OFFSET(CÁLCULO!$AI$15,ROW($X364)-ROW($X$15),1):OFFSET(CÁLCULO!$BB$15,ROW($X364)-ROW($X$15),-1))),IF($C364=0,0,ROUND(SomaAgrup,15-13*$AF$11)))</f>
        <v>0</v>
      </c>
      <c r="Y364" s="128" t="s">
        <v>245</v>
      </c>
      <c r="Z364" t="str">
        <f t="shared" ca="1" si="67"/>
        <v/>
      </c>
      <c r="AA364" s="129">
        <f ca="1">IF($C364="S",IF($Z364="CP",$X364,IF($Z364="RA",(($X364)*QCI!$AA$3),0)),SomaAgrup)</f>
        <v>0</v>
      </c>
      <c r="AB364" s="130">
        <f t="shared" ca="1" si="68"/>
        <v>0</v>
      </c>
      <c r="AC364" s="131" t="str">
        <f ca="1">IF($N364="","",IF(ORÇAMENTO.Descricao="","DESCRIÇÃO",IF(AND($C364="S",ORÇAMENTO.Unidade=""),"UNIDADE",IF($X364&lt;0,"VALOR NEGATIVO",IF(OR(AND(TIPOORCAMENTO="Proposto",$AG364&lt;&gt;"",$AG364&gt;0,ORÇAMENTO.CustoUnitario&gt;$AG364),AND(TIPOORCAMENTO="LICITADO",ORÇAMENTO.PrecoUnitarioLicitado&gt;$AN364)),"ACIMA REF.","")))))</f>
        <v/>
      </c>
      <c r="AD364" t="str">
        <f ca="1">IF(C364&lt;=CRONO.NivelExibicao,MAX($AD$15:OFFSET(AD364,-1,0))+IF($C364&lt;&gt;1,1,MAX(1,COUNTIF(QCI!$A$13:$A$24,OFFSET($E364,-1,0)))),"")</f>
        <v/>
      </c>
      <c r="AE364" s="7" t="str">
        <f ca="1">IF(AND($C364="S",ORÇAMENTO.CodBarra&lt;&gt;""),IF(ORÇAMENTO.Fonte="",ORÇAMENTO.CodBarra,CONCATENATE(ORÇAMENTO.Fonte," ",ORÇAMENTO.CodBarra)))</f>
        <v>SINAPI 89630</v>
      </c>
      <c r="AF364" s="13" t="str">
        <f ca="1">IF(ISERROR(INDIRECT(ORÇAMENTO.BancoRef)),"(abra o arquivo 'Referência "&amp;Excel_BuiltIn_Database&amp;".xlsm)",IF(OR($C364&lt;&gt;"S",ORÇAMENTO.CodBarra=""),"(Sem Código)",IF(ISERROR(MATCH($AE364,INDIRECT(ORÇAMENTO.BancoRef),0)),"(Código não identificado nas referências)",MATCH($AE364,INDIRECT(ORÇAMENTO.BancoRef),0))))</f>
        <v>(abra o arquivo 'Referência 06-2024.xlsm)</v>
      </c>
      <c r="AG364" s="498">
        <f ca="1">ROUND(IF(DESONERACAO="sim",REFERENCIA.Desonerado,REFERENCIA.NaoDesonerado),2)</f>
        <v>0</v>
      </c>
      <c r="AH364" s="499">
        <f t="shared" ca="1" si="69"/>
        <v>0.2432</v>
      </c>
      <c r="AJ364" s="501"/>
      <c r="AL364" s="527"/>
      <c r="AM364" s="381">
        <f t="shared" ca="1" si="70"/>
        <v>0</v>
      </c>
      <c r="AN364" s="566">
        <f t="shared" ca="1" si="71"/>
        <v>0</v>
      </c>
    </row>
    <row r="365" spans="1:40" x14ac:dyDescent="0.2">
      <c r="A365">
        <f t="shared" si="56"/>
        <v>2</v>
      </c>
      <c r="B365">
        <f t="shared" ca="1" si="57"/>
        <v>2</v>
      </c>
      <c r="C365">
        <f t="shared" ca="1" si="58"/>
        <v>2</v>
      </c>
      <c r="D365">
        <f t="shared" ca="1" si="59"/>
        <v>37</v>
      </c>
      <c r="E365">
        <f ca="1">IF($C365=1,OFFSET(E365,-1,0)+MAX(1,COUNTIF(QCI!$A$13:$A$24,OFFSET(ORÇAMENTO!E365,-1,0))),OFFSET(E365,-1,0))</f>
        <v>1</v>
      </c>
      <c r="F365">
        <f t="shared" ca="1" si="60"/>
        <v>43</v>
      </c>
      <c r="G365">
        <f t="shared" ca="1" si="61"/>
        <v>0</v>
      </c>
      <c r="H365">
        <f t="shared" ca="1" si="62"/>
        <v>0</v>
      </c>
      <c r="I365">
        <f t="shared" ca="1" si="63"/>
        <v>0</v>
      </c>
      <c r="J365">
        <f t="shared" ca="1" si="89"/>
        <v>362</v>
      </c>
      <c r="K365">
        <f ca="1">IF(OR($C365="S",$C365=0),0,MATCH(OFFSET($D365,0,$C365)+IF($C365&lt;&gt;1,1,COUNTIF(QCI!$A$13:$A$24,ORÇAMENTO!E365)),OFFSET($D365,1,$C365,ROW($C$727)-ROW($C365)),0))</f>
        <v>37</v>
      </c>
      <c r="L365" s="116" t="str">
        <f t="shared" ca="1" si="64"/>
        <v>F</v>
      </c>
      <c r="M365" s="117" t="s">
        <v>196</v>
      </c>
      <c r="N365" s="118" t="str">
        <f t="shared" ca="1" si="65"/>
        <v>Nível 2</v>
      </c>
      <c r="O365" s="119" t="str">
        <f t="shared" ca="1" si="66"/>
        <v>1.43.</v>
      </c>
      <c r="P365" s="120" t="s">
        <v>247</v>
      </c>
      <c r="Q365" s="121"/>
      <c r="R365" s="122" t="s">
        <v>739</v>
      </c>
      <c r="S365" s="123" t="str">
        <f ca="1">REFERENCIA.Unidade</f>
        <v>-</v>
      </c>
      <c r="T365" s="124">
        <f ca="1">OFFSET(CÁLCULO!H$15,ROW($T365)-ROW(T$15),0)</f>
        <v>0</v>
      </c>
      <c r="U365" s="125">
        <f t="shared" ca="1" si="90"/>
        <v>0</v>
      </c>
      <c r="V365" s="126" t="s">
        <v>156</v>
      </c>
      <c r="W365" s="124">
        <f ca="1">IF($C365="S",ROUND(IF(TIPOORCAMENTO="Proposto",ORÇAMENTO.CustoUnitario*(1+$AH365),ORÇAMENTO.PrecoUnitarioLicitado),15-13*$AF$10),0)</f>
        <v>0</v>
      </c>
      <c r="X365" s="127">
        <f ca="1">IF($C365="S",IF(Import.TipoArredondamento&lt;&gt;"TransfereGOV",VTOTAL1,SUM(OFFSET(CÁLCULO!$AI$15,ROW($X365)-ROW($X$15),1):OFFSET(CÁLCULO!$BB$15,ROW($X365)-ROW($X$15),-1))),IF($C365=0,0,ROUND(SomaAgrup,15-13*$AF$11)))</f>
        <v>0</v>
      </c>
      <c r="Y365" s="128" t="s">
        <v>245</v>
      </c>
      <c r="Z365" t="str">
        <f t="shared" ca="1" si="67"/>
        <v/>
      </c>
      <c r="AA365" s="129">
        <f ca="1">IF($C365="S",IF($Z365="CP",$X365,IF($Z365="RA",(($X365)*QCI!$AA$3),0)),SomaAgrup)</f>
        <v>0</v>
      </c>
      <c r="AB365" s="130">
        <f t="shared" ca="1" si="68"/>
        <v>0</v>
      </c>
      <c r="AC365" s="131" t="str">
        <f ca="1">IF($N365="","",IF(ORÇAMENTO.Descricao="","DESCRIÇÃO",IF(AND($C365="S",ORÇAMENTO.Unidade=""),"UNIDADE",IF($X365&lt;0,"VALOR NEGATIVO",IF(OR(AND(TIPOORCAMENTO="Proposto",$AG365&lt;&gt;"",$AG365&gt;0,ORÇAMENTO.CustoUnitario&gt;$AG365),AND(TIPOORCAMENTO="LICITADO",ORÇAMENTO.PrecoUnitarioLicitado&gt;$AN365)),"ACIMA REF.","")))))</f>
        <v/>
      </c>
      <c r="AD365">
        <f ca="1">IF(C365&lt;=CRONO.NivelExibicao,MAX($AD$15:OFFSET(AD365,-1,0))+IF($C365&lt;&gt;1,1,MAX(1,COUNTIF(QCI!$A$13:$A$24,OFFSET($E365,-1,0)))),"")</f>
        <v>44</v>
      </c>
      <c r="AE365" s="7" t="b">
        <f ca="1">IF(AND($C365="S",ORÇAMENTO.CodBarra&lt;&gt;""),IF(ORÇAMENTO.Fonte="",ORÇAMENTO.CodBarra,CONCATENATE(ORÇAMENTO.Fonte," ",ORÇAMENTO.CodBarra)))</f>
        <v>0</v>
      </c>
      <c r="AF365" s="13" t="str">
        <f ca="1">IF(ISERROR(INDIRECT(ORÇAMENTO.BancoRef)),"(abra o arquivo 'Referência "&amp;Excel_BuiltIn_Database&amp;".xlsm)",IF(OR($C365&lt;&gt;"S",ORÇAMENTO.CodBarra=""),"(Sem Código)",IF(ISERROR(MATCH($AE365,INDIRECT(ORÇAMENTO.BancoRef),0)),"(Código não identificado nas referências)",MATCH($AE365,INDIRECT(ORÇAMENTO.BancoRef),0))))</f>
        <v>(abra o arquivo 'Referência 06-2024.xlsm)</v>
      </c>
      <c r="AG365" s="498">
        <f ca="1">ROUND(IF(DESONERACAO="sim",REFERENCIA.Desonerado,REFERENCIA.NaoDesonerado),2)</f>
        <v>0</v>
      </c>
      <c r="AH365" s="499">
        <f t="shared" ca="1" si="69"/>
        <v>0.2432</v>
      </c>
      <c r="AJ365" s="501"/>
      <c r="AL365" s="527"/>
      <c r="AM365" s="381">
        <f t="shared" ca="1" si="70"/>
        <v>0</v>
      </c>
      <c r="AN365" s="566">
        <f t="shared" ca="1" si="71"/>
        <v>0</v>
      </c>
    </row>
    <row r="366" spans="1:40" ht="38.25" x14ac:dyDescent="0.2">
      <c r="A366" t="str">
        <f t="shared" si="56"/>
        <v>S</v>
      </c>
      <c r="B366">
        <f t="shared" ca="1" si="57"/>
        <v>2</v>
      </c>
      <c r="C366" t="str">
        <f t="shared" ca="1" si="58"/>
        <v>S</v>
      </c>
      <c r="D366">
        <f t="shared" ca="1" si="59"/>
        <v>0</v>
      </c>
      <c r="E366">
        <f ca="1">IF($C366=1,OFFSET(E366,-1,0)+MAX(1,COUNTIF(QCI!$A$13:$A$24,OFFSET(ORÇAMENTO!E366,-1,0))),OFFSET(E366,-1,0))</f>
        <v>1</v>
      </c>
      <c r="F366">
        <f t="shared" ca="1" si="60"/>
        <v>43</v>
      </c>
      <c r="G366">
        <f t="shared" ca="1" si="61"/>
        <v>0</v>
      </c>
      <c r="H366">
        <f t="shared" ca="1" si="62"/>
        <v>0</v>
      </c>
      <c r="I366">
        <f t="shared" ca="1" si="63"/>
        <v>0</v>
      </c>
      <c r="J366">
        <f t="shared" ca="1" si="89"/>
        <v>0</v>
      </c>
      <c r="K366">
        <f ca="1">IF(OR($C366="S",$C366=0),0,MATCH(OFFSET($D366,0,$C366)+IF($C366&lt;&gt;1,1,COUNTIF(QCI!$A$13:$A$24,ORÇAMENTO!E366)),OFFSET($D366,1,$C366,ROW($C$727)-ROW($C366)),0))</f>
        <v>0</v>
      </c>
      <c r="L366" s="116" t="str">
        <f t="shared" ca="1" si="64"/>
        <v/>
      </c>
      <c r="M366" s="117" t="s">
        <v>199</v>
      </c>
      <c r="N366" s="118" t="str">
        <f t="shared" ca="1" si="65"/>
        <v>Serviço</v>
      </c>
      <c r="O366" s="119" t="str">
        <f t="shared" ca="1" si="66"/>
        <v>-</v>
      </c>
      <c r="P366" s="120" t="s">
        <v>247</v>
      </c>
      <c r="Q366" s="121" t="s">
        <v>740</v>
      </c>
      <c r="R366" s="122" t="str">
        <f ca="1">IF($C366="S",REFERENCIA.Descricao,"(digite a descrição aqui)")</f>
        <v>(abra o arquivo 'Referência 06-2024.xlsm)</v>
      </c>
      <c r="S366" s="123" t="str">
        <f ca="1">REFERENCIA.Unidade</f>
        <v>-</v>
      </c>
      <c r="T366" s="124">
        <f ca="1">OFFSET(CÁLCULO!H$15,ROW($T366)-ROW(T$15),0)</f>
        <v>6</v>
      </c>
      <c r="U366" s="125">
        <f t="shared" ca="1" si="90"/>
        <v>0</v>
      </c>
      <c r="V366" s="126" t="s">
        <v>156</v>
      </c>
      <c r="W366" s="124">
        <f ca="1">IF($C366="S",ROUND(IF(TIPOORCAMENTO="Proposto",ORÇAMENTO.CustoUnitario*(1+$AH366),ORÇAMENTO.PrecoUnitarioLicitado),15-13*$AF$10),0)</f>
        <v>0</v>
      </c>
      <c r="X366" s="127">
        <f ca="1">IF($C366="S",IF(Import.TipoArredondamento&lt;&gt;"TransfereGOV",VTOTAL1,SUM(OFFSET(CÁLCULO!$AI$15,ROW($X366)-ROW($X$15),1):OFFSET(CÁLCULO!$BB$15,ROW($X366)-ROW($X$15),-1))),IF($C366=0,0,ROUND(SomaAgrup,15-13*$AF$11)))</f>
        <v>0</v>
      </c>
      <c r="Y366" s="128" t="s">
        <v>245</v>
      </c>
      <c r="Z366" t="str">
        <f t="shared" ca="1" si="67"/>
        <v/>
      </c>
      <c r="AA366" s="129">
        <f ca="1">IF($C366="S",IF($Z366="CP",$X366,IF($Z366="RA",(($X366)*QCI!$AA$3),0)),SomaAgrup)</f>
        <v>0</v>
      </c>
      <c r="AB366" s="130">
        <f t="shared" ca="1" si="68"/>
        <v>0</v>
      </c>
      <c r="AC366" s="131" t="str">
        <f ca="1">IF($N366="","",IF(ORÇAMENTO.Descricao="","DESCRIÇÃO",IF(AND($C366="S",ORÇAMENTO.Unidade=""),"UNIDADE",IF($X366&lt;0,"VALOR NEGATIVO",IF(OR(AND(TIPOORCAMENTO="Proposto",$AG366&lt;&gt;"",$AG366&gt;0,ORÇAMENTO.CustoUnitario&gt;$AG366),AND(TIPOORCAMENTO="LICITADO",ORÇAMENTO.PrecoUnitarioLicitado&gt;$AN366)),"ACIMA REF.","")))))</f>
        <v/>
      </c>
      <c r="AD366" t="str">
        <f ca="1">IF(C366&lt;=CRONO.NivelExibicao,MAX($AD$15:OFFSET(AD366,-1,0))+IF($C366&lt;&gt;1,1,MAX(1,COUNTIF(QCI!$A$13:$A$24,OFFSET($E366,-1,0)))),"")</f>
        <v/>
      </c>
      <c r="AE366" s="7" t="str">
        <f ca="1">IF(AND($C366="S",ORÇAMENTO.CodBarra&lt;&gt;""),IF(ORÇAMENTO.Fonte="",ORÇAMENTO.CodBarra,CONCATENATE(ORÇAMENTO.Fonte," ",ORÇAMENTO.CodBarra)))</f>
        <v>SINAPI 95470</v>
      </c>
      <c r="AF366" s="13" t="str">
        <f ca="1">IF(ISERROR(INDIRECT(ORÇAMENTO.BancoRef)),"(abra o arquivo 'Referência "&amp;Excel_BuiltIn_Database&amp;".xlsm)",IF(OR($C366&lt;&gt;"S",ORÇAMENTO.CodBarra=""),"(Sem Código)",IF(ISERROR(MATCH($AE366,INDIRECT(ORÇAMENTO.BancoRef),0)),"(Código não identificado nas referências)",MATCH($AE366,INDIRECT(ORÇAMENTO.BancoRef),0))))</f>
        <v>(abra o arquivo 'Referência 06-2024.xlsm)</v>
      </c>
      <c r="AG366" s="498">
        <f ca="1">ROUND(IF(DESONERACAO="sim",REFERENCIA.Desonerado,REFERENCIA.NaoDesonerado),2)</f>
        <v>0</v>
      </c>
      <c r="AH366" s="499">
        <f t="shared" ca="1" si="69"/>
        <v>0.2432</v>
      </c>
      <c r="AJ366" s="501"/>
      <c r="AL366" s="527"/>
      <c r="AM366" s="381">
        <f t="shared" ca="1" si="70"/>
        <v>0</v>
      </c>
      <c r="AN366" s="566">
        <f t="shared" ca="1" si="71"/>
        <v>0</v>
      </c>
    </row>
    <row r="367" spans="1:40" ht="25.5" x14ac:dyDescent="0.2">
      <c r="A367" t="str">
        <f t="shared" si="56"/>
        <v>S</v>
      </c>
      <c r="B367">
        <f t="shared" ca="1" si="57"/>
        <v>2</v>
      </c>
      <c r="C367" t="str">
        <f t="shared" ca="1" si="58"/>
        <v>S</v>
      </c>
      <c r="D367">
        <f t="shared" ca="1" si="59"/>
        <v>0</v>
      </c>
      <c r="E367">
        <f ca="1">IF($C367=1,OFFSET(E367,-1,0)+MAX(1,COUNTIF(QCI!$A$13:$A$24,OFFSET(ORÇAMENTO!E367,-1,0))),OFFSET(E367,-1,0))</f>
        <v>1</v>
      </c>
      <c r="F367">
        <f t="shared" ca="1" si="60"/>
        <v>43</v>
      </c>
      <c r="G367">
        <f t="shared" ca="1" si="61"/>
        <v>0</v>
      </c>
      <c r="H367">
        <f t="shared" ca="1" si="62"/>
        <v>0</v>
      </c>
      <c r="I367">
        <f t="shared" ca="1" si="63"/>
        <v>0</v>
      </c>
      <c r="J367">
        <f t="shared" ca="1" si="89"/>
        <v>0</v>
      </c>
      <c r="K367">
        <f ca="1">IF(OR($C367="S",$C367=0),0,MATCH(OFFSET($D367,0,$C367)+IF($C367&lt;&gt;1,1,COUNTIF(QCI!$A$13:$A$24,ORÇAMENTO!E367)),OFFSET($D367,1,$C367,ROW($C$727)-ROW($C367)),0))</f>
        <v>0</v>
      </c>
      <c r="L367" s="116" t="str">
        <f t="shared" ca="1" si="64"/>
        <v/>
      </c>
      <c r="M367" s="117" t="s">
        <v>199</v>
      </c>
      <c r="N367" s="118" t="str">
        <f t="shared" ca="1" si="65"/>
        <v>Serviço</v>
      </c>
      <c r="O367" s="119" t="str">
        <f t="shared" ca="1" si="66"/>
        <v>-</v>
      </c>
      <c r="P367" s="120" t="s">
        <v>247</v>
      </c>
      <c r="Q367" s="121" t="s">
        <v>741</v>
      </c>
      <c r="R367" s="122" t="str">
        <f ca="1">IF($C367="S",REFERENCIA.Descricao,"(digite a descrição aqui)")</f>
        <v>(abra o arquivo 'Referência 06-2024.xlsm)</v>
      </c>
      <c r="S367" s="123" t="str">
        <f ca="1">REFERENCIA.Unidade</f>
        <v>-</v>
      </c>
      <c r="T367" s="124">
        <f ca="1">OFFSET(CÁLCULO!H$15,ROW($T367)-ROW(T$15),0)</f>
        <v>18</v>
      </c>
      <c r="U367" s="125">
        <f t="shared" ca="1" si="90"/>
        <v>0</v>
      </c>
      <c r="V367" s="126" t="s">
        <v>156</v>
      </c>
      <c r="W367" s="124">
        <f ca="1">IF($C367="S",ROUND(IF(TIPOORCAMENTO="Proposto",ORÇAMENTO.CustoUnitario*(1+$AH367),ORÇAMENTO.PrecoUnitarioLicitado),15-13*$AF$10),0)</f>
        <v>0</v>
      </c>
      <c r="X367" s="127">
        <f ca="1">IF($C367="S",IF(Import.TipoArredondamento&lt;&gt;"TransfereGOV",VTOTAL1,SUM(OFFSET(CÁLCULO!$AI$15,ROW($X367)-ROW($X$15),1):OFFSET(CÁLCULO!$BB$15,ROW($X367)-ROW($X$15),-1))),IF($C367=0,0,ROUND(SomaAgrup,15-13*$AF$11)))</f>
        <v>0</v>
      </c>
      <c r="Y367" s="128" t="s">
        <v>245</v>
      </c>
      <c r="Z367" t="str">
        <f t="shared" ca="1" si="67"/>
        <v/>
      </c>
      <c r="AA367" s="129">
        <f ca="1">IF($C367="S",IF($Z367="CP",$X367,IF($Z367="RA",(($X367)*QCI!$AA$3),0)),SomaAgrup)</f>
        <v>0</v>
      </c>
      <c r="AB367" s="130">
        <f t="shared" ca="1" si="68"/>
        <v>0</v>
      </c>
      <c r="AC367" s="131" t="str">
        <f ca="1">IF($N367="","",IF(ORÇAMENTO.Descricao="","DESCRIÇÃO",IF(AND($C367="S",ORÇAMENTO.Unidade=""),"UNIDADE",IF($X367&lt;0,"VALOR NEGATIVO",IF(OR(AND(TIPOORCAMENTO="Proposto",$AG367&lt;&gt;"",$AG367&gt;0,ORÇAMENTO.CustoUnitario&gt;$AG367),AND(TIPOORCAMENTO="LICITADO",ORÇAMENTO.PrecoUnitarioLicitado&gt;$AN367)),"ACIMA REF.","")))))</f>
        <v/>
      </c>
      <c r="AD367" t="str">
        <f ca="1">IF(C367&lt;=CRONO.NivelExibicao,MAX($AD$15:OFFSET(AD367,-1,0))+IF($C367&lt;&gt;1,1,MAX(1,COUNTIF(QCI!$A$13:$A$24,OFFSET($E367,-1,0)))),"")</f>
        <v/>
      </c>
      <c r="AE367" s="7" t="str">
        <f ca="1">IF(AND($C367="S",ORÇAMENTO.CodBarra&lt;&gt;""),IF(ORÇAMENTO.Fonte="",ORÇAMENTO.CodBarra,CONCATENATE(ORÇAMENTO.Fonte," ",ORÇAMENTO.CodBarra)))</f>
        <v>SINAPI 100848</v>
      </c>
      <c r="AF367" s="13" t="str">
        <f ca="1">IF(ISERROR(INDIRECT(ORÇAMENTO.BancoRef)),"(abra o arquivo 'Referência "&amp;Excel_BuiltIn_Database&amp;".xlsm)",IF(OR($C367&lt;&gt;"S",ORÇAMENTO.CodBarra=""),"(Sem Código)",IF(ISERROR(MATCH($AE367,INDIRECT(ORÇAMENTO.BancoRef),0)),"(Código não identificado nas referências)",MATCH($AE367,INDIRECT(ORÇAMENTO.BancoRef),0))))</f>
        <v>(abra o arquivo 'Referência 06-2024.xlsm)</v>
      </c>
      <c r="AG367" s="498">
        <f ca="1">ROUND(IF(DESONERACAO="sim",REFERENCIA.Desonerado,REFERENCIA.NaoDesonerado),2)</f>
        <v>0</v>
      </c>
      <c r="AH367" s="499">
        <f t="shared" ca="1" si="69"/>
        <v>0.2432</v>
      </c>
      <c r="AJ367" s="501"/>
      <c r="AL367" s="527"/>
      <c r="AM367" s="381">
        <f t="shared" ca="1" si="70"/>
        <v>0</v>
      </c>
      <c r="AN367" s="566">
        <f t="shared" ca="1" si="71"/>
        <v>0</v>
      </c>
    </row>
    <row r="368" spans="1:40" ht="25.5" x14ac:dyDescent="0.2">
      <c r="A368" t="str">
        <f t="shared" si="56"/>
        <v>S</v>
      </c>
      <c r="B368">
        <f t="shared" ca="1" si="57"/>
        <v>2</v>
      </c>
      <c r="C368" t="str">
        <f t="shared" ca="1" si="58"/>
        <v>S</v>
      </c>
      <c r="D368">
        <f t="shared" ca="1" si="59"/>
        <v>0</v>
      </c>
      <c r="E368">
        <f ca="1">IF($C368=1,OFFSET(E368,-1,0)+MAX(1,COUNTIF(QCI!$A$13:$A$24,OFFSET(ORÇAMENTO!E368,-1,0))),OFFSET(E368,-1,0))</f>
        <v>1</v>
      </c>
      <c r="F368">
        <f t="shared" ca="1" si="60"/>
        <v>43</v>
      </c>
      <c r="G368">
        <f t="shared" ca="1" si="61"/>
        <v>0</v>
      </c>
      <c r="H368">
        <f t="shared" ca="1" si="62"/>
        <v>0</v>
      </c>
      <c r="I368">
        <f t="shared" ca="1" si="63"/>
        <v>0</v>
      </c>
      <c r="J368">
        <f t="shared" ca="1" si="89"/>
        <v>0</v>
      </c>
      <c r="K368">
        <f ca="1">IF(OR($C368="S",$C368=0),0,MATCH(OFFSET($D368,0,$C368)+IF($C368&lt;&gt;1,1,COUNTIF(QCI!$A$13:$A$24,ORÇAMENTO!E368)),OFFSET($D368,1,$C368,ROW($C$727)-ROW($C368)),0))</f>
        <v>0</v>
      </c>
      <c r="L368" s="116" t="str">
        <f t="shared" ca="1" si="64"/>
        <v/>
      </c>
      <c r="M368" s="117" t="s">
        <v>199</v>
      </c>
      <c r="N368" s="118" t="str">
        <f t="shared" ca="1" si="65"/>
        <v>Serviço</v>
      </c>
      <c r="O368" s="119" t="str">
        <f t="shared" ca="1" si="66"/>
        <v>-</v>
      </c>
      <c r="P368" s="120" t="s">
        <v>247</v>
      </c>
      <c r="Q368" s="121" t="s">
        <v>742</v>
      </c>
      <c r="R368" s="122" t="str">
        <f ca="1">IF($C368="S",REFERENCIA.Descricao,"(digite a descrição aqui)")</f>
        <v>(abra o arquivo 'Referência 06-2024.xlsm)</v>
      </c>
      <c r="S368" s="123" t="str">
        <f ca="1">REFERENCIA.Unidade</f>
        <v>-</v>
      </c>
      <c r="T368" s="124">
        <f ca="1">OFFSET(CÁLCULO!H$15,ROW($T368)-ROW(T$15),0)</f>
        <v>6</v>
      </c>
      <c r="U368" s="125">
        <f t="shared" ca="1" si="90"/>
        <v>0</v>
      </c>
      <c r="V368" s="126" t="s">
        <v>156</v>
      </c>
      <c r="W368" s="124">
        <f ca="1">IF($C368="S",ROUND(IF(TIPOORCAMENTO="Proposto",ORÇAMENTO.CustoUnitario*(1+$AH368),ORÇAMENTO.PrecoUnitarioLicitado),15-13*$AF$10),0)</f>
        <v>0</v>
      </c>
      <c r="X368" s="127">
        <f ca="1">IF($C368="S",IF(Import.TipoArredondamento&lt;&gt;"TransfereGOV",VTOTAL1,SUM(OFFSET(CÁLCULO!$AI$15,ROW($X368)-ROW($X$15),1):OFFSET(CÁLCULO!$BB$15,ROW($X368)-ROW($X$15),-1))),IF($C368=0,0,ROUND(SomaAgrup,15-13*$AF$11)))</f>
        <v>0</v>
      </c>
      <c r="Y368" s="128" t="s">
        <v>245</v>
      </c>
      <c r="Z368" t="str">
        <f t="shared" ca="1" si="67"/>
        <v/>
      </c>
      <c r="AA368" s="129">
        <f ca="1">IF($C368="S",IF($Z368="CP",$X368,IF($Z368="RA",(($X368)*QCI!$AA$3),0)),SomaAgrup)</f>
        <v>0</v>
      </c>
      <c r="AB368" s="130">
        <f t="shared" ca="1" si="68"/>
        <v>0</v>
      </c>
      <c r="AC368" s="131" t="str">
        <f ca="1">IF($N368="","",IF(ORÇAMENTO.Descricao="","DESCRIÇÃO",IF(AND($C368="S",ORÇAMENTO.Unidade=""),"UNIDADE",IF($X368&lt;0,"VALOR NEGATIVO",IF(OR(AND(TIPOORCAMENTO="Proposto",$AG368&lt;&gt;"",$AG368&gt;0,ORÇAMENTO.CustoUnitario&gt;$AG368),AND(TIPOORCAMENTO="LICITADO",ORÇAMENTO.PrecoUnitarioLicitado&gt;$AN368)),"ACIMA REF.","")))))</f>
        <v/>
      </c>
      <c r="AD368" t="str">
        <f ca="1">IF(C368&lt;=CRONO.NivelExibicao,MAX($AD$15:OFFSET(AD368,-1,0))+IF($C368&lt;&gt;1,1,MAX(1,COUNTIF(QCI!$A$13:$A$24,OFFSET($E368,-1,0)))),"")</f>
        <v/>
      </c>
      <c r="AE368" s="7" t="str">
        <f ca="1">IF(AND($C368="S",ORÇAMENTO.CodBarra&lt;&gt;""),IF(ORÇAMENTO.Fonte="",ORÇAMENTO.CodBarra,CONCATENATE(ORÇAMENTO.Fonte," ",ORÇAMENTO.CodBarra)))</f>
        <v>SINAPI 100849</v>
      </c>
      <c r="AF368" s="13" t="str">
        <f ca="1">IF(ISERROR(INDIRECT(ORÇAMENTO.BancoRef)),"(abra o arquivo 'Referência "&amp;Excel_BuiltIn_Database&amp;".xlsm)",IF(OR($C368&lt;&gt;"S",ORÇAMENTO.CodBarra=""),"(Sem Código)",IF(ISERROR(MATCH($AE368,INDIRECT(ORÇAMENTO.BancoRef),0)),"(Código não identificado nas referências)",MATCH($AE368,INDIRECT(ORÇAMENTO.BancoRef),0))))</f>
        <v>(abra o arquivo 'Referência 06-2024.xlsm)</v>
      </c>
      <c r="AG368" s="498">
        <f ca="1">ROUND(IF(DESONERACAO="sim",REFERENCIA.Desonerado,REFERENCIA.NaoDesonerado),2)</f>
        <v>0</v>
      </c>
      <c r="AH368" s="499">
        <f t="shared" ca="1" si="69"/>
        <v>0.2432</v>
      </c>
      <c r="AJ368" s="501"/>
      <c r="AL368" s="527"/>
      <c r="AM368" s="381">
        <f t="shared" ca="1" si="70"/>
        <v>0</v>
      </c>
      <c r="AN368" s="566">
        <f t="shared" ca="1" si="71"/>
        <v>0</v>
      </c>
    </row>
    <row r="369" spans="1:40" ht="25.5" x14ac:dyDescent="0.2">
      <c r="A369" t="str">
        <f t="shared" si="56"/>
        <v>S</v>
      </c>
      <c r="B369">
        <f t="shared" ca="1" si="57"/>
        <v>2</v>
      </c>
      <c r="C369" t="str">
        <f t="shared" ca="1" si="58"/>
        <v>S</v>
      </c>
      <c r="D369">
        <f t="shared" ca="1" si="59"/>
        <v>0</v>
      </c>
      <c r="E369">
        <f ca="1">IF($C369=1,OFFSET(E369,-1,0)+MAX(1,COUNTIF(QCI!$A$13:$A$24,OFFSET(ORÇAMENTO!E369,-1,0))),OFFSET(E369,-1,0))</f>
        <v>1</v>
      </c>
      <c r="F369">
        <f t="shared" ca="1" si="60"/>
        <v>43</v>
      </c>
      <c r="G369">
        <f t="shared" ca="1" si="61"/>
        <v>0</v>
      </c>
      <c r="H369">
        <f t="shared" ca="1" si="62"/>
        <v>0</v>
      </c>
      <c r="I369">
        <f t="shared" ca="1" si="63"/>
        <v>0</v>
      </c>
      <c r="J369">
        <f t="shared" ca="1" si="89"/>
        <v>0</v>
      </c>
      <c r="K369">
        <f ca="1">IF(OR($C369="S",$C369=0),0,MATCH(OFFSET($D369,0,$C369)+IF($C369&lt;&gt;1,1,COUNTIF(QCI!$A$13:$A$24,ORÇAMENTO!E369)),OFFSET($D369,1,$C369,ROW($C$727)-ROW($C369)),0))</f>
        <v>0</v>
      </c>
      <c r="L369" s="116" t="str">
        <f t="shared" ca="1" si="64"/>
        <v/>
      </c>
      <c r="M369" s="117" t="s">
        <v>199</v>
      </c>
      <c r="N369" s="118" t="str">
        <f t="shared" ca="1" si="65"/>
        <v>Serviço</v>
      </c>
      <c r="O369" s="119" t="str">
        <f t="shared" ca="1" si="66"/>
        <v>-</v>
      </c>
      <c r="P369" s="120" t="s">
        <v>247</v>
      </c>
      <c r="Q369" s="121" t="s">
        <v>743</v>
      </c>
      <c r="R369" s="122" t="str">
        <f ca="1">IF($C369="S",REFERENCIA.Descricao,"(digite a descrição aqui)")</f>
        <v>(abra o arquivo 'Referência 06-2024.xlsm)</v>
      </c>
      <c r="S369" s="123" t="str">
        <f ca="1">REFERENCIA.Unidade</f>
        <v>-</v>
      </c>
      <c r="T369" s="124">
        <f ca="1">OFFSET(CÁLCULO!H$15,ROW($T369)-ROW(T$15),0)</f>
        <v>18</v>
      </c>
      <c r="U369" s="125">
        <f t="shared" ca="1" si="90"/>
        <v>0</v>
      </c>
      <c r="V369" s="126" t="s">
        <v>156</v>
      </c>
      <c r="W369" s="124">
        <f ca="1">IF($C369="S",ROUND(IF(TIPOORCAMENTO="Proposto",ORÇAMENTO.CustoUnitario*(1+$AH369),ORÇAMENTO.PrecoUnitarioLicitado),15-13*$AF$10),0)</f>
        <v>0</v>
      </c>
      <c r="X369" s="127">
        <f ca="1">IF($C369="S",IF(Import.TipoArredondamento&lt;&gt;"TransfereGOV",VTOTAL1,SUM(OFFSET(CÁLCULO!$AI$15,ROW($X369)-ROW($X$15),1):OFFSET(CÁLCULO!$BB$15,ROW($X369)-ROW($X$15),-1))),IF($C369=0,0,ROUND(SomaAgrup,15-13*$AF$11)))</f>
        <v>0</v>
      </c>
      <c r="Y369" s="128" t="s">
        <v>245</v>
      </c>
      <c r="Z369" t="str">
        <f t="shared" ca="1" si="67"/>
        <v/>
      </c>
      <c r="AA369" s="129">
        <f ca="1">IF($C369="S",IF($Z369="CP",$X369,IF($Z369="RA",(($X369)*QCI!$AA$3),0)),SomaAgrup)</f>
        <v>0</v>
      </c>
      <c r="AB369" s="130">
        <f t="shared" ca="1" si="68"/>
        <v>0</v>
      </c>
      <c r="AC369" s="131" t="str">
        <f ca="1">IF($N369="","",IF(ORÇAMENTO.Descricao="","DESCRIÇÃO",IF(AND($C369="S",ORÇAMENTO.Unidade=""),"UNIDADE",IF($X369&lt;0,"VALOR NEGATIVO",IF(OR(AND(TIPOORCAMENTO="Proposto",$AG369&lt;&gt;"",$AG369&gt;0,ORÇAMENTO.CustoUnitario&gt;$AG369),AND(TIPOORCAMENTO="LICITADO",ORÇAMENTO.PrecoUnitarioLicitado&gt;$AN369)),"ACIMA REF.","")))))</f>
        <v/>
      </c>
      <c r="AD369" t="str">
        <f ca="1">IF(C369&lt;=CRONO.NivelExibicao,MAX($AD$15:OFFSET(AD369,-1,0))+IF($C369&lt;&gt;1,1,MAX(1,COUNTIF(QCI!$A$13:$A$24,OFFSET($E369,-1,0)))),"")</f>
        <v/>
      </c>
      <c r="AE369" s="7" t="str">
        <f ca="1">IF(AND($C369="S",ORÇAMENTO.CodBarra&lt;&gt;""),IF(ORÇAMENTO.Fonte="",ORÇAMENTO.CodBarra,CONCATENATE(ORÇAMENTO.Fonte," ",ORÇAMENTO.CodBarra)))</f>
        <v>SINAPI 100851</v>
      </c>
      <c r="AF369" s="13" t="str">
        <f ca="1">IF(ISERROR(INDIRECT(ORÇAMENTO.BancoRef)),"(abra o arquivo 'Referência "&amp;Excel_BuiltIn_Database&amp;".xlsm)",IF(OR($C369&lt;&gt;"S",ORÇAMENTO.CodBarra=""),"(Sem Código)",IF(ISERROR(MATCH($AE369,INDIRECT(ORÇAMENTO.BancoRef),0)),"(Código não identificado nas referências)",MATCH($AE369,INDIRECT(ORÇAMENTO.BancoRef),0))))</f>
        <v>(abra o arquivo 'Referência 06-2024.xlsm)</v>
      </c>
      <c r="AG369" s="498">
        <f ca="1">ROUND(IF(DESONERACAO="sim",REFERENCIA.Desonerado,REFERENCIA.NaoDesonerado),2)</f>
        <v>0</v>
      </c>
      <c r="AH369" s="499">
        <f t="shared" ca="1" si="69"/>
        <v>0.2432</v>
      </c>
      <c r="AJ369" s="501"/>
      <c r="AL369" s="527"/>
      <c r="AM369" s="381">
        <f t="shared" ca="1" si="70"/>
        <v>0</v>
      </c>
      <c r="AN369" s="566">
        <f t="shared" ca="1" si="71"/>
        <v>0</v>
      </c>
    </row>
    <row r="370" spans="1:40" ht="25.5" x14ac:dyDescent="0.2">
      <c r="A370" t="str">
        <f t="shared" si="56"/>
        <v>S</v>
      </c>
      <c r="B370">
        <f t="shared" ca="1" si="57"/>
        <v>2</v>
      </c>
      <c r="C370" t="str">
        <f t="shared" ca="1" si="58"/>
        <v>S</v>
      </c>
      <c r="D370">
        <f t="shared" ca="1" si="59"/>
        <v>0</v>
      </c>
      <c r="E370">
        <f ca="1">IF($C370=1,OFFSET(E370,-1,0)+MAX(1,COUNTIF(QCI!$A$13:$A$24,OFFSET(ORÇAMENTO!E370,-1,0))),OFFSET(E370,-1,0))</f>
        <v>1</v>
      </c>
      <c r="F370">
        <f t="shared" ca="1" si="60"/>
        <v>43</v>
      </c>
      <c r="G370">
        <f t="shared" ca="1" si="61"/>
        <v>0</v>
      </c>
      <c r="H370">
        <f t="shared" ca="1" si="62"/>
        <v>0</v>
      </c>
      <c r="I370">
        <f t="shared" ca="1" si="63"/>
        <v>0</v>
      </c>
      <c r="J370">
        <f t="shared" ca="1" si="89"/>
        <v>0</v>
      </c>
      <c r="K370">
        <f ca="1">IF(OR($C370="S",$C370=0),0,MATCH(OFFSET($D370,0,$C370)+IF($C370&lt;&gt;1,1,COUNTIF(QCI!$A$13:$A$24,ORÇAMENTO!E370)),OFFSET($D370,1,$C370,ROW($C$727)-ROW($C370)),0))</f>
        <v>0</v>
      </c>
      <c r="L370" s="116" t="str">
        <f t="shared" ca="1" si="64"/>
        <v/>
      </c>
      <c r="M370" s="117" t="s">
        <v>199</v>
      </c>
      <c r="N370" s="118" t="str">
        <f t="shared" ca="1" si="65"/>
        <v>Serviço</v>
      </c>
      <c r="O370" s="119" t="str">
        <f t="shared" ca="1" si="66"/>
        <v>-</v>
      </c>
      <c r="P370" s="120" t="s">
        <v>458</v>
      </c>
      <c r="Q370" s="121" t="s">
        <v>744</v>
      </c>
      <c r="R370" s="122" t="str">
        <f ca="1">IF($C370="S",REFERENCIA.Descricao,"(digite a descrição aqui)")</f>
        <v>(abra o arquivo 'Referência 06-2024.xlsm)</v>
      </c>
      <c r="S370" s="123" t="str">
        <f ca="1">REFERENCIA.Unidade</f>
        <v>-</v>
      </c>
      <c r="T370" s="124">
        <f ca="1">OFFSET(CÁLCULO!H$15,ROW($T370)-ROW(T$15),0)</f>
        <v>4</v>
      </c>
      <c r="U370" s="125">
        <f t="shared" ca="1" si="90"/>
        <v>0</v>
      </c>
      <c r="V370" s="126" t="s">
        <v>156</v>
      </c>
      <c r="W370" s="124">
        <f ca="1">IF($C370="S",ROUND(IF(TIPOORCAMENTO="Proposto",ORÇAMENTO.CustoUnitario*(1+$AH370),ORÇAMENTO.PrecoUnitarioLicitado),15-13*$AF$10),0)</f>
        <v>0</v>
      </c>
      <c r="X370" s="127">
        <f ca="1">IF($C370="S",IF(Import.TipoArredondamento&lt;&gt;"TransfereGOV",VTOTAL1,SUM(OFFSET(CÁLCULO!$AI$15,ROW($X370)-ROW($X$15),1):OFFSET(CÁLCULO!$BB$15,ROW($X370)-ROW($X$15),-1))),IF($C370=0,0,ROUND(SomaAgrup,15-13*$AF$11)))</f>
        <v>0</v>
      </c>
      <c r="Y370" s="128" t="s">
        <v>245</v>
      </c>
      <c r="Z370" t="str">
        <f t="shared" ca="1" si="67"/>
        <v/>
      </c>
      <c r="AA370" s="129">
        <f ca="1">IF($C370="S",IF($Z370="CP",$X370,IF($Z370="RA",(($X370)*QCI!$AA$3),0)),SomaAgrup)</f>
        <v>0</v>
      </c>
      <c r="AB370" s="130">
        <f t="shared" ca="1" si="68"/>
        <v>0</v>
      </c>
      <c r="AC370" s="131" t="str">
        <f ca="1">IF($N370="","",IF(ORÇAMENTO.Descricao="","DESCRIÇÃO",IF(AND($C370="S",ORÇAMENTO.Unidade=""),"UNIDADE",IF($X370&lt;0,"VALOR NEGATIVO",IF(OR(AND(TIPOORCAMENTO="Proposto",$AG370&lt;&gt;"",$AG370&gt;0,ORÇAMENTO.CustoUnitario&gt;$AG370),AND(TIPOORCAMENTO="LICITADO",ORÇAMENTO.PrecoUnitarioLicitado&gt;$AN370)),"ACIMA REF.","")))))</f>
        <v/>
      </c>
      <c r="AD370" t="str">
        <f ca="1">IF(C370&lt;=CRONO.NivelExibicao,MAX($AD$15:OFFSET(AD370,-1,0))+IF($C370&lt;&gt;1,1,MAX(1,COUNTIF(QCI!$A$13:$A$24,OFFSET($E370,-1,0)))),"")</f>
        <v/>
      </c>
      <c r="AE370" s="7" t="str">
        <f ca="1">IF(AND($C370="S",ORÇAMENTO.CodBarra&lt;&gt;""),IF(ORÇAMENTO.Fonte="",ORÇAMENTO.CodBarra,CONCATENATE(ORÇAMENTO.Fonte," ",ORÇAMENTO.CodBarra)))</f>
        <v>COMPOSIÇÃO FNDE 11</v>
      </c>
      <c r="AF370" s="13" t="str">
        <f ca="1">IF(ISERROR(INDIRECT(ORÇAMENTO.BancoRef)),"(abra o arquivo 'Referência "&amp;Excel_BuiltIn_Database&amp;".xlsm)",IF(OR($C370&lt;&gt;"S",ORÇAMENTO.CodBarra=""),"(Sem Código)",IF(ISERROR(MATCH($AE370,INDIRECT(ORÇAMENTO.BancoRef),0)),"(Código não identificado nas referências)",MATCH($AE370,INDIRECT(ORÇAMENTO.BancoRef),0))))</f>
        <v>(abra o arquivo 'Referência 06-2024.xlsm)</v>
      </c>
      <c r="AG370" s="498">
        <f ca="1">ROUND(IF(DESONERACAO="sim",REFERENCIA.Desonerado,REFERENCIA.NaoDesonerado),2)</f>
        <v>0</v>
      </c>
      <c r="AH370" s="499">
        <f t="shared" ca="1" si="69"/>
        <v>0.2432</v>
      </c>
      <c r="AJ370" s="501"/>
      <c r="AL370" s="527"/>
      <c r="AM370" s="381">
        <f t="shared" ca="1" si="70"/>
        <v>0</v>
      </c>
      <c r="AN370" s="566">
        <f t="shared" ca="1" si="71"/>
        <v>0</v>
      </c>
    </row>
    <row r="371" spans="1:40" ht="25.5" x14ac:dyDescent="0.2">
      <c r="A371" t="str">
        <f t="shared" si="56"/>
        <v>S</v>
      </c>
      <c r="B371">
        <f t="shared" ca="1" si="57"/>
        <v>2</v>
      </c>
      <c r="C371" t="str">
        <f t="shared" ca="1" si="58"/>
        <v>S</v>
      </c>
      <c r="D371">
        <f t="shared" ca="1" si="59"/>
        <v>0</v>
      </c>
      <c r="E371">
        <f ca="1">IF($C371=1,OFFSET(E371,-1,0)+MAX(1,COUNTIF(QCI!$A$13:$A$24,OFFSET(ORÇAMENTO!E371,-1,0))),OFFSET(E371,-1,0))</f>
        <v>1</v>
      </c>
      <c r="F371">
        <f t="shared" ca="1" si="60"/>
        <v>43</v>
      </c>
      <c r="G371">
        <f t="shared" ca="1" si="61"/>
        <v>0</v>
      </c>
      <c r="H371">
        <f t="shared" ca="1" si="62"/>
        <v>0</v>
      </c>
      <c r="I371">
        <f t="shared" ca="1" si="63"/>
        <v>0</v>
      </c>
      <c r="J371">
        <f t="shared" ca="1" si="89"/>
        <v>0</v>
      </c>
      <c r="K371">
        <f ca="1">IF(OR($C371="S",$C371=0),0,MATCH(OFFSET($D371,0,$C371)+IF($C371&lt;&gt;1,1,COUNTIF(QCI!$A$13:$A$24,ORÇAMENTO!E371)),OFFSET($D371,1,$C371,ROW($C$727)-ROW($C371)),0))</f>
        <v>0</v>
      </c>
      <c r="L371" s="116" t="str">
        <f t="shared" ca="1" si="64"/>
        <v/>
      </c>
      <c r="M371" s="117" t="s">
        <v>199</v>
      </c>
      <c r="N371" s="118" t="str">
        <f t="shared" ca="1" si="65"/>
        <v>Serviço</v>
      </c>
      <c r="O371" s="119" t="str">
        <f t="shared" ca="1" si="66"/>
        <v>-</v>
      </c>
      <c r="P371" s="120" t="s">
        <v>458</v>
      </c>
      <c r="Q371" s="121" t="s">
        <v>745</v>
      </c>
      <c r="R371" s="122" t="str">
        <f ca="1">IF($C371="S",REFERENCIA.Descricao,"(digite a descrição aqui)")</f>
        <v>(abra o arquivo 'Referência 06-2024.xlsm)</v>
      </c>
      <c r="S371" s="123" t="str">
        <f ca="1">REFERENCIA.Unidade</f>
        <v>-</v>
      </c>
      <c r="T371" s="124">
        <f ca="1">OFFSET(CÁLCULO!H$15,ROW($T371)-ROW(T$15),0)</f>
        <v>4</v>
      </c>
      <c r="U371" s="125">
        <f t="shared" ca="1" si="90"/>
        <v>0</v>
      </c>
      <c r="V371" s="126" t="s">
        <v>156</v>
      </c>
      <c r="W371" s="124">
        <f ca="1">IF($C371="S",ROUND(IF(TIPOORCAMENTO="Proposto",ORÇAMENTO.CustoUnitario*(1+$AH371),ORÇAMENTO.PrecoUnitarioLicitado),15-13*$AF$10),0)</f>
        <v>0</v>
      </c>
      <c r="X371" s="127">
        <f ca="1">IF($C371="S",IF(Import.TipoArredondamento&lt;&gt;"TransfereGOV",VTOTAL1,SUM(OFFSET(CÁLCULO!$AI$15,ROW($X371)-ROW($X$15),1):OFFSET(CÁLCULO!$BB$15,ROW($X371)-ROW($X$15),-1))),IF($C371=0,0,ROUND(SomaAgrup,15-13*$AF$11)))</f>
        <v>0</v>
      </c>
      <c r="Y371" s="128" t="s">
        <v>245</v>
      </c>
      <c r="Z371" t="str">
        <f t="shared" ca="1" si="67"/>
        <v/>
      </c>
      <c r="AA371" s="129">
        <f ca="1">IF($C371="S",IF($Z371="CP",$X371,IF($Z371="RA",(($X371)*QCI!$AA$3),0)),SomaAgrup)</f>
        <v>0</v>
      </c>
      <c r="AB371" s="130">
        <f t="shared" ca="1" si="68"/>
        <v>0</v>
      </c>
      <c r="AC371" s="131" t="str">
        <f ca="1">IF($N371="","",IF(ORÇAMENTO.Descricao="","DESCRIÇÃO",IF(AND($C371="S",ORÇAMENTO.Unidade=""),"UNIDADE",IF($X371&lt;0,"VALOR NEGATIVO",IF(OR(AND(TIPOORCAMENTO="Proposto",$AG371&lt;&gt;"",$AG371&gt;0,ORÇAMENTO.CustoUnitario&gt;$AG371),AND(TIPOORCAMENTO="LICITADO",ORÇAMENTO.PrecoUnitarioLicitado&gt;$AN371)),"ACIMA REF.","")))))</f>
        <v/>
      </c>
      <c r="AD371" t="str">
        <f ca="1">IF(C371&lt;=CRONO.NivelExibicao,MAX($AD$15:OFFSET(AD371,-1,0))+IF($C371&lt;&gt;1,1,MAX(1,COUNTIF(QCI!$A$13:$A$24,OFFSET($E371,-1,0)))),"")</f>
        <v/>
      </c>
      <c r="AE371" s="7" t="str">
        <f ca="1">IF(AND($C371="S",ORÇAMENTO.CodBarra&lt;&gt;""),IF(ORÇAMENTO.Fonte="",ORÇAMENTO.CodBarra,CONCATENATE(ORÇAMENTO.Fonte," ",ORÇAMENTO.CodBarra)))</f>
        <v>COMPOSIÇÃO FNDE 219</v>
      </c>
      <c r="AF371" s="13" t="str">
        <f ca="1">IF(ISERROR(INDIRECT(ORÇAMENTO.BancoRef)),"(abra o arquivo 'Referência "&amp;Excel_BuiltIn_Database&amp;".xlsm)",IF(OR($C371&lt;&gt;"S",ORÇAMENTO.CodBarra=""),"(Sem Código)",IF(ISERROR(MATCH($AE371,INDIRECT(ORÇAMENTO.BancoRef),0)),"(Código não identificado nas referências)",MATCH($AE371,INDIRECT(ORÇAMENTO.BancoRef),0))))</f>
        <v>(abra o arquivo 'Referência 06-2024.xlsm)</v>
      </c>
      <c r="AG371" s="498">
        <f ca="1">ROUND(IF(DESONERACAO="sim",REFERENCIA.Desonerado,REFERENCIA.NaoDesonerado),2)</f>
        <v>0</v>
      </c>
      <c r="AH371" s="499">
        <f t="shared" ca="1" si="69"/>
        <v>0.2432</v>
      </c>
      <c r="AJ371" s="501"/>
      <c r="AL371" s="527"/>
      <c r="AM371" s="381">
        <f t="shared" ca="1" si="70"/>
        <v>0</v>
      </c>
      <c r="AN371" s="566">
        <f t="shared" ca="1" si="71"/>
        <v>0</v>
      </c>
    </row>
    <row r="372" spans="1:40" ht="25.5" x14ac:dyDescent="0.2">
      <c r="A372" t="str">
        <f t="shared" si="56"/>
        <v>S</v>
      </c>
      <c r="B372">
        <f t="shared" ca="1" si="57"/>
        <v>2</v>
      </c>
      <c r="C372" t="str">
        <f t="shared" ca="1" si="58"/>
        <v>S</v>
      </c>
      <c r="D372">
        <f t="shared" ca="1" si="59"/>
        <v>0</v>
      </c>
      <c r="E372">
        <f ca="1">IF($C372=1,OFFSET(E372,-1,0)+MAX(1,COUNTIF(QCI!$A$13:$A$24,OFFSET(ORÇAMENTO!E372,-1,0))),OFFSET(E372,-1,0))</f>
        <v>1</v>
      </c>
      <c r="F372">
        <f t="shared" ca="1" si="60"/>
        <v>43</v>
      </c>
      <c r="G372">
        <f t="shared" ca="1" si="61"/>
        <v>0</v>
      </c>
      <c r="H372">
        <f t="shared" ca="1" si="62"/>
        <v>0</v>
      </c>
      <c r="I372">
        <f t="shared" ca="1" si="63"/>
        <v>0</v>
      </c>
      <c r="J372">
        <f t="shared" ca="1" si="89"/>
        <v>0</v>
      </c>
      <c r="K372">
        <f ca="1">IF(OR($C372="S",$C372=0),0,MATCH(OFFSET($D372,0,$C372)+IF($C372&lt;&gt;1,1,COUNTIF(QCI!$A$13:$A$24,ORÇAMENTO!E372)),OFFSET($D372,1,$C372,ROW($C$727)-ROW($C372)),0))</f>
        <v>0</v>
      </c>
      <c r="L372" s="116" t="str">
        <f t="shared" ca="1" si="64"/>
        <v/>
      </c>
      <c r="M372" s="117" t="s">
        <v>199</v>
      </c>
      <c r="N372" s="118" t="str">
        <f t="shared" ca="1" si="65"/>
        <v>Serviço</v>
      </c>
      <c r="O372" s="119" t="str">
        <f t="shared" ca="1" si="66"/>
        <v>-</v>
      </c>
      <c r="P372" s="120" t="s">
        <v>247</v>
      </c>
      <c r="Q372" s="121" t="s">
        <v>746</v>
      </c>
      <c r="R372" s="122" t="str">
        <f ca="1">IF($C372="S",REFERENCIA.Descricao,"(digite a descrição aqui)")</f>
        <v>(abra o arquivo 'Referência 06-2024.xlsm)</v>
      </c>
      <c r="S372" s="123" t="str">
        <f ca="1">REFERENCIA.Unidade</f>
        <v>-</v>
      </c>
      <c r="T372" s="124">
        <f ca="1">OFFSET(CÁLCULO!H$15,ROW($T372)-ROW(T$15),0)</f>
        <v>22</v>
      </c>
      <c r="U372" s="125">
        <f t="shared" ca="1" si="90"/>
        <v>0</v>
      </c>
      <c r="V372" s="126" t="s">
        <v>156</v>
      </c>
      <c r="W372" s="124">
        <f ca="1">IF($C372="S",ROUND(IF(TIPOORCAMENTO="Proposto",ORÇAMENTO.CustoUnitario*(1+$AH372),ORÇAMENTO.PrecoUnitarioLicitado),15-13*$AF$10),0)</f>
        <v>0</v>
      </c>
      <c r="X372" s="127">
        <f ca="1">IF($C372="S",IF(Import.TipoArredondamento&lt;&gt;"TransfereGOV",VTOTAL1,SUM(OFFSET(CÁLCULO!$AI$15,ROW($X372)-ROW($X$15),1):OFFSET(CÁLCULO!$BB$15,ROW($X372)-ROW($X$15),-1))),IF($C372=0,0,ROUND(SomaAgrup,15-13*$AF$11)))</f>
        <v>0</v>
      </c>
      <c r="Y372" s="128" t="s">
        <v>245</v>
      </c>
      <c r="Z372" t="str">
        <f t="shared" ca="1" si="67"/>
        <v/>
      </c>
      <c r="AA372" s="129">
        <f ca="1">IF($C372="S",IF($Z372="CP",$X372,IF($Z372="RA",(($X372)*QCI!$AA$3),0)),SomaAgrup)</f>
        <v>0</v>
      </c>
      <c r="AB372" s="130">
        <f t="shared" ca="1" si="68"/>
        <v>0</v>
      </c>
      <c r="AC372" s="131" t="str">
        <f ca="1">IF($N372="","",IF(ORÇAMENTO.Descricao="","DESCRIÇÃO",IF(AND($C372="S",ORÇAMENTO.Unidade=""),"UNIDADE",IF($X372&lt;0,"VALOR NEGATIVO",IF(OR(AND(TIPOORCAMENTO="Proposto",$AG372&lt;&gt;"",$AG372&gt;0,ORÇAMENTO.CustoUnitario&gt;$AG372),AND(TIPOORCAMENTO="LICITADO",ORÇAMENTO.PrecoUnitarioLicitado&gt;$AN372)),"ACIMA REF.","")))))</f>
        <v/>
      </c>
      <c r="AD372" t="str">
        <f ca="1">IF(C372&lt;=CRONO.NivelExibicao,MAX($AD$15:OFFSET(AD372,-1,0))+IF($C372&lt;&gt;1,1,MAX(1,COUNTIF(QCI!$A$13:$A$24,OFFSET($E372,-1,0)))),"")</f>
        <v/>
      </c>
      <c r="AE372" s="7" t="str">
        <f ca="1">IF(AND($C372="S",ORÇAMENTO.CodBarra&lt;&gt;""),IF(ORÇAMENTO.Fonte="",ORÇAMENTO.CodBarra,CONCATENATE(ORÇAMENTO.Fonte," ",ORÇAMENTO.CodBarra)))</f>
        <v>SINAPI 86901</v>
      </c>
      <c r="AF372" s="13" t="str">
        <f ca="1">IF(ISERROR(INDIRECT(ORÇAMENTO.BancoRef)),"(abra o arquivo 'Referência "&amp;Excel_BuiltIn_Database&amp;".xlsm)",IF(OR($C372&lt;&gt;"S",ORÇAMENTO.CodBarra=""),"(Sem Código)",IF(ISERROR(MATCH($AE372,INDIRECT(ORÇAMENTO.BancoRef),0)),"(Código não identificado nas referências)",MATCH($AE372,INDIRECT(ORÇAMENTO.BancoRef),0))))</f>
        <v>(abra o arquivo 'Referência 06-2024.xlsm)</v>
      </c>
      <c r="AG372" s="498">
        <f ca="1">ROUND(IF(DESONERACAO="sim",REFERENCIA.Desonerado,REFERENCIA.NaoDesonerado),2)</f>
        <v>0</v>
      </c>
      <c r="AH372" s="499">
        <f t="shared" ca="1" si="69"/>
        <v>0.2432</v>
      </c>
      <c r="AJ372" s="501"/>
      <c r="AL372" s="527"/>
      <c r="AM372" s="381">
        <f t="shared" ca="1" si="70"/>
        <v>0</v>
      </c>
      <c r="AN372" s="566">
        <f t="shared" ca="1" si="71"/>
        <v>0</v>
      </c>
    </row>
    <row r="373" spans="1:40" ht="25.5" x14ac:dyDescent="0.2">
      <c r="A373" t="str">
        <f t="shared" si="56"/>
        <v>S</v>
      </c>
      <c r="B373">
        <f t="shared" ca="1" si="57"/>
        <v>2</v>
      </c>
      <c r="C373" t="str">
        <f t="shared" ca="1" si="58"/>
        <v>S</v>
      </c>
      <c r="D373">
        <f t="shared" ca="1" si="59"/>
        <v>0</v>
      </c>
      <c r="E373">
        <f ca="1">IF($C373=1,OFFSET(E373,-1,0)+MAX(1,COUNTIF(QCI!$A$13:$A$24,OFFSET(ORÇAMENTO!E373,-1,0))),OFFSET(E373,-1,0))</f>
        <v>1</v>
      </c>
      <c r="F373">
        <f t="shared" ca="1" si="60"/>
        <v>43</v>
      </c>
      <c r="G373">
        <f t="shared" ca="1" si="61"/>
        <v>0</v>
      </c>
      <c r="H373">
        <f t="shared" ca="1" si="62"/>
        <v>0</v>
      </c>
      <c r="I373">
        <f t="shared" ca="1" si="63"/>
        <v>0</v>
      </c>
      <c r="J373">
        <f t="shared" ca="1" si="89"/>
        <v>0</v>
      </c>
      <c r="K373">
        <f ca="1">IF(OR($C373="S",$C373=0),0,MATCH(OFFSET($D373,0,$C373)+IF($C373&lt;&gt;1,1,COUNTIF(QCI!$A$13:$A$24,ORÇAMENTO!E373)),OFFSET($D373,1,$C373,ROW($C$727)-ROW($C373)),0))</f>
        <v>0</v>
      </c>
      <c r="L373" s="116" t="str">
        <f t="shared" ca="1" si="64"/>
        <v/>
      </c>
      <c r="M373" s="117" t="s">
        <v>199</v>
      </c>
      <c r="N373" s="118" t="str">
        <f t="shared" ca="1" si="65"/>
        <v>Serviço</v>
      </c>
      <c r="O373" s="119" t="str">
        <f t="shared" ca="1" si="66"/>
        <v>-</v>
      </c>
      <c r="P373" s="120" t="s">
        <v>247</v>
      </c>
      <c r="Q373" s="121" t="s">
        <v>747</v>
      </c>
      <c r="R373" s="122" t="str">
        <f ca="1">IF($C373="S",REFERENCIA.Descricao,"(digite a descrição aqui)")</f>
        <v>(abra o arquivo 'Referência 06-2024.xlsm)</v>
      </c>
      <c r="S373" s="123" t="str">
        <f ca="1">REFERENCIA.Unidade</f>
        <v>-</v>
      </c>
      <c r="T373" s="124">
        <f ca="1">OFFSET(CÁLCULO!H$15,ROW($T373)-ROW(T$15),0)</f>
        <v>6</v>
      </c>
      <c r="U373" s="125">
        <f t="shared" ca="1" si="90"/>
        <v>0</v>
      </c>
      <c r="V373" s="126" t="s">
        <v>156</v>
      </c>
      <c r="W373" s="124">
        <f ca="1">IF($C373="S",ROUND(IF(TIPOORCAMENTO="Proposto",ORÇAMENTO.CustoUnitario*(1+$AH373),ORÇAMENTO.PrecoUnitarioLicitado),15-13*$AF$10),0)</f>
        <v>0</v>
      </c>
      <c r="X373" s="127">
        <f ca="1">IF($C373="S",IF(Import.TipoArredondamento&lt;&gt;"TransfereGOV",VTOTAL1,SUM(OFFSET(CÁLCULO!$AI$15,ROW($X373)-ROW($X$15),1):OFFSET(CÁLCULO!$BB$15,ROW($X373)-ROW($X$15),-1))),IF($C373=0,0,ROUND(SomaAgrup,15-13*$AF$11)))</f>
        <v>0</v>
      </c>
      <c r="Y373" s="128" t="s">
        <v>245</v>
      </c>
      <c r="Z373" t="str">
        <f t="shared" ca="1" si="67"/>
        <v/>
      </c>
      <c r="AA373" s="129">
        <f ca="1">IF($C373="S",IF($Z373="CP",$X373,IF($Z373="RA",(($X373)*QCI!$AA$3),0)),SomaAgrup)</f>
        <v>0</v>
      </c>
      <c r="AB373" s="130">
        <f t="shared" ca="1" si="68"/>
        <v>0</v>
      </c>
      <c r="AC373" s="131" t="str">
        <f ca="1">IF($N373="","",IF(ORÇAMENTO.Descricao="","DESCRIÇÃO",IF(AND($C373="S",ORÇAMENTO.Unidade=""),"UNIDADE",IF($X373&lt;0,"VALOR NEGATIVO",IF(OR(AND(TIPOORCAMENTO="Proposto",$AG373&lt;&gt;"",$AG373&gt;0,ORÇAMENTO.CustoUnitario&gt;$AG373),AND(TIPOORCAMENTO="LICITADO",ORÇAMENTO.PrecoUnitarioLicitado&gt;$AN373)),"ACIMA REF.","")))))</f>
        <v/>
      </c>
      <c r="AD373" t="str">
        <f ca="1">IF(C373&lt;=CRONO.NivelExibicao,MAX($AD$15:OFFSET(AD373,-1,0))+IF($C373&lt;&gt;1,1,MAX(1,COUNTIF(QCI!$A$13:$A$24,OFFSET($E373,-1,0)))),"")</f>
        <v/>
      </c>
      <c r="AE373" s="7" t="str">
        <f ca="1">IF(AND($C373="S",ORÇAMENTO.CodBarra&lt;&gt;""),IF(ORÇAMENTO.Fonte="",ORÇAMENTO.CodBarra,CONCATENATE(ORÇAMENTO.Fonte," ",ORÇAMENTO.CodBarra)))</f>
        <v>SINAPI 86902</v>
      </c>
      <c r="AF373" s="13" t="str">
        <f ca="1">IF(ISERROR(INDIRECT(ORÇAMENTO.BancoRef)),"(abra o arquivo 'Referência "&amp;Excel_BuiltIn_Database&amp;".xlsm)",IF(OR($C373&lt;&gt;"S",ORÇAMENTO.CodBarra=""),"(Sem Código)",IF(ISERROR(MATCH($AE373,INDIRECT(ORÇAMENTO.BancoRef),0)),"(Código não identificado nas referências)",MATCH($AE373,INDIRECT(ORÇAMENTO.BancoRef),0))))</f>
        <v>(abra o arquivo 'Referência 06-2024.xlsm)</v>
      </c>
      <c r="AG373" s="498">
        <f ca="1">ROUND(IF(DESONERACAO="sim",REFERENCIA.Desonerado,REFERENCIA.NaoDesonerado),2)</f>
        <v>0</v>
      </c>
      <c r="AH373" s="499">
        <f t="shared" ca="1" si="69"/>
        <v>0.2432</v>
      </c>
      <c r="AJ373" s="501"/>
      <c r="AL373" s="527"/>
      <c r="AM373" s="381">
        <f t="shared" ca="1" si="70"/>
        <v>0</v>
      </c>
      <c r="AN373" s="566">
        <f t="shared" ca="1" si="71"/>
        <v>0</v>
      </c>
    </row>
    <row r="374" spans="1:40" ht="25.5" x14ac:dyDescent="0.2">
      <c r="A374" t="str">
        <f t="shared" si="56"/>
        <v>S</v>
      </c>
      <c r="B374">
        <f t="shared" ca="1" si="57"/>
        <v>2</v>
      </c>
      <c r="C374" t="str">
        <f t="shared" ca="1" si="58"/>
        <v>S</v>
      </c>
      <c r="D374">
        <f t="shared" ca="1" si="59"/>
        <v>0</v>
      </c>
      <c r="E374">
        <f ca="1">IF($C374=1,OFFSET(E374,-1,0)+MAX(1,COUNTIF(QCI!$A$13:$A$24,OFFSET(ORÇAMENTO!E374,-1,0))),OFFSET(E374,-1,0))</f>
        <v>1</v>
      </c>
      <c r="F374">
        <f t="shared" ca="1" si="60"/>
        <v>43</v>
      </c>
      <c r="G374">
        <f t="shared" ca="1" si="61"/>
        <v>0</v>
      </c>
      <c r="H374">
        <f t="shared" ca="1" si="62"/>
        <v>0</v>
      </c>
      <c r="I374">
        <f t="shared" ca="1" si="63"/>
        <v>0</v>
      </c>
      <c r="J374">
        <f t="shared" ca="1" si="89"/>
        <v>0</v>
      </c>
      <c r="K374">
        <f ca="1">IF(OR($C374="S",$C374=0),0,MATCH(OFFSET($D374,0,$C374)+IF($C374&lt;&gt;1,1,COUNTIF(QCI!$A$13:$A$24,ORÇAMENTO!E374)),OFFSET($D374,1,$C374,ROW($C$727)-ROW($C374)),0))</f>
        <v>0</v>
      </c>
      <c r="L374" s="116" t="str">
        <f t="shared" ca="1" si="64"/>
        <v/>
      </c>
      <c r="M374" s="117" t="s">
        <v>199</v>
      </c>
      <c r="N374" s="118" t="str">
        <f t="shared" ca="1" si="65"/>
        <v>Serviço</v>
      </c>
      <c r="O374" s="119" t="str">
        <f t="shared" ca="1" si="66"/>
        <v>-</v>
      </c>
      <c r="P374" s="120" t="s">
        <v>247</v>
      </c>
      <c r="Q374" s="121" t="s">
        <v>748</v>
      </c>
      <c r="R374" s="122" t="str">
        <f ca="1">IF($C374="S",REFERENCIA.Descricao,"(digite a descrição aqui)")</f>
        <v>(abra o arquivo 'Referência 06-2024.xlsm)</v>
      </c>
      <c r="S374" s="123" t="str">
        <f ca="1">REFERENCIA.Unidade</f>
        <v>-</v>
      </c>
      <c r="T374" s="124">
        <f ca="1">OFFSET(CÁLCULO!H$15,ROW($T374)-ROW(T$15),0)</f>
        <v>6</v>
      </c>
      <c r="U374" s="125">
        <f t="shared" ca="1" si="90"/>
        <v>0</v>
      </c>
      <c r="V374" s="126" t="s">
        <v>156</v>
      </c>
      <c r="W374" s="124">
        <f ca="1">IF($C374="S",ROUND(IF(TIPOORCAMENTO="Proposto",ORÇAMENTO.CustoUnitario*(1+$AH374),ORÇAMENTO.PrecoUnitarioLicitado),15-13*$AF$10),0)</f>
        <v>0</v>
      </c>
      <c r="X374" s="127">
        <f ca="1">IF($C374="S",IF(Import.TipoArredondamento&lt;&gt;"TransfereGOV",VTOTAL1,SUM(OFFSET(CÁLCULO!$AI$15,ROW($X374)-ROW($X$15),1):OFFSET(CÁLCULO!$BB$15,ROW($X374)-ROW($X$15),-1))),IF($C374=0,0,ROUND(SomaAgrup,15-13*$AF$11)))</f>
        <v>0</v>
      </c>
      <c r="Y374" s="128" t="s">
        <v>245</v>
      </c>
      <c r="Z374" t="str">
        <f t="shared" ca="1" si="67"/>
        <v/>
      </c>
      <c r="AA374" s="129">
        <f ca="1">IF($C374="S",IF($Z374="CP",$X374,IF($Z374="RA",(($X374)*QCI!$AA$3),0)),SomaAgrup)</f>
        <v>0</v>
      </c>
      <c r="AB374" s="130">
        <f t="shared" ca="1" si="68"/>
        <v>0</v>
      </c>
      <c r="AC374" s="131" t="str">
        <f ca="1">IF($N374="","",IF(ORÇAMENTO.Descricao="","DESCRIÇÃO",IF(AND($C374="S",ORÇAMENTO.Unidade=""),"UNIDADE",IF($X374&lt;0,"VALOR NEGATIVO",IF(OR(AND(TIPOORCAMENTO="Proposto",$AG374&lt;&gt;"",$AG374&gt;0,ORÇAMENTO.CustoUnitario&gt;$AG374),AND(TIPOORCAMENTO="LICITADO",ORÇAMENTO.PrecoUnitarioLicitado&gt;$AN374)),"ACIMA REF.","")))))</f>
        <v/>
      </c>
      <c r="AD374" t="str">
        <f ca="1">IF(C374&lt;=CRONO.NivelExibicao,MAX($AD$15:OFFSET(AD374,-1,0))+IF($C374&lt;&gt;1,1,MAX(1,COUNTIF(QCI!$A$13:$A$24,OFFSET($E374,-1,0)))),"")</f>
        <v/>
      </c>
      <c r="AE374" s="7" t="str">
        <f ca="1">IF(AND($C374="S",ORÇAMENTO.CodBarra&lt;&gt;""),IF(ORÇAMENTO.Fonte="",ORÇAMENTO.CodBarra,CONCATENATE(ORÇAMENTO.Fonte," ",ORÇAMENTO.CodBarra)))</f>
        <v>SINAPI 86872</v>
      </c>
      <c r="AF374" s="13" t="str">
        <f ca="1">IF(ISERROR(INDIRECT(ORÇAMENTO.BancoRef)),"(abra o arquivo 'Referência "&amp;Excel_BuiltIn_Database&amp;".xlsm)",IF(OR($C374&lt;&gt;"S",ORÇAMENTO.CodBarra=""),"(Sem Código)",IF(ISERROR(MATCH($AE374,INDIRECT(ORÇAMENTO.BancoRef),0)),"(Código não identificado nas referências)",MATCH($AE374,INDIRECT(ORÇAMENTO.BancoRef),0))))</f>
        <v>(abra o arquivo 'Referência 06-2024.xlsm)</v>
      </c>
      <c r="AG374" s="498">
        <f ca="1">ROUND(IF(DESONERACAO="sim",REFERENCIA.Desonerado,REFERENCIA.NaoDesonerado),2)</f>
        <v>0</v>
      </c>
      <c r="AH374" s="499">
        <f t="shared" ca="1" si="69"/>
        <v>0.2432</v>
      </c>
      <c r="AJ374" s="501"/>
      <c r="AL374" s="527"/>
      <c r="AM374" s="381">
        <f t="shared" ca="1" si="70"/>
        <v>0</v>
      </c>
      <c r="AN374" s="566">
        <f t="shared" ca="1" si="71"/>
        <v>0</v>
      </c>
    </row>
    <row r="375" spans="1:40" ht="25.5" x14ac:dyDescent="0.2">
      <c r="A375" t="str">
        <f t="shared" si="56"/>
        <v>S</v>
      </c>
      <c r="B375">
        <f t="shared" ca="1" si="57"/>
        <v>2</v>
      </c>
      <c r="C375" t="str">
        <f t="shared" ca="1" si="58"/>
        <v>S</v>
      </c>
      <c r="D375">
        <f t="shared" ca="1" si="59"/>
        <v>0</v>
      </c>
      <c r="E375">
        <f ca="1">IF($C375=1,OFFSET(E375,-1,0)+MAX(1,COUNTIF(QCI!$A$13:$A$24,OFFSET(ORÇAMENTO!E375,-1,0))),OFFSET(E375,-1,0))</f>
        <v>1</v>
      </c>
      <c r="F375">
        <f t="shared" ca="1" si="60"/>
        <v>43</v>
      </c>
      <c r="G375">
        <f t="shared" ca="1" si="61"/>
        <v>0</v>
      </c>
      <c r="H375">
        <f t="shared" ca="1" si="62"/>
        <v>0</v>
      </c>
      <c r="I375">
        <f t="shared" ca="1" si="63"/>
        <v>0</v>
      </c>
      <c r="J375">
        <f t="shared" ca="1" si="89"/>
        <v>0</v>
      </c>
      <c r="K375">
        <f ca="1">IF(OR($C375="S",$C375=0),0,MATCH(OFFSET($D375,0,$C375)+IF($C375&lt;&gt;1,1,COUNTIF(QCI!$A$13:$A$24,ORÇAMENTO!E375)),OFFSET($D375,1,$C375,ROW($C$727)-ROW($C375)),0))</f>
        <v>0</v>
      </c>
      <c r="L375" s="116" t="str">
        <f t="shared" ca="1" si="64"/>
        <v/>
      </c>
      <c r="M375" s="117" t="s">
        <v>199</v>
      </c>
      <c r="N375" s="118" t="str">
        <f t="shared" ca="1" si="65"/>
        <v>Serviço</v>
      </c>
      <c r="O375" s="119" t="str">
        <f t="shared" ca="1" si="66"/>
        <v>-</v>
      </c>
      <c r="P375" s="120" t="s">
        <v>247</v>
      </c>
      <c r="Q375" s="121" t="s">
        <v>749</v>
      </c>
      <c r="R375" s="122" t="str">
        <f ca="1">IF($C375="S",REFERENCIA.Descricao,"(digite a descrição aqui)")</f>
        <v>(abra o arquivo 'Referência 06-2024.xlsm)</v>
      </c>
      <c r="S375" s="123" t="str">
        <f ca="1">REFERENCIA.Unidade</f>
        <v>-</v>
      </c>
      <c r="T375" s="124">
        <f ca="1">OFFSET(CÁLCULO!H$15,ROW($T375)-ROW(T$15),0)</f>
        <v>10</v>
      </c>
      <c r="U375" s="125">
        <f t="shared" ca="1" si="90"/>
        <v>0</v>
      </c>
      <c r="V375" s="126" t="s">
        <v>156</v>
      </c>
      <c r="W375" s="124">
        <f ca="1">IF($C375="S",ROUND(IF(TIPOORCAMENTO="Proposto",ORÇAMENTO.CustoUnitario*(1+$AH375),ORÇAMENTO.PrecoUnitarioLicitado),15-13*$AF$10),0)</f>
        <v>0</v>
      </c>
      <c r="X375" s="127">
        <f ca="1">IF($C375="S",IF(Import.TipoArredondamento&lt;&gt;"TransfereGOV",VTOTAL1,SUM(OFFSET(CÁLCULO!$AI$15,ROW($X375)-ROW($X$15),1):OFFSET(CÁLCULO!$BB$15,ROW($X375)-ROW($X$15),-1))),IF($C375=0,0,ROUND(SomaAgrup,15-13*$AF$11)))</f>
        <v>0</v>
      </c>
      <c r="Y375" s="128" t="s">
        <v>245</v>
      </c>
      <c r="Z375" t="str">
        <f t="shared" ca="1" si="67"/>
        <v/>
      </c>
      <c r="AA375" s="129">
        <f ca="1">IF($C375="S",IF($Z375="CP",$X375,IF($Z375="RA",(($X375)*QCI!$AA$3),0)),SomaAgrup)</f>
        <v>0</v>
      </c>
      <c r="AB375" s="130">
        <f t="shared" ca="1" si="68"/>
        <v>0</v>
      </c>
      <c r="AC375" s="131" t="str">
        <f ca="1">IF($N375="","",IF(ORÇAMENTO.Descricao="","DESCRIÇÃO",IF(AND($C375="S",ORÇAMENTO.Unidade=""),"UNIDADE",IF($X375&lt;0,"VALOR NEGATIVO",IF(OR(AND(TIPOORCAMENTO="Proposto",$AG375&lt;&gt;"",$AG375&gt;0,ORÇAMENTO.CustoUnitario&gt;$AG375),AND(TIPOORCAMENTO="LICITADO",ORÇAMENTO.PrecoUnitarioLicitado&gt;$AN375)),"ACIMA REF.","")))))</f>
        <v/>
      </c>
      <c r="AD375" t="str">
        <f ca="1">IF(C375&lt;=CRONO.NivelExibicao,MAX($AD$15:OFFSET(AD375,-1,0))+IF($C375&lt;&gt;1,1,MAX(1,COUNTIF(QCI!$A$13:$A$24,OFFSET($E375,-1,0)))),"")</f>
        <v/>
      </c>
      <c r="AE375" s="7" t="str">
        <f ca="1">IF(AND($C375="S",ORÇAMENTO.CodBarra&lt;&gt;""),IF(ORÇAMENTO.Fonte="",ORÇAMENTO.CodBarra,CONCATENATE(ORÇAMENTO.Fonte," ",ORÇAMENTO.CodBarra)))</f>
        <v>SINAPI 86900</v>
      </c>
      <c r="AF375" s="13" t="str">
        <f ca="1">IF(ISERROR(INDIRECT(ORÇAMENTO.BancoRef)),"(abra o arquivo 'Referência "&amp;Excel_BuiltIn_Database&amp;".xlsm)",IF(OR($C375&lt;&gt;"S",ORÇAMENTO.CodBarra=""),"(Sem Código)",IF(ISERROR(MATCH($AE375,INDIRECT(ORÇAMENTO.BancoRef),0)),"(Código não identificado nas referências)",MATCH($AE375,INDIRECT(ORÇAMENTO.BancoRef),0))))</f>
        <v>(abra o arquivo 'Referência 06-2024.xlsm)</v>
      </c>
      <c r="AG375" s="498">
        <f ca="1">ROUND(IF(DESONERACAO="sim",REFERENCIA.Desonerado,REFERENCIA.NaoDesonerado),2)</f>
        <v>0</v>
      </c>
      <c r="AH375" s="499">
        <f t="shared" ca="1" si="69"/>
        <v>0.2432</v>
      </c>
      <c r="AJ375" s="501"/>
      <c r="AL375" s="527"/>
      <c r="AM375" s="381">
        <f t="shared" ca="1" si="70"/>
        <v>0</v>
      </c>
      <c r="AN375" s="566">
        <f t="shared" ca="1" si="71"/>
        <v>0</v>
      </c>
    </row>
    <row r="376" spans="1:40" ht="25.5" x14ac:dyDescent="0.2">
      <c r="A376" t="str">
        <f t="shared" si="56"/>
        <v>S</v>
      </c>
      <c r="B376">
        <f t="shared" ca="1" si="57"/>
        <v>2</v>
      </c>
      <c r="C376" t="str">
        <f t="shared" ca="1" si="58"/>
        <v>S</v>
      </c>
      <c r="D376">
        <f t="shared" ca="1" si="59"/>
        <v>0</v>
      </c>
      <c r="E376">
        <f ca="1">IF($C376=1,OFFSET(E376,-1,0)+MAX(1,COUNTIF(QCI!$A$13:$A$24,OFFSET(ORÇAMENTO!E376,-1,0))),OFFSET(E376,-1,0))</f>
        <v>1</v>
      </c>
      <c r="F376">
        <f t="shared" ca="1" si="60"/>
        <v>43</v>
      </c>
      <c r="G376">
        <f t="shared" ca="1" si="61"/>
        <v>0</v>
      </c>
      <c r="H376">
        <f t="shared" ca="1" si="62"/>
        <v>0</v>
      </c>
      <c r="I376">
        <f t="shared" ca="1" si="63"/>
        <v>0</v>
      </c>
      <c r="J376">
        <f t="shared" ca="1" si="89"/>
        <v>0</v>
      </c>
      <c r="K376">
        <f ca="1">IF(OR($C376="S",$C376=0),0,MATCH(OFFSET($D376,0,$C376)+IF($C376&lt;&gt;1,1,COUNTIF(QCI!$A$13:$A$24,ORÇAMENTO!E376)),OFFSET($D376,1,$C376,ROW($C$727)-ROW($C376)),0))</f>
        <v>0</v>
      </c>
      <c r="L376" s="116" t="str">
        <f t="shared" ca="1" si="64"/>
        <v/>
      </c>
      <c r="M376" s="117" t="s">
        <v>199</v>
      </c>
      <c r="N376" s="118" t="str">
        <f t="shared" ca="1" si="65"/>
        <v>Serviço</v>
      </c>
      <c r="O376" s="119" t="str">
        <f t="shared" ca="1" si="66"/>
        <v>-</v>
      </c>
      <c r="P376" s="120" t="s">
        <v>458</v>
      </c>
      <c r="Q376" s="121" t="s">
        <v>750</v>
      </c>
      <c r="R376" s="122" t="str">
        <f ca="1">IF($C376="S",REFERENCIA.Descricao,"(digite a descrição aqui)")</f>
        <v>(abra o arquivo 'Referência 06-2024.xlsm)</v>
      </c>
      <c r="S376" s="123" t="str">
        <f ca="1">REFERENCIA.Unidade</f>
        <v>-</v>
      </c>
      <c r="T376" s="124">
        <f ca="1">OFFSET(CÁLCULO!H$15,ROW($T376)-ROW(T$15),0)</f>
        <v>7</v>
      </c>
      <c r="U376" s="125">
        <f t="shared" ca="1" si="90"/>
        <v>0</v>
      </c>
      <c r="V376" s="126" t="s">
        <v>156</v>
      </c>
      <c r="W376" s="124">
        <f ca="1">IF($C376="S",ROUND(IF(TIPOORCAMENTO="Proposto",ORÇAMENTO.CustoUnitario*(1+$AH376),ORÇAMENTO.PrecoUnitarioLicitado),15-13*$AF$10),0)</f>
        <v>0</v>
      </c>
      <c r="X376" s="127">
        <f ca="1">IF($C376="S",IF(Import.TipoArredondamento&lt;&gt;"TransfereGOV",VTOTAL1,SUM(OFFSET(CÁLCULO!$AI$15,ROW($X376)-ROW($X$15),1):OFFSET(CÁLCULO!$BB$15,ROW($X376)-ROW($X$15),-1))),IF($C376=0,0,ROUND(SomaAgrup,15-13*$AF$11)))</f>
        <v>0</v>
      </c>
      <c r="Y376" s="128" t="s">
        <v>245</v>
      </c>
      <c r="Z376" t="str">
        <f t="shared" ca="1" si="67"/>
        <v/>
      </c>
      <c r="AA376" s="129">
        <f ca="1">IF($C376="S",IF($Z376="CP",$X376,IF($Z376="RA",(($X376)*QCI!$AA$3),0)),SomaAgrup)</f>
        <v>0</v>
      </c>
      <c r="AB376" s="130">
        <f t="shared" ca="1" si="68"/>
        <v>0</v>
      </c>
      <c r="AC376" s="131" t="str">
        <f ca="1">IF($N376="","",IF(ORÇAMENTO.Descricao="","DESCRIÇÃO",IF(AND($C376="S",ORÇAMENTO.Unidade=""),"UNIDADE",IF($X376&lt;0,"VALOR NEGATIVO",IF(OR(AND(TIPOORCAMENTO="Proposto",$AG376&lt;&gt;"",$AG376&gt;0,ORÇAMENTO.CustoUnitario&gt;$AG376),AND(TIPOORCAMENTO="LICITADO",ORÇAMENTO.PrecoUnitarioLicitado&gt;$AN376)),"ACIMA REF.","")))))</f>
        <v/>
      </c>
      <c r="AD376" t="str">
        <f ca="1">IF(C376&lt;=CRONO.NivelExibicao,MAX($AD$15:OFFSET(AD376,-1,0))+IF($C376&lt;&gt;1,1,MAX(1,COUNTIF(QCI!$A$13:$A$24,OFFSET($E376,-1,0)))),"")</f>
        <v/>
      </c>
      <c r="AE376" s="7" t="str">
        <f ca="1">IF(AND($C376="S",ORÇAMENTO.CodBarra&lt;&gt;""),IF(ORÇAMENTO.Fonte="",ORÇAMENTO.CodBarra,CONCATENATE(ORÇAMENTO.Fonte," ",ORÇAMENTO.CodBarra)))</f>
        <v>COMPOSIÇÃO FNDE 217</v>
      </c>
      <c r="AF376" s="13" t="str">
        <f ca="1">IF(ISERROR(INDIRECT(ORÇAMENTO.BancoRef)),"(abra o arquivo 'Referência "&amp;Excel_BuiltIn_Database&amp;".xlsm)",IF(OR($C376&lt;&gt;"S",ORÇAMENTO.CodBarra=""),"(Sem Código)",IF(ISERROR(MATCH($AE376,INDIRECT(ORÇAMENTO.BancoRef),0)),"(Código não identificado nas referências)",MATCH($AE376,INDIRECT(ORÇAMENTO.BancoRef),0))))</f>
        <v>(abra o arquivo 'Referência 06-2024.xlsm)</v>
      </c>
      <c r="AG376" s="498">
        <f ca="1">ROUND(IF(DESONERACAO="sim",REFERENCIA.Desonerado,REFERENCIA.NaoDesonerado),2)</f>
        <v>0</v>
      </c>
      <c r="AH376" s="499">
        <f t="shared" ca="1" si="69"/>
        <v>0.2432</v>
      </c>
      <c r="AJ376" s="501"/>
      <c r="AL376" s="527"/>
      <c r="AM376" s="381">
        <f t="shared" ca="1" si="70"/>
        <v>0</v>
      </c>
      <c r="AN376" s="566">
        <f t="shared" ca="1" si="71"/>
        <v>0</v>
      </c>
    </row>
    <row r="377" spans="1:40" ht="25.5" x14ac:dyDescent="0.2">
      <c r="A377" t="str">
        <f t="shared" si="56"/>
        <v>S</v>
      </c>
      <c r="B377">
        <f t="shared" ca="1" si="57"/>
        <v>2</v>
      </c>
      <c r="C377" t="str">
        <f t="shared" ca="1" si="58"/>
        <v>S</v>
      </c>
      <c r="D377">
        <f t="shared" ca="1" si="59"/>
        <v>0</v>
      </c>
      <c r="E377">
        <f ca="1">IF($C377=1,OFFSET(E377,-1,0)+MAX(1,COUNTIF(QCI!$A$13:$A$24,OFFSET(ORÇAMENTO!E377,-1,0))),OFFSET(E377,-1,0))</f>
        <v>1</v>
      </c>
      <c r="F377">
        <f t="shared" ca="1" si="60"/>
        <v>43</v>
      </c>
      <c r="G377">
        <f t="shared" ca="1" si="61"/>
        <v>0</v>
      </c>
      <c r="H377">
        <f t="shared" ca="1" si="62"/>
        <v>0</v>
      </c>
      <c r="I377">
        <f t="shared" ca="1" si="63"/>
        <v>0</v>
      </c>
      <c r="J377">
        <f t="shared" ca="1" si="89"/>
        <v>0</v>
      </c>
      <c r="K377">
        <f ca="1">IF(OR($C377="S",$C377=0),0,MATCH(OFFSET($D377,0,$C377)+IF($C377&lt;&gt;1,1,COUNTIF(QCI!$A$13:$A$24,ORÇAMENTO!E377)),OFFSET($D377,1,$C377,ROW($C$727)-ROW($C377)),0))</f>
        <v>0</v>
      </c>
      <c r="L377" s="116" t="str">
        <f t="shared" ca="1" si="64"/>
        <v/>
      </c>
      <c r="M377" s="117" t="s">
        <v>199</v>
      </c>
      <c r="N377" s="118" t="str">
        <f t="shared" ca="1" si="65"/>
        <v>Serviço</v>
      </c>
      <c r="O377" s="119" t="str">
        <f t="shared" ca="1" si="66"/>
        <v>-</v>
      </c>
      <c r="P377" s="120" t="s">
        <v>247</v>
      </c>
      <c r="Q377" s="121" t="s">
        <v>751</v>
      </c>
      <c r="R377" s="122" t="str">
        <f ca="1">IF($C377="S",REFERENCIA.Descricao,"(digite a descrição aqui)")</f>
        <v>(abra o arquivo 'Referência 06-2024.xlsm)</v>
      </c>
      <c r="S377" s="123" t="str">
        <f ca="1">REFERENCIA.Unidade</f>
        <v>-</v>
      </c>
      <c r="T377" s="124">
        <f ca="1">OFFSET(CÁLCULO!H$15,ROW($T377)-ROW(T$15),0)</f>
        <v>1</v>
      </c>
      <c r="U377" s="125">
        <f t="shared" ca="1" si="90"/>
        <v>0</v>
      </c>
      <c r="V377" s="126" t="s">
        <v>156</v>
      </c>
      <c r="W377" s="124">
        <f ca="1">IF($C377="S",ROUND(IF(TIPOORCAMENTO="Proposto",ORÇAMENTO.CustoUnitario*(1+$AH377),ORÇAMENTO.PrecoUnitarioLicitado),15-13*$AF$10),0)</f>
        <v>0</v>
      </c>
      <c r="X377" s="127">
        <f ca="1">IF($C377="S",IF(Import.TipoArredondamento&lt;&gt;"TransfereGOV",VTOTAL1,SUM(OFFSET(CÁLCULO!$AI$15,ROW($X377)-ROW($X$15),1):OFFSET(CÁLCULO!$BB$15,ROW($X377)-ROW($X$15),-1))),IF($C377=0,0,ROUND(SomaAgrup,15-13*$AF$11)))</f>
        <v>0</v>
      </c>
      <c r="Y377" s="128" t="s">
        <v>245</v>
      </c>
      <c r="Z377" t="str">
        <f t="shared" ca="1" si="67"/>
        <v/>
      </c>
      <c r="AA377" s="129">
        <f ca="1">IF($C377="S",IF($Z377="CP",$X377,IF($Z377="RA",(($X377)*QCI!$AA$3),0)),SomaAgrup)</f>
        <v>0</v>
      </c>
      <c r="AB377" s="130">
        <f t="shared" ca="1" si="68"/>
        <v>0</v>
      </c>
      <c r="AC377" s="131" t="str">
        <f ca="1">IF($N377="","",IF(ORÇAMENTO.Descricao="","DESCRIÇÃO",IF(AND($C377="S",ORÇAMENTO.Unidade=""),"UNIDADE",IF($X377&lt;0,"VALOR NEGATIVO",IF(OR(AND(TIPOORCAMENTO="Proposto",$AG377&lt;&gt;"",$AG377&gt;0,ORÇAMENTO.CustoUnitario&gt;$AG377),AND(TIPOORCAMENTO="LICITADO",ORÇAMENTO.PrecoUnitarioLicitado&gt;$AN377)),"ACIMA REF.","")))))</f>
        <v/>
      </c>
      <c r="AD377" t="str">
        <f ca="1">IF(C377&lt;=CRONO.NivelExibicao,MAX($AD$15:OFFSET(AD377,-1,0))+IF($C377&lt;&gt;1,1,MAX(1,COUNTIF(QCI!$A$13:$A$24,OFFSET($E377,-1,0)))),"")</f>
        <v/>
      </c>
      <c r="AE377" s="7" t="str">
        <f ca="1">IF(AND($C377="S",ORÇAMENTO.CodBarra&lt;&gt;""),IF(ORÇAMENTO.Fonte="",ORÇAMENTO.CodBarra,CONCATENATE(ORÇAMENTO.Fonte," ",ORÇAMENTO.CodBarra)))</f>
        <v>SINAPI 100852</v>
      </c>
      <c r="AF377" s="13" t="str">
        <f ca="1">IF(ISERROR(INDIRECT(ORÇAMENTO.BancoRef)),"(abra o arquivo 'Referência "&amp;Excel_BuiltIn_Database&amp;".xlsm)",IF(OR($C377&lt;&gt;"S",ORÇAMENTO.CodBarra=""),"(Sem Código)",IF(ISERROR(MATCH($AE377,INDIRECT(ORÇAMENTO.BancoRef),0)),"(Código não identificado nas referências)",MATCH($AE377,INDIRECT(ORÇAMENTO.BancoRef),0))))</f>
        <v>(abra o arquivo 'Referência 06-2024.xlsm)</v>
      </c>
      <c r="AG377" s="498">
        <f ca="1">ROUND(IF(DESONERACAO="sim",REFERENCIA.Desonerado,REFERENCIA.NaoDesonerado),2)</f>
        <v>0</v>
      </c>
      <c r="AH377" s="499">
        <f t="shared" ca="1" si="69"/>
        <v>0.2432</v>
      </c>
      <c r="AJ377" s="501"/>
      <c r="AL377" s="527"/>
      <c r="AM377" s="381">
        <f t="shared" ca="1" si="70"/>
        <v>0</v>
      </c>
      <c r="AN377" s="566">
        <f t="shared" ca="1" si="71"/>
        <v>0</v>
      </c>
    </row>
    <row r="378" spans="1:40" ht="38.25" x14ac:dyDescent="0.2">
      <c r="A378" t="str">
        <f t="shared" si="56"/>
        <v>S</v>
      </c>
      <c r="B378">
        <f t="shared" ca="1" si="57"/>
        <v>2</v>
      </c>
      <c r="C378" t="str">
        <f t="shared" ca="1" si="58"/>
        <v>S</v>
      </c>
      <c r="D378">
        <f t="shared" ca="1" si="59"/>
        <v>0</v>
      </c>
      <c r="E378">
        <f ca="1">IF($C378=1,OFFSET(E378,-1,0)+MAX(1,COUNTIF(QCI!$A$13:$A$24,OFFSET(ORÇAMENTO!E378,-1,0))),OFFSET(E378,-1,0))</f>
        <v>1</v>
      </c>
      <c r="F378">
        <f t="shared" ca="1" si="60"/>
        <v>43</v>
      </c>
      <c r="G378">
        <f t="shared" ca="1" si="61"/>
        <v>0</v>
      </c>
      <c r="H378">
        <f t="shared" ca="1" si="62"/>
        <v>0</v>
      </c>
      <c r="I378">
        <f t="shared" ca="1" si="63"/>
        <v>0</v>
      </c>
      <c r="J378">
        <f t="shared" ca="1" si="89"/>
        <v>0</v>
      </c>
      <c r="K378">
        <f ca="1">IF(OR($C378="S",$C378=0),0,MATCH(OFFSET($D378,0,$C378)+IF($C378&lt;&gt;1,1,COUNTIF(QCI!$A$13:$A$24,ORÇAMENTO!E378)),OFFSET($D378,1,$C378,ROW($C$727)-ROW($C378)),0))</f>
        <v>0</v>
      </c>
      <c r="L378" s="116" t="str">
        <f t="shared" ca="1" si="64"/>
        <v/>
      </c>
      <c r="M378" s="117" t="s">
        <v>199</v>
      </c>
      <c r="N378" s="118" t="str">
        <f t="shared" ca="1" si="65"/>
        <v>Serviço</v>
      </c>
      <c r="O378" s="119" t="str">
        <f t="shared" ca="1" si="66"/>
        <v>-</v>
      </c>
      <c r="P378" s="120" t="s">
        <v>247</v>
      </c>
      <c r="Q378" s="121" t="s">
        <v>752</v>
      </c>
      <c r="R378" s="122" t="str">
        <f ca="1">IF($C378="S",REFERENCIA.Descricao,"(digite a descrição aqui)")</f>
        <v>(abra o arquivo 'Referência 06-2024.xlsm)</v>
      </c>
      <c r="S378" s="123" t="str">
        <f ca="1">REFERENCIA.Unidade</f>
        <v>-</v>
      </c>
      <c r="T378" s="124">
        <f ca="1">OFFSET(CÁLCULO!H$15,ROW($T378)-ROW(T$15),0)</f>
        <v>42</v>
      </c>
      <c r="U378" s="125">
        <f t="shared" ca="1" si="90"/>
        <v>0</v>
      </c>
      <c r="V378" s="126" t="s">
        <v>156</v>
      </c>
      <c r="W378" s="124">
        <f ca="1">IF($C378="S",ROUND(IF(TIPOORCAMENTO="Proposto",ORÇAMENTO.CustoUnitario*(1+$AH378),ORÇAMENTO.PrecoUnitarioLicitado),15-13*$AF$10),0)</f>
        <v>0</v>
      </c>
      <c r="X378" s="127">
        <f ca="1">IF($C378="S",IF(Import.TipoArredondamento&lt;&gt;"TransfereGOV",VTOTAL1,SUM(OFFSET(CÁLCULO!$AI$15,ROW($X378)-ROW($X$15),1):OFFSET(CÁLCULO!$BB$15,ROW($X378)-ROW($X$15),-1))),IF($C378=0,0,ROUND(SomaAgrup,15-13*$AF$11)))</f>
        <v>0</v>
      </c>
      <c r="Y378" s="128" t="s">
        <v>245</v>
      </c>
      <c r="Z378" t="str">
        <f t="shared" ca="1" si="67"/>
        <v/>
      </c>
      <c r="AA378" s="129">
        <f ca="1">IF($C378="S",IF($Z378="CP",$X378,IF($Z378="RA",(($X378)*QCI!$AA$3),0)),SomaAgrup)</f>
        <v>0</v>
      </c>
      <c r="AB378" s="130">
        <f t="shared" ca="1" si="68"/>
        <v>0</v>
      </c>
      <c r="AC378" s="131" t="str">
        <f ca="1">IF($N378="","",IF(ORÇAMENTO.Descricao="","DESCRIÇÃO",IF(AND($C378="S",ORÇAMENTO.Unidade=""),"UNIDADE",IF($X378&lt;0,"VALOR NEGATIVO",IF(OR(AND(TIPOORCAMENTO="Proposto",$AG378&lt;&gt;"",$AG378&gt;0,ORÇAMENTO.CustoUnitario&gt;$AG378),AND(TIPOORCAMENTO="LICITADO",ORÇAMENTO.PrecoUnitarioLicitado&gt;$AN378)),"ACIMA REF.","")))))</f>
        <v/>
      </c>
      <c r="AD378" t="str">
        <f ca="1">IF(C378&lt;=CRONO.NivelExibicao,MAX($AD$15:OFFSET(AD378,-1,0))+IF($C378&lt;&gt;1,1,MAX(1,COUNTIF(QCI!$A$13:$A$24,OFFSET($E378,-1,0)))),"")</f>
        <v/>
      </c>
      <c r="AE378" s="7" t="str">
        <f ca="1">IF(AND($C378="S",ORÇAMENTO.CodBarra&lt;&gt;""),IF(ORÇAMENTO.Fonte="",ORÇAMENTO.CodBarra,CONCATENATE(ORÇAMENTO.Fonte," ",ORÇAMENTO.CodBarra)))</f>
        <v>SINAPI 86877</v>
      </c>
      <c r="AF378" s="13" t="str">
        <f ca="1">IF(ISERROR(INDIRECT(ORÇAMENTO.BancoRef)),"(abra o arquivo 'Referência "&amp;Excel_BuiltIn_Database&amp;".xlsm)",IF(OR($C378&lt;&gt;"S",ORÇAMENTO.CodBarra=""),"(Sem Código)",IF(ISERROR(MATCH($AE378,INDIRECT(ORÇAMENTO.BancoRef),0)),"(Código não identificado nas referências)",MATCH($AE378,INDIRECT(ORÇAMENTO.BancoRef),0))))</f>
        <v>(abra o arquivo 'Referência 06-2024.xlsm)</v>
      </c>
      <c r="AG378" s="498">
        <f ca="1">ROUND(IF(DESONERACAO="sim",REFERENCIA.Desonerado,REFERENCIA.NaoDesonerado),2)</f>
        <v>0</v>
      </c>
      <c r="AH378" s="499">
        <f t="shared" ca="1" si="69"/>
        <v>0.2432</v>
      </c>
      <c r="AJ378" s="501"/>
      <c r="AL378" s="527"/>
      <c r="AM378" s="381">
        <f t="shared" ca="1" si="70"/>
        <v>0</v>
      </c>
      <c r="AN378" s="566">
        <f t="shared" ca="1" si="71"/>
        <v>0</v>
      </c>
    </row>
    <row r="379" spans="1:40" ht="25.5" x14ac:dyDescent="0.2">
      <c r="A379" t="str">
        <f t="shared" si="56"/>
        <v>S</v>
      </c>
      <c r="B379">
        <f t="shared" ca="1" si="57"/>
        <v>2</v>
      </c>
      <c r="C379" t="str">
        <f t="shared" ca="1" si="58"/>
        <v>S</v>
      </c>
      <c r="D379">
        <f t="shared" ca="1" si="59"/>
        <v>0</v>
      </c>
      <c r="E379">
        <f ca="1">IF($C379=1,OFFSET(E379,-1,0)+MAX(1,COUNTIF(QCI!$A$13:$A$24,OFFSET(ORÇAMENTO!E379,-1,0))),OFFSET(E379,-1,0))</f>
        <v>1</v>
      </c>
      <c r="F379">
        <f t="shared" ca="1" si="60"/>
        <v>43</v>
      </c>
      <c r="G379">
        <f t="shared" ca="1" si="61"/>
        <v>0</v>
      </c>
      <c r="H379">
        <f t="shared" ca="1" si="62"/>
        <v>0</v>
      </c>
      <c r="I379">
        <f t="shared" ca="1" si="63"/>
        <v>0</v>
      </c>
      <c r="J379">
        <f t="shared" ca="1" si="89"/>
        <v>0</v>
      </c>
      <c r="K379">
        <f ca="1">IF(OR($C379="S",$C379=0),0,MATCH(OFFSET($D379,0,$C379)+IF($C379&lt;&gt;1,1,COUNTIF(QCI!$A$13:$A$24,ORÇAMENTO!E379)),OFFSET($D379,1,$C379,ROW($C$727)-ROW($C379)),0))</f>
        <v>0</v>
      </c>
      <c r="L379" s="116" t="str">
        <f t="shared" ca="1" si="64"/>
        <v/>
      </c>
      <c r="M379" s="117" t="s">
        <v>199</v>
      </c>
      <c r="N379" s="118" t="str">
        <f t="shared" ca="1" si="65"/>
        <v>Serviço</v>
      </c>
      <c r="O379" s="119" t="str">
        <f t="shared" ca="1" si="66"/>
        <v>-</v>
      </c>
      <c r="P379" s="120" t="s">
        <v>247</v>
      </c>
      <c r="Q379" s="121" t="s">
        <v>753</v>
      </c>
      <c r="R379" s="122" t="str">
        <f ca="1">IF($C379="S",REFERENCIA.Descricao,"(digite a descrição aqui)")</f>
        <v>(abra o arquivo 'Referência 06-2024.xlsm)</v>
      </c>
      <c r="S379" s="123" t="str">
        <f ca="1">REFERENCIA.Unidade</f>
        <v>-</v>
      </c>
      <c r="T379" s="124">
        <f ca="1">OFFSET(CÁLCULO!H$15,ROW($T379)-ROW(T$15),0)</f>
        <v>11</v>
      </c>
      <c r="U379" s="125">
        <f t="shared" ca="1" si="90"/>
        <v>0</v>
      </c>
      <c r="V379" s="126" t="s">
        <v>156</v>
      </c>
      <c r="W379" s="124">
        <f ca="1">IF($C379="S",ROUND(IF(TIPOORCAMENTO="Proposto",ORÇAMENTO.CustoUnitario*(1+$AH379),ORÇAMENTO.PrecoUnitarioLicitado),15-13*$AF$10),0)</f>
        <v>0</v>
      </c>
      <c r="X379" s="127">
        <f ca="1">IF($C379="S",IF(Import.TipoArredondamento&lt;&gt;"TransfereGOV",VTOTAL1,SUM(OFFSET(CÁLCULO!$AI$15,ROW($X379)-ROW($X$15),1):OFFSET(CÁLCULO!$BB$15,ROW($X379)-ROW($X$15),-1))),IF($C379=0,0,ROUND(SomaAgrup,15-13*$AF$11)))</f>
        <v>0</v>
      </c>
      <c r="Y379" s="128" t="s">
        <v>245</v>
      </c>
      <c r="Z379" t="str">
        <f t="shared" ca="1" si="67"/>
        <v/>
      </c>
      <c r="AA379" s="129">
        <f ca="1">IF($C379="S",IF($Z379="CP",$X379,IF($Z379="RA",(($X379)*QCI!$AA$3),0)),SomaAgrup)</f>
        <v>0</v>
      </c>
      <c r="AB379" s="130">
        <f t="shared" ca="1" si="68"/>
        <v>0</v>
      </c>
      <c r="AC379" s="131" t="str">
        <f ca="1">IF($N379="","",IF(ORÇAMENTO.Descricao="","DESCRIÇÃO",IF(AND($C379="S",ORÇAMENTO.Unidade=""),"UNIDADE",IF($X379&lt;0,"VALOR NEGATIVO",IF(OR(AND(TIPOORCAMENTO="Proposto",$AG379&lt;&gt;"",$AG379&gt;0,ORÇAMENTO.CustoUnitario&gt;$AG379),AND(TIPOORCAMENTO="LICITADO",ORÇAMENTO.PrecoUnitarioLicitado&gt;$AN379)),"ACIMA REF.","")))))</f>
        <v/>
      </c>
      <c r="AD379" t="str">
        <f ca="1">IF(C379&lt;=CRONO.NivelExibicao,MAX($AD$15:OFFSET(AD379,-1,0))+IF($C379&lt;&gt;1,1,MAX(1,COUNTIF(QCI!$A$13:$A$24,OFFSET($E379,-1,0)))),"")</f>
        <v/>
      </c>
      <c r="AE379" s="7" t="str">
        <f ca="1">IF(AND($C379="S",ORÇAMENTO.CodBarra&lt;&gt;""),IF(ORÇAMENTO.Fonte="",ORÇAMENTO.CodBarra,CONCATENATE(ORÇAMENTO.Fonte," ",ORÇAMENTO.CodBarra)))</f>
        <v>SINAPI 86878</v>
      </c>
      <c r="AF379" s="13" t="str">
        <f ca="1">IF(ISERROR(INDIRECT(ORÇAMENTO.BancoRef)),"(abra o arquivo 'Referência "&amp;Excel_BuiltIn_Database&amp;".xlsm)",IF(OR($C379&lt;&gt;"S",ORÇAMENTO.CodBarra=""),"(Sem Código)",IF(ISERROR(MATCH($AE379,INDIRECT(ORÇAMENTO.BancoRef),0)),"(Código não identificado nas referências)",MATCH($AE379,INDIRECT(ORÇAMENTO.BancoRef),0))))</f>
        <v>(abra o arquivo 'Referência 06-2024.xlsm)</v>
      </c>
      <c r="AG379" s="498">
        <f ca="1">ROUND(IF(DESONERACAO="sim",REFERENCIA.Desonerado,REFERENCIA.NaoDesonerado),2)</f>
        <v>0</v>
      </c>
      <c r="AH379" s="499">
        <f t="shared" ca="1" si="69"/>
        <v>0.2432</v>
      </c>
      <c r="AJ379" s="501"/>
      <c r="AL379" s="527"/>
      <c r="AM379" s="381">
        <f t="shared" ca="1" si="70"/>
        <v>0</v>
      </c>
      <c r="AN379" s="566">
        <f t="shared" ca="1" si="71"/>
        <v>0</v>
      </c>
    </row>
    <row r="380" spans="1:40" ht="25.5" x14ac:dyDescent="0.2">
      <c r="A380" t="str">
        <f t="shared" si="56"/>
        <v>S</v>
      </c>
      <c r="B380">
        <f t="shared" ca="1" si="57"/>
        <v>2</v>
      </c>
      <c r="C380" t="str">
        <f t="shared" ca="1" si="58"/>
        <v>S</v>
      </c>
      <c r="D380">
        <f t="shared" ca="1" si="59"/>
        <v>0</v>
      </c>
      <c r="E380">
        <f ca="1">IF($C380=1,OFFSET(E380,-1,0)+MAX(1,COUNTIF(QCI!$A$13:$A$24,OFFSET(ORÇAMENTO!E380,-1,0))),OFFSET(E380,-1,0))</f>
        <v>1</v>
      </c>
      <c r="F380">
        <f t="shared" ca="1" si="60"/>
        <v>43</v>
      </c>
      <c r="G380">
        <f t="shared" ca="1" si="61"/>
        <v>0</v>
      </c>
      <c r="H380">
        <f t="shared" ca="1" si="62"/>
        <v>0</v>
      </c>
      <c r="I380">
        <f t="shared" ca="1" si="63"/>
        <v>0</v>
      </c>
      <c r="J380">
        <f t="shared" ca="1" si="89"/>
        <v>0</v>
      </c>
      <c r="K380">
        <f ca="1">IF(OR($C380="S",$C380=0),0,MATCH(OFFSET($D380,0,$C380)+IF($C380&lt;&gt;1,1,COUNTIF(QCI!$A$13:$A$24,ORÇAMENTO!E380)),OFFSET($D380,1,$C380,ROW($C$727)-ROW($C380)),0))</f>
        <v>0</v>
      </c>
      <c r="L380" s="116" t="str">
        <f t="shared" ca="1" si="64"/>
        <v/>
      </c>
      <c r="M380" s="117" t="s">
        <v>199</v>
      </c>
      <c r="N380" s="118" t="str">
        <f t="shared" ca="1" si="65"/>
        <v>Serviço</v>
      </c>
      <c r="O380" s="119" t="str">
        <f t="shared" ca="1" si="66"/>
        <v>-</v>
      </c>
      <c r="P380" s="120" t="s">
        <v>247</v>
      </c>
      <c r="Q380" s="121" t="s">
        <v>754</v>
      </c>
      <c r="R380" s="122" t="str">
        <f ca="1">IF($C380="S",REFERENCIA.Descricao,"(digite a descrição aqui)")</f>
        <v>(abra o arquivo 'Referência 06-2024.xlsm)</v>
      </c>
      <c r="S380" s="123" t="str">
        <f ca="1">REFERENCIA.Unidade</f>
        <v>-</v>
      </c>
      <c r="T380" s="124">
        <f ca="1">OFFSET(CÁLCULO!H$15,ROW($T380)-ROW(T$15),0)</f>
        <v>53</v>
      </c>
      <c r="U380" s="125">
        <f t="shared" ca="1" si="90"/>
        <v>0</v>
      </c>
      <c r="V380" s="126" t="s">
        <v>156</v>
      </c>
      <c r="W380" s="124">
        <f ca="1">IF($C380="S",ROUND(IF(TIPOORCAMENTO="Proposto",ORÇAMENTO.CustoUnitario*(1+$AH380),ORÇAMENTO.PrecoUnitarioLicitado),15-13*$AF$10),0)</f>
        <v>0</v>
      </c>
      <c r="X380" s="127">
        <f ca="1">IF($C380="S",IF(Import.TipoArredondamento&lt;&gt;"TransfereGOV",VTOTAL1,SUM(OFFSET(CÁLCULO!$AI$15,ROW($X380)-ROW($X$15),1):OFFSET(CÁLCULO!$BB$15,ROW($X380)-ROW($X$15),-1))),IF($C380=0,0,ROUND(SomaAgrup,15-13*$AF$11)))</f>
        <v>0</v>
      </c>
      <c r="Y380" s="128" t="s">
        <v>245</v>
      </c>
      <c r="Z380" t="str">
        <f t="shared" ca="1" si="67"/>
        <v/>
      </c>
      <c r="AA380" s="129">
        <f ca="1">IF($C380="S",IF($Z380="CP",$X380,IF($Z380="RA",(($X380)*QCI!$AA$3),0)),SomaAgrup)</f>
        <v>0</v>
      </c>
      <c r="AB380" s="130">
        <f t="shared" ca="1" si="68"/>
        <v>0</v>
      </c>
      <c r="AC380" s="131" t="str">
        <f ca="1">IF($N380="","",IF(ORÇAMENTO.Descricao="","DESCRIÇÃO",IF(AND($C380="S",ORÇAMENTO.Unidade=""),"UNIDADE",IF($X380&lt;0,"VALOR NEGATIVO",IF(OR(AND(TIPOORCAMENTO="Proposto",$AG380&lt;&gt;"",$AG380&gt;0,ORÇAMENTO.CustoUnitario&gt;$AG380),AND(TIPOORCAMENTO="LICITADO",ORÇAMENTO.PrecoUnitarioLicitado&gt;$AN380)),"ACIMA REF.","")))))</f>
        <v/>
      </c>
      <c r="AD380" t="str">
        <f ca="1">IF(C380&lt;=CRONO.NivelExibicao,MAX($AD$15:OFFSET(AD380,-1,0))+IF($C380&lt;&gt;1,1,MAX(1,COUNTIF(QCI!$A$13:$A$24,OFFSET($E380,-1,0)))),"")</f>
        <v/>
      </c>
      <c r="AE380" s="7" t="str">
        <f ca="1">IF(AND($C380="S",ORÇAMENTO.CodBarra&lt;&gt;""),IF(ORÇAMENTO.Fonte="",ORÇAMENTO.CodBarra,CONCATENATE(ORÇAMENTO.Fonte," ",ORÇAMENTO.CodBarra)))</f>
        <v>SINAPI 86883</v>
      </c>
      <c r="AF380" s="13" t="str">
        <f ca="1">IF(ISERROR(INDIRECT(ORÇAMENTO.BancoRef)),"(abra o arquivo 'Referência "&amp;Excel_BuiltIn_Database&amp;".xlsm)",IF(OR($C380&lt;&gt;"S",ORÇAMENTO.CodBarra=""),"(Sem Código)",IF(ISERROR(MATCH($AE380,INDIRECT(ORÇAMENTO.BancoRef),0)),"(Código não identificado nas referências)",MATCH($AE380,INDIRECT(ORÇAMENTO.BancoRef),0))))</f>
        <v>(abra o arquivo 'Referência 06-2024.xlsm)</v>
      </c>
      <c r="AG380" s="498">
        <f ca="1">ROUND(IF(DESONERACAO="sim",REFERENCIA.Desonerado,REFERENCIA.NaoDesonerado),2)</f>
        <v>0</v>
      </c>
      <c r="AH380" s="499">
        <f t="shared" ca="1" si="69"/>
        <v>0.2432</v>
      </c>
      <c r="AJ380" s="501"/>
      <c r="AL380" s="527"/>
      <c r="AM380" s="381">
        <f t="shared" ca="1" si="70"/>
        <v>0</v>
      </c>
      <c r="AN380" s="566">
        <f t="shared" ca="1" si="71"/>
        <v>0</v>
      </c>
    </row>
    <row r="381" spans="1:40" ht="25.5" x14ac:dyDescent="0.2">
      <c r="A381" t="str">
        <f t="shared" si="56"/>
        <v>S</v>
      </c>
      <c r="B381">
        <f t="shared" ca="1" si="57"/>
        <v>2</v>
      </c>
      <c r="C381" t="str">
        <f t="shared" ca="1" si="58"/>
        <v>S</v>
      </c>
      <c r="D381">
        <f t="shared" ca="1" si="59"/>
        <v>0</v>
      </c>
      <c r="E381">
        <f ca="1">IF($C381=1,OFFSET(E381,-1,0)+MAX(1,COUNTIF(QCI!$A$13:$A$24,OFFSET(ORÇAMENTO!E381,-1,0))),OFFSET(E381,-1,0))</f>
        <v>1</v>
      </c>
      <c r="F381">
        <f t="shared" ca="1" si="60"/>
        <v>43</v>
      </c>
      <c r="G381">
        <f t="shared" ca="1" si="61"/>
        <v>0</v>
      </c>
      <c r="H381">
        <f t="shared" ca="1" si="62"/>
        <v>0</v>
      </c>
      <c r="I381">
        <f t="shared" ca="1" si="63"/>
        <v>0</v>
      </c>
      <c r="J381">
        <f t="shared" ca="1" si="89"/>
        <v>0</v>
      </c>
      <c r="K381">
        <f ca="1">IF(OR($C381="S",$C381=0),0,MATCH(OFFSET($D381,0,$C381)+IF($C381&lt;&gt;1,1,COUNTIF(QCI!$A$13:$A$24,ORÇAMENTO!E381)),OFFSET($D381,1,$C381,ROW($C$727)-ROW($C381)),0))</f>
        <v>0</v>
      </c>
      <c r="L381" s="116" t="str">
        <f t="shared" ca="1" si="64"/>
        <v/>
      </c>
      <c r="M381" s="117" t="s">
        <v>199</v>
      </c>
      <c r="N381" s="118" t="str">
        <f t="shared" ca="1" si="65"/>
        <v>Serviço</v>
      </c>
      <c r="O381" s="119" t="str">
        <f t="shared" ca="1" si="66"/>
        <v>-</v>
      </c>
      <c r="P381" s="120" t="s">
        <v>458</v>
      </c>
      <c r="Q381" s="121" t="s">
        <v>755</v>
      </c>
      <c r="R381" s="122" t="str">
        <f ca="1">IF($C381="S",REFERENCIA.Descricao,"(digite a descrição aqui)")</f>
        <v>(abra o arquivo 'Referência 06-2024.xlsm)</v>
      </c>
      <c r="S381" s="123" t="str">
        <f ca="1">REFERENCIA.Unidade</f>
        <v>-</v>
      </c>
      <c r="T381" s="124">
        <f ca="1">OFFSET(CÁLCULO!H$15,ROW($T381)-ROW(T$15),0)</f>
        <v>28</v>
      </c>
      <c r="U381" s="125">
        <f t="shared" ca="1" si="90"/>
        <v>0</v>
      </c>
      <c r="V381" s="126" t="s">
        <v>156</v>
      </c>
      <c r="W381" s="124">
        <f ca="1">IF($C381="S",ROUND(IF(TIPOORCAMENTO="Proposto",ORÇAMENTO.CustoUnitario*(1+$AH381),ORÇAMENTO.PrecoUnitarioLicitado),15-13*$AF$10),0)</f>
        <v>0</v>
      </c>
      <c r="X381" s="127">
        <f ca="1">IF($C381="S",IF(Import.TipoArredondamento&lt;&gt;"TransfereGOV",VTOTAL1,SUM(OFFSET(CÁLCULO!$AI$15,ROW($X381)-ROW($X$15),1):OFFSET(CÁLCULO!$BB$15,ROW($X381)-ROW($X$15),-1))),IF($C381=0,0,ROUND(SomaAgrup,15-13*$AF$11)))</f>
        <v>0</v>
      </c>
      <c r="Y381" s="128" t="s">
        <v>245</v>
      </c>
      <c r="Z381" t="str">
        <f t="shared" ca="1" si="67"/>
        <v/>
      </c>
      <c r="AA381" s="129">
        <f ca="1">IF($C381="S",IF($Z381="CP",$X381,IF($Z381="RA",(($X381)*QCI!$AA$3),0)),SomaAgrup)</f>
        <v>0</v>
      </c>
      <c r="AB381" s="130">
        <f t="shared" ca="1" si="68"/>
        <v>0</v>
      </c>
      <c r="AC381" s="131" t="str">
        <f ca="1">IF($N381="","",IF(ORÇAMENTO.Descricao="","DESCRIÇÃO",IF(AND($C381="S",ORÇAMENTO.Unidade=""),"UNIDADE",IF($X381&lt;0,"VALOR NEGATIVO",IF(OR(AND(TIPOORCAMENTO="Proposto",$AG381&lt;&gt;"",$AG381&gt;0,ORÇAMENTO.CustoUnitario&gt;$AG381),AND(TIPOORCAMENTO="LICITADO",ORÇAMENTO.PrecoUnitarioLicitado&gt;$AN381)),"ACIMA REF.","")))))</f>
        <v/>
      </c>
      <c r="AD381" t="str">
        <f ca="1">IF(C381&lt;=CRONO.NivelExibicao,MAX($AD$15:OFFSET(AD381,-1,0))+IF($C381&lt;&gt;1,1,MAX(1,COUNTIF(QCI!$A$13:$A$24,OFFSET($E381,-1,0)))),"")</f>
        <v/>
      </c>
      <c r="AE381" s="7" t="str">
        <f ca="1">IF(AND($C381="S",ORÇAMENTO.CodBarra&lt;&gt;""),IF(ORÇAMENTO.Fonte="",ORÇAMENTO.CodBarra,CONCATENATE(ORÇAMENTO.Fonte," ",ORÇAMENTO.CodBarra)))</f>
        <v>COMPOSIÇÃO FNDE 224</v>
      </c>
      <c r="AF381" s="13" t="str">
        <f ca="1">IF(ISERROR(INDIRECT(ORÇAMENTO.BancoRef)),"(abra o arquivo 'Referência "&amp;Excel_BuiltIn_Database&amp;".xlsm)",IF(OR($C381&lt;&gt;"S",ORÇAMENTO.CodBarra=""),"(Sem Código)",IF(ISERROR(MATCH($AE381,INDIRECT(ORÇAMENTO.BancoRef),0)),"(Código não identificado nas referências)",MATCH($AE381,INDIRECT(ORÇAMENTO.BancoRef),0))))</f>
        <v>(abra o arquivo 'Referência 06-2024.xlsm)</v>
      </c>
      <c r="AG381" s="498">
        <f ca="1">ROUND(IF(DESONERACAO="sim",REFERENCIA.Desonerado,REFERENCIA.NaoDesonerado),2)</f>
        <v>0</v>
      </c>
      <c r="AH381" s="499">
        <f t="shared" ca="1" si="69"/>
        <v>0.2432</v>
      </c>
      <c r="AJ381" s="501"/>
      <c r="AL381" s="527"/>
      <c r="AM381" s="381">
        <f t="shared" ca="1" si="70"/>
        <v>0</v>
      </c>
      <c r="AN381" s="566">
        <f t="shared" ca="1" si="71"/>
        <v>0</v>
      </c>
    </row>
    <row r="382" spans="1:40" ht="38.25" x14ac:dyDescent="0.2">
      <c r="A382" t="str">
        <f t="shared" si="56"/>
        <v>S</v>
      </c>
      <c r="B382">
        <f t="shared" ca="1" si="57"/>
        <v>2</v>
      </c>
      <c r="C382" t="str">
        <f t="shared" ca="1" si="58"/>
        <v>S</v>
      </c>
      <c r="D382">
        <f t="shared" ca="1" si="59"/>
        <v>0</v>
      </c>
      <c r="E382">
        <f ca="1">IF($C382=1,OFFSET(E382,-1,0)+MAX(1,COUNTIF(QCI!$A$13:$A$24,OFFSET(ORÇAMENTO!E382,-1,0))),OFFSET(E382,-1,0))</f>
        <v>1</v>
      </c>
      <c r="F382">
        <f t="shared" ca="1" si="60"/>
        <v>43</v>
      </c>
      <c r="G382">
        <f t="shared" ca="1" si="61"/>
        <v>0</v>
      </c>
      <c r="H382">
        <f t="shared" ca="1" si="62"/>
        <v>0</v>
      </c>
      <c r="I382">
        <f t="shared" ca="1" si="63"/>
        <v>0</v>
      </c>
      <c r="J382">
        <f t="shared" ca="1" si="89"/>
        <v>0</v>
      </c>
      <c r="K382">
        <f ca="1">IF(OR($C382="S",$C382=0),0,MATCH(OFFSET($D382,0,$C382)+IF($C382&lt;&gt;1,1,COUNTIF(QCI!$A$13:$A$24,ORÇAMENTO!E382)),OFFSET($D382,1,$C382,ROW($C$727)-ROW($C382)),0))</f>
        <v>0</v>
      </c>
      <c r="L382" s="116" t="str">
        <f t="shared" ca="1" si="64"/>
        <v/>
      </c>
      <c r="M382" s="117" t="s">
        <v>199</v>
      </c>
      <c r="N382" s="118" t="str">
        <f t="shared" ca="1" si="65"/>
        <v>Serviço</v>
      </c>
      <c r="O382" s="119" t="str">
        <f t="shared" ca="1" si="66"/>
        <v>-</v>
      </c>
      <c r="P382" s="120" t="s">
        <v>247</v>
      </c>
      <c r="Q382" s="121" t="s">
        <v>756</v>
      </c>
      <c r="R382" s="122" t="str">
        <f ca="1">IF($C382="S",REFERENCIA.Descricao,"(digite a descrição aqui)")</f>
        <v>(abra o arquivo 'Referência 06-2024.xlsm)</v>
      </c>
      <c r="S382" s="123" t="str">
        <f ca="1">REFERENCIA.Unidade</f>
        <v>-</v>
      </c>
      <c r="T382" s="124">
        <f ca="1">OFFSET(CÁLCULO!H$15,ROW($T382)-ROW(T$15),0)</f>
        <v>19</v>
      </c>
      <c r="U382" s="125">
        <f t="shared" ca="1" si="90"/>
        <v>0</v>
      </c>
      <c r="V382" s="126" t="s">
        <v>156</v>
      </c>
      <c r="W382" s="124">
        <f ca="1">IF($C382="S",ROUND(IF(TIPOORCAMENTO="Proposto",ORÇAMENTO.CustoUnitario*(1+$AH382),ORÇAMENTO.PrecoUnitarioLicitado),15-13*$AF$10),0)</f>
        <v>0</v>
      </c>
      <c r="X382" s="127">
        <f ca="1">IF($C382="S",IF(Import.TipoArredondamento&lt;&gt;"TransfereGOV",VTOTAL1,SUM(OFFSET(CÁLCULO!$AI$15,ROW($X382)-ROW($X$15),1):OFFSET(CÁLCULO!$BB$15,ROW($X382)-ROW($X$15),-1))),IF($C382=0,0,ROUND(SomaAgrup,15-13*$AF$11)))</f>
        <v>0</v>
      </c>
      <c r="Y382" s="128" t="s">
        <v>245</v>
      </c>
      <c r="Z382" t="str">
        <f t="shared" ca="1" si="67"/>
        <v/>
      </c>
      <c r="AA382" s="129">
        <f ca="1">IF($C382="S",IF($Z382="CP",$X382,IF($Z382="RA",(($X382)*QCI!$AA$3),0)),SomaAgrup)</f>
        <v>0</v>
      </c>
      <c r="AB382" s="130">
        <f t="shared" ca="1" si="68"/>
        <v>0</v>
      </c>
      <c r="AC382" s="131" t="str">
        <f ca="1">IF($N382="","",IF(ORÇAMENTO.Descricao="","DESCRIÇÃO",IF(AND($C382="S",ORÇAMENTO.Unidade=""),"UNIDADE",IF($X382&lt;0,"VALOR NEGATIVO",IF(OR(AND(TIPOORCAMENTO="Proposto",$AG382&lt;&gt;"",$AG382&gt;0,ORÇAMENTO.CustoUnitario&gt;$AG382),AND(TIPOORCAMENTO="LICITADO",ORÇAMENTO.PrecoUnitarioLicitado&gt;$AN382)),"ACIMA REF.","")))))</f>
        <v/>
      </c>
      <c r="AD382" t="str">
        <f ca="1">IF(C382&lt;=CRONO.NivelExibicao,MAX($AD$15:OFFSET(AD382,-1,0))+IF($C382&lt;&gt;1,1,MAX(1,COUNTIF(QCI!$A$13:$A$24,OFFSET($E382,-1,0)))),"")</f>
        <v/>
      </c>
      <c r="AE382" s="7" t="str">
        <f ca="1">IF(AND($C382="S",ORÇAMENTO.CodBarra&lt;&gt;""),IF(ORÇAMENTO.Fonte="",ORÇAMENTO.CodBarra,CONCATENATE(ORÇAMENTO.Fonte," ",ORÇAMENTO.CodBarra)))</f>
        <v>SINAPI 86911</v>
      </c>
      <c r="AF382" s="13" t="str">
        <f ca="1">IF(ISERROR(INDIRECT(ORÇAMENTO.BancoRef)),"(abra o arquivo 'Referência "&amp;Excel_BuiltIn_Database&amp;".xlsm)",IF(OR($C382&lt;&gt;"S",ORÇAMENTO.CodBarra=""),"(Sem Código)",IF(ISERROR(MATCH($AE382,INDIRECT(ORÇAMENTO.BancoRef),0)),"(Código não identificado nas referências)",MATCH($AE382,INDIRECT(ORÇAMENTO.BancoRef),0))))</f>
        <v>(abra o arquivo 'Referência 06-2024.xlsm)</v>
      </c>
      <c r="AG382" s="498">
        <f ca="1">ROUND(IF(DESONERACAO="sim",REFERENCIA.Desonerado,REFERENCIA.NaoDesonerado),2)</f>
        <v>0</v>
      </c>
      <c r="AH382" s="499">
        <f t="shared" ca="1" si="69"/>
        <v>0.2432</v>
      </c>
      <c r="AJ382" s="501"/>
      <c r="AL382" s="527"/>
      <c r="AM382" s="381">
        <f t="shared" ca="1" si="70"/>
        <v>0</v>
      </c>
      <c r="AN382" s="566">
        <f t="shared" ca="1" si="71"/>
        <v>0</v>
      </c>
    </row>
    <row r="383" spans="1:40" ht="25.5" x14ac:dyDescent="0.2">
      <c r="A383" t="str">
        <f t="shared" si="56"/>
        <v>S</v>
      </c>
      <c r="B383">
        <f t="shared" ca="1" si="57"/>
        <v>2</v>
      </c>
      <c r="C383" t="str">
        <f t="shared" ca="1" si="58"/>
        <v>S</v>
      </c>
      <c r="D383">
        <f t="shared" ca="1" si="59"/>
        <v>0</v>
      </c>
      <c r="E383">
        <f ca="1">IF($C383=1,OFFSET(E383,-1,0)+MAX(1,COUNTIF(QCI!$A$13:$A$24,OFFSET(ORÇAMENTO!E383,-1,0))),OFFSET(E383,-1,0))</f>
        <v>1</v>
      </c>
      <c r="F383">
        <f t="shared" ca="1" si="60"/>
        <v>43</v>
      </c>
      <c r="G383">
        <f t="shared" ca="1" si="61"/>
        <v>0</v>
      </c>
      <c r="H383">
        <f t="shared" ca="1" si="62"/>
        <v>0</v>
      </c>
      <c r="I383">
        <f t="shared" ca="1" si="63"/>
        <v>0</v>
      </c>
      <c r="J383">
        <f t="shared" ca="1" si="89"/>
        <v>0</v>
      </c>
      <c r="K383">
        <f ca="1">IF(OR($C383="S",$C383=0),0,MATCH(OFFSET($D383,0,$C383)+IF($C383&lt;&gt;1,1,COUNTIF(QCI!$A$13:$A$24,ORÇAMENTO!E383)),OFFSET($D383,1,$C383,ROW($C$727)-ROW($C383)),0))</f>
        <v>0</v>
      </c>
      <c r="L383" s="116" t="str">
        <f t="shared" ca="1" si="64"/>
        <v/>
      </c>
      <c r="M383" s="117" t="s">
        <v>199</v>
      </c>
      <c r="N383" s="118" t="str">
        <f t="shared" ca="1" si="65"/>
        <v>Serviço</v>
      </c>
      <c r="O383" s="119" t="str">
        <f t="shared" ca="1" si="66"/>
        <v>-</v>
      </c>
      <c r="P383" s="120" t="s">
        <v>458</v>
      </c>
      <c r="Q383" s="121" t="s">
        <v>757</v>
      </c>
      <c r="R383" s="122" t="str">
        <f ca="1">IF($C383="S",REFERENCIA.Descricao,"(digite a descrição aqui)")</f>
        <v>(abra o arquivo 'Referência 06-2024.xlsm)</v>
      </c>
      <c r="S383" s="123" t="str">
        <f ca="1">REFERENCIA.Unidade</f>
        <v>-</v>
      </c>
      <c r="T383" s="124">
        <f ca="1">OFFSET(CÁLCULO!H$15,ROW($T383)-ROW(T$15),0)</f>
        <v>2</v>
      </c>
      <c r="U383" s="125">
        <f t="shared" ca="1" si="90"/>
        <v>0</v>
      </c>
      <c r="V383" s="126" t="s">
        <v>156</v>
      </c>
      <c r="W383" s="124">
        <f ca="1">IF($C383="S",ROUND(IF(TIPOORCAMENTO="Proposto",ORÇAMENTO.CustoUnitario*(1+$AH383),ORÇAMENTO.PrecoUnitarioLicitado),15-13*$AF$10),0)</f>
        <v>0</v>
      </c>
      <c r="X383" s="127">
        <f ca="1">IF($C383="S",IF(Import.TipoArredondamento&lt;&gt;"TransfereGOV",VTOTAL1,SUM(OFFSET(CÁLCULO!$AI$15,ROW($X383)-ROW($X$15),1):OFFSET(CÁLCULO!$BB$15,ROW($X383)-ROW($X$15),-1))),IF($C383=0,0,ROUND(SomaAgrup,15-13*$AF$11)))</f>
        <v>0</v>
      </c>
      <c r="Y383" s="128" t="s">
        <v>245</v>
      </c>
      <c r="Z383" t="str">
        <f t="shared" ca="1" si="67"/>
        <v/>
      </c>
      <c r="AA383" s="129">
        <f ca="1">IF($C383="S",IF($Z383="CP",$X383,IF($Z383="RA",(($X383)*QCI!$AA$3),0)),SomaAgrup)</f>
        <v>0</v>
      </c>
      <c r="AB383" s="130">
        <f t="shared" ca="1" si="68"/>
        <v>0</v>
      </c>
      <c r="AC383" s="131" t="str">
        <f ca="1">IF($N383="","",IF(ORÇAMENTO.Descricao="","DESCRIÇÃO",IF(AND($C383="S",ORÇAMENTO.Unidade=""),"UNIDADE",IF($X383&lt;0,"VALOR NEGATIVO",IF(OR(AND(TIPOORCAMENTO="Proposto",$AG383&lt;&gt;"",$AG383&gt;0,ORÇAMENTO.CustoUnitario&gt;$AG383),AND(TIPOORCAMENTO="LICITADO",ORÇAMENTO.PrecoUnitarioLicitado&gt;$AN383)),"ACIMA REF.","")))))</f>
        <v/>
      </c>
      <c r="AD383" t="str">
        <f ca="1">IF(C383&lt;=CRONO.NivelExibicao,MAX($AD$15:OFFSET(AD383,-1,0))+IF($C383&lt;&gt;1,1,MAX(1,COUNTIF(QCI!$A$13:$A$24,OFFSET($E383,-1,0)))),"")</f>
        <v/>
      </c>
      <c r="AE383" s="7" t="str">
        <f ca="1">IF(AND($C383="S",ORÇAMENTO.CodBarra&lt;&gt;""),IF(ORÇAMENTO.Fonte="",ORÇAMENTO.CodBarra,CONCATENATE(ORÇAMENTO.Fonte," ",ORÇAMENTO.CodBarra)))</f>
        <v>COMPOSIÇÃO FNDE 14</v>
      </c>
      <c r="AF383" s="13" t="str">
        <f ca="1">IF(ISERROR(INDIRECT(ORÇAMENTO.BancoRef)),"(abra o arquivo 'Referência "&amp;Excel_BuiltIn_Database&amp;".xlsm)",IF(OR($C383&lt;&gt;"S",ORÇAMENTO.CodBarra=""),"(Sem Código)",IF(ISERROR(MATCH($AE383,INDIRECT(ORÇAMENTO.BancoRef),0)),"(Código não identificado nas referências)",MATCH($AE383,INDIRECT(ORÇAMENTO.BancoRef),0))))</f>
        <v>(abra o arquivo 'Referência 06-2024.xlsm)</v>
      </c>
      <c r="AG383" s="498">
        <f ca="1">ROUND(IF(DESONERACAO="sim",REFERENCIA.Desonerado,REFERENCIA.NaoDesonerado),2)</f>
        <v>0</v>
      </c>
      <c r="AH383" s="499">
        <f t="shared" ca="1" si="69"/>
        <v>0.2432</v>
      </c>
      <c r="AJ383" s="501"/>
      <c r="AL383" s="527"/>
      <c r="AM383" s="381">
        <f t="shared" ca="1" si="70"/>
        <v>0</v>
      </c>
      <c r="AN383" s="566">
        <f t="shared" ca="1" si="71"/>
        <v>0</v>
      </c>
    </row>
    <row r="384" spans="1:40" ht="25.5" x14ac:dyDescent="0.2">
      <c r="A384" t="str">
        <f t="shared" si="56"/>
        <v>S</v>
      </c>
      <c r="B384">
        <f t="shared" ca="1" si="57"/>
        <v>2</v>
      </c>
      <c r="C384" t="str">
        <f t="shared" ca="1" si="58"/>
        <v>S</v>
      </c>
      <c r="D384">
        <f t="shared" ca="1" si="59"/>
        <v>0</v>
      </c>
      <c r="E384">
        <f ca="1">IF($C384=1,OFFSET(E384,-1,0)+MAX(1,COUNTIF(QCI!$A$13:$A$24,OFFSET(ORÇAMENTO!E384,-1,0))),OFFSET(E384,-1,0))</f>
        <v>1</v>
      </c>
      <c r="F384">
        <f t="shared" ca="1" si="60"/>
        <v>43</v>
      </c>
      <c r="G384">
        <f t="shared" ca="1" si="61"/>
        <v>0</v>
      </c>
      <c r="H384">
        <f t="shared" ca="1" si="62"/>
        <v>0</v>
      </c>
      <c r="I384">
        <f t="shared" ca="1" si="63"/>
        <v>0</v>
      </c>
      <c r="J384">
        <f t="shared" ca="1" si="89"/>
        <v>0</v>
      </c>
      <c r="K384">
        <f ca="1">IF(OR($C384="S",$C384=0),0,MATCH(OFFSET($D384,0,$C384)+IF($C384&lt;&gt;1,1,COUNTIF(QCI!$A$13:$A$24,ORÇAMENTO!E384)),OFFSET($D384,1,$C384,ROW($C$727)-ROW($C384)),0))</f>
        <v>0</v>
      </c>
      <c r="L384" s="116" t="str">
        <f t="shared" ca="1" si="64"/>
        <v/>
      </c>
      <c r="M384" s="117" t="s">
        <v>199</v>
      </c>
      <c r="N384" s="118" t="str">
        <f t="shared" ca="1" si="65"/>
        <v>Serviço</v>
      </c>
      <c r="O384" s="119" t="str">
        <f t="shared" ca="1" si="66"/>
        <v>-</v>
      </c>
      <c r="P384" s="120" t="s">
        <v>247</v>
      </c>
      <c r="Q384" s="121" t="s">
        <v>758</v>
      </c>
      <c r="R384" s="122" t="str">
        <f ca="1">IF($C384="S",REFERENCIA.Descricao,"(digite a descrição aqui)")</f>
        <v>(abra o arquivo 'Referência 06-2024.xlsm)</v>
      </c>
      <c r="S384" s="123" t="str">
        <f ca="1">REFERENCIA.Unidade</f>
        <v>-</v>
      </c>
      <c r="T384" s="124">
        <f ca="1">OFFSET(CÁLCULO!H$15,ROW($T384)-ROW(T$15),0)</f>
        <v>15</v>
      </c>
      <c r="U384" s="125">
        <f t="shared" ca="1" si="90"/>
        <v>0</v>
      </c>
      <c r="V384" s="126" t="s">
        <v>156</v>
      </c>
      <c r="W384" s="124">
        <f ca="1">IF($C384="S",ROUND(IF(TIPOORCAMENTO="Proposto",ORÇAMENTO.CustoUnitario*(1+$AH384),ORÇAMENTO.PrecoUnitarioLicitado),15-13*$AF$10),0)</f>
        <v>0</v>
      </c>
      <c r="X384" s="127">
        <f ca="1">IF($C384="S",IF(Import.TipoArredondamento&lt;&gt;"TransfereGOV",VTOTAL1,SUM(OFFSET(CÁLCULO!$AI$15,ROW($X384)-ROW($X$15),1):OFFSET(CÁLCULO!$BB$15,ROW($X384)-ROW($X$15),-1))),IF($C384=0,0,ROUND(SomaAgrup,15-13*$AF$11)))</f>
        <v>0</v>
      </c>
      <c r="Y384" s="128" t="s">
        <v>245</v>
      </c>
      <c r="Z384" t="str">
        <f t="shared" ca="1" si="67"/>
        <v/>
      </c>
      <c r="AA384" s="129">
        <f ca="1">IF($C384="S",IF($Z384="CP",$X384,IF($Z384="RA",(($X384)*QCI!$AA$3),0)),SomaAgrup)</f>
        <v>0</v>
      </c>
      <c r="AB384" s="130">
        <f t="shared" ca="1" si="68"/>
        <v>0</v>
      </c>
      <c r="AC384" s="131" t="str">
        <f ca="1">IF($N384="","",IF(ORÇAMENTO.Descricao="","DESCRIÇÃO",IF(AND($C384="S",ORÇAMENTO.Unidade=""),"UNIDADE",IF($X384&lt;0,"VALOR NEGATIVO",IF(OR(AND(TIPOORCAMENTO="Proposto",$AG384&lt;&gt;"",$AG384&gt;0,ORÇAMENTO.CustoUnitario&gt;$AG384),AND(TIPOORCAMENTO="LICITADO",ORÇAMENTO.PrecoUnitarioLicitado&gt;$AN384)),"ACIMA REF.","")))))</f>
        <v/>
      </c>
      <c r="AD384" t="str">
        <f ca="1">IF(C384&lt;=CRONO.NivelExibicao,MAX($AD$15:OFFSET(AD384,-1,0))+IF($C384&lt;&gt;1,1,MAX(1,COUNTIF(QCI!$A$13:$A$24,OFFSET($E384,-1,0)))),"")</f>
        <v/>
      </c>
      <c r="AE384" s="7" t="str">
        <f ca="1">IF(AND($C384="S",ORÇAMENTO.CodBarra&lt;&gt;""),IF(ORÇAMENTO.Fonte="",ORÇAMENTO.CodBarra,CONCATENATE(ORÇAMENTO.Fonte," ",ORÇAMENTO.CodBarra)))</f>
        <v>SINAPI 86913</v>
      </c>
      <c r="AF384" s="13" t="str">
        <f ca="1">IF(ISERROR(INDIRECT(ORÇAMENTO.BancoRef)),"(abra o arquivo 'Referência "&amp;Excel_BuiltIn_Database&amp;".xlsm)",IF(OR($C384&lt;&gt;"S",ORÇAMENTO.CodBarra=""),"(Sem Código)",IF(ISERROR(MATCH($AE384,INDIRECT(ORÇAMENTO.BancoRef),0)),"(Código não identificado nas referências)",MATCH($AE384,INDIRECT(ORÇAMENTO.BancoRef),0))))</f>
        <v>(abra o arquivo 'Referência 06-2024.xlsm)</v>
      </c>
      <c r="AG384" s="498">
        <f ca="1">ROUND(IF(DESONERACAO="sim",REFERENCIA.Desonerado,REFERENCIA.NaoDesonerado),2)</f>
        <v>0</v>
      </c>
      <c r="AH384" s="499">
        <f t="shared" ca="1" si="69"/>
        <v>0.2432</v>
      </c>
      <c r="AJ384" s="501"/>
      <c r="AL384" s="527"/>
      <c r="AM384" s="381">
        <f t="shared" ca="1" si="70"/>
        <v>0</v>
      </c>
      <c r="AN384" s="566">
        <f t="shared" ca="1" si="71"/>
        <v>0</v>
      </c>
    </row>
    <row r="385" spans="1:40" ht="25.5" x14ac:dyDescent="0.2">
      <c r="A385" t="str">
        <f t="shared" ref="A385:A414" si="91">CHOOSE(1+LOG(1+2*(ORÇAMENTO.Nivel="Meta")+4*(ORÇAMENTO.Nivel="Nível 2")+8*(ORÇAMENTO.Nivel="Nível 3")+16*(ORÇAMENTO.Nivel="Nível 4")+32*(ORÇAMENTO.Nivel="Serviço"),2),0,1,2,3,4,"S")</f>
        <v>S</v>
      </c>
      <c r="B385">
        <f t="shared" ref="B385:B457" ca="1" si="92">IF(OR(C385="s",C385=0),OFFSET(B385,-1,0),C385)</f>
        <v>2</v>
      </c>
      <c r="C385" t="str">
        <f t="shared" ref="C385:C457" ca="1" si="93">IF(OFFSET(C385,-1,0)="L",1,IF(OFFSET(C385,-1,0)=1,2,IF(OR(A385="s",A385=0),"S",IF(AND(OFFSET(C385,-1,0)=2,A385=4),3,IF(AND(OR(OFFSET(C385,-1,0)="s",OFFSET(C385,-1,0)=0),A385&lt;&gt;"s",A385&gt;OFFSET(B385,-1,0)),OFFSET(B385,-1,0),A385)))))</f>
        <v>S</v>
      </c>
      <c r="D385">
        <f t="shared" ref="D385:D457" ca="1" si="94">IF(OR(C385="S",C385=0),0,IF(ISERROR(K385),J385,SMALL(J385:K385,1)))</f>
        <v>0</v>
      </c>
      <c r="E385">
        <f ca="1">IF($C385=1,OFFSET(E385,-1,0)+MAX(1,COUNTIF(QCI!$A$13:$A$24,OFFSET(ORÇAMENTO!E385,-1,0))),OFFSET(E385,-1,0))</f>
        <v>1</v>
      </c>
      <c r="F385">
        <f t="shared" ref="F385:F457" ca="1" si="95">IF($C385=1,0,IF($C385=2,OFFSET(F385,-1,0)+1,OFFSET(F385,-1,0)))</f>
        <v>43</v>
      </c>
      <c r="G385">
        <f t="shared" ref="G385:G457" ca="1" si="96">IF(AND($C385&lt;=2,$C385&lt;&gt;0),0,IF($C385=3,OFFSET(G385,-1,0)+1,OFFSET(G385,-1,0)))</f>
        <v>0</v>
      </c>
      <c r="H385">
        <f t="shared" ref="H385:H457" ca="1" si="97">IF(AND($C385&lt;=3,$C385&lt;&gt;0),0,IF($C385=4,OFFSET(H385,-1,0)+1,OFFSET(H385,-1,0)))</f>
        <v>0</v>
      </c>
      <c r="I385">
        <f t="shared" ref="I385:I457" ca="1" si="98">IF(AND($C385&lt;=4,$C385&lt;&gt;0),0,IF(AND($C385="S",$X385&gt;0),OFFSET(I385,-1,0)+1,OFFSET(I385,-1,0)))</f>
        <v>0</v>
      </c>
      <c r="J385">
        <f t="shared" ca="1" si="89"/>
        <v>0</v>
      </c>
      <c r="K385">
        <f ca="1">IF(OR($C385="S",$C385=0),0,MATCH(OFFSET($D385,0,$C385)+IF($C385&lt;&gt;1,1,COUNTIF(QCI!$A$13:$A$24,ORÇAMENTO!E385)),OFFSET($D385,1,$C385,ROW($C$727)-ROW($C385)),0))</f>
        <v>0</v>
      </c>
      <c r="L385" s="116" t="str">
        <f t="shared" ref="L385:L457" ca="1" si="99">IF(OR($X385&gt;0,$C385=1,$C385=2,$C385=3,$C385=4),"F","")</f>
        <v/>
      </c>
      <c r="M385" s="117" t="s">
        <v>199</v>
      </c>
      <c r="N385" s="118" t="str">
        <f t="shared" ref="N385:N457" ca="1" si="100">CHOOSE(1+LOG(1+2*(C385=1)+4*(C385=2)+8*(C385=3)+16*(C385=4)+32*(C385="S"),2),"","Meta","Nível 2","Nível 3","Nível 4","Serviço")</f>
        <v>Serviço</v>
      </c>
      <c r="O385" s="119" t="str">
        <f t="shared" ref="O385:O457" ca="1" si="101">IF(OR($C385=0,$L385=""),"-",CONCATENATE(E385&amp;".",IF(AND($A$5&gt;=2,$C385&gt;=2),F385&amp;".",""),IF(AND($A$5&gt;=3,$C385&gt;=3),G385&amp;".",""),IF(AND($A$5&gt;=4,$C385&gt;=4),H385&amp;".",""),IF($C385="S",I385&amp;".","")))</f>
        <v>-</v>
      </c>
      <c r="P385" s="120" t="s">
        <v>458</v>
      </c>
      <c r="Q385" s="121" t="s">
        <v>759</v>
      </c>
      <c r="R385" s="122" t="str">
        <f ca="1">IF($C385="S",REFERENCIA.Descricao,"(digite a descrição aqui)")</f>
        <v>(abra o arquivo 'Referência 06-2024.xlsm)</v>
      </c>
      <c r="S385" s="123" t="str">
        <f ca="1">REFERENCIA.Unidade</f>
        <v>-</v>
      </c>
      <c r="T385" s="124">
        <f ca="1">OFFSET(CÁLCULO!H$15,ROW($T385)-ROW(T$15),0)</f>
        <v>4</v>
      </c>
      <c r="U385" s="125">
        <f t="shared" ca="1" si="90"/>
        <v>0</v>
      </c>
      <c r="V385" s="126" t="s">
        <v>156</v>
      </c>
      <c r="W385" s="124">
        <f ca="1">IF($C385="S",ROUND(IF(TIPOORCAMENTO="Proposto",ORÇAMENTO.CustoUnitario*(1+$AH385),ORÇAMENTO.PrecoUnitarioLicitado),15-13*$AF$10),0)</f>
        <v>0</v>
      </c>
      <c r="X385" s="127">
        <f ca="1">IF($C385="S",IF(Import.TipoArredondamento&lt;&gt;"TransfereGOV",VTOTAL1,SUM(OFFSET(CÁLCULO!$AI$15,ROW($X385)-ROW($X$15),1):OFFSET(CÁLCULO!$BB$15,ROW($X385)-ROW($X$15),-1))),IF($C385=0,0,ROUND(SomaAgrup,15-13*$AF$11)))</f>
        <v>0</v>
      </c>
      <c r="Y385" s="128" t="s">
        <v>245</v>
      </c>
      <c r="Z385" t="str">
        <f t="shared" ref="Z385:Z457" ca="1" si="102">IF(AND($C385="S",$X385&gt;0),IF(ISBLANK($Y385),"RA",LEFT($Y385,2)),"")</f>
        <v/>
      </c>
      <c r="AA385" s="129">
        <f ca="1">IF($C385="S",IF($Z385="CP",$X385,IF($Z385="RA",(($X385)*QCI!$AA$3),0)),SomaAgrup)</f>
        <v>0</v>
      </c>
      <c r="AB385" s="130">
        <f t="shared" ref="AB385:AB414" ca="1" si="103">IF($C385="S",IF($Z385="OU",ROUND($X385,2),0),SomaAgrup)</f>
        <v>0</v>
      </c>
      <c r="AC385" s="131" t="str">
        <f ca="1">IF($N385="","",IF(ORÇAMENTO.Descricao="","DESCRIÇÃO",IF(AND($C385="S",ORÇAMENTO.Unidade=""),"UNIDADE",IF($X385&lt;0,"VALOR NEGATIVO",IF(OR(AND(TIPOORCAMENTO="Proposto",$AG385&lt;&gt;"",$AG385&gt;0,ORÇAMENTO.CustoUnitario&gt;$AG385),AND(TIPOORCAMENTO="LICITADO",ORÇAMENTO.PrecoUnitarioLicitado&gt;$AN385)),"ACIMA REF.","")))))</f>
        <v/>
      </c>
      <c r="AD385" t="str">
        <f ca="1">IF(C385&lt;=CRONO.NivelExibicao,MAX($AD$15:OFFSET(AD385,-1,0))+IF($C385&lt;&gt;1,1,MAX(1,COUNTIF(QCI!$A$13:$A$24,OFFSET($E385,-1,0)))),"")</f>
        <v/>
      </c>
      <c r="AE385" s="7" t="str">
        <f ca="1">IF(AND($C385="S",ORÇAMENTO.CodBarra&lt;&gt;""),IF(ORÇAMENTO.Fonte="",ORÇAMENTO.CodBarra,CONCATENATE(ORÇAMENTO.Fonte," ",ORÇAMENTO.CodBarra)))</f>
        <v>COMPOSIÇÃO FNDE 225</v>
      </c>
      <c r="AF385" s="13" t="str">
        <f ca="1">IF(ISERROR(INDIRECT(ORÇAMENTO.BancoRef)),"(abra o arquivo 'Referência "&amp;Excel_BuiltIn_Database&amp;".xlsm)",IF(OR($C385&lt;&gt;"S",ORÇAMENTO.CodBarra=""),"(Sem Código)",IF(ISERROR(MATCH($AE385,INDIRECT(ORÇAMENTO.BancoRef),0)),"(Código não identificado nas referências)",MATCH($AE385,INDIRECT(ORÇAMENTO.BancoRef),0))))</f>
        <v>(abra o arquivo 'Referência 06-2024.xlsm)</v>
      </c>
      <c r="AG385" s="498">
        <f ca="1">ROUND(IF(DESONERACAO="sim",REFERENCIA.Desonerado,REFERENCIA.NaoDesonerado),2)</f>
        <v>0</v>
      </c>
      <c r="AH385" s="499">
        <f t="shared" ref="AH385:AH414" ca="1" si="104">ROUND(IF(ISNUMBER(ORÇAMENTO.OpcaoBDI),ORÇAMENTO.OpcaoBDI,IF(LEFT(ORÇAMENTO.OpcaoBDI,3)="BDI",HLOOKUP(ORÇAMENTO.OpcaoBDI,$F$4:$H$5,2,FALSE),0)),15-11*$AF$9)</f>
        <v>0.2432</v>
      </c>
      <c r="AJ385" s="501"/>
      <c r="AL385" s="527"/>
      <c r="AM385" s="381">
        <f t="shared" ref="AM385:AM457" ca="1" si="105">$X385</f>
        <v>0</v>
      </c>
      <c r="AN385" s="566">
        <f t="shared" ref="AN385:AN414" ca="1" si="106">ROUND(ORÇAMENTO.CustoUnitario*(1+$AH385),2)</f>
        <v>0</v>
      </c>
    </row>
    <row r="386" spans="1:40" ht="25.5" x14ac:dyDescent="0.2">
      <c r="A386" t="str">
        <f t="shared" si="91"/>
        <v>S</v>
      </c>
      <c r="B386">
        <f t="shared" ca="1" si="92"/>
        <v>2</v>
      </c>
      <c r="C386" t="str">
        <f t="shared" ca="1" si="93"/>
        <v>S</v>
      </c>
      <c r="D386">
        <f t="shared" ca="1" si="94"/>
        <v>0</v>
      </c>
      <c r="E386">
        <f ca="1">IF($C386=1,OFFSET(E386,-1,0)+MAX(1,COUNTIF(QCI!$A$13:$A$24,OFFSET(ORÇAMENTO!E386,-1,0))),OFFSET(E386,-1,0))</f>
        <v>1</v>
      </c>
      <c r="F386">
        <f t="shared" ca="1" si="95"/>
        <v>43</v>
      </c>
      <c r="G386">
        <f t="shared" ca="1" si="96"/>
        <v>0</v>
      </c>
      <c r="H386">
        <f t="shared" ca="1" si="97"/>
        <v>0</v>
      </c>
      <c r="I386">
        <f t="shared" ca="1" si="98"/>
        <v>0</v>
      </c>
      <c r="J386">
        <f t="shared" ca="1" si="89"/>
        <v>0</v>
      </c>
      <c r="K386">
        <f ca="1">IF(OR($C386="S",$C386=0),0,MATCH(OFFSET($D386,0,$C386)+IF($C386&lt;&gt;1,1,COUNTIF(QCI!$A$13:$A$24,ORÇAMENTO!E386)),OFFSET($D386,1,$C386,ROW($C$727)-ROW($C386)),0))</f>
        <v>0</v>
      </c>
      <c r="L386" s="116" t="str">
        <f t="shared" ca="1" si="99"/>
        <v/>
      </c>
      <c r="M386" s="117" t="s">
        <v>199</v>
      </c>
      <c r="N386" s="118" t="str">
        <f t="shared" ca="1" si="100"/>
        <v>Serviço</v>
      </c>
      <c r="O386" s="119" t="str">
        <f t="shared" ca="1" si="101"/>
        <v>-</v>
      </c>
      <c r="P386" s="120" t="s">
        <v>458</v>
      </c>
      <c r="Q386" s="121" t="s">
        <v>760</v>
      </c>
      <c r="R386" s="122" t="str">
        <f ca="1">IF($C386="S",REFERENCIA.Descricao,"(digite a descrição aqui)")</f>
        <v>(abra o arquivo 'Referência 06-2024.xlsm)</v>
      </c>
      <c r="S386" s="123" t="str">
        <f ca="1">REFERENCIA.Unidade</f>
        <v>-</v>
      </c>
      <c r="T386" s="124">
        <f ca="1">OFFSET(CÁLCULO!H$15,ROW($T386)-ROW(T$15),0)</f>
        <v>4</v>
      </c>
      <c r="U386" s="125">
        <f t="shared" ca="1" si="90"/>
        <v>0</v>
      </c>
      <c r="V386" s="126" t="s">
        <v>156</v>
      </c>
      <c r="W386" s="124">
        <f ca="1">IF($C386="S",ROUND(IF(TIPOORCAMENTO="Proposto",ORÇAMENTO.CustoUnitario*(1+$AH386),ORÇAMENTO.PrecoUnitarioLicitado),15-13*$AF$10),0)</f>
        <v>0</v>
      </c>
      <c r="X386" s="127">
        <f ca="1">IF($C386="S",IF(Import.TipoArredondamento&lt;&gt;"TransfereGOV",VTOTAL1,SUM(OFFSET(CÁLCULO!$AI$15,ROW($X386)-ROW($X$15),1):OFFSET(CÁLCULO!$BB$15,ROW($X386)-ROW($X$15),-1))),IF($C386=0,0,ROUND(SomaAgrup,15-13*$AF$11)))</f>
        <v>0</v>
      </c>
      <c r="Y386" s="128" t="s">
        <v>245</v>
      </c>
      <c r="Z386" t="str">
        <f t="shared" ca="1" si="102"/>
        <v/>
      </c>
      <c r="AA386" s="129">
        <f ca="1">IF($C386="S",IF($Z386="CP",$X386,IF($Z386="RA",(($X386)*QCI!$AA$3),0)),SomaAgrup)</f>
        <v>0</v>
      </c>
      <c r="AB386" s="130">
        <f t="shared" ca="1" si="103"/>
        <v>0</v>
      </c>
      <c r="AC386" s="131" t="str">
        <f ca="1">IF($N386="","",IF(ORÇAMENTO.Descricao="","DESCRIÇÃO",IF(AND($C386="S",ORÇAMENTO.Unidade=""),"UNIDADE",IF($X386&lt;0,"VALOR NEGATIVO",IF(OR(AND(TIPOORCAMENTO="Proposto",$AG386&lt;&gt;"",$AG386&gt;0,ORÇAMENTO.CustoUnitario&gt;$AG386),AND(TIPOORCAMENTO="LICITADO",ORÇAMENTO.PrecoUnitarioLicitado&gt;$AN386)),"ACIMA REF.","")))))</f>
        <v/>
      </c>
      <c r="AD386" t="str">
        <f ca="1">IF(C386&lt;=CRONO.NivelExibicao,MAX($AD$15:OFFSET(AD386,-1,0))+IF($C386&lt;&gt;1,1,MAX(1,COUNTIF(QCI!$A$13:$A$24,OFFSET($E386,-1,0)))),"")</f>
        <v/>
      </c>
      <c r="AE386" s="7" t="str">
        <f ca="1">IF(AND($C386="S",ORÇAMENTO.CodBarra&lt;&gt;""),IF(ORÇAMENTO.Fonte="",ORÇAMENTO.CodBarra,CONCATENATE(ORÇAMENTO.Fonte," ",ORÇAMENTO.CodBarra)))</f>
        <v>COMPOSIÇÃO FNDE 13</v>
      </c>
      <c r="AF386" s="13" t="str">
        <f ca="1">IF(ISERROR(INDIRECT(ORÇAMENTO.BancoRef)),"(abra o arquivo 'Referência "&amp;Excel_BuiltIn_Database&amp;".xlsm)",IF(OR($C386&lt;&gt;"S",ORÇAMENTO.CodBarra=""),"(Sem Código)",IF(ISERROR(MATCH($AE386,INDIRECT(ORÇAMENTO.BancoRef),0)),"(Código não identificado nas referências)",MATCH($AE386,INDIRECT(ORÇAMENTO.BancoRef),0))))</f>
        <v>(abra o arquivo 'Referência 06-2024.xlsm)</v>
      </c>
      <c r="AG386" s="498">
        <f ca="1">ROUND(IF(DESONERACAO="sim",REFERENCIA.Desonerado,REFERENCIA.NaoDesonerado),2)</f>
        <v>0</v>
      </c>
      <c r="AH386" s="499">
        <f t="shared" ca="1" si="104"/>
        <v>0.2432</v>
      </c>
      <c r="AJ386" s="501"/>
      <c r="AL386" s="527"/>
      <c r="AM386" s="381">
        <f t="shared" ca="1" si="105"/>
        <v>0</v>
      </c>
      <c r="AN386" s="566">
        <f t="shared" ca="1" si="106"/>
        <v>0</v>
      </c>
    </row>
    <row r="387" spans="1:40" ht="25.5" x14ac:dyDescent="0.2">
      <c r="A387" t="str">
        <f t="shared" si="91"/>
        <v>S</v>
      </c>
      <c r="B387">
        <f t="shared" ca="1" si="92"/>
        <v>2</v>
      </c>
      <c r="C387" t="str">
        <f t="shared" ca="1" si="93"/>
        <v>S</v>
      </c>
      <c r="D387">
        <f t="shared" ca="1" si="94"/>
        <v>0</v>
      </c>
      <c r="E387">
        <f ca="1">IF($C387=1,OFFSET(E387,-1,0)+MAX(1,COUNTIF(QCI!$A$13:$A$24,OFFSET(ORÇAMENTO!E387,-1,0))),OFFSET(E387,-1,0))</f>
        <v>1</v>
      </c>
      <c r="F387">
        <f t="shared" ca="1" si="95"/>
        <v>43</v>
      </c>
      <c r="G387">
        <f t="shared" ca="1" si="96"/>
        <v>0</v>
      </c>
      <c r="H387">
        <f t="shared" ca="1" si="97"/>
        <v>0</v>
      </c>
      <c r="I387">
        <f t="shared" ca="1" si="98"/>
        <v>0</v>
      </c>
      <c r="J387">
        <f t="shared" ca="1" si="89"/>
        <v>0</v>
      </c>
      <c r="K387">
        <f ca="1">IF(OR($C387="S",$C387=0),0,MATCH(OFFSET($D387,0,$C387)+IF($C387&lt;&gt;1,1,COUNTIF(QCI!$A$13:$A$24,ORÇAMENTO!E387)),OFFSET($D387,1,$C387,ROW($C$727)-ROW($C387)),0))</f>
        <v>0</v>
      </c>
      <c r="L387" s="116" t="str">
        <f t="shared" ca="1" si="99"/>
        <v/>
      </c>
      <c r="M387" s="117" t="s">
        <v>199</v>
      </c>
      <c r="N387" s="118" t="str">
        <f t="shared" ca="1" si="100"/>
        <v>Serviço</v>
      </c>
      <c r="O387" s="119" t="str">
        <f t="shared" ca="1" si="101"/>
        <v>-</v>
      </c>
      <c r="P387" s="120" t="s">
        <v>247</v>
      </c>
      <c r="Q387" s="121" t="s">
        <v>761</v>
      </c>
      <c r="R387" s="122" t="str">
        <f ca="1">IF($C387="S",REFERENCIA.Descricao,"(digite a descrição aqui)")</f>
        <v>(abra o arquivo 'Referência 06-2024.xlsm)</v>
      </c>
      <c r="S387" s="123" t="str">
        <f ca="1">REFERENCIA.Unidade</f>
        <v>-</v>
      </c>
      <c r="T387" s="124">
        <f ca="1">OFFSET(CÁLCULO!H$15,ROW($T387)-ROW(T$15),0)</f>
        <v>45</v>
      </c>
      <c r="U387" s="125">
        <f t="shared" ca="1" si="90"/>
        <v>0</v>
      </c>
      <c r="V387" s="126" t="s">
        <v>156</v>
      </c>
      <c r="W387" s="124">
        <f ca="1">IF($C387="S",ROUND(IF(TIPOORCAMENTO="Proposto",ORÇAMENTO.CustoUnitario*(1+$AH387),ORÇAMENTO.PrecoUnitarioLicitado),15-13*$AF$10),0)</f>
        <v>0</v>
      </c>
      <c r="X387" s="127">
        <f ca="1">IF($C387="S",IF(Import.TipoArredondamento&lt;&gt;"TransfereGOV",VTOTAL1,SUM(OFFSET(CÁLCULO!$AI$15,ROW($X387)-ROW($X$15),1):OFFSET(CÁLCULO!$BB$15,ROW($X387)-ROW($X$15),-1))),IF($C387=0,0,ROUND(SomaAgrup,15-13*$AF$11)))</f>
        <v>0</v>
      </c>
      <c r="Y387" s="128" t="s">
        <v>245</v>
      </c>
      <c r="Z387" t="str">
        <f t="shared" ca="1" si="102"/>
        <v/>
      </c>
      <c r="AA387" s="129">
        <f ca="1">IF($C387="S",IF($Z387="CP",$X387,IF($Z387="RA",(($X387)*QCI!$AA$3),0)),SomaAgrup)</f>
        <v>0</v>
      </c>
      <c r="AB387" s="130">
        <f t="shared" ca="1" si="103"/>
        <v>0</v>
      </c>
      <c r="AC387" s="131" t="str">
        <f ca="1">IF($N387="","",IF(ORÇAMENTO.Descricao="","DESCRIÇÃO",IF(AND($C387="S",ORÇAMENTO.Unidade=""),"UNIDADE",IF($X387&lt;0,"VALOR NEGATIVO",IF(OR(AND(TIPOORCAMENTO="Proposto",$AG387&lt;&gt;"",$AG387&gt;0,ORÇAMENTO.CustoUnitario&gt;$AG387),AND(TIPOORCAMENTO="LICITADO",ORÇAMENTO.PrecoUnitarioLicitado&gt;$AN387)),"ACIMA REF.","")))))</f>
        <v/>
      </c>
      <c r="AD387" t="str">
        <f ca="1">IF(C387&lt;=CRONO.NivelExibicao,MAX($AD$15:OFFSET(AD387,-1,0))+IF($C387&lt;&gt;1,1,MAX(1,COUNTIF(QCI!$A$13:$A$24,OFFSET($E387,-1,0)))),"")</f>
        <v/>
      </c>
      <c r="AE387" s="7" t="str">
        <f ca="1">IF(AND($C387="S",ORÇAMENTO.CodBarra&lt;&gt;""),IF(ORÇAMENTO.Fonte="",ORÇAMENTO.CodBarra,CONCATENATE(ORÇAMENTO.Fonte," ",ORÇAMENTO.CodBarra)))</f>
        <v>SINAPI 86887</v>
      </c>
      <c r="AF387" s="13" t="str">
        <f ca="1">IF(ISERROR(INDIRECT(ORÇAMENTO.BancoRef)),"(abra o arquivo 'Referência "&amp;Excel_BuiltIn_Database&amp;".xlsm)",IF(OR($C387&lt;&gt;"S",ORÇAMENTO.CodBarra=""),"(Sem Código)",IF(ISERROR(MATCH($AE387,INDIRECT(ORÇAMENTO.BancoRef),0)),"(Código não identificado nas referências)",MATCH($AE387,INDIRECT(ORÇAMENTO.BancoRef),0))))</f>
        <v>(abra o arquivo 'Referência 06-2024.xlsm)</v>
      </c>
      <c r="AG387" s="498">
        <f ca="1">ROUND(IF(DESONERACAO="sim",REFERENCIA.Desonerado,REFERENCIA.NaoDesonerado),2)</f>
        <v>0</v>
      </c>
      <c r="AH387" s="499">
        <f t="shared" ca="1" si="104"/>
        <v>0.2432</v>
      </c>
      <c r="AJ387" s="501"/>
      <c r="AL387" s="527"/>
      <c r="AM387" s="381">
        <f t="shared" ca="1" si="105"/>
        <v>0</v>
      </c>
      <c r="AN387" s="566">
        <f t="shared" ca="1" si="106"/>
        <v>0</v>
      </c>
    </row>
    <row r="388" spans="1:40" ht="25.5" x14ac:dyDescent="0.2">
      <c r="A388" t="str">
        <f t="shared" si="91"/>
        <v>S</v>
      </c>
      <c r="B388">
        <f t="shared" ca="1" si="92"/>
        <v>2</v>
      </c>
      <c r="C388" t="str">
        <f t="shared" ca="1" si="93"/>
        <v>S</v>
      </c>
      <c r="D388">
        <f t="shared" ca="1" si="94"/>
        <v>0</v>
      </c>
      <c r="E388">
        <f ca="1">IF($C388=1,OFFSET(E388,-1,0)+MAX(1,COUNTIF(QCI!$A$13:$A$24,OFFSET(ORÇAMENTO!E388,-1,0))),OFFSET(E388,-1,0))</f>
        <v>1</v>
      </c>
      <c r="F388">
        <f t="shared" ca="1" si="95"/>
        <v>43</v>
      </c>
      <c r="G388">
        <f t="shared" ca="1" si="96"/>
        <v>0</v>
      </c>
      <c r="H388">
        <f t="shared" ca="1" si="97"/>
        <v>0</v>
      </c>
      <c r="I388">
        <f t="shared" ca="1" si="98"/>
        <v>0</v>
      </c>
      <c r="J388">
        <f t="shared" ca="1" si="89"/>
        <v>0</v>
      </c>
      <c r="K388">
        <f ca="1">IF(OR($C388="S",$C388=0),0,MATCH(OFFSET($D388,0,$C388)+IF($C388&lt;&gt;1,1,COUNTIF(QCI!$A$13:$A$24,ORÇAMENTO!E388)),OFFSET($D388,1,$C388,ROW($C$727)-ROW($C388)),0))</f>
        <v>0</v>
      </c>
      <c r="L388" s="116" t="str">
        <f t="shared" ca="1" si="99"/>
        <v/>
      </c>
      <c r="M388" s="117" t="s">
        <v>199</v>
      </c>
      <c r="N388" s="118" t="str">
        <f t="shared" ca="1" si="100"/>
        <v>Serviço</v>
      </c>
      <c r="O388" s="119" t="str">
        <f t="shared" ca="1" si="101"/>
        <v>-</v>
      </c>
      <c r="P388" s="120" t="s">
        <v>247</v>
      </c>
      <c r="Q388" s="121" t="s">
        <v>762</v>
      </c>
      <c r="R388" s="122" t="str">
        <f ca="1">IF($C388="S",REFERENCIA.Descricao,"(digite a descrição aqui)")</f>
        <v>(abra o arquivo 'Referência 06-2024.xlsm)</v>
      </c>
      <c r="S388" s="123" t="str">
        <f ca="1">REFERENCIA.Unidade</f>
        <v>-</v>
      </c>
      <c r="T388" s="124">
        <f ca="1">OFFSET(CÁLCULO!H$15,ROW($T388)-ROW(T$15),0)</f>
        <v>13</v>
      </c>
      <c r="U388" s="125">
        <f t="shared" ca="1" si="90"/>
        <v>0</v>
      </c>
      <c r="V388" s="126" t="s">
        <v>156</v>
      </c>
      <c r="W388" s="124">
        <f ca="1">IF($C388="S",ROUND(IF(TIPOORCAMENTO="Proposto",ORÇAMENTO.CustoUnitario*(1+$AH388),ORÇAMENTO.PrecoUnitarioLicitado),15-13*$AF$10),0)</f>
        <v>0</v>
      </c>
      <c r="X388" s="127">
        <f ca="1">IF($C388="S",IF(Import.TipoArredondamento&lt;&gt;"TransfereGOV",VTOTAL1,SUM(OFFSET(CÁLCULO!$AI$15,ROW($X388)-ROW($X$15),1):OFFSET(CÁLCULO!$BB$15,ROW($X388)-ROW($X$15),-1))),IF($C388=0,0,ROUND(SomaAgrup,15-13*$AF$11)))</f>
        <v>0</v>
      </c>
      <c r="Y388" s="128" t="s">
        <v>245</v>
      </c>
      <c r="Z388" t="str">
        <f t="shared" ca="1" si="102"/>
        <v/>
      </c>
      <c r="AA388" s="129">
        <f ca="1">IF($C388="S",IF($Z388="CP",$X388,IF($Z388="RA",(($X388)*QCI!$AA$3),0)),SomaAgrup)</f>
        <v>0</v>
      </c>
      <c r="AB388" s="130">
        <f t="shared" ca="1" si="103"/>
        <v>0</v>
      </c>
      <c r="AC388" s="131" t="str">
        <f ca="1">IF($N388="","",IF(ORÇAMENTO.Descricao="","DESCRIÇÃO",IF(AND($C388="S",ORÇAMENTO.Unidade=""),"UNIDADE",IF($X388&lt;0,"VALOR NEGATIVO",IF(OR(AND(TIPOORCAMENTO="Proposto",$AG388&lt;&gt;"",$AG388&gt;0,ORÇAMENTO.CustoUnitario&gt;$AG388),AND(TIPOORCAMENTO="LICITADO",ORÇAMENTO.PrecoUnitarioLicitado&gt;$AN388)),"ACIMA REF.","")))))</f>
        <v/>
      </c>
      <c r="AD388" t="str">
        <f ca="1">IF(C388&lt;=CRONO.NivelExibicao,MAX($AD$15:OFFSET(AD388,-1,0))+IF($C388&lt;&gt;1,1,MAX(1,COUNTIF(QCI!$A$13:$A$24,OFFSET($E388,-1,0)))),"")</f>
        <v/>
      </c>
      <c r="AE388" s="7" t="str">
        <f ca="1">IF(AND($C388="S",ORÇAMENTO.CodBarra&lt;&gt;""),IF(ORÇAMENTO.Fonte="",ORÇAMENTO.CodBarra,CONCATENATE(ORÇAMENTO.Fonte," ",ORÇAMENTO.CodBarra)))</f>
        <v>SINAPI 100860</v>
      </c>
      <c r="AF388" s="13" t="str">
        <f ca="1">IF(ISERROR(INDIRECT(ORÇAMENTO.BancoRef)),"(abra o arquivo 'Referência "&amp;Excel_BuiltIn_Database&amp;".xlsm)",IF(OR($C388&lt;&gt;"S",ORÇAMENTO.CodBarra=""),"(Sem Código)",IF(ISERROR(MATCH($AE388,INDIRECT(ORÇAMENTO.BancoRef),0)),"(Código não identificado nas referências)",MATCH($AE388,INDIRECT(ORÇAMENTO.BancoRef),0))))</f>
        <v>(abra o arquivo 'Referência 06-2024.xlsm)</v>
      </c>
      <c r="AG388" s="498">
        <f ca="1">ROUND(IF(DESONERACAO="sim",REFERENCIA.Desonerado,REFERENCIA.NaoDesonerado),2)</f>
        <v>0</v>
      </c>
      <c r="AH388" s="499">
        <f t="shared" ca="1" si="104"/>
        <v>0.2432</v>
      </c>
      <c r="AJ388" s="501"/>
      <c r="AL388" s="527"/>
      <c r="AM388" s="381">
        <f t="shared" ca="1" si="105"/>
        <v>0</v>
      </c>
      <c r="AN388" s="566">
        <f t="shared" ca="1" si="106"/>
        <v>0</v>
      </c>
    </row>
    <row r="389" spans="1:40" ht="25.5" x14ac:dyDescent="0.2">
      <c r="A389" t="str">
        <f t="shared" si="91"/>
        <v>S</v>
      </c>
      <c r="B389">
        <f t="shared" ca="1" si="92"/>
        <v>2</v>
      </c>
      <c r="C389" t="str">
        <f t="shared" ca="1" si="93"/>
        <v>S</v>
      </c>
      <c r="D389">
        <f t="shared" ca="1" si="94"/>
        <v>0</v>
      </c>
      <c r="E389">
        <f ca="1">IF($C389=1,OFFSET(E389,-1,0)+MAX(1,COUNTIF(QCI!$A$13:$A$24,OFFSET(ORÇAMENTO!E389,-1,0))),OFFSET(E389,-1,0))</f>
        <v>1</v>
      </c>
      <c r="F389">
        <f t="shared" ca="1" si="95"/>
        <v>43</v>
      </c>
      <c r="G389">
        <f t="shared" ca="1" si="96"/>
        <v>0</v>
      </c>
      <c r="H389">
        <f t="shared" ca="1" si="97"/>
        <v>0</v>
      </c>
      <c r="I389">
        <f t="shared" ca="1" si="98"/>
        <v>0</v>
      </c>
      <c r="J389">
        <f t="shared" ca="1" si="89"/>
        <v>0</v>
      </c>
      <c r="K389">
        <f ca="1">IF(OR($C389="S",$C389=0),0,MATCH(OFFSET($D389,0,$C389)+IF($C389&lt;&gt;1,1,COUNTIF(QCI!$A$13:$A$24,ORÇAMENTO!E389)),OFFSET($D389,1,$C389,ROW($C$727)-ROW($C389)),0))</f>
        <v>0</v>
      </c>
      <c r="L389" s="116" t="str">
        <f t="shared" ca="1" si="99"/>
        <v/>
      </c>
      <c r="M389" s="117" t="s">
        <v>199</v>
      </c>
      <c r="N389" s="118" t="str">
        <f t="shared" ca="1" si="100"/>
        <v>Serviço</v>
      </c>
      <c r="O389" s="119" t="str">
        <f t="shared" ca="1" si="101"/>
        <v>-</v>
      </c>
      <c r="P389" s="120" t="s">
        <v>458</v>
      </c>
      <c r="Q389" s="121" t="s">
        <v>763</v>
      </c>
      <c r="R389" s="122" t="str">
        <f ca="1">IF($C389="S",REFERENCIA.Descricao,"(digite a descrição aqui)")</f>
        <v>(abra o arquivo 'Referência 06-2024.xlsm)</v>
      </c>
      <c r="S389" s="123" t="str">
        <f ca="1">REFERENCIA.Unidade</f>
        <v>-</v>
      </c>
      <c r="T389" s="124">
        <f ca="1">OFFSET(CÁLCULO!H$15,ROW($T389)-ROW(T$15),0)</f>
        <v>12</v>
      </c>
      <c r="U389" s="125">
        <f t="shared" ca="1" si="90"/>
        <v>0</v>
      </c>
      <c r="V389" s="126" t="s">
        <v>156</v>
      </c>
      <c r="W389" s="124">
        <f ca="1">IF($C389="S",ROUND(IF(TIPOORCAMENTO="Proposto",ORÇAMENTO.CustoUnitario*(1+$AH389),ORÇAMENTO.PrecoUnitarioLicitado),15-13*$AF$10),0)</f>
        <v>0</v>
      </c>
      <c r="X389" s="127">
        <f ca="1">IF($C389="S",IF(Import.TipoArredondamento&lt;&gt;"TransfereGOV",VTOTAL1,SUM(OFFSET(CÁLCULO!$AI$15,ROW($X389)-ROW($X$15),1):OFFSET(CÁLCULO!$BB$15,ROW($X389)-ROW($X$15),-1))),IF($C389=0,0,ROUND(SomaAgrup,15-13*$AF$11)))</f>
        <v>0</v>
      </c>
      <c r="Y389" s="128" t="s">
        <v>245</v>
      </c>
      <c r="Z389" t="str">
        <f t="shared" ca="1" si="102"/>
        <v/>
      </c>
      <c r="AA389" s="129">
        <f ca="1">IF($C389="S",IF($Z389="CP",$X389,IF($Z389="RA",(($X389)*QCI!$AA$3),0)),SomaAgrup)</f>
        <v>0</v>
      </c>
      <c r="AB389" s="130">
        <f t="shared" ca="1" si="103"/>
        <v>0</v>
      </c>
      <c r="AC389" s="131" t="str">
        <f ca="1">IF($N389="","",IF(ORÇAMENTO.Descricao="","DESCRIÇÃO",IF(AND($C389="S",ORÇAMENTO.Unidade=""),"UNIDADE",IF($X389&lt;0,"VALOR NEGATIVO",IF(OR(AND(TIPOORCAMENTO="Proposto",$AG389&lt;&gt;"",$AG389&gt;0,ORÇAMENTO.CustoUnitario&gt;$AG389),AND(TIPOORCAMENTO="LICITADO",ORÇAMENTO.PrecoUnitarioLicitado&gt;$AN389)),"ACIMA REF.","")))))</f>
        <v/>
      </c>
      <c r="AD389" t="str">
        <f ca="1">IF(C389&lt;=CRONO.NivelExibicao,MAX($AD$15:OFFSET(AD389,-1,0))+IF($C389&lt;&gt;1,1,MAX(1,COUNTIF(QCI!$A$13:$A$24,OFFSET($E389,-1,0)))),"")</f>
        <v/>
      </c>
      <c r="AE389" s="7" t="str">
        <f ca="1">IF(AND($C389="S",ORÇAMENTO.CodBarra&lt;&gt;""),IF(ORÇAMENTO.Fonte="",ORÇAMENTO.CodBarra,CONCATENATE(ORÇAMENTO.Fonte," ",ORÇAMENTO.CodBarra)))</f>
        <v>COMPOSIÇÃO FNDE 226</v>
      </c>
      <c r="AF389" s="13" t="str">
        <f ca="1">IF(ISERROR(INDIRECT(ORÇAMENTO.BancoRef)),"(abra o arquivo 'Referência "&amp;Excel_BuiltIn_Database&amp;".xlsm)",IF(OR($C389&lt;&gt;"S",ORÇAMENTO.CodBarra=""),"(Sem Código)",IF(ISERROR(MATCH($AE389,INDIRECT(ORÇAMENTO.BancoRef),0)),"(Código não identificado nas referências)",MATCH($AE389,INDIRECT(ORÇAMENTO.BancoRef),0))))</f>
        <v>(abra o arquivo 'Referência 06-2024.xlsm)</v>
      </c>
      <c r="AG389" s="498">
        <f ca="1">ROUND(IF(DESONERACAO="sim",REFERENCIA.Desonerado,REFERENCIA.NaoDesonerado),2)</f>
        <v>0</v>
      </c>
      <c r="AH389" s="499">
        <f t="shared" ca="1" si="104"/>
        <v>0.2432</v>
      </c>
      <c r="AJ389" s="501"/>
      <c r="AL389" s="527"/>
      <c r="AM389" s="381">
        <f t="shared" ca="1" si="105"/>
        <v>0</v>
      </c>
      <c r="AN389" s="566">
        <f t="shared" ca="1" si="106"/>
        <v>0</v>
      </c>
    </row>
    <row r="390" spans="1:40" ht="38.25" x14ac:dyDescent="0.2">
      <c r="A390" t="str">
        <f t="shared" si="91"/>
        <v>S</v>
      </c>
      <c r="B390">
        <f t="shared" ca="1" si="92"/>
        <v>2</v>
      </c>
      <c r="C390" t="str">
        <f t="shared" ca="1" si="93"/>
        <v>S</v>
      </c>
      <c r="D390">
        <f t="shared" ca="1" si="94"/>
        <v>0</v>
      </c>
      <c r="E390">
        <f ca="1">IF($C390=1,OFFSET(E390,-1,0)+MAX(1,COUNTIF(QCI!$A$13:$A$24,OFFSET(ORÇAMENTO!E390,-1,0))),OFFSET(E390,-1,0))</f>
        <v>1</v>
      </c>
      <c r="F390">
        <f t="shared" ca="1" si="95"/>
        <v>43</v>
      </c>
      <c r="G390">
        <f t="shared" ca="1" si="96"/>
        <v>0</v>
      </c>
      <c r="H390">
        <f t="shared" ca="1" si="97"/>
        <v>0</v>
      </c>
      <c r="I390">
        <f t="shared" ca="1" si="98"/>
        <v>0</v>
      </c>
      <c r="J390">
        <f t="shared" ca="1" si="89"/>
        <v>0</v>
      </c>
      <c r="K390">
        <f ca="1">IF(OR($C390="S",$C390=0),0,MATCH(OFFSET($D390,0,$C390)+IF($C390&lt;&gt;1,1,COUNTIF(QCI!$A$13:$A$24,ORÇAMENTO!E390)),OFFSET($D390,1,$C390,ROW($C$727)-ROW($C390)),0))</f>
        <v>0</v>
      </c>
      <c r="L390" s="116" t="str">
        <f t="shared" ca="1" si="99"/>
        <v/>
      </c>
      <c r="M390" s="117" t="s">
        <v>199</v>
      </c>
      <c r="N390" s="118" t="str">
        <f t="shared" ca="1" si="100"/>
        <v>Serviço</v>
      </c>
      <c r="O390" s="119" t="str">
        <f t="shared" ca="1" si="101"/>
        <v>-</v>
      </c>
      <c r="P390" s="120" t="s">
        <v>247</v>
      </c>
      <c r="Q390" s="121" t="s">
        <v>764</v>
      </c>
      <c r="R390" s="122" t="str">
        <f ca="1">IF($C390="S",REFERENCIA.Descricao,"(digite a descrição aqui)")</f>
        <v>(abra o arquivo 'Referência 06-2024.xlsm)</v>
      </c>
      <c r="S390" s="123" t="str">
        <f ca="1">REFERENCIA.Unidade</f>
        <v>-</v>
      </c>
      <c r="T390" s="124">
        <f ca="1">OFFSET(CÁLCULO!H$15,ROW($T390)-ROW(T$15),0)</f>
        <v>6</v>
      </c>
      <c r="U390" s="125">
        <f t="shared" ca="1" si="90"/>
        <v>0</v>
      </c>
      <c r="V390" s="126" t="s">
        <v>156</v>
      </c>
      <c r="W390" s="124">
        <f ca="1">IF($C390="S",ROUND(IF(TIPOORCAMENTO="Proposto",ORÇAMENTO.CustoUnitario*(1+$AH390),ORÇAMENTO.PrecoUnitarioLicitado),15-13*$AF$10),0)</f>
        <v>0</v>
      </c>
      <c r="X390" s="127">
        <f ca="1">IF($C390="S",IF(Import.TipoArredondamento&lt;&gt;"TransfereGOV",VTOTAL1,SUM(OFFSET(CÁLCULO!$AI$15,ROW($X390)-ROW($X$15),1):OFFSET(CÁLCULO!$BB$15,ROW($X390)-ROW($X$15),-1))),IF($C390=0,0,ROUND(SomaAgrup,15-13*$AF$11)))</f>
        <v>0</v>
      </c>
      <c r="Y390" s="128" t="s">
        <v>245</v>
      </c>
      <c r="Z390" t="str">
        <f t="shared" ca="1" si="102"/>
        <v/>
      </c>
      <c r="AA390" s="129">
        <f ca="1">IF($C390="S",IF($Z390="CP",$X390,IF($Z390="RA",(($X390)*QCI!$AA$3),0)),SomaAgrup)</f>
        <v>0</v>
      </c>
      <c r="AB390" s="130">
        <f t="shared" ca="1" si="103"/>
        <v>0</v>
      </c>
      <c r="AC390" s="131" t="str">
        <f ca="1">IF($N390="","",IF(ORÇAMENTO.Descricao="","DESCRIÇÃO",IF(AND($C390="S",ORÇAMENTO.Unidade=""),"UNIDADE",IF($X390&lt;0,"VALOR NEGATIVO",IF(OR(AND(TIPOORCAMENTO="Proposto",$AG390&lt;&gt;"",$AG390&gt;0,ORÇAMENTO.CustoUnitario&gt;$AG390),AND(TIPOORCAMENTO="LICITADO",ORÇAMENTO.PrecoUnitarioLicitado&gt;$AN390)),"ACIMA REF.","")))))</f>
        <v/>
      </c>
      <c r="AD390" t="str">
        <f ca="1">IF(C390&lt;=CRONO.NivelExibicao,MAX($AD$15:OFFSET(AD390,-1,0))+IF($C390&lt;&gt;1,1,MAX(1,COUNTIF(QCI!$A$13:$A$24,OFFSET($E390,-1,0)))),"")</f>
        <v/>
      </c>
      <c r="AE390" s="7" t="str">
        <f ca="1">IF(AND($C390="S",ORÇAMENTO.CodBarra&lt;&gt;""),IF(ORÇAMENTO.Fonte="",ORÇAMENTO.CodBarra,CONCATENATE(ORÇAMENTO.Fonte," ",ORÇAMENTO.CodBarra)))</f>
        <v>SINAPI 100867</v>
      </c>
      <c r="AF390" s="13" t="str">
        <f ca="1">IF(ISERROR(INDIRECT(ORÇAMENTO.BancoRef)),"(abra o arquivo 'Referência "&amp;Excel_BuiltIn_Database&amp;".xlsm)",IF(OR($C390&lt;&gt;"S",ORÇAMENTO.CodBarra=""),"(Sem Código)",IF(ISERROR(MATCH($AE390,INDIRECT(ORÇAMENTO.BancoRef),0)),"(Código não identificado nas referências)",MATCH($AE390,INDIRECT(ORÇAMENTO.BancoRef),0))))</f>
        <v>(abra o arquivo 'Referência 06-2024.xlsm)</v>
      </c>
      <c r="AG390" s="498">
        <f ca="1">ROUND(IF(DESONERACAO="sim",REFERENCIA.Desonerado,REFERENCIA.NaoDesonerado),2)</f>
        <v>0</v>
      </c>
      <c r="AH390" s="499">
        <f t="shared" ca="1" si="104"/>
        <v>0.2432</v>
      </c>
      <c r="AJ390" s="501"/>
      <c r="AL390" s="527"/>
      <c r="AM390" s="381">
        <f t="shared" ca="1" si="105"/>
        <v>0</v>
      </c>
      <c r="AN390" s="566">
        <f t="shared" ca="1" si="106"/>
        <v>0</v>
      </c>
    </row>
    <row r="391" spans="1:40" ht="38.25" x14ac:dyDescent="0.2">
      <c r="A391" t="str">
        <f t="shared" si="91"/>
        <v>S</v>
      </c>
      <c r="B391">
        <f t="shared" ca="1" si="92"/>
        <v>2</v>
      </c>
      <c r="C391" t="str">
        <f t="shared" ca="1" si="93"/>
        <v>S</v>
      </c>
      <c r="D391">
        <f t="shared" ca="1" si="94"/>
        <v>0</v>
      </c>
      <c r="E391">
        <f ca="1">IF($C391=1,OFFSET(E391,-1,0)+MAX(1,COUNTIF(QCI!$A$13:$A$24,OFFSET(ORÇAMENTO!E391,-1,0))),OFFSET(E391,-1,0))</f>
        <v>1</v>
      </c>
      <c r="F391">
        <f t="shared" ca="1" si="95"/>
        <v>43</v>
      </c>
      <c r="G391">
        <f t="shared" ca="1" si="96"/>
        <v>0</v>
      </c>
      <c r="H391">
        <f t="shared" ca="1" si="97"/>
        <v>0</v>
      </c>
      <c r="I391">
        <f t="shared" ca="1" si="98"/>
        <v>0</v>
      </c>
      <c r="J391">
        <f t="shared" ca="1" si="89"/>
        <v>0</v>
      </c>
      <c r="K391">
        <f ca="1">IF(OR($C391="S",$C391=0),0,MATCH(OFFSET($D391,0,$C391)+IF($C391&lt;&gt;1,1,COUNTIF(QCI!$A$13:$A$24,ORÇAMENTO!E391)),OFFSET($D391,1,$C391,ROW($C$727)-ROW($C391)),0))</f>
        <v>0</v>
      </c>
      <c r="L391" s="116" t="str">
        <f t="shared" ca="1" si="99"/>
        <v/>
      </c>
      <c r="M391" s="117" t="s">
        <v>199</v>
      </c>
      <c r="N391" s="118" t="str">
        <f t="shared" ca="1" si="100"/>
        <v>Serviço</v>
      </c>
      <c r="O391" s="119" t="str">
        <f t="shared" ca="1" si="101"/>
        <v>-</v>
      </c>
      <c r="P391" s="120" t="s">
        <v>247</v>
      </c>
      <c r="Q391" s="121" t="s">
        <v>765</v>
      </c>
      <c r="R391" s="122" t="str">
        <f ca="1">IF($C391="S",REFERENCIA.Descricao,"(digite a descrição aqui)")</f>
        <v>(abra o arquivo 'Referência 06-2024.xlsm)</v>
      </c>
      <c r="S391" s="123" t="str">
        <f ca="1">REFERENCIA.Unidade</f>
        <v>-</v>
      </c>
      <c r="T391" s="124">
        <f ca="1">OFFSET(CÁLCULO!H$15,ROW($T391)-ROW(T$15),0)</f>
        <v>9</v>
      </c>
      <c r="U391" s="125">
        <f t="shared" ca="1" si="90"/>
        <v>0</v>
      </c>
      <c r="V391" s="126" t="s">
        <v>156</v>
      </c>
      <c r="W391" s="124">
        <f ca="1">IF($C391="S",ROUND(IF(TIPOORCAMENTO="Proposto",ORÇAMENTO.CustoUnitario*(1+$AH391),ORÇAMENTO.PrecoUnitarioLicitado),15-13*$AF$10),0)</f>
        <v>0</v>
      </c>
      <c r="X391" s="127">
        <f ca="1">IF($C391="S",IF(Import.TipoArredondamento&lt;&gt;"TransfereGOV",VTOTAL1,SUM(OFFSET(CÁLCULO!$AI$15,ROW($X391)-ROW($X$15),1):OFFSET(CÁLCULO!$BB$15,ROW($X391)-ROW($X$15),-1))),IF($C391=0,0,ROUND(SomaAgrup,15-13*$AF$11)))</f>
        <v>0</v>
      </c>
      <c r="Y391" s="128" t="s">
        <v>245</v>
      </c>
      <c r="Z391" t="str">
        <f t="shared" ca="1" si="102"/>
        <v/>
      </c>
      <c r="AA391" s="129">
        <f ca="1">IF($C391="S",IF($Z391="CP",$X391,IF($Z391="RA",(($X391)*QCI!$AA$3),0)),SomaAgrup)</f>
        <v>0</v>
      </c>
      <c r="AB391" s="130">
        <f t="shared" ca="1" si="103"/>
        <v>0</v>
      </c>
      <c r="AC391" s="131" t="str">
        <f ca="1">IF($N391="","",IF(ORÇAMENTO.Descricao="","DESCRIÇÃO",IF(AND($C391="S",ORÇAMENTO.Unidade=""),"UNIDADE",IF($X391&lt;0,"VALOR NEGATIVO",IF(OR(AND(TIPOORCAMENTO="Proposto",$AG391&lt;&gt;"",$AG391&gt;0,ORÇAMENTO.CustoUnitario&gt;$AG391),AND(TIPOORCAMENTO="LICITADO",ORÇAMENTO.PrecoUnitarioLicitado&gt;$AN391)),"ACIMA REF.","")))))</f>
        <v/>
      </c>
      <c r="AD391" t="str">
        <f ca="1">IF(C391&lt;=CRONO.NivelExibicao,MAX($AD$15:OFFSET(AD391,-1,0))+IF($C391&lt;&gt;1,1,MAX(1,COUNTIF(QCI!$A$13:$A$24,OFFSET($E391,-1,0)))),"")</f>
        <v/>
      </c>
      <c r="AE391" s="7" t="str">
        <f ca="1">IF(AND($C391="S",ORÇAMENTO.CodBarra&lt;&gt;""),IF(ORÇAMENTO.Fonte="",ORÇAMENTO.CodBarra,CONCATENATE(ORÇAMENTO.Fonte," ",ORÇAMENTO.CodBarra)))</f>
        <v>SINAPI 100868</v>
      </c>
      <c r="AF391" s="13" t="str">
        <f ca="1">IF(ISERROR(INDIRECT(ORÇAMENTO.BancoRef)),"(abra o arquivo 'Referência "&amp;Excel_BuiltIn_Database&amp;".xlsm)",IF(OR($C391&lt;&gt;"S",ORÇAMENTO.CodBarra=""),"(Sem Código)",IF(ISERROR(MATCH($AE391,INDIRECT(ORÇAMENTO.BancoRef),0)),"(Código não identificado nas referências)",MATCH($AE391,INDIRECT(ORÇAMENTO.BancoRef),0))))</f>
        <v>(abra o arquivo 'Referência 06-2024.xlsm)</v>
      </c>
      <c r="AG391" s="498">
        <f ca="1">ROUND(IF(DESONERACAO="sim",REFERENCIA.Desonerado,REFERENCIA.NaoDesonerado),2)</f>
        <v>0</v>
      </c>
      <c r="AH391" s="499">
        <f t="shared" ca="1" si="104"/>
        <v>0.2432</v>
      </c>
      <c r="AJ391" s="501"/>
      <c r="AL391" s="527"/>
      <c r="AM391" s="381">
        <f t="shared" ca="1" si="105"/>
        <v>0</v>
      </c>
      <c r="AN391" s="566">
        <f t="shared" ca="1" si="106"/>
        <v>0</v>
      </c>
    </row>
    <row r="392" spans="1:40" ht="25.5" x14ac:dyDescent="0.2">
      <c r="A392" t="str">
        <f t="shared" si="91"/>
        <v>S</v>
      </c>
      <c r="B392">
        <f t="shared" ca="1" si="92"/>
        <v>2</v>
      </c>
      <c r="C392" t="str">
        <f t="shared" ca="1" si="93"/>
        <v>S</v>
      </c>
      <c r="D392">
        <f t="shared" ca="1" si="94"/>
        <v>0</v>
      </c>
      <c r="E392">
        <f ca="1">IF($C392=1,OFFSET(E392,-1,0)+MAX(1,COUNTIF(QCI!$A$13:$A$24,OFFSET(ORÇAMENTO!E392,-1,0))),OFFSET(E392,-1,0))</f>
        <v>1</v>
      </c>
      <c r="F392">
        <f t="shared" ca="1" si="95"/>
        <v>43</v>
      </c>
      <c r="G392">
        <f t="shared" ca="1" si="96"/>
        <v>0</v>
      </c>
      <c r="H392">
        <f t="shared" ca="1" si="97"/>
        <v>0</v>
      </c>
      <c r="I392">
        <f t="shared" ca="1" si="98"/>
        <v>0</v>
      </c>
      <c r="J392">
        <f t="shared" ca="1" si="89"/>
        <v>0</v>
      </c>
      <c r="K392">
        <f ca="1">IF(OR($C392="S",$C392=0),0,MATCH(OFFSET($D392,0,$C392)+IF($C392&lt;&gt;1,1,COUNTIF(QCI!$A$13:$A$24,ORÇAMENTO!E392)),OFFSET($D392,1,$C392,ROW($C$727)-ROW($C392)),0))</f>
        <v>0</v>
      </c>
      <c r="L392" s="116" t="str">
        <f t="shared" ca="1" si="99"/>
        <v/>
      </c>
      <c r="M392" s="117" t="s">
        <v>199</v>
      </c>
      <c r="N392" s="118" t="str">
        <f t="shared" ca="1" si="100"/>
        <v>Serviço</v>
      </c>
      <c r="O392" s="119" t="str">
        <f t="shared" ca="1" si="101"/>
        <v>-</v>
      </c>
      <c r="P392" s="120" t="s">
        <v>247</v>
      </c>
      <c r="Q392" s="121" t="s">
        <v>766</v>
      </c>
      <c r="R392" s="122" t="str">
        <f ca="1">IF($C392="S",REFERENCIA.Descricao,"(digite a descrição aqui)")</f>
        <v>(abra o arquivo 'Referência 06-2024.xlsm)</v>
      </c>
      <c r="S392" s="123" t="str">
        <f ca="1">REFERENCIA.Unidade</f>
        <v>-</v>
      </c>
      <c r="T392" s="124">
        <f ca="1">OFFSET(CÁLCULO!H$15,ROW($T392)-ROW(T$15),0)</f>
        <v>1</v>
      </c>
      <c r="U392" s="125">
        <f t="shared" ca="1" si="90"/>
        <v>0</v>
      </c>
      <c r="V392" s="126" t="s">
        <v>156</v>
      </c>
      <c r="W392" s="124">
        <f ca="1">IF($C392="S",ROUND(IF(TIPOORCAMENTO="Proposto",ORÇAMENTO.CustoUnitario*(1+$AH392),ORÇAMENTO.PrecoUnitarioLicitado),15-13*$AF$10),0)</f>
        <v>0</v>
      </c>
      <c r="X392" s="127">
        <f ca="1">IF($C392="S",IF(Import.TipoArredondamento&lt;&gt;"TransfereGOV",VTOTAL1,SUM(OFFSET(CÁLCULO!$AI$15,ROW($X392)-ROW($X$15),1):OFFSET(CÁLCULO!$BB$15,ROW($X392)-ROW($X$15),-1))),IF($C392=0,0,ROUND(SomaAgrup,15-13*$AF$11)))</f>
        <v>0</v>
      </c>
      <c r="Y392" s="128" t="s">
        <v>245</v>
      </c>
      <c r="Z392" t="str">
        <f t="shared" ca="1" si="102"/>
        <v/>
      </c>
      <c r="AA392" s="129">
        <f ca="1">IF($C392="S",IF($Z392="CP",$X392,IF($Z392="RA",(($X392)*QCI!$AA$3),0)),SomaAgrup)</f>
        <v>0</v>
      </c>
      <c r="AB392" s="130">
        <f t="shared" ca="1" si="103"/>
        <v>0</v>
      </c>
      <c r="AC392" s="131" t="str">
        <f ca="1">IF($N392="","",IF(ORÇAMENTO.Descricao="","DESCRIÇÃO",IF(AND($C392="S",ORÇAMENTO.Unidade=""),"UNIDADE",IF($X392&lt;0,"VALOR NEGATIVO",IF(OR(AND(TIPOORCAMENTO="Proposto",$AG392&lt;&gt;"",$AG392&gt;0,ORÇAMENTO.CustoUnitario&gt;$AG392),AND(TIPOORCAMENTO="LICITADO",ORÇAMENTO.PrecoUnitarioLicitado&gt;$AN392)),"ACIMA REF.","")))))</f>
        <v/>
      </c>
      <c r="AD392" t="str">
        <f ca="1">IF(C392&lt;=CRONO.NivelExibicao,MAX($AD$15:OFFSET(AD392,-1,0))+IF($C392&lt;&gt;1,1,MAX(1,COUNTIF(QCI!$A$13:$A$24,OFFSET($E392,-1,0)))),"")</f>
        <v/>
      </c>
      <c r="AE392" s="7" t="str">
        <f ca="1">IF(AND($C392="S",ORÇAMENTO.CodBarra&lt;&gt;""),IF(ORÇAMENTO.Fonte="",ORÇAMENTO.CodBarra,CONCATENATE(ORÇAMENTO.Fonte," ",ORÇAMENTO.CodBarra)))</f>
        <v>SINAPI 100875</v>
      </c>
      <c r="AF392" s="13" t="str">
        <f ca="1">IF(ISERROR(INDIRECT(ORÇAMENTO.BancoRef)),"(abra o arquivo 'Referência "&amp;Excel_BuiltIn_Database&amp;".xlsm)",IF(OR($C392&lt;&gt;"S",ORÇAMENTO.CodBarra=""),"(Sem Código)",IF(ISERROR(MATCH($AE392,INDIRECT(ORÇAMENTO.BancoRef),0)),"(Código não identificado nas referências)",MATCH($AE392,INDIRECT(ORÇAMENTO.BancoRef),0))))</f>
        <v>(abra o arquivo 'Referência 06-2024.xlsm)</v>
      </c>
      <c r="AG392" s="498">
        <f ca="1">ROUND(IF(DESONERACAO="sim",REFERENCIA.Desonerado,REFERENCIA.NaoDesonerado),2)</f>
        <v>0</v>
      </c>
      <c r="AH392" s="499">
        <f t="shared" ca="1" si="104"/>
        <v>0.2432</v>
      </c>
      <c r="AJ392" s="501"/>
      <c r="AL392" s="527"/>
      <c r="AM392" s="381">
        <f t="shared" ca="1" si="105"/>
        <v>0</v>
      </c>
      <c r="AN392" s="566">
        <f t="shared" ca="1" si="106"/>
        <v>0</v>
      </c>
    </row>
    <row r="393" spans="1:40" ht="38.25" x14ac:dyDescent="0.2">
      <c r="A393" t="str">
        <f t="shared" si="91"/>
        <v>S</v>
      </c>
      <c r="B393">
        <f t="shared" ca="1" si="92"/>
        <v>2</v>
      </c>
      <c r="C393" t="str">
        <f t="shared" ca="1" si="93"/>
        <v>S</v>
      </c>
      <c r="D393">
        <f t="shared" ca="1" si="94"/>
        <v>0</v>
      </c>
      <c r="E393">
        <f ca="1">IF($C393=1,OFFSET(E393,-1,0)+MAX(1,COUNTIF(QCI!$A$13:$A$24,OFFSET(ORÇAMENTO!E393,-1,0))),OFFSET(E393,-1,0))</f>
        <v>1</v>
      </c>
      <c r="F393">
        <f t="shared" ca="1" si="95"/>
        <v>43</v>
      </c>
      <c r="G393">
        <f t="shared" ca="1" si="96"/>
        <v>0</v>
      </c>
      <c r="H393">
        <f t="shared" ca="1" si="97"/>
        <v>0</v>
      </c>
      <c r="I393">
        <f t="shared" ca="1" si="98"/>
        <v>0</v>
      </c>
      <c r="J393">
        <f t="shared" ca="1" si="89"/>
        <v>0</v>
      </c>
      <c r="K393">
        <f ca="1">IF(OR($C393="S",$C393=0),0,MATCH(OFFSET($D393,0,$C393)+IF($C393&lt;&gt;1,1,COUNTIF(QCI!$A$13:$A$24,ORÇAMENTO!E393)),OFFSET($D393,1,$C393,ROW($C$727)-ROW($C393)),0))</f>
        <v>0</v>
      </c>
      <c r="L393" s="116" t="str">
        <f t="shared" ca="1" si="99"/>
        <v/>
      </c>
      <c r="M393" s="117" t="s">
        <v>199</v>
      </c>
      <c r="N393" s="118" t="str">
        <f t="shared" ca="1" si="100"/>
        <v>Serviço</v>
      </c>
      <c r="O393" s="119" t="str">
        <f t="shared" ca="1" si="101"/>
        <v>-</v>
      </c>
      <c r="P393" s="120" t="s">
        <v>458</v>
      </c>
      <c r="Q393" s="121" t="s">
        <v>767</v>
      </c>
      <c r="R393" s="122" t="str">
        <f ca="1">IF($C393="S",REFERENCIA.Descricao,"(digite a descrição aqui)")</f>
        <v>(abra o arquivo 'Referência 06-2024.xlsm)</v>
      </c>
      <c r="S393" s="123" t="str">
        <f ca="1">REFERENCIA.Unidade</f>
        <v>-</v>
      </c>
      <c r="T393" s="124">
        <f ca="1">OFFSET(CÁLCULO!H$15,ROW($T393)-ROW(T$15),0)</f>
        <v>24</v>
      </c>
      <c r="U393" s="125">
        <f t="shared" ca="1" si="90"/>
        <v>0</v>
      </c>
      <c r="V393" s="126" t="s">
        <v>156</v>
      </c>
      <c r="W393" s="124">
        <f ca="1">IF($C393="S",ROUND(IF(TIPOORCAMENTO="Proposto",ORÇAMENTO.CustoUnitario*(1+$AH393),ORÇAMENTO.PrecoUnitarioLicitado),15-13*$AF$10),0)</f>
        <v>0</v>
      </c>
      <c r="X393" s="127">
        <f ca="1">IF($C393="S",IF(Import.TipoArredondamento&lt;&gt;"TransfereGOV",VTOTAL1,SUM(OFFSET(CÁLCULO!$AI$15,ROW($X393)-ROW($X$15),1):OFFSET(CÁLCULO!$BB$15,ROW($X393)-ROW($X$15),-1))),IF($C393=0,0,ROUND(SomaAgrup,15-13*$AF$11)))</f>
        <v>0</v>
      </c>
      <c r="Y393" s="128" t="s">
        <v>245</v>
      </c>
      <c r="Z393" t="str">
        <f t="shared" ca="1" si="102"/>
        <v/>
      </c>
      <c r="AA393" s="129">
        <f ca="1">IF($C393="S",IF($Z393="CP",$X393,IF($Z393="RA",(($X393)*QCI!$AA$3),0)),SomaAgrup)</f>
        <v>0</v>
      </c>
      <c r="AB393" s="130">
        <f t="shared" ca="1" si="103"/>
        <v>0</v>
      </c>
      <c r="AC393" s="131" t="str">
        <f ca="1">IF($N393="","",IF(ORÇAMENTO.Descricao="","DESCRIÇÃO",IF(AND($C393="S",ORÇAMENTO.Unidade=""),"UNIDADE",IF($X393&lt;0,"VALOR NEGATIVO",IF(OR(AND(TIPOORCAMENTO="Proposto",$AG393&lt;&gt;"",$AG393&gt;0,ORÇAMENTO.CustoUnitario&gt;$AG393),AND(TIPOORCAMENTO="LICITADO",ORÇAMENTO.PrecoUnitarioLicitado&gt;$AN393)),"ACIMA REF.","")))))</f>
        <v/>
      </c>
      <c r="AD393" t="str">
        <f ca="1">IF(C393&lt;=CRONO.NivelExibicao,MAX($AD$15:OFFSET(AD393,-1,0))+IF($C393&lt;&gt;1,1,MAX(1,COUNTIF(QCI!$A$13:$A$24,OFFSET($E393,-1,0)))),"")</f>
        <v/>
      </c>
      <c r="AE393" s="7" t="str">
        <f ca="1">IF(AND($C393="S",ORÇAMENTO.CodBarra&lt;&gt;""),IF(ORÇAMENTO.Fonte="",ORÇAMENTO.CodBarra,CONCATENATE(ORÇAMENTO.Fonte," ",ORÇAMENTO.CodBarra)))</f>
        <v>COMPOSIÇÃO FNDE 215</v>
      </c>
      <c r="AF393" s="13" t="str">
        <f ca="1">IF(ISERROR(INDIRECT(ORÇAMENTO.BancoRef)),"(abra o arquivo 'Referência "&amp;Excel_BuiltIn_Database&amp;".xlsm)",IF(OR($C393&lt;&gt;"S",ORÇAMENTO.CodBarra=""),"(Sem Código)",IF(ISERROR(MATCH($AE393,INDIRECT(ORÇAMENTO.BancoRef),0)),"(Código não identificado nas referências)",MATCH($AE393,INDIRECT(ORÇAMENTO.BancoRef),0))))</f>
        <v>(abra o arquivo 'Referência 06-2024.xlsm)</v>
      </c>
      <c r="AG393" s="498">
        <f ca="1">ROUND(IF(DESONERACAO="sim",REFERENCIA.Desonerado,REFERENCIA.NaoDesonerado),2)</f>
        <v>0</v>
      </c>
      <c r="AH393" s="499">
        <f t="shared" ca="1" si="104"/>
        <v>0.2432</v>
      </c>
      <c r="AJ393" s="501"/>
      <c r="AL393" s="527"/>
      <c r="AM393" s="381">
        <f t="shared" ca="1" si="105"/>
        <v>0</v>
      </c>
      <c r="AN393" s="566">
        <f t="shared" ca="1" si="106"/>
        <v>0</v>
      </c>
    </row>
    <row r="394" spans="1:40" ht="25.5" x14ac:dyDescent="0.2">
      <c r="A394" t="str">
        <f t="shared" si="91"/>
        <v>S</v>
      </c>
      <c r="B394">
        <f t="shared" ca="1" si="92"/>
        <v>2</v>
      </c>
      <c r="C394" t="str">
        <f t="shared" ca="1" si="93"/>
        <v>S</v>
      </c>
      <c r="D394">
        <f t="shared" ca="1" si="94"/>
        <v>0</v>
      </c>
      <c r="E394">
        <f ca="1">IF($C394=1,OFFSET(E394,-1,0)+MAX(1,COUNTIF(QCI!$A$13:$A$24,OFFSET(ORÇAMENTO!E394,-1,0))),OFFSET(E394,-1,0))</f>
        <v>1</v>
      </c>
      <c r="F394">
        <f t="shared" ca="1" si="95"/>
        <v>43</v>
      </c>
      <c r="G394">
        <f t="shared" ca="1" si="96"/>
        <v>0</v>
      </c>
      <c r="H394">
        <f t="shared" ca="1" si="97"/>
        <v>0</v>
      </c>
      <c r="I394">
        <f t="shared" ca="1" si="98"/>
        <v>0</v>
      </c>
      <c r="J394">
        <f t="shared" ca="1" si="89"/>
        <v>0</v>
      </c>
      <c r="K394">
        <f ca="1">IF(OR($C394="S",$C394=0),0,MATCH(OFFSET($D394,0,$C394)+IF($C394&lt;&gt;1,1,COUNTIF(QCI!$A$13:$A$24,ORÇAMENTO!E394)),OFFSET($D394,1,$C394,ROW($C$727)-ROW($C394)),0))</f>
        <v>0</v>
      </c>
      <c r="L394" s="116" t="str">
        <f t="shared" ca="1" si="99"/>
        <v/>
      </c>
      <c r="M394" s="117" t="s">
        <v>199</v>
      </c>
      <c r="N394" s="118" t="str">
        <f t="shared" ca="1" si="100"/>
        <v>Serviço</v>
      </c>
      <c r="O394" s="119" t="str">
        <f t="shared" ca="1" si="101"/>
        <v>-</v>
      </c>
      <c r="P394" s="120" t="s">
        <v>458</v>
      </c>
      <c r="Q394" s="121" t="s">
        <v>768</v>
      </c>
      <c r="R394" s="122" t="str">
        <f ca="1">IF($C394="S",REFERENCIA.Descricao,"(digite a descrição aqui)")</f>
        <v>(abra o arquivo 'Referência 06-2024.xlsm)</v>
      </c>
      <c r="S394" s="123" t="str">
        <f ca="1">REFERENCIA.Unidade</f>
        <v>-</v>
      </c>
      <c r="T394" s="124">
        <f ca="1">OFFSET(CÁLCULO!H$15,ROW($T394)-ROW(T$15),0)</f>
        <v>27</v>
      </c>
      <c r="U394" s="125">
        <f t="shared" ca="1" si="90"/>
        <v>0</v>
      </c>
      <c r="V394" s="126" t="s">
        <v>156</v>
      </c>
      <c r="W394" s="124">
        <f ca="1">IF($C394="S",ROUND(IF(TIPOORCAMENTO="Proposto",ORÇAMENTO.CustoUnitario*(1+$AH394),ORÇAMENTO.PrecoUnitarioLicitado),15-13*$AF$10),0)</f>
        <v>0</v>
      </c>
      <c r="X394" s="127">
        <f ca="1">IF($C394="S",IF(Import.TipoArredondamento&lt;&gt;"TransfereGOV",VTOTAL1,SUM(OFFSET(CÁLCULO!$AI$15,ROW($X394)-ROW($X$15),1):OFFSET(CÁLCULO!$BB$15,ROW($X394)-ROW($X$15),-1))),IF($C394=0,0,ROUND(SomaAgrup,15-13*$AF$11)))</f>
        <v>0</v>
      </c>
      <c r="Y394" s="128" t="s">
        <v>245</v>
      </c>
      <c r="Z394" t="str">
        <f t="shared" ca="1" si="102"/>
        <v/>
      </c>
      <c r="AA394" s="129">
        <f ca="1">IF($C394="S",IF($Z394="CP",$X394,IF($Z394="RA",(($X394)*QCI!$AA$3),0)),SomaAgrup)</f>
        <v>0</v>
      </c>
      <c r="AB394" s="130">
        <f t="shared" ca="1" si="103"/>
        <v>0</v>
      </c>
      <c r="AC394" s="131" t="str">
        <f ca="1">IF($N394="","",IF(ORÇAMENTO.Descricao="","DESCRIÇÃO",IF(AND($C394="S",ORÇAMENTO.Unidade=""),"UNIDADE",IF($X394&lt;0,"VALOR NEGATIVO",IF(OR(AND(TIPOORCAMENTO="Proposto",$AG394&lt;&gt;"",$AG394&gt;0,ORÇAMENTO.CustoUnitario&gt;$AG394),AND(TIPOORCAMENTO="LICITADO",ORÇAMENTO.PrecoUnitarioLicitado&gt;$AN394)),"ACIMA REF.","")))))</f>
        <v/>
      </c>
      <c r="AD394" t="str">
        <f ca="1">IF(C394&lt;=CRONO.NivelExibicao,MAX($AD$15:OFFSET(AD394,-1,0))+IF($C394&lt;&gt;1,1,MAX(1,COUNTIF(QCI!$A$13:$A$24,OFFSET($E394,-1,0)))),"")</f>
        <v/>
      </c>
      <c r="AE394" s="7" t="str">
        <f ca="1">IF(AND($C394="S",ORÇAMENTO.CodBarra&lt;&gt;""),IF(ORÇAMENTO.Fonte="",ORÇAMENTO.CodBarra,CONCATENATE(ORÇAMENTO.Fonte," ",ORÇAMENTO.CodBarra)))</f>
        <v>COMPOSIÇÃO FNDE 15</v>
      </c>
      <c r="AF394" s="13" t="str">
        <f ca="1">IF(ISERROR(INDIRECT(ORÇAMENTO.BancoRef)),"(abra o arquivo 'Referência "&amp;Excel_BuiltIn_Database&amp;".xlsm)",IF(OR($C394&lt;&gt;"S",ORÇAMENTO.CodBarra=""),"(Sem Código)",IF(ISERROR(MATCH($AE394,INDIRECT(ORÇAMENTO.BancoRef),0)),"(Código não identificado nas referências)",MATCH($AE394,INDIRECT(ORÇAMENTO.BancoRef),0))))</f>
        <v>(abra o arquivo 'Referência 06-2024.xlsm)</v>
      </c>
      <c r="AG394" s="498">
        <f ca="1">ROUND(IF(DESONERACAO="sim",REFERENCIA.Desonerado,REFERENCIA.NaoDesonerado),2)</f>
        <v>0</v>
      </c>
      <c r="AH394" s="499">
        <f t="shared" ca="1" si="104"/>
        <v>0.2432</v>
      </c>
      <c r="AJ394" s="501"/>
      <c r="AL394" s="527"/>
      <c r="AM394" s="381">
        <f t="shared" ca="1" si="105"/>
        <v>0</v>
      </c>
      <c r="AN394" s="566">
        <f t="shared" ca="1" si="106"/>
        <v>0</v>
      </c>
    </row>
    <row r="395" spans="1:40" ht="25.5" x14ac:dyDescent="0.2">
      <c r="A395" t="str">
        <f t="shared" si="91"/>
        <v>S</v>
      </c>
      <c r="B395">
        <f t="shared" ca="1" si="92"/>
        <v>2</v>
      </c>
      <c r="C395" t="str">
        <f t="shared" ca="1" si="93"/>
        <v>S</v>
      </c>
      <c r="D395">
        <f t="shared" ca="1" si="94"/>
        <v>0</v>
      </c>
      <c r="E395">
        <f ca="1">IF($C395=1,OFFSET(E395,-1,0)+MAX(1,COUNTIF(QCI!$A$13:$A$24,OFFSET(ORÇAMENTO!E395,-1,0))),OFFSET(E395,-1,0))</f>
        <v>1</v>
      </c>
      <c r="F395">
        <f t="shared" ca="1" si="95"/>
        <v>43</v>
      </c>
      <c r="G395">
        <f t="shared" ca="1" si="96"/>
        <v>0</v>
      </c>
      <c r="H395">
        <f t="shared" ca="1" si="97"/>
        <v>0</v>
      </c>
      <c r="I395">
        <f t="shared" ca="1" si="98"/>
        <v>0</v>
      </c>
      <c r="J395">
        <f t="shared" ca="1" si="89"/>
        <v>0</v>
      </c>
      <c r="K395">
        <f ca="1">IF(OR($C395="S",$C395=0),0,MATCH(OFFSET($D395,0,$C395)+IF($C395&lt;&gt;1,1,COUNTIF(QCI!$A$13:$A$24,ORÇAMENTO!E395)),OFFSET($D395,1,$C395,ROW($C$727)-ROW($C395)),0))</f>
        <v>0</v>
      </c>
      <c r="L395" s="116" t="str">
        <f t="shared" ca="1" si="99"/>
        <v/>
      </c>
      <c r="M395" s="117" t="s">
        <v>199</v>
      </c>
      <c r="N395" s="118" t="str">
        <f t="shared" ca="1" si="100"/>
        <v>Serviço</v>
      </c>
      <c r="O395" s="119" t="str">
        <f t="shared" ca="1" si="101"/>
        <v>-</v>
      </c>
      <c r="P395" s="120" t="s">
        <v>458</v>
      </c>
      <c r="Q395" s="121" t="s">
        <v>769</v>
      </c>
      <c r="R395" s="122" t="str">
        <f ca="1">IF($C395="S",REFERENCIA.Descricao,"(digite a descrição aqui)")</f>
        <v>(abra o arquivo 'Referência 06-2024.xlsm)</v>
      </c>
      <c r="S395" s="123" t="str">
        <f ca="1">REFERENCIA.Unidade</f>
        <v>-</v>
      </c>
      <c r="T395" s="124">
        <f ca="1">OFFSET(CÁLCULO!H$15,ROW($T395)-ROW(T$15),0)</f>
        <v>20</v>
      </c>
      <c r="U395" s="125">
        <f t="shared" ca="1" si="90"/>
        <v>0</v>
      </c>
      <c r="V395" s="126" t="s">
        <v>156</v>
      </c>
      <c r="W395" s="124">
        <f ca="1">IF($C395="S",ROUND(IF(TIPOORCAMENTO="Proposto",ORÇAMENTO.CustoUnitario*(1+$AH395),ORÇAMENTO.PrecoUnitarioLicitado),15-13*$AF$10),0)</f>
        <v>0</v>
      </c>
      <c r="X395" s="127">
        <f ca="1">IF($C395="S",IF(Import.TipoArredondamento&lt;&gt;"TransfereGOV",VTOTAL1,SUM(OFFSET(CÁLCULO!$AI$15,ROW($X395)-ROW($X$15),1):OFFSET(CÁLCULO!$BB$15,ROW($X395)-ROW($X$15),-1))),IF($C395=0,0,ROUND(SomaAgrup,15-13*$AF$11)))</f>
        <v>0</v>
      </c>
      <c r="Y395" s="128" t="s">
        <v>245</v>
      </c>
      <c r="Z395" t="str">
        <f t="shared" ca="1" si="102"/>
        <v/>
      </c>
      <c r="AA395" s="129">
        <f ca="1">IF($C395="S",IF($Z395="CP",$X395,IF($Z395="RA",(($X395)*QCI!$AA$3),0)),SomaAgrup)</f>
        <v>0</v>
      </c>
      <c r="AB395" s="130">
        <f t="shared" ca="1" si="103"/>
        <v>0</v>
      </c>
      <c r="AC395" s="131" t="str">
        <f ca="1">IF($N395="","",IF(ORÇAMENTO.Descricao="","DESCRIÇÃO",IF(AND($C395="S",ORÇAMENTO.Unidade=""),"UNIDADE",IF($X395&lt;0,"VALOR NEGATIVO",IF(OR(AND(TIPOORCAMENTO="Proposto",$AG395&lt;&gt;"",$AG395&gt;0,ORÇAMENTO.CustoUnitario&gt;$AG395),AND(TIPOORCAMENTO="LICITADO",ORÇAMENTO.PrecoUnitarioLicitado&gt;$AN395)),"ACIMA REF.","")))))</f>
        <v/>
      </c>
      <c r="AD395" t="str">
        <f ca="1">IF(C395&lt;=CRONO.NivelExibicao,MAX($AD$15:OFFSET(AD395,-1,0))+IF($C395&lt;&gt;1,1,MAX(1,COUNTIF(QCI!$A$13:$A$24,OFFSET($E395,-1,0)))),"")</f>
        <v/>
      </c>
      <c r="AE395" s="7" t="str">
        <f ca="1">IF(AND($C395="S",ORÇAMENTO.CodBarra&lt;&gt;""),IF(ORÇAMENTO.Fonte="",ORÇAMENTO.CodBarra,CONCATENATE(ORÇAMENTO.Fonte," ",ORÇAMENTO.CodBarra)))</f>
        <v>COMPOSIÇÃO FNDE 16</v>
      </c>
      <c r="AF395" s="13" t="str">
        <f ca="1">IF(ISERROR(INDIRECT(ORÇAMENTO.BancoRef)),"(abra o arquivo 'Referência "&amp;Excel_BuiltIn_Database&amp;".xlsm)",IF(OR($C395&lt;&gt;"S",ORÇAMENTO.CodBarra=""),"(Sem Código)",IF(ISERROR(MATCH($AE395,INDIRECT(ORÇAMENTO.BancoRef),0)),"(Código não identificado nas referências)",MATCH($AE395,INDIRECT(ORÇAMENTO.BancoRef),0))))</f>
        <v>(abra o arquivo 'Referência 06-2024.xlsm)</v>
      </c>
      <c r="AG395" s="498">
        <f ca="1">ROUND(IF(DESONERACAO="sim",REFERENCIA.Desonerado,REFERENCIA.NaoDesonerado),2)</f>
        <v>0</v>
      </c>
      <c r="AH395" s="499">
        <f t="shared" ca="1" si="104"/>
        <v>0.2432</v>
      </c>
      <c r="AJ395" s="501"/>
      <c r="AL395" s="527"/>
      <c r="AM395" s="381">
        <f t="shared" ca="1" si="105"/>
        <v>0</v>
      </c>
      <c r="AN395" s="566">
        <f t="shared" ca="1" si="106"/>
        <v>0</v>
      </c>
    </row>
    <row r="396" spans="1:40" ht="25.5" x14ac:dyDescent="0.2">
      <c r="A396" t="str">
        <f t="shared" si="91"/>
        <v>S</v>
      </c>
      <c r="B396">
        <f t="shared" ca="1" si="92"/>
        <v>2</v>
      </c>
      <c r="C396" t="str">
        <f t="shared" ca="1" si="93"/>
        <v>S</v>
      </c>
      <c r="D396">
        <f t="shared" ca="1" si="94"/>
        <v>0</v>
      </c>
      <c r="E396">
        <f ca="1">IF($C396=1,OFFSET(E396,-1,0)+MAX(1,COUNTIF(QCI!$A$13:$A$24,OFFSET(ORÇAMENTO!E396,-1,0))),OFFSET(E396,-1,0))</f>
        <v>1</v>
      </c>
      <c r="F396">
        <f t="shared" ca="1" si="95"/>
        <v>43</v>
      </c>
      <c r="G396">
        <f t="shared" ca="1" si="96"/>
        <v>0</v>
      </c>
      <c r="H396">
        <f t="shared" ca="1" si="97"/>
        <v>0</v>
      </c>
      <c r="I396">
        <f t="shared" ca="1" si="98"/>
        <v>0</v>
      </c>
      <c r="J396">
        <f t="shared" ca="1" si="89"/>
        <v>0</v>
      </c>
      <c r="K396">
        <f ca="1">IF(OR($C396="S",$C396=0),0,MATCH(OFFSET($D396,0,$C396)+IF($C396&lt;&gt;1,1,COUNTIF(QCI!$A$13:$A$24,ORÇAMENTO!E396)),OFFSET($D396,1,$C396,ROW($C$727)-ROW($C396)),0))</f>
        <v>0</v>
      </c>
      <c r="L396" s="116" t="str">
        <f t="shared" ca="1" si="99"/>
        <v/>
      </c>
      <c r="M396" s="117" t="s">
        <v>199</v>
      </c>
      <c r="N396" s="118" t="str">
        <f t="shared" ca="1" si="100"/>
        <v>Serviço</v>
      </c>
      <c r="O396" s="119" t="str">
        <f t="shared" ca="1" si="101"/>
        <v>-</v>
      </c>
      <c r="P396" s="120" t="s">
        <v>247</v>
      </c>
      <c r="Q396" s="121" t="s">
        <v>770</v>
      </c>
      <c r="R396" s="122" t="str">
        <f ca="1">IF($C396="S",REFERENCIA.Descricao,"(digite a descrição aqui)")</f>
        <v>(abra o arquivo 'Referência 06-2024.xlsm)</v>
      </c>
      <c r="S396" s="123" t="str">
        <f ca="1">REFERENCIA.Unidade</f>
        <v>-</v>
      </c>
      <c r="T396" s="124">
        <f ca="1">OFFSET(CÁLCULO!H$15,ROW($T396)-ROW(T$15),0)</f>
        <v>23</v>
      </c>
      <c r="U396" s="125">
        <f t="shared" ca="1" si="90"/>
        <v>0</v>
      </c>
      <c r="V396" s="126" t="s">
        <v>156</v>
      </c>
      <c r="W396" s="124">
        <f ca="1">IF($C396="S",ROUND(IF(TIPOORCAMENTO="Proposto",ORÇAMENTO.CustoUnitario*(1+$AH396),ORÇAMENTO.PrecoUnitarioLicitado),15-13*$AF$10),0)</f>
        <v>0</v>
      </c>
      <c r="X396" s="127">
        <f ca="1">IF($C396="S",IF(Import.TipoArredondamento&lt;&gt;"TransfereGOV",VTOTAL1,SUM(OFFSET(CÁLCULO!$AI$15,ROW($X396)-ROW($X$15),1):OFFSET(CÁLCULO!$BB$15,ROW($X396)-ROW($X$15),-1))),IF($C396=0,0,ROUND(SomaAgrup,15-13*$AF$11)))</f>
        <v>0</v>
      </c>
      <c r="Y396" s="128" t="s">
        <v>245</v>
      </c>
      <c r="Z396" t="str">
        <f t="shared" ca="1" si="102"/>
        <v/>
      </c>
      <c r="AA396" s="129">
        <f ca="1">IF($C396="S",IF($Z396="CP",$X396,IF($Z396="RA",(($X396)*QCI!$AA$3),0)),SomaAgrup)</f>
        <v>0</v>
      </c>
      <c r="AB396" s="130">
        <f t="shared" ca="1" si="103"/>
        <v>0</v>
      </c>
      <c r="AC396" s="131" t="str">
        <f ca="1">IF($N396="","",IF(ORÇAMENTO.Descricao="","DESCRIÇÃO",IF(AND($C396="S",ORÇAMENTO.Unidade=""),"UNIDADE",IF($X396&lt;0,"VALOR NEGATIVO",IF(OR(AND(TIPOORCAMENTO="Proposto",$AG396&lt;&gt;"",$AG396&gt;0,ORÇAMENTO.CustoUnitario&gt;$AG396),AND(TIPOORCAMENTO="LICITADO",ORÇAMENTO.PrecoUnitarioLicitado&gt;$AN396)),"ACIMA REF.","")))))</f>
        <v/>
      </c>
      <c r="AD396" t="str">
        <f ca="1">IF(C396&lt;=CRONO.NivelExibicao,MAX($AD$15:OFFSET(AD396,-1,0))+IF($C396&lt;&gt;1,1,MAX(1,COUNTIF(QCI!$A$13:$A$24,OFFSET($E396,-1,0)))),"")</f>
        <v/>
      </c>
      <c r="AE396" s="7" t="str">
        <f ca="1">IF(AND($C396="S",ORÇAMENTO.CodBarra&lt;&gt;""),IF(ORÇAMENTO.Fonte="",ORÇAMENTO.CodBarra,CONCATENATE(ORÇAMENTO.Fonte," ",ORÇAMENTO.CodBarra)))</f>
        <v>SINAPI 95547</v>
      </c>
      <c r="AF396" s="13" t="str">
        <f ca="1">IF(ISERROR(INDIRECT(ORÇAMENTO.BancoRef)),"(abra o arquivo 'Referência "&amp;Excel_BuiltIn_Database&amp;".xlsm)",IF(OR($C396&lt;&gt;"S",ORÇAMENTO.CodBarra=""),"(Sem Código)",IF(ISERROR(MATCH($AE396,INDIRECT(ORÇAMENTO.BancoRef),0)),"(Código não identificado nas referências)",MATCH($AE396,INDIRECT(ORÇAMENTO.BancoRef),0))))</f>
        <v>(abra o arquivo 'Referência 06-2024.xlsm)</v>
      </c>
      <c r="AG396" s="498">
        <f ca="1">ROUND(IF(DESONERACAO="sim",REFERENCIA.Desonerado,REFERENCIA.NaoDesonerado),2)</f>
        <v>0</v>
      </c>
      <c r="AH396" s="499">
        <f t="shared" ca="1" si="104"/>
        <v>0.2432</v>
      </c>
      <c r="AJ396" s="501"/>
      <c r="AL396" s="527"/>
      <c r="AM396" s="381">
        <f t="shared" ca="1" si="105"/>
        <v>0</v>
      </c>
      <c r="AN396" s="566">
        <f t="shared" ca="1" si="106"/>
        <v>0</v>
      </c>
    </row>
    <row r="397" spans="1:40" ht="25.5" x14ac:dyDescent="0.2">
      <c r="A397" t="str">
        <f t="shared" si="91"/>
        <v>S</v>
      </c>
      <c r="B397">
        <f t="shared" ca="1" si="92"/>
        <v>2</v>
      </c>
      <c r="C397" t="str">
        <f t="shared" ca="1" si="93"/>
        <v>S</v>
      </c>
      <c r="D397">
        <f t="shared" ca="1" si="94"/>
        <v>0</v>
      </c>
      <c r="E397">
        <f ca="1">IF($C397=1,OFFSET(E397,-1,0)+MAX(1,COUNTIF(QCI!$A$13:$A$24,OFFSET(ORÇAMENTO!E397,-1,0))),OFFSET(E397,-1,0))</f>
        <v>1</v>
      </c>
      <c r="F397">
        <f t="shared" ca="1" si="95"/>
        <v>43</v>
      </c>
      <c r="G397">
        <f t="shared" ca="1" si="96"/>
        <v>0</v>
      </c>
      <c r="H397">
        <f t="shared" ca="1" si="97"/>
        <v>0</v>
      </c>
      <c r="I397">
        <f t="shared" ca="1" si="98"/>
        <v>0</v>
      </c>
      <c r="J397">
        <f t="shared" ca="1" si="89"/>
        <v>0</v>
      </c>
      <c r="K397">
        <f ca="1">IF(OR($C397="S",$C397=0),0,MATCH(OFFSET($D397,0,$C397)+IF($C397&lt;&gt;1,1,COUNTIF(QCI!$A$13:$A$24,ORÇAMENTO!E397)),OFFSET($D397,1,$C397,ROW($C$727)-ROW($C397)),0))</f>
        <v>0</v>
      </c>
      <c r="L397" s="116" t="str">
        <f t="shared" ca="1" si="99"/>
        <v/>
      </c>
      <c r="M397" s="117" t="s">
        <v>199</v>
      </c>
      <c r="N397" s="118" t="str">
        <f t="shared" ca="1" si="100"/>
        <v>Serviço</v>
      </c>
      <c r="O397" s="119" t="str">
        <f t="shared" ca="1" si="101"/>
        <v>-</v>
      </c>
      <c r="P397" s="120" t="s">
        <v>458</v>
      </c>
      <c r="Q397" s="121" t="s">
        <v>771</v>
      </c>
      <c r="R397" s="122" t="str">
        <f ca="1">IF($C397="S",REFERENCIA.Descricao,"(digite a descrição aqui)")</f>
        <v>(abra o arquivo 'Referência 06-2024.xlsm)</v>
      </c>
      <c r="S397" s="123" t="str">
        <f ca="1">REFERENCIA.Unidade</f>
        <v>-</v>
      </c>
      <c r="T397" s="124">
        <f ca="1">OFFSET(CÁLCULO!H$15,ROW($T397)-ROW(T$15),0)</f>
        <v>16.899999999999999</v>
      </c>
      <c r="U397" s="125">
        <f t="shared" ca="1" si="90"/>
        <v>0</v>
      </c>
      <c r="V397" s="126" t="s">
        <v>156</v>
      </c>
      <c r="W397" s="124">
        <f ca="1">IF($C397="S",ROUND(IF(TIPOORCAMENTO="Proposto",ORÇAMENTO.CustoUnitario*(1+$AH397),ORÇAMENTO.PrecoUnitarioLicitado),15-13*$AF$10),0)</f>
        <v>0</v>
      </c>
      <c r="X397" s="127">
        <f ca="1">IF($C397="S",IF(Import.TipoArredondamento&lt;&gt;"TransfereGOV",VTOTAL1,SUM(OFFSET(CÁLCULO!$AI$15,ROW($X397)-ROW($X$15),1):OFFSET(CÁLCULO!$BB$15,ROW($X397)-ROW($X$15),-1))),IF($C397=0,0,ROUND(SomaAgrup,15-13*$AF$11)))</f>
        <v>0</v>
      </c>
      <c r="Y397" s="128" t="s">
        <v>245</v>
      </c>
      <c r="Z397" t="str">
        <f t="shared" ca="1" si="102"/>
        <v/>
      </c>
      <c r="AA397" s="129">
        <f ca="1">IF($C397="S",IF($Z397="CP",$X397,IF($Z397="RA",(($X397)*QCI!$AA$3),0)),SomaAgrup)</f>
        <v>0</v>
      </c>
      <c r="AB397" s="130">
        <f t="shared" ca="1" si="103"/>
        <v>0</v>
      </c>
      <c r="AC397" s="131" t="str">
        <f ca="1">IF($N397="","",IF(ORÇAMENTO.Descricao="","DESCRIÇÃO",IF(AND($C397="S",ORÇAMENTO.Unidade=""),"UNIDADE",IF($X397&lt;0,"VALOR NEGATIVO",IF(OR(AND(TIPOORCAMENTO="Proposto",$AG397&lt;&gt;"",$AG397&gt;0,ORÇAMENTO.CustoUnitario&gt;$AG397),AND(TIPOORCAMENTO="LICITADO",ORÇAMENTO.PrecoUnitarioLicitado&gt;$AN397)),"ACIMA REF.","")))))</f>
        <v/>
      </c>
      <c r="AD397" t="str">
        <f ca="1">IF(C397&lt;=CRONO.NivelExibicao,MAX($AD$15:OFFSET(AD397,-1,0))+IF($C397&lt;&gt;1,1,MAX(1,COUNTIF(QCI!$A$13:$A$24,OFFSET($E397,-1,0)))),"")</f>
        <v/>
      </c>
      <c r="AE397" s="7" t="str">
        <f ca="1">IF(AND($C397="S",ORÇAMENTO.CodBarra&lt;&gt;""),IF(ORÇAMENTO.Fonte="",ORÇAMENTO.CodBarra,CONCATENATE(ORÇAMENTO.Fonte," ",ORÇAMENTO.CodBarra)))</f>
        <v>COMPOSIÇÃO FNDE 12</v>
      </c>
      <c r="AF397" s="13" t="str">
        <f ca="1">IF(ISERROR(INDIRECT(ORÇAMENTO.BancoRef)),"(abra o arquivo 'Referência "&amp;Excel_BuiltIn_Database&amp;".xlsm)",IF(OR($C397&lt;&gt;"S",ORÇAMENTO.CodBarra=""),"(Sem Código)",IF(ISERROR(MATCH($AE397,INDIRECT(ORÇAMENTO.BancoRef),0)),"(Código não identificado nas referências)",MATCH($AE397,INDIRECT(ORÇAMENTO.BancoRef),0))))</f>
        <v>(abra o arquivo 'Referência 06-2024.xlsm)</v>
      </c>
      <c r="AG397" s="498">
        <f ca="1">ROUND(IF(DESONERACAO="sim",REFERENCIA.Desonerado,REFERENCIA.NaoDesonerado),2)</f>
        <v>0</v>
      </c>
      <c r="AH397" s="499">
        <f t="shared" ca="1" si="104"/>
        <v>0.2432</v>
      </c>
      <c r="AJ397" s="501"/>
      <c r="AL397" s="527"/>
      <c r="AM397" s="381">
        <f t="shared" ca="1" si="105"/>
        <v>0</v>
      </c>
      <c r="AN397" s="566">
        <f t="shared" ca="1" si="106"/>
        <v>0</v>
      </c>
    </row>
    <row r="398" spans="1:40" ht="38.25" x14ac:dyDescent="0.2">
      <c r="A398" t="str">
        <f t="shared" si="91"/>
        <v>S</v>
      </c>
      <c r="B398">
        <f t="shared" ca="1" si="92"/>
        <v>2</v>
      </c>
      <c r="C398" t="str">
        <f t="shared" ca="1" si="93"/>
        <v>S</v>
      </c>
      <c r="D398">
        <f t="shared" ca="1" si="94"/>
        <v>0</v>
      </c>
      <c r="E398">
        <f ca="1">IF($C398=1,OFFSET(E398,-1,0)+MAX(1,COUNTIF(QCI!$A$13:$A$24,OFFSET(ORÇAMENTO!E398,-1,0))),OFFSET(E398,-1,0))</f>
        <v>1</v>
      </c>
      <c r="F398">
        <f t="shared" ca="1" si="95"/>
        <v>43</v>
      </c>
      <c r="G398">
        <f t="shared" ca="1" si="96"/>
        <v>0</v>
      </c>
      <c r="H398">
        <f t="shared" ca="1" si="97"/>
        <v>0</v>
      </c>
      <c r="I398">
        <f t="shared" ca="1" si="98"/>
        <v>0</v>
      </c>
      <c r="J398">
        <f t="shared" ca="1" si="89"/>
        <v>0</v>
      </c>
      <c r="K398">
        <f ca="1">IF(OR($C398="S",$C398=0),0,MATCH(OFFSET($D398,0,$C398)+IF($C398&lt;&gt;1,1,COUNTIF(QCI!$A$13:$A$24,ORÇAMENTO!E398)),OFFSET($D398,1,$C398,ROW($C$727)-ROW($C398)),0))</f>
        <v>0</v>
      </c>
      <c r="L398" s="116" t="str">
        <f t="shared" ca="1" si="99"/>
        <v/>
      </c>
      <c r="M398" s="117" t="s">
        <v>199</v>
      </c>
      <c r="N398" s="118" t="str">
        <f t="shared" ca="1" si="100"/>
        <v>Serviço</v>
      </c>
      <c r="O398" s="119" t="str">
        <f t="shared" ca="1" si="101"/>
        <v>-</v>
      </c>
      <c r="P398" s="120" t="s">
        <v>247</v>
      </c>
      <c r="Q398" s="121" t="s">
        <v>772</v>
      </c>
      <c r="R398" s="122" t="str">
        <f ca="1">IF($C398="S",REFERENCIA.Descricao,"(digite a descrição aqui)")</f>
        <v>(abra o arquivo 'Referência 06-2024.xlsm)</v>
      </c>
      <c r="S398" s="123" t="str">
        <f ca="1">REFERENCIA.Unidade</f>
        <v>-</v>
      </c>
      <c r="T398" s="124">
        <f ca="1">OFFSET(CÁLCULO!H$15,ROW($T398)-ROW(T$15),0)</f>
        <v>17</v>
      </c>
      <c r="U398" s="125">
        <f t="shared" ca="1" si="90"/>
        <v>0</v>
      </c>
      <c r="V398" s="126" t="s">
        <v>156</v>
      </c>
      <c r="W398" s="124">
        <f ca="1">IF($C398="S",ROUND(IF(TIPOORCAMENTO="Proposto",ORÇAMENTO.CustoUnitario*(1+$AH398),ORÇAMENTO.PrecoUnitarioLicitado),15-13*$AF$10),0)</f>
        <v>0</v>
      </c>
      <c r="X398" s="127">
        <f ca="1">IF($C398="S",IF(Import.TipoArredondamento&lt;&gt;"TransfereGOV",VTOTAL1,SUM(OFFSET(CÁLCULO!$AI$15,ROW($X398)-ROW($X$15),1):OFFSET(CÁLCULO!$BB$15,ROW($X398)-ROW($X$15),-1))),IF($C398=0,0,ROUND(SomaAgrup,15-13*$AF$11)))</f>
        <v>0</v>
      </c>
      <c r="Y398" s="128" t="s">
        <v>245</v>
      </c>
      <c r="Z398" t="str">
        <f t="shared" ca="1" si="102"/>
        <v/>
      </c>
      <c r="AA398" s="129">
        <f ca="1">IF($C398="S",IF($Z398="CP",$X398,IF($Z398="RA",(($X398)*QCI!$AA$3),0)),SomaAgrup)</f>
        <v>0</v>
      </c>
      <c r="AB398" s="130">
        <f t="shared" ca="1" si="103"/>
        <v>0</v>
      </c>
      <c r="AC398" s="131" t="str">
        <f ca="1">IF($N398="","",IF(ORÇAMENTO.Descricao="","DESCRIÇÃO",IF(AND($C398="S",ORÇAMENTO.Unidade=""),"UNIDADE",IF($X398&lt;0,"VALOR NEGATIVO",IF(OR(AND(TIPOORCAMENTO="Proposto",$AG398&lt;&gt;"",$AG398&gt;0,ORÇAMENTO.CustoUnitario&gt;$AG398),AND(TIPOORCAMENTO="LICITADO",ORÇAMENTO.PrecoUnitarioLicitado&gt;$AN398)),"ACIMA REF.","")))))</f>
        <v/>
      </c>
      <c r="AD398" t="str">
        <f ca="1">IF(C398&lt;=CRONO.NivelExibicao,MAX($AD$15:OFFSET(AD398,-1,0))+IF($C398&lt;&gt;1,1,MAX(1,COUNTIF(QCI!$A$13:$A$24,OFFSET($E398,-1,0)))),"")</f>
        <v/>
      </c>
      <c r="AE398" s="7" t="str">
        <f ca="1">IF(AND($C398="S",ORÇAMENTO.CodBarra&lt;&gt;""),IF(ORÇAMENTO.Fonte="",ORÇAMENTO.CodBarra,CONCATENATE(ORÇAMENTO.Fonte," ",ORÇAMENTO.CodBarra)))</f>
        <v>SINAPI 104328</v>
      </c>
      <c r="AF398" s="13" t="str">
        <f ca="1">IF(ISERROR(INDIRECT(ORÇAMENTO.BancoRef)),"(abra o arquivo 'Referência "&amp;Excel_BuiltIn_Database&amp;".xlsm)",IF(OR($C398&lt;&gt;"S",ORÇAMENTO.CodBarra=""),"(Sem Código)",IF(ISERROR(MATCH($AE398,INDIRECT(ORÇAMENTO.BancoRef),0)),"(Código não identificado nas referências)",MATCH($AE398,INDIRECT(ORÇAMENTO.BancoRef),0))))</f>
        <v>(abra o arquivo 'Referência 06-2024.xlsm)</v>
      </c>
      <c r="AG398" s="498">
        <f ca="1">ROUND(IF(DESONERACAO="sim",REFERENCIA.Desonerado,REFERENCIA.NaoDesonerado),2)</f>
        <v>0</v>
      </c>
      <c r="AH398" s="499">
        <f t="shared" ca="1" si="104"/>
        <v>0.2432</v>
      </c>
      <c r="AJ398" s="501"/>
      <c r="AL398" s="527"/>
      <c r="AM398" s="381">
        <f t="shared" ca="1" si="105"/>
        <v>0</v>
      </c>
      <c r="AN398" s="566">
        <f t="shared" ca="1" si="106"/>
        <v>0</v>
      </c>
    </row>
    <row r="399" spans="1:40" ht="38.25" x14ac:dyDescent="0.2">
      <c r="A399" t="str">
        <f t="shared" si="91"/>
        <v>S</v>
      </c>
      <c r="B399">
        <f t="shared" ca="1" si="92"/>
        <v>2</v>
      </c>
      <c r="C399" t="str">
        <f t="shared" ca="1" si="93"/>
        <v>S</v>
      </c>
      <c r="D399">
        <f t="shared" ca="1" si="94"/>
        <v>0</v>
      </c>
      <c r="E399">
        <f ca="1">IF($C399=1,OFFSET(E399,-1,0)+MAX(1,COUNTIF(QCI!$A$13:$A$24,OFFSET(ORÇAMENTO!E399,-1,0))),OFFSET(E399,-1,0))</f>
        <v>1</v>
      </c>
      <c r="F399">
        <f t="shared" ca="1" si="95"/>
        <v>43</v>
      </c>
      <c r="G399">
        <f t="shared" ca="1" si="96"/>
        <v>0</v>
      </c>
      <c r="H399">
        <f t="shared" ca="1" si="97"/>
        <v>0</v>
      </c>
      <c r="I399">
        <f t="shared" ca="1" si="98"/>
        <v>0</v>
      </c>
      <c r="J399">
        <f t="shared" ca="1" si="89"/>
        <v>0</v>
      </c>
      <c r="K399">
        <f ca="1">IF(OR($C399="S",$C399=0),0,MATCH(OFFSET($D399,0,$C399)+IF($C399&lt;&gt;1,1,COUNTIF(QCI!$A$13:$A$24,ORÇAMENTO!E399)),OFFSET($D399,1,$C399,ROW($C$727)-ROW($C399)),0))</f>
        <v>0</v>
      </c>
      <c r="L399" s="116" t="str">
        <f t="shared" ca="1" si="99"/>
        <v/>
      </c>
      <c r="M399" s="117" t="s">
        <v>199</v>
      </c>
      <c r="N399" s="118" t="str">
        <f t="shared" ca="1" si="100"/>
        <v>Serviço</v>
      </c>
      <c r="O399" s="119" t="str">
        <f t="shared" ca="1" si="101"/>
        <v>-</v>
      </c>
      <c r="P399" s="120" t="s">
        <v>247</v>
      </c>
      <c r="Q399" s="121" t="s">
        <v>773</v>
      </c>
      <c r="R399" s="122" t="str">
        <f ca="1">IF($C399="S",REFERENCIA.Descricao,"(digite a descrição aqui)")</f>
        <v>(abra o arquivo 'Referência 06-2024.xlsm)</v>
      </c>
      <c r="S399" s="123" t="str">
        <f ca="1">REFERENCIA.Unidade</f>
        <v>-</v>
      </c>
      <c r="T399" s="124">
        <f ca="1">OFFSET(CÁLCULO!H$15,ROW($T399)-ROW(T$15),0)</f>
        <v>6</v>
      </c>
      <c r="U399" s="125">
        <f t="shared" ca="1" si="90"/>
        <v>0</v>
      </c>
      <c r="V399" s="126" t="s">
        <v>156</v>
      </c>
      <c r="W399" s="124">
        <f ca="1">IF($C399="S",ROUND(IF(TIPOORCAMENTO="Proposto",ORÇAMENTO.CustoUnitario*(1+$AH399),ORÇAMENTO.PrecoUnitarioLicitado),15-13*$AF$10),0)</f>
        <v>0</v>
      </c>
      <c r="X399" s="127">
        <f ca="1">IF($C399="S",IF(Import.TipoArredondamento&lt;&gt;"TransfereGOV",VTOTAL1,SUM(OFFSET(CÁLCULO!$AI$15,ROW($X399)-ROW($X$15),1):OFFSET(CÁLCULO!$BB$15,ROW($X399)-ROW($X$15),-1))),IF($C399=0,0,ROUND(SomaAgrup,15-13*$AF$11)))</f>
        <v>0</v>
      </c>
      <c r="Y399" s="128" t="s">
        <v>245</v>
      </c>
      <c r="Z399" t="str">
        <f t="shared" ca="1" si="102"/>
        <v/>
      </c>
      <c r="AA399" s="129">
        <f ca="1">IF($C399="S",IF($Z399="CP",$X399,IF($Z399="RA",(($X399)*QCI!$AA$3),0)),SomaAgrup)</f>
        <v>0</v>
      </c>
      <c r="AB399" s="130">
        <f t="shared" ca="1" si="103"/>
        <v>0</v>
      </c>
      <c r="AC399" s="131" t="str">
        <f ca="1">IF($N399="","",IF(ORÇAMENTO.Descricao="","DESCRIÇÃO",IF(AND($C399="S",ORÇAMENTO.Unidade=""),"UNIDADE",IF($X399&lt;0,"VALOR NEGATIVO",IF(OR(AND(TIPOORCAMENTO="Proposto",$AG399&lt;&gt;"",$AG399&gt;0,ORÇAMENTO.CustoUnitario&gt;$AG399),AND(TIPOORCAMENTO="LICITADO",ORÇAMENTO.PrecoUnitarioLicitado&gt;$AN399)),"ACIMA REF.","")))))</f>
        <v/>
      </c>
      <c r="AD399" t="str">
        <f ca="1">IF(C399&lt;=CRONO.NivelExibicao,MAX($AD$15:OFFSET(AD399,-1,0))+IF($C399&lt;&gt;1,1,MAX(1,COUNTIF(QCI!$A$13:$A$24,OFFSET($E399,-1,0)))),"")</f>
        <v/>
      </c>
      <c r="AE399" s="7" t="str">
        <f ca="1">IF(AND($C399="S",ORÇAMENTO.CodBarra&lt;&gt;""),IF(ORÇAMENTO.Fonte="",ORÇAMENTO.CodBarra,CONCATENATE(ORÇAMENTO.Fonte," ",ORÇAMENTO.CodBarra)))</f>
        <v>SINAPI 89708</v>
      </c>
      <c r="AF399" s="13" t="str">
        <f ca="1">IF(ISERROR(INDIRECT(ORÇAMENTO.BancoRef)),"(abra o arquivo 'Referência "&amp;Excel_BuiltIn_Database&amp;".xlsm)",IF(OR($C399&lt;&gt;"S",ORÇAMENTO.CodBarra=""),"(Sem Código)",IF(ISERROR(MATCH($AE399,INDIRECT(ORÇAMENTO.BancoRef),0)),"(Código não identificado nas referências)",MATCH($AE399,INDIRECT(ORÇAMENTO.BancoRef),0))))</f>
        <v>(abra o arquivo 'Referência 06-2024.xlsm)</v>
      </c>
      <c r="AG399" s="498">
        <f ca="1">ROUND(IF(DESONERACAO="sim",REFERENCIA.Desonerado,REFERENCIA.NaoDesonerado),2)</f>
        <v>0</v>
      </c>
      <c r="AH399" s="499">
        <f t="shared" ca="1" si="104"/>
        <v>0.2432</v>
      </c>
      <c r="AJ399" s="501"/>
      <c r="AL399" s="527"/>
      <c r="AM399" s="381">
        <f t="shared" ca="1" si="105"/>
        <v>0</v>
      </c>
      <c r="AN399" s="566">
        <f t="shared" ca="1" si="106"/>
        <v>0</v>
      </c>
    </row>
    <row r="400" spans="1:40" ht="25.5" x14ac:dyDescent="0.2">
      <c r="A400" t="str">
        <f t="shared" si="91"/>
        <v>S</v>
      </c>
      <c r="B400">
        <f t="shared" ca="1" si="92"/>
        <v>2</v>
      </c>
      <c r="C400" t="str">
        <f t="shared" ca="1" si="93"/>
        <v>S</v>
      </c>
      <c r="D400">
        <f t="shared" ca="1" si="94"/>
        <v>0</v>
      </c>
      <c r="E400">
        <f ca="1">IF($C400=1,OFFSET(E400,-1,0)+MAX(1,COUNTIF(QCI!$A$13:$A$24,OFFSET(ORÇAMENTO!E400,-1,0))),OFFSET(E400,-1,0))</f>
        <v>1</v>
      </c>
      <c r="F400">
        <f t="shared" ca="1" si="95"/>
        <v>43</v>
      </c>
      <c r="G400">
        <f t="shared" ca="1" si="96"/>
        <v>0</v>
      </c>
      <c r="H400">
        <f t="shared" ca="1" si="97"/>
        <v>0</v>
      </c>
      <c r="I400">
        <f t="shared" ca="1" si="98"/>
        <v>0</v>
      </c>
      <c r="J400">
        <f t="shared" ref="J400:J463" ca="1" si="107">IF(OR($C400="S",$C400=0),0,MATCH(0,OFFSET($D400,1,$C400,ROW($C$727)-ROW($C400)),0))</f>
        <v>0</v>
      </c>
      <c r="K400">
        <f ca="1">IF(OR($C400="S",$C400=0),0,MATCH(OFFSET($D400,0,$C400)+IF($C400&lt;&gt;1,1,COUNTIF(QCI!$A$13:$A$24,ORÇAMENTO!E400)),OFFSET($D400,1,$C400,ROW($C$727)-ROW($C400)),0))</f>
        <v>0</v>
      </c>
      <c r="L400" s="116" t="str">
        <f t="shared" ca="1" si="99"/>
        <v/>
      </c>
      <c r="M400" s="117" t="s">
        <v>199</v>
      </c>
      <c r="N400" s="118" t="str">
        <f t="shared" ca="1" si="100"/>
        <v>Serviço</v>
      </c>
      <c r="O400" s="119" t="str">
        <f t="shared" ca="1" si="101"/>
        <v>-</v>
      </c>
      <c r="P400" s="120" t="s">
        <v>458</v>
      </c>
      <c r="Q400" s="121" t="s">
        <v>774</v>
      </c>
      <c r="R400" s="122" t="str">
        <f ca="1">IF($C400="S",REFERENCIA.Descricao,"(digite a descrição aqui)")</f>
        <v>(abra o arquivo 'Referência 06-2024.xlsm)</v>
      </c>
      <c r="S400" s="123" t="str">
        <f ca="1">REFERENCIA.Unidade</f>
        <v>-</v>
      </c>
      <c r="T400" s="124">
        <f ca="1">OFFSET(CÁLCULO!H$15,ROW($T400)-ROW(T$15),0)</f>
        <v>24</v>
      </c>
      <c r="U400" s="125">
        <f t="shared" ca="1" si="90"/>
        <v>0</v>
      </c>
      <c r="V400" s="126" t="s">
        <v>156</v>
      </c>
      <c r="W400" s="124">
        <f ca="1">IF($C400="S",ROUND(IF(TIPOORCAMENTO="Proposto",ORÇAMENTO.CustoUnitario*(1+$AH400),ORÇAMENTO.PrecoUnitarioLicitado),15-13*$AF$10),0)</f>
        <v>0</v>
      </c>
      <c r="X400" s="127">
        <f ca="1">IF($C400="S",IF(Import.TipoArredondamento&lt;&gt;"TransfereGOV",VTOTAL1,SUM(OFFSET(CÁLCULO!$AI$15,ROW($X400)-ROW($X$15),1):OFFSET(CÁLCULO!$BB$15,ROW($X400)-ROW($X$15),-1))),IF($C400=0,0,ROUND(SomaAgrup,15-13*$AF$11)))</f>
        <v>0</v>
      </c>
      <c r="Y400" s="128" t="s">
        <v>245</v>
      </c>
      <c r="Z400" t="str">
        <f t="shared" ca="1" si="102"/>
        <v/>
      </c>
      <c r="AA400" s="129">
        <f ca="1">IF($C400="S",IF($Z400="CP",$X400,IF($Z400="RA",(($X400)*QCI!$AA$3),0)),SomaAgrup)</f>
        <v>0</v>
      </c>
      <c r="AB400" s="130">
        <f t="shared" ca="1" si="103"/>
        <v>0</v>
      </c>
      <c r="AC400" s="131" t="str">
        <f ca="1">IF($N400="","",IF(ORÇAMENTO.Descricao="","DESCRIÇÃO",IF(AND($C400="S",ORÇAMENTO.Unidade=""),"UNIDADE",IF($X400&lt;0,"VALOR NEGATIVO",IF(OR(AND(TIPOORCAMENTO="Proposto",$AG400&lt;&gt;"",$AG400&gt;0,ORÇAMENTO.CustoUnitario&gt;$AG400),AND(TIPOORCAMENTO="LICITADO",ORÇAMENTO.PrecoUnitarioLicitado&gt;$AN400)),"ACIMA REF.","")))))</f>
        <v/>
      </c>
      <c r="AD400" t="str">
        <f ca="1">IF(C400&lt;=CRONO.NivelExibicao,MAX($AD$15:OFFSET(AD400,-1,0))+IF($C400&lt;&gt;1,1,MAX(1,COUNTIF(QCI!$A$13:$A$24,OFFSET($E400,-1,0)))),"")</f>
        <v/>
      </c>
      <c r="AE400" s="7" t="str">
        <f ca="1">IF(AND($C400="S",ORÇAMENTO.CodBarra&lt;&gt;""),IF(ORÇAMENTO.Fonte="",ORÇAMENTO.CodBarra,CONCATENATE(ORÇAMENTO.Fonte," ",ORÇAMENTO.CodBarra)))</f>
        <v>COMPOSIÇÃO FNDE 17</v>
      </c>
      <c r="AF400" s="13" t="str">
        <f ca="1">IF(ISERROR(INDIRECT(ORÇAMENTO.BancoRef)),"(abra o arquivo 'Referência "&amp;Excel_BuiltIn_Database&amp;".xlsm)",IF(OR($C400&lt;&gt;"S",ORÇAMENTO.CodBarra=""),"(Sem Código)",IF(ISERROR(MATCH($AE400,INDIRECT(ORÇAMENTO.BancoRef),0)),"(Código não identificado nas referências)",MATCH($AE400,INDIRECT(ORÇAMENTO.BancoRef),0))))</f>
        <v>(abra o arquivo 'Referência 06-2024.xlsm)</v>
      </c>
      <c r="AG400" s="498">
        <f ca="1">ROUND(IF(DESONERACAO="sim",REFERENCIA.Desonerado,REFERENCIA.NaoDesonerado),2)</f>
        <v>0</v>
      </c>
      <c r="AH400" s="499">
        <f t="shared" ca="1" si="104"/>
        <v>0.2432</v>
      </c>
      <c r="AJ400" s="501"/>
      <c r="AL400" s="527"/>
      <c r="AM400" s="381">
        <f t="shared" ca="1" si="105"/>
        <v>0</v>
      </c>
      <c r="AN400" s="566">
        <f t="shared" ca="1" si="106"/>
        <v>0</v>
      </c>
    </row>
    <row r="401" spans="1:40" x14ac:dyDescent="0.2">
      <c r="A401" t="str">
        <f t="shared" si="91"/>
        <v>S</v>
      </c>
      <c r="B401">
        <f t="shared" ca="1" si="92"/>
        <v>2</v>
      </c>
      <c r="C401" t="str">
        <f t="shared" ca="1" si="93"/>
        <v>S</v>
      </c>
      <c r="D401">
        <f t="shared" ca="1" si="94"/>
        <v>0</v>
      </c>
      <c r="E401">
        <f ca="1">IF($C401=1,OFFSET(E401,-1,0)+MAX(1,COUNTIF(QCI!$A$13:$A$24,OFFSET(ORÇAMENTO!E401,-1,0))),OFFSET(E401,-1,0))</f>
        <v>1</v>
      </c>
      <c r="F401">
        <f t="shared" ca="1" si="95"/>
        <v>43</v>
      </c>
      <c r="G401">
        <f t="shared" ca="1" si="96"/>
        <v>0</v>
      </c>
      <c r="H401">
        <f t="shared" ca="1" si="97"/>
        <v>0</v>
      </c>
      <c r="I401">
        <f t="shared" ca="1" si="98"/>
        <v>0</v>
      </c>
      <c r="J401">
        <f t="shared" ca="1" si="107"/>
        <v>0</v>
      </c>
      <c r="K401">
        <f ca="1">IF(OR($C401="S",$C401=0),0,MATCH(OFFSET($D401,0,$C401)+IF($C401&lt;&gt;1,1,COUNTIF(QCI!$A$13:$A$24,ORÇAMENTO!E401)),OFFSET($D401,1,$C401,ROW($C$727)-ROW($C401)),0))</f>
        <v>0</v>
      </c>
      <c r="L401" s="116" t="str">
        <f t="shared" ca="1" si="99"/>
        <v/>
      </c>
      <c r="M401" s="117" t="s">
        <v>199</v>
      </c>
      <c r="N401" s="118" t="str">
        <f t="shared" ca="1" si="100"/>
        <v>Serviço</v>
      </c>
      <c r="O401" s="119" t="str">
        <f t="shared" ca="1" si="101"/>
        <v>-</v>
      </c>
      <c r="P401" s="120" t="s">
        <v>458</v>
      </c>
      <c r="Q401" s="121" t="s">
        <v>775</v>
      </c>
      <c r="R401" s="122" t="str">
        <f ca="1">IF($C401="S",REFERENCIA.Descricao,"(digite a descrição aqui)")</f>
        <v>(abra o arquivo 'Referência 06-2024.xlsm)</v>
      </c>
      <c r="S401" s="123" t="str">
        <f ca="1">REFERENCIA.Unidade</f>
        <v>-</v>
      </c>
      <c r="T401" s="124">
        <f ca="1">OFFSET(CÁLCULO!H$15,ROW($T401)-ROW(T$15),0)</f>
        <v>23</v>
      </c>
      <c r="U401" s="125">
        <f t="shared" ca="1" si="90"/>
        <v>0</v>
      </c>
      <c r="V401" s="126" t="s">
        <v>156</v>
      </c>
      <c r="W401" s="124">
        <f ca="1">IF($C401="S",ROUND(IF(TIPOORCAMENTO="Proposto",ORÇAMENTO.CustoUnitario*(1+$AH401),ORÇAMENTO.PrecoUnitarioLicitado),15-13*$AF$10),0)</f>
        <v>0</v>
      </c>
      <c r="X401" s="127">
        <f ca="1">IF($C401="S",IF(Import.TipoArredondamento&lt;&gt;"TransfereGOV",VTOTAL1,SUM(OFFSET(CÁLCULO!$AI$15,ROW($X401)-ROW($X$15),1):OFFSET(CÁLCULO!$BB$15,ROW($X401)-ROW($X$15),-1))),IF($C401=0,0,ROUND(SomaAgrup,15-13*$AF$11)))</f>
        <v>0</v>
      </c>
      <c r="Y401" s="128" t="s">
        <v>245</v>
      </c>
      <c r="Z401" t="str">
        <f t="shared" ca="1" si="102"/>
        <v/>
      </c>
      <c r="AA401" s="129">
        <f ca="1">IF($C401="S",IF($Z401="CP",$X401,IF($Z401="RA",(($X401)*QCI!$AA$3),0)),SomaAgrup)</f>
        <v>0</v>
      </c>
      <c r="AB401" s="130">
        <f t="shared" ca="1" si="103"/>
        <v>0</v>
      </c>
      <c r="AC401" s="131" t="str">
        <f ca="1">IF($N401="","",IF(ORÇAMENTO.Descricao="","DESCRIÇÃO",IF(AND($C401="S",ORÇAMENTO.Unidade=""),"UNIDADE",IF($X401&lt;0,"VALOR NEGATIVO",IF(OR(AND(TIPOORCAMENTO="Proposto",$AG401&lt;&gt;"",$AG401&gt;0,ORÇAMENTO.CustoUnitario&gt;$AG401),AND(TIPOORCAMENTO="LICITADO",ORÇAMENTO.PrecoUnitarioLicitado&gt;$AN401)),"ACIMA REF.","")))))</f>
        <v/>
      </c>
      <c r="AD401" t="str">
        <f ca="1">IF(C401&lt;=CRONO.NivelExibicao,MAX($AD$15:OFFSET(AD401,-1,0))+IF($C401&lt;&gt;1,1,MAX(1,COUNTIF(QCI!$A$13:$A$24,OFFSET($E401,-1,0)))),"")</f>
        <v/>
      </c>
      <c r="AE401" s="7" t="str">
        <f ca="1">IF(AND($C401="S",ORÇAMENTO.CodBarra&lt;&gt;""),IF(ORÇAMENTO.Fonte="",ORÇAMENTO.CodBarra,CONCATENATE(ORÇAMENTO.Fonte," ",ORÇAMENTO.CodBarra)))</f>
        <v>COMPOSIÇÃO FNDE 34</v>
      </c>
      <c r="AF401" s="13" t="str">
        <f ca="1">IF(ISERROR(INDIRECT(ORÇAMENTO.BancoRef)),"(abra o arquivo 'Referência "&amp;Excel_BuiltIn_Database&amp;".xlsm)",IF(OR($C401&lt;&gt;"S",ORÇAMENTO.CodBarra=""),"(Sem Código)",IF(ISERROR(MATCH($AE401,INDIRECT(ORÇAMENTO.BancoRef),0)),"(Código não identificado nas referências)",MATCH($AE401,INDIRECT(ORÇAMENTO.BancoRef),0))))</f>
        <v>(abra o arquivo 'Referência 06-2024.xlsm)</v>
      </c>
      <c r="AG401" s="498">
        <f ca="1">ROUND(IF(DESONERACAO="sim",REFERENCIA.Desonerado,REFERENCIA.NaoDesonerado),2)</f>
        <v>0</v>
      </c>
      <c r="AH401" s="499">
        <f t="shared" ca="1" si="104"/>
        <v>0.2432</v>
      </c>
      <c r="AJ401" s="501"/>
      <c r="AL401" s="527"/>
      <c r="AM401" s="381">
        <f t="shared" ca="1" si="105"/>
        <v>0</v>
      </c>
      <c r="AN401" s="566">
        <f t="shared" ca="1" si="106"/>
        <v>0</v>
      </c>
    </row>
    <row r="402" spans="1:40" x14ac:dyDescent="0.2">
      <c r="A402">
        <f t="shared" si="91"/>
        <v>2</v>
      </c>
      <c r="B402">
        <f t="shared" ca="1" si="92"/>
        <v>2</v>
      </c>
      <c r="C402">
        <f t="shared" ca="1" si="93"/>
        <v>2</v>
      </c>
      <c r="D402">
        <f t="shared" ca="1" si="94"/>
        <v>13</v>
      </c>
      <c r="E402">
        <f ca="1">IF($C402=1,OFFSET(E402,-1,0)+MAX(1,COUNTIF(QCI!$A$13:$A$24,OFFSET(ORÇAMENTO!E402,-1,0))),OFFSET(E402,-1,0))</f>
        <v>1</v>
      </c>
      <c r="F402">
        <f t="shared" ca="1" si="95"/>
        <v>44</v>
      </c>
      <c r="G402">
        <f t="shared" ca="1" si="96"/>
        <v>0</v>
      </c>
      <c r="H402">
        <f t="shared" ca="1" si="97"/>
        <v>0</v>
      </c>
      <c r="I402">
        <f t="shared" ca="1" si="98"/>
        <v>0</v>
      </c>
      <c r="J402">
        <f t="shared" ca="1" si="107"/>
        <v>325</v>
      </c>
      <c r="K402">
        <f ca="1">IF(OR($C402="S",$C402=0),0,MATCH(OFFSET($D402,0,$C402)+IF($C402&lt;&gt;1,1,COUNTIF(QCI!$A$13:$A$24,ORÇAMENTO!E402)),OFFSET($D402,1,$C402,ROW($C$727)-ROW($C402)),0))</f>
        <v>13</v>
      </c>
      <c r="L402" s="116" t="str">
        <f t="shared" ca="1" si="99"/>
        <v>F</v>
      </c>
      <c r="M402" s="117" t="s">
        <v>196</v>
      </c>
      <c r="N402" s="118" t="str">
        <f t="shared" ca="1" si="100"/>
        <v>Nível 2</v>
      </c>
      <c r="O402" s="119" t="str">
        <f t="shared" ca="1" si="101"/>
        <v>1.44.</v>
      </c>
      <c r="P402" s="120" t="s">
        <v>247</v>
      </c>
      <c r="Q402" s="121"/>
      <c r="R402" s="122" t="s">
        <v>776</v>
      </c>
      <c r="S402" s="123" t="str">
        <f ca="1">REFERENCIA.Unidade</f>
        <v>-</v>
      </c>
      <c r="T402" s="124">
        <f ca="1">OFFSET(CÁLCULO!H$15,ROW($T402)-ROW(T$15),0)</f>
        <v>0</v>
      </c>
      <c r="U402" s="125">
        <f t="shared" ref="U402:U458" ca="1" si="108">AG402</f>
        <v>0</v>
      </c>
      <c r="V402" s="126" t="s">
        <v>156</v>
      </c>
      <c r="W402" s="124">
        <f ca="1">IF($C402="S",ROUND(IF(TIPOORCAMENTO="Proposto",ORÇAMENTO.CustoUnitario*(1+$AH402),ORÇAMENTO.PrecoUnitarioLicitado),15-13*$AF$10),0)</f>
        <v>0</v>
      </c>
      <c r="X402" s="127">
        <f ca="1">IF($C402="S",IF(Import.TipoArredondamento&lt;&gt;"TransfereGOV",VTOTAL1,SUM(OFFSET(CÁLCULO!$AI$15,ROW($X402)-ROW($X$15),1):OFFSET(CÁLCULO!$BB$15,ROW($X402)-ROW($X$15),-1))),IF($C402=0,0,ROUND(SomaAgrup,15-13*$AF$11)))</f>
        <v>0</v>
      </c>
      <c r="Y402" s="128" t="s">
        <v>245</v>
      </c>
      <c r="Z402" t="str">
        <f t="shared" ca="1" si="102"/>
        <v/>
      </c>
      <c r="AA402" s="129">
        <f ca="1">IF($C402="S",IF($Z402="CP",$X402,IF($Z402="RA",(($X402)*QCI!$AA$3),0)),SomaAgrup)</f>
        <v>0</v>
      </c>
      <c r="AB402" s="130">
        <f t="shared" ca="1" si="103"/>
        <v>0</v>
      </c>
      <c r="AC402" s="131" t="str">
        <f ca="1">IF($N402="","",IF(ORÇAMENTO.Descricao="","DESCRIÇÃO",IF(AND($C402="S",ORÇAMENTO.Unidade=""),"UNIDADE",IF($X402&lt;0,"VALOR NEGATIVO",IF(OR(AND(TIPOORCAMENTO="Proposto",$AG402&lt;&gt;"",$AG402&gt;0,ORÇAMENTO.CustoUnitario&gt;$AG402),AND(TIPOORCAMENTO="LICITADO",ORÇAMENTO.PrecoUnitarioLicitado&gt;$AN402)),"ACIMA REF.","")))))</f>
        <v/>
      </c>
      <c r="AD402">
        <f ca="1">IF(C402&lt;=CRONO.NivelExibicao,MAX($AD$15:OFFSET(AD402,-1,0))+IF($C402&lt;&gt;1,1,MAX(1,COUNTIF(QCI!$A$13:$A$24,OFFSET($E402,-1,0)))),"")</f>
        <v>45</v>
      </c>
      <c r="AE402" s="7" t="b">
        <f ca="1">IF(AND($C402="S",ORÇAMENTO.CodBarra&lt;&gt;""),IF(ORÇAMENTO.Fonte="",ORÇAMENTO.CodBarra,CONCATENATE(ORÇAMENTO.Fonte," ",ORÇAMENTO.CodBarra)))</f>
        <v>0</v>
      </c>
      <c r="AF402" s="13" t="str">
        <f ca="1">IF(ISERROR(INDIRECT(ORÇAMENTO.BancoRef)),"(abra o arquivo 'Referência "&amp;Excel_BuiltIn_Database&amp;".xlsm)",IF(OR($C402&lt;&gt;"S",ORÇAMENTO.CodBarra=""),"(Sem Código)",IF(ISERROR(MATCH($AE402,INDIRECT(ORÇAMENTO.BancoRef),0)),"(Código não identificado nas referências)",MATCH($AE402,INDIRECT(ORÇAMENTO.BancoRef),0))))</f>
        <v>(abra o arquivo 'Referência 06-2024.xlsm)</v>
      </c>
      <c r="AG402" s="498">
        <f ca="1">ROUND(IF(DESONERACAO="sim",REFERENCIA.Desonerado,REFERENCIA.NaoDesonerado),2)</f>
        <v>0</v>
      </c>
      <c r="AH402" s="499">
        <f t="shared" ca="1" si="104"/>
        <v>0.2432</v>
      </c>
      <c r="AJ402" s="501"/>
      <c r="AL402" s="527"/>
      <c r="AM402" s="381">
        <f t="shared" ca="1" si="105"/>
        <v>0</v>
      </c>
      <c r="AN402" s="566">
        <f t="shared" ca="1" si="106"/>
        <v>0</v>
      </c>
    </row>
    <row r="403" spans="1:40" ht="25.5" x14ac:dyDescent="0.2">
      <c r="A403" t="str">
        <f t="shared" si="91"/>
        <v>S</v>
      </c>
      <c r="B403">
        <f t="shared" ca="1" si="92"/>
        <v>2</v>
      </c>
      <c r="C403" t="str">
        <f t="shared" ca="1" si="93"/>
        <v>S</v>
      </c>
      <c r="D403">
        <f t="shared" ca="1" si="94"/>
        <v>0</v>
      </c>
      <c r="E403">
        <f ca="1">IF($C403=1,OFFSET(E403,-1,0)+MAX(1,COUNTIF(QCI!$A$13:$A$24,OFFSET(ORÇAMENTO!E403,-1,0))),OFFSET(E403,-1,0))</f>
        <v>1</v>
      </c>
      <c r="F403">
        <f t="shared" ca="1" si="95"/>
        <v>44</v>
      </c>
      <c r="G403">
        <f t="shared" ca="1" si="96"/>
        <v>0</v>
      </c>
      <c r="H403">
        <f t="shared" ca="1" si="97"/>
        <v>0</v>
      </c>
      <c r="I403">
        <f t="shared" ca="1" si="98"/>
        <v>0</v>
      </c>
      <c r="J403">
        <f t="shared" ca="1" si="107"/>
        <v>0</v>
      </c>
      <c r="K403">
        <f ca="1">IF(OR($C403="S",$C403=0),0,MATCH(OFFSET($D403,0,$C403)+IF($C403&lt;&gt;1,1,COUNTIF(QCI!$A$13:$A$24,ORÇAMENTO!E403)),OFFSET($D403,1,$C403,ROW($C$727)-ROW($C403)),0))</f>
        <v>0</v>
      </c>
      <c r="L403" s="116" t="str">
        <f t="shared" ca="1" si="99"/>
        <v/>
      </c>
      <c r="M403" s="117" t="s">
        <v>199</v>
      </c>
      <c r="N403" s="118" t="str">
        <f t="shared" ca="1" si="100"/>
        <v>Serviço</v>
      </c>
      <c r="O403" s="119" t="str">
        <f t="shared" ca="1" si="101"/>
        <v>-</v>
      </c>
      <c r="P403" s="120" t="s">
        <v>247</v>
      </c>
      <c r="Q403" s="121" t="s">
        <v>777</v>
      </c>
      <c r="R403" s="122" t="str">
        <f ca="1">IF($C403="S",REFERENCIA.Descricao,"(digite a descrição aqui)")</f>
        <v>(abra o arquivo 'Referência 06-2024.xlsm)</v>
      </c>
      <c r="S403" s="123" t="str">
        <f ca="1">REFERENCIA.Unidade</f>
        <v>-</v>
      </c>
      <c r="T403" s="124">
        <f ca="1">OFFSET(CÁLCULO!H$15,ROW($T403)-ROW(T$15),0)</f>
        <v>2</v>
      </c>
      <c r="U403" s="125">
        <f t="shared" ca="1" si="108"/>
        <v>0</v>
      </c>
      <c r="V403" s="126" t="s">
        <v>156</v>
      </c>
      <c r="W403" s="124">
        <f ca="1">IF($C403="S",ROUND(IF(TIPOORCAMENTO="Proposto",ORÇAMENTO.CustoUnitario*(1+$AH403),ORÇAMENTO.PrecoUnitarioLicitado),15-13*$AF$10),0)</f>
        <v>0</v>
      </c>
      <c r="X403" s="127">
        <f ca="1">IF($C403="S",IF(Import.TipoArredondamento&lt;&gt;"TransfereGOV",VTOTAL1,SUM(OFFSET(CÁLCULO!$AI$15,ROW($X403)-ROW($X$15),1):OFFSET(CÁLCULO!$BB$15,ROW($X403)-ROW($X$15),-1))),IF($C403=0,0,ROUND(SomaAgrup,15-13*$AF$11)))</f>
        <v>0</v>
      </c>
      <c r="Y403" s="128" t="s">
        <v>245</v>
      </c>
      <c r="Z403" t="str">
        <f t="shared" ca="1" si="102"/>
        <v/>
      </c>
      <c r="AA403" s="129">
        <f ca="1">IF($C403="S",IF($Z403="CP",$X403,IF($Z403="RA",(($X403)*QCI!$AA$3),0)),SomaAgrup)</f>
        <v>0</v>
      </c>
      <c r="AB403" s="130">
        <f t="shared" ca="1" si="103"/>
        <v>0</v>
      </c>
      <c r="AC403" s="131" t="str">
        <f ca="1">IF($N403="","",IF(ORÇAMENTO.Descricao="","DESCRIÇÃO",IF(AND($C403="S",ORÇAMENTO.Unidade=""),"UNIDADE",IF($X403&lt;0,"VALOR NEGATIVO",IF(OR(AND(TIPOORCAMENTO="Proposto",$AG403&lt;&gt;"",$AG403&gt;0,ORÇAMENTO.CustoUnitario&gt;$AG403),AND(TIPOORCAMENTO="LICITADO",ORÇAMENTO.PrecoUnitarioLicitado&gt;$AN403)),"ACIMA REF.","")))))</f>
        <v/>
      </c>
      <c r="AD403" t="str">
        <f ca="1">IF(C403&lt;=CRONO.NivelExibicao,MAX($AD$15:OFFSET(AD403,-1,0))+IF($C403&lt;&gt;1,1,MAX(1,COUNTIF(QCI!$A$13:$A$24,OFFSET($E403,-1,0)))),"")</f>
        <v/>
      </c>
      <c r="AE403" s="7" t="str">
        <f ca="1">IF(AND($C403="S",ORÇAMENTO.CodBarra&lt;&gt;""),IF(ORÇAMENTO.Fonte="",ORÇAMENTO.CodBarra,CONCATENATE(ORÇAMENTO.Fonte," ",ORÇAMENTO.CodBarra)))</f>
        <v>SINAPI 95248</v>
      </c>
      <c r="AF403" s="13" t="str">
        <f ca="1">IF(ISERROR(INDIRECT(ORÇAMENTO.BancoRef)),"(abra o arquivo 'Referência "&amp;Excel_BuiltIn_Database&amp;".xlsm)",IF(OR($C403&lt;&gt;"S",ORÇAMENTO.CodBarra=""),"(Sem Código)",IF(ISERROR(MATCH($AE403,INDIRECT(ORÇAMENTO.BancoRef),0)),"(Código não identificado nas referências)",MATCH($AE403,INDIRECT(ORÇAMENTO.BancoRef),0))))</f>
        <v>(abra o arquivo 'Referência 06-2024.xlsm)</v>
      </c>
      <c r="AG403" s="498">
        <f ca="1">ROUND(IF(DESONERACAO="sim",REFERENCIA.Desonerado,REFERENCIA.NaoDesonerado),2)</f>
        <v>0</v>
      </c>
      <c r="AH403" s="499">
        <f t="shared" ca="1" si="104"/>
        <v>0.2432</v>
      </c>
      <c r="AJ403" s="501"/>
      <c r="AL403" s="527"/>
      <c r="AM403" s="381">
        <f t="shared" ca="1" si="105"/>
        <v>0</v>
      </c>
      <c r="AN403" s="566">
        <f t="shared" ca="1" si="106"/>
        <v>0</v>
      </c>
    </row>
    <row r="404" spans="1:40" ht="25.5" x14ac:dyDescent="0.2">
      <c r="A404" t="str">
        <f t="shared" si="91"/>
        <v>S</v>
      </c>
      <c r="B404">
        <f t="shared" ca="1" si="92"/>
        <v>2</v>
      </c>
      <c r="C404" t="str">
        <f t="shared" ca="1" si="93"/>
        <v>S</v>
      </c>
      <c r="D404">
        <f t="shared" ca="1" si="94"/>
        <v>0</v>
      </c>
      <c r="E404">
        <f ca="1">IF($C404=1,OFFSET(E404,-1,0)+MAX(1,COUNTIF(QCI!$A$13:$A$24,OFFSET(ORÇAMENTO!E404,-1,0))),OFFSET(E404,-1,0))</f>
        <v>1</v>
      </c>
      <c r="F404">
        <f t="shared" ca="1" si="95"/>
        <v>44</v>
      </c>
      <c r="G404">
        <f t="shared" ca="1" si="96"/>
        <v>0</v>
      </c>
      <c r="H404">
        <f t="shared" ca="1" si="97"/>
        <v>0</v>
      </c>
      <c r="I404">
        <f t="shared" ca="1" si="98"/>
        <v>0</v>
      </c>
      <c r="J404">
        <f t="shared" ca="1" si="107"/>
        <v>0</v>
      </c>
      <c r="K404">
        <f ca="1">IF(OR($C404="S",$C404=0),0,MATCH(OFFSET($D404,0,$C404)+IF($C404&lt;&gt;1,1,COUNTIF(QCI!$A$13:$A$24,ORÇAMENTO!E404)),OFFSET($D404,1,$C404,ROW($C$727)-ROW($C404)),0))</f>
        <v>0</v>
      </c>
      <c r="L404" s="116" t="str">
        <f t="shared" ca="1" si="99"/>
        <v/>
      </c>
      <c r="M404" s="117" t="s">
        <v>199</v>
      </c>
      <c r="N404" s="118" t="str">
        <f t="shared" ca="1" si="100"/>
        <v>Serviço</v>
      </c>
      <c r="O404" s="119" t="str">
        <f t="shared" ca="1" si="101"/>
        <v>-</v>
      </c>
      <c r="P404" s="120" t="s">
        <v>247</v>
      </c>
      <c r="Q404" s="121" t="s">
        <v>778</v>
      </c>
      <c r="R404" s="122" t="str">
        <f ca="1">IF($C404="S",REFERENCIA.Descricao,"(digite a descrição aqui)")</f>
        <v>(abra o arquivo 'Referência 06-2024.xlsm)</v>
      </c>
      <c r="S404" s="123" t="str">
        <f ca="1">REFERENCIA.Unidade</f>
        <v>-</v>
      </c>
      <c r="T404" s="124">
        <f ca="1">OFFSET(CÁLCULO!H$15,ROW($T404)-ROW(T$15),0)</f>
        <v>4</v>
      </c>
      <c r="U404" s="125">
        <f t="shared" ca="1" si="108"/>
        <v>0</v>
      </c>
      <c r="V404" s="126" t="s">
        <v>156</v>
      </c>
      <c r="W404" s="124">
        <f ca="1">IF($C404="S",ROUND(IF(TIPOORCAMENTO="Proposto",ORÇAMENTO.CustoUnitario*(1+$AH404),ORÇAMENTO.PrecoUnitarioLicitado),15-13*$AF$10),0)</f>
        <v>0</v>
      </c>
      <c r="X404" s="127">
        <f ca="1">IF($C404="S",IF(Import.TipoArredondamento&lt;&gt;"TransfereGOV",VTOTAL1,SUM(OFFSET(CÁLCULO!$AI$15,ROW($X404)-ROW($X$15),1):OFFSET(CÁLCULO!$BB$15,ROW($X404)-ROW($X$15),-1))),IF($C404=0,0,ROUND(SomaAgrup,15-13*$AF$11)))</f>
        <v>0</v>
      </c>
      <c r="Y404" s="128" t="s">
        <v>245</v>
      </c>
      <c r="Z404" t="str">
        <f t="shared" ca="1" si="102"/>
        <v/>
      </c>
      <c r="AA404" s="129">
        <f ca="1">IF($C404="S",IF($Z404="CP",$X404,IF($Z404="RA",(($X404)*QCI!$AA$3),0)),SomaAgrup)</f>
        <v>0</v>
      </c>
      <c r="AB404" s="130">
        <f t="shared" ca="1" si="103"/>
        <v>0</v>
      </c>
      <c r="AC404" s="131" t="str">
        <f ca="1">IF($N404="","",IF(ORÇAMENTO.Descricao="","DESCRIÇÃO",IF(AND($C404="S",ORÇAMENTO.Unidade=""),"UNIDADE",IF($X404&lt;0,"VALOR NEGATIVO",IF(OR(AND(TIPOORCAMENTO="Proposto",$AG404&lt;&gt;"",$AG404&gt;0,ORÇAMENTO.CustoUnitario&gt;$AG404),AND(TIPOORCAMENTO="LICITADO",ORÇAMENTO.PrecoUnitarioLicitado&gt;$AN404)),"ACIMA REF.","")))))</f>
        <v/>
      </c>
      <c r="AD404" t="str">
        <f ca="1">IF(C404&lt;=CRONO.NivelExibicao,MAX($AD$15:OFFSET(AD404,-1,0))+IF($C404&lt;&gt;1,1,MAX(1,COUNTIF(QCI!$A$13:$A$24,OFFSET($E404,-1,0)))),"")</f>
        <v/>
      </c>
      <c r="AE404" s="7" t="str">
        <f ca="1">IF(AND($C404="S",ORÇAMENTO.CodBarra&lt;&gt;""),IF(ORÇAMENTO.Fonte="",ORÇAMENTO.CodBarra,CONCATENATE(ORÇAMENTO.Fonte," ",ORÇAMENTO.CodBarra)))</f>
        <v>SINAPI 95249</v>
      </c>
      <c r="AF404" s="13" t="str">
        <f ca="1">IF(ISERROR(INDIRECT(ORÇAMENTO.BancoRef)),"(abra o arquivo 'Referência "&amp;Excel_BuiltIn_Database&amp;".xlsm)",IF(OR($C404&lt;&gt;"S",ORÇAMENTO.CodBarra=""),"(Sem Código)",IF(ISERROR(MATCH($AE404,INDIRECT(ORÇAMENTO.BancoRef),0)),"(Código não identificado nas referências)",MATCH($AE404,INDIRECT(ORÇAMENTO.BancoRef),0))))</f>
        <v>(abra o arquivo 'Referência 06-2024.xlsm)</v>
      </c>
      <c r="AG404" s="498">
        <f ca="1">ROUND(IF(DESONERACAO="sim",REFERENCIA.Desonerado,REFERENCIA.NaoDesonerado),2)</f>
        <v>0</v>
      </c>
      <c r="AH404" s="499">
        <f t="shared" ca="1" si="104"/>
        <v>0.2432</v>
      </c>
      <c r="AJ404" s="501"/>
      <c r="AL404" s="527"/>
      <c r="AM404" s="381">
        <f t="shared" ca="1" si="105"/>
        <v>0</v>
      </c>
      <c r="AN404" s="566">
        <f t="shared" ca="1" si="106"/>
        <v>0</v>
      </c>
    </row>
    <row r="405" spans="1:40" x14ac:dyDescent="0.2">
      <c r="A405" t="str">
        <f t="shared" si="91"/>
        <v>S</v>
      </c>
      <c r="B405">
        <f t="shared" ca="1" si="92"/>
        <v>2</v>
      </c>
      <c r="C405" t="str">
        <f t="shared" ca="1" si="93"/>
        <v>S</v>
      </c>
      <c r="D405">
        <f t="shared" ca="1" si="94"/>
        <v>0</v>
      </c>
      <c r="E405">
        <f ca="1">IF($C405=1,OFFSET(E405,-1,0)+MAX(1,COUNTIF(QCI!$A$13:$A$24,OFFSET(ORÇAMENTO!E405,-1,0))),OFFSET(E405,-1,0))</f>
        <v>1</v>
      </c>
      <c r="F405">
        <f t="shared" ca="1" si="95"/>
        <v>44</v>
      </c>
      <c r="G405">
        <f t="shared" ca="1" si="96"/>
        <v>0</v>
      </c>
      <c r="H405">
        <f t="shared" ca="1" si="97"/>
        <v>0</v>
      </c>
      <c r="I405">
        <f t="shared" ca="1" si="98"/>
        <v>0</v>
      </c>
      <c r="J405">
        <f t="shared" ca="1" si="107"/>
        <v>0</v>
      </c>
      <c r="K405">
        <f ca="1">IF(OR($C405="S",$C405=0),0,MATCH(OFFSET($D405,0,$C405)+IF($C405&lt;&gt;1,1,COUNTIF(QCI!$A$13:$A$24,ORÇAMENTO!E405)),OFFSET($D405,1,$C405,ROW($C$727)-ROW($C405)),0))</f>
        <v>0</v>
      </c>
      <c r="L405" s="116" t="str">
        <f t="shared" ca="1" si="99"/>
        <v/>
      </c>
      <c r="M405" s="117" t="s">
        <v>199</v>
      </c>
      <c r="N405" s="118" t="str">
        <f t="shared" ca="1" si="100"/>
        <v>Serviço</v>
      </c>
      <c r="O405" s="119" t="str">
        <f t="shared" ca="1" si="101"/>
        <v>-</v>
      </c>
      <c r="P405" s="120" t="s">
        <v>458</v>
      </c>
      <c r="Q405" s="121" t="s">
        <v>779</v>
      </c>
      <c r="R405" s="122" t="str">
        <f ca="1">IF($C405="S",REFERENCIA.Descricao,"(digite a descrição aqui)")</f>
        <v>(abra o arquivo 'Referência 06-2024.xlsm)</v>
      </c>
      <c r="S405" s="123" t="str">
        <f ca="1">REFERENCIA.Unidade</f>
        <v>-</v>
      </c>
      <c r="T405" s="124">
        <f ca="1">OFFSET(CÁLCULO!H$15,ROW($T405)-ROW(T$15),0)</f>
        <v>1</v>
      </c>
      <c r="U405" s="125">
        <f t="shared" ca="1" si="108"/>
        <v>0</v>
      </c>
      <c r="V405" s="126" t="s">
        <v>156</v>
      </c>
      <c r="W405" s="124">
        <f ca="1">IF($C405="S",ROUND(IF(TIPOORCAMENTO="Proposto",ORÇAMENTO.CustoUnitario*(1+$AH405),ORÇAMENTO.PrecoUnitarioLicitado),15-13*$AF$10),0)</f>
        <v>0</v>
      </c>
      <c r="X405" s="127">
        <f ca="1">IF($C405="S",IF(Import.TipoArredondamento&lt;&gt;"TransfereGOV",VTOTAL1,SUM(OFFSET(CÁLCULO!$AI$15,ROW($X405)-ROW($X$15),1):OFFSET(CÁLCULO!$BB$15,ROW($X405)-ROW($X$15),-1))),IF($C405=0,0,ROUND(SomaAgrup,15-13*$AF$11)))</f>
        <v>0</v>
      </c>
      <c r="Y405" s="128" t="s">
        <v>245</v>
      </c>
      <c r="Z405" t="str">
        <f t="shared" ca="1" si="102"/>
        <v/>
      </c>
      <c r="AA405" s="129">
        <f ca="1">IF($C405="S",IF($Z405="CP",$X405,IF($Z405="RA",(($X405)*QCI!$AA$3),0)),SomaAgrup)</f>
        <v>0</v>
      </c>
      <c r="AB405" s="130">
        <f t="shared" ca="1" si="103"/>
        <v>0</v>
      </c>
      <c r="AC405" s="131" t="str">
        <f ca="1">IF($N405="","",IF(ORÇAMENTO.Descricao="","DESCRIÇÃO",IF(AND($C405="S",ORÇAMENTO.Unidade=""),"UNIDADE",IF($X405&lt;0,"VALOR NEGATIVO",IF(OR(AND(TIPOORCAMENTO="Proposto",$AG405&lt;&gt;"",$AG405&gt;0,ORÇAMENTO.CustoUnitario&gt;$AG405),AND(TIPOORCAMENTO="LICITADO",ORÇAMENTO.PrecoUnitarioLicitado&gt;$AN405)),"ACIMA REF.","")))))</f>
        <v/>
      </c>
      <c r="AD405" t="str">
        <f ca="1">IF(C405&lt;=CRONO.NivelExibicao,MAX($AD$15:OFFSET(AD405,-1,0))+IF($C405&lt;&gt;1,1,MAX(1,COUNTIF(QCI!$A$13:$A$24,OFFSET($E405,-1,0)))),"")</f>
        <v/>
      </c>
      <c r="AE405" s="7" t="str">
        <f ca="1">IF(AND($C405="S",ORÇAMENTO.CodBarra&lt;&gt;""),IF(ORÇAMENTO.Fonte="",ORÇAMENTO.CodBarra,CONCATENATE(ORÇAMENTO.Fonte," ",ORÇAMENTO.CodBarra)))</f>
        <v>COMPOSIÇÃO FNDE 29</v>
      </c>
      <c r="AF405" s="13" t="str">
        <f ca="1">IF(ISERROR(INDIRECT(ORÇAMENTO.BancoRef)),"(abra o arquivo 'Referência "&amp;Excel_BuiltIn_Database&amp;".xlsm)",IF(OR($C405&lt;&gt;"S",ORÇAMENTO.CodBarra=""),"(Sem Código)",IF(ISERROR(MATCH($AE405,INDIRECT(ORÇAMENTO.BancoRef),0)),"(Código não identificado nas referências)",MATCH($AE405,INDIRECT(ORÇAMENTO.BancoRef),0))))</f>
        <v>(abra o arquivo 'Referência 06-2024.xlsm)</v>
      </c>
      <c r="AG405" s="498">
        <f ca="1">ROUND(IF(DESONERACAO="sim",REFERENCIA.Desonerado,REFERENCIA.NaoDesonerado),2)</f>
        <v>0</v>
      </c>
      <c r="AH405" s="499">
        <f t="shared" ca="1" si="104"/>
        <v>0.2432</v>
      </c>
      <c r="AJ405" s="501"/>
      <c r="AL405" s="527"/>
      <c r="AM405" s="381">
        <f t="shared" ca="1" si="105"/>
        <v>0</v>
      </c>
      <c r="AN405" s="566">
        <f t="shared" ca="1" si="106"/>
        <v>0</v>
      </c>
    </row>
    <row r="406" spans="1:40" ht="25.5" x14ac:dyDescent="0.2">
      <c r="A406" t="str">
        <f t="shared" si="91"/>
        <v>S</v>
      </c>
      <c r="B406">
        <f t="shared" ca="1" si="92"/>
        <v>2</v>
      </c>
      <c r="C406" t="str">
        <f t="shared" ca="1" si="93"/>
        <v>S</v>
      </c>
      <c r="D406">
        <f t="shared" ca="1" si="94"/>
        <v>0</v>
      </c>
      <c r="E406">
        <f ca="1">IF($C406=1,OFFSET(E406,-1,0)+MAX(1,COUNTIF(QCI!$A$13:$A$24,OFFSET(ORÇAMENTO!E406,-1,0))),OFFSET(E406,-1,0))</f>
        <v>1</v>
      </c>
      <c r="F406">
        <f t="shared" ca="1" si="95"/>
        <v>44</v>
      </c>
      <c r="G406">
        <f t="shared" ca="1" si="96"/>
        <v>0</v>
      </c>
      <c r="H406">
        <f t="shared" ca="1" si="97"/>
        <v>0</v>
      </c>
      <c r="I406">
        <f t="shared" ca="1" si="98"/>
        <v>0</v>
      </c>
      <c r="J406">
        <f t="shared" ca="1" si="107"/>
        <v>0</v>
      </c>
      <c r="K406">
        <f ca="1">IF(OR($C406="S",$C406=0),0,MATCH(OFFSET($D406,0,$C406)+IF($C406&lt;&gt;1,1,COUNTIF(QCI!$A$13:$A$24,ORÇAMENTO!E406)),OFFSET($D406,1,$C406,ROW($C$727)-ROW($C406)),0))</f>
        <v>0</v>
      </c>
      <c r="L406" s="116" t="str">
        <f t="shared" ca="1" si="99"/>
        <v/>
      </c>
      <c r="M406" s="117" t="s">
        <v>199</v>
      </c>
      <c r="N406" s="118" t="str">
        <f t="shared" ca="1" si="100"/>
        <v>Serviço</v>
      </c>
      <c r="O406" s="119" t="str">
        <f t="shared" ca="1" si="101"/>
        <v>-</v>
      </c>
      <c r="P406" s="120" t="s">
        <v>247</v>
      </c>
      <c r="Q406" s="121" t="s">
        <v>780</v>
      </c>
      <c r="R406" s="122" t="str">
        <f ca="1">IF($C406="S",REFERENCIA.Descricao,"(digite a descrição aqui)")</f>
        <v>(abra o arquivo 'Referência 06-2024.xlsm)</v>
      </c>
      <c r="S406" s="123" t="str">
        <f ca="1">REFERENCIA.Unidade</f>
        <v>-</v>
      </c>
      <c r="T406" s="124">
        <f ca="1">OFFSET(CÁLCULO!H$15,ROW($T406)-ROW(T$15),0)</f>
        <v>2</v>
      </c>
      <c r="U406" s="125">
        <f t="shared" ca="1" si="108"/>
        <v>0</v>
      </c>
      <c r="V406" s="126" t="s">
        <v>156</v>
      </c>
      <c r="W406" s="124">
        <f ca="1">IF($C406="S",ROUND(IF(TIPOORCAMENTO="Proposto",ORÇAMENTO.CustoUnitario*(1+$AH406),ORÇAMENTO.PrecoUnitarioLicitado),15-13*$AF$10),0)</f>
        <v>0</v>
      </c>
      <c r="X406" s="127">
        <f ca="1">IF($C406="S",IF(Import.TipoArredondamento&lt;&gt;"TransfereGOV",VTOTAL1,SUM(OFFSET(CÁLCULO!$AI$15,ROW($X406)-ROW($X$15),1):OFFSET(CÁLCULO!$BB$15,ROW($X406)-ROW($X$15),-1))),IF($C406=0,0,ROUND(SomaAgrup,15-13*$AF$11)))</f>
        <v>0</v>
      </c>
      <c r="Y406" s="128" t="s">
        <v>245</v>
      </c>
      <c r="Z406" t="str">
        <f t="shared" ca="1" si="102"/>
        <v/>
      </c>
      <c r="AA406" s="129">
        <f ca="1">IF($C406="S",IF($Z406="CP",$X406,IF($Z406="RA",(($X406)*QCI!$AA$3),0)),SomaAgrup)</f>
        <v>0</v>
      </c>
      <c r="AB406" s="130">
        <f t="shared" ca="1" si="103"/>
        <v>0</v>
      </c>
      <c r="AC406" s="131" t="str">
        <f ca="1">IF($N406="","",IF(ORÇAMENTO.Descricao="","DESCRIÇÃO",IF(AND($C406="S",ORÇAMENTO.Unidade=""),"UNIDADE",IF($X406&lt;0,"VALOR NEGATIVO",IF(OR(AND(TIPOORCAMENTO="Proposto",$AG406&lt;&gt;"",$AG406&gt;0,ORÇAMENTO.CustoUnitario&gt;$AG406),AND(TIPOORCAMENTO="LICITADO",ORÇAMENTO.PrecoUnitarioLicitado&gt;$AN406)),"ACIMA REF.","")))))</f>
        <v/>
      </c>
      <c r="AD406" t="str">
        <f ca="1">IF(C406&lt;=CRONO.NivelExibicao,MAX($AD$15:OFFSET(AD406,-1,0))+IF($C406&lt;&gt;1,1,MAX(1,COUNTIF(QCI!$A$13:$A$24,OFFSET($E406,-1,0)))),"")</f>
        <v/>
      </c>
      <c r="AE406" s="7" t="str">
        <f ca="1">IF(AND($C406="S",ORÇAMENTO.CodBarra&lt;&gt;""),IF(ORÇAMENTO.Fonte="",ORÇAMENTO.CodBarra,CONCATENATE(ORÇAMENTO.Fonte," ",ORÇAMENTO.CodBarra)))</f>
        <v>SINAPI 103029</v>
      </c>
      <c r="AF406" s="13" t="str">
        <f ca="1">IF(ISERROR(INDIRECT(ORÇAMENTO.BancoRef)),"(abra o arquivo 'Referência "&amp;Excel_BuiltIn_Database&amp;".xlsm)",IF(OR($C406&lt;&gt;"S",ORÇAMENTO.CodBarra=""),"(Sem Código)",IF(ISERROR(MATCH($AE406,INDIRECT(ORÇAMENTO.BancoRef),0)),"(Código não identificado nas referências)",MATCH($AE406,INDIRECT(ORÇAMENTO.BancoRef),0))))</f>
        <v>(abra o arquivo 'Referência 06-2024.xlsm)</v>
      </c>
      <c r="AG406" s="498">
        <f ca="1">ROUND(IF(DESONERACAO="sim",REFERENCIA.Desonerado,REFERENCIA.NaoDesonerado),2)</f>
        <v>0</v>
      </c>
      <c r="AH406" s="499">
        <f t="shared" ca="1" si="104"/>
        <v>0.2432</v>
      </c>
      <c r="AJ406" s="501"/>
      <c r="AL406" s="527"/>
      <c r="AM406" s="381">
        <f t="shared" ca="1" si="105"/>
        <v>0</v>
      </c>
      <c r="AN406" s="566">
        <f t="shared" ca="1" si="106"/>
        <v>0</v>
      </c>
    </row>
    <row r="407" spans="1:40" ht="38.25" x14ac:dyDescent="0.2">
      <c r="A407" t="str">
        <f t="shared" si="91"/>
        <v>S</v>
      </c>
      <c r="B407">
        <f t="shared" ca="1" si="92"/>
        <v>2</v>
      </c>
      <c r="C407" t="str">
        <f t="shared" ca="1" si="93"/>
        <v>S</v>
      </c>
      <c r="D407">
        <f t="shared" ca="1" si="94"/>
        <v>0</v>
      </c>
      <c r="E407">
        <f ca="1">IF($C407=1,OFFSET(E407,-1,0)+MAX(1,COUNTIF(QCI!$A$13:$A$24,OFFSET(ORÇAMENTO!E407,-1,0))),OFFSET(E407,-1,0))</f>
        <v>1</v>
      </c>
      <c r="F407">
        <f t="shared" ca="1" si="95"/>
        <v>44</v>
      </c>
      <c r="G407">
        <f t="shared" ca="1" si="96"/>
        <v>0</v>
      </c>
      <c r="H407">
        <f t="shared" ca="1" si="97"/>
        <v>0</v>
      </c>
      <c r="I407">
        <f t="shared" ca="1" si="98"/>
        <v>0</v>
      </c>
      <c r="J407">
        <f t="shared" ca="1" si="107"/>
        <v>0</v>
      </c>
      <c r="K407">
        <f ca="1">IF(OR($C407="S",$C407=0),0,MATCH(OFFSET($D407,0,$C407)+IF($C407&lt;&gt;1,1,COUNTIF(QCI!$A$13:$A$24,ORÇAMENTO!E407)),OFFSET($D407,1,$C407,ROW($C$727)-ROW($C407)),0))</f>
        <v>0</v>
      </c>
      <c r="L407" s="116" t="str">
        <f t="shared" ca="1" si="99"/>
        <v/>
      </c>
      <c r="M407" s="117" t="s">
        <v>199</v>
      </c>
      <c r="N407" s="118" t="str">
        <f t="shared" ca="1" si="100"/>
        <v>Serviço</v>
      </c>
      <c r="O407" s="119" t="str">
        <f t="shared" ca="1" si="101"/>
        <v>-</v>
      </c>
      <c r="P407" s="120" t="s">
        <v>247</v>
      </c>
      <c r="Q407" s="121" t="s">
        <v>781</v>
      </c>
      <c r="R407" s="122" t="str">
        <f ca="1">IF($C407="S",REFERENCIA.Descricao,"(digite a descrição aqui)")</f>
        <v>(abra o arquivo 'Referência 06-2024.xlsm)</v>
      </c>
      <c r="S407" s="123" t="str">
        <f ca="1">REFERENCIA.Unidade</f>
        <v>-</v>
      </c>
      <c r="T407" s="124">
        <f ca="1">OFFSET(CÁLCULO!H$15,ROW($T407)-ROW(T$15),0)</f>
        <v>53</v>
      </c>
      <c r="U407" s="125">
        <f t="shared" ca="1" si="108"/>
        <v>0</v>
      </c>
      <c r="V407" s="126" t="s">
        <v>156</v>
      </c>
      <c r="W407" s="124">
        <f ca="1">IF($C407="S",ROUND(IF(TIPOORCAMENTO="Proposto",ORÇAMENTO.CustoUnitario*(1+$AH407),ORÇAMENTO.PrecoUnitarioLicitado),15-13*$AF$10),0)</f>
        <v>0</v>
      </c>
      <c r="X407" s="127">
        <f ca="1">IF($C407="S",IF(Import.TipoArredondamento&lt;&gt;"TransfereGOV",VTOTAL1,SUM(OFFSET(CÁLCULO!$AI$15,ROW($X407)-ROW($X$15),1):OFFSET(CÁLCULO!$BB$15,ROW($X407)-ROW($X$15),-1))),IF($C407=0,0,ROUND(SomaAgrup,15-13*$AF$11)))</f>
        <v>0</v>
      </c>
      <c r="Y407" s="128" t="s">
        <v>245</v>
      </c>
      <c r="Z407" t="str">
        <f t="shared" ca="1" si="102"/>
        <v/>
      </c>
      <c r="AA407" s="129">
        <f ca="1">IF($C407="S",IF($Z407="CP",$X407,IF($Z407="RA",(($X407)*QCI!$AA$3),0)),SomaAgrup)</f>
        <v>0</v>
      </c>
      <c r="AB407" s="130">
        <f t="shared" ca="1" si="103"/>
        <v>0</v>
      </c>
      <c r="AC407" s="131" t="str">
        <f ca="1">IF($N407="","",IF(ORÇAMENTO.Descricao="","DESCRIÇÃO",IF(AND($C407="S",ORÇAMENTO.Unidade=""),"UNIDADE",IF($X407&lt;0,"VALOR NEGATIVO",IF(OR(AND(TIPOORCAMENTO="Proposto",$AG407&lt;&gt;"",$AG407&gt;0,ORÇAMENTO.CustoUnitario&gt;$AG407),AND(TIPOORCAMENTO="LICITADO",ORÇAMENTO.PrecoUnitarioLicitado&gt;$AN407)),"ACIMA REF.","")))))</f>
        <v/>
      </c>
      <c r="AD407" t="str">
        <f ca="1">IF(C407&lt;=CRONO.NivelExibicao,MAX($AD$15:OFFSET(AD407,-1,0))+IF($C407&lt;&gt;1,1,MAX(1,COUNTIF(QCI!$A$13:$A$24,OFFSET($E407,-1,0)))),"")</f>
        <v/>
      </c>
      <c r="AE407" s="7" t="str">
        <f ca="1">IF(AND($C407="S",ORÇAMENTO.CodBarra&lt;&gt;""),IF(ORÇAMENTO.Fonte="",ORÇAMENTO.CodBarra,CONCATENATE(ORÇAMENTO.Fonte," ",ORÇAMENTO.CodBarra)))</f>
        <v>SINAPI 92688</v>
      </c>
      <c r="AF407" s="13" t="str">
        <f ca="1">IF(ISERROR(INDIRECT(ORÇAMENTO.BancoRef)),"(abra o arquivo 'Referência "&amp;Excel_BuiltIn_Database&amp;".xlsm)",IF(OR($C407&lt;&gt;"S",ORÇAMENTO.CodBarra=""),"(Sem Código)",IF(ISERROR(MATCH($AE407,INDIRECT(ORÇAMENTO.BancoRef),0)),"(Código não identificado nas referências)",MATCH($AE407,INDIRECT(ORÇAMENTO.BancoRef),0))))</f>
        <v>(abra o arquivo 'Referência 06-2024.xlsm)</v>
      </c>
      <c r="AG407" s="498">
        <f ca="1">ROUND(IF(DESONERACAO="sim",REFERENCIA.Desonerado,REFERENCIA.NaoDesonerado),2)</f>
        <v>0</v>
      </c>
      <c r="AH407" s="499">
        <f t="shared" ca="1" si="104"/>
        <v>0.2432</v>
      </c>
      <c r="AJ407" s="501"/>
      <c r="AL407" s="527"/>
      <c r="AM407" s="381">
        <f t="shared" ca="1" si="105"/>
        <v>0</v>
      </c>
      <c r="AN407" s="566">
        <f t="shared" ca="1" si="106"/>
        <v>0</v>
      </c>
    </row>
    <row r="408" spans="1:40" ht="38.25" x14ac:dyDescent="0.2">
      <c r="A408" t="str">
        <f t="shared" si="91"/>
        <v>S</v>
      </c>
      <c r="B408">
        <f t="shared" ca="1" si="92"/>
        <v>2</v>
      </c>
      <c r="C408" t="str">
        <f t="shared" ca="1" si="93"/>
        <v>S</v>
      </c>
      <c r="D408">
        <f t="shared" ca="1" si="94"/>
        <v>0</v>
      </c>
      <c r="E408">
        <f ca="1">IF($C408=1,OFFSET(E408,-1,0)+MAX(1,COUNTIF(QCI!$A$13:$A$24,OFFSET(ORÇAMENTO!E408,-1,0))),OFFSET(E408,-1,0))</f>
        <v>1</v>
      </c>
      <c r="F408">
        <f t="shared" ca="1" si="95"/>
        <v>44</v>
      </c>
      <c r="G408">
        <f t="shared" ca="1" si="96"/>
        <v>0</v>
      </c>
      <c r="H408">
        <f t="shared" ca="1" si="97"/>
        <v>0</v>
      </c>
      <c r="I408">
        <f t="shared" ca="1" si="98"/>
        <v>0</v>
      </c>
      <c r="J408">
        <f t="shared" ca="1" si="107"/>
        <v>0</v>
      </c>
      <c r="K408">
        <f ca="1">IF(OR($C408="S",$C408=0),0,MATCH(OFFSET($D408,0,$C408)+IF($C408&lt;&gt;1,1,COUNTIF(QCI!$A$13:$A$24,ORÇAMENTO!E408)),OFFSET($D408,1,$C408,ROW($C$727)-ROW($C408)),0))</f>
        <v>0</v>
      </c>
      <c r="L408" s="116" t="str">
        <f t="shared" ca="1" si="99"/>
        <v/>
      </c>
      <c r="M408" s="117" t="s">
        <v>199</v>
      </c>
      <c r="N408" s="118" t="str">
        <f t="shared" ca="1" si="100"/>
        <v>Serviço</v>
      </c>
      <c r="O408" s="119" t="str">
        <f t="shared" ca="1" si="101"/>
        <v>-</v>
      </c>
      <c r="P408" s="120" t="s">
        <v>247</v>
      </c>
      <c r="Q408" s="121" t="s">
        <v>782</v>
      </c>
      <c r="R408" s="122" t="str">
        <f ca="1">IF($C408="S",REFERENCIA.Descricao,"(digite a descrição aqui)")</f>
        <v>(abra o arquivo 'Referência 06-2024.xlsm)</v>
      </c>
      <c r="S408" s="123" t="str">
        <f ca="1">REFERENCIA.Unidade</f>
        <v>-</v>
      </c>
      <c r="T408" s="124">
        <f ca="1">OFFSET(CÁLCULO!H$15,ROW($T408)-ROW(T$15),0)</f>
        <v>1</v>
      </c>
      <c r="U408" s="125">
        <f t="shared" ca="1" si="108"/>
        <v>0</v>
      </c>
      <c r="V408" s="126" t="s">
        <v>156</v>
      </c>
      <c r="W408" s="124">
        <f ca="1">IF($C408="S",ROUND(IF(TIPOORCAMENTO="Proposto",ORÇAMENTO.CustoUnitario*(1+$AH408),ORÇAMENTO.PrecoUnitarioLicitado),15-13*$AF$10),0)</f>
        <v>0</v>
      </c>
      <c r="X408" s="127">
        <f ca="1">IF($C408="S",IF(Import.TipoArredondamento&lt;&gt;"TransfereGOV",VTOTAL1,SUM(OFFSET(CÁLCULO!$AI$15,ROW($X408)-ROW($X$15),1):OFFSET(CÁLCULO!$BB$15,ROW($X408)-ROW($X$15),-1))),IF($C408=0,0,ROUND(SomaAgrup,15-13*$AF$11)))</f>
        <v>0</v>
      </c>
      <c r="Y408" s="128" t="s">
        <v>245</v>
      </c>
      <c r="Z408" t="str">
        <f t="shared" ca="1" si="102"/>
        <v/>
      </c>
      <c r="AA408" s="129">
        <f ca="1">IF($C408="S",IF($Z408="CP",$X408,IF($Z408="RA",(($X408)*QCI!$AA$3),0)),SomaAgrup)</f>
        <v>0</v>
      </c>
      <c r="AB408" s="130">
        <f t="shared" ca="1" si="103"/>
        <v>0</v>
      </c>
      <c r="AC408" s="131" t="str">
        <f ca="1">IF($N408="","",IF(ORÇAMENTO.Descricao="","DESCRIÇÃO",IF(AND($C408="S",ORÇAMENTO.Unidade=""),"UNIDADE",IF($X408&lt;0,"VALOR NEGATIVO",IF(OR(AND(TIPOORCAMENTO="Proposto",$AG408&lt;&gt;"",$AG408&gt;0,ORÇAMENTO.CustoUnitario&gt;$AG408),AND(TIPOORCAMENTO="LICITADO",ORÇAMENTO.PrecoUnitarioLicitado&gt;$AN408)),"ACIMA REF.","")))))</f>
        <v/>
      </c>
      <c r="AD408" t="str">
        <f ca="1">IF(C408&lt;=CRONO.NivelExibicao,MAX($AD$15:OFFSET(AD408,-1,0))+IF($C408&lt;&gt;1,1,MAX(1,COUNTIF(QCI!$A$13:$A$24,OFFSET($E408,-1,0)))),"")</f>
        <v/>
      </c>
      <c r="AE408" s="7" t="str">
        <f ca="1">IF(AND($C408="S",ORÇAMENTO.CodBarra&lt;&gt;""),IF(ORÇAMENTO.Fonte="",ORÇAMENTO.CodBarra,CONCATENATE(ORÇAMENTO.Fonte," ",ORÇAMENTO.CodBarra)))</f>
        <v>SINAPI 92705</v>
      </c>
      <c r="AF408" s="13" t="str">
        <f ca="1">IF(ISERROR(INDIRECT(ORÇAMENTO.BancoRef)),"(abra o arquivo 'Referência "&amp;Excel_BuiltIn_Database&amp;".xlsm)",IF(OR($C408&lt;&gt;"S",ORÇAMENTO.CodBarra=""),"(Sem Código)",IF(ISERROR(MATCH($AE408,INDIRECT(ORÇAMENTO.BancoRef),0)),"(Código não identificado nas referências)",MATCH($AE408,INDIRECT(ORÇAMENTO.BancoRef),0))))</f>
        <v>(abra o arquivo 'Referência 06-2024.xlsm)</v>
      </c>
      <c r="AG408" s="498">
        <f ca="1">ROUND(IF(DESONERACAO="sim",REFERENCIA.Desonerado,REFERENCIA.NaoDesonerado),2)</f>
        <v>0</v>
      </c>
      <c r="AH408" s="499">
        <f t="shared" ca="1" si="104"/>
        <v>0.2432</v>
      </c>
      <c r="AJ408" s="501"/>
      <c r="AL408" s="527"/>
      <c r="AM408" s="381">
        <f t="shared" ca="1" si="105"/>
        <v>0</v>
      </c>
      <c r="AN408" s="566">
        <f t="shared" ca="1" si="106"/>
        <v>0</v>
      </c>
    </row>
    <row r="409" spans="1:40" ht="25.5" x14ac:dyDescent="0.2">
      <c r="A409" t="str">
        <f t="shared" si="91"/>
        <v>S</v>
      </c>
      <c r="B409">
        <f t="shared" ca="1" si="92"/>
        <v>2</v>
      </c>
      <c r="C409" t="str">
        <f t="shared" ca="1" si="93"/>
        <v>S</v>
      </c>
      <c r="D409">
        <f t="shared" ca="1" si="94"/>
        <v>0</v>
      </c>
      <c r="E409">
        <f ca="1">IF($C409=1,OFFSET(E409,-1,0)+MAX(1,COUNTIF(QCI!$A$13:$A$24,OFFSET(ORÇAMENTO!E409,-1,0))),OFFSET(E409,-1,0))</f>
        <v>1</v>
      </c>
      <c r="F409">
        <f t="shared" ca="1" si="95"/>
        <v>44</v>
      </c>
      <c r="G409">
        <f t="shared" ca="1" si="96"/>
        <v>0</v>
      </c>
      <c r="H409">
        <f t="shared" ca="1" si="97"/>
        <v>0</v>
      </c>
      <c r="I409">
        <f t="shared" ca="1" si="98"/>
        <v>0</v>
      </c>
      <c r="J409">
        <f t="shared" ca="1" si="107"/>
        <v>0</v>
      </c>
      <c r="K409">
        <f ca="1">IF(OR($C409="S",$C409=0),0,MATCH(OFFSET($D409,0,$C409)+IF($C409&lt;&gt;1,1,COUNTIF(QCI!$A$13:$A$24,ORÇAMENTO!E409)),OFFSET($D409,1,$C409,ROW($C$727)-ROW($C409)),0))</f>
        <v>0</v>
      </c>
      <c r="L409" s="116" t="str">
        <f t="shared" ca="1" si="99"/>
        <v/>
      </c>
      <c r="M409" s="117" t="s">
        <v>199</v>
      </c>
      <c r="N409" s="118" t="str">
        <f t="shared" ca="1" si="100"/>
        <v>Serviço</v>
      </c>
      <c r="O409" s="119" t="str">
        <f t="shared" ca="1" si="101"/>
        <v>-</v>
      </c>
      <c r="P409" s="120" t="s">
        <v>458</v>
      </c>
      <c r="Q409" s="121" t="s">
        <v>783</v>
      </c>
      <c r="R409" s="122" t="str">
        <f ca="1">IF($C409="S",REFERENCIA.Descricao,"(digite a descrição aqui)")</f>
        <v>(abra o arquivo 'Referência 06-2024.xlsm)</v>
      </c>
      <c r="S409" s="123" t="str">
        <f ca="1">REFERENCIA.Unidade</f>
        <v>-</v>
      </c>
      <c r="T409" s="124">
        <f ca="1">OFFSET(CÁLCULO!H$15,ROW($T409)-ROW(T$15),0)</f>
        <v>1</v>
      </c>
      <c r="U409" s="125">
        <f t="shared" ca="1" si="108"/>
        <v>0</v>
      </c>
      <c r="V409" s="126" t="s">
        <v>156</v>
      </c>
      <c r="W409" s="124">
        <f ca="1">IF($C409="S",ROUND(IF(TIPOORCAMENTO="Proposto",ORÇAMENTO.CustoUnitario*(1+$AH409),ORÇAMENTO.PrecoUnitarioLicitado),15-13*$AF$10),0)</f>
        <v>0</v>
      </c>
      <c r="X409" s="127">
        <f ca="1">IF($C409="S",IF(Import.TipoArredondamento&lt;&gt;"TransfereGOV",VTOTAL1,SUM(OFFSET(CÁLCULO!$AI$15,ROW($X409)-ROW($X$15),1):OFFSET(CÁLCULO!$BB$15,ROW($X409)-ROW($X$15),-1))),IF($C409=0,0,ROUND(SomaAgrup,15-13*$AF$11)))</f>
        <v>0</v>
      </c>
      <c r="Y409" s="128" t="s">
        <v>245</v>
      </c>
      <c r="Z409" t="str">
        <f t="shared" ca="1" si="102"/>
        <v/>
      </c>
      <c r="AA409" s="129">
        <f ca="1">IF($C409="S",IF($Z409="CP",$X409,IF($Z409="RA",(($X409)*QCI!$AA$3),0)),SomaAgrup)</f>
        <v>0</v>
      </c>
      <c r="AB409" s="130">
        <f t="shared" ca="1" si="103"/>
        <v>0</v>
      </c>
      <c r="AC409" s="131" t="str">
        <f ca="1">IF($N409="","",IF(ORÇAMENTO.Descricao="","DESCRIÇÃO",IF(AND($C409="S",ORÇAMENTO.Unidade=""),"UNIDADE",IF($X409&lt;0,"VALOR NEGATIVO",IF(OR(AND(TIPOORCAMENTO="Proposto",$AG409&lt;&gt;"",$AG409&gt;0,ORÇAMENTO.CustoUnitario&gt;$AG409),AND(TIPOORCAMENTO="LICITADO",ORÇAMENTO.PrecoUnitarioLicitado&gt;$AN409)),"ACIMA REF.","")))))</f>
        <v/>
      </c>
      <c r="AD409" t="str">
        <f ca="1">IF(C409&lt;=CRONO.NivelExibicao,MAX($AD$15:OFFSET(AD409,-1,0))+IF($C409&lt;&gt;1,1,MAX(1,COUNTIF(QCI!$A$13:$A$24,OFFSET($E409,-1,0)))),"")</f>
        <v/>
      </c>
      <c r="AE409" s="7" t="str">
        <f ca="1">IF(AND($C409="S",ORÇAMENTO.CodBarra&lt;&gt;""),IF(ORÇAMENTO.Fonte="",ORÇAMENTO.CodBarra,CONCATENATE(ORÇAMENTO.Fonte," ",ORÇAMENTO.CodBarra)))</f>
        <v>COMPOSIÇÃO FNDE 301</v>
      </c>
      <c r="AF409" s="13" t="str">
        <f ca="1">IF(ISERROR(INDIRECT(ORÇAMENTO.BancoRef)),"(abra o arquivo 'Referência "&amp;Excel_BuiltIn_Database&amp;".xlsm)",IF(OR($C409&lt;&gt;"S",ORÇAMENTO.CodBarra=""),"(Sem Código)",IF(ISERROR(MATCH($AE409,INDIRECT(ORÇAMENTO.BancoRef),0)),"(Código não identificado nas referências)",MATCH($AE409,INDIRECT(ORÇAMENTO.BancoRef),0))))</f>
        <v>(abra o arquivo 'Referência 06-2024.xlsm)</v>
      </c>
      <c r="AG409" s="498">
        <f ca="1">ROUND(IF(DESONERACAO="sim",REFERENCIA.Desonerado,REFERENCIA.NaoDesonerado),2)</f>
        <v>0</v>
      </c>
      <c r="AH409" s="499">
        <f t="shared" ca="1" si="104"/>
        <v>0.2432</v>
      </c>
      <c r="AJ409" s="501"/>
      <c r="AL409" s="527"/>
      <c r="AM409" s="381">
        <f t="shared" ca="1" si="105"/>
        <v>0</v>
      </c>
      <c r="AN409" s="566">
        <f t="shared" ca="1" si="106"/>
        <v>0</v>
      </c>
    </row>
    <row r="410" spans="1:40" ht="38.25" x14ac:dyDescent="0.2">
      <c r="A410" t="str">
        <f t="shared" si="91"/>
        <v>S</v>
      </c>
      <c r="B410">
        <f t="shared" ca="1" si="92"/>
        <v>2</v>
      </c>
      <c r="C410" t="str">
        <f t="shared" ca="1" si="93"/>
        <v>S</v>
      </c>
      <c r="D410">
        <f t="shared" ca="1" si="94"/>
        <v>0</v>
      </c>
      <c r="E410">
        <f ca="1">IF($C410=1,OFFSET(E410,-1,0)+MAX(1,COUNTIF(QCI!$A$13:$A$24,OFFSET(ORÇAMENTO!E410,-1,0))),OFFSET(E410,-1,0))</f>
        <v>1</v>
      </c>
      <c r="F410">
        <f t="shared" ca="1" si="95"/>
        <v>44</v>
      </c>
      <c r="G410">
        <f t="shared" ca="1" si="96"/>
        <v>0</v>
      </c>
      <c r="H410">
        <f t="shared" ca="1" si="97"/>
        <v>0</v>
      </c>
      <c r="I410">
        <f t="shared" ca="1" si="98"/>
        <v>0</v>
      </c>
      <c r="J410">
        <f t="shared" ca="1" si="107"/>
        <v>0</v>
      </c>
      <c r="K410">
        <f ca="1">IF(OR($C410="S",$C410=0),0,MATCH(OFFSET($D410,0,$C410)+IF($C410&lt;&gt;1,1,COUNTIF(QCI!$A$13:$A$24,ORÇAMENTO!E410)),OFFSET($D410,1,$C410,ROW($C$727)-ROW($C410)),0))</f>
        <v>0</v>
      </c>
      <c r="L410" s="116" t="str">
        <f t="shared" ca="1" si="99"/>
        <v/>
      </c>
      <c r="M410" s="117" t="s">
        <v>199</v>
      </c>
      <c r="N410" s="118" t="str">
        <f t="shared" ca="1" si="100"/>
        <v>Serviço</v>
      </c>
      <c r="O410" s="119" t="str">
        <f t="shared" ca="1" si="101"/>
        <v>-</v>
      </c>
      <c r="P410" s="120" t="s">
        <v>247</v>
      </c>
      <c r="Q410" s="121" t="s">
        <v>784</v>
      </c>
      <c r="R410" s="122" t="str">
        <f ca="1">IF($C410="S",REFERENCIA.Descricao,"(digite a descrição aqui)")</f>
        <v>(abra o arquivo 'Referência 06-2024.xlsm)</v>
      </c>
      <c r="S410" s="123" t="str">
        <f ca="1">REFERENCIA.Unidade</f>
        <v>-</v>
      </c>
      <c r="T410" s="124">
        <f ca="1">OFFSET(CÁLCULO!H$15,ROW($T410)-ROW(T$15),0)</f>
        <v>8</v>
      </c>
      <c r="U410" s="125">
        <f t="shared" ca="1" si="108"/>
        <v>0</v>
      </c>
      <c r="V410" s="126" t="s">
        <v>156</v>
      </c>
      <c r="W410" s="124">
        <f ca="1">IF($C410="S",ROUND(IF(TIPOORCAMENTO="Proposto",ORÇAMENTO.CustoUnitario*(1+$AH410),ORÇAMENTO.PrecoUnitarioLicitado),15-13*$AF$10),0)</f>
        <v>0</v>
      </c>
      <c r="X410" s="127">
        <f ca="1">IF($C410="S",IF(Import.TipoArredondamento&lt;&gt;"TransfereGOV",VTOTAL1,SUM(OFFSET(CÁLCULO!$AI$15,ROW($X410)-ROW($X$15),1):OFFSET(CÁLCULO!$BB$15,ROW($X410)-ROW($X$15),-1))),IF($C410=0,0,ROUND(SomaAgrup,15-13*$AF$11)))</f>
        <v>0</v>
      </c>
      <c r="Y410" s="128" t="s">
        <v>245</v>
      </c>
      <c r="Z410" t="str">
        <f t="shared" ca="1" si="102"/>
        <v/>
      </c>
      <c r="AA410" s="129">
        <f ca="1">IF($C410="S",IF($Z410="CP",$X410,IF($Z410="RA",(($X410)*QCI!$AA$3),0)),SomaAgrup)</f>
        <v>0</v>
      </c>
      <c r="AB410" s="130">
        <f t="shared" ca="1" si="103"/>
        <v>0</v>
      </c>
      <c r="AC410" s="131" t="str">
        <f ca="1">IF($N410="","",IF(ORÇAMENTO.Descricao="","DESCRIÇÃO",IF(AND($C410="S",ORÇAMENTO.Unidade=""),"UNIDADE",IF($X410&lt;0,"VALOR NEGATIVO",IF(OR(AND(TIPOORCAMENTO="Proposto",$AG410&lt;&gt;"",$AG410&gt;0,ORÇAMENTO.CustoUnitario&gt;$AG410),AND(TIPOORCAMENTO="LICITADO",ORÇAMENTO.PrecoUnitarioLicitado&gt;$AN410)),"ACIMA REF.","")))))</f>
        <v/>
      </c>
      <c r="AD410" t="str">
        <f ca="1">IF(C410&lt;=CRONO.NivelExibicao,MAX($AD$15:OFFSET(AD410,-1,0))+IF($C410&lt;&gt;1,1,MAX(1,COUNTIF(QCI!$A$13:$A$24,OFFSET($E410,-1,0)))),"")</f>
        <v/>
      </c>
      <c r="AE410" s="7" t="str">
        <f ca="1">IF(AND($C410="S",ORÇAMENTO.CodBarra&lt;&gt;""),IF(ORÇAMENTO.Fonte="",ORÇAMENTO.CodBarra,CONCATENATE(ORÇAMENTO.Fonte," ",ORÇAMENTO.CodBarra)))</f>
        <v>SINAPI 92695</v>
      </c>
      <c r="AF410" s="13" t="str">
        <f ca="1">IF(ISERROR(INDIRECT(ORÇAMENTO.BancoRef)),"(abra o arquivo 'Referência "&amp;Excel_BuiltIn_Database&amp;".xlsm)",IF(OR($C410&lt;&gt;"S",ORÇAMENTO.CodBarra=""),"(Sem Código)",IF(ISERROR(MATCH($AE410,INDIRECT(ORÇAMENTO.BancoRef),0)),"(Código não identificado nas referências)",MATCH($AE410,INDIRECT(ORÇAMENTO.BancoRef),0))))</f>
        <v>(abra o arquivo 'Referência 06-2024.xlsm)</v>
      </c>
      <c r="AG410" s="498">
        <f ca="1">ROUND(IF(DESONERACAO="sim",REFERENCIA.Desonerado,REFERENCIA.NaoDesonerado),2)</f>
        <v>0</v>
      </c>
      <c r="AH410" s="499">
        <f t="shared" ca="1" si="104"/>
        <v>0.2432</v>
      </c>
      <c r="AJ410" s="501"/>
      <c r="AL410" s="527"/>
      <c r="AM410" s="381">
        <f t="shared" ca="1" si="105"/>
        <v>0</v>
      </c>
      <c r="AN410" s="566">
        <f t="shared" ca="1" si="106"/>
        <v>0</v>
      </c>
    </row>
    <row r="411" spans="1:40" x14ac:dyDescent="0.2">
      <c r="A411" t="str">
        <f t="shared" si="91"/>
        <v>S</v>
      </c>
      <c r="B411">
        <f t="shared" ca="1" si="92"/>
        <v>2</v>
      </c>
      <c r="C411" t="str">
        <f t="shared" ca="1" si="93"/>
        <v>S</v>
      </c>
      <c r="D411">
        <f t="shared" ca="1" si="94"/>
        <v>0</v>
      </c>
      <c r="E411">
        <f ca="1">IF($C411=1,OFFSET(E411,-1,0)+MAX(1,COUNTIF(QCI!$A$13:$A$24,OFFSET(ORÇAMENTO!E411,-1,0))),OFFSET(E411,-1,0))</f>
        <v>1</v>
      </c>
      <c r="F411">
        <f t="shared" ca="1" si="95"/>
        <v>44</v>
      </c>
      <c r="G411">
        <f t="shared" ca="1" si="96"/>
        <v>0</v>
      </c>
      <c r="H411">
        <f t="shared" ca="1" si="97"/>
        <v>0</v>
      </c>
      <c r="I411">
        <f t="shared" ca="1" si="98"/>
        <v>0</v>
      </c>
      <c r="J411">
        <f t="shared" ca="1" si="107"/>
        <v>0</v>
      </c>
      <c r="K411">
        <f ca="1">IF(OR($C411="S",$C411=0),0,MATCH(OFFSET($D411,0,$C411)+IF($C411&lt;&gt;1,1,COUNTIF(QCI!$A$13:$A$24,ORÇAMENTO!E411)),OFFSET($D411,1,$C411,ROW($C$727)-ROW($C411)),0))</f>
        <v>0</v>
      </c>
      <c r="L411" s="116" t="str">
        <f t="shared" ca="1" si="99"/>
        <v/>
      </c>
      <c r="M411" s="117" t="s">
        <v>199</v>
      </c>
      <c r="N411" s="118" t="str">
        <f t="shared" ca="1" si="100"/>
        <v>Serviço</v>
      </c>
      <c r="O411" s="119" t="str">
        <f t="shared" ca="1" si="101"/>
        <v>-</v>
      </c>
      <c r="P411" s="120" t="s">
        <v>458</v>
      </c>
      <c r="Q411" s="121" t="s">
        <v>785</v>
      </c>
      <c r="R411" s="122" t="str">
        <f ca="1">IF($C411="S",REFERENCIA.Descricao,"(digite a descrição aqui)")</f>
        <v>(abra o arquivo 'Referência 06-2024.xlsm)</v>
      </c>
      <c r="S411" s="123" t="str">
        <f ca="1">REFERENCIA.Unidade</f>
        <v>-</v>
      </c>
      <c r="T411" s="124">
        <f ca="1">OFFSET(CÁLCULO!H$15,ROW($T411)-ROW(T$15),0)</f>
        <v>4</v>
      </c>
      <c r="U411" s="125">
        <f t="shared" ca="1" si="108"/>
        <v>0</v>
      </c>
      <c r="V411" s="126" t="s">
        <v>156</v>
      </c>
      <c r="W411" s="124">
        <f ca="1">IF($C411="S",ROUND(IF(TIPOORCAMENTO="Proposto",ORÇAMENTO.CustoUnitario*(1+$AH411),ORÇAMENTO.PrecoUnitarioLicitado),15-13*$AF$10),0)</f>
        <v>0</v>
      </c>
      <c r="X411" s="127">
        <f ca="1">IF($C411="S",IF(Import.TipoArredondamento&lt;&gt;"TransfereGOV",VTOTAL1,SUM(OFFSET(CÁLCULO!$AI$15,ROW($X411)-ROW($X$15),1):OFFSET(CÁLCULO!$BB$15,ROW($X411)-ROW($X$15),-1))),IF($C411=0,0,ROUND(SomaAgrup,15-13*$AF$11)))</f>
        <v>0</v>
      </c>
      <c r="Y411" s="128" t="s">
        <v>245</v>
      </c>
      <c r="Z411" t="str">
        <f t="shared" ca="1" si="102"/>
        <v/>
      </c>
      <c r="AA411" s="129">
        <f ca="1">IF($C411="S",IF($Z411="CP",$X411,IF($Z411="RA",(($X411)*QCI!$AA$3),0)),SomaAgrup)</f>
        <v>0</v>
      </c>
      <c r="AB411" s="130">
        <f t="shared" ca="1" si="103"/>
        <v>0</v>
      </c>
      <c r="AC411" s="131" t="str">
        <f ca="1">IF($N411="","",IF(ORÇAMENTO.Descricao="","DESCRIÇÃO",IF(AND($C411="S",ORÇAMENTO.Unidade=""),"UNIDADE",IF($X411&lt;0,"VALOR NEGATIVO",IF(OR(AND(TIPOORCAMENTO="Proposto",$AG411&lt;&gt;"",$AG411&gt;0,ORÇAMENTO.CustoUnitario&gt;$AG411),AND(TIPOORCAMENTO="LICITADO",ORÇAMENTO.PrecoUnitarioLicitado&gt;$AN411)),"ACIMA REF.","")))))</f>
        <v/>
      </c>
      <c r="AD411" t="str">
        <f ca="1">IF(C411&lt;=CRONO.NivelExibicao,MAX($AD$15:OFFSET(AD411,-1,0))+IF($C411&lt;&gt;1,1,MAX(1,COUNTIF(QCI!$A$13:$A$24,OFFSET($E411,-1,0)))),"")</f>
        <v/>
      </c>
      <c r="AE411" s="7" t="str">
        <f ca="1">IF(AND($C411="S",ORÇAMENTO.CodBarra&lt;&gt;""),IF(ORÇAMENTO.Fonte="",ORÇAMENTO.CodBarra,CONCATENATE(ORÇAMENTO.Fonte," ",ORÇAMENTO.CodBarra)))</f>
        <v>COMPOSIÇÃO FNDE 260</v>
      </c>
      <c r="AF411" s="13" t="str">
        <f ca="1">IF(ISERROR(INDIRECT(ORÇAMENTO.BancoRef)),"(abra o arquivo 'Referência "&amp;Excel_BuiltIn_Database&amp;".xlsm)",IF(OR($C411&lt;&gt;"S",ORÇAMENTO.CodBarra=""),"(Sem Código)",IF(ISERROR(MATCH($AE411,INDIRECT(ORÇAMENTO.BancoRef),0)),"(Código não identificado nas referências)",MATCH($AE411,INDIRECT(ORÇAMENTO.BancoRef),0))))</f>
        <v>(abra o arquivo 'Referência 06-2024.xlsm)</v>
      </c>
      <c r="AG411" s="498">
        <f ca="1">ROUND(IF(DESONERACAO="sim",REFERENCIA.Desonerado,REFERENCIA.NaoDesonerado),2)</f>
        <v>0</v>
      </c>
      <c r="AH411" s="499">
        <f t="shared" ca="1" si="104"/>
        <v>0.2432</v>
      </c>
      <c r="AJ411" s="501"/>
      <c r="AL411" s="527"/>
      <c r="AM411" s="381">
        <f t="shared" ca="1" si="105"/>
        <v>0</v>
      </c>
      <c r="AN411" s="566">
        <f t="shared" ca="1" si="106"/>
        <v>0</v>
      </c>
    </row>
    <row r="412" spans="1:40" ht="38.25" x14ac:dyDescent="0.2">
      <c r="A412" t="str">
        <f t="shared" si="91"/>
        <v>S</v>
      </c>
      <c r="B412">
        <f t="shared" ca="1" si="92"/>
        <v>2</v>
      </c>
      <c r="C412" t="str">
        <f t="shared" ca="1" si="93"/>
        <v>S</v>
      </c>
      <c r="D412">
        <f t="shared" ca="1" si="94"/>
        <v>0</v>
      </c>
      <c r="E412">
        <f ca="1">IF($C412=1,OFFSET(E412,-1,0)+MAX(1,COUNTIF(QCI!$A$13:$A$24,OFFSET(ORÇAMENTO!E412,-1,0))),OFFSET(E412,-1,0))</f>
        <v>1</v>
      </c>
      <c r="F412">
        <f t="shared" ca="1" si="95"/>
        <v>44</v>
      </c>
      <c r="G412">
        <f t="shared" ca="1" si="96"/>
        <v>0</v>
      </c>
      <c r="H412">
        <f t="shared" ca="1" si="97"/>
        <v>0</v>
      </c>
      <c r="I412">
        <f t="shared" ca="1" si="98"/>
        <v>0</v>
      </c>
      <c r="J412">
        <f t="shared" ca="1" si="107"/>
        <v>0</v>
      </c>
      <c r="K412">
        <f ca="1">IF(OR($C412="S",$C412=0),0,MATCH(OFFSET($D412,0,$C412)+IF($C412&lt;&gt;1,1,COUNTIF(QCI!$A$13:$A$24,ORÇAMENTO!E412)),OFFSET($D412,1,$C412,ROW($C$727)-ROW($C412)),0))</f>
        <v>0</v>
      </c>
      <c r="L412" s="116" t="str">
        <f t="shared" ca="1" si="99"/>
        <v/>
      </c>
      <c r="M412" s="117" t="s">
        <v>199</v>
      </c>
      <c r="N412" s="118" t="str">
        <f t="shared" ca="1" si="100"/>
        <v>Serviço</v>
      </c>
      <c r="O412" s="119" t="str">
        <f t="shared" ca="1" si="101"/>
        <v>-</v>
      </c>
      <c r="P412" s="120" t="s">
        <v>247</v>
      </c>
      <c r="Q412" s="121" t="s">
        <v>786</v>
      </c>
      <c r="R412" s="122" t="str">
        <f ca="1">IF($C412="S",REFERENCIA.Descricao,"(digite a descrição aqui)")</f>
        <v>(abra o arquivo 'Referência 06-2024.xlsm)</v>
      </c>
      <c r="S412" s="123" t="str">
        <f ca="1">REFERENCIA.Unidade</f>
        <v>-</v>
      </c>
      <c r="T412" s="124">
        <f ca="1">OFFSET(CÁLCULO!H$15,ROW($T412)-ROW(T$15),0)</f>
        <v>2</v>
      </c>
      <c r="U412" s="125">
        <f t="shared" ca="1" si="108"/>
        <v>0</v>
      </c>
      <c r="V412" s="126" t="s">
        <v>156</v>
      </c>
      <c r="W412" s="124">
        <f ca="1">IF($C412="S",ROUND(IF(TIPOORCAMENTO="Proposto",ORÇAMENTO.CustoUnitario*(1+$AH412),ORÇAMENTO.PrecoUnitarioLicitado),15-13*$AF$10),0)</f>
        <v>0</v>
      </c>
      <c r="X412" s="127">
        <f ca="1">IF($C412="S",IF(Import.TipoArredondamento&lt;&gt;"TransfereGOV",VTOTAL1,SUM(OFFSET(CÁLCULO!$AI$15,ROW($X412)-ROW($X$15),1):OFFSET(CÁLCULO!$BB$15,ROW($X412)-ROW($X$15),-1))),IF($C412=0,0,ROUND(SomaAgrup,15-13*$AF$11)))</f>
        <v>0</v>
      </c>
      <c r="Y412" s="128" t="s">
        <v>245</v>
      </c>
      <c r="Z412" t="str">
        <f t="shared" ca="1" si="102"/>
        <v/>
      </c>
      <c r="AA412" s="129">
        <f ca="1">IF($C412="S",IF($Z412="CP",$X412,IF($Z412="RA",(($X412)*QCI!$AA$3),0)),SomaAgrup)</f>
        <v>0</v>
      </c>
      <c r="AB412" s="130">
        <f t="shared" ca="1" si="103"/>
        <v>0</v>
      </c>
      <c r="AC412" s="131" t="str">
        <f ca="1">IF($N412="","",IF(ORÇAMENTO.Descricao="","DESCRIÇÃO",IF(AND($C412="S",ORÇAMENTO.Unidade=""),"UNIDADE",IF($X412&lt;0,"VALOR NEGATIVO",IF(OR(AND(TIPOORCAMENTO="Proposto",$AG412&lt;&gt;"",$AG412&gt;0,ORÇAMENTO.CustoUnitario&gt;$AG412),AND(TIPOORCAMENTO="LICITADO",ORÇAMENTO.PrecoUnitarioLicitado&gt;$AN412)),"ACIMA REF.","")))))</f>
        <v/>
      </c>
      <c r="AD412" t="str">
        <f ca="1">IF(C412&lt;=CRONO.NivelExibicao,MAX($AD$15:OFFSET(AD412,-1,0))+IF($C412&lt;&gt;1,1,MAX(1,COUNTIF(QCI!$A$13:$A$24,OFFSET($E412,-1,0)))),"")</f>
        <v/>
      </c>
      <c r="AE412" s="7" t="str">
        <f ca="1">IF(AND($C412="S",ORÇAMENTO.CodBarra&lt;&gt;""),IF(ORÇAMENTO.Fonte="",ORÇAMENTO.CodBarra,CONCATENATE(ORÇAMENTO.Fonte," ",ORÇAMENTO.CodBarra)))</f>
        <v>SINAPI 97548</v>
      </c>
      <c r="AF412" s="13" t="str">
        <f ca="1">IF(ISERROR(INDIRECT(ORÇAMENTO.BancoRef)),"(abra o arquivo 'Referência "&amp;Excel_BuiltIn_Database&amp;".xlsm)",IF(OR($C412&lt;&gt;"S",ORÇAMENTO.CodBarra=""),"(Sem Código)",IF(ISERROR(MATCH($AE412,INDIRECT(ORÇAMENTO.BancoRef),0)),"(Código não identificado nas referências)",MATCH($AE412,INDIRECT(ORÇAMENTO.BancoRef),0))))</f>
        <v>(abra o arquivo 'Referência 06-2024.xlsm)</v>
      </c>
      <c r="AG412" s="498">
        <f ca="1">ROUND(IF(DESONERACAO="sim",REFERENCIA.Desonerado,REFERENCIA.NaoDesonerado),2)</f>
        <v>0</v>
      </c>
      <c r="AH412" s="499">
        <f t="shared" ca="1" si="104"/>
        <v>0.2432</v>
      </c>
      <c r="AJ412" s="501"/>
      <c r="AL412" s="527"/>
      <c r="AM412" s="381">
        <f t="shared" ca="1" si="105"/>
        <v>0</v>
      </c>
      <c r="AN412" s="566">
        <f t="shared" ca="1" si="106"/>
        <v>0</v>
      </c>
    </row>
    <row r="413" spans="1:40" ht="38.25" x14ac:dyDescent="0.2">
      <c r="A413" t="str">
        <f t="shared" si="91"/>
        <v>S</v>
      </c>
      <c r="B413">
        <f t="shared" ca="1" si="92"/>
        <v>2</v>
      </c>
      <c r="C413" t="str">
        <f t="shared" ca="1" si="93"/>
        <v>S</v>
      </c>
      <c r="D413">
        <f t="shared" ca="1" si="94"/>
        <v>0</v>
      </c>
      <c r="E413">
        <f ca="1">IF($C413=1,OFFSET(E413,-1,0)+MAX(1,COUNTIF(QCI!$A$13:$A$24,OFFSET(ORÇAMENTO!E413,-1,0))),OFFSET(E413,-1,0))</f>
        <v>1</v>
      </c>
      <c r="F413">
        <f t="shared" ca="1" si="95"/>
        <v>44</v>
      </c>
      <c r="G413">
        <f t="shared" ca="1" si="96"/>
        <v>0</v>
      </c>
      <c r="H413">
        <f t="shared" ca="1" si="97"/>
        <v>0</v>
      </c>
      <c r="I413">
        <f t="shared" ca="1" si="98"/>
        <v>0</v>
      </c>
      <c r="J413">
        <f t="shared" ca="1" si="107"/>
        <v>0</v>
      </c>
      <c r="K413">
        <f ca="1">IF(OR($C413="S",$C413=0),0,MATCH(OFFSET($D413,0,$C413)+IF($C413&lt;&gt;1,1,COUNTIF(QCI!$A$13:$A$24,ORÇAMENTO!E413)),OFFSET($D413,1,$C413,ROW($C$727)-ROW($C413)),0))</f>
        <v>0</v>
      </c>
      <c r="L413" s="116" t="str">
        <f t="shared" ca="1" si="99"/>
        <v/>
      </c>
      <c r="M413" s="117" t="s">
        <v>199</v>
      </c>
      <c r="N413" s="118" t="str">
        <f t="shared" ca="1" si="100"/>
        <v>Serviço</v>
      </c>
      <c r="O413" s="119" t="str">
        <f t="shared" ca="1" si="101"/>
        <v>-</v>
      </c>
      <c r="P413" s="120" t="s">
        <v>247</v>
      </c>
      <c r="Q413" s="121" t="s">
        <v>787</v>
      </c>
      <c r="R413" s="122" t="str">
        <f ca="1">IF($C413="S",REFERENCIA.Descricao,"(digite a descrição aqui)")</f>
        <v>(abra o arquivo 'Referência 06-2024.xlsm)</v>
      </c>
      <c r="S413" s="123" t="str">
        <f ca="1">REFERENCIA.Unidade</f>
        <v>-</v>
      </c>
      <c r="T413" s="124">
        <f ca="1">OFFSET(CÁLCULO!H$15,ROW($T413)-ROW(T$15),0)</f>
        <v>6</v>
      </c>
      <c r="U413" s="125">
        <f t="shared" ca="1" si="108"/>
        <v>0</v>
      </c>
      <c r="V413" s="126" t="s">
        <v>156</v>
      </c>
      <c r="W413" s="124">
        <f ca="1">IF($C413="S",ROUND(IF(TIPOORCAMENTO="Proposto",ORÇAMENTO.CustoUnitario*(1+$AH413),ORÇAMENTO.PrecoUnitarioLicitado),15-13*$AF$10),0)</f>
        <v>0</v>
      </c>
      <c r="X413" s="127">
        <f ca="1">IF($C413="S",IF(Import.TipoArredondamento&lt;&gt;"TransfereGOV",VTOTAL1,SUM(OFFSET(CÁLCULO!$AI$15,ROW($X413)-ROW($X$15),1):OFFSET(CÁLCULO!$BB$15,ROW($X413)-ROW($X$15),-1))),IF($C413=0,0,ROUND(SomaAgrup,15-13*$AF$11)))</f>
        <v>0</v>
      </c>
      <c r="Y413" s="128" t="s">
        <v>245</v>
      </c>
      <c r="Z413" t="str">
        <f t="shared" ca="1" si="102"/>
        <v/>
      </c>
      <c r="AA413" s="129">
        <f ca="1">IF($C413="S",IF($Z413="CP",$X413,IF($Z413="RA",(($X413)*QCI!$AA$3),0)),SomaAgrup)</f>
        <v>0</v>
      </c>
      <c r="AB413" s="130">
        <f t="shared" ca="1" si="103"/>
        <v>0</v>
      </c>
      <c r="AC413" s="131" t="str">
        <f ca="1">IF($N413="","",IF(ORÇAMENTO.Descricao="","DESCRIÇÃO",IF(AND($C413="S",ORÇAMENTO.Unidade=""),"UNIDADE",IF($X413&lt;0,"VALOR NEGATIVO",IF(OR(AND(TIPOORCAMENTO="Proposto",$AG413&lt;&gt;"",$AG413&gt;0,ORÇAMENTO.CustoUnitario&gt;$AG413),AND(TIPOORCAMENTO="LICITADO",ORÇAMENTO.PrecoUnitarioLicitado&gt;$AN413)),"ACIMA REF.","")))))</f>
        <v/>
      </c>
      <c r="AD413" t="str">
        <f ca="1">IF(C413&lt;=CRONO.NivelExibicao,MAX($AD$15:OFFSET(AD413,-1,0))+IF($C413&lt;&gt;1,1,MAX(1,COUNTIF(QCI!$A$13:$A$24,OFFSET($E413,-1,0)))),"")</f>
        <v/>
      </c>
      <c r="AE413" s="7" t="str">
        <f ca="1">IF(AND($C413="S",ORÇAMENTO.CodBarra&lt;&gt;""),IF(ORÇAMENTO.Fonte="",ORÇAMENTO.CodBarra,CONCATENATE(ORÇAMENTO.Fonte," ",ORÇAMENTO.CodBarra)))</f>
        <v>SINAPI 97549</v>
      </c>
      <c r="AF413" s="13" t="str">
        <f ca="1">IF(ISERROR(INDIRECT(ORÇAMENTO.BancoRef)),"(abra o arquivo 'Referência "&amp;Excel_BuiltIn_Database&amp;".xlsm)",IF(OR($C413&lt;&gt;"S",ORÇAMENTO.CodBarra=""),"(Sem Código)",IF(ISERROR(MATCH($AE413,INDIRECT(ORÇAMENTO.BancoRef),0)),"(Código não identificado nas referências)",MATCH($AE413,INDIRECT(ORÇAMENTO.BancoRef),0))))</f>
        <v>(abra o arquivo 'Referência 06-2024.xlsm)</v>
      </c>
      <c r="AG413" s="498">
        <f ca="1">ROUND(IF(DESONERACAO="sim",REFERENCIA.Desonerado,REFERENCIA.NaoDesonerado),2)</f>
        <v>0</v>
      </c>
      <c r="AH413" s="499">
        <f t="shared" ca="1" si="104"/>
        <v>0.2432</v>
      </c>
      <c r="AJ413" s="501"/>
      <c r="AL413" s="527"/>
      <c r="AM413" s="381">
        <f t="shared" ca="1" si="105"/>
        <v>0</v>
      </c>
      <c r="AN413" s="566">
        <f t="shared" ca="1" si="106"/>
        <v>0</v>
      </c>
    </row>
    <row r="414" spans="1:40" ht="38.25" x14ac:dyDescent="0.2">
      <c r="A414" t="str">
        <f t="shared" si="91"/>
        <v>S</v>
      </c>
      <c r="B414">
        <f t="shared" ca="1" si="92"/>
        <v>2</v>
      </c>
      <c r="C414" t="str">
        <f t="shared" ca="1" si="93"/>
        <v>S</v>
      </c>
      <c r="D414">
        <f t="shared" ca="1" si="94"/>
        <v>0</v>
      </c>
      <c r="E414">
        <f ca="1">IF($C414=1,OFFSET(E414,-1,0)+MAX(1,COUNTIF(QCI!$A$13:$A$24,OFFSET(ORÇAMENTO!E414,-1,0))),OFFSET(E414,-1,0))</f>
        <v>1</v>
      </c>
      <c r="F414">
        <f t="shared" ca="1" si="95"/>
        <v>44</v>
      </c>
      <c r="G414">
        <f t="shared" ca="1" si="96"/>
        <v>0</v>
      </c>
      <c r="H414">
        <f t="shared" ca="1" si="97"/>
        <v>0</v>
      </c>
      <c r="I414">
        <f t="shared" ca="1" si="98"/>
        <v>0</v>
      </c>
      <c r="J414">
        <f t="shared" ca="1" si="107"/>
        <v>0</v>
      </c>
      <c r="K414">
        <f ca="1">IF(OR($C414="S",$C414=0),0,MATCH(OFFSET($D414,0,$C414)+IF($C414&lt;&gt;1,1,COUNTIF(QCI!$A$13:$A$24,ORÇAMENTO!E414)),OFFSET($D414,1,$C414,ROW($C$727)-ROW($C414)),0))</f>
        <v>0</v>
      </c>
      <c r="L414" s="116" t="str">
        <f t="shared" ca="1" si="99"/>
        <v/>
      </c>
      <c r="M414" s="117" t="s">
        <v>199</v>
      </c>
      <c r="N414" s="118" t="str">
        <f t="shared" ca="1" si="100"/>
        <v>Serviço</v>
      </c>
      <c r="O414" s="119" t="str">
        <f t="shared" ca="1" si="101"/>
        <v>-</v>
      </c>
      <c r="P414" s="120" t="s">
        <v>247</v>
      </c>
      <c r="Q414" s="121" t="s">
        <v>788</v>
      </c>
      <c r="R414" s="122" t="str">
        <f ca="1">IF($C414="S",REFERENCIA.Descricao,"(digite a descrição aqui)")</f>
        <v>(abra o arquivo 'Referência 06-2024.xlsm)</v>
      </c>
      <c r="S414" s="123" t="str">
        <f ca="1">REFERENCIA.Unidade</f>
        <v>-</v>
      </c>
      <c r="T414" s="124">
        <f ca="1">OFFSET(CÁLCULO!H$15,ROW($T414)-ROW(T$15),0)</f>
        <v>2</v>
      </c>
      <c r="U414" s="125">
        <f t="shared" ca="1" si="108"/>
        <v>0</v>
      </c>
      <c r="V414" s="126" t="s">
        <v>156</v>
      </c>
      <c r="W414" s="124">
        <f ca="1">IF($C414="S",ROUND(IF(TIPOORCAMENTO="Proposto",ORÇAMENTO.CustoUnitario*(1+$AH414),ORÇAMENTO.PrecoUnitarioLicitado),15-13*$AF$10),0)</f>
        <v>0</v>
      </c>
      <c r="X414" s="127">
        <f ca="1">IF($C414="S",IF(Import.TipoArredondamento&lt;&gt;"TransfereGOV",VTOTAL1,SUM(OFFSET(CÁLCULO!$AI$15,ROW($X414)-ROW($X$15),1):OFFSET(CÁLCULO!$BB$15,ROW($X414)-ROW($X$15),-1))),IF($C414=0,0,ROUND(SomaAgrup,15-13*$AF$11)))</f>
        <v>0</v>
      </c>
      <c r="Y414" s="128" t="s">
        <v>245</v>
      </c>
      <c r="Z414" t="str">
        <f t="shared" ca="1" si="102"/>
        <v/>
      </c>
      <c r="AA414" s="129">
        <f ca="1">IF($C414="S",IF($Z414="CP",$X414,IF($Z414="RA",(($X414)*QCI!$AA$3),0)),SomaAgrup)</f>
        <v>0</v>
      </c>
      <c r="AB414" s="130">
        <f t="shared" ca="1" si="103"/>
        <v>0</v>
      </c>
      <c r="AC414" s="131" t="str">
        <f ca="1">IF($N414="","",IF(ORÇAMENTO.Descricao="","DESCRIÇÃO",IF(AND($C414="S",ORÇAMENTO.Unidade=""),"UNIDADE",IF($X414&lt;0,"VALOR NEGATIVO",IF(OR(AND(TIPOORCAMENTO="Proposto",$AG414&lt;&gt;"",$AG414&gt;0,ORÇAMENTO.CustoUnitario&gt;$AG414),AND(TIPOORCAMENTO="LICITADO",ORÇAMENTO.PrecoUnitarioLicitado&gt;$AN414)),"ACIMA REF.","")))))</f>
        <v/>
      </c>
      <c r="AD414" t="str">
        <f ca="1">IF(C414&lt;=CRONO.NivelExibicao,MAX($AD$15:OFFSET(AD414,-1,0))+IF($C414&lt;&gt;1,1,MAX(1,COUNTIF(QCI!$A$13:$A$24,OFFSET($E414,-1,0)))),"")</f>
        <v/>
      </c>
      <c r="AE414" s="7" t="str">
        <f ca="1">IF(AND($C414="S",ORÇAMENTO.CodBarra&lt;&gt;""),IF(ORÇAMENTO.Fonte="",ORÇAMENTO.CodBarra,CONCATENATE(ORÇAMENTO.Fonte," ",ORÇAMENTO.CodBarra)))</f>
        <v>SINAPI 97547</v>
      </c>
      <c r="AF414" s="13" t="str">
        <f ca="1">IF(ISERROR(INDIRECT(ORÇAMENTO.BancoRef)),"(abra o arquivo 'Referência "&amp;Excel_BuiltIn_Database&amp;".xlsm)",IF(OR($C414&lt;&gt;"S",ORÇAMENTO.CodBarra=""),"(Sem Código)",IF(ISERROR(MATCH($AE414,INDIRECT(ORÇAMENTO.BancoRef),0)),"(Código não identificado nas referências)",MATCH($AE414,INDIRECT(ORÇAMENTO.BancoRef),0))))</f>
        <v>(abra o arquivo 'Referência 06-2024.xlsm)</v>
      </c>
      <c r="AG414" s="498">
        <f ca="1">ROUND(IF(DESONERACAO="sim",REFERENCIA.Desonerado,REFERENCIA.NaoDesonerado),2)</f>
        <v>0</v>
      </c>
      <c r="AH414" s="499">
        <f t="shared" ca="1" si="104"/>
        <v>0.2432</v>
      </c>
      <c r="AJ414" s="501"/>
      <c r="AL414" s="527"/>
      <c r="AM414" s="381">
        <f t="shared" ca="1" si="105"/>
        <v>0</v>
      </c>
      <c r="AN414" s="566">
        <f t="shared" ca="1" si="106"/>
        <v>0</v>
      </c>
    </row>
    <row r="415" spans="1:40" x14ac:dyDescent="0.2">
      <c r="A415">
        <f t="shared" ref="A415:A441" si="109">CHOOSE(1+LOG(1+2*(ORÇAMENTO.Nivel="Meta")+4*(ORÇAMENTO.Nivel="Nível 2")+8*(ORÇAMENTO.Nivel="Nível 3")+16*(ORÇAMENTO.Nivel="Nível 4")+32*(ORÇAMENTO.Nivel="Serviço"),2),0,1,2,3,4,"S")</f>
        <v>2</v>
      </c>
      <c r="B415">
        <f t="shared" ca="1" si="92"/>
        <v>2</v>
      </c>
      <c r="C415">
        <f t="shared" ca="1" si="93"/>
        <v>2</v>
      </c>
      <c r="D415">
        <f t="shared" ca="1" si="94"/>
        <v>3</v>
      </c>
      <c r="E415">
        <f ca="1">IF($C415=1,OFFSET(E415,-1,0)+MAX(1,COUNTIF(QCI!$A$13:$A$24,OFFSET(ORÇAMENTO!E415,-1,0))),OFFSET(E415,-1,0))</f>
        <v>1</v>
      </c>
      <c r="F415">
        <f t="shared" ca="1" si="95"/>
        <v>45</v>
      </c>
      <c r="G415">
        <f t="shared" ca="1" si="96"/>
        <v>0</v>
      </c>
      <c r="H415">
        <f t="shared" ca="1" si="97"/>
        <v>0</v>
      </c>
      <c r="I415">
        <f t="shared" ca="1" si="98"/>
        <v>0</v>
      </c>
      <c r="J415">
        <f t="shared" ca="1" si="107"/>
        <v>312</v>
      </c>
      <c r="K415">
        <f ca="1">IF(OR($C415="S",$C415=0),0,MATCH(OFFSET($D415,0,$C415)+IF($C415&lt;&gt;1,1,COUNTIF(QCI!$A$13:$A$24,ORÇAMENTO!E415)),OFFSET($D415,1,$C415,ROW($C$727)-ROW($C415)),0))</f>
        <v>3</v>
      </c>
      <c r="L415" s="116" t="str">
        <f t="shared" ca="1" si="99"/>
        <v>F</v>
      </c>
      <c r="M415" s="117" t="s">
        <v>196</v>
      </c>
      <c r="N415" s="118" t="str">
        <f t="shared" ca="1" si="100"/>
        <v>Nível 2</v>
      </c>
      <c r="O415" s="119" t="str">
        <f t="shared" ca="1" si="101"/>
        <v>1.45.</v>
      </c>
      <c r="P415" s="120" t="s">
        <v>247</v>
      </c>
      <c r="Q415" s="121"/>
      <c r="R415" s="122" t="s">
        <v>1068</v>
      </c>
      <c r="S415" s="123" t="str">
        <f ca="1">REFERENCIA.Unidade</f>
        <v>-</v>
      </c>
      <c r="T415" s="124">
        <f ca="1">OFFSET(CÁLCULO!H$15,ROW($T415)-ROW(T$15),0)</f>
        <v>0</v>
      </c>
      <c r="U415" s="125">
        <f t="shared" ca="1" si="108"/>
        <v>0</v>
      </c>
      <c r="V415" s="126" t="s">
        <v>156</v>
      </c>
      <c r="W415" s="124">
        <f ca="1">IF($C415="S",ROUND(IF(TIPOORCAMENTO="Proposto",ORÇAMENTO.CustoUnitario*(1+$AH415),ORÇAMENTO.PrecoUnitarioLicitado),15-13*$AF$10),0)</f>
        <v>0</v>
      </c>
      <c r="X415" s="127">
        <f ca="1">IF($C415="S",IF(Import.TipoArredondamento&lt;&gt;"TransfereGOV",VTOTAL1,SUM(OFFSET(CÁLCULO!$AI$15,ROW($X415)-ROW($X$15),1):OFFSET(CÁLCULO!$BB$15,ROW($X415)-ROW($X$15),-1))),IF($C415=0,0,ROUND(SomaAgrup,15-13*$AF$11)))</f>
        <v>0</v>
      </c>
      <c r="Y415" s="128" t="s">
        <v>245</v>
      </c>
      <c r="Z415" t="str">
        <f t="shared" ca="1" si="102"/>
        <v/>
      </c>
      <c r="AA415" s="129">
        <f ca="1">IF($C415="S",IF($Z415="CP",$X415,IF($Z415="RA",(($X415)*QCI!$AA$3),0)),SomaAgrup)</f>
        <v>0</v>
      </c>
      <c r="AB415" s="130">
        <f t="shared" ref="AB415:AB441" ca="1" si="110">IF($C415="S",IF($Z415="OU",ROUND($X415,2),0),SomaAgrup)</f>
        <v>0</v>
      </c>
      <c r="AC415" s="131" t="str">
        <f ca="1">IF($N415="","",IF(ORÇAMENTO.Descricao="","DESCRIÇÃO",IF(AND($C415="S",ORÇAMENTO.Unidade=""),"UNIDADE",IF($X415&lt;0,"VALOR NEGATIVO",IF(OR(AND(TIPOORCAMENTO="Proposto",$AG415&lt;&gt;"",$AG415&gt;0,ORÇAMENTO.CustoUnitario&gt;$AG415),AND(TIPOORCAMENTO="LICITADO",ORÇAMENTO.PrecoUnitarioLicitado&gt;$AN415)),"ACIMA REF.","")))))</f>
        <v/>
      </c>
      <c r="AD415">
        <f ca="1">IF(C415&lt;=CRONO.NivelExibicao,MAX($AD$15:OFFSET(AD415,-1,0))+IF($C415&lt;&gt;1,1,MAX(1,COUNTIF(QCI!$A$13:$A$24,OFFSET($E415,-1,0)))),"")</f>
        <v>46</v>
      </c>
      <c r="AE415" s="7" t="b">
        <f ca="1">IF(AND($C415="S",ORÇAMENTO.CodBarra&lt;&gt;""),IF(ORÇAMENTO.Fonte="",ORÇAMENTO.CodBarra,CONCATENATE(ORÇAMENTO.Fonte," ",ORÇAMENTO.CodBarra)))</f>
        <v>0</v>
      </c>
      <c r="AF415" s="13" t="str">
        <f ca="1">IF(ISERROR(INDIRECT(ORÇAMENTO.BancoRef)),"(abra o arquivo 'Referência "&amp;Excel_BuiltIn_Database&amp;".xlsm)",IF(OR($C415&lt;&gt;"S",ORÇAMENTO.CodBarra=""),"(Sem Código)",IF(ISERROR(MATCH($AE415,INDIRECT(ORÇAMENTO.BancoRef),0)),"(Código não identificado nas referências)",MATCH($AE415,INDIRECT(ORÇAMENTO.BancoRef),0))))</f>
        <v>(abra o arquivo 'Referência 06-2024.xlsm)</v>
      </c>
      <c r="AG415" s="498">
        <f ca="1">ROUND(IF(DESONERACAO="sim",REFERENCIA.Desonerado,REFERENCIA.NaoDesonerado),2)</f>
        <v>0</v>
      </c>
      <c r="AH415" s="499">
        <f t="shared" ref="AH415:AH441" ca="1" si="111">ROUND(IF(ISNUMBER(ORÇAMENTO.OpcaoBDI),ORÇAMENTO.OpcaoBDI,IF(LEFT(ORÇAMENTO.OpcaoBDI,3)="BDI",HLOOKUP(ORÇAMENTO.OpcaoBDI,$F$4:$H$5,2,FALSE),0)),15-11*$AF$9)</f>
        <v>0.2432</v>
      </c>
      <c r="AJ415" s="501"/>
      <c r="AL415" s="527"/>
      <c r="AM415" s="381">
        <f t="shared" ca="1" si="105"/>
        <v>0</v>
      </c>
      <c r="AN415" s="566">
        <f t="shared" ref="AN415:AN441" ca="1" si="112">ROUND(ORÇAMENTO.CustoUnitario*(1+$AH415),2)</f>
        <v>0</v>
      </c>
    </row>
    <row r="416" spans="1:40" ht="25.5" x14ac:dyDescent="0.2">
      <c r="A416" t="str">
        <f t="shared" si="109"/>
        <v>S</v>
      </c>
      <c r="B416">
        <f t="shared" ca="1" si="92"/>
        <v>2</v>
      </c>
      <c r="C416" t="str">
        <f t="shared" ca="1" si="93"/>
        <v>S</v>
      </c>
      <c r="D416">
        <f t="shared" ca="1" si="94"/>
        <v>0</v>
      </c>
      <c r="E416">
        <f ca="1">IF($C416=1,OFFSET(E416,-1,0)+MAX(1,COUNTIF(QCI!$A$13:$A$24,OFFSET(ORÇAMENTO!E416,-1,0))),OFFSET(E416,-1,0))</f>
        <v>1</v>
      </c>
      <c r="F416">
        <f t="shared" ca="1" si="95"/>
        <v>45</v>
      </c>
      <c r="G416">
        <f t="shared" ca="1" si="96"/>
        <v>0</v>
      </c>
      <c r="H416">
        <f t="shared" ca="1" si="97"/>
        <v>0</v>
      </c>
      <c r="I416">
        <f t="shared" ca="1" si="98"/>
        <v>0</v>
      </c>
      <c r="J416">
        <f t="shared" ca="1" si="107"/>
        <v>0</v>
      </c>
      <c r="K416">
        <f ca="1">IF(OR($C416="S",$C416=0),0,MATCH(OFFSET($D416,0,$C416)+IF($C416&lt;&gt;1,1,COUNTIF(QCI!$A$13:$A$24,ORÇAMENTO!E416)),OFFSET($D416,1,$C416,ROW($C$727)-ROW($C416)),0))</f>
        <v>0</v>
      </c>
      <c r="L416" s="116" t="str">
        <f t="shared" ca="1" si="99"/>
        <v/>
      </c>
      <c r="M416" s="117" t="s">
        <v>199</v>
      </c>
      <c r="N416" s="118" t="str">
        <f t="shared" ca="1" si="100"/>
        <v>Serviço</v>
      </c>
      <c r="O416" s="119" t="str">
        <f t="shared" ca="1" si="101"/>
        <v>-</v>
      </c>
      <c r="P416" s="120" t="s">
        <v>247</v>
      </c>
      <c r="Q416" s="121" t="s">
        <v>789</v>
      </c>
      <c r="R416" s="122" t="str">
        <f ca="1">IF($C416="S",REFERENCIA.Descricao,"(digite a descrição aqui)")</f>
        <v>(abra o arquivo 'Referência 06-2024.xlsm)</v>
      </c>
      <c r="S416" s="123" t="str">
        <f ca="1">REFERENCIA.Unidade</f>
        <v>-</v>
      </c>
      <c r="T416" s="124">
        <f ca="1">OFFSET(CÁLCULO!H$15,ROW($T416)-ROW(T$15),0)</f>
        <v>8</v>
      </c>
      <c r="U416" s="125">
        <f t="shared" ca="1" si="108"/>
        <v>0</v>
      </c>
      <c r="V416" s="126" t="s">
        <v>156</v>
      </c>
      <c r="W416" s="124">
        <f ca="1">IF($C416="S",ROUND(IF(TIPOORCAMENTO="Proposto",ORÇAMENTO.CustoUnitario*(1+$AH416),ORÇAMENTO.PrecoUnitarioLicitado),15-13*$AF$10),0)</f>
        <v>0</v>
      </c>
      <c r="X416" s="127">
        <f ca="1">IF($C416="S",IF(Import.TipoArredondamento&lt;&gt;"TransfereGOV",VTOTAL1,SUM(OFFSET(CÁLCULO!$AI$15,ROW($X416)-ROW($X$15),1):OFFSET(CÁLCULO!$BB$15,ROW($X416)-ROW($X$15),-1))),IF($C416=0,0,ROUND(SomaAgrup,15-13*$AF$11)))</f>
        <v>0</v>
      </c>
      <c r="Y416" s="128" t="s">
        <v>245</v>
      </c>
      <c r="Z416" t="str">
        <f t="shared" ca="1" si="102"/>
        <v/>
      </c>
      <c r="AA416" s="129">
        <f ca="1">IF($C416="S",IF($Z416="CP",$X416,IF($Z416="RA",(($X416)*QCI!$AA$3),0)),SomaAgrup)</f>
        <v>0</v>
      </c>
      <c r="AB416" s="130">
        <f t="shared" ca="1" si="110"/>
        <v>0</v>
      </c>
      <c r="AC416" s="131" t="str">
        <f ca="1">IF($N416="","",IF(ORÇAMENTO.Descricao="","DESCRIÇÃO",IF(AND($C416="S",ORÇAMENTO.Unidade=""),"UNIDADE",IF($X416&lt;0,"VALOR NEGATIVO",IF(OR(AND(TIPOORCAMENTO="Proposto",$AG416&lt;&gt;"",$AG416&gt;0,ORÇAMENTO.CustoUnitario&gt;$AG416),AND(TIPOORCAMENTO="LICITADO",ORÇAMENTO.PrecoUnitarioLicitado&gt;$AN416)),"ACIMA REF.","")))))</f>
        <v/>
      </c>
      <c r="AD416" t="str">
        <f ca="1">IF(C416&lt;=CRONO.NivelExibicao,MAX($AD$15:OFFSET(AD416,-1,0))+IF($C416&lt;&gt;1,1,MAX(1,COUNTIF(QCI!$A$13:$A$24,OFFSET($E416,-1,0)))),"")</f>
        <v/>
      </c>
      <c r="AE416" s="7" t="str">
        <f ca="1">IF(AND($C416="S",ORÇAMENTO.CodBarra&lt;&gt;""),IF(ORÇAMENTO.Fonte="",ORÇAMENTO.CodBarra,CONCATENATE(ORÇAMENTO.Fonte," ",ORÇAMENTO.CodBarra)))</f>
        <v>SINAPI 101908</v>
      </c>
      <c r="AF416" s="13" t="str">
        <f ca="1">IF(ISERROR(INDIRECT(ORÇAMENTO.BancoRef)),"(abra o arquivo 'Referência "&amp;Excel_BuiltIn_Database&amp;".xlsm)",IF(OR($C416&lt;&gt;"S",ORÇAMENTO.CodBarra=""),"(Sem Código)",IF(ISERROR(MATCH($AE416,INDIRECT(ORÇAMENTO.BancoRef),0)),"(Código não identificado nas referências)",MATCH($AE416,INDIRECT(ORÇAMENTO.BancoRef),0))))</f>
        <v>(abra o arquivo 'Referência 06-2024.xlsm)</v>
      </c>
      <c r="AG416" s="498">
        <f ca="1">ROUND(IF(DESONERACAO="sim",REFERENCIA.Desonerado,REFERENCIA.NaoDesonerado),2)</f>
        <v>0</v>
      </c>
      <c r="AH416" s="499">
        <f t="shared" ca="1" si="111"/>
        <v>0.2432</v>
      </c>
      <c r="AJ416" s="501"/>
      <c r="AL416" s="527"/>
      <c r="AM416" s="381">
        <f t="shared" ca="1" si="105"/>
        <v>0</v>
      </c>
      <c r="AN416" s="566">
        <f t="shared" ca="1" si="112"/>
        <v>0</v>
      </c>
    </row>
    <row r="417" spans="1:40" ht="25.5" x14ac:dyDescent="0.2">
      <c r="A417" t="str">
        <f t="shared" si="109"/>
        <v>S</v>
      </c>
      <c r="B417">
        <f t="shared" ca="1" si="92"/>
        <v>2</v>
      </c>
      <c r="C417" t="str">
        <f t="shared" ca="1" si="93"/>
        <v>S</v>
      </c>
      <c r="D417">
        <f t="shared" ca="1" si="94"/>
        <v>0</v>
      </c>
      <c r="E417">
        <f ca="1">IF($C417=1,OFFSET(E417,-1,0)+MAX(1,COUNTIF(QCI!$A$13:$A$24,OFFSET(ORÇAMENTO!E417,-1,0))),OFFSET(E417,-1,0))</f>
        <v>1</v>
      </c>
      <c r="F417">
        <f t="shared" ca="1" si="95"/>
        <v>45</v>
      </c>
      <c r="G417">
        <f t="shared" ca="1" si="96"/>
        <v>0</v>
      </c>
      <c r="H417">
        <f t="shared" ca="1" si="97"/>
        <v>0</v>
      </c>
      <c r="I417">
        <f t="shared" ca="1" si="98"/>
        <v>0</v>
      </c>
      <c r="J417">
        <f t="shared" ca="1" si="107"/>
        <v>0</v>
      </c>
      <c r="K417">
        <f ca="1">IF(OR($C417="S",$C417=0),0,MATCH(OFFSET($D417,0,$C417)+IF($C417&lt;&gt;1,1,COUNTIF(QCI!$A$13:$A$24,ORÇAMENTO!E417)),OFFSET($D417,1,$C417,ROW($C$727)-ROW($C417)),0))</f>
        <v>0</v>
      </c>
      <c r="L417" s="116" t="str">
        <f t="shared" ca="1" si="99"/>
        <v/>
      </c>
      <c r="M417" s="117" t="s">
        <v>199</v>
      </c>
      <c r="N417" s="118" t="str">
        <f t="shared" ca="1" si="100"/>
        <v>Serviço</v>
      </c>
      <c r="O417" s="119" t="str">
        <f t="shared" ca="1" si="101"/>
        <v>-</v>
      </c>
      <c r="P417" s="120" t="s">
        <v>247</v>
      </c>
      <c r="Q417" s="121" t="s">
        <v>790</v>
      </c>
      <c r="R417" s="122" t="str">
        <f ca="1">IF($C417="S",REFERENCIA.Descricao,"(digite a descrição aqui)")</f>
        <v>(abra o arquivo 'Referência 06-2024.xlsm)</v>
      </c>
      <c r="S417" s="123" t="str">
        <f ca="1">REFERENCIA.Unidade</f>
        <v>-</v>
      </c>
      <c r="T417" s="124">
        <f ca="1">OFFSET(CÁLCULO!H$15,ROW($T417)-ROW(T$15),0)</f>
        <v>1</v>
      </c>
      <c r="U417" s="125">
        <f t="shared" ca="1" si="108"/>
        <v>0</v>
      </c>
      <c r="V417" s="126" t="s">
        <v>156</v>
      </c>
      <c r="W417" s="124">
        <f ca="1">IF($C417="S",ROUND(IF(TIPOORCAMENTO="Proposto",ORÇAMENTO.CustoUnitario*(1+$AH417),ORÇAMENTO.PrecoUnitarioLicitado),15-13*$AF$10),0)</f>
        <v>0</v>
      </c>
      <c r="X417" s="127">
        <f ca="1">IF($C417="S",IF(Import.TipoArredondamento&lt;&gt;"TransfereGOV",VTOTAL1,SUM(OFFSET(CÁLCULO!$AI$15,ROW($X417)-ROW($X$15),1):OFFSET(CÁLCULO!$BB$15,ROW($X417)-ROW($X$15),-1))),IF($C417=0,0,ROUND(SomaAgrup,15-13*$AF$11)))</f>
        <v>0</v>
      </c>
      <c r="Y417" s="128" t="s">
        <v>245</v>
      </c>
      <c r="Z417" t="str">
        <f t="shared" ca="1" si="102"/>
        <v/>
      </c>
      <c r="AA417" s="129">
        <f ca="1">IF($C417="S",IF($Z417="CP",$X417,IF($Z417="RA",(($X417)*QCI!$AA$3),0)),SomaAgrup)</f>
        <v>0</v>
      </c>
      <c r="AB417" s="130">
        <f t="shared" ca="1" si="110"/>
        <v>0</v>
      </c>
      <c r="AC417" s="131" t="str">
        <f ca="1">IF($N417="","",IF(ORÇAMENTO.Descricao="","DESCRIÇÃO",IF(AND($C417="S",ORÇAMENTO.Unidade=""),"UNIDADE",IF($X417&lt;0,"VALOR NEGATIVO",IF(OR(AND(TIPOORCAMENTO="Proposto",$AG417&lt;&gt;"",$AG417&gt;0,ORÇAMENTO.CustoUnitario&gt;$AG417),AND(TIPOORCAMENTO="LICITADO",ORÇAMENTO.PrecoUnitarioLicitado&gt;$AN417)),"ACIMA REF.","")))))</f>
        <v/>
      </c>
      <c r="AD417" t="str">
        <f ca="1">IF(C417&lt;=CRONO.NivelExibicao,MAX($AD$15:OFFSET(AD417,-1,0))+IF($C417&lt;&gt;1,1,MAX(1,COUNTIF(QCI!$A$13:$A$24,OFFSET($E417,-1,0)))),"")</f>
        <v/>
      </c>
      <c r="AE417" s="7" t="str">
        <f ca="1">IF(AND($C417="S",ORÇAMENTO.CodBarra&lt;&gt;""),IF(ORÇAMENTO.Fonte="",ORÇAMENTO.CodBarra,CONCATENATE(ORÇAMENTO.Fonte," ",ORÇAMENTO.CodBarra)))</f>
        <v>SINAPI 101909</v>
      </c>
      <c r="AF417" s="13" t="str">
        <f ca="1">IF(ISERROR(INDIRECT(ORÇAMENTO.BancoRef)),"(abra o arquivo 'Referência "&amp;Excel_BuiltIn_Database&amp;".xlsm)",IF(OR($C417&lt;&gt;"S",ORÇAMENTO.CodBarra=""),"(Sem Código)",IF(ISERROR(MATCH($AE417,INDIRECT(ORÇAMENTO.BancoRef),0)),"(Código não identificado nas referências)",MATCH($AE417,INDIRECT(ORÇAMENTO.BancoRef),0))))</f>
        <v>(abra o arquivo 'Referência 06-2024.xlsm)</v>
      </c>
      <c r="AG417" s="498">
        <f ca="1">ROUND(IF(DESONERACAO="sim",REFERENCIA.Desonerado,REFERENCIA.NaoDesonerado),2)</f>
        <v>0</v>
      </c>
      <c r="AH417" s="499">
        <f t="shared" ca="1" si="111"/>
        <v>0.2432</v>
      </c>
      <c r="AJ417" s="501"/>
      <c r="AL417" s="527"/>
      <c r="AM417" s="381">
        <f t="shared" ca="1" si="105"/>
        <v>0</v>
      </c>
      <c r="AN417" s="566">
        <f t="shared" ca="1" si="112"/>
        <v>0</v>
      </c>
    </row>
    <row r="418" spans="1:40" x14ac:dyDescent="0.2">
      <c r="A418">
        <f t="shared" si="109"/>
        <v>2</v>
      </c>
      <c r="B418">
        <f t="shared" ca="1" si="92"/>
        <v>2</v>
      </c>
      <c r="C418">
        <f t="shared" ca="1" si="93"/>
        <v>2</v>
      </c>
      <c r="D418">
        <f t="shared" ca="1" si="94"/>
        <v>3</v>
      </c>
      <c r="E418">
        <f ca="1">IF($C418=1,OFFSET(E418,-1,0)+MAX(1,COUNTIF(QCI!$A$13:$A$24,OFFSET(ORÇAMENTO!E418,-1,0))),OFFSET(E418,-1,0))</f>
        <v>1</v>
      </c>
      <c r="F418">
        <f t="shared" ca="1" si="95"/>
        <v>46</v>
      </c>
      <c r="G418">
        <f t="shared" ca="1" si="96"/>
        <v>0</v>
      </c>
      <c r="H418">
        <f t="shared" ca="1" si="97"/>
        <v>0</v>
      </c>
      <c r="I418">
        <f t="shared" ca="1" si="98"/>
        <v>0</v>
      </c>
      <c r="J418">
        <f t="shared" ca="1" si="107"/>
        <v>309</v>
      </c>
      <c r="K418">
        <f ca="1">IF(OR($C418="S",$C418=0),0,MATCH(OFFSET($D418,0,$C418)+IF($C418&lt;&gt;1,1,COUNTIF(QCI!$A$13:$A$24,ORÇAMENTO!E418)),OFFSET($D418,1,$C418,ROW($C$727)-ROW($C418)),0))</f>
        <v>3</v>
      </c>
      <c r="L418" s="116" t="str">
        <f t="shared" ca="1" si="99"/>
        <v>F</v>
      </c>
      <c r="M418" s="117" t="s">
        <v>196</v>
      </c>
      <c r="N418" s="118" t="str">
        <f t="shared" ca="1" si="100"/>
        <v>Nível 2</v>
      </c>
      <c r="O418" s="119" t="str">
        <f t="shared" ca="1" si="101"/>
        <v>1.46.</v>
      </c>
      <c r="P418" s="120" t="s">
        <v>247</v>
      </c>
      <c r="Q418" s="121"/>
      <c r="R418" s="122" t="s">
        <v>1069</v>
      </c>
      <c r="S418" s="123" t="str">
        <f ca="1">REFERENCIA.Unidade</f>
        <v>-</v>
      </c>
      <c r="T418" s="124">
        <f ca="1">OFFSET(CÁLCULO!H$15,ROW($T418)-ROW(T$15),0)</f>
        <v>0</v>
      </c>
      <c r="U418" s="125">
        <f t="shared" ca="1" si="108"/>
        <v>0</v>
      </c>
      <c r="V418" s="126" t="s">
        <v>156</v>
      </c>
      <c r="W418" s="124">
        <f ca="1">IF($C418="S",ROUND(IF(TIPOORCAMENTO="Proposto",ORÇAMENTO.CustoUnitario*(1+$AH418),ORÇAMENTO.PrecoUnitarioLicitado),15-13*$AF$10),0)</f>
        <v>0</v>
      </c>
      <c r="X418" s="127">
        <f ca="1">IF($C418="S",IF(Import.TipoArredondamento&lt;&gt;"TransfereGOV",VTOTAL1,SUM(OFFSET(CÁLCULO!$AI$15,ROW($X418)-ROW($X$15),1):OFFSET(CÁLCULO!$BB$15,ROW($X418)-ROW($X$15),-1))),IF($C418=0,0,ROUND(SomaAgrup,15-13*$AF$11)))</f>
        <v>0</v>
      </c>
      <c r="Y418" s="128" t="s">
        <v>245</v>
      </c>
      <c r="Z418" t="str">
        <f t="shared" ca="1" si="102"/>
        <v/>
      </c>
      <c r="AA418" s="129">
        <f ca="1">IF($C418="S",IF($Z418="CP",$X418,IF($Z418="RA",(($X418)*QCI!$AA$3),0)),SomaAgrup)</f>
        <v>0</v>
      </c>
      <c r="AB418" s="130">
        <f t="shared" ca="1" si="110"/>
        <v>0</v>
      </c>
      <c r="AC418" s="131" t="str">
        <f ca="1">IF($N418="","",IF(ORÇAMENTO.Descricao="","DESCRIÇÃO",IF(AND($C418="S",ORÇAMENTO.Unidade=""),"UNIDADE",IF($X418&lt;0,"VALOR NEGATIVO",IF(OR(AND(TIPOORCAMENTO="Proposto",$AG418&lt;&gt;"",$AG418&gt;0,ORÇAMENTO.CustoUnitario&gt;$AG418),AND(TIPOORCAMENTO="LICITADO",ORÇAMENTO.PrecoUnitarioLicitado&gt;$AN418)),"ACIMA REF.","")))))</f>
        <v/>
      </c>
      <c r="AD418">
        <f ca="1">IF(C418&lt;=CRONO.NivelExibicao,MAX($AD$15:OFFSET(AD418,-1,0))+IF($C418&lt;&gt;1,1,MAX(1,COUNTIF(QCI!$A$13:$A$24,OFFSET($E418,-1,0)))),"")</f>
        <v>47</v>
      </c>
      <c r="AE418" s="7" t="b">
        <f ca="1">IF(AND($C418="S",ORÇAMENTO.CodBarra&lt;&gt;""),IF(ORÇAMENTO.Fonte="",ORÇAMENTO.CodBarra,CONCATENATE(ORÇAMENTO.Fonte," ",ORÇAMENTO.CodBarra)))</f>
        <v>0</v>
      </c>
      <c r="AF418" s="13" t="str">
        <f ca="1">IF(ISERROR(INDIRECT(ORÇAMENTO.BancoRef)),"(abra o arquivo 'Referência "&amp;Excel_BuiltIn_Database&amp;".xlsm)",IF(OR($C418&lt;&gt;"S",ORÇAMENTO.CodBarra=""),"(Sem Código)",IF(ISERROR(MATCH($AE418,INDIRECT(ORÇAMENTO.BancoRef),0)),"(Código não identificado nas referências)",MATCH($AE418,INDIRECT(ORÇAMENTO.BancoRef),0))))</f>
        <v>(abra o arquivo 'Referência 06-2024.xlsm)</v>
      </c>
      <c r="AG418" s="498">
        <f ca="1">ROUND(IF(DESONERACAO="sim",REFERENCIA.Desonerado,REFERENCIA.NaoDesonerado),2)</f>
        <v>0</v>
      </c>
      <c r="AH418" s="499">
        <f t="shared" ca="1" si="111"/>
        <v>0.2432</v>
      </c>
      <c r="AJ418" s="501"/>
      <c r="AL418" s="527"/>
      <c r="AM418" s="381">
        <f t="shared" ca="1" si="105"/>
        <v>0</v>
      </c>
      <c r="AN418" s="566">
        <f t="shared" ca="1" si="112"/>
        <v>0</v>
      </c>
    </row>
    <row r="419" spans="1:40" ht="51" x14ac:dyDescent="0.2">
      <c r="A419" t="str">
        <f t="shared" si="109"/>
        <v>S</v>
      </c>
      <c r="B419">
        <f t="shared" ca="1" si="92"/>
        <v>2</v>
      </c>
      <c r="C419" t="str">
        <f t="shared" ca="1" si="93"/>
        <v>S</v>
      </c>
      <c r="D419">
        <f t="shared" ca="1" si="94"/>
        <v>0</v>
      </c>
      <c r="E419">
        <f ca="1">IF($C419=1,OFFSET(E419,-1,0)+MAX(1,COUNTIF(QCI!$A$13:$A$24,OFFSET(ORÇAMENTO!E419,-1,0))),OFFSET(E419,-1,0))</f>
        <v>1</v>
      </c>
      <c r="F419">
        <f t="shared" ca="1" si="95"/>
        <v>46</v>
      </c>
      <c r="G419">
        <f t="shared" ca="1" si="96"/>
        <v>0</v>
      </c>
      <c r="H419">
        <f t="shared" ca="1" si="97"/>
        <v>0</v>
      </c>
      <c r="I419">
        <f t="shared" ca="1" si="98"/>
        <v>0</v>
      </c>
      <c r="J419">
        <f t="shared" ca="1" si="107"/>
        <v>0</v>
      </c>
      <c r="K419">
        <f ca="1">IF(OR($C419="S",$C419=0),0,MATCH(OFFSET($D419,0,$C419)+IF($C419&lt;&gt;1,1,COUNTIF(QCI!$A$13:$A$24,ORÇAMENTO!E419)),OFFSET($D419,1,$C419,ROW($C$727)-ROW($C419)),0))</f>
        <v>0</v>
      </c>
      <c r="L419" s="116" t="str">
        <f t="shared" ca="1" si="99"/>
        <v/>
      </c>
      <c r="M419" s="117" t="s">
        <v>199</v>
      </c>
      <c r="N419" s="118" t="str">
        <f t="shared" ca="1" si="100"/>
        <v>Serviço</v>
      </c>
      <c r="O419" s="119" t="str">
        <f t="shared" ca="1" si="101"/>
        <v>-</v>
      </c>
      <c r="P419" s="120" t="s">
        <v>247</v>
      </c>
      <c r="Q419" s="121" t="s">
        <v>791</v>
      </c>
      <c r="R419" s="122" t="str">
        <f ca="1">IF($C419="S",REFERENCIA.Descricao,"(digite a descrição aqui)")</f>
        <v>(abra o arquivo 'Referência 06-2024.xlsm)</v>
      </c>
      <c r="S419" s="123" t="str">
        <f ca="1">REFERENCIA.Unidade</f>
        <v>-</v>
      </c>
      <c r="T419" s="124">
        <f ca="1">OFFSET(CÁLCULO!H$15,ROW($T419)-ROW(T$15),0)</f>
        <v>2</v>
      </c>
      <c r="U419" s="125">
        <f t="shared" ca="1" si="108"/>
        <v>0</v>
      </c>
      <c r="V419" s="126" t="s">
        <v>156</v>
      </c>
      <c r="W419" s="124">
        <f ca="1">IF($C419="S",ROUND(IF(TIPOORCAMENTO="Proposto",ORÇAMENTO.CustoUnitario*(1+$AH419),ORÇAMENTO.PrecoUnitarioLicitado),15-13*$AF$10),0)</f>
        <v>0</v>
      </c>
      <c r="X419" s="127">
        <f ca="1">IF($C419="S",IF(Import.TipoArredondamento&lt;&gt;"TransfereGOV",VTOTAL1,SUM(OFFSET(CÁLCULO!$AI$15,ROW($X419)-ROW($X$15),1):OFFSET(CÁLCULO!$BB$15,ROW($X419)-ROW($X$15),-1))),IF($C419=0,0,ROUND(SomaAgrup,15-13*$AF$11)))</f>
        <v>0</v>
      </c>
      <c r="Y419" s="128" t="s">
        <v>245</v>
      </c>
      <c r="Z419" t="str">
        <f t="shared" ca="1" si="102"/>
        <v/>
      </c>
      <c r="AA419" s="129">
        <f ca="1">IF($C419="S",IF($Z419="CP",$X419,IF($Z419="RA",(($X419)*QCI!$AA$3),0)),SomaAgrup)</f>
        <v>0</v>
      </c>
      <c r="AB419" s="130">
        <f t="shared" ca="1" si="110"/>
        <v>0</v>
      </c>
      <c r="AC419" s="131" t="str">
        <f ca="1">IF($N419="","",IF(ORÇAMENTO.Descricao="","DESCRIÇÃO",IF(AND($C419="S",ORÇAMENTO.Unidade=""),"UNIDADE",IF($X419&lt;0,"VALOR NEGATIVO",IF(OR(AND(TIPOORCAMENTO="Proposto",$AG419&lt;&gt;"",$AG419&gt;0,ORÇAMENTO.CustoUnitario&gt;$AG419),AND(TIPOORCAMENTO="LICITADO",ORÇAMENTO.PrecoUnitarioLicitado&gt;$AN419)),"ACIMA REF.","")))))</f>
        <v/>
      </c>
      <c r="AD419" t="str">
        <f ca="1">IF(C419&lt;=CRONO.NivelExibicao,MAX($AD$15:OFFSET(AD419,-1,0))+IF($C419&lt;&gt;1,1,MAX(1,COUNTIF(QCI!$A$13:$A$24,OFFSET($E419,-1,0)))),"")</f>
        <v/>
      </c>
      <c r="AE419" s="7" t="str">
        <f ca="1">IF(AND($C419="S",ORÇAMENTO.CodBarra&lt;&gt;""),IF(ORÇAMENTO.Fonte="",ORÇAMENTO.CodBarra,CONCATENATE(ORÇAMENTO.Fonte," ",ORÇAMENTO.CodBarra)))</f>
        <v>SINAPI 101912</v>
      </c>
      <c r="AF419" s="13" t="str">
        <f ca="1">IF(ISERROR(INDIRECT(ORÇAMENTO.BancoRef)),"(abra o arquivo 'Referência "&amp;Excel_BuiltIn_Database&amp;".xlsm)",IF(OR($C419&lt;&gt;"S",ORÇAMENTO.CodBarra=""),"(Sem Código)",IF(ISERROR(MATCH($AE419,INDIRECT(ORÇAMENTO.BancoRef),0)),"(Código não identificado nas referências)",MATCH($AE419,INDIRECT(ORÇAMENTO.BancoRef),0))))</f>
        <v>(abra o arquivo 'Referência 06-2024.xlsm)</v>
      </c>
      <c r="AG419" s="498">
        <f ca="1">ROUND(IF(DESONERACAO="sim",REFERENCIA.Desonerado,REFERENCIA.NaoDesonerado),2)</f>
        <v>0</v>
      </c>
      <c r="AH419" s="499">
        <f t="shared" ca="1" si="111"/>
        <v>0.2432</v>
      </c>
      <c r="AJ419" s="501"/>
      <c r="AL419" s="527"/>
      <c r="AM419" s="381">
        <f t="shared" ca="1" si="105"/>
        <v>0</v>
      </c>
      <c r="AN419" s="566">
        <f t="shared" ca="1" si="112"/>
        <v>0</v>
      </c>
    </row>
    <row r="420" spans="1:40" ht="25.5" x14ac:dyDescent="0.2">
      <c r="A420" t="str">
        <f t="shared" si="109"/>
        <v>S</v>
      </c>
      <c r="B420">
        <f t="shared" ca="1" si="92"/>
        <v>2</v>
      </c>
      <c r="C420" t="str">
        <f t="shared" ca="1" si="93"/>
        <v>S</v>
      </c>
      <c r="D420">
        <f t="shared" ca="1" si="94"/>
        <v>0</v>
      </c>
      <c r="E420">
        <f ca="1">IF($C420=1,OFFSET(E420,-1,0)+MAX(1,COUNTIF(QCI!$A$13:$A$24,OFFSET(ORÇAMENTO!E420,-1,0))),OFFSET(E420,-1,0))</f>
        <v>1</v>
      </c>
      <c r="F420">
        <f t="shared" ca="1" si="95"/>
        <v>46</v>
      </c>
      <c r="G420">
        <f t="shared" ca="1" si="96"/>
        <v>0</v>
      </c>
      <c r="H420">
        <f t="shared" ca="1" si="97"/>
        <v>0</v>
      </c>
      <c r="I420">
        <f t="shared" ca="1" si="98"/>
        <v>0</v>
      </c>
      <c r="J420">
        <f t="shared" ca="1" si="107"/>
        <v>0</v>
      </c>
      <c r="K420">
        <f ca="1">IF(OR($C420="S",$C420=0),0,MATCH(OFFSET($D420,0,$C420)+IF($C420&lt;&gt;1,1,COUNTIF(QCI!$A$13:$A$24,ORÇAMENTO!E420)),OFFSET($D420,1,$C420,ROW($C$727)-ROW($C420)),0))</f>
        <v>0</v>
      </c>
      <c r="L420" s="116" t="str">
        <f t="shared" ca="1" si="99"/>
        <v/>
      </c>
      <c r="M420" s="117" t="s">
        <v>199</v>
      </c>
      <c r="N420" s="118" t="str">
        <f t="shared" ca="1" si="100"/>
        <v>Serviço</v>
      </c>
      <c r="O420" s="119" t="str">
        <f t="shared" ca="1" si="101"/>
        <v>-</v>
      </c>
      <c r="P420" s="120" t="s">
        <v>247</v>
      </c>
      <c r="Q420" s="121" t="s">
        <v>792</v>
      </c>
      <c r="R420" s="122" t="str">
        <f ca="1">IF($C420="S",REFERENCIA.Descricao,"(digite a descrição aqui)")</f>
        <v>(abra o arquivo 'Referência 06-2024.xlsm)</v>
      </c>
      <c r="S420" s="123" t="str">
        <f ca="1">REFERENCIA.Unidade</f>
        <v>-</v>
      </c>
      <c r="T420" s="124">
        <f ca="1">OFFSET(CÁLCULO!H$15,ROW($T420)-ROW(T$15),0)</f>
        <v>1</v>
      </c>
      <c r="U420" s="125">
        <f t="shared" ca="1" si="108"/>
        <v>0</v>
      </c>
      <c r="V420" s="126" t="s">
        <v>156</v>
      </c>
      <c r="W420" s="124">
        <f ca="1">IF($C420="S",ROUND(IF(TIPOORCAMENTO="Proposto",ORÇAMENTO.CustoUnitario*(1+$AH420),ORÇAMENTO.PrecoUnitarioLicitado),15-13*$AF$10),0)</f>
        <v>0</v>
      </c>
      <c r="X420" s="127">
        <f ca="1">IF($C420="S",IF(Import.TipoArredondamento&lt;&gt;"TransfereGOV",VTOTAL1,SUM(OFFSET(CÁLCULO!$AI$15,ROW($X420)-ROW($X$15),1):OFFSET(CÁLCULO!$BB$15,ROW($X420)-ROW($X$15),-1))),IF($C420=0,0,ROUND(SomaAgrup,15-13*$AF$11)))</f>
        <v>0</v>
      </c>
      <c r="Y420" s="128" t="s">
        <v>245</v>
      </c>
      <c r="Z420" t="str">
        <f t="shared" ca="1" si="102"/>
        <v/>
      </c>
      <c r="AA420" s="129">
        <f ca="1">IF($C420="S",IF($Z420="CP",$X420,IF($Z420="RA",(($X420)*QCI!$AA$3),0)),SomaAgrup)</f>
        <v>0</v>
      </c>
      <c r="AB420" s="130">
        <f t="shared" ca="1" si="110"/>
        <v>0</v>
      </c>
      <c r="AC420" s="131" t="str">
        <f ca="1">IF($N420="","",IF(ORÇAMENTO.Descricao="","DESCRIÇÃO",IF(AND($C420="S",ORÇAMENTO.Unidade=""),"UNIDADE",IF($X420&lt;0,"VALOR NEGATIVO",IF(OR(AND(TIPOORCAMENTO="Proposto",$AG420&lt;&gt;"",$AG420&gt;0,ORÇAMENTO.CustoUnitario&gt;$AG420),AND(TIPOORCAMENTO="LICITADO",ORÇAMENTO.PrecoUnitarioLicitado&gt;$AN420)),"ACIMA REF.","")))))</f>
        <v/>
      </c>
      <c r="AD420" t="str">
        <f ca="1">IF(C420&lt;=CRONO.NivelExibicao,MAX($AD$15:OFFSET(AD420,-1,0))+IF($C420&lt;&gt;1,1,MAX(1,COUNTIF(QCI!$A$13:$A$24,OFFSET($E420,-1,0)))),"")</f>
        <v/>
      </c>
      <c r="AE420" s="7" t="str">
        <f ca="1">IF(AND($C420="S",ORÇAMENTO.CodBarra&lt;&gt;""),IF(ORÇAMENTO.Fonte="",ORÇAMENTO.CodBarra,CONCATENATE(ORÇAMENTO.Fonte," ",ORÇAMENTO.CodBarra)))</f>
        <v>SINAPI 101916</v>
      </c>
      <c r="AF420" s="13" t="str">
        <f ca="1">IF(ISERROR(INDIRECT(ORÇAMENTO.BancoRef)),"(abra o arquivo 'Referência "&amp;Excel_BuiltIn_Database&amp;".xlsm)",IF(OR($C420&lt;&gt;"S",ORÇAMENTO.CodBarra=""),"(Sem Código)",IF(ISERROR(MATCH($AE420,INDIRECT(ORÇAMENTO.BancoRef),0)),"(Código não identificado nas referências)",MATCH($AE420,INDIRECT(ORÇAMENTO.BancoRef),0))))</f>
        <v>(abra o arquivo 'Referência 06-2024.xlsm)</v>
      </c>
      <c r="AG420" s="498">
        <f ca="1">ROUND(IF(DESONERACAO="sim",REFERENCIA.Desonerado,REFERENCIA.NaoDesonerado),2)</f>
        <v>0</v>
      </c>
      <c r="AH420" s="499">
        <f t="shared" ca="1" si="111"/>
        <v>0.2432</v>
      </c>
      <c r="AJ420" s="501"/>
      <c r="AL420" s="527"/>
      <c r="AM420" s="381">
        <f t="shared" ca="1" si="105"/>
        <v>0</v>
      </c>
      <c r="AN420" s="566">
        <f t="shared" ca="1" si="112"/>
        <v>0</v>
      </c>
    </row>
    <row r="421" spans="1:40" x14ac:dyDescent="0.2">
      <c r="A421">
        <f t="shared" si="109"/>
        <v>2</v>
      </c>
      <c r="B421">
        <f t="shared" ca="1" si="92"/>
        <v>2</v>
      </c>
      <c r="C421">
        <f t="shared" ca="1" si="93"/>
        <v>2</v>
      </c>
      <c r="D421">
        <f t="shared" ca="1" si="94"/>
        <v>15</v>
      </c>
      <c r="E421">
        <f ca="1">IF($C421=1,OFFSET(E421,-1,0)+MAX(1,COUNTIF(QCI!$A$13:$A$24,OFFSET(ORÇAMENTO!E421,-1,0))),OFFSET(E421,-1,0))</f>
        <v>1</v>
      </c>
      <c r="F421">
        <f t="shared" ca="1" si="95"/>
        <v>47</v>
      </c>
      <c r="G421">
        <f t="shared" ca="1" si="96"/>
        <v>0</v>
      </c>
      <c r="H421">
        <f t="shared" ca="1" si="97"/>
        <v>0</v>
      </c>
      <c r="I421">
        <f t="shared" ca="1" si="98"/>
        <v>0</v>
      </c>
      <c r="J421">
        <f t="shared" ca="1" si="107"/>
        <v>306</v>
      </c>
      <c r="K421">
        <f ca="1">IF(OR($C421="S",$C421=0),0,MATCH(OFFSET($D421,0,$C421)+IF($C421&lt;&gt;1,1,COUNTIF(QCI!$A$13:$A$24,ORÇAMENTO!E421)),OFFSET($D421,1,$C421,ROW($C$727)-ROW($C421)),0))</f>
        <v>15</v>
      </c>
      <c r="L421" s="116" t="str">
        <f t="shared" ca="1" si="99"/>
        <v>F</v>
      </c>
      <c r="M421" s="117" t="s">
        <v>196</v>
      </c>
      <c r="N421" s="118" t="str">
        <f t="shared" ca="1" si="100"/>
        <v>Nível 2</v>
      </c>
      <c r="O421" s="119" t="str">
        <f t="shared" ca="1" si="101"/>
        <v>1.47.</v>
      </c>
      <c r="P421" s="120" t="s">
        <v>247</v>
      </c>
      <c r="Q421" s="121"/>
      <c r="R421" s="122" t="s">
        <v>1070</v>
      </c>
      <c r="S421" s="123" t="str">
        <f ca="1">REFERENCIA.Unidade</f>
        <v>-</v>
      </c>
      <c r="T421" s="124">
        <f ca="1">OFFSET(CÁLCULO!H$15,ROW($T421)-ROW(T$15),0)</f>
        <v>0</v>
      </c>
      <c r="U421" s="125">
        <f t="shared" ca="1" si="108"/>
        <v>0</v>
      </c>
      <c r="V421" s="126" t="s">
        <v>156</v>
      </c>
      <c r="W421" s="124">
        <f ca="1">IF($C421="S",ROUND(IF(TIPOORCAMENTO="Proposto",ORÇAMENTO.CustoUnitario*(1+$AH421),ORÇAMENTO.PrecoUnitarioLicitado),15-13*$AF$10),0)</f>
        <v>0</v>
      </c>
      <c r="X421" s="127">
        <f ca="1">IF($C421="S",IF(Import.TipoArredondamento&lt;&gt;"TransfereGOV",VTOTAL1,SUM(OFFSET(CÁLCULO!$AI$15,ROW($X421)-ROW($X$15),1):OFFSET(CÁLCULO!$BB$15,ROW($X421)-ROW($X$15),-1))),IF($C421=0,0,ROUND(SomaAgrup,15-13*$AF$11)))</f>
        <v>0</v>
      </c>
      <c r="Y421" s="128" t="s">
        <v>245</v>
      </c>
      <c r="Z421" t="str">
        <f t="shared" ca="1" si="102"/>
        <v/>
      </c>
      <c r="AA421" s="129">
        <f ca="1">IF($C421="S",IF($Z421="CP",$X421,IF($Z421="RA",(($X421)*QCI!$AA$3),0)),SomaAgrup)</f>
        <v>0</v>
      </c>
      <c r="AB421" s="130">
        <f t="shared" ca="1" si="110"/>
        <v>0</v>
      </c>
      <c r="AC421" s="131" t="str">
        <f ca="1">IF($N421="","",IF(ORÇAMENTO.Descricao="","DESCRIÇÃO",IF(AND($C421="S",ORÇAMENTO.Unidade=""),"UNIDADE",IF($X421&lt;0,"VALOR NEGATIVO",IF(OR(AND(TIPOORCAMENTO="Proposto",$AG421&lt;&gt;"",$AG421&gt;0,ORÇAMENTO.CustoUnitario&gt;$AG421),AND(TIPOORCAMENTO="LICITADO",ORÇAMENTO.PrecoUnitarioLicitado&gt;$AN421)),"ACIMA REF.","")))))</f>
        <v/>
      </c>
      <c r="AD421">
        <f ca="1">IF(C421&lt;=CRONO.NivelExibicao,MAX($AD$15:OFFSET(AD421,-1,0))+IF($C421&lt;&gt;1,1,MAX(1,COUNTIF(QCI!$A$13:$A$24,OFFSET($E421,-1,0)))),"")</f>
        <v>48</v>
      </c>
      <c r="AE421" s="7" t="b">
        <f ca="1">IF(AND($C421="S",ORÇAMENTO.CodBarra&lt;&gt;""),IF(ORÇAMENTO.Fonte="",ORÇAMENTO.CodBarra,CONCATENATE(ORÇAMENTO.Fonte," ",ORÇAMENTO.CodBarra)))</f>
        <v>0</v>
      </c>
      <c r="AF421" s="13" t="str">
        <f ca="1">IF(ISERROR(INDIRECT(ORÇAMENTO.BancoRef)),"(abra o arquivo 'Referência "&amp;Excel_BuiltIn_Database&amp;".xlsm)",IF(OR($C421&lt;&gt;"S",ORÇAMENTO.CodBarra=""),"(Sem Código)",IF(ISERROR(MATCH($AE421,INDIRECT(ORÇAMENTO.BancoRef),0)),"(Código não identificado nas referências)",MATCH($AE421,INDIRECT(ORÇAMENTO.BancoRef),0))))</f>
        <v>(abra o arquivo 'Referência 06-2024.xlsm)</v>
      </c>
      <c r="AG421" s="498">
        <f ca="1">ROUND(IF(DESONERACAO="sim",REFERENCIA.Desonerado,REFERENCIA.NaoDesonerado),2)</f>
        <v>0</v>
      </c>
      <c r="AH421" s="499">
        <f t="shared" ca="1" si="111"/>
        <v>0.2432</v>
      </c>
      <c r="AJ421" s="501"/>
      <c r="AL421" s="527"/>
      <c r="AM421" s="381">
        <f t="shared" ca="1" si="105"/>
        <v>0</v>
      </c>
      <c r="AN421" s="566">
        <f t="shared" ca="1" si="112"/>
        <v>0</v>
      </c>
    </row>
    <row r="422" spans="1:40" ht="38.25" x14ac:dyDescent="0.2">
      <c r="A422" t="str">
        <f t="shared" si="109"/>
        <v>S</v>
      </c>
      <c r="B422">
        <f t="shared" ca="1" si="92"/>
        <v>2</v>
      </c>
      <c r="C422" t="str">
        <f t="shared" ca="1" si="93"/>
        <v>S</v>
      </c>
      <c r="D422">
        <f t="shared" ca="1" si="94"/>
        <v>0</v>
      </c>
      <c r="E422">
        <f ca="1">IF($C422=1,OFFSET(E422,-1,0)+MAX(1,COUNTIF(QCI!$A$13:$A$24,OFFSET(ORÇAMENTO!E422,-1,0))),OFFSET(E422,-1,0))</f>
        <v>1</v>
      </c>
      <c r="F422">
        <f t="shared" ca="1" si="95"/>
        <v>47</v>
      </c>
      <c r="G422">
        <f t="shared" ca="1" si="96"/>
        <v>0</v>
      </c>
      <c r="H422">
        <f t="shared" ca="1" si="97"/>
        <v>0</v>
      </c>
      <c r="I422">
        <f t="shared" ca="1" si="98"/>
        <v>0</v>
      </c>
      <c r="J422">
        <f t="shared" ca="1" si="107"/>
        <v>0</v>
      </c>
      <c r="K422">
        <f ca="1">IF(OR($C422="S",$C422=0),0,MATCH(OFFSET($D422,0,$C422)+IF($C422&lt;&gt;1,1,COUNTIF(QCI!$A$13:$A$24,ORÇAMENTO!E422)),OFFSET($D422,1,$C422,ROW($C$727)-ROW($C422)),0))</f>
        <v>0</v>
      </c>
      <c r="L422" s="116" t="str">
        <f t="shared" ca="1" si="99"/>
        <v/>
      </c>
      <c r="M422" s="117" t="s">
        <v>199</v>
      </c>
      <c r="N422" s="118" t="str">
        <f t="shared" ca="1" si="100"/>
        <v>Serviço</v>
      </c>
      <c r="O422" s="119" t="str">
        <f t="shared" ca="1" si="101"/>
        <v>-</v>
      </c>
      <c r="P422" s="120" t="s">
        <v>247</v>
      </c>
      <c r="Q422" s="121" t="s">
        <v>673</v>
      </c>
      <c r="R422" s="122" t="str">
        <f ca="1">IF($C422="S",REFERENCIA.Descricao,"(digite a descrição aqui)")</f>
        <v>(abra o arquivo 'Referência 06-2024.xlsm)</v>
      </c>
      <c r="S422" s="123" t="str">
        <f ca="1">REFERENCIA.Unidade</f>
        <v>-</v>
      </c>
      <c r="T422" s="124">
        <f ca="1">OFFSET(CÁLCULO!H$15,ROW($T422)-ROW(T$15),0)</f>
        <v>2</v>
      </c>
      <c r="U422" s="125">
        <f t="shared" ca="1" si="108"/>
        <v>0</v>
      </c>
      <c r="V422" s="126" t="s">
        <v>156</v>
      </c>
      <c r="W422" s="124">
        <f ca="1">IF($C422="S",ROUND(IF(TIPOORCAMENTO="Proposto",ORÇAMENTO.CustoUnitario*(1+$AH422),ORÇAMENTO.PrecoUnitarioLicitado),15-13*$AF$10),0)</f>
        <v>0</v>
      </c>
      <c r="X422" s="127">
        <f ca="1">IF($C422="S",IF(Import.TipoArredondamento&lt;&gt;"TransfereGOV",VTOTAL1,SUM(OFFSET(CÁLCULO!$AI$15,ROW($X422)-ROW($X$15),1):OFFSET(CÁLCULO!$BB$15,ROW($X422)-ROW($X$15),-1))),IF($C422=0,0,ROUND(SomaAgrup,15-13*$AF$11)))</f>
        <v>0</v>
      </c>
      <c r="Y422" s="128" t="s">
        <v>245</v>
      </c>
      <c r="Z422" t="str">
        <f t="shared" ca="1" si="102"/>
        <v/>
      </c>
      <c r="AA422" s="129">
        <f ca="1">IF($C422="S",IF($Z422="CP",$X422,IF($Z422="RA",(($X422)*QCI!$AA$3),0)),SomaAgrup)</f>
        <v>0</v>
      </c>
      <c r="AB422" s="130">
        <f t="shared" ca="1" si="110"/>
        <v>0</v>
      </c>
      <c r="AC422" s="131" t="str">
        <f ca="1">IF($N422="","",IF(ORÇAMENTO.Descricao="","DESCRIÇÃO",IF(AND($C422="S",ORÇAMENTO.Unidade=""),"UNIDADE",IF($X422&lt;0,"VALOR NEGATIVO",IF(OR(AND(TIPOORCAMENTO="Proposto",$AG422&lt;&gt;"",$AG422&gt;0,ORÇAMENTO.CustoUnitario&gt;$AG422),AND(TIPOORCAMENTO="LICITADO",ORÇAMENTO.PrecoUnitarioLicitado&gt;$AN422)),"ACIMA REF.","")))))</f>
        <v/>
      </c>
      <c r="AD422" t="str">
        <f ca="1">IF(C422&lt;=CRONO.NivelExibicao,MAX($AD$15:OFFSET(AD422,-1,0))+IF($C422&lt;&gt;1,1,MAX(1,COUNTIF(QCI!$A$13:$A$24,OFFSET($E422,-1,0)))),"")</f>
        <v/>
      </c>
      <c r="AE422" s="7" t="str">
        <f ca="1">IF(AND($C422="S",ORÇAMENTO.CodBarra&lt;&gt;""),IF(ORÇAMENTO.Fonte="",ORÇAMENTO.CodBarra,CONCATENATE(ORÇAMENTO.Fonte," ",ORÇAMENTO.CodBarra)))</f>
        <v>SINAPI 94794</v>
      </c>
      <c r="AF422" s="13" t="str">
        <f ca="1">IF(ISERROR(INDIRECT(ORÇAMENTO.BancoRef)),"(abra o arquivo 'Referência "&amp;Excel_BuiltIn_Database&amp;".xlsm)",IF(OR($C422&lt;&gt;"S",ORÇAMENTO.CodBarra=""),"(Sem Código)",IF(ISERROR(MATCH($AE422,INDIRECT(ORÇAMENTO.BancoRef),0)),"(Código não identificado nas referências)",MATCH($AE422,INDIRECT(ORÇAMENTO.BancoRef),0))))</f>
        <v>(abra o arquivo 'Referência 06-2024.xlsm)</v>
      </c>
      <c r="AG422" s="498">
        <f ca="1">ROUND(IF(DESONERACAO="sim",REFERENCIA.Desonerado,REFERENCIA.NaoDesonerado),2)</f>
        <v>0</v>
      </c>
      <c r="AH422" s="499">
        <f t="shared" ca="1" si="111"/>
        <v>0.2432</v>
      </c>
      <c r="AJ422" s="501"/>
      <c r="AL422" s="527"/>
      <c r="AM422" s="381">
        <f t="shared" ca="1" si="105"/>
        <v>0</v>
      </c>
      <c r="AN422" s="566">
        <f t="shared" ca="1" si="112"/>
        <v>0</v>
      </c>
    </row>
    <row r="423" spans="1:40" ht="25.5" x14ac:dyDescent="0.2">
      <c r="A423" t="str">
        <f t="shared" si="109"/>
        <v>S</v>
      </c>
      <c r="B423">
        <f t="shared" ca="1" si="92"/>
        <v>2</v>
      </c>
      <c r="C423" t="str">
        <f t="shared" ca="1" si="93"/>
        <v>S</v>
      </c>
      <c r="D423">
        <f t="shared" ca="1" si="94"/>
        <v>0</v>
      </c>
      <c r="E423">
        <f ca="1">IF($C423=1,OFFSET(E423,-1,0)+MAX(1,COUNTIF(QCI!$A$13:$A$24,OFFSET(ORÇAMENTO!E423,-1,0))),OFFSET(E423,-1,0))</f>
        <v>1</v>
      </c>
      <c r="F423">
        <f t="shared" ca="1" si="95"/>
        <v>47</v>
      </c>
      <c r="G423">
        <f t="shared" ca="1" si="96"/>
        <v>0</v>
      </c>
      <c r="H423">
        <f t="shared" ca="1" si="97"/>
        <v>0</v>
      </c>
      <c r="I423">
        <f t="shared" ca="1" si="98"/>
        <v>0</v>
      </c>
      <c r="J423">
        <f t="shared" ca="1" si="107"/>
        <v>0</v>
      </c>
      <c r="K423">
        <f ca="1">IF(OR($C423="S",$C423=0),0,MATCH(OFFSET($D423,0,$C423)+IF($C423&lt;&gt;1,1,COUNTIF(QCI!$A$13:$A$24,ORÇAMENTO!E423)),OFFSET($D423,1,$C423,ROW($C$727)-ROW($C423)),0))</f>
        <v>0</v>
      </c>
      <c r="L423" s="116" t="str">
        <f t="shared" ca="1" si="99"/>
        <v/>
      </c>
      <c r="M423" s="117" t="s">
        <v>199</v>
      </c>
      <c r="N423" s="118" t="str">
        <f t="shared" ca="1" si="100"/>
        <v>Serviço</v>
      </c>
      <c r="O423" s="119" t="str">
        <f t="shared" ca="1" si="101"/>
        <v>-</v>
      </c>
      <c r="P423" s="120" t="s">
        <v>247</v>
      </c>
      <c r="Q423" s="121" t="s">
        <v>793</v>
      </c>
      <c r="R423" s="122" t="str">
        <f ca="1">IF($C423="S",REFERENCIA.Descricao,"(digite a descrição aqui)")</f>
        <v>(abra o arquivo 'Referência 06-2024.xlsm)</v>
      </c>
      <c r="S423" s="123" t="str">
        <f ca="1">REFERENCIA.Unidade</f>
        <v>-</v>
      </c>
      <c r="T423" s="124">
        <f ca="1">OFFSET(CÁLCULO!H$15,ROW($T423)-ROW(T$15),0)</f>
        <v>1</v>
      </c>
      <c r="U423" s="125">
        <f t="shared" ca="1" si="108"/>
        <v>0</v>
      </c>
      <c r="V423" s="126" t="s">
        <v>156</v>
      </c>
      <c r="W423" s="124">
        <f ca="1">IF($C423="S",ROUND(IF(TIPOORCAMENTO="Proposto",ORÇAMENTO.CustoUnitario*(1+$AH423),ORÇAMENTO.PrecoUnitarioLicitado),15-13*$AF$10),0)</f>
        <v>0</v>
      </c>
      <c r="X423" s="127">
        <f ca="1">IF($C423="S",IF(Import.TipoArredondamento&lt;&gt;"TransfereGOV",VTOTAL1,SUM(OFFSET(CÁLCULO!$AI$15,ROW($X423)-ROW($X$15),1):OFFSET(CÁLCULO!$BB$15,ROW($X423)-ROW($X$15),-1))),IF($C423=0,0,ROUND(SomaAgrup,15-13*$AF$11)))</f>
        <v>0</v>
      </c>
      <c r="Y423" s="128" t="s">
        <v>245</v>
      </c>
      <c r="Z423" t="str">
        <f t="shared" ca="1" si="102"/>
        <v/>
      </c>
      <c r="AA423" s="129">
        <f ca="1">IF($C423="S",IF($Z423="CP",$X423,IF($Z423="RA",(($X423)*QCI!$AA$3),0)),SomaAgrup)</f>
        <v>0</v>
      </c>
      <c r="AB423" s="130">
        <f t="shared" ca="1" si="110"/>
        <v>0</v>
      </c>
      <c r="AC423" s="131" t="str">
        <f ca="1">IF($N423="","",IF(ORÇAMENTO.Descricao="","DESCRIÇÃO",IF(AND($C423="S",ORÇAMENTO.Unidade=""),"UNIDADE",IF($X423&lt;0,"VALOR NEGATIVO",IF(OR(AND(TIPOORCAMENTO="Proposto",$AG423&lt;&gt;"",$AG423&gt;0,ORÇAMENTO.CustoUnitario&gt;$AG423),AND(TIPOORCAMENTO="LICITADO",ORÇAMENTO.PrecoUnitarioLicitado&gt;$AN423)),"ACIMA REF.","")))))</f>
        <v/>
      </c>
      <c r="AD423" t="str">
        <f ca="1">IF(C423&lt;=CRONO.NivelExibicao,MAX($AD$15:OFFSET(AD423,-1,0))+IF($C423&lt;&gt;1,1,MAX(1,COUNTIF(QCI!$A$13:$A$24,OFFSET($E423,-1,0)))),"")</f>
        <v/>
      </c>
      <c r="AE423" s="7" t="str">
        <f ca="1">IF(AND($C423="S",ORÇAMENTO.CodBarra&lt;&gt;""),IF(ORÇAMENTO.Fonte="",ORÇAMENTO.CodBarra,CONCATENATE(ORÇAMENTO.Fonte," ",ORÇAMENTO.CodBarra)))</f>
        <v>SINAPI 94499</v>
      </c>
      <c r="AF423" s="13" t="str">
        <f ca="1">IF(ISERROR(INDIRECT(ORÇAMENTO.BancoRef)),"(abra o arquivo 'Referência "&amp;Excel_BuiltIn_Database&amp;".xlsm)",IF(OR($C423&lt;&gt;"S",ORÇAMENTO.CodBarra=""),"(Sem Código)",IF(ISERROR(MATCH($AE423,INDIRECT(ORÇAMENTO.BancoRef),0)),"(Código não identificado nas referências)",MATCH($AE423,INDIRECT(ORÇAMENTO.BancoRef),0))))</f>
        <v>(abra o arquivo 'Referência 06-2024.xlsm)</v>
      </c>
      <c r="AG423" s="498">
        <f ca="1">ROUND(IF(DESONERACAO="sim",REFERENCIA.Desonerado,REFERENCIA.NaoDesonerado),2)</f>
        <v>0</v>
      </c>
      <c r="AH423" s="499">
        <f t="shared" ca="1" si="111"/>
        <v>0.2432</v>
      </c>
      <c r="AJ423" s="501"/>
      <c r="AL423" s="527"/>
      <c r="AM423" s="381">
        <f t="shared" ca="1" si="105"/>
        <v>0</v>
      </c>
      <c r="AN423" s="566">
        <f t="shared" ca="1" si="112"/>
        <v>0</v>
      </c>
    </row>
    <row r="424" spans="1:40" ht="25.5" x14ac:dyDescent="0.2">
      <c r="A424" t="str">
        <f t="shared" si="109"/>
        <v>S</v>
      </c>
      <c r="B424">
        <f t="shared" ca="1" si="92"/>
        <v>2</v>
      </c>
      <c r="C424" t="str">
        <f t="shared" ca="1" si="93"/>
        <v>S</v>
      </c>
      <c r="D424">
        <f t="shared" ca="1" si="94"/>
        <v>0</v>
      </c>
      <c r="E424">
        <f ca="1">IF($C424=1,OFFSET(E424,-1,0)+MAX(1,COUNTIF(QCI!$A$13:$A$24,OFFSET(ORÇAMENTO!E424,-1,0))),OFFSET(E424,-1,0))</f>
        <v>1</v>
      </c>
      <c r="F424">
        <f t="shared" ca="1" si="95"/>
        <v>47</v>
      </c>
      <c r="G424">
        <f t="shared" ca="1" si="96"/>
        <v>0</v>
      </c>
      <c r="H424">
        <f t="shared" ca="1" si="97"/>
        <v>0</v>
      </c>
      <c r="I424">
        <f t="shared" ca="1" si="98"/>
        <v>0</v>
      </c>
      <c r="J424">
        <f t="shared" ca="1" si="107"/>
        <v>0</v>
      </c>
      <c r="K424">
        <f ca="1">IF(OR($C424="S",$C424=0),0,MATCH(OFFSET($D424,0,$C424)+IF($C424&lt;&gt;1,1,COUNTIF(QCI!$A$13:$A$24,ORÇAMENTO!E424)),OFFSET($D424,1,$C424,ROW($C$727)-ROW($C424)),0))</f>
        <v>0</v>
      </c>
      <c r="L424" s="116" t="str">
        <f t="shared" ca="1" si="99"/>
        <v/>
      </c>
      <c r="M424" s="117" t="s">
        <v>199</v>
      </c>
      <c r="N424" s="118" t="str">
        <f t="shared" ca="1" si="100"/>
        <v>Serviço</v>
      </c>
      <c r="O424" s="119" t="str">
        <f t="shared" ca="1" si="101"/>
        <v>-</v>
      </c>
      <c r="P424" s="120" t="s">
        <v>247</v>
      </c>
      <c r="Q424" s="121" t="s">
        <v>672</v>
      </c>
      <c r="R424" s="122" t="str">
        <f ca="1">IF($C424="S",REFERENCIA.Descricao,"(digite a descrição aqui)")</f>
        <v>(abra o arquivo 'Referência 06-2024.xlsm)</v>
      </c>
      <c r="S424" s="123" t="str">
        <f ca="1">REFERENCIA.Unidade</f>
        <v>-</v>
      </c>
      <c r="T424" s="124">
        <f ca="1">OFFSET(CÁLCULO!H$15,ROW($T424)-ROW(T$15),0)</f>
        <v>4</v>
      </c>
      <c r="U424" s="125">
        <f t="shared" ca="1" si="108"/>
        <v>0</v>
      </c>
      <c r="V424" s="126" t="s">
        <v>156</v>
      </c>
      <c r="W424" s="124">
        <f ca="1">IF($C424="S",ROUND(IF(TIPOORCAMENTO="Proposto",ORÇAMENTO.CustoUnitario*(1+$AH424),ORÇAMENTO.PrecoUnitarioLicitado),15-13*$AF$10),0)</f>
        <v>0</v>
      </c>
      <c r="X424" s="127">
        <f ca="1">IF($C424="S",IF(Import.TipoArredondamento&lt;&gt;"TransfereGOV",VTOTAL1,SUM(OFFSET(CÁLCULO!$AI$15,ROW($X424)-ROW($X$15),1):OFFSET(CÁLCULO!$BB$15,ROW($X424)-ROW($X$15),-1))),IF($C424=0,0,ROUND(SomaAgrup,15-13*$AF$11)))</f>
        <v>0</v>
      </c>
      <c r="Y424" s="128" t="s">
        <v>245</v>
      </c>
      <c r="Z424" t="str">
        <f t="shared" ca="1" si="102"/>
        <v/>
      </c>
      <c r="AA424" s="129">
        <f ca="1">IF($C424="S",IF($Z424="CP",$X424,IF($Z424="RA",(($X424)*QCI!$AA$3),0)),SomaAgrup)</f>
        <v>0</v>
      </c>
      <c r="AB424" s="130">
        <f t="shared" ca="1" si="110"/>
        <v>0</v>
      </c>
      <c r="AC424" s="131" t="str">
        <f ca="1">IF($N424="","",IF(ORÇAMENTO.Descricao="","DESCRIÇÃO",IF(AND($C424="S",ORÇAMENTO.Unidade=""),"UNIDADE",IF($X424&lt;0,"VALOR NEGATIVO",IF(OR(AND(TIPOORCAMENTO="Proposto",$AG424&lt;&gt;"",$AG424&gt;0,ORÇAMENTO.CustoUnitario&gt;$AG424),AND(TIPOORCAMENTO="LICITADO",ORÇAMENTO.PrecoUnitarioLicitado&gt;$AN424)),"ACIMA REF.","")))))</f>
        <v/>
      </c>
      <c r="AD424" t="str">
        <f ca="1">IF(C424&lt;=CRONO.NivelExibicao,MAX($AD$15:OFFSET(AD424,-1,0))+IF($C424&lt;&gt;1,1,MAX(1,COUNTIF(QCI!$A$13:$A$24,OFFSET($E424,-1,0)))),"")</f>
        <v/>
      </c>
      <c r="AE424" s="7" t="str">
        <f ca="1">IF(AND($C424="S",ORÇAMENTO.CodBarra&lt;&gt;""),IF(ORÇAMENTO.Fonte="",ORÇAMENTO.CodBarra,CONCATENATE(ORÇAMENTO.Fonte," ",ORÇAMENTO.CodBarra)))</f>
        <v>SINAPI 94500</v>
      </c>
      <c r="AF424" s="13" t="str">
        <f ca="1">IF(ISERROR(INDIRECT(ORÇAMENTO.BancoRef)),"(abra o arquivo 'Referência "&amp;Excel_BuiltIn_Database&amp;".xlsm)",IF(OR($C424&lt;&gt;"S",ORÇAMENTO.CodBarra=""),"(Sem Código)",IF(ISERROR(MATCH($AE424,INDIRECT(ORÇAMENTO.BancoRef),0)),"(Código não identificado nas referências)",MATCH($AE424,INDIRECT(ORÇAMENTO.BancoRef),0))))</f>
        <v>(abra o arquivo 'Referência 06-2024.xlsm)</v>
      </c>
      <c r="AG424" s="498">
        <f ca="1">ROUND(IF(DESONERACAO="sim",REFERENCIA.Desonerado,REFERENCIA.NaoDesonerado),2)</f>
        <v>0</v>
      </c>
      <c r="AH424" s="499">
        <f t="shared" ca="1" si="111"/>
        <v>0.2432</v>
      </c>
      <c r="AJ424" s="501"/>
      <c r="AL424" s="527"/>
      <c r="AM424" s="381">
        <f t="shared" ca="1" si="105"/>
        <v>0</v>
      </c>
      <c r="AN424" s="566">
        <f t="shared" ca="1" si="112"/>
        <v>0</v>
      </c>
    </row>
    <row r="425" spans="1:40" ht="25.5" x14ac:dyDescent="0.2">
      <c r="A425" t="str">
        <f t="shared" si="109"/>
        <v>S</v>
      </c>
      <c r="B425">
        <f t="shared" ca="1" si="92"/>
        <v>2</v>
      </c>
      <c r="C425" t="str">
        <f t="shared" ca="1" si="93"/>
        <v>S</v>
      </c>
      <c r="D425">
        <f t="shared" ca="1" si="94"/>
        <v>0</v>
      </c>
      <c r="E425">
        <f ca="1">IF($C425=1,OFFSET(E425,-1,0)+MAX(1,COUNTIF(QCI!$A$13:$A$24,OFFSET(ORÇAMENTO!E425,-1,0))),OFFSET(E425,-1,0))</f>
        <v>1</v>
      </c>
      <c r="F425">
        <f t="shared" ca="1" si="95"/>
        <v>47</v>
      </c>
      <c r="G425">
        <f t="shared" ca="1" si="96"/>
        <v>0</v>
      </c>
      <c r="H425">
        <f t="shared" ca="1" si="97"/>
        <v>0</v>
      </c>
      <c r="I425">
        <f t="shared" ca="1" si="98"/>
        <v>0</v>
      </c>
      <c r="J425">
        <f t="shared" ca="1" si="107"/>
        <v>0</v>
      </c>
      <c r="K425">
        <f ca="1">IF(OR($C425="S",$C425=0),0,MATCH(OFFSET($D425,0,$C425)+IF($C425&lt;&gt;1,1,COUNTIF(QCI!$A$13:$A$24,ORÇAMENTO!E425)),OFFSET($D425,1,$C425,ROW($C$727)-ROW($C425)),0))</f>
        <v>0</v>
      </c>
      <c r="L425" s="116" t="str">
        <f t="shared" ca="1" si="99"/>
        <v/>
      </c>
      <c r="M425" s="117" t="s">
        <v>199</v>
      </c>
      <c r="N425" s="118" t="str">
        <f t="shared" ca="1" si="100"/>
        <v>Serviço</v>
      </c>
      <c r="O425" s="119" t="str">
        <f t="shared" ca="1" si="101"/>
        <v>-</v>
      </c>
      <c r="P425" s="120" t="s">
        <v>247</v>
      </c>
      <c r="Q425" s="121" t="s">
        <v>794</v>
      </c>
      <c r="R425" s="122" t="str">
        <f ca="1">IF($C425="S",REFERENCIA.Descricao,"(digite a descrição aqui)")</f>
        <v>(abra o arquivo 'Referência 06-2024.xlsm)</v>
      </c>
      <c r="S425" s="123" t="str">
        <f ca="1">REFERENCIA.Unidade</f>
        <v>-</v>
      </c>
      <c r="T425" s="124">
        <f ca="1">OFFSET(CÁLCULO!H$15,ROW($T425)-ROW(T$15),0)</f>
        <v>1</v>
      </c>
      <c r="U425" s="125">
        <f t="shared" ca="1" si="108"/>
        <v>0</v>
      </c>
      <c r="V425" s="126" t="s">
        <v>156</v>
      </c>
      <c r="W425" s="124">
        <f ca="1">IF($C425="S",ROUND(IF(TIPOORCAMENTO="Proposto",ORÇAMENTO.CustoUnitario*(1+$AH425),ORÇAMENTO.PrecoUnitarioLicitado),15-13*$AF$10),0)</f>
        <v>0</v>
      </c>
      <c r="X425" s="127">
        <f ca="1">IF($C425="S",IF(Import.TipoArredondamento&lt;&gt;"TransfereGOV",VTOTAL1,SUM(OFFSET(CÁLCULO!$AI$15,ROW($X425)-ROW($X$15),1):OFFSET(CÁLCULO!$BB$15,ROW($X425)-ROW($X$15),-1))),IF($C425=0,0,ROUND(SomaAgrup,15-13*$AF$11)))</f>
        <v>0</v>
      </c>
      <c r="Y425" s="128" t="s">
        <v>245</v>
      </c>
      <c r="Z425" t="str">
        <f t="shared" ca="1" si="102"/>
        <v/>
      </c>
      <c r="AA425" s="129">
        <f ca="1">IF($C425="S",IF($Z425="CP",$X425,IF($Z425="RA",(($X425)*QCI!$AA$3),0)),SomaAgrup)</f>
        <v>0</v>
      </c>
      <c r="AB425" s="130">
        <f t="shared" ca="1" si="110"/>
        <v>0</v>
      </c>
      <c r="AC425" s="131" t="str">
        <f ca="1">IF($N425="","",IF(ORÇAMENTO.Descricao="","DESCRIÇÃO",IF(AND($C425="S",ORÇAMENTO.Unidade=""),"UNIDADE",IF($X425&lt;0,"VALOR NEGATIVO",IF(OR(AND(TIPOORCAMENTO="Proposto",$AG425&lt;&gt;"",$AG425&gt;0,ORÇAMENTO.CustoUnitario&gt;$AG425),AND(TIPOORCAMENTO="LICITADO",ORÇAMENTO.PrecoUnitarioLicitado&gt;$AN425)),"ACIMA REF.","")))))</f>
        <v/>
      </c>
      <c r="AD425" t="str">
        <f ca="1">IF(C425&lt;=CRONO.NivelExibicao,MAX($AD$15:OFFSET(AD425,-1,0))+IF($C425&lt;&gt;1,1,MAX(1,COUNTIF(QCI!$A$13:$A$24,OFFSET($E425,-1,0)))),"")</f>
        <v/>
      </c>
      <c r="AE425" s="7" t="str">
        <f ca="1">IF(AND($C425="S",ORÇAMENTO.CodBarra&lt;&gt;""),IF(ORÇAMENTO.Fonte="",ORÇAMENTO.CodBarra,CONCATENATE(ORÇAMENTO.Fonte," ",ORÇAMENTO.CodBarra)))</f>
        <v>SINAPI 99622</v>
      </c>
      <c r="AF425" s="13" t="str">
        <f ca="1">IF(ISERROR(INDIRECT(ORÇAMENTO.BancoRef)),"(abra o arquivo 'Referência "&amp;Excel_BuiltIn_Database&amp;".xlsm)",IF(OR($C425&lt;&gt;"S",ORÇAMENTO.CodBarra=""),"(Sem Código)",IF(ISERROR(MATCH($AE425,INDIRECT(ORÇAMENTO.BancoRef),0)),"(Código não identificado nas referências)",MATCH($AE425,INDIRECT(ORÇAMENTO.BancoRef),0))))</f>
        <v>(abra o arquivo 'Referência 06-2024.xlsm)</v>
      </c>
      <c r="AG425" s="498">
        <f ca="1">ROUND(IF(DESONERACAO="sim",REFERENCIA.Desonerado,REFERENCIA.NaoDesonerado),2)</f>
        <v>0</v>
      </c>
      <c r="AH425" s="499">
        <f t="shared" ca="1" si="111"/>
        <v>0.2432</v>
      </c>
      <c r="AJ425" s="501"/>
      <c r="AL425" s="527"/>
      <c r="AM425" s="381">
        <f t="shared" ca="1" si="105"/>
        <v>0</v>
      </c>
      <c r="AN425" s="566">
        <f t="shared" ca="1" si="112"/>
        <v>0</v>
      </c>
    </row>
    <row r="426" spans="1:40" ht="25.5" x14ac:dyDescent="0.2">
      <c r="A426" t="str">
        <f t="shared" si="109"/>
        <v>S</v>
      </c>
      <c r="B426">
        <f t="shared" ca="1" si="92"/>
        <v>2</v>
      </c>
      <c r="C426" t="str">
        <f t="shared" ca="1" si="93"/>
        <v>S</v>
      </c>
      <c r="D426">
        <f t="shared" ca="1" si="94"/>
        <v>0</v>
      </c>
      <c r="E426">
        <f ca="1">IF($C426=1,OFFSET(E426,-1,0)+MAX(1,COUNTIF(QCI!$A$13:$A$24,OFFSET(ORÇAMENTO!E426,-1,0))),OFFSET(E426,-1,0))</f>
        <v>1</v>
      </c>
      <c r="F426">
        <f t="shared" ca="1" si="95"/>
        <v>47</v>
      </c>
      <c r="G426">
        <f t="shared" ca="1" si="96"/>
        <v>0</v>
      </c>
      <c r="H426">
        <f t="shared" ca="1" si="97"/>
        <v>0</v>
      </c>
      <c r="I426">
        <f t="shared" ca="1" si="98"/>
        <v>0</v>
      </c>
      <c r="J426">
        <f t="shared" ca="1" si="107"/>
        <v>0</v>
      </c>
      <c r="K426">
        <f ca="1">IF(OR($C426="S",$C426=0),0,MATCH(OFFSET($D426,0,$C426)+IF($C426&lt;&gt;1,1,COUNTIF(QCI!$A$13:$A$24,ORÇAMENTO!E426)),OFFSET($D426,1,$C426,ROW($C$727)-ROW($C426)),0))</f>
        <v>0</v>
      </c>
      <c r="L426" s="116" t="str">
        <f t="shared" ca="1" si="99"/>
        <v/>
      </c>
      <c r="M426" s="117" t="s">
        <v>199</v>
      </c>
      <c r="N426" s="118" t="str">
        <f t="shared" ca="1" si="100"/>
        <v>Serviço</v>
      </c>
      <c r="O426" s="119" t="str">
        <f t="shared" ca="1" si="101"/>
        <v>-</v>
      </c>
      <c r="P426" s="120" t="s">
        <v>247</v>
      </c>
      <c r="Q426" s="121" t="s">
        <v>795</v>
      </c>
      <c r="R426" s="122" t="str">
        <f ca="1">IF($C426="S",REFERENCIA.Descricao,"(digite a descrição aqui)")</f>
        <v>(abra o arquivo 'Referência 06-2024.xlsm)</v>
      </c>
      <c r="S426" s="123" t="str">
        <f ca="1">REFERENCIA.Unidade</f>
        <v>-</v>
      </c>
      <c r="T426" s="124">
        <f ca="1">OFFSET(CÁLCULO!H$15,ROW($T426)-ROW(T$15),0)</f>
        <v>2</v>
      </c>
      <c r="U426" s="125">
        <f t="shared" ca="1" si="108"/>
        <v>0</v>
      </c>
      <c r="V426" s="126" t="s">
        <v>156</v>
      </c>
      <c r="W426" s="124">
        <f ca="1">IF($C426="S",ROUND(IF(TIPOORCAMENTO="Proposto",ORÇAMENTO.CustoUnitario*(1+$AH426),ORÇAMENTO.PrecoUnitarioLicitado),15-13*$AF$10),0)</f>
        <v>0</v>
      </c>
      <c r="X426" s="127">
        <f ca="1">IF($C426="S",IF(Import.TipoArredondamento&lt;&gt;"TransfereGOV",VTOTAL1,SUM(OFFSET(CÁLCULO!$AI$15,ROW($X426)-ROW($X$15),1):OFFSET(CÁLCULO!$BB$15,ROW($X426)-ROW($X$15),-1))),IF($C426=0,0,ROUND(SomaAgrup,15-13*$AF$11)))</f>
        <v>0</v>
      </c>
      <c r="Y426" s="128" t="s">
        <v>245</v>
      </c>
      <c r="Z426" t="str">
        <f t="shared" ca="1" si="102"/>
        <v/>
      </c>
      <c r="AA426" s="129">
        <f ca="1">IF($C426="S",IF($Z426="CP",$X426,IF($Z426="RA",(($X426)*QCI!$AA$3),0)),SomaAgrup)</f>
        <v>0</v>
      </c>
      <c r="AB426" s="130">
        <f t="shared" ca="1" si="110"/>
        <v>0</v>
      </c>
      <c r="AC426" s="131" t="str">
        <f ca="1">IF($N426="","",IF(ORÇAMENTO.Descricao="","DESCRIÇÃO",IF(AND($C426="S",ORÇAMENTO.Unidade=""),"UNIDADE",IF($X426&lt;0,"VALOR NEGATIVO",IF(OR(AND(TIPOORCAMENTO="Proposto",$AG426&lt;&gt;"",$AG426&gt;0,ORÇAMENTO.CustoUnitario&gt;$AG426),AND(TIPOORCAMENTO="LICITADO",ORÇAMENTO.PrecoUnitarioLicitado&gt;$AN426)),"ACIMA REF.","")))))</f>
        <v/>
      </c>
      <c r="AD426" t="str">
        <f ca="1">IF(C426&lt;=CRONO.NivelExibicao,MAX($AD$15:OFFSET(AD426,-1,0))+IF($C426&lt;&gt;1,1,MAX(1,COUNTIF(QCI!$A$13:$A$24,OFFSET($E426,-1,0)))),"")</f>
        <v/>
      </c>
      <c r="AE426" s="7" t="str">
        <f ca="1">IF(AND($C426="S",ORÇAMENTO.CodBarra&lt;&gt;""),IF(ORÇAMENTO.Fonte="",ORÇAMENTO.CodBarra,CONCATENATE(ORÇAMENTO.Fonte," ",ORÇAMENTO.CodBarra)))</f>
        <v>SINAPI 99624</v>
      </c>
      <c r="AF426" s="13" t="str">
        <f ca="1">IF(ISERROR(INDIRECT(ORÇAMENTO.BancoRef)),"(abra o arquivo 'Referência "&amp;Excel_BuiltIn_Database&amp;".xlsm)",IF(OR($C426&lt;&gt;"S",ORÇAMENTO.CodBarra=""),"(Sem Código)",IF(ISERROR(MATCH($AE426,INDIRECT(ORÇAMENTO.BancoRef),0)),"(Código não identificado nas referências)",MATCH($AE426,INDIRECT(ORÇAMENTO.BancoRef),0))))</f>
        <v>(abra o arquivo 'Referência 06-2024.xlsm)</v>
      </c>
      <c r="AG426" s="498">
        <f ca="1">ROUND(IF(DESONERACAO="sim",REFERENCIA.Desonerado,REFERENCIA.NaoDesonerado),2)</f>
        <v>0</v>
      </c>
      <c r="AH426" s="499">
        <f t="shared" ca="1" si="111"/>
        <v>0.2432</v>
      </c>
      <c r="AJ426" s="501"/>
      <c r="AL426" s="527"/>
      <c r="AM426" s="381">
        <f t="shared" ca="1" si="105"/>
        <v>0</v>
      </c>
      <c r="AN426" s="566">
        <f t="shared" ca="1" si="112"/>
        <v>0</v>
      </c>
    </row>
    <row r="427" spans="1:40" ht="25.5" x14ac:dyDescent="0.2">
      <c r="A427" t="str">
        <f t="shared" si="109"/>
        <v>S</v>
      </c>
      <c r="B427">
        <f t="shared" ca="1" si="92"/>
        <v>2</v>
      </c>
      <c r="C427" t="str">
        <f t="shared" ca="1" si="93"/>
        <v>S</v>
      </c>
      <c r="D427">
        <f t="shared" ca="1" si="94"/>
        <v>0</v>
      </c>
      <c r="E427">
        <f ca="1">IF($C427=1,OFFSET(E427,-1,0)+MAX(1,COUNTIF(QCI!$A$13:$A$24,OFFSET(ORÇAMENTO!E427,-1,0))),OFFSET(E427,-1,0))</f>
        <v>1</v>
      </c>
      <c r="F427">
        <f t="shared" ca="1" si="95"/>
        <v>47</v>
      </c>
      <c r="G427">
        <f t="shared" ca="1" si="96"/>
        <v>0</v>
      </c>
      <c r="H427">
        <f t="shared" ca="1" si="97"/>
        <v>0</v>
      </c>
      <c r="I427">
        <f t="shared" ca="1" si="98"/>
        <v>0</v>
      </c>
      <c r="J427">
        <f t="shared" ca="1" si="107"/>
        <v>0</v>
      </c>
      <c r="K427">
        <f ca="1">IF(OR($C427="S",$C427=0),0,MATCH(OFFSET($D427,0,$C427)+IF($C427&lt;&gt;1,1,COUNTIF(QCI!$A$13:$A$24,ORÇAMENTO!E427)),OFFSET($D427,1,$C427,ROW($C$727)-ROW($C427)),0))</f>
        <v>0</v>
      </c>
      <c r="L427" s="116" t="str">
        <f t="shared" ca="1" si="99"/>
        <v/>
      </c>
      <c r="M427" s="117" t="s">
        <v>199</v>
      </c>
      <c r="N427" s="118" t="str">
        <f t="shared" ca="1" si="100"/>
        <v>Serviço</v>
      </c>
      <c r="O427" s="119" t="str">
        <f t="shared" ca="1" si="101"/>
        <v>-</v>
      </c>
      <c r="P427" s="120" t="s">
        <v>247</v>
      </c>
      <c r="Q427" s="121" t="s">
        <v>796</v>
      </c>
      <c r="R427" s="122" t="str">
        <f ca="1">IF($C427="S",REFERENCIA.Descricao,"(digite a descrição aqui)")</f>
        <v>(abra o arquivo 'Referência 06-2024.xlsm)</v>
      </c>
      <c r="S427" s="123" t="str">
        <f ca="1">REFERENCIA.Unidade</f>
        <v>-</v>
      </c>
      <c r="T427" s="124">
        <f ca="1">OFFSET(CÁLCULO!H$15,ROW($T427)-ROW(T$15),0)</f>
        <v>2</v>
      </c>
      <c r="U427" s="125">
        <f t="shared" ca="1" si="108"/>
        <v>0</v>
      </c>
      <c r="V427" s="126" t="s">
        <v>156</v>
      </c>
      <c r="W427" s="124">
        <f ca="1">IF($C427="S",ROUND(IF(TIPOORCAMENTO="Proposto",ORÇAMENTO.CustoUnitario*(1+$AH427),ORÇAMENTO.PrecoUnitarioLicitado),15-13*$AF$10),0)</f>
        <v>0</v>
      </c>
      <c r="X427" s="127">
        <f ca="1">IF($C427="S",IF(Import.TipoArredondamento&lt;&gt;"TransfereGOV",VTOTAL1,SUM(OFFSET(CÁLCULO!$AI$15,ROW($X427)-ROW($X$15),1):OFFSET(CÁLCULO!$BB$15,ROW($X427)-ROW($X$15),-1))),IF($C427=0,0,ROUND(SomaAgrup,15-13*$AF$11)))</f>
        <v>0</v>
      </c>
      <c r="Y427" s="128" t="s">
        <v>245</v>
      </c>
      <c r="Z427" t="str">
        <f t="shared" ca="1" si="102"/>
        <v/>
      </c>
      <c r="AA427" s="129">
        <f ca="1">IF($C427="S",IF($Z427="CP",$X427,IF($Z427="RA",(($X427)*QCI!$AA$3),0)),SomaAgrup)</f>
        <v>0</v>
      </c>
      <c r="AB427" s="130">
        <f t="shared" ca="1" si="110"/>
        <v>0</v>
      </c>
      <c r="AC427" s="131" t="str">
        <f ca="1">IF($N427="","",IF(ORÇAMENTO.Descricao="","DESCRIÇÃO",IF(AND($C427="S",ORÇAMENTO.Unidade=""),"UNIDADE",IF($X427&lt;0,"VALOR NEGATIVO",IF(OR(AND(TIPOORCAMENTO="Proposto",$AG427&lt;&gt;"",$AG427&gt;0,ORÇAMENTO.CustoUnitario&gt;$AG427),AND(TIPOORCAMENTO="LICITADO",ORÇAMENTO.PrecoUnitarioLicitado&gt;$AN427)),"ACIMA REF.","")))))</f>
        <v/>
      </c>
      <c r="AD427" t="str">
        <f ca="1">IF(C427&lt;=CRONO.NivelExibicao,MAX($AD$15:OFFSET(AD427,-1,0))+IF($C427&lt;&gt;1,1,MAX(1,COUNTIF(QCI!$A$13:$A$24,OFFSET($E427,-1,0)))),"")</f>
        <v/>
      </c>
      <c r="AE427" s="7" t="str">
        <f ca="1">IF(AND($C427="S",ORÇAMENTO.CodBarra&lt;&gt;""),IF(ORÇAMENTO.Fonte="",ORÇAMENTO.CodBarra,CONCATENATE(ORÇAMENTO.Fonte," ",ORÇAMENTO.CodBarra)))</f>
        <v>SINAPI 99625</v>
      </c>
      <c r="AF427" s="13" t="str">
        <f ca="1">IF(ISERROR(INDIRECT(ORÇAMENTO.BancoRef)),"(abra o arquivo 'Referência "&amp;Excel_BuiltIn_Database&amp;".xlsm)",IF(OR($C427&lt;&gt;"S",ORÇAMENTO.CodBarra=""),"(Sem Código)",IF(ISERROR(MATCH($AE427,INDIRECT(ORÇAMENTO.BancoRef),0)),"(Código não identificado nas referências)",MATCH($AE427,INDIRECT(ORÇAMENTO.BancoRef),0))))</f>
        <v>(abra o arquivo 'Referência 06-2024.xlsm)</v>
      </c>
      <c r="AG427" s="498">
        <f ca="1">ROUND(IF(DESONERACAO="sim",REFERENCIA.Desonerado,REFERENCIA.NaoDesonerado),2)</f>
        <v>0</v>
      </c>
      <c r="AH427" s="499">
        <f t="shared" ca="1" si="111"/>
        <v>0.2432</v>
      </c>
      <c r="AJ427" s="501"/>
      <c r="AL427" s="527"/>
      <c r="AM427" s="381">
        <f t="shared" ca="1" si="105"/>
        <v>0</v>
      </c>
      <c r="AN427" s="566">
        <f t="shared" ca="1" si="112"/>
        <v>0</v>
      </c>
    </row>
    <row r="428" spans="1:40" ht="38.25" x14ac:dyDescent="0.2">
      <c r="A428" t="str">
        <f t="shared" si="109"/>
        <v>S</v>
      </c>
      <c r="B428">
        <f t="shared" ca="1" si="92"/>
        <v>2</v>
      </c>
      <c r="C428" t="str">
        <f t="shared" ca="1" si="93"/>
        <v>S</v>
      </c>
      <c r="D428">
        <f t="shared" ca="1" si="94"/>
        <v>0</v>
      </c>
      <c r="E428">
        <f ca="1">IF($C428=1,OFFSET(E428,-1,0)+MAX(1,COUNTIF(QCI!$A$13:$A$24,OFFSET(ORÇAMENTO!E428,-1,0))),OFFSET(E428,-1,0))</f>
        <v>1</v>
      </c>
      <c r="F428">
        <f t="shared" ca="1" si="95"/>
        <v>47</v>
      </c>
      <c r="G428">
        <f t="shared" ca="1" si="96"/>
        <v>0</v>
      </c>
      <c r="H428">
        <f t="shared" ca="1" si="97"/>
        <v>0</v>
      </c>
      <c r="I428">
        <f t="shared" ca="1" si="98"/>
        <v>0</v>
      </c>
      <c r="J428">
        <f t="shared" ca="1" si="107"/>
        <v>0</v>
      </c>
      <c r="K428">
        <f ca="1">IF(OR($C428="S",$C428=0),0,MATCH(OFFSET($D428,0,$C428)+IF($C428&lt;&gt;1,1,COUNTIF(QCI!$A$13:$A$24,ORÇAMENTO!E428)),OFFSET($D428,1,$C428,ROW($C$727)-ROW($C428)),0))</f>
        <v>0</v>
      </c>
      <c r="L428" s="116" t="str">
        <f t="shared" ca="1" si="99"/>
        <v/>
      </c>
      <c r="M428" s="117" t="s">
        <v>199</v>
      </c>
      <c r="N428" s="118" t="str">
        <f t="shared" ca="1" si="100"/>
        <v>Serviço</v>
      </c>
      <c r="O428" s="119" t="str">
        <f t="shared" ca="1" si="101"/>
        <v>-</v>
      </c>
      <c r="P428" s="120" t="s">
        <v>458</v>
      </c>
      <c r="Q428" s="121" t="s">
        <v>797</v>
      </c>
      <c r="R428" s="122" t="str">
        <f ca="1">IF($C428="S",REFERENCIA.Descricao,"(digite a descrição aqui)")</f>
        <v>(abra o arquivo 'Referência 06-2024.xlsm)</v>
      </c>
      <c r="S428" s="123" t="str">
        <f ca="1">REFERENCIA.Unidade</f>
        <v>-</v>
      </c>
      <c r="T428" s="124">
        <f ca="1">OFFSET(CÁLCULO!H$15,ROW($T428)-ROW(T$15),0)</f>
        <v>2</v>
      </c>
      <c r="U428" s="125">
        <f t="shared" ca="1" si="108"/>
        <v>0</v>
      </c>
      <c r="V428" s="126" t="s">
        <v>156</v>
      </c>
      <c r="W428" s="124">
        <f ca="1">IF($C428="S",ROUND(IF(TIPOORCAMENTO="Proposto",ORÇAMENTO.CustoUnitario*(1+$AH428),ORÇAMENTO.PrecoUnitarioLicitado),15-13*$AF$10),0)</f>
        <v>0</v>
      </c>
      <c r="X428" s="127">
        <f ca="1">IF($C428="S",IF(Import.TipoArredondamento&lt;&gt;"TransfereGOV",VTOTAL1,SUM(OFFSET(CÁLCULO!$AI$15,ROW($X428)-ROW($X$15),1):OFFSET(CÁLCULO!$BB$15,ROW($X428)-ROW($X$15),-1))),IF($C428=0,0,ROUND(SomaAgrup,15-13*$AF$11)))</f>
        <v>0</v>
      </c>
      <c r="Y428" s="128" t="s">
        <v>245</v>
      </c>
      <c r="Z428" t="str">
        <f t="shared" ca="1" si="102"/>
        <v/>
      </c>
      <c r="AA428" s="129">
        <f ca="1">IF($C428="S",IF($Z428="CP",$X428,IF($Z428="RA",(($X428)*QCI!$AA$3),0)),SomaAgrup)</f>
        <v>0</v>
      </c>
      <c r="AB428" s="130">
        <f t="shared" ca="1" si="110"/>
        <v>0</v>
      </c>
      <c r="AC428" s="131" t="str">
        <f ca="1">IF($N428="","",IF(ORÇAMENTO.Descricao="","DESCRIÇÃO",IF(AND($C428="S",ORÇAMENTO.Unidade=""),"UNIDADE",IF($X428&lt;0,"VALOR NEGATIVO",IF(OR(AND(TIPOORCAMENTO="Proposto",$AG428&lt;&gt;"",$AG428&gt;0,ORÇAMENTO.CustoUnitario&gt;$AG428),AND(TIPOORCAMENTO="LICITADO",ORÇAMENTO.PrecoUnitarioLicitado&gt;$AN428)),"ACIMA REF.","")))))</f>
        <v/>
      </c>
      <c r="AD428" t="str">
        <f ca="1">IF(C428&lt;=CRONO.NivelExibicao,MAX($AD$15:OFFSET(AD428,-1,0))+IF($C428&lt;&gt;1,1,MAX(1,COUNTIF(QCI!$A$13:$A$24,OFFSET($E428,-1,0)))),"")</f>
        <v/>
      </c>
      <c r="AE428" s="7" t="str">
        <f ca="1">IF(AND($C428="S",ORÇAMENTO.CodBarra&lt;&gt;""),IF(ORÇAMENTO.Fonte="",ORÇAMENTO.CodBarra,CONCATENATE(ORÇAMENTO.Fonte," ",ORÇAMENTO.CodBarra)))</f>
        <v>COMPOSIÇÃO FNDE 261</v>
      </c>
      <c r="AF428" s="13" t="str">
        <f ca="1">IF(ISERROR(INDIRECT(ORÇAMENTO.BancoRef)),"(abra o arquivo 'Referência "&amp;Excel_BuiltIn_Database&amp;".xlsm)",IF(OR($C428&lt;&gt;"S",ORÇAMENTO.CodBarra=""),"(Sem Código)",IF(ISERROR(MATCH($AE428,INDIRECT(ORÇAMENTO.BancoRef),0)),"(Código não identificado nas referências)",MATCH($AE428,INDIRECT(ORÇAMENTO.BancoRef),0))))</f>
        <v>(abra o arquivo 'Referência 06-2024.xlsm)</v>
      </c>
      <c r="AG428" s="498">
        <f ca="1">ROUND(IF(DESONERACAO="sim",REFERENCIA.Desonerado,REFERENCIA.NaoDesonerado),2)</f>
        <v>0</v>
      </c>
      <c r="AH428" s="499">
        <f t="shared" ca="1" si="111"/>
        <v>0.2432</v>
      </c>
      <c r="AJ428" s="501"/>
      <c r="AL428" s="527"/>
      <c r="AM428" s="381">
        <f t="shared" ca="1" si="105"/>
        <v>0</v>
      </c>
      <c r="AN428" s="566">
        <f t="shared" ca="1" si="112"/>
        <v>0</v>
      </c>
    </row>
    <row r="429" spans="1:40" ht="25.5" x14ac:dyDescent="0.2">
      <c r="A429" t="str">
        <f t="shared" si="109"/>
        <v>S</v>
      </c>
      <c r="B429">
        <f t="shared" ca="1" si="92"/>
        <v>2</v>
      </c>
      <c r="C429" t="str">
        <f t="shared" ca="1" si="93"/>
        <v>S</v>
      </c>
      <c r="D429">
        <f t="shared" ca="1" si="94"/>
        <v>0</v>
      </c>
      <c r="E429">
        <f ca="1">IF($C429=1,OFFSET(E429,-1,0)+MAX(1,COUNTIF(QCI!$A$13:$A$24,OFFSET(ORÇAMENTO!E429,-1,0))),OFFSET(E429,-1,0))</f>
        <v>1</v>
      </c>
      <c r="F429">
        <f t="shared" ca="1" si="95"/>
        <v>47</v>
      </c>
      <c r="G429">
        <f t="shared" ca="1" si="96"/>
        <v>0</v>
      </c>
      <c r="H429">
        <f t="shared" ca="1" si="97"/>
        <v>0</v>
      </c>
      <c r="I429">
        <f t="shared" ca="1" si="98"/>
        <v>0</v>
      </c>
      <c r="J429">
        <f t="shared" ca="1" si="107"/>
        <v>0</v>
      </c>
      <c r="K429">
        <f ca="1">IF(OR($C429="S",$C429=0),0,MATCH(OFFSET($D429,0,$C429)+IF($C429&lt;&gt;1,1,COUNTIF(QCI!$A$13:$A$24,ORÇAMENTO!E429)),OFFSET($D429,1,$C429,ROW($C$727)-ROW($C429)),0))</f>
        <v>0</v>
      </c>
      <c r="L429" s="116" t="str">
        <f t="shared" ca="1" si="99"/>
        <v/>
      </c>
      <c r="M429" s="117" t="s">
        <v>199</v>
      </c>
      <c r="N429" s="118" t="str">
        <f t="shared" ca="1" si="100"/>
        <v>Serviço</v>
      </c>
      <c r="O429" s="119" t="str">
        <f t="shared" ca="1" si="101"/>
        <v>-</v>
      </c>
      <c r="P429" s="120" t="s">
        <v>247</v>
      </c>
      <c r="Q429" s="121" t="s">
        <v>798</v>
      </c>
      <c r="R429" s="122" t="str">
        <f ca="1">IF($C429="S",REFERENCIA.Descricao,"(digite a descrição aqui)")</f>
        <v>(abra o arquivo 'Referência 06-2024.xlsm)</v>
      </c>
      <c r="S429" s="123" t="str">
        <f ca="1">REFERENCIA.Unidade</f>
        <v>-</v>
      </c>
      <c r="T429" s="124">
        <f ca="1">OFFSET(CÁLCULO!H$15,ROW($T429)-ROW(T$15),0)</f>
        <v>1</v>
      </c>
      <c r="U429" s="125">
        <f t="shared" ca="1" si="108"/>
        <v>0</v>
      </c>
      <c r="V429" s="126" t="s">
        <v>156</v>
      </c>
      <c r="W429" s="124">
        <f ca="1">IF($C429="S",ROUND(IF(TIPOORCAMENTO="Proposto",ORÇAMENTO.CustoUnitario*(1+$AH429),ORÇAMENTO.PrecoUnitarioLicitado),15-13*$AF$10),0)</f>
        <v>0</v>
      </c>
      <c r="X429" s="127">
        <f ca="1">IF($C429="S",IF(Import.TipoArredondamento&lt;&gt;"TransfereGOV",VTOTAL1,SUM(OFFSET(CÁLCULO!$AI$15,ROW($X429)-ROW($X$15),1):OFFSET(CÁLCULO!$BB$15,ROW($X429)-ROW($X$15),-1))),IF($C429=0,0,ROUND(SomaAgrup,15-13*$AF$11)))</f>
        <v>0</v>
      </c>
      <c r="Y429" s="128" t="s">
        <v>245</v>
      </c>
      <c r="Z429" t="str">
        <f t="shared" ca="1" si="102"/>
        <v/>
      </c>
      <c r="AA429" s="129">
        <f ca="1">IF($C429="S",IF($Z429="CP",$X429,IF($Z429="RA",(($X429)*QCI!$AA$3),0)),SomaAgrup)</f>
        <v>0</v>
      </c>
      <c r="AB429" s="130">
        <f t="shared" ca="1" si="110"/>
        <v>0</v>
      </c>
      <c r="AC429" s="131" t="str">
        <f ca="1">IF($N429="","",IF(ORÇAMENTO.Descricao="","DESCRIÇÃO",IF(AND($C429="S",ORÇAMENTO.Unidade=""),"UNIDADE",IF($X429&lt;0,"VALOR NEGATIVO",IF(OR(AND(TIPOORCAMENTO="Proposto",$AG429&lt;&gt;"",$AG429&gt;0,ORÇAMENTO.CustoUnitario&gt;$AG429),AND(TIPOORCAMENTO="LICITADO",ORÇAMENTO.PrecoUnitarioLicitado&gt;$AN429)),"ACIMA REF.","")))))</f>
        <v/>
      </c>
      <c r="AD429" t="str">
        <f ca="1">IF(C429&lt;=CRONO.NivelExibicao,MAX($AD$15:OFFSET(AD429,-1,0))+IF($C429&lt;&gt;1,1,MAX(1,COUNTIF(QCI!$A$13:$A$24,OFFSET($E429,-1,0)))),"")</f>
        <v/>
      </c>
      <c r="AE429" s="7" t="str">
        <f ca="1">IF(AND($C429="S",ORÇAMENTO.CodBarra&lt;&gt;""),IF(ORÇAMENTO.Fonte="",ORÇAMENTO.CodBarra,CONCATENATE(ORÇAMENTO.Fonte," ",ORÇAMENTO.CodBarra)))</f>
        <v>SINAPI 101917</v>
      </c>
      <c r="AF429" s="13" t="str">
        <f ca="1">IF(ISERROR(INDIRECT(ORÇAMENTO.BancoRef)),"(abra o arquivo 'Referência "&amp;Excel_BuiltIn_Database&amp;".xlsm)",IF(OR($C429&lt;&gt;"S",ORÇAMENTO.CodBarra=""),"(Sem Código)",IF(ISERROR(MATCH($AE429,INDIRECT(ORÇAMENTO.BancoRef),0)),"(Código não identificado nas referências)",MATCH($AE429,INDIRECT(ORÇAMENTO.BancoRef),0))))</f>
        <v>(abra o arquivo 'Referência 06-2024.xlsm)</v>
      </c>
      <c r="AG429" s="498">
        <f ca="1">ROUND(IF(DESONERACAO="sim",REFERENCIA.Desonerado,REFERENCIA.NaoDesonerado),2)</f>
        <v>0</v>
      </c>
      <c r="AH429" s="499">
        <f t="shared" ca="1" si="111"/>
        <v>0.2432</v>
      </c>
      <c r="AJ429" s="501"/>
      <c r="AL429" s="527"/>
      <c r="AM429" s="381">
        <f t="shared" ca="1" si="105"/>
        <v>0</v>
      </c>
      <c r="AN429" s="566">
        <f t="shared" ca="1" si="112"/>
        <v>0</v>
      </c>
    </row>
    <row r="430" spans="1:40" ht="25.5" x14ac:dyDescent="0.2">
      <c r="A430" t="str">
        <f t="shared" si="109"/>
        <v>S</v>
      </c>
      <c r="B430">
        <f t="shared" ca="1" si="92"/>
        <v>2</v>
      </c>
      <c r="C430" t="str">
        <f t="shared" ca="1" si="93"/>
        <v>S</v>
      </c>
      <c r="D430">
        <f t="shared" ca="1" si="94"/>
        <v>0</v>
      </c>
      <c r="E430">
        <f ca="1">IF($C430=1,OFFSET(E430,-1,0)+MAX(1,COUNTIF(QCI!$A$13:$A$24,OFFSET(ORÇAMENTO!E430,-1,0))),OFFSET(E430,-1,0))</f>
        <v>1</v>
      </c>
      <c r="F430">
        <f t="shared" ca="1" si="95"/>
        <v>47</v>
      </c>
      <c r="G430">
        <f t="shared" ca="1" si="96"/>
        <v>0</v>
      </c>
      <c r="H430">
        <f t="shared" ca="1" si="97"/>
        <v>0</v>
      </c>
      <c r="I430">
        <f t="shared" ca="1" si="98"/>
        <v>0</v>
      </c>
      <c r="J430">
        <f t="shared" ca="1" si="107"/>
        <v>0</v>
      </c>
      <c r="K430">
        <f ca="1">IF(OR($C430="S",$C430=0),0,MATCH(OFFSET($D430,0,$C430)+IF($C430&lt;&gt;1,1,COUNTIF(QCI!$A$13:$A$24,ORÇAMENTO!E430)),OFFSET($D430,1,$C430,ROW($C$727)-ROW($C430)),0))</f>
        <v>0</v>
      </c>
      <c r="L430" s="116" t="str">
        <f t="shared" ca="1" si="99"/>
        <v/>
      </c>
      <c r="M430" s="117" t="s">
        <v>199</v>
      </c>
      <c r="N430" s="118" t="str">
        <f t="shared" ca="1" si="100"/>
        <v>Serviço</v>
      </c>
      <c r="O430" s="119" t="str">
        <f t="shared" ca="1" si="101"/>
        <v>-</v>
      </c>
      <c r="P430" s="120" t="s">
        <v>247</v>
      </c>
      <c r="Q430" s="121" t="s">
        <v>778</v>
      </c>
      <c r="R430" s="122" t="str">
        <f ca="1">IF($C430="S",REFERENCIA.Descricao,"(digite a descrição aqui)")</f>
        <v>(abra o arquivo 'Referência 06-2024.xlsm)</v>
      </c>
      <c r="S430" s="123" t="str">
        <f ca="1">REFERENCIA.Unidade</f>
        <v>-</v>
      </c>
      <c r="T430" s="124">
        <f ca="1">OFFSET(CÁLCULO!H$15,ROW($T430)-ROW(T$15),0)</f>
        <v>2</v>
      </c>
      <c r="U430" s="125">
        <f t="shared" ca="1" si="108"/>
        <v>0</v>
      </c>
      <c r="V430" s="126" t="s">
        <v>156</v>
      </c>
      <c r="W430" s="124">
        <f ca="1">IF($C430="S",ROUND(IF(TIPOORCAMENTO="Proposto",ORÇAMENTO.CustoUnitario*(1+$AH430),ORÇAMENTO.PrecoUnitarioLicitado),15-13*$AF$10),0)</f>
        <v>0</v>
      </c>
      <c r="X430" s="127">
        <f ca="1">IF($C430="S",IF(Import.TipoArredondamento&lt;&gt;"TransfereGOV",VTOTAL1,SUM(OFFSET(CÁLCULO!$AI$15,ROW($X430)-ROW($X$15),1):OFFSET(CÁLCULO!$BB$15,ROW($X430)-ROW($X$15),-1))),IF($C430=0,0,ROUND(SomaAgrup,15-13*$AF$11)))</f>
        <v>0</v>
      </c>
      <c r="Y430" s="128" t="s">
        <v>245</v>
      </c>
      <c r="Z430" t="str">
        <f t="shared" ca="1" si="102"/>
        <v/>
      </c>
      <c r="AA430" s="129">
        <f ca="1">IF($C430="S",IF($Z430="CP",$X430,IF($Z430="RA",(($X430)*QCI!$AA$3),0)),SomaAgrup)</f>
        <v>0</v>
      </c>
      <c r="AB430" s="130">
        <f t="shared" ca="1" si="110"/>
        <v>0</v>
      </c>
      <c r="AC430" s="131" t="str">
        <f ca="1">IF($N430="","",IF(ORÇAMENTO.Descricao="","DESCRIÇÃO",IF(AND($C430="S",ORÇAMENTO.Unidade=""),"UNIDADE",IF($X430&lt;0,"VALOR NEGATIVO",IF(OR(AND(TIPOORCAMENTO="Proposto",$AG430&lt;&gt;"",$AG430&gt;0,ORÇAMENTO.CustoUnitario&gt;$AG430),AND(TIPOORCAMENTO="LICITADO",ORÇAMENTO.PrecoUnitarioLicitado&gt;$AN430)),"ACIMA REF.","")))))</f>
        <v/>
      </c>
      <c r="AD430" t="str">
        <f ca="1">IF(C430&lt;=CRONO.NivelExibicao,MAX($AD$15:OFFSET(AD430,-1,0))+IF($C430&lt;&gt;1,1,MAX(1,COUNTIF(QCI!$A$13:$A$24,OFFSET($E430,-1,0)))),"")</f>
        <v/>
      </c>
      <c r="AE430" s="7" t="str">
        <f ca="1">IF(AND($C430="S",ORÇAMENTO.CodBarra&lt;&gt;""),IF(ORÇAMENTO.Fonte="",ORÇAMENTO.CodBarra,CONCATENATE(ORÇAMENTO.Fonte," ",ORÇAMENTO.CodBarra)))</f>
        <v>SINAPI 95249</v>
      </c>
      <c r="AF430" s="13" t="str">
        <f ca="1">IF(ISERROR(INDIRECT(ORÇAMENTO.BancoRef)),"(abra o arquivo 'Referência "&amp;Excel_BuiltIn_Database&amp;".xlsm)",IF(OR($C430&lt;&gt;"S",ORÇAMENTO.CodBarra=""),"(Sem Código)",IF(ISERROR(MATCH($AE430,INDIRECT(ORÇAMENTO.BancoRef),0)),"(Código não identificado nas referências)",MATCH($AE430,INDIRECT(ORÇAMENTO.BancoRef),0))))</f>
        <v>(abra o arquivo 'Referência 06-2024.xlsm)</v>
      </c>
      <c r="AG430" s="498">
        <f ca="1">ROUND(IF(DESONERACAO="sim",REFERENCIA.Desonerado,REFERENCIA.NaoDesonerado),2)</f>
        <v>0</v>
      </c>
      <c r="AH430" s="499">
        <f t="shared" ca="1" si="111"/>
        <v>0.2432</v>
      </c>
      <c r="AJ430" s="501"/>
      <c r="AL430" s="527"/>
      <c r="AM430" s="381">
        <f t="shared" ca="1" si="105"/>
        <v>0</v>
      </c>
      <c r="AN430" s="566">
        <f t="shared" ca="1" si="112"/>
        <v>0</v>
      </c>
    </row>
    <row r="431" spans="1:40" x14ac:dyDescent="0.2">
      <c r="A431" t="str">
        <f t="shared" si="109"/>
        <v>S</v>
      </c>
      <c r="B431">
        <f t="shared" ca="1" si="92"/>
        <v>2</v>
      </c>
      <c r="C431" t="str">
        <f t="shared" ca="1" si="93"/>
        <v>S</v>
      </c>
      <c r="D431">
        <f t="shared" ca="1" si="94"/>
        <v>0</v>
      </c>
      <c r="E431">
        <f ca="1">IF($C431=1,OFFSET(E431,-1,0)+MAX(1,COUNTIF(QCI!$A$13:$A$24,OFFSET(ORÇAMENTO!E431,-1,0))),OFFSET(E431,-1,0))</f>
        <v>1</v>
      </c>
      <c r="F431">
        <f t="shared" ca="1" si="95"/>
        <v>47</v>
      </c>
      <c r="G431">
        <f t="shared" ca="1" si="96"/>
        <v>0</v>
      </c>
      <c r="H431">
        <f t="shared" ca="1" si="97"/>
        <v>0</v>
      </c>
      <c r="I431">
        <f t="shared" ca="1" si="98"/>
        <v>0</v>
      </c>
      <c r="J431">
        <f t="shared" ca="1" si="107"/>
        <v>0</v>
      </c>
      <c r="K431">
        <f ca="1">IF(OR($C431="S",$C431=0),0,MATCH(OFFSET($D431,0,$C431)+IF($C431&lt;&gt;1,1,COUNTIF(QCI!$A$13:$A$24,ORÇAMENTO!E431)),OFFSET($D431,1,$C431,ROW($C$727)-ROW($C431)),0))</f>
        <v>0</v>
      </c>
      <c r="L431" s="116" t="str">
        <f t="shared" ca="1" si="99"/>
        <v/>
      </c>
      <c r="M431" s="117" t="s">
        <v>199</v>
      </c>
      <c r="N431" s="118" t="str">
        <f t="shared" ca="1" si="100"/>
        <v>Serviço</v>
      </c>
      <c r="O431" s="119" t="str">
        <f t="shared" ca="1" si="101"/>
        <v>-</v>
      </c>
      <c r="P431" s="120" t="s">
        <v>458</v>
      </c>
      <c r="Q431" s="121" t="s">
        <v>1014</v>
      </c>
      <c r="R431" s="122" t="str">
        <f ca="1">IF($C431="S",REFERENCIA.Descricao,"(digite a descrição aqui)")</f>
        <v>(abra o arquivo 'Referência 06-2024.xlsm)</v>
      </c>
      <c r="S431" s="123" t="str">
        <f ca="1">REFERENCIA.Unidade</f>
        <v>-</v>
      </c>
      <c r="T431" s="124">
        <f ca="1">OFFSET(CÁLCULO!H$15,ROW($T431)-ROW(T$15),0)</f>
        <v>2</v>
      </c>
      <c r="U431" s="125">
        <f t="shared" ca="1" si="108"/>
        <v>0</v>
      </c>
      <c r="V431" s="126" t="s">
        <v>156</v>
      </c>
      <c r="W431" s="124">
        <f ca="1">IF($C431="S",ROUND(IF(TIPOORCAMENTO="Proposto",ORÇAMENTO.CustoUnitario*(1+$AH431),ORÇAMENTO.PrecoUnitarioLicitado),15-13*$AF$10),0)</f>
        <v>0</v>
      </c>
      <c r="X431" s="127">
        <f ca="1">IF($C431="S",IF(Import.TipoArredondamento&lt;&gt;"TransfereGOV",VTOTAL1,SUM(OFFSET(CÁLCULO!$AI$15,ROW($X431)-ROW($X$15),1):OFFSET(CÁLCULO!$BB$15,ROW($X431)-ROW($X$15),-1))),IF($C431=0,0,ROUND(SomaAgrup,15-13*$AF$11)))</f>
        <v>0</v>
      </c>
      <c r="Y431" s="128" t="s">
        <v>245</v>
      </c>
      <c r="Z431" t="str">
        <f t="shared" ca="1" si="102"/>
        <v/>
      </c>
      <c r="AA431" s="129">
        <f ca="1">IF($C431="S",IF($Z431="CP",$X431,IF($Z431="RA",(($X431)*QCI!$AA$3),0)),SomaAgrup)</f>
        <v>0</v>
      </c>
      <c r="AB431" s="130">
        <f t="shared" ca="1" si="110"/>
        <v>0</v>
      </c>
      <c r="AC431" s="131" t="str">
        <f ca="1">IF($N431="","",IF(ORÇAMENTO.Descricao="","DESCRIÇÃO",IF(AND($C431="S",ORÇAMENTO.Unidade=""),"UNIDADE",IF($X431&lt;0,"VALOR NEGATIVO",IF(OR(AND(TIPOORCAMENTO="Proposto",$AG431&lt;&gt;"",$AG431&gt;0,ORÇAMENTO.CustoUnitario&gt;$AG431),AND(TIPOORCAMENTO="LICITADO",ORÇAMENTO.PrecoUnitarioLicitado&gt;$AN431)),"ACIMA REF.","")))))</f>
        <v/>
      </c>
      <c r="AD431" t="str">
        <f ca="1">IF(C431&lt;=CRONO.NivelExibicao,MAX($AD$15:OFFSET(AD431,-1,0))+IF($C431&lt;&gt;1,1,MAX(1,COUNTIF(QCI!$A$13:$A$24,OFFSET($E431,-1,0)))),"")</f>
        <v/>
      </c>
      <c r="AE431" s="7" t="str">
        <f ca="1">IF(AND($C431="S",ORÇAMENTO.CodBarra&lt;&gt;""),IF(ORÇAMENTO.Fonte="",ORÇAMENTO.CodBarra,CONCATENATE(ORÇAMENTO.Fonte," ",ORÇAMENTO.CodBarra)))</f>
        <v xml:space="preserve">COMPOSIÇÃO FNDE 332 </v>
      </c>
      <c r="AF431" s="13" t="str">
        <f ca="1">IF(ISERROR(INDIRECT(ORÇAMENTO.BancoRef)),"(abra o arquivo 'Referência "&amp;Excel_BuiltIn_Database&amp;".xlsm)",IF(OR($C431&lt;&gt;"S",ORÇAMENTO.CodBarra=""),"(Sem Código)",IF(ISERROR(MATCH($AE431,INDIRECT(ORÇAMENTO.BancoRef),0)),"(Código não identificado nas referências)",MATCH($AE431,INDIRECT(ORÇAMENTO.BancoRef),0))))</f>
        <v>(abra o arquivo 'Referência 06-2024.xlsm)</v>
      </c>
      <c r="AG431" s="498">
        <f ca="1">ROUND(IF(DESONERACAO="sim",REFERENCIA.Desonerado,REFERENCIA.NaoDesonerado),2)</f>
        <v>0</v>
      </c>
      <c r="AH431" s="499">
        <f t="shared" ca="1" si="111"/>
        <v>0.2432</v>
      </c>
      <c r="AJ431" s="501"/>
      <c r="AL431" s="527"/>
      <c r="AM431" s="381">
        <f t="shared" ca="1" si="105"/>
        <v>0</v>
      </c>
      <c r="AN431" s="566">
        <f t="shared" ca="1" si="112"/>
        <v>0</v>
      </c>
    </row>
    <row r="432" spans="1:40" x14ac:dyDescent="0.2">
      <c r="A432" t="str">
        <f t="shared" si="109"/>
        <v>S</v>
      </c>
      <c r="B432">
        <f t="shared" ca="1" si="92"/>
        <v>2</v>
      </c>
      <c r="C432" t="str">
        <f t="shared" ca="1" si="93"/>
        <v>S</v>
      </c>
      <c r="D432">
        <f t="shared" ca="1" si="94"/>
        <v>0</v>
      </c>
      <c r="E432">
        <f ca="1">IF($C432=1,OFFSET(E432,-1,0)+MAX(1,COUNTIF(QCI!$A$13:$A$24,OFFSET(ORÇAMENTO!E432,-1,0))),OFFSET(E432,-1,0))</f>
        <v>1</v>
      </c>
      <c r="F432">
        <f t="shared" ca="1" si="95"/>
        <v>47</v>
      </c>
      <c r="G432">
        <f t="shared" ca="1" si="96"/>
        <v>0</v>
      </c>
      <c r="H432">
        <f t="shared" ca="1" si="97"/>
        <v>0</v>
      </c>
      <c r="I432">
        <f t="shared" ca="1" si="98"/>
        <v>0</v>
      </c>
      <c r="J432">
        <f t="shared" ca="1" si="107"/>
        <v>0</v>
      </c>
      <c r="K432">
        <f ca="1">IF(OR($C432="S",$C432=0),0,MATCH(OFFSET($D432,0,$C432)+IF($C432&lt;&gt;1,1,COUNTIF(QCI!$A$13:$A$24,ORÇAMENTO!E432)),OFFSET($D432,1,$C432,ROW($C$727)-ROW($C432)),0))</f>
        <v>0</v>
      </c>
      <c r="L432" s="116" t="str">
        <f t="shared" ca="1" si="99"/>
        <v/>
      </c>
      <c r="M432" s="117" t="s">
        <v>199</v>
      </c>
      <c r="N432" s="118" t="str">
        <f t="shared" ca="1" si="100"/>
        <v>Serviço</v>
      </c>
      <c r="O432" s="119" t="str">
        <f t="shared" ca="1" si="101"/>
        <v>-</v>
      </c>
      <c r="P432" s="120" t="s">
        <v>458</v>
      </c>
      <c r="Q432" s="121" t="s">
        <v>799</v>
      </c>
      <c r="R432" s="122" t="str">
        <f ca="1">IF($C432="S",REFERENCIA.Descricao,"(digite a descrição aqui)")</f>
        <v>(abra o arquivo 'Referência 06-2024.xlsm)</v>
      </c>
      <c r="S432" s="123" t="str">
        <f ca="1">REFERENCIA.Unidade</f>
        <v>-</v>
      </c>
      <c r="T432" s="124">
        <f ca="1">OFFSET(CÁLCULO!H$15,ROW($T432)-ROW(T$15),0)</f>
        <v>1</v>
      </c>
      <c r="U432" s="125">
        <f t="shared" ca="1" si="108"/>
        <v>0</v>
      </c>
      <c r="V432" s="126" t="s">
        <v>156</v>
      </c>
      <c r="W432" s="124">
        <f ca="1">IF($C432="S",ROUND(IF(TIPOORCAMENTO="Proposto",ORÇAMENTO.CustoUnitario*(1+$AH432),ORÇAMENTO.PrecoUnitarioLicitado),15-13*$AF$10),0)</f>
        <v>0</v>
      </c>
      <c r="X432" s="127">
        <f ca="1">IF($C432="S",IF(Import.TipoArredondamento&lt;&gt;"TransfereGOV",VTOTAL1,SUM(OFFSET(CÁLCULO!$AI$15,ROW($X432)-ROW($X$15),1):OFFSET(CÁLCULO!$BB$15,ROW($X432)-ROW($X$15),-1))),IF($C432=0,0,ROUND(SomaAgrup,15-13*$AF$11)))</f>
        <v>0</v>
      </c>
      <c r="Y432" s="128" t="s">
        <v>245</v>
      </c>
      <c r="Z432" t="str">
        <f t="shared" ca="1" si="102"/>
        <v/>
      </c>
      <c r="AA432" s="129">
        <f ca="1">IF($C432="S",IF($Z432="CP",$X432,IF($Z432="RA",(($X432)*QCI!$AA$3),0)),SomaAgrup)</f>
        <v>0</v>
      </c>
      <c r="AB432" s="130">
        <f t="shared" ca="1" si="110"/>
        <v>0</v>
      </c>
      <c r="AC432" s="131" t="str">
        <f ca="1">IF($N432="","",IF(ORÇAMENTO.Descricao="","DESCRIÇÃO",IF(AND($C432="S",ORÇAMENTO.Unidade=""),"UNIDADE",IF($X432&lt;0,"VALOR NEGATIVO",IF(OR(AND(TIPOORCAMENTO="Proposto",$AG432&lt;&gt;"",$AG432&gt;0,ORÇAMENTO.CustoUnitario&gt;$AG432),AND(TIPOORCAMENTO="LICITADO",ORÇAMENTO.PrecoUnitarioLicitado&gt;$AN432)),"ACIMA REF.","")))))</f>
        <v/>
      </c>
      <c r="AD432" t="str">
        <f ca="1">IF(C432&lt;=CRONO.NivelExibicao,MAX($AD$15:OFFSET(AD432,-1,0))+IF($C432&lt;&gt;1,1,MAX(1,COUNTIF(QCI!$A$13:$A$24,OFFSET($E432,-1,0)))),"")</f>
        <v/>
      </c>
      <c r="AE432" s="7" t="str">
        <f ca="1">IF(AND($C432="S",ORÇAMENTO.CodBarra&lt;&gt;""),IF(ORÇAMENTO.Fonte="",ORÇAMENTO.CodBarra,CONCATENATE(ORÇAMENTO.Fonte," ",ORÇAMENTO.CodBarra)))</f>
        <v>COMPOSIÇÃO FNDE 112</v>
      </c>
      <c r="AF432" s="13" t="str">
        <f ca="1">IF(ISERROR(INDIRECT(ORÇAMENTO.BancoRef)),"(abra o arquivo 'Referência "&amp;Excel_BuiltIn_Database&amp;".xlsm)",IF(OR($C432&lt;&gt;"S",ORÇAMENTO.CodBarra=""),"(Sem Código)",IF(ISERROR(MATCH($AE432,INDIRECT(ORÇAMENTO.BancoRef),0)),"(Código não identificado nas referências)",MATCH($AE432,INDIRECT(ORÇAMENTO.BancoRef),0))))</f>
        <v>(abra o arquivo 'Referência 06-2024.xlsm)</v>
      </c>
      <c r="AG432" s="498">
        <f ca="1">ROUND(IF(DESONERACAO="sim",REFERENCIA.Desonerado,REFERENCIA.NaoDesonerado),2)</f>
        <v>0</v>
      </c>
      <c r="AH432" s="499">
        <f t="shared" ca="1" si="111"/>
        <v>0.2432</v>
      </c>
      <c r="AJ432" s="501"/>
      <c r="AL432" s="527"/>
      <c r="AM432" s="381">
        <f t="shared" ca="1" si="105"/>
        <v>0</v>
      </c>
      <c r="AN432" s="566">
        <f t="shared" ca="1" si="112"/>
        <v>0</v>
      </c>
    </row>
    <row r="433" spans="1:40" x14ac:dyDescent="0.2">
      <c r="A433" t="str">
        <f t="shared" si="109"/>
        <v>S</v>
      </c>
      <c r="B433">
        <f t="shared" ca="1" si="92"/>
        <v>2</v>
      </c>
      <c r="C433" t="str">
        <f t="shared" ca="1" si="93"/>
        <v>S</v>
      </c>
      <c r="D433">
        <f t="shared" ca="1" si="94"/>
        <v>0</v>
      </c>
      <c r="E433">
        <f ca="1">IF($C433=1,OFFSET(E433,-1,0)+MAX(1,COUNTIF(QCI!$A$13:$A$24,OFFSET(ORÇAMENTO!E433,-1,0))),OFFSET(E433,-1,0))</f>
        <v>1</v>
      </c>
      <c r="F433">
        <f t="shared" ca="1" si="95"/>
        <v>47</v>
      </c>
      <c r="G433">
        <f t="shared" ca="1" si="96"/>
        <v>0</v>
      </c>
      <c r="H433">
        <f t="shared" ca="1" si="97"/>
        <v>0</v>
      </c>
      <c r="I433">
        <f t="shared" ca="1" si="98"/>
        <v>0</v>
      </c>
      <c r="J433">
        <f t="shared" ca="1" si="107"/>
        <v>0</v>
      </c>
      <c r="K433">
        <f ca="1">IF(OR($C433="S",$C433=0),0,MATCH(OFFSET($D433,0,$C433)+IF($C433&lt;&gt;1,1,COUNTIF(QCI!$A$13:$A$24,ORÇAMENTO!E433)),OFFSET($D433,1,$C433,ROW($C$727)-ROW($C433)),0))</f>
        <v>0</v>
      </c>
      <c r="L433" s="116" t="str">
        <f t="shared" ca="1" si="99"/>
        <v/>
      </c>
      <c r="M433" s="117" t="s">
        <v>199</v>
      </c>
      <c r="N433" s="118" t="str">
        <f t="shared" ca="1" si="100"/>
        <v>Serviço</v>
      </c>
      <c r="O433" s="119" t="str">
        <f t="shared" ca="1" si="101"/>
        <v>-</v>
      </c>
      <c r="P433" s="120" t="s">
        <v>458</v>
      </c>
      <c r="Q433" s="121" t="s">
        <v>800</v>
      </c>
      <c r="R433" s="122" t="str">
        <f ca="1">IF($C433="S",REFERENCIA.Descricao,"(digite a descrição aqui)")</f>
        <v>(abra o arquivo 'Referência 06-2024.xlsm)</v>
      </c>
      <c r="S433" s="123" t="str">
        <f ca="1">REFERENCIA.Unidade</f>
        <v>-</v>
      </c>
      <c r="T433" s="124">
        <f ca="1">OFFSET(CÁLCULO!H$15,ROW($T433)-ROW(T$15),0)</f>
        <v>1</v>
      </c>
      <c r="U433" s="125">
        <f t="shared" ca="1" si="108"/>
        <v>0</v>
      </c>
      <c r="V433" s="126" t="s">
        <v>156</v>
      </c>
      <c r="W433" s="124">
        <f ca="1">IF($C433="S",ROUND(IF(TIPOORCAMENTO="Proposto",ORÇAMENTO.CustoUnitario*(1+$AH433),ORÇAMENTO.PrecoUnitarioLicitado),15-13*$AF$10),0)</f>
        <v>0</v>
      </c>
      <c r="X433" s="127">
        <f ca="1">IF($C433="S",IF(Import.TipoArredondamento&lt;&gt;"TransfereGOV",VTOTAL1,SUM(OFFSET(CÁLCULO!$AI$15,ROW($X433)-ROW($X$15),1):OFFSET(CÁLCULO!$BB$15,ROW($X433)-ROW($X$15),-1))),IF($C433=0,0,ROUND(SomaAgrup,15-13*$AF$11)))</f>
        <v>0</v>
      </c>
      <c r="Y433" s="128" t="s">
        <v>245</v>
      </c>
      <c r="Z433" t="str">
        <f t="shared" ca="1" si="102"/>
        <v/>
      </c>
      <c r="AA433" s="129">
        <f ca="1">IF($C433="S",IF($Z433="CP",$X433,IF($Z433="RA",(($X433)*QCI!$AA$3),0)),SomaAgrup)</f>
        <v>0</v>
      </c>
      <c r="AB433" s="130">
        <f t="shared" ca="1" si="110"/>
        <v>0</v>
      </c>
      <c r="AC433" s="131" t="str">
        <f ca="1">IF($N433="","",IF(ORÇAMENTO.Descricao="","DESCRIÇÃO",IF(AND($C433="S",ORÇAMENTO.Unidade=""),"UNIDADE",IF($X433&lt;0,"VALOR NEGATIVO",IF(OR(AND(TIPOORCAMENTO="Proposto",$AG433&lt;&gt;"",$AG433&gt;0,ORÇAMENTO.CustoUnitario&gt;$AG433),AND(TIPOORCAMENTO="LICITADO",ORÇAMENTO.PrecoUnitarioLicitado&gt;$AN433)),"ACIMA REF.","")))))</f>
        <v/>
      </c>
      <c r="AD433" t="str">
        <f ca="1">IF(C433&lt;=CRONO.NivelExibicao,MAX($AD$15:OFFSET(AD433,-1,0))+IF($C433&lt;&gt;1,1,MAX(1,COUNTIF(QCI!$A$13:$A$24,OFFSET($E433,-1,0)))),"")</f>
        <v/>
      </c>
      <c r="AE433" s="7" t="str">
        <f ca="1">IF(AND($C433="S",ORÇAMENTO.CodBarra&lt;&gt;""),IF(ORÇAMENTO.Fonte="",ORÇAMENTO.CodBarra,CONCATENATE(ORÇAMENTO.Fonte," ",ORÇAMENTO.CodBarra)))</f>
        <v>COMPOSIÇÃO FNDE 113</v>
      </c>
      <c r="AF433" s="13" t="str">
        <f ca="1">IF(ISERROR(INDIRECT(ORÇAMENTO.BancoRef)),"(abra o arquivo 'Referência "&amp;Excel_BuiltIn_Database&amp;".xlsm)",IF(OR($C433&lt;&gt;"S",ORÇAMENTO.CodBarra=""),"(Sem Código)",IF(ISERROR(MATCH($AE433,INDIRECT(ORÇAMENTO.BancoRef),0)),"(Código não identificado nas referências)",MATCH($AE433,INDIRECT(ORÇAMENTO.BancoRef),0))))</f>
        <v>(abra o arquivo 'Referência 06-2024.xlsm)</v>
      </c>
      <c r="AG433" s="498">
        <f ca="1">ROUND(IF(DESONERACAO="sim",REFERENCIA.Desonerado,REFERENCIA.NaoDesonerado),2)</f>
        <v>0</v>
      </c>
      <c r="AH433" s="499">
        <f t="shared" ca="1" si="111"/>
        <v>0.2432</v>
      </c>
      <c r="AJ433" s="501"/>
      <c r="AL433" s="527"/>
      <c r="AM433" s="381">
        <f t="shared" ca="1" si="105"/>
        <v>0</v>
      </c>
      <c r="AN433" s="566">
        <f t="shared" ca="1" si="112"/>
        <v>0</v>
      </c>
    </row>
    <row r="434" spans="1:40" x14ac:dyDescent="0.2">
      <c r="A434" t="str">
        <f t="shared" si="109"/>
        <v>S</v>
      </c>
      <c r="B434">
        <f t="shared" ca="1" si="92"/>
        <v>2</v>
      </c>
      <c r="C434" t="str">
        <f t="shared" ca="1" si="93"/>
        <v>S</v>
      </c>
      <c r="D434">
        <f t="shared" ca="1" si="94"/>
        <v>0</v>
      </c>
      <c r="E434">
        <f ca="1">IF($C434=1,OFFSET(E434,-1,0)+MAX(1,COUNTIF(QCI!$A$13:$A$24,OFFSET(ORÇAMENTO!E434,-1,0))),OFFSET(E434,-1,0))</f>
        <v>1</v>
      </c>
      <c r="F434">
        <f t="shared" ca="1" si="95"/>
        <v>47</v>
      </c>
      <c r="G434">
        <f t="shared" ca="1" si="96"/>
        <v>0</v>
      </c>
      <c r="H434">
        <f t="shared" ca="1" si="97"/>
        <v>0</v>
      </c>
      <c r="I434">
        <f t="shared" ca="1" si="98"/>
        <v>0</v>
      </c>
      <c r="J434">
        <f t="shared" ca="1" si="107"/>
        <v>0</v>
      </c>
      <c r="K434">
        <f ca="1">IF(OR($C434="S",$C434=0),0,MATCH(OFFSET($D434,0,$C434)+IF($C434&lt;&gt;1,1,COUNTIF(QCI!$A$13:$A$24,ORÇAMENTO!E434)),OFFSET($D434,1,$C434,ROW($C$727)-ROW($C434)),0))</f>
        <v>0</v>
      </c>
      <c r="L434" s="116" t="str">
        <f t="shared" ca="1" si="99"/>
        <v/>
      </c>
      <c r="M434" s="117" t="s">
        <v>199</v>
      </c>
      <c r="N434" s="118" t="str">
        <f t="shared" ca="1" si="100"/>
        <v>Serviço</v>
      </c>
      <c r="O434" s="119" t="str">
        <f t="shared" ca="1" si="101"/>
        <v>-</v>
      </c>
      <c r="P434" s="120" t="s">
        <v>458</v>
      </c>
      <c r="Q434" s="121" t="s">
        <v>801</v>
      </c>
      <c r="R434" s="122" t="str">
        <f ca="1">IF($C434="S",REFERENCIA.Descricao,"(digite a descrição aqui)")</f>
        <v>(abra o arquivo 'Referência 06-2024.xlsm)</v>
      </c>
      <c r="S434" s="123" t="str">
        <f ca="1">REFERENCIA.Unidade</f>
        <v>-</v>
      </c>
      <c r="T434" s="124">
        <f ca="1">OFFSET(CÁLCULO!H$15,ROW($T434)-ROW(T$15),0)</f>
        <v>1</v>
      </c>
      <c r="U434" s="125">
        <f t="shared" ca="1" si="108"/>
        <v>0</v>
      </c>
      <c r="V434" s="126" t="s">
        <v>156</v>
      </c>
      <c r="W434" s="124">
        <f ca="1">IF($C434="S",ROUND(IF(TIPOORCAMENTO="Proposto",ORÇAMENTO.CustoUnitario*(1+$AH434),ORÇAMENTO.PrecoUnitarioLicitado),15-13*$AF$10),0)</f>
        <v>0</v>
      </c>
      <c r="X434" s="127">
        <f ca="1">IF($C434="S",IF(Import.TipoArredondamento&lt;&gt;"TransfereGOV",VTOTAL1,SUM(OFFSET(CÁLCULO!$AI$15,ROW($X434)-ROW($X$15),1):OFFSET(CÁLCULO!$BB$15,ROW($X434)-ROW($X$15),-1))),IF($C434=0,0,ROUND(SomaAgrup,15-13*$AF$11)))</f>
        <v>0</v>
      </c>
      <c r="Y434" s="128" t="s">
        <v>245</v>
      </c>
      <c r="Z434" t="str">
        <f t="shared" ca="1" si="102"/>
        <v/>
      </c>
      <c r="AA434" s="129">
        <f ca="1">IF($C434="S",IF($Z434="CP",$X434,IF($Z434="RA",(($X434)*QCI!$AA$3),0)),SomaAgrup)</f>
        <v>0</v>
      </c>
      <c r="AB434" s="130">
        <f t="shared" ca="1" si="110"/>
        <v>0</v>
      </c>
      <c r="AC434" s="131" t="str">
        <f ca="1">IF($N434="","",IF(ORÇAMENTO.Descricao="","DESCRIÇÃO",IF(AND($C434="S",ORÇAMENTO.Unidade=""),"UNIDADE",IF($X434&lt;0,"VALOR NEGATIVO",IF(OR(AND(TIPOORCAMENTO="Proposto",$AG434&lt;&gt;"",$AG434&gt;0,ORÇAMENTO.CustoUnitario&gt;$AG434),AND(TIPOORCAMENTO="LICITADO",ORÇAMENTO.PrecoUnitarioLicitado&gt;$AN434)),"ACIMA REF.","")))))</f>
        <v/>
      </c>
      <c r="AD434" t="str">
        <f ca="1">IF(C434&lt;=CRONO.NivelExibicao,MAX($AD$15:OFFSET(AD434,-1,0))+IF($C434&lt;&gt;1,1,MAX(1,COUNTIF(QCI!$A$13:$A$24,OFFSET($E434,-1,0)))),"")</f>
        <v/>
      </c>
      <c r="AE434" s="7" t="str">
        <f ca="1">IF(AND($C434="S",ORÇAMENTO.CodBarra&lt;&gt;""),IF(ORÇAMENTO.Fonte="",ORÇAMENTO.CodBarra,CONCATENATE(ORÇAMENTO.Fonte," ",ORÇAMENTO.CodBarra)))</f>
        <v>COMPOSIÇÃO FNDE 114</v>
      </c>
      <c r="AF434" s="13" t="str">
        <f ca="1">IF(ISERROR(INDIRECT(ORÇAMENTO.BancoRef)),"(abra o arquivo 'Referência "&amp;Excel_BuiltIn_Database&amp;".xlsm)",IF(OR($C434&lt;&gt;"S",ORÇAMENTO.CodBarra=""),"(Sem Código)",IF(ISERROR(MATCH($AE434,INDIRECT(ORÇAMENTO.BancoRef),0)),"(Código não identificado nas referências)",MATCH($AE434,INDIRECT(ORÇAMENTO.BancoRef),0))))</f>
        <v>(abra o arquivo 'Referência 06-2024.xlsm)</v>
      </c>
      <c r="AG434" s="498">
        <f ca="1">ROUND(IF(DESONERACAO="sim",REFERENCIA.Desonerado,REFERENCIA.NaoDesonerado),2)</f>
        <v>0</v>
      </c>
      <c r="AH434" s="499">
        <f t="shared" ca="1" si="111"/>
        <v>0.2432</v>
      </c>
      <c r="AJ434" s="501"/>
      <c r="AL434" s="527"/>
      <c r="AM434" s="381">
        <f t="shared" ca="1" si="105"/>
        <v>0</v>
      </c>
      <c r="AN434" s="566">
        <f t="shared" ca="1" si="112"/>
        <v>0</v>
      </c>
    </row>
    <row r="435" spans="1:40" ht="25.5" x14ac:dyDescent="0.2">
      <c r="A435" t="str">
        <f t="shared" si="109"/>
        <v>S</v>
      </c>
      <c r="B435">
        <f t="shared" ca="1" si="92"/>
        <v>2</v>
      </c>
      <c r="C435" t="str">
        <f t="shared" ca="1" si="93"/>
        <v>S</v>
      </c>
      <c r="D435">
        <f t="shared" ca="1" si="94"/>
        <v>0</v>
      </c>
      <c r="E435">
        <f ca="1">IF($C435=1,OFFSET(E435,-1,0)+MAX(1,COUNTIF(QCI!$A$13:$A$24,OFFSET(ORÇAMENTO!E435,-1,0))),OFFSET(E435,-1,0))</f>
        <v>1</v>
      </c>
      <c r="F435">
        <f t="shared" ca="1" si="95"/>
        <v>47</v>
      </c>
      <c r="G435">
        <f t="shared" ca="1" si="96"/>
        <v>0</v>
      </c>
      <c r="H435">
        <f t="shared" ca="1" si="97"/>
        <v>0</v>
      </c>
      <c r="I435">
        <f t="shared" ca="1" si="98"/>
        <v>0</v>
      </c>
      <c r="J435">
        <f t="shared" ca="1" si="107"/>
        <v>0</v>
      </c>
      <c r="K435">
        <f ca="1">IF(OR($C435="S",$C435=0),0,MATCH(OFFSET($D435,0,$C435)+IF($C435&lt;&gt;1,1,COUNTIF(QCI!$A$13:$A$24,ORÇAMENTO!E435)),OFFSET($D435,1,$C435,ROW($C$727)-ROW($C435)),0))</f>
        <v>0</v>
      </c>
      <c r="L435" s="116" t="str">
        <f t="shared" ca="1" si="99"/>
        <v/>
      </c>
      <c r="M435" s="117" t="s">
        <v>199</v>
      </c>
      <c r="N435" s="118" t="str">
        <f t="shared" ca="1" si="100"/>
        <v>Serviço</v>
      </c>
      <c r="O435" s="119" t="str">
        <f t="shared" ca="1" si="101"/>
        <v>-</v>
      </c>
      <c r="P435" s="120" t="s">
        <v>247</v>
      </c>
      <c r="Q435" s="121" t="s">
        <v>802</v>
      </c>
      <c r="R435" s="122" t="str">
        <f ca="1">IF($C435="S",REFERENCIA.Descricao,"(digite a descrição aqui)")</f>
        <v>(abra o arquivo 'Referência 06-2024.xlsm)</v>
      </c>
      <c r="S435" s="123" t="str">
        <f ca="1">REFERENCIA.Unidade</f>
        <v>-</v>
      </c>
      <c r="T435" s="124">
        <f ca="1">OFFSET(CÁLCULO!H$15,ROW($T435)-ROW(T$15),0)</f>
        <v>1</v>
      </c>
      <c r="U435" s="125">
        <f t="shared" ca="1" si="108"/>
        <v>0</v>
      </c>
      <c r="V435" s="126" t="s">
        <v>156</v>
      </c>
      <c r="W435" s="124">
        <f ca="1">IF($C435="S",ROUND(IF(TIPOORCAMENTO="Proposto",ORÇAMENTO.CustoUnitario*(1+$AH435),ORÇAMENTO.PrecoUnitarioLicitado),15-13*$AF$10),0)</f>
        <v>0</v>
      </c>
      <c r="X435" s="127">
        <f ca="1">IF($C435="S",IF(Import.TipoArredondamento&lt;&gt;"TransfereGOV",VTOTAL1,SUM(OFFSET(CÁLCULO!$AI$15,ROW($X435)-ROW($X$15),1):OFFSET(CÁLCULO!$BB$15,ROW($X435)-ROW($X$15),-1))),IF($C435=0,0,ROUND(SomaAgrup,15-13*$AF$11)))</f>
        <v>0</v>
      </c>
      <c r="Y435" s="128" t="s">
        <v>245</v>
      </c>
      <c r="Z435" t="str">
        <f t="shared" ca="1" si="102"/>
        <v/>
      </c>
      <c r="AA435" s="129">
        <f ca="1">IF($C435="S",IF($Z435="CP",$X435,IF($Z435="RA",(($X435)*QCI!$AA$3),0)),SomaAgrup)</f>
        <v>0</v>
      </c>
      <c r="AB435" s="130">
        <f t="shared" ca="1" si="110"/>
        <v>0</v>
      </c>
      <c r="AC435" s="131" t="str">
        <f ca="1">IF($N435="","",IF(ORÇAMENTO.Descricao="","DESCRIÇÃO",IF(AND($C435="S",ORÇAMENTO.Unidade=""),"UNIDADE",IF($X435&lt;0,"VALOR NEGATIVO",IF(OR(AND(TIPOORCAMENTO="Proposto",$AG435&lt;&gt;"",$AG435&gt;0,ORÇAMENTO.CustoUnitario&gt;$AG435),AND(TIPOORCAMENTO="LICITADO",ORÇAMENTO.PrecoUnitarioLicitado&gt;$AN435)),"ACIMA REF.","")))))</f>
        <v/>
      </c>
      <c r="AD435" t="str">
        <f ca="1">IF(C435&lt;=CRONO.NivelExibicao,MAX($AD$15:OFFSET(AD435,-1,0))+IF($C435&lt;&gt;1,1,MAX(1,COUNTIF(QCI!$A$13:$A$24,OFFSET($E435,-1,0)))),"")</f>
        <v/>
      </c>
      <c r="AE435" s="7" t="str">
        <f ca="1">IF(AND($C435="S",ORÇAMENTO.CodBarra&lt;&gt;""),IF(ORÇAMENTO.Fonte="",ORÇAMENTO.CodBarra,CONCATENATE(ORÇAMENTO.Fonte," ",ORÇAMENTO.CodBarra)))</f>
        <v>SINAPI 102111</v>
      </c>
      <c r="AF435" s="13" t="str">
        <f ca="1">IF(ISERROR(INDIRECT(ORÇAMENTO.BancoRef)),"(abra o arquivo 'Referência "&amp;Excel_BuiltIn_Database&amp;".xlsm)",IF(OR($C435&lt;&gt;"S",ORÇAMENTO.CodBarra=""),"(Sem Código)",IF(ISERROR(MATCH($AE435,INDIRECT(ORÇAMENTO.BancoRef),0)),"(Código não identificado nas referências)",MATCH($AE435,INDIRECT(ORÇAMENTO.BancoRef),0))))</f>
        <v>(abra o arquivo 'Referência 06-2024.xlsm)</v>
      </c>
      <c r="AG435" s="498">
        <f ca="1">ROUND(IF(DESONERACAO="sim",REFERENCIA.Desonerado,REFERENCIA.NaoDesonerado),2)</f>
        <v>0</v>
      </c>
      <c r="AH435" s="499">
        <f t="shared" ca="1" si="111"/>
        <v>0.2432</v>
      </c>
      <c r="AJ435" s="501"/>
      <c r="AL435" s="527"/>
      <c r="AM435" s="381">
        <f t="shared" ca="1" si="105"/>
        <v>0</v>
      </c>
      <c r="AN435" s="566">
        <f t="shared" ca="1" si="112"/>
        <v>0</v>
      </c>
    </row>
    <row r="436" spans="1:40" ht="25.5" x14ac:dyDescent="0.2">
      <c r="A436">
        <f t="shared" si="109"/>
        <v>2</v>
      </c>
      <c r="B436">
        <f t="shared" ca="1" si="92"/>
        <v>2</v>
      </c>
      <c r="C436">
        <f t="shared" ca="1" si="93"/>
        <v>2</v>
      </c>
      <c r="D436">
        <f t="shared" ca="1" si="94"/>
        <v>36</v>
      </c>
      <c r="E436">
        <f ca="1">IF($C436=1,OFFSET(E436,-1,0)+MAX(1,COUNTIF(QCI!$A$13:$A$24,OFFSET(ORÇAMENTO!E436,-1,0))),OFFSET(E436,-1,0))</f>
        <v>1</v>
      </c>
      <c r="F436">
        <f t="shared" ca="1" si="95"/>
        <v>48</v>
      </c>
      <c r="G436">
        <f t="shared" ca="1" si="96"/>
        <v>0</v>
      </c>
      <c r="H436">
        <f t="shared" ca="1" si="97"/>
        <v>0</v>
      </c>
      <c r="I436">
        <f t="shared" ca="1" si="98"/>
        <v>0</v>
      </c>
      <c r="J436">
        <f t="shared" ca="1" si="107"/>
        <v>291</v>
      </c>
      <c r="K436">
        <f ca="1">IF(OR($C436="S",$C436=0),0,MATCH(OFFSET($D436,0,$C436)+IF($C436&lt;&gt;1,1,COUNTIF(QCI!$A$13:$A$24,ORÇAMENTO!E436)),OFFSET($D436,1,$C436,ROW($C$727)-ROW($C436)),0))</f>
        <v>36</v>
      </c>
      <c r="L436" s="116" t="str">
        <f t="shared" ca="1" si="99"/>
        <v>F</v>
      </c>
      <c r="M436" s="117" t="s">
        <v>196</v>
      </c>
      <c r="N436" s="118" t="str">
        <f t="shared" ca="1" si="100"/>
        <v>Nível 2</v>
      </c>
      <c r="O436" s="119" t="str">
        <f t="shared" ca="1" si="101"/>
        <v>1.48.</v>
      </c>
      <c r="P436" s="120" t="s">
        <v>247</v>
      </c>
      <c r="Q436" s="121"/>
      <c r="R436" s="122" t="s">
        <v>1071</v>
      </c>
      <c r="S436" s="123" t="str">
        <f ca="1">REFERENCIA.Unidade</f>
        <v>-</v>
      </c>
      <c r="T436" s="124">
        <f ca="1">OFFSET(CÁLCULO!H$15,ROW($T436)-ROW(T$15),0)</f>
        <v>0</v>
      </c>
      <c r="U436" s="125">
        <f t="shared" ca="1" si="108"/>
        <v>0</v>
      </c>
      <c r="V436" s="126" t="s">
        <v>156</v>
      </c>
      <c r="W436" s="124">
        <f ca="1">IF($C436="S",ROUND(IF(TIPOORCAMENTO="Proposto",ORÇAMENTO.CustoUnitario*(1+$AH436),ORÇAMENTO.PrecoUnitarioLicitado),15-13*$AF$10),0)</f>
        <v>0</v>
      </c>
      <c r="X436" s="127">
        <f ca="1">IF($C436="S",IF(Import.TipoArredondamento&lt;&gt;"TransfereGOV",VTOTAL1,SUM(OFFSET(CÁLCULO!$AI$15,ROW($X436)-ROW($X$15),1):OFFSET(CÁLCULO!$BB$15,ROW($X436)-ROW($X$15),-1))),IF($C436=0,0,ROUND(SomaAgrup,15-13*$AF$11)))</f>
        <v>0</v>
      </c>
      <c r="Y436" s="128" t="s">
        <v>245</v>
      </c>
      <c r="Z436" t="str">
        <f t="shared" ca="1" si="102"/>
        <v/>
      </c>
      <c r="AA436" s="129">
        <f ca="1">IF($C436="S",IF($Z436="CP",$X436,IF($Z436="RA",(($X436)*QCI!$AA$3),0)),SomaAgrup)</f>
        <v>0</v>
      </c>
      <c r="AB436" s="130">
        <f t="shared" ca="1" si="110"/>
        <v>0</v>
      </c>
      <c r="AC436" s="131" t="str">
        <f ca="1">IF($N436="","",IF(ORÇAMENTO.Descricao="","DESCRIÇÃO",IF(AND($C436="S",ORÇAMENTO.Unidade=""),"UNIDADE",IF($X436&lt;0,"VALOR NEGATIVO",IF(OR(AND(TIPOORCAMENTO="Proposto",$AG436&lt;&gt;"",$AG436&gt;0,ORÇAMENTO.CustoUnitario&gt;$AG436),AND(TIPOORCAMENTO="LICITADO",ORÇAMENTO.PrecoUnitarioLicitado&gt;$AN436)),"ACIMA REF.","")))))</f>
        <v/>
      </c>
      <c r="AD436">
        <f ca="1">IF(C436&lt;=CRONO.NivelExibicao,MAX($AD$15:OFFSET(AD436,-1,0))+IF($C436&lt;&gt;1,1,MAX(1,COUNTIF(QCI!$A$13:$A$24,OFFSET($E436,-1,0)))),"")</f>
        <v>49</v>
      </c>
      <c r="AE436" s="7" t="b">
        <f ca="1">IF(AND($C436="S",ORÇAMENTO.CodBarra&lt;&gt;""),IF(ORÇAMENTO.Fonte="",ORÇAMENTO.CodBarra,CONCATENATE(ORÇAMENTO.Fonte," ",ORÇAMENTO.CodBarra)))</f>
        <v>0</v>
      </c>
      <c r="AF436" s="13" t="str">
        <f ca="1">IF(ISERROR(INDIRECT(ORÇAMENTO.BancoRef)),"(abra o arquivo 'Referência "&amp;Excel_BuiltIn_Database&amp;".xlsm)",IF(OR($C436&lt;&gt;"S",ORÇAMENTO.CodBarra=""),"(Sem Código)",IF(ISERROR(MATCH($AE436,INDIRECT(ORÇAMENTO.BancoRef),0)),"(Código não identificado nas referências)",MATCH($AE436,INDIRECT(ORÇAMENTO.BancoRef),0))))</f>
        <v>(abra o arquivo 'Referência 06-2024.xlsm)</v>
      </c>
      <c r="AG436" s="498">
        <f ca="1">ROUND(IF(DESONERACAO="sim",REFERENCIA.Desonerado,REFERENCIA.NaoDesonerado),2)</f>
        <v>0</v>
      </c>
      <c r="AH436" s="499">
        <f t="shared" ca="1" si="111"/>
        <v>0.2432</v>
      </c>
      <c r="AJ436" s="501"/>
      <c r="AL436" s="527"/>
      <c r="AM436" s="381">
        <f t="shared" ca="1" si="105"/>
        <v>0</v>
      </c>
      <c r="AN436" s="566">
        <f t="shared" ca="1" si="112"/>
        <v>0</v>
      </c>
    </row>
    <row r="437" spans="1:40" ht="38.25" x14ac:dyDescent="0.2">
      <c r="A437" t="str">
        <f t="shared" si="109"/>
        <v>S</v>
      </c>
      <c r="B437">
        <f t="shared" ca="1" si="92"/>
        <v>2</v>
      </c>
      <c r="C437" t="str">
        <f t="shared" ca="1" si="93"/>
        <v>S</v>
      </c>
      <c r="D437">
        <f t="shared" ca="1" si="94"/>
        <v>0</v>
      </c>
      <c r="E437">
        <f ca="1">IF($C437=1,OFFSET(E437,-1,0)+MAX(1,COUNTIF(QCI!$A$13:$A$24,OFFSET(ORÇAMENTO!E437,-1,0))),OFFSET(E437,-1,0))</f>
        <v>1</v>
      </c>
      <c r="F437">
        <f t="shared" ca="1" si="95"/>
        <v>48</v>
      </c>
      <c r="G437">
        <f t="shared" ca="1" si="96"/>
        <v>0</v>
      </c>
      <c r="H437">
        <f t="shared" ca="1" si="97"/>
        <v>0</v>
      </c>
      <c r="I437">
        <f t="shared" ca="1" si="98"/>
        <v>0</v>
      </c>
      <c r="J437">
        <f t="shared" ca="1" si="107"/>
        <v>0</v>
      </c>
      <c r="K437">
        <f ca="1">IF(OR($C437="S",$C437=0),0,MATCH(OFFSET($D437,0,$C437)+IF($C437&lt;&gt;1,1,COUNTIF(QCI!$A$13:$A$24,ORÇAMENTO!E437)),OFFSET($D437,1,$C437,ROW($C$727)-ROW($C437)),0))</f>
        <v>0</v>
      </c>
      <c r="L437" s="116" t="str">
        <f t="shared" ca="1" si="99"/>
        <v/>
      </c>
      <c r="M437" s="117" t="s">
        <v>199</v>
      </c>
      <c r="N437" s="118" t="str">
        <f t="shared" ca="1" si="100"/>
        <v>Serviço</v>
      </c>
      <c r="O437" s="119" t="str">
        <f t="shared" ca="1" si="101"/>
        <v>-</v>
      </c>
      <c r="P437" s="120" t="s">
        <v>247</v>
      </c>
      <c r="Q437" s="121" t="s">
        <v>803</v>
      </c>
      <c r="R437" s="122" t="str">
        <f ca="1">IF($C437="S",REFERENCIA.Descricao,"(digite a descrição aqui)")</f>
        <v>(abra o arquivo 'Referência 06-2024.xlsm)</v>
      </c>
      <c r="S437" s="123" t="str">
        <f ca="1">REFERENCIA.Unidade</f>
        <v>-</v>
      </c>
      <c r="T437" s="124">
        <f ca="1">OFFSET(CÁLCULO!H$15,ROW($T437)-ROW(T$15),0)</f>
        <v>16</v>
      </c>
      <c r="U437" s="125">
        <f t="shared" ca="1" si="108"/>
        <v>0</v>
      </c>
      <c r="V437" s="126" t="s">
        <v>156</v>
      </c>
      <c r="W437" s="124">
        <f ca="1">IF($C437="S",ROUND(IF(TIPOORCAMENTO="Proposto",ORÇAMENTO.CustoUnitario*(1+$AH437),ORÇAMENTO.PrecoUnitarioLicitado),15-13*$AF$10),0)</f>
        <v>0</v>
      </c>
      <c r="X437" s="127">
        <f ca="1">IF($C437="S",IF(Import.TipoArredondamento&lt;&gt;"TransfereGOV",VTOTAL1,SUM(OFFSET(CÁLCULO!$AI$15,ROW($X437)-ROW($X$15),1):OFFSET(CÁLCULO!$BB$15,ROW($X437)-ROW($X$15),-1))),IF($C437=0,0,ROUND(SomaAgrup,15-13*$AF$11)))</f>
        <v>0</v>
      </c>
      <c r="Y437" s="128" t="s">
        <v>245</v>
      </c>
      <c r="Z437" t="str">
        <f t="shared" ca="1" si="102"/>
        <v/>
      </c>
      <c r="AA437" s="129">
        <f ca="1">IF($C437="S",IF($Z437="CP",$X437,IF($Z437="RA",(($X437)*QCI!$AA$3),0)),SomaAgrup)</f>
        <v>0</v>
      </c>
      <c r="AB437" s="130">
        <f t="shared" ca="1" si="110"/>
        <v>0</v>
      </c>
      <c r="AC437" s="131" t="str">
        <f ca="1">IF($N437="","",IF(ORÇAMENTO.Descricao="","DESCRIÇÃO",IF(AND($C437="S",ORÇAMENTO.Unidade=""),"UNIDADE",IF($X437&lt;0,"VALOR NEGATIVO",IF(OR(AND(TIPOORCAMENTO="Proposto",$AG437&lt;&gt;"",$AG437&gt;0,ORÇAMENTO.CustoUnitario&gt;$AG437),AND(TIPOORCAMENTO="LICITADO",ORÇAMENTO.PrecoUnitarioLicitado&gt;$AN437)),"ACIMA REF.","")))))</f>
        <v/>
      </c>
      <c r="AD437" t="str">
        <f ca="1">IF(C437&lt;=CRONO.NivelExibicao,MAX($AD$15:OFFSET(AD437,-1,0))+IF($C437&lt;&gt;1,1,MAX(1,COUNTIF(QCI!$A$13:$A$24,OFFSET($E437,-1,0)))),"")</f>
        <v/>
      </c>
      <c r="AE437" s="7" t="str">
        <f ca="1">IF(AND($C437="S",ORÇAMENTO.CodBarra&lt;&gt;""),IF(ORÇAMENTO.Fonte="",ORÇAMENTO.CodBarra,CONCATENATE(ORÇAMENTO.Fonte," ",ORÇAMENTO.CodBarra)))</f>
        <v>SINAPI 95805</v>
      </c>
      <c r="AF437" s="13" t="str">
        <f ca="1">IF(ISERROR(INDIRECT(ORÇAMENTO.BancoRef)),"(abra o arquivo 'Referência "&amp;Excel_BuiltIn_Database&amp;".xlsm)",IF(OR($C437&lt;&gt;"S",ORÇAMENTO.CodBarra=""),"(Sem Código)",IF(ISERROR(MATCH($AE437,INDIRECT(ORÇAMENTO.BancoRef),0)),"(Código não identificado nas referências)",MATCH($AE437,INDIRECT(ORÇAMENTO.BancoRef),0))))</f>
        <v>(abra o arquivo 'Referência 06-2024.xlsm)</v>
      </c>
      <c r="AG437" s="498">
        <f ca="1">ROUND(IF(DESONERACAO="sim",REFERENCIA.Desonerado,REFERENCIA.NaoDesonerado),2)</f>
        <v>0</v>
      </c>
      <c r="AH437" s="499">
        <f t="shared" ca="1" si="111"/>
        <v>0.2432</v>
      </c>
      <c r="AJ437" s="501"/>
      <c r="AL437" s="527"/>
      <c r="AM437" s="381">
        <f t="shared" ca="1" si="105"/>
        <v>0</v>
      </c>
      <c r="AN437" s="566">
        <f t="shared" ca="1" si="112"/>
        <v>0</v>
      </c>
    </row>
    <row r="438" spans="1:40" ht="51" x14ac:dyDescent="0.2">
      <c r="A438" t="str">
        <f t="shared" si="109"/>
        <v>S</v>
      </c>
      <c r="B438">
        <f t="shared" ca="1" si="92"/>
        <v>2</v>
      </c>
      <c r="C438" t="str">
        <f t="shared" ca="1" si="93"/>
        <v>S</v>
      </c>
      <c r="D438">
        <f t="shared" ca="1" si="94"/>
        <v>0</v>
      </c>
      <c r="E438">
        <f ca="1">IF($C438=1,OFFSET(E438,-1,0)+MAX(1,COUNTIF(QCI!$A$13:$A$24,OFFSET(ORÇAMENTO!E438,-1,0))),OFFSET(E438,-1,0))</f>
        <v>1</v>
      </c>
      <c r="F438">
        <f t="shared" ca="1" si="95"/>
        <v>48</v>
      </c>
      <c r="G438">
        <f t="shared" ca="1" si="96"/>
        <v>0</v>
      </c>
      <c r="H438">
        <f t="shared" ca="1" si="97"/>
        <v>0</v>
      </c>
      <c r="I438">
        <f t="shared" ca="1" si="98"/>
        <v>0</v>
      </c>
      <c r="J438">
        <f t="shared" ca="1" si="107"/>
        <v>0</v>
      </c>
      <c r="K438">
        <f ca="1">IF(OR($C438="S",$C438=0),0,MATCH(OFFSET($D438,0,$C438)+IF($C438&lt;&gt;1,1,COUNTIF(QCI!$A$13:$A$24,ORÇAMENTO!E438)),OFFSET($D438,1,$C438,ROW($C$727)-ROW($C438)),0))</f>
        <v>0</v>
      </c>
      <c r="L438" s="116" t="str">
        <f t="shared" ca="1" si="99"/>
        <v/>
      </c>
      <c r="M438" s="117" t="s">
        <v>199</v>
      </c>
      <c r="N438" s="118" t="str">
        <f t="shared" ca="1" si="100"/>
        <v>Serviço</v>
      </c>
      <c r="O438" s="119" t="str">
        <f t="shared" ca="1" si="101"/>
        <v>-</v>
      </c>
      <c r="P438" s="120" t="s">
        <v>458</v>
      </c>
      <c r="Q438" s="121" t="s">
        <v>804</v>
      </c>
      <c r="R438" s="122" t="str">
        <f ca="1">IF($C438="S",REFERENCIA.Descricao,"(digite a descrição aqui)")</f>
        <v>(abra o arquivo 'Referência 06-2024.xlsm)</v>
      </c>
      <c r="S438" s="123" t="str">
        <f ca="1">REFERENCIA.Unidade</f>
        <v>-</v>
      </c>
      <c r="T438" s="124">
        <f ca="1">OFFSET(CÁLCULO!H$15,ROW($T438)-ROW(T$15),0)</f>
        <v>5</v>
      </c>
      <c r="U438" s="125">
        <f t="shared" ca="1" si="108"/>
        <v>0</v>
      </c>
      <c r="V438" s="126" t="s">
        <v>156</v>
      </c>
      <c r="W438" s="124">
        <f ca="1">IF($C438="S",ROUND(IF(TIPOORCAMENTO="Proposto",ORÇAMENTO.CustoUnitario*(1+$AH438),ORÇAMENTO.PrecoUnitarioLicitado),15-13*$AF$10),0)</f>
        <v>0</v>
      </c>
      <c r="X438" s="127">
        <f ca="1">IF($C438="S",IF(Import.TipoArredondamento&lt;&gt;"TransfereGOV",VTOTAL1,SUM(OFFSET(CÁLCULO!$AI$15,ROW($X438)-ROW($X$15),1):OFFSET(CÁLCULO!$BB$15,ROW($X438)-ROW($X$15),-1))),IF($C438=0,0,ROUND(SomaAgrup,15-13*$AF$11)))</f>
        <v>0</v>
      </c>
      <c r="Y438" s="128" t="s">
        <v>245</v>
      </c>
      <c r="Z438" t="str">
        <f t="shared" ca="1" si="102"/>
        <v/>
      </c>
      <c r="AA438" s="129">
        <f ca="1">IF($C438="S",IF($Z438="CP",$X438,IF($Z438="RA",(($X438)*QCI!$AA$3),0)),SomaAgrup)</f>
        <v>0</v>
      </c>
      <c r="AB438" s="130">
        <f t="shared" ca="1" si="110"/>
        <v>0</v>
      </c>
      <c r="AC438" s="131" t="str">
        <f ca="1">IF($N438="","",IF(ORÇAMENTO.Descricao="","DESCRIÇÃO",IF(AND($C438="S",ORÇAMENTO.Unidade=""),"UNIDADE",IF($X438&lt;0,"VALOR NEGATIVO",IF(OR(AND(TIPOORCAMENTO="Proposto",$AG438&lt;&gt;"",$AG438&gt;0,ORÇAMENTO.CustoUnitario&gt;$AG438),AND(TIPOORCAMENTO="LICITADO",ORÇAMENTO.PrecoUnitarioLicitado&gt;$AN438)),"ACIMA REF.","")))))</f>
        <v/>
      </c>
      <c r="AD438" t="str">
        <f ca="1">IF(C438&lt;=CRONO.NivelExibicao,MAX($AD$15:OFFSET(AD438,-1,0))+IF($C438&lt;&gt;1,1,MAX(1,COUNTIF(QCI!$A$13:$A$24,OFFSET($E438,-1,0)))),"")</f>
        <v/>
      </c>
      <c r="AE438" s="7" t="str">
        <f ca="1">IF(AND($C438="S",ORÇAMENTO.CodBarra&lt;&gt;""),IF(ORÇAMENTO.Fonte="",ORÇAMENTO.CodBarra,CONCATENATE(ORÇAMENTO.Fonte," ",ORÇAMENTO.CodBarra)))</f>
        <v>COMPOSIÇÃO FNDE 328</v>
      </c>
      <c r="AF438" s="13" t="str">
        <f ca="1">IF(ISERROR(INDIRECT(ORÇAMENTO.BancoRef)),"(abra o arquivo 'Referência "&amp;Excel_BuiltIn_Database&amp;".xlsm)",IF(OR($C438&lt;&gt;"S",ORÇAMENTO.CodBarra=""),"(Sem Código)",IF(ISERROR(MATCH($AE438,INDIRECT(ORÇAMENTO.BancoRef),0)),"(Código não identificado nas referências)",MATCH($AE438,INDIRECT(ORÇAMENTO.BancoRef),0))))</f>
        <v>(abra o arquivo 'Referência 06-2024.xlsm)</v>
      </c>
      <c r="AG438" s="498">
        <f ca="1">ROUND(IF(DESONERACAO="sim",REFERENCIA.Desonerado,REFERENCIA.NaoDesonerado),2)</f>
        <v>0</v>
      </c>
      <c r="AH438" s="499">
        <f t="shared" ca="1" si="111"/>
        <v>0.2432</v>
      </c>
      <c r="AJ438" s="501"/>
      <c r="AL438" s="527"/>
      <c r="AM438" s="381">
        <f t="shared" ca="1" si="105"/>
        <v>0</v>
      </c>
      <c r="AN438" s="566">
        <f t="shared" ca="1" si="112"/>
        <v>0</v>
      </c>
    </row>
    <row r="439" spans="1:40" ht="38.25" x14ac:dyDescent="0.2">
      <c r="A439" t="str">
        <f t="shared" si="109"/>
        <v>S</v>
      </c>
      <c r="B439">
        <f t="shared" ca="1" si="92"/>
        <v>2</v>
      </c>
      <c r="C439" t="str">
        <f t="shared" ca="1" si="93"/>
        <v>S</v>
      </c>
      <c r="D439">
        <f t="shared" ca="1" si="94"/>
        <v>0</v>
      </c>
      <c r="E439">
        <f ca="1">IF($C439=1,OFFSET(E439,-1,0)+MAX(1,COUNTIF(QCI!$A$13:$A$24,OFFSET(ORÇAMENTO!E439,-1,0))),OFFSET(E439,-1,0))</f>
        <v>1</v>
      </c>
      <c r="F439">
        <f t="shared" ca="1" si="95"/>
        <v>48</v>
      </c>
      <c r="G439">
        <f t="shared" ca="1" si="96"/>
        <v>0</v>
      </c>
      <c r="H439">
        <f t="shared" ca="1" si="97"/>
        <v>0</v>
      </c>
      <c r="I439">
        <f t="shared" ca="1" si="98"/>
        <v>0</v>
      </c>
      <c r="J439">
        <f t="shared" ca="1" si="107"/>
        <v>0</v>
      </c>
      <c r="K439">
        <f ca="1">IF(OR($C439="S",$C439=0),0,MATCH(OFFSET($D439,0,$C439)+IF($C439&lt;&gt;1,1,COUNTIF(QCI!$A$13:$A$24,ORÇAMENTO!E439)),OFFSET($D439,1,$C439,ROW($C$727)-ROW($C439)),0))</f>
        <v>0</v>
      </c>
      <c r="L439" s="116" t="str">
        <f t="shared" ca="1" si="99"/>
        <v/>
      </c>
      <c r="M439" s="117" t="s">
        <v>199</v>
      </c>
      <c r="N439" s="118" t="str">
        <f t="shared" ca="1" si="100"/>
        <v>Serviço</v>
      </c>
      <c r="O439" s="119" t="str">
        <f t="shared" ca="1" si="101"/>
        <v>-</v>
      </c>
      <c r="P439" s="120" t="s">
        <v>247</v>
      </c>
      <c r="Q439" s="121" t="s">
        <v>805</v>
      </c>
      <c r="R439" s="122" t="str">
        <f ca="1">IF($C439="S",REFERENCIA.Descricao,"(digite a descrição aqui)")</f>
        <v>(abra o arquivo 'Referência 06-2024.xlsm)</v>
      </c>
      <c r="S439" s="123" t="str">
        <f ca="1">REFERENCIA.Unidade</f>
        <v>-</v>
      </c>
      <c r="T439" s="124">
        <f ca="1">OFFSET(CÁLCULO!H$15,ROW($T439)-ROW(T$15),0)</f>
        <v>22</v>
      </c>
      <c r="U439" s="125">
        <f t="shared" ca="1" si="108"/>
        <v>0</v>
      </c>
      <c r="V439" s="126" t="s">
        <v>156</v>
      </c>
      <c r="W439" s="124">
        <f ca="1">IF($C439="S",ROUND(IF(TIPOORCAMENTO="Proposto",ORÇAMENTO.CustoUnitario*(1+$AH439),ORÇAMENTO.PrecoUnitarioLicitado),15-13*$AF$10),0)</f>
        <v>0</v>
      </c>
      <c r="X439" s="127">
        <f ca="1">IF($C439="S",IF(Import.TipoArredondamento&lt;&gt;"TransfereGOV",VTOTAL1,SUM(OFFSET(CÁLCULO!$AI$15,ROW($X439)-ROW($X$15),1):OFFSET(CÁLCULO!$BB$15,ROW($X439)-ROW($X$15),-1))),IF($C439=0,0,ROUND(SomaAgrup,15-13*$AF$11)))</f>
        <v>0</v>
      </c>
      <c r="Y439" s="128" t="s">
        <v>245</v>
      </c>
      <c r="Z439" t="str">
        <f t="shared" ca="1" si="102"/>
        <v/>
      </c>
      <c r="AA439" s="129">
        <f ca="1">IF($C439="S",IF($Z439="CP",$X439,IF($Z439="RA",(($X439)*QCI!$AA$3),0)),SomaAgrup)</f>
        <v>0</v>
      </c>
      <c r="AB439" s="130">
        <f t="shared" ca="1" si="110"/>
        <v>0</v>
      </c>
      <c r="AC439" s="131" t="str">
        <f ca="1">IF($N439="","",IF(ORÇAMENTO.Descricao="","DESCRIÇÃO",IF(AND($C439="S",ORÇAMENTO.Unidade=""),"UNIDADE",IF($X439&lt;0,"VALOR NEGATIVO",IF(OR(AND(TIPOORCAMENTO="Proposto",$AG439&lt;&gt;"",$AG439&gt;0,ORÇAMENTO.CustoUnitario&gt;$AG439),AND(TIPOORCAMENTO="LICITADO",ORÇAMENTO.PrecoUnitarioLicitado&gt;$AN439)),"ACIMA REF.","")))))</f>
        <v/>
      </c>
      <c r="AD439" t="str">
        <f ca="1">IF(C439&lt;=CRONO.NivelExibicao,MAX($AD$15:OFFSET(AD439,-1,0))+IF($C439&lt;&gt;1,1,MAX(1,COUNTIF(QCI!$A$13:$A$24,OFFSET($E439,-1,0)))),"")</f>
        <v/>
      </c>
      <c r="AE439" s="7" t="str">
        <f ca="1">IF(AND($C439="S",ORÇAMENTO.CodBarra&lt;&gt;""),IF(ORÇAMENTO.Fonte="",ORÇAMENTO.CodBarra,CONCATENATE(ORÇAMENTO.Fonte," ",ORÇAMENTO.CodBarra)))</f>
        <v>SINAPI 94473</v>
      </c>
      <c r="AF439" s="13" t="str">
        <f ca="1">IF(ISERROR(INDIRECT(ORÇAMENTO.BancoRef)),"(abra o arquivo 'Referência "&amp;Excel_BuiltIn_Database&amp;".xlsm)",IF(OR($C439&lt;&gt;"S",ORÇAMENTO.CodBarra=""),"(Sem Código)",IF(ISERROR(MATCH($AE439,INDIRECT(ORÇAMENTO.BancoRef),0)),"(Código não identificado nas referências)",MATCH($AE439,INDIRECT(ORÇAMENTO.BancoRef),0))))</f>
        <v>(abra o arquivo 'Referência 06-2024.xlsm)</v>
      </c>
      <c r="AG439" s="498">
        <f ca="1">ROUND(IF(DESONERACAO="sim",REFERENCIA.Desonerado,REFERENCIA.NaoDesonerado),2)</f>
        <v>0</v>
      </c>
      <c r="AH439" s="499">
        <f t="shared" ca="1" si="111"/>
        <v>0.2432</v>
      </c>
      <c r="AJ439" s="501"/>
      <c r="AL439" s="527"/>
      <c r="AM439" s="381">
        <f t="shared" ca="1" si="105"/>
        <v>0</v>
      </c>
      <c r="AN439" s="566">
        <f t="shared" ca="1" si="112"/>
        <v>0</v>
      </c>
    </row>
    <row r="440" spans="1:40" ht="38.25" x14ac:dyDescent="0.2">
      <c r="A440" t="str">
        <f t="shared" si="109"/>
        <v>S</v>
      </c>
      <c r="B440">
        <f t="shared" ca="1" si="92"/>
        <v>2</v>
      </c>
      <c r="C440" t="str">
        <f t="shared" ca="1" si="93"/>
        <v>S</v>
      </c>
      <c r="D440">
        <f t="shared" ca="1" si="94"/>
        <v>0</v>
      </c>
      <c r="E440">
        <f ca="1">IF($C440=1,OFFSET(E440,-1,0)+MAX(1,COUNTIF(QCI!$A$13:$A$24,OFFSET(ORÇAMENTO!E440,-1,0))),OFFSET(E440,-1,0))</f>
        <v>1</v>
      </c>
      <c r="F440">
        <f t="shared" ca="1" si="95"/>
        <v>48</v>
      </c>
      <c r="G440">
        <f t="shared" ca="1" si="96"/>
        <v>0</v>
      </c>
      <c r="H440">
        <f t="shared" ca="1" si="97"/>
        <v>0</v>
      </c>
      <c r="I440">
        <f t="shared" ca="1" si="98"/>
        <v>0</v>
      </c>
      <c r="J440">
        <f t="shared" ca="1" si="107"/>
        <v>0</v>
      </c>
      <c r="K440">
        <f ca="1">IF(OR($C440="S",$C440=0),0,MATCH(OFFSET($D440,0,$C440)+IF($C440&lt;&gt;1,1,COUNTIF(QCI!$A$13:$A$24,ORÇAMENTO!E440)),OFFSET($D440,1,$C440,ROW($C$727)-ROW($C440)),0))</f>
        <v>0</v>
      </c>
      <c r="L440" s="116" t="str">
        <f t="shared" ca="1" si="99"/>
        <v/>
      </c>
      <c r="M440" s="117" t="s">
        <v>199</v>
      </c>
      <c r="N440" s="118" t="str">
        <f t="shared" ca="1" si="100"/>
        <v>Serviço</v>
      </c>
      <c r="O440" s="119" t="str">
        <f t="shared" ca="1" si="101"/>
        <v>-</v>
      </c>
      <c r="P440" s="120" t="s">
        <v>247</v>
      </c>
      <c r="Q440" s="121" t="s">
        <v>806</v>
      </c>
      <c r="R440" s="122" t="str">
        <f ca="1">IF($C440="S",REFERENCIA.Descricao,"(digite a descrição aqui)")</f>
        <v>(abra o arquivo 'Referência 06-2024.xlsm)</v>
      </c>
      <c r="S440" s="123" t="str">
        <f ca="1">REFERENCIA.Unidade</f>
        <v>-</v>
      </c>
      <c r="T440" s="124">
        <f ca="1">OFFSET(CÁLCULO!H$15,ROW($T440)-ROW(T$15),0)</f>
        <v>9</v>
      </c>
      <c r="U440" s="125">
        <f t="shared" ca="1" si="108"/>
        <v>0</v>
      </c>
      <c r="V440" s="126" t="s">
        <v>156</v>
      </c>
      <c r="W440" s="124">
        <f ca="1">IF($C440="S",ROUND(IF(TIPOORCAMENTO="Proposto",ORÇAMENTO.CustoUnitario*(1+$AH440),ORÇAMENTO.PrecoUnitarioLicitado),15-13*$AF$10),0)</f>
        <v>0</v>
      </c>
      <c r="X440" s="127">
        <f ca="1">IF($C440="S",IF(Import.TipoArredondamento&lt;&gt;"TransfereGOV",VTOTAL1,SUM(OFFSET(CÁLCULO!$AI$15,ROW($X440)-ROW($X$15),1):OFFSET(CÁLCULO!$BB$15,ROW($X440)-ROW($X$15),-1))),IF($C440=0,0,ROUND(SomaAgrup,15-13*$AF$11)))</f>
        <v>0</v>
      </c>
      <c r="Y440" s="128" t="s">
        <v>245</v>
      </c>
      <c r="Z440" t="str">
        <f t="shared" ca="1" si="102"/>
        <v/>
      </c>
      <c r="AA440" s="129">
        <f ca="1">IF($C440="S",IF($Z440="CP",$X440,IF($Z440="RA",(($X440)*QCI!$AA$3),0)),SomaAgrup)</f>
        <v>0</v>
      </c>
      <c r="AB440" s="130">
        <f t="shared" ca="1" si="110"/>
        <v>0</v>
      </c>
      <c r="AC440" s="131" t="str">
        <f ca="1">IF($N440="","",IF(ORÇAMENTO.Descricao="","DESCRIÇÃO",IF(AND($C440="S",ORÇAMENTO.Unidade=""),"UNIDADE",IF($X440&lt;0,"VALOR NEGATIVO",IF(OR(AND(TIPOORCAMENTO="Proposto",$AG440&lt;&gt;"",$AG440&gt;0,ORÇAMENTO.CustoUnitario&gt;$AG440),AND(TIPOORCAMENTO="LICITADO",ORÇAMENTO.PrecoUnitarioLicitado&gt;$AN440)),"ACIMA REF.","")))))</f>
        <v/>
      </c>
      <c r="AD440" t="str">
        <f ca="1">IF(C440&lt;=CRONO.NivelExibicao,MAX($AD$15:OFFSET(AD440,-1,0))+IF($C440&lt;&gt;1,1,MAX(1,COUNTIF(QCI!$A$13:$A$24,OFFSET($E440,-1,0)))),"")</f>
        <v/>
      </c>
      <c r="AE440" s="7" t="str">
        <f ca="1">IF(AND($C440="S",ORÇAMENTO.CodBarra&lt;&gt;""),IF(ORÇAMENTO.Fonte="",ORÇAMENTO.CodBarra,CONCATENATE(ORÇAMENTO.Fonte," ",ORÇAMENTO.CodBarra)))</f>
        <v>SINAPI 94475</v>
      </c>
      <c r="AF440" s="13" t="str">
        <f ca="1">IF(ISERROR(INDIRECT(ORÇAMENTO.BancoRef)),"(abra o arquivo 'Referência "&amp;Excel_BuiltIn_Database&amp;".xlsm)",IF(OR($C440&lt;&gt;"S",ORÇAMENTO.CodBarra=""),"(Sem Código)",IF(ISERROR(MATCH($AE440,INDIRECT(ORÇAMENTO.BancoRef),0)),"(Código não identificado nas referências)",MATCH($AE440,INDIRECT(ORÇAMENTO.BancoRef),0))))</f>
        <v>(abra o arquivo 'Referência 06-2024.xlsm)</v>
      </c>
      <c r="AG440" s="498">
        <f ca="1">ROUND(IF(DESONERACAO="sim",REFERENCIA.Desonerado,REFERENCIA.NaoDesonerado),2)</f>
        <v>0</v>
      </c>
      <c r="AH440" s="499">
        <f t="shared" ca="1" si="111"/>
        <v>0.2432</v>
      </c>
      <c r="AJ440" s="501"/>
      <c r="AL440" s="527"/>
      <c r="AM440" s="381">
        <f t="shared" ca="1" si="105"/>
        <v>0</v>
      </c>
      <c r="AN440" s="566">
        <f t="shared" ca="1" si="112"/>
        <v>0</v>
      </c>
    </row>
    <row r="441" spans="1:40" ht="51" x14ac:dyDescent="0.2">
      <c r="A441" t="str">
        <f t="shared" si="109"/>
        <v>S</v>
      </c>
      <c r="B441">
        <f t="shared" ca="1" si="92"/>
        <v>2</v>
      </c>
      <c r="C441" t="str">
        <f t="shared" ca="1" si="93"/>
        <v>S</v>
      </c>
      <c r="D441">
        <f t="shared" ca="1" si="94"/>
        <v>0</v>
      </c>
      <c r="E441">
        <f ca="1">IF($C441=1,OFFSET(E441,-1,0)+MAX(1,COUNTIF(QCI!$A$13:$A$24,OFFSET(ORÇAMENTO!E441,-1,0))),OFFSET(E441,-1,0))</f>
        <v>1</v>
      </c>
      <c r="F441">
        <f t="shared" ca="1" si="95"/>
        <v>48</v>
      </c>
      <c r="G441">
        <f t="shared" ca="1" si="96"/>
        <v>0</v>
      </c>
      <c r="H441">
        <f t="shared" ca="1" si="97"/>
        <v>0</v>
      </c>
      <c r="I441">
        <f t="shared" ca="1" si="98"/>
        <v>0</v>
      </c>
      <c r="J441">
        <f t="shared" ca="1" si="107"/>
        <v>0</v>
      </c>
      <c r="K441">
        <f ca="1">IF(OR($C441="S",$C441=0),0,MATCH(OFFSET($D441,0,$C441)+IF($C441&lt;&gt;1,1,COUNTIF(QCI!$A$13:$A$24,ORÇAMENTO!E441)),OFFSET($D441,1,$C441,ROW($C$727)-ROW($C441)),0))</f>
        <v>0</v>
      </c>
      <c r="L441" s="116" t="str">
        <f t="shared" ca="1" si="99"/>
        <v/>
      </c>
      <c r="M441" s="117" t="s">
        <v>199</v>
      </c>
      <c r="N441" s="118" t="str">
        <f t="shared" ca="1" si="100"/>
        <v>Serviço</v>
      </c>
      <c r="O441" s="119" t="str">
        <f t="shared" ca="1" si="101"/>
        <v>-</v>
      </c>
      <c r="P441" s="120" t="s">
        <v>458</v>
      </c>
      <c r="Q441" s="121" t="s">
        <v>807</v>
      </c>
      <c r="R441" s="122" t="str">
        <f ca="1">IF($C441="S",REFERENCIA.Descricao,"(digite a descrição aqui)")</f>
        <v>(abra o arquivo 'Referência 06-2024.xlsm)</v>
      </c>
      <c r="S441" s="123" t="str">
        <f ca="1">REFERENCIA.Unidade</f>
        <v>-</v>
      </c>
      <c r="T441" s="124">
        <f ca="1">OFFSET(CÁLCULO!H$15,ROW($T441)-ROW(T$15),0)</f>
        <v>5</v>
      </c>
      <c r="U441" s="125">
        <f t="shared" ca="1" si="108"/>
        <v>0</v>
      </c>
      <c r="V441" s="126" t="s">
        <v>156</v>
      </c>
      <c r="W441" s="124">
        <f ca="1">IF($C441="S",ROUND(IF(TIPOORCAMENTO="Proposto",ORÇAMENTO.CustoUnitario*(1+$AH441),ORÇAMENTO.PrecoUnitarioLicitado),15-13*$AF$10),0)</f>
        <v>0</v>
      </c>
      <c r="X441" s="127">
        <f ca="1">IF($C441="S",IF(Import.TipoArredondamento&lt;&gt;"TransfereGOV",VTOTAL1,SUM(OFFSET(CÁLCULO!$AI$15,ROW($X441)-ROW($X$15),1):OFFSET(CÁLCULO!$BB$15,ROW($X441)-ROW($X$15),-1))),IF($C441=0,0,ROUND(SomaAgrup,15-13*$AF$11)))</f>
        <v>0</v>
      </c>
      <c r="Y441" s="128" t="s">
        <v>245</v>
      </c>
      <c r="Z441" t="str">
        <f t="shared" ca="1" si="102"/>
        <v/>
      </c>
      <c r="AA441" s="129">
        <f ca="1">IF($C441="S",IF($Z441="CP",$X441,IF($Z441="RA",(($X441)*QCI!$AA$3),0)),SomaAgrup)</f>
        <v>0</v>
      </c>
      <c r="AB441" s="130">
        <f t="shared" ca="1" si="110"/>
        <v>0</v>
      </c>
      <c r="AC441" s="131" t="str">
        <f ca="1">IF($N441="","",IF(ORÇAMENTO.Descricao="","DESCRIÇÃO",IF(AND($C441="S",ORÇAMENTO.Unidade=""),"UNIDADE",IF($X441&lt;0,"VALOR NEGATIVO",IF(OR(AND(TIPOORCAMENTO="Proposto",$AG441&lt;&gt;"",$AG441&gt;0,ORÇAMENTO.CustoUnitario&gt;$AG441),AND(TIPOORCAMENTO="LICITADO",ORÇAMENTO.PrecoUnitarioLicitado&gt;$AN441)),"ACIMA REF.","")))))</f>
        <v/>
      </c>
      <c r="AD441" t="str">
        <f ca="1">IF(C441&lt;=CRONO.NivelExibicao,MAX($AD$15:OFFSET(AD441,-1,0))+IF($C441&lt;&gt;1,1,MAX(1,COUNTIF(QCI!$A$13:$A$24,OFFSET($E441,-1,0)))),"")</f>
        <v/>
      </c>
      <c r="AE441" s="7" t="str">
        <f ca="1">IF(AND($C441="S",ORÇAMENTO.CodBarra&lt;&gt;""),IF(ORÇAMENTO.Fonte="",ORÇAMENTO.CodBarra,CONCATENATE(ORÇAMENTO.Fonte," ",ORÇAMENTO.CodBarra)))</f>
        <v>COMPOSIÇÃO FNDE 329</v>
      </c>
      <c r="AF441" s="13" t="str">
        <f ca="1">IF(ISERROR(INDIRECT(ORÇAMENTO.BancoRef)),"(abra o arquivo 'Referência "&amp;Excel_BuiltIn_Database&amp;".xlsm)",IF(OR($C441&lt;&gt;"S",ORÇAMENTO.CodBarra=""),"(Sem Código)",IF(ISERROR(MATCH($AE441,INDIRECT(ORÇAMENTO.BancoRef),0)),"(Código não identificado nas referências)",MATCH($AE441,INDIRECT(ORÇAMENTO.BancoRef),0))))</f>
        <v>(abra o arquivo 'Referência 06-2024.xlsm)</v>
      </c>
      <c r="AG441" s="498">
        <f ca="1">ROUND(IF(DESONERACAO="sim",REFERENCIA.Desonerado,REFERENCIA.NaoDesonerado),2)</f>
        <v>0</v>
      </c>
      <c r="AH441" s="499">
        <f t="shared" ca="1" si="111"/>
        <v>0.2432</v>
      </c>
      <c r="AJ441" s="501"/>
      <c r="AL441" s="527"/>
      <c r="AM441" s="381">
        <f t="shared" ca="1" si="105"/>
        <v>0</v>
      </c>
      <c r="AN441" s="566">
        <f t="shared" ca="1" si="112"/>
        <v>0</v>
      </c>
    </row>
    <row r="442" spans="1:40" ht="38.25" x14ac:dyDescent="0.2">
      <c r="A442" t="str">
        <f t="shared" ref="A442:A457" si="113">CHOOSE(1+LOG(1+2*(ORÇAMENTO.Nivel="Meta")+4*(ORÇAMENTO.Nivel="Nível 2")+8*(ORÇAMENTO.Nivel="Nível 3")+16*(ORÇAMENTO.Nivel="Nível 4")+32*(ORÇAMENTO.Nivel="Serviço"),2),0,1,2,3,4,"S")</f>
        <v>S</v>
      </c>
      <c r="B442">
        <f t="shared" ca="1" si="92"/>
        <v>2</v>
      </c>
      <c r="C442" t="str">
        <f t="shared" ca="1" si="93"/>
        <v>S</v>
      </c>
      <c r="D442">
        <f t="shared" ca="1" si="94"/>
        <v>0</v>
      </c>
      <c r="E442">
        <f ca="1">IF($C442=1,OFFSET(E442,-1,0)+MAX(1,COUNTIF(QCI!$A$13:$A$24,OFFSET(ORÇAMENTO!E442,-1,0))),OFFSET(E442,-1,0))</f>
        <v>1</v>
      </c>
      <c r="F442">
        <f t="shared" ca="1" si="95"/>
        <v>48</v>
      </c>
      <c r="G442">
        <f t="shared" ca="1" si="96"/>
        <v>0</v>
      </c>
      <c r="H442">
        <f t="shared" ca="1" si="97"/>
        <v>0</v>
      </c>
      <c r="I442">
        <f t="shared" ca="1" si="98"/>
        <v>0</v>
      </c>
      <c r="J442">
        <f t="shared" ca="1" si="107"/>
        <v>0</v>
      </c>
      <c r="K442">
        <f ca="1">IF(OR($C442="S",$C442=0),0,MATCH(OFFSET($D442,0,$C442)+IF($C442&lt;&gt;1,1,COUNTIF(QCI!$A$13:$A$24,ORÇAMENTO!E442)),OFFSET($D442,1,$C442,ROW($C$727)-ROW($C442)),0))</f>
        <v>0</v>
      </c>
      <c r="L442" s="116" t="str">
        <f t="shared" ca="1" si="99"/>
        <v/>
      </c>
      <c r="M442" s="117" t="s">
        <v>199</v>
      </c>
      <c r="N442" s="118" t="str">
        <f t="shared" ca="1" si="100"/>
        <v>Serviço</v>
      </c>
      <c r="O442" s="119" t="str">
        <f t="shared" ca="1" si="101"/>
        <v>-</v>
      </c>
      <c r="P442" s="120" t="s">
        <v>247</v>
      </c>
      <c r="Q442" s="121" t="s">
        <v>808</v>
      </c>
      <c r="R442" s="122" t="str">
        <f ca="1">IF($C442="S",REFERENCIA.Descricao,"(digite a descrição aqui)")</f>
        <v>(abra o arquivo 'Referência 06-2024.xlsm)</v>
      </c>
      <c r="S442" s="123" t="str">
        <f ca="1">REFERENCIA.Unidade</f>
        <v>-</v>
      </c>
      <c r="T442" s="124">
        <f ca="1">OFFSET(CÁLCULO!H$15,ROW($T442)-ROW(T$15),0)</f>
        <v>1.05</v>
      </c>
      <c r="U442" s="125">
        <f t="shared" ca="1" si="108"/>
        <v>0</v>
      </c>
      <c r="V442" s="126" t="s">
        <v>156</v>
      </c>
      <c r="W442" s="124">
        <f ca="1">IF($C442="S",ROUND(IF(TIPOORCAMENTO="Proposto",ORÇAMENTO.CustoUnitario*(1+$AH442),ORÇAMENTO.PrecoUnitarioLicitado),15-13*$AF$10),0)</f>
        <v>0</v>
      </c>
      <c r="X442" s="127">
        <f ca="1">IF($C442="S",IF(Import.TipoArredondamento&lt;&gt;"TransfereGOV",VTOTAL1,SUM(OFFSET(CÁLCULO!$AI$15,ROW($X442)-ROW($X$15),1):OFFSET(CÁLCULO!$BB$15,ROW($X442)-ROW($X$15),-1))),IF($C442=0,0,ROUND(SomaAgrup,15-13*$AF$11)))</f>
        <v>0</v>
      </c>
      <c r="Y442" s="128" t="s">
        <v>245</v>
      </c>
      <c r="Z442" t="str">
        <f t="shared" ca="1" si="102"/>
        <v/>
      </c>
      <c r="AA442" s="129">
        <f ca="1">IF($C442="S",IF($Z442="CP",$X442,IF($Z442="RA",(($X442)*QCI!$AA$3),0)),SomaAgrup)</f>
        <v>0</v>
      </c>
      <c r="AB442" s="130">
        <f t="shared" ref="AB442:AB457" ca="1" si="114">IF($C442="S",IF($Z442="OU",ROUND($X442,2),0),SomaAgrup)</f>
        <v>0</v>
      </c>
      <c r="AC442" s="131" t="str">
        <f ca="1">IF($N442="","",IF(ORÇAMENTO.Descricao="","DESCRIÇÃO",IF(AND($C442="S",ORÇAMENTO.Unidade=""),"UNIDADE",IF($X442&lt;0,"VALOR NEGATIVO",IF(OR(AND(TIPOORCAMENTO="Proposto",$AG442&lt;&gt;"",$AG442&gt;0,ORÇAMENTO.CustoUnitario&gt;$AG442),AND(TIPOORCAMENTO="LICITADO",ORÇAMENTO.PrecoUnitarioLicitado&gt;$AN442)),"ACIMA REF.","")))))</f>
        <v/>
      </c>
      <c r="AD442" t="str">
        <f ca="1">IF(C442&lt;=CRONO.NivelExibicao,MAX($AD$15:OFFSET(AD442,-1,0))+IF($C442&lt;&gt;1,1,MAX(1,COUNTIF(QCI!$A$13:$A$24,OFFSET($E442,-1,0)))),"")</f>
        <v/>
      </c>
      <c r="AE442" s="7" t="str">
        <f ca="1">IF(AND($C442="S",ORÇAMENTO.CodBarra&lt;&gt;""),IF(ORÇAMENTO.Fonte="",ORÇAMENTO.CodBarra,CONCATENATE(ORÇAMENTO.Fonte," ",ORÇAMENTO.CodBarra)))</f>
        <v>SINAPI 97498</v>
      </c>
      <c r="AF442" s="13" t="str">
        <f ca="1">IF(ISERROR(INDIRECT(ORÇAMENTO.BancoRef)),"(abra o arquivo 'Referência "&amp;Excel_BuiltIn_Database&amp;".xlsm)",IF(OR($C442&lt;&gt;"S",ORÇAMENTO.CodBarra=""),"(Sem Código)",IF(ISERROR(MATCH($AE442,INDIRECT(ORÇAMENTO.BancoRef),0)),"(Código não identificado nas referências)",MATCH($AE442,INDIRECT(ORÇAMENTO.BancoRef),0))))</f>
        <v>(abra o arquivo 'Referência 06-2024.xlsm)</v>
      </c>
      <c r="AG442" s="498">
        <f ca="1">ROUND(IF(DESONERACAO="sim",REFERENCIA.Desonerado,REFERENCIA.NaoDesonerado),2)</f>
        <v>0</v>
      </c>
      <c r="AH442" s="499">
        <f t="shared" ref="AH442:AH457" ca="1" si="115">ROUND(IF(ISNUMBER(ORÇAMENTO.OpcaoBDI),ORÇAMENTO.OpcaoBDI,IF(LEFT(ORÇAMENTO.OpcaoBDI,3)="BDI",HLOOKUP(ORÇAMENTO.OpcaoBDI,$F$4:$H$5,2,FALSE),0)),15-11*$AF$9)</f>
        <v>0.2432</v>
      </c>
      <c r="AJ442" s="501"/>
      <c r="AL442" s="527"/>
      <c r="AM442" s="381">
        <f t="shared" ca="1" si="105"/>
        <v>0</v>
      </c>
      <c r="AN442" s="566">
        <f t="shared" ref="AN442:AN457" ca="1" si="116">ROUND(ORÇAMENTO.CustoUnitario*(1+$AH442),2)</f>
        <v>0</v>
      </c>
    </row>
    <row r="443" spans="1:40" ht="51" x14ac:dyDescent="0.2">
      <c r="A443" t="str">
        <f t="shared" si="113"/>
        <v>S</v>
      </c>
      <c r="B443">
        <f t="shared" ca="1" si="92"/>
        <v>2</v>
      </c>
      <c r="C443" t="str">
        <f t="shared" ca="1" si="93"/>
        <v>S</v>
      </c>
      <c r="D443">
        <f t="shared" ca="1" si="94"/>
        <v>0</v>
      </c>
      <c r="E443">
        <f ca="1">IF($C443=1,OFFSET(E443,-1,0)+MAX(1,COUNTIF(QCI!$A$13:$A$24,OFFSET(ORÇAMENTO!E443,-1,0))),OFFSET(E443,-1,0))</f>
        <v>1</v>
      </c>
      <c r="F443">
        <f t="shared" ca="1" si="95"/>
        <v>48</v>
      </c>
      <c r="G443">
        <f t="shared" ca="1" si="96"/>
        <v>0</v>
      </c>
      <c r="H443">
        <f t="shared" ca="1" si="97"/>
        <v>0</v>
      </c>
      <c r="I443">
        <f t="shared" ca="1" si="98"/>
        <v>0</v>
      </c>
      <c r="J443">
        <f t="shared" ca="1" si="107"/>
        <v>0</v>
      </c>
      <c r="K443">
        <f ca="1">IF(OR($C443="S",$C443=0),0,MATCH(OFFSET($D443,0,$C443)+IF($C443&lt;&gt;1,1,COUNTIF(QCI!$A$13:$A$24,ORÇAMENTO!E443)),OFFSET($D443,1,$C443,ROW($C$727)-ROW($C443)),0))</f>
        <v>0</v>
      </c>
      <c r="L443" s="116" t="str">
        <f t="shared" ca="1" si="99"/>
        <v/>
      </c>
      <c r="M443" s="117" t="s">
        <v>199</v>
      </c>
      <c r="N443" s="118" t="str">
        <f t="shared" ca="1" si="100"/>
        <v>Serviço</v>
      </c>
      <c r="O443" s="119" t="str">
        <f t="shared" ca="1" si="101"/>
        <v>-</v>
      </c>
      <c r="P443" s="120" t="s">
        <v>247</v>
      </c>
      <c r="Q443" s="121" t="s">
        <v>809</v>
      </c>
      <c r="R443" s="122" t="str">
        <f ca="1">IF($C443="S",REFERENCIA.Descricao,"(digite a descrição aqui)")</f>
        <v>(abra o arquivo 'Referência 06-2024.xlsm)</v>
      </c>
      <c r="S443" s="123" t="str">
        <f ca="1">REFERENCIA.Unidade</f>
        <v>-</v>
      </c>
      <c r="T443" s="124">
        <f ca="1">OFFSET(CÁLCULO!H$15,ROW($T443)-ROW(T$15),0)</f>
        <v>0.23</v>
      </c>
      <c r="U443" s="125">
        <f t="shared" ca="1" si="108"/>
        <v>0</v>
      </c>
      <c r="V443" s="126" t="s">
        <v>156</v>
      </c>
      <c r="W443" s="124">
        <f ca="1">IF($C443="S",ROUND(IF(TIPOORCAMENTO="Proposto",ORÇAMENTO.CustoUnitario*(1+$AH443),ORÇAMENTO.PrecoUnitarioLicitado),15-13*$AF$10),0)</f>
        <v>0</v>
      </c>
      <c r="X443" s="127">
        <f ca="1">IF($C443="S",IF(Import.TipoArredondamento&lt;&gt;"TransfereGOV",VTOTAL1,SUM(OFFSET(CÁLCULO!$AI$15,ROW($X443)-ROW($X$15),1):OFFSET(CÁLCULO!$BB$15,ROW($X443)-ROW($X$15),-1))),IF($C443=0,0,ROUND(SomaAgrup,15-13*$AF$11)))</f>
        <v>0</v>
      </c>
      <c r="Y443" s="128" t="s">
        <v>245</v>
      </c>
      <c r="Z443" t="str">
        <f t="shared" ca="1" si="102"/>
        <v/>
      </c>
      <c r="AA443" s="129">
        <f ca="1">IF($C443="S",IF($Z443="CP",$X443,IF($Z443="RA",(($X443)*QCI!$AA$3),0)),SomaAgrup)</f>
        <v>0</v>
      </c>
      <c r="AB443" s="130">
        <f t="shared" ca="1" si="114"/>
        <v>0</v>
      </c>
      <c r="AC443" s="131" t="str">
        <f ca="1">IF($N443="","",IF(ORÇAMENTO.Descricao="","DESCRIÇÃO",IF(AND($C443="S",ORÇAMENTO.Unidade=""),"UNIDADE",IF($X443&lt;0,"VALOR NEGATIVO",IF(OR(AND(TIPOORCAMENTO="Proposto",$AG443&lt;&gt;"",$AG443&gt;0,ORÇAMENTO.CustoUnitario&gt;$AG443),AND(TIPOORCAMENTO="LICITADO",ORÇAMENTO.PrecoUnitarioLicitado&gt;$AN443)),"ACIMA REF.","")))))</f>
        <v/>
      </c>
      <c r="AD443" t="str">
        <f ca="1">IF(C443&lt;=CRONO.NivelExibicao,MAX($AD$15:OFFSET(AD443,-1,0))+IF($C443&lt;&gt;1,1,MAX(1,COUNTIF(QCI!$A$13:$A$24,OFFSET($E443,-1,0)))),"")</f>
        <v/>
      </c>
      <c r="AE443" s="7" t="str">
        <f ca="1">IF(AND($C443="S",ORÇAMENTO.CodBarra&lt;&gt;""),IF(ORÇAMENTO.Fonte="",ORÇAMENTO.CodBarra,CONCATENATE(ORÇAMENTO.Fonte," ",ORÇAMENTO.CodBarra)))</f>
        <v>SINAPI 92364</v>
      </c>
      <c r="AF443" s="13" t="str">
        <f ca="1">IF(ISERROR(INDIRECT(ORÇAMENTO.BancoRef)),"(abra o arquivo 'Referência "&amp;Excel_BuiltIn_Database&amp;".xlsm)",IF(OR($C443&lt;&gt;"S",ORÇAMENTO.CodBarra=""),"(Sem Código)",IF(ISERROR(MATCH($AE443,INDIRECT(ORÇAMENTO.BancoRef),0)),"(Código não identificado nas referências)",MATCH($AE443,INDIRECT(ORÇAMENTO.BancoRef),0))))</f>
        <v>(abra o arquivo 'Referência 06-2024.xlsm)</v>
      </c>
      <c r="AG443" s="498">
        <f ca="1">ROUND(IF(DESONERACAO="sim",REFERENCIA.Desonerado,REFERENCIA.NaoDesonerado),2)</f>
        <v>0</v>
      </c>
      <c r="AH443" s="499">
        <f t="shared" ca="1" si="115"/>
        <v>0.2432</v>
      </c>
      <c r="AJ443" s="501"/>
      <c r="AL443" s="527"/>
      <c r="AM443" s="381">
        <f t="shared" ca="1" si="105"/>
        <v>0</v>
      </c>
      <c r="AN443" s="566">
        <f t="shared" ca="1" si="116"/>
        <v>0</v>
      </c>
    </row>
    <row r="444" spans="1:40" ht="51" x14ac:dyDescent="0.2">
      <c r="A444" t="str">
        <f t="shared" si="113"/>
        <v>S</v>
      </c>
      <c r="B444">
        <f t="shared" ca="1" si="92"/>
        <v>2</v>
      </c>
      <c r="C444" t="str">
        <f t="shared" ca="1" si="93"/>
        <v>S</v>
      </c>
      <c r="D444">
        <f t="shared" ca="1" si="94"/>
        <v>0</v>
      </c>
      <c r="E444">
        <f ca="1">IF($C444=1,OFFSET(E444,-1,0)+MAX(1,COUNTIF(QCI!$A$13:$A$24,OFFSET(ORÇAMENTO!E444,-1,0))),OFFSET(E444,-1,0))</f>
        <v>1</v>
      </c>
      <c r="F444">
        <f t="shared" ca="1" si="95"/>
        <v>48</v>
      </c>
      <c r="G444">
        <f t="shared" ca="1" si="96"/>
        <v>0</v>
      </c>
      <c r="H444">
        <f t="shared" ca="1" si="97"/>
        <v>0</v>
      </c>
      <c r="I444">
        <f t="shared" ca="1" si="98"/>
        <v>0</v>
      </c>
      <c r="J444">
        <f t="shared" ca="1" si="107"/>
        <v>0</v>
      </c>
      <c r="K444">
        <f ca="1">IF(OR($C444="S",$C444=0),0,MATCH(OFFSET($D444,0,$C444)+IF($C444&lt;&gt;1,1,COUNTIF(QCI!$A$13:$A$24,ORÇAMENTO!E444)),OFFSET($D444,1,$C444,ROW($C$727)-ROW($C444)),0))</f>
        <v>0</v>
      </c>
      <c r="L444" s="116" t="str">
        <f t="shared" ca="1" si="99"/>
        <v/>
      </c>
      <c r="M444" s="117" t="s">
        <v>199</v>
      </c>
      <c r="N444" s="118" t="str">
        <f t="shared" ca="1" si="100"/>
        <v>Serviço</v>
      </c>
      <c r="O444" s="119" t="str">
        <f t="shared" ca="1" si="101"/>
        <v>-</v>
      </c>
      <c r="P444" s="120" t="s">
        <v>247</v>
      </c>
      <c r="Q444" s="121" t="s">
        <v>810</v>
      </c>
      <c r="R444" s="122" t="str">
        <f ca="1">IF($C444="S",REFERENCIA.Descricao,"(digite a descrição aqui)")</f>
        <v>(abra o arquivo 'Referência 06-2024.xlsm)</v>
      </c>
      <c r="S444" s="123" t="str">
        <f ca="1">REFERENCIA.Unidade</f>
        <v>-</v>
      </c>
      <c r="T444" s="124">
        <f ca="1">OFFSET(CÁLCULO!H$15,ROW($T444)-ROW(T$15),0)</f>
        <v>1.52</v>
      </c>
      <c r="U444" s="125">
        <f t="shared" ca="1" si="108"/>
        <v>0</v>
      </c>
      <c r="V444" s="126" t="s">
        <v>156</v>
      </c>
      <c r="W444" s="124">
        <f ca="1">IF($C444="S",ROUND(IF(TIPOORCAMENTO="Proposto",ORÇAMENTO.CustoUnitario*(1+$AH444),ORÇAMENTO.PrecoUnitarioLicitado),15-13*$AF$10),0)</f>
        <v>0</v>
      </c>
      <c r="X444" s="127">
        <f ca="1">IF($C444="S",IF(Import.TipoArredondamento&lt;&gt;"TransfereGOV",VTOTAL1,SUM(OFFSET(CÁLCULO!$AI$15,ROW($X444)-ROW($X$15),1):OFFSET(CÁLCULO!$BB$15,ROW($X444)-ROW($X$15),-1))),IF($C444=0,0,ROUND(SomaAgrup,15-13*$AF$11)))</f>
        <v>0</v>
      </c>
      <c r="Y444" s="128" t="s">
        <v>245</v>
      </c>
      <c r="Z444" t="str">
        <f t="shared" ca="1" si="102"/>
        <v/>
      </c>
      <c r="AA444" s="129">
        <f ca="1">IF($C444="S",IF($Z444="CP",$X444,IF($Z444="RA",(($X444)*QCI!$AA$3),0)),SomaAgrup)</f>
        <v>0</v>
      </c>
      <c r="AB444" s="130">
        <f t="shared" ca="1" si="114"/>
        <v>0</v>
      </c>
      <c r="AC444" s="131" t="str">
        <f ca="1">IF($N444="","",IF(ORÇAMENTO.Descricao="","DESCRIÇÃO",IF(AND($C444="S",ORÇAMENTO.Unidade=""),"UNIDADE",IF($X444&lt;0,"VALOR NEGATIVO",IF(OR(AND(TIPOORCAMENTO="Proposto",$AG444&lt;&gt;"",$AG444&gt;0,ORÇAMENTO.CustoUnitario&gt;$AG444),AND(TIPOORCAMENTO="LICITADO",ORÇAMENTO.PrecoUnitarioLicitado&gt;$AN444)),"ACIMA REF.","")))))</f>
        <v/>
      </c>
      <c r="AD444" t="str">
        <f ca="1">IF(C444&lt;=CRONO.NivelExibicao,MAX($AD$15:OFFSET(AD444,-1,0))+IF($C444&lt;&gt;1,1,MAX(1,COUNTIF(QCI!$A$13:$A$24,OFFSET($E444,-1,0)))),"")</f>
        <v/>
      </c>
      <c r="AE444" s="7" t="str">
        <f ca="1">IF(AND($C444="S",ORÇAMENTO.CodBarra&lt;&gt;""),IF(ORÇAMENTO.Fonte="",ORÇAMENTO.CodBarra,CONCATENATE(ORÇAMENTO.Fonte," ",ORÇAMENTO.CodBarra)))</f>
        <v>SINAPI 92365</v>
      </c>
      <c r="AF444" s="13" t="str">
        <f ca="1">IF(ISERROR(INDIRECT(ORÇAMENTO.BancoRef)),"(abra o arquivo 'Referência "&amp;Excel_BuiltIn_Database&amp;".xlsm)",IF(OR($C444&lt;&gt;"S",ORÇAMENTO.CodBarra=""),"(Sem Código)",IF(ISERROR(MATCH($AE444,INDIRECT(ORÇAMENTO.BancoRef),0)),"(Código não identificado nas referências)",MATCH($AE444,INDIRECT(ORÇAMENTO.BancoRef),0))))</f>
        <v>(abra o arquivo 'Referência 06-2024.xlsm)</v>
      </c>
      <c r="AG444" s="498">
        <f ca="1">ROUND(IF(DESONERACAO="sim",REFERENCIA.Desonerado,REFERENCIA.NaoDesonerado),2)</f>
        <v>0</v>
      </c>
      <c r="AH444" s="499">
        <f t="shared" ca="1" si="115"/>
        <v>0.2432</v>
      </c>
      <c r="AJ444" s="501"/>
      <c r="AL444" s="527"/>
      <c r="AM444" s="381">
        <f t="shared" ca="1" si="105"/>
        <v>0</v>
      </c>
      <c r="AN444" s="566">
        <f t="shared" ca="1" si="116"/>
        <v>0</v>
      </c>
    </row>
    <row r="445" spans="1:40" ht="38.25" x14ac:dyDescent="0.2">
      <c r="A445" t="str">
        <f t="shared" si="113"/>
        <v>S</v>
      </c>
      <c r="B445">
        <f t="shared" ca="1" si="92"/>
        <v>2</v>
      </c>
      <c r="C445" t="str">
        <f t="shared" ca="1" si="93"/>
        <v>S</v>
      </c>
      <c r="D445">
        <f t="shared" ca="1" si="94"/>
        <v>0</v>
      </c>
      <c r="E445">
        <f ca="1">IF($C445=1,OFFSET(E445,-1,0)+MAX(1,COUNTIF(QCI!$A$13:$A$24,OFFSET(ORÇAMENTO!E445,-1,0))),OFFSET(E445,-1,0))</f>
        <v>1</v>
      </c>
      <c r="F445">
        <f t="shared" ca="1" si="95"/>
        <v>48</v>
      </c>
      <c r="G445">
        <f t="shared" ca="1" si="96"/>
        <v>0</v>
      </c>
      <c r="H445">
        <f t="shared" ca="1" si="97"/>
        <v>0</v>
      </c>
      <c r="I445">
        <f t="shared" ca="1" si="98"/>
        <v>0</v>
      </c>
      <c r="J445">
        <f t="shared" ca="1" si="107"/>
        <v>0</v>
      </c>
      <c r="K445">
        <f ca="1">IF(OR($C445="S",$C445=0),0,MATCH(OFFSET($D445,0,$C445)+IF($C445&lt;&gt;1,1,COUNTIF(QCI!$A$13:$A$24,ORÇAMENTO!E445)),OFFSET($D445,1,$C445,ROW($C$727)-ROW($C445)),0))</f>
        <v>0</v>
      </c>
      <c r="L445" s="116" t="str">
        <f t="shared" ca="1" si="99"/>
        <v/>
      </c>
      <c r="M445" s="117" t="s">
        <v>199</v>
      </c>
      <c r="N445" s="118" t="str">
        <f t="shared" ca="1" si="100"/>
        <v>Serviço</v>
      </c>
      <c r="O445" s="119" t="str">
        <f t="shared" ca="1" si="101"/>
        <v>-</v>
      </c>
      <c r="P445" s="120" t="s">
        <v>247</v>
      </c>
      <c r="Q445" s="121" t="s">
        <v>811</v>
      </c>
      <c r="R445" s="122" t="str">
        <f ca="1">IF($C445="S",REFERENCIA.Descricao,"(digite a descrição aqui)")</f>
        <v>(abra o arquivo 'Referência 06-2024.xlsm)</v>
      </c>
      <c r="S445" s="123" t="str">
        <f ca="1">REFERENCIA.Unidade</f>
        <v>-</v>
      </c>
      <c r="T445" s="124">
        <f ca="1">OFFSET(CÁLCULO!H$15,ROW($T445)-ROW(T$15),0)</f>
        <v>0.35</v>
      </c>
      <c r="U445" s="125">
        <f t="shared" ca="1" si="108"/>
        <v>0</v>
      </c>
      <c r="V445" s="126" t="s">
        <v>156</v>
      </c>
      <c r="W445" s="124">
        <f ca="1">IF($C445="S",ROUND(IF(TIPOORCAMENTO="Proposto",ORÇAMENTO.CustoUnitario*(1+$AH445),ORÇAMENTO.PrecoUnitarioLicitado),15-13*$AF$10),0)</f>
        <v>0</v>
      </c>
      <c r="X445" s="127">
        <f ca="1">IF($C445="S",IF(Import.TipoArredondamento&lt;&gt;"TransfereGOV",VTOTAL1,SUM(OFFSET(CÁLCULO!$AI$15,ROW($X445)-ROW($X$15),1):OFFSET(CÁLCULO!$BB$15,ROW($X445)-ROW($X$15),-1))),IF($C445=0,0,ROUND(SomaAgrup,15-13*$AF$11)))</f>
        <v>0</v>
      </c>
      <c r="Y445" s="128" t="s">
        <v>245</v>
      </c>
      <c r="Z445" t="str">
        <f t="shared" ca="1" si="102"/>
        <v/>
      </c>
      <c r="AA445" s="129">
        <f ca="1">IF($C445="S",IF($Z445="CP",$X445,IF($Z445="RA",(($X445)*QCI!$AA$3),0)),SomaAgrup)</f>
        <v>0</v>
      </c>
      <c r="AB445" s="130">
        <f t="shared" ca="1" si="114"/>
        <v>0</v>
      </c>
      <c r="AC445" s="131" t="str">
        <f ca="1">IF($N445="","",IF(ORÇAMENTO.Descricao="","DESCRIÇÃO",IF(AND($C445="S",ORÇAMENTO.Unidade=""),"UNIDADE",IF($X445&lt;0,"VALOR NEGATIVO",IF(OR(AND(TIPOORCAMENTO="Proposto",$AG445&lt;&gt;"",$AG445&gt;0,ORÇAMENTO.CustoUnitario&gt;$AG445),AND(TIPOORCAMENTO="LICITADO",ORÇAMENTO.PrecoUnitarioLicitado&gt;$AN445)),"ACIMA REF.","")))))</f>
        <v/>
      </c>
      <c r="AD445" t="str">
        <f ca="1">IF(C445&lt;=CRONO.NivelExibicao,MAX($AD$15:OFFSET(AD445,-1,0))+IF($C445&lt;&gt;1,1,MAX(1,COUNTIF(QCI!$A$13:$A$24,OFFSET($E445,-1,0)))),"")</f>
        <v/>
      </c>
      <c r="AE445" s="7" t="str">
        <f ca="1">IF(AND($C445="S",ORÇAMENTO.CodBarra&lt;&gt;""),IF(ORÇAMENTO.Fonte="",ORÇAMENTO.CodBarra,CONCATENATE(ORÇAMENTO.Fonte," ",ORÇAMENTO.CodBarra)))</f>
        <v>SINAPI 92366</v>
      </c>
      <c r="AF445" s="13" t="str">
        <f ca="1">IF(ISERROR(INDIRECT(ORÇAMENTO.BancoRef)),"(abra o arquivo 'Referência "&amp;Excel_BuiltIn_Database&amp;".xlsm)",IF(OR($C445&lt;&gt;"S",ORÇAMENTO.CodBarra=""),"(Sem Código)",IF(ISERROR(MATCH($AE445,INDIRECT(ORÇAMENTO.BancoRef),0)),"(Código não identificado nas referências)",MATCH($AE445,INDIRECT(ORÇAMENTO.BancoRef),0))))</f>
        <v>(abra o arquivo 'Referência 06-2024.xlsm)</v>
      </c>
      <c r="AG445" s="498">
        <f ca="1">ROUND(IF(DESONERACAO="sim",REFERENCIA.Desonerado,REFERENCIA.NaoDesonerado),2)</f>
        <v>0</v>
      </c>
      <c r="AH445" s="499">
        <f t="shared" ca="1" si="115"/>
        <v>0.2432</v>
      </c>
      <c r="AJ445" s="501"/>
      <c r="AL445" s="527"/>
      <c r="AM445" s="381">
        <f t="shared" ca="1" si="105"/>
        <v>0</v>
      </c>
      <c r="AN445" s="566">
        <f t="shared" ca="1" si="116"/>
        <v>0</v>
      </c>
    </row>
    <row r="446" spans="1:40" ht="51" x14ac:dyDescent="0.2">
      <c r="A446" t="str">
        <f t="shared" si="113"/>
        <v>S</v>
      </c>
      <c r="B446">
        <f t="shared" ca="1" si="92"/>
        <v>2</v>
      </c>
      <c r="C446" t="str">
        <f t="shared" ca="1" si="93"/>
        <v>S</v>
      </c>
      <c r="D446">
        <f t="shared" ca="1" si="94"/>
        <v>0</v>
      </c>
      <c r="E446">
        <f ca="1">IF($C446=1,OFFSET(E446,-1,0)+MAX(1,COUNTIF(QCI!$A$13:$A$24,OFFSET(ORÇAMENTO!E446,-1,0))),OFFSET(E446,-1,0))</f>
        <v>1</v>
      </c>
      <c r="F446">
        <f t="shared" ca="1" si="95"/>
        <v>48</v>
      </c>
      <c r="G446">
        <f t="shared" ca="1" si="96"/>
        <v>0</v>
      </c>
      <c r="H446">
        <f t="shared" ca="1" si="97"/>
        <v>0</v>
      </c>
      <c r="I446">
        <f t="shared" ca="1" si="98"/>
        <v>0</v>
      </c>
      <c r="J446">
        <f t="shared" ca="1" si="107"/>
        <v>0</v>
      </c>
      <c r="K446">
        <f ca="1">IF(OR($C446="S",$C446=0),0,MATCH(OFFSET($D446,0,$C446)+IF($C446&lt;&gt;1,1,COUNTIF(QCI!$A$13:$A$24,ORÇAMENTO!E446)),OFFSET($D446,1,$C446,ROW($C$727)-ROW($C446)),0))</f>
        <v>0</v>
      </c>
      <c r="L446" s="116" t="str">
        <f t="shared" ca="1" si="99"/>
        <v/>
      </c>
      <c r="M446" s="117" t="s">
        <v>199</v>
      </c>
      <c r="N446" s="118" t="str">
        <f t="shared" ca="1" si="100"/>
        <v>Serviço</v>
      </c>
      <c r="O446" s="119" t="str">
        <f t="shared" ca="1" si="101"/>
        <v>-</v>
      </c>
      <c r="P446" s="120" t="s">
        <v>247</v>
      </c>
      <c r="Q446" s="121" t="s">
        <v>812</v>
      </c>
      <c r="R446" s="122" t="str">
        <f ca="1">IF($C446="S",REFERENCIA.Descricao,"(digite a descrição aqui)")</f>
        <v>(abra o arquivo 'Referência 06-2024.xlsm)</v>
      </c>
      <c r="S446" s="123" t="str">
        <f ca="1">REFERENCIA.Unidade</f>
        <v>-</v>
      </c>
      <c r="T446" s="124">
        <f ca="1">OFFSET(CÁLCULO!H$15,ROW($T446)-ROW(T$15),0)</f>
        <v>96.2</v>
      </c>
      <c r="U446" s="125">
        <f t="shared" ca="1" si="108"/>
        <v>0</v>
      </c>
      <c r="V446" s="126" t="s">
        <v>156</v>
      </c>
      <c r="W446" s="124">
        <f ca="1">IF($C446="S",ROUND(IF(TIPOORCAMENTO="Proposto",ORÇAMENTO.CustoUnitario*(1+$AH446),ORÇAMENTO.PrecoUnitarioLicitado),15-13*$AF$10),0)</f>
        <v>0</v>
      </c>
      <c r="X446" s="127">
        <f ca="1">IF($C446="S",IF(Import.TipoArredondamento&lt;&gt;"TransfereGOV",VTOTAL1,SUM(OFFSET(CÁLCULO!$AI$15,ROW($X446)-ROW($X$15),1):OFFSET(CÁLCULO!$BB$15,ROW($X446)-ROW($X$15),-1))),IF($C446=0,0,ROUND(SomaAgrup,15-13*$AF$11)))</f>
        <v>0</v>
      </c>
      <c r="Y446" s="128" t="s">
        <v>245</v>
      </c>
      <c r="Z446" t="str">
        <f t="shared" ca="1" si="102"/>
        <v/>
      </c>
      <c r="AA446" s="129">
        <f ca="1">IF($C446="S",IF($Z446="CP",$X446,IF($Z446="RA",(($X446)*QCI!$AA$3),0)),SomaAgrup)</f>
        <v>0</v>
      </c>
      <c r="AB446" s="130">
        <f t="shared" ca="1" si="114"/>
        <v>0</v>
      </c>
      <c r="AC446" s="131" t="str">
        <f ca="1">IF($N446="","",IF(ORÇAMENTO.Descricao="","DESCRIÇÃO",IF(AND($C446="S",ORÇAMENTO.Unidade=""),"UNIDADE",IF($X446&lt;0,"VALOR NEGATIVO",IF(OR(AND(TIPOORCAMENTO="Proposto",$AG446&lt;&gt;"",$AG446&gt;0,ORÇAMENTO.CustoUnitario&gt;$AG446),AND(TIPOORCAMENTO="LICITADO",ORÇAMENTO.PrecoUnitarioLicitado&gt;$AN446)),"ACIMA REF.","")))))</f>
        <v/>
      </c>
      <c r="AD446" t="str">
        <f ca="1">IF(C446&lt;=CRONO.NivelExibicao,MAX($AD$15:OFFSET(AD446,-1,0))+IF($C446&lt;&gt;1,1,MAX(1,COUNTIF(QCI!$A$13:$A$24,OFFSET($E446,-1,0)))),"")</f>
        <v/>
      </c>
      <c r="AE446" s="7" t="str">
        <f ca="1">IF(AND($C446="S",ORÇAMENTO.CodBarra&lt;&gt;""),IF(ORÇAMENTO.Fonte="",ORÇAMENTO.CodBarra,CONCATENATE(ORÇAMENTO.Fonte," ",ORÇAMENTO.CodBarra)))</f>
        <v>SINAPI 92367</v>
      </c>
      <c r="AF446" s="13" t="str">
        <f ca="1">IF(ISERROR(INDIRECT(ORÇAMENTO.BancoRef)),"(abra o arquivo 'Referência "&amp;Excel_BuiltIn_Database&amp;".xlsm)",IF(OR($C446&lt;&gt;"S",ORÇAMENTO.CodBarra=""),"(Sem Código)",IF(ISERROR(MATCH($AE446,INDIRECT(ORÇAMENTO.BancoRef),0)),"(Código não identificado nas referências)",MATCH($AE446,INDIRECT(ORÇAMENTO.BancoRef),0))))</f>
        <v>(abra o arquivo 'Referência 06-2024.xlsm)</v>
      </c>
      <c r="AG446" s="498">
        <f ca="1">ROUND(IF(DESONERACAO="sim",REFERENCIA.Desonerado,REFERENCIA.NaoDesonerado),2)</f>
        <v>0</v>
      </c>
      <c r="AH446" s="499">
        <f t="shared" ca="1" si="115"/>
        <v>0.2432</v>
      </c>
      <c r="AJ446" s="501"/>
      <c r="AL446" s="527"/>
      <c r="AM446" s="381">
        <f t="shared" ca="1" si="105"/>
        <v>0</v>
      </c>
      <c r="AN446" s="566">
        <f t="shared" ca="1" si="116"/>
        <v>0</v>
      </c>
    </row>
    <row r="447" spans="1:40" ht="38.25" x14ac:dyDescent="0.2">
      <c r="A447" t="str">
        <f t="shared" si="113"/>
        <v>S</v>
      </c>
      <c r="B447">
        <f t="shared" ca="1" si="92"/>
        <v>2</v>
      </c>
      <c r="C447" t="str">
        <f t="shared" ca="1" si="93"/>
        <v>S</v>
      </c>
      <c r="D447">
        <f t="shared" ca="1" si="94"/>
        <v>0</v>
      </c>
      <c r="E447">
        <f ca="1">IF($C447=1,OFFSET(E447,-1,0)+MAX(1,COUNTIF(QCI!$A$13:$A$24,OFFSET(ORÇAMENTO!E447,-1,0))),OFFSET(E447,-1,0))</f>
        <v>1</v>
      </c>
      <c r="F447">
        <f t="shared" ca="1" si="95"/>
        <v>48</v>
      </c>
      <c r="G447">
        <f t="shared" ca="1" si="96"/>
        <v>0</v>
      </c>
      <c r="H447">
        <f t="shared" ca="1" si="97"/>
        <v>0</v>
      </c>
      <c r="I447">
        <f t="shared" ca="1" si="98"/>
        <v>0</v>
      </c>
      <c r="J447">
        <f t="shared" ca="1" si="107"/>
        <v>0</v>
      </c>
      <c r="K447">
        <f ca="1">IF(OR($C447="S",$C447=0),0,MATCH(OFFSET($D447,0,$C447)+IF($C447&lt;&gt;1,1,COUNTIF(QCI!$A$13:$A$24,ORÇAMENTO!E447)),OFFSET($D447,1,$C447,ROW($C$727)-ROW($C447)),0))</f>
        <v>0</v>
      </c>
      <c r="L447" s="116" t="str">
        <f t="shared" ca="1" si="99"/>
        <v/>
      </c>
      <c r="M447" s="117" t="s">
        <v>199</v>
      </c>
      <c r="N447" s="118" t="str">
        <f t="shared" ca="1" si="100"/>
        <v>Serviço</v>
      </c>
      <c r="O447" s="119" t="str">
        <f t="shared" ca="1" si="101"/>
        <v>-</v>
      </c>
      <c r="P447" s="120" t="s">
        <v>247</v>
      </c>
      <c r="Q447" s="121" t="s">
        <v>813</v>
      </c>
      <c r="R447" s="122" t="str">
        <f ca="1">IF($C447="S",REFERENCIA.Descricao,"(digite a descrição aqui)")</f>
        <v>(abra o arquivo 'Referência 06-2024.xlsm)</v>
      </c>
      <c r="S447" s="123" t="str">
        <f ca="1">REFERENCIA.Unidade</f>
        <v>-</v>
      </c>
      <c r="T447" s="124">
        <f ca="1">OFFSET(CÁLCULO!H$15,ROW($T447)-ROW(T$15),0)</f>
        <v>8.1999999999999993</v>
      </c>
      <c r="U447" s="125">
        <f t="shared" ca="1" si="108"/>
        <v>0</v>
      </c>
      <c r="V447" s="126" t="s">
        <v>156</v>
      </c>
      <c r="W447" s="124">
        <f ca="1">IF($C447="S",ROUND(IF(TIPOORCAMENTO="Proposto",ORÇAMENTO.CustoUnitario*(1+$AH447),ORÇAMENTO.PrecoUnitarioLicitado),15-13*$AF$10),0)</f>
        <v>0</v>
      </c>
      <c r="X447" s="127">
        <f ca="1">IF($C447="S",IF(Import.TipoArredondamento&lt;&gt;"TransfereGOV",VTOTAL1,SUM(OFFSET(CÁLCULO!$AI$15,ROW($X447)-ROW($X$15),1):OFFSET(CÁLCULO!$BB$15,ROW($X447)-ROW($X$15),-1))),IF($C447=0,0,ROUND(SomaAgrup,15-13*$AF$11)))</f>
        <v>0</v>
      </c>
      <c r="Y447" s="128" t="s">
        <v>245</v>
      </c>
      <c r="Z447" t="str">
        <f t="shared" ca="1" si="102"/>
        <v/>
      </c>
      <c r="AA447" s="129">
        <f ca="1">IF($C447="S",IF($Z447="CP",$X447,IF($Z447="RA",(($X447)*QCI!$AA$3),0)),SomaAgrup)</f>
        <v>0</v>
      </c>
      <c r="AB447" s="130">
        <f t="shared" ca="1" si="114"/>
        <v>0</v>
      </c>
      <c r="AC447" s="131" t="str">
        <f ca="1">IF($N447="","",IF(ORÇAMENTO.Descricao="","DESCRIÇÃO",IF(AND($C447="S",ORÇAMENTO.Unidade=""),"UNIDADE",IF($X447&lt;0,"VALOR NEGATIVO",IF(OR(AND(TIPOORCAMENTO="Proposto",$AG447&lt;&gt;"",$AG447&gt;0,ORÇAMENTO.CustoUnitario&gt;$AG447),AND(TIPOORCAMENTO="LICITADO",ORÇAMENTO.PrecoUnitarioLicitado&gt;$AN447)),"ACIMA REF.","")))))</f>
        <v/>
      </c>
      <c r="AD447" t="str">
        <f ca="1">IF(C447&lt;=CRONO.NivelExibicao,MAX($AD$15:OFFSET(AD447,-1,0))+IF($C447&lt;&gt;1,1,MAX(1,COUNTIF(QCI!$A$13:$A$24,OFFSET($E447,-1,0)))),"")</f>
        <v/>
      </c>
      <c r="AE447" s="7" t="str">
        <f ca="1">IF(AND($C447="S",ORÇAMENTO.CodBarra&lt;&gt;""),IF(ORÇAMENTO.Fonte="",ORÇAMENTO.CodBarra,CONCATENATE(ORÇAMENTO.Fonte," ",ORÇAMENTO.CodBarra)))</f>
        <v>SINAPI 92368</v>
      </c>
      <c r="AF447" s="13" t="str">
        <f ca="1">IF(ISERROR(INDIRECT(ORÇAMENTO.BancoRef)),"(abra o arquivo 'Referência "&amp;Excel_BuiltIn_Database&amp;".xlsm)",IF(OR($C447&lt;&gt;"S",ORÇAMENTO.CodBarra=""),"(Sem Código)",IF(ISERROR(MATCH($AE447,INDIRECT(ORÇAMENTO.BancoRef),0)),"(Código não identificado nas referências)",MATCH($AE447,INDIRECT(ORÇAMENTO.BancoRef),0))))</f>
        <v>(abra o arquivo 'Referência 06-2024.xlsm)</v>
      </c>
      <c r="AG447" s="498">
        <f ca="1">ROUND(IF(DESONERACAO="sim",REFERENCIA.Desonerado,REFERENCIA.NaoDesonerado),2)</f>
        <v>0</v>
      </c>
      <c r="AH447" s="499">
        <f t="shared" ca="1" si="115"/>
        <v>0.2432</v>
      </c>
      <c r="AJ447" s="501"/>
      <c r="AL447" s="527"/>
      <c r="AM447" s="381">
        <f t="shared" ca="1" si="105"/>
        <v>0</v>
      </c>
      <c r="AN447" s="566">
        <f t="shared" ca="1" si="116"/>
        <v>0</v>
      </c>
    </row>
    <row r="448" spans="1:40" ht="38.25" x14ac:dyDescent="0.2">
      <c r="A448" t="str">
        <f t="shared" si="113"/>
        <v>S</v>
      </c>
      <c r="B448">
        <f t="shared" ca="1" si="92"/>
        <v>2</v>
      </c>
      <c r="C448" t="str">
        <f t="shared" ca="1" si="93"/>
        <v>S</v>
      </c>
      <c r="D448">
        <f t="shared" ca="1" si="94"/>
        <v>0</v>
      </c>
      <c r="E448">
        <f ca="1">IF($C448=1,OFFSET(E448,-1,0)+MAX(1,COUNTIF(QCI!$A$13:$A$24,OFFSET(ORÇAMENTO!E448,-1,0))),OFFSET(E448,-1,0))</f>
        <v>1</v>
      </c>
      <c r="F448">
        <f t="shared" ca="1" si="95"/>
        <v>48</v>
      </c>
      <c r="G448">
        <f t="shared" ca="1" si="96"/>
        <v>0</v>
      </c>
      <c r="H448">
        <f t="shared" ca="1" si="97"/>
        <v>0</v>
      </c>
      <c r="I448">
        <f t="shared" ca="1" si="98"/>
        <v>0</v>
      </c>
      <c r="J448">
        <f t="shared" ca="1" si="107"/>
        <v>0</v>
      </c>
      <c r="K448">
        <f ca="1">IF(OR($C448="S",$C448=0),0,MATCH(OFFSET($D448,0,$C448)+IF($C448&lt;&gt;1,1,COUNTIF(QCI!$A$13:$A$24,ORÇAMENTO!E448)),OFFSET($D448,1,$C448,ROW($C$727)-ROW($C448)),0))</f>
        <v>0</v>
      </c>
      <c r="L448" s="116" t="str">
        <f t="shared" ca="1" si="99"/>
        <v/>
      </c>
      <c r="M448" s="117" t="s">
        <v>199</v>
      </c>
      <c r="N448" s="118" t="str">
        <f t="shared" ca="1" si="100"/>
        <v>Serviço</v>
      </c>
      <c r="O448" s="119" t="str">
        <f t="shared" ca="1" si="101"/>
        <v>-</v>
      </c>
      <c r="P448" s="120" t="s">
        <v>247</v>
      </c>
      <c r="Q448" s="121" t="s">
        <v>814</v>
      </c>
      <c r="R448" s="122" t="str">
        <f ca="1">IF($C448="S",REFERENCIA.Descricao,"(digite a descrição aqui)")</f>
        <v>(abra o arquivo 'Referência 06-2024.xlsm)</v>
      </c>
      <c r="S448" s="123" t="str">
        <f ca="1">REFERENCIA.Unidade</f>
        <v>-</v>
      </c>
      <c r="T448" s="124">
        <f ca="1">OFFSET(CÁLCULO!H$15,ROW($T448)-ROW(T$15),0)</f>
        <v>5</v>
      </c>
      <c r="U448" s="125">
        <f t="shared" ca="1" si="108"/>
        <v>0</v>
      </c>
      <c r="V448" s="126" t="s">
        <v>156</v>
      </c>
      <c r="W448" s="124">
        <f ca="1">IF($C448="S",ROUND(IF(TIPOORCAMENTO="Proposto",ORÇAMENTO.CustoUnitario*(1+$AH448),ORÇAMENTO.PrecoUnitarioLicitado),15-13*$AF$10),0)</f>
        <v>0</v>
      </c>
      <c r="X448" s="127">
        <f ca="1">IF($C448="S",IF(Import.TipoArredondamento&lt;&gt;"TransfereGOV",VTOTAL1,SUM(OFFSET(CÁLCULO!$AI$15,ROW($X448)-ROW($X$15),1):OFFSET(CÁLCULO!$BB$15,ROW($X448)-ROW($X$15),-1))),IF($C448=0,0,ROUND(SomaAgrup,15-13*$AF$11)))</f>
        <v>0</v>
      </c>
      <c r="Y448" s="128" t="s">
        <v>245</v>
      </c>
      <c r="Z448" t="str">
        <f t="shared" ca="1" si="102"/>
        <v/>
      </c>
      <c r="AA448" s="129">
        <f ca="1">IF($C448="S",IF($Z448="CP",$X448,IF($Z448="RA",(($X448)*QCI!$AA$3),0)),SomaAgrup)</f>
        <v>0</v>
      </c>
      <c r="AB448" s="130">
        <f t="shared" ca="1" si="114"/>
        <v>0</v>
      </c>
      <c r="AC448" s="131" t="str">
        <f ca="1">IF($N448="","",IF(ORÇAMENTO.Descricao="","DESCRIÇÃO",IF(AND($C448="S",ORÇAMENTO.Unidade=""),"UNIDADE",IF($X448&lt;0,"VALOR NEGATIVO",IF(OR(AND(TIPOORCAMENTO="Proposto",$AG448&lt;&gt;"",$AG448&gt;0,ORÇAMENTO.CustoUnitario&gt;$AG448),AND(TIPOORCAMENTO="LICITADO",ORÇAMENTO.PrecoUnitarioLicitado&gt;$AN448)),"ACIMA REF.","")))))</f>
        <v/>
      </c>
      <c r="AD448" t="str">
        <f ca="1">IF(C448&lt;=CRONO.NivelExibicao,MAX($AD$15:OFFSET(AD448,-1,0))+IF($C448&lt;&gt;1,1,MAX(1,COUNTIF(QCI!$A$13:$A$24,OFFSET($E448,-1,0)))),"")</f>
        <v/>
      </c>
      <c r="AE448" s="7" t="str">
        <f ca="1">IF(AND($C448="S",ORÇAMENTO.CodBarra&lt;&gt;""),IF(ORÇAMENTO.Fonte="",ORÇAMENTO.CodBarra,CONCATENATE(ORÇAMENTO.Fonte," ",ORÇAMENTO.CodBarra)))</f>
        <v>SINAPI 95818</v>
      </c>
      <c r="AF448" s="13" t="str">
        <f ca="1">IF(ISERROR(INDIRECT(ORÇAMENTO.BancoRef)),"(abra o arquivo 'Referência "&amp;Excel_BuiltIn_Database&amp;".xlsm)",IF(OR($C448&lt;&gt;"S",ORÇAMENTO.CodBarra=""),"(Sem Código)",IF(ISERROR(MATCH($AE448,INDIRECT(ORÇAMENTO.BancoRef),0)),"(Código não identificado nas referências)",MATCH($AE448,INDIRECT(ORÇAMENTO.BancoRef),0))))</f>
        <v>(abra o arquivo 'Referência 06-2024.xlsm)</v>
      </c>
      <c r="AG448" s="498">
        <f ca="1">ROUND(IF(DESONERACAO="sim",REFERENCIA.Desonerado,REFERENCIA.NaoDesonerado),2)</f>
        <v>0</v>
      </c>
      <c r="AH448" s="499">
        <f t="shared" ca="1" si="115"/>
        <v>0.2432</v>
      </c>
      <c r="AJ448" s="501"/>
      <c r="AL448" s="527"/>
      <c r="AM448" s="381">
        <f t="shared" ca="1" si="105"/>
        <v>0</v>
      </c>
      <c r="AN448" s="566">
        <f t="shared" ca="1" si="116"/>
        <v>0</v>
      </c>
    </row>
    <row r="449" spans="1:40" ht="51" x14ac:dyDescent="0.2">
      <c r="A449" t="str">
        <f t="shared" si="113"/>
        <v>S</v>
      </c>
      <c r="B449">
        <f t="shared" ca="1" si="92"/>
        <v>2</v>
      </c>
      <c r="C449" t="str">
        <f t="shared" ca="1" si="93"/>
        <v>S</v>
      </c>
      <c r="D449">
        <f t="shared" ca="1" si="94"/>
        <v>0</v>
      </c>
      <c r="E449">
        <f ca="1">IF($C449=1,OFFSET(E449,-1,0)+MAX(1,COUNTIF(QCI!$A$13:$A$24,OFFSET(ORÇAMENTO!E449,-1,0))),OFFSET(E449,-1,0))</f>
        <v>1</v>
      </c>
      <c r="F449">
        <f t="shared" ca="1" si="95"/>
        <v>48</v>
      </c>
      <c r="G449">
        <f t="shared" ca="1" si="96"/>
        <v>0</v>
      </c>
      <c r="H449">
        <f t="shared" ca="1" si="97"/>
        <v>0</v>
      </c>
      <c r="I449">
        <f t="shared" ca="1" si="98"/>
        <v>0</v>
      </c>
      <c r="J449">
        <f t="shared" ca="1" si="107"/>
        <v>0</v>
      </c>
      <c r="K449">
        <f ca="1">IF(OR($C449="S",$C449=0),0,MATCH(OFFSET($D449,0,$C449)+IF($C449&lt;&gt;1,1,COUNTIF(QCI!$A$13:$A$24,ORÇAMENTO!E449)),OFFSET($D449,1,$C449,ROW($C$727)-ROW($C449)),0))</f>
        <v>0</v>
      </c>
      <c r="L449" s="116" t="str">
        <f t="shared" ca="1" si="99"/>
        <v/>
      </c>
      <c r="M449" s="117" t="s">
        <v>199</v>
      </c>
      <c r="N449" s="118" t="str">
        <f t="shared" ca="1" si="100"/>
        <v>Serviço</v>
      </c>
      <c r="O449" s="119" t="str">
        <f t="shared" ca="1" si="101"/>
        <v>-</v>
      </c>
      <c r="P449" s="120" t="s">
        <v>1032</v>
      </c>
      <c r="Q449" s="121" t="s">
        <v>815</v>
      </c>
      <c r="R449" s="122" t="str">
        <f ca="1">IF($C449="S",REFERENCIA.Descricao,"(digite a descrição aqui)")</f>
        <v>(abra o arquivo 'Referência 06-2024.xlsm)</v>
      </c>
      <c r="S449" s="123" t="str">
        <f ca="1">REFERENCIA.Unidade</f>
        <v>-</v>
      </c>
      <c r="T449" s="124">
        <f ca="1">OFFSET(CÁLCULO!H$15,ROW($T449)-ROW(T$15),0)</f>
        <v>9</v>
      </c>
      <c r="U449" s="125">
        <f t="shared" ca="1" si="108"/>
        <v>0</v>
      </c>
      <c r="V449" s="126" t="s">
        <v>156</v>
      </c>
      <c r="W449" s="124">
        <f ca="1">IF($C449="S",ROUND(IF(TIPOORCAMENTO="Proposto",ORÇAMENTO.CustoUnitario*(1+$AH449),ORÇAMENTO.PrecoUnitarioLicitado),15-13*$AF$10),0)</f>
        <v>0</v>
      </c>
      <c r="X449" s="127">
        <f ca="1">IF($C449="S",IF(Import.TipoArredondamento&lt;&gt;"TransfereGOV",VTOTAL1,SUM(OFFSET(CÁLCULO!$AI$15,ROW($X449)-ROW($X$15),1):OFFSET(CÁLCULO!$BB$15,ROW($X449)-ROW($X$15),-1))),IF($C449=0,0,ROUND(SomaAgrup,15-13*$AF$11)))</f>
        <v>0</v>
      </c>
      <c r="Y449" s="128" t="s">
        <v>245</v>
      </c>
      <c r="Z449" t="str">
        <f t="shared" ca="1" si="102"/>
        <v/>
      </c>
      <c r="AA449" s="129">
        <f ca="1">IF($C449="S",IF($Z449="CP",$X449,IF($Z449="RA",(($X449)*QCI!$AA$3),0)),SomaAgrup)</f>
        <v>0</v>
      </c>
      <c r="AB449" s="130">
        <f t="shared" ca="1" si="114"/>
        <v>0</v>
      </c>
      <c r="AC449" s="131" t="str">
        <f ca="1">IF($N449="","",IF(ORÇAMENTO.Descricao="","DESCRIÇÃO",IF(AND($C449="S",ORÇAMENTO.Unidade=""),"UNIDADE",IF($X449&lt;0,"VALOR NEGATIVO",IF(OR(AND(TIPOORCAMENTO="Proposto",$AG449&lt;&gt;"",$AG449&gt;0,ORÇAMENTO.CustoUnitario&gt;$AG449),AND(TIPOORCAMENTO="LICITADO",ORÇAMENTO.PrecoUnitarioLicitado&gt;$AN449)),"ACIMA REF.","")))))</f>
        <v/>
      </c>
      <c r="AD449" t="str">
        <f ca="1">IF(C449&lt;=CRONO.NivelExibicao,MAX($AD$15:OFFSET(AD449,-1,0))+IF($C449&lt;&gt;1,1,MAX(1,COUNTIF(QCI!$A$13:$A$24,OFFSET($E449,-1,0)))),"")</f>
        <v/>
      </c>
      <c r="AE449" s="7" t="str">
        <f ca="1">IF(AND($C449="S",ORÇAMENTO.CodBarra&lt;&gt;""),IF(ORÇAMENTO.Fonte="",ORÇAMENTO.CodBarra,CONCATENATE(ORÇAMENTO.Fonte," ",ORÇAMENTO.CodBarra)))</f>
        <v>Composição 94773</v>
      </c>
      <c r="AF449" s="13" t="str">
        <f ca="1">IF(ISERROR(INDIRECT(ORÇAMENTO.BancoRef)),"(abra o arquivo 'Referência "&amp;Excel_BuiltIn_Database&amp;".xlsm)",IF(OR($C449&lt;&gt;"S",ORÇAMENTO.CodBarra=""),"(Sem Código)",IF(ISERROR(MATCH($AE449,INDIRECT(ORÇAMENTO.BancoRef),0)),"(Código não identificado nas referências)",MATCH($AE449,INDIRECT(ORÇAMENTO.BancoRef),0))))</f>
        <v>(abra o arquivo 'Referência 06-2024.xlsm)</v>
      </c>
      <c r="AG449" s="498">
        <f ca="1">ROUND(IF(DESONERACAO="sim",REFERENCIA.Desonerado,REFERENCIA.NaoDesonerado),2)</f>
        <v>0</v>
      </c>
      <c r="AH449" s="499">
        <f t="shared" ca="1" si="115"/>
        <v>0.2432</v>
      </c>
      <c r="AJ449" s="501"/>
      <c r="AL449" s="527"/>
      <c r="AM449" s="381">
        <f t="shared" ca="1" si="105"/>
        <v>0</v>
      </c>
      <c r="AN449" s="566">
        <f t="shared" ca="1" si="116"/>
        <v>0</v>
      </c>
    </row>
    <row r="450" spans="1:40" ht="38.25" x14ac:dyDescent="0.2">
      <c r="A450" t="str">
        <f t="shared" si="113"/>
        <v>S</v>
      </c>
      <c r="B450">
        <f t="shared" ca="1" si="92"/>
        <v>2</v>
      </c>
      <c r="C450" t="str">
        <f t="shared" ca="1" si="93"/>
        <v>S</v>
      </c>
      <c r="D450">
        <f t="shared" ca="1" si="94"/>
        <v>0</v>
      </c>
      <c r="E450">
        <f ca="1">IF($C450=1,OFFSET(E450,-1,0)+MAX(1,COUNTIF(QCI!$A$13:$A$24,OFFSET(ORÇAMENTO!E450,-1,0))),OFFSET(E450,-1,0))</f>
        <v>1</v>
      </c>
      <c r="F450">
        <f t="shared" ca="1" si="95"/>
        <v>48</v>
      </c>
      <c r="G450">
        <f t="shared" ca="1" si="96"/>
        <v>0</v>
      </c>
      <c r="H450">
        <f t="shared" ca="1" si="97"/>
        <v>0</v>
      </c>
      <c r="I450">
        <f t="shared" ca="1" si="98"/>
        <v>0</v>
      </c>
      <c r="J450">
        <f t="shared" ca="1" si="107"/>
        <v>0</v>
      </c>
      <c r="K450">
        <f ca="1">IF(OR($C450="S",$C450=0),0,MATCH(OFFSET($D450,0,$C450)+IF($C450&lt;&gt;1,1,COUNTIF(QCI!$A$13:$A$24,ORÇAMENTO!E450)),OFFSET($D450,1,$C450,ROW($C$727)-ROW($C450)),0))</f>
        <v>0</v>
      </c>
      <c r="L450" s="116" t="str">
        <f t="shared" ca="1" si="99"/>
        <v/>
      </c>
      <c r="M450" s="117" t="s">
        <v>199</v>
      </c>
      <c r="N450" s="118" t="str">
        <f t="shared" ca="1" si="100"/>
        <v>Serviço</v>
      </c>
      <c r="O450" s="119" t="str">
        <f t="shared" ca="1" si="101"/>
        <v>-</v>
      </c>
      <c r="P450" s="120" t="s">
        <v>247</v>
      </c>
      <c r="Q450" s="121" t="s">
        <v>816</v>
      </c>
      <c r="R450" s="122" t="str">
        <f ca="1">IF($C450="S",REFERENCIA.Descricao,"(digite a descrição aqui)")</f>
        <v>(abra o arquivo 'Referência 06-2024.xlsm)</v>
      </c>
      <c r="S450" s="123" t="str">
        <f ca="1">REFERENCIA.Unidade</f>
        <v>-</v>
      </c>
      <c r="T450" s="124">
        <f ca="1">OFFSET(CÁLCULO!H$15,ROW($T450)-ROW(T$15),0)</f>
        <v>5</v>
      </c>
      <c r="U450" s="125">
        <f t="shared" ca="1" si="108"/>
        <v>0</v>
      </c>
      <c r="V450" s="126" t="s">
        <v>156</v>
      </c>
      <c r="W450" s="124">
        <f ca="1">IF($C450="S",ROUND(IF(TIPOORCAMENTO="Proposto",ORÇAMENTO.CustoUnitario*(1+$AH450),ORÇAMENTO.PrecoUnitarioLicitado),15-13*$AF$10),0)</f>
        <v>0</v>
      </c>
      <c r="X450" s="127">
        <f ca="1">IF($C450="S",IF(Import.TipoArredondamento&lt;&gt;"TransfereGOV",VTOTAL1,SUM(OFFSET(CÁLCULO!$AI$15,ROW($X450)-ROW($X$15),1):OFFSET(CÁLCULO!$BB$15,ROW($X450)-ROW($X$15),-1))),IF($C450=0,0,ROUND(SomaAgrup,15-13*$AF$11)))</f>
        <v>0</v>
      </c>
      <c r="Y450" s="128" t="s">
        <v>245</v>
      </c>
      <c r="Z450" t="str">
        <f t="shared" ca="1" si="102"/>
        <v/>
      </c>
      <c r="AA450" s="129">
        <f ca="1">IF($C450="S",IF($Z450="CP",$X450,IF($Z450="RA",(($X450)*QCI!$AA$3),0)),SomaAgrup)</f>
        <v>0</v>
      </c>
      <c r="AB450" s="130">
        <f t="shared" ca="1" si="114"/>
        <v>0</v>
      </c>
      <c r="AC450" s="131" t="str">
        <f ca="1">IF($N450="","",IF(ORÇAMENTO.Descricao="","DESCRIÇÃO",IF(AND($C450="S",ORÇAMENTO.Unidade=""),"UNIDADE",IF($X450&lt;0,"VALOR NEGATIVO",IF(OR(AND(TIPOORCAMENTO="Proposto",$AG450&lt;&gt;"",$AG450&gt;0,ORÇAMENTO.CustoUnitario&gt;$AG450),AND(TIPOORCAMENTO="LICITADO",ORÇAMENTO.PrecoUnitarioLicitado&gt;$AN450)),"ACIMA REF.","")))))</f>
        <v/>
      </c>
      <c r="AD450" t="str">
        <f ca="1">IF(C450&lt;=CRONO.NivelExibicao,MAX($AD$15:OFFSET(AD450,-1,0))+IF($C450&lt;&gt;1,1,MAX(1,COUNTIF(QCI!$A$13:$A$24,OFFSET($E450,-1,0)))),"")</f>
        <v/>
      </c>
      <c r="AE450" s="7" t="str">
        <f ca="1">IF(AND($C450="S",ORÇAMENTO.CodBarra&lt;&gt;""),IF(ORÇAMENTO.Fonte="",ORÇAMENTO.CodBarra,CONCATENATE(ORÇAMENTO.Fonte," ",ORÇAMENTO.CodBarra)))</f>
        <v>SINAPI 91917</v>
      </c>
      <c r="AF450" s="13" t="str">
        <f ca="1">IF(ISERROR(INDIRECT(ORÇAMENTO.BancoRef)),"(abra o arquivo 'Referência "&amp;Excel_BuiltIn_Database&amp;".xlsm)",IF(OR($C450&lt;&gt;"S",ORÇAMENTO.CodBarra=""),"(Sem Código)",IF(ISERROR(MATCH($AE450,INDIRECT(ORÇAMENTO.BancoRef),0)),"(Código não identificado nas referências)",MATCH($AE450,INDIRECT(ORÇAMENTO.BancoRef),0))))</f>
        <v>(abra o arquivo 'Referência 06-2024.xlsm)</v>
      </c>
      <c r="AG450" s="498">
        <f ca="1">ROUND(IF(DESONERACAO="sim",REFERENCIA.Desonerado,REFERENCIA.NaoDesonerado),2)</f>
        <v>0</v>
      </c>
      <c r="AH450" s="499">
        <f t="shared" ca="1" si="115"/>
        <v>0.2432</v>
      </c>
      <c r="AJ450" s="501"/>
      <c r="AL450" s="527"/>
      <c r="AM450" s="381">
        <f t="shared" ca="1" si="105"/>
        <v>0</v>
      </c>
      <c r="AN450" s="566">
        <f t="shared" ca="1" si="116"/>
        <v>0</v>
      </c>
    </row>
    <row r="451" spans="1:40" ht="25.5" x14ac:dyDescent="0.2">
      <c r="A451" t="str">
        <f t="shared" si="113"/>
        <v>S</v>
      </c>
      <c r="B451">
        <f t="shared" ca="1" si="92"/>
        <v>2</v>
      </c>
      <c r="C451" t="str">
        <f t="shared" ca="1" si="93"/>
        <v>S</v>
      </c>
      <c r="D451">
        <f t="shared" ca="1" si="94"/>
        <v>0</v>
      </c>
      <c r="E451">
        <f ca="1">IF($C451=1,OFFSET(E451,-1,0)+MAX(1,COUNTIF(QCI!$A$13:$A$24,OFFSET(ORÇAMENTO!E451,-1,0))),OFFSET(E451,-1,0))</f>
        <v>1</v>
      </c>
      <c r="F451">
        <f t="shared" ca="1" si="95"/>
        <v>48</v>
      </c>
      <c r="G451">
        <f t="shared" ca="1" si="96"/>
        <v>0</v>
      </c>
      <c r="H451">
        <f t="shared" ca="1" si="97"/>
        <v>0</v>
      </c>
      <c r="I451">
        <f t="shared" ca="1" si="98"/>
        <v>0</v>
      </c>
      <c r="J451">
        <f t="shared" ca="1" si="107"/>
        <v>0</v>
      </c>
      <c r="K451">
        <f ca="1">IF(OR($C451="S",$C451=0),0,MATCH(OFFSET($D451,0,$C451)+IF($C451&lt;&gt;1,1,COUNTIF(QCI!$A$13:$A$24,ORÇAMENTO!E451)),OFFSET($D451,1,$C451,ROW($C$727)-ROW($C451)),0))</f>
        <v>0</v>
      </c>
      <c r="L451" s="116" t="str">
        <f t="shared" ca="1" si="99"/>
        <v/>
      </c>
      <c r="M451" s="117" t="s">
        <v>199</v>
      </c>
      <c r="N451" s="118" t="str">
        <f t="shared" ca="1" si="100"/>
        <v>Serviço</v>
      </c>
      <c r="O451" s="119" t="str">
        <f t="shared" ca="1" si="101"/>
        <v>-</v>
      </c>
      <c r="P451" s="120" t="s">
        <v>247</v>
      </c>
      <c r="Q451" s="121" t="s">
        <v>817</v>
      </c>
      <c r="R451" s="122" t="str">
        <f ca="1">IF($C451="S",REFERENCIA.Descricao,"(digite a descrição aqui)")</f>
        <v>(abra o arquivo 'Referência 06-2024.xlsm)</v>
      </c>
      <c r="S451" s="123" t="str">
        <f ca="1">REFERENCIA.Unidade</f>
        <v>-</v>
      </c>
      <c r="T451" s="124">
        <f ca="1">OFFSET(CÁLCULO!H$15,ROW($T451)-ROW(T$15),0)</f>
        <v>5</v>
      </c>
      <c r="U451" s="125">
        <f t="shared" ca="1" si="108"/>
        <v>0</v>
      </c>
      <c r="V451" s="126" t="s">
        <v>156</v>
      </c>
      <c r="W451" s="124">
        <f ca="1">IF($C451="S",ROUND(IF(TIPOORCAMENTO="Proposto",ORÇAMENTO.CustoUnitario*(1+$AH451),ORÇAMENTO.PrecoUnitarioLicitado),15-13*$AF$10),0)</f>
        <v>0</v>
      </c>
      <c r="X451" s="127">
        <f ca="1">IF($C451="S",IF(Import.TipoArredondamento&lt;&gt;"TransfereGOV",VTOTAL1,SUM(OFFSET(CÁLCULO!$AI$15,ROW($X451)-ROW($X$15),1):OFFSET(CÁLCULO!$BB$15,ROW($X451)-ROW($X$15),-1))),IF($C451=0,0,ROUND(SomaAgrup,15-13*$AF$11)))</f>
        <v>0</v>
      </c>
      <c r="Y451" s="128" t="s">
        <v>245</v>
      </c>
      <c r="Z451" t="str">
        <f t="shared" ca="1" si="102"/>
        <v/>
      </c>
      <c r="AA451" s="129">
        <f ca="1">IF($C451="S",IF($Z451="CP",$X451,IF($Z451="RA",(($X451)*QCI!$AA$3),0)),SomaAgrup)</f>
        <v>0</v>
      </c>
      <c r="AB451" s="130">
        <f t="shared" ca="1" si="114"/>
        <v>0</v>
      </c>
      <c r="AC451" s="131" t="str">
        <f ca="1">IF($N451="","",IF(ORÇAMENTO.Descricao="","DESCRIÇÃO",IF(AND($C451="S",ORÇAMENTO.Unidade=""),"UNIDADE",IF($X451&lt;0,"VALOR NEGATIVO",IF(OR(AND(TIPOORCAMENTO="Proposto",$AG451&lt;&gt;"",$AG451&gt;0,ORÇAMENTO.CustoUnitario&gt;$AG451),AND(TIPOORCAMENTO="LICITADO",ORÇAMENTO.PrecoUnitarioLicitado&gt;$AN451)),"ACIMA REF.","")))))</f>
        <v/>
      </c>
      <c r="AD451" t="str">
        <f ca="1">IF(C451&lt;=CRONO.NivelExibicao,MAX($AD$15:OFFSET(AD451,-1,0))+IF($C451&lt;&gt;1,1,MAX(1,COUNTIF(QCI!$A$13:$A$24,OFFSET($E451,-1,0)))),"")</f>
        <v/>
      </c>
      <c r="AE451" s="7" t="str">
        <f ca="1">IF(AND($C451="S",ORÇAMENTO.CodBarra&lt;&gt;""),IF(ORÇAMENTO.Fonte="",ORÇAMENTO.CodBarra,CONCATENATE(ORÇAMENTO.Fonte," ",ORÇAMENTO.CodBarra)))</f>
        <v>SINAPI 89842</v>
      </c>
      <c r="AF451" s="13" t="str">
        <f ca="1">IF(ISERROR(INDIRECT(ORÇAMENTO.BancoRef)),"(abra o arquivo 'Referência "&amp;Excel_BuiltIn_Database&amp;".xlsm)",IF(OR($C451&lt;&gt;"S",ORÇAMENTO.CodBarra=""),"(Sem Código)",IF(ISERROR(MATCH($AE451,INDIRECT(ORÇAMENTO.BancoRef),0)),"(Código não identificado nas referências)",MATCH($AE451,INDIRECT(ORÇAMENTO.BancoRef),0))))</f>
        <v>(abra o arquivo 'Referência 06-2024.xlsm)</v>
      </c>
      <c r="AG451" s="498">
        <f ca="1">ROUND(IF(DESONERACAO="sim",REFERENCIA.Desonerado,REFERENCIA.NaoDesonerado),2)</f>
        <v>0</v>
      </c>
      <c r="AH451" s="499">
        <f t="shared" ca="1" si="115"/>
        <v>0.2432</v>
      </c>
      <c r="AJ451" s="501"/>
      <c r="AL451" s="527"/>
      <c r="AM451" s="381">
        <f t="shared" ca="1" si="105"/>
        <v>0</v>
      </c>
      <c r="AN451" s="566">
        <f t="shared" ca="1" si="116"/>
        <v>0</v>
      </c>
    </row>
    <row r="452" spans="1:40" x14ac:dyDescent="0.2">
      <c r="A452" t="str">
        <f t="shared" si="113"/>
        <v>S</v>
      </c>
      <c r="B452">
        <f t="shared" ca="1" si="92"/>
        <v>2</v>
      </c>
      <c r="C452" t="str">
        <f t="shared" ca="1" si="93"/>
        <v>S</v>
      </c>
      <c r="D452">
        <f t="shared" ca="1" si="94"/>
        <v>0</v>
      </c>
      <c r="E452">
        <f ca="1">IF($C452=1,OFFSET(E452,-1,0)+MAX(1,COUNTIF(QCI!$A$13:$A$24,OFFSET(ORÇAMENTO!E452,-1,0))),OFFSET(E452,-1,0))</f>
        <v>1</v>
      </c>
      <c r="F452">
        <f t="shared" ca="1" si="95"/>
        <v>48</v>
      </c>
      <c r="G452">
        <f t="shared" ca="1" si="96"/>
        <v>0</v>
      </c>
      <c r="H452">
        <f t="shared" ca="1" si="97"/>
        <v>0</v>
      </c>
      <c r="I452">
        <f t="shared" ca="1" si="98"/>
        <v>0</v>
      </c>
      <c r="J452">
        <f t="shared" ca="1" si="107"/>
        <v>0</v>
      </c>
      <c r="K452">
        <f ca="1">IF(OR($C452="S",$C452=0),0,MATCH(OFFSET($D452,0,$C452)+IF($C452&lt;&gt;1,1,COUNTIF(QCI!$A$13:$A$24,ORÇAMENTO!E452)),OFFSET($D452,1,$C452,ROW($C$727)-ROW($C452)),0))</f>
        <v>0</v>
      </c>
      <c r="L452" s="116" t="str">
        <f t="shared" ca="1" si="99"/>
        <v/>
      </c>
      <c r="M452" s="117" t="s">
        <v>199</v>
      </c>
      <c r="N452" s="118" t="str">
        <f t="shared" ca="1" si="100"/>
        <v>Serviço</v>
      </c>
      <c r="O452" s="119" t="str">
        <f t="shared" ca="1" si="101"/>
        <v>-</v>
      </c>
      <c r="P452" s="120" t="s">
        <v>458</v>
      </c>
      <c r="Q452" s="121" t="s">
        <v>818</v>
      </c>
      <c r="R452" s="122" t="str">
        <f ca="1">IF($C452="S",REFERENCIA.Descricao,"(digite a descrição aqui)")</f>
        <v>(abra o arquivo 'Referência 06-2024.xlsm)</v>
      </c>
      <c r="S452" s="123" t="str">
        <f ca="1">REFERENCIA.Unidade</f>
        <v>-</v>
      </c>
      <c r="T452" s="124">
        <f ca="1">OFFSET(CÁLCULO!H$15,ROW($T452)-ROW(T$15),0)</f>
        <v>5</v>
      </c>
      <c r="U452" s="125">
        <f t="shared" ca="1" si="108"/>
        <v>0</v>
      </c>
      <c r="V452" s="126" t="s">
        <v>156</v>
      </c>
      <c r="W452" s="124">
        <f ca="1">IF($C452="S",ROUND(IF(TIPOORCAMENTO="Proposto",ORÇAMENTO.CustoUnitario*(1+$AH452),ORÇAMENTO.PrecoUnitarioLicitado),15-13*$AF$10),0)</f>
        <v>0</v>
      </c>
      <c r="X452" s="127">
        <f ca="1">IF($C452="S",IF(Import.TipoArredondamento&lt;&gt;"TransfereGOV",VTOTAL1,SUM(OFFSET(CÁLCULO!$AI$15,ROW($X452)-ROW($X$15),1):OFFSET(CÁLCULO!$BB$15,ROW($X452)-ROW($X$15),-1))),IF($C452=0,0,ROUND(SomaAgrup,15-13*$AF$11)))</f>
        <v>0</v>
      </c>
      <c r="Y452" s="128" t="s">
        <v>245</v>
      </c>
      <c r="Z452" t="str">
        <f t="shared" ca="1" si="102"/>
        <v/>
      </c>
      <c r="AA452" s="129">
        <f ca="1">IF($C452="S",IF($Z452="CP",$X452,IF($Z452="RA",(($X452)*QCI!$AA$3),0)),SomaAgrup)</f>
        <v>0</v>
      </c>
      <c r="AB452" s="130">
        <f t="shared" ca="1" si="114"/>
        <v>0</v>
      </c>
      <c r="AC452" s="131" t="str">
        <f ca="1">IF($N452="","",IF(ORÇAMENTO.Descricao="","DESCRIÇÃO",IF(AND($C452="S",ORÇAMENTO.Unidade=""),"UNIDADE",IF($X452&lt;0,"VALOR NEGATIVO",IF(OR(AND(TIPOORCAMENTO="Proposto",$AG452&lt;&gt;"",$AG452&gt;0,ORÇAMENTO.CustoUnitario&gt;$AG452),AND(TIPOORCAMENTO="LICITADO",ORÇAMENTO.PrecoUnitarioLicitado&gt;$AN452)),"ACIMA REF.","")))))</f>
        <v/>
      </c>
      <c r="AD452" t="str">
        <f ca="1">IF(C452&lt;=CRONO.NivelExibicao,MAX($AD$15:OFFSET(AD452,-1,0))+IF($C452&lt;&gt;1,1,MAX(1,COUNTIF(QCI!$A$13:$A$24,OFFSET($E452,-1,0)))),"")</f>
        <v/>
      </c>
      <c r="AE452" s="7" t="str">
        <f ca="1">IF(AND($C452="S",ORÇAMENTO.CodBarra&lt;&gt;""),IF(ORÇAMENTO.Fonte="",ORÇAMENTO.CodBarra,CONCATENATE(ORÇAMENTO.Fonte," ",ORÇAMENTO.CodBarra)))</f>
        <v>COMPOSIÇÃO FNDE 330</v>
      </c>
      <c r="AF452" s="13" t="str">
        <f ca="1">IF(ISERROR(INDIRECT(ORÇAMENTO.BancoRef)),"(abra o arquivo 'Referência "&amp;Excel_BuiltIn_Database&amp;".xlsm)",IF(OR($C452&lt;&gt;"S",ORÇAMENTO.CodBarra=""),"(Sem Código)",IF(ISERROR(MATCH($AE452,INDIRECT(ORÇAMENTO.BancoRef),0)),"(Código não identificado nas referências)",MATCH($AE452,INDIRECT(ORÇAMENTO.BancoRef),0))))</f>
        <v>(abra o arquivo 'Referência 06-2024.xlsm)</v>
      </c>
      <c r="AG452" s="498">
        <f ca="1">ROUND(IF(DESONERACAO="sim",REFERENCIA.Desonerado,REFERENCIA.NaoDesonerado),2)</f>
        <v>0</v>
      </c>
      <c r="AH452" s="499">
        <f t="shared" ca="1" si="115"/>
        <v>0.2432</v>
      </c>
      <c r="AJ452" s="501"/>
      <c r="AL452" s="527"/>
      <c r="AM452" s="381">
        <f t="shared" ca="1" si="105"/>
        <v>0</v>
      </c>
      <c r="AN452" s="566">
        <f t="shared" ca="1" si="116"/>
        <v>0</v>
      </c>
    </row>
    <row r="453" spans="1:40" ht="38.25" x14ac:dyDescent="0.2">
      <c r="A453" t="str">
        <f t="shared" si="113"/>
        <v>S</v>
      </c>
      <c r="B453">
        <f t="shared" ca="1" si="92"/>
        <v>2</v>
      </c>
      <c r="C453" t="str">
        <f t="shared" ca="1" si="93"/>
        <v>S</v>
      </c>
      <c r="D453">
        <f t="shared" ca="1" si="94"/>
        <v>0</v>
      </c>
      <c r="E453">
        <f ca="1">IF($C453=1,OFFSET(E453,-1,0)+MAX(1,COUNTIF(QCI!$A$13:$A$24,OFFSET(ORÇAMENTO!E453,-1,0))),OFFSET(E453,-1,0))</f>
        <v>1</v>
      </c>
      <c r="F453">
        <f t="shared" ca="1" si="95"/>
        <v>48</v>
      </c>
      <c r="G453">
        <f t="shared" ca="1" si="96"/>
        <v>0</v>
      </c>
      <c r="H453">
        <f t="shared" ca="1" si="97"/>
        <v>0</v>
      </c>
      <c r="I453">
        <f t="shared" ca="1" si="98"/>
        <v>0</v>
      </c>
      <c r="J453">
        <f t="shared" ca="1" si="107"/>
        <v>0</v>
      </c>
      <c r="K453">
        <f ca="1">IF(OR($C453="S",$C453=0),0,MATCH(OFFSET($D453,0,$C453)+IF($C453&lt;&gt;1,1,COUNTIF(QCI!$A$13:$A$24,ORÇAMENTO!E453)),OFFSET($D453,1,$C453,ROW($C$727)-ROW($C453)),0))</f>
        <v>0</v>
      </c>
      <c r="L453" s="116" t="str">
        <f t="shared" ca="1" si="99"/>
        <v/>
      </c>
      <c r="M453" s="117" t="s">
        <v>199</v>
      </c>
      <c r="N453" s="118" t="str">
        <f t="shared" ca="1" si="100"/>
        <v>Serviço</v>
      </c>
      <c r="O453" s="119" t="str">
        <f t="shared" ca="1" si="101"/>
        <v>-</v>
      </c>
      <c r="P453" s="120" t="s">
        <v>247</v>
      </c>
      <c r="Q453" s="121" t="s">
        <v>819</v>
      </c>
      <c r="R453" s="122" t="str">
        <f ca="1">IF($C453="S",REFERENCIA.Descricao,"(digite a descrição aqui)")</f>
        <v>(abra o arquivo 'Referência 06-2024.xlsm)</v>
      </c>
      <c r="S453" s="123" t="str">
        <f ca="1">REFERENCIA.Unidade</f>
        <v>-</v>
      </c>
      <c r="T453" s="124">
        <f ca="1">OFFSET(CÁLCULO!H$15,ROW($T453)-ROW(T$15),0)</f>
        <v>1</v>
      </c>
      <c r="U453" s="125">
        <f t="shared" ca="1" si="108"/>
        <v>0</v>
      </c>
      <c r="V453" s="126" t="s">
        <v>156</v>
      </c>
      <c r="W453" s="124">
        <f ca="1">IF($C453="S",ROUND(IF(TIPOORCAMENTO="Proposto",ORÇAMENTO.CustoUnitario*(1+$AH453),ORÇAMENTO.PrecoUnitarioLicitado),15-13*$AF$10),0)</f>
        <v>0</v>
      </c>
      <c r="X453" s="127">
        <f ca="1">IF($C453="S",IF(Import.TipoArredondamento&lt;&gt;"TransfereGOV",VTOTAL1,SUM(OFFSET(CÁLCULO!$AI$15,ROW($X453)-ROW($X$15),1):OFFSET(CÁLCULO!$BB$15,ROW($X453)-ROW($X$15),-1))),IF($C453=0,0,ROUND(SomaAgrup,15-13*$AF$11)))</f>
        <v>0</v>
      </c>
      <c r="Y453" s="128" t="s">
        <v>245</v>
      </c>
      <c r="Z453" t="str">
        <f t="shared" ca="1" si="102"/>
        <v/>
      </c>
      <c r="AA453" s="129">
        <f ca="1">IF($C453="S",IF($Z453="CP",$X453,IF($Z453="RA",(($X453)*QCI!$AA$3),0)),SomaAgrup)</f>
        <v>0</v>
      </c>
      <c r="AB453" s="130">
        <f t="shared" ca="1" si="114"/>
        <v>0</v>
      </c>
      <c r="AC453" s="131" t="str">
        <f ca="1">IF($N453="","",IF(ORÇAMENTO.Descricao="","DESCRIÇÃO",IF(AND($C453="S",ORÇAMENTO.Unidade=""),"UNIDADE",IF($X453&lt;0,"VALOR NEGATIVO",IF(OR(AND(TIPOORCAMENTO="Proposto",$AG453&lt;&gt;"",$AG453&gt;0,ORÇAMENTO.CustoUnitario&gt;$AG453),AND(TIPOORCAMENTO="LICITADO",ORÇAMENTO.PrecoUnitarioLicitado&gt;$AN453)),"ACIMA REF.","")))))</f>
        <v/>
      </c>
      <c r="AD453" t="str">
        <f ca="1">IF(C453&lt;=CRONO.NivelExibicao,MAX($AD$15:OFFSET(AD453,-1,0))+IF($C453&lt;&gt;1,1,MAX(1,COUNTIF(QCI!$A$13:$A$24,OFFSET($E453,-1,0)))),"")</f>
        <v/>
      </c>
      <c r="AE453" s="7" t="str">
        <f ca="1">IF(AND($C453="S",ORÇAMENTO.CodBarra&lt;&gt;""),IF(ORÇAMENTO.Fonte="",ORÇAMENTO.CodBarra,CONCATENATE(ORÇAMENTO.Fonte," ",ORÇAMENTO.CodBarra)))</f>
        <v>SINAPI 97503</v>
      </c>
      <c r="AF453" s="13" t="str">
        <f ca="1">IF(ISERROR(INDIRECT(ORÇAMENTO.BancoRef)),"(abra o arquivo 'Referência "&amp;Excel_BuiltIn_Database&amp;".xlsm)",IF(OR($C453&lt;&gt;"S",ORÇAMENTO.CodBarra=""),"(Sem Código)",IF(ISERROR(MATCH($AE453,INDIRECT(ORÇAMENTO.BancoRef),0)),"(Código não identificado nas referências)",MATCH($AE453,INDIRECT(ORÇAMENTO.BancoRef),0))))</f>
        <v>(abra o arquivo 'Referência 06-2024.xlsm)</v>
      </c>
      <c r="AG453" s="498">
        <f ca="1">ROUND(IF(DESONERACAO="sim",REFERENCIA.Desonerado,REFERENCIA.NaoDesonerado),2)</f>
        <v>0</v>
      </c>
      <c r="AH453" s="499">
        <f t="shared" ca="1" si="115"/>
        <v>0.2432</v>
      </c>
      <c r="AJ453" s="501"/>
      <c r="AL453" s="527"/>
      <c r="AM453" s="381">
        <f t="shared" ca="1" si="105"/>
        <v>0</v>
      </c>
      <c r="AN453" s="566">
        <f t="shared" ca="1" si="116"/>
        <v>0</v>
      </c>
    </row>
    <row r="454" spans="1:40" ht="38.25" x14ac:dyDescent="0.2">
      <c r="A454" t="str">
        <f t="shared" si="113"/>
        <v>S</v>
      </c>
      <c r="B454">
        <f t="shared" ca="1" si="92"/>
        <v>2</v>
      </c>
      <c r="C454" t="str">
        <f t="shared" ca="1" si="93"/>
        <v>S</v>
      </c>
      <c r="D454">
        <f t="shared" ca="1" si="94"/>
        <v>0</v>
      </c>
      <c r="E454">
        <f ca="1">IF($C454=1,OFFSET(E454,-1,0)+MAX(1,COUNTIF(QCI!$A$13:$A$24,OFFSET(ORÇAMENTO!E454,-1,0))),OFFSET(E454,-1,0))</f>
        <v>1</v>
      </c>
      <c r="F454">
        <f t="shared" ca="1" si="95"/>
        <v>48</v>
      </c>
      <c r="G454">
        <f t="shared" ca="1" si="96"/>
        <v>0</v>
      </c>
      <c r="H454">
        <f t="shared" ca="1" si="97"/>
        <v>0</v>
      </c>
      <c r="I454">
        <f t="shared" ca="1" si="98"/>
        <v>0</v>
      </c>
      <c r="J454">
        <f t="shared" ca="1" si="107"/>
        <v>0</v>
      </c>
      <c r="K454">
        <f ca="1">IF(OR($C454="S",$C454=0),0,MATCH(OFFSET($D454,0,$C454)+IF($C454&lt;&gt;1,1,COUNTIF(QCI!$A$13:$A$24,ORÇAMENTO!E454)),OFFSET($D454,1,$C454,ROW($C$727)-ROW($C454)),0))</f>
        <v>0</v>
      </c>
      <c r="L454" s="116" t="str">
        <f t="shared" ca="1" si="99"/>
        <v/>
      </c>
      <c r="M454" s="117" t="s">
        <v>199</v>
      </c>
      <c r="N454" s="118" t="str">
        <f t="shared" ca="1" si="100"/>
        <v>Serviço</v>
      </c>
      <c r="O454" s="119" t="str">
        <f t="shared" ca="1" si="101"/>
        <v>-</v>
      </c>
      <c r="P454" s="120" t="s">
        <v>458</v>
      </c>
      <c r="Q454" s="121" t="s">
        <v>820</v>
      </c>
      <c r="R454" s="122" t="str">
        <f ca="1">IF($C454="S",REFERENCIA.Descricao,"(digite a descrição aqui)")</f>
        <v>(abra o arquivo 'Referência 06-2024.xlsm)</v>
      </c>
      <c r="S454" s="123" t="str">
        <f ca="1">REFERENCIA.Unidade</f>
        <v>-</v>
      </c>
      <c r="T454" s="124">
        <f ca="1">OFFSET(CÁLCULO!H$15,ROW($T454)-ROW(T$15),0)</f>
        <v>2</v>
      </c>
      <c r="U454" s="125">
        <f t="shared" ca="1" si="108"/>
        <v>0</v>
      </c>
      <c r="V454" s="126" t="s">
        <v>156</v>
      </c>
      <c r="W454" s="124">
        <f ca="1">IF($C454="S",ROUND(IF(TIPOORCAMENTO="Proposto",ORÇAMENTO.CustoUnitario*(1+$AH454),ORÇAMENTO.PrecoUnitarioLicitado),15-13*$AF$10),0)</f>
        <v>0</v>
      </c>
      <c r="X454" s="127">
        <f ca="1">IF($C454="S",IF(Import.TipoArredondamento&lt;&gt;"TransfereGOV",VTOTAL1,SUM(OFFSET(CÁLCULO!$AI$15,ROW($X454)-ROW($X$15),1):OFFSET(CÁLCULO!$BB$15,ROW($X454)-ROW($X$15),-1))),IF($C454=0,0,ROUND(SomaAgrup,15-13*$AF$11)))</f>
        <v>0</v>
      </c>
      <c r="Y454" s="128" t="s">
        <v>245</v>
      </c>
      <c r="Z454" t="str">
        <f t="shared" ca="1" si="102"/>
        <v/>
      </c>
      <c r="AA454" s="129">
        <f ca="1">IF($C454="S",IF($Z454="CP",$X454,IF($Z454="RA",(($X454)*QCI!$AA$3),0)),SomaAgrup)</f>
        <v>0</v>
      </c>
      <c r="AB454" s="130">
        <f t="shared" ca="1" si="114"/>
        <v>0</v>
      </c>
      <c r="AC454" s="131" t="str">
        <f ca="1">IF($N454="","",IF(ORÇAMENTO.Descricao="","DESCRIÇÃO",IF(AND($C454="S",ORÇAMENTO.Unidade=""),"UNIDADE",IF($X454&lt;0,"VALOR NEGATIVO",IF(OR(AND(TIPOORCAMENTO="Proposto",$AG454&lt;&gt;"",$AG454&gt;0,ORÇAMENTO.CustoUnitario&gt;$AG454),AND(TIPOORCAMENTO="LICITADO",ORÇAMENTO.PrecoUnitarioLicitado&gt;$AN454)),"ACIMA REF.","")))))</f>
        <v/>
      </c>
      <c r="AD454" t="str">
        <f ca="1">IF(C454&lt;=CRONO.NivelExibicao,MAX($AD$15:OFFSET(AD454,-1,0))+IF($C454&lt;&gt;1,1,MAX(1,COUNTIF(QCI!$A$13:$A$24,OFFSET($E454,-1,0)))),"")</f>
        <v/>
      </c>
      <c r="AE454" s="7" t="str">
        <f ca="1">IF(AND($C454="S",ORÇAMENTO.CodBarra&lt;&gt;""),IF(ORÇAMENTO.Fonte="",ORÇAMENTO.CodBarra,CONCATENATE(ORÇAMENTO.Fonte," ",ORÇAMENTO.CodBarra)))</f>
        <v>COMPOSIÇÃO FNDE 333</v>
      </c>
      <c r="AF454" s="13" t="str">
        <f ca="1">IF(ISERROR(INDIRECT(ORÇAMENTO.BancoRef)),"(abra o arquivo 'Referência "&amp;Excel_BuiltIn_Database&amp;".xlsm)",IF(OR($C454&lt;&gt;"S",ORÇAMENTO.CodBarra=""),"(Sem Código)",IF(ISERROR(MATCH($AE454,INDIRECT(ORÇAMENTO.BancoRef),0)),"(Código não identificado nas referências)",MATCH($AE454,INDIRECT(ORÇAMENTO.BancoRef),0))))</f>
        <v>(abra o arquivo 'Referência 06-2024.xlsm)</v>
      </c>
      <c r="AG454" s="498">
        <f ca="1">ROUND(IF(DESONERACAO="sim",REFERENCIA.Desonerado,REFERENCIA.NaoDesonerado),2)</f>
        <v>0</v>
      </c>
      <c r="AH454" s="499">
        <f t="shared" ca="1" si="115"/>
        <v>0.2432</v>
      </c>
      <c r="AJ454" s="501"/>
      <c r="AL454" s="527"/>
      <c r="AM454" s="381">
        <f t="shared" ca="1" si="105"/>
        <v>0</v>
      </c>
      <c r="AN454" s="566">
        <f t="shared" ca="1" si="116"/>
        <v>0</v>
      </c>
    </row>
    <row r="455" spans="1:40" ht="38.25" x14ac:dyDescent="0.2">
      <c r="A455" t="str">
        <f t="shared" si="113"/>
        <v>S</v>
      </c>
      <c r="B455">
        <f t="shared" ca="1" si="92"/>
        <v>2</v>
      </c>
      <c r="C455" t="str">
        <f t="shared" ca="1" si="93"/>
        <v>S</v>
      </c>
      <c r="D455">
        <f t="shared" ca="1" si="94"/>
        <v>0</v>
      </c>
      <c r="E455">
        <f ca="1">IF($C455=1,OFFSET(E455,-1,0)+MAX(1,COUNTIF(QCI!$A$13:$A$24,OFFSET(ORÇAMENTO!E455,-1,0))),OFFSET(E455,-1,0))</f>
        <v>1</v>
      </c>
      <c r="F455">
        <f t="shared" ca="1" si="95"/>
        <v>48</v>
      </c>
      <c r="G455">
        <f t="shared" ca="1" si="96"/>
        <v>0</v>
      </c>
      <c r="H455">
        <f t="shared" ca="1" si="97"/>
        <v>0</v>
      </c>
      <c r="I455">
        <f t="shared" ca="1" si="98"/>
        <v>0</v>
      </c>
      <c r="J455">
        <f t="shared" ca="1" si="107"/>
        <v>0</v>
      </c>
      <c r="K455">
        <f ca="1">IF(OR($C455="S",$C455=0),0,MATCH(OFFSET($D455,0,$C455)+IF($C455&lt;&gt;1,1,COUNTIF(QCI!$A$13:$A$24,ORÇAMENTO!E455)),OFFSET($D455,1,$C455,ROW($C$727)-ROW($C455)),0))</f>
        <v>0</v>
      </c>
      <c r="L455" s="116" t="str">
        <f t="shared" ca="1" si="99"/>
        <v/>
      </c>
      <c r="M455" s="117" t="s">
        <v>199</v>
      </c>
      <c r="N455" s="118" t="str">
        <f t="shared" ca="1" si="100"/>
        <v>Serviço</v>
      </c>
      <c r="O455" s="119" t="str">
        <f t="shared" ca="1" si="101"/>
        <v>-</v>
      </c>
      <c r="P455" s="120" t="s">
        <v>247</v>
      </c>
      <c r="Q455" s="121" t="s">
        <v>821</v>
      </c>
      <c r="R455" s="122" t="str">
        <f ca="1">IF($C455="S",REFERENCIA.Descricao,"(digite a descrição aqui)")</f>
        <v>(abra o arquivo 'Referência 06-2024.xlsm)</v>
      </c>
      <c r="S455" s="123" t="str">
        <f ca="1">REFERENCIA.Unidade</f>
        <v>-</v>
      </c>
      <c r="T455" s="124">
        <f ca="1">OFFSET(CÁLCULO!H$15,ROW($T455)-ROW(T$15),0)</f>
        <v>1</v>
      </c>
      <c r="U455" s="125">
        <f t="shared" ca="1" si="108"/>
        <v>0</v>
      </c>
      <c r="V455" s="126" t="s">
        <v>156</v>
      </c>
      <c r="W455" s="124">
        <f ca="1">IF($C455="S",ROUND(IF(TIPOORCAMENTO="Proposto",ORÇAMENTO.CustoUnitario*(1+$AH455),ORÇAMENTO.PrecoUnitarioLicitado),15-13*$AF$10),0)</f>
        <v>0</v>
      </c>
      <c r="X455" s="127">
        <f ca="1">IF($C455="S",IF(Import.TipoArredondamento&lt;&gt;"TransfereGOV",VTOTAL1,SUM(OFFSET(CÁLCULO!$AI$15,ROW($X455)-ROW($X$15),1):OFFSET(CÁLCULO!$BB$15,ROW($X455)-ROW($X$15),-1))),IF($C455=0,0,ROUND(SomaAgrup,15-13*$AF$11)))</f>
        <v>0</v>
      </c>
      <c r="Y455" s="128" t="s">
        <v>245</v>
      </c>
      <c r="Z455" t="str">
        <f t="shared" ca="1" si="102"/>
        <v/>
      </c>
      <c r="AA455" s="129">
        <f ca="1">IF($C455="S",IF($Z455="CP",$X455,IF($Z455="RA",(($X455)*QCI!$AA$3),0)),SomaAgrup)</f>
        <v>0</v>
      </c>
      <c r="AB455" s="130">
        <f t="shared" ca="1" si="114"/>
        <v>0</v>
      </c>
      <c r="AC455" s="131" t="str">
        <f ca="1">IF($N455="","",IF(ORÇAMENTO.Descricao="","DESCRIÇÃO",IF(AND($C455="S",ORÇAMENTO.Unidade=""),"UNIDADE",IF($X455&lt;0,"VALOR NEGATIVO",IF(OR(AND(TIPOORCAMENTO="Proposto",$AG455&lt;&gt;"",$AG455&gt;0,ORÇAMENTO.CustoUnitario&gt;$AG455),AND(TIPOORCAMENTO="LICITADO",ORÇAMENTO.PrecoUnitarioLicitado&gt;$AN455)),"ACIMA REF.","")))))</f>
        <v/>
      </c>
      <c r="AD455" t="str">
        <f ca="1">IF(C455&lt;=CRONO.NivelExibicao,MAX($AD$15:OFFSET(AD455,-1,0))+IF($C455&lt;&gt;1,1,MAX(1,COUNTIF(QCI!$A$13:$A$24,OFFSET($E455,-1,0)))),"")</f>
        <v/>
      </c>
      <c r="AE455" s="7" t="str">
        <f ca="1">IF(AND($C455="S",ORÇAMENTO.CodBarra&lt;&gt;""),IF(ORÇAMENTO.Fonte="",ORÇAMENTO.CodBarra,CONCATENATE(ORÇAMENTO.Fonte," ",ORÇAMENTO.CodBarra)))</f>
        <v>SINAPI 97447</v>
      </c>
      <c r="AF455" s="13" t="str">
        <f ca="1">IF(ISERROR(INDIRECT(ORÇAMENTO.BancoRef)),"(abra o arquivo 'Referência "&amp;Excel_BuiltIn_Database&amp;".xlsm)",IF(OR($C455&lt;&gt;"S",ORÇAMENTO.CodBarra=""),"(Sem Código)",IF(ISERROR(MATCH($AE455,INDIRECT(ORÇAMENTO.BancoRef),0)),"(Código não identificado nas referências)",MATCH($AE455,INDIRECT(ORÇAMENTO.BancoRef),0))))</f>
        <v>(abra o arquivo 'Referência 06-2024.xlsm)</v>
      </c>
      <c r="AG455" s="498">
        <f ca="1">ROUND(IF(DESONERACAO="sim",REFERENCIA.Desonerado,REFERENCIA.NaoDesonerado),2)</f>
        <v>0</v>
      </c>
      <c r="AH455" s="499">
        <f t="shared" ca="1" si="115"/>
        <v>0.2432</v>
      </c>
      <c r="AJ455" s="501"/>
      <c r="AL455" s="527"/>
      <c r="AM455" s="381">
        <f t="shared" ca="1" si="105"/>
        <v>0</v>
      </c>
      <c r="AN455" s="566">
        <f t="shared" ca="1" si="116"/>
        <v>0</v>
      </c>
    </row>
    <row r="456" spans="1:40" ht="25.5" x14ac:dyDescent="0.2">
      <c r="A456" t="str">
        <f t="shared" si="113"/>
        <v>S</v>
      </c>
      <c r="B456">
        <f t="shared" ca="1" si="92"/>
        <v>2</v>
      </c>
      <c r="C456" t="str">
        <f t="shared" ca="1" si="93"/>
        <v>S</v>
      </c>
      <c r="D456">
        <f t="shared" ca="1" si="94"/>
        <v>0</v>
      </c>
      <c r="E456">
        <f ca="1">IF($C456=1,OFFSET(E456,-1,0)+MAX(1,COUNTIF(QCI!$A$13:$A$24,OFFSET(ORÇAMENTO!E456,-1,0))),OFFSET(E456,-1,0))</f>
        <v>1</v>
      </c>
      <c r="F456">
        <f t="shared" ca="1" si="95"/>
        <v>48</v>
      </c>
      <c r="G456">
        <f t="shared" ca="1" si="96"/>
        <v>0</v>
      </c>
      <c r="H456">
        <f t="shared" ca="1" si="97"/>
        <v>0</v>
      </c>
      <c r="I456">
        <f t="shared" ca="1" si="98"/>
        <v>0</v>
      </c>
      <c r="J456">
        <f t="shared" ca="1" si="107"/>
        <v>0</v>
      </c>
      <c r="K456">
        <f ca="1">IF(OR($C456="S",$C456=0),0,MATCH(OFFSET($D456,0,$C456)+IF($C456&lt;&gt;1,1,COUNTIF(QCI!$A$13:$A$24,ORÇAMENTO!E456)),OFFSET($D456,1,$C456,ROW($C$727)-ROW($C456)),0))</f>
        <v>0</v>
      </c>
      <c r="L456" s="116" t="str">
        <f t="shared" ca="1" si="99"/>
        <v/>
      </c>
      <c r="M456" s="117" t="s">
        <v>199</v>
      </c>
      <c r="N456" s="118" t="str">
        <f t="shared" ca="1" si="100"/>
        <v>Serviço</v>
      </c>
      <c r="O456" s="119" t="str">
        <f t="shared" ca="1" si="101"/>
        <v>-</v>
      </c>
      <c r="P456" s="120" t="s">
        <v>458</v>
      </c>
      <c r="Q456" s="121" t="s">
        <v>822</v>
      </c>
      <c r="R456" s="122" t="str">
        <f ca="1">IF($C456="S",REFERENCIA.Descricao,"(digite a descrição aqui)")</f>
        <v>(abra o arquivo 'Referência 06-2024.xlsm)</v>
      </c>
      <c r="S456" s="123" t="str">
        <f ca="1">REFERENCIA.Unidade</f>
        <v>-</v>
      </c>
      <c r="T456" s="124">
        <f ca="1">OFFSET(CÁLCULO!H$15,ROW($T456)-ROW(T$15),0)</f>
        <v>1</v>
      </c>
      <c r="U456" s="125">
        <f t="shared" ca="1" si="108"/>
        <v>0</v>
      </c>
      <c r="V456" s="126" t="s">
        <v>156</v>
      </c>
      <c r="W456" s="124">
        <f ca="1">IF($C456="S",ROUND(IF(TIPOORCAMENTO="Proposto",ORÇAMENTO.CustoUnitario*(1+$AH456),ORÇAMENTO.PrecoUnitarioLicitado),15-13*$AF$10),0)</f>
        <v>0</v>
      </c>
      <c r="X456" s="127">
        <f ca="1">IF($C456="S",IF(Import.TipoArredondamento&lt;&gt;"TransfereGOV",VTOTAL1,SUM(OFFSET(CÁLCULO!$AI$15,ROW($X456)-ROW($X$15),1):OFFSET(CÁLCULO!$BB$15,ROW($X456)-ROW($X$15),-1))),IF($C456=0,0,ROUND(SomaAgrup,15-13*$AF$11)))</f>
        <v>0</v>
      </c>
      <c r="Y456" s="128" t="s">
        <v>245</v>
      </c>
      <c r="Z456" t="str">
        <f t="shared" ca="1" si="102"/>
        <v/>
      </c>
      <c r="AA456" s="129">
        <f ca="1">IF($C456="S",IF($Z456="CP",$X456,IF($Z456="RA",(($X456)*QCI!$AA$3),0)),SomaAgrup)</f>
        <v>0</v>
      </c>
      <c r="AB456" s="130">
        <f t="shared" ca="1" si="114"/>
        <v>0</v>
      </c>
      <c r="AC456" s="131" t="str">
        <f ca="1">IF($N456="","",IF(ORÇAMENTO.Descricao="","DESCRIÇÃO",IF(AND($C456="S",ORÇAMENTO.Unidade=""),"UNIDADE",IF($X456&lt;0,"VALOR NEGATIVO",IF(OR(AND(TIPOORCAMENTO="Proposto",$AG456&lt;&gt;"",$AG456&gt;0,ORÇAMENTO.CustoUnitario&gt;$AG456),AND(TIPOORCAMENTO="LICITADO",ORÇAMENTO.PrecoUnitarioLicitado&gt;$AN456)),"ACIMA REF.","")))))</f>
        <v/>
      </c>
      <c r="AD456" t="str">
        <f ca="1">IF(C456&lt;=CRONO.NivelExibicao,MAX($AD$15:OFFSET(AD456,-1,0))+IF($C456&lt;&gt;1,1,MAX(1,COUNTIF(QCI!$A$13:$A$24,OFFSET($E456,-1,0)))),"")</f>
        <v/>
      </c>
      <c r="AE456" s="7" t="str">
        <f ca="1">IF(AND($C456="S",ORÇAMENTO.CodBarra&lt;&gt;""),IF(ORÇAMENTO.Fonte="",ORÇAMENTO.CodBarra,CONCATENATE(ORÇAMENTO.Fonte," ",ORÇAMENTO.CodBarra)))</f>
        <v>COMPOSIÇÃO FNDE 331</v>
      </c>
      <c r="AF456" s="13" t="str">
        <f ca="1">IF(ISERROR(INDIRECT(ORÇAMENTO.BancoRef)),"(abra o arquivo 'Referência "&amp;Excel_BuiltIn_Database&amp;".xlsm)",IF(OR($C456&lt;&gt;"S",ORÇAMENTO.CodBarra=""),"(Sem Código)",IF(ISERROR(MATCH($AE456,INDIRECT(ORÇAMENTO.BancoRef),0)),"(Código não identificado nas referências)",MATCH($AE456,INDIRECT(ORÇAMENTO.BancoRef),0))))</f>
        <v>(abra o arquivo 'Referência 06-2024.xlsm)</v>
      </c>
      <c r="AG456" s="498">
        <f ca="1">ROUND(IF(DESONERACAO="sim",REFERENCIA.Desonerado,REFERENCIA.NaoDesonerado),2)</f>
        <v>0</v>
      </c>
      <c r="AH456" s="499">
        <f t="shared" ca="1" si="115"/>
        <v>0.2432</v>
      </c>
      <c r="AJ456" s="501"/>
      <c r="AL456" s="527"/>
      <c r="AM456" s="381">
        <f t="shared" ca="1" si="105"/>
        <v>0</v>
      </c>
      <c r="AN456" s="566">
        <f t="shared" ca="1" si="116"/>
        <v>0</v>
      </c>
    </row>
    <row r="457" spans="1:40" ht="38.25" x14ac:dyDescent="0.2">
      <c r="A457" t="str">
        <f t="shared" si="113"/>
        <v>S</v>
      </c>
      <c r="B457">
        <f t="shared" ca="1" si="92"/>
        <v>2</v>
      </c>
      <c r="C457" t="str">
        <f t="shared" ca="1" si="93"/>
        <v>S</v>
      </c>
      <c r="D457">
        <f t="shared" ca="1" si="94"/>
        <v>0</v>
      </c>
      <c r="E457">
        <f ca="1">IF($C457=1,OFFSET(E457,-1,0)+MAX(1,COUNTIF(QCI!$A$13:$A$24,OFFSET(ORÇAMENTO!E457,-1,0))),OFFSET(E457,-1,0))</f>
        <v>1</v>
      </c>
      <c r="F457">
        <f t="shared" ca="1" si="95"/>
        <v>48</v>
      </c>
      <c r="G457">
        <f t="shared" ca="1" si="96"/>
        <v>0</v>
      </c>
      <c r="H457">
        <f t="shared" ca="1" si="97"/>
        <v>0</v>
      </c>
      <c r="I457">
        <f t="shared" ca="1" si="98"/>
        <v>0</v>
      </c>
      <c r="J457">
        <f t="shared" ca="1" si="107"/>
        <v>0</v>
      </c>
      <c r="K457">
        <f ca="1">IF(OR($C457="S",$C457=0),0,MATCH(OFFSET($D457,0,$C457)+IF($C457&lt;&gt;1,1,COUNTIF(QCI!$A$13:$A$24,ORÇAMENTO!E457)),OFFSET($D457,1,$C457,ROW($C$727)-ROW($C457)),0))</f>
        <v>0</v>
      </c>
      <c r="L457" s="116" t="str">
        <f t="shared" ca="1" si="99"/>
        <v/>
      </c>
      <c r="M457" s="117" t="s">
        <v>199</v>
      </c>
      <c r="N457" s="118" t="str">
        <f t="shared" ca="1" si="100"/>
        <v>Serviço</v>
      </c>
      <c r="O457" s="119" t="str">
        <f t="shared" ca="1" si="101"/>
        <v>-</v>
      </c>
      <c r="P457" s="120" t="s">
        <v>458</v>
      </c>
      <c r="Q457" s="121" t="s">
        <v>823</v>
      </c>
      <c r="R457" s="122" t="str">
        <f ca="1">IF($C457="S",REFERENCIA.Descricao,"(digite a descrição aqui)")</f>
        <v>(abra o arquivo 'Referência 06-2024.xlsm)</v>
      </c>
      <c r="S457" s="123" t="str">
        <f ca="1">REFERENCIA.Unidade</f>
        <v>-</v>
      </c>
      <c r="T457" s="124">
        <f ca="1">OFFSET(CÁLCULO!H$15,ROW($T457)-ROW(T$15),0)</f>
        <v>2</v>
      </c>
      <c r="U457" s="125">
        <f t="shared" ca="1" si="108"/>
        <v>0</v>
      </c>
      <c r="V457" s="126" t="s">
        <v>156</v>
      </c>
      <c r="W457" s="124">
        <f ca="1">IF($C457="S",ROUND(IF(TIPOORCAMENTO="Proposto",ORÇAMENTO.CustoUnitario*(1+$AH457),ORÇAMENTO.PrecoUnitarioLicitado),15-13*$AF$10),0)</f>
        <v>0</v>
      </c>
      <c r="X457" s="127">
        <f ca="1">IF($C457="S",IF(Import.TipoArredondamento&lt;&gt;"TransfereGOV",VTOTAL1,SUM(OFFSET(CÁLCULO!$AI$15,ROW($X457)-ROW($X$15),1):OFFSET(CÁLCULO!$BB$15,ROW($X457)-ROW($X$15),-1))),IF($C457=0,0,ROUND(SomaAgrup,15-13*$AF$11)))</f>
        <v>0</v>
      </c>
      <c r="Y457" s="128" t="s">
        <v>245</v>
      </c>
      <c r="Z457" t="str">
        <f t="shared" ca="1" si="102"/>
        <v/>
      </c>
      <c r="AA457" s="129">
        <f ca="1">IF($C457="S",IF($Z457="CP",$X457,IF($Z457="RA",(($X457)*QCI!$AA$3),0)),SomaAgrup)</f>
        <v>0</v>
      </c>
      <c r="AB457" s="130">
        <f t="shared" ca="1" si="114"/>
        <v>0</v>
      </c>
      <c r="AC457" s="131" t="str">
        <f ca="1">IF($N457="","",IF(ORÇAMENTO.Descricao="","DESCRIÇÃO",IF(AND($C457="S",ORÇAMENTO.Unidade=""),"UNIDADE",IF($X457&lt;0,"VALOR NEGATIVO",IF(OR(AND(TIPOORCAMENTO="Proposto",$AG457&lt;&gt;"",$AG457&gt;0,ORÇAMENTO.CustoUnitario&gt;$AG457),AND(TIPOORCAMENTO="LICITADO",ORÇAMENTO.PrecoUnitarioLicitado&gt;$AN457)),"ACIMA REF.","")))))</f>
        <v/>
      </c>
      <c r="AD457" t="str">
        <f ca="1">IF(C457&lt;=CRONO.NivelExibicao,MAX($AD$15:OFFSET(AD457,-1,0))+IF($C457&lt;&gt;1,1,MAX(1,COUNTIF(QCI!$A$13:$A$24,OFFSET($E457,-1,0)))),"")</f>
        <v/>
      </c>
      <c r="AE457" s="7" t="str">
        <f ca="1">IF(AND($C457="S",ORÇAMENTO.CodBarra&lt;&gt;""),IF(ORÇAMENTO.Fonte="",ORÇAMENTO.CodBarra,CONCATENATE(ORÇAMENTO.Fonte," ",ORÇAMENTO.CodBarra)))</f>
        <v>COMPOSIÇÃO FNDE 334</v>
      </c>
      <c r="AF457" s="13" t="str">
        <f ca="1">IF(ISERROR(INDIRECT(ORÇAMENTO.BancoRef)),"(abra o arquivo 'Referência "&amp;Excel_BuiltIn_Database&amp;".xlsm)",IF(OR($C457&lt;&gt;"S",ORÇAMENTO.CodBarra=""),"(Sem Código)",IF(ISERROR(MATCH($AE457,INDIRECT(ORÇAMENTO.BancoRef),0)),"(Código não identificado nas referências)",MATCH($AE457,INDIRECT(ORÇAMENTO.BancoRef),0))))</f>
        <v>(abra o arquivo 'Referência 06-2024.xlsm)</v>
      </c>
      <c r="AG457" s="498">
        <f ca="1">ROUND(IF(DESONERACAO="sim",REFERENCIA.Desonerado,REFERENCIA.NaoDesonerado),2)</f>
        <v>0</v>
      </c>
      <c r="AH457" s="499">
        <f t="shared" ca="1" si="115"/>
        <v>0.2432</v>
      </c>
      <c r="AJ457" s="501"/>
      <c r="AL457" s="527"/>
      <c r="AM457" s="381">
        <f t="shared" ca="1" si="105"/>
        <v>0</v>
      </c>
      <c r="AN457" s="566">
        <f t="shared" ca="1" si="116"/>
        <v>0</v>
      </c>
    </row>
    <row r="458" spans="1:40" ht="25.5" x14ac:dyDescent="0.2">
      <c r="A458" t="str">
        <f t="shared" si="56"/>
        <v>S</v>
      </c>
      <c r="B458">
        <f t="shared" ca="1" si="57"/>
        <v>2</v>
      </c>
      <c r="C458" t="str">
        <f t="shared" ca="1" si="58"/>
        <v>S</v>
      </c>
      <c r="D458">
        <f t="shared" ca="1" si="59"/>
        <v>0</v>
      </c>
      <c r="E458">
        <f ca="1">IF($C458=1,OFFSET(E458,-1,0)+MAX(1,COUNTIF(QCI!$A$13:$A$24,OFFSET(ORÇAMENTO!E458,-1,0))),OFFSET(E458,-1,0))</f>
        <v>1</v>
      </c>
      <c r="F458">
        <f t="shared" ca="1" si="60"/>
        <v>48</v>
      </c>
      <c r="G458">
        <f t="shared" ca="1" si="61"/>
        <v>0</v>
      </c>
      <c r="H458">
        <f t="shared" ca="1" si="62"/>
        <v>0</v>
      </c>
      <c r="I458">
        <f t="shared" ca="1" si="63"/>
        <v>0</v>
      </c>
      <c r="J458">
        <f t="shared" ca="1" si="107"/>
        <v>0</v>
      </c>
      <c r="K458">
        <f ca="1">IF(OR($C458="S",$C458=0),0,MATCH(OFFSET($D458,0,$C458)+IF($C458&lt;&gt;1,1,COUNTIF(QCI!$A$13:$A$24,ORÇAMENTO!E458)),OFFSET($D458,1,$C458,ROW($C$727)-ROW($C458)),0))</f>
        <v>0</v>
      </c>
      <c r="L458" s="116" t="str">
        <f t="shared" ca="1" si="64"/>
        <v/>
      </c>
      <c r="M458" s="117" t="s">
        <v>199</v>
      </c>
      <c r="N458" s="118" t="str">
        <f t="shared" ca="1" si="65"/>
        <v>Serviço</v>
      </c>
      <c r="O458" s="119" t="str">
        <f t="shared" ca="1" si="66"/>
        <v>-</v>
      </c>
      <c r="P458" s="120" t="s">
        <v>458</v>
      </c>
      <c r="Q458" s="121" t="s">
        <v>824</v>
      </c>
      <c r="R458" s="122" t="str">
        <f ca="1">IF($C458="S",REFERENCIA.Descricao,"(digite a descrição aqui)")</f>
        <v>(abra o arquivo 'Referência 06-2024.xlsm)</v>
      </c>
      <c r="S458" s="123" t="str">
        <f ca="1">REFERENCIA.Unidade</f>
        <v>-</v>
      </c>
      <c r="T458" s="124">
        <f ca="1">OFFSET(CÁLCULO!H$15,ROW($T458)-ROW(T$15),0)</f>
        <v>1</v>
      </c>
      <c r="U458" s="125">
        <f t="shared" ca="1" si="108"/>
        <v>0</v>
      </c>
      <c r="V458" s="126" t="s">
        <v>156</v>
      </c>
      <c r="W458" s="124">
        <f ca="1">IF($C458="S",ROUND(IF(TIPOORCAMENTO="Proposto",ORÇAMENTO.CustoUnitario*(1+$AH458),ORÇAMENTO.PrecoUnitarioLicitado),15-13*$AF$10),0)</f>
        <v>0</v>
      </c>
      <c r="X458" s="127">
        <f ca="1">IF($C458="S",IF(Import.TipoArredondamento&lt;&gt;"TransfereGOV",VTOTAL1,SUM(OFFSET(CÁLCULO!$AI$15,ROW($X458)-ROW($X$15),1):OFFSET(CÁLCULO!$BB$15,ROW($X458)-ROW($X$15),-1))),IF($C458=0,0,ROUND(SomaAgrup,15-13*$AF$11)))</f>
        <v>0</v>
      </c>
      <c r="Y458" s="128" t="s">
        <v>245</v>
      </c>
      <c r="Z458" t="str">
        <f t="shared" ca="1" si="67"/>
        <v/>
      </c>
      <c r="AA458" s="129">
        <f ca="1">IF($C458="S",IF($Z458="CP",$X458,IF($Z458="RA",(($X458)*QCI!$AA$3),0)),SomaAgrup)</f>
        <v>0</v>
      </c>
      <c r="AB458" s="130">
        <f t="shared" ca="1" si="68"/>
        <v>0</v>
      </c>
      <c r="AC458" s="131" t="str">
        <f ca="1">IF($N458="","",IF(ORÇAMENTO.Descricao="","DESCRIÇÃO",IF(AND($C458="S",ORÇAMENTO.Unidade=""),"UNIDADE",IF($X458&lt;0,"VALOR NEGATIVO",IF(OR(AND(TIPOORCAMENTO="Proposto",$AG458&lt;&gt;"",$AG458&gt;0,ORÇAMENTO.CustoUnitario&gt;$AG458),AND(TIPOORCAMENTO="LICITADO",ORÇAMENTO.PrecoUnitarioLicitado&gt;$AN458)),"ACIMA REF.","")))))</f>
        <v/>
      </c>
      <c r="AD458" t="str">
        <f ca="1">IF(C458&lt;=CRONO.NivelExibicao,MAX($AD$15:OFFSET(AD458,-1,0))+IF($C458&lt;&gt;1,1,MAX(1,COUNTIF(QCI!$A$13:$A$24,OFFSET($E458,-1,0)))),"")</f>
        <v/>
      </c>
      <c r="AE458" s="7" t="str">
        <f ca="1">IF(AND($C458="S",ORÇAMENTO.CodBarra&lt;&gt;""),IF(ORÇAMENTO.Fonte="",ORÇAMENTO.CodBarra,CONCATENATE(ORÇAMENTO.Fonte," ",ORÇAMENTO.CodBarra)))</f>
        <v>COMPOSIÇÃO FNDE 335</v>
      </c>
      <c r="AF458" s="13" t="str">
        <f ca="1">IF(ISERROR(INDIRECT(ORÇAMENTO.BancoRef)),"(abra o arquivo 'Referência "&amp;Excel_BuiltIn_Database&amp;".xlsm)",IF(OR($C458&lt;&gt;"S",ORÇAMENTO.CodBarra=""),"(Sem Código)",IF(ISERROR(MATCH($AE458,INDIRECT(ORÇAMENTO.BancoRef),0)),"(Código não identificado nas referências)",MATCH($AE458,INDIRECT(ORÇAMENTO.BancoRef),0))))</f>
        <v>(abra o arquivo 'Referência 06-2024.xlsm)</v>
      </c>
      <c r="AG458" s="498">
        <f ca="1">ROUND(IF(DESONERACAO="sim",REFERENCIA.Desonerado,REFERENCIA.NaoDesonerado),2)</f>
        <v>0</v>
      </c>
      <c r="AH458" s="499">
        <f t="shared" ca="1" si="69"/>
        <v>0.2432</v>
      </c>
      <c r="AJ458" s="501"/>
      <c r="AL458" s="527"/>
      <c r="AM458" s="381">
        <f t="shared" ca="1" si="70"/>
        <v>0</v>
      </c>
      <c r="AN458" s="566">
        <f t="shared" ca="1" si="71"/>
        <v>0</v>
      </c>
    </row>
    <row r="459" spans="1:40" ht="25.5" x14ac:dyDescent="0.2">
      <c r="A459" t="str">
        <f t="shared" si="56"/>
        <v>S</v>
      </c>
      <c r="B459">
        <f t="shared" ca="1" si="57"/>
        <v>2</v>
      </c>
      <c r="C459" t="str">
        <f t="shared" ca="1" si="58"/>
        <v>S</v>
      </c>
      <c r="D459">
        <f t="shared" ca="1" si="59"/>
        <v>0</v>
      </c>
      <c r="E459">
        <f ca="1">IF($C459=1,OFFSET(E459,-1,0)+MAX(1,COUNTIF(QCI!$A$13:$A$24,OFFSET(ORÇAMENTO!E459,-1,0))),OFFSET(E459,-1,0))</f>
        <v>1</v>
      </c>
      <c r="F459">
        <f t="shared" ca="1" si="60"/>
        <v>48</v>
      </c>
      <c r="G459">
        <f t="shared" ca="1" si="61"/>
        <v>0</v>
      </c>
      <c r="H459">
        <f t="shared" ca="1" si="62"/>
        <v>0</v>
      </c>
      <c r="I459">
        <f t="shared" ca="1" si="63"/>
        <v>0</v>
      </c>
      <c r="J459">
        <f t="shared" ca="1" si="107"/>
        <v>0</v>
      </c>
      <c r="K459">
        <f ca="1">IF(OR($C459="S",$C459=0),0,MATCH(OFFSET($D459,0,$C459)+IF($C459&lt;&gt;1,1,COUNTIF(QCI!$A$13:$A$24,ORÇAMENTO!E459)),OFFSET($D459,1,$C459,ROW($C$727)-ROW($C459)),0))</f>
        <v>0</v>
      </c>
      <c r="L459" s="116" t="str">
        <f t="shared" ca="1" si="64"/>
        <v/>
      </c>
      <c r="M459" s="117" t="s">
        <v>199</v>
      </c>
      <c r="N459" s="118" t="str">
        <f t="shared" ca="1" si="65"/>
        <v>Serviço</v>
      </c>
      <c r="O459" s="119" t="str">
        <f t="shared" ca="1" si="66"/>
        <v>-</v>
      </c>
      <c r="P459" s="120" t="s">
        <v>458</v>
      </c>
      <c r="Q459" s="121" t="s">
        <v>825</v>
      </c>
      <c r="R459" s="122" t="str">
        <f ca="1">IF($C459="S",REFERENCIA.Descricao,"(digite a descrição aqui)")</f>
        <v>(abra o arquivo 'Referência 06-2024.xlsm)</v>
      </c>
      <c r="S459" s="123" t="str">
        <f ca="1">REFERENCIA.Unidade</f>
        <v>-</v>
      </c>
      <c r="T459" s="124">
        <f ca="1">OFFSET(CÁLCULO!H$15,ROW($T459)-ROW(T$15),0)</f>
        <v>2</v>
      </c>
      <c r="U459" s="125">
        <f t="shared" ref="U459:U515" ca="1" si="117">AG459</f>
        <v>0</v>
      </c>
      <c r="V459" s="126" t="s">
        <v>156</v>
      </c>
      <c r="W459" s="124">
        <f ca="1">IF($C459="S",ROUND(IF(TIPOORCAMENTO="Proposto",ORÇAMENTO.CustoUnitario*(1+$AH459),ORÇAMENTO.PrecoUnitarioLicitado),15-13*$AF$10),0)</f>
        <v>0</v>
      </c>
      <c r="X459" s="127">
        <f ca="1">IF($C459="S",IF(Import.TipoArredondamento&lt;&gt;"TransfereGOV",VTOTAL1,SUM(OFFSET(CÁLCULO!$AI$15,ROW($X459)-ROW($X$15),1):OFFSET(CÁLCULO!$BB$15,ROW($X459)-ROW($X$15),-1))),IF($C459=0,0,ROUND(SomaAgrup,15-13*$AF$11)))</f>
        <v>0</v>
      </c>
      <c r="Y459" s="128" t="s">
        <v>245</v>
      </c>
      <c r="Z459" t="str">
        <f t="shared" ca="1" si="67"/>
        <v/>
      </c>
      <c r="AA459" s="129">
        <f ca="1">IF($C459="S",IF($Z459="CP",$X459,IF($Z459="RA",(($X459)*QCI!$AA$3),0)),SomaAgrup)</f>
        <v>0</v>
      </c>
      <c r="AB459" s="130">
        <f t="shared" ca="1" si="68"/>
        <v>0</v>
      </c>
      <c r="AC459" s="131" t="str">
        <f ca="1">IF($N459="","",IF(ORÇAMENTO.Descricao="","DESCRIÇÃO",IF(AND($C459="S",ORÇAMENTO.Unidade=""),"UNIDADE",IF($X459&lt;0,"VALOR NEGATIVO",IF(OR(AND(TIPOORCAMENTO="Proposto",$AG459&lt;&gt;"",$AG459&gt;0,ORÇAMENTO.CustoUnitario&gt;$AG459),AND(TIPOORCAMENTO="LICITADO",ORÇAMENTO.PrecoUnitarioLicitado&gt;$AN459)),"ACIMA REF.","")))))</f>
        <v/>
      </c>
      <c r="AD459" t="str">
        <f ca="1">IF(C459&lt;=CRONO.NivelExibicao,MAX($AD$15:OFFSET(AD459,-1,0))+IF($C459&lt;&gt;1,1,MAX(1,COUNTIF(QCI!$A$13:$A$24,OFFSET($E459,-1,0)))),"")</f>
        <v/>
      </c>
      <c r="AE459" s="7" t="str">
        <f ca="1">IF(AND($C459="S",ORÇAMENTO.CodBarra&lt;&gt;""),IF(ORÇAMENTO.Fonte="",ORÇAMENTO.CodBarra,CONCATENATE(ORÇAMENTO.Fonte," ",ORÇAMENTO.CodBarra)))</f>
        <v>COMPOSIÇÃO FNDE 336</v>
      </c>
      <c r="AF459" s="13" t="str">
        <f ca="1">IF(ISERROR(INDIRECT(ORÇAMENTO.BancoRef)),"(abra o arquivo 'Referência "&amp;Excel_BuiltIn_Database&amp;".xlsm)",IF(OR($C459&lt;&gt;"S",ORÇAMENTO.CodBarra=""),"(Sem Código)",IF(ISERROR(MATCH($AE459,INDIRECT(ORÇAMENTO.BancoRef),0)),"(Código não identificado nas referências)",MATCH($AE459,INDIRECT(ORÇAMENTO.BancoRef),0))))</f>
        <v>(abra o arquivo 'Referência 06-2024.xlsm)</v>
      </c>
      <c r="AG459" s="498">
        <f ca="1">ROUND(IF(DESONERACAO="sim",REFERENCIA.Desonerado,REFERENCIA.NaoDesonerado),2)</f>
        <v>0</v>
      </c>
      <c r="AH459" s="499">
        <f t="shared" ca="1" si="69"/>
        <v>0.2432</v>
      </c>
      <c r="AJ459" s="501"/>
      <c r="AL459" s="527"/>
      <c r="AM459" s="381">
        <f t="shared" ca="1" si="70"/>
        <v>0</v>
      </c>
      <c r="AN459" s="566">
        <f t="shared" ca="1" si="71"/>
        <v>0</v>
      </c>
    </row>
    <row r="460" spans="1:40" ht="38.25" x14ac:dyDescent="0.2">
      <c r="A460" t="str">
        <f t="shared" si="56"/>
        <v>S</v>
      </c>
      <c r="B460">
        <f t="shared" ca="1" si="57"/>
        <v>2</v>
      </c>
      <c r="C460" t="str">
        <f t="shared" ca="1" si="58"/>
        <v>S</v>
      </c>
      <c r="D460">
        <f t="shared" ca="1" si="59"/>
        <v>0</v>
      </c>
      <c r="E460">
        <f ca="1">IF($C460=1,OFFSET(E460,-1,0)+MAX(1,COUNTIF(QCI!$A$13:$A$24,OFFSET(ORÇAMENTO!E460,-1,0))),OFFSET(E460,-1,0))</f>
        <v>1</v>
      </c>
      <c r="F460">
        <f t="shared" ca="1" si="60"/>
        <v>48</v>
      </c>
      <c r="G460">
        <f t="shared" ca="1" si="61"/>
        <v>0</v>
      </c>
      <c r="H460">
        <f t="shared" ca="1" si="62"/>
        <v>0</v>
      </c>
      <c r="I460">
        <f t="shared" ca="1" si="63"/>
        <v>0</v>
      </c>
      <c r="J460">
        <f t="shared" ca="1" si="107"/>
        <v>0</v>
      </c>
      <c r="K460">
        <f ca="1">IF(OR($C460="S",$C460=0),0,MATCH(OFFSET($D460,0,$C460)+IF($C460&lt;&gt;1,1,COUNTIF(QCI!$A$13:$A$24,ORÇAMENTO!E460)),OFFSET($D460,1,$C460,ROW($C$727)-ROW($C460)),0))</f>
        <v>0</v>
      </c>
      <c r="L460" s="116" t="str">
        <f t="shared" ca="1" si="64"/>
        <v/>
      </c>
      <c r="M460" s="117" t="s">
        <v>199</v>
      </c>
      <c r="N460" s="118" t="str">
        <f t="shared" ca="1" si="65"/>
        <v>Serviço</v>
      </c>
      <c r="O460" s="119" t="str">
        <f t="shared" ca="1" si="66"/>
        <v>-</v>
      </c>
      <c r="P460" s="120" t="s">
        <v>247</v>
      </c>
      <c r="Q460" s="121" t="s">
        <v>826</v>
      </c>
      <c r="R460" s="122" t="str">
        <f ca="1">IF($C460="S",REFERENCIA.Descricao,"(digite a descrição aqui)")</f>
        <v>(abra o arquivo 'Referência 06-2024.xlsm)</v>
      </c>
      <c r="S460" s="123" t="str">
        <f ca="1">REFERENCIA.Unidade</f>
        <v>-</v>
      </c>
      <c r="T460" s="124">
        <f ca="1">OFFSET(CÁLCULO!H$15,ROW($T460)-ROW(T$15),0)</f>
        <v>2</v>
      </c>
      <c r="U460" s="125">
        <f t="shared" ca="1" si="117"/>
        <v>0</v>
      </c>
      <c r="V460" s="126" t="s">
        <v>156</v>
      </c>
      <c r="W460" s="124">
        <f ca="1">IF($C460="S",ROUND(IF(TIPOORCAMENTO="Proposto",ORÇAMENTO.CustoUnitario*(1+$AH460),ORÇAMENTO.PrecoUnitarioLicitado),15-13*$AF$10),0)</f>
        <v>0</v>
      </c>
      <c r="X460" s="127">
        <f ca="1">IF($C460="S",IF(Import.TipoArredondamento&lt;&gt;"TransfereGOV",VTOTAL1,SUM(OFFSET(CÁLCULO!$AI$15,ROW($X460)-ROW($X$15),1):OFFSET(CÁLCULO!$BB$15,ROW($X460)-ROW($X$15),-1))),IF($C460=0,0,ROUND(SomaAgrup,15-13*$AF$11)))</f>
        <v>0</v>
      </c>
      <c r="Y460" s="128" t="s">
        <v>245</v>
      </c>
      <c r="Z460" t="str">
        <f t="shared" ca="1" si="67"/>
        <v/>
      </c>
      <c r="AA460" s="129">
        <f ca="1">IF($C460="S",IF($Z460="CP",$X460,IF($Z460="RA",(($X460)*QCI!$AA$3),0)),SomaAgrup)</f>
        <v>0</v>
      </c>
      <c r="AB460" s="130">
        <f t="shared" ca="1" si="68"/>
        <v>0</v>
      </c>
      <c r="AC460" s="131" t="str">
        <f ca="1">IF($N460="","",IF(ORÇAMENTO.Descricao="","DESCRIÇÃO",IF(AND($C460="S",ORÇAMENTO.Unidade=""),"UNIDADE",IF($X460&lt;0,"VALOR NEGATIVO",IF(OR(AND(TIPOORCAMENTO="Proposto",$AG460&lt;&gt;"",$AG460&gt;0,ORÇAMENTO.CustoUnitario&gt;$AG460),AND(TIPOORCAMENTO="LICITADO",ORÇAMENTO.PrecoUnitarioLicitado&gt;$AN460)),"ACIMA REF.","")))))</f>
        <v/>
      </c>
      <c r="AD460" t="str">
        <f ca="1">IF(C460&lt;=CRONO.NivelExibicao,MAX($AD$15:OFFSET(AD460,-1,0))+IF($C460&lt;&gt;1,1,MAX(1,COUNTIF(QCI!$A$13:$A$24,OFFSET($E460,-1,0)))),"")</f>
        <v/>
      </c>
      <c r="AE460" s="7" t="str">
        <f ca="1">IF(AND($C460="S",ORÇAMENTO.CodBarra&lt;&gt;""),IF(ORÇAMENTO.Fonte="",ORÇAMENTO.CodBarra,CONCATENATE(ORÇAMENTO.Fonte," ",ORÇAMENTO.CodBarra)))</f>
        <v>SINAPI 97450</v>
      </c>
      <c r="AF460" s="13" t="str">
        <f ca="1">IF(ISERROR(INDIRECT(ORÇAMENTO.BancoRef)),"(abra o arquivo 'Referência "&amp;Excel_BuiltIn_Database&amp;".xlsm)",IF(OR($C460&lt;&gt;"S",ORÇAMENTO.CodBarra=""),"(Sem Código)",IF(ISERROR(MATCH($AE460,INDIRECT(ORÇAMENTO.BancoRef),0)),"(Código não identificado nas referências)",MATCH($AE460,INDIRECT(ORÇAMENTO.BancoRef),0))))</f>
        <v>(abra o arquivo 'Referência 06-2024.xlsm)</v>
      </c>
      <c r="AG460" s="498">
        <f ca="1">ROUND(IF(DESONERACAO="sim",REFERENCIA.Desonerado,REFERENCIA.NaoDesonerado),2)</f>
        <v>0</v>
      </c>
      <c r="AH460" s="499">
        <f t="shared" ca="1" si="69"/>
        <v>0.2432</v>
      </c>
      <c r="AJ460" s="501"/>
      <c r="AL460" s="527"/>
      <c r="AM460" s="381">
        <f t="shared" ca="1" si="70"/>
        <v>0</v>
      </c>
      <c r="AN460" s="566">
        <f t="shared" ca="1" si="71"/>
        <v>0</v>
      </c>
    </row>
    <row r="461" spans="1:40" ht="25.5" x14ac:dyDescent="0.2">
      <c r="A461" t="str">
        <f t="shared" si="56"/>
        <v>S</v>
      </c>
      <c r="B461">
        <f t="shared" ca="1" si="57"/>
        <v>2</v>
      </c>
      <c r="C461" t="str">
        <f t="shared" ca="1" si="58"/>
        <v>S</v>
      </c>
      <c r="D461">
        <f t="shared" ca="1" si="59"/>
        <v>0</v>
      </c>
      <c r="E461">
        <f ca="1">IF($C461=1,OFFSET(E461,-1,0)+MAX(1,COUNTIF(QCI!$A$13:$A$24,OFFSET(ORÇAMENTO!E461,-1,0))),OFFSET(E461,-1,0))</f>
        <v>1</v>
      </c>
      <c r="F461">
        <f t="shared" ca="1" si="60"/>
        <v>48</v>
      </c>
      <c r="G461">
        <f t="shared" ca="1" si="61"/>
        <v>0</v>
      </c>
      <c r="H461">
        <f t="shared" ca="1" si="62"/>
        <v>0</v>
      </c>
      <c r="I461">
        <f t="shared" ca="1" si="63"/>
        <v>0</v>
      </c>
      <c r="J461">
        <f t="shared" ca="1" si="107"/>
        <v>0</v>
      </c>
      <c r="K461">
        <f ca="1">IF(OR($C461="S",$C461=0),0,MATCH(OFFSET($D461,0,$C461)+IF($C461&lt;&gt;1,1,COUNTIF(QCI!$A$13:$A$24,ORÇAMENTO!E461)),OFFSET($D461,1,$C461,ROW($C$727)-ROW($C461)),0))</f>
        <v>0</v>
      </c>
      <c r="L461" s="116" t="str">
        <f t="shared" ca="1" si="64"/>
        <v/>
      </c>
      <c r="M461" s="117" t="s">
        <v>199</v>
      </c>
      <c r="N461" s="118" t="str">
        <f t="shared" ca="1" si="65"/>
        <v>Serviço</v>
      </c>
      <c r="O461" s="119" t="str">
        <f t="shared" ca="1" si="66"/>
        <v>-</v>
      </c>
      <c r="P461" s="120" t="s">
        <v>458</v>
      </c>
      <c r="Q461" s="121" t="s">
        <v>827</v>
      </c>
      <c r="R461" s="122" t="str">
        <f ca="1">IF($C461="S",REFERENCIA.Descricao,"(digite a descrição aqui)")</f>
        <v>(abra o arquivo 'Referência 06-2024.xlsm)</v>
      </c>
      <c r="S461" s="123" t="str">
        <f ca="1">REFERENCIA.Unidade</f>
        <v>-</v>
      </c>
      <c r="T461" s="124">
        <f ca="1">OFFSET(CÁLCULO!H$15,ROW($T461)-ROW(T$15),0)</f>
        <v>1</v>
      </c>
      <c r="U461" s="125">
        <f t="shared" ca="1" si="117"/>
        <v>0</v>
      </c>
      <c r="V461" s="126" t="s">
        <v>156</v>
      </c>
      <c r="W461" s="124">
        <f ca="1">IF($C461="S",ROUND(IF(TIPOORCAMENTO="Proposto",ORÇAMENTO.CustoUnitario*(1+$AH461),ORÇAMENTO.PrecoUnitarioLicitado),15-13*$AF$10),0)</f>
        <v>0</v>
      </c>
      <c r="X461" s="127">
        <f ca="1">IF($C461="S",IF(Import.TipoArredondamento&lt;&gt;"TransfereGOV",VTOTAL1,SUM(OFFSET(CÁLCULO!$AI$15,ROW($X461)-ROW($X$15),1):OFFSET(CÁLCULO!$BB$15,ROW($X461)-ROW($X$15),-1))),IF($C461=0,0,ROUND(SomaAgrup,15-13*$AF$11)))</f>
        <v>0</v>
      </c>
      <c r="Y461" s="128" t="s">
        <v>245</v>
      </c>
      <c r="Z461" t="str">
        <f t="shared" ca="1" si="67"/>
        <v/>
      </c>
      <c r="AA461" s="129">
        <f ca="1">IF($C461="S",IF($Z461="CP",$X461,IF($Z461="RA",(($X461)*QCI!$AA$3),0)),SomaAgrup)</f>
        <v>0</v>
      </c>
      <c r="AB461" s="130">
        <f t="shared" ca="1" si="68"/>
        <v>0</v>
      </c>
      <c r="AC461" s="131" t="str">
        <f ca="1">IF($N461="","",IF(ORÇAMENTO.Descricao="","DESCRIÇÃO",IF(AND($C461="S",ORÇAMENTO.Unidade=""),"UNIDADE",IF($X461&lt;0,"VALOR NEGATIVO",IF(OR(AND(TIPOORCAMENTO="Proposto",$AG461&lt;&gt;"",$AG461&gt;0,ORÇAMENTO.CustoUnitario&gt;$AG461),AND(TIPOORCAMENTO="LICITADO",ORÇAMENTO.PrecoUnitarioLicitado&gt;$AN461)),"ACIMA REF.","")))))</f>
        <v/>
      </c>
      <c r="AD461" t="str">
        <f ca="1">IF(C461&lt;=CRONO.NivelExibicao,MAX($AD$15:OFFSET(AD461,-1,0))+IF($C461&lt;&gt;1,1,MAX(1,COUNTIF(QCI!$A$13:$A$24,OFFSET($E461,-1,0)))),"")</f>
        <v/>
      </c>
      <c r="AE461" s="7" t="str">
        <f ca="1">IF(AND($C461="S",ORÇAMENTO.CodBarra&lt;&gt;""),IF(ORÇAMENTO.Fonte="",ORÇAMENTO.CodBarra,CONCATENATE(ORÇAMENTO.Fonte," ",ORÇAMENTO.CodBarra)))</f>
        <v>COMPOSIÇÃO FNDE 337</v>
      </c>
      <c r="AF461" s="13" t="str">
        <f ca="1">IF(ISERROR(INDIRECT(ORÇAMENTO.BancoRef)),"(abra o arquivo 'Referência "&amp;Excel_BuiltIn_Database&amp;".xlsm)",IF(OR($C461&lt;&gt;"S",ORÇAMENTO.CodBarra=""),"(Sem Código)",IF(ISERROR(MATCH($AE461,INDIRECT(ORÇAMENTO.BancoRef),0)),"(Código não identificado nas referências)",MATCH($AE461,INDIRECT(ORÇAMENTO.BancoRef),0))))</f>
        <v>(abra o arquivo 'Referência 06-2024.xlsm)</v>
      </c>
      <c r="AG461" s="498">
        <f ca="1">ROUND(IF(DESONERACAO="sim",REFERENCIA.Desonerado,REFERENCIA.NaoDesonerado),2)</f>
        <v>0</v>
      </c>
      <c r="AH461" s="499">
        <f t="shared" ca="1" si="69"/>
        <v>0.2432</v>
      </c>
      <c r="AJ461" s="501"/>
      <c r="AL461" s="527"/>
      <c r="AM461" s="381">
        <f t="shared" ca="1" si="70"/>
        <v>0</v>
      </c>
      <c r="AN461" s="566">
        <f t="shared" ca="1" si="71"/>
        <v>0</v>
      </c>
    </row>
    <row r="462" spans="1:40" ht="25.5" x14ac:dyDescent="0.2">
      <c r="A462" t="str">
        <f t="shared" si="56"/>
        <v>S</v>
      </c>
      <c r="B462">
        <f t="shared" ca="1" si="57"/>
        <v>2</v>
      </c>
      <c r="C462" t="str">
        <f t="shared" ca="1" si="58"/>
        <v>S</v>
      </c>
      <c r="D462">
        <f t="shared" ca="1" si="59"/>
        <v>0</v>
      </c>
      <c r="E462">
        <f ca="1">IF($C462=1,OFFSET(E462,-1,0)+MAX(1,COUNTIF(QCI!$A$13:$A$24,OFFSET(ORÇAMENTO!E462,-1,0))),OFFSET(E462,-1,0))</f>
        <v>1</v>
      </c>
      <c r="F462">
        <f t="shared" ca="1" si="60"/>
        <v>48</v>
      </c>
      <c r="G462">
        <f t="shared" ca="1" si="61"/>
        <v>0</v>
      </c>
      <c r="H462">
        <f t="shared" ca="1" si="62"/>
        <v>0</v>
      </c>
      <c r="I462">
        <f t="shared" ca="1" si="63"/>
        <v>0</v>
      </c>
      <c r="J462">
        <f t="shared" ca="1" si="107"/>
        <v>0</v>
      </c>
      <c r="K462">
        <f ca="1">IF(OR($C462="S",$C462=0),0,MATCH(OFFSET($D462,0,$C462)+IF($C462&lt;&gt;1,1,COUNTIF(QCI!$A$13:$A$24,ORÇAMENTO!E462)),OFFSET($D462,1,$C462,ROW($C$727)-ROW($C462)),0))</f>
        <v>0</v>
      </c>
      <c r="L462" s="116" t="str">
        <f t="shared" ca="1" si="64"/>
        <v/>
      </c>
      <c r="M462" s="117" t="s">
        <v>199</v>
      </c>
      <c r="N462" s="118" t="str">
        <f t="shared" ca="1" si="65"/>
        <v>Serviço</v>
      </c>
      <c r="O462" s="119" t="str">
        <f t="shared" ca="1" si="66"/>
        <v>-</v>
      </c>
      <c r="P462" s="120" t="s">
        <v>458</v>
      </c>
      <c r="Q462" s="121" t="s">
        <v>828</v>
      </c>
      <c r="R462" s="122" t="str">
        <f ca="1">IF($C462="S",REFERENCIA.Descricao,"(digite a descrição aqui)")</f>
        <v>(abra o arquivo 'Referência 06-2024.xlsm)</v>
      </c>
      <c r="S462" s="123" t="str">
        <f ca="1">REFERENCIA.Unidade</f>
        <v>-</v>
      </c>
      <c r="T462" s="124">
        <f ca="1">OFFSET(CÁLCULO!H$15,ROW($T462)-ROW(T$15),0)</f>
        <v>1</v>
      </c>
      <c r="U462" s="125">
        <f t="shared" ca="1" si="117"/>
        <v>0</v>
      </c>
      <c r="V462" s="126" t="s">
        <v>156</v>
      </c>
      <c r="W462" s="124">
        <f ca="1">IF($C462="S",ROUND(IF(TIPOORCAMENTO="Proposto",ORÇAMENTO.CustoUnitario*(1+$AH462),ORÇAMENTO.PrecoUnitarioLicitado),15-13*$AF$10),0)</f>
        <v>0</v>
      </c>
      <c r="X462" s="127">
        <f ca="1">IF($C462="S",IF(Import.TipoArredondamento&lt;&gt;"TransfereGOV",VTOTAL1,SUM(OFFSET(CÁLCULO!$AI$15,ROW($X462)-ROW($X$15),1):OFFSET(CÁLCULO!$BB$15,ROW($X462)-ROW($X$15),-1))),IF($C462=0,0,ROUND(SomaAgrup,15-13*$AF$11)))</f>
        <v>0</v>
      </c>
      <c r="Y462" s="128" t="s">
        <v>245</v>
      </c>
      <c r="Z462" t="str">
        <f t="shared" ca="1" si="67"/>
        <v/>
      </c>
      <c r="AA462" s="129">
        <f ca="1">IF($C462="S",IF($Z462="CP",$X462,IF($Z462="RA",(($X462)*QCI!$AA$3),0)),SomaAgrup)</f>
        <v>0</v>
      </c>
      <c r="AB462" s="130">
        <f t="shared" ca="1" si="68"/>
        <v>0</v>
      </c>
      <c r="AC462" s="131" t="str">
        <f ca="1">IF($N462="","",IF(ORÇAMENTO.Descricao="","DESCRIÇÃO",IF(AND($C462="S",ORÇAMENTO.Unidade=""),"UNIDADE",IF($X462&lt;0,"VALOR NEGATIVO",IF(OR(AND(TIPOORCAMENTO="Proposto",$AG462&lt;&gt;"",$AG462&gt;0,ORÇAMENTO.CustoUnitario&gt;$AG462),AND(TIPOORCAMENTO="LICITADO",ORÇAMENTO.PrecoUnitarioLicitado&gt;$AN462)),"ACIMA REF.","")))))</f>
        <v/>
      </c>
      <c r="AD462" t="str">
        <f ca="1">IF(C462&lt;=CRONO.NivelExibicao,MAX($AD$15:OFFSET(AD462,-1,0))+IF($C462&lt;&gt;1,1,MAX(1,COUNTIF(QCI!$A$13:$A$24,OFFSET($E462,-1,0)))),"")</f>
        <v/>
      </c>
      <c r="AE462" s="7" t="str">
        <f ca="1">IF(AND($C462="S",ORÇAMENTO.CodBarra&lt;&gt;""),IF(ORÇAMENTO.Fonte="",ORÇAMENTO.CodBarra,CONCATENATE(ORÇAMENTO.Fonte," ",ORÇAMENTO.CodBarra)))</f>
        <v>COMPOSIÇÃO FNDE 338</v>
      </c>
      <c r="AF462" s="13" t="str">
        <f ca="1">IF(ISERROR(INDIRECT(ORÇAMENTO.BancoRef)),"(abra o arquivo 'Referência "&amp;Excel_BuiltIn_Database&amp;".xlsm)",IF(OR($C462&lt;&gt;"S",ORÇAMENTO.CodBarra=""),"(Sem Código)",IF(ISERROR(MATCH($AE462,INDIRECT(ORÇAMENTO.BancoRef),0)),"(Código não identificado nas referências)",MATCH($AE462,INDIRECT(ORÇAMENTO.BancoRef),0))))</f>
        <v>(abra o arquivo 'Referência 06-2024.xlsm)</v>
      </c>
      <c r="AG462" s="498">
        <f ca="1">ROUND(IF(DESONERACAO="sim",REFERENCIA.Desonerado,REFERENCIA.NaoDesonerado),2)</f>
        <v>0</v>
      </c>
      <c r="AH462" s="499">
        <f t="shared" ca="1" si="69"/>
        <v>0.2432</v>
      </c>
      <c r="AJ462" s="501"/>
      <c r="AL462" s="527"/>
      <c r="AM462" s="381">
        <f t="shared" ca="1" si="70"/>
        <v>0</v>
      </c>
      <c r="AN462" s="566">
        <f t="shared" ca="1" si="71"/>
        <v>0</v>
      </c>
    </row>
    <row r="463" spans="1:40" ht="25.5" x14ac:dyDescent="0.2">
      <c r="A463" t="str">
        <f t="shared" si="56"/>
        <v>S</v>
      </c>
      <c r="B463">
        <f t="shared" ca="1" si="57"/>
        <v>2</v>
      </c>
      <c r="C463" t="str">
        <f t="shared" ca="1" si="58"/>
        <v>S</v>
      </c>
      <c r="D463">
        <f t="shared" ca="1" si="59"/>
        <v>0</v>
      </c>
      <c r="E463">
        <f ca="1">IF($C463=1,OFFSET(E463,-1,0)+MAX(1,COUNTIF(QCI!$A$13:$A$24,OFFSET(ORÇAMENTO!E463,-1,0))),OFFSET(E463,-1,0))</f>
        <v>1</v>
      </c>
      <c r="F463">
        <f t="shared" ca="1" si="60"/>
        <v>48</v>
      </c>
      <c r="G463">
        <f t="shared" ca="1" si="61"/>
        <v>0</v>
      </c>
      <c r="H463">
        <f t="shared" ca="1" si="62"/>
        <v>0</v>
      </c>
      <c r="I463">
        <f t="shared" ca="1" si="63"/>
        <v>0</v>
      </c>
      <c r="J463">
        <f t="shared" ca="1" si="107"/>
        <v>0</v>
      </c>
      <c r="K463">
        <f ca="1">IF(OR($C463="S",$C463=0),0,MATCH(OFFSET($D463,0,$C463)+IF($C463&lt;&gt;1,1,COUNTIF(QCI!$A$13:$A$24,ORÇAMENTO!E463)),OFFSET($D463,1,$C463,ROW($C$727)-ROW($C463)),0))</f>
        <v>0</v>
      </c>
      <c r="L463" s="116" t="str">
        <f t="shared" ca="1" si="64"/>
        <v/>
      </c>
      <c r="M463" s="117" t="s">
        <v>199</v>
      </c>
      <c r="N463" s="118" t="str">
        <f t="shared" ca="1" si="65"/>
        <v>Serviço</v>
      </c>
      <c r="O463" s="119" t="str">
        <f t="shared" ca="1" si="66"/>
        <v>-</v>
      </c>
      <c r="P463" s="120" t="s">
        <v>458</v>
      </c>
      <c r="Q463" s="121" t="s">
        <v>829</v>
      </c>
      <c r="R463" s="122" t="str">
        <f ca="1">IF($C463="S",REFERENCIA.Descricao,"(digite a descrição aqui)")</f>
        <v>(abra o arquivo 'Referência 06-2024.xlsm)</v>
      </c>
      <c r="S463" s="123" t="str">
        <f ca="1">REFERENCIA.Unidade</f>
        <v>-</v>
      </c>
      <c r="T463" s="124">
        <f ca="1">OFFSET(CÁLCULO!H$15,ROW($T463)-ROW(T$15),0)</f>
        <v>2</v>
      </c>
      <c r="U463" s="125">
        <f t="shared" ca="1" si="117"/>
        <v>0</v>
      </c>
      <c r="V463" s="126" t="s">
        <v>156</v>
      </c>
      <c r="W463" s="124">
        <f ca="1">IF($C463="S",ROUND(IF(TIPOORCAMENTO="Proposto",ORÇAMENTO.CustoUnitario*(1+$AH463),ORÇAMENTO.PrecoUnitarioLicitado),15-13*$AF$10),0)</f>
        <v>0</v>
      </c>
      <c r="X463" s="127">
        <f ca="1">IF($C463="S",IF(Import.TipoArredondamento&lt;&gt;"TransfereGOV",VTOTAL1,SUM(OFFSET(CÁLCULO!$AI$15,ROW($X463)-ROW($X$15),1):OFFSET(CÁLCULO!$BB$15,ROW($X463)-ROW($X$15),-1))),IF($C463=0,0,ROUND(SomaAgrup,15-13*$AF$11)))</f>
        <v>0</v>
      </c>
      <c r="Y463" s="128" t="s">
        <v>245</v>
      </c>
      <c r="Z463" t="str">
        <f t="shared" ca="1" si="67"/>
        <v/>
      </c>
      <c r="AA463" s="129">
        <f ca="1">IF($C463="S",IF($Z463="CP",$X463,IF($Z463="RA",(($X463)*QCI!$AA$3),0)),SomaAgrup)</f>
        <v>0</v>
      </c>
      <c r="AB463" s="130">
        <f t="shared" ca="1" si="68"/>
        <v>0</v>
      </c>
      <c r="AC463" s="131" t="str">
        <f ca="1">IF($N463="","",IF(ORÇAMENTO.Descricao="","DESCRIÇÃO",IF(AND($C463="S",ORÇAMENTO.Unidade=""),"UNIDADE",IF($X463&lt;0,"VALOR NEGATIVO",IF(OR(AND(TIPOORCAMENTO="Proposto",$AG463&lt;&gt;"",$AG463&gt;0,ORÇAMENTO.CustoUnitario&gt;$AG463),AND(TIPOORCAMENTO="LICITADO",ORÇAMENTO.PrecoUnitarioLicitado&gt;$AN463)),"ACIMA REF.","")))))</f>
        <v/>
      </c>
      <c r="AD463" t="str">
        <f ca="1">IF(C463&lt;=CRONO.NivelExibicao,MAX($AD$15:OFFSET(AD463,-1,0))+IF($C463&lt;&gt;1,1,MAX(1,COUNTIF(QCI!$A$13:$A$24,OFFSET($E463,-1,0)))),"")</f>
        <v/>
      </c>
      <c r="AE463" s="7" t="str">
        <f ca="1">IF(AND($C463="S",ORÇAMENTO.CodBarra&lt;&gt;""),IF(ORÇAMENTO.Fonte="",ORÇAMENTO.CodBarra,CONCATENATE(ORÇAMENTO.Fonte," ",ORÇAMENTO.CodBarra)))</f>
        <v>COMPOSIÇÃO FNDE 339</v>
      </c>
      <c r="AF463" s="13" t="str">
        <f ca="1">IF(ISERROR(INDIRECT(ORÇAMENTO.BancoRef)),"(abra o arquivo 'Referência "&amp;Excel_BuiltIn_Database&amp;".xlsm)",IF(OR($C463&lt;&gt;"S",ORÇAMENTO.CodBarra=""),"(Sem Código)",IF(ISERROR(MATCH($AE463,INDIRECT(ORÇAMENTO.BancoRef),0)),"(Código não identificado nas referências)",MATCH($AE463,INDIRECT(ORÇAMENTO.BancoRef),0))))</f>
        <v>(abra o arquivo 'Referência 06-2024.xlsm)</v>
      </c>
      <c r="AG463" s="498">
        <f ca="1">ROUND(IF(DESONERACAO="sim",REFERENCIA.Desonerado,REFERENCIA.NaoDesonerado),2)</f>
        <v>0</v>
      </c>
      <c r="AH463" s="499">
        <f t="shared" ca="1" si="69"/>
        <v>0.2432</v>
      </c>
      <c r="AJ463" s="501"/>
      <c r="AL463" s="527"/>
      <c r="AM463" s="381">
        <f t="shared" ca="1" si="70"/>
        <v>0</v>
      </c>
      <c r="AN463" s="566">
        <f t="shared" ca="1" si="71"/>
        <v>0</v>
      </c>
    </row>
    <row r="464" spans="1:40" ht="25.5" x14ac:dyDescent="0.2">
      <c r="A464" t="str">
        <f t="shared" si="56"/>
        <v>S</v>
      </c>
      <c r="B464">
        <f t="shared" ca="1" si="57"/>
        <v>2</v>
      </c>
      <c r="C464" t="str">
        <f t="shared" ca="1" si="58"/>
        <v>S</v>
      </c>
      <c r="D464">
        <f t="shared" ca="1" si="59"/>
        <v>0</v>
      </c>
      <c r="E464">
        <f ca="1">IF($C464=1,OFFSET(E464,-1,0)+MAX(1,COUNTIF(QCI!$A$13:$A$24,OFFSET(ORÇAMENTO!E464,-1,0))),OFFSET(E464,-1,0))</f>
        <v>1</v>
      </c>
      <c r="F464">
        <f t="shared" ca="1" si="60"/>
        <v>48</v>
      </c>
      <c r="G464">
        <f t="shared" ca="1" si="61"/>
        <v>0</v>
      </c>
      <c r="H464">
        <f t="shared" ca="1" si="62"/>
        <v>0</v>
      </c>
      <c r="I464">
        <f t="shared" ca="1" si="63"/>
        <v>0</v>
      </c>
      <c r="J464">
        <f t="shared" ref="J464:J527" ca="1" si="118">IF(OR($C464="S",$C464=0),0,MATCH(0,OFFSET($D464,1,$C464,ROW($C$727)-ROW($C464)),0))</f>
        <v>0</v>
      </c>
      <c r="K464">
        <f ca="1">IF(OR($C464="S",$C464=0),0,MATCH(OFFSET($D464,0,$C464)+IF($C464&lt;&gt;1,1,COUNTIF(QCI!$A$13:$A$24,ORÇAMENTO!E464)),OFFSET($D464,1,$C464,ROW($C$727)-ROW($C464)),0))</f>
        <v>0</v>
      </c>
      <c r="L464" s="116" t="str">
        <f t="shared" ca="1" si="64"/>
        <v/>
      </c>
      <c r="M464" s="117" t="s">
        <v>199</v>
      </c>
      <c r="N464" s="118" t="str">
        <f t="shared" ca="1" si="65"/>
        <v>Serviço</v>
      </c>
      <c r="O464" s="119" t="str">
        <f t="shared" ca="1" si="66"/>
        <v>-</v>
      </c>
      <c r="P464" s="120" t="s">
        <v>458</v>
      </c>
      <c r="Q464" s="121" t="s">
        <v>830</v>
      </c>
      <c r="R464" s="122" t="str">
        <f ca="1">IF($C464="S",REFERENCIA.Descricao,"(digite a descrição aqui)")</f>
        <v>(abra o arquivo 'Referência 06-2024.xlsm)</v>
      </c>
      <c r="S464" s="123" t="str">
        <f ca="1">REFERENCIA.Unidade</f>
        <v>-</v>
      </c>
      <c r="T464" s="124">
        <f ca="1">OFFSET(CÁLCULO!H$15,ROW($T464)-ROW(T$15),0)</f>
        <v>1</v>
      </c>
      <c r="U464" s="125">
        <f t="shared" ca="1" si="117"/>
        <v>0</v>
      </c>
      <c r="V464" s="126" t="s">
        <v>156</v>
      </c>
      <c r="W464" s="124">
        <f ca="1">IF($C464="S",ROUND(IF(TIPOORCAMENTO="Proposto",ORÇAMENTO.CustoUnitario*(1+$AH464),ORÇAMENTO.PrecoUnitarioLicitado),15-13*$AF$10),0)</f>
        <v>0</v>
      </c>
      <c r="X464" s="127">
        <f ca="1">IF($C464="S",IF(Import.TipoArredondamento&lt;&gt;"TransfereGOV",VTOTAL1,SUM(OFFSET(CÁLCULO!$AI$15,ROW($X464)-ROW($X$15),1):OFFSET(CÁLCULO!$BB$15,ROW($X464)-ROW($X$15),-1))),IF($C464=0,0,ROUND(SomaAgrup,15-13*$AF$11)))</f>
        <v>0</v>
      </c>
      <c r="Y464" s="128" t="s">
        <v>245</v>
      </c>
      <c r="Z464" t="str">
        <f t="shared" ca="1" si="67"/>
        <v/>
      </c>
      <c r="AA464" s="129">
        <f ca="1">IF($C464="S",IF($Z464="CP",$X464,IF($Z464="RA",(($X464)*QCI!$AA$3),0)),SomaAgrup)</f>
        <v>0</v>
      </c>
      <c r="AB464" s="130">
        <f t="shared" ca="1" si="68"/>
        <v>0</v>
      </c>
      <c r="AC464" s="131" t="str">
        <f ca="1">IF($N464="","",IF(ORÇAMENTO.Descricao="","DESCRIÇÃO",IF(AND($C464="S",ORÇAMENTO.Unidade=""),"UNIDADE",IF($X464&lt;0,"VALOR NEGATIVO",IF(OR(AND(TIPOORCAMENTO="Proposto",$AG464&lt;&gt;"",$AG464&gt;0,ORÇAMENTO.CustoUnitario&gt;$AG464),AND(TIPOORCAMENTO="LICITADO",ORÇAMENTO.PrecoUnitarioLicitado&gt;$AN464)),"ACIMA REF.","")))))</f>
        <v/>
      </c>
      <c r="AD464" t="str">
        <f ca="1">IF(C464&lt;=CRONO.NivelExibicao,MAX($AD$15:OFFSET(AD464,-1,0))+IF($C464&lt;&gt;1,1,MAX(1,COUNTIF(QCI!$A$13:$A$24,OFFSET($E464,-1,0)))),"")</f>
        <v/>
      </c>
      <c r="AE464" s="7" t="str">
        <f ca="1">IF(AND($C464="S",ORÇAMENTO.CodBarra&lt;&gt;""),IF(ORÇAMENTO.Fonte="",ORÇAMENTO.CodBarra,CONCATENATE(ORÇAMENTO.Fonte," ",ORÇAMENTO.CodBarra)))</f>
        <v>COMPOSIÇÃO FNDE 340</v>
      </c>
      <c r="AF464" s="13" t="str">
        <f ca="1">IF(ISERROR(INDIRECT(ORÇAMENTO.BancoRef)),"(abra o arquivo 'Referência "&amp;Excel_BuiltIn_Database&amp;".xlsm)",IF(OR($C464&lt;&gt;"S",ORÇAMENTO.CodBarra=""),"(Sem Código)",IF(ISERROR(MATCH($AE464,INDIRECT(ORÇAMENTO.BancoRef),0)),"(Código não identificado nas referências)",MATCH($AE464,INDIRECT(ORÇAMENTO.BancoRef),0))))</f>
        <v>(abra o arquivo 'Referência 06-2024.xlsm)</v>
      </c>
      <c r="AG464" s="498">
        <f ca="1">ROUND(IF(DESONERACAO="sim",REFERENCIA.Desonerado,REFERENCIA.NaoDesonerado),2)</f>
        <v>0</v>
      </c>
      <c r="AH464" s="499">
        <f t="shared" ca="1" si="69"/>
        <v>0.2432</v>
      </c>
      <c r="AJ464" s="501"/>
      <c r="AL464" s="527"/>
      <c r="AM464" s="381">
        <f t="shared" ca="1" si="70"/>
        <v>0</v>
      </c>
      <c r="AN464" s="566">
        <f t="shared" ca="1" si="71"/>
        <v>0</v>
      </c>
    </row>
    <row r="465" spans="1:40" ht="25.5" x14ac:dyDescent="0.2">
      <c r="A465" t="str">
        <f t="shared" si="56"/>
        <v>S</v>
      </c>
      <c r="B465">
        <f t="shared" ca="1" si="57"/>
        <v>2</v>
      </c>
      <c r="C465" t="str">
        <f t="shared" ca="1" si="58"/>
        <v>S</v>
      </c>
      <c r="D465">
        <f t="shared" ca="1" si="59"/>
        <v>0</v>
      </c>
      <c r="E465">
        <f ca="1">IF($C465=1,OFFSET(E465,-1,0)+MAX(1,COUNTIF(QCI!$A$13:$A$24,OFFSET(ORÇAMENTO!E465,-1,0))),OFFSET(E465,-1,0))</f>
        <v>1</v>
      </c>
      <c r="F465">
        <f t="shared" ca="1" si="60"/>
        <v>48</v>
      </c>
      <c r="G465">
        <f t="shared" ca="1" si="61"/>
        <v>0</v>
      </c>
      <c r="H465">
        <f t="shared" ca="1" si="62"/>
        <v>0</v>
      </c>
      <c r="I465">
        <f t="shared" ca="1" si="63"/>
        <v>0</v>
      </c>
      <c r="J465">
        <f t="shared" ca="1" si="118"/>
        <v>0</v>
      </c>
      <c r="K465">
        <f ca="1">IF(OR($C465="S",$C465=0),0,MATCH(OFFSET($D465,0,$C465)+IF($C465&lt;&gt;1,1,COUNTIF(QCI!$A$13:$A$24,ORÇAMENTO!E465)),OFFSET($D465,1,$C465,ROW($C$727)-ROW($C465)),0))</f>
        <v>0</v>
      </c>
      <c r="L465" s="116" t="str">
        <f t="shared" ca="1" si="64"/>
        <v/>
      </c>
      <c r="M465" s="117" t="s">
        <v>199</v>
      </c>
      <c r="N465" s="118" t="str">
        <f t="shared" ca="1" si="65"/>
        <v>Serviço</v>
      </c>
      <c r="O465" s="119" t="str">
        <f t="shared" ca="1" si="66"/>
        <v>-</v>
      </c>
      <c r="P465" s="120" t="s">
        <v>458</v>
      </c>
      <c r="Q465" s="121" t="s">
        <v>831</v>
      </c>
      <c r="R465" s="122" t="str">
        <f ca="1">IF($C465="S",REFERENCIA.Descricao,"(digite a descrição aqui)")</f>
        <v>(abra o arquivo 'Referência 06-2024.xlsm)</v>
      </c>
      <c r="S465" s="123" t="str">
        <f ca="1">REFERENCIA.Unidade</f>
        <v>-</v>
      </c>
      <c r="T465" s="124">
        <f ca="1">OFFSET(CÁLCULO!H$15,ROW($T465)-ROW(T$15),0)</f>
        <v>2</v>
      </c>
      <c r="U465" s="125">
        <f t="shared" ca="1" si="117"/>
        <v>0</v>
      </c>
      <c r="V465" s="126" t="s">
        <v>156</v>
      </c>
      <c r="W465" s="124">
        <f ca="1">IF($C465="S",ROUND(IF(TIPOORCAMENTO="Proposto",ORÇAMENTO.CustoUnitario*(1+$AH465),ORÇAMENTO.PrecoUnitarioLicitado),15-13*$AF$10),0)</f>
        <v>0</v>
      </c>
      <c r="X465" s="127">
        <f ca="1">IF($C465="S",IF(Import.TipoArredondamento&lt;&gt;"TransfereGOV",VTOTAL1,SUM(OFFSET(CÁLCULO!$AI$15,ROW($X465)-ROW($X$15),1):OFFSET(CÁLCULO!$BB$15,ROW($X465)-ROW($X$15),-1))),IF($C465=0,0,ROUND(SomaAgrup,15-13*$AF$11)))</f>
        <v>0</v>
      </c>
      <c r="Y465" s="128" t="s">
        <v>245</v>
      </c>
      <c r="Z465" t="str">
        <f t="shared" ca="1" si="67"/>
        <v/>
      </c>
      <c r="AA465" s="129">
        <f ca="1">IF($C465="S",IF($Z465="CP",$X465,IF($Z465="RA",(($X465)*QCI!$AA$3),0)),SomaAgrup)</f>
        <v>0</v>
      </c>
      <c r="AB465" s="130">
        <f t="shared" ca="1" si="68"/>
        <v>0</v>
      </c>
      <c r="AC465" s="131" t="str">
        <f ca="1">IF($N465="","",IF(ORÇAMENTO.Descricao="","DESCRIÇÃO",IF(AND($C465="S",ORÇAMENTO.Unidade=""),"UNIDADE",IF($X465&lt;0,"VALOR NEGATIVO",IF(OR(AND(TIPOORCAMENTO="Proposto",$AG465&lt;&gt;"",$AG465&gt;0,ORÇAMENTO.CustoUnitario&gt;$AG465),AND(TIPOORCAMENTO="LICITADO",ORÇAMENTO.PrecoUnitarioLicitado&gt;$AN465)),"ACIMA REF.","")))))</f>
        <v/>
      </c>
      <c r="AD465" t="str">
        <f ca="1">IF(C465&lt;=CRONO.NivelExibicao,MAX($AD$15:OFFSET(AD465,-1,0))+IF($C465&lt;&gt;1,1,MAX(1,COUNTIF(QCI!$A$13:$A$24,OFFSET($E465,-1,0)))),"")</f>
        <v/>
      </c>
      <c r="AE465" s="7" t="str">
        <f ca="1">IF(AND($C465="S",ORÇAMENTO.CodBarra&lt;&gt;""),IF(ORÇAMENTO.Fonte="",ORÇAMENTO.CodBarra,CONCATENATE(ORÇAMENTO.Fonte," ",ORÇAMENTO.CodBarra)))</f>
        <v>COMPOSIÇÃO FNDE 341</v>
      </c>
      <c r="AF465" s="13" t="str">
        <f ca="1">IF(ISERROR(INDIRECT(ORÇAMENTO.BancoRef)),"(abra o arquivo 'Referência "&amp;Excel_BuiltIn_Database&amp;".xlsm)",IF(OR($C465&lt;&gt;"S",ORÇAMENTO.CodBarra=""),"(Sem Código)",IF(ISERROR(MATCH($AE465,INDIRECT(ORÇAMENTO.BancoRef),0)),"(Código não identificado nas referências)",MATCH($AE465,INDIRECT(ORÇAMENTO.BancoRef),0))))</f>
        <v>(abra o arquivo 'Referência 06-2024.xlsm)</v>
      </c>
      <c r="AG465" s="498">
        <f ca="1">ROUND(IF(DESONERACAO="sim",REFERENCIA.Desonerado,REFERENCIA.NaoDesonerado),2)</f>
        <v>0</v>
      </c>
      <c r="AH465" s="499">
        <f t="shared" ca="1" si="69"/>
        <v>0.2432</v>
      </c>
      <c r="AJ465" s="501"/>
      <c r="AL465" s="527"/>
      <c r="AM465" s="381">
        <f t="shared" ca="1" si="70"/>
        <v>0</v>
      </c>
      <c r="AN465" s="566">
        <f t="shared" ca="1" si="71"/>
        <v>0</v>
      </c>
    </row>
    <row r="466" spans="1:40" ht="25.5" x14ac:dyDescent="0.2">
      <c r="A466" t="str">
        <f t="shared" si="56"/>
        <v>S</v>
      </c>
      <c r="B466">
        <f t="shared" ca="1" si="57"/>
        <v>2</v>
      </c>
      <c r="C466" t="str">
        <f t="shared" ca="1" si="58"/>
        <v>S</v>
      </c>
      <c r="D466">
        <f t="shared" ca="1" si="59"/>
        <v>0</v>
      </c>
      <c r="E466">
        <f ca="1">IF($C466=1,OFFSET(E466,-1,0)+MAX(1,COUNTIF(QCI!$A$13:$A$24,OFFSET(ORÇAMENTO!E466,-1,0))),OFFSET(E466,-1,0))</f>
        <v>1</v>
      </c>
      <c r="F466">
        <f t="shared" ca="1" si="60"/>
        <v>48</v>
      </c>
      <c r="G466">
        <f t="shared" ca="1" si="61"/>
        <v>0</v>
      </c>
      <c r="H466">
        <f t="shared" ca="1" si="62"/>
        <v>0</v>
      </c>
      <c r="I466">
        <f t="shared" ca="1" si="63"/>
        <v>0</v>
      </c>
      <c r="J466">
        <f t="shared" ca="1" si="118"/>
        <v>0</v>
      </c>
      <c r="K466">
        <f ca="1">IF(OR($C466="S",$C466=0),0,MATCH(OFFSET($D466,0,$C466)+IF($C466&lt;&gt;1,1,COUNTIF(QCI!$A$13:$A$24,ORÇAMENTO!E466)),OFFSET($D466,1,$C466,ROW($C$727)-ROW($C466)),0))</f>
        <v>0</v>
      </c>
      <c r="L466" s="116" t="str">
        <f t="shared" ca="1" si="64"/>
        <v/>
      </c>
      <c r="M466" s="117" t="s">
        <v>199</v>
      </c>
      <c r="N466" s="118" t="str">
        <f t="shared" ca="1" si="65"/>
        <v>Serviço</v>
      </c>
      <c r="O466" s="119" t="str">
        <f t="shared" ca="1" si="66"/>
        <v>-</v>
      </c>
      <c r="P466" s="120" t="s">
        <v>458</v>
      </c>
      <c r="Q466" s="121" t="s">
        <v>832</v>
      </c>
      <c r="R466" s="122" t="str">
        <f ca="1">IF($C466="S",REFERENCIA.Descricao,"(digite a descrição aqui)")</f>
        <v>(abra o arquivo 'Referência 06-2024.xlsm)</v>
      </c>
      <c r="S466" s="123" t="str">
        <f ca="1">REFERENCIA.Unidade</f>
        <v>-</v>
      </c>
      <c r="T466" s="124">
        <f ca="1">OFFSET(CÁLCULO!H$15,ROW($T466)-ROW(T$15),0)</f>
        <v>4</v>
      </c>
      <c r="U466" s="125">
        <f t="shared" ca="1" si="117"/>
        <v>0</v>
      </c>
      <c r="V466" s="126" t="s">
        <v>156</v>
      </c>
      <c r="W466" s="124">
        <f ca="1">IF($C466="S",ROUND(IF(TIPOORCAMENTO="Proposto",ORÇAMENTO.CustoUnitario*(1+$AH466),ORÇAMENTO.PrecoUnitarioLicitado),15-13*$AF$10),0)</f>
        <v>0</v>
      </c>
      <c r="X466" s="127">
        <f ca="1">IF($C466="S",IF(Import.TipoArredondamento&lt;&gt;"TransfereGOV",VTOTAL1,SUM(OFFSET(CÁLCULO!$AI$15,ROW($X466)-ROW($X$15),1):OFFSET(CÁLCULO!$BB$15,ROW($X466)-ROW($X$15),-1))),IF($C466=0,0,ROUND(SomaAgrup,15-13*$AF$11)))</f>
        <v>0</v>
      </c>
      <c r="Y466" s="128" t="s">
        <v>245</v>
      </c>
      <c r="Z466" t="str">
        <f t="shared" ca="1" si="67"/>
        <v/>
      </c>
      <c r="AA466" s="129">
        <f ca="1">IF($C466="S",IF($Z466="CP",$X466,IF($Z466="RA",(($X466)*QCI!$AA$3),0)),SomaAgrup)</f>
        <v>0</v>
      </c>
      <c r="AB466" s="130">
        <f t="shared" ca="1" si="68"/>
        <v>0</v>
      </c>
      <c r="AC466" s="131" t="str">
        <f ca="1">IF($N466="","",IF(ORÇAMENTO.Descricao="","DESCRIÇÃO",IF(AND($C466="S",ORÇAMENTO.Unidade=""),"UNIDADE",IF($X466&lt;0,"VALOR NEGATIVO",IF(OR(AND(TIPOORCAMENTO="Proposto",$AG466&lt;&gt;"",$AG466&gt;0,ORÇAMENTO.CustoUnitario&gt;$AG466),AND(TIPOORCAMENTO="LICITADO",ORÇAMENTO.PrecoUnitarioLicitado&gt;$AN466)),"ACIMA REF.","")))))</f>
        <v/>
      </c>
      <c r="AD466" t="str">
        <f ca="1">IF(C466&lt;=CRONO.NivelExibicao,MAX($AD$15:OFFSET(AD466,-1,0))+IF($C466&lt;&gt;1,1,MAX(1,COUNTIF(QCI!$A$13:$A$24,OFFSET($E466,-1,0)))),"")</f>
        <v/>
      </c>
      <c r="AE466" s="7" t="str">
        <f ca="1">IF(AND($C466="S",ORÇAMENTO.CodBarra&lt;&gt;""),IF(ORÇAMENTO.Fonte="",ORÇAMENTO.CodBarra,CONCATENATE(ORÇAMENTO.Fonte," ",ORÇAMENTO.CodBarra)))</f>
        <v>COMPOSIÇÃO FNDE 342</v>
      </c>
      <c r="AF466" s="13" t="str">
        <f ca="1">IF(ISERROR(INDIRECT(ORÇAMENTO.BancoRef)),"(abra o arquivo 'Referência "&amp;Excel_BuiltIn_Database&amp;".xlsm)",IF(OR($C466&lt;&gt;"S",ORÇAMENTO.CodBarra=""),"(Sem Código)",IF(ISERROR(MATCH($AE466,INDIRECT(ORÇAMENTO.BancoRef),0)),"(Código não identificado nas referências)",MATCH($AE466,INDIRECT(ORÇAMENTO.BancoRef),0))))</f>
        <v>(abra o arquivo 'Referência 06-2024.xlsm)</v>
      </c>
      <c r="AG466" s="498">
        <f ca="1">ROUND(IF(DESONERACAO="sim",REFERENCIA.Desonerado,REFERENCIA.NaoDesonerado),2)</f>
        <v>0</v>
      </c>
      <c r="AH466" s="499">
        <f t="shared" ca="1" si="69"/>
        <v>0.2432</v>
      </c>
      <c r="AJ466" s="501"/>
      <c r="AL466" s="527"/>
      <c r="AM466" s="381">
        <f t="shared" ca="1" si="70"/>
        <v>0</v>
      </c>
      <c r="AN466" s="566">
        <f t="shared" ca="1" si="71"/>
        <v>0</v>
      </c>
    </row>
    <row r="467" spans="1:40" x14ac:dyDescent="0.2">
      <c r="A467" t="str">
        <f t="shared" si="56"/>
        <v>S</v>
      </c>
      <c r="B467">
        <f t="shared" ca="1" si="57"/>
        <v>2</v>
      </c>
      <c r="C467" t="str">
        <f t="shared" ca="1" si="58"/>
        <v>S</v>
      </c>
      <c r="D467">
        <f t="shared" ca="1" si="59"/>
        <v>0</v>
      </c>
      <c r="E467">
        <f ca="1">IF($C467=1,OFFSET(E467,-1,0)+MAX(1,COUNTIF(QCI!$A$13:$A$24,OFFSET(ORÇAMENTO!E467,-1,0))),OFFSET(E467,-1,0))</f>
        <v>1</v>
      </c>
      <c r="F467">
        <f t="shared" ca="1" si="60"/>
        <v>48</v>
      </c>
      <c r="G467">
        <f t="shared" ca="1" si="61"/>
        <v>0</v>
      </c>
      <c r="H467">
        <f t="shared" ca="1" si="62"/>
        <v>0</v>
      </c>
      <c r="I467">
        <f t="shared" ca="1" si="63"/>
        <v>0</v>
      </c>
      <c r="J467">
        <f t="shared" ca="1" si="118"/>
        <v>0</v>
      </c>
      <c r="K467">
        <f ca="1">IF(OR($C467="S",$C467=0),0,MATCH(OFFSET($D467,0,$C467)+IF($C467&lt;&gt;1,1,COUNTIF(QCI!$A$13:$A$24,ORÇAMENTO!E467)),OFFSET($D467,1,$C467,ROW($C$727)-ROW($C467)),0))</f>
        <v>0</v>
      </c>
      <c r="L467" s="116" t="str">
        <f t="shared" ca="1" si="64"/>
        <v/>
      </c>
      <c r="M467" s="117" t="s">
        <v>199</v>
      </c>
      <c r="N467" s="118" t="str">
        <f t="shared" ca="1" si="65"/>
        <v>Serviço</v>
      </c>
      <c r="O467" s="119" t="str">
        <f t="shared" ca="1" si="66"/>
        <v>-</v>
      </c>
      <c r="P467" s="120" t="s">
        <v>458</v>
      </c>
      <c r="Q467" s="121" t="s">
        <v>833</v>
      </c>
      <c r="R467" s="122" t="str">
        <f ca="1">IF($C467="S",REFERENCIA.Descricao,"(digite a descrição aqui)")</f>
        <v>(abra o arquivo 'Referência 06-2024.xlsm)</v>
      </c>
      <c r="S467" s="123" t="str">
        <f ca="1">REFERENCIA.Unidade</f>
        <v>-</v>
      </c>
      <c r="T467" s="124">
        <f ca="1">OFFSET(CÁLCULO!H$15,ROW($T467)-ROW(T$15),0)</f>
        <v>1</v>
      </c>
      <c r="U467" s="125">
        <f t="shared" ca="1" si="117"/>
        <v>0</v>
      </c>
      <c r="V467" s="126" t="s">
        <v>156</v>
      </c>
      <c r="W467" s="124">
        <f ca="1">IF($C467="S",ROUND(IF(TIPOORCAMENTO="Proposto",ORÇAMENTO.CustoUnitario*(1+$AH467),ORÇAMENTO.PrecoUnitarioLicitado),15-13*$AF$10),0)</f>
        <v>0</v>
      </c>
      <c r="X467" s="127">
        <f ca="1">IF($C467="S",IF(Import.TipoArredondamento&lt;&gt;"TransfereGOV",VTOTAL1,SUM(OFFSET(CÁLCULO!$AI$15,ROW($X467)-ROW($X$15),1):OFFSET(CÁLCULO!$BB$15,ROW($X467)-ROW($X$15),-1))),IF($C467=0,0,ROUND(SomaAgrup,15-13*$AF$11)))</f>
        <v>0</v>
      </c>
      <c r="Y467" s="128" t="s">
        <v>245</v>
      </c>
      <c r="Z467" t="str">
        <f t="shared" ca="1" si="67"/>
        <v/>
      </c>
      <c r="AA467" s="129">
        <f ca="1">IF($C467="S",IF($Z467="CP",$X467,IF($Z467="RA",(($X467)*QCI!$AA$3),0)),SomaAgrup)</f>
        <v>0</v>
      </c>
      <c r="AB467" s="130">
        <f t="shared" ca="1" si="68"/>
        <v>0</v>
      </c>
      <c r="AC467" s="131" t="str">
        <f ca="1">IF($N467="","",IF(ORÇAMENTO.Descricao="","DESCRIÇÃO",IF(AND($C467="S",ORÇAMENTO.Unidade=""),"UNIDADE",IF($X467&lt;0,"VALOR NEGATIVO",IF(OR(AND(TIPOORCAMENTO="Proposto",$AG467&lt;&gt;"",$AG467&gt;0,ORÇAMENTO.CustoUnitario&gt;$AG467),AND(TIPOORCAMENTO="LICITADO",ORÇAMENTO.PrecoUnitarioLicitado&gt;$AN467)),"ACIMA REF.","")))))</f>
        <v/>
      </c>
      <c r="AD467" t="str">
        <f ca="1">IF(C467&lt;=CRONO.NivelExibicao,MAX($AD$15:OFFSET(AD467,-1,0))+IF($C467&lt;&gt;1,1,MAX(1,COUNTIF(QCI!$A$13:$A$24,OFFSET($E467,-1,0)))),"")</f>
        <v/>
      </c>
      <c r="AE467" s="7" t="str">
        <f ca="1">IF(AND($C467="S",ORÇAMENTO.CodBarra&lt;&gt;""),IF(ORÇAMENTO.Fonte="",ORÇAMENTO.CodBarra,CONCATENATE(ORÇAMENTO.Fonte," ",ORÇAMENTO.CodBarra)))</f>
        <v>COMPOSIÇÃO FNDE 343</v>
      </c>
      <c r="AF467" s="13" t="str">
        <f ca="1">IF(ISERROR(INDIRECT(ORÇAMENTO.BancoRef)),"(abra o arquivo 'Referência "&amp;Excel_BuiltIn_Database&amp;".xlsm)",IF(OR($C467&lt;&gt;"S",ORÇAMENTO.CodBarra=""),"(Sem Código)",IF(ISERROR(MATCH($AE467,INDIRECT(ORÇAMENTO.BancoRef),0)),"(Código não identificado nas referências)",MATCH($AE467,INDIRECT(ORÇAMENTO.BancoRef),0))))</f>
        <v>(abra o arquivo 'Referência 06-2024.xlsm)</v>
      </c>
      <c r="AG467" s="498">
        <f ca="1">ROUND(IF(DESONERACAO="sim",REFERENCIA.Desonerado,REFERENCIA.NaoDesonerado),2)</f>
        <v>0</v>
      </c>
      <c r="AH467" s="499">
        <f t="shared" ca="1" si="69"/>
        <v>0.2432</v>
      </c>
      <c r="AJ467" s="501"/>
      <c r="AL467" s="527"/>
      <c r="AM467" s="381">
        <f t="shared" ca="1" si="70"/>
        <v>0</v>
      </c>
      <c r="AN467" s="566">
        <f t="shared" ca="1" si="71"/>
        <v>0</v>
      </c>
    </row>
    <row r="468" spans="1:40" ht="38.25" x14ac:dyDescent="0.2">
      <c r="A468" t="str">
        <f t="shared" si="56"/>
        <v>S</v>
      </c>
      <c r="B468">
        <f t="shared" ca="1" si="57"/>
        <v>2</v>
      </c>
      <c r="C468" t="str">
        <f t="shared" ca="1" si="58"/>
        <v>S</v>
      </c>
      <c r="D468">
        <f t="shared" ca="1" si="59"/>
        <v>0</v>
      </c>
      <c r="E468">
        <f ca="1">IF($C468=1,OFFSET(E468,-1,0)+MAX(1,COUNTIF(QCI!$A$13:$A$24,OFFSET(ORÇAMENTO!E468,-1,0))),OFFSET(E468,-1,0))</f>
        <v>1</v>
      </c>
      <c r="F468">
        <f t="shared" ca="1" si="60"/>
        <v>48</v>
      </c>
      <c r="G468">
        <f t="shared" ca="1" si="61"/>
        <v>0</v>
      </c>
      <c r="H468">
        <f t="shared" ca="1" si="62"/>
        <v>0</v>
      </c>
      <c r="I468">
        <f t="shared" ca="1" si="63"/>
        <v>0</v>
      </c>
      <c r="J468">
        <f t="shared" ca="1" si="118"/>
        <v>0</v>
      </c>
      <c r="K468">
        <f ca="1">IF(OR($C468="S",$C468=0),0,MATCH(OFFSET($D468,0,$C468)+IF($C468&lt;&gt;1,1,COUNTIF(QCI!$A$13:$A$24,ORÇAMENTO!E468)),OFFSET($D468,1,$C468,ROW($C$727)-ROW($C468)),0))</f>
        <v>0</v>
      </c>
      <c r="L468" s="116" t="str">
        <f t="shared" ca="1" si="64"/>
        <v/>
      </c>
      <c r="M468" s="117" t="s">
        <v>199</v>
      </c>
      <c r="N468" s="118" t="str">
        <f t="shared" ca="1" si="65"/>
        <v>Serviço</v>
      </c>
      <c r="O468" s="119" t="str">
        <f t="shared" ca="1" si="66"/>
        <v>-</v>
      </c>
      <c r="P468" s="120" t="s">
        <v>247</v>
      </c>
      <c r="Q468" s="121" t="s">
        <v>834</v>
      </c>
      <c r="R468" s="122" t="str">
        <f ca="1">IF($C468="S",REFERENCIA.Descricao,"(digite a descrição aqui)")</f>
        <v>(abra o arquivo 'Referência 06-2024.xlsm)</v>
      </c>
      <c r="S468" s="123" t="str">
        <f ca="1">REFERENCIA.Unidade</f>
        <v>-</v>
      </c>
      <c r="T468" s="124">
        <f ca="1">OFFSET(CÁLCULO!H$15,ROW($T468)-ROW(T$15),0)</f>
        <v>2</v>
      </c>
      <c r="U468" s="125">
        <f t="shared" ca="1" si="117"/>
        <v>0</v>
      </c>
      <c r="V468" s="126" t="s">
        <v>156</v>
      </c>
      <c r="W468" s="124">
        <f ca="1">IF($C468="S",ROUND(IF(TIPOORCAMENTO="Proposto",ORÇAMENTO.CustoUnitario*(1+$AH468),ORÇAMENTO.PrecoUnitarioLicitado),15-13*$AF$10),0)</f>
        <v>0</v>
      </c>
      <c r="X468" s="127">
        <f ca="1">IF($C468="S",IF(Import.TipoArredondamento&lt;&gt;"TransfereGOV",VTOTAL1,SUM(OFFSET(CÁLCULO!$AI$15,ROW($X468)-ROW($X$15),1):OFFSET(CÁLCULO!$BB$15,ROW($X468)-ROW($X$15),-1))),IF($C468=0,0,ROUND(SomaAgrup,15-13*$AF$11)))</f>
        <v>0</v>
      </c>
      <c r="Y468" s="128" t="s">
        <v>245</v>
      </c>
      <c r="Z468" t="str">
        <f t="shared" ca="1" si="67"/>
        <v/>
      </c>
      <c r="AA468" s="129">
        <f ca="1">IF($C468="S",IF($Z468="CP",$X468,IF($Z468="RA",(($X468)*QCI!$AA$3),0)),SomaAgrup)</f>
        <v>0</v>
      </c>
      <c r="AB468" s="130">
        <f t="shared" ca="1" si="68"/>
        <v>0</v>
      </c>
      <c r="AC468" s="131" t="str">
        <f ca="1">IF($N468="","",IF(ORÇAMENTO.Descricao="","DESCRIÇÃO",IF(AND($C468="S",ORÇAMENTO.Unidade=""),"UNIDADE",IF($X468&lt;0,"VALOR NEGATIVO",IF(OR(AND(TIPOORCAMENTO="Proposto",$AG468&lt;&gt;"",$AG468&gt;0,ORÇAMENTO.CustoUnitario&gt;$AG468),AND(TIPOORCAMENTO="LICITADO",ORÇAMENTO.PrecoUnitarioLicitado&gt;$AN468)),"ACIMA REF.","")))))</f>
        <v/>
      </c>
      <c r="AD468" t="str">
        <f ca="1">IF(C468&lt;=CRONO.NivelExibicao,MAX($AD$15:OFFSET(AD468,-1,0))+IF($C468&lt;&gt;1,1,MAX(1,COUNTIF(QCI!$A$13:$A$24,OFFSET($E468,-1,0)))),"")</f>
        <v/>
      </c>
      <c r="AE468" s="7" t="str">
        <f ca="1">IF(AND($C468="S",ORÇAMENTO.CodBarra&lt;&gt;""),IF(ORÇAMENTO.Fonte="",ORÇAMENTO.CodBarra,CONCATENATE(ORÇAMENTO.Fonte," ",ORÇAMENTO.CodBarra)))</f>
        <v>SINAPI 92920</v>
      </c>
      <c r="AF468" s="13" t="str">
        <f ca="1">IF(ISERROR(INDIRECT(ORÇAMENTO.BancoRef)),"(abra o arquivo 'Referência "&amp;Excel_BuiltIn_Database&amp;".xlsm)",IF(OR($C468&lt;&gt;"S",ORÇAMENTO.CodBarra=""),"(Sem Código)",IF(ISERROR(MATCH($AE468,INDIRECT(ORÇAMENTO.BancoRef),0)),"(Código não identificado nas referências)",MATCH($AE468,INDIRECT(ORÇAMENTO.BancoRef),0))))</f>
        <v>(abra o arquivo 'Referência 06-2024.xlsm)</v>
      </c>
      <c r="AG468" s="498">
        <f ca="1">ROUND(IF(DESONERACAO="sim",REFERENCIA.Desonerado,REFERENCIA.NaoDesonerado),2)</f>
        <v>0</v>
      </c>
      <c r="AH468" s="499">
        <f t="shared" ca="1" si="69"/>
        <v>0.2432</v>
      </c>
      <c r="AJ468" s="501"/>
      <c r="AL468" s="527"/>
      <c r="AM468" s="381">
        <f t="shared" ca="1" si="70"/>
        <v>0</v>
      </c>
      <c r="AN468" s="566">
        <f t="shared" ca="1" si="71"/>
        <v>0</v>
      </c>
    </row>
    <row r="469" spans="1:40" ht="25.5" x14ac:dyDescent="0.2">
      <c r="A469" t="str">
        <f t="shared" si="56"/>
        <v>S</v>
      </c>
      <c r="B469">
        <f t="shared" ca="1" si="57"/>
        <v>2</v>
      </c>
      <c r="C469" t="str">
        <f t="shared" ca="1" si="58"/>
        <v>S</v>
      </c>
      <c r="D469">
        <f t="shared" ca="1" si="59"/>
        <v>0</v>
      </c>
      <c r="E469">
        <f ca="1">IF($C469=1,OFFSET(E469,-1,0)+MAX(1,COUNTIF(QCI!$A$13:$A$24,OFFSET(ORÇAMENTO!E469,-1,0))),OFFSET(E469,-1,0))</f>
        <v>1</v>
      </c>
      <c r="F469">
        <f t="shared" ca="1" si="60"/>
        <v>48</v>
      </c>
      <c r="G469">
        <f t="shared" ca="1" si="61"/>
        <v>0</v>
      </c>
      <c r="H469">
        <f t="shared" ca="1" si="62"/>
        <v>0</v>
      </c>
      <c r="I469">
        <f t="shared" ca="1" si="63"/>
        <v>0</v>
      </c>
      <c r="J469">
        <f t="shared" ca="1" si="118"/>
        <v>0</v>
      </c>
      <c r="K469">
        <f ca="1">IF(OR($C469="S",$C469=0),0,MATCH(OFFSET($D469,0,$C469)+IF($C469&lt;&gt;1,1,COUNTIF(QCI!$A$13:$A$24,ORÇAMENTO!E469)),OFFSET($D469,1,$C469,ROW($C$727)-ROW($C469)),0))</f>
        <v>0</v>
      </c>
      <c r="L469" s="116" t="str">
        <f t="shared" ca="1" si="64"/>
        <v/>
      </c>
      <c r="M469" s="117" t="s">
        <v>199</v>
      </c>
      <c r="N469" s="118" t="str">
        <f t="shared" ca="1" si="65"/>
        <v>Serviço</v>
      </c>
      <c r="O469" s="119" t="str">
        <f t="shared" ca="1" si="66"/>
        <v>-</v>
      </c>
      <c r="P469" s="120" t="s">
        <v>458</v>
      </c>
      <c r="Q469" s="121" t="s">
        <v>835</v>
      </c>
      <c r="R469" s="122" t="str">
        <f ca="1">IF($C469="S",REFERENCIA.Descricao,"(digite a descrição aqui)")</f>
        <v>(abra o arquivo 'Referência 06-2024.xlsm)</v>
      </c>
      <c r="S469" s="123" t="str">
        <f ca="1">REFERENCIA.Unidade</f>
        <v>-</v>
      </c>
      <c r="T469" s="124">
        <f ca="1">OFFSET(CÁLCULO!H$15,ROW($T469)-ROW(T$15),0)</f>
        <v>1</v>
      </c>
      <c r="U469" s="125">
        <f t="shared" ca="1" si="117"/>
        <v>0</v>
      </c>
      <c r="V469" s="126" t="s">
        <v>156</v>
      </c>
      <c r="W469" s="124">
        <f ca="1">IF($C469="S",ROUND(IF(TIPOORCAMENTO="Proposto",ORÇAMENTO.CustoUnitario*(1+$AH469),ORÇAMENTO.PrecoUnitarioLicitado),15-13*$AF$10),0)</f>
        <v>0</v>
      </c>
      <c r="X469" s="127">
        <f ca="1">IF($C469="S",IF(Import.TipoArredondamento&lt;&gt;"TransfereGOV",VTOTAL1,SUM(OFFSET(CÁLCULO!$AI$15,ROW($X469)-ROW($X$15),1):OFFSET(CÁLCULO!$BB$15,ROW($X469)-ROW($X$15),-1))),IF($C469=0,0,ROUND(SomaAgrup,15-13*$AF$11)))</f>
        <v>0</v>
      </c>
      <c r="Y469" s="128" t="s">
        <v>245</v>
      </c>
      <c r="Z469" t="str">
        <f t="shared" ca="1" si="67"/>
        <v/>
      </c>
      <c r="AA469" s="129">
        <f ca="1">IF($C469="S",IF($Z469="CP",$X469,IF($Z469="RA",(($X469)*QCI!$AA$3),0)),SomaAgrup)</f>
        <v>0</v>
      </c>
      <c r="AB469" s="130">
        <f t="shared" ca="1" si="68"/>
        <v>0</v>
      </c>
      <c r="AC469" s="131" t="str">
        <f ca="1">IF($N469="","",IF(ORÇAMENTO.Descricao="","DESCRIÇÃO",IF(AND($C469="S",ORÇAMENTO.Unidade=""),"UNIDADE",IF($X469&lt;0,"VALOR NEGATIVO",IF(OR(AND(TIPOORCAMENTO="Proposto",$AG469&lt;&gt;"",$AG469&gt;0,ORÇAMENTO.CustoUnitario&gt;$AG469),AND(TIPOORCAMENTO="LICITADO",ORÇAMENTO.PrecoUnitarioLicitado&gt;$AN469)),"ACIMA REF.","")))))</f>
        <v/>
      </c>
      <c r="AD469" t="str">
        <f ca="1">IF(C469&lt;=CRONO.NivelExibicao,MAX($AD$15:OFFSET(AD469,-1,0))+IF($C469&lt;&gt;1,1,MAX(1,COUNTIF(QCI!$A$13:$A$24,OFFSET($E469,-1,0)))),"")</f>
        <v/>
      </c>
      <c r="AE469" s="7" t="str">
        <f ca="1">IF(AND($C469="S",ORÇAMENTO.CodBarra&lt;&gt;""),IF(ORÇAMENTO.Fonte="",ORÇAMENTO.CodBarra,CONCATENATE(ORÇAMENTO.Fonte," ",ORÇAMENTO.CodBarra)))</f>
        <v>COMPOSIÇÃO FNDE 344</v>
      </c>
      <c r="AF469" s="13" t="str">
        <f ca="1">IF(ISERROR(INDIRECT(ORÇAMENTO.BancoRef)),"(abra o arquivo 'Referência "&amp;Excel_BuiltIn_Database&amp;".xlsm)",IF(OR($C469&lt;&gt;"S",ORÇAMENTO.CodBarra=""),"(Sem Código)",IF(ISERROR(MATCH($AE469,INDIRECT(ORÇAMENTO.BancoRef),0)),"(Código não identificado nas referências)",MATCH($AE469,INDIRECT(ORÇAMENTO.BancoRef),0))))</f>
        <v>(abra o arquivo 'Referência 06-2024.xlsm)</v>
      </c>
      <c r="AG469" s="498">
        <f ca="1">ROUND(IF(DESONERACAO="sim",REFERENCIA.Desonerado,REFERENCIA.NaoDesonerado),2)</f>
        <v>0</v>
      </c>
      <c r="AH469" s="499">
        <f t="shared" ca="1" si="69"/>
        <v>0.2432</v>
      </c>
      <c r="AJ469" s="501"/>
      <c r="AL469" s="527"/>
      <c r="AM469" s="381">
        <f t="shared" ca="1" si="70"/>
        <v>0</v>
      </c>
      <c r="AN469" s="566">
        <f t="shared" ca="1" si="71"/>
        <v>0</v>
      </c>
    </row>
    <row r="470" spans="1:40" ht="38.25" x14ac:dyDescent="0.2">
      <c r="A470" t="str">
        <f t="shared" si="56"/>
        <v>S</v>
      </c>
      <c r="B470">
        <f t="shared" ca="1" si="57"/>
        <v>2</v>
      </c>
      <c r="C470" t="str">
        <f t="shared" ca="1" si="58"/>
        <v>S</v>
      </c>
      <c r="D470">
        <f t="shared" ca="1" si="59"/>
        <v>0</v>
      </c>
      <c r="E470">
        <f ca="1">IF($C470=1,OFFSET(E470,-1,0)+MAX(1,COUNTIF(QCI!$A$13:$A$24,OFFSET(ORÇAMENTO!E470,-1,0))),OFFSET(E470,-1,0))</f>
        <v>1</v>
      </c>
      <c r="F470">
        <f t="shared" ca="1" si="60"/>
        <v>48</v>
      </c>
      <c r="G470">
        <f t="shared" ca="1" si="61"/>
        <v>0</v>
      </c>
      <c r="H470">
        <f t="shared" ca="1" si="62"/>
        <v>0</v>
      </c>
      <c r="I470">
        <f t="shared" ca="1" si="63"/>
        <v>0</v>
      </c>
      <c r="J470">
        <f t="shared" ca="1" si="118"/>
        <v>0</v>
      </c>
      <c r="K470">
        <f ca="1">IF(OR($C470="S",$C470=0),0,MATCH(OFFSET($D470,0,$C470)+IF($C470&lt;&gt;1,1,COUNTIF(QCI!$A$13:$A$24,ORÇAMENTO!E470)),OFFSET($D470,1,$C470,ROW($C$727)-ROW($C470)),0))</f>
        <v>0</v>
      </c>
      <c r="L470" s="116" t="str">
        <f t="shared" ca="1" si="64"/>
        <v/>
      </c>
      <c r="M470" s="117" t="s">
        <v>199</v>
      </c>
      <c r="N470" s="118" t="str">
        <f t="shared" ca="1" si="65"/>
        <v>Serviço</v>
      </c>
      <c r="O470" s="119" t="str">
        <f t="shared" ca="1" si="66"/>
        <v>-</v>
      </c>
      <c r="P470" s="120" t="s">
        <v>247</v>
      </c>
      <c r="Q470" s="121" t="s">
        <v>836</v>
      </c>
      <c r="R470" s="122" t="str">
        <f ca="1">IF($C470="S",REFERENCIA.Descricao,"(digite a descrição aqui)")</f>
        <v>(abra o arquivo 'Referência 06-2024.xlsm)</v>
      </c>
      <c r="S470" s="123" t="str">
        <f ca="1">REFERENCIA.Unidade</f>
        <v>-</v>
      </c>
      <c r="T470" s="124">
        <f ca="1">OFFSET(CÁLCULO!H$15,ROW($T470)-ROW(T$15),0)</f>
        <v>2</v>
      </c>
      <c r="U470" s="125">
        <f t="shared" ca="1" si="117"/>
        <v>0</v>
      </c>
      <c r="V470" s="126" t="s">
        <v>156</v>
      </c>
      <c r="W470" s="124">
        <f ca="1">IF($C470="S",ROUND(IF(TIPOORCAMENTO="Proposto",ORÇAMENTO.CustoUnitario*(1+$AH470),ORÇAMENTO.PrecoUnitarioLicitado),15-13*$AF$10),0)</f>
        <v>0</v>
      </c>
      <c r="X470" s="127">
        <f ca="1">IF($C470="S",IF(Import.TipoArredondamento&lt;&gt;"TransfereGOV",VTOTAL1,SUM(OFFSET(CÁLCULO!$AI$15,ROW($X470)-ROW($X$15),1):OFFSET(CÁLCULO!$BB$15,ROW($X470)-ROW($X$15),-1))),IF($C470=0,0,ROUND(SomaAgrup,15-13*$AF$11)))</f>
        <v>0</v>
      </c>
      <c r="Y470" s="128" t="s">
        <v>245</v>
      </c>
      <c r="Z470" t="str">
        <f t="shared" ca="1" si="67"/>
        <v/>
      </c>
      <c r="AA470" s="129">
        <f ca="1">IF($C470="S",IF($Z470="CP",$X470,IF($Z470="RA",(($X470)*QCI!$AA$3),0)),SomaAgrup)</f>
        <v>0</v>
      </c>
      <c r="AB470" s="130">
        <f t="shared" ca="1" si="68"/>
        <v>0</v>
      </c>
      <c r="AC470" s="131" t="str">
        <f ca="1">IF($N470="","",IF(ORÇAMENTO.Descricao="","DESCRIÇÃO",IF(AND($C470="S",ORÇAMENTO.Unidade=""),"UNIDADE",IF($X470&lt;0,"VALOR NEGATIVO",IF(OR(AND(TIPOORCAMENTO="Proposto",$AG470&lt;&gt;"",$AG470&gt;0,ORÇAMENTO.CustoUnitario&gt;$AG470),AND(TIPOORCAMENTO="LICITADO",ORÇAMENTO.PrecoUnitarioLicitado&gt;$AN470)),"ACIMA REF.","")))))</f>
        <v/>
      </c>
      <c r="AD470" t="str">
        <f ca="1">IF(C470&lt;=CRONO.NivelExibicao,MAX($AD$15:OFFSET(AD470,-1,0))+IF($C470&lt;&gt;1,1,MAX(1,COUNTIF(QCI!$A$13:$A$24,OFFSET($E470,-1,0)))),"")</f>
        <v/>
      </c>
      <c r="AE470" s="7" t="str">
        <f ca="1">IF(AND($C470="S",ORÇAMENTO.CodBarra&lt;&gt;""),IF(ORÇAMENTO.Fonte="",ORÇAMENTO.CodBarra,CONCATENATE(ORÇAMENTO.Fonte," ",ORÇAMENTO.CodBarra)))</f>
        <v>SINAPI 92945</v>
      </c>
      <c r="AF470" s="13" t="str">
        <f ca="1">IF(ISERROR(INDIRECT(ORÇAMENTO.BancoRef)),"(abra o arquivo 'Referência "&amp;Excel_BuiltIn_Database&amp;".xlsm)",IF(OR($C470&lt;&gt;"S",ORÇAMENTO.CodBarra=""),"(Sem Código)",IF(ISERROR(MATCH($AE470,INDIRECT(ORÇAMENTO.BancoRef),0)),"(Código não identificado nas referências)",MATCH($AE470,INDIRECT(ORÇAMENTO.BancoRef),0))))</f>
        <v>(abra o arquivo 'Referência 06-2024.xlsm)</v>
      </c>
      <c r="AG470" s="498">
        <f ca="1">ROUND(IF(DESONERACAO="sim",REFERENCIA.Desonerado,REFERENCIA.NaoDesonerado),2)</f>
        <v>0</v>
      </c>
      <c r="AH470" s="499">
        <f t="shared" ca="1" si="69"/>
        <v>0.2432</v>
      </c>
      <c r="AJ470" s="501"/>
      <c r="AL470" s="527"/>
      <c r="AM470" s="381">
        <f t="shared" ca="1" si="70"/>
        <v>0</v>
      </c>
      <c r="AN470" s="566">
        <f t="shared" ca="1" si="71"/>
        <v>0</v>
      </c>
    </row>
    <row r="471" spans="1:40" ht="25.5" x14ac:dyDescent="0.2">
      <c r="A471" t="str">
        <f t="shared" si="56"/>
        <v>S</v>
      </c>
      <c r="B471">
        <f t="shared" ca="1" si="57"/>
        <v>2</v>
      </c>
      <c r="C471" t="str">
        <f t="shared" ca="1" si="58"/>
        <v>S</v>
      </c>
      <c r="D471">
        <f t="shared" ca="1" si="59"/>
        <v>0</v>
      </c>
      <c r="E471">
        <f ca="1">IF($C471=1,OFFSET(E471,-1,0)+MAX(1,COUNTIF(QCI!$A$13:$A$24,OFFSET(ORÇAMENTO!E471,-1,0))),OFFSET(E471,-1,0))</f>
        <v>1</v>
      </c>
      <c r="F471">
        <f t="shared" ca="1" si="60"/>
        <v>48</v>
      </c>
      <c r="G471">
        <f t="shared" ca="1" si="61"/>
        <v>0</v>
      </c>
      <c r="H471">
        <f t="shared" ca="1" si="62"/>
        <v>0</v>
      </c>
      <c r="I471">
        <f t="shared" ca="1" si="63"/>
        <v>0</v>
      </c>
      <c r="J471">
        <f t="shared" ca="1" si="118"/>
        <v>0</v>
      </c>
      <c r="K471">
        <f ca="1">IF(OR($C471="S",$C471=0),0,MATCH(OFFSET($D471,0,$C471)+IF($C471&lt;&gt;1,1,COUNTIF(QCI!$A$13:$A$24,ORÇAMENTO!E471)),OFFSET($D471,1,$C471,ROW($C$727)-ROW($C471)),0))</f>
        <v>0</v>
      </c>
      <c r="L471" s="116" t="str">
        <f t="shared" ca="1" si="64"/>
        <v/>
      </c>
      <c r="M471" s="117" t="s">
        <v>199</v>
      </c>
      <c r="N471" s="118" t="str">
        <f t="shared" ca="1" si="65"/>
        <v>Serviço</v>
      </c>
      <c r="O471" s="119" t="str">
        <f t="shared" ca="1" si="66"/>
        <v>-</v>
      </c>
      <c r="P471" s="120" t="s">
        <v>458</v>
      </c>
      <c r="Q471" s="121" t="s">
        <v>837</v>
      </c>
      <c r="R471" s="122" t="str">
        <f ca="1">IF($C471="S",REFERENCIA.Descricao,"(digite a descrição aqui)")</f>
        <v>(abra o arquivo 'Referência 06-2024.xlsm)</v>
      </c>
      <c r="S471" s="123" t="str">
        <f ca="1">REFERENCIA.Unidade</f>
        <v>-</v>
      </c>
      <c r="T471" s="124">
        <f ca="1">OFFSET(CÁLCULO!H$15,ROW($T471)-ROW(T$15),0)</f>
        <v>1</v>
      </c>
      <c r="U471" s="125">
        <f t="shared" ca="1" si="117"/>
        <v>0</v>
      </c>
      <c r="V471" s="126" t="s">
        <v>156</v>
      </c>
      <c r="W471" s="124">
        <f ca="1">IF($C471="S",ROUND(IF(TIPOORCAMENTO="Proposto",ORÇAMENTO.CustoUnitario*(1+$AH471),ORÇAMENTO.PrecoUnitarioLicitado),15-13*$AF$10),0)</f>
        <v>0</v>
      </c>
      <c r="X471" s="127">
        <f ca="1">IF($C471="S",IF(Import.TipoArredondamento&lt;&gt;"TransfereGOV",VTOTAL1,SUM(OFFSET(CÁLCULO!$AI$15,ROW($X471)-ROW($X$15),1):OFFSET(CÁLCULO!$BB$15,ROW($X471)-ROW($X$15),-1))),IF($C471=0,0,ROUND(SomaAgrup,15-13*$AF$11)))</f>
        <v>0</v>
      </c>
      <c r="Y471" s="128" t="s">
        <v>245</v>
      </c>
      <c r="Z471" t="str">
        <f t="shared" ca="1" si="67"/>
        <v/>
      </c>
      <c r="AA471" s="129">
        <f ca="1">IF($C471="S",IF($Z471="CP",$X471,IF($Z471="RA",(($X471)*QCI!$AA$3),0)),SomaAgrup)</f>
        <v>0</v>
      </c>
      <c r="AB471" s="130">
        <f t="shared" ca="1" si="68"/>
        <v>0</v>
      </c>
      <c r="AC471" s="131" t="str">
        <f ca="1">IF($N471="","",IF(ORÇAMENTO.Descricao="","DESCRIÇÃO",IF(AND($C471="S",ORÇAMENTO.Unidade=""),"UNIDADE",IF($X471&lt;0,"VALOR NEGATIVO",IF(OR(AND(TIPOORCAMENTO="Proposto",$AG471&lt;&gt;"",$AG471&gt;0,ORÇAMENTO.CustoUnitario&gt;$AG471),AND(TIPOORCAMENTO="LICITADO",ORÇAMENTO.PrecoUnitarioLicitado&gt;$AN471)),"ACIMA REF.","")))))</f>
        <v/>
      </c>
      <c r="AD471" t="str">
        <f ca="1">IF(C471&lt;=CRONO.NivelExibicao,MAX($AD$15:OFFSET(AD471,-1,0))+IF($C471&lt;&gt;1,1,MAX(1,COUNTIF(QCI!$A$13:$A$24,OFFSET($E471,-1,0)))),"")</f>
        <v/>
      </c>
      <c r="AE471" s="7" t="str">
        <f ca="1">IF(AND($C471="S",ORÇAMENTO.CodBarra&lt;&gt;""),IF(ORÇAMENTO.Fonte="",ORÇAMENTO.CodBarra,CONCATENATE(ORÇAMENTO.Fonte," ",ORÇAMENTO.CodBarra)))</f>
        <v>COMPOSIÇÃO FNDE 345</v>
      </c>
      <c r="AF471" s="13" t="str">
        <f ca="1">IF(ISERROR(INDIRECT(ORÇAMENTO.BancoRef)),"(abra o arquivo 'Referência "&amp;Excel_BuiltIn_Database&amp;".xlsm)",IF(OR($C471&lt;&gt;"S",ORÇAMENTO.CodBarra=""),"(Sem Código)",IF(ISERROR(MATCH($AE471,INDIRECT(ORÇAMENTO.BancoRef),0)),"(Código não identificado nas referências)",MATCH($AE471,INDIRECT(ORÇAMENTO.BancoRef),0))))</f>
        <v>(abra o arquivo 'Referência 06-2024.xlsm)</v>
      </c>
      <c r="AG471" s="498">
        <f ca="1">ROUND(IF(DESONERACAO="sim",REFERENCIA.Desonerado,REFERENCIA.NaoDesonerado),2)</f>
        <v>0</v>
      </c>
      <c r="AH471" s="499">
        <f t="shared" ca="1" si="69"/>
        <v>0.2432</v>
      </c>
      <c r="AJ471" s="501"/>
      <c r="AL471" s="527"/>
      <c r="AM471" s="381">
        <f t="shared" ca="1" si="70"/>
        <v>0</v>
      </c>
      <c r="AN471" s="566">
        <f t="shared" ca="1" si="71"/>
        <v>0</v>
      </c>
    </row>
    <row r="472" spans="1:40" x14ac:dyDescent="0.2">
      <c r="A472">
        <f t="shared" ref="A472:A528" si="119">CHOOSE(1+LOG(1+2*(ORÇAMENTO.Nivel="Meta")+4*(ORÇAMENTO.Nivel="Nível 2")+8*(ORÇAMENTO.Nivel="Nível 3")+16*(ORÇAMENTO.Nivel="Nível 4")+32*(ORÇAMENTO.Nivel="Serviço"),2),0,1,2,3,4,"S")</f>
        <v>2</v>
      </c>
      <c r="B472">
        <f t="shared" ref="B472:B685" ca="1" si="120">IF(OR(C472="s",C472=0),OFFSET(B472,-1,0),C472)</f>
        <v>2</v>
      </c>
      <c r="C472">
        <f t="shared" ref="C472:C685" ca="1" si="121">IF(OFFSET(C472,-1,0)="L",1,IF(OFFSET(C472,-1,0)=1,2,IF(OR(A472="s",A472=0),"S",IF(AND(OFFSET(C472,-1,0)=2,A472=4),3,IF(AND(OR(OFFSET(C472,-1,0)="s",OFFSET(C472,-1,0)=0),A472&lt;&gt;"s",A472&gt;OFFSET(B472,-1,0)),OFFSET(B472,-1,0),A472)))))</f>
        <v>2</v>
      </c>
      <c r="D472">
        <f t="shared" ref="D472:D685" ca="1" si="122">IF(OR(C472="S",C472=0),0,IF(ISERROR(K472),J472,SMALL(J472:K472,1)))</f>
        <v>4</v>
      </c>
      <c r="E472">
        <f ca="1">IF($C472=1,OFFSET(E472,-1,0)+MAX(1,COUNTIF(QCI!$A$13:$A$24,OFFSET(ORÇAMENTO!E472,-1,0))),OFFSET(E472,-1,0))</f>
        <v>1</v>
      </c>
      <c r="F472">
        <f t="shared" ref="F472:F685" ca="1" si="123">IF($C472=1,0,IF($C472=2,OFFSET(F472,-1,0)+1,OFFSET(F472,-1,0)))</f>
        <v>49</v>
      </c>
      <c r="G472">
        <f t="shared" ref="G472:G685" ca="1" si="124">IF(AND($C472&lt;=2,$C472&lt;&gt;0),0,IF($C472=3,OFFSET(G472,-1,0)+1,OFFSET(G472,-1,0)))</f>
        <v>0</v>
      </c>
      <c r="H472">
        <f t="shared" ref="H472:H685" ca="1" si="125">IF(AND($C472&lt;=3,$C472&lt;&gt;0),0,IF($C472=4,OFFSET(H472,-1,0)+1,OFFSET(H472,-1,0)))</f>
        <v>0</v>
      </c>
      <c r="I472">
        <f t="shared" ref="I472:I685" ca="1" si="126">IF(AND($C472&lt;=4,$C472&lt;&gt;0),0,IF(AND($C472="S",$X472&gt;0),OFFSET(I472,-1,0)+1,OFFSET(I472,-1,0)))</f>
        <v>0</v>
      </c>
      <c r="J472">
        <f t="shared" ca="1" si="118"/>
        <v>255</v>
      </c>
      <c r="K472">
        <f ca="1">IF(OR($C472="S",$C472=0),0,MATCH(OFFSET($D472,0,$C472)+IF($C472&lt;&gt;1,1,COUNTIF(QCI!$A$13:$A$24,ORÇAMENTO!E472)),OFFSET($D472,1,$C472,ROW($C$727)-ROW($C472)),0))</f>
        <v>4</v>
      </c>
      <c r="L472" s="116" t="str">
        <f t="shared" ref="L472:L685" ca="1" si="127">IF(OR($X472&gt;0,$C472=1,$C472=2,$C472=3,$C472=4),"F","")</f>
        <v>F</v>
      </c>
      <c r="M472" s="117" t="s">
        <v>196</v>
      </c>
      <c r="N472" s="118" t="str">
        <f t="shared" ref="N472:N685" ca="1" si="128">CHOOSE(1+LOG(1+2*(C472=1)+4*(C472=2)+8*(C472=3)+16*(C472=4)+32*(C472="S"),2),"","Meta","Nível 2","Nível 3","Nível 4","Serviço")</f>
        <v>Nível 2</v>
      </c>
      <c r="O472" s="119" t="str">
        <f t="shared" ref="O472:O685" ca="1" si="129">IF(OR($C472=0,$L472=""),"-",CONCATENATE(E472&amp;".",IF(AND($A$5&gt;=2,$C472&gt;=2),F472&amp;".",""),IF(AND($A$5&gt;=3,$C472&gt;=3),G472&amp;".",""),IF(AND($A$5&gt;=4,$C472&gt;=4),H472&amp;".",""),IF($C472="S",I472&amp;".","")))</f>
        <v>1.49.</v>
      </c>
      <c r="P472" s="120" t="s">
        <v>247</v>
      </c>
      <c r="Q472" s="121"/>
      <c r="R472" s="122" t="s">
        <v>1072</v>
      </c>
      <c r="S472" s="123" t="str">
        <f ca="1">REFERENCIA.Unidade</f>
        <v>-</v>
      </c>
      <c r="T472" s="124">
        <f ca="1">OFFSET(CÁLCULO!H$15,ROW($T472)-ROW(T$15),0)</f>
        <v>0</v>
      </c>
      <c r="U472" s="125">
        <f t="shared" ca="1" si="117"/>
        <v>0</v>
      </c>
      <c r="V472" s="126" t="s">
        <v>156</v>
      </c>
      <c r="W472" s="124">
        <f ca="1">IF($C472="S",ROUND(IF(TIPOORCAMENTO="Proposto",ORÇAMENTO.CustoUnitario*(1+$AH472),ORÇAMENTO.PrecoUnitarioLicitado),15-13*$AF$10),0)</f>
        <v>0</v>
      </c>
      <c r="X472" s="127">
        <f ca="1">IF($C472="S",IF(Import.TipoArredondamento&lt;&gt;"TransfereGOV",VTOTAL1,SUM(OFFSET(CÁLCULO!$AI$15,ROW($X472)-ROW($X$15),1):OFFSET(CÁLCULO!$BB$15,ROW($X472)-ROW($X$15),-1))),IF($C472=0,0,ROUND(SomaAgrup,15-13*$AF$11)))</f>
        <v>0</v>
      </c>
      <c r="Y472" s="128" t="s">
        <v>245</v>
      </c>
      <c r="Z472" t="str">
        <f t="shared" ref="Z472:Z685" ca="1" si="130">IF(AND($C472="S",$X472&gt;0),IF(ISBLANK($Y472),"RA",LEFT($Y472,2)),"")</f>
        <v/>
      </c>
      <c r="AA472" s="129">
        <f ca="1">IF($C472="S",IF($Z472="CP",$X472,IF($Z472="RA",(($X472)*QCI!$AA$3),0)),SomaAgrup)</f>
        <v>0</v>
      </c>
      <c r="AB472" s="130">
        <f t="shared" ref="AB472:AB528" ca="1" si="131">IF($C472="S",IF($Z472="OU",ROUND($X472,2),0),SomaAgrup)</f>
        <v>0</v>
      </c>
      <c r="AC472" s="131" t="str">
        <f ca="1">IF($N472="","",IF(ORÇAMENTO.Descricao="","DESCRIÇÃO",IF(AND($C472="S",ORÇAMENTO.Unidade=""),"UNIDADE",IF($X472&lt;0,"VALOR NEGATIVO",IF(OR(AND(TIPOORCAMENTO="Proposto",$AG472&lt;&gt;"",$AG472&gt;0,ORÇAMENTO.CustoUnitario&gt;$AG472),AND(TIPOORCAMENTO="LICITADO",ORÇAMENTO.PrecoUnitarioLicitado&gt;$AN472)),"ACIMA REF.","")))))</f>
        <v/>
      </c>
      <c r="AD472">
        <f ca="1">IF(C472&lt;=CRONO.NivelExibicao,MAX($AD$15:OFFSET(AD472,-1,0))+IF($C472&lt;&gt;1,1,MAX(1,COUNTIF(QCI!$A$13:$A$24,OFFSET($E472,-1,0)))),"")</f>
        <v>50</v>
      </c>
      <c r="AE472" s="7" t="b">
        <f ca="1">IF(AND($C472="S",ORÇAMENTO.CodBarra&lt;&gt;""),IF(ORÇAMENTO.Fonte="",ORÇAMENTO.CodBarra,CONCATENATE(ORÇAMENTO.Fonte," ",ORÇAMENTO.CodBarra)))</f>
        <v>0</v>
      </c>
      <c r="AF472" s="13" t="str">
        <f ca="1">IF(ISERROR(INDIRECT(ORÇAMENTO.BancoRef)),"(abra o arquivo 'Referência "&amp;Excel_BuiltIn_Database&amp;".xlsm)",IF(OR($C472&lt;&gt;"S",ORÇAMENTO.CodBarra=""),"(Sem Código)",IF(ISERROR(MATCH($AE472,INDIRECT(ORÇAMENTO.BancoRef),0)),"(Código não identificado nas referências)",MATCH($AE472,INDIRECT(ORÇAMENTO.BancoRef),0))))</f>
        <v>(abra o arquivo 'Referência 06-2024.xlsm)</v>
      </c>
      <c r="AG472" s="498">
        <f ca="1">ROUND(IF(DESONERACAO="sim",REFERENCIA.Desonerado,REFERENCIA.NaoDesonerado),2)</f>
        <v>0</v>
      </c>
      <c r="AH472" s="499">
        <f t="shared" ref="AH472:AH528" ca="1" si="132">ROUND(IF(ISNUMBER(ORÇAMENTO.OpcaoBDI),ORÇAMENTO.OpcaoBDI,IF(LEFT(ORÇAMENTO.OpcaoBDI,3)="BDI",HLOOKUP(ORÇAMENTO.OpcaoBDI,$F$4:$H$5,2,FALSE),0)),15-11*$AF$9)</f>
        <v>0.2432</v>
      </c>
      <c r="AJ472" s="501"/>
      <c r="AL472" s="527"/>
      <c r="AM472" s="381">
        <f t="shared" ref="AM472:AM685" ca="1" si="133">$X472</f>
        <v>0</v>
      </c>
      <c r="AN472" s="566">
        <f t="shared" ref="AN472:AN528" ca="1" si="134">ROUND(ORÇAMENTO.CustoUnitario*(1+$AH472),2)</f>
        <v>0</v>
      </c>
    </row>
    <row r="473" spans="1:40" ht="25.5" x14ac:dyDescent="0.2">
      <c r="A473" t="str">
        <f t="shared" si="119"/>
        <v>S</v>
      </c>
      <c r="B473">
        <f t="shared" ca="1" si="120"/>
        <v>2</v>
      </c>
      <c r="C473" t="str">
        <f t="shared" ca="1" si="121"/>
        <v>S</v>
      </c>
      <c r="D473">
        <f t="shared" ca="1" si="122"/>
        <v>0</v>
      </c>
      <c r="E473">
        <f ca="1">IF($C473=1,OFFSET(E473,-1,0)+MAX(1,COUNTIF(QCI!$A$13:$A$24,OFFSET(ORÇAMENTO!E473,-1,0))),OFFSET(E473,-1,0))</f>
        <v>1</v>
      </c>
      <c r="F473">
        <f t="shared" ca="1" si="123"/>
        <v>49</v>
      </c>
      <c r="G473">
        <f t="shared" ca="1" si="124"/>
        <v>0</v>
      </c>
      <c r="H473">
        <f t="shared" ca="1" si="125"/>
        <v>0</v>
      </c>
      <c r="I473">
        <f t="shared" ca="1" si="126"/>
        <v>0</v>
      </c>
      <c r="J473">
        <f t="shared" ca="1" si="118"/>
        <v>0</v>
      </c>
      <c r="K473">
        <f ca="1">IF(OR($C473="S",$C473=0),0,MATCH(OFFSET($D473,0,$C473)+IF($C473&lt;&gt;1,1,COUNTIF(QCI!$A$13:$A$24,ORÇAMENTO!E473)),OFFSET($D473,1,$C473,ROW($C$727)-ROW($C473)),0))</f>
        <v>0</v>
      </c>
      <c r="L473" s="116" t="str">
        <f t="shared" ca="1" si="127"/>
        <v/>
      </c>
      <c r="M473" s="117" t="s">
        <v>199</v>
      </c>
      <c r="N473" s="118" t="str">
        <f t="shared" ca="1" si="128"/>
        <v>Serviço</v>
      </c>
      <c r="O473" s="119" t="str">
        <f t="shared" ca="1" si="129"/>
        <v>-</v>
      </c>
      <c r="P473" s="120" t="s">
        <v>247</v>
      </c>
      <c r="Q473" s="121" t="s">
        <v>838</v>
      </c>
      <c r="R473" s="122" t="str">
        <f ca="1">IF($C473="S",REFERENCIA.Descricao,"(digite a descrição aqui)")</f>
        <v>(abra o arquivo 'Referência 06-2024.xlsm)</v>
      </c>
      <c r="S473" s="123" t="str">
        <f ca="1">REFERENCIA.Unidade</f>
        <v>-</v>
      </c>
      <c r="T473" s="124">
        <f ca="1">OFFSET(CÁLCULO!H$15,ROW($T473)-ROW(T$15),0)</f>
        <v>36</v>
      </c>
      <c r="U473" s="125">
        <f t="shared" ca="1" si="117"/>
        <v>0</v>
      </c>
      <c r="V473" s="126" t="s">
        <v>156</v>
      </c>
      <c r="W473" s="124">
        <f ca="1">IF($C473="S",ROUND(IF(TIPOORCAMENTO="Proposto",ORÇAMENTO.CustoUnitario*(1+$AH473),ORÇAMENTO.PrecoUnitarioLicitado),15-13*$AF$10),0)</f>
        <v>0</v>
      </c>
      <c r="X473" s="127">
        <f ca="1">IF($C473="S",IF(Import.TipoArredondamento&lt;&gt;"TransfereGOV",VTOTAL1,SUM(OFFSET(CÁLCULO!$AI$15,ROW($X473)-ROW($X$15),1):OFFSET(CÁLCULO!$BB$15,ROW($X473)-ROW($X$15),-1))),IF($C473=0,0,ROUND(SomaAgrup,15-13*$AF$11)))</f>
        <v>0</v>
      </c>
      <c r="Y473" s="128" t="s">
        <v>245</v>
      </c>
      <c r="Z473" t="str">
        <f t="shared" ca="1" si="130"/>
        <v/>
      </c>
      <c r="AA473" s="129">
        <f ca="1">IF($C473="S",IF($Z473="CP",$X473,IF($Z473="RA",(($X473)*QCI!$AA$3),0)),SomaAgrup)</f>
        <v>0</v>
      </c>
      <c r="AB473" s="130">
        <f t="shared" ca="1" si="131"/>
        <v>0</v>
      </c>
      <c r="AC473" s="131" t="str">
        <f ca="1">IF($N473="","",IF(ORÇAMENTO.Descricao="","DESCRIÇÃO",IF(AND($C473="S",ORÇAMENTO.Unidade=""),"UNIDADE",IF($X473&lt;0,"VALOR NEGATIVO",IF(OR(AND(TIPOORCAMENTO="Proposto",$AG473&lt;&gt;"",$AG473&gt;0,ORÇAMENTO.CustoUnitario&gt;$AG473),AND(TIPOORCAMENTO="LICITADO",ORÇAMENTO.PrecoUnitarioLicitado&gt;$AN473)),"ACIMA REF.","")))))</f>
        <v/>
      </c>
      <c r="AD473" t="str">
        <f ca="1">IF(C473&lt;=CRONO.NivelExibicao,MAX($AD$15:OFFSET(AD473,-1,0))+IF($C473&lt;&gt;1,1,MAX(1,COUNTIF(QCI!$A$13:$A$24,OFFSET($E473,-1,0)))),"")</f>
        <v/>
      </c>
      <c r="AE473" s="7" t="str">
        <f ca="1">IF(AND($C473="S",ORÇAMENTO.CodBarra&lt;&gt;""),IF(ORÇAMENTO.Fonte="",ORÇAMENTO.CodBarra,CONCATENATE(ORÇAMENTO.Fonte," ",ORÇAMENTO.CodBarra)))</f>
        <v>SINAPI 97599</v>
      </c>
      <c r="AF473" s="13" t="str">
        <f ca="1">IF(ISERROR(INDIRECT(ORÇAMENTO.BancoRef)),"(abra o arquivo 'Referência "&amp;Excel_BuiltIn_Database&amp;".xlsm)",IF(OR($C473&lt;&gt;"S",ORÇAMENTO.CodBarra=""),"(Sem Código)",IF(ISERROR(MATCH($AE473,INDIRECT(ORÇAMENTO.BancoRef),0)),"(Código não identificado nas referências)",MATCH($AE473,INDIRECT(ORÇAMENTO.BancoRef),0))))</f>
        <v>(abra o arquivo 'Referência 06-2024.xlsm)</v>
      </c>
      <c r="AG473" s="498">
        <f ca="1">ROUND(IF(DESONERACAO="sim",REFERENCIA.Desonerado,REFERENCIA.NaoDesonerado),2)</f>
        <v>0</v>
      </c>
      <c r="AH473" s="499">
        <f t="shared" ca="1" si="132"/>
        <v>0.2432</v>
      </c>
      <c r="AJ473" s="501"/>
      <c r="AL473" s="527"/>
      <c r="AM473" s="381">
        <f t="shared" ca="1" si="133"/>
        <v>0</v>
      </c>
      <c r="AN473" s="566">
        <f t="shared" ca="1" si="134"/>
        <v>0</v>
      </c>
    </row>
    <row r="474" spans="1:40" x14ac:dyDescent="0.2">
      <c r="A474" t="str">
        <f t="shared" si="119"/>
        <v>S</v>
      </c>
      <c r="B474">
        <f t="shared" ca="1" si="120"/>
        <v>2</v>
      </c>
      <c r="C474" t="str">
        <f t="shared" ca="1" si="121"/>
        <v>S</v>
      </c>
      <c r="D474">
        <f t="shared" ca="1" si="122"/>
        <v>0</v>
      </c>
      <c r="E474">
        <f ca="1">IF($C474=1,OFFSET(E474,-1,0)+MAX(1,COUNTIF(QCI!$A$13:$A$24,OFFSET(ORÇAMENTO!E474,-1,0))),OFFSET(E474,-1,0))</f>
        <v>1</v>
      </c>
      <c r="F474">
        <f t="shared" ca="1" si="123"/>
        <v>49</v>
      </c>
      <c r="G474">
        <f t="shared" ca="1" si="124"/>
        <v>0</v>
      </c>
      <c r="H474">
        <f t="shared" ca="1" si="125"/>
        <v>0</v>
      </c>
      <c r="I474">
        <f t="shared" ca="1" si="126"/>
        <v>0</v>
      </c>
      <c r="J474">
        <f t="shared" ca="1" si="118"/>
        <v>0</v>
      </c>
      <c r="K474">
        <f ca="1">IF(OR($C474="S",$C474=0),0,MATCH(OFFSET($D474,0,$C474)+IF($C474&lt;&gt;1,1,COUNTIF(QCI!$A$13:$A$24,ORÇAMENTO!E474)),OFFSET($D474,1,$C474,ROW($C$727)-ROW($C474)),0))</f>
        <v>0</v>
      </c>
      <c r="L474" s="116" t="str">
        <f t="shared" ca="1" si="127"/>
        <v/>
      </c>
      <c r="M474" s="117" t="s">
        <v>199</v>
      </c>
      <c r="N474" s="118" t="str">
        <f t="shared" ca="1" si="128"/>
        <v>Serviço</v>
      </c>
      <c r="O474" s="119" t="str">
        <f t="shared" ca="1" si="129"/>
        <v>-</v>
      </c>
      <c r="P474" s="120" t="s">
        <v>458</v>
      </c>
      <c r="Q474" s="121" t="s">
        <v>839</v>
      </c>
      <c r="R474" s="122" t="str">
        <f ca="1">IF($C474="S",REFERENCIA.Descricao,"(digite a descrição aqui)")</f>
        <v>(abra o arquivo 'Referência 06-2024.xlsm)</v>
      </c>
      <c r="S474" s="123" t="str">
        <f ca="1">REFERENCIA.Unidade</f>
        <v>-</v>
      </c>
      <c r="T474" s="124">
        <f ca="1">OFFSET(CÁLCULO!H$15,ROW($T474)-ROW(T$15),0)</f>
        <v>80</v>
      </c>
      <c r="U474" s="125">
        <f t="shared" ca="1" si="117"/>
        <v>0</v>
      </c>
      <c r="V474" s="126" t="s">
        <v>156</v>
      </c>
      <c r="W474" s="124">
        <f ca="1">IF($C474="S",ROUND(IF(TIPOORCAMENTO="Proposto",ORÇAMENTO.CustoUnitario*(1+$AH474),ORÇAMENTO.PrecoUnitarioLicitado),15-13*$AF$10),0)</f>
        <v>0</v>
      </c>
      <c r="X474" s="127">
        <f ca="1">IF($C474="S",IF(Import.TipoArredondamento&lt;&gt;"TransfereGOV",VTOTAL1,SUM(OFFSET(CÁLCULO!$AI$15,ROW($X474)-ROW($X$15),1):OFFSET(CÁLCULO!$BB$15,ROW($X474)-ROW($X$15),-1))),IF($C474=0,0,ROUND(SomaAgrup,15-13*$AF$11)))</f>
        <v>0</v>
      </c>
      <c r="Y474" s="128" t="s">
        <v>245</v>
      </c>
      <c r="Z474" t="str">
        <f t="shared" ca="1" si="130"/>
        <v/>
      </c>
      <c r="AA474" s="129">
        <f ca="1">IF($C474="S",IF($Z474="CP",$X474,IF($Z474="RA",(($X474)*QCI!$AA$3),0)),SomaAgrup)</f>
        <v>0</v>
      </c>
      <c r="AB474" s="130">
        <f t="shared" ca="1" si="131"/>
        <v>0</v>
      </c>
      <c r="AC474" s="131" t="str">
        <f ca="1">IF($N474="","",IF(ORÇAMENTO.Descricao="","DESCRIÇÃO",IF(AND($C474="S",ORÇAMENTO.Unidade=""),"UNIDADE",IF($X474&lt;0,"VALOR NEGATIVO",IF(OR(AND(TIPOORCAMENTO="Proposto",$AG474&lt;&gt;"",$AG474&gt;0,ORÇAMENTO.CustoUnitario&gt;$AG474),AND(TIPOORCAMENTO="LICITADO",ORÇAMENTO.PrecoUnitarioLicitado&gt;$AN474)),"ACIMA REF.","")))))</f>
        <v/>
      </c>
      <c r="AD474" t="str">
        <f ca="1">IF(C474&lt;=CRONO.NivelExibicao,MAX($AD$15:OFFSET(AD474,-1,0))+IF($C474&lt;&gt;1,1,MAX(1,COUNTIF(QCI!$A$13:$A$24,OFFSET($E474,-1,0)))),"")</f>
        <v/>
      </c>
      <c r="AE474" s="7" t="str">
        <f ca="1">IF(AND($C474="S",ORÇAMENTO.CodBarra&lt;&gt;""),IF(ORÇAMENTO.Fonte="",ORÇAMENTO.CodBarra,CONCATENATE(ORÇAMENTO.Fonte," ",ORÇAMENTO.CodBarra)))</f>
        <v>COMPOSIÇÃO FNDE 303</v>
      </c>
      <c r="AF474" s="13" t="str">
        <f ca="1">IF(ISERROR(INDIRECT(ORÇAMENTO.BancoRef)),"(abra o arquivo 'Referência "&amp;Excel_BuiltIn_Database&amp;".xlsm)",IF(OR($C474&lt;&gt;"S",ORÇAMENTO.CodBarra=""),"(Sem Código)",IF(ISERROR(MATCH($AE474,INDIRECT(ORÇAMENTO.BancoRef),0)),"(Código não identificado nas referências)",MATCH($AE474,INDIRECT(ORÇAMENTO.BancoRef),0))))</f>
        <v>(abra o arquivo 'Referência 06-2024.xlsm)</v>
      </c>
      <c r="AG474" s="498">
        <f ca="1">ROUND(IF(DESONERACAO="sim",REFERENCIA.Desonerado,REFERENCIA.NaoDesonerado),2)</f>
        <v>0</v>
      </c>
      <c r="AH474" s="499">
        <f t="shared" ca="1" si="132"/>
        <v>0.2432</v>
      </c>
      <c r="AJ474" s="501"/>
      <c r="AL474" s="527"/>
      <c r="AM474" s="381">
        <f t="shared" ca="1" si="133"/>
        <v>0</v>
      </c>
      <c r="AN474" s="566">
        <f t="shared" ca="1" si="134"/>
        <v>0</v>
      </c>
    </row>
    <row r="475" spans="1:40" ht="25.5" x14ac:dyDescent="0.2">
      <c r="A475" t="str">
        <f t="shared" si="119"/>
        <v>S</v>
      </c>
      <c r="B475">
        <f t="shared" ca="1" si="120"/>
        <v>2</v>
      </c>
      <c r="C475" t="str">
        <f t="shared" ca="1" si="121"/>
        <v>S</v>
      </c>
      <c r="D475">
        <f t="shared" ca="1" si="122"/>
        <v>0</v>
      </c>
      <c r="E475">
        <f ca="1">IF($C475=1,OFFSET(E475,-1,0)+MAX(1,COUNTIF(QCI!$A$13:$A$24,OFFSET(ORÇAMENTO!E475,-1,0))),OFFSET(E475,-1,0))</f>
        <v>1</v>
      </c>
      <c r="F475">
        <f t="shared" ca="1" si="123"/>
        <v>49</v>
      </c>
      <c r="G475">
        <f t="shared" ca="1" si="124"/>
        <v>0</v>
      </c>
      <c r="H475">
        <f t="shared" ca="1" si="125"/>
        <v>0</v>
      </c>
      <c r="I475">
        <f t="shared" ca="1" si="126"/>
        <v>0</v>
      </c>
      <c r="J475">
        <f t="shared" ca="1" si="118"/>
        <v>0</v>
      </c>
      <c r="K475">
        <f ca="1">IF(OR($C475="S",$C475=0),0,MATCH(OFFSET($D475,0,$C475)+IF($C475&lt;&gt;1,1,COUNTIF(QCI!$A$13:$A$24,ORÇAMENTO!E475)),OFFSET($D475,1,$C475,ROW($C$727)-ROW($C475)),0))</f>
        <v>0</v>
      </c>
      <c r="L475" s="116" t="str">
        <f t="shared" ca="1" si="127"/>
        <v/>
      </c>
      <c r="M475" s="117" t="s">
        <v>199</v>
      </c>
      <c r="N475" s="118" t="str">
        <f t="shared" ca="1" si="128"/>
        <v>Serviço</v>
      </c>
      <c r="O475" s="119" t="str">
        <f t="shared" ca="1" si="129"/>
        <v>-</v>
      </c>
      <c r="P475" s="120" t="s">
        <v>247</v>
      </c>
      <c r="Q475" s="121" t="s">
        <v>840</v>
      </c>
      <c r="R475" s="122" t="str">
        <f ca="1">IF($C475="S",REFERENCIA.Descricao,"(digite a descrição aqui)")</f>
        <v>(abra o arquivo 'Referência 06-2024.xlsm)</v>
      </c>
      <c r="S475" s="123" t="str">
        <f ca="1">REFERENCIA.Unidade</f>
        <v>-</v>
      </c>
      <c r="T475" s="124">
        <f ca="1">OFFSET(CÁLCULO!H$15,ROW($T475)-ROW(T$15),0)</f>
        <v>12</v>
      </c>
      <c r="U475" s="125">
        <f t="shared" ca="1" si="117"/>
        <v>0</v>
      </c>
      <c r="V475" s="126" t="s">
        <v>156</v>
      </c>
      <c r="W475" s="124">
        <f ca="1">IF($C475="S",ROUND(IF(TIPOORCAMENTO="Proposto",ORÇAMENTO.CustoUnitario*(1+$AH475),ORÇAMENTO.PrecoUnitarioLicitado),15-13*$AF$10),0)</f>
        <v>0</v>
      </c>
      <c r="X475" s="127">
        <f ca="1">IF($C475="S",IF(Import.TipoArredondamento&lt;&gt;"TransfereGOV",VTOTAL1,SUM(OFFSET(CÁLCULO!$AI$15,ROW($X475)-ROW($X$15),1):OFFSET(CÁLCULO!$BB$15,ROW($X475)-ROW($X$15),-1))),IF($C475=0,0,ROUND(SomaAgrup,15-13*$AF$11)))</f>
        <v>0</v>
      </c>
      <c r="Y475" s="128" t="s">
        <v>245</v>
      </c>
      <c r="Z475" t="str">
        <f t="shared" ca="1" si="130"/>
        <v/>
      </c>
      <c r="AA475" s="129">
        <f ca="1">IF($C475="S",IF($Z475="CP",$X475,IF($Z475="RA",(($X475)*QCI!$AA$3),0)),SomaAgrup)</f>
        <v>0</v>
      </c>
      <c r="AB475" s="130">
        <f t="shared" ca="1" si="131"/>
        <v>0</v>
      </c>
      <c r="AC475" s="131" t="str">
        <f ca="1">IF($N475="","",IF(ORÇAMENTO.Descricao="","DESCRIÇÃO",IF(AND($C475="S",ORÇAMENTO.Unidade=""),"UNIDADE",IF($X475&lt;0,"VALOR NEGATIVO",IF(OR(AND(TIPOORCAMENTO="Proposto",$AG475&lt;&gt;"",$AG475&gt;0,ORÇAMENTO.CustoUnitario&gt;$AG475),AND(TIPOORCAMENTO="LICITADO",ORÇAMENTO.PrecoUnitarioLicitado&gt;$AN475)),"ACIMA REF.","")))))</f>
        <v/>
      </c>
      <c r="AD475" t="str">
        <f ca="1">IF(C475&lt;=CRONO.NivelExibicao,MAX($AD$15:OFFSET(AD475,-1,0))+IF($C475&lt;&gt;1,1,MAX(1,COUNTIF(QCI!$A$13:$A$24,OFFSET($E475,-1,0)))),"")</f>
        <v/>
      </c>
      <c r="AE475" s="7" t="str">
        <f ca="1">IF(AND($C475="S",ORÇAMENTO.CodBarra&lt;&gt;""),IF(ORÇAMENTO.Fonte="",ORÇAMENTO.CodBarra,CONCATENATE(ORÇAMENTO.Fonte," ",ORÇAMENTO.CodBarra)))</f>
        <v>SINAPI 102520</v>
      </c>
      <c r="AF475" s="13" t="str">
        <f ca="1">IF(ISERROR(INDIRECT(ORÇAMENTO.BancoRef)),"(abra o arquivo 'Referência "&amp;Excel_BuiltIn_Database&amp;".xlsm)",IF(OR($C475&lt;&gt;"S",ORÇAMENTO.CodBarra=""),"(Sem Código)",IF(ISERROR(MATCH($AE475,INDIRECT(ORÇAMENTO.BancoRef),0)),"(Código não identificado nas referências)",MATCH($AE475,INDIRECT(ORÇAMENTO.BancoRef),0))))</f>
        <v>(abra o arquivo 'Referência 06-2024.xlsm)</v>
      </c>
      <c r="AG475" s="498">
        <f ca="1">ROUND(IF(DESONERACAO="sim",REFERENCIA.Desonerado,REFERENCIA.NaoDesonerado),2)</f>
        <v>0</v>
      </c>
      <c r="AH475" s="499">
        <f t="shared" ca="1" si="132"/>
        <v>0.2432</v>
      </c>
      <c r="AJ475" s="501"/>
      <c r="AL475" s="527"/>
      <c r="AM475" s="381">
        <f t="shared" ca="1" si="133"/>
        <v>0</v>
      </c>
      <c r="AN475" s="566">
        <f t="shared" ca="1" si="134"/>
        <v>0</v>
      </c>
    </row>
    <row r="476" spans="1:40" ht="25.5" x14ac:dyDescent="0.2">
      <c r="A476">
        <f t="shared" si="119"/>
        <v>2</v>
      </c>
      <c r="B476">
        <f t="shared" ca="1" si="120"/>
        <v>2</v>
      </c>
      <c r="C476">
        <f t="shared" ca="1" si="121"/>
        <v>2</v>
      </c>
      <c r="D476">
        <f t="shared" ca="1" si="122"/>
        <v>3</v>
      </c>
      <c r="E476">
        <f ca="1">IF($C476=1,OFFSET(E476,-1,0)+MAX(1,COUNTIF(QCI!$A$13:$A$24,OFFSET(ORÇAMENTO!E476,-1,0))),OFFSET(E476,-1,0))</f>
        <v>1</v>
      </c>
      <c r="F476">
        <f t="shared" ca="1" si="123"/>
        <v>50</v>
      </c>
      <c r="G476">
        <f t="shared" ca="1" si="124"/>
        <v>0</v>
      </c>
      <c r="H476">
        <f t="shared" ca="1" si="125"/>
        <v>0</v>
      </c>
      <c r="I476">
        <f t="shared" ca="1" si="126"/>
        <v>0</v>
      </c>
      <c r="J476">
        <f t="shared" ca="1" si="118"/>
        <v>251</v>
      </c>
      <c r="K476">
        <f ca="1">IF(OR($C476="S",$C476=0),0,MATCH(OFFSET($D476,0,$C476)+IF($C476&lt;&gt;1,1,COUNTIF(QCI!$A$13:$A$24,ORÇAMENTO!E476)),OFFSET($D476,1,$C476,ROW($C$727)-ROW($C476)),0))</f>
        <v>3</v>
      </c>
      <c r="L476" s="116" t="str">
        <f t="shared" ca="1" si="127"/>
        <v>F</v>
      </c>
      <c r="M476" s="117" t="s">
        <v>196</v>
      </c>
      <c r="N476" s="118" t="str">
        <f t="shared" ca="1" si="128"/>
        <v>Nível 2</v>
      </c>
      <c r="O476" s="119" t="str">
        <f t="shared" ca="1" si="129"/>
        <v>1.50.</v>
      </c>
      <c r="P476" s="120" t="s">
        <v>247</v>
      </c>
      <c r="Q476" s="121"/>
      <c r="R476" s="122" t="s">
        <v>1073</v>
      </c>
      <c r="S476" s="123" t="str">
        <f ca="1">REFERENCIA.Unidade</f>
        <v>-</v>
      </c>
      <c r="T476" s="124">
        <f ca="1">OFFSET(CÁLCULO!H$15,ROW($T476)-ROW(T$15),0)</f>
        <v>0</v>
      </c>
      <c r="U476" s="125">
        <f t="shared" ca="1" si="117"/>
        <v>0</v>
      </c>
      <c r="V476" s="126" t="s">
        <v>156</v>
      </c>
      <c r="W476" s="124">
        <f ca="1">IF($C476="S",ROUND(IF(TIPOORCAMENTO="Proposto",ORÇAMENTO.CustoUnitario*(1+$AH476),ORÇAMENTO.PrecoUnitarioLicitado),15-13*$AF$10),0)</f>
        <v>0</v>
      </c>
      <c r="X476" s="127">
        <f ca="1">IF($C476="S",IF(Import.TipoArredondamento&lt;&gt;"TransfereGOV",VTOTAL1,SUM(OFFSET(CÁLCULO!$AI$15,ROW($X476)-ROW($X$15),1):OFFSET(CÁLCULO!$BB$15,ROW($X476)-ROW($X$15),-1))),IF($C476=0,0,ROUND(SomaAgrup,15-13*$AF$11)))</f>
        <v>0</v>
      </c>
      <c r="Y476" s="128" t="s">
        <v>245</v>
      </c>
      <c r="Z476" t="str">
        <f t="shared" ca="1" si="130"/>
        <v/>
      </c>
      <c r="AA476" s="129">
        <f ca="1">IF($C476="S",IF($Z476="CP",$X476,IF($Z476="RA",(($X476)*QCI!$AA$3),0)),SomaAgrup)</f>
        <v>0</v>
      </c>
      <c r="AB476" s="130">
        <f t="shared" ca="1" si="131"/>
        <v>0</v>
      </c>
      <c r="AC476" s="131" t="str">
        <f ca="1">IF($N476="","",IF(ORÇAMENTO.Descricao="","DESCRIÇÃO",IF(AND($C476="S",ORÇAMENTO.Unidade=""),"UNIDADE",IF($X476&lt;0,"VALOR NEGATIVO",IF(OR(AND(TIPOORCAMENTO="Proposto",$AG476&lt;&gt;"",$AG476&gt;0,ORÇAMENTO.CustoUnitario&gt;$AG476),AND(TIPOORCAMENTO="LICITADO",ORÇAMENTO.PrecoUnitarioLicitado&gt;$AN476)),"ACIMA REF.","")))))</f>
        <v/>
      </c>
      <c r="AD476">
        <f ca="1">IF(C476&lt;=CRONO.NivelExibicao,MAX($AD$15:OFFSET(AD476,-1,0))+IF($C476&lt;&gt;1,1,MAX(1,COUNTIF(QCI!$A$13:$A$24,OFFSET($E476,-1,0)))),"")</f>
        <v>51</v>
      </c>
      <c r="AE476" s="7" t="b">
        <f ca="1">IF(AND($C476="S",ORÇAMENTO.CodBarra&lt;&gt;""),IF(ORÇAMENTO.Fonte="",ORÇAMENTO.CodBarra,CONCATENATE(ORÇAMENTO.Fonte," ",ORÇAMENTO.CodBarra)))</f>
        <v>0</v>
      </c>
      <c r="AF476" s="13" t="str">
        <f ca="1">IF(ISERROR(INDIRECT(ORÇAMENTO.BancoRef)),"(abra o arquivo 'Referência "&amp;Excel_BuiltIn_Database&amp;".xlsm)",IF(OR($C476&lt;&gt;"S",ORÇAMENTO.CodBarra=""),"(Sem Código)",IF(ISERROR(MATCH($AE476,INDIRECT(ORÇAMENTO.BancoRef),0)),"(Código não identificado nas referências)",MATCH($AE476,INDIRECT(ORÇAMENTO.BancoRef),0))))</f>
        <v>(abra o arquivo 'Referência 06-2024.xlsm)</v>
      </c>
      <c r="AG476" s="498">
        <f ca="1">ROUND(IF(DESONERACAO="sim",REFERENCIA.Desonerado,REFERENCIA.NaoDesonerado),2)</f>
        <v>0</v>
      </c>
      <c r="AH476" s="499">
        <f t="shared" ca="1" si="132"/>
        <v>0.2432</v>
      </c>
      <c r="AJ476" s="501"/>
      <c r="AL476" s="527"/>
      <c r="AM476" s="381">
        <f t="shared" ca="1" si="133"/>
        <v>0</v>
      </c>
      <c r="AN476" s="566">
        <f t="shared" ca="1" si="134"/>
        <v>0</v>
      </c>
    </row>
    <row r="477" spans="1:40" x14ac:dyDescent="0.2">
      <c r="A477" t="str">
        <f t="shared" si="119"/>
        <v>S</v>
      </c>
      <c r="B477">
        <f t="shared" ca="1" si="120"/>
        <v>2</v>
      </c>
      <c r="C477" t="str">
        <f t="shared" ca="1" si="121"/>
        <v>S</v>
      </c>
      <c r="D477">
        <f t="shared" ca="1" si="122"/>
        <v>0</v>
      </c>
      <c r="E477">
        <f ca="1">IF($C477=1,OFFSET(E477,-1,0)+MAX(1,COUNTIF(QCI!$A$13:$A$24,OFFSET(ORÇAMENTO!E477,-1,0))),OFFSET(E477,-1,0))</f>
        <v>1</v>
      </c>
      <c r="F477">
        <f t="shared" ca="1" si="123"/>
        <v>50</v>
      </c>
      <c r="G477">
        <f t="shared" ca="1" si="124"/>
        <v>0</v>
      </c>
      <c r="H477">
        <f t="shared" ca="1" si="125"/>
        <v>0</v>
      </c>
      <c r="I477">
        <f t="shared" ca="1" si="126"/>
        <v>0</v>
      </c>
      <c r="J477">
        <f t="shared" ca="1" si="118"/>
        <v>0</v>
      </c>
      <c r="K477">
        <f ca="1">IF(OR($C477="S",$C477=0),0,MATCH(OFFSET($D477,0,$C477)+IF($C477&lt;&gt;1,1,COUNTIF(QCI!$A$13:$A$24,ORÇAMENTO!E477)),OFFSET($D477,1,$C477,ROW($C$727)-ROW($C477)),0))</f>
        <v>0</v>
      </c>
      <c r="L477" s="116" t="str">
        <f t="shared" ca="1" si="127"/>
        <v/>
      </c>
      <c r="M477" s="117" t="s">
        <v>199</v>
      </c>
      <c r="N477" s="118" t="str">
        <f t="shared" ca="1" si="128"/>
        <v>Serviço</v>
      </c>
      <c r="O477" s="119" t="str">
        <f t="shared" ca="1" si="129"/>
        <v>-</v>
      </c>
      <c r="P477" s="120" t="s">
        <v>458</v>
      </c>
      <c r="Q477" s="121" t="s">
        <v>841</v>
      </c>
      <c r="R477" s="122" t="str">
        <f ca="1">IF($C477="S",REFERENCIA.Descricao,"(digite a descrição aqui)")</f>
        <v>(abra o arquivo 'Referência 06-2024.xlsm)</v>
      </c>
      <c r="S477" s="123" t="str">
        <f ca="1">REFERENCIA.Unidade</f>
        <v>-</v>
      </c>
      <c r="T477" s="124">
        <f ca="1">OFFSET(CÁLCULO!H$15,ROW($T477)-ROW(T$15),0)</f>
        <v>1</v>
      </c>
      <c r="U477" s="125">
        <f t="shared" ca="1" si="117"/>
        <v>0</v>
      </c>
      <c r="V477" s="126" t="s">
        <v>156</v>
      </c>
      <c r="W477" s="124">
        <f ca="1">IF($C477="S",ROUND(IF(TIPOORCAMENTO="Proposto",ORÇAMENTO.CustoUnitario*(1+$AH477),ORÇAMENTO.PrecoUnitarioLicitado),15-13*$AF$10),0)</f>
        <v>0</v>
      </c>
      <c r="X477" s="127">
        <f ca="1">IF($C477="S",IF(Import.TipoArredondamento&lt;&gt;"TransfereGOV",VTOTAL1,SUM(OFFSET(CÁLCULO!$AI$15,ROW($X477)-ROW($X$15),1):OFFSET(CÁLCULO!$BB$15,ROW($X477)-ROW($X$15),-1))),IF($C477=0,0,ROUND(SomaAgrup,15-13*$AF$11)))</f>
        <v>0</v>
      </c>
      <c r="Y477" s="128" t="s">
        <v>245</v>
      </c>
      <c r="Z477" t="str">
        <f t="shared" ca="1" si="130"/>
        <v/>
      </c>
      <c r="AA477" s="129">
        <f ca="1">IF($C477="S",IF($Z477="CP",$X477,IF($Z477="RA",(($X477)*QCI!$AA$3),0)),SomaAgrup)</f>
        <v>0</v>
      </c>
      <c r="AB477" s="130">
        <f t="shared" ca="1" si="131"/>
        <v>0</v>
      </c>
      <c r="AC477" s="131" t="str">
        <f ca="1">IF($N477="","",IF(ORÇAMENTO.Descricao="","DESCRIÇÃO",IF(AND($C477="S",ORÇAMENTO.Unidade=""),"UNIDADE",IF($X477&lt;0,"VALOR NEGATIVO",IF(OR(AND(TIPOORCAMENTO="Proposto",$AG477&lt;&gt;"",$AG477&gt;0,ORÇAMENTO.CustoUnitario&gt;$AG477),AND(TIPOORCAMENTO="LICITADO",ORÇAMENTO.PrecoUnitarioLicitado&gt;$AN477)),"ACIMA REF.","")))))</f>
        <v/>
      </c>
      <c r="AD477" t="str">
        <f ca="1">IF(C477&lt;=CRONO.NivelExibicao,MAX($AD$15:OFFSET(AD477,-1,0))+IF($C477&lt;&gt;1,1,MAX(1,COUNTIF(QCI!$A$13:$A$24,OFFSET($E477,-1,0)))),"")</f>
        <v/>
      </c>
      <c r="AE477" s="7" t="str">
        <f ca="1">IF(AND($C477="S",ORÇAMENTO.CodBarra&lt;&gt;""),IF(ORÇAMENTO.Fonte="",ORÇAMENTO.CodBarra,CONCATENATE(ORÇAMENTO.Fonte," ",ORÇAMENTO.CodBarra)))</f>
        <v>COMPOSIÇÃO FNDE 350</v>
      </c>
      <c r="AF477" s="13" t="str">
        <f ca="1">IF(ISERROR(INDIRECT(ORÇAMENTO.BancoRef)),"(abra o arquivo 'Referência "&amp;Excel_BuiltIn_Database&amp;".xlsm)",IF(OR($C477&lt;&gt;"S",ORÇAMENTO.CodBarra=""),"(Sem Código)",IF(ISERROR(MATCH($AE477,INDIRECT(ORÇAMENTO.BancoRef),0)),"(Código não identificado nas referências)",MATCH($AE477,INDIRECT(ORÇAMENTO.BancoRef),0))))</f>
        <v>(abra o arquivo 'Referência 06-2024.xlsm)</v>
      </c>
      <c r="AG477" s="498">
        <f ca="1">ROUND(IF(DESONERACAO="sim",REFERENCIA.Desonerado,REFERENCIA.NaoDesonerado),2)</f>
        <v>0</v>
      </c>
      <c r="AH477" s="499">
        <f t="shared" ca="1" si="132"/>
        <v>0.2432</v>
      </c>
      <c r="AJ477" s="501"/>
      <c r="AL477" s="527"/>
      <c r="AM477" s="381">
        <f t="shared" ca="1" si="133"/>
        <v>0</v>
      </c>
      <c r="AN477" s="566">
        <f t="shared" ca="1" si="134"/>
        <v>0</v>
      </c>
    </row>
    <row r="478" spans="1:40" ht="25.5" x14ac:dyDescent="0.2">
      <c r="A478" t="str">
        <f t="shared" si="119"/>
        <v>S</v>
      </c>
      <c r="B478">
        <f t="shared" ca="1" si="120"/>
        <v>2</v>
      </c>
      <c r="C478" t="str">
        <f t="shared" ca="1" si="121"/>
        <v>S</v>
      </c>
      <c r="D478">
        <f t="shared" ca="1" si="122"/>
        <v>0</v>
      </c>
      <c r="E478">
        <f ca="1">IF($C478=1,OFFSET(E478,-1,0)+MAX(1,COUNTIF(QCI!$A$13:$A$24,OFFSET(ORÇAMENTO!E478,-1,0))),OFFSET(E478,-1,0))</f>
        <v>1</v>
      </c>
      <c r="F478">
        <f t="shared" ca="1" si="123"/>
        <v>50</v>
      </c>
      <c r="G478">
        <f t="shared" ca="1" si="124"/>
        <v>0</v>
      </c>
      <c r="H478">
        <f t="shared" ca="1" si="125"/>
        <v>0</v>
      </c>
      <c r="I478">
        <f t="shared" ca="1" si="126"/>
        <v>0</v>
      </c>
      <c r="J478">
        <f t="shared" ca="1" si="118"/>
        <v>0</v>
      </c>
      <c r="K478">
        <f ca="1">IF(OR($C478="S",$C478=0),0,MATCH(OFFSET($D478,0,$C478)+IF($C478&lt;&gt;1,1,COUNTIF(QCI!$A$13:$A$24,ORÇAMENTO!E478)),OFFSET($D478,1,$C478,ROW($C$727)-ROW($C478)),0))</f>
        <v>0</v>
      </c>
      <c r="L478" s="116" t="str">
        <f t="shared" ca="1" si="127"/>
        <v/>
      </c>
      <c r="M478" s="117" t="s">
        <v>199</v>
      </c>
      <c r="N478" s="118" t="str">
        <f t="shared" ca="1" si="128"/>
        <v>Serviço</v>
      </c>
      <c r="O478" s="119" t="str">
        <f t="shared" ca="1" si="129"/>
        <v>-</v>
      </c>
      <c r="P478" s="120" t="s">
        <v>458</v>
      </c>
      <c r="Q478" s="121" t="s">
        <v>842</v>
      </c>
      <c r="R478" s="122" t="str">
        <f ca="1">IF($C478="S",REFERENCIA.Descricao,"(digite a descrição aqui)")</f>
        <v>(abra o arquivo 'Referência 06-2024.xlsm)</v>
      </c>
      <c r="S478" s="123" t="str">
        <f ca="1">REFERENCIA.Unidade</f>
        <v>-</v>
      </c>
      <c r="T478" s="124">
        <f ca="1">OFFSET(CÁLCULO!H$15,ROW($T478)-ROW(T$15),0)</f>
        <v>1</v>
      </c>
      <c r="U478" s="125">
        <f t="shared" ca="1" si="117"/>
        <v>0</v>
      </c>
      <c r="V478" s="126" t="s">
        <v>156</v>
      </c>
      <c r="W478" s="124">
        <f ca="1">IF($C478="S",ROUND(IF(TIPOORCAMENTO="Proposto",ORÇAMENTO.CustoUnitario*(1+$AH478),ORÇAMENTO.PrecoUnitarioLicitado),15-13*$AF$10),0)</f>
        <v>0</v>
      </c>
      <c r="X478" s="127">
        <f ca="1">IF($C478="S",IF(Import.TipoArredondamento&lt;&gt;"TransfereGOV",VTOTAL1,SUM(OFFSET(CÁLCULO!$AI$15,ROW($X478)-ROW($X$15),1):OFFSET(CÁLCULO!$BB$15,ROW($X478)-ROW($X$15),-1))),IF($C478=0,0,ROUND(SomaAgrup,15-13*$AF$11)))</f>
        <v>0</v>
      </c>
      <c r="Y478" s="128" t="s">
        <v>245</v>
      </c>
      <c r="Z478" t="str">
        <f t="shared" ca="1" si="130"/>
        <v/>
      </c>
      <c r="AA478" s="129">
        <f ca="1">IF($C478="S",IF($Z478="CP",$X478,IF($Z478="RA",(($X478)*QCI!$AA$3),0)),SomaAgrup)</f>
        <v>0</v>
      </c>
      <c r="AB478" s="130">
        <f t="shared" ca="1" si="131"/>
        <v>0</v>
      </c>
      <c r="AC478" s="131" t="str">
        <f ca="1">IF($N478="","",IF(ORÇAMENTO.Descricao="","DESCRIÇÃO",IF(AND($C478="S",ORÇAMENTO.Unidade=""),"UNIDADE",IF($X478&lt;0,"VALOR NEGATIVO",IF(OR(AND(TIPOORCAMENTO="Proposto",$AG478&lt;&gt;"",$AG478&gt;0,ORÇAMENTO.CustoUnitario&gt;$AG478),AND(TIPOORCAMENTO="LICITADO",ORÇAMENTO.PrecoUnitarioLicitado&gt;$AN478)),"ACIMA REF.","")))))</f>
        <v/>
      </c>
      <c r="AD478" t="str">
        <f ca="1">IF(C478&lt;=CRONO.NivelExibicao,MAX($AD$15:OFFSET(AD478,-1,0))+IF($C478&lt;&gt;1,1,MAX(1,COUNTIF(QCI!$A$13:$A$24,OFFSET($E478,-1,0)))),"")</f>
        <v/>
      </c>
      <c r="AE478" s="7" t="str">
        <f ca="1">IF(AND($C478="S",ORÇAMENTO.CodBarra&lt;&gt;""),IF(ORÇAMENTO.Fonte="",ORÇAMENTO.CodBarra,CONCATENATE(ORÇAMENTO.Fonte," ",ORÇAMENTO.CodBarra)))</f>
        <v>COMPOSIÇÃO FNDE 346</v>
      </c>
      <c r="AF478" s="13" t="str">
        <f ca="1">IF(ISERROR(INDIRECT(ORÇAMENTO.BancoRef)),"(abra o arquivo 'Referência "&amp;Excel_BuiltIn_Database&amp;".xlsm)",IF(OR($C478&lt;&gt;"S",ORÇAMENTO.CodBarra=""),"(Sem Código)",IF(ISERROR(MATCH($AE478,INDIRECT(ORÇAMENTO.BancoRef),0)),"(Código não identificado nas referências)",MATCH($AE478,INDIRECT(ORÇAMENTO.BancoRef),0))))</f>
        <v>(abra o arquivo 'Referência 06-2024.xlsm)</v>
      </c>
      <c r="AG478" s="498">
        <f ca="1">ROUND(IF(DESONERACAO="sim",REFERENCIA.Desonerado,REFERENCIA.NaoDesonerado),2)</f>
        <v>0</v>
      </c>
      <c r="AH478" s="499">
        <f t="shared" ca="1" si="132"/>
        <v>0.2432</v>
      </c>
      <c r="AJ478" s="501"/>
      <c r="AL478" s="527"/>
      <c r="AM478" s="381">
        <f t="shared" ca="1" si="133"/>
        <v>0</v>
      </c>
      <c r="AN478" s="566">
        <f t="shared" ca="1" si="134"/>
        <v>0</v>
      </c>
    </row>
    <row r="479" spans="1:40" x14ac:dyDescent="0.2">
      <c r="A479">
        <f t="shared" si="119"/>
        <v>2</v>
      </c>
      <c r="B479">
        <f t="shared" ca="1" si="120"/>
        <v>2</v>
      </c>
      <c r="C479">
        <f t="shared" ca="1" si="121"/>
        <v>2</v>
      </c>
      <c r="D479">
        <f t="shared" ca="1" si="122"/>
        <v>11</v>
      </c>
      <c r="E479">
        <f ca="1">IF($C479=1,OFFSET(E479,-1,0)+MAX(1,COUNTIF(QCI!$A$13:$A$24,OFFSET(ORÇAMENTO!E479,-1,0))),OFFSET(E479,-1,0))</f>
        <v>1</v>
      </c>
      <c r="F479">
        <f t="shared" ca="1" si="123"/>
        <v>51</v>
      </c>
      <c r="G479">
        <f t="shared" ca="1" si="124"/>
        <v>0</v>
      </c>
      <c r="H479">
        <f t="shared" ca="1" si="125"/>
        <v>0</v>
      </c>
      <c r="I479">
        <f t="shared" ca="1" si="126"/>
        <v>0</v>
      </c>
      <c r="J479">
        <f t="shared" ca="1" si="118"/>
        <v>248</v>
      </c>
      <c r="K479">
        <f ca="1">IF(OR($C479="S",$C479=0),0,MATCH(OFFSET($D479,0,$C479)+IF($C479&lt;&gt;1,1,COUNTIF(QCI!$A$13:$A$24,ORÇAMENTO!E479)),OFFSET($D479,1,$C479,ROW($C$727)-ROW($C479)),0))</f>
        <v>11</v>
      </c>
      <c r="L479" s="116" t="str">
        <f t="shared" ca="1" si="127"/>
        <v>F</v>
      </c>
      <c r="M479" s="117" t="s">
        <v>196</v>
      </c>
      <c r="N479" s="118" t="str">
        <f t="shared" ca="1" si="128"/>
        <v>Nível 2</v>
      </c>
      <c r="O479" s="119" t="str">
        <f t="shared" ca="1" si="129"/>
        <v>1.51.</v>
      </c>
      <c r="P479" s="120" t="s">
        <v>247</v>
      </c>
      <c r="Q479" s="121"/>
      <c r="R479" s="122" t="s">
        <v>1074</v>
      </c>
      <c r="S479" s="123" t="str">
        <f ca="1">REFERENCIA.Unidade</f>
        <v>-</v>
      </c>
      <c r="T479" s="124">
        <f ca="1">OFFSET(CÁLCULO!H$15,ROW($T479)-ROW(T$15),0)</f>
        <v>0</v>
      </c>
      <c r="U479" s="125">
        <f t="shared" ca="1" si="117"/>
        <v>0</v>
      </c>
      <c r="V479" s="126" t="s">
        <v>156</v>
      </c>
      <c r="W479" s="124">
        <f ca="1">IF($C479="S",ROUND(IF(TIPOORCAMENTO="Proposto",ORÇAMENTO.CustoUnitario*(1+$AH479),ORÇAMENTO.PrecoUnitarioLicitado),15-13*$AF$10),0)</f>
        <v>0</v>
      </c>
      <c r="X479" s="127">
        <f ca="1">IF($C479="S",IF(Import.TipoArredondamento&lt;&gt;"TransfereGOV",VTOTAL1,SUM(OFFSET(CÁLCULO!$AI$15,ROW($X479)-ROW($X$15),1):OFFSET(CÁLCULO!$BB$15,ROW($X479)-ROW($X$15),-1))),IF($C479=0,0,ROUND(SomaAgrup,15-13*$AF$11)))</f>
        <v>0</v>
      </c>
      <c r="Y479" s="128" t="s">
        <v>245</v>
      </c>
      <c r="Z479" t="str">
        <f t="shared" ca="1" si="130"/>
        <v/>
      </c>
      <c r="AA479" s="129">
        <f ca="1">IF($C479="S",IF($Z479="CP",$X479,IF($Z479="RA",(($X479)*QCI!$AA$3),0)),SomaAgrup)</f>
        <v>0</v>
      </c>
      <c r="AB479" s="130">
        <f t="shared" ca="1" si="131"/>
        <v>0</v>
      </c>
      <c r="AC479" s="131" t="str">
        <f ca="1">IF($N479="","",IF(ORÇAMENTO.Descricao="","DESCRIÇÃO",IF(AND($C479="S",ORÇAMENTO.Unidade=""),"UNIDADE",IF($X479&lt;0,"VALOR NEGATIVO",IF(OR(AND(TIPOORCAMENTO="Proposto",$AG479&lt;&gt;"",$AG479&gt;0,ORÇAMENTO.CustoUnitario&gt;$AG479),AND(TIPOORCAMENTO="LICITADO",ORÇAMENTO.PrecoUnitarioLicitado&gt;$AN479)),"ACIMA REF.","")))))</f>
        <v/>
      </c>
      <c r="AD479">
        <f ca="1">IF(C479&lt;=CRONO.NivelExibicao,MAX($AD$15:OFFSET(AD479,-1,0))+IF($C479&lt;&gt;1,1,MAX(1,COUNTIF(QCI!$A$13:$A$24,OFFSET($E479,-1,0)))),"")</f>
        <v>52</v>
      </c>
      <c r="AE479" s="7" t="b">
        <f ca="1">IF(AND($C479="S",ORÇAMENTO.CodBarra&lt;&gt;""),IF(ORÇAMENTO.Fonte="",ORÇAMENTO.CodBarra,CONCATENATE(ORÇAMENTO.Fonte," ",ORÇAMENTO.CodBarra)))</f>
        <v>0</v>
      </c>
      <c r="AF479" s="13" t="str">
        <f ca="1">IF(ISERROR(INDIRECT(ORÇAMENTO.BancoRef)),"(abra o arquivo 'Referência "&amp;Excel_BuiltIn_Database&amp;".xlsm)",IF(OR($C479&lt;&gt;"S",ORÇAMENTO.CodBarra=""),"(Sem Código)",IF(ISERROR(MATCH($AE479,INDIRECT(ORÇAMENTO.BancoRef),0)),"(Código não identificado nas referências)",MATCH($AE479,INDIRECT(ORÇAMENTO.BancoRef),0))))</f>
        <v>(abra o arquivo 'Referência 06-2024.xlsm)</v>
      </c>
      <c r="AG479" s="498">
        <f ca="1">ROUND(IF(DESONERACAO="sim",REFERENCIA.Desonerado,REFERENCIA.NaoDesonerado),2)</f>
        <v>0</v>
      </c>
      <c r="AH479" s="499">
        <f t="shared" ca="1" si="132"/>
        <v>0.2432</v>
      </c>
      <c r="AJ479" s="501"/>
      <c r="AL479" s="527"/>
      <c r="AM479" s="381">
        <f t="shared" ca="1" si="133"/>
        <v>0</v>
      </c>
      <c r="AN479" s="566">
        <f t="shared" ca="1" si="134"/>
        <v>0</v>
      </c>
    </row>
    <row r="480" spans="1:40" x14ac:dyDescent="0.2">
      <c r="A480" t="str">
        <f t="shared" si="119"/>
        <v>S</v>
      </c>
      <c r="B480">
        <f t="shared" ca="1" si="120"/>
        <v>2</v>
      </c>
      <c r="C480" t="str">
        <f t="shared" ca="1" si="121"/>
        <v>S</v>
      </c>
      <c r="D480">
        <f t="shared" ca="1" si="122"/>
        <v>0</v>
      </c>
      <c r="E480">
        <f ca="1">IF($C480=1,OFFSET(E480,-1,0)+MAX(1,COUNTIF(QCI!$A$13:$A$24,OFFSET(ORÇAMENTO!E480,-1,0))),OFFSET(E480,-1,0))</f>
        <v>1</v>
      </c>
      <c r="F480">
        <f t="shared" ca="1" si="123"/>
        <v>51</v>
      </c>
      <c r="G480">
        <f t="shared" ca="1" si="124"/>
        <v>0</v>
      </c>
      <c r="H480">
        <f t="shared" ca="1" si="125"/>
        <v>0</v>
      </c>
      <c r="I480">
        <f t="shared" ca="1" si="126"/>
        <v>0</v>
      </c>
      <c r="J480">
        <f t="shared" ca="1" si="118"/>
        <v>0</v>
      </c>
      <c r="K480">
        <f ca="1">IF(OR($C480="S",$C480=0),0,MATCH(OFFSET($D480,0,$C480)+IF($C480&lt;&gt;1,1,COUNTIF(QCI!$A$13:$A$24,ORÇAMENTO!E480)),OFFSET($D480,1,$C480,ROW($C$727)-ROW($C480)),0))</f>
        <v>0</v>
      </c>
      <c r="L480" s="116" t="str">
        <f t="shared" ca="1" si="127"/>
        <v/>
      </c>
      <c r="M480" s="117" t="s">
        <v>199</v>
      </c>
      <c r="N480" s="118" t="str">
        <f t="shared" ca="1" si="128"/>
        <v>Serviço</v>
      </c>
      <c r="O480" s="119" t="str">
        <f t="shared" ca="1" si="129"/>
        <v>-</v>
      </c>
      <c r="P480" s="120" t="s">
        <v>458</v>
      </c>
      <c r="Q480" s="121" t="s">
        <v>843</v>
      </c>
      <c r="R480" s="122" t="str">
        <f ca="1">IF($C480="S",REFERENCIA.Descricao,"(digite a descrição aqui)")</f>
        <v>(abra o arquivo 'Referência 06-2024.xlsm)</v>
      </c>
      <c r="S480" s="123" t="str">
        <f ca="1">REFERENCIA.Unidade</f>
        <v>-</v>
      </c>
      <c r="T480" s="124">
        <f ca="1">OFFSET(CÁLCULO!H$15,ROW($T480)-ROW(T$15),0)</f>
        <v>4</v>
      </c>
      <c r="U480" s="125">
        <f t="shared" ca="1" si="117"/>
        <v>0</v>
      </c>
      <c r="V480" s="126" t="s">
        <v>156</v>
      </c>
      <c r="W480" s="124">
        <f ca="1">IF($C480="S",ROUND(IF(TIPOORCAMENTO="Proposto",ORÇAMENTO.CustoUnitario*(1+$AH480),ORÇAMENTO.PrecoUnitarioLicitado),15-13*$AF$10),0)</f>
        <v>0</v>
      </c>
      <c r="X480" s="127">
        <f ca="1">IF($C480="S",IF(Import.TipoArredondamento&lt;&gt;"TransfereGOV",VTOTAL1,SUM(OFFSET(CÁLCULO!$AI$15,ROW($X480)-ROW($X$15),1):OFFSET(CÁLCULO!$BB$15,ROW($X480)-ROW($X$15),-1))),IF($C480=0,0,ROUND(SomaAgrup,15-13*$AF$11)))</f>
        <v>0</v>
      </c>
      <c r="Y480" s="128" t="s">
        <v>245</v>
      </c>
      <c r="Z480" t="str">
        <f t="shared" ca="1" si="130"/>
        <v/>
      </c>
      <c r="AA480" s="129">
        <f ca="1">IF($C480="S",IF($Z480="CP",$X480,IF($Z480="RA",(($X480)*QCI!$AA$3),0)),SomaAgrup)</f>
        <v>0</v>
      </c>
      <c r="AB480" s="130">
        <f t="shared" ca="1" si="131"/>
        <v>0</v>
      </c>
      <c r="AC480" s="131" t="str">
        <f ca="1">IF($N480="","",IF(ORÇAMENTO.Descricao="","DESCRIÇÃO",IF(AND($C480="S",ORÇAMENTO.Unidade=""),"UNIDADE",IF($X480&lt;0,"VALOR NEGATIVO",IF(OR(AND(TIPOORCAMENTO="Proposto",$AG480&lt;&gt;"",$AG480&gt;0,ORÇAMENTO.CustoUnitario&gt;$AG480),AND(TIPOORCAMENTO="LICITADO",ORÇAMENTO.PrecoUnitarioLicitado&gt;$AN480)),"ACIMA REF.","")))))</f>
        <v/>
      </c>
      <c r="AD480" t="str">
        <f ca="1">IF(C480&lt;=CRONO.NivelExibicao,MAX($AD$15:OFFSET(AD480,-1,0))+IF($C480&lt;&gt;1,1,MAX(1,COUNTIF(QCI!$A$13:$A$24,OFFSET($E480,-1,0)))),"")</f>
        <v/>
      </c>
      <c r="AE480" s="7" t="str">
        <f ca="1">IF(AND($C480="S",ORÇAMENTO.CodBarra&lt;&gt;""),IF(ORÇAMENTO.Fonte="",ORÇAMENTO.CodBarra,CONCATENATE(ORÇAMENTO.Fonte," ",ORÇAMENTO.CodBarra)))</f>
        <v>COMPOSIÇÃO FNDE 347</v>
      </c>
      <c r="AF480" s="13" t="str">
        <f ca="1">IF(ISERROR(INDIRECT(ORÇAMENTO.BancoRef)),"(abra o arquivo 'Referência "&amp;Excel_BuiltIn_Database&amp;".xlsm)",IF(OR($C480&lt;&gt;"S",ORÇAMENTO.CodBarra=""),"(Sem Código)",IF(ISERROR(MATCH($AE480,INDIRECT(ORÇAMENTO.BancoRef),0)),"(Código não identificado nas referências)",MATCH($AE480,INDIRECT(ORÇAMENTO.BancoRef),0))))</f>
        <v>(abra o arquivo 'Referência 06-2024.xlsm)</v>
      </c>
      <c r="AG480" s="498">
        <f ca="1">ROUND(IF(DESONERACAO="sim",REFERENCIA.Desonerado,REFERENCIA.NaoDesonerado),2)</f>
        <v>0</v>
      </c>
      <c r="AH480" s="499">
        <f t="shared" ca="1" si="132"/>
        <v>0.2432</v>
      </c>
      <c r="AJ480" s="501"/>
      <c r="AL480" s="527"/>
      <c r="AM480" s="381">
        <f t="shared" ca="1" si="133"/>
        <v>0</v>
      </c>
      <c r="AN480" s="566">
        <f t="shared" ca="1" si="134"/>
        <v>0</v>
      </c>
    </row>
    <row r="481" spans="1:40" x14ac:dyDescent="0.2">
      <c r="A481" t="str">
        <f t="shared" si="119"/>
        <v>S</v>
      </c>
      <c r="B481">
        <f t="shared" ca="1" si="120"/>
        <v>2</v>
      </c>
      <c r="C481" t="str">
        <f t="shared" ca="1" si="121"/>
        <v>S</v>
      </c>
      <c r="D481">
        <f t="shared" ca="1" si="122"/>
        <v>0</v>
      </c>
      <c r="E481">
        <f ca="1">IF($C481=1,OFFSET(E481,-1,0)+MAX(1,COUNTIF(QCI!$A$13:$A$24,OFFSET(ORÇAMENTO!E481,-1,0))),OFFSET(E481,-1,0))</f>
        <v>1</v>
      </c>
      <c r="F481">
        <f t="shared" ca="1" si="123"/>
        <v>51</v>
      </c>
      <c r="G481">
        <f t="shared" ca="1" si="124"/>
        <v>0</v>
      </c>
      <c r="H481">
        <f t="shared" ca="1" si="125"/>
        <v>0</v>
      </c>
      <c r="I481">
        <f t="shared" ca="1" si="126"/>
        <v>0</v>
      </c>
      <c r="J481">
        <f t="shared" ca="1" si="118"/>
        <v>0</v>
      </c>
      <c r="K481">
        <f ca="1">IF(OR($C481="S",$C481=0),0,MATCH(OFFSET($D481,0,$C481)+IF($C481&lt;&gt;1,1,COUNTIF(QCI!$A$13:$A$24,ORÇAMENTO!E481)),OFFSET($D481,1,$C481,ROW($C$727)-ROW($C481)),0))</f>
        <v>0</v>
      </c>
      <c r="L481" s="116" t="str">
        <f t="shared" ca="1" si="127"/>
        <v/>
      </c>
      <c r="M481" s="117" t="s">
        <v>199</v>
      </c>
      <c r="N481" s="118" t="str">
        <f t="shared" ca="1" si="128"/>
        <v>Serviço</v>
      </c>
      <c r="O481" s="119" t="str">
        <f t="shared" ca="1" si="129"/>
        <v>-</v>
      </c>
      <c r="P481" s="120" t="s">
        <v>458</v>
      </c>
      <c r="Q481" s="121" t="s">
        <v>844</v>
      </c>
      <c r="R481" s="122" t="str">
        <f ca="1">IF($C481="S",REFERENCIA.Descricao,"(digite a descrição aqui)")</f>
        <v>(abra o arquivo 'Referência 06-2024.xlsm)</v>
      </c>
      <c r="S481" s="123" t="str">
        <f ca="1">REFERENCIA.Unidade</f>
        <v>-</v>
      </c>
      <c r="T481" s="124">
        <f ca="1">OFFSET(CÁLCULO!H$15,ROW($T481)-ROW(T$15),0)</f>
        <v>4</v>
      </c>
      <c r="U481" s="125">
        <f t="shared" ca="1" si="117"/>
        <v>0</v>
      </c>
      <c r="V481" s="126" t="s">
        <v>156</v>
      </c>
      <c r="W481" s="124">
        <f ca="1">IF($C481="S",ROUND(IF(TIPOORCAMENTO="Proposto",ORÇAMENTO.CustoUnitario*(1+$AH481),ORÇAMENTO.PrecoUnitarioLicitado),15-13*$AF$10),0)</f>
        <v>0</v>
      </c>
      <c r="X481" s="127">
        <f ca="1">IF($C481="S",IF(Import.TipoArredondamento&lt;&gt;"TransfereGOV",VTOTAL1,SUM(OFFSET(CÁLCULO!$AI$15,ROW($X481)-ROW($X$15),1):OFFSET(CÁLCULO!$BB$15,ROW($X481)-ROW($X$15),-1))),IF($C481=0,0,ROUND(SomaAgrup,15-13*$AF$11)))</f>
        <v>0</v>
      </c>
      <c r="Y481" s="128" t="s">
        <v>245</v>
      </c>
      <c r="Z481" t="str">
        <f t="shared" ca="1" si="130"/>
        <v/>
      </c>
      <c r="AA481" s="129">
        <f ca="1">IF($C481="S",IF($Z481="CP",$X481,IF($Z481="RA",(($X481)*QCI!$AA$3),0)),SomaAgrup)</f>
        <v>0</v>
      </c>
      <c r="AB481" s="130">
        <f t="shared" ca="1" si="131"/>
        <v>0</v>
      </c>
      <c r="AC481" s="131" t="str">
        <f ca="1">IF($N481="","",IF(ORÇAMENTO.Descricao="","DESCRIÇÃO",IF(AND($C481="S",ORÇAMENTO.Unidade=""),"UNIDADE",IF($X481&lt;0,"VALOR NEGATIVO",IF(OR(AND(TIPOORCAMENTO="Proposto",$AG481&lt;&gt;"",$AG481&gt;0,ORÇAMENTO.CustoUnitario&gt;$AG481),AND(TIPOORCAMENTO="LICITADO",ORÇAMENTO.PrecoUnitarioLicitado&gt;$AN481)),"ACIMA REF.","")))))</f>
        <v/>
      </c>
      <c r="AD481" t="str">
        <f ca="1">IF(C481&lt;=CRONO.NivelExibicao,MAX($AD$15:OFFSET(AD481,-1,0))+IF($C481&lt;&gt;1,1,MAX(1,COUNTIF(QCI!$A$13:$A$24,OFFSET($E481,-1,0)))),"")</f>
        <v/>
      </c>
      <c r="AE481" s="7" t="str">
        <f ca="1">IF(AND($C481="S",ORÇAMENTO.CodBarra&lt;&gt;""),IF(ORÇAMENTO.Fonte="",ORÇAMENTO.CodBarra,CONCATENATE(ORÇAMENTO.Fonte," ",ORÇAMENTO.CodBarra)))</f>
        <v>COMPOSIÇÃO FNDE 353</v>
      </c>
      <c r="AF481" s="13" t="str">
        <f ca="1">IF(ISERROR(INDIRECT(ORÇAMENTO.BancoRef)),"(abra o arquivo 'Referência "&amp;Excel_BuiltIn_Database&amp;".xlsm)",IF(OR($C481&lt;&gt;"S",ORÇAMENTO.CodBarra=""),"(Sem Código)",IF(ISERROR(MATCH($AE481,INDIRECT(ORÇAMENTO.BancoRef),0)),"(Código não identificado nas referências)",MATCH($AE481,INDIRECT(ORÇAMENTO.BancoRef),0))))</f>
        <v>(abra o arquivo 'Referência 06-2024.xlsm)</v>
      </c>
      <c r="AG481" s="498">
        <f ca="1">ROUND(IF(DESONERACAO="sim",REFERENCIA.Desonerado,REFERENCIA.NaoDesonerado),2)</f>
        <v>0</v>
      </c>
      <c r="AH481" s="499">
        <f t="shared" ca="1" si="132"/>
        <v>0.2432</v>
      </c>
      <c r="AJ481" s="501"/>
      <c r="AL481" s="527"/>
      <c r="AM481" s="381">
        <f t="shared" ca="1" si="133"/>
        <v>0</v>
      </c>
      <c r="AN481" s="566">
        <f t="shared" ca="1" si="134"/>
        <v>0</v>
      </c>
    </row>
    <row r="482" spans="1:40" ht="25.5" x14ac:dyDescent="0.2">
      <c r="A482" t="str">
        <f t="shared" si="119"/>
        <v>S</v>
      </c>
      <c r="B482">
        <f t="shared" ca="1" si="120"/>
        <v>2</v>
      </c>
      <c r="C482" t="str">
        <f t="shared" ca="1" si="121"/>
        <v>S</v>
      </c>
      <c r="D482">
        <f t="shared" ca="1" si="122"/>
        <v>0</v>
      </c>
      <c r="E482">
        <f ca="1">IF($C482=1,OFFSET(E482,-1,0)+MAX(1,COUNTIF(QCI!$A$13:$A$24,OFFSET(ORÇAMENTO!E482,-1,0))),OFFSET(E482,-1,0))</f>
        <v>1</v>
      </c>
      <c r="F482">
        <f t="shared" ca="1" si="123"/>
        <v>51</v>
      </c>
      <c r="G482">
        <f t="shared" ca="1" si="124"/>
        <v>0</v>
      </c>
      <c r="H482">
        <f t="shared" ca="1" si="125"/>
        <v>0</v>
      </c>
      <c r="I482">
        <f t="shared" ca="1" si="126"/>
        <v>0</v>
      </c>
      <c r="J482">
        <f t="shared" ca="1" si="118"/>
        <v>0</v>
      </c>
      <c r="K482">
        <f ca="1">IF(OR($C482="S",$C482=0),0,MATCH(OFFSET($D482,0,$C482)+IF($C482&lt;&gt;1,1,COUNTIF(QCI!$A$13:$A$24,ORÇAMENTO!E482)),OFFSET($D482,1,$C482,ROW($C$727)-ROW($C482)),0))</f>
        <v>0</v>
      </c>
      <c r="L482" s="116" t="str">
        <f t="shared" ca="1" si="127"/>
        <v/>
      </c>
      <c r="M482" s="117" t="s">
        <v>199</v>
      </c>
      <c r="N482" s="118" t="str">
        <f t="shared" ca="1" si="128"/>
        <v>Serviço</v>
      </c>
      <c r="O482" s="119" t="str">
        <f t="shared" ca="1" si="129"/>
        <v>-</v>
      </c>
      <c r="P482" s="120" t="s">
        <v>247</v>
      </c>
      <c r="Q482" s="121" t="s">
        <v>845</v>
      </c>
      <c r="R482" s="122" t="str">
        <f ca="1">IF($C482="S",REFERENCIA.Descricao,"(digite a descrição aqui)")</f>
        <v>(abra o arquivo 'Referência 06-2024.xlsm)</v>
      </c>
      <c r="S482" s="123" t="str">
        <f ca="1">REFERENCIA.Unidade</f>
        <v>-</v>
      </c>
      <c r="T482" s="124">
        <f ca="1">OFFSET(CÁLCULO!H$15,ROW($T482)-ROW(T$15),0)</f>
        <v>236</v>
      </c>
      <c r="U482" s="125">
        <f t="shared" ca="1" si="117"/>
        <v>0</v>
      </c>
      <c r="V482" s="126" t="s">
        <v>156</v>
      </c>
      <c r="W482" s="124">
        <f ca="1">IF($C482="S",ROUND(IF(TIPOORCAMENTO="Proposto",ORÇAMENTO.CustoUnitario*(1+$AH482),ORÇAMENTO.PrecoUnitarioLicitado),15-13*$AF$10),0)</f>
        <v>0</v>
      </c>
      <c r="X482" s="127">
        <f ca="1">IF($C482="S",IF(Import.TipoArredondamento&lt;&gt;"TransfereGOV",VTOTAL1,SUM(OFFSET(CÁLCULO!$AI$15,ROW($X482)-ROW($X$15),1):OFFSET(CÁLCULO!$BB$15,ROW($X482)-ROW($X$15),-1))),IF($C482=0,0,ROUND(SomaAgrup,15-13*$AF$11)))</f>
        <v>0</v>
      </c>
      <c r="Y482" s="128" t="s">
        <v>245</v>
      </c>
      <c r="Z482" t="str">
        <f t="shared" ca="1" si="130"/>
        <v/>
      </c>
      <c r="AA482" s="129">
        <f ca="1">IF($C482="S",IF($Z482="CP",$X482,IF($Z482="RA",(($X482)*QCI!$AA$3),0)),SomaAgrup)</f>
        <v>0</v>
      </c>
      <c r="AB482" s="130">
        <f t="shared" ca="1" si="131"/>
        <v>0</v>
      </c>
      <c r="AC482" s="131" t="str">
        <f ca="1">IF($N482="","",IF(ORÇAMENTO.Descricao="","DESCRIÇÃO",IF(AND($C482="S",ORÇAMENTO.Unidade=""),"UNIDADE",IF($X482&lt;0,"VALOR NEGATIVO",IF(OR(AND(TIPOORCAMENTO="Proposto",$AG482&lt;&gt;"",$AG482&gt;0,ORÇAMENTO.CustoUnitario&gt;$AG482),AND(TIPOORCAMENTO="LICITADO",ORÇAMENTO.PrecoUnitarioLicitado&gt;$AN482)),"ACIMA REF.","")))))</f>
        <v/>
      </c>
      <c r="AD482" t="str">
        <f ca="1">IF(C482&lt;=CRONO.NivelExibicao,MAX($AD$15:OFFSET(AD482,-1,0))+IF($C482&lt;&gt;1,1,MAX(1,COUNTIF(QCI!$A$13:$A$24,OFFSET($E482,-1,0)))),"")</f>
        <v/>
      </c>
      <c r="AE482" s="7" t="str">
        <f ca="1">IF(AND($C482="S",ORÇAMENTO.CodBarra&lt;&gt;""),IF(ORÇAMENTO.Fonte="",ORÇAMENTO.CodBarra,CONCATENATE(ORÇAMENTO.Fonte," ",ORÇAMENTO.CodBarra)))</f>
        <v>SINAPI 91941</v>
      </c>
      <c r="AF482" s="13" t="str">
        <f ca="1">IF(ISERROR(INDIRECT(ORÇAMENTO.BancoRef)),"(abra o arquivo 'Referência "&amp;Excel_BuiltIn_Database&amp;".xlsm)",IF(OR($C482&lt;&gt;"S",ORÇAMENTO.CodBarra=""),"(Sem Código)",IF(ISERROR(MATCH($AE482,INDIRECT(ORÇAMENTO.BancoRef),0)),"(Código não identificado nas referências)",MATCH($AE482,INDIRECT(ORÇAMENTO.BancoRef),0))))</f>
        <v>(abra o arquivo 'Referência 06-2024.xlsm)</v>
      </c>
      <c r="AG482" s="498">
        <f ca="1">ROUND(IF(DESONERACAO="sim",REFERENCIA.Desonerado,REFERENCIA.NaoDesonerado),2)</f>
        <v>0</v>
      </c>
      <c r="AH482" s="499">
        <f t="shared" ca="1" si="132"/>
        <v>0.2432</v>
      </c>
      <c r="AJ482" s="501"/>
      <c r="AL482" s="527"/>
      <c r="AM482" s="381">
        <f t="shared" ca="1" si="133"/>
        <v>0</v>
      </c>
      <c r="AN482" s="566">
        <f t="shared" ca="1" si="134"/>
        <v>0</v>
      </c>
    </row>
    <row r="483" spans="1:40" ht="25.5" x14ac:dyDescent="0.2">
      <c r="A483" t="str">
        <f t="shared" si="119"/>
        <v>S</v>
      </c>
      <c r="B483">
        <f t="shared" ca="1" si="120"/>
        <v>2</v>
      </c>
      <c r="C483" t="str">
        <f t="shared" ca="1" si="121"/>
        <v>S</v>
      </c>
      <c r="D483">
        <f t="shared" ca="1" si="122"/>
        <v>0</v>
      </c>
      <c r="E483">
        <f ca="1">IF($C483=1,OFFSET(E483,-1,0)+MAX(1,COUNTIF(QCI!$A$13:$A$24,OFFSET(ORÇAMENTO!E483,-1,0))),OFFSET(E483,-1,0))</f>
        <v>1</v>
      </c>
      <c r="F483">
        <f t="shared" ca="1" si="123"/>
        <v>51</v>
      </c>
      <c r="G483">
        <f t="shared" ca="1" si="124"/>
        <v>0</v>
      </c>
      <c r="H483">
        <f t="shared" ca="1" si="125"/>
        <v>0</v>
      </c>
      <c r="I483">
        <f t="shared" ca="1" si="126"/>
        <v>0</v>
      </c>
      <c r="J483">
        <f t="shared" ca="1" si="118"/>
        <v>0</v>
      </c>
      <c r="K483">
        <f ca="1">IF(OR($C483="S",$C483=0),0,MATCH(OFFSET($D483,0,$C483)+IF($C483&lt;&gt;1,1,COUNTIF(QCI!$A$13:$A$24,ORÇAMENTO!E483)),OFFSET($D483,1,$C483,ROW($C$727)-ROW($C483)),0))</f>
        <v>0</v>
      </c>
      <c r="L483" s="116" t="str">
        <f t="shared" ca="1" si="127"/>
        <v/>
      </c>
      <c r="M483" s="117" t="s">
        <v>199</v>
      </c>
      <c r="N483" s="118" t="str">
        <f t="shared" ca="1" si="128"/>
        <v>Serviço</v>
      </c>
      <c r="O483" s="119" t="str">
        <f t="shared" ca="1" si="129"/>
        <v>-</v>
      </c>
      <c r="P483" s="120" t="s">
        <v>247</v>
      </c>
      <c r="Q483" s="121" t="s">
        <v>846</v>
      </c>
      <c r="R483" s="122" t="str">
        <f ca="1">IF($C483="S",REFERENCIA.Descricao,"(digite a descrição aqui)")</f>
        <v>(abra o arquivo 'Referência 06-2024.xlsm)</v>
      </c>
      <c r="S483" s="123" t="str">
        <f ca="1">REFERENCIA.Unidade</f>
        <v>-</v>
      </c>
      <c r="T483" s="124">
        <f ca="1">OFFSET(CÁLCULO!H$15,ROW($T483)-ROW(T$15),0)</f>
        <v>2</v>
      </c>
      <c r="U483" s="125">
        <f t="shared" ca="1" si="117"/>
        <v>0</v>
      </c>
      <c r="V483" s="126" t="s">
        <v>156</v>
      </c>
      <c r="W483" s="124">
        <f ca="1">IF($C483="S",ROUND(IF(TIPOORCAMENTO="Proposto",ORÇAMENTO.CustoUnitario*(1+$AH483),ORÇAMENTO.PrecoUnitarioLicitado),15-13*$AF$10),0)</f>
        <v>0</v>
      </c>
      <c r="X483" s="127">
        <f ca="1">IF($C483="S",IF(Import.TipoArredondamento&lt;&gt;"TransfereGOV",VTOTAL1,SUM(OFFSET(CÁLCULO!$AI$15,ROW($X483)-ROW($X$15),1):OFFSET(CÁLCULO!$BB$15,ROW($X483)-ROW($X$15),-1))),IF($C483=0,0,ROUND(SomaAgrup,15-13*$AF$11)))</f>
        <v>0</v>
      </c>
      <c r="Y483" s="128" t="s">
        <v>245</v>
      </c>
      <c r="Z483" t="str">
        <f t="shared" ca="1" si="130"/>
        <v/>
      </c>
      <c r="AA483" s="129">
        <f ca="1">IF($C483="S",IF($Z483="CP",$X483,IF($Z483="RA",(($X483)*QCI!$AA$3),0)),SomaAgrup)</f>
        <v>0</v>
      </c>
      <c r="AB483" s="130">
        <f t="shared" ca="1" si="131"/>
        <v>0</v>
      </c>
      <c r="AC483" s="131" t="str">
        <f ca="1">IF($N483="","",IF(ORÇAMENTO.Descricao="","DESCRIÇÃO",IF(AND($C483="S",ORÇAMENTO.Unidade=""),"UNIDADE",IF($X483&lt;0,"VALOR NEGATIVO",IF(OR(AND(TIPOORCAMENTO="Proposto",$AG483&lt;&gt;"",$AG483&gt;0,ORÇAMENTO.CustoUnitario&gt;$AG483),AND(TIPOORCAMENTO="LICITADO",ORÇAMENTO.PrecoUnitarioLicitado&gt;$AN483)),"ACIMA REF.","")))))</f>
        <v/>
      </c>
      <c r="AD483" t="str">
        <f ca="1">IF(C483&lt;=CRONO.NivelExibicao,MAX($AD$15:OFFSET(AD483,-1,0))+IF($C483&lt;&gt;1,1,MAX(1,COUNTIF(QCI!$A$13:$A$24,OFFSET($E483,-1,0)))),"")</f>
        <v/>
      </c>
      <c r="AE483" s="7" t="str">
        <f ca="1">IF(AND($C483="S",ORÇAMENTO.CodBarra&lt;&gt;""),IF(ORÇAMENTO.Fonte="",ORÇAMENTO.CodBarra,CONCATENATE(ORÇAMENTO.Fonte," ",ORÇAMENTO.CodBarra)))</f>
        <v>SINAPI 91936</v>
      </c>
      <c r="AF483" s="13" t="str">
        <f ca="1">IF(ISERROR(INDIRECT(ORÇAMENTO.BancoRef)),"(abra o arquivo 'Referência "&amp;Excel_BuiltIn_Database&amp;".xlsm)",IF(OR($C483&lt;&gt;"S",ORÇAMENTO.CodBarra=""),"(Sem Código)",IF(ISERROR(MATCH($AE483,INDIRECT(ORÇAMENTO.BancoRef),0)),"(Código não identificado nas referências)",MATCH($AE483,INDIRECT(ORÇAMENTO.BancoRef),0))))</f>
        <v>(abra o arquivo 'Referência 06-2024.xlsm)</v>
      </c>
      <c r="AG483" s="498">
        <f ca="1">ROUND(IF(DESONERACAO="sim",REFERENCIA.Desonerado,REFERENCIA.NaoDesonerado),2)</f>
        <v>0</v>
      </c>
      <c r="AH483" s="499">
        <f t="shared" ca="1" si="132"/>
        <v>0.2432</v>
      </c>
      <c r="AJ483" s="501"/>
      <c r="AL483" s="527"/>
      <c r="AM483" s="381">
        <f t="shared" ca="1" si="133"/>
        <v>0</v>
      </c>
      <c r="AN483" s="566">
        <f t="shared" ca="1" si="134"/>
        <v>0</v>
      </c>
    </row>
    <row r="484" spans="1:40" ht="38.25" x14ac:dyDescent="0.2">
      <c r="A484" t="str">
        <f t="shared" si="119"/>
        <v>S</v>
      </c>
      <c r="B484">
        <f t="shared" ca="1" si="120"/>
        <v>2</v>
      </c>
      <c r="C484" t="str">
        <f t="shared" ca="1" si="121"/>
        <v>S</v>
      </c>
      <c r="D484">
        <f t="shared" ca="1" si="122"/>
        <v>0</v>
      </c>
      <c r="E484">
        <f ca="1">IF($C484=1,OFFSET(E484,-1,0)+MAX(1,COUNTIF(QCI!$A$13:$A$24,OFFSET(ORÇAMENTO!E484,-1,0))),OFFSET(E484,-1,0))</f>
        <v>1</v>
      </c>
      <c r="F484">
        <f t="shared" ca="1" si="123"/>
        <v>51</v>
      </c>
      <c r="G484">
        <f t="shared" ca="1" si="124"/>
        <v>0</v>
      </c>
      <c r="H484">
        <f t="shared" ca="1" si="125"/>
        <v>0</v>
      </c>
      <c r="I484">
        <f t="shared" ca="1" si="126"/>
        <v>0</v>
      </c>
      <c r="J484">
        <f t="shared" ca="1" si="118"/>
        <v>0</v>
      </c>
      <c r="K484">
        <f ca="1">IF(OR($C484="S",$C484=0),0,MATCH(OFFSET($D484,0,$C484)+IF($C484&lt;&gt;1,1,COUNTIF(QCI!$A$13:$A$24,ORÇAMENTO!E484)),OFFSET($D484,1,$C484,ROW($C$727)-ROW($C484)),0))</f>
        <v>0</v>
      </c>
      <c r="L484" s="116" t="str">
        <f t="shared" ca="1" si="127"/>
        <v/>
      </c>
      <c r="M484" s="117" t="s">
        <v>199</v>
      </c>
      <c r="N484" s="118" t="str">
        <f t="shared" ca="1" si="128"/>
        <v>Serviço</v>
      </c>
      <c r="O484" s="119" t="str">
        <f t="shared" ca="1" si="129"/>
        <v>-</v>
      </c>
      <c r="P484" s="120" t="s">
        <v>247</v>
      </c>
      <c r="Q484" s="121" t="s">
        <v>847</v>
      </c>
      <c r="R484" s="122" t="str">
        <f ca="1">IF($C484="S",REFERENCIA.Descricao,"(digite a descrição aqui)")</f>
        <v>(abra o arquivo 'Referência 06-2024.xlsm)</v>
      </c>
      <c r="S484" s="123" t="str">
        <f ca="1">REFERENCIA.Unidade</f>
        <v>-</v>
      </c>
      <c r="T484" s="124">
        <f ca="1">OFFSET(CÁLCULO!H$15,ROW($T484)-ROW(T$15),0)</f>
        <v>1</v>
      </c>
      <c r="U484" s="125">
        <f t="shared" ca="1" si="117"/>
        <v>0</v>
      </c>
      <c r="V484" s="126" t="s">
        <v>156</v>
      </c>
      <c r="W484" s="124">
        <f ca="1">IF($C484="S",ROUND(IF(TIPOORCAMENTO="Proposto",ORÇAMENTO.CustoUnitario*(1+$AH484),ORÇAMENTO.PrecoUnitarioLicitado),15-13*$AF$10),0)</f>
        <v>0</v>
      </c>
      <c r="X484" s="127">
        <f ca="1">IF($C484="S",IF(Import.TipoArredondamento&lt;&gt;"TransfereGOV",VTOTAL1,SUM(OFFSET(CÁLCULO!$AI$15,ROW($X484)-ROW($X$15),1):OFFSET(CÁLCULO!$BB$15,ROW($X484)-ROW($X$15),-1))),IF($C484=0,0,ROUND(SomaAgrup,15-13*$AF$11)))</f>
        <v>0</v>
      </c>
      <c r="Y484" s="128" t="s">
        <v>245</v>
      </c>
      <c r="Z484" t="str">
        <f t="shared" ca="1" si="130"/>
        <v/>
      </c>
      <c r="AA484" s="129">
        <f ca="1">IF($C484="S",IF($Z484="CP",$X484,IF($Z484="RA",(($X484)*QCI!$AA$3),0)),SomaAgrup)</f>
        <v>0</v>
      </c>
      <c r="AB484" s="130">
        <f t="shared" ca="1" si="131"/>
        <v>0</v>
      </c>
      <c r="AC484" s="131" t="str">
        <f ca="1">IF($N484="","",IF(ORÇAMENTO.Descricao="","DESCRIÇÃO",IF(AND($C484="S",ORÇAMENTO.Unidade=""),"UNIDADE",IF($X484&lt;0,"VALOR NEGATIVO",IF(OR(AND(TIPOORCAMENTO="Proposto",$AG484&lt;&gt;"",$AG484&gt;0,ORÇAMENTO.CustoUnitario&gt;$AG484),AND(TIPOORCAMENTO="LICITADO",ORÇAMENTO.PrecoUnitarioLicitado&gt;$AN484)),"ACIMA REF.","")))))</f>
        <v/>
      </c>
      <c r="AD484" t="str">
        <f ca="1">IF(C484&lt;=CRONO.NivelExibicao,MAX($AD$15:OFFSET(AD484,-1,0))+IF($C484&lt;&gt;1,1,MAX(1,COUNTIF(QCI!$A$13:$A$24,OFFSET($E484,-1,0)))),"")</f>
        <v/>
      </c>
      <c r="AE484" s="7" t="str">
        <f ca="1">IF(AND($C484="S",ORÇAMENTO.CodBarra&lt;&gt;""),IF(ORÇAMENTO.Fonte="",ORÇAMENTO.CodBarra,CONCATENATE(ORÇAMENTO.Fonte," ",ORÇAMENTO.CodBarra)))</f>
        <v>SINAPI 92867</v>
      </c>
      <c r="AF484" s="13" t="str">
        <f ca="1">IF(ISERROR(INDIRECT(ORÇAMENTO.BancoRef)),"(abra o arquivo 'Referência "&amp;Excel_BuiltIn_Database&amp;".xlsm)",IF(OR($C484&lt;&gt;"S",ORÇAMENTO.CodBarra=""),"(Sem Código)",IF(ISERROR(MATCH($AE484,INDIRECT(ORÇAMENTO.BancoRef),0)),"(Código não identificado nas referências)",MATCH($AE484,INDIRECT(ORÇAMENTO.BancoRef),0))))</f>
        <v>(abra o arquivo 'Referência 06-2024.xlsm)</v>
      </c>
      <c r="AG484" s="498">
        <f ca="1">ROUND(IF(DESONERACAO="sim",REFERENCIA.Desonerado,REFERENCIA.NaoDesonerado),2)</f>
        <v>0</v>
      </c>
      <c r="AH484" s="499">
        <f t="shared" ca="1" si="132"/>
        <v>0.2432</v>
      </c>
      <c r="AJ484" s="501"/>
      <c r="AL484" s="527"/>
      <c r="AM484" s="381">
        <f t="shared" ca="1" si="133"/>
        <v>0</v>
      </c>
      <c r="AN484" s="566">
        <f t="shared" ca="1" si="134"/>
        <v>0</v>
      </c>
    </row>
    <row r="485" spans="1:40" ht="25.5" x14ac:dyDescent="0.2">
      <c r="A485" t="str">
        <f t="shared" si="119"/>
        <v>S</v>
      </c>
      <c r="B485">
        <f t="shared" ca="1" si="120"/>
        <v>2</v>
      </c>
      <c r="C485" t="str">
        <f t="shared" ca="1" si="121"/>
        <v>S</v>
      </c>
      <c r="D485">
        <f t="shared" ca="1" si="122"/>
        <v>0</v>
      </c>
      <c r="E485">
        <f ca="1">IF($C485=1,OFFSET(E485,-1,0)+MAX(1,COUNTIF(QCI!$A$13:$A$24,OFFSET(ORÇAMENTO!E485,-1,0))),OFFSET(E485,-1,0))</f>
        <v>1</v>
      </c>
      <c r="F485">
        <f t="shared" ca="1" si="123"/>
        <v>51</v>
      </c>
      <c r="G485">
        <f t="shared" ca="1" si="124"/>
        <v>0</v>
      </c>
      <c r="H485">
        <f t="shared" ca="1" si="125"/>
        <v>0</v>
      </c>
      <c r="I485">
        <f t="shared" ca="1" si="126"/>
        <v>0</v>
      </c>
      <c r="J485">
        <f t="shared" ca="1" si="118"/>
        <v>0</v>
      </c>
      <c r="K485">
        <f ca="1">IF(OR($C485="S",$C485=0),0,MATCH(OFFSET($D485,0,$C485)+IF($C485&lt;&gt;1,1,COUNTIF(QCI!$A$13:$A$24,ORÇAMENTO!E485)),OFFSET($D485,1,$C485,ROW($C$727)-ROW($C485)),0))</f>
        <v>0</v>
      </c>
      <c r="L485" s="116" t="str">
        <f t="shared" ca="1" si="127"/>
        <v/>
      </c>
      <c r="M485" s="117" t="s">
        <v>199</v>
      </c>
      <c r="N485" s="118" t="str">
        <f t="shared" ca="1" si="128"/>
        <v>Serviço</v>
      </c>
      <c r="O485" s="119" t="str">
        <f t="shared" ca="1" si="129"/>
        <v>-</v>
      </c>
      <c r="P485" s="120" t="s">
        <v>247</v>
      </c>
      <c r="Q485" s="121" t="s">
        <v>845</v>
      </c>
      <c r="R485" s="122" t="str">
        <f ca="1">IF($C485="S",REFERENCIA.Descricao,"(digite a descrição aqui)")</f>
        <v>(abra o arquivo 'Referência 06-2024.xlsm)</v>
      </c>
      <c r="S485" s="123" t="str">
        <f ca="1">REFERENCIA.Unidade</f>
        <v>-</v>
      </c>
      <c r="T485" s="124">
        <f ca="1">OFFSET(CÁLCULO!H$15,ROW($T485)-ROW(T$15),0)</f>
        <v>34</v>
      </c>
      <c r="U485" s="125">
        <f t="shared" ca="1" si="117"/>
        <v>0</v>
      </c>
      <c r="V485" s="126" t="s">
        <v>156</v>
      </c>
      <c r="W485" s="124">
        <f ca="1">IF($C485="S",ROUND(IF(TIPOORCAMENTO="Proposto",ORÇAMENTO.CustoUnitario*(1+$AH485),ORÇAMENTO.PrecoUnitarioLicitado),15-13*$AF$10),0)</f>
        <v>0</v>
      </c>
      <c r="X485" s="127">
        <f ca="1">IF($C485="S",IF(Import.TipoArredondamento&lt;&gt;"TransfereGOV",VTOTAL1,SUM(OFFSET(CÁLCULO!$AI$15,ROW($X485)-ROW($X$15),1):OFFSET(CÁLCULO!$BB$15,ROW($X485)-ROW($X$15),-1))),IF($C485=0,0,ROUND(SomaAgrup,15-13*$AF$11)))</f>
        <v>0</v>
      </c>
      <c r="Y485" s="128" t="s">
        <v>245</v>
      </c>
      <c r="Z485" t="str">
        <f t="shared" ca="1" si="130"/>
        <v/>
      </c>
      <c r="AA485" s="129">
        <f ca="1">IF($C485="S",IF($Z485="CP",$X485,IF($Z485="RA",(($X485)*QCI!$AA$3),0)),SomaAgrup)</f>
        <v>0</v>
      </c>
      <c r="AB485" s="130">
        <f t="shared" ca="1" si="131"/>
        <v>0</v>
      </c>
      <c r="AC485" s="131" t="str">
        <f ca="1">IF($N485="","",IF(ORÇAMENTO.Descricao="","DESCRIÇÃO",IF(AND($C485="S",ORÇAMENTO.Unidade=""),"UNIDADE",IF($X485&lt;0,"VALOR NEGATIVO",IF(OR(AND(TIPOORCAMENTO="Proposto",$AG485&lt;&gt;"",$AG485&gt;0,ORÇAMENTO.CustoUnitario&gt;$AG485),AND(TIPOORCAMENTO="LICITADO",ORÇAMENTO.PrecoUnitarioLicitado&gt;$AN485)),"ACIMA REF.","")))))</f>
        <v/>
      </c>
      <c r="AD485" t="str">
        <f ca="1">IF(C485&lt;=CRONO.NivelExibicao,MAX($AD$15:OFFSET(AD485,-1,0))+IF($C485&lt;&gt;1,1,MAX(1,COUNTIF(QCI!$A$13:$A$24,OFFSET($E485,-1,0)))),"")</f>
        <v/>
      </c>
      <c r="AE485" s="7" t="str">
        <f ca="1">IF(AND($C485="S",ORÇAMENTO.CodBarra&lt;&gt;""),IF(ORÇAMENTO.Fonte="",ORÇAMENTO.CodBarra,CONCATENATE(ORÇAMENTO.Fonte," ",ORÇAMENTO.CodBarra)))</f>
        <v>SINAPI 91941</v>
      </c>
      <c r="AF485" s="13" t="str">
        <f ca="1">IF(ISERROR(INDIRECT(ORÇAMENTO.BancoRef)),"(abra o arquivo 'Referência "&amp;Excel_BuiltIn_Database&amp;".xlsm)",IF(OR($C485&lt;&gt;"S",ORÇAMENTO.CodBarra=""),"(Sem Código)",IF(ISERROR(MATCH($AE485,INDIRECT(ORÇAMENTO.BancoRef),0)),"(Código não identificado nas referências)",MATCH($AE485,INDIRECT(ORÇAMENTO.BancoRef),0))))</f>
        <v>(abra o arquivo 'Referência 06-2024.xlsm)</v>
      </c>
      <c r="AG485" s="498">
        <f ca="1">ROUND(IF(DESONERACAO="sim",REFERENCIA.Desonerado,REFERENCIA.NaoDesonerado),2)</f>
        <v>0</v>
      </c>
      <c r="AH485" s="499">
        <f t="shared" ca="1" si="132"/>
        <v>0.2432</v>
      </c>
      <c r="AJ485" s="501"/>
      <c r="AL485" s="527"/>
      <c r="AM485" s="381">
        <f t="shared" ca="1" si="133"/>
        <v>0</v>
      </c>
      <c r="AN485" s="566">
        <f t="shared" ca="1" si="134"/>
        <v>0</v>
      </c>
    </row>
    <row r="486" spans="1:40" ht="38.25" x14ac:dyDescent="0.2">
      <c r="A486" t="str">
        <f t="shared" si="119"/>
        <v>S</v>
      </c>
      <c r="B486">
        <f t="shared" ca="1" si="120"/>
        <v>2</v>
      </c>
      <c r="C486" t="str">
        <f t="shared" ca="1" si="121"/>
        <v>S</v>
      </c>
      <c r="D486">
        <f t="shared" ca="1" si="122"/>
        <v>0</v>
      </c>
      <c r="E486">
        <f ca="1">IF($C486=1,OFFSET(E486,-1,0)+MAX(1,COUNTIF(QCI!$A$13:$A$24,OFFSET(ORÇAMENTO!E486,-1,0))),OFFSET(E486,-1,0))</f>
        <v>1</v>
      </c>
      <c r="F486">
        <f t="shared" ca="1" si="123"/>
        <v>51</v>
      </c>
      <c r="G486">
        <f t="shared" ca="1" si="124"/>
        <v>0</v>
      </c>
      <c r="H486">
        <f t="shared" ca="1" si="125"/>
        <v>0</v>
      </c>
      <c r="I486">
        <f t="shared" ca="1" si="126"/>
        <v>0</v>
      </c>
      <c r="J486">
        <f t="shared" ca="1" si="118"/>
        <v>0</v>
      </c>
      <c r="K486">
        <f ca="1">IF(OR($C486="S",$C486=0),0,MATCH(OFFSET($D486,0,$C486)+IF($C486&lt;&gt;1,1,COUNTIF(QCI!$A$13:$A$24,ORÇAMENTO!E486)),OFFSET($D486,1,$C486,ROW($C$727)-ROW($C486)),0))</f>
        <v>0</v>
      </c>
      <c r="L486" s="116" t="str">
        <f t="shared" ca="1" si="127"/>
        <v/>
      </c>
      <c r="M486" s="117" t="s">
        <v>199</v>
      </c>
      <c r="N486" s="118" t="str">
        <f t="shared" ca="1" si="128"/>
        <v>Serviço</v>
      </c>
      <c r="O486" s="119" t="str">
        <f t="shared" ca="1" si="129"/>
        <v>-</v>
      </c>
      <c r="P486" s="120" t="s">
        <v>247</v>
      </c>
      <c r="Q486" s="121" t="s">
        <v>848</v>
      </c>
      <c r="R486" s="122" t="str">
        <f ca="1">IF($C486="S",REFERENCIA.Descricao,"(digite a descrição aqui)")</f>
        <v>(abra o arquivo 'Referência 06-2024.xlsm)</v>
      </c>
      <c r="S486" s="123" t="str">
        <f ca="1">REFERENCIA.Unidade</f>
        <v>-</v>
      </c>
      <c r="T486" s="124">
        <f ca="1">OFFSET(CÁLCULO!H$15,ROW($T486)-ROW(T$15),0)</f>
        <v>1</v>
      </c>
      <c r="U486" s="125">
        <f t="shared" ca="1" si="117"/>
        <v>0</v>
      </c>
      <c r="V486" s="126" t="s">
        <v>156</v>
      </c>
      <c r="W486" s="124">
        <f ca="1">IF($C486="S",ROUND(IF(TIPOORCAMENTO="Proposto",ORÇAMENTO.CustoUnitario*(1+$AH486),ORÇAMENTO.PrecoUnitarioLicitado),15-13*$AF$10),0)</f>
        <v>0</v>
      </c>
      <c r="X486" s="127">
        <f ca="1">IF($C486="S",IF(Import.TipoArredondamento&lt;&gt;"TransfereGOV",VTOTAL1,SUM(OFFSET(CÁLCULO!$AI$15,ROW($X486)-ROW($X$15),1):OFFSET(CÁLCULO!$BB$15,ROW($X486)-ROW($X$15),-1))),IF($C486=0,0,ROUND(SomaAgrup,15-13*$AF$11)))</f>
        <v>0</v>
      </c>
      <c r="Y486" s="128" t="s">
        <v>245</v>
      </c>
      <c r="Z486" t="str">
        <f t="shared" ca="1" si="130"/>
        <v/>
      </c>
      <c r="AA486" s="129">
        <f ca="1">IF($C486="S",IF($Z486="CP",$X486,IF($Z486="RA",(($X486)*QCI!$AA$3),0)),SomaAgrup)</f>
        <v>0</v>
      </c>
      <c r="AB486" s="130">
        <f t="shared" ca="1" si="131"/>
        <v>0</v>
      </c>
      <c r="AC486" s="131" t="str">
        <f ca="1">IF($N486="","",IF(ORÇAMENTO.Descricao="","DESCRIÇÃO",IF(AND($C486="S",ORÇAMENTO.Unidade=""),"UNIDADE",IF($X486&lt;0,"VALOR NEGATIVO",IF(OR(AND(TIPOORCAMENTO="Proposto",$AG486&lt;&gt;"",$AG486&gt;0,ORÇAMENTO.CustoUnitario&gt;$AG486),AND(TIPOORCAMENTO="LICITADO",ORÇAMENTO.PrecoUnitarioLicitado&gt;$AN486)),"ACIMA REF.","")))))</f>
        <v/>
      </c>
      <c r="AD486" t="str">
        <f ca="1">IF(C486&lt;=CRONO.NivelExibicao,MAX($AD$15:OFFSET(AD486,-1,0))+IF($C486&lt;&gt;1,1,MAX(1,COUNTIF(QCI!$A$13:$A$24,OFFSET($E486,-1,0)))),"")</f>
        <v/>
      </c>
      <c r="AE486" s="7" t="str">
        <f ca="1">IF(AND($C486="S",ORÇAMENTO.CodBarra&lt;&gt;""),IF(ORÇAMENTO.Fonte="",ORÇAMENTO.CodBarra,CONCATENATE(ORÇAMENTO.Fonte," ",ORÇAMENTO.CodBarra)))</f>
        <v>SINAPI 91899</v>
      </c>
      <c r="AF486" s="13" t="str">
        <f ca="1">IF(ISERROR(INDIRECT(ORÇAMENTO.BancoRef)),"(abra o arquivo 'Referência "&amp;Excel_BuiltIn_Database&amp;".xlsm)",IF(OR($C486&lt;&gt;"S",ORÇAMENTO.CodBarra=""),"(Sem Código)",IF(ISERROR(MATCH($AE486,INDIRECT(ORÇAMENTO.BancoRef),0)),"(Código não identificado nas referências)",MATCH($AE486,INDIRECT(ORÇAMENTO.BancoRef),0))))</f>
        <v>(abra o arquivo 'Referência 06-2024.xlsm)</v>
      </c>
      <c r="AG486" s="498">
        <f ca="1">ROUND(IF(DESONERACAO="sim",REFERENCIA.Desonerado,REFERENCIA.NaoDesonerado),2)</f>
        <v>0</v>
      </c>
      <c r="AH486" s="499">
        <f t="shared" ca="1" si="132"/>
        <v>0.2432</v>
      </c>
      <c r="AJ486" s="501"/>
      <c r="AL486" s="527"/>
      <c r="AM486" s="381">
        <f t="shared" ca="1" si="133"/>
        <v>0</v>
      </c>
      <c r="AN486" s="566">
        <f t="shared" ca="1" si="134"/>
        <v>0</v>
      </c>
    </row>
    <row r="487" spans="1:40" ht="38.25" x14ac:dyDescent="0.2">
      <c r="A487" t="str">
        <f t="shared" si="119"/>
        <v>S</v>
      </c>
      <c r="B487">
        <f t="shared" ca="1" si="120"/>
        <v>2</v>
      </c>
      <c r="C487" t="str">
        <f t="shared" ca="1" si="121"/>
        <v>S</v>
      </c>
      <c r="D487">
        <f t="shared" ca="1" si="122"/>
        <v>0</v>
      </c>
      <c r="E487">
        <f ca="1">IF($C487=1,OFFSET(E487,-1,0)+MAX(1,COUNTIF(QCI!$A$13:$A$24,OFFSET(ORÇAMENTO!E487,-1,0))),OFFSET(E487,-1,0))</f>
        <v>1</v>
      </c>
      <c r="F487">
        <f t="shared" ca="1" si="123"/>
        <v>51</v>
      </c>
      <c r="G487">
        <f t="shared" ca="1" si="124"/>
        <v>0</v>
      </c>
      <c r="H487">
        <f t="shared" ca="1" si="125"/>
        <v>0</v>
      </c>
      <c r="I487">
        <f t="shared" ca="1" si="126"/>
        <v>0</v>
      </c>
      <c r="J487">
        <f t="shared" ca="1" si="118"/>
        <v>0</v>
      </c>
      <c r="K487">
        <f ca="1">IF(OR($C487="S",$C487=0),0,MATCH(OFFSET($D487,0,$C487)+IF($C487&lt;&gt;1,1,COUNTIF(QCI!$A$13:$A$24,ORÇAMENTO!E487)),OFFSET($D487,1,$C487,ROW($C$727)-ROW($C487)),0))</f>
        <v>0</v>
      </c>
      <c r="L487" s="116" t="str">
        <f t="shared" ca="1" si="127"/>
        <v/>
      </c>
      <c r="M487" s="117" t="s">
        <v>199</v>
      </c>
      <c r="N487" s="118" t="str">
        <f t="shared" ca="1" si="128"/>
        <v>Serviço</v>
      </c>
      <c r="O487" s="119" t="str">
        <f t="shared" ca="1" si="129"/>
        <v>-</v>
      </c>
      <c r="P487" s="120" t="s">
        <v>458</v>
      </c>
      <c r="Q487" s="121" t="s">
        <v>849</v>
      </c>
      <c r="R487" s="122" t="str">
        <f ca="1">IF($C487="S",REFERENCIA.Descricao,"(digite a descrição aqui)")</f>
        <v>(abra o arquivo 'Referência 06-2024.xlsm)</v>
      </c>
      <c r="S487" s="123" t="str">
        <f ca="1">REFERENCIA.Unidade</f>
        <v>-</v>
      </c>
      <c r="T487" s="124">
        <f ca="1">OFFSET(CÁLCULO!H$15,ROW($T487)-ROW(T$15),0)</f>
        <v>2</v>
      </c>
      <c r="U487" s="125">
        <f t="shared" ca="1" si="117"/>
        <v>0</v>
      </c>
      <c r="V487" s="126" t="s">
        <v>156</v>
      </c>
      <c r="W487" s="124">
        <f ca="1">IF($C487="S",ROUND(IF(TIPOORCAMENTO="Proposto",ORÇAMENTO.CustoUnitario*(1+$AH487),ORÇAMENTO.PrecoUnitarioLicitado),15-13*$AF$10),0)</f>
        <v>0</v>
      </c>
      <c r="X487" s="127">
        <f ca="1">IF($C487="S",IF(Import.TipoArredondamento&lt;&gt;"TransfereGOV",VTOTAL1,SUM(OFFSET(CÁLCULO!$AI$15,ROW($X487)-ROW($X$15),1):OFFSET(CÁLCULO!$BB$15,ROW($X487)-ROW($X$15),-1))),IF($C487=0,0,ROUND(SomaAgrup,15-13*$AF$11)))</f>
        <v>0</v>
      </c>
      <c r="Y487" s="128" t="s">
        <v>245</v>
      </c>
      <c r="Z487" t="str">
        <f t="shared" ca="1" si="130"/>
        <v/>
      </c>
      <c r="AA487" s="129">
        <f ca="1">IF($C487="S",IF($Z487="CP",$X487,IF($Z487="RA",(($X487)*QCI!$AA$3),0)),SomaAgrup)</f>
        <v>0</v>
      </c>
      <c r="AB487" s="130">
        <f t="shared" ca="1" si="131"/>
        <v>0</v>
      </c>
      <c r="AC487" s="131" t="str">
        <f ca="1">IF($N487="","",IF(ORÇAMENTO.Descricao="","DESCRIÇÃO",IF(AND($C487="S",ORÇAMENTO.Unidade=""),"UNIDADE",IF($X487&lt;0,"VALOR NEGATIVO",IF(OR(AND(TIPOORCAMENTO="Proposto",$AG487&lt;&gt;"",$AG487&gt;0,ORÇAMENTO.CustoUnitario&gt;$AG487),AND(TIPOORCAMENTO="LICITADO",ORÇAMENTO.PrecoUnitarioLicitado&gt;$AN487)),"ACIMA REF.","")))))</f>
        <v/>
      </c>
      <c r="AD487" t="str">
        <f ca="1">IF(C487&lt;=CRONO.NivelExibicao,MAX($AD$15:OFFSET(AD487,-1,0))+IF($C487&lt;&gt;1,1,MAX(1,COUNTIF(QCI!$A$13:$A$24,OFFSET($E487,-1,0)))),"")</f>
        <v/>
      </c>
      <c r="AE487" s="7" t="str">
        <f ca="1">IF(AND($C487="S",ORÇAMENTO.CodBarra&lt;&gt;""),IF(ORÇAMENTO.Fonte="",ORÇAMENTO.CodBarra,CONCATENATE(ORÇAMENTO.Fonte," ",ORÇAMENTO.CodBarra)))</f>
        <v>COMPOSIÇÃO FNDE 150</v>
      </c>
      <c r="AF487" s="13" t="str">
        <f ca="1">IF(ISERROR(INDIRECT(ORÇAMENTO.BancoRef)),"(abra o arquivo 'Referência "&amp;Excel_BuiltIn_Database&amp;".xlsm)",IF(OR($C487&lt;&gt;"S",ORÇAMENTO.CodBarra=""),"(Sem Código)",IF(ISERROR(MATCH($AE487,INDIRECT(ORÇAMENTO.BancoRef),0)),"(Código não identificado nas referências)",MATCH($AE487,INDIRECT(ORÇAMENTO.BancoRef),0))))</f>
        <v>(abra o arquivo 'Referência 06-2024.xlsm)</v>
      </c>
      <c r="AG487" s="498">
        <f ca="1">ROUND(IF(DESONERACAO="sim",REFERENCIA.Desonerado,REFERENCIA.NaoDesonerado),2)</f>
        <v>0</v>
      </c>
      <c r="AH487" s="499">
        <f t="shared" ca="1" si="132"/>
        <v>0.2432</v>
      </c>
      <c r="AJ487" s="501"/>
      <c r="AL487" s="527"/>
      <c r="AM487" s="381">
        <f t="shared" ca="1" si="133"/>
        <v>0</v>
      </c>
      <c r="AN487" s="566">
        <f t="shared" ca="1" si="134"/>
        <v>0</v>
      </c>
    </row>
    <row r="488" spans="1:40" ht="38.25" x14ac:dyDescent="0.2">
      <c r="A488" t="str">
        <f t="shared" si="119"/>
        <v>S</v>
      </c>
      <c r="B488">
        <f t="shared" ca="1" si="120"/>
        <v>2</v>
      </c>
      <c r="C488" t="str">
        <f t="shared" ca="1" si="121"/>
        <v>S</v>
      </c>
      <c r="D488">
        <f t="shared" ca="1" si="122"/>
        <v>0</v>
      </c>
      <c r="E488">
        <f ca="1">IF($C488=1,OFFSET(E488,-1,0)+MAX(1,COUNTIF(QCI!$A$13:$A$24,OFFSET(ORÇAMENTO!E488,-1,0))),OFFSET(E488,-1,0))</f>
        <v>1</v>
      </c>
      <c r="F488">
        <f t="shared" ca="1" si="123"/>
        <v>51</v>
      </c>
      <c r="G488">
        <f t="shared" ca="1" si="124"/>
        <v>0</v>
      </c>
      <c r="H488">
        <f t="shared" ca="1" si="125"/>
        <v>0</v>
      </c>
      <c r="I488">
        <f t="shared" ca="1" si="126"/>
        <v>0</v>
      </c>
      <c r="J488">
        <f t="shared" ca="1" si="118"/>
        <v>0</v>
      </c>
      <c r="K488">
        <f ca="1">IF(OR($C488="S",$C488=0),0,MATCH(OFFSET($D488,0,$C488)+IF($C488&lt;&gt;1,1,COUNTIF(QCI!$A$13:$A$24,ORÇAMENTO!E488)),OFFSET($D488,1,$C488,ROW($C$727)-ROW($C488)),0))</f>
        <v>0</v>
      </c>
      <c r="L488" s="116" t="str">
        <f t="shared" ca="1" si="127"/>
        <v/>
      </c>
      <c r="M488" s="117" t="s">
        <v>199</v>
      </c>
      <c r="N488" s="118" t="str">
        <f t="shared" ca="1" si="128"/>
        <v>Serviço</v>
      </c>
      <c r="O488" s="119" t="str">
        <f t="shared" ca="1" si="129"/>
        <v>-</v>
      </c>
      <c r="P488" s="120" t="s">
        <v>247</v>
      </c>
      <c r="Q488" s="121" t="s">
        <v>850</v>
      </c>
      <c r="R488" s="122" t="str">
        <f ca="1">IF($C488="S",REFERENCIA.Descricao,"(digite a descrição aqui)")</f>
        <v>(abra o arquivo 'Referência 06-2024.xlsm)</v>
      </c>
      <c r="S488" s="123" t="str">
        <f ca="1">REFERENCIA.Unidade</f>
        <v>-</v>
      </c>
      <c r="T488" s="124">
        <f ca="1">OFFSET(CÁLCULO!H$15,ROW($T488)-ROW(T$15),0)</f>
        <v>4</v>
      </c>
      <c r="U488" s="125">
        <f t="shared" ca="1" si="117"/>
        <v>0</v>
      </c>
      <c r="V488" s="126" t="s">
        <v>156</v>
      </c>
      <c r="W488" s="124">
        <f ca="1">IF($C488="S",ROUND(IF(TIPOORCAMENTO="Proposto",ORÇAMENTO.CustoUnitario*(1+$AH488),ORÇAMENTO.PrecoUnitarioLicitado),15-13*$AF$10),0)</f>
        <v>0</v>
      </c>
      <c r="X488" s="127">
        <f ca="1">IF($C488="S",IF(Import.TipoArredondamento&lt;&gt;"TransfereGOV",VTOTAL1,SUM(OFFSET(CÁLCULO!$AI$15,ROW($X488)-ROW($X$15),1):OFFSET(CÁLCULO!$BB$15,ROW($X488)-ROW($X$15),-1))),IF($C488=0,0,ROUND(SomaAgrup,15-13*$AF$11)))</f>
        <v>0</v>
      </c>
      <c r="Y488" s="128" t="s">
        <v>245</v>
      </c>
      <c r="Z488" t="str">
        <f t="shared" ca="1" si="130"/>
        <v/>
      </c>
      <c r="AA488" s="129">
        <f ca="1">IF($C488="S",IF($Z488="CP",$X488,IF($Z488="RA",(($X488)*QCI!$AA$3),0)),SomaAgrup)</f>
        <v>0</v>
      </c>
      <c r="AB488" s="130">
        <f t="shared" ca="1" si="131"/>
        <v>0</v>
      </c>
      <c r="AC488" s="131" t="str">
        <f ca="1">IF($N488="","",IF(ORÇAMENTO.Descricao="","DESCRIÇÃO",IF(AND($C488="S",ORÇAMENTO.Unidade=""),"UNIDADE",IF($X488&lt;0,"VALOR NEGATIVO",IF(OR(AND(TIPOORCAMENTO="Proposto",$AG488&lt;&gt;"",$AG488&gt;0,ORÇAMENTO.CustoUnitario&gt;$AG488),AND(TIPOORCAMENTO="LICITADO",ORÇAMENTO.PrecoUnitarioLicitado&gt;$AN488)),"ACIMA REF.","")))))</f>
        <v/>
      </c>
      <c r="AD488" t="str">
        <f ca="1">IF(C488&lt;=CRONO.NivelExibicao,MAX($AD$15:OFFSET(AD488,-1,0))+IF($C488&lt;&gt;1,1,MAX(1,COUNTIF(QCI!$A$13:$A$24,OFFSET($E488,-1,0)))),"")</f>
        <v/>
      </c>
      <c r="AE488" s="7" t="str">
        <f ca="1">IF(AND($C488="S",ORÇAMENTO.CodBarra&lt;&gt;""),IF(ORÇAMENTO.Fonte="",ORÇAMENTO.CodBarra,CONCATENATE(ORÇAMENTO.Fonte," ",ORÇAMENTO.CodBarra)))</f>
        <v>SINAPI 91878</v>
      </c>
      <c r="AF488" s="13" t="str">
        <f ca="1">IF(ISERROR(INDIRECT(ORÇAMENTO.BancoRef)),"(abra o arquivo 'Referência "&amp;Excel_BuiltIn_Database&amp;".xlsm)",IF(OR($C488&lt;&gt;"S",ORÇAMENTO.CodBarra=""),"(Sem Código)",IF(ISERROR(MATCH($AE488,INDIRECT(ORÇAMENTO.BancoRef),0)),"(Código não identificado nas referências)",MATCH($AE488,INDIRECT(ORÇAMENTO.BancoRef),0))))</f>
        <v>(abra o arquivo 'Referência 06-2024.xlsm)</v>
      </c>
      <c r="AG488" s="498">
        <f ca="1">ROUND(IF(DESONERACAO="sim",REFERENCIA.Desonerado,REFERENCIA.NaoDesonerado),2)</f>
        <v>0</v>
      </c>
      <c r="AH488" s="499">
        <f t="shared" ca="1" si="132"/>
        <v>0.2432</v>
      </c>
      <c r="AJ488" s="501"/>
      <c r="AL488" s="527"/>
      <c r="AM488" s="381">
        <f t="shared" ca="1" si="133"/>
        <v>0</v>
      </c>
      <c r="AN488" s="566">
        <f t="shared" ca="1" si="134"/>
        <v>0</v>
      </c>
    </row>
    <row r="489" spans="1:40" ht="38.25" x14ac:dyDescent="0.2">
      <c r="A489" t="str">
        <f t="shared" si="119"/>
        <v>S</v>
      </c>
      <c r="B489">
        <f t="shared" ca="1" si="120"/>
        <v>2</v>
      </c>
      <c r="C489" t="str">
        <f t="shared" ca="1" si="121"/>
        <v>S</v>
      </c>
      <c r="D489">
        <f t="shared" ca="1" si="122"/>
        <v>0</v>
      </c>
      <c r="E489">
        <f ca="1">IF($C489=1,OFFSET(E489,-1,0)+MAX(1,COUNTIF(QCI!$A$13:$A$24,OFFSET(ORÇAMENTO!E489,-1,0))),OFFSET(E489,-1,0))</f>
        <v>1</v>
      </c>
      <c r="F489">
        <f t="shared" ca="1" si="123"/>
        <v>51</v>
      </c>
      <c r="G489">
        <f t="shared" ca="1" si="124"/>
        <v>0</v>
      </c>
      <c r="H489">
        <f t="shared" ca="1" si="125"/>
        <v>0</v>
      </c>
      <c r="I489">
        <f t="shared" ca="1" si="126"/>
        <v>0</v>
      </c>
      <c r="J489">
        <f t="shared" ca="1" si="118"/>
        <v>0</v>
      </c>
      <c r="K489">
        <f ca="1">IF(OR($C489="S",$C489=0),0,MATCH(OFFSET($D489,0,$C489)+IF($C489&lt;&gt;1,1,COUNTIF(QCI!$A$13:$A$24,ORÇAMENTO!E489)),OFFSET($D489,1,$C489,ROW($C$727)-ROW($C489)),0))</f>
        <v>0</v>
      </c>
      <c r="L489" s="116" t="str">
        <f t="shared" ca="1" si="127"/>
        <v/>
      </c>
      <c r="M489" s="117" t="s">
        <v>199</v>
      </c>
      <c r="N489" s="118" t="str">
        <f t="shared" ca="1" si="128"/>
        <v>Serviço</v>
      </c>
      <c r="O489" s="119" t="str">
        <f t="shared" ca="1" si="129"/>
        <v>-</v>
      </c>
      <c r="P489" s="120" t="s">
        <v>247</v>
      </c>
      <c r="Q489" s="121" t="s">
        <v>851</v>
      </c>
      <c r="R489" s="122" t="str">
        <f ca="1">IF($C489="S",REFERENCIA.Descricao,"(digite a descrição aqui)")</f>
        <v>(abra o arquivo 'Referência 06-2024.xlsm)</v>
      </c>
      <c r="S489" s="123" t="str">
        <f ca="1">REFERENCIA.Unidade</f>
        <v>-</v>
      </c>
      <c r="T489" s="124">
        <f ca="1">OFFSET(CÁLCULO!H$15,ROW($T489)-ROW(T$15),0)</f>
        <v>4</v>
      </c>
      <c r="U489" s="125">
        <f t="shared" ca="1" si="117"/>
        <v>0</v>
      </c>
      <c r="V489" s="126" t="s">
        <v>156</v>
      </c>
      <c r="W489" s="124">
        <f ca="1">IF($C489="S",ROUND(IF(TIPOORCAMENTO="Proposto",ORÇAMENTO.CustoUnitario*(1+$AH489),ORÇAMENTO.PrecoUnitarioLicitado),15-13*$AF$10),0)</f>
        <v>0</v>
      </c>
      <c r="X489" s="127">
        <f ca="1">IF($C489="S",IF(Import.TipoArredondamento&lt;&gt;"TransfereGOV",VTOTAL1,SUM(OFFSET(CÁLCULO!$AI$15,ROW($X489)-ROW($X$15),1):OFFSET(CÁLCULO!$BB$15,ROW($X489)-ROW($X$15),-1))),IF($C489=0,0,ROUND(SomaAgrup,15-13*$AF$11)))</f>
        <v>0</v>
      </c>
      <c r="Y489" s="128" t="s">
        <v>245</v>
      </c>
      <c r="Z489" t="str">
        <f t="shared" ca="1" si="130"/>
        <v/>
      </c>
      <c r="AA489" s="129">
        <f ca="1">IF($C489="S",IF($Z489="CP",$X489,IF($Z489="RA",(($X489)*QCI!$AA$3),0)),SomaAgrup)</f>
        <v>0</v>
      </c>
      <c r="AB489" s="130">
        <f t="shared" ca="1" si="131"/>
        <v>0</v>
      </c>
      <c r="AC489" s="131" t="str">
        <f ca="1">IF($N489="","",IF(ORÇAMENTO.Descricao="","DESCRIÇÃO",IF(AND($C489="S",ORÇAMENTO.Unidade=""),"UNIDADE",IF($X489&lt;0,"VALOR NEGATIVO",IF(OR(AND(TIPOORCAMENTO="Proposto",$AG489&lt;&gt;"",$AG489&gt;0,ORÇAMENTO.CustoUnitario&gt;$AG489),AND(TIPOORCAMENTO="LICITADO",ORÇAMENTO.PrecoUnitarioLicitado&gt;$AN489)),"ACIMA REF.","")))))</f>
        <v/>
      </c>
      <c r="AD489" t="str">
        <f ca="1">IF(C489&lt;=CRONO.NivelExibicao,MAX($AD$15:OFFSET(AD489,-1,0))+IF($C489&lt;&gt;1,1,MAX(1,COUNTIF(QCI!$A$13:$A$24,OFFSET($E489,-1,0)))),"")</f>
        <v/>
      </c>
      <c r="AE489" s="7" t="str">
        <f ca="1">IF(AND($C489="S",ORÇAMENTO.CodBarra&lt;&gt;""),IF(ORÇAMENTO.Fonte="",ORÇAMENTO.CodBarra,CONCATENATE(ORÇAMENTO.Fonte," ",ORÇAMENTO.CodBarra)))</f>
        <v>SINAPI 93013</v>
      </c>
      <c r="AF489" s="13" t="str">
        <f ca="1">IF(ISERROR(INDIRECT(ORÇAMENTO.BancoRef)),"(abra o arquivo 'Referência "&amp;Excel_BuiltIn_Database&amp;".xlsm)",IF(OR($C489&lt;&gt;"S",ORÇAMENTO.CodBarra=""),"(Sem Código)",IF(ISERROR(MATCH($AE489,INDIRECT(ORÇAMENTO.BancoRef),0)),"(Código não identificado nas referências)",MATCH($AE489,INDIRECT(ORÇAMENTO.BancoRef),0))))</f>
        <v>(abra o arquivo 'Referência 06-2024.xlsm)</v>
      </c>
      <c r="AG489" s="498">
        <f ca="1">ROUND(IF(DESONERACAO="sim",REFERENCIA.Desonerado,REFERENCIA.NaoDesonerado),2)</f>
        <v>0</v>
      </c>
      <c r="AH489" s="499">
        <f t="shared" ca="1" si="132"/>
        <v>0.2432</v>
      </c>
      <c r="AJ489" s="501"/>
      <c r="AL489" s="527"/>
      <c r="AM489" s="381">
        <f t="shared" ca="1" si="133"/>
        <v>0</v>
      </c>
      <c r="AN489" s="566">
        <f t="shared" ca="1" si="134"/>
        <v>0</v>
      </c>
    </row>
    <row r="490" spans="1:40" x14ac:dyDescent="0.2">
      <c r="A490">
        <f t="shared" si="119"/>
        <v>2</v>
      </c>
      <c r="B490">
        <f t="shared" ca="1" si="120"/>
        <v>2</v>
      </c>
      <c r="C490">
        <f t="shared" ca="1" si="121"/>
        <v>2</v>
      </c>
      <c r="D490">
        <f t="shared" ca="1" si="122"/>
        <v>18</v>
      </c>
      <c r="E490">
        <f ca="1">IF($C490=1,OFFSET(E490,-1,0)+MAX(1,COUNTIF(QCI!$A$13:$A$24,OFFSET(ORÇAMENTO!E490,-1,0))),OFFSET(E490,-1,0))</f>
        <v>1</v>
      </c>
      <c r="F490">
        <f t="shared" ca="1" si="123"/>
        <v>52</v>
      </c>
      <c r="G490">
        <f t="shared" ca="1" si="124"/>
        <v>0</v>
      </c>
      <c r="H490">
        <f t="shared" ca="1" si="125"/>
        <v>0</v>
      </c>
      <c r="I490">
        <f t="shared" ca="1" si="126"/>
        <v>0</v>
      </c>
      <c r="J490">
        <f t="shared" ca="1" si="118"/>
        <v>237</v>
      </c>
      <c r="K490">
        <f ca="1">IF(OR($C490="S",$C490=0),0,MATCH(OFFSET($D490,0,$C490)+IF($C490&lt;&gt;1,1,COUNTIF(QCI!$A$13:$A$24,ORÇAMENTO!E490)),OFFSET($D490,1,$C490,ROW($C$727)-ROW($C490)),0))</f>
        <v>18</v>
      </c>
      <c r="L490" s="116" t="str">
        <f t="shared" ca="1" si="127"/>
        <v>F</v>
      </c>
      <c r="M490" s="117" t="s">
        <v>196</v>
      </c>
      <c r="N490" s="118" t="str">
        <f t="shared" ca="1" si="128"/>
        <v>Nível 2</v>
      </c>
      <c r="O490" s="119" t="str">
        <f t="shared" ca="1" si="129"/>
        <v>1.52.</v>
      </c>
      <c r="P490" s="120" t="s">
        <v>247</v>
      </c>
      <c r="Q490" s="121"/>
      <c r="R490" s="122" t="s">
        <v>1075</v>
      </c>
      <c r="S490" s="123" t="str">
        <f ca="1">REFERENCIA.Unidade</f>
        <v>-</v>
      </c>
      <c r="T490" s="124">
        <f ca="1">OFFSET(CÁLCULO!H$15,ROW($T490)-ROW(T$15),0)</f>
        <v>0</v>
      </c>
      <c r="U490" s="125">
        <f t="shared" ca="1" si="117"/>
        <v>0</v>
      </c>
      <c r="V490" s="126" t="s">
        <v>156</v>
      </c>
      <c r="W490" s="124">
        <f ca="1">IF($C490="S",ROUND(IF(TIPOORCAMENTO="Proposto",ORÇAMENTO.CustoUnitario*(1+$AH490),ORÇAMENTO.PrecoUnitarioLicitado),15-13*$AF$10),0)</f>
        <v>0</v>
      </c>
      <c r="X490" s="127">
        <f ca="1">IF($C490="S",IF(Import.TipoArredondamento&lt;&gt;"TransfereGOV",VTOTAL1,SUM(OFFSET(CÁLCULO!$AI$15,ROW($X490)-ROW($X$15),1):OFFSET(CÁLCULO!$BB$15,ROW($X490)-ROW($X$15),-1))),IF($C490=0,0,ROUND(SomaAgrup,15-13*$AF$11)))</f>
        <v>0</v>
      </c>
      <c r="Y490" s="128" t="s">
        <v>245</v>
      </c>
      <c r="Z490" t="str">
        <f t="shared" ca="1" si="130"/>
        <v/>
      </c>
      <c r="AA490" s="129">
        <f ca="1">IF($C490="S",IF($Z490="CP",$X490,IF($Z490="RA",(($X490)*QCI!$AA$3),0)),SomaAgrup)</f>
        <v>0</v>
      </c>
      <c r="AB490" s="130">
        <f t="shared" ca="1" si="131"/>
        <v>0</v>
      </c>
      <c r="AC490" s="131" t="str">
        <f ca="1">IF($N490="","",IF(ORÇAMENTO.Descricao="","DESCRIÇÃO",IF(AND($C490="S",ORÇAMENTO.Unidade=""),"UNIDADE",IF($X490&lt;0,"VALOR NEGATIVO",IF(OR(AND(TIPOORCAMENTO="Proposto",$AG490&lt;&gt;"",$AG490&gt;0,ORÇAMENTO.CustoUnitario&gt;$AG490),AND(TIPOORCAMENTO="LICITADO",ORÇAMENTO.PrecoUnitarioLicitado&gt;$AN490)),"ACIMA REF.","")))))</f>
        <v/>
      </c>
      <c r="AD490">
        <f ca="1">IF(C490&lt;=CRONO.NivelExibicao,MAX($AD$15:OFFSET(AD490,-1,0))+IF($C490&lt;&gt;1,1,MAX(1,COUNTIF(QCI!$A$13:$A$24,OFFSET($E490,-1,0)))),"")</f>
        <v>53</v>
      </c>
      <c r="AE490" s="7" t="b">
        <f ca="1">IF(AND($C490="S",ORÇAMENTO.CodBarra&lt;&gt;""),IF(ORÇAMENTO.Fonte="",ORÇAMENTO.CodBarra,CONCATENATE(ORÇAMENTO.Fonte," ",ORÇAMENTO.CodBarra)))</f>
        <v>0</v>
      </c>
      <c r="AF490" s="13" t="str">
        <f ca="1">IF(ISERROR(INDIRECT(ORÇAMENTO.BancoRef)),"(abra o arquivo 'Referência "&amp;Excel_BuiltIn_Database&amp;".xlsm)",IF(OR($C490&lt;&gt;"S",ORÇAMENTO.CodBarra=""),"(Sem Código)",IF(ISERROR(MATCH($AE490,INDIRECT(ORÇAMENTO.BancoRef),0)),"(Código não identificado nas referências)",MATCH($AE490,INDIRECT(ORÇAMENTO.BancoRef),0))))</f>
        <v>(abra o arquivo 'Referência 06-2024.xlsm)</v>
      </c>
      <c r="AG490" s="498">
        <f ca="1">ROUND(IF(DESONERACAO="sim",REFERENCIA.Desonerado,REFERENCIA.NaoDesonerado),2)</f>
        <v>0</v>
      </c>
      <c r="AH490" s="499">
        <f t="shared" ca="1" si="132"/>
        <v>0.2432</v>
      </c>
      <c r="AJ490" s="501"/>
      <c r="AL490" s="527"/>
      <c r="AM490" s="381">
        <f t="shared" ca="1" si="133"/>
        <v>0</v>
      </c>
      <c r="AN490" s="566">
        <f t="shared" ca="1" si="134"/>
        <v>0</v>
      </c>
    </row>
    <row r="491" spans="1:40" x14ac:dyDescent="0.2">
      <c r="A491" t="str">
        <f t="shared" si="119"/>
        <v>S</v>
      </c>
      <c r="B491">
        <f t="shared" ca="1" si="120"/>
        <v>2</v>
      </c>
      <c r="C491" t="str">
        <f t="shared" ca="1" si="121"/>
        <v>S</v>
      </c>
      <c r="D491">
        <f t="shared" ca="1" si="122"/>
        <v>0</v>
      </c>
      <c r="E491">
        <f ca="1">IF($C491=1,OFFSET(E491,-1,0)+MAX(1,COUNTIF(QCI!$A$13:$A$24,OFFSET(ORÇAMENTO!E491,-1,0))),OFFSET(E491,-1,0))</f>
        <v>1</v>
      </c>
      <c r="F491">
        <f t="shared" ca="1" si="123"/>
        <v>52</v>
      </c>
      <c r="G491">
        <f t="shared" ca="1" si="124"/>
        <v>0</v>
      </c>
      <c r="H491">
        <f t="shared" ca="1" si="125"/>
        <v>0</v>
      </c>
      <c r="I491">
        <f t="shared" ca="1" si="126"/>
        <v>0</v>
      </c>
      <c r="J491">
        <f t="shared" ca="1" si="118"/>
        <v>0</v>
      </c>
      <c r="K491">
        <f ca="1">IF(OR($C491="S",$C491=0),0,MATCH(OFFSET($D491,0,$C491)+IF($C491&lt;&gt;1,1,COUNTIF(QCI!$A$13:$A$24,ORÇAMENTO!E491)),OFFSET($D491,1,$C491,ROW($C$727)-ROW($C491)),0))</f>
        <v>0</v>
      </c>
      <c r="L491" s="116" t="str">
        <f t="shared" ca="1" si="127"/>
        <v/>
      </c>
      <c r="M491" s="117" t="s">
        <v>199</v>
      </c>
      <c r="N491" s="118" t="str">
        <f t="shared" ca="1" si="128"/>
        <v>Serviço</v>
      </c>
      <c r="O491" s="119" t="str">
        <f t="shared" ca="1" si="129"/>
        <v>-</v>
      </c>
      <c r="P491" s="120" t="s">
        <v>458</v>
      </c>
      <c r="Q491" s="121" t="s">
        <v>844</v>
      </c>
      <c r="R491" s="122" t="str">
        <f ca="1">IF($C491="S",REFERENCIA.Descricao,"(digite a descrição aqui)")</f>
        <v>(abra o arquivo 'Referência 06-2024.xlsm)</v>
      </c>
      <c r="S491" s="123" t="str">
        <f ca="1">REFERENCIA.Unidade</f>
        <v>-</v>
      </c>
      <c r="T491" s="124">
        <f ca="1">OFFSET(CÁLCULO!H$15,ROW($T491)-ROW(T$15),0)</f>
        <v>1809</v>
      </c>
      <c r="U491" s="125">
        <f t="shared" ca="1" si="117"/>
        <v>0</v>
      </c>
      <c r="V491" s="126" t="s">
        <v>156</v>
      </c>
      <c r="W491" s="124">
        <f ca="1">IF($C491="S",ROUND(IF(TIPOORCAMENTO="Proposto",ORÇAMENTO.CustoUnitario*(1+$AH491),ORÇAMENTO.PrecoUnitarioLicitado),15-13*$AF$10),0)</f>
        <v>0</v>
      </c>
      <c r="X491" s="127">
        <f ca="1">IF($C491="S",IF(Import.TipoArredondamento&lt;&gt;"TransfereGOV",VTOTAL1,SUM(OFFSET(CÁLCULO!$AI$15,ROW($X491)-ROW($X$15),1):OFFSET(CÁLCULO!$BB$15,ROW($X491)-ROW($X$15),-1))),IF($C491=0,0,ROUND(SomaAgrup,15-13*$AF$11)))</f>
        <v>0</v>
      </c>
      <c r="Y491" s="128" t="s">
        <v>245</v>
      </c>
      <c r="Z491" t="str">
        <f t="shared" ca="1" si="130"/>
        <v/>
      </c>
      <c r="AA491" s="129">
        <f ca="1">IF($C491="S",IF($Z491="CP",$X491,IF($Z491="RA",(($X491)*QCI!$AA$3),0)),SomaAgrup)</f>
        <v>0</v>
      </c>
      <c r="AB491" s="130">
        <f t="shared" ca="1" si="131"/>
        <v>0</v>
      </c>
      <c r="AC491" s="131" t="str">
        <f ca="1">IF($N491="","",IF(ORÇAMENTO.Descricao="","DESCRIÇÃO",IF(AND($C491="S",ORÇAMENTO.Unidade=""),"UNIDADE",IF($X491&lt;0,"VALOR NEGATIVO",IF(OR(AND(TIPOORCAMENTO="Proposto",$AG491&lt;&gt;"",$AG491&gt;0,ORÇAMENTO.CustoUnitario&gt;$AG491),AND(TIPOORCAMENTO="LICITADO",ORÇAMENTO.PrecoUnitarioLicitado&gt;$AN491)),"ACIMA REF.","")))))</f>
        <v/>
      </c>
      <c r="AD491" t="str">
        <f ca="1">IF(C491&lt;=CRONO.NivelExibicao,MAX($AD$15:OFFSET(AD491,-1,0))+IF($C491&lt;&gt;1,1,MAX(1,COUNTIF(QCI!$A$13:$A$24,OFFSET($E491,-1,0)))),"")</f>
        <v/>
      </c>
      <c r="AE491" s="7" t="str">
        <f ca="1">IF(AND($C491="S",ORÇAMENTO.CodBarra&lt;&gt;""),IF(ORÇAMENTO.Fonte="",ORÇAMENTO.CodBarra,CONCATENATE(ORÇAMENTO.Fonte," ",ORÇAMENTO.CodBarra)))</f>
        <v>COMPOSIÇÃO FNDE 353</v>
      </c>
      <c r="AF491" s="13" t="str">
        <f ca="1">IF(ISERROR(INDIRECT(ORÇAMENTO.BancoRef)),"(abra o arquivo 'Referência "&amp;Excel_BuiltIn_Database&amp;".xlsm)",IF(OR($C491&lt;&gt;"S",ORÇAMENTO.CodBarra=""),"(Sem Código)",IF(ISERROR(MATCH($AE491,INDIRECT(ORÇAMENTO.BancoRef),0)),"(Código não identificado nas referências)",MATCH($AE491,INDIRECT(ORÇAMENTO.BancoRef),0))))</f>
        <v>(abra o arquivo 'Referência 06-2024.xlsm)</v>
      </c>
      <c r="AG491" s="498">
        <f ca="1">ROUND(IF(DESONERACAO="sim",REFERENCIA.Desonerado,REFERENCIA.NaoDesonerado),2)</f>
        <v>0</v>
      </c>
      <c r="AH491" s="499">
        <f t="shared" ca="1" si="132"/>
        <v>0.2432</v>
      </c>
      <c r="AJ491" s="501"/>
      <c r="AL491" s="527"/>
      <c r="AM491" s="381">
        <f t="shared" ca="1" si="133"/>
        <v>0</v>
      </c>
      <c r="AN491" s="566">
        <f t="shared" ca="1" si="134"/>
        <v>0</v>
      </c>
    </row>
    <row r="492" spans="1:40" x14ac:dyDescent="0.2">
      <c r="A492" t="str">
        <f t="shared" si="119"/>
        <v>S</v>
      </c>
      <c r="B492">
        <f t="shared" ca="1" si="120"/>
        <v>2</v>
      </c>
      <c r="C492" t="str">
        <f t="shared" ca="1" si="121"/>
        <v>S</v>
      </c>
      <c r="D492">
        <f t="shared" ca="1" si="122"/>
        <v>0</v>
      </c>
      <c r="E492">
        <f ca="1">IF($C492=1,OFFSET(E492,-1,0)+MAX(1,COUNTIF(QCI!$A$13:$A$24,OFFSET(ORÇAMENTO!E492,-1,0))),OFFSET(E492,-1,0))</f>
        <v>1</v>
      </c>
      <c r="F492">
        <f t="shared" ca="1" si="123"/>
        <v>52</v>
      </c>
      <c r="G492">
        <f t="shared" ca="1" si="124"/>
        <v>0</v>
      </c>
      <c r="H492">
        <f t="shared" ca="1" si="125"/>
        <v>0</v>
      </c>
      <c r="I492">
        <f t="shared" ca="1" si="126"/>
        <v>0</v>
      </c>
      <c r="J492">
        <f t="shared" ca="1" si="118"/>
        <v>0</v>
      </c>
      <c r="K492">
        <f ca="1">IF(OR($C492="S",$C492=0),0,MATCH(OFFSET($D492,0,$C492)+IF($C492&lt;&gt;1,1,COUNTIF(QCI!$A$13:$A$24,ORÇAMENTO!E492)),OFFSET($D492,1,$C492,ROW($C$727)-ROW($C492)),0))</f>
        <v>0</v>
      </c>
      <c r="L492" s="116" t="str">
        <f t="shared" ca="1" si="127"/>
        <v/>
      </c>
      <c r="M492" s="117" t="s">
        <v>199</v>
      </c>
      <c r="N492" s="118" t="str">
        <f t="shared" ca="1" si="128"/>
        <v>Serviço</v>
      </c>
      <c r="O492" s="119" t="str">
        <f t="shared" ca="1" si="129"/>
        <v>-</v>
      </c>
      <c r="P492" s="120" t="s">
        <v>458</v>
      </c>
      <c r="Q492" s="121" t="s">
        <v>852</v>
      </c>
      <c r="R492" s="122" t="str">
        <f ca="1">IF($C492="S",REFERENCIA.Descricao,"(digite a descrição aqui)")</f>
        <v>(abra o arquivo 'Referência 06-2024.xlsm)</v>
      </c>
      <c r="S492" s="123" t="str">
        <f ca="1">REFERENCIA.Unidade</f>
        <v>-</v>
      </c>
      <c r="T492" s="124">
        <f ca="1">OFFSET(CÁLCULO!H$15,ROW($T492)-ROW(T$15),0)</f>
        <v>27</v>
      </c>
      <c r="U492" s="125">
        <f t="shared" ca="1" si="117"/>
        <v>0</v>
      </c>
      <c r="V492" s="126" t="s">
        <v>156</v>
      </c>
      <c r="W492" s="124">
        <f ca="1">IF($C492="S",ROUND(IF(TIPOORCAMENTO="Proposto",ORÇAMENTO.CustoUnitario*(1+$AH492),ORÇAMENTO.PrecoUnitarioLicitado),15-13*$AF$10),0)</f>
        <v>0</v>
      </c>
      <c r="X492" s="127">
        <f ca="1">IF($C492="S",IF(Import.TipoArredondamento&lt;&gt;"TransfereGOV",VTOTAL1,SUM(OFFSET(CÁLCULO!$AI$15,ROW($X492)-ROW($X$15),1):OFFSET(CÁLCULO!$BB$15,ROW($X492)-ROW($X$15),-1))),IF($C492=0,0,ROUND(SomaAgrup,15-13*$AF$11)))</f>
        <v>0</v>
      </c>
      <c r="Y492" s="128" t="s">
        <v>245</v>
      </c>
      <c r="Z492" t="str">
        <f t="shared" ca="1" si="130"/>
        <v/>
      </c>
      <c r="AA492" s="129">
        <f ca="1">IF($C492="S",IF($Z492="CP",$X492,IF($Z492="RA",(($X492)*QCI!$AA$3),0)),SomaAgrup)</f>
        <v>0</v>
      </c>
      <c r="AB492" s="130">
        <f t="shared" ca="1" si="131"/>
        <v>0</v>
      </c>
      <c r="AC492" s="131" t="str">
        <f ca="1">IF($N492="","",IF(ORÇAMENTO.Descricao="","DESCRIÇÃO",IF(AND($C492="S",ORÇAMENTO.Unidade=""),"UNIDADE",IF($X492&lt;0,"VALOR NEGATIVO",IF(OR(AND(TIPOORCAMENTO="Proposto",$AG492&lt;&gt;"",$AG492&gt;0,ORÇAMENTO.CustoUnitario&gt;$AG492),AND(TIPOORCAMENTO="LICITADO",ORÇAMENTO.PrecoUnitarioLicitado&gt;$AN492)),"ACIMA REF.","")))))</f>
        <v/>
      </c>
      <c r="AD492" t="str">
        <f ca="1">IF(C492&lt;=CRONO.NivelExibicao,MAX($AD$15:OFFSET(AD492,-1,0))+IF($C492&lt;&gt;1,1,MAX(1,COUNTIF(QCI!$A$13:$A$24,OFFSET($E492,-1,0)))),"")</f>
        <v/>
      </c>
      <c r="AE492" s="7" t="str">
        <f ca="1">IF(AND($C492="S",ORÇAMENTO.CodBarra&lt;&gt;""),IF(ORÇAMENTO.Fonte="",ORÇAMENTO.CodBarra,CONCATENATE(ORÇAMENTO.Fonte," ",ORÇAMENTO.CodBarra)))</f>
        <v>COMPOSIÇÃO FNDE 354</v>
      </c>
      <c r="AF492" s="13" t="str">
        <f ca="1">IF(ISERROR(INDIRECT(ORÇAMENTO.BancoRef)),"(abra o arquivo 'Referência "&amp;Excel_BuiltIn_Database&amp;".xlsm)",IF(OR($C492&lt;&gt;"S",ORÇAMENTO.CodBarra=""),"(Sem Código)",IF(ISERROR(MATCH($AE492,INDIRECT(ORÇAMENTO.BancoRef),0)),"(Código não identificado nas referências)",MATCH($AE492,INDIRECT(ORÇAMENTO.BancoRef),0))))</f>
        <v>(abra o arquivo 'Referência 06-2024.xlsm)</v>
      </c>
      <c r="AG492" s="498">
        <f ca="1">ROUND(IF(DESONERACAO="sim",REFERENCIA.Desonerado,REFERENCIA.NaoDesonerado),2)</f>
        <v>0</v>
      </c>
      <c r="AH492" s="499">
        <f t="shared" ca="1" si="132"/>
        <v>0.2432</v>
      </c>
      <c r="AJ492" s="501"/>
      <c r="AL492" s="527"/>
      <c r="AM492" s="381">
        <f t="shared" ca="1" si="133"/>
        <v>0</v>
      </c>
      <c r="AN492" s="566">
        <f t="shared" ca="1" si="134"/>
        <v>0</v>
      </c>
    </row>
    <row r="493" spans="1:40" ht="38.25" x14ac:dyDescent="0.2">
      <c r="A493" t="str">
        <f t="shared" si="119"/>
        <v>S</v>
      </c>
      <c r="B493">
        <f t="shared" ca="1" si="120"/>
        <v>2</v>
      </c>
      <c r="C493" t="str">
        <f t="shared" ca="1" si="121"/>
        <v>S</v>
      </c>
      <c r="D493">
        <f t="shared" ca="1" si="122"/>
        <v>0</v>
      </c>
      <c r="E493">
        <f ca="1">IF($C493=1,OFFSET(E493,-1,0)+MAX(1,COUNTIF(QCI!$A$13:$A$24,OFFSET(ORÇAMENTO!E493,-1,0))),OFFSET(E493,-1,0))</f>
        <v>1</v>
      </c>
      <c r="F493">
        <f t="shared" ca="1" si="123"/>
        <v>52</v>
      </c>
      <c r="G493">
        <f t="shared" ca="1" si="124"/>
        <v>0</v>
      </c>
      <c r="H493">
        <f t="shared" ca="1" si="125"/>
        <v>0</v>
      </c>
      <c r="I493">
        <f t="shared" ca="1" si="126"/>
        <v>0</v>
      </c>
      <c r="J493">
        <f t="shared" ca="1" si="118"/>
        <v>0</v>
      </c>
      <c r="K493">
        <f ca="1">IF(OR($C493="S",$C493=0),0,MATCH(OFFSET($D493,0,$C493)+IF($C493&lt;&gt;1,1,COUNTIF(QCI!$A$13:$A$24,ORÇAMENTO!E493)),OFFSET($D493,1,$C493,ROW($C$727)-ROW($C493)),0))</f>
        <v>0</v>
      </c>
      <c r="L493" s="116" t="str">
        <f t="shared" ca="1" si="127"/>
        <v/>
      </c>
      <c r="M493" s="117" t="s">
        <v>199</v>
      </c>
      <c r="N493" s="118" t="str">
        <f t="shared" ca="1" si="128"/>
        <v>Serviço</v>
      </c>
      <c r="O493" s="119" t="str">
        <f t="shared" ca="1" si="129"/>
        <v>-</v>
      </c>
      <c r="P493" s="120" t="s">
        <v>458</v>
      </c>
      <c r="Q493" s="121" t="s">
        <v>853</v>
      </c>
      <c r="R493" s="122" t="str">
        <f ca="1">IF($C493="S",REFERENCIA.Descricao,"(digite a descrição aqui)")</f>
        <v>(abra o arquivo 'Referência 06-2024.xlsm)</v>
      </c>
      <c r="S493" s="123" t="str">
        <f ca="1">REFERENCIA.Unidade</f>
        <v>-</v>
      </c>
      <c r="T493" s="124">
        <f ca="1">OFFSET(CÁLCULO!H$15,ROW($T493)-ROW(T$15),0)</f>
        <v>1136</v>
      </c>
      <c r="U493" s="125">
        <f t="shared" ca="1" si="117"/>
        <v>0</v>
      </c>
      <c r="V493" s="126" t="s">
        <v>156</v>
      </c>
      <c r="W493" s="124">
        <f ca="1">IF($C493="S",ROUND(IF(TIPOORCAMENTO="Proposto",ORÇAMENTO.CustoUnitario*(1+$AH493),ORÇAMENTO.PrecoUnitarioLicitado),15-13*$AF$10),0)</f>
        <v>0</v>
      </c>
      <c r="X493" s="127">
        <f ca="1">IF($C493="S",IF(Import.TipoArredondamento&lt;&gt;"TransfereGOV",VTOTAL1,SUM(OFFSET(CÁLCULO!$AI$15,ROW($X493)-ROW($X$15),1):OFFSET(CÁLCULO!$BB$15,ROW($X493)-ROW($X$15),-1))),IF($C493=0,0,ROUND(SomaAgrup,15-13*$AF$11)))</f>
        <v>0</v>
      </c>
      <c r="Y493" s="128" t="s">
        <v>245</v>
      </c>
      <c r="Z493" t="str">
        <f t="shared" ca="1" si="130"/>
        <v/>
      </c>
      <c r="AA493" s="129">
        <f ca="1">IF($C493="S",IF($Z493="CP",$X493,IF($Z493="RA",(($X493)*QCI!$AA$3),0)),SomaAgrup)</f>
        <v>0</v>
      </c>
      <c r="AB493" s="130">
        <f t="shared" ca="1" si="131"/>
        <v>0</v>
      </c>
      <c r="AC493" s="131" t="str">
        <f ca="1">IF($N493="","",IF(ORÇAMENTO.Descricao="","DESCRIÇÃO",IF(AND($C493="S",ORÇAMENTO.Unidade=""),"UNIDADE",IF($X493&lt;0,"VALOR NEGATIVO",IF(OR(AND(TIPOORCAMENTO="Proposto",$AG493&lt;&gt;"",$AG493&gt;0,ORÇAMENTO.CustoUnitario&gt;$AG493),AND(TIPOORCAMENTO="LICITADO",ORÇAMENTO.PrecoUnitarioLicitado&gt;$AN493)),"ACIMA REF.","")))))</f>
        <v/>
      </c>
      <c r="AD493" t="str">
        <f ca="1">IF(C493&lt;=CRONO.NivelExibicao,MAX($AD$15:OFFSET(AD493,-1,0))+IF($C493&lt;&gt;1,1,MAX(1,COUNTIF(QCI!$A$13:$A$24,OFFSET($E493,-1,0)))),"")</f>
        <v/>
      </c>
      <c r="AE493" s="7" t="str">
        <f ca="1">IF(AND($C493="S",ORÇAMENTO.CodBarra&lt;&gt;""),IF(ORÇAMENTO.Fonte="",ORÇAMENTO.CodBarra,CONCATENATE(ORÇAMENTO.Fonte," ",ORÇAMENTO.CodBarra)))</f>
        <v>COMPOSIÇÃO FNDE 355</v>
      </c>
      <c r="AF493" s="13" t="str">
        <f ca="1">IF(ISERROR(INDIRECT(ORÇAMENTO.BancoRef)),"(abra o arquivo 'Referência "&amp;Excel_BuiltIn_Database&amp;".xlsm)",IF(OR($C493&lt;&gt;"S",ORÇAMENTO.CodBarra=""),"(Sem Código)",IF(ISERROR(MATCH($AE493,INDIRECT(ORÇAMENTO.BancoRef),0)),"(Código não identificado nas referências)",MATCH($AE493,INDIRECT(ORÇAMENTO.BancoRef),0))))</f>
        <v>(abra o arquivo 'Referência 06-2024.xlsm)</v>
      </c>
      <c r="AG493" s="498">
        <f ca="1">ROUND(IF(DESONERACAO="sim",REFERENCIA.Desonerado,REFERENCIA.NaoDesonerado),2)</f>
        <v>0</v>
      </c>
      <c r="AH493" s="499">
        <f t="shared" ca="1" si="132"/>
        <v>0.2432</v>
      </c>
      <c r="AJ493" s="501"/>
      <c r="AL493" s="527"/>
      <c r="AM493" s="381">
        <f t="shared" ca="1" si="133"/>
        <v>0</v>
      </c>
      <c r="AN493" s="566">
        <f t="shared" ca="1" si="134"/>
        <v>0</v>
      </c>
    </row>
    <row r="494" spans="1:40" x14ac:dyDescent="0.2">
      <c r="A494" t="str">
        <f t="shared" si="119"/>
        <v>S</v>
      </c>
      <c r="B494">
        <f t="shared" ca="1" si="120"/>
        <v>2</v>
      </c>
      <c r="C494" t="str">
        <f t="shared" ca="1" si="121"/>
        <v>S</v>
      </c>
      <c r="D494">
        <f t="shared" ca="1" si="122"/>
        <v>0</v>
      </c>
      <c r="E494">
        <f ca="1">IF($C494=1,OFFSET(E494,-1,0)+MAX(1,COUNTIF(QCI!$A$13:$A$24,OFFSET(ORÇAMENTO!E494,-1,0))),OFFSET(E494,-1,0))</f>
        <v>1</v>
      </c>
      <c r="F494">
        <f t="shared" ca="1" si="123"/>
        <v>52</v>
      </c>
      <c r="G494">
        <f t="shared" ca="1" si="124"/>
        <v>0</v>
      </c>
      <c r="H494">
        <f t="shared" ca="1" si="125"/>
        <v>0</v>
      </c>
      <c r="I494">
        <f t="shared" ca="1" si="126"/>
        <v>0</v>
      </c>
      <c r="J494">
        <f t="shared" ca="1" si="118"/>
        <v>0</v>
      </c>
      <c r="K494">
        <f ca="1">IF(OR($C494="S",$C494=0),0,MATCH(OFFSET($D494,0,$C494)+IF($C494&lt;&gt;1,1,COUNTIF(QCI!$A$13:$A$24,ORÇAMENTO!E494)),OFFSET($D494,1,$C494,ROW($C$727)-ROW($C494)),0))</f>
        <v>0</v>
      </c>
      <c r="L494" s="116" t="str">
        <f t="shared" ca="1" si="127"/>
        <v/>
      </c>
      <c r="M494" s="117" t="s">
        <v>199</v>
      </c>
      <c r="N494" s="118" t="str">
        <f t="shared" ca="1" si="128"/>
        <v>Serviço</v>
      </c>
      <c r="O494" s="119" t="str">
        <f t="shared" ca="1" si="129"/>
        <v>-</v>
      </c>
      <c r="P494" s="120" t="s">
        <v>458</v>
      </c>
      <c r="Q494" s="121" t="s">
        <v>854</v>
      </c>
      <c r="R494" s="122" t="str">
        <f ca="1">IF($C494="S",REFERENCIA.Descricao,"(digite a descrição aqui)")</f>
        <v>(abra o arquivo 'Referência 06-2024.xlsm)</v>
      </c>
      <c r="S494" s="123" t="str">
        <f ca="1">REFERENCIA.Unidade</f>
        <v>-</v>
      </c>
      <c r="T494" s="124">
        <f ca="1">OFFSET(CÁLCULO!H$15,ROW($T494)-ROW(T$15),0)</f>
        <v>1516</v>
      </c>
      <c r="U494" s="125">
        <f t="shared" ca="1" si="117"/>
        <v>0</v>
      </c>
      <c r="V494" s="126" t="s">
        <v>156</v>
      </c>
      <c r="W494" s="124">
        <f ca="1">IF($C494="S",ROUND(IF(TIPOORCAMENTO="Proposto",ORÇAMENTO.CustoUnitario*(1+$AH494),ORÇAMENTO.PrecoUnitarioLicitado),15-13*$AF$10),0)</f>
        <v>0</v>
      </c>
      <c r="X494" s="127">
        <f ca="1">IF($C494="S",IF(Import.TipoArredondamento&lt;&gt;"TransfereGOV",VTOTAL1,SUM(OFFSET(CÁLCULO!$AI$15,ROW($X494)-ROW($X$15),1):OFFSET(CÁLCULO!$BB$15,ROW($X494)-ROW($X$15),-1))),IF($C494=0,0,ROUND(SomaAgrup,15-13*$AF$11)))</f>
        <v>0</v>
      </c>
      <c r="Y494" s="128" t="s">
        <v>245</v>
      </c>
      <c r="Z494" t="str">
        <f t="shared" ca="1" si="130"/>
        <v/>
      </c>
      <c r="AA494" s="129">
        <f ca="1">IF($C494="S",IF($Z494="CP",$X494,IF($Z494="RA",(($X494)*QCI!$AA$3),0)),SomaAgrup)</f>
        <v>0</v>
      </c>
      <c r="AB494" s="130">
        <f t="shared" ca="1" si="131"/>
        <v>0</v>
      </c>
      <c r="AC494" s="131" t="str">
        <f ca="1">IF($N494="","",IF(ORÇAMENTO.Descricao="","DESCRIÇÃO",IF(AND($C494="S",ORÇAMENTO.Unidade=""),"UNIDADE",IF($X494&lt;0,"VALOR NEGATIVO",IF(OR(AND(TIPOORCAMENTO="Proposto",$AG494&lt;&gt;"",$AG494&gt;0,ORÇAMENTO.CustoUnitario&gt;$AG494),AND(TIPOORCAMENTO="LICITADO",ORÇAMENTO.PrecoUnitarioLicitado&gt;$AN494)),"ACIMA REF.","")))))</f>
        <v/>
      </c>
      <c r="AD494" t="str">
        <f ca="1">IF(C494&lt;=CRONO.NivelExibicao,MAX($AD$15:OFFSET(AD494,-1,0))+IF($C494&lt;&gt;1,1,MAX(1,COUNTIF(QCI!$A$13:$A$24,OFFSET($E494,-1,0)))),"")</f>
        <v/>
      </c>
      <c r="AE494" s="7" t="str">
        <f ca="1">IF(AND($C494="S",ORÇAMENTO.CodBarra&lt;&gt;""),IF(ORÇAMENTO.Fonte="",ORÇAMENTO.CodBarra,CONCATENATE(ORÇAMENTO.Fonte," ",ORÇAMENTO.CodBarra)))</f>
        <v>COMPOSIÇÃO FNDE 356</v>
      </c>
      <c r="AF494" s="13" t="str">
        <f ca="1">IF(ISERROR(INDIRECT(ORÇAMENTO.BancoRef)),"(abra o arquivo 'Referência "&amp;Excel_BuiltIn_Database&amp;".xlsm)",IF(OR($C494&lt;&gt;"S",ORÇAMENTO.CodBarra=""),"(Sem Código)",IF(ISERROR(MATCH($AE494,INDIRECT(ORÇAMENTO.BancoRef),0)),"(Código não identificado nas referências)",MATCH($AE494,INDIRECT(ORÇAMENTO.BancoRef),0))))</f>
        <v>(abra o arquivo 'Referência 06-2024.xlsm)</v>
      </c>
      <c r="AG494" s="498">
        <f ca="1">ROUND(IF(DESONERACAO="sim",REFERENCIA.Desonerado,REFERENCIA.NaoDesonerado),2)</f>
        <v>0</v>
      </c>
      <c r="AH494" s="499">
        <f t="shared" ca="1" si="132"/>
        <v>0.2432</v>
      </c>
      <c r="AJ494" s="501"/>
      <c r="AL494" s="527"/>
      <c r="AM494" s="381">
        <f t="shared" ca="1" si="133"/>
        <v>0</v>
      </c>
      <c r="AN494" s="566">
        <f t="shared" ca="1" si="134"/>
        <v>0</v>
      </c>
    </row>
    <row r="495" spans="1:40" ht="38.25" x14ac:dyDescent="0.2">
      <c r="A495" t="str">
        <f t="shared" si="119"/>
        <v>S</v>
      </c>
      <c r="B495">
        <f t="shared" ca="1" si="120"/>
        <v>2</v>
      </c>
      <c r="C495" t="str">
        <f t="shared" ca="1" si="121"/>
        <v>S</v>
      </c>
      <c r="D495">
        <f t="shared" ca="1" si="122"/>
        <v>0</v>
      </c>
      <c r="E495">
        <f ca="1">IF($C495=1,OFFSET(E495,-1,0)+MAX(1,COUNTIF(QCI!$A$13:$A$24,OFFSET(ORÇAMENTO!E495,-1,0))),OFFSET(E495,-1,0))</f>
        <v>1</v>
      </c>
      <c r="F495">
        <f t="shared" ca="1" si="123"/>
        <v>52</v>
      </c>
      <c r="G495">
        <f t="shared" ca="1" si="124"/>
        <v>0</v>
      </c>
      <c r="H495">
        <f t="shared" ca="1" si="125"/>
        <v>0</v>
      </c>
      <c r="I495">
        <f t="shared" ca="1" si="126"/>
        <v>0</v>
      </c>
      <c r="J495">
        <f t="shared" ca="1" si="118"/>
        <v>0</v>
      </c>
      <c r="K495">
        <f ca="1">IF(OR($C495="S",$C495=0),0,MATCH(OFFSET($D495,0,$C495)+IF($C495&lt;&gt;1,1,COUNTIF(QCI!$A$13:$A$24,ORÇAMENTO!E495)),OFFSET($D495,1,$C495,ROW($C$727)-ROW($C495)),0))</f>
        <v>0</v>
      </c>
      <c r="L495" s="116" t="str">
        <f t="shared" ca="1" si="127"/>
        <v/>
      </c>
      <c r="M495" s="117" t="s">
        <v>199</v>
      </c>
      <c r="N495" s="118" t="str">
        <f t="shared" ca="1" si="128"/>
        <v>Serviço</v>
      </c>
      <c r="O495" s="119" t="str">
        <f t="shared" ca="1" si="129"/>
        <v>-</v>
      </c>
      <c r="P495" s="120" t="s">
        <v>247</v>
      </c>
      <c r="Q495" s="121" t="s">
        <v>855</v>
      </c>
      <c r="R495" s="122" t="str">
        <f ca="1">IF($C495="S",REFERENCIA.Descricao,"(digite a descrição aqui)")</f>
        <v>(abra o arquivo 'Referência 06-2024.xlsm)</v>
      </c>
      <c r="S495" s="123" t="str">
        <f ca="1">REFERENCIA.Unidade</f>
        <v>-</v>
      </c>
      <c r="T495" s="124">
        <f ca="1">OFFSET(CÁLCULO!H$15,ROW($T495)-ROW(T$15),0)</f>
        <v>200</v>
      </c>
      <c r="U495" s="125">
        <f t="shared" ca="1" si="117"/>
        <v>0</v>
      </c>
      <c r="V495" s="126" t="s">
        <v>156</v>
      </c>
      <c r="W495" s="124">
        <f ca="1">IF($C495="S",ROUND(IF(TIPOORCAMENTO="Proposto",ORÇAMENTO.CustoUnitario*(1+$AH495),ORÇAMENTO.PrecoUnitarioLicitado),15-13*$AF$10),0)</f>
        <v>0</v>
      </c>
      <c r="X495" s="127">
        <f ca="1">IF($C495="S",IF(Import.TipoArredondamento&lt;&gt;"TransfereGOV",VTOTAL1,SUM(OFFSET(CÁLCULO!$AI$15,ROW($X495)-ROW($X$15),1):OFFSET(CÁLCULO!$BB$15,ROW($X495)-ROW($X$15),-1))),IF($C495=0,0,ROUND(SomaAgrup,15-13*$AF$11)))</f>
        <v>0</v>
      </c>
      <c r="Y495" s="128" t="s">
        <v>245</v>
      </c>
      <c r="Z495" t="str">
        <f t="shared" ca="1" si="130"/>
        <v/>
      </c>
      <c r="AA495" s="129">
        <f ca="1">IF($C495="S",IF($Z495="CP",$X495,IF($Z495="RA",(($X495)*QCI!$AA$3),0)),SomaAgrup)</f>
        <v>0</v>
      </c>
      <c r="AB495" s="130">
        <f t="shared" ca="1" si="131"/>
        <v>0</v>
      </c>
      <c r="AC495" s="131" t="str">
        <f ca="1">IF($N495="","",IF(ORÇAMENTO.Descricao="","DESCRIÇÃO",IF(AND($C495="S",ORÇAMENTO.Unidade=""),"UNIDADE",IF($X495&lt;0,"VALOR NEGATIVO",IF(OR(AND(TIPOORCAMENTO="Proposto",$AG495&lt;&gt;"",$AG495&gt;0,ORÇAMENTO.CustoUnitario&gt;$AG495),AND(TIPOORCAMENTO="LICITADO",ORÇAMENTO.PrecoUnitarioLicitado&gt;$AN495)),"ACIMA REF.","")))))</f>
        <v/>
      </c>
      <c r="AD495" t="str">
        <f ca="1">IF(C495&lt;=CRONO.NivelExibicao,MAX($AD$15:OFFSET(AD495,-1,0))+IF($C495&lt;&gt;1,1,MAX(1,COUNTIF(QCI!$A$13:$A$24,OFFSET($E495,-1,0)))),"")</f>
        <v/>
      </c>
      <c r="AE495" s="7" t="str">
        <f ca="1">IF(AND($C495="S",ORÇAMENTO.CodBarra&lt;&gt;""),IF(ORÇAMENTO.Fonte="",ORÇAMENTO.CodBarra,CONCATENATE(ORÇAMENTO.Fonte," ",ORÇAMENTO.CodBarra)))</f>
        <v>SINAPI 90460</v>
      </c>
      <c r="AF495" s="13" t="str">
        <f ca="1">IF(ISERROR(INDIRECT(ORÇAMENTO.BancoRef)),"(abra o arquivo 'Referência "&amp;Excel_BuiltIn_Database&amp;".xlsm)",IF(OR($C495&lt;&gt;"S",ORÇAMENTO.CodBarra=""),"(Sem Código)",IF(ISERROR(MATCH($AE495,INDIRECT(ORÇAMENTO.BancoRef),0)),"(Código não identificado nas referências)",MATCH($AE495,INDIRECT(ORÇAMENTO.BancoRef),0))))</f>
        <v>(abra o arquivo 'Referência 06-2024.xlsm)</v>
      </c>
      <c r="AG495" s="498">
        <f ca="1">ROUND(IF(DESONERACAO="sim",REFERENCIA.Desonerado,REFERENCIA.NaoDesonerado),2)</f>
        <v>0</v>
      </c>
      <c r="AH495" s="499">
        <f t="shared" ca="1" si="132"/>
        <v>0.2432</v>
      </c>
      <c r="AJ495" s="501"/>
      <c r="AL495" s="527"/>
      <c r="AM495" s="381">
        <f t="shared" ca="1" si="133"/>
        <v>0</v>
      </c>
      <c r="AN495" s="566">
        <f t="shared" ca="1" si="134"/>
        <v>0</v>
      </c>
    </row>
    <row r="496" spans="1:40" x14ac:dyDescent="0.2">
      <c r="A496" t="str">
        <f t="shared" si="119"/>
        <v>S</v>
      </c>
      <c r="B496">
        <f t="shared" ca="1" si="120"/>
        <v>2</v>
      </c>
      <c r="C496" t="str">
        <f t="shared" ca="1" si="121"/>
        <v>S</v>
      </c>
      <c r="D496">
        <f t="shared" ca="1" si="122"/>
        <v>0</v>
      </c>
      <c r="E496">
        <f ca="1">IF($C496=1,OFFSET(E496,-1,0)+MAX(1,COUNTIF(QCI!$A$13:$A$24,OFFSET(ORÇAMENTO!E496,-1,0))),OFFSET(E496,-1,0))</f>
        <v>1</v>
      </c>
      <c r="F496">
        <f t="shared" ca="1" si="123"/>
        <v>52</v>
      </c>
      <c r="G496">
        <f t="shared" ca="1" si="124"/>
        <v>0</v>
      </c>
      <c r="H496">
        <f t="shared" ca="1" si="125"/>
        <v>0</v>
      </c>
      <c r="I496">
        <f t="shared" ca="1" si="126"/>
        <v>0</v>
      </c>
      <c r="J496">
        <f t="shared" ca="1" si="118"/>
        <v>0</v>
      </c>
      <c r="K496">
        <f ca="1">IF(OR($C496="S",$C496=0),0,MATCH(OFFSET($D496,0,$C496)+IF($C496&lt;&gt;1,1,COUNTIF(QCI!$A$13:$A$24,ORÇAMENTO!E496)),OFFSET($D496,1,$C496,ROW($C$727)-ROW($C496)),0))</f>
        <v>0</v>
      </c>
      <c r="L496" s="116" t="str">
        <f t="shared" ca="1" si="127"/>
        <v/>
      </c>
      <c r="M496" s="117" t="s">
        <v>199</v>
      </c>
      <c r="N496" s="118" t="str">
        <f t="shared" ca="1" si="128"/>
        <v>Serviço</v>
      </c>
      <c r="O496" s="119" t="str">
        <f t="shared" ca="1" si="129"/>
        <v>-</v>
      </c>
      <c r="P496" s="120" t="s">
        <v>458</v>
      </c>
      <c r="Q496" s="121" t="s">
        <v>856</v>
      </c>
      <c r="R496" s="122" t="str">
        <f ca="1">IF($C496="S",REFERENCIA.Descricao,"(digite a descrição aqui)")</f>
        <v>(abra o arquivo 'Referência 06-2024.xlsm)</v>
      </c>
      <c r="S496" s="123" t="str">
        <f ca="1">REFERENCIA.Unidade</f>
        <v>-</v>
      </c>
      <c r="T496" s="124">
        <f ca="1">OFFSET(CÁLCULO!H$15,ROW($T496)-ROW(T$15),0)</f>
        <v>253</v>
      </c>
      <c r="U496" s="125">
        <f t="shared" ca="1" si="117"/>
        <v>0</v>
      </c>
      <c r="V496" s="126" t="s">
        <v>156</v>
      </c>
      <c r="W496" s="124">
        <f ca="1">IF($C496="S",ROUND(IF(TIPOORCAMENTO="Proposto",ORÇAMENTO.CustoUnitario*(1+$AH496),ORÇAMENTO.PrecoUnitarioLicitado),15-13*$AF$10),0)</f>
        <v>0</v>
      </c>
      <c r="X496" s="127">
        <f ca="1">IF($C496="S",IF(Import.TipoArredondamento&lt;&gt;"TransfereGOV",VTOTAL1,SUM(OFFSET(CÁLCULO!$AI$15,ROW($X496)-ROW($X$15),1):OFFSET(CÁLCULO!$BB$15,ROW($X496)-ROW($X$15),-1))),IF($C496=0,0,ROUND(SomaAgrup,15-13*$AF$11)))</f>
        <v>0</v>
      </c>
      <c r="Y496" s="128" t="s">
        <v>245</v>
      </c>
      <c r="Z496" t="str">
        <f t="shared" ca="1" si="130"/>
        <v/>
      </c>
      <c r="AA496" s="129">
        <f ca="1">IF($C496="S",IF($Z496="CP",$X496,IF($Z496="RA",(($X496)*QCI!$AA$3),0)),SomaAgrup)</f>
        <v>0</v>
      </c>
      <c r="AB496" s="130">
        <f t="shared" ca="1" si="131"/>
        <v>0</v>
      </c>
      <c r="AC496" s="131" t="str">
        <f ca="1">IF($N496="","",IF(ORÇAMENTO.Descricao="","DESCRIÇÃO",IF(AND($C496="S",ORÇAMENTO.Unidade=""),"UNIDADE",IF($X496&lt;0,"VALOR NEGATIVO",IF(OR(AND(TIPOORCAMENTO="Proposto",$AG496&lt;&gt;"",$AG496&gt;0,ORÇAMENTO.CustoUnitario&gt;$AG496),AND(TIPOORCAMENTO="LICITADO",ORÇAMENTO.PrecoUnitarioLicitado&gt;$AN496)),"ACIMA REF.","")))))</f>
        <v/>
      </c>
      <c r="AD496" t="str">
        <f ca="1">IF(C496&lt;=CRONO.NivelExibicao,MAX($AD$15:OFFSET(AD496,-1,0))+IF($C496&lt;&gt;1,1,MAX(1,COUNTIF(QCI!$A$13:$A$24,OFFSET($E496,-1,0)))),"")</f>
        <v/>
      </c>
      <c r="AE496" s="7" t="str">
        <f ca="1">IF(AND($C496="S",ORÇAMENTO.CodBarra&lt;&gt;""),IF(ORÇAMENTO.Fonte="",ORÇAMENTO.CodBarra,CONCATENATE(ORÇAMENTO.Fonte," ",ORÇAMENTO.CodBarra)))</f>
        <v>COMPOSIÇÃO FNDE 357</v>
      </c>
      <c r="AF496" s="13" t="str">
        <f ca="1">IF(ISERROR(INDIRECT(ORÇAMENTO.BancoRef)),"(abra o arquivo 'Referência "&amp;Excel_BuiltIn_Database&amp;".xlsm)",IF(OR($C496&lt;&gt;"S",ORÇAMENTO.CodBarra=""),"(Sem Código)",IF(ISERROR(MATCH($AE496,INDIRECT(ORÇAMENTO.BancoRef),0)),"(Código não identificado nas referências)",MATCH($AE496,INDIRECT(ORÇAMENTO.BancoRef),0))))</f>
        <v>(abra o arquivo 'Referência 06-2024.xlsm)</v>
      </c>
      <c r="AG496" s="498">
        <f ca="1">ROUND(IF(DESONERACAO="sim",REFERENCIA.Desonerado,REFERENCIA.NaoDesonerado),2)</f>
        <v>0</v>
      </c>
      <c r="AH496" s="499">
        <f t="shared" ca="1" si="132"/>
        <v>0.2432</v>
      </c>
      <c r="AJ496" s="501"/>
      <c r="AL496" s="527"/>
      <c r="AM496" s="381">
        <f t="shared" ca="1" si="133"/>
        <v>0</v>
      </c>
      <c r="AN496" s="566">
        <f t="shared" ca="1" si="134"/>
        <v>0</v>
      </c>
    </row>
    <row r="497" spans="1:40" ht="25.5" x14ac:dyDescent="0.2">
      <c r="A497" t="str">
        <f t="shared" si="119"/>
        <v>S</v>
      </c>
      <c r="B497">
        <f t="shared" ca="1" si="120"/>
        <v>2</v>
      </c>
      <c r="C497" t="str">
        <f t="shared" ca="1" si="121"/>
        <v>S</v>
      </c>
      <c r="D497">
        <f t="shared" ca="1" si="122"/>
        <v>0</v>
      </c>
      <c r="E497">
        <f ca="1">IF($C497=1,OFFSET(E497,-1,0)+MAX(1,COUNTIF(QCI!$A$13:$A$24,OFFSET(ORÇAMENTO!E497,-1,0))),OFFSET(E497,-1,0))</f>
        <v>1</v>
      </c>
      <c r="F497">
        <f t="shared" ca="1" si="123"/>
        <v>52</v>
      </c>
      <c r="G497">
        <f t="shared" ca="1" si="124"/>
        <v>0</v>
      </c>
      <c r="H497">
        <f t="shared" ca="1" si="125"/>
        <v>0</v>
      </c>
      <c r="I497">
        <f t="shared" ca="1" si="126"/>
        <v>0</v>
      </c>
      <c r="J497">
        <f t="shared" ca="1" si="118"/>
        <v>0</v>
      </c>
      <c r="K497">
        <f ca="1">IF(OR($C497="S",$C497=0),0,MATCH(OFFSET($D497,0,$C497)+IF($C497&lt;&gt;1,1,COUNTIF(QCI!$A$13:$A$24,ORÇAMENTO!E497)),OFFSET($D497,1,$C497,ROW($C$727)-ROW($C497)),0))</f>
        <v>0</v>
      </c>
      <c r="L497" s="116" t="str">
        <f t="shared" ca="1" si="127"/>
        <v/>
      </c>
      <c r="M497" s="117" t="s">
        <v>199</v>
      </c>
      <c r="N497" s="118" t="str">
        <f t="shared" ca="1" si="128"/>
        <v>Serviço</v>
      </c>
      <c r="O497" s="119" t="str">
        <f t="shared" ca="1" si="129"/>
        <v>-</v>
      </c>
      <c r="P497" s="120" t="s">
        <v>247</v>
      </c>
      <c r="Q497" s="121" t="s">
        <v>857</v>
      </c>
      <c r="R497" s="122" t="str">
        <f ca="1">IF($C497="S",REFERENCIA.Descricao,"(digite a descrição aqui)")</f>
        <v>(abra o arquivo 'Referência 06-2024.xlsm)</v>
      </c>
      <c r="S497" s="123" t="str">
        <f ca="1">REFERENCIA.Unidade</f>
        <v>-</v>
      </c>
      <c r="T497" s="124">
        <f ca="1">OFFSET(CÁLCULO!H$15,ROW($T497)-ROW(T$15),0)</f>
        <v>1</v>
      </c>
      <c r="U497" s="125">
        <f t="shared" ca="1" si="117"/>
        <v>0</v>
      </c>
      <c r="V497" s="126" t="s">
        <v>156</v>
      </c>
      <c r="W497" s="124">
        <f ca="1">IF($C497="S",ROUND(IF(TIPOORCAMENTO="Proposto",ORÇAMENTO.CustoUnitario*(1+$AH497),ORÇAMENTO.PrecoUnitarioLicitado),15-13*$AF$10),0)</f>
        <v>0</v>
      </c>
      <c r="X497" s="127">
        <f ca="1">IF($C497="S",IF(Import.TipoArredondamento&lt;&gt;"TransfereGOV",VTOTAL1,SUM(OFFSET(CÁLCULO!$AI$15,ROW($X497)-ROW($X$15),1):OFFSET(CÁLCULO!$BB$15,ROW($X497)-ROW($X$15),-1))),IF($C497=0,0,ROUND(SomaAgrup,15-13*$AF$11)))</f>
        <v>0</v>
      </c>
      <c r="Y497" s="128" t="s">
        <v>245</v>
      </c>
      <c r="Z497" t="str">
        <f t="shared" ca="1" si="130"/>
        <v/>
      </c>
      <c r="AA497" s="129">
        <f ca="1">IF($C497="S",IF($Z497="CP",$X497,IF($Z497="RA",(($X497)*QCI!$AA$3),0)),SomaAgrup)</f>
        <v>0</v>
      </c>
      <c r="AB497" s="130">
        <f t="shared" ca="1" si="131"/>
        <v>0</v>
      </c>
      <c r="AC497" s="131" t="str">
        <f ca="1">IF($N497="","",IF(ORÇAMENTO.Descricao="","DESCRIÇÃO",IF(AND($C497="S",ORÇAMENTO.Unidade=""),"UNIDADE",IF($X497&lt;0,"VALOR NEGATIVO",IF(OR(AND(TIPOORCAMENTO="Proposto",$AG497&lt;&gt;"",$AG497&gt;0,ORÇAMENTO.CustoUnitario&gt;$AG497),AND(TIPOORCAMENTO="LICITADO",ORÇAMENTO.PrecoUnitarioLicitado&gt;$AN497)),"ACIMA REF.","")))))</f>
        <v/>
      </c>
      <c r="AD497" t="str">
        <f ca="1">IF(C497&lt;=CRONO.NivelExibicao,MAX($AD$15:OFFSET(AD497,-1,0))+IF($C497&lt;&gt;1,1,MAX(1,COUNTIF(QCI!$A$13:$A$24,OFFSET($E497,-1,0)))),"")</f>
        <v/>
      </c>
      <c r="AE497" s="7" t="str">
        <f ca="1">IF(AND($C497="S",ORÇAMENTO.CodBarra&lt;&gt;""),IF(ORÇAMENTO.Fonte="",ORÇAMENTO.CodBarra,CONCATENATE(ORÇAMENTO.Fonte," ",ORÇAMENTO.CodBarra)))</f>
        <v>SINAPI 101553</v>
      </c>
      <c r="AF497" s="13" t="str">
        <f ca="1">IF(ISERROR(INDIRECT(ORÇAMENTO.BancoRef)),"(abra o arquivo 'Referência "&amp;Excel_BuiltIn_Database&amp;".xlsm)",IF(OR($C497&lt;&gt;"S",ORÇAMENTO.CodBarra=""),"(Sem Código)",IF(ISERROR(MATCH($AE497,INDIRECT(ORÇAMENTO.BancoRef),0)),"(Código não identificado nas referências)",MATCH($AE497,INDIRECT(ORÇAMENTO.BancoRef),0))))</f>
        <v>(abra o arquivo 'Referência 06-2024.xlsm)</v>
      </c>
      <c r="AG497" s="498">
        <f ca="1">ROUND(IF(DESONERACAO="sim",REFERENCIA.Desonerado,REFERENCIA.NaoDesonerado),2)</f>
        <v>0</v>
      </c>
      <c r="AH497" s="499">
        <f t="shared" ca="1" si="132"/>
        <v>0.2432</v>
      </c>
      <c r="AJ497" s="501"/>
      <c r="AL497" s="527"/>
      <c r="AM497" s="381">
        <f t="shared" ca="1" si="133"/>
        <v>0</v>
      </c>
      <c r="AN497" s="566">
        <f t="shared" ca="1" si="134"/>
        <v>0</v>
      </c>
    </row>
    <row r="498" spans="1:40" ht="25.5" x14ac:dyDescent="0.2">
      <c r="A498" t="str">
        <f t="shared" si="119"/>
        <v>S</v>
      </c>
      <c r="B498">
        <f t="shared" ca="1" si="120"/>
        <v>2</v>
      </c>
      <c r="C498" t="str">
        <f t="shared" ca="1" si="121"/>
        <v>S</v>
      </c>
      <c r="D498">
        <f t="shared" ca="1" si="122"/>
        <v>0</v>
      </c>
      <c r="E498">
        <f ca="1">IF($C498=1,OFFSET(E498,-1,0)+MAX(1,COUNTIF(QCI!$A$13:$A$24,OFFSET(ORÇAMENTO!E498,-1,0))),OFFSET(E498,-1,0))</f>
        <v>1</v>
      </c>
      <c r="F498">
        <f t="shared" ca="1" si="123"/>
        <v>52</v>
      </c>
      <c r="G498">
        <f t="shared" ca="1" si="124"/>
        <v>0</v>
      </c>
      <c r="H498">
        <f t="shared" ca="1" si="125"/>
        <v>0</v>
      </c>
      <c r="I498">
        <f t="shared" ca="1" si="126"/>
        <v>0</v>
      </c>
      <c r="J498">
        <f t="shared" ca="1" si="118"/>
        <v>0</v>
      </c>
      <c r="K498">
        <f ca="1">IF(OR($C498="S",$C498=0),0,MATCH(OFFSET($D498,0,$C498)+IF($C498&lt;&gt;1,1,COUNTIF(QCI!$A$13:$A$24,ORÇAMENTO!E498)),OFFSET($D498,1,$C498,ROW($C$727)-ROW($C498)),0))</f>
        <v>0</v>
      </c>
      <c r="L498" s="116" t="str">
        <f t="shared" ca="1" si="127"/>
        <v/>
      </c>
      <c r="M498" s="117" t="s">
        <v>199</v>
      </c>
      <c r="N498" s="118" t="str">
        <f t="shared" ca="1" si="128"/>
        <v>Serviço</v>
      </c>
      <c r="O498" s="119" t="str">
        <f t="shared" ca="1" si="129"/>
        <v>-</v>
      </c>
      <c r="P498" s="120" t="s">
        <v>458</v>
      </c>
      <c r="Q498" s="121" t="s">
        <v>858</v>
      </c>
      <c r="R498" s="122" t="str">
        <f ca="1">IF($C498="S",REFERENCIA.Descricao,"(digite a descrição aqui)")</f>
        <v>(abra o arquivo 'Referência 06-2024.xlsm)</v>
      </c>
      <c r="S498" s="123" t="str">
        <f ca="1">REFERENCIA.Unidade</f>
        <v>-</v>
      </c>
      <c r="T498" s="124">
        <f ca="1">OFFSET(CÁLCULO!H$15,ROW($T498)-ROW(T$15),0)</f>
        <v>1</v>
      </c>
      <c r="U498" s="125">
        <f t="shared" ca="1" si="117"/>
        <v>0</v>
      </c>
      <c r="V498" s="126" t="s">
        <v>156</v>
      </c>
      <c r="W498" s="124">
        <f ca="1">IF($C498="S",ROUND(IF(TIPOORCAMENTO="Proposto",ORÇAMENTO.CustoUnitario*(1+$AH498),ORÇAMENTO.PrecoUnitarioLicitado),15-13*$AF$10),0)</f>
        <v>0</v>
      </c>
      <c r="X498" s="127">
        <f ca="1">IF($C498="S",IF(Import.TipoArredondamento&lt;&gt;"TransfereGOV",VTOTAL1,SUM(OFFSET(CÁLCULO!$AI$15,ROW($X498)-ROW($X$15),1):OFFSET(CÁLCULO!$BB$15,ROW($X498)-ROW($X$15),-1))),IF($C498=0,0,ROUND(SomaAgrup,15-13*$AF$11)))</f>
        <v>0</v>
      </c>
      <c r="Y498" s="128" t="s">
        <v>245</v>
      </c>
      <c r="Z498" t="str">
        <f t="shared" ca="1" si="130"/>
        <v/>
      </c>
      <c r="AA498" s="129">
        <f ca="1">IF($C498="S",IF($Z498="CP",$X498,IF($Z498="RA",(($X498)*QCI!$AA$3),0)),SomaAgrup)</f>
        <v>0</v>
      </c>
      <c r="AB498" s="130">
        <f t="shared" ca="1" si="131"/>
        <v>0</v>
      </c>
      <c r="AC498" s="131" t="str">
        <f ca="1">IF($N498="","",IF(ORÇAMENTO.Descricao="","DESCRIÇÃO",IF(AND($C498="S",ORÇAMENTO.Unidade=""),"UNIDADE",IF($X498&lt;0,"VALOR NEGATIVO",IF(OR(AND(TIPOORCAMENTO="Proposto",$AG498&lt;&gt;"",$AG498&gt;0,ORÇAMENTO.CustoUnitario&gt;$AG498),AND(TIPOORCAMENTO="LICITADO",ORÇAMENTO.PrecoUnitarioLicitado&gt;$AN498)),"ACIMA REF.","")))))</f>
        <v/>
      </c>
      <c r="AD498" t="str">
        <f ca="1">IF(C498&lt;=CRONO.NivelExibicao,MAX($AD$15:OFFSET(AD498,-1,0))+IF($C498&lt;&gt;1,1,MAX(1,COUNTIF(QCI!$A$13:$A$24,OFFSET($E498,-1,0)))),"")</f>
        <v/>
      </c>
      <c r="AE498" s="7" t="str">
        <f ca="1">IF(AND($C498="S",ORÇAMENTO.CodBarra&lt;&gt;""),IF(ORÇAMENTO.Fonte="",ORÇAMENTO.CodBarra,CONCATENATE(ORÇAMENTO.Fonte," ",ORÇAMENTO.CodBarra)))</f>
        <v>COMPOSIÇÃO FNDE 358</v>
      </c>
      <c r="AF498" s="13" t="str">
        <f ca="1">IF(ISERROR(INDIRECT(ORÇAMENTO.BancoRef)),"(abra o arquivo 'Referência "&amp;Excel_BuiltIn_Database&amp;".xlsm)",IF(OR($C498&lt;&gt;"S",ORÇAMENTO.CodBarra=""),"(Sem Código)",IF(ISERROR(MATCH($AE498,INDIRECT(ORÇAMENTO.BancoRef),0)),"(Código não identificado nas referências)",MATCH($AE498,INDIRECT(ORÇAMENTO.BancoRef),0))))</f>
        <v>(abra o arquivo 'Referência 06-2024.xlsm)</v>
      </c>
      <c r="AG498" s="498">
        <f ca="1">ROUND(IF(DESONERACAO="sim",REFERENCIA.Desonerado,REFERENCIA.NaoDesonerado),2)</f>
        <v>0</v>
      </c>
      <c r="AH498" s="499">
        <f t="shared" ca="1" si="132"/>
        <v>0.2432</v>
      </c>
      <c r="AJ498" s="501"/>
      <c r="AL498" s="527"/>
      <c r="AM498" s="381">
        <f t="shared" ca="1" si="133"/>
        <v>0</v>
      </c>
      <c r="AN498" s="566">
        <f t="shared" ca="1" si="134"/>
        <v>0</v>
      </c>
    </row>
    <row r="499" spans="1:40" ht="25.5" x14ac:dyDescent="0.2">
      <c r="A499" t="str">
        <f t="shared" si="119"/>
        <v>S</v>
      </c>
      <c r="B499">
        <f t="shared" ca="1" si="120"/>
        <v>2</v>
      </c>
      <c r="C499" t="str">
        <f t="shared" ca="1" si="121"/>
        <v>S</v>
      </c>
      <c r="D499">
        <f t="shared" ca="1" si="122"/>
        <v>0</v>
      </c>
      <c r="E499">
        <f ca="1">IF($C499=1,OFFSET(E499,-1,0)+MAX(1,COUNTIF(QCI!$A$13:$A$24,OFFSET(ORÇAMENTO!E499,-1,0))),OFFSET(E499,-1,0))</f>
        <v>1</v>
      </c>
      <c r="F499">
        <f t="shared" ca="1" si="123"/>
        <v>52</v>
      </c>
      <c r="G499">
        <f t="shared" ca="1" si="124"/>
        <v>0</v>
      </c>
      <c r="H499">
        <f t="shared" ca="1" si="125"/>
        <v>0</v>
      </c>
      <c r="I499">
        <f t="shared" ca="1" si="126"/>
        <v>0</v>
      </c>
      <c r="J499">
        <f t="shared" ca="1" si="118"/>
        <v>0</v>
      </c>
      <c r="K499">
        <f ca="1">IF(OR($C499="S",$C499=0),0,MATCH(OFFSET($D499,0,$C499)+IF($C499&lt;&gt;1,1,COUNTIF(QCI!$A$13:$A$24,ORÇAMENTO!E499)),OFFSET($D499,1,$C499,ROW($C$727)-ROW($C499)),0))</f>
        <v>0</v>
      </c>
      <c r="L499" s="116" t="str">
        <f t="shared" ca="1" si="127"/>
        <v/>
      </c>
      <c r="M499" s="117" t="s">
        <v>199</v>
      </c>
      <c r="N499" s="118" t="str">
        <f t="shared" ca="1" si="128"/>
        <v>Serviço</v>
      </c>
      <c r="O499" s="119" t="str">
        <f t="shared" ca="1" si="129"/>
        <v>-</v>
      </c>
      <c r="P499" s="120" t="s">
        <v>247</v>
      </c>
      <c r="Q499" s="121" t="s">
        <v>859</v>
      </c>
      <c r="R499" s="122" t="str">
        <f ca="1">IF($C499="S",REFERENCIA.Descricao,"(digite a descrição aqui)")</f>
        <v>(abra o arquivo 'Referência 06-2024.xlsm)</v>
      </c>
      <c r="S499" s="123" t="str">
        <f ca="1">REFERENCIA.Unidade</f>
        <v>-</v>
      </c>
      <c r="T499" s="124">
        <f ca="1">OFFSET(CÁLCULO!H$15,ROW($T499)-ROW(T$15),0)</f>
        <v>2</v>
      </c>
      <c r="U499" s="125">
        <f t="shared" ca="1" si="117"/>
        <v>0</v>
      </c>
      <c r="V499" s="126" t="s">
        <v>156</v>
      </c>
      <c r="W499" s="124">
        <f ca="1">IF($C499="S",ROUND(IF(TIPOORCAMENTO="Proposto",ORÇAMENTO.CustoUnitario*(1+$AH499),ORÇAMENTO.PrecoUnitarioLicitado),15-13*$AF$10),0)</f>
        <v>0</v>
      </c>
      <c r="X499" s="127">
        <f ca="1">IF($C499="S",IF(Import.TipoArredondamento&lt;&gt;"TransfereGOV",VTOTAL1,SUM(OFFSET(CÁLCULO!$AI$15,ROW($X499)-ROW($X$15),1):OFFSET(CÁLCULO!$BB$15,ROW($X499)-ROW($X$15),-1))),IF($C499=0,0,ROUND(SomaAgrup,15-13*$AF$11)))</f>
        <v>0</v>
      </c>
      <c r="Y499" s="128" t="s">
        <v>245</v>
      </c>
      <c r="Z499" t="str">
        <f t="shared" ca="1" si="130"/>
        <v/>
      </c>
      <c r="AA499" s="129">
        <f ca="1">IF($C499="S",IF($Z499="CP",$X499,IF($Z499="RA",(($X499)*QCI!$AA$3),0)),SomaAgrup)</f>
        <v>0</v>
      </c>
      <c r="AB499" s="130">
        <f t="shared" ca="1" si="131"/>
        <v>0</v>
      </c>
      <c r="AC499" s="131" t="str">
        <f ca="1">IF($N499="","",IF(ORÇAMENTO.Descricao="","DESCRIÇÃO",IF(AND($C499="S",ORÇAMENTO.Unidade=""),"UNIDADE",IF($X499&lt;0,"VALOR NEGATIVO",IF(OR(AND(TIPOORCAMENTO="Proposto",$AG499&lt;&gt;"",$AG499&gt;0,ORÇAMENTO.CustoUnitario&gt;$AG499),AND(TIPOORCAMENTO="LICITADO",ORÇAMENTO.PrecoUnitarioLicitado&gt;$AN499)),"ACIMA REF.","")))))</f>
        <v/>
      </c>
      <c r="AD499" t="str">
        <f ca="1">IF(C499&lt;=CRONO.NivelExibicao,MAX($AD$15:OFFSET(AD499,-1,0))+IF($C499&lt;&gt;1,1,MAX(1,COUNTIF(QCI!$A$13:$A$24,OFFSET($E499,-1,0)))),"")</f>
        <v/>
      </c>
      <c r="AE499" s="7" t="str">
        <f ca="1">IF(AND($C499="S",ORÇAMENTO.CodBarra&lt;&gt;""),IF(ORÇAMENTO.Fonte="",ORÇAMENTO.CodBarra,CONCATENATE(ORÇAMENTO.Fonte," ",ORÇAMENTO.CodBarra)))</f>
        <v>SINAPI 98306</v>
      </c>
      <c r="AF499" s="13" t="str">
        <f ca="1">IF(ISERROR(INDIRECT(ORÇAMENTO.BancoRef)),"(abra o arquivo 'Referência "&amp;Excel_BuiltIn_Database&amp;".xlsm)",IF(OR($C499&lt;&gt;"S",ORÇAMENTO.CodBarra=""),"(Sem Código)",IF(ISERROR(MATCH($AE499,INDIRECT(ORÇAMENTO.BancoRef),0)),"(Código não identificado nas referências)",MATCH($AE499,INDIRECT(ORÇAMENTO.BancoRef),0))))</f>
        <v>(abra o arquivo 'Referência 06-2024.xlsm)</v>
      </c>
      <c r="AG499" s="498">
        <f ca="1">ROUND(IF(DESONERACAO="sim",REFERENCIA.Desonerado,REFERENCIA.NaoDesonerado),2)</f>
        <v>0</v>
      </c>
      <c r="AH499" s="499">
        <f t="shared" ca="1" si="132"/>
        <v>0.2432</v>
      </c>
      <c r="AJ499" s="501"/>
      <c r="AL499" s="527"/>
      <c r="AM499" s="381">
        <f t="shared" ca="1" si="133"/>
        <v>0</v>
      </c>
      <c r="AN499" s="566">
        <f t="shared" ca="1" si="134"/>
        <v>0</v>
      </c>
    </row>
    <row r="500" spans="1:40" x14ac:dyDescent="0.2">
      <c r="A500" t="str">
        <f t="shared" si="119"/>
        <v>S</v>
      </c>
      <c r="B500">
        <f t="shared" ca="1" si="120"/>
        <v>2</v>
      </c>
      <c r="C500" t="str">
        <f t="shared" ca="1" si="121"/>
        <v>S</v>
      </c>
      <c r="D500">
        <f t="shared" ca="1" si="122"/>
        <v>0</v>
      </c>
      <c r="E500">
        <f ca="1">IF($C500=1,OFFSET(E500,-1,0)+MAX(1,COUNTIF(QCI!$A$13:$A$24,OFFSET(ORÇAMENTO!E500,-1,0))),OFFSET(E500,-1,0))</f>
        <v>1</v>
      </c>
      <c r="F500">
        <f t="shared" ca="1" si="123"/>
        <v>52</v>
      </c>
      <c r="G500">
        <f t="shared" ca="1" si="124"/>
        <v>0</v>
      </c>
      <c r="H500">
        <f t="shared" ca="1" si="125"/>
        <v>0</v>
      </c>
      <c r="I500">
        <f t="shared" ca="1" si="126"/>
        <v>0</v>
      </c>
      <c r="J500">
        <f t="shared" ca="1" si="118"/>
        <v>0</v>
      </c>
      <c r="K500">
        <f ca="1">IF(OR($C500="S",$C500=0),0,MATCH(OFFSET($D500,0,$C500)+IF($C500&lt;&gt;1,1,COUNTIF(QCI!$A$13:$A$24,ORÇAMENTO!E500)),OFFSET($D500,1,$C500,ROW($C$727)-ROW($C500)),0))</f>
        <v>0</v>
      </c>
      <c r="L500" s="116" t="str">
        <f t="shared" ca="1" si="127"/>
        <v/>
      </c>
      <c r="M500" s="117" t="s">
        <v>199</v>
      </c>
      <c r="N500" s="118" t="str">
        <f t="shared" ca="1" si="128"/>
        <v>Serviço</v>
      </c>
      <c r="O500" s="119" t="str">
        <f t="shared" ca="1" si="129"/>
        <v>-</v>
      </c>
      <c r="P500" s="120" t="s">
        <v>458</v>
      </c>
      <c r="Q500" s="121" t="s">
        <v>860</v>
      </c>
      <c r="R500" s="122" t="str">
        <f ca="1">IF($C500="S",REFERENCIA.Descricao,"(digite a descrição aqui)")</f>
        <v>(abra o arquivo 'Referência 06-2024.xlsm)</v>
      </c>
      <c r="S500" s="123" t="str">
        <f ca="1">REFERENCIA.Unidade</f>
        <v>-</v>
      </c>
      <c r="T500" s="124">
        <f ca="1">OFFSET(CÁLCULO!H$15,ROW($T500)-ROW(T$15),0)</f>
        <v>2.2000000000000002</v>
      </c>
      <c r="U500" s="125">
        <f t="shared" ca="1" si="117"/>
        <v>0</v>
      </c>
      <c r="V500" s="126" t="s">
        <v>156</v>
      </c>
      <c r="W500" s="124">
        <f ca="1">IF($C500="S",ROUND(IF(TIPOORCAMENTO="Proposto",ORÇAMENTO.CustoUnitario*(1+$AH500),ORÇAMENTO.PrecoUnitarioLicitado),15-13*$AF$10),0)</f>
        <v>0</v>
      </c>
      <c r="X500" s="127">
        <f ca="1">IF($C500="S",IF(Import.TipoArredondamento&lt;&gt;"TransfereGOV",VTOTAL1,SUM(OFFSET(CÁLCULO!$AI$15,ROW($X500)-ROW($X$15),1):OFFSET(CÁLCULO!$BB$15,ROW($X500)-ROW($X$15),-1))),IF($C500=0,0,ROUND(SomaAgrup,15-13*$AF$11)))</f>
        <v>0</v>
      </c>
      <c r="Y500" s="128" t="s">
        <v>245</v>
      </c>
      <c r="Z500" t="str">
        <f t="shared" ca="1" si="130"/>
        <v/>
      </c>
      <c r="AA500" s="129">
        <f ca="1">IF($C500="S",IF($Z500="CP",$X500,IF($Z500="RA",(($X500)*QCI!$AA$3),0)),SomaAgrup)</f>
        <v>0</v>
      </c>
      <c r="AB500" s="130">
        <f t="shared" ca="1" si="131"/>
        <v>0</v>
      </c>
      <c r="AC500" s="131" t="str">
        <f ca="1">IF($N500="","",IF(ORÇAMENTO.Descricao="","DESCRIÇÃO",IF(AND($C500="S",ORÇAMENTO.Unidade=""),"UNIDADE",IF($X500&lt;0,"VALOR NEGATIVO",IF(OR(AND(TIPOORCAMENTO="Proposto",$AG500&lt;&gt;"",$AG500&gt;0,ORÇAMENTO.CustoUnitario&gt;$AG500),AND(TIPOORCAMENTO="LICITADO",ORÇAMENTO.PrecoUnitarioLicitado&gt;$AN500)),"ACIMA REF.","")))))</f>
        <v/>
      </c>
      <c r="AD500" t="str">
        <f ca="1">IF(C500&lt;=CRONO.NivelExibicao,MAX($AD$15:OFFSET(AD500,-1,0))+IF($C500&lt;&gt;1,1,MAX(1,COUNTIF(QCI!$A$13:$A$24,OFFSET($E500,-1,0)))),"")</f>
        <v/>
      </c>
      <c r="AE500" s="7" t="str">
        <f ca="1">IF(AND($C500="S",ORÇAMENTO.CodBarra&lt;&gt;""),IF(ORÇAMENTO.Fonte="",ORÇAMENTO.CodBarra,CONCATENATE(ORÇAMENTO.Fonte," ",ORÇAMENTO.CodBarra)))</f>
        <v>COMPOSIÇÃO FNDE 359</v>
      </c>
      <c r="AF500" s="13" t="str">
        <f ca="1">IF(ISERROR(INDIRECT(ORÇAMENTO.BancoRef)),"(abra o arquivo 'Referência "&amp;Excel_BuiltIn_Database&amp;".xlsm)",IF(OR($C500&lt;&gt;"S",ORÇAMENTO.CodBarra=""),"(Sem Código)",IF(ISERROR(MATCH($AE500,INDIRECT(ORÇAMENTO.BancoRef),0)),"(Código não identificado nas referências)",MATCH($AE500,INDIRECT(ORÇAMENTO.BancoRef),0))))</f>
        <v>(abra o arquivo 'Referência 06-2024.xlsm)</v>
      </c>
      <c r="AG500" s="498">
        <f ca="1">ROUND(IF(DESONERACAO="sim",REFERENCIA.Desonerado,REFERENCIA.NaoDesonerado),2)</f>
        <v>0</v>
      </c>
      <c r="AH500" s="499">
        <f t="shared" ca="1" si="132"/>
        <v>0.2432</v>
      </c>
      <c r="AJ500" s="501"/>
      <c r="AL500" s="527"/>
      <c r="AM500" s="381">
        <f t="shared" ca="1" si="133"/>
        <v>0</v>
      </c>
      <c r="AN500" s="566">
        <f t="shared" ca="1" si="134"/>
        <v>0</v>
      </c>
    </row>
    <row r="501" spans="1:40" ht="25.5" x14ac:dyDescent="0.2">
      <c r="A501" t="str">
        <f t="shared" si="119"/>
        <v>S</v>
      </c>
      <c r="B501">
        <f t="shared" ca="1" si="120"/>
        <v>2</v>
      </c>
      <c r="C501" t="str">
        <f t="shared" ca="1" si="121"/>
        <v>S</v>
      </c>
      <c r="D501">
        <f t="shared" ca="1" si="122"/>
        <v>0</v>
      </c>
      <c r="E501">
        <f ca="1">IF($C501=1,OFFSET(E501,-1,0)+MAX(1,COUNTIF(QCI!$A$13:$A$24,OFFSET(ORÇAMENTO!E501,-1,0))),OFFSET(E501,-1,0))</f>
        <v>1</v>
      </c>
      <c r="F501">
        <f t="shared" ca="1" si="123"/>
        <v>52</v>
      </c>
      <c r="G501">
        <f t="shared" ca="1" si="124"/>
        <v>0</v>
      </c>
      <c r="H501">
        <f t="shared" ca="1" si="125"/>
        <v>0</v>
      </c>
      <c r="I501">
        <f t="shared" ca="1" si="126"/>
        <v>0</v>
      </c>
      <c r="J501">
        <f t="shared" ca="1" si="118"/>
        <v>0</v>
      </c>
      <c r="K501">
        <f ca="1">IF(OR($C501="S",$C501=0),0,MATCH(OFFSET($D501,0,$C501)+IF($C501&lt;&gt;1,1,COUNTIF(QCI!$A$13:$A$24,ORÇAMENTO!E501)),OFFSET($D501,1,$C501,ROW($C$727)-ROW($C501)),0))</f>
        <v>0</v>
      </c>
      <c r="L501" s="116" t="str">
        <f t="shared" ca="1" si="127"/>
        <v/>
      </c>
      <c r="M501" s="117" t="s">
        <v>199</v>
      </c>
      <c r="N501" s="118" t="str">
        <f t="shared" ca="1" si="128"/>
        <v>Serviço</v>
      </c>
      <c r="O501" s="119" t="str">
        <f t="shared" ca="1" si="129"/>
        <v>-</v>
      </c>
      <c r="P501" s="120" t="s">
        <v>458</v>
      </c>
      <c r="Q501" s="121" t="s">
        <v>861</v>
      </c>
      <c r="R501" s="122" t="str">
        <f ca="1">IF($C501="S",REFERENCIA.Descricao,"(digite a descrição aqui)")</f>
        <v>(abra o arquivo 'Referência 06-2024.xlsm)</v>
      </c>
      <c r="S501" s="123" t="str">
        <f ca="1">REFERENCIA.Unidade</f>
        <v>-</v>
      </c>
      <c r="T501" s="124">
        <f ca="1">OFFSET(CÁLCULO!H$15,ROW($T501)-ROW(T$15),0)</f>
        <v>1</v>
      </c>
      <c r="U501" s="125">
        <f t="shared" ca="1" si="117"/>
        <v>0</v>
      </c>
      <c r="V501" s="126" t="s">
        <v>156</v>
      </c>
      <c r="W501" s="124">
        <f ca="1">IF($C501="S",ROUND(IF(TIPOORCAMENTO="Proposto",ORÇAMENTO.CustoUnitario*(1+$AH501),ORÇAMENTO.PrecoUnitarioLicitado),15-13*$AF$10),0)</f>
        <v>0</v>
      </c>
      <c r="X501" s="127">
        <f ca="1">IF($C501="S",IF(Import.TipoArredondamento&lt;&gt;"TransfereGOV",VTOTAL1,SUM(OFFSET(CÁLCULO!$AI$15,ROW($X501)-ROW($X$15),1):OFFSET(CÁLCULO!$BB$15,ROW($X501)-ROW($X$15),-1))),IF($C501=0,0,ROUND(SomaAgrup,15-13*$AF$11)))</f>
        <v>0</v>
      </c>
      <c r="Y501" s="128" t="s">
        <v>245</v>
      </c>
      <c r="Z501" t="str">
        <f t="shared" ca="1" si="130"/>
        <v/>
      </c>
      <c r="AA501" s="129">
        <f ca="1">IF($C501="S",IF($Z501="CP",$X501,IF($Z501="RA",(($X501)*QCI!$AA$3),0)),SomaAgrup)</f>
        <v>0</v>
      </c>
      <c r="AB501" s="130">
        <f t="shared" ca="1" si="131"/>
        <v>0</v>
      </c>
      <c r="AC501" s="131" t="str">
        <f ca="1">IF($N501="","",IF(ORÇAMENTO.Descricao="","DESCRIÇÃO",IF(AND($C501="S",ORÇAMENTO.Unidade=""),"UNIDADE",IF($X501&lt;0,"VALOR NEGATIVO",IF(OR(AND(TIPOORCAMENTO="Proposto",$AG501&lt;&gt;"",$AG501&gt;0,ORÇAMENTO.CustoUnitario&gt;$AG501),AND(TIPOORCAMENTO="LICITADO",ORÇAMENTO.PrecoUnitarioLicitado&gt;$AN501)),"ACIMA REF.","")))))</f>
        <v/>
      </c>
      <c r="AD501" t="str">
        <f ca="1">IF(C501&lt;=CRONO.NivelExibicao,MAX($AD$15:OFFSET(AD501,-1,0))+IF($C501&lt;&gt;1,1,MAX(1,COUNTIF(QCI!$A$13:$A$24,OFFSET($E501,-1,0)))),"")</f>
        <v/>
      </c>
      <c r="AE501" s="7" t="str">
        <f ca="1">IF(AND($C501="S",ORÇAMENTO.CodBarra&lt;&gt;""),IF(ORÇAMENTO.Fonte="",ORÇAMENTO.CodBarra,CONCATENATE(ORÇAMENTO.Fonte," ",ORÇAMENTO.CodBarra)))</f>
        <v>COMPOSIÇÃO FNDE 360</v>
      </c>
      <c r="AF501" s="13" t="str">
        <f ca="1">IF(ISERROR(INDIRECT(ORÇAMENTO.BancoRef)),"(abra o arquivo 'Referência "&amp;Excel_BuiltIn_Database&amp;".xlsm)",IF(OR($C501&lt;&gt;"S",ORÇAMENTO.CodBarra=""),"(Sem Código)",IF(ISERROR(MATCH($AE501,INDIRECT(ORÇAMENTO.BancoRef),0)),"(Código não identificado nas referências)",MATCH($AE501,INDIRECT(ORÇAMENTO.BancoRef),0))))</f>
        <v>(abra o arquivo 'Referência 06-2024.xlsm)</v>
      </c>
      <c r="AG501" s="498">
        <f ca="1">ROUND(IF(DESONERACAO="sim",REFERENCIA.Desonerado,REFERENCIA.NaoDesonerado),2)</f>
        <v>0</v>
      </c>
      <c r="AH501" s="499">
        <f t="shared" ca="1" si="132"/>
        <v>0.2432</v>
      </c>
      <c r="AJ501" s="501"/>
      <c r="AL501" s="527"/>
      <c r="AM501" s="381">
        <f t="shared" ca="1" si="133"/>
        <v>0</v>
      </c>
      <c r="AN501" s="566">
        <f t="shared" ca="1" si="134"/>
        <v>0</v>
      </c>
    </row>
    <row r="502" spans="1:40" ht="25.5" x14ac:dyDescent="0.2">
      <c r="A502" t="str">
        <f t="shared" si="119"/>
        <v>S</v>
      </c>
      <c r="B502">
        <f t="shared" ca="1" si="120"/>
        <v>2</v>
      </c>
      <c r="C502" t="str">
        <f t="shared" ca="1" si="121"/>
        <v>S</v>
      </c>
      <c r="D502">
        <f t="shared" ca="1" si="122"/>
        <v>0</v>
      </c>
      <c r="E502">
        <f ca="1">IF($C502=1,OFFSET(E502,-1,0)+MAX(1,COUNTIF(QCI!$A$13:$A$24,OFFSET(ORÇAMENTO!E502,-1,0))),OFFSET(E502,-1,0))</f>
        <v>1</v>
      </c>
      <c r="F502">
        <f t="shared" ca="1" si="123"/>
        <v>52</v>
      </c>
      <c r="G502">
        <f t="shared" ca="1" si="124"/>
        <v>0</v>
      </c>
      <c r="H502">
        <f t="shared" ca="1" si="125"/>
        <v>0</v>
      </c>
      <c r="I502">
        <f t="shared" ca="1" si="126"/>
        <v>0</v>
      </c>
      <c r="J502">
        <f t="shared" ca="1" si="118"/>
        <v>0</v>
      </c>
      <c r="K502">
        <f ca="1">IF(OR($C502="S",$C502=0),0,MATCH(OFFSET($D502,0,$C502)+IF($C502&lt;&gt;1,1,COUNTIF(QCI!$A$13:$A$24,ORÇAMENTO!E502)),OFFSET($D502,1,$C502,ROW($C$727)-ROW($C502)),0))</f>
        <v>0</v>
      </c>
      <c r="L502" s="116" t="str">
        <f t="shared" ca="1" si="127"/>
        <v/>
      </c>
      <c r="M502" s="117" t="s">
        <v>199</v>
      </c>
      <c r="N502" s="118" t="str">
        <f t="shared" ca="1" si="128"/>
        <v>Serviço</v>
      </c>
      <c r="O502" s="119" t="str">
        <f t="shared" ca="1" si="129"/>
        <v>-</v>
      </c>
      <c r="P502" s="120" t="s">
        <v>458</v>
      </c>
      <c r="Q502" s="121" t="s">
        <v>862</v>
      </c>
      <c r="R502" s="122" t="str">
        <f ca="1">IF($C502="S",REFERENCIA.Descricao,"(digite a descrição aqui)")</f>
        <v>(abra o arquivo 'Referência 06-2024.xlsm)</v>
      </c>
      <c r="S502" s="123" t="str">
        <f ca="1">REFERENCIA.Unidade</f>
        <v>-</v>
      </c>
      <c r="T502" s="124">
        <f ca="1">OFFSET(CÁLCULO!H$15,ROW($T502)-ROW(T$15),0)</f>
        <v>1</v>
      </c>
      <c r="U502" s="125">
        <f t="shared" ca="1" si="117"/>
        <v>0</v>
      </c>
      <c r="V502" s="126" t="s">
        <v>156</v>
      </c>
      <c r="W502" s="124">
        <f ca="1">IF($C502="S",ROUND(IF(TIPOORCAMENTO="Proposto",ORÇAMENTO.CustoUnitario*(1+$AH502),ORÇAMENTO.PrecoUnitarioLicitado),15-13*$AF$10),0)</f>
        <v>0</v>
      </c>
      <c r="X502" s="127">
        <f ca="1">IF($C502="S",IF(Import.TipoArredondamento&lt;&gt;"TransfereGOV",VTOTAL1,SUM(OFFSET(CÁLCULO!$AI$15,ROW($X502)-ROW($X$15),1):OFFSET(CÁLCULO!$BB$15,ROW($X502)-ROW($X$15),-1))),IF($C502=0,0,ROUND(SomaAgrup,15-13*$AF$11)))</f>
        <v>0</v>
      </c>
      <c r="Y502" s="128" t="s">
        <v>245</v>
      </c>
      <c r="Z502" t="str">
        <f t="shared" ca="1" si="130"/>
        <v/>
      </c>
      <c r="AA502" s="129">
        <f ca="1">IF($C502="S",IF($Z502="CP",$X502,IF($Z502="RA",(($X502)*QCI!$AA$3),0)),SomaAgrup)</f>
        <v>0</v>
      </c>
      <c r="AB502" s="130">
        <f t="shared" ca="1" si="131"/>
        <v>0</v>
      </c>
      <c r="AC502" s="131" t="str">
        <f ca="1">IF($N502="","",IF(ORÇAMENTO.Descricao="","DESCRIÇÃO",IF(AND($C502="S",ORÇAMENTO.Unidade=""),"UNIDADE",IF($X502&lt;0,"VALOR NEGATIVO",IF(OR(AND(TIPOORCAMENTO="Proposto",$AG502&lt;&gt;"",$AG502&gt;0,ORÇAMENTO.CustoUnitario&gt;$AG502),AND(TIPOORCAMENTO="LICITADO",ORÇAMENTO.PrecoUnitarioLicitado&gt;$AN502)),"ACIMA REF.","")))))</f>
        <v/>
      </c>
      <c r="AD502" t="str">
        <f ca="1">IF(C502&lt;=CRONO.NivelExibicao,MAX($AD$15:OFFSET(AD502,-1,0))+IF($C502&lt;&gt;1,1,MAX(1,COUNTIF(QCI!$A$13:$A$24,OFFSET($E502,-1,0)))),"")</f>
        <v/>
      </c>
      <c r="AE502" s="7" t="str">
        <f ca="1">IF(AND($C502="S",ORÇAMENTO.CodBarra&lt;&gt;""),IF(ORÇAMENTO.Fonte="",ORÇAMENTO.CodBarra,CONCATENATE(ORÇAMENTO.Fonte," ",ORÇAMENTO.CodBarra)))</f>
        <v>COMPOSIÇÃO FNDE 362</v>
      </c>
      <c r="AF502" s="13" t="str">
        <f ca="1">IF(ISERROR(INDIRECT(ORÇAMENTO.BancoRef)),"(abra o arquivo 'Referência "&amp;Excel_BuiltIn_Database&amp;".xlsm)",IF(OR($C502&lt;&gt;"S",ORÇAMENTO.CodBarra=""),"(Sem Código)",IF(ISERROR(MATCH($AE502,INDIRECT(ORÇAMENTO.BancoRef),0)),"(Código não identificado nas referências)",MATCH($AE502,INDIRECT(ORÇAMENTO.BancoRef),0))))</f>
        <v>(abra o arquivo 'Referência 06-2024.xlsm)</v>
      </c>
      <c r="AG502" s="498">
        <f ca="1">ROUND(IF(DESONERACAO="sim",REFERENCIA.Desonerado,REFERENCIA.NaoDesonerado),2)</f>
        <v>0</v>
      </c>
      <c r="AH502" s="499">
        <f t="shared" ca="1" si="132"/>
        <v>0.2432</v>
      </c>
      <c r="AJ502" s="501"/>
      <c r="AL502" s="527"/>
      <c r="AM502" s="381">
        <f t="shared" ca="1" si="133"/>
        <v>0</v>
      </c>
      <c r="AN502" s="566">
        <f t="shared" ca="1" si="134"/>
        <v>0</v>
      </c>
    </row>
    <row r="503" spans="1:40" ht="25.5" x14ac:dyDescent="0.2">
      <c r="A503" t="str">
        <f t="shared" si="119"/>
        <v>S</v>
      </c>
      <c r="B503">
        <f t="shared" ca="1" si="120"/>
        <v>2</v>
      </c>
      <c r="C503" t="str">
        <f t="shared" ca="1" si="121"/>
        <v>S</v>
      </c>
      <c r="D503">
        <f t="shared" ca="1" si="122"/>
        <v>0</v>
      </c>
      <c r="E503">
        <f ca="1">IF($C503=1,OFFSET(E503,-1,0)+MAX(1,COUNTIF(QCI!$A$13:$A$24,OFFSET(ORÇAMENTO!E503,-1,0))),OFFSET(E503,-1,0))</f>
        <v>1</v>
      </c>
      <c r="F503">
        <f t="shared" ca="1" si="123"/>
        <v>52</v>
      </c>
      <c r="G503">
        <f t="shared" ca="1" si="124"/>
        <v>0</v>
      </c>
      <c r="H503">
        <f t="shared" ca="1" si="125"/>
        <v>0</v>
      </c>
      <c r="I503">
        <f t="shared" ca="1" si="126"/>
        <v>0</v>
      </c>
      <c r="J503">
        <f t="shared" ca="1" si="118"/>
        <v>0</v>
      </c>
      <c r="K503">
        <f ca="1">IF(OR($C503="S",$C503=0),0,MATCH(OFFSET($D503,0,$C503)+IF($C503&lt;&gt;1,1,COUNTIF(QCI!$A$13:$A$24,ORÇAMENTO!E503)),OFFSET($D503,1,$C503,ROW($C$727)-ROW($C503)),0))</f>
        <v>0</v>
      </c>
      <c r="L503" s="116" t="str">
        <f t="shared" ca="1" si="127"/>
        <v/>
      </c>
      <c r="M503" s="117" t="s">
        <v>199</v>
      </c>
      <c r="N503" s="118" t="str">
        <f t="shared" ca="1" si="128"/>
        <v>Serviço</v>
      </c>
      <c r="O503" s="119" t="str">
        <f t="shared" ca="1" si="129"/>
        <v>-</v>
      </c>
      <c r="P503" s="120" t="s">
        <v>458</v>
      </c>
      <c r="Q503" s="121" t="s">
        <v>863</v>
      </c>
      <c r="R503" s="122" t="str">
        <f ca="1">IF($C503="S",REFERENCIA.Descricao,"(digite a descrição aqui)")</f>
        <v>(abra o arquivo 'Referência 06-2024.xlsm)</v>
      </c>
      <c r="S503" s="123" t="str">
        <f ca="1">REFERENCIA.Unidade</f>
        <v>-</v>
      </c>
      <c r="T503" s="124">
        <f ca="1">OFFSET(CÁLCULO!H$15,ROW($T503)-ROW(T$15),0)</f>
        <v>5</v>
      </c>
      <c r="U503" s="125">
        <f t="shared" ca="1" si="117"/>
        <v>0</v>
      </c>
      <c r="V503" s="126" t="s">
        <v>156</v>
      </c>
      <c r="W503" s="124">
        <f ca="1">IF($C503="S",ROUND(IF(TIPOORCAMENTO="Proposto",ORÇAMENTO.CustoUnitario*(1+$AH503),ORÇAMENTO.PrecoUnitarioLicitado),15-13*$AF$10),0)</f>
        <v>0</v>
      </c>
      <c r="X503" s="127">
        <f ca="1">IF($C503="S",IF(Import.TipoArredondamento&lt;&gt;"TransfereGOV",VTOTAL1,SUM(OFFSET(CÁLCULO!$AI$15,ROW($X503)-ROW($X$15),1):OFFSET(CÁLCULO!$BB$15,ROW($X503)-ROW($X$15),-1))),IF($C503=0,0,ROUND(SomaAgrup,15-13*$AF$11)))</f>
        <v>0</v>
      </c>
      <c r="Y503" s="128" t="s">
        <v>245</v>
      </c>
      <c r="Z503" t="str">
        <f t="shared" ca="1" si="130"/>
        <v/>
      </c>
      <c r="AA503" s="129">
        <f ca="1">IF($C503="S",IF($Z503="CP",$X503,IF($Z503="RA",(($X503)*QCI!$AA$3),0)),SomaAgrup)</f>
        <v>0</v>
      </c>
      <c r="AB503" s="130">
        <f t="shared" ca="1" si="131"/>
        <v>0</v>
      </c>
      <c r="AC503" s="131" t="str">
        <f ca="1">IF($N503="","",IF(ORÇAMENTO.Descricao="","DESCRIÇÃO",IF(AND($C503="S",ORÇAMENTO.Unidade=""),"UNIDADE",IF($X503&lt;0,"VALOR NEGATIVO",IF(OR(AND(TIPOORCAMENTO="Proposto",$AG503&lt;&gt;"",$AG503&gt;0,ORÇAMENTO.CustoUnitario&gt;$AG503),AND(TIPOORCAMENTO="LICITADO",ORÇAMENTO.PrecoUnitarioLicitado&gt;$AN503)),"ACIMA REF.","")))))</f>
        <v/>
      </c>
      <c r="AD503" t="str">
        <f ca="1">IF(C503&lt;=CRONO.NivelExibicao,MAX($AD$15:OFFSET(AD503,-1,0))+IF($C503&lt;&gt;1,1,MAX(1,COUNTIF(QCI!$A$13:$A$24,OFFSET($E503,-1,0)))),"")</f>
        <v/>
      </c>
      <c r="AE503" s="7" t="str">
        <f ca="1">IF(AND($C503="S",ORÇAMENTO.CodBarra&lt;&gt;""),IF(ORÇAMENTO.Fonte="",ORÇAMENTO.CodBarra,CONCATENATE(ORÇAMENTO.Fonte," ",ORÇAMENTO.CodBarra)))</f>
        <v>COMPOSIÇÃO FNDE 361</v>
      </c>
      <c r="AF503" s="13" t="str">
        <f ca="1">IF(ISERROR(INDIRECT(ORÇAMENTO.BancoRef)),"(abra o arquivo 'Referência "&amp;Excel_BuiltIn_Database&amp;".xlsm)",IF(OR($C503&lt;&gt;"S",ORÇAMENTO.CodBarra=""),"(Sem Código)",IF(ISERROR(MATCH($AE503,INDIRECT(ORÇAMENTO.BancoRef),0)),"(Código não identificado nas referências)",MATCH($AE503,INDIRECT(ORÇAMENTO.BancoRef),0))))</f>
        <v>(abra o arquivo 'Referência 06-2024.xlsm)</v>
      </c>
      <c r="AG503" s="498">
        <f ca="1">ROUND(IF(DESONERACAO="sim",REFERENCIA.Desonerado,REFERENCIA.NaoDesonerado),2)</f>
        <v>0</v>
      </c>
      <c r="AH503" s="499">
        <f t="shared" ca="1" si="132"/>
        <v>0.2432</v>
      </c>
      <c r="AJ503" s="501"/>
      <c r="AL503" s="527"/>
      <c r="AM503" s="381">
        <f t="shared" ca="1" si="133"/>
        <v>0</v>
      </c>
      <c r="AN503" s="566">
        <f t="shared" ca="1" si="134"/>
        <v>0</v>
      </c>
    </row>
    <row r="504" spans="1:40" ht="25.5" x14ac:dyDescent="0.2">
      <c r="A504" t="str">
        <f t="shared" si="119"/>
        <v>S</v>
      </c>
      <c r="B504">
        <f t="shared" ca="1" si="120"/>
        <v>2</v>
      </c>
      <c r="C504" t="str">
        <f t="shared" ca="1" si="121"/>
        <v>S</v>
      </c>
      <c r="D504">
        <f t="shared" ca="1" si="122"/>
        <v>0</v>
      </c>
      <c r="E504">
        <f ca="1">IF($C504=1,OFFSET(E504,-1,0)+MAX(1,COUNTIF(QCI!$A$13:$A$24,OFFSET(ORÇAMENTO!E504,-1,0))),OFFSET(E504,-1,0))</f>
        <v>1</v>
      </c>
      <c r="F504">
        <f t="shared" ca="1" si="123"/>
        <v>52</v>
      </c>
      <c r="G504">
        <f t="shared" ca="1" si="124"/>
        <v>0</v>
      </c>
      <c r="H504">
        <f t="shared" ca="1" si="125"/>
        <v>0</v>
      </c>
      <c r="I504">
        <f t="shared" ca="1" si="126"/>
        <v>0</v>
      </c>
      <c r="J504">
        <f t="shared" ca="1" si="118"/>
        <v>0</v>
      </c>
      <c r="K504">
        <f ca="1">IF(OR($C504="S",$C504=0),0,MATCH(OFFSET($D504,0,$C504)+IF($C504&lt;&gt;1,1,COUNTIF(QCI!$A$13:$A$24,ORÇAMENTO!E504)),OFFSET($D504,1,$C504,ROW($C$727)-ROW($C504)),0))</f>
        <v>0</v>
      </c>
      <c r="L504" s="116" t="str">
        <f t="shared" ca="1" si="127"/>
        <v/>
      </c>
      <c r="M504" s="117" t="s">
        <v>199</v>
      </c>
      <c r="N504" s="118" t="str">
        <f t="shared" ca="1" si="128"/>
        <v>Serviço</v>
      </c>
      <c r="O504" s="119" t="str">
        <f t="shared" ca="1" si="129"/>
        <v>-</v>
      </c>
      <c r="P504" s="120" t="s">
        <v>247</v>
      </c>
      <c r="Q504" s="121" t="s">
        <v>864</v>
      </c>
      <c r="R504" s="122" t="str">
        <f ca="1">IF($C504="S",REFERENCIA.Descricao,"(digite a descrição aqui)")</f>
        <v>(abra o arquivo 'Referência 06-2024.xlsm)</v>
      </c>
      <c r="S504" s="123" t="str">
        <f ca="1">REFERENCIA.Unidade</f>
        <v>-</v>
      </c>
      <c r="T504" s="124">
        <f ca="1">OFFSET(CÁLCULO!H$15,ROW($T504)-ROW(T$15),0)</f>
        <v>1</v>
      </c>
      <c r="U504" s="125">
        <f t="shared" ca="1" si="117"/>
        <v>0</v>
      </c>
      <c r="V504" s="126" t="s">
        <v>156</v>
      </c>
      <c r="W504" s="124">
        <f ca="1">IF($C504="S",ROUND(IF(TIPOORCAMENTO="Proposto",ORÇAMENTO.CustoUnitario*(1+$AH504),ORÇAMENTO.PrecoUnitarioLicitado),15-13*$AF$10),0)</f>
        <v>0</v>
      </c>
      <c r="X504" s="127">
        <f ca="1">IF($C504="S",IF(Import.TipoArredondamento&lt;&gt;"TransfereGOV",VTOTAL1,SUM(OFFSET(CÁLCULO!$AI$15,ROW($X504)-ROW($X$15),1):OFFSET(CÁLCULO!$BB$15,ROW($X504)-ROW($X$15),-1))),IF($C504=0,0,ROUND(SomaAgrup,15-13*$AF$11)))</f>
        <v>0</v>
      </c>
      <c r="Y504" s="128" t="s">
        <v>245</v>
      </c>
      <c r="Z504" t="str">
        <f t="shared" ca="1" si="130"/>
        <v/>
      </c>
      <c r="AA504" s="129">
        <f ca="1">IF($C504="S",IF($Z504="CP",$X504,IF($Z504="RA",(($X504)*QCI!$AA$3),0)),SomaAgrup)</f>
        <v>0</v>
      </c>
      <c r="AB504" s="130">
        <f t="shared" ca="1" si="131"/>
        <v>0</v>
      </c>
      <c r="AC504" s="131" t="str">
        <f ca="1">IF($N504="","",IF(ORÇAMENTO.Descricao="","DESCRIÇÃO",IF(AND($C504="S",ORÇAMENTO.Unidade=""),"UNIDADE",IF($X504&lt;0,"VALOR NEGATIVO",IF(OR(AND(TIPOORCAMENTO="Proposto",$AG504&lt;&gt;"",$AG504&gt;0,ORÇAMENTO.CustoUnitario&gt;$AG504),AND(TIPOORCAMENTO="LICITADO",ORÇAMENTO.PrecoUnitarioLicitado&gt;$AN504)),"ACIMA REF.","")))))</f>
        <v/>
      </c>
      <c r="AD504" t="str">
        <f ca="1">IF(C504&lt;=CRONO.NivelExibicao,MAX($AD$15:OFFSET(AD504,-1,0))+IF($C504&lt;&gt;1,1,MAX(1,COUNTIF(QCI!$A$13:$A$24,OFFSET($E504,-1,0)))),"")</f>
        <v/>
      </c>
      <c r="AE504" s="7" t="str">
        <f ca="1">IF(AND($C504="S",ORÇAMENTO.CodBarra&lt;&gt;""),IF(ORÇAMENTO.Fonte="",ORÇAMENTO.CodBarra,CONCATENATE(ORÇAMENTO.Fonte," ",ORÇAMENTO.CodBarra)))</f>
        <v>SINAPI 96986</v>
      </c>
      <c r="AF504" s="13" t="str">
        <f ca="1">IF(ISERROR(INDIRECT(ORÇAMENTO.BancoRef)),"(abra o arquivo 'Referência "&amp;Excel_BuiltIn_Database&amp;".xlsm)",IF(OR($C504&lt;&gt;"S",ORÇAMENTO.CodBarra=""),"(Sem Código)",IF(ISERROR(MATCH($AE504,INDIRECT(ORÇAMENTO.BancoRef),0)),"(Código não identificado nas referências)",MATCH($AE504,INDIRECT(ORÇAMENTO.BancoRef),0))))</f>
        <v>(abra o arquivo 'Referência 06-2024.xlsm)</v>
      </c>
      <c r="AG504" s="498">
        <f ca="1">ROUND(IF(DESONERACAO="sim",REFERENCIA.Desonerado,REFERENCIA.NaoDesonerado),2)</f>
        <v>0</v>
      </c>
      <c r="AH504" s="499">
        <f t="shared" ca="1" si="132"/>
        <v>0.2432</v>
      </c>
      <c r="AJ504" s="501"/>
      <c r="AL504" s="527"/>
      <c r="AM504" s="381">
        <f t="shared" ca="1" si="133"/>
        <v>0</v>
      </c>
      <c r="AN504" s="566">
        <f t="shared" ca="1" si="134"/>
        <v>0</v>
      </c>
    </row>
    <row r="505" spans="1:40" ht="25.5" x14ac:dyDescent="0.2">
      <c r="A505" t="str">
        <f t="shared" si="119"/>
        <v>S</v>
      </c>
      <c r="B505">
        <f t="shared" ca="1" si="120"/>
        <v>2</v>
      </c>
      <c r="C505" t="str">
        <f t="shared" ca="1" si="121"/>
        <v>S</v>
      </c>
      <c r="D505">
        <f t="shared" ca="1" si="122"/>
        <v>0</v>
      </c>
      <c r="E505">
        <f ca="1">IF($C505=1,OFFSET(E505,-1,0)+MAX(1,COUNTIF(QCI!$A$13:$A$24,OFFSET(ORÇAMENTO!E505,-1,0))),OFFSET(E505,-1,0))</f>
        <v>1</v>
      </c>
      <c r="F505">
        <f t="shared" ca="1" si="123"/>
        <v>52</v>
      </c>
      <c r="G505">
        <f t="shared" ca="1" si="124"/>
        <v>0</v>
      </c>
      <c r="H505">
        <f t="shared" ca="1" si="125"/>
        <v>0</v>
      </c>
      <c r="I505">
        <f t="shared" ca="1" si="126"/>
        <v>0</v>
      </c>
      <c r="J505">
        <f t="shared" ca="1" si="118"/>
        <v>0</v>
      </c>
      <c r="K505">
        <f ca="1">IF(OR($C505="S",$C505=0),0,MATCH(OFFSET($D505,0,$C505)+IF($C505&lt;&gt;1,1,COUNTIF(QCI!$A$13:$A$24,ORÇAMENTO!E505)),OFFSET($D505,1,$C505,ROW($C$727)-ROW($C505)),0))</f>
        <v>0</v>
      </c>
      <c r="L505" s="116" t="str">
        <f t="shared" ca="1" si="127"/>
        <v/>
      </c>
      <c r="M505" s="117" t="s">
        <v>199</v>
      </c>
      <c r="N505" s="118" t="str">
        <f t="shared" ca="1" si="128"/>
        <v>Serviço</v>
      </c>
      <c r="O505" s="119" t="str">
        <f t="shared" ca="1" si="129"/>
        <v>-</v>
      </c>
      <c r="P505" s="120" t="s">
        <v>247</v>
      </c>
      <c r="Q505" s="121" t="s">
        <v>865</v>
      </c>
      <c r="R505" s="122" t="str">
        <f ca="1">IF($C505="S",REFERENCIA.Descricao,"(digite a descrição aqui)")</f>
        <v>(abra o arquivo 'Referência 06-2024.xlsm)</v>
      </c>
      <c r="S505" s="123" t="str">
        <f ca="1">REFERENCIA.Unidade</f>
        <v>-</v>
      </c>
      <c r="T505" s="124">
        <f ca="1">OFFSET(CÁLCULO!H$15,ROW($T505)-ROW(T$15),0)</f>
        <v>1</v>
      </c>
      <c r="U505" s="125">
        <f t="shared" ca="1" si="117"/>
        <v>0</v>
      </c>
      <c r="V505" s="126" t="s">
        <v>156</v>
      </c>
      <c r="W505" s="124">
        <f ca="1">IF($C505="S",ROUND(IF(TIPOORCAMENTO="Proposto",ORÇAMENTO.CustoUnitario*(1+$AH505),ORÇAMENTO.PrecoUnitarioLicitado),15-13*$AF$10),0)</f>
        <v>0</v>
      </c>
      <c r="X505" s="127">
        <f ca="1">IF($C505="S",IF(Import.TipoArredondamento&lt;&gt;"TransfereGOV",VTOTAL1,SUM(OFFSET(CÁLCULO!$AI$15,ROW($X505)-ROW($X$15),1):OFFSET(CÁLCULO!$BB$15,ROW($X505)-ROW($X$15),-1))),IF($C505=0,0,ROUND(SomaAgrup,15-13*$AF$11)))</f>
        <v>0</v>
      </c>
      <c r="Y505" s="128" t="s">
        <v>245</v>
      </c>
      <c r="Z505" t="str">
        <f t="shared" ca="1" si="130"/>
        <v/>
      </c>
      <c r="AA505" s="129">
        <f ca="1">IF($C505="S",IF($Z505="CP",$X505,IF($Z505="RA",(($X505)*QCI!$AA$3),0)),SomaAgrup)</f>
        <v>0</v>
      </c>
      <c r="AB505" s="130">
        <f t="shared" ca="1" si="131"/>
        <v>0</v>
      </c>
      <c r="AC505" s="131" t="str">
        <f ca="1">IF($N505="","",IF(ORÇAMENTO.Descricao="","DESCRIÇÃO",IF(AND($C505="S",ORÇAMENTO.Unidade=""),"UNIDADE",IF($X505&lt;0,"VALOR NEGATIVO",IF(OR(AND(TIPOORCAMENTO="Proposto",$AG505&lt;&gt;"",$AG505&gt;0,ORÇAMENTO.CustoUnitario&gt;$AG505),AND(TIPOORCAMENTO="LICITADO",ORÇAMENTO.PrecoUnitarioLicitado&gt;$AN505)),"ACIMA REF.","")))))</f>
        <v/>
      </c>
      <c r="AD505" t="str">
        <f ca="1">IF(C505&lt;=CRONO.NivelExibicao,MAX($AD$15:OFFSET(AD505,-1,0))+IF($C505&lt;&gt;1,1,MAX(1,COUNTIF(QCI!$A$13:$A$24,OFFSET($E505,-1,0)))),"")</f>
        <v/>
      </c>
      <c r="AE505" s="7" t="str">
        <f ca="1">IF(AND($C505="S",ORÇAMENTO.CodBarra&lt;&gt;""),IF(ORÇAMENTO.Fonte="",ORÇAMENTO.CodBarra,CONCATENATE(ORÇAMENTO.Fonte," ",ORÇAMENTO.CodBarra)))</f>
        <v>SINAPI 101548</v>
      </c>
      <c r="AF505" s="13" t="str">
        <f ca="1">IF(ISERROR(INDIRECT(ORÇAMENTO.BancoRef)),"(abra o arquivo 'Referência "&amp;Excel_BuiltIn_Database&amp;".xlsm)",IF(OR($C505&lt;&gt;"S",ORÇAMENTO.CodBarra=""),"(Sem Código)",IF(ISERROR(MATCH($AE505,INDIRECT(ORÇAMENTO.BancoRef),0)),"(Código não identificado nas referências)",MATCH($AE505,INDIRECT(ORÇAMENTO.BancoRef),0))))</f>
        <v>(abra o arquivo 'Referência 06-2024.xlsm)</v>
      </c>
      <c r="AG505" s="498">
        <f ca="1">ROUND(IF(DESONERACAO="sim",REFERENCIA.Desonerado,REFERENCIA.NaoDesonerado),2)</f>
        <v>0</v>
      </c>
      <c r="AH505" s="499">
        <f t="shared" ca="1" si="132"/>
        <v>0.2432</v>
      </c>
      <c r="AJ505" s="501"/>
      <c r="AL505" s="527"/>
      <c r="AM505" s="381">
        <f t="shared" ca="1" si="133"/>
        <v>0</v>
      </c>
      <c r="AN505" s="566">
        <f t="shared" ca="1" si="134"/>
        <v>0</v>
      </c>
    </row>
    <row r="506" spans="1:40" ht="25.5" x14ac:dyDescent="0.2">
      <c r="A506" t="str">
        <f t="shared" si="119"/>
        <v>S</v>
      </c>
      <c r="B506">
        <f t="shared" ca="1" si="120"/>
        <v>2</v>
      </c>
      <c r="C506" t="str">
        <f t="shared" ca="1" si="121"/>
        <v>S</v>
      </c>
      <c r="D506">
        <f t="shared" ca="1" si="122"/>
        <v>0</v>
      </c>
      <c r="E506">
        <f ca="1">IF($C506=1,OFFSET(E506,-1,0)+MAX(1,COUNTIF(QCI!$A$13:$A$24,OFFSET(ORÇAMENTO!E506,-1,0))),OFFSET(E506,-1,0))</f>
        <v>1</v>
      </c>
      <c r="F506">
        <f t="shared" ca="1" si="123"/>
        <v>52</v>
      </c>
      <c r="G506">
        <f t="shared" ca="1" si="124"/>
        <v>0</v>
      </c>
      <c r="H506">
        <f t="shared" ca="1" si="125"/>
        <v>0</v>
      </c>
      <c r="I506">
        <f t="shared" ca="1" si="126"/>
        <v>0</v>
      </c>
      <c r="J506">
        <f t="shared" ca="1" si="118"/>
        <v>0</v>
      </c>
      <c r="K506">
        <f ca="1">IF(OR($C506="S",$C506=0),0,MATCH(OFFSET($D506,0,$C506)+IF($C506&lt;&gt;1,1,COUNTIF(QCI!$A$13:$A$24,ORÇAMENTO!E506)),OFFSET($D506,1,$C506,ROW($C$727)-ROW($C506)),0))</f>
        <v>0</v>
      </c>
      <c r="L506" s="116" t="str">
        <f t="shared" ca="1" si="127"/>
        <v/>
      </c>
      <c r="M506" s="117" t="s">
        <v>199</v>
      </c>
      <c r="N506" s="118" t="str">
        <f t="shared" ca="1" si="128"/>
        <v>Serviço</v>
      </c>
      <c r="O506" s="119" t="str">
        <f t="shared" ca="1" si="129"/>
        <v>-</v>
      </c>
      <c r="P506" s="120" t="s">
        <v>458</v>
      </c>
      <c r="Q506" s="121" t="s">
        <v>866</v>
      </c>
      <c r="R506" s="122" t="str">
        <f ca="1">IF($C506="S",REFERENCIA.Descricao,"(digite a descrição aqui)")</f>
        <v>(abra o arquivo 'Referência 06-2024.xlsm)</v>
      </c>
      <c r="S506" s="123" t="str">
        <f ca="1">REFERENCIA.Unidade</f>
        <v>-</v>
      </c>
      <c r="T506" s="124">
        <f ca="1">OFFSET(CÁLCULO!H$15,ROW($T506)-ROW(T$15),0)</f>
        <v>16</v>
      </c>
      <c r="U506" s="125">
        <f t="shared" ca="1" si="117"/>
        <v>0</v>
      </c>
      <c r="V506" s="126" t="s">
        <v>156</v>
      </c>
      <c r="W506" s="124">
        <f ca="1">IF($C506="S",ROUND(IF(TIPOORCAMENTO="Proposto",ORÇAMENTO.CustoUnitario*(1+$AH506),ORÇAMENTO.PrecoUnitarioLicitado),15-13*$AF$10),0)</f>
        <v>0</v>
      </c>
      <c r="X506" s="127">
        <f ca="1">IF($C506="S",IF(Import.TipoArredondamento&lt;&gt;"TransfereGOV",VTOTAL1,SUM(OFFSET(CÁLCULO!$AI$15,ROW($X506)-ROW($X$15),1):OFFSET(CÁLCULO!$BB$15,ROW($X506)-ROW($X$15),-1))),IF($C506=0,0,ROUND(SomaAgrup,15-13*$AF$11)))</f>
        <v>0</v>
      </c>
      <c r="Y506" s="128" t="s">
        <v>245</v>
      </c>
      <c r="Z506" t="str">
        <f t="shared" ca="1" si="130"/>
        <v/>
      </c>
      <c r="AA506" s="129">
        <f ca="1">IF($C506="S",IF($Z506="CP",$X506,IF($Z506="RA",(($X506)*QCI!$AA$3),0)),SomaAgrup)</f>
        <v>0</v>
      </c>
      <c r="AB506" s="130">
        <f t="shared" ca="1" si="131"/>
        <v>0</v>
      </c>
      <c r="AC506" s="131" t="str">
        <f ca="1">IF($N506="","",IF(ORÇAMENTO.Descricao="","DESCRIÇÃO",IF(AND($C506="S",ORÇAMENTO.Unidade=""),"UNIDADE",IF($X506&lt;0,"VALOR NEGATIVO",IF(OR(AND(TIPOORCAMENTO="Proposto",$AG506&lt;&gt;"",$AG506&gt;0,ORÇAMENTO.CustoUnitario&gt;$AG506),AND(TIPOORCAMENTO="LICITADO",ORÇAMENTO.PrecoUnitarioLicitado&gt;$AN506)),"ACIMA REF.","")))))</f>
        <v/>
      </c>
      <c r="AD506" t="str">
        <f ca="1">IF(C506&lt;=CRONO.NivelExibicao,MAX($AD$15:OFFSET(AD506,-1,0))+IF($C506&lt;&gt;1,1,MAX(1,COUNTIF(QCI!$A$13:$A$24,OFFSET($E506,-1,0)))),"")</f>
        <v/>
      </c>
      <c r="AE506" s="7" t="str">
        <f ca="1">IF(AND($C506="S",ORÇAMENTO.CodBarra&lt;&gt;""),IF(ORÇAMENTO.Fonte="",ORÇAMENTO.CodBarra,CONCATENATE(ORÇAMENTO.Fonte," ",ORÇAMENTO.CodBarra)))</f>
        <v>COMPOSIÇÃO FNDE 364</v>
      </c>
      <c r="AF506" s="13" t="str">
        <f ca="1">IF(ISERROR(INDIRECT(ORÇAMENTO.BancoRef)),"(abra o arquivo 'Referência "&amp;Excel_BuiltIn_Database&amp;".xlsm)",IF(OR($C506&lt;&gt;"S",ORÇAMENTO.CodBarra=""),"(Sem Código)",IF(ISERROR(MATCH($AE506,INDIRECT(ORÇAMENTO.BancoRef),0)),"(Código não identificado nas referências)",MATCH($AE506,INDIRECT(ORÇAMENTO.BancoRef),0))))</f>
        <v>(abra o arquivo 'Referência 06-2024.xlsm)</v>
      </c>
      <c r="AG506" s="498">
        <f ca="1">ROUND(IF(DESONERACAO="sim",REFERENCIA.Desonerado,REFERENCIA.NaoDesonerado),2)</f>
        <v>0</v>
      </c>
      <c r="AH506" s="499">
        <f t="shared" ca="1" si="132"/>
        <v>0.2432</v>
      </c>
      <c r="AJ506" s="501"/>
      <c r="AL506" s="527"/>
      <c r="AM506" s="381">
        <f t="shared" ca="1" si="133"/>
        <v>0</v>
      </c>
      <c r="AN506" s="566">
        <f t="shared" ca="1" si="134"/>
        <v>0</v>
      </c>
    </row>
    <row r="507" spans="1:40" ht="25.5" x14ac:dyDescent="0.2">
      <c r="A507" t="str">
        <f t="shared" si="119"/>
        <v>S</v>
      </c>
      <c r="B507">
        <f t="shared" ca="1" si="120"/>
        <v>2</v>
      </c>
      <c r="C507" t="str">
        <f t="shared" ca="1" si="121"/>
        <v>S</v>
      </c>
      <c r="D507">
        <f t="shared" ca="1" si="122"/>
        <v>0</v>
      </c>
      <c r="E507">
        <f ca="1">IF($C507=1,OFFSET(E507,-1,0)+MAX(1,COUNTIF(QCI!$A$13:$A$24,OFFSET(ORÇAMENTO!E507,-1,0))),OFFSET(E507,-1,0))</f>
        <v>1</v>
      </c>
      <c r="F507">
        <f t="shared" ca="1" si="123"/>
        <v>52</v>
      </c>
      <c r="G507">
        <f t="shared" ca="1" si="124"/>
        <v>0</v>
      </c>
      <c r="H507">
        <f t="shared" ca="1" si="125"/>
        <v>0</v>
      </c>
      <c r="I507">
        <f t="shared" ca="1" si="126"/>
        <v>0</v>
      </c>
      <c r="J507">
        <f t="shared" ca="1" si="118"/>
        <v>0</v>
      </c>
      <c r="K507">
        <f ca="1">IF(OR($C507="S",$C507=0),0,MATCH(OFFSET($D507,0,$C507)+IF($C507&lt;&gt;1,1,COUNTIF(QCI!$A$13:$A$24,ORÇAMENTO!E507)),OFFSET($D507,1,$C507,ROW($C$727)-ROW($C507)),0))</f>
        <v>0</v>
      </c>
      <c r="L507" s="116" t="str">
        <f t="shared" ca="1" si="127"/>
        <v/>
      </c>
      <c r="M507" s="117" t="s">
        <v>199</v>
      </c>
      <c r="N507" s="118" t="str">
        <f t="shared" ca="1" si="128"/>
        <v>Serviço</v>
      </c>
      <c r="O507" s="119" t="str">
        <f t="shared" ca="1" si="129"/>
        <v>-</v>
      </c>
      <c r="P507" s="120" t="s">
        <v>458</v>
      </c>
      <c r="Q507" s="121" t="s">
        <v>867</v>
      </c>
      <c r="R507" s="122" t="str">
        <f ca="1">IF($C507="S",REFERENCIA.Descricao,"(digite a descrição aqui)")</f>
        <v>(abra o arquivo 'Referência 06-2024.xlsm)</v>
      </c>
      <c r="S507" s="123" t="str">
        <f ca="1">REFERENCIA.Unidade</f>
        <v>-</v>
      </c>
      <c r="T507" s="124">
        <f ca="1">OFFSET(CÁLCULO!H$15,ROW($T507)-ROW(T$15),0)</f>
        <v>1</v>
      </c>
      <c r="U507" s="125">
        <f t="shared" ca="1" si="117"/>
        <v>0</v>
      </c>
      <c r="V507" s="126" t="s">
        <v>156</v>
      </c>
      <c r="W507" s="124">
        <f ca="1">IF($C507="S",ROUND(IF(TIPOORCAMENTO="Proposto",ORÇAMENTO.CustoUnitario*(1+$AH507),ORÇAMENTO.PrecoUnitarioLicitado),15-13*$AF$10),0)</f>
        <v>0</v>
      </c>
      <c r="X507" s="127">
        <f ca="1">IF($C507="S",IF(Import.TipoArredondamento&lt;&gt;"TransfereGOV",VTOTAL1,SUM(OFFSET(CÁLCULO!$AI$15,ROW($X507)-ROW($X$15),1):OFFSET(CÁLCULO!$BB$15,ROW($X507)-ROW($X$15),-1))),IF($C507=0,0,ROUND(SomaAgrup,15-13*$AF$11)))</f>
        <v>0</v>
      </c>
      <c r="Y507" s="128" t="s">
        <v>245</v>
      </c>
      <c r="Z507" t="str">
        <f t="shared" ca="1" si="130"/>
        <v/>
      </c>
      <c r="AA507" s="129">
        <f ca="1">IF($C507="S",IF($Z507="CP",$X507,IF($Z507="RA",(($X507)*QCI!$AA$3),0)),SomaAgrup)</f>
        <v>0</v>
      </c>
      <c r="AB507" s="130">
        <f t="shared" ca="1" si="131"/>
        <v>0</v>
      </c>
      <c r="AC507" s="131" t="str">
        <f ca="1">IF($N507="","",IF(ORÇAMENTO.Descricao="","DESCRIÇÃO",IF(AND($C507="S",ORÇAMENTO.Unidade=""),"UNIDADE",IF($X507&lt;0,"VALOR NEGATIVO",IF(OR(AND(TIPOORCAMENTO="Proposto",$AG507&lt;&gt;"",$AG507&gt;0,ORÇAMENTO.CustoUnitario&gt;$AG507),AND(TIPOORCAMENTO="LICITADO",ORÇAMENTO.PrecoUnitarioLicitado&gt;$AN507)),"ACIMA REF.","")))))</f>
        <v/>
      </c>
      <c r="AD507" t="str">
        <f ca="1">IF(C507&lt;=CRONO.NivelExibicao,MAX($AD$15:OFFSET(AD507,-1,0))+IF($C507&lt;&gt;1,1,MAX(1,COUNTIF(QCI!$A$13:$A$24,OFFSET($E507,-1,0)))),"")</f>
        <v/>
      </c>
      <c r="AE507" s="7" t="str">
        <f ca="1">IF(AND($C507="S",ORÇAMENTO.CodBarra&lt;&gt;""),IF(ORÇAMENTO.Fonte="",ORÇAMENTO.CodBarra,CONCATENATE(ORÇAMENTO.Fonte," ",ORÇAMENTO.CodBarra)))</f>
        <v>COMPOSIÇÃO FNDE 363</v>
      </c>
      <c r="AF507" s="13" t="str">
        <f ca="1">IF(ISERROR(INDIRECT(ORÇAMENTO.BancoRef)),"(abra o arquivo 'Referência "&amp;Excel_BuiltIn_Database&amp;".xlsm)",IF(OR($C507&lt;&gt;"S",ORÇAMENTO.CodBarra=""),"(Sem Código)",IF(ISERROR(MATCH($AE507,INDIRECT(ORÇAMENTO.BancoRef),0)),"(Código não identificado nas referências)",MATCH($AE507,INDIRECT(ORÇAMENTO.BancoRef),0))))</f>
        <v>(abra o arquivo 'Referência 06-2024.xlsm)</v>
      </c>
      <c r="AG507" s="498">
        <f ca="1">ROUND(IF(DESONERACAO="sim",REFERENCIA.Desonerado,REFERENCIA.NaoDesonerado),2)</f>
        <v>0</v>
      </c>
      <c r="AH507" s="499">
        <f t="shared" ca="1" si="132"/>
        <v>0.2432</v>
      </c>
      <c r="AJ507" s="501"/>
      <c r="AL507" s="527"/>
      <c r="AM507" s="381">
        <f t="shared" ca="1" si="133"/>
        <v>0</v>
      </c>
      <c r="AN507" s="566">
        <f t="shared" ca="1" si="134"/>
        <v>0</v>
      </c>
    </row>
    <row r="508" spans="1:40" x14ac:dyDescent="0.2">
      <c r="A508">
        <f t="shared" si="119"/>
        <v>2</v>
      </c>
      <c r="B508">
        <f t="shared" ca="1" si="120"/>
        <v>2</v>
      </c>
      <c r="C508">
        <f t="shared" ca="1" si="121"/>
        <v>2</v>
      </c>
      <c r="D508">
        <f t="shared" ca="1" si="122"/>
        <v>18</v>
      </c>
      <c r="E508">
        <f ca="1">IF($C508=1,OFFSET(E508,-1,0)+MAX(1,COUNTIF(QCI!$A$13:$A$24,OFFSET(ORÇAMENTO!E508,-1,0))),OFFSET(E508,-1,0))</f>
        <v>1</v>
      </c>
      <c r="F508">
        <f t="shared" ca="1" si="123"/>
        <v>53</v>
      </c>
      <c r="G508">
        <f t="shared" ca="1" si="124"/>
        <v>0</v>
      </c>
      <c r="H508">
        <f t="shared" ca="1" si="125"/>
        <v>0</v>
      </c>
      <c r="I508">
        <f t="shared" ca="1" si="126"/>
        <v>0</v>
      </c>
      <c r="J508">
        <f t="shared" ca="1" si="118"/>
        <v>219</v>
      </c>
      <c r="K508">
        <f ca="1">IF(OR($C508="S",$C508=0),0,MATCH(OFFSET($D508,0,$C508)+IF($C508&lt;&gt;1,1,COUNTIF(QCI!$A$13:$A$24,ORÇAMENTO!E508)),OFFSET($D508,1,$C508,ROW($C$727)-ROW($C508)),0))</f>
        <v>18</v>
      </c>
      <c r="L508" s="116" t="str">
        <f t="shared" ca="1" si="127"/>
        <v>F</v>
      </c>
      <c r="M508" s="117" t="s">
        <v>196</v>
      </c>
      <c r="N508" s="118" t="str">
        <f t="shared" ca="1" si="128"/>
        <v>Nível 2</v>
      </c>
      <c r="O508" s="119" t="str">
        <f t="shared" ca="1" si="129"/>
        <v>1.53.</v>
      </c>
      <c r="P508" s="120" t="s">
        <v>247</v>
      </c>
      <c r="Q508" s="121"/>
      <c r="R508" s="122" t="s">
        <v>1076</v>
      </c>
      <c r="S508" s="123" t="str">
        <f ca="1">REFERENCIA.Unidade</f>
        <v>-</v>
      </c>
      <c r="T508" s="124">
        <f ca="1">OFFSET(CÁLCULO!H$15,ROW($T508)-ROW(T$15),0)</f>
        <v>0</v>
      </c>
      <c r="U508" s="125">
        <f t="shared" ca="1" si="117"/>
        <v>0</v>
      </c>
      <c r="V508" s="126" t="s">
        <v>156</v>
      </c>
      <c r="W508" s="124">
        <f ca="1">IF($C508="S",ROUND(IF(TIPOORCAMENTO="Proposto",ORÇAMENTO.CustoUnitario*(1+$AH508),ORÇAMENTO.PrecoUnitarioLicitado),15-13*$AF$10),0)</f>
        <v>0</v>
      </c>
      <c r="X508" s="127">
        <f ca="1">IF($C508="S",IF(Import.TipoArredondamento&lt;&gt;"TransfereGOV",VTOTAL1,SUM(OFFSET(CÁLCULO!$AI$15,ROW($X508)-ROW($X$15),1):OFFSET(CÁLCULO!$BB$15,ROW($X508)-ROW($X$15),-1))),IF($C508=0,0,ROUND(SomaAgrup,15-13*$AF$11)))</f>
        <v>0</v>
      </c>
      <c r="Y508" s="128" t="s">
        <v>245</v>
      </c>
      <c r="Z508" t="str">
        <f t="shared" ca="1" si="130"/>
        <v/>
      </c>
      <c r="AA508" s="129">
        <f ca="1">IF($C508="S",IF($Z508="CP",$X508,IF($Z508="RA",(($X508)*QCI!$AA$3),0)),SomaAgrup)</f>
        <v>0</v>
      </c>
      <c r="AB508" s="130">
        <f t="shared" ca="1" si="131"/>
        <v>0</v>
      </c>
      <c r="AC508" s="131" t="str">
        <f ca="1">IF($N508="","",IF(ORÇAMENTO.Descricao="","DESCRIÇÃO",IF(AND($C508="S",ORÇAMENTO.Unidade=""),"UNIDADE",IF($X508&lt;0,"VALOR NEGATIVO",IF(OR(AND(TIPOORCAMENTO="Proposto",$AG508&lt;&gt;"",$AG508&gt;0,ORÇAMENTO.CustoUnitario&gt;$AG508),AND(TIPOORCAMENTO="LICITADO",ORÇAMENTO.PrecoUnitarioLicitado&gt;$AN508)),"ACIMA REF.","")))))</f>
        <v/>
      </c>
      <c r="AD508">
        <f ca="1">IF(C508&lt;=CRONO.NivelExibicao,MAX($AD$15:OFFSET(AD508,-1,0))+IF($C508&lt;&gt;1,1,MAX(1,COUNTIF(QCI!$A$13:$A$24,OFFSET($E508,-1,0)))),"")</f>
        <v>54</v>
      </c>
      <c r="AE508" s="7" t="b">
        <f ca="1">IF(AND($C508="S",ORÇAMENTO.CodBarra&lt;&gt;""),IF(ORÇAMENTO.Fonte="",ORÇAMENTO.CodBarra,CONCATENATE(ORÇAMENTO.Fonte," ",ORÇAMENTO.CodBarra)))</f>
        <v>0</v>
      </c>
      <c r="AF508" s="13" t="str">
        <f ca="1">IF(ISERROR(INDIRECT(ORÇAMENTO.BancoRef)),"(abra o arquivo 'Referência "&amp;Excel_BuiltIn_Database&amp;".xlsm)",IF(OR($C508&lt;&gt;"S",ORÇAMENTO.CodBarra=""),"(Sem Código)",IF(ISERROR(MATCH($AE508,INDIRECT(ORÇAMENTO.BancoRef),0)),"(Código não identificado nas referências)",MATCH($AE508,INDIRECT(ORÇAMENTO.BancoRef),0))))</f>
        <v>(abra o arquivo 'Referência 06-2024.xlsm)</v>
      </c>
      <c r="AG508" s="498">
        <f ca="1">ROUND(IF(DESONERACAO="sim",REFERENCIA.Desonerado,REFERENCIA.NaoDesonerado),2)</f>
        <v>0</v>
      </c>
      <c r="AH508" s="499">
        <f t="shared" ca="1" si="132"/>
        <v>0.2432</v>
      </c>
      <c r="AJ508" s="501"/>
      <c r="AL508" s="527"/>
      <c r="AM508" s="381">
        <f t="shared" ca="1" si="133"/>
        <v>0</v>
      </c>
      <c r="AN508" s="566">
        <f t="shared" ca="1" si="134"/>
        <v>0</v>
      </c>
    </row>
    <row r="509" spans="1:40" ht="38.25" x14ac:dyDescent="0.2">
      <c r="A509" t="str">
        <f t="shared" si="119"/>
        <v>S</v>
      </c>
      <c r="B509">
        <f t="shared" ca="1" si="120"/>
        <v>2</v>
      </c>
      <c r="C509" t="str">
        <f t="shared" ca="1" si="121"/>
        <v>S</v>
      </c>
      <c r="D509">
        <f t="shared" ca="1" si="122"/>
        <v>0</v>
      </c>
      <c r="E509">
        <f ca="1">IF($C509=1,OFFSET(E509,-1,0)+MAX(1,COUNTIF(QCI!$A$13:$A$24,OFFSET(ORÇAMENTO!E509,-1,0))),OFFSET(E509,-1,0))</f>
        <v>1</v>
      </c>
      <c r="F509">
        <f t="shared" ca="1" si="123"/>
        <v>53</v>
      </c>
      <c r="G509">
        <f t="shared" ca="1" si="124"/>
        <v>0</v>
      </c>
      <c r="H509">
        <f t="shared" ca="1" si="125"/>
        <v>0</v>
      </c>
      <c r="I509">
        <f t="shared" ca="1" si="126"/>
        <v>0</v>
      </c>
      <c r="J509">
        <f t="shared" ca="1" si="118"/>
        <v>0</v>
      </c>
      <c r="K509">
        <f ca="1">IF(OR($C509="S",$C509=0),0,MATCH(OFFSET($D509,0,$C509)+IF($C509&lt;&gt;1,1,COUNTIF(QCI!$A$13:$A$24,ORÇAMENTO!E509)),OFFSET($D509,1,$C509,ROW($C$727)-ROW($C509)),0))</f>
        <v>0</v>
      </c>
      <c r="L509" s="116" t="str">
        <f t="shared" ca="1" si="127"/>
        <v/>
      </c>
      <c r="M509" s="117" t="s">
        <v>199</v>
      </c>
      <c r="N509" s="118" t="str">
        <f t="shared" ca="1" si="128"/>
        <v>Serviço</v>
      </c>
      <c r="O509" s="119" t="str">
        <f t="shared" ca="1" si="129"/>
        <v>-</v>
      </c>
      <c r="P509" s="120" t="s">
        <v>247</v>
      </c>
      <c r="Q509" s="121" t="s">
        <v>868</v>
      </c>
      <c r="R509" s="122" t="str">
        <f ca="1">IF($C509="S",REFERENCIA.Descricao,"(digite a descrição aqui)")</f>
        <v>(abra o arquivo 'Referência 06-2024.xlsm)</v>
      </c>
      <c r="S509" s="123" t="str">
        <f ca="1">REFERENCIA.Unidade</f>
        <v>-</v>
      </c>
      <c r="T509" s="124">
        <f ca="1">OFFSET(CÁLCULO!H$15,ROW($T509)-ROW(T$15),0)</f>
        <v>47.1</v>
      </c>
      <c r="U509" s="125">
        <f t="shared" ca="1" si="117"/>
        <v>0</v>
      </c>
      <c r="V509" s="126" t="s">
        <v>156</v>
      </c>
      <c r="W509" s="124">
        <f ca="1">IF($C509="S",ROUND(IF(TIPOORCAMENTO="Proposto",ORÇAMENTO.CustoUnitario*(1+$AH509),ORÇAMENTO.PrecoUnitarioLicitado),15-13*$AF$10),0)</f>
        <v>0</v>
      </c>
      <c r="X509" s="127">
        <f ca="1">IF($C509="S",IF(Import.TipoArredondamento&lt;&gt;"TransfereGOV",VTOTAL1,SUM(OFFSET(CÁLCULO!$AI$15,ROW($X509)-ROW($X$15),1):OFFSET(CÁLCULO!$BB$15,ROW($X509)-ROW($X$15),-1))),IF($C509=0,0,ROUND(SomaAgrup,15-13*$AF$11)))</f>
        <v>0</v>
      </c>
      <c r="Y509" s="128" t="s">
        <v>245</v>
      </c>
      <c r="Z509" t="str">
        <f t="shared" ca="1" si="130"/>
        <v/>
      </c>
      <c r="AA509" s="129">
        <f ca="1">IF($C509="S",IF($Z509="CP",$X509,IF($Z509="RA",(($X509)*QCI!$AA$3),0)),SomaAgrup)</f>
        <v>0</v>
      </c>
      <c r="AB509" s="130">
        <f t="shared" ca="1" si="131"/>
        <v>0</v>
      </c>
      <c r="AC509" s="131" t="str">
        <f ca="1">IF($N509="","",IF(ORÇAMENTO.Descricao="","DESCRIÇÃO",IF(AND($C509="S",ORÇAMENTO.Unidade=""),"UNIDADE",IF($X509&lt;0,"VALOR NEGATIVO",IF(OR(AND(TIPOORCAMENTO="Proposto",$AG509&lt;&gt;"",$AG509&gt;0,ORÇAMENTO.CustoUnitario&gt;$AG509),AND(TIPOORCAMENTO="LICITADO",ORÇAMENTO.PrecoUnitarioLicitado&gt;$AN509)),"ACIMA REF.","")))))</f>
        <v/>
      </c>
      <c r="AD509" t="str">
        <f ca="1">IF(C509&lt;=CRONO.NivelExibicao,MAX($AD$15:OFFSET(AD509,-1,0))+IF($C509&lt;&gt;1,1,MAX(1,COUNTIF(QCI!$A$13:$A$24,OFFSET($E509,-1,0)))),"")</f>
        <v/>
      </c>
      <c r="AE509" s="7" t="str">
        <f ca="1">IF(AND($C509="S",ORÇAMENTO.CodBarra&lt;&gt;""),IF(ORÇAMENTO.Fonte="",ORÇAMENTO.CodBarra,CONCATENATE(ORÇAMENTO.Fonte," ",ORÇAMENTO.CodBarra)))</f>
        <v>SINAPI 92996</v>
      </c>
      <c r="AF509" s="13" t="str">
        <f ca="1">IF(ISERROR(INDIRECT(ORÇAMENTO.BancoRef)),"(abra o arquivo 'Referência "&amp;Excel_BuiltIn_Database&amp;".xlsm)",IF(OR($C509&lt;&gt;"S",ORÇAMENTO.CodBarra=""),"(Sem Código)",IF(ISERROR(MATCH($AE509,INDIRECT(ORÇAMENTO.BancoRef),0)),"(Código não identificado nas referências)",MATCH($AE509,INDIRECT(ORÇAMENTO.BancoRef),0))))</f>
        <v>(abra o arquivo 'Referência 06-2024.xlsm)</v>
      </c>
      <c r="AG509" s="498">
        <f ca="1">ROUND(IF(DESONERACAO="sim",REFERENCIA.Desonerado,REFERENCIA.NaoDesonerado),2)</f>
        <v>0</v>
      </c>
      <c r="AH509" s="499">
        <f t="shared" ca="1" si="132"/>
        <v>0.2432</v>
      </c>
      <c r="AJ509" s="501"/>
      <c r="AL509" s="527"/>
      <c r="AM509" s="381">
        <f t="shared" ca="1" si="133"/>
        <v>0</v>
      </c>
      <c r="AN509" s="566">
        <f t="shared" ca="1" si="134"/>
        <v>0</v>
      </c>
    </row>
    <row r="510" spans="1:40" ht="38.25" x14ac:dyDescent="0.2">
      <c r="A510" t="str">
        <f t="shared" si="119"/>
        <v>S</v>
      </c>
      <c r="B510">
        <f t="shared" ca="1" si="120"/>
        <v>2</v>
      </c>
      <c r="C510" t="str">
        <f t="shared" ca="1" si="121"/>
        <v>S</v>
      </c>
      <c r="D510">
        <f t="shared" ca="1" si="122"/>
        <v>0</v>
      </c>
      <c r="E510">
        <f ca="1">IF($C510=1,OFFSET(E510,-1,0)+MAX(1,COUNTIF(QCI!$A$13:$A$24,OFFSET(ORÇAMENTO!E510,-1,0))),OFFSET(E510,-1,0))</f>
        <v>1</v>
      </c>
      <c r="F510">
        <f t="shared" ca="1" si="123"/>
        <v>53</v>
      </c>
      <c r="G510">
        <f t="shared" ca="1" si="124"/>
        <v>0</v>
      </c>
      <c r="H510">
        <f t="shared" ca="1" si="125"/>
        <v>0</v>
      </c>
      <c r="I510">
        <f t="shared" ca="1" si="126"/>
        <v>0</v>
      </c>
      <c r="J510">
        <f t="shared" ca="1" si="118"/>
        <v>0</v>
      </c>
      <c r="K510">
        <f ca="1">IF(OR($C510="S",$C510=0),0,MATCH(OFFSET($D510,0,$C510)+IF($C510&lt;&gt;1,1,COUNTIF(QCI!$A$13:$A$24,ORÇAMENTO!E510)),OFFSET($D510,1,$C510,ROW($C$727)-ROW($C510)),0))</f>
        <v>0</v>
      </c>
      <c r="L510" s="116" t="str">
        <f t="shared" ca="1" si="127"/>
        <v/>
      </c>
      <c r="M510" s="117" t="s">
        <v>199</v>
      </c>
      <c r="N510" s="118" t="str">
        <f t="shared" ca="1" si="128"/>
        <v>Serviço</v>
      </c>
      <c r="O510" s="119" t="str">
        <f t="shared" ca="1" si="129"/>
        <v>-</v>
      </c>
      <c r="P510" s="120" t="s">
        <v>247</v>
      </c>
      <c r="Q510" s="121" t="s">
        <v>869</v>
      </c>
      <c r="R510" s="122" t="str">
        <f ca="1">IF($C510="S",REFERENCIA.Descricao,"(digite a descrição aqui)")</f>
        <v>(abra o arquivo 'Referência 06-2024.xlsm)</v>
      </c>
      <c r="S510" s="123" t="str">
        <f ca="1">REFERENCIA.Unidade</f>
        <v>-</v>
      </c>
      <c r="T510" s="124">
        <f ca="1">OFFSET(CÁLCULO!H$15,ROW($T510)-ROW(T$15),0)</f>
        <v>14.4</v>
      </c>
      <c r="U510" s="125">
        <f t="shared" ca="1" si="117"/>
        <v>0</v>
      </c>
      <c r="V510" s="126" t="s">
        <v>156</v>
      </c>
      <c r="W510" s="124">
        <f ca="1">IF($C510="S",ROUND(IF(TIPOORCAMENTO="Proposto",ORÇAMENTO.CustoUnitario*(1+$AH510),ORÇAMENTO.PrecoUnitarioLicitado),15-13*$AF$10),0)</f>
        <v>0</v>
      </c>
      <c r="X510" s="127">
        <f ca="1">IF($C510="S",IF(Import.TipoArredondamento&lt;&gt;"TransfereGOV",VTOTAL1,SUM(OFFSET(CÁLCULO!$AI$15,ROW($X510)-ROW($X$15),1):OFFSET(CÁLCULO!$BB$15,ROW($X510)-ROW($X$15),-1))),IF($C510=0,0,ROUND(SomaAgrup,15-13*$AF$11)))</f>
        <v>0</v>
      </c>
      <c r="Y510" s="128" t="s">
        <v>245</v>
      </c>
      <c r="Z510" t="str">
        <f t="shared" ca="1" si="130"/>
        <v/>
      </c>
      <c r="AA510" s="129">
        <f ca="1">IF($C510="S",IF($Z510="CP",$X510,IF($Z510="RA",(($X510)*QCI!$AA$3),0)),SomaAgrup)</f>
        <v>0</v>
      </c>
      <c r="AB510" s="130">
        <f t="shared" ca="1" si="131"/>
        <v>0</v>
      </c>
      <c r="AC510" s="131" t="str">
        <f ca="1">IF($N510="","",IF(ORÇAMENTO.Descricao="","DESCRIÇÃO",IF(AND($C510="S",ORÇAMENTO.Unidade=""),"UNIDADE",IF($X510&lt;0,"VALOR NEGATIVO",IF(OR(AND(TIPOORCAMENTO="Proposto",$AG510&lt;&gt;"",$AG510&gt;0,ORÇAMENTO.CustoUnitario&gt;$AG510),AND(TIPOORCAMENTO="LICITADO",ORÇAMENTO.PrecoUnitarioLicitado&gt;$AN510)),"ACIMA REF.","")))))</f>
        <v/>
      </c>
      <c r="AD510" t="str">
        <f ca="1">IF(C510&lt;=CRONO.NivelExibicao,MAX($AD$15:OFFSET(AD510,-1,0))+IF($C510&lt;&gt;1,1,MAX(1,COUNTIF(QCI!$A$13:$A$24,OFFSET($E510,-1,0)))),"")</f>
        <v/>
      </c>
      <c r="AE510" s="7" t="str">
        <f ca="1">IF(AND($C510="S",ORÇAMENTO.CodBarra&lt;&gt;""),IF(ORÇAMENTO.Fonte="",ORÇAMENTO.CodBarra,CONCATENATE(ORÇAMENTO.Fonte," ",ORÇAMENTO.CodBarra)))</f>
        <v>SINAPI 92998</v>
      </c>
      <c r="AF510" s="13" t="str">
        <f ca="1">IF(ISERROR(INDIRECT(ORÇAMENTO.BancoRef)),"(abra o arquivo 'Referência "&amp;Excel_BuiltIn_Database&amp;".xlsm)",IF(OR($C510&lt;&gt;"S",ORÇAMENTO.CodBarra=""),"(Sem Código)",IF(ISERROR(MATCH($AE510,INDIRECT(ORÇAMENTO.BancoRef),0)),"(Código não identificado nas referências)",MATCH($AE510,INDIRECT(ORÇAMENTO.BancoRef),0))))</f>
        <v>(abra o arquivo 'Referência 06-2024.xlsm)</v>
      </c>
      <c r="AG510" s="498">
        <f ca="1">ROUND(IF(DESONERACAO="sim",REFERENCIA.Desonerado,REFERENCIA.NaoDesonerado),2)</f>
        <v>0</v>
      </c>
      <c r="AH510" s="499">
        <f t="shared" ca="1" si="132"/>
        <v>0.2432</v>
      </c>
      <c r="AJ510" s="501"/>
      <c r="AL510" s="527"/>
      <c r="AM510" s="381">
        <f t="shared" ca="1" si="133"/>
        <v>0</v>
      </c>
      <c r="AN510" s="566">
        <f t="shared" ca="1" si="134"/>
        <v>0</v>
      </c>
    </row>
    <row r="511" spans="1:40" ht="38.25" x14ac:dyDescent="0.2">
      <c r="A511" t="str">
        <f t="shared" si="119"/>
        <v>S</v>
      </c>
      <c r="B511">
        <f t="shared" ca="1" si="120"/>
        <v>2</v>
      </c>
      <c r="C511" t="str">
        <f t="shared" ca="1" si="121"/>
        <v>S</v>
      </c>
      <c r="D511">
        <f t="shared" ca="1" si="122"/>
        <v>0</v>
      </c>
      <c r="E511">
        <f ca="1">IF($C511=1,OFFSET(E511,-1,0)+MAX(1,COUNTIF(QCI!$A$13:$A$24,OFFSET(ORÇAMENTO!E511,-1,0))),OFFSET(E511,-1,0))</f>
        <v>1</v>
      </c>
      <c r="F511">
        <f t="shared" ca="1" si="123"/>
        <v>53</v>
      </c>
      <c r="G511">
        <f t="shared" ca="1" si="124"/>
        <v>0</v>
      </c>
      <c r="H511">
        <f t="shared" ca="1" si="125"/>
        <v>0</v>
      </c>
      <c r="I511">
        <f t="shared" ca="1" si="126"/>
        <v>0</v>
      </c>
      <c r="J511">
        <f t="shared" ca="1" si="118"/>
        <v>0</v>
      </c>
      <c r="K511">
        <f ca="1">IF(OR($C511="S",$C511=0),0,MATCH(OFFSET($D511,0,$C511)+IF($C511&lt;&gt;1,1,COUNTIF(QCI!$A$13:$A$24,ORÇAMENTO!E511)),OFFSET($D511,1,$C511,ROW($C$727)-ROW($C511)),0))</f>
        <v>0</v>
      </c>
      <c r="L511" s="116" t="str">
        <f t="shared" ca="1" si="127"/>
        <v/>
      </c>
      <c r="M511" s="117" t="s">
        <v>199</v>
      </c>
      <c r="N511" s="118" t="str">
        <f t="shared" ca="1" si="128"/>
        <v>Serviço</v>
      </c>
      <c r="O511" s="119" t="str">
        <f t="shared" ca="1" si="129"/>
        <v>-</v>
      </c>
      <c r="P511" s="120" t="s">
        <v>247</v>
      </c>
      <c r="Q511" s="121" t="s">
        <v>870</v>
      </c>
      <c r="R511" s="122" t="str">
        <f ca="1">IF($C511="S",REFERENCIA.Descricao,"(digite a descrição aqui)")</f>
        <v>(abra o arquivo 'Referência 06-2024.xlsm)</v>
      </c>
      <c r="S511" s="123" t="str">
        <f ca="1">REFERENCIA.Unidade</f>
        <v>-</v>
      </c>
      <c r="T511" s="124">
        <f ca="1">OFFSET(CÁLCULO!H$15,ROW($T511)-ROW(T$15),0)</f>
        <v>188.4</v>
      </c>
      <c r="U511" s="125">
        <f t="shared" ca="1" si="117"/>
        <v>0</v>
      </c>
      <c r="V511" s="126" t="s">
        <v>156</v>
      </c>
      <c r="W511" s="124">
        <f ca="1">IF($C511="S",ROUND(IF(TIPOORCAMENTO="Proposto",ORÇAMENTO.CustoUnitario*(1+$AH511),ORÇAMENTO.PrecoUnitarioLicitado),15-13*$AF$10),0)</f>
        <v>0</v>
      </c>
      <c r="X511" s="127">
        <f ca="1">IF($C511="S",IF(Import.TipoArredondamento&lt;&gt;"TransfereGOV",VTOTAL1,SUM(OFFSET(CÁLCULO!$AI$15,ROW($X511)-ROW($X$15),1):OFFSET(CÁLCULO!$BB$15,ROW($X511)-ROW($X$15),-1))),IF($C511=0,0,ROUND(SomaAgrup,15-13*$AF$11)))</f>
        <v>0</v>
      </c>
      <c r="Y511" s="128" t="s">
        <v>245</v>
      </c>
      <c r="Z511" t="str">
        <f t="shared" ca="1" si="130"/>
        <v/>
      </c>
      <c r="AA511" s="129">
        <f ca="1">IF($C511="S",IF($Z511="CP",$X511,IF($Z511="RA",(($X511)*QCI!$AA$3),0)),SomaAgrup)</f>
        <v>0</v>
      </c>
      <c r="AB511" s="130">
        <f t="shared" ca="1" si="131"/>
        <v>0</v>
      </c>
      <c r="AC511" s="131" t="str">
        <f ca="1">IF($N511="","",IF(ORÇAMENTO.Descricao="","DESCRIÇÃO",IF(AND($C511="S",ORÇAMENTO.Unidade=""),"UNIDADE",IF($X511&lt;0,"VALOR NEGATIVO",IF(OR(AND(TIPOORCAMENTO="Proposto",$AG511&lt;&gt;"",$AG511&gt;0,ORÇAMENTO.CustoUnitario&gt;$AG511),AND(TIPOORCAMENTO="LICITADO",ORÇAMENTO.PrecoUnitarioLicitado&gt;$AN511)),"ACIMA REF.","")))))</f>
        <v/>
      </c>
      <c r="AD511" t="str">
        <f ca="1">IF(C511&lt;=CRONO.NivelExibicao,MAX($AD$15:OFFSET(AD511,-1,0))+IF($C511&lt;&gt;1,1,MAX(1,COUNTIF(QCI!$A$13:$A$24,OFFSET($E511,-1,0)))),"")</f>
        <v/>
      </c>
      <c r="AE511" s="7" t="str">
        <f ca="1">IF(AND($C511="S",ORÇAMENTO.CodBarra&lt;&gt;""),IF(ORÇAMENTO.Fonte="",ORÇAMENTO.CodBarra,CONCATENATE(ORÇAMENTO.Fonte," ",ORÇAMENTO.CodBarra)))</f>
        <v>SINAPI 93002</v>
      </c>
      <c r="AF511" s="13" t="str">
        <f ca="1">IF(ISERROR(INDIRECT(ORÇAMENTO.BancoRef)),"(abra o arquivo 'Referência "&amp;Excel_BuiltIn_Database&amp;".xlsm)",IF(OR($C511&lt;&gt;"S",ORÇAMENTO.CodBarra=""),"(Sem Código)",IF(ISERROR(MATCH($AE511,INDIRECT(ORÇAMENTO.BancoRef),0)),"(Código não identificado nas referências)",MATCH($AE511,INDIRECT(ORÇAMENTO.BancoRef),0))))</f>
        <v>(abra o arquivo 'Referência 06-2024.xlsm)</v>
      </c>
      <c r="AG511" s="498">
        <f ca="1">ROUND(IF(DESONERACAO="sim",REFERENCIA.Desonerado,REFERENCIA.NaoDesonerado),2)</f>
        <v>0</v>
      </c>
      <c r="AH511" s="499">
        <f t="shared" ca="1" si="132"/>
        <v>0.2432</v>
      </c>
      <c r="AJ511" s="501"/>
      <c r="AL511" s="527"/>
      <c r="AM511" s="381">
        <f t="shared" ca="1" si="133"/>
        <v>0</v>
      </c>
      <c r="AN511" s="566">
        <f t="shared" ca="1" si="134"/>
        <v>0</v>
      </c>
    </row>
    <row r="512" spans="1:40" ht="38.25" x14ac:dyDescent="0.2">
      <c r="A512" t="str">
        <f t="shared" si="119"/>
        <v>S</v>
      </c>
      <c r="B512">
        <f t="shared" ca="1" si="120"/>
        <v>2</v>
      </c>
      <c r="C512" t="str">
        <f t="shared" ca="1" si="121"/>
        <v>S</v>
      </c>
      <c r="D512">
        <f t="shared" ca="1" si="122"/>
        <v>0</v>
      </c>
      <c r="E512">
        <f ca="1">IF($C512=1,OFFSET(E512,-1,0)+MAX(1,COUNTIF(QCI!$A$13:$A$24,OFFSET(ORÇAMENTO!E512,-1,0))),OFFSET(E512,-1,0))</f>
        <v>1</v>
      </c>
      <c r="F512">
        <f t="shared" ca="1" si="123"/>
        <v>53</v>
      </c>
      <c r="G512">
        <f t="shared" ca="1" si="124"/>
        <v>0</v>
      </c>
      <c r="H512">
        <f t="shared" ca="1" si="125"/>
        <v>0</v>
      </c>
      <c r="I512">
        <f t="shared" ca="1" si="126"/>
        <v>0</v>
      </c>
      <c r="J512">
        <f t="shared" ca="1" si="118"/>
        <v>0</v>
      </c>
      <c r="K512">
        <f ca="1">IF(OR($C512="S",$C512=0),0,MATCH(OFFSET($D512,0,$C512)+IF($C512&lt;&gt;1,1,COUNTIF(QCI!$A$13:$A$24,ORÇAMENTO!E512)),OFFSET($D512,1,$C512,ROW($C$727)-ROW($C512)),0))</f>
        <v>0</v>
      </c>
      <c r="L512" s="116" t="str">
        <f t="shared" ca="1" si="127"/>
        <v/>
      </c>
      <c r="M512" s="117" t="s">
        <v>199</v>
      </c>
      <c r="N512" s="118" t="str">
        <f t="shared" ca="1" si="128"/>
        <v>Serviço</v>
      </c>
      <c r="O512" s="119" t="str">
        <f t="shared" ca="1" si="129"/>
        <v>-</v>
      </c>
      <c r="P512" s="120" t="s">
        <v>247</v>
      </c>
      <c r="Q512" s="121" t="s">
        <v>871</v>
      </c>
      <c r="R512" s="122" t="str">
        <f ca="1">IF($C512="S",REFERENCIA.Descricao,"(digite a descrição aqui)")</f>
        <v>(abra o arquivo 'Referência 06-2024.xlsm)</v>
      </c>
      <c r="S512" s="123" t="str">
        <f ca="1">REFERENCIA.Unidade</f>
        <v>-</v>
      </c>
      <c r="T512" s="124">
        <f ca="1">OFFSET(CÁLCULO!H$15,ROW($T512)-ROW(T$15),0)</f>
        <v>288.5</v>
      </c>
      <c r="U512" s="125">
        <f t="shared" ca="1" si="117"/>
        <v>0</v>
      </c>
      <c r="V512" s="126" t="s">
        <v>156</v>
      </c>
      <c r="W512" s="124">
        <f ca="1">IF($C512="S",ROUND(IF(TIPOORCAMENTO="Proposto",ORÇAMENTO.CustoUnitario*(1+$AH512),ORÇAMENTO.PrecoUnitarioLicitado),15-13*$AF$10),0)</f>
        <v>0</v>
      </c>
      <c r="X512" s="127">
        <f ca="1">IF($C512="S",IF(Import.TipoArredondamento&lt;&gt;"TransfereGOV",VTOTAL1,SUM(OFFSET(CÁLCULO!$AI$15,ROW($X512)-ROW($X$15),1):OFFSET(CÁLCULO!$BB$15,ROW($X512)-ROW($X$15),-1))),IF($C512=0,0,ROUND(SomaAgrup,15-13*$AF$11)))</f>
        <v>0</v>
      </c>
      <c r="Y512" s="128" t="s">
        <v>245</v>
      </c>
      <c r="Z512" t="str">
        <f t="shared" ca="1" si="130"/>
        <v/>
      </c>
      <c r="AA512" s="129">
        <f ca="1">IF($C512="S",IF($Z512="CP",$X512,IF($Z512="RA",(($X512)*QCI!$AA$3),0)),SomaAgrup)</f>
        <v>0</v>
      </c>
      <c r="AB512" s="130">
        <f t="shared" ca="1" si="131"/>
        <v>0</v>
      </c>
      <c r="AC512" s="131" t="str">
        <f ca="1">IF($N512="","",IF(ORÇAMENTO.Descricao="","DESCRIÇÃO",IF(AND($C512="S",ORÇAMENTO.Unidade=""),"UNIDADE",IF($X512&lt;0,"VALOR NEGATIVO",IF(OR(AND(TIPOORCAMENTO="Proposto",$AG512&lt;&gt;"",$AG512&gt;0,ORÇAMENTO.CustoUnitario&gt;$AG512),AND(TIPOORCAMENTO="LICITADO",ORÇAMENTO.PrecoUnitarioLicitado&gt;$AN512)),"ACIMA REF.","")))))</f>
        <v/>
      </c>
      <c r="AD512" t="str">
        <f ca="1">IF(C512&lt;=CRONO.NivelExibicao,MAX($AD$15:OFFSET(AD512,-1,0))+IF($C512&lt;&gt;1,1,MAX(1,COUNTIF(QCI!$A$13:$A$24,OFFSET($E512,-1,0)))),"")</f>
        <v/>
      </c>
      <c r="AE512" s="7" t="str">
        <f ca="1">IF(AND($C512="S",ORÇAMENTO.CodBarra&lt;&gt;""),IF(ORÇAMENTO.Fonte="",ORÇAMENTO.CodBarra,CONCATENATE(ORÇAMENTO.Fonte," ",ORÇAMENTO.CodBarra)))</f>
        <v>SINAPI 91932</v>
      </c>
      <c r="AF512" s="13" t="str">
        <f ca="1">IF(ISERROR(INDIRECT(ORÇAMENTO.BancoRef)),"(abra o arquivo 'Referência "&amp;Excel_BuiltIn_Database&amp;".xlsm)",IF(OR($C512&lt;&gt;"S",ORÇAMENTO.CodBarra=""),"(Sem Código)",IF(ISERROR(MATCH($AE512,INDIRECT(ORÇAMENTO.BancoRef),0)),"(Código não identificado nas referências)",MATCH($AE512,INDIRECT(ORÇAMENTO.BancoRef),0))))</f>
        <v>(abra o arquivo 'Referência 06-2024.xlsm)</v>
      </c>
      <c r="AG512" s="498">
        <f ca="1">ROUND(IF(DESONERACAO="sim",REFERENCIA.Desonerado,REFERENCIA.NaoDesonerado),2)</f>
        <v>0</v>
      </c>
      <c r="AH512" s="499">
        <f t="shared" ca="1" si="132"/>
        <v>0.2432</v>
      </c>
      <c r="AJ512" s="501"/>
      <c r="AL512" s="527"/>
      <c r="AM512" s="381">
        <f t="shared" ca="1" si="133"/>
        <v>0</v>
      </c>
      <c r="AN512" s="566">
        <f t="shared" ca="1" si="134"/>
        <v>0</v>
      </c>
    </row>
    <row r="513" spans="1:40" ht="38.25" x14ac:dyDescent="0.2">
      <c r="A513" t="str">
        <f t="shared" si="119"/>
        <v>S</v>
      </c>
      <c r="B513">
        <f t="shared" ca="1" si="120"/>
        <v>2</v>
      </c>
      <c r="C513" t="str">
        <f t="shared" ca="1" si="121"/>
        <v>S</v>
      </c>
      <c r="D513">
        <f t="shared" ca="1" si="122"/>
        <v>0</v>
      </c>
      <c r="E513">
        <f ca="1">IF($C513=1,OFFSET(E513,-1,0)+MAX(1,COUNTIF(QCI!$A$13:$A$24,OFFSET(ORÇAMENTO!E513,-1,0))),OFFSET(E513,-1,0))</f>
        <v>1</v>
      </c>
      <c r="F513">
        <f t="shared" ca="1" si="123"/>
        <v>53</v>
      </c>
      <c r="G513">
        <f t="shared" ca="1" si="124"/>
        <v>0</v>
      </c>
      <c r="H513">
        <f t="shared" ca="1" si="125"/>
        <v>0</v>
      </c>
      <c r="I513">
        <f t="shared" ca="1" si="126"/>
        <v>0</v>
      </c>
      <c r="J513">
        <f t="shared" ca="1" si="118"/>
        <v>0</v>
      </c>
      <c r="K513">
        <f ca="1">IF(OR($C513="S",$C513=0),0,MATCH(OFFSET($D513,0,$C513)+IF($C513&lt;&gt;1,1,COUNTIF(QCI!$A$13:$A$24,ORÇAMENTO!E513)),OFFSET($D513,1,$C513,ROW($C$727)-ROW($C513)),0))</f>
        <v>0</v>
      </c>
      <c r="L513" s="116" t="str">
        <f t="shared" ca="1" si="127"/>
        <v/>
      </c>
      <c r="M513" s="117" t="s">
        <v>199</v>
      </c>
      <c r="N513" s="118" t="str">
        <f t="shared" ca="1" si="128"/>
        <v>Serviço</v>
      </c>
      <c r="O513" s="119" t="str">
        <f t="shared" ca="1" si="129"/>
        <v>-</v>
      </c>
      <c r="P513" s="120" t="s">
        <v>247</v>
      </c>
      <c r="Q513" s="121" t="s">
        <v>868</v>
      </c>
      <c r="R513" s="122" t="str">
        <f ca="1">IF($C513="S",REFERENCIA.Descricao,"(digite a descrição aqui)")</f>
        <v>(abra o arquivo 'Referência 06-2024.xlsm)</v>
      </c>
      <c r="S513" s="123" t="str">
        <f ca="1">REFERENCIA.Unidade</f>
        <v>-</v>
      </c>
      <c r="T513" s="124">
        <f ca="1">OFFSET(CÁLCULO!H$15,ROW($T513)-ROW(T$15),0)</f>
        <v>35.799999999999997</v>
      </c>
      <c r="U513" s="125">
        <f t="shared" ca="1" si="117"/>
        <v>0</v>
      </c>
      <c r="V513" s="126" t="s">
        <v>156</v>
      </c>
      <c r="W513" s="124">
        <f ca="1">IF($C513="S",ROUND(IF(TIPOORCAMENTO="Proposto",ORÇAMENTO.CustoUnitario*(1+$AH513),ORÇAMENTO.PrecoUnitarioLicitado),15-13*$AF$10),0)</f>
        <v>0</v>
      </c>
      <c r="X513" s="127">
        <f ca="1">IF($C513="S",IF(Import.TipoArredondamento&lt;&gt;"TransfereGOV",VTOTAL1,SUM(OFFSET(CÁLCULO!$AI$15,ROW($X513)-ROW($X$15),1):OFFSET(CÁLCULO!$BB$15,ROW($X513)-ROW($X$15),-1))),IF($C513=0,0,ROUND(SomaAgrup,15-13*$AF$11)))</f>
        <v>0</v>
      </c>
      <c r="Y513" s="128" t="s">
        <v>245</v>
      </c>
      <c r="Z513" t="str">
        <f t="shared" ca="1" si="130"/>
        <v/>
      </c>
      <c r="AA513" s="129">
        <f ca="1">IF($C513="S",IF($Z513="CP",$X513,IF($Z513="RA",(($X513)*QCI!$AA$3),0)),SomaAgrup)</f>
        <v>0</v>
      </c>
      <c r="AB513" s="130">
        <f t="shared" ca="1" si="131"/>
        <v>0</v>
      </c>
      <c r="AC513" s="131" t="str">
        <f ca="1">IF($N513="","",IF(ORÇAMENTO.Descricao="","DESCRIÇÃO",IF(AND($C513="S",ORÇAMENTO.Unidade=""),"UNIDADE",IF($X513&lt;0,"VALOR NEGATIVO",IF(OR(AND(TIPOORCAMENTO="Proposto",$AG513&lt;&gt;"",$AG513&gt;0,ORÇAMENTO.CustoUnitario&gt;$AG513),AND(TIPOORCAMENTO="LICITADO",ORÇAMENTO.PrecoUnitarioLicitado&gt;$AN513)),"ACIMA REF.","")))))</f>
        <v/>
      </c>
      <c r="AD513" t="str">
        <f ca="1">IF(C513&lt;=CRONO.NivelExibicao,MAX($AD$15:OFFSET(AD513,-1,0))+IF($C513&lt;&gt;1,1,MAX(1,COUNTIF(QCI!$A$13:$A$24,OFFSET($E513,-1,0)))),"")</f>
        <v/>
      </c>
      <c r="AE513" s="7" t="str">
        <f ca="1">IF(AND($C513="S",ORÇAMENTO.CodBarra&lt;&gt;""),IF(ORÇAMENTO.Fonte="",ORÇAMENTO.CodBarra,CONCATENATE(ORÇAMENTO.Fonte," ",ORÇAMENTO.CodBarra)))</f>
        <v>SINAPI 92996</v>
      </c>
      <c r="AF513" s="13" t="str">
        <f ca="1">IF(ISERROR(INDIRECT(ORÇAMENTO.BancoRef)),"(abra o arquivo 'Referência "&amp;Excel_BuiltIn_Database&amp;".xlsm)",IF(OR($C513&lt;&gt;"S",ORÇAMENTO.CodBarra=""),"(Sem Código)",IF(ISERROR(MATCH($AE513,INDIRECT(ORÇAMENTO.BancoRef),0)),"(Código não identificado nas referências)",MATCH($AE513,INDIRECT(ORÇAMENTO.BancoRef),0))))</f>
        <v>(abra o arquivo 'Referência 06-2024.xlsm)</v>
      </c>
      <c r="AG513" s="498">
        <f ca="1">ROUND(IF(DESONERACAO="sim",REFERENCIA.Desonerado,REFERENCIA.NaoDesonerado),2)</f>
        <v>0</v>
      </c>
      <c r="AH513" s="499">
        <f t="shared" ca="1" si="132"/>
        <v>0.2432</v>
      </c>
      <c r="AJ513" s="501"/>
      <c r="AL513" s="527"/>
      <c r="AM513" s="381">
        <f t="shared" ca="1" si="133"/>
        <v>0</v>
      </c>
      <c r="AN513" s="566">
        <f t="shared" ca="1" si="134"/>
        <v>0</v>
      </c>
    </row>
    <row r="514" spans="1:40" ht="38.25" x14ac:dyDescent="0.2">
      <c r="A514" t="str">
        <f t="shared" si="119"/>
        <v>S</v>
      </c>
      <c r="B514">
        <f t="shared" ca="1" si="120"/>
        <v>2</v>
      </c>
      <c r="C514" t="str">
        <f t="shared" ca="1" si="121"/>
        <v>S</v>
      </c>
      <c r="D514">
        <f t="shared" ca="1" si="122"/>
        <v>0</v>
      </c>
      <c r="E514">
        <f ca="1">IF($C514=1,OFFSET(E514,-1,0)+MAX(1,COUNTIF(QCI!$A$13:$A$24,OFFSET(ORÇAMENTO!E514,-1,0))),OFFSET(E514,-1,0))</f>
        <v>1</v>
      </c>
      <c r="F514">
        <f t="shared" ca="1" si="123"/>
        <v>53</v>
      </c>
      <c r="G514">
        <f t="shared" ca="1" si="124"/>
        <v>0</v>
      </c>
      <c r="H514">
        <f t="shared" ca="1" si="125"/>
        <v>0</v>
      </c>
      <c r="I514">
        <f t="shared" ca="1" si="126"/>
        <v>0</v>
      </c>
      <c r="J514">
        <f t="shared" ca="1" si="118"/>
        <v>0</v>
      </c>
      <c r="K514">
        <f ca="1">IF(OR($C514="S",$C514=0),0,MATCH(OFFSET($D514,0,$C514)+IF($C514&lt;&gt;1,1,COUNTIF(QCI!$A$13:$A$24,ORÇAMENTO!E514)),OFFSET($D514,1,$C514,ROW($C$727)-ROW($C514)),0))</f>
        <v>0</v>
      </c>
      <c r="L514" s="116" t="str">
        <f t="shared" ca="1" si="127"/>
        <v/>
      </c>
      <c r="M514" s="117" t="s">
        <v>199</v>
      </c>
      <c r="N514" s="118" t="str">
        <f t="shared" ca="1" si="128"/>
        <v>Serviço</v>
      </c>
      <c r="O514" s="119" t="str">
        <f t="shared" ca="1" si="129"/>
        <v>-</v>
      </c>
      <c r="P514" s="120" t="s">
        <v>247</v>
      </c>
      <c r="Q514" s="121" t="s">
        <v>872</v>
      </c>
      <c r="R514" s="122" t="str">
        <f ca="1">IF($C514="S",REFERENCIA.Descricao,"(digite a descrição aqui)")</f>
        <v>(abra o arquivo 'Referência 06-2024.xlsm)</v>
      </c>
      <c r="S514" s="123" t="str">
        <f ca="1">REFERENCIA.Unidade</f>
        <v>-</v>
      </c>
      <c r="T514" s="124">
        <f ca="1">OFFSET(CÁLCULO!H$15,ROW($T514)-ROW(T$15),0)</f>
        <v>75.8</v>
      </c>
      <c r="U514" s="125">
        <f t="shared" ca="1" si="117"/>
        <v>0</v>
      </c>
      <c r="V514" s="126" t="s">
        <v>156</v>
      </c>
      <c r="W514" s="124">
        <f ca="1">IF($C514="S",ROUND(IF(TIPOORCAMENTO="Proposto",ORÇAMENTO.CustoUnitario*(1+$AH514),ORÇAMENTO.PrecoUnitarioLicitado),15-13*$AF$10),0)</f>
        <v>0</v>
      </c>
      <c r="X514" s="127">
        <f ca="1">IF($C514="S",IF(Import.TipoArredondamento&lt;&gt;"TransfereGOV",VTOTAL1,SUM(OFFSET(CÁLCULO!$AI$15,ROW($X514)-ROW($X$15),1):OFFSET(CÁLCULO!$BB$15,ROW($X514)-ROW($X$15),-1))),IF($C514=0,0,ROUND(SomaAgrup,15-13*$AF$11)))</f>
        <v>0</v>
      </c>
      <c r="Y514" s="128" t="s">
        <v>245</v>
      </c>
      <c r="Z514" t="str">
        <f t="shared" ca="1" si="130"/>
        <v/>
      </c>
      <c r="AA514" s="129">
        <f ca="1">IF($C514="S",IF($Z514="CP",$X514,IF($Z514="RA",(($X514)*QCI!$AA$3),0)),SomaAgrup)</f>
        <v>0</v>
      </c>
      <c r="AB514" s="130">
        <f t="shared" ca="1" si="131"/>
        <v>0</v>
      </c>
      <c r="AC514" s="131" t="str">
        <f ca="1">IF($N514="","",IF(ORÇAMENTO.Descricao="","DESCRIÇÃO",IF(AND($C514="S",ORÇAMENTO.Unidade=""),"UNIDADE",IF($X514&lt;0,"VALOR NEGATIVO",IF(OR(AND(TIPOORCAMENTO="Proposto",$AG514&lt;&gt;"",$AG514&gt;0,ORÇAMENTO.CustoUnitario&gt;$AG514),AND(TIPOORCAMENTO="LICITADO",ORÇAMENTO.PrecoUnitarioLicitado&gt;$AN514)),"ACIMA REF.","")))))</f>
        <v/>
      </c>
      <c r="AD514" t="str">
        <f ca="1">IF(C514&lt;=CRONO.NivelExibicao,MAX($AD$15:OFFSET(AD514,-1,0))+IF($C514&lt;&gt;1,1,MAX(1,COUNTIF(QCI!$A$13:$A$24,OFFSET($E514,-1,0)))),"")</f>
        <v/>
      </c>
      <c r="AE514" s="7" t="str">
        <f ca="1">IF(AND($C514="S",ORÇAMENTO.CodBarra&lt;&gt;""),IF(ORÇAMENTO.Fonte="",ORÇAMENTO.CodBarra,CONCATENATE(ORÇAMENTO.Fonte," ",ORÇAMENTO.CodBarra)))</f>
        <v>SINAPI 91935</v>
      </c>
      <c r="AF514" s="13" t="str">
        <f ca="1">IF(ISERROR(INDIRECT(ORÇAMENTO.BancoRef)),"(abra o arquivo 'Referência "&amp;Excel_BuiltIn_Database&amp;".xlsm)",IF(OR($C514&lt;&gt;"S",ORÇAMENTO.CodBarra=""),"(Sem Código)",IF(ISERROR(MATCH($AE514,INDIRECT(ORÇAMENTO.BancoRef),0)),"(Código não identificado nas referências)",MATCH($AE514,INDIRECT(ORÇAMENTO.BancoRef),0))))</f>
        <v>(abra o arquivo 'Referência 06-2024.xlsm)</v>
      </c>
      <c r="AG514" s="498">
        <f ca="1">ROUND(IF(DESONERACAO="sim",REFERENCIA.Desonerado,REFERENCIA.NaoDesonerado),2)</f>
        <v>0</v>
      </c>
      <c r="AH514" s="499">
        <f t="shared" ca="1" si="132"/>
        <v>0.2432</v>
      </c>
      <c r="AJ514" s="501"/>
      <c r="AL514" s="527"/>
      <c r="AM514" s="381">
        <f t="shared" ca="1" si="133"/>
        <v>0</v>
      </c>
      <c r="AN514" s="566">
        <f t="shared" ca="1" si="134"/>
        <v>0</v>
      </c>
    </row>
    <row r="515" spans="1:40" ht="38.25" x14ac:dyDescent="0.2">
      <c r="A515" t="str">
        <f t="shared" si="119"/>
        <v>S</v>
      </c>
      <c r="B515">
        <f t="shared" ca="1" si="120"/>
        <v>2</v>
      </c>
      <c r="C515" t="str">
        <f t="shared" ca="1" si="121"/>
        <v>S</v>
      </c>
      <c r="D515">
        <f t="shared" ca="1" si="122"/>
        <v>0</v>
      </c>
      <c r="E515">
        <f ca="1">IF($C515=1,OFFSET(E515,-1,0)+MAX(1,COUNTIF(QCI!$A$13:$A$24,OFFSET(ORÇAMENTO!E515,-1,0))),OFFSET(E515,-1,0))</f>
        <v>1</v>
      </c>
      <c r="F515">
        <f t="shared" ca="1" si="123"/>
        <v>53</v>
      </c>
      <c r="G515">
        <f t="shared" ca="1" si="124"/>
        <v>0</v>
      </c>
      <c r="H515">
        <f t="shared" ca="1" si="125"/>
        <v>0</v>
      </c>
      <c r="I515">
        <f t="shared" ca="1" si="126"/>
        <v>0</v>
      </c>
      <c r="J515">
        <f t="shared" ca="1" si="118"/>
        <v>0</v>
      </c>
      <c r="K515">
        <f ca="1">IF(OR($C515="S",$C515=0),0,MATCH(OFFSET($D515,0,$C515)+IF($C515&lt;&gt;1,1,COUNTIF(QCI!$A$13:$A$24,ORÇAMENTO!E515)),OFFSET($D515,1,$C515,ROW($C$727)-ROW($C515)),0))</f>
        <v>0</v>
      </c>
      <c r="L515" s="116" t="str">
        <f t="shared" ca="1" si="127"/>
        <v/>
      </c>
      <c r="M515" s="117" t="s">
        <v>199</v>
      </c>
      <c r="N515" s="118" t="str">
        <f t="shared" ca="1" si="128"/>
        <v>Serviço</v>
      </c>
      <c r="O515" s="119" t="str">
        <f t="shared" ca="1" si="129"/>
        <v>-</v>
      </c>
      <c r="P515" s="120" t="s">
        <v>247</v>
      </c>
      <c r="Q515" s="121" t="s">
        <v>873</v>
      </c>
      <c r="R515" s="122" t="str">
        <f ca="1">IF($C515="S",REFERENCIA.Descricao,"(digite a descrição aqui)")</f>
        <v>(abra o arquivo 'Referência 06-2024.xlsm)</v>
      </c>
      <c r="S515" s="123" t="str">
        <f ca="1">REFERENCIA.Unidade</f>
        <v>-</v>
      </c>
      <c r="T515" s="124">
        <f ca="1">OFFSET(CÁLCULO!H$15,ROW($T515)-ROW(T$15),0)</f>
        <v>59</v>
      </c>
      <c r="U515" s="125">
        <f t="shared" ca="1" si="117"/>
        <v>0</v>
      </c>
      <c r="V515" s="126" t="s">
        <v>156</v>
      </c>
      <c r="W515" s="124">
        <f ca="1">IF($C515="S",ROUND(IF(TIPOORCAMENTO="Proposto",ORÇAMENTO.CustoUnitario*(1+$AH515),ORÇAMENTO.PrecoUnitarioLicitado),15-13*$AF$10),0)</f>
        <v>0</v>
      </c>
      <c r="X515" s="127">
        <f ca="1">IF($C515="S",IF(Import.TipoArredondamento&lt;&gt;"TransfereGOV",VTOTAL1,SUM(OFFSET(CÁLCULO!$AI$15,ROW($X515)-ROW($X$15),1):OFFSET(CÁLCULO!$BB$15,ROW($X515)-ROW($X$15),-1))),IF($C515=0,0,ROUND(SomaAgrup,15-13*$AF$11)))</f>
        <v>0</v>
      </c>
      <c r="Y515" s="128" t="s">
        <v>245</v>
      </c>
      <c r="Z515" t="str">
        <f t="shared" ca="1" si="130"/>
        <v/>
      </c>
      <c r="AA515" s="129">
        <f ca="1">IF($C515="S",IF($Z515="CP",$X515,IF($Z515="RA",(($X515)*QCI!$AA$3),0)),SomaAgrup)</f>
        <v>0</v>
      </c>
      <c r="AB515" s="130">
        <f t="shared" ca="1" si="131"/>
        <v>0</v>
      </c>
      <c r="AC515" s="131" t="str">
        <f ca="1">IF($N515="","",IF(ORÇAMENTO.Descricao="","DESCRIÇÃO",IF(AND($C515="S",ORÇAMENTO.Unidade=""),"UNIDADE",IF($X515&lt;0,"VALOR NEGATIVO",IF(OR(AND(TIPOORCAMENTO="Proposto",$AG515&lt;&gt;"",$AG515&gt;0,ORÇAMENTO.CustoUnitario&gt;$AG515),AND(TIPOORCAMENTO="LICITADO",ORÇAMENTO.PrecoUnitarioLicitado&gt;$AN515)),"ACIMA REF.","")))))</f>
        <v/>
      </c>
      <c r="AD515" t="str">
        <f ca="1">IF(C515&lt;=CRONO.NivelExibicao,MAX($AD$15:OFFSET(AD515,-1,0))+IF($C515&lt;&gt;1,1,MAX(1,COUNTIF(QCI!$A$13:$A$24,OFFSET($E515,-1,0)))),"")</f>
        <v/>
      </c>
      <c r="AE515" s="7" t="str">
        <f ca="1">IF(AND($C515="S",ORÇAMENTO.CodBarra&lt;&gt;""),IF(ORÇAMENTO.Fonte="",ORÇAMENTO.CodBarra,CONCATENATE(ORÇAMENTO.Fonte," ",ORÇAMENTO.CodBarra)))</f>
        <v>SINAPI 91929</v>
      </c>
      <c r="AF515" s="13" t="str">
        <f ca="1">IF(ISERROR(INDIRECT(ORÇAMENTO.BancoRef)),"(abra o arquivo 'Referência "&amp;Excel_BuiltIn_Database&amp;".xlsm)",IF(OR($C515&lt;&gt;"S",ORÇAMENTO.CodBarra=""),"(Sem Código)",IF(ISERROR(MATCH($AE515,INDIRECT(ORÇAMENTO.BancoRef),0)),"(Código não identificado nas referências)",MATCH($AE515,INDIRECT(ORÇAMENTO.BancoRef),0))))</f>
        <v>(abra o arquivo 'Referência 06-2024.xlsm)</v>
      </c>
      <c r="AG515" s="498">
        <f ca="1">ROUND(IF(DESONERACAO="sim",REFERENCIA.Desonerado,REFERENCIA.NaoDesonerado),2)</f>
        <v>0</v>
      </c>
      <c r="AH515" s="499">
        <f t="shared" ca="1" si="132"/>
        <v>0.2432</v>
      </c>
      <c r="AJ515" s="501"/>
      <c r="AL515" s="527"/>
      <c r="AM515" s="381">
        <f t="shared" ca="1" si="133"/>
        <v>0</v>
      </c>
      <c r="AN515" s="566">
        <f t="shared" ca="1" si="134"/>
        <v>0</v>
      </c>
    </row>
    <row r="516" spans="1:40" ht="38.25" x14ac:dyDescent="0.2">
      <c r="A516" t="str">
        <f t="shared" si="119"/>
        <v>S</v>
      </c>
      <c r="B516">
        <f t="shared" ca="1" si="120"/>
        <v>2</v>
      </c>
      <c r="C516" t="str">
        <f t="shared" ca="1" si="121"/>
        <v>S</v>
      </c>
      <c r="D516">
        <f t="shared" ca="1" si="122"/>
        <v>0</v>
      </c>
      <c r="E516">
        <f ca="1">IF($C516=1,OFFSET(E516,-1,0)+MAX(1,COUNTIF(QCI!$A$13:$A$24,OFFSET(ORÇAMENTO!E516,-1,0))),OFFSET(E516,-1,0))</f>
        <v>1</v>
      </c>
      <c r="F516">
        <f t="shared" ca="1" si="123"/>
        <v>53</v>
      </c>
      <c r="G516">
        <f t="shared" ca="1" si="124"/>
        <v>0</v>
      </c>
      <c r="H516">
        <f t="shared" ca="1" si="125"/>
        <v>0</v>
      </c>
      <c r="I516">
        <f t="shared" ca="1" si="126"/>
        <v>0</v>
      </c>
      <c r="J516">
        <f t="shared" ca="1" si="118"/>
        <v>0</v>
      </c>
      <c r="K516">
        <f ca="1">IF(OR($C516="S",$C516=0),0,MATCH(OFFSET($D516,0,$C516)+IF($C516&lt;&gt;1,1,COUNTIF(QCI!$A$13:$A$24,ORÇAMENTO!E516)),OFFSET($D516,1,$C516,ROW($C$727)-ROW($C516)),0))</f>
        <v>0</v>
      </c>
      <c r="L516" s="116" t="str">
        <f t="shared" ca="1" si="127"/>
        <v/>
      </c>
      <c r="M516" s="117" t="s">
        <v>199</v>
      </c>
      <c r="N516" s="118" t="str">
        <f t="shared" ca="1" si="128"/>
        <v>Serviço</v>
      </c>
      <c r="O516" s="119" t="str">
        <f t="shared" ca="1" si="129"/>
        <v>-</v>
      </c>
      <c r="P516" s="120" t="s">
        <v>247</v>
      </c>
      <c r="Q516" s="121" t="s">
        <v>874</v>
      </c>
      <c r="R516" s="122" t="str">
        <f ca="1">IF($C516="S",REFERENCIA.Descricao,"(digite a descrição aqui)")</f>
        <v>(abra o arquivo 'Referência 06-2024.xlsm)</v>
      </c>
      <c r="S516" s="123" t="str">
        <f ca="1">REFERENCIA.Unidade</f>
        <v>-</v>
      </c>
      <c r="T516" s="124">
        <f ca="1">OFFSET(CÁLCULO!H$15,ROW($T516)-ROW(T$15),0)</f>
        <v>129</v>
      </c>
      <c r="U516" s="125">
        <f t="shared" ref="U516:U574" ca="1" si="135">AG516</f>
        <v>0</v>
      </c>
      <c r="V516" s="126" t="s">
        <v>156</v>
      </c>
      <c r="W516" s="124">
        <f ca="1">IF($C516="S",ROUND(IF(TIPOORCAMENTO="Proposto",ORÇAMENTO.CustoUnitario*(1+$AH516),ORÇAMENTO.PrecoUnitarioLicitado),15-13*$AF$10),0)</f>
        <v>0</v>
      </c>
      <c r="X516" s="127">
        <f ca="1">IF($C516="S",IF(Import.TipoArredondamento&lt;&gt;"TransfereGOV",VTOTAL1,SUM(OFFSET(CÁLCULO!$AI$15,ROW($X516)-ROW($X$15),1):OFFSET(CÁLCULO!$BB$15,ROW($X516)-ROW($X$15),-1))),IF($C516=0,0,ROUND(SomaAgrup,15-13*$AF$11)))</f>
        <v>0</v>
      </c>
      <c r="Y516" s="128" t="s">
        <v>245</v>
      </c>
      <c r="Z516" t="str">
        <f t="shared" ca="1" si="130"/>
        <v/>
      </c>
      <c r="AA516" s="129">
        <f ca="1">IF($C516="S",IF($Z516="CP",$X516,IF($Z516="RA",(($X516)*QCI!$AA$3),0)),SomaAgrup)</f>
        <v>0</v>
      </c>
      <c r="AB516" s="130">
        <f t="shared" ca="1" si="131"/>
        <v>0</v>
      </c>
      <c r="AC516" s="131" t="str">
        <f ca="1">IF($N516="","",IF(ORÇAMENTO.Descricao="","DESCRIÇÃO",IF(AND($C516="S",ORÇAMENTO.Unidade=""),"UNIDADE",IF($X516&lt;0,"VALOR NEGATIVO",IF(OR(AND(TIPOORCAMENTO="Proposto",$AG516&lt;&gt;"",$AG516&gt;0,ORÇAMENTO.CustoUnitario&gt;$AG516),AND(TIPOORCAMENTO="LICITADO",ORÇAMENTO.PrecoUnitarioLicitado&gt;$AN516)),"ACIMA REF.","")))))</f>
        <v/>
      </c>
      <c r="AD516" t="str">
        <f ca="1">IF(C516&lt;=CRONO.NivelExibicao,MAX($AD$15:OFFSET(AD516,-1,0))+IF($C516&lt;&gt;1,1,MAX(1,COUNTIF(QCI!$A$13:$A$24,OFFSET($E516,-1,0)))),"")</f>
        <v/>
      </c>
      <c r="AE516" s="7" t="str">
        <f ca="1">IF(AND($C516="S",ORÇAMENTO.CodBarra&lt;&gt;""),IF(ORÇAMENTO.Fonte="",ORÇAMENTO.CodBarra,CONCATENATE(ORÇAMENTO.Fonte," ",ORÇAMENTO.CodBarra)))</f>
        <v>SINAPI 101564</v>
      </c>
      <c r="AF516" s="13" t="str">
        <f ca="1">IF(ISERROR(INDIRECT(ORÇAMENTO.BancoRef)),"(abra o arquivo 'Referência "&amp;Excel_BuiltIn_Database&amp;".xlsm)",IF(OR($C516&lt;&gt;"S",ORÇAMENTO.CodBarra=""),"(Sem Código)",IF(ISERROR(MATCH($AE516,INDIRECT(ORÇAMENTO.BancoRef),0)),"(Código não identificado nas referências)",MATCH($AE516,INDIRECT(ORÇAMENTO.BancoRef),0))))</f>
        <v>(abra o arquivo 'Referência 06-2024.xlsm)</v>
      </c>
      <c r="AG516" s="498">
        <f ca="1">ROUND(IF(DESONERACAO="sim",REFERENCIA.Desonerado,REFERENCIA.NaoDesonerado),2)</f>
        <v>0</v>
      </c>
      <c r="AH516" s="499">
        <f t="shared" ca="1" si="132"/>
        <v>0.2432</v>
      </c>
      <c r="AJ516" s="501"/>
      <c r="AL516" s="527"/>
      <c r="AM516" s="381">
        <f t="shared" ca="1" si="133"/>
        <v>0</v>
      </c>
      <c r="AN516" s="566">
        <f t="shared" ca="1" si="134"/>
        <v>0</v>
      </c>
    </row>
    <row r="517" spans="1:40" ht="38.25" x14ac:dyDescent="0.2">
      <c r="A517" t="str">
        <f t="shared" si="119"/>
        <v>S</v>
      </c>
      <c r="B517">
        <f t="shared" ca="1" si="120"/>
        <v>2</v>
      </c>
      <c r="C517" t="str">
        <f t="shared" ca="1" si="121"/>
        <v>S</v>
      </c>
      <c r="D517">
        <f t="shared" ca="1" si="122"/>
        <v>0</v>
      </c>
      <c r="E517">
        <f ca="1">IF($C517=1,OFFSET(E517,-1,0)+MAX(1,COUNTIF(QCI!$A$13:$A$24,OFFSET(ORÇAMENTO!E517,-1,0))),OFFSET(E517,-1,0))</f>
        <v>1</v>
      </c>
      <c r="F517">
        <f t="shared" ca="1" si="123"/>
        <v>53</v>
      </c>
      <c r="G517">
        <f t="shared" ca="1" si="124"/>
        <v>0</v>
      </c>
      <c r="H517">
        <f t="shared" ca="1" si="125"/>
        <v>0</v>
      </c>
      <c r="I517">
        <f t="shared" ca="1" si="126"/>
        <v>0</v>
      </c>
      <c r="J517">
        <f t="shared" ca="1" si="118"/>
        <v>0</v>
      </c>
      <c r="K517">
        <f ca="1">IF(OR($C517="S",$C517=0),0,MATCH(OFFSET($D517,0,$C517)+IF($C517&lt;&gt;1,1,COUNTIF(QCI!$A$13:$A$24,ORÇAMENTO!E517)),OFFSET($D517,1,$C517,ROW($C$727)-ROW($C517)),0))</f>
        <v>0</v>
      </c>
      <c r="L517" s="116" t="str">
        <f t="shared" ca="1" si="127"/>
        <v/>
      </c>
      <c r="M517" s="117" t="s">
        <v>199</v>
      </c>
      <c r="N517" s="118" t="str">
        <f t="shared" ca="1" si="128"/>
        <v>Serviço</v>
      </c>
      <c r="O517" s="119" t="str">
        <f t="shared" ca="1" si="129"/>
        <v>-</v>
      </c>
      <c r="P517" s="120" t="s">
        <v>247</v>
      </c>
      <c r="Q517" s="121" t="s">
        <v>875</v>
      </c>
      <c r="R517" s="122" t="str">
        <f ca="1">IF($C517="S",REFERENCIA.Descricao,"(digite a descrição aqui)")</f>
        <v>(abra o arquivo 'Referência 06-2024.xlsm)</v>
      </c>
      <c r="S517" s="123" t="str">
        <f ca="1">REFERENCIA.Unidade</f>
        <v>-</v>
      </c>
      <c r="T517" s="124">
        <f ca="1">OFFSET(CÁLCULO!H$15,ROW($T517)-ROW(T$15),0)</f>
        <v>739</v>
      </c>
      <c r="U517" s="125">
        <f t="shared" ca="1" si="135"/>
        <v>0</v>
      </c>
      <c r="V517" s="126" t="s">
        <v>156</v>
      </c>
      <c r="W517" s="124">
        <f ca="1">IF($C517="S",ROUND(IF(TIPOORCAMENTO="Proposto",ORÇAMENTO.CustoUnitario*(1+$AH517),ORÇAMENTO.PrecoUnitarioLicitado),15-13*$AF$10),0)</f>
        <v>0</v>
      </c>
      <c r="X517" s="127">
        <f ca="1">IF($C517="S",IF(Import.TipoArredondamento&lt;&gt;"TransfereGOV",VTOTAL1,SUM(OFFSET(CÁLCULO!$AI$15,ROW($X517)-ROW($X$15),1):OFFSET(CÁLCULO!$BB$15,ROW($X517)-ROW($X$15),-1))),IF($C517=0,0,ROUND(SomaAgrup,15-13*$AF$11)))</f>
        <v>0</v>
      </c>
      <c r="Y517" s="128" t="s">
        <v>245</v>
      </c>
      <c r="Z517" t="str">
        <f t="shared" ca="1" si="130"/>
        <v/>
      </c>
      <c r="AA517" s="129">
        <f ca="1">IF($C517="S",IF($Z517="CP",$X517,IF($Z517="RA",(($X517)*QCI!$AA$3),0)),SomaAgrup)</f>
        <v>0</v>
      </c>
      <c r="AB517" s="130">
        <f t="shared" ca="1" si="131"/>
        <v>0</v>
      </c>
      <c r="AC517" s="131" t="str">
        <f ca="1">IF($N517="","",IF(ORÇAMENTO.Descricao="","DESCRIÇÃO",IF(AND($C517="S",ORÇAMENTO.Unidade=""),"UNIDADE",IF($X517&lt;0,"VALOR NEGATIVO",IF(OR(AND(TIPOORCAMENTO="Proposto",$AG517&lt;&gt;"",$AG517&gt;0,ORÇAMENTO.CustoUnitario&gt;$AG517),AND(TIPOORCAMENTO="LICITADO",ORÇAMENTO.PrecoUnitarioLicitado&gt;$AN517)),"ACIMA REF.","")))))</f>
        <v/>
      </c>
      <c r="AD517" t="str">
        <f ca="1">IF(C517&lt;=CRONO.NivelExibicao,MAX($AD$15:OFFSET(AD517,-1,0))+IF($C517&lt;&gt;1,1,MAX(1,COUNTIF(QCI!$A$13:$A$24,OFFSET($E517,-1,0)))),"")</f>
        <v/>
      </c>
      <c r="AE517" s="7" t="str">
        <f ca="1">IF(AND($C517="S",ORÇAMENTO.CodBarra&lt;&gt;""),IF(ORÇAMENTO.Fonte="",ORÇAMENTO.CodBarra,CONCATENATE(ORÇAMENTO.Fonte," ",ORÇAMENTO.CodBarra)))</f>
        <v>SINAPI 91931</v>
      </c>
      <c r="AF517" s="13" t="str">
        <f ca="1">IF(ISERROR(INDIRECT(ORÇAMENTO.BancoRef)),"(abra o arquivo 'Referência "&amp;Excel_BuiltIn_Database&amp;".xlsm)",IF(OR($C517&lt;&gt;"S",ORÇAMENTO.CodBarra=""),"(Sem Código)",IF(ISERROR(MATCH($AE517,INDIRECT(ORÇAMENTO.BancoRef),0)),"(Código não identificado nas referências)",MATCH($AE517,INDIRECT(ORÇAMENTO.BancoRef),0))))</f>
        <v>(abra o arquivo 'Referência 06-2024.xlsm)</v>
      </c>
      <c r="AG517" s="498">
        <f ca="1">ROUND(IF(DESONERACAO="sim",REFERENCIA.Desonerado,REFERENCIA.NaoDesonerado),2)</f>
        <v>0</v>
      </c>
      <c r="AH517" s="499">
        <f t="shared" ca="1" si="132"/>
        <v>0.2432</v>
      </c>
      <c r="AJ517" s="501"/>
      <c r="AL517" s="527"/>
      <c r="AM517" s="381">
        <f t="shared" ca="1" si="133"/>
        <v>0</v>
      </c>
      <c r="AN517" s="566">
        <f t="shared" ca="1" si="134"/>
        <v>0</v>
      </c>
    </row>
    <row r="518" spans="1:40" ht="38.25" x14ac:dyDescent="0.2">
      <c r="A518" t="str">
        <f t="shared" si="119"/>
        <v>S</v>
      </c>
      <c r="B518">
        <f t="shared" ca="1" si="120"/>
        <v>2</v>
      </c>
      <c r="C518" t="str">
        <f t="shared" ca="1" si="121"/>
        <v>S</v>
      </c>
      <c r="D518">
        <f t="shared" ca="1" si="122"/>
        <v>0</v>
      </c>
      <c r="E518">
        <f ca="1">IF($C518=1,OFFSET(E518,-1,0)+MAX(1,COUNTIF(QCI!$A$13:$A$24,OFFSET(ORÇAMENTO!E518,-1,0))),OFFSET(E518,-1,0))</f>
        <v>1</v>
      </c>
      <c r="F518">
        <f t="shared" ca="1" si="123"/>
        <v>53</v>
      </c>
      <c r="G518">
        <f t="shared" ca="1" si="124"/>
        <v>0</v>
      </c>
      <c r="H518">
        <f t="shared" ca="1" si="125"/>
        <v>0</v>
      </c>
      <c r="I518">
        <f t="shared" ca="1" si="126"/>
        <v>0</v>
      </c>
      <c r="J518">
        <f t="shared" ca="1" si="118"/>
        <v>0</v>
      </c>
      <c r="K518">
        <f ca="1">IF(OR($C518="S",$C518=0),0,MATCH(OFFSET($D518,0,$C518)+IF($C518&lt;&gt;1,1,COUNTIF(QCI!$A$13:$A$24,ORÇAMENTO!E518)),OFFSET($D518,1,$C518,ROW($C$727)-ROW($C518)),0))</f>
        <v>0</v>
      </c>
      <c r="L518" s="116" t="str">
        <f t="shared" ca="1" si="127"/>
        <v/>
      </c>
      <c r="M518" s="117" t="s">
        <v>199</v>
      </c>
      <c r="N518" s="118" t="str">
        <f t="shared" ca="1" si="128"/>
        <v>Serviço</v>
      </c>
      <c r="O518" s="119" t="str">
        <f t="shared" ca="1" si="129"/>
        <v>-</v>
      </c>
      <c r="P518" s="120" t="s">
        <v>247</v>
      </c>
      <c r="Q518" s="121" t="s">
        <v>876</v>
      </c>
      <c r="R518" s="122" t="str">
        <f ca="1">IF($C518="S",REFERENCIA.Descricao,"(digite a descrição aqui)")</f>
        <v>(abra o arquivo 'Referência 06-2024.xlsm)</v>
      </c>
      <c r="S518" s="123" t="str">
        <f ca="1">REFERENCIA.Unidade</f>
        <v>-</v>
      </c>
      <c r="T518" s="124">
        <f ca="1">OFFSET(CÁLCULO!H$15,ROW($T518)-ROW(T$15),0)</f>
        <v>524.79999999999995</v>
      </c>
      <c r="U518" s="125">
        <f t="shared" ca="1" si="135"/>
        <v>0</v>
      </c>
      <c r="V518" s="126" t="s">
        <v>156</v>
      </c>
      <c r="W518" s="124">
        <f ca="1">IF($C518="S",ROUND(IF(TIPOORCAMENTO="Proposto",ORÇAMENTO.CustoUnitario*(1+$AH518),ORÇAMENTO.PrecoUnitarioLicitado),15-13*$AF$10),0)</f>
        <v>0</v>
      </c>
      <c r="X518" s="127">
        <f ca="1">IF($C518="S",IF(Import.TipoArredondamento&lt;&gt;"TransfereGOV",VTOTAL1,SUM(OFFSET(CÁLCULO!$AI$15,ROW($X518)-ROW($X$15),1):OFFSET(CÁLCULO!$BB$15,ROW($X518)-ROW($X$15),-1))),IF($C518=0,0,ROUND(SomaAgrup,15-13*$AF$11)))</f>
        <v>0</v>
      </c>
      <c r="Y518" s="128" t="s">
        <v>245</v>
      </c>
      <c r="Z518" t="str">
        <f t="shared" ca="1" si="130"/>
        <v/>
      </c>
      <c r="AA518" s="129">
        <f ca="1">IF($C518="S",IF($Z518="CP",$X518,IF($Z518="RA",(($X518)*QCI!$AA$3),0)),SomaAgrup)</f>
        <v>0</v>
      </c>
      <c r="AB518" s="130">
        <f t="shared" ca="1" si="131"/>
        <v>0</v>
      </c>
      <c r="AC518" s="131" t="str">
        <f ca="1">IF($N518="","",IF(ORÇAMENTO.Descricao="","DESCRIÇÃO",IF(AND($C518="S",ORÇAMENTO.Unidade=""),"UNIDADE",IF($X518&lt;0,"VALOR NEGATIVO",IF(OR(AND(TIPOORCAMENTO="Proposto",$AG518&lt;&gt;"",$AG518&gt;0,ORÇAMENTO.CustoUnitario&gt;$AG518),AND(TIPOORCAMENTO="LICITADO",ORÇAMENTO.PrecoUnitarioLicitado&gt;$AN518)),"ACIMA REF.","")))))</f>
        <v/>
      </c>
      <c r="AD518" t="str">
        <f ca="1">IF(C518&lt;=CRONO.NivelExibicao,MAX($AD$15:OFFSET(AD518,-1,0))+IF($C518&lt;&gt;1,1,MAX(1,COUNTIF(QCI!$A$13:$A$24,OFFSET($E518,-1,0)))),"")</f>
        <v/>
      </c>
      <c r="AE518" s="7" t="str">
        <f ca="1">IF(AND($C518="S",ORÇAMENTO.CodBarra&lt;&gt;""),IF(ORÇAMENTO.Fonte="",ORÇAMENTO.CodBarra,CONCATENATE(ORÇAMENTO.Fonte," ",ORÇAMENTO.CodBarra)))</f>
        <v>SINAPI 101567</v>
      </c>
      <c r="AF518" s="13" t="str">
        <f ca="1">IF(ISERROR(INDIRECT(ORÇAMENTO.BancoRef)),"(abra o arquivo 'Referência "&amp;Excel_BuiltIn_Database&amp;".xlsm)",IF(OR($C518&lt;&gt;"S",ORÇAMENTO.CodBarra=""),"(Sem Código)",IF(ISERROR(MATCH($AE518,INDIRECT(ORÇAMENTO.BancoRef),0)),"(Código não identificado nas referências)",MATCH($AE518,INDIRECT(ORÇAMENTO.BancoRef),0))))</f>
        <v>(abra o arquivo 'Referência 06-2024.xlsm)</v>
      </c>
      <c r="AG518" s="498">
        <f ca="1">ROUND(IF(DESONERACAO="sim",REFERENCIA.Desonerado,REFERENCIA.NaoDesonerado),2)</f>
        <v>0</v>
      </c>
      <c r="AH518" s="499">
        <f t="shared" ca="1" si="132"/>
        <v>0.2432</v>
      </c>
      <c r="AJ518" s="501"/>
      <c r="AL518" s="527"/>
      <c r="AM518" s="381">
        <f t="shared" ca="1" si="133"/>
        <v>0</v>
      </c>
      <c r="AN518" s="566">
        <f t="shared" ca="1" si="134"/>
        <v>0</v>
      </c>
    </row>
    <row r="519" spans="1:40" ht="38.25" x14ac:dyDescent="0.2">
      <c r="A519" t="str">
        <f t="shared" si="119"/>
        <v>S</v>
      </c>
      <c r="B519">
        <f t="shared" ca="1" si="120"/>
        <v>2</v>
      </c>
      <c r="C519" t="str">
        <f t="shared" ca="1" si="121"/>
        <v>S</v>
      </c>
      <c r="D519">
        <f t="shared" ca="1" si="122"/>
        <v>0</v>
      </c>
      <c r="E519">
        <f ca="1">IF($C519=1,OFFSET(E519,-1,0)+MAX(1,COUNTIF(QCI!$A$13:$A$24,OFFSET(ORÇAMENTO!E519,-1,0))),OFFSET(E519,-1,0))</f>
        <v>1</v>
      </c>
      <c r="F519">
        <f t="shared" ca="1" si="123"/>
        <v>53</v>
      </c>
      <c r="G519">
        <f t="shared" ca="1" si="124"/>
        <v>0</v>
      </c>
      <c r="H519">
        <f t="shared" ca="1" si="125"/>
        <v>0</v>
      </c>
      <c r="I519">
        <f t="shared" ca="1" si="126"/>
        <v>0</v>
      </c>
      <c r="J519">
        <f t="shared" ca="1" si="118"/>
        <v>0</v>
      </c>
      <c r="K519">
        <f ca="1">IF(OR($C519="S",$C519=0),0,MATCH(OFFSET($D519,0,$C519)+IF($C519&lt;&gt;1,1,COUNTIF(QCI!$A$13:$A$24,ORÇAMENTO!E519)),OFFSET($D519,1,$C519,ROW($C$727)-ROW($C519)),0))</f>
        <v>0</v>
      </c>
      <c r="L519" s="116" t="str">
        <f t="shared" ca="1" si="127"/>
        <v/>
      </c>
      <c r="M519" s="117" t="s">
        <v>199</v>
      </c>
      <c r="N519" s="118" t="str">
        <f t="shared" ca="1" si="128"/>
        <v>Serviço</v>
      </c>
      <c r="O519" s="119" t="str">
        <f t="shared" ca="1" si="129"/>
        <v>-</v>
      </c>
      <c r="P519" s="120" t="s">
        <v>247</v>
      </c>
      <c r="Q519" s="121" t="s">
        <v>877</v>
      </c>
      <c r="R519" s="122" t="str">
        <f ca="1">IF($C519="S",REFERENCIA.Descricao,"(digite a descrição aqui)")</f>
        <v>(abra o arquivo 'Referência 06-2024.xlsm)</v>
      </c>
      <c r="S519" s="123" t="str">
        <f ca="1">REFERENCIA.Unidade</f>
        <v>-</v>
      </c>
      <c r="T519" s="124">
        <f ca="1">OFFSET(CÁLCULO!H$15,ROW($T519)-ROW(T$15),0)</f>
        <v>3983.2</v>
      </c>
      <c r="U519" s="125">
        <f t="shared" ca="1" si="135"/>
        <v>0</v>
      </c>
      <c r="V519" s="126" t="s">
        <v>156</v>
      </c>
      <c r="W519" s="124">
        <f ca="1">IF($C519="S",ROUND(IF(TIPOORCAMENTO="Proposto",ORÇAMENTO.CustoUnitario*(1+$AH519),ORÇAMENTO.PrecoUnitarioLicitado),15-13*$AF$10),0)</f>
        <v>0</v>
      </c>
      <c r="X519" s="127">
        <f ca="1">IF($C519="S",IF(Import.TipoArredondamento&lt;&gt;"TransfereGOV",VTOTAL1,SUM(OFFSET(CÁLCULO!$AI$15,ROW($X519)-ROW($X$15),1):OFFSET(CÁLCULO!$BB$15,ROW($X519)-ROW($X$15),-1))),IF($C519=0,0,ROUND(SomaAgrup,15-13*$AF$11)))</f>
        <v>0</v>
      </c>
      <c r="Y519" s="128" t="s">
        <v>245</v>
      </c>
      <c r="Z519" t="str">
        <f t="shared" ca="1" si="130"/>
        <v/>
      </c>
      <c r="AA519" s="129">
        <f ca="1">IF($C519="S",IF($Z519="CP",$X519,IF($Z519="RA",(($X519)*QCI!$AA$3),0)),SomaAgrup)</f>
        <v>0</v>
      </c>
      <c r="AB519" s="130">
        <f t="shared" ca="1" si="131"/>
        <v>0</v>
      </c>
      <c r="AC519" s="131" t="str">
        <f ca="1">IF($N519="","",IF(ORÇAMENTO.Descricao="","DESCRIÇÃO",IF(AND($C519="S",ORÇAMENTO.Unidade=""),"UNIDADE",IF($X519&lt;0,"VALOR NEGATIVO",IF(OR(AND(TIPOORCAMENTO="Proposto",$AG519&lt;&gt;"",$AG519&gt;0,ORÇAMENTO.CustoUnitario&gt;$AG519),AND(TIPOORCAMENTO="LICITADO",ORÇAMENTO.PrecoUnitarioLicitado&gt;$AN519)),"ACIMA REF.","")))))</f>
        <v/>
      </c>
      <c r="AD519" t="str">
        <f ca="1">IF(C519&lt;=CRONO.NivelExibicao,MAX($AD$15:OFFSET(AD519,-1,0))+IF($C519&lt;&gt;1,1,MAX(1,COUNTIF(QCI!$A$13:$A$24,OFFSET($E519,-1,0)))),"")</f>
        <v/>
      </c>
      <c r="AE519" s="7" t="str">
        <f ca="1">IF(AND($C519="S",ORÇAMENTO.CodBarra&lt;&gt;""),IF(ORÇAMENTO.Fonte="",ORÇAMENTO.CodBarra,CONCATENATE(ORÇAMENTO.Fonte," ",ORÇAMENTO.CodBarra)))</f>
        <v>SINAPI 91924</v>
      </c>
      <c r="AF519" s="13" t="str">
        <f ca="1">IF(ISERROR(INDIRECT(ORÇAMENTO.BancoRef)),"(abra o arquivo 'Referência "&amp;Excel_BuiltIn_Database&amp;".xlsm)",IF(OR($C519&lt;&gt;"S",ORÇAMENTO.CodBarra=""),"(Sem Código)",IF(ISERROR(MATCH($AE519,INDIRECT(ORÇAMENTO.BancoRef),0)),"(Código não identificado nas referências)",MATCH($AE519,INDIRECT(ORÇAMENTO.BancoRef),0))))</f>
        <v>(abra o arquivo 'Referência 06-2024.xlsm)</v>
      </c>
      <c r="AG519" s="498">
        <f ca="1">ROUND(IF(DESONERACAO="sim",REFERENCIA.Desonerado,REFERENCIA.NaoDesonerado),2)</f>
        <v>0</v>
      </c>
      <c r="AH519" s="499">
        <f t="shared" ca="1" si="132"/>
        <v>0.2432</v>
      </c>
      <c r="AJ519" s="501"/>
      <c r="AL519" s="527"/>
      <c r="AM519" s="381">
        <f t="shared" ca="1" si="133"/>
        <v>0</v>
      </c>
      <c r="AN519" s="566">
        <f t="shared" ca="1" si="134"/>
        <v>0</v>
      </c>
    </row>
    <row r="520" spans="1:40" ht="25.5" x14ac:dyDescent="0.2">
      <c r="A520" t="str">
        <f t="shared" si="119"/>
        <v>S</v>
      </c>
      <c r="B520">
        <f t="shared" ca="1" si="120"/>
        <v>2</v>
      </c>
      <c r="C520" t="str">
        <f t="shared" ca="1" si="121"/>
        <v>S</v>
      </c>
      <c r="D520">
        <f t="shared" ca="1" si="122"/>
        <v>0</v>
      </c>
      <c r="E520">
        <f ca="1">IF($C520=1,OFFSET(E520,-1,0)+MAX(1,COUNTIF(QCI!$A$13:$A$24,OFFSET(ORÇAMENTO!E520,-1,0))),OFFSET(E520,-1,0))</f>
        <v>1</v>
      </c>
      <c r="F520">
        <f t="shared" ca="1" si="123"/>
        <v>53</v>
      </c>
      <c r="G520">
        <f t="shared" ca="1" si="124"/>
        <v>0</v>
      </c>
      <c r="H520">
        <f t="shared" ca="1" si="125"/>
        <v>0</v>
      </c>
      <c r="I520">
        <f t="shared" ca="1" si="126"/>
        <v>0</v>
      </c>
      <c r="J520">
        <f t="shared" ca="1" si="118"/>
        <v>0</v>
      </c>
      <c r="K520">
        <f ca="1">IF(OR($C520="S",$C520=0),0,MATCH(OFFSET($D520,0,$C520)+IF($C520&lt;&gt;1,1,COUNTIF(QCI!$A$13:$A$24,ORÇAMENTO!E520)),OFFSET($D520,1,$C520,ROW($C$727)-ROW($C520)),0))</f>
        <v>0</v>
      </c>
      <c r="L520" s="116" t="str">
        <f t="shared" ca="1" si="127"/>
        <v/>
      </c>
      <c r="M520" s="117" t="s">
        <v>199</v>
      </c>
      <c r="N520" s="118" t="str">
        <f t="shared" ca="1" si="128"/>
        <v>Serviço</v>
      </c>
      <c r="O520" s="119" t="str">
        <f t="shared" ca="1" si="129"/>
        <v>-</v>
      </c>
      <c r="P520" s="120" t="s">
        <v>247</v>
      </c>
      <c r="Q520" s="121" t="s">
        <v>878</v>
      </c>
      <c r="R520" s="122" t="str">
        <f ca="1">IF($C520="S",REFERENCIA.Descricao,"(digite a descrição aqui)")</f>
        <v>(abra o arquivo 'Referência 06-2024.xlsm)</v>
      </c>
      <c r="S520" s="123" t="str">
        <f ca="1">REFERENCIA.Unidade</f>
        <v>-</v>
      </c>
      <c r="T520" s="124">
        <f ca="1">OFFSET(CÁLCULO!H$15,ROW($T520)-ROW(T$15),0)</f>
        <v>9.6999999999999993</v>
      </c>
      <c r="U520" s="125">
        <f t="shared" ca="1" si="135"/>
        <v>0</v>
      </c>
      <c r="V520" s="126" t="s">
        <v>156</v>
      </c>
      <c r="W520" s="124">
        <f ca="1">IF($C520="S",ROUND(IF(TIPOORCAMENTO="Proposto",ORÇAMENTO.CustoUnitario*(1+$AH520),ORÇAMENTO.PrecoUnitarioLicitado),15-13*$AF$10),0)</f>
        <v>0</v>
      </c>
      <c r="X520" s="127">
        <f ca="1">IF($C520="S",IF(Import.TipoArredondamento&lt;&gt;"TransfereGOV",VTOTAL1,SUM(OFFSET(CÁLCULO!$AI$15,ROW($X520)-ROW($X$15),1):OFFSET(CÁLCULO!$BB$15,ROW($X520)-ROW($X$15),-1))),IF($C520=0,0,ROUND(SomaAgrup,15-13*$AF$11)))</f>
        <v>0</v>
      </c>
      <c r="Y520" s="128" t="s">
        <v>245</v>
      </c>
      <c r="Z520" t="str">
        <f t="shared" ca="1" si="130"/>
        <v/>
      </c>
      <c r="AA520" s="129">
        <f ca="1">IF($C520="S",IF($Z520="CP",$X520,IF($Z520="RA",(($X520)*QCI!$AA$3),0)),SomaAgrup)</f>
        <v>0</v>
      </c>
      <c r="AB520" s="130">
        <f t="shared" ca="1" si="131"/>
        <v>0</v>
      </c>
      <c r="AC520" s="131" t="str">
        <f ca="1">IF($N520="","",IF(ORÇAMENTO.Descricao="","DESCRIÇÃO",IF(AND($C520="S",ORÇAMENTO.Unidade=""),"UNIDADE",IF($X520&lt;0,"VALOR NEGATIVO",IF(OR(AND(TIPOORCAMENTO="Proposto",$AG520&lt;&gt;"",$AG520&gt;0,ORÇAMENTO.CustoUnitario&gt;$AG520),AND(TIPOORCAMENTO="LICITADO",ORÇAMENTO.PrecoUnitarioLicitado&gt;$AN520)),"ACIMA REF.","")))))</f>
        <v/>
      </c>
      <c r="AD520" t="str">
        <f ca="1">IF(C520&lt;=CRONO.NivelExibicao,MAX($AD$15:OFFSET(AD520,-1,0))+IF($C520&lt;&gt;1,1,MAX(1,COUNTIF(QCI!$A$13:$A$24,OFFSET($E520,-1,0)))),"")</f>
        <v/>
      </c>
      <c r="AE520" s="7" t="str">
        <f ca="1">IF(AND($C520="S",ORÇAMENTO.CodBarra&lt;&gt;""),IF(ORÇAMENTO.Fonte="",ORÇAMENTO.CodBarra,CONCATENATE(ORÇAMENTO.Fonte," ",ORÇAMENTO.CodBarra)))</f>
        <v>SINAPI 92981</v>
      </c>
      <c r="AF520" s="13" t="str">
        <f ca="1">IF(ISERROR(INDIRECT(ORÇAMENTO.BancoRef)),"(abra o arquivo 'Referência "&amp;Excel_BuiltIn_Database&amp;".xlsm)",IF(OR($C520&lt;&gt;"S",ORÇAMENTO.CodBarra=""),"(Sem Código)",IF(ISERROR(MATCH($AE520,INDIRECT(ORÇAMENTO.BancoRef),0)),"(Código não identificado nas referências)",MATCH($AE520,INDIRECT(ORÇAMENTO.BancoRef),0))))</f>
        <v>(abra o arquivo 'Referência 06-2024.xlsm)</v>
      </c>
      <c r="AG520" s="498">
        <f ca="1">ROUND(IF(DESONERACAO="sim",REFERENCIA.Desonerado,REFERENCIA.NaoDesonerado),2)</f>
        <v>0</v>
      </c>
      <c r="AH520" s="499">
        <f t="shared" ca="1" si="132"/>
        <v>0.2432</v>
      </c>
      <c r="AJ520" s="501"/>
      <c r="AL520" s="527"/>
      <c r="AM520" s="381">
        <f t="shared" ca="1" si="133"/>
        <v>0</v>
      </c>
      <c r="AN520" s="566">
        <f t="shared" ca="1" si="134"/>
        <v>0</v>
      </c>
    </row>
    <row r="521" spans="1:40" ht="38.25" x14ac:dyDescent="0.2">
      <c r="A521" t="str">
        <f t="shared" si="119"/>
        <v>S</v>
      </c>
      <c r="B521">
        <f t="shared" ca="1" si="120"/>
        <v>2</v>
      </c>
      <c r="C521" t="str">
        <f t="shared" ca="1" si="121"/>
        <v>S</v>
      </c>
      <c r="D521">
        <f t="shared" ca="1" si="122"/>
        <v>0</v>
      </c>
      <c r="E521">
        <f ca="1">IF($C521=1,OFFSET(E521,-1,0)+MAX(1,COUNTIF(QCI!$A$13:$A$24,OFFSET(ORÇAMENTO!E521,-1,0))),OFFSET(E521,-1,0))</f>
        <v>1</v>
      </c>
      <c r="F521">
        <f t="shared" ca="1" si="123"/>
        <v>53</v>
      </c>
      <c r="G521">
        <f t="shared" ca="1" si="124"/>
        <v>0</v>
      </c>
      <c r="H521">
        <f t="shared" ca="1" si="125"/>
        <v>0</v>
      </c>
      <c r="I521">
        <f t="shared" ca="1" si="126"/>
        <v>0</v>
      </c>
      <c r="J521">
        <f t="shared" ca="1" si="118"/>
        <v>0</v>
      </c>
      <c r="K521">
        <f ca="1">IF(OR($C521="S",$C521=0),0,MATCH(OFFSET($D521,0,$C521)+IF($C521&lt;&gt;1,1,COUNTIF(QCI!$A$13:$A$24,ORÇAMENTO!E521)),OFFSET($D521,1,$C521,ROW($C$727)-ROW($C521)),0))</f>
        <v>0</v>
      </c>
      <c r="L521" s="116" t="str">
        <f t="shared" ca="1" si="127"/>
        <v/>
      </c>
      <c r="M521" s="117" t="s">
        <v>199</v>
      </c>
      <c r="N521" s="118" t="str">
        <f t="shared" ca="1" si="128"/>
        <v>Serviço</v>
      </c>
      <c r="O521" s="119" t="str">
        <f t="shared" ca="1" si="129"/>
        <v>-</v>
      </c>
      <c r="P521" s="120" t="s">
        <v>247</v>
      </c>
      <c r="Q521" s="121" t="s">
        <v>879</v>
      </c>
      <c r="R521" s="122" t="str">
        <f ca="1">IF($C521="S",REFERENCIA.Descricao,"(digite a descrição aqui)")</f>
        <v>(abra o arquivo 'Referência 06-2024.xlsm)</v>
      </c>
      <c r="S521" s="123" t="str">
        <f ca="1">REFERENCIA.Unidade</f>
        <v>-</v>
      </c>
      <c r="T521" s="124">
        <f ca="1">OFFSET(CÁLCULO!H$15,ROW($T521)-ROW(T$15),0)</f>
        <v>4433.5</v>
      </c>
      <c r="U521" s="125">
        <f t="shared" ca="1" si="135"/>
        <v>0</v>
      </c>
      <c r="V521" s="126" t="s">
        <v>156</v>
      </c>
      <c r="W521" s="124">
        <f ca="1">IF($C521="S",ROUND(IF(TIPOORCAMENTO="Proposto",ORÇAMENTO.CustoUnitario*(1+$AH521),ORÇAMENTO.PrecoUnitarioLicitado),15-13*$AF$10),0)</f>
        <v>0</v>
      </c>
      <c r="X521" s="127">
        <f ca="1">IF($C521="S",IF(Import.TipoArredondamento&lt;&gt;"TransfereGOV",VTOTAL1,SUM(OFFSET(CÁLCULO!$AI$15,ROW($X521)-ROW($X$15),1):OFFSET(CÁLCULO!$BB$15,ROW($X521)-ROW($X$15),-1))),IF($C521=0,0,ROUND(SomaAgrup,15-13*$AF$11)))</f>
        <v>0</v>
      </c>
      <c r="Y521" s="128" t="s">
        <v>245</v>
      </c>
      <c r="Z521" t="str">
        <f t="shared" ca="1" si="130"/>
        <v/>
      </c>
      <c r="AA521" s="129">
        <f ca="1">IF($C521="S",IF($Z521="CP",$X521,IF($Z521="RA",(($X521)*QCI!$AA$3),0)),SomaAgrup)</f>
        <v>0</v>
      </c>
      <c r="AB521" s="130">
        <f t="shared" ca="1" si="131"/>
        <v>0</v>
      </c>
      <c r="AC521" s="131" t="str">
        <f ca="1">IF($N521="","",IF(ORÇAMENTO.Descricao="","DESCRIÇÃO",IF(AND($C521="S",ORÇAMENTO.Unidade=""),"UNIDADE",IF($X521&lt;0,"VALOR NEGATIVO",IF(OR(AND(TIPOORCAMENTO="Proposto",$AG521&lt;&gt;"",$AG521&gt;0,ORÇAMENTO.CustoUnitario&gt;$AG521),AND(TIPOORCAMENTO="LICITADO",ORÇAMENTO.PrecoUnitarioLicitado&gt;$AN521)),"ACIMA REF.","")))))</f>
        <v/>
      </c>
      <c r="AD521" t="str">
        <f ca="1">IF(C521&lt;=CRONO.NivelExibicao,MAX($AD$15:OFFSET(AD521,-1,0))+IF($C521&lt;&gt;1,1,MAX(1,COUNTIF(QCI!$A$13:$A$24,OFFSET($E521,-1,0)))),"")</f>
        <v/>
      </c>
      <c r="AE521" s="7" t="str">
        <f ca="1">IF(AND($C521="S",ORÇAMENTO.CodBarra&lt;&gt;""),IF(ORÇAMENTO.Fonte="",ORÇAMENTO.CodBarra,CONCATENATE(ORÇAMENTO.Fonte," ",ORÇAMENTO.CodBarra)))</f>
        <v>SINAPI 91926</v>
      </c>
      <c r="AF521" s="13" t="str">
        <f ca="1">IF(ISERROR(INDIRECT(ORÇAMENTO.BancoRef)),"(abra o arquivo 'Referência "&amp;Excel_BuiltIn_Database&amp;".xlsm)",IF(OR($C521&lt;&gt;"S",ORÇAMENTO.CodBarra=""),"(Sem Código)",IF(ISERROR(MATCH($AE521,INDIRECT(ORÇAMENTO.BancoRef),0)),"(Código não identificado nas referências)",MATCH($AE521,INDIRECT(ORÇAMENTO.BancoRef),0))))</f>
        <v>(abra o arquivo 'Referência 06-2024.xlsm)</v>
      </c>
      <c r="AG521" s="498">
        <f ca="1">ROUND(IF(DESONERACAO="sim",REFERENCIA.Desonerado,REFERENCIA.NaoDesonerado),2)</f>
        <v>0</v>
      </c>
      <c r="AH521" s="499">
        <f t="shared" ca="1" si="132"/>
        <v>0.2432</v>
      </c>
      <c r="AJ521" s="501"/>
      <c r="AL521" s="527"/>
      <c r="AM521" s="381">
        <f t="shared" ca="1" si="133"/>
        <v>0</v>
      </c>
      <c r="AN521" s="566">
        <f t="shared" ca="1" si="134"/>
        <v>0</v>
      </c>
    </row>
    <row r="522" spans="1:40" ht="38.25" x14ac:dyDescent="0.2">
      <c r="A522" t="str">
        <f t="shared" si="119"/>
        <v>S</v>
      </c>
      <c r="B522">
        <f t="shared" ca="1" si="120"/>
        <v>2</v>
      </c>
      <c r="C522" t="str">
        <f t="shared" ca="1" si="121"/>
        <v>S</v>
      </c>
      <c r="D522">
        <f t="shared" ca="1" si="122"/>
        <v>0</v>
      </c>
      <c r="E522">
        <f ca="1">IF($C522=1,OFFSET(E522,-1,0)+MAX(1,COUNTIF(QCI!$A$13:$A$24,OFFSET(ORÇAMENTO!E522,-1,0))),OFFSET(E522,-1,0))</f>
        <v>1</v>
      </c>
      <c r="F522">
        <f t="shared" ca="1" si="123"/>
        <v>53</v>
      </c>
      <c r="G522">
        <f t="shared" ca="1" si="124"/>
        <v>0</v>
      </c>
      <c r="H522">
        <f t="shared" ca="1" si="125"/>
        <v>0</v>
      </c>
      <c r="I522">
        <f t="shared" ca="1" si="126"/>
        <v>0</v>
      </c>
      <c r="J522">
        <f t="shared" ca="1" si="118"/>
        <v>0</v>
      </c>
      <c r="K522">
        <f ca="1">IF(OR($C522="S",$C522=0),0,MATCH(OFFSET($D522,0,$C522)+IF($C522&lt;&gt;1,1,COUNTIF(QCI!$A$13:$A$24,ORÇAMENTO!E522)),OFFSET($D522,1,$C522,ROW($C$727)-ROW($C522)),0))</f>
        <v>0</v>
      </c>
      <c r="L522" s="116" t="str">
        <f t="shared" ca="1" si="127"/>
        <v/>
      </c>
      <c r="M522" s="117" t="s">
        <v>199</v>
      </c>
      <c r="N522" s="118" t="str">
        <f t="shared" ca="1" si="128"/>
        <v>Serviço</v>
      </c>
      <c r="O522" s="119" t="str">
        <f t="shared" ca="1" si="129"/>
        <v>-</v>
      </c>
      <c r="P522" s="120" t="s">
        <v>247</v>
      </c>
      <c r="Q522" s="121" t="s">
        <v>880</v>
      </c>
      <c r="R522" s="122" t="str">
        <f ca="1">IF($C522="S",REFERENCIA.Descricao,"(digite a descrição aqui)")</f>
        <v>(abra o arquivo 'Referência 06-2024.xlsm)</v>
      </c>
      <c r="S522" s="123" t="str">
        <f ca="1">REFERENCIA.Unidade</f>
        <v>-</v>
      </c>
      <c r="T522" s="124">
        <f ca="1">OFFSET(CÁLCULO!H$15,ROW($T522)-ROW(T$15),0)</f>
        <v>57.3</v>
      </c>
      <c r="U522" s="125">
        <f t="shared" ca="1" si="135"/>
        <v>0</v>
      </c>
      <c r="V522" s="126" t="s">
        <v>156</v>
      </c>
      <c r="W522" s="124">
        <f ca="1">IF($C522="S",ROUND(IF(TIPOORCAMENTO="Proposto",ORÇAMENTO.CustoUnitario*(1+$AH522),ORÇAMENTO.PrecoUnitarioLicitado),15-13*$AF$10),0)</f>
        <v>0</v>
      </c>
      <c r="X522" s="127">
        <f ca="1">IF($C522="S",IF(Import.TipoArredondamento&lt;&gt;"TransfereGOV",VTOTAL1,SUM(OFFSET(CÁLCULO!$AI$15,ROW($X522)-ROW($X$15),1):OFFSET(CÁLCULO!$BB$15,ROW($X522)-ROW($X$15),-1))),IF($C522=0,0,ROUND(SomaAgrup,15-13*$AF$11)))</f>
        <v>0</v>
      </c>
      <c r="Y522" s="128" t="s">
        <v>245</v>
      </c>
      <c r="Z522" t="str">
        <f t="shared" ca="1" si="130"/>
        <v/>
      </c>
      <c r="AA522" s="129">
        <f ca="1">IF($C522="S",IF($Z522="CP",$X522,IF($Z522="RA",(($X522)*QCI!$AA$3),0)),SomaAgrup)</f>
        <v>0</v>
      </c>
      <c r="AB522" s="130">
        <f t="shared" ca="1" si="131"/>
        <v>0</v>
      </c>
      <c r="AC522" s="131" t="str">
        <f ca="1">IF($N522="","",IF(ORÇAMENTO.Descricao="","DESCRIÇÃO",IF(AND($C522="S",ORÇAMENTO.Unidade=""),"UNIDADE",IF($X522&lt;0,"VALOR NEGATIVO",IF(OR(AND(TIPOORCAMENTO="Proposto",$AG522&lt;&gt;"",$AG522&gt;0,ORÇAMENTO.CustoUnitario&gt;$AG522),AND(TIPOORCAMENTO="LICITADO",ORÇAMENTO.PrecoUnitarioLicitado&gt;$AN522)),"ACIMA REF.","")))))</f>
        <v/>
      </c>
      <c r="AD522" t="str">
        <f ca="1">IF(C522&lt;=CRONO.NivelExibicao,MAX($AD$15:OFFSET(AD522,-1,0))+IF($C522&lt;&gt;1,1,MAX(1,COUNTIF(QCI!$A$13:$A$24,OFFSET($E522,-1,0)))),"")</f>
        <v/>
      </c>
      <c r="AE522" s="7" t="str">
        <f ca="1">IF(AND($C522="S",ORÇAMENTO.CodBarra&lt;&gt;""),IF(ORÇAMENTO.Fonte="",ORÇAMENTO.CodBarra,CONCATENATE(ORÇAMENTO.Fonte," ",ORÇAMENTO.CodBarra)))</f>
        <v>SINAPI 101562</v>
      </c>
      <c r="AF522" s="13" t="str">
        <f ca="1">IF(ISERROR(INDIRECT(ORÇAMENTO.BancoRef)),"(abra o arquivo 'Referência "&amp;Excel_BuiltIn_Database&amp;".xlsm)",IF(OR($C522&lt;&gt;"S",ORÇAMENTO.CodBarra=""),"(Sem Código)",IF(ISERROR(MATCH($AE522,INDIRECT(ORÇAMENTO.BancoRef),0)),"(Código não identificado nas referências)",MATCH($AE522,INDIRECT(ORÇAMENTO.BancoRef),0))))</f>
        <v>(abra o arquivo 'Referência 06-2024.xlsm)</v>
      </c>
      <c r="AG522" s="498">
        <f ca="1">ROUND(IF(DESONERACAO="sim",REFERENCIA.Desonerado,REFERENCIA.NaoDesonerado),2)</f>
        <v>0</v>
      </c>
      <c r="AH522" s="499">
        <f t="shared" ca="1" si="132"/>
        <v>0.2432</v>
      </c>
      <c r="AJ522" s="501"/>
      <c r="AL522" s="527"/>
      <c r="AM522" s="381">
        <f t="shared" ca="1" si="133"/>
        <v>0</v>
      </c>
      <c r="AN522" s="566">
        <f t="shared" ca="1" si="134"/>
        <v>0</v>
      </c>
    </row>
    <row r="523" spans="1:40" ht="38.25" x14ac:dyDescent="0.2">
      <c r="A523" t="str">
        <f t="shared" si="119"/>
        <v>S</v>
      </c>
      <c r="B523">
        <f t="shared" ca="1" si="120"/>
        <v>2</v>
      </c>
      <c r="C523" t="str">
        <f t="shared" ca="1" si="121"/>
        <v>S</v>
      </c>
      <c r="D523">
        <f t="shared" ca="1" si="122"/>
        <v>0</v>
      </c>
      <c r="E523">
        <f ca="1">IF($C523=1,OFFSET(E523,-1,0)+MAX(1,COUNTIF(QCI!$A$13:$A$24,OFFSET(ORÇAMENTO!E523,-1,0))),OFFSET(E523,-1,0))</f>
        <v>1</v>
      </c>
      <c r="F523">
        <f t="shared" ca="1" si="123"/>
        <v>53</v>
      </c>
      <c r="G523">
        <f t="shared" ca="1" si="124"/>
        <v>0</v>
      </c>
      <c r="H523">
        <f t="shared" ca="1" si="125"/>
        <v>0</v>
      </c>
      <c r="I523">
        <f t="shared" ca="1" si="126"/>
        <v>0</v>
      </c>
      <c r="J523">
        <f t="shared" ca="1" si="118"/>
        <v>0</v>
      </c>
      <c r="K523">
        <f ca="1">IF(OR($C523="S",$C523=0),0,MATCH(OFFSET($D523,0,$C523)+IF($C523&lt;&gt;1,1,COUNTIF(QCI!$A$13:$A$24,ORÇAMENTO!E523)),OFFSET($D523,1,$C523,ROW($C$727)-ROW($C523)),0))</f>
        <v>0</v>
      </c>
      <c r="L523" s="116" t="str">
        <f t="shared" ca="1" si="127"/>
        <v/>
      </c>
      <c r="M523" s="117" t="s">
        <v>199</v>
      </c>
      <c r="N523" s="118" t="str">
        <f t="shared" ca="1" si="128"/>
        <v>Serviço</v>
      </c>
      <c r="O523" s="119" t="str">
        <f t="shared" ca="1" si="129"/>
        <v>-</v>
      </c>
      <c r="P523" s="120" t="s">
        <v>247</v>
      </c>
      <c r="Q523" s="121" t="s">
        <v>881</v>
      </c>
      <c r="R523" s="122" t="str">
        <f ca="1">IF($C523="S",REFERENCIA.Descricao,"(digite a descrição aqui)")</f>
        <v>(abra o arquivo 'Referência 06-2024.xlsm)</v>
      </c>
      <c r="S523" s="123" t="str">
        <f ca="1">REFERENCIA.Unidade</f>
        <v>-</v>
      </c>
      <c r="T523" s="124">
        <f ca="1">OFFSET(CÁLCULO!H$15,ROW($T523)-ROW(T$15),0)</f>
        <v>670.9</v>
      </c>
      <c r="U523" s="125">
        <f t="shared" ca="1" si="135"/>
        <v>0</v>
      </c>
      <c r="V523" s="126" t="s">
        <v>156</v>
      </c>
      <c r="W523" s="124">
        <f ca="1">IF($C523="S",ROUND(IF(TIPOORCAMENTO="Proposto",ORÇAMENTO.CustoUnitario*(1+$AH523),ORÇAMENTO.PrecoUnitarioLicitado),15-13*$AF$10),0)</f>
        <v>0</v>
      </c>
      <c r="X523" s="127">
        <f ca="1">IF($C523="S",IF(Import.TipoArredondamento&lt;&gt;"TransfereGOV",VTOTAL1,SUM(OFFSET(CÁLCULO!$AI$15,ROW($X523)-ROW($X$15),1):OFFSET(CÁLCULO!$BB$15,ROW($X523)-ROW($X$15),-1))),IF($C523=0,0,ROUND(SomaAgrup,15-13*$AF$11)))</f>
        <v>0</v>
      </c>
      <c r="Y523" s="128" t="s">
        <v>245</v>
      </c>
      <c r="Z523" t="str">
        <f t="shared" ca="1" si="130"/>
        <v/>
      </c>
      <c r="AA523" s="129">
        <f ca="1">IF($C523="S",IF($Z523="CP",$X523,IF($Z523="RA",(($X523)*QCI!$AA$3),0)),SomaAgrup)</f>
        <v>0</v>
      </c>
      <c r="AB523" s="130">
        <f t="shared" ca="1" si="131"/>
        <v>0</v>
      </c>
      <c r="AC523" s="131" t="str">
        <f ca="1">IF($N523="","",IF(ORÇAMENTO.Descricao="","DESCRIÇÃO",IF(AND($C523="S",ORÇAMENTO.Unidade=""),"UNIDADE",IF($X523&lt;0,"VALOR NEGATIVO",IF(OR(AND(TIPOORCAMENTO="Proposto",$AG523&lt;&gt;"",$AG523&gt;0,ORÇAMENTO.CustoUnitario&gt;$AG523),AND(TIPOORCAMENTO="LICITADO",ORÇAMENTO.PrecoUnitarioLicitado&gt;$AN523)),"ACIMA REF.","")))))</f>
        <v/>
      </c>
      <c r="AD523" t="str">
        <f ca="1">IF(C523&lt;=CRONO.NivelExibicao,MAX($AD$15:OFFSET(AD523,-1,0))+IF($C523&lt;&gt;1,1,MAX(1,COUNTIF(QCI!$A$13:$A$24,OFFSET($E523,-1,0)))),"")</f>
        <v/>
      </c>
      <c r="AE523" s="7" t="str">
        <f ca="1">IF(AND($C523="S",ORÇAMENTO.CodBarra&lt;&gt;""),IF(ORÇAMENTO.Fonte="",ORÇAMENTO.CodBarra,CONCATENATE(ORÇAMENTO.Fonte," ",ORÇAMENTO.CodBarra)))</f>
        <v>SINAPI 91928</v>
      </c>
      <c r="AF523" s="13" t="str">
        <f ca="1">IF(ISERROR(INDIRECT(ORÇAMENTO.BancoRef)),"(abra o arquivo 'Referência "&amp;Excel_BuiltIn_Database&amp;".xlsm)",IF(OR($C523&lt;&gt;"S",ORÇAMENTO.CodBarra=""),"(Sem Código)",IF(ISERROR(MATCH($AE523,INDIRECT(ORÇAMENTO.BancoRef),0)),"(Código não identificado nas referências)",MATCH($AE523,INDIRECT(ORÇAMENTO.BancoRef),0))))</f>
        <v>(abra o arquivo 'Referência 06-2024.xlsm)</v>
      </c>
      <c r="AG523" s="498">
        <f ca="1">ROUND(IF(DESONERACAO="sim",REFERENCIA.Desonerado,REFERENCIA.NaoDesonerado),2)</f>
        <v>0</v>
      </c>
      <c r="AH523" s="499">
        <f t="shared" ca="1" si="132"/>
        <v>0.2432</v>
      </c>
      <c r="AJ523" s="501"/>
      <c r="AL523" s="527"/>
      <c r="AM523" s="381">
        <f t="shared" ca="1" si="133"/>
        <v>0</v>
      </c>
      <c r="AN523" s="566">
        <f t="shared" ca="1" si="134"/>
        <v>0</v>
      </c>
    </row>
    <row r="524" spans="1:40" ht="38.25" x14ac:dyDescent="0.2">
      <c r="A524" t="str">
        <f t="shared" si="119"/>
        <v>S</v>
      </c>
      <c r="B524">
        <f t="shared" ca="1" si="120"/>
        <v>2</v>
      </c>
      <c r="C524" t="str">
        <f t="shared" ca="1" si="121"/>
        <v>S</v>
      </c>
      <c r="D524">
        <f t="shared" ca="1" si="122"/>
        <v>0</v>
      </c>
      <c r="E524">
        <f ca="1">IF($C524=1,OFFSET(E524,-1,0)+MAX(1,COUNTIF(QCI!$A$13:$A$24,OFFSET(ORÇAMENTO!E524,-1,0))),OFFSET(E524,-1,0))</f>
        <v>1</v>
      </c>
      <c r="F524">
        <f t="shared" ca="1" si="123"/>
        <v>53</v>
      </c>
      <c r="G524">
        <f t="shared" ca="1" si="124"/>
        <v>0</v>
      </c>
      <c r="H524">
        <f t="shared" ca="1" si="125"/>
        <v>0</v>
      </c>
      <c r="I524">
        <f t="shared" ca="1" si="126"/>
        <v>0</v>
      </c>
      <c r="J524">
        <f t="shared" ca="1" si="118"/>
        <v>0</v>
      </c>
      <c r="K524">
        <f ca="1">IF(OR($C524="S",$C524=0),0,MATCH(OFFSET($D524,0,$C524)+IF($C524&lt;&gt;1,1,COUNTIF(QCI!$A$13:$A$24,ORÇAMENTO!E524)),OFFSET($D524,1,$C524,ROW($C$727)-ROW($C524)),0))</f>
        <v>0</v>
      </c>
      <c r="L524" s="116" t="str">
        <f t="shared" ca="1" si="127"/>
        <v/>
      </c>
      <c r="M524" s="117" t="s">
        <v>199</v>
      </c>
      <c r="N524" s="118" t="str">
        <f t="shared" ca="1" si="128"/>
        <v>Serviço</v>
      </c>
      <c r="O524" s="119" t="str">
        <f t="shared" ca="1" si="129"/>
        <v>-</v>
      </c>
      <c r="P524" s="120" t="s">
        <v>247</v>
      </c>
      <c r="Q524" s="121" t="s">
        <v>874</v>
      </c>
      <c r="R524" s="122" t="str">
        <f ca="1">IF($C524="S",REFERENCIA.Descricao,"(digite a descrição aqui)")</f>
        <v>(abra o arquivo 'Referência 06-2024.xlsm)</v>
      </c>
      <c r="S524" s="123" t="str">
        <f ca="1">REFERENCIA.Unidade</f>
        <v>-</v>
      </c>
      <c r="T524" s="124">
        <f ca="1">OFFSET(CÁLCULO!H$15,ROW($T524)-ROW(T$15),0)</f>
        <v>74.7</v>
      </c>
      <c r="U524" s="125">
        <f t="shared" ca="1" si="135"/>
        <v>0</v>
      </c>
      <c r="V524" s="126" t="s">
        <v>156</v>
      </c>
      <c r="W524" s="124">
        <f ca="1">IF($C524="S",ROUND(IF(TIPOORCAMENTO="Proposto",ORÇAMENTO.CustoUnitario*(1+$AH524),ORÇAMENTO.PrecoUnitarioLicitado),15-13*$AF$10),0)</f>
        <v>0</v>
      </c>
      <c r="X524" s="127">
        <f ca="1">IF($C524="S",IF(Import.TipoArredondamento&lt;&gt;"TransfereGOV",VTOTAL1,SUM(OFFSET(CÁLCULO!$AI$15,ROW($X524)-ROW($X$15),1):OFFSET(CÁLCULO!$BB$15,ROW($X524)-ROW($X$15),-1))),IF($C524=0,0,ROUND(SomaAgrup,15-13*$AF$11)))</f>
        <v>0</v>
      </c>
      <c r="Y524" s="128" t="s">
        <v>245</v>
      </c>
      <c r="Z524" t="str">
        <f t="shared" ca="1" si="130"/>
        <v/>
      </c>
      <c r="AA524" s="129">
        <f ca="1">IF($C524="S",IF($Z524="CP",$X524,IF($Z524="RA",(($X524)*QCI!$AA$3),0)),SomaAgrup)</f>
        <v>0</v>
      </c>
      <c r="AB524" s="130">
        <f t="shared" ca="1" si="131"/>
        <v>0</v>
      </c>
      <c r="AC524" s="131" t="str">
        <f ca="1">IF($N524="","",IF(ORÇAMENTO.Descricao="","DESCRIÇÃO",IF(AND($C524="S",ORÇAMENTO.Unidade=""),"UNIDADE",IF($X524&lt;0,"VALOR NEGATIVO",IF(OR(AND(TIPOORCAMENTO="Proposto",$AG524&lt;&gt;"",$AG524&gt;0,ORÇAMENTO.CustoUnitario&gt;$AG524),AND(TIPOORCAMENTO="LICITADO",ORÇAMENTO.PrecoUnitarioLicitado&gt;$AN524)),"ACIMA REF.","")))))</f>
        <v/>
      </c>
      <c r="AD524" t="str">
        <f ca="1">IF(C524&lt;=CRONO.NivelExibicao,MAX($AD$15:OFFSET(AD524,-1,0))+IF($C524&lt;&gt;1,1,MAX(1,COUNTIF(QCI!$A$13:$A$24,OFFSET($E524,-1,0)))),"")</f>
        <v/>
      </c>
      <c r="AE524" s="7" t="str">
        <f ca="1">IF(AND($C524="S",ORÇAMENTO.CodBarra&lt;&gt;""),IF(ORÇAMENTO.Fonte="",ORÇAMENTO.CodBarra,CONCATENATE(ORÇAMENTO.Fonte," ",ORÇAMENTO.CodBarra)))</f>
        <v>SINAPI 101564</v>
      </c>
      <c r="AF524" s="13" t="str">
        <f ca="1">IF(ISERROR(INDIRECT(ORÇAMENTO.BancoRef)),"(abra o arquivo 'Referência "&amp;Excel_BuiltIn_Database&amp;".xlsm)",IF(OR($C524&lt;&gt;"S",ORÇAMENTO.CodBarra=""),"(Sem Código)",IF(ISERROR(MATCH($AE524,INDIRECT(ORÇAMENTO.BancoRef),0)),"(Código não identificado nas referências)",MATCH($AE524,INDIRECT(ORÇAMENTO.BancoRef),0))))</f>
        <v>(abra o arquivo 'Referência 06-2024.xlsm)</v>
      </c>
      <c r="AG524" s="498">
        <f ca="1">ROUND(IF(DESONERACAO="sim",REFERENCIA.Desonerado,REFERENCIA.NaoDesonerado),2)</f>
        <v>0</v>
      </c>
      <c r="AH524" s="499">
        <f t="shared" ca="1" si="132"/>
        <v>0.2432</v>
      </c>
      <c r="AJ524" s="501"/>
      <c r="AL524" s="527"/>
      <c r="AM524" s="381">
        <f t="shared" ca="1" si="133"/>
        <v>0</v>
      </c>
      <c r="AN524" s="566">
        <f t="shared" ca="1" si="134"/>
        <v>0</v>
      </c>
    </row>
    <row r="525" spans="1:40" ht="38.25" x14ac:dyDescent="0.2">
      <c r="A525" t="str">
        <f t="shared" si="119"/>
        <v>S</v>
      </c>
      <c r="B525">
        <f t="shared" ca="1" si="120"/>
        <v>2</v>
      </c>
      <c r="C525" t="str">
        <f t="shared" ca="1" si="121"/>
        <v>S</v>
      </c>
      <c r="D525">
        <f t="shared" ca="1" si="122"/>
        <v>0</v>
      </c>
      <c r="E525">
        <f ca="1">IF($C525=1,OFFSET(E525,-1,0)+MAX(1,COUNTIF(QCI!$A$13:$A$24,OFFSET(ORÇAMENTO!E525,-1,0))),OFFSET(E525,-1,0))</f>
        <v>1</v>
      </c>
      <c r="F525">
        <f t="shared" ca="1" si="123"/>
        <v>53</v>
      </c>
      <c r="G525">
        <f t="shared" ca="1" si="124"/>
        <v>0</v>
      </c>
      <c r="H525">
        <f t="shared" ca="1" si="125"/>
        <v>0</v>
      </c>
      <c r="I525">
        <f t="shared" ca="1" si="126"/>
        <v>0</v>
      </c>
      <c r="J525">
        <f t="shared" ca="1" si="118"/>
        <v>0</v>
      </c>
      <c r="K525">
        <f ca="1">IF(OR($C525="S",$C525=0),0,MATCH(OFFSET($D525,0,$C525)+IF($C525&lt;&gt;1,1,COUNTIF(QCI!$A$13:$A$24,ORÇAMENTO!E525)),OFFSET($D525,1,$C525,ROW($C$727)-ROW($C525)),0))</f>
        <v>0</v>
      </c>
      <c r="L525" s="116" t="str">
        <f t="shared" ca="1" si="127"/>
        <v/>
      </c>
      <c r="M525" s="117" t="s">
        <v>199</v>
      </c>
      <c r="N525" s="118" t="str">
        <f t="shared" ca="1" si="128"/>
        <v>Serviço</v>
      </c>
      <c r="O525" s="119" t="str">
        <f t="shared" ca="1" si="129"/>
        <v>-</v>
      </c>
      <c r="P525" s="120" t="s">
        <v>247</v>
      </c>
      <c r="Q525" s="121" t="s">
        <v>882</v>
      </c>
      <c r="R525" s="122" t="str">
        <f ca="1">IF($C525="S",REFERENCIA.Descricao,"(digite a descrição aqui)")</f>
        <v>(abra o arquivo 'Referência 06-2024.xlsm)</v>
      </c>
      <c r="S525" s="123" t="str">
        <f ca="1">REFERENCIA.Unidade</f>
        <v>-</v>
      </c>
      <c r="T525" s="124">
        <f ca="1">OFFSET(CÁLCULO!H$15,ROW($T525)-ROW(T$15),0)</f>
        <v>81.900000000000006</v>
      </c>
      <c r="U525" s="125">
        <f t="shared" ca="1" si="135"/>
        <v>0</v>
      </c>
      <c r="V525" s="126" t="s">
        <v>156</v>
      </c>
      <c r="W525" s="124">
        <f ca="1">IF($C525="S",ROUND(IF(TIPOORCAMENTO="Proposto",ORÇAMENTO.CustoUnitario*(1+$AH525),ORÇAMENTO.PrecoUnitarioLicitado),15-13*$AF$10),0)</f>
        <v>0</v>
      </c>
      <c r="X525" s="127">
        <f ca="1">IF($C525="S",IF(Import.TipoArredondamento&lt;&gt;"TransfereGOV",VTOTAL1,SUM(OFFSET(CÁLCULO!$AI$15,ROW($X525)-ROW($X$15),1):OFFSET(CÁLCULO!$BB$15,ROW($X525)-ROW($X$15),-1))),IF($C525=0,0,ROUND(SomaAgrup,15-13*$AF$11)))</f>
        <v>0</v>
      </c>
      <c r="Y525" s="128" t="s">
        <v>245</v>
      </c>
      <c r="Z525" t="str">
        <f t="shared" ca="1" si="130"/>
        <v/>
      </c>
      <c r="AA525" s="129">
        <f ca="1">IF($C525="S",IF($Z525="CP",$X525,IF($Z525="RA",(($X525)*QCI!$AA$3),0)),SomaAgrup)</f>
        <v>0</v>
      </c>
      <c r="AB525" s="130">
        <f t="shared" ca="1" si="131"/>
        <v>0</v>
      </c>
      <c r="AC525" s="131" t="str">
        <f ca="1">IF($N525="","",IF(ORÇAMENTO.Descricao="","DESCRIÇÃO",IF(AND($C525="S",ORÇAMENTO.Unidade=""),"UNIDADE",IF($X525&lt;0,"VALOR NEGATIVO",IF(OR(AND(TIPOORCAMENTO="Proposto",$AG525&lt;&gt;"",$AG525&gt;0,ORÇAMENTO.CustoUnitario&gt;$AG525),AND(TIPOORCAMENTO="LICITADO",ORÇAMENTO.PrecoUnitarioLicitado&gt;$AN525)),"ACIMA REF.","")))))</f>
        <v/>
      </c>
      <c r="AD525" t="str">
        <f ca="1">IF(C525&lt;=CRONO.NivelExibicao,MAX($AD$15:OFFSET(AD525,-1,0))+IF($C525&lt;&gt;1,1,MAX(1,COUNTIF(QCI!$A$13:$A$24,OFFSET($E525,-1,0)))),"")</f>
        <v/>
      </c>
      <c r="AE525" s="7" t="str">
        <f ca="1">IF(AND($C525="S",ORÇAMENTO.CodBarra&lt;&gt;""),IF(ORÇAMENTO.Fonte="",ORÇAMENTO.CodBarra,CONCATENATE(ORÇAMENTO.Fonte," ",ORÇAMENTO.CodBarra)))</f>
        <v>SINAPI 91930</v>
      </c>
      <c r="AF525" s="13" t="str">
        <f ca="1">IF(ISERROR(INDIRECT(ORÇAMENTO.BancoRef)),"(abra o arquivo 'Referência "&amp;Excel_BuiltIn_Database&amp;".xlsm)",IF(OR($C525&lt;&gt;"S",ORÇAMENTO.CodBarra=""),"(Sem Código)",IF(ISERROR(MATCH($AE525,INDIRECT(ORÇAMENTO.BancoRef),0)),"(Código não identificado nas referências)",MATCH($AE525,INDIRECT(ORÇAMENTO.BancoRef),0))))</f>
        <v>(abra o arquivo 'Referência 06-2024.xlsm)</v>
      </c>
      <c r="AG525" s="498">
        <f ca="1">ROUND(IF(DESONERACAO="sim",REFERENCIA.Desonerado,REFERENCIA.NaoDesonerado),2)</f>
        <v>0</v>
      </c>
      <c r="AH525" s="499">
        <f t="shared" ca="1" si="132"/>
        <v>0.2432</v>
      </c>
      <c r="AJ525" s="501"/>
      <c r="AL525" s="527"/>
      <c r="AM525" s="381">
        <f t="shared" ca="1" si="133"/>
        <v>0</v>
      </c>
      <c r="AN525" s="566">
        <f t="shared" ca="1" si="134"/>
        <v>0</v>
      </c>
    </row>
    <row r="526" spans="1:40" x14ac:dyDescent="0.2">
      <c r="A526">
        <f t="shared" si="119"/>
        <v>2</v>
      </c>
      <c r="B526">
        <f t="shared" ca="1" si="120"/>
        <v>2</v>
      </c>
      <c r="C526">
        <f t="shared" ca="1" si="121"/>
        <v>2</v>
      </c>
      <c r="D526">
        <f t="shared" ca="1" si="122"/>
        <v>4</v>
      </c>
      <c r="E526">
        <f ca="1">IF($C526=1,OFFSET(E526,-1,0)+MAX(1,COUNTIF(QCI!$A$13:$A$24,OFFSET(ORÇAMENTO!E526,-1,0))),OFFSET(E526,-1,0))</f>
        <v>1</v>
      </c>
      <c r="F526">
        <f t="shared" ca="1" si="123"/>
        <v>54</v>
      </c>
      <c r="G526">
        <f t="shared" ca="1" si="124"/>
        <v>0</v>
      </c>
      <c r="H526">
        <f t="shared" ca="1" si="125"/>
        <v>0</v>
      </c>
      <c r="I526">
        <f t="shared" ca="1" si="126"/>
        <v>0</v>
      </c>
      <c r="J526">
        <f t="shared" ca="1" si="118"/>
        <v>201</v>
      </c>
      <c r="K526">
        <f ca="1">IF(OR($C526="S",$C526=0),0,MATCH(OFFSET($D526,0,$C526)+IF($C526&lt;&gt;1,1,COUNTIF(QCI!$A$13:$A$24,ORÇAMENTO!E526)),OFFSET($D526,1,$C526,ROW($C$727)-ROW($C526)),0))</f>
        <v>4</v>
      </c>
      <c r="L526" s="116" t="str">
        <f t="shared" ca="1" si="127"/>
        <v>F</v>
      </c>
      <c r="M526" s="117" t="s">
        <v>196</v>
      </c>
      <c r="N526" s="118" t="str">
        <f t="shared" ca="1" si="128"/>
        <v>Nível 2</v>
      </c>
      <c r="O526" s="119" t="str">
        <f t="shared" ca="1" si="129"/>
        <v>1.54.</v>
      </c>
      <c r="P526" s="120" t="s">
        <v>247</v>
      </c>
      <c r="Q526" s="121"/>
      <c r="R526" s="122" t="s">
        <v>1077</v>
      </c>
      <c r="S526" s="123" t="str">
        <f ca="1">REFERENCIA.Unidade</f>
        <v>-</v>
      </c>
      <c r="T526" s="124">
        <f ca="1">OFFSET(CÁLCULO!H$15,ROW($T526)-ROW(T$15),0)</f>
        <v>0</v>
      </c>
      <c r="U526" s="125">
        <f t="shared" ca="1" si="135"/>
        <v>0</v>
      </c>
      <c r="V526" s="126" t="s">
        <v>156</v>
      </c>
      <c r="W526" s="124">
        <f ca="1">IF($C526="S",ROUND(IF(TIPOORCAMENTO="Proposto",ORÇAMENTO.CustoUnitario*(1+$AH526),ORÇAMENTO.PrecoUnitarioLicitado),15-13*$AF$10),0)</f>
        <v>0</v>
      </c>
      <c r="X526" s="127">
        <f ca="1">IF($C526="S",IF(Import.TipoArredondamento&lt;&gt;"TransfereGOV",VTOTAL1,SUM(OFFSET(CÁLCULO!$AI$15,ROW($X526)-ROW($X$15),1):OFFSET(CÁLCULO!$BB$15,ROW($X526)-ROW($X$15),-1))),IF($C526=0,0,ROUND(SomaAgrup,15-13*$AF$11)))</f>
        <v>0</v>
      </c>
      <c r="Y526" s="128" t="s">
        <v>245</v>
      </c>
      <c r="Z526" t="str">
        <f t="shared" ca="1" si="130"/>
        <v/>
      </c>
      <c r="AA526" s="129">
        <f ca="1">IF($C526="S",IF($Z526="CP",$X526,IF($Z526="RA",(($X526)*QCI!$AA$3),0)),SomaAgrup)</f>
        <v>0</v>
      </c>
      <c r="AB526" s="130">
        <f t="shared" ca="1" si="131"/>
        <v>0</v>
      </c>
      <c r="AC526" s="131" t="str">
        <f ca="1">IF($N526="","",IF(ORÇAMENTO.Descricao="","DESCRIÇÃO",IF(AND($C526="S",ORÇAMENTO.Unidade=""),"UNIDADE",IF($X526&lt;0,"VALOR NEGATIVO",IF(OR(AND(TIPOORCAMENTO="Proposto",$AG526&lt;&gt;"",$AG526&gt;0,ORÇAMENTO.CustoUnitario&gt;$AG526),AND(TIPOORCAMENTO="LICITADO",ORÇAMENTO.PrecoUnitarioLicitado&gt;$AN526)),"ACIMA REF.","")))))</f>
        <v/>
      </c>
      <c r="AD526">
        <f ca="1">IF(C526&lt;=CRONO.NivelExibicao,MAX($AD$15:OFFSET(AD526,-1,0))+IF($C526&lt;&gt;1,1,MAX(1,COUNTIF(QCI!$A$13:$A$24,OFFSET($E526,-1,0)))),"")</f>
        <v>55</v>
      </c>
      <c r="AE526" s="7" t="b">
        <f ca="1">IF(AND($C526="S",ORÇAMENTO.CodBarra&lt;&gt;""),IF(ORÇAMENTO.Fonte="",ORÇAMENTO.CodBarra,CONCATENATE(ORÇAMENTO.Fonte," ",ORÇAMENTO.CodBarra)))</f>
        <v>0</v>
      </c>
      <c r="AF526" s="13" t="str">
        <f ca="1">IF(ISERROR(INDIRECT(ORÇAMENTO.BancoRef)),"(abra o arquivo 'Referência "&amp;Excel_BuiltIn_Database&amp;".xlsm)",IF(OR($C526&lt;&gt;"S",ORÇAMENTO.CodBarra=""),"(Sem Código)",IF(ISERROR(MATCH($AE526,INDIRECT(ORÇAMENTO.BancoRef),0)),"(Código não identificado nas referências)",MATCH($AE526,INDIRECT(ORÇAMENTO.BancoRef),0))))</f>
        <v>(abra o arquivo 'Referência 06-2024.xlsm)</v>
      </c>
      <c r="AG526" s="498">
        <f ca="1">ROUND(IF(DESONERACAO="sim",REFERENCIA.Desonerado,REFERENCIA.NaoDesonerado),2)</f>
        <v>0</v>
      </c>
      <c r="AH526" s="499">
        <f t="shared" ca="1" si="132"/>
        <v>0.2432</v>
      </c>
      <c r="AJ526" s="501"/>
      <c r="AL526" s="527"/>
      <c r="AM526" s="381">
        <f t="shared" ca="1" si="133"/>
        <v>0</v>
      </c>
      <c r="AN526" s="566">
        <f t="shared" ca="1" si="134"/>
        <v>0</v>
      </c>
    </row>
    <row r="527" spans="1:40" ht="25.5" x14ac:dyDescent="0.2">
      <c r="A527" t="str">
        <f t="shared" si="119"/>
        <v>S</v>
      </c>
      <c r="B527">
        <f t="shared" ca="1" si="120"/>
        <v>2</v>
      </c>
      <c r="C527" t="str">
        <f t="shared" ca="1" si="121"/>
        <v>S</v>
      </c>
      <c r="D527">
        <f t="shared" ca="1" si="122"/>
        <v>0</v>
      </c>
      <c r="E527">
        <f ca="1">IF($C527=1,OFFSET(E527,-1,0)+MAX(1,COUNTIF(QCI!$A$13:$A$24,OFFSET(ORÇAMENTO!E527,-1,0))),OFFSET(E527,-1,0))</f>
        <v>1</v>
      </c>
      <c r="F527">
        <f t="shared" ca="1" si="123"/>
        <v>54</v>
      </c>
      <c r="G527">
        <f t="shared" ca="1" si="124"/>
        <v>0</v>
      </c>
      <c r="H527">
        <f t="shared" ca="1" si="125"/>
        <v>0</v>
      </c>
      <c r="I527">
        <f t="shared" ca="1" si="126"/>
        <v>0</v>
      </c>
      <c r="J527">
        <f t="shared" ca="1" si="118"/>
        <v>0</v>
      </c>
      <c r="K527">
        <f ca="1">IF(OR($C527="S",$C527=0),0,MATCH(OFFSET($D527,0,$C527)+IF($C527&lt;&gt;1,1,COUNTIF(QCI!$A$13:$A$24,ORÇAMENTO!E527)),OFFSET($D527,1,$C527,ROW($C$727)-ROW($C527)),0))</f>
        <v>0</v>
      </c>
      <c r="L527" s="116" t="str">
        <f t="shared" ca="1" si="127"/>
        <v/>
      </c>
      <c r="M527" s="117" t="s">
        <v>199</v>
      </c>
      <c r="N527" s="118" t="str">
        <f t="shared" ca="1" si="128"/>
        <v>Serviço</v>
      </c>
      <c r="O527" s="119" t="str">
        <f t="shared" ca="1" si="129"/>
        <v>-</v>
      </c>
      <c r="P527" s="120" t="s">
        <v>247</v>
      </c>
      <c r="Q527" s="121" t="s">
        <v>883</v>
      </c>
      <c r="R527" s="122" t="str">
        <f ca="1">IF($C527="S",REFERENCIA.Descricao,"(digite a descrição aqui)")</f>
        <v>(abra o arquivo 'Referência 06-2024.xlsm)</v>
      </c>
      <c r="S527" s="123" t="str">
        <f ca="1">REFERENCIA.Unidade</f>
        <v>-</v>
      </c>
      <c r="T527" s="124">
        <f ca="1">OFFSET(CÁLCULO!H$15,ROW($T527)-ROW(T$15),0)</f>
        <v>3</v>
      </c>
      <c r="U527" s="125">
        <f t="shared" ca="1" si="135"/>
        <v>0</v>
      </c>
      <c r="V527" s="126" t="s">
        <v>156</v>
      </c>
      <c r="W527" s="124">
        <f ca="1">IF($C527="S",ROUND(IF(TIPOORCAMENTO="Proposto",ORÇAMENTO.CustoUnitario*(1+$AH527),ORÇAMENTO.PrecoUnitarioLicitado),15-13*$AF$10),0)</f>
        <v>0</v>
      </c>
      <c r="X527" s="127">
        <f ca="1">IF($C527="S",IF(Import.TipoArredondamento&lt;&gt;"TransfereGOV",VTOTAL1,SUM(OFFSET(CÁLCULO!$AI$15,ROW($X527)-ROW($X$15),1):OFFSET(CÁLCULO!$BB$15,ROW($X527)-ROW($X$15),-1))),IF($C527=0,0,ROUND(SomaAgrup,15-13*$AF$11)))</f>
        <v>0</v>
      </c>
      <c r="Y527" s="128" t="s">
        <v>245</v>
      </c>
      <c r="Z527" t="str">
        <f t="shared" ca="1" si="130"/>
        <v/>
      </c>
      <c r="AA527" s="129">
        <f ca="1">IF($C527="S",IF($Z527="CP",$X527,IF($Z527="RA",(($X527)*QCI!$AA$3),0)),SomaAgrup)</f>
        <v>0</v>
      </c>
      <c r="AB527" s="130">
        <f t="shared" ca="1" si="131"/>
        <v>0</v>
      </c>
      <c r="AC527" s="131" t="str">
        <f ca="1">IF($N527="","",IF(ORÇAMENTO.Descricao="","DESCRIÇÃO",IF(AND($C527="S",ORÇAMENTO.Unidade=""),"UNIDADE",IF($X527&lt;0,"VALOR NEGATIVO",IF(OR(AND(TIPOORCAMENTO="Proposto",$AG527&lt;&gt;"",$AG527&gt;0,ORÇAMENTO.CustoUnitario&gt;$AG527),AND(TIPOORCAMENTO="LICITADO",ORÇAMENTO.PrecoUnitarioLicitado&gt;$AN527)),"ACIMA REF.","")))))</f>
        <v/>
      </c>
      <c r="AD527" t="str">
        <f ca="1">IF(C527&lt;=CRONO.NivelExibicao,MAX($AD$15:OFFSET(AD527,-1,0))+IF($C527&lt;&gt;1,1,MAX(1,COUNTIF(QCI!$A$13:$A$24,OFFSET($E527,-1,0)))),"")</f>
        <v/>
      </c>
      <c r="AE527" s="7" t="str">
        <f ca="1">IF(AND($C527="S",ORÇAMENTO.CodBarra&lt;&gt;""),IF(ORÇAMENTO.Fonte="",ORÇAMENTO.CodBarra,CONCATENATE(ORÇAMENTO.Fonte," ",ORÇAMENTO.CodBarra)))</f>
        <v>SINAPI 100556</v>
      </c>
      <c r="AF527" s="13" t="str">
        <f ca="1">IF(ISERROR(INDIRECT(ORÇAMENTO.BancoRef)),"(abra o arquivo 'Referência "&amp;Excel_BuiltIn_Database&amp;".xlsm)",IF(OR($C527&lt;&gt;"S",ORÇAMENTO.CodBarra=""),"(Sem Código)",IF(ISERROR(MATCH($AE527,INDIRECT(ORÇAMENTO.BancoRef),0)),"(Código não identificado nas referências)",MATCH($AE527,INDIRECT(ORÇAMENTO.BancoRef),0))))</f>
        <v>(abra o arquivo 'Referência 06-2024.xlsm)</v>
      </c>
      <c r="AG527" s="498">
        <f ca="1">ROUND(IF(DESONERACAO="sim",REFERENCIA.Desonerado,REFERENCIA.NaoDesonerado),2)</f>
        <v>0</v>
      </c>
      <c r="AH527" s="499">
        <f t="shared" ca="1" si="132"/>
        <v>0.2432</v>
      </c>
      <c r="AJ527" s="501"/>
      <c r="AL527" s="527"/>
      <c r="AM527" s="381">
        <f t="shared" ca="1" si="133"/>
        <v>0</v>
      </c>
      <c r="AN527" s="566">
        <f t="shared" ca="1" si="134"/>
        <v>0</v>
      </c>
    </row>
    <row r="528" spans="1:40" ht="38.25" x14ac:dyDescent="0.2">
      <c r="A528" t="str">
        <f t="shared" si="119"/>
        <v>S</v>
      </c>
      <c r="B528">
        <f t="shared" ca="1" si="120"/>
        <v>2</v>
      </c>
      <c r="C528" t="str">
        <f t="shared" ca="1" si="121"/>
        <v>S</v>
      </c>
      <c r="D528">
        <f t="shared" ca="1" si="122"/>
        <v>0</v>
      </c>
      <c r="E528">
        <f ca="1">IF($C528=1,OFFSET(E528,-1,0)+MAX(1,COUNTIF(QCI!$A$13:$A$24,OFFSET(ORÇAMENTO!E528,-1,0))),OFFSET(E528,-1,0))</f>
        <v>1</v>
      </c>
      <c r="F528">
        <f t="shared" ca="1" si="123"/>
        <v>54</v>
      </c>
      <c r="G528">
        <f t="shared" ca="1" si="124"/>
        <v>0</v>
      </c>
      <c r="H528">
        <f t="shared" ca="1" si="125"/>
        <v>0</v>
      </c>
      <c r="I528">
        <f t="shared" ca="1" si="126"/>
        <v>0</v>
      </c>
      <c r="J528">
        <f t="shared" ref="J528:J591" ca="1" si="136">IF(OR($C528="S",$C528=0),0,MATCH(0,OFFSET($D528,1,$C528,ROW($C$727)-ROW($C528)),0))</f>
        <v>0</v>
      </c>
      <c r="K528">
        <f ca="1">IF(OR($C528="S",$C528=0),0,MATCH(OFFSET($D528,0,$C528)+IF($C528&lt;&gt;1,1,COUNTIF(QCI!$A$13:$A$24,ORÇAMENTO!E528)),OFFSET($D528,1,$C528,ROW($C$727)-ROW($C528)),0))</f>
        <v>0</v>
      </c>
      <c r="L528" s="116" t="str">
        <f t="shared" ca="1" si="127"/>
        <v/>
      </c>
      <c r="M528" s="117" t="s">
        <v>199</v>
      </c>
      <c r="N528" s="118" t="str">
        <f t="shared" ca="1" si="128"/>
        <v>Serviço</v>
      </c>
      <c r="O528" s="119" t="str">
        <f t="shared" ca="1" si="129"/>
        <v>-</v>
      </c>
      <c r="P528" s="120" t="s">
        <v>885</v>
      </c>
      <c r="Q528" s="121" t="s">
        <v>886</v>
      </c>
      <c r="R528" s="122" t="str">
        <f ca="1">IF($C528="S",REFERENCIA.Descricao,"(digite a descrição aqui)")</f>
        <v>(abra o arquivo 'Referência 06-2024.xlsm)</v>
      </c>
      <c r="S528" s="123" t="str">
        <f ca="1">REFERENCIA.Unidade</f>
        <v>-</v>
      </c>
      <c r="T528" s="124">
        <f ca="1">OFFSET(CÁLCULO!H$15,ROW($T528)-ROW(T$15),0)</f>
        <v>2</v>
      </c>
      <c r="U528" s="125">
        <f t="shared" ca="1" si="135"/>
        <v>0</v>
      </c>
      <c r="V528" s="126" t="s">
        <v>156</v>
      </c>
      <c r="W528" s="124">
        <f ca="1">IF($C528="S",ROUND(IF(TIPOORCAMENTO="Proposto",ORÇAMENTO.CustoUnitario*(1+$AH528),ORÇAMENTO.PrecoUnitarioLicitado),15-13*$AF$10),0)</f>
        <v>0</v>
      </c>
      <c r="X528" s="127">
        <f ca="1">IF($C528="S",IF(Import.TipoArredondamento&lt;&gt;"TransfereGOV",VTOTAL1,SUM(OFFSET(CÁLCULO!$AI$15,ROW($X528)-ROW($X$15),1):OFFSET(CÁLCULO!$BB$15,ROW($X528)-ROW($X$15),-1))),IF($C528=0,0,ROUND(SomaAgrup,15-13*$AF$11)))</f>
        <v>0</v>
      </c>
      <c r="Y528" s="128" t="s">
        <v>245</v>
      </c>
      <c r="Z528" t="str">
        <f t="shared" ca="1" si="130"/>
        <v/>
      </c>
      <c r="AA528" s="129">
        <f ca="1">IF($C528="S",IF($Z528="CP",$X528,IF($Z528="RA",(($X528)*QCI!$AA$3),0)),SomaAgrup)</f>
        <v>0</v>
      </c>
      <c r="AB528" s="130">
        <f t="shared" ca="1" si="131"/>
        <v>0</v>
      </c>
      <c r="AC528" s="131" t="str">
        <f ca="1">IF($N528="","",IF(ORÇAMENTO.Descricao="","DESCRIÇÃO",IF(AND($C528="S",ORÇAMENTO.Unidade=""),"UNIDADE",IF($X528&lt;0,"VALOR NEGATIVO",IF(OR(AND(TIPOORCAMENTO="Proposto",$AG528&lt;&gt;"",$AG528&gt;0,ORÇAMENTO.CustoUnitario&gt;$AG528),AND(TIPOORCAMENTO="LICITADO",ORÇAMENTO.PrecoUnitarioLicitado&gt;$AN528)),"ACIMA REF.","")))))</f>
        <v/>
      </c>
      <c r="AD528" t="str">
        <f ca="1">IF(C528&lt;=CRONO.NivelExibicao,MAX($AD$15:OFFSET(AD528,-1,0))+IF($C528&lt;&gt;1,1,MAX(1,COUNTIF(QCI!$A$13:$A$24,OFFSET($E528,-1,0)))),"")</f>
        <v/>
      </c>
      <c r="AE528" s="7" t="str">
        <f ca="1">IF(AND($C528="S",ORÇAMENTO.CodBarra&lt;&gt;""),IF(ORÇAMENTO.Fonte="",ORÇAMENTO.CodBarra,CONCATENATE(ORÇAMENTO.Fonte," ",ORÇAMENTO.CodBarra)))</f>
        <v>SINAPI-I 43097</v>
      </c>
      <c r="AF528" s="13" t="str">
        <f ca="1">IF(ISERROR(INDIRECT(ORÇAMENTO.BancoRef)),"(abra o arquivo 'Referência "&amp;Excel_BuiltIn_Database&amp;".xlsm)",IF(OR($C528&lt;&gt;"S",ORÇAMENTO.CodBarra=""),"(Sem Código)",IF(ISERROR(MATCH($AE528,INDIRECT(ORÇAMENTO.BancoRef),0)),"(Código não identificado nas referências)",MATCH($AE528,INDIRECT(ORÇAMENTO.BancoRef),0))))</f>
        <v>(abra o arquivo 'Referência 06-2024.xlsm)</v>
      </c>
      <c r="AG528" s="498">
        <f ca="1">ROUND(IF(DESONERACAO="sim",REFERENCIA.Desonerado,REFERENCIA.NaoDesonerado),2)</f>
        <v>0</v>
      </c>
      <c r="AH528" s="499">
        <f t="shared" ca="1" si="132"/>
        <v>0.2432</v>
      </c>
      <c r="AJ528" s="501"/>
      <c r="AL528" s="527"/>
      <c r="AM528" s="381">
        <f t="shared" ca="1" si="133"/>
        <v>0</v>
      </c>
      <c r="AN528" s="566">
        <f t="shared" ca="1" si="134"/>
        <v>0</v>
      </c>
    </row>
    <row r="529" spans="1:40" ht="38.25" x14ac:dyDescent="0.2">
      <c r="A529" t="str">
        <f t="shared" ref="A529:A587" si="137">CHOOSE(1+LOG(1+2*(ORÇAMENTO.Nivel="Meta")+4*(ORÇAMENTO.Nivel="Nível 2")+8*(ORÇAMENTO.Nivel="Nível 3")+16*(ORÇAMENTO.Nivel="Nível 4")+32*(ORÇAMENTO.Nivel="Serviço"),2),0,1,2,3,4,"S")</f>
        <v>S</v>
      </c>
      <c r="B529">
        <f t="shared" ca="1" si="120"/>
        <v>2</v>
      </c>
      <c r="C529" t="str">
        <f t="shared" ca="1" si="121"/>
        <v>S</v>
      </c>
      <c r="D529">
        <f t="shared" ca="1" si="122"/>
        <v>0</v>
      </c>
      <c r="E529">
        <f ca="1">IF($C529=1,OFFSET(E529,-1,0)+MAX(1,COUNTIF(QCI!$A$13:$A$24,OFFSET(ORÇAMENTO!E529,-1,0))),OFFSET(E529,-1,0))</f>
        <v>1</v>
      </c>
      <c r="F529">
        <f t="shared" ca="1" si="123"/>
        <v>54</v>
      </c>
      <c r="G529">
        <f t="shared" ca="1" si="124"/>
        <v>0</v>
      </c>
      <c r="H529">
        <f t="shared" ca="1" si="125"/>
        <v>0</v>
      </c>
      <c r="I529">
        <f t="shared" ca="1" si="126"/>
        <v>0</v>
      </c>
      <c r="J529">
        <f t="shared" ca="1" si="136"/>
        <v>0</v>
      </c>
      <c r="K529">
        <f ca="1">IF(OR($C529="S",$C529=0),0,MATCH(OFFSET($D529,0,$C529)+IF($C529&lt;&gt;1,1,COUNTIF(QCI!$A$13:$A$24,ORÇAMENTO!E529)),OFFSET($D529,1,$C529,ROW($C$727)-ROW($C529)),0))</f>
        <v>0</v>
      </c>
      <c r="L529" s="116" t="str">
        <f t="shared" ca="1" si="127"/>
        <v/>
      </c>
      <c r="M529" s="117" t="s">
        <v>199</v>
      </c>
      <c r="N529" s="118" t="str">
        <f t="shared" ca="1" si="128"/>
        <v>Serviço</v>
      </c>
      <c r="O529" s="119" t="str">
        <f t="shared" ca="1" si="129"/>
        <v>-</v>
      </c>
      <c r="P529" s="120" t="s">
        <v>247</v>
      </c>
      <c r="Q529" s="121" t="s">
        <v>884</v>
      </c>
      <c r="R529" s="122" t="str">
        <f ca="1">IF($C529="S",REFERENCIA.Descricao,"(digite a descrição aqui)")</f>
        <v>(abra o arquivo 'Referência 06-2024.xlsm)</v>
      </c>
      <c r="S529" s="123" t="str">
        <f ca="1">REFERENCIA.Unidade</f>
        <v>-</v>
      </c>
      <c r="T529" s="124">
        <f ca="1">OFFSET(CÁLCULO!H$15,ROW($T529)-ROW(T$15),0)</f>
        <v>14</v>
      </c>
      <c r="U529" s="125">
        <f t="shared" ca="1" si="135"/>
        <v>0</v>
      </c>
      <c r="V529" s="126" t="s">
        <v>156</v>
      </c>
      <c r="W529" s="124">
        <f ca="1">IF($C529="S",ROUND(IF(TIPOORCAMENTO="Proposto",ORÇAMENTO.CustoUnitario*(1+$AH529),ORÇAMENTO.PrecoUnitarioLicitado),15-13*$AF$10),0)</f>
        <v>0</v>
      </c>
      <c r="X529" s="127">
        <f ca="1">IF($C529="S",IF(Import.TipoArredondamento&lt;&gt;"TransfereGOV",VTOTAL1,SUM(OFFSET(CÁLCULO!$AI$15,ROW($X529)-ROW($X$15),1):OFFSET(CÁLCULO!$BB$15,ROW($X529)-ROW($X$15),-1))),IF($C529=0,0,ROUND(SomaAgrup,15-13*$AF$11)))</f>
        <v>0</v>
      </c>
      <c r="Y529" s="128" t="s">
        <v>245</v>
      </c>
      <c r="Z529" t="str">
        <f t="shared" ca="1" si="130"/>
        <v/>
      </c>
      <c r="AA529" s="129">
        <f ca="1">IF($C529="S",IF($Z529="CP",$X529,IF($Z529="RA",(($X529)*QCI!$AA$3),0)),SomaAgrup)</f>
        <v>0</v>
      </c>
      <c r="AB529" s="130">
        <f t="shared" ref="AB529:AB587" ca="1" si="138">IF($C529="S",IF($Z529="OU",ROUND($X529,2),0),SomaAgrup)</f>
        <v>0</v>
      </c>
      <c r="AC529" s="131" t="str">
        <f ca="1">IF($N529="","",IF(ORÇAMENTO.Descricao="","DESCRIÇÃO",IF(AND($C529="S",ORÇAMENTO.Unidade=""),"UNIDADE",IF($X529&lt;0,"VALOR NEGATIVO",IF(OR(AND(TIPOORCAMENTO="Proposto",$AG529&lt;&gt;"",$AG529&gt;0,ORÇAMENTO.CustoUnitario&gt;$AG529),AND(TIPOORCAMENTO="LICITADO",ORÇAMENTO.PrecoUnitarioLicitado&gt;$AN529)),"ACIMA REF.","")))))</f>
        <v/>
      </c>
      <c r="AD529" t="str">
        <f ca="1">IF(C529&lt;=CRONO.NivelExibicao,MAX($AD$15:OFFSET(AD529,-1,0))+IF($C529&lt;&gt;1,1,MAX(1,COUNTIF(QCI!$A$13:$A$24,OFFSET($E529,-1,0)))),"")</f>
        <v/>
      </c>
      <c r="AE529" s="7" t="str">
        <f ca="1">IF(AND($C529="S",ORÇAMENTO.CodBarra&lt;&gt;""),IF(ORÇAMENTO.Fonte="",ORÇAMENTO.CodBarra,CONCATENATE(ORÇAMENTO.Fonte," ",ORÇAMENTO.CodBarra)))</f>
        <v>SINAPI 97891</v>
      </c>
      <c r="AF529" s="13" t="str">
        <f ca="1">IF(ISERROR(INDIRECT(ORÇAMENTO.BancoRef)),"(abra o arquivo 'Referência "&amp;Excel_BuiltIn_Database&amp;".xlsm)",IF(OR($C529&lt;&gt;"S",ORÇAMENTO.CodBarra=""),"(Sem Código)",IF(ISERROR(MATCH($AE529,INDIRECT(ORÇAMENTO.BancoRef),0)),"(Código não identificado nas referências)",MATCH($AE529,INDIRECT(ORÇAMENTO.BancoRef),0))))</f>
        <v>(abra o arquivo 'Referência 06-2024.xlsm)</v>
      </c>
      <c r="AG529" s="498">
        <f ca="1">ROUND(IF(DESONERACAO="sim",REFERENCIA.Desonerado,REFERENCIA.NaoDesonerado),2)</f>
        <v>0</v>
      </c>
      <c r="AH529" s="499">
        <f t="shared" ref="AH529:AH587" ca="1" si="139">ROUND(IF(ISNUMBER(ORÇAMENTO.OpcaoBDI),ORÇAMENTO.OpcaoBDI,IF(LEFT(ORÇAMENTO.OpcaoBDI,3)="BDI",HLOOKUP(ORÇAMENTO.OpcaoBDI,$F$4:$H$5,2,FALSE),0)),15-11*$AF$9)</f>
        <v>0.2432</v>
      </c>
      <c r="AJ529" s="501"/>
      <c r="AL529" s="527"/>
      <c r="AM529" s="381">
        <f t="shared" ca="1" si="133"/>
        <v>0</v>
      </c>
      <c r="AN529" s="566">
        <f t="shared" ref="AN529:AN587" ca="1" si="140">ROUND(ORÇAMENTO.CustoUnitario*(1+$AH529),2)</f>
        <v>0</v>
      </c>
    </row>
    <row r="530" spans="1:40" x14ac:dyDescent="0.2">
      <c r="A530">
        <f t="shared" si="137"/>
        <v>2</v>
      </c>
      <c r="B530">
        <f t="shared" ca="1" si="120"/>
        <v>2</v>
      </c>
      <c r="C530">
        <f t="shared" ca="1" si="121"/>
        <v>2</v>
      </c>
      <c r="D530">
        <f t="shared" ca="1" si="122"/>
        <v>13</v>
      </c>
      <c r="E530">
        <f ca="1">IF($C530=1,OFFSET(E530,-1,0)+MAX(1,COUNTIF(QCI!$A$13:$A$24,OFFSET(ORÇAMENTO!E530,-1,0))),OFFSET(E530,-1,0))</f>
        <v>1</v>
      </c>
      <c r="F530">
        <f t="shared" ca="1" si="123"/>
        <v>55</v>
      </c>
      <c r="G530">
        <f t="shared" ca="1" si="124"/>
        <v>0</v>
      </c>
      <c r="H530">
        <f t="shared" ca="1" si="125"/>
        <v>0</v>
      </c>
      <c r="I530">
        <f t="shared" ca="1" si="126"/>
        <v>0</v>
      </c>
      <c r="J530">
        <f t="shared" ca="1" si="136"/>
        <v>197</v>
      </c>
      <c r="K530">
        <f ca="1">IF(OR($C530="S",$C530=0),0,MATCH(OFFSET($D530,0,$C530)+IF($C530&lt;&gt;1,1,COUNTIF(QCI!$A$13:$A$24,ORÇAMENTO!E530)),OFFSET($D530,1,$C530,ROW($C$727)-ROW($C530)),0))</f>
        <v>13</v>
      </c>
      <c r="L530" s="116" t="str">
        <f t="shared" ca="1" si="127"/>
        <v>F</v>
      </c>
      <c r="M530" s="117" t="s">
        <v>196</v>
      </c>
      <c r="N530" s="118" t="str">
        <f t="shared" ca="1" si="128"/>
        <v>Nível 2</v>
      </c>
      <c r="O530" s="119" t="str">
        <f t="shared" ca="1" si="129"/>
        <v>1.55.</v>
      </c>
      <c r="P530" s="120" t="s">
        <v>247</v>
      </c>
      <c r="Q530" s="121"/>
      <c r="R530" s="122" t="s">
        <v>1078</v>
      </c>
      <c r="S530" s="123" t="str">
        <f ca="1">REFERENCIA.Unidade</f>
        <v>-</v>
      </c>
      <c r="T530" s="124">
        <f ca="1">OFFSET(CÁLCULO!H$15,ROW($T530)-ROW(T$15),0)</f>
        <v>0</v>
      </c>
      <c r="U530" s="125">
        <f t="shared" ca="1" si="135"/>
        <v>0</v>
      </c>
      <c r="V530" s="126" t="s">
        <v>156</v>
      </c>
      <c r="W530" s="124">
        <f ca="1">IF($C530="S",ROUND(IF(TIPOORCAMENTO="Proposto",ORÇAMENTO.CustoUnitario*(1+$AH530),ORÇAMENTO.PrecoUnitarioLicitado),15-13*$AF$10),0)</f>
        <v>0</v>
      </c>
      <c r="X530" s="127">
        <f ca="1">IF($C530="S",IF(Import.TipoArredondamento&lt;&gt;"TransfereGOV",VTOTAL1,SUM(OFFSET(CÁLCULO!$AI$15,ROW($X530)-ROW($X$15),1):OFFSET(CÁLCULO!$BB$15,ROW($X530)-ROW($X$15),-1))),IF($C530=0,0,ROUND(SomaAgrup,15-13*$AF$11)))</f>
        <v>0</v>
      </c>
      <c r="Y530" s="128" t="s">
        <v>245</v>
      </c>
      <c r="Z530" t="str">
        <f t="shared" ca="1" si="130"/>
        <v/>
      </c>
      <c r="AA530" s="129">
        <f ca="1">IF($C530="S",IF($Z530="CP",$X530,IF($Z530="RA",(($X530)*QCI!$AA$3),0)),SomaAgrup)</f>
        <v>0</v>
      </c>
      <c r="AB530" s="130">
        <f t="shared" ca="1" si="138"/>
        <v>0</v>
      </c>
      <c r="AC530" s="131" t="str">
        <f ca="1">IF($N530="","",IF(ORÇAMENTO.Descricao="","DESCRIÇÃO",IF(AND($C530="S",ORÇAMENTO.Unidade=""),"UNIDADE",IF($X530&lt;0,"VALOR NEGATIVO",IF(OR(AND(TIPOORCAMENTO="Proposto",$AG530&lt;&gt;"",$AG530&gt;0,ORÇAMENTO.CustoUnitario&gt;$AG530),AND(TIPOORCAMENTO="LICITADO",ORÇAMENTO.PrecoUnitarioLicitado&gt;$AN530)),"ACIMA REF.","")))))</f>
        <v/>
      </c>
      <c r="AD530">
        <f ca="1">IF(C530&lt;=CRONO.NivelExibicao,MAX($AD$15:OFFSET(AD530,-1,0))+IF($C530&lt;&gt;1,1,MAX(1,COUNTIF(QCI!$A$13:$A$24,OFFSET($E530,-1,0)))),"")</f>
        <v>56</v>
      </c>
      <c r="AE530" s="7" t="b">
        <f ca="1">IF(AND($C530="S",ORÇAMENTO.CodBarra&lt;&gt;""),IF(ORÇAMENTO.Fonte="",ORÇAMENTO.CodBarra,CONCATENATE(ORÇAMENTO.Fonte," ",ORÇAMENTO.CodBarra)))</f>
        <v>0</v>
      </c>
      <c r="AF530" s="13" t="str">
        <f ca="1">IF(ISERROR(INDIRECT(ORÇAMENTO.BancoRef)),"(abra o arquivo 'Referência "&amp;Excel_BuiltIn_Database&amp;".xlsm)",IF(OR($C530&lt;&gt;"S",ORÇAMENTO.CodBarra=""),"(Sem Código)",IF(ISERROR(MATCH($AE530,INDIRECT(ORÇAMENTO.BancoRef),0)),"(Código não identificado nas referências)",MATCH($AE530,INDIRECT(ORÇAMENTO.BancoRef),0))))</f>
        <v>(abra o arquivo 'Referência 06-2024.xlsm)</v>
      </c>
      <c r="AG530" s="498">
        <f ca="1">ROUND(IF(DESONERACAO="sim",REFERENCIA.Desonerado,REFERENCIA.NaoDesonerado),2)</f>
        <v>0</v>
      </c>
      <c r="AH530" s="499">
        <f t="shared" ca="1" si="139"/>
        <v>0.2432</v>
      </c>
      <c r="AJ530" s="501"/>
      <c r="AL530" s="527"/>
      <c r="AM530" s="381">
        <f t="shared" ca="1" si="133"/>
        <v>0</v>
      </c>
      <c r="AN530" s="566">
        <f t="shared" ca="1" si="140"/>
        <v>0</v>
      </c>
    </row>
    <row r="531" spans="1:40" ht="25.5" x14ac:dyDescent="0.2">
      <c r="A531" t="str">
        <f t="shared" si="137"/>
        <v>S</v>
      </c>
      <c r="B531">
        <f t="shared" ca="1" si="120"/>
        <v>2</v>
      </c>
      <c r="C531" t="str">
        <f t="shared" ca="1" si="121"/>
        <v>S</v>
      </c>
      <c r="D531">
        <f t="shared" ca="1" si="122"/>
        <v>0</v>
      </c>
      <c r="E531">
        <f ca="1">IF($C531=1,OFFSET(E531,-1,0)+MAX(1,COUNTIF(QCI!$A$13:$A$24,OFFSET(ORÇAMENTO!E531,-1,0))),OFFSET(E531,-1,0))</f>
        <v>1</v>
      </c>
      <c r="F531">
        <f t="shared" ca="1" si="123"/>
        <v>55</v>
      </c>
      <c r="G531">
        <f t="shared" ca="1" si="124"/>
        <v>0</v>
      </c>
      <c r="H531">
        <f t="shared" ca="1" si="125"/>
        <v>0</v>
      </c>
      <c r="I531">
        <f t="shared" ca="1" si="126"/>
        <v>0</v>
      </c>
      <c r="J531">
        <f t="shared" ca="1" si="136"/>
        <v>0</v>
      </c>
      <c r="K531">
        <f ca="1">IF(OR($C531="S",$C531=0),0,MATCH(OFFSET($D531,0,$C531)+IF($C531&lt;&gt;1,1,COUNTIF(QCI!$A$13:$A$24,ORÇAMENTO!E531)),OFFSET($D531,1,$C531,ROW($C$727)-ROW($C531)),0))</f>
        <v>0</v>
      </c>
      <c r="L531" s="116" t="str">
        <f t="shared" ca="1" si="127"/>
        <v/>
      </c>
      <c r="M531" s="117" t="s">
        <v>199</v>
      </c>
      <c r="N531" s="118" t="str">
        <f t="shared" ca="1" si="128"/>
        <v>Serviço</v>
      </c>
      <c r="O531" s="119" t="str">
        <f t="shared" ca="1" si="129"/>
        <v>-</v>
      </c>
      <c r="P531" s="120" t="s">
        <v>247</v>
      </c>
      <c r="Q531" s="121" t="s">
        <v>887</v>
      </c>
      <c r="R531" s="122" t="str">
        <f ca="1">IF($C531="S",REFERENCIA.Descricao,"(digite a descrição aqui)")</f>
        <v>(abra o arquivo 'Referência 06-2024.xlsm)</v>
      </c>
      <c r="S531" s="123" t="str">
        <f ca="1">REFERENCIA.Unidade</f>
        <v>-</v>
      </c>
      <c r="T531" s="124">
        <f ca="1">OFFSET(CÁLCULO!H$15,ROW($T531)-ROW(T$15),0)</f>
        <v>5</v>
      </c>
      <c r="U531" s="125">
        <f t="shared" ca="1" si="135"/>
        <v>0</v>
      </c>
      <c r="V531" s="126" t="s">
        <v>156</v>
      </c>
      <c r="W531" s="124">
        <f ca="1">IF($C531="S",ROUND(IF(TIPOORCAMENTO="Proposto",ORÇAMENTO.CustoUnitario*(1+$AH531),ORÇAMENTO.PrecoUnitarioLicitado),15-13*$AF$10),0)</f>
        <v>0</v>
      </c>
      <c r="X531" s="127">
        <f ca="1">IF($C531="S",IF(Import.TipoArredondamento&lt;&gt;"TransfereGOV",VTOTAL1,SUM(OFFSET(CÁLCULO!$AI$15,ROW($X531)-ROW($X$15),1):OFFSET(CÁLCULO!$BB$15,ROW($X531)-ROW($X$15),-1))),IF($C531=0,0,ROUND(SomaAgrup,15-13*$AF$11)))</f>
        <v>0</v>
      </c>
      <c r="Y531" s="128" t="s">
        <v>245</v>
      </c>
      <c r="Z531" t="str">
        <f t="shared" ca="1" si="130"/>
        <v/>
      </c>
      <c r="AA531" s="129">
        <f ca="1">IF($C531="S",IF($Z531="CP",$X531,IF($Z531="RA",(($X531)*QCI!$AA$3),0)),SomaAgrup)</f>
        <v>0</v>
      </c>
      <c r="AB531" s="130">
        <f t="shared" ca="1" si="138"/>
        <v>0</v>
      </c>
      <c r="AC531" s="131" t="str">
        <f ca="1">IF($N531="","",IF(ORÇAMENTO.Descricao="","DESCRIÇÃO",IF(AND($C531="S",ORÇAMENTO.Unidade=""),"UNIDADE",IF($X531&lt;0,"VALOR NEGATIVO",IF(OR(AND(TIPOORCAMENTO="Proposto",$AG531&lt;&gt;"",$AG531&gt;0,ORÇAMENTO.CustoUnitario&gt;$AG531),AND(TIPOORCAMENTO="LICITADO",ORÇAMENTO.PrecoUnitarioLicitado&gt;$AN531)),"ACIMA REF.","")))))</f>
        <v/>
      </c>
      <c r="AD531" t="str">
        <f ca="1">IF(C531&lt;=CRONO.NivelExibicao,MAX($AD$15:OFFSET(AD531,-1,0))+IF($C531&lt;&gt;1,1,MAX(1,COUNTIF(QCI!$A$13:$A$24,OFFSET($E531,-1,0)))),"")</f>
        <v/>
      </c>
      <c r="AE531" s="7" t="str">
        <f ca="1">IF(AND($C531="S",ORÇAMENTO.CodBarra&lt;&gt;""),IF(ORÇAMENTO.Fonte="",ORÇAMENTO.CodBarra,CONCATENATE(ORÇAMENTO.Fonte," ",ORÇAMENTO.CodBarra)))</f>
        <v>SINAPI 91955</v>
      </c>
      <c r="AF531" s="13" t="str">
        <f ca="1">IF(ISERROR(INDIRECT(ORÇAMENTO.BancoRef)),"(abra o arquivo 'Referência "&amp;Excel_BuiltIn_Database&amp;".xlsm)",IF(OR($C531&lt;&gt;"S",ORÇAMENTO.CodBarra=""),"(Sem Código)",IF(ISERROR(MATCH($AE531,INDIRECT(ORÇAMENTO.BancoRef),0)),"(Código não identificado nas referências)",MATCH($AE531,INDIRECT(ORÇAMENTO.BancoRef),0))))</f>
        <v>(abra o arquivo 'Referência 06-2024.xlsm)</v>
      </c>
      <c r="AG531" s="498">
        <f ca="1">ROUND(IF(DESONERACAO="sim",REFERENCIA.Desonerado,REFERENCIA.NaoDesonerado),2)</f>
        <v>0</v>
      </c>
      <c r="AH531" s="499">
        <f t="shared" ca="1" si="139"/>
        <v>0.2432</v>
      </c>
      <c r="AJ531" s="501"/>
      <c r="AL531" s="527"/>
      <c r="AM531" s="381">
        <f t="shared" ca="1" si="133"/>
        <v>0</v>
      </c>
      <c r="AN531" s="566">
        <f t="shared" ca="1" si="140"/>
        <v>0</v>
      </c>
    </row>
    <row r="532" spans="1:40" ht="25.5" x14ac:dyDescent="0.2">
      <c r="A532" t="str">
        <f t="shared" si="137"/>
        <v>S</v>
      </c>
      <c r="B532">
        <f t="shared" ca="1" si="120"/>
        <v>2</v>
      </c>
      <c r="C532" t="str">
        <f t="shared" ca="1" si="121"/>
        <v>S</v>
      </c>
      <c r="D532">
        <f t="shared" ca="1" si="122"/>
        <v>0</v>
      </c>
      <c r="E532">
        <f ca="1">IF($C532=1,OFFSET(E532,-1,0)+MAX(1,COUNTIF(QCI!$A$13:$A$24,OFFSET(ORÇAMENTO!E532,-1,0))),OFFSET(E532,-1,0))</f>
        <v>1</v>
      </c>
      <c r="F532">
        <f t="shared" ca="1" si="123"/>
        <v>55</v>
      </c>
      <c r="G532">
        <f t="shared" ca="1" si="124"/>
        <v>0</v>
      </c>
      <c r="H532">
        <f t="shared" ca="1" si="125"/>
        <v>0</v>
      </c>
      <c r="I532">
        <f t="shared" ca="1" si="126"/>
        <v>0</v>
      </c>
      <c r="J532">
        <f t="shared" ca="1" si="136"/>
        <v>0</v>
      </c>
      <c r="K532">
        <f ca="1">IF(OR($C532="S",$C532=0),0,MATCH(OFFSET($D532,0,$C532)+IF($C532&lt;&gt;1,1,COUNTIF(QCI!$A$13:$A$24,ORÇAMENTO!E532)),OFFSET($D532,1,$C532,ROW($C$727)-ROW($C532)),0))</f>
        <v>0</v>
      </c>
      <c r="L532" s="116" t="str">
        <f t="shared" ca="1" si="127"/>
        <v/>
      </c>
      <c r="M532" s="117" t="s">
        <v>199</v>
      </c>
      <c r="N532" s="118" t="str">
        <f t="shared" ca="1" si="128"/>
        <v>Serviço</v>
      </c>
      <c r="O532" s="119" t="str">
        <f t="shared" ca="1" si="129"/>
        <v>-</v>
      </c>
      <c r="P532" s="120" t="s">
        <v>247</v>
      </c>
      <c r="Q532" s="121" t="s">
        <v>888</v>
      </c>
      <c r="R532" s="122" t="str">
        <f ca="1">IF($C532="S",REFERENCIA.Descricao,"(digite a descrição aqui)")</f>
        <v>(abra o arquivo 'Referência 06-2024.xlsm)</v>
      </c>
      <c r="S532" s="123" t="str">
        <f ca="1">REFERENCIA.Unidade</f>
        <v>-</v>
      </c>
      <c r="T532" s="124">
        <f ca="1">OFFSET(CÁLCULO!H$15,ROW($T532)-ROW(T$15),0)</f>
        <v>8</v>
      </c>
      <c r="U532" s="125">
        <f t="shared" ca="1" si="135"/>
        <v>0</v>
      </c>
      <c r="V532" s="126" t="s">
        <v>156</v>
      </c>
      <c r="W532" s="124">
        <f ca="1">IF($C532="S",ROUND(IF(TIPOORCAMENTO="Proposto",ORÇAMENTO.CustoUnitario*(1+$AH532),ORÇAMENTO.PrecoUnitarioLicitado),15-13*$AF$10),0)</f>
        <v>0</v>
      </c>
      <c r="X532" s="127">
        <f ca="1">IF($C532="S",IF(Import.TipoArredondamento&lt;&gt;"TransfereGOV",VTOTAL1,SUM(OFFSET(CÁLCULO!$AI$15,ROW($X532)-ROW($X$15),1):OFFSET(CÁLCULO!$BB$15,ROW($X532)-ROW($X$15),-1))),IF($C532=0,0,ROUND(SomaAgrup,15-13*$AF$11)))</f>
        <v>0</v>
      </c>
      <c r="Y532" s="128" t="s">
        <v>245</v>
      </c>
      <c r="Z532" t="str">
        <f t="shared" ca="1" si="130"/>
        <v/>
      </c>
      <c r="AA532" s="129">
        <f ca="1">IF($C532="S",IF($Z532="CP",$X532,IF($Z532="RA",(($X532)*QCI!$AA$3),0)),SomaAgrup)</f>
        <v>0</v>
      </c>
      <c r="AB532" s="130">
        <f t="shared" ca="1" si="138"/>
        <v>0</v>
      </c>
      <c r="AC532" s="131" t="str">
        <f ca="1">IF($N532="","",IF(ORÇAMENTO.Descricao="","DESCRIÇÃO",IF(AND($C532="S",ORÇAMENTO.Unidade=""),"UNIDADE",IF($X532&lt;0,"VALOR NEGATIVO",IF(OR(AND(TIPOORCAMENTO="Proposto",$AG532&lt;&gt;"",$AG532&gt;0,ORÇAMENTO.CustoUnitario&gt;$AG532),AND(TIPOORCAMENTO="LICITADO",ORÇAMENTO.PrecoUnitarioLicitado&gt;$AN532)),"ACIMA REF.","")))))</f>
        <v/>
      </c>
      <c r="AD532" t="str">
        <f ca="1">IF(C532&lt;=CRONO.NivelExibicao,MAX($AD$15:OFFSET(AD532,-1,0))+IF($C532&lt;&gt;1,1,MAX(1,COUNTIF(QCI!$A$13:$A$24,OFFSET($E532,-1,0)))),"")</f>
        <v/>
      </c>
      <c r="AE532" s="7" t="str">
        <f ca="1">IF(AND($C532="S",ORÇAMENTO.CodBarra&lt;&gt;""),IF(ORÇAMENTO.Fonte="",ORÇAMENTO.CodBarra,CONCATENATE(ORÇAMENTO.Fonte," ",ORÇAMENTO.CodBarra)))</f>
        <v>SINAPI 91953</v>
      </c>
      <c r="AF532" s="13" t="str">
        <f ca="1">IF(ISERROR(INDIRECT(ORÇAMENTO.BancoRef)),"(abra o arquivo 'Referência "&amp;Excel_BuiltIn_Database&amp;".xlsm)",IF(OR($C532&lt;&gt;"S",ORÇAMENTO.CodBarra=""),"(Sem Código)",IF(ISERROR(MATCH($AE532,INDIRECT(ORÇAMENTO.BancoRef),0)),"(Código não identificado nas referências)",MATCH($AE532,INDIRECT(ORÇAMENTO.BancoRef),0))))</f>
        <v>(abra o arquivo 'Referência 06-2024.xlsm)</v>
      </c>
      <c r="AG532" s="498">
        <f ca="1">ROUND(IF(DESONERACAO="sim",REFERENCIA.Desonerado,REFERENCIA.NaoDesonerado),2)</f>
        <v>0</v>
      </c>
      <c r="AH532" s="499">
        <f t="shared" ca="1" si="139"/>
        <v>0.2432</v>
      </c>
      <c r="AJ532" s="501"/>
      <c r="AL532" s="527"/>
      <c r="AM532" s="381">
        <f t="shared" ca="1" si="133"/>
        <v>0</v>
      </c>
      <c r="AN532" s="566">
        <f t="shared" ca="1" si="140"/>
        <v>0</v>
      </c>
    </row>
    <row r="533" spans="1:40" ht="25.5" x14ac:dyDescent="0.2">
      <c r="A533" t="str">
        <f t="shared" si="137"/>
        <v>S</v>
      </c>
      <c r="B533">
        <f t="shared" ca="1" si="120"/>
        <v>2</v>
      </c>
      <c r="C533" t="str">
        <f t="shared" ca="1" si="121"/>
        <v>S</v>
      </c>
      <c r="D533">
        <f t="shared" ca="1" si="122"/>
        <v>0</v>
      </c>
      <c r="E533">
        <f ca="1">IF($C533=1,OFFSET(E533,-1,0)+MAX(1,COUNTIF(QCI!$A$13:$A$24,OFFSET(ORÇAMENTO!E533,-1,0))),OFFSET(E533,-1,0))</f>
        <v>1</v>
      </c>
      <c r="F533">
        <f t="shared" ca="1" si="123"/>
        <v>55</v>
      </c>
      <c r="G533">
        <f t="shared" ca="1" si="124"/>
        <v>0</v>
      </c>
      <c r="H533">
        <f t="shared" ca="1" si="125"/>
        <v>0</v>
      </c>
      <c r="I533">
        <f t="shared" ca="1" si="126"/>
        <v>0</v>
      </c>
      <c r="J533">
        <f t="shared" ca="1" si="136"/>
        <v>0</v>
      </c>
      <c r="K533">
        <f ca="1">IF(OR($C533="S",$C533=0),0,MATCH(OFFSET($D533,0,$C533)+IF($C533&lt;&gt;1,1,COUNTIF(QCI!$A$13:$A$24,ORÇAMENTO!E533)),OFFSET($D533,1,$C533,ROW($C$727)-ROW($C533)),0))</f>
        <v>0</v>
      </c>
      <c r="L533" s="116" t="str">
        <f t="shared" ca="1" si="127"/>
        <v/>
      </c>
      <c r="M533" s="117" t="s">
        <v>199</v>
      </c>
      <c r="N533" s="118" t="str">
        <f t="shared" ca="1" si="128"/>
        <v>Serviço</v>
      </c>
      <c r="O533" s="119" t="str">
        <f t="shared" ca="1" si="129"/>
        <v>-</v>
      </c>
      <c r="P533" s="120" t="s">
        <v>247</v>
      </c>
      <c r="Q533" s="121" t="s">
        <v>889</v>
      </c>
      <c r="R533" s="122" t="str">
        <f ca="1">IF($C533="S",REFERENCIA.Descricao,"(digite a descrição aqui)")</f>
        <v>(abra o arquivo 'Referência 06-2024.xlsm)</v>
      </c>
      <c r="S533" s="123" t="str">
        <f ca="1">REFERENCIA.Unidade</f>
        <v>-</v>
      </c>
      <c r="T533" s="124">
        <f ca="1">OFFSET(CÁLCULO!H$15,ROW($T533)-ROW(T$15),0)</f>
        <v>4</v>
      </c>
      <c r="U533" s="125">
        <f t="shared" ca="1" si="135"/>
        <v>0</v>
      </c>
      <c r="V533" s="126" t="s">
        <v>156</v>
      </c>
      <c r="W533" s="124">
        <f ca="1">IF($C533="S",ROUND(IF(TIPOORCAMENTO="Proposto",ORÇAMENTO.CustoUnitario*(1+$AH533),ORÇAMENTO.PrecoUnitarioLicitado),15-13*$AF$10),0)</f>
        <v>0</v>
      </c>
      <c r="X533" s="127">
        <f ca="1">IF($C533="S",IF(Import.TipoArredondamento&lt;&gt;"TransfereGOV",VTOTAL1,SUM(OFFSET(CÁLCULO!$AI$15,ROW($X533)-ROW($X$15),1):OFFSET(CÁLCULO!$BB$15,ROW($X533)-ROW($X$15),-1))),IF($C533=0,0,ROUND(SomaAgrup,15-13*$AF$11)))</f>
        <v>0</v>
      </c>
      <c r="Y533" s="128" t="s">
        <v>245</v>
      </c>
      <c r="Z533" t="str">
        <f t="shared" ca="1" si="130"/>
        <v/>
      </c>
      <c r="AA533" s="129">
        <f ca="1">IF($C533="S",IF($Z533="CP",$X533,IF($Z533="RA",(($X533)*QCI!$AA$3),0)),SomaAgrup)</f>
        <v>0</v>
      </c>
      <c r="AB533" s="130">
        <f t="shared" ca="1" si="138"/>
        <v>0</v>
      </c>
      <c r="AC533" s="131" t="str">
        <f ca="1">IF($N533="","",IF(ORÇAMENTO.Descricao="","DESCRIÇÃO",IF(AND($C533="S",ORÇAMENTO.Unidade=""),"UNIDADE",IF($X533&lt;0,"VALOR NEGATIVO",IF(OR(AND(TIPOORCAMENTO="Proposto",$AG533&lt;&gt;"",$AG533&gt;0,ORÇAMENTO.CustoUnitario&gt;$AG533),AND(TIPOORCAMENTO="LICITADO",ORÇAMENTO.PrecoUnitarioLicitado&gt;$AN533)),"ACIMA REF.","")))))</f>
        <v/>
      </c>
      <c r="AD533" t="str">
        <f ca="1">IF(C533&lt;=CRONO.NivelExibicao,MAX($AD$15:OFFSET(AD533,-1,0))+IF($C533&lt;&gt;1,1,MAX(1,COUNTIF(QCI!$A$13:$A$24,OFFSET($E533,-1,0)))),"")</f>
        <v/>
      </c>
      <c r="AE533" s="7" t="str">
        <f ca="1">IF(AND($C533="S",ORÇAMENTO.CodBarra&lt;&gt;""),IF(ORÇAMENTO.Fonte="",ORÇAMENTO.CodBarra,CONCATENATE(ORÇAMENTO.Fonte," ",ORÇAMENTO.CodBarra)))</f>
        <v>SINAPI 91959</v>
      </c>
      <c r="AF533" s="13" t="str">
        <f ca="1">IF(ISERROR(INDIRECT(ORÇAMENTO.BancoRef)),"(abra o arquivo 'Referência "&amp;Excel_BuiltIn_Database&amp;".xlsm)",IF(OR($C533&lt;&gt;"S",ORÇAMENTO.CodBarra=""),"(Sem Código)",IF(ISERROR(MATCH($AE533,INDIRECT(ORÇAMENTO.BancoRef),0)),"(Código não identificado nas referências)",MATCH($AE533,INDIRECT(ORÇAMENTO.BancoRef),0))))</f>
        <v>(abra o arquivo 'Referência 06-2024.xlsm)</v>
      </c>
      <c r="AG533" s="498">
        <f ca="1">ROUND(IF(DESONERACAO="sim",REFERENCIA.Desonerado,REFERENCIA.NaoDesonerado),2)</f>
        <v>0</v>
      </c>
      <c r="AH533" s="499">
        <f t="shared" ca="1" si="139"/>
        <v>0.2432</v>
      </c>
      <c r="AJ533" s="501"/>
      <c r="AL533" s="527"/>
      <c r="AM533" s="381">
        <f t="shared" ca="1" si="133"/>
        <v>0</v>
      </c>
      <c r="AN533" s="566">
        <f t="shared" ca="1" si="140"/>
        <v>0</v>
      </c>
    </row>
    <row r="534" spans="1:40" ht="25.5" x14ac:dyDescent="0.2">
      <c r="A534" t="str">
        <f t="shared" si="137"/>
        <v>S</v>
      </c>
      <c r="B534">
        <f t="shared" ca="1" si="120"/>
        <v>2</v>
      </c>
      <c r="C534" t="str">
        <f t="shared" ca="1" si="121"/>
        <v>S</v>
      </c>
      <c r="D534">
        <f t="shared" ca="1" si="122"/>
        <v>0</v>
      </c>
      <c r="E534">
        <f ca="1">IF($C534=1,OFFSET(E534,-1,0)+MAX(1,COUNTIF(QCI!$A$13:$A$24,OFFSET(ORÇAMENTO!E534,-1,0))),OFFSET(E534,-1,0))</f>
        <v>1</v>
      </c>
      <c r="F534">
        <f t="shared" ca="1" si="123"/>
        <v>55</v>
      </c>
      <c r="G534">
        <f t="shared" ca="1" si="124"/>
        <v>0</v>
      </c>
      <c r="H534">
        <f t="shared" ca="1" si="125"/>
        <v>0</v>
      </c>
      <c r="I534">
        <f t="shared" ca="1" si="126"/>
        <v>0</v>
      </c>
      <c r="J534">
        <f t="shared" ca="1" si="136"/>
        <v>0</v>
      </c>
      <c r="K534">
        <f ca="1">IF(OR($C534="S",$C534=0),0,MATCH(OFFSET($D534,0,$C534)+IF($C534&lt;&gt;1,1,COUNTIF(QCI!$A$13:$A$24,ORÇAMENTO!E534)),OFFSET($D534,1,$C534,ROW($C$727)-ROW($C534)),0))</f>
        <v>0</v>
      </c>
      <c r="L534" s="116" t="str">
        <f t="shared" ca="1" si="127"/>
        <v/>
      </c>
      <c r="M534" s="117" t="s">
        <v>199</v>
      </c>
      <c r="N534" s="118" t="str">
        <f t="shared" ca="1" si="128"/>
        <v>Serviço</v>
      </c>
      <c r="O534" s="119" t="str">
        <f t="shared" ca="1" si="129"/>
        <v>-</v>
      </c>
      <c r="P534" s="120" t="s">
        <v>247</v>
      </c>
      <c r="Q534" s="121" t="s">
        <v>890</v>
      </c>
      <c r="R534" s="122" t="str">
        <f ca="1">IF($C534="S",REFERENCIA.Descricao,"(digite a descrição aqui)")</f>
        <v>(abra o arquivo 'Referência 06-2024.xlsm)</v>
      </c>
      <c r="S534" s="123" t="str">
        <f ca="1">REFERENCIA.Unidade</f>
        <v>-</v>
      </c>
      <c r="T534" s="124">
        <f ca="1">OFFSET(CÁLCULO!H$15,ROW($T534)-ROW(T$15),0)</f>
        <v>1</v>
      </c>
      <c r="U534" s="125">
        <f t="shared" ca="1" si="135"/>
        <v>0</v>
      </c>
      <c r="V534" s="126" t="s">
        <v>156</v>
      </c>
      <c r="W534" s="124">
        <f ca="1">IF($C534="S",ROUND(IF(TIPOORCAMENTO="Proposto",ORÇAMENTO.CustoUnitario*(1+$AH534),ORÇAMENTO.PrecoUnitarioLicitado),15-13*$AF$10),0)</f>
        <v>0</v>
      </c>
      <c r="X534" s="127">
        <f ca="1">IF($C534="S",IF(Import.TipoArredondamento&lt;&gt;"TransfereGOV",VTOTAL1,SUM(OFFSET(CÁLCULO!$AI$15,ROW($X534)-ROW($X$15),1):OFFSET(CÁLCULO!$BB$15,ROW($X534)-ROW($X$15),-1))),IF($C534=0,0,ROUND(SomaAgrup,15-13*$AF$11)))</f>
        <v>0</v>
      </c>
      <c r="Y534" s="128" t="s">
        <v>245</v>
      </c>
      <c r="Z534" t="str">
        <f t="shared" ca="1" si="130"/>
        <v/>
      </c>
      <c r="AA534" s="129">
        <f ca="1">IF($C534="S",IF($Z534="CP",$X534,IF($Z534="RA",(($X534)*QCI!$AA$3),0)),SomaAgrup)</f>
        <v>0</v>
      </c>
      <c r="AB534" s="130">
        <f t="shared" ca="1" si="138"/>
        <v>0</v>
      </c>
      <c r="AC534" s="131" t="str">
        <f ca="1">IF($N534="","",IF(ORÇAMENTO.Descricao="","DESCRIÇÃO",IF(AND($C534="S",ORÇAMENTO.Unidade=""),"UNIDADE",IF($X534&lt;0,"VALOR NEGATIVO",IF(OR(AND(TIPOORCAMENTO="Proposto",$AG534&lt;&gt;"",$AG534&gt;0,ORÇAMENTO.CustoUnitario&gt;$AG534),AND(TIPOORCAMENTO="LICITADO",ORÇAMENTO.PrecoUnitarioLicitado&gt;$AN534)),"ACIMA REF.","")))))</f>
        <v/>
      </c>
      <c r="AD534" t="str">
        <f ca="1">IF(C534&lt;=CRONO.NivelExibicao,MAX($AD$15:OFFSET(AD534,-1,0))+IF($C534&lt;&gt;1,1,MAX(1,COUNTIF(QCI!$A$13:$A$24,OFFSET($E534,-1,0)))),"")</f>
        <v/>
      </c>
      <c r="AE534" s="7" t="str">
        <f ca="1">IF(AND($C534="S",ORÇAMENTO.CodBarra&lt;&gt;""),IF(ORÇAMENTO.Fonte="",ORÇAMENTO.CodBarra,CONCATENATE(ORÇAMENTO.Fonte," ",ORÇAMENTO.CodBarra)))</f>
        <v>SINAPI 91967</v>
      </c>
      <c r="AF534" s="13" t="str">
        <f ca="1">IF(ISERROR(INDIRECT(ORÇAMENTO.BancoRef)),"(abra o arquivo 'Referência "&amp;Excel_BuiltIn_Database&amp;".xlsm)",IF(OR($C534&lt;&gt;"S",ORÇAMENTO.CodBarra=""),"(Sem Código)",IF(ISERROR(MATCH($AE534,INDIRECT(ORÇAMENTO.BancoRef),0)),"(Código não identificado nas referências)",MATCH($AE534,INDIRECT(ORÇAMENTO.BancoRef),0))))</f>
        <v>(abra o arquivo 'Referência 06-2024.xlsm)</v>
      </c>
      <c r="AG534" s="498">
        <f ca="1">ROUND(IF(DESONERACAO="sim",REFERENCIA.Desonerado,REFERENCIA.NaoDesonerado),2)</f>
        <v>0</v>
      </c>
      <c r="AH534" s="499">
        <f t="shared" ca="1" si="139"/>
        <v>0.2432</v>
      </c>
      <c r="AJ534" s="501"/>
      <c r="AL534" s="527"/>
      <c r="AM534" s="381">
        <f t="shared" ca="1" si="133"/>
        <v>0</v>
      </c>
      <c r="AN534" s="566">
        <f t="shared" ca="1" si="140"/>
        <v>0</v>
      </c>
    </row>
    <row r="535" spans="1:40" ht="25.5" x14ac:dyDescent="0.2">
      <c r="A535" t="str">
        <f t="shared" si="137"/>
        <v>S</v>
      </c>
      <c r="B535">
        <f t="shared" ca="1" si="120"/>
        <v>2</v>
      </c>
      <c r="C535" t="str">
        <f t="shared" ca="1" si="121"/>
        <v>S</v>
      </c>
      <c r="D535">
        <f t="shared" ca="1" si="122"/>
        <v>0</v>
      </c>
      <c r="E535">
        <f ca="1">IF($C535=1,OFFSET(E535,-1,0)+MAX(1,COUNTIF(QCI!$A$13:$A$24,OFFSET(ORÇAMENTO!E535,-1,0))),OFFSET(E535,-1,0))</f>
        <v>1</v>
      </c>
      <c r="F535">
        <f t="shared" ca="1" si="123"/>
        <v>55</v>
      </c>
      <c r="G535">
        <f t="shared" ca="1" si="124"/>
        <v>0</v>
      </c>
      <c r="H535">
        <f t="shared" ca="1" si="125"/>
        <v>0</v>
      </c>
      <c r="I535">
        <f t="shared" ca="1" si="126"/>
        <v>0</v>
      </c>
      <c r="J535">
        <f t="shared" ca="1" si="136"/>
        <v>0</v>
      </c>
      <c r="K535">
        <f ca="1">IF(OR($C535="S",$C535=0),0,MATCH(OFFSET($D535,0,$C535)+IF($C535&lt;&gt;1,1,COUNTIF(QCI!$A$13:$A$24,ORÇAMENTO!E535)),OFFSET($D535,1,$C535,ROW($C$727)-ROW($C535)),0))</f>
        <v>0</v>
      </c>
      <c r="L535" s="116" t="str">
        <f t="shared" ca="1" si="127"/>
        <v/>
      </c>
      <c r="M535" s="117" t="s">
        <v>199</v>
      </c>
      <c r="N535" s="118" t="str">
        <f t="shared" ca="1" si="128"/>
        <v>Serviço</v>
      </c>
      <c r="O535" s="119" t="str">
        <f t="shared" ca="1" si="129"/>
        <v>-</v>
      </c>
      <c r="P535" s="120" t="s">
        <v>458</v>
      </c>
      <c r="Q535" s="121" t="s">
        <v>891</v>
      </c>
      <c r="R535" s="122" t="str">
        <f ca="1">IF($C535="S",REFERENCIA.Descricao,"(digite a descrição aqui)")</f>
        <v>(abra o arquivo 'Referência 06-2024.xlsm)</v>
      </c>
      <c r="S535" s="123" t="str">
        <f ca="1">REFERENCIA.Unidade</f>
        <v>-</v>
      </c>
      <c r="T535" s="124">
        <f ca="1">OFFSET(CÁLCULO!H$15,ROW($T535)-ROW(T$15),0)</f>
        <v>30</v>
      </c>
      <c r="U535" s="125">
        <f t="shared" ca="1" si="135"/>
        <v>0</v>
      </c>
      <c r="V535" s="126" t="s">
        <v>156</v>
      </c>
      <c r="W535" s="124">
        <f ca="1">IF($C535="S",ROUND(IF(TIPOORCAMENTO="Proposto",ORÇAMENTO.CustoUnitario*(1+$AH535),ORÇAMENTO.PrecoUnitarioLicitado),15-13*$AF$10),0)</f>
        <v>0</v>
      </c>
      <c r="X535" s="127">
        <f ca="1">IF($C535="S",IF(Import.TipoArredondamento&lt;&gt;"TransfereGOV",VTOTAL1,SUM(OFFSET(CÁLCULO!$AI$15,ROW($X535)-ROW($X$15),1):OFFSET(CÁLCULO!$BB$15,ROW($X535)-ROW($X$15),-1))),IF($C535=0,0,ROUND(SomaAgrup,15-13*$AF$11)))</f>
        <v>0</v>
      </c>
      <c r="Y535" s="128" t="s">
        <v>245</v>
      </c>
      <c r="Z535" t="str">
        <f t="shared" ca="1" si="130"/>
        <v/>
      </c>
      <c r="AA535" s="129">
        <f ca="1">IF($C535="S",IF($Z535="CP",$X535,IF($Z535="RA",(($X535)*QCI!$AA$3),0)),SomaAgrup)</f>
        <v>0</v>
      </c>
      <c r="AB535" s="130">
        <f t="shared" ca="1" si="138"/>
        <v>0</v>
      </c>
      <c r="AC535" s="131" t="str">
        <f ca="1">IF($N535="","",IF(ORÇAMENTO.Descricao="","DESCRIÇÃO",IF(AND($C535="S",ORÇAMENTO.Unidade=""),"UNIDADE",IF($X535&lt;0,"VALOR NEGATIVO",IF(OR(AND(TIPOORCAMENTO="Proposto",$AG535&lt;&gt;"",$AG535&gt;0,ORÇAMENTO.CustoUnitario&gt;$AG535),AND(TIPOORCAMENTO="LICITADO",ORÇAMENTO.PrecoUnitarioLicitado&gt;$AN535)),"ACIMA REF.","")))))</f>
        <v/>
      </c>
      <c r="AD535" t="str">
        <f ca="1">IF(C535&lt;=CRONO.NivelExibicao,MAX($AD$15:OFFSET(AD535,-1,0))+IF($C535&lt;&gt;1,1,MAX(1,COUNTIF(QCI!$A$13:$A$24,OFFSET($E535,-1,0)))),"")</f>
        <v/>
      </c>
      <c r="AE535" s="7" t="str">
        <f ca="1">IF(AND($C535="S",ORÇAMENTO.CodBarra&lt;&gt;""),IF(ORÇAMENTO.Fonte="",ORÇAMENTO.CodBarra,CONCATENATE(ORÇAMENTO.Fonte," ",ORÇAMENTO.CodBarra)))</f>
        <v>COMPOSIÇÃO FNDE 309</v>
      </c>
      <c r="AF535" s="13" t="str">
        <f ca="1">IF(ISERROR(INDIRECT(ORÇAMENTO.BancoRef)),"(abra o arquivo 'Referência "&amp;Excel_BuiltIn_Database&amp;".xlsm)",IF(OR($C535&lt;&gt;"S",ORÇAMENTO.CodBarra=""),"(Sem Código)",IF(ISERROR(MATCH($AE535,INDIRECT(ORÇAMENTO.BancoRef),0)),"(Código não identificado nas referências)",MATCH($AE535,INDIRECT(ORÇAMENTO.BancoRef),0))))</f>
        <v>(abra o arquivo 'Referência 06-2024.xlsm)</v>
      </c>
      <c r="AG535" s="498">
        <f ca="1">ROUND(IF(DESONERACAO="sim",REFERENCIA.Desonerado,REFERENCIA.NaoDesonerado),2)</f>
        <v>0</v>
      </c>
      <c r="AH535" s="499">
        <f t="shared" ca="1" si="139"/>
        <v>0.2432</v>
      </c>
      <c r="AJ535" s="501"/>
      <c r="AL535" s="527"/>
      <c r="AM535" s="381">
        <f t="shared" ca="1" si="133"/>
        <v>0</v>
      </c>
      <c r="AN535" s="566">
        <f t="shared" ca="1" si="140"/>
        <v>0</v>
      </c>
    </row>
    <row r="536" spans="1:40" ht="38.25" x14ac:dyDescent="0.2">
      <c r="A536" t="str">
        <f t="shared" si="137"/>
        <v>S</v>
      </c>
      <c r="B536">
        <f t="shared" ca="1" si="120"/>
        <v>2</v>
      </c>
      <c r="C536" t="str">
        <f t="shared" ca="1" si="121"/>
        <v>S</v>
      </c>
      <c r="D536">
        <f t="shared" ca="1" si="122"/>
        <v>0</v>
      </c>
      <c r="E536">
        <f ca="1">IF($C536=1,OFFSET(E536,-1,0)+MAX(1,COUNTIF(QCI!$A$13:$A$24,OFFSET(ORÇAMENTO!E536,-1,0))),OFFSET(E536,-1,0))</f>
        <v>1</v>
      </c>
      <c r="F536">
        <f t="shared" ca="1" si="123"/>
        <v>55</v>
      </c>
      <c r="G536">
        <f t="shared" ca="1" si="124"/>
        <v>0</v>
      </c>
      <c r="H536">
        <f t="shared" ca="1" si="125"/>
        <v>0</v>
      </c>
      <c r="I536">
        <f t="shared" ca="1" si="126"/>
        <v>0</v>
      </c>
      <c r="J536">
        <f t="shared" ca="1" si="136"/>
        <v>0</v>
      </c>
      <c r="K536">
        <f ca="1">IF(OR($C536="S",$C536=0),0,MATCH(OFFSET($D536,0,$C536)+IF($C536&lt;&gt;1,1,COUNTIF(QCI!$A$13:$A$24,ORÇAMENTO!E536)),OFFSET($D536,1,$C536,ROW($C$727)-ROW($C536)),0))</f>
        <v>0</v>
      </c>
      <c r="L536" s="116" t="str">
        <f t="shared" ca="1" si="127"/>
        <v/>
      </c>
      <c r="M536" s="117" t="s">
        <v>199</v>
      </c>
      <c r="N536" s="118" t="str">
        <f t="shared" ca="1" si="128"/>
        <v>Serviço</v>
      </c>
      <c r="O536" s="119" t="str">
        <f t="shared" ca="1" si="129"/>
        <v>-</v>
      </c>
      <c r="P536" s="120" t="s">
        <v>247</v>
      </c>
      <c r="Q536" s="121" t="s">
        <v>892</v>
      </c>
      <c r="R536" s="122" t="str">
        <f ca="1">IF($C536="S",REFERENCIA.Descricao,"(digite a descrição aqui)")</f>
        <v>(abra o arquivo 'Referência 06-2024.xlsm)</v>
      </c>
      <c r="S536" s="123" t="str">
        <f ca="1">REFERENCIA.Unidade</f>
        <v>-</v>
      </c>
      <c r="T536" s="124">
        <f ca="1">OFFSET(CÁLCULO!H$15,ROW($T536)-ROW(T$15),0)</f>
        <v>189</v>
      </c>
      <c r="U536" s="125">
        <f t="shared" ca="1" si="135"/>
        <v>0</v>
      </c>
      <c r="V536" s="126" t="s">
        <v>156</v>
      </c>
      <c r="W536" s="124">
        <f ca="1">IF($C536="S",ROUND(IF(TIPOORCAMENTO="Proposto",ORÇAMENTO.CustoUnitario*(1+$AH536),ORÇAMENTO.PrecoUnitarioLicitado),15-13*$AF$10),0)</f>
        <v>0</v>
      </c>
      <c r="X536" s="127">
        <f ca="1">IF($C536="S",IF(Import.TipoArredondamento&lt;&gt;"TransfereGOV",VTOTAL1,SUM(OFFSET(CÁLCULO!$AI$15,ROW($X536)-ROW($X$15),1):OFFSET(CÁLCULO!$BB$15,ROW($X536)-ROW($X$15),-1))),IF($C536=0,0,ROUND(SomaAgrup,15-13*$AF$11)))</f>
        <v>0</v>
      </c>
      <c r="Y536" s="128" t="s">
        <v>245</v>
      </c>
      <c r="Z536" t="str">
        <f t="shared" ca="1" si="130"/>
        <v/>
      </c>
      <c r="AA536" s="129">
        <f ca="1">IF($C536="S",IF($Z536="CP",$X536,IF($Z536="RA",(($X536)*QCI!$AA$3),0)),SomaAgrup)</f>
        <v>0</v>
      </c>
      <c r="AB536" s="130">
        <f t="shared" ca="1" si="138"/>
        <v>0</v>
      </c>
      <c r="AC536" s="131" t="str">
        <f ca="1">IF($N536="","",IF(ORÇAMENTO.Descricao="","DESCRIÇÃO",IF(AND($C536="S",ORÇAMENTO.Unidade=""),"UNIDADE",IF($X536&lt;0,"VALOR NEGATIVO",IF(OR(AND(TIPOORCAMENTO="Proposto",$AG536&lt;&gt;"",$AG536&gt;0,ORÇAMENTO.CustoUnitario&gt;$AG536),AND(TIPOORCAMENTO="LICITADO",ORÇAMENTO.PrecoUnitarioLicitado&gt;$AN536)),"ACIMA REF.","")))))</f>
        <v/>
      </c>
      <c r="AD536" t="str">
        <f ca="1">IF(C536&lt;=CRONO.NivelExibicao,MAX($AD$15:OFFSET(AD536,-1,0))+IF($C536&lt;&gt;1,1,MAX(1,COUNTIF(QCI!$A$13:$A$24,OFFSET($E536,-1,0)))),"")</f>
        <v/>
      </c>
      <c r="AE536" s="7" t="str">
        <f ca="1">IF(AND($C536="S",ORÇAMENTO.CodBarra&lt;&gt;""),IF(ORÇAMENTO.Fonte="",ORÇAMENTO.CodBarra,CONCATENATE(ORÇAMENTO.Fonte," ",ORÇAMENTO.CodBarra)))</f>
        <v>SINAPI 91946</v>
      </c>
      <c r="AF536" s="13" t="str">
        <f ca="1">IF(ISERROR(INDIRECT(ORÇAMENTO.BancoRef)),"(abra o arquivo 'Referência "&amp;Excel_BuiltIn_Database&amp;".xlsm)",IF(OR($C536&lt;&gt;"S",ORÇAMENTO.CodBarra=""),"(Sem Código)",IF(ISERROR(MATCH($AE536,INDIRECT(ORÇAMENTO.BancoRef),0)),"(Código não identificado nas referências)",MATCH($AE536,INDIRECT(ORÇAMENTO.BancoRef),0))))</f>
        <v>(abra o arquivo 'Referência 06-2024.xlsm)</v>
      </c>
      <c r="AG536" s="498">
        <f ca="1">ROUND(IF(DESONERACAO="sim",REFERENCIA.Desonerado,REFERENCIA.NaoDesonerado),2)</f>
        <v>0</v>
      </c>
      <c r="AH536" s="499">
        <f t="shared" ca="1" si="139"/>
        <v>0.2432</v>
      </c>
      <c r="AJ536" s="501"/>
      <c r="AL536" s="527"/>
      <c r="AM536" s="381">
        <f t="shared" ca="1" si="133"/>
        <v>0</v>
      </c>
      <c r="AN536" s="566">
        <f t="shared" ca="1" si="140"/>
        <v>0</v>
      </c>
    </row>
    <row r="537" spans="1:40" ht="38.25" x14ac:dyDescent="0.2">
      <c r="A537" t="str">
        <f t="shared" si="137"/>
        <v>S</v>
      </c>
      <c r="B537">
        <f t="shared" ca="1" si="120"/>
        <v>2</v>
      </c>
      <c r="C537" t="str">
        <f t="shared" ca="1" si="121"/>
        <v>S</v>
      </c>
      <c r="D537">
        <f t="shared" ca="1" si="122"/>
        <v>0</v>
      </c>
      <c r="E537">
        <f ca="1">IF($C537=1,OFFSET(E537,-1,0)+MAX(1,COUNTIF(QCI!$A$13:$A$24,OFFSET(ORÇAMENTO!E537,-1,0))),OFFSET(E537,-1,0))</f>
        <v>1</v>
      </c>
      <c r="F537">
        <f t="shared" ca="1" si="123"/>
        <v>55</v>
      </c>
      <c r="G537">
        <f t="shared" ca="1" si="124"/>
        <v>0</v>
      </c>
      <c r="H537">
        <f t="shared" ca="1" si="125"/>
        <v>0</v>
      </c>
      <c r="I537">
        <f t="shared" ca="1" si="126"/>
        <v>0</v>
      </c>
      <c r="J537">
        <f t="shared" ca="1" si="136"/>
        <v>0</v>
      </c>
      <c r="K537">
        <f ca="1">IF(OR($C537="S",$C537=0),0,MATCH(OFFSET($D537,0,$C537)+IF($C537&lt;&gt;1,1,COUNTIF(QCI!$A$13:$A$24,ORÇAMENTO!E537)),OFFSET($D537,1,$C537,ROW($C$727)-ROW($C537)),0))</f>
        <v>0</v>
      </c>
      <c r="L537" s="116" t="str">
        <f t="shared" ca="1" si="127"/>
        <v/>
      </c>
      <c r="M537" s="117" t="s">
        <v>199</v>
      </c>
      <c r="N537" s="118" t="str">
        <f t="shared" ca="1" si="128"/>
        <v>Serviço</v>
      </c>
      <c r="O537" s="119" t="str">
        <f t="shared" ca="1" si="129"/>
        <v>-</v>
      </c>
      <c r="P537" s="120" t="s">
        <v>247</v>
      </c>
      <c r="Q537" s="121" t="s">
        <v>893</v>
      </c>
      <c r="R537" s="122" t="str">
        <f ca="1">IF($C537="S",REFERENCIA.Descricao,"(digite a descrição aqui)")</f>
        <v>(abra o arquivo 'Referência 06-2024.xlsm)</v>
      </c>
      <c r="S537" s="123" t="str">
        <f ca="1">REFERENCIA.Unidade</f>
        <v>-</v>
      </c>
      <c r="T537" s="124">
        <f ca="1">OFFSET(CÁLCULO!H$15,ROW($T537)-ROW(T$15),0)</f>
        <v>27</v>
      </c>
      <c r="U537" s="125">
        <f t="shared" ca="1" si="135"/>
        <v>0</v>
      </c>
      <c r="V537" s="126" t="s">
        <v>156</v>
      </c>
      <c r="W537" s="124">
        <f ca="1">IF($C537="S",ROUND(IF(TIPOORCAMENTO="Proposto",ORÇAMENTO.CustoUnitario*(1+$AH537),ORÇAMENTO.PrecoUnitarioLicitado),15-13*$AF$10),0)</f>
        <v>0</v>
      </c>
      <c r="X537" s="127">
        <f ca="1">IF($C537="S",IF(Import.TipoArredondamento&lt;&gt;"TransfereGOV",VTOTAL1,SUM(OFFSET(CÁLCULO!$AI$15,ROW($X537)-ROW($X$15),1):OFFSET(CÁLCULO!$BB$15,ROW($X537)-ROW($X$15),-1))),IF($C537=0,0,ROUND(SomaAgrup,15-13*$AF$11)))</f>
        <v>0</v>
      </c>
      <c r="Y537" s="128" t="s">
        <v>245</v>
      </c>
      <c r="Z537" t="str">
        <f t="shared" ca="1" si="130"/>
        <v/>
      </c>
      <c r="AA537" s="129">
        <f ca="1">IF($C537="S",IF($Z537="CP",$X537,IF($Z537="RA",(($X537)*QCI!$AA$3),0)),SomaAgrup)</f>
        <v>0</v>
      </c>
      <c r="AB537" s="130">
        <f t="shared" ca="1" si="138"/>
        <v>0</v>
      </c>
      <c r="AC537" s="131" t="str">
        <f ca="1">IF($N537="","",IF(ORÇAMENTO.Descricao="","DESCRIÇÃO",IF(AND($C537="S",ORÇAMENTO.Unidade=""),"UNIDADE",IF($X537&lt;0,"VALOR NEGATIVO",IF(OR(AND(TIPOORCAMENTO="Proposto",$AG537&lt;&gt;"",$AG537&gt;0,ORÇAMENTO.CustoUnitario&gt;$AG537),AND(TIPOORCAMENTO="LICITADO",ORÇAMENTO.PrecoUnitarioLicitado&gt;$AN537)),"ACIMA REF.","")))))</f>
        <v/>
      </c>
      <c r="AD537" t="str">
        <f ca="1">IF(C537&lt;=CRONO.NivelExibicao,MAX($AD$15:OFFSET(AD537,-1,0))+IF($C537&lt;&gt;1,1,MAX(1,COUNTIF(QCI!$A$13:$A$24,OFFSET($E537,-1,0)))),"")</f>
        <v/>
      </c>
      <c r="AE537" s="7" t="str">
        <f ca="1">IF(AND($C537="S",ORÇAMENTO.CodBarra&lt;&gt;""),IF(ORÇAMENTO.Fonte="",ORÇAMENTO.CodBarra,CONCATENATE(ORÇAMENTO.Fonte," ",ORÇAMENTO.CodBarra)))</f>
        <v>SINAPI 92022</v>
      </c>
      <c r="AF537" s="13" t="str">
        <f ca="1">IF(ISERROR(INDIRECT(ORÇAMENTO.BancoRef)),"(abra o arquivo 'Referência "&amp;Excel_BuiltIn_Database&amp;".xlsm)",IF(OR($C537&lt;&gt;"S",ORÇAMENTO.CodBarra=""),"(Sem Código)",IF(ISERROR(MATCH($AE537,INDIRECT(ORÇAMENTO.BancoRef),0)),"(Código não identificado nas referências)",MATCH($AE537,INDIRECT(ORÇAMENTO.BancoRef),0))))</f>
        <v>(abra o arquivo 'Referência 06-2024.xlsm)</v>
      </c>
      <c r="AG537" s="498">
        <f ca="1">ROUND(IF(DESONERACAO="sim",REFERENCIA.Desonerado,REFERENCIA.NaoDesonerado),2)</f>
        <v>0</v>
      </c>
      <c r="AH537" s="499">
        <f t="shared" ca="1" si="139"/>
        <v>0.2432</v>
      </c>
      <c r="AJ537" s="501"/>
      <c r="AL537" s="527"/>
      <c r="AM537" s="381">
        <f t="shared" ca="1" si="133"/>
        <v>0</v>
      </c>
      <c r="AN537" s="566">
        <f t="shared" ca="1" si="140"/>
        <v>0</v>
      </c>
    </row>
    <row r="538" spans="1:40" ht="38.25" x14ac:dyDescent="0.2">
      <c r="A538" t="str">
        <f t="shared" si="137"/>
        <v>S</v>
      </c>
      <c r="B538">
        <f t="shared" ca="1" si="120"/>
        <v>2</v>
      </c>
      <c r="C538" t="str">
        <f t="shared" ca="1" si="121"/>
        <v>S</v>
      </c>
      <c r="D538">
        <f t="shared" ca="1" si="122"/>
        <v>0</v>
      </c>
      <c r="E538">
        <f ca="1">IF($C538=1,OFFSET(E538,-1,0)+MAX(1,COUNTIF(QCI!$A$13:$A$24,OFFSET(ORÇAMENTO!E538,-1,0))),OFFSET(E538,-1,0))</f>
        <v>1</v>
      </c>
      <c r="F538">
        <f t="shared" ca="1" si="123"/>
        <v>55</v>
      </c>
      <c r="G538">
        <f t="shared" ca="1" si="124"/>
        <v>0</v>
      </c>
      <c r="H538">
        <f t="shared" ca="1" si="125"/>
        <v>0</v>
      </c>
      <c r="I538">
        <f t="shared" ca="1" si="126"/>
        <v>0</v>
      </c>
      <c r="J538">
        <f t="shared" ca="1" si="136"/>
        <v>0</v>
      </c>
      <c r="K538">
        <f ca="1">IF(OR($C538="S",$C538=0),0,MATCH(OFFSET($D538,0,$C538)+IF($C538&lt;&gt;1,1,COUNTIF(QCI!$A$13:$A$24,ORÇAMENTO!E538)),OFFSET($D538,1,$C538,ROW($C$727)-ROW($C538)),0))</f>
        <v>0</v>
      </c>
      <c r="L538" s="116" t="str">
        <f t="shared" ca="1" si="127"/>
        <v/>
      </c>
      <c r="M538" s="117" t="s">
        <v>199</v>
      </c>
      <c r="N538" s="118" t="str">
        <f t="shared" ca="1" si="128"/>
        <v>Serviço</v>
      </c>
      <c r="O538" s="119" t="str">
        <f t="shared" ca="1" si="129"/>
        <v>-</v>
      </c>
      <c r="P538" s="120" t="s">
        <v>247</v>
      </c>
      <c r="Q538" s="121" t="s">
        <v>894</v>
      </c>
      <c r="R538" s="122" t="str">
        <f ca="1">IF($C538="S",REFERENCIA.Descricao,"(digite a descrição aqui)")</f>
        <v>(abra o arquivo 'Referência 06-2024.xlsm)</v>
      </c>
      <c r="S538" s="123" t="str">
        <f ca="1">REFERENCIA.Unidade</f>
        <v>-</v>
      </c>
      <c r="T538" s="124">
        <f ca="1">OFFSET(CÁLCULO!H$15,ROW($T538)-ROW(T$15),0)</f>
        <v>14</v>
      </c>
      <c r="U538" s="125">
        <f t="shared" ca="1" si="135"/>
        <v>0</v>
      </c>
      <c r="V538" s="126" t="s">
        <v>156</v>
      </c>
      <c r="W538" s="124">
        <f ca="1">IF($C538="S",ROUND(IF(TIPOORCAMENTO="Proposto",ORÇAMENTO.CustoUnitario*(1+$AH538),ORÇAMENTO.PrecoUnitarioLicitado),15-13*$AF$10),0)</f>
        <v>0</v>
      </c>
      <c r="X538" s="127">
        <f ca="1">IF($C538="S",IF(Import.TipoArredondamento&lt;&gt;"TransfereGOV",VTOTAL1,SUM(OFFSET(CÁLCULO!$AI$15,ROW($X538)-ROW($X$15),1):OFFSET(CÁLCULO!$BB$15,ROW($X538)-ROW($X$15),-1))),IF($C538=0,0,ROUND(SomaAgrup,15-13*$AF$11)))</f>
        <v>0</v>
      </c>
      <c r="Y538" s="128" t="s">
        <v>245</v>
      </c>
      <c r="Z538" t="str">
        <f t="shared" ca="1" si="130"/>
        <v/>
      </c>
      <c r="AA538" s="129">
        <f ca="1">IF($C538="S",IF($Z538="CP",$X538,IF($Z538="RA",(($X538)*QCI!$AA$3),0)),SomaAgrup)</f>
        <v>0</v>
      </c>
      <c r="AB538" s="130">
        <f t="shared" ca="1" si="138"/>
        <v>0</v>
      </c>
      <c r="AC538" s="131" t="str">
        <f ca="1">IF($N538="","",IF(ORÇAMENTO.Descricao="","DESCRIÇÃO",IF(AND($C538="S",ORÇAMENTO.Unidade=""),"UNIDADE",IF($X538&lt;0,"VALOR NEGATIVO",IF(OR(AND(TIPOORCAMENTO="Proposto",$AG538&lt;&gt;"",$AG538&gt;0,ORÇAMENTO.CustoUnitario&gt;$AG538),AND(TIPOORCAMENTO="LICITADO",ORÇAMENTO.PrecoUnitarioLicitado&gt;$AN538)),"ACIMA REF.","")))))</f>
        <v/>
      </c>
      <c r="AD538" t="str">
        <f ca="1">IF(C538&lt;=CRONO.NivelExibicao,MAX($AD$15:OFFSET(AD538,-1,0))+IF($C538&lt;&gt;1,1,MAX(1,COUNTIF(QCI!$A$13:$A$24,OFFSET($E538,-1,0)))),"")</f>
        <v/>
      </c>
      <c r="AE538" s="7" t="str">
        <f ca="1">IF(AND($C538="S",ORÇAMENTO.CodBarra&lt;&gt;""),IF(ORÇAMENTO.Fonte="",ORÇAMENTO.CodBarra,CONCATENATE(ORÇAMENTO.Fonte," ",ORÇAMENTO.CodBarra)))</f>
        <v>SINAPI 92028</v>
      </c>
      <c r="AF538" s="13" t="str">
        <f ca="1">IF(ISERROR(INDIRECT(ORÇAMENTO.BancoRef)),"(abra o arquivo 'Referência "&amp;Excel_BuiltIn_Database&amp;".xlsm)",IF(OR($C538&lt;&gt;"S",ORÇAMENTO.CodBarra=""),"(Sem Código)",IF(ISERROR(MATCH($AE538,INDIRECT(ORÇAMENTO.BancoRef),0)),"(Código não identificado nas referências)",MATCH($AE538,INDIRECT(ORÇAMENTO.BancoRef),0))))</f>
        <v>(abra o arquivo 'Referência 06-2024.xlsm)</v>
      </c>
      <c r="AG538" s="498">
        <f ca="1">ROUND(IF(DESONERACAO="sim",REFERENCIA.Desonerado,REFERENCIA.NaoDesonerado),2)</f>
        <v>0</v>
      </c>
      <c r="AH538" s="499">
        <f t="shared" ca="1" si="139"/>
        <v>0.2432</v>
      </c>
      <c r="AJ538" s="501"/>
      <c r="AL538" s="527"/>
      <c r="AM538" s="381">
        <f t="shared" ca="1" si="133"/>
        <v>0</v>
      </c>
      <c r="AN538" s="566">
        <f t="shared" ca="1" si="140"/>
        <v>0</v>
      </c>
    </row>
    <row r="539" spans="1:40" ht="38.25" x14ac:dyDescent="0.2">
      <c r="A539" t="str">
        <f t="shared" si="137"/>
        <v>S</v>
      </c>
      <c r="B539">
        <f t="shared" ca="1" si="120"/>
        <v>2</v>
      </c>
      <c r="C539" t="str">
        <f t="shared" ca="1" si="121"/>
        <v>S</v>
      </c>
      <c r="D539">
        <f t="shared" ca="1" si="122"/>
        <v>0</v>
      </c>
      <c r="E539">
        <f ca="1">IF($C539=1,OFFSET(E539,-1,0)+MAX(1,COUNTIF(QCI!$A$13:$A$24,OFFSET(ORÇAMENTO!E539,-1,0))),OFFSET(E539,-1,0))</f>
        <v>1</v>
      </c>
      <c r="F539">
        <f t="shared" ca="1" si="123"/>
        <v>55</v>
      </c>
      <c r="G539">
        <f t="shared" ca="1" si="124"/>
        <v>0</v>
      </c>
      <c r="H539">
        <f t="shared" ca="1" si="125"/>
        <v>0</v>
      </c>
      <c r="I539">
        <f t="shared" ca="1" si="126"/>
        <v>0</v>
      </c>
      <c r="J539">
        <f t="shared" ca="1" si="136"/>
        <v>0</v>
      </c>
      <c r="K539">
        <f ca="1">IF(OR($C539="S",$C539=0),0,MATCH(OFFSET($D539,0,$C539)+IF($C539&lt;&gt;1,1,COUNTIF(QCI!$A$13:$A$24,ORÇAMENTO!E539)),OFFSET($D539,1,$C539,ROW($C$727)-ROW($C539)),0))</f>
        <v>0</v>
      </c>
      <c r="L539" s="116" t="str">
        <f t="shared" ca="1" si="127"/>
        <v/>
      </c>
      <c r="M539" s="117" t="s">
        <v>199</v>
      </c>
      <c r="N539" s="118" t="str">
        <f t="shared" ca="1" si="128"/>
        <v>Serviço</v>
      </c>
      <c r="O539" s="119" t="str">
        <f t="shared" ca="1" si="129"/>
        <v>-</v>
      </c>
      <c r="P539" s="120" t="s">
        <v>247</v>
      </c>
      <c r="Q539" s="121" t="s">
        <v>895</v>
      </c>
      <c r="R539" s="122" t="str">
        <f ca="1">IF($C539="S",REFERENCIA.Descricao,"(digite a descrição aqui)")</f>
        <v>(abra o arquivo 'Referência 06-2024.xlsm)</v>
      </c>
      <c r="S539" s="123" t="str">
        <f ca="1">REFERENCIA.Unidade</f>
        <v>-</v>
      </c>
      <c r="T539" s="124">
        <f ca="1">OFFSET(CÁLCULO!H$15,ROW($T539)-ROW(T$15),0)</f>
        <v>1</v>
      </c>
      <c r="U539" s="125">
        <f t="shared" ca="1" si="135"/>
        <v>0</v>
      </c>
      <c r="V539" s="126" t="s">
        <v>156</v>
      </c>
      <c r="W539" s="124">
        <f ca="1">IF($C539="S",ROUND(IF(TIPOORCAMENTO="Proposto",ORÇAMENTO.CustoUnitario*(1+$AH539),ORÇAMENTO.PrecoUnitarioLicitado),15-13*$AF$10),0)</f>
        <v>0</v>
      </c>
      <c r="X539" s="127">
        <f ca="1">IF($C539="S",IF(Import.TipoArredondamento&lt;&gt;"TransfereGOV",VTOTAL1,SUM(OFFSET(CÁLCULO!$AI$15,ROW($X539)-ROW($X$15),1):OFFSET(CÁLCULO!$BB$15,ROW($X539)-ROW($X$15),-1))),IF($C539=0,0,ROUND(SomaAgrup,15-13*$AF$11)))</f>
        <v>0</v>
      </c>
      <c r="Y539" s="128" t="s">
        <v>245</v>
      </c>
      <c r="Z539" t="str">
        <f t="shared" ca="1" si="130"/>
        <v/>
      </c>
      <c r="AA539" s="129">
        <f ca="1">IF($C539="S",IF($Z539="CP",$X539,IF($Z539="RA",(($X539)*QCI!$AA$3),0)),SomaAgrup)</f>
        <v>0</v>
      </c>
      <c r="AB539" s="130">
        <f t="shared" ca="1" si="138"/>
        <v>0</v>
      </c>
      <c r="AC539" s="131" t="str">
        <f ca="1">IF($N539="","",IF(ORÇAMENTO.Descricao="","DESCRIÇÃO",IF(AND($C539="S",ORÇAMENTO.Unidade=""),"UNIDADE",IF($X539&lt;0,"VALOR NEGATIVO",IF(OR(AND(TIPOORCAMENTO="Proposto",$AG539&lt;&gt;"",$AG539&gt;0,ORÇAMENTO.CustoUnitario&gt;$AG539),AND(TIPOORCAMENTO="LICITADO",ORÇAMENTO.PrecoUnitarioLicitado&gt;$AN539)),"ACIMA REF.","")))))</f>
        <v/>
      </c>
      <c r="AD539" t="str">
        <f ca="1">IF(C539&lt;=CRONO.NivelExibicao,MAX($AD$15:OFFSET(AD539,-1,0))+IF($C539&lt;&gt;1,1,MAX(1,COUNTIF(QCI!$A$13:$A$24,OFFSET($E539,-1,0)))),"")</f>
        <v/>
      </c>
      <c r="AE539" s="7" t="str">
        <f ca="1">IF(AND($C539="S",ORÇAMENTO.CodBarra&lt;&gt;""),IF(ORÇAMENTO.Fonte="",ORÇAMENTO.CodBarra,CONCATENATE(ORÇAMENTO.Fonte," ",ORÇAMENTO.CodBarra)))</f>
        <v>SINAPI 91964</v>
      </c>
      <c r="AF539" s="13" t="str">
        <f ca="1">IF(ISERROR(INDIRECT(ORÇAMENTO.BancoRef)),"(abra o arquivo 'Referência "&amp;Excel_BuiltIn_Database&amp;".xlsm)",IF(OR($C539&lt;&gt;"S",ORÇAMENTO.CodBarra=""),"(Sem Código)",IF(ISERROR(MATCH($AE539,INDIRECT(ORÇAMENTO.BancoRef),0)),"(Código não identificado nas referências)",MATCH($AE539,INDIRECT(ORÇAMENTO.BancoRef),0))))</f>
        <v>(abra o arquivo 'Referência 06-2024.xlsm)</v>
      </c>
      <c r="AG539" s="498">
        <f ca="1">ROUND(IF(DESONERACAO="sim",REFERENCIA.Desonerado,REFERENCIA.NaoDesonerado),2)</f>
        <v>0</v>
      </c>
      <c r="AH539" s="499">
        <f t="shared" ca="1" si="139"/>
        <v>0.2432</v>
      </c>
      <c r="AJ539" s="501"/>
      <c r="AL539" s="527"/>
      <c r="AM539" s="381">
        <f t="shared" ca="1" si="133"/>
        <v>0</v>
      </c>
      <c r="AN539" s="566">
        <f t="shared" ca="1" si="140"/>
        <v>0</v>
      </c>
    </row>
    <row r="540" spans="1:40" ht="38.25" x14ac:dyDescent="0.2">
      <c r="A540" t="str">
        <f t="shared" si="137"/>
        <v>S</v>
      </c>
      <c r="B540">
        <f t="shared" ca="1" si="120"/>
        <v>2</v>
      </c>
      <c r="C540" t="str">
        <f t="shared" ca="1" si="121"/>
        <v>S</v>
      </c>
      <c r="D540">
        <f t="shared" ca="1" si="122"/>
        <v>0</v>
      </c>
      <c r="E540">
        <f ca="1">IF($C540=1,OFFSET(E540,-1,0)+MAX(1,COUNTIF(QCI!$A$13:$A$24,OFFSET(ORÇAMENTO!E540,-1,0))),OFFSET(E540,-1,0))</f>
        <v>1</v>
      </c>
      <c r="F540">
        <f t="shared" ca="1" si="123"/>
        <v>55</v>
      </c>
      <c r="G540">
        <f t="shared" ca="1" si="124"/>
        <v>0</v>
      </c>
      <c r="H540">
        <f t="shared" ca="1" si="125"/>
        <v>0</v>
      </c>
      <c r="I540">
        <f t="shared" ca="1" si="126"/>
        <v>0</v>
      </c>
      <c r="J540">
        <f t="shared" ca="1" si="136"/>
        <v>0</v>
      </c>
      <c r="K540">
        <f ca="1">IF(OR($C540="S",$C540=0),0,MATCH(OFFSET($D540,0,$C540)+IF($C540&lt;&gt;1,1,COUNTIF(QCI!$A$13:$A$24,ORÇAMENTO!E540)),OFFSET($D540,1,$C540,ROW($C$727)-ROW($C540)),0))</f>
        <v>0</v>
      </c>
      <c r="L540" s="116" t="str">
        <f t="shared" ca="1" si="127"/>
        <v/>
      </c>
      <c r="M540" s="117" t="s">
        <v>199</v>
      </c>
      <c r="N540" s="118" t="str">
        <f t="shared" ca="1" si="128"/>
        <v>Serviço</v>
      </c>
      <c r="O540" s="119" t="str">
        <f t="shared" ca="1" si="129"/>
        <v>-</v>
      </c>
      <c r="P540" s="120" t="s">
        <v>247</v>
      </c>
      <c r="Q540" s="121" t="s">
        <v>896</v>
      </c>
      <c r="R540" s="122" t="str">
        <f ca="1">IF($C540="S",REFERENCIA.Descricao,"(digite a descrição aqui)")</f>
        <v>(abra o arquivo 'Referência 06-2024.xlsm)</v>
      </c>
      <c r="S540" s="123" t="str">
        <f ca="1">REFERENCIA.Unidade</f>
        <v>-</v>
      </c>
      <c r="T540" s="124">
        <f ca="1">OFFSET(CÁLCULO!H$15,ROW($T540)-ROW(T$15),0)</f>
        <v>7</v>
      </c>
      <c r="U540" s="125">
        <f t="shared" ca="1" si="135"/>
        <v>0</v>
      </c>
      <c r="V540" s="126" t="s">
        <v>156</v>
      </c>
      <c r="W540" s="124">
        <f ca="1">IF($C540="S",ROUND(IF(TIPOORCAMENTO="Proposto",ORÇAMENTO.CustoUnitario*(1+$AH540),ORÇAMENTO.PrecoUnitarioLicitado),15-13*$AF$10),0)</f>
        <v>0</v>
      </c>
      <c r="X540" s="127">
        <f ca="1">IF($C540="S",IF(Import.TipoArredondamento&lt;&gt;"TransfereGOV",VTOTAL1,SUM(OFFSET(CÁLCULO!$AI$15,ROW($X540)-ROW($X$15),1):OFFSET(CÁLCULO!$BB$15,ROW($X540)-ROW($X$15),-1))),IF($C540=0,0,ROUND(SomaAgrup,15-13*$AF$11)))</f>
        <v>0</v>
      </c>
      <c r="Y540" s="128" t="s">
        <v>245</v>
      </c>
      <c r="Z540" t="str">
        <f t="shared" ca="1" si="130"/>
        <v/>
      </c>
      <c r="AA540" s="129">
        <f ca="1">IF($C540="S",IF($Z540="CP",$X540,IF($Z540="RA",(($X540)*QCI!$AA$3),0)),SomaAgrup)</f>
        <v>0</v>
      </c>
      <c r="AB540" s="130">
        <f t="shared" ca="1" si="138"/>
        <v>0</v>
      </c>
      <c r="AC540" s="131" t="str">
        <f ca="1">IF($N540="","",IF(ORÇAMENTO.Descricao="","DESCRIÇÃO",IF(AND($C540="S",ORÇAMENTO.Unidade=""),"UNIDADE",IF($X540&lt;0,"VALOR NEGATIVO",IF(OR(AND(TIPOORCAMENTO="Proposto",$AG540&lt;&gt;"",$AG540&gt;0,ORÇAMENTO.CustoUnitario&gt;$AG540),AND(TIPOORCAMENTO="LICITADO",ORÇAMENTO.PrecoUnitarioLicitado&gt;$AN540)),"ACIMA REF.","")))))</f>
        <v/>
      </c>
      <c r="AD540" t="str">
        <f ca="1">IF(C540&lt;=CRONO.NivelExibicao,MAX($AD$15:OFFSET(AD540,-1,0))+IF($C540&lt;&gt;1,1,MAX(1,COUNTIF(QCI!$A$13:$A$24,OFFSET($E540,-1,0)))),"")</f>
        <v/>
      </c>
      <c r="AE540" s="7" t="str">
        <f ca="1">IF(AND($C540="S",ORÇAMENTO.CodBarra&lt;&gt;""),IF(ORÇAMENTO.Fonte="",ORÇAMENTO.CodBarra,CONCATENATE(ORÇAMENTO.Fonte," ",ORÇAMENTO.CodBarra)))</f>
        <v>SINAPI 92026</v>
      </c>
      <c r="AF540" s="13" t="str">
        <f ca="1">IF(ISERROR(INDIRECT(ORÇAMENTO.BancoRef)),"(abra o arquivo 'Referência "&amp;Excel_BuiltIn_Database&amp;".xlsm)",IF(OR($C540&lt;&gt;"S",ORÇAMENTO.CodBarra=""),"(Sem Código)",IF(ISERROR(MATCH($AE540,INDIRECT(ORÇAMENTO.BancoRef),0)),"(Código não identificado nas referências)",MATCH($AE540,INDIRECT(ORÇAMENTO.BancoRef),0))))</f>
        <v>(abra o arquivo 'Referência 06-2024.xlsm)</v>
      </c>
      <c r="AG540" s="498">
        <f ca="1">ROUND(IF(DESONERACAO="sim",REFERENCIA.Desonerado,REFERENCIA.NaoDesonerado),2)</f>
        <v>0</v>
      </c>
      <c r="AH540" s="499">
        <f t="shared" ca="1" si="139"/>
        <v>0.2432</v>
      </c>
      <c r="AJ540" s="501"/>
      <c r="AL540" s="527"/>
      <c r="AM540" s="381">
        <f t="shared" ca="1" si="133"/>
        <v>0</v>
      </c>
      <c r="AN540" s="566">
        <f t="shared" ca="1" si="140"/>
        <v>0</v>
      </c>
    </row>
    <row r="541" spans="1:40" ht="25.5" x14ac:dyDescent="0.2">
      <c r="A541" t="str">
        <f t="shared" si="137"/>
        <v>S</v>
      </c>
      <c r="B541">
        <f t="shared" ca="1" si="120"/>
        <v>2</v>
      </c>
      <c r="C541" t="str">
        <f t="shared" ca="1" si="121"/>
        <v>S</v>
      </c>
      <c r="D541">
        <f t="shared" ca="1" si="122"/>
        <v>0</v>
      </c>
      <c r="E541">
        <f ca="1">IF($C541=1,OFFSET(E541,-1,0)+MAX(1,COUNTIF(QCI!$A$13:$A$24,OFFSET(ORÇAMENTO!E541,-1,0))),OFFSET(E541,-1,0))</f>
        <v>1</v>
      </c>
      <c r="F541">
        <f t="shared" ca="1" si="123"/>
        <v>55</v>
      </c>
      <c r="G541">
        <f t="shared" ca="1" si="124"/>
        <v>0</v>
      </c>
      <c r="H541">
        <f t="shared" ca="1" si="125"/>
        <v>0</v>
      </c>
      <c r="I541">
        <f t="shared" ca="1" si="126"/>
        <v>0</v>
      </c>
      <c r="J541">
        <f t="shared" ca="1" si="136"/>
        <v>0</v>
      </c>
      <c r="K541">
        <f ca="1">IF(OR($C541="S",$C541=0),0,MATCH(OFFSET($D541,0,$C541)+IF($C541&lt;&gt;1,1,COUNTIF(QCI!$A$13:$A$24,ORÇAMENTO!E541)),OFFSET($D541,1,$C541,ROW($C$727)-ROW($C541)),0))</f>
        <v>0</v>
      </c>
      <c r="L541" s="116" t="str">
        <f t="shared" ca="1" si="127"/>
        <v/>
      </c>
      <c r="M541" s="117" t="s">
        <v>199</v>
      </c>
      <c r="N541" s="118" t="str">
        <f t="shared" ca="1" si="128"/>
        <v>Serviço</v>
      </c>
      <c r="O541" s="119" t="str">
        <f t="shared" ca="1" si="129"/>
        <v>-</v>
      </c>
      <c r="P541" s="120" t="s">
        <v>247</v>
      </c>
      <c r="Q541" s="121" t="s">
        <v>897</v>
      </c>
      <c r="R541" s="122" t="str">
        <f ca="1">IF($C541="S",REFERENCIA.Descricao,"(digite a descrição aqui)")</f>
        <v>(abra o arquivo 'Referência 06-2024.xlsm)</v>
      </c>
      <c r="S541" s="123" t="str">
        <f ca="1">REFERENCIA.Unidade</f>
        <v>-</v>
      </c>
      <c r="T541" s="124">
        <f ca="1">OFFSET(CÁLCULO!H$15,ROW($T541)-ROW(T$15),0)</f>
        <v>129</v>
      </c>
      <c r="U541" s="125">
        <f t="shared" ca="1" si="135"/>
        <v>0</v>
      </c>
      <c r="V541" s="126" t="s">
        <v>156</v>
      </c>
      <c r="W541" s="124">
        <f ca="1">IF($C541="S",ROUND(IF(TIPOORCAMENTO="Proposto",ORÇAMENTO.CustoUnitario*(1+$AH541),ORÇAMENTO.PrecoUnitarioLicitado),15-13*$AF$10),0)</f>
        <v>0</v>
      </c>
      <c r="X541" s="127">
        <f ca="1">IF($C541="S",IF(Import.TipoArredondamento&lt;&gt;"TransfereGOV",VTOTAL1,SUM(OFFSET(CÁLCULO!$AI$15,ROW($X541)-ROW($X$15),1):OFFSET(CÁLCULO!$BB$15,ROW($X541)-ROW($X$15),-1))),IF($C541=0,0,ROUND(SomaAgrup,15-13*$AF$11)))</f>
        <v>0</v>
      </c>
      <c r="Y541" s="128" t="s">
        <v>245</v>
      </c>
      <c r="Z541" t="str">
        <f t="shared" ca="1" si="130"/>
        <v/>
      </c>
      <c r="AA541" s="129">
        <f ca="1">IF($C541="S",IF($Z541="CP",$X541,IF($Z541="RA",(($X541)*QCI!$AA$3),0)),SomaAgrup)</f>
        <v>0</v>
      </c>
      <c r="AB541" s="130">
        <f t="shared" ca="1" si="138"/>
        <v>0</v>
      </c>
      <c r="AC541" s="131" t="str">
        <f ca="1">IF($N541="","",IF(ORÇAMENTO.Descricao="","DESCRIÇÃO",IF(AND($C541="S",ORÇAMENTO.Unidade=""),"UNIDADE",IF($X541&lt;0,"VALOR NEGATIVO",IF(OR(AND(TIPOORCAMENTO="Proposto",$AG541&lt;&gt;"",$AG541&gt;0,ORÇAMENTO.CustoUnitario&gt;$AG541),AND(TIPOORCAMENTO="LICITADO",ORÇAMENTO.PrecoUnitarioLicitado&gt;$AN541)),"ACIMA REF.","")))))</f>
        <v/>
      </c>
      <c r="AD541" t="str">
        <f ca="1">IF(C541&lt;=CRONO.NivelExibicao,MAX($AD$15:OFFSET(AD541,-1,0))+IF($C541&lt;&gt;1,1,MAX(1,COUNTIF(QCI!$A$13:$A$24,OFFSET($E541,-1,0)))),"")</f>
        <v/>
      </c>
      <c r="AE541" s="7" t="str">
        <f ca="1">IF(AND($C541="S",ORÇAMENTO.CodBarra&lt;&gt;""),IF(ORÇAMENTO.Fonte="",ORÇAMENTO.CodBarra,CONCATENATE(ORÇAMENTO.Fonte," ",ORÇAMENTO.CodBarra)))</f>
        <v>SINAPI 91998</v>
      </c>
      <c r="AF541" s="13" t="str">
        <f ca="1">IF(ISERROR(INDIRECT(ORÇAMENTO.BancoRef)),"(abra o arquivo 'Referência "&amp;Excel_BuiltIn_Database&amp;".xlsm)",IF(OR($C541&lt;&gt;"S",ORÇAMENTO.CodBarra=""),"(Sem Código)",IF(ISERROR(MATCH($AE541,INDIRECT(ORÇAMENTO.BancoRef),0)),"(Código não identificado nas referências)",MATCH($AE541,INDIRECT(ORÇAMENTO.BancoRef),0))))</f>
        <v>(abra o arquivo 'Referência 06-2024.xlsm)</v>
      </c>
      <c r="AG541" s="498">
        <f ca="1">ROUND(IF(DESONERACAO="sim",REFERENCIA.Desonerado,REFERENCIA.NaoDesonerado),2)</f>
        <v>0</v>
      </c>
      <c r="AH541" s="499">
        <f t="shared" ca="1" si="139"/>
        <v>0.2432</v>
      </c>
      <c r="AJ541" s="501"/>
      <c r="AL541" s="527"/>
      <c r="AM541" s="381">
        <f t="shared" ca="1" si="133"/>
        <v>0</v>
      </c>
      <c r="AN541" s="566">
        <f t="shared" ca="1" si="140"/>
        <v>0</v>
      </c>
    </row>
    <row r="542" spans="1:40" ht="25.5" x14ac:dyDescent="0.2">
      <c r="A542" t="str">
        <f t="shared" si="137"/>
        <v>S</v>
      </c>
      <c r="B542">
        <f t="shared" ca="1" si="120"/>
        <v>2</v>
      </c>
      <c r="C542" t="str">
        <f t="shared" ca="1" si="121"/>
        <v>S</v>
      </c>
      <c r="D542">
        <f t="shared" ca="1" si="122"/>
        <v>0</v>
      </c>
      <c r="E542">
        <f ca="1">IF($C542=1,OFFSET(E542,-1,0)+MAX(1,COUNTIF(QCI!$A$13:$A$24,OFFSET(ORÇAMENTO!E542,-1,0))),OFFSET(E542,-1,0))</f>
        <v>1</v>
      </c>
      <c r="F542">
        <f t="shared" ca="1" si="123"/>
        <v>55</v>
      </c>
      <c r="G542">
        <f t="shared" ca="1" si="124"/>
        <v>0</v>
      </c>
      <c r="H542">
        <f t="shared" ca="1" si="125"/>
        <v>0</v>
      </c>
      <c r="I542">
        <f t="shared" ca="1" si="126"/>
        <v>0</v>
      </c>
      <c r="J542">
        <f t="shared" ca="1" si="136"/>
        <v>0</v>
      </c>
      <c r="K542">
        <f ca="1">IF(OR($C542="S",$C542=0),0,MATCH(OFFSET($D542,0,$C542)+IF($C542&lt;&gt;1,1,COUNTIF(QCI!$A$13:$A$24,ORÇAMENTO!E542)),OFFSET($D542,1,$C542,ROW($C$727)-ROW($C542)),0))</f>
        <v>0</v>
      </c>
      <c r="L542" s="116" t="str">
        <f t="shared" ca="1" si="127"/>
        <v/>
      </c>
      <c r="M542" s="117" t="s">
        <v>199</v>
      </c>
      <c r="N542" s="118" t="str">
        <f t="shared" ca="1" si="128"/>
        <v>Serviço</v>
      </c>
      <c r="O542" s="119" t="str">
        <f t="shared" ca="1" si="129"/>
        <v>-</v>
      </c>
      <c r="P542" s="120" t="s">
        <v>247</v>
      </c>
      <c r="Q542" s="121" t="s">
        <v>898</v>
      </c>
      <c r="R542" s="122" t="str">
        <f ca="1">IF($C542="S",REFERENCIA.Descricao,"(digite a descrição aqui)")</f>
        <v>(abra o arquivo 'Referência 06-2024.xlsm)</v>
      </c>
      <c r="S542" s="123" t="str">
        <f ca="1">REFERENCIA.Unidade</f>
        <v>-</v>
      </c>
      <c r="T542" s="124">
        <f ca="1">OFFSET(CÁLCULO!H$15,ROW($T542)-ROW(T$15),0)</f>
        <v>10</v>
      </c>
      <c r="U542" s="125">
        <f t="shared" ca="1" si="135"/>
        <v>0</v>
      </c>
      <c r="V542" s="126" t="s">
        <v>156</v>
      </c>
      <c r="W542" s="124">
        <f ca="1">IF($C542="S",ROUND(IF(TIPOORCAMENTO="Proposto",ORÇAMENTO.CustoUnitario*(1+$AH542),ORÇAMENTO.PrecoUnitarioLicitado),15-13*$AF$10),0)</f>
        <v>0</v>
      </c>
      <c r="X542" s="127">
        <f ca="1">IF($C542="S",IF(Import.TipoArredondamento&lt;&gt;"TransfereGOV",VTOTAL1,SUM(OFFSET(CÁLCULO!$AI$15,ROW($X542)-ROW($X$15),1):OFFSET(CÁLCULO!$BB$15,ROW($X542)-ROW($X$15),-1))),IF($C542=0,0,ROUND(SomaAgrup,15-13*$AF$11)))</f>
        <v>0</v>
      </c>
      <c r="Y542" s="128" t="s">
        <v>245</v>
      </c>
      <c r="Z542" t="str">
        <f t="shared" ca="1" si="130"/>
        <v/>
      </c>
      <c r="AA542" s="129">
        <f ca="1">IF($C542="S",IF($Z542="CP",$X542,IF($Z542="RA",(($X542)*QCI!$AA$3),0)),SomaAgrup)</f>
        <v>0</v>
      </c>
      <c r="AB542" s="130">
        <f t="shared" ca="1" si="138"/>
        <v>0</v>
      </c>
      <c r="AC542" s="131" t="str">
        <f ca="1">IF($N542="","",IF(ORÇAMENTO.Descricao="","DESCRIÇÃO",IF(AND($C542="S",ORÇAMENTO.Unidade=""),"UNIDADE",IF($X542&lt;0,"VALOR NEGATIVO",IF(OR(AND(TIPOORCAMENTO="Proposto",$AG542&lt;&gt;"",$AG542&gt;0,ORÇAMENTO.CustoUnitario&gt;$AG542),AND(TIPOORCAMENTO="LICITADO",ORÇAMENTO.PrecoUnitarioLicitado&gt;$AN542)),"ACIMA REF.","")))))</f>
        <v/>
      </c>
      <c r="AD542" t="str">
        <f ca="1">IF(C542&lt;=CRONO.NivelExibicao,MAX($AD$15:OFFSET(AD542,-1,0))+IF($C542&lt;&gt;1,1,MAX(1,COUNTIF(QCI!$A$13:$A$24,OFFSET($E542,-1,0)))),"")</f>
        <v/>
      </c>
      <c r="AE542" s="7" t="str">
        <f ca="1">IF(AND($C542="S",ORÇAMENTO.CodBarra&lt;&gt;""),IF(ORÇAMENTO.Fonte="",ORÇAMENTO.CodBarra,CONCATENATE(ORÇAMENTO.Fonte," ",ORÇAMENTO.CodBarra)))</f>
        <v>SINAPI 91999</v>
      </c>
      <c r="AF542" s="13" t="str">
        <f ca="1">IF(ISERROR(INDIRECT(ORÇAMENTO.BancoRef)),"(abra o arquivo 'Referência "&amp;Excel_BuiltIn_Database&amp;".xlsm)",IF(OR($C542&lt;&gt;"S",ORÇAMENTO.CodBarra=""),"(Sem Código)",IF(ISERROR(MATCH($AE542,INDIRECT(ORÇAMENTO.BancoRef),0)),"(Código não identificado nas referências)",MATCH($AE542,INDIRECT(ORÇAMENTO.BancoRef),0))))</f>
        <v>(abra o arquivo 'Referência 06-2024.xlsm)</v>
      </c>
      <c r="AG542" s="498">
        <f ca="1">ROUND(IF(DESONERACAO="sim",REFERENCIA.Desonerado,REFERENCIA.NaoDesonerado),2)</f>
        <v>0</v>
      </c>
      <c r="AH542" s="499">
        <f t="shared" ca="1" si="139"/>
        <v>0.2432</v>
      </c>
      <c r="AJ542" s="501"/>
      <c r="AL542" s="527"/>
      <c r="AM542" s="381">
        <f t="shared" ca="1" si="133"/>
        <v>0</v>
      </c>
      <c r="AN542" s="566">
        <f t="shared" ca="1" si="140"/>
        <v>0</v>
      </c>
    </row>
    <row r="543" spans="1:40" x14ac:dyDescent="0.2">
      <c r="A543">
        <f t="shared" si="137"/>
        <v>2</v>
      </c>
      <c r="B543">
        <f t="shared" ca="1" si="120"/>
        <v>2</v>
      </c>
      <c r="C543">
        <f t="shared" ca="1" si="121"/>
        <v>2</v>
      </c>
      <c r="D543">
        <f t="shared" ca="1" si="122"/>
        <v>24</v>
      </c>
      <c r="E543">
        <f ca="1">IF($C543=1,OFFSET(E543,-1,0)+MAX(1,COUNTIF(QCI!$A$13:$A$24,OFFSET(ORÇAMENTO!E543,-1,0))),OFFSET(E543,-1,0))</f>
        <v>1</v>
      </c>
      <c r="F543">
        <f t="shared" ca="1" si="123"/>
        <v>56</v>
      </c>
      <c r="G543">
        <f t="shared" ca="1" si="124"/>
        <v>0</v>
      </c>
      <c r="H543">
        <f t="shared" ca="1" si="125"/>
        <v>0</v>
      </c>
      <c r="I543">
        <f t="shared" ca="1" si="126"/>
        <v>0</v>
      </c>
      <c r="J543">
        <f t="shared" ca="1" si="136"/>
        <v>184</v>
      </c>
      <c r="K543">
        <f ca="1">IF(OR($C543="S",$C543=0),0,MATCH(OFFSET($D543,0,$C543)+IF($C543&lt;&gt;1,1,COUNTIF(QCI!$A$13:$A$24,ORÇAMENTO!E543)),OFFSET($D543,1,$C543,ROW($C$727)-ROW($C543)),0))</f>
        <v>24</v>
      </c>
      <c r="L543" s="116" t="str">
        <f t="shared" ca="1" si="127"/>
        <v>F</v>
      </c>
      <c r="M543" s="117" t="s">
        <v>196</v>
      </c>
      <c r="N543" s="118" t="str">
        <f t="shared" ca="1" si="128"/>
        <v>Nível 2</v>
      </c>
      <c r="O543" s="119" t="str">
        <f t="shared" ca="1" si="129"/>
        <v>1.56.</v>
      </c>
      <c r="P543" s="120" t="s">
        <v>247</v>
      </c>
      <c r="Q543" s="121"/>
      <c r="R543" s="122" t="s">
        <v>1079</v>
      </c>
      <c r="S543" s="123" t="str">
        <f ca="1">REFERENCIA.Unidade</f>
        <v>-</v>
      </c>
      <c r="T543" s="124">
        <f ca="1">OFFSET(CÁLCULO!H$15,ROW($T543)-ROW(T$15),0)</f>
        <v>0</v>
      </c>
      <c r="U543" s="125">
        <f t="shared" ca="1" si="135"/>
        <v>0</v>
      </c>
      <c r="V543" s="126" t="s">
        <v>156</v>
      </c>
      <c r="W543" s="124">
        <f ca="1">IF($C543="S",ROUND(IF(TIPOORCAMENTO="Proposto",ORÇAMENTO.CustoUnitario*(1+$AH543),ORÇAMENTO.PrecoUnitarioLicitado),15-13*$AF$10),0)</f>
        <v>0</v>
      </c>
      <c r="X543" s="127">
        <f ca="1">IF($C543="S",IF(Import.TipoArredondamento&lt;&gt;"TransfereGOV",VTOTAL1,SUM(OFFSET(CÁLCULO!$AI$15,ROW($X543)-ROW($X$15),1):OFFSET(CÁLCULO!$BB$15,ROW($X543)-ROW($X$15),-1))),IF($C543=0,0,ROUND(SomaAgrup,15-13*$AF$11)))</f>
        <v>0</v>
      </c>
      <c r="Y543" s="128" t="s">
        <v>245</v>
      </c>
      <c r="Z543" t="str">
        <f t="shared" ca="1" si="130"/>
        <v/>
      </c>
      <c r="AA543" s="129">
        <f ca="1">IF($C543="S",IF($Z543="CP",$X543,IF($Z543="RA",(($X543)*QCI!$AA$3),0)),SomaAgrup)</f>
        <v>0</v>
      </c>
      <c r="AB543" s="130">
        <f t="shared" ca="1" si="138"/>
        <v>0</v>
      </c>
      <c r="AC543" s="131" t="str">
        <f ca="1">IF($N543="","",IF(ORÇAMENTO.Descricao="","DESCRIÇÃO",IF(AND($C543="S",ORÇAMENTO.Unidade=""),"UNIDADE",IF($X543&lt;0,"VALOR NEGATIVO",IF(OR(AND(TIPOORCAMENTO="Proposto",$AG543&lt;&gt;"",$AG543&gt;0,ORÇAMENTO.CustoUnitario&gt;$AG543),AND(TIPOORCAMENTO="LICITADO",ORÇAMENTO.PrecoUnitarioLicitado&gt;$AN543)),"ACIMA REF.","")))))</f>
        <v/>
      </c>
      <c r="AD543">
        <f ca="1">IF(C543&lt;=CRONO.NivelExibicao,MAX($AD$15:OFFSET(AD543,-1,0))+IF($C543&lt;&gt;1,1,MAX(1,COUNTIF(QCI!$A$13:$A$24,OFFSET($E543,-1,0)))),"")</f>
        <v>57</v>
      </c>
      <c r="AE543" s="7" t="b">
        <f ca="1">IF(AND($C543="S",ORÇAMENTO.CodBarra&lt;&gt;""),IF(ORÇAMENTO.Fonte="",ORÇAMENTO.CodBarra,CONCATENATE(ORÇAMENTO.Fonte," ",ORÇAMENTO.CodBarra)))</f>
        <v>0</v>
      </c>
      <c r="AF543" s="13" t="str">
        <f ca="1">IF(ISERROR(INDIRECT(ORÇAMENTO.BancoRef)),"(abra o arquivo 'Referência "&amp;Excel_BuiltIn_Database&amp;".xlsm)",IF(OR($C543&lt;&gt;"S",ORÇAMENTO.CodBarra=""),"(Sem Código)",IF(ISERROR(MATCH($AE543,INDIRECT(ORÇAMENTO.BancoRef),0)),"(Código não identificado nas referências)",MATCH($AE543,INDIRECT(ORÇAMENTO.BancoRef),0))))</f>
        <v>(abra o arquivo 'Referência 06-2024.xlsm)</v>
      </c>
      <c r="AG543" s="498">
        <f ca="1">ROUND(IF(DESONERACAO="sim",REFERENCIA.Desonerado,REFERENCIA.NaoDesonerado),2)</f>
        <v>0</v>
      </c>
      <c r="AH543" s="499">
        <f t="shared" ca="1" si="139"/>
        <v>0.2432</v>
      </c>
      <c r="AJ543" s="501"/>
      <c r="AL543" s="527"/>
      <c r="AM543" s="381">
        <f t="shared" ca="1" si="133"/>
        <v>0</v>
      </c>
      <c r="AN543" s="566">
        <f t="shared" ca="1" si="140"/>
        <v>0</v>
      </c>
    </row>
    <row r="544" spans="1:40" ht="25.5" x14ac:dyDescent="0.2">
      <c r="A544" t="str">
        <f t="shared" si="137"/>
        <v>S</v>
      </c>
      <c r="B544">
        <f t="shared" ca="1" si="120"/>
        <v>2</v>
      </c>
      <c r="C544" t="str">
        <f t="shared" ca="1" si="121"/>
        <v>S</v>
      </c>
      <c r="D544">
        <f t="shared" ca="1" si="122"/>
        <v>0</v>
      </c>
      <c r="E544">
        <f ca="1">IF($C544=1,OFFSET(E544,-1,0)+MAX(1,COUNTIF(QCI!$A$13:$A$24,OFFSET(ORÇAMENTO!E544,-1,0))),OFFSET(E544,-1,0))</f>
        <v>1</v>
      </c>
      <c r="F544">
        <f t="shared" ca="1" si="123"/>
        <v>56</v>
      </c>
      <c r="G544">
        <f t="shared" ca="1" si="124"/>
        <v>0</v>
      </c>
      <c r="H544">
        <f t="shared" ca="1" si="125"/>
        <v>0</v>
      </c>
      <c r="I544">
        <f t="shared" ca="1" si="126"/>
        <v>0</v>
      </c>
      <c r="J544">
        <f t="shared" ca="1" si="136"/>
        <v>0</v>
      </c>
      <c r="K544">
        <f ca="1">IF(OR($C544="S",$C544=0),0,MATCH(OFFSET($D544,0,$C544)+IF($C544&lt;&gt;1,1,COUNTIF(QCI!$A$13:$A$24,ORÇAMENTO!E544)),OFFSET($D544,1,$C544,ROW($C$727)-ROW($C544)),0))</f>
        <v>0</v>
      </c>
      <c r="L544" s="116" t="str">
        <f t="shared" ca="1" si="127"/>
        <v/>
      </c>
      <c r="M544" s="117" t="s">
        <v>199</v>
      </c>
      <c r="N544" s="118" t="str">
        <f t="shared" ca="1" si="128"/>
        <v>Serviço</v>
      </c>
      <c r="O544" s="119" t="str">
        <f t="shared" ca="1" si="129"/>
        <v>-</v>
      </c>
      <c r="P544" s="120" t="s">
        <v>247</v>
      </c>
      <c r="Q544" s="121" t="s">
        <v>899</v>
      </c>
      <c r="R544" s="122" t="str">
        <f ca="1">IF($C544="S",REFERENCIA.Descricao,"(digite a descrição aqui)")</f>
        <v>(abra o arquivo 'Referência 06-2024.xlsm)</v>
      </c>
      <c r="S544" s="123" t="str">
        <f ca="1">REFERENCIA.Unidade</f>
        <v>-</v>
      </c>
      <c r="T544" s="124">
        <f ca="1">OFFSET(CÁLCULO!H$15,ROW($T544)-ROW(T$15),0)</f>
        <v>2</v>
      </c>
      <c r="U544" s="125">
        <f t="shared" ca="1" si="135"/>
        <v>0</v>
      </c>
      <c r="V544" s="126" t="s">
        <v>156</v>
      </c>
      <c r="W544" s="124">
        <f ca="1">IF($C544="S",ROUND(IF(TIPOORCAMENTO="Proposto",ORÇAMENTO.CustoUnitario*(1+$AH544),ORÇAMENTO.PrecoUnitarioLicitado),15-13*$AF$10),0)</f>
        <v>0</v>
      </c>
      <c r="X544" s="127">
        <f ca="1">IF($C544="S",IF(Import.TipoArredondamento&lt;&gt;"TransfereGOV",VTOTAL1,SUM(OFFSET(CÁLCULO!$AI$15,ROW($X544)-ROW($X$15),1):OFFSET(CÁLCULO!$BB$15,ROW($X544)-ROW($X$15),-1))),IF($C544=0,0,ROUND(SomaAgrup,15-13*$AF$11)))</f>
        <v>0</v>
      </c>
      <c r="Y544" s="128" t="s">
        <v>245</v>
      </c>
      <c r="Z544" t="str">
        <f t="shared" ca="1" si="130"/>
        <v/>
      </c>
      <c r="AA544" s="129">
        <f ca="1">IF($C544="S",IF($Z544="CP",$X544,IF($Z544="RA",(($X544)*QCI!$AA$3),0)),SomaAgrup)</f>
        <v>0</v>
      </c>
      <c r="AB544" s="130">
        <f t="shared" ca="1" si="138"/>
        <v>0</v>
      </c>
      <c r="AC544" s="131" t="str">
        <f ca="1">IF($N544="","",IF(ORÇAMENTO.Descricao="","DESCRIÇÃO",IF(AND($C544="S",ORÇAMENTO.Unidade=""),"UNIDADE",IF($X544&lt;0,"VALOR NEGATIVO",IF(OR(AND(TIPOORCAMENTO="Proposto",$AG544&lt;&gt;"",$AG544&gt;0,ORÇAMENTO.CustoUnitario&gt;$AG544),AND(TIPOORCAMENTO="LICITADO",ORÇAMENTO.PrecoUnitarioLicitado&gt;$AN544)),"ACIMA REF.","")))))</f>
        <v/>
      </c>
      <c r="AD544" t="str">
        <f ca="1">IF(C544&lt;=CRONO.NivelExibicao,MAX($AD$15:OFFSET(AD544,-1,0))+IF($C544&lt;&gt;1,1,MAX(1,COUNTIF(QCI!$A$13:$A$24,OFFSET($E544,-1,0)))),"")</f>
        <v/>
      </c>
      <c r="AE544" s="7" t="str">
        <f ca="1">IF(AND($C544="S",ORÇAMENTO.CodBarra&lt;&gt;""),IF(ORÇAMENTO.Fonte="",ORÇAMENTO.CodBarra,CONCATENATE(ORÇAMENTO.Fonte," ",ORÇAMENTO.CodBarra)))</f>
        <v>SINAPI 93667</v>
      </c>
      <c r="AF544" s="13" t="str">
        <f ca="1">IF(ISERROR(INDIRECT(ORÇAMENTO.BancoRef)),"(abra o arquivo 'Referência "&amp;Excel_BuiltIn_Database&amp;".xlsm)",IF(OR($C544&lt;&gt;"S",ORÇAMENTO.CodBarra=""),"(Sem Código)",IF(ISERROR(MATCH($AE544,INDIRECT(ORÇAMENTO.BancoRef),0)),"(Código não identificado nas referências)",MATCH($AE544,INDIRECT(ORÇAMENTO.BancoRef),0))))</f>
        <v>(abra o arquivo 'Referência 06-2024.xlsm)</v>
      </c>
      <c r="AG544" s="498">
        <f ca="1">ROUND(IF(DESONERACAO="sim",REFERENCIA.Desonerado,REFERENCIA.NaoDesonerado),2)</f>
        <v>0</v>
      </c>
      <c r="AH544" s="499">
        <f t="shared" ca="1" si="139"/>
        <v>0.2432</v>
      </c>
      <c r="AJ544" s="501"/>
      <c r="AL544" s="527"/>
      <c r="AM544" s="381">
        <f t="shared" ca="1" si="133"/>
        <v>0</v>
      </c>
      <c r="AN544" s="566">
        <f t="shared" ca="1" si="140"/>
        <v>0</v>
      </c>
    </row>
    <row r="545" spans="1:40" ht="25.5" x14ac:dyDescent="0.2">
      <c r="A545" t="str">
        <f t="shared" si="137"/>
        <v>S</v>
      </c>
      <c r="B545">
        <f t="shared" ca="1" si="120"/>
        <v>2</v>
      </c>
      <c r="C545" t="str">
        <f t="shared" ca="1" si="121"/>
        <v>S</v>
      </c>
      <c r="D545">
        <f t="shared" ca="1" si="122"/>
        <v>0</v>
      </c>
      <c r="E545">
        <f ca="1">IF($C545=1,OFFSET(E545,-1,0)+MAX(1,COUNTIF(QCI!$A$13:$A$24,OFFSET(ORÇAMENTO!E545,-1,0))),OFFSET(E545,-1,0))</f>
        <v>1</v>
      </c>
      <c r="F545">
        <f t="shared" ca="1" si="123"/>
        <v>56</v>
      </c>
      <c r="G545">
        <f t="shared" ca="1" si="124"/>
        <v>0</v>
      </c>
      <c r="H545">
        <f t="shared" ca="1" si="125"/>
        <v>0</v>
      </c>
      <c r="I545">
        <f t="shared" ca="1" si="126"/>
        <v>0</v>
      </c>
      <c r="J545">
        <f t="shared" ca="1" si="136"/>
        <v>0</v>
      </c>
      <c r="K545">
        <f ca="1">IF(OR($C545="S",$C545=0),0,MATCH(OFFSET($D545,0,$C545)+IF($C545&lt;&gt;1,1,COUNTIF(QCI!$A$13:$A$24,ORÇAMENTO!E545)),OFFSET($D545,1,$C545,ROW($C$727)-ROW($C545)),0))</f>
        <v>0</v>
      </c>
      <c r="L545" s="116" t="str">
        <f t="shared" ca="1" si="127"/>
        <v/>
      </c>
      <c r="M545" s="117" t="s">
        <v>199</v>
      </c>
      <c r="N545" s="118" t="str">
        <f t="shared" ca="1" si="128"/>
        <v>Serviço</v>
      </c>
      <c r="O545" s="119" t="str">
        <f t="shared" ca="1" si="129"/>
        <v>-</v>
      </c>
      <c r="P545" s="120" t="s">
        <v>247</v>
      </c>
      <c r="Q545" s="121" t="s">
        <v>900</v>
      </c>
      <c r="R545" s="122" t="str">
        <f ca="1">IF($C545="S",REFERENCIA.Descricao,"(digite a descrição aqui)")</f>
        <v>(abra o arquivo 'Referência 06-2024.xlsm)</v>
      </c>
      <c r="S545" s="123" t="str">
        <f ca="1">REFERENCIA.Unidade</f>
        <v>-</v>
      </c>
      <c r="T545" s="124">
        <f ca="1">OFFSET(CÁLCULO!H$15,ROW($T545)-ROW(T$15),0)</f>
        <v>47</v>
      </c>
      <c r="U545" s="125">
        <f t="shared" ca="1" si="135"/>
        <v>0</v>
      </c>
      <c r="V545" s="126" t="s">
        <v>156</v>
      </c>
      <c r="W545" s="124">
        <f ca="1">IF($C545="S",ROUND(IF(TIPOORCAMENTO="Proposto",ORÇAMENTO.CustoUnitario*(1+$AH545),ORÇAMENTO.PrecoUnitarioLicitado),15-13*$AF$10),0)</f>
        <v>0</v>
      </c>
      <c r="X545" s="127">
        <f ca="1">IF($C545="S",IF(Import.TipoArredondamento&lt;&gt;"TransfereGOV",VTOTAL1,SUM(OFFSET(CÁLCULO!$AI$15,ROW($X545)-ROW($X$15),1):OFFSET(CÁLCULO!$BB$15,ROW($X545)-ROW($X$15),-1))),IF($C545=0,0,ROUND(SomaAgrup,15-13*$AF$11)))</f>
        <v>0</v>
      </c>
      <c r="Y545" s="128" t="s">
        <v>245</v>
      </c>
      <c r="Z545" t="str">
        <f t="shared" ca="1" si="130"/>
        <v/>
      </c>
      <c r="AA545" s="129">
        <f ca="1">IF($C545="S",IF($Z545="CP",$X545,IF($Z545="RA",(($X545)*QCI!$AA$3),0)),SomaAgrup)</f>
        <v>0</v>
      </c>
      <c r="AB545" s="130">
        <f t="shared" ca="1" si="138"/>
        <v>0</v>
      </c>
      <c r="AC545" s="131" t="str">
        <f ca="1">IF($N545="","",IF(ORÇAMENTO.Descricao="","DESCRIÇÃO",IF(AND($C545="S",ORÇAMENTO.Unidade=""),"UNIDADE",IF($X545&lt;0,"VALOR NEGATIVO",IF(OR(AND(TIPOORCAMENTO="Proposto",$AG545&lt;&gt;"",$AG545&gt;0,ORÇAMENTO.CustoUnitario&gt;$AG545),AND(TIPOORCAMENTO="LICITADO",ORÇAMENTO.PrecoUnitarioLicitado&gt;$AN545)),"ACIMA REF.","")))))</f>
        <v/>
      </c>
      <c r="AD545" t="str">
        <f ca="1">IF(C545&lt;=CRONO.NivelExibicao,MAX($AD$15:OFFSET(AD545,-1,0))+IF($C545&lt;&gt;1,1,MAX(1,COUNTIF(QCI!$A$13:$A$24,OFFSET($E545,-1,0)))),"")</f>
        <v/>
      </c>
      <c r="AE545" s="7" t="str">
        <f ca="1">IF(AND($C545="S",ORÇAMENTO.CodBarra&lt;&gt;""),IF(ORÇAMENTO.Fonte="",ORÇAMENTO.CodBarra,CONCATENATE(ORÇAMENTO.Fonte," ",ORÇAMENTO.CodBarra)))</f>
        <v>SINAPI 93653</v>
      </c>
      <c r="AF545" s="13" t="str">
        <f ca="1">IF(ISERROR(INDIRECT(ORÇAMENTO.BancoRef)),"(abra o arquivo 'Referência "&amp;Excel_BuiltIn_Database&amp;".xlsm)",IF(OR($C545&lt;&gt;"S",ORÇAMENTO.CodBarra=""),"(Sem Código)",IF(ISERROR(MATCH($AE545,INDIRECT(ORÇAMENTO.BancoRef),0)),"(Código não identificado nas referências)",MATCH($AE545,INDIRECT(ORÇAMENTO.BancoRef),0))))</f>
        <v>(abra o arquivo 'Referência 06-2024.xlsm)</v>
      </c>
      <c r="AG545" s="498">
        <f ca="1">ROUND(IF(DESONERACAO="sim",REFERENCIA.Desonerado,REFERENCIA.NaoDesonerado),2)</f>
        <v>0</v>
      </c>
      <c r="AH545" s="499">
        <f t="shared" ca="1" si="139"/>
        <v>0.2432</v>
      </c>
      <c r="AJ545" s="501"/>
      <c r="AL545" s="527"/>
      <c r="AM545" s="381">
        <f t="shared" ca="1" si="133"/>
        <v>0</v>
      </c>
      <c r="AN545" s="566">
        <f t="shared" ca="1" si="140"/>
        <v>0</v>
      </c>
    </row>
    <row r="546" spans="1:40" ht="25.5" x14ac:dyDescent="0.2">
      <c r="A546" t="str">
        <f t="shared" si="137"/>
        <v>S</v>
      </c>
      <c r="B546">
        <f t="shared" ca="1" si="120"/>
        <v>2</v>
      </c>
      <c r="C546" t="str">
        <f t="shared" ca="1" si="121"/>
        <v>S</v>
      </c>
      <c r="D546">
        <f t="shared" ca="1" si="122"/>
        <v>0</v>
      </c>
      <c r="E546">
        <f ca="1">IF($C546=1,OFFSET(E546,-1,0)+MAX(1,COUNTIF(QCI!$A$13:$A$24,OFFSET(ORÇAMENTO!E546,-1,0))),OFFSET(E546,-1,0))</f>
        <v>1</v>
      </c>
      <c r="F546">
        <f t="shared" ca="1" si="123"/>
        <v>56</v>
      </c>
      <c r="G546">
        <f t="shared" ca="1" si="124"/>
        <v>0</v>
      </c>
      <c r="H546">
        <f t="shared" ca="1" si="125"/>
        <v>0</v>
      </c>
      <c r="I546">
        <f t="shared" ca="1" si="126"/>
        <v>0</v>
      </c>
      <c r="J546">
        <f t="shared" ca="1" si="136"/>
        <v>0</v>
      </c>
      <c r="K546">
        <f ca="1">IF(OR($C546="S",$C546=0),0,MATCH(OFFSET($D546,0,$C546)+IF($C546&lt;&gt;1,1,COUNTIF(QCI!$A$13:$A$24,ORÇAMENTO!E546)),OFFSET($D546,1,$C546,ROW($C$727)-ROW($C546)),0))</f>
        <v>0</v>
      </c>
      <c r="L546" s="116" t="str">
        <f t="shared" ca="1" si="127"/>
        <v/>
      </c>
      <c r="M546" s="117" t="s">
        <v>199</v>
      </c>
      <c r="N546" s="118" t="str">
        <f t="shared" ca="1" si="128"/>
        <v>Serviço</v>
      </c>
      <c r="O546" s="119" t="str">
        <f t="shared" ca="1" si="129"/>
        <v>-</v>
      </c>
      <c r="P546" s="120" t="s">
        <v>247</v>
      </c>
      <c r="Q546" s="121" t="s">
        <v>901</v>
      </c>
      <c r="R546" s="122" t="str">
        <f ca="1">IF($C546="S",REFERENCIA.Descricao,"(digite a descrição aqui)")</f>
        <v>(abra o arquivo 'Referência 06-2024.xlsm)</v>
      </c>
      <c r="S546" s="123" t="str">
        <f ca="1">REFERENCIA.Unidade</f>
        <v>-</v>
      </c>
      <c r="T546" s="124">
        <f ca="1">OFFSET(CÁLCULO!H$15,ROW($T546)-ROW(T$15),0)</f>
        <v>8</v>
      </c>
      <c r="U546" s="125">
        <f t="shared" ca="1" si="135"/>
        <v>0</v>
      </c>
      <c r="V546" s="126" t="s">
        <v>156</v>
      </c>
      <c r="W546" s="124">
        <f ca="1">IF($C546="S",ROUND(IF(TIPOORCAMENTO="Proposto",ORÇAMENTO.CustoUnitario*(1+$AH546),ORÇAMENTO.PrecoUnitarioLicitado),15-13*$AF$10),0)</f>
        <v>0</v>
      </c>
      <c r="X546" s="127">
        <f ca="1">IF($C546="S",IF(Import.TipoArredondamento&lt;&gt;"TransfereGOV",VTOTAL1,SUM(OFFSET(CÁLCULO!$AI$15,ROW($X546)-ROW($X$15),1):OFFSET(CÁLCULO!$BB$15,ROW($X546)-ROW($X$15),-1))),IF($C546=0,0,ROUND(SomaAgrup,15-13*$AF$11)))</f>
        <v>0</v>
      </c>
      <c r="Y546" s="128" t="s">
        <v>245</v>
      </c>
      <c r="Z546" t="str">
        <f t="shared" ca="1" si="130"/>
        <v/>
      </c>
      <c r="AA546" s="129">
        <f ca="1">IF($C546="S",IF($Z546="CP",$X546,IF($Z546="RA",(($X546)*QCI!$AA$3),0)),SomaAgrup)</f>
        <v>0</v>
      </c>
      <c r="AB546" s="130">
        <f t="shared" ca="1" si="138"/>
        <v>0</v>
      </c>
      <c r="AC546" s="131" t="str">
        <f ca="1">IF($N546="","",IF(ORÇAMENTO.Descricao="","DESCRIÇÃO",IF(AND($C546="S",ORÇAMENTO.Unidade=""),"UNIDADE",IF($X546&lt;0,"VALOR NEGATIVO",IF(OR(AND(TIPOORCAMENTO="Proposto",$AG546&lt;&gt;"",$AG546&gt;0,ORÇAMENTO.CustoUnitario&gt;$AG546),AND(TIPOORCAMENTO="LICITADO",ORÇAMENTO.PrecoUnitarioLicitado&gt;$AN546)),"ACIMA REF.","")))))</f>
        <v/>
      </c>
      <c r="AD546" t="str">
        <f ca="1">IF(C546&lt;=CRONO.NivelExibicao,MAX($AD$15:OFFSET(AD546,-1,0))+IF($C546&lt;&gt;1,1,MAX(1,COUNTIF(QCI!$A$13:$A$24,OFFSET($E546,-1,0)))),"")</f>
        <v/>
      </c>
      <c r="AE546" s="7" t="str">
        <f ca="1">IF(AND($C546="S",ORÇAMENTO.CodBarra&lt;&gt;""),IF(ORÇAMENTO.Fonte="",ORÇAMENTO.CodBarra,CONCATENATE(ORÇAMENTO.Fonte," ",ORÇAMENTO.CodBarra)))</f>
        <v>SINAPI 93654</v>
      </c>
      <c r="AF546" s="13" t="str">
        <f ca="1">IF(ISERROR(INDIRECT(ORÇAMENTO.BancoRef)),"(abra o arquivo 'Referência "&amp;Excel_BuiltIn_Database&amp;".xlsm)",IF(OR($C546&lt;&gt;"S",ORÇAMENTO.CodBarra=""),"(Sem Código)",IF(ISERROR(MATCH($AE546,INDIRECT(ORÇAMENTO.BancoRef),0)),"(Código não identificado nas referências)",MATCH($AE546,INDIRECT(ORÇAMENTO.BancoRef),0))))</f>
        <v>(abra o arquivo 'Referência 06-2024.xlsm)</v>
      </c>
      <c r="AG546" s="498">
        <f ca="1">ROUND(IF(DESONERACAO="sim",REFERENCIA.Desonerado,REFERENCIA.NaoDesonerado),2)</f>
        <v>0</v>
      </c>
      <c r="AH546" s="499">
        <f t="shared" ca="1" si="139"/>
        <v>0.2432</v>
      </c>
      <c r="AJ546" s="501"/>
      <c r="AL546" s="527"/>
      <c r="AM546" s="381">
        <f t="shared" ca="1" si="133"/>
        <v>0</v>
      </c>
      <c r="AN546" s="566">
        <f t="shared" ca="1" si="140"/>
        <v>0</v>
      </c>
    </row>
    <row r="547" spans="1:40" ht="25.5" x14ac:dyDescent="0.2">
      <c r="A547" t="str">
        <f t="shared" si="137"/>
        <v>S</v>
      </c>
      <c r="B547">
        <f t="shared" ca="1" si="120"/>
        <v>2</v>
      </c>
      <c r="C547" t="str">
        <f t="shared" ca="1" si="121"/>
        <v>S</v>
      </c>
      <c r="D547">
        <f t="shared" ca="1" si="122"/>
        <v>0</v>
      </c>
      <c r="E547">
        <f ca="1">IF($C547=1,OFFSET(E547,-1,0)+MAX(1,COUNTIF(QCI!$A$13:$A$24,OFFSET(ORÇAMENTO!E547,-1,0))),OFFSET(E547,-1,0))</f>
        <v>1</v>
      </c>
      <c r="F547">
        <f t="shared" ca="1" si="123"/>
        <v>56</v>
      </c>
      <c r="G547">
        <f t="shared" ca="1" si="124"/>
        <v>0</v>
      </c>
      <c r="H547">
        <f t="shared" ca="1" si="125"/>
        <v>0</v>
      </c>
      <c r="I547">
        <f t="shared" ca="1" si="126"/>
        <v>0</v>
      </c>
      <c r="J547">
        <f t="shared" ca="1" si="136"/>
        <v>0</v>
      </c>
      <c r="K547">
        <f ca="1">IF(OR($C547="S",$C547=0),0,MATCH(OFFSET($D547,0,$C547)+IF($C547&lt;&gt;1,1,COUNTIF(QCI!$A$13:$A$24,ORÇAMENTO!E547)),OFFSET($D547,1,$C547,ROW($C$727)-ROW($C547)),0))</f>
        <v>0</v>
      </c>
      <c r="L547" s="116" t="str">
        <f t="shared" ca="1" si="127"/>
        <v/>
      </c>
      <c r="M547" s="117" t="s">
        <v>199</v>
      </c>
      <c r="N547" s="118" t="str">
        <f t="shared" ca="1" si="128"/>
        <v>Serviço</v>
      </c>
      <c r="O547" s="119" t="str">
        <f t="shared" ca="1" si="129"/>
        <v>-</v>
      </c>
      <c r="P547" s="120" t="s">
        <v>247</v>
      </c>
      <c r="Q547" s="121" t="s">
        <v>902</v>
      </c>
      <c r="R547" s="122" t="str">
        <f ca="1">IF($C547="S",REFERENCIA.Descricao,"(digite a descrição aqui)")</f>
        <v>(abra o arquivo 'Referência 06-2024.xlsm)</v>
      </c>
      <c r="S547" s="123" t="str">
        <f ca="1">REFERENCIA.Unidade</f>
        <v>-</v>
      </c>
      <c r="T547" s="124">
        <f ca="1">OFFSET(CÁLCULO!H$15,ROW($T547)-ROW(T$15),0)</f>
        <v>1</v>
      </c>
      <c r="U547" s="125">
        <f t="shared" ca="1" si="135"/>
        <v>0</v>
      </c>
      <c r="V547" s="126" t="s">
        <v>156</v>
      </c>
      <c r="W547" s="124">
        <f ca="1">IF($C547="S",ROUND(IF(TIPOORCAMENTO="Proposto",ORÇAMENTO.CustoUnitario*(1+$AH547),ORÇAMENTO.PrecoUnitarioLicitado),15-13*$AF$10),0)</f>
        <v>0</v>
      </c>
      <c r="X547" s="127">
        <f ca="1">IF($C547="S",IF(Import.TipoArredondamento&lt;&gt;"TransfereGOV",VTOTAL1,SUM(OFFSET(CÁLCULO!$AI$15,ROW($X547)-ROW($X$15),1):OFFSET(CÁLCULO!$BB$15,ROW($X547)-ROW($X$15),-1))),IF($C547=0,0,ROUND(SomaAgrup,15-13*$AF$11)))</f>
        <v>0</v>
      </c>
      <c r="Y547" s="128" t="s">
        <v>245</v>
      </c>
      <c r="Z547" t="str">
        <f t="shared" ca="1" si="130"/>
        <v/>
      </c>
      <c r="AA547" s="129">
        <f ca="1">IF($C547="S",IF($Z547="CP",$X547,IF($Z547="RA",(($X547)*QCI!$AA$3),0)),SomaAgrup)</f>
        <v>0</v>
      </c>
      <c r="AB547" s="130">
        <f t="shared" ca="1" si="138"/>
        <v>0</v>
      </c>
      <c r="AC547" s="131" t="str">
        <f ca="1">IF($N547="","",IF(ORÇAMENTO.Descricao="","DESCRIÇÃO",IF(AND($C547="S",ORÇAMENTO.Unidade=""),"UNIDADE",IF($X547&lt;0,"VALOR NEGATIVO",IF(OR(AND(TIPOORCAMENTO="Proposto",$AG547&lt;&gt;"",$AG547&gt;0,ORÇAMENTO.CustoUnitario&gt;$AG547),AND(TIPOORCAMENTO="LICITADO",ORÇAMENTO.PrecoUnitarioLicitado&gt;$AN547)),"ACIMA REF.","")))))</f>
        <v/>
      </c>
      <c r="AD547" t="str">
        <f ca="1">IF(C547&lt;=CRONO.NivelExibicao,MAX($AD$15:OFFSET(AD547,-1,0))+IF($C547&lt;&gt;1,1,MAX(1,COUNTIF(QCI!$A$13:$A$24,OFFSET($E547,-1,0)))),"")</f>
        <v/>
      </c>
      <c r="AE547" s="7" t="str">
        <f ca="1">IF(AND($C547="S",ORÇAMENTO.CodBarra&lt;&gt;""),IF(ORÇAMENTO.Fonte="",ORÇAMENTO.CodBarra,CONCATENATE(ORÇAMENTO.Fonte," ",ORÇAMENTO.CodBarra)))</f>
        <v>SINAPI 93656</v>
      </c>
      <c r="AF547" s="13" t="str">
        <f ca="1">IF(ISERROR(INDIRECT(ORÇAMENTO.BancoRef)),"(abra o arquivo 'Referência "&amp;Excel_BuiltIn_Database&amp;".xlsm)",IF(OR($C547&lt;&gt;"S",ORÇAMENTO.CodBarra=""),"(Sem Código)",IF(ISERROR(MATCH($AE547,INDIRECT(ORÇAMENTO.BancoRef),0)),"(Código não identificado nas referências)",MATCH($AE547,INDIRECT(ORÇAMENTO.BancoRef),0))))</f>
        <v>(abra o arquivo 'Referência 06-2024.xlsm)</v>
      </c>
      <c r="AG547" s="498">
        <f ca="1">ROUND(IF(DESONERACAO="sim",REFERENCIA.Desonerado,REFERENCIA.NaoDesonerado),2)</f>
        <v>0</v>
      </c>
      <c r="AH547" s="499">
        <f t="shared" ca="1" si="139"/>
        <v>0.2432</v>
      </c>
      <c r="AJ547" s="501"/>
      <c r="AL547" s="527"/>
      <c r="AM547" s="381">
        <f t="shared" ca="1" si="133"/>
        <v>0</v>
      </c>
      <c r="AN547" s="566">
        <f t="shared" ca="1" si="140"/>
        <v>0</v>
      </c>
    </row>
    <row r="548" spans="1:40" ht="25.5" x14ac:dyDescent="0.2">
      <c r="A548" t="str">
        <f t="shared" si="137"/>
        <v>S</v>
      </c>
      <c r="B548">
        <f t="shared" ca="1" si="120"/>
        <v>2</v>
      </c>
      <c r="C548" t="str">
        <f t="shared" ca="1" si="121"/>
        <v>S</v>
      </c>
      <c r="D548">
        <f t="shared" ca="1" si="122"/>
        <v>0</v>
      </c>
      <c r="E548">
        <f ca="1">IF($C548=1,OFFSET(E548,-1,0)+MAX(1,COUNTIF(QCI!$A$13:$A$24,OFFSET(ORÇAMENTO!E548,-1,0))),OFFSET(E548,-1,0))</f>
        <v>1</v>
      </c>
      <c r="F548">
        <f t="shared" ca="1" si="123"/>
        <v>56</v>
      </c>
      <c r="G548">
        <f t="shared" ca="1" si="124"/>
        <v>0</v>
      </c>
      <c r="H548">
        <f t="shared" ca="1" si="125"/>
        <v>0</v>
      </c>
      <c r="I548">
        <f t="shared" ca="1" si="126"/>
        <v>0</v>
      </c>
      <c r="J548">
        <f t="shared" ca="1" si="136"/>
        <v>0</v>
      </c>
      <c r="K548">
        <f ca="1">IF(OR($C548="S",$C548=0),0,MATCH(OFFSET($D548,0,$C548)+IF($C548&lt;&gt;1,1,COUNTIF(QCI!$A$13:$A$24,ORÇAMENTO!E548)),OFFSET($D548,1,$C548,ROW($C$727)-ROW($C548)),0))</f>
        <v>0</v>
      </c>
      <c r="L548" s="116" t="str">
        <f t="shared" ca="1" si="127"/>
        <v/>
      </c>
      <c r="M548" s="117" t="s">
        <v>199</v>
      </c>
      <c r="N548" s="118" t="str">
        <f t="shared" ca="1" si="128"/>
        <v>Serviço</v>
      </c>
      <c r="O548" s="119" t="str">
        <f t="shared" ca="1" si="129"/>
        <v>-</v>
      </c>
      <c r="P548" s="120" t="s">
        <v>247</v>
      </c>
      <c r="Q548" s="121" t="s">
        <v>903</v>
      </c>
      <c r="R548" s="122" t="str">
        <f ca="1">IF($C548="S",REFERENCIA.Descricao,"(digite a descrição aqui)")</f>
        <v>(abra o arquivo 'Referência 06-2024.xlsm)</v>
      </c>
      <c r="S548" s="123" t="str">
        <f ca="1">REFERENCIA.Unidade</f>
        <v>-</v>
      </c>
      <c r="T548" s="124">
        <f ca="1">OFFSET(CÁLCULO!H$15,ROW($T548)-ROW(T$15),0)</f>
        <v>2</v>
      </c>
      <c r="U548" s="125">
        <f t="shared" ca="1" si="135"/>
        <v>0</v>
      </c>
      <c r="V548" s="126" t="s">
        <v>156</v>
      </c>
      <c r="W548" s="124">
        <f ca="1">IF($C548="S",ROUND(IF(TIPOORCAMENTO="Proposto",ORÇAMENTO.CustoUnitario*(1+$AH548),ORÇAMENTO.PrecoUnitarioLicitado),15-13*$AF$10),0)</f>
        <v>0</v>
      </c>
      <c r="X548" s="127">
        <f ca="1">IF($C548="S",IF(Import.TipoArredondamento&lt;&gt;"TransfereGOV",VTOTAL1,SUM(OFFSET(CÁLCULO!$AI$15,ROW($X548)-ROW($X$15),1):OFFSET(CÁLCULO!$BB$15,ROW($X548)-ROW($X$15),-1))),IF($C548=0,0,ROUND(SomaAgrup,15-13*$AF$11)))</f>
        <v>0</v>
      </c>
      <c r="Y548" s="128" t="s">
        <v>245</v>
      </c>
      <c r="Z548" t="str">
        <f t="shared" ca="1" si="130"/>
        <v/>
      </c>
      <c r="AA548" s="129">
        <f ca="1">IF($C548="S",IF($Z548="CP",$X548,IF($Z548="RA",(($X548)*QCI!$AA$3),0)),SomaAgrup)</f>
        <v>0</v>
      </c>
      <c r="AB548" s="130">
        <f t="shared" ca="1" si="138"/>
        <v>0</v>
      </c>
      <c r="AC548" s="131" t="str">
        <f ca="1">IF($N548="","",IF(ORÇAMENTO.Descricao="","DESCRIÇÃO",IF(AND($C548="S",ORÇAMENTO.Unidade=""),"UNIDADE",IF($X548&lt;0,"VALOR NEGATIVO",IF(OR(AND(TIPOORCAMENTO="Proposto",$AG548&lt;&gt;"",$AG548&gt;0,ORÇAMENTO.CustoUnitario&gt;$AG548),AND(TIPOORCAMENTO="LICITADO",ORÇAMENTO.PrecoUnitarioLicitado&gt;$AN548)),"ACIMA REF.","")))))</f>
        <v/>
      </c>
      <c r="AD548" t="str">
        <f ca="1">IF(C548&lt;=CRONO.NivelExibicao,MAX($AD$15:OFFSET(AD548,-1,0))+IF($C548&lt;&gt;1,1,MAX(1,COUNTIF(QCI!$A$13:$A$24,OFFSET($E548,-1,0)))),"")</f>
        <v/>
      </c>
      <c r="AE548" s="7" t="str">
        <f ca="1">IF(AND($C548="S",ORÇAMENTO.CodBarra&lt;&gt;""),IF(ORÇAMENTO.Fonte="",ORÇAMENTO.CodBarra,CONCATENATE(ORÇAMENTO.Fonte," ",ORÇAMENTO.CodBarra)))</f>
        <v>SINAPI 93660</v>
      </c>
      <c r="AF548" s="13" t="str">
        <f ca="1">IF(ISERROR(INDIRECT(ORÇAMENTO.BancoRef)),"(abra o arquivo 'Referência "&amp;Excel_BuiltIn_Database&amp;".xlsm)",IF(OR($C548&lt;&gt;"S",ORÇAMENTO.CodBarra=""),"(Sem Código)",IF(ISERROR(MATCH($AE548,INDIRECT(ORÇAMENTO.BancoRef),0)),"(Código não identificado nas referências)",MATCH($AE548,INDIRECT(ORÇAMENTO.BancoRef),0))))</f>
        <v>(abra o arquivo 'Referência 06-2024.xlsm)</v>
      </c>
      <c r="AG548" s="498">
        <f ca="1">ROUND(IF(DESONERACAO="sim",REFERENCIA.Desonerado,REFERENCIA.NaoDesonerado),2)</f>
        <v>0</v>
      </c>
      <c r="AH548" s="499">
        <f t="shared" ca="1" si="139"/>
        <v>0.2432</v>
      </c>
      <c r="AJ548" s="501"/>
      <c r="AL548" s="527"/>
      <c r="AM548" s="381">
        <f t="shared" ca="1" si="133"/>
        <v>0</v>
      </c>
      <c r="AN548" s="566">
        <f t="shared" ca="1" si="140"/>
        <v>0</v>
      </c>
    </row>
    <row r="549" spans="1:40" ht="25.5" x14ac:dyDescent="0.2">
      <c r="A549" t="str">
        <f t="shared" si="137"/>
        <v>S</v>
      </c>
      <c r="B549">
        <f t="shared" ca="1" si="120"/>
        <v>2</v>
      </c>
      <c r="C549" t="str">
        <f t="shared" ca="1" si="121"/>
        <v>S</v>
      </c>
      <c r="D549">
        <f t="shared" ca="1" si="122"/>
        <v>0</v>
      </c>
      <c r="E549">
        <f ca="1">IF($C549=1,OFFSET(E549,-1,0)+MAX(1,COUNTIF(QCI!$A$13:$A$24,OFFSET(ORÇAMENTO!E549,-1,0))),OFFSET(E549,-1,0))</f>
        <v>1</v>
      </c>
      <c r="F549">
        <f t="shared" ca="1" si="123"/>
        <v>56</v>
      </c>
      <c r="G549">
        <f t="shared" ca="1" si="124"/>
        <v>0</v>
      </c>
      <c r="H549">
        <f t="shared" ca="1" si="125"/>
        <v>0</v>
      </c>
      <c r="I549">
        <f t="shared" ca="1" si="126"/>
        <v>0</v>
      </c>
      <c r="J549">
        <f t="shared" ca="1" si="136"/>
        <v>0</v>
      </c>
      <c r="K549">
        <f ca="1">IF(OR($C549="S",$C549=0),0,MATCH(OFFSET($D549,0,$C549)+IF($C549&lt;&gt;1,1,COUNTIF(QCI!$A$13:$A$24,ORÇAMENTO!E549)),OFFSET($D549,1,$C549,ROW($C$727)-ROW($C549)),0))</f>
        <v>0</v>
      </c>
      <c r="L549" s="116" t="str">
        <f t="shared" ca="1" si="127"/>
        <v/>
      </c>
      <c r="M549" s="117" t="s">
        <v>199</v>
      </c>
      <c r="N549" s="118" t="str">
        <f t="shared" ca="1" si="128"/>
        <v>Serviço</v>
      </c>
      <c r="O549" s="119" t="str">
        <f t="shared" ca="1" si="129"/>
        <v>-</v>
      </c>
      <c r="P549" s="120" t="s">
        <v>247</v>
      </c>
      <c r="Q549" s="121" t="s">
        <v>904</v>
      </c>
      <c r="R549" s="122" t="str">
        <f ca="1">IF($C549="S",REFERENCIA.Descricao,"(digite a descrição aqui)")</f>
        <v>(abra o arquivo 'Referência 06-2024.xlsm)</v>
      </c>
      <c r="S549" s="123" t="str">
        <f ca="1">REFERENCIA.Unidade</f>
        <v>-</v>
      </c>
      <c r="T549" s="124">
        <f ca="1">OFFSET(CÁLCULO!H$15,ROW($T549)-ROW(T$15),0)</f>
        <v>11</v>
      </c>
      <c r="U549" s="125">
        <f t="shared" ca="1" si="135"/>
        <v>0</v>
      </c>
      <c r="V549" s="126" t="s">
        <v>156</v>
      </c>
      <c r="W549" s="124">
        <f ca="1">IF($C549="S",ROUND(IF(TIPOORCAMENTO="Proposto",ORÇAMENTO.CustoUnitario*(1+$AH549),ORÇAMENTO.PrecoUnitarioLicitado),15-13*$AF$10),0)</f>
        <v>0</v>
      </c>
      <c r="X549" s="127">
        <f ca="1">IF($C549="S",IF(Import.TipoArredondamento&lt;&gt;"TransfereGOV",VTOTAL1,SUM(OFFSET(CÁLCULO!$AI$15,ROW($X549)-ROW($X$15),1):OFFSET(CÁLCULO!$BB$15,ROW($X549)-ROW($X$15),-1))),IF($C549=0,0,ROUND(SomaAgrup,15-13*$AF$11)))</f>
        <v>0</v>
      </c>
      <c r="Y549" s="128" t="s">
        <v>245</v>
      </c>
      <c r="Z549" t="str">
        <f t="shared" ca="1" si="130"/>
        <v/>
      </c>
      <c r="AA549" s="129">
        <f ca="1">IF($C549="S",IF($Z549="CP",$X549,IF($Z549="RA",(($X549)*QCI!$AA$3),0)),SomaAgrup)</f>
        <v>0</v>
      </c>
      <c r="AB549" s="130">
        <f t="shared" ca="1" si="138"/>
        <v>0</v>
      </c>
      <c r="AC549" s="131" t="str">
        <f ca="1">IF($N549="","",IF(ORÇAMENTO.Descricao="","DESCRIÇÃO",IF(AND($C549="S",ORÇAMENTO.Unidade=""),"UNIDADE",IF($X549&lt;0,"VALOR NEGATIVO",IF(OR(AND(TIPOORCAMENTO="Proposto",$AG549&lt;&gt;"",$AG549&gt;0,ORÇAMENTO.CustoUnitario&gt;$AG549),AND(TIPOORCAMENTO="LICITADO",ORÇAMENTO.PrecoUnitarioLicitado&gt;$AN549)),"ACIMA REF.","")))))</f>
        <v/>
      </c>
      <c r="AD549" t="str">
        <f ca="1">IF(C549&lt;=CRONO.NivelExibicao,MAX($AD$15:OFFSET(AD549,-1,0))+IF($C549&lt;&gt;1,1,MAX(1,COUNTIF(QCI!$A$13:$A$24,OFFSET($E549,-1,0)))),"")</f>
        <v/>
      </c>
      <c r="AE549" s="7" t="str">
        <f ca="1">IF(AND($C549="S",ORÇAMENTO.CodBarra&lt;&gt;""),IF(ORÇAMENTO.Fonte="",ORÇAMENTO.CodBarra,CONCATENATE(ORÇAMENTO.Fonte," ",ORÇAMENTO.CodBarra)))</f>
        <v>SINAPI 93661</v>
      </c>
      <c r="AF549" s="13" t="str">
        <f ca="1">IF(ISERROR(INDIRECT(ORÇAMENTO.BancoRef)),"(abra o arquivo 'Referência "&amp;Excel_BuiltIn_Database&amp;".xlsm)",IF(OR($C549&lt;&gt;"S",ORÇAMENTO.CodBarra=""),"(Sem Código)",IF(ISERROR(MATCH($AE549,INDIRECT(ORÇAMENTO.BancoRef),0)),"(Código não identificado nas referências)",MATCH($AE549,INDIRECT(ORÇAMENTO.BancoRef),0))))</f>
        <v>(abra o arquivo 'Referência 06-2024.xlsm)</v>
      </c>
      <c r="AG549" s="498">
        <f ca="1">ROUND(IF(DESONERACAO="sim",REFERENCIA.Desonerado,REFERENCIA.NaoDesonerado),2)</f>
        <v>0</v>
      </c>
      <c r="AH549" s="499">
        <f t="shared" ca="1" si="139"/>
        <v>0.2432</v>
      </c>
      <c r="AJ549" s="501"/>
      <c r="AL549" s="527"/>
      <c r="AM549" s="381">
        <f t="shared" ca="1" si="133"/>
        <v>0</v>
      </c>
      <c r="AN549" s="566">
        <f t="shared" ca="1" si="140"/>
        <v>0</v>
      </c>
    </row>
    <row r="550" spans="1:40" ht="25.5" x14ac:dyDescent="0.2">
      <c r="A550" t="str">
        <f t="shared" si="137"/>
        <v>S</v>
      </c>
      <c r="B550">
        <f t="shared" ca="1" si="120"/>
        <v>2</v>
      </c>
      <c r="C550" t="str">
        <f t="shared" ca="1" si="121"/>
        <v>S</v>
      </c>
      <c r="D550">
        <f t="shared" ca="1" si="122"/>
        <v>0</v>
      </c>
      <c r="E550">
        <f ca="1">IF($C550=1,OFFSET(E550,-1,0)+MAX(1,COUNTIF(QCI!$A$13:$A$24,OFFSET(ORÇAMENTO!E550,-1,0))),OFFSET(E550,-1,0))</f>
        <v>1</v>
      </c>
      <c r="F550">
        <f t="shared" ca="1" si="123"/>
        <v>56</v>
      </c>
      <c r="G550">
        <f t="shared" ca="1" si="124"/>
        <v>0</v>
      </c>
      <c r="H550">
        <f t="shared" ca="1" si="125"/>
        <v>0</v>
      </c>
      <c r="I550">
        <f t="shared" ca="1" si="126"/>
        <v>0</v>
      </c>
      <c r="J550">
        <f t="shared" ca="1" si="136"/>
        <v>0</v>
      </c>
      <c r="K550">
        <f ca="1">IF(OR($C550="S",$C550=0),0,MATCH(OFFSET($D550,0,$C550)+IF($C550&lt;&gt;1,1,COUNTIF(QCI!$A$13:$A$24,ORÇAMENTO!E550)),OFFSET($D550,1,$C550,ROW($C$727)-ROW($C550)),0))</f>
        <v>0</v>
      </c>
      <c r="L550" s="116" t="str">
        <f t="shared" ca="1" si="127"/>
        <v/>
      </c>
      <c r="M550" s="117" t="s">
        <v>199</v>
      </c>
      <c r="N550" s="118" t="str">
        <f t="shared" ca="1" si="128"/>
        <v>Serviço</v>
      </c>
      <c r="O550" s="119" t="str">
        <f t="shared" ca="1" si="129"/>
        <v>-</v>
      </c>
      <c r="P550" s="120" t="s">
        <v>247</v>
      </c>
      <c r="Q550" s="121" t="s">
        <v>905</v>
      </c>
      <c r="R550" s="122" t="str">
        <f ca="1">IF($C550="S",REFERENCIA.Descricao,"(digite a descrição aqui)")</f>
        <v>(abra o arquivo 'Referência 06-2024.xlsm)</v>
      </c>
      <c r="S550" s="123" t="str">
        <f ca="1">REFERENCIA.Unidade</f>
        <v>-</v>
      </c>
      <c r="T550" s="124">
        <f ca="1">OFFSET(CÁLCULO!H$15,ROW($T550)-ROW(T$15),0)</f>
        <v>13</v>
      </c>
      <c r="U550" s="125">
        <f t="shared" ca="1" si="135"/>
        <v>0</v>
      </c>
      <c r="V550" s="126" t="s">
        <v>156</v>
      </c>
      <c r="W550" s="124">
        <f ca="1">IF($C550="S",ROUND(IF(TIPOORCAMENTO="Proposto",ORÇAMENTO.CustoUnitario*(1+$AH550),ORÇAMENTO.PrecoUnitarioLicitado),15-13*$AF$10),0)</f>
        <v>0</v>
      </c>
      <c r="X550" s="127">
        <f ca="1">IF($C550="S",IF(Import.TipoArredondamento&lt;&gt;"TransfereGOV",VTOTAL1,SUM(OFFSET(CÁLCULO!$AI$15,ROW($X550)-ROW($X$15),1):OFFSET(CÁLCULO!$BB$15,ROW($X550)-ROW($X$15),-1))),IF($C550=0,0,ROUND(SomaAgrup,15-13*$AF$11)))</f>
        <v>0</v>
      </c>
      <c r="Y550" s="128" t="s">
        <v>245</v>
      </c>
      <c r="Z550" t="str">
        <f t="shared" ca="1" si="130"/>
        <v/>
      </c>
      <c r="AA550" s="129">
        <f ca="1">IF($C550="S",IF($Z550="CP",$X550,IF($Z550="RA",(($X550)*QCI!$AA$3),0)),SomaAgrup)</f>
        <v>0</v>
      </c>
      <c r="AB550" s="130">
        <f t="shared" ca="1" si="138"/>
        <v>0</v>
      </c>
      <c r="AC550" s="131" t="str">
        <f ca="1">IF($N550="","",IF(ORÇAMENTO.Descricao="","DESCRIÇÃO",IF(AND($C550="S",ORÇAMENTO.Unidade=""),"UNIDADE",IF($X550&lt;0,"VALOR NEGATIVO",IF(OR(AND(TIPOORCAMENTO="Proposto",$AG550&lt;&gt;"",$AG550&gt;0,ORÇAMENTO.CustoUnitario&gt;$AG550),AND(TIPOORCAMENTO="LICITADO",ORÇAMENTO.PrecoUnitarioLicitado&gt;$AN550)),"ACIMA REF.","")))))</f>
        <v/>
      </c>
      <c r="AD550" t="str">
        <f ca="1">IF(C550&lt;=CRONO.NivelExibicao,MAX($AD$15:OFFSET(AD550,-1,0))+IF($C550&lt;&gt;1,1,MAX(1,COUNTIF(QCI!$A$13:$A$24,OFFSET($E550,-1,0)))),"")</f>
        <v/>
      </c>
      <c r="AE550" s="7" t="str">
        <f ca="1">IF(AND($C550="S",ORÇAMENTO.CodBarra&lt;&gt;""),IF(ORÇAMENTO.Fonte="",ORÇAMENTO.CodBarra,CONCATENATE(ORÇAMENTO.Fonte," ",ORÇAMENTO.CodBarra)))</f>
        <v>SINAPI 93663</v>
      </c>
      <c r="AF550" s="13" t="str">
        <f ca="1">IF(ISERROR(INDIRECT(ORÇAMENTO.BancoRef)),"(abra o arquivo 'Referência "&amp;Excel_BuiltIn_Database&amp;".xlsm)",IF(OR($C550&lt;&gt;"S",ORÇAMENTO.CodBarra=""),"(Sem Código)",IF(ISERROR(MATCH($AE550,INDIRECT(ORÇAMENTO.BancoRef),0)),"(Código não identificado nas referências)",MATCH($AE550,INDIRECT(ORÇAMENTO.BancoRef),0))))</f>
        <v>(abra o arquivo 'Referência 06-2024.xlsm)</v>
      </c>
      <c r="AG550" s="498">
        <f ca="1">ROUND(IF(DESONERACAO="sim",REFERENCIA.Desonerado,REFERENCIA.NaoDesonerado),2)</f>
        <v>0</v>
      </c>
      <c r="AH550" s="499">
        <f t="shared" ca="1" si="139"/>
        <v>0.2432</v>
      </c>
      <c r="AJ550" s="501"/>
      <c r="AL550" s="527"/>
      <c r="AM550" s="381">
        <f t="shared" ca="1" si="133"/>
        <v>0</v>
      </c>
      <c r="AN550" s="566">
        <f t="shared" ca="1" si="140"/>
        <v>0</v>
      </c>
    </row>
    <row r="551" spans="1:40" ht="25.5" x14ac:dyDescent="0.2">
      <c r="A551" t="str">
        <f t="shared" si="137"/>
        <v>S</v>
      </c>
      <c r="B551">
        <f t="shared" ca="1" si="120"/>
        <v>2</v>
      </c>
      <c r="C551" t="str">
        <f t="shared" ca="1" si="121"/>
        <v>S</v>
      </c>
      <c r="D551">
        <f t="shared" ca="1" si="122"/>
        <v>0</v>
      </c>
      <c r="E551">
        <f ca="1">IF($C551=1,OFFSET(E551,-1,0)+MAX(1,COUNTIF(QCI!$A$13:$A$24,OFFSET(ORÇAMENTO!E551,-1,0))),OFFSET(E551,-1,0))</f>
        <v>1</v>
      </c>
      <c r="F551">
        <f t="shared" ca="1" si="123"/>
        <v>56</v>
      </c>
      <c r="G551">
        <f t="shared" ca="1" si="124"/>
        <v>0</v>
      </c>
      <c r="H551">
        <f t="shared" ca="1" si="125"/>
        <v>0</v>
      </c>
      <c r="I551">
        <f t="shared" ca="1" si="126"/>
        <v>0</v>
      </c>
      <c r="J551">
        <f t="shared" ca="1" si="136"/>
        <v>0</v>
      </c>
      <c r="K551">
        <f ca="1">IF(OR($C551="S",$C551=0),0,MATCH(OFFSET($D551,0,$C551)+IF($C551&lt;&gt;1,1,COUNTIF(QCI!$A$13:$A$24,ORÇAMENTO!E551)),OFFSET($D551,1,$C551,ROW($C$727)-ROW($C551)),0))</f>
        <v>0</v>
      </c>
      <c r="L551" s="116" t="str">
        <f t="shared" ca="1" si="127"/>
        <v/>
      </c>
      <c r="M551" s="117" t="s">
        <v>199</v>
      </c>
      <c r="N551" s="118" t="str">
        <f t="shared" ca="1" si="128"/>
        <v>Serviço</v>
      </c>
      <c r="O551" s="119" t="str">
        <f t="shared" ca="1" si="129"/>
        <v>-</v>
      </c>
      <c r="P551" s="120" t="s">
        <v>247</v>
      </c>
      <c r="Q551" s="121" t="s">
        <v>906</v>
      </c>
      <c r="R551" s="122" t="str">
        <f ca="1">IF($C551="S",REFERENCIA.Descricao,"(digite a descrição aqui)")</f>
        <v>(abra o arquivo 'Referência 06-2024.xlsm)</v>
      </c>
      <c r="S551" s="123" t="str">
        <f ca="1">REFERENCIA.Unidade</f>
        <v>-</v>
      </c>
      <c r="T551" s="124">
        <f ca="1">OFFSET(CÁLCULO!H$15,ROW($T551)-ROW(T$15),0)</f>
        <v>6</v>
      </c>
      <c r="U551" s="125">
        <f t="shared" ca="1" si="135"/>
        <v>0</v>
      </c>
      <c r="V551" s="126" t="s">
        <v>156</v>
      </c>
      <c r="W551" s="124">
        <f ca="1">IF($C551="S",ROUND(IF(TIPOORCAMENTO="Proposto",ORÇAMENTO.CustoUnitario*(1+$AH551),ORÇAMENTO.PrecoUnitarioLicitado),15-13*$AF$10),0)</f>
        <v>0</v>
      </c>
      <c r="X551" s="127">
        <f ca="1">IF($C551="S",IF(Import.TipoArredondamento&lt;&gt;"TransfereGOV",VTOTAL1,SUM(OFFSET(CÁLCULO!$AI$15,ROW($X551)-ROW($X$15),1):OFFSET(CÁLCULO!$BB$15,ROW($X551)-ROW($X$15),-1))),IF($C551=0,0,ROUND(SomaAgrup,15-13*$AF$11)))</f>
        <v>0</v>
      </c>
      <c r="Y551" s="128" t="s">
        <v>245</v>
      </c>
      <c r="Z551" t="str">
        <f t="shared" ca="1" si="130"/>
        <v/>
      </c>
      <c r="AA551" s="129">
        <f ca="1">IF($C551="S",IF($Z551="CP",$X551,IF($Z551="RA",(($X551)*QCI!$AA$3),0)),SomaAgrup)</f>
        <v>0</v>
      </c>
      <c r="AB551" s="130">
        <f t="shared" ca="1" si="138"/>
        <v>0</v>
      </c>
      <c r="AC551" s="131" t="str">
        <f ca="1">IF($N551="","",IF(ORÇAMENTO.Descricao="","DESCRIÇÃO",IF(AND($C551="S",ORÇAMENTO.Unidade=""),"UNIDADE",IF($X551&lt;0,"VALOR NEGATIVO",IF(OR(AND(TIPOORCAMENTO="Proposto",$AG551&lt;&gt;"",$AG551&gt;0,ORÇAMENTO.CustoUnitario&gt;$AG551),AND(TIPOORCAMENTO="LICITADO",ORÇAMENTO.PrecoUnitarioLicitado&gt;$AN551)),"ACIMA REF.","")))))</f>
        <v/>
      </c>
      <c r="AD551" t="str">
        <f ca="1">IF(C551&lt;=CRONO.NivelExibicao,MAX($AD$15:OFFSET(AD551,-1,0))+IF($C551&lt;&gt;1,1,MAX(1,COUNTIF(QCI!$A$13:$A$24,OFFSET($E551,-1,0)))),"")</f>
        <v/>
      </c>
      <c r="AE551" s="7" t="str">
        <f ca="1">IF(AND($C551="S",ORÇAMENTO.CodBarra&lt;&gt;""),IF(ORÇAMENTO.Fonte="",ORÇAMENTO.CodBarra,CONCATENATE(ORÇAMENTO.Fonte," ",ORÇAMENTO.CodBarra)))</f>
        <v>SINAPI 93664</v>
      </c>
      <c r="AF551" s="13" t="str">
        <f ca="1">IF(ISERROR(INDIRECT(ORÇAMENTO.BancoRef)),"(abra o arquivo 'Referência "&amp;Excel_BuiltIn_Database&amp;".xlsm)",IF(OR($C551&lt;&gt;"S",ORÇAMENTO.CodBarra=""),"(Sem Código)",IF(ISERROR(MATCH($AE551,INDIRECT(ORÇAMENTO.BancoRef),0)),"(Código não identificado nas referências)",MATCH($AE551,INDIRECT(ORÇAMENTO.BancoRef),0))))</f>
        <v>(abra o arquivo 'Referência 06-2024.xlsm)</v>
      </c>
      <c r="AG551" s="498">
        <f ca="1">ROUND(IF(DESONERACAO="sim",REFERENCIA.Desonerado,REFERENCIA.NaoDesonerado),2)</f>
        <v>0</v>
      </c>
      <c r="AH551" s="499">
        <f t="shared" ca="1" si="139"/>
        <v>0.2432</v>
      </c>
      <c r="AJ551" s="501"/>
      <c r="AL551" s="527"/>
      <c r="AM551" s="381">
        <f t="shared" ca="1" si="133"/>
        <v>0</v>
      </c>
      <c r="AN551" s="566">
        <f t="shared" ca="1" si="140"/>
        <v>0</v>
      </c>
    </row>
    <row r="552" spans="1:40" ht="25.5" x14ac:dyDescent="0.2">
      <c r="A552" t="str">
        <f t="shared" si="137"/>
        <v>S</v>
      </c>
      <c r="B552">
        <f t="shared" ca="1" si="120"/>
        <v>2</v>
      </c>
      <c r="C552" t="str">
        <f t="shared" ca="1" si="121"/>
        <v>S</v>
      </c>
      <c r="D552">
        <f t="shared" ca="1" si="122"/>
        <v>0</v>
      </c>
      <c r="E552">
        <f ca="1">IF($C552=1,OFFSET(E552,-1,0)+MAX(1,COUNTIF(QCI!$A$13:$A$24,OFFSET(ORÇAMENTO!E552,-1,0))),OFFSET(E552,-1,0))</f>
        <v>1</v>
      </c>
      <c r="F552">
        <f t="shared" ca="1" si="123"/>
        <v>56</v>
      </c>
      <c r="G552">
        <f t="shared" ca="1" si="124"/>
        <v>0</v>
      </c>
      <c r="H552">
        <f t="shared" ca="1" si="125"/>
        <v>0</v>
      </c>
      <c r="I552">
        <f t="shared" ca="1" si="126"/>
        <v>0</v>
      </c>
      <c r="J552">
        <f t="shared" ca="1" si="136"/>
        <v>0</v>
      </c>
      <c r="K552">
        <f ca="1">IF(OR($C552="S",$C552=0),0,MATCH(OFFSET($D552,0,$C552)+IF($C552&lt;&gt;1,1,COUNTIF(QCI!$A$13:$A$24,ORÇAMENTO!E552)),OFFSET($D552,1,$C552,ROW($C$727)-ROW($C552)),0))</f>
        <v>0</v>
      </c>
      <c r="L552" s="116" t="str">
        <f t="shared" ca="1" si="127"/>
        <v/>
      </c>
      <c r="M552" s="117" t="s">
        <v>199</v>
      </c>
      <c r="N552" s="118" t="str">
        <f t="shared" ca="1" si="128"/>
        <v>Serviço</v>
      </c>
      <c r="O552" s="119" t="str">
        <f t="shared" ca="1" si="129"/>
        <v>-</v>
      </c>
      <c r="P552" s="120" t="s">
        <v>247</v>
      </c>
      <c r="Q552" s="121" t="s">
        <v>907</v>
      </c>
      <c r="R552" s="122" t="str">
        <f ca="1">IF($C552="S",REFERENCIA.Descricao,"(digite a descrição aqui)")</f>
        <v>(abra o arquivo 'Referência 06-2024.xlsm)</v>
      </c>
      <c r="S552" s="123" t="str">
        <f ca="1">REFERENCIA.Unidade</f>
        <v>-</v>
      </c>
      <c r="T552" s="124">
        <f ca="1">OFFSET(CÁLCULO!H$15,ROW($T552)-ROW(T$15),0)</f>
        <v>4</v>
      </c>
      <c r="U552" s="125">
        <f t="shared" ca="1" si="135"/>
        <v>0</v>
      </c>
      <c r="V552" s="126" t="s">
        <v>156</v>
      </c>
      <c r="W552" s="124">
        <f ca="1">IF($C552="S",ROUND(IF(TIPOORCAMENTO="Proposto",ORÇAMENTO.CustoUnitario*(1+$AH552),ORÇAMENTO.PrecoUnitarioLicitado),15-13*$AF$10),0)</f>
        <v>0</v>
      </c>
      <c r="X552" s="127">
        <f ca="1">IF($C552="S",IF(Import.TipoArredondamento&lt;&gt;"TransfereGOV",VTOTAL1,SUM(OFFSET(CÁLCULO!$AI$15,ROW($X552)-ROW($X$15),1):OFFSET(CÁLCULO!$BB$15,ROW($X552)-ROW($X$15),-1))),IF($C552=0,0,ROUND(SomaAgrup,15-13*$AF$11)))</f>
        <v>0</v>
      </c>
      <c r="Y552" s="128" t="s">
        <v>245</v>
      </c>
      <c r="Z552" t="str">
        <f t="shared" ca="1" si="130"/>
        <v/>
      </c>
      <c r="AA552" s="129">
        <f ca="1">IF($C552="S",IF($Z552="CP",$X552,IF($Z552="RA",(($X552)*QCI!$AA$3),0)),SomaAgrup)</f>
        <v>0</v>
      </c>
      <c r="AB552" s="130">
        <f t="shared" ca="1" si="138"/>
        <v>0</v>
      </c>
      <c r="AC552" s="131" t="str">
        <f ca="1">IF($N552="","",IF(ORÇAMENTO.Descricao="","DESCRIÇÃO",IF(AND($C552="S",ORÇAMENTO.Unidade=""),"UNIDADE",IF($X552&lt;0,"VALOR NEGATIVO",IF(OR(AND(TIPOORCAMENTO="Proposto",$AG552&lt;&gt;"",$AG552&gt;0,ORÇAMENTO.CustoUnitario&gt;$AG552),AND(TIPOORCAMENTO="LICITADO",ORÇAMENTO.PrecoUnitarioLicitado&gt;$AN552)),"ACIMA REF.","")))))</f>
        <v/>
      </c>
      <c r="AD552" t="str">
        <f ca="1">IF(C552&lt;=CRONO.NivelExibicao,MAX($AD$15:OFFSET(AD552,-1,0))+IF($C552&lt;&gt;1,1,MAX(1,COUNTIF(QCI!$A$13:$A$24,OFFSET($E552,-1,0)))),"")</f>
        <v/>
      </c>
      <c r="AE552" s="7" t="str">
        <f ca="1">IF(AND($C552="S",ORÇAMENTO.CodBarra&lt;&gt;""),IF(ORÇAMENTO.Fonte="",ORÇAMENTO.CodBarra,CONCATENATE(ORÇAMENTO.Fonte," ",ORÇAMENTO.CodBarra)))</f>
        <v>SINAPI 101895</v>
      </c>
      <c r="AF552" s="13" t="str">
        <f ca="1">IF(ISERROR(INDIRECT(ORÇAMENTO.BancoRef)),"(abra o arquivo 'Referência "&amp;Excel_BuiltIn_Database&amp;".xlsm)",IF(OR($C552&lt;&gt;"S",ORÇAMENTO.CodBarra=""),"(Sem Código)",IF(ISERROR(MATCH($AE552,INDIRECT(ORÇAMENTO.BancoRef),0)),"(Código não identificado nas referências)",MATCH($AE552,INDIRECT(ORÇAMENTO.BancoRef),0))))</f>
        <v>(abra o arquivo 'Referência 06-2024.xlsm)</v>
      </c>
      <c r="AG552" s="498">
        <f ca="1">ROUND(IF(DESONERACAO="sim",REFERENCIA.Desonerado,REFERENCIA.NaoDesonerado),2)</f>
        <v>0</v>
      </c>
      <c r="AH552" s="499">
        <f t="shared" ca="1" si="139"/>
        <v>0.2432</v>
      </c>
      <c r="AJ552" s="501"/>
      <c r="AL552" s="527"/>
      <c r="AM552" s="381">
        <f t="shared" ca="1" si="133"/>
        <v>0</v>
      </c>
      <c r="AN552" s="566">
        <f t="shared" ca="1" si="140"/>
        <v>0</v>
      </c>
    </row>
    <row r="553" spans="1:40" ht="25.5" x14ac:dyDescent="0.2">
      <c r="A553" t="str">
        <f t="shared" si="137"/>
        <v>S</v>
      </c>
      <c r="B553">
        <f t="shared" ca="1" si="120"/>
        <v>2</v>
      </c>
      <c r="C553" t="str">
        <f t="shared" ca="1" si="121"/>
        <v>S</v>
      </c>
      <c r="D553">
        <f t="shared" ca="1" si="122"/>
        <v>0</v>
      </c>
      <c r="E553">
        <f ca="1">IF($C553=1,OFFSET(E553,-1,0)+MAX(1,COUNTIF(QCI!$A$13:$A$24,OFFSET(ORÇAMENTO!E553,-1,0))),OFFSET(E553,-1,0))</f>
        <v>1</v>
      </c>
      <c r="F553">
        <f t="shared" ca="1" si="123"/>
        <v>56</v>
      </c>
      <c r="G553">
        <f t="shared" ca="1" si="124"/>
        <v>0</v>
      </c>
      <c r="H553">
        <f t="shared" ca="1" si="125"/>
        <v>0</v>
      </c>
      <c r="I553">
        <f t="shared" ca="1" si="126"/>
        <v>0</v>
      </c>
      <c r="J553">
        <f t="shared" ca="1" si="136"/>
        <v>0</v>
      </c>
      <c r="K553">
        <f ca="1">IF(OR($C553="S",$C553=0),0,MATCH(OFFSET($D553,0,$C553)+IF($C553&lt;&gt;1,1,COUNTIF(QCI!$A$13:$A$24,ORÇAMENTO!E553)),OFFSET($D553,1,$C553,ROW($C$727)-ROW($C553)),0))</f>
        <v>0</v>
      </c>
      <c r="L553" s="116" t="str">
        <f t="shared" ca="1" si="127"/>
        <v/>
      </c>
      <c r="M553" s="117" t="s">
        <v>199</v>
      </c>
      <c r="N553" s="118" t="str">
        <f t="shared" ca="1" si="128"/>
        <v>Serviço</v>
      </c>
      <c r="O553" s="119" t="str">
        <f t="shared" ca="1" si="129"/>
        <v>-</v>
      </c>
      <c r="P553" s="120" t="s">
        <v>247</v>
      </c>
      <c r="Q553" s="121" t="s">
        <v>908</v>
      </c>
      <c r="R553" s="122" t="str">
        <f ca="1">IF($C553="S",REFERENCIA.Descricao,"(digite a descrição aqui)")</f>
        <v>(abra o arquivo 'Referência 06-2024.xlsm)</v>
      </c>
      <c r="S553" s="123" t="str">
        <f ca="1">REFERENCIA.Unidade</f>
        <v>-</v>
      </c>
      <c r="T553" s="124">
        <f ca="1">OFFSET(CÁLCULO!H$15,ROW($T553)-ROW(T$15),0)</f>
        <v>2</v>
      </c>
      <c r="U553" s="125">
        <f t="shared" ca="1" si="135"/>
        <v>0</v>
      </c>
      <c r="V553" s="126" t="s">
        <v>156</v>
      </c>
      <c r="W553" s="124">
        <f ca="1">IF($C553="S",ROUND(IF(TIPOORCAMENTO="Proposto",ORÇAMENTO.CustoUnitario*(1+$AH553),ORÇAMENTO.PrecoUnitarioLicitado),15-13*$AF$10),0)</f>
        <v>0</v>
      </c>
      <c r="X553" s="127">
        <f ca="1">IF($C553="S",IF(Import.TipoArredondamento&lt;&gt;"TransfereGOV",VTOTAL1,SUM(OFFSET(CÁLCULO!$AI$15,ROW($X553)-ROW($X$15),1):OFFSET(CÁLCULO!$BB$15,ROW($X553)-ROW($X$15),-1))),IF($C553=0,0,ROUND(SomaAgrup,15-13*$AF$11)))</f>
        <v>0</v>
      </c>
      <c r="Y553" s="128" t="s">
        <v>245</v>
      </c>
      <c r="Z553" t="str">
        <f t="shared" ca="1" si="130"/>
        <v/>
      </c>
      <c r="AA553" s="129">
        <f ca="1">IF($C553="S",IF($Z553="CP",$X553,IF($Z553="RA",(($X553)*QCI!$AA$3),0)),SomaAgrup)</f>
        <v>0</v>
      </c>
      <c r="AB553" s="130">
        <f t="shared" ca="1" si="138"/>
        <v>0</v>
      </c>
      <c r="AC553" s="131" t="str">
        <f ca="1">IF($N553="","",IF(ORÇAMENTO.Descricao="","DESCRIÇÃO",IF(AND($C553="S",ORÇAMENTO.Unidade=""),"UNIDADE",IF($X553&lt;0,"VALOR NEGATIVO",IF(OR(AND(TIPOORCAMENTO="Proposto",$AG553&lt;&gt;"",$AG553&gt;0,ORÇAMENTO.CustoUnitario&gt;$AG553),AND(TIPOORCAMENTO="LICITADO",ORÇAMENTO.PrecoUnitarioLicitado&gt;$AN553)),"ACIMA REF.","")))))</f>
        <v/>
      </c>
      <c r="AD553" t="str">
        <f ca="1">IF(C553&lt;=CRONO.NivelExibicao,MAX($AD$15:OFFSET(AD553,-1,0))+IF($C553&lt;&gt;1,1,MAX(1,COUNTIF(QCI!$A$13:$A$24,OFFSET($E553,-1,0)))),"")</f>
        <v/>
      </c>
      <c r="AE553" s="7" t="str">
        <f ca="1">IF(AND($C553="S",ORÇAMENTO.CodBarra&lt;&gt;""),IF(ORÇAMENTO.Fonte="",ORÇAMENTO.CodBarra,CONCATENATE(ORÇAMENTO.Fonte," ",ORÇAMENTO.CodBarra)))</f>
        <v>SINAPI 93668</v>
      </c>
      <c r="AF553" s="13" t="str">
        <f ca="1">IF(ISERROR(INDIRECT(ORÇAMENTO.BancoRef)),"(abra o arquivo 'Referência "&amp;Excel_BuiltIn_Database&amp;".xlsm)",IF(OR($C553&lt;&gt;"S",ORÇAMENTO.CodBarra=""),"(Sem Código)",IF(ISERROR(MATCH($AE553,INDIRECT(ORÇAMENTO.BancoRef),0)),"(Código não identificado nas referências)",MATCH($AE553,INDIRECT(ORÇAMENTO.BancoRef),0))))</f>
        <v>(abra o arquivo 'Referência 06-2024.xlsm)</v>
      </c>
      <c r="AG553" s="498">
        <f ca="1">ROUND(IF(DESONERACAO="sim",REFERENCIA.Desonerado,REFERENCIA.NaoDesonerado),2)</f>
        <v>0</v>
      </c>
      <c r="AH553" s="499">
        <f t="shared" ca="1" si="139"/>
        <v>0.2432</v>
      </c>
      <c r="AJ553" s="501"/>
      <c r="AL553" s="527"/>
      <c r="AM553" s="381">
        <f t="shared" ca="1" si="133"/>
        <v>0</v>
      </c>
      <c r="AN553" s="566">
        <f t="shared" ca="1" si="140"/>
        <v>0</v>
      </c>
    </row>
    <row r="554" spans="1:40" ht="25.5" x14ac:dyDescent="0.2">
      <c r="A554" t="str">
        <f t="shared" si="137"/>
        <v>S</v>
      </c>
      <c r="B554">
        <f t="shared" ca="1" si="120"/>
        <v>2</v>
      </c>
      <c r="C554" t="str">
        <f t="shared" ca="1" si="121"/>
        <v>S</v>
      </c>
      <c r="D554">
        <f t="shared" ca="1" si="122"/>
        <v>0</v>
      </c>
      <c r="E554">
        <f ca="1">IF($C554=1,OFFSET(E554,-1,0)+MAX(1,COUNTIF(QCI!$A$13:$A$24,OFFSET(ORÇAMENTO!E554,-1,0))),OFFSET(E554,-1,0))</f>
        <v>1</v>
      </c>
      <c r="F554">
        <f t="shared" ca="1" si="123"/>
        <v>56</v>
      </c>
      <c r="G554">
        <f t="shared" ca="1" si="124"/>
        <v>0</v>
      </c>
      <c r="H554">
        <f t="shared" ca="1" si="125"/>
        <v>0</v>
      </c>
      <c r="I554">
        <f t="shared" ca="1" si="126"/>
        <v>0</v>
      </c>
      <c r="J554">
        <f t="shared" ca="1" si="136"/>
        <v>0</v>
      </c>
      <c r="K554">
        <f ca="1">IF(OR($C554="S",$C554=0),0,MATCH(OFFSET($D554,0,$C554)+IF($C554&lt;&gt;1,1,COUNTIF(QCI!$A$13:$A$24,ORÇAMENTO!E554)),OFFSET($D554,1,$C554,ROW($C$727)-ROW($C554)),0))</f>
        <v>0</v>
      </c>
      <c r="L554" s="116" t="str">
        <f t="shared" ca="1" si="127"/>
        <v/>
      </c>
      <c r="M554" s="117" t="s">
        <v>199</v>
      </c>
      <c r="N554" s="118" t="str">
        <f t="shared" ca="1" si="128"/>
        <v>Serviço</v>
      </c>
      <c r="O554" s="119" t="str">
        <f t="shared" ca="1" si="129"/>
        <v>-</v>
      </c>
      <c r="P554" s="120" t="s">
        <v>247</v>
      </c>
      <c r="Q554" s="121" t="s">
        <v>909</v>
      </c>
      <c r="R554" s="122" t="str">
        <f ca="1">IF($C554="S",REFERENCIA.Descricao,"(digite a descrição aqui)")</f>
        <v>(abra o arquivo 'Referência 06-2024.xlsm)</v>
      </c>
      <c r="S554" s="123" t="str">
        <f ca="1">REFERENCIA.Unidade</f>
        <v>-</v>
      </c>
      <c r="T554" s="124">
        <f ca="1">OFFSET(CÁLCULO!H$15,ROW($T554)-ROW(T$15),0)</f>
        <v>2</v>
      </c>
      <c r="U554" s="125">
        <f t="shared" ca="1" si="135"/>
        <v>0</v>
      </c>
      <c r="V554" s="126" t="s">
        <v>156</v>
      </c>
      <c r="W554" s="124">
        <f ca="1">IF($C554="S",ROUND(IF(TIPOORCAMENTO="Proposto",ORÇAMENTO.CustoUnitario*(1+$AH554),ORÇAMENTO.PrecoUnitarioLicitado),15-13*$AF$10),0)</f>
        <v>0</v>
      </c>
      <c r="X554" s="127">
        <f ca="1">IF($C554="S",IF(Import.TipoArredondamento&lt;&gt;"TransfereGOV",VTOTAL1,SUM(OFFSET(CÁLCULO!$AI$15,ROW($X554)-ROW($X$15),1):OFFSET(CÁLCULO!$BB$15,ROW($X554)-ROW($X$15),-1))),IF($C554=0,0,ROUND(SomaAgrup,15-13*$AF$11)))</f>
        <v>0</v>
      </c>
      <c r="Y554" s="128" t="s">
        <v>245</v>
      </c>
      <c r="Z554" t="str">
        <f t="shared" ca="1" si="130"/>
        <v/>
      </c>
      <c r="AA554" s="129">
        <f ca="1">IF($C554="S",IF($Z554="CP",$X554,IF($Z554="RA",(($X554)*QCI!$AA$3),0)),SomaAgrup)</f>
        <v>0</v>
      </c>
      <c r="AB554" s="130">
        <f t="shared" ca="1" si="138"/>
        <v>0</v>
      </c>
      <c r="AC554" s="131" t="str">
        <f ca="1">IF($N554="","",IF(ORÇAMENTO.Descricao="","DESCRIÇÃO",IF(AND($C554="S",ORÇAMENTO.Unidade=""),"UNIDADE",IF($X554&lt;0,"VALOR NEGATIVO",IF(OR(AND(TIPOORCAMENTO="Proposto",$AG554&lt;&gt;"",$AG554&gt;0,ORÇAMENTO.CustoUnitario&gt;$AG554),AND(TIPOORCAMENTO="LICITADO",ORÇAMENTO.PrecoUnitarioLicitado&gt;$AN554)),"ACIMA REF.","")))))</f>
        <v/>
      </c>
      <c r="AD554" t="str">
        <f ca="1">IF(C554&lt;=CRONO.NivelExibicao,MAX($AD$15:OFFSET(AD554,-1,0))+IF($C554&lt;&gt;1,1,MAX(1,COUNTIF(QCI!$A$13:$A$24,OFFSET($E554,-1,0)))),"")</f>
        <v/>
      </c>
      <c r="AE554" s="7" t="str">
        <f ca="1">IF(AND($C554="S",ORÇAMENTO.CodBarra&lt;&gt;""),IF(ORÇAMENTO.Fonte="",ORÇAMENTO.CodBarra,CONCATENATE(ORÇAMENTO.Fonte," ",ORÇAMENTO.CodBarra)))</f>
        <v>SINAPI 101896</v>
      </c>
      <c r="AF554" s="13" t="str">
        <f ca="1">IF(ISERROR(INDIRECT(ORÇAMENTO.BancoRef)),"(abra o arquivo 'Referência "&amp;Excel_BuiltIn_Database&amp;".xlsm)",IF(OR($C554&lt;&gt;"S",ORÇAMENTO.CodBarra=""),"(Sem Código)",IF(ISERROR(MATCH($AE554,INDIRECT(ORÇAMENTO.BancoRef),0)),"(Código não identificado nas referências)",MATCH($AE554,INDIRECT(ORÇAMENTO.BancoRef),0))))</f>
        <v>(abra o arquivo 'Referência 06-2024.xlsm)</v>
      </c>
      <c r="AG554" s="498">
        <f ca="1">ROUND(IF(DESONERACAO="sim",REFERENCIA.Desonerado,REFERENCIA.NaoDesonerado),2)</f>
        <v>0</v>
      </c>
      <c r="AH554" s="499">
        <f t="shared" ca="1" si="139"/>
        <v>0.2432</v>
      </c>
      <c r="AJ554" s="501"/>
      <c r="AL554" s="527"/>
      <c r="AM554" s="381">
        <f t="shared" ca="1" si="133"/>
        <v>0</v>
      </c>
      <c r="AN554" s="566">
        <f t="shared" ca="1" si="140"/>
        <v>0</v>
      </c>
    </row>
    <row r="555" spans="1:40" ht="25.5" x14ac:dyDescent="0.2">
      <c r="A555" t="str">
        <f t="shared" si="137"/>
        <v>S</v>
      </c>
      <c r="B555">
        <f t="shared" ca="1" si="120"/>
        <v>2</v>
      </c>
      <c r="C555" t="str">
        <f t="shared" ca="1" si="121"/>
        <v>S</v>
      </c>
      <c r="D555">
        <f t="shared" ca="1" si="122"/>
        <v>0</v>
      </c>
      <c r="E555">
        <f ca="1">IF($C555=1,OFFSET(E555,-1,0)+MAX(1,COUNTIF(QCI!$A$13:$A$24,OFFSET(ORÇAMENTO!E555,-1,0))),OFFSET(E555,-1,0))</f>
        <v>1</v>
      </c>
      <c r="F555">
        <f t="shared" ca="1" si="123"/>
        <v>56</v>
      </c>
      <c r="G555">
        <f t="shared" ca="1" si="124"/>
        <v>0</v>
      </c>
      <c r="H555">
        <f t="shared" ca="1" si="125"/>
        <v>0</v>
      </c>
      <c r="I555">
        <f t="shared" ca="1" si="126"/>
        <v>0</v>
      </c>
      <c r="J555">
        <f t="shared" ca="1" si="136"/>
        <v>0</v>
      </c>
      <c r="K555">
        <f ca="1">IF(OR($C555="S",$C555=0),0,MATCH(OFFSET($D555,0,$C555)+IF($C555&lt;&gt;1,1,COUNTIF(QCI!$A$13:$A$24,ORÇAMENTO!E555)),OFFSET($D555,1,$C555,ROW($C$727)-ROW($C555)),0))</f>
        <v>0</v>
      </c>
      <c r="L555" s="116" t="str">
        <f t="shared" ca="1" si="127"/>
        <v/>
      </c>
      <c r="M555" s="117" t="s">
        <v>199</v>
      </c>
      <c r="N555" s="118" t="str">
        <f t="shared" ca="1" si="128"/>
        <v>Serviço</v>
      </c>
      <c r="O555" s="119" t="str">
        <f t="shared" ca="1" si="129"/>
        <v>-</v>
      </c>
      <c r="P555" s="120" t="s">
        <v>247</v>
      </c>
      <c r="Q555" s="121" t="s">
        <v>910</v>
      </c>
      <c r="R555" s="122" t="str">
        <f ca="1">IF($C555="S",REFERENCIA.Descricao,"(digite a descrição aqui)")</f>
        <v>(abra o arquivo 'Referência 06-2024.xlsm)</v>
      </c>
      <c r="S555" s="123" t="str">
        <f ca="1">REFERENCIA.Unidade</f>
        <v>-</v>
      </c>
      <c r="T555" s="124">
        <f ca="1">OFFSET(CÁLCULO!H$15,ROW($T555)-ROW(T$15),0)</f>
        <v>2</v>
      </c>
      <c r="U555" s="125">
        <f t="shared" ca="1" si="135"/>
        <v>0</v>
      </c>
      <c r="V555" s="126" t="s">
        <v>156</v>
      </c>
      <c r="W555" s="124">
        <f ca="1">IF($C555="S",ROUND(IF(TIPOORCAMENTO="Proposto",ORÇAMENTO.CustoUnitario*(1+$AH555),ORÇAMENTO.PrecoUnitarioLicitado),15-13*$AF$10),0)</f>
        <v>0</v>
      </c>
      <c r="X555" s="127">
        <f ca="1">IF($C555="S",IF(Import.TipoArredondamento&lt;&gt;"TransfereGOV",VTOTAL1,SUM(OFFSET(CÁLCULO!$AI$15,ROW($X555)-ROW($X$15),1):OFFSET(CÁLCULO!$BB$15,ROW($X555)-ROW($X$15),-1))),IF($C555=0,0,ROUND(SomaAgrup,15-13*$AF$11)))</f>
        <v>0</v>
      </c>
      <c r="Y555" s="128" t="s">
        <v>245</v>
      </c>
      <c r="Z555" t="str">
        <f t="shared" ca="1" si="130"/>
        <v/>
      </c>
      <c r="AA555" s="129">
        <f ca="1">IF($C555="S",IF($Z555="CP",$X555,IF($Z555="RA",(($X555)*QCI!$AA$3),0)),SomaAgrup)</f>
        <v>0</v>
      </c>
      <c r="AB555" s="130">
        <f t="shared" ca="1" si="138"/>
        <v>0</v>
      </c>
      <c r="AC555" s="131" t="str">
        <f ca="1">IF($N555="","",IF(ORÇAMENTO.Descricao="","DESCRIÇÃO",IF(AND($C555="S",ORÇAMENTO.Unidade=""),"UNIDADE",IF($X555&lt;0,"VALOR NEGATIVO",IF(OR(AND(TIPOORCAMENTO="Proposto",$AG555&lt;&gt;"",$AG555&gt;0,ORÇAMENTO.CustoUnitario&gt;$AG555),AND(TIPOORCAMENTO="LICITADO",ORÇAMENTO.PrecoUnitarioLicitado&gt;$AN555)),"ACIMA REF.","")))))</f>
        <v/>
      </c>
      <c r="AD555" t="str">
        <f ca="1">IF(C555&lt;=CRONO.NivelExibicao,MAX($AD$15:OFFSET(AD555,-1,0))+IF($C555&lt;&gt;1,1,MAX(1,COUNTIF(QCI!$A$13:$A$24,OFFSET($E555,-1,0)))),"")</f>
        <v/>
      </c>
      <c r="AE555" s="7" t="str">
        <f ca="1">IF(AND($C555="S",ORÇAMENTO.CodBarra&lt;&gt;""),IF(ORÇAMENTO.Fonte="",ORÇAMENTO.CodBarra,CONCATENATE(ORÇAMENTO.Fonte," ",ORÇAMENTO.CodBarra)))</f>
        <v>SINAPI 93670</v>
      </c>
      <c r="AF555" s="13" t="str">
        <f ca="1">IF(ISERROR(INDIRECT(ORÇAMENTO.BancoRef)),"(abra o arquivo 'Referência "&amp;Excel_BuiltIn_Database&amp;".xlsm)",IF(OR($C555&lt;&gt;"S",ORÇAMENTO.CodBarra=""),"(Sem Código)",IF(ISERROR(MATCH($AE555,INDIRECT(ORÇAMENTO.BancoRef),0)),"(Código não identificado nas referências)",MATCH($AE555,INDIRECT(ORÇAMENTO.BancoRef),0))))</f>
        <v>(abra o arquivo 'Referência 06-2024.xlsm)</v>
      </c>
      <c r="AG555" s="498">
        <f ca="1">ROUND(IF(DESONERACAO="sim",REFERENCIA.Desonerado,REFERENCIA.NaoDesonerado),2)</f>
        <v>0</v>
      </c>
      <c r="AH555" s="499">
        <f t="shared" ca="1" si="139"/>
        <v>0.2432</v>
      </c>
      <c r="AJ555" s="501"/>
      <c r="AL555" s="527"/>
      <c r="AM555" s="381">
        <f t="shared" ca="1" si="133"/>
        <v>0</v>
      </c>
      <c r="AN555" s="566">
        <f t="shared" ca="1" si="140"/>
        <v>0</v>
      </c>
    </row>
    <row r="556" spans="1:40" ht="25.5" x14ac:dyDescent="0.2">
      <c r="A556" t="str">
        <f t="shared" si="137"/>
        <v>S</v>
      </c>
      <c r="B556">
        <f t="shared" ca="1" si="120"/>
        <v>2</v>
      </c>
      <c r="C556" t="str">
        <f t="shared" ca="1" si="121"/>
        <v>S</v>
      </c>
      <c r="D556">
        <f t="shared" ca="1" si="122"/>
        <v>0</v>
      </c>
      <c r="E556">
        <f ca="1">IF($C556=1,OFFSET(E556,-1,0)+MAX(1,COUNTIF(QCI!$A$13:$A$24,OFFSET(ORÇAMENTO!E556,-1,0))),OFFSET(E556,-1,0))</f>
        <v>1</v>
      </c>
      <c r="F556">
        <f t="shared" ca="1" si="123"/>
        <v>56</v>
      </c>
      <c r="G556">
        <f t="shared" ca="1" si="124"/>
        <v>0</v>
      </c>
      <c r="H556">
        <f t="shared" ca="1" si="125"/>
        <v>0</v>
      </c>
      <c r="I556">
        <f t="shared" ca="1" si="126"/>
        <v>0</v>
      </c>
      <c r="J556">
        <f t="shared" ca="1" si="136"/>
        <v>0</v>
      </c>
      <c r="K556">
        <f ca="1">IF(OR($C556="S",$C556=0),0,MATCH(OFFSET($D556,0,$C556)+IF($C556&lt;&gt;1,1,COUNTIF(QCI!$A$13:$A$24,ORÇAMENTO!E556)),OFFSET($D556,1,$C556,ROW($C$727)-ROW($C556)),0))</f>
        <v>0</v>
      </c>
      <c r="L556" s="116" t="str">
        <f t="shared" ca="1" si="127"/>
        <v/>
      </c>
      <c r="M556" s="117" t="s">
        <v>199</v>
      </c>
      <c r="N556" s="118" t="str">
        <f t="shared" ca="1" si="128"/>
        <v>Serviço</v>
      </c>
      <c r="O556" s="119" t="str">
        <f t="shared" ca="1" si="129"/>
        <v>-</v>
      </c>
      <c r="P556" s="120" t="s">
        <v>247</v>
      </c>
      <c r="Q556" s="121" t="s">
        <v>911</v>
      </c>
      <c r="R556" s="122" t="str">
        <f ca="1">IF($C556="S",REFERENCIA.Descricao,"(digite a descrição aqui)")</f>
        <v>(abra o arquivo 'Referência 06-2024.xlsm)</v>
      </c>
      <c r="S556" s="123" t="str">
        <f ca="1">REFERENCIA.Unidade</f>
        <v>-</v>
      </c>
      <c r="T556" s="124">
        <f ca="1">OFFSET(CÁLCULO!H$15,ROW($T556)-ROW(T$15),0)</f>
        <v>2</v>
      </c>
      <c r="U556" s="125">
        <f t="shared" ca="1" si="135"/>
        <v>0</v>
      </c>
      <c r="V556" s="126" t="s">
        <v>156</v>
      </c>
      <c r="W556" s="124">
        <f ca="1">IF($C556="S",ROUND(IF(TIPOORCAMENTO="Proposto",ORÇAMENTO.CustoUnitario*(1+$AH556),ORÇAMENTO.PrecoUnitarioLicitado),15-13*$AF$10),0)</f>
        <v>0</v>
      </c>
      <c r="X556" s="127">
        <f ca="1">IF($C556="S",IF(Import.TipoArredondamento&lt;&gt;"TransfereGOV",VTOTAL1,SUM(OFFSET(CÁLCULO!$AI$15,ROW($X556)-ROW($X$15),1):OFFSET(CÁLCULO!$BB$15,ROW($X556)-ROW($X$15),-1))),IF($C556=0,0,ROUND(SomaAgrup,15-13*$AF$11)))</f>
        <v>0</v>
      </c>
      <c r="Y556" s="128" t="s">
        <v>245</v>
      </c>
      <c r="Z556" t="str">
        <f t="shared" ca="1" si="130"/>
        <v/>
      </c>
      <c r="AA556" s="129">
        <f ca="1">IF($C556="S",IF($Z556="CP",$X556,IF($Z556="RA",(($X556)*QCI!$AA$3),0)),SomaAgrup)</f>
        <v>0</v>
      </c>
      <c r="AB556" s="130">
        <f t="shared" ca="1" si="138"/>
        <v>0</v>
      </c>
      <c r="AC556" s="131" t="str">
        <f ca="1">IF($N556="","",IF(ORÇAMENTO.Descricao="","DESCRIÇÃO",IF(AND($C556="S",ORÇAMENTO.Unidade=""),"UNIDADE",IF($X556&lt;0,"VALOR NEGATIVO",IF(OR(AND(TIPOORCAMENTO="Proposto",$AG556&lt;&gt;"",$AG556&gt;0,ORÇAMENTO.CustoUnitario&gt;$AG556),AND(TIPOORCAMENTO="LICITADO",ORÇAMENTO.PrecoUnitarioLicitado&gt;$AN556)),"ACIMA REF.","")))))</f>
        <v/>
      </c>
      <c r="AD556" t="str">
        <f ca="1">IF(C556&lt;=CRONO.NivelExibicao,MAX($AD$15:OFFSET(AD556,-1,0))+IF($C556&lt;&gt;1,1,MAX(1,COUNTIF(QCI!$A$13:$A$24,OFFSET($E556,-1,0)))),"")</f>
        <v/>
      </c>
      <c r="AE556" s="7" t="str">
        <f ca="1">IF(AND($C556="S",ORÇAMENTO.CodBarra&lt;&gt;""),IF(ORÇAMENTO.Fonte="",ORÇAMENTO.CodBarra,CONCATENATE(ORÇAMENTO.Fonte," ",ORÇAMENTO.CodBarra)))</f>
        <v>SINAPI 101898</v>
      </c>
      <c r="AF556" s="13" t="str">
        <f ca="1">IF(ISERROR(INDIRECT(ORÇAMENTO.BancoRef)),"(abra o arquivo 'Referência "&amp;Excel_BuiltIn_Database&amp;".xlsm)",IF(OR($C556&lt;&gt;"S",ORÇAMENTO.CodBarra=""),"(Sem Código)",IF(ISERROR(MATCH($AE556,INDIRECT(ORÇAMENTO.BancoRef),0)),"(Código não identificado nas referências)",MATCH($AE556,INDIRECT(ORÇAMENTO.BancoRef),0))))</f>
        <v>(abra o arquivo 'Referência 06-2024.xlsm)</v>
      </c>
      <c r="AG556" s="498">
        <f ca="1">ROUND(IF(DESONERACAO="sim",REFERENCIA.Desonerado,REFERENCIA.NaoDesonerado),2)</f>
        <v>0</v>
      </c>
      <c r="AH556" s="499">
        <f t="shared" ca="1" si="139"/>
        <v>0.2432</v>
      </c>
      <c r="AJ556" s="501"/>
      <c r="AL556" s="527"/>
      <c r="AM556" s="381">
        <f t="shared" ca="1" si="133"/>
        <v>0</v>
      </c>
      <c r="AN556" s="566">
        <f t="shared" ca="1" si="140"/>
        <v>0</v>
      </c>
    </row>
    <row r="557" spans="1:40" ht="25.5" x14ac:dyDescent="0.2">
      <c r="A557" t="str">
        <f t="shared" si="137"/>
        <v>S</v>
      </c>
      <c r="B557">
        <f t="shared" ca="1" si="120"/>
        <v>2</v>
      </c>
      <c r="C557" t="str">
        <f t="shared" ca="1" si="121"/>
        <v>S</v>
      </c>
      <c r="D557">
        <f t="shared" ca="1" si="122"/>
        <v>0</v>
      </c>
      <c r="E557">
        <f ca="1">IF($C557=1,OFFSET(E557,-1,0)+MAX(1,COUNTIF(QCI!$A$13:$A$24,OFFSET(ORÇAMENTO!E557,-1,0))),OFFSET(E557,-1,0))</f>
        <v>1</v>
      </c>
      <c r="F557">
        <f t="shared" ca="1" si="123"/>
        <v>56</v>
      </c>
      <c r="G557">
        <f t="shared" ca="1" si="124"/>
        <v>0</v>
      </c>
      <c r="H557">
        <f t="shared" ca="1" si="125"/>
        <v>0</v>
      </c>
      <c r="I557">
        <f t="shared" ca="1" si="126"/>
        <v>0</v>
      </c>
      <c r="J557">
        <f t="shared" ca="1" si="136"/>
        <v>0</v>
      </c>
      <c r="K557">
        <f ca="1">IF(OR($C557="S",$C557=0),0,MATCH(OFFSET($D557,0,$C557)+IF($C557&lt;&gt;1,1,COUNTIF(QCI!$A$13:$A$24,ORÇAMENTO!E557)),OFFSET($D557,1,$C557,ROW($C$727)-ROW($C557)),0))</f>
        <v>0</v>
      </c>
      <c r="L557" s="116" t="str">
        <f t="shared" ca="1" si="127"/>
        <v/>
      </c>
      <c r="M557" s="117" t="s">
        <v>199</v>
      </c>
      <c r="N557" s="118" t="str">
        <f t="shared" ca="1" si="128"/>
        <v>Serviço</v>
      </c>
      <c r="O557" s="119" t="str">
        <f t="shared" ca="1" si="129"/>
        <v>-</v>
      </c>
      <c r="P557" s="120" t="s">
        <v>247</v>
      </c>
      <c r="Q557" s="121" t="s">
        <v>912</v>
      </c>
      <c r="R557" s="122" t="str">
        <f ca="1">IF($C557="S",REFERENCIA.Descricao,"(digite a descrição aqui)")</f>
        <v>(abra o arquivo 'Referência 06-2024.xlsm)</v>
      </c>
      <c r="S557" s="123" t="str">
        <f ca="1">REFERENCIA.Unidade</f>
        <v>-</v>
      </c>
      <c r="T557" s="124">
        <f ca="1">OFFSET(CÁLCULO!H$15,ROW($T557)-ROW(T$15),0)</f>
        <v>2</v>
      </c>
      <c r="U557" s="125">
        <f t="shared" ca="1" si="135"/>
        <v>0</v>
      </c>
      <c r="V557" s="126" t="s">
        <v>156</v>
      </c>
      <c r="W557" s="124">
        <f ca="1">IF($C557="S",ROUND(IF(TIPOORCAMENTO="Proposto",ORÇAMENTO.CustoUnitario*(1+$AH557),ORÇAMENTO.PrecoUnitarioLicitado),15-13*$AF$10),0)</f>
        <v>0</v>
      </c>
      <c r="X557" s="127">
        <f ca="1">IF($C557="S",IF(Import.TipoArredondamento&lt;&gt;"TransfereGOV",VTOTAL1,SUM(OFFSET(CÁLCULO!$AI$15,ROW($X557)-ROW($X$15),1):OFFSET(CÁLCULO!$BB$15,ROW($X557)-ROW($X$15),-1))),IF($C557=0,0,ROUND(SomaAgrup,15-13*$AF$11)))</f>
        <v>0</v>
      </c>
      <c r="Y557" s="128" t="s">
        <v>245</v>
      </c>
      <c r="Z557" t="str">
        <f t="shared" ca="1" si="130"/>
        <v/>
      </c>
      <c r="AA557" s="129">
        <f ca="1">IF($C557="S",IF($Z557="CP",$X557,IF($Z557="RA",(($X557)*QCI!$AA$3),0)),SomaAgrup)</f>
        <v>0</v>
      </c>
      <c r="AB557" s="130">
        <f t="shared" ca="1" si="138"/>
        <v>0</v>
      </c>
      <c r="AC557" s="131" t="str">
        <f ca="1">IF($N557="","",IF(ORÇAMENTO.Descricao="","DESCRIÇÃO",IF(AND($C557="S",ORÇAMENTO.Unidade=""),"UNIDADE",IF($X557&lt;0,"VALOR NEGATIVO",IF(OR(AND(TIPOORCAMENTO="Proposto",$AG557&lt;&gt;"",$AG557&gt;0,ORÇAMENTO.CustoUnitario&gt;$AG557),AND(TIPOORCAMENTO="LICITADO",ORÇAMENTO.PrecoUnitarioLicitado&gt;$AN557)),"ACIMA REF.","")))))</f>
        <v/>
      </c>
      <c r="AD557" t="str">
        <f ca="1">IF(C557&lt;=CRONO.NivelExibicao,MAX($AD$15:OFFSET(AD557,-1,0))+IF($C557&lt;&gt;1,1,MAX(1,COUNTIF(QCI!$A$13:$A$24,OFFSET($E557,-1,0)))),"")</f>
        <v/>
      </c>
      <c r="AE557" s="7" t="str">
        <f ca="1">IF(AND($C557="S",ORÇAMENTO.CodBarra&lt;&gt;""),IF(ORÇAMENTO.Fonte="",ORÇAMENTO.CodBarra,CONCATENATE(ORÇAMENTO.Fonte," ",ORÇAMENTO.CodBarra)))</f>
        <v>SINAPI 93673</v>
      </c>
      <c r="AF557" s="13" t="str">
        <f ca="1">IF(ISERROR(INDIRECT(ORÇAMENTO.BancoRef)),"(abra o arquivo 'Referência "&amp;Excel_BuiltIn_Database&amp;".xlsm)",IF(OR($C557&lt;&gt;"S",ORÇAMENTO.CodBarra=""),"(Sem Código)",IF(ISERROR(MATCH($AE557,INDIRECT(ORÇAMENTO.BancoRef),0)),"(Código não identificado nas referências)",MATCH($AE557,INDIRECT(ORÇAMENTO.BancoRef),0))))</f>
        <v>(abra o arquivo 'Referência 06-2024.xlsm)</v>
      </c>
      <c r="AG557" s="498">
        <f ca="1">ROUND(IF(DESONERACAO="sim",REFERENCIA.Desonerado,REFERENCIA.NaoDesonerado),2)</f>
        <v>0</v>
      </c>
      <c r="AH557" s="499">
        <f t="shared" ca="1" si="139"/>
        <v>0.2432</v>
      </c>
      <c r="AJ557" s="501"/>
      <c r="AL557" s="527"/>
      <c r="AM557" s="381">
        <f t="shared" ca="1" si="133"/>
        <v>0</v>
      </c>
      <c r="AN557" s="566">
        <f t="shared" ca="1" si="140"/>
        <v>0</v>
      </c>
    </row>
    <row r="558" spans="1:40" ht="25.5" x14ac:dyDescent="0.2">
      <c r="A558" t="str">
        <f t="shared" si="137"/>
        <v>S</v>
      </c>
      <c r="B558">
        <f t="shared" ca="1" si="120"/>
        <v>2</v>
      </c>
      <c r="C558" t="str">
        <f t="shared" ca="1" si="121"/>
        <v>S</v>
      </c>
      <c r="D558">
        <f t="shared" ca="1" si="122"/>
        <v>0</v>
      </c>
      <c r="E558">
        <f ca="1">IF($C558=1,OFFSET(E558,-1,0)+MAX(1,COUNTIF(QCI!$A$13:$A$24,OFFSET(ORÇAMENTO!E558,-1,0))),OFFSET(E558,-1,0))</f>
        <v>1</v>
      </c>
      <c r="F558">
        <f t="shared" ca="1" si="123"/>
        <v>56</v>
      </c>
      <c r="G558">
        <f t="shared" ca="1" si="124"/>
        <v>0</v>
      </c>
      <c r="H558">
        <f t="shared" ca="1" si="125"/>
        <v>0</v>
      </c>
      <c r="I558">
        <f t="shared" ca="1" si="126"/>
        <v>0</v>
      </c>
      <c r="J558">
        <f t="shared" ca="1" si="136"/>
        <v>0</v>
      </c>
      <c r="K558">
        <f ca="1">IF(OR($C558="S",$C558=0),0,MATCH(OFFSET($D558,0,$C558)+IF($C558&lt;&gt;1,1,COUNTIF(QCI!$A$13:$A$24,ORÇAMENTO!E558)),OFFSET($D558,1,$C558,ROW($C$727)-ROW($C558)),0))</f>
        <v>0</v>
      </c>
      <c r="L558" s="116" t="str">
        <f t="shared" ca="1" si="127"/>
        <v/>
      </c>
      <c r="M558" s="117" t="s">
        <v>199</v>
      </c>
      <c r="N558" s="118" t="str">
        <f t="shared" ca="1" si="128"/>
        <v>Serviço</v>
      </c>
      <c r="O558" s="119" t="str">
        <f t="shared" ca="1" si="129"/>
        <v>-</v>
      </c>
      <c r="P558" s="120" t="s">
        <v>247</v>
      </c>
      <c r="Q558" s="121" t="s">
        <v>913</v>
      </c>
      <c r="R558" s="122" t="str">
        <f ca="1">IF($C558="S",REFERENCIA.Descricao,"(digite a descrição aqui)")</f>
        <v>(abra o arquivo 'Referência 06-2024.xlsm)</v>
      </c>
      <c r="S558" s="123" t="str">
        <f ca="1">REFERENCIA.Unidade</f>
        <v>-</v>
      </c>
      <c r="T558" s="124">
        <f ca="1">OFFSET(CÁLCULO!H$15,ROW($T558)-ROW(T$15),0)</f>
        <v>2</v>
      </c>
      <c r="U558" s="125">
        <f t="shared" ca="1" si="135"/>
        <v>0</v>
      </c>
      <c r="V558" s="126" t="s">
        <v>156</v>
      </c>
      <c r="W558" s="124">
        <f ca="1">IF($C558="S",ROUND(IF(TIPOORCAMENTO="Proposto",ORÇAMENTO.CustoUnitario*(1+$AH558),ORÇAMENTO.PrecoUnitarioLicitado),15-13*$AF$10),0)</f>
        <v>0</v>
      </c>
      <c r="X558" s="127">
        <f ca="1">IF($C558="S",IF(Import.TipoArredondamento&lt;&gt;"TransfereGOV",VTOTAL1,SUM(OFFSET(CÁLCULO!$AI$15,ROW($X558)-ROW($X$15),1):OFFSET(CÁLCULO!$BB$15,ROW($X558)-ROW($X$15),-1))),IF($C558=0,0,ROUND(SomaAgrup,15-13*$AF$11)))</f>
        <v>0</v>
      </c>
      <c r="Y558" s="128" t="s">
        <v>245</v>
      </c>
      <c r="Z558" t="str">
        <f t="shared" ca="1" si="130"/>
        <v/>
      </c>
      <c r="AA558" s="129">
        <f ca="1">IF($C558="S",IF($Z558="CP",$X558,IF($Z558="RA",(($X558)*QCI!$AA$3),0)),SomaAgrup)</f>
        <v>0</v>
      </c>
      <c r="AB558" s="130">
        <f t="shared" ca="1" si="138"/>
        <v>0</v>
      </c>
      <c r="AC558" s="131" t="str">
        <f ca="1">IF($N558="","",IF(ORÇAMENTO.Descricao="","DESCRIÇÃO",IF(AND($C558="S",ORÇAMENTO.Unidade=""),"UNIDADE",IF($X558&lt;0,"VALOR NEGATIVO",IF(OR(AND(TIPOORCAMENTO="Proposto",$AG558&lt;&gt;"",$AG558&gt;0,ORÇAMENTO.CustoUnitario&gt;$AG558),AND(TIPOORCAMENTO="LICITADO",ORÇAMENTO.PrecoUnitarioLicitado&gt;$AN558)),"ACIMA REF.","")))))</f>
        <v/>
      </c>
      <c r="AD558" t="str">
        <f ca="1">IF(C558&lt;=CRONO.NivelExibicao,MAX($AD$15:OFFSET(AD558,-1,0))+IF($C558&lt;&gt;1,1,MAX(1,COUNTIF(QCI!$A$13:$A$24,OFFSET($E558,-1,0)))),"")</f>
        <v/>
      </c>
      <c r="AE558" s="7" t="str">
        <f ca="1">IF(AND($C558="S",ORÇAMENTO.CodBarra&lt;&gt;""),IF(ORÇAMENTO.Fonte="",ORÇAMENTO.CodBarra,CONCATENATE(ORÇAMENTO.Fonte," ",ORÇAMENTO.CodBarra)))</f>
        <v>SINAPI 101894</v>
      </c>
      <c r="AF558" s="13" t="str">
        <f ca="1">IF(ISERROR(INDIRECT(ORÇAMENTO.BancoRef)),"(abra o arquivo 'Referência "&amp;Excel_BuiltIn_Database&amp;".xlsm)",IF(OR($C558&lt;&gt;"S",ORÇAMENTO.CodBarra=""),"(Sem Código)",IF(ISERROR(MATCH($AE558,INDIRECT(ORÇAMENTO.BancoRef),0)),"(Código não identificado nas referências)",MATCH($AE558,INDIRECT(ORÇAMENTO.BancoRef),0))))</f>
        <v>(abra o arquivo 'Referência 06-2024.xlsm)</v>
      </c>
      <c r="AG558" s="498">
        <f ca="1">ROUND(IF(DESONERACAO="sim",REFERENCIA.Desonerado,REFERENCIA.NaoDesonerado),2)</f>
        <v>0</v>
      </c>
      <c r="AH558" s="499">
        <f t="shared" ca="1" si="139"/>
        <v>0.2432</v>
      </c>
      <c r="AJ558" s="501"/>
      <c r="AL558" s="527"/>
      <c r="AM558" s="381">
        <f t="shared" ca="1" si="133"/>
        <v>0</v>
      </c>
      <c r="AN558" s="566">
        <f t="shared" ca="1" si="140"/>
        <v>0</v>
      </c>
    </row>
    <row r="559" spans="1:40" x14ac:dyDescent="0.2">
      <c r="A559" t="str">
        <f t="shared" si="137"/>
        <v>S</v>
      </c>
      <c r="B559">
        <f t="shared" ca="1" si="120"/>
        <v>2</v>
      </c>
      <c r="C559" t="str">
        <f t="shared" ca="1" si="121"/>
        <v>S</v>
      </c>
      <c r="D559">
        <f t="shared" ca="1" si="122"/>
        <v>0</v>
      </c>
      <c r="E559">
        <f ca="1">IF($C559=1,OFFSET(E559,-1,0)+MAX(1,COUNTIF(QCI!$A$13:$A$24,OFFSET(ORÇAMENTO!E559,-1,0))),OFFSET(E559,-1,0))</f>
        <v>1</v>
      </c>
      <c r="F559">
        <f t="shared" ca="1" si="123"/>
        <v>56</v>
      </c>
      <c r="G559">
        <f t="shared" ca="1" si="124"/>
        <v>0</v>
      </c>
      <c r="H559">
        <f t="shared" ca="1" si="125"/>
        <v>0</v>
      </c>
      <c r="I559">
        <f t="shared" ca="1" si="126"/>
        <v>0</v>
      </c>
      <c r="J559">
        <f t="shared" ca="1" si="136"/>
        <v>0</v>
      </c>
      <c r="K559">
        <f ca="1">IF(OR($C559="S",$C559=0),0,MATCH(OFFSET($D559,0,$C559)+IF($C559&lt;&gt;1,1,COUNTIF(QCI!$A$13:$A$24,ORÇAMENTO!E559)),OFFSET($D559,1,$C559,ROW($C$727)-ROW($C559)),0))</f>
        <v>0</v>
      </c>
      <c r="L559" s="116" t="str">
        <f t="shared" ca="1" si="127"/>
        <v/>
      </c>
      <c r="M559" s="117" t="s">
        <v>199</v>
      </c>
      <c r="N559" s="118" t="str">
        <f t="shared" ca="1" si="128"/>
        <v>Serviço</v>
      </c>
      <c r="O559" s="119" t="str">
        <f t="shared" ca="1" si="129"/>
        <v>-</v>
      </c>
      <c r="P559" s="120" t="s">
        <v>458</v>
      </c>
      <c r="Q559" s="121" t="s">
        <v>914</v>
      </c>
      <c r="R559" s="122" t="str">
        <f ca="1">IF($C559="S",REFERENCIA.Descricao,"(digite a descrição aqui)")</f>
        <v>(abra o arquivo 'Referência 06-2024.xlsm)</v>
      </c>
      <c r="S559" s="123" t="str">
        <f ca="1">REFERENCIA.Unidade</f>
        <v>-</v>
      </c>
      <c r="T559" s="124">
        <f ca="1">OFFSET(CÁLCULO!H$15,ROW($T559)-ROW(T$15),0)</f>
        <v>36</v>
      </c>
      <c r="U559" s="125">
        <f t="shared" ca="1" si="135"/>
        <v>0</v>
      </c>
      <c r="V559" s="126" t="s">
        <v>156</v>
      </c>
      <c r="W559" s="124">
        <f ca="1">IF($C559="S",ROUND(IF(TIPOORCAMENTO="Proposto",ORÇAMENTO.CustoUnitario*(1+$AH559),ORÇAMENTO.PrecoUnitarioLicitado),15-13*$AF$10),0)</f>
        <v>0</v>
      </c>
      <c r="X559" s="127">
        <f ca="1">IF($C559="S",IF(Import.TipoArredondamento&lt;&gt;"TransfereGOV",VTOTAL1,SUM(OFFSET(CÁLCULO!$AI$15,ROW($X559)-ROW($X$15),1):OFFSET(CÁLCULO!$BB$15,ROW($X559)-ROW($X$15),-1))),IF($C559=0,0,ROUND(SomaAgrup,15-13*$AF$11)))</f>
        <v>0</v>
      </c>
      <c r="Y559" s="128" t="s">
        <v>245</v>
      </c>
      <c r="Z559" t="str">
        <f t="shared" ca="1" si="130"/>
        <v/>
      </c>
      <c r="AA559" s="129">
        <f ca="1">IF($C559="S",IF($Z559="CP",$X559,IF($Z559="RA",(($X559)*QCI!$AA$3),0)),SomaAgrup)</f>
        <v>0</v>
      </c>
      <c r="AB559" s="130">
        <f t="shared" ca="1" si="138"/>
        <v>0</v>
      </c>
      <c r="AC559" s="131" t="str">
        <f ca="1">IF($N559="","",IF(ORÇAMENTO.Descricao="","DESCRIÇÃO",IF(AND($C559="S",ORÇAMENTO.Unidade=""),"UNIDADE",IF($X559&lt;0,"VALOR NEGATIVO",IF(OR(AND(TIPOORCAMENTO="Proposto",$AG559&lt;&gt;"",$AG559&gt;0,ORÇAMENTO.CustoUnitario&gt;$AG559),AND(TIPOORCAMENTO="LICITADO",ORÇAMENTO.PrecoUnitarioLicitado&gt;$AN559)),"ACIMA REF.","")))))</f>
        <v/>
      </c>
      <c r="AD559" t="str">
        <f ca="1">IF(C559&lt;=CRONO.NivelExibicao,MAX($AD$15:OFFSET(AD559,-1,0))+IF($C559&lt;&gt;1,1,MAX(1,COUNTIF(QCI!$A$13:$A$24,OFFSET($E559,-1,0)))),"")</f>
        <v/>
      </c>
      <c r="AE559" s="7" t="str">
        <f ca="1">IF(AND($C559="S",ORÇAMENTO.CodBarra&lt;&gt;""),IF(ORÇAMENTO.Fonte="",ORÇAMENTO.CodBarra,CONCATENATE(ORÇAMENTO.Fonte," ",ORÇAMENTO.CodBarra)))</f>
        <v>COMPOSIÇÃO FNDE 22</v>
      </c>
      <c r="AF559" s="13" t="str">
        <f ca="1">IF(ISERROR(INDIRECT(ORÇAMENTO.BancoRef)),"(abra o arquivo 'Referência "&amp;Excel_BuiltIn_Database&amp;".xlsm)",IF(OR($C559&lt;&gt;"S",ORÇAMENTO.CodBarra=""),"(Sem Código)",IF(ISERROR(MATCH($AE559,INDIRECT(ORÇAMENTO.BancoRef),0)),"(Código não identificado nas referências)",MATCH($AE559,INDIRECT(ORÇAMENTO.BancoRef),0))))</f>
        <v>(abra o arquivo 'Referência 06-2024.xlsm)</v>
      </c>
      <c r="AG559" s="498">
        <f ca="1">ROUND(IF(DESONERACAO="sim",REFERENCIA.Desonerado,REFERENCIA.NaoDesonerado),2)</f>
        <v>0</v>
      </c>
      <c r="AH559" s="499">
        <f t="shared" ca="1" si="139"/>
        <v>0.2432</v>
      </c>
      <c r="AJ559" s="501"/>
      <c r="AL559" s="527"/>
      <c r="AM559" s="381">
        <f t="shared" ca="1" si="133"/>
        <v>0</v>
      </c>
      <c r="AN559" s="566">
        <f t="shared" ca="1" si="140"/>
        <v>0</v>
      </c>
    </row>
    <row r="560" spans="1:40" ht="25.5" x14ac:dyDescent="0.2">
      <c r="A560" t="str">
        <f t="shared" si="137"/>
        <v>S</v>
      </c>
      <c r="B560">
        <f t="shared" ca="1" si="120"/>
        <v>2</v>
      </c>
      <c r="C560" t="str">
        <f t="shared" ca="1" si="121"/>
        <v>S</v>
      </c>
      <c r="D560">
        <f t="shared" ca="1" si="122"/>
        <v>0</v>
      </c>
      <c r="E560">
        <f ca="1">IF($C560=1,OFFSET(E560,-1,0)+MAX(1,COUNTIF(QCI!$A$13:$A$24,OFFSET(ORÇAMENTO!E560,-1,0))),OFFSET(E560,-1,0))</f>
        <v>1</v>
      </c>
      <c r="F560">
        <f t="shared" ca="1" si="123"/>
        <v>56</v>
      </c>
      <c r="G560">
        <f t="shared" ca="1" si="124"/>
        <v>0</v>
      </c>
      <c r="H560">
        <f t="shared" ca="1" si="125"/>
        <v>0</v>
      </c>
      <c r="I560">
        <f t="shared" ca="1" si="126"/>
        <v>0</v>
      </c>
      <c r="J560">
        <f t="shared" ca="1" si="136"/>
        <v>0</v>
      </c>
      <c r="K560">
        <f ca="1">IF(OR($C560="S",$C560=0),0,MATCH(OFFSET($D560,0,$C560)+IF($C560&lt;&gt;1,1,COUNTIF(QCI!$A$13:$A$24,ORÇAMENTO!E560)),OFFSET($D560,1,$C560,ROW($C$727)-ROW($C560)),0))</f>
        <v>0</v>
      </c>
      <c r="L560" s="116" t="str">
        <f t="shared" ca="1" si="127"/>
        <v/>
      </c>
      <c r="M560" s="117" t="s">
        <v>199</v>
      </c>
      <c r="N560" s="118" t="str">
        <f t="shared" ca="1" si="128"/>
        <v>Serviço</v>
      </c>
      <c r="O560" s="119" t="str">
        <f t="shared" ca="1" si="129"/>
        <v>-</v>
      </c>
      <c r="P560" s="120" t="s">
        <v>458</v>
      </c>
      <c r="Q560" s="121" t="s">
        <v>915</v>
      </c>
      <c r="R560" s="122" t="str">
        <f ca="1">IF($C560="S",REFERENCIA.Descricao,"(digite a descrição aqui)")</f>
        <v>(abra o arquivo 'Referência 06-2024.xlsm)</v>
      </c>
      <c r="S560" s="123" t="str">
        <f ca="1">REFERENCIA.Unidade</f>
        <v>-</v>
      </c>
      <c r="T560" s="124">
        <f ca="1">OFFSET(CÁLCULO!H$15,ROW($T560)-ROW(T$15),0)</f>
        <v>2</v>
      </c>
      <c r="U560" s="125">
        <f t="shared" ca="1" si="135"/>
        <v>0</v>
      </c>
      <c r="V560" s="126" t="s">
        <v>156</v>
      </c>
      <c r="W560" s="124">
        <f ca="1">IF($C560="S",ROUND(IF(TIPOORCAMENTO="Proposto",ORÇAMENTO.CustoUnitario*(1+$AH560),ORÇAMENTO.PrecoUnitarioLicitado),15-13*$AF$10),0)</f>
        <v>0</v>
      </c>
      <c r="X560" s="127">
        <f ca="1">IF($C560="S",IF(Import.TipoArredondamento&lt;&gt;"TransfereGOV",VTOTAL1,SUM(OFFSET(CÁLCULO!$AI$15,ROW($X560)-ROW($X$15),1):OFFSET(CÁLCULO!$BB$15,ROW($X560)-ROW($X$15),-1))),IF($C560=0,0,ROUND(SomaAgrup,15-13*$AF$11)))</f>
        <v>0</v>
      </c>
      <c r="Y560" s="128" t="s">
        <v>245</v>
      </c>
      <c r="Z560" t="str">
        <f t="shared" ca="1" si="130"/>
        <v/>
      </c>
      <c r="AA560" s="129">
        <f ca="1">IF($C560="S",IF($Z560="CP",$X560,IF($Z560="RA",(($X560)*QCI!$AA$3),0)),SomaAgrup)</f>
        <v>0</v>
      </c>
      <c r="AB560" s="130">
        <f t="shared" ca="1" si="138"/>
        <v>0</v>
      </c>
      <c r="AC560" s="131" t="str">
        <f ca="1">IF($N560="","",IF(ORÇAMENTO.Descricao="","DESCRIÇÃO",IF(AND($C560="S",ORÇAMENTO.Unidade=""),"UNIDADE",IF($X560&lt;0,"VALOR NEGATIVO",IF(OR(AND(TIPOORCAMENTO="Proposto",$AG560&lt;&gt;"",$AG560&gt;0,ORÇAMENTO.CustoUnitario&gt;$AG560),AND(TIPOORCAMENTO="LICITADO",ORÇAMENTO.PrecoUnitarioLicitado&gt;$AN560)),"ACIMA REF.","")))))</f>
        <v/>
      </c>
      <c r="AD560" t="str">
        <f ca="1">IF(C560&lt;=CRONO.NivelExibicao,MAX($AD$15:OFFSET(AD560,-1,0))+IF($C560&lt;&gt;1,1,MAX(1,COUNTIF(QCI!$A$13:$A$24,OFFSET($E560,-1,0)))),"")</f>
        <v/>
      </c>
      <c r="AE560" s="7" t="str">
        <f ca="1">IF(AND($C560="S",ORÇAMENTO.CodBarra&lt;&gt;""),IF(ORÇAMENTO.Fonte="",ORÇAMENTO.CodBarra,CONCATENATE(ORÇAMENTO.Fonte," ",ORÇAMENTO.CodBarra)))</f>
        <v>COMPOSIÇÃO 93676</v>
      </c>
      <c r="AF560" s="13" t="str">
        <f ca="1">IF(ISERROR(INDIRECT(ORÇAMENTO.BancoRef)),"(abra o arquivo 'Referência "&amp;Excel_BuiltIn_Database&amp;".xlsm)",IF(OR($C560&lt;&gt;"S",ORÇAMENTO.CodBarra=""),"(Sem Código)",IF(ISERROR(MATCH($AE560,INDIRECT(ORÇAMENTO.BancoRef),0)),"(Código não identificado nas referências)",MATCH($AE560,INDIRECT(ORÇAMENTO.BancoRef),0))))</f>
        <v>(abra o arquivo 'Referência 06-2024.xlsm)</v>
      </c>
      <c r="AG560" s="498">
        <f ca="1">ROUND(IF(DESONERACAO="sim",REFERENCIA.Desonerado,REFERENCIA.NaoDesonerado),2)</f>
        <v>0</v>
      </c>
      <c r="AH560" s="499">
        <f t="shared" ca="1" si="139"/>
        <v>0.2432</v>
      </c>
      <c r="AJ560" s="501"/>
      <c r="AL560" s="527"/>
      <c r="AM560" s="381">
        <f t="shared" ca="1" si="133"/>
        <v>0</v>
      </c>
      <c r="AN560" s="566">
        <f t="shared" ca="1" si="140"/>
        <v>0</v>
      </c>
    </row>
    <row r="561" spans="1:40" ht="25.5" x14ac:dyDescent="0.2">
      <c r="A561" t="str">
        <f t="shared" si="137"/>
        <v>S</v>
      </c>
      <c r="B561">
        <f t="shared" ca="1" si="120"/>
        <v>2</v>
      </c>
      <c r="C561" t="str">
        <f t="shared" ca="1" si="121"/>
        <v>S</v>
      </c>
      <c r="D561">
        <f t="shared" ca="1" si="122"/>
        <v>0</v>
      </c>
      <c r="E561">
        <f ca="1">IF($C561=1,OFFSET(E561,-1,0)+MAX(1,COUNTIF(QCI!$A$13:$A$24,OFFSET(ORÇAMENTO!E561,-1,0))),OFFSET(E561,-1,0))</f>
        <v>1</v>
      </c>
      <c r="F561">
        <f t="shared" ca="1" si="123"/>
        <v>56</v>
      </c>
      <c r="G561">
        <f t="shared" ca="1" si="124"/>
        <v>0</v>
      </c>
      <c r="H561">
        <f t="shared" ca="1" si="125"/>
        <v>0</v>
      </c>
      <c r="I561">
        <f t="shared" ca="1" si="126"/>
        <v>0</v>
      </c>
      <c r="J561">
        <f t="shared" ca="1" si="136"/>
        <v>0</v>
      </c>
      <c r="K561">
        <f ca="1">IF(OR($C561="S",$C561=0),0,MATCH(OFFSET($D561,0,$C561)+IF($C561&lt;&gt;1,1,COUNTIF(QCI!$A$13:$A$24,ORÇAMENTO!E561)),OFFSET($D561,1,$C561,ROW($C$727)-ROW($C561)),0))</f>
        <v>0</v>
      </c>
      <c r="L561" s="116" t="str">
        <f t="shared" ca="1" si="127"/>
        <v/>
      </c>
      <c r="M561" s="117" t="s">
        <v>199</v>
      </c>
      <c r="N561" s="118" t="str">
        <f t="shared" ca="1" si="128"/>
        <v>Serviço</v>
      </c>
      <c r="O561" s="119" t="str">
        <f t="shared" ca="1" si="129"/>
        <v>-</v>
      </c>
      <c r="P561" s="120" t="s">
        <v>458</v>
      </c>
      <c r="Q561" s="121" t="s">
        <v>915</v>
      </c>
      <c r="R561" s="122" t="str">
        <f ca="1">IF($C561="S",REFERENCIA.Descricao,"(digite a descrição aqui)")</f>
        <v>(abra o arquivo 'Referência 06-2024.xlsm)</v>
      </c>
      <c r="S561" s="123" t="str">
        <f ca="1">REFERENCIA.Unidade</f>
        <v>-</v>
      </c>
      <c r="T561" s="124">
        <f ca="1">OFFSET(CÁLCULO!H$15,ROW($T561)-ROW(T$15),0)</f>
        <v>1</v>
      </c>
      <c r="U561" s="125">
        <f t="shared" ca="1" si="135"/>
        <v>0</v>
      </c>
      <c r="V561" s="126" t="s">
        <v>156</v>
      </c>
      <c r="W561" s="124">
        <f ca="1">IF($C561="S",ROUND(IF(TIPOORCAMENTO="Proposto",ORÇAMENTO.CustoUnitario*(1+$AH561),ORÇAMENTO.PrecoUnitarioLicitado),15-13*$AF$10),0)</f>
        <v>0</v>
      </c>
      <c r="X561" s="127">
        <f ca="1">IF($C561="S",IF(Import.TipoArredondamento&lt;&gt;"TransfereGOV",VTOTAL1,SUM(OFFSET(CÁLCULO!$AI$15,ROW($X561)-ROW($X$15),1):OFFSET(CÁLCULO!$BB$15,ROW($X561)-ROW($X$15),-1))),IF($C561=0,0,ROUND(SomaAgrup,15-13*$AF$11)))</f>
        <v>0</v>
      </c>
      <c r="Y561" s="128" t="s">
        <v>245</v>
      </c>
      <c r="Z561" t="str">
        <f t="shared" ca="1" si="130"/>
        <v/>
      </c>
      <c r="AA561" s="129">
        <f ca="1">IF($C561="S",IF($Z561="CP",$X561,IF($Z561="RA",(($X561)*QCI!$AA$3),0)),SomaAgrup)</f>
        <v>0</v>
      </c>
      <c r="AB561" s="130">
        <f t="shared" ca="1" si="138"/>
        <v>0</v>
      </c>
      <c r="AC561" s="131" t="str">
        <f ca="1">IF($N561="","",IF(ORÇAMENTO.Descricao="","DESCRIÇÃO",IF(AND($C561="S",ORÇAMENTO.Unidade=""),"UNIDADE",IF($X561&lt;0,"VALOR NEGATIVO",IF(OR(AND(TIPOORCAMENTO="Proposto",$AG561&lt;&gt;"",$AG561&gt;0,ORÇAMENTO.CustoUnitario&gt;$AG561),AND(TIPOORCAMENTO="LICITADO",ORÇAMENTO.PrecoUnitarioLicitado&gt;$AN561)),"ACIMA REF.","")))))</f>
        <v/>
      </c>
      <c r="AD561" t="str">
        <f ca="1">IF(C561&lt;=CRONO.NivelExibicao,MAX($AD$15:OFFSET(AD561,-1,0))+IF($C561&lt;&gt;1,1,MAX(1,COUNTIF(QCI!$A$13:$A$24,OFFSET($E561,-1,0)))),"")</f>
        <v/>
      </c>
      <c r="AE561" s="7" t="str">
        <f ca="1">IF(AND($C561="S",ORÇAMENTO.CodBarra&lt;&gt;""),IF(ORÇAMENTO.Fonte="",ORÇAMENTO.CodBarra,CONCATENATE(ORÇAMENTO.Fonte," ",ORÇAMENTO.CodBarra)))</f>
        <v>COMPOSIÇÃO 93676</v>
      </c>
      <c r="AF561" s="13" t="str">
        <f ca="1">IF(ISERROR(INDIRECT(ORÇAMENTO.BancoRef)),"(abra o arquivo 'Referência "&amp;Excel_BuiltIn_Database&amp;".xlsm)",IF(OR($C561&lt;&gt;"S",ORÇAMENTO.CodBarra=""),"(Sem Código)",IF(ISERROR(MATCH($AE561,INDIRECT(ORÇAMENTO.BancoRef),0)),"(Código não identificado nas referências)",MATCH($AE561,INDIRECT(ORÇAMENTO.BancoRef),0))))</f>
        <v>(abra o arquivo 'Referência 06-2024.xlsm)</v>
      </c>
      <c r="AG561" s="498">
        <f ca="1">ROUND(IF(DESONERACAO="sim",REFERENCIA.Desonerado,REFERENCIA.NaoDesonerado),2)</f>
        <v>0</v>
      </c>
      <c r="AH561" s="499">
        <f t="shared" ca="1" si="139"/>
        <v>0.2432</v>
      </c>
      <c r="AJ561" s="501"/>
      <c r="AL561" s="527"/>
      <c r="AM561" s="381">
        <f t="shared" ca="1" si="133"/>
        <v>0</v>
      </c>
      <c r="AN561" s="566">
        <f t="shared" ca="1" si="140"/>
        <v>0</v>
      </c>
    </row>
    <row r="562" spans="1:40" ht="25.5" x14ac:dyDescent="0.2">
      <c r="A562" t="str">
        <f t="shared" si="137"/>
        <v>S</v>
      </c>
      <c r="B562">
        <f t="shared" ca="1" si="120"/>
        <v>2</v>
      </c>
      <c r="C562" t="str">
        <f t="shared" ca="1" si="121"/>
        <v>S</v>
      </c>
      <c r="D562">
        <f t="shared" ca="1" si="122"/>
        <v>0</v>
      </c>
      <c r="E562">
        <f ca="1">IF($C562=1,OFFSET(E562,-1,0)+MAX(1,COUNTIF(QCI!$A$13:$A$24,OFFSET(ORÇAMENTO!E562,-1,0))),OFFSET(E562,-1,0))</f>
        <v>1</v>
      </c>
      <c r="F562">
        <f t="shared" ca="1" si="123"/>
        <v>56</v>
      </c>
      <c r="G562">
        <f t="shared" ca="1" si="124"/>
        <v>0</v>
      </c>
      <c r="H562">
        <f t="shared" ca="1" si="125"/>
        <v>0</v>
      </c>
      <c r="I562">
        <f t="shared" ca="1" si="126"/>
        <v>0</v>
      </c>
      <c r="J562">
        <f t="shared" ca="1" si="136"/>
        <v>0</v>
      </c>
      <c r="K562">
        <f ca="1">IF(OR($C562="S",$C562=0),0,MATCH(OFFSET($D562,0,$C562)+IF($C562&lt;&gt;1,1,COUNTIF(QCI!$A$13:$A$24,ORÇAMENTO!E562)),OFFSET($D562,1,$C562,ROW($C$727)-ROW($C562)),0))</f>
        <v>0</v>
      </c>
      <c r="L562" s="116" t="str">
        <f t="shared" ca="1" si="127"/>
        <v/>
      </c>
      <c r="M562" s="117" t="s">
        <v>199</v>
      </c>
      <c r="N562" s="118" t="str">
        <f t="shared" ca="1" si="128"/>
        <v>Serviço</v>
      </c>
      <c r="O562" s="119" t="str">
        <f t="shared" ca="1" si="129"/>
        <v>-</v>
      </c>
      <c r="P562" s="120" t="s">
        <v>458</v>
      </c>
      <c r="Q562" s="121" t="s">
        <v>916</v>
      </c>
      <c r="R562" s="122" t="str">
        <f ca="1">IF($C562="S",REFERENCIA.Descricao,"(digite a descrição aqui)")</f>
        <v>(abra o arquivo 'Referência 06-2024.xlsm)</v>
      </c>
      <c r="S562" s="123" t="str">
        <f ca="1">REFERENCIA.Unidade</f>
        <v>-</v>
      </c>
      <c r="T562" s="124">
        <f ca="1">OFFSET(CÁLCULO!H$15,ROW($T562)-ROW(T$15),0)</f>
        <v>2</v>
      </c>
      <c r="U562" s="125">
        <f t="shared" ca="1" si="135"/>
        <v>0</v>
      </c>
      <c r="V562" s="126" t="s">
        <v>156</v>
      </c>
      <c r="W562" s="124">
        <f ca="1">IF($C562="S",ROUND(IF(TIPOORCAMENTO="Proposto",ORÇAMENTO.CustoUnitario*(1+$AH562),ORÇAMENTO.PrecoUnitarioLicitado),15-13*$AF$10),0)</f>
        <v>0</v>
      </c>
      <c r="X562" s="127">
        <f ca="1">IF($C562="S",IF(Import.TipoArredondamento&lt;&gt;"TransfereGOV",VTOTAL1,SUM(OFFSET(CÁLCULO!$AI$15,ROW($X562)-ROW($X$15),1):OFFSET(CÁLCULO!$BB$15,ROW($X562)-ROW($X$15),-1))),IF($C562=0,0,ROUND(SomaAgrup,15-13*$AF$11)))</f>
        <v>0</v>
      </c>
      <c r="Y562" s="128" t="s">
        <v>245</v>
      </c>
      <c r="Z562" t="str">
        <f t="shared" ca="1" si="130"/>
        <v/>
      </c>
      <c r="AA562" s="129">
        <f ca="1">IF($C562="S",IF($Z562="CP",$X562,IF($Z562="RA",(($X562)*QCI!$AA$3),0)),SomaAgrup)</f>
        <v>0</v>
      </c>
      <c r="AB562" s="130">
        <f t="shared" ca="1" si="138"/>
        <v>0</v>
      </c>
      <c r="AC562" s="131" t="str">
        <f ca="1">IF($N562="","",IF(ORÇAMENTO.Descricao="","DESCRIÇÃO",IF(AND($C562="S",ORÇAMENTO.Unidade=""),"UNIDADE",IF($X562&lt;0,"VALOR NEGATIVO",IF(OR(AND(TIPOORCAMENTO="Proposto",$AG562&lt;&gt;"",$AG562&gt;0,ORÇAMENTO.CustoUnitario&gt;$AG562),AND(TIPOORCAMENTO="LICITADO",ORÇAMENTO.PrecoUnitarioLicitado&gt;$AN562)),"ACIMA REF.","")))))</f>
        <v/>
      </c>
      <c r="AD562" t="str">
        <f ca="1">IF(C562&lt;=CRONO.NivelExibicao,MAX($AD$15:OFFSET(AD562,-1,0))+IF($C562&lt;&gt;1,1,MAX(1,COUNTIF(QCI!$A$13:$A$24,OFFSET($E562,-1,0)))),"")</f>
        <v/>
      </c>
      <c r="AE562" s="7" t="str">
        <f ca="1">IF(AND($C562="S",ORÇAMENTO.CodBarra&lt;&gt;""),IF(ORÇAMENTO.Fonte="",ORÇAMENTO.CodBarra,CONCATENATE(ORÇAMENTO.Fonte," ",ORÇAMENTO.CodBarra)))</f>
        <v>COMPOSIÇÃO FNDE 84</v>
      </c>
      <c r="AF562" s="13" t="str">
        <f ca="1">IF(ISERROR(INDIRECT(ORÇAMENTO.BancoRef)),"(abra o arquivo 'Referência "&amp;Excel_BuiltIn_Database&amp;".xlsm)",IF(OR($C562&lt;&gt;"S",ORÇAMENTO.CodBarra=""),"(Sem Código)",IF(ISERROR(MATCH($AE562,INDIRECT(ORÇAMENTO.BancoRef),0)),"(Código não identificado nas referências)",MATCH($AE562,INDIRECT(ORÇAMENTO.BancoRef),0))))</f>
        <v>(abra o arquivo 'Referência 06-2024.xlsm)</v>
      </c>
      <c r="AG562" s="498">
        <f ca="1">ROUND(IF(DESONERACAO="sim",REFERENCIA.Desonerado,REFERENCIA.NaoDesonerado),2)</f>
        <v>0</v>
      </c>
      <c r="AH562" s="499">
        <f t="shared" ca="1" si="139"/>
        <v>0.2432</v>
      </c>
      <c r="AJ562" s="501"/>
      <c r="AL562" s="527"/>
      <c r="AM562" s="381">
        <f t="shared" ca="1" si="133"/>
        <v>0</v>
      </c>
      <c r="AN562" s="566">
        <f t="shared" ca="1" si="140"/>
        <v>0</v>
      </c>
    </row>
    <row r="563" spans="1:40" ht="25.5" x14ac:dyDescent="0.2">
      <c r="A563" t="str">
        <f t="shared" si="137"/>
        <v>S</v>
      </c>
      <c r="B563">
        <f t="shared" ca="1" si="120"/>
        <v>2</v>
      </c>
      <c r="C563" t="str">
        <f t="shared" ca="1" si="121"/>
        <v>S</v>
      </c>
      <c r="D563">
        <f t="shared" ca="1" si="122"/>
        <v>0</v>
      </c>
      <c r="E563">
        <f ca="1">IF($C563=1,OFFSET(E563,-1,0)+MAX(1,COUNTIF(QCI!$A$13:$A$24,OFFSET(ORÇAMENTO!E563,-1,0))),OFFSET(E563,-1,0))</f>
        <v>1</v>
      </c>
      <c r="F563">
        <f t="shared" ca="1" si="123"/>
        <v>56</v>
      </c>
      <c r="G563">
        <f t="shared" ca="1" si="124"/>
        <v>0</v>
      </c>
      <c r="H563">
        <f t="shared" ca="1" si="125"/>
        <v>0</v>
      </c>
      <c r="I563">
        <f t="shared" ca="1" si="126"/>
        <v>0</v>
      </c>
      <c r="J563">
        <f t="shared" ca="1" si="136"/>
        <v>0</v>
      </c>
      <c r="K563">
        <f ca="1">IF(OR($C563="S",$C563=0),0,MATCH(OFFSET($D563,0,$C563)+IF($C563&lt;&gt;1,1,COUNTIF(QCI!$A$13:$A$24,ORÇAMENTO!E563)),OFFSET($D563,1,$C563,ROW($C$727)-ROW($C563)),0))</f>
        <v>0</v>
      </c>
      <c r="L563" s="116" t="str">
        <f t="shared" ca="1" si="127"/>
        <v/>
      </c>
      <c r="M563" s="117" t="s">
        <v>199</v>
      </c>
      <c r="N563" s="118" t="str">
        <f t="shared" ca="1" si="128"/>
        <v>Serviço</v>
      </c>
      <c r="O563" s="119" t="str">
        <f t="shared" ca="1" si="129"/>
        <v>-</v>
      </c>
      <c r="P563" s="120" t="s">
        <v>458</v>
      </c>
      <c r="Q563" s="121" t="s">
        <v>917</v>
      </c>
      <c r="R563" s="122" t="str">
        <f ca="1">IF($C563="S",REFERENCIA.Descricao,"(digite a descrição aqui)")</f>
        <v>(abra o arquivo 'Referência 06-2024.xlsm)</v>
      </c>
      <c r="S563" s="123" t="str">
        <f ca="1">REFERENCIA.Unidade</f>
        <v>-</v>
      </c>
      <c r="T563" s="124">
        <f ca="1">OFFSET(CÁLCULO!H$15,ROW($T563)-ROW(T$15),0)</f>
        <v>1</v>
      </c>
      <c r="U563" s="125">
        <f t="shared" ca="1" si="135"/>
        <v>0</v>
      </c>
      <c r="V563" s="126" t="s">
        <v>156</v>
      </c>
      <c r="W563" s="124">
        <f ca="1">IF($C563="S",ROUND(IF(TIPOORCAMENTO="Proposto",ORÇAMENTO.CustoUnitario*(1+$AH563),ORÇAMENTO.PrecoUnitarioLicitado),15-13*$AF$10),0)</f>
        <v>0</v>
      </c>
      <c r="X563" s="127">
        <f ca="1">IF($C563="S",IF(Import.TipoArredondamento&lt;&gt;"TransfereGOV",VTOTAL1,SUM(OFFSET(CÁLCULO!$AI$15,ROW($X563)-ROW($X$15),1):OFFSET(CÁLCULO!$BB$15,ROW($X563)-ROW($X$15),-1))),IF($C563=0,0,ROUND(SomaAgrup,15-13*$AF$11)))</f>
        <v>0</v>
      </c>
      <c r="Y563" s="128" t="s">
        <v>245</v>
      </c>
      <c r="Z563" t="str">
        <f t="shared" ca="1" si="130"/>
        <v/>
      </c>
      <c r="AA563" s="129">
        <f ca="1">IF($C563="S",IF($Z563="CP",$X563,IF($Z563="RA",(($X563)*QCI!$AA$3),0)),SomaAgrup)</f>
        <v>0</v>
      </c>
      <c r="AB563" s="130">
        <f t="shared" ca="1" si="138"/>
        <v>0</v>
      </c>
      <c r="AC563" s="131" t="str">
        <f ca="1">IF($N563="","",IF(ORÇAMENTO.Descricao="","DESCRIÇÃO",IF(AND($C563="S",ORÇAMENTO.Unidade=""),"UNIDADE",IF($X563&lt;0,"VALOR NEGATIVO",IF(OR(AND(TIPOORCAMENTO="Proposto",$AG563&lt;&gt;"",$AG563&gt;0,ORÇAMENTO.CustoUnitario&gt;$AG563),AND(TIPOORCAMENTO="LICITADO",ORÇAMENTO.PrecoUnitarioLicitado&gt;$AN563)),"ACIMA REF.","")))))</f>
        <v/>
      </c>
      <c r="AD563" t="str">
        <f ca="1">IF(C563&lt;=CRONO.NivelExibicao,MAX($AD$15:OFFSET(AD563,-1,0))+IF($C563&lt;&gt;1,1,MAX(1,COUNTIF(QCI!$A$13:$A$24,OFFSET($E563,-1,0)))),"")</f>
        <v/>
      </c>
      <c r="AE563" s="7" t="str">
        <f ca="1">IF(AND($C563="S",ORÇAMENTO.CodBarra&lt;&gt;""),IF(ORÇAMENTO.Fonte="",ORÇAMENTO.CodBarra,CONCATENATE(ORÇAMENTO.Fonte," ",ORÇAMENTO.CodBarra)))</f>
        <v>COMPOSIÇÃO FNDE 85</v>
      </c>
      <c r="AF563" s="13" t="str">
        <f ca="1">IF(ISERROR(INDIRECT(ORÇAMENTO.BancoRef)),"(abra o arquivo 'Referência "&amp;Excel_BuiltIn_Database&amp;".xlsm)",IF(OR($C563&lt;&gt;"S",ORÇAMENTO.CodBarra=""),"(Sem Código)",IF(ISERROR(MATCH($AE563,INDIRECT(ORÇAMENTO.BancoRef),0)),"(Código não identificado nas referências)",MATCH($AE563,INDIRECT(ORÇAMENTO.BancoRef),0))))</f>
        <v>(abra o arquivo 'Referência 06-2024.xlsm)</v>
      </c>
      <c r="AG563" s="498">
        <f ca="1">ROUND(IF(DESONERACAO="sim",REFERENCIA.Desonerado,REFERENCIA.NaoDesonerado),2)</f>
        <v>0</v>
      </c>
      <c r="AH563" s="499">
        <f t="shared" ca="1" si="139"/>
        <v>0.2432</v>
      </c>
      <c r="AJ563" s="501"/>
      <c r="AL563" s="527"/>
      <c r="AM563" s="381">
        <f t="shared" ca="1" si="133"/>
        <v>0</v>
      </c>
      <c r="AN563" s="566">
        <f t="shared" ca="1" si="140"/>
        <v>0</v>
      </c>
    </row>
    <row r="564" spans="1:40" ht="25.5" x14ac:dyDescent="0.2">
      <c r="A564" t="str">
        <f t="shared" si="137"/>
        <v>S</v>
      </c>
      <c r="B564">
        <f t="shared" ca="1" si="120"/>
        <v>2</v>
      </c>
      <c r="C564" t="str">
        <f t="shared" ca="1" si="121"/>
        <v>S</v>
      </c>
      <c r="D564">
        <f t="shared" ca="1" si="122"/>
        <v>0</v>
      </c>
      <c r="E564">
        <f ca="1">IF($C564=1,OFFSET(E564,-1,0)+MAX(1,COUNTIF(QCI!$A$13:$A$24,OFFSET(ORÇAMENTO!E564,-1,0))),OFFSET(E564,-1,0))</f>
        <v>1</v>
      </c>
      <c r="F564">
        <f t="shared" ca="1" si="123"/>
        <v>56</v>
      </c>
      <c r="G564">
        <f t="shared" ca="1" si="124"/>
        <v>0</v>
      </c>
      <c r="H564">
        <f t="shared" ca="1" si="125"/>
        <v>0</v>
      </c>
      <c r="I564">
        <f t="shared" ca="1" si="126"/>
        <v>0</v>
      </c>
      <c r="J564">
        <f t="shared" ca="1" si="136"/>
        <v>0</v>
      </c>
      <c r="K564">
        <f ca="1">IF(OR($C564="S",$C564=0),0,MATCH(OFFSET($D564,0,$C564)+IF($C564&lt;&gt;1,1,COUNTIF(QCI!$A$13:$A$24,ORÇAMENTO!E564)),OFFSET($D564,1,$C564,ROW($C$727)-ROW($C564)),0))</f>
        <v>0</v>
      </c>
      <c r="L564" s="116" t="str">
        <f t="shared" ca="1" si="127"/>
        <v/>
      </c>
      <c r="M564" s="117" t="s">
        <v>199</v>
      </c>
      <c r="N564" s="118" t="str">
        <f t="shared" ca="1" si="128"/>
        <v>Serviço</v>
      </c>
      <c r="O564" s="119" t="str">
        <f t="shared" ca="1" si="129"/>
        <v>-</v>
      </c>
      <c r="P564" s="120" t="s">
        <v>458</v>
      </c>
      <c r="Q564" s="121" t="s">
        <v>918</v>
      </c>
      <c r="R564" s="122" t="str">
        <f ca="1">IF($C564="S",REFERENCIA.Descricao,"(digite a descrição aqui)")</f>
        <v>(abra o arquivo 'Referência 06-2024.xlsm)</v>
      </c>
      <c r="S564" s="123" t="str">
        <f ca="1">REFERENCIA.Unidade</f>
        <v>-</v>
      </c>
      <c r="T564" s="124">
        <f ca="1">OFFSET(CÁLCULO!H$15,ROW($T564)-ROW(T$15),0)</f>
        <v>1</v>
      </c>
      <c r="U564" s="125">
        <f t="shared" ca="1" si="135"/>
        <v>0</v>
      </c>
      <c r="V564" s="126" t="s">
        <v>156</v>
      </c>
      <c r="W564" s="124">
        <f ca="1">IF($C564="S",ROUND(IF(TIPOORCAMENTO="Proposto",ORÇAMENTO.CustoUnitario*(1+$AH564),ORÇAMENTO.PrecoUnitarioLicitado),15-13*$AF$10),0)</f>
        <v>0</v>
      </c>
      <c r="X564" s="127">
        <f ca="1">IF($C564="S",IF(Import.TipoArredondamento&lt;&gt;"TransfereGOV",VTOTAL1,SUM(OFFSET(CÁLCULO!$AI$15,ROW($X564)-ROW($X$15),1):OFFSET(CÁLCULO!$BB$15,ROW($X564)-ROW($X$15),-1))),IF($C564=0,0,ROUND(SomaAgrup,15-13*$AF$11)))</f>
        <v>0</v>
      </c>
      <c r="Y564" s="128" t="s">
        <v>245</v>
      </c>
      <c r="Z564" t="str">
        <f t="shared" ca="1" si="130"/>
        <v/>
      </c>
      <c r="AA564" s="129">
        <f ca="1">IF($C564="S",IF($Z564="CP",$X564,IF($Z564="RA",(($X564)*QCI!$AA$3),0)),SomaAgrup)</f>
        <v>0</v>
      </c>
      <c r="AB564" s="130">
        <f t="shared" ca="1" si="138"/>
        <v>0</v>
      </c>
      <c r="AC564" s="131" t="str">
        <f ca="1">IF($N564="","",IF(ORÇAMENTO.Descricao="","DESCRIÇÃO",IF(AND($C564="S",ORÇAMENTO.Unidade=""),"UNIDADE",IF($X564&lt;0,"VALOR NEGATIVO",IF(OR(AND(TIPOORCAMENTO="Proposto",$AG564&lt;&gt;"",$AG564&gt;0,ORÇAMENTO.CustoUnitario&gt;$AG564),AND(TIPOORCAMENTO="LICITADO",ORÇAMENTO.PrecoUnitarioLicitado&gt;$AN564)),"ACIMA REF.","")))))</f>
        <v/>
      </c>
      <c r="AD564" t="str">
        <f ca="1">IF(C564&lt;=CRONO.NivelExibicao,MAX($AD$15:OFFSET(AD564,-1,0))+IF($C564&lt;&gt;1,1,MAX(1,COUNTIF(QCI!$A$13:$A$24,OFFSET($E564,-1,0)))),"")</f>
        <v/>
      </c>
      <c r="AE564" s="7" t="str">
        <f ca="1">IF(AND($C564="S",ORÇAMENTO.CodBarra&lt;&gt;""),IF(ORÇAMENTO.Fonte="",ORÇAMENTO.CodBarra,CONCATENATE(ORÇAMENTO.Fonte," ",ORÇAMENTO.CodBarra)))</f>
        <v>COMPOSIÇÃO FNDE 395</v>
      </c>
      <c r="AF564" s="13" t="str">
        <f ca="1">IF(ISERROR(INDIRECT(ORÇAMENTO.BancoRef)),"(abra o arquivo 'Referência "&amp;Excel_BuiltIn_Database&amp;".xlsm)",IF(OR($C564&lt;&gt;"S",ORÇAMENTO.CodBarra=""),"(Sem Código)",IF(ISERROR(MATCH($AE564,INDIRECT(ORÇAMENTO.BancoRef),0)),"(Código não identificado nas referências)",MATCH($AE564,INDIRECT(ORÇAMENTO.BancoRef),0))))</f>
        <v>(abra o arquivo 'Referência 06-2024.xlsm)</v>
      </c>
      <c r="AG564" s="498">
        <f ca="1">ROUND(IF(DESONERACAO="sim",REFERENCIA.Desonerado,REFERENCIA.NaoDesonerado),2)</f>
        <v>0</v>
      </c>
      <c r="AH564" s="499">
        <f t="shared" ca="1" si="139"/>
        <v>0.2432</v>
      </c>
      <c r="AJ564" s="501"/>
      <c r="AL564" s="527"/>
      <c r="AM564" s="381">
        <f t="shared" ca="1" si="133"/>
        <v>0</v>
      </c>
      <c r="AN564" s="566">
        <f t="shared" ca="1" si="140"/>
        <v>0</v>
      </c>
    </row>
    <row r="565" spans="1:40" ht="25.5" x14ac:dyDescent="0.2">
      <c r="A565" t="str">
        <f t="shared" si="137"/>
        <v>S</v>
      </c>
      <c r="B565">
        <f t="shared" ca="1" si="120"/>
        <v>2</v>
      </c>
      <c r="C565" t="str">
        <f t="shared" ca="1" si="121"/>
        <v>S</v>
      </c>
      <c r="D565">
        <f t="shared" ca="1" si="122"/>
        <v>0</v>
      </c>
      <c r="E565">
        <f ca="1">IF($C565=1,OFFSET(E565,-1,0)+MAX(1,COUNTIF(QCI!$A$13:$A$24,OFFSET(ORÇAMENTO!E565,-1,0))),OFFSET(E565,-1,0))</f>
        <v>1</v>
      </c>
      <c r="F565">
        <f t="shared" ca="1" si="123"/>
        <v>56</v>
      </c>
      <c r="G565">
        <f t="shared" ca="1" si="124"/>
        <v>0</v>
      </c>
      <c r="H565">
        <f t="shared" ca="1" si="125"/>
        <v>0</v>
      </c>
      <c r="I565">
        <f t="shared" ca="1" si="126"/>
        <v>0</v>
      </c>
      <c r="J565">
        <f t="shared" ca="1" si="136"/>
        <v>0</v>
      </c>
      <c r="K565">
        <f ca="1">IF(OR($C565="S",$C565=0),0,MATCH(OFFSET($D565,0,$C565)+IF($C565&lt;&gt;1,1,COUNTIF(QCI!$A$13:$A$24,ORÇAMENTO!E565)),OFFSET($D565,1,$C565,ROW($C$727)-ROW($C565)),0))</f>
        <v>0</v>
      </c>
      <c r="L565" s="116" t="str">
        <f t="shared" ca="1" si="127"/>
        <v/>
      </c>
      <c r="M565" s="117" t="s">
        <v>199</v>
      </c>
      <c r="N565" s="118" t="str">
        <f t="shared" ca="1" si="128"/>
        <v>Serviço</v>
      </c>
      <c r="O565" s="119" t="str">
        <f t="shared" ca="1" si="129"/>
        <v>-</v>
      </c>
      <c r="P565" s="120" t="s">
        <v>458</v>
      </c>
      <c r="Q565" s="121" t="s">
        <v>919</v>
      </c>
      <c r="R565" s="122" t="str">
        <f ca="1">IF($C565="S",REFERENCIA.Descricao,"(digite a descrição aqui)")</f>
        <v>(abra o arquivo 'Referência 06-2024.xlsm)</v>
      </c>
      <c r="S565" s="123" t="str">
        <f ca="1">REFERENCIA.Unidade</f>
        <v>-</v>
      </c>
      <c r="T565" s="124">
        <f ca="1">OFFSET(CÁLCULO!H$15,ROW($T565)-ROW(T$15),0)</f>
        <v>1</v>
      </c>
      <c r="U565" s="125">
        <f t="shared" ca="1" si="135"/>
        <v>0</v>
      </c>
      <c r="V565" s="126" t="s">
        <v>156</v>
      </c>
      <c r="W565" s="124">
        <f ca="1">IF($C565="S",ROUND(IF(TIPOORCAMENTO="Proposto",ORÇAMENTO.CustoUnitario*(1+$AH565),ORÇAMENTO.PrecoUnitarioLicitado),15-13*$AF$10),0)</f>
        <v>0</v>
      </c>
      <c r="X565" s="127">
        <f ca="1">IF($C565="S",IF(Import.TipoArredondamento&lt;&gt;"TransfereGOV",VTOTAL1,SUM(OFFSET(CÁLCULO!$AI$15,ROW($X565)-ROW($X$15),1):OFFSET(CÁLCULO!$BB$15,ROW($X565)-ROW($X$15),-1))),IF($C565=0,0,ROUND(SomaAgrup,15-13*$AF$11)))</f>
        <v>0</v>
      </c>
      <c r="Y565" s="128" t="s">
        <v>245</v>
      </c>
      <c r="Z565" t="str">
        <f t="shared" ca="1" si="130"/>
        <v/>
      </c>
      <c r="AA565" s="129">
        <f ca="1">IF($C565="S",IF($Z565="CP",$X565,IF($Z565="RA",(($X565)*QCI!$AA$3),0)),SomaAgrup)</f>
        <v>0</v>
      </c>
      <c r="AB565" s="130">
        <f t="shared" ca="1" si="138"/>
        <v>0</v>
      </c>
      <c r="AC565" s="131" t="str">
        <f ca="1">IF($N565="","",IF(ORÇAMENTO.Descricao="","DESCRIÇÃO",IF(AND($C565="S",ORÇAMENTO.Unidade=""),"UNIDADE",IF($X565&lt;0,"VALOR NEGATIVO",IF(OR(AND(TIPOORCAMENTO="Proposto",$AG565&lt;&gt;"",$AG565&gt;0,ORÇAMENTO.CustoUnitario&gt;$AG565),AND(TIPOORCAMENTO="LICITADO",ORÇAMENTO.PrecoUnitarioLicitado&gt;$AN565)),"ACIMA REF.","")))))</f>
        <v/>
      </c>
      <c r="AD565" t="str">
        <f ca="1">IF(C565&lt;=CRONO.NivelExibicao,MAX($AD$15:OFFSET(AD565,-1,0))+IF($C565&lt;&gt;1,1,MAX(1,COUNTIF(QCI!$A$13:$A$24,OFFSET($E565,-1,0)))),"")</f>
        <v/>
      </c>
      <c r="AE565" s="7" t="str">
        <f ca="1">IF(AND($C565="S",ORÇAMENTO.CodBarra&lt;&gt;""),IF(ORÇAMENTO.Fonte="",ORÇAMENTO.CodBarra,CONCATENATE(ORÇAMENTO.Fonte," ",ORÇAMENTO.CodBarra)))</f>
        <v>COMPOSIÇÃO FNDE 390</v>
      </c>
      <c r="AF565" s="13" t="str">
        <f ca="1">IF(ISERROR(INDIRECT(ORÇAMENTO.BancoRef)),"(abra o arquivo 'Referência "&amp;Excel_BuiltIn_Database&amp;".xlsm)",IF(OR($C565&lt;&gt;"S",ORÇAMENTO.CodBarra=""),"(Sem Código)",IF(ISERROR(MATCH($AE565,INDIRECT(ORÇAMENTO.BancoRef),0)),"(Código não identificado nas referências)",MATCH($AE565,INDIRECT(ORÇAMENTO.BancoRef),0))))</f>
        <v>(abra o arquivo 'Referência 06-2024.xlsm)</v>
      </c>
      <c r="AG565" s="498">
        <f ca="1">ROUND(IF(DESONERACAO="sim",REFERENCIA.Desonerado,REFERENCIA.NaoDesonerado),2)</f>
        <v>0</v>
      </c>
      <c r="AH565" s="499">
        <f t="shared" ca="1" si="139"/>
        <v>0.2432</v>
      </c>
      <c r="AJ565" s="501"/>
      <c r="AL565" s="527"/>
      <c r="AM565" s="381">
        <f t="shared" ca="1" si="133"/>
        <v>0</v>
      </c>
      <c r="AN565" s="566">
        <f t="shared" ca="1" si="140"/>
        <v>0</v>
      </c>
    </row>
    <row r="566" spans="1:40" ht="25.5" x14ac:dyDescent="0.2">
      <c r="A566" t="str">
        <f t="shared" si="137"/>
        <v>S</v>
      </c>
      <c r="B566">
        <f t="shared" ca="1" si="120"/>
        <v>2</v>
      </c>
      <c r="C566" t="str">
        <f t="shared" ca="1" si="121"/>
        <v>S</v>
      </c>
      <c r="D566">
        <f t="shared" ca="1" si="122"/>
        <v>0</v>
      </c>
      <c r="E566">
        <f ca="1">IF($C566=1,OFFSET(E566,-1,0)+MAX(1,COUNTIF(QCI!$A$13:$A$24,OFFSET(ORÇAMENTO!E566,-1,0))),OFFSET(E566,-1,0))</f>
        <v>1</v>
      </c>
      <c r="F566">
        <f t="shared" ca="1" si="123"/>
        <v>56</v>
      </c>
      <c r="G566">
        <f t="shared" ca="1" si="124"/>
        <v>0</v>
      </c>
      <c r="H566">
        <f t="shared" ca="1" si="125"/>
        <v>0</v>
      </c>
      <c r="I566">
        <f t="shared" ca="1" si="126"/>
        <v>0</v>
      </c>
      <c r="J566">
        <f t="shared" ca="1" si="136"/>
        <v>0</v>
      </c>
      <c r="K566">
        <f ca="1">IF(OR($C566="S",$C566=0),0,MATCH(OFFSET($D566,0,$C566)+IF($C566&lt;&gt;1,1,COUNTIF(QCI!$A$13:$A$24,ORÇAMENTO!E566)),OFFSET($D566,1,$C566,ROW($C$727)-ROW($C566)),0))</f>
        <v>0</v>
      </c>
      <c r="L566" s="116" t="str">
        <f t="shared" ca="1" si="127"/>
        <v/>
      </c>
      <c r="M566" s="117" t="s">
        <v>199</v>
      </c>
      <c r="N566" s="118" t="str">
        <f t="shared" ca="1" si="128"/>
        <v>Serviço</v>
      </c>
      <c r="O566" s="119" t="str">
        <f t="shared" ca="1" si="129"/>
        <v>-</v>
      </c>
      <c r="P566" s="120" t="s">
        <v>458</v>
      </c>
      <c r="Q566" s="121" t="s">
        <v>920</v>
      </c>
      <c r="R566" s="122" t="str">
        <f ca="1">IF($C566="S",REFERENCIA.Descricao,"(digite a descrição aqui)")</f>
        <v>(abra o arquivo 'Referência 06-2024.xlsm)</v>
      </c>
      <c r="S566" s="123" t="str">
        <f ca="1">REFERENCIA.Unidade</f>
        <v>-</v>
      </c>
      <c r="T566" s="124">
        <f ca="1">OFFSET(CÁLCULO!H$15,ROW($T566)-ROW(T$15),0)</f>
        <v>2</v>
      </c>
      <c r="U566" s="125">
        <f t="shared" ca="1" si="135"/>
        <v>0</v>
      </c>
      <c r="V566" s="126" t="s">
        <v>156</v>
      </c>
      <c r="W566" s="124">
        <f ca="1">IF($C566="S",ROUND(IF(TIPOORCAMENTO="Proposto",ORÇAMENTO.CustoUnitario*(1+$AH566),ORÇAMENTO.PrecoUnitarioLicitado),15-13*$AF$10),0)</f>
        <v>0</v>
      </c>
      <c r="X566" s="127">
        <f ca="1">IF($C566="S",IF(Import.TipoArredondamento&lt;&gt;"TransfereGOV",VTOTAL1,SUM(OFFSET(CÁLCULO!$AI$15,ROW($X566)-ROW($X$15),1):OFFSET(CÁLCULO!$BB$15,ROW($X566)-ROW($X$15),-1))),IF($C566=0,0,ROUND(SomaAgrup,15-13*$AF$11)))</f>
        <v>0</v>
      </c>
      <c r="Y566" s="128" t="s">
        <v>245</v>
      </c>
      <c r="Z566" t="str">
        <f t="shared" ca="1" si="130"/>
        <v/>
      </c>
      <c r="AA566" s="129">
        <f ca="1">IF($C566="S",IF($Z566="CP",$X566,IF($Z566="RA",(($X566)*QCI!$AA$3),0)),SomaAgrup)</f>
        <v>0</v>
      </c>
      <c r="AB566" s="130">
        <f t="shared" ca="1" si="138"/>
        <v>0</v>
      </c>
      <c r="AC566" s="131" t="str">
        <f ca="1">IF($N566="","",IF(ORÇAMENTO.Descricao="","DESCRIÇÃO",IF(AND($C566="S",ORÇAMENTO.Unidade=""),"UNIDADE",IF($X566&lt;0,"VALOR NEGATIVO",IF(OR(AND(TIPOORCAMENTO="Proposto",$AG566&lt;&gt;"",$AG566&gt;0,ORÇAMENTO.CustoUnitario&gt;$AG566),AND(TIPOORCAMENTO="LICITADO",ORÇAMENTO.PrecoUnitarioLicitado&gt;$AN566)),"ACIMA REF.","")))))</f>
        <v/>
      </c>
      <c r="AD566" t="str">
        <f ca="1">IF(C566&lt;=CRONO.NivelExibicao,MAX($AD$15:OFFSET(AD566,-1,0))+IF($C566&lt;&gt;1,1,MAX(1,COUNTIF(QCI!$A$13:$A$24,OFFSET($E566,-1,0)))),"")</f>
        <v/>
      </c>
      <c r="AE566" s="7" t="str">
        <f ca="1">IF(AND($C566="S",ORÇAMENTO.CodBarra&lt;&gt;""),IF(ORÇAMENTO.Fonte="",ORÇAMENTO.CodBarra,CONCATENATE(ORÇAMENTO.Fonte," ",ORÇAMENTO.CodBarra)))</f>
        <v>COMPOSIÇÃO FNDE 393</v>
      </c>
      <c r="AF566" s="13" t="str">
        <f ca="1">IF(ISERROR(INDIRECT(ORÇAMENTO.BancoRef)),"(abra o arquivo 'Referência "&amp;Excel_BuiltIn_Database&amp;".xlsm)",IF(OR($C566&lt;&gt;"S",ORÇAMENTO.CodBarra=""),"(Sem Código)",IF(ISERROR(MATCH($AE566,INDIRECT(ORÇAMENTO.BancoRef),0)),"(Código não identificado nas referências)",MATCH($AE566,INDIRECT(ORÇAMENTO.BancoRef),0))))</f>
        <v>(abra o arquivo 'Referência 06-2024.xlsm)</v>
      </c>
      <c r="AG566" s="498">
        <f ca="1">ROUND(IF(DESONERACAO="sim",REFERENCIA.Desonerado,REFERENCIA.NaoDesonerado),2)</f>
        <v>0</v>
      </c>
      <c r="AH566" s="499">
        <f t="shared" ca="1" si="139"/>
        <v>0.2432</v>
      </c>
      <c r="AJ566" s="501"/>
      <c r="AL566" s="527"/>
      <c r="AM566" s="381">
        <f t="shared" ca="1" si="133"/>
        <v>0</v>
      </c>
      <c r="AN566" s="566">
        <f t="shared" ca="1" si="140"/>
        <v>0</v>
      </c>
    </row>
    <row r="567" spans="1:40" x14ac:dyDescent="0.2">
      <c r="A567">
        <f t="shared" si="137"/>
        <v>2</v>
      </c>
      <c r="B567">
        <f t="shared" ca="1" si="120"/>
        <v>2</v>
      </c>
      <c r="C567">
        <f t="shared" ca="1" si="121"/>
        <v>2</v>
      </c>
      <c r="D567">
        <f t="shared" ca="1" si="122"/>
        <v>13</v>
      </c>
      <c r="E567">
        <f ca="1">IF($C567=1,OFFSET(E567,-1,0)+MAX(1,COUNTIF(QCI!$A$13:$A$24,OFFSET(ORÇAMENTO!E567,-1,0))),OFFSET(E567,-1,0))</f>
        <v>1</v>
      </c>
      <c r="F567">
        <f t="shared" ca="1" si="123"/>
        <v>57</v>
      </c>
      <c r="G567">
        <f t="shared" ca="1" si="124"/>
        <v>0</v>
      </c>
      <c r="H567">
        <f t="shared" ca="1" si="125"/>
        <v>0</v>
      </c>
      <c r="I567">
        <f t="shared" ca="1" si="126"/>
        <v>0</v>
      </c>
      <c r="J567">
        <f t="shared" ca="1" si="136"/>
        <v>160</v>
      </c>
      <c r="K567">
        <f ca="1">IF(OR($C567="S",$C567=0),0,MATCH(OFFSET($D567,0,$C567)+IF($C567&lt;&gt;1,1,COUNTIF(QCI!$A$13:$A$24,ORÇAMENTO!E567)),OFFSET($D567,1,$C567,ROW($C$727)-ROW($C567)),0))</f>
        <v>13</v>
      </c>
      <c r="L567" s="116" t="str">
        <f t="shared" ca="1" si="127"/>
        <v>F</v>
      </c>
      <c r="M567" s="117" t="s">
        <v>196</v>
      </c>
      <c r="N567" s="118" t="str">
        <f t="shared" ca="1" si="128"/>
        <v>Nível 2</v>
      </c>
      <c r="O567" s="119" t="str">
        <f t="shared" ca="1" si="129"/>
        <v>1.57.</v>
      </c>
      <c r="P567" s="120" t="s">
        <v>247</v>
      </c>
      <c r="Q567" s="121"/>
      <c r="R567" s="122" t="s">
        <v>1080</v>
      </c>
      <c r="S567" s="123" t="str">
        <f ca="1">REFERENCIA.Unidade</f>
        <v>-</v>
      </c>
      <c r="T567" s="124">
        <f ca="1">OFFSET(CÁLCULO!H$15,ROW($T567)-ROW(T$15),0)</f>
        <v>0</v>
      </c>
      <c r="U567" s="125">
        <f t="shared" ca="1" si="135"/>
        <v>0</v>
      </c>
      <c r="V567" s="126" t="s">
        <v>156</v>
      </c>
      <c r="W567" s="124">
        <f ca="1">IF($C567="S",ROUND(IF(TIPOORCAMENTO="Proposto",ORÇAMENTO.CustoUnitario*(1+$AH567),ORÇAMENTO.PrecoUnitarioLicitado),15-13*$AF$10),0)</f>
        <v>0</v>
      </c>
      <c r="X567" s="127">
        <f ca="1">IF($C567="S",IF(Import.TipoArredondamento&lt;&gt;"TransfereGOV",VTOTAL1,SUM(OFFSET(CÁLCULO!$AI$15,ROW($X567)-ROW($X$15),1):OFFSET(CÁLCULO!$BB$15,ROW($X567)-ROW($X$15),-1))),IF($C567=0,0,ROUND(SomaAgrup,15-13*$AF$11)))</f>
        <v>0</v>
      </c>
      <c r="Y567" s="128" t="s">
        <v>245</v>
      </c>
      <c r="Z567" t="str">
        <f t="shared" ca="1" si="130"/>
        <v/>
      </c>
      <c r="AA567" s="129">
        <f ca="1">IF($C567="S",IF($Z567="CP",$X567,IF($Z567="RA",(($X567)*QCI!$AA$3),0)),SomaAgrup)</f>
        <v>0</v>
      </c>
      <c r="AB567" s="130">
        <f t="shared" ca="1" si="138"/>
        <v>0</v>
      </c>
      <c r="AC567" s="131" t="str">
        <f ca="1">IF($N567="","",IF(ORÇAMENTO.Descricao="","DESCRIÇÃO",IF(AND($C567="S",ORÇAMENTO.Unidade=""),"UNIDADE",IF($X567&lt;0,"VALOR NEGATIVO",IF(OR(AND(TIPOORCAMENTO="Proposto",$AG567&lt;&gt;"",$AG567&gt;0,ORÇAMENTO.CustoUnitario&gt;$AG567),AND(TIPOORCAMENTO="LICITADO",ORÇAMENTO.PrecoUnitarioLicitado&gt;$AN567)),"ACIMA REF.","")))))</f>
        <v/>
      </c>
      <c r="AD567">
        <f ca="1">IF(C567&lt;=CRONO.NivelExibicao,MAX($AD$15:OFFSET(AD567,-1,0))+IF($C567&lt;&gt;1,1,MAX(1,COUNTIF(QCI!$A$13:$A$24,OFFSET($E567,-1,0)))),"")</f>
        <v>58</v>
      </c>
      <c r="AE567" s="7" t="b">
        <f ca="1">IF(AND($C567="S",ORÇAMENTO.CodBarra&lt;&gt;""),IF(ORÇAMENTO.Fonte="",ORÇAMENTO.CodBarra,CONCATENATE(ORÇAMENTO.Fonte," ",ORÇAMENTO.CodBarra)))</f>
        <v>0</v>
      </c>
      <c r="AF567" s="13" t="str">
        <f ca="1">IF(ISERROR(INDIRECT(ORÇAMENTO.BancoRef)),"(abra o arquivo 'Referência "&amp;Excel_BuiltIn_Database&amp;".xlsm)",IF(OR($C567&lt;&gt;"S",ORÇAMENTO.CodBarra=""),"(Sem Código)",IF(ISERROR(MATCH($AE567,INDIRECT(ORÇAMENTO.BancoRef),0)),"(Código não identificado nas referências)",MATCH($AE567,INDIRECT(ORÇAMENTO.BancoRef),0))))</f>
        <v>(abra o arquivo 'Referência 06-2024.xlsm)</v>
      </c>
      <c r="AG567" s="498">
        <f ca="1">ROUND(IF(DESONERACAO="sim",REFERENCIA.Desonerado,REFERENCIA.NaoDesonerado),2)</f>
        <v>0</v>
      </c>
      <c r="AH567" s="499">
        <f t="shared" ca="1" si="139"/>
        <v>0.2432</v>
      </c>
      <c r="AJ567" s="501"/>
      <c r="AL567" s="527"/>
      <c r="AM567" s="381">
        <f t="shared" ca="1" si="133"/>
        <v>0</v>
      </c>
      <c r="AN567" s="566">
        <f t="shared" ca="1" si="140"/>
        <v>0</v>
      </c>
    </row>
    <row r="568" spans="1:40" ht="38.25" x14ac:dyDescent="0.2">
      <c r="A568" t="str">
        <f t="shared" si="137"/>
        <v>S</v>
      </c>
      <c r="B568">
        <f t="shared" ca="1" si="120"/>
        <v>2</v>
      </c>
      <c r="C568" t="str">
        <f t="shared" ca="1" si="121"/>
        <v>S</v>
      </c>
      <c r="D568">
        <f t="shared" ca="1" si="122"/>
        <v>0</v>
      </c>
      <c r="E568">
        <f ca="1">IF($C568=1,OFFSET(E568,-1,0)+MAX(1,COUNTIF(QCI!$A$13:$A$24,OFFSET(ORÇAMENTO!E568,-1,0))),OFFSET(E568,-1,0))</f>
        <v>1</v>
      </c>
      <c r="F568">
        <f t="shared" ca="1" si="123"/>
        <v>57</v>
      </c>
      <c r="G568">
        <f t="shared" ca="1" si="124"/>
        <v>0</v>
      </c>
      <c r="H568">
        <f t="shared" ca="1" si="125"/>
        <v>0</v>
      </c>
      <c r="I568">
        <f t="shared" ca="1" si="126"/>
        <v>0</v>
      </c>
      <c r="J568">
        <f t="shared" ca="1" si="136"/>
        <v>0</v>
      </c>
      <c r="K568">
        <f ca="1">IF(OR($C568="S",$C568=0),0,MATCH(OFFSET($D568,0,$C568)+IF($C568&lt;&gt;1,1,COUNTIF(QCI!$A$13:$A$24,ORÇAMENTO!E568)),OFFSET($D568,1,$C568,ROW($C$727)-ROW($C568)),0))</f>
        <v>0</v>
      </c>
      <c r="L568" s="116" t="str">
        <f t="shared" ca="1" si="127"/>
        <v/>
      </c>
      <c r="M568" s="117" t="s">
        <v>199</v>
      </c>
      <c r="N568" s="118" t="str">
        <f t="shared" ca="1" si="128"/>
        <v>Serviço</v>
      </c>
      <c r="O568" s="119" t="str">
        <f t="shared" ca="1" si="129"/>
        <v>-</v>
      </c>
      <c r="P568" s="120" t="s">
        <v>458</v>
      </c>
      <c r="Q568" s="121" t="s">
        <v>921</v>
      </c>
      <c r="R568" s="122" t="str">
        <f ca="1">IF($C568="S",REFERENCIA.Descricao,"(digite a descrição aqui)")</f>
        <v>(abra o arquivo 'Referência 06-2024.xlsm)</v>
      </c>
      <c r="S568" s="123" t="str">
        <f ca="1">REFERENCIA.Unidade</f>
        <v>-</v>
      </c>
      <c r="T568" s="124">
        <f ca="1">OFFSET(CÁLCULO!H$15,ROW($T568)-ROW(T$15),0)</f>
        <v>49</v>
      </c>
      <c r="U568" s="125">
        <f t="shared" ca="1" si="135"/>
        <v>0</v>
      </c>
      <c r="V568" s="126" t="s">
        <v>156</v>
      </c>
      <c r="W568" s="124">
        <f ca="1">IF($C568="S",ROUND(IF(TIPOORCAMENTO="Proposto",ORÇAMENTO.CustoUnitario*(1+$AH568),ORÇAMENTO.PrecoUnitarioLicitado),15-13*$AF$10),0)</f>
        <v>0</v>
      </c>
      <c r="X568" s="127">
        <f ca="1">IF($C568="S",IF(Import.TipoArredondamento&lt;&gt;"TransfereGOV",VTOTAL1,SUM(OFFSET(CÁLCULO!$AI$15,ROW($X568)-ROW($X$15),1):OFFSET(CÁLCULO!$BB$15,ROW($X568)-ROW($X$15),-1))),IF($C568=0,0,ROUND(SomaAgrup,15-13*$AF$11)))</f>
        <v>0</v>
      </c>
      <c r="Y568" s="128" t="s">
        <v>245</v>
      </c>
      <c r="Z568" t="str">
        <f t="shared" ca="1" si="130"/>
        <v/>
      </c>
      <c r="AA568" s="129">
        <f ca="1">IF($C568="S",IF($Z568="CP",$X568,IF($Z568="RA",(($X568)*QCI!$AA$3),0)),SomaAgrup)</f>
        <v>0</v>
      </c>
      <c r="AB568" s="130">
        <f t="shared" ca="1" si="138"/>
        <v>0</v>
      </c>
      <c r="AC568" s="131" t="str">
        <f ca="1">IF($N568="","",IF(ORÇAMENTO.Descricao="","DESCRIÇÃO",IF(AND($C568="S",ORÇAMENTO.Unidade=""),"UNIDADE",IF($X568&lt;0,"VALOR NEGATIVO",IF(OR(AND(TIPOORCAMENTO="Proposto",$AG568&lt;&gt;"",$AG568&gt;0,ORÇAMENTO.CustoUnitario&gt;$AG568),AND(TIPOORCAMENTO="LICITADO",ORÇAMENTO.PrecoUnitarioLicitado&gt;$AN568)),"ACIMA REF.","")))))</f>
        <v/>
      </c>
      <c r="AD568" t="str">
        <f ca="1">IF(C568&lt;=CRONO.NivelExibicao,MAX($AD$15:OFFSET(AD568,-1,0))+IF($C568&lt;&gt;1,1,MAX(1,COUNTIF(QCI!$A$13:$A$24,OFFSET($E568,-1,0)))),"")</f>
        <v/>
      </c>
      <c r="AE568" s="7" t="str">
        <f ca="1">IF(AND($C568="S",ORÇAMENTO.CodBarra&lt;&gt;""),IF(ORÇAMENTO.Fonte="",ORÇAMENTO.CodBarra,CONCATENATE(ORÇAMENTO.Fonte," ",ORÇAMENTO.CodBarra)))</f>
        <v>COMPOSIÇÃO FNDE 24</v>
      </c>
      <c r="AF568" s="13" t="str">
        <f ca="1">IF(ISERROR(INDIRECT(ORÇAMENTO.BancoRef)),"(abra o arquivo 'Referência "&amp;Excel_BuiltIn_Database&amp;".xlsm)",IF(OR($C568&lt;&gt;"S",ORÇAMENTO.CodBarra=""),"(Sem Código)",IF(ISERROR(MATCH($AE568,INDIRECT(ORÇAMENTO.BancoRef),0)),"(Código não identificado nas referências)",MATCH($AE568,INDIRECT(ORÇAMENTO.BancoRef),0))))</f>
        <v>(abra o arquivo 'Referência 06-2024.xlsm)</v>
      </c>
      <c r="AG568" s="498">
        <f ca="1">ROUND(IF(DESONERACAO="sim",REFERENCIA.Desonerado,REFERENCIA.NaoDesonerado),2)</f>
        <v>0</v>
      </c>
      <c r="AH568" s="499">
        <f t="shared" ca="1" si="139"/>
        <v>0.2432</v>
      </c>
      <c r="AJ568" s="501"/>
      <c r="AL568" s="527"/>
      <c r="AM568" s="381">
        <f t="shared" ca="1" si="133"/>
        <v>0</v>
      </c>
      <c r="AN568" s="566">
        <f t="shared" ca="1" si="140"/>
        <v>0</v>
      </c>
    </row>
    <row r="569" spans="1:40" ht="38.25" x14ac:dyDescent="0.2">
      <c r="A569" t="str">
        <f t="shared" si="137"/>
        <v>S</v>
      </c>
      <c r="B569">
        <f t="shared" ca="1" si="120"/>
        <v>2</v>
      </c>
      <c r="C569" t="str">
        <f t="shared" ca="1" si="121"/>
        <v>S</v>
      </c>
      <c r="D569">
        <f t="shared" ca="1" si="122"/>
        <v>0</v>
      </c>
      <c r="E569">
        <f ca="1">IF($C569=1,OFFSET(E569,-1,0)+MAX(1,COUNTIF(QCI!$A$13:$A$24,OFFSET(ORÇAMENTO!E569,-1,0))),OFFSET(E569,-1,0))</f>
        <v>1</v>
      </c>
      <c r="F569">
        <f t="shared" ca="1" si="123"/>
        <v>57</v>
      </c>
      <c r="G569">
        <f t="shared" ca="1" si="124"/>
        <v>0</v>
      </c>
      <c r="H569">
        <f t="shared" ca="1" si="125"/>
        <v>0</v>
      </c>
      <c r="I569">
        <f t="shared" ca="1" si="126"/>
        <v>0</v>
      </c>
      <c r="J569">
        <f t="shared" ca="1" si="136"/>
        <v>0</v>
      </c>
      <c r="K569">
        <f ca="1">IF(OR($C569="S",$C569=0),0,MATCH(OFFSET($D569,0,$C569)+IF($C569&lt;&gt;1,1,COUNTIF(QCI!$A$13:$A$24,ORÇAMENTO!E569)),OFFSET($D569,1,$C569,ROW($C$727)-ROW($C569)),0))</f>
        <v>0</v>
      </c>
      <c r="L569" s="116" t="str">
        <f t="shared" ca="1" si="127"/>
        <v/>
      </c>
      <c r="M569" s="117" t="s">
        <v>199</v>
      </c>
      <c r="N569" s="118" t="str">
        <f t="shared" ca="1" si="128"/>
        <v>Serviço</v>
      </c>
      <c r="O569" s="119" t="str">
        <f t="shared" ca="1" si="129"/>
        <v>-</v>
      </c>
      <c r="P569" s="120" t="s">
        <v>458</v>
      </c>
      <c r="Q569" s="121" t="s">
        <v>922</v>
      </c>
      <c r="R569" s="122" t="str">
        <f ca="1">IF($C569="S",REFERENCIA.Descricao,"(digite a descrição aqui)")</f>
        <v>(abra o arquivo 'Referência 06-2024.xlsm)</v>
      </c>
      <c r="S569" s="123" t="str">
        <f ca="1">REFERENCIA.Unidade</f>
        <v>-</v>
      </c>
      <c r="T569" s="124">
        <f ca="1">OFFSET(CÁLCULO!H$15,ROW($T569)-ROW(T$15),0)</f>
        <v>102.2</v>
      </c>
      <c r="U569" s="125">
        <f t="shared" ca="1" si="135"/>
        <v>0</v>
      </c>
      <c r="V569" s="126" t="s">
        <v>156</v>
      </c>
      <c r="W569" s="124">
        <f ca="1">IF($C569="S",ROUND(IF(TIPOORCAMENTO="Proposto",ORÇAMENTO.CustoUnitario*(1+$AH569),ORÇAMENTO.PrecoUnitarioLicitado),15-13*$AF$10),0)</f>
        <v>0</v>
      </c>
      <c r="X569" s="127">
        <f ca="1">IF($C569="S",IF(Import.TipoArredondamento&lt;&gt;"TransfereGOV",VTOTAL1,SUM(OFFSET(CÁLCULO!$AI$15,ROW($X569)-ROW($X$15),1):OFFSET(CÁLCULO!$BB$15,ROW($X569)-ROW($X$15),-1))),IF($C569=0,0,ROUND(SomaAgrup,15-13*$AF$11)))</f>
        <v>0</v>
      </c>
      <c r="Y569" s="128" t="s">
        <v>245</v>
      </c>
      <c r="Z569" t="str">
        <f t="shared" ca="1" si="130"/>
        <v/>
      </c>
      <c r="AA569" s="129">
        <f ca="1">IF($C569="S",IF($Z569="CP",$X569,IF($Z569="RA",(($X569)*QCI!$AA$3),0)),SomaAgrup)</f>
        <v>0</v>
      </c>
      <c r="AB569" s="130">
        <f t="shared" ca="1" si="138"/>
        <v>0</v>
      </c>
      <c r="AC569" s="131" t="str">
        <f ca="1">IF($N569="","",IF(ORÇAMENTO.Descricao="","DESCRIÇÃO",IF(AND($C569="S",ORÇAMENTO.Unidade=""),"UNIDADE",IF($X569&lt;0,"VALOR NEGATIVO",IF(OR(AND(TIPOORCAMENTO="Proposto",$AG569&lt;&gt;"",$AG569&gt;0,ORÇAMENTO.CustoUnitario&gt;$AG569),AND(TIPOORCAMENTO="LICITADO",ORÇAMENTO.PrecoUnitarioLicitado&gt;$AN569)),"ACIMA REF.","")))))</f>
        <v/>
      </c>
      <c r="AD569" t="str">
        <f ca="1">IF(C569&lt;=CRONO.NivelExibicao,MAX($AD$15:OFFSET(AD569,-1,0))+IF($C569&lt;&gt;1,1,MAX(1,COUNTIF(QCI!$A$13:$A$24,OFFSET($E569,-1,0)))),"")</f>
        <v/>
      </c>
      <c r="AE569" s="7" t="str">
        <f ca="1">IF(AND($C569="S",ORÇAMENTO.CodBarra&lt;&gt;""),IF(ORÇAMENTO.Fonte="",ORÇAMENTO.CodBarra,CONCATENATE(ORÇAMENTO.Fonte," ",ORÇAMENTO.CodBarra)))</f>
        <v>COMPOSIÇÃO FNDE 25</v>
      </c>
      <c r="AF569" s="13" t="str">
        <f ca="1">IF(ISERROR(INDIRECT(ORÇAMENTO.BancoRef)),"(abra o arquivo 'Referência "&amp;Excel_BuiltIn_Database&amp;".xlsm)",IF(OR($C569&lt;&gt;"S",ORÇAMENTO.CodBarra=""),"(Sem Código)",IF(ISERROR(MATCH($AE569,INDIRECT(ORÇAMENTO.BancoRef),0)),"(Código não identificado nas referências)",MATCH($AE569,INDIRECT(ORÇAMENTO.BancoRef),0))))</f>
        <v>(abra o arquivo 'Referência 06-2024.xlsm)</v>
      </c>
      <c r="AG569" s="498">
        <f ca="1">ROUND(IF(DESONERACAO="sim",REFERENCIA.Desonerado,REFERENCIA.NaoDesonerado),2)</f>
        <v>0</v>
      </c>
      <c r="AH569" s="499">
        <f t="shared" ca="1" si="139"/>
        <v>0.2432</v>
      </c>
      <c r="AJ569" s="501"/>
      <c r="AL569" s="527"/>
      <c r="AM569" s="381">
        <f t="shared" ca="1" si="133"/>
        <v>0</v>
      </c>
      <c r="AN569" s="566">
        <f t="shared" ca="1" si="140"/>
        <v>0</v>
      </c>
    </row>
    <row r="570" spans="1:40" ht="25.5" x14ac:dyDescent="0.2">
      <c r="A570" t="str">
        <f t="shared" si="137"/>
        <v>S</v>
      </c>
      <c r="B570">
        <f t="shared" ca="1" si="120"/>
        <v>2</v>
      </c>
      <c r="C570" t="str">
        <f t="shared" ca="1" si="121"/>
        <v>S</v>
      </c>
      <c r="D570">
        <f t="shared" ca="1" si="122"/>
        <v>0</v>
      </c>
      <c r="E570">
        <f ca="1">IF($C570=1,OFFSET(E570,-1,0)+MAX(1,COUNTIF(QCI!$A$13:$A$24,OFFSET(ORÇAMENTO!E570,-1,0))),OFFSET(E570,-1,0))</f>
        <v>1</v>
      </c>
      <c r="F570">
        <f t="shared" ca="1" si="123"/>
        <v>57</v>
      </c>
      <c r="G570">
        <f t="shared" ca="1" si="124"/>
        <v>0</v>
      </c>
      <c r="H570">
        <f t="shared" ca="1" si="125"/>
        <v>0</v>
      </c>
      <c r="I570">
        <f t="shared" ca="1" si="126"/>
        <v>0</v>
      </c>
      <c r="J570">
        <f t="shared" ca="1" si="136"/>
        <v>0</v>
      </c>
      <c r="K570">
        <f ca="1">IF(OR($C570="S",$C570=0),0,MATCH(OFFSET($D570,0,$C570)+IF($C570&lt;&gt;1,1,COUNTIF(QCI!$A$13:$A$24,ORÇAMENTO!E570)),OFFSET($D570,1,$C570,ROW($C$727)-ROW($C570)),0))</f>
        <v>0</v>
      </c>
      <c r="L570" s="116" t="str">
        <f t="shared" ca="1" si="127"/>
        <v/>
      </c>
      <c r="M570" s="117" t="s">
        <v>199</v>
      </c>
      <c r="N570" s="118" t="str">
        <f t="shared" ca="1" si="128"/>
        <v>Serviço</v>
      </c>
      <c r="O570" s="119" t="str">
        <f t="shared" ca="1" si="129"/>
        <v>-</v>
      </c>
      <c r="P570" s="120" t="s">
        <v>458</v>
      </c>
      <c r="Q570" s="121" t="s">
        <v>842</v>
      </c>
      <c r="R570" s="122" t="str">
        <f ca="1">IF($C570="S",REFERENCIA.Descricao,"(digite a descrição aqui)")</f>
        <v>(abra o arquivo 'Referência 06-2024.xlsm)</v>
      </c>
      <c r="S570" s="123" t="str">
        <f ca="1">REFERENCIA.Unidade</f>
        <v>-</v>
      </c>
      <c r="T570" s="124">
        <f ca="1">OFFSET(CÁLCULO!H$15,ROW($T570)-ROW(T$15),0)</f>
        <v>68</v>
      </c>
      <c r="U570" s="125">
        <f t="shared" ca="1" si="135"/>
        <v>0</v>
      </c>
      <c r="V570" s="126" t="s">
        <v>156</v>
      </c>
      <c r="W570" s="124">
        <f ca="1">IF($C570="S",ROUND(IF(TIPOORCAMENTO="Proposto",ORÇAMENTO.CustoUnitario*(1+$AH570),ORÇAMENTO.PrecoUnitarioLicitado),15-13*$AF$10),0)</f>
        <v>0</v>
      </c>
      <c r="X570" s="127">
        <f ca="1">IF($C570="S",IF(Import.TipoArredondamento&lt;&gt;"TransfereGOV",VTOTAL1,SUM(OFFSET(CÁLCULO!$AI$15,ROW($X570)-ROW($X$15),1):OFFSET(CÁLCULO!$BB$15,ROW($X570)-ROW($X$15),-1))),IF($C570=0,0,ROUND(SomaAgrup,15-13*$AF$11)))</f>
        <v>0</v>
      </c>
      <c r="Y570" s="128" t="s">
        <v>245</v>
      </c>
      <c r="Z570" t="str">
        <f t="shared" ca="1" si="130"/>
        <v/>
      </c>
      <c r="AA570" s="129">
        <f ca="1">IF($C570="S",IF($Z570="CP",$X570,IF($Z570="RA",(($X570)*QCI!$AA$3),0)),SomaAgrup)</f>
        <v>0</v>
      </c>
      <c r="AB570" s="130">
        <f t="shared" ca="1" si="138"/>
        <v>0</v>
      </c>
      <c r="AC570" s="131" t="str">
        <f ca="1">IF($N570="","",IF(ORÇAMENTO.Descricao="","DESCRIÇÃO",IF(AND($C570="S",ORÇAMENTO.Unidade=""),"UNIDADE",IF($X570&lt;0,"VALOR NEGATIVO",IF(OR(AND(TIPOORCAMENTO="Proposto",$AG570&lt;&gt;"",$AG570&gt;0,ORÇAMENTO.CustoUnitario&gt;$AG570),AND(TIPOORCAMENTO="LICITADO",ORÇAMENTO.PrecoUnitarioLicitado&gt;$AN570)),"ACIMA REF.","")))))</f>
        <v/>
      </c>
      <c r="AD570" t="str">
        <f ca="1">IF(C570&lt;=CRONO.NivelExibicao,MAX($AD$15:OFFSET(AD570,-1,0))+IF($C570&lt;&gt;1,1,MAX(1,COUNTIF(QCI!$A$13:$A$24,OFFSET($E570,-1,0)))),"")</f>
        <v/>
      </c>
      <c r="AE570" s="7" t="str">
        <f ca="1">IF(AND($C570="S",ORÇAMENTO.CodBarra&lt;&gt;""),IF(ORÇAMENTO.Fonte="",ORÇAMENTO.CodBarra,CONCATENATE(ORÇAMENTO.Fonte," ",ORÇAMENTO.CodBarra)))</f>
        <v>COMPOSIÇÃO FNDE 346</v>
      </c>
      <c r="AF570" s="13" t="str">
        <f ca="1">IF(ISERROR(INDIRECT(ORÇAMENTO.BancoRef)),"(abra o arquivo 'Referência "&amp;Excel_BuiltIn_Database&amp;".xlsm)",IF(OR($C570&lt;&gt;"S",ORÇAMENTO.CodBarra=""),"(Sem Código)",IF(ISERROR(MATCH($AE570,INDIRECT(ORÇAMENTO.BancoRef),0)),"(Código não identificado nas referências)",MATCH($AE570,INDIRECT(ORÇAMENTO.BancoRef),0))))</f>
        <v>(abra o arquivo 'Referência 06-2024.xlsm)</v>
      </c>
      <c r="AG570" s="498">
        <f ca="1">ROUND(IF(DESONERACAO="sim",REFERENCIA.Desonerado,REFERENCIA.NaoDesonerado),2)</f>
        <v>0</v>
      </c>
      <c r="AH570" s="499">
        <f t="shared" ca="1" si="139"/>
        <v>0.2432</v>
      </c>
      <c r="AJ570" s="501"/>
      <c r="AL570" s="527"/>
      <c r="AM570" s="381">
        <f t="shared" ca="1" si="133"/>
        <v>0</v>
      </c>
      <c r="AN570" s="566">
        <f t="shared" ca="1" si="140"/>
        <v>0</v>
      </c>
    </row>
    <row r="571" spans="1:40" ht="38.25" x14ac:dyDescent="0.2">
      <c r="A571" t="str">
        <f t="shared" si="137"/>
        <v>S</v>
      </c>
      <c r="B571">
        <f t="shared" ca="1" si="120"/>
        <v>2</v>
      </c>
      <c r="C571" t="str">
        <f t="shared" ca="1" si="121"/>
        <v>S</v>
      </c>
      <c r="D571">
        <f t="shared" ca="1" si="122"/>
        <v>0</v>
      </c>
      <c r="E571">
        <f ca="1">IF($C571=1,OFFSET(E571,-1,0)+MAX(1,COUNTIF(QCI!$A$13:$A$24,OFFSET(ORÇAMENTO!E571,-1,0))),OFFSET(E571,-1,0))</f>
        <v>1</v>
      </c>
      <c r="F571">
        <f t="shared" ca="1" si="123"/>
        <v>57</v>
      </c>
      <c r="G571">
        <f t="shared" ca="1" si="124"/>
        <v>0</v>
      </c>
      <c r="H571">
        <f t="shared" ca="1" si="125"/>
        <v>0</v>
      </c>
      <c r="I571">
        <f t="shared" ca="1" si="126"/>
        <v>0</v>
      </c>
      <c r="J571">
        <f t="shared" ca="1" si="136"/>
        <v>0</v>
      </c>
      <c r="K571">
        <f ca="1">IF(OR($C571="S",$C571=0),0,MATCH(OFFSET($D571,0,$C571)+IF($C571&lt;&gt;1,1,COUNTIF(QCI!$A$13:$A$24,ORÇAMENTO!E571)),OFFSET($D571,1,$C571,ROW($C$727)-ROW($C571)),0))</f>
        <v>0</v>
      </c>
      <c r="L571" s="116" t="str">
        <f t="shared" ca="1" si="127"/>
        <v/>
      </c>
      <c r="M571" s="117" t="s">
        <v>199</v>
      </c>
      <c r="N571" s="118" t="str">
        <f t="shared" ca="1" si="128"/>
        <v>Serviço</v>
      </c>
      <c r="O571" s="119" t="str">
        <f t="shared" ca="1" si="129"/>
        <v>-</v>
      </c>
      <c r="P571" s="120" t="s">
        <v>458</v>
      </c>
      <c r="Q571" s="121" t="s">
        <v>923</v>
      </c>
      <c r="R571" s="122" t="str">
        <f ca="1">IF($C571="S",REFERENCIA.Descricao,"(digite a descrição aqui)")</f>
        <v>(abra o arquivo 'Referência 06-2024.xlsm)</v>
      </c>
      <c r="S571" s="123" t="str">
        <f ca="1">REFERENCIA.Unidade</f>
        <v>-</v>
      </c>
      <c r="T571" s="124">
        <f ca="1">OFFSET(CÁLCULO!H$15,ROW($T571)-ROW(T$15),0)</f>
        <v>3</v>
      </c>
      <c r="U571" s="125">
        <f t="shared" ca="1" si="135"/>
        <v>0</v>
      </c>
      <c r="V571" s="126" t="s">
        <v>156</v>
      </c>
      <c r="W571" s="124">
        <f ca="1">IF($C571="S",ROUND(IF(TIPOORCAMENTO="Proposto",ORÇAMENTO.CustoUnitario*(1+$AH571),ORÇAMENTO.PrecoUnitarioLicitado),15-13*$AF$10),0)</f>
        <v>0</v>
      </c>
      <c r="X571" s="127">
        <f ca="1">IF($C571="S",IF(Import.TipoArredondamento&lt;&gt;"TransfereGOV",VTOTAL1,SUM(OFFSET(CÁLCULO!$AI$15,ROW($X571)-ROW($X$15),1):OFFSET(CÁLCULO!$BB$15,ROW($X571)-ROW($X$15),-1))),IF($C571=0,0,ROUND(SomaAgrup,15-13*$AF$11)))</f>
        <v>0</v>
      </c>
      <c r="Y571" s="128" t="s">
        <v>245</v>
      </c>
      <c r="Z571" t="str">
        <f t="shared" ca="1" si="130"/>
        <v/>
      </c>
      <c r="AA571" s="129">
        <f ca="1">IF($C571="S",IF($Z571="CP",$X571,IF($Z571="RA",(($X571)*QCI!$AA$3),0)),SomaAgrup)</f>
        <v>0</v>
      </c>
      <c r="AB571" s="130">
        <f t="shared" ca="1" si="138"/>
        <v>0</v>
      </c>
      <c r="AC571" s="131" t="str">
        <f ca="1">IF($N571="","",IF(ORÇAMENTO.Descricao="","DESCRIÇÃO",IF(AND($C571="S",ORÇAMENTO.Unidade=""),"UNIDADE",IF($X571&lt;0,"VALOR NEGATIVO",IF(OR(AND(TIPOORCAMENTO="Proposto",$AG571&lt;&gt;"",$AG571&gt;0,ORÇAMENTO.CustoUnitario&gt;$AG571),AND(TIPOORCAMENTO="LICITADO",ORÇAMENTO.PrecoUnitarioLicitado&gt;$AN571)),"ACIMA REF.","")))))</f>
        <v/>
      </c>
      <c r="AD571" t="str">
        <f ca="1">IF(C571&lt;=CRONO.NivelExibicao,MAX($AD$15:OFFSET(AD571,-1,0))+IF($C571&lt;&gt;1,1,MAX(1,COUNTIF(QCI!$A$13:$A$24,OFFSET($E571,-1,0)))),"")</f>
        <v/>
      </c>
      <c r="AE571" s="7" t="str">
        <f ca="1">IF(AND($C571="S",ORÇAMENTO.CodBarra&lt;&gt;""),IF(ORÇAMENTO.Fonte="",ORÇAMENTO.CodBarra,CONCATENATE(ORÇAMENTO.Fonte," ",ORÇAMENTO.CodBarra)))</f>
        <v>COMPOSIÇÃO FNDE 366</v>
      </c>
      <c r="AF571" s="13" t="str">
        <f ca="1">IF(ISERROR(INDIRECT(ORÇAMENTO.BancoRef)),"(abra o arquivo 'Referência "&amp;Excel_BuiltIn_Database&amp;".xlsm)",IF(OR($C571&lt;&gt;"S",ORÇAMENTO.CodBarra=""),"(Sem Código)",IF(ISERROR(MATCH($AE571,INDIRECT(ORÇAMENTO.BancoRef),0)),"(Código não identificado nas referências)",MATCH($AE571,INDIRECT(ORÇAMENTO.BancoRef),0))))</f>
        <v>(abra o arquivo 'Referência 06-2024.xlsm)</v>
      </c>
      <c r="AG571" s="498">
        <f ca="1">ROUND(IF(DESONERACAO="sim",REFERENCIA.Desonerado,REFERENCIA.NaoDesonerado),2)</f>
        <v>0</v>
      </c>
      <c r="AH571" s="499">
        <f t="shared" ca="1" si="139"/>
        <v>0.2432</v>
      </c>
      <c r="AJ571" s="501"/>
      <c r="AL571" s="527"/>
      <c r="AM571" s="381">
        <f t="shared" ca="1" si="133"/>
        <v>0</v>
      </c>
      <c r="AN571" s="566">
        <f t="shared" ca="1" si="140"/>
        <v>0</v>
      </c>
    </row>
    <row r="572" spans="1:40" ht="38.25" x14ac:dyDescent="0.2">
      <c r="A572" t="str">
        <f t="shared" si="137"/>
        <v>S</v>
      </c>
      <c r="B572">
        <f t="shared" ca="1" si="120"/>
        <v>2</v>
      </c>
      <c r="C572" t="str">
        <f t="shared" ca="1" si="121"/>
        <v>S</v>
      </c>
      <c r="D572">
        <f t="shared" ca="1" si="122"/>
        <v>0</v>
      </c>
      <c r="E572">
        <f ca="1">IF($C572=1,OFFSET(E572,-1,0)+MAX(1,COUNTIF(QCI!$A$13:$A$24,OFFSET(ORÇAMENTO!E572,-1,0))),OFFSET(E572,-1,0))</f>
        <v>1</v>
      </c>
      <c r="F572">
        <f t="shared" ca="1" si="123"/>
        <v>57</v>
      </c>
      <c r="G572">
        <f t="shared" ca="1" si="124"/>
        <v>0</v>
      </c>
      <c r="H572">
        <f t="shared" ca="1" si="125"/>
        <v>0</v>
      </c>
      <c r="I572">
        <f t="shared" ca="1" si="126"/>
        <v>0</v>
      </c>
      <c r="J572">
        <f t="shared" ca="1" si="136"/>
        <v>0</v>
      </c>
      <c r="K572">
        <f ca="1">IF(OR($C572="S",$C572=0),0,MATCH(OFFSET($D572,0,$C572)+IF($C572&lt;&gt;1,1,COUNTIF(QCI!$A$13:$A$24,ORÇAMENTO!E572)),OFFSET($D572,1,$C572,ROW($C$727)-ROW($C572)),0))</f>
        <v>0</v>
      </c>
      <c r="L572" s="116" t="str">
        <f t="shared" ca="1" si="127"/>
        <v/>
      </c>
      <c r="M572" s="117" t="s">
        <v>199</v>
      </c>
      <c r="N572" s="118" t="str">
        <f t="shared" ca="1" si="128"/>
        <v>Serviço</v>
      </c>
      <c r="O572" s="119" t="str">
        <f t="shared" ca="1" si="129"/>
        <v>-</v>
      </c>
      <c r="P572" s="120" t="s">
        <v>458</v>
      </c>
      <c r="Q572" s="121" t="s">
        <v>924</v>
      </c>
      <c r="R572" s="122" t="str">
        <f ca="1">IF($C572="S",REFERENCIA.Descricao,"(digite a descrição aqui)")</f>
        <v>(abra o arquivo 'Referência 06-2024.xlsm)</v>
      </c>
      <c r="S572" s="123" t="str">
        <f ca="1">REFERENCIA.Unidade</f>
        <v>-</v>
      </c>
      <c r="T572" s="124">
        <f ca="1">OFFSET(CÁLCULO!H$15,ROW($T572)-ROW(T$15),0)</f>
        <v>3</v>
      </c>
      <c r="U572" s="125">
        <f t="shared" ca="1" si="135"/>
        <v>0</v>
      </c>
      <c r="V572" s="126" t="s">
        <v>156</v>
      </c>
      <c r="W572" s="124">
        <f ca="1">IF($C572="S",ROUND(IF(TIPOORCAMENTO="Proposto",ORÇAMENTO.CustoUnitario*(1+$AH572),ORÇAMENTO.PrecoUnitarioLicitado),15-13*$AF$10),0)</f>
        <v>0</v>
      </c>
      <c r="X572" s="127">
        <f ca="1">IF($C572="S",IF(Import.TipoArredondamento&lt;&gt;"TransfereGOV",VTOTAL1,SUM(OFFSET(CÁLCULO!$AI$15,ROW($X572)-ROW($X$15),1):OFFSET(CÁLCULO!$BB$15,ROW($X572)-ROW($X$15),-1))),IF($C572=0,0,ROUND(SomaAgrup,15-13*$AF$11)))</f>
        <v>0</v>
      </c>
      <c r="Y572" s="128" t="s">
        <v>245</v>
      </c>
      <c r="Z572" t="str">
        <f t="shared" ca="1" si="130"/>
        <v/>
      </c>
      <c r="AA572" s="129">
        <f ca="1">IF($C572="S",IF($Z572="CP",$X572,IF($Z572="RA",(($X572)*QCI!$AA$3),0)),SomaAgrup)</f>
        <v>0</v>
      </c>
      <c r="AB572" s="130">
        <f t="shared" ca="1" si="138"/>
        <v>0</v>
      </c>
      <c r="AC572" s="131" t="str">
        <f ca="1">IF($N572="","",IF(ORÇAMENTO.Descricao="","DESCRIÇÃO",IF(AND($C572="S",ORÇAMENTO.Unidade=""),"UNIDADE",IF($X572&lt;0,"VALOR NEGATIVO",IF(OR(AND(TIPOORCAMENTO="Proposto",$AG572&lt;&gt;"",$AG572&gt;0,ORÇAMENTO.CustoUnitario&gt;$AG572),AND(TIPOORCAMENTO="LICITADO",ORÇAMENTO.PrecoUnitarioLicitado&gt;$AN572)),"ACIMA REF.","")))))</f>
        <v/>
      </c>
      <c r="AD572" t="str">
        <f ca="1">IF(C572&lt;=CRONO.NivelExibicao,MAX($AD$15:OFFSET(AD572,-1,0))+IF($C572&lt;&gt;1,1,MAX(1,COUNTIF(QCI!$A$13:$A$24,OFFSET($E572,-1,0)))),"")</f>
        <v/>
      </c>
      <c r="AE572" s="7" t="str">
        <f ca="1">IF(AND($C572="S",ORÇAMENTO.CodBarra&lt;&gt;""),IF(ORÇAMENTO.Fonte="",ORÇAMENTO.CodBarra,CONCATENATE(ORÇAMENTO.Fonte," ",ORÇAMENTO.CodBarra)))</f>
        <v>COMPOSIÇÃO FNDE 367</v>
      </c>
      <c r="AF572" s="13" t="str">
        <f ca="1">IF(ISERROR(INDIRECT(ORÇAMENTO.BancoRef)),"(abra o arquivo 'Referência "&amp;Excel_BuiltIn_Database&amp;".xlsm)",IF(OR($C572&lt;&gt;"S",ORÇAMENTO.CodBarra=""),"(Sem Código)",IF(ISERROR(MATCH($AE572,INDIRECT(ORÇAMENTO.BancoRef),0)),"(Código não identificado nas referências)",MATCH($AE572,INDIRECT(ORÇAMENTO.BancoRef),0))))</f>
        <v>(abra o arquivo 'Referência 06-2024.xlsm)</v>
      </c>
      <c r="AG572" s="498">
        <f ca="1">ROUND(IF(DESONERACAO="sim",REFERENCIA.Desonerado,REFERENCIA.NaoDesonerado),2)</f>
        <v>0</v>
      </c>
      <c r="AH572" s="499">
        <f t="shared" ca="1" si="139"/>
        <v>0.2432</v>
      </c>
      <c r="AJ572" s="501"/>
      <c r="AL572" s="527"/>
      <c r="AM572" s="381">
        <f t="shared" ca="1" si="133"/>
        <v>0</v>
      </c>
      <c r="AN572" s="566">
        <f t="shared" ca="1" si="140"/>
        <v>0</v>
      </c>
    </row>
    <row r="573" spans="1:40" x14ac:dyDescent="0.2">
      <c r="A573" t="str">
        <f t="shared" si="137"/>
        <v>S</v>
      </c>
      <c r="B573">
        <f t="shared" ca="1" si="120"/>
        <v>2</v>
      </c>
      <c r="C573" t="str">
        <f t="shared" ca="1" si="121"/>
        <v>S</v>
      </c>
      <c r="D573">
        <f t="shared" ca="1" si="122"/>
        <v>0</v>
      </c>
      <c r="E573">
        <f ca="1">IF($C573=1,OFFSET(E573,-1,0)+MAX(1,COUNTIF(QCI!$A$13:$A$24,OFFSET(ORÇAMENTO!E573,-1,0))),OFFSET(E573,-1,0))</f>
        <v>1</v>
      </c>
      <c r="F573">
        <f t="shared" ca="1" si="123"/>
        <v>57</v>
      </c>
      <c r="G573">
        <f t="shared" ca="1" si="124"/>
        <v>0</v>
      </c>
      <c r="H573">
        <f t="shared" ca="1" si="125"/>
        <v>0</v>
      </c>
      <c r="I573">
        <f t="shared" ca="1" si="126"/>
        <v>0</v>
      </c>
      <c r="J573">
        <f t="shared" ca="1" si="136"/>
        <v>0</v>
      </c>
      <c r="K573">
        <f ca="1">IF(OR($C573="S",$C573=0),0,MATCH(OFFSET($D573,0,$C573)+IF($C573&lt;&gt;1,1,COUNTIF(QCI!$A$13:$A$24,ORÇAMENTO!E573)),OFFSET($D573,1,$C573,ROW($C$727)-ROW($C573)),0))</f>
        <v>0</v>
      </c>
      <c r="L573" s="116" t="str">
        <f t="shared" ca="1" si="127"/>
        <v/>
      </c>
      <c r="M573" s="117" t="s">
        <v>199</v>
      </c>
      <c r="N573" s="118" t="str">
        <f t="shared" ca="1" si="128"/>
        <v>Serviço</v>
      </c>
      <c r="O573" s="119" t="str">
        <f t="shared" ca="1" si="129"/>
        <v>-</v>
      </c>
      <c r="P573" s="120" t="s">
        <v>458</v>
      </c>
      <c r="Q573" s="121" t="s">
        <v>925</v>
      </c>
      <c r="R573" s="122" t="str">
        <f ca="1">IF($C573="S",REFERENCIA.Descricao,"(digite a descrição aqui)")</f>
        <v>(abra o arquivo 'Referência 06-2024.xlsm)</v>
      </c>
      <c r="S573" s="123" t="str">
        <f ca="1">REFERENCIA.Unidade</f>
        <v>-</v>
      </c>
      <c r="T573" s="124">
        <f ca="1">OFFSET(CÁLCULO!H$15,ROW($T573)-ROW(T$15),0)</f>
        <v>1</v>
      </c>
      <c r="U573" s="125">
        <f t="shared" ca="1" si="135"/>
        <v>0</v>
      </c>
      <c r="V573" s="126" t="s">
        <v>156</v>
      </c>
      <c r="W573" s="124">
        <f ca="1">IF($C573="S",ROUND(IF(TIPOORCAMENTO="Proposto",ORÇAMENTO.CustoUnitario*(1+$AH573),ORÇAMENTO.PrecoUnitarioLicitado),15-13*$AF$10),0)</f>
        <v>0</v>
      </c>
      <c r="X573" s="127">
        <f ca="1">IF($C573="S",IF(Import.TipoArredondamento&lt;&gt;"TransfereGOV",VTOTAL1,SUM(OFFSET(CÁLCULO!$AI$15,ROW($X573)-ROW($X$15),1):OFFSET(CÁLCULO!$BB$15,ROW($X573)-ROW($X$15),-1))),IF($C573=0,0,ROUND(SomaAgrup,15-13*$AF$11)))</f>
        <v>0</v>
      </c>
      <c r="Y573" s="128" t="s">
        <v>245</v>
      </c>
      <c r="Z573" t="str">
        <f t="shared" ca="1" si="130"/>
        <v/>
      </c>
      <c r="AA573" s="129">
        <f ca="1">IF($C573="S",IF($Z573="CP",$X573,IF($Z573="RA",(($X573)*QCI!$AA$3),0)),SomaAgrup)</f>
        <v>0</v>
      </c>
      <c r="AB573" s="130">
        <f t="shared" ca="1" si="138"/>
        <v>0</v>
      </c>
      <c r="AC573" s="131" t="str">
        <f ca="1">IF($N573="","",IF(ORÇAMENTO.Descricao="","DESCRIÇÃO",IF(AND($C573="S",ORÇAMENTO.Unidade=""),"UNIDADE",IF($X573&lt;0,"VALOR NEGATIVO",IF(OR(AND(TIPOORCAMENTO="Proposto",$AG573&lt;&gt;"",$AG573&gt;0,ORÇAMENTO.CustoUnitario&gt;$AG573),AND(TIPOORCAMENTO="LICITADO",ORÇAMENTO.PrecoUnitarioLicitado&gt;$AN573)),"ACIMA REF.","")))))</f>
        <v/>
      </c>
      <c r="AD573" t="str">
        <f ca="1">IF(C573&lt;=CRONO.NivelExibicao,MAX($AD$15:OFFSET(AD573,-1,0))+IF($C573&lt;&gt;1,1,MAX(1,COUNTIF(QCI!$A$13:$A$24,OFFSET($E573,-1,0)))),"")</f>
        <v/>
      </c>
      <c r="AE573" s="7" t="str">
        <f ca="1">IF(AND($C573="S",ORÇAMENTO.CodBarra&lt;&gt;""),IF(ORÇAMENTO.Fonte="",ORÇAMENTO.CodBarra,CONCATENATE(ORÇAMENTO.Fonte," ",ORÇAMENTO.CodBarra)))</f>
        <v>COMPOSIÇÃO FNDE 369</v>
      </c>
      <c r="AF573" s="13" t="str">
        <f ca="1">IF(ISERROR(INDIRECT(ORÇAMENTO.BancoRef)),"(abra o arquivo 'Referência "&amp;Excel_BuiltIn_Database&amp;".xlsm)",IF(OR($C573&lt;&gt;"S",ORÇAMENTO.CodBarra=""),"(Sem Código)",IF(ISERROR(MATCH($AE573,INDIRECT(ORÇAMENTO.BancoRef),0)),"(Código não identificado nas referências)",MATCH($AE573,INDIRECT(ORÇAMENTO.BancoRef),0))))</f>
        <v>(abra o arquivo 'Referência 06-2024.xlsm)</v>
      </c>
      <c r="AG573" s="498">
        <f ca="1">ROUND(IF(DESONERACAO="sim",REFERENCIA.Desonerado,REFERENCIA.NaoDesonerado),2)</f>
        <v>0</v>
      </c>
      <c r="AH573" s="499">
        <f t="shared" ca="1" si="139"/>
        <v>0.2432</v>
      </c>
      <c r="AJ573" s="501"/>
      <c r="AL573" s="527"/>
      <c r="AM573" s="381">
        <f t="shared" ca="1" si="133"/>
        <v>0</v>
      </c>
      <c r="AN573" s="566">
        <f t="shared" ca="1" si="140"/>
        <v>0</v>
      </c>
    </row>
    <row r="574" spans="1:40" ht="25.5" x14ac:dyDescent="0.2">
      <c r="A574" t="str">
        <f t="shared" si="137"/>
        <v>S</v>
      </c>
      <c r="B574">
        <f t="shared" ca="1" si="120"/>
        <v>2</v>
      </c>
      <c r="C574" t="str">
        <f t="shared" ca="1" si="121"/>
        <v>S</v>
      </c>
      <c r="D574">
        <f t="shared" ca="1" si="122"/>
        <v>0</v>
      </c>
      <c r="E574">
        <f ca="1">IF($C574=1,OFFSET(E574,-1,0)+MAX(1,COUNTIF(QCI!$A$13:$A$24,OFFSET(ORÇAMENTO!E574,-1,0))),OFFSET(E574,-1,0))</f>
        <v>1</v>
      </c>
      <c r="F574">
        <f t="shared" ca="1" si="123"/>
        <v>57</v>
      </c>
      <c r="G574">
        <f t="shared" ca="1" si="124"/>
        <v>0</v>
      </c>
      <c r="H574">
        <f t="shared" ca="1" si="125"/>
        <v>0</v>
      </c>
      <c r="I574">
        <f t="shared" ca="1" si="126"/>
        <v>0</v>
      </c>
      <c r="J574">
        <f t="shared" ca="1" si="136"/>
        <v>0</v>
      </c>
      <c r="K574">
        <f ca="1">IF(OR($C574="S",$C574=0),0,MATCH(OFFSET($D574,0,$C574)+IF($C574&lt;&gt;1,1,COUNTIF(QCI!$A$13:$A$24,ORÇAMENTO!E574)),OFFSET($D574,1,$C574,ROW($C$727)-ROW($C574)),0))</f>
        <v>0</v>
      </c>
      <c r="L574" s="116" t="str">
        <f t="shared" ca="1" si="127"/>
        <v/>
      </c>
      <c r="M574" s="117" t="s">
        <v>199</v>
      </c>
      <c r="N574" s="118" t="str">
        <f t="shared" ca="1" si="128"/>
        <v>Serviço</v>
      </c>
      <c r="O574" s="119" t="str">
        <f t="shared" ca="1" si="129"/>
        <v>-</v>
      </c>
      <c r="P574" s="120" t="s">
        <v>885</v>
      </c>
      <c r="Q574" s="121" t="s">
        <v>930</v>
      </c>
      <c r="R574" s="122" t="str">
        <f ca="1">IF($C574="S",REFERENCIA.Descricao,"(digite a descrição aqui)")</f>
        <v>(abra o arquivo 'Referência 06-2024.xlsm)</v>
      </c>
      <c r="S574" s="123" t="str">
        <f ca="1">REFERENCIA.Unidade</f>
        <v>-</v>
      </c>
      <c r="T574" s="124">
        <f ca="1">OFFSET(CÁLCULO!H$15,ROW($T574)-ROW(T$15),0)</f>
        <v>1</v>
      </c>
      <c r="U574" s="125">
        <f t="shared" ca="1" si="135"/>
        <v>0</v>
      </c>
      <c r="V574" s="126" t="s">
        <v>156</v>
      </c>
      <c r="W574" s="124">
        <f ca="1">IF($C574="S",ROUND(IF(TIPOORCAMENTO="Proposto",ORÇAMENTO.CustoUnitario*(1+$AH574),ORÇAMENTO.PrecoUnitarioLicitado),15-13*$AF$10),0)</f>
        <v>0</v>
      </c>
      <c r="X574" s="127">
        <f ca="1">IF($C574="S",IF(Import.TipoArredondamento&lt;&gt;"TransfereGOV",VTOTAL1,SUM(OFFSET(CÁLCULO!$AI$15,ROW($X574)-ROW($X$15),1):OFFSET(CÁLCULO!$BB$15,ROW($X574)-ROW($X$15),-1))),IF($C574=0,0,ROUND(SomaAgrup,15-13*$AF$11)))</f>
        <v>0</v>
      </c>
      <c r="Y574" s="128" t="s">
        <v>245</v>
      </c>
      <c r="Z574" t="str">
        <f t="shared" ca="1" si="130"/>
        <v/>
      </c>
      <c r="AA574" s="129">
        <f ca="1">IF($C574="S",IF($Z574="CP",$X574,IF($Z574="RA",(($X574)*QCI!$AA$3),0)),SomaAgrup)</f>
        <v>0</v>
      </c>
      <c r="AB574" s="130">
        <f t="shared" ca="1" si="138"/>
        <v>0</v>
      </c>
      <c r="AC574" s="131" t="str">
        <f ca="1">IF($N574="","",IF(ORÇAMENTO.Descricao="","DESCRIÇÃO",IF(AND($C574="S",ORÇAMENTO.Unidade=""),"UNIDADE",IF($X574&lt;0,"VALOR NEGATIVO",IF(OR(AND(TIPOORCAMENTO="Proposto",$AG574&lt;&gt;"",$AG574&gt;0,ORÇAMENTO.CustoUnitario&gt;$AG574),AND(TIPOORCAMENTO="LICITADO",ORÇAMENTO.PrecoUnitarioLicitado&gt;$AN574)),"ACIMA REF.","")))))</f>
        <v/>
      </c>
      <c r="AD574" t="str">
        <f ca="1">IF(C574&lt;=CRONO.NivelExibicao,MAX($AD$15:OFFSET(AD574,-1,0))+IF($C574&lt;&gt;1,1,MAX(1,COUNTIF(QCI!$A$13:$A$24,OFFSET($E574,-1,0)))),"")</f>
        <v/>
      </c>
      <c r="AE574" s="7" t="str">
        <f ca="1">IF(AND($C574="S",ORÇAMENTO.CodBarra&lt;&gt;""),IF(ORÇAMENTO.Fonte="",ORÇAMENTO.CodBarra,CONCATENATE(ORÇAMENTO.Fonte," ",ORÇAMENTO.CodBarra)))</f>
        <v>SINAPI-I 2662</v>
      </c>
      <c r="AF574" s="13" t="str">
        <f ca="1">IF(ISERROR(INDIRECT(ORÇAMENTO.BancoRef)),"(abra o arquivo 'Referência "&amp;Excel_BuiltIn_Database&amp;".xlsm)",IF(OR($C574&lt;&gt;"S",ORÇAMENTO.CodBarra=""),"(Sem Código)",IF(ISERROR(MATCH($AE574,INDIRECT(ORÇAMENTO.BancoRef),0)),"(Código não identificado nas referências)",MATCH($AE574,INDIRECT(ORÇAMENTO.BancoRef),0))))</f>
        <v>(abra o arquivo 'Referência 06-2024.xlsm)</v>
      </c>
      <c r="AG574" s="498">
        <f ca="1">ROUND(IF(DESONERACAO="sim",REFERENCIA.Desonerado,REFERENCIA.NaoDesonerado),2)</f>
        <v>0</v>
      </c>
      <c r="AH574" s="499">
        <f t="shared" ca="1" si="139"/>
        <v>0.2432</v>
      </c>
      <c r="AJ574" s="501"/>
      <c r="AL574" s="527"/>
      <c r="AM574" s="381">
        <f t="shared" ca="1" si="133"/>
        <v>0</v>
      </c>
      <c r="AN574" s="566">
        <f t="shared" ca="1" si="140"/>
        <v>0</v>
      </c>
    </row>
    <row r="575" spans="1:40" ht="25.5" x14ac:dyDescent="0.2">
      <c r="A575" t="str">
        <f t="shared" si="137"/>
        <v>S</v>
      </c>
      <c r="B575">
        <f t="shared" ca="1" si="120"/>
        <v>2</v>
      </c>
      <c r="C575" t="str">
        <f t="shared" ca="1" si="121"/>
        <v>S</v>
      </c>
      <c r="D575">
        <f t="shared" ca="1" si="122"/>
        <v>0</v>
      </c>
      <c r="E575">
        <f ca="1">IF($C575=1,OFFSET(E575,-1,0)+MAX(1,COUNTIF(QCI!$A$13:$A$24,OFFSET(ORÇAMENTO!E575,-1,0))),OFFSET(E575,-1,0))</f>
        <v>1</v>
      </c>
      <c r="F575">
        <f t="shared" ca="1" si="123"/>
        <v>57</v>
      </c>
      <c r="G575">
        <f t="shared" ca="1" si="124"/>
        <v>0</v>
      </c>
      <c r="H575">
        <f t="shared" ca="1" si="125"/>
        <v>0</v>
      </c>
      <c r="I575">
        <f t="shared" ca="1" si="126"/>
        <v>0</v>
      </c>
      <c r="J575">
        <f t="shared" ca="1" si="136"/>
        <v>0</v>
      </c>
      <c r="K575">
        <f ca="1">IF(OR($C575="S",$C575=0),0,MATCH(OFFSET($D575,0,$C575)+IF($C575&lt;&gt;1,1,COUNTIF(QCI!$A$13:$A$24,ORÇAMENTO!E575)),OFFSET($D575,1,$C575,ROW($C$727)-ROW($C575)),0))</f>
        <v>0</v>
      </c>
      <c r="L575" s="116" t="str">
        <f t="shared" ca="1" si="127"/>
        <v/>
      </c>
      <c r="M575" s="117" t="s">
        <v>199</v>
      </c>
      <c r="N575" s="118" t="str">
        <f t="shared" ca="1" si="128"/>
        <v>Serviço</v>
      </c>
      <c r="O575" s="119" t="str">
        <f t="shared" ca="1" si="129"/>
        <v>-</v>
      </c>
      <c r="P575" s="120" t="s">
        <v>885</v>
      </c>
      <c r="Q575" s="121" t="s">
        <v>931</v>
      </c>
      <c r="R575" s="122" t="str">
        <f ca="1">IF($C575="S",REFERENCIA.Descricao,"(digite a descrição aqui)")</f>
        <v>(abra o arquivo 'Referência 06-2024.xlsm)</v>
      </c>
      <c r="S575" s="123" t="str">
        <f ca="1">REFERENCIA.Unidade</f>
        <v>-</v>
      </c>
      <c r="T575" s="124">
        <f ca="1">OFFSET(CÁLCULO!H$15,ROW($T575)-ROW(T$15),0)</f>
        <v>7</v>
      </c>
      <c r="U575" s="125">
        <f t="shared" ref="U575:U629" ca="1" si="141">AG575</f>
        <v>0</v>
      </c>
      <c r="V575" s="126" t="s">
        <v>156</v>
      </c>
      <c r="W575" s="124">
        <f ca="1">IF($C575="S",ROUND(IF(TIPOORCAMENTO="Proposto",ORÇAMENTO.CustoUnitario*(1+$AH575),ORÇAMENTO.PrecoUnitarioLicitado),15-13*$AF$10),0)</f>
        <v>0</v>
      </c>
      <c r="X575" s="127">
        <f ca="1">IF($C575="S",IF(Import.TipoArredondamento&lt;&gt;"TransfereGOV",VTOTAL1,SUM(OFFSET(CÁLCULO!$AI$15,ROW($X575)-ROW($X$15),1):OFFSET(CÁLCULO!$BB$15,ROW($X575)-ROW($X$15),-1))),IF($C575=0,0,ROUND(SomaAgrup,15-13*$AF$11)))</f>
        <v>0</v>
      </c>
      <c r="Y575" s="128" t="s">
        <v>245</v>
      </c>
      <c r="Z575" t="str">
        <f t="shared" ca="1" si="130"/>
        <v/>
      </c>
      <c r="AA575" s="129">
        <f ca="1">IF($C575="S",IF($Z575="CP",$X575,IF($Z575="RA",(($X575)*QCI!$AA$3),0)),SomaAgrup)</f>
        <v>0</v>
      </c>
      <c r="AB575" s="130">
        <f t="shared" ca="1" si="138"/>
        <v>0</v>
      </c>
      <c r="AC575" s="131" t="str">
        <f ca="1">IF($N575="","",IF(ORÇAMENTO.Descricao="","DESCRIÇÃO",IF(AND($C575="S",ORÇAMENTO.Unidade=""),"UNIDADE",IF($X575&lt;0,"VALOR NEGATIVO",IF(OR(AND(TIPOORCAMENTO="Proposto",$AG575&lt;&gt;"",$AG575&gt;0,ORÇAMENTO.CustoUnitario&gt;$AG575),AND(TIPOORCAMENTO="LICITADO",ORÇAMENTO.PrecoUnitarioLicitado&gt;$AN575)),"ACIMA REF.","")))))</f>
        <v/>
      </c>
      <c r="AD575" t="str">
        <f ca="1">IF(C575&lt;=CRONO.NivelExibicao,MAX($AD$15:OFFSET(AD575,-1,0))+IF($C575&lt;&gt;1,1,MAX(1,COUNTIF(QCI!$A$13:$A$24,OFFSET($E575,-1,0)))),"")</f>
        <v/>
      </c>
      <c r="AE575" s="7" t="str">
        <f ca="1">IF(AND($C575="S",ORÇAMENTO.CodBarra&lt;&gt;""),IF(ORÇAMENTO.Fonte="",ORÇAMENTO.CodBarra,CONCATENATE(ORÇAMENTO.Fonte," ",ORÇAMENTO.CodBarra)))</f>
        <v>SINAPI-I 2668</v>
      </c>
      <c r="AF575" s="13" t="str">
        <f ca="1">IF(ISERROR(INDIRECT(ORÇAMENTO.BancoRef)),"(abra o arquivo 'Referência "&amp;Excel_BuiltIn_Database&amp;".xlsm)",IF(OR($C575&lt;&gt;"S",ORÇAMENTO.CodBarra=""),"(Sem Código)",IF(ISERROR(MATCH($AE575,INDIRECT(ORÇAMENTO.BancoRef),0)),"(Código não identificado nas referências)",MATCH($AE575,INDIRECT(ORÇAMENTO.BancoRef),0))))</f>
        <v>(abra o arquivo 'Referência 06-2024.xlsm)</v>
      </c>
      <c r="AG575" s="498">
        <f ca="1">ROUND(IF(DESONERACAO="sim",REFERENCIA.Desonerado,REFERENCIA.NaoDesonerado),2)</f>
        <v>0</v>
      </c>
      <c r="AH575" s="499">
        <f t="shared" ca="1" si="139"/>
        <v>0.2432</v>
      </c>
      <c r="AJ575" s="501"/>
      <c r="AL575" s="527"/>
      <c r="AM575" s="381">
        <f t="shared" ca="1" si="133"/>
        <v>0</v>
      </c>
      <c r="AN575" s="566">
        <f t="shared" ca="1" si="140"/>
        <v>0</v>
      </c>
    </row>
    <row r="576" spans="1:40" ht="38.25" x14ac:dyDescent="0.2">
      <c r="A576" t="str">
        <f t="shared" si="137"/>
        <v>S</v>
      </c>
      <c r="B576">
        <f t="shared" ca="1" si="120"/>
        <v>2</v>
      </c>
      <c r="C576" t="str">
        <f t="shared" ca="1" si="121"/>
        <v>S</v>
      </c>
      <c r="D576">
        <f t="shared" ca="1" si="122"/>
        <v>0</v>
      </c>
      <c r="E576">
        <f ca="1">IF($C576=1,OFFSET(E576,-1,0)+MAX(1,COUNTIF(QCI!$A$13:$A$24,OFFSET(ORÇAMENTO!E576,-1,0))),OFFSET(E576,-1,0))</f>
        <v>1</v>
      </c>
      <c r="F576">
        <f t="shared" ca="1" si="123"/>
        <v>57</v>
      </c>
      <c r="G576">
        <f t="shared" ca="1" si="124"/>
        <v>0</v>
      </c>
      <c r="H576">
        <f t="shared" ca="1" si="125"/>
        <v>0</v>
      </c>
      <c r="I576">
        <f t="shared" ca="1" si="126"/>
        <v>0</v>
      </c>
      <c r="J576">
        <f t="shared" ca="1" si="136"/>
        <v>0</v>
      </c>
      <c r="K576">
        <f ca="1">IF(OR($C576="S",$C576=0),0,MATCH(OFFSET($D576,0,$C576)+IF($C576&lt;&gt;1,1,COUNTIF(QCI!$A$13:$A$24,ORÇAMENTO!E576)),OFFSET($D576,1,$C576,ROW($C$727)-ROW($C576)),0))</f>
        <v>0</v>
      </c>
      <c r="L576" s="116" t="str">
        <f t="shared" ca="1" si="127"/>
        <v/>
      </c>
      <c r="M576" s="117" t="s">
        <v>199</v>
      </c>
      <c r="N576" s="118" t="str">
        <f t="shared" ca="1" si="128"/>
        <v>Serviço</v>
      </c>
      <c r="O576" s="119" t="str">
        <f t="shared" ca="1" si="129"/>
        <v>-</v>
      </c>
      <c r="P576" s="120" t="s">
        <v>458</v>
      </c>
      <c r="Q576" s="121" t="s">
        <v>926</v>
      </c>
      <c r="R576" s="122" t="str">
        <f ca="1">IF($C576="S",REFERENCIA.Descricao,"(digite a descrição aqui)")</f>
        <v>(abra o arquivo 'Referência 06-2024.xlsm)</v>
      </c>
      <c r="S576" s="123" t="str">
        <f ca="1">REFERENCIA.Unidade</f>
        <v>-</v>
      </c>
      <c r="T576" s="124">
        <f ca="1">OFFSET(CÁLCULO!H$15,ROW($T576)-ROW(T$15),0)</f>
        <v>6</v>
      </c>
      <c r="U576" s="125">
        <f t="shared" ca="1" si="141"/>
        <v>0</v>
      </c>
      <c r="V576" s="126" t="s">
        <v>156</v>
      </c>
      <c r="W576" s="124">
        <f ca="1">IF($C576="S",ROUND(IF(TIPOORCAMENTO="Proposto",ORÇAMENTO.CustoUnitario*(1+$AH576),ORÇAMENTO.PrecoUnitarioLicitado),15-13*$AF$10),0)</f>
        <v>0</v>
      </c>
      <c r="X576" s="127">
        <f ca="1">IF($C576="S",IF(Import.TipoArredondamento&lt;&gt;"TransfereGOV",VTOTAL1,SUM(OFFSET(CÁLCULO!$AI$15,ROW($X576)-ROW($X$15),1):OFFSET(CÁLCULO!$BB$15,ROW($X576)-ROW($X$15),-1))),IF($C576=0,0,ROUND(SomaAgrup,15-13*$AF$11)))</f>
        <v>0</v>
      </c>
      <c r="Y576" s="128" t="s">
        <v>245</v>
      </c>
      <c r="Z576" t="str">
        <f t="shared" ca="1" si="130"/>
        <v/>
      </c>
      <c r="AA576" s="129">
        <f ca="1">IF($C576="S",IF($Z576="CP",$X576,IF($Z576="RA",(($X576)*QCI!$AA$3),0)),SomaAgrup)</f>
        <v>0</v>
      </c>
      <c r="AB576" s="130">
        <f t="shared" ca="1" si="138"/>
        <v>0</v>
      </c>
      <c r="AC576" s="131" t="str">
        <f ca="1">IF($N576="","",IF(ORÇAMENTO.Descricao="","DESCRIÇÃO",IF(AND($C576="S",ORÇAMENTO.Unidade=""),"UNIDADE",IF($X576&lt;0,"VALOR NEGATIVO",IF(OR(AND(TIPOORCAMENTO="Proposto",$AG576&lt;&gt;"",$AG576&gt;0,ORÇAMENTO.CustoUnitario&gt;$AG576),AND(TIPOORCAMENTO="LICITADO",ORÇAMENTO.PrecoUnitarioLicitado&gt;$AN576)),"ACIMA REF.","")))))</f>
        <v/>
      </c>
      <c r="AD576" t="str">
        <f ca="1">IF(C576&lt;=CRONO.NivelExibicao,MAX($AD$15:OFFSET(AD576,-1,0))+IF($C576&lt;&gt;1,1,MAX(1,COUNTIF(QCI!$A$13:$A$24,OFFSET($E576,-1,0)))),"")</f>
        <v/>
      </c>
      <c r="AE576" s="7" t="str">
        <f ca="1">IF(AND($C576="S",ORÇAMENTO.CodBarra&lt;&gt;""),IF(ORÇAMENTO.Fonte="",ORÇAMENTO.CodBarra,CONCATENATE(ORÇAMENTO.Fonte," ",ORÇAMENTO.CodBarra)))</f>
        <v>COMPOSIÇÃO FNDE 116</v>
      </c>
      <c r="AF576" s="13" t="str">
        <f ca="1">IF(ISERROR(INDIRECT(ORÇAMENTO.BancoRef)),"(abra o arquivo 'Referência "&amp;Excel_BuiltIn_Database&amp;".xlsm)",IF(OR($C576&lt;&gt;"S",ORÇAMENTO.CodBarra=""),"(Sem Código)",IF(ISERROR(MATCH($AE576,INDIRECT(ORÇAMENTO.BancoRef),0)),"(Código não identificado nas referências)",MATCH($AE576,INDIRECT(ORÇAMENTO.BancoRef),0))))</f>
        <v>(abra o arquivo 'Referência 06-2024.xlsm)</v>
      </c>
      <c r="AG576" s="498">
        <f ca="1">ROUND(IF(DESONERACAO="sim",REFERENCIA.Desonerado,REFERENCIA.NaoDesonerado),2)</f>
        <v>0</v>
      </c>
      <c r="AH576" s="499">
        <f t="shared" ca="1" si="139"/>
        <v>0.2432</v>
      </c>
      <c r="AJ576" s="501"/>
      <c r="AL576" s="527"/>
      <c r="AM576" s="381">
        <f t="shared" ca="1" si="133"/>
        <v>0</v>
      </c>
      <c r="AN576" s="566">
        <f t="shared" ca="1" si="140"/>
        <v>0</v>
      </c>
    </row>
    <row r="577" spans="1:40" x14ac:dyDescent="0.2">
      <c r="A577" t="str">
        <f t="shared" si="137"/>
        <v>S</v>
      </c>
      <c r="B577">
        <f t="shared" ca="1" si="120"/>
        <v>2</v>
      </c>
      <c r="C577" t="str">
        <f t="shared" ca="1" si="121"/>
        <v>S</v>
      </c>
      <c r="D577">
        <f t="shared" ca="1" si="122"/>
        <v>0</v>
      </c>
      <c r="E577">
        <f ca="1">IF($C577=1,OFFSET(E577,-1,0)+MAX(1,COUNTIF(QCI!$A$13:$A$24,OFFSET(ORÇAMENTO!E577,-1,0))),OFFSET(E577,-1,0))</f>
        <v>1</v>
      </c>
      <c r="F577">
        <f t="shared" ca="1" si="123"/>
        <v>57</v>
      </c>
      <c r="G577">
        <f t="shared" ca="1" si="124"/>
        <v>0</v>
      </c>
      <c r="H577">
        <f t="shared" ca="1" si="125"/>
        <v>0</v>
      </c>
      <c r="I577">
        <f t="shared" ca="1" si="126"/>
        <v>0</v>
      </c>
      <c r="J577">
        <f t="shared" ca="1" si="136"/>
        <v>0</v>
      </c>
      <c r="K577">
        <f ca="1">IF(OR($C577="S",$C577=0),0,MATCH(OFFSET($D577,0,$C577)+IF($C577&lt;&gt;1,1,COUNTIF(QCI!$A$13:$A$24,ORÇAMENTO!E577)),OFFSET($D577,1,$C577,ROW($C$727)-ROW($C577)),0))</f>
        <v>0</v>
      </c>
      <c r="L577" s="116" t="str">
        <f t="shared" ca="1" si="127"/>
        <v/>
      </c>
      <c r="M577" s="117" t="s">
        <v>199</v>
      </c>
      <c r="N577" s="118" t="str">
        <f t="shared" ca="1" si="128"/>
        <v>Serviço</v>
      </c>
      <c r="O577" s="119" t="str">
        <f t="shared" ca="1" si="129"/>
        <v>-</v>
      </c>
      <c r="P577" s="120" t="s">
        <v>458</v>
      </c>
      <c r="Q577" s="121" t="s">
        <v>927</v>
      </c>
      <c r="R577" s="122" t="str">
        <f ca="1">IF($C577="S",REFERENCIA.Descricao,"(digite a descrição aqui)")</f>
        <v>(abra o arquivo 'Referência 06-2024.xlsm)</v>
      </c>
      <c r="S577" s="123" t="str">
        <f ca="1">REFERENCIA.Unidade</f>
        <v>-</v>
      </c>
      <c r="T577" s="124">
        <f ca="1">OFFSET(CÁLCULO!H$15,ROW($T577)-ROW(T$15),0)</f>
        <v>3</v>
      </c>
      <c r="U577" s="125">
        <f t="shared" ca="1" si="141"/>
        <v>0</v>
      </c>
      <c r="V577" s="126" t="s">
        <v>156</v>
      </c>
      <c r="W577" s="124">
        <f ca="1">IF($C577="S",ROUND(IF(TIPOORCAMENTO="Proposto",ORÇAMENTO.CustoUnitario*(1+$AH577),ORÇAMENTO.PrecoUnitarioLicitado),15-13*$AF$10),0)</f>
        <v>0</v>
      </c>
      <c r="X577" s="127">
        <f ca="1">IF($C577="S",IF(Import.TipoArredondamento&lt;&gt;"TransfereGOV",VTOTAL1,SUM(OFFSET(CÁLCULO!$AI$15,ROW($X577)-ROW($X$15),1):OFFSET(CÁLCULO!$BB$15,ROW($X577)-ROW($X$15),-1))),IF($C577=0,0,ROUND(SomaAgrup,15-13*$AF$11)))</f>
        <v>0</v>
      </c>
      <c r="Y577" s="128" t="s">
        <v>245</v>
      </c>
      <c r="Z577" t="str">
        <f t="shared" ca="1" si="130"/>
        <v/>
      </c>
      <c r="AA577" s="129">
        <f ca="1">IF($C577="S",IF($Z577="CP",$X577,IF($Z577="RA",(($X577)*QCI!$AA$3),0)),SomaAgrup)</f>
        <v>0</v>
      </c>
      <c r="AB577" s="130">
        <f t="shared" ca="1" si="138"/>
        <v>0</v>
      </c>
      <c r="AC577" s="131" t="str">
        <f ca="1">IF($N577="","",IF(ORÇAMENTO.Descricao="","DESCRIÇÃO",IF(AND($C577="S",ORÇAMENTO.Unidade=""),"UNIDADE",IF($X577&lt;0,"VALOR NEGATIVO",IF(OR(AND(TIPOORCAMENTO="Proposto",$AG577&lt;&gt;"",$AG577&gt;0,ORÇAMENTO.CustoUnitario&gt;$AG577),AND(TIPOORCAMENTO="LICITADO",ORÇAMENTO.PrecoUnitarioLicitado&gt;$AN577)),"ACIMA REF.","")))))</f>
        <v/>
      </c>
      <c r="AD577" t="str">
        <f ca="1">IF(C577&lt;=CRONO.NivelExibicao,MAX($AD$15:OFFSET(AD577,-1,0))+IF($C577&lt;&gt;1,1,MAX(1,COUNTIF(QCI!$A$13:$A$24,OFFSET($E577,-1,0)))),"")</f>
        <v/>
      </c>
      <c r="AE577" s="7" t="str">
        <f ca="1">IF(AND($C577="S",ORÇAMENTO.CodBarra&lt;&gt;""),IF(ORÇAMENTO.Fonte="",ORÇAMENTO.CodBarra,CONCATENATE(ORÇAMENTO.Fonte," ",ORÇAMENTO.CodBarra)))</f>
        <v>COMPOSIÇÃO FNDE 371</v>
      </c>
      <c r="AF577" s="13" t="str">
        <f ca="1">IF(ISERROR(INDIRECT(ORÇAMENTO.BancoRef)),"(abra o arquivo 'Referência "&amp;Excel_BuiltIn_Database&amp;".xlsm)",IF(OR($C577&lt;&gt;"S",ORÇAMENTO.CodBarra=""),"(Sem Código)",IF(ISERROR(MATCH($AE577,INDIRECT(ORÇAMENTO.BancoRef),0)),"(Código não identificado nas referências)",MATCH($AE577,INDIRECT(ORÇAMENTO.BancoRef),0))))</f>
        <v>(abra o arquivo 'Referência 06-2024.xlsm)</v>
      </c>
      <c r="AG577" s="498">
        <f ca="1">ROUND(IF(DESONERACAO="sim",REFERENCIA.Desonerado,REFERENCIA.NaoDesonerado),2)</f>
        <v>0</v>
      </c>
      <c r="AH577" s="499">
        <f t="shared" ca="1" si="139"/>
        <v>0.2432</v>
      </c>
      <c r="AJ577" s="501"/>
      <c r="AL577" s="527"/>
      <c r="AM577" s="381">
        <f t="shared" ca="1" si="133"/>
        <v>0</v>
      </c>
      <c r="AN577" s="566">
        <f t="shared" ca="1" si="140"/>
        <v>0</v>
      </c>
    </row>
    <row r="578" spans="1:40" x14ac:dyDescent="0.2">
      <c r="A578" t="str">
        <f t="shared" si="137"/>
        <v>S</v>
      </c>
      <c r="B578">
        <f t="shared" ca="1" si="120"/>
        <v>2</v>
      </c>
      <c r="C578" t="str">
        <f t="shared" ca="1" si="121"/>
        <v>S</v>
      </c>
      <c r="D578">
        <f t="shared" ca="1" si="122"/>
        <v>0</v>
      </c>
      <c r="E578">
        <f ca="1">IF($C578=1,OFFSET(E578,-1,0)+MAX(1,COUNTIF(QCI!$A$13:$A$24,OFFSET(ORÇAMENTO!E578,-1,0))),OFFSET(E578,-1,0))</f>
        <v>1</v>
      </c>
      <c r="F578">
        <f t="shared" ca="1" si="123"/>
        <v>57</v>
      </c>
      <c r="G578">
        <f t="shared" ca="1" si="124"/>
        <v>0</v>
      </c>
      <c r="H578">
        <f t="shared" ca="1" si="125"/>
        <v>0</v>
      </c>
      <c r="I578">
        <f t="shared" ca="1" si="126"/>
        <v>0</v>
      </c>
      <c r="J578">
        <f t="shared" ca="1" si="136"/>
        <v>0</v>
      </c>
      <c r="K578">
        <f ca="1">IF(OR($C578="S",$C578=0),0,MATCH(OFFSET($D578,0,$C578)+IF($C578&lt;&gt;1,1,COUNTIF(QCI!$A$13:$A$24,ORÇAMENTO!E578)),OFFSET($D578,1,$C578,ROW($C$727)-ROW($C578)),0))</f>
        <v>0</v>
      </c>
      <c r="L578" s="116" t="str">
        <f t="shared" ca="1" si="127"/>
        <v/>
      </c>
      <c r="M578" s="117" t="s">
        <v>199</v>
      </c>
      <c r="N578" s="118" t="str">
        <f t="shared" ca="1" si="128"/>
        <v>Serviço</v>
      </c>
      <c r="O578" s="119" t="str">
        <f t="shared" ca="1" si="129"/>
        <v>-</v>
      </c>
      <c r="P578" s="120" t="s">
        <v>458</v>
      </c>
      <c r="Q578" s="121" t="s">
        <v>928</v>
      </c>
      <c r="R578" s="122" t="str">
        <f ca="1">IF($C578="S",REFERENCIA.Descricao,"(digite a descrição aqui)")</f>
        <v>(abra o arquivo 'Referência 06-2024.xlsm)</v>
      </c>
      <c r="S578" s="123" t="str">
        <f ca="1">REFERENCIA.Unidade</f>
        <v>-</v>
      </c>
      <c r="T578" s="124">
        <f ca="1">OFFSET(CÁLCULO!H$15,ROW($T578)-ROW(T$15),0)</f>
        <v>1</v>
      </c>
      <c r="U578" s="125">
        <f t="shared" ca="1" si="141"/>
        <v>0</v>
      </c>
      <c r="V578" s="126" t="s">
        <v>156</v>
      </c>
      <c r="W578" s="124">
        <f ca="1">IF($C578="S",ROUND(IF(TIPOORCAMENTO="Proposto",ORÇAMENTO.CustoUnitario*(1+$AH578),ORÇAMENTO.PrecoUnitarioLicitado),15-13*$AF$10),0)</f>
        <v>0</v>
      </c>
      <c r="X578" s="127">
        <f ca="1">IF($C578="S",IF(Import.TipoArredondamento&lt;&gt;"TransfereGOV",VTOTAL1,SUM(OFFSET(CÁLCULO!$AI$15,ROW($X578)-ROW($X$15),1):OFFSET(CÁLCULO!$BB$15,ROW($X578)-ROW($X$15),-1))),IF($C578=0,0,ROUND(SomaAgrup,15-13*$AF$11)))</f>
        <v>0</v>
      </c>
      <c r="Y578" s="128" t="s">
        <v>245</v>
      </c>
      <c r="Z578" t="str">
        <f t="shared" ca="1" si="130"/>
        <v/>
      </c>
      <c r="AA578" s="129">
        <f ca="1">IF($C578="S",IF($Z578="CP",$X578,IF($Z578="RA",(($X578)*QCI!$AA$3),0)),SomaAgrup)</f>
        <v>0</v>
      </c>
      <c r="AB578" s="130">
        <f t="shared" ca="1" si="138"/>
        <v>0</v>
      </c>
      <c r="AC578" s="131" t="str">
        <f ca="1">IF($N578="","",IF(ORÇAMENTO.Descricao="","DESCRIÇÃO",IF(AND($C578="S",ORÇAMENTO.Unidade=""),"UNIDADE",IF($X578&lt;0,"VALOR NEGATIVO",IF(OR(AND(TIPOORCAMENTO="Proposto",$AG578&lt;&gt;"",$AG578&gt;0,ORÇAMENTO.CustoUnitario&gt;$AG578),AND(TIPOORCAMENTO="LICITADO",ORÇAMENTO.PrecoUnitarioLicitado&gt;$AN578)),"ACIMA REF.","")))))</f>
        <v/>
      </c>
      <c r="AD578" t="str">
        <f ca="1">IF(C578&lt;=CRONO.NivelExibicao,MAX($AD$15:OFFSET(AD578,-1,0))+IF($C578&lt;&gt;1,1,MAX(1,COUNTIF(QCI!$A$13:$A$24,OFFSET($E578,-1,0)))),"")</f>
        <v/>
      </c>
      <c r="AE578" s="7" t="str">
        <f ca="1">IF(AND($C578="S",ORÇAMENTO.CodBarra&lt;&gt;""),IF(ORÇAMENTO.Fonte="",ORÇAMENTO.CodBarra,CONCATENATE(ORÇAMENTO.Fonte," ",ORÇAMENTO.CodBarra)))</f>
        <v>COMPOSIÇÃO FNDE 370</v>
      </c>
      <c r="AF578" s="13" t="str">
        <f ca="1">IF(ISERROR(INDIRECT(ORÇAMENTO.BancoRef)),"(abra o arquivo 'Referência "&amp;Excel_BuiltIn_Database&amp;".xlsm)",IF(OR($C578&lt;&gt;"S",ORÇAMENTO.CodBarra=""),"(Sem Código)",IF(ISERROR(MATCH($AE578,INDIRECT(ORÇAMENTO.BancoRef),0)),"(Código não identificado nas referências)",MATCH($AE578,INDIRECT(ORÇAMENTO.BancoRef),0))))</f>
        <v>(abra o arquivo 'Referência 06-2024.xlsm)</v>
      </c>
      <c r="AG578" s="498">
        <f ca="1">ROUND(IF(DESONERACAO="sim",REFERENCIA.Desonerado,REFERENCIA.NaoDesonerado),2)</f>
        <v>0</v>
      </c>
      <c r="AH578" s="499">
        <f t="shared" ca="1" si="139"/>
        <v>0.2432</v>
      </c>
      <c r="AJ578" s="501"/>
      <c r="AL578" s="527"/>
      <c r="AM578" s="381">
        <f t="shared" ca="1" si="133"/>
        <v>0</v>
      </c>
      <c r="AN578" s="566">
        <f t="shared" ca="1" si="140"/>
        <v>0</v>
      </c>
    </row>
    <row r="579" spans="1:40" ht="38.25" x14ac:dyDescent="0.2">
      <c r="A579" t="str">
        <f t="shared" si="137"/>
        <v>S</v>
      </c>
      <c r="B579">
        <f t="shared" ca="1" si="120"/>
        <v>2</v>
      </c>
      <c r="C579" t="str">
        <f t="shared" ca="1" si="121"/>
        <v>S</v>
      </c>
      <c r="D579">
        <f t="shared" ca="1" si="122"/>
        <v>0</v>
      </c>
      <c r="E579">
        <f ca="1">IF($C579=1,OFFSET(E579,-1,0)+MAX(1,COUNTIF(QCI!$A$13:$A$24,OFFSET(ORÇAMENTO!E579,-1,0))),OFFSET(E579,-1,0))</f>
        <v>1</v>
      </c>
      <c r="F579">
        <f t="shared" ca="1" si="123"/>
        <v>57</v>
      </c>
      <c r="G579">
        <f t="shared" ca="1" si="124"/>
        <v>0</v>
      </c>
      <c r="H579">
        <f t="shared" ca="1" si="125"/>
        <v>0</v>
      </c>
      <c r="I579">
        <f t="shared" ca="1" si="126"/>
        <v>0</v>
      </c>
      <c r="J579">
        <f t="shared" ca="1" si="136"/>
        <v>0</v>
      </c>
      <c r="K579">
        <f ca="1">IF(OR($C579="S",$C579=0),0,MATCH(OFFSET($D579,0,$C579)+IF($C579&lt;&gt;1,1,COUNTIF(QCI!$A$13:$A$24,ORÇAMENTO!E579)),OFFSET($D579,1,$C579,ROW($C$727)-ROW($C579)),0))</f>
        <v>0</v>
      </c>
      <c r="L579" s="116" t="str">
        <f t="shared" ca="1" si="127"/>
        <v/>
      </c>
      <c r="M579" s="117" t="s">
        <v>199</v>
      </c>
      <c r="N579" s="118" t="str">
        <f t="shared" ca="1" si="128"/>
        <v>Serviço</v>
      </c>
      <c r="O579" s="119" t="str">
        <f t="shared" ca="1" si="129"/>
        <v>-</v>
      </c>
      <c r="P579" s="120" t="s">
        <v>458</v>
      </c>
      <c r="Q579" s="121" t="s">
        <v>929</v>
      </c>
      <c r="R579" s="122" t="str">
        <f ca="1">IF($C579="S",REFERENCIA.Descricao,"(digite a descrição aqui)")</f>
        <v>(abra o arquivo 'Referência 06-2024.xlsm)</v>
      </c>
      <c r="S579" s="123" t="str">
        <f ca="1">REFERENCIA.Unidade</f>
        <v>-</v>
      </c>
      <c r="T579" s="124">
        <f ca="1">OFFSET(CÁLCULO!H$15,ROW($T579)-ROW(T$15),0)</f>
        <v>67.8</v>
      </c>
      <c r="U579" s="125">
        <f t="shared" ca="1" si="141"/>
        <v>0</v>
      </c>
      <c r="V579" s="126" t="s">
        <v>156</v>
      </c>
      <c r="W579" s="124">
        <f ca="1">IF($C579="S",ROUND(IF(TIPOORCAMENTO="Proposto",ORÇAMENTO.CustoUnitario*(1+$AH579),ORÇAMENTO.PrecoUnitarioLicitado),15-13*$AF$10),0)</f>
        <v>0</v>
      </c>
      <c r="X579" s="127">
        <f ca="1">IF($C579="S",IF(Import.TipoArredondamento&lt;&gt;"TransfereGOV",VTOTAL1,SUM(OFFSET(CÁLCULO!$AI$15,ROW($X579)-ROW($X$15),1):OFFSET(CÁLCULO!$BB$15,ROW($X579)-ROW($X$15),-1))),IF($C579=0,0,ROUND(SomaAgrup,15-13*$AF$11)))</f>
        <v>0</v>
      </c>
      <c r="Y579" s="128" t="s">
        <v>245</v>
      </c>
      <c r="Z579" t="str">
        <f t="shared" ca="1" si="130"/>
        <v/>
      </c>
      <c r="AA579" s="129">
        <f ca="1">IF($C579="S",IF($Z579="CP",$X579,IF($Z579="RA",(($X579)*QCI!$AA$3),0)),SomaAgrup)</f>
        <v>0</v>
      </c>
      <c r="AB579" s="130">
        <f t="shared" ca="1" si="138"/>
        <v>0</v>
      </c>
      <c r="AC579" s="131" t="str">
        <f ca="1">IF($N579="","",IF(ORÇAMENTO.Descricao="","DESCRIÇÃO",IF(AND($C579="S",ORÇAMENTO.Unidade=""),"UNIDADE",IF($X579&lt;0,"VALOR NEGATIVO",IF(OR(AND(TIPOORCAMENTO="Proposto",$AG579&lt;&gt;"",$AG579&gt;0,ORÇAMENTO.CustoUnitario&gt;$AG579),AND(TIPOORCAMENTO="LICITADO",ORÇAMENTO.PrecoUnitarioLicitado&gt;$AN579)),"ACIMA REF.","")))))</f>
        <v/>
      </c>
      <c r="AD579" t="str">
        <f ca="1">IF(C579&lt;=CRONO.NivelExibicao,MAX($AD$15:OFFSET(AD579,-1,0))+IF($C579&lt;&gt;1,1,MAX(1,COUNTIF(QCI!$A$13:$A$24,OFFSET($E579,-1,0)))),"")</f>
        <v/>
      </c>
      <c r="AE579" s="7" t="str">
        <f ca="1">IF(AND($C579="S",ORÇAMENTO.CodBarra&lt;&gt;""),IF(ORÇAMENTO.Fonte="",ORÇAMENTO.CodBarra,CONCATENATE(ORÇAMENTO.Fonte," ",ORÇAMENTO.CodBarra)))</f>
        <v>COMPOSIÇÃO FNDE 394</v>
      </c>
      <c r="AF579" s="13" t="str">
        <f ca="1">IF(ISERROR(INDIRECT(ORÇAMENTO.BancoRef)),"(abra o arquivo 'Referência "&amp;Excel_BuiltIn_Database&amp;".xlsm)",IF(OR($C579&lt;&gt;"S",ORÇAMENTO.CodBarra=""),"(Sem Código)",IF(ISERROR(MATCH($AE579,INDIRECT(ORÇAMENTO.BancoRef),0)),"(Código não identificado nas referências)",MATCH($AE579,INDIRECT(ORÇAMENTO.BancoRef),0))))</f>
        <v>(abra o arquivo 'Referência 06-2024.xlsm)</v>
      </c>
      <c r="AG579" s="498">
        <f ca="1">ROUND(IF(DESONERACAO="sim",REFERENCIA.Desonerado,REFERENCIA.NaoDesonerado),2)</f>
        <v>0</v>
      </c>
      <c r="AH579" s="499">
        <f t="shared" ca="1" si="139"/>
        <v>0.2432</v>
      </c>
      <c r="AJ579" s="501"/>
      <c r="AL579" s="527"/>
      <c r="AM579" s="381">
        <f t="shared" ca="1" si="133"/>
        <v>0</v>
      </c>
      <c r="AN579" s="566">
        <f t="shared" ca="1" si="140"/>
        <v>0</v>
      </c>
    </row>
    <row r="580" spans="1:40" x14ac:dyDescent="0.2">
      <c r="A580">
        <f t="shared" si="137"/>
        <v>2</v>
      </c>
      <c r="B580">
        <f t="shared" ca="1" si="120"/>
        <v>2</v>
      </c>
      <c r="C580">
        <f t="shared" ca="1" si="121"/>
        <v>2</v>
      </c>
      <c r="D580">
        <f t="shared" ca="1" si="122"/>
        <v>11</v>
      </c>
      <c r="E580">
        <f ca="1">IF($C580=1,OFFSET(E580,-1,0)+MAX(1,COUNTIF(QCI!$A$13:$A$24,OFFSET(ORÇAMENTO!E580,-1,0))),OFFSET(E580,-1,0))</f>
        <v>1</v>
      </c>
      <c r="F580">
        <f t="shared" ca="1" si="123"/>
        <v>58</v>
      </c>
      <c r="G580">
        <f t="shared" ca="1" si="124"/>
        <v>0</v>
      </c>
      <c r="H580">
        <f t="shared" ca="1" si="125"/>
        <v>0</v>
      </c>
      <c r="I580">
        <f t="shared" ca="1" si="126"/>
        <v>0</v>
      </c>
      <c r="J580">
        <f t="shared" ca="1" si="136"/>
        <v>147</v>
      </c>
      <c r="K580">
        <f ca="1">IF(OR($C580="S",$C580=0),0,MATCH(OFFSET($D580,0,$C580)+IF($C580&lt;&gt;1,1,COUNTIF(QCI!$A$13:$A$24,ORÇAMENTO!E580)),OFFSET($D580,1,$C580,ROW($C$727)-ROW($C580)),0))</f>
        <v>11</v>
      </c>
      <c r="L580" s="116" t="str">
        <f t="shared" ca="1" si="127"/>
        <v>F</v>
      </c>
      <c r="M580" s="117" t="s">
        <v>196</v>
      </c>
      <c r="N580" s="118" t="str">
        <f t="shared" ca="1" si="128"/>
        <v>Nível 2</v>
      </c>
      <c r="O580" s="119" t="str">
        <f t="shared" ca="1" si="129"/>
        <v>1.58.</v>
      </c>
      <c r="P580" s="120" t="s">
        <v>247</v>
      </c>
      <c r="Q580" s="121"/>
      <c r="R580" s="122" t="s">
        <v>1081</v>
      </c>
      <c r="S580" s="123" t="str">
        <f ca="1">REFERENCIA.Unidade</f>
        <v>-</v>
      </c>
      <c r="T580" s="124">
        <f ca="1">OFFSET(CÁLCULO!H$15,ROW($T580)-ROW(T$15),0)</f>
        <v>0</v>
      </c>
      <c r="U580" s="125">
        <f t="shared" ca="1" si="141"/>
        <v>0</v>
      </c>
      <c r="V580" s="126" t="s">
        <v>156</v>
      </c>
      <c r="W580" s="124">
        <f ca="1">IF($C580="S",ROUND(IF(TIPOORCAMENTO="Proposto",ORÇAMENTO.CustoUnitario*(1+$AH580),ORÇAMENTO.PrecoUnitarioLicitado),15-13*$AF$10),0)</f>
        <v>0</v>
      </c>
      <c r="X580" s="127">
        <f ca="1">IF($C580="S",IF(Import.TipoArredondamento&lt;&gt;"TransfereGOV",VTOTAL1,SUM(OFFSET(CÁLCULO!$AI$15,ROW($X580)-ROW($X$15),1):OFFSET(CÁLCULO!$BB$15,ROW($X580)-ROW($X$15),-1))),IF($C580=0,0,ROUND(SomaAgrup,15-13*$AF$11)))</f>
        <v>0</v>
      </c>
      <c r="Y580" s="128" t="s">
        <v>245</v>
      </c>
      <c r="Z580" t="str">
        <f t="shared" ca="1" si="130"/>
        <v/>
      </c>
      <c r="AA580" s="129">
        <f ca="1">IF($C580="S",IF($Z580="CP",$X580,IF($Z580="RA",(($X580)*QCI!$AA$3),0)),SomaAgrup)</f>
        <v>0</v>
      </c>
      <c r="AB580" s="130">
        <f t="shared" ca="1" si="138"/>
        <v>0</v>
      </c>
      <c r="AC580" s="131" t="str">
        <f ca="1">IF($N580="","",IF(ORÇAMENTO.Descricao="","DESCRIÇÃO",IF(AND($C580="S",ORÇAMENTO.Unidade=""),"UNIDADE",IF($X580&lt;0,"VALOR NEGATIVO",IF(OR(AND(TIPOORCAMENTO="Proposto",$AG580&lt;&gt;"",$AG580&gt;0,ORÇAMENTO.CustoUnitario&gt;$AG580),AND(TIPOORCAMENTO="LICITADO",ORÇAMENTO.PrecoUnitarioLicitado&gt;$AN580)),"ACIMA REF.","")))))</f>
        <v/>
      </c>
      <c r="AD580">
        <f ca="1">IF(C580&lt;=CRONO.NivelExibicao,MAX($AD$15:OFFSET(AD580,-1,0))+IF($C580&lt;&gt;1,1,MAX(1,COUNTIF(QCI!$A$13:$A$24,OFFSET($E580,-1,0)))),"")</f>
        <v>59</v>
      </c>
      <c r="AE580" s="7" t="b">
        <f ca="1">IF(AND($C580="S",ORÇAMENTO.CodBarra&lt;&gt;""),IF(ORÇAMENTO.Fonte="",ORÇAMENTO.CodBarra,CONCATENATE(ORÇAMENTO.Fonte," ",ORÇAMENTO.CodBarra)))</f>
        <v>0</v>
      </c>
      <c r="AF580" s="13" t="str">
        <f ca="1">IF(ISERROR(INDIRECT(ORÇAMENTO.BancoRef)),"(abra o arquivo 'Referência "&amp;Excel_BuiltIn_Database&amp;".xlsm)",IF(OR($C580&lt;&gt;"S",ORÇAMENTO.CodBarra=""),"(Sem Código)",IF(ISERROR(MATCH($AE580,INDIRECT(ORÇAMENTO.BancoRef),0)),"(Código não identificado nas referências)",MATCH($AE580,INDIRECT(ORÇAMENTO.BancoRef),0))))</f>
        <v>(abra o arquivo 'Referência 06-2024.xlsm)</v>
      </c>
      <c r="AG580" s="498">
        <f ca="1">ROUND(IF(DESONERACAO="sim",REFERENCIA.Desonerado,REFERENCIA.NaoDesonerado),2)</f>
        <v>0</v>
      </c>
      <c r="AH580" s="499">
        <f t="shared" ca="1" si="139"/>
        <v>0.2432</v>
      </c>
      <c r="AJ580" s="501"/>
      <c r="AL580" s="527"/>
      <c r="AM580" s="381">
        <f t="shared" ca="1" si="133"/>
        <v>0</v>
      </c>
      <c r="AN580" s="566">
        <f t="shared" ca="1" si="140"/>
        <v>0</v>
      </c>
    </row>
    <row r="581" spans="1:40" ht="38.25" x14ac:dyDescent="0.2">
      <c r="A581" t="str">
        <f t="shared" si="137"/>
        <v>S</v>
      </c>
      <c r="B581">
        <f t="shared" ca="1" si="120"/>
        <v>2</v>
      </c>
      <c r="C581" t="str">
        <f t="shared" ca="1" si="121"/>
        <v>S</v>
      </c>
      <c r="D581">
        <f t="shared" ca="1" si="122"/>
        <v>0</v>
      </c>
      <c r="E581">
        <f ca="1">IF($C581=1,OFFSET(E581,-1,0)+MAX(1,COUNTIF(QCI!$A$13:$A$24,OFFSET(ORÇAMENTO!E581,-1,0))),OFFSET(E581,-1,0))</f>
        <v>1</v>
      </c>
      <c r="F581">
        <f t="shared" ca="1" si="123"/>
        <v>58</v>
      </c>
      <c r="G581">
        <f t="shared" ca="1" si="124"/>
        <v>0</v>
      </c>
      <c r="H581">
        <f t="shared" ca="1" si="125"/>
        <v>0</v>
      </c>
      <c r="I581">
        <f t="shared" ca="1" si="126"/>
        <v>0</v>
      </c>
      <c r="J581">
        <f t="shared" ca="1" si="136"/>
        <v>0</v>
      </c>
      <c r="K581">
        <f ca="1">IF(OR($C581="S",$C581=0),0,MATCH(OFFSET($D581,0,$C581)+IF($C581&lt;&gt;1,1,COUNTIF(QCI!$A$13:$A$24,ORÇAMENTO!E581)),OFFSET($D581,1,$C581,ROW($C$727)-ROW($C581)),0))</f>
        <v>0</v>
      </c>
      <c r="L581" s="116" t="str">
        <f t="shared" ca="1" si="127"/>
        <v/>
      </c>
      <c r="M581" s="117" t="s">
        <v>199</v>
      </c>
      <c r="N581" s="118" t="str">
        <f t="shared" ca="1" si="128"/>
        <v>Serviço</v>
      </c>
      <c r="O581" s="119" t="str">
        <f t="shared" ca="1" si="129"/>
        <v>-</v>
      </c>
      <c r="P581" s="120" t="s">
        <v>247</v>
      </c>
      <c r="Q581" s="121" t="s">
        <v>932</v>
      </c>
      <c r="R581" s="122" t="str">
        <f ca="1">IF($C581="S",REFERENCIA.Descricao,"(digite a descrição aqui)")</f>
        <v>(abra o arquivo 'Referência 06-2024.xlsm)</v>
      </c>
      <c r="S581" s="123" t="str">
        <f ca="1">REFERENCIA.Unidade</f>
        <v>-</v>
      </c>
      <c r="T581" s="124">
        <f ca="1">OFFSET(CÁLCULO!H$15,ROW($T581)-ROW(T$15),0)</f>
        <v>107.9</v>
      </c>
      <c r="U581" s="125">
        <f t="shared" ca="1" si="141"/>
        <v>0</v>
      </c>
      <c r="V581" s="126" t="s">
        <v>156</v>
      </c>
      <c r="W581" s="124">
        <f ca="1">IF($C581="S",ROUND(IF(TIPOORCAMENTO="Proposto",ORÇAMENTO.CustoUnitario*(1+$AH581),ORÇAMENTO.PrecoUnitarioLicitado),15-13*$AF$10),0)</f>
        <v>0</v>
      </c>
      <c r="X581" s="127">
        <f ca="1">IF($C581="S",IF(Import.TipoArredondamento&lt;&gt;"TransfereGOV",VTOTAL1,SUM(OFFSET(CÁLCULO!$AI$15,ROW($X581)-ROW($X$15),1):OFFSET(CÁLCULO!$BB$15,ROW($X581)-ROW($X$15),-1))),IF($C581=0,0,ROUND(SomaAgrup,15-13*$AF$11)))</f>
        <v>0</v>
      </c>
      <c r="Y581" s="128" t="s">
        <v>245</v>
      </c>
      <c r="Z581" t="str">
        <f t="shared" ca="1" si="130"/>
        <v/>
      </c>
      <c r="AA581" s="129">
        <f ca="1">IF($C581="S",IF($Z581="CP",$X581,IF($Z581="RA",(($X581)*QCI!$AA$3),0)),SomaAgrup)</f>
        <v>0</v>
      </c>
      <c r="AB581" s="130">
        <f t="shared" ca="1" si="138"/>
        <v>0</v>
      </c>
      <c r="AC581" s="131" t="str">
        <f ca="1">IF($N581="","",IF(ORÇAMENTO.Descricao="","DESCRIÇÃO",IF(AND($C581="S",ORÇAMENTO.Unidade=""),"UNIDADE",IF($X581&lt;0,"VALOR NEGATIVO",IF(OR(AND(TIPOORCAMENTO="Proposto",$AG581&lt;&gt;"",$AG581&gt;0,ORÇAMENTO.CustoUnitario&gt;$AG581),AND(TIPOORCAMENTO="LICITADO",ORÇAMENTO.PrecoUnitarioLicitado&gt;$AN581)),"ACIMA REF.","")))))</f>
        <v/>
      </c>
      <c r="AD581" t="str">
        <f ca="1">IF(C581&lt;=CRONO.NivelExibicao,MAX($AD$15:OFFSET(AD581,-1,0))+IF($C581&lt;&gt;1,1,MAX(1,COUNTIF(QCI!$A$13:$A$24,OFFSET($E581,-1,0)))),"")</f>
        <v/>
      </c>
      <c r="AE581" s="7" t="str">
        <f ca="1">IF(AND($C581="S",ORÇAMENTO.CodBarra&lt;&gt;""),IF(ORÇAMENTO.Fonte="",ORÇAMENTO.CodBarra,CONCATENATE(ORÇAMENTO.Fonte," ",ORÇAMENTO.CodBarra)))</f>
        <v>SINAPI 91837</v>
      </c>
      <c r="AF581" s="13" t="str">
        <f ca="1">IF(ISERROR(INDIRECT(ORÇAMENTO.BancoRef)),"(abra o arquivo 'Referência "&amp;Excel_BuiltIn_Database&amp;".xlsm)",IF(OR($C581&lt;&gt;"S",ORÇAMENTO.CodBarra=""),"(Sem Código)",IF(ISERROR(MATCH($AE581,INDIRECT(ORÇAMENTO.BancoRef),0)),"(Código não identificado nas referências)",MATCH($AE581,INDIRECT(ORÇAMENTO.BancoRef),0))))</f>
        <v>(abra o arquivo 'Referência 06-2024.xlsm)</v>
      </c>
      <c r="AG581" s="498">
        <f ca="1">ROUND(IF(DESONERACAO="sim",REFERENCIA.Desonerado,REFERENCIA.NaoDesonerado),2)</f>
        <v>0</v>
      </c>
      <c r="AH581" s="499">
        <f t="shared" ca="1" si="139"/>
        <v>0.2432</v>
      </c>
      <c r="AJ581" s="501"/>
      <c r="AL581" s="527"/>
      <c r="AM581" s="381">
        <f t="shared" ca="1" si="133"/>
        <v>0</v>
      </c>
      <c r="AN581" s="566">
        <f t="shared" ca="1" si="140"/>
        <v>0</v>
      </c>
    </row>
    <row r="582" spans="1:40" ht="38.25" x14ac:dyDescent="0.2">
      <c r="A582" t="str">
        <f t="shared" si="137"/>
        <v>S</v>
      </c>
      <c r="B582">
        <f t="shared" ca="1" si="120"/>
        <v>2</v>
      </c>
      <c r="C582" t="str">
        <f t="shared" ca="1" si="121"/>
        <v>S</v>
      </c>
      <c r="D582">
        <f t="shared" ca="1" si="122"/>
        <v>0</v>
      </c>
      <c r="E582">
        <f ca="1">IF($C582=1,OFFSET(E582,-1,0)+MAX(1,COUNTIF(QCI!$A$13:$A$24,OFFSET(ORÇAMENTO!E582,-1,0))),OFFSET(E582,-1,0))</f>
        <v>1</v>
      </c>
      <c r="F582">
        <f t="shared" ca="1" si="123"/>
        <v>58</v>
      </c>
      <c r="G582">
        <f t="shared" ca="1" si="124"/>
        <v>0</v>
      </c>
      <c r="H582">
        <f t="shared" ca="1" si="125"/>
        <v>0</v>
      </c>
      <c r="I582">
        <f t="shared" ca="1" si="126"/>
        <v>0</v>
      </c>
      <c r="J582">
        <f t="shared" ca="1" si="136"/>
        <v>0</v>
      </c>
      <c r="K582">
        <f ca="1">IF(OR($C582="S",$C582=0),0,MATCH(OFFSET($D582,0,$C582)+IF($C582&lt;&gt;1,1,COUNTIF(QCI!$A$13:$A$24,ORÇAMENTO!E582)),OFFSET($D582,1,$C582,ROW($C$727)-ROW($C582)),0))</f>
        <v>0</v>
      </c>
      <c r="L582" s="116" t="str">
        <f t="shared" ca="1" si="127"/>
        <v/>
      </c>
      <c r="M582" s="117" t="s">
        <v>199</v>
      </c>
      <c r="N582" s="118" t="str">
        <f t="shared" ca="1" si="128"/>
        <v>Serviço</v>
      </c>
      <c r="O582" s="119" t="str">
        <f t="shared" ca="1" si="129"/>
        <v>-</v>
      </c>
      <c r="P582" s="120" t="s">
        <v>247</v>
      </c>
      <c r="Q582" s="121" t="s">
        <v>933</v>
      </c>
      <c r="R582" s="122" t="str">
        <f ca="1">IF($C582="S",REFERENCIA.Descricao,"(digite a descrição aqui)")</f>
        <v>(abra o arquivo 'Referência 06-2024.xlsm)</v>
      </c>
      <c r="S582" s="123" t="str">
        <f ca="1">REFERENCIA.Unidade</f>
        <v>-</v>
      </c>
      <c r="T582" s="124">
        <f ca="1">OFFSET(CÁLCULO!H$15,ROW($T582)-ROW(T$15),0)</f>
        <v>1526.8</v>
      </c>
      <c r="U582" s="125">
        <f t="shared" ca="1" si="141"/>
        <v>0</v>
      </c>
      <c r="V582" s="126" t="s">
        <v>156</v>
      </c>
      <c r="W582" s="124">
        <f ca="1">IF($C582="S",ROUND(IF(TIPOORCAMENTO="Proposto",ORÇAMENTO.CustoUnitario*(1+$AH582),ORÇAMENTO.PrecoUnitarioLicitado),15-13*$AF$10),0)</f>
        <v>0</v>
      </c>
      <c r="X582" s="127">
        <f ca="1">IF($C582="S",IF(Import.TipoArredondamento&lt;&gt;"TransfereGOV",VTOTAL1,SUM(OFFSET(CÁLCULO!$AI$15,ROW($X582)-ROW($X$15),1):OFFSET(CÁLCULO!$BB$15,ROW($X582)-ROW($X$15),-1))),IF($C582=0,0,ROUND(SomaAgrup,15-13*$AF$11)))</f>
        <v>0</v>
      </c>
      <c r="Y582" s="128" t="s">
        <v>245</v>
      </c>
      <c r="Z582" t="str">
        <f t="shared" ca="1" si="130"/>
        <v/>
      </c>
      <c r="AA582" s="129">
        <f ca="1">IF($C582="S",IF($Z582="CP",$X582,IF($Z582="RA",(($X582)*QCI!$AA$3),0)),SomaAgrup)</f>
        <v>0</v>
      </c>
      <c r="AB582" s="130">
        <f t="shared" ca="1" si="138"/>
        <v>0</v>
      </c>
      <c r="AC582" s="131" t="str">
        <f ca="1">IF($N582="","",IF(ORÇAMENTO.Descricao="","DESCRIÇÃO",IF(AND($C582="S",ORÇAMENTO.Unidade=""),"UNIDADE",IF($X582&lt;0,"VALOR NEGATIVO",IF(OR(AND(TIPOORCAMENTO="Proposto",$AG582&lt;&gt;"",$AG582&gt;0,ORÇAMENTO.CustoUnitario&gt;$AG582),AND(TIPOORCAMENTO="LICITADO",ORÇAMENTO.PrecoUnitarioLicitado&gt;$AN582)),"ACIMA REF.","")))))</f>
        <v/>
      </c>
      <c r="AD582" t="str">
        <f ca="1">IF(C582&lt;=CRONO.NivelExibicao,MAX($AD$15:OFFSET(AD582,-1,0))+IF($C582&lt;&gt;1,1,MAX(1,COUNTIF(QCI!$A$13:$A$24,OFFSET($E582,-1,0)))),"")</f>
        <v/>
      </c>
      <c r="AE582" s="7" t="str">
        <f ca="1">IF(AND($C582="S",ORÇAMENTO.CodBarra&lt;&gt;""),IF(ORÇAMENTO.Fonte="",ORÇAMENTO.CodBarra,CONCATENATE(ORÇAMENTO.Fonte," ",ORÇAMENTO.CodBarra)))</f>
        <v>SINAPI 91855</v>
      </c>
      <c r="AF582" s="13" t="str">
        <f ca="1">IF(ISERROR(INDIRECT(ORÇAMENTO.BancoRef)),"(abra o arquivo 'Referência "&amp;Excel_BuiltIn_Database&amp;".xlsm)",IF(OR($C582&lt;&gt;"S",ORÇAMENTO.CodBarra=""),"(Sem Código)",IF(ISERROR(MATCH($AE582,INDIRECT(ORÇAMENTO.BancoRef),0)),"(Código não identificado nas referências)",MATCH($AE582,INDIRECT(ORÇAMENTO.BancoRef),0))))</f>
        <v>(abra o arquivo 'Referência 06-2024.xlsm)</v>
      </c>
      <c r="AG582" s="498">
        <f ca="1">ROUND(IF(DESONERACAO="sim",REFERENCIA.Desonerado,REFERENCIA.NaoDesonerado),2)</f>
        <v>0</v>
      </c>
      <c r="AH582" s="499">
        <f t="shared" ca="1" si="139"/>
        <v>0.2432</v>
      </c>
      <c r="AJ582" s="501"/>
      <c r="AL582" s="527"/>
      <c r="AM582" s="381">
        <f t="shared" ca="1" si="133"/>
        <v>0</v>
      </c>
      <c r="AN582" s="566">
        <f t="shared" ca="1" si="140"/>
        <v>0</v>
      </c>
    </row>
    <row r="583" spans="1:40" ht="38.25" x14ac:dyDescent="0.2">
      <c r="A583" t="str">
        <f t="shared" si="137"/>
        <v>S</v>
      </c>
      <c r="B583">
        <f t="shared" ca="1" si="120"/>
        <v>2</v>
      </c>
      <c r="C583" t="str">
        <f t="shared" ca="1" si="121"/>
        <v>S</v>
      </c>
      <c r="D583">
        <f t="shared" ca="1" si="122"/>
        <v>0</v>
      </c>
      <c r="E583">
        <f ca="1">IF($C583=1,OFFSET(E583,-1,0)+MAX(1,COUNTIF(QCI!$A$13:$A$24,OFFSET(ORÇAMENTO!E583,-1,0))),OFFSET(E583,-1,0))</f>
        <v>1</v>
      </c>
      <c r="F583">
        <f t="shared" ca="1" si="123"/>
        <v>58</v>
      </c>
      <c r="G583">
        <f t="shared" ca="1" si="124"/>
        <v>0</v>
      </c>
      <c r="H583">
        <f t="shared" ca="1" si="125"/>
        <v>0</v>
      </c>
      <c r="I583">
        <f t="shared" ca="1" si="126"/>
        <v>0</v>
      </c>
      <c r="J583">
        <f t="shared" ca="1" si="136"/>
        <v>0</v>
      </c>
      <c r="K583">
        <f ca="1">IF(OR($C583="S",$C583=0),0,MATCH(OFFSET($D583,0,$C583)+IF($C583&lt;&gt;1,1,COUNTIF(QCI!$A$13:$A$24,ORÇAMENTO!E583)),OFFSET($D583,1,$C583,ROW($C$727)-ROW($C583)),0))</f>
        <v>0</v>
      </c>
      <c r="L583" s="116" t="str">
        <f t="shared" ca="1" si="127"/>
        <v/>
      </c>
      <c r="M583" s="117" t="s">
        <v>199</v>
      </c>
      <c r="N583" s="118" t="str">
        <f t="shared" ca="1" si="128"/>
        <v>Serviço</v>
      </c>
      <c r="O583" s="119" t="str">
        <f t="shared" ca="1" si="129"/>
        <v>-</v>
      </c>
      <c r="P583" s="120" t="s">
        <v>247</v>
      </c>
      <c r="Q583" s="121" t="s">
        <v>934</v>
      </c>
      <c r="R583" s="122" t="str">
        <f ca="1">IF($C583="S",REFERENCIA.Descricao,"(digite a descrição aqui)")</f>
        <v>(abra o arquivo 'Referência 06-2024.xlsm)</v>
      </c>
      <c r="S583" s="123" t="str">
        <f ca="1">REFERENCIA.Unidade</f>
        <v>-</v>
      </c>
      <c r="T583" s="124">
        <f ca="1">OFFSET(CÁLCULO!H$15,ROW($T583)-ROW(T$15),0)</f>
        <v>17.2</v>
      </c>
      <c r="U583" s="125">
        <f t="shared" ca="1" si="141"/>
        <v>0</v>
      </c>
      <c r="V583" s="126" t="s">
        <v>156</v>
      </c>
      <c r="W583" s="124">
        <f ca="1">IF($C583="S",ROUND(IF(TIPOORCAMENTO="Proposto",ORÇAMENTO.CustoUnitario*(1+$AH583),ORÇAMENTO.PrecoUnitarioLicitado),15-13*$AF$10),0)</f>
        <v>0</v>
      </c>
      <c r="X583" s="127">
        <f ca="1">IF($C583="S",IF(Import.TipoArredondamento&lt;&gt;"TransfereGOV",VTOTAL1,SUM(OFFSET(CÁLCULO!$AI$15,ROW($X583)-ROW($X$15),1):OFFSET(CÁLCULO!$BB$15,ROW($X583)-ROW($X$15),-1))),IF($C583=0,0,ROUND(SomaAgrup,15-13*$AF$11)))</f>
        <v>0</v>
      </c>
      <c r="Y583" s="128" t="s">
        <v>245</v>
      </c>
      <c r="Z583" t="str">
        <f t="shared" ca="1" si="130"/>
        <v/>
      </c>
      <c r="AA583" s="129">
        <f ca="1">IF($C583="S",IF($Z583="CP",$X583,IF($Z583="RA",(($X583)*QCI!$AA$3),0)),SomaAgrup)</f>
        <v>0</v>
      </c>
      <c r="AB583" s="130">
        <f t="shared" ca="1" si="138"/>
        <v>0</v>
      </c>
      <c r="AC583" s="131" t="str">
        <f ca="1">IF($N583="","",IF(ORÇAMENTO.Descricao="","DESCRIÇÃO",IF(AND($C583="S",ORÇAMENTO.Unidade=""),"UNIDADE",IF($X583&lt;0,"VALOR NEGATIVO",IF(OR(AND(TIPOORCAMENTO="Proposto",$AG583&lt;&gt;"",$AG583&gt;0,ORÇAMENTO.CustoUnitario&gt;$AG583),AND(TIPOORCAMENTO="LICITADO",ORÇAMENTO.PrecoUnitarioLicitado&gt;$AN583)),"ACIMA REF.","")))))</f>
        <v/>
      </c>
      <c r="AD583" t="str">
        <f ca="1">IF(C583&lt;=CRONO.NivelExibicao,MAX($AD$15:OFFSET(AD583,-1,0))+IF($C583&lt;&gt;1,1,MAX(1,COUNTIF(QCI!$A$13:$A$24,OFFSET($E583,-1,0)))),"")</f>
        <v/>
      </c>
      <c r="AE583" s="7" t="str">
        <f ca="1">IF(AND($C583="S",ORÇAMENTO.CodBarra&lt;&gt;""),IF(ORÇAMENTO.Fonte="",ORÇAMENTO.CodBarra,CONCATENATE(ORÇAMENTO.Fonte," ",ORÇAMENTO.CodBarra)))</f>
        <v>SINAPI 97667</v>
      </c>
      <c r="AF583" s="13" t="str">
        <f ca="1">IF(ISERROR(INDIRECT(ORÇAMENTO.BancoRef)),"(abra o arquivo 'Referência "&amp;Excel_BuiltIn_Database&amp;".xlsm)",IF(OR($C583&lt;&gt;"S",ORÇAMENTO.CodBarra=""),"(Sem Código)",IF(ISERROR(MATCH($AE583,INDIRECT(ORÇAMENTO.BancoRef),0)),"(Código não identificado nas referências)",MATCH($AE583,INDIRECT(ORÇAMENTO.BancoRef),0))))</f>
        <v>(abra o arquivo 'Referência 06-2024.xlsm)</v>
      </c>
      <c r="AG583" s="498">
        <f ca="1">ROUND(IF(DESONERACAO="sim",REFERENCIA.Desonerado,REFERENCIA.NaoDesonerado),2)</f>
        <v>0</v>
      </c>
      <c r="AH583" s="499">
        <f t="shared" ca="1" si="139"/>
        <v>0.2432</v>
      </c>
      <c r="AJ583" s="501"/>
      <c r="AL583" s="527"/>
      <c r="AM583" s="381">
        <f t="shared" ca="1" si="133"/>
        <v>0</v>
      </c>
      <c r="AN583" s="566">
        <f t="shared" ca="1" si="140"/>
        <v>0</v>
      </c>
    </row>
    <row r="584" spans="1:40" ht="38.25" x14ac:dyDescent="0.2">
      <c r="A584" t="str">
        <f t="shared" si="137"/>
        <v>S</v>
      </c>
      <c r="B584">
        <f t="shared" ca="1" si="120"/>
        <v>2</v>
      </c>
      <c r="C584" t="str">
        <f t="shared" ca="1" si="121"/>
        <v>S</v>
      </c>
      <c r="D584">
        <f t="shared" ca="1" si="122"/>
        <v>0</v>
      </c>
      <c r="E584">
        <f ca="1">IF($C584=1,OFFSET(E584,-1,0)+MAX(1,COUNTIF(QCI!$A$13:$A$24,OFFSET(ORÇAMENTO!E584,-1,0))),OFFSET(E584,-1,0))</f>
        <v>1</v>
      </c>
      <c r="F584">
        <f t="shared" ca="1" si="123"/>
        <v>58</v>
      </c>
      <c r="G584">
        <f t="shared" ca="1" si="124"/>
        <v>0</v>
      </c>
      <c r="H584">
        <f t="shared" ca="1" si="125"/>
        <v>0</v>
      </c>
      <c r="I584">
        <f t="shared" ca="1" si="126"/>
        <v>0</v>
      </c>
      <c r="J584">
        <f t="shared" ca="1" si="136"/>
        <v>0</v>
      </c>
      <c r="K584">
        <f ca="1">IF(OR($C584="S",$C584=0),0,MATCH(OFFSET($D584,0,$C584)+IF($C584&lt;&gt;1,1,COUNTIF(QCI!$A$13:$A$24,ORÇAMENTO!E584)),OFFSET($D584,1,$C584,ROW($C$727)-ROW($C584)),0))</f>
        <v>0</v>
      </c>
      <c r="L584" s="116" t="str">
        <f t="shared" ca="1" si="127"/>
        <v/>
      </c>
      <c r="M584" s="117" t="s">
        <v>199</v>
      </c>
      <c r="N584" s="118" t="str">
        <f t="shared" ca="1" si="128"/>
        <v>Serviço</v>
      </c>
      <c r="O584" s="119" t="str">
        <f t="shared" ca="1" si="129"/>
        <v>-</v>
      </c>
      <c r="P584" s="120" t="s">
        <v>247</v>
      </c>
      <c r="Q584" s="121" t="s">
        <v>935</v>
      </c>
      <c r="R584" s="122" t="str">
        <f ca="1">IF($C584="S",REFERENCIA.Descricao,"(digite a descrição aqui)")</f>
        <v>(abra o arquivo 'Referência 06-2024.xlsm)</v>
      </c>
      <c r="S584" s="123" t="str">
        <f ca="1">REFERENCIA.Unidade</f>
        <v>-</v>
      </c>
      <c r="T584" s="124">
        <f ca="1">OFFSET(CÁLCULO!H$15,ROW($T584)-ROW(T$15),0)</f>
        <v>45.9</v>
      </c>
      <c r="U584" s="125">
        <f t="shared" ca="1" si="141"/>
        <v>0</v>
      </c>
      <c r="V584" s="126" t="s">
        <v>156</v>
      </c>
      <c r="W584" s="124">
        <f ca="1">IF($C584="S",ROUND(IF(TIPOORCAMENTO="Proposto",ORÇAMENTO.CustoUnitario*(1+$AH584),ORÇAMENTO.PrecoUnitarioLicitado),15-13*$AF$10),0)</f>
        <v>0</v>
      </c>
      <c r="X584" s="127">
        <f ca="1">IF($C584="S",IF(Import.TipoArredondamento&lt;&gt;"TransfereGOV",VTOTAL1,SUM(OFFSET(CÁLCULO!$AI$15,ROW($X584)-ROW($X$15),1):OFFSET(CÁLCULO!$BB$15,ROW($X584)-ROW($X$15),-1))),IF($C584=0,0,ROUND(SomaAgrup,15-13*$AF$11)))</f>
        <v>0</v>
      </c>
      <c r="Y584" s="128" t="s">
        <v>245</v>
      </c>
      <c r="Z584" t="str">
        <f t="shared" ca="1" si="130"/>
        <v/>
      </c>
      <c r="AA584" s="129">
        <f ca="1">IF($C584="S",IF($Z584="CP",$X584,IF($Z584="RA",(($X584)*QCI!$AA$3),0)),SomaAgrup)</f>
        <v>0</v>
      </c>
      <c r="AB584" s="130">
        <f t="shared" ca="1" si="138"/>
        <v>0</v>
      </c>
      <c r="AC584" s="131" t="str">
        <f ca="1">IF($N584="","",IF(ORÇAMENTO.Descricao="","DESCRIÇÃO",IF(AND($C584="S",ORÇAMENTO.Unidade=""),"UNIDADE",IF($X584&lt;0,"VALOR NEGATIVO",IF(OR(AND(TIPOORCAMENTO="Proposto",$AG584&lt;&gt;"",$AG584&gt;0,ORÇAMENTO.CustoUnitario&gt;$AG584),AND(TIPOORCAMENTO="LICITADO",ORÇAMENTO.PrecoUnitarioLicitado&gt;$AN584)),"ACIMA REF.","")))))</f>
        <v/>
      </c>
      <c r="AD584" t="str">
        <f ca="1">IF(C584&lt;=CRONO.NivelExibicao,MAX($AD$15:OFFSET(AD584,-1,0))+IF($C584&lt;&gt;1,1,MAX(1,COUNTIF(QCI!$A$13:$A$24,OFFSET($E584,-1,0)))),"")</f>
        <v/>
      </c>
      <c r="AE584" s="7" t="str">
        <f ca="1">IF(AND($C584="S",ORÇAMENTO.CodBarra&lt;&gt;""),IF(ORÇAMENTO.Fonte="",ORÇAMENTO.CodBarra,CONCATENATE(ORÇAMENTO.Fonte," ",ORÇAMENTO.CodBarra)))</f>
        <v>SINAPI 97669</v>
      </c>
      <c r="AF584" s="13" t="str">
        <f ca="1">IF(ISERROR(INDIRECT(ORÇAMENTO.BancoRef)),"(abra o arquivo 'Referência "&amp;Excel_BuiltIn_Database&amp;".xlsm)",IF(OR($C584&lt;&gt;"S",ORÇAMENTO.CodBarra=""),"(Sem Código)",IF(ISERROR(MATCH($AE584,INDIRECT(ORÇAMENTO.BancoRef),0)),"(Código não identificado nas referências)",MATCH($AE584,INDIRECT(ORÇAMENTO.BancoRef),0))))</f>
        <v>(abra o arquivo 'Referência 06-2024.xlsm)</v>
      </c>
      <c r="AG584" s="498">
        <f ca="1">ROUND(IF(DESONERACAO="sim",REFERENCIA.Desonerado,REFERENCIA.NaoDesonerado),2)</f>
        <v>0</v>
      </c>
      <c r="AH584" s="499">
        <f t="shared" ca="1" si="139"/>
        <v>0.2432</v>
      </c>
      <c r="AJ584" s="501"/>
      <c r="AL584" s="527"/>
      <c r="AM584" s="381">
        <f t="shared" ca="1" si="133"/>
        <v>0</v>
      </c>
      <c r="AN584" s="566">
        <f t="shared" ca="1" si="140"/>
        <v>0</v>
      </c>
    </row>
    <row r="585" spans="1:40" ht="38.25" x14ac:dyDescent="0.2">
      <c r="A585" t="str">
        <f t="shared" si="137"/>
        <v>S</v>
      </c>
      <c r="B585">
        <f t="shared" ca="1" si="120"/>
        <v>2</v>
      </c>
      <c r="C585" t="str">
        <f t="shared" ca="1" si="121"/>
        <v>S</v>
      </c>
      <c r="D585">
        <f t="shared" ca="1" si="122"/>
        <v>0</v>
      </c>
      <c r="E585">
        <f ca="1">IF($C585=1,OFFSET(E585,-1,0)+MAX(1,COUNTIF(QCI!$A$13:$A$24,OFFSET(ORÇAMENTO!E585,-1,0))),OFFSET(E585,-1,0))</f>
        <v>1</v>
      </c>
      <c r="F585">
        <f t="shared" ca="1" si="123"/>
        <v>58</v>
      </c>
      <c r="G585">
        <f t="shared" ca="1" si="124"/>
        <v>0</v>
      </c>
      <c r="H585">
        <f t="shared" ca="1" si="125"/>
        <v>0</v>
      </c>
      <c r="I585">
        <f t="shared" ca="1" si="126"/>
        <v>0</v>
      </c>
      <c r="J585">
        <f t="shared" ca="1" si="136"/>
        <v>0</v>
      </c>
      <c r="K585">
        <f ca="1">IF(OR($C585="S",$C585=0),0,MATCH(OFFSET($D585,0,$C585)+IF($C585&lt;&gt;1,1,COUNTIF(QCI!$A$13:$A$24,ORÇAMENTO!E585)),OFFSET($D585,1,$C585,ROW($C$727)-ROW($C585)),0))</f>
        <v>0</v>
      </c>
      <c r="L585" s="116" t="str">
        <f t="shared" ca="1" si="127"/>
        <v/>
      </c>
      <c r="M585" s="117" t="s">
        <v>199</v>
      </c>
      <c r="N585" s="118" t="str">
        <f t="shared" ca="1" si="128"/>
        <v>Serviço</v>
      </c>
      <c r="O585" s="119" t="str">
        <f t="shared" ca="1" si="129"/>
        <v>-</v>
      </c>
      <c r="P585" s="120" t="s">
        <v>458</v>
      </c>
      <c r="Q585" s="121" t="s">
        <v>936</v>
      </c>
      <c r="R585" s="122" t="str">
        <f ca="1">IF($C585="S",REFERENCIA.Descricao,"(digite a descrição aqui)")</f>
        <v>(abra o arquivo 'Referência 06-2024.xlsm)</v>
      </c>
      <c r="S585" s="123" t="str">
        <f ca="1">REFERENCIA.Unidade</f>
        <v>-</v>
      </c>
      <c r="T585" s="124">
        <f ca="1">OFFSET(CÁLCULO!H$15,ROW($T585)-ROW(T$15),0)</f>
        <v>36</v>
      </c>
      <c r="U585" s="125">
        <f t="shared" ca="1" si="141"/>
        <v>0</v>
      </c>
      <c r="V585" s="126" t="s">
        <v>156</v>
      </c>
      <c r="W585" s="124">
        <f ca="1">IF($C585="S",ROUND(IF(TIPOORCAMENTO="Proposto",ORÇAMENTO.CustoUnitario*(1+$AH585),ORÇAMENTO.PrecoUnitarioLicitado),15-13*$AF$10),0)</f>
        <v>0</v>
      </c>
      <c r="X585" s="127">
        <f ca="1">IF($C585="S",IF(Import.TipoArredondamento&lt;&gt;"TransfereGOV",VTOTAL1,SUM(OFFSET(CÁLCULO!$AI$15,ROW($X585)-ROW($X$15),1):OFFSET(CÁLCULO!$BB$15,ROW($X585)-ROW($X$15),-1))),IF($C585=0,0,ROUND(SomaAgrup,15-13*$AF$11)))</f>
        <v>0</v>
      </c>
      <c r="Y585" s="128" t="s">
        <v>245</v>
      </c>
      <c r="Z585" t="str">
        <f t="shared" ca="1" si="130"/>
        <v/>
      </c>
      <c r="AA585" s="129">
        <f ca="1">IF($C585="S",IF($Z585="CP",$X585,IF($Z585="RA",(($X585)*QCI!$AA$3),0)),SomaAgrup)</f>
        <v>0</v>
      </c>
      <c r="AB585" s="130">
        <f t="shared" ca="1" si="138"/>
        <v>0</v>
      </c>
      <c r="AC585" s="131" t="str">
        <f ca="1">IF($N585="","",IF(ORÇAMENTO.Descricao="","DESCRIÇÃO",IF(AND($C585="S",ORÇAMENTO.Unidade=""),"UNIDADE",IF($X585&lt;0,"VALOR NEGATIVO",IF(OR(AND(TIPOORCAMENTO="Proposto",$AG585&lt;&gt;"",$AG585&gt;0,ORÇAMENTO.CustoUnitario&gt;$AG585),AND(TIPOORCAMENTO="LICITADO",ORÇAMENTO.PrecoUnitarioLicitado&gt;$AN585)),"ACIMA REF.","")))))</f>
        <v/>
      </c>
      <c r="AD585" t="str">
        <f ca="1">IF(C585&lt;=CRONO.NivelExibicao,MAX($AD$15:OFFSET(AD585,-1,0))+IF($C585&lt;&gt;1,1,MAX(1,COUNTIF(QCI!$A$13:$A$24,OFFSET($E585,-1,0)))),"")</f>
        <v/>
      </c>
      <c r="AE585" s="7" t="str">
        <f ca="1">IF(AND($C585="S",ORÇAMENTO.CodBarra&lt;&gt;""),IF(ORÇAMENTO.Fonte="",ORÇAMENTO.CodBarra,CONCATENATE(ORÇAMENTO.Fonte," ",ORÇAMENTO.CodBarra)))</f>
        <v>COMPOSIÇÃO FNDE 372</v>
      </c>
      <c r="AF585" s="13" t="str">
        <f ca="1">IF(ISERROR(INDIRECT(ORÇAMENTO.BancoRef)),"(abra o arquivo 'Referência "&amp;Excel_BuiltIn_Database&amp;".xlsm)",IF(OR($C585&lt;&gt;"S",ORÇAMENTO.CodBarra=""),"(Sem Código)",IF(ISERROR(MATCH($AE585,INDIRECT(ORÇAMENTO.BancoRef),0)),"(Código não identificado nas referências)",MATCH($AE585,INDIRECT(ORÇAMENTO.BancoRef),0))))</f>
        <v>(abra o arquivo 'Referência 06-2024.xlsm)</v>
      </c>
      <c r="AG585" s="498">
        <f ca="1">ROUND(IF(DESONERACAO="sim",REFERENCIA.Desonerado,REFERENCIA.NaoDesonerado),2)</f>
        <v>0</v>
      </c>
      <c r="AH585" s="499">
        <f t="shared" ca="1" si="139"/>
        <v>0.2432</v>
      </c>
      <c r="AJ585" s="501"/>
      <c r="AL585" s="527"/>
      <c r="AM585" s="381">
        <f t="shared" ca="1" si="133"/>
        <v>0</v>
      </c>
      <c r="AN585" s="566">
        <f t="shared" ca="1" si="140"/>
        <v>0</v>
      </c>
    </row>
    <row r="586" spans="1:40" ht="38.25" x14ac:dyDescent="0.2">
      <c r="A586" t="str">
        <f t="shared" si="137"/>
        <v>S</v>
      </c>
      <c r="B586">
        <f t="shared" ca="1" si="120"/>
        <v>2</v>
      </c>
      <c r="C586" t="str">
        <f t="shared" ca="1" si="121"/>
        <v>S</v>
      </c>
      <c r="D586">
        <f t="shared" ca="1" si="122"/>
        <v>0</v>
      </c>
      <c r="E586">
        <f ca="1">IF($C586=1,OFFSET(E586,-1,0)+MAX(1,COUNTIF(QCI!$A$13:$A$24,OFFSET(ORÇAMENTO!E586,-1,0))),OFFSET(E586,-1,0))</f>
        <v>1</v>
      </c>
      <c r="F586">
        <f t="shared" ca="1" si="123"/>
        <v>58</v>
      </c>
      <c r="G586">
        <f t="shared" ca="1" si="124"/>
        <v>0</v>
      </c>
      <c r="H586">
        <f t="shared" ca="1" si="125"/>
        <v>0</v>
      </c>
      <c r="I586">
        <f t="shared" ca="1" si="126"/>
        <v>0</v>
      </c>
      <c r="J586">
        <f t="shared" ca="1" si="136"/>
        <v>0</v>
      </c>
      <c r="K586">
        <f ca="1">IF(OR($C586="S",$C586=0),0,MATCH(OFFSET($D586,0,$C586)+IF($C586&lt;&gt;1,1,COUNTIF(QCI!$A$13:$A$24,ORÇAMENTO!E586)),OFFSET($D586,1,$C586,ROW($C$727)-ROW($C586)),0))</f>
        <v>0</v>
      </c>
      <c r="L586" s="116" t="str">
        <f t="shared" ca="1" si="127"/>
        <v/>
      </c>
      <c r="M586" s="117" t="s">
        <v>199</v>
      </c>
      <c r="N586" s="118" t="str">
        <f t="shared" ca="1" si="128"/>
        <v>Serviço</v>
      </c>
      <c r="O586" s="119" t="str">
        <f t="shared" ca="1" si="129"/>
        <v>-</v>
      </c>
      <c r="P586" s="120" t="s">
        <v>247</v>
      </c>
      <c r="Q586" s="121" t="s">
        <v>937</v>
      </c>
      <c r="R586" s="122" t="str">
        <f ca="1">IF($C586="S",REFERENCIA.Descricao,"(digite a descrição aqui)")</f>
        <v>(abra o arquivo 'Referência 06-2024.xlsm)</v>
      </c>
      <c r="S586" s="123" t="str">
        <f ca="1">REFERENCIA.Unidade</f>
        <v>-</v>
      </c>
      <c r="T586" s="124">
        <f ca="1">OFFSET(CÁLCULO!H$15,ROW($T586)-ROW(T$15),0)</f>
        <v>6</v>
      </c>
      <c r="U586" s="125">
        <f t="shared" ca="1" si="141"/>
        <v>0</v>
      </c>
      <c r="V586" s="126" t="s">
        <v>156</v>
      </c>
      <c r="W586" s="124">
        <f ca="1">IF($C586="S",ROUND(IF(TIPOORCAMENTO="Proposto",ORÇAMENTO.CustoUnitario*(1+$AH586),ORÇAMENTO.PrecoUnitarioLicitado),15-13*$AF$10),0)</f>
        <v>0</v>
      </c>
      <c r="X586" s="127">
        <f ca="1">IF($C586="S",IF(Import.TipoArredondamento&lt;&gt;"TransfereGOV",VTOTAL1,SUM(OFFSET(CÁLCULO!$AI$15,ROW($X586)-ROW($X$15),1):OFFSET(CÁLCULO!$BB$15,ROW($X586)-ROW($X$15),-1))),IF($C586=0,0,ROUND(SomaAgrup,15-13*$AF$11)))</f>
        <v>0</v>
      </c>
      <c r="Y586" s="128" t="s">
        <v>245</v>
      </c>
      <c r="Z586" t="str">
        <f t="shared" ca="1" si="130"/>
        <v/>
      </c>
      <c r="AA586" s="129">
        <f ca="1">IF($C586="S",IF($Z586="CP",$X586,IF($Z586="RA",(($X586)*QCI!$AA$3),0)),SomaAgrup)</f>
        <v>0</v>
      </c>
      <c r="AB586" s="130">
        <f t="shared" ca="1" si="138"/>
        <v>0</v>
      </c>
      <c r="AC586" s="131" t="str">
        <f ca="1">IF($N586="","",IF(ORÇAMENTO.Descricao="","DESCRIÇÃO",IF(AND($C586="S",ORÇAMENTO.Unidade=""),"UNIDADE",IF($X586&lt;0,"VALOR NEGATIVO",IF(OR(AND(TIPOORCAMENTO="Proposto",$AG586&lt;&gt;"",$AG586&gt;0,ORÇAMENTO.CustoUnitario&gt;$AG586),AND(TIPOORCAMENTO="LICITADO",ORÇAMENTO.PrecoUnitarioLicitado&gt;$AN586)),"ACIMA REF.","")))))</f>
        <v/>
      </c>
      <c r="AD586" t="str">
        <f ca="1">IF(C586&lt;=CRONO.NivelExibicao,MAX($AD$15:OFFSET(AD586,-1,0))+IF($C586&lt;&gt;1,1,MAX(1,COUNTIF(QCI!$A$13:$A$24,OFFSET($E586,-1,0)))),"")</f>
        <v/>
      </c>
      <c r="AE586" s="7" t="str">
        <f ca="1">IF(AND($C586="S",ORÇAMENTO.CodBarra&lt;&gt;""),IF(ORÇAMENTO.Fonte="",ORÇAMENTO.CodBarra,CONCATENATE(ORÇAMENTO.Fonte," ",ORÇAMENTO.CodBarra)))</f>
        <v>SINAPI 91870</v>
      </c>
      <c r="AF586" s="13" t="str">
        <f ca="1">IF(ISERROR(INDIRECT(ORÇAMENTO.BancoRef)),"(abra o arquivo 'Referência "&amp;Excel_BuiltIn_Database&amp;".xlsm)",IF(OR($C586&lt;&gt;"S",ORÇAMENTO.CodBarra=""),"(Sem Código)",IF(ISERROR(MATCH($AE586,INDIRECT(ORÇAMENTO.BancoRef),0)),"(Código não identificado nas referências)",MATCH($AE586,INDIRECT(ORÇAMENTO.BancoRef),0))))</f>
        <v>(abra o arquivo 'Referência 06-2024.xlsm)</v>
      </c>
      <c r="AG586" s="498">
        <f ca="1">ROUND(IF(DESONERACAO="sim",REFERENCIA.Desonerado,REFERENCIA.NaoDesonerado),2)</f>
        <v>0</v>
      </c>
      <c r="AH586" s="499">
        <f t="shared" ca="1" si="139"/>
        <v>0.2432</v>
      </c>
      <c r="AJ586" s="501"/>
      <c r="AL586" s="527"/>
      <c r="AM586" s="381">
        <f t="shared" ca="1" si="133"/>
        <v>0</v>
      </c>
      <c r="AN586" s="566">
        <f t="shared" ca="1" si="140"/>
        <v>0</v>
      </c>
    </row>
    <row r="587" spans="1:40" ht="38.25" x14ac:dyDescent="0.2">
      <c r="A587" t="str">
        <f t="shared" si="137"/>
        <v>S</v>
      </c>
      <c r="B587">
        <f t="shared" ca="1" si="120"/>
        <v>2</v>
      </c>
      <c r="C587" t="str">
        <f t="shared" ca="1" si="121"/>
        <v>S</v>
      </c>
      <c r="D587">
        <f t="shared" ca="1" si="122"/>
        <v>0</v>
      </c>
      <c r="E587">
        <f ca="1">IF($C587=1,OFFSET(E587,-1,0)+MAX(1,COUNTIF(QCI!$A$13:$A$24,OFFSET(ORÇAMENTO!E587,-1,0))),OFFSET(E587,-1,0))</f>
        <v>1</v>
      </c>
      <c r="F587">
        <f t="shared" ca="1" si="123"/>
        <v>58</v>
      </c>
      <c r="G587">
        <f t="shared" ca="1" si="124"/>
        <v>0</v>
      </c>
      <c r="H587">
        <f t="shared" ca="1" si="125"/>
        <v>0</v>
      </c>
      <c r="I587">
        <f t="shared" ca="1" si="126"/>
        <v>0</v>
      </c>
      <c r="J587">
        <f t="shared" ca="1" si="136"/>
        <v>0</v>
      </c>
      <c r="K587">
        <f ca="1">IF(OR($C587="S",$C587=0),0,MATCH(OFFSET($D587,0,$C587)+IF($C587&lt;&gt;1,1,COUNTIF(QCI!$A$13:$A$24,ORÇAMENTO!E587)),OFFSET($D587,1,$C587,ROW($C$727)-ROW($C587)),0))</f>
        <v>0</v>
      </c>
      <c r="L587" s="116" t="str">
        <f t="shared" ca="1" si="127"/>
        <v/>
      </c>
      <c r="M587" s="117" t="s">
        <v>199</v>
      </c>
      <c r="N587" s="118" t="str">
        <f t="shared" ca="1" si="128"/>
        <v>Serviço</v>
      </c>
      <c r="O587" s="119" t="str">
        <f t="shared" ca="1" si="129"/>
        <v>-</v>
      </c>
      <c r="P587" s="120" t="s">
        <v>247</v>
      </c>
      <c r="Q587" s="121" t="s">
        <v>937</v>
      </c>
      <c r="R587" s="122" t="str">
        <f ca="1">IF($C587="S",REFERENCIA.Descricao,"(digite a descrição aqui)")</f>
        <v>(abra o arquivo 'Referência 06-2024.xlsm)</v>
      </c>
      <c r="S587" s="123" t="str">
        <f ca="1">REFERENCIA.Unidade</f>
        <v>-</v>
      </c>
      <c r="T587" s="124">
        <f ca="1">OFFSET(CÁLCULO!H$15,ROW($T587)-ROW(T$15),0)</f>
        <v>6</v>
      </c>
      <c r="U587" s="125">
        <f t="shared" ca="1" si="141"/>
        <v>0</v>
      </c>
      <c r="V587" s="126" t="s">
        <v>156</v>
      </c>
      <c r="W587" s="124">
        <f ca="1">IF($C587="S",ROUND(IF(TIPOORCAMENTO="Proposto",ORÇAMENTO.CustoUnitario*(1+$AH587),ORÇAMENTO.PrecoUnitarioLicitado),15-13*$AF$10),0)</f>
        <v>0</v>
      </c>
      <c r="X587" s="127">
        <f ca="1">IF($C587="S",IF(Import.TipoArredondamento&lt;&gt;"TransfereGOV",VTOTAL1,SUM(OFFSET(CÁLCULO!$AI$15,ROW($X587)-ROW($X$15),1):OFFSET(CÁLCULO!$BB$15,ROW($X587)-ROW($X$15),-1))),IF($C587=0,0,ROUND(SomaAgrup,15-13*$AF$11)))</f>
        <v>0</v>
      </c>
      <c r="Y587" s="128" t="s">
        <v>245</v>
      </c>
      <c r="Z587" t="str">
        <f t="shared" ca="1" si="130"/>
        <v/>
      </c>
      <c r="AA587" s="129">
        <f ca="1">IF($C587="S",IF($Z587="CP",$X587,IF($Z587="RA",(($X587)*QCI!$AA$3),0)),SomaAgrup)</f>
        <v>0</v>
      </c>
      <c r="AB587" s="130">
        <f t="shared" ca="1" si="138"/>
        <v>0</v>
      </c>
      <c r="AC587" s="131" t="str">
        <f ca="1">IF($N587="","",IF(ORÇAMENTO.Descricao="","DESCRIÇÃO",IF(AND($C587="S",ORÇAMENTO.Unidade=""),"UNIDADE",IF($X587&lt;0,"VALOR NEGATIVO",IF(OR(AND(TIPOORCAMENTO="Proposto",$AG587&lt;&gt;"",$AG587&gt;0,ORÇAMENTO.CustoUnitario&gt;$AG587),AND(TIPOORCAMENTO="LICITADO",ORÇAMENTO.PrecoUnitarioLicitado&gt;$AN587)),"ACIMA REF.","")))))</f>
        <v/>
      </c>
      <c r="AD587" t="str">
        <f ca="1">IF(C587&lt;=CRONO.NivelExibicao,MAX($AD$15:OFFSET(AD587,-1,0))+IF($C587&lt;&gt;1,1,MAX(1,COUNTIF(QCI!$A$13:$A$24,OFFSET($E587,-1,0)))),"")</f>
        <v/>
      </c>
      <c r="AE587" s="7" t="str">
        <f ca="1">IF(AND($C587="S",ORÇAMENTO.CodBarra&lt;&gt;""),IF(ORÇAMENTO.Fonte="",ORÇAMENTO.CodBarra,CONCATENATE(ORÇAMENTO.Fonte," ",ORÇAMENTO.CodBarra)))</f>
        <v>SINAPI 91870</v>
      </c>
      <c r="AF587" s="13" t="str">
        <f ca="1">IF(ISERROR(INDIRECT(ORÇAMENTO.BancoRef)),"(abra o arquivo 'Referência "&amp;Excel_BuiltIn_Database&amp;".xlsm)",IF(OR($C587&lt;&gt;"S",ORÇAMENTO.CodBarra=""),"(Sem Código)",IF(ISERROR(MATCH($AE587,INDIRECT(ORÇAMENTO.BancoRef),0)),"(Código não identificado nas referências)",MATCH($AE587,INDIRECT(ORÇAMENTO.BancoRef),0))))</f>
        <v>(abra o arquivo 'Referência 06-2024.xlsm)</v>
      </c>
      <c r="AG587" s="498">
        <f ca="1">ROUND(IF(DESONERACAO="sim",REFERENCIA.Desonerado,REFERENCIA.NaoDesonerado),2)</f>
        <v>0</v>
      </c>
      <c r="AH587" s="499">
        <f t="shared" ca="1" si="139"/>
        <v>0.2432</v>
      </c>
      <c r="AJ587" s="501"/>
      <c r="AL587" s="527"/>
      <c r="AM587" s="381">
        <f t="shared" ca="1" si="133"/>
        <v>0</v>
      </c>
      <c r="AN587" s="566">
        <f t="shared" ca="1" si="140"/>
        <v>0</v>
      </c>
    </row>
    <row r="588" spans="1:40" ht="38.25" x14ac:dyDescent="0.2">
      <c r="A588" t="str">
        <f t="shared" ref="A588:A643" si="142">CHOOSE(1+LOG(1+2*(ORÇAMENTO.Nivel="Meta")+4*(ORÇAMENTO.Nivel="Nível 2")+8*(ORÇAMENTO.Nivel="Nível 3")+16*(ORÇAMENTO.Nivel="Nível 4")+32*(ORÇAMENTO.Nivel="Serviço"),2),0,1,2,3,4,"S")</f>
        <v>S</v>
      </c>
      <c r="B588">
        <f t="shared" ca="1" si="120"/>
        <v>2</v>
      </c>
      <c r="C588" t="str">
        <f t="shared" ca="1" si="121"/>
        <v>S</v>
      </c>
      <c r="D588">
        <f t="shared" ca="1" si="122"/>
        <v>0</v>
      </c>
      <c r="E588">
        <f ca="1">IF($C588=1,OFFSET(E588,-1,0)+MAX(1,COUNTIF(QCI!$A$13:$A$24,OFFSET(ORÇAMENTO!E588,-1,0))),OFFSET(E588,-1,0))</f>
        <v>1</v>
      </c>
      <c r="F588">
        <f t="shared" ca="1" si="123"/>
        <v>58</v>
      </c>
      <c r="G588">
        <f t="shared" ca="1" si="124"/>
        <v>0</v>
      </c>
      <c r="H588">
        <f t="shared" ca="1" si="125"/>
        <v>0</v>
      </c>
      <c r="I588">
        <f t="shared" ca="1" si="126"/>
        <v>0</v>
      </c>
      <c r="J588">
        <f t="shared" ca="1" si="136"/>
        <v>0</v>
      </c>
      <c r="K588">
        <f ca="1">IF(OR($C588="S",$C588=0),0,MATCH(OFFSET($D588,0,$C588)+IF($C588&lt;&gt;1,1,COUNTIF(QCI!$A$13:$A$24,ORÇAMENTO!E588)),OFFSET($D588,1,$C588,ROW($C$727)-ROW($C588)),0))</f>
        <v>0</v>
      </c>
      <c r="L588" s="116" t="str">
        <f t="shared" ca="1" si="127"/>
        <v/>
      </c>
      <c r="M588" s="117" t="s">
        <v>199</v>
      </c>
      <c r="N588" s="118" t="str">
        <f t="shared" ca="1" si="128"/>
        <v>Serviço</v>
      </c>
      <c r="O588" s="119" t="str">
        <f t="shared" ca="1" si="129"/>
        <v>-</v>
      </c>
      <c r="P588" s="120" t="s">
        <v>458</v>
      </c>
      <c r="Q588" s="121" t="s">
        <v>938</v>
      </c>
      <c r="R588" s="122" t="str">
        <f ca="1">IF($C588="S",REFERENCIA.Descricao,"(digite a descrição aqui)")</f>
        <v>(abra o arquivo 'Referência 06-2024.xlsm)</v>
      </c>
      <c r="S588" s="123" t="str">
        <f ca="1">REFERENCIA.Unidade</f>
        <v>-</v>
      </c>
      <c r="T588" s="124">
        <f ca="1">OFFSET(CÁLCULO!H$15,ROW($T588)-ROW(T$15),0)</f>
        <v>2.2999999999999998</v>
      </c>
      <c r="U588" s="125">
        <f t="shared" ca="1" si="141"/>
        <v>0</v>
      </c>
      <c r="V588" s="126" t="s">
        <v>156</v>
      </c>
      <c r="W588" s="124">
        <f ca="1">IF($C588="S",ROUND(IF(TIPOORCAMENTO="Proposto",ORÇAMENTO.CustoUnitario*(1+$AH588),ORÇAMENTO.PrecoUnitarioLicitado),15-13*$AF$10),0)</f>
        <v>0</v>
      </c>
      <c r="X588" s="127">
        <f ca="1">IF($C588="S",IF(Import.TipoArredondamento&lt;&gt;"TransfereGOV",VTOTAL1,SUM(OFFSET(CÁLCULO!$AI$15,ROW($X588)-ROW($X$15),1):OFFSET(CÁLCULO!$BB$15,ROW($X588)-ROW($X$15),-1))),IF($C588=0,0,ROUND(SomaAgrup,15-13*$AF$11)))</f>
        <v>0</v>
      </c>
      <c r="Y588" s="128" t="s">
        <v>245</v>
      </c>
      <c r="Z588" t="str">
        <f t="shared" ca="1" si="130"/>
        <v/>
      </c>
      <c r="AA588" s="129">
        <f ca="1">IF($C588="S",IF($Z588="CP",$X588,IF($Z588="RA",(($X588)*QCI!$AA$3),0)),SomaAgrup)</f>
        <v>0</v>
      </c>
      <c r="AB588" s="130">
        <f t="shared" ref="AB588:AB643" ca="1" si="143">IF($C588="S",IF($Z588="OU",ROUND($X588,2),0),SomaAgrup)</f>
        <v>0</v>
      </c>
      <c r="AC588" s="131" t="str">
        <f ca="1">IF($N588="","",IF(ORÇAMENTO.Descricao="","DESCRIÇÃO",IF(AND($C588="S",ORÇAMENTO.Unidade=""),"UNIDADE",IF($X588&lt;0,"VALOR NEGATIVO",IF(OR(AND(TIPOORCAMENTO="Proposto",$AG588&lt;&gt;"",$AG588&gt;0,ORÇAMENTO.CustoUnitario&gt;$AG588),AND(TIPOORCAMENTO="LICITADO",ORÇAMENTO.PrecoUnitarioLicitado&gt;$AN588)),"ACIMA REF.","")))))</f>
        <v/>
      </c>
      <c r="AD588" t="str">
        <f ca="1">IF(C588&lt;=CRONO.NivelExibicao,MAX($AD$15:OFFSET(AD588,-1,0))+IF($C588&lt;&gt;1,1,MAX(1,COUNTIF(QCI!$A$13:$A$24,OFFSET($E588,-1,0)))),"")</f>
        <v/>
      </c>
      <c r="AE588" s="7" t="str">
        <f ca="1">IF(AND($C588="S",ORÇAMENTO.CodBarra&lt;&gt;""),IF(ORÇAMENTO.Fonte="",ORÇAMENTO.CodBarra,CONCATENATE(ORÇAMENTO.Fonte," ",ORÇAMENTO.CodBarra)))</f>
        <v>COMPOSIÇÃO 104409</v>
      </c>
      <c r="AF588" s="13" t="str">
        <f ca="1">IF(ISERROR(INDIRECT(ORÇAMENTO.BancoRef)),"(abra o arquivo 'Referência "&amp;Excel_BuiltIn_Database&amp;".xlsm)",IF(OR($C588&lt;&gt;"S",ORÇAMENTO.CodBarra=""),"(Sem Código)",IF(ISERROR(MATCH($AE588,INDIRECT(ORÇAMENTO.BancoRef),0)),"(Código não identificado nas referências)",MATCH($AE588,INDIRECT(ORÇAMENTO.BancoRef),0))))</f>
        <v>(abra o arquivo 'Referência 06-2024.xlsm)</v>
      </c>
      <c r="AG588" s="498">
        <f ca="1">ROUND(IF(DESONERACAO="sim",REFERENCIA.Desonerado,REFERENCIA.NaoDesonerado),2)</f>
        <v>0</v>
      </c>
      <c r="AH588" s="499">
        <f t="shared" ref="AH588:AH643" ca="1" si="144">ROUND(IF(ISNUMBER(ORÇAMENTO.OpcaoBDI),ORÇAMENTO.OpcaoBDI,IF(LEFT(ORÇAMENTO.OpcaoBDI,3)="BDI",HLOOKUP(ORÇAMENTO.OpcaoBDI,$F$4:$H$5,2,FALSE),0)),15-11*$AF$9)</f>
        <v>0.2432</v>
      </c>
      <c r="AJ588" s="501"/>
      <c r="AL588" s="527"/>
      <c r="AM588" s="381">
        <f t="shared" ca="1" si="133"/>
        <v>0</v>
      </c>
      <c r="AN588" s="566">
        <f t="shared" ref="AN588:AN643" ca="1" si="145">ROUND(ORÇAMENTO.CustoUnitario*(1+$AH588),2)</f>
        <v>0</v>
      </c>
    </row>
    <row r="589" spans="1:40" ht="38.25" x14ac:dyDescent="0.2">
      <c r="A589" t="str">
        <f t="shared" si="142"/>
        <v>S</v>
      </c>
      <c r="B589">
        <f t="shared" ca="1" si="120"/>
        <v>2</v>
      </c>
      <c r="C589" t="str">
        <f t="shared" ca="1" si="121"/>
        <v>S</v>
      </c>
      <c r="D589">
        <f t="shared" ca="1" si="122"/>
        <v>0</v>
      </c>
      <c r="E589">
        <f ca="1">IF($C589=1,OFFSET(E589,-1,0)+MAX(1,COUNTIF(QCI!$A$13:$A$24,OFFSET(ORÇAMENTO!E589,-1,0))),OFFSET(E589,-1,0))</f>
        <v>1</v>
      </c>
      <c r="F589">
        <f t="shared" ca="1" si="123"/>
        <v>58</v>
      </c>
      <c r="G589">
        <f t="shared" ca="1" si="124"/>
        <v>0</v>
      </c>
      <c r="H589">
        <f t="shared" ca="1" si="125"/>
        <v>0</v>
      </c>
      <c r="I589">
        <f t="shared" ca="1" si="126"/>
        <v>0</v>
      </c>
      <c r="J589">
        <f t="shared" ca="1" si="136"/>
        <v>0</v>
      </c>
      <c r="K589">
        <f ca="1">IF(OR($C589="S",$C589=0),0,MATCH(OFFSET($D589,0,$C589)+IF($C589&lt;&gt;1,1,COUNTIF(QCI!$A$13:$A$24,ORÇAMENTO!E589)),OFFSET($D589,1,$C589,ROW($C$727)-ROW($C589)),0))</f>
        <v>0</v>
      </c>
      <c r="L589" s="116" t="str">
        <f t="shared" ca="1" si="127"/>
        <v/>
      </c>
      <c r="M589" s="117" t="s">
        <v>199</v>
      </c>
      <c r="N589" s="118" t="str">
        <f t="shared" ca="1" si="128"/>
        <v>Serviço</v>
      </c>
      <c r="O589" s="119" t="str">
        <f t="shared" ca="1" si="129"/>
        <v>-</v>
      </c>
      <c r="P589" s="120" t="s">
        <v>247</v>
      </c>
      <c r="Q589" s="121" t="s">
        <v>939</v>
      </c>
      <c r="R589" s="122" t="str">
        <f ca="1">IF($C589="S",REFERENCIA.Descricao,"(digite a descrição aqui)")</f>
        <v>(abra o arquivo 'Referência 06-2024.xlsm)</v>
      </c>
      <c r="S589" s="123" t="str">
        <f ca="1">REFERENCIA.Unidade</f>
        <v>-</v>
      </c>
      <c r="T589" s="124">
        <f ca="1">OFFSET(CÁLCULO!H$15,ROW($T589)-ROW(T$15),0)</f>
        <v>17.8</v>
      </c>
      <c r="U589" s="125">
        <f t="shared" ca="1" si="141"/>
        <v>0</v>
      </c>
      <c r="V589" s="126" t="s">
        <v>156</v>
      </c>
      <c r="W589" s="124">
        <f ca="1">IF($C589="S",ROUND(IF(TIPOORCAMENTO="Proposto",ORÇAMENTO.CustoUnitario*(1+$AH589),ORÇAMENTO.PrecoUnitarioLicitado),15-13*$AF$10),0)</f>
        <v>0</v>
      </c>
      <c r="X589" s="127">
        <f ca="1">IF($C589="S",IF(Import.TipoArredondamento&lt;&gt;"TransfereGOV",VTOTAL1,SUM(OFFSET(CÁLCULO!$AI$15,ROW($X589)-ROW($X$15),1):OFFSET(CÁLCULO!$BB$15,ROW($X589)-ROW($X$15),-1))),IF($C589=0,0,ROUND(SomaAgrup,15-13*$AF$11)))</f>
        <v>0</v>
      </c>
      <c r="Y589" s="128" t="s">
        <v>245</v>
      </c>
      <c r="Z589" t="str">
        <f t="shared" ca="1" si="130"/>
        <v/>
      </c>
      <c r="AA589" s="129">
        <f ca="1">IF($C589="S",IF($Z589="CP",$X589,IF($Z589="RA",(($X589)*QCI!$AA$3),0)),SomaAgrup)</f>
        <v>0</v>
      </c>
      <c r="AB589" s="130">
        <f t="shared" ca="1" si="143"/>
        <v>0</v>
      </c>
      <c r="AC589" s="131" t="str">
        <f ca="1">IF($N589="","",IF(ORÇAMENTO.Descricao="","DESCRIÇÃO",IF(AND($C589="S",ORÇAMENTO.Unidade=""),"UNIDADE",IF($X589&lt;0,"VALOR NEGATIVO",IF(OR(AND(TIPOORCAMENTO="Proposto",$AG589&lt;&gt;"",$AG589&gt;0,ORÇAMENTO.CustoUnitario&gt;$AG589),AND(TIPOORCAMENTO="LICITADO",ORÇAMENTO.PrecoUnitarioLicitado&gt;$AN589)),"ACIMA REF.","")))))</f>
        <v/>
      </c>
      <c r="AD589" t="str">
        <f ca="1">IF(C589&lt;=CRONO.NivelExibicao,MAX($AD$15:OFFSET(AD589,-1,0))+IF($C589&lt;&gt;1,1,MAX(1,COUNTIF(QCI!$A$13:$A$24,OFFSET($E589,-1,0)))),"")</f>
        <v/>
      </c>
      <c r="AE589" s="7" t="str">
        <f ca="1">IF(AND($C589="S",ORÇAMENTO.CodBarra&lt;&gt;""),IF(ORÇAMENTO.Fonte="",ORÇAMENTO.CodBarra,CONCATENATE(ORÇAMENTO.Fonte," ",ORÇAMENTO.CodBarra)))</f>
        <v>SINAPI 97670</v>
      </c>
      <c r="AF589" s="13" t="str">
        <f ca="1">IF(ISERROR(INDIRECT(ORÇAMENTO.BancoRef)),"(abra o arquivo 'Referência "&amp;Excel_BuiltIn_Database&amp;".xlsm)",IF(OR($C589&lt;&gt;"S",ORÇAMENTO.CodBarra=""),"(Sem Código)",IF(ISERROR(MATCH($AE589,INDIRECT(ORÇAMENTO.BancoRef),0)),"(Código não identificado nas referências)",MATCH($AE589,INDIRECT(ORÇAMENTO.BancoRef),0))))</f>
        <v>(abra o arquivo 'Referência 06-2024.xlsm)</v>
      </c>
      <c r="AG589" s="498">
        <f ca="1">ROUND(IF(DESONERACAO="sim",REFERENCIA.Desonerado,REFERENCIA.NaoDesonerado),2)</f>
        <v>0</v>
      </c>
      <c r="AH589" s="499">
        <f t="shared" ca="1" si="144"/>
        <v>0.2432</v>
      </c>
      <c r="AJ589" s="501"/>
      <c r="AL589" s="527"/>
      <c r="AM589" s="381">
        <f t="shared" ca="1" si="133"/>
        <v>0</v>
      </c>
      <c r="AN589" s="566">
        <f t="shared" ca="1" si="145"/>
        <v>0</v>
      </c>
    </row>
    <row r="590" spans="1:40" ht="25.5" x14ac:dyDescent="0.2">
      <c r="A590" t="str">
        <f t="shared" si="142"/>
        <v>S</v>
      </c>
      <c r="B590">
        <f t="shared" ca="1" si="120"/>
        <v>2</v>
      </c>
      <c r="C590" t="str">
        <f t="shared" ca="1" si="121"/>
        <v>S</v>
      </c>
      <c r="D590">
        <f t="shared" ca="1" si="122"/>
        <v>0</v>
      </c>
      <c r="E590">
        <f ca="1">IF($C590=1,OFFSET(E590,-1,0)+MAX(1,COUNTIF(QCI!$A$13:$A$24,OFFSET(ORÇAMENTO!E590,-1,0))),OFFSET(E590,-1,0))</f>
        <v>1</v>
      </c>
      <c r="F590">
        <f t="shared" ca="1" si="123"/>
        <v>58</v>
      </c>
      <c r="G590">
        <f t="shared" ca="1" si="124"/>
        <v>0</v>
      </c>
      <c r="H590">
        <f t="shared" ca="1" si="125"/>
        <v>0</v>
      </c>
      <c r="I590">
        <f t="shared" ca="1" si="126"/>
        <v>0</v>
      </c>
      <c r="J590">
        <f t="shared" ca="1" si="136"/>
        <v>0</v>
      </c>
      <c r="K590">
        <f ca="1">IF(OR($C590="S",$C590=0),0,MATCH(OFFSET($D590,0,$C590)+IF($C590&lt;&gt;1,1,COUNTIF(QCI!$A$13:$A$24,ORÇAMENTO!E590)),OFFSET($D590,1,$C590,ROW($C$727)-ROW($C590)),0))</f>
        <v>0</v>
      </c>
      <c r="L590" s="116" t="str">
        <f t="shared" ca="1" si="127"/>
        <v/>
      </c>
      <c r="M590" s="117" t="s">
        <v>199</v>
      </c>
      <c r="N590" s="118" t="str">
        <f t="shared" ca="1" si="128"/>
        <v>Serviço</v>
      </c>
      <c r="O590" s="119" t="str">
        <f t="shared" ca="1" si="129"/>
        <v>-</v>
      </c>
      <c r="P590" s="120" t="s">
        <v>247</v>
      </c>
      <c r="Q590" s="121" t="s">
        <v>940</v>
      </c>
      <c r="R590" s="122" t="str">
        <f ca="1">IF($C590="S",REFERENCIA.Descricao,"(digite a descrição aqui)")</f>
        <v>(abra o arquivo 'Referência 06-2024.xlsm)</v>
      </c>
      <c r="S590" s="123" t="str">
        <f ca="1">REFERENCIA.Unidade</f>
        <v>-</v>
      </c>
      <c r="T590" s="124">
        <f ca="1">OFFSET(CÁLCULO!H$15,ROW($T590)-ROW(T$15),0)</f>
        <v>3</v>
      </c>
      <c r="U590" s="125">
        <f t="shared" ca="1" si="141"/>
        <v>0</v>
      </c>
      <c r="V590" s="126" t="s">
        <v>156</v>
      </c>
      <c r="W590" s="124">
        <f ca="1">IF($C590="S",ROUND(IF(TIPOORCAMENTO="Proposto",ORÇAMENTO.CustoUnitario*(1+$AH590),ORÇAMENTO.PrecoUnitarioLicitado),15-13*$AF$10),0)</f>
        <v>0</v>
      </c>
      <c r="X590" s="127">
        <f ca="1">IF($C590="S",IF(Import.TipoArredondamento&lt;&gt;"TransfereGOV",VTOTAL1,SUM(OFFSET(CÁLCULO!$AI$15,ROW($X590)-ROW($X$15),1):OFFSET(CÁLCULO!$BB$15,ROW($X590)-ROW($X$15),-1))),IF($C590=0,0,ROUND(SomaAgrup,15-13*$AF$11)))</f>
        <v>0</v>
      </c>
      <c r="Y590" s="128" t="s">
        <v>245</v>
      </c>
      <c r="Z590" t="str">
        <f t="shared" ca="1" si="130"/>
        <v/>
      </c>
      <c r="AA590" s="129">
        <f ca="1">IF($C590="S",IF($Z590="CP",$X590,IF($Z590="RA",(($X590)*QCI!$AA$3),0)),SomaAgrup)</f>
        <v>0</v>
      </c>
      <c r="AB590" s="130">
        <f t="shared" ca="1" si="143"/>
        <v>0</v>
      </c>
      <c r="AC590" s="131" t="str">
        <f ca="1">IF($N590="","",IF(ORÇAMENTO.Descricao="","DESCRIÇÃO",IF(AND($C590="S",ORÇAMENTO.Unidade=""),"UNIDADE",IF($X590&lt;0,"VALOR NEGATIVO",IF(OR(AND(TIPOORCAMENTO="Proposto",$AG590&lt;&gt;"",$AG590&gt;0,ORÇAMENTO.CustoUnitario&gt;$AG590),AND(TIPOORCAMENTO="LICITADO",ORÇAMENTO.PrecoUnitarioLicitado&gt;$AN590)),"ACIMA REF.","")))))</f>
        <v/>
      </c>
      <c r="AD590" t="str">
        <f ca="1">IF(C590&lt;=CRONO.NivelExibicao,MAX($AD$15:OFFSET(AD590,-1,0))+IF($C590&lt;&gt;1,1,MAX(1,COUNTIF(QCI!$A$13:$A$24,OFFSET($E590,-1,0)))),"")</f>
        <v/>
      </c>
      <c r="AE590" s="7" t="str">
        <f ca="1">IF(AND($C590="S",ORÇAMENTO.CodBarra&lt;&gt;""),IF(ORÇAMENTO.Fonte="",ORÇAMENTO.CodBarra,CONCATENATE(ORÇAMENTO.Fonte," ",ORÇAMENTO.CodBarra)))</f>
        <v>SINAPI 101663</v>
      </c>
      <c r="AF590" s="13" t="str">
        <f ca="1">IF(ISERROR(INDIRECT(ORÇAMENTO.BancoRef)),"(abra o arquivo 'Referência "&amp;Excel_BuiltIn_Database&amp;".xlsm)",IF(OR($C590&lt;&gt;"S",ORÇAMENTO.CodBarra=""),"(Sem Código)",IF(ISERROR(MATCH($AE590,INDIRECT(ORÇAMENTO.BancoRef),0)),"(Código não identificado nas referências)",MATCH($AE590,INDIRECT(ORÇAMENTO.BancoRef),0))))</f>
        <v>(abra o arquivo 'Referência 06-2024.xlsm)</v>
      </c>
      <c r="AG590" s="498">
        <f ca="1">ROUND(IF(DESONERACAO="sim",REFERENCIA.Desonerado,REFERENCIA.NaoDesonerado),2)</f>
        <v>0</v>
      </c>
      <c r="AH590" s="499">
        <f t="shared" ca="1" si="144"/>
        <v>0.2432</v>
      </c>
      <c r="AJ590" s="501"/>
      <c r="AL590" s="527"/>
      <c r="AM590" s="381">
        <f t="shared" ca="1" si="133"/>
        <v>0</v>
      </c>
      <c r="AN590" s="566">
        <f t="shared" ca="1" si="145"/>
        <v>0</v>
      </c>
    </row>
    <row r="591" spans="1:40" x14ac:dyDescent="0.2">
      <c r="A591">
        <f t="shared" si="142"/>
        <v>2</v>
      </c>
      <c r="B591">
        <f t="shared" ca="1" si="120"/>
        <v>2</v>
      </c>
      <c r="C591">
        <f t="shared" ca="1" si="121"/>
        <v>2</v>
      </c>
      <c r="D591">
        <f t="shared" ca="1" si="122"/>
        <v>4</v>
      </c>
      <c r="E591">
        <f ca="1">IF($C591=1,OFFSET(E591,-1,0)+MAX(1,COUNTIF(QCI!$A$13:$A$24,OFFSET(ORÇAMENTO!E591,-1,0))),OFFSET(E591,-1,0))</f>
        <v>1</v>
      </c>
      <c r="F591">
        <f t="shared" ca="1" si="123"/>
        <v>59</v>
      </c>
      <c r="G591">
        <f t="shared" ca="1" si="124"/>
        <v>0</v>
      </c>
      <c r="H591">
        <f t="shared" ca="1" si="125"/>
        <v>0</v>
      </c>
      <c r="I591">
        <f t="shared" ca="1" si="126"/>
        <v>0</v>
      </c>
      <c r="J591">
        <f t="shared" ca="1" si="136"/>
        <v>136</v>
      </c>
      <c r="K591">
        <f ca="1">IF(OR($C591="S",$C591=0),0,MATCH(OFFSET($D591,0,$C591)+IF($C591&lt;&gt;1,1,COUNTIF(QCI!$A$13:$A$24,ORÇAMENTO!E591)),OFFSET($D591,1,$C591,ROW($C$727)-ROW($C591)),0))</f>
        <v>4</v>
      </c>
      <c r="L591" s="116" t="str">
        <f t="shared" ca="1" si="127"/>
        <v>F</v>
      </c>
      <c r="M591" s="117" t="s">
        <v>196</v>
      </c>
      <c r="N591" s="118" t="str">
        <f t="shared" ca="1" si="128"/>
        <v>Nível 2</v>
      </c>
      <c r="O591" s="119" t="str">
        <f t="shared" ca="1" si="129"/>
        <v>1.59.</v>
      </c>
      <c r="P591" s="120" t="s">
        <v>247</v>
      </c>
      <c r="Q591" s="121"/>
      <c r="R591" s="122" t="s">
        <v>1082</v>
      </c>
      <c r="S591" s="123" t="str">
        <f ca="1">REFERENCIA.Unidade</f>
        <v>-</v>
      </c>
      <c r="T591" s="124">
        <f ca="1">OFFSET(CÁLCULO!H$15,ROW($T591)-ROW(T$15),0)</f>
        <v>0</v>
      </c>
      <c r="U591" s="125">
        <f t="shared" ca="1" si="141"/>
        <v>0</v>
      </c>
      <c r="V591" s="126" t="s">
        <v>156</v>
      </c>
      <c r="W591" s="124">
        <f ca="1">IF($C591="S",ROUND(IF(TIPOORCAMENTO="Proposto",ORÇAMENTO.CustoUnitario*(1+$AH591),ORÇAMENTO.PrecoUnitarioLicitado),15-13*$AF$10),0)</f>
        <v>0</v>
      </c>
      <c r="X591" s="127">
        <f ca="1">IF($C591="S",IF(Import.TipoArredondamento&lt;&gt;"TransfereGOV",VTOTAL1,SUM(OFFSET(CÁLCULO!$AI$15,ROW($X591)-ROW($X$15),1):OFFSET(CÁLCULO!$BB$15,ROW($X591)-ROW($X$15),-1))),IF($C591=0,0,ROUND(SomaAgrup,15-13*$AF$11)))</f>
        <v>0</v>
      </c>
      <c r="Y591" s="128" t="s">
        <v>245</v>
      </c>
      <c r="Z591" t="str">
        <f t="shared" ca="1" si="130"/>
        <v/>
      </c>
      <c r="AA591" s="129">
        <f ca="1">IF($C591="S",IF($Z591="CP",$X591,IF($Z591="RA",(($X591)*QCI!$AA$3),0)),SomaAgrup)</f>
        <v>0</v>
      </c>
      <c r="AB591" s="130">
        <f t="shared" ca="1" si="143"/>
        <v>0</v>
      </c>
      <c r="AC591" s="131" t="str">
        <f ca="1">IF($N591="","",IF(ORÇAMENTO.Descricao="","DESCRIÇÃO",IF(AND($C591="S",ORÇAMENTO.Unidade=""),"UNIDADE",IF($X591&lt;0,"VALOR NEGATIVO",IF(OR(AND(TIPOORCAMENTO="Proposto",$AG591&lt;&gt;"",$AG591&gt;0,ORÇAMENTO.CustoUnitario&gt;$AG591),AND(TIPOORCAMENTO="LICITADO",ORÇAMENTO.PrecoUnitarioLicitado&gt;$AN591)),"ACIMA REF.","")))))</f>
        <v/>
      </c>
      <c r="AD591">
        <f ca="1">IF(C591&lt;=CRONO.NivelExibicao,MAX($AD$15:OFFSET(AD591,-1,0))+IF($C591&lt;&gt;1,1,MAX(1,COUNTIF(QCI!$A$13:$A$24,OFFSET($E591,-1,0)))),"")</f>
        <v>60</v>
      </c>
      <c r="AE591" s="7" t="b">
        <f ca="1">IF(AND($C591="S",ORÇAMENTO.CodBarra&lt;&gt;""),IF(ORÇAMENTO.Fonte="",ORÇAMENTO.CodBarra,CONCATENATE(ORÇAMENTO.Fonte," ",ORÇAMENTO.CodBarra)))</f>
        <v>0</v>
      </c>
      <c r="AF591" s="13" t="str">
        <f ca="1">IF(ISERROR(INDIRECT(ORÇAMENTO.BancoRef)),"(abra o arquivo 'Referência "&amp;Excel_BuiltIn_Database&amp;".xlsm)",IF(OR($C591&lt;&gt;"S",ORÇAMENTO.CodBarra=""),"(Sem Código)",IF(ISERROR(MATCH($AE591,INDIRECT(ORÇAMENTO.BancoRef),0)),"(Código não identificado nas referências)",MATCH($AE591,INDIRECT(ORÇAMENTO.BancoRef),0))))</f>
        <v>(abra o arquivo 'Referência 06-2024.xlsm)</v>
      </c>
      <c r="AG591" s="498">
        <f ca="1">ROUND(IF(DESONERACAO="sim",REFERENCIA.Desonerado,REFERENCIA.NaoDesonerado),2)</f>
        <v>0</v>
      </c>
      <c r="AH591" s="499">
        <f t="shared" ca="1" si="144"/>
        <v>0.2432</v>
      </c>
      <c r="AJ591" s="501"/>
      <c r="AL591" s="527"/>
      <c r="AM591" s="381">
        <f t="shared" ca="1" si="133"/>
        <v>0</v>
      </c>
      <c r="AN591" s="566">
        <f t="shared" ca="1" si="145"/>
        <v>0</v>
      </c>
    </row>
    <row r="592" spans="1:40" x14ac:dyDescent="0.2">
      <c r="A592" t="str">
        <f t="shared" si="142"/>
        <v>S</v>
      </c>
      <c r="B592">
        <f t="shared" ca="1" si="120"/>
        <v>2</v>
      </c>
      <c r="C592" t="str">
        <f t="shared" ca="1" si="121"/>
        <v>S</v>
      </c>
      <c r="D592">
        <f t="shared" ca="1" si="122"/>
        <v>0</v>
      </c>
      <c r="E592">
        <f ca="1">IF($C592=1,OFFSET(E592,-1,0)+MAX(1,COUNTIF(QCI!$A$13:$A$24,OFFSET(ORÇAMENTO!E592,-1,0))),OFFSET(E592,-1,0))</f>
        <v>1</v>
      </c>
      <c r="F592">
        <f t="shared" ca="1" si="123"/>
        <v>59</v>
      </c>
      <c r="G592">
        <f t="shared" ca="1" si="124"/>
        <v>0</v>
      </c>
      <c r="H592">
        <f t="shared" ca="1" si="125"/>
        <v>0</v>
      </c>
      <c r="I592">
        <f t="shared" ca="1" si="126"/>
        <v>0</v>
      </c>
      <c r="J592">
        <f t="shared" ref="J592:J655" ca="1" si="146">IF(OR($C592="S",$C592=0),0,MATCH(0,OFFSET($D592,1,$C592,ROW($C$727)-ROW($C592)),0))</f>
        <v>0</v>
      </c>
      <c r="K592">
        <f ca="1">IF(OR($C592="S",$C592=0),0,MATCH(OFFSET($D592,0,$C592)+IF($C592&lt;&gt;1,1,COUNTIF(QCI!$A$13:$A$24,ORÇAMENTO!E592)),OFFSET($D592,1,$C592,ROW($C$727)-ROW($C592)),0))</f>
        <v>0</v>
      </c>
      <c r="L592" s="116" t="str">
        <f t="shared" ca="1" si="127"/>
        <v/>
      </c>
      <c r="M592" s="117" t="s">
        <v>199</v>
      </c>
      <c r="N592" s="118" t="str">
        <f t="shared" ca="1" si="128"/>
        <v>Serviço</v>
      </c>
      <c r="O592" s="119" t="str">
        <f t="shared" ca="1" si="129"/>
        <v>-</v>
      </c>
      <c r="P592" s="120" t="s">
        <v>458</v>
      </c>
      <c r="Q592" s="121" t="s">
        <v>941</v>
      </c>
      <c r="R592" s="122" t="str">
        <f ca="1">IF($C592="S",REFERENCIA.Descricao,"(digite a descrição aqui)")</f>
        <v>(abra o arquivo 'Referência 06-2024.xlsm)</v>
      </c>
      <c r="S592" s="123" t="str">
        <f ca="1">REFERENCIA.Unidade</f>
        <v>-</v>
      </c>
      <c r="T592" s="124">
        <f ca="1">OFFSET(CÁLCULO!H$15,ROW($T592)-ROW(T$15),0)</f>
        <v>53</v>
      </c>
      <c r="U592" s="125">
        <f t="shared" ca="1" si="141"/>
        <v>0</v>
      </c>
      <c r="V592" s="126" t="s">
        <v>156</v>
      </c>
      <c r="W592" s="124">
        <f ca="1">IF($C592="S",ROUND(IF(TIPOORCAMENTO="Proposto",ORÇAMENTO.CustoUnitario*(1+$AH592),ORÇAMENTO.PrecoUnitarioLicitado),15-13*$AF$10),0)</f>
        <v>0</v>
      </c>
      <c r="X592" s="127">
        <f ca="1">IF($C592="S",IF(Import.TipoArredondamento&lt;&gt;"TransfereGOV",VTOTAL1,SUM(OFFSET(CÁLCULO!$AI$15,ROW($X592)-ROW($X$15),1):OFFSET(CÁLCULO!$BB$15,ROW($X592)-ROW($X$15),-1))),IF($C592=0,0,ROUND(SomaAgrup,15-13*$AF$11)))</f>
        <v>0</v>
      </c>
      <c r="Y592" s="128" t="s">
        <v>245</v>
      </c>
      <c r="Z592" t="str">
        <f t="shared" ca="1" si="130"/>
        <v/>
      </c>
      <c r="AA592" s="129">
        <f ca="1">IF($C592="S",IF($Z592="CP",$X592,IF($Z592="RA",(($X592)*QCI!$AA$3),0)),SomaAgrup)</f>
        <v>0</v>
      </c>
      <c r="AB592" s="130">
        <f t="shared" ca="1" si="143"/>
        <v>0</v>
      </c>
      <c r="AC592" s="131" t="str">
        <f ca="1">IF($N592="","",IF(ORÇAMENTO.Descricao="","DESCRIÇÃO",IF(AND($C592="S",ORÇAMENTO.Unidade=""),"UNIDADE",IF($X592&lt;0,"VALOR NEGATIVO",IF(OR(AND(TIPOORCAMENTO="Proposto",$AG592&lt;&gt;"",$AG592&gt;0,ORÇAMENTO.CustoUnitario&gt;$AG592),AND(TIPOORCAMENTO="LICITADO",ORÇAMENTO.PrecoUnitarioLicitado&gt;$AN592)),"ACIMA REF.","")))))</f>
        <v/>
      </c>
      <c r="AD592" t="str">
        <f ca="1">IF(C592&lt;=CRONO.NivelExibicao,MAX($AD$15:OFFSET(AD592,-1,0))+IF($C592&lt;&gt;1,1,MAX(1,COUNTIF(QCI!$A$13:$A$24,OFFSET($E592,-1,0)))),"")</f>
        <v/>
      </c>
      <c r="AE592" s="7" t="str">
        <f ca="1">IF(AND($C592="S",ORÇAMENTO.CodBarra&lt;&gt;""),IF(ORÇAMENTO.Fonte="",ORÇAMENTO.CodBarra,CONCATENATE(ORÇAMENTO.Fonte," ",ORÇAMENTO.CodBarra)))</f>
        <v>COMPOSIÇÃO FNDE 373</v>
      </c>
      <c r="AF592" s="13" t="str">
        <f ca="1">IF(ISERROR(INDIRECT(ORÇAMENTO.BancoRef)),"(abra o arquivo 'Referência "&amp;Excel_BuiltIn_Database&amp;".xlsm)",IF(OR($C592&lt;&gt;"S",ORÇAMENTO.CodBarra=""),"(Sem Código)",IF(ISERROR(MATCH($AE592,INDIRECT(ORÇAMENTO.BancoRef),0)),"(Código não identificado nas referências)",MATCH($AE592,INDIRECT(ORÇAMENTO.BancoRef),0))))</f>
        <v>(abra o arquivo 'Referência 06-2024.xlsm)</v>
      </c>
      <c r="AG592" s="498">
        <f ca="1">ROUND(IF(DESONERACAO="sim",REFERENCIA.Desonerado,REFERENCIA.NaoDesonerado),2)</f>
        <v>0</v>
      </c>
      <c r="AH592" s="499">
        <f t="shared" ca="1" si="144"/>
        <v>0.2432</v>
      </c>
      <c r="AJ592" s="501"/>
      <c r="AL592" s="527"/>
      <c r="AM592" s="381">
        <f t="shared" ca="1" si="133"/>
        <v>0</v>
      </c>
      <c r="AN592" s="566">
        <f t="shared" ca="1" si="145"/>
        <v>0</v>
      </c>
    </row>
    <row r="593" spans="1:40" ht="38.25" x14ac:dyDescent="0.2">
      <c r="A593" t="str">
        <f t="shared" si="142"/>
        <v>S</v>
      </c>
      <c r="B593">
        <f t="shared" ca="1" si="120"/>
        <v>2</v>
      </c>
      <c r="C593" t="str">
        <f t="shared" ca="1" si="121"/>
        <v>S</v>
      </c>
      <c r="D593">
        <f t="shared" ca="1" si="122"/>
        <v>0</v>
      </c>
      <c r="E593">
        <f ca="1">IF($C593=1,OFFSET(E593,-1,0)+MAX(1,COUNTIF(QCI!$A$13:$A$24,OFFSET(ORÇAMENTO!E593,-1,0))),OFFSET(E593,-1,0))</f>
        <v>1</v>
      </c>
      <c r="F593">
        <f t="shared" ca="1" si="123"/>
        <v>59</v>
      </c>
      <c r="G593">
        <f t="shared" ca="1" si="124"/>
        <v>0</v>
      </c>
      <c r="H593">
        <f t="shared" ca="1" si="125"/>
        <v>0</v>
      </c>
      <c r="I593">
        <f t="shared" ca="1" si="126"/>
        <v>0</v>
      </c>
      <c r="J593">
        <f t="shared" ca="1" si="146"/>
        <v>0</v>
      </c>
      <c r="K593">
        <f ca="1">IF(OR($C593="S",$C593=0),0,MATCH(OFFSET($D593,0,$C593)+IF($C593&lt;&gt;1,1,COUNTIF(QCI!$A$13:$A$24,ORÇAMENTO!E593)),OFFSET($D593,1,$C593,ROW($C$727)-ROW($C593)),0))</f>
        <v>0</v>
      </c>
      <c r="L593" s="116" t="str">
        <f t="shared" ca="1" si="127"/>
        <v/>
      </c>
      <c r="M593" s="117" t="s">
        <v>199</v>
      </c>
      <c r="N593" s="118" t="str">
        <f t="shared" ca="1" si="128"/>
        <v>Serviço</v>
      </c>
      <c r="O593" s="119" t="str">
        <f t="shared" ca="1" si="129"/>
        <v>-</v>
      </c>
      <c r="P593" s="120" t="s">
        <v>247</v>
      </c>
      <c r="Q593" s="121" t="s">
        <v>942</v>
      </c>
      <c r="R593" s="122" t="str">
        <f ca="1">IF($C593="S",REFERENCIA.Descricao,"(digite a descrição aqui)")</f>
        <v>(abra o arquivo 'Referência 06-2024.xlsm)</v>
      </c>
      <c r="S593" s="123" t="str">
        <f ca="1">REFERENCIA.Unidade</f>
        <v>-</v>
      </c>
      <c r="T593" s="124">
        <f ca="1">OFFSET(CÁLCULO!H$15,ROW($T593)-ROW(T$15),0)</f>
        <v>45.3</v>
      </c>
      <c r="U593" s="125">
        <f t="shared" ca="1" si="141"/>
        <v>0</v>
      </c>
      <c r="V593" s="126" t="s">
        <v>156</v>
      </c>
      <c r="W593" s="124">
        <f ca="1">IF($C593="S",ROUND(IF(TIPOORCAMENTO="Proposto",ORÇAMENTO.CustoUnitario*(1+$AH593),ORÇAMENTO.PrecoUnitarioLicitado),15-13*$AF$10),0)</f>
        <v>0</v>
      </c>
      <c r="X593" s="127">
        <f ca="1">IF($C593="S",IF(Import.TipoArredondamento&lt;&gt;"TransfereGOV",VTOTAL1,SUM(OFFSET(CÁLCULO!$AI$15,ROW($X593)-ROW($X$15),1):OFFSET(CÁLCULO!$BB$15,ROW($X593)-ROW($X$15),-1))),IF($C593=0,0,ROUND(SomaAgrup,15-13*$AF$11)))</f>
        <v>0</v>
      </c>
      <c r="Y593" s="128" t="s">
        <v>245</v>
      </c>
      <c r="Z593" t="str">
        <f t="shared" ca="1" si="130"/>
        <v/>
      </c>
      <c r="AA593" s="129">
        <f ca="1">IF($C593="S",IF($Z593="CP",$X593,IF($Z593="RA",(($X593)*QCI!$AA$3),0)),SomaAgrup)</f>
        <v>0</v>
      </c>
      <c r="AB593" s="130">
        <f t="shared" ca="1" si="143"/>
        <v>0</v>
      </c>
      <c r="AC593" s="131" t="str">
        <f ca="1">IF($N593="","",IF(ORÇAMENTO.Descricao="","DESCRIÇÃO",IF(AND($C593="S",ORÇAMENTO.Unidade=""),"UNIDADE",IF($X593&lt;0,"VALOR NEGATIVO",IF(OR(AND(TIPOORCAMENTO="Proposto",$AG593&lt;&gt;"",$AG593&gt;0,ORÇAMENTO.CustoUnitario&gt;$AG593),AND(TIPOORCAMENTO="LICITADO",ORÇAMENTO.PrecoUnitarioLicitado&gt;$AN593)),"ACIMA REF.","")))))</f>
        <v/>
      </c>
      <c r="AD593" t="str">
        <f ca="1">IF(C593&lt;=CRONO.NivelExibicao,MAX($AD$15:OFFSET(AD593,-1,0))+IF($C593&lt;&gt;1,1,MAX(1,COUNTIF(QCI!$A$13:$A$24,OFFSET($E593,-1,0)))),"")</f>
        <v/>
      </c>
      <c r="AE593" s="7" t="str">
        <f ca="1">IF(AND($C593="S",ORÇAMENTO.CodBarra&lt;&gt;""),IF(ORÇAMENTO.Fonte="",ORÇAMENTO.CodBarra,CONCATENATE(ORÇAMENTO.Fonte," ",ORÇAMENTO.CodBarra)))</f>
        <v>SINAPI 104764</v>
      </c>
      <c r="AF593" s="13" t="str">
        <f ca="1">IF(ISERROR(INDIRECT(ORÇAMENTO.BancoRef)),"(abra o arquivo 'Referência "&amp;Excel_BuiltIn_Database&amp;".xlsm)",IF(OR($C593&lt;&gt;"S",ORÇAMENTO.CodBarra=""),"(Sem Código)",IF(ISERROR(MATCH($AE593,INDIRECT(ORÇAMENTO.BancoRef),0)),"(Código não identificado nas referências)",MATCH($AE593,INDIRECT(ORÇAMENTO.BancoRef),0))))</f>
        <v>(abra o arquivo 'Referência 06-2024.xlsm)</v>
      </c>
      <c r="AG593" s="498">
        <f ca="1">ROUND(IF(DESONERACAO="sim",REFERENCIA.Desonerado,REFERENCIA.NaoDesonerado),2)</f>
        <v>0</v>
      </c>
      <c r="AH593" s="499">
        <f t="shared" ca="1" si="144"/>
        <v>0.2432</v>
      </c>
      <c r="AJ593" s="501"/>
      <c r="AL593" s="527"/>
      <c r="AM593" s="381">
        <f t="shared" ca="1" si="133"/>
        <v>0</v>
      </c>
      <c r="AN593" s="566">
        <f t="shared" ca="1" si="145"/>
        <v>0</v>
      </c>
    </row>
    <row r="594" spans="1:40" x14ac:dyDescent="0.2">
      <c r="A594" t="str">
        <f t="shared" si="142"/>
        <v>S</v>
      </c>
      <c r="B594">
        <f t="shared" ca="1" si="120"/>
        <v>2</v>
      </c>
      <c r="C594" t="str">
        <f t="shared" ca="1" si="121"/>
        <v>S</v>
      </c>
      <c r="D594">
        <f t="shared" ca="1" si="122"/>
        <v>0</v>
      </c>
      <c r="E594">
        <f ca="1">IF($C594=1,OFFSET(E594,-1,0)+MAX(1,COUNTIF(QCI!$A$13:$A$24,OFFSET(ORÇAMENTO!E594,-1,0))),OFFSET(E594,-1,0))</f>
        <v>1</v>
      </c>
      <c r="F594">
        <f t="shared" ca="1" si="123"/>
        <v>59</v>
      </c>
      <c r="G594">
        <f t="shared" ca="1" si="124"/>
        <v>0</v>
      </c>
      <c r="H594">
        <f t="shared" ca="1" si="125"/>
        <v>0</v>
      </c>
      <c r="I594">
        <f t="shared" ca="1" si="126"/>
        <v>0</v>
      </c>
      <c r="J594">
        <f t="shared" ca="1" si="146"/>
        <v>0</v>
      </c>
      <c r="K594">
        <f ca="1">IF(OR($C594="S",$C594=0),0,MATCH(OFFSET($D594,0,$C594)+IF($C594&lt;&gt;1,1,COUNTIF(QCI!$A$13:$A$24,ORÇAMENTO!E594)),OFFSET($D594,1,$C594,ROW($C$727)-ROW($C594)),0))</f>
        <v>0</v>
      </c>
      <c r="L594" s="116" t="str">
        <f t="shared" ca="1" si="127"/>
        <v/>
      </c>
      <c r="M594" s="117" t="s">
        <v>199</v>
      </c>
      <c r="N594" s="118" t="str">
        <f t="shared" ca="1" si="128"/>
        <v>Serviço</v>
      </c>
      <c r="O594" s="119" t="str">
        <f t="shared" ca="1" si="129"/>
        <v>-</v>
      </c>
      <c r="P594" s="120" t="s">
        <v>458</v>
      </c>
      <c r="Q594" s="121" t="s">
        <v>943</v>
      </c>
      <c r="R594" s="122" t="str">
        <f ca="1">IF($C594="S",REFERENCIA.Descricao,"(digite a descrição aqui)")</f>
        <v>(abra o arquivo 'Referência 06-2024.xlsm)</v>
      </c>
      <c r="S594" s="123" t="str">
        <f ca="1">REFERENCIA.Unidade</f>
        <v>-</v>
      </c>
      <c r="T594" s="124">
        <f ca="1">OFFSET(CÁLCULO!H$15,ROW($T594)-ROW(T$15),0)</f>
        <v>45.3</v>
      </c>
      <c r="U594" s="125">
        <f t="shared" ca="1" si="141"/>
        <v>0</v>
      </c>
      <c r="V594" s="126" t="s">
        <v>156</v>
      </c>
      <c r="W594" s="124">
        <f ca="1">IF($C594="S",ROUND(IF(TIPOORCAMENTO="Proposto",ORÇAMENTO.CustoUnitario*(1+$AH594),ORÇAMENTO.PrecoUnitarioLicitado),15-13*$AF$10),0)</f>
        <v>0</v>
      </c>
      <c r="X594" s="127">
        <f ca="1">IF($C594="S",IF(Import.TipoArredondamento&lt;&gt;"TransfereGOV",VTOTAL1,SUM(OFFSET(CÁLCULO!$AI$15,ROW($X594)-ROW($X$15),1):OFFSET(CÁLCULO!$BB$15,ROW($X594)-ROW($X$15),-1))),IF($C594=0,0,ROUND(SomaAgrup,15-13*$AF$11)))</f>
        <v>0</v>
      </c>
      <c r="Y594" s="128" t="s">
        <v>245</v>
      </c>
      <c r="Z594" t="str">
        <f t="shared" ca="1" si="130"/>
        <v/>
      </c>
      <c r="AA594" s="129">
        <f ca="1">IF($C594="S",IF($Z594="CP",$X594,IF($Z594="RA",(($X594)*QCI!$AA$3),0)),SomaAgrup)</f>
        <v>0</v>
      </c>
      <c r="AB594" s="130">
        <f t="shared" ca="1" si="143"/>
        <v>0</v>
      </c>
      <c r="AC594" s="131" t="str">
        <f ca="1">IF($N594="","",IF(ORÇAMENTO.Descricao="","DESCRIÇÃO",IF(AND($C594="S",ORÇAMENTO.Unidade=""),"UNIDADE",IF($X594&lt;0,"VALOR NEGATIVO",IF(OR(AND(TIPOORCAMENTO="Proposto",$AG594&lt;&gt;"",$AG594&gt;0,ORÇAMENTO.CustoUnitario&gt;$AG594),AND(TIPOORCAMENTO="LICITADO",ORÇAMENTO.PrecoUnitarioLicitado&gt;$AN594)),"ACIMA REF.","")))))</f>
        <v/>
      </c>
      <c r="AD594" t="str">
        <f ca="1">IF(C594&lt;=CRONO.NivelExibicao,MAX($AD$15:OFFSET(AD594,-1,0))+IF($C594&lt;&gt;1,1,MAX(1,COUNTIF(QCI!$A$13:$A$24,OFFSET($E594,-1,0)))),"")</f>
        <v/>
      </c>
      <c r="AE594" s="7" t="str">
        <f ca="1">IF(AND($C594="S",ORÇAMENTO.CodBarra&lt;&gt;""),IF(ORÇAMENTO.Fonte="",ORÇAMENTO.CodBarra,CONCATENATE(ORÇAMENTO.Fonte," ",ORÇAMENTO.CodBarra)))</f>
        <v>COMPOSIÇÃO FNDE 32</v>
      </c>
      <c r="AF594" s="13" t="str">
        <f ca="1">IF(ISERROR(INDIRECT(ORÇAMENTO.BancoRef)),"(abra o arquivo 'Referência "&amp;Excel_BuiltIn_Database&amp;".xlsm)",IF(OR($C594&lt;&gt;"S",ORÇAMENTO.CodBarra=""),"(Sem Código)",IF(ISERROR(MATCH($AE594,INDIRECT(ORÇAMENTO.BancoRef),0)),"(Código não identificado nas referências)",MATCH($AE594,INDIRECT(ORÇAMENTO.BancoRef),0))))</f>
        <v>(abra o arquivo 'Referência 06-2024.xlsm)</v>
      </c>
      <c r="AG594" s="498">
        <f ca="1">ROUND(IF(DESONERACAO="sim",REFERENCIA.Desonerado,REFERENCIA.NaoDesonerado),2)</f>
        <v>0</v>
      </c>
      <c r="AH594" s="499">
        <f t="shared" ca="1" si="144"/>
        <v>0.2432</v>
      </c>
      <c r="AJ594" s="501"/>
      <c r="AL594" s="527"/>
      <c r="AM594" s="381">
        <f t="shared" ca="1" si="133"/>
        <v>0</v>
      </c>
      <c r="AN594" s="566">
        <f t="shared" ca="1" si="145"/>
        <v>0</v>
      </c>
    </row>
    <row r="595" spans="1:40" x14ac:dyDescent="0.2">
      <c r="A595">
        <f t="shared" si="142"/>
        <v>2</v>
      </c>
      <c r="B595">
        <f t="shared" ca="1" si="120"/>
        <v>2</v>
      </c>
      <c r="C595">
        <f t="shared" ca="1" si="121"/>
        <v>2</v>
      </c>
      <c r="D595">
        <f t="shared" ca="1" si="122"/>
        <v>9</v>
      </c>
      <c r="E595">
        <f ca="1">IF($C595=1,OFFSET(E595,-1,0)+MAX(1,COUNTIF(QCI!$A$13:$A$24,OFFSET(ORÇAMENTO!E595,-1,0))),OFFSET(E595,-1,0))</f>
        <v>1</v>
      </c>
      <c r="F595">
        <f t="shared" ca="1" si="123"/>
        <v>60</v>
      </c>
      <c r="G595">
        <f t="shared" ca="1" si="124"/>
        <v>0</v>
      </c>
      <c r="H595">
        <f t="shared" ca="1" si="125"/>
        <v>0</v>
      </c>
      <c r="I595">
        <f t="shared" ca="1" si="126"/>
        <v>0</v>
      </c>
      <c r="J595">
        <f t="shared" ca="1" si="146"/>
        <v>132</v>
      </c>
      <c r="K595">
        <f ca="1">IF(OR($C595="S",$C595=0),0,MATCH(OFFSET($D595,0,$C595)+IF($C595&lt;&gt;1,1,COUNTIF(QCI!$A$13:$A$24,ORÇAMENTO!E595)),OFFSET($D595,1,$C595,ROW($C$727)-ROW($C595)),0))</f>
        <v>9</v>
      </c>
      <c r="L595" s="116" t="str">
        <f t="shared" ca="1" si="127"/>
        <v>F</v>
      </c>
      <c r="M595" s="117" t="s">
        <v>196</v>
      </c>
      <c r="N595" s="118" t="str">
        <f t="shared" ca="1" si="128"/>
        <v>Nível 2</v>
      </c>
      <c r="O595" s="119" t="str">
        <f t="shared" ca="1" si="129"/>
        <v>1.60.</v>
      </c>
      <c r="P595" s="120" t="s">
        <v>247</v>
      </c>
      <c r="Q595" s="121"/>
      <c r="R595" s="122" t="s">
        <v>1083</v>
      </c>
      <c r="S595" s="123" t="str">
        <f ca="1">REFERENCIA.Unidade</f>
        <v>-</v>
      </c>
      <c r="T595" s="124">
        <f ca="1">OFFSET(CÁLCULO!H$15,ROW($T595)-ROW(T$15),0)</f>
        <v>0</v>
      </c>
      <c r="U595" s="125">
        <f t="shared" ca="1" si="141"/>
        <v>0</v>
      </c>
      <c r="V595" s="126" t="s">
        <v>156</v>
      </c>
      <c r="W595" s="124">
        <f ca="1">IF($C595="S",ROUND(IF(TIPOORCAMENTO="Proposto",ORÇAMENTO.CustoUnitario*(1+$AH595),ORÇAMENTO.PrecoUnitarioLicitado),15-13*$AF$10),0)</f>
        <v>0</v>
      </c>
      <c r="X595" s="127">
        <f ca="1">IF($C595="S",IF(Import.TipoArredondamento&lt;&gt;"TransfereGOV",VTOTAL1,SUM(OFFSET(CÁLCULO!$AI$15,ROW($X595)-ROW($X$15),1):OFFSET(CÁLCULO!$BB$15,ROW($X595)-ROW($X$15),-1))),IF($C595=0,0,ROUND(SomaAgrup,15-13*$AF$11)))</f>
        <v>0</v>
      </c>
      <c r="Y595" s="128" t="s">
        <v>245</v>
      </c>
      <c r="Z595" t="str">
        <f t="shared" ca="1" si="130"/>
        <v/>
      </c>
      <c r="AA595" s="129">
        <f ca="1">IF($C595="S",IF($Z595="CP",$X595,IF($Z595="RA",(($X595)*QCI!$AA$3),0)),SomaAgrup)</f>
        <v>0</v>
      </c>
      <c r="AB595" s="130">
        <f t="shared" ca="1" si="143"/>
        <v>0</v>
      </c>
      <c r="AC595" s="131" t="str">
        <f ca="1">IF($N595="","",IF(ORÇAMENTO.Descricao="","DESCRIÇÃO",IF(AND($C595="S",ORÇAMENTO.Unidade=""),"UNIDADE",IF($X595&lt;0,"VALOR NEGATIVO",IF(OR(AND(TIPOORCAMENTO="Proposto",$AG595&lt;&gt;"",$AG595&gt;0,ORÇAMENTO.CustoUnitario&gt;$AG595),AND(TIPOORCAMENTO="LICITADO",ORÇAMENTO.PrecoUnitarioLicitado&gt;$AN595)),"ACIMA REF.","")))))</f>
        <v/>
      </c>
      <c r="AD595">
        <f ca="1">IF(C595&lt;=CRONO.NivelExibicao,MAX($AD$15:OFFSET(AD595,-1,0))+IF($C595&lt;&gt;1,1,MAX(1,COUNTIF(QCI!$A$13:$A$24,OFFSET($E595,-1,0)))),"")</f>
        <v>61</v>
      </c>
      <c r="AE595" s="7" t="b">
        <f ca="1">IF(AND($C595="S",ORÇAMENTO.CodBarra&lt;&gt;""),IF(ORÇAMENTO.Fonte="",ORÇAMENTO.CodBarra,CONCATENATE(ORÇAMENTO.Fonte," ",ORÇAMENTO.CodBarra)))</f>
        <v>0</v>
      </c>
      <c r="AF595" s="13" t="str">
        <f ca="1">IF(ISERROR(INDIRECT(ORÇAMENTO.BancoRef)),"(abra o arquivo 'Referência "&amp;Excel_BuiltIn_Database&amp;".xlsm)",IF(OR($C595&lt;&gt;"S",ORÇAMENTO.CodBarra=""),"(Sem Código)",IF(ISERROR(MATCH($AE595,INDIRECT(ORÇAMENTO.BancoRef),0)),"(Código não identificado nas referências)",MATCH($AE595,INDIRECT(ORÇAMENTO.BancoRef),0))))</f>
        <v>(abra o arquivo 'Referência 06-2024.xlsm)</v>
      </c>
      <c r="AG595" s="498">
        <f ca="1">ROUND(IF(DESONERACAO="sim",REFERENCIA.Desonerado,REFERENCIA.NaoDesonerado),2)</f>
        <v>0</v>
      </c>
      <c r="AH595" s="499">
        <f t="shared" ca="1" si="144"/>
        <v>0.2432</v>
      </c>
      <c r="AJ595" s="501"/>
      <c r="AL595" s="527"/>
      <c r="AM595" s="381">
        <f t="shared" ca="1" si="133"/>
        <v>0</v>
      </c>
      <c r="AN595" s="566">
        <f t="shared" ca="1" si="145"/>
        <v>0</v>
      </c>
    </row>
    <row r="596" spans="1:40" ht="38.25" x14ac:dyDescent="0.2">
      <c r="A596" t="str">
        <f t="shared" si="142"/>
        <v>S</v>
      </c>
      <c r="B596">
        <f t="shared" ca="1" si="120"/>
        <v>2</v>
      </c>
      <c r="C596" t="str">
        <f t="shared" ca="1" si="121"/>
        <v>S</v>
      </c>
      <c r="D596">
        <f t="shared" ca="1" si="122"/>
        <v>0</v>
      </c>
      <c r="E596">
        <f ca="1">IF($C596=1,OFFSET(E596,-1,0)+MAX(1,COUNTIF(QCI!$A$13:$A$24,OFFSET(ORÇAMENTO!E596,-1,0))),OFFSET(E596,-1,0))</f>
        <v>1</v>
      </c>
      <c r="F596">
        <f t="shared" ca="1" si="123"/>
        <v>60</v>
      </c>
      <c r="G596">
        <f t="shared" ca="1" si="124"/>
        <v>0</v>
      </c>
      <c r="H596">
        <f t="shared" ca="1" si="125"/>
        <v>0</v>
      </c>
      <c r="I596">
        <f t="shared" ca="1" si="126"/>
        <v>0</v>
      </c>
      <c r="J596">
        <f t="shared" ca="1" si="146"/>
        <v>0</v>
      </c>
      <c r="K596">
        <f ca="1">IF(OR($C596="S",$C596=0),0,MATCH(OFFSET($D596,0,$C596)+IF($C596&lt;&gt;1,1,COUNTIF(QCI!$A$13:$A$24,ORÇAMENTO!E596)),OFFSET($D596,1,$C596,ROW($C$727)-ROW($C596)),0))</f>
        <v>0</v>
      </c>
      <c r="L596" s="116" t="str">
        <f t="shared" ca="1" si="127"/>
        <v/>
      </c>
      <c r="M596" s="117" t="s">
        <v>199</v>
      </c>
      <c r="N596" s="118" t="str">
        <f t="shared" ca="1" si="128"/>
        <v>Serviço</v>
      </c>
      <c r="O596" s="119" t="str">
        <f t="shared" ca="1" si="129"/>
        <v>-</v>
      </c>
      <c r="P596" s="120" t="s">
        <v>458</v>
      </c>
      <c r="Q596" s="121" t="s">
        <v>944</v>
      </c>
      <c r="R596" s="122" t="str">
        <f ca="1">IF($C596="S",REFERENCIA.Descricao,"(digite a descrição aqui)")</f>
        <v>(abra o arquivo 'Referência 06-2024.xlsm)</v>
      </c>
      <c r="S596" s="123" t="str">
        <f ca="1">REFERENCIA.Unidade</f>
        <v>-</v>
      </c>
      <c r="T596" s="124">
        <f ca="1">OFFSET(CÁLCULO!H$15,ROW($T596)-ROW(T$15),0)</f>
        <v>16</v>
      </c>
      <c r="U596" s="125">
        <f t="shared" ca="1" si="141"/>
        <v>0</v>
      </c>
      <c r="V596" s="126" t="s">
        <v>156</v>
      </c>
      <c r="W596" s="124">
        <f ca="1">IF($C596="S",ROUND(IF(TIPOORCAMENTO="Proposto",ORÇAMENTO.CustoUnitario*(1+$AH596),ORÇAMENTO.PrecoUnitarioLicitado),15-13*$AF$10),0)</f>
        <v>0</v>
      </c>
      <c r="X596" s="127">
        <f ca="1">IF($C596="S",IF(Import.TipoArredondamento&lt;&gt;"TransfereGOV",VTOTAL1,SUM(OFFSET(CÁLCULO!$AI$15,ROW($X596)-ROW($X$15),1):OFFSET(CÁLCULO!$BB$15,ROW($X596)-ROW($X$15),-1))),IF($C596=0,0,ROUND(SomaAgrup,15-13*$AF$11)))</f>
        <v>0</v>
      </c>
      <c r="Y596" s="128" t="s">
        <v>245</v>
      </c>
      <c r="Z596" t="str">
        <f t="shared" ca="1" si="130"/>
        <v/>
      </c>
      <c r="AA596" s="129">
        <f ca="1">IF($C596="S",IF($Z596="CP",$X596,IF($Z596="RA",(($X596)*QCI!$AA$3),0)),SomaAgrup)</f>
        <v>0</v>
      </c>
      <c r="AB596" s="130">
        <f t="shared" ca="1" si="143"/>
        <v>0</v>
      </c>
      <c r="AC596" s="131" t="str">
        <f ca="1">IF($N596="","",IF(ORÇAMENTO.Descricao="","DESCRIÇÃO",IF(AND($C596="S",ORÇAMENTO.Unidade=""),"UNIDADE",IF($X596&lt;0,"VALOR NEGATIVO",IF(OR(AND(TIPOORCAMENTO="Proposto",$AG596&lt;&gt;"",$AG596&gt;0,ORÇAMENTO.CustoUnitario&gt;$AG596),AND(TIPOORCAMENTO="LICITADO",ORÇAMENTO.PrecoUnitarioLicitado&gt;$AN596)),"ACIMA REF.","")))))</f>
        <v/>
      </c>
      <c r="AD596" t="str">
        <f ca="1">IF(C596&lt;=CRONO.NivelExibicao,MAX($AD$15:OFFSET(AD596,-1,0))+IF($C596&lt;&gt;1,1,MAX(1,COUNTIF(QCI!$A$13:$A$24,OFFSET($E596,-1,0)))),"")</f>
        <v/>
      </c>
      <c r="AE596" s="7" t="str">
        <f ca="1">IF(AND($C596="S",ORÇAMENTO.CodBarra&lt;&gt;""),IF(ORÇAMENTO.Fonte="",ORÇAMENTO.CodBarra,CONCATENATE(ORÇAMENTO.Fonte," ",ORÇAMENTO.CodBarra)))</f>
        <v>COMPOSIÇÃO 97608</v>
      </c>
      <c r="AF596" s="13" t="str">
        <f ca="1">IF(ISERROR(INDIRECT(ORÇAMENTO.BancoRef)),"(abra o arquivo 'Referência "&amp;Excel_BuiltIn_Database&amp;".xlsm)",IF(OR($C596&lt;&gt;"S",ORÇAMENTO.CodBarra=""),"(Sem Código)",IF(ISERROR(MATCH($AE596,INDIRECT(ORÇAMENTO.BancoRef),0)),"(Código não identificado nas referências)",MATCH($AE596,INDIRECT(ORÇAMENTO.BancoRef),0))))</f>
        <v>(abra o arquivo 'Referência 06-2024.xlsm)</v>
      </c>
      <c r="AG596" s="498">
        <f ca="1">ROUND(IF(DESONERACAO="sim",REFERENCIA.Desonerado,REFERENCIA.NaoDesonerado),2)</f>
        <v>0</v>
      </c>
      <c r="AH596" s="499">
        <f t="shared" ca="1" si="144"/>
        <v>0.2432</v>
      </c>
      <c r="AJ596" s="501"/>
      <c r="AL596" s="527"/>
      <c r="AM596" s="381">
        <f t="shared" ca="1" si="133"/>
        <v>0</v>
      </c>
      <c r="AN596" s="566">
        <f t="shared" ca="1" si="145"/>
        <v>0</v>
      </c>
    </row>
    <row r="597" spans="1:40" ht="38.25" x14ac:dyDescent="0.2">
      <c r="A597" t="str">
        <f t="shared" si="142"/>
        <v>S</v>
      </c>
      <c r="B597">
        <f t="shared" ca="1" si="120"/>
        <v>2</v>
      </c>
      <c r="C597" t="str">
        <f t="shared" ca="1" si="121"/>
        <v>S</v>
      </c>
      <c r="D597">
        <f t="shared" ca="1" si="122"/>
        <v>0</v>
      </c>
      <c r="E597">
        <f ca="1">IF($C597=1,OFFSET(E597,-1,0)+MAX(1,COUNTIF(QCI!$A$13:$A$24,OFFSET(ORÇAMENTO!E597,-1,0))),OFFSET(E597,-1,0))</f>
        <v>1</v>
      </c>
      <c r="F597">
        <f t="shared" ca="1" si="123"/>
        <v>60</v>
      </c>
      <c r="G597">
        <f t="shared" ca="1" si="124"/>
        <v>0</v>
      </c>
      <c r="H597">
        <f t="shared" ca="1" si="125"/>
        <v>0</v>
      </c>
      <c r="I597">
        <f t="shared" ca="1" si="126"/>
        <v>0</v>
      </c>
      <c r="J597">
        <f t="shared" ca="1" si="146"/>
        <v>0</v>
      </c>
      <c r="K597">
        <f ca="1">IF(OR($C597="S",$C597=0),0,MATCH(OFFSET($D597,0,$C597)+IF($C597&lt;&gt;1,1,COUNTIF(QCI!$A$13:$A$24,ORÇAMENTO!E597)),OFFSET($D597,1,$C597,ROW($C$727)-ROW($C597)),0))</f>
        <v>0</v>
      </c>
      <c r="L597" s="116" t="str">
        <f t="shared" ca="1" si="127"/>
        <v/>
      </c>
      <c r="M597" s="117" t="s">
        <v>199</v>
      </c>
      <c r="N597" s="118" t="str">
        <f t="shared" ca="1" si="128"/>
        <v>Serviço</v>
      </c>
      <c r="O597" s="119" t="str">
        <f t="shared" ca="1" si="129"/>
        <v>-</v>
      </c>
      <c r="P597" s="120" t="s">
        <v>458</v>
      </c>
      <c r="Q597" s="121" t="s">
        <v>945</v>
      </c>
      <c r="R597" s="122" t="str">
        <f ca="1">IF($C597="S",REFERENCIA.Descricao,"(digite a descrição aqui)")</f>
        <v>(abra o arquivo 'Referência 06-2024.xlsm)</v>
      </c>
      <c r="S597" s="123" t="str">
        <f ca="1">REFERENCIA.Unidade</f>
        <v>-</v>
      </c>
      <c r="T597" s="124">
        <f ca="1">OFFSET(CÁLCULO!H$15,ROW($T597)-ROW(T$15),0)</f>
        <v>7</v>
      </c>
      <c r="U597" s="125">
        <f t="shared" ca="1" si="141"/>
        <v>0</v>
      </c>
      <c r="V597" s="126" t="s">
        <v>156</v>
      </c>
      <c r="W597" s="124">
        <f ca="1">IF($C597="S",ROUND(IF(TIPOORCAMENTO="Proposto",ORÇAMENTO.CustoUnitario*(1+$AH597),ORÇAMENTO.PrecoUnitarioLicitado),15-13*$AF$10),0)</f>
        <v>0</v>
      </c>
      <c r="X597" s="127">
        <f ca="1">IF($C597="S",IF(Import.TipoArredondamento&lt;&gt;"TransfereGOV",VTOTAL1,SUM(OFFSET(CÁLCULO!$AI$15,ROW($X597)-ROW($X$15),1):OFFSET(CÁLCULO!$BB$15,ROW($X597)-ROW($X$15),-1))),IF($C597=0,0,ROUND(SomaAgrup,15-13*$AF$11)))</f>
        <v>0</v>
      </c>
      <c r="Y597" s="128" t="s">
        <v>245</v>
      </c>
      <c r="Z597" t="str">
        <f t="shared" ca="1" si="130"/>
        <v/>
      </c>
      <c r="AA597" s="129">
        <f ca="1">IF($C597="S",IF($Z597="CP",$X597,IF($Z597="RA",(($X597)*QCI!$AA$3),0)),SomaAgrup)</f>
        <v>0</v>
      </c>
      <c r="AB597" s="130">
        <f t="shared" ca="1" si="143"/>
        <v>0</v>
      </c>
      <c r="AC597" s="131" t="str">
        <f ca="1">IF($N597="","",IF(ORÇAMENTO.Descricao="","DESCRIÇÃO",IF(AND($C597="S",ORÇAMENTO.Unidade=""),"UNIDADE",IF($X597&lt;0,"VALOR NEGATIVO",IF(OR(AND(TIPOORCAMENTO="Proposto",$AG597&lt;&gt;"",$AG597&gt;0,ORÇAMENTO.CustoUnitario&gt;$AG597),AND(TIPOORCAMENTO="LICITADO",ORÇAMENTO.PrecoUnitarioLicitado&gt;$AN597)),"ACIMA REF.","")))))</f>
        <v/>
      </c>
      <c r="AD597" t="str">
        <f ca="1">IF(C597&lt;=CRONO.NivelExibicao,MAX($AD$15:OFFSET(AD597,-1,0))+IF($C597&lt;&gt;1,1,MAX(1,COUNTIF(QCI!$A$13:$A$24,OFFSET($E597,-1,0)))),"")</f>
        <v/>
      </c>
      <c r="AE597" s="7" t="str">
        <f ca="1">IF(AND($C597="S",ORÇAMENTO.CodBarra&lt;&gt;""),IF(ORÇAMENTO.Fonte="",ORÇAMENTO.CodBarra,CONCATENATE(ORÇAMENTO.Fonte," ",ORÇAMENTO.CodBarra)))</f>
        <v>COMPOSIÇÃO 100906</v>
      </c>
      <c r="AF597" s="13" t="str">
        <f ca="1">IF(ISERROR(INDIRECT(ORÇAMENTO.BancoRef)),"(abra o arquivo 'Referência "&amp;Excel_BuiltIn_Database&amp;".xlsm)",IF(OR($C597&lt;&gt;"S",ORÇAMENTO.CodBarra=""),"(Sem Código)",IF(ISERROR(MATCH($AE597,INDIRECT(ORÇAMENTO.BancoRef),0)),"(Código não identificado nas referências)",MATCH($AE597,INDIRECT(ORÇAMENTO.BancoRef),0))))</f>
        <v>(abra o arquivo 'Referência 06-2024.xlsm)</v>
      </c>
      <c r="AG597" s="498">
        <f ca="1">ROUND(IF(DESONERACAO="sim",REFERENCIA.Desonerado,REFERENCIA.NaoDesonerado),2)</f>
        <v>0</v>
      </c>
      <c r="AH597" s="499">
        <f t="shared" ca="1" si="144"/>
        <v>0.2432</v>
      </c>
      <c r="AJ597" s="501"/>
      <c r="AL597" s="527"/>
      <c r="AM597" s="381">
        <f t="shared" ca="1" si="133"/>
        <v>0</v>
      </c>
      <c r="AN597" s="566">
        <f t="shared" ca="1" si="145"/>
        <v>0</v>
      </c>
    </row>
    <row r="598" spans="1:40" ht="25.5" x14ac:dyDescent="0.2">
      <c r="A598" t="str">
        <f t="shared" si="142"/>
        <v>S</v>
      </c>
      <c r="B598">
        <f t="shared" ca="1" si="120"/>
        <v>2</v>
      </c>
      <c r="C598" t="str">
        <f t="shared" ca="1" si="121"/>
        <v>S</v>
      </c>
      <c r="D598">
        <f t="shared" ca="1" si="122"/>
        <v>0</v>
      </c>
      <c r="E598">
        <f ca="1">IF($C598=1,OFFSET(E598,-1,0)+MAX(1,COUNTIF(QCI!$A$13:$A$24,OFFSET(ORÇAMENTO!E598,-1,0))),OFFSET(E598,-1,0))</f>
        <v>1</v>
      </c>
      <c r="F598">
        <f t="shared" ca="1" si="123"/>
        <v>60</v>
      </c>
      <c r="G598">
        <f t="shared" ca="1" si="124"/>
        <v>0</v>
      </c>
      <c r="H598">
        <f t="shared" ca="1" si="125"/>
        <v>0</v>
      </c>
      <c r="I598">
        <f t="shared" ca="1" si="126"/>
        <v>0</v>
      </c>
      <c r="J598">
        <f t="shared" ca="1" si="146"/>
        <v>0</v>
      </c>
      <c r="K598">
        <f ca="1">IF(OR($C598="S",$C598=0),0,MATCH(OFFSET($D598,0,$C598)+IF($C598&lt;&gt;1,1,COUNTIF(QCI!$A$13:$A$24,ORÇAMENTO!E598)),OFFSET($D598,1,$C598,ROW($C$727)-ROW($C598)),0))</f>
        <v>0</v>
      </c>
      <c r="L598" s="116" t="str">
        <f t="shared" ca="1" si="127"/>
        <v/>
      </c>
      <c r="M598" s="117" t="s">
        <v>199</v>
      </c>
      <c r="N598" s="118" t="str">
        <f t="shared" ca="1" si="128"/>
        <v>Serviço</v>
      </c>
      <c r="O598" s="119" t="str">
        <f t="shared" ca="1" si="129"/>
        <v>-</v>
      </c>
      <c r="P598" s="120" t="s">
        <v>458</v>
      </c>
      <c r="Q598" s="121" t="s">
        <v>946</v>
      </c>
      <c r="R598" s="122" t="str">
        <f ca="1">IF($C598="S",REFERENCIA.Descricao,"(digite a descrição aqui)")</f>
        <v>(abra o arquivo 'Referência 06-2024.xlsm)</v>
      </c>
      <c r="S598" s="123" t="str">
        <f ca="1">REFERENCIA.Unidade</f>
        <v>-</v>
      </c>
      <c r="T598" s="124">
        <f ca="1">OFFSET(CÁLCULO!H$15,ROW($T598)-ROW(T$15),0)</f>
        <v>14</v>
      </c>
      <c r="U598" s="125">
        <f t="shared" ca="1" si="141"/>
        <v>0</v>
      </c>
      <c r="V598" s="126" t="s">
        <v>156</v>
      </c>
      <c r="W598" s="124">
        <f ca="1">IF($C598="S",ROUND(IF(TIPOORCAMENTO="Proposto",ORÇAMENTO.CustoUnitario*(1+$AH598),ORÇAMENTO.PrecoUnitarioLicitado),15-13*$AF$10),0)</f>
        <v>0</v>
      </c>
      <c r="X598" s="127">
        <f ca="1">IF($C598="S",IF(Import.TipoArredondamento&lt;&gt;"TransfereGOV",VTOTAL1,SUM(OFFSET(CÁLCULO!$AI$15,ROW($X598)-ROW($X$15),1):OFFSET(CÁLCULO!$BB$15,ROW($X598)-ROW($X$15),-1))),IF($C598=0,0,ROUND(SomaAgrup,15-13*$AF$11)))</f>
        <v>0</v>
      </c>
      <c r="Y598" s="128" t="s">
        <v>245</v>
      </c>
      <c r="Z598" t="str">
        <f t="shared" ca="1" si="130"/>
        <v/>
      </c>
      <c r="AA598" s="129">
        <f ca="1">IF($C598="S",IF($Z598="CP",$X598,IF($Z598="RA",(($X598)*QCI!$AA$3),0)),SomaAgrup)</f>
        <v>0</v>
      </c>
      <c r="AB598" s="130">
        <f t="shared" ca="1" si="143"/>
        <v>0</v>
      </c>
      <c r="AC598" s="131" t="str">
        <f ca="1">IF($N598="","",IF(ORÇAMENTO.Descricao="","DESCRIÇÃO",IF(AND($C598="S",ORÇAMENTO.Unidade=""),"UNIDADE",IF($X598&lt;0,"VALOR NEGATIVO",IF(OR(AND(TIPOORCAMENTO="Proposto",$AG598&lt;&gt;"",$AG598&gt;0,ORÇAMENTO.CustoUnitario&gt;$AG598),AND(TIPOORCAMENTO="LICITADO",ORÇAMENTO.PrecoUnitarioLicitado&gt;$AN598)),"ACIMA REF.","")))))</f>
        <v/>
      </c>
      <c r="AD598" t="str">
        <f ca="1">IF(C598&lt;=CRONO.NivelExibicao,MAX($AD$15:OFFSET(AD598,-1,0))+IF($C598&lt;&gt;1,1,MAX(1,COUNTIF(QCI!$A$13:$A$24,OFFSET($E598,-1,0)))),"")</f>
        <v/>
      </c>
      <c r="AE598" s="7" t="str">
        <f ca="1">IF(AND($C598="S",ORÇAMENTO.CodBarra&lt;&gt;""),IF(ORÇAMENTO.Fonte="",ORÇAMENTO.CodBarra,CONCATENATE(ORÇAMENTO.Fonte," ",ORÇAMENTO.CodBarra)))</f>
        <v>COMPOSIÇÃO FNDE 379</v>
      </c>
      <c r="AF598" s="13" t="str">
        <f ca="1">IF(ISERROR(INDIRECT(ORÇAMENTO.BancoRef)),"(abra o arquivo 'Referência "&amp;Excel_BuiltIn_Database&amp;".xlsm)",IF(OR($C598&lt;&gt;"S",ORÇAMENTO.CodBarra=""),"(Sem Código)",IF(ISERROR(MATCH($AE598,INDIRECT(ORÇAMENTO.BancoRef),0)),"(Código não identificado nas referências)",MATCH($AE598,INDIRECT(ORÇAMENTO.BancoRef),0))))</f>
        <v>(abra o arquivo 'Referência 06-2024.xlsm)</v>
      </c>
      <c r="AG598" s="498">
        <f ca="1">ROUND(IF(DESONERACAO="sim",REFERENCIA.Desonerado,REFERENCIA.NaoDesonerado),2)</f>
        <v>0</v>
      </c>
      <c r="AH598" s="499">
        <f t="shared" ca="1" si="144"/>
        <v>0.2432</v>
      </c>
      <c r="AJ598" s="501"/>
      <c r="AL598" s="527"/>
      <c r="AM598" s="381">
        <f t="shared" ca="1" si="133"/>
        <v>0</v>
      </c>
      <c r="AN598" s="566">
        <f t="shared" ca="1" si="145"/>
        <v>0</v>
      </c>
    </row>
    <row r="599" spans="1:40" ht="38.25" x14ac:dyDescent="0.2">
      <c r="A599" t="str">
        <f t="shared" si="142"/>
        <v>S</v>
      </c>
      <c r="B599">
        <f t="shared" ca="1" si="120"/>
        <v>2</v>
      </c>
      <c r="C599" t="str">
        <f t="shared" ca="1" si="121"/>
        <v>S</v>
      </c>
      <c r="D599">
        <f t="shared" ca="1" si="122"/>
        <v>0</v>
      </c>
      <c r="E599">
        <f ca="1">IF($C599=1,OFFSET(E599,-1,0)+MAX(1,COUNTIF(QCI!$A$13:$A$24,OFFSET(ORÇAMENTO!E599,-1,0))),OFFSET(E599,-1,0))</f>
        <v>1</v>
      </c>
      <c r="F599">
        <f t="shared" ca="1" si="123"/>
        <v>60</v>
      </c>
      <c r="G599">
        <f t="shared" ca="1" si="124"/>
        <v>0</v>
      </c>
      <c r="H599">
        <f t="shared" ca="1" si="125"/>
        <v>0</v>
      </c>
      <c r="I599">
        <f t="shared" ca="1" si="126"/>
        <v>0</v>
      </c>
      <c r="J599">
        <f t="shared" ca="1" si="146"/>
        <v>0</v>
      </c>
      <c r="K599">
        <f ca="1">IF(OR($C599="S",$C599=0),0,MATCH(OFFSET($D599,0,$C599)+IF($C599&lt;&gt;1,1,COUNTIF(QCI!$A$13:$A$24,ORÇAMENTO!E599)),OFFSET($D599,1,$C599,ROW($C$727)-ROW($C599)),0))</f>
        <v>0</v>
      </c>
      <c r="L599" s="116" t="str">
        <f t="shared" ca="1" si="127"/>
        <v/>
      </c>
      <c r="M599" s="117" t="s">
        <v>199</v>
      </c>
      <c r="N599" s="118" t="str">
        <f t="shared" ca="1" si="128"/>
        <v>Serviço</v>
      </c>
      <c r="O599" s="119" t="str">
        <f t="shared" ca="1" si="129"/>
        <v>-</v>
      </c>
      <c r="P599" s="120" t="s">
        <v>458</v>
      </c>
      <c r="Q599" s="121" t="s">
        <v>947</v>
      </c>
      <c r="R599" s="122" t="str">
        <f ca="1">IF($C599="S",REFERENCIA.Descricao,"(digite a descrição aqui)")</f>
        <v>(abra o arquivo 'Referência 06-2024.xlsm)</v>
      </c>
      <c r="S599" s="123" t="str">
        <f ca="1">REFERENCIA.Unidade</f>
        <v>-</v>
      </c>
      <c r="T599" s="124">
        <f ca="1">OFFSET(CÁLCULO!H$15,ROW($T599)-ROW(T$15),0)</f>
        <v>40</v>
      </c>
      <c r="U599" s="125">
        <f t="shared" ca="1" si="141"/>
        <v>0</v>
      </c>
      <c r="V599" s="126" t="s">
        <v>156</v>
      </c>
      <c r="W599" s="124">
        <f ca="1">IF($C599="S",ROUND(IF(TIPOORCAMENTO="Proposto",ORÇAMENTO.CustoUnitario*(1+$AH599),ORÇAMENTO.PrecoUnitarioLicitado),15-13*$AF$10),0)</f>
        <v>0</v>
      </c>
      <c r="X599" s="127">
        <f ca="1">IF($C599="S",IF(Import.TipoArredondamento&lt;&gt;"TransfereGOV",VTOTAL1,SUM(OFFSET(CÁLCULO!$AI$15,ROW($X599)-ROW($X$15),1):OFFSET(CÁLCULO!$BB$15,ROW($X599)-ROW($X$15),-1))),IF($C599=0,0,ROUND(SomaAgrup,15-13*$AF$11)))</f>
        <v>0</v>
      </c>
      <c r="Y599" s="128" t="s">
        <v>245</v>
      </c>
      <c r="Z599" t="str">
        <f t="shared" ca="1" si="130"/>
        <v/>
      </c>
      <c r="AA599" s="129">
        <f ca="1">IF($C599="S",IF($Z599="CP",$X599,IF($Z599="RA",(($X599)*QCI!$AA$3),0)),SomaAgrup)</f>
        <v>0</v>
      </c>
      <c r="AB599" s="130">
        <f t="shared" ca="1" si="143"/>
        <v>0</v>
      </c>
      <c r="AC599" s="131" t="str">
        <f ca="1">IF($N599="","",IF(ORÇAMENTO.Descricao="","DESCRIÇÃO",IF(AND($C599="S",ORÇAMENTO.Unidade=""),"UNIDADE",IF($X599&lt;0,"VALOR NEGATIVO",IF(OR(AND(TIPOORCAMENTO="Proposto",$AG599&lt;&gt;"",$AG599&gt;0,ORÇAMENTO.CustoUnitario&gt;$AG599),AND(TIPOORCAMENTO="LICITADO",ORÇAMENTO.PrecoUnitarioLicitado&gt;$AN599)),"ACIMA REF.","")))))</f>
        <v/>
      </c>
      <c r="AD599" t="str">
        <f ca="1">IF(C599&lt;=CRONO.NivelExibicao,MAX($AD$15:OFFSET(AD599,-1,0))+IF($C599&lt;&gt;1,1,MAX(1,COUNTIF(QCI!$A$13:$A$24,OFFSET($E599,-1,0)))),"")</f>
        <v/>
      </c>
      <c r="AE599" s="7" t="str">
        <f ca="1">IF(AND($C599="S",ORÇAMENTO.CodBarra&lt;&gt;""),IF(ORÇAMENTO.Fonte="",ORÇAMENTO.CodBarra,CONCATENATE(ORÇAMENTO.Fonte," ",ORÇAMENTO.CodBarra)))</f>
        <v>COMPOSIÇÃO 97587</v>
      </c>
      <c r="AF599" s="13" t="str">
        <f ca="1">IF(ISERROR(INDIRECT(ORÇAMENTO.BancoRef)),"(abra o arquivo 'Referência "&amp;Excel_BuiltIn_Database&amp;".xlsm)",IF(OR($C599&lt;&gt;"S",ORÇAMENTO.CodBarra=""),"(Sem Código)",IF(ISERROR(MATCH($AE599,INDIRECT(ORÇAMENTO.BancoRef),0)),"(Código não identificado nas referências)",MATCH($AE599,INDIRECT(ORÇAMENTO.BancoRef),0))))</f>
        <v>(abra o arquivo 'Referência 06-2024.xlsm)</v>
      </c>
      <c r="AG599" s="498">
        <f ca="1">ROUND(IF(DESONERACAO="sim",REFERENCIA.Desonerado,REFERENCIA.NaoDesonerado),2)</f>
        <v>0</v>
      </c>
      <c r="AH599" s="499">
        <f t="shared" ca="1" si="144"/>
        <v>0.2432</v>
      </c>
      <c r="AJ599" s="501"/>
      <c r="AL599" s="527"/>
      <c r="AM599" s="381">
        <f t="shared" ca="1" si="133"/>
        <v>0</v>
      </c>
      <c r="AN599" s="566">
        <f t="shared" ca="1" si="145"/>
        <v>0</v>
      </c>
    </row>
    <row r="600" spans="1:40" ht="25.5" x14ac:dyDescent="0.2">
      <c r="A600" t="str">
        <f t="shared" si="142"/>
        <v>S</v>
      </c>
      <c r="B600">
        <f t="shared" ca="1" si="120"/>
        <v>2</v>
      </c>
      <c r="C600" t="str">
        <f t="shared" ca="1" si="121"/>
        <v>S</v>
      </c>
      <c r="D600">
        <f t="shared" ca="1" si="122"/>
        <v>0</v>
      </c>
      <c r="E600">
        <f ca="1">IF($C600=1,OFFSET(E600,-1,0)+MAX(1,COUNTIF(QCI!$A$13:$A$24,OFFSET(ORÇAMENTO!E600,-1,0))),OFFSET(E600,-1,0))</f>
        <v>1</v>
      </c>
      <c r="F600">
        <f t="shared" ca="1" si="123"/>
        <v>60</v>
      </c>
      <c r="G600">
        <f t="shared" ca="1" si="124"/>
        <v>0</v>
      </c>
      <c r="H600">
        <f t="shared" ca="1" si="125"/>
        <v>0</v>
      </c>
      <c r="I600">
        <f t="shared" ca="1" si="126"/>
        <v>0</v>
      </c>
      <c r="J600">
        <f t="shared" ca="1" si="146"/>
        <v>0</v>
      </c>
      <c r="K600">
        <f ca="1">IF(OR($C600="S",$C600=0),0,MATCH(OFFSET($D600,0,$C600)+IF($C600&lt;&gt;1,1,COUNTIF(QCI!$A$13:$A$24,ORÇAMENTO!E600)),OFFSET($D600,1,$C600,ROW($C$727)-ROW($C600)),0))</f>
        <v>0</v>
      </c>
      <c r="L600" s="116" t="str">
        <f t="shared" ca="1" si="127"/>
        <v/>
      </c>
      <c r="M600" s="117" t="s">
        <v>199</v>
      </c>
      <c r="N600" s="118" t="str">
        <f t="shared" ca="1" si="128"/>
        <v>Serviço</v>
      </c>
      <c r="O600" s="119" t="str">
        <f t="shared" ca="1" si="129"/>
        <v>-</v>
      </c>
      <c r="P600" s="120" t="s">
        <v>458</v>
      </c>
      <c r="Q600" s="121" t="s">
        <v>948</v>
      </c>
      <c r="R600" s="122" t="str">
        <f ca="1">IF($C600="S",REFERENCIA.Descricao,"(digite a descrição aqui)")</f>
        <v>(abra o arquivo 'Referência 06-2024.xlsm)</v>
      </c>
      <c r="S600" s="123" t="str">
        <f ca="1">REFERENCIA.Unidade</f>
        <v>-</v>
      </c>
      <c r="T600" s="124">
        <f ca="1">OFFSET(CÁLCULO!H$15,ROW($T600)-ROW(T$15),0)</f>
        <v>105</v>
      </c>
      <c r="U600" s="125">
        <f t="shared" ca="1" si="141"/>
        <v>0</v>
      </c>
      <c r="V600" s="126" t="s">
        <v>156</v>
      </c>
      <c r="W600" s="124">
        <f ca="1">IF($C600="S",ROUND(IF(TIPOORCAMENTO="Proposto",ORÇAMENTO.CustoUnitario*(1+$AH600),ORÇAMENTO.PrecoUnitarioLicitado),15-13*$AF$10),0)</f>
        <v>0</v>
      </c>
      <c r="X600" s="127">
        <f ca="1">IF($C600="S",IF(Import.TipoArredondamento&lt;&gt;"TransfereGOV",VTOTAL1,SUM(OFFSET(CÁLCULO!$AI$15,ROW($X600)-ROW($X$15),1):OFFSET(CÁLCULO!$BB$15,ROW($X600)-ROW($X$15),-1))),IF($C600=0,0,ROUND(SomaAgrup,15-13*$AF$11)))</f>
        <v>0</v>
      </c>
      <c r="Y600" s="128" t="s">
        <v>245</v>
      </c>
      <c r="Z600" t="str">
        <f t="shared" ca="1" si="130"/>
        <v/>
      </c>
      <c r="AA600" s="129">
        <f ca="1">IF($C600="S",IF($Z600="CP",$X600,IF($Z600="RA",(($X600)*QCI!$AA$3),0)),SomaAgrup)</f>
        <v>0</v>
      </c>
      <c r="AB600" s="130">
        <f t="shared" ca="1" si="143"/>
        <v>0</v>
      </c>
      <c r="AC600" s="131" t="str">
        <f ca="1">IF($N600="","",IF(ORÇAMENTO.Descricao="","DESCRIÇÃO",IF(AND($C600="S",ORÇAMENTO.Unidade=""),"UNIDADE",IF($X600&lt;0,"VALOR NEGATIVO",IF(OR(AND(TIPOORCAMENTO="Proposto",$AG600&lt;&gt;"",$AG600&gt;0,ORÇAMENTO.CustoUnitario&gt;$AG600),AND(TIPOORCAMENTO="LICITADO",ORÇAMENTO.PrecoUnitarioLicitado&gt;$AN600)),"ACIMA REF.","")))))</f>
        <v/>
      </c>
      <c r="AD600" t="str">
        <f ca="1">IF(C600&lt;=CRONO.NivelExibicao,MAX($AD$15:OFFSET(AD600,-1,0))+IF($C600&lt;&gt;1,1,MAX(1,COUNTIF(QCI!$A$13:$A$24,OFFSET($E600,-1,0)))),"")</f>
        <v/>
      </c>
      <c r="AE600" s="7" t="str">
        <f ca="1">IF(AND($C600="S",ORÇAMENTO.CodBarra&lt;&gt;""),IF(ORÇAMENTO.Fonte="",ORÇAMENTO.CodBarra,CONCATENATE(ORÇAMENTO.Fonte," ",ORÇAMENTO.CodBarra)))</f>
        <v>COMPOSIÇÃO FNDE 380</v>
      </c>
      <c r="AF600" s="13" t="str">
        <f ca="1">IF(ISERROR(INDIRECT(ORÇAMENTO.BancoRef)),"(abra o arquivo 'Referência "&amp;Excel_BuiltIn_Database&amp;".xlsm)",IF(OR($C600&lt;&gt;"S",ORÇAMENTO.CodBarra=""),"(Sem Código)",IF(ISERROR(MATCH($AE600,INDIRECT(ORÇAMENTO.BancoRef),0)),"(Código não identificado nas referências)",MATCH($AE600,INDIRECT(ORÇAMENTO.BancoRef),0))))</f>
        <v>(abra o arquivo 'Referência 06-2024.xlsm)</v>
      </c>
      <c r="AG600" s="498">
        <f ca="1">ROUND(IF(DESONERACAO="sim",REFERENCIA.Desonerado,REFERENCIA.NaoDesonerado),2)</f>
        <v>0</v>
      </c>
      <c r="AH600" s="499">
        <f t="shared" ca="1" si="144"/>
        <v>0.2432</v>
      </c>
      <c r="AJ600" s="501"/>
      <c r="AL600" s="527"/>
      <c r="AM600" s="381">
        <f t="shared" ca="1" si="133"/>
        <v>0</v>
      </c>
      <c r="AN600" s="566">
        <f t="shared" ca="1" si="145"/>
        <v>0</v>
      </c>
    </row>
    <row r="601" spans="1:40" ht="38.25" x14ac:dyDescent="0.2">
      <c r="A601" t="str">
        <f t="shared" si="142"/>
        <v>S</v>
      </c>
      <c r="B601">
        <f t="shared" ca="1" si="120"/>
        <v>2</v>
      </c>
      <c r="C601" t="str">
        <f t="shared" ca="1" si="121"/>
        <v>S</v>
      </c>
      <c r="D601">
        <f t="shared" ca="1" si="122"/>
        <v>0</v>
      </c>
      <c r="E601">
        <f ca="1">IF($C601=1,OFFSET(E601,-1,0)+MAX(1,COUNTIF(QCI!$A$13:$A$24,OFFSET(ORÇAMENTO!E601,-1,0))),OFFSET(E601,-1,0))</f>
        <v>1</v>
      </c>
      <c r="F601">
        <f t="shared" ca="1" si="123"/>
        <v>60</v>
      </c>
      <c r="G601">
        <f t="shared" ca="1" si="124"/>
        <v>0</v>
      </c>
      <c r="H601">
        <f t="shared" ca="1" si="125"/>
        <v>0</v>
      </c>
      <c r="I601">
        <f t="shared" ca="1" si="126"/>
        <v>0</v>
      </c>
      <c r="J601">
        <f t="shared" ca="1" si="146"/>
        <v>0</v>
      </c>
      <c r="K601">
        <f ca="1">IF(OR($C601="S",$C601=0),0,MATCH(OFFSET($D601,0,$C601)+IF($C601&lt;&gt;1,1,COUNTIF(QCI!$A$13:$A$24,ORÇAMENTO!E601)),OFFSET($D601,1,$C601,ROW($C$727)-ROW($C601)),0))</f>
        <v>0</v>
      </c>
      <c r="L601" s="116" t="str">
        <f t="shared" ca="1" si="127"/>
        <v/>
      </c>
      <c r="M601" s="117" t="s">
        <v>199</v>
      </c>
      <c r="N601" s="118" t="str">
        <f t="shared" ca="1" si="128"/>
        <v>Serviço</v>
      </c>
      <c r="O601" s="119" t="str">
        <f t="shared" ca="1" si="129"/>
        <v>-</v>
      </c>
      <c r="P601" s="120" t="s">
        <v>458</v>
      </c>
      <c r="Q601" s="121" t="s">
        <v>951</v>
      </c>
      <c r="R601" s="122" t="str">
        <f ca="1">IF($C601="S",REFERENCIA.Descricao,"(digite a descrição aqui)")</f>
        <v>(abra o arquivo 'Referência 06-2024.xlsm)</v>
      </c>
      <c r="S601" s="123" t="str">
        <f ca="1">REFERENCIA.Unidade</f>
        <v>-</v>
      </c>
      <c r="T601" s="124">
        <f ca="1">OFFSET(CÁLCULO!H$15,ROW($T601)-ROW(T$15),0)</f>
        <v>9</v>
      </c>
      <c r="U601" s="125">
        <f t="shared" ca="1" si="141"/>
        <v>0</v>
      </c>
      <c r="V601" s="126" t="s">
        <v>156</v>
      </c>
      <c r="W601" s="124">
        <f ca="1">IF($C601="S",ROUND(IF(TIPOORCAMENTO="Proposto",ORÇAMENTO.CustoUnitario*(1+$AH601),ORÇAMENTO.PrecoUnitarioLicitado),15-13*$AF$10),0)</f>
        <v>0</v>
      </c>
      <c r="X601" s="127">
        <f ca="1">IF($C601="S",IF(Import.TipoArredondamento&lt;&gt;"TransfereGOV",VTOTAL1,SUM(OFFSET(CÁLCULO!$AI$15,ROW($X601)-ROW($X$15),1):OFFSET(CÁLCULO!$BB$15,ROW($X601)-ROW($X$15),-1))),IF($C601=0,0,ROUND(SomaAgrup,15-13*$AF$11)))</f>
        <v>0</v>
      </c>
      <c r="Y601" s="128" t="s">
        <v>245</v>
      </c>
      <c r="Z601" t="str">
        <f t="shared" ca="1" si="130"/>
        <v/>
      </c>
      <c r="AA601" s="129">
        <f ca="1">IF($C601="S",IF($Z601="CP",$X601,IF($Z601="RA",(($X601)*QCI!$AA$3),0)),SomaAgrup)</f>
        <v>0</v>
      </c>
      <c r="AB601" s="130">
        <f t="shared" ca="1" si="143"/>
        <v>0</v>
      </c>
      <c r="AC601" s="131" t="str">
        <f ca="1">IF($N601="","",IF(ORÇAMENTO.Descricao="","DESCRIÇÃO",IF(AND($C601="S",ORÇAMENTO.Unidade=""),"UNIDADE",IF($X601&lt;0,"VALOR NEGATIVO",IF(OR(AND(TIPOORCAMENTO="Proposto",$AG601&lt;&gt;"",$AG601&gt;0,ORÇAMENTO.CustoUnitario&gt;$AG601),AND(TIPOORCAMENTO="LICITADO",ORÇAMENTO.PrecoUnitarioLicitado&gt;$AN601)),"ACIMA REF.","")))))</f>
        <v/>
      </c>
      <c r="AD601" t="str">
        <f ca="1">IF(C601&lt;=CRONO.NivelExibicao,MAX($AD$15:OFFSET(AD601,-1,0))+IF($C601&lt;&gt;1,1,MAX(1,COUNTIF(QCI!$A$13:$A$24,OFFSET($E601,-1,0)))),"")</f>
        <v/>
      </c>
      <c r="AE601" s="7" t="str">
        <f ca="1">IF(AND($C601="S",ORÇAMENTO.CodBarra&lt;&gt;""),IF(ORÇAMENTO.Fonte="",ORÇAMENTO.CodBarra,CONCATENATE(ORÇAMENTO.Fonte," ",ORÇAMENTO.CodBarra)))</f>
        <v>COMPOSIÇÃO 976001</v>
      </c>
      <c r="AF601" s="13" t="str">
        <f ca="1">IF(ISERROR(INDIRECT(ORÇAMENTO.BancoRef)),"(abra o arquivo 'Referência "&amp;Excel_BuiltIn_Database&amp;".xlsm)",IF(OR($C601&lt;&gt;"S",ORÇAMENTO.CodBarra=""),"(Sem Código)",IF(ISERROR(MATCH($AE601,INDIRECT(ORÇAMENTO.BancoRef),0)),"(Código não identificado nas referências)",MATCH($AE601,INDIRECT(ORÇAMENTO.BancoRef),0))))</f>
        <v>(abra o arquivo 'Referência 06-2024.xlsm)</v>
      </c>
      <c r="AG601" s="498">
        <f ca="1">ROUND(IF(DESONERACAO="sim",REFERENCIA.Desonerado,REFERENCIA.NaoDesonerado),2)</f>
        <v>0</v>
      </c>
      <c r="AH601" s="499">
        <f t="shared" ca="1" si="144"/>
        <v>0.2432</v>
      </c>
      <c r="AJ601" s="501"/>
      <c r="AL601" s="527"/>
      <c r="AM601" s="381">
        <f t="shared" ca="1" si="133"/>
        <v>0</v>
      </c>
      <c r="AN601" s="566">
        <f t="shared" ca="1" si="145"/>
        <v>0</v>
      </c>
    </row>
    <row r="602" spans="1:40" ht="38.25" x14ac:dyDescent="0.2">
      <c r="A602" t="str">
        <f t="shared" si="142"/>
        <v>S</v>
      </c>
      <c r="B602">
        <f t="shared" ca="1" si="120"/>
        <v>2</v>
      </c>
      <c r="C602" t="str">
        <f t="shared" ca="1" si="121"/>
        <v>S</v>
      </c>
      <c r="D602">
        <f t="shared" ca="1" si="122"/>
        <v>0</v>
      </c>
      <c r="E602">
        <f ca="1">IF($C602=1,OFFSET(E602,-1,0)+MAX(1,COUNTIF(QCI!$A$13:$A$24,OFFSET(ORÇAMENTO!E602,-1,0))),OFFSET(E602,-1,0))</f>
        <v>1</v>
      </c>
      <c r="F602">
        <f t="shared" ca="1" si="123"/>
        <v>60</v>
      </c>
      <c r="G602">
        <f t="shared" ca="1" si="124"/>
        <v>0</v>
      </c>
      <c r="H602">
        <f t="shared" ca="1" si="125"/>
        <v>0</v>
      </c>
      <c r="I602">
        <f t="shared" ca="1" si="126"/>
        <v>0</v>
      </c>
      <c r="J602">
        <f t="shared" ca="1" si="146"/>
        <v>0</v>
      </c>
      <c r="K602">
        <f ca="1">IF(OR($C602="S",$C602=0),0,MATCH(OFFSET($D602,0,$C602)+IF($C602&lt;&gt;1,1,COUNTIF(QCI!$A$13:$A$24,ORÇAMENTO!E602)),OFFSET($D602,1,$C602,ROW($C$727)-ROW($C602)),0))</f>
        <v>0</v>
      </c>
      <c r="L602" s="116" t="str">
        <f t="shared" ca="1" si="127"/>
        <v/>
      </c>
      <c r="M602" s="117" t="s">
        <v>199</v>
      </c>
      <c r="N602" s="118" t="str">
        <f t="shared" ca="1" si="128"/>
        <v>Serviço</v>
      </c>
      <c r="O602" s="119" t="str">
        <f t="shared" ca="1" si="129"/>
        <v>-</v>
      </c>
      <c r="P602" s="120" t="s">
        <v>458</v>
      </c>
      <c r="Q602" s="121" t="s">
        <v>949</v>
      </c>
      <c r="R602" s="122" t="str">
        <f ca="1">IF($C602="S",REFERENCIA.Descricao,"(digite a descrição aqui)")</f>
        <v>(abra o arquivo 'Referência 06-2024.xlsm)</v>
      </c>
      <c r="S602" s="123" t="str">
        <f ca="1">REFERENCIA.Unidade</f>
        <v>-</v>
      </c>
      <c r="T602" s="124">
        <f ca="1">OFFSET(CÁLCULO!H$15,ROW($T602)-ROW(T$15),0)</f>
        <v>4</v>
      </c>
      <c r="U602" s="125">
        <f t="shared" ca="1" si="141"/>
        <v>0</v>
      </c>
      <c r="V602" s="126" t="s">
        <v>156</v>
      </c>
      <c r="W602" s="124">
        <f ca="1">IF($C602="S",ROUND(IF(TIPOORCAMENTO="Proposto",ORÇAMENTO.CustoUnitario*(1+$AH602),ORÇAMENTO.PrecoUnitarioLicitado),15-13*$AF$10),0)</f>
        <v>0</v>
      </c>
      <c r="X602" s="127">
        <f ca="1">IF($C602="S",IF(Import.TipoArredondamento&lt;&gt;"TransfereGOV",VTOTAL1,SUM(OFFSET(CÁLCULO!$AI$15,ROW($X602)-ROW($X$15),1):OFFSET(CÁLCULO!$BB$15,ROW($X602)-ROW($X$15),-1))),IF($C602=0,0,ROUND(SomaAgrup,15-13*$AF$11)))</f>
        <v>0</v>
      </c>
      <c r="Y602" s="128" t="s">
        <v>245</v>
      </c>
      <c r="Z602" t="str">
        <f t="shared" ca="1" si="130"/>
        <v/>
      </c>
      <c r="AA602" s="129">
        <f ca="1">IF($C602="S",IF($Z602="CP",$X602,IF($Z602="RA",(($X602)*QCI!$AA$3),0)),SomaAgrup)</f>
        <v>0</v>
      </c>
      <c r="AB602" s="130">
        <f t="shared" ca="1" si="143"/>
        <v>0</v>
      </c>
      <c r="AC602" s="131" t="str">
        <f ca="1">IF($N602="","",IF(ORÇAMENTO.Descricao="","DESCRIÇÃO",IF(AND($C602="S",ORÇAMENTO.Unidade=""),"UNIDADE",IF($X602&lt;0,"VALOR NEGATIVO",IF(OR(AND(TIPOORCAMENTO="Proposto",$AG602&lt;&gt;"",$AG602&gt;0,ORÇAMENTO.CustoUnitario&gt;$AG602),AND(TIPOORCAMENTO="LICITADO",ORÇAMENTO.PrecoUnitarioLicitado&gt;$AN602)),"ACIMA REF.","")))))</f>
        <v/>
      </c>
      <c r="AD602" t="str">
        <f ca="1">IF(C602&lt;=CRONO.NivelExibicao,MAX($AD$15:OFFSET(AD602,-1,0))+IF($C602&lt;&gt;1,1,MAX(1,COUNTIF(QCI!$A$13:$A$24,OFFSET($E602,-1,0)))),"")</f>
        <v/>
      </c>
      <c r="AE602" s="7" t="str">
        <f ca="1">IF(AND($C602="S",ORÇAMENTO.CodBarra&lt;&gt;""),IF(ORÇAMENTO.Fonte="",ORÇAMENTO.CodBarra,CONCATENATE(ORÇAMENTO.Fonte," ",ORÇAMENTO.CodBarra)))</f>
        <v>COMPOSIÇÃO 97600</v>
      </c>
      <c r="AF602" s="13" t="str">
        <f ca="1">IF(ISERROR(INDIRECT(ORÇAMENTO.BancoRef)),"(abra o arquivo 'Referência "&amp;Excel_BuiltIn_Database&amp;".xlsm)",IF(OR($C602&lt;&gt;"S",ORÇAMENTO.CodBarra=""),"(Sem Código)",IF(ISERROR(MATCH($AE602,INDIRECT(ORÇAMENTO.BancoRef),0)),"(Código não identificado nas referências)",MATCH($AE602,INDIRECT(ORÇAMENTO.BancoRef),0))))</f>
        <v>(abra o arquivo 'Referência 06-2024.xlsm)</v>
      </c>
      <c r="AG602" s="498">
        <f ca="1">ROUND(IF(DESONERACAO="sim",REFERENCIA.Desonerado,REFERENCIA.NaoDesonerado),2)</f>
        <v>0</v>
      </c>
      <c r="AH602" s="499">
        <f t="shared" ca="1" si="144"/>
        <v>0.2432</v>
      </c>
      <c r="AJ602" s="501"/>
      <c r="AL602" s="527"/>
      <c r="AM602" s="381">
        <f t="shared" ca="1" si="133"/>
        <v>0</v>
      </c>
      <c r="AN602" s="566">
        <f t="shared" ca="1" si="145"/>
        <v>0</v>
      </c>
    </row>
    <row r="603" spans="1:40" ht="38.25" x14ac:dyDescent="0.2">
      <c r="A603" t="str">
        <f t="shared" si="142"/>
        <v>S</v>
      </c>
      <c r="B603">
        <f t="shared" ca="1" si="120"/>
        <v>2</v>
      </c>
      <c r="C603" t="str">
        <f t="shared" ca="1" si="121"/>
        <v>S</v>
      </c>
      <c r="D603">
        <f t="shared" ca="1" si="122"/>
        <v>0</v>
      </c>
      <c r="E603">
        <f ca="1">IF($C603=1,OFFSET(E603,-1,0)+MAX(1,COUNTIF(QCI!$A$13:$A$24,OFFSET(ORÇAMENTO!E603,-1,0))),OFFSET(E603,-1,0))</f>
        <v>1</v>
      </c>
      <c r="F603">
        <f t="shared" ca="1" si="123"/>
        <v>60</v>
      </c>
      <c r="G603">
        <f t="shared" ca="1" si="124"/>
        <v>0</v>
      </c>
      <c r="H603">
        <f t="shared" ca="1" si="125"/>
        <v>0</v>
      </c>
      <c r="I603">
        <f t="shared" ca="1" si="126"/>
        <v>0</v>
      </c>
      <c r="J603">
        <f t="shared" ca="1" si="146"/>
        <v>0</v>
      </c>
      <c r="K603">
        <f ca="1">IF(OR($C603="S",$C603=0),0,MATCH(OFFSET($D603,0,$C603)+IF($C603&lt;&gt;1,1,COUNTIF(QCI!$A$13:$A$24,ORÇAMENTO!E603)),OFFSET($D603,1,$C603,ROW($C$727)-ROW($C603)),0))</f>
        <v>0</v>
      </c>
      <c r="L603" s="116" t="str">
        <f t="shared" ca="1" si="127"/>
        <v/>
      </c>
      <c r="M603" s="117" t="s">
        <v>199</v>
      </c>
      <c r="N603" s="118" t="str">
        <f t="shared" ca="1" si="128"/>
        <v>Serviço</v>
      </c>
      <c r="O603" s="119" t="str">
        <f t="shared" ca="1" si="129"/>
        <v>-</v>
      </c>
      <c r="P603" s="120" t="s">
        <v>458</v>
      </c>
      <c r="Q603" s="121" t="s">
        <v>950</v>
      </c>
      <c r="R603" s="122" t="str">
        <f ca="1">IF($C603="S",REFERENCIA.Descricao,"(digite a descrição aqui)")</f>
        <v>(abra o arquivo 'Referência 06-2024.xlsm)</v>
      </c>
      <c r="S603" s="123" t="str">
        <f ca="1">REFERENCIA.Unidade</f>
        <v>-</v>
      </c>
      <c r="T603" s="124">
        <f ca="1">OFFSET(CÁLCULO!H$15,ROW($T603)-ROW(T$15),0)</f>
        <v>1</v>
      </c>
      <c r="U603" s="125">
        <f t="shared" ca="1" si="141"/>
        <v>0</v>
      </c>
      <c r="V603" s="126" t="s">
        <v>156</v>
      </c>
      <c r="W603" s="124">
        <f ca="1">IF($C603="S",ROUND(IF(TIPOORCAMENTO="Proposto",ORÇAMENTO.CustoUnitario*(1+$AH603),ORÇAMENTO.PrecoUnitarioLicitado),15-13*$AF$10),0)</f>
        <v>0</v>
      </c>
      <c r="X603" s="127">
        <f ca="1">IF($C603="S",IF(Import.TipoArredondamento&lt;&gt;"TransfereGOV",VTOTAL1,SUM(OFFSET(CÁLCULO!$AI$15,ROW($X603)-ROW($X$15),1):OFFSET(CÁLCULO!$BB$15,ROW($X603)-ROW($X$15),-1))),IF($C603=0,0,ROUND(SomaAgrup,15-13*$AF$11)))</f>
        <v>0</v>
      </c>
      <c r="Y603" s="128" t="s">
        <v>245</v>
      </c>
      <c r="Z603" t="str">
        <f t="shared" ca="1" si="130"/>
        <v/>
      </c>
      <c r="AA603" s="129">
        <f ca="1">IF($C603="S",IF($Z603="CP",$X603,IF($Z603="RA",(($X603)*QCI!$AA$3),0)),SomaAgrup)</f>
        <v>0</v>
      </c>
      <c r="AB603" s="130">
        <f t="shared" ca="1" si="143"/>
        <v>0</v>
      </c>
      <c r="AC603" s="131" t="str">
        <f ca="1">IF($N603="","",IF(ORÇAMENTO.Descricao="","DESCRIÇÃO",IF(AND($C603="S",ORÇAMENTO.Unidade=""),"UNIDADE",IF($X603&lt;0,"VALOR NEGATIVO",IF(OR(AND(TIPOORCAMENTO="Proposto",$AG603&lt;&gt;"",$AG603&gt;0,ORÇAMENTO.CustoUnitario&gt;$AG603),AND(TIPOORCAMENTO="LICITADO",ORÇAMENTO.PrecoUnitarioLicitado&gt;$AN603)),"ACIMA REF.","")))))</f>
        <v/>
      </c>
      <c r="AD603" t="str">
        <f ca="1">IF(C603&lt;=CRONO.NivelExibicao,MAX($AD$15:OFFSET(AD603,-1,0))+IF($C603&lt;&gt;1,1,MAX(1,COUNTIF(QCI!$A$13:$A$24,OFFSET($E603,-1,0)))),"")</f>
        <v/>
      </c>
      <c r="AE603" s="7" t="str">
        <f ca="1">IF(AND($C603="S",ORÇAMENTO.CodBarra&lt;&gt;""),IF(ORÇAMENTO.Fonte="",ORÇAMENTO.CodBarra,CONCATENATE(ORÇAMENTO.Fonte," ",ORÇAMENTO.CodBarra)))</f>
        <v>COMPOSIÇÃO 97601</v>
      </c>
      <c r="AF603" s="13" t="str">
        <f ca="1">IF(ISERROR(INDIRECT(ORÇAMENTO.BancoRef)),"(abra o arquivo 'Referência "&amp;Excel_BuiltIn_Database&amp;".xlsm)",IF(OR($C603&lt;&gt;"S",ORÇAMENTO.CodBarra=""),"(Sem Código)",IF(ISERROR(MATCH($AE603,INDIRECT(ORÇAMENTO.BancoRef),0)),"(Código não identificado nas referências)",MATCH($AE603,INDIRECT(ORÇAMENTO.BancoRef),0))))</f>
        <v>(abra o arquivo 'Referência 06-2024.xlsm)</v>
      </c>
      <c r="AG603" s="498">
        <f ca="1">ROUND(IF(DESONERACAO="sim",REFERENCIA.Desonerado,REFERENCIA.NaoDesonerado),2)</f>
        <v>0</v>
      </c>
      <c r="AH603" s="499">
        <f t="shared" ca="1" si="144"/>
        <v>0.2432</v>
      </c>
      <c r="AJ603" s="501"/>
      <c r="AL603" s="527"/>
      <c r="AM603" s="381">
        <f t="shared" ca="1" si="133"/>
        <v>0</v>
      </c>
      <c r="AN603" s="566">
        <f t="shared" ca="1" si="145"/>
        <v>0</v>
      </c>
    </row>
    <row r="604" spans="1:40" x14ac:dyDescent="0.2">
      <c r="A604">
        <f t="shared" si="142"/>
        <v>2</v>
      </c>
      <c r="B604">
        <f t="shared" ca="1" si="120"/>
        <v>2</v>
      </c>
      <c r="C604">
        <f t="shared" ca="1" si="121"/>
        <v>2</v>
      </c>
      <c r="D604">
        <f t="shared" ca="1" si="122"/>
        <v>3</v>
      </c>
      <c r="E604">
        <f ca="1">IF($C604=1,OFFSET(E604,-1,0)+MAX(1,COUNTIF(QCI!$A$13:$A$24,OFFSET(ORÇAMENTO!E604,-1,0))),OFFSET(E604,-1,0))</f>
        <v>1</v>
      </c>
      <c r="F604">
        <f t="shared" ca="1" si="123"/>
        <v>61</v>
      </c>
      <c r="G604">
        <f t="shared" ca="1" si="124"/>
        <v>0</v>
      </c>
      <c r="H604">
        <f t="shared" ca="1" si="125"/>
        <v>0</v>
      </c>
      <c r="I604">
        <f t="shared" ca="1" si="126"/>
        <v>0</v>
      </c>
      <c r="J604">
        <f t="shared" ca="1" si="146"/>
        <v>123</v>
      </c>
      <c r="K604">
        <f ca="1">IF(OR($C604="S",$C604=0),0,MATCH(OFFSET($D604,0,$C604)+IF($C604&lt;&gt;1,1,COUNTIF(QCI!$A$13:$A$24,ORÇAMENTO!E604)),OFFSET($D604,1,$C604,ROW($C$727)-ROW($C604)),0))</f>
        <v>3</v>
      </c>
      <c r="L604" s="116" t="str">
        <f t="shared" ca="1" si="127"/>
        <v>F</v>
      </c>
      <c r="M604" s="117" t="s">
        <v>196</v>
      </c>
      <c r="N604" s="118" t="str">
        <f t="shared" ca="1" si="128"/>
        <v>Nível 2</v>
      </c>
      <c r="O604" s="119" t="str">
        <f t="shared" ca="1" si="129"/>
        <v>1.61.</v>
      </c>
      <c r="P604" s="120" t="s">
        <v>247</v>
      </c>
      <c r="Q604" s="121"/>
      <c r="R604" s="122" t="s">
        <v>1084</v>
      </c>
      <c r="S604" s="123" t="str">
        <f ca="1">REFERENCIA.Unidade</f>
        <v>-</v>
      </c>
      <c r="T604" s="124">
        <f ca="1">OFFSET(CÁLCULO!H$15,ROW($T604)-ROW(T$15),0)</f>
        <v>0</v>
      </c>
      <c r="U604" s="125">
        <f t="shared" ca="1" si="141"/>
        <v>0</v>
      </c>
      <c r="V604" s="126" t="s">
        <v>156</v>
      </c>
      <c r="W604" s="124">
        <f ca="1">IF($C604="S",ROUND(IF(TIPOORCAMENTO="Proposto",ORÇAMENTO.CustoUnitario*(1+$AH604),ORÇAMENTO.PrecoUnitarioLicitado),15-13*$AF$10),0)</f>
        <v>0</v>
      </c>
      <c r="X604" s="127">
        <f ca="1">IF($C604="S",IF(Import.TipoArredondamento&lt;&gt;"TransfereGOV",VTOTAL1,SUM(OFFSET(CÁLCULO!$AI$15,ROW($X604)-ROW($X$15),1):OFFSET(CÁLCULO!$BB$15,ROW($X604)-ROW($X$15),-1))),IF($C604=0,0,ROUND(SomaAgrup,15-13*$AF$11)))</f>
        <v>0</v>
      </c>
      <c r="Y604" s="128" t="s">
        <v>245</v>
      </c>
      <c r="Z604" t="str">
        <f t="shared" ca="1" si="130"/>
        <v/>
      </c>
      <c r="AA604" s="129">
        <f ca="1">IF($C604="S",IF($Z604="CP",$X604,IF($Z604="RA",(($X604)*QCI!$AA$3),0)),SomaAgrup)</f>
        <v>0</v>
      </c>
      <c r="AB604" s="130">
        <f t="shared" ca="1" si="143"/>
        <v>0</v>
      </c>
      <c r="AC604" s="131" t="str">
        <f ca="1">IF($N604="","",IF(ORÇAMENTO.Descricao="","DESCRIÇÃO",IF(AND($C604="S",ORÇAMENTO.Unidade=""),"UNIDADE",IF($X604&lt;0,"VALOR NEGATIVO",IF(OR(AND(TIPOORCAMENTO="Proposto",$AG604&lt;&gt;"",$AG604&gt;0,ORÇAMENTO.CustoUnitario&gt;$AG604),AND(TIPOORCAMENTO="LICITADO",ORÇAMENTO.PrecoUnitarioLicitado&gt;$AN604)),"ACIMA REF.","")))))</f>
        <v/>
      </c>
      <c r="AD604">
        <f ca="1">IF(C604&lt;=CRONO.NivelExibicao,MAX($AD$15:OFFSET(AD604,-1,0))+IF($C604&lt;&gt;1,1,MAX(1,COUNTIF(QCI!$A$13:$A$24,OFFSET($E604,-1,0)))),"")</f>
        <v>62</v>
      </c>
      <c r="AE604" s="7" t="b">
        <f ca="1">IF(AND($C604="S",ORÇAMENTO.CodBarra&lt;&gt;""),IF(ORÇAMENTO.Fonte="",ORÇAMENTO.CodBarra,CONCATENATE(ORÇAMENTO.Fonte," ",ORÇAMENTO.CodBarra)))</f>
        <v>0</v>
      </c>
      <c r="AF604" s="13" t="str">
        <f ca="1">IF(ISERROR(INDIRECT(ORÇAMENTO.BancoRef)),"(abra o arquivo 'Referência "&amp;Excel_BuiltIn_Database&amp;".xlsm)",IF(OR($C604&lt;&gt;"S",ORÇAMENTO.CodBarra=""),"(Sem Código)",IF(ISERROR(MATCH($AE604,INDIRECT(ORÇAMENTO.BancoRef),0)),"(Código não identificado nas referências)",MATCH($AE604,INDIRECT(ORÇAMENTO.BancoRef),0))))</f>
        <v>(abra o arquivo 'Referência 06-2024.xlsm)</v>
      </c>
      <c r="AG604" s="498">
        <f ca="1">ROUND(IF(DESONERACAO="sim",REFERENCIA.Desonerado,REFERENCIA.NaoDesonerado),2)</f>
        <v>0</v>
      </c>
      <c r="AH604" s="499">
        <f t="shared" ca="1" si="144"/>
        <v>0.2432</v>
      </c>
      <c r="AJ604" s="501"/>
      <c r="AL604" s="527"/>
      <c r="AM604" s="381">
        <f t="shared" ca="1" si="133"/>
        <v>0</v>
      </c>
      <c r="AN604" s="566">
        <f t="shared" ca="1" si="145"/>
        <v>0</v>
      </c>
    </row>
    <row r="605" spans="1:40" ht="25.5" x14ac:dyDescent="0.2">
      <c r="A605" t="str">
        <f t="shared" si="142"/>
        <v>S</v>
      </c>
      <c r="B605">
        <f t="shared" ca="1" si="120"/>
        <v>2</v>
      </c>
      <c r="C605" t="str">
        <f t="shared" ca="1" si="121"/>
        <v>S</v>
      </c>
      <c r="D605">
        <f t="shared" ca="1" si="122"/>
        <v>0</v>
      </c>
      <c r="E605">
        <f ca="1">IF($C605=1,OFFSET(E605,-1,0)+MAX(1,COUNTIF(QCI!$A$13:$A$24,OFFSET(ORÇAMENTO!E605,-1,0))),OFFSET(E605,-1,0))</f>
        <v>1</v>
      </c>
      <c r="F605">
        <f t="shared" ca="1" si="123"/>
        <v>61</v>
      </c>
      <c r="G605">
        <f t="shared" ca="1" si="124"/>
        <v>0</v>
      </c>
      <c r="H605">
        <f t="shared" ca="1" si="125"/>
        <v>0</v>
      </c>
      <c r="I605">
        <f t="shared" ca="1" si="126"/>
        <v>0</v>
      </c>
      <c r="J605">
        <f t="shared" ca="1" si="146"/>
        <v>0</v>
      </c>
      <c r="K605">
        <f ca="1">IF(OR($C605="S",$C605=0),0,MATCH(OFFSET($D605,0,$C605)+IF($C605&lt;&gt;1,1,COUNTIF(QCI!$A$13:$A$24,ORÇAMENTO!E605)),OFFSET($D605,1,$C605,ROW($C$727)-ROW($C605)),0))</f>
        <v>0</v>
      </c>
      <c r="L605" s="116" t="str">
        <f t="shared" ca="1" si="127"/>
        <v/>
      </c>
      <c r="M605" s="117" t="s">
        <v>199</v>
      </c>
      <c r="N605" s="118" t="str">
        <f t="shared" ca="1" si="128"/>
        <v>Serviço</v>
      </c>
      <c r="O605" s="119" t="str">
        <f t="shared" ca="1" si="129"/>
        <v>-</v>
      </c>
      <c r="P605" s="120" t="s">
        <v>247</v>
      </c>
      <c r="Q605" s="121" t="s">
        <v>952</v>
      </c>
      <c r="R605" s="122" t="str">
        <f ca="1">IF($C605="S",REFERENCIA.Descricao,"(digite a descrição aqui)")</f>
        <v>(abra o arquivo 'Referência 06-2024.xlsm)</v>
      </c>
      <c r="S605" s="123" t="str">
        <f ca="1">REFERENCIA.Unidade</f>
        <v>-</v>
      </c>
      <c r="T605" s="124">
        <f ca="1">OFFSET(CÁLCULO!H$15,ROW($T605)-ROW(T$15),0)</f>
        <v>1</v>
      </c>
      <c r="U605" s="125">
        <f t="shared" ca="1" si="141"/>
        <v>0</v>
      </c>
      <c r="V605" s="126" t="s">
        <v>156</v>
      </c>
      <c r="W605" s="124">
        <f ca="1">IF($C605="S",ROUND(IF(TIPOORCAMENTO="Proposto",ORÇAMENTO.CustoUnitario*(1+$AH605),ORÇAMENTO.PrecoUnitarioLicitado),15-13*$AF$10),0)</f>
        <v>0</v>
      </c>
      <c r="X605" s="127">
        <f ca="1">IF($C605="S",IF(Import.TipoArredondamento&lt;&gt;"TransfereGOV",VTOTAL1,SUM(OFFSET(CÁLCULO!$AI$15,ROW($X605)-ROW($X$15),1):OFFSET(CÁLCULO!$BB$15,ROW($X605)-ROW($X$15),-1))),IF($C605=0,0,ROUND(SomaAgrup,15-13*$AF$11)))</f>
        <v>0</v>
      </c>
      <c r="Y605" s="128" t="s">
        <v>245</v>
      </c>
      <c r="Z605" t="str">
        <f t="shared" ca="1" si="130"/>
        <v/>
      </c>
      <c r="AA605" s="129">
        <f ca="1">IF($C605="S",IF($Z605="CP",$X605,IF($Z605="RA",(($X605)*QCI!$AA$3),0)),SomaAgrup)</f>
        <v>0</v>
      </c>
      <c r="AB605" s="130">
        <f t="shared" ca="1" si="143"/>
        <v>0</v>
      </c>
      <c r="AC605" s="131" t="str">
        <f ca="1">IF($N605="","",IF(ORÇAMENTO.Descricao="","DESCRIÇÃO",IF(AND($C605="S",ORÇAMENTO.Unidade=""),"UNIDADE",IF($X605&lt;0,"VALOR NEGATIVO",IF(OR(AND(TIPOORCAMENTO="Proposto",$AG605&lt;&gt;"",$AG605&gt;0,ORÇAMENTO.CustoUnitario&gt;$AG605),AND(TIPOORCAMENTO="LICITADO",ORÇAMENTO.PrecoUnitarioLicitado&gt;$AN605)),"ACIMA REF.","")))))</f>
        <v/>
      </c>
      <c r="AD605" t="str">
        <f ca="1">IF(C605&lt;=CRONO.NivelExibicao,MAX($AD$15:OFFSET(AD605,-1,0))+IF($C605&lt;&gt;1,1,MAX(1,COUNTIF(QCI!$A$13:$A$24,OFFSET($E605,-1,0)))),"")</f>
        <v/>
      </c>
      <c r="AE605" s="7" t="str">
        <f ca="1">IF(AND($C605="S",ORÇAMENTO.CodBarra&lt;&gt;""),IF(ORÇAMENTO.Fonte="",ORÇAMENTO.CodBarra,CONCATENATE(ORÇAMENTO.Fonte," ",ORÇAMENTO.CodBarra)))</f>
        <v>SINAPI 101946</v>
      </c>
      <c r="AF605" s="13" t="str">
        <f ca="1">IF(ISERROR(INDIRECT(ORÇAMENTO.BancoRef)),"(abra o arquivo 'Referência "&amp;Excel_BuiltIn_Database&amp;".xlsm)",IF(OR($C605&lt;&gt;"S",ORÇAMENTO.CodBarra=""),"(Sem Código)",IF(ISERROR(MATCH($AE605,INDIRECT(ORÇAMENTO.BancoRef),0)),"(Código não identificado nas referências)",MATCH($AE605,INDIRECT(ORÇAMENTO.BancoRef),0))))</f>
        <v>(abra o arquivo 'Referência 06-2024.xlsm)</v>
      </c>
      <c r="AG605" s="498">
        <f ca="1">ROUND(IF(DESONERACAO="sim",REFERENCIA.Desonerado,REFERENCIA.NaoDesonerado),2)</f>
        <v>0</v>
      </c>
      <c r="AH605" s="499">
        <f t="shared" ca="1" si="144"/>
        <v>0.2432</v>
      </c>
      <c r="AJ605" s="501"/>
      <c r="AL605" s="527"/>
      <c r="AM605" s="381">
        <f t="shared" ca="1" si="133"/>
        <v>0</v>
      </c>
      <c r="AN605" s="566">
        <f t="shared" ca="1" si="145"/>
        <v>0</v>
      </c>
    </row>
    <row r="606" spans="1:40" ht="38.25" x14ac:dyDescent="0.2">
      <c r="A606" t="str">
        <f t="shared" si="142"/>
        <v>S</v>
      </c>
      <c r="B606">
        <f t="shared" ca="1" si="120"/>
        <v>2</v>
      </c>
      <c r="C606" t="str">
        <f t="shared" ca="1" si="121"/>
        <v>S</v>
      </c>
      <c r="D606">
        <f t="shared" ca="1" si="122"/>
        <v>0</v>
      </c>
      <c r="E606">
        <f ca="1">IF($C606=1,OFFSET(E606,-1,0)+MAX(1,COUNTIF(QCI!$A$13:$A$24,OFFSET(ORÇAMENTO!E606,-1,0))),OFFSET(E606,-1,0))</f>
        <v>1</v>
      </c>
      <c r="F606">
        <f t="shared" ca="1" si="123"/>
        <v>61</v>
      </c>
      <c r="G606">
        <f t="shared" ca="1" si="124"/>
        <v>0</v>
      </c>
      <c r="H606">
        <f t="shared" ca="1" si="125"/>
        <v>0</v>
      </c>
      <c r="I606">
        <f t="shared" ca="1" si="126"/>
        <v>0</v>
      </c>
      <c r="J606">
        <f t="shared" ca="1" si="146"/>
        <v>0</v>
      </c>
      <c r="K606">
        <f ca="1">IF(OR($C606="S",$C606=0),0,MATCH(OFFSET($D606,0,$C606)+IF($C606&lt;&gt;1,1,COUNTIF(QCI!$A$13:$A$24,ORÇAMENTO!E606)),OFFSET($D606,1,$C606,ROW($C$727)-ROW($C606)),0))</f>
        <v>0</v>
      </c>
      <c r="L606" s="116" t="str">
        <f t="shared" ca="1" si="127"/>
        <v/>
      </c>
      <c r="M606" s="117" t="s">
        <v>199</v>
      </c>
      <c r="N606" s="118" t="str">
        <f t="shared" ca="1" si="128"/>
        <v>Serviço</v>
      </c>
      <c r="O606" s="119" t="str">
        <f t="shared" ca="1" si="129"/>
        <v>-</v>
      </c>
      <c r="P606" s="120" t="s">
        <v>458</v>
      </c>
      <c r="Q606" s="121" t="s">
        <v>953</v>
      </c>
      <c r="R606" s="122" t="str">
        <f ca="1">IF($C606="S",REFERENCIA.Descricao,"(digite a descrição aqui)")</f>
        <v>(abra o arquivo 'Referência 06-2024.xlsm)</v>
      </c>
      <c r="S606" s="123" t="str">
        <f ca="1">REFERENCIA.Unidade</f>
        <v>-</v>
      </c>
      <c r="T606" s="124">
        <f ca="1">OFFSET(CÁLCULO!H$15,ROW($T606)-ROW(T$15),0)</f>
        <v>8</v>
      </c>
      <c r="U606" s="125">
        <f t="shared" ca="1" si="141"/>
        <v>0</v>
      </c>
      <c r="V606" s="126" t="s">
        <v>156</v>
      </c>
      <c r="W606" s="124">
        <f ca="1">IF($C606="S",ROUND(IF(TIPOORCAMENTO="Proposto",ORÇAMENTO.CustoUnitario*(1+$AH606),ORÇAMENTO.PrecoUnitarioLicitado),15-13*$AF$10),0)</f>
        <v>0</v>
      </c>
      <c r="X606" s="127">
        <f ca="1">IF($C606="S",IF(Import.TipoArredondamento&lt;&gt;"TransfereGOV",VTOTAL1,SUM(OFFSET(CÁLCULO!$AI$15,ROW($X606)-ROW($X$15),1):OFFSET(CÁLCULO!$BB$15,ROW($X606)-ROW($X$15),-1))),IF($C606=0,0,ROUND(SomaAgrup,15-13*$AF$11)))</f>
        <v>0</v>
      </c>
      <c r="Y606" s="128" t="s">
        <v>245</v>
      </c>
      <c r="Z606" t="str">
        <f t="shared" ca="1" si="130"/>
        <v/>
      </c>
      <c r="AA606" s="129">
        <f ca="1">IF($C606="S",IF($Z606="CP",$X606,IF($Z606="RA",(($X606)*QCI!$AA$3),0)),SomaAgrup)</f>
        <v>0</v>
      </c>
      <c r="AB606" s="130">
        <f t="shared" ca="1" si="143"/>
        <v>0</v>
      </c>
      <c r="AC606" s="131" t="str">
        <f ca="1">IF($N606="","",IF(ORÇAMENTO.Descricao="","DESCRIÇÃO",IF(AND($C606="S",ORÇAMENTO.Unidade=""),"UNIDADE",IF($X606&lt;0,"VALOR NEGATIVO",IF(OR(AND(TIPOORCAMENTO="Proposto",$AG606&lt;&gt;"",$AG606&gt;0,ORÇAMENTO.CustoUnitario&gt;$AG606),AND(TIPOORCAMENTO="LICITADO",ORÇAMENTO.PrecoUnitarioLicitado&gt;$AN606)),"ACIMA REF.","")))))</f>
        <v/>
      </c>
      <c r="AD606" t="str">
        <f ca="1">IF(C606&lt;=CRONO.NivelExibicao,MAX($AD$15:OFFSET(AD606,-1,0))+IF($C606&lt;&gt;1,1,MAX(1,COUNTIF(QCI!$A$13:$A$24,OFFSET($E606,-1,0)))),"")</f>
        <v/>
      </c>
      <c r="AE606" s="7" t="str">
        <f ca="1">IF(AND($C606="S",ORÇAMENTO.CodBarra&lt;&gt;""),IF(ORÇAMENTO.Fonte="",ORÇAMENTO.CodBarra,CONCATENATE(ORÇAMENTO.Fonte," ",ORÇAMENTO.CodBarra)))</f>
        <v>COMPOSIÇÃO FNDE 383</v>
      </c>
      <c r="AF606" s="13" t="str">
        <f ca="1">IF(ISERROR(INDIRECT(ORÇAMENTO.BancoRef)),"(abra o arquivo 'Referência "&amp;Excel_BuiltIn_Database&amp;".xlsm)",IF(OR($C606&lt;&gt;"S",ORÇAMENTO.CodBarra=""),"(Sem Código)",IF(ISERROR(MATCH($AE606,INDIRECT(ORÇAMENTO.BancoRef),0)),"(Código não identificado nas referências)",MATCH($AE606,INDIRECT(ORÇAMENTO.BancoRef),0))))</f>
        <v>(abra o arquivo 'Referência 06-2024.xlsm)</v>
      </c>
      <c r="AG606" s="498">
        <f ca="1">ROUND(IF(DESONERACAO="sim",REFERENCIA.Desonerado,REFERENCIA.NaoDesonerado),2)</f>
        <v>0</v>
      </c>
      <c r="AH606" s="499">
        <f t="shared" ca="1" si="144"/>
        <v>0.2432</v>
      </c>
      <c r="AJ606" s="501"/>
      <c r="AL606" s="527"/>
      <c r="AM606" s="381">
        <f t="shared" ca="1" si="133"/>
        <v>0</v>
      </c>
      <c r="AN606" s="566">
        <f t="shared" ca="1" si="145"/>
        <v>0</v>
      </c>
    </row>
    <row r="607" spans="1:40" x14ac:dyDescent="0.2">
      <c r="A607">
        <f t="shared" si="142"/>
        <v>2</v>
      </c>
      <c r="B607">
        <f t="shared" ca="1" si="120"/>
        <v>2</v>
      </c>
      <c r="C607">
        <f t="shared" ca="1" si="121"/>
        <v>2</v>
      </c>
      <c r="D607">
        <f t="shared" ca="1" si="122"/>
        <v>6</v>
      </c>
      <c r="E607">
        <f ca="1">IF($C607=1,OFFSET(E607,-1,0)+MAX(1,COUNTIF(QCI!$A$13:$A$24,OFFSET(ORÇAMENTO!E607,-1,0))),OFFSET(E607,-1,0))</f>
        <v>1</v>
      </c>
      <c r="F607">
        <f t="shared" ca="1" si="123"/>
        <v>62</v>
      </c>
      <c r="G607">
        <f t="shared" ca="1" si="124"/>
        <v>0</v>
      </c>
      <c r="H607">
        <f t="shared" ca="1" si="125"/>
        <v>0</v>
      </c>
      <c r="I607">
        <f t="shared" ca="1" si="126"/>
        <v>0</v>
      </c>
      <c r="J607">
        <f t="shared" ca="1" si="146"/>
        <v>120</v>
      </c>
      <c r="K607">
        <f ca="1">IF(OR($C607="S",$C607=0),0,MATCH(OFFSET($D607,0,$C607)+IF($C607&lt;&gt;1,1,COUNTIF(QCI!$A$13:$A$24,ORÇAMENTO!E607)),OFFSET($D607,1,$C607,ROW($C$727)-ROW($C607)),0))</f>
        <v>6</v>
      </c>
      <c r="L607" s="116" t="str">
        <f t="shared" ca="1" si="127"/>
        <v>F</v>
      </c>
      <c r="M607" s="117" t="s">
        <v>196</v>
      </c>
      <c r="N607" s="118" t="str">
        <f t="shared" ca="1" si="128"/>
        <v>Nível 2</v>
      </c>
      <c r="O607" s="119" t="str">
        <f t="shared" ca="1" si="129"/>
        <v>1.62.</v>
      </c>
      <c r="P607" s="120" t="s">
        <v>247</v>
      </c>
      <c r="Q607" s="121"/>
      <c r="R607" s="122" t="s">
        <v>1085</v>
      </c>
      <c r="S607" s="123" t="str">
        <f ca="1">REFERENCIA.Unidade</f>
        <v>-</v>
      </c>
      <c r="T607" s="124">
        <f ca="1">OFFSET(CÁLCULO!H$15,ROW($T607)-ROW(T$15),0)</f>
        <v>0</v>
      </c>
      <c r="U607" s="125">
        <f t="shared" ca="1" si="141"/>
        <v>0</v>
      </c>
      <c r="V607" s="126" t="s">
        <v>156</v>
      </c>
      <c r="W607" s="124">
        <f ca="1">IF($C607="S",ROUND(IF(TIPOORCAMENTO="Proposto",ORÇAMENTO.CustoUnitario*(1+$AH607),ORÇAMENTO.PrecoUnitarioLicitado),15-13*$AF$10),0)</f>
        <v>0</v>
      </c>
      <c r="X607" s="127">
        <f ca="1">IF($C607="S",IF(Import.TipoArredondamento&lt;&gt;"TransfereGOV",VTOTAL1,SUM(OFFSET(CÁLCULO!$AI$15,ROW($X607)-ROW($X$15),1):OFFSET(CÁLCULO!$BB$15,ROW($X607)-ROW($X$15),-1))),IF($C607=0,0,ROUND(SomaAgrup,15-13*$AF$11)))</f>
        <v>0</v>
      </c>
      <c r="Y607" s="128" t="s">
        <v>245</v>
      </c>
      <c r="Z607" t="str">
        <f t="shared" ca="1" si="130"/>
        <v/>
      </c>
      <c r="AA607" s="129">
        <f ca="1">IF($C607="S",IF($Z607="CP",$X607,IF($Z607="RA",(($X607)*QCI!$AA$3),0)),SomaAgrup)</f>
        <v>0</v>
      </c>
      <c r="AB607" s="130">
        <f t="shared" ca="1" si="143"/>
        <v>0</v>
      </c>
      <c r="AC607" s="131" t="str">
        <f ca="1">IF($N607="","",IF(ORÇAMENTO.Descricao="","DESCRIÇÃO",IF(AND($C607="S",ORÇAMENTO.Unidade=""),"UNIDADE",IF($X607&lt;0,"VALOR NEGATIVO",IF(OR(AND(TIPOORCAMENTO="Proposto",$AG607&lt;&gt;"",$AG607&gt;0,ORÇAMENTO.CustoUnitario&gt;$AG607),AND(TIPOORCAMENTO="LICITADO",ORÇAMENTO.PrecoUnitarioLicitado&gt;$AN607)),"ACIMA REF.","")))))</f>
        <v/>
      </c>
      <c r="AD607">
        <f ca="1">IF(C607&lt;=CRONO.NivelExibicao,MAX($AD$15:OFFSET(AD607,-1,0))+IF($C607&lt;&gt;1,1,MAX(1,COUNTIF(QCI!$A$13:$A$24,OFFSET($E607,-1,0)))),"")</f>
        <v>63</v>
      </c>
      <c r="AE607" s="7" t="b">
        <f ca="1">IF(AND($C607="S",ORÇAMENTO.CodBarra&lt;&gt;""),IF(ORÇAMENTO.Fonte="",ORÇAMENTO.CodBarra,CONCATENATE(ORÇAMENTO.Fonte," ",ORÇAMENTO.CodBarra)))</f>
        <v>0</v>
      </c>
      <c r="AF607" s="13" t="str">
        <f ca="1">IF(ISERROR(INDIRECT(ORÇAMENTO.BancoRef)),"(abra o arquivo 'Referência "&amp;Excel_BuiltIn_Database&amp;".xlsm)",IF(OR($C607&lt;&gt;"S",ORÇAMENTO.CodBarra=""),"(Sem Código)",IF(ISERROR(MATCH($AE607,INDIRECT(ORÇAMENTO.BancoRef),0)),"(Código não identificado nas referências)",MATCH($AE607,INDIRECT(ORÇAMENTO.BancoRef),0))))</f>
        <v>(abra o arquivo 'Referência 06-2024.xlsm)</v>
      </c>
      <c r="AG607" s="498">
        <f ca="1">ROUND(IF(DESONERACAO="sim",REFERENCIA.Desonerado,REFERENCIA.NaoDesonerado),2)</f>
        <v>0</v>
      </c>
      <c r="AH607" s="499">
        <f t="shared" ca="1" si="144"/>
        <v>0.2432</v>
      </c>
      <c r="AJ607" s="501"/>
      <c r="AL607" s="527"/>
      <c r="AM607" s="381">
        <f t="shared" ca="1" si="133"/>
        <v>0</v>
      </c>
      <c r="AN607" s="566">
        <f t="shared" ca="1" si="145"/>
        <v>0</v>
      </c>
    </row>
    <row r="608" spans="1:40" ht="38.25" x14ac:dyDescent="0.2">
      <c r="A608" t="str">
        <f t="shared" si="142"/>
        <v>S</v>
      </c>
      <c r="B608">
        <f t="shared" ca="1" si="120"/>
        <v>2</v>
      </c>
      <c r="C608" t="str">
        <f t="shared" ca="1" si="121"/>
        <v>S</v>
      </c>
      <c r="D608">
        <f t="shared" ca="1" si="122"/>
        <v>0</v>
      </c>
      <c r="E608">
        <f ca="1">IF($C608=1,OFFSET(E608,-1,0)+MAX(1,COUNTIF(QCI!$A$13:$A$24,OFFSET(ORÇAMENTO!E608,-1,0))),OFFSET(E608,-1,0))</f>
        <v>1</v>
      </c>
      <c r="F608">
        <f t="shared" ca="1" si="123"/>
        <v>62</v>
      </c>
      <c r="G608">
        <f t="shared" ca="1" si="124"/>
        <v>0</v>
      </c>
      <c r="H608">
        <f t="shared" ca="1" si="125"/>
        <v>0</v>
      </c>
      <c r="I608">
        <f t="shared" ca="1" si="126"/>
        <v>0</v>
      </c>
      <c r="J608">
        <f t="shared" ca="1" si="146"/>
        <v>0</v>
      </c>
      <c r="K608">
        <f ca="1">IF(OR($C608="S",$C608=0),0,MATCH(OFFSET($D608,0,$C608)+IF($C608&lt;&gt;1,1,COUNTIF(QCI!$A$13:$A$24,ORÇAMENTO!E608)),OFFSET($D608,1,$C608,ROW($C$727)-ROW($C608)),0))</f>
        <v>0</v>
      </c>
      <c r="L608" s="116" t="str">
        <f t="shared" ca="1" si="127"/>
        <v/>
      </c>
      <c r="M608" s="117" t="s">
        <v>199</v>
      </c>
      <c r="N608" s="118" t="str">
        <f t="shared" ca="1" si="128"/>
        <v>Serviço</v>
      </c>
      <c r="O608" s="119" t="str">
        <f t="shared" ca="1" si="129"/>
        <v>-</v>
      </c>
      <c r="P608" s="120" t="s">
        <v>247</v>
      </c>
      <c r="Q608" s="121" t="s">
        <v>954</v>
      </c>
      <c r="R608" s="122" t="str">
        <f ca="1">IF($C608="S",REFERENCIA.Descricao,"(digite a descrição aqui)")</f>
        <v>(abra o arquivo 'Referência 06-2024.xlsm)</v>
      </c>
      <c r="S608" s="123" t="str">
        <f ca="1">REFERENCIA.Unidade</f>
        <v>-</v>
      </c>
      <c r="T608" s="124">
        <f ca="1">OFFSET(CÁLCULO!H$15,ROW($T608)-ROW(T$15),0)</f>
        <v>22.6</v>
      </c>
      <c r="U608" s="125">
        <f t="shared" ca="1" si="141"/>
        <v>0</v>
      </c>
      <c r="V608" s="126" t="s">
        <v>156</v>
      </c>
      <c r="W608" s="124">
        <f ca="1">IF($C608="S",ROUND(IF(TIPOORCAMENTO="Proposto",ORÇAMENTO.CustoUnitario*(1+$AH608),ORÇAMENTO.PrecoUnitarioLicitado),15-13*$AF$10),0)</f>
        <v>0</v>
      </c>
      <c r="X608" s="127">
        <f ca="1">IF($C608="S",IF(Import.TipoArredondamento&lt;&gt;"TransfereGOV",VTOTAL1,SUM(OFFSET(CÁLCULO!$AI$15,ROW($X608)-ROW($X$15),1):OFFSET(CÁLCULO!$BB$15,ROW($X608)-ROW($X$15),-1))),IF($C608=0,0,ROUND(SomaAgrup,15-13*$AF$11)))</f>
        <v>0</v>
      </c>
      <c r="Y608" s="128" t="s">
        <v>245</v>
      </c>
      <c r="Z608" t="str">
        <f t="shared" ca="1" si="130"/>
        <v/>
      </c>
      <c r="AA608" s="129">
        <f ca="1">IF($C608="S",IF($Z608="CP",$X608,IF($Z608="RA",(($X608)*QCI!$AA$3),0)),SomaAgrup)</f>
        <v>0</v>
      </c>
      <c r="AB608" s="130">
        <f t="shared" ca="1" si="143"/>
        <v>0</v>
      </c>
      <c r="AC608" s="131" t="str">
        <f ca="1">IF($N608="","",IF(ORÇAMENTO.Descricao="","DESCRIÇÃO",IF(AND($C608="S",ORÇAMENTO.Unidade=""),"UNIDADE",IF($X608&lt;0,"VALOR NEGATIVO",IF(OR(AND(TIPOORCAMENTO="Proposto",$AG608&lt;&gt;"",$AG608&gt;0,ORÇAMENTO.CustoUnitario&gt;$AG608),AND(TIPOORCAMENTO="LICITADO",ORÇAMENTO.PrecoUnitarioLicitado&gt;$AN608)),"ACIMA REF.","")))))</f>
        <v/>
      </c>
      <c r="AD608" t="str">
        <f ca="1">IF(C608&lt;=CRONO.NivelExibicao,MAX($AD$15:OFFSET(AD608,-1,0))+IF($C608&lt;&gt;1,1,MAX(1,COUNTIF(QCI!$A$13:$A$24,OFFSET($E608,-1,0)))),"")</f>
        <v/>
      </c>
      <c r="AE608" s="7" t="str">
        <f ca="1">IF(AND($C608="S",ORÇAMENTO.CodBarra&lt;&gt;""),IF(ORÇAMENTO.Fonte="",ORÇAMENTO.CodBarra,CONCATENATE(ORÇAMENTO.Fonte," ",ORÇAMENTO.CodBarra)))</f>
        <v>SINAPI 91927</v>
      </c>
      <c r="AF608" s="13" t="str">
        <f ca="1">IF(ISERROR(INDIRECT(ORÇAMENTO.BancoRef)),"(abra o arquivo 'Referência "&amp;Excel_BuiltIn_Database&amp;".xlsm)",IF(OR($C608&lt;&gt;"S",ORÇAMENTO.CodBarra=""),"(Sem Código)",IF(ISERROR(MATCH($AE608,INDIRECT(ORÇAMENTO.BancoRef),0)),"(Código não identificado nas referências)",MATCH($AE608,INDIRECT(ORÇAMENTO.BancoRef),0))))</f>
        <v>(abra o arquivo 'Referência 06-2024.xlsm)</v>
      </c>
      <c r="AG608" s="498">
        <f ca="1">ROUND(IF(DESONERACAO="sim",REFERENCIA.Desonerado,REFERENCIA.NaoDesonerado),2)</f>
        <v>0</v>
      </c>
      <c r="AH608" s="499">
        <f t="shared" ca="1" si="144"/>
        <v>0.2432</v>
      </c>
      <c r="AJ608" s="501"/>
      <c r="AL608" s="527"/>
      <c r="AM608" s="381">
        <f t="shared" ca="1" si="133"/>
        <v>0</v>
      </c>
      <c r="AN608" s="566">
        <f t="shared" ca="1" si="145"/>
        <v>0</v>
      </c>
    </row>
    <row r="609" spans="1:40" ht="38.25" x14ac:dyDescent="0.2">
      <c r="A609" t="str">
        <f t="shared" si="142"/>
        <v>S</v>
      </c>
      <c r="B609">
        <f t="shared" ca="1" si="120"/>
        <v>2</v>
      </c>
      <c r="C609" t="str">
        <f t="shared" ca="1" si="121"/>
        <v>S</v>
      </c>
      <c r="D609">
        <f t="shared" ca="1" si="122"/>
        <v>0</v>
      </c>
      <c r="E609">
        <f ca="1">IF($C609=1,OFFSET(E609,-1,0)+MAX(1,COUNTIF(QCI!$A$13:$A$24,OFFSET(ORÇAMENTO!E609,-1,0))),OFFSET(E609,-1,0))</f>
        <v>1</v>
      </c>
      <c r="F609">
        <f t="shared" ca="1" si="123"/>
        <v>62</v>
      </c>
      <c r="G609">
        <f t="shared" ca="1" si="124"/>
        <v>0</v>
      </c>
      <c r="H609">
        <f t="shared" ca="1" si="125"/>
        <v>0</v>
      </c>
      <c r="I609">
        <f t="shared" ca="1" si="126"/>
        <v>0</v>
      </c>
      <c r="J609">
        <f t="shared" ca="1" si="146"/>
        <v>0</v>
      </c>
      <c r="K609">
        <f ca="1">IF(OR($C609="S",$C609=0),0,MATCH(OFFSET($D609,0,$C609)+IF($C609&lt;&gt;1,1,COUNTIF(QCI!$A$13:$A$24,ORÇAMENTO!E609)),OFFSET($D609,1,$C609,ROW($C$727)-ROW($C609)),0))</f>
        <v>0</v>
      </c>
      <c r="L609" s="116" t="str">
        <f t="shared" ca="1" si="127"/>
        <v/>
      </c>
      <c r="M609" s="117" t="s">
        <v>199</v>
      </c>
      <c r="N609" s="118" t="str">
        <f t="shared" ca="1" si="128"/>
        <v>Serviço</v>
      </c>
      <c r="O609" s="119" t="str">
        <f t="shared" ca="1" si="129"/>
        <v>-</v>
      </c>
      <c r="P609" s="120" t="s">
        <v>247</v>
      </c>
      <c r="Q609" s="121" t="s">
        <v>873</v>
      </c>
      <c r="R609" s="122" t="str">
        <f ca="1">IF($C609="S",REFERENCIA.Descricao,"(digite a descrição aqui)")</f>
        <v>(abra o arquivo 'Referência 06-2024.xlsm)</v>
      </c>
      <c r="S609" s="123" t="str">
        <f ca="1">REFERENCIA.Unidade</f>
        <v>-</v>
      </c>
      <c r="T609" s="124">
        <f ca="1">OFFSET(CÁLCULO!H$15,ROW($T609)-ROW(T$15),0)</f>
        <v>132.4</v>
      </c>
      <c r="U609" s="125">
        <f t="shared" ca="1" si="141"/>
        <v>0</v>
      </c>
      <c r="V609" s="126" t="s">
        <v>156</v>
      </c>
      <c r="W609" s="124">
        <f ca="1">IF($C609="S",ROUND(IF(TIPOORCAMENTO="Proposto",ORÇAMENTO.CustoUnitario*(1+$AH609),ORÇAMENTO.PrecoUnitarioLicitado),15-13*$AF$10),0)</f>
        <v>0</v>
      </c>
      <c r="X609" s="127">
        <f ca="1">IF($C609="S",IF(Import.TipoArredondamento&lt;&gt;"TransfereGOV",VTOTAL1,SUM(OFFSET(CÁLCULO!$AI$15,ROW($X609)-ROW($X$15),1):OFFSET(CÁLCULO!$BB$15,ROW($X609)-ROW($X$15),-1))),IF($C609=0,0,ROUND(SomaAgrup,15-13*$AF$11)))</f>
        <v>0</v>
      </c>
      <c r="Y609" s="128" t="s">
        <v>245</v>
      </c>
      <c r="Z609" t="str">
        <f t="shared" ca="1" si="130"/>
        <v/>
      </c>
      <c r="AA609" s="129">
        <f ca="1">IF($C609="S",IF($Z609="CP",$X609,IF($Z609="RA",(($X609)*QCI!$AA$3),0)),SomaAgrup)</f>
        <v>0</v>
      </c>
      <c r="AB609" s="130">
        <f t="shared" ca="1" si="143"/>
        <v>0</v>
      </c>
      <c r="AC609" s="131" t="str">
        <f ca="1">IF($N609="","",IF(ORÇAMENTO.Descricao="","DESCRIÇÃO",IF(AND($C609="S",ORÇAMENTO.Unidade=""),"UNIDADE",IF($X609&lt;0,"VALOR NEGATIVO",IF(OR(AND(TIPOORCAMENTO="Proposto",$AG609&lt;&gt;"",$AG609&gt;0,ORÇAMENTO.CustoUnitario&gt;$AG609),AND(TIPOORCAMENTO="LICITADO",ORÇAMENTO.PrecoUnitarioLicitado&gt;$AN609)),"ACIMA REF.","")))))</f>
        <v/>
      </c>
      <c r="AD609" t="str">
        <f ca="1">IF(C609&lt;=CRONO.NivelExibicao,MAX($AD$15:OFFSET(AD609,-1,0))+IF($C609&lt;&gt;1,1,MAX(1,COUNTIF(QCI!$A$13:$A$24,OFFSET($E609,-1,0)))),"")</f>
        <v/>
      </c>
      <c r="AE609" s="7" t="str">
        <f ca="1">IF(AND($C609="S",ORÇAMENTO.CodBarra&lt;&gt;""),IF(ORÇAMENTO.Fonte="",ORÇAMENTO.CodBarra,CONCATENATE(ORÇAMENTO.Fonte," ",ORÇAMENTO.CodBarra)))</f>
        <v>SINAPI 91929</v>
      </c>
      <c r="AF609" s="13" t="str">
        <f ca="1">IF(ISERROR(INDIRECT(ORÇAMENTO.BancoRef)),"(abra o arquivo 'Referência "&amp;Excel_BuiltIn_Database&amp;".xlsm)",IF(OR($C609&lt;&gt;"S",ORÇAMENTO.CodBarra=""),"(Sem Código)",IF(ISERROR(MATCH($AE609,INDIRECT(ORÇAMENTO.BancoRef),0)),"(Código não identificado nas referências)",MATCH($AE609,INDIRECT(ORÇAMENTO.BancoRef),0))))</f>
        <v>(abra o arquivo 'Referência 06-2024.xlsm)</v>
      </c>
      <c r="AG609" s="498">
        <f ca="1">ROUND(IF(DESONERACAO="sim",REFERENCIA.Desonerado,REFERENCIA.NaoDesonerado),2)</f>
        <v>0</v>
      </c>
      <c r="AH609" s="499">
        <f t="shared" ca="1" si="144"/>
        <v>0.2432</v>
      </c>
      <c r="AJ609" s="501"/>
      <c r="AL609" s="527"/>
      <c r="AM609" s="381">
        <f t="shared" ca="1" si="133"/>
        <v>0</v>
      </c>
      <c r="AN609" s="566">
        <f t="shared" ca="1" si="145"/>
        <v>0</v>
      </c>
    </row>
    <row r="610" spans="1:40" ht="51" x14ac:dyDescent="0.2">
      <c r="A610" t="str">
        <f t="shared" si="142"/>
        <v>S</v>
      </c>
      <c r="B610">
        <f t="shared" ca="1" si="120"/>
        <v>2</v>
      </c>
      <c r="C610" t="str">
        <f t="shared" ca="1" si="121"/>
        <v>S</v>
      </c>
      <c r="D610">
        <f t="shared" ca="1" si="122"/>
        <v>0</v>
      </c>
      <c r="E610">
        <f ca="1">IF($C610=1,OFFSET(E610,-1,0)+MAX(1,COUNTIF(QCI!$A$13:$A$24,OFFSET(ORÇAMENTO!E610,-1,0))),OFFSET(E610,-1,0))</f>
        <v>1</v>
      </c>
      <c r="F610">
        <f t="shared" ca="1" si="123"/>
        <v>62</v>
      </c>
      <c r="G610">
        <f t="shared" ca="1" si="124"/>
        <v>0</v>
      </c>
      <c r="H610">
        <f t="shared" ca="1" si="125"/>
        <v>0</v>
      </c>
      <c r="I610">
        <f t="shared" ca="1" si="126"/>
        <v>0</v>
      </c>
      <c r="J610">
        <f t="shared" ca="1" si="146"/>
        <v>0</v>
      </c>
      <c r="K610">
        <f ca="1">IF(OR($C610="S",$C610=0),0,MATCH(OFFSET($D610,0,$C610)+IF($C610&lt;&gt;1,1,COUNTIF(QCI!$A$13:$A$24,ORÇAMENTO!E610)),OFFSET($D610,1,$C610,ROW($C$727)-ROW($C610)),0))</f>
        <v>0</v>
      </c>
      <c r="L610" s="116" t="str">
        <f t="shared" ca="1" si="127"/>
        <v/>
      </c>
      <c r="M610" s="117" t="s">
        <v>199</v>
      </c>
      <c r="N610" s="118" t="str">
        <f t="shared" ca="1" si="128"/>
        <v>Serviço</v>
      </c>
      <c r="O610" s="119" t="str">
        <f t="shared" ca="1" si="129"/>
        <v>-</v>
      </c>
      <c r="P610" s="120" t="s">
        <v>247</v>
      </c>
      <c r="Q610" s="121" t="s">
        <v>955</v>
      </c>
      <c r="R610" s="122" t="str">
        <f ca="1">IF($C610="S",REFERENCIA.Descricao,"(digite a descrição aqui)")</f>
        <v>(abra o arquivo 'Referência 06-2024.xlsm)</v>
      </c>
      <c r="S610" s="123" t="str">
        <f ca="1">REFERENCIA.Unidade</f>
        <v>-</v>
      </c>
      <c r="T610" s="124">
        <f ca="1">OFFSET(CÁLCULO!H$15,ROW($T610)-ROW(T$15),0)</f>
        <v>16.899999999999999</v>
      </c>
      <c r="U610" s="125">
        <f t="shared" ca="1" si="141"/>
        <v>0</v>
      </c>
      <c r="V610" s="126" t="s">
        <v>156</v>
      </c>
      <c r="W610" s="124">
        <f ca="1">IF($C610="S",ROUND(IF(TIPOORCAMENTO="Proposto",ORÇAMENTO.CustoUnitario*(1+$AH610),ORÇAMENTO.PrecoUnitarioLicitado),15-13*$AF$10),0)</f>
        <v>0</v>
      </c>
      <c r="X610" s="127">
        <f ca="1">IF($C610="S",IF(Import.TipoArredondamento&lt;&gt;"TransfereGOV",VTOTAL1,SUM(OFFSET(CÁLCULO!$AI$15,ROW($X610)-ROW($X$15),1):OFFSET(CÁLCULO!$BB$15,ROW($X610)-ROW($X$15),-1))),IF($C610=0,0,ROUND(SomaAgrup,15-13*$AF$11)))</f>
        <v>0</v>
      </c>
      <c r="Y610" s="128" t="s">
        <v>245</v>
      </c>
      <c r="Z610" t="str">
        <f t="shared" ca="1" si="130"/>
        <v/>
      </c>
      <c r="AA610" s="129">
        <f ca="1">IF($C610="S",IF($Z610="CP",$X610,IF($Z610="RA",(($X610)*QCI!$AA$3),0)),SomaAgrup)</f>
        <v>0</v>
      </c>
      <c r="AB610" s="130">
        <f t="shared" ca="1" si="143"/>
        <v>0</v>
      </c>
      <c r="AC610" s="131" t="str">
        <f ca="1">IF($N610="","",IF(ORÇAMENTO.Descricao="","DESCRIÇÃO",IF(AND($C610="S",ORÇAMENTO.Unidade=""),"UNIDADE",IF($X610&lt;0,"VALOR NEGATIVO",IF(OR(AND(TIPOORCAMENTO="Proposto",$AG610&lt;&gt;"",$AG610&gt;0,ORÇAMENTO.CustoUnitario&gt;$AG610),AND(TIPOORCAMENTO="LICITADO",ORÇAMENTO.PrecoUnitarioLicitado&gt;$AN610)),"ACIMA REF.","")))))</f>
        <v/>
      </c>
      <c r="AD610" t="str">
        <f ca="1">IF(C610&lt;=CRONO.NivelExibicao,MAX($AD$15:OFFSET(AD610,-1,0))+IF($C610&lt;&gt;1,1,MAX(1,COUNTIF(QCI!$A$13:$A$24,OFFSET($E610,-1,0)))),"")</f>
        <v/>
      </c>
      <c r="AE610" s="7" t="str">
        <f ca="1">IF(AND($C610="S",ORÇAMENTO.CodBarra&lt;&gt;""),IF(ORÇAMENTO.Fonte="",ORÇAMENTO.CodBarra,CONCATENATE(ORÇAMENTO.Fonte," ",ORÇAMENTO.CodBarra)))</f>
        <v>SINAPI 97327</v>
      </c>
      <c r="AF610" s="13" t="str">
        <f ca="1">IF(ISERROR(INDIRECT(ORÇAMENTO.BancoRef)),"(abra o arquivo 'Referência "&amp;Excel_BuiltIn_Database&amp;".xlsm)",IF(OR($C610&lt;&gt;"S",ORÇAMENTO.CodBarra=""),"(Sem Código)",IF(ISERROR(MATCH($AE610,INDIRECT(ORÇAMENTO.BancoRef),0)),"(Código não identificado nas referências)",MATCH($AE610,INDIRECT(ORÇAMENTO.BancoRef),0))))</f>
        <v>(abra o arquivo 'Referência 06-2024.xlsm)</v>
      </c>
      <c r="AG610" s="498">
        <f ca="1">ROUND(IF(DESONERACAO="sim",REFERENCIA.Desonerado,REFERENCIA.NaoDesonerado),2)</f>
        <v>0</v>
      </c>
      <c r="AH610" s="499">
        <f t="shared" ca="1" si="144"/>
        <v>0.2432</v>
      </c>
      <c r="AJ610" s="501"/>
      <c r="AL610" s="527"/>
      <c r="AM610" s="381">
        <f t="shared" ca="1" si="133"/>
        <v>0</v>
      </c>
      <c r="AN610" s="566">
        <f t="shared" ca="1" si="145"/>
        <v>0</v>
      </c>
    </row>
    <row r="611" spans="1:40" ht="51" x14ac:dyDescent="0.2">
      <c r="A611" t="str">
        <f t="shared" si="142"/>
        <v>S</v>
      </c>
      <c r="B611">
        <f t="shared" ca="1" si="120"/>
        <v>2</v>
      </c>
      <c r="C611" t="str">
        <f t="shared" ca="1" si="121"/>
        <v>S</v>
      </c>
      <c r="D611">
        <f t="shared" ca="1" si="122"/>
        <v>0</v>
      </c>
      <c r="E611">
        <f ca="1">IF($C611=1,OFFSET(E611,-1,0)+MAX(1,COUNTIF(QCI!$A$13:$A$24,OFFSET(ORÇAMENTO!E611,-1,0))),OFFSET(E611,-1,0))</f>
        <v>1</v>
      </c>
      <c r="F611">
        <f t="shared" ca="1" si="123"/>
        <v>62</v>
      </c>
      <c r="G611">
        <f t="shared" ca="1" si="124"/>
        <v>0</v>
      </c>
      <c r="H611">
        <f t="shared" ca="1" si="125"/>
        <v>0</v>
      </c>
      <c r="I611">
        <f t="shared" ca="1" si="126"/>
        <v>0</v>
      </c>
      <c r="J611">
        <f t="shared" ca="1" si="146"/>
        <v>0</v>
      </c>
      <c r="K611">
        <f ca="1">IF(OR($C611="S",$C611=0),0,MATCH(OFFSET($D611,0,$C611)+IF($C611&lt;&gt;1,1,COUNTIF(QCI!$A$13:$A$24,ORÇAMENTO!E611)),OFFSET($D611,1,$C611,ROW($C$727)-ROW($C611)),0))</f>
        <v>0</v>
      </c>
      <c r="L611" s="116" t="str">
        <f t="shared" ca="1" si="127"/>
        <v/>
      </c>
      <c r="M611" s="117" t="s">
        <v>199</v>
      </c>
      <c r="N611" s="118" t="str">
        <f t="shared" ca="1" si="128"/>
        <v>Serviço</v>
      </c>
      <c r="O611" s="119" t="str">
        <f t="shared" ca="1" si="129"/>
        <v>-</v>
      </c>
      <c r="P611" s="120" t="s">
        <v>247</v>
      </c>
      <c r="Q611" s="121" t="s">
        <v>956</v>
      </c>
      <c r="R611" s="122" t="str">
        <f ca="1">IF($C611="S",REFERENCIA.Descricao,"(digite a descrição aqui)")</f>
        <v>(abra o arquivo 'Referência 06-2024.xlsm)</v>
      </c>
      <c r="S611" s="123" t="str">
        <f ca="1">REFERENCIA.Unidade</f>
        <v>-</v>
      </c>
      <c r="T611" s="124">
        <f ca="1">OFFSET(CÁLCULO!H$15,ROW($T611)-ROW(T$15),0)</f>
        <v>154.9</v>
      </c>
      <c r="U611" s="125">
        <f t="shared" ca="1" si="141"/>
        <v>0</v>
      </c>
      <c r="V611" s="126" t="s">
        <v>156</v>
      </c>
      <c r="W611" s="124">
        <f ca="1">IF($C611="S",ROUND(IF(TIPOORCAMENTO="Proposto",ORÇAMENTO.CustoUnitario*(1+$AH611),ORÇAMENTO.PrecoUnitarioLicitado),15-13*$AF$10),0)</f>
        <v>0</v>
      </c>
      <c r="X611" s="127">
        <f ca="1">IF($C611="S",IF(Import.TipoArredondamento&lt;&gt;"TransfereGOV",VTOTAL1,SUM(OFFSET(CÁLCULO!$AI$15,ROW($X611)-ROW($X$15),1):OFFSET(CÁLCULO!$BB$15,ROW($X611)-ROW($X$15),-1))),IF($C611=0,0,ROUND(SomaAgrup,15-13*$AF$11)))</f>
        <v>0</v>
      </c>
      <c r="Y611" s="128" t="s">
        <v>245</v>
      </c>
      <c r="Z611" t="str">
        <f t="shared" ca="1" si="130"/>
        <v/>
      </c>
      <c r="AA611" s="129">
        <f ca="1">IF($C611="S",IF($Z611="CP",$X611,IF($Z611="RA",(($X611)*QCI!$AA$3),0)),SomaAgrup)</f>
        <v>0</v>
      </c>
      <c r="AB611" s="130">
        <f t="shared" ca="1" si="143"/>
        <v>0</v>
      </c>
      <c r="AC611" s="131" t="str">
        <f ca="1">IF($N611="","",IF(ORÇAMENTO.Descricao="","DESCRIÇÃO",IF(AND($C611="S",ORÇAMENTO.Unidade=""),"UNIDADE",IF($X611&lt;0,"VALOR NEGATIVO",IF(OR(AND(TIPOORCAMENTO="Proposto",$AG611&lt;&gt;"",$AG611&gt;0,ORÇAMENTO.CustoUnitario&gt;$AG611),AND(TIPOORCAMENTO="LICITADO",ORÇAMENTO.PrecoUnitarioLicitado&gt;$AN611)),"ACIMA REF.","")))))</f>
        <v/>
      </c>
      <c r="AD611" t="str">
        <f ca="1">IF(C611&lt;=CRONO.NivelExibicao,MAX($AD$15:OFFSET(AD611,-1,0))+IF($C611&lt;&gt;1,1,MAX(1,COUNTIF(QCI!$A$13:$A$24,OFFSET($E611,-1,0)))),"")</f>
        <v/>
      </c>
      <c r="AE611" s="7" t="str">
        <f ca="1">IF(AND($C611="S",ORÇAMENTO.CodBarra&lt;&gt;""),IF(ORÇAMENTO.Fonte="",ORÇAMENTO.CodBarra,CONCATENATE(ORÇAMENTO.Fonte," ",ORÇAMENTO.CodBarra)))</f>
        <v>SINAPI 97328</v>
      </c>
      <c r="AF611" s="13" t="str">
        <f ca="1">IF(ISERROR(INDIRECT(ORÇAMENTO.BancoRef)),"(abra o arquivo 'Referência "&amp;Excel_BuiltIn_Database&amp;".xlsm)",IF(OR($C611&lt;&gt;"S",ORÇAMENTO.CodBarra=""),"(Sem Código)",IF(ISERROR(MATCH($AE611,INDIRECT(ORÇAMENTO.BancoRef),0)),"(Código não identificado nas referências)",MATCH($AE611,INDIRECT(ORÇAMENTO.BancoRef),0))))</f>
        <v>(abra o arquivo 'Referência 06-2024.xlsm)</v>
      </c>
      <c r="AG611" s="498">
        <f ca="1">ROUND(IF(DESONERACAO="sim",REFERENCIA.Desonerado,REFERENCIA.NaoDesonerado),2)</f>
        <v>0</v>
      </c>
      <c r="AH611" s="499">
        <f t="shared" ca="1" si="144"/>
        <v>0.2432</v>
      </c>
      <c r="AJ611" s="501"/>
      <c r="AL611" s="527"/>
      <c r="AM611" s="381">
        <f t="shared" ca="1" si="133"/>
        <v>0</v>
      </c>
      <c r="AN611" s="566">
        <f t="shared" ca="1" si="145"/>
        <v>0</v>
      </c>
    </row>
    <row r="612" spans="1:40" ht="38.25" x14ac:dyDescent="0.2">
      <c r="A612" t="str">
        <f t="shared" si="142"/>
        <v>S</v>
      </c>
      <c r="B612">
        <f t="shared" ca="1" si="120"/>
        <v>2</v>
      </c>
      <c r="C612" t="str">
        <f t="shared" ca="1" si="121"/>
        <v>S</v>
      </c>
      <c r="D612">
        <f t="shared" ca="1" si="122"/>
        <v>0</v>
      </c>
      <c r="E612">
        <f ca="1">IF($C612=1,OFFSET(E612,-1,0)+MAX(1,COUNTIF(QCI!$A$13:$A$24,OFFSET(ORÇAMENTO!E612,-1,0))),OFFSET(E612,-1,0))</f>
        <v>1</v>
      </c>
      <c r="F612">
        <f t="shared" ca="1" si="123"/>
        <v>62</v>
      </c>
      <c r="G612">
        <f t="shared" ca="1" si="124"/>
        <v>0</v>
      </c>
      <c r="H612">
        <f t="shared" ca="1" si="125"/>
        <v>0</v>
      </c>
      <c r="I612">
        <f t="shared" ca="1" si="126"/>
        <v>0</v>
      </c>
      <c r="J612">
        <f t="shared" ca="1" si="146"/>
        <v>0</v>
      </c>
      <c r="K612">
        <f ca="1">IF(OR($C612="S",$C612=0),0,MATCH(OFFSET($D612,0,$C612)+IF($C612&lt;&gt;1,1,COUNTIF(QCI!$A$13:$A$24,ORÇAMENTO!E612)),OFFSET($D612,1,$C612,ROW($C$727)-ROW($C612)),0))</f>
        <v>0</v>
      </c>
      <c r="L612" s="116" t="str">
        <f t="shared" ca="1" si="127"/>
        <v/>
      </c>
      <c r="M612" s="117" t="s">
        <v>199</v>
      </c>
      <c r="N612" s="118" t="str">
        <f t="shared" ca="1" si="128"/>
        <v>Serviço</v>
      </c>
      <c r="O612" s="119" t="str">
        <f t="shared" ca="1" si="129"/>
        <v>-</v>
      </c>
      <c r="P612" s="120" t="s">
        <v>247</v>
      </c>
      <c r="Q612" s="121" t="s">
        <v>957</v>
      </c>
      <c r="R612" s="122" t="str">
        <f ca="1">IF($C612="S",REFERENCIA.Descricao,"(digite a descrição aqui)")</f>
        <v>(abra o arquivo 'Referência 06-2024.xlsm)</v>
      </c>
      <c r="S612" s="123" t="str">
        <f ca="1">REFERENCIA.Unidade</f>
        <v>-</v>
      </c>
      <c r="T612" s="124">
        <f ca="1">OFFSET(CÁLCULO!H$15,ROW($T612)-ROW(T$15),0)</f>
        <v>138</v>
      </c>
      <c r="U612" s="125">
        <f t="shared" ca="1" si="141"/>
        <v>0</v>
      </c>
      <c r="V612" s="126" t="s">
        <v>156</v>
      </c>
      <c r="W612" s="124">
        <f ca="1">IF($C612="S",ROUND(IF(TIPOORCAMENTO="Proposto",ORÇAMENTO.CustoUnitario*(1+$AH612),ORÇAMENTO.PrecoUnitarioLicitado),15-13*$AF$10),0)</f>
        <v>0</v>
      </c>
      <c r="X612" s="127">
        <f ca="1">IF($C612="S",IF(Import.TipoArredondamento&lt;&gt;"TransfereGOV",VTOTAL1,SUM(OFFSET(CÁLCULO!$AI$15,ROW($X612)-ROW($X$15),1):OFFSET(CÁLCULO!$BB$15,ROW($X612)-ROW($X$15),-1))),IF($C612=0,0,ROUND(SomaAgrup,15-13*$AF$11)))</f>
        <v>0</v>
      </c>
      <c r="Y612" s="128" t="s">
        <v>245</v>
      </c>
      <c r="Z612" t="str">
        <f t="shared" ca="1" si="130"/>
        <v/>
      </c>
      <c r="AA612" s="129">
        <f ca="1">IF($C612="S",IF($Z612="CP",$X612,IF($Z612="RA",(($X612)*QCI!$AA$3),0)),SomaAgrup)</f>
        <v>0</v>
      </c>
      <c r="AB612" s="130">
        <f t="shared" ca="1" si="143"/>
        <v>0</v>
      </c>
      <c r="AC612" s="131" t="str">
        <f ca="1">IF($N612="","",IF(ORÇAMENTO.Descricao="","DESCRIÇÃO",IF(AND($C612="S",ORÇAMENTO.Unidade=""),"UNIDADE",IF($X612&lt;0,"VALOR NEGATIVO",IF(OR(AND(TIPOORCAMENTO="Proposto",$AG612&lt;&gt;"",$AG612&gt;0,ORÇAMENTO.CustoUnitario&gt;$AG612),AND(TIPOORCAMENTO="LICITADO",ORÇAMENTO.PrecoUnitarioLicitado&gt;$AN612)),"ACIMA REF.","")))))</f>
        <v/>
      </c>
      <c r="AD612" t="str">
        <f ca="1">IF(C612&lt;=CRONO.NivelExibicao,MAX($AD$15:OFFSET(AD612,-1,0))+IF($C612&lt;&gt;1,1,MAX(1,COUNTIF(QCI!$A$13:$A$24,OFFSET($E612,-1,0)))),"")</f>
        <v/>
      </c>
      <c r="AE612" s="7" t="str">
        <f ca="1">IF(AND($C612="S",ORÇAMENTO.CodBarra&lt;&gt;""),IF(ORÇAMENTO.Fonte="",ORÇAMENTO.CodBarra,CONCATENATE(ORÇAMENTO.Fonte," ",ORÇAMENTO.CodBarra)))</f>
        <v>SINAPI 103292</v>
      </c>
      <c r="AF612" s="13" t="str">
        <f ca="1">IF(ISERROR(INDIRECT(ORÇAMENTO.BancoRef)),"(abra o arquivo 'Referência "&amp;Excel_BuiltIn_Database&amp;".xlsm)",IF(OR($C612&lt;&gt;"S",ORÇAMENTO.CodBarra=""),"(Sem Código)",IF(ISERROR(MATCH($AE612,INDIRECT(ORÇAMENTO.BancoRef),0)),"(Código não identificado nas referências)",MATCH($AE612,INDIRECT(ORÇAMENTO.BancoRef),0))))</f>
        <v>(abra o arquivo 'Referência 06-2024.xlsm)</v>
      </c>
      <c r="AG612" s="498">
        <f ca="1">ROUND(IF(DESONERACAO="sim",REFERENCIA.Desonerado,REFERENCIA.NaoDesonerado),2)</f>
        <v>0</v>
      </c>
      <c r="AH612" s="499">
        <f t="shared" ca="1" si="144"/>
        <v>0.2432</v>
      </c>
      <c r="AJ612" s="501"/>
      <c r="AL612" s="527"/>
      <c r="AM612" s="381">
        <f t="shared" ca="1" si="133"/>
        <v>0</v>
      </c>
      <c r="AN612" s="566">
        <f t="shared" ca="1" si="145"/>
        <v>0</v>
      </c>
    </row>
    <row r="613" spans="1:40" x14ac:dyDescent="0.2">
      <c r="A613">
        <f t="shared" si="142"/>
        <v>2</v>
      </c>
      <c r="B613">
        <f t="shared" ca="1" si="120"/>
        <v>2</v>
      </c>
      <c r="C613">
        <f t="shared" ca="1" si="121"/>
        <v>2</v>
      </c>
      <c r="D613">
        <f t="shared" ca="1" si="122"/>
        <v>5</v>
      </c>
      <c r="E613">
        <f ca="1">IF($C613=1,OFFSET(E613,-1,0)+MAX(1,COUNTIF(QCI!$A$13:$A$24,OFFSET(ORÇAMENTO!E613,-1,0))),OFFSET(E613,-1,0))</f>
        <v>1</v>
      </c>
      <c r="F613">
        <f t="shared" ca="1" si="123"/>
        <v>63</v>
      </c>
      <c r="G613">
        <f t="shared" ca="1" si="124"/>
        <v>0</v>
      </c>
      <c r="H613">
        <f t="shared" ca="1" si="125"/>
        <v>0</v>
      </c>
      <c r="I613">
        <f t="shared" ca="1" si="126"/>
        <v>0</v>
      </c>
      <c r="J613">
        <f t="shared" ca="1" si="146"/>
        <v>114</v>
      </c>
      <c r="K613">
        <f ca="1">IF(OR($C613="S",$C613=0),0,MATCH(OFFSET($D613,0,$C613)+IF($C613&lt;&gt;1,1,COUNTIF(QCI!$A$13:$A$24,ORÇAMENTO!E613)),OFFSET($D613,1,$C613,ROW($C$727)-ROW($C613)),0))</f>
        <v>5</v>
      </c>
      <c r="L613" s="116" t="str">
        <f t="shared" ca="1" si="127"/>
        <v>F</v>
      </c>
      <c r="M613" s="117" t="s">
        <v>196</v>
      </c>
      <c r="N613" s="118" t="str">
        <f t="shared" ca="1" si="128"/>
        <v>Nível 2</v>
      </c>
      <c r="O613" s="119" t="str">
        <f t="shared" ca="1" si="129"/>
        <v>1.63.</v>
      </c>
      <c r="P613" s="120" t="s">
        <v>247</v>
      </c>
      <c r="Q613" s="121"/>
      <c r="R613" s="122" t="s">
        <v>1086</v>
      </c>
      <c r="S613" s="123" t="str">
        <f ca="1">REFERENCIA.Unidade</f>
        <v>-</v>
      </c>
      <c r="T613" s="124">
        <f ca="1">OFFSET(CÁLCULO!H$15,ROW($T613)-ROW(T$15),0)</f>
        <v>0</v>
      </c>
      <c r="U613" s="125">
        <f t="shared" ca="1" si="141"/>
        <v>0</v>
      </c>
      <c r="V613" s="126" t="s">
        <v>156</v>
      </c>
      <c r="W613" s="124">
        <f ca="1">IF($C613="S",ROUND(IF(TIPOORCAMENTO="Proposto",ORÇAMENTO.CustoUnitario*(1+$AH613),ORÇAMENTO.PrecoUnitarioLicitado),15-13*$AF$10),0)</f>
        <v>0</v>
      </c>
      <c r="X613" s="127">
        <f ca="1">IF($C613="S",IF(Import.TipoArredondamento&lt;&gt;"TransfereGOV",VTOTAL1,SUM(OFFSET(CÁLCULO!$AI$15,ROW($X613)-ROW($X$15),1):OFFSET(CÁLCULO!$BB$15,ROW($X613)-ROW($X$15),-1))),IF($C613=0,0,ROUND(SomaAgrup,15-13*$AF$11)))</f>
        <v>0</v>
      </c>
      <c r="Y613" s="128" t="s">
        <v>245</v>
      </c>
      <c r="Z613" t="str">
        <f t="shared" ca="1" si="130"/>
        <v/>
      </c>
      <c r="AA613" s="129">
        <f ca="1">IF($C613="S",IF($Z613="CP",$X613,IF($Z613="RA",(($X613)*QCI!$AA$3),0)),SomaAgrup)</f>
        <v>0</v>
      </c>
      <c r="AB613" s="130">
        <f t="shared" ca="1" si="143"/>
        <v>0</v>
      </c>
      <c r="AC613" s="131" t="str">
        <f ca="1">IF($N613="","",IF(ORÇAMENTO.Descricao="","DESCRIÇÃO",IF(AND($C613="S",ORÇAMENTO.Unidade=""),"UNIDADE",IF($X613&lt;0,"VALOR NEGATIVO",IF(OR(AND(TIPOORCAMENTO="Proposto",$AG613&lt;&gt;"",$AG613&gt;0,ORÇAMENTO.CustoUnitario&gt;$AG613),AND(TIPOORCAMENTO="LICITADO",ORÇAMENTO.PrecoUnitarioLicitado&gt;$AN613)),"ACIMA REF.","")))))</f>
        <v/>
      </c>
      <c r="AD613">
        <f ca="1">IF(C613&lt;=CRONO.NivelExibicao,MAX($AD$15:OFFSET(AD613,-1,0))+IF($C613&lt;&gt;1,1,MAX(1,COUNTIF(QCI!$A$13:$A$24,OFFSET($E613,-1,0)))),"")</f>
        <v>64</v>
      </c>
      <c r="AE613" s="7" t="b">
        <f ca="1">IF(AND($C613="S",ORÇAMENTO.CodBarra&lt;&gt;""),IF(ORÇAMENTO.Fonte="",ORÇAMENTO.CodBarra,CONCATENATE(ORÇAMENTO.Fonte," ",ORÇAMENTO.CodBarra)))</f>
        <v>0</v>
      </c>
      <c r="AF613" s="13" t="str">
        <f ca="1">IF(ISERROR(INDIRECT(ORÇAMENTO.BancoRef)),"(abra o arquivo 'Referência "&amp;Excel_BuiltIn_Database&amp;".xlsm)",IF(OR($C613&lt;&gt;"S",ORÇAMENTO.CodBarra=""),"(Sem Código)",IF(ISERROR(MATCH($AE613,INDIRECT(ORÇAMENTO.BancoRef),0)),"(Código não identificado nas referências)",MATCH($AE613,INDIRECT(ORÇAMENTO.BancoRef),0))))</f>
        <v>(abra o arquivo 'Referência 06-2024.xlsm)</v>
      </c>
      <c r="AG613" s="498">
        <f ca="1">ROUND(IF(DESONERACAO="sim",REFERENCIA.Desonerado,REFERENCIA.NaoDesonerado),2)</f>
        <v>0</v>
      </c>
      <c r="AH613" s="499">
        <f t="shared" ca="1" si="144"/>
        <v>0.2432</v>
      </c>
      <c r="AJ613" s="501"/>
      <c r="AL613" s="527"/>
      <c r="AM613" s="381">
        <f t="shared" ca="1" si="133"/>
        <v>0</v>
      </c>
      <c r="AN613" s="566">
        <f t="shared" ca="1" si="145"/>
        <v>0</v>
      </c>
    </row>
    <row r="614" spans="1:40" ht="38.25" x14ac:dyDescent="0.2">
      <c r="A614" t="str">
        <f t="shared" si="142"/>
        <v>S</v>
      </c>
      <c r="B614">
        <f t="shared" ca="1" si="120"/>
        <v>2</v>
      </c>
      <c r="C614" t="str">
        <f t="shared" ca="1" si="121"/>
        <v>S</v>
      </c>
      <c r="D614">
        <f t="shared" ca="1" si="122"/>
        <v>0</v>
      </c>
      <c r="E614">
        <f ca="1">IF($C614=1,OFFSET(E614,-1,0)+MAX(1,COUNTIF(QCI!$A$13:$A$24,OFFSET(ORÇAMENTO!E614,-1,0))),OFFSET(E614,-1,0))</f>
        <v>1</v>
      </c>
      <c r="F614">
        <f t="shared" ca="1" si="123"/>
        <v>63</v>
      </c>
      <c r="G614">
        <f t="shared" ca="1" si="124"/>
        <v>0</v>
      </c>
      <c r="H614">
        <f t="shared" ca="1" si="125"/>
        <v>0</v>
      </c>
      <c r="I614">
        <f t="shared" ca="1" si="126"/>
        <v>0</v>
      </c>
      <c r="J614">
        <f t="shared" ca="1" si="146"/>
        <v>0</v>
      </c>
      <c r="K614">
        <f ca="1">IF(OR($C614="S",$C614=0),0,MATCH(OFFSET($D614,0,$C614)+IF($C614&lt;&gt;1,1,COUNTIF(QCI!$A$13:$A$24,ORÇAMENTO!E614)),OFFSET($D614,1,$C614,ROW($C$727)-ROW($C614)),0))</f>
        <v>0</v>
      </c>
      <c r="L614" s="116" t="str">
        <f t="shared" ca="1" si="127"/>
        <v/>
      </c>
      <c r="M614" s="117" t="s">
        <v>199</v>
      </c>
      <c r="N614" s="118" t="str">
        <f t="shared" ca="1" si="128"/>
        <v>Serviço</v>
      </c>
      <c r="O614" s="119" t="str">
        <f t="shared" ca="1" si="129"/>
        <v>-</v>
      </c>
      <c r="P614" s="120" t="s">
        <v>247</v>
      </c>
      <c r="Q614" s="121" t="s">
        <v>636</v>
      </c>
      <c r="R614" s="122" t="str">
        <f ca="1">IF($C614="S",REFERENCIA.Descricao,"(digite a descrição aqui)")</f>
        <v>(abra o arquivo 'Referência 06-2024.xlsm)</v>
      </c>
      <c r="S614" s="123" t="str">
        <f ca="1">REFERENCIA.Unidade</f>
        <v>-</v>
      </c>
      <c r="T614" s="124">
        <f ca="1">OFFSET(CÁLCULO!H$15,ROW($T614)-ROW(T$15),0)</f>
        <v>128.80000000000001</v>
      </c>
      <c r="U614" s="125">
        <f t="shared" ca="1" si="141"/>
        <v>0</v>
      </c>
      <c r="V614" s="126" t="s">
        <v>156</v>
      </c>
      <c r="W614" s="124">
        <f ca="1">IF($C614="S",ROUND(IF(TIPOORCAMENTO="Proposto",ORÇAMENTO.CustoUnitario*(1+$AH614),ORÇAMENTO.PrecoUnitarioLicitado),15-13*$AF$10),0)</f>
        <v>0</v>
      </c>
      <c r="X614" s="127">
        <f ca="1">IF($C614="S",IF(Import.TipoArredondamento&lt;&gt;"TransfereGOV",VTOTAL1,SUM(OFFSET(CÁLCULO!$AI$15,ROW($X614)-ROW($X$15),1):OFFSET(CÁLCULO!$BB$15,ROW($X614)-ROW($X$15),-1))),IF($C614=0,0,ROUND(SomaAgrup,15-13*$AF$11)))</f>
        <v>0</v>
      </c>
      <c r="Y614" s="128" t="s">
        <v>245</v>
      </c>
      <c r="Z614" t="str">
        <f t="shared" ca="1" si="130"/>
        <v/>
      </c>
      <c r="AA614" s="129">
        <f ca="1">IF($C614="S",IF($Z614="CP",$X614,IF($Z614="RA",(($X614)*QCI!$AA$3),0)),SomaAgrup)</f>
        <v>0</v>
      </c>
      <c r="AB614" s="130">
        <f t="shared" ca="1" si="143"/>
        <v>0</v>
      </c>
      <c r="AC614" s="131" t="str">
        <f ca="1">IF($N614="","",IF(ORÇAMENTO.Descricao="","DESCRIÇÃO",IF(AND($C614="S",ORÇAMENTO.Unidade=""),"UNIDADE",IF($X614&lt;0,"VALOR NEGATIVO",IF(OR(AND(TIPOORCAMENTO="Proposto",$AG614&lt;&gt;"",$AG614&gt;0,ORÇAMENTO.CustoUnitario&gt;$AG614),AND(TIPOORCAMENTO="LICITADO",ORÇAMENTO.PrecoUnitarioLicitado&gt;$AN614)),"ACIMA REF.","")))))</f>
        <v/>
      </c>
      <c r="AD614" t="str">
        <f ca="1">IF(C614&lt;=CRONO.NivelExibicao,MAX($AD$15:OFFSET(AD614,-1,0))+IF($C614&lt;&gt;1,1,MAX(1,COUNTIF(QCI!$A$13:$A$24,OFFSET($E614,-1,0)))),"")</f>
        <v/>
      </c>
      <c r="AE614" s="7" t="str">
        <f ca="1">IF(AND($C614="S",ORÇAMENTO.CodBarra&lt;&gt;""),IF(ORÇAMENTO.Fonte="",ORÇAMENTO.CodBarra,CONCATENATE(ORÇAMENTO.Fonte," ",ORÇAMENTO.CodBarra)))</f>
        <v>SINAPI 103978</v>
      </c>
      <c r="AF614" s="13" t="str">
        <f ca="1">IF(ISERROR(INDIRECT(ORÇAMENTO.BancoRef)),"(abra o arquivo 'Referência "&amp;Excel_BuiltIn_Database&amp;".xlsm)",IF(OR($C614&lt;&gt;"S",ORÇAMENTO.CodBarra=""),"(Sem Código)",IF(ISERROR(MATCH($AE614,INDIRECT(ORÇAMENTO.BancoRef),0)),"(Código não identificado nas referências)",MATCH($AE614,INDIRECT(ORÇAMENTO.BancoRef),0))))</f>
        <v>(abra o arquivo 'Referência 06-2024.xlsm)</v>
      </c>
      <c r="AG614" s="498">
        <f ca="1">ROUND(IF(DESONERACAO="sim",REFERENCIA.Desonerado,REFERENCIA.NaoDesonerado),2)</f>
        <v>0</v>
      </c>
      <c r="AH614" s="499">
        <f t="shared" ca="1" si="144"/>
        <v>0.2432</v>
      </c>
      <c r="AJ614" s="501"/>
      <c r="AL614" s="527"/>
      <c r="AM614" s="381">
        <f t="shared" ca="1" si="133"/>
        <v>0</v>
      </c>
      <c r="AN614" s="566">
        <f t="shared" ca="1" si="145"/>
        <v>0</v>
      </c>
    </row>
    <row r="615" spans="1:40" ht="38.25" x14ac:dyDescent="0.2">
      <c r="A615" t="str">
        <f t="shared" si="142"/>
        <v>S</v>
      </c>
      <c r="B615">
        <f t="shared" ca="1" si="120"/>
        <v>2</v>
      </c>
      <c r="C615" t="str">
        <f t="shared" ca="1" si="121"/>
        <v>S</v>
      </c>
      <c r="D615">
        <f t="shared" ca="1" si="122"/>
        <v>0</v>
      </c>
      <c r="E615">
        <f ca="1">IF($C615=1,OFFSET(E615,-1,0)+MAX(1,COUNTIF(QCI!$A$13:$A$24,OFFSET(ORÇAMENTO!E615,-1,0))),OFFSET(E615,-1,0))</f>
        <v>1</v>
      </c>
      <c r="F615">
        <f t="shared" ca="1" si="123"/>
        <v>63</v>
      </c>
      <c r="G615">
        <f t="shared" ca="1" si="124"/>
        <v>0</v>
      </c>
      <c r="H615">
        <f t="shared" ca="1" si="125"/>
        <v>0</v>
      </c>
      <c r="I615">
        <f t="shared" ca="1" si="126"/>
        <v>0</v>
      </c>
      <c r="J615">
        <f t="shared" ca="1" si="146"/>
        <v>0</v>
      </c>
      <c r="K615">
        <f ca="1">IF(OR($C615="S",$C615=0),0,MATCH(OFFSET($D615,0,$C615)+IF($C615&lt;&gt;1,1,COUNTIF(QCI!$A$13:$A$24,ORÇAMENTO!E615)),OFFSET($D615,1,$C615,ROW($C$727)-ROW($C615)),0))</f>
        <v>0</v>
      </c>
      <c r="L615" s="116" t="str">
        <f t="shared" ca="1" si="127"/>
        <v/>
      </c>
      <c r="M615" s="117" t="s">
        <v>199</v>
      </c>
      <c r="N615" s="118" t="str">
        <f t="shared" ca="1" si="128"/>
        <v>Serviço</v>
      </c>
      <c r="O615" s="119" t="str">
        <f t="shared" ca="1" si="129"/>
        <v>-</v>
      </c>
      <c r="P615" s="120" t="s">
        <v>247</v>
      </c>
      <c r="Q615" s="121" t="s">
        <v>654</v>
      </c>
      <c r="R615" s="122" t="str">
        <f ca="1">IF($C615="S",REFERENCIA.Descricao,"(digite a descrição aqui)")</f>
        <v>(abra o arquivo 'Referência 06-2024.xlsm)</v>
      </c>
      <c r="S615" s="123" t="str">
        <f ca="1">REFERENCIA.Unidade</f>
        <v>-</v>
      </c>
      <c r="T615" s="124">
        <f ca="1">OFFSET(CÁLCULO!H$15,ROW($T615)-ROW(T$15),0)</f>
        <v>24</v>
      </c>
      <c r="U615" s="125">
        <f t="shared" ca="1" si="141"/>
        <v>0</v>
      </c>
      <c r="V615" s="126" t="s">
        <v>156</v>
      </c>
      <c r="W615" s="124">
        <f ca="1">IF($C615="S",ROUND(IF(TIPOORCAMENTO="Proposto",ORÇAMENTO.CustoUnitario*(1+$AH615),ORÇAMENTO.PrecoUnitarioLicitado),15-13*$AF$10),0)</f>
        <v>0</v>
      </c>
      <c r="X615" s="127">
        <f ca="1">IF($C615="S",IF(Import.TipoArredondamento&lt;&gt;"TransfereGOV",VTOTAL1,SUM(OFFSET(CÁLCULO!$AI$15,ROW($X615)-ROW($X$15),1):OFFSET(CÁLCULO!$BB$15,ROW($X615)-ROW($X$15),-1))),IF($C615=0,0,ROUND(SomaAgrup,15-13*$AF$11)))</f>
        <v>0</v>
      </c>
      <c r="Y615" s="128" t="s">
        <v>245</v>
      </c>
      <c r="Z615" t="str">
        <f t="shared" ca="1" si="130"/>
        <v/>
      </c>
      <c r="AA615" s="129">
        <f ca="1">IF($C615="S",IF($Z615="CP",$X615,IF($Z615="RA",(($X615)*QCI!$AA$3),0)),SomaAgrup)</f>
        <v>0</v>
      </c>
      <c r="AB615" s="130">
        <f t="shared" ca="1" si="143"/>
        <v>0</v>
      </c>
      <c r="AC615" s="131" t="str">
        <f ca="1">IF($N615="","",IF(ORÇAMENTO.Descricao="","DESCRIÇÃO",IF(AND($C615="S",ORÇAMENTO.Unidade=""),"UNIDADE",IF($X615&lt;0,"VALOR NEGATIVO",IF(OR(AND(TIPOORCAMENTO="Proposto",$AG615&lt;&gt;"",$AG615&gt;0,ORÇAMENTO.CustoUnitario&gt;$AG615),AND(TIPOORCAMENTO="LICITADO",ORÇAMENTO.PrecoUnitarioLicitado&gt;$AN615)),"ACIMA REF.","")))))</f>
        <v/>
      </c>
      <c r="AD615" t="str">
        <f ca="1">IF(C615&lt;=CRONO.NivelExibicao,MAX($AD$15:OFFSET(AD615,-1,0))+IF($C615&lt;&gt;1,1,MAX(1,COUNTIF(QCI!$A$13:$A$24,OFFSET($E615,-1,0)))),"")</f>
        <v/>
      </c>
      <c r="AE615" s="7" t="str">
        <f ca="1">IF(AND($C615="S",ORÇAMENTO.CodBarra&lt;&gt;""),IF(ORÇAMENTO.Fonte="",ORÇAMENTO.CodBarra,CONCATENATE(ORÇAMENTO.Fonte," ",ORÇAMENTO.CodBarra)))</f>
        <v>SINAPI 103981</v>
      </c>
      <c r="AF615" s="13" t="str">
        <f ca="1">IF(ISERROR(INDIRECT(ORÇAMENTO.BancoRef)),"(abra o arquivo 'Referência "&amp;Excel_BuiltIn_Database&amp;".xlsm)",IF(OR($C615&lt;&gt;"S",ORÇAMENTO.CodBarra=""),"(Sem Código)",IF(ISERROR(MATCH($AE615,INDIRECT(ORÇAMENTO.BancoRef),0)),"(Código não identificado nas referências)",MATCH($AE615,INDIRECT(ORÇAMENTO.BancoRef),0))))</f>
        <v>(abra o arquivo 'Referência 06-2024.xlsm)</v>
      </c>
      <c r="AG615" s="498">
        <f ca="1">ROUND(IF(DESONERACAO="sim",REFERENCIA.Desonerado,REFERENCIA.NaoDesonerado),2)</f>
        <v>0</v>
      </c>
      <c r="AH615" s="499">
        <f t="shared" ca="1" si="144"/>
        <v>0.2432</v>
      </c>
      <c r="AJ615" s="501"/>
      <c r="AL615" s="527"/>
      <c r="AM615" s="381">
        <f t="shared" ca="1" si="133"/>
        <v>0</v>
      </c>
      <c r="AN615" s="566">
        <f t="shared" ca="1" si="145"/>
        <v>0</v>
      </c>
    </row>
    <row r="616" spans="1:40" ht="38.25" x14ac:dyDescent="0.2">
      <c r="A616" t="str">
        <f t="shared" si="142"/>
        <v>S</v>
      </c>
      <c r="B616">
        <f t="shared" ca="1" si="120"/>
        <v>2</v>
      </c>
      <c r="C616" t="str">
        <f t="shared" ca="1" si="121"/>
        <v>S</v>
      </c>
      <c r="D616">
        <f t="shared" ca="1" si="122"/>
        <v>0</v>
      </c>
      <c r="E616">
        <f ca="1">IF($C616=1,OFFSET(E616,-1,0)+MAX(1,COUNTIF(QCI!$A$13:$A$24,OFFSET(ORÇAMENTO!E616,-1,0))),OFFSET(E616,-1,0))</f>
        <v>1</v>
      </c>
      <c r="F616">
        <f t="shared" ca="1" si="123"/>
        <v>63</v>
      </c>
      <c r="G616">
        <f t="shared" ca="1" si="124"/>
        <v>0</v>
      </c>
      <c r="H616">
        <f t="shared" ca="1" si="125"/>
        <v>0</v>
      </c>
      <c r="I616">
        <f t="shared" ca="1" si="126"/>
        <v>0</v>
      </c>
      <c r="J616">
        <f t="shared" ca="1" si="146"/>
        <v>0</v>
      </c>
      <c r="K616">
        <f ca="1">IF(OR($C616="S",$C616=0),0,MATCH(OFFSET($D616,0,$C616)+IF($C616&lt;&gt;1,1,COUNTIF(QCI!$A$13:$A$24,ORÇAMENTO!E616)),OFFSET($D616,1,$C616,ROW($C$727)-ROW($C616)),0))</f>
        <v>0</v>
      </c>
      <c r="L616" s="116" t="str">
        <f t="shared" ca="1" si="127"/>
        <v/>
      </c>
      <c r="M616" s="117" t="s">
        <v>199</v>
      </c>
      <c r="N616" s="118" t="str">
        <f t="shared" ca="1" si="128"/>
        <v>Serviço</v>
      </c>
      <c r="O616" s="119" t="str">
        <f t="shared" ca="1" si="129"/>
        <v>-</v>
      </c>
      <c r="P616" s="120" t="s">
        <v>247</v>
      </c>
      <c r="Q616" s="121" t="s">
        <v>650</v>
      </c>
      <c r="R616" s="122" t="str">
        <f ca="1">IF($C616="S",REFERENCIA.Descricao,"(digite a descrição aqui)")</f>
        <v>(abra o arquivo 'Referência 06-2024.xlsm)</v>
      </c>
      <c r="S616" s="123" t="str">
        <f ca="1">REFERENCIA.Unidade</f>
        <v>-</v>
      </c>
      <c r="T616" s="124">
        <f ca="1">OFFSET(CÁLCULO!H$15,ROW($T616)-ROW(T$15),0)</f>
        <v>19</v>
      </c>
      <c r="U616" s="125">
        <f t="shared" ca="1" si="141"/>
        <v>0</v>
      </c>
      <c r="V616" s="126" t="s">
        <v>156</v>
      </c>
      <c r="W616" s="124">
        <f ca="1">IF($C616="S",ROUND(IF(TIPOORCAMENTO="Proposto",ORÇAMENTO.CustoUnitario*(1+$AH616),ORÇAMENTO.PrecoUnitarioLicitado),15-13*$AF$10),0)</f>
        <v>0</v>
      </c>
      <c r="X616" s="127">
        <f ca="1">IF($C616="S",IF(Import.TipoArredondamento&lt;&gt;"TransfereGOV",VTOTAL1,SUM(OFFSET(CÁLCULO!$AI$15,ROW($X616)-ROW($X$15),1):OFFSET(CÁLCULO!$BB$15,ROW($X616)-ROW($X$15),-1))),IF($C616=0,0,ROUND(SomaAgrup,15-13*$AF$11)))</f>
        <v>0</v>
      </c>
      <c r="Y616" s="128" t="s">
        <v>245</v>
      </c>
      <c r="Z616" t="str">
        <f t="shared" ca="1" si="130"/>
        <v/>
      </c>
      <c r="AA616" s="129">
        <f ca="1">IF($C616="S",IF($Z616="CP",$X616,IF($Z616="RA",(($X616)*QCI!$AA$3),0)),SomaAgrup)</f>
        <v>0</v>
      </c>
      <c r="AB616" s="130">
        <f t="shared" ca="1" si="143"/>
        <v>0</v>
      </c>
      <c r="AC616" s="131" t="str">
        <f ca="1">IF($N616="","",IF(ORÇAMENTO.Descricao="","DESCRIÇÃO",IF(AND($C616="S",ORÇAMENTO.Unidade=""),"UNIDADE",IF($X616&lt;0,"VALOR NEGATIVO",IF(OR(AND(TIPOORCAMENTO="Proposto",$AG616&lt;&gt;"",$AG616&gt;0,ORÇAMENTO.CustoUnitario&gt;$AG616),AND(TIPOORCAMENTO="LICITADO",ORÇAMENTO.PrecoUnitarioLicitado&gt;$AN616)),"ACIMA REF.","")))))</f>
        <v/>
      </c>
      <c r="AD616" t="str">
        <f ca="1">IF(C616&lt;=CRONO.NivelExibicao,MAX($AD$15:OFFSET(AD616,-1,0))+IF($C616&lt;&gt;1,1,MAX(1,COUNTIF(QCI!$A$13:$A$24,OFFSET($E616,-1,0)))),"")</f>
        <v/>
      </c>
      <c r="AE616" s="7" t="str">
        <f ca="1">IF(AND($C616="S",ORÇAMENTO.CodBarra&lt;&gt;""),IF(ORÇAMENTO.Fonte="",ORÇAMENTO.CodBarra,CONCATENATE(ORÇAMENTO.Fonte," ",ORÇAMENTO.CodBarra)))</f>
        <v>SINAPI 103980</v>
      </c>
      <c r="AF616" s="13" t="str">
        <f ca="1">IF(ISERROR(INDIRECT(ORÇAMENTO.BancoRef)),"(abra o arquivo 'Referência "&amp;Excel_BuiltIn_Database&amp;".xlsm)",IF(OR($C616&lt;&gt;"S",ORÇAMENTO.CodBarra=""),"(Sem Código)",IF(ISERROR(MATCH($AE616,INDIRECT(ORÇAMENTO.BancoRef),0)),"(Código não identificado nas referências)",MATCH($AE616,INDIRECT(ORÇAMENTO.BancoRef),0))))</f>
        <v>(abra o arquivo 'Referência 06-2024.xlsm)</v>
      </c>
      <c r="AG616" s="498">
        <f ca="1">ROUND(IF(DESONERACAO="sim",REFERENCIA.Desonerado,REFERENCIA.NaoDesonerado),2)</f>
        <v>0</v>
      </c>
      <c r="AH616" s="499">
        <f t="shared" ca="1" si="144"/>
        <v>0.2432</v>
      </c>
      <c r="AJ616" s="501"/>
      <c r="AL616" s="527"/>
      <c r="AM616" s="381">
        <f t="shared" ca="1" si="133"/>
        <v>0</v>
      </c>
      <c r="AN616" s="566">
        <f t="shared" ca="1" si="145"/>
        <v>0</v>
      </c>
    </row>
    <row r="617" spans="1:40" ht="38.25" x14ac:dyDescent="0.2">
      <c r="A617" t="str">
        <f t="shared" si="142"/>
        <v>S</v>
      </c>
      <c r="B617">
        <f t="shared" ca="1" si="120"/>
        <v>2</v>
      </c>
      <c r="C617" t="str">
        <f t="shared" ca="1" si="121"/>
        <v>S</v>
      </c>
      <c r="D617">
        <f t="shared" ca="1" si="122"/>
        <v>0</v>
      </c>
      <c r="E617">
        <f ca="1">IF($C617=1,OFFSET(E617,-1,0)+MAX(1,COUNTIF(QCI!$A$13:$A$24,OFFSET(ORÇAMENTO!E617,-1,0))),OFFSET(E617,-1,0))</f>
        <v>1</v>
      </c>
      <c r="F617">
        <f t="shared" ca="1" si="123"/>
        <v>63</v>
      </c>
      <c r="G617">
        <f t="shared" ca="1" si="124"/>
        <v>0</v>
      </c>
      <c r="H617">
        <f t="shared" ca="1" si="125"/>
        <v>0</v>
      </c>
      <c r="I617">
        <f t="shared" ca="1" si="126"/>
        <v>0</v>
      </c>
      <c r="J617">
        <f t="shared" ca="1" si="146"/>
        <v>0</v>
      </c>
      <c r="K617">
        <f ca="1">IF(OR($C617="S",$C617=0),0,MATCH(OFFSET($D617,0,$C617)+IF($C617&lt;&gt;1,1,COUNTIF(QCI!$A$13:$A$24,ORÇAMENTO!E617)),OFFSET($D617,1,$C617,ROW($C$727)-ROW($C617)),0))</f>
        <v>0</v>
      </c>
      <c r="L617" s="116" t="str">
        <f t="shared" ca="1" si="127"/>
        <v/>
      </c>
      <c r="M617" s="117" t="s">
        <v>199</v>
      </c>
      <c r="N617" s="118" t="str">
        <f t="shared" ca="1" si="128"/>
        <v>Serviço</v>
      </c>
      <c r="O617" s="119" t="str">
        <f t="shared" ca="1" si="129"/>
        <v>-</v>
      </c>
      <c r="P617" s="120" t="s">
        <v>247</v>
      </c>
      <c r="Q617" s="121" t="s">
        <v>664</v>
      </c>
      <c r="R617" s="122" t="str">
        <f ca="1">IF($C617="S",REFERENCIA.Descricao,"(digite a descrição aqui)")</f>
        <v>(abra o arquivo 'Referência 06-2024.xlsm)</v>
      </c>
      <c r="S617" s="123" t="str">
        <f ca="1">REFERENCIA.Unidade</f>
        <v>-</v>
      </c>
      <c r="T617" s="124">
        <f ca="1">OFFSET(CÁLCULO!H$15,ROW($T617)-ROW(T$15),0)</f>
        <v>1</v>
      </c>
      <c r="U617" s="125">
        <f t="shared" ca="1" si="141"/>
        <v>0</v>
      </c>
      <c r="V617" s="126" t="s">
        <v>156</v>
      </c>
      <c r="W617" s="124">
        <f ca="1">IF($C617="S",ROUND(IF(TIPOORCAMENTO="Proposto",ORÇAMENTO.CustoUnitario*(1+$AH617),ORÇAMENTO.PrecoUnitarioLicitado),15-13*$AF$10),0)</f>
        <v>0</v>
      </c>
      <c r="X617" s="127">
        <f ca="1">IF($C617="S",IF(Import.TipoArredondamento&lt;&gt;"TransfereGOV",VTOTAL1,SUM(OFFSET(CÁLCULO!$AI$15,ROW($X617)-ROW($X$15),1):OFFSET(CÁLCULO!$BB$15,ROW($X617)-ROW($X$15),-1))),IF($C617=0,0,ROUND(SomaAgrup,15-13*$AF$11)))</f>
        <v>0</v>
      </c>
      <c r="Y617" s="128" t="s">
        <v>245</v>
      </c>
      <c r="Z617" t="str">
        <f t="shared" ca="1" si="130"/>
        <v/>
      </c>
      <c r="AA617" s="129">
        <f ca="1">IF($C617="S",IF($Z617="CP",$X617,IF($Z617="RA",(($X617)*QCI!$AA$3),0)),SomaAgrup)</f>
        <v>0</v>
      </c>
      <c r="AB617" s="130">
        <f t="shared" ca="1" si="143"/>
        <v>0</v>
      </c>
      <c r="AC617" s="131" t="str">
        <f ca="1">IF($N617="","",IF(ORÇAMENTO.Descricao="","DESCRIÇÃO",IF(AND($C617="S",ORÇAMENTO.Unidade=""),"UNIDADE",IF($X617&lt;0,"VALOR NEGATIVO",IF(OR(AND(TIPOORCAMENTO="Proposto",$AG617&lt;&gt;"",$AG617&gt;0,ORÇAMENTO.CustoUnitario&gt;$AG617),AND(TIPOORCAMENTO="LICITADO",ORÇAMENTO.PrecoUnitarioLicitado&gt;$AN617)),"ACIMA REF.","")))))</f>
        <v/>
      </c>
      <c r="AD617" t="str">
        <f ca="1">IF(C617&lt;=CRONO.NivelExibicao,MAX($AD$15:OFFSET(AD617,-1,0))+IF($C617&lt;&gt;1,1,MAX(1,COUNTIF(QCI!$A$13:$A$24,OFFSET($E617,-1,0)))),"")</f>
        <v/>
      </c>
      <c r="AE617" s="7" t="str">
        <f ca="1">IF(AND($C617="S",ORÇAMENTO.CodBarra&lt;&gt;""),IF(ORÇAMENTO.Fonte="",ORÇAMENTO.CodBarra,CONCATENATE(ORÇAMENTO.Fonte," ",ORÇAMENTO.CodBarra)))</f>
        <v>SINAPI 104011</v>
      </c>
      <c r="AF617" s="13" t="str">
        <f ca="1">IF(ISERROR(INDIRECT(ORÇAMENTO.BancoRef)),"(abra o arquivo 'Referência "&amp;Excel_BuiltIn_Database&amp;".xlsm)",IF(OR($C617&lt;&gt;"S",ORÇAMENTO.CodBarra=""),"(Sem Código)",IF(ISERROR(MATCH($AE617,INDIRECT(ORÇAMENTO.BancoRef),0)),"(Código não identificado nas referências)",MATCH($AE617,INDIRECT(ORÇAMENTO.BancoRef),0))))</f>
        <v>(abra o arquivo 'Referência 06-2024.xlsm)</v>
      </c>
      <c r="AG617" s="498">
        <f ca="1">ROUND(IF(DESONERACAO="sim",REFERENCIA.Desonerado,REFERENCIA.NaoDesonerado),2)</f>
        <v>0</v>
      </c>
      <c r="AH617" s="499">
        <f t="shared" ca="1" si="144"/>
        <v>0.2432</v>
      </c>
      <c r="AJ617" s="501"/>
      <c r="AL617" s="527"/>
      <c r="AM617" s="381">
        <f t="shared" ca="1" si="133"/>
        <v>0</v>
      </c>
      <c r="AN617" s="566">
        <f t="shared" ca="1" si="145"/>
        <v>0</v>
      </c>
    </row>
    <row r="618" spans="1:40" ht="25.5" x14ac:dyDescent="0.2">
      <c r="A618">
        <f t="shared" si="142"/>
        <v>2</v>
      </c>
      <c r="B618">
        <f t="shared" ca="1" si="120"/>
        <v>2</v>
      </c>
      <c r="C618">
        <f t="shared" ca="1" si="121"/>
        <v>2</v>
      </c>
      <c r="D618">
        <f t="shared" ca="1" si="122"/>
        <v>10</v>
      </c>
      <c r="E618">
        <f ca="1">IF($C618=1,OFFSET(E618,-1,0)+MAX(1,COUNTIF(QCI!$A$13:$A$24,OFFSET(ORÇAMENTO!E618,-1,0))),OFFSET(E618,-1,0))</f>
        <v>1</v>
      </c>
      <c r="F618">
        <f t="shared" ca="1" si="123"/>
        <v>64</v>
      </c>
      <c r="G618">
        <f t="shared" ca="1" si="124"/>
        <v>0</v>
      </c>
      <c r="H618">
        <f t="shared" ca="1" si="125"/>
        <v>0</v>
      </c>
      <c r="I618">
        <f t="shared" ca="1" si="126"/>
        <v>0</v>
      </c>
      <c r="J618">
        <f t="shared" ca="1" si="146"/>
        <v>109</v>
      </c>
      <c r="K618">
        <f ca="1">IF(OR($C618="S",$C618=0),0,MATCH(OFFSET($D618,0,$C618)+IF($C618&lt;&gt;1,1,COUNTIF(QCI!$A$13:$A$24,ORÇAMENTO!E618)),OFFSET($D618,1,$C618,ROW($C$727)-ROW($C618)),0))</f>
        <v>10</v>
      </c>
      <c r="L618" s="116" t="str">
        <f t="shared" ca="1" si="127"/>
        <v>F</v>
      </c>
      <c r="M618" s="117" t="s">
        <v>196</v>
      </c>
      <c r="N618" s="118" t="str">
        <f t="shared" ca="1" si="128"/>
        <v>Nível 2</v>
      </c>
      <c r="O618" s="119" t="str">
        <f t="shared" ca="1" si="129"/>
        <v>1.64.</v>
      </c>
      <c r="P618" s="120" t="s">
        <v>247</v>
      </c>
      <c r="Q618" s="121"/>
      <c r="R618" s="122" t="s">
        <v>1087</v>
      </c>
      <c r="S618" s="123" t="str">
        <f ca="1">REFERENCIA.Unidade</f>
        <v>-</v>
      </c>
      <c r="T618" s="124">
        <f ca="1">OFFSET(CÁLCULO!H$15,ROW($T618)-ROW(T$15),0)</f>
        <v>0</v>
      </c>
      <c r="U618" s="125">
        <f t="shared" ca="1" si="141"/>
        <v>0</v>
      </c>
      <c r="V618" s="126" t="s">
        <v>156</v>
      </c>
      <c r="W618" s="124">
        <f ca="1">IF($C618="S",ROUND(IF(TIPOORCAMENTO="Proposto",ORÇAMENTO.CustoUnitario*(1+$AH618),ORÇAMENTO.PrecoUnitarioLicitado),15-13*$AF$10),0)</f>
        <v>0</v>
      </c>
      <c r="X618" s="127">
        <f ca="1">IF($C618="S",IF(Import.TipoArredondamento&lt;&gt;"TransfereGOV",VTOTAL1,SUM(OFFSET(CÁLCULO!$AI$15,ROW($X618)-ROW($X$15),1):OFFSET(CÁLCULO!$BB$15,ROW($X618)-ROW($X$15),-1))),IF($C618=0,0,ROUND(SomaAgrup,15-13*$AF$11)))</f>
        <v>0</v>
      </c>
      <c r="Y618" s="128" t="s">
        <v>245</v>
      </c>
      <c r="Z618" t="str">
        <f t="shared" ca="1" si="130"/>
        <v/>
      </c>
      <c r="AA618" s="129">
        <f ca="1">IF($C618="S",IF($Z618="CP",$X618,IF($Z618="RA",(($X618)*QCI!$AA$3),0)),SomaAgrup)</f>
        <v>0</v>
      </c>
      <c r="AB618" s="130">
        <f t="shared" ca="1" si="143"/>
        <v>0</v>
      </c>
      <c r="AC618" s="131" t="str">
        <f ca="1">IF($N618="","",IF(ORÇAMENTO.Descricao="","DESCRIÇÃO",IF(AND($C618="S",ORÇAMENTO.Unidade=""),"UNIDADE",IF($X618&lt;0,"VALOR NEGATIVO",IF(OR(AND(TIPOORCAMENTO="Proposto",$AG618&lt;&gt;"",$AG618&gt;0,ORÇAMENTO.CustoUnitario&gt;$AG618),AND(TIPOORCAMENTO="LICITADO",ORÇAMENTO.PrecoUnitarioLicitado&gt;$AN618)),"ACIMA REF.","")))))</f>
        <v/>
      </c>
      <c r="AD618">
        <f ca="1">IF(C618&lt;=CRONO.NivelExibicao,MAX($AD$15:OFFSET(AD618,-1,0))+IF($C618&lt;&gt;1,1,MAX(1,COUNTIF(QCI!$A$13:$A$24,OFFSET($E618,-1,0)))),"")</f>
        <v>65</v>
      </c>
      <c r="AE618" s="7" t="b">
        <f ca="1">IF(AND($C618="S",ORÇAMENTO.CodBarra&lt;&gt;""),IF(ORÇAMENTO.Fonte="",ORÇAMENTO.CodBarra,CONCATENATE(ORÇAMENTO.Fonte," ",ORÇAMENTO.CodBarra)))</f>
        <v>0</v>
      </c>
      <c r="AF618" s="13" t="str">
        <f ca="1">IF(ISERROR(INDIRECT(ORÇAMENTO.BancoRef)),"(abra o arquivo 'Referência "&amp;Excel_BuiltIn_Database&amp;".xlsm)",IF(OR($C618&lt;&gt;"S",ORÇAMENTO.CodBarra=""),"(Sem Código)",IF(ISERROR(MATCH($AE618,INDIRECT(ORÇAMENTO.BancoRef),0)),"(Código não identificado nas referências)",MATCH($AE618,INDIRECT(ORÇAMENTO.BancoRef),0))))</f>
        <v>(abra o arquivo 'Referência 06-2024.xlsm)</v>
      </c>
      <c r="AG618" s="498">
        <f ca="1">ROUND(IF(DESONERACAO="sim",REFERENCIA.Desonerado,REFERENCIA.NaoDesonerado),2)</f>
        <v>0</v>
      </c>
      <c r="AH618" s="499">
        <f t="shared" ca="1" si="144"/>
        <v>0.2432</v>
      </c>
      <c r="AJ618" s="501"/>
      <c r="AL618" s="527"/>
      <c r="AM618" s="381">
        <f t="shared" ca="1" si="133"/>
        <v>0</v>
      </c>
      <c r="AN618" s="566">
        <f t="shared" ca="1" si="145"/>
        <v>0</v>
      </c>
    </row>
    <row r="619" spans="1:40" ht="25.5" x14ac:dyDescent="0.2">
      <c r="A619" t="str">
        <f t="shared" si="142"/>
        <v>S</v>
      </c>
      <c r="B619">
        <f t="shared" ca="1" si="120"/>
        <v>2</v>
      </c>
      <c r="C619" t="str">
        <f t="shared" ca="1" si="121"/>
        <v>S</v>
      </c>
      <c r="D619">
        <f t="shared" ca="1" si="122"/>
        <v>0</v>
      </c>
      <c r="E619">
        <f ca="1">IF($C619=1,OFFSET(E619,-1,0)+MAX(1,COUNTIF(QCI!$A$13:$A$24,OFFSET(ORÇAMENTO!E619,-1,0))),OFFSET(E619,-1,0))</f>
        <v>1</v>
      </c>
      <c r="F619">
        <f t="shared" ca="1" si="123"/>
        <v>64</v>
      </c>
      <c r="G619">
        <f t="shared" ca="1" si="124"/>
        <v>0</v>
      </c>
      <c r="H619">
        <f t="shared" ca="1" si="125"/>
        <v>0</v>
      </c>
      <c r="I619">
        <f t="shared" ca="1" si="126"/>
        <v>0</v>
      </c>
      <c r="J619">
        <f t="shared" ca="1" si="146"/>
        <v>0</v>
      </c>
      <c r="K619">
        <f ca="1">IF(OR($C619="S",$C619=0),0,MATCH(OFFSET($D619,0,$C619)+IF($C619&lt;&gt;1,1,COUNTIF(QCI!$A$13:$A$24,ORÇAMENTO!E619)),OFFSET($D619,1,$C619,ROW($C$727)-ROW($C619)),0))</f>
        <v>0</v>
      </c>
      <c r="L619" s="116" t="str">
        <f t="shared" ca="1" si="127"/>
        <v/>
      </c>
      <c r="M619" s="117" t="s">
        <v>199</v>
      </c>
      <c r="N619" s="118" t="str">
        <f t="shared" ca="1" si="128"/>
        <v>Serviço</v>
      </c>
      <c r="O619" s="119" t="str">
        <f t="shared" ca="1" si="129"/>
        <v>-</v>
      </c>
      <c r="P619" s="120" t="s">
        <v>247</v>
      </c>
      <c r="Q619" s="121" t="s">
        <v>958</v>
      </c>
      <c r="R619" s="122" t="str">
        <f ca="1">IF($C619="S",REFERENCIA.Descricao,"(digite a descrição aqui)")</f>
        <v>(abra o arquivo 'Referência 06-2024.xlsm)</v>
      </c>
      <c r="S619" s="123" t="str">
        <f ca="1">REFERENCIA.Unidade</f>
        <v>-</v>
      </c>
      <c r="T619" s="124">
        <f ca="1">OFFSET(CÁLCULO!H$15,ROW($T619)-ROW(T$15),0)</f>
        <v>28</v>
      </c>
      <c r="U619" s="125">
        <f t="shared" ca="1" si="141"/>
        <v>0</v>
      </c>
      <c r="V619" s="126" t="s">
        <v>156</v>
      </c>
      <c r="W619" s="124">
        <f ca="1">IF($C619="S",ROUND(IF(TIPOORCAMENTO="Proposto",ORÇAMENTO.CustoUnitario*(1+$AH619),ORÇAMENTO.PrecoUnitarioLicitado),15-13*$AF$10),0)</f>
        <v>0</v>
      </c>
      <c r="X619" s="127">
        <f ca="1">IF($C619="S",IF(Import.TipoArredondamento&lt;&gt;"TransfereGOV",VTOTAL1,SUM(OFFSET(CÁLCULO!$AI$15,ROW($X619)-ROW($X$15),1):OFFSET(CÁLCULO!$BB$15,ROW($X619)-ROW($X$15),-1))),IF($C619=0,0,ROUND(SomaAgrup,15-13*$AF$11)))</f>
        <v>0</v>
      </c>
      <c r="Y619" s="128" t="s">
        <v>245</v>
      </c>
      <c r="Z619" t="str">
        <f t="shared" ca="1" si="130"/>
        <v/>
      </c>
      <c r="AA619" s="129">
        <f ca="1">IF($C619="S",IF($Z619="CP",$X619,IF($Z619="RA",(($X619)*QCI!$AA$3),0)),SomaAgrup)</f>
        <v>0</v>
      </c>
      <c r="AB619" s="130">
        <f t="shared" ca="1" si="143"/>
        <v>0</v>
      </c>
      <c r="AC619" s="131" t="str">
        <f ca="1">IF($N619="","",IF(ORÇAMENTO.Descricao="","DESCRIÇÃO",IF(AND($C619="S",ORÇAMENTO.Unidade=""),"UNIDADE",IF($X619&lt;0,"VALOR NEGATIVO",IF(OR(AND(TIPOORCAMENTO="Proposto",$AG619&lt;&gt;"",$AG619&gt;0,ORÇAMENTO.CustoUnitario&gt;$AG619),AND(TIPOORCAMENTO="LICITADO",ORÇAMENTO.PrecoUnitarioLicitado&gt;$AN619)),"ACIMA REF.","")))))</f>
        <v/>
      </c>
      <c r="AD619" t="str">
        <f ca="1">IF(C619&lt;=CRONO.NivelExibicao,MAX($AD$15:OFFSET(AD619,-1,0))+IF($C619&lt;&gt;1,1,MAX(1,COUNTIF(QCI!$A$13:$A$24,OFFSET($E619,-1,0)))),"")</f>
        <v/>
      </c>
      <c r="AE619" s="7" t="str">
        <f ca="1">IF(AND($C619="S",ORÇAMENTO.CodBarra&lt;&gt;""),IF(ORÇAMENTO.Fonte="",ORÇAMENTO.CodBarra,CONCATENATE(ORÇAMENTO.Fonte," ",ORÇAMENTO.CodBarra)))</f>
        <v>SINAPI 98307</v>
      </c>
      <c r="AF619" s="13" t="str">
        <f ca="1">IF(ISERROR(INDIRECT(ORÇAMENTO.BancoRef)),"(abra o arquivo 'Referência "&amp;Excel_BuiltIn_Database&amp;".xlsm)",IF(OR($C619&lt;&gt;"S",ORÇAMENTO.CodBarra=""),"(Sem Código)",IF(ISERROR(MATCH($AE619,INDIRECT(ORÇAMENTO.BancoRef),0)),"(Código não identificado nas referências)",MATCH($AE619,INDIRECT(ORÇAMENTO.BancoRef),0))))</f>
        <v>(abra o arquivo 'Referência 06-2024.xlsm)</v>
      </c>
      <c r="AG619" s="498">
        <f ca="1">ROUND(IF(DESONERACAO="sim",REFERENCIA.Desonerado,REFERENCIA.NaoDesonerado),2)</f>
        <v>0</v>
      </c>
      <c r="AH619" s="499">
        <f t="shared" ca="1" si="144"/>
        <v>0.2432</v>
      </c>
      <c r="AJ619" s="501"/>
      <c r="AL619" s="527"/>
      <c r="AM619" s="381">
        <f t="shared" ca="1" si="133"/>
        <v>0</v>
      </c>
      <c r="AN619" s="566">
        <f t="shared" ca="1" si="145"/>
        <v>0</v>
      </c>
    </row>
    <row r="620" spans="1:40" x14ac:dyDescent="0.2">
      <c r="A620" t="str">
        <f t="shared" si="142"/>
        <v>S</v>
      </c>
      <c r="B620">
        <f t="shared" ca="1" si="120"/>
        <v>2</v>
      </c>
      <c r="C620" t="str">
        <f t="shared" ca="1" si="121"/>
        <v>S</v>
      </c>
      <c r="D620">
        <f t="shared" ca="1" si="122"/>
        <v>0</v>
      </c>
      <c r="E620">
        <f ca="1">IF($C620=1,OFFSET(E620,-1,0)+MAX(1,COUNTIF(QCI!$A$13:$A$24,OFFSET(ORÇAMENTO!E620,-1,0))),OFFSET(E620,-1,0))</f>
        <v>1</v>
      </c>
      <c r="F620">
        <f t="shared" ca="1" si="123"/>
        <v>64</v>
      </c>
      <c r="G620">
        <f t="shared" ca="1" si="124"/>
        <v>0</v>
      </c>
      <c r="H620">
        <f t="shared" ca="1" si="125"/>
        <v>0</v>
      </c>
      <c r="I620">
        <f t="shared" ca="1" si="126"/>
        <v>0</v>
      </c>
      <c r="J620">
        <f t="shared" ca="1" si="146"/>
        <v>0</v>
      </c>
      <c r="K620">
        <f ca="1">IF(OR($C620="S",$C620=0),0,MATCH(OFFSET($D620,0,$C620)+IF($C620&lt;&gt;1,1,COUNTIF(QCI!$A$13:$A$24,ORÇAMENTO!E620)),OFFSET($D620,1,$C620,ROW($C$727)-ROW($C620)),0))</f>
        <v>0</v>
      </c>
      <c r="L620" s="116" t="str">
        <f t="shared" ca="1" si="127"/>
        <v/>
      </c>
      <c r="M620" s="117" t="s">
        <v>199</v>
      </c>
      <c r="N620" s="118" t="str">
        <f t="shared" ca="1" si="128"/>
        <v>Serviço</v>
      </c>
      <c r="O620" s="119" t="str">
        <f t="shared" ca="1" si="129"/>
        <v>-</v>
      </c>
      <c r="P620" s="120" t="s">
        <v>458</v>
      </c>
      <c r="Q620" s="121" t="s">
        <v>959</v>
      </c>
      <c r="R620" s="122" t="str">
        <f ca="1">IF($C620="S",REFERENCIA.Descricao,"(digite a descrição aqui)")</f>
        <v>(abra o arquivo 'Referência 06-2024.xlsm)</v>
      </c>
      <c r="S620" s="123" t="str">
        <f ca="1">REFERENCIA.Unidade</f>
        <v>-</v>
      </c>
      <c r="T620" s="124">
        <f ca="1">OFFSET(CÁLCULO!H$15,ROW($T620)-ROW(T$15),0)</f>
        <v>1</v>
      </c>
      <c r="U620" s="125">
        <f t="shared" ca="1" si="141"/>
        <v>0</v>
      </c>
      <c r="V620" s="126" t="s">
        <v>156</v>
      </c>
      <c r="W620" s="124">
        <f ca="1">IF($C620="S",ROUND(IF(TIPOORCAMENTO="Proposto",ORÇAMENTO.CustoUnitario*(1+$AH620),ORÇAMENTO.PrecoUnitarioLicitado),15-13*$AF$10),0)</f>
        <v>0</v>
      </c>
      <c r="X620" s="127">
        <f ca="1">IF($C620="S",IF(Import.TipoArredondamento&lt;&gt;"TransfereGOV",VTOTAL1,SUM(OFFSET(CÁLCULO!$AI$15,ROW($X620)-ROW($X$15),1):OFFSET(CÁLCULO!$BB$15,ROW($X620)-ROW($X$15),-1))),IF($C620=0,0,ROUND(SomaAgrup,15-13*$AF$11)))</f>
        <v>0</v>
      </c>
      <c r="Y620" s="128" t="s">
        <v>245</v>
      </c>
      <c r="Z620" t="str">
        <f t="shared" ca="1" si="130"/>
        <v/>
      </c>
      <c r="AA620" s="129">
        <f ca="1">IF($C620="S",IF($Z620="CP",$X620,IF($Z620="RA",(($X620)*QCI!$AA$3),0)),SomaAgrup)</f>
        <v>0</v>
      </c>
      <c r="AB620" s="130">
        <f t="shared" ca="1" si="143"/>
        <v>0</v>
      </c>
      <c r="AC620" s="131" t="str">
        <f ca="1">IF($N620="","",IF(ORÇAMENTO.Descricao="","DESCRIÇÃO",IF(AND($C620="S",ORÇAMENTO.Unidade=""),"UNIDADE",IF($X620&lt;0,"VALOR NEGATIVO",IF(OR(AND(TIPOORCAMENTO="Proposto",$AG620&lt;&gt;"",$AG620&gt;0,ORÇAMENTO.CustoUnitario&gt;$AG620),AND(TIPOORCAMENTO="LICITADO",ORÇAMENTO.PrecoUnitarioLicitado&gt;$AN620)),"ACIMA REF.","")))))</f>
        <v/>
      </c>
      <c r="AD620" t="str">
        <f ca="1">IF(C620&lt;=CRONO.NivelExibicao,MAX($AD$15:OFFSET(AD620,-1,0))+IF($C620&lt;&gt;1,1,MAX(1,COUNTIF(QCI!$A$13:$A$24,OFFSET($E620,-1,0)))),"")</f>
        <v/>
      </c>
      <c r="AE620" s="7" t="str">
        <f ca="1">IF(AND($C620="S",ORÇAMENTO.CodBarra&lt;&gt;""),IF(ORÇAMENTO.Fonte="",ORÇAMENTO.CodBarra,CONCATENATE(ORÇAMENTO.Fonte," ",ORÇAMENTO.CodBarra)))</f>
        <v>COMPOSIÇÃO FNDE 384</v>
      </c>
      <c r="AF620" s="13" t="str">
        <f ca="1">IF(ISERROR(INDIRECT(ORÇAMENTO.BancoRef)),"(abra o arquivo 'Referência "&amp;Excel_BuiltIn_Database&amp;".xlsm)",IF(OR($C620&lt;&gt;"S",ORÇAMENTO.CodBarra=""),"(Sem Código)",IF(ISERROR(MATCH($AE620,INDIRECT(ORÇAMENTO.BancoRef),0)),"(Código não identificado nas referências)",MATCH($AE620,INDIRECT(ORÇAMENTO.BancoRef),0))))</f>
        <v>(abra o arquivo 'Referência 06-2024.xlsm)</v>
      </c>
      <c r="AG620" s="498">
        <f ca="1">ROUND(IF(DESONERACAO="sim",REFERENCIA.Desonerado,REFERENCIA.NaoDesonerado),2)</f>
        <v>0</v>
      </c>
      <c r="AH620" s="499">
        <f t="shared" ca="1" si="144"/>
        <v>0.2432</v>
      </c>
      <c r="AJ620" s="501"/>
      <c r="AL620" s="527"/>
      <c r="AM620" s="381">
        <f t="shared" ca="1" si="133"/>
        <v>0</v>
      </c>
      <c r="AN620" s="566">
        <f t="shared" ca="1" si="145"/>
        <v>0</v>
      </c>
    </row>
    <row r="621" spans="1:40" x14ac:dyDescent="0.2">
      <c r="A621" t="str">
        <f t="shared" si="142"/>
        <v>S</v>
      </c>
      <c r="B621">
        <f t="shared" ca="1" si="120"/>
        <v>2</v>
      </c>
      <c r="C621" t="str">
        <f t="shared" ca="1" si="121"/>
        <v>S</v>
      </c>
      <c r="D621">
        <f t="shared" ca="1" si="122"/>
        <v>0</v>
      </c>
      <c r="E621">
        <f ca="1">IF($C621=1,OFFSET(E621,-1,0)+MAX(1,COUNTIF(QCI!$A$13:$A$24,OFFSET(ORÇAMENTO!E621,-1,0))),OFFSET(E621,-1,0))</f>
        <v>1</v>
      </c>
      <c r="F621">
        <f t="shared" ca="1" si="123"/>
        <v>64</v>
      </c>
      <c r="G621">
        <f t="shared" ca="1" si="124"/>
        <v>0</v>
      </c>
      <c r="H621">
        <f t="shared" ca="1" si="125"/>
        <v>0</v>
      </c>
      <c r="I621">
        <f t="shared" ca="1" si="126"/>
        <v>0</v>
      </c>
      <c r="J621">
        <f t="shared" ca="1" si="146"/>
        <v>0</v>
      </c>
      <c r="K621">
        <f ca="1">IF(OR($C621="S",$C621=0),0,MATCH(OFFSET($D621,0,$C621)+IF($C621&lt;&gt;1,1,COUNTIF(QCI!$A$13:$A$24,ORÇAMENTO!E621)),OFFSET($D621,1,$C621,ROW($C$727)-ROW($C621)),0))</f>
        <v>0</v>
      </c>
      <c r="L621" s="116" t="str">
        <f t="shared" ca="1" si="127"/>
        <v/>
      </c>
      <c r="M621" s="117" t="s">
        <v>199</v>
      </c>
      <c r="N621" s="118" t="str">
        <f t="shared" ca="1" si="128"/>
        <v>Serviço</v>
      </c>
      <c r="O621" s="119" t="str">
        <f t="shared" ca="1" si="129"/>
        <v>-</v>
      </c>
      <c r="P621" s="120" t="s">
        <v>458</v>
      </c>
      <c r="Q621" s="121" t="s">
        <v>960</v>
      </c>
      <c r="R621" s="122" t="str">
        <f ca="1">IF($C621="S",REFERENCIA.Descricao,"(digite a descrição aqui)")</f>
        <v>(abra o arquivo 'Referência 06-2024.xlsm)</v>
      </c>
      <c r="S621" s="123" t="str">
        <f ca="1">REFERENCIA.Unidade</f>
        <v>-</v>
      </c>
      <c r="T621" s="124">
        <f ca="1">OFFSET(CÁLCULO!H$15,ROW($T621)-ROW(T$15),0)</f>
        <v>48</v>
      </c>
      <c r="U621" s="125">
        <f t="shared" ca="1" si="141"/>
        <v>0</v>
      </c>
      <c r="V621" s="126" t="s">
        <v>156</v>
      </c>
      <c r="W621" s="124">
        <f ca="1">IF($C621="S",ROUND(IF(TIPOORCAMENTO="Proposto",ORÇAMENTO.CustoUnitario*(1+$AH621),ORÇAMENTO.PrecoUnitarioLicitado),15-13*$AF$10),0)</f>
        <v>0</v>
      </c>
      <c r="X621" s="127">
        <f ca="1">IF($C621="S",IF(Import.TipoArredondamento&lt;&gt;"TransfereGOV",VTOTAL1,SUM(OFFSET(CÁLCULO!$AI$15,ROW($X621)-ROW($X$15),1):OFFSET(CÁLCULO!$BB$15,ROW($X621)-ROW($X$15),-1))),IF($C621=0,0,ROUND(SomaAgrup,15-13*$AF$11)))</f>
        <v>0</v>
      </c>
      <c r="Y621" s="128" t="s">
        <v>245</v>
      </c>
      <c r="Z621" t="str">
        <f t="shared" ca="1" si="130"/>
        <v/>
      </c>
      <c r="AA621" s="129">
        <f ca="1">IF($C621="S",IF($Z621="CP",$X621,IF($Z621="RA",(($X621)*QCI!$AA$3),0)),SomaAgrup)</f>
        <v>0</v>
      </c>
      <c r="AB621" s="130">
        <f t="shared" ca="1" si="143"/>
        <v>0</v>
      </c>
      <c r="AC621" s="131" t="str">
        <f ca="1">IF($N621="","",IF(ORÇAMENTO.Descricao="","DESCRIÇÃO",IF(AND($C621="S",ORÇAMENTO.Unidade=""),"UNIDADE",IF($X621&lt;0,"VALOR NEGATIVO",IF(OR(AND(TIPOORCAMENTO="Proposto",$AG621&lt;&gt;"",$AG621&gt;0,ORÇAMENTO.CustoUnitario&gt;$AG621),AND(TIPOORCAMENTO="LICITADO",ORÇAMENTO.PrecoUnitarioLicitado&gt;$AN621)),"ACIMA REF.","")))))</f>
        <v/>
      </c>
      <c r="AD621" t="str">
        <f ca="1">IF(C621&lt;=CRONO.NivelExibicao,MAX($AD$15:OFFSET(AD621,-1,0))+IF($C621&lt;&gt;1,1,MAX(1,COUNTIF(QCI!$A$13:$A$24,OFFSET($E621,-1,0)))),"")</f>
        <v/>
      </c>
      <c r="AE621" s="7" t="str">
        <f ca="1">IF(AND($C621="S",ORÇAMENTO.CodBarra&lt;&gt;""),IF(ORÇAMENTO.Fonte="",ORÇAMENTO.CodBarra,CONCATENATE(ORÇAMENTO.Fonte," ",ORÇAMENTO.CodBarra)))</f>
        <v>COMPOSIÇÃO FNDE 385</v>
      </c>
      <c r="AF621" s="13" t="str">
        <f ca="1">IF(ISERROR(INDIRECT(ORÇAMENTO.BancoRef)),"(abra o arquivo 'Referência "&amp;Excel_BuiltIn_Database&amp;".xlsm)",IF(OR($C621&lt;&gt;"S",ORÇAMENTO.CodBarra=""),"(Sem Código)",IF(ISERROR(MATCH($AE621,INDIRECT(ORÇAMENTO.BancoRef),0)),"(Código não identificado nas referências)",MATCH($AE621,INDIRECT(ORÇAMENTO.BancoRef),0))))</f>
        <v>(abra o arquivo 'Referência 06-2024.xlsm)</v>
      </c>
      <c r="AG621" s="498">
        <f ca="1">ROUND(IF(DESONERACAO="sim",REFERENCIA.Desonerado,REFERENCIA.NaoDesonerado),2)</f>
        <v>0</v>
      </c>
      <c r="AH621" s="499">
        <f t="shared" ca="1" si="144"/>
        <v>0.2432</v>
      </c>
      <c r="AJ621" s="501"/>
      <c r="AL621" s="527"/>
      <c r="AM621" s="381">
        <f t="shared" ca="1" si="133"/>
        <v>0</v>
      </c>
      <c r="AN621" s="566">
        <f t="shared" ca="1" si="145"/>
        <v>0</v>
      </c>
    </row>
    <row r="622" spans="1:40" ht="25.5" x14ac:dyDescent="0.2">
      <c r="A622" t="str">
        <f t="shared" si="142"/>
        <v>S</v>
      </c>
      <c r="B622">
        <f t="shared" ca="1" si="120"/>
        <v>2</v>
      </c>
      <c r="C622" t="str">
        <f t="shared" ca="1" si="121"/>
        <v>S</v>
      </c>
      <c r="D622">
        <f t="shared" ca="1" si="122"/>
        <v>0</v>
      </c>
      <c r="E622">
        <f ca="1">IF($C622=1,OFFSET(E622,-1,0)+MAX(1,COUNTIF(QCI!$A$13:$A$24,OFFSET(ORÇAMENTO!E622,-1,0))),OFFSET(E622,-1,0))</f>
        <v>1</v>
      </c>
      <c r="F622">
        <f t="shared" ca="1" si="123"/>
        <v>64</v>
      </c>
      <c r="G622">
        <f t="shared" ca="1" si="124"/>
        <v>0</v>
      </c>
      <c r="H622">
        <f t="shared" ca="1" si="125"/>
        <v>0</v>
      </c>
      <c r="I622">
        <f t="shared" ca="1" si="126"/>
        <v>0</v>
      </c>
      <c r="J622">
        <f t="shared" ca="1" si="146"/>
        <v>0</v>
      </c>
      <c r="K622">
        <f ca="1">IF(OR($C622="S",$C622=0),0,MATCH(OFFSET($D622,0,$C622)+IF($C622&lt;&gt;1,1,COUNTIF(QCI!$A$13:$A$24,ORÇAMENTO!E622)),OFFSET($D622,1,$C622,ROW($C$727)-ROW($C622)),0))</f>
        <v>0</v>
      </c>
      <c r="L622" s="116" t="str">
        <f t="shared" ca="1" si="127"/>
        <v/>
      </c>
      <c r="M622" s="117" t="s">
        <v>199</v>
      </c>
      <c r="N622" s="118" t="str">
        <f t="shared" ca="1" si="128"/>
        <v>Serviço</v>
      </c>
      <c r="O622" s="119" t="str">
        <f t="shared" ca="1" si="129"/>
        <v>-</v>
      </c>
      <c r="P622" s="120" t="s">
        <v>247</v>
      </c>
      <c r="Q622" s="121" t="s">
        <v>961</v>
      </c>
      <c r="R622" s="122" t="str">
        <f ca="1">IF($C622="S",REFERENCIA.Descricao,"(digite a descrição aqui)")</f>
        <v>(abra o arquivo 'Referência 06-2024.xlsm)</v>
      </c>
      <c r="S622" s="123" t="str">
        <f ca="1">REFERENCIA.Unidade</f>
        <v>-</v>
      </c>
      <c r="T622" s="124">
        <f ca="1">OFFSET(CÁLCULO!H$15,ROW($T622)-ROW(T$15),0)</f>
        <v>3</v>
      </c>
      <c r="U622" s="125">
        <f t="shared" ca="1" si="141"/>
        <v>0</v>
      </c>
      <c r="V622" s="126" t="s">
        <v>156</v>
      </c>
      <c r="W622" s="124">
        <f ca="1">IF($C622="S",ROUND(IF(TIPOORCAMENTO="Proposto",ORÇAMENTO.CustoUnitario*(1+$AH622),ORÇAMENTO.PrecoUnitarioLicitado),15-13*$AF$10),0)</f>
        <v>0</v>
      </c>
      <c r="X622" s="127">
        <f ca="1">IF($C622="S",IF(Import.TipoArredondamento&lt;&gt;"TransfereGOV",VTOTAL1,SUM(OFFSET(CÁLCULO!$AI$15,ROW($X622)-ROW($X$15),1):OFFSET(CÁLCULO!$BB$15,ROW($X622)-ROW($X$15),-1))),IF($C622=0,0,ROUND(SomaAgrup,15-13*$AF$11)))</f>
        <v>0</v>
      </c>
      <c r="Y622" s="128" t="s">
        <v>245</v>
      </c>
      <c r="Z622" t="str">
        <f t="shared" ca="1" si="130"/>
        <v/>
      </c>
      <c r="AA622" s="129">
        <f ca="1">IF($C622="S",IF($Z622="CP",$X622,IF($Z622="RA",(($X622)*QCI!$AA$3),0)),SomaAgrup)</f>
        <v>0</v>
      </c>
      <c r="AB622" s="130">
        <f t="shared" ca="1" si="143"/>
        <v>0</v>
      </c>
      <c r="AC622" s="131" t="str">
        <f ca="1">IF($N622="","",IF(ORÇAMENTO.Descricao="","DESCRIÇÃO",IF(AND($C622="S",ORÇAMENTO.Unidade=""),"UNIDADE",IF($X622&lt;0,"VALOR NEGATIVO",IF(OR(AND(TIPOORCAMENTO="Proposto",$AG622&lt;&gt;"",$AG622&gt;0,ORÇAMENTO.CustoUnitario&gt;$AG622),AND(TIPOORCAMENTO="LICITADO",ORÇAMENTO.PrecoUnitarioLicitado&gt;$AN622)),"ACIMA REF.","")))))</f>
        <v/>
      </c>
      <c r="AD622" t="str">
        <f ca="1">IF(C622&lt;=CRONO.NivelExibicao,MAX($AD$15:OFFSET(AD622,-1,0))+IF($C622&lt;&gt;1,1,MAX(1,COUNTIF(QCI!$A$13:$A$24,OFFSET($E622,-1,0)))),"")</f>
        <v/>
      </c>
      <c r="AE622" s="7" t="str">
        <f ca="1">IF(AND($C622="S",ORÇAMENTO.CodBarra&lt;&gt;""),IF(ORÇAMENTO.Fonte="",ORÇAMENTO.CodBarra,CONCATENATE(ORÇAMENTO.Fonte," ",ORÇAMENTO.CodBarra)))</f>
        <v>SINAPI 98302</v>
      </c>
      <c r="AF622" s="13" t="str">
        <f ca="1">IF(ISERROR(INDIRECT(ORÇAMENTO.BancoRef)),"(abra o arquivo 'Referência "&amp;Excel_BuiltIn_Database&amp;".xlsm)",IF(OR($C622&lt;&gt;"S",ORÇAMENTO.CodBarra=""),"(Sem Código)",IF(ISERROR(MATCH($AE622,INDIRECT(ORÇAMENTO.BancoRef),0)),"(Código não identificado nas referências)",MATCH($AE622,INDIRECT(ORÇAMENTO.BancoRef),0))))</f>
        <v>(abra o arquivo 'Referência 06-2024.xlsm)</v>
      </c>
      <c r="AG622" s="498">
        <f ca="1">ROUND(IF(DESONERACAO="sim",REFERENCIA.Desonerado,REFERENCIA.NaoDesonerado),2)</f>
        <v>0</v>
      </c>
      <c r="AH622" s="499">
        <f t="shared" ca="1" si="144"/>
        <v>0.2432</v>
      </c>
      <c r="AJ622" s="501"/>
      <c r="AL622" s="527"/>
      <c r="AM622" s="381">
        <f t="shared" ca="1" si="133"/>
        <v>0</v>
      </c>
      <c r="AN622" s="566">
        <f t="shared" ca="1" si="145"/>
        <v>0</v>
      </c>
    </row>
    <row r="623" spans="1:40" ht="25.5" x14ac:dyDescent="0.2">
      <c r="A623" t="str">
        <f t="shared" si="142"/>
        <v>S</v>
      </c>
      <c r="B623">
        <f t="shared" ca="1" si="120"/>
        <v>2</v>
      </c>
      <c r="C623" t="str">
        <f t="shared" ca="1" si="121"/>
        <v>S</v>
      </c>
      <c r="D623">
        <f t="shared" ca="1" si="122"/>
        <v>0</v>
      </c>
      <c r="E623">
        <f ca="1">IF($C623=1,OFFSET(E623,-1,0)+MAX(1,COUNTIF(QCI!$A$13:$A$24,OFFSET(ORÇAMENTO!E623,-1,0))),OFFSET(E623,-1,0))</f>
        <v>1</v>
      </c>
      <c r="F623">
        <f t="shared" ca="1" si="123"/>
        <v>64</v>
      </c>
      <c r="G623">
        <f t="shared" ca="1" si="124"/>
        <v>0</v>
      </c>
      <c r="H623">
        <f t="shared" ca="1" si="125"/>
        <v>0</v>
      </c>
      <c r="I623">
        <f t="shared" ca="1" si="126"/>
        <v>0</v>
      </c>
      <c r="J623">
        <f t="shared" ca="1" si="146"/>
        <v>0</v>
      </c>
      <c r="K623">
        <f ca="1">IF(OR($C623="S",$C623=0),0,MATCH(OFFSET($D623,0,$C623)+IF($C623&lt;&gt;1,1,COUNTIF(QCI!$A$13:$A$24,ORÇAMENTO!E623)),OFFSET($D623,1,$C623,ROW($C$727)-ROW($C623)),0))</f>
        <v>0</v>
      </c>
      <c r="L623" s="116" t="str">
        <f t="shared" ca="1" si="127"/>
        <v/>
      </c>
      <c r="M623" s="117" t="s">
        <v>199</v>
      </c>
      <c r="N623" s="118" t="str">
        <f t="shared" ca="1" si="128"/>
        <v>Serviço</v>
      </c>
      <c r="O623" s="119" t="str">
        <f t="shared" ca="1" si="129"/>
        <v>-</v>
      </c>
      <c r="P623" s="120" t="s">
        <v>458</v>
      </c>
      <c r="Q623" s="121" t="s">
        <v>962</v>
      </c>
      <c r="R623" s="122" t="str">
        <f ca="1">IF($C623="S",REFERENCIA.Descricao,"(digite a descrição aqui)")</f>
        <v>(abra o arquivo 'Referência 06-2024.xlsm)</v>
      </c>
      <c r="S623" s="123" t="str">
        <f ca="1">REFERENCIA.Unidade</f>
        <v>-</v>
      </c>
      <c r="T623" s="124">
        <f ca="1">OFFSET(CÁLCULO!H$15,ROW($T623)-ROW(T$15),0)</f>
        <v>1</v>
      </c>
      <c r="U623" s="125">
        <f t="shared" ca="1" si="141"/>
        <v>0</v>
      </c>
      <c r="V623" s="126" t="s">
        <v>156</v>
      </c>
      <c r="W623" s="124">
        <f ca="1">IF($C623="S",ROUND(IF(TIPOORCAMENTO="Proposto",ORÇAMENTO.CustoUnitario*(1+$AH623),ORÇAMENTO.PrecoUnitarioLicitado),15-13*$AF$10),0)</f>
        <v>0</v>
      </c>
      <c r="X623" s="127">
        <f ca="1">IF($C623="S",IF(Import.TipoArredondamento&lt;&gt;"TransfereGOV",VTOTAL1,SUM(OFFSET(CÁLCULO!$AI$15,ROW($X623)-ROW($X$15),1):OFFSET(CÁLCULO!$BB$15,ROW($X623)-ROW($X$15),-1))),IF($C623=0,0,ROUND(SomaAgrup,15-13*$AF$11)))</f>
        <v>0</v>
      </c>
      <c r="Y623" s="128" t="s">
        <v>245</v>
      </c>
      <c r="Z623" t="str">
        <f t="shared" ca="1" si="130"/>
        <v/>
      </c>
      <c r="AA623" s="129">
        <f ca="1">IF($C623="S",IF($Z623="CP",$X623,IF($Z623="RA",(($X623)*QCI!$AA$3),0)),SomaAgrup)</f>
        <v>0</v>
      </c>
      <c r="AB623" s="130">
        <f t="shared" ca="1" si="143"/>
        <v>0</v>
      </c>
      <c r="AC623" s="131" t="str">
        <f ca="1">IF($N623="","",IF(ORÇAMENTO.Descricao="","DESCRIÇÃO",IF(AND($C623="S",ORÇAMENTO.Unidade=""),"UNIDADE",IF($X623&lt;0,"VALOR NEGATIVO",IF(OR(AND(TIPOORCAMENTO="Proposto",$AG623&lt;&gt;"",$AG623&gt;0,ORÇAMENTO.CustoUnitario&gt;$AG623),AND(TIPOORCAMENTO="LICITADO",ORÇAMENTO.PrecoUnitarioLicitado&gt;$AN623)),"ACIMA REF.","")))))</f>
        <v/>
      </c>
      <c r="AD623" t="str">
        <f ca="1">IF(C623&lt;=CRONO.NivelExibicao,MAX($AD$15:OFFSET(AD623,-1,0))+IF($C623&lt;&gt;1,1,MAX(1,COUNTIF(QCI!$A$13:$A$24,OFFSET($E623,-1,0)))),"")</f>
        <v/>
      </c>
      <c r="AE623" s="7" t="str">
        <f ca="1">IF(AND($C623="S",ORÇAMENTO.CodBarra&lt;&gt;""),IF(ORÇAMENTO.Fonte="",ORÇAMENTO.CodBarra,CONCATENATE(ORÇAMENTO.Fonte," ",ORÇAMENTO.CodBarra)))</f>
        <v>COMPOSIÇÃO FNDE 388</v>
      </c>
      <c r="AF623" s="13" t="str">
        <f ca="1">IF(ISERROR(INDIRECT(ORÇAMENTO.BancoRef)),"(abra o arquivo 'Referência "&amp;Excel_BuiltIn_Database&amp;".xlsm)",IF(OR($C623&lt;&gt;"S",ORÇAMENTO.CodBarra=""),"(Sem Código)",IF(ISERROR(MATCH($AE623,INDIRECT(ORÇAMENTO.BancoRef),0)),"(Código não identificado nas referências)",MATCH($AE623,INDIRECT(ORÇAMENTO.BancoRef),0))))</f>
        <v>(abra o arquivo 'Referência 06-2024.xlsm)</v>
      </c>
      <c r="AG623" s="498">
        <f ca="1">ROUND(IF(DESONERACAO="sim",REFERENCIA.Desonerado,REFERENCIA.NaoDesonerado),2)</f>
        <v>0</v>
      </c>
      <c r="AH623" s="499">
        <f t="shared" ca="1" si="144"/>
        <v>0.2432</v>
      </c>
      <c r="AJ623" s="501"/>
      <c r="AL623" s="527"/>
      <c r="AM623" s="381">
        <f t="shared" ca="1" si="133"/>
        <v>0</v>
      </c>
      <c r="AN623" s="566">
        <f t="shared" ca="1" si="145"/>
        <v>0</v>
      </c>
    </row>
    <row r="624" spans="1:40" x14ac:dyDescent="0.2">
      <c r="A624" t="str">
        <f t="shared" si="142"/>
        <v>S</v>
      </c>
      <c r="B624">
        <f t="shared" ca="1" si="120"/>
        <v>2</v>
      </c>
      <c r="C624" t="str">
        <f t="shared" ca="1" si="121"/>
        <v>S</v>
      </c>
      <c r="D624">
        <f t="shared" ca="1" si="122"/>
        <v>0</v>
      </c>
      <c r="E624">
        <f ca="1">IF($C624=1,OFFSET(E624,-1,0)+MAX(1,COUNTIF(QCI!$A$13:$A$24,OFFSET(ORÇAMENTO!E624,-1,0))),OFFSET(E624,-1,0))</f>
        <v>1</v>
      </c>
      <c r="F624">
        <f t="shared" ca="1" si="123"/>
        <v>64</v>
      </c>
      <c r="G624">
        <f t="shared" ca="1" si="124"/>
        <v>0</v>
      </c>
      <c r="H624">
        <f t="shared" ca="1" si="125"/>
        <v>0</v>
      </c>
      <c r="I624">
        <f t="shared" ca="1" si="126"/>
        <v>0</v>
      </c>
      <c r="J624">
        <f t="shared" ca="1" si="146"/>
        <v>0</v>
      </c>
      <c r="K624">
        <f ca="1">IF(OR($C624="S",$C624=0),0,MATCH(OFFSET($D624,0,$C624)+IF($C624&lt;&gt;1,1,COUNTIF(QCI!$A$13:$A$24,ORÇAMENTO!E624)),OFFSET($D624,1,$C624,ROW($C$727)-ROW($C624)),0))</f>
        <v>0</v>
      </c>
      <c r="L624" s="116" t="str">
        <f t="shared" ca="1" si="127"/>
        <v/>
      </c>
      <c r="M624" s="117" t="s">
        <v>199</v>
      </c>
      <c r="N624" s="118" t="str">
        <f t="shared" ca="1" si="128"/>
        <v>Serviço</v>
      </c>
      <c r="O624" s="119" t="str">
        <f t="shared" ca="1" si="129"/>
        <v>-</v>
      </c>
      <c r="P624" s="120" t="s">
        <v>458</v>
      </c>
      <c r="Q624" s="121" t="s">
        <v>963</v>
      </c>
      <c r="R624" s="122" t="str">
        <f ca="1">IF($C624="S",REFERENCIA.Descricao,"(digite a descrição aqui)")</f>
        <v>(abra o arquivo 'Referência 06-2024.xlsm)</v>
      </c>
      <c r="S624" s="123" t="str">
        <f ca="1">REFERENCIA.Unidade</f>
        <v>-</v>
      </c>
      <c r="T624" s="124">
        <f ca="1">OFFSET(CÁLCULO!H$15,ROW($T624)-ROW(T$15),0)</f>
        <v>2</v>
      </c>
      <c r="U624" s="125">
        <f t="shared" ca="1" si="141"/>
        <v>0</v>
      </c>
      <c r="V624" s="126" t="s">
        <v>156</v>
      </c>
      <c r="W624" s="124">
        <f ca="1">IF($C624="S",ROUND(IF(TIPOORCAMENTO="Proposto",ORÇAMENTO.CustoUnitario*(1+$AH624),ORÇAMENTO.PrecoUnitarioLicitado),15-13*$AF$10),0)</f>
        <v>0</v>
      </c>
      <c r="X624" s="127">
        <f ca="1">IF($C624="S",IF(Import.TipoArredondamento&lt;&gt;"TransfereGOV",VTOTAL1,SUM(OFFSET(CÁLCULO!$AI$15,ROW($X624)-ROW($X$15),1):OFFSET(CÁLCULO!$BB$15,ROW($X624)-ROW($X$15),-1))),IF($C624=0,0,ROUND(SomaAgrup,15-13*$AF$11)))</f>
        <v>0</v>
      </c>
      <c r="Y624" s="128" t="s">
        <v>245</v>
      </c>
      <c r="Z624" t="str">
        <f t="shared" ca="1" si="130"/>
        <v/>
      </c>
      <c r="AA624" s="129">
        <f ca="1">IF($C624="S",IF($Z624="CP",$X624,IF($Z624="RA",(($X624)*QCI!$AA$3),0)),SomaAgrup)</f>
        <v>0</v>
      </c>
      <c r="AB624" s="130">
        <f t="shared" ca="1" si="143"/>
        <v>0</v>
      </c>
      <c r="AC624" s="131" t="str">
        <f ca="1">IF($N624="","",IF(ORÇAMENTO.Descricao="","DESCRIÇÃO",IF(AND($C624="S",ORÇAMENTO.Unidade=""),"UNIDADE",IF($X624&lt;0,"VALOR NEGATIVO",IF(OR(AND(TIPOORCAMENTO="Proposto",$AG624&lt;&gt;"",$AG624&gt;0,ORÇAMENTO.CustoUnitario&gt;$AG624),AND(TIPOORCAMENTO="LICITADO",ORÇAMENTO.PrecoUnitarioLicitado&gt;$AN624)),"ACIMA REF.","")))))</f>
        <v/>
      </c>
      <c r="AD624" t="str">
        <f ca="1">IF(C624&lt;=CRONO.NivelExibicao,MAX($AD$15:OFFSET(AD624,-1,0))+IF($C624&lt;&gt;1,1,MAX(1,COUNTIF(QCI!$A$13:$A$24,OFFSET($E624,-1,0)))),"")</f>
        <v/>
      </c>
      <c r="AE624" s="7" t="str">
        <f ca="1">IF(AND($C624="S",ORÇAMENTO.CodBarra&lt;&gt;""),IF(ORÇAMENTO.Fonte="",ORÇAMENTO.CodBarra,CONCATENATE(ORÇAMENTO.Fonte," ",ORÇAMENTO.CodBarra)))</f>
        <v>COMPOSIÇÃO FNDE 123</v>
      </c>
      <c r="AF624" s="13" t="str">
        <f ca="1">IF(ISERROR(INDIRECT(ORÇAMENTO.BancoRef)),"(abra o arquivo 'Referência "&amp;Excel_BuiltIn_Database&amp;".xlsm)",IF(OR($C624&lt;&gt;"S",ORÇAMENTO.CodBarra=""),"(Sem Código)",IF(ISERROR(MATCH($AE624,INDIRECT(ORÇAMENTO.BancoRef),0)),"(Código não identificado nas referências)",MATCH($AE624,INDIRECT(ORÇAMENTO.BancoRef),0))))</f>
        <v>(abra o arquivo 'Referência 06-2024.xlsm)</v>
      </c>
      <c r="AG624" s="498">
        <f ca="1">ROUND(IF(DESONERACAO="sim",REFERENCIA.Desonerado,REFERENCIA.NaoDesonerado),2)</f>
        <v>0</v>
      </c>
      <c r="AH624" s="499">
        <f t="shared" ca="1" si="144"/>
        <v>0.2432</v>
      </c>
      <c r="AJ624" s="501"/>
      <c r="AL624" s="527"/>
      <c r="AM624" s="381">
        <f t="shared" ca="1" si="133"/>
        <v>0</v>
      </c>
      <c r="AN624" s="566">
        <f t="shared" ca="1" si="145"/>
        <v>0</v>
      </c>
    </row>
    <row r="625" spans="1:40" x14ac:dyDescent="0.2">
      <c r="A625" t="str">
        <f t="shared" si="142"/>
        <v>S</v>
      </c>
      <c r="B625">
        <f t="shared" ca="1" si="120"/>
        <v>2</v>
      </c>
      <c r="C625" t="str">
        <f t="shared" ca="1" si="121"/>
        <v>S</v>
      </c>
      <c r="D625">
        <f t="shared" ca="1" si="122"/>
        <v>0</v>
      </c>
      <c r="E625">
        <f ca="1">IF($C625=1,OFFSET(E625,-1,0)+MAX(1,COUNTIF(QCI!$A$13:$A$24,OFFSET(ORÇAMENTO!E625,-1,0))),OFFSET(E625,-1,0))</f>
        <v>1</v>
      </c>
      <c r="F625">
        <f t="shared" ca="1" si="123"/>
        <v>64</v>
      </c>
      <c r="G625">
        <f t="shared" ca="1" si="124"/>
        <v>0</v>
      </c>
      <c r="H625">
        <f t="shared" ca="1" si="125"/>
        <v>0</v>
      </c>
      <c r="I625">
        <f t="shared" ca="1" si="126"/>
        <v>0</v>
      </c>
      <c r="J625">
        <f t="shared" ca="1" si="146"/>
        <v>0</v>
      </c>
      <c r="K625">
        <f ca="1">IF(OR($C625="S",$C625=0),0,MATCH(OFFSET($D625,0,$C625)+IF($C625&lt;&gt;1,1,COUNTIF(QCI!$A$13:$A$24,ORÇAMENTO!E625)),OFFSET($D625,1,$C625,ROW($C$727)-ROW($C625)),0))</f>
        <v>0</v>
      </c>
      <c r="L625" s="116" t="str">
        <f t="shared" ca="1" si="127"/>
        <v/>
      </c>
      <c r="M625" s="117" t="s">
        <v>199</v>
      </c>
      <c r="N625" s="118" t="str">
        <f t="shared" ca="1" si="128"/>
        <v>Serviço</v>
      </c>
      <c r="O625" s="119" t="str">
        <f t="shared" ca="1" si="129"/>
        <v>-</v>
      </c>
      <c r="P625" s="120" t="s">
        <v>458</v>
      </c>
      <c r="Q625" s="121" t="s">
        <v>964</v>
      </c>
      <c r="R625" s="122" t="str">
        <f ca="1">IF($C625="S",REFERENCIA.Descricao,"(digite a descrição aqui)")</f>
        <v>(abra o arquivo 'Referência 06-2024.xlsm)</v>
      </c>
      <c r="S625" s="123" t="str">
        <f ca="1">REFERENCIA.Unidade</f>
        <v>-</v>
      </c>
      <c r="T625" s="124">
        <f ca="1">OFFSET(CÁLCULO!H$15,ROW($T625)-ROW(T$15),0)</f>
        <v>1</v>
      </c>
      <c r="U625" s="125">
        <f t="shared" ca="1" si="141"/>
        <v>0</v>
      </c>
      <c r="V625" s="126" t="s">
        <v>156</v>
      </c>
      <c r="W625" s="124">
        <f ca="1">IF($C625="S",ROUND(IF(TIPOORCAMENTO="Proposto",ORÇAMENTO.CustoUnitario*(1+$AH625),ORÇAMENTO.PrecoUnitarioLicitado),15-13*$AF$10),0)</f>
        <v>0</v>
      </c>
      <c r="X625" s="127">
        <f ca="1">IF($C625="S",IF(Import.TipoArredondamento&lt;&gt;"TransfereGOV",VTOTAL1,SUM(OFFSET(CÁLCULO!$AI$15,ROW($X625)-ROW($X$15),1):OFFSET(CÁLCULO!$BB$15,ROW($X625)-ROW($X$15),-1))),IF($C625=0,0,ROUND(SomaAgrup,15-13*$AF$11)))</f>
        <v>0</v>
      </c>
      <c r="Y625" s="128" t="s">
        <v>245</v>
      </c>
      <c r="Z625" t="str">
        <f t="shared" ca="1" si="130"/>
        <v/>
      </c>
      <c r="AA625" s="129">
        <f ca="1">IF($C625="S",IF($Z625="CP",$X625,IF($Z625="RA",(($X625)*QCI!$AA$3),0)),SomaAgrup)</f>
        <v>0</v>
      </c>
      <c r="AB625" s="130">
        <f t="shared" ca="1" si="143"/>
        <v>0</v>
      </c>
      <c r="AC625" s="131" t="str">
        <f ca="1">IF($N625="","",IF(ORÇAMENTO.Descricao="","DESCRIÇÃO",IF(AND($C625="S",ORÇAMENTO.Unidade=""),"UNIDADE",IF($X625&lt;0,"VALOR NEGATIVO",IF(OR(AND(TIPOORCAMENTO="Proposto",$AG625&lt;&gt;"",$AG625&gt;0,ORÇAMENTO.CustoUnitario&gt;$AG625),AND(TIPOORCAMENTO="LICITADO",ORÇAMENTO.PrecoUnitarioLicitado&gt;$AN625)),"ACIMA REF.","")))))</f>
        <v/>
      </c>
      <c r="AD625" t="str">
        <f ca="1">IF(C625&lt;=CRONO.NivelExibicao,MAX($AD$15:OFFSET(AD625,-1,0))+IF($C625&lt;&gt;1,1,MAX(1,COUNTIF(QCI!$A$13:$A$24,OFFSET($E625,-1,0)))),"")</f>
        <v/>
      </c>
      <c r="AE625" s="7" t="str">
        <f ca="1">IF(AND($C625="S",ORÇAMENTO.CodBarra&lt;&gt;""),IF(ORÇAMENTO.Fonte="",ORÇAMENTO.CodBarra,CONCATENATE(ORÇAMENTO.Fonte," ",ORÇAMENTO.CodBarra)))</f>
        <v>COMPOSIÇÃO FNDE 122</v>
      </c>
      <c r="AF625" s="13" t="str">
        <f ca="1">IF(ISERROR(INDIRECT(ORÇAMENTO.BancoRef)),"(abra o arquivo 'Referência "&amp;Excel_BuiltIn_Database&amp;".xlsm)",IF(OR($C625&lt;&gt;"S",ORÇAMENTO.CodBarra=""),"(Sem Código)",IF(ISERROR(MATCH($AE625,INDIRECT(ORÇAMENTO.BancoRef),0)),"(Código não identificado nas referências)",MATCH($AE625,INDIRECT(ORÇAMENTO.BancoRef),0))))</f>
        <v>(abra o arquivo 'Referência 06-2024.xlsm)</v>
      </c>
      <c r="AG625" s="498">
        <f ca="1">ROUND(IF(DESONERACAO="sim",REFERENCIA.Desonerado,REFERENCIA.NaoDesonerado),2)</f>
        <v>0</v>
      </c>
      <c r="AH625" s="499">
        <f t="shared" ca="1" si="144"/>
        <v>0.2432</v>
      </c>
      <c r="AJ625" s="501"/>
      <c r="AL625" s="527"/>
      <c r="AM625" s="381">
        <f t="shared" ca="1" si="133"/>
        <v>0</v>
      </c>
      <c r="AN625" s="566">
        <f t="shared" ca="1" si="145"/>
        <v>0</v>
      </c>
    </row>
    <row r="626" spans="1:40" ht="25.5" x14ac:dyDescent="0.2">
      <c r="A626" t="str">
        <f t="shared" si="142"/>
        <v>S</v>
      </c>
      <c r="B626">
        <f t="shared" ca="1" si="120"/>
        <v>2</v>
      </c>
      <c r="C626" t="str">
        <f t="shared" ca="1" si="121"/>
        <v>S</v>
      </c>
      <c r="D626">
        <f t="shared" ca="1" si="122"/>
        <v>0</v>
      </c>
      <c r="E626">
        <f ca="1">IF($C626=1,OFFSET(E626,-1,0)+MAX(1,COUNTIF(QCI!$A$13:$A$24,OFFSET(ORÇAMENTO!E626,-1,0))),OFFSET(E626,-1,0))</f>
        <v>1</v>
      </c>
      <c r="F626">
        <f t="shared" ca="1" si="123"/>
        <v>64</v>
      </c>
      <c r="G626">
        <f t="shared" ca="1" si="124"/>
        <v>0</v>
      </c>
      <c r="H626">
        <f t="shared" ca="1" si="125"/>
        <v>0</v>
      </c>
      <c r="I626">
        <f t="shared" ca="1" si="126"/>
        <v>0</v>
      </c>
      <c r="J626">
        <f t="shared" ca="1" si="146"/>
        <v>0</v>
      </c>
      <c r="K626">
        <f ca="1">IF(OR($C626="S",$C626=0),0,MATCH(OFFSET($D626,0,$C626)+IF($C626&lt;&gt;1,1,COUNTIF(QCI!$A$13:$A$24,ORÇAMENTO!E626)),OFFSET($D626,1,$C626,ROW($C$727)-ROW($C626)),0))</f>
        <v>0</v>
      </c>
      <c r="L626" s="116" t="str">
        <f t="shared" ca="1" si="127"/>
        <v/>
      </c>
      <c r="M626" s="117" t="s">
        <v>199</v>
      </c>
      <c r="N626" s="118" t="str">
        <f t="shared" ca="1" si="128"/>
        <v>Serviço</v>
      </c>
      <c r="O626" s="119" t="str">
        <f t="shared" ca="1" si="129"/>
        <v>-</v>
      </c>
      <c r="P626" s="120" t="s">
        <v>247</v>
      </c>
      <c r="Q626" s="121" t="s">
        <v>965</v>
      </c>
      <c r="R626" s="122" t="str">
        <f ca="1">IF($C626="S",REFERENCIA.Descricao,"(digite a descrição aqui)")</f>
        <v>(abra o arquivo 'Referência 06-2024.xlsm)</v>
      </c>
      <c r="S626" s="123" t="str">
        <f ca="1">REFERENCIA.Unidade</f>
        <v>-</v>
      </c>
      <c r="T626" s="124">
        <f ca="1">OFFSET(CÁLCULO!H$15,ROW($T626)-ROW(T$15),0)</f>
        <v>1</v>
      </c>
      <c r="U626" s="125">
        <f t="shared" ca="1" si="141"/>
        <v>0</v>
      </c>
      <c r="V626" s="126" t="s">
        <v>156</v>
      </c>
      <c r="W626" s="124">
        <f ca="1">IF($C626="S",ROUND(IF(TIPOORCAMENTO="Proposto",ORÇAMENTO.CustoUnitario*(1+$AH626),ORÇAMENTO.PrecoUnitarioLicitado),15-13*$AF$10),0)</f>
        <v>0</v>
      </c>
      <c r="X626" s="127">
        <f ca="1">IF($C626="S",IF(Import.TipoArredondamento&lt;&gt;"TransfereGOV",VTOTAL1,SUM(OFFSET(CÁLCULO!$AI$15,ROW($X626)-ROW($X$15),1):OFFSET(CÁLCULO!$BB$15,ROW($X626)-ROW($X$15),-1))),IF($C626=0,0,ROUND(SomaAgrup,15-13*$AF$11)))</f>
        <v>0</v>
      </c>
      <c r="Y626" s="128" t="s">
        <v>245</v>
      </c>
      <c r="Z626" t="str">
        <f t="shared" ca="1" si="130"/>
        <v/>
      </c>
      <c r="AA626" s="129">
        <f ca="1">IF($C626="S",IF($Z626="CP",$X626,IF($Z626="RA",(($X626)*QCI!$AA$3),0)),SomaAgrup)</f>
        <v>0</v>
      </c>
      <c r="AB626" s="130">
        <f t="shared" ca="1" si="143"/>
        <v>0</v>
      </c>
      <c r="AC626" s="131" t="str">
        <f ca="1">IF($N626="","",IF(ORÇAMENTO.Descricao="","DESCRIÇÃO",IF(AND($C626="S",ORÇAMENTO.Unidade=""),"UNIDADE",IF($X626&lt;0,"VALOR NEGATIVO",IF(OR(AND(TIPOORCAMENTO="Proposto",$AG626&lt;&gt;"",$AG626&gt;0,ORÇAMENTO.CustoUnitario&gt;$AG626),AND(TIPOORCAMENTO="LICITADO",ORÇAMENTO.PrecoUnitarioLicitado&gt;$AN626)),"ACIMA REF.","")))))</f>
        <v/>
      </c>
      <c r="AD626" t="str">
        <f ca="1">IF(C626&lt;=CRONO.NivelExibicao,MAX($AD$15:OFFSET(AD626,-1,0))+IF($C626&lt;&gt;1,1,MAX(1,COUNTIF(QCI!$A$13:$A$24,OFFSET($E626,-1,0)))),"")</f>
        <v/>
      </c>
      <c r="AE626" s="7" t="str">
        <f ca="1">IF(AND($C626="S",ORÇAMENTO.CodBarra&lt;&gt;""),IF(ORÇAMENTO.Fonte="",ORÇAMENTO.CodBarra,CONCATENATE(ORÇAMENTO.Fonte," ",ORÇAMENTO.CodBarra)))</f>
        <v>SINAPI 100555</v>
      </c>
      <c r="AF626" s="13" t="str">
        <f ca="1">IF(ISERROR(INDIRECT(ORÇAMENTO.BancoRef)),"(abra o arquivo 'Referência "&amp;Excel_BuiltIn_Database&amp;".xlsm)",IF(OR($C626&lt;&gt;"S",ORÇAMENTO.CodBarra=""),"(Sem Código)",IF(ISERROR(MATCH($AE626,INDIRECT(ORÇAMENTO.BancoRef),0)),"(Código não identificado nas referências)",MATCH($AE626,INDIRECT(ORÇAMENTO.BancoRef),0))))</f>
        <v>(abra o arquivo 'Referência 06-2024.xlsm)</v>
      </c>
      <c r="AG626" s="498">
        <f ca="1">ROUND(IF(DESONERACAO="sim",REFERENCIA.Desonerado,REFERENCIA.NaoDesonerado),2)</f>
        <v>0</v>
      </c>
      <c r="AH626" s="499">
        <f t="shared" ca="1" si="144"/>
        <v>0.2432</v>
      </c>
      <c r="AJ626" s="501"/>
      <c r="AL626" s="527"/>
      <c r="AM626" s="381">
        <f t="shared" ca="1" si="133"/>
        <v>0</v>
      </c>
      <c r="AN626" s="566">
        <f t="shared" ca="1" si="145"/>
        <v>0</v>
      </c>
    </row>
    <row r="627" spans="1:40" x14ac:dyDescent="0.2">
      <c r="A627" t="str">
        <f t="shared" si="142"/>
        <v>S</v>
      </c>
      <c r="B627">
        <f t="shared" ca="1" si="120"/>
        <v>2</v>
      </c>
      <c r="C627" t="str">
        <f t="shared" ca="1" si="121"/>
        <v>S</v>
      </c>
      <c r="D627">
        <f t="shared" ca="1" si="122"/>
        <v>0</v>
      </c>
      <c r="E627">
        <f ca="1">IF($C627=1,OFFSET(E627,-1,0)+MAX(1,COUNTIF(QCI!$A$13:$A$24,OFFSET(ORÇAMENTO!E627,-1,0))),OFFSET(E627,-1,0))</f>
        <v>1</v>
      </c>
      <c r="F627">
        <f t="shared" ca="1" si="123"/>
        <v>64</v>
      </c>
      <c r="G627">
        <f t="shared" ca="1" si="124"/>
        <v>0</v>
      </c>
      <c r="H627">
        <f t="shared" ca="1" si="125"/>
        <v>0</v>
      </c>
      <c r="I627">
        <f t="shared" ca="1" si="126"/>
        <v>0</v>
      </c>
      <c r="J627">
        <f t="shared" ca="1" si="146"/>
        <v>0</v>
      </c>
      <c r="K627">
        <f ca="1">IF(OR($C627="S",$C627=0),0,MATCH(OFFSET($D627,0,$C627)+IF($C627&lt;&gt;1,1,COUNTIF(QCI!$A$13:$A$24,ORÇAMENTO!E627)),OFFSET($D627,1,$C627,ROW($C$727)-ROW($C627)),0))</f>
        <v>0</v>
      </c>
      <c r="L627" s="116" t="str">
        <f t="shared" ca="1" si="127"/>
        <v/>
      </c>
      <c r="M627" s="117" t="s">
        <v>199</v>
      </c>
      <c r="N627" s="118" t="str">
        <f t="shared" ca="1" si="128"/>
        <v>Serviço</v>
      </c>
      <c r="O627" s="119" t="str">
        <f t="shared" ca="1" si="129"/>
        <v>-</v>
      </c>
      <c r="P627" s="120" t="s">
        <v>458</v>
      </c>
      <c r="Q627" s="121" t="s">
        <v>966</v>
      </c>
      <c r="R627" s="122" t="str">
        <f ca="1">IF($C627="S",REFERENCIA.Descricao,"(digite a descrição aqui)")</f>
        <v>(abra o arquivo 'Referência 06-2024.xlsm)</v>
      </c>
      <c r="S627" s="123" t="str">
        <f ca="1">REFERENCIA.Unidade</f>
        <v>-</v>
      </c>
      <c r="T627" s="124">
        <f ca="1">OFFSET(CÁLCULO!H$15,ROW($T627)-ROW(T$15),0)</f>
        <v>1</v>
      </c>
      <c r="U627" s="125">
        <f t="shared" ca="1" si="141"/>
        <v>0</v>
      </c>
      <c r="V627" s="126" t="s">
        <v>156</v>
      </c>
      <c r="W627" s="124">
        <f ca="1">IF($C627="S",ROUND(IF(TIPOORCAMENTO="Proposto",ORÇAMENTO.CustoUnitario*(1+$AH627),ORÇAMENTO.PrecoUnitarioLicitado),15-13*$AF$10),0)</f>
        <v>0</v>
      </c>
      <c r="X627" s="127">
        <f ca="1">IF($C627="S",IF(Import.TipoArredondamento&lt;&gt;"TransfereGOV",VTOTAL1,SUM(OFFSET(CÁLCULO!$AI$15,ROW($X627)-ROW($X$15),1):OFFSET(CÁLCULO!$BB$15,ROW($X627)-ROW($X$15),-1))),IF($C627=0,0,ROUND(SomaAgrup,15-13*$AF$11)))</f>
        <v>0</v>
      </c>
      <c r="Y627" s="128" t="s">
        <v>245</v>
      </c>
      <c r="Z627" t="str">
        <f t="shared" ca="1" si="130"/>
        <v/>
      </c>
      <c r="AA627" s="129">
        <f ca="1">IF($C627="S",IF($Z627="CP",$X627,IF($Z627="RA",(($X627)*QCI!$AA$3),0)),SomaAgrup)</f>
        <v>0</v>
      </c>
      <c r="AB627" s="130">
        <f t="shared" ca="1" si="143"/>
        <v>0</v>
      </c>
      <c r="AC627" s="131" t="str">
        <f ca="1">IF($N627="","",IF(ORÇAMENTO.Descricao="","DESCRIÇÃO",IF(AND($C627="S",ORÇAMENTO.Unidade=""),"UNIDADE",IF($X627&lt;0,"VALOR NEGATIVO",IF(OR(AND(TIPOORCAMENTO="Proposto",$AG627&lt;&gt;"",$AG627&gt;0,ORÇAMENTO.CustoUnitario&gt;$AG627),AND(TIPOORCAMENTO="LICITADO",ORÇAMENTO.PrecoUnitarioLicitado&gt;$AN627)),"ACIMA REF.","")))))</f>
        <v/>
      </c>
      <c r="AD627" t="str">
        <f ca="1">IF(C627&lt;=CRONO.NivelExibicao,MAX($AD$15:OFFSET(AD627,-1,0))+IF($C627&lt;&gt;1,1,MAX(1,COUNTIF(QCI!$A$13:$A$24,OFFSET($E627,-1,0)))),"")</f>
        <v/>
      </c>
      <c r="AE627" s="7" t="str">
        <f ca="1">IF(AND($C627="S",ORÇAMENTO.CodBarra&lt;&gt;""),IF(ORÇAMENTO.Fonte="",ORÇAMENTO.CodBarra,CONCATENATE(ORÇAMENTO.Fonte," ",ORÇAMENTO.CodBarra)))</f>
        <v>COMPOSIÇÃO FNDE 125</v>
      </c>
      <c r="AF627" s="13" t="str">
        <f ca="1">IF(ISERROR(INDIRECT(ORÇAMENTO.BancoRef)),"(abra o arquivo 'Referência "&amp;Excel_BuiltIn_Database&amp;".xlsm)",IF(OR($C627&lt;&gt;"S",ORÇAMENTO.CodBarra=""),"(Sem Código)",IF(ISERROR(MATCH($AE627,INDIRECT(ORÇAMENTO.BancoRef),0)),"(Código não identificado nas referências)",MATCH($AE627,INDIRECT(ORÇAMENTO.BancoRef),0))))</f>
        <v>(abra o arquivo 'Referência 06-2024.xlsm)</v>
      </c>
      <c r="AG627" s="498">
        <f ca="1">ROUND(IF(DESONERACAO="sim",REFERENCIA.Desonerado,REFERENCIA.NaoDesonerado),2)</f>
        <v>0</v>
      </c>
      <c r="AH627" s="499">
        <f t="shared" ca="1" si="144"/>
        <v>0.2432</v>
      </c>
      <c r="AJ627" s="501"/>
      <c r="AL627" s="527"/>
      <c r="AM627" s="381">
        <f t="shared" ca="1" si="133"/>
        <v>0</v>
      </c>
      <c r="AN627" s="566">
        <f t="shared" ca="1" si="145"/>
        <v>0</v>
      </c>
    </row>
    <row r="628" spans="1:40" x14ac:dyDescent="0.2">
      <c r="A628">
        <f t="shared" si="142"/>
        <v>2</v>
      </c>
      <c r="B628">
        <f t="shared" ca="1" si="120"/>
        <v>2</v>
      </c>
      <c r="C628">
        <f t="shared" ca="1" si="121"/>
        <v>2</v>
      </c>
      <c r="D628">
        <f t="shared" ca="1" si="122"/>
        <v>8</v>
      </c>
      <c r="E628">
        <f ca="1">IF($C628=1,OFFSET(E628,-1,0)+MAX(1,COUNTIF(QCI!$A$13:$A$24,OFFSET(ORÇAMENTO!E628,-1,0))),OFFSET(E628,-1,0))</f>
        <v>1</v>
      </c>
      <c r="F628">
        <f t="shared" ca="1" si="123"/>
        <v>65</v>
      </c>
      <c r="G628">
        <f t="shared" ca="1" si="124"/>
        <v>0</v>
      </c>
      <c r="H628">
        <f t="shared" ca="1" si="125"/>
        <v>0</v>
      </c>
      <c r="I628">
        <f t="shared" ca="1" si="126"/>
        <v>0</v>
      </c>
      <c r="J628">
        <f t="shared" ca="1" si="146"/>
        <v>99</v>
      </c>
      <c r="K628">
        <f ca="1">IF(OR($C628="S",$C628=0),0,MATCH(OFFSET($D628,0,$C628)+IF($C628&lt;&gt;1,1,COUNTIF(QCI!$A$13:$A$24,ORÇAMENTO!E628)),OFFSET($D628,1,$C628,ROW($C$727)-ROW($C628)),0))</f>
        <v>8</v>
      </c>
      <c r="L628" s="116" t="str">
        <f t="shared" ca="1" si="127"/>
        <v>F</v>
      </c>
      <c r="M628" s="117" t="s">
        <v>196</v>
      </c>
      <c r="N628" s="118" t="str">
        <f t="shared" ca="1" si="128"/>
        <v>Nível 2</v>
      </c>
      <c r="O628" s="119" t="str">
        <f t="shared" ca="1" si="129"/>
        <v>1.65.</v>
      </c>
      <c r="P628" s="120" t="s">
        <v>247</v>
      </c>
      <c r="Q628" s="121"/>
      <c r="R628" s="122" t="s">
        <v>1088</v>
      </c>
      <c r="S628" s="123" t="str">
        <f ca="1">REFERENCIA.Unidade</f>
        <v>-</v>
      </c>
      <c r="T628" s="124">
        <f ca="1">OFFSET(CÁLCULO!H$15,ROW($T628)-ROW(T$15),0)</f>
        <v>0</v>
      </c>
      <c r="U628" s="125">
        <f t="shared" ca="1" si="141"/>
        <v>0</v>
      </c>
      <c r="V628" s="126" t="s">
        <v>156</v>
      </c>
      <c r="W628" s="124">
        <f ca="1">IF($C628="S",ROUND(IF(TIPOORCAMENTO="Proposto",ORÇAMENTO.CustoUnitario*(1+$AH628),ORÇAMENTO.PrecoUnitarioLicitado),15-13*$AF$10),0)</f>
        <v>0</v>
      </c>
      <c r="X628" s="127">
        <f ca="1">IF($C628="S",IF(Import.TipoArredondamento&lt;&gt;"TransfereGOV",VTOTAL1,SUM(OFFSET(CÁLCULO!$AI$15,ROW($X628)-ROW($X$15),1):OFFSET(CÁLCULO!$BB$15,ROW($X628)-ROW($X$15),-1))),IF($C628=0,0,ROUND(SomaAgrup,15-13*$AF$11)))</f>
        <v>0</v>
      </c>
      <c r="Y628" s="128" t="s">
        <v>245</v>
      </c>
      <c r="Z628" t="str">
        <f t="shared" ca="1" si="130"/>
        <v/>
      </c>
      <c r="AA628" s="129">
        <f ca="1">IF($C628="S",IF($Z628="CP",$X628,IF($Z628="RA",(($X628)*QCI!$AA$3),0)),SomaAgrup)</f>
        <v>0</v>
      </c>
      <c r="AB628" s="130">
        <f t="shared" ca="1" si="143"/>
        <v>0</v>
      </c>
      <c r="AC628" s="131" t="str">
        <f ca="1">IF($N628="","",IF(ORÇAMENTO.Descricao="","DESCRIÇÃO",IF(AND($C628="S",ORÇAMENTO.Unidade=""),"UNIDADE",IF($X628&lt;0,"VALOR NEGATIVO",IF(OR(AND(TIPOORCAMENTO="Proposto",$AG628&lt;&gt;"",$AG628&gt;0,ORÇAMENTO.CustoUnitario&gt;$AG628),AND(TIPOORCAMENTO="LICITADO",ORÇAMENTO.PrecoUnitarioLicitado&gt;$AN628)),"ACIMA REF.","")))))</f>
        <v/>
      </c>
      <c r="AD628">
        <f ca="1">IF(C628&lt;=CRONO.NivelExibicao,MAX($AD$15:OFFSET(AD628,-1,0))+IF($C628&lt;&gt;1,1,MAX(1,COUNTIF(QCI!$A$13:$A$24,OFFSET($E628,-1,0)))),"")</f>
        <v>66</v>
      </c>
      <c r="AE628" s="7" t="b">
        <f ca="1">IF(AND($C628="S",ORÇAMENTO.CodBarra&lt;&gt;""),IF(ORÇAMENTO.Fonte="",ORÇAMENTO.CodBarra,CONCATENATE(ORÇAMENTO.Fonte," ",ORÇAMENTO.CodBarra)))</f>
        <v>0</v>
      </c>
      <c r="AF628" s="13" t="str">
        <f ca="1">IF(ISERROR(INDIRECT(ORÇAMENTO.BancoRef)),"(abra o arquivo 'Referência "&amp;Excel_BuiltIn_Database&amp;".xlsm)",IF(OR($C628&lt;&gt;"S",ORÇAMENTO.CodBarra=""),"(Sem Código)",IF(ISERROR(MATCH($AE628,INDIRECT(ORÇAMENTO.BancoRef),0)),"(Código não identificado nas referências)",MATCH($AE628,INDIRECT(ORÇAMENTO.BancoRef),0))))</f>
        <v>(abra o arquivo 'Referência 06-2024.xlsm)</v>
      </c>
      <c r="AG628" s="498">
        <f ca="1">ROUND(IF(DESONERACAO="sim",REFERENCIA.Desonerado,REFERENCIA.NaoDesonerado),2)</f>
        <v>0</v>
      </c>
      <c r="AH628" s="499">
        <f t="shared" ca="1" si="144"/>
        <v>0.2432</v>
      </c>
      <c r="AJ628" s="501"/>
      <c r="AL628" s="527"/>
      <c r="AM628" s="381">
        <f t="shared" ca="1" si="133"/>
        <v>0</v>
      </c>
      <c r="AN628" s="566">
        <f t="shared" ca="1" si="145"/>
        <v>0</v>
      </c>
    </row>
    <row r="629" spans="1:40" ht="25.5" x14ac:dyDescent="0.2">
      <c r="A629" t="str">
        <f t="shared" si="142"/>
        <v>S</v>
      </c>
      <c r="B629">
        <f t="shared" ca="1" si="120"/>
        <v>2</v>
      </c>
      <c r="C629" t="str">
        <f t="shared" ca="1" si="121"/>
        <v>S</v>
      </c>
      <c r="D629">
        <f t="shared" ca="1" si="122"/>
        <v>0</v>
      </c>
      <c r="E629">
        <f ca="1">IF($C629=1,OFFSET(E629,-1,0)+MAX(1,COUNTIF(QCI!$A$13:$A$24,OFFSET(ORÇAMENTO!E629,-1,0))),OFFSET(E629,-1,0))</f>
        <v>1</v>
      </c>
      <c r="F629">
        <f t="shared" ca="1" si="123"/>
        <v>65</v>
      </c>
      <c r="G629">
        <f t="shared" ca="1" si="124"/>
        <v>0</v>
      </c>
      <c r="H629">
        <f t="shared" ca="1" si="125"/>
        <v>0</v>
      </c>
      <c r="I629">
        <f t="shared" ca="1" si="126"/>
        <v>0</v>
      </c>
      <c r="J629">
        <f t="shared" ca="1" si="146"/>
        <v>0</v>
      </c>
      <c r="K629">
        <f ca="1">IF(OR($C629="S",$C629=0),0,MATCH(OFFSET($D629,0,$C629)+IF($C629&lt;&gt;1,1,COUNTIF(QCI!$A$13:$A$24,ORÇAMENTO!E629)),OFFSET($D629,1,$C629,ROW($C$727)-ROW($C629)),0))</f>
        <v>0</v>
      </c>
      <c r="L629" s="116" t="str">
        <f t="shared" ca="1" si="127"/>
        <v/>
      </c>
      <c r="M629" s="117" t="s">
        <v>199</v>
      </c>
      <c r="N629" s="118" t="str">
        <f t="shared" ca="1" si="128"/>
        <v>Serviço</v>
      </c>
      <c r="O629" s="119" t="str">
        <f t="shared" ca="1" si="129"/>
        <v>-</v>
      </c>
      <c r="P629" s="120" t="s">
        <v>247</v>
      </c>
      <c r="Q629" s="121" t="s">
        <v>845</v>
      </c>
      <c r="R629" s="122" t="str">
        <f ca="1">IF($C629="S",REFERENCIA.Descricao,"(digite a descrição aqui)")</f>
        <v>(abra o arquivo 'Referência 06-2024.xlsm)</v>
      </c>
      <c r="S629" s="123" t="str">
        <f ca="1">REFERENCIA.Unidade</f>
        <v>-</v>
      </c>
      <c r="T629" s="124">
        <f ca="1">OFFSET(CÁLCULO!H$15,ROW($T629)-ROW(T$15),0)</f>
        <v>42</v>
      </c>
      <c r="U629" s="125">
        <f t="shared" ca="1" si="141"/>
        <v>0</v>
      </c>
      <c r="V629" s="126" t="s">
        <v>156</v>
      </c>
      <c r="W629" s="124">
        <f ca="1">IF($C629="S",ROUND(IF(TIPOORCAMENTO="Proposto",ORÇAMENTO.CustoUnitario*(1+$AH629),ORÇAMENTO.PrecoUnitarioLicitado),15-13*$AF$10),0)</f>
        <v>0</v>
      </c>
      <c r="X629" s="127">
        <f ca="1">IF($C629="S",IF(Import.TipoArredondamento&lt;&gt;"TransfereGOV",VTOTAL1,SUM(OFFSET(CÁLCULO!$AI$15,ROW($X629)-ROW($X$15),1):OFFSET(CÁLCULO!$BB$15,ROW($X629)-ROW($X$15),-1))),IF($C629=0,0,ROUND(SomaAgrup,15-13*$AF$11)))</f>
        <v>0</v>
      </c>
      <c r="Y629" s="128" t="s">
        <v>245</v>
      </c>
      <c r="Z629" t="str">
        <f t="shared" ca="1" si="130"/>
        <v/>
      </c>
      <c r="AA629" s="129">
        <f ca="1">IF($C629="S",IF($Z629="CP",$X629,IF($Z629="RA",(($X629)*QCI!$AA$3),0)),SomaAgrup)</f>
        <v>0</v>
      </c>
      <c r="AB629" s="130">
        <f t="shared" ca="1" si="143"/>
        <v>0</v>
      </c>
      <c r="AC629" s="131" t="str">
        <f ca="1">IF($N629="","",IF(ORÇAMENTO.Descricao="","DESCRIÇÃO",IF(AND($C629="S",ORÇAMENTO.Unidade=""),"UNIDADE",IF($X629&lt;0,"VALOR NEGATIVO",IF(OR(AND(TIPOORCAMENTO="Proposto",$AG629&lt;&gt;"",$AG629&gt;0,ORÇAMENTO.CustoUnitario&gt;$AG629),AND(TIPOORCAMENTO="LICITADO",ORÇAMENTO.PrecoUnitarioLicitado&gt;$AN629)),"ACIMA REF.","")))))</f>
        <v/>
      </c>
      <c r="AD629" t="str">
        <f ca="1">IF(C629&lt;=CRONO.NivelExibicao,MAX($AD$15:OFFSET(AD629,-1,0))+IF($C629&lt;&gt;1,1,MAX(1,COUNTIF(QCI!$A$13:$A$24,OFFSET($E629,-1,0)))),"")</f>
        <v/>
      </c>
      <c r="AE629" s="7" t="str">
        <f ca="1">IF(AND($C629="S",ORÇAMENTO.CodBarra&lt;&gt;""),IF(ORÇAMENTO.Fonte="",ORÇAMENTO.CodBarra,CONCATENATE(ORÇAMENTO.Fonte," ",ORÇAMENTO.CodBarra)))</f>
        <v>SINAPI 91941</v>
      </c>
      <c r="AF629" s="13" t="str">
        <f ca="1">IF(ISERROR(INDIRECT(ORÇAMENTO.BancoRef)),"(abra o arquivo 'Referência "&amp;Excel_BuiltIn_Database&amp;".xlsm)",IF(OR($C629&lt;&gt;"S",ORÇAMENTO.CodBarra=""),"(Sem Código)",IF(ISERROR(MATCH($AE629,INDIRECT(ORÇAMENTO.BancoRef),0)),"(Código não identificado nas referências)",MATCH($AE629,INDIRECT(ORÇAMENTO.BancoRef),0))))</f>
        <v>(abra o arquivo 'Referência 06-2024.xlsm)</v>
      </c>
      <c r="AG629" s="498">
        <f ca="1">ROUND(IF(DESONERACAO="sim",REFERENCIA.Desonerado,REFERENCIA.NaoDesonerado),2)</f>
        <v>0</v>
      </c>
      <c r="AH629" s="499">
        <f t="shared" ca="1" si="144"/>
        <v>0.2432</v>
      </c>
      <c r="AJ629" s="501"/>
      <c r="AL629" s="527"/>
      <c r="AM629" s="381">
        <f t="shared" ca="1" si="133"/>
        <v>0</v>
      </c>
      <c r="AN629" s="566">
        <f t="shared" ca="1" si="145"/>
        <v>0</v>
      </c>
    </row>
    <row r="630" spans="1:40" x14ac:dyDescent="0.2">
      <c r="A630" t="str">
        <f t="shared" si="142"/>
        <v>S</v>
      </c>
      <c r="B630">
        <f t="shared" ca="1" si="120"/>
        <v>2</v>
      </c>
      <c r="C630" t="str">
        <f t="shared" ca="1" si="121"/>
        <v>S</v>
      </c>
      <c r="D630">
        <f t="shared" ca="1" si="122"/>
        <v>0</v>
      </c>
      <c r="E630">
        <f ca="1">IF($C630=1,OFFSET(E630,-1,0)+MAX(1,COUNTIF(QCI!$A$13:$A$24,OFFSET(ORÇAMENTO!E630,-1,0))),OFFSET(E630,-1,0))</f>
        <v>1</v>
      </c>
      <c r="F630">
        <f t="shared" ca="1" si="123"/>
        <v>65</v>
      </c>
      <c r="G630">
        <f t="shared" ca="1" si="124"/>
        <v>0</v>
      </c>
      <c r="H630">
        <f t="shared" ca="1" si="125"/>
        <v>0</v>
      </c>
      <c r="I630">
        <f t="shared" ca="1" si="126"/>
        <v>0</v>
      </c>
      <c r="J630">
        <f t="shared" ca="1" si="146"/>
        <v>0</v>
      </c>
      <c r="K630">
        <f ca="1">IF(OR($C630="S",$C630=0),0,MATCH(OFFSET($D630,0,$C630)+IF($C630&lt;&gt;1,1,COUNTIF(QCI!$A$13:$A$24,ORÇAMENTO!E630)),OFFSET($D630,1,$C630,ROW($C$727)-ROW($C630)),0))</f>
        <v>0</v>
      </c>
      <c r="L630" s="116" t="str">
        <f t="shared" ca="1" si="127"/>
        <v/>
      </c>
      <c r="M630" s="117" t="s">
        <v>199</v>
      </c>
      <c r="N630" s="118" t="str">
        <f t="shared" ca="1" si="128"/>
        <v>Serviço</v>
      </c>
      <c r="O630" s="119" t="str">
        <f t="shared" ca="1" si="129"/>
        <v>-</v>
      </c>
      <c r="P630" s="120" t="s">
        <v>458</v>
      </c>
      <c r="Q630" s="121" t="s">
        <v>844</v>
      </c>
      <c r="R630" s="122" t="str">
        <f ca="1">IF($C630="S",REFERENCIA.Descricao,"(digite a descrição aqui)")</f>
        <v>(abra o arquivo 'Referência 06-2024.xlsm)</v>
      </c>
      <c r="S630" s="123" t="str">
        <f ca="1">REFERENCIA.Unidade</f>
        <v>-</v>
      </c>
      <c r="T630" s="124">
        <f ca="1">OFFSET(CÁLCULO!H$15,ROW($T630)-ROW(T$15),0)</f>
        <v>697</v>
      </c>
      <c r="U630" s="125">
        <f t="shared" ref="U630:U691" ca="1" si="147">AG630</f>
        <v>0</v>
      </c>
      <c r="V630" s="126" t="s">
        <v>156</v>
      </c>
      <c r="W630" s="124">
        <f ca="1">IF($C630="S",ROUND(IF(TIPOORCAMENTO="Proposto",ORÇAMENTO.CustoUnitario*(1+$AH630),ORÇAMENTO.PrecoUnitarioLicitado),15-13*$AF$10),0)</f>
        <v>0</v>
      </c>
      <c r="X630" s="127">
        <f ca="1">IF($C630="S",IF(Import.TipoArredondamento&lt;&gt;"TransfereGOV",VTOTAL1,SUM(OFFSET(CÁLCULO!$AI$15,ROW($X630)-ROW($X$15),1):OFFSET(CÁLCULO!$BB$15,ROW($X630)-ROW($X$15),-1))),IF($C630=0,0,ROUND(SomaAgrup,15-13*$AF$11)))</f>
        <v>0</v>
      </c>
      <c r="Y630" s="128" t="s">
        <v>245</v>
      </c>
      <c r="Z630" t="str">
        <f t="shared" ca="1" si="130"/>
        <v/>
      </c>
      <c r="AA630" s="129">
        <f ca="1">IF($C630="S",IF($Z630="CP",$X630,IF($Z630="RA",(($X630)*QCI!$AA$3),0)),SomaAgrup)</f>
        <v>0</v>
      </c>
      <c r="AB630" s="130">
        <f t="shared" ca="1" si="143"/>
        <v>0</v>
      </c>
      <c r="AC630" s="131" t="str">
        <f ca="1">IF($N630="","",IF(ORÇAMENTO.Descricao="","DESCRIÇÃO",IF(AND($C630="S",ORÇAMENTO.Unidade=""),"UNIDADE",IF($X630&lt;0,"VALOR NEGATIVO",IF(OR(AND(TIPOORCAMENTO="Proposto",$AG630&lt;&gt;"",$AG630&gt;0,ORÇAMENTO.CustoUnitario&gt;$AG630),AND(TIPOORCAMENTO="LICITADO",ORÇAMENTO.PrecoUnitarioLicitado&gt;$AN630)),"ACIMA REF.","")))))</f>
        <v/>
      </c>
      <c r="AD630" t="str">
        <f ca="1">IF(C630&lt;=CRONO.NivelExibicao,MAX($AD$15:OFFSET(AD630,-1,0))+IF($C630&lt;&gt;1,1,MAX(1,COUNTIF(QCI!$A$13:$A$24,OFFSET($E630,-1,0)))),"")</f>
        <v/>
      </c>
      <c r="AE630" s="7" t="str">
        <f ca="1">IF(AND($C630="S",ORÇAMENTO.CodBarra&lt;&gt;""),IF(ORÇAMENTO.Fonte="",ORÇAMENTO.CodBarra,CONCATENATE(ORÇAMENTO.Fonte," ",ORÇAMENTO.CodBarra)))</f>
        <v>COMPOSIÇÃO FNDE 353</v>
      </c>
      <c r="AF630" s="13" t="str">
        <f ca="1">IF(ISERROR(INDIRECT(ORÇAMENTO.BancoRef)),"(abra o arquivo 'Referência "&amp;Excel_BuiltIn_Database&amp;".xlsm)",IF(OR($C630&lt;&gt;"S",ORÇAMENTO.CodBarra=""),"(Sem Código)",IF(ISERROR(MATCH($AE630,INDIRECT(ORÇAMENTO.BancoRef),0)),"(Código não identificado nas referências)",MATCH($AE630,INDIRECT(ORÇAMENTO.BancoRef),0))))</f>
        <v>(abra o arquivo 'Referência 06-2024.xlsm)</v>
      </c>
      <c r="AG630" s="498">
        <f ca="1">ROUND(IF(DESONERACAO="sim",REFERENCIA.Desonerado,REFERENCIA.NaoDesonerado),2)</f>
        <v>0</v>
      </c>
      <c r="AH630" s="499">
        <f t="shared" ca="1" si="144"/>
        <v>0.2432</v>
      </c>
      <c r="AJ630" s="501"/>
      <c r="AL630" s="527"/>
      <c r="AM630" s="381">
        <f t="shared" ca="1" si="133"/>
        <v>0</v>
      </c>
      <c r="AN630" s="566">
        <f t="shared" ca="1" si="145"/>
        <v>0</v>
      </c>
    </row>
    <row r="631" spans="1:40" x14ac:dyDescent="0.2">
      <c r="A631" t="str">
        <f t="shared" si="142"/>
        <v>S</v>
      </c>
      <c r="B631">
        <f t="shared" ca="1" si="120"/>
        <v>2</v>
      </c>
      <c r="C631" t="str">
        <f t="shared" ca="1" si="121"/>
        <v>S</v>
      </c>
      <c r="D631">
        <f t="shared" ca="1" si="122"/>
        <v>0</v>
      </c>
      <c r="E631">
        <f ca="1">IF($C631=1,OFFSET(E631,-1,0)+MAX(1,COUNTIF(QCI!$A$13:$A$24,OFFSET(ORÇAMENTO!E631,-1,0))),OFFSET(E631,-1,0))</f>
        <v>1</v>
      </c>
      <c r="F631">
        <f t="shared" ca="1" si="123"/>
        <v>65</v>
      </c>
      <c r="G631">
        <f t="shared" ca="1" si="124"/>
        <v>0</v>
      </c>
      <c r="H631">
        <f t="shared" ca="1" si="125"/>
        <v>0</v>
      </c>
      <c r="I631">
        <f t="shared" ca="1" si="126"/>
        <v>0</v>
      </c>
      <c r="J631">
        <f t="shared" ca="1" si="146"/>
        <v>0</v>
      </c>
      <c r="K631">
        <f ca="1">IF(OR($C631="S",$C631=0),0,MATCH(OFFSET($D631,0,$C631)+IF($C631&lt;&gt;1,1,COUNTIF(QCI!$A$13:$A$24,ORÇAMENTO!E631)),OFFSET($D631,1,$C631,ROW($C$727)-ROW($C631)),0))</f>
        <v>0</v>
      </c>
      <c r="L631" s="116" t="str">
        <f t="shared" ca="1" si="127"/>
        <v/>
      </c>
      <c r="M631" s="117" t="s">
        <v>199</v>
      </c>
      <c r="N631" s="118" t="str">
        <f t="shared" ca="1" si="128"/>
        <v>Serviço</v>
      </c>
      <c r="O631" s="119" t="str">
        <f t="shared" ca="1" si="129"/>
        <v>-</v>
      </c>
      <c r="P631" s="120" t="s">
        <v>458</v>
      </c>
      <c r="Q631" s="121" t="s">
        <v>852</v>
      </c>
      <c r="R631" s="122" t="str">
        <f ca="1">IF($C631="S",REFERENCIA.Descricao,"(digite a descrição aqui)")</f>
        <v>(abra o arquivo 'Referência 06-2024.xlsm)</v>
      </c>
      <c r="S631" s="123" t="str">
        <f ca="1">REFERENCIA.Unidade</f>
        <v>-</v>
      </c>
      <c r="T631" s="124">
        <f ca="1">OFFSET(CÁLCULO!H$15,ROW($T631)-ROW(T$15),0)</f>
        <v>23</v>
      </c>
      <c r="U631" s="125">
        <f t="shared" ca="1" si="147"/>
        <v>0</v>
      </c>
      <c r="V631" s="126" t="s">
        <v>156</v>
      </c>
      <c r="W631" s="124">
        <f ca="1">IF($C631="S",ROUND(IF(TIPOORCAMENTO="Proposto",ORÇAMENTO.CustoUnitario*(1+$AH631),ORÇAMENTO.PrecoUnitarioLicitado),15-13*$AF$10),0)</f>
        <v>0</v>
      </c>
      <c r="X631" s="127">
        <f ca="1">IF($C631="S",IF(Import.TipoArredondamento&lt;&gt;"TransfereGOV",VTOTAL1,SUM(OFFSET(CÁLCULO!$AI$15,ROW($X631)-ROW($X$15),1):OFFSET(CÁLCULO!$BB$15,ROW($X631)-ROW($X$15),-1))),IF($C631=0,0,ROUND(SomaAgrup,15-13*$AF$11)))</f>
        <v>0</v>
      </c>
      <c r="Y631" s="128" t="s">
        <v>245</v>
      </c>
      <c r="Z631" t="str">
        <f t="shared" ca="1" si="130"/>
        <v/>
      </c>
      <c r="AA631" s="129">
        <f ca="1">IF($C631="S",IF($Z631="CP",$X631,IF($Z631="RA",(($X631)*QCI!$AA$3),0)),SomaAgrup)</f>
        <v>0</v>
      </c>
      <c r="AB631" s="130">
        <f t="shared" ca="1" si="143"/>
        <v>0</v>
      </c>
      <c r="AC631" s="131" t="str">
        <f ca="1">IF($N631="","",IF(ORÇAMENTO.Descricao="","DESCRIÇÃO",IF(AND($C631="S",ORÇAMENTO.Unidade=""),"UNIDADE",IF($X631&lt;0,"VALOR NEGATIVO",IF(OR(AND(TIPOORCAMENTO="Proposto",$AG631&lt;&gt;"",$AG631&gt;0,ORÇAMENTO.CustoUnitario&gt;$AG631),AND(TIPOORCAMENTO="LICITADO",ORÇAMENTO.PrecoUnitarioLicitado&gt;$AN631)),"ACIMA REF.","")))))</f>
        <v/>
      </c>
      <c r="AD631" t="str">
        <f ca="1">IF(C631&lt;=CRONO.NivelExibicao,MAX($AD$15:OFFSET(AD631,-1,0))+IF($C631&lt;&gt;1,1,MAX(1,COUNTIF(QCI!$A$13:$A$24,OFFSET($E631,-1,0)))),"")</f>
        <v/>
      </c>
      <c r="AE631" s="7" t="str">
        <f ca="1">IF(AND($C631="S",ORÇAMENTO.CodBarra&lt;&gt;""),IF(ORÇAMENTO.Fonte="",ORÇAMENTO.CodBarra,CONCATENATE(ORÇAMENTO.Fonte," ",ORÇAMENTO.CodBarra)))</f>
        <v>COMPOSIÇÃO FNDE 354</v>
      </c>
      <c r="AF631" s="13" t="str">
        <f ca="1">IF(ISERROR(INDIRECT(ORÇAMENTO.BancoRef)),"(abra o arquivo 'Referência "&amp;Excel_BuiltIn_Database&amp;".xlsm)",IF(OR($C631&lt;&gt;"S",ORÇAMENTO.CodBarra=""),"(Sem Código)",IF(ISERROR(MATCH($AE631,INDIRECT(ORÇAMENTO.BancoRef),0)),"(Código não identificado nas referências)",MATCH($AE631,INDIRECT(ORÇAMENTO.BancoRef),0))))</f>
        <v>(abra o arquivo 'Referência 06-2024.xlsm)</v>
      </c>
      <c r="AG631" s="498">
        <f ca="1">ROUND(IF(DESONERACAO="sim",REFERENCIA.Desonerado,REFERENCIA.NaoDesonerado),2)</f>
        <v>0</v>
      </c>
      <c r="AH631" s="499">
        <f t="shared" ca="1" si="144"/>
        <v>0.2432</v>
      </c>
      <c r="AJ631" s="501"/>
      <c r="AL631" s="527"/>
      <c r="AM631" s="381">
        <f t="shared" ca="1" si="133"/>
        <v>0</v>
      </c>
      <c r="AN631" s="566">
        <f t="shared" ca="1" si="145"/>
        <v>0</v>
      </c>
    </row>
    <row r="632" spans="1:40" ht="25.5" x14ac:dyDescent="0.2">
      <c r="A632" t="str">
        <f t="shared" si="142"/>
        <v>S</v>
      </c>
      <c r="B632">
        <f t="shared" ca="1" si="120"/>
        <v>2</v>
      </c>
      <c r="C632" t="str">
        <f t="shared" ca="1" si="121"/>
        <v>S</v>
      </c>
      <c r="D632">
        <f t="shared" ca="1" si="122"/>
        <v>0</v>
      </c>
      <c r="E632">
        <f ca="1">IF($C632=1,OFFSET(E632,-1,0)+MAX(1,COUNTIF(QCI!$A$13:$A$24,OFFSET(ORÇAMENTO!E632,-1,0))),OFFSET(E632,-1,0))</f>
        <v>1</v>
      </c>
      <c r="F632">
        <f t="shared" ca="1" si="123"/>
        <v>65</v>
      </c>
      <c r="G632">
        <f t="shared" ca="1" si="124"/>
        <v>0</v>
      </c>
      <c r="H632">
        <f t="shared" ca="1" si="125"/>
        <v>0</v>
      </c>
      <c r="I632">
        <f t="shared" ca="1" si="126"/>
        <v>0</v>
      </c>
      <c r="J632">
        <f t="shared" ca="1" si="146"/>
        <v>0</v>
      </c>
      <c r="K632">
        <f ca="1">IF(OR($C632="S",$C632=0),0,MATCH(OFFSET($D632,0,$C632)+IF($C632&lt;&gt;1,1,COUNTIF(QCI!$A$13:$A$24,ORÇAMENTO!E632)),OFFSET($D632,1,$C632,ROW($C$727)-ROW($C632)),0))</f>
        <v>0</v>
      </c>
      <c r="L632" s="116" t="str">
        <f t="shared" ca="1" si="127"/>
        <v/>
      </c>
      <c r="M632" s="117" t="s">
        <v>199</v>
      </c>
      <c r="N632" s="118" t="str">
        <f t="shared" ca="1" si="128"/>
        <v>Serviço</v>
      </c>
      <c r="O632" s="119" t="str">
        <f t="shared" ca="1" si="129"/>
        <v>-</v>
      </c>
      <c r="P632" s="120" t="s">
        <v>458</v>
      </c>
      <c r="Q632" s="121" t="s">
        <v>967</v>
      </c>
      <c r="R632" s="122" t="str">
        <f ca="1">IF($C632="S",REFERENCIA.Descricao,"(digite a descrição aqui)")</f>
        <v>(abra o arquivo 'Referência 06-2024.xlsm)</v>
      </c>
      <c r="S632" s="123" t="str">
        <f ca="1">REFERENCIA.Unidade</f>
        <v>-</v>
      </c>
      <c r="T632" s="124">
        <f ca="1">OFFSET(CÁLCULO!H$15,ROW($T632)-ROW(T$15),0)</f>
        <v>481</v>
      </c>
      <c r="U632" s="125">
        <f t="shared" ca="1" si="147"/>
        <v>0</v>
      </c>
      <c r="V632" s="126" t="s">
        <v>156</v>
      </c>
      <c r="W632" s="124">
        <f ca="1">IF($C632="S",ROUND(IF(TIPOORCAMENTO="Proposto",ORÇAMENTO.CustoUnitario*(1+$AH632),ORÇAMENTO.PrecoUnitarioLicitado),15-13*$AF$10),0)</f>
        <v>0</v>
      </c>
      <c r="X632" s="127">
        <f ca="1">IF($C632="S",IF(Import.TipoArredondamento&lt;&gt;"TransfereGOV",VTOTAL1,SUM(OFFSET(CÁLCULO!$AI$15,ROW($X632)-ROW($X$15),1):OFFSET(CÁLCULO!$BB$15,ROW($X632)-ROW($X$15),-1))),IF($C632=0,0,ROUND(SomaAgrup,15-13*$AF$11)))</f>
        <v>0</v>
      </c>
      <c r="Y632" s="128" t="s">
        <v>245</v>
      </c>
      <c r="Z632" t="str">
        <f t="shared" ca="1" si="130"/>
        <v/>
      </c>
      <c r="AA632" s="129">
        <f ca="1">IF($C632="S",IF($Z632="CP",$X632,IF($Z632="RA",(($X632)*QCI!$AA$3),0)),SomaAgrup)</f>
        <v>0</v>
      </c>
      <c r="AB632" s="130">
        <f t="shared" ca="1" si="143"/>
        <v>0</v>
      </c>
      <c r="AC632" s="131" t="str">
        <f ca="1">IF($N632="","",IF(ORÇAMENTO.Descricao="","DESCRIÇÃO",IF(AND($C632="S",ORÇAMENTO.Unidade=""),"UNIDADE",IF($X632&lt;0,"VALOR NEGATIVO",IF(OR(AND(TIPOORCAMENTO="Proposto",$AG632&lt;&gt;"",$AG632&gt;0,ORÇAMENTO.CustoUnitario&gt;$AG632),AND(TIPOORCAMENTO="LICITADO",ORÇAMENTO.PrecoUnitarioLicitado&gt;$AN632)),"ACIMA REF.","")))))</f>
        <v/>
      </c>
      <c r="AD632" t="str">
        <f ca="1">IF(C632&lt;=CRONO.NivelExibicao,MAX($AD$15:OFFSET(AD632,-1,0))+IF($C632&lt;&gt;1,1,MAX(1,COUNTIF(QCI!$A$13:$A$24,OFFSET($E632,-1,0)))),"")</f>
        <v/>
      </c>
      <c r="AE632" s="7" t="str">
        <f ca="1">IF(AND($C632="S",ORÇAMENTO.CodBarra&lt;&gt;""),IF(ORÇAMENTO.Fonte="",ORÇAMENTO.CodBarra,CONCATENATE(ORÇAMENTO.Fonte," ",ORÇAMENTO.CodBarra)))</f>
        <v>COMPOSIÇÃO FNDE 389</v>
      </c>
      <c r="AF632" s="13" t="str">
        <f ca="1">IF(ISERROR(INDIRECT(ORÇAMENTO.BancoRef)),"(abra o arquivo 'Referência "&amp;Excel_BuiltIn_Database&amp;".xlsm)",IF(OR($C632&lt;&gt;"S",ORÇAMENTO.CodBarra=""),"(Sem Código)",IF(ISERROR(MATCH($AE632,INDIRECT(ORÇAMENTO.BancoRef),0)),"(Código não identificado nas referências)",MATCH($AE632,INDIRECT(ORÇAMENTO.BancoRef),0))))</f>
        <v>(abra o arquivo 'Referência 06-2024.xlsm)</v>
      </c>
      <c r="AG632" s="498">
        <f ca="1">ROUND(IF(DESONERACAO="sim",REFERENCIA.Desonerado,REFERENCIA.NaoDesonerado),2)</f>
        <v>0</v>
      </c>
      <c r="AH632" s="499">
        <f t="shared" ca="1" si="144"/>
        <v>0.2432</v>
      </c>
      <c r="AJ632" s="501"/>
      <c r="AL632" s="527"/>
      <c r="AM632" s="381">
        <f t="shared" ca="1" si="133"/>
        <v>0</v>
      </c>
      <c r="AN632" s="566">
        <f t="shared" ca="1" si="145"/>
        <v>0</v>
      </c>
    </row>
    <row r="633" spans="1:40" x14ac:dyDescent="0.2">
      <c r="A633" t="str">
        <f t="shared" si="142"/>
        <v>S</v>
      </c>
      <c r="B633">
        <f t="shared" ca="1" si="120"/>
        <v>2</v>
      </c>
      <c r="C633" t="str">
        <f t="shared" ca="1" si="121"/>
        <v>S</v>
      </c>
      <c r="D633">
        <f t="shared" ca="1" si="122"/>
        <v>0</v>
      </c>
      <c r="E633">
        <f ca="1">IF($C633=1,OFFSET(E633,-1,0)+MAX(1,COUNTIF(QCI!$A$13:$A$24,OFFSET(ORÇAMENTO!E633,-1,0))),OFFSET(E633,-1,0))</f>
        <v>1</v>
      </c>
      <c r="F633">
        <f t="shared" ca="1" si="123"/>
        <v>65</v>
      </c>
      <c r="G633">
        <f t="shared" ca="1" si="124"/>
        <v>0</v>
      </c>
      <c r="H633">
        <f t="shared" ca="1" si="125"/>
        <v>0</v>
      </c>
      <c r="I633">
        <f t="shared" ca="1" si="126"/>
        <v>0</v>
      </c>
      <c r="J633">
        <f t="shared" ca="1" si="146"/>
        <v>0</v>
      </c>
      <c r="K633">
        <f ca="1">IF(OR($C633="S",$C633=0),0,MATCH(OFFSET($D633,0,$C633)+IF($C633&lt;&gt;1,1,COUNTIF(QCI!$A$13:$A$24,ORÇAMENTO!E633)),OFFSET($D633,1,$C633,ROW($C$727)-ROW($C633)),0))</f>
        <v>0</v>
      </c>
      <c r="L633" s="116" t="str">
        <f t="shared" ca="1" si="127"/>
        <v/>
      </c>
      <c r="M633" s="117" t="s">
        <v>199</v>
      </c>
      <c r="N633" s="118" t="str">
        <f t="shared" ca="1" si="128"/>
        <v>Serviço</v>
      </c>
      <c r="O633" s="119" t="str">
        <f t="shared" ca="1" si="129"/>
        <v>-</v>
      </c>
      <c r="P633" s="120" t="s">
        <v>458</v>
      </c>
      <c r="Q633" s="121" t="s">
        <v>854</v>
      </c>
      <c r="R633" s="122" t="str">
        <f ca="1">IF($C633="S",REFERENCIA.Descricao,"(digite a descrição aqui)")</f>
        <v>(abra o arquivo 'Referência 06-2024.xlsm)</v>
      </c>
      <c r="S633" s="123" t="str">
        <f ca="1">REFERENCIA.Unidade</f>
        <v>-</v>
      </c>
      <c r="T633" s="124">
        <f ca="1">OFFSET(CÁLCULO!H$15,ROW($T633)-ROW(T$15),0)</f>
        <v>593</v>
      </c>
      <c r="U633" s="125">
        <f t="shared" ca="1" si="147"/>
        <v>0</v>
      </c>
      <c r="V633" s="126" t="s">
        <v>156</v>
      </c>
      <c r="W633" s="124">
        <f ca="1">IF($C633="S",ROUND(IF(TIPOORCAMENTO="Proposto",ORÇAMENTO.CustoUnitario*(1+$AH633),ORÇAMENTO.PrecoUnitarioLicitado),15-13*$AF$10),0)</f>
        <v>0</v>
      </c>
      <c r="X633" s="127">
        <f ca="1">IF($C633="S",IF(Import.TipoArredondamento&lt;&gt;"TransfereGOV",VTOTAL1,SUM(OFFSET(CÁLCULO!$AI$15,ROW($X633)-ROW($X$15),1):OFFSET(CÁLCULO!$BB$15,ROW($X633)-ROW($X$15),-1))),IF($C633=0,0,ROUND(SomaAgrup,15-13*$AF$11)))</f>
        <v>0</v>
      </c>
      <c r="Y633" s="128" t="s">
        <v>245</v>
      </c>
      <c r="Z633" t="str">
        <f t="shared" ca="1" si="130"/>
        <v/>
      </c>
      <c r="AA633" s="129">
        <f ca="1">IF($C633="S",IF($Z633="CP",$X633,IF($Z633="RA",(($X633)*QCI!$AA$3),0)),SomaAgrup)</f>
        <v>0</v>
      </c>
      <c r="AB633" s="130">
        <f t="shared" ca="1" si="143"/>
        <v>0</v>
      </c>
      <c r="AC633" s="131" t="str">
        <f ca="1">IF($N633="","",IF(ORÇAMENTO.Descricao="","DESCRIÇÃO",IF(AND($C633="S",ORÇAMENTO.Unidade=""),"UNIDADE",IF($X633&lt;0,"VALOR NEGATIVO",IF(OR(AND(TIPOORCAMENTO="Proposto",$AG633&lt;&gt;"",$AG633&gt;0,ORÇAMENTO.CustoUnitario&gt;$AG633),AND(TIPOORCAMENTO="LICITADO",ORÇAMENTO.PrecoUnitarioLicitado&gt;$AN633)),"ACIMA REF.","")))))</f>
        <v/>
      </c>
      <c r="AD633" t="str">
        <f ca="1">IF(C633&lt;=CRONO.NivelExibicao,MAX($AD$15:OFFSET(AD633,-1,0))+IF($C633&lt;&gt;1,1,MAX(1,COUNTIF(QCI!$A$13:$A$24,OFFSET($E633,-1,0)))),"")</f>
        <v/>
      </c>
      <c r="AE633" s="7" t="str">
        <f ca="1">IF(AND($C633="S",ORÇAMENTO.CodBarra&lt;&gt;""),IF(ORÇAMENTO.Fonte="",ORÇAMENTO.CodBarra,CONCATENATE(ORÇAMENTO.Fonte," ",ORÇAMENTO.CodBarra)))</f>
        <v>COMPOSIÇÃO FNDE 356</v>
      </c>
      <c r="AF633" s="13" t="str">
        <f ca="1">IF(ISERROR(INDIRECT(ORÇAMENTO.BancoRef)),"(abra o arquivo 'Referência "&amp;Excel_BuiltIn_Database&amp;".xlsm)",IF(OR($C633&lt;&gt;"S",ORÇAMENTO.CodBarra=""),"(Sem Código)",IF(ISERROR(MATCH($AE633,INDIRECT(ORÇAMENTO.BancoRef),0)),"(Código não identificado nas referências)",MATCH($AE633,INDIRECT(ORÇAMENTO.BancoRef),0))))</f>
        <v>(abra o arquivo 'Referência 06-2024.xlsm)</v>
      </c>
      <c r="AG633" s="498">
        <f ca="1">ROUND(IF(DESONERACAO="sim",REFERENCIA.Desonerado,REFERENCIA.NaoDesonerado),2)</f>
        <v>0</v>
      </c>
      <c r="AH633" s="499">
        <f t="shared" ca="1" si="144"/>
        <v>0.2432</v>
      </c>
      <c r="AJ633" s="501"/>
      <c r="AL633" s="527"/>
      <c r="AM633" s="381">
        <f t="shared" ca="1" si="133"/>
        <v>0</v>
      </c>
      <c r="AN633" s="566">
        <f t="shared" ca="1" si="145"/>
        <v>0</v>
      </c>
    </row>
    <row r="634" spans="1:40" ht="25.5" x14ac:dyDescent="0.2">
      <c r="A634" t="str">
        <f t="shared" si="142"/>
        <v>S</v>
      </c>
      <c r="B634">
        <f t="shared" ca="1" si="120"/>
        <v>2</v>
      </c>
      <c r="C634" t="str">
        <f t="shared" ca="1" si="121"/>
        <v>S</v>
      </c>
      <c r="D634">
        <f t="shared" ca="1" si="122"/>
        <v>0</v>
      </c>
      <c r="E634">
        <f ca="1">IF($C634=1,OFFSET(E634,-1,0)+MAX(1,COUNTIF(QCI!$A$13:$A$24,OFFSET(ORÇAMENTO!E634,-1,0))),OFFSET(E634,-1,0))</f>
        <v>1</v>
      </c>
      <c r="F634">
        <f t="shared" ca="1" si="123"/>
        <v>65</v>
      </c>
      <c r="G634">
        <f t="shared" ca="1" si="124"/>
        <v>0</v>
      </c>
      <c r="H634">
        <f t="shared" ca="1" si="125"/>
        <v>0</v>
      </c>
      <c r="I634">
        <f t="shared" ca="1" si="126"/>
        <v>0</v>
      </c>
      <c r="J634">
        <f t="shared" ca="1" si="146"/>
        <v>0</v>
      </c>
      <c r="K634">
        <f ca="1">IF(OR($C634="S",$C634=0),0,MATCH(OFFSET($D634,0,$C634)+IF($C634&lt;&gt;1,1,COUNTIF(QCI!$A$13:$A$24,ORÇAMENTO!E634)),OFFSET($D634,1,$C634,ROW($C$727)-ROW($C634)),0))</f>
        <v>0</v>
      </c>
      <c r="L634" s="116" t="str">
        <f t="shared" ca="1" si="127"/>
        <v/>
      </c>
      <c r="M634" s="117" t="s">
        <v>199</v>
      </c>
      <c r="N634" s="118" t="str">
        <f t="shared" ca="1" si="128"/>
        <v>Serviço</v>
      </c>
      <c r="O634" s="119" t="str">
        <f t="shared" ca="1" si="129"/>
        <v>-</v>
      </c>
      <c r="P634" s="120" t="s">
        <v>247</v>
      </c>
      <c r="Q634" s="121" t="s">
        <v>968</v>
      </c>
      <c r="R634" s="122" t="str">
        <f ca="1">IF($C634="S",REFERENCIA.Descricao,"(digite a descrição aqui)")</f>
        <v>(abra o arquivo 'Referência 06-2024.xlsm)</v>
      </c>
      <c r="S634" s="123" t="str">
        <f ca="1">REFERENCIA.Unidade</f>
        <v>-</v>
      </c>
      <c r="T634" s="124">
        <f ca="1">OFFSET(CÁLCULO!H$15,ROW($T634)-ROW(T$15),0)</f>
        <v>39.24</v>
      </c>
      <c r="U634" s="125">
        <f t="shared" ca="1" si="147"/>
        <v>0</v>
      </c>
      <c r="V634" s="126" t="s">
        <v>156</v>
      </c>
      <c r="W634" s="124">
        <f ca="1">IF($C634="S",ROUND(IF(TIPOORCAMENTO="Proposto",ORÇAMENTO.CustoUnitario*(1+$AH634),ORÇAMENTO.PrecoUnitarioLicitado),15-13*$AF$10),0)</f>
        <v>0</v>
      </c>
      <c r="X634" s="127">
        <f ca="1">IF($C634="S",IF(Import.TipoArredondamento&lt;&gt;"TransfereGOV",VTOTAL1,SUM(OFFSET(CÁLCULO!$AI$15,ROW($X634)-ROW($X$15),1):OFFSET(CÁLCULO!$BB$15,ROW($X634)-ROW($X$15),-1))),IF($C634=0,0,ROUND(SomaAgrup,15-13*$AF$11)))</f>
        <v>0</v>
      </c>
      <c r="Y634" s="128" t="s">
        <v>245</v>
      </c>
      <c r="Z634" t="str">
        <f t="shared" ca="1" si="130"/>
        <v/>
      </c>
      <c r="AA634" s="129">
        <f ca="1">IF($C634="S",IF($Z634="CP",$X634,IF($Z634="RA",(($X634)*QCI!$AA$3),0)),SomaAgrup)</f>
        <v>0</v>
      </c>
      <c r="AB634" s="130">
        <f t="shared" ca="1" si="143"/>
        <v>0</v>
      </c>
      <c r="AC634" s="131" t="str">
        <f ca="1">IF($N634="","",IF(ORÇAMENTO.Descricao="","DESCRIÇÃO",IF(AND($C634="S",ORÇAMENTO.Unidade=""),"UNIDADE",IF($X634&lt;0,"VALOR NEGATIVO",IF(OR(AND(TIPOORCAMENTO="Proposto",$AG634&lt;&gt;"",$AG634&gt;0,ORÇAMENTO.CustoUnitario&gt;$AG634),AND(TIPOORCAMENTO="LICITADO",ORÇAMENTO.PrecoUnitarioLicitado&gt;$AN634)),"ACIMA REF.","")))))</f>
        <v/>
      </c>
      <c r="AD634" t="str">
        <f ca="1">IF(C634&lt;=CRONO.NivelExibicao,MAX($AD$15:OFFSET(AD634,-1,0))+IF($C634&lt;&gt;1,1,MAX(1,COUNTIF(QCI!$A$13:$A$24,OFFSET($E634,-1,0)))),"")</f>
        <v/>
      </c>
      <c r="AE634" s="7" t="str">
        <f ca="1">IF(AND($C634="S",ORÇAMENTO.CodBarra&lt;&gt;""),IF(ORÇAMENTO.Fonte="",ORÇAMENTO.CodBarra,CONCATENATE(ORÇAMENTO.Fonte," ",ORÇAMENTO.CodBarra)))</f>
        <v>SINAPI 92884</v>
      </c>
      <c r="AF634" s="13" t="str">
        <f ca="1">IF(ISERROR(INDIRECT(ORÇAMENTO.BancoRef)),"(abra o arquivo 'Referência "&amp;Excel_BuiltIn_Database&amp;".xlsm)",IF(OR($C634&lt;&gt;"S",ORÇAMENTO.CodBarra=""),"(Sem Código)",IF(ISERROR(MATCH($AE634,INDIRECT(ORÇAMENTO.BancoRef),0)),"(Código não identificado nas referências)",MATCH($AE634,INDIRECT(ORÇAMENTO.BancoRef),0))))</f>
        <v>(abra o arquivo 'Referência 06-2024.xlsm)</v>
      </c>
      <c r="AG634" s="498">
        <f ca="1">ROUND(IF(DESONERACAO="sim",REFERENCIA.Desonerado,REFERENCIA.NaoDesonerado),2)</f>
        <v>0</v>
      </c>
      <c r="AH634" s="499">
        <f t="shared" ca="1" si="144"/>
        <v>0.2432</v>
      </c>
      <c r="AJ634" s="501"/>
      <c r="AL634" s="527"/>
      <c r="AM634" s="381">
        <f t="shared" ca="1" si="133"/>
        <v>0</v>
      </c>
      <c r="AN634" s="566">
        <f t="shared" ca="1" si="145"/>
        <v>0</v>
      </c>
    </row>
    <row r="635" spans="1:40" ht="38.25" x14ac:dyDescent="0.2">
      <c r="A635" t="str">
        <f t="shared" si="142"/>
        <v>S</v>
      </c>
      <c r="B635">
        <f t="shared" ca="1" si="120"/>
        <v>2</v>
      </c>
      <c r="C635" t="str">
        <f t="shared" ca="1" si="121"/>
        <v>S</v>
      </c>
      <c r="D635">
        <f t="shared" ca="1" si="122"/>
        <v>0</v>
      </c>
      <c r="E635">
        <f ca="1">IF($C635=1,OFFSET(E635,-1,0)+MAX(1,COUNTIF(QCI!$A$13:$A$24,OFFSET(ORÇAMENTO!E635,-1,0))),OFFSET(E635,-1,0))</f>
        <v>1</v>
      </c>
      <c r="F635">
        <f t="shared" ca="1" si="123"/>
        <v>65</v>
      </c>
      <c r="G635">
        <f t="shared" ca="1" si="124"/>
        <v>0</v>
      </c>
      <c r="H635">
        <f t="shared" ca="1" si="125"/>
        <v>0</v>
      </c>
      <c r="I635">
        <f t="shared" ca="1" si="126"/>
        <v>0</v>
      </c>
      <c r="J635">
        <f t="shared" ca="1" si="146"/>
        <v>0</v>
      </c>
      <c r="K635">
        <f ca="1">IF(OR($C635="S",$C635=0),0,MATCH(OFFSET($D635,0,$C635)+IF($C635&lt;&gt;1,1,COUNTIF(QCI!$A$13:$A$24,ORÇAMENTO!E635)),OFFSET($D635,1,$C635,ROW($C$727)-ROW($C635)),0))</f>
        <v>0</v>
      </c>
      <c r="L635" s="116" t="str">
        <f t="shared" ca="1" si="127"/>
        <v/>
      </c>
      <c r="M635" s="117" t="s">
        <v>199</v>
      </c>
      <c r="N635" s="118" t="str">
        <f t="shared" ca="1" si="128"/>
        <v>Serviço</v>
      </c>
      <c r="O635" s="119" t="str">
        <f t="shared" ca="1" si="129"/>
        <v>-</v>
      </c>
      <c r="P635" s="120" t="s">
        <v>247</v>
      </c>
      <c r="Q635" s="121" t="s">
        <v>969</v>
      </c>
      <c r="R635" s="122" t="str">
        <f ca="1">IF($C635="S",REFERENCIA.Descricao,"(digite a descrição aqui)")</f>
        <v>(abra o arquivo 'Referência 06-2024.xlsm)</v>
      </c>
      <c r="S635" s="123" t="str">
        <f ca="1">REFERENCIA.Unidade</f>
        <v>-</v>
      </c>
      <c r="T635" s="124">
        <f ca="1">OFFSET(CÁLCULO!H$15,ROW($T635)-ROW(T$15),0)</f>
        <v>65</v>
      </c>
      <c r="U635" s="125">
        <f t="shared" ca="1" si="147"/>
        <v>0</v>
      </c>
      <c r="V635" s="126" t="s">
        <v>156</v>
      </c>
      <c r="W635" s="124">
        <f ca="1">IF($C635="S",ROUND(IF(TIPOORCAMENTO="Proposto",ORÇAMENTO.CustoUnitario*(1+$AH635),ORÇAMENTO.PrecoUnitarioLicitado),15-13*$AF$10),0)</f>
        <v>0</v>
      </c>
      <c r="X635" s="127">
        <f ca="1">IF($C635="S",IF(Import.TipoArredondamento&lt;&gt;"TransfereGOV",VTOTAL1,SUM(OFFSET(CÁLCULO!$AI$15,ROW($X635)-ROW($X$15),1):OFFSET(CÁLCULO!$BB$15,ROW($X635)-ROW($X$15),-1))),IF($C635=0,0,ROUND(SomaAgrup,15-13*$AF$11)))</f>
        <v>0</v>
      </c>
      <c r="Y635" s="128" t="s">
        <v>245</v>
      </c>
      <c r="Z635" t="str">
        <f t="shared" ca="1" si="130"/>
        <v/>
      </c>
      <c r="AA635" s="129">
        <f ca="1">IF($C635="S",IF($Z635="CP",$X635,IF($Z635="RA",(($X635)*QCI!$AA$3),0)),SomaAgrup)</f>
        <v>0</v>
      </c>
      <c r="AB635" s="130">
        <f t="shared" ca="1" si="143"/>
        <v>0</v>
      </c>
      <c r="AC635" s="131" t="str">
        <f ca="1">IF($N635="","",IF(ORÇAMENTO.Descricao="","DESCRIÇÃO",IF(AND($C635="S",ORÇAMENTO.Unidade=""),"UNIDADE",IF($X635&lt;0,"VALOR NEGATIVO",IF(OR(AND(TIPOORCAMENTO="Proposto",$AG635&lt;&gt;"",$AG635&gt;0,ORÇAMENTO.CustoUnitario&gt;$AG635),AND(TIPOORCAMENTO="LICITADO",ORÇAMENTO.PrecoUnitarioLicitado&gt;$AN635)),"ACIMA REF.","")))))</f>
        <v/>
      </c>
      <c r="AD635" t="str">
        <f ca="1">IF(C635&lt;=CRONO.NivelExibicao,MAX($AD$15:OFFSET(AD635,-1,0))+IF($C635&lt;&gt;1,1,MAX(1,COUNTIF(QCI!$A$13:$A$24,OFFSET($E635,-1,0)))),"")</f>
        <v/>
      </c>
      <c r="AE635" s="7" t="str">
        <f ca="1">IF(AND($C635="S",ORÇAMENTO.CodBarra&lt;&gt;""),IF(ORÇAMENTO.Fonte="",ORÇAMENTO.CodBarra,CONCATENATE(ORÇAMENTO.Fonte," ",ORÇAMENTO.CodBarra)))</f>
        <v>SINAPI 98463</v>
      </c>
      <c r="AF635" s="13" t="str">
        <f ca="1">IF(ISERROR(INDIRECT(ORÇAMENTO.BancoRef)),"(abra o arquivo 'Referência "&amp;Excel_BuiltIn_Database&amp;".xlsm)",IF(OR($C635&lt;&gt;"S",ORÇAMENTO.CodBarra=""),"(Sem Código)",IF(ISERROR(MATCH($AE635,INDIRECT(ORÇAMENTO.BancoRef),0)),"(Código não identificado nas referências)",MATCH($AE635,INDIRECT(ORÇAMENTO.BancoRef),0))))</f>
        <v>(abra o arquivo 'Referência 06-2024.xlsm)</v>
      </c>
      <c r="AG635" s="498">
        <f ca="1">ROUND(IF(DESONERACAO="sim",REFERENCIA.Desonerado,REFERENCIA.NaoDesonerado),2)</f>
        <v>0</v>
      </c>
      <c r="AH635" s="499">
        <f t="shared" ca="1" si="144"/>
        <v>0.2432</v>
      </c>
      <c r="AJ635" s="501"/>
      <c r="AL635" s="527"/>
      <c r="AM635" s="381">
        <f t="shared" ca="1" si="133"/>
        <v>0</v>
      </c>
      <c r="AN635" s="566">
        <f t="shared" ca="1" si="145"/>
        <v>0</v>
      </c>
    </row>
    <row r="636" spans="1:40" ht="25.5" x14ac:dyDescent="0.2">
      <c r="A636">
        <f t="shared" si="142"/>
        <v>2</v>
      </c>
      <c r="B636">
        <f t="shared" ca="1" si="120"/>
        <v>2</v>
      </c>
      <c r="C636">
        <f t="shared" ca="1" si="121"/>
        <v>2</v>
      </c>
      <c r="D636">
        <f t="shared" ca="1" si="122"/>
        <v>4</v>
      </c>
      <c r="E636">
        <f ca="1">IF($C636=1,OFFSET(E636,-1,0)+MAX(1,COUNTIF(QCI!$A$13:$A$24,OFFSET(ORÇAMENTO!E636,-1,0))),OFFSET(E636,-1,0))</f>
        <v>1</v>
      </c>
      <c r="F636">
        <f t="shared" ca="1" si="123"/>
        <v>66</v>
      </c>
      <c r="G636">
        <f t="shared" ca="1" si="124"/>
        <v>0</v>
      </c>
      <c r="H636">
        <f t="shared" ca="1" si="125"/>
        <v>0</v>
      </c>
      <c r="I636">
        <f t="shared" ca="1" si="126"/>
        <v>0</v>
      </c>
      <c r="J636">
        <f t="shared" ca="1" si="146"/>
        <v>91</v>
      </c>
      <c r="K636">
        <f ca="1">IF(OR($C636="S",$C636=0),0,MATCH(OFFSET($D636,0,$C636)+IF($C636&lt;&gt;1,1,COUNTIF(QCI!$A$13:$A$24,ORÇAMENTO!E636)),OFFSET($D636,1,$C636,ROW($C$727)-ROW($C636)),0))</f>
        <v>4</v>
      </c>
      <c r="L636" s="116" t="str">
        <f t="shared" ca="1" si="127"/>
        <v>F</v>
      </c>
      <c r="M636" s="117" t="s">
        <v>196</v>
      </c>
      <c r="N636" s="118" t="str">
        <f t="shared" ca="1" si="128"/>
        <v>Nível 2</v>
      </c>
      <c r="O636" s="119" t="str">
        <f t="shared" ca="1" si="129"/>
        <v>1.66.</v>
      </c>
      <c r="P636" s="120" t="s">
        <v>247</v>
      </c>
      <c r="Q636" s="121"/>
      <c r="R636" s="122" t="s">
        <v>1089</v>
      </c>
      <c r="S636" s="123" t="str">
        <f ca="1">REFERENCIA.Unidade</f>
        <v>-</v>
      </c>
      <c r="T636" s="124">
        <f ca="1">OFFSET(CÁLCULO!H$15,ROW($T636)-ROW(T$15),0)</f>
        <v>0</v>
      </c>
      <c r="U636" s="125">
        <f t="shared" ca="1" si="147"/>
        <v>0</v>
      </c>
      <c r="V636" s="126" t="s">
        <v>156</v>
      </c>
      <c r="W636" s="124">
        <f ca="1">IF($C636="S",ROUND(IF(TIPOORCAMENTO="Proposto",ORÇAMENTO.CustoUnitario*(1+$AH636),ORÇAMENTO.PrecoUnitarioLicitado),15-13*$AF$10),0)</f>
        <v>0</v>
      </c>
      <c r="X636" s="127">
        <f ca="1">IF($C636="S",IF(Import.TipoArredondamento&lt;&gt;"TransfereGOV",VTOTAL1,SUM(OFFSET(CÁLCULO!$AI$15,ROW($X636)-ROW($X$15),1):OFFSET(CÁLCULO!$BB$15,ROW($X636)-ROW($X$15),-1))),IF($C636=0,0,ROUND(SomaAgrup,15-13*$AF$11)))</f>
        <v>0</v>
      </c>
      <c r="Y636" s="128" t="s">
        <v>245</v>
      </c>
      <c r="Z636" t="str">
        <f t="shared" ca="1" si="130"/>
        <v/>
      </c>
      <c r="AA636" s="129">
        <f ca="1">IF($C636="S",IF($Z636="CP",$X636,IF($Z636="RA",(($X636)*QCI!$AA$3),0)),SomaAgrup)</f>
        <v>0</v>
      </c>
      <c r="AB636" s="130">
        <f t="shared" ca="1" si="143"/>
        <v>0</v>
      </c>
      <c r="AC636" s="131" t="str">
        <f ca="1">IF($N636="","",IF(ORÇAMENTO.Descricao="","DESCRIÇÃO",IF(AND($C636="S",ORÇAMENTO.Unidade=""),"UNIDADE",IF($X636&lt;0,"VALOR NEGATIVO",IF(OR(AND(TIPOORCAMENTO="Proposto",$AG636&lt;&gt;"",$AG636&gt;0,ORÇAMENTO.CustoUnitario&gt;$AG636),AND(TIPOORCAMENTO="LICITADO",ORÇAMENTO.PrecoUnitarioLicitado&gt;$AN636)),"ACIMA REF.","")))))</f>
        <v/>
      </c>
      <c r="AD636">
        <f ca="1">IF(C636&lt;=CRONO.NivelExibicao,MAX($AD$15:OFFSET(AD636,-1,0))+IF($C636&lt;&gt;1,1,MAX(1,COUNTIF(QCI!$A$13:$A$24,OFFSET($E636,-1,0)))),"")</f>
        <v>67</v>
      </c>
      <c r="AE636" s="7" t="b">
        <f ca="1">IF(AND($C636="S",ORÇAMENTO.CodBarra&lt;&gt;""),IF(ORÇAMENTO.Fonte="",ORÇAMENTO.CodBarra,CONCATENATE(ORÇAMENTO.Fonte," ",ORÇAMENTO.CodBarra)))</f>
        <v>0</v>
      </c>
      <c r="AF636" s="13" t="str">
        <f ca="1">IF(ISERROR(INDIRECT(ORÇAMENTO.BancoRef)),"(abra o arquivo 'Referência "&amp;Excel_BuiltIn_Database&amp;".xlsm)",IF(OR($C636&lt;&gt;"S",ORÇAMENTO.CodBarra=""),"(Sem Código)",IF(ISERROR(MATCH($AE636,INDIRECT(ORÇAMENTO.BancoRef),0)),"(Código não identificado nas referências)",MATCH($AE636,INDIRECT(ORÇAMENTO.BancoRef),0))))</f>
        <v>(abra o arquivo 'Referência 06-2024.xlsm)</v>
      </c>
      <c r="AG636" s="498">
        <f ca="1">ROUND(IF(DESONERACAO="sim",REFERENCIA.Desonerado,REFERENCIA.NaoDesonerado),2)</f>
        <v>0</v>
      </c>
      <c r="AH636" s="499">
        <f t="shared" ca="1" si="144"/>
        <v>0.2432</v>
      </c>
      <c r="AJ636" s="501"/>
      <c r="AL636" s="527"/>
      <c r="AM636" s="381">
        <f t="shared" ca="1" si="133"/>
        <v>0</v>
      </c>
      <c r="AN636" s="566">
        <f t="shared" ca="1" si="145"/>
        <v>0</v>
      </c>
    </row>
    <row r="637" spans="1:40" ht="25.5" x14ac:dyDescent="0.2">
      <c r="A637" t="str">
        <f t="shared" si="142"/>
        <v>S</v>
      </c>
      <c r="B637">
        <f t="shared" ca="1" si="120"/>
        <v>2</v>
      </c>
      <c r="C637" t="str">
        <f t="shared" ca="1" si="121"/>
        <v>S</v>
      </c>
      <c r="D637">
        <f t="shared" ca="1" si="122"/>
        <v>0</v>
      </c>
      <c r="E637">
        <f ca="1">IF($C637=1,OFFSET(E637,-1,0)+MAX(1,COUNTIF(QCI!$A$13:$A$24,OFFSET(ORÇAMENTO!E637,-1,0))),OFFSET(E637,-1,0))</f>
        <v>1</v>
      </c>
      <c r="F637">
        <f t="shared" ca="1" si="123"/>
        <v>66</v>
      </c>
      <c r="G637">
        <f t="shared" ca="1" si="124"/>
        <v>0</v>
      </c>
      <c r="H637">
        <f t="shared" ca="1" si="125"/>
        <v>0</v>
      </c>
      <c r="I637">
        <f t="shared" ca="1" si="126"/>
        <v>0</v>
      </c>
      <c r="J637">
        <f t="shared" ca="1" si="146"/>
        <v>0</v>
      </c>
      <c r="K637">
        <f ca="1">IF(OR($C637="S",$C637=0),0,MATCH(OFFSET($D637,0,$C637)+IF($C637&lt;&gt;1,1,COUNTIF(QCI!$A$13:$A$24,ORÇAMENTO!E637)),OFFSET($D637,1,$C637,ROW($C$727)-ROW($C637)),0))</f>
        <v>0</v>
      </c>
      <c r="L637" s="116" t="str">
        <f t="shared" ca="1" si="127"/>
        <v/>
      </c>
      <c r="M637" s="117" t="s">
        <v>199</v>
      </c>
      <c r="N637" s="118" t="str">
        <f t="shared" ca="1" si="128"/>
        <v>Serviço</v>
      </c>
      <c r="O637" s="119" t="str">
        <f t="shared" ca="1" si="129"/>
        <v>-</v>
      </c>
      <c r="P637" s="120" t="s">
        <v>458</v>
      </c>
      <c r="Q637" s="121" t="s">
        <v>970</v>
      </c>
      <c r="R637" s="122" t="str">
        <f ca="1">IF($C637="S",REFERENCIA.Descricao,"(digite a descrição aqui)")</f>
        <v>(abra o arquivo 'Referência 06-2024.xlsm)</v>
      </c>
      <c r="S637" s="123" t="str">
        <f ca="1">REFERENCIA.Unidade</f>
        <v>-</v>
      </c>
      <c r="T637" s="124">
        <f ca="1">OFFSET(CÁLCULO!H$15,ROW($T637)-ROW(T$15),0)</f>
        <v>5</v>
      </c>
      <c r="U637" s="125">
        <f t="shared" ca="1" si="147"/>
        <v>0</v>
      </c>
      <c r="V637" s="126" t="s">
        <v>156</v>
      </c>
      <c r="W637" s="124">
        <f ca="1">IF($C637="S",ROUND(IF(TIPOORCAMENTO="Proposto",ORÇAMENTO.CustoUnitario*(1+$AH637),ORÇAMENTO.PrecoUnitarioLicitado),15-13*$AF$10),0)</f>
        <v>0</v>
      </c>
      <c r="X637" s="127">
        <f ca="1">IF($C637="S",IF(Import.TipoArredondamento&lt;&gt;"TransfereGOV",VTOTAL1,SUM(OFFSET(CÁLCULO!$AI$15,ROW($X637)-ROW($X$15),1):OFFSET(CÁLCULO!$BB$15,ROW($X637)-ROW($X$15),-1))),IF($C637=0,0,ROUND(SomaAgrup,15-13*$AF$11)))</f>
        <v>0</v>
      </c>
      <c r="Y637" s="128" t="s">
        <v>245</v>
      </c>
      <c r="Z637" t="str">
        <f t="shared" ca="1" si="130"/>
        <v/>
      </c>
      <c r="AA637" s="129">
        <f ca="1">IF($C637="S",IF($Z637="CP",$X637,IF($Z637="RA",(($X637)*QCI!$AA$3),0)),SomaAgrup)</f>
        <v>0</v>
      </c>
      <c r="AB637" s="130">
        <f t="shared" ca="1" si="143"/>
        <v>0</v>
      </c>
      <c r="AC637" s="131" t="str">
        <f ca="1">IF($N637="","",IF(ORÇAMENTO.Descricao="","DESCRIÇÃO",IF(AND($C637="S",ORÇAMENTO.Unidade=""),"UNIDADE",IF($X637&lt;0,"VALOR NEGATIVO",IF(OR(AND(TIPOORCAMENTO="Proposto",$AG637&lt;&gt;"",$AG637&gt;0,ORÇAMENTO.CustoUnitario&gt;$AG637),AND(TIPOORCAMENTO="LICITADO",ORÇAMENTO.PrecoUnitarioLicitado&gt;$AN637)),"ACIMA REF.","")))))</f>
        <v/>
      </c>
      <c r="AD637" t="str">
        <f ca="1">IF(C637&lt;=CRONO.NivelExibicao,MAX($AD$15:OFFSET(AD637,-1,0))+IF($C637&lt;&gt;1,1,MAX(1,COUNTIF(QCI!$A$13:$A$24,OFFSET($E637,-1,0)))),"")</f>
        <v/>
      </c>
      <c r="AE637" s="7" t="str">
        <f ca="1">IF(AND($C637="S",ORÇAMENTO.CodBarra&lt;&gt;""),IF(ORÇAMENTO.Fonte="",ORÇAMENTO.CodBarra,CONCATENATE(ORÇAMENTO.Fonte," ",ORÇAMENTO.CodBarra)))</f>
        <v>COMPOSIÇÃO FNDE 31</v>
      </c>
      <c r="AF637" s="13" t="str">
        <f ca="1">IF(ISERROR(INDIRECT(ORÇAMENTO.BancoRef)),"(abra o arquivo 'Referência "&amp;Excel_BuiltIn_Database&amp;".xlsm)",IF(OR($C637&lt;&gt;"S",ORÇAMENTO.CodBarra=""),"(Sem Código)",IF(ISERROR(MATCH($AE637,INDIRECT(ORÇAMENTO.BancoRef),0)),"(Código não identificado nas referências)",MATCH($AE637,INDIRECT(ORÇAMENTO.BancoRef),0))))</f>
        <v>(abra o arquivo 'Referência 06-2024.xlsm)</v>
      </c>
      <c r="AG637" s="498">
        <f ca="1">ROUND(IF(DESONERACAO="sim",REFERENCIA.Desonerado,REFERENCIA.NaoDesonerado),2)</f>
        <v>0</v>
      </c>
      <c r="AH637" s="499">
        <f t="shared" ca="1" si="144"/>
        <v>0.2432</v>
      </c>
      <c r="AJ637" s="501"/>
      <c r="AL637" s="527"/>
      <c r="AM637" s="381">
        <f t="shared" ca="1" si="133"/>
        <v>0</v>
      </c>
      <c r="AN637" s="566">
        <f t="shared" ca="1" si="145"/>
        <v>0</v>
      </c>
    </row>
    <row r="638" spans="1:40" ht="25.5" x14ac:dyDescent="0.2">
      <c r="A638" t="str">
        <f t="shared" si="142"/>
        <v>S</v>
      </c>
      <c r="B638">
        <f t="shared" ca="1" si="120"/>
        <v>2</v>
      </c>
      <c r="C638" t="str">
        <f t="shared" ca="1" si="121"/>
        <v>S</v>
      </c>
      <c r="D638">
        <f t="shared" ca="1" si="122"/>
        <v>0</v>
      </c>
      <c r="E638">
        <f ca="1">IF($C638=1,OFFSET(E638,-1,0)+MAX(1,COUNTIF(QCI!$A$13:$A$24,OFFSET(ORÇAMENTO!E638,-1,0))),OFFSET(E638,-1,0))</f>
        <v>1</v>
      </c>
      <c r="F638">
        <f t="shared" ca="1" si="123"/>
        <v>66</v>
      </c>
      <c r="G638">
        <f t="shared" ca="1" si="124"/>
        <v>0</v>
      </c>
      <c r="H638">
        <f t="shared" ca="1" si="125"/>
        <v>0</v>
      </c>
      <c r="I638">
        <f t="shared" ca="1" si="126"/>
        <v>0</v>
      </c>
      <c r="J638">
        <f t="shared" ca="1" si="146"/>
        <v>0</v>
      </c>
      <c r="K638">
        <f ca="1">IF(OR($C638="S",$C638=0),0,MATCH(OFFSET($D638,0,$C638)+IF($C638&lt;&gt;1,1,COUNTIF(QCI!$A$13:$A$24,ORÇAMENTO!E638)),OFFSET($D638,1,$C638,ROW($C$727)-ROW($C638)),0))</f>
        <v>0</v>
      </c>
      <c r="L638" s="116" t="str">
        <f t="shared" ca="1" si="127"/>
        <v/>
      </c>
      <c r="M638" s="117" t="s">
        <v>199</v>
      </c>
      <c r="N638" s="118" t="str">
        <f t="shared" ca="1" si="128"/>
        <v>Serviço</v>
      </c>
      <c r="O638" s="119" t="str">
        <f t="shared" ca="1" si="129"/>
        <v>-</v>
      </c>
      <c r="P638" s="120" t="s">
        <v>247</v>
      </c>
      <c r="Q638" s="121" t="s">
        <v>971</v>
      </c>
      <c r="R638" s="122" t="str">
        <f ca="1">IF($C638="S",REFERENCIA.Descricao,"(digite a descrição aqui)")</f>
        <v>(abra o arquivo 'Referência 06-2024.xlsm)</v>
      </c>
      <c r="S638" s="123" t="str">
        <f ca="1">REFERENCIA.Unidade</f>
        <v>-</v>
      </c>
      <c r="T638" s="124">
        <f ca="1">OFFSET(CÁLCULO!H$15,ROW($T638)-ROW(T$15),0)</f>
        <v>4</v>
      </c>
      <c r="U638" s="125">
        <f t="shared" ca="1" si="147"/>
        <v>0</v>
      </c>
      <c r="V638" s="126" t="s">
        <v>156</v>
      </c>
      <c r="W638" s="124">
        <f ca="1">IF($C638="S",ROUND(IF(TIPOORCAMENTO="Proposto",ORÇAMENTO.CustoUnitario*(1+$AH638),ORÇAMENTO.PrecoUnitarioLicitado),15-13*$AF$10),0)</f>
        <v>0</v>
      </c>
      <c r="X638" s="127">
        <f ca="1">IF($C638="S",IF(Import.TipoArredondamento&lt;&gt;"TransfereGOV",VTOTAL1,SUM(OFFSET(CÁLCULO!$AI$15,ROW($X638)-ROW($X$15),1):OFFSET(CÁLCULO!$BB$15,ROW($X638)-ROW($X$15),-1))),IF($C638=0,0,ROUND(SomaAgrup,15-13*$AF$11)))</f>
        <v>0</v>
      </c>
      <c r="Y638" s="128" t="s">
        <v>245</v>
      </c>
      <c r="Z638" t="str">
        <f t="shared" ca="1" si="130"/>
        <v/>
      </c>
      <c r="AA638" s="129">
        <f ca="1">IF($C638="S",IF($Z638="CP",$X638,IF($Z638="RA",(($X638)*QCI!$AA$3),0)),SomaAgrup)</f>
        <v>0</v>
      </c>
      <c r="AB638" s="130">
        <f t="shared" ca="1" si="143"/>
        <v>0</v>
      </c>
      <c r="AC638" s="131" t="str">
        <f ca="1">IF($N638="","",IF(ORÇAMENTO.Descricao="","DESCRIÇÃO",IF(AND($C638="S",ORÇAMENTO.Unidade=""),"UNIDADE",IF($X638&lt;0,"VALOR NEGATIVO",IF(OR(AND(TIPOORCAMENTO="Proposto",$AG638&lt;&gt;"",$AG638&gt;0,ORÇAMENTO.CustoUnitario&gt;$AG638),AND(TIPOORCAMENTO="LICITADO",ORÇAMENTO.PrecoUnitarioLicitado&gt;$AN638)),"ACIMA REF.","")))))</f>
        <v/>
      </c>
      <c r="AD638" t="str">
        <f ca="1">IF(C638&lt;=CRONO.NivelExibicao,MAX($AD$15:OFFSET(AD638,-1,0))+IF($C638&lt;&gt;1,1,MAX(1,COUNTIF(QCI!$A$13:$A$24,OFFSET($E638,-1,0)))),"")</f>
        <v/>
      </c>
      <c r="AE638" s="7" t="str">
        <f ca="1">IF(AND($C638="S",ORÇAMENTO.CodBarra&lt;&gt;""),IF(ORÇAMENTO.Fonte="",ORÇAMENTO.CodBarra,CONCATENATE(ORÇAMENTO.Fonte," ",ORÇAMENTO.CodBarra)))</f>
        <v>SINAPI 100557</v>
      </c>
      <c r="AF638" s="13" t="str">
        <f ca="1">IF(ISERROR(INDIRECT(ORÇAMENTO.BancoRef)),"(abra o arquivo 'Referência "&amp;Excel_BuiltIn_Database&amp;".xlsm)",IF(OR($C638&lt;&gt;"S",ORÇAMENTO.CodBarra=""),"(Sem Código)",IF(ISERROR(MATCH($AE638,INDIRECT(ORÇAMENTO.BancoRef),0)),"(Código não identificado nas referências)",MATCH($AE638,INDIRECT(ORÇAMENTO.BancoRef),0))))</f>
        <v>(abra o arquivo 'Referência 06-2024.xlsm)</v>
      </c>
      <c r="AG638" s="498">
        <f ca="1">ROUND(IF(DESONERACAO="sim",REFERENCIA.Desonerado,REFERENCIA.NaoDesonerado),2)</f>
        <v>0</v>
      </c>
      <c r="AH638" s="499">
        <f t="shared" ca="1" si="144"/>
        <v>0.2432</v>
      </c>
      <c r="AJ638" s="501"/>
      <c r="AL638" s="527"/>
      <c r="AM638" s="381">
        <f t="shared" ca="1" si="133"/>
        <v>0</v>
      </c>
      <c r="AN638" s="566">
        <f t="shared" ca="1" si="145"/>
        <v>0</v>
      </c>
    </row>
    <row r="639" spans="1:40" ht="38.25" x14ac:dyDescent="0.2">
      <c r="A639" t="str">
        <f t="shared" si="142"/>
        <v>S</v>
      </c>
      <c r="B639">
        <f t="shared" ca="1" si="120"/>
        <v>2</v>
      </c>
      <c r="C639" t="str">
        <f t="shared" ca="1" si="121"/>
        <v>S</v>
      </c>
      <c r="D639">
        <f t="shared" ca="1" si="122"/>
        <v>0</v>
      </c>
      <c r="E639">
        <f ca="1">IF($C639=1,OFFSET(E639,-1,0)+MAX(1,COUNTIF(QCI!$A$13:$A$24,OFFSET(ORÇAMENTO!E639,-1,0))),OFFSET(E639,-1,0))</f>
        <v>1</v>
      </c>
      <c r="F639">
        <f t="shared" ca="1" si="123"/>
        <v>66</v>
      </c>
      <c r="G639">
        <f t="shared" ca="1" si="124"/>
        <v>0</v>
      </c>
      <c r="H639">
        <f t="shared" ca="1" si="125"/>
        <v>0</v>
      </c>
      <c r="I639">
        <f t="shared" ca="1" si="126"/>
        <v>0</v>
      </c>
      <c r="J639">
        <f t="shared" ca="1" si="146"/>
        <v>0</v>
      </c>
      <c r="K639">
        <f ca="1">IF(OR($C639="S",$C639=0),0,MATCH(OFFSET($D639,0,$C639)+IF($C639&lt;&gt;1,1,COUNTIF(QCI!$A$13:$A$24,ORÇAMENTO!E639)),OFFSET($D639,1,$C639,ROW($C$727)-ROW($C639)),0))</f>
        <v>0</v>
      </c>
      <c r="L639" s="116" t="str">
        <f t="shared" ca="1" si="127"/>
        <v/>
      </c>
      <c r="M639" s="117" t="s">
        <v>199</v>
      </c>
      <c r="N639" s="118" t="str">
        <f t="shared" ca="1" si="128"/>
        <v>Serviço</v>
      </c>
      <c r="O639" s="119" t="str">
        <f t="shared" ca="1" si="129"/>
        <v>-</v>
      </c>
      <c r="P639" s="120" t="s">
        <v>458</v>
      </c>
      <c r="Q639" s="121" t="s">
        <v>953</v>
      </c>
      <c r="R639" s="122" t="str">
        <f ca="1">IF($C639="S",REFERENCIA.Descricao,"(digite a descrição aqui)")</f>
        <v>(abra o arquivo 'Referência 06-2024.xlsm)</v>
      </c>
      <c r="S639" s="123" t="str">
        <f ca="1">REFERENCIA.Unidade</f>
        <v>-</v>
      </c>
      <c r="T639" s="124">
        <f ca="1">OFFSET(CÁLCULO!H$15,ROW($T639)-ROW(T$15),0)</f>
        <v>1</v>
      </c>
      <c r="U639" s="125">
        <f t="shared" ca="1" si="147"/>
        <v>0</v>
      </c>
      <c r="V639" s="126" t="s">
        <v>156</v>
      </c>
      <c r="W639" s="124">
        <f ca="1">IF($C639="S",ROUND(IF(TIPOORCAMENTO="Proposto",ORÇAMENTO.CustoUnitario*(1+$AH639),ORÇAMENTO.PrecoUnitarioLicitado),15-13*$AF$10),0)</f>
        <v>0</v>
      </c>
      <c r="X639" s="127">
        <f ca="1">IF($C639="S",IF(Import.TipoArredondamento&lt;&gt;"TransfereGOV",VTOTAL1,SUM(OFFSET(CÁLCULO!$AI$15,ROW($X639)-ROW($X$15),1):OFFSET(CÁLCULO!$BB$15,ROW($X639)-ROW($X$15),-1))),IF($C639=0,0,ROUND(SomaAgrup,15-13*$AF$11)))</f>
        <v>0</v>
      </c>
      <c r="Y639" s="128" t="s">
        <v>245</v>
      </c>
      <c r="Z639" t="str">
        <f t="shared" ca="1" si="130"/>
        <v/>
      </c>
      <c r="AA639" s="129">
        <f ca="1">IF($C639="S",IF($Z639="CP",$X639,IF($Z639="RA",(($X639)*QCI!$AA$3),0)),SomaAgrup)</f>
        <v>0</v>
      </c>
      <c r="AB639" s="130">
        <f t="shared" ca="1" si="143"/>
        <v>0</v>
      </c>
      <c r="AC639" s="131" t="str">
        <f ca="1">IF($N639="","",IF(ORÇAMENTO.Descricao="","DESCRIÇÃO",IF(AND($C639="S",ORÇAMENTO.Unidade=""),"UNIDADE",IF($X639&lt;0,"VALOR NEGATIVO",IF(OR(AND(TIPOORCAMENTO="Proposto",$AG639&lt;&gt;"",$AG639&gt;0,ORÇAMENTO.CustoUnitario&gt;$AG639),AND(TIPOORCAMENTO="LICITADO",ORÇAMENTO.PrecoUnitarioLicitado&gt;$AN639)),"ACIMA REF.","")))))</f>
        <v/>
      </c>
      <c r="AD639" t="str">
        <f ca="1">IF(C639&lt;=CRONO.NivelExibicao,MAX($AD$15:OFFSET(AD639,-1,0))+IF($C639&lt;&gt;1,1,MAX(1,COUNTIF(QCI!$A$13:$A$24,OFFSET($E639,-1,0)))),"")</f>
        <v/>
      </c>
      <c r="AE639" s="7" t="str">
        <f ca="1">IF(AND($C639="S",ORÇAMENTO.CodBarra&lt;&gt;""),IF(ORÇAMENTO.Fonte="",ORÇAMENTO.CodBarra,CONCATENATE(ORÇAMENTO.Fonte," ",ORÇAMENTO.CodBarra)))</f>
        <v>COMPOSIÇÃO FNDE 383</v>
      </c>
      <c r="AF639" s="13" t="str">
        <f ca="1">IF(ISERROR(INDIRECT(ORÇAMENTO.BancoRef)),"(abra o arquivo 'Referência "&amp;Excel_BuiltIn_Database&amp;".xlsm)",IF(OR($C639&lt;&gt;"S",ORÇAMENTO.CodBarra=""),"(Sem Código)",IF(ISERROR(MATCH($AE639,INDIRECT(ORÇAMENTO.BancoRef),0)),"(Código não identificado nas referências)",MATCH($AE639,INDIRECT(ORÇAMENTO.BancoRef),0))))</f>
        <v>(abra o arquivo 'Referência 06-2024.xlsm)</v>
      </c>
      <c r="AG639" s="498">
        <f ca="1">ROUND(IF(DESONERACAO="sim",REFERENCIA.Desonerado,REFERENCIA.NaoDesonerado),2)</f>
        <v>0</v>
      </c>
      <c r="AH639" s="499">
        <f t="shared" ca="1" si="144"/>
        <v>0.2432</v>
      </c>
      <c r="AJ639" s="501"/>
      <c r="AL639" s="527"/>
      <c r="AM639" s="381">
        <f t="shared" ca="1" si="133"/>
        <v>0</v>
      </c>
      <c r="AN639" s="566">
        <f t="shared" ca="1" si="145"/>
        <v>0</v>
      </c>
    </row>
    <row r="640" spans="1:40" x14ac:dyDescent="0.2">
      <c r="A640">
        <f t="shared" si="142"/>
        <v>2</v>
      </c>
      <c r="B640">
        <f t="shared" ca="1" si="120"/>
        <v>2</v>
      </c>
      <c r="C640">
        <f t="shared" ca="1" si="121"/>
        <v>2</v>
      </c>
      <c r="D640">
        <f t="shared" ca="1" si="122"/>
        <v>3</v>
      </c>
      <c r="E640">
        <f ca="1">IF($C640=1,OFFSET(E640,-1,0)+MAX(1,COUNTIF(QCI!$A$13:$A$24,OFFSET(ORÇAMENTO!E640,-1,0))),OFFSET(E640,-1,0))</f>
        <v>1</v>
      </c>
      <c r="F640">
        <f t="shared" ca="1" si="123"/>
        <v>67</v>
      </c>
      <c r="G640">
        <f t="shared" ca="1" si="124"/>
        <v>0</v>
      </c>
      <c r="H640">
        <f t="shared" ca="1" si="125"/>
        <v>0</v>
      </c>
      <c r="I640">
        <f t="shared" ca="1" si="126"/>
        <v>0</v>
      </c>
      <c r="J640">
        <f t="shared" ca="1" si="146"/>
        <v>87</v>
      </c>
      <c r="K640">
        <f ca="1">IF(OR($C640="S",$C640=0),0,MATCH(OFFSET($D640,0,$C640)+IF($C640&lt;&gt;1,1,COUNTIF(QCI!$A$13:$A$24,ORÇAMENTO!E640)),OFFSET($D640,1,$C640,ROW($C$727)-ROW($C640)),0))</f>
        <v>3</v>
      </c>
      <c r="L640" s="116" t="str">
        <f t="shared" ca="1" si="127"/>
        <v>F</v>
      </c>
      <c r="M640" s="117" t="s">
        <v>196</v>
      </c>
      <c r="N640" s="118" t="str">
        <f t="shared" ca="1" si="128"/>
        <v>Nível 2</v>
      </c>
      <c r="O640" s="119" t="str">
        <f t="shared" ca="1" si="129"/>
        <v>1.67.</v>
      </c>
      <c r="P640" s="120" t="s">
        <v>247</v>
      </c>
      <c r="Q640" s="121"/>
      <c r="R640" s="122" t="s">
        <v>1090</v>
      </c>
      <c r="S640" s="123" t="str">
        <f ca="1">REFERENCIA.Unidade</f>
        <v>-</v>
      </c>
      <c r="T640" s="124">
        <f ca="1">OFFSET(CÁLCULO!H$15,ROW($T640)-ROW(T$15),0)</f>
        <v>0</v>
      </c>
      <c r="U640" s="125">
        <f t="shared" ca="1" si="147"/>
        <v>0</v>
      </c>
      <c r="V640" s="126" t="s">
        <v>156</v>
      </c>
      <c r="W640" s="124">
        <f ca="1">IF($C640="S",ROUND(IF(TIPOORCAMENTO="Proposto",ORÇAMENTO.CustoUnitario*(1+$AH640),ORÇAMENTO.PrecoUnitarioLicitado),15-13*$AF$10),0)</f>
        <v>0</v>
      </c>
      <c r="X640" s="127">
        <f ca="1">IF($C640="S",IF(Import.TipoArredondamento&lt;&gt;"TransfereGOV",VTOTAL1,SUM(OFFSET(CÁLCULO!$AI$15,ROW($X640)-ROW($X$15),1):OFFSET(CÁLCULO!$BB$15,ROW($X640)-ROW($X$15),-1))),IF($C640=0,0,ROUND(SomaAgrup,15-13*$AF$11)))</f>
        <v>0</v>
      </c>
      <c r="Y640" s="128" t="s">
        <v>245</v>
      </c>
      <c r="Z640" t="str">
        <f t="shared" ca="1" si="130"/>
        <v/>
      </c>
      <c r="AA640" s="129">
        <f ca="1">IF($C640="S",IF($Z640="CP",$X640,IF($Z640="RA",(($X640)*QCI!$AA$3),0)),SomaAgrup)</f>
        <v>0</v>
      </c>
      <c r="AB640" s="130">
        <f t="shared" ca="1" si="143"/>
        <v>0</v>
      </c>
      <c r="AC640" s="131" t="str">
        <f ca="1">IF($N640="","",IF(ORÇAMENTO.Descricao="","DESCRIÇÃO",IF(AND($C640="S",ORÇAMENTO.Unidade=""),"UNIDADE",IF($X640&lt;0,"VALOR NEGATIVO",IF(OR(AND(TIPOORCAMENTO="Proposto",$AG640&lt;&gt;"",$AG640&gt;0,ORÇAMENTO.CustoUnitario&gt;$AG640),AND(TIPOORCAMENTO="LICITADO",ORÇAMENTO.PrecoUnitarioLicitado&gt;$AN640)),"ACIMA REF.","")))))</f>
        <v/>
      </c>
      <c r="AD640">
        <f ca="1">IF(C640&lt;=CRONO.NivelExibicao,MAX($AD$15:OFFSET(AD640,-1,0))+IF($C640&lt;&gt;1,1,MAX(1,COUNTIF(QCI!$A$13:$A$24,OFFSET($E640,-1,0)))),"")</f>
        <v>68</v>
      </c>
      <c r="AE640" s="7" t="b">
        <f ca="1">IF(AND($C640="S",ORÇAMENTO.CodBarra&lt;&gt;""),IF(ORÇAMENTO.Fonte="",ORÇAMENTO.CodBarra,CONCATENATE(ORÇAMENTO.Fonte," ",ORÇAMENTO.CodBarra)))</f>
        <v>0</v>
      </c>
      <c r="AF640" s="13" t="str">
        <f ca="1">IF(ISERROR(INDIRECT(ORÇAMENTO.BancoRef)),"(abra o arquivo 'Referência "&amp;Excel_BuiltIn_Database&amp;".xlsm)",IF(OR($C640&lt;&gt;"S",ORÇAMENTO.CodBarra=""),"(Sem Código)",IF(ISERROR(MATCH($AE640,INDIRECT(ORÇAMENTO.BancoRef),0)),"(Código não identificado nas referências)",MATCH($AE640,INDIRECT(ORÇAMENTO.BancoRef),0))))</f>
        <v>(abra o arquivo 'Referência 06-2024.xlsm)</v>
      </c>
      <c r="AG640" s="498">
        <f ca="1">ROUND(IF(DESONERACAO="sim",REFERENCIA.Desonerado,REFERENCIA.NaoDesonerado),2)</f>
        <v>0</v>
      </c>
      <c r="AH640" s="499">
        <f t="shared" ca="1" si="144"/>
        <v>0.2432</v>
      </c>
      <c r="AJ640" s="501"/>
      <c r="AL640" s="527"/>
      <c r="AM640" s="381">
        <f t="shared" ca="1" si="133"/>
        <v>0</v>
      </c>
      <c r="AN640" s="566">
        <f t="shared" ca="1" si="145"/>
        <v>0</v>
      </c>
    </row>
    <row r="641" spans="1:40" ht="25.5" x14ac:dyDescent="0.2">
      <c r="A641" t="str">
        <f t="shared" si="142"/>
        <v>S</v>
      </c>
      <c r="B641">
        <f t="shared" ca="1" si="120"/>
        <v>2</v>
      </c>
      <c r="C641" t="str">
        <f t="shared" ca="1" si="121"/>
        <v>S</v>
      </c>
      <c r="D641">
        <f t="shared" ca="1" si="122"/>
        <v>0</v>
      </c>
      <c r="E641">
        <f ca="1">IF($C641=1,OFFSET(E641,-1,0)+MAX(1,COUNTIF(QCI!$A$13:$A$24,OFFSET(ORÇAMENTO!E641,-1,0))),OFFSET(E641,-1,0))</f>
        <v>1</v>
      </c>
      <c r="F641">
        <f t="shared" ca="1" si="123"/>
        <v>67</v>
      </c>
      <c r="G641">
        <f t="shared" ca="1" si="124"/>
        <v>0</v>
      </c>
      <c r="H641">
        <f t="shared" ca="1" si="125"/>
        <v>0</v>
      </c>
      <c r="I641">
        <f t="shared" ca="1" si="126"/>
        <v>0</v>
      </c>
      <c r="J641">
        <f t="shared" ca="1" si="146"/>
        <v>0</v>
      </c>
      <c r="K641">
        <f ca="1">IF(OR($C641="S",$C641=0),0,MATCH(OFFSET($D641,0,$C641)+IF($C641&lt;&gt;1,1,COUNTIF(QCI!$A$13:$A$24,ORÇAMENTO!E641)),OFFSET($D641,1,$C641,ROW($C$727)-ROW($C641)),0))</f>
        <v>0</v>
      </c>
      <c r="L641" s="116" t="str">
        <f t="shared" ca="1" si="127"/>
        <v/>
      </c>
      <c r="M641" s="117" t="s">
        <v>199</v>
      </c>
      <c r="N641" s="118" t="str">
        <f t="shared" ca="1" si="128"/>
        <v>Serviço</v>
      </c>
      <c r="O641" s="119" t="str">
        <f t="shared" ca="1" si="129"/>
        <v>-</v>
      </c>
      <c r="P641" s="120" t="s">
        <v>247</v>
      </c>
      <c r="Q641" s="121" t="s">
        <v>958</v>
      </c>
      <c r="R641" s="122" t="str">
        <f ca="1">IF($C641="S",REFERENCIA.Descricao,"(digite a descrição aqui)")</f>
        <v>(abra o arquivo 'Referência 06-2024.xlsm)</v>
      </c>
      <c r="S641" s="123" t="str">
        <f ca="1">REFERENCIA.Unidade</f>
        <v>-</v>
      </c>
      <c r="T641" s="124">
        <f ca="1">OFFSET(CÁLCULO!H$15,ROW($T641)-ROW(T$15),0)</f>
        <v>28</v>
      </c>
      <c r="U641" s="125">
        <f t="shared" ca="1" si="147"/>
        <v>0</v>
      </c>
      <c r="V641" s="126" t="s">
        <v>156</v>
      </c>
      <c r="W641" s="124">
        <f ca="1">IF($C641="S",ROUND(IF(TIPOORCAMENTO="Proposto",ORÇAMENTO.CustoUnitario*(1+$AH641),ORÇAMENTO.PrecoUnitarioLicitado),15-13*$AF$10),0)</f>
        <v>0</v>
      </c>
      <c r="X641" s="127">
        <f ca="1">IF($C641="S",IF(Import.TipoArredondamento&lt;&gt;"TransfereGOV",VTOTAL1,SUM(OFFSET(CÁLCULO!$AI$15,ROW($X641)-ROW($X$15),1):OFFSET(CÁLCULO!$BB$15,ROW($X641)-ROW($X$15),-1))),IF($C641=0,0,ROUND(SomaAgrup,15-13*$AF$11)))</f>
        <v>0</v>
      </c>
      <c r="Y641" s="128" t="s">
        <v>245</v>
      </c>
      <c r="Z641" t="str">
        <f t="shared" ca="1" si="130"/>
        <v/>
      </c>
      <c r="AA641" s="129">
        <f ca="1">IF($C641="S",IF($Z641="CP",$X641,IF($Z641="RA",(($X641)*QCI!$AA$3),0)),SomaAgrup)</f>
        <v>0</v>
      </c>
      <c r="AB641" s="130">
        <f t="shared" ca="1" si="143"/>
        <v>0</v>
      </c>
      <c r="AC641" s="131" t="str">
        <f ca="1">IF($N641="","",IF(ORÇAMENTO.Descricao="","DESCRIÇÃO",IF(AND($C641="S",ORÇAMENTO.Unidade=""),"UNIDADE",IF($X641&lt;0,"VALOR NEGATIVO",IF(OR(AND(TIPOORCAMENTO="Proposto",$AG641&lt;&gt;"",$AG641&gt;0,ORÇAMENTO.CustoUnitario&gt;$AG641),AND(TIPOORCAMENTO="LICITADO",ORÇAMENTO.PrecoUnitarioLicitado&gt;$AN641)),"ACIMA REF.","")))))</f>
        <v/>
      </c>
      <c r="AD641" t="str">
        <f ca="1">IF(C641&lt;=CRONO.NivelExibicao,MAX($AD$15:OFFSET(AD641,-1,0))+IF($C641&lt;&gt;1,1,MAX(1,COUNTIF(QCI!$A$13:$A$24,OFFSET($E641,-1,0)))),"")</f>
        <v/>
      </c>
      <c r="AE641" s="7" t="str">
        <f ca="1">IF(AND($C641="S",ORÇAMENTO.CodBarra&lt;&gt;""),IF(ORÇAMENTO.Fonte="",ORÇAMENTO.CodBarra,CONCATENATE(ORÇAMENTO.Fonte," ",ORÇAMENTO.CodBarra)))</f>
        <v>SINAPI 98307</v>
      </c>
      <c r="AF641" s="13" t="str">
        <f ca="1">IF(ISERROR(INDIRECT(ORÇAMENTO.BancoRef)),"(abra o arquivo 'Referência "&amp;Excel_BuiltIn_Database&amp;".xlsm)",IF(OR($C641&lt;&gt;"S",ORÇAMENTO.CodBarra=""),"(Sem Código)",IF(ISERROR(MATCH($AE641,INDIRECT(ORÇAMENTO.BancoRef),0)),"(Código não identificado nas referências)",MATCH($AE641,INDIRECT(ORÇAMENTO.BancoRef),0))))</f>
        <v>(abra o arquivo 'Referência 06-2024.xlsm)</v>
      </c>
      <c r="AG641" s="498">
        <f ca="1">ROUND(IF(DESONERACAO="sim",REFERENCIA.Desonerado,REFERENCIA.NaoDesonerado),2)</f>
        <v>0</v>
      </c>
      <c r="AH641" s="499">
        <f t="shared" ca="1" si="144"/>
        <v>0.2432</v>
      </c>
      <c r="AJ641" s="501"/>
      <c r="AL641" s="527"/>
      <c r="AM641" s="381">
        <f t="shared" ca="1" si="133"/>
        <v>0</v>
      </c>
      <c r="AN641" s="566">
        <f t="shared" ca="1" si="145"/>
        <v>0</v>
      </c>
    </row>
    <row r="642" spans="1:40" ht="25.5" x14ac:dyDescent="0.2">
      <c r="A642" t="str">
        <f t="shared" si="142"/>
        <v>S</v>
      </c>
      <c r="B642">
        <f t="shared" ca="1" si="120"/>
        <v>2</v>
      </c>
      <c r="C642" t="str">
        <f t="shared" ca="1" si="121"/>
        <v>S</v>
      </c>
      <c r="D642">
        <f t="shared" ca="1" si="122"/>
        <v>0</v>
      </c>
      <c r="E642">
        <f ca="1">IF($C642=1,OFFSET(E642,-1,0)+MAX(1,COUNTIF(QCI!$A$13:$A$24,OFFSET(ORÇAMENTO!E642,-1,0))),OFFSET(E642,-1,0))</f>
        <v>1</v>
      </c>
      <c r="F642">
        <f t="shared" ca="1" si="123"/>
        <v>67</v>
      </c>
      <c r="G642">
        <f t="shared" ca="1" si="124"/>
        <v>0</v>
      </c>
      <c r="H642">
        <f t="shared" ca="1" si="125"/>
        <v>0</v>
      </c>
      <c r="I642">
        <f t="shared" ca="1" si="126"/>
        <v>0</v>
      </c>
      <c r="J642">
        <f t="shared" ca="1" si="146"/>
        <v>0</v>
      </c>
      <c r="K642">
        <f ca="1">IF(OR($C642="S",$C642=0),0,MATCH(OFFSET($D642,0,$C642)+IF($C642&lt;&gt;1,1,COUNTIF(QCI!$A$13:$A$24,ORÇAMENTO!E642)),OFFSET($D642,1,$C642,ROW($C$727)-ROW($C642)),0))</f>
        <v>0</v>
      </c>
      <c r="L642" s="116" t="str">
        <f t="shared" ca="1" si="127"/>
        <v/>
      </c>
      <c r="M642" s="117" t="s">
        <v>199</v>
      </c>
      <c r="N642" s="118" t="str">
        <f t="shared" ca="1" si="128"/>
        <v>Serviço</v>
      </c>
      <c r="O642" s="119" t="str">
        <f t="shared" ca="1" si="129"/>
        <v>-</v>
      </c>
      <c r="P642" s="120" t="s">
        <v>458</v>
      </c>
      <c r="Q642" s="121" t="s">
        <v>972</v>
      </c>
      <c r="R642" s="122" t="str">
        <f ca="1">IF($C642="S",REFERENCIA.Descricao,"(digite a descrição aqui)")</f>
        <v>(abra o arquivo 'Referência 06-2024.xlsm)</v>
      </c>
      <c r="S642" s="123" t="str">
        <f ca="1">REFERENCIA.Unidade</f>
        <v>-</v>
      </c>
      <c r="T642" s="124">
        <f ca="1">OFFSET(CÁLCULO!H$15,ROW($T642)-ROW(T$15),0)</f>
        <v>14</v>
      </c>
      <c r="U642" s="125">
        <f t="shared" ca="1" si="147"/>
        <v>0</v>
      </c>
      <c r="V642" s="126" t="s">
        <v>156</v>
      </c>
      <c r="W642" s="124">
        <f ca="1">IF($C642="S",ROUND(IF(TIPOORCAMENTO="Proposto",ORÇAMENTO.CustoUnitario*(1+$AH642),ORÇAMENTO.PrecoUnitarioLicitado),15-13*$AF$10),0)</f>
        <v>0</v>
      </c>
      <c r="X642" s="127">
        <f ca="1">IF($C642="S",IF(Import.TipoArredondamento&lt;&gt;"TransfereGOV",VTOTAL1,SUM(OFFSET(CÁLCULO!$AI$15,ROW($X642)-ROW($X$15),1):OFFSET(CÁLCULO!$BB$15,ROW($X642)-ROW($X$15),-1))),IF($C642=0,0,ROUND(SomaAgrup,15-13*$AF$11)))</f>
        <v>0</v>
      </c>
      <c r="Y642" s="128" t="s">
        <v>245</v>
      </c>
      <c r="Z642" t="str">
        <f t="shared" ca="1" si="130"/>
        <v/>
      </c>
      <c r="AA642" s="129">
        <f ca="1">IF($C642="S",IF($Z642="CP",$X642,IF($Z642="RA",(($X642)*QCI!$AA$3),0)),SomaAgrup)</f>
        <v>0</v>
      </c>
      <c r="AB642" s="130">
        <f t="shared" ca="1" si="143"/>
        <v>0</v>
      </c>
      <c r="AC642" s="131" t="str">
        <f ca="1">IF($N642="","",IF(ORÇAMENTO.Descricao="","DESCRIÇÃO",IF(AND($C642="S",ORÇAMENTO.Unidade=""),"UNIDADE",IF($X642&lt;0,"VALOR NEGATIVO",IF(OR(AND(TIPOORCAMENTO="Proposto",$AG642&lt;&gt;"",$AG642&gt;0,ORÇAMENTO.CustoUnitario&gt;$AG642),AND(TIPOORCAMENTO="LICITADO",ORÇAMENTO.PrecoUnitarioLicitado&gt;$AN642)),"ACIMA REF.","")))))</f>
        <v/>
      </c>
      <c r="AD642" t="str">
        <f ca="1">IF(C642&lt;=CRONO.NivelExibicao,MAX($AD$15:OFFSET(AD642,-1,0))+IF($C642&lt;&gt;1,1,MAX(1,COUNTIF(QCI!$A$13:$A$24,OFFSET($E642,-1,0)))),"")</f>
        <v/>
      </c>
      <c r="AE642" s="7" t="str">
        <f ca="1">IF(AND($C642="S",ORÇAMENTO.CodBarra&lt;&gt;""),IF(ORÇAMENTO.Fonte="",ORÇAMENTO.CodBarra,CONCATENATE(ORÇAMENTO.Fonte," ",ORÇAMENTO.CodBarra)))</f>
        <v>COMPOSIÇÃO FNDE 375</v>
      </c>
      <c r="AF642" s="13" t="str">
        <f ca="1">IF(ISERROR(INDIRECT(ORÇAMENTO.BancoRef)),"(abra o arquivo 'Referência "&amp;Excel_BuiltIn_Database&amp;".xlsm)",IF(OR($C642&lt;&gt;"S",ORÇAMENTO.CodBarra=""),"(Sem Código)",IF(ISERROR(MATCH($AE642,INDIRECT(ORÇAMENTO.BancoRef),0)),"(Código não identificado nas referências)",MATCH($AE642,INDIRECT(ORÇAMENTO.BancoRef),0))))</f>
        <v>(abra o arquivo 'Referência 06-2024.xlsm)</v>
      </c>
      <c r="AG642" s="498">
        <f ca="1">ROUND(IF(DESONERACAO="sim",REFERENCIA.Desonerado,REFERENCIA.NaoDesonerado),2)</f>
        <v>0</v>
      </c>
      <c r="AH642" s="499">
        <f t="shared" ca="1" si="144"/>
        <v>0.2432</v>
      </c>
      <c r="AJ642" s="501"/>
      <c r="AL642" s="527"/>
      <c r="AM642" s="381">
        <f t="shared" ca="1" si="133"/>
        <v>0</v>
      </c>
      <c r="AN642" s="566">
        <f t="shared" ca="1" si="145"/>
        <v>0</v>
      </c>
    </row>
    <row r="643" spans="1:40" ht="25.5" x14ac:dyDescent="0.2">
      <c r="A643">
        <f t="shared" si="142"/>
        <v>2</v>
      </c>
      <c r="B643">
        <f t="shared" ca="1" si="120"/>
        <v>2</v>
      </c>
      <c r="C643">
        <f t="shared" ca="1" si="121"/>
        <v>2</v>
      </c>
      <c r="D643">
        <f t="shared" ca="1" si="122"/>
        <v>11</v>
      </c>
      <c r="E643">
        <f ca="1">IF($C643=1,OFFSET(E643,-1,0)+MAX(1,COUNTIF(QCI!$A$13:$A$24,OFFSET(ORÇAMENTO!E643,-1,0))),OFFSET(E643,-1,0))</f>
        <v>1</v>
      </c>
      <c r="F643">
        <f t="shared" ca="1" si="123"/>
        <v>68</v>
      </c>
      <c r="G643">
        <f t="shared" ca="1" si="124"/>
        <v>0</v>
      </c>
      <c r="H643">
        <f t="shared" ca="1" si="125"/>
        <v>0</v>
      </c>
      <c r="I643">
        <f t="shared" ca="1" si="126"/>
        <v>0</v>
      </c>
      <c r="J643">
        <f t="shared" ca="1" si="146"/>
        <v>84</v>
      </c>
      <c r="K643">
        <f ca="1">IF(OR($C643="S",$C643=0),0,MATCH(OFFSET($D643,0,$C643)+IF($C643&lt;&gt;1,1,COUNTIF(QCI!$A$13:$A$24,ORÇAMENTO!E643)),OFFSET($D643,1,$C643,ROW($C$727)-ROW($C643)),0))</f>
        <v>11</v>
      </c>
      <c r="L643" s="116" t="str">
        <f t="shared" ca="1" si="127"/>
        <v>F</v>
      </c>
      <c r="M643" s="117" t="s">
        <v>196</v>
      </c>
      <c r="N643" s="118" t="str">
        <f t="shared" ca="1" si="128"/>
        <v>Nível 2</v>
      </c>
      <c r="O643" s="119" t="str">
        <f t="shared" ca="1" si="129"/>
        <v>1.68.</v>
      </c>
      <c r="P643" s="120" t="s">
        <v>247</v>
      </c>
      <c r="Q643" s="121"/>
      <c r="R643" s="122" t="s">
        <v>1091</v>
      </c>
      <c r="S643" s="123" t="str">
        <f ca="1">REFERENCIA.Unidade</f>
        <v>-</v>
      </c>
      <c r="T643" s="124">
        <f ca="1">OFFSET(CÁLCULO!H$15,ROW($T643)-ROW(T$15),0)</f>
        <v>0</v>
      </c>
      <c r="U643" s="125">
        <f t="shared" ca="1" si="147"/>
        <v>0</v>
      </c>
      <c r="V643" s="126" t="s">
        <v>156</v>
      </c>
      <c r="W643" s="124">
        <f ca="1">IF($C643="S",ROUND(IF(TIPOORCAMENTO="Proposto",ORÇAMENTO.CustoUnitario*(1+$AH643),ORÇAMENTO.PrecoUnitarioLicitado),15-13*$AF$10),0)</f>
        <v>0</v>
      </c>
      <c r="X643" s="127">
        <f ca="1">IF($C643="S",IF(Import.TipoArredondamento&lt;&gt;"TransfereGOV",VTOTAL1,SUM(OFFSET(CÁLCULO!$AI$15,ROW($X643)-ROW($X$15),1):OFFSET(CÁLCULO!$BB$15,ROW($X643)-ROW($X$15),-1))),IF($C643=0,0,ROUND(SomaAgrup,15-13*$AF$11)))</f>
        <v>0</v>
      </c>
      <c r="Y643" s="128" t="s">
        <v>245</v>
      </c>
      <c r="Z643" t="str">
        <f t="shared" ca="1" si="130"/>
        <v/>
      </c>
      <c r="AA643" s="129">
        <f ca="1">IF($C643="S",IF($Z643="CP",$X643,IF($Z643="RA",(($X643)*QCI!$AA$3),0)),SomaAgrup)</f>
        <v>0</v>
      </c>
      <c r="AB643" s="130">
        <f t="shared" ca="1" si="143"/>
        <v>0</v>
      </c>
      <c r="AC643" s="131" t="str">
        <f ca="1">IF($N643="","",IF(ORÇAMENTO.Descricao="","DESCRIÇÃO",IF(AND($C643="S",ORÇAMENTO.Unidade=""),"UNIDADE",IF($X643&lt;0,"VALOR NEGATIVO",IF(OR(AND(TIPOORCAMENTO="Proposto",$AG643&lt;&gt;"",$AG643&gt;0,ORÇAMENTO.CustoUnitario&gt;$AG643),AND(TIPOORCAMENTO="LICITADO",ORÇAMENTO.PrecoUnitarioLicitado&gt;$AN643)),"ACIMA REF.","")))))</f>
        <v/>
      </c>
      <c r="AD643">
        <f ca="1">IF(C643&lt;=CRONO.NivelExibicao,MAX($AD$15:OFFSET(AD643,-1,0))+IF($C643&lt;&gt;1,1,MAX(1,COUNTIF(QCI!$A$13:$A$24,OFFSET($E643,-1,0)))),"")</f>
        <v>69</v>
      </c>
      <c r="AE643" s="7" t="b">
        <f ca="1">IF(AND($C643="S",ORÇAMENTO.CodBarra&lt;&gt;""),IF(ORÇAMENTO.Fonte="",ORÇAMENTO.CodBarra,CONCATENATE(ORÇAMENTO.Fonte," ",ORÇAMENTO.CodBarra)))</f>
        <v>0</v>
      </c>
      <c r="AF643" s="13" t="str">
        <f ca="1">IF(ISERROR(INDIRECT(ORÇAMENTO.BancoRef)),"(abra o arquivo 'Referência "&amp;Excel_BuiltIn_Database&amp;".xlsm)",IF(OR($C643&lt;&gt;"S",ORÇAMENTO.CodBarra=""),"(Sem Código)",IF(ISERROR(MATCH($AE643,INDIRECT(ORÇAMENTO.BancoRef),0)),"(Código não identificado nas referências)",MATCH($AE643,INDIRECT(ORÇAMENTO.BancoRef),0))))</f>
        <v>(abra o arquivo 'Referência 06-2024.xlsm)</v>
      </c>
      <c r="AG643" s="498">
        <f ca="1">ROUND(IF(DESONERACAO="sim",REFERENCIA.Desonerado,REFERENCIA.NaoDesonerado),2)</f>
        <v>0</v>
      </c>
      <c r="AH643" s="499">
        <f t="shared" ca="1" si="144"/>
        <v>0.2432</v>
      </c>
      <c r="AJ643" s="501"/>
      <c r="AL643" s="527"/>
      <c r="AM643" s="381">
        <f t="shared" ca="1" si="133"/>
        <v>0</v>
      </c>
      <c r="AN643" s="566">
        <f t="shared" ca="1" si="145"/>
        <v>0</v>
      </c>
    </row>
    <row r="644" spans="1:40" ht="38.25" x14ac:dyDescent="0.2">
      <c r="A644" t="str">
        <f t="shared" ref="A644:A700" si="148">CHOOSE(1+LOG(1+2*(ORÇAMENTO.Nivel="Meta")+4*(ORÇAMENTO.Nivel="Nível 2")+8*(ORÇAMENTO.Nivel="Nível 3")+16*(ORÇAMENTO.Nivel="Nível 4")+32*(ORÇAMENTO.Nivel="Serviço"),2),0,1,2,3,4,"S")</f>
        <v>S</v>
      </c>
      <c r="B644">
        <f t="shared" ca="1" si="120"/>
        <v>2</v>
      </c>
      <c r="C644" t="str">
        <f t="shared" ca="1" si="121"/>
        <v>S</v>
      </c>
      <c r="D644">
        <f t="shared" ca="1" si="122"/>
        <v>0</v>
      </c>
      <c r="E644">
        <f ca="1">IF($C644=1,OFFSET(E644,-1,0)+MAX(1,COUNTIF(QCI!$A$13:$A$24,OFFSET(ORÇAMENTO!E644,-1,0))),OFFSET(E644,-1,0))</f>
        <v>1</v>
      </c>
      <c r="F644">
        <f t="shared" ca="1" si="123"/>
        <v>68</v>
      </c>
      <c r="G644">
        <f t="shared" ca="1" si="124"/>
        <v>0</v>
      </c>
      <c r="H644">
        <f t="shared" ca="1" si="125"/>
        <v>0</v>
      </c>
      <c r="I644">
        <f t="shared" ca="1" si="126"/>
        <v>0</v>
      </c>
      <c r="J644">
        <f t="shared" ca="1" si="146"/>
        <v>0</v>
      </c>
      <c r="K644">
        <f ca="1">IF(OR($C644="S",$C644=0),0,MATCH(OFFSET($D644,0,$C644)+IF($C644&lt;&gt;1,1,COUNTIF(QCI!$A$13:$A$24,ORÇAMENTO!E644)),OFFSET($D644,1,$C644,ROW($C$727)-ROW($C644)),0))</f>
        <v>0</v>
      </c>
      <c r="L644" s="116" t="str">
        <f t="shared" ca="1" si="127"/>
        <v/>
      </c>
      <c r="M644" s="117" t="s">
        <v>199</v>
      </c>
      <c r="N644" s="118" t="str">
        <f t="shared" ca="1" si="128"/>
        <v>Serviço</v>
      </c>
      <c r="O644" s="119" t="str">
        <f t="shared" ca="1" si="129"/>
        <v>-</v>
      </c>
      <c r="P644" s="120" t="s">
        <v>458</v>
      </c>
      <c r="Q644" s="121" t="s">
        <v>973</v>
      </c>
      <c r="R644" s="122" t="str">
        <f ca="1">IF($C644="S",REFERENCIA.Descricao,"(digite a descrição aqui)")</f>
        <v>(abra o arquivo 'Referência 06-2024.xlsm)</v>
      </c>
      <c r="S644" s="123" t="str">
        <f ca="1">REFERENCIA.Unidade</f>
        <v>-</v>
      </c>
      <c r="T644" s="124">
        <f ca="1">OFFSET(CÁLCULO!H$15,ROW($T644)-ROW(T$15),0)</f>
        <v>77.599999999999994</v>
      </c>
      <c r="U644" s="125">
        <f t="shared" ca="1" si="147"/>
        <v>0</v>
      </c>
      <c r="V644" s="126" t="s">
        <v>156</v>
      </c>
      <c r="W644" s="124">
        <f ca="1">IF($C644="S",ROUND(IF(TIPOORCAMENTO="Proposto",ORÇAMENTO.CustoUnitario*(1+$AH644),ORÇAMENTO.PrecoUnitarioLicitado),15-13*$AF$10),0)</f>
        <v>0</v>
      </c>
      <c r="X644" s="127">
        <f ca="1">IF($C644="S",IF(Import.TipoArredondamento&lt;&gt;"TransfereGOV",VTOTAL1,SUM(OFFSET(CÁLCULO!$AI$15,ROW($X644)-ROW($X$15),1):OFFSET(CÁLCULO!$BB$15,ROW($X644)-ROW($X$15),-1))),IF($C644=0,0,ROUND(SomaAgrup,15-13*$AF$11)))</f>
        <v>0</v>
      </c>
      <c r="Y644" s="128" t="s">
        <v>245</v>
      </c>
      <c r="Z644" t="str">
        <f t="shared" ca="1" si="130"/>
        <v/>
      </c>
      <c r="AA644" s="129">
        <f ca="1">IF($C644="S",IF($Z644="CP",$X644,IF($Z644="RA",(($X644)*QCI!$AA$3),0)),SomaAgrup)</f>
        <v>0</v>
      </c>
      <c r="AB644" s="130">
        <f t="shared" ref="AB644:AB700" ca="1" si="149">IF($C644="S",IF($Z644="OU",ROUND($X644,2),0),SomaAgrup)</f>
        <v>0</v>
      </c>
      <c r="AC644" s="131" t="str">
        <f ca="1">IF($N644="","",IF(ORÇAMENTO.Descricao="","DESCRIÇÃO",IF(AND($C644="S",ORÇAMENTO.Unidade=""),"UNIDADE",IF($X644&lt;0,"VALOR NEGATIVO",IF(OR(AND(TIPOORCAMENTO="Proposto",$AG644&lt;&gt;"",$AG644&gt;0,ORÇAMENTO.CustoUnitario&gt;$AG644),AND(TIPOORCAMENTO="LICITADO",ORÇAMENTO.PrecoUnitarioLicitado&gt;$AN644)),"ACIMA REF.","")))))</f>
        <v/>
      </c>
      <c r="AD644" t="str">
        <f ca="1">IF(C644&lt;=CRONO.NivelExibicao,MAX($AD$15:OFFSET(AD644,-1,0))+IF($C644&lt;&gt;1,1,MAX(1,COUNTIF(QCI!$A$13:$A$24,OFFSET($E644,-1,0)))),"")</f>
        <v/>
      </c>
      <c r="AE644" s="7" t="str">
        <f ca="1">IF(AND($C644="S",ORÇAMENTO.CodBarra&lt;&gt;""),IF(ORÇAMENTO.Fonte="",ORÇAMENTO.CodBarra,CONCATENATE(ORÇAMENTO.Fonte," ",ORÇAMENTO.CodBarra)))</f>
        <v>COMPOSIÇÃO FNDE 312</v>
      </c>
      <c r="AF644" s="13" t="str">
        <f ca="1">IF(ISERROR(INDIRECT(ORÇAMENTO.BancoRef)),"(abra o arquivo 'Referência "&amp;Excel_BuiltIn_Database&amp;".xlsm)",IF(OR($C644&lt;&gt;"S",ORÇAMENTO.CodBarra=""),"(Sem Código)",IF(ISERROR(MATCH($AE644,INDIRECT(ORÇAMENTO.BancoRef),0)),"(Código não identificado nas referências)",MATCH($AE644,INDIRECT(ORÇAMENTO.BancoRef),0))))</f>
        <v>(abra o arquivo 'Referência 06-2024.xlsm)</v>
      </c>
      <c r="AG644" s="498">
        <f ca="1">ROUND(IF(DESONERACAO="sim",REFERENCIA.Desonerado,REFERENCIA.NaoDesonerado),2)</f>
        <v>0</v>
      </c>
      <c r="AH644" s="499">
        <f t="shared" ref="AH644:AH700" ca="1" si="150">ROUND(IF(ISNUMBER(ORÇAMENTO.OpcaoBDI),ORÇAMENTO.OpcaoBDI,IF(LEFT(ORÇAMENTO.OpcaoBDI,3)="BDI",HLOOKUP(ORÇAMENTO.OpcaoBDI,$F$4:$H$5,2,FALSE),0)),15-11*$AF$9)</f>
        <v>0.2432</v>
      </c>
      <c r="AJ644" s="501"/>
      <c r="AL644" s="527"/>
      <c r="AM644" s="381">
        <f t="shared" ca="1" si="133"/>
        <v>0</v>
      </c>
      <c r="AN644" s="566">
        <f t="shared" ref="AN644:AN700" ca="1" si="151">ROUND(ORÇAMENTO.CustoUnitario*(1+$AH644),2)</f>
        <v>0</v>
      </c>
    </row>
    <row r="645" spans="1:40" ht="38.25" x14ac:dyDescent="0.2">
      <c r="A645" t="str">
        <f t="shared" si="148"/>
        <v>S</v>
      </c>
      <c r="B645">
        <f t="shared" ca="1" si="120"/>
        <v>2</v>
      </c>
      <c r="C645" t="str">
        <f t="shared" ca="1" si="121"/>
        <v>S</v>
      </c>
      <c r="D645">
        <f t="shared" ca="1" si="122"/>
        <v>0</v>
      </c>
      <c r="E645">
        <f ca="1">IF($C645=1,OFFSET(E645,-1,0)+MAX(1,COUNTIF(QCI!$A$13:$A$24,OFFSET(ORÇAMENTO!E645,-1,0))),OFFSET(E645,-1,0))</f>
        <v>1</v>
      </c>
      <c r="F645">
        <f t="shared" ca="1" si="123"/>
        <v>68</v>
      </c>
      <c r="G645">
        <f t="shared" ca="1" si="124"/>
        <v>0</v>
      </c>
      <c r="H645">
        <f t="shared" ca="1" si="125"/>
        <v>0</v>
      </c>
      <c r="I645">
        <f t="shared" ca="1" si="126"/>
        <v>0</v>
      </c>
      <c r="J645">
        <f t="shared" ca="1" si="146"/>
        <v>0</v>
      </c>
      <c r="K645">
        <f ca="1">IF(OR($C645="S",$C645=0),0,MATCH(OFFSET($D645,0,$C645)+IF($C645&lt;&gt;1,1,COUNTIF(QCI!$A$13:$A$24,ORÇAMENTO!E645)),OFFSET($D645,1,$C645,ROW($C$727)-ROW($C645)),0))</f>
        <v>0</v>
      </c>
      <c r="L645" s="116" t="str">
        <f t="shared" ca="1" si="127"/>
        <v/>
      </c>
      <c r="M645" s="117" t="s">
        <v>199</v>
      </c>
      <c r="N645" s="118" t="str">
        <f t="shared" ca="1" si="128"/>
        <v>Serviço</v>
      </c>
      <c r="O645" s="119" t="str">
        <f t="shared" ca="1" si="129"/>
        <v>-</v>
      </c>
      <c r="P645" s="120" t="s">
        <v>247</v>
      </c>
      <c r="Q645" s="121" t="s">
        <v>932</v>
      </c>
      <c r="R645" s="122" t="str">
        <f ca="1">IF($C645="S",REFERENCIA.Descricao,"(digite a descrição aqui)")</f>
        <v>(abra o arquivo 'Referência 06-2024.xlsm)</v>
      </c>
      <c r="S645" s="123" t="str">
        <f ca="1">REFERENCIA.Unidade</f>
        <v>-</v>
      </c>
      <c r="T645" s="124">
        <f ca="1">OFFSET(CÁLCULO!H$15,ROW($T645)-ROW(T$15),0)</f>
        <v>4.2</v>
      </c>
      <c r="U645" s="125">
        <f t="shared" ca="1" si="147"/>
        <v>0</v>
      </c>
      <c r="V645" s="126" t="s">
        <v>156</v>
      </c>
      <c r="W645" s="124">
        <f ca="1">IF($C645="S",ROUND(IF(TIPOORCAMENTO="Proposto",ORÇAMENTO.CustoUnitario*(1+$AH645),ORÇAMENTO.PrecoUnitarioLicitado),15-13*$AF$10),0)</f>
        <v>0</v>
      </c>
      <c r="X645" s="127">
        <f ca="1">IF($C645="S",IF(Import.TipoArredondamento&lt;&gt;"TransfereGOV",VTOTAL1,SUM(OFFSET(CÁLCULO!$AI$15,ROW($X645)-ROW($X$15),1):OFFSET(CÁLCULO!$BB$15,ROW($X645)-ROW($X$15),-1))),IF($C645=0,0,ROUND(SomaAgrup,15-13*$AF$11)))</f>
        <v>0</v>
      </c>
      <c r="Y645" s="128" t="s">
        <v>245</v>
      </c>
      <c r="Z645" t="str">
        <f t="shared" ca="1" si="130"/>
        <v/>
      </c>
      <c r="AA645" s="129">
        <f ca="1">IF($C645="S",IF($Z645="CP",$X645,IF($Z645="RA",(($X645)*QCI!$AA$3),0)),SomaAgrup)</f>
        <v>0</v>
      </c>
      <c r="AB645" s="130">
        <f t="shared" ca="1" si="149"/>
        <v>0</v>
      </c>
      <c r="AC645" s="131" t="str">
        <f ca="1">IF($N645="","",IF(ORÇAMENTO.Descricao="","DESCRIÇÃO",IF(AND($C645="S",ORÇAMENTO.Unidade=""),"UNIDADE",IF($X645&lt;0,"VALOR NEGATIVO",IF(OR(AND(TIPOORCAMENTO="Proposto",$AG645&lt;&gt;"",$AG645&gt;0,ORÇAMENTO.CustoUnitario&gt;$AG645),AND(TIPOORCAMENTO="LICITADO",ORÇAMENTO.PrecoUnitarioLicitado&gt;$AN645)),"ACIMA REF.","")))))</f>
        <v/>
      </c>
      <c r="AD645" t="str">
        <f ca="1">IF(C645&lt;=CRONO.NivelExibicao,MAX($AD$15:OFFSET(AD645,-1,0))+IF($C645&lt;&gt;1,1,MAX(1,COUNTIF(QCI!$A$13:$A$24,OFFSET($E645,-1,0)))),"")</f>
        <v/>
      </c>
      <c r="AE645" s="7" t="str">
        <f ca="1">IF(AND($C645="S",ORÇAMENTO.CodBarra&lt;&gt;""),IF(ORÇAMENTO.Fonte="",ORÇAMENTO.CodBarra,CONCATENATE(ORÇAMENTO.Fonte," ",ORÇAMENTO.CodBarra)))</f>
        <v>SINAPI 91837</v>
      </c>
      <c r="AF645" s="13" t="str">
        <f ca="1">IF(ISERROR(INDIRECT(ORÇAMENTO.BancoRef)),"(abra o arquivo 'Referência "&amp;Excel_BuiltIn_Database&amp;".xlsm)",IF(OR($C645&lt;&gt;"S",ORÇAMENTO.CodBarra=""),"(Sem Código)",IF(ISERROR(MATCH($AE645,INDIRECT(ORÇAMENTO.BancoRef),0)),"(Código não identificado nas referências)",MATCH($AE645,INDIRECT(ORÇAMENTO.BancoRef),0))))</f>
        <v>(abra o arquivo 'Referência 06-2024.xlsm)</v>
      </c>
      <c r="AG645" s="498">
        <f ca="1">ROUND(IF(DESONERACAO="sim",REFERENCIA.Desonerado,REFERENCIA.NaoDesonerado),2)</f>
        <v>0</v>
      </c>
      <c r="AH645" s="499">
        <f t="shared" ca="1" si="150"/>
        <v>0.2432</v>
      </c>
      <c r="AJ645" s="501"/>
      <c r="AL645" s="527"/>
      <c r="AM645" s="381">
        <f t="shared" ca="1" si="133"/>
        <v>0</v>
      </c>
      <c r="AN645" s="566">
        <f t="shared" ca="1" si="151"/>
        <v>0</v>
      </c>
    </row>
    <row r="646" spans="1:40" ht="38.25" x14ac:dyDescent="0.2">
      <c r="A646" t="str">
        <f t="shared" si="148"/>
        <v>S</v>
      </c>
      <c r="B646">
        <f t="shared" ca="1" si="120"/>
        <v>2</v>
      </c>
      <c r="C646" t="str">
        <f t="shared" ca="1" si="121"/>
        <v>S</v>
      </c>
      <c r="D646">
        <f t="shared" ca="1" si="122"/>
        <v>0</v>
      </c>
      <c r="E646">
        <f ca="1">IF($C646=1,OFFSET(E646,-1,0)+MAX(1,COUNTIF(QCI!$A$13:$A$24,OFFSET(ORÇAMENTO!E646,-1,0))),OFFSET(E646,-1,0))</f>
        <v>1</v>
      </c>
      <c r="F646">
        <f t="shared" ca="1" si="123"/>
        <v>68</v>
      </c>
      <c r="G646">
        <f t="shared" ca="1" si="124"/>
        <v>0</v>
      </c>
      <c r="H646">
        <f t="shared" ca="1" si="125"/>
        <v>0</v>
      </c>
      <c r="I646">
        <f t="shared" ca="1" si="126"/>
        <v>0</v>
      </c>
      <c r="J646">
        <f t="shared" ca="1" si="146"/>
        <v>0</v>
      </c>
      <c r="K646">
        <f ca="1">IF(OR($C646="S",$C646=0),0,MATCH(OFFSET($D646,0,$C646)+IF($C646&lt;&gt;1,1,COUNTIF(QCI!$A$13:$A$24,ORÇAMENTO!E646)),OFFSET($D646,1,$C646,ROW($C$727)-ROW($C646)),0))</f>
        <v>0</v>
      </c>
      <c r="L646" s="116" t="str">
        <f t="shared" ca="1" si="127"/>
        <v/>
      </c>
      <c r="M646" s="117" t="s">
        <v>199</v>
      </c>
      <c r="N646" s="118" t="str">
        <f t="shared" ca="1" si="128"/>
        <v>Serviço</v>
      </c>
      <c r="O646" s="119" t="str">
        <f t="shared" ca="1" si="129"/>
        <v>-</v>
      </c>
      <c r="P646" s="120" t="s">
        <v>247</v>
      </c>
      <c r="Q646" s="121" t="s">
        <v>974</v>
      </c>
      <c r="R646" s="122" t="str">
        <f ca="1">IF($C646="S",REFERENCIA.Descricao,"(digite a descrição aqui)")</f>
        <v>(abra o arquivo 'Referência 06-2024.xlsm)</v>
      </c>
      <c r="S646" s="123" t="str">
        <f ca="1">REFERENCIA.Unidade</f>
        <v>-</v>
      </c>
      <c r="T646" s="124">
        <f ca="1">OFFSET(CÁLCULO!H$15,ROW($T646)-ROW(T$15),0)</f>
        <v>258.39999999999998</v>
      </c>
      <c r="U646" s="125">
        <f t="shared" ca="1" si="147"/>
        <v>0</v>
      </c>
      <c r="V646" s="126" t="s">
        <v>156</v>
      </c>
      <c r="W646" s="124">
        <f ca="1">IF($C646="S",ROUND(IF(TIPOORCAMENTO="Proposto",ORÇAMENTO.CustoUnitario*(1+$AH646),ORÇAMENTO.PrecoUnitarioLicitado),15-13*$AF$10),0)</f>
        <v>0</v>
      </c>
      <c r="X646" s="127">
        <f ca="1">IF($C646="S",IF(Import.TipoArredondamento&lt;&gt;"TransfereGOV",VTOTAL1,SUM(OFFSET(CÁLCULO!$AI$15,ROW($X646)-ROW($X$15),1):OFFSET(CÁLCULO!$BB$15,ROW($X646)-ROW($X$15),-1))),IF($C646=0,0,ROUND(SomaAgrup,15-13*$AF$11)))</f>
        <v>0</v>
      </c>
      <c r="Y646" s="128" t="s">
        <v>245</v>
      </c>
      <c r="Z646" t="str">
        <f t="shared" ca="1" si="130"/>
        <v/>
      </c>
      <c r="AA646" s="129">
        <f ca="1">IF($C646="S",IF($Z646="CP",$X646,IF($Z646="RA",(($X646)*QCI!$AA$3),0)),SomaAgrup)</f>
        <v>0</v>
      </c>
      <c r="AB646" s="130">
        <f t="shared" ca="1" si="149"/>
        <v>0</v>
      </c>
      <c r="AC646" s="131" t="str">
        <f ca="1">IF($N646="","",IF(ORÇAMENTO.Descricao="","DESCRIÇÃO",IF(AND($C646="S",ORÇAMENTO.Unidade=""),"UNIDADE",IF($X646&lt;0,"VALOR NEGATIVO",IF(OR(AND(TIPOORCAMENTO="Proposto",$AG646&lt;&gt;"",$AG646&gt;0,ORÇAMENTO.CustoUnitario&gt;$AG646),AND(TIPOORCAMENTO="LICITADO",ORÇAMENTO.PrecoUnitarioLicitado&gt;$AN646)),"ACIMA REF.","")))))</f>
        <v/>
      </c>
      <c r="AD646" t="str">
        <f ca="1">IF(C646&lt;=CRONO.NivelExibicao,MAX($AD$15:OFFSET(AD646,-1,0))+IF($C646&lt;&gt;1,1,MAX(1,COUNTIF(QCI!$A$13:$A$24,OFFSET($E646,-1,0)))),"")</f>
        <v/>
      </c>
      <c r="AE646" s="7" t="str">
        <f ca="1">IF(AND($C646="S",ORÇAMENTO.CodBarra&lt;&gt;""),IF(ORÇAMENTO.Fonte="",ORÇAMENTO.CodBarra,CONCATENATE(ORÇAMENTO.Fonte," ",ORÇAMENTO.CodBarra)))</f>
        <v>SINAPI 91835</v>
      </c>
      <c r="AF646" s="13" t="str">
        <f ca="1">IF(ISERROR(INDIRECT(ORÇAMENTO.BancoRef)),"(abra o arquivo 'Referência "&amp;Excel_BuiltIn_Database&amp;".xlsm)",IF(OR($C646&lt;&gt;"S",ORÇAMENTO.CodBarra=""),"(Sem Código)",IF(ISERROR(MATCH($AE646,INDIRECT(ORÇAMENTO.BancoRef),0)),"(Código não identificado nas referências)",MATCH($AE646,INDIRECT(ORÇAMENTO.BancoRef),0))))</f>
        <v>(abra o arquivo 'Referência 06-2024.xlsm)</v>
      </c>
      <c r="AG646" s="498">
        <f ca="1">ROUND(IF(DESONERACAO="sim",REFERENCIA.Desonerado,REFERENCIA.NaoDesonerado),2)</f>
        <v>0</v>
      </c>
      <c r="AH646" s="499">
        <f t="shared" ca="1" si="150"/>
        <v>0.2432</v>
      </c>
      <c r="AJ646" s="501"/>
      <c r="AL646" s="527"/>
      <c r="AM646" s="381">
        <f t="shared" ca="1" si="133"/>
        <v>0</v>
      </c>
      <c r="AN646" s="566">
        <f t="shared" ca="1" si="151"/>
        <v>0</v>
      </c>
    </row>
    <row r="647" spans="1:40" ht="38.25" x14ac:dyDescent="0.2">
      <c r="A647" t="str">
        <f t="shared" si="148"/>
        <v>S</v>
      </c>
      <c r="B647">
        <f t="shared" ca="1" si="120"/>
        <v>2</v>
      </c>
      <c r="C647" t="str">
        <f t="shared" ca="1" si="121"/>
        <v>S</v>
      </c>
      <c r="D647">
        <f t="shared" ca="1" si="122"/>
        <v>0</v>
      </c>
      <c r="E647">
        <f ca="1">IF($C647=1,OFFSET(E647,-1,0)+MAX(1,COUNTIF(QCI!$A$13:$A$24,OFFSET(ORÇAMENTO!E647,-1,0))),OFFSET(E647,-1,0))</f>
        <v>1</v>
      </c>
      <c r="F647">
        <f t="shared" ca="1" si="123"/>
        <v>68</v>
      </c>
      <c r="G647">
        <f t="shared" ca="1" si="124"/>
        <v>0</v>
      </c>
      <c r="H647">
        <f t="shared" ca="1" si="125"/>
        <v>0</v>
      </c>
      <c r="I647">
        <f t="shared" ca="1" si="126"/>
        <v>0</v>
      </c>
      <c r="J647">
        <f t="shared" ca="1" si="146"/>
        <v>0</v>
      </c>
      <c r="K647">
        <f ca="1">IF(OR($C647="S",$C647=0),0,MATCH(OFFSET($D647,0,$C647)+IF($C647&lt;&gt;1,1,COUNTIF(QCI!$A$13:$A$24,ORÇAMENTO!E647)),OFFSET($D647,1,$C647,ROW($C$727)-ROW($C647)),0))</f>
        <v>0</v>
      </c>
      <c r="L647" s="116" t="str">
        <f t="shared" ca="1" si="127"/>
        <v/>
      </c>
      <c r="M647" s="117" t="s">
        <v>199</v>
      </c>
      <c r="N647" s="118" t="str">
        <f t="shared" ca="1" si="128"/>
        <v>Serviço</v>
      </c>
      <c r="O647" s="119" t="str">
        <f t="shared" ca="1" si="129"/>
        <v>-</v>
      </c>
      <c r="P647" s="120" t="s">
        <v>247</v>
      </c>
      <c r="Q647" s="121" t="s">
        <v>975</v>
      </c>
      <c r="R647" s="122" t="str">
        <f ca="1">IF($C647="S",REFERENCIA.Descricao,"(digite a descrição aqui)")</f>
        <v>(abra o arquivo 'Referência 06-2024.xlsm)</v>
      </c>
      <c r="S647" s="123" t="str">
        <f ca="1">REFERENCIA.Unidade</f>
        <v>-</v>
      </c>
      <c r="T647" s="124">
        <f ca="1">OFFSET(CÁLCULO!H$15,ROW($T647)-ROW(T$15),0)</f>
        <v>51.8</v>
      </c>
      <c r="U647" s="125">
        <f t="shared" ca="1" si="147"/>
        <v>0</v>
      </c>
      <c r="V647" s="126" t="s">
        <v>156</v>
      </c>
      <c r="W647" s="124">
        <f ca="1">IF($C647="S",ROUND(IF(TIPOORCAMENTO="Proposto",ORÇAMENTO.CustoUnitario*(1+$AH647),ORÇAMENTO.PrecoUnitarioLicitado),15-13*$AF$10),0)</f>
        <v>0</v>
      </c>
      <c r="X647" s="127">
        <f ca="1">IF($C647="S",IF(Import.TipoArredondamento&lt;&gt;"TransfereGOV",VTOTAL1,SUM(OFFSET(CÁLCULO!$AI$15,ROW($X647)-ROW($X$15),1):OFFSET(CÁLCULO!$BB$15,ROW($X647)-ROW($X$15),-1))),IF($C647=0,0,ROUND(SomaAgrup,15-13*$AF$11)))</f>
        <v>0</v>
      </c>
      <c r="Y647" s="128" t="s">
        <v>245</v>
      </c>
      <c r="Z647" t="str">
        <f t="shared" ca="1" si="130"/>
        <v/>
      </c>
      <c r="AA647" s="129">
        <f ca="1">IF($C647="S",IF($Z647="CP",$X647,IF($Z647="RA",(($X647)*QCI!$AA$3),0)),SomaAgrup)</f>
        <v>0</v>
      </c>
      <c r="AB647" s="130">
        <f t="shared" ca="1" si="149"/>
        <v>0</v>
      </c>
      <c r="AC647" s="131" t="str">
        <f ca="1">IF($N647="","",IF(ORÇAMENTO.Descricao="","DESCRIÇÃO",IF(AND($C647="S",ORÇAMENTO.Unidade=""),"UNIDADE",IF($X647&lt;0,"VALOR NEGATIVO",IF(OR(AND(TIPOORCAMENTO="Proposto",$AG647&lt;&gt;"",$AG647&gt;0,ORÇAMENTO.CustoUnitario&gt;$AG647),AND(TIPOORCAMENTO="LICITADO",ORÇAMENTO.PrecoUnitarioLicitado&gt;$AN647)),"ACIMA REF.","")))))</f>
        <v/>
      </c>
      <c r="AD647" t="str">
        <f ca="1">IF(C647&lt;=CRONO.NivelExibicao,MAX($AD$15:OFFSET(AD647,-1,0))+IF($C647&lt;&gt;1,1,MAX(1,COUNTIF(QCI!$A$13:$A$24,OFFSET($E647,-1,0)))),"")</f>
        <v/>
      </c>
      <c r="AE647" s="7" t="str">
        <f ca="1">IF(AND($C647="S",ORÇAMENTO.CodBarra&lt;&gt;""),IF(ORÇAMENTO.Fonte="",ORÇAMENTO.CodBarra,CONCATENATE(ORÇAMENTO.Fonte," ",ORÇAMENTO.CodBarra)))</f>
        <v>SINAPI 91865</v>
      </c>
      <c r="AF647" s="13" t="str">
        <f ca="1">IF(ISERROR(INDIRECT(ORÇAMENTO.BancoRef)),"(abra o arquivo 'Referência "&amp;Excel_BuiltIn_Database&amp;".xlsm)",IF(OR($C647&lt;&gt;"S",ORÇAMENTO.CodBarra=""),"(Sem Código)",IF(ISERROR(MATCH($AE647,INDIRECT(ORÇAMENTO.BancoRef),0)),"(Código não identificado nas referências)",MATCH($AE647,INDIRECT(ORÇAMENTO.BancoRef),0))))</f>
        <v>(abra o arquivo 'Referência 06-2024.xlsm)</v>
      </c>
      <c r="AG647" s="498">
        <f ca="1">ROUND(IF(DESONERACAO="sim",REFERENCIA.Desonerado,REFERENCIA.NaoDesonerado),2)</f>
        <v>0</v>
      </c>
      <c r="AH647" s="499">
        <f t="shared" ca="1" si="150"/>
        <v>0.2432</v>
      </c>
      <c r="AJ647" s="501"/>
      <c r="AL647" s="527"/>
      <c r="AM647" s="381">
        <f t="shared" ca="1" si="133"/>
        <v>0</v>
      </c>
      <c r="AN647" s="566">
        <f t="shared" ca="1" si="151"/>
        <v>0</v>
      </c>
    </row>
    <row r="648" spans="1:40" ht="38.25" x14ac:dyDescent="0.2">
      <c r="A648" t="str">
        <f t="shared" si="148"/>
        <v>S</v>
      </c>
      <c r="B648">
        <f t="shared" ca="1" si="120"/>
        <v>2</v>
      </c>
      <c r="C648" t="str">
        <f t="shared" ca="1" si="121"/>
        <v>S</v>
      </c>
      <c r="D648">
        <f t="shared" ca="1" si="122"/>
        <v>0</v>
      </c>
      <c r="E648">
        <f ca="1">IF($C648=1,OFFSET(E648,-1,0)+MAX(1,COUNTIF(QCI!$A$13:$A$24,OFFSET(ORÇAMENTO!E648,-1,0))),OFFSET(E648,-1,0))</f>
        <v>1</v>
      </c>
      <c r="F648">
        <f t="shared" ca="1" si="123"/>
        <v>68</v>
      </c>
      <c r="G648">
        <f t="shared" ca="1" si="124"/>
        <v>0</v>
      </c>
      <c r="H648">
        <f t="shared" ca="1" si="125"/>
        <v>0</v>
      </c>
      <c r="I648">
        <f t="shared" ca="1" si="126"/>
        <v>0</v>
      </c>
      <c r="J648">
        <f t="shared" ca="1" si="146"/>
        <v>0</v>
      </c>
      <c r="K648">
        <f ca="1">IF(OR($C648="S",$C648=0),0,MATCH(OFFSET($D648,0,$C648)+IF($C648&lt;&gt;1,1,COUNTIF(QCI!$A$13:$A$24,ORÇAMENTO!E648)),OFFSET($D648,1,$C648,ROW($C$727)-ROW($C648)),0))</f>
        <v>0</v>
      </c>
      <c r="L648" s="116" t="str">
        <f t="shared" ca="1" si="127"/>
        <v/>
      </c>
      <c r="M648" s="117" t="s">
        <v>199</v>
      </c>
      <c r="N648" s="118" t="str">
        <f t="shared" ca="1" si="128"/>
        <v>Serviço</v>
      </c>
      <c r="O648" s="119" t="str">
        <f t="shared" ca="1" si="129"/>
        <v>-</v>
      </c>
      <c r="P648" s="120" t="s">
        <v>247</v>
      </c>
      <c r="Q648" s="121" t="s">
        <v>976</v>
      </c>
      <c r="R648" s="122" t="str">
        <f ca="1">IF($C648="S",REFERENCIA.Descricao,"(digite a descrição aqui)")</f>
        <v>(abra o arquivo 'Referência 06-2024.xlsm)</v>
      </c>
      <c r="S648" s="123" t="str">
        <f ca="1">REFERENCIA.Unidade</f>
        <v>-</v>
      </c>
      <c r="T648" s="124">
        <f ca="1">OFFSET(CÁLCULO!H$15,ROW($T648)-ROW(T$15),0)</f>
        <v>46.9</v>
      </c>
      <c r="U648" s="125">
        <f t="shared" ca="1" si="147"/>
        <v>0</v>
      </c>
      <c r="V648" s="126" t="s">
        <v>156</v>
      </c>
      <c r="W648" s="124">
        <f ca="1">IF($C648="S",ROUND(IF(TIPOORCAMENTO="Proposto",ORÇAMENTO.CustoUnitario*(1+$AH648),ORÇAMENTO.PrecoUnitarioLicitado),15-13*$AF$10),0)</f>
        <v>0</v>
      </c>
      <c r="X648" s="127">
        <f ca="1">IF($C648="S",IF(Import.TipoArredondamento&lt;&gt;"TransfereGOV",VTOTAL1,SUM(OFFSET(CÁLCULO!$AI$15,ROW($X648)-ROW($X$15),1):OFFSET(CÁLCULO!$BB$15,ROW($X648)-ROW($X$15),-1))),IF($C648=0,0,ROUND(SomaAgrup,15-13*$AF$11)))</f>
        <v>0</v>
      </c>
      <c r="Y648" s="128" t="s">
        <v>245</v>
      </c>
      <c r="Z648" t="str">
        <f t="shared" ca="1" si="130"/>
        <v/>
      </c>
      <c r="AA648" s="129">
        <f ca="1">IF($C648="S",IF($Z648="CP",$X648,IF($Z648="RA",(($X648)*QCI!$AA$3),0)),SomaAgrup)</f>
        <v>0</v>
      </c>
      <c r="AB648" s="130">
        <f t="shared" ca="1" si="149"/>
        <v>0</v>
      </c>
      <c r="AC648" s="131" t="str">
        <f ca="1">IF($N648="","",IF(ORÇAMENTO.Descricao="","DESCRIÇÃO",IF(AND($C648="S",ORÇAMENTO.Unidade=""),"UNIDADE",IF($X648&lt;0,"VALOR NEGATIVO",IF(OR(AND(TIPOORCAMENTO="Proposto",$AG648&lt;&gt;"",$AG648&gt;0,ORÇAMENTO.CustoUnitario&gt;$AG648),AND(TIPOORCAMENTO="LICITADO",ORÇAMENTO.PrecoUnitarioLicitado&gt;$AN648)),"ACIMA REF.","")))))</f>
        <v/>
      </c>
      <c r="AD648" t="str">
        <f ca="1">IF(C648&lt;=CRONO.NivelExibicao,MAX($AD$15:OFFSET(AD648,-1,0))+IF($C648&lt;&gt;1,1,MAX(1,COUNTIF(QCI!$A$13:$A$24,OFFSET($E648,-1,0)))),"")</f>
        <v/>
      </c>
      <c r="AE648" s="7" t="str">
        <f ca="1">IF(AND($C648="S",ORÇAMENTO.CodBarra&lt;&gt;""),IF(ORÇAMENTO.Fonte="",ORÇAMENTO.CodBarra,CONCATENATE(ORÇAMENTO.Fonte," ",ORÇAMENTO.CodBarra)))</f>
        <v>SINAPI 93011</v>
      </c>
      <c r="AF648" s="13" t="str">
        <f ca="1">IF(ISERROR(INDIRECT(ORÇAMENTO.BancoRef)),"(abra o arquivo 'Referência "&amp;Excel_BuiltIn_Database&amp;".xlsm)",IF(OR($C648&lt;&gt;"S",ORÇAMENTO.CodBarra=""),"(Sem Código)",IF(ISERROR(MATCH($AE648,INDIRECT(ORÇAMENTO.BancoRef),0)),"(Código não identificado nas referências)",MATCH($AE648,INDIRECT(ORÇAMENTO.BancoRef),0))))</f>
        <v>(abra o arquivo 'Referência 06-2024.xlsm)</v>
      </c>
      <c r="AG648" s="498">
        <f ca="1">ROUND(IF(DESONERACAO="sim",REFERENCIA.Desonerado,REFERENCIA.NaoDesonerado),2)</f>
        <v>0</v>
      </c>
      <c r="AH648" s="499">
        <f t="shared" ca="1" si="150"/>
        <v>0.2432</v>
      </c>
      <c r="AJ648" s="501"/>
      <c r="AL648" s="527"/>
      <c r="AM648" s="381">
        <f t="shared" ca="1" si="133"/>
        <v>0</v>
      </c>
      <c r="AN648" s="566">
        <f t="shared" ca="1" si="151"/>
        <v>0</v>
      </c>
    </row>
    <row r="649" spans="1:40" x14ac:dyDescent="0.2">
      <c r="A649" t="str">
        <f t="shared" si="148"/>
        <v>S</v>
      </c>
      <c r="B649">
        <f t="shared" ca="1" si="120"/>
        <v>2</v>
      </c>
      <c r="C649" t="str">
        <f t="shared" ca="1" si="121"/>
        <v>S</v>
      </c>
      <c r="D649">
        <f t="shared" ca="1" si="122"/>
        <v>0</v>
      </c>
      <c r="E649">
        <f ca="1">IF($C649=1,OFFSET(E649,-1,0)+MAX(1,COUNTIF(QCI!$A$13:$A$24,OFFSET(ORÇAMENTO!E649,-1,0))),OFFSET(E649,-1,0))</f>
        <v>1</v>
      </c>
      <c r="F649">
        <f t="shared" ca="1" si="123"/>
        <v>68</v>
      </c>
      <c r="G649">
        <f t="shared" ca="1" si="124"/>
        <v>0</v>
      </c>
      <c r="H649">
        <f t="shared" ca="1" si="125"/>
        <v>0</v>
      </c>
      <c r="I649">
        <f t="shared" ca="1" si="126"/>
        <v>0</v>
      </c>
      <c r="J649">
        <f t="shared" ca="1" si="146"/>
        <v>0</v>
      </c>
      <c r="K649">
        <f ca="1">IF(OR($C649="S",$C649=0),0,MATCH(OFFSET($D649,0,$C649)+IF($C649&lt;&gt;1,1,COUNTIF(QCI!$A$13:$A$24,ORÇAMENTO!E649)),OFFSET($D649,1,$C649,ROW($C$727)-ROW($C649)),0))</f>
        <v>0</v>
      </c>
      <c r="L649" s="116" t="str">
        <f t="shared" ca="1" si="127"/>
        <v/>
      </c>
      <c r="M649" s="117" t="s">
        <v>199</v>
      </c>
      <c r="N649" s="118" t="str">
        <f t="shared" ca="1" si="128"/>
        <v>Serviço</v>
      </c>
      <c r="O649" s="119" t="str">
        <f t="shared" ca="1" si="129"/>
        <v>-</v>
      </c>
      <c r="P649" s="120" t="s">
        <v>458</v>
      </c>
      <c r="Q649" s="121" t="s">
        <v>977</v>
      </c>
      <c r="R649" s="122" t="str">
        <f ca="1">IF($C649="S",REFERENCIA.Descricao,"(digite a descrição aqui)")</f>
        <v>(abra o arquivo 'Referência 06-2024.xlsm)</v>
      </c>
      <c r="S649" s="123" t="str">
        <f ca="1">REFERENCIA.Unidade</f>
        <v>-</v>
      </c>
      <c r="T649" s="124">
        <f ca="1">OFFSET(CÁLCULO!H$15,ROW($T649)-ROW(T$15),0)</f>
        <v>1</v>
      </c>
      <c r="U649" s="125">
        <f t="shared" ca="1" si="147"/>
        <v>0</v>
      </c>
      <c r="V649" s="126" t="s">
        <v>156</v>
      </c>
      <c r="W649" s="124">
        <f ca="1">IF($C649="S",ROUND(IF(TIPOORCAMENTO="Proposto",ORÇAMENTO.CustoUnitario*(1+$AH649),ORÇAMENTO.PrecoUnitarioLicitado),15-13*$AF$10),0)</f>
        <v>0</v>
      </c>
      <c r="X649" s="127">
        <f ca="1">IF($C649="S",IF(Import.TipoArredondamento&lt;&gt;"TransfereGOV",VTOTAL1,SUM(OFFSET(CÁLCULO!$AI$15,ROW($X649)-ROW($X$15),1):OFFSET(CÁLCULO!$BB$15,ROW($X649)-ROW($X$15),-1))),IF($C649=0,0,ROUND(SomaAgrup,15-13*$AF$11)))</f>
        <v>0</v>
      </c>
      <c r="Y649" s="128" t="s">
        <v>245</v>
      </c>
      <c r="Z649" t="str">
        <f t="shared" ca="1" si="130"/>
        <v/>
      </c>
      <c r="AA649" s="129">
        <f ca="1">IF($C649="S",IF($Z649="CP",$X649,IF($Z649="RA",(($X649)*QCI!$AA$3),0)),SomaAgrup)</f>
        <v>0</v>
      </c>
      <c r="AB649" s="130">
        <f t="shared" ca="1" si="149"/>
        <v>0</v>
      </c>
      <c r="AC649" s="131" t="str">
        <f ca="1">IF($N649="","",IF(ORÇAMENTO.Descricao="","DESCRIÇÃO",IF(AND($C649="S",ORÇAMENTO.Unidade=""),"UNIDADE",IF($X649&lt;0,"VALOR NEGATIVO",IF(OR(AND(TIPOORCAMENTO="Proposto",$AG649&lt;&gt;"",$AG649&gt;0,ORÇAMENTO.CustoUnitario&gt;$AG649),AND(TIPOORCAMENTO="LICITADO",ORÇAMENTO.PrecoUnitarioLicitado&gt;$AN649)),"ACIMA REF.","")))))</f>
        <v/>
      </c>
      <c r="AD649" t="str">
        <f ca="1">IF(C649&lt;=CRONO.NivelExibicao,MAX($AD$15:OFFSET(AD649,-1,0))+IF($C649&lt;&gt;1,1,MAX(1,COUNTIF(QCI!$A$13:$A$24,OFFSET($E649,-1,0)))),"")</f>
        <v/>
      </c>
      <c r="AE649" s="7" t="str">
        <f ca="1">IF(AND($C649="S",ORÇAMENTO.CodBarra&lt;&gt;""),IF(ORÇAMENTO.Fonte="",ORÇAMENTO.CodBarra,CONCATENATE(ORÇAMENTO.Fonte," ",ORÇAMENTO.CodBarra)))</f>
        <v>COMPOSIÇÃO FNDE 374</v>
      </c>
      <c r="AF649" s="13" t="str">
        <f ca="1">IF(ISERROR(INDIRECT(ORÇAMENTO.BancoRef)),"(abra o arquivo 'Referência "&amp;Excel_BuiltIn_Database&amp;".xlsm)",IF(OR($C649&lt;&gt;"S",ORÇAMENTO.CodBarra=""),"(Sem Código)",IF(ISERROR(MATCH($AE649,INDIRECT(ORÇAMENTO.BancoRef),0)),"(Código não identificado nas referências)",MATCH($AE649,INDIRECT(ORÇAMENTO.BancoRef),0))))</f>
        <v>(abra o arquivo 'Referência 06-2024.xlsm)</v>
      </c>
      <c r="AG649" s="498">
        <f ca="1">ROUND(IF(DESONERACAO="sim",REFERENCIA.Desonerado,REFERENCIA.NaoDesonerado),2)</f>
        <v>0</v>
      </c>
      <c r="AH649" s="499">
        <f t="shared" ca="1" si="150"/>
        <v>0.2432</v>
      </c>
      <c r="AJ649" s="501"/>
      <c r="AL649" s="527"/>
      <c r="AM649" s="381">
        <f t="shared" ca="1" si="133"/>
        <v>0</v>
      </c>
      <c r="AN649" s="566">
        <f t="shared" ca="1" si="151"/>
        <v>0</v>
      </c>
    </row>
    <row r="650" spans="1:40" x14ac:dyDescent="0.2">
      <c r="A650" t="str">
        <f t="shared" si="148"/>
        <v>S</v>
      </c>
      <c r="B650">
        <f t="shared" ca="1" si="120"/>
        <v>2</v>
      </c>
      <c r="C650" t="str">
        <f t="shared" ca="1" si="121"/>
        <v>S</v>
      </c>
      <c r="D650">
        <f t="shared" ca="1" si="122"/>
        <v>0</v>
      </c>
      <c r="E650">
        <f ca="1">IF($C650=1,OFFSET(E650,-1,0)+MAX(1,COUNTIF(QCI!$A$13:$A$24,OFFSET(ORÇAMENTO!E650,-1,0))),OFFSET(E650,-1,0))</f>
        <v>1</v>
      </c>
      <c r="F650">
        <f t="shared" ca="1" si="123"/>
        <v>68</v>
      </c>
      <c r="G650">
        <f t="shared" ca="1" si="124"/>
        <v>0</v>
      </c>
      <c r="H650">
        <f t="shared" ca="1" si="125"/>
        <v>0</v>
      </c>
      <c r="I650">
        <f t="shared" ca="1" si="126"/>
        <v>0</v>
      </c>
      <c r="J650">
        <f t="shared" ca="1" si="146"/>
        <v>0</v>
      </c>
      <c r="K650">
        <f ca="1">IF(OR($C650="S",$C650=0),0,MATCH(OFFSET($D650,0,$C650)+IF($C650&lt;&gt;1,1,COUNTIF(QCI!$A$13:$A$24,ORÇAMENTO!E650)),OFFSET($D650,1,$C650,ROW($C$727)-ROW($C650)),0))</f>
        <v>0</v>
      </c>
      <c r="L650" s="116" t="str">
        <f t="shared" ca="1" si="127"/>
        <v/>
      </c>
      <c r="M650" s="117" t="s">
        <v>199</v>
      </c>
      <c r="N650" s="118" t="str">
        <f t="shared" ca="1" si="128"/>
        <v>Serviço</v>
      </c>
      <c r="O650" s="119" t="str">
        <f t="shared" ca="1" si="129"/>
        <v>-</v>
      </c>
      <c r="P650" s="120" t="s">
        <v>458</v>
      </c>
      <c r="Q650" s="121" t="s">
        <v>925</v>
      </c>
      <c r="R650" s="122" t="str">
        <f ca="1">IF($C650="S",REFERENCIA.Descricao,"(digite a descrição aqui)")</f>
        <v>(abra o arquivo 'Referência 06-2024.xlsm)</v>
      </c>
      <c r="S650" s="123" t="str">
        <f ca="1">REFERENCIA.Unidade</f>
        <v>-</v>
      </c>
      <c r="T650" s="124">
        <f ca="1">OFFSET(CÁLCULO!H$15,ROW($T650)-ROW(T$15),0)</f>
        <v>3</v>
      </c>
      <c r="U650" s="125">
        <f t="shared" ca="1" si="147"/>
        <v>0</v>
      </c>
      <c r="V650" s="126" t="s">
        <v>156</v>
      </c>
      <c r="W650" s="124">
        <f ca="1">IF($C650="S",ROUND(IF(TIPOORCAMENTO="Proposto",ORÇAMENTO.CustoUnitario*(1+$AH650),ORÇAMENTO.PrecoUnitarioLicitado),15-13*$AF$10),0)</f>
        <v>0</v>
      </c>
      <c r="X650" s="127">
        <f ca="1">IF($C650="S",IF(Import.TipoArredondamento&lt;&gt;"TransfereGOV",VTOTAL1,SUM(OFFSET(CÁLCULO!$AI$15,ROW($X650)-ROW($X$15),1):OFFSET(CÁLCULO!$BB$15,ROW($X650)-ROW($X$15),-1))),IF($C650=0,0,ROUND(SomaAgrup,15-13*$AF$11)))</f>
        <v>0</v>
      </c>
      <c r="Y650" s="128" t="s">
        <v>245</v>
      </c>
      <c r="Z650" t="str">
        <f t="shared" ca="1" si="130"/>
        <v/>
      </c>
      <c r="AA650" s="129">
        <f ca="1">IF($C650="S",IF($Z650="CP",$X650,IF($Z650="RA",(($X650)*QCI!$AA$3),0)),SomaAgrup)</f>
        <v>0</v>
      </c>
      <c r="AB650" s="130">
        <f t="shared" ca="1" si="149"/>
        <v>0</v>
      </c>
      <c r="AC650" s="131" t="str">
        <f ca="1">IF($N650="","",IF(ORÇAMENTO.Descricao="","DESCRIÇÃO",IF(AND($C650="S",ORÇAMENTO.Unidade=""),"UNIDADE",IF($X650&lt;0,"VALOR NEGATIVO",IF(OR(AND(TIPOORCAMENTO="Proposto",$AG650&lt;&gt;"",$AG650&gt;0,ORÇAMENTO.CustoUnitario&gt;$AG650),AND(TIPOORCAMENTO="LICITADO",ORÇAMENTO.PrecoUnitarioLicitado&gt;$AN650)),"ACIMA REF.","")))))</f>
        <v/>
      </c>
      <c r="AD650" t="str">
        <f ca="1">IF(C650&lt;=CRONO.NivelExibicao,MAX($AD$15:OFFSET(AD650,-1,0))+IF($C650&lt;&gt;1,1,MAX(1,COUNTIF(QCI!$A$13:$A$24,OFFSET($E650,-1,0)))),"")</f>
        <v/>
      </c>
      <c r="AE650" s="7" t="str">
        <f ca="1">IF(AND($C650="S",ORÇAMENTO.CodBarra&lt;&gt;""),IF(ORÇAMENTO.Fonte="",ORÇAMENTO.CodBarra,CONCATENATE(ORÇAMENTO.Fonte," ",ORÇAMENTO.CodBarra)))</f>
        <v>COMPOSIÇÃO FNDE 369</v>
      </c>
      <c r="AF650" s="13" t="str">
        <f ca="1">IF(ISERROR(INDIRECT(ORÇAMENTO.BancoRef)),"(abra o arquivo 'Referência "&amp;Excel_BuiltIn_Database&amp;".xlsm)",IF(OR($C650&lt;&gt;"S",ORÇAMENTO.CodBarra=""),"(Sem Código)",IF(ISERROR(MATCH($AE650,INDIRECT(ORÇAMENTO.BancoRef),0)),"(Código não identificado nas referências)",MATCH($AE650,INDIRECT(ORÇAMENTO.BancoRef),0))))</f>
        <v>(abra o arquivo 'Referência 06-2024.xlsm)</v>
      </c>
      <c r="AG650" s="498">
        <f ca="1">ROUND(IF(DESONERACAO="sim",REFERENCIA.Desonerado,REFERENCIA.NaoDesonerado),2)</f>
        <v>0</v>
      </c>
      <c r="AH650" s="499">
        <f t="shared" ca="1" si="150"/>
        <v>0.2432</v>
      </c>
      <c r="AJ650" s="501"/>
      <c r="AL650" s="527"/>
      <c r="AM650" s="381">
        <f t="shared" ca="1" si="133"/>
        <v>0</v>
      </c>
      <c r="AN650" s="566">
        <f t="shared" ca="1" si="151"/>
        <v>0</v>
      </c>
    </row>
    <row r="651" spans="1:40" ht="25.5" x14ac:dyDescent="0.2">
      <c r="A651" t="str">
        <f t="shared" si="148"/>
        <v>S</v>
      </c>
      <c r="B651">
        <f t="shared" ca="1" si="120"/>
        <v>2</v>
      </c>
      <c r="C651" t="str">
        <f t="shared" ca="1" si="121"/>
        <v>S</v>
      </c>
      <c r="D651">
        <f t="shared" ca="1" si="122"/>
        <v>0</v>
      </c>
      <c r="E651">
        <f ca="1">IF($C651=1,OFFSET(E651,-1,0)+MAX(1,COUNTIF(QCI!$A$13:$A$24,OFFSET(ORÇAMENTO!E651,-1,0))),OFFSET(E651,-1,0))</f>
        <v>1</v>
      </c>
      <c r="F651">
        <f t="shared" ca="1" si="123"/>
        <v>68</v>
      </c>
      <c r="G651">
        <f t="shared" ca="1" si="124"/>
        <v>0</v>
      </c>
      <c r="H651">
        <f t="shared" ca="1" si="125"/>
        <v>0</v>
      </c>
      <c r="I651">
        <f t="shared" ca="1" si="126"/>
        <v>0</v>
      </c>
      <c r="J651">
        <f t="shared" ca="1" si="146"/>
        <v>0</v>
      </c>
      <c r="K651">
        <f ca="1">IF(OR($C651="S",$C651=0),0,MATCH(OFFSET($D651,0,$C651)+IF($C651&lt;&gt;1,1,COUNTIF(QCI!$A$13:$A$24,ORÇAMENTO!E651)),OFFSET($D651,1,$C651,ROW($C$727)-ROW($C651)),0))</f>
        <v>0</v>
      </c>
      <c r="L651" s="116" t="str">
        <f t="shared" ca="1" si="127"/>
        <v/>
      </c>
      <c r="M651" s="117" t="s">
        <v>199</v>
      </c>
      <c r="N651" s="118" t="str">
        <f t="shared" ca="1" si="128"/>
        <v>Serviço</v>
      </c>
      <c r="O651" s="119" t="str">
        <f t="shared" ca="1" si="129"/>
        <v>-</v>
      </c>
      <c r="P651" s="120" t="s">
        <v>458</v>
      </c>
      <c r="Q651" s="121" t="s">
        <v>842</v>
      </c>
      <c r="R651" s="122" t="str">
        <f ca="1">IF($C651="S",REFERENCIA.Descricao,"(digite a descrição aqui)")</f>
        <v>(abra o arquivo 'Referência 06-2024.xlsm)</v>
      </c>
      <c r="S651" s="123" t="str">
        <f ca="1">REFERENCIA.Unidade</f>
        <v>-</v>
      </c>
      <c r="T651" s="124">
        <f ca="1">OFFSET(CÁLCULO!H$15,ROW($T651)-ROW(T$15),0)</f>
        <v>12</v>
      </c>
      <c r="U651" s="125">
        <f t="shared" ca="1" si="147"/>
        <v>0</v>
      </c>
      <c r="V651" s="126" t="s">
        <v>156</v>
      </c>
      <c r="W651" s="124">
        <f ca="1">IF($C651="S",ROUND(IF(TIPOORCAMENTO="Proposto",ORÇAMENTO.CustoUnitario*(1+$AH651),ORÇAMENTO.PrecoUnitarioLicitado),15-13*$AF$10),0)</f>
        <v>0</v>
      </c>
      <c r="X651" s="127">
        <f ca="1">IF($C651="S",IF(Import.TipoArredondamento&lt;&gt;"TransfereGOV",VTOTAL1,SUM(OFFSET(CÁLCULO!$AI$15,ROW($X651)-ROW($X$15),1):OFFSET(CÁLCULO!$BB$15,ROW($X651)-ROW($X$15),-1))),IF($C651=0,0,ROUND(SomaAgrup,15-13*$AF$11)))</f>
        <v>0</v>
      </c>
      <c r="Y651" s="128" t="s">
        <v>245</v>
      </c>
      <c r="Z651" t="str">
        <f t="shared" ca="1" si="130"/>
        <v/>
      </c>
      <c r="AA651" s="129">
        <f ca="1">IF($C651="S",IF($Z651="CP",$X651,IF($Z651="RA",(($X651)*QCI!$AA$3),0)),SomaAgrup)</f>
        <v>0</v>
      </c>
      <c r="AB651" s="130">
        <f t="shared" ca="1" si="149"/>
        <v>0</v>
      </c>
      <c r="AC651" s="131" t="str">
        <f ca="1">IF($N651="","",IF(ORÇAMENTO.Descricao="","DESCRIÇÃO",IF(AND($C651="S",ORÇAMENTO.Unidade=""),"UNIDADE",IF($X651&lt;0,"VALOR NEGATIVO",IF(OR(AND(TIPOORCAMENTO="Proposto",$AG651&lt;&gt;"",$AG651&gt;0,ORÇAMENTO.CustoUnitario&gt;$AG651),AND(TIPOORCAMENTO="LICITADO",ORÇAMENTO.PrecoUnitarioLicitado&gt;$AN651)),"ACIMA REF.","")))))</f>
        <v/>
      </c>
      <c r="AD651" t="str">
        <f ca="1">IF(C651&lt;=CRONO.NivelExibicao,MAX($AD$15:OFFSET(AD651,-1,0))+IF($C651&lt;&gt;1,1,MAX(1,COUNTIF(QCI!$A$13:$A$24,OFFSET($E651,-1,0)))),"")</f>
        <v/>
      </c>
      <c r="AE651" s="7" t="str">
        <f ca="1">IF(AND($C651="S",ORÇAMENTO.CodBarra&lt;&gt;""),IF(ORÇAMENTO.Fonte="",ORÇAMENTO.CodBarra,CONCATENATE(ORÇAMENTO.Fonte," ",ORÇAMENTO.CodBarra)))</f>
        <v>COMPOSIÇÃO FNDE 346</v>
      </c>
      <c r="AF651" s="13" t="str">
        <f ca="1">IF(ISERROR(INDIRECT(ORÇAMENTO.BancoRef)),"(abra o arquivo 'Referência "&amp;Excel_BuiltIn_Database&amp;".xlsm)",IF(OR($C651&lt;&gt;"S",ORÇAMENTO.CodBarra=""),"(Sem Código)",IF(ISERROR(MATCH($AE651,INDIRECT(ORÇAMENTO.BancoRef),0)),"(Código não identificado nas referências)",MATCH($AE651,INDIRECT(ORÇAMENTO.BancoRef),0))))</f>
        <v>(abra o arquivo 'Referência 06-2024.xlsm)</v>
      </c>
      <c r="AG651" s="498">
        <f ca="1">ROUND(IF(DESONERACAO="sim",REFERENCIA.Desonerado,REFERENCIA.NaoDesonerado),2)</f>
        <v>0</v>
      </c>
      <c r="AH651" s="499">
        <f t="shared" ca="1" si="150"/>
        <v>0.2432</v>
      </c>
      <c r="AJ651" s="501"/>
      <c r="AL651" s="527"/>
      <c r="AM651" s="381">
        <f t="shared" ca="1" si="133"/>
        <v>0</v>
      </c>
      <c r="AN651" s="566">
        <f t="shared" ca="1" si="151"/>
        <v>0</v>
      </c>
    </row>
    <row r="652" spans="1:40" x14ac:dyDescent="0.2">
      <c r="A652" t="str">
        <f t="shared" si="148"/>
        <v>S</v>
      </c>
      <c r="B652">
        <f t="shared" ca="1" si="120"/>
        <v>2</v>
      </c>
      <c r="C652" t="str">
        <f t="shared" ca="1" si="121"/>
        <v>S</v>
      </c>
      <c r="D652">
        <f t="shared" ca="1" si="122"/>
        <v>0</v>
      </c>
      <c r="E652">
        <f ca="1">IF($C652=1,OFFSET(E652,-1,0)+MAX(1,COUNTIF(QCI!$A$13:$A$24,OFFSET(ORÇAMENTO!E652,-1,0))),OFFSET(E652,-1,0))</f>
        <v>1</v>
      </c>
      <c r="F652">
        <f t="shared" ca="1" si="123"/>
        <v>68</v>
      </c>
      <c r="G652">
        <f t="shared" ca="1" si="124"/>
        <v>0</v>
      </c>
      <c r="H652">
        <f t="shared" ca="1" si="125"/>
        <v>0</v>
      </c>
      <c r="I652">
        <f t="shared" ca="1" si="126"/>
        <v>0</v>
      </c>
      <c r="J652">
        <f t="shared" ca="1" si="146"/>
        <v>0</v>
      </c>
      <c r="K652">
        <f ca="1">IF(OR($C652="S",$C652=0),0,MATCH(OFFSET($D652,0,$C652)+IF($C652&lt;&gt;1,1,COUNTIF(QCI!$A$13:$A$24,ORÇAMENTO!E652)),OFFSET($D652,1,$C652,ROW($C$727)-ROW($C652)),0))</f>
        <v>0</v>
      </c>
      <c r="L652" s="116" t="str">
        <f t="shared" ca="1" si="127"/>
        <v/>
      </c>
      <c r="M652" s="117" t="s">
        <v>199</v>
      </c>
      <c r="N652" s="118" t="str">
        <f t="shared" ca="1" si="128"/>
        <v>Serviço</v>
      </c>
      <c r="O652" s="119" t="str">
        <f t="shared" ca="1" si="129"/>
        <v>-</v>
      </c>
      <c r="P652" s="120" t="s">
        <v>458</v>
      </c>
      <c r="Q652" s="121" t="s">
        <v>978</v>
      </c>
      <c r="R652" s="122" t="str">
        <f ca="1">IF($C652="S",REFERENCIA.Descricao,"(digite a descrição aqui)")</f>
        <v>(abra o arquivo 'Referência 06-2024.xlsm)</v>
      </c>
      <c r="S652" s="123" t="str">
        <f ca="1">REFERENCIA.Unidade</f>
        <v>-</v>
      </c>
      <c r="T652" s="124">
        <f ca="1">OFFSET(CÁLCULO!H$15,ROW($T652)-ROW(T$15),0)</f>
        <v>5</v>
      </c>
      <c r="U652" s="125">
        <f t="shared" ca="1" si="147"/>
        <v>0</v>
      </c>
      <c r="V652" s="126" t="s">
        <v>156</v>
      </c>
      <c r="W652" s="124">
        <f ca="1">IF($C652="S",ROUND(IF(TIPOORCAMENTO="Proposto",ORÇAMENTO.CustoUnitario*(1+$AH652),ORÇAMENTO.PrecoUnitarioLicitado),15-13*$AF$10),0)</f>
        <v>0</v>
      </c>
      <c r="X652" s="127">
        <f ca="1">IF($C652="S",IF(Import.TipoArredondamento&lt;&gt;"TransfereGOV",VTOTAL1,SUM(OFFSET(CÁLCULO!$AI$15,ROW($X652)-ROW($X$15),1):OFFSET(CÁLCULO!$BB$15,ROW($X652)-ROW($X$15),-1))),IF($C652=0,0,ROUND(SomaAgrup,15-13*$AF$11)))</f>
        <v>0</v>
      </c>
      <c r="Y652" s="128" t="s">
        <v>245</v>
      </c>
      <c r="Z652" t="str">
        <f t="shared" ca="1" si="130"/>
        <v/>
      </c>
      <c r="AA652" s="129">
        <f ca="1">IF($C652="S",IF($Z652="CP",$X652,IF($Z652="RA",(($X652)*QCI!$AA$3),0)),SomaAgrup)</f>
        <v>0</v>
      </c>
      <c r="AB652" s="130">
        <f t="shared" ca="1" si="149"/>
        <v>0</v>
      </c>
      <c r="AC652" s="131" t="str">
        <f ca="1">IF($N652="","",IF(ORÇAMENTO.Descricao="","DESCRIÇÃO",IF(AND($C652="S",ORÇAMENTO.Unidade=""),"UNIDADE",IF($X652&lt;0,"VALOR NEGATIVO",IF(OR(AND(TIPOORCAMENTO="Proposto",$AG652&lt;&gt;"",$AG652&gt;0,ORÇAMENTO.CustoUnitario&gt;$AG652),AND(TIPOORCAMENTO="LICITADO",ORÇAMENTO.PrecoUnitarioLicitado&gt;$AN652)),"ACIMA REF.","")))))</f>
        <v/>
      </c>
      <c r="AD652" t="str">
        <f ca="1">IF(C652&lt;=CRONO.NivelExibicao,MAX($AD$15:OFFSET(AD652,-1,0))+IF($C652&lt;&gt;1,1,MAX(1,COUNTIF(QCI!$A$13:$A$24,OFFSET($E652,-1,0)))),"")</f>
        <v/>
      </c>
      <c r="AE652" s="7" t="str">
        <f ca="1">IF(AND($C652="S",ORÇAMENTO.CodBarra&lt;&gt;""),IF(ORÇAMENTO.Fonte="",ORÇAMENTO.CodBarra,CONCATENATE(ORÇAMENTO.Fonte," ",ORÇAMENTO.CodBarra)))</f>
        <v>COMPOSIÇÃO FNDE 70</v>
      </c>
      <c r="AF652" s="13" t="str">
        <f ca="1">IF(ISERROR(INDIRECT(ORÇAMENTO.BancoRef)),"(abra o arquivo 'Referência "&amp;Excel_BuiltIn_Database&amp;".xlsm)",IF(OR($C652&lt;&gt;"S",ORÇAMENTO.CodBarra=""),"(Sem Código)",IF(ISERROR(MATCH($AE652,INDIRECT(ORÇAMENTO.BancoRef),0)),"(Código não identificado nas referências)",MATCH($AE652,INDIRECT(ORÇAMENTO.BancoRef),0))))</f>
        <v>(abra o arquivo 'Referência 06-2024.xlsm)</v>
      </c>
      <c r="AG652" s="498">
        <f ca="1">ROUND(IF(DESONERACAO="sim",REFERENCIA.Desonerado,REFERENCIA.NaoDesonerado),2)</f>
        <v>0</v>
      </c>
      <c r="AH652" s="499">
        <f t="shared" ca="1" si="150"/>
        <v>0.2432</v>
      </c>
      <c r="AJ652" s="501"/>
      <c r="AL652" s="527"/>
      <c r="AM652" s="381">
        <f t="shared" ca="1" si="133"/>
        <v>0</v>
      </c>
      <c r="AN652" s="566">
        <f t="shared" ca="1" si="151"/>
        <v>0</v>
      </c>
    </row>
    <row r="653" spans="1:40" ht="38.25" x14ac:dyDescent="0.2">
      <c r="A653" t="str">
        <f t="shared" si="148"/>
        <v>S</v>
      </c>
      <c r="B653">
        <f t="shared" ca="1" si="120"/>
        <v>2</v>
      </c>
      <c r="C653" t="str">
        <f t="shared" ca="1" si="121"/>
        <v>S</v>
      </c>
      <c r="D653">
        <f t="shared" ca="1" si="122"/>
        <v>0</v>
      </c>
      <c r="E653">
        <f ca="1">IF($C653=1,OFFSET(E653,-1,0)+MAX(1,COUNTIF(QCI!$A$13:$A$24,OFFSET(ORÇAMENTO!E653,-1,0))),OFFSET(E653,-1,0))</f>
        <v>1</v>
      </c>
      <c r="F653">
        <f t="shared" ca="1" si="123"/>
        <v>68</v>
      </c>
      <c r="G653">
        <f t="shared" ca="1" si="124"/>
        <v>0</v>
      </c>
      <c r="H653">
        <f t="shared" ca="1" si="125"/>
        <v>0</v>
      </c>
      <c r="I653">
        <f t="shared" ca="1" si="126"/>
        <v>0</v>
      </c>
      <c r="J653">
        <f t="shared" ca="1" si="146"/>
        <v>0</v>
      </c>
      <c r="K653">
        <f ca="1">IF(OR($C653="S",$C653=0),0,MATCH(OFFSET($D653,0,$C653)+IF($C653&lt;&gt;1,1,COUNTIF(QCI!$A$13:$A$24,ORÇAMENTO!E653)),OFFSET($D653,1,$C653,ROW($C$727)-ROW($C653)),0))</f>
        <v>0</v>
      </c>
      <c r="L653" s="116" t="str">
        <f t="shared" ca="1" si="127"/>
        <v/>
      </c>
      <c r="M653" s="117" t="s">
        <v>199</v>
      </c>
      <c r="N653" s="118" t="str">
        <f t="shared" ca="1" si="128"/>
        <v>Serviço</v>
      </c>
      <c r="O653" s="119" t="str">
        <f t="shared" ca="1" si="129"/>
        <v>-</v>
      </c>
      <c r="P653" s="120" t="s">
        <v>458</v>
      </c>
      <c r="Q653" s="121" t="s">
        <v>926</v>
      </c>
      <c r="R653" s="122" t="str">
        <f ca="1">IF($C653="S",REFERENCIA.Descricao,"(digite a descrição aqui)")</f>
        <v>(abra o arquivo 'Referência 06-2024.xlsm)</v>
      </c>
      <c r="S653" s="123" t="str">
        <f ca="1">REFERENCIA.Unidade</f>
        <v>-</v>
      </c>
      <c r="T653" s="124">
        <f ca="1">OFFSET(CÁLCULO!H$15,ROW($T653)-ROW(T$15),0)</f>
        <v>1</v>
      </c>
      <c r="U653" s="125">
        <f t="shared" ca="1" si="147"/>
        <v>0</v>
      </c>
      <c r="V653" s="126" t="s">
        <v>156</v>
      </c>
      <c r="W653" s="124">
        <f ca="1">IF($C653="S",ROUND(IF(TIPOORCAMENTO="Proposto",ORÇAMENTO.CustoUnitario*(1+$AH653),ORÇAMENTO.PrecoUnitarioLicitado),15-13*$AF$10),0)</f>
        <v>0</v>
      </c>
      <c r="X653" s="127">
        <f ca="1">IF($C653="S",IF(Import.TipoArredondamento&lt;&gt;"TransfereGOV",VTOTAL1,SUM(OFFSET(CÁLCULO!$AI$15,ROW($X653)-ROW($X$15),1):OFFSET(CÁLCULO!$BB$15,ROW($X653)-ROW($X$15),-1))),IF($C653=0,0,ROUND(SomaAgrup,15-13*$AF$11)))</f>
        <v>0</v>
      </c>
      <c r="Y653" s="128" t="s">
        <v>245</v>
      </c>
      <c r="Z653" t="str">
        <f t="shared" ca="1" si="130"/>
        <v/>
      </c>
      <c r="AA653" s="129">
        <f ca="1">IF($C653="S",IF($Z653="CP",$X653,IF($Z653="RA",(($X653)*QCI!$AA$3),0)),SomaAgrup)</f>
        <v>0</v>
      </c>
      <c r="AB653" s="130">
        <f t="shared" ca="1" si="149"/>
        <v>0</v>
      </c>
      <c r="AC653" s="131" t="str">
        <f ca="1">IF($N653="","",IF(ORÇAMENTO.Descricao="","DESCRIÇÃO",IF(AND($C653="S",ORÇAMENTO.Unidade=""),"UNIDADE",IF($X653&lt;0,"VALOR NEGATIVO",IF(OR(AND(TIPOORCAMENTO="Proposto",$AG653&lt;&gt;"",$AG653&gt;0,ORÇAMENTO.CustoUnitario&gt;$AG653),AND(TIPOORCAMENTO="LICITADO",ORÇAMENTO.PrecoUnitarioLicitado&gt;$AN653)),"ACIMA REF.","")))))</f>
        <v/>
      </c>
      <c r="AD653" t="str">
        <f ca="1">IF(C653&lt;=CRONO.NivelExibicao,MAX($AD$15:OFFSET(AD653,-1,0))+IF($C653&lt;&gt;1,1,MAX(1,COUNTIF(QCI!$A$13:$A$24,OFFSET($E653,-1,0)))),"")</f>
        <v/>
      </c>
      <c r="AE653" s="7" t="str">
        <f ca="1">IF(AND($C653="S",ORÇAMENTO.CodBarra&lt;&gt;""),IF(ORÇAMENTO.Fonte="",ORÇAMENTO.CodBarra,CONCATENATE(ORÇAMENTO.Fonte," ",ORÇAMENTO.CodBarra)))</f>
        <v>COMPOSIÇÃO FNDE 116</v>
      </c>
      <c r="AF653" s="13" t="str">
        <f ca="1">IF(ISERROR(INDIRECT(ORÇAMENTO.BancoRef)),"(abra o arquivo 'Referência "&amp;Excel_BuiltIn_Database&amp;".xlsm)",IF(OR($C653&lt;&gt;"S",ORÇAMENTO.CodBarra=""),"(Sem Código)",IF(ISERROR(MATCH($AE653,INDIRECT(ORÇAMENTO.BancoRef),0)),"(Código não identificado nas referências)",MATCH($AE653,INDIRECT(ORÇAMENTO.BancoRef),0))))</f>
        <v>(abra o arquivo 'Referência 06-2024.xlsm)</v>
      </c>
      <c r="AG653" s="498">
        <f ca="1">ROUND(IF(DESONERACAO="sim",REFERENCIA.Desonerado,REFERENCIA.NaoDesonerado),2)</f>
        <v>0</v>
      </c>
      <c r="AH653" s="499">
        <f t="shared" ca="1" si="150"/>
        <v>0.2432</v>
      </c>
      <c r="AJ653" s="501"/>
      <c r="AL653" s="527"/>
      <c r="AM653" s="381">
        <f t="shared" ca="1" si="133"/>
        <v>0</v>
      </c>
      <c r="AN653" s="566">
        <f t="shared" ca="1" si="151"/>
        <v>0</v>
      </c>
    </row>
    <row r="654" spans="1:40" x14ac:dyDescent="0.2">
      <c r="A654">
        <f t="shared" si="148"/>
        <v>2</v>
      </c>
      <c r="B654">
        <f t="shared" ca="1" si="120"/>
        <v>2</v>
      </c>
      <c r="C654">
        <f t="shared" ca="1" si="121"/>
        <v>2</v>
      </c>
      <c r="D654">
        <f t="shared" ca="1" si="122"/>
        <v>2</v>
      </c>
      <c r="E654">
        <f ca="1">IF($C654=1,OFFSET(E654,-1,0)+MAX(1,COUNTIF(QCI!$A$13:$A$24,OFFSET(ORÇAMENTO!E654,-1,0))),OFFSET(E654,-1,0))</f>
        <v>1</v>
      </c>
      <c r="F654">
        <f t="shared" ca="1" si="123"/>
        <v>69</v>
      </c>
      <c r="G654">
        <f t="shared" ca="1" si="124"/>
        <v>0</v>
      </c>
      <c r="H654">
        <f t="shared" ca="1" si="125"/>
        <v>0</v>
      </c>
      <c r="I654">
        <f t="shared" ca="1" si="126"/>
        <v>0</v>
      </c>
      <c r="J654">
        <f t="shared" ca="1" si="146"/>
        <v>73</v>
      </c>
      <c r="K654">
        <f ca="1">IF(OR($C654="S",$C654=0),0,MATCH(OFFSET($D654,0,$C654)+IF($C654&lt;&gt;1,1,COUNTIF(QCI!$A$13:$A$24,ORÇAMENTO!E654)),OFFSET($D654,1,$C654,ROW($C$727)-ROW($C654)),0))</f>
        <v>2</v>
      </c>
      <c r="L654" s="116" t="str">
        <f t="shared" ca="1" si="127"/>
        <v>F</v>
      </c>
      <c r="M654" s="117" t="s">
        <v>196</v>
      </c>
      <c r="N654" s="118" t="str">
        <f t="shared" ca="1" si="128"/>
        <v>Nível 2</v>
      </c>
      <c r="O654" s="119" t="str">
        <f t="shared" ca="1" si="129"/>
        <v>1.69.</v>
      </c>
      <c r="P654" s="120" t="s">
        <v>247</v>
      </c>
      <c r="Q654" s="121"/>
      <c r="R654" s="122" t="s">
        <v>1092</v>
      </c>
      <c r="S654" s="123" t="str">
        <f ca="1">REFERENCIA.Unidade</f>
        <v>-</v>
      </c>
      <c r="T654" s="124">
        <f ca="1">OFFSET(CÁLCULO!H$15,ROW($T654)-ROW(T$15),0)</f>
        <v>0</v>
      </c>
      <c r="U654" s="125">
        <f t="shared" ca="1" si="147"/>
        <v>0</v>
      </c>
      <c r="V654" s="126" t="s">
        <v>156</v>
      </c>
      <c r="W654" s="124">
        <f ca="1">IF($C654="S",ROUND(IF(TIPOORCAMENTO="Proposto",ORÇAMENTO.CustoUnitario*(1+$AH654),ORÇAMENTO.PrecoUnitarioLicitado),15-13*$AF$10),0)</f>
        <v>0</v>
      </c>
      <c r="X654" s="127">
        <f ca="1">IF($C654="S",IF(Import.TipoArredondamento&lt;&gt;"TransfereGOV",VTOTAL1,SUM(OFFSET(CÁLCULO!$AI$15,ROW($X654)-ROW($X$15),1):OFFSET(CÁLCULO!$BB$15,ROW($X654)-ROW($X$15),-1))),IF($C654=0,0,ROUND(SomaAgrup,15-13*$AF$11)))</f>
        <v>0</v>
      </c>
      <c r="Y654" s="128" t="s">
        <v>245</v>
      </c>
      <c r="Z654" t="str">
        <f t="shared" ca="1" si="130"/>
        <v/>
      </c>
      <c r="AA654" s="129">
        <f ca="1">IF($C654="S",IF($Z654="CP",$X654,IF($Z654="RA",(($X654)*QCI!$AA$3),0)),SomaAgrup)</f>
        <v>0</v>
      </c>
      <c r="AB654" s="130">
        <f t="shared" ca="1" si="149"/>
        <v>0</v>
      </c>
      <c r="AC654" s="131" t="str">
        <f ca="1">IF($N654="","",IF(ORÇAMENTO.Descricao="","DESCRIÇÃO",IF(AND($C654="S",ORÇAMENTO.Unidade=""),"UNIDADE",IF($X654&lt;0,"VALOR NEGATIVO",IF(OR(AND(TIPOORCAMENTO="Proposto",$AG654&lt;&gt;"",$AG654&gt;0,ORÇAMENTO.CustoUnitario&gt;$AG654),AND(TIPOORCAMENTO="LICITADO",ORÇAMENTO.PrecoUnitarioLicitado&gt;$AN654)),"ACIMA REF.","")))))</f>
        <v/>
      </c>
      <c r="AD654">
        <f ca="1">IF(C654&lt;=CRONO.NivelExibicao,MAX($AD$15:OFFSET(AD654,-1,0))+IF($C654&lt;&gt;1,1,MAX(1,COUNTIF(QCI!$A$13:$A$24,OFFSET($E654,-1,0)))),"")</f>
        <v>70</v>
      </c>
      <c r="AE654" s="7" t="b">
        <f ca="1">IF(AND($C654="S",ORÇAMENTO.CodBarra&lt;&gt;""),IF(ORÇAMENTO.Fonte="",ORÇAMENTO.CodBarra,CONCATENATE(ORÇAMENTO.Fonte," ",ORÇAMENTO.CodBarra)))</f>
        <v>0</v>
      </c>
      <c r="AF654" s="13" t="str">
        <f ca="1">IF(ISERROR(INDIRECT(ORÇAMENTO.BancoRef)),"(abra o arquivo 'Referência "&amp;Excel_BuiltIn_Database&amp;".xlsm)",IF(OR($C654&lt;&gt;"S",ORÇAMENTO.CodBarra=""),"(Sem Código)",IF(ISERROR(MATCH($AE654,INDIRECT(ORÇAMENTO.BancoRef),0)),"(Código não identificado nas referências)",MATCH($AE654,INDIRECT(ORÇAMENTO.BancoRef),0))))</f>
        <v>(abra o arquivo 'Referência 06-2024.xlsm)</v>
      </c>
      <c r="AG654" s="498">
        <f ca="1">ROUND(IF(DESONERACAO="sim",REFERENCIA.Desonerado,REFERENCIA.NaoDesonerado),2)</f>
        <v>0</v>
      </c>
      <c r="AH654" s="499">
        <f t="shared" ca="1" si="150"/>
        <v>0.2432</v>
      </c>
      <c r="AJ654" s="501"/>
      <c r="AL654" s="527"/>
      <c r="AM654" s="381">
        <f t="shared" ca="1" si="133"/>
        <v>0</v>
      </c>
      <c r="AN654" s="566">
        <f t="shared" ca="1" si="151"/>
        <v>0</v>
      </c>
    </row>
    <row r="655" spans="1:40" ht="25.5" x14ac:dyDescent="0.2">
      <c r="A655" t="str">
        <f t="shared" si="148"/>
        <v>S</v>
      </c>
      <c r="B655">
        <f t="shared" ca="1" si="120"/>
        <v>2</v>
      </c>
      <c r="C655" t="str">
        <f t="shared" ca="1" si="121"/>
        <v>S</v>
      </c>
      <c r="D655">
        <f t="shared" ca="1" si="122"/>
        <v>0</v>
      </c>
      <c r="E655">
        <f ca="1">IF($C655=1,OFFSET(E655,-1,0)+MAX(1,COUNTIF(QCI!$A$13:$A$24,OFFSET(ORÇAMENTO!E655,-1,0))),OFFSET(E655,-1,0))</f>
        <v>1</v>
      </c>
      <c r="F655">
        <f t="shared" ca="1" si="123"/>
        <v>69</v>
      </c>
      <c r="G655">
        <f t="shared" ca="1" si="124"/>
        <v>0</v>
      </c>
      <c r="H655">
        <f t="shared" ca="1" si="125"/>
        <v>0</v>
      </c>
      <c r="I655">
        <f t="shared" ca="1" si="126"/>
        <v>0</v>
      </c>
      <c r="J655">
        <f t="shared" ca="1" si="146"/>
        <v>0</v>
      </c>
      <c r="K655">
        <f ca="1">IF(OR($C655="S",$C655=0),0,MATCH(OFFSET($D655,0,$C655)+IF($C655&lt;&gt;1,1,COUNTIF(QCI!$A$13:$A$24,ORÇAMENTO!E655)),OFFSET($D655,1,$C655,ROW($C$727)-ROW($C655)),0))</f>
        <v>0</v>
      </c>
      <c r="L655" s="116" t="str">
        <f t="shared" ca="1" si="127"/>
        <v/>
      </c>
      <c r="M655" s="117" t="s">
        <v>199</v>
      </c>
      <c r="N655" s="118" t="str">
        <f t="shared" ca="1" si="128"/>
        <v>Serviço</v>
      </c>
      <c r="O655" s="119" t="str">
        <f t="shared" ca="1" si="129"/>
        <v>-</v>
      </c>
      <c r="P655" s="120" t="s">
        <v>247</v>
      </c>
      <c r="Q655" s="121" t="s">
        <v>979</v>
      </c>
      <c r="R655" s="122" t="str">
        <f ca="1">IF($C655="S",REFERENCIA.Descricao,"(digite a descrição aqui)")</f>
        <v>(abra o arquivo 'Referência 06-2024.xlsm)</v>
      </c>
      <c r="S655" s="123" t="str">
        <f ca="1">REFERENCIA.Unidade</f>
        <v>-</v>
      </c>
      <c r="T655" s="124">
        <f ca="1">OFFSET(CÁLCULO!H$15,ROW($T655)-ROW(T$15),0)</f>
        <v>1209.5</v>
      </c>
      <c r="U655" s="125">
        <f t="shared" ca="1" si="147"/>
        <v>0</v>
      </c>
      <c r="V655" s="126" t="s">
        <v>156</v>
      </c>
      <c r="W655" s="124">
        <f ca="1">IF($C655="S",ROUND(IF(TIPOORCAMENTO="Proposto",ORÇAMENTO.CustoUnitario*(1+$AH655),ORÇAMENTO.PrecoUnitarioLicitado),15-13*$AF$10),0)</f>
        <v>0</v>
      </c>
      <c r="X655" s="127">
        <f ca="1">IF($C655="S",IF(Import.TipoArredondamento&lt;&gt;"TransfereGOV",VTOTAL1,SUM(OFFSET(CÁLCULO!$AI$15,ROW($X655)-ROW($X$15),1):OFFSET(CÁLCULO!$BB$15,ROW($X655)-ROW($X$15),-1))),IF($C655=0,0,ROUND(SomaAgrup,15-13*$AF$11)))</f>
        <v>0</v>
      </c>
      <c r="Y655" s="128" t="s">
        <v>245</v>
      </c>
      <c r="Z655" t="str">
        <f t="shared" ca="1" si="130"/>
        <v/>
      </c>
      <c r="AA655" s="129">
        <f ca="1">IF($C655="S",IF($Z655="CP",$X655,IF($Z655="RA",(($X655)*QCI!$AA$3),0)),SomaAgrup)</f>
        <v>0</v>
      </c>
      <c r="AB655" s="130">
        <f t="shared" ca="1" si="149"/>
        <v>0</v>
      </c>
      <c r="AC655" s="131" t="str">
        <f ca="1">IF($N655="","",IF(ORÇAMENTO.Descricao="","DESCRIÇÃO",IF(AND($C655="S",ORÇAMENTO.Unidade=""),"UNIDADE",IF($X655&lt;0,"VALOR NEGATIVO",IF(OR(AND(TIPOORCAMENTO="Proposto",$AG655&lt;&gt;"",$AG655&gt;0,ORÇAMENTO.CustoUnitario&gt;$AG655),AND(TIPOORCAMENTO="LICITADO",ORÇAMENTO.PrecoUnitarioLicitado&gt;$AN655)),"ACIMA REF.","")))))</f>
        <v/>
      </c>
      <c r="AD655" t="str">
        <f ca="1">IF(C655&lt;=CRONO.NivelExibicao,MAX($AD$15:OFFSET(AD655,-1,0))+IF($C655&lt;&gt;1,1,MAX(1,COUNTIF(QCI!$A$13:$A$24,OFFSET($E655,-1,0)))),"")</f>
        <v/>
      </c>
      <c r="AE655" s="7" t="str">
        <f ca="1">IF(AND($C655="S",ORÇAMENTO.CodBarra&lt;&gt;""),IF(ORÇAMENTO.Fonte="",ORÇAMENTO.CodBarra,CONCATENATE(ORÇAMENTO.Fonte," ",ORÇAMENTO.CodBarra)))</f>
        <v>SINAPI 98297</v>
      </c>
      <c r="AF655" s="13" t="str">
        <f ca="1">IF(ISERROR(INDIRECT(ORÇAMENTO.BancoRef)),"(abra o arquivo 'Referência "&amp;Excel_BuiltIn_Database&amp;".xlsm)",IF(OR($C655&lt;&gt;"S",ORÇAMENTO.CodBarra=""),"(Sem Código)",IF(ISERROR(MATCH($AE655,INDIRECT(ORÇAMENTO.BancoRef),0)),"(Código não identificado nas referências)",MATCH($AE655,INDIRECT(ORÇAMENTO.BancoRef),0))))</f>
        <v>(abra o arquivo 'Referência 06-2024.xlsm)</v>
      </c>
      <c r="AG655" s="498">
        <f ca="1">ROUND(IF(DESONERACAO="sim",REFERENCIA.Desonerado,REFERENCIA.NaoDesonerado),2)</f>
        <v>0</v>
      </c>
      <c r="AH655" s="499">
        <f t="shared" ca="1" si="150"/>
        <v>0.2432</v>
      </c>
      <c r="AJ655" s="501"/>
      <c r="AL655" s="527"/>
      <c r="AM655" s="381">
        <f t="shared" ca="1" si="133"/>
        <v>0</v>
      </c>
      <c r="AN655" s="566">
        <f t="shared" ca="1" si="151"/>
        <v>0</v>
      </c>
    </row>
    <row r="656" spans="1:40" x14ac:dyDescent="0.2">
      <c r="A656">
        <f t="shared" si="148"/>
        <v>2</v>
      </c>
      <c r="B656">
        <f t="shared" ca="1" si="120"/>
        <v>2</v>
      </c>
      <c r="C656">
        <f t="shared" ca="1" si="121"/>
        <v>2</v>
      </c>
      <c r="D656">
        <f t="shared" ca="1" si="122"/>
        <v>4</v>
      </c>
      <c r="E656">
        <f ca="1">IF($C656=1,OFFSET(E656,-1,0)+MAX(1,COUNTIF(QCI!$A$13:$A$24,OFFSET(ORÇAMENTO!E656,-1,0))),OFFSET(E656,-1,0))</f>
        <v>1</v>
      </c>
      <c r="F656">
        <f t="shared" ca="1" si="123"/>
        <v>70</v>
      </c>
      <c r="G656">
        <f t="shared" ca="1" si="124"/>
        <v>0</v>
      </c>
      <c r="H656">
        <f t="shared" ca="1" si="125"/>
        <v>0</v>
      </c>
      <c r="I656">
        <f t="shared" ca="1" si="126"/>
        <v>0</v>
      </c>
      <c r="J656">
        <f t="shared" ref="J656:J719" ca="1" si="152">IF(OR($C656="S",$C656=0),0,MATCH(0,OFFSET($D656,1,$C656,ROW($C$727)-ROW($C656)),0))</f>
        <v>71</v>
      </c>
      <c r="K656">
        <f ca="1">IF(OR($C656="S",$C656=0),0,MATCH(OFFSET($D656,0,$C656)+IF($C656&lt;&gt;1,1,COUNTIF(QCI!$A$13:$A$24,ORÇAMENTO!E656)),OFFSET($D656,1,$C656,ROW($C$727)-ROW($C656)),0))</f>
        <v>4</v>
      </c>
      <c r="L656" s="116" t="str">
        <f t="shared" ca="1" si="127"/>
        <v>F</v>
      </c>
      <c r="M656" s="117" t="s">
        <v>196</v>
      </c>
      <c r="N656" s="118" t="str">
        <f t="shared" ca="1" si="128"/>
        <v>Nível 2</v>
      </c>
      <c r="O656" s="119" t="str">
        <f t="shared" ca="1" si="129"/>
        <v>1.70.</v>
      </c>
      <c r="P656" s="120" t="s">
        <v>247</v>
      </c>
      <c r="Q656" s="121"/>
      <c r="R656" s="122" t="s">
        <v>980</v>
      </c>
      <c r="S656" s="123" t="str">
        <f ca="1">REFERENCIA.Unidade</f>
        <v>-</v>
      </c>
      <c r="T656" s="124">
        <f ca="1">OFFSET(CÁLCULO!H$15,ROW($T656)-ROW(T$15),0)</f>
        <v>0</v>
      </c>
      <c r="U656" s="125">
        <f t="shared" ca="1" si="147"/>
        <v>0</v>
      </c>
      <c r="V656" s="126" t="s">
        <v>156</v>
      </c>
      <c r="W656" s="124">
        <f ca="1">IF($C656="S",ROUND(IF(TIPOORCAMENTO="Proposto",ORÇAMENTO.CustoUnitario*(1+$AH656),ORÇAMENTO.PrecoUnitarioLicitado),15-13*$AF$10),0)</f>
        <v>0</v>
      </c>
      <c r="X656" s="127">
        <f ca="1">IF($C656="S",IF(Import.TipoArredondamento&lt;&gt;"TransfereGOV",VTOTAL1,SUM(OFFSET(CÁLCULO!$AI$15,ROW($X656)-ROW($X$15),1):OFFSET(CÁLCULO!$BB$15,ROW($X656)-ROW($X$15),-1))),IF($C656=0,0,ROUND(SomaAgrup,15-13*$AF$11)))</f>
        <v>0</v>
      </c>
      <c r="Y656" s="128" t="s">
        <v>245</v>
      </c>
      <c r="Z656" t="str">
        <f t="shared" ca="1" si="130"/>
        <v/>
      </c>
      <c r="AA656" s="129">
        <f ca="1">IF($C656="S",IF($Z656="CP",$X656,IF($Z656="RA",(($X656)*QCI!$AA$3),0)),SomaAgrup)</f>
        <v>0</v>
      </c>
      <c r="AB656" s="130">
        <f t="shared" ca="1" si="149"/>
        <v>0</v>
      </c>
      <c r="AC656" s="131" t="str">
        <f ca="1">IF($N656="","",IF(ORÇAMENTO.Descricao="","DESCRIÇÃO",IF(AND($C656="S",ORÇAMENTO.Unidade=""),"UNIDADE",IF($X656&lt;0,"VALOR NEGATIVO",IF(OR(AND(TIPOORCAMENTO="Proposto",$AG656&lt;&gt;"",$AG656&gt;0,ORÇAMENTO.CustoUnitario&gt;$AG656),AND(TIPOORCAMENTO="LICITADO",ORÇAMENTO.PrecoUnitarioLicitado&gt;$AN656)),"ACIMA REF.","")))))</f>
        <v/>
      </c>
      <c r="AD656">
        <f ca="1">IF(C656&lt;=CRONO.NivelExibicao,MAX($AD$15:OFFSET(AD656,-1,0))+IF($C656&lt;&gt;1,1,MAX(1,COUNTIF(QCI!$A$13:$A$24,OFFSET($E656,-1,0)))),"")</f>
        <v>71</v>
      </c>
      <c r="AE656" s="7" t="b">
        <f ca="1">IF(AND($C656="S",ORÇAMENTO.CodBarra&lt;&gt;""),IF(ORÇAMENTO.Fonte="",ORÇAMENTO.CodBarra,CONCATENATE(ORÇAMENTO.Fonte," ",ORÇAMENTO.CodBarra)))</f>
        <v>0</v>
      </c>
      <c r="AF656" s="13" t="str">
        <f ca="1">IF(ISERROR(INDIRECT(ORÇAMENTO.BancoRef)),"(abra o arquivo 'Referência "&amp;Excel_BuiltIn_Database&amp;".xlsm)",IF(OR($C656&lt;&gt;"S",ORÇAMENTO.CodBarra=""),"(Sem Código)",IF(ISERROR(MATCH($AE656,INDIRECT(ORÇAMENTO.BancoRef),0)),"(Código não identificado nas referências)",MATCH($AE656,INDIRECT(ORÇAMENTO.BancoRef),0))))</f>
        <v>(abra o arquivo 'Referência 06-2024.xlsm)</v>
      </c>
      <c r="AG656" s="498">
        <f ca="1">ROUND(IF(DESONERACAO="sim",REFERENCIA.Desonerado,REFERENCIA.NaoDesonerado),2)</f>
        <v>0</v>
      </c>
      <c r="AH656" s="499">
        <f t="shared" ca="1" si="150"/>
        <v>0.2432</v>
      </c>
      <c r="AJ656" s="501"/>
      <c r="AL656" s="527"/>
      <c r="AM656" s="381">
        <f t="shared" ca="1" si="133"/>
        <v>0</v>
      </c>
      <c r="AN656" s="566">
        <f t="shared" ca="1" si="151"/>
        <v>0</v>
      </c>
    </row>
    <row r="657" spans="1:40" x14ac:dyDescent="0.2">
      <c r="A657" t="str">
        <f t="shared" si="148"/>
        <v>S</v>
      </c>
      <c r="B657">
        <f t="shared" ca="1" si="120"/>
        <v>2</v>
      </c>
      <c r="C657" t="str">
        <f t="shared" ca="1" si="121"/>
        <v>S</v>
      </c>
      <c r="D657">
        <f t="shared" ca="1" si="122"/>
        <v>0</v>
      </c>
      <c r="E657">
        <f ca="1">IF($C657=1,OFFSET(E657,-1,0)+MAX(1,COUNTIF(QCI!$A$13:$A$24,OFFSET(ORÇAMENTO!E657,-1,0))),OFFSET(E657,-1,0))</f>
        <v>1</v>
      </c>
      <c r="F657">
        <f t="shared" ca="1" si="123"/>
        <v>70</v>
      </c>
      <c r="G657">
        <f t="shared" ca="1" si="124"/>
        <v>0</v>
      </c>
      <c r="H657">
        <f t="shared" ca="1" si="125"/>
        <v>0</v>
      </c>
      <c r="I657">
        <f t="shared" ca="1" si="126"/>
        <v>0</v>
      </c>
      <c r="J657">
        <f t="shared" ca="1" si="152"/>
        <v>0</v>
      </c>
      <c r="K657">
        <f ca="1">IF(OR($C657="S",$C657=0),0,MATCH(OFFSET($D657,0,$C657)+IF($C657&lt;&gt;1,1,COUNTIF(QCI!$A$13:$A$24,ORÇAMENTO!E657)),OFFSET($D657,1,$C657,ROW($C$727)-ROW($C657)),0))</f>
        <v>0</v>
      </c>
      <c r="L657" s="116" t="str">
        <f t="shared" ca="1" si="127"/>
        <v/>
      </c>
      <c r="M657" s="117" t="s">
        <v>199</v>
      </c>
      <c r="N657" s="118" t="str">
        <f t="shared" ca="1" si="128"/>
        <v>Serviço</v>
      </c>
      <c r="O657" s="119" t="str">
        <f t="shared" ca="1" si="129"/>
        <v>-</v>
      </c>
      <c r="P657" s="120" t="s">
        <v>458</v>
      </c>
      <c r="Q657" s="121" t="s">
        <v>981</v>
      </c>
      <c r="R657" s="122" t="str">
        <f ca="1">IF($C657="S",REFERENCIA.Descricao,"(digite a descrição aqui)")</f>
        <v>(abra o arquivo 'Referência 06-2024.xlsm)</v>
      </c>
      <c r="S657" s="123" t="str">
        <f ca="1">REFERENCIA.Unidade</f>
        <v>-</v>
      </c>
      <c r="T657" s="124">
        <f ca="1">OFFSET(CÁLCULO!H$15,ROW($T657)-ROW(T$15),0)</f>
        <v>4</v>
      </c>
      <c r="U657" s="125">
        <f t="shared" ca="1" si="147"/>
        <v>0</v>
      </c>
      <c r="V657" s="126" t="s">
        <v>156</v>
      </c>
      <c r="W657" s="124">
        <f ca="1">IF($C657="S",ROUND(IF(TIPOORCAMENTO="Proposto",ORÇAMENTO.CustoUnitario*(1+$AH657),ORÇAMENTO.PrecoUnitarioLicitado),15-13*$AF$10),0)</f>
        <v>0</v>
      </c>
      <c r="X657" s="127">
        <f ca="1">IF($C657="S",IF(Import.TipoArredondamento&lt;&gt;"TransfereGOV",VTOTAL1,SUM(OFFSET(CÁLCULO!$AI$15,ROW($X657)-ROW($X$15),1):OFFSET(CÁLCULO!$BB$15,ROW($X657)-ROW($X$15),-1))),IF($C657=0,0,ROUND(SomaAgrup,15-13*$AF$11)))</f>
        <v>0</v>
      </c>
      <c r="Y657" s="128" t="s">
        <v>245</v>
      </c>
      <c r="Z657" t="str">
        <f t="shared" ca="1" si="130"/>
        <v/>
      </c>
      <c r="AA657" s="129">
        <f ca="1">IF($C657="S",IF($Z657="CP",$X657,IF($Z657="RA",(($X657)*QCI!$AA$3),0)),SomaAgrup)</f>
        <v>0</v>
      </c>
      <c r="AB657" s="130">
        <f t="shared" ca="1" si="149"/>
        <v>0</v>
      </c>
      <c r="AC657" s="131" t="str">
        <f ca="1">IF($N657="","",IF(ORÇAMENTO.Descricao="","DESCRIÇÃO",IF(AND($C657="S",ORÇAMENTO.Unidade=""),"UNIDADE",IF($X657&lt;0,"VALOR NEGATIVO",IF(OR(AND(TIPOORCAMENTO="Proposto",$AG657&lt;&gt;"",$AG657&gt;0,ORÇAMENTO.CustoUnitario&gt;$AG657),AND(TIPOORCAMENTO="LICITADO",ORÇAMENTO.PrecoUnitarioLicitado&gt;$AN657)),"ACIMA REF.","")))))</f>
        <v/>
      </c>
      <c r="AD657" t="str">
        <f ca="1">IF(C657&lt;=CRONO.NivelExibicao,MAX($AD$15:OFFSET(AD657,-1,0))+IF($C657&lt;&gt;1,1,MAX(1,COUNTIF(QCI!$A$13:$A$24,OFFSET($E657,-1,0)))),"")</f>
        <v/>
      </c>
      <c r="AE657" s="7" t="str">
        <f ca="1">IF(AND($C657="S",ORÇAMENTO.CodBarra&lt;&gt;""),IF(ORÇAMENTO.Fonte="",ORÇAMENTO.CodBarra,CONCATENATE(ORÇAMENTO.Fonte," ",ORÇAMENTO.CodBarra)))</f>
        <v>COMPOSIÇÃO FNDE 42</v>
      </c>
      <c r="AF657" s="13" t="str">
        <f ca="1">IF(ISERROR(INDIRECT(ORÇAMENTO.BancoRef)),"(abra o arquivo 'Referência "&amp;Excel_BuiltIn_Database&amp;".xlsm)",IF(OR($C657&lt;&gt;"S",ORÇAMENTO.CodBarra=""),"(Sem Código)",IF(ISERROR(MATCH($AE657,INDIRECT(ORÇAMENTO.BancoRef),0)),"(Código não identificado nas referências)",MATCH($AE657,INDIRECT(ORÇAMENTO.BancoRef),0))))</f>
        <v>(abra o arquivo 'Referência 06-2024.xlsm)</v>
      </c>
      <c r="AG657" s="498">
        <f ca="1">ROUND(IF(DESONERACAO="sim",REFERENCIA.Desonerado,REFERENCIA.NaoDesonerado),2)</f>
        <v>0</v>
      </c>
      <c r="AH657" s="499">
        <f t="shared" ca="1" si="150"/>
        <v>0.2432</v>
      </c>
      <c r="AJ657" s="501"/>
      <c r="AL657" s="527"/>
      <c r="AM657" s="381">
        <f t="shared" ca="1" si="133"/>
        <v>0</v>
      </c>
      <c r="AN657" s="566">
        <f t="shared" ca="1" si="151"/>
        <v>0</v>
      </c>
    </row>
    <row r="658" spans="1:40" x14ac:dyDescent="0.2">
      <c r="A658" t="str">
        <f t="shared" si="148"/>
        <v>S</v>
      </c>
      <c r="B658">
        <f t="shared" ca="1" si="120"/>
        <v>2</v>
      </c>
      <c r="C658" t="str">
        <f t="shared" ca="1" si="121"/>
        <v>S</v>
      </c>
      <c r="D658">
        <f t="shared" ca="1" si="122"/>
        <v>0</v>
      </c>
      <c r="E658">
        <f ca="1">IF($C658=1,OFFSET(E658,-1,0)+MAX(1,COUNTIF(QCI!$A$13:$A$24,OFFSET(ORÇAMENTO!E658,-1,0))),OFFSET(E658,-1,0))</f>
        <v>1</v>
      </c>
      <c r="F658">
        <f t="shared" ca="1" si="123"/>
        <v>70</v>
      </c>
      <c r="G658">
        <f t="shared" ca="1" si="124"/>
        <v>0</v>
      </c>
      <c r="H658">
        <f t="shared" ca="1" si="125"/>
        <v>0</v>
      </c>
      <c r="I658">
        <f t="shared" ca="1" si="126"/>
        <v>0</v>
      </c>
      <c r="J658">
        <f t="shared" ca="1" si="152"/>
        <v>0</v>
      </c>
      <c r="K658">
        <f ca="1">IF(OR($C658="S",$C658=0),0,MATCH(OFFSET($D658,0,$C658)+IF($C658&lt;&gt;1,1,COUNTIF(QCI!$A$13:$A$24,ORÇAMENTO!E658)),OFFSET($D658,1,$C658,ROW($C$727)-ROW($C658)),0))</f>
        <v>0</v>
      </c>
      <c r="L658" s="116" t="str">
        <f t="shared" ca="1" si="127"/>
        <v/>
      </c>
      <c r="M658" s="117" t="s">
        <v>199</v>
      </c>
      <c r="N658" s="118" t="str">
        <f t="shared" ca="1" si="128"/>
        <v>Serviço</v>
      </c>
      <c r="O658" s="119" t="str">
        <f t="shared" ca="1" si="129"/>
        <v>-</v>
      </c>
      <c r="P658" s="120" t="s">
        <v>458</v>
      </c>
      <c r="Q658" s="121" t="s">
        <v>982</v>
      </c>
      <c r="R658" s="122" t="str">
        <f ca="1">IF($C658="S",REFERENCIA.Descricao,"(digite a descrição aqui)")</f>
        <v>(abra o arquivo 'Referência 06-2024.xlsm)</v>
      </c>
      <c r="S658" s="123" t="str">
        <f ca="1">REFERENCIA.Unidade</f>
        <v>-</v>
      </c>
      <c r="T658" s="124">
        <f ca="1">OFFSET(CÁLCULO!H$15,ROW($T658)-ROW(T$15),0)</f>
        <v>7.7</v>
      </c>
      <c r="U658" s="125">
        <f t="shared" ca="1" si="147"/>
        <v>0</v>
      </c>
      <c r="V658" s="126" t="s">
        <v>156</v>
      </c>
      <c r="W658" s="124">
        <f ca="1">IF($C658="S",ROUND(IF(TIPOORCAMENTO="Proposto",ORÇAMENTO.CustoUnitario*(1+$AH658),ORÇAMENTO.PrecoUnitarioLicitado),15-13*$AF$10),0)</f>
        <v>0</v>
      </c>
      <c r="X658" s="127">
        <f ca="1">IF($C658="S",IF(Import.TipoArredondamento&lt;&gt;"TransfereGOV",VTOTAL1,SUM(OFFSET(CÁLCULO!$AI$15,ROW($X658)-ROW($X$15),1):OFFSET(CÁLCULO!$BB$15,ROW($X658)-ROW($X$15),-1))),IF($C658=0,0,ROUND(SomaAgrup,15-13*$AF$11)))</f>
        <v>0</v>
      </c>
      <c r="Y658" s="128" t="s">
        <v>245</v>
      </c>
      <c r="Z658" t="str">
        <f t="shared" ca="1" si="130"/>
        <v/>
      </c>
      <c r="AA658" s="129">
        <f ca="1">IF($C658="S",IF($Z658="CP",$X658,IF($Z658="RA",(($X658)*QCI!$AA$3),0)),SomaAgrup)</f>
        <v>0</v>
      </c>
      <c r="AB658" s="130">
        <f t="shared" ca="1" si="149"/>
        <v>0</v>
      </c>
      <c r="AC658" s="131" t="str">
        <f ca="1">IF($N658="","",IF(ORÇAMENTO.Descricao="","DESCRIÇÃO",IF(AND($C658="S",ORÇAMENTO.Unidade=""),"UNIDADE",IF($X658&lt;0,"VALOR NEGATIVO",IF(OR(AND(TIPOORCAMENTO="Proposto",$AG658&lt;&gt;"",$AG658&gt;0,ORÇAMENTO.CustoUnitario&gt;$AG658),AND(TIPOORCAMENTO="LICITADO",ORÇAMENTO.PrecoUnitarioLicitado&gt;$AN658)),"ACIMA REF.","")))))</f>
        <v/>
      </c>
      <c r="AD658" t="str">
        <f ca="1">IF(C658&lt;=CRONO.NivelExibicao,MAX($AD$15:OFFSET(AD658,-1,0))+IF($C658&lt;&gt;1,1,MAX(1,COUNTIF(QCI!$A$13:$A$24,OFFSET($E658,-1,0)))),"")</f>
        <v/>
      </c>
      <c r="AE658" s="7" t="str">
        <f ca="1">IF(AND($C658="S",ORÇAMENTO.CodBarra&lt;&gt;""),IF(ORÇAMENTO.Fonte="",ORÇAMENTO.CodBarra,CONCATENATE(ORÇAMENTO.Fonte," ",ORÇAMENTO.CodBarra)))</f>
        <v>COMPOSIÇÃO FNDE 44</v>
      </c>
      <c r="AF658" s="13" t="str">
        <f ca="1">IF(ISERROR(INDIRECT(ORÇAMENTO.BancoRef)),"(abra o arquivo 'Referência "&amp;Excel_BuiltIn_Database&amp;".xlsm)",IF(OR($C658&lt;&gt;"S",ORÇAMENTO.CodBarra=""),"(Sem Código)",IF(ISERROR(MATCH($AE658,INDIRECT(ORÇAMENTO.BancoRef),0)),"(Código não identificado nas referências)",MATCH($AE658,INDIRECT(ORÇAMENTO.BancoRef),0))))</f>
        <v>(abra o arquivo 'Referência 06-2024.xlsm)</v>
      </c>
      <c r="AG658" s="498">
        <f ca="1">ROUND(IF(DESONERACAO="sim",REFERENCIA.Desonerado,REFERENCIA.NaoDesonerado),2)</f>
        <v>0</v>
      </c>
      <c r="AH658" s="499">
        <f t="shared" ca="1" si="150"/>
        <v>0.2432</v>
      </c>
      <c r="AJ658" s="501"/>
      <c r="AL658" s="527"/>
      <c r="AM658" s="381">
        <f t="shared" ca="1" si="133"/>
        <v>0</v>
      </c>
      <c r="AN658" s="566">
        <f t="shared" ca="1" si="151"/>
        <v>0</v>
      </c>
    </row>
    <row r="659" spans="1:40" x14ac:dyDescent="0.2">
      <c r="A659" t="str">
        <f t="shared" si="148"/>
        <v>S</v>
      </c>
      <c r="B659">
        <f t="shared" ca="1" si="120"/>
        <v>2</v>
      </c>
      <c r="C659" t="str">
        <f t="shared" ca="1" si="121"/>
        <v>S</v>
      </c>
      <c r="D659">
        <f t="shared" ca="1" si="122"/>
        <v>0</v>
      </c>
      <c r="E659">
        <f ca="1">IF($C659=1,OFFSET(E659,-1,0)+MAX(1,COUNTIF(QCI!$A$13:$A$24,OFFSET(ORÇAMENTO!E659,-1,0))),OFFSET(E659,-1,0))</f>
        <v>1</v>
      </c>
      <c r="F659">
        <f t="shared" ca="1" si="123"/>
        <v>70</v>
      </c>
      <c r="G659">
        <f t="shared" ca="1" si="124"/>
        <v>0</v>
      </c>
      <c r="H659">
        <f t="shared" ca="1" si="125"/>
        <v>0</v>
      </c>
      <c r="I659">
        <f t="shared" ca="1" si="126"/>
        <v>0</v>
      </c>
      <c r="J659">
        <f t="shared" ca="1" si="152"/>
        <v>0</v>
      </c>
      <c r="K659">
        <f ca="1">IF(OR($C659="S",$C659=0),0,MATCH(OFFSET($D659,0,$C659)+IF($C659&lt;&gt;1,1,COUNTIF(QCI!$A$13:$A$24,ORÇAMENTO!E659)),OFFSET($D659,1,$C659,ROW($C$727)-ROW($C659)),0))</f>
        <v>0</v>
      </c>
      <c r="L659" s="116" t="str">
        <f t="shared" ca="1" si="127"/>
        <v/>
      </c>
      <c r="M659" s="117" t="s">
        <v>199</v>
      </c>
      <c r="N659" s="118" t="str">
        <f t="shared" ca="1" si="128"/>
        <v>Serviço</v>
      </c>
      <c r="O659" s="119" t="str">
        <f t="shared" ca="1" si="129"/>
        <v>-</v>
      </c>
      <c r="P659" s="120" t="s">
        <v>458</v>
      </c>
      <c r="Q659" s="121" t="s">
        <v>983</v>
      </c>
      <c r="R659" s="122" t="str">
        <f ca="1">IF($C659="S",REFERENCIA.Descricao,"(digite a descrição aqui)")</f>
        <v>(abra o arquivo 'Referência 06-2024.xlsm)</v>
      </c>
      <c r="S659" s="123" t="str">
        <f ca="1">REFERENCIA.Unidade</f>
        <v>-</v>
      </c>
      <c r="T659" s="124">
        <f ca="1">OFFSET(CÁLCULO!H$15,ROW($T659)-ROW(T$15),0)</f>
        <v>1</v>
      </c>
      <c r="U659" s="125">
        <f t="shared" ca="1" si="147"/>
        <v>0</v>
      </c>
      <c r="V659" s="126" t="s">
        <v>156</v>
      </c>
      <c r="W659" s="124">
        <f ca="1">IF($C659="S",ROUND(IF(TIPOORCAMENTO="Proposto",ORÇAMENTO.CustoUnitario*(1+$AH659),ORÇAMENTO.PrecoUnitarioLicitado),15-13*$AF$10),0)</f>
        <v>0</v>
      </c>
      <c r="X659" s="127">
        <f ca="1">IF($C659="S",IF(Import.TipoArredondamento&lt;&gt;"TransfereGOV",VTOTAL1,SUM(OFFSET(CÁLCULO!$AI$15,ROW($X659)-ROW($X$15),1):OFFSET(CÁLCULO!$BB$15,ROW($X659)-ROW($X$15),-1))),IF($C659=0,0,ROUND(SomaAgrup,15-13*$AF$11)))</f>
        <v>0</v>
      </c>
      <c r="Y659" s="128" t="s">
        <v>245</v>
      </c>
      <c r="Z659" t="str">
        <f t="shared" ca="1" si="130"/>
        <v/>
      </c>
      <c r="AA659" s="129">
        <f ca="1">IF($C659="S",IF($Z659="CP",$X659,IF($Z659="RA",(($X659)*QCI!$AA$3),0)),SomaAgrup)</f>
        <v>0</v>
      </c>
      <c r="AB659" s="130">
        <f t="shared" ca="1" si="149"/>
        <v>0</v>
      </c>
      <c r="AC659" s="131" t="str">
        <f ca="1">IF($N659="","",IF(ORÇAMENTO.Descricao="","DESCRIÇÃO",IF(AND($C659="S",ORÇAMENTO.Unidade=""),"UNIDADE",IF($X659&lt;0,"VALOR NEGATIVO",IF(OR(AND(TIPOORCAMENTO="Proposto",$AG659&lt;&gt;"",$AG659&gt;0,ORÇAMENTO.CustoUnitario&gt;$AG659),AND(TIPOORCAMENTO="LICITADO",ORÇAMENTO.PrecoUnitarioLicitado&gt;$AN659)),"ACIMA REF.","")))))</f>
        <v/>
      </c>
      <c r="AD659" t="str">
        <f ca="1">IF(C659&lt;=CRONO.NivelExibicao,MAX($AD$15:OFFSET(AD659,-1,0))+IF($C659&lt;&gt;1,1,MAX(1,COUNTIF(QCI!$A$13:$A$24,OFFSET($E659,-1,0)))),"")</f>
        <v/>
      </c>
      <c r="AE659" s="7" t="str">
        <f ca="1">IF(AND($C659="S",ORÇAMENTO.CodBarra&lt;&gt;""),IF(ORÇAMENTO.Fonte="",ORÇAMENTO.CodBarra,CONCATENATE(ORÇAMENTO.Fonte," ",ORÇAMENTO.CodBarra)))</f>
        <v>COMPOSIÇÃO FNDE 45</v>
      </c>
      <c r="AF659" s="13" t="str">
        <f ca="1">IF(ISERROR(INDIRECT(ORÇAMENTO.BancoRef)),"(abra o arquivo 'Referência "&amp;Excel_BuiltIn_Database&amp;".xlsm)",IF(OR($C659&lt;&gt;"S",ORÇAMENTO.CodBarra=""),"(Sem Código)",IF(ISERROR(MATCH($AE659,INDIRECT(ORÇAMENTO.BancoRef),0)),"(Código não identificado nas referências)",MATCH($AE659,INDIRECT(ORÇAMENTO.BancoRef),0))))</f>
        <v>(abra o arquivo 'Referência 06-2024.xlsm)</v>
      </c>
      <c r="AG659" s="498">
        <f ca="1">ROUND(IF(DESONERACAO="sim",REFERENCIA.Desonerado,REFERENCIA.NaoDesonerado),2)</f>
        <v>0</v>
      </c>
      <c r="AH659" s="499">
        <f t="shared" ca="1" si="150"/>
        <v>0.2432</v>
      </c>
      <c r="AJ659" s="501"/>
      <c r="AL659" s="527"/>
      <c r="AM659" s="381">
        <f t="shared" ca="1" si="133"/>
        <v>0</v>
      </c>
      <c r="AN659" s="566">
        <f t="shared" ca="1" si="151"/>
        <v>0</v>
      </c>
    </row>
    <row r="660" spans="1:40" ht="25.5" x14ac:dyDescent="0.2">
      <c r="A660">
        <f t="shared" si="148"/>
        <v>2</v>
      </c>
      <c r="B660">
        <f t="shared" ca="1" si="120"/>
        <v>2</v>
      </c>
      <c r="C660">
        <f t="shared" ca="1" si="121"/>
        <v>2</v>
      </c>
      <c r="D660">
        <f t="shared" ca="1" si="122"/>
        <v>8</v>
      </c>
      <c r="E660">
        <f ca="1">IF($C660=1,OFFSET(E660,-1,0)+MAX(1,COUNTIF(QCI!$A$13:$A$24,OFFSET(ORÇAMENTO!E660,-1,0))),OFFSET(E660,-1,0))</f>
        <v>1</v>
      </c>
      <c r="F660">
        <f t="shared" ca="1" si="123"/>
        <v>71</v>
      </c>
      <c r="G660">
        <f t="shared" ca="1" si="124"/>
        <v>0</v>
      </c>
      <c r="H660">
        <f t="shared" ca="1" si="125"/>
        <v>0</v>
      </c>
      <c r="I660">
        <f t="shared" ca="1" si="126"/>
        <v>0</v>
      </c>
      <c r="J660">
        <f t="shared" ca="1" si="152"/>
        <v>67</v>
      </c>
      <c r="K660">
        <f ca="1">IF(OR($C660="S",$C660=0),0,MATCH(OFFSET($D660,0,$C660)+IF($C660&lt;&gt;1,1,COUNTIF(QCI!$A$13:$A$24,ORÇAMENTO!E660)),OFFSET($D660,1,$C660,ROW($C$727)-ROW($C660)),0))</f>
        <v>8</v>
      </c>
      <c r="L660" s="116" t="str">
        <f t="shared" ca="1" si="127"/>
        <v>F</v>
      </c>
      <c r="M660" s="117" t="s">
        <v>196</v>
      </c>
      <c r="N660" s="118" t="str">
        <f t="shared" ca="1" si="128"/>
        <v>Nível 2</v>
      </c>
      <c r="O660" s="119" t="str">
        <f t="shared" ca="1" si="129"/>
        <v>1.71.</v>
      </c>
      <c r="P660" s="120" t="s">
        <v>247</v>
      </c>
      <c r="Q660" s="121"/>
      <c r="R660" s="122" t="s">
        <v>984</v>
      </c>
      <c r="S660" s="123" t="str">
        <f ca="1">REFERENCIA.Unidade</f>
        <v>-</v>
      </c>
      <c r="T660" s="124">
        <f ca="1">OFFSET(CÁLCULO!H$15,ROW($T660)-ROW(T$15),0)</f>
        <v>0</v>
      </c>
      <c r="U660" s="125">
        <f t="shared" ca="1" si="147"/>
        <v>0</v>
      </c>
      <c r="V660" s="126" t="s">
        <v>156</v>
      </c>
      <c r="W660" s="124">
        <f ca="1">IF($C660="S",ROUND(IF(TIPOORCAMENTO="Proposto",ORÇAMENTO.CustoUnitario*(1+$AH660),ORÇAMENTO.PrecoUnitarioLicitado),15-13*$AF$10),0)</f>
        <v>0</v>
      </c>
      <c r="X660" s="127">
        <f ca="1">IF($C660="S",IF(Import.TipoArredondamento&lt;&gt;"TransfereGOV",VTOTAL1,SUM(OFFSET(CÁLCULO!$AI$15,ROW($X660)-ROW($X$15),1):OFFSET(CÁLCULO!$BB$15,ROW($X660)-ROW($X$15),-1))),IF($C660=0,0,ROUND(SomaAgrup,15-13*$AF$11)))</f>
        <v>0</v>
      </c>
      <c r="Y660" s="128" t="s">
        <v>245</v>
      </c>
      <c r="Z660" t="str">
        <f t="shared" ca="1" si="130"/>
        <v/>
      </c>
      <c r="AA660" s="129">
        <f ca="1">IF($C660="S",IF($Z660="CP",$X660,IF($Z660="RA",(($X660)*QCI!$AA$3),0)),SomaAgrup)</f>
        <v>0</v>
      </c>
      <c r="AB660" s="130">
        <f t="shared" ca="1" si="149"/>
        <v>0</v>
      </c>
      <c r="AC660" s="131" t="str">
        <f ca="1">IF($N660="","",IF(ORÇAMENTO.Descricao="","DESCRIÇÃO",IF(AND($C660="S",ORÇAMENTO.Unidade=""),"UNIDADE",IF($X660&lt;0,"VALOR NEGATIVO",IF(OR(AND(TIPOORCAMENTO="Proposto",$AG660&lt;&gt;"",$AG660&gt;0,ORÇAMENTO.CustoUnitario&gt;$AG660),AND(TIPOORCAMENTO="LICITADO",ORÇAMENTO.PrecoUnitarioLicitado&gt;$AN660)),"ACIMA REF.","")))))</f>
        <v/>
      </c>
      <c r="AD660">
        <f ca="1">IF(C660&lt;=CRONO.NivelExibicao,MAX($AD$15:OFFSET(AD660,-1,0))+IF($C660&lt;&gt;1,1,MAX(1,COUNTIF(QCI!$A$13:$A$24,OFFSET($E660,-1,0)))),"")</f>
        <v>72</v>
      </c>
      <c r="AE660" s="7" t="b">
        <f ca="1">IF(AND($C660="S",ORÇAMENTO.CodBarra&lt;&gt;""),IF(ORÇAMENTO.Fonte="",ORÇAMENTO.CodBarra,CONCATENATE(ORÇAMENTO.Fonte," ",ORÇAMENTO.CodBarra)))</f>
        <v>0</v>
      </c>
      <c r="AF660" s="13" t="str">
        <f ca="1">IF(ISERROR(INDIRECT(ORÇAMENTO.BancoRef)),"(abra o arquivo 'Referência "&amp;Excel_BuiltIn_Database&amp;".xlsm)",IF(OR($C660&lt;&gt;"S",ORÇAMENTO.CodBarra=""),"(Sem Código)",IF(ISERROR(MATCH($AE660,INDIRECT(ORÇAMENTO.BancoRef),0)),"(Código não identificado nas referências)",MATCH($AE660,INDIRECT(ORÇAMENTO.BancoRef),0))))</f>
        <v>(abra o arquivo 'Referência 06-2024.xlsm)</v>
      </c>
      <c r="AG660" s="498">
        <f ca="1">ROUND(IF(DESONERACAO="sim",REFERENCIA.Desonerado,REFERENCIA.NaoDesonerado),2)</f>
        <v>0</v>
      </c>
      <c r="AH660" s="499">
        <f t="shared" ca="1" si="150"/>
        <v>0.2432</v>
      </c>
      <c r="AJ660" s="501"/>
      <c r="AL660" s="527"/>
      <c r="AM660" s="381">
        <f t="shared" ca="1" si="133"/>
        <v>0</v>
      </c>
      <c r="AN660" s="566">
        <f t="shared" ca="1" si="151"/>
        <v>0</v>
      </c>
    </row>
    <row r="661" spans="1:40" ht="25.5" x14ac:dyDescent="0.2">
      <c r="A661" t="str">
        <f t="shared" si="148"/>
        <v>S</v>
      </c>
      <c r="B661">
        <f t="shared" ca="1" si="120"/>
        <v>2</v>
      </c>
      <c r="C661" t="str">
        <f t="shared" ca="1" si="121"/>
        <v>S</v>
      </c>
      <c r="D661">
        <f t="shared" ca="1" si="122"/>
        <v>0</v>
      </c>
      <c r="E661">
        <f ca="1">IF($C661=1,OFFSET(E661,-1,0)+MAX(1,COUNTIF(QCI!$A$13:$A$24,OFFSET(ORÇAMENTO!E661,-1,0))),OFFSET(E661,-1,0))</f>
        <v>1</v>
      </c>
      <c r="F661">
        <f t="shared" ca="1" si="123"/>
        <v>71</v>
      </c>
      <c r="G661">
        <f t="shared" ca="1" si="124"/>
        <v>0</v>
      </c>
      <c r="H661">
        <f t="shared" ca="1" si="125"/>
        <v>0</v>
      </c>
      <c r="I661">
        <f t="shared" ca="1" si="126"/>
        <v>0</v>
      </c>
      <c r="J661">
        <f t="shared" ca="1" si="152"/>
        <v>0</v>
      </c>
      <c r="K661">
        <f ca="1">IF(OR($C661="S",$C661=0),0,MATCH(OFFSET($D661,0,$C661)+IF($C661&lt;&gt;1,1,COUNTIF(QCI!$A$13:$A$24,ORÇAMENTO!E661)),OFFSET($D661,1,$C661,ROW($C$727)-ROW($C661)),0))</f>
        <v>0</v>
      </c>
      <c r="L661" s="116" t="str">
        <f t="shared" ca="1" si="127"/>
        <v/>
      </c>
      <c r="M661" s="117" t="s">
        <v>199</v>
      </c>
      <c r="N661" s="118" t="str">
        <f t="shared" ca="1" si="128"/>
        <v>Serviço</v>
      </c>
      <c r="O661" s="119" t="str">
        <f t="shared" ca="1" si="129"/>
        <v>-</v>
      </c>
      <c r="P661" s="120" t="s">
        <v>247</v>
      </c>
      <c r="Q661" s="121" t="s">
        <v>985</v>
      </c>
      <c r="R661" s="122" t="str">
        <f ca="1">IF($C661="S",REFERENCIA.Descricao,"(digite a descrição aqui)")</f>
        <v>(abra o arquivo 'Referência 06-2024.xlsm)</v>
      </c>
      <c r="S661" s="123" t="str">
        <f ca="1">REFERENCIA.Unidade</f>
        <v>-</v>
      </c>
      <c r="T661" s="124">
        <f ca="1">OFFSET(CÁLCULO!H$15,ROW($T661)-ROW(T$15),0)</f>
        <v>15</v>
      </c>
      <c r="U661" s="125">
        <f t="shared" ca="1" si="147"/>
        <v>0</v>
      </c>
      <c r="V661" s="126" t="s">
        <v>156</v>
      </c>
      <c r="W661" s="124">
        <f ca="1">IF($C661="S",ROUND(IF(TIPOORCAMENTO="Proposto",ORÇAMENTO.CustoUnitario*(1+$AH661),ORÇAMENTO.PrecoUnitarioLicitado),15-13*$AF$10),0)</f>
        <v>0</v>
      </c>
      <c r="X661" s="127">
        <f ca="1">IF($C661="S",IF(Import.TipoArredondamento&lt;&gt;"TransfereGOV",VTOTAL1,SUM(OFFSET(CÁLCULO!$AI$15,ROW($X661)-ROW($X$15),1):OFFSET(CÁLCULO!$BB$15,ROW($X661)-ROW($X$15),-1))),IF($C661=0,0,ROUND(SomaAgrup,15-13*$AF$11)))</f>
        <v>0</v>
      </c>
      <c r="Y661" s="128" t="s">
        <v>245</v>
      </c>
      <c r="Z661" t="str">
        <f t="shared" ca="1" si="130"/>
        <v/>
      </c>
      <c r="AA661" s="129">
        <f ca="1">IF($C661="S",IF($Z661="CP",$X661,IF($Z661="RA",(($X661)*QCI!$AA$3),0)),SomaAgrup)</f>
        <v>0</v>
      </c>
      <c r="AB661" s="130">
        <f t="shared" ca="1" si="149"/>
        <v>0</v>
      </c>
      <c r="AC661" s="131" t="str">
        <f ca="1">IF($N661="","",IF(ORÇAMENTO.Descricao="","DESCRIÇÃO",IF(AND($C661="S",ORÇAMENTO.Unidade=""),"UNIDADE",IF($X661&lt;0,"VALOR NEGATIVO",IF(OR(AND(TIPOORCAMENTO="Proposto",$AG661&lt;&gt;"",$AG661&gt;0,ORÇAMENTO.CustoUnitario&gt;$AG661),AND(TIPOORCAMENTO="LICITADO",ORÇAMENTO.PrecoUnitarioLicitado&gt;$AN661)),"ACIMA REF.","")))))</f>
        <v/>
      </c>
      <c r="AD661" t="str">
        <f ca="1">IF(C661&lt;=CRONO.NivelExibicao,MAX($AD$15:OFFSET(AD661,-1,0))+IF($C661&lt;&gt;1,1,MAX(1,COUNTIF(QCI!$A$13:$A$24,OFFSET($E661,-1,0)))),"")</f>
        <v/>
      </c>
      <c r="AE661" s="7" t="str">
        <f ca="1">IF(AND($C661="S",ORÇAMENTO.CodBarra&lt;&gt;""),IF(ORÇAMENTO.Fonte="",ORÇAMENTO.CodBarra,CONCATENATE(ORÇAMENTO.Fonte," ",ORÇAMENTO.CodBarra)))</f>
        <v>SINAPI 98111</v>
      </c>
      <c r="AF661" s="13" t="str">
        <f ca="1">IF(ISERROR(INDIRECT(ORÇAMENTO.BancoRef)),"(abra o arquivo 'Referência "&amp;Excel_BuiltIn_Database&amp;".xlsm)",IF(OR($C661&lt;&gt;"S",ORÇAMENTO.CodBarra=""),"(Sem Código)",IF(ISERROR(MATCH($AE661,INDIRECT(ORÇAMENTO.BancoRef),0)),"(Código não identificado nas referências)",MATCH($AE661,INDIRECT(ORÇAMENTO.BancoRef),0))))</f>
        <v>(abra o arquivo 'Referência 06-2024.xlsm)</v>
      </c>
      <c r="AG661" s="498">
        <f ca="1">ROUND(IF(DESONERACAO="sim",REFERENCIA.Desonerado,REFERENCIA.NaoDesonerado),2)</f>
        <v>0</v>
      </c>
      <c r="AH661" s="499">
        <f t="shared" ca="1" si="150"/>
        <v>0.2432</v>
      </c>
      <c r="AJ661" s="501"/>
      <c r="AL661" s="527"/>
      <c r="AM661" s="381">
        <f t="shared" ca="1" si="133"/>
        <v>0</v>
      </c>
      <c r="AN661" s="566">
        <f t="shared" ca="1" si="151"/>
        <v>0</v>
      </c>
    </row>
    <row r="662" spans="1:40" ht="25.5" x14ac:dyDescent="0.2">
      <c r="A662" t="str">
        <f t="shared" si="148"/>
        <v>S</v>
      </c>
      <c r="B662">
        <f t="shared" ca="1" si="120"/>
        <v>2</v>
      </c>
      <c r="C662" t="str">
        <f t="shared" ca="1" si="121"/>
        <v>S</v>
      </c>
      <c r="D662">
        <f t="shared" ca="1" si="122"/>
        <v>0</v>
      </c>
      <c r="E662">
        <f ca="1">IF($C662=1,OFFSET(E662,-1,0)+MAX(1,COUNTIF(QCI!$A$13:$A$24,OFFSET(ORÇAMENTO!E662,-1,0))),OFFSET(E662,-1,0))</f>
        <v>1</v>
      </c>
      <c r="F662">
        <f t="shared" ca="1" si="123"/>
        <v>71</v>
      </c>
      <c r="G662">
        <f t="shared" ca="1" si="124"/>
        <v>0</v>
      </c>
      <c r="H662">
        <f t="shared" ca="1" si="125"/>
        <v>0</v>
      </c>
      <c r="I662">
        <f t="shared" ca="1" si="126"/>
        <v>0</v>
      </c>
      <c r="J662">
        <f t="shared" ca="1" si="152"/>
        <v>0</v>
      </c>
      <c r="K662">
        <f ca="1">IF(OR($C662="S",$C662=0),0,MATCH(OFFSET($D662,0,$C662)+IF($C662&lt;&gt;1,1,COUNTIF(QCI!$A$13:$A$24,ORÇAMENTO!E662)),OFFSET($D662,1,$C662,ROW($C$727)-ROW($C662)),0))</f>
        <v>0</v>
      </c>
      <c r="L662" s="116" t="str">
        <f t="shared" ca="1" si="127"/>
        <v/>
      </c>
      <c r="M662" s="117" t="s">
        <v>199</v>
      </c>
      <c r="N662" s="118" t="str">
        <f t="shared" ca="1" si="128"/>
        <v>Serviço</v>
      </c>
      <c r="O662" s="119" t="str">
        <f t="shared" ca="1" si="129"/>
        <v>-</v>
      </c>
      <c r="P662" s="120" t="s">
        <v>247</v>
      </c>
      <c r="Q662" s="121" t="s">
        <v>986</v>
      </c>
      <c r="R662" s="122" t="str">
        <f ca="1">IF($C662="S",REFERENCIA.Descricao,"(digite a descrição aqui)")</f>
        <v>(abra o arquivo 'Referência 06-2024.xlsm)</v>
      </c>
      <c r="S662" s="123" t="str">
        <f ca="1">REFERENCIA.Unidade</f>
        <v>-</v>
      </c>
      <c r="T662" s="124">
        <f ca="1">OFFSET(CÁLCULO!H$15,ROW($T662)-ROW(T$15),0)</f>
        <v>15</v>
      </c>
      <c r="U662" s="125">
        <f t="shared" ca="1" si="147"/>
        <v>0</v>
      </c>
      <c r="V662" s="126" t="s">
        <v>156</v>
      </c>
      <c r="W662" s="124">
        <f ca="1">IF($C662="S",ROUND(IF(TIPOORCAMENTO="Proposto",ORÇAMENTO.CustoUnitario*(1+$AH662),ORÇAMENTO.PrecoUnitarioLicitado),15-13*$AF$10),0)</f>
        <v>0</v>
      </c>
      <c r="X662" s="127">
        <f ca="1">IF($C662="S",IF(Import.TipoArredondamento&lt;&gt;"TransfereGOV",VTOTAL1,SUM(OFFSET(CÁLCULO!$AI$15,ROW($X662)-ROW($X$15),1):OFFSET(CÁLCULO!$BB$15,ROW($X662)-ROW($X$15),-1))),IF($C662=0,0,ROUND(SomaAgrup,15-13*$AF$11)))</f>
        <v>0</v>
      </c>
      <c r="Y662" s="128" t="s">
        <v>245</v>
      </c>
      <c r="Z662" t="str">
        <f t="shared" ca="1" si="130"/>
        <v/>
      </c>
      <c r="AA662" s="129">
        <f ca="1">IF($C662="S",IF($Z662="CP",$X662,IF($Z662="RA",(($X662)*QCI!$AA$3),0)),SomaAgrup)</f>
        <v>0</v>
      </c>
      <c r="AB662" s="130">
        <f t="shared" ca="1" si="149"/>
        <v>0</v>
      </c>
      <c r="AC662" s="131" t="str">
        <f ca="1">IF($N662="","",IF(ORÇAMENTO.Descricao="","DESCRIÇÃO",IF(AND($C662="S",ORÇAMENTO.Unidade=""),"UNIDADE",IF($X662&lt;0,"VALOR NEGATIVO",IF(OR(AND(TIPOORCAMENTO="Proposto",$AG662&lt;&gt;"",$AG662&gt;0,ORÇAMENTO.CustoUnitario&gt;$AG662),AND(TIPOORCAMENTO="LICITADO",ORÇAMENTO.PrecoUnitarioLicitado&gt;$AN662)),"ACIMA REF.","")))))</f>
        <v/>
      </c>
      <c r="AD662" t="str">
        <f ca="1">IF(C662&lt;=CRONO.NivelExibicao,MAX($AD$15:OFFSET(AD662,-1,0))+IF($C662&lt;&gt;1,1,MAX(1,COUNTIF(QCI!$A$13:$A$24,OFFSET($E662,-1,0)))),"")</f>
        <v/>
      </c>
      <c r="AE662" s="7" t="str">
        <f ca="1">IF(AND($C662="S",ORÇAMENTO.CodBarra&lt;&gt;""),IF(ORÇAMENTO.Fonte="",ORÇAMENTO.CodBarra,CONCATENATE(ORÇAMENTO.Fonte," ",ORÇAMENTO.CodBarra)))</f>
        <v>SINAPI 96985</v>
      </c>
      <c r="AF662" s="13" t="str">
        <f ca="1">IF(ISERROR(INDIRECT(ORÇAMENTO.BancoRef)),"(abra o arquivo 'Referência "&amp;Excel_BuiltIn_Database&amp;".xlsm)",IF(OR($C662&lt;&gt;"S",ORÇAMENTO.CodBarra=""),"(Sem Código)",IF(ISERROR(MATCH($AE662,INDIRECT(ORÇAMENTO.BancoRef),0)),"(Código não identificado nas referências)",MATCH($AE662,INDIRECT(ORÇAMENTO.BancoRef),0))))</f>
        <v>(abra o arquivo 'Referência 06-2024.xlsm)</v>
      </c>
      <c r="AG662" s="498">
        <f ca="1">ROUND(IF(DESONERACAO="sim",REFERENCIA.Desonerado,REFERENCIA.NaoDesonerado),2)</f>
        <v>0</v>
      </c>
      <c r="AH662" s="499">
        <f t="shared" ca="1" si="150"/>
        <v>0.2432</v>
      </c>
      <c r="AJ662" s="501"/>
      <c r="AL662" s="527"/>
      <c r="AM662" s="381">
        <f t="shared" ca="1" si="133"/>
        <v>0</v>
      </c>
      <c r="AN662" s="566">
        <f t="shared" ca="1" si="151"/>
        <v>0</v>
      </c>
    </row>
    <row r="663" spans="1:40" ht="25.5" x14ac:dyDescent="0.2">
      <c r="A663" t="str">
        <f t="shared" si="148"/>
        <v>S</v>
      </c>
      <c r="B663">
        <f t="shared" ca="1" si="120"/>
        <v>2</v>
      </c>
      <c r="C663" t="str">
        <f t="shared" ca="1" si="121"/>
        <v>S</v>
      </c>
      <c r="D663">
        <f t="shared" ca="1" si="122"/>
        <v>0</v>
      </c>
      <c r="E663">
        <f ca="1">IF($C663=1,OFFSET(E663,-1,0)+MAX(1,COUNTIF(QCI!$A$13:$A$24,OFFSET(ORÇAMENTO!E663,-1,0))),OFFSET(E663,-1,0))</f>
        <v>1</v>
      </c>
      <c r="F663">
        <f t="shared" ca="1" si="123"/>
        <v>71</v>
      </c>
      <c r="G663">
        <f t="shared" ca="1" si="124"/>
        <v>0</v>
      </c>
      <c r="H663">
        <f t="shared" ca="1" si="125"/>
        <v>0</v>
      </c>
      <c r="I663">
        <f t="shared" ca="1" si="126"/>
        <v>0</v>
      </c>
      <c r="J663">
        <f t="shared" ca="1" si="152"/>
        <v>0</v>
      </c>
      <c r="K663">
        <f ca="1">IF(OR($C663="S",$C663=0),0,MATCH(OFFSET($D663,0,$C663)+IF($C663&lt;&gt;1,1,COUNTIF(QCI!$A$13:$A$24,ORÇAMENTO!E663)),OFFSET($D663,1,$C663,ROW($C$727)-ROW($C663)),0))</f>
        <v>0</v>
      </c>
      <c r="L663" s="116" t="str">
        <f t="shared" ca="1" si="127"/>
        <v/>
      </c>
      <c r="M663" s="117" t="s">
        <v>199</v>
      </c>
      <c r="N663" s="118" t="str">
        <f t="shared" ca="1" si="128"/>
        <v>Serviço</v>
      </c>
      <c r="O663" s="119" t="str">
        <f t="shared" ca="1" si="129"/>
        <v>-</v>
      </c>
      <c r="P663" s="120" t="s">
        <v>247</v>
      </c>
      <c r="Q663" s="121" t="s">
        <v>987</v>
      </c>
      <c r="R663" s="122" t="str">
        <f ca="1">IF($C663="S",REFERENCIA.Descricao,"(digite a descrição aqui)")</f>
        <v>(abra o arquivo 'Referência 06-2024.xlsm)</v>
      </c>
      <c r="S663" s="123" t="str">
        <f ca="1">REFERENCIA.Unidade</f>
        <v>-</v>
      </c>
      <c r="T663" s="124">
        <f ca="1">OFFSET(CÁLCULO!H$15,ROW($T663)-ROW(T$15),0)</f>
        <v>48</v>
      </c>
      <c r="U663" s="125">
        <f t="shared" ca="1" si="147"/>
        <v>0</v>
      </c>
      <c r="V663" s="126" t="s">
        <v>156</v>
      </c>
      <c r="W663" s="124">
        <f ca="1">IF($C663="S",ROUND(IF(TIPOORCAMENTO="Proposto",ORÇAMENTO.CustoUnitario*(1+$AH663),ORÇAMENTO.PrecoUnitarioLicitado),15-13*$AF$10),0)</f>
        <v>0</v>
      </c>
      <c r="X663" s="127">
        <f ca="1">IF($C663="S",IF(Import.TipoArredondamento&lt;&gt;"TransfereGOV",VTOTAL1,SUM(OFFSET(CÁLCULO!$AI$15,ROW($X663)-ROW($X$15),1):OFFSET(CÁLCULO!$BB$15,ROW($X663)-ROW($X$15),-1))),IF($C663=0,0,ROUND(SomaAgrup,15-13*$AF$11)))</f>
        <v>0</v>
      </c>
      <c r="Y663" s="128" t="s">
        <v>245</v>
      </c>
      <c r="Z663" t="str">
        <f t="shared" ca="1" si="130"/>
        <v/>
      </c>
      <c r="AA663" s="129">
        <f ca="1">IF($C663="S",IF($Z663="CP",$X663,IF($Z663="RA",(($X663)*QCI!$AA$3),0)),SomaAgrup)</f>
        <v>0</v>
      </c>
      <c r="AB663" s="130">
        <f t="shared" ca="1" si="149"/>
        <v>0</v>
      </c>
      <c r="AC663" s="131" t="str">
        <f ca="1">IF($N663="","",IF(ORÇAMENTO.Descricao="","DESCRIÇÃO",IF(AND($C663="S",ORÇAMENTO.Unidade=""),"UNIDADE",IF($X663&lt;0,"VALOR NEGATIVO",IF(OR(AND(TIPOORCAMENTO="Proposto",$AG663&lt;&gt;"",$AG663&gt;0,ORÇAMENTO.CustoUnitario&gt;$AG663),AND(TIPOORCAMENTO="LICITADO",ORÇAMENTO.PrecoUnitarioLicitado&gt;$AN663)),"ACIMA REF.","")))))</f>
        <v/>
      </c>
      <c r="AD663" t="str">
        <f ca="1">IF(C663&lt;=CRONO.NivelExibicao,MAX($AD$15:OFFSET(AD663,-1,0))+IF($C663&lt;&gt;1,1,MAX(1,COUNTIF(QCI!$A$13:$A$24,OFFSET($E663,-1,0)))),"")</f>
        <v/>
      </c>
      <c r="AE663" s="7" t="str">
        <f ca="1">IF(AND($C663="S",ORÇAMENTO.CodBarra&lt;&gt;""),IF(ORÇAMENTO.Fonte="",ORÇAMENTO.CodBarra,CONCATENATE(ORÇAMENTO.Fonte," ",ORÇAMENTO.CodBarra)))</f>
        <v>SINAPI 104753</v>
      </c>
      <c r="AF663" s="13" t="str">
        <f ca="1">IF(ISERROR(INDIRECT(ORÇAMENTO.BancoRef)),"(abra o arquivo 'Referência "&amp;Excel_BuiltIn_Database&amp;".xlsm)",IF(OR($C663&lt;&gt;"S",ORÇAMENTO.CodBarra=""),"(Sem Código)",IF(ISERROR(MATCH($AE663,INDIRECT(ORÇAMENTO.BancoRef),0)),"(Código não identificado nas referências)",MATCH($AE663,INDIRECT(ORÇAMENTO.BancoRef),0))))</f>
        <v>(abra o arquivo 'Referência 06-2024.xlsm)</v>
      </c>
      <c r="AG663" s="498">
        <f ca="1">ROUND(IF(DESONERACAO="sim",REFERENCIA.Desonerado,REFERENCIA.NaoDesonerado),2)</f>
        <v>0</v>
      </c>
      <c r="AH663" s="499">
        <f t="shared" ca="1" si="150"/>
        <v>0.2432</v>
      </c>
      <c r="AJ663" s="501"/>
      <c r="AL663" s="527"/>
      <c r="AM663" s="381">
        <f t="shared" ca="1" si="133"/>
        <v>0</v>
      </c>
      <c r="AN663" s="566">
        <f t="shared" ca="1" si="151"/>
        <v>0</v>
      </c>
    </row>
    <row r="664" spans="1:40" ht="25.5" x14ac:dyDescent="0.2">
      <c r="A664" t="str">
        <f t="shared" si="148"/>
        <v>S</v>
      </c>
      <c r="B664">
        <f t="shared" ca="1" si="120"/>
        <v>2</v>
      </c>
      <c r="C664" t="str">
        <f t="shared" ca="1" si="121"/>
        <v>S</v>
      </c>
      <c r="D664">
        <f t="shared" ca="1" si="122"/>
        <v>0</v>
      </c>
      <c r="E664">
        <f ca="1">IF($C664=1,OFFSET(E664,-1,0)+MAX(1,COUNTIF(QCI!$A$13:$A$24,OFFSET(ORÇAMENTO!E664,-1,0))),OFFSET(E664,-1,0))</f>
        <v>1</v>
      </c>
      <c r="F664">
        <f t="shared" ca="1" si="123"/>
        <v>71</v>
      </c>
      <c r="G664">
        <f t="shared" ca="1" si="124"/>
        <v>0</v>
      </c>
      <c r="H664">
        <f t="shared" ca="1" si="125"/>
        <v>0</v>
      </c>
      <c r="I664">
        <f t="shared" ca="1" si="126"/>
        <v>0</v>
      </c>
      <c r="J664">
        <f t="shared" ca="1" si="152"/>
        <v>0</v>
      </c>
      <c r="K664">
        <f ca="1">IF(OR($C664="S",$C664=0),0,MATCH(OFFSET($D664,0,$C664)+IF($C664&lt;&gt;1,1,COUNTIF(QCI!$A$13:$A$24,ORÇAMENTO!E664)),OFFSET($D664,1,$C664,ROW($C$727)-ROW($C664)),0))</f>
        <v>0</v>
      </c>
      <c r="L664" s="116" t="str">
        <f t="shared" ca="1" si="127"/>
        <v/>
      </c>
      <c r="M664" s="117" t="s">
        <v>199</v>
      </c>
      <c r="N664" s="118" t="str">
        <f t="shared" ca="1" si="128"/>
        <v>Serviço</v>
      </c>
      <c r="O664" s="119" t="str">
        <f t="shared" ca="1" si="129"/>
        <v>-</v>
      </c>
      <c r="P664" s="120" t="s">
        <v>247</v>
      </c>
      <c r="Q664" s="121" t="s">
        <v>988</v>
      </c>
      <c r="R664" s="122" t="str">
        <f ca="1">IF($C664="S",REFERENCIA.Descricao,"(digite a descrição aqui)")</f>
        <v>(abra o arquivo 'Referência 06-2024.xlsm)</v>
      </c>
      <c r="S664" s="123" t="str">
        <f ca="1">REFERENCIA.Unidade</f>
        <v>-</v>
      </c>
      <c r="T664" s="124">
        <f ca="1">OFFSET(CÁLCULO!H$15,ROW($T664)-ROW(T$15),0)</f>
        <v>310</v>
      </c>
      <c r="U664" s="125">
        <f t="shared" ca="1" si="147"/>
        <v>0</v>
      </c>
      <c r="V664" s="126" t="s">
        <v>156</v>
      </c>
      <c r="W664" s="124">
        <f ca="1">IF($C664="S",ROUND(IF(TIPOORCAMENTO="Proposto",ORÇAMENTO.CustoUnitario*(1+$AH664),ORÇAMENTO.PrecoUnitarioLicitado),15-13*$AF$10),0)</f>
        <v>0</v>
      </c>
      <c r="X664" s="127">
        <f ca="1">IF($C664="S",IF(Import.TipoArredondamento&lt;&gt;"TransfereGOV",VTOTAL1,SUM(OFFSET(CÁLCULO!$AI$15,ROW($X664)-ROW($X$15),1):OFFSET(CÁLCULO!$BB$15,ROW($X664)-ROW($X$15),-1))),IF($C664=0,0,ROUND(SomaAgrup,15-13*$AF$11)))</f>
        <v>0</v>
      </c>
      <c r="Y664" s="128" t="s">
        <v>245</v>
      </c>
      <c r="Z664" t="str">
        <f t="shared" ca="1" si="130"/>
        <v/>
      </c>
      <c r="AA664" s="129">
        <f ca="1">IF($C664="S",IF($Z664="CP",$X664,IF($Z664="RA",(($X664)*QCI!$AA$3),0)),SomaAgrup)</f>
        <v>0</v>
      </c>
      <c r="AB664" s="130">
        <f t="shared" ca="1" si="149"/>
        <v>0</v>
      </c>
      <c r="AC664" s="131" t="str">
        <f ca="1">IF($N664="","",IF(ORÇAMENTO.Descricao="","DESCRIÇÃO",IF(AND($C664="S",ORÇAMENTO.Unidade=""),"UNIDADE",IF($X664&lt;0,"VALOR NEGATIVO",IF(OR(AND(TIPOORCAMENTO="Proposto",$AG664&lt;&gt;"",$AG664&gt;0,ORÇAMENTO.CustoUnitario&gt;$AG664),AND(TIPOORCAMENTO="LICITADO",ORÇAMENTO.PrecoUnitarioLicitado&gt;$AN664)),"ACIMA REF.","")))))</f>
        <v/>
      </c>
      <c r="AD664" t="str">
        <f ca="1">IF(C664&lt;=CRONO.NivelExibicao,MAX($AD$15:OFFSET(AD664,-1,0))+IF($C664&lt;&gt;1,1,MAX(1,COUNTIF(QCI!$A$13:$A$24,OFFSET($E664,-1,0)))),"")</f>
        <v/>
      </c>
      <c r="AE664" s="7" t="str">
        <f ca="1">IF(AND($C664="S",ORÇAMENTO.CodBarra&lt;&gt;""),IF(ORÇAMENTO.Fonte="",ORÇAMENTO.CodBarra,CONCATENATE(ORÇAMENTO.Fonte," ",ORÇAMENTO.CodBarra)))</f>
        <v>SINAPI 96977</v>
      </c>
      <c r="AF664" s="13" t="str">
        <f ca="1">IF(ISERROR(INDIRECT(ORÇAMENTO.BancoRef)),"(abra o arquivo 'Referência "&amp;Excel_BuiltIn_Database&amp;".xlsm)",IF(OR($C664&lt;&gt;"S",ORÇAMENTO.CodBarra=""),"(Sem Código)",IF(ISERROR(MATCH($AE664,INDIRECT(ORÇAMENTO.BancoRef),0)),"(Código não identificado nas referências)",MATCH($AE664,INDIRECT(ORÇAMENTO.BancoRef),0))))</f>
        <v>(abra o arquivo 'Referência 06-2024.xlsm)</v>
      </c>
      <c r="AG664" s="498">
        <f ca="1">ROUND(IF(DESONERACAO="sim",REFERENCIA.Desonerado,REFERENCIA.NaoDesonerado),2)</f>
        <v>0</v>
      </c>
      <c r="AH664" s="499">
        <f t="shared" ca="1" si="150"/>
        <v>0.2432</v>
      </c>
      <c r="AJ664" s="501"/>
      <c r="AL664" s="527"/>
      <c r="AM664" s="381">
        <f t="shared" ca="1" si="133"/>
        <v>0</v>
      </c>
      <c r="AN664" s="566">
        <f t="shared" ca="1" si="151"/>
        <v>0</v>
      </c>
    </row>
    <row r="665" spans="1:40" x14ac:dyDescent="0.2">
      <c r="A665" t="str">
        <f t="shared" si="148"/>
        <v>S</v>
      </c>
      <c r="B665">
        <f t="shared" ca="1" si="120"/>
        <v>2</v>
      </c>
      <c r="C665" t="str">
        <f t="shared" ca="1" si="121"/>
        <v>S</v>
      </c>
      <c r="D665">
        <f t="shared" ca="1" si="122"/>
        <v>0</v>
      </c>
      <c r="E665">
        <f ca="1">IF($C665=1,OFFSET(E665,-1,0)+MAX(1,COUNTIF(QCI!$A$13:$A$24,OFFSET(ORÇAMENTO!E665,-1,0))),OFFSET(E665,-1,0))</f>
        <v>1</v>
      </c>
      <c r="F665">
        <f t="shared" ca="1" si="123"/>
        <v>71</v>
      </c>
      <c r="G665">
        <f t="shared" ca="1" si="124"/>
        <v>0</v>
      </c>
      <c r="H665">
        <f t="shared" ca="1" si="125"/>
        <v>0</v>
      </c>
      <c r="I665">
        <f t="shared" ca="1" si="126"/>
        <v>0</v>
      </c>
      <c r="J665">
        <f t="shared" ca="1" si="152"/>
        <v>0</v>
      </c>
      <c r="K665">
        <f ca="1">IF(OR($C665="S",$C665=0),0,MATCH(OFFSET($D665,0,$C665)+IF($C665&lt;&gt;1,1,COUNTIF(QCI!$A$13:$A$24,ORÇAMENTO!E665)),OFFSET($D665,1,$C665,ROW($C$727)-ROW($C665)),0))</f>
        <v>0</v>
      </c>
      <c r="L665" s="116" t="str">
        <f t="shared" ca="1" si="127"/>
        <v/>
      </c>
      <c r="M665" s="117" t="s">
        <v>199</v>
      </c>
      <c r="N665" s="118" t="str">
        <f t="shared" ca="1" si="128"/>
        <v>Serviço</v>
      </c>
      <c r="O665" s="119" t="str">
        <f t="shared" ca="1" si="129"/>
        <v>-</v>
      </c>
      <c r="P665" s="120" t="s">
        <v>458</v>
      </c>
      <c r="Q665" s="121" t="s">
        <v>989</v>
      </c>
      <c r="R665" s="122" t="str">
        <f ca="1">IF($C665="S",REFERENCIA.Descricao,"(digite a descrição aqui)")</f>
        <v>(abra o arquivo 'Referência 06-2024.xlsm)</v>
      </c>
      <c r="S665" s="123" t="str">
        <f ca="1">REFERENCIA.Unidade</f>
        <v>-</v>
      </c>
      <c r="T665" s="124">
        <f ca="1">OFFSET(CÁLCULO!H$15,ROW($T665)-ROW(T$15),0)</f>
        <v>20</v>
      </c>
      <c r="U665" s="125">
        <f t="shared" ca="1" si="147"/>
        <v>0</v>
      </c>
      <c r="V665" s="126" t="s">
        <v>156</v>
      </c>
      <c r="W665" s="124">
        <f ca="1">IF($C665="S",ROUND(IF(TIPOORCAMENTO="Proposto",ORÇAMENTO.CustoUnitario*(1+$AH665),ORÇAMENTO.PrecoUnitarioLicitado),15-13*$AF$10),0)</f>
        <v>0</v>
      </c>
      <c r="X665" s="127">
        <f ca="1">IF($C665="S",IF(Import.TipoArredondamento&lt;&gt;"TransfereGOV",VTOTAL1,SUM(OFFSET(CÁLCULO!$AI$15,ROW($X665)-ROW($X$15),1):OFFSET(CÁLCULO!$BB$15,ROW($X665)-ROW($X$15),-1))),IF($C665=0,0,ROUND(SomaAgrup,15-13*$AF$11)))</f>
        <v>0</v>
      </c>
      <c r="Y665" s="128" t="s">
        <v>245</v>
      </c>
      <c r="Z665" t="str">
        <f t="shared" ca="1" si="130"/>
        <v/>
      </c>
      <c r="AA665" s="129">
        <f ca="1">IF($C665="S",IF($Z665="CP",$X665,IF($Z665="RA",(($X665)*QCI!$AA$3),0)),SomaAgrup)</f>
        <v>0</v>
      </c>
      <c r="AB665" s="130">
        <f t="shared" ca="1" si="149"/>
        <v>0</v>
      </c>
      <c r="AC665" s="131" t="str">
        <f ca="1">IF($N665="","",IF(ORÇAMENTO.Descricao="","DESCRIÇÃO",IF(AND($C665="S",ORÇAMENTO.Unidade=""),"UNIDADE",IF($X665&lt;0,"VALOR NEGATIVO",IF(OR(AND(TIPOORCAMENTO="Proposto",$AG665&lt;&gt;"",$AG665&gt;0,ORÇAMENTO.CustoUnitario&gt;$AG665),AND(TIPOORCAMENTO="LICITADO",ORÇAMENTO.PrecoUnitarioLicitado&gt;$AN665)),"ACIMA REF.","")))))</f>
        <v/>
      </c>
      <c r="AD665" t="str">
        <f ca="1">IF(C665&lt;=CRONO.NivelExibicao,MAX($AD$15:OFFSET(AD665,-1,0))+IF($C665&lt;&gt;1,1,MAX(1,COUNTIF(QCI!$A$13:$A$24,OFFSET($E665,-1,0)))),"")</f>
        <v/>
      </c>
      <c r="AE665" s="7" t="str">
        <f ca="1">IF(AND($C665="S",ORÇAMENTO.CodBarra&lt;&gt;""),IF(ORÇAMENTO.Fonte="",ORÇAMENTO.CodBarra,CONCATENATE(ORÇAMENTO.Fonte," ",ORÇAMENTO.CodBarra)))</f>
        <v>COMPOSIÇÃO FNDE 71</v>
      </c>
      <c r="AF665" s="13" t="str">
        <f ca="1">IF(ISERROR(INDIRECT(ORÇAMENTO.BancoRef)),"(abra o arquivo 'Referência "&amp;Excel_BuiltIn_Database&amp;".xlsm)",IF(OR($C665&lt;&gt;"S",ORÇAMENTO.CodBarra=""),"(Sem Código)",IF(ISERROR(MATCH($AE665,INDIRECT(ORÇAMENTO.BancoRef),0)),"(Código não identificado nas referências)",MATCH($AE665,INDIRECT(ORÇAMENTO.BancoRef),0))))</f>
        <v>(abra o arquivo 'Referência 06-2024.xlsm)</v>
      </c>
      <c r="AG665" s="498">
        <f ca="1">ROUND(IF(DESONERACAO="sim",REFERENCIA.Desonerado,REFERENCIA.NaoDesonerado),2)</f>
        <v>0</v>
      </c>
      <c r="AH665" s="499">
        <f t="shared" ca="1" si="150"/>
        <v>0.2432</v>
      </c>
      <c r="AJ665" s="501"/>
      <c r="AL665" s="527"/>
      <c r="AM665" s="381">
        <f t="shared" ca="1" si="133"/>
        <v>0</v>
      </c>
      <c r="AN665" s="566">
        <f t="shared" ca="1" si="151"/>
        <v>0</v>
      </c>
    </row>
    <row r="666" spans="1:40" x14ac:dyDescent="0.2">
      <c r="A666" t="str">
        <f t="shared" si="148"/>
        <v>S</v>
      </c>
      <c r="B666">
        <f t="shared" ca="1" si="120"/>
        <v>2</v>
      </c>
      <c r="C666" t="str">
        <f t="shared" ca="1" si="121"/>
        <v>S</v>
      </c>
      <c r="D666">
        <f t="shared" ca="1" si="122"/>
        <v>0</v>
      </c>
      <c r="E666">
        <f ca="1">IF($C666=1,OFFSET(E666,-1,0)+MAX(1,COUNTIF(QCI!$A$13:$A$24,OFFSET(ORÇAMENTO!E666,-1,0))),OFFSET(E666,-1,0))</f>
        <v>1</v>
      </c>
      <c r="F666">
        <f t="shared" ca="1" si="123"/>
        <v>71</v>
      </c>
      <c r="G666">
        <f t="shared" ca="1" si="124"/>
        <v>0</v>
      </c>
      <c r="H666">
        <f t="shared" ca="1" si="125"/>
        <v>0</v>
      </c>
      <c r="I666">
        <f t="shared" ca="1" si="126"/>
        <v>0</v>
      </c>
      <c r="J666">
        <f t="shared" ca="1" si="152"/>
        <v>0</v>
      </c>
      <c r="K666">
        <f ca="1">IF(OR($C666="S",$C666=0),0,MATCH(OFFSET($D666,0,$C666)+IF($C666&lt;&gt;1,1,COUNTIF(QCI!$A$13:$A$24,ORÇAMENTO!E666)),OFFSET($D666,1,$C666,ROW($C$727)-ROW($C666)),0))</f>
        <v>0</v>
      </c>
      <c r="L666" s="116" t="str">
        <f t="shared" ca="1" si="127"/>
        <v/>
      </c>
      <c r="M666" s="117" t="s">
        <v>199</v>
      </c>
      <c r="N666" s="118" t="str">
        <f t="shared" ca="1" si="128"/>
        <v>Serviço</v>
      </c>
      <c r="O666" s="119" t="str">
        <f t="shared" ca="1" si="129"/>
        <v>-</v>
      </c>
      <c r="P666" s="120" t="s">
        <v>458</v>
      </c>
      <c r="Q666" s="121" t="s">
        <v>990</v>
      </c>
      <c r="R666" s="122" t="str">
        <f ca="1">IF($C666="S",REFERENCIA.Descricao,"(digite a descrição aqui)")</f>
        <v>(abra o arquivo 'Referência 06-2024.xlsm)</v>
      </c>
      <c r="S666" s="123" t="str">
        <f ca="1">REFERENCIA.Unidade</f>
        <v>-</v>
      </c>
      <c r="T666" s="124">
        <f ca="1">OFFSET(CÁLCULO!H$15,ROW($T666)-ROW(T$15),0)</f>
        <v>120</v>
      </c>
      <c r="U666" s="125">
        <f t="shared" ca="1" si="147"/>
        <v>0</v>
      </c>
      <c r="V666" s="126" t="s">
        <v>156</v>
      </c>
      <c r="W666" s="124">
        <f ca="1">IF($C666="S",ROUND(IF(TIPOORCAMENTO="Proposto",ORÇAMENTO.CustoUnitario*(1+$AH666),ORÇAMENTO.PrecoUnitarioLicitado),15-13*$AF$10),0)</f>
        <v>0</v>
      </c>
      <c r="X666" s="127">
        <f ca="1">IF($C666="S",IF(Import.TipoArredondamento&lt;&gt;"TransfereGOV",VTOTAL1,SUM(OFFSET(CÁLCULO!$AI$15,ROW($X666)-ROW($X$15),1):OFFSET(CÁLCULO!$BB$15,ROW($X666)-ROW($X$15),-1))),IF($C666=0,0,ROUND(SomaAgrup,15-13*$AF$11)))</f>
        <v>0</v>
      </c>
      <c r="Y666" s="128" t="s">
        <v>245</v>
      </c>
      <c r="Z666" t="str">
        <f t="shared" ca="1" si="130"/>
        <v/>
      </c>
      <c r="AA666" s="129">
        <f ca="1">IF($C666="S",IF($Z666="CP",$X666,IF($Z666="RA",(($X666)*QCI!$AA$3),0)),SomaAgrup)</f>
        <v>0</v>
      </c>
      <c r="AB666" s="130">
        <f t="shared" ca="1" si="149"/>
        <v>0</v>
      </c>
      <c r="AC666" s="131" t="str">
        <f ca="1">IF($N666="","",IF(ORÇAMENTO.Descricao="","DESCRIÇÃO",IF(AND($C666="S",ORÇAMENTO.Unidade=""),"UNIDADE",IF($X666&lt;0,"VALOR NEGATIVO",IF(OR(AND(TIPOORCAMENTO="Proposto",$AG666&lt;&gt;"",$AG666&gt;0,ORÇAMENTO.CustoUnitario&gt;$AG666),AND(TIPOORCAMENTO="LICITADO",ORÇAMENTO.PrecoUnitarioLicitado&gt;$AN666)),"ACIMA REF.","")))))</f>
        <v/>
      </c>
      <c r="AD666" t="str">
        <f ca="1">IF(C666&lt;=CRONO.NivelExibicao,MAX($AD$15:OFFSET(AD666,-1,0))+IF($C666&lt;&gt;1,1,MAX(1,COUNTIF(QCI!$A$13:$A$24,OFFSET($E666,-1,0)))),"")</f>
        <v/>
      </c>
      <c r="AE666" s="7" t="str">
        <f ca="1">IF(AND($C666="S",ORÇAMENTO.CodBarra&lt;&gt;""),IF(ORÇAMENTO.Fonte="",ORÇAMENTO.CodBarra,CONCATENATE(ORÇAMENTO.Fonte," ",ORÇAMENTO.CodBarra)))</f>
        <v>COMPOSIÇÃO C3478</v>
      </c>
      <c r="AF666" s="13" t="str">
        <f ca="1">IF(ISERROR(INDIRECT(ORÇAMENTO.BancoRef)),"(abra o arquivo 'Referência "&amp;Excel_BuiltIn_Database&amp;".xlsm)",IF(OR($C666&lt;&gt;"S",ORÇAMENTO.CodBarra=""),"(Sem Código)",IF(ISERROR(MATCH($AE666,INDIRECT(ORÇAMENTO.BancoRef),0)),"(Código não identificado nas referências)",MATCH($AE666,INDIRECT(ORÇAMENTO.BancoRef),0))))</f>
        <v>(abra o arquivo 'Referência 06-2024.xlsm)</v>
      </c>
      <c r="AG666" s="498">
        <f ca="1">ROUND(IF(DESONERACAO="sim",REFERENCIA.Desonerado,REFERENCIA.NaoDesonerado),2)</f>
        <v>0</v>
      </c>
      <c r="AH666" s="499">
        <f t="shared" ca="1" si="150"/>
        <v>0.2432</v>
      </c>
      <c r="AJ666" s="501"/>
      <c r="AL666" s="527"/>
      <c r="AM666" s="381">
        <f t="shared" ca="1" si="133"/>
        <v>0</v>
      </c>
      <c r="AN666" s="566">
        <f t="shared" ca="1" si="151"/>
        <v>0</v>
      </c>
    </row>
    <row r="667" spans="1:40" x14ac:dyDescent="0.2">
      <c r="A667" t="str">
        <f t="shared" si="148"/>
        <v>S</v>
      </c>
      <c r="B667">
        <f t="shared" ca="1" si="120"/>
        <v>2</v>
      </c>
      <c r="C667" t="str">
        <f t="shared" ca="1" si="121"/>
        <v>S</v>
      </c>
      <c r="D667">
        <f t="shared" ca="1" si="122"/>
        <v>0</v>
      </c>
      <c r="E667">
        <f ca="1">IF($C667=1,OFFSET(E667,-1,0)+MAX(1,COUNTIF(QCI!$A$13:$A$24,OFFSET(ORÇAMENTO!E667,-1,0))),OFFSET(E667,-1,0))</f>
        <v>1</v>
      </c>
      <c r="F667">
        <f t="shared" ca="1" si="123"/>
        <v>71</v>
      </c>
      <c r="G667">
        <f t="shared" ca="1" si="124"/>
        <v>0</v>
      </c>
      <c r="H667">
        <f t="shared" ca="1" si="125"/>
        <v>0</v>
      </c>
      <c r="I667">
        <f t="shared" ca="1" si="126"/>
        <v>0</v>
      </c>
      <c r="J667">
        <f t="shared" ca="1" si="152"/>
        <v>0</v>
      </c>
      <c r="K667">
        <f ca="1">IF(OR($C667="S",$C667=0),0,MATCH(OFFSET($D667,0,$C667)+IF($C667&lt;&gt;1,1,COUNTIF(QCI!$A$13:$A$24,ORÇAMENTO!E667)),OFFSET($D667,1,$C667,ROW($C$727)-ROW($C667)),0))</f>
        <v>0</v>
      </c>
      <c r="L667" s="116" t="str">
        <f t="shared" ca="1" si="127"/>
        <v/>
      </c>
      <c r="M667" s="117" t="s">
        <v>199</v>
      </c>
      <c r="N667" s="118" t="str">
        <f t="shared" ca="1" si="128"/>
        <v>Serviço</v>
      </c>
      <c r="O667" s="119" t="str">
        <f t="shared" ca="1" si="129"/>
        <v>-</v>
      </c>
      <c r="P667" s="120" t="s">
        <v>458</v>
      </c>
      <c r="Q667" s="121" t="s">
        <v>991</v>
      </c>
      <c r="R667" s="122" t="str">
        <f ca="1">IF($C667="S",REFERENCIA.Descricao,"(digite a descrição aqui)")</f>
        <v>(abra o arquivo 'Referência 06-2024.xlsm)</v>
      </c>
      <c r="S667" s="123" t="str">
        <f ca="1">REFERENCIA.Unidade</f>
        <v>-</v>
      </c>
      <c r="T667" s="124">
        <f ca="1">OFFSET(CÁLCULO!H$15,ROW($T667)-ROW(T$15),0)</f>
        <v>280</v>
      </c>
      <c r="U667" s="125">
        <f t="shared" ca="1" si="147"/>
        <v>0</v>
      </c>
      <c r="V667" s="126" t="s">
        <v>156</v>
      </c>
      <c r="W667" s="124">
        <f ca="1">IF($C667="S",ROUND(IF(TIPOORCAMENTO="Proposto",ORÇAMENTO.CustoUnitario*(1+$AH667),ORÇAMENTO.PrecoUnitarioLicitado),15-13*$AF$10),0)</f>
        <v>0</v>
      </c>
      <c r="X667" s="127">
        <f ca="1">IF($C667="S",IF(Import.TipoArredondamento&lt;&gt;"TransfereGOV",VTOTAL1,SUM(OFFSET(CÁLCULO!$AI$15,ROW($X667)-ROW($X$15),1):OFFSET(CÁLCULO!$BB$15,ROW($X667)-ROW($X$15),-1))),IF($C667=0,0,ROUND(SomaAgrup,15-13*$AF$11)))</f>
        <v>0</v>
      </c>
      <c r="Y667" s="128" t="s">
        <v>245</v>
      </c>
      <c r="Z667" t="str">
        <f t="shared" ca="1" si="130"/>
        <v/>
      </c>
      <c r="AA667" s="129">
        <f ca="1">IF($C667="S",IF($Z667="CP",$X667,IF($Z667="RA",(($X667)*QCI!$AA$3),0)),SomaAgrup)</f>
        <v>0</v>
      </c>
      <c r="AB667" s="130">
        <f t="shared" ca="1" si="149"/>
        <v>0</v>
      </c>
      <c r="AC667" s="131" t="str">
        <f ca="1">IF($N667="","",IF(ORÇAMENTO.Descricao="","DESCRIÇÃO",IF(AND($C667="S",ORÇAMENTO.Unidade=""),"UNIDADE",IF($X667&lt;0,"VALOR NEGATIVO",IF(OR(AND(TIPOORCAMENTO="Proposto",$AG667&lt;&gt;"",$AG667&gt;0,ORÇAMENTO.CustoUnitario&gt;$AG667),AND(TIPOORCAMENTO="LICITADO",ORÇAMENTO.PrecoUnitarioLicitado&gt;$AN667)),"ACIMA REF.","")))))</f>
        <v/>
      </c>
      <c r="AD667" t="str">
        <f ca="1">IF(C667&lt;=CRONO.NivelExibicao,MAX($AD$15:OFFSET(AD667,-1,0))+IF($C667&lt;&gt;1,1,MAX(1,COUNTIF(QCI!$A$13:$A$24,OFFSET($E667,-1,0)))),"")</f>
        <v/>
      </c>
      <c r="AE667" s="7" t="str">
        <f ca="1">IF(AND($C667="S",ORÇAMENTO.CodBarra&lt;&gt;""),IF(ORÇAMENTO.Fonte="",ORÇAMENTO.CodBarra,CONCATENATE(ORÇAMENTO.Fonte," ",ORÇAMENTO.CodBarra)))</f>
        <v>COMPOSIÇÃO 100873</v>
      </c>
      <c r="AF667" s="13" t="str">
        <f ca="1">IF(ISERROR(INDIRECT(ORÇAMENTO.BancoRef)),"(abra o arquivo 'Referência "&amp;Excel_BuiltIn_Database&amp;".xlsm)",IF(OR($C667&lt;&gt;"S",ORÇAMENTO.CodBarra=""),"(Sem Código)",IF(ISERROR(MATCH($AE667,INDIRECT(ORÇAMENTO.BancoRef),0)),"(Código não identificado nas referências)",MATCH($AE667,INDIRECT(ORÇAMENTO.BancoRef),0))))</f>
        <v>(abra o arquivo 'Referência 06-2024.xlsm)</v>
      </c>
      <c r="AG667" s="498">
        <f ca="1">ROUND(IF(DESONERACAO="sim",REFERENCIA.Desonerado,REFERENCIA.NaoDesonerado),2)</f>
        <v>0</v>
      </c>
      <c r="AH667" s="499">
        <f t="shared" ca="1" si="150"/>
        <v>0.2432</v>
      </c>
      <c r="AJ667" s="501"/>
      <c r="AL667" s="527"/>
      <c r="AM667" s="381">
        <f t="shared" ca="1" si="133"/>
        <v>0</v>
      </c>
      <c r="AN667" s="566">
        <f t="shared" ca="1" si="151"/>
        <v>0</v>
      </c>
    </row>
    <row r="668" spans="1:40" x14ac:dyDescent="0.2">
      <c r="A668">
        <f t="shared" si="148"/>
        <v>2</v>
      </c>
      <c r="B668">
        <f t="shared" ca="1" si="120"/>
        <v>2</v>
      </c>
      <c r="C668">
        <f t="shared" ca="1" si="121"/>
        <v>2</v>
      </c>
      <c r="D668">
        <f t="shared" ca="1" si="122"/>
        <v>14</v>
      </c>
      <c r="E668">
        <f ca="1">IF($C668=1,OFFSET(E668,-1,0)+MAX(1,COUNTIF(QCI!$A$13:$A$24,OFFSET(ORÇAMENTO!E668,-1,0))),OFFSET(E668,-1,0))</f>
        <v>1</v>
      </c>
      <c r="F668">
        <f t="shared" ca="1" si="123"/>
        <v>72</v>
      </c>
      <c r="G668">
        <f t="shared" ca="1" si="124"/>
        <v>0</v>
      </c>
      <c r="H668">
        <f t="shared" ca="1" si="125"/>
        <v>0</v>
      </c>
      <c r="I668">
        <f t="shared" ca="1" si="126"/>
        <v>0</v>
      </c>
      <c r="J668">
        <f t="shared" ca="1" si="152"/>
        <v>59</v>
      </c>
      <c r="K668">
        <f ca="1">IF(OR($C668="S",$C668=0),0,MATCH(OFFSET($D668,0,$C668)+IF($C668&lt;&gt;1,1,COUNTIF(QCI!$A$13:$A$24,ORÇAMENTO!E668)),OFFSET($D668,1,$C668,ROW($C$727)-ROW($C668)),0))</f>
        <v>14</v>
      </c>
      <c r="L668" s="116" t="str">
        <f t="shared" ca="1" si="127"/>
        <v>F</v>
      </c>
      <c r="M668" s="117" t="s">
        <v>196</v>
      </c>
      <c r="N668" s="118" t="str">
        <f t="shared" ca="1" si="128"/>
        <v>Nível 2</v>
      </c>
      <c r="O668" s="119" t="str">
        <f t="shared" ca="1" si="129"/>
        <v>1.72.</v>
      </c>
      <c r="P668" s="120" t="s">
        <v>247</v>
      </c>
      <c r="Q668" s="121"/>
      <c r="R668" s="122" t="s">
        <v>992</v>
      </c>
      <c r="S668" s="123" t="str">
        <f ca="1">REFERENCIA.Unidade</f>
        <v>-</v>
      </c>
      <c r="T668" s="124">
        <f ca="1">OFFSET(CÁLCULO!H$15,ROW($T668)-ROW(T$15),0)</f>
        <v>0</v>
      </c>
      <c r="U668" s="125">
        <f t="shared" ca="1" si="147"/>
        <v>0</v>
      </c>
      <c r="V668" s="126" t="s">
        <v>156</v>
      </c>
      <c r="W668" s="124">
        <f ca="1">IF($C668="S",ROUND(IF(TIPOORCAMENTO="Proposto",ORÇAMENTO.CustoUnitario*(1+$AH668),ORÇAMENTO.PrecoUnitarioLicitado),15-13*$AF$10),0)</f>
        <v>0</v>
      </c>
      <c r="X668" s="127">
        <f ca="1">IF($C668="S",IF(Import.TipoArredondamento&lt;&gt;"TransfereGOV",VTOTAL1,SUM(OFFSET(CÁLCULO!$AI$15,ROW($X668)-ROW($X$15),1):OFFSET(CÁLCULO!$BB$15,ROW($X668)-ROW($X$15),-1))),IF($C668=0,0,ROUND(SomaAgrup,15-13*$AF$11)))</f>
        <v>0</v>
      </c>
      <c r="Y668" s="128" t="s">
        <v>245</v>
      </c>
      <c r="Z668" t="str">
        <f t="shared" ca="1" si="130"/>
        <v/>
      </c>
      <c r="AA668" s="129">
        <f ca="1">IF($C668="S",IF($Z668="CP",$X668,IF($Z668="RA",(($X668)*QCI!$AA$3),0)),SomaAgrup)</f>
        <v>0</v>
      </c>
      <c r="AB668" s="130">
        <f t="shared" ca="1" si="149"/>
        <v>0</v>
      </c>
      <c r="AC668" s="131" t="str">
        <f ca="1">IF($N668="","",IF(ORÇAMENTO.Descricao="","DESCRIÇÃO",IF(AND($C668="S",ORÇAMENTO.Unidade=""),"UNIDADE",IF($X668&lt;0,"VALOR NEGATIVO",IF(OR(AND(TIPOORCAMENTO="Proposto",$AG668&lt;&gt;"",$AG668&gt;0,ORÇAMENTO.CustoUnitario&gt;$AG668),AND(TIPOORCAMENTO="LICITADO",ORÇAMENTO.PrecoUnitarioLicitado&gt;$AN668)),"ACIMA REF.","")))))</f>
        <v/>
      </c>
      <c r="AD668">
        <f ca="1">IF(C668&lt;=CRONO.NivelExibicao,MAX($AD$15:OFFSET(AD668,-1,0))+IF($C668&lt;&gt;1,1,MAX(1,COUNTIF(QCI!$A$13:$A$24,OFFSET($E668,-1,0)))),"")</f>
        <v>73</v>
      </c>
      <c r="AE668" s="7" t="b">
        <f ca="1">IF(AND($C668="S",ORÇAMENTO.CodBarra&lt;&gt;""),IF(ORÇAMENTO.Fonte="",ORÇAMENTO.CodBarra,CONCATENATE(ORÇAMENTO.Fonte," ",ORÇAMENTO.CodBarra)))</f>
        <v>0</v>
      </c>
      <c r="AF668" s="13" t="str">
        <f ca="1">IF(ISERROR(INDIRECT(ORÇAMENTO.BancoRef)),"(abra o arquivo 'Referência "&amp;Excel_BuiltIn_Database&amp;".xlsm)",IF(OR($C668&lt;&gt;"S",ORÇAMENTO.CodBarra=""),"(Sem Código)",IF(ISERROR(MATCH($AE668,INDIRECT(ORÇAMENTO.BancoRef),0)),"(Código não identificado nas referências)",MATCH($AE668,INDIRECT(ORÇAMENTO.BancoRef),0))))</f>
        <v>(abra o arquivo 'Referência 06-2024.xlsm)</v>
      </c>
      <c r="AG668" s="498">
        <f ca="1">ROUND(IF(DESONERACAO="sim",REFERENCIA.Desonerado,REFERENCIA.NaoDesonerado),2)</f>
        <v>0</v>
      </c>
      <c r="AH668" s="499">
        <f t="shared" ca="1" si="150"/>
        <v>0.2432</v>
      </c>
      <c r="AJ668" s="501"/>
      <c r="AL668" s="527"/>
      <c r="AM668" s="381">
        <f t="shared" ca="1" si="133"/>
        <v>0</v>
      </c>
      <c r="AN668" s="566">
        <f t="shared" ca="1" si="151"/>
        <v>0</v>
      </c>
    </row>
    <row r="669" spans="1:40" x14ac:dyDescent="0.2">
      <c r="A669" t="str">
        <f t="shared" si="148"/>
        <v>S</v>
      </c>
      <c r="B669">
        <f t="shared" ca="1" si="120"/>
        <v>2</v>
      </c>
      <c r="C669" t="str">
        <f t="shared" ca="1" si="121"/>
        <v>S</v>
      </c>
      <c r="D669">
        <f t="shared" ca="1" si="122"/>
        <v>0</v>
      </c>
      <c r="E669">
        <f ca="1">IF($C669=1,OFFSET(E669,-1,0)+MAX(1,COUNTIF(QCI!$A$13:$A$24,OFFSET(ORÇAMENTO!E669,-1,0))),OFFSET(E669,-1,0))</f>
        <v>1</v>
      </c>
      <c r="F669">
        <f t="shared" ca="1" si="123"/>
        <v>72</v>
      </c>
      <c r="G669">
        <f t="shared" ca="1" si="124"/>
        <v>0</v>
      </c>
      <c r="H669">
        <f t="shared" ca="1" si="125"/>
        <v>0</v>
      </c>
      <c r="I669">
        <f t="shared" ca="1" si="126"/>
        <v>0</v>
      </c>
      <c r="J669">
        <f t="shared" ca="1" si="152"/>
        <v>0</v>
      </c>
      <c r="K669">
        <f ca="1">IF(OR($C669="S",$C669=0),0,MATCH(OFFSET($D669,0,$C669)+IF($C669&lt;&gt;1,1,COUNTIF(QCI!$A$13:$A$24,ORÇAMENTO!E669)),OFFSET($D669,1,$C669,ROW($C$727)-ROW($C669)),0))</f>
        <v>0</v>
      </c>
      <c r="L669" s="116" t="str">
        <f t="shared" ca="1" si="127"/>
        <v/>
      </c>
      <c r="M669" s="117" t="s">
        <v>199</v>
      </c>
      <c r="N669" s="118" t="str">
        <f t="shared" ca="1" si="128"/>
        <v>Serviço</v>
      </c>
      <c r="O669" s="119" t="str">
        <f t="shared" ca="1" si="129"/>
        <v>-</v>
      </c>
      <c r="P669" s="120" t="s">
        <v>458</v>
      </c>
      <c r="Q669" s="121" t="s">
        <v>993</v>
      </c>
      <c r="R669" s="122" t="str">
        <f ca="1">IF($C669="S",REFERENCIA.Descricao,"(digite a descrição aqui)")</f>
        <v>(abra o arquivo 'Referência 06-2024.xlsm)</v>
      </c>
      <c r="S669" s="123" t="str">
        <f ca="1">REFERENCIA.Unidade</f>
        <v>-</v>
      </c>
      <c r="T669" s="124">
        <f ca="1">OFFSET(CÁLCULO!H$15,ROW($T669)-ROW(T$15),0)</f>
        <v>1</v>
      </c>
      <c r="U669" s="125">
        <f t="shared" ca="1" si="147"/>
        <v>0</v>
      </c>
      <c r="V669" s="126" t="s">
        <v>156</v>
      </c>
      <c r="W669" s="124">
        <f ca="1">IF($C669="S",ROUND(IF(TIPOORCAMENTO="Proposto",ORÇAMENTO.CustoUnitario*(1+$AH669),ORÇAMENTO.PrecoUnitarioLicitado),15-13*$AF$10),0)</f>
        <v>0</v>
      </c>
      <c r="X669" s="127">
        <f ca="1">IF($C669="S",IF(Import.TipoArredondamento&lt;&gt;"TransfereGOV",VTOTAL1,SUM(OFFSET(CÁLCULO!$AI$15,ROW($X669)-ROW($X$15),1):OFFSET(CÁLCULO!$BB$15,ROW($X669)-ROW($X$15),-1))),IF($C669=0,0,ROUND(SomaAgrup,15-13*$AF$11)))</f>
        <v>0</v>
      </c>
      <c r="Y669" s="128" t="s">
        <v>245</v>
      </c>
      <c r="Z669" t="str">
        <f t="shared" ca="1" si="130"/>
        <v/>
      </c>
      <c r="AA669" s="129">
        <f ca="1">IF($C669="S",IF($Z669="CP",$X669,IF($Z669="RA",(($X669)*QCI!$AA$3),0)),SomaAgrup)</f>
        <v>0</v>
      </c>
      <c r="AB669" s="130">
        <f t="shared" ca="1" si="149"/>
        <v>0</v>
      </c>
      <c r="AC669" s="131" t="str">
        <f ca="1">IF($N669="","",IF(ORÇAMENTO.Descricao="","DESCRIÇÃO",IF(AND($C669="S",ORÇAMENTO.Unidade=""),"UNIDADE",IF($X669&lt;0,"VALOR NEGATIVO",IF(OR(AND(TIPOORCAMENTO="Proposto",$AG669&lt;&gt;"",$AG669&gt;0,ORÇAMENTO.CustoUnitario&gt;$AG669),AND(TIPOORCAMENTO="LICITADO",ORÇAMENTO.PrecoUnitarioLicitado&gt;$AN669)),"ACIMA REF.","")))))</f>
        <v/>
      </c>
      <c r="AD669" t="str">
        <f ca="1">IF(C669&lt;=CRONO.NivelExibicao,MAX($AD$15:OFFSET(AD669,-1,0))+IF($C669&lt;&gt;1,1,MAX(1,COUNTIF(QCI!$A$13:$A$24,OFFSET($E669,-1,0)))),"")</f>
        <v/>
      </c>
      <c r="AE669" s="7" t="str">
        <f ca="1">IF(AND($C669="S",ORÇAMENTO.CodBarra&lt;&gt;""),IF(ORÇAMENTO.Fonte="",ORÇAMENTO.CodBarra,CONCATENATE(ORÇAMENTO.Fonte," ",ORÇAMENTO.CodBarra)))</f>
        <v>COMPOSIÇÃO FNDE 39</v>
      </c>
      <c r="AF669" s="13" t="str">
        <f ca="1">IF(ISERROR(INDIRECT(ORÇAMENTO.BancoRef)),"(abra o arquivo 'Referência "&amp;Excel_BuiltIn_Database&amp;".xlsm)",IF(OR($C669&lt;&gt;"S",ORÇAMENTO.CodBarra=""),"(Sem Código)",IF(ISERROR(MATCH($AE669,INDIRECT(ORÇAMENTO.BancoRef),0)),"(Código não identificado nas referências)",MATCH($AE669,INDIRECT(ORÇAMENTO.BancoRef),0))))</f>
        <v>(abra o arquivo 'Referência 06-2024.xlsm)</v>
      </c>
      <c r="AG669" s="498">
        <f ca="1">ROUND(IF(DESONERACAO="sim",REFERENCIA.Desonerado,REFERENCIA.NaoDesonerado),2)</f>
        <v>0</v>
      </c>
      <c r="AH669" s="499">
        <f t="shared" ca="1" si="150"/>
        <v>0.2432</v>
      </c>
      <c r="AJ669" s="501"/>
      <c r="AL669" s="527"/>
      <c r="AM669" s="381">
        <f t="shared" ca="1" si="133"/>
        <v>0</v>
      </c>
      <c r="AN669" s="566">
        <f t="shared" ca="1" si="151"/>
        <v>0</v>
      </c>
    </row>
    <row r="670" spans="1:40" ht="25.5" x14ac:dyDescent="0.2">
      <c r="A670" t="str">
        <f t="shared" si="148"/>
        <v>S</v>
      </c>
      <c r="B670">
        <f t="shared" ca="1" si="120"/>
        <v>2</v>
      </c>
      <c r="C670" t="str">
        <f t="shared" ca="1" si="121"/>
        <v>S</v>
      </c>
      <c r="D670">
        <f t="shared" ca="1" si="122"/>
        <v>0</v>
      </c>
      <c r="E670">
        <f ca="1">IF($C670=1,OFFSET(E670,-1,0)+MAX(1,COUNTIF(QCI!$A$13:$A$24,OFFSET(ORÇAMENTO!E670,-1,0))),OFFSET(E670,-1,0))</f>
        <v>1</v>
      </c>
      <c r="F670">
        <f t="shared" ca="1" si="123"/>
        <v>72</v>
      </c>
      <c r="G670">
        <f t="shared" ca="1" si="124"/>
        <v>0</v>
      </c>
      <c r="H670">
        <f t="shared" ca="1" si="125"/>
        <v>0</v>
      </c>
      <c r="I670">
        <f t="shared" ca="1" si="126"/>
        <v>0</v>
      </c>
      <c r="J670">
        <f t="shared" ca="1" si="152"/>
        <v>0</v>
      </c>
      <c r="K670">
        <f ca="1">IF(OR($C670="S",$C670=0),0,MATCH(OFFSET($D670,0,$C670)+IF($C670&lt;&gt;1,1,COUNTIF(QCI!$A$13:$A$24,ORÇAMENTO!E670)),OFFSET($D670,1,$C670,ROW($C$727)-ROW($C670)),0))</f>
        <v>0</v>
      </c>
      <c r="L670" s="116" t="str">
        <f t="shared" ca="1" si="127"/>
        <v/>
      </c>
      <c r="M670" s="117" t="s">
        <v>199</v>
      </c>
      <c r="N670" s="118" t="str">
        <f t="shared" ca="1" si="128"/>
        <v>Serviço</v>
      </c>
      <c r="O670" s="119" t="str">
        <f t="shared" ca="1" si="129"/>
        <v>-</v>
      </c>
      <c r="P670" s="120" t="s">
        <v>458</v>
      </c>
      <c r="Q670" s="121" t="s">
        <v>994</v>
      </c>
      <c r="R670" s="122" t="str">
        <f ca="1">IF($C670="S",REFERENCIA.Descricao,"(digite a descrição aqui)")</f>
        <v>(abra o arquivo 'Referência 06-2024.xlsm)</v>
      </c>
      <c r="S670" s="123" t="str">
        <f ca="1">REFERENCIA.Unidade</f>
        <v>-</v>
      </c>
      <c r="T670" s="124">
        <f ca="1">OFFSET(CÁLCULO!H$15,ROW($T670)-ROW(T$15),0)</f>
        <v>64.53</v>
      </c>
      <c r="U670" s="125">
        <f t="shared" ca="1" si="147"/>
        <v>0</v>
      </c>
      <c r="V670" s="126" t="s">
        <v>156</v>
      </c>
      <c r="W670" s="124">
        <f ca="1">IF($C670="S",ROUND(IF(TIPOORCAMENTO="Proposto",ORÇAMENTO.CustoUnitario*(1+$AH670),ORÇAMENTO.PrecoUnitarioLicitado),15-13*$AF$10),0)</f>
        <v>0</v>
      </c>
      <c r="X670" s="127">
        <f ca="1">IF($C670="S",IF(Import.TipoArredondamento&lt;&gt;"TransfereGOV",VTOTAL1,SUM(OFFSET(CÁLCULO!$AI$15,ROW($X670)-ROW($X$15),1):OFFSET(CÁLCULO!$BB$15,ROW($X670)-ROW($X$15),-1))),IF($C670=0,0,ROUND(SomaAgrup,15-13*$AF$11)))</f>
        <v>0</v>
      </c>
      <c r="Y670" s="128" t="s">
        <v>245</v>
      </c>
      <c r="Z670" t="str">
        <f t="shared" ca="1" si="130"/>
        <v/>
      </c>
      <c r="AA670" s="129">
        <f ca="1">IF($C670="S",IF($Z670="CP",$X670,IF($Z670="RA",(($X670)*QCI!$AA$3),0)),SomaAgrup)</f>
        <v>0</v>
      </c>
      <c r="AB670" s="130">
        <f t="shared" ca="1" si="149"/>
        <v>0</v>
      </c>
      <c r="AC670" s="131" t="str">
        <f ca="1">IF($N670="","",IF(ORÇAMENTO.Descricao="","DESCRIÇÃO",IF(AND($C670="S",ORÇAMENTO.Unidade=""),"UNIDADE",IF($X670&lt;0,"VALOR NEGATIVO",IF(OR(AND(TIPOORCAMENTO="Proposto",$AG670&lt;&gt;"",$AG670&gt;0,ORÇAMENTO.CustoUnitario&gt;$AG670),AND(TIPOORCAMENTO="LICITADO",ORÇAMENTO.PrecoUnitarioLicitado&gt;$AN670)),"ACIMA REF.","")))))</f>
        <v/>
      </c>
      <c r="AD670" t="str">
        <f ca="1">IF(C670&lt;=CRONO.NivelExibicao,MAX($AD$15:OFFSET(AD670,-1,0))+IF($C670&lt;&gt;1,1,MAX(1,COUNTIF(QCI!$A$13:$A$24,OFFSET($E670,-1,0)))),"")</f>
        <v/>
      </c>
      <c r="AE670" s="7" t="str">
        <f ca="1">IF(AND($C670="S",ORÇAMENTO.CodBarra&lt;&gt;""),IF(ORÇAMENTO.Fonte="",ORÇAMENTO.CodBarra,CONCATENATE(ORÇAMENTO.Fonte," ",ORÇAMENTO.CodBarra)))</f>
        <v>COMPOSIÇÃO FNDE 40</v>
      </c>
      <c r="AF670" s="13" t="str">
        <f ca="1">IF(ISERROR(INDIRECT(ORÇAMENTO.BancoRef)),"(abra o arquivo 'Referência "&amp;Excel_BuiltIn_Database&amp;".xlsm)",IF(OR($C670&lt;&gt;"S",ORÇAMENTO.CodBarra=""),"(Sem Código)",IF(ISERROR(MATCH($AE670,INDIRECT(ORÇAMENTO.BancoRef),0)),"(Código não identificado nas referências)",MATCH($AE670,INDIRECT(ORÇAMENTO.BancoRef),0))))</f>
        <v>(abra o arquivo 'Referência 06-2024.xlsm)</v>
      </c>
      <c r="AG670" s="498">
        <f ca="1">ROUND(IF(DESONERACAO="sim",REFERENCIA.Desonerado,REFERENCIA.NaoDesonerado),2)</f>
        <v>0</v>
      </c>
      <c r="AH670" s="499">
        <f t="shared" ca="1" si="150"/>
        <v>0.2432</v>
      </c>
      <c r="AJ670" s="501"/>
      <c r="AL670" s="527"/>
      <c r="AM670" s="381">
        <f t="shared" ca="1" si="133"/>
        <v>0</v>
      </c>
      <c r="AN670" s="566">
        <f t="shared" ca="1" si="151"/>
        <v>0</v>
      </c>
    </row>
    <row r="671" spans="1:40" ht="25.5" x14ac:dyDescent="0.2">
      <c r="A671" t="str">
        <f t="shared" si="148"/>
        <v>S</v>
      </c>
      <c r="B671">
        <f t="shared" ca="1" si="120"/>
        <v>2</v>
      </c>
      <c r="C671" t="str">
        <f t="shared" ca="1" si="121"/>
        <v>S</v>
      </c>
      <c r="D671">
        <f t="shared" ca="1" si="122"/>
        <v>0</v>
      </c>
      <c r="E671">
        <f ca="1">IF($C671=1,OFFSET(E671,-1,0)+MAX(1,COUNTIF(QCI!$A$13:$A$24,OFFSET(ORÇAMENTO!E671,-1,0))),OFFSET(E671,-1,0))</f>
        <v>1</v>
      </c>
      <c r="F671">
        <f t="shared" ca="1" si="123"/>
        <v>72</v>
      </c>
      <c r="G671">
        <f t="shared" ca="1" si="124"/>
        <v>0</v>
      </c>
      <c r="H671">
        <f t="shared" ca="1" si="125"/>
        <v>0</v>
      </c>
      <c r="I671">
        <f t="shared" ca="1" si="126"/>
        <v>0</v>
      </c>
      <c r="J671">
        <f t="shared" ca="1" si="152"/>
        <v>0</v>
      </c>
      <c r="K671">
        <f ca="1">IF(OR($C671="S",$C671=0),0,MATCH(OFFSET($D671,0,$C671)+IF($C671&lt;&gt;1,1,COUNTIF(QCI!$A$13:$A$24,ORÇAMENTO!E671)),OFFSET($D671,1,$C671,ROW($C$727)-ROW($C671)),0))</f>
        <v>0</v>
      </c>
      <c r="L671" s="116" t="str">
        <f t="shared" ca="1" si="127"/>
        <v/>
      </c>
      <c r="M671" s="117" t="s">
        <v>199</v>
      </c>
      <c r="N671" s="118" t="str">
        <f t="shared" ca="1" si="128"/>
        <v>Serviço</v>
      </c>
      <c r="O671" s="119" t="str">
        <f t="shared" ca="1" si="129"/>
        <v>-</v>
      </c>
      <c r="P671" s="120" t="s">
        <v>458</v>
      </c>
      <c r="Q671" s="121" t="s">
        <v>995</v>
      </c>
      <c r="R671" s="122" t="str">
        <f ca="1">IF($C671="S",REFERENCIA.Descricao,"(digite a descrição aqui)")</f>
        <v>(abra o arquivo 'Referência 06-2024.xlsm)</v>
      </c>
      <c r="S671" s="123" t="str">
        <f ca="1">REFERENCIA.Unidade</f>
        <v>-</v>
      </c>
      <c r="T671" s="124">
        <f ca="1">OFFSET(CÁLCULO!H$15,ROW($T671)-ROW(T$15),0)</f>
        <v>2.21</v>
      </c>
      <c r="U671" s="125">
        <f t="shared" ca="1" si="147"/>
        <v>0</v>
      </c>
      <c r="V671" s="126" t="s">
        <v>156</v>
      </c>
      <c r="W671" s="124">
        <f ca="1">IF($C671="S",ROUND(IF(TIPOORCAMENTO="Proposto",ORÇAMENTO.CustoUnitario*(1+$AH671),ORÇAMENTO.PrecoUnitarioLicitado),15-13*$AF$10),0)</f>
        <v>0</v>
      </c>
      <c r="X671" s="127">
        <f ca="1">IF($C671="S",IF(Import.TipoArredondamento&lt;&gt;"TransfereGOV",VTOTAL1,SUM(OFFSET(CÁLCULO!$AI$15,ROW($X671)-ROW($X$15),1):OFFSET(CÁLCULO!$BB$15,ROW($X671)-ROW($X$15),-1))),IF($C671=0,0,ROUND(SomaAgrup,15-13*$AF$11)))</f>
        <v>0</v>
      </c>
      <c r="Y671" s="128" t="s">
        <v>245</v>
      </c>
      <c r="Z671" t="str">
        <f t="shared" ca="1" si="130"/>
        <v/>
      </c>
      <c r="AA671" s="129">
        <f ca="1">IF($C671="S",IF($Z671="CP",$X671,IF($Z671="RA",(($X671)*QCI!$AA$3),0)),SomaAgrup)</f>
        <v>0</v>
      </c>
      <c r="AB671" s="130">
        <f t="shared" ca="1" si="149"/>
        <v>0</v>
      </c>
      <c r="AC671" s="131" t="str">
        <f ca="1">IF($N671="","",IF(ORÇAMENTO.Descricao="","DESCRIÇÃO",IF(AND($C671="S",ORÇAMENTO.Unidade=""),"UNIDADE",IF($X671&lt;0,"VALOR NEGATIVO",IF(OR(AND(TIPOORCAMENTO="Proposto",$AG671&lt;&gt;"",$AG671&gt;0,ORÇAMENTO.CustoUnitario&gt;$AG671),AND(TIPOORCAMENTO="LICITADO",ORÇAMENTO.PrecoUnitarioLicitado&gt;$AN671)),"ACIMA REF.","")))))</f>
        <v/>
      </c>
      <c r="AD671" t="str">
        <f ca="1">IF(C671&lt;=CRONO.NivelExibicao,MAX($AD$15:OFFSET(AD671,-1,0))+IF($C671&lt;&gt;1,1,MAX(1,COUNTIF(QCI!$A$13:$A$24,OFFSET($E671,-1,0)))),"")</f>
        <v/>
      </c>
      <c r="AE671" s="7" t="str">
        <f ca="1">IF(AND($C671="S",ORÇAMENTO.CodBarra&lt;&gt;""),IF(ORÇAMENTO.Fonte="",ORÇAMENTO.CodBarra,CONCATENATE(ORÇAMENTO.Fonte," ",ORÇAMENTO.CodBarra)))</f>
        <v>COMPOSIÇÃO FNDE 46</v>
      </c>
      <c r="AF671" s="13" t="str">
        <f ca="1">IF(ISERROR(INDIRECT(ORÇAMENTO.BancoRef)),"(abra o arquivo 'Referência "&amp;Excel_BuiltIn_Database&amp;".xlsm)",IF(OR($C671&lt;&gt;"S",ORÇAMENTO.CodBarra=""),"(Sem Código)",IF(ISERROR(MATCH($AE671,INDIRECT(ORÇAMENTO.BancoRef),0)),"(Código não identificado nas referências)",MATCH($AE671,INDIRECT(ORÇAMENTO.BancoRef),0))))</f>
        <v>(abra o arquivo 'Referência 06-2024.xlsm)</v>
      </c>
      <c r="AG671" s="498">
        <f ca="1">ROUND(IF(DESONERACAO="sim",REFERENCIA.Desonerado,REFERENCIA.NaoDesonerado),2)</f>
        <v>0</v>
      </c>
      <c r="AH671" s="499">
        <f t="shared" ca="1" si="150"/>
        <v>0.2432</v>
      </c>
      <c r="AJ671" s="501"/>
      <c r="AL671" s="527"/>
      <c r="AM671" s="381">
        <f t="shared" ca="1" si="133"/>
        <v>0</v>
      </c>
      <c r="AN671" s="566">
        <f t="shared" ca="1" si="151"/>
        <v>0</v>
      </c>
    </row>
    <row r="672" spans="1:40" ht="25.5" x14ac:dyDescent="0.2">
      <c r="A672" t="str">
        <f t="shared" si="148"/>
        <v>S</v>
      </c>
      <c r="B672">
        <f t="shared" ca="1" si="120"/>
        <v>2</v>
      </c>
      <c r="C672" t="str">
        <f t="shared" ca="1" si="121"/>
        <v>S</v>
      </c>
      <c r="D672">
        <f t="shared" ca="1" si="122"/>
        <v>0</v>
      </c>
      <c r="E672">
        <f ca="1">IF($C672=1,OFFSET(E672,-1,0)+MAX(1,COUNTIF(QCI!$A$13:$A$24,OFFSET(ORÇAMENTO!E672,-1,0))),OFFSET(E672,-1,0))</f>
        <v>1</v>
      </c>
      <c r="F672">
        <f t="shared" ca="1" si="123"/>
        <v>72</v>
      </c>
      <c r="G672">
        <f t="shared" ca="1" si="124"/>
        <v>0</v>
      </c>
      <c r="H672">
        <f t="shared" ca="1" si="125"/>
        <v>0</v>
      </c>
      <c r="I672">
        <f t="shared" ca="1" si="126"/>
        <v>0</v>
      </c>
      <c r="J672">
        <f t="shared" ca="1" si="152"/>
        <v>0</v>
      </c>
      <c r="K672">
        <f ca="1">IF(OR($C672="S",$C672=0),0,MATCH(OFFSET($D672,0,$C672)+IF($C672&lt;&gt;1,1,COUNTIF(QCI!$A$13:$A$24,ORÇAMENTO!E672)),OFFSET($D672,1,$C672,ROW($C$727)-ROW($C672)),0))</f>
        <v>0</v>
      </c>
      <c r="L672" s="116" t="str">
        <f t="shared" ca="1" si="127"/>
        <v/>
      </c>
      <c r="M672" s="117" t="s">
        <v>199</v>
      </c>
      <c r="N672" s="118" t="str">
        <f t="shared" ca="1" si="128"/>
        <v>Serviço</v>
      </c>
      <c r="O672" s="119" t="str">
        <f t="shared" ca="1" si="129"/>
        <v>-</v>
      </c>
      <c r="P672" s="120" t="s">
        <v>458</v>
      </c>
      <c r="Q672" s="121" t="s">
        <v>996</v>
      </c>
      <c r="R672" s="122" t="str">
        <f ca="1">IF($C672="S",REFERENCIA.Descricao,"(digite a descrição aqui)")</f>
        <v>(abra o arquivo 'Referência 06-2024.xlsm)</v>
      </c>
      <c r="S672" s="123" t="str">
        <f ca="1">REFERENCIA.Unidade</f>
        <v>-</v>
      </c>
      <c r="T672" s="124">
        <f ca="1">OFFSET(CÁLCULO!H$15,ROW($T672)-ROW(T$15),0)</f>
        <v>53.79</v>
      </c>
      <c r="U672" s="125">
        <f t="shared" ca="1" si="147"/>
        <v>0</v>
      </c>
      <c r="V672" s="126" t="s">
        <v>156</v>
      </c>
      <c r="W672" s="124">
        <f ca="1">IF($C672="S",ROUND(IF(TIPOORCAMENTO="Proposto",ORÇAMENTO.CustoUnitario*(1+$AH672),ORÇAMENTO.PrecoUnitarioLicitado),15-13*$AF$10),0)</f>
        <v>0</v>
      </c>
      <c r="X672" s="127">
        <f ca="1">IF($C672="S",IF(Import.TipoArredondamento&lt;&gt;"TransfereGOV",VTOTAL1,SUM(OFFSET(CÁLCULO!$AI$15,ROW($X672)-ROW($X$15),1):OFFSET(CÁLCULO!$BB$15,ROW($X672)-ROW($X$15),-1))),IF($C672=0,0,ROUND(SomaAgrup,15-13*$AF$11)))</f>
        <v>0</v>
      </c>
      <c r="Y672" s="128" t="s">
        <v>245</v>
      </c>
      <c r="Z672" t="str">
        <f t="shared" ca="1" si="130"/>
        <v/>
      </c>
      <c r="AA672" s="129">
        <f ca="1">IF($C672="S",IF($Z672="CP",$X672,IF($Z672="RA",(($X672)*QCI!$AA$3),0)),SomaAgrup)</f>
        <v>0</v>
      </c>
      <c r="AB672" s="130">
        <f t="shared" ca="1" si="149"/>
        <v>0</v>
      </c>
      <c r="AC672" s="131" t="str">
        <f ca="1">IF($N672="","",IF(ORÇAMENTO.Descricao="","DESCRIÇÃO",IF(AND($C672="S",ORÇAMENTO.Unidade=""),"UNIDADE",IF($X672&lt;0,"VALOR NEGATIVO",IF(OR(AND(TIPOORCAMENTO="Proposto",$AG672&lt;&gt;"",$AG672&gt;0,ORÇAMENTO.CustoUnitario&gt;$AG672),AND(TIPOORCAMENTO="LICITADO",ORÇAMENTO.PrecoUnitarioLicitado&gt;$AN672)),"ACIMA REF.","")))))</f>
        <v/>
      </c>
      <c r="AD672" t="str">
        <f ca="1">IF(C672&lt;=CRONO.NivelExibicao,MAX($AD$15:OFFSET(AD672,-1,0))+IF($C672&lt;&gt;1,1,MAX(1,COUNTIF(QCI!$A$13:$A$24,OFFSET($E672,-1,0)))),"")</f>
        <v/>
      </c>
      <c r="AE672" s="7" t="str">
        <f ca="1">IF(AND($C672="S",ORÇAMENTO.CodBarra&lt;&gt;""),IF(ORÇAMENTO.Fonte="",ORÇAMENTO.CodBarra,CONCATENATE(ORÇAMENTO.Fonte," ",ORÇAMENTO.CodBarra)))</f>
        <v>COMPOSIÇÃO FNDE 47</v>
      </c>
      <c r="AF672" s="13" t="str">
        <f ca="1">IF(ISERROR(INDIRECT(ORÇAMENTO.BancoRef)),"(abra o arquivo 'Referência "&amp;Excel_BuiltIn_Database&amp;".xlsm)",IF(OR($C672&lt;&gt;"S",ORÇAMENTO.CodBarra=""),"(Sem Código)",IF(ISERROR(MATCH($AE672,INDIRECT(ORÇAMENTO.BancoRef),0)),"(Código não identificado nas referências)",MATCH($AE672,INDIRECT(ORÇAMENTO.BancoRef),0))))</f>
        <v>(abra o arquivo 'Referência 06-2024.xlsm)</v>
      </c>
      <c r="AG672" s="498">
        <f ca="1">ROUND(IF(DESONERACAO="sim",REFERENCIA.Desonerado,REFERENCIA.NaoDesonerado),2)</f>
        <v>0</v>
      </c>
      <c r="AH672" s="499">
        <f t="shared" ca="1" si="150"/>
        <v>0.2432</v>
      </c>
      <c r="AJ672" s="501"/>
      <c r="AL672" s="527"/>
      <c r="AM672" s="381">
        <f t="shared" ca="1" si="133"/>
        <v>0</v>
      </c>
      <c r="AN672" s="566">
        <f t="shared" ca="1" si="151"/>
        <v>0</v>
      </c>
    </row>
    <row r="673" spans="1:40" x14ac:dyDescent="0.2">
      <c r="A673" t="str">
        <f t="shared" si="148"/>
        <v>S</v>
      </c>
      <c r="B673">
        <f t="shared" ca="1" si="120"/>
        <v>2</v>
      </c>
      <c r="C673" t="str">
        <f t="shared" ca="1" si="121"/>
        <v>S</v>
      </c>
      <c r="D673">
        <f t="shared" ca="1" si="122"/>
        <v>0</v>
      </c>
      <c r="E673">
        <f ca="1">IF($C673=1,OFFSET(E673,-1,0)+MAX(1,COUNTIF(QCI!$A$13:$A$24,OFFSET(ORÇAMENTO!E673,-1,0))),OFFSET(E673,-1,0))</f>
        <v>1</v>
      </c>
      <c r="F673">
        <f t="shared" ca="1" si="123"/>
        <v>72</v>
      </c>
      <c r="G673">
        <f t="shared" ca="1" si="124"/>
        <v>0</v>
      </c>
      <c r="H673">
        <f t="shared" ca="1" si="125"/>
        <v>0</v>
      </c>
      <c r="I673">
        <f t="shared" ca="1" si="126"/>
        <v>0</v>
      </c>
      <c r="J673">
        <f t="shared" ca="1" si="152"/>
        <v>0</v>
      </c>
      <c r="K673">
        <f ca="1">IF(OR($C673="S",$C673=0),0,MATCH(OFFSET($D673,0,$C673)+IF($C673&lt;&gt;1,1,COUNTIF(QCI!$A$13:$A$24,ORÇAMENTO!E673)),OFFSET($D673,1,$C673,ROW($C$727)-ROW($C673)),0))</f>
        <v>0</v>
      </c>
      <c r="L673" s="116" t="str">
        <f t="shared" ca="1" si="127"/>
        <v/>
      </c>
      <c r="M673" s="117" t="s">
        <v>199</v>
      </c>
      <c r="N673" s="118" t="str">
        <f t="shared" ca="1" si="128"/>
        <v>Serviço</v>
      </c>
      <c r="O673" s="119" t="str">
        <f t="shared" ca="1" si="129"/>
        <v>-</v>
      </c>
      <c r="P673" s="120" t="s">
        <v>458</v>
      </c>
      <c r="Q673" s="121" t="s">
        <v>997</v>
      </c>
      <c r="R673" s="122" t="str">
        <f ca="1">IF($C673="S",REFERENCIA.Descricao,"(digite a descrição aqui)")</f>
        <v>(abra o arquivo 'Referência 06-2024.xlsm)</v>
      </c>
      <c r="S673" s="123" t="str">
        <f ca="1">REFERENCIA.Unidade</f>
        <v>-</v>
      </c>
      <c r="T673" s="124">
        <f ca="1">OFFSET(CÁLCULO!H$15,ROW($T673)-ROW(T$15),0)</f>
        <v>96.67</v>
      </c>
      <c r="U673" s="125">
        <f t="shared" ca="1" si="147"/>
        <v>0</v>
      </c>
      <c r="V673" s="126" t="s">
        <v>156</v>
      </c>
      <c r="W673" s="124">
        <f ca="1">IF($C673="S",ROUND(IF(TIPOORCAMENTO="Proposto",ORÇAMENTO.CustoUnitario*(1+$AH673),ORÇAMENTO.PrecoUnitarioLicitado),15-13*$AF$10),0)</f>
        <v>0</v>
      </c>
      <c r="X673" s="127">
        <f ca="1">IF($C673="S",IF(Import.TipoArredondamento&lt;&gt;"TransfereGOV",VTOTAL1,SUM(OFFSET(CÁLCULO!$AI$15,ROW($X673)-ROW($X$15),1):OFFSET(CÁLCULO!$BB$15,ROW($X673)-ROW($X$15),-1))),IF($C673=0,0,ROUND(SomaAgrup,15-13*$AF$11)))</f>
        <v>0</v>
      </c>
      <c r="Y673" s="128" t="s">
        <v>245</v>
      </c>
      <c r="Z673" t="str">
        <f t="shared" ca="1" si="130"/>
        <v/>
      </c>
      <c r="AA673" s="129">
        <f ca="1">IF($C673="S",IF($Z673="CP",$X673,IF($Z673="RA",(($X673)*QCI!$AA$3),0)),SomaAgrup)</f>
        <v>0</v>
      </c>
      <c r="AB673" s="130">
        <f t="shared" ca="1" si="149"/>
        <v>0</v>
      </c>
      <c r="AC673" s="131" t="str">
        <f ca="1">IF($N673="","",IF(ORÇAMENTO.Descricao="","DESCRIÇÃO",IF(AND($C673="S",ORÇAMENTO.Unidade=""),"UNIDADE",IF($X673&lt;0,"VALOR NEGATIVO",IF(OR(AND(TIPOORCAMENTO="Proposto",$AG673&lt;&gt;"",$AG673&gt;0,ORÇAMENTO.CustoUnitario&gt;$AG673),AND(TIPOORCAMENTO="LICITADO",ORÇAMENTO.PrecoUnitarioLicitado&gt;$AN673)),"ACIMA REF.","")))))</f>
        <v/>
      </c>
      <c r="AD673" t="str">
        <f ca="1">IF(C673&lt;=CRONO.NivelExibicao,MAX($AD$15:OFFSET(AD673,-1,0))+IF($C673&lt;&gt;1,1,MAX(1,COUNTIF(QCI!$A$13:$A$24,OFFSET($E673,-1,0)))),"")</f>
        <v/>
      </c>
      <c r="AE673" s="7" t="str">
        <f ca="1">IF(AND($C673="S",ORÇAMENTO.CodBarra&lt;&gt;""),IF(ORÇAMENTO.Fonte="",ORÇAMENTO.CodBarra,CONCATENATE(ORÇAMENTO.Fonte," ",ORÇAMENTO.CodBarra)))</f>
        <v>COMPOSIÇÃO FNDE 48</v>
      </c>
      <c r="AF673" s="13" t="str">
        <f ca="1">IF(ISERROR(INDIRECT(ORÇAMENTO.BancoRef)),"(abra o arquivo 'Referência "&amp;Excel_BuiltIn_Database&amp;".xlsm)",IF(OR($C673&lt;&gt;"S",ORÇAMENTO.CodBarra=""),"(Sem Código)",IF(ISERROR(MATCH($AE673,INDIRECT(ORÇAMENTO.BancoRef),0)),"(Código não identificado nas referências)",MATCH($AE673,INDIRECT(ORÇAMENTO.BancoRef),0))))</f>
        <v>(abra o arquivo 'Referência 06-2024.xlsm)</v>
      </c>
      <c r="AG673" s="498">
        <f ca="1">ROUND(IF(DESONERACAO="sim",REFERENCIA.Desonerado,REFERENCIA.NaoDesonerado),2)</f>
        <v>0</v>
      </c>
      <c r="AH673" s="499">
        <f t="shared" ca="1" si="150"/>
        <v>0.2432</v>
      </c>
      <c r="AJ673" s="501"/>
      <c r="AL673" s="527"/>
      <c r="AM673" s="381">
        <f t="shared" ca="1" si="133"/>
        <v>0</v>
      </c>
      <c r="AN673" s="566">
        <f t="shared" ca="1" si="151"/>
        <v>0</v>
      </c>
    </row>
    <row r="674" spans="1:40" ht="38.25" x14ac:dyDescent="0.2">
      <c r="A674" t="str">
        <f t="shared" si="148"/>
        <v>S</v>
      </c>
      <c r="B674">
        <f t="shared" ca="1" si="120"/>
        <v>2</v>
      </c>
      <c r="C674" t="str">
        <f t="shared" ca="1" si="121"/>
        <v>S</v>
      </c>
      <c r="D674">
        <f t="shared" ca="1" si="122"/>
        <v>0</v>
      </c>
      <c r="E674">
        <f ca="1">IF($C674=1,OFFSET(E674,-1,0)+MAX(1,COUNTIF(QCI!$A$13:$A$24,OFFSET(ORÇAMENTO!E674,-1,0))),OFFSET(E674,-1,0))</f>
        <v>1</v>
      </c>
      <c r="F674">
        <f t="shared" ca="1" si="123"/>
        <v>72</v>
      </c>
      <c r="G674">
        <f t="shared" ca="1" si="124"/>
        <v>0</v>
      </c>
      <c r="H674">
        <f t="shared" ca="1" si="125"/>
        <v>0</v>
      </c>
      <c r="I674">
        <f t="shared" ca="1" si="126"/>
        <v>0</v>
      </c>
      <c r="J674">
        <f t="shared" ca="1" si="152"/>
        <v>0</v>
      </c>
      <c r="K674">
        <f ca="1">IF(OR($C674="S",$C674=0),0,MATCH(OFFSET($D674,0,$C674)+IF($C674&lt;&gt;1,1,COUNTIF(QCI!$A$13:$A$24,ORÇAMENTO!E674)),OFFSET($D674,1,$C674,ROW($C$727)-ROW($C674)),0))</f>
        <v>0</v>
      </c>
      <c r="L674" s="116" t="str">
        <f t="shared" ca="1" si="127"/>
        <v/>
      </c>
      <c r="M674" s="117" t="s">
        <v>199</v>
      </c>
      <c r="N674" s="118" t="str">
        <f t="shared" ca="1" si="128"/>
        <v>Serviço</v>
      </c>
      <c r="O674" s="119" t="str">
        <f t="shared" ca="1" si="129"/>
        <v>-</v>
      </c>
      <c r="P674" s="120" t="s">
        <v>247</v>
      </c>
      <c r="Q674" s="121" t="s">
        <v>998</v>
      </c>
      <c r="R674" s="122" t="str">
        <f ca="1">IF($C674="S",REFERENCIA.Descricao,"(digite a descrição aqui)")</f>
        <v>(abra o arquivo 'Referência 06-2024.xlsm)</v>
      </c>
      <c r="S674" s="123" t="str">
        <f ca="1">REFERENCIA.Unidade</f>
        <v>-</v>
      </c>
      <c r="T674" s="124">
        <f ca="1">OFFSET(CÁLCULO!H$15,ROW($T674)-ROW(T$15),0)</f>
        <v>132</v>
      </c>
      <c r="U674" s="125">
        <f t="shared" ca="1" si="147"/>
        <v>0</v>
      </c>
      <c r="V674" s="126" t="s">
        <v>156</v>
      </c>
      <c r="W674" s="124">
        <f ca="1">IF($C674="S",ROUND(IF(TIPOORCAMENTO="Proposto",ORÇAMENTO.CustoUnitario*(1+$AH674),ORÇAMENTO.PrecoUnitarioLicitado),15-13*$AF$10),0)</f>
        <v>0</v>
      </c>
      <c r="X674" s="127">
        <f ca="1">IF($C674="S",IF(Import.TipoArredondamento&lt;&gt;"TransfereGOV",VTOTAL1,SUM(OFFSET(CÁLCULO!$AI$15,ROW($X674)-ROW($X$15),1):OFFSET(CÁLCULO!$BB$15,ROW($X674)-ROW($X$15),-1))),IF($C674=0,0,ROUND(SomaAgrup,15-13*$AF$11)))</f>
        <v>0</v>
      </c>
      <c r="Y674" s="128" t="s">
        <v>245</v>
      </c>
      <c r="Z674" t="str">
        <f t="shared" ca="1" si="130"/>
        <v/>
      </c>
      <c r="AA674" s="129">
        <f ca="1">IF($C674="S",IF($Z674="CP",$X674,IF($Z674="RA",(($X674)*QCI!$AA$3),0)),SomaAgrup)</f>
        <v>0</v>
      </c>
      <c r="AB674" s="130">
        <f t="shared" ca="1" si="149"/>
        <v>0</v>
      </c>
      <c r="AC674" s="131" t="str">
        <f ca="1">IF($N674="","",IF(ORÇAMENTO.Descricao="","DESCRIÇÃO",IF(AND($C674="S",ORÇAMENTO.Unidade=""),"UNIDADE",IF($X674&lt;0,"VALOR NEGATIVO",IF(OR(AND(TIPOORCAMENTO="Proposto",$AG674&lt;&gt;"",$AG674&gt;0,ORÇAMENTO.CustoUnitario&gt;$AG674),AND(TIPOORCAMENTO="LICITADO",ORÇAMENTO.PrecoUnitarioLicitado&gt;$AN674)),"ACIMA REF.","")))))</f>
        <v/>
      </c>
      <c r="AD674" t="str">
        <f ca="1">IF(C674&lt;=CRONO.NivelExibicao,MAX($AD$15:OFFSET(AD674,-1,0))+IF($C674&lt;&gt;1,1,MAX(1,COUNTIF(QCI!$A$13:$A$24,OFFSET($E674,-1,0)))),"")</f>
        <v/>
      </c>
      <c r="AE674" s="7" t="str">
        <f ca="1">IF(AND($C674="S",ORÇAMENTO.CodBarra&lt;&gt;""),IF(ORÇAMENTO.Fonte="",ORÇAMENTO.CodBarra,CONCATENATE(ORÇAMENTO.Fonte," ",ORÇAMENTO.CodBarra)))</f>
        <v>SINAPI 101965</v>
      </c>
      <c r="AF674" s="13" t="str">
        <f ca="1">IF(ISERROR(INDIRECT(ORÇAMENTO.BancoRef)),"(abra o arquivo 'Referência "&amp;Excel_BuiltIn_Database&amp;".xlsm)",IF(OR($C674&lt;&gt;"S",ORÇAMENTO.CodBarra=""),"(Sem Código)",IF(ISERROR(MATCH($AE674,INDIRECT(ORÇAMENTO.BancoRef),0)),"(Código não identificado nas referências)",MATCH($AE674,INDIRECT(ORÇAMENTO.BancoRef),0))))</f>
        <v>(abra o arquivo 'Referência 06-2024.xlsm)</v>
      </c>
      <c r="AG674" s="498">
        <f ca="1">ROUND(IF(DESONERACAO="sim",REFERENCIA.Desonerado,REFERENCIA.NaoDesonerado),2)</f>
        <v>0</v>
      </c>
      <c r="AH674" s="499">
        <f t="shared" ca="1" si="150"/>
        <v>0.2432</v>
      </c>
      <c r="AJ674" s="501"/>
      <c r="AL674" s="527"/>
      <c r="AM674" s="381">
        <f t="shared" ca="1" si="133"/>
        <v>0</v>
      </c>
      <c r="AN674" s="566">
        <f t="shared" ca="1" si="151"/>
        <v>0</v>
      </c>
    </row>
    <row r="675" spans="1:40" ht="38.25" x14ac:dyDescent="0.2">
      <c r="A675" t="str">
        <f t="shared" si="148"/>
        <v>S</v>
      </c>
      <c r="B675">
        <f t="shared" ca="1" si="120"/>
        <v>2</v>
      </c>
      <c r="C675" t="str">
        <f t="shared" ca="1" si="121"/>
        <v>S</v>
      </c>
      <c r="D675">
        <f t="shared" ca="1" si="122"/>
        <v>0</v>
      </c>
      <c r="E675">
        <f ca="1">IF($C675=1,OFFSET(E675,-1,0)+MAX(1,COUNTIF(QCI!$A$13:$A$24,OFFSET(ORÇAMENTO!E675,-1,0))),OFFSET(E675,-1,0))</f>
        <v>1</v>
      </c>
      <c r="F675">
        <f t="shared" ca="1" si="123"/>
        <v>72</v>
      </c>
      <c r="G675">
        <f t="shared" ca="1" si="124"/>
        <v>0</v>
      </c>
      <c r="H675">
        <f t="shared" ca="1" si="125"/>
        <v>0</v>
      </c>
      <c r="I675">
        <f t="shared" ca="1" si="126"/>
        <v>0</v>
      </c>
      <c r="J675">
        <f t="shared" ca="1" si="152"/>
        <v>0</v>
      </c>
      <c r="K675">
        <f ca="1">IF(OR($C675="S",$C675=0),0,MATCH(OFFSET($D675,0,$C675)+IF($C675&lt;&gt;1,1,COUNTIF(QCI!$A$13:$A$24,ORÇAMENTO!E675)),OFFSET($D675,1,$C675,ROW($C$727)-ROW($C675)),0))</f>
        <v>0</v>
      </c>
      <c r="L675" s="116" t="str">
        <f t="shared" ca="1" si="127"/>
        <v/>
      </c>
      <c r="M675" s="117" t="s">
        <v>199</v>
      </c>
      <c r="N675" s="118" t="str">
        <f t="shared" ca="1" si="128"/>
        <v>Serviço</v>
      </c>
      <c r="O675" s="119" t="str">
        <f t="shared" ca="1" si="129"/>
        <v>-</v>
      </c>
      <c r="P675" s="120" t="s">
        <v>458</v>
      </c>
      <c r="Q675" s="121" t="s">
        <v>999</v>
      </c>
      <c r="R675" s="122" t="str">
        <f ca="1">IF($C675="S",REFERENCIA.Descricao,"(digite a descrição aqui)")</f>
        <v>(abra o arquivo 'Referência 06-2024.xlsm)</v>
      </c>
      <c r="S675" s="123" t="str">
        <f ca="1">REFERENCIA.Unidade</f>
        <v>-</v>
      </c>
      <c r="T675" s="124">
        <f ca="1">OFFSET(CÁLCULO!H$15,ROW($T675)-ROW(T$15),0)</f>
        <v>8.4499999999999993</v>
      </c>
      <c r="U675" s="125">
        <f t="shared" ca="1" si="147"/>
        <v>0</v>
      </c>
      <c r="V675" s="126" t="s">
        <v>156</v>
      </c>
      <c r="W675" s="124">
        <f ca="1">IF($C675="S",ROUND(IF(TIPOORCAMENTO="Proposto",ORÇAMENTO.CustoUnitario*(1+$AH675),ORÇAMENTO.PrecoUnitarioLicitado),15-13*$AF$10),0)</f>
        <v>0</v>
      </c>
      <c r="X675" s="127">
        <f ca="1">IF($C675="S",IF(Import.TipoArredondamento&lt;&gt;"TransfereGOV",VTOTAL1,SUM(OFFSET(CÁLCULO!$AI$15,ROW($X675)-ROW($X$15),1):OFFSET(CÁLCULO!$BB$15,ROW($X675)-ROW($X$15),-1))),IF($C675=0,0,ROUND(SomaAgrup,15-13*$AF$11)))</f>
        <v>0</v>
      </c>
      <c r="Y675" s="128" t="s">
        <v>245</v>
      </c>
      <c r="Z675" t="str">
        <f t="shared" ca="1" si="130"/>
        <v/>
      </c>
      <c r="AA675" s="129">
        <f ca="1">IF($C675="S",IF($Z675="CP",$X675,IF($Z675="RA",(($X675)*QCI!$AA$3),0)),SomaAgrup)</f>
        <v>0</v>
      </c>
      <c r="AB675" s="130">
        <f t="shared" ca="1" si="149"/>
        <v>0</v>
      </c>
      <c r="AC675" s="131" t="str">
        <f ca="1">IF($N675="","",IF(ORÇAMENTO.Descricao="","DESCRIÇÃO",IF(AND($C675="S",ORÇAMENTO.Unidade=""),"UNIDADE",IF($X675&lt;0,"VALOR NEGATIVO",IF(OR(AND(TIPOORCAMENTO="Proposto",$AG675&lt;&gt;"",$AG675&gt;0,ORÇAMENTO.CustoUnitario&gt;$AG675),AND(TIPOORCAMENTO="LICITADO",ORÇAMENTO.PrecoUnitarioLicitado&gt;$AN675)),"ACIMA REF.","")))))</f>
        <v/>
      </c>
      <c r="AD675" t="str">
        <f ca="1">IF(C675&lt;=CRONO.NivelExibicao,MAX($AD$15:OFFSET(AD675,-1,0))+IF($C675&lt;&gt;1,1,MAX(1,COUNTIF(QCI!$A$13:$A$24,OFFSET($E675,-1,0)))),"")</f>
        <v/>
      </c>
      <c r="AE675" s="7" t="str">
        <f ca="1">IF(AND($C675="S",ORÇAMENTO.CodBarra&lt;&gt;""),IF(ORÇAMENTO.Fonte="",ORÇAMENTO.CodBarra,CONCATENATE(ORÇAMENTO.Fonte," ",ORÇAMENTO.CodBarra)))</f>
        <v>COMPOSIÇÃO FNDE 351</v>
      </c>
      <c r="AF675" s="13" t="str">
        <f ca="1">IF(ISERROR(INDIRECT(ORÇAMENTO.BancoRef)),"(abra o arquivo 'Referência "&amp;Excel_BuiltIn_Database&amp;".xlsm)",IF(OR($C675&lt;&gt;"S",ORÇAMENTO.CodBarra=""),"(Sem Código)",IF(ISERROR(MATCH($AE675,INDIRECT(ORÇAMENTO.BancoRef),0)),"(Código não identificado nas referências)",MATCH($AE675,INDIRECT(ORÇAMENTO.BancoRef),0))))</f>
        <v>(abra o arquivo 'Referência 06-2024.xlsm)</v>
      </c>
      <c r="AG675" s="498">
        <f ca="1">ROUND(IF(DESONERACAO="sim",REFERENCIA.Desonerado,REFERENCIA.NaoDesonerado),2)</f>
        <v>0</v>
      </c>
      <c r="AH675" s="499">
        <f t="shared" ca="1" si="150"/>
        <v>0.2432</v>
      </c>
      <c r="AJ675" s="501"/>
      <c r="AL675" s="527"/>
      <c r="AM675" s="381">
        <f t="shared" ca="1" si="133"/>
        <v>0</v>
      </c>
      <c r="AN675" s="566">
        <f t="shared" ca="1" si="151"/>
        <v>0</v>
      </c>
    </row>
    <row r="676" spans="1:40" ht="38.25" x14ac:dyDescent="0.2">
      <c r="A676" t="str">
        <f t="shared" si="148"/>
        <v>S</v>
      </c>
      <c r="B676">
        <f t="shared" ca="1" si="120"/>
        <v>2</v>
      </c>
      <c r="C676" t="str">
        <f t="shared" ca="1" si="121"/>
        <v>S</v>
      </c>
      <c r="D676">
        <f t="shared" ca="1" si="122"/>
        <v>0</v>
      </c>
      <c r="E676">
        <f ca="1">IF($C676=1,OFFSET(E676,-1,0)+MAX(1,COUNTIF(QCI!$A$13:$A$24,OFFSET(ORÇAMENTO!E676,-1,0))),OFFSET(E676,-1,0))</f>
        <v>1</v>
      </c>
      <c r="F676">
        <f t="shared" ca="1" si="123"/>
        <v>72</v>
      </c>
      <c r="G676">
        <f t="shared" ca="1" si="124"/>
        <v>0</v>
      </c>
      <c r="H676">
        <f t="shared" ca="1" si="125"/>
        <v>0</v>
      </c>
      <c r="I676">
        <f t="shared" ca="1" si="126"/>
        <v>0</v>
      </c>
      <c r="J676">
        <f t="shared" ca="1" si="152"/>
        <v>0</v>
      </c>
      <c r="K676">
        <f ca="1">IF(OR($C676="S",$C676=0),0,MATCH(OFFSET($D676,0,$C676)+IF($C676&lt;&gt;1,1,COUNTIF(QCI!$A$13:$A$24,ORÇAMENTO!E676)),OFFSET($D676,1,$C676,ROW($C$727)-ROW($C676)),0))</f>
        <v>0</v>
      </c>
      <c r="L676" s="116" t="str">
        <f t="shared" ca="1" si="127"/>
        <v/>
      </c>
      <c r="M676" s="117" t="s">
        <v>199</v>
      </c>
      <c r="N676" s="118" t="str">
        <f t="shared" ca="1" si="128"/>
        <v>Serviço</v>
      </c>
      <c r="O676" s="119" t="str">
        <f t="shared" ca="1" si="129"/>
        <v>-</v>
      </c>
      <c r="P676" s="120" t="s">
        <v>247</v>
      </c>
      <c r="Q676" s="121" t="s">
        <v>1000</v>
      </c>
      <c r="R676" s="122" t="str">
        <f ca="1">IF($C676="S",REFERENCIA.Descricao,"(digite a descrição aqui)")</f>
        <v>(abra o arquivo 'Referência 06-2024.xlsm)</v>
      </c>
      <c r="S676" s="123" t="str">
        <f ca="1">REFERENCIA.Unidade</f>
        <v>-</v>
      </c>
      <c r="T676" s="124">
        <f ca="1">OFFSET(CÁLCULO!H$15,ROW($T676)-ROW(T$15),0)</f>
        <v>301</v>
      </c>
      <c r="U676" s="125">
        <f t="shared" ca="1" si="147"/>
        <v>0</v>
      </c>
      <c r="V676" s="126" t="s">
        <v>156</v>
      </c>
      <c r="W676" s="124">
        <f ca="1">IF($C676="S",ROUND(IF(TIPOORCAMENTO="Proposto",ORÇAMENTO.CustoUnitario*(1+$AH676),ORÇAMENTO.PrecoUnitarioLicitado),15-13*$AF$10),0)</f>
        <v>0</v>
      </c>
      <c r="X676" s="127">
        <f ca="1">IF($C676="S",IF(Import.TipoArredondamento&lt;&gt;"TransfereGOV",VTOTAL1,SUM(OFFSET(CÁLCULO!$AI$15,ROW($X676)-ROW($X$15),1):OFFSET(CÁLCULO!$BB$15,ROW($X676)-ROW($X$15),-1))),IF($C676=0,0,ROUND(SomaAgrup,15-13*$AF$11)))</f>
        <v>0</v>
      </c>
      <c r="Y676" s="128" t="s">
        <v>245</v>
      </c>
      <c r="Z676" t="str">
        <f t="shared" ca="1" si="130"/>
        <v/>
      </c>
      <c r="AA676" s="129">
        <f ca="1">IF($C676="S",IF($Z676="CP",$X676,IF($Z676="RA",(($X676)*QCI!$AA$3),0)),SomaAgrup)</f>
        <v>0</v>
      </c>
      <c r="AB676" s="130">
        <f t="shared" ca="1" si="149"/>
        <v>0</v>
      </c>
      <c r="AC676" s="131" t="str">
        <f ca="1">IF($N676="","",IF(ORÇAMENTO.Descricao="","DESCRIÇÃO",IF(AND($C676="S",ORÇAMENTO.Unidade=""),"UNIDADE",IF($X676&lt;0,"VALOR NEGATIVO",IF(OR(AND(TIPOORCAMENTO="Proposto",$AG676&lt;&gt;"",$AG676&gt;0,ORÇAMENTO.CustoUnitario&gt;$AG676),AND(TIPOORCAMENTO="LICITADO",ORÇAMENTO.PrecoUnitarioLicitado&gt;$AN676)),"ACIMA REF.","")))))</f>
        <v/>
      </c>
      <c r="AD676" t="str">
        <f ca="1">IF(C676&lt;=CRONO.NivelExibicao,MAX($AD$15:OFFSET(AD676,-1,0))+IF($C676&lt;&gt;1,1,MAX(1,COUNTIF(QCI!$A$13:$A$24,OFFSET($E676,-1,0)))),"")</f>
        <v/>
      </c>
      <c r="AE676" s="7" t="str">
        <f ca="1">IF(AND($C676="S",ORÇAMENTO.CodBarra&lt;&gt;""),IF(ORÇAMENTO.Fonte="",ORÇAMENTO.CodBarra,CONCATENATE(ORÇAMENTO.Fonte," ",ORÇAMENTO.CodBarra)))</f>
        <v>SINAPI 100861</v>
      </c>
      <c r="AF676" s="13" t="str">
        <f ca="1">IF(ISERROR(INDIRECT(ORÇAMENTO.BancoRef)),"(abra o arquivo 'Referência "&amp;Excel_BuiltIn_Database&amp;".xlsm)",IF(OR($C676&lt;&gt;"S",ORÇAMENTO.CodBarra=""),"(Sem Código)",IF(ISERROR(MATCH($AE676,INDIRECT(ORÇAMENTO.BancoRef),0)),"(Código não identificado nas referências)",MATCH($AE676,INDIRECT(ORÇAMENTO.BancoRef),0))))</f>
        <v>(abra o arquivo 'Referência 06-2024.xlsm)</v>
      </c>
      <c r="AG676" s="498">
        <f ca="1">ROUND(IF(DESONERACAO="sim",REFERENCIA.Desonerado,REFERENCIA.NaoDesonerado),2)</f>
        <v>0</v>
      </c>
      <c r="AH676" s="499">
        <f t="shared" ca="1" si="150"/>
        <v>0.2432</v>
      </c>
      <c r="AJ676" s="501"/>
      <c r="AL676" s="527"/>
      <c r="AM676" s="381">
        <f t="shared" ca="1" si="133"/>
        <v>0</v>
      </c>
      <c r="AN676" s="566">
        <f t="shared" ca="1" si="151"/>
        <v>0</v>
      </c>
    </row>
    <row r="677" spans="1:40" x14ac:dyDescent="0.2">
      <c r="A677" t="str">
        <f t="shared" si="148"/>
        <v>S</v>
      </c>
      <c r="B677">
        <f t="shared" ca="1" si="120"/>
        <v>2</v>
      </c>
      <c r="C677" t="str">
        <f t="shared" ca="1" si="121"/>
        <v>S</v>
      </c>
      <c r="D677">
        <f t="shared" ca="1" si="122"/>
        <v>0</v>
      </c>
      <c r="E677">
        <f ca="1">IF($C677=1,OFFSET(E677,-1,0)+MAX(1,COUNTIF(QCI!$A$13:$A$24,OFFSET(ORÇAMENTO!E677,-1,0))),OFFSET(E677,-1,0))</f>
        <v>1</v>
      </c>
      <c r="F677">
        <f t="shared" ca="1" si="123"/>
        <v>72</v>
      </c>
      <c r="G677">
        <f t="shared" ca="1" si="124"/>
        <v>0</v>
      </c>
      <c r="H677">
        <f t="shared" ca="1" si="125"/>
        <v>0</v>
      </c>
      <c r="I677">
        <f t="shared" ca="1" si="126"/>
        <v>0</v>
      </c>
      <c r="J677">
        <f t="shared" ca="1" si="152"/>
        <v>0</v>
      </c>
      <c r="K677">
        <f ca="1">IF(OR($C677="S",$C677=0),0,MATCH(OFFSET($D677,0,$C677)+IF($C677&lt;&gt;1,1,COUNTIF(QCI!$A$13:$A$24,ORÇAMENTO!E677)),OFFSET($D677,1,$C677,ROW($C$727)-ROW($C677)),0))</f>
        <v>0</v>
      </c>
      <c r="L677" s="116" t="str">
        <f t="shared" ca="1" si="127"/>
        <v/>
      </c>
      <c r="M677" s="117" t="s">
        <v>199</v>
      </c>
      <c r="N677" s="118" t="str">
        <f t="shared" ca="1" si="128"/>
        <v>Serviço</v>
      </c>
      <c r="O677" s="119" t="str">
        <f t="shared" ca="1" si="129"/>
        <v>-</v>
      </c>
      <c r="P677" s="120" t="s">
        <v>458</v>
      </c>
      <c r="Q677" s="121" t="s">
        <v>1001</v>
      </c>
      <c r="R677" s="122" t="str">
        <f ca="1">IF($C677="S",REFERENCIA.Descricao,"(digite a descrição aqui)")</f>
        <v>(abra o arquivo 'Referência 06-2024.xlsm)</v>
      </c>
      <c r="S677" s="123" t="str">
        <f ca="1">REFERENCIA.Unidade</f>
        <v>-</v>
      </c>
      <c r="T677" s="124">
        <f ca="1">OFFSET(CÁLCULO!H$15,ROW($T677)-ROW(T$15),0)</f>
        <v>23.86</v>
      </c>
      <c r="U677" s="125">
        <f t="shared" ca="1" si="147"/>
        <v>0</v>
      </c>
      <c r="V677" s="126" t="s">
        <v>156</v>
      </c>
      <c r="W677" s="124">
        <f ca="1">IF($C677="S",ROUND(IF(TIPOORCAMENTO="Proposto",ORÇAMENTO.CustoUnitario*(1+$AH677),ORÇAMENTO.PrecoUnitarioLicitado),15-13*$AF$10),0)</f>
        <v>0</v>
      </c>
      <c r="X677" s="127">
        <f ca="1">IF($C677="S",IF(Import.TipoArredondamento&lt;&gt;"TransfereGOV",VTOTAL1,SUM(OFFSET(CÁLCULO!$AI$15,ROW($X677)-ROW($X$15),1):OFFSET(CÁLCULO!$BB$15,ROW($X677)-ROW($X$15),-1))),IF($C677=0,0,ROUND(SomaAgrup,15-13*$AF$11)))</f>
        <v>0</v>
      </c>
      <c r="Y677" s="128" t="s">
        <v>245</v>
      </c>
      <c r="Z677" t="str">
        <f t="shared" ca="1" si="130"/>
        <v/>
      </c>
      <c r="AA677" s="129">
        <f ca="1">IF($C677="S",IF($Z677="CP",$X677,IF($Z677="RA",(($X677)*QCI!$AA$3),0)),SomaAgrup)</f>
        <v>0</v>
      </c>
      <c r="AB677" s="130">
        <f t="shared" ca="1" si="149"/>
        <v>0</v>
      </c>
      <c r="AC677" s="131" t="str">
        <f ca="1">IF($N677="","",IF(ORÇAMENTO.Descricao="","DESCRIÇÃO",IF(AND($C677="S",ORÇAMENTO.Unidade=""),"UNIDADE",IF($X677&lt;0,"VALOR NEGATIVO",IF(OR(AND(TIPOORCAMENTO="Proposto",$AG677&lt;&gt;"",$AG677&gt;0,ORÇAMENTO.CustoUnitario&gt;$AG677),AND(TIPOORCAMENTO="LICITADO",ORÇAMENTO.PrecoUnitarioLicitado&gt;$AN677)),"ACIMA REF.","")))))</f>
        <v/>
      </c>
      <c r="AD677" t="str">
        <f ca="1">IF(C677&lt;=CRONO.NivelExibicao,MAX($AD$15:OFFSET(AD677,-1,0))+IF($C677&lt;&gt;1,1,MAX(1,COUNTIF(QCI!$A$13:$A$24,OFFSET($E677,-1,0)))),"")</f>
        <v/>
      </c>
      <c r="AE677" s="7" t="str">
        <f ca="1">IF(AND($C677="S",ORÇAMENTO.CodBarra&lt;&gt;""),IF(ORÇAMENTO.Fonte="",ORÇAMENTO.CodBarra,CONCATENATE(ORÇAMENTO.Fonte," ",ORÇAMENTO.CodBarra)))</f>
        <v>COMPOSIÇÃO 99856</v>
      </c>
      <c r="AF677" s="13" t="str">
        <f ca="1">IF(ISERROR(INDIRECT(ORÇAMENTO.BancoRef)),"(abra o arquivo 'Referência "&amp;Excel_BuiltIn_Database&amp;".xlsm)",IF(OR($C677&lt;&gt;"S",ORÇAMENTO.CodBarra=""),"(Sem Código)",IF(ISERROR(MATCH($AE677,INDIRECT(ORÇAMENTO.BancoRef),0)),"(Código não identificado nas referências)",MATCH($AE677,INDIRECT(ORÇAMENTO.BancoRef),0))))</f>
        <v>(abra o arquivo 'Referência 06-2024.xlsm)</v>
      </c>
      <c r="AG677" s="498">
        <f ca="1">ROUND(IF(DESONERACAO="sim",REFERENCIA.Desonerado,REFERENCIA.NaoDesonerado),2)</f>
        <v>0</v>
      </c>
      <c r="AH677" s="499">
        <f t="shared" ca="1" si="150"/>
        <v>0.2432</v>
      </c>
      <c r="AJ677" s="501"/>
      <c r="AL677" s="527"/>
      <c r="AM677" s="381">
        <f t="shared" ca="1" si="133"/>
        <v>0</v>
      </c>
      <c r="AN677" s="566">
        <f t="shared" ca="1" si="151"/>
        <v>0</v>
      </c>
    </row>
    <row r="678" spans="1:40" x14ac:dyDescent="0.2">
      <c r="A678" t="str">
        <f t="shared" si="148"/>
        <v>S</v>
      </c>
      <c r="B678">
        <f t="shared" ca="1" si="120"/>
        <v>2</v>
      </c>
      <c r="C678" t="str">
        <f t="shared" ca="1" si="121"/>
        <v>S</v>
      </c>
      <c r="D678">
        <f t="shared" ca="1" si="122"/>
        <v>0</v>
      </c>
      <c r="E678">
        <f ca="1">IF($C678=1,OFFSET(E678,-1,0)+MAX(1,COUNTIF(QCI!$A$13:$A$24,OFFSET(ORÇAMENTO!E678,-1,0))),OFFSET(E678,-1,0))</f>
        <v>1</v>
      </c>
      <c r="F678">
        <f t="shared" ca="1" si="123"/>
        <v>72</v>
      </c>
      <c r="G678">
        <f t="shared" ca="1" si="124"/>
        <v>0</v>
      </c>
      <c r="H678">
        <f t="shared" ca="1" si="125"/>
        <v>0</v>
      </c>
      <c r="I678">
        <f t="shared" ca="1" si="126"/>
        <v>0</v>
      </c>
      <c r="J678">
        <f t="shared" ca="1" si="152"/>
        <v>0</v>
      </c>
      <c r="K678">
        <f ca="1">IF(OR($C678="S",$C678=0),0,MATCH(OFFSET($D678,0,$C678)+IF($C678&lt;&gt;1,1,COUNTIF(QCI!$A$13:$A$24,ORÇAMENTO!E678)),OFFSET($D678,1,$C678,ROW($C$727)-ROW($C678)),0))</f>
        <v>0</v>
      </c>
      <c r="L678" s="116" t="str">
        <f t="shared" ca="1" si="127"/>
        <v/>
      </c>
      <c r="M678" s="117" t="s">
        <v>199</v>
      </c>
      <c r="N678" s="118" t="str">
        <f t="shared" ca="1" si="128"/>
        <v>Serviço</v>
      </c>
      <c r="O678" s="119" t="str">
        <f t="shared" ca="1" si="129"/>
        <v>-</v>
      </c>
      <c r="P678" s="120" t="s">
        <v>458</v>
      </c>
      <c r="Q678" s="121" t="s">
        <v>1002</v>
      </c>
      <c r="R678" s="122" t="str">
        <f ca="1">IF($C678="S",REFERENCIA.Descricao,"(digite a descrição aqui)")</f>
        <v>(abra o arquivo 'Referência 06-2024.xlsm)</v>
      </c>
      <c r="S678" s="123" t="str">
        <f ca="1">REFERENCIA.Unidade</f>
        <v>-</v>
      </c>
      <c r="T678" s="124">
        <f ca="1">OFFSET(CÁLCULO!H$15,ROW($T678)-ROW(T$15),0)</f>
        <v>5.44</v>
      </c>
      <c r="U678" s="125">
        <f t="shared" ca="1" si="147"/>
        <v>0</v>
      </c>
      <c r="V678" s="126" t="s">
        <v>156</v>
      </c>
      <c r="W678" s="124">
        <f ca="1">IF($C678="S",ROUND(IF(TIPOORCAMENTO="Proposto",ORÇAMENTO.CustoUnitario*(1+$AH678),ORÇAMENTO.PrecoUnitarioLicitado),15-13*$AF$10),0)</f>
        <v>0</v>
      </c>
      <c r="X678" s="127">
        <f ca="1">IF($C678="S",IF(Import.TipoArredondamento&lt;&gt;"TransfereGOV",VTOTAL1,SUM(OFFSET(CÁLCULO!$AI$15,ROW($X678)-ROW($X$15),1):OFFSET(CÁLCULO!$BB$15,ROW($X678)-ROW($X$15),-1))),IF($C678=0,0,ROUND(SomaAgrup,15-13*$AF$11)))</f>
        <v>0</v>
      </c>
      <c r="Y678" s="128" t="s">
        <v>245</v>
      </c>
      <c r="Z678" t="str">
        <f t="shared" ca="1" si="130"/>
        <v/>
      </c>
      <c r="AA678" s="129">
        <f ca="1">IF($C678="S",IF($Z678="CP",$X678,IF($Z678="RA",(($X678)*QCI!$AA$3),0)),SomaAgrup)</f>
        <v>0</v>
      </c>
      <c r="AB678" s="130">
        <f t="shared" ca="1" si="149"/>
        <v>0</v>
      </c>
      <c r="AC678" s="131" t="str">
        <f ca="1">IF($N678="","",IF(ORÇAMENTO.Descricao="","DESCRIÇÃO",IF(AND($C678="S",ORÇAMENTO.Unidade=""),"UNIDADE",IF($X678&lt;0,"VALOR NEGATIVO",IF(OR(AND(TIPOORCAMENTO="Proposto",$AG678&lt;&gt;"",$AG678&gt;0,ORÇAMENTO.CustoUnitario&gt;$AG678),AND(TIPOORCAMENTO="LICITADO",ORÇAMENTO.PrecoUnitarioLicitado&gt;$AN678)),"ACIMA REF.","")))))</f>
        <v/>
      </c>
      <c r="AD678" t="str">
        <f ca="1">IF(C678&lt;=CRONO.NivelExibicao,MAX($AD$15:OFFSET(AD678,-1,0))+IF($C678&lt;&gt;1,1,MAX(1,COUNTIF(QCI!$A$13:$A$24,OFFSET($E678,-1,0)))),"")</f>
        <v/>
      </c>
      <c r="AE678" s="7" t="str">
        <f ca="1">IF(AND($C678="S",ORÇAMENTO.CodBarra&lt;&gt;""),IF(ORÇAMENTO.Fonte="",ORÇAMENTO.CodBarra,CONCATENATE(ORÇAMENTO.Fonte," ",ORÇAMENTO.CodBarra)))</f>
        <v>COMPOSIÇÃO FNDE 51</v>
      </c>
      <c r="AF678" s="13" t="str">
        <f ca="1">IF(ISERROR(INDIRECT(ORÇAMENTO.BancoRef)),"(abra o arquivo 'Referência "&amp;Excel_BuiltIn_Database&amp;".xlsm)",IF(OR($C678&lt;&gt;"S",ORÇAMENTO.CodBarra=""),"(Sem Código)",IF(ISERROR(MATCH($AE678,INDIRECT(ORÇAMENTO.BancoRef),0)),"(Código não identificado nas referências)",MATCH($AE678,INDIRECT(ORÇAMENTO.BancoRef),0))))</f>
        <v>(abra o arquivo 'Referência 06-2024.xlsm)</v>
      </c>
      <c r="AG678" s="498">
        <f ca="1">ROUND(IF(DESONERACAO="sim",REFERENCIA.Desonerado,REFERENCIA.NaoDesonerado),2)</f>
        <v>0</v>
      </c>
      <c r="AH678" s="499">
        <f t="shared" ca="1" si="150"/>
        <v>0.2432</v>
      </c>
      <c r="AJ678" s="501"/>
      <c r="AL678" s="527"/>
      <c r="AM678" s="381">
        <f t="shared" ca="1" si="133"/>
        <v>0</v>
      </c>
      <c r="AN678" s="566">
        <f t="shared" ca="1" si="151"/>
        <v>0</v>
      </c>
    </row>
    <row r="679" spans="1:40" x14ac:dyDescent="0.2">
      <c r="A679" t="str">
        <f t="shared" si="148"/>
        <v>S</v>
      </c>
      <c r="B679">
        <f t="shared" ca="1" si="120"/>
        <v>2</v>
      </c>
      <c r="C679" t="str">
        <f t="shared" ca="1" si="121"/>
        <v>S</v>
      </c>
      <c r="D679">
        <f t="shared" ca="1" si="122"/>
        <v>0</v>
      </c>
      <c r="E679">
        <f ca="1">IF($C679=1,OFFSET(E679,-1,0)+MAX(1,COUNTIF(QCI!$A$13:$A$24,OFFSET(ORÇAMENTO!E679,-1,0))),OFFSET(E679,-1,0))</f>
        <v>1</v>
      </c>
      <c r="F679">
        <f t="shared" ca="1" si="123"/>
        <v>72</v>
      </c>
      <c r="G679">
        <f t="shared" ca="1" si="124"/>
        <v>0</v>
      </c>
      <c r="H679">
        <f t="shared" ca="1" si="125"/>
        <v>0</v>
      </c>
      <c r="I679">
        <f t="shared" ca="1" si="126"/>
        <v>0</v>
      </c>
      <c r="J679">
        <f t="shared" ca="1" si="152"/>
        <v>0</v>
      </c>
      <c r="K679">
        <f ca="1">IF(OR($C679="S",$C679=0),0,MATCH(OFFSET($D679,0,$C679)+IF($C679&lt;&gt;1,1,COUNTIF(QCI!$A$13:$A$24,ORÇAMENTO!E679)),OFFSET($D679,1,$C679,ROW($C$727)-ROW($C679)),0))</f>
        <v>0</v>
      </c>
      <c r="L679" s="116" t="str">
        <f t="shared" ca="1" si="127"/>
        <v/>
      </c>
      <c r="M679" s="117" t="s">
        <v>199</v>
      </c>
      <c r="N679" s="118" t="str">
        <f t="shared" ca="1" si="128"/>
        <v>Serviço</v>
      </c>
      <c r="O679" s="119" t="str">
        <f t="shared" ca="1" si="129"/>
        <v>-</v>
      </c>
      <c r="P679" s="120" t="s">
        <v>458</v>
      </c>
      <c r="Q679" s="121" t="s">
        <v>1015</v>
      </c>
      <c r="R679" s="122" t="str">
        <f ca="1">IF($C679="S",REFERENCIA.Descricao,"(digite a descrição aqui)")</f>
        <v>(abra o arquivo 'Referência 06-2024.xlsm)</v>
      </c>
      <c r="S679" s="123" t="str">
        <f ca="1">REFERENCIA.Unidade</f>
        <v>-</v>
      </c>
      <c r="T679" s="124">
        <f ca="1">OFFSET(CÁLCULO!H$15,ROW($T679)-ROW(T$15),0)</f>
        <v>1</v>
      </c>
      <c r="U679" s="125">
        <f t="shared" ca="1" si="147"/>
        <v>0</v>
      </c>
      <c r="V679" s="126" t="s">
        <v>156</v>
      </c>
      <c r="W679" s="124">
        <f ca="1">IF($C679="S",ROUND(IF(TIPOORCAMENTO="Proposto",ORÇAMENTO.CustoUnitario*(1+$AH679),ORÇAMENTO.PrecoUnitarioLicitado),15-13*$AF$10),0)</f>
        <v>0</v>
      </c>
      <c r="X679" s="127">
        <f ca="1">IF($C679="S",IF(Import.TipoArredondamento&lt;&gt;"TransfereGOV",VTOTAL1,SUM(OFFSET(CÁLCULO!$AI$15,ROW($X679)-ROW($X$15),1):OFFSET(CÁLCULO!$BB$15,ROW($X679)-ROW($X$15),-1))),IF($C679=0,0,ROUND(SomaAgrup,15-13*$AF$11)))</f>
        <v>0</v>
      </c>
      <c r="Y679" s="128" t="s">
        <v>245</v>
      </c>
      <c r="Z679" t="str">
        <f t="shared" ca="1" si="130"/>
        <v/>
      </c>
      <c r="AA679" s="129">
        <f ca="1">IF($C679="S",IF($Z679="CP",$X679,IF($Z679="RA",(($X679)*QCI!$AA$3),0)),SomaAgrup)</f>
        <v>0</v>
      </c>
      <c r="AB679" s="130">
        <f t="shared" ca="1" si="149"/>
        <v>0</v>
      </c>
      <c r="AC679" s="131" t="str">
        <f ca="1">IF($N679="","",IF(ORÇAMENTO.Descricao="","DESCRIÇÃO",IF(AND($C679="S",ORÇAMENTO.Unidade=""),"UNIDADE",IF($X679&lt;0,"VALOR NEGATIVO",IF(OR(AND(TIPOORCAMENTO="Proposto",$AG679&lt;&gt;"",$AG679&gt;0,ORÇAMENTO.CustoUnitario&gt;$AG679),AND(TIPOORCAMENTO="LICITADO",ORÇAMENTO.PrecoUnitarioLicitado&gt;$AN679)),"ACIMA REF.","")))))</f>
        <v/>
      </c>
      <c r="AD679" t="str">
        <f ca="1">IF(C679&lt;=CRONO.NivelExibicao,MAX($AD$15:OFFSET(AD679,-1,0))+IF($C679&lt;&gt;1,1,MAX(1,COUNTIF(QCI!$A$13:$A$24,OFFSET($E679,-1,0)))),"")</f>
        <v/>
      </c>
      <c r="AE679" s="7" t="str">
        <f ca="1">IF(AND($C679="S",ORÇAMENTO.CodBarra&lt;&gt;""),IF(ORÇAMENTO.Fonte="",ORÇAMENTO.CodBarra,CONCATENATE(ORÇAMENTO.Fonte," ",ORÇAMENTO.CodBarra)))</f>
        <v>COMPOSIÇÃO FNDE 325</v>
      </c>
      <c r="AF679" s="13" t="str">
        <f ca="1">IF(ISERROR(INDIRECT(ORÇAMENTO.BancoRef)),"(abra o arquivo 'Referência "&amp;Excel_BuiltIn_Database&amp;".xlsm)",IF(OR($C679&lt;&gt;"S",ORÇAMENTO.CodBarra=""),"(Sem Código)",IF(ISERROR(MATCH($AE679,INDIRECT(ORÇAMENTO.BancoRef),0)),"(Código não identificado nas referências)",MATCH($AE679,INDIRECT(ORÇAMENTO.BancoRef),0))))</f>
        <v>(abra o arquivo 'Referência 06-2024.xlsm)</v>
      </c>
      <c r="AG679" s="498">
        <f ca="1">ROUND(IF(DESONERACAO="sim",REFERENCIA.Desonerado,REFERENCIA.NaoDesonerado),2)</f>
        <v>0</v>
      </c>
      <c r="AH679" s="499">
        <f t="shared" ca="1" si="150"/>
        <v>0.2432</v>
      </c>
      <c r="AJ679" s="501"/>
      <c r="AL679" s="527"/>
      <c r="AM679" s="381">
        <f t="shared" ca="1" si="133"/>
        <v>0</v>
      </c>
      <c r="AN679" s="566">
        <f t="shared" ca="1" si="151"/>
        <v>0</v>
      </c>
    </row>
    <row r="680" spans="1:40" x14ac:dyDescent="0.2">
      <c r="A680" t="str">
        <f t="shared" si="148"/>
        <v>S</v>
      </c>
      <c r="B680">
        <f t="shared" ca="1" si="120"/>
        <v>2</v>
      </c>
      <c r="C680" t="str">
        <f t="shared" ca="1" si="121"/>
        <v>S</v>
      </c>
      <c r="D680">
        <f t="shared" ca="1" si="122"/>
        <v>0</v>
      </c>
      <c r="E680">
        <f ca="1">IF($C680=1,OFFSET(E680,-1,0)+MAX(1,COUNTIF(QCI!$A$13:$A$24,OFFSET(ORÇAMENTO!E680,-1,0))),OFFSET(E680,-1,0))</f>
        <v>1</v>
      </c>
      <c r="F680">
        <f t="shared" ca="1" si="123"/>
        <v>72</v>
      </c>
      <c r="G680">
        <f t="shared" ca="1" si="124"/>
        <v>0</v>
      </c>
      <c r="H680">
        <f t="shared" ca="1" si="125"/>
        <v>0</v>
      </c>
      <c r="I680">
        <f t="shared" ca="1" si="126"/>
        <v>0</v>
      </c>
      <c r="J680">
        <f t="shared" ca="1" si="152"/>
        <v>0</v>
      </c>
      <c r="K680">
        <f ca="1">IF(OR($C680="S",$C680=0),0,MATCH(OFFSET($D680,0,$C680)+IF($C680&lt;&gt;1,1,COUNTIF(QCI!$A$13:$A$24,ORÇAMENTO!E680)),OFFSET($D680,1,$C680,ROW($C$727)-ROW($C680)),0))</f>
        <v>0</v>
      </c>
      <c r="L680" s="116" t="str">
        <f t="shared" ca="1" si="127"/>
        <v/>
      </c>
      <c r="M680" s="117" t="s">
        <v>199</v>
      </c>
      <c r="N680" s="118" t="str">
        <f t="shared" ca="1" si="128"/>
        <v>Serviço</v>
      </c>
      <c r="O680" s="119" t="str">
        <f t="shared" ca="1" si="129"/>
        <v>-</v>
      </c>
      <c r="P680" s="120" t="s">
        <v>458</v>
      </c>
      <c r="Q680" s="121" t="s">
        <v>1016</v>
      </c>
      <c r="R680" s="122" t="str">
        <f ca="1">IF($C680="S",REFERENCIA.Descricao,"(digite a descrição aqui)")</f>
        <v>(abra o arquivo 'Referência 06-2024.xlsm)</v>
      </c>
      <c r="S680" s="123" t="str">
        <f ca="1">REFERENCIA.Unidade</f>
        <v>-</v>
      </c>
      <c r="T680" s="124">
        <f ca="1">OFFSET(CÁLCULO!H$15,ROW($T680)-ROW(T$15),0)</f>
        <v>1</v>
      </c>
      <c r="U680" s="125">
        <f t="shared" ca="1" si="147"/>
        <v>0</v>
      </c>
      <c r="V680" s="126" t="s">
        <v>156</v>
      </c>
      <c r="W680" s="124">
        <f ca="1">IF($C680="S",ROUND(IF(TIPOORCAMENTO="Proposto",ORÇAMENTO.CustoUnitario*(1+$AH680),ORÇAMENTO.PrecoUnitarioLicitado),15-13*$AF$10),0)</f>
        <v>0</v>
      </c>
      <c r="X680" s="127">
        <f ca="1">IF($C680="S",IF(Import.TipoArredondamento&lt;&gt;"TransfereGOV",VTOTAL1,SUM(OFFSET(CÁLCULO!$AI$15,ROW($X680)-ROW($X$15),1):OFFSET(CÁLCULO!$BB$15,ROW($X680)-ROW($X$15),-1))),IF($C680=0,0,ROUND(SomaAgrup,15-13*$AF$11)))</f>
        <v>0</v>
      </c>
      <c r="Y680" s="128" t="s">
        <v>245</v>
      </c>
      <c r="Z680" t="str">
        <f t="shared" ca="1" si="130"/>
        <v/>
      </c>
      <c r="AA680" s="129">
        <f ca="1">IF($C680="S",IF($Z680="CP",$X680,IF($Z680="RA",(($X680)*QCI!$AA$3),0)),SomaAgrup)</f>
        <v>0</v>
      </c>
      <c r="AB680" s="130">
        <f t="shared" ca="1" si="149"/>
        <v>0</v>
      </c>
      <c r="AC680" s="131" t="str">
        <f ca="1">IF($N680="","",IF(ORÇAMENTO.Descricao="","DESCRIÇÃO",IF(AND($C680="S",ORÇAMENTO.Unidade=""),"UNIDADE",IF($X680&lt;0,"VALOR NEGATIVO",IF(OR(AND(TIPOORCAMENTO="Proposto",$AG680&lt;&gt;"",$AG680&gt;0,ORÇAMENTO.CustoUnitario&gt;$AG680),AND(TIPOORCAMENTO="LICITADO",ORÇAMENTO.PrecoUnitarioLicitado&gt;$AN680)),"ACIMA REF.","")))))</f>
        <v/>
      </c>
      <c r="AD680" t="str">
        <f ca="1">IF(C680&lt;=CRONO.NivelExibicao,MAX($AD$15:OFFSET(AD680,-1,0))+IF($C680&lt;&gt;1,1,MAX(1,COUNTIF(QCI!$A$13:$A$24,OFFSET($E680,-1,0)))),"")</f>
        <v/>
      </c>
      <c r="AE680" s="7" t="str">
        <f ca="1">IF(AND($C680="S",ORÇAMENTO.CodBarra&lt;&gt;""),IF(ORÇAMENTO.Fonte="",ORÇAMENTO.CodBarra,CONCATENATE(ORÇAMENTO.Fonte," ",ORÇAMENTO.CodBarra)))</f>
        <v>COMPOSIÇÃO FNDE 326</v>
      </c>
      <c r="AF680" s="13" t="str">
        <f ca="1">IF(ISERROR(INDIRECT(ORÇAMENTO.BancoRef)),"(abra o arquivo 'Referência "&amp;Excel_BuiltIn_Database&amp;".xlsm)",IF(OR($C680&lt;&gt;"S",ORÇAMENTO.CodBarra=""),"(Sem Código)",IF(ISERROR(MATCH($AE680,INDIRECT(ORÇAMENTO.BancoRef),0)),"(Código não identificado nas referências)",MATCH($AE680,INDIRECT(ORÇAMENTO.BancoRef),0))))</f>
        <v>(abra o arquivo 'Referência 06-2024.xlsm)</v>
      </c>
      <c r="AG680" s="498">
        <f ca="1">ROUND(IF(DESONERACAO="sim",REFERENCIA.Desonerado,REFERENCIA.NaoDesonerado),2)</f>
        <v>0</v>
      </c>
      <c r="AH680" s="499">
        <f t="shared" ca="1" si="150"/>
        <v>0.2432</v>
      </c>
      <c r="AJ680" s="501"/>
      <c r="AL680" s="527"/>
      <c r="AM680" s="381">
        <f t="shared" ca="1" si="133"/>
        <v>0</v>
      </c>
      <c r="AN680" s="566">
        <f t="shared" ca="1" si="151"/>
        <v>0</v>
      </c>
    </row>
    <row r="681" spans="1:40" x14ac:dyDescent="0.2">
      <c r="A681" t="str">
        <f t="shared" si="148"/>
        <v>S</v>
      </c>
      <c r="B681">
        <f t="shared" ca="1" si="120"/>
        <v>2</v>
      </c>
      <c r="C681" t="str">
        <f t="shared" ca="1" si="121"/>
        <v>S</v>
      </c>
      <c r="D681">
        <f t="shared" ca="1" si="122"/>
        <v>0</v>
      </c>
      <c r="E681">
        <f ca="1">IF($C681=1,OFFSET(E681,-1,0)+MAX(1,COUNTIF(QCI!$A$13:$A$24,OFFSET(ORÇAMENTO!E681,-1,0))),OFFSET(E681,-1,0))</f>
        <v>1</v>
      </c>
      <c r="F681">
        <f t="shared" ca="1" si="123"/>
        <v>72</v>
      </c>
      <c r="G681">
        <f t="shared" ca="1" si="124"/>
        <v>0</v>
      </c>
      <c r="H681">
        <f t="shared" ca="1" si="125"/>
        <v>0</v>
      </c>
      <c r="I681">
        <f t="shared" ca="1" si="126"/>
        <v>0</v>
      </c>
      <c r="J681">
        <f t="shared" ca="1" si="152"/>
        <v>0</v>
      </c>
      <c r="K681">
        <f ca="1">IF(OR($C681="S",$C681=0),0,MATCH(OFFSET($D681,0,$C681)+IF($C681&lt;&gt;1,1,COUNTIF(QCI!$A$13:$A$24,ORÇAMENTO!E681)),OFFSET($D681,1,$C681,ROW($C$727)-ROW($C681)),0))</f>
        <v>0</v>
      </c>
      <c r="L681" s="116" t="str">
        <f t="shared" ca="1" si="127"/>
        <v/>
      </c>
      <c r="M681" s="117" t="s">
        <v>199</v>
      </c>
      <c r="N681" s="118" t="str">
        <f t="shared" ca="1" si="128"/>
        <v>Serviço</v>
      </c>
      <c r="O681" s="119" t="str">
        <f t="shared" ca="1" si="129"/>
        <v>-</v>
      </c>
      <c r="P681" s="120" t="s">
        <v>458</v>
      </c>
      <c r="Q681" s="121" t="s">
        <v>1017</v>
      </c>
      <c r="R681" s="122" t="str">
        <f ca="1">IF($C681="S",REFERENCIA.Descricao,"(digite a descrição aqui)")</f>
        <v>(abra o arquivo 'Referência 06-2024.xlsm)</v>
      </c>
      <c r="S681" s="123" t="str">
        <f ca="1">REFERENCIA.Unidade</f>
        <v>-</v>
      </c>
      <c r="T681" s="124">
        <f ca="1">OFFSET(CÁLCULO!H$15,ROW($T681)-ROW(T$15),0)</f>
        <v>1</v>
      </c>
      <c r="U681" s="125">
        <f t="shared" ca="1" si="147"/>
        <v>0</v>
      </c>
      <c r="V681" s="126" t="s">
        <v>156</v>
      </c>
      <c r="W681" s="124">
        <f ca="1">IF($C681="S",ROUND(IF(TIPOORCAMENTO="Proposto",ORÇAMENTO.CustoUnitario*(1+$AH681),ORÇAMENTO.PrecoUnitarioLicitado),15-13*$AF$10),0)</f>
        <v>0</v>
      </c>
      <c r="X681" s="127">
        <f ca="1">IF($C681="S",IF(Import.TipoArredondamento&lt;&gt;"TransfereGOV",VTOTAL1,SUM(OFFSET(CÁLCULO!$AI$15,ROW($X681)-ROW($X$15),1):OFFSET(CÁLCULO!$BB$15,ROW($X681)-ROW($X$15),-1))),IF($C681=0,0,ROUND(SomaAgrup,15-13*$AF$11)))</f>
        <v>0</v>
      </c>
      <c r="Y681" s="128" t="s">
        <v>245</v>
      </c>
      <c r="Z681" t="str">
        <f t="shared" ca="1" si="130"/>
        <v/>
      </c>
      <c r="AA681" s="129">
        <f ca="1">IF($C681="S",IF($Z681="CP",$X681,IF($Z681="RA",(($X681)*QCI!$AA$3),0)),SomaAgrup)</f>
        <v>0</v>
      </c>
      <c r="AB681" s="130">
        <f t="shared" ca="1" si="149"/>
        <v>0</v>
      </c>
      <c r="AC681" s="131" t="str">
        <f ca="1">IF($N681="","",IF(ORÇAMENTO.Descricao="","DESCRIÇÃO",IF(AND($C681="S",ORÇAMENTO.Unidade=""),"UNIDADE",IF($X681&lt;0,"VALOR NEGATIVO",IF(OR(AND(TIPOORCAMENTO="Proposto",$AG681&lt;&gt;"",$AG681&gt;0,ORÇAMENTO.CustoUnitario&gt;$AG681),AND(TIPOORCAMENTO="LICITADO",ORÇAMENTO.PrecoUnitarioLicitado&gt;$AN681)),"ACIMA REF.","")))))</f>
        <v/>
      </c>
      <c r="AD681" t="str">
        <f ca="1">IF(C681&lt;=CRONO.NivelExibicao,MAX($AD$15:OFFSET(AD681,-1,0))+IF($C681&lt;&gt;1,1,MAX(1,COUNTIF(QCI!$A$13:$A$24,OFFSET($E681,-1,0)))),"")</f>
        <v/>
      </c>
      <c r="AE681" s="7" t="str">
        <f ca="1">IF(AND($C681="S",ORÇAMENTO.CodBarra&lt;&gt;""),IF(ORÇAMENTO.Fonte="",ORÇAMENTO.CodBarra,CONCATENATE(ORÇAMENTO.Fonte," ",ORÇAMENTO.CodBarra)))</f>
        <v>COMPOSIÇÃO FNDE 327</v>
      </c>
      <c r="AF681" s="13" t="str">
        <f ca="1">IF(ISERROR(INDIRECT(ORÇAMENTO.BancoRef)),"(abra o arquivo 'Referência "&amp;Excel_BuiltIn_Database&amp;".xlsm)",IF(OR($C681&lt;&gt;"S",ORÇAMENTO.CodBarra=""),"(Sem Código)",IF(ISERROR(MATCH($AE681,INDIRECT(ORÇAMENTO.BancoRef),0)),"(Código não identificado nas referências)",MATCH($AE681,INDIRECT(ORÇAMENTO.BancoRef),0))))</f>
        <v>(abra o arquivo 'Referência 06-2024.xlsm)</v>
      </c>
      <c r="AG681" s="498">
        <f ca="1">ROUND(IF(DESONERACAO="sim",REFERENCIA.Desonerado,REFERENCIA.NaoDesonerado),2)</f>
        <v>0</v>
      </c>
      <c r="AH681" s="499">
        <f t="shared" ca="1" si="150"/>
        <v>0.2432</v>
      </c>
      <c r="AJ681" s="501"/>
      <c r="AL681" s="527"/>
      <c r="AM681" s="381">
        <f t="shared" ca="1" si="133"/>
        <v>0</v>
      </c>
      <c r="AN681" s="566">
        <f t="shared" ca="1" si="151"/>
        <v>0</v>
      </c>
    </row>
    <row r="682" spans="1:40" x14ac:dyDescent="0.2">
      <c r="A682">
        <f t="shared" si="148"/>
        <v>2</v>
      </c>
      <c r="B682">
        <f t="shared" ca="1" si="120"/>
        <v>2</v>
      </c>
      <c r="C682">
        <f t="shared" ca="1" si="121"/>
        <v>2</v>
      </c>
      <c r="D682">
        <f t="shared" ca="1" si="122"/>
        <v>4</v>
      </c>
      <c r="E682">
        <f ca="1">IF($C682=1,OFFSET(E682,-1,0)+MAX(1,COUNTIF(QCI!$A$13:$A$24,OFFSET(ORÇAMENTO!E682,-1,0))),OFFSET(E682,-1,0))</f>
        <v>1</v>
      </c>
      <c r="F682">
        <f t="shared" ca="1" si="123"/>
        <v>73</v>
      </c>
      <c r="G682">
        <f t="shared" ca="1" si="124"/>
        <v>0</v>
      </c>
      <c r="H682">
        <f t="shared" ca="1" si="125"/>
        <v>0</v>
      </c>
      <c r="I682">
        <f t="shared" ca="1" si="126"/>
        <v>0</v>
      </c>
      <c r="J682">
        <f t="shared" ca="1" si="152"/>
        <v>45</v>
      </c>
      <c r="K682">
        <f ca="1">IF(OR($C682="S",$C682=0),0,MATCH(OFFSET($D682,0,$C682)+IF($C682&lt;&gt;1,1,COUNTIF(QCI!$A$13:$A$24,ORÇAMENTO!E682)),OFFSET($D682,1,$C682,ROW($C$727)-ROW($C682)),0))</f>
        <v>4</v>
      </c>
      <c r="L682" s="116" t="str">
        <f t="shared" ca="1" si="127"/>
        <v>F</v>
      </c>
      <c r="M682" s="117" t="s">
        <v>196</v>
      </c>
      <c r="N682" s="118" t="str">
        <f t="shared" ca="1" si="128"/>
        <v>Nível 2</v>
      </c>
      <c r="O682" s="119" t="str">
        <f t="shared" ca="1" si="129"/>
        <v>1.73.</v>
      </c>
      <c r="P682" s="120" t="s">
        <v>247</v>
      </c>
      <c r="Q682" s="121"/>
      <c r="R682" s="122" t="s">
        <v>1093</v>
      </c>
      <c r="S682" s="123" t="str">
        <f ca="1">REFERENCIA.Unidade</f>
        <v>-</v>
      </c>
      <c r="T682" s="124">
        <f ca="1">OFFSET(CÁLCULO!H$15,ROW($T682)-ROW(T$15),0)</f>
        <v>0</v>
      </c>
      <c r="U682" s="125">
        <f t="shared" ca="1" si="147"/>
        <v>0</v>
      </c>
      <c r="V682" s="126" t="s">
        <v>156</v>
      </c>
      <c r="W682" s="124">
        <f ca="1">IF($C682="S",ROUND(IF(TIPOORCAMENTO="Proposto",ORÇAMENTO.CustoUnitario*(1+$AH682),ORÇAMENTO.PrecoUnitarioLicitado),15-13*$AF$10),0)</f>
        <v>0</v>
      </c>
      <c r="X682" s="127">
        <f ca="1">IF($C682="S",IF(Import.TipoArredondamento&lt;&gt;"TransfereGOV",VTOTAL1,SUM(OFFSET(CÁLCULO!$AI$15,ROW($X682)-ROW($X$15),1):OFFSET(CÁLCULO!$BB$15,ROW($X682)-ROW($X$15),-1))),IF($C682=0,0,ROUND(SomaAgrup,15-13*$AF$11)))</f>
        <v>0</v>
      </c>
      <c r="Y682" s="128" t="s">
        <v>245</v>
      </c>
      <c r="Z682" t="str">
        <f t="shared" ca="1" si="130"/>
        <v/>
      </c>
      <c r="AA682" s="129">
        <f ca="1">IF($C682="S",IF($Z682="CP",$X682,IF($Z682="RA",(($X682)*QCI!$AA$3),0)),SomaAgrup)</f>
        <v>0</v>
      </c>
      <c r="AB682" s="130">
        <f t="shared" ca="1" si="149"/>
        <v>0</v>
      </c>
      <c r="AC682" s="131" t="str">
        <f ca="1">IF($N682="","",IF(ORÇAMENTO.Descricao="","DESCRIÇÃO",IF(AND($C682="S",ORÇAMENTO.Unidade=""),"UNIDADE",IF($X682&lt;0,"VALOR NEGATIVO",IF(OR(AND(TIPOORCAMENTO="Proposto",$AG682&lt;&gt;"",$AG682&gt;0,ORÇAMENTO.CustoUnitario&gt;$AG682),AND(TIPOORCAMENTO="LICITADO",ORÇAMENTO.PrecoUnitarioLicitado&gt;$AN682)),"ACIMA REF.","")))))</f>
        <v/>
      </c>
      <c r="AD682">
        <f ca="1">IF(C682&lt;=CRONO.NivelExibicao,MAX($AD$15:OFFSET(AD682,-1,0))+IF($C682&lt;&gt;1,1,MAX(1,COUNTIF(QCI!$A$13:$A$24,OFFSET($E682,-1,0)))),"")</f>
        <v>74</v>
      </c>
      <c r="AE682" s="7" t="b">
        <f ca="1">IF(AND($C682="S",ORÇAMENTO.CodBarra&lt;&gt;""),IF(ORÇAMENTO.Fonte="",ORÇAMENTO.CodBarra,CONCATENATE(ORÇAMENTO.Fonte," ",ORÇAMENTO.CodBarra)))</f>
        <v>0</v>
      </c>
      <c r="AF682" s="13" t="str">
        <f ca="1">IF(ISERROR(INDIRECT(ORÇAMENTO.BancoRef)),"(abra o arquivo 'Referência "&amp;Excel_BuiltIn_Database&amp;".xlsm)",IF(OR($C682&lt;&gt;"S",ORÇAMENTO.CodBarra=""),"(Sem Código)",IF(ISERROR(MATCH($AE682,INDIRECT(ORÇAMENTO.BancoRef),0)),"(Código não identificado nas referências)",MATCH($AE682,INDIRECT(ORÇAMENTO.BancoRef),0))))</f>
        <v>(abra o arquivo 'Referência 06-2024.xlsm)</v>
      </c>
      <c r="AG682" s="498">
        <f ca="1">ROUND(IF(DESONERACAO="sim",REFERENCIA.Desonerado,REFERENCIA.NaoDesonerado),2)</f>
        <v>0</v>
      </c>
      <c r="AH682" s="499">
        <f t="shared" ca="1" si="150"/>
        <v>0.2432</v>
      </c>
      <c r="AJ682" s="501"/>
      <c r="AL682" s="527"/>
      <c r="AM682" s="381">
        <f t="shared" ca="1" si="133"/>
        <v>0</v>
      </c>
      <c r="AN682" s="566">
        <f t="shared" ca="1" si="151"/>
        <v>0</v>
      </c>
    </row>
    <row r="683" spans="1:40" ht="25.5" x14ac:dyDescent="0.2">
      <c r="A683" t="str">
        <f t="shared" si="148"/>
        <v>S</v>
      </c>
      <c r="B683">
        <f t="shared" ca="1" si="120"/>
        <v>2</v>
      </c>
      <c r="C683" t="str">
        <f t="shared" ca="1" si="121"/>
        <v>S</v>
      </c>
      <c r="D683">
        <f t="shared" ca="1" si="122"/>
        <v>0</v>
      </c>
      <c r="E683">
        <f ca="1">IF($C683=1,OFFSET(E683,-1,0)+MAX(1,COUNTIF(QCI!$A$13:$A$24,OFFSET(ORÇAMENTO!E683,-1,0))),OFFSET(E683,-1,0))</f>
        <v>1</v>
      </c>
      <c r="F683">
        <f t="shared" ca="1" si="123"/>
        <v>73</v>
      </c>
      <c r="G683">
        <f t="shared" ca="1" si="124"/>
        <v>0</v>
      </c>
      <c r="H683">
        <f t="shared" ca="1" si="125"/>
        <v>0</v>
      </c>
      <c r="I683">
        <f t="shared" ca="1" si="126"/>
        <v>0</v>
      </c>
      <c r="J683">
        <f t="shared" ca="1" si="152"/>
        <v>0</v>
      </c>
      <c r="K683">
        <f ca="1">IF(OR($C683="S",$C683=0),0,MATCH(OFFSET($D683,0,$C683)+IF($C683&lt;&gt;1,1,COUNTIF(QCI!$A$13:$A$24,ORÇAMENTO!E683)),OFFSET($D683,1,$C683,ROW($C$727)-ROW($C683)),0))</f>
        <v>0</v>
      </c>
      <c r="L683" s="116" t="str">
        <f t="shared" ca="1" si="127"/>
        <v/>
      </c>
      <c r="M683" s="117" t="s">
        <v>199</v>
      </c>
      <c r="N683" s="118" t="str">
        <f t="shared" ca="1" si="128"/>
        <v>Serviço</v>
      </c>
      <c r="O683" s="119" t="str">
        <f t="shared" ca="1" si="129"/>
        <v>-</v>
      </c>
      <c r="P683" s="120" t="s">
        <v>247</v>
      </c>
      <c r="Q683" s="121" t="s">
        <v>469</v>
      </c>
      <c r="R683" s="122" t="str">
        <f ca="1">IF($C683="S",REFERENCIA.Descricao,"(digite a descrição aqui)")</f>
        <v>(abra o arquivo 'Referência 06-2024.xlsm)</v>
      </c>
      <c r="S683" s="123" t="str">
        <f ca="1">REFERENCIA.Unidade</f>
        <v>-</v>
      </c>
      <c r="T683" s="124">
        <f ca="1">OFFSET(CÁLCULO!H$15,ROW($T683)-ROW(T$15),0)</f>
        <v>36.54</v>
      </c>
      <c r="U683" s="125">
        <f t="shared" ca="1" si="147"/>
        <v>0</v>
      </c>
      <c r="V683" s="126" t="s">
        <v>156</v>
      </c>
      <c r="W683" s="124">
        <f ca="1">IF($C683="S",ROUND(IF(TIPOORCAMENTO="Proposto",ORÇAMENTO.CustoUnitario*(1+$AH683),ORÇAMENTO.PrecoUnitarioLicitado),15-13*$AF$10),0)</f>
        <v>0</v>
      </c>
      <c r="X683" s="127">
        <f ca="1">IF($C683="S",IF(Import.TipoArredondamento&lt;&gt;"TransfereGOV",VTOTAL1,SUM(OFFSET(CÁLCULO!$AI$15,ROW($X683)-ROW($X$15),1):OFFSET(CÁLCULO!$BB$15,ROW($X683)-ROW($X$15),-1))),IF($C683=0,0,ROUND(SomaAgrup,15-13*$AF$11)))</f>
        <v>0</v>
      </c>
      <c r="Y683" s="128" t="s">
        <v>245</v>
      </c>
      <c r="Z683" t="str">
        <f t="shared" ca="1" si="130"/>
        <v/>
      </c>
      <c r="AA683" s="129">
        <f ca="1">IF($C683="S",IF($Z683="CP",$X683,IF($Z683="RA",(($X683)*QCI!$AA$3),0)),SomaAgrup)</f>
        <v>0</v>
      </c>
      <c r="AB683" s="130">
        <f t="shared" ca="1" si="149"/>
        <v>0</v>
      </c>
      <c r="AC683" s="131" t="str">
        <f ca="1">IF($N683="","",IF(ORÇAMENTO.Descricao="","DESCRIÇÃO",IF(AND($C683="S",ORÇAMENTO.Unidade=""),"UNIDADE",IF($X683&lt;0,"VALOR NEGATIVO",IF(OR(AND(TIPOORCAMENTO="Proposto",$AG683&lt;&gt;"",$AG683&gt;0,ORÇAMENTO.CustoUnitario&gt;$AG683),AND(TIPOORCAMENTO="LICITADO",ORÇAMENTO.PrecoUnitarioLicitado&gt;$AN683)),"ACIMA REF.","")))))</f>
        <v/>
      </c>
      <c r="AD683" t="str">
        <f ca="1">IF(C683&lt;=CRONO.NivelExibicao,MAX($AD$15:OFFSET(AD683,-1,0))+IF($C683&lt;&gt;1,1,MAX(1,COUNTIF(QCI!$A$13:$A$24,OFFSET($E683,-1,0)))),"")</f>
        <v/>
      </c>
      <c r="AE683" s="7" t="str">
        <f ca="1">IF(AND($C683="S",ORÇAMENTO.CodBarra&lt;&gt;""),IF(ORÇAMENTO.Fonte="",ORÇAMENTO.CodBarra,CONCATENATE(ORÇAMENTO.Fonte," ",ORÇAMENTO.CodBarra)))</f>
        <v>SINAPI 101617</v>
      </c>
      <c r="AF683" s="13" t="str">
        <f ca="1">IF(ISERROR(INDIRECT(ORÇAMENTO.BancoRef)),"(abra o arquivo 'Referência "&amp;Excel_BuiltIn_Database&amp;".xlsm)",IF(OR($C683&lt;&gt;"S",ORÇAMENTO.CodBarra=""),"(Sem Código)",IF(ISERROR(MATCH($AE683,INDIRECT(ORÇAMENTO.BancoRef),0)),"(Código não identificado nas referências)",MATCH($AE683,INDIRECT(ORÇAMENTO.BancoRef),0))))</f>
        <v>(abra o arquivo 'Referência 06-2024.xlsm)</v>
      </c>
      <c r="AG683" s="498">
        <f ca="1">ROUND(IF(DESONERACAO="sim",REFERENCIA.Desonerado,REFERENCIA.NaoDesonerado),2)</f>
        <v>0</v>
      </c>
      <c r="AH683" s="499">
        <f t="shared" ca="1" si="150"/>
        <v>0.2432</v>
      </c>
      <c r="AJ683" s="501"/>
      <c r="AL683" s="527"/>
      <c r="AM683" s="381">
        <f t="shared" ca="1" si="133"/>
        <v>0</v>
      </c>
      <c r="AN683" s="566">
        <f t="shared" ca="1" si="151"/>
        <v>0</v>
      </c>
    </row>
    <row r="684" spans="1:40" ht="63.75" x14ac:dyDescent="0.2">
      <c r="A684" t="str">
        <f t="shared" si="148"/>
        <v>S</v>
      </c>
      <c r="B684">
        <f t="shared" ca="1" si="120"/>
        <v>2</v>
      </c>
      <c r="C684" t="str">
        <f t="shared" ca="1" si="121"/>
        <v>S</v>
      </c>
      <c r="D684">
        <f t="shared" ca="1" si="122"/>
        <v>0</v>
      </c>
      <c r="E684">
        <f ca="1">IF($C684=1,OFFSET(E684,-1,0)+MAX(1,COUNTIF(QCI!$A$13:$A$24,OFFSET(ORÇAMENTO!E684,-1,0))),OFFSET(E684,-1,0))</f>
        <v>1</v>
      </c>
      <c r="F684">
        <f t="shared" ca="1" si="123"/>
        <v>73</v>
      </c>
      <c r="G684">
        <f t="shared" ca="1" si="124"/>
        <v>0</v>
      </c>
      <c r="H684">
        <f t="shared" ca="1" si="125"/>
        <v>0</v>
      </c>
      <c r="I684">
        <f t="shared" ca="1" si="126"/>
        <v>0</v>
      </c>
      <c r="J684">
        <f t="shared" ca="1" si="152"/>
        <v>0</v>
      </c>
      <c r="K684">
        <f ca="1">IF(OR($C684="S",$C684=0),0,MATCH(OFFSET($D684,0,$C684)+IF($C684&lt;&gt;1,1,COUNTIF(QCI!$A$13:$A$24,ORÇAMENTO!E684)),OFFSET($D684,1,$C684,ROW($C$727)-ROW($C684)),0))</f>
        <v>0</v>
      </c>
      <c r="L684" s="116" t="str">
        <f t="shared" ca="1" si="127"/>
        <v/>
      </c>
      <c r="M684" s="117" t="s">
        <v>199</v>
      </c>
      <c r="N684" s="118" t="str">
        <f t="shared" ca="1" si="128"/>
        <v>Serviço</v>
      </c>
      <c r="O684" s="119" t="str">
        <f t="shared" ca="1" si="129"/>
        <v>-</v>
      </c>
      <c r="P684" s="120" t="s">
        <v>247</v>
      </c>
      <c r="Q684" s="121" t="s">
        <v>470</v>
      </c>
      <c r="R684" s="122" t="str">
        <f ca="1">IF($C684="S",REFERENCIA.Descricao,"(digite a descrição aqui)")</f>
        <v>(abra o arquivo 'Referência 06-2024.xlsm)</v>
      </c>
      <c r="S684" s="123" t="str">
        <f ca="1">REFERENCIA.Unidade</f>
        <v>-</v>
      </c>
      <c r="T684" s="124">
        <f ca="1">OFFSET(CÁLCULO!H$15,ROW($T684)-ROW(T$15),0)</f>
        <v>14.59</v>
      </c>
      <c r="U684" s="125">
        <f t="shared" ca="1" si="147"/>
        <v>0</v>
      </c>
      <c r="V684" s="126" t="s">
        <v>156</v>
      </c>
      <c r="W684" s="124">
        <f ca="1">IF($C684="S",ROUND(IF(TIPOORCAMENTO="Proposto",ORÇAMENTO.CustoUnitario*(1+$AH684),ORÇAMENTO.PrecoUnitarioLicitado),15-13*$AF$10),0)</f>
        <v>0</v>
      </c>
      <c r="X684" s="127">
        <f ca="1">IF($C684="S",IF(Import.TipoArredondamento&lt;&gt;"TransfereGOV",VTOTAL1,SUM(OFFSET(CÁLCULO!$AI$15,ROW($X684)-ROW($X$15),1):OFFSET(CÁLCULO!$BB$15,ROW($X684)-ROW($X$15),-1))),IF($C684=0,0,ROUND(SomaAgrup,15-13*$AF$11)))</f>
        <v>0</v>
      </c>
      <c r="Y684" s="128" t="s">
        <v>245</v>
      </c>
      <c r="Z684" t="str">
        <f t="shared" ca="1" si="130"/>
        <v/>
      </c>
      <c r="AA684" s="129">
        <f ca="1">IF($C684="S",IF($Z684="CP",$X684,IF($Z684="RA",(($X684)*QCI!$AA$3),0)),SomaAgrup)</f>
        <v>0</v>
      </c>
      <c r="AB684" s="130">
        <f t="shared" ca="1" si="149"/>
        <v>0</v>
      </c>
      <c r="AC684" s="131" t="str">
        <f ca="1">IF($N684="","",IF(ORÇAMENTO.Descricao="","DESCRIÇÃO",IF(AND($C684="S",ORÇAMENTO.Unidade=""),"UNIDADE",IF($X684&lt;0,"VALOR NEGATIVO",IF(OR(AND(TIPOORCAMENTO="Proposto",$AG684&lt;&gt;"",$AG684&gt;0,ORÇAMENTO.CustoUnitario&gt;$AG684),AND(TIPOORCAMENTO="LICITADO",ORÇAMENTO.PrecoUnitarioLicitado&gt;$AN684)),"ACIMA REF.","")))))</f>
        <v/>
      </c>
      <c r="AD684" t="str">
        <f ca="1">IF(C684&lt;=CRONO.NivelExibicao,MAX($AD$15:OFFSET(AD684,-1,0))+IF($C684&lt;&gt;1,1,MAX(1,COUNTIF(QCI!$A$13:$A$24,OFFSET($E684,-1,0)))),"")</f>
        <v/>
      </c>
      <c r="AE684" s="7" t="str">
        <f ca="1">IF(AND($C684="S",ORÇAMENTO.CodBarra&lt;&gt;""),IF(ORÇAMENTO.Fonte="",ORÇAMENTO.CodBarra,CONCATENATE(ORÇAMENTO.Fonte," ",ORÇAMENTO.CodBarra)))</f>
        <v>SINAPI 93381</v>
      </c>
      <c r="AF684" s="13" t="str">
        <f ca="1">IF(ISERROR(INDIRECT(ORÇAMENTO.BancoRef)),"(abra o arquivo 'Referência "&amp;Excel_BuiltIn_Database&amp;".xlsm)",IF(OR($C684&lt;&gt;"S",ORÇAMENTO.CodBarra=""),"(Sem Código)",IF(ISERROR(MATCH($AE684,INDIRECT(ORÇAMENTO.BancoRef),0)),"(Código não identificado nas referências)",MATCH($AE684,INDIRECT(ORÇAMENTO.BancoRef),0))))</f>
        <v>(abra o arquivo 'Referência 06-2024.xlsm)</v>
      </c>
      <c r="AG684" s="498">
        <f ca="1">ROUND(IF(DESONERACAO="sim",REFERENCIA.Desonerado,REFERENCIA.NaoDesonerado),2)</f>
        <v>0</v>
      </c>
      <c r="AH684" s="499">
        <f t="shared" ca="1" si="150"/>
        <v>0.2432</v>
      </c>
      <c r="AJ684" s="501"/>
      <c r="AL684" s="527"/>
      <c r="AM684" s="381">
        <f t="shared" ca="1" si="133"/>
        <v>0</v>
      </c>
      <c r="AN684" s="566">
        <f t="shared" ca="1" si="151"/>
        <v>0</v>
      </c>
    </row>
    <row r="685" spans="1:40" ht="38.25" x14ac:dyDescent="0.2">
      <c r="A685" t="str">
        <f t="shared" si="148"/>
        <v>S</v>
      </c>
      <c r="B685">
        <f t="shared" ca="1" si="120"/>
        <v>2</v>
      </c>
      <c r="C685" t="str">
        <f t="shared" ca="1" si="121"/>
        <v>S</v>
      </c>
      <c r="D685">
        <f t="shared" ca="1" si="122"/>
        <v>0</v>
      </c>
      <c r="E685">
        <f ca="1">IF($C685=1,OFFSET(E685,-1,0)+MAX(1,COUNTIF(QCI!$A$13:$A$24,OFFSET(ORÇAMENTO!E685,-1,0))),OFFSET(E685,-1,0))</f>
        <v>1</v>
      </c>
      <c r="F685">
        <f t="shared" ca="1" si="123"/>
        <v>73</v>
      </c>
      <c r="G685">
        <f t="shared" ca="1" si="124"/>
        <v>0</v>
      </c>
      <c r="H685">
        <f t="shared" ca="1" si="125"/>
        <v>0</v>
      </c>
      <c r="I685">
        <f t="shared" ca="1" si="126"/>
        <v>0</v>
      </c>
      <c r="J685">
        <f t="shared" ca="1" si="152"/>
        <v>0</v>
      </c>
      <c r="K685">
        <f ca="1">IF(OR($C685="S",$C685=0),0,MATCH(OFFSET($D685,0,$C685)+IF($C685&lt;&gt;1,1,COUNTIF(QCI!$A$13:$A$24,ORÇAMENTO!E685)),OFFSET($D685,1,$C685,ROW($C$727)-ROW($C685)),0))</f>
        <v>0</v>
      </c>
      <c r="L685" s="116" t="str">
        <f t="shared" ca="1" si="127"/>
        <v/>
      </c>
      <c r="M685" s="117" t="s">
        <v>199</v>
      </c>
      <c r="N685" s="118" t="str">
        <f t="shared" ca="1" si="128"/>
        <v>Serviço</v>
      </c>
      <c r="O685" s="119" t="str">
        <f t="shared" ca="1" si="129"/>
        <v>-</v>
      </c>
      <c r="P685" s="120" t="s">
        <v>247</v>
      </c>
      <c r="Q685" s="121" t="s">
        <v>467</v>
      </c>
      <c r="R685" s="122" t="str">
        <f ca="1">IF($C685="S",REFERENCIA.Descricao,"(digite a descrição aqui)")</f>
        <v>(abra o arquivo 'Referência 06-2024.xlsm)</v>
      </c>
      <c r="S685" s="123" t="str">
        <f ca="1">REFERENCIA.Unidade</f>
        <v>-</v>
      </c>
      <c r="T685" s="124">
        <f ca="1">OFFSET(CÁLCULO!H$15,ROW($T685)-ROW(T$15),0)</f>
        <v>29.23</v>
      </c>
      <c r="U685" s="125">
        <f t="shared" ca="1" si="147"/>
        <v>0</v>
      </c>
      <c r="V685" s="126" t="s">
        <v>156</v>
      </c>
      <c r="W685" s="124">
        <f ca="1">IF($C685="S",ROUND(IF(TIPOORCAMENTO="Proposto",ORÇAMENTO.CustoUnitario*(1+$AH685),ORÇAMENTO.PrecoUnitarioLicitado),15-13*$AF$10),0)</f>
        <v>0</v>
      </c>
      <c r="X685" s="127">
        <f ca="1">IF($C685="S",IF(Import.TipoArredondamento&lt;&gt;"TransfereGOV",VTOTAL1,SUM(OFFSET(CÁLCULO!$AI$15,ROW($X685)-ROW($X$15),1):OFFSET(CÁLCULO!$BB$15,ROW($X685)-ROW($X$15),-1))),IF($C685=0,0,ROUND(SomaAgrup,15-13*$AF$11)))</f>
        <v>0</v>
      </c>
      <c r="Y685" s="128" t="s">
        <v>245</v>
      </c>
      <c r="Z685" t="str">
        <f t="shared" ca="1" si="130"/>
        <v/>
      </c>
      <c r="AA685" s="129">
        <f ca="1">IF($C685="S",IF($Z685="CP",$X685,IF($Z685="RA",(($X685)*QCI!$AA$3),0)),SomaAgrup)</f>
        <v>0</v>
      </c>
      <c r="AB685" s="130">
        <f t="shared" ca="1" si="149"/>
        <v>0</v>
      </c>
      <c r="AC685" s="131" t="str">
        <f ca="1">IF($N685="","",IF(ORÇAMENTO.Descricao="","DESCRIÇÃO",IF(AND($C685="S",ORÇAMENTO.Unidade=""),"UNIDADE",IF($X685&lt;0,"VALOR NEGATIVO",IF(OR(AND(TIPOORCAMENTO="Proposto",$AG685&lt;&gt;"",$AG685&gt;0,ORÇAMENTO.CustoUnitario&gt;$AG685),AND(TIPOORCAMENTO="LICITADO",ORÇAMENTO.PrecoUnitarioLicitado&gt;$AN685)),"ACIMA REF.","")))))</f>
        <v/>
      </c>
      <c r="AD685" t="str">
        <f ca="1">IF(C685&lt;=CRONO.NivelExibicao,MAX($AD$15:OFFSET(AD685,-1,0))+IF($C685&lt;&gt;1,1,MAX(1,COUNTIF(QCI!$A$13:$A$24,OFFSET($E685,-1,0)))),"")</f>
        <v/>
      </c>
      <c r="AE685" s="7" t="str">
        <f ca="1">IF(AND($C685="S",ORÇAMENTO.CodBarra&lt;&gt;""),IF(ORÇAMENTO.Fonte="",ORÇAMENTO.CodBarra,CONCATENATE(ORÇAMENTO.Fonte," ",ORÇAMENTO.CodBarra)))</f>
        <v>SINAPI 96521</v>
      </c>
      <c r="AF685" s="13" t="str">
        <f ca="1">IF(ISERROR(INDIRECT(ORÇAMENTO.BancoRef)),"(abra o arquivo 'Referência "&amp;Excel_BuiltIn_Database&amp;".xlsm)",IF(OR($C685&lt;&gt;"S",ORÇAMENTO.CodBarra=""),"(Sem Código)",IF(ISERROR(MATCH($AE685,INDIRECT(ORÇAMENTO.BancoRef),0)),"(Código não identificado nas referências)",MATCH($AE685,INDIRECT(ORÇAMENTO.BancoRef),0))))</f>
        <v>(abra o arquivo 'Referência 06-2024.xlsm)</v>
      </c>
      <c r="AG685" s="498">
        <f ca="1">ROUND(IF(DESONERACAO="sim",REFERENCIA.Desonerado,REFERENCIA.NaoDesonerado),2)</f>
        <v>0</v>
      </c>
      <c r="AH685" s="499">
        <f t="shared" ca="1" si="150"/>
        <v>0.2432</v>
      </c>
      <c r="AJ685" s="501"/>
      <c r="AL685" s="527"/>
      <c r="AM685" s="381">
        <f t="shared" ca="1" si="133"/>
        <v>0</v>
      </c>
      <c r="AN685" s="566">
        <f t="shared" ca="1" si="151"/>
        <v>0</v>
      </c>
    </row>
    <row r="686" spans="1:40" ht="25.5" x14ac:dyDescent="0.2">
      <c r="A686">
        <f t="shared" si="148"/>
        <v>2</v>
      </c>
      <c r="B686">
        <f t="shared" ref="B686:B726" ca="1" si="153">IF(OR(C686="s",C686=0),OFFSET(B686,-1,0),C686)</f>
        <v>2</v>
      </c>
      <c r="C686">
        <f t="shared" ref="C686:C726" ca="1" si="154">IF(OFFSET(C686,-1,0)="L",1,IF(OFFSET(C686,-1,0)=1,2,IF(OR(A686="s",A686=0),"S",IF(AND(OFFSET(C686,-1,0)=2,A686=4),3,IF(AND(OR(OFFSET(C686,-1,0)="s",OFFSET(C686,-1,0)=0),A686&lt;&gt;"s",A686&gt;OFFSET(B686,-1,0)),OFFSET(B686,-1,0),A686)))))</f>
        <v>2</v>
      </c>
      <c r="D686">
        <f t="shared" ref="D686:D726" ca="1" si="155">IF(OR(C686="S",C686=0),0,IF(ISERROR(K686),J686,SMALL(J686:K686,1)))</f>
        <v>9</v>
      </c>
      <c r="E686">
        <f ca="1">IF($C686=1,OFFSET(E686,-1,0)+MAX(1,COUNTIF(QCI!$A$13:$A$24,OFFSET(ORÇAMENTO!E686,-1,0))),OFFSET(E686,-1,0))</f>
        <v>1</v>
      </c>
      <c r="F686">
        <f t="shared" ref="F686:F726" ca="1" si="156">IF($C686=1,0,IF($C686=2,OFFSET(F686,-1,0)+1,OFFSET(F686,-1,0)))</f>
        <v>74</v>
      </c>
      <c r="G686">
        <f t="shared" ref="G686:G726" ca="1" si="157">IF(AND($C686&lt;=2,$C686&lt;&gt;0),0,IF($C686=3,OFFSET(G686,-1,0)+1,OFFSET(G686,-1,0)))</f>
        <v>0</v>
      </c>
      <c r="H686">
        <f t="shared" ref="H686:H726" ca="1" si="158">IF(AND($C686&lt;=3,$C686&lt;&gt;0),0,IF($C686=4,OFFSET(H686,-1,0)+1,OFFSET(H686,-1,0)))</f>
        <v>0</v>
      </c>
      <c r="I686">
        <f t="shared" ref="I686:I726" ca="1" si="159">IF(AND($C686&lt;=4,$C686&lt;&gt;0),0,IF(AND($C686="S",$X686&gt;0),OFFSET(I686,-1,0)+1,OFFSET(I686,-1,0)))</f>
        <v>0</v>
      </c>
      <c r="J686">
        <f t="shared" ca="1" si="152"/>
        <v>41</v>
      </c>
      <c r="K686">
        <f ca="1">IF(OR($C686="S",$C686=0),0,MATCH(OFFSET($D686,0,$C686)+IF($C686&lt;&gt;1,1,COUNTIF(QCI!$A$13:$A$24,ORÇAMENTO!E686)),OFFSET($D686,1,$C686,ROW($C$727)-ROW($C686)),0))</f>
        <v>9</v>
      </c>
      <c r="L686" s="116" t="str">
        <f t="shared" ref="L686:L726" ca="1" si="160">IF(OR($X686&gt;0,$C686=1,$C686=2,$C686=3,$C686=4),"F","")</f>
        <v>F</v>
      </c>
      <c r="M686" s="117" t="s">
        <v>196</v>
      </c>
      <c r="N686" s="118" t="str">
        <f t="shared" ref="N686:N726" ca="1" si="161">CHOOSE(1+LOG(1+2*(C686=1)+4*(C686=2)+8*(C686=3)+16*(C686=4)+32*(C686="S"),2),"","Meta","Nível 2","Nível 3","Nível 4","Serviço")</f>
        <v>Nível 2</v>
      </c>
      <c r="O686" s="119" t="str">
        <f t="shared" ref="O686:O726" ca="1" si="162">IF(OR($C686=0,$L686=""),"-",CONCATENATE(E686&amp;".",IF(AND($A$5&gt;=2,$C686&gt;=2),F686&amp;".",""),IF(AND($A$5&gt;=3,$C686&gt;=3),G686&amp;".",""),IF(AND($A$5&gt;=4,$C686&gt;=4),H686&amp;".",""),IF($C686="S",I686&amp;".","")))</f>
        <v>1.74.</v>
      </c>
      <c r="P686" s="120" t="s">
        <v>247</v>
      </c>
      <c r="Q686" s="121"/>
      <c r="R686" s="122" t="s">
        <v>1094</v>
      </c>
      <c r="S686" s="123" t="str">
        <f ca="1">REFERENCIA.Unidade</f>
        <v>-</v>
      </c>
      <c r="T686" s="124">
        <f ca="1">OFFSET(CÁLCULO!H$15,ROW($T686)-ROW(T$15),0)</f>
        <v>0</v>
      </c>
      <c r="U686" s="125">
        <f t="shared" ca="1" si="147"/>
        <v>0</v>
      </c>
      <c r="V686" s="126" t="s">
        <v>156</v>
      </c>
      <c r="W686" s="124">
        <f ca="1">IF($C686="S",ROUND(IF(TIPOORCAMENTO="Proposto",ORÇAMENTO.CustoUnitario*(1+$AH686),ORÇAMENTO.PrecoUnitarioLicitado),15-13*$AF$10),0)</f>
        <v>0</v>
      </c>
      <c r="X686" s="127">
        <f ca="1">IF($C686="S",IF(Import.TipoArredondamento&lt;&gt;"TransfereGOV",VTOTAL1,SUM(OFFSET(CÁLCULO!$AI$15,ROW($X686)-ROW($X$15),1):OFFSET(CÁLCULO!$BB$15,ROW($X686)-ROW($X$15),-1))),IF($C686=0,0,ROUND(SomaAgrup,15-13*$AF$11)))</f>
        <v>0</v>
      </c>
      <c r="Y686" s="128" t="s">
        <v>245</v>
      </c>
      <c r="Z686" t="str">
        <f t="shared" ref="Z686:Z726" ca="1" si="163">IF(AND($C686="S",$X686&gt;0),IF(ISBLANK($Y686),"RA",LEFT($Y686,2)),"")</f>
        <v/>
      </c>
      <c r="AA686" s="129">
        <f ca="1">IF($C686="S",IF($Z686="CP",$X686,IF($Z686="RA",(($X686)*QCI!$AA$3),0)),SomaAgrup)</f>
        <v>0</v>
      </c>
      <c r="AB686" s="130">
        <f t="shared" ca="1" si="149"/>
        <v>0</v>
      </c>
      <c r="AC686" s="131" t="str">
        <f ca="1">IF($N686="","",IF(ORÇAMENTO.Descricao="","DESCRIÇÃO",IF(AND($C686="S",ORÇAMENTO.Unidade=""),"UNIDADE",IF($X686&lt;0,"VALOR NEGATIVO",IF(OR(AND(TIPOORCAMENTO="Proposto",$AG686&lt;&gt;"",$AG686&gt;0,ORÇAMENTO.CustoUnitario&gt;$AG686),AND(TIPOORCAMENTO="LICITADO",ORÇAMENTO.PrecoUnitarioLicitado&gt;$AN686)),"ACIMA REF.","")))))</f>
        <v/>
      </c>
      <c r="AD686">
        <f ca="1">IF(C686&lt;=CRONO.NivelExibicao,MAX($AD$15:OFFSET(AD686,-1,0))+IF($C686&lt;&gt;1,1,MAX(1,COUNTIF(QCI!$A$13:$A$24,OFFSET($E686,-1,0)))),"")</f>
        <v>75</v>
      </c>
      <c r="AE686" s="7" t="b">
        <f ca="1">IF(AND($C686="S",ORÇAMENTO.CodBarra&lt;&gt;""),IF(ORÇAMENTO.Fonte="",ORÇAMENTO.CodBarra,CONCATENATE(ORÇAMENTO.Fonte," ",ORÇAMENTO.CodBarra)))</f>
        <v>0</v>
      </c>
      <c r="AF686" s="13" t="str">
        <f ca="1">IF(ISERROR(INDIRECT(ORÇAMENTO.BancoRef)),"(abra o arquivo 'Referência "&amp;Excel_BuiltIn_Database&amp;".xlsm)",IF(OR($C686&lt;&gt;"S",ORÇAMENTO.CodBarra=""),"(Sem Código)",IF(ISERROR(MATCH($AE686,INDIRECT(ORÇAMENTO.BancoRef),0)),"(Código não identificado nas referências)",MATCH($AE686,INDIRECT(ORÇAMENTO.BancoRef),0))))</f>
        <v>(abra o arquivo 'Referência 06-2024.xlsm)</v>
      </c>
      <c r="AG686" s="498">
        <f ca="1">ROUND(IF(DESONERACAO="sim",REFERENCIA.Desonerado,REFERENCIA.NaoDesonerado),2)</f>
        <v>0</v>
      </c>
      <c r="AH686" s="499">
        <f t="shared" ca="1" si="150"/>
        <v>0.2432</v>
      </c>
      <c r="AJ686" s="501"/>
      <c r="AL686" s="527"/>
      <c r="AM686" s="381">
        <f t="shared" ref="AM686:AM726" ca="1" si="164">$X686</f>
        <v>0</v>
      </c>
      <c r="AN686" s="566">
        <f t="shared" ca="1" si="151"/>
        <v>0</v>
      </c>
    </row>
    <row r="687" spans="1:40" ht="25.5" x14ac:dyDescent="0.2">
      <c r="A687" t="str">
        <f t="shared" si="148"/>
        <v>S</v>
      </c>
      <c r="B687">
        <f t="shared" ca="1" si="153"/>
        <v>2</v>
      </c>
      <c r="C687" t="str">
        <f t="shared" ca="1" si="154"/>
        <v>S</v>
      </c>
      <c r="D687">
        <f t="shared" ca="1" si="155"/>
        <v>0</v>
      </c>
      <c r="E687">
        <f ca="1">IF($C687=1,OFFSET(E687,-1,0)+MAX(1,COUNTIF(QCI!$A$13:$A$24,OFFSET(ORÇAMENTO!E687,-1,0))),OFFSET(E687,-1,0))</f>
        <v>1</v>
      </c>
      <c r="F687">
        <f t="shared" ca="1" si="156"/>
        <v>74</v>
      </c>
      <c r="G687">
        <f t="shared" ca="1" si="157"/>
        <v>0</v>
      </c>
      <c r="H687">
        <f t="shared" ca="1" si="158"/>
        <v>0</v>
      </c>
      <c r="I687">
        <f t="shared" ca="1" si="159"/>
        <v>0</v>
      </c>
      <c r="J687">
        <f t="shared" ca="1" si="152"/>
        <v>0</v>
      </c>
      <c r="K687">
        <f ca="1">IF(OR($C687="S",$C687=0),0,MATCH(OFFSET($D687,0,$C687)+IF($C687&lt;&gt;1,1,COUNTIF(QCI!$A$13:$A$24,ORÇAMENTO!E687)),OFFSET($D687,1,$C687,ROW($C$727)-ROW($C687)),0))</f>
        <v>0</v>
      </c>
      <c r="L687" s="116" t="str">
        <f t="shared" ca="1" si="160"/>
        <v/>
      </c>
      <c r="M687" s="117" t="s">
        <v>199</v>
      </c>
      <c r="N687" s="118" t="str">
        <f t="shared" ca="1" si="161"/>
        <v>Serviço</v>
      </c>
      <c r="O687" s="119" t="str">
        <f t="shared" ca="1" si="162"/>
        <v>-</v>
      </c>
      <c r="P687" s="120" t="s">
        <v>247</v>
      </c>
      <c r="Q687" s="121" t="s">
        <v>475</v>
      </c>
      <c r="R687" s="122" t="str">
        <f ca="1">IF($C687="S",REFERENCIA.Descricao,"(digite a descrição aqui)")</f>
        <v>(abra o arquivo 'Referência 06-2024.xlsm)</v>
      </c>
      <c r="S687" s="123" t="str">
        <f ca="1">REFERENCIA.Unidade</f>
        <v>-</v>
      </c>
      <c r="T687" s="124">
        <f ca="1">OFFSET(CÁLCULO!H$15,ROW($T687)-ROW(T$15),0)</f>
        <v>1.83</v>
      </c>
      <c r="U687" s="125">
        <f t="shared" ca="1" si="147"/>
        <v>0</v>
      </c>
      <c r="V687" s="126" t="s">
        <v>156</v>
      </c>
      <c r="W687" s="124">
        <f ca="1">IF($C687="S",ROUND(IF(TIPOORCAMENTO="Proposto",ORÇAMENTO.CustoUnitario*(1+$AH687),ORÇAMENTO.PrecoUnitarioLicitado),15-13*$AF$10),0)</f>
        <v>0</v>
      </c>
      <c r="X687" s="127">
        <f ca="1">IF($C687="S",IF(Import.TipoArredondamento&lt;&gt;"TransfereGOV",VTOTAL1,SUM(OFFSET(CÁLCULO!$AI$15,ROW($X687)-ROW($X$15),1):OFFSET(CÁLCULO!$BB$15,ROW($X687)-ROW($X$15),-1))),IF($C687=0,0,ROUND(SomaAgrup,15-13*$AF$11)))</f>
        <v>0</v>
      </c>
      <c r="Y687" s="128" t="s">
        <v>245</v>
      </c>
      <c r="Z687" t="str">
        <f t="shared" ca="1" si="163"/>
        <v/>
      </c>
      <c r="AA687" s="129">
        <f ca="1">IF($C687="S",IF($Z687="CP",$X687,IF($Z687="RA",(($X687)*QCI!$AA$3),0)),SomaAgrup)</f>
        <v>0</v>
      </c>
      <c r="AB687" s="130">
        <f t="shared" ca="1" si="149"/>
        <v>0</v>
      </c>
      <c r="AC687" s="131" t="str">
        <f ca="1">IF($N687="","",IF(ORÇAMENTO.Descricao="","DESCRIÇÃO",IF(AND($C687="S",ORÇAMENTO.Unidade=""),"UNIDADE",IF($X687&lt;0,"VALOR NEGATIVO",IF(OR(AND(TIPOORCAMENTO="Proposto",$AG687&lt;&gt;"",$AG687&gt;0,ORÇAMENTO.CustoUnitario&gt;$AG687),AND(TIPOORCAMENTO="LICITADO",ORÇAMENTO.PrecoUnitarioLicitado&gt;$AN687)),"ACIMA REF.","")))))</f>
        <v/>
      </c>
      <c r="AD687" t="str">
        <f ca="1">IF(C687&lt;=CRONO.NivelExibicao,MAX($AD$15:OFFSET(AD687,-1,0))+IF($C687&lt;&gt;1,1,MAX(1,COUNTIF(QCI!$A$13:$A$24,OFFSET($E687,-1,0)))),"")</f>
        <v/>
      </c>
      <c r="AE687" s="7" t="str">
        <f ca="1">IF(AND($C687="S",ORÇAMENTO.CodBarra&lt;&gt;""),IF(ORÇAMENTO.Fonte="",ORÇAMENTO.CodBarra,CONCATENATE(ORÇAMENTO.Fonte," ",ORÇAMENTO.CodBarra)))</f>
        <v>SINAPI 96619</v>
      </c>
      <c r="AF687" s="13" t="str">
        <f ca="1">IF(ISERROR(INDIRECT(ORÇAMENTO.BancoRef)),"(abra o arquivo 'Referência "&amp;Excel_BuiltIn_Database&amp;".xlsm)",IF(OR($C687&lt;&gt;"S",ORÇAMENTO.CodBarra=""),"(Sem Código)",IF(ISERROR(MATCH($AE687,INDIRECT(ORÇAMENTO.BancoRef),0)),"(Código não identificado nas referências)",MATCH($AE687,INDIRECT(ORÇAMENTO.BancoRef),0))))</f>
        <v>(abra o arquivo 'Referência 06-2024.xlsm)</v>
      </c>
      <c r="AG687" s="498">
        <f ca="1">ROUND(IF(DESONERACAO="sim",REFERENCIA.Desonerado,REFERENCIA.NaoDesonerado),2)</f>
        <v>0</v>
      </c>
      <c r="AH687" s="499">
        <f t="shared" ca="1" si="150"/>
        <v>0.2432</v>
      </c>
      <c r="AJ687" s="501"/>
      <c r="AL687" s="527"/>
      <c r="AM687" s="381">
        <f t="shared" ca="1" si="164"/>
        <v>0</v>
      </c>
      <c r="AN687" s="566">
        <f t="shared" ca="1" si="151"/>
        <v>0</v>
      </c>
    </row>
    <row r="688" spans="1:40" ht="38.25" x14ac:dyDescent="0.2">
      <c r="A688" t="str">
        <f t="shared" si="148"/>
        <v>S</v>
      </c>
      <c r="B688">
        <f t="shared" ca="1" si="153"/>
        <v>2</v>
      </c>
      <c r="C688" t="str">
        <f t="shared" ca="1" si="154"/>
        <v>S</v>
      </c>
      <c r="D688">
        <f t="shared" ca="1" si="155"/>
        <v>0</v>
      </c>
      <c r="E688">
        <f ca="1">IF($C688=1,OFFSET(E688,-1,0)+MAX(1,COUNTIF(QCI!$A$13:$A$24,OFFSET(ORÇAMENTO!E688,-1,0))),OFFSET(E688,-1,0))</f>
        <v>1</v>
      </c>
      <c r="F688">
        <f t="shared" ca="1" si="156"/>
        <v>74</v>
      </c>
      <c r="G688">
        <f t="shared" ca="1" si="157"/>
        <v>0</v>
      </c>
      <c r="H688">
        <f t="shared" ca="1" si="158"/>
        <v>0</v>
      </c>
      <c r="I688">
        <f t="shared" ca="1" si="159"/>
        <v>0</v>
      </c>
      <c r="J688">
        <f t="shared" ca="1" si="152"/>
        <v>0</v>
      </c>
      <c r="K688">
        <f ca="1">IF(OR($C688="S",$C688=0),0,MATCH(OFFSET($D688,0,$C688)+IF($C688&lt;&gt;1,1,COUNTIF(QCI!$A$13:$A$24,ORÇAMENTO!E688)),OFFSET($D688,1,$C688,ROW($C$727)-ROW($C688)),0))</f>
        <v>0</v>
      </c>
      <c r="L688" s="116" t="str">
        <f t="shared" ca="1" si="160"/>
        <v/>
      </c>
      <c r="M688" s="117" t="s">
        <v>199</v>
      </c>
      <c r="N688" s="118" t="str">
        <f t="shared" ca="1" si="161"/>
        <v>Serviço</v>
      </c>
      <c r="O688" s="119" t="str">
        <f t="shared" ca="1" si="162"/>
        <v>-</v>
      </c>
      <c r="P688" s="120" t="s">
        <v>247</v>
      </c>
      <c r="Q688" s="121" t="s">
        <v>481</v>
      </c>
      <c r="R688" s="122" t="str">
        <f ca="1">IF($C688="S",REFERENCIA.Descricao,"(digite a descrição aqui)")</f>
        <v>(abra o arquivo 'Referência 06-2024.xlsm)</v>
      </c>
      <c r="S688" s="123" t="str">
        <f ca="1">REFERENCIA.Unidade</f>
        <v>-</v>
      </c>
      <c r="T688" s="124">
        <f ca="1">OFFSET(CÁLCULO!H$15,ROW($T688)-ROW(T$15),0)</f>
        <v>14.76</v>
      </c>
      <c r="U688" s="125">
        <f t="shared" ca="1" si="147"/>
        <v>0</v>
      </c>
      <c r="V688" s="126" t="s">
        <v>156</v>
      </c>
      <c r="W688" s="124">
        <f ca="1">IF($C688="S",ROUND(IF(TIPOORCAMENTO="Proposto",ORÇAMENTO.CustoUnitario*(1+$AH688),ORÇAMENTO.PrecoUnitarioLicitado),15-13*$AF$10),0)</f>
        <v>0</v>
      </c>
      <c r="X688" s="127">
        <f ca="1">IF($C688="S",IF(Import.TipoArredondamento&lt;&gt;"TransfereGOV",VTOTAL1,SUM(OFFSET(CÁLCULO!$AI$15,ROW($X688)-ROW($X$15),1):OFFSET(CÁLCULO!$BB$15,ROW($X688)-ROW($X$15),-1))),IF($C688=0,0,ROUND(SomaAgrup,15-13*$AF$11)))</f>
        <v>0</v>
      </c>
      <c r="Y688" s="128" t="s">
        <v>245</v>
      </c>
      <c r="Z688" t="str">
        <f t="shared" ca="1" si="163"/>
        <v/>
      </c>
      <c r="AA688" s="129">
        <f ca="1">IF($C688="S",IF($Z688="CP",$X688,IF($Z688="RA",(($X688)*QCI!$AA$3),0)),SomaAgrup)</f>
        <v>0</v>
      </c>
      <c r="AB688" s="130">
        <f t="shared" ca="1" si="149"/>
        <v>0</v>
      </c>
      <c r="AC688" s="131" t="str">
        <f ca="1">IF($N688="","",IF(ORÇAMENTO.Descricao="","DESCRIÇÃO",IF(AND($C688="S",ORÇAMENTO.Unidade=""),"UNIDADE",IF($X688&lt;0,"VALOR NEGATIVO",IF(OR(AND(TIPOORCAMENTO="Proposto",$AG688&lt;&gt;"",$AG688&gt;0,ORÇAMENTO.CustoUnitario&gt;$AG688),AND(TIPOORCAMENTO="LICITADO",ORÇAMENTO.PrecoUnitarioLicitado&gt;$AN688)),"ACIMA REF.","")))))</f>
        <v/>
      </c>
      <c r="AD688" t="str">
        <f ca="1">IF(C688&lt;=CRONO.NivelExibicao,MAX($AD$15:OFFSET(AD688,-1,0))+IF($C688&lt;&gt;1,1,MAX(1,COUNTIF(QCI!$A$13:$A$24,OFFSET($E688,-1,0)))),"")</f>
        <v/>
      </c>
      <c r="AE688" s="7" t="str">
        <f ca="1">IF(AND($C688="S",ORÇAMENTO.CodBarra&lt;&gt;""),IF(ORÇAMENTO.Fonte="",ORÇAMENTO.CodBarra,CONCATENATE(ORÇAMENTO.Fonte," ",ORÇAMENTO.CodBarra)))</f>
        <v>SINAPI 96557</v>
      </c>
      <c r="AF688" s="13" t="str">
        <f ca="1">IF(ISERROR(INDIRECT(ORÇAMENTO.BancoRef)),"(abra o arquivo 'Referência "&amp;Excel_BuiltIn_Database&amp;".xlsm)",IF(OR($C688&lt;&gt;"S",ORÇAMENTO.CodBarra=""),"(Sem Código)",IF(ISERROR(MATCH($AE688,INDIRECT(ORÇAMENTO.BancoRef),0)),"(Código não identificado nas referências)",MATCH($AE688,INDIRECT(ORÇAMENTO.BancoRef),0))))</f>
        <v>(abra o arquivo 'Referência 06-2024.xlsm)</v>
      </c>
      <c r="AG688" s="498">
        <f ca="1">ROUND(IF(DESONERACAO="sim",REFERENCIA.Desonerado,REFERENCIA.NaoDesonerado),2)</f>
        <v>0</v>
      </c>
      <c r="AH688" s="499">
        <f t="shared" ca="1" si="150"/>
        <v>0.2432</v>
      </c>
      <c r="AJ688" s="501"/>
      <c r="AL688" s="527"/>
      <c r="AM688" s="381">
        <f t="shared" ca="1" si="164"/>
        <v>0</v>
      </c>
      <c r="AN688" s="566">
        <f t="shared" ca="1" si="151"/>
        <v>0</v>
      </c>
    </row>
    <row r="689" spans="1:40" ht="38.25" x14ac:dyDescent="0.2">
      <c r="A689" t="str">
        <f t="shared" si="148"/>
        <v>S</v>
      </c>
      <c r="B689">
        <f t="shared" ca="1" si="153"/>
        <v>2</v>
      </c>
      <c r="C689" t="str">
        <f t="shared" ca="1" si="154"/>
        <v>S</v>
      </c>
      <c r="D689">
        <f t="shared" ca="1" si="155"/>
        <v>0</v>
      </c>
      <c r="E689">
        <f ca="1">IF($C689=1,OFFSET(E689,-1,0)+MAX(1,COUNTIF(QCI!$A$13:$A$24,OFFSET(ORÇAMENTO!E689,-1,0))),OFFSET(E689,-1,0))</f>
        <v>1</v>
      </c>
      <c r="F689">
        <f t="shared" ca="1" si="156"/>
        <v>74</v>
      </c>
      <c r="G689">
        <f t="shared" ca="1" si="157"/>
        <v>0</v>
      </c>
      <c r="H689">
        <f t="shared" ca="1" si="158"/>
        <v>0</v>
      </c>
      <c r="I689">
        <f t="shared" ca="1" si="159"/>
        <v>0</v>
      </c>
      <c r="J689">
        <f t="shared" ca="1" si="152"/>
        <v>0</v>
      </c>
      <c r="K689">
        <f ca="1">IF(OR($C689="S",$C689=0),0,MATCH(OFFSET($D689,0,$C689)+IF($C689&lt;&gt;1,1,COUNTIF(QCI!$A$13:$A$24,ORÇAMENTO!E689)),OFFSET($D689,1,$C689,ROW($C$727)-ROW($C689)),0))</f>
        <v>0</v>
      </c>
      <c r="L689" s="116" t="str">
        <f t="shared" ca="1" si="160"/>
        <v/>
      </c>
      <c r="M689" s="117" t="s">
        <v>199</v>
      </c>
      <c r="N689" s="118" t="str">
        <f t="shared" ca="1" si="161"/>
        <v>Serviço</v>
      </c>
      <c r="O689" s="119" t="str">
        <f t="shared" ca="1" si="162"/>
        <v>-</v>
      </c>
      <c r="P689" s="120" t="s">
        <v>247</v>
      </c>
      <c r="Q689" s="121" t="s">
        <v>477</v>
      </c>
      <c r="R689" s="122" t="str">
        <f ca="1">IF($C689="S",REFERENCIA.Descricao,"(digite a descrição aqui)")</f>
        <v>(abra o arquivo 'Referência 06-2024.xlsm)</v>
      </c>
      <c r="S689" s="123" t="str">
        <f ca="1">REFERENCIA.Unidade</f>
        <v>-</v>
      </c>
      <c r="T689" s="124">
        <f ca="1">OFFSET(CÁLCULO!H$15,ROW($T689)-ROW(T$15),0)</f>
        <v>89.74</v>
      </c>
      <c r="U689" s="125">
        <f t="shared" ca="1" si="147"/>
        <v>0</v>
      </c>
      <c r="V689" s="126" t="s">
        <v>156</v>
      </c>
      <c r="W689" s="124">
        <f ca="1">IF($C689="S",ROUND(IF(TIPOORCAMENTO="Proposto",ORÇAMENTO.CustoUnitario*(1+$AH689),ORÇAMENTO.PrecoUnitarioLicitado),15-13*$AF$10),0)</f>
        <v>0</v>
      </c>
      <c r="X689" s="127">
        <f ca="1">IF($C689="S",IF(Import.TipoArredondamento&lt;&gt;"TransfereGOV",VTOTAL1,SUM(OFFSET(CÁLCULO!$AI$15,ROW($X689)-ROW($X$15),1):OFFSET(CÁLCULO!$BB$15,ROW($X689)-ROW($X$15),-1))),IF($C689=0,0,ROUND(SomaAgrup,15-13*$AF$11)))</f>
        <v>0</v>
      </c>
      <c r="Y689" s="128" t="s">
        <v>245</v>
      </c>
      <c r="Z689" t="str">
        <f t="shared" ca="1" si="163"/>
        <v/>
      </c>
      <c r="AA689" s="129">
        <f ca="1">IF($C689="S",IF($Z689="CP",$X689,IF($Z689="RA",(($X689)*QCI!$AA$3),0)),SomaAgrup)</f>
        <v>0</v>
      </c>
      <c r="AB689" s="130">
        <f t="shared" ca="1" si="149"/>
        <v>0</v>
      </c>
      <c r="AC689" s="131" t="str">
        <f ca="1">IF($N689="","",IF(ORÇAMENTO.Descricao="","DESCRIÇÃO",IF(AND($C689="S",ORÇAMENTO.Unidade=""),"UNIDADE",IF($X689&lt;0,"VALOR NEGATIVO",IF(OR(AND(TIPOORCAMENTO="Proposto",$AG689&lt;&gt;"",$AG689&gt;0,ORÇAMENTO.CustoUnitario&gt;$AG689),AND(TIPOORCAMENTO="LICITADO",ORÇAMENTO.PrecoUnitarioLicitado&gt;$AN689)),"ACIMA REF.","")))))</f>
        <v/>
      </c>
      <c r="AD689" t="str">
        <f ca="1">IF(C689&lt;=CRONO.NivelExibicao,MAX($AD$15:OFFSET(AD689,-1,0))+IF($C689&lt;&gt;1,1,MAX(1,COUNTIF(QCI!$A$13:$A$24,OFFSET($E689,-1,0)))),"")</f>
        <v/>
      </c>
      <c r="AE689" s="7" t="str">
        <f ca="1">IF(AND($C689="S",ORÇAMENTO.CodBarra&lt;&gt;""),IF(ORÇAMENTO.Fonte="",ORÇAMENTO.CodBarra,CONCATENATE(ORÇAMENTO.Fonte," ",ORÇAMENTO.CodBarra)))</f>
        <v>SINAPI 96534</v>
      </c>
      <c r="AF689" s="13" t="str">
        <f ca="1">IF(ISERROR(INDIRECT(ORÇAMENTO.BancoRef)),"(abra o arquivo 'Referência "&amp;Excel_BuiltIn_Database&amp;".xlsm)",IF(OR($C689&lt;&gt;"S",ORÇAMENTO.CodBarra=""),"(Sem Código)",IF(ISERROR(MATCH($AE689,INDIRECT(ORÇAMENTO.BancoRef),0)),"(Código não identificado nas referências)",MATCH($AE689,INDIRECT(ORÇAMENTO.BancoRef),0))))</f>
        <v>(abra o arquivo 'Referência 06-2024.xlsm)</v>
      </c>
      <c r="AG689" s="498">
        <f ca="1">ROUND(IF(DESONERACAO="sim",REFERENCIA.Desonerado,REFERENCIA.NaoDesonerado),2)</f>
        <v>0</v>
      </c>
      <c r="AH689" s="499">
        <f t="shared" ca="1" si="150"/>
        <v>0.2432</v>
      </c>
      <c r="AJ689" s="501"/>
      <c r="AL689" s="527"/>
      <c r="AM689" s="381">
        <f t="shared" ca="1" si="164"/>
        <v>0</v>
      </c>
      <c r="AN689" s="566">
        <f t="shared" ca="1" si="151"/>
        <v>0</v>
      </c>
    </row>
    <row r="690" spans="1:40" ht="25.5" x14ac:dyDescent="0.2">
      <c r="A690" t="str">
        <f t="shared" si="148"/>
        <v>S</v>
      </c>
      <c r="B690">
        <f t="shared" ca="1" si="153"/>
        <v>2</v>
      </c>
      <c r="C690" t="str">
        <f t="shared" ca="1" si="154"/>
        <v>S</v>
      </c>
      <c r="D690">
        <f t="shared" ca="1" si="155"/>
        <v>0</v>
      </c>
      <c r="E690">
        <f ca="1">IF($C690=1,OFFSET(E690,-1,0)+MAX(1,COUNTIF(QCI!$A$13:$A$24,OFFSET(ORÇAMENTO!E690,-1,0))),OFFSET(E690,-1,0))</f>
        <v>1</v>
      </c>
      <c r="F690">
        <f t="shared" ca="1" si="156"/>
        <v>74</v>
      </c>
      <c r="G690">
        <f t="shared" ca="1" si="157"/>
        <v>0</v>
      </c>
      <c r="H690">
        <f t="shared" ca="1" si="158"/>
        <v>0</v>
      </c>
      <c r="I690">
        <f t="shared" ca="1" si="159"/>
        <v>0</v>
      </c>
      <c r="J690">
        <f t="shared" ca="1" si="152"/>
        <v>0</v>
      </c>
      <c r="K690">
        <f ca="1">IF(OR($C690="S",$C690=0),0,MATCH(OFFSET($D690,0,$C690)+IF($C690&lt;&gt;1,1,COUNTIF(QCI!$A$13:$A$24,ORÇAMENTO!E690)),OFFSET($D690,1,$C690,ROW($C$727)-ROW($C690)),0))</f>
        <v>0</v>
      </c>
      <c r="L690" s="116" t="str">
        <f t="shared" ca="1" si="160"/>
        <v/>
      </c>
      <c r="M690" s="117" t="s">
        <v>199</v>
      </c>
      <c r="N690" s="118" t="str">
        <f t="shared" ca="1" si="161"/>
        <v>Serviço</v>
      </c>
      <c r="O690" s="119" t="str">
        <f t="shared" ca="1" si="162"/>
        <v>-</v>
      </c>
      <c r="P690" s="120" t="s">
        <v>247</v>
      </c>
      <c r="Q690" s="121" t="s">
        <v>1003</v>
      </c>
      <c r="R690" s="122" t="str">
        <f ca="1">IF($C690="S",REFERENCIA.Descricao,"(digite a descrição aqui)")</f>
        <v>(abra o arquivo 'Referência 06-2024.xlsm)</v>
      </c>
      <c r="S690" s="123" t="str">
        <f ca="1">REFERENCIA.Unidade</f>
        <v>-</v>
      </c>
      <c r="T690" s="124">
        <f ca="1">OFFSET(CÁLCULO!H$15,ROW($T690)-ROW(T$15),0)</f>
        <v>585.54</v>
      </c>
      <c r="U690" s="125">
        <f t="shared" ca="1" si="147"/>
        <v>0</v>
      </c>
      <c r="V690" s="126" t="s">
        <v>156</v>
      </c>
      <c r="W690" s="124">
        <f ca="1">IF($C690="S",ROUND(IF(TIPOORCAMENTO="Proposto",ORÇAMENTO.CustoUnitario*(1+$AH690),ORÇAMENTO.PrecoUnitarioLicitado),15-13*$AF$10),0)</f>
        <v>0</v>
      </c>
      <c r="X690" s="127">
        <f ca="1">IF($C690="S",IF(Import.TipoArredondamento&lt;&gt;"TransfereGOV",VTOTAL1,SUM(OFFSET(CÁLCULO!$AI$15,ROW($X690)-ROW($X$15),1):OFFSET(CÁLCULO!$BB$15,ROW($X690)-ROW($X$15),-1))),IF($C690=0,0,ROUND(SomaAgrup,15-13*$AF$11)))</f>
        <v>0</v>
      </c>
      <c r="Y690" s="128" t="s">
        <v>245</v>
      </c>
      <c r="Z690" t="str">
        <f t="shared" ca="1" si="163"/>
        <v/>
      </c>
      <c r="AA690" s="129">
        <f ca="1">IF($C690="S",IF($Z690="CP",$X690,IF($Z690="RA",(($X690)*QCI!$AA$3),0)),SomaAgrup)</f>
        <v>0</v>
      </c>
      <c r="AB690" s="130">
        <f t="shared" ca="1" si="149"/>
        <v>0</v>
      </c>
      <c r="AC690" s="131" t="str">
        <f ca="1">IF($N690="","",IF(ORÇAMENTO.Descricao="","DESCRIÇÃO",IF(AND($C690="S",ORÇAMENTO.Unidade=""),"UNIDADE",IF($X690&lt;0,"VALOR NEGATIVO",IF(OR(AND(TIPOORCAMENTO="Proposto",$AG690&lt;&gt;"",$AG690&gt;0,ORÇAMENTO.CustoUnitario&gt;$AG690),AND(TIPOORCAMENTO="LICITADO",ORÇAMENTO.PrecoUnitarioLicitado&gt;$AN690)),"ACIMA REF.","")))))</f>
        <v/>
      </c>
      <c r="AD690" t="str">
        <f ca="1">IF(C690&lt;=CRONO.NivelExibicao,MAX($AD$15:OFFSET(AD690,-1,0))+IF($C690&lt;&gt;1,1,MAX(1,COUNTIF(QCI!$A$13:$A$24,OFFSET($E690,-1,0)))),"")</f>
        <v/>
      </c>
      <c r="AE690" s="7" t="str">
        <f ca="1">IF(AND($C690="S",ORÇAMENTO.CodBarra&lt;&gt;""),IF(ORÇAMENTO.Fonte="",ORÇAMENTO.CodBarra,CONCATENATE(ORÇAMENTO.Fonte," ",ORÇAMENTO.CodBarra)))</f>
        <v>SINAPI 96545</v>
      </c>
      <c r="AF690" s="13" t="str">
        <f ca="1">IF(ISERROR(INDIRECT(ORÇAMENTO.BancoRef)),"(abra o arquivo 'Referência "&amp;Excel_BuiltIn_Database&amp;".xlsm)",IF(OR($C690&lt;&gt;"S",ORÇAMENTO.CodBarra=""),"(Sem Código)",IF(ISERROR(MATCH($AE690,INDIRECT(ORÇAMENTO.BancoRef),0)),"(Código não identificado nas referências)",MATCH($AE690,INDIRECT(ORÇAMENTO.BancoRef),0))))</f>
        <v>(abra o arquivo 'Referência 06-2024.xlsm)</v>
      </c>
      <c r="AG690" s="498">
        <f ca="1">ROUND(IF(DESONERACAO="sim",REFERENCIA.Desonerado,REFERENCIA.NaoDesonerado),2)</f>
        <v>0</v>
      </c>
      <c r="AH690" s="499">
        <f t="shared" ca="1" si="150"/>
        <v>0.2432</v>
      </c>
      <c r="AJ690" s="501"/>
      <c r="AL690" s="527"/>
      <c r="AM690" s="381">
        <f t="shared" ca="1" si="164"/>
        <v>0</v>
      </c>
      <c r="AN690" s="566">
        <f t="shared" ca="1" si="151"/>
        <v>0</v>
      </c>
    </row>
    <row r="691" spans="1:40" ht="25.5" x14ac:dyDescent="0.2">
      <c r="A691" t="str">
        <f t="shared" si="148"/>
        <v>S</v>
      </c>
      <c r="B691">
        <f t="shared" ca="1" si="153"/>
        <v>2</v>
      </c>
      <c r="C691" t="str">
        <f t="shared" ca="1" si="154"/>
        <v>S</v>
      </c>
      <c r="D691">
        <f t="shared" ca="1" si="155"/>
        <v>0</v>
      </c>
      <c r="E691">
        <f ca="1">IF($C691=1,OFFSET(E691,-1,0)+MAX(1,COUNTIF(QCI!$A$13:$A$24,OFFSET(ORÇAMENTO!E691,-1,0))),OFFSET(E691,-1,0))</f>
        <v>1</v>
      </c>
      <c r="F691">
        <f t="shared" ca="1" si="156"/>
        <v>74</v>
      </c>
      <c r="G691">
        <f t="shared" ca="1" si="157"/>
        <v>0</v>
      </c>
      <c r="H691">
        <f t="shared" ca="1" si="158"/>
        <v>0</v>
      </c>
      <c r="I691">
        <f t="shared" ca="1" si="159"/>
        <v>0</v>
      </c>
      <c r="J691">
        <f t="shared" ca="1" si="152"/>
        <v>0</v>
      </c>
      <c r="K691">
        <f ca="1">IF(OR($C691="S",$C691=0),0,MATCH(OFFSET($D691,0,$C691)+IF($C691&lt;&gt;1,1,COUNTIF(QCI!$A$13:$A$24,ORÇAMENTO!E691)),OFFSET($D691,1,$C691,ROW($C$727)-ROW($C691)),0))</f>
        <v>0</v>
      </c>
      <c r="L691" s="116" t="str">
        <f t="shared" ca="1" si="160"/>
        <v/>
      </c>
      <c r="M691" s="117" t="s">
        <v>199</v>
      </c>
      <c r="N691" s="118" t="str">
        <f t="shared" ca="1" si="161"/>
        <v>Serviço</v>
      </c>
      <c r="O691" s="119" t="str">
        <f t="shared" ca="1" si="162"/>
        <v>-</v>
      </c>
      <c r="P691" s="120" t="s">
        <v>247</v>
      </c>
      <c r="Q691" s="121" t="s">
        <v>482</v>
      </c>
      <c r="R691" s="122" t="str">
        <f ca="1">IF($C691="S",REFERENCIA.Descricao,"(digite a descrição aqui)")</f>
        <v>(abra o arquivo 'Referência 06-2024.xlsm)</v>
      </c>
      <c r="S691" s="123" t="str">
        <f ca="1">REFERENCIA.Unidade</f>
        <v>-</v>
      </c>
      <c r="T691" s="124">
        <f ca="1">OFFSET(CÁLCULO!H$15,ROW($T691)-ROW(T$15),0)</f>
        <v>352.14</v>
      </c>
      <c r="U691" s="125">
        <f t="shared" ca="1" si="147"/>
        <v>0</v>
      </c>
      <c r="V691" s="126" t="s">
        <v>156</v>
      </c>
      <c r="W691" s="124">
        <f ca="1">IF($C691="S",ROUND(IF(TIPOORCAMENTO="Proposto",ORÇAMENTO.CustoUnitario*(1+$AH691),ORÇAMENTO.PrecoUnitarioLicitado),15-13*$AF$10),0)</f>
        <v>0</v>
      </c>
      <c r="X691" s="127">
        <f ca="1">IF($C691="S",IF(Import.TipoArredondamento&lt;&gt;"TransfereGOV",VTOTAL1,SUM(OFFSET(CÁLCULO!$AI$15,ROW($X691)-ROW($X$15),1):OFFSET(CÁLCULO!$BB$15,ROW($X691)-ROW($X$15),-1))),IF($C691=0,0,ROUND(SomaAgrup,15-13*$AF$11)))</f>
        <v>0</v>
      </c>
      <c r="Y691" s="128" t="s">
        <v>245</v>
      </c>
      <c r="Z691" t="str">
        <f t="shared" ca="1" si="163"/>
        <v/>
      </c>
      <c r="AA691" s="129">
        <f ca="1">IF($C691="S",IF($Z691="CP",$X691,IF($Z691="RA",(($X691)*QCI!$AA$3),0)),SomaAgrup)</f>
        <v>0</v>
      </c>
      <c r="AB691" s="130">
        <f t="shared" ca="1" si="149"/>
        <v>0</v>
      </c>
      <c r="AC691" s="131" t="str">
        <f ca="1">IF($N691="","",IF(ORÇAMENTO.Descricao="","DESCRIÇÃO",IF(AND($C691="S",ORÇAMENTO.Unidade=""),"UNIDADE",IF($X691&lt;0,"VALOR NEGATIVO",IF(OR(AND(TIPOORCAMENTO="Proposto",$AG691&lt;&gt;"",$AG691&gt;0,ORÇAMENTO.CustoUnitario&gt;$AG691),AND(TIPOORCAMENTO="LICITADO",ORÇAMENTO.PrecoUnitarioLicitado&gt;$AN691)),"ACIMA REF.","")))))</f>
        <v/>
      </c>
      <c r="AD691" t="str">
        <f ca="1">IF(C691&lt;=CRONO.NivelExibicao,MAX($AD$15:OFFSET(AD691,-1,0))+IF($C691&lt;&gt;1,1,MAX(1,COUNTIF(QCI!$A$13:$A$24,OFFSET($E691,-1,0)))),"")</f>
        <v/>
      </c>
      <c r="AE691" s="7" t="str">
        <f ca="1">IF(AND($C691="S",ORÇAMENTO.CodBarra&lt;&gt;""),IF(ORÇAMENTO.Fonte="",ORÇAMENTO.CodBarra,CONCATENATE(ORÇAMENTO.Fonte," ",ORÇAMENTO.CodBarra)))</f>
        <v>SINAPI 96546</v>
      </c>
      <c r="AF691" s="13" t="str">
        <f ca="1">IF(ISERROR(INDIRECT(ORÇAMENTO.BancoRef)),"(abra o arquivo 'Referência "&amp;Excel_BuiltIn_Database&amp;".xlsm)",IF(OR($C691&lt;&gt;"S",ORÇAMENTO.CodBarra=""),"(Sem Código)",IF(ISERROR(MATCH($AE691,INDIRECT(ORÇAMENTO.BancoRef),0)),"(Código não identificado nas referências)",MATCH($AE691,INDIRECT(ORÇAMENTO.BancoRef),0))))</f>
        <v>(abra o arquivo 'Referência 06-2024.xlsm)</v>
      </c>
      <c r="AG691" s="498">
        <f ca="1">ROUND(IF(DESONERACAO="sim",REFERENCIA.Desonerado,REFERENCIA.NaoDesonerado),2)</f>
        <v>0</v>
      </c>
      <c r="AH691" s="499">
        <f t="shared" ca="1" si="150"/>
        <v>0.2432</v>
      </c>
      <c r="AJ691" s="501"/>
      <c r="AL691" s="527"/>
      <c r="AM691" s="381">
        <f t="shared" ca="1" si="164"/>
        <v>0</v>
      </c>
      <c r="AN691" s="566">
        <f t="shared" ca="1" si="151"/>
        <v>0</v>
      </c>
    </row>
    <row r="692" spans="1:40" ht="38.25" x14ac:dyDescent="0.2">
      <c r="A692" t="str">
        <f t="shared" si="148"/>
        <v>S</v>
      </c>
      <c r="B692">
        <f t="shared" ca="1" si="153"/>
        <v>2</v>
      </c>
      <c r="C692" t="str">
        <f t="shared" ca="1" si="154"/>
        <v>S</v>
      </c>
      <c r="D692">
        <f t="shared" ca="1" si="155"/>
        <v>0</v>
      </c>
      <c r="E692">
        <f ca="1">IF($C692=1,OFFSET(E692,-1,0)+MAX(1,COUNTIF(QCI!$A$13:$A$24,OFFSET(ORÇAMENTO!E692,-1,0))),OFFSET(E692,-1,0))</f>
        <v>1</v>
      </c>
      <c r="F692">
        <f t="shared" ca="1" si="156"/>
        <v>74</v>
      </c>
      <c r="G692">
        <f t="shared" ca="1" si="157"/>
        <v>0</v>
      </c>
      <c r="H692">
        <f t="shared" ca="1" si="158"/>
        <v>0</v>
      </c>
      <c r="I692">
        <f t="shared" ca="1" si="159"/>
        <v>0</v>
      </c>
      <c r="J692">
        <f t="shared" ca="1" si="152"/>
        <v>0</v>
      </c>
      <c r="K692">
        <f ca="1">IF(OR($C692="S",$C692=0),0,MATCH(OFFSET($D692,0,$C692)+IF($C692&lt;&gt;1,1,COUNTIF(QCI!$A$13:$A$24,ORÇAMENTO!E692)),OFFSET($D692,1,$C692,ROW($C$727)-ROW($C692)),0))</f>
        <v>0</v>
      </c>
      <c r="L692" s="116" t="str">
        <f t="shared" ca="1" si="160"/>
        <v/>
      </c>
      <c r="M692" s="117" t="s">
        <v>199</v>
      </c>
      <c r="N692" s="118" t="str">
        <f t="shared" ca="1" si="161"/>
        <v>Serviço</v>
      </c>
      <c r="O692" s="119" t="str">
        <f t="shared" ca="1" si="162"/>
        <v>-</v>
      </c>
      <c r="P692" s="120" t="s">
        <v>247</v>
      </c>
      <c r="Q692" s="121" t="s">
        <v>480</v>
      </c>
      <c r="R692" s="122" t="str">
        <f ca="1">IF($C692="S",REFERENCIA.Descricao,"(digite a descrição aqui)")</f>
        <v>(abra o arquivo 'Referência 06-2024.xlsm)</v>
      </c>
      <c r="S692" s="123" t="str">
        <f ca="1">REFERENCIA.Unidade</f>
        <v>-</v>
      </c>
      <c r="T692" s="124">
        <f ca="1">OFFSET(CÁLCULO!H$15,ROW($T692)-ROW(T$15),0)</f>
        <v>95.58</v>
      </c>
      <c r="U692" s="125">
        <f t="shared" ref="U692:U726" ca="1" si="165">AG692</f>
        <v>0</v>
      </c>
      <c r="V692" s="126" t="s">
        <v>156</v>
      </c>
      <c r="W692" s="124">
        <f ca="1">IF($C692="S",ROUND(IF(TIPOORCAMENTO="Proposto",ORÇAMENTO.CustoUnitario*(1+$AH692),ORÇAMENTO.PrecoUnitarioLicitado),15-13*$AF$10),0)</f>
        <v>0</v>
      </c>
      <c r="X692" s="127">
        <f ca="1">IF($C692="S",IF(Import.TipoArredondamento&lt;&gt;"TransfereGOV",VTOTAL1,SUM(OFFSET(CÁLCULO!$AI$15,ROW($X692)-ROW($X$15),1):OFFSET(CÁLCULO!$BB$15,ROW($X692)-ROW($X$15),-1))),IF($C692=0,0,ROUND(SomaAgrup,15-13*$AF$11)))</f>
        <v>0</v>
      </c>
      <c r="Y692" s="128" t="s">
        <v>245</v>
      </c>
      <c r="Z692" t="str">
        <f t="shared" ca="1" si="163"/>
        <v/>
      </c>
      <c r="AA692" s="129">
        <f ca="1">IF($C692="S",IF($Z692="CP",$X692,IF($Z692="RA",(($X692)*QCI!$AA$3),0)),SomaAgrup)</f>
        <v>0</v>
      </c>
      <c r="AB692" s="130">
        <f t="shared" ca="1" si="149"/>
        <v>0</v>
      </c>
      <c r="AC692" s="131" t="str">
        <f ca="1">IF($N692="","",IF(ORÇAMENTO.Descricao="","DESCRIÇÃO",IF(AND($C692="S",ORÇAMENTO.Unidade=""),"UNIDADE",IF($X692&lt;0,"VALOR NEGATIVO",IF(OR(AND(TIPOORCAMENTO="Proposto",$AG692&lt;&gt;"",$AG692&gt;0,ORÇAMENTO.CustoUnitario&gt;$AG692),AND(TIPOORCAMENTO="LICITADO",ORÇAMENTO.PrecoUnitarioLicitado&gt;$AN692)),"ACIMA REF.","")))))</f>
        <v/>
      </c>
      <c r="AD692" t="str">
        <f ca="1">IF(C692&lt;=CRONO.NivelExibicao,MAX($AD$15:OFFSET(AD692,-1,0))+IF($C692&lt;&gt;1,1,MAX(1,COUNTIF(QCI!$A$13:$A$24,OFFSET($E692,-1,0)))),"")</f>
        <v/>
      </c>
      <c r="AE692" s="7" t="str">
        <f ca="1">IF(AND($C692="S",ORÇAMENTO.CodBarra&lt;&gt;""),IF(ORÇAMENTO.Fonte="",ORÇAMENTO.CodBarra,CONCATENATE(ORÇAMENTO.Fonte," ",ORÇAMENTO.CodBarra)))</f>
        <v>SINAPI 92915</v>
      </c>
      <c r="AF692" s="13" t="str">
        <f ca="1">IF(ISERROR(INDIRECT(ORÇAMENTO.BancoRef)),"(abra o arquivo 'Referência "&amp;Excel_BuiltIn_Database&amp;".xlsm)",IF(OR($C692&lt;&gt;"S",ORÇAMENTO.CodBarra=""),"(Sem Código)",IF(ISERROR(MATCH($AE692,INDIRECT(ORÇAMENTO.BancoRef),0)),"(Código não identificado nas referências)",MATCH($AE692,INDIRECT(ORÇAMENTO.BancoRef),0))))</f>
        <v>(abra o arquivo 'Referência 06-2024.xlsm)</v>
      </c>
      <c r="AG692" s="498">
        <f ca="1">ROUND(IF(DESONERACAO="sim",REFERENCIA.Desonerado,REFERENCIA.NaoDesonerado),2)</f>
        <v>0</v>
      </c>
      <c r="AH692" s="499">
        <f t="shared" ca="1" si="150"/>
        <v>0.2432</v>
      </c>
      <c r="AJ692" s="501"/>
      <c r="AL692" s="527"/>
      <c r="AM692" s="381">
        <f t="shared" ca="1" si="164"/>
        <v>0</v>
      </c>
      <c r="AN692" s="566">
        <f t="shared" ca="1" si="151"/>
        <v>0</v>
      </c>
    </row>
    <row r="693" spans="1:40" ht="38.25" x14ac:dyDescent="0.2">
      <c r="A693" t="str">
        <f t="shared" si="148"/>
        <v>S</v>
      </c>
      <c r="B693">
        <f t="shared" ca="1" si="153"/>
        <v>2</v>
      </c>
      <c r="C693" t="str">
        <f t="shared" ca="1" si="154"/>
        <v>S</v>
      </c>
      <c r="D693">
        <f t="shared" ca="1" si="155"/>
        <v>0</v>
      </c>
      <c r="E693">
        <f ca="1">IF($C693=1,OFFSET(E693,-1,0)+MAX(1,COUNTIF(QCI!$A$13:$A$24,OFFSET(ORÇAMENTO!E693,-1,0))),OFFSET(E693,-1,0))</f>
        <v>1</v>
      </c>
      <c r="F693">
        <f t="shared" ca="1" si="156"/>
        <v>74</v>
      </c>
      <c r="G693">
        <f t="shared" ca="1" si="157"/>
        <v>0</v>
      </c>
      <c r="H693">
        <f t="shared" ca="1" si="158"/>
        <v>0</v>
      </c>
      <c r="I693">
        <f t="shared" ca="1" si="159"/>
        <v>0</v>
      </c>
      <c r="J693">
        <f t="shared" ca="1" si="152"/>
        <v>0</v>
      </c>
      <c r="K693">
        <f ca="1">IF(OR($C693="S",$C693=0),0,MATCH(OFFSET($D693,0,$C693)+IF($C693&lt;&gt;1,1,COUNTIF(QCI!$A$13:$A$24,ORÇAMENTO!E693)),OFFSET($D693,1,$C693,ROW($C$727)-ROW($C693)),0))</f>
        <v>0</v>
      </c>
      <c r="L693" s="116" t="str">
        <f t="shared" ca="1" si="160"/>
        <v/>
      </c>
      <c r="M693" s="117" t="s">
        <v>199</v>
      </c>
      <c r="N693" s="118" t="str">
        <f t="shared" ca="1" si="161"/>
        <v>Serviço</v>
      </c>
      <c r="O693" s="119" t="str">
        <f t="shared" ca="1" si="162"/>
        <v>-</v>
      </c>
      <c r="P693" s="120" t="s">
        <v>247</v>
      </c>
      <c r="Q693" s="121" t="s">
        <v>485</v>
      </c>
      <c r="R693" s="122" t="str">
        <f ca="1">IF($C693="S",REFERENCIA.Descricao,"(digite a descrição aqui)")</f>
        <v>(abra o arquivo 'Referência 06-2024.xlsm)</v>
      </c>
      <c r="S693" s="123" t="str">
        <f ca="1">REFERENCIA.Unidade</f>
        <v>-</v>
      </c>
      <c r="T693" s="124">
        <f ca="1">OFFSET(CÁLCULO!H$15,ROW($T693)-ROW(T$15),0)</f>
        <v>14.55</v>
      </c>
      <c r="U693" s="125">
        <f t="shared" ca="1" si="165"/>
        <v>0</v>
      </c>
      <c r="V693" s="126" t="s">
        <v>156</v>
      </c>
      <c r="W693" s="124">
        <f ca="1">IF($C693="S",ROUND(IF(TIPOORCAMENTO="Proposto",ORÇAMENTO.CustoUnitario*(1+$AH693),ORÇAMENTO.PrecoUnitarioLicitado),15-13*$AF$10),0)</f>
        <v>0</v>
      </c>
      <c r="X693" s="127">
        <f ca="1">IF($C693="S",IF(Import.TipoArredondamento&lt;&gt;"TransfereGOV",VTOTAL1,SUM(OFFSET(CÁLCULO!$AI$15,ROW($X693)-ROW($X$15),1):OFFSET(CÁLCULO!$BB$15,ROW($X693)-ROW($X$15),-1))),IF($C693=0,0,ROUND(SomaAgrup,15-13*$AF$11)))</f>
        <v>0</v>
      </c>
      <c r="Y693" s="128" t="s">
        <v>245</v>
      </c>
      <c r="Z693" t="str">
        <f t="shared" ca="1" si="163"/>
        <v/>
      </c>
      <c r="AA693" s="129">
        <f ca="1">IF($C693="S",IF($Z693="CP",$X693,IF($Z693="RA",(($X693)*QCI!$AA$3),0)),SomaAgrup)</f>
        <v>0</v>
      </c>
      <c r="AB693" s="130">
        <f t="shared" ca="1" si="149"/>
        <v>0</v>
      </c>
      <c r="AC693" s="131" t="str">
        <f ca="1">IF($N693="","",IF(ORÇAMENTO.Descricao="","DESCRIÇÃO",IF(AND($C693="S",ORÇAMENTO.Unidade=""),"UNIDADE",IF($X693&lt;0,"VALOR NEGATIVO",IF(OR(AND(TIPOORCAMENTO="Proposto",$AG693&lt;&gt;"",$AG693&gt;0,ORÇAMENTO.CustoUnitario&gt;$AG693),AND(TIPOORCAMENTO="LICITADO",ORÇAMENTO.PrecoUnitarioLicitado&gt;$AN693)),"ACIMA REF.","")))))</f>
        <v/>
      </c>
      <c r="AD693" t="str">
        <f ca="1">IF(C693&lt;=CRONO.NivelExibicao,MAX($AD$15:OFFSET(AD693,-1,0))+IF($C693&lt;&gt;1,1,MAX(1,COUNTIF(QCI!$A$13:$A$24,OFFSET($E693,-1,0)))),"")</f>
        <v/>
      </c>
      <c r="AE693" s="7" t="str">
        <f ca="1">IF(AND($C693="S",ORÇAMENTO.CodBarra&lt;&gt;""),IF(ORÇAMENTO.Fonte="",ORÇAMENTO.CodBarra,CONCATENATE(ORÇAMENTO.Fonte," ",ORÇAMENTO.CodBarra)))</f>
        <v>SINAPI 104920</v>
      </c>
      <c r="AF693" s="13" t="str">
        <f ca="1">IF(ISERROR(INDIRECT(ORÇAMENTO.BancoRef)),"(abra o arquivo 'Referência "&amp;Excel_BuiltIn_Database&amp;".xlsm)",IF(OR($C693&lt;&gt;"S",ORÇAMENTO.CodBarra=""),"(Sem Código)",IF(ISERROR(MATCH($AE693,INDIRECT(ORÇAMENTO.BancoRef),0)),"(Código não identificado nas referências)",MATCH($AE693,INDIRECT(ORÇAMENTO.BancoRef),0))))</f>
        <v>(abra o arquivo 'Referência 06-2024.xlsm)</v>
      </c>
      <c r="AG693" s="498">
        <f ca="1">ROUND(IF(DESONERACAO="sim",REFERENCIA.Desonerado,REFERENCIA.NaoDesonerado),2)</f>
        <v>0</v>
      </c>
      <c r="AH693" s="499">
        <f t="shared" ca="1" si="150"/>
        <v>0.2432</v>
      </c>
      <c r="AJ693" s="501"/>
      <c r="AL693" s="527"/>
      <c r="AM693" s="381">
        <f t="shared" ca="1" si="164"/>
        <v>0</v>
      </c>
      <c r="AN693" s="566">
        <f t="shared" ca="1" si="151"/>
        <v>0</v>
      </c>
    </row>
    <row r="694" spans="1:40" ht="38.25" x14ac:dyDescent="0.2">
      <c r="A694" t="str">
        <f t="shared" si="148"/>
        <v>S</v>
      </c>
      <c r="B694">
        <f t="shared" ca="1" si="153"/>
        <v>2</v>
      </c>
      <c r="C694" t="str">
        <f t="shared" ca="1" si="154"/>
        <v>S</v>
      </c>
      <c r="D694">
        <f t="shared" ca="1" si="155"/>
        <v>0</v>
      </c>
      <c r="E694">
        <f ca="1">IF($C694=1,OFFSET(E694,-1,0)+MAX(1,COUNTIF(QCI!$A$13:$A$24,OFFSET(ORÇAMENTO!E694,-1,0))),OFFSET(E694,-1,0))</f>
        <v>1</v>
      </c>
      <c r="F694">
        <f t="shared" ca="1" si="156"/>
        <v>74</v>
      </c>
      <c r="G694">
        <f t="shared" ca="1" si="157"/>
        <v>0</v>
      </c>
      <c r="H694">
        <f t="shared" ca="1" si="158"/>
        <v>0</v>
      </c>
      <c r="I694">
        <f t="shared" ca="1" si="159"/>
        <v>0</v>
      </c>
      <c r="J694">
        <f t="shared" ca="1" si="152"/>
        <v>0</v>
      </c>
      <c r="K694">
        <f ca="1">IF(OR($C694="S",$C694=0),0,MATCH(OFFSET($D694,0,$C694)+IF($C694&lt;&gt;1,1,COUNTIF(QCI!$A$13:$A$24,ORÇAMENTO!E694)),OFFSET($D694,1,$C694,ROW($C$727)-ROW($C694)),0))</f>
        <v>0</v>
      </c>
      <c r="L694" s="116" t="str">
        <f t="shared" ca="1" si="160"/>
        <v/>
      </c>
      <c r="M694" s="117" t="s">
        <v>199</v>
      </c>
      <c r="N694" s="118" t="str">
        <f t="shared" ca="1" si="161"/>
        <v>Serviço</v>
      </c>
      <c r="O694" s="119" t="str">
        <f t="shared" ca="1" si="162"/>
        <v>-</v>
      </c>
      <c r="P694" s="120" t="s">
        <v>247</v>
      </c>
      <c r="Q694" s="121" t="s">
        <v>486</v>
      </c>
      <c r="R694" s="122" t="str">
        <f ca="1">IF($C694="S",REFERENCIA.Descricao,"(digite a descrição aqui)")</f>
        <v>(abra o arquivo 'Referência 06-2024.xlsm)</v>
      </c>
      <c r="S694" s="123" t="str">
        <f ca="1">REFERENCIA.Unidade</f>
        <v>-</v>
      </c>
      <c r="T694" s="124">
        <f ca="1">OFFSET(CÁLCULO!H$15,ROW($T694)-ROW(T$15),0)</f>
        <v>29.22</v>
      </c>
      <c r="U694" s="125">
        <f t="shared" ca="1" si="165"/>
        <v>0</v>
      </c>
      <c r="V694" s="126" t="s">
        <v>156</v>
      </c>
      <c r="W694" s="124">
        <f ca="1">IF($C694="S",ROUND(IF(TIPOORCAMENTO="Proposto",ORÇAMENTO.CustoUnitario*(1+$AH694),ORÇAMENTO.PrecoUnitarioLicitado),15-13*$AF$10),0)</f>
        <v>0</v>
      </c>
      <c r="X694" s="127">
        <f ca="1">IF($C694="S",IF(Import.TipoArredondamento&lt;&gt;"TransfereGOV",VTOTAL1,SUM(OFFSET(CÁLCULO!$AI$15,ROW($X694)-ROW($X$15),1):OFFSET(CÁLCULO!$BB$15,ROW($X694)-ROW($X$15),-1))),IF($C694=0,0,ROUND(SomaAgrup,15-13*$AF$11)))</f>
        <v>0</v>
      </c>
      <c r="Y694" s="128" t="s">
        <v>245</v>
      </c>
      <c r="Z694" t="str">
        <f t="shared" ca="1" si="163"/>
        <v/>
      </c>
      <c r="AA694" s="129">
        <f ca="1">IF($C694="S",IF($Z694="CP",$X694,IF($Z694="RA",(($X694)*QCI!$AA$3),0)),SomaAgrup)</f>
        <v>0</v>
      </c>
      <c r="AB694" s="130">
        <f t="shared" ca="1" si="149"/>
        <v>0</v>
      </c>
      <c r="AC694" s="131" t="str">
        <f ca="1">IF($N694="","",IF(ORÇAMENTO.Descricao="","DESCRIÇÃO",IF(AND($C694="S",ORÇAMENTO.Unidade=""),"UNIDADE",IF($X694&lt;0,"VALOR NEGATIVO",IF(OR(AND(TIPOORCAMENTO="Proposto",$AG694&lt;&gt;"",$AG694&gt;0,ORÇAMENTO.CustoUnitario&gt;$AG694),AND(TIPOORCAMENTO="LICITADO",ORÇAMENTO.PrecoUnitarioLicitado&gt;$AN694)),"ACIMA REF.","")))))</f>
        <v/>
      </c>
      <c r="AD694" t="str">
        <f ca="1">IF(C694&lt;=CRONO.NivelExibicao,MAX($AD$15:OFFSET(AD694,-1,0))+IF($C694&lt;&gt;1,1,MAX(1,COUNTIF(QCI!$A$13:$A$24,OFFSET($E694,-1,0)))),"")</f>
        <v/>
      </c>
      <c r="AE694" s="7" t="str">
        <f ca="1">IF(AND($C694="S",ORÇAMENTO.CodBarra&lt;&gt;""),IF(ORÇAMENTO.Fonte="",ORÇAMENTO.CodBarra,CONCATENATE(ORÇAMENTO.Fonte," ",ORÇAMENTO.CodBarra)))</f>
        <v>SINAPI 104921</v>
      </c>
      <c r="AF694" s="13" t="str">
        <f ca="1">IF(ISERROR(INDIRECT(ORÇAMENTO.BancoRef)),"(abra o arquivo 'Referência "&amp;Excel_BuiltIn_Database&amp;".xlsm)",IF(OR($C694&lt;&gt;"S",ORÇAMENTO.CodBarra=""),"(Sem Código)",IF(ISERROR(MATCH($AE694,INDIRECT(ORÇAMENTO.BancoRef),0)),"(Código não identificado nas referências)",MATCH($AE694,INDIRECT(ORÇAMENTO.BancoRef),0))))</f>
        <v>(abra o arquivo 'Referência 06-2024.xlsm)</v>
      </c>
      <c r="AG694" s="498">
        <f ca="1">ROUND(IF(DESONERACAO="sim",REFERENCIA.Desonerado,REFERENCIA.NaoDesonerado),2)</f>
        <v>0</v>
      </c>
      <c r="AH694" s="499">
        <f t="shared" ca="1" si="150"/>
        <v>0.2432</v>
      </c>
      <c r="AJ694" s="501"/>
      <c r="AL694" s="527"/>
      <c r="AM694" s="381">
        <f t="shared" ca="1" si="164"/>
        <v>0</v>
      </c>
      <c r="AN694" s="566">
        <f t="shared" ca="1" si="151"/>
        <v>0</v>
      </c>
    </row>
    <row r="695" spans="1:40" x14ac:dyDescent="0.2">
      <c r="A695">
        <f t="shared" si="148"/>
        <v>2</v>
      </c>
      <c r="B695">
        <f t="shared" ca="1" si="153"/>
        <v>2</v>
      </c>
      <c r="C695">
        <f t="shared" ca="1" si="154"/>
        <v>2</v>
      </c>
      <c r="D695">
        <f t="shared" ca="1" si="155"/>
        <v>6</v>
      </c>
      <c r="E695">
        <f ca="1">IF($C695=1,OFFSET(E695,-1,0)+MAX(1,COUNTIF(QCI!$A$13:$A$24,OFFSET(ORÇAMENTO!E695,-1,0))),OFFSET(E695,-1,0))</f>
        <v>1</v>
      </c>
      <c r="F695">
        <f t="shared" ca="1" si="156"/>
        <v>75</v>
      </c>
      <c r="G695">
        <f t="shared" ca="1" si="157"/>
        <v>0</v>
      </c>
      <c r="H695">
        <f t="shared" ca="1" si="158"/>
        <v>0</v>
      </c>
      <c r="I695">
        <f t="shared" ca="1" si="159"/>
        <v>0</v>
      </c>
      <c r="J695">
        <f t="shared" ca="1" si="152"/>
        <v>32</v>
      </c>
      <c r="K695">
        <f ca="1">IF(OR($C695="S",$C695=0),0,MATCH(OFFSET($D695,0,$C695)+IF($C695&lt;&gt;1,1,COUNTIF(QCI!$A$13:$A$24,ORÇAMENTO!E695)),OFFSET($D695,1,$C695,ROW($C$727)-ROW($C695)),0))</f>
        <v>6</v>
      </c>
      <c r="L695" s="116" t="str">
        <f t="shared" ca="1" si="160"/>
        <v>F</v>
      </c>
      <c r="M695" s="117" t="s">
        <v>196</v>
      </c>
      <c r="N695" s="118" t="str">
        <f t="shared" ca="1" si="161"/>
        <v>Nível 2</v>
      </c>
      <c r="O695" s="119" t="str">
        <f t="shared" ca="1" si="162"/>
        <v>1.75.</v>
      </c>
      <c r="P695" s="120" t="s">
        <v>247</v>
      </c>
      <c r="Q695" s="121"/>
      <c r="R695" s="122" t="s">
        <v>1095</v>
      </c>
      <c r="S695" s="123" t="str">
        <f ca="1">REFERENCIA.Unidade</f>
        <v>-</v>
      </c>
      <c r="T695" s="124">
        <f ca="1">OFFSET(CÁLCULO!H$15,ROW($T695)-ROW(T$15),0)</f>
        <v>0</v>
      </c>
      <c r="U695" s="125">
        <f t="shared" ca="1" si="165"/>
        <v>0</v>
      </c>
      <c r="V695" s="126" t="s">
        <v>156</v>
      </c>
      <c r="W695" s="124">
        <f ca="1">IF($C695="S",ROUND(IF(TIPOORCAMENTO="Proposto",ORÇAMENTO.CustoUnitario*(1+$AH695),ORÇAMENTO.PrecoUnitarioLicitado),15-13*$AF$10),0)</f>
        <v>0</v>
      </c>
      <c r="X695" s="127">
        <f ca="1">IF($C695="S",IF(Import.TipoArredondamento&lt;&gt;"TransfereGOV",VTOTAL1,SUM(OFFSET(CÁLCULO!$AI$15,ROW($X695)-ROW($X$15),1):OFFSET(CÁLCULO!$BB$15,ROW($X695)-ROW($X$15),-1))),IF($C695=0,0,ROUND(SomaAgrup,15-13*$AF$11)))</f>
        <v>0</v>
      </c>
      <c r="Y695" s="128" t="s">
        <v>245</v>
      </c>
      <c r="Z695" t="str">
        <f t="shared" ca="1" si="163"/>
        <v/>
      </c>
      <c r="AA695" s="129">
        <f ca="1">IF($C695="S",IF($Z695="CP",$X695,IF($Z695="RA",(($X695)*QCI!$AA$3),0)),SomaAgrup)</f>
        <v>0</v>
      </c>
      <c r="AB695" s="130">
        <f t="shared" ca="1" si="149"/>
        <v>0</v>
      </c>
      <c r="AC695" s="131" t="str">
        <f ca="1">IF($N695="","",IF(ORÇAMENTO.Descricao="","DESCRIÇÃO",IF(AND($C695="S",ORÇAMENTO.Unidade=""),"UNIDADE",IF($X695&lt;0,"VALOR NEGATIVO",IF(OR(AND(TIPOORCAMENTO="Proposto",$AG695&lt;&gt;"",$AG695&gt;0,ORÇAMENTO.CustoUnitario&gt;$AG695),AND(TIPOORCAMENTO="LICITADO",ORÇAMENTO.PrecoUnitarioLicitado&gt;$AN695)),"ACIMA REF.","")))))</f>
        <v/>
      </c>
      <c r="AD695">
        <f ca="1">IF(C695&lt;=CRONO.NivelExibicao,MAX($AD$15:OFFSET(AD695,-1,0))+IF($C695&lt;&gt;1,1,MAX(1,COUNTIF(QCI!$A$13:$A$24,OFFSET($E695,-1,0)))),"")</f>
        <v>76</v>
      </c>
      <c r="AE695" s="7" t="b">
        <f ca="1">IF(AND($C695="S",ORÇAMENTO.CodBarra&lt;&gt;""),IF(ORÇAMENTO.Fonte="",ORÇAMENTO.CodBarra,CONCATENATE(ORÇAMENTO.Fonte," ",ORÇAMENTO.CodBarra)))</f>
        <v>0</v>
      </c>
      <c r="AF695" s="13" t="str">
        <f ca="1">IF(ISERROR(INDIRECT(ORÇAMENTO.BancoRef)),"(abra o arquivo 'Referência "&amp;Excel_BuiltIn_Database&amp;".xlsm)",IF(OR($C695&lt;&gt;"S",ORÇAMENTO.CodBarra=""),"(Sem Código)",IF(ISERROR(MATCH($AE695,INDIRECT(ORÇAMENTO.BancoRef),0)),"(Código não identificado nas referências)",MATCH($AE695,INDIRECT(ORÇAMENTO.BancoRef),0))))</f>
        <v>(abra o arquivo 'Referência 06-2024.xlsm)</v>
      </c>
      <c r="AG695" s="498">
        <f ca="1">ROUND(IF(DESONERACAO="sim",REFERENCIA.Desonerado,REFERENCIA.NaoDesonerado),2)</f>
        <v>0</v>
      </c>
      <c r="AH695" s="499">
        <f t="shared" ca="1" si="150"/>
        <v>0.2432</v>
      </c>
      <c r="AJ695" s="501"/>
      <c r="AL695" s="527"/>
      <c r="AM695" s="381">
        <f t="shared" ca="1" si="164"/>
        <v>0</v>
      </c>
      <c r="AN695" s="566">
        <f t="shared" ca="1" si="151"/>
        <v>0</v>
      </c>
    </row>
    <row r="696" spans="1:40" ht="51" x14ac:dyDescent="0.2">
      <c r="A696" t="str">
        <f t="shared" si="148"/>
        <v>S</v>
      </c>
      <c r="B696">
        <f t="shared" ca="1" si="153"/>
        <v>2</v>
      </c>
      <c r="C696" t="str">
        <f t="shared" ca="1" si="154"/>
        <v>S</v>
      </c>
      <c r="D696">
        <f t="shared" ca="1" si="155"/>
        <v>0</v>
      </c>
      <c r="E696">
        <f ca="1">IF($C696=1,OFFSET(E696,-1,0)+MAX(1,COUNTIF(QCI!$A$13:$A$24,OFFSET(ORÇAMENTO!E696,-1,0))),OFFSET(E696,-1,0))</f>
        <v>1</v>
      </c>
      <c r="F696">
        <f t="shared" ca="1" si="156"/>
        <v>75</v>
      </c>
      <c r="G696">
        <f t="shared" ca="1" si="157"/>
        <v>0</v>
      </c>
      <c r="H696">
        <f t="shared" ca="1" si="158"/>
        <v>0</v>
      </c>
      <c r="I696">
        <f t="shared" ca="1" si="159"/>
        <v>0</v>
      </c>
      <c r="J696">
        <f t="shared" ca="1" si="152"/>
        <v>0</v>
      </c>
      <c r="K696">
        <f ca="1">IF(OR($C696="S",$C696=0),0,MATCH(OFFSET($D696,0,$C696)+IF($C696&lt;&gt;1,1,COUNTIF(QCI!$A$13:$A$24,ORÇAMENTO!E696)),OFFSET($D696,1,$C696,ROW($C$727)-ROW($C696)),0))</f>
        <v>0</v>
      </c>
      <c r="L696" s="116" t="str">
        <f t="shared" ca="1" si="160"/>
        <v/>
      </c>
      <c r="M696" s="117" t="s">
        <v>199</v>
      </c>
      <c r="N696" s="118" t="str">
        <f t="shared" ca="1" si="161"/>
        <v>Serviço</v>
      </c>
      <c r="O696" s="119" t="str">
        <f t="shared" ca="1" si="162"/>
        <v>-</v>
      </c>
      <c r="P696" s="120" t="s">
        <v>247</v>
      </c>
      <c r="Q696" s="121" t="s">
        <v>488</v>
      </c>
      <c r="R696" s="122" t="str">
        <f ca="1">IF($C696="S",REFERENCIA.Descricao,"(digite a descrição aqui)")</f>
        <v>(abra o arquivo 'Referência 06-2024.xlsm)</v>
      </c>
      <c r="S696" s="123" t="str">
        <f ca="1">REFERENCIA.Unidade</f>
        <v>-</v>
      </c>
      <c r="T696" s="124">
        <f ca="1">OFFSET(CÁLCULO!H$15,ROW($T696)-ROW(T$15),0)</f>
        <v>104.48</v>
      </c>
      <c r="U696" s="125">
        <f t="shared" ca="1" si="165"/>
        <v>0</v>
      </c>
      <c r="V696" s="126" t="s">
        <v>156</v>
      </c>
      <c r="W696" s="124">
        <f ca="1">IF($C696="S",ROUND(IF(TIPOORCAMENTO="Proposto",ORÇAMENTO.CustoUnitario*(1+$AH696),ORÇAMENTO.PrecoUnitarioLicitado),15-13*$AF$10),0)</f>
        <v>0</v>
      </c>
      <c r="X696" s="127">
        <f ca="1">IF($C696="S",IF(Import.TipoArredondamento&lt;&gt;"TransfereGOV",VTOTAL1,SUM(OFFSET(CÁLCULO!$AI$15,ROW($X696)-ROW($X$15),1):OFFSET(CÁLCULO!$BB$15,ROW($X696)-ROW($X$15),-1))),IF($C696=0,0,ROUND(SomaAgrup,15-13*$AF$11)))</f>
        <v>0</v>
      </c>
      <c r="Y696" s="128" t="s">
        <v>245</v>
      </c>
      <c r="Z696" t="str">
        <f t="shared" ca="1" si="163"/>
        <v/>
      </c>
      <c r="AA696" s="129">
        <f ca="1">IF($C696="S",IF($Z696="CP",$X696,IF($Z696="RA",(($X696)*QCI!$AA$3),0)),SomaAgrup)</f>
        <v>0</v>
      </c>
      <c r="AB696" s="130">
        <f t="shared" ca="1" si="149"/>
        <v>0</v>
      </c>
      <c r="AC696" s="131" t="str">
        <f ca="1">IF($N696="","",IF(ORÇAMENTO.Descricao="","DESCRIÇÃO",IF(AND($C696="S",ORÇAMENTO.Unidade=""),"UNIDADE",IF($X696&lt;0,"VALOR NEGATIVO",IF(OR(AND(TIPOORCAMENTO="Proposto",$AG696&lt;&gt;"",$AG696&gt;0,ORÇAMENTO.CustoUnitario&gt;$AG696),AND(TIPOORCAMENTO="LICITADO",ORÇAMENTO.PrecoUnitarioLicitado&gt;$AN696)),"ACIMA REF.","")))))</f>
        <v/>
      </c>
      <c r="AD696" t="str">
        <f ca="1">IF(C696&lt;=CRONO.NivelExibicao,MAX($AD$15:OFFSET(AD696,-1,0))+IF($C696&lt;&gt;1,1,MAX(1,COUNTIF(QCI!$A$13:$A$24,OFFSET($E696,-1,0)))),"")</f>
        <v/>
      </c>
      <c r="AE696" s="7" t="str">
        <f ca="1">IF(AND($C696="S",ORÇAMENTO.CodBarra&lt;&gt;""),IF(ORÇAMENTO.Fonte="",ORÇAMENTO.CodBarra,CONCATENATE(ORÇAMENTO.Fonte," ",ORÇAMENTO.CodBarra)))</f>
        <v>SINAPI 92443</v>
      </c>
      <c r="AF696" s="13" t="str">
        <f ca="1">IF(ISERROR(INDIRECT(ORÇAMENTO.BancoRef)),"(abra o arquivo 'Referência "&amp;Excel_BuiltIn_Database&amp;".xlsm)",IF(OR($C696&lt;&gt;"S",ORÇAMENTO.CodBarra=""),"(Sem Código)",IF(ISERROR(MATCH($AE696,INDIRECT(ORÇAMENTO.BancoRef),0)),"(Código não identificado nas referências)",MATCH($AE696,INDIRECT(ORÇAMENTO.BancoRef),0))))</f>
        <v>(abra o arquivo 'Referência 06-2024.xlsm)</v>
      </c>
      <c r="AG696" s="498">
        <f ca="1">ROUND(IF(DESONERACAO="sim",REFERENCIA.Desonerado,REFERENCIA.NaoDesonerado),2)</f>
        <v>0</v>
      </c>
      <c r="AH696" s="499">
        <f t="shared" ca="1" si="150"/>
        <v>0.2432</v>
      </c>
      <c r="AJ696" s="501"/>
      <c r="AL696" s="527"/>
      <c r="AM696" s="381">
        <f t="shared" ca="1" si="164"/>
        <v>0</v>
      </c>
      <c r="AN696" s="566">
        <f t="shared" ca="1" si="151"/>
        <v>0</v>
      </c>
    </row>
    <row r="697" spans="1:40" ht="38.25" x14ac:dyDescent="0.2">
      <c r="A697" t="str">
        <f t="shared" si="148"/>
        <v>S</v>
      </c>
      <c r="B697">
        <f t="shared" ca="1" si="153"/>
        <v>2</v>
      </c>
      <c r="C697" t="str">
        <f t="shared" ca="1" si="154"/>
        <v>S</v>
      </c>
      <c r="D697">
        <f t="shared" ca="1" si="155"/>
        <v>0</v>
      </c>
      <c r="E697">
        <f ca="1">IF($C697=1,OFFSET(E697,-1,0)+MAX(1,COUNTIF(QCI!$A$13:$A$24,OFFSET(ORÇAMENTO!E697,-1,0))),OFFSET(E697,-1,0))</f>
        <v>1</v>
      </c>
      <c r="F697">
        <f t="shared" ca="1" si="156"/>
        <v>75</v>
      </c>
      <c r="G697">
        <f t="shared" ca="1" si="157"/>
        <v>0</v>
      </c>
      <c r="H697">
        <f t="shared" ca="1" si="158"/>
        <v>0</v>
      </c>
      <c r="I697">
        <f t="shared" ca="1" si="159"/>
        <v>0</v>
      </c>
      <c r="J697">
        <f t="shared" ca="1" si="152"/>
        <v>0</v>
      </c>
      <c r="K697">
        <f ca="1">IF(OR($C697="S",$C697=0),0,MATCH(OFFSET($D697,0,$C697)+IF($C697&lt;&gt;1,1,COUNTIF(QCI!$A$13:$A$24,ORÇAMENTO!E697)),OFFSET($D697,1,$C697,ROW($C$727)-ROW($C697)),0))</f>
        <v>0</v>
      </c>
      <c r="L697" s="116" t="str">
        <f t="shared" ca="1" si="160"/>
        <v/>
      </c>
      <c r="M697" s="117" t="s">
        <v>199</v>
      </c>
      <c r="N697" s="118" t="str">
        <f t="shared" ca="1" si="161"/>
        <v>Serviço</v>
      </c>
      <c r="O697" s="119" t="str">
        <f t="shared" ca="1" si="162"/>
        <v>-</v>
      </c>
      <c r="P697" s="120" t="s">
        <v>247</v>
      </c>
      <c r="Q697" s="121" t="s">
        <v>489</v>
      </c>
      <c r="R697" s="122" t="str">
        <f ca="1">IF($C697="S",REFERENCIA.Descricao,"(digite a descrição aqui)")</f>
        <v>(abra o arquivo 'Referência 06-2024.xlsm)</v>
      </c>
      <c r="S697" s="123" t="str">
        <f ca="1">REFERENCIA.Unidade</f>
        <v>-</v>
      </c>
      <c r="T697" s="124">
        <f ca="1">OFFSET(CÁLCULO!H$15,ROW($T697)-ROW(T$15),0)</f>
        <v>294.01</v>
      </c>
      <c r="U697" s="125">
        <f t="shared" ca="1" si="165"/>
        <v>0</v>
      </c>
      <c r="V697" s="126" t="s">
        <v>156</v>
      </c>
      <c r="W697" s="124">
        <f ca="1">IF($C697="S",ROUND(IF(TIPOORCAMENTO="Proposto",ORÇAMENTO.CustoUnitario*(1+$AH697),ORÇAMENTO.PrecoUnitarioLicitado),15-13*$AF$10),0)</f>
        <v>0</v>
      </c>
      <c r="X697" s="127">
        <f ca="1">IF($C697="S",IF(Import.TipoArredondamento&lt;&gt;"TransfereGOV",VTOTAL1,SUM(OFFSET(CÁLCULO!$AI$15,ROW($X697)-ROW($X$15),1):OFFSET(CÁLCULO!$BB$15,ROW($X697)-ROW($X$15),-1))),IF($C697=0,0,ROUND(SomaAgrup,15-13*$AF$11)))</f>
        <v>0</v>
      </c>
      <c r="Y697" s="128" t="s">
        <v>245</v>
      </c>
      <c r="Z697" t="str">
        <f t="shared" ca="1" si="163"/>
        <v/>
      </c>
      <c r="AA697" s="129">
        <f ca="1">IF($C697="S",IF($Z697="CP",$X697,IF($Z697="RA",(($X697)*QCI!$AA$3),0)),SomaAgrup)</f>
        <v>0</v>
      </c>
      <c r="AB697" s="130">
        <f t="shared" ca="1" si="149"/>
        <v>0</v>
      </c>
      <c r="AC697" s="131" t="str">
        <f ca="1">IF($N697="","",IF(ORÇAMENTO.Descricao="","DESCRIÇÃO",IF(AND($C697="S",ORÇAMENTO.Unidade=""),"UNIDADE",IF($X697&lt;0,"VALOR NEGATIVO",IF(OR(AND(TIPOORCAMENTO="Proposto",$AG697&lt;&gt;"",$AG697&gt;0,ORÇAMENTO.CustoUnitario&gt;$AG697),AND(TIPOORCAMENTO="LICITADO",ORÇAMENTO.PrecoUnitarioLicitado&gt;$AN697)),"ACIMA REF.","")))))</f>
        <v/>
      </c>
      <c r="AD697" t="str">
        <f ca="1">IF(C697&lt;=CRONO.NivelExibicao,MAX($AD$15:OFFSET(AD697,-1,0))+IF($C697&lt;&gt;1,1,MAX(1,COUNTIF(QCI!$A$13:$A$24,OFFSET($E697,-1,0)))),"")</f>
        <v/>
      </c>
      <c r="AE697" s="7" t="str">
        <f ca="1">IF(AND($C697="S",ORÇAMENTO.CodBarra&lt;&gt;""),IF(ORÇAMENTO.Fonte="",ORÇAMENTO.CodBarra,CONCATENATE(ORÇAMENTO.Fonte," ",ORÇAMENTO.CodBarra)))</f>
        <v>SINAPI 92762</v>
      </c>
      <c r="AF697" s="13" t="str">
        <f ca="1">IF(ISERROR(INDIRECT(ORÇAMENTO.BancoRef)),"(abra o arquivo 'Referência "&amp;Excel_BuiltIn_Database&amp;".xlsm)",IF(OR($C697&lt;&gt;"S",ORÇAMENTO.CodBarra=""),"(Sem Código)",IF(ISERROR(MATCH($AE697,INDIRECT(ORÇAMENTO.BancoRef),0)),"(Código não identificado nas referências)",MATCH($AE697,INDIRECT(ORÇAMENTO.BancoRef),0))))</f>
        <v>(abra o arquivo 'Referência 06-2024.xlsm)</v>
      </c>
      <c r="AG697" s="498">
        <f ca="1">ROUND(IF(DESONERACAO="sim",REFERENCIA.Desonerado,REFERENCIA.NaoDesonerado),2)</f>
        <v>0</v>
      </c>
      <c r="AH697" s="499">
        <f t="shared" ca="1" si="150"/>
        <v>0.2432</v>
      </c>
      <c r="AJ697" s="501"/>
      <c r="AL697" s="527"/>
      <c r="AM697" s="381">
        <f t="shared" ca="1" si="164"/>
        <v>0</v>
      </c>
      <c r="AN697" s="566">
        <f t="shared" ca="1" si="151"/>
        <v>0</v>
      </c>
    </row>
    <row r="698" spans="1:40" ht="38.25" x14ac:dyDescent="0.2">
      <c r="A698" t="str">
        <f t="shared" si="148"/>
        <v>S</v>
      </c>
      <c r="B698">
        <f t="shared" ca="1" si="153"/>
        <v>2</v>
      </c>
      <c r="C698" t="str">
        <f t="shared" ca="1" si="154"/>
        <v>S</v>
      </c>
      <c r="D698">
        <f t="shared" ca="1" si="155"/>
        <v>0</v>
      </c>
      <c r="E698">
        <f ca="1">IF($C698=1,OFFSET(E698,-1,0)+MAX(1,COUNTIF(QCI!$A$13:$A$24,OFFSET(ORÇAMENTO!E698,-1,0))),OFFSET(E698,-1,0))</f>
        <v>1</v>
      </c>
      <c r="F698">
        <f t="shared" ca="1" si="156"/>
        <v>75</v>
      </c>
      <c r="G698">
        <f t="shared" ca="1" si="157"/>
        <v>0</v>
      </c>
      <c r="H698">
        <f t="shared" ca="1" si="158"/>
        <v>0</v>
      </c>
      <c r="I698">
        <f t="shared" ca="1" si="159"/>
        <v>0</v>
      </c>
      <c r="J698">
        <f t="shared" ca="1" si="152"/>
        <v>0</v>
      </c>
      <c r="K698">
        <f ca="1">IF(OR($C698="S",$C698=0),0,MATCH(OFFSET($D698,0,$C698)+IF($C698&lt;&gt;1,1,COUNTIF(QCI!$A$13:$A$24,ORÇAMENTO!E698)),OFFSET($D698,1,$C698,ROW($C$727)-ROW($C698)),0))</f>
        <v>0</v>
      </c>
      <c r="L698" s="116" t="str">
        <f t="shared" ca="1" si="160"/>
        <v/>
      </c>
      <c r="M698" s="117" t="s">
        <v>199</v>
      </c>
      <c r="N698" s="118" t="str">
        <f t="shared" ca="1" si="161"/>
        <v>Serviço</v>
      </c>
      <c r="O698" s="119" t="str">
        <f t="shared" ca="1" si="162"/>
        <v>-</v>
      </c>
      <c r="P698" s="120" t="s">
        <v>247</v>
      </c>
      <c r="Q698" s="121" t="s">
        <v>491</v>
      </c>
      <c r="R698" s="122" t="str">
        <f ca="1">IF($C698="S",REFERENCIA.Descricao,"(digite a descrição aqui)")</f>
        <v>(abra o arquivo 'Referência 06-2024.xlsm)</v>
      </c>
      <c r="S698" s="123" t="str">
        <f ca="1">REFERENCIA.Unidade</f>
        <v>-</v>
      </c>
      <c r="T698" s="124">
        <f ca="1">OFFSET(CÁLCULO!H$15,ROW($T698)-ROW(T$15),0)</f>
        <v>173.04</v>
      </c>
      <c r="U698" s="125">
        <f t="shared" ca="1" si="165"/>
        <v>0</v>
      </c>
      <c r="V698" s="126" t="s">
        <v>156</v>
      </c>
      <c r="W698" s="124">
        <f ca="1">IF($C698="S",ROUND(IF(TIPOORCAMENTO="Proposto",ORÇAMENTO.CustoUnitario*(1+$AH698),ORÇAMENTO.PrecoUnitarioLicitado),15-13*$AF$10),0)</f>
        <v>0</v>
      </c>
      <c r="X698" s="127">
        <f ca="1">IF($C698="S",IF(Import.TipoArredondamento&lt;&gt;"TransfereGOV",VTOTAL1,SUM(OFFSET(CÁLCULO!$AI$15,ROW($X698)-ROW($X$15),1):OFFSET(CÁLCULO!$BB$15,ROW($X698)-ROW($X$15),-1))),IF($C698=0,0,ROUND(SomaAgrup,15-13*$AF$11)))</f>
        <v>0</v>
      </c>
      <c r="Y698" s="128" t="s">
        <v>245</v>
      </c>
      <c r="Z698" t="str">
        <f t="shared" ca="1" si="163"/>
        <v/>
      </c>
      <c r="AA698" s="129">
        <f ca="1">IF($C698="S",IF($Z698="CP",$X698,IF($Z698="RA",(($X698)*QCI!$AA$3),0)),SomaAgrup)</f>
        <v>0</v>
      </c>
      <c r="AB698" s="130">
        <f t="shared" ca="1" si="149"/>
        <v>0</v>
      </c>
      <c r="AC698" s="131" t="str">
        <f ca="1">IF($N698="","",IF(ORÇAMENTO.Descricao="","DESCRIÇÃO",IF(AND($C698="S",ORÇAMENTO.Unidade=""),"UNIDADE",IF($X698&lt;0,"VALOR NEGATIVO",IF(OR(AND(TIPOORCAMENTO="Proposto",$AG698&lt;&gt;"",$AG698&gt;0,ORÇAMENTO.CustoUnitario&gt;$AG698),AND(TIPOORCAMENTO="LICITADO",ORÇAMENTO.PrecoUnitarioLicitado&gt;$AN698)),"ACIMA REF.","")))))</f>
        <v/>
      </c>
      <c r="AD698" t="str">
        <f ca="1">IF(C698&lt;=CRONO.NivelExibicao,MAX($AD$15:OFFSET(AD698,-1,0))+IF($C698&lt;&gt;1,1,MAX(1,COUNTIF(QCI!$A$13:$A$24,OFFSET($E698,-1,0)))),"")</f>
        <v/>
      </c>
      <c r="AE698" s="7" t="str">
        <f ca="1">IF(AND($C698="S",ORÇAMENTO.CodBarra&lt;&gt;""),IF(ORÇAMENTO.Fonte="",ORÇAMENTO.CodBarra,CONCATENATE(ORÇAMENTO.Fonte," ",ORÇAMENTO.CodBarra)))</f>
        <v>SINAPI 92759</v>
      </c>
      <c r="AF698" s="13" t="str">
        <f ca="1">IF(ISERROR(INDIRECT(ORÇAMENTO.BancoRef)),"(abra o arquivo 'Referência "&amp;Excel_BuiltIn_Database&amp;".xlsm)",IF(OR($C698&lt;&gt;"S",ORÇAMENTO.CodBarra=""),"(Sem Código)",IF(ISERROR(MATCH($AE698,INDIRECT(ORÇAMENTO.BancoRef),0)),"(Código não identificado nas referências)",MATCH($AE698,INDIRECT(ORÇAMENTO.BancoRef),0))))</f>
        <v>(abra o arquivo 'Referência 06-2024.xlsm)</v>
      </c>
      <c r="AG698" s="498">
        <f ca="1">ROUND(IF(DESONERACAO="sim",REFERENCIA.Desonerado,REFERENCIA.NaoDesonerado),2)</f>
        <v>0</v>
      </c>
      <c r="AH698" s="499">
        <f t="shared" ca="1" si="150"/>
        <v>0.2432</v>
      </c>
      <c r="AJ698" s="501"/>
      <c r="AL698" s="527"/>
      <c r="AM698" s="381">
        <f t="shared" ca="1" si="164"/>
        <v>0</v>
      </c>
      <c r="AN698" s="566">
        <f t="shared" ca="1" si="151"/>
        <v>0</v>
      </c>
    </row>
    <row r="699" spans="1:40" ht="25.5" x14ac:dyDescent="0.2">
      <c r="A699" t="str">
        <f t="shared" si="148"/>
        <v>S</v>
      </c>
      <c r="B699">
        <f t="shared" ca="1" si="153"/>
        <v>2</v>
      </c>
      <c r="C699" t="str">
        <f t="shared" ca="1" si="154"/>
        <v>S</v>
      </c>
      <c r="D699">
        <f t="shared" ca="1" si="155"/>
        <v>0</v>
      </c>
      <c r="E699">
        <f ca="1">IF($C699=1,OFFSET(E699,-1,0)+MAX(1,COUNTIF(QCI!$A$13:$A$24,OFFSET(ORÇAMENTO!E699,-1,0))),OFFSET(E699,-1,0))</f>
        <v>1</v>
      </c>
      <c r="F699">
        <f t="shared" ca="1" si="156"/>
        <v>75</v>
      </c>
      <c r="G699">
        <f t="shared" ca="1" si="157"/>
        <v>0</v>
      </c>
      <c r="H699">
        <f t="shared" ca="1" si="158"/>
        <v>0</v>
      </c>
      <c r="I699">
        <f t="shared" ca="1" si="159"/>
        <v>0</v>
      </c>
      <c r="J699">
        <f t="shared" ca="1" si="152"/>
        <v>0</v>
      </c>
      <c r="K699">
        <f ca="1">IF(OR($C699="S",$C699=0),0,MATCH(OFFSET($D699,0,$C699)+IF($C699&lt;&gt;1,1,COUNTIF(QCI!$A$13:$A$24,ORÇAMENTO!E699)),OFFSET($D699,1,$C699,ROW($C$727)-ROW($C699)),0))</f>
        <v>0</v>
      </c>
      <c r="L699" s="116" t="str">
        <f t="shared" ca="1" si="160"/>
        <v/>
      </c>
      <c r="M699" s="117" t="s">
        <v>199</v>
      </c>
      <c r="N699" s="118" t="str">
        <f t="shared" ca="1" si="161"/>
        <v>Serviço</v>
      </c>
      <c r="O699" s="119" t="str">
        <f t="shared" ca="1" si="162"/>
        <v>-</v>
      </c>
      <c r="P699" s="120" t="s">
        <v>247</v>
      </c>
      <c r="Q699" s="121" t="s">
        <v>492</v>
      </c>
      <c r="R699" s="122" t="str">
        <f ca="1">IF($C699="S",REFERENCIA.Descricao,"(digite a descrição aqui)")</f>
        <v>(abra o arquivo 'Referência 06-2024.xlsm)</v>
      </c>
      <c r="S699" s="123" t="str">
        <f ca="1">REFERENCIA.Unidade</f>
        <v>-</v>
      </c>
      <c r="T699" s="124">
        <f ca="1">OFFSET(CÁLCULO!H$15,ROW($T699)-ROW(T$15),0)</f>
        <v>4.9800000000000004</v>
      </c>
      <c r="U699" s="125">
        <f t="shared" ca="1" si="165"/>
        <v>0</v>
      </c>
      <c r="V699" s="126" t="s">
        <v>156</v>
      </c>
      <c r="W699" s="124">
        <f ca="1">IF($C699="S",ROUND(IF(TIPOORCAMENTO="Proposto",ORÇAMENTO.CustoUnitario*(1+$AH699),ORÇAMENTO.PrecoUnitarioLicitado),15-13*$AF$10),0)</f>
        <v>0</v>
      </c>
      <c r="X699" s="127">
        <f ca="1">IF($C699="S",IF(Import.TipoArredondamento&lt;&gt;"TransfereGOV",VTOTAL1,SUM(OFFSET(CÁLCULO!$AI$15,ROW($X699)-ROW($X$15),1):OFFSET(CÁLCULO!$BB$15,ROW($X699)-ROW($X$15),-1))),IF($C699=0,0,ROUND(SomaAgrup,15-13*$AF$11)))</f>
        <v>0</v>
      </c>
      <c r="Y699" s="128" t="s">
        <v>245</v>
      </c>
      <c r="Z699" t="str">
        <f t="shared" ca="1" si="163"/>
        <v/>
      </c>
      <c r="AA699" s="129">
        <f ca="1">IF($C699="S",IF($Z699="CP",$X699,IF($Z699="RA",(($X699)*QCI!$AA$3),0)),SomaAgrup)</f>
        <v>0</v>
      </c>
      <c r="AB699" s="130">
        <f t="shared" ca="1" si="149"/>
        <v>0</v>
      </c>
      <c r="AC699" s="131" t="str">
        <f ca="1">IF($N699="","",IF(ORÇAMENTO.Descricao="","DESCRIÇÃO",IF(AND($C699="S",ORÇAMENTO.Unidade=""),"UNIDADE",IF($X699&lt;0,"VALOR NEGATIVO",IF(OR(AND(TIPOORCAMENTO="Proposto",$AG699&lt;&gt;"",$AG699&gt;0,ORÇAMENTO.CustoUnitario&gt;$AG699),AND(TIPOORCAMENTO="LICITADO",ORÇAMENTO.PrecoUnitarioLicitado&gt;$AN699)),"ACIMA REF.","")))))</f>
        <v/>
      </c>
      <c r="AD699" t="str">
        <f ca="1">IF(C699&lt;=CRONO.NivelExibicao,MAX($AD$15:OFFSET(AD699,-1,0))+IF($C699&lt;&gt;1,1,MAX(1,COUNTIF(QCI!$A$13:$A$24,OFFSET($E699,-1,0)))),"")</f>
        <v/>
      </c>
      <c r="AE699" s="7" t="str">
        <f ca="1">IF(AND($C699="S",ORÇAMENTO.CodBarra&lt;&gt;""),IF(ORÇAMENTO.Fonte="",ORÇAMENTO.CodBarra,CONCATENATE(ORÇAMENTO.Fonte," ",ORÇAMENTO.CodBarra)))</f>
        <v>SINAPI 103672</v>
      </c>
      <c r="AF699" s="13" t="str">
        <f ca="1">IF(ISERROR(INDIRECT(ORÇAMENTO.BancoRef)),"(abra o arquivo 'Referência "&amp;Excel_BuiltIn_Database&amp;".xlsm)",IF(OR($C699&lt;&gt;"S",ORÇAMENTO.CodBarra=""),"(Sem Código)",IF(ISERROR(MATCH($AE699,INDIRECT(ORÇAMENTO.BancoRef),0)),"(Código não identificado nas referências)",MATCH($AE699,INDIRECT(ORÇAMENTO.BancoRef),0))))</f>
        <v>(abra o arquivo 'Referência 06-2024.xlsm)</v>
      </c>
      <c r="AG699" s="498">
        <f ca="1">ROUND(IF(DESONERACAO="sim",REFERENCIA.Desonerado,REFERENCIA.NaoDesonerado),2)</f>
        <v>0</v>
      </c>
      <c r="AH699" s="499">
        <f t="shared" ca="1" si="150"/>
        <v>0.2432</v>
      </c>
      <c r="AJ699" s="501"/>
      <c r="AL699" s="527"/>
      <c r="AM699" s="381">
        <f t="shared" ca="1" si="164"/>
        <v>0</v>
      </c>
      <c r="AN699" s="566">
        <f t="shared" ca="1" si="151"/>
        <v>0</v>
      </c>
    </row>
    <row r="700" spans="1:40" ht="38.25" x14ac:dyDescent="0.2">
      <c r="A700" t="str">
        <f t="shared" si="148"/>
        <v>S</v>
      </c>
      <c r="B700">
        <f t="shared" ca="1" si="153"/>
        <v>2</v>
      </c>
      <c r="C700" t="str">
        <f t="shared" ca="1" si="154"/>
        <v>S</v>
      </c>
      <c r="D700">
        <f t="shared" ca="1" si="155"/>
        <v>0</v>
      </c>
      <c r="E700">
        <f ca="1">IF($C700=1,OFFSET(E700,-1,0)+MAX(1,COUNTIF(QCI!$A$13:$A$24,OFFSET(ORÇAMENTO!E700,-1,0))),OFFSET(E700,-1,0))</f>
        <v>1</v>
      </c>
      <c r="F700">
        <f t="shared" ca="1" si="156"/>
        <v>75</v>
      </c>
      <c r="G700">
        <f t="shared" ca="1" si="157"/>
        <v>0</v>
      </c>
      <c r="H700">
        <f t="shared" ca="1" si="158"/>
        <v>0</v>
      </c>
      <c r="I700">
        <f t="shared" ca="1" si="159"/>
        <v>0</v>
      </c>
      <c r="J700">
        <f t="shared" ca="1" si="152"/>
        <v>0</v>
      </c>
      <c r="K700">
        <f ca="1">IF(OR($C700="S",$C700=0),0,MATCH(OFFSET($D700,0,$C700)+IF($C700&lt;&gt;1,1,COUNTIF(QCI!$A$13:$A$24,ORÇAMENTO!E700)),OFFSET($D700,1,$C700,ROW($C$727)-ROW($C700)),0))</f>
        <v>0</v>
      </c>
      <c r="L700" s="116" t="str">
        <f t="shared" ca="1" si="160"/>
        <v/>
      </c>
      <c r="M700" s="117" t="s">
        <v>199</v>
      </c>
      <c r="N700" s="118" t="str">
        <f t="shared" ca="1" si="161"/>
        <v>Serviço</v>
      </c>
      <c r="O700" s="119" t="str">
        <f t="shared" ca="1" si="162"/>
        <v>-</v>
      </c>
      <c r="P700" s="120" t="s">
        <v>247</v>
      </c>
      <c r="Q700" s="121" t="s">
        <v>491</v>
      </c>
      <c r="R700" s="122" t="str">
        <f ca="1">IF($C700="S",REFERENCIA.Descricao,"(digite a descrição aqui)")</f>
        <v>(abra o arquivo 'Referência 06-2024.xlsm)</v>
      </c>
      <c r="S700" s="123" t="str">
        <f ca="1">REFERENCIA.Unidade</f>
        <v>-</v>
      </c>
      <c r="T700" s="124">
        <f ca="1">OFFSET(CÁLCULO!H$15,ROW($T700)-ROW(T$15),0)</f>
        <v>1</v>
      </c>
      <c r="U700" s="125">
        <f t="shared" ca="1" si="165"/>
        <v>0</v>
      </c>
      <c r="V700" s="126" t="s">
        <v>156</v>
      </c>
      <c r="W700" s="124">
        <f ca="1">IF($C700="S",ROUND(IF(TIPOORCAMENTO="Proposto",ORÇAMENTO.CustoUnitario*(1+$AH700),ORÇAMENTO.PrecoUnitarioLicitado),15-13*$AF$10),0)</f>
        <v>0</v>
      </c>
      <c r="X700" s="127">
        <f ca="1">IF($C700="S",IF(Import.TipoArredondamento&lt;&gt;"TransfereGOV",VTOTAL1,SUM(OFFSET(CÁLCULO!$AI$15,ROW($X700)-ROW($X$15),1):OFFSET(CÁLCULO!$BB$15,ROW($X700)-ROW($X$15),-1))),IF($C700=0,0,ROUND(SomaAgrup,15-13*$AF$11)))</f>
        <v>0</v>
      </c>
      <c r="Y700" s="128" t="s">
        <v>245</v>
      </c>
      <c r="Z700" t="str">
        <f t="shared" ca="1" si="163"/>
        <v/>
      </c>
      <c r="AA700" s="129">
        <f ca="1">IF($C700="S",IF($Z700="CP",$X700,IF($Z700="RA",(($X700)*QCI!$AA$3),0)),SomaAgrup)</f>
        <v>0</v>
      </c>
      <c r="AB700" s="130">
        <f t="shared" ca="1" si="149"/>
        <v>0</v>
      </c>
      <c r="AC700" s="131" t="str">
        <f ca="1">IF($N700="","",IF(ORÇAMENTO.Descricao="","DESCRIÇÃO",IF(AND($C700="S",ORÇAMENTO.Unidade=""),"UNIDADE",IF($X700&lt;0,"VALOR NEGATIVO",IF(OR(AND(TIPOORCAMENTO="Proposto",$AG700&lt;&gt;"",$AG700&gt;0,ORÇAMENTO.CustoUnitario&gt;$AG700),AND(TIPOORCAMENTO="LICITADO",ORÇAMENTO.PrecoUnitarioLicitado&gt;$AN700)),"ACIMA REF.","")))))</f>
        <v/>
      </c>
      <c r="AD700" t="str">
        <f ca="1">IF(C700&lt;=CRONO.NivelExibicao,MAX($AD$15:OFFSET(AD700,-1,0))+IF($C700&lt;&gt;1,1,MAX(1,COUNTIF(QCI!$A$13:$A$24,OFFSET($E700,-1,0)))),"")</f>
        <v/>
      </c>
      <c r="AE700" s="7" t="str">
        <f ca="1">IF(AND($C700="S",ORÇAMENTO.CodBarra&lt;&gt;""),IF(ORÇAMENTO.Fonte="",ORÇAMENTO.CodBarra,CONCATENATE(ORÇAMENTO.Fonte," ",ORÇAMENTO.CodBarra)))</f>
        <v>SINAPI 92759</v>
      </c>
      <c r="AF700" s="13" t="str">
        <f ca="1">IF(ISERROR(INDIRECT(ORÇAMENTO.BancoRef)),"(abra o arquivo 'Referência "&amp;Excel_BuiltIn_Database&amp;".xlsm)",IF(OR($C700&lt;&gt;"S",ORÇAMENTO.CodBarra=""),"(Sem Código)",IF(ISERROR(MATCH($AE700,INDIRECT(ORÇAMENTO.BancoRef),0)),"(Código não identificado nas referências)",MATCH($AE700,INDIRECT(ORÇAMENTO.BancoRef),0))))</f>
        <v>(abra o arquivo 'Referência 06-2024.xlsm)</v>
      </c>
      <c r="AG700" s="498">
        <f ca="1">ROUND(IF(DESONERACAO="sim",REFERENCIA.Desonerado,REFERENCIA.NaoDesonerado),2)</f>
        <v>0</v>
      </c>
      <c r="AH700" s="499">
        <f t="shared" ca="1" si="150"/>
        <v>0.2432</v>
      </c>
      <c r="AJ700" s="501"/>
      <c r="AL700" s="527"/>
      <c r="AM700" s="381">
        <f t="shared" ca="1" si="164"/>
        <v>0</v>
      </c>
      <c r="AN700" s="566">
        <f t="shared" ca="1" si="151"/>
        <v>0</v>
      </c>
    </row>
    <row r="701" spans="1:40" ht="25.5" x14ac:dyDescent="0.2">
      <c r="A701">
        <f t="shared" ref="A701:A726" si="166">CHOOSE(1+LOG(1+2*(ORÇAMENTO.Nivel="Meta")+4*(ORÇAMENTO.Nivel="Nível 2")+8*(ORÇAMENTO.Nivel="Nível 3")+16*(ORÇAMENTO.Nivel="Nível 4")+32*(ORÇAMENTO.Nivel="Serviço"),2),0,1,2,3,4,"S")</f>
        <v>2</v>
      </c>
      <c r="B701">
        <f t="shared" ca="1" si="153"/>
        <v>2</v>
      </c>
      <c r="C701">
        <f t="shared" ca="1" si="154"/>
        <v>2</v>
      </c>
      <c r="D701">
        <f t="shared" ca="1" si="155"/>
        <v>9</v>
      </c>
      <c r="E701">
        <f ca="1">IF($C701=1,OFFSET(E701,-1,0)+MAX(1,COUNTIF(QCI!$A$13:$A$24,OFFSET(ORÇAMENTO!E701,-1,0))),OFFSET(E701,-1,0))</f>
        <v>1</v>
      </c>
      <c r="F701">
        <f t="shared" ca="1" si="156"/>
        <v>76</v>
      </c>
      <c r="G701">
        <f t="shared" ca="1" si="157"/>
        <v>0</v>
      </c>
      <c r="H701">
        <f t="shared" ca="1" si="158"/>
        <v>0</v>
      </c>
      <c r="I701">
        <f t="shared" ca="1" si="159"/>
        <v>0</v>
      </c>
      <c r="J701">
        <f t="shared" ca="1" si="152"/>
        <v>26</v>
      </c>
      <c r="K701">
        <f ca="1">IF(OR($C701="S",$C701=0),0,MATCH(OFFSET($D701,0,$C701)+IF($C701&lt;&gt;1,1,COUNTIF(QCI!$A$13:$A$24,ORÇAMENTO!E701)),OFFSET($D701,1,$C701,ROW($C$727)-ROW($C701)),0))</f>
        <v>9</v>
      </c>
      <c r="L701" s="116" t="str">
        <f t="shared" ca="1" si="160"/>
        <v>F</v>
      </c>
      <c r="M701" s="117" t="s">
        <v>196</v>
      </c>
      <c r="N701" s="118" t="str">
        <f t="shared" ca="1" si="161"/>
        <v>Nível 2</v>
      </c>
      <c r="O701" s="119" t="str">
        <f t="shared" ca="1" si="162"/>
        <v>1.76.</v>
      </c>
      <c r="P701" s="120" t="s">
        <v>247</v>
      </c>
      <c r="Q701" s="121"/>
      <c r="R701" s="122" t="s">
        <v>1096</v>
      </c>
      <c r="S701" s="123" t="str">
        <f ca="1">REFERENCIA.Unidade</f>
        <v>-</v>
      </c>
      <c r="T701" s="124">
        <f ca="1">OFFSET(CÁLCULO!H$15,ROW($T701)-ROW(T$15),0)</f>
        <v>0</v>
      </c>
      <c r="U701" s="125">
        <f t="shared" ca="1" si="165"/>
        <v>0</v>
      </c>
      <c r="V701" s="126" t="s">
        <v>156</v>
      </c>
      <c r="W701" s="124">
        <f ca="1">IF($C701="S",ROUND(IF(TIPOORCAMENTO="Proposto",ORÇAMENTO.CustoUnitario*(1+$AH701),ORÇAMENTO.PrecoUnitarioLicitado),15-13*$AF$10),0)</f>
        <v>0</v>
      </c>
      <c r="X701" s="127">
        <f ca="1">IF($C701="S",IF(Import.TipoArredondamento&lt;&gt;"TransfereGOV",VTOTAL1,SUM(OFFSET(CÁLCULO!$AI$15,ROW($X701)-ROW($X$15),1):OFFSET(CÁLCULO!$BB$15,ROW($X701)-ROW($X$15),-1))),IF($C701=0,0,ROUND(SomaAgrup,15-13*$AF$11)))</f>
        <v>0</v>
      </c>
      <c r="Y701" s="128" t="s">
        <v>245</v>
      </c>
      <c r="Z701" t="str">
        <f t="shared" ca="1" si="163"/>
        <v/>
      </c>
      <c r="AA701" s="129">
        <f ca="1">IF($C701="S",IF($Z701="CP",$X701,IF($Z701="RA",(($X701)*QCI!$AA$3),0)),SomaAgrup)</f>
        <v>0</v>
      </c>
      <c r="AB701" s="130">
        <f t="shared" ref="AB701:AB726" ca="1" si="167">IF($C701="S",IF($Z701="OU",ROUND($X701,2),0),SomaAgrup)</f>
        <v>0</v>
      </c>
      <c r="AC701" s="131" t="str">
        <f ca="1">IF($N701="","",IF(ORÇAMENTO.Descricao="","DESCRIÇÃO",IF(AND($C701="S",ORÇAMENTO.Unidade=""),"UNIDADE",IF($X701&lt;0,"VALOR NEGATIVO",IF(OR(AND(TIPOORCAMENTO="Proposto",$AG701&lt;&gt;"",$AG701&gt;0,ORÇAMENTO.CustoUnitario&gt;$AG701),AND(TIPOORCAMENTO="LICITADO",ORÇAMENTO.PrecoUnitarioLicitado&gt;$AN701)),"ACIMA REF.","")))))</f>
        <v/>
      </c>
      <c r="AD701">
        <f ca="1">IF(C701&lt;=CRONO.NivelExibicao,MAX($AD$15:OFFSET(AD701,-1,0))+IF($C701&lt;&gt;1,1,MAX(1,COUNTIF(QCI!$A$13:$A$24,OFFSET($E701,-1,0)))),"")</f>
        <v>77</v>
      </c>
      <c r="AE701" s="7" t="b">
        <f ca="1">IF(AND($C701="S",ORÇAMENTO.CodBarra&lt;&gt;""),IF(ORÇAMENTO.Fonte="",ORÇAMENTO.CodBarra,CONCATENATE(ORÇAMENTO.Fonte," ",ORÇAMENTO.CodBarra)))</f>
        <v>0</v>
      </c>
      <c r="AF701" s="13" t="str">
        <f ca="1">IF(ISERROR(INDIRECT(ORÇAMENTO.BancoRef)),"(abra o arquivo 'Referência "&amp;Excel_BuiltIn_Database&amp;".xlsm)",IF(OR($C701&lt;&gt;"S",ORÇAMENTO.CodBarra=""),"(Sem Código)",IF(ISERROR(MATCH($AE701,INDIRECT(ORÇAMENTO.BancoRef),0)),"(Código não identificado nas referências)",MATCH($AE701,INDIRECT(ORÇAMENTO.BancoRef),0))))</f>
        <v>(abra o arquivo 'Referência 06-2024.xlsm)</v>
      </c>
      <c r="AG701" s="498">
        <f ca="1">ROUND(IF(DESONERACAO="sim",REFERENCIA.Desonerado,REFERENCIA.NaoDesonerado),2)</f>
        <v>0</v>
      </c>
      <c r="AH701" s="499">
        <f t="shared" ref="AH701:AH726" ca="1" si="168">ROUND(IF(ISNUMBER(ORÇAMENTO.OpcaoBDI),ORÇAMENTO.OpcaoBDI,IF(LEFT(ORÇAMENTO.OpcaoBDI,3)="BDI",HLOOKUP(ORÇAMENTO.OpcaoBDI,$F$4:$H$5,2,FALSE),0)),15-11*$AF$9)</f>
        <v>0.2432</v>
      </c>
      <c r="AJ701" s="501"/>
      <c r="AL701" s="527"/>
      <c r="AM701" s="381">
        <f t="shared" ca="1" si="164"/>
        <v>0</v>
      </c>
      <c r="AN701" s="566">
        <f t="shared" ref="AN701:AN726" ca="1" si="169">ROUND(ORÇAMENTO.CustoUnitario*(1+$AH701),2)</f>
        <v>0</v>
      </c>
    </row>
    <row r="702" spans="1:40" ht="25.5" x14ac:dyDescent="0.2">
      <c r="A702" t="str">
        <f t="shared" si="166"/>
        <v>S</v>
      </c>
      <c r="B702">
        <f t="shared" ca="1" si="153"/>
        <v>2</v>
      </c>
      <c r="C702" t="str">
        <f t="shared" ca="1" si="154"/>
        <v>S</v>
      </c>
      <c r="D702">
        <f t="shared" ca="1" si="155"/>
        <v>0</v>
      </c>
      <c r="E702">
        <f ca="1">IF($C702=1,OFFSET(E702,-1,0)+MAX(1,COUNTIF(QCI!$A$13:$A$24,OFFSET(ORÇAMENTO!E702,-1,0))),OFFSET(E702,-1,0))</f>
        <v>1</v>
      </c>
      <c r="F702">
        <f t="shared" ca="1" si="156"/>
        <v>76</v>
      </c>
      <c r="G702">
        <f t="shared" ca="1" si="157"/>
        <v>0</v>
      </c>
      <c r="H702">
        <f t="shared" ca="1" si="158"/>
        <v>0</v>
      </c>
      <c r="I702">
        <f t="shared" ca="1" si="159"/>
        <v>0</v>
      </c>
      <c r="J702">
        <f t="shared" ca="1" si="152"/>
        <v>0</v>
      </c>
      <c r="K702">
        <f ca="1">IF(OR($C702="S",$C702=0),0,MATCH(OFFSET($D702,0,$C702)+IF($C702&lt;&gt;1,1,COUNTIF(QCI!$A$13:$A$24,ORÇAMENTO!E702)),OFFSET($D702,1,$C702,ROW($C$727)-ROW($C702)),0))</f>
        <v>0</v>
      </c>
      <c r="L702" s="116" t="str">
        <f t="shared" ca="1" si="160"/>
        <v/>
      </c>
      <c r="M702" s="117" t="s">
        <v>199</v>
      </c>
      <c r="N702" s="118" t="str">
        <f t="shared" ca="1" si="161"/>
        <v>Serviço</v>
      </c>
      <c r="O702" s="119" t="str">
        <f t="shared" ca="1" si="162"/>
        <v>-</v>
      </c>
      <c r="P702" s="120" t="s">
        <v>247</v>
      </c>
      <c r="Q702" s="121" t="s">
        <v>475</v>
      </c>
      <c r="R702" s="122" t="str">
        <f ca="1">IF($C702="S",REFERENCIA.Descricao,"(digite a descrição aqui)")</f>
        <v>(abra o arquivo 'Referência 06-2024.xlsm)</v>
      </c>
      <c r="S702" s="123" t="str">
        <f ca="1">REFERENCIA.Unidade</f>
        <v>-</v>
      </c>
      <c r="T702" s="124">
        <f ca="1">OFFSET(CÁLCULO!H$15,ROW($T702)-ROW(T$15),0)</f>
        <v>40.299999999999997</v>
      </c>
      <c r="U702" s="125">
        <f t="shared" ca="1" si="165"/>
        <v>0</v>
      </c>
      <c r="V702" s="126" t="s">
        <v>156</v>
      </c>
      <c r="W702" s="124">
        <f ca="1">IF($C702="S",ROUND(IF(TIPOORCAMENTO="Proposto",ORÇAMENTO.CustoUnitario*(1+$AH702),ORÇAMENTO.PrecoUnitarioLicitado),15-13*$AF$10),0)</f>
        <v>0</v>
      </c>
      <c r="X702" s="127">
        <f ca="1">IF($C702="S",IF(Import.TipoArredondamento&lt;&gt;"TransfereGOV",VTOTAL1,SUM(OFFSET(CÁLCULO!$AI$15,ROW($X702)-ROW($X$15),1):OFFSET(CÁLCULO!$BB$15,ROW($X702)-ROW($X$15),-1))),IF($C702=0,0,ROUND(SomaAgrup,15-13*$AF$11)))</f>
        <v>0</v>
      </c>
      <c r="Y702" s="128" t="s">
        <v>245</v>
      </c>
      <c r="Z702" t="str">
        <f t="shared" ca="1" si="163"/>
        <v/>
      </c>
      <c r="AA702" s="129">
        <f ca="1">IF($C702="S",IF($Z702="CP",$X702,IF($Z702="RA",(($X702)*QCI!$AA$3),0)),SomaAgrup)</f>
        <v>0</v>
      </c>
      <c r="AB702" s="130">
        <f t="shared" ca="1" si="167"/>
        <v>0</v>
      </c>
      <c r="AC702" s="131" t="str">
        <f ca="1">IF($N702="","",IF(ORÇAMENTO.Descricao="","DESCRIÇÃO",IF(AND($C702="S",ORÇAMENTO.Unidade=""),"UNIDADE",IF($X702&lt;0,"VALOR NEGATIVO",IF(OR(AND(TIPOORCAMENTO="Proposto",$AG702&lt;&gt;"",$AG702&gt;0,ORÇAMENTO.CustoUnitario&gt;$AG702),AND(TIPOORCAMENTO="LICITADO",ORÇAMENTO.PrecoUnitarioLicitado&gt;$AN702)),"ACIMA REF.","")))))</f>
        <v/>
      </c>
      <c r="AD702" t="str">
        <f ca="1">IF(C702&lt;=CRONO.NivelExibicao,MAX($AD$15:OFFSET(AD702,-1,0))+IF($C702&lt;&gt;1,1,MAX(1,COUNTIF(QCI!$A$13:$A$24,OFFSET($E702,-1,0)))),"")</f>
        <v/>
      </c>
      <c r="AE702" s="7" t="str">
        <f ca="1">IF(AND($C702="S",ORÇAMENTO.CodBarra&lt;&gt;""),IF(ORÇAMENTO.Fonte="",ORÇAMENTO.CodBarra,CONCATENATE(ORÇAMENTO.Fonte," ",ORÇAMENTO.CodBarra)))</f>
        <v>SINAPI 96619</v>
      </c>
      <c r="AF702" s="13" t="str">
        <f ca="1">IF(ISERROR(INDIRECT(ORÇAMENTO.BancoRef)),"(abra o arquivo 'Referência "&amp;Excel_BuiltIn_Database&amp;".xlsm)",IF(OR($C702&lt;&gt;"S",ORÇAMENTO.CodBarra=""),"(Sem Código)",IF(ISERROR(MATCH($AE702,INDIRECT(ORÇAMENTO.BancoRef),0)),"(Código não identificado nas referências)",MATCH($AE702,INDIRECT(ORÇAMENTO.BancoRef),0))))</f>
        <v>(abra o arquivo 'Referência 06-2024.xlsm)</v>
      </c>
      <c r="AG702" s="498">
        <f ca="1">ROUND(IF(DESONERACAO="sim",REFERENCIA.Desonerado,REFERENCIA.NaoDesonerado),2)</f>
        <v>0</v>
      </c>
      <c r="AH702" s="499">
        <f t="shared" ca="1" si="168"/>
        <v>0.2432</v>
      </c>
      <c r="AJ702" s="501"/>
      <c r="AL702" s="527"/>
      <c r="AM702" s="381">
        <f t="shared" ca="1" si="164"/>
        <v>0</v>
      </c>
      <c r="AN702" s="566">
        <f t="shared" ca="1" si="169"/>
        <v>0</v>
      </c>
    </row>
    <row r="703" spans="1:40" ht="51" x14ac:dyDescent="0.2">
      <c r="A703" t="str">
        <f t="shared" si="166"/>
        <v>S</v>
      </c>
      <c r="B703">
        <f t="shared" ca="1" si="153"/>
        <v>2</v>
      </c>
      <c r="C703" t="str">
        <f t="shared" ca="1" si="154"/>
        <v>S</v>
      </c>
      <c r="D703">
        <f t="shared" ca="1" si="155"/>
        <v>0</v>
      </c>
      <c r="E703">
        <f ca="1">IF($C703=1,OFFSET(E703,-1,0)+MAX(1,COUNTIF(QCI!$A$13:$A$24,OFFSET(ORÇAMENTO!E703,-1,0))),OFFSET(E703,-1,0))</f>
        <v>1</v>
      </c>
      <c r="F703">
        <f t="shared" ca="1" si="156"/>
        <v>76</v>
      </c>
      <c r="G703">
        <f t="shared" ca="1" si="157"/>
        <v>0</v>
      </c>
      <c r="H703">
        <f t="shared" ca="1" si="158"/>
        <v>0</v>
      </c>
      <c r="I703">
        <f t="shared" ca="1" si="159"/>
        <v>0</v>
      </c>
      <c r="J703">
        <f t="shared" ca="1" si="152"/>
        <v>0</v>
      </c>
      <c r="K703">
        <f ca="1">IF(OR($C703="S",$C703=0),0,MATCH(OFFSET($D703,0,$C703)+IF($C703&lt;&gt;1,1,COUNTIF(QCI!$A$13:$A$24,ORÇAMENTO!E703)),OFFSET($D703,1,$C703,ROW($C$727)-ROW($C703)),0))</f>
        <v>0</v>
      </c>
      <c r="L703" s="116" t="str">
        <f t="shared" ca="1" si="160"/>
        <v/>
      </c>
      <c r="M703" s="117" t="s">
        <v>199</v>
      </c>
      <c r="N703" s="118" t="str">
        <f t="shared" ca="1" si="161"/>
        <v>Serviço</v>
      </c>
      <c r="O703" s="119" t="str">
        <f t="shared" ca="1" si="162"/>
        <v>-</v>
      </c>
      <c r="P703" s="120" t="s">
        <v>247</v>
      </c>
      <c r="Q703" s="121" t="s">
        <v>488</v>
      </c>
      <c r="R703" s="122" t="str">
        <f ca="1">IF($C703="S",REFERENCIA.Descricao,"(digite a descrição aqui)")</f>
        <v>(abra o arquivo 'Referência 06-2024.xlsm)</v>
      </c>
      <c r="S703" s="123" t="str">
        <f ca="1">REFERENCIA.Unidade</f>
        <v>-</v>
      </c>
      <c r="T703" s="124">
        <f ca="1">OFFSET(CÁLCULO!H$15,ROW($T703)-ROW(T$15),0)</f>
        <v>163.16999999999999</v>
      </c>
      <c r="U703" s="125">
        <f t="shared" ca="1" si="165"/>
        <v>0</v>
      </c>
      <c r="V703" s="126" t="s">
        <v>156</v>
      </c>
      <c r="W703" s="124">
        <f ca="1">IF($C703="S",ROUND(IF(TIPOORCAMENTO="Proposto",ORÇAMENTO.CustoUnitario*(1+$AH703),ORÇAMENTO.PrecoUnitarioLicitado),15-13*$AF$10),0)</f>
        <v>0</v>
      </c>
      <c r="X703" s="127">
        <f ca="1">IF($C703="S",IF(Import.TipoArredondamento&lt;&gt;"TransfereGOV",VTOTAL1,SUM(OFFSET(CÁLCULO!$AI$15,ROW($X703)-ROW($X$15),1):OFFSET(CÁLCULO!$BB$15,ROW($X703)-ROW($X$15),-1))),IF($C703=0,0,ROUND(SomaAgrup,15-13*$AF$11)))</f>
        <v>0</v>
      </c>
      <c r="Y703" s="128" t="s">
        <v>245</v>
      </c>
      <c r="Z703" t="str">
        <f t="shared" ca="1" si="163"/>
        <v/>
      </c>
      <c r="AA703" s="129">
        <f ca="1">IF($C703="S",IF($Z703="CP",$X703,IF($Z703="RA",(($X703)*QCI!$AA$3),0)),SomaAgrup)</f>
        <v>0</v>
      </c>
      <c r="AB703" s="130">
        <f t="shared" ca="1" si="167"/>
        <v>0</v>
      </c>
      <c r="AC703" s="131" t="str">
        <f ca="1">IF($N703="","",IF(ORÇAMENTO.Descricao="","DESCRIÇÃO",IF(AND($C703="S",ORÇAMENTO.Unidade=""),"UNIDADE",IF($X703&lt;0,"VALOR NEGATIVO",IF(OR(AND(TIPOORCAMENTO="Proposto",$AG703&lt;&gt;"",$AG703&gt;0,ORÇAMENTO.CustoUnitario&gt;$AG703),AND(TIPOORCAMENTO="LICITADO",ORÇAMENTO.PrecoUnitarioLicitado&gt;$AN703)),"ACIMA REF.","")))))</f>
        <v/>
      </c>
      <c r="AD703" t="str">
        <f ca="1">IF(C703&lt;=CRONO.NivelExibicao,MAX($AD$15:OFFSET(AD703,-1,0))+IF($C703&lt;&gt;1,1,MAX(1,COUNTIF(QCI!$A$13:$A$24,OFFSET($E703,-1,0)))),"")</f>
        <v/>
      </c>
      <c r="AE703" s="7" t="str">
        <f ca="1">IF(AND($C703="S",ORÇAMENTO.CodBarra&lt;&gt;""),IF(ORÇAMENTO.Fonte="",ORÇAMENTO.CodBarra,CONCATENATE(ORÇAMENTO.Fonte," ",ORÇAMENTO.CodBarra)))</f>
        <v>SINAPI 92443</v>
      </c>
      <c r="AF703" s="13" t="str">
        <f ca="1">IF(ISERROR(INDIRECT(ORÇAMENTO.BancoRef)),"(abra o arquivo 'Referência "&amp;Excel_BuiltIn_Database&amp;".xlsm)",IF(OR($C703&lt;&gt;"S",ORÇAMENTO.CodBarra=""),"(Sem Código)",IF(ISERROR(MATCH($AE703,INDIRECT(ORÇAMENTO.BancoRef),0)),"(Código não identificado nas referências)",MATCH($AE703,INDIRECT(ORÇAMENTO.BancoRef),0))))</f>
        <v>(abra o arquivo 'Referência 06-2024.xlsm)</v>
      </c>
      <c r="AG703" s="498">
        <f ca="1">ROUND(IF(DESONERACAO="sim",REFERENCIA.Desonerado,REFERENCIA.NaoDesonerado),2)</f>
        <v>0</v>
      </c>
      <c r="AH703" s="499">
        <f t="shared" ca="1" si="168"/>
        <v>0.2432</v>
      </c>
      <c r="AJ703" s="501"/>
      <c r="AL703" s="527"/>
      <c r="AM703" s="381">
        <f t="shared" ca="1" si="164"/>
        <v>0</v>
      </c>
      <c r="AN703" s="566">
        <f t="shared" ca="1" si="169"/>
        <v>0</v>
      </c>
    </row>
    <row r="704" spans="1:40" ht="38.25" x14ac:dyDescent="0.2">
      <c r="A704" t="str">
        <f t="shared" si="166"/>
        <v>S</v>
      </c>
      <c r="B704">
        <f t="shared" ca="1" si="153"/>
        <v>2</v>
      </c>
      <c r="C704" t="str">
        <f t="shared" ca="1" si="154"/>
        <v>S</v>
      </c>
      <c r="D704">
        <f t="shared" ca="1" si="155"/>
        <v>0</v>
      </c>
      <c r="E704">
        <f ca="1">IF($C704=1,OFFSET(E704,-1,0)+MAX(1,COUNTIF(QCI!$A$13:$A$24,OFFSET(ORÇAMENTO!E704,-1,0))),OFFSET(E704,-1,0))</f>
        <v>1</v>
      </c>
      <c r="F704">
        <f t="shared" ca="1" si="156"/>
        <v>76</v>
      </c>
      <c r="G704">
        <f t="shared" ca="1" si="157"/>
        <v>0</v>
      </c>
      <c r="H704">
        <f t="shared" ca="1" si="158"/>
        <v>0</v>
      </c>
      <c r="I704">
        <f t="shared" ca="1" si="159"/>
        <v>0</v>
      </c>
      <c r="J704">
        <f t="shared" ca="1" si="152"/>
        <v>0</v>
      </c>
      <c r="K704">
        <f ca="1">IF(OR($C704="S",$C704=0),0,MATCH(OFFSET($D704,0,$C704)+IF($C704&lt;&gt;1,1,COUNTIF(QCI!$A$13:$A$24,ORÇAMENTO!E704)),OFFSET($D704,1,$C704,ROW($C$727)-ROW($C704)),0))</f>
        <v>0</v>
      </c>
      <c r="L704" s="116" t="str">
        <f t="shared" ca="1" si="160"/>
        <v/>
      </c>
      <c r="M704" s="117" t="s">
        <v>199</v>
      </c>
      <c r="N704" s="118" t="str">
        <f t="shared" ca="1" si="161"/>
        <v>Serviço</v>
      </c>
      <c r="O704" s="119" t="str">
        <f t="shared" ca="1" si="162"/>
        <v>-</v>
      </c>
      <c r="P704" s="120" t="s">
        <v>247</v>
      </c>
      <c r="Q704" s="121" t="s">
        <v>494</v>
      </c>
      <c r="R704" s="122" t="str">
        <f ca="1">IF($C704="S",REFERENCIA.Descricao,"(digite a descrição aqui)")</f>
        <v>(abra o arquivo 'Referência 06-2024.xlsm)</v>
      </c>
      <c r="S704" s="123" t="str">
        <f ca="1">REFERENCIA.Unidade</f>
        <v>-</v>
      </c>
      <c r="T704" s="124">
        <f ca="1">OFFSET(CÁLCULO!H$15,ROW($T704)-ROW(T$15),0)</f>
        <v>541.39</v>
      </c>
      <c r="U704" s="125">
        <f t="shared" ca="1" si="165"/>
        <v>0</v>
      </c>
      <c r="V704" s="126" t="s">
        <v>156</v>
      </c>
      <c r="W704" s="124">
        <f ca="1">IF($C704="S",ROUND(IF(TIPOORCAMENTO="Proposto",ORÇAMENTO.CustoUnitario*(1+$AH704),ORÇAMENTO.PrecoUnitarioLicitado),15-13*$AF$10),0)</f>
        <v>0</v>
      </c>
      <c r="X704" s="127">
        <f ca="1">IF($C704="S",IF(Import.TipoArredondamento&lt;&gt;"TransfereGOV",VTOTAL1,SUM(OFFSET(CÁLCULO!$AI$15,ROW($X704)-ROW($X$15),1):OFFSET(CÁLCULO!$BB$15,ROW($X704)-ROW($X$15),-1))),IF($C704=0,0,ROUND(SomaAgrup,15-13*$AF$11)))</f>
        <v>0</v>
      </c>
      <c r="Y704" s="128" t="s">
        <v>245</v>
      </c>
      <c r="Z704" t="str">
        <f t="shared" ca="1" si="163"/>
        <v/>
      </c>
      <c r="AA704" s="129">
        <f ca="1">IF($C704="S",IF($Z704="CP",$X704,IF($Z704="RA",(($X704)*QCI!$AA$3),0)),SomaAgrup)</f>
        <v>0</v>
      </c>
      <c r="AB704" s="130">
        <f t="shared" ca="1" si="167"/>
        <v>0</v>
      </c>
      <c r="AC704" s="131" t="str">
        <f ca="1">IF($N704="","",IF(ORÇAMENTO.Descricao="","DESCRIÇÃO",IF(AND($C704="S",ORÇAMENTO.Unidade=""),"UNIDADE",IF($X704&lt;0,"VALOR NEGATIVO",IF(OR(AND(TIPOORCAMENTO="Proposto",$AG704&lt;&gt;"",$AG704&gt;0,ORÇAMENTO.CustoUnitario&gt;$AG704),AND(TIPOORCAMENTO="LICITADO",ORÇAMENTO.PrecoUnitarioLicitado&gt;$AN704)),"ACIMA REF.","")))))</f>
        <v/>
      </c>
      <c r="AD704" t="str">
        <f ca="1">IF(C704&lt;=CRONO.NivelExibicao,MAX($AD$15:OFFSET(AD704,-1,0))+IF($C704&lt;&gt;1,1,MAX(1,COUNTIF(QCI!$A$13:$A$24,OFFSET($E704,-1,0)))),"")</f>
        <v/>
      </c>
      <c r="AE704" s="7" t="str">
        <f ca="1">IF(AND($C704="S",ORÇAMENTO.CodBarra&lt;&gt;""),IF(ORÇAMENTO.Fonte="",ORÇAMENTO.CodBarra,CONCATENATE(ORÇAMENTO.Fonte," ",ORÇAMENTO.CodBarra)))</f>
        <v>SINAPI 92761</v>
      </c>
      <c r="AF704" s="13" t="str">
        <f ca="1">IF(ISERROR(INDIRECT(ORÇAMENTO.BancoRef)),"(abra o arquivo 'Referência "&amp;Excel_BuiltIn_Database&amp;".xlsm)",IF(OR($C704&lt;&gt;"S",ORÇAMENTO.CodBarra=""),"(Sem Código)",IF(ISERROR(MATCH($AE704,INDIRECT(ORÇAMENTO.BancoRef),0)),"(Código não identificado nas referências)",MATCH($AE704,INDIRECT(ORÇAMENTO.BancoRef),0))))</f>
        <v>(abra o arquivo 'Referência 06-2024.xlsm)</v>
      </c>
      <c r="AG704" s="498">
        <f ca="1">ROUND(IF(DESONERACAO="sim",REFERENCIA.Desonerado,REFERENCIA.NaoDesonerado),2)</f>
        <v>0</v>
      </c>
      <c r="AH704" s="499">
        <f t="shared" ca="1" si="168"/>
        <v>0.2432</v>
      </c>
      <c r="AJ704" s="501"/>
      <c r="AL704" s="527"/>
      <c r="AM704" s="381">
        <f t="shared" ca="1" si="164"/>
        <v>0</v>
      </c>
      <c r="AN704" s="566">
        <f t="shared" ca="1" si="169"/>
        <v>0</v>
      </c>
    </row>
    <row r="705" spans="1:40" ht="38.25" x14ac:dyDescent="0.2">
      <c r="A705" t="str">
        <f t="shared" si="166"/>
        <v>S</v>
      </c>
      <c r="B705">
        <f t="shared" ca="1" si="153"/>
        <v>2</v>
      </c>
      <c r="C705" t="str">
        <f t="shared" ca="1" si="154"/>
        <v>S</v>
      </c>
      <c r="D705">
        <f t="shared" ca="1" si="155"/>
        <v>0</v>
      </c>
      <c r="E705">
        <f ca="1">IF($C705=1,OFFSET(E705,-1,0)+MAX(1,COUNTIF(QCI!$A$13:$A$24,OFFSET(ORÇAMENTO!E705,-1,0))),OFFSET(E705,-1,0))</f>
        <v>1</v>
      </c>
      <c r="F705">
        <f t="shared" ca="1" si="156"/>
        <v>76</v>
      </c>
      <c r="G705">
        <f t="shared" ca="1" si="157"/>
        <v>0</v>
      </c>
      <c r="H705">
        <f t="shared" ca="1" si="158"/>
        <v>0</v>
      </c>
      <c r="I705">
        <f t="shared" ca="1" si="159"/>
        <v>0</v>
      </c>
      <c r="J705">
        <f t="shared" ca="1" si="152"/>
        <v>0</v>
      </c>
      <c r="K705">
        <f ca="1">IF(OR($C705="S",$C705=0),0,MATCH(OFFSET($D705,0,$C705)+IF($C705&lt;&gt;1,1,COUNTIF(QCI!$A$13:$A$24,ORÇAMENTO!E705)),OFFSET($D705,1,$C705,ROW($C$727)-ROW($C705)),0))</f>
        <v>0</v>
      </c>
      <c r="L705" s="116" t="str">
        <f t="shared" ca="1" si="160"/>
        <v/>
      </c>
      <c r="M705" s="117" t="s">
        <v>199</v>
      </c>
      <c r="N705" s="118" t="str">
        <f t="shared" ca="1" si="161"/>
        <v>Serviço</v>
      </c>
      <c r="O705" s="119" t="str">
        <f t="shared" ca="1" si="162"/>
        <v>-</v>
      </c>
      <c r="P705" s="120" t="s">
        <v>247</v>
      </c>
      <c r="Q705" s="121" t="s">
        <v>489</v>
      </c>
      <c r="R705" s="122" t="str">
        <f ca="1">IF($C705="S",REFERENCIA.Descricao,"(digite a descrição aqui)")</f>
        <v>(abra o arquivo 'Referência 06-2024.xlsm)</v>
      </c>
      <c r="S705" s="123" t="str">
        <f ca="1">REFERENCIA.Unidade</f>
        <v>-</v>
      </c>
      <c r="T705" s="124">
        <f ca="1">OFFSET(CÁLCULO!H$15,ROW($T705)-ROW(T$15),0)</f>
        <v>3.99</v>
      </c>
      <c r="U705" s="125">
        <f t="shared" ca="1" si="165"/>
        <v>0</v>
      </c>
      <c r="V705" s="126" t="s">
        <v>156</v>
      </c>
      <c r="W705" s="124">
        <f ca="1">IF($C705="S",ROUND(IF(TIPOORCAMENTO="Proposto",ORÇAMENTO.CustoUnitario*(1+$AH705),ORÇAMENTO.PrecoUnitarioLicitado),15-13*$AF$10),0)</f>
        <v>0</v>
      </c>
      <c r="X705" s="127">
        <f ca="1">IF($C705="S",IF(Import.TipoArredondamento&lt;&gt;"TransfereGOV",VTOTAL1,SUM(OFFSET(CÁLCULO!$AI$15,ROW($X705)-ROW($X$15),1):OFFSET(CÁLCULO!$BB$15,ROW($X705)-ROW($X$15),-1))),IF($C705=0,0,ROUND(SomaAgrup,15-13*$AF$11)))</f>
        <v>0</v>
      </c>
      <c r="Y705" s="128" t="s">
        <v>245</v>
      </c>
      <c r="Z705" t="str">
        <f t="shared" ca="1" si="163"/>
        <v/>
      </c>
      <c r="AA705" s="129">
        <f ca="1">IF($C705="S",IF($Z705="CP",$X705,IF($Z705="RA",(($X705)*QCI!$AA$3),0)),SomaAgrup)</f>
        <v>0</v>
      </c>
      <c r="AB705" s="130">
        <f t="shared" ca="1" si="167"/>
        <v>0</v>
      </c>
      <c r="AC705" s="131" t="str">
        <f ca="1">IF($N705="","",IF(ORÇAMENTO.Descricao="","DESCRIÇÃO",IF(AND($C705="S",ORÇAMENTO.Unidade=""),"UNIDADE",IF($X705&lt;0,"VALOR NEGATIVO",IF(OR(AND(TIPOORCAMENTO="Proposto",$AG705&lt;&gt;"",$AG705&gt;0,ORÇAMENTO.CustoUnitario&gt;$AG705),AND(TIPOORCAMENTO="LICITADO",ORÇAMENTO.PrecoUnitarioLicitado&gt;$AN705)),"ACIMA REF.","")))))</f>
        <v/>
      </c>
      <c r="AD705" t="str">
        <f ca="1">IF(C705&lt;=CRONO.NivelExibicao,MAX($AD$15:OFFSET(AD705,-1,0))+IF($C705&lt;&gt;1,1,MAX(1,COUNTIF(QCI!$A$13:$A$24,OFFSET($E705,-1,0)))),"")</f>
        <v/>
      </c>
      <c r="AE705" s="7" t="str">
        <f ca="1">IF(AND($C705="S",ORÇAMENTO.CodBarra&lt;&gt;""),IF(ORÇAMENTO.Fonte="",ORÇAMENTO.CodBarra,CONCATENATE(ORÇAMENTO.Fonte," ",ORÇAMENTO.CodBarra)))</f>
        <v>SINAPI 92762</v>
      </c>
      <c r="AF705" s="13" t="str">
        <f ca="1">IF(ISERROR(INDIRECT(ORÇAMENTO.BancoRef)),"(abra o arquivo 'Referência "&amp;Excel_BuiltIn_Database&amp;".xlsm)",IF(OR($C705&lt;&gt;"S",ORÇAMENTO.CodBarra=""),"(Sem Código)",IF(ISERROR(MATCH($AE705,INDIRECT(ORÇAMENTO.BancoRef),0)),"(Código não identificado nas referências)",MATCH($AE705,INDIRECT(ORÇAMENTO.BancoRef),0))))</f>
        <v>(abra o arquivo 'Referência 06-2024.xlsm)</v>
      </c>
      <c r="AG705" s="498">
        <f ca="1">ROUND(IF(DESONERACAO="sim",REFERENCIA.Desonerado,REFERENCIA.NaoDesonerado),2)</f>
        <v>0</v>
      </c>
      <c r="AH705" s="499">
        <f t="shared" ca="1" si="168"/>
        <v>0.2432</v>
      </c>
      <c r="AJ705" s="501"/>
      <c r="AL705" s="527"/>
      <c r="AM705" s="381">
        <f t="shared" ca="1" si="164"/>
        <v>0</v>
      </c>
      <c r="AN705" s="566">
        <f t="shared" ca="1" si="169"/>
        <v>0</v>
      </c>
    </row>
    <row r="706" spans="1:40" ht="38.25" x14ac:dyDescent="0.2">
      <c r="A706" t="str">
        <f t="shared" si="166"/>
        <v>S</v>
      </c>
      <c r="B706">
        <f t="shared" ca="1" si="153"/>
        <v>2</v>
      </c>
      <c r="C706" t="str">
        <f t="shared" ca="1" si="154"/>
        <v>S</v>
      </c>
      <c r="D706">
        <f t="shared" ca="1" si="155"/>
        <v>0</v>
      </c>
      <c r="E706">
        <f ca="1">IF($C706=1,OFFSET(E706,-1,0)+MAX(1,COUNTIF(QCI!$A$13:$A$24,OFFSET(ORÇAMENTO!E706,-1,0))),OFFSET(E706,-1,0))</f>
        <v>1</v>
      </c>
      <c r="F706">
        <f t="shared" ca="1" si="156"/>
        <v>76</v>
      </c>
      <c r="G706">
        <f t="shared" ca="1" si="157"/>
        <v>0</v>
      </c>
      <c r="H706">
        <f t="shared" ca="1" si="158"/>
        <v>0</v>
      </c>
      <c r="I706">
        <f t="shared" ca="1" si="159"/>
        <v>0</v>
      </c>
      <c r="J706">
        <f t="shared" ca="1" si="152"/>
        <v>0</v>
      </c>
      <c r="K706">
        <f ca="1">IF(OR($C706="S",$C706=0),0,MATCH(OFFSET($D706,0,$C706)+IF($C706&lt;&gt;1,1,COUNTIF(QCI!$A$13:$A$24,ORÇAMENTO!E706)),OFFSET($D706,1,$C706,ROW($C$727)-ROW($C706)),0))</f>
        <v>0</v>
      </c>
      <c r="L706" s="116" t="str">
        <f t="shared" ca="1" si="160"/>
        <v/>
      </c>
      <c r="M706" s="117" t="s">
        <v>199</v>
      </c>
      <c r="N706" s="118" t="str">
        <f t="shared" ca="1" si="161"/>
        <v>Serviço</v>
      </c>
      <c r="O706" s="119" t="str">
        <f t="shared" ca="1" si="162"/>
        <v>-</v>
      </c>
      <c r="P706" s="120" t="s">
        <v>247</v>
      </c>
      <c r="Q706" s="121" t="s">
        <v>490</v>
      </c>
      <c r="R706" s="122" t="str">
        <f ca="1">IF($C706="S",REFERENCIA.Descricao,"(digite a descrição aqui)")</f>
        <v>(abra o arquivo 'Referência 06-2024.xlsm)</v>
      </c>
      <c r="S706" s="123" t="str">
        <f ca="1">REFERENCIA.Unidade</f>
        <v>-</v>
      </c>
      <c r="T706" s="124">
        <f ca="1">OFFSET(CÁLCULO!H$15,ROW($T706)-ROW(T$15),0)</f>
        <v>8.51</v>
      </c>
      <c r="U706" s="125">
        <f t="shared" ca="1" si="165"/>
        <v>0</v>
      </c>
      <c r="V706" s="126" t="s">
        <v>156</v>
      </c>
      <c r="W706" s="124">
        <f ca="1">IF($C706="S",ROUND(IF(TIPOORCAMENTO="Proposto",ORÇAMENTO.CustoUnitario*(1+$AH706),ORÇAMENTO.PrecoUnitarioLicitado),15-13*$AF$10),0)</f>
        <v>0</v>
      </c>
      <c r="X706" s="127">
        <f ca="1">IF($C706="S",IF(Import.TipoArredondamento&lt;&gt;"TransfereGOV",VTOTAL1,SUM(OFFSET(CÁLCULO!$AI$15,ROW($X706)-ROW($X$15),1):OFFSET(CÁLCULO!$BB$15,ROW($X706)-ROW($X$15),-1))),IF($C706=0,0,ROUND(SomaAgrup,15-13*$AF$11)))</f>
        <v>0</v>
      </c>
      <c r="Y706" s="128" t="s">
        <v>245</v>
      </c>
      <c r="Z706" t="str">
        <f t="shared" ca="1" si="163"/>
        <v/>
      </c>
      <c r="AA706" s="129">
        <f ca="1">IF($C706="S",IF($Z706="CP",$X706,IF($Z706="RA",(($X706)*QCI!$AA$3),0)),SomaAgrup)</f>
        <v>0</v>
      </c>
      <c r="AB706" s="130">
        <f t="shared" ca="1" si="167"/>
        <v>0</v>
      </c>
      <c r="AC706" s="131" t="str">
        <f ca="1">IF($N706="","",IF(ORÇAMENTO.Descricao="","DESCRIÇÃO",IF(AND($C706="S",ORÇAMENTO.Unidade=""),"UNIDADE",IF($X706&lt;0,"VALOR NEGATIVO",IF(OR(AND(TIPOORCAMENTO="Proposto",$AG706&lt;&gt;"",$AG706&gt;0,ORÇAMENTO.CustoUnitario&gt;$AG706),AND(TIPOORCAMENTO="LICITADO",ORÇAMENTO.PrecoUnitarioLicitado&gt;$AN706)),"ACIMA REF.","")))))</f>
        <v/>
      </c>
      <c r="AD706" t="str">
        <f ca="1">IF(C706&lt;=CRONO.NivelExibicao,MAX($AD$15:OFFSET(AD706,-1,0))+IF($C706&lt;&gt;1,1,MAX(1,COUNTIF(QCI!$A$13:$A$24,OFFSET($E706,-1,0)))),"")</f>
        <v/>
      </c>
      <c r="AE706" s="7" t="str">
        <f ca="1">IF(AND($C706="S",ORÇAMENTO.CodBarra&lt;&gt;""),IF(ORÇAMENTO.Fonte="",ORÇAMENTO.CodBarra,CONCATENATE(ORÇAMENTO.Fonte," ",ORÇAMENTO.CodBarra)))</f>
        <v>SINAPI 92763</v>
      </c>
      <c r="AF706" s="13" t="str">
        <f ca="1">IF(ISERROR(INDIRECT(ORÇAMENTO.BancoRef)),"(abra o arquivo 'Referência "&amp;Excel_BuiltIn_Database&amp;".xlsm)",IF(OR($C706&lt;&gt;"S",ORÇAMENTO.CodBarra=""),"(Sem Código)",IF(ISERROR(MATCH($AE706,INDIRECT(ORÇAMENTO.BancoRef),0)),"(Código não identificado nas referências)",MATCH($AE706,INDIRECT(ORÇAMENTO.BancoRef),0))))</f>
        <v>(abra o arquivo 'Referência 06-2024.xlsm)</v>
      </c>
      <c r="AG706" s="498">
        <f ca="1">ROUND(IF(DESONERACAO="sim",REFERENCIA.Desonerado,REFERENCIA.NaoDesonerado),2)</f>
        <v>0</v>
      </c>
      <c r="AH706" s="499">
        <f t="shared" ca="1" si="168"/>
        <v>0.2432</v>
      </c>
      <c r="AJ706" s="501"/>
      <c r="AL706" s="527"/>
      <c r="AM706" s="381">
        <f t="shared" ca="1" si="164"/>
        <v>0</v>
      </c>
      <c r="AN706" s="566">
        <f t="shared" ca="1" si="169"/>
        <v>0</v>
      </c>
    </row>
    <row r="707" spans="1:40" ht="38.25" x14ac:dyDescent="0.2">
      <c r="A707" t="str">
        <f t="shared" si="166"/>
        <v>S</v>
      </c>
      <c r="B707">
        <f t="shared" ca="1" si="153"/>
        <v>2</v>
      </c>
      <c r="C707" t="str">
        <f t="shared" ca="1" si="154"/>
        <v>S</v>
      </c>
      <c r="D707">
        <f t="shared" ca="1" si="155"/>
        <v>0</v>
      </c>
      <c r="E707">
        <f ca="1">IF($C707=1,OFFSET(E707,-1,0)+MAX(1,COUNTIF(QCI!$A$13:$A$24,OFFSET(ORÇAMENTO!E707,-1,0))),OFFSET(E707,-1,0))</f>
        <v>1</v>
      </c>
      <c r="F707">
        <f t="shared" ca="1" si="156"/>
        <v>76</v>
      </c>
      <c r="G707">
        <f t="shared" ca="1" si="157"/>
        <v>0</v>
      </c>
      <c r="H707">
        <f t="shared" ca="1" si="158"/>
        <v>0</v>
      </c>
      <c r="I707">
        <f t="shared" ca="1" si="159"/>
        <v>0</v>
      </c>
      <c r="J707">
        <f t="shared" ca="1" si="152"/>
        <v>0</v>
      </c>
      <c r="K707">
        <f ca="1">IF(OR($C707="S",$C707=0),0,MATCH(OFFSET($D707,0,$C707)+IF($C707&lt;&gt;1,1,COUNTIF(QCI!$A$13:$A$24,ORÇAMENTO!E707)),OFFSET($D707,1,$C707,ROW($C$727)-ROW($C707)),0))</f>
        <v>0</v>
      </c>
      <c r="L707" s="116" t="str">
        <f t="shared" ca="1" si="160"/>
        <v/>
      </c>
      <c r="M707" s="117" t="s">
        <v>199</v>
      </c>
      <c r="N707" s="118" t="str">
        <f t="shared" ca="1" si="161"/>
        <v>Serviço</v>
      </c>
      <c r="O707" s="119" t="str">
        <f t="shared" ca="1" si="162"/>
        <v>-</v>
      </c>
      <c r="P707" s="120" t="s">
        <v>247</v>
      </c>
      <c r="Q707" s="121" t="s">
        <v>495</v>
      </c>
      <c r="R707" s="122" t="str">
        <f ca="1">IF($C707="S",REFERENCIA.Descricao,"(digite a descrição aqui)")</f>
        <v>(abra o arquivo 'Referência 06-2024.xlsm)</v>
      </c>
      <c r="S707" s="123" t="str">
        <f ca="1">REFERENCIA.Unidade</f>
        <v>-</v>
      </c>
      <c r="T707" s="124">
        <f ca="1">OFFSET(CÁLCULO!H$15,ROW($T707)-ROW(T$15),0)</f>
        <v>40.21</v>
      </c>
      <c r="U707" s="125">
        <f t="shared" ca="1" si="165"/>
        <v>0</v>
      </c>
      <c r="V707" s="126" t="s">
        <v>156</v>
      </c>
      <c r="W707" s="124">
        <f ca="1">IF($C707="S",ROUND(IF(TIPOORCAMENTO="Proposto",ORÇAMENTO.CustoUnitario*(1+$AH707),ORÇAMENTO.PrecoUnitarioLicitado),15-13*$AF$10),0)</f>
        <v>0</v>
      </c>
      <c r="X707" s="127">
        <f ca="1">IF($C707="S",IF(Import.TipoArredondamento&lt;&gt;"TransfereGOV",VTOTAL1,SUM(OFFSET(CÁLCULO!$AI$15,ROW($X707)-ROW($X$15),1):OFFSET(CÁLCULO!$BB$15,ROW($X707)-ROW($X$15),-1))),IF($C707=0,0,ROUND(SomaAgrup,15-13*$AF$11)))</f>
        <v>0</v>
      </c>
      <c r="Y707" s="128" t="s">
        <v>245</v>
      </c>
      <c r="Z707" t="str">
        <f t="shared" ca="1" si="163"/>
        <v/>
      </c>
      <c r="AA707" s="129">
        <f ca="1">IF($C707="S",IF($Z707="CP",$X707,IF($Z707="RA",(($X707)*QCI!$AA$3),0)),SomaAgrup)</f>
        <v>0</v>
      </c>
      <c r="AB707" s="130">
        <f t="shared" ca="1" si="167"/>
        <v>0</v>
      </c>
      <c r="AC707" s="131" t="str">
        <f ca="1">IF($N707="","",IF(ORÇAMENTO.Descricao="","DESCRIÇÃO",IF(AND($C707="S",ORÇAMENTO.Unidade=""),"UNIDADE",IF($X707&lt;0,"VALOR NEGATIVO",IF(OR(AND(TIPOORCAMENTO="Proposto",$AG707&lt;&gt;"",$AG707&gt;0,ORÇAMENTO.CustoUnitario&gt;$AG707),AND(TIPOORCAMENTO="LICITADO",ORÇAMENTO.PrecoUnitarioLicitado&gt;$AN707)),"ACIMA REF.","")))))</f>
        <v/>
      </c>
      <c r="AD707" t="str">
        <f ca="1">IF(C707&lt;=CRONO.NivelExibicao,MAX($AD$15:OFFSET(AD707,-1,0))+IF($C707&lt;&gt;1,1,MAX(1,COUNTIF(QCI!$A$13:$A$24,OFFSET($E707,-1,0)))),"")</f>
        <v/>
      </c>
      <c r="AE707" s="7" t="str">
        <f ca="1">IF(AND($C707="S",ORÇAMENTO.CodBarra&lt;&gt;""),IF(ORÇAMENTO.Fonte="",ORÇAMENTO.CodBarra,CONCATENATE(ORÇAMENTO.Fonte," ",ORÇAMENTO.CodBarra)))</f>
        <v>SINAPI 92764</v>
      </c>
      <c r="AF707" s="13" t="str">
        <f ca="1">IF(ISERROR(INDIRECT(ORÇAMENTO.BancoRef)),"(abra o arquivo 'Referência "&amp;Excel_BuiltIn_Database&amp;".xlsm)",IF(OR($C707&lt;&gt;"S",ORÇAMENTO.CodBarra=""),"(Sem Código)",IF(ISERROR(MATCH($AE707,INDIRECT(ORÇAMENTO.BancoRef),0)),"(Código não identificado nas referências)",MATCH($AE707,INDIRECT(ORÇAMENTO.BancoRef),0))))</f>
        <v>(abra o arquivo 'Referência 06-2024.xlsm)</v>
      </c>
      <c r="AG707" s="498">
        <f ca="1">ROUND(IF(DESONERACAO="sim",REFERENCIA.Desonerado,REFERENCIA.NaoDesonerado),2)</f>
        <v>0</v>
      </c>
      <c r="AH707" s="499">
        <f t="shared" ca="1" si="168"/>
        <v>0.2432</v>
      </c>
      <c r="AJ707" s="501"/>
      <c r="AL707" s="527"/>
      <c r="AM707" s="381">
        <f t="shared" ca="1" si="164"/>
        <v>0</v>
      </c>
      <c r="AN707" s="566">
        <f t="shared" ca="1" si="169"/>
        <v>0</v>
      </c>
    </row>
    <row r="708" spans="1:40" ht="38.25" x14ac:dyDescent="0.2">
      <c r="A708" t="str">
        <f t="shared" si="166"/>
        <v>S</v>
      </c>
      <c r="B708">
        <f t="shared" ca="1" si="153"/>
        <v>2</v>
      </c>
      <c r="C708" t="str">
        <f t="shared" ca="1" si="154"/>
        <v>S</v>
      </c>
      <c r="D708">
        <f t="shared" ca="1" si="155"/>
        <v>0</v>
      </c>
      <c r="E708">
        <f ca="1">IF($C708=1,OFFSET(E708,-1,0)+MAX(1,COUNTIF(QCI!$A$13:$A$24,OFFSET(ORÇAMENTO!E708,-1,0))),OFFSET(E708,-1,0))</f>
        <v>1</v>
      </c>
      <c r="F708">
        <f t="shared" ca="1" si="156"/>
        <v>76</v>
      </c>
      <c r="G708">
        <f t="shared" ca="1" si="157"/>
        <v>0</v>
      </c>
      <c r="H708">
        <f t="shared" ca="1" si="158"/>
        <v>0</v>
      </c>
      <c r="I708">
        <f t="shared" ca="1" si="159"/>
        <v>0</v>
      </c>
      <c r="J708">
        <f t="shared" ca="1" si="152"/>
        <v>0</v>
      </c>
      <c r="K708">
        <f ca="1">IF(OR($C708="S",$C708=0),0,MATCH(OFFSET($D708,0,$C708)+IF($C708&lt;&gt;1,1,COUNTIF(QCI!$A$13:$A$24,ORÇAMENTO!E708)),OFFSET($D708,1,$C708,ROW($C$727)-ROW($C708)),0))</f>
        <v>0</v>
      </c>
      <c r="L708" s="116" t="str">
        <f t="shared" ca="1" si="160"/>
        <v/>
      </c>
      <c r="M708" s="117" t="s">
        <v>199</v>
      </c>
      <c r="N708" s="118" t="str">
        <f t="shared" ca="1" si="161"/>
        <v>Serviço</v>
      </c>
      <c r="O708" s="119" t="str">
        <f t="shared" ca="1" si="162"/>
        <v>-</v>
      </c>
      <c r="P708" s="120" t="s">
        <v>247</v>
      </c>
      <c r="Q708" s="121" t="s">
        <v>491</v>
      </c>
      <c r="R708" s="122" t="str">
        <f ca="1">IF($C708="S",REFERENCIA.Descricao,"(digite a descrição aqui)")</f>
        <v>(abra o arquivo 'Referência 06-2024.xlsm)</v>
      </c>
      <c r="S708" s="123" t="str">
        <f ca="1">REFERENCIA.Unidade</f>
        <v>-</v>
      </c>
      <c r="T708" s="124">
        <f ca="1">OFFSET(CÁLCULO!H$15,ROW($T708)-ROW(T$15),0)</f>
        <v>202.39</v>
      </c>
      <c r="U708" s="125">
        <f t="shared" ca="1" si="165"/>
        <v>0</v>
      </c>
      <c r="V708" s="126" t="s">
        <v>156</v>
      </c>
      <c r="W708" s="124">
        <f ca="1">IF($C708="S",ROUND(IF(TIPOORCAMENTO="Proposto",ORÇAMENTO.CustoUnitario*(1+$AH708),ORÇAMENTO.PrecoUnitarioLicitado),15-13*$AF$10),0)</f>
        <v>0</v>
      </c>
      <c r="X708" s="127">
        <f ca="1">IF($C708="S",IF(Import.TipoArredondamento&lt;&gt;"TransfereGOV",VTOTAL1,SUM(OFFSET(CÁLCULO!$AI$15,ROW($X708)-ROW($X$15),1):OFFSET(CÁLCULO!$BB$15,ROW($X708)-ROW($X$15),-1))),IF($C708=0,0,ROUND(SomaAgrup,15-13*$AF$11)))</f>
        <v>0</v>
      </c>
      <c r="Y708" s="128" t="s">
        <v>245</v>
      </c>
      <c r="Z708" t="str">
        <f t="shared" ca="1" si="163"/>
        <v/>
      </c>
      <c r="AA708" s="129">
        <f ca="1">IF($C708="S",IF($Z708="CP",$X708,IF($Z708="RA",(($X708)*QCI!$AA$3),0)),SomaAgrup)</f>
        <v>0</v>
      </c>
      <c r="AB708" s="130">
        <f t="shared" ca="1" si="167"/>
        <v>0</v>
      </c>
      <c r="AC708" s="131" t="str">
        <f ca="1">IF($N708="","",IF(ORÇAMENTO.Descricao="","DESCRIÇÃO",IF(AND($C708="S",ORÇAMENTO.Unidade=""),"UNIDADE",IF($X708&lt;0,"VALOR NEGATIVO",IF(OR(AND(TIPOORCAMENTO="Proposto",$AG708&lt;&gt;"",$AG708&gt;0,ORÇAMENTO.CustoUnitario&gt;$AG708),AND(TIPOORCAMENTO="LICITADO",ORÇAMENTO.PrecoUnitarioLicitado&gt;$AN708)),"ACIMA REF.","")))))</f>
        <v/>
      </c>
      <c r="AD708" t="str">
        <f ca="1">IF(C708&lt;=CRONO.NivelExibicao,MAX($AD$15:OFFSET(AD708,-1,0))+IF($C708&lt;&gt;1,1,MAX(1,COUNTIF(QCI!$A$13:$A$24,OFFSET($E708,-1,0)))),"")</f>
        <v/>
      </c>
      <c r="AE708" s="7" t="str">
        <f ca="1">IF(AND($C708="S",ORÇAMENTO.CodBarra&lt;&gt;""),IF(ORÇAMENTO.Fonte="",ORÇAMENTO.CodBarra,CONCATENATE(ORÇAMENTO.Fonte," ",ORÇAMENTO.CodBarra)))</f>
        <v>SINAPI 92759</v>
      </c>
      <c r="AF708" s="13" t="str">
        <f ca="1">IF(ISERROR(INDIRECT(ORÇAMENTO.BancoRef)),"(abra o arquivo 'Referência "&amp;Excel_BuiltIn_Database&amp;".xlsm)",IF(OR($C708&lt;&gt;"S",ORÇAMENTO.CodBarra=""),"(Sem Código)",IF(ISERROR(MATCH($AE708,INDIRECT(ORÇAMENTO.BancoRef),0)),"(Código não identificado nas referências)",MATCH($AE708,INDIRECT(ORÇAMENTO.BancoRef),0))))</f>
        <v>(abra o arquivo 'Referência 06-2024.xlsm)</v>
      </c>
      <c r="AG708" s="498">
        <f ca="1">ROUND(IF(DESONERACAO="sim",REFERENCIA.Desonerado,REFERENCIA.NaoDesonerado),2)</f>
        <v>0</v>
      </c>
      <c r="AH708" s="499">
        <f t="shared" ca="1" si="168"/>
        <v>0.2432</v>
      </c>
      <c r="AJ708" s="501"/>
      <c r="AL708" s="527"/>
      <c r="AM708" s="381">
        <f t="shared" ca="1" si="164"/>
        <v>0</v>
      </c>
      <c r="AN708" s="566">
        <f t="shared" ca="1" si="169"/>
        <v>0</v>
      </c>
    </row>
    <row r="709" spans="1:40" ht="38.25" x14ac:dyDescent="0.2">
      <c r="A709" t="str">
        <f t="shared" si="166"/>
        <v>S</v>
      </c>
      <c r="B709">
        <f t="shared" ca="1" si="153"/>
        <v>2</v>
      </c>
      <c r="C709" t="str">
        <f t="shared" ca="1" si="154"/>
        <v>S</v>
      </c>
      <c r="D709">
        <f t="shared" ca="1" si="155"/>
        <v>0</v>
      </c>
      <c r="E709">
        <f ca="1">IF($C709=1,OFFSET(E709,-1,0)+MAX(1,COUNTIF(QCI!$A$13:$A$24,OFFSET(ORÇAMENTO!E709,-1,0))),OFFSET(E709,-1,0))</f>
        <v>1</v>
      </c>
      <c r="F709">
        <f t="shared" ca="1" si="156"/>
        <v>76</v>
      </c>
      <c r="G709">
        <f t="shared" ca="1" si="157"/>
        <v>0</v>
      </c>
      <c r="H709">
        <f t="shared" ca="1" si="158"/>
        <v>0</v>
      </c>
      <c r="I709">
        <f t="shared" ca="1" si="159"/>
        <v>0</v>
      </c>
      <c r="J709">
        <f t="shared" ca="1" si="152"/>
        <v>0</v>
      </c>
      <c r="K709">
        <f ca="1">IF(OR($C709="S",$C709=0),0,MATCH(OFFSET($D709,0,$C709)+IF($C709&lt;&gt;1,1,COUNTIF(QCI!$A$13:$A$24,ORÇAMENTO!E709)),OFFSET($D709,1,$C709,ROW($C$727)-ROW($C709)),0))</f>
        <v>0</v>
      </c>
      <c r="L709" s="116" t="str">
        <f t="shared" ca="1" si="160"/>
        <v/>
      </c>
      <c r="M709" s="117" t="s">
        <v>199</v>
      </c>
      <c r="N709" s="118" t="str">
        <f t="shared" ca="1" si="161"/>
        <v>Serviço</v>
      </c>
      <c r="O709" s="119" t="str">
        <f t="shared" ca="1" si="162"/>
        <v>-</v>
      </c>
      <c r="P709" s="120" t="s">
        <v>247</v>
      </c>
      <c r="Q709" s="121" t="s">
        <v>497</v>
      </c>
      <c r="R709" s="122" t="str">
        <f ca="1">IF($C709="S",REFERENCIA.Descricao,"(digite a descrição aqui)")</f>
        <v>(abra o arquivo 'Referência 06-2024.xlsm)</v>
      </c>
      <c r="S709" s="123" t="str">
        <f ca="1">REFERENCIA.Unidade</f>
        <v>-</v>
      </c>
      <c r="T709" s="124">
        <f ca="1">OFFSET(CÁLCULO!H$15,ROW($T709)-ROW(T$15),0)</f>
        <v>12.09</v>
      </c>
      <c r="U709" s="125">
        <f t="shared" ca="1" si="165"/>
        <v>0</v>
      </c>
      <c r="V709" s="126" t="s">
        <v>156</v>
      </c>
      <c r="W709" s="124">
        <f ca="1">IF($C709="S",ROUND(IF(TIPOORCAMENTO="Proposto",ORÇAMENTO.CustoUnitario*(1+$AH709),ORÇAMENTO.PrecoUnitarioLicitado),15-13*$AF$10),0)</f>
        <v>0</v>
      </c>
      <c r="X709" s="127">
        <f ca="1">IF($C709="S",IF(Import.TipoArredondamento&lt;&gt;"TransfereGOV",VTOTAL1,SUM(OFFSET(CÁLCULO!$AI$15,ROW($X709)-ROW($X$15),1):OFFSET(CÁLCULO!$BB$15,ROW($X709)-ROW($X$15),-1))),IF($C709=0,0,ROUND(SomaAgrup,15-13*$AF$11)))</f>
        <v>0</v>
      </c>
      <c r="Y709" s="128" t="s">
        <v>245</v>
      </c>
      <c r="Z709" t="str">
        <f t="shared" ca="1" si="163"/>
        <v/>
      </c>
      <c r="AA709" s="129">
        <f ca="1">IF($C709="S",IF($Z709="CP",$X709,IF($Z709="RA",(($X709)*QCI!$AA$3),0)),SomaAgrup)</f>
        <v>0</v>
      </c>
      <c r="AB709" s="130">
        <f t="shared" ca="1" si="167"/>
        <v>0</v>
      </c>
      <c r="AC709" s="131" t="str">
        <f ca="1">IF($N709="","",IF(ORÇAMENTO.Descricao="","DESCRIÇÃO",IF(AND($C709="S",ORÇAMENTO.Unidade=""),"UNIDADE",IF($X709&lt;0,"VALOR NEGATIVO",IF(OR(AND(TIPOORCAMENTO="Proposto",$AG709&lt;&gt;"",$AG709&gt;0,ORÇAMENTO.CustoUnitario&gt;$AG709),AND(TIPOORCAMENTO="LICITADO",ORÇAMENTO.PrecoUnitarioLicitado&gt;$AN709)),"ACIMA REF.","")))))</f>
        <v/>
      </c>
      <c r="AD709" t="str">
        <f ca="1">IF(C709&lt;=CRONO.NivelExibicao,MAX($AD$15:OFFSET(AD709,-1,0))+IF($C709&lt;&gt;1,1,MAX(1,COUNTIF(QCI!$A$13:$A$24,OFFSET($E709,-1,0)))),"")</f>
        <v/>
      </c>
      <c r="AE709" s="7" t="str">
        <f ca="1">IF(AND($C709="S",ORÇAMENTO.CodBarra&lt;&gt;""),IF(ORÇAMENTO.Fonte="",ORÇAMENTO.CodBarra,CONCATENATE(ORÇAMENTO.Fonte," ",ORÇAMENTO.CodBarra)))</f>
        <v>SINAPI 103675</v>
      </c>
      <c r="AF709" s="13" t="str">
        <f ca="1">IF(ISERROR(INDIRECT(ORÇAMENTO.BancoRef)),"(abra o arquivo 'Referência "&amp;Excel_BuiltIn_Database&amp;".xlsm)",IF(OR($C709&lt;&gt;"S",ORÇAMENTO.CodBarra=""),"(Sem Código)",IF(ISERROR(MATCH($AE709,INDIRECT(ORÇAMENTO.BancoRef),0)),"(Código não identificado nas referências)",MATCH($AE709,INDIRECT(ORÇAMENTO.BancoRef),0))))</f>
        <v>(abra o arquivo 'Referência 06-2024.xlsm)</v>
      </c>
      <c r="AG709" s="498">
        <f ca="1">ROUND(IF(DESONERACAO="sim",REFERENCIA.Desonerado,REFERENCIA.NaoDesonerado),2)</f>
        <v>0</v>
      </c>
      <c r="AH709" s="499">
        <f t="shared" ca="1" si="168"/>
        <v>0.2432</v>
      </c>
      <c r="AJ709" s="501"/>
      <c r="AL709" s="527"/>
      <c r="AM709" s="381">
        <f t="shared" ca="1" si="164"/>
        <v>0</v>
      </c>
      <c r="AN709" s="566">
        <f t="shared" ca="1" si="169"/>
        <v>0</v>
      </c>
    </row>
    <row r="710" spans="1:40" x14ac:dyDescent="0.2">
      <c r="A710">
        <f t="shared" si="166"/>
        <v>2</v>
      </c>
      <c r="B710">
        <f t="shared" ca="1" si="153"/>
        <v>2</v>
      </c>
      <c r="C710">
        <f t="shared" ca="1" si="154"/>
        <v>2</v>
      </c>
      <c r="D710">
        <f t="shared" ca="1" si="155"/>
        <v>2</v>
      </c>
      <c r="E710">
        <f ca="1">IF($C710=1,OFFSET(E710,-1,0)+MAX(1,COUNTIF(QCI!$A$13:$A$24,OFFSET(ORÇAMENTO!E710,-1,0))),OFFSET(E710,-1,0))</f>
        <v>1</v>
      </c>
      <c r="F710">
        <f t="shared" ca="1" si="156"/>
        <v>77</v>
      </c>
      <c r="G710">
        <f t="shared" ca="1" si="157"/>
        <v>0</v>
      </c>
      <c r="H710">
        <f t="shared" ca="1" si="158"/>
        <v>0</v>
      </c>
      <c r="I710">
        <f t="shared" ca="1" si="159"/>
        <v>0</v>
      </c>
      <c r="J710">
        <f t="shared" ca="1" si="152"/>
        <v>17</v>
      </c>
      <c r="K710">
        <f ca="1">IF(OR($C710="S",$C710=0),0,MATCH(OFFSET($D710,0,$C710)+IF($C710&lt;&gt;1,1,COUNTIF(QCI!$A$13:$A$24,ORÇAMENTO!E710)),OFFSET($D710,1,$C710,ROW($C$727)-ROW($C710)),0))</f>
        <v>2</v>
      </c>
      <c r="L710" s="116" t="str">
        <f t="shared" ca="1" si="160"/>
        <v>F</v>
      </c>
      <c r="M710" s="117" t="s">
        <v>196</v>
      </c>
      <c r="N710" s="118" t="str">
        <f t="shared" ca="1" si="161"/>
        <v>Nível 2</v>
      </c>
      <c r="O710" s="119" t="str">
        <f t="shared" ca="1" si="162"/>
        <v>1.77.</v>
      </c>
      <c r="P710" s="120" t="s">
        <v>247</v>
      </c>
      <c r="Q710" s="121"/>
      <c r="R710" s="122" t="s">
        <v>1097</v>
      </c>
      <c r="S710" s="123" t="str">
        <f ca="1">REFERENCIA.Unidade</f>
        <v>-</v>
      </c>
      <c r="T710" s="124">
        <f ca="1">OFFSET(CÁLCULO!H$15,ROW($T710)-ROW(T$15),0)</f>
        <v>0</v>
      </c>
      <c r="U710" s="125">
        <f t="shared" ca="1" si="165"/>
        <v>0</v>
      </c>
      <c r="V710" s="126" t="s">
        <v>156</v>
      </c>
      <c r="W710" s="124">
        <f ca="1">IF($C710="S",ROUND(IF(TIPOORCAMENTO="Proposto",ORÇAMENTO.CustoUnitario*(1+$AH710),ORÇAMENTO.PrecoUnitarioLicitado),15-13*$AF$10),0)</f>
        <v>0</v>
      </c>
      <c r="X710" s="127">
        <f ca="1">IF($C710="S",IF(Import.TipoArredondamento&lt;&gt;"TransfereGOV",VTOTAL1,SUM(OFFSET(CÁLCULO!$AI$15,ROW($X710)-ROW($X$15),1):OFFSET(CÁLCULO!$BB$15,ROW($X710)-ROW($X$15),-1))),IF($C710=0,0,ROUND(SomaAgrup,15-13*$AF$11)))</f>
        <v>0</v>
      </c>
      <c r="Y710" s="128" t="s">
        <v>245</v>
      </c>
      <c r="Z710" t="str">
        <f t="shared" ca="1" si="163"/>
        <v/>
      </c>
      <c r="AA710" s="129">
        <f ca="1">IF($C710="S",IF($Z710="CP",$X710,IF($Z710="RA",(($X710)*QCI!$AA$3),0)),SomaAgrup)</f>
        <v>0</v>
      </c>
      <c r="AB710" s="130">
        <f t="shared" ca="1" si="167"/>
        <v>0</v>
      </c>
      <c r="AC710" s="131" t="str">
        <f ca="1">IF($N710="","",IF(ORÇAMENTO.Descricao="","DESCRIÇÃO",IF(AND($C710="S",ORÇAMENTO.Unidade=""),"UNIDADE",IF($X710&lt;0,"VALOR NEGATIVO",IF(OR(AND(TIPOORCAMENTO="Proposto",$AG710&lt;&gt;"",$AG710&gt;0,ORÇAMENTO.CustoUnitario&gt;$AG710),AND(TIPOORCAMENTO="LICITADO",ORÇAMENTO.PrecoUnitarioLicitado&gt;$AN710)),"ACIMA REF.","")))))</f>
        <v/>
      </c>
      <c r="AD710">
        <f ca="1">IF(C710&lt;=CRONO.NivelExibicao,MAX($AD$15:OFFSET(AD710,-1,0))+IF($C710&lt;&gt;1,1,MAX(1,COUNTIF(QCI!$A$13:$A$24,OFFSET($E710,-1,0)))),"")</f>
        <v>78</v>
      </c>
      <c r="AE710" s="7" t="b">
        <f ca="1">IF(AND($C710="S",ORÇAMENTO.CodBarra&lt;&gt;""),IF(ORÇAMENTO.Fonte="",ORÇAMENTO.CodBarra,CONCATENATE(ORÇAMENTO.Fonte," ",ORÇAMENTO.CodBarra)))</f>
        <v>0</v>
      </c>
      <c r="AF710" s="13" t="str">
        <f ca="1">IF(ISERROR(INDIRECT(ORÇAMENTO.BancoRef)),"(abra o arquivo 'Referência "&amp;Excel_BuiltIn_Database&amp;".xlsm)",IF(OR($C710&lt;&gt;"S",ORÇAMENTO.CodBarra=""),"(Sem Código)",IF(ISERROR(MATCH($AE710,INDIRECT(ORÇAMENTO.BancoRef),0)),"(Código não identificado nas referências)",MATCH($AE710,INDIRECT(ORÇAMENTO.BancoRef),0))))</f>
        <v>(abra o arquivo 'Referência 06-2024.xlsm)</v>
      </c>
      <c r="AG710" s="498">
        <f ca="1">ROUND(IF(DESONERACAO="sim",REFERENCIA.Desonerado,REFERENCIA.NaoDesonerado),2)</f>
        <v>0</v>
      </c>
      <c r="AH710" s="499">
        <f t="shared" ca="1" si="168"/>
        <v>0.2432</v>
      </c>
      <c r="AJ710" s="501"/>
      <c r="AL710" s="527"/>
      <c r="AM710" s="381">
        <f t="shared" ca="1" si="164"/>
        <v>0</v>
      </c>
      <c r="AN710" s="566">
        <f t="shared" ca="1" si="169"/>
        <v>0</v>
      </c>
    </row>
    <row r="711" spans="1:40" ht="25.5" x14ac:dyDescent="0.2">
      <c r="A711" t="str">
        <f t="shared" si="166"/>
        <v>S</v>
      </c>
      <c r="B711">
        <f t="shared" ca="1" si="153"/>
        <v>2</v>
      </c>
      <c r="C711" t="str">
        <f t="shared" ca="1" si="154"/>
        <v>S</v>
      </c>
      <c r="D711">
        <f t="shared" ca="1" si="155"/>
        <v>0</v>
      </c>
      <c r="E711">
        <f ca="1">IF($C711=1,OFFSET(E711,-1,0)+MAX(1,COUNTIF(QCI!$A$13:$A$24,OFFSET(ORÇAMENTO!E711,-1,0))),OFFSET(E711,-1,0))</f>
        <v>1</v>
      </c>
      <c r="F711">
        <f t="shared" ca="1" si="156"/>
        <v>77</v>
      </c>
      <c r="G711">
        <f t="shared" ca="1" si="157"/>
        <v>0</v>
      </c>
      <c r="H711">
        <f t="shared" ca="1" si="158"/>
        <v>0</v>
      </c>
      <c r="I711">
        <f t="shared" ca="1" si="159"/>
        <v>0</v>
      </c>
      <c r="J711">
        <f t="shared" ca="1" si="152"/>
        <v>0</v>
      </c>
      <c r="K711">
        <f ca="1">IF(OR($C711="S",$C711=0),0,MATCH(OFFSET($D711,0,$C711)+IF($C711&lt;&gt;1,1,COUNTIF(QCI!$A$13:$A$24,ORÇAMENTO!E711)),OFFSET($D711,1,$C711,ROW($C$727)-ROW($C711)),0))</f>
        <v>0</v>
      </c>
      <c r="L711" s="116" t="str">
        <f t="shared" ca="1" si="160"/>
        <v/>
      </c>
      <c r="M711" s="117" t="s">
        <v>199</v>
      </c>
      <c r="N711" s="118" t="str">
        <f t="shared" ca="1" si="161"/>
        <v>Serviço</v>
      </c>
      <c r="O711" s="119" t="str">
        <f t="shared" ca="1" si="162"/>
        <v>-</v>
      </c>
      <c r="P711" s="120" t="s">
        <v>458</v>
      </c>
      <c r="Q711" s="121" t="s">
        <v>578</v>
      </c>
      <c r="R711" s="122" t="str">
        <f ca="1">IF($C711="S",REFERENCIA.Descricao,"(digite a descrição aqui)")</f>
        <v>(abra o arquivo 'Referência 06-2024.xlsm)</v>
      </c>
      <c r="S711" s="123" t="str">
        <f ca="1">REFERENCIA.Unidade</f>
        <v>-</v>
      </c>
      <c r="T711" s="124">
        <f ca="1">OFFSET(CÁLCULO!H$15,ROW($T711)-ROW(T$15),0)</f>
        <v>106.81</v>
      </c>
      <c r="U711" s="125">
        <f t="shared" ca="1" si="165"/>
        <v>0</v>
      </c>
      <c r="V711" s="126" t="s">
        <v>156</v>
      </c>
      <c r="W711" s="124">
        <f ca="1">IF($C711="S",ROUND(IF(TIPOORCAMENTO="Proposto",ORÇAMENTO.CustoUnitario*(1+$AH711),ORÇAMENTO.PrecoUnitarioLicitado),15-13*$AF$10),0)</f>
        <v>0</v>
      </c>
      <c r="X711" s="127">
        <f ca="1">IF($C711="S",IF(Import.TipoArredondamento&lt;&gt;"TransfereGOV",VTOTAL1,SUM(OFFSET(CÁLCULO!$AI$15,ROW($X711)-ROW($X$15),1):OFFSET(CÁLCULO!$BB$15,ROW($X711)-ROW($X$15),-1))),IF($C711=0,0,ROUND(SomaAgrup,15-13*$AF$11)))</f>
        <v>0</v>
      </c>
      <c r="Y711" s="128" t="s">
        <v>245</v>
      </c>
      <c r="Z711" t="str">
        <f t="shared" ca="1" si="163"/>
        <v/>
      </c>
      <c r="AA711" s="129">
        <f ca="1">IF($C711="S",IF($Z711="CP",$X711,IF($Z711="RA",(($X711)*QCI!$AA$3),0)),SomaAgrup)</f>
        <v>0</v>
      </c>
      <c r="AB711" s="130">
        <f t="shared" ca="1" si="167"/>
        <v>0</v>
      </c>
      <c r="AC711" s="131" t="str">
        <f ca="1">IF($N711="","",IF(ORÇAMENTO.Descricao="","DESCRIÇÃO",IF(AND($C711="S",ORÇAMENTO.Unidade=""),"UNIDADE",IF($X711&lt;0,"VALOR NEGATIVO",IF(OR(AND(TIPOORCAMENTO="Proposto",$AG711&lt;&gt;"",$AG711&gt;0,ORÇAMENTO.CustoUnitario&gt;$AG711),AND(TIPOORCAMENTO="LICITADO",ORÇAMENTO.PrecoUnitarioLicitado&gt;$AN711)),"ACIMA REF.","")))))</f>
        <v/>
      </c>
      <c r="AD711" t="str">
        <f ca="1">IF(C711&lt;=CRONO.NivelExibicao,MAX($AD$15:OFFSET(AD711,-1,0))+IF($C711&lt;&gt;1,1,MAX(1,COUNTIF(QCI!$A$13:$A$24,OFFSET($E711,-1,0)))),"")</f>
        <v/>
      </c>
      <c r="AE711" s="7" t="str">
        <f ca="1">IF(AND($C711="S",ORÇAMENTO.CodBarra&lt;&gt;""),IF(ORÇAMENTO.Fonte="",ORÇAMENTO.CodBarra,CONCATENATE(ORÇAMENTO.Fonte," ",ORÇAMENTO.CodBarra)))</f>
        <v>COMPOSIÇÃO FNDE 172</v>
      </c>
      <c r="AF711" s="13" t="str">
        <f ca="1">IF(ISERROR(INDIRECT(ORÇAMENTO.BancoRef)),"(abra o arquivo 'Referência "&amp;Excel_BuiltIn_Database&amp;".xlsm)",IF(OR($C711&lt;&gt;"S",ORÇAMENTO.CodBarra=""),"(Sem Código)",IF(ISERROR(MATCH($AE711,INDIRECT(ORÇAMENTO.BancoRef),0)),"(Código não identificado nas referências)",MATCH($AE711,INDIRECT(ORÇAMENTO.BancoRef),0))))</f>
        <v>(abra o arquivo 'Referência 06-2024.xlsm)</v>
      </c>
      <c r="AG711" s="498">
        <f ca="1">ROUND(IF(DESONERACAO="sim",REFERENCIA.Desonerado,REFERENCIA.NaoDesonerado),2)</f>
        <v>0</v>
      </c>
      <c r="AH711" s="499">
        <f t="shared" ca="1" si="168"/>
        <v>0.2432</v>
      </c>
      <c r="AJ711" s="501"/>
      <c r="AL711" s="527"/>
      <c r="AM711" s="381">
        <f t="shared" ca="1" si="164"/>
        <v>0</v>
      </c>
      <c r="AN711" s="566">
        <f t="shared" ca="1" si="169"/>
        <v>0</v>
      </c>
    </row>
    <row r="712" spans="1:40" x14ac:dyDescent="0.2">
      <c r="A712">
        <f t="shared" si="166"/>
        <v>2</v>
      </c>
      <c r="B712">
        <f t="shared" ca="1" si="153"/>
        <v>2</v>
      </c>
      <c r="C712">
        <f t="shared" ca="1" si="154"/>
        <v>2</v>
      </c>
      <c r="D712">
        <f t="shared" ca="1" si="155"/>
        <v>3</v>
      </c>
      <c r="E712">
        <f ca="1">IF($C712=1,OFFSET(E712,-1,0)+MAX(1,COUNTIF(QCI!$A$13:$A$24,OFFSET(ORÇAMENTO!E712,-1,0))),OFFSET(E712,-1,0))</f>
        <v>1</v>
      </c>
      <c r="F712">
        <f t="shared" ca="1" si="156"/>
        <v>78</v>
      </c>
      <c r="G712">
        <f t="shared" ca="1" si="157"/>
        <v>0</v>
      </c>
      <c r="H712">
        <f t="shared" ca="1" si="158"/>
        <v>0</v>
      </c>
      <c r="I712">
        <f t="shared" ca="1" si="159"/>
        <v>0</v>
      </c>
      <c r="J712">
        <f t="shared" ca="1" si="152"/>
        <v>15</v>
      </c>
      <c r="K712">
        <f ca="1">IF(OR($C712="S",$C712=0),0,MATCH(OFFSET($D712,0,$C712)+IF($C712&lt;&gt;1,1,COUNTIF(QCI!$A$13:$A$24,ORÇAMENTO!E712)),OFFSET($D712,1,$C712,ROW($C$727)-ROW($C712)),0))</f>
        <v>3</v>
      </c>
      <c r="L712" s="116" t="str">
        <f t="shared" ca="1" si="160"/>
        <v>F</v>
      </c>
      <c r="M712" s="117" t="s">
        <v>196</v>
      </c>
      <c r="N712" s="118" t="str">
        <f t="shared" ca="1" si="161"/>
        <v>Nível 2</v>
      </c>
      <c r="O712" s="119" t="str">
        <f t="shared" ca="1" si="162"/>
        <v>1.78.</v>
      </c>
      <c r="P712" s="120" t="s">
        <v>247</v>
      </c>
      <c r="Q712" s="121"/>
      <c r="R712" s="122" t="s">
        <v>1098</v>
      </c>
      <c r="S712" s="123" t="str">
        <f ca="1">REFERENCIA.Unidade</f>
        <v>-</v>
      </c>
      <c r="T712" s="124">
        <f ca="1">OFFSET(CÁLCULO!H$15,ROW($T712)-ROW(T$15),0)</f>
        <v>0</v>
      </c>
      <c r="U712" s="125">
        <f t="shared" ca="1" si="165"/>
        <v>0</v>
      </c>
      <c r="V712" s="126" t="s">
        <v>156</v>
      </c>
      <c r="W712" s="124">
        <f ca="1">IF($C712="S",ROUND(IF(TIPOORCAMENTO="Proposto",ORÇAMENTO.CustoUnitario*(1+$AH712),ORÇAMENTO.PrecoUnitarioLicitado),15-13*$AF$10),0)</f>
        <v>0</v>
      </c>
      <c r="X712" s="127">
        <f ca="1">IF($C712="S",IF(Import.TipoArredondamento&lt;&gt;"TransfereGOV",VTOTAL1,SUM(OFFSET(CÁLCULO!$AI$15,ROW($X712)-ROW($X$15),1):OFFSET(CÁLCULO!$BB$15,ROW($X712)-ROW($X$15),-1))),IF($C712=0,0,ROUND(SomaAgrup,15-13*$AF$11)))</f>
        <v>0</v>
      </c>
      <c r="Y712" s="128" t="s">
        <v>245</v>
      </c>
      <c r="Z712" t="str">
        <f t="shared" ca="1" si="163"/>
        <v/>
      </c>
      <c r="AA712" s="129">
        <f ca="1">IF($C712="S",IF($Z712="CP",$X712,IF($Z712="RA",(($X712)*QCI!$AA$3),0)),SomaAgrup)</f>
        <v>0</v>
      </c>
      <c r="AB712" s="130">
        <f t="shared" ca="1" si="167"/>
        <v>0</v>
      </c>
      <c r="AC712" s="131" t="str">
        <f ca="1">IF($N712="","",IF(ORÇAMENTO.Descricao="","DESCRIÇÃO",IF(AND($C712="S",ORÇAMENTO.Unidade=""),"UNIDADE",IF($X712&lt;0,"VALOR NEGATIVO",IF(OR(AND(TIPOORCAMENTO="Proposto",$AG712&lt;&gt;"",$AG712&gt;0,ORÇAMENTO.CustoUnitario&gt;$AG712),AND(TIPOORCAMENTO="LICITADO",ORÇAMENTO.PrecoUnitarioLicitado&gt;$AN712)),"ACIMA REF.","")))))</f>
        <v/>
      </c>
      <c r="AD712">
        <f ca="1">IF(C712&lt;=CRONO.NivelExibicao,MAX($AD$15:OFFSET(AD712,-1,0))+IF($C712&lt;&gt;1,1,MAX(1,COUNTIF(QCI!$A$13:$A$24,OFFSET($E712,-1,0)))),"")</f>
        <v>79</v>
      </c>
      <c r="AE712" s="7" t="b">
        <f ca="1">IF(AND($C712="S",ORÇAMENTO.CodBarra&lt;&gt;""),IF(ORÇAMENTO.Fonte="",ORÇAMENTO.CodBarra,CONCATENATE(ORÇAMENTO.Fonte," ",ORÇAMENTO.CodBarra)))</f>
        <v>0</v>
      </c>
      <c r="AF712" s="13" t="str">
        <f ca="1">IF(ISERROR(INDIRECT(ORÇAMENTO.BancoRef)),"(abra o arquivo 'Referência "&amp;Excel_BuiltIn_Database&amp;".xlsm)",IF(OR($C712&lt;&gt;"S",ORÇAMENTO.CodBarra=""),"(Sem Código)",IF(ISERROR(MATCH($AE712,INDIRECT(ORÇAMENTO.BancoRef),0)),"(Código não identificado nas referências)",MATCH($AE712,INDIRECT(ORÇAMENTO.BancoRef),0))))</f>
        <v>(abra o arquivo 'Referência 06-2024.xlsm)</v>
      </c>
      <c r="AG712" s="498">
        <f ca="1">ROUND(IF(DESONERACAO="sim",REFERENCIA.Desonerado,REFERENCIA.NaoDesonerado),2)</f>
        <v>0</v>
      </c>
      <c r="AH712" s="499">
        <f t="shared" ca="1" si="168"/>
        <v>0.2432</v>
      </c>
      <c r="AJ712" s="501"/>
      <c r="AL712" s="527"/>
      <c r="AM712" s="381">
        <f t="shared" ca="1" si="164"/>
        <v>0</v>
      </c>
      <c r="AN712" s="566">
        <f t="shared" ca="1" si="169"/>
        <v>0</v>
      </c>
    </row>
    <row r="713" spans="1:40" ht="38.25" x14ac:dyDescent="0.2">
      <c r="A713" t="str">
        <f t="shared" si="166"/>
        <v>S</v>
      </c>
      <c r="B713">
        <f t="shared" ca="1" si="153"/>
        <v>2</v>
      </c>
      <c r="C713" t="str">
        <f t="shared" ca="1" si="154"/>
        <v>S</v>
      </c>
      <c r="D713">
        <f t="shared" ca="1" si="155"/>
        <v>0</v>
      </c>
      <c r="E713">
        <f ca="1">IF($C713=1,OFFSET(E713,-1,0)+MAX(1,COUNTIF(QCI!$A$13:$A$24,OFFSET(ORÇAMENTO!E713,-1,0))),OFFSET(E713,-1,0))</f>
        <v>1</v>
      </c>
      <c r="F713">
        <f t="shared" ca="1" si="156"/>
        <v>78</v>
      </c>
      <c r="G713">
        <f t="shared" ca="1" si="157"/>
        <v>0</v>
      </c>
      <c r="H713">
        <f t="shared" ca="1" si="158"/>
        <v>0</v>
      </c>
      <c r="I713">
        <f t="shared" ca="1" si="159"/>
        <v>0</v>
      </c>
      <c r="J713">
        <f t="shared" ca="1" si="152"/>
        <v>0</v>
      </c>
      <c r="K713">
        <f ca="1">IF(OR($C713="S",$C713=0),0,MATCH(OFFSET($D713,0,$C713)+IF($C713&lt;&gt;1,1,COUNTIF(QCI!$A$13:$A$24,ORÇAMENTO!E713)),OFFSET($D713,1,$C713,ROW($C$727)-ROW($C713)),0))</f>
        <v>0</v>
      </c>
      <c r="L713" s="116" t="str">
        <f t="shared" ca="1" si="160"/>
        <v/>
      </c>
      <c r="M713" s="117" t="s">
        <v>199</v>
      </c>
      <c r="N713" s="118" t="str">
        <f t="shared" ca="1" si="161"/>
        <v>Serviço</v>
      </c>
      <c r="O713" s="119" t="str">
        <f t="shared" ca="1" si="162"/>
        <v>-</v>
      </c>
      <c r="P713" s="120" t="s">
        <v>247</v>
      </c>
      <c r="Q713" s="121" t="s">
        <v>513</v>
      </c>
      <c r="R713" s="122" t="str">
        <f ca="1">IF($C713="S",REFERENCIA.Descricao,"(digite a descrição aqui)")</f>
        <v>(abra o arquivo 'Referência 06-2024.xlsm)</v>
      </c>
      <c r="S713" s="123" t="str">
        <f ca="1">REFERENCIA.Unidade</f>
        <v>-</v>
      </c>
      <c r="T713" s="124">
        <f ca="1">OFFSET(CÁLCULO!H$15,ROW($T713)-ROW(T$15),0)</f>
        <v>330.6</v>
      </c>
      <c r="U713" s="125">
        <f t="shared" ca="1" si="165"/>
        <v>0</v>
      </c>
      <c r="V713" s="126" t="s">
        <v>156</v>
      </c>
      <c r="W713" s="124">
        <f ca="1">IF($C713="S",ROUND(IF(TIPOORCAMENTO="Proposto",ORÇAMENTO.CustoUnitario*(1+$AH713),ORÇAMENTO.PrecoUnitarioLicitado),15-13*$AF$10),0)</f>
        <v>0</v>
      </c>
      <c r="X713" s="127">
        <f ca="1">IF($C713="S",IF(Import.TipoArredondamento&lt;&gt;"TransfereGOV",VTOTAL1,SUM(OFFSET(CÁLCULO!$AI$15,ROW($X713)-ROW($X$15),1):OFFSET(CÁLCULO!$BB$15,ROW($X713)-ROW($X$15),-1))),IF($C713=0,0,ROUND(SomaAgrup,15-13*$AF$11)))</f>
        <v>0</v>
      </c>
      <c r="Y713" s="128" t="s">
        <v>245</v>
      </c>
      <c r="Z713" t="str">
        <f t="shared" ca="1" si="163"/>
        <v/>
      </c>
      <c r="AA713" s="129">
        <f ca="1">IF($C713="S",IF($Z713="CP",$X713,IF($Z713="RA",(($X713)*QCI!$AA$3),0)),SomaAgrup)</f>
        <v>0</v>
      </c>
      <c r="AB713" s="130">
        <f t="shared" ca="1" si="167"/>
        <v>0</v>
      </c>
      <c r="AC713" s="131" t="str">
        <f ca="1">IF($N713="","",IF(ORÇAMENTO.Descricao="","DESCRIÇÃO",IF(AND($C713="S",ORÇAMENTO.Unidade=""),"UNIDADE",IF($X713&lt;0,"VALOR NEGATIVO",IF(OR(AND(TIPOORCAMENTO="Proposto",$AG713&lt;&gt;"",$AG713&gt;0,ORÇAMENTO.CustoUnitario&gt;$AG713),AND(TIPOORCAMENTO="LICITADO",ORÇAMENTO.PrecoUnitarioLicitado&gt;$AN713)),"ACIMA REF.","")))))</f>
        <v/>
      </c>
      <c r="AD713" t="str">
        <f ca="1">IF(C713&lt;=CRONO.NivelExibicao,MAX($AD$15:OFFSET(AD713,-1,0))+IF($C713&lt;&gt;1,1,MAX(1,COUNTIF(QCI!$A$13:$A$24,OFFSET($E713,-1,0)))),"")</f>
        <v/>
      </c>
      <c r="AE713" s="7" t="str">
        <f ca="1">IF(AND($C713="S",ORÇAMENTO.CodBarra&lt;&gt;""),IF(ORÇAMENTO.Fonte="",ORÇAMENTO.CodBarra,CONCATENATE(ORÇAMENTO.Fonte," ",ORÇAMENTO.CodBarra)))</f>
        <v>SINAPI 103324</v>
      </c>
      <c r="AF713" s="13" t="str">
        <f ca="1">IF(ISERROR(INDIRECT(ORÇAMENTO.BancoRef)),"(abra o arquivo 'Referência "&amp;Excel_BuiltIn_Database&amp;".xlsm)",IF(OR($C713&lt;&gt;"S",ORÇAMENTO.CodBarra=""),"(Sem Código)",IF(ISERROR(MATCH($AE713,INDIRECT(ORÇAMENTO.BancoRef),0)),"(Código não identificado nas referências)",MATCH($AE713,INDIRECT(ORÇAMENTO.BancoRef),0))))</f>
        <v>(abra o arquivo 'Referência 06-2024.xlsm)</v>
      </c>
      <c r="AG713" s="498">
        <f ca="1">ROUND(IF(DESONERACAO="sim",REFERENCIA.Desonerado,REFERENCIA.NaoDesonerado),2)</f>
        <v>0</v>
      </c>
      <c r="AH713" s="499">
        <f t="shared" ca="1" si="168"/>
        <v>0.2432</v>
      </c>
      <c r="AJ713" s="501"/>
      <c r="AL713" s="527"/>
      <c r="AM713" s="381">
        <f t="shared" ca="1" si="164"/>
        <v>0</v>
      </c>
      <c r="AN713" s="566">
        <f t="shared" ca="1" si="169"/>
        <v>0</v>
      </c>
    </row>
    <row r="714" spans="1:40" ht="25.5" x14ac:dyDescent="0.2">
      <c r="A714" t="str">
        <f t="shared" si="166"/>
        <v>S</v>
      </c>
      <c r="B714">
        <f t="shared" ca="1" si="153"/>
        <v>2</v>
      </c>
      <c r="C714" t="str">
        <f t="shared" ca="1" si="154"/>
        <v>S</v>
      </c>
      <c r="D714">
        <f t="shared" ca="1" si="155"/>
        <v>0</v>
      </c>
      <c r="E714">
        <f ca="1">IF($C714=1,OFFSET(E714,-1,0)+MAX(1,COUNTIF(QCI!$A$13:$A$24,OFFSET(ORÇAMENTO!E714,-1,0))),OFFSET(E714,-1,0))</f>
        <v>1</v>
      </c>
      <c r="F714">
        <f t="shared" ca="1" si="156"/>
        <v>78</v>
      </c>
      <c r="G714">
        <f t="shared" ca="1" si="157"/>
        <v>0</v>
      </c>
      <c r="H714">
        <f t="shared" ca="1" si="158"/>
        <v>0</v>
      </c>
      <c r="I714">
        <f t="shared" ca="1" si="159"/>
        <v>0</v>
      </c>
      <c r="J714">
        <f t="shared" ca="1" si="152"/>
        <v>0</v>
      </c>
      <c r="K714">
        <f ca="1">IF(OR($C714="S",$C714=0),0,MATCH(OFFSET($D714,0,$C714)+IF($C714&lt;&gt;1,1,COUNTIF(QCI!$A$13:$A$24,ORÇAMENTO!E714)),OFFSET($D714,1,$C714,ROW($C$727)-ROW($C714)),0))</f>
        <v>0</v>
      </c>
      <c r="L714" s="116" t="str">
        <f t="shared" ca="1" si="160"/>
        <v/>
      </c>
      <c r="M714" s="117" t="s">
        <v>199</v>
      </c>
      <c r="N714" s="118" t="str">
        <f t="shared" ca="1" si="161"/>
        <v>Serviço</v>
      </c>
      <c r="O714" s="119" t="str">
        <f t="shared" ca="1" si="162"/>
        <v>-</v>
      </c>
      <c r="P714" s="120" t="s">
        <v>458</v>
      </c>
      <c r="Q714" s="121" t="s">
        <v>1013</v>
      </c>
      <c r="R714" s="122" t="str">
        <f ca="1">IF($C714="S",REFERENCIA.Descricao,"(digite a descrição aqui)")</f>
        <v>(abra o arquivo 'Referência 06-2024.xlsm)</v>
      </c>
      <c r="S714" s="123" t="str">
        <f ca="1">REFERENCIA.Unidade</f>
        <v>-</v>
      </c>
      <c r="T714" s="124">
        <f ca="1">OFFSET(CÁLCULO!H$15,ROW($T714)-ROW(T$15),0)</f>
        <v>171.8</v>
      </c>
      <c r="U714" s="125">
        <f t="shared" ca="1" si="165"/>
        <v>0</v>
      </c>
      <c r="V714" s="126" t="s">
        <v>156</v>
      </c>
      <c r="W714" s="124">
        <f ca="1">IF($C714="S",ROUND(IF(TIPOORCAMENTO="Proposto",ORÇAMENTO.CustoUnitario*(1+$AH714),ORÇAMENTO.PrecoUnitarioLicitado),15-13*$AF$10),0)</f>
        <v>0</v>
      </c>
      <c r="X714" s="127">
        <f ca="1">IF($C714="S",IF(Import.TipoArredondamento&lt;&gt;"TransfereGOV",VTOTAL1,SUM(OFFSET(CÁLCULO!$AI$15,ROW($X714)-ROW($X$15),1):OFFSET(CÁLCULO!$BB$15,ROW($X714)-ROW($X$15),-1))),IF($C714=0,0,ROUND(SomaAgrup,15-13*$AF$11)))</f>
        <v>0</v>
      </c>
      <c r="Y714" s="128" t="s">
        <v>245</v>
      </c>
      <c r="Z714" t="str">
        <f t="shared" ca="1" si="163"/>
        <v/>
      </c>
      <c r="AA714" s="129">
        <f ca="1">IF($C714="S",IF($Z714="CP",$X714,IF($Z714="RA",(($X714)*QCI!$AA$3),0)),SomaAgrup)</f>
        <v>0</v>
      </c>
      <c r="AB714" s="130">
        <f t="shared" ca="1" si="167"/>
        <v>0</v>
      </c>
      <c r="AC714" s="131" t="str">
        <f ca="1">IF($N714="","",IF(ORÇAMENTO.Descricao="","DESCRIÇÃO",IF(AND($C714="S",ORÇAMENTO.Unidade=""),"UNIDADE",IF($X714&lt;0,"VALOR NEGATIVO",IF(OR(AND(TIPOORCAMENTO="Proposto",$AG714&lt;&gt;"",$AG714&gt;0,ORÇAMENTO.CustoUnitario&gt;$AG714),AND(TIPOORCAMENTO="LICITADO",ORÇAMENTO.PrecoUnitarioLicitado&gt;$AN714)),"ACIMA REF.","")))))</f>
        <v/>
      </c>
      <c r="AD714" t="str">
        <f ca="1">IF(C714&lt;=CRONO.NivelExibicao,MAX($AD$15:OFFSET(AD714,-1,0))+IF($C714&lt;&gt;1,1,MAX(1,COUNTIF(QCI!$A$13:$A$24,OFFSET($E714,-1,0)))),"")</f>
        <v/>
      </c>
      <c r="AE714" s="7" t="str">
        <f ca="1">IF(AND($C714="S",ORÇAMENTO.CodBarra&lt;&gt;""),IF(ORÇAMENTO.Fonte="",ORÇAMENTO.CodBarra,CONCATENATE(ORÇAMENTO.Fonte," ",ORÇAMENTO.CodBarra)))</f>
        <v>COMPOSIÇÃO 93201</v>
      </c>
      <c r="AF714" s="13" t="str">
        <f ca="1">IF(ISERROR(INDIRECT(ORÇAMENTO.BancoRef)),"(abra o arquivo 'Referência "&amp;Excel_BuiltIn_Database&amp;".xlsm)",IF(OR($C714&lt;&gt;"S",ORÇAMENTO.CodBarra=""),"(Sem Código)",IF(ISERROR(MATCH($AE714,INDIRECT(ORÇAMENTO.BancoRef),0)),"(Código não identificado nas referências)",MATCH($AE714,INDIRECT(ORÇAMENTO.BancoRef),0))))</f>
        <v>(abra o arquivo 'Referência 06-2024.xlsm)</v>
      </c>
      <c r="AG714" s="498">
        <f ca="1">ROUND(IF(DESONERACAO="sim",REFERENCIA.Desonerado,REFERENCIA.NaoDesonerado),2)</f>
        <v>0</v>
      </c>
      <c r="AH714" s="499">
        <f t="shared" ca="1" si="168"/>
        <v>0.2432</v>
      </c>
      <c r="AJ714" s="501"/>
      <c r="AL714" s="527"/>
      <c r="AM714" s="381">
        <f t="shared" ca="1" si="164"/>
        <v>0</v>
      </c>
      <c r="AN714" s="566">
        <f t="shared" ca="1" si="169"/>
        <v>0</v>
      </c>
    </row>
    <row r="715" spans="1:40" x14ac:dyDescent="0.2">
      <c r="A715">
        <f t="shared" si="166"/>
        <v>2</v>
      </c>
      <c r="B715">
        <f t="shared" ca="1" si="153"/>
        <v>2</v>
      </c>
      <c r="C715">
        <f t="shared" ca="1" si="154"/>
        <v>2</v>
      </c>
      <c r="D715">
        <f t="shared" ca="1" si="155"/>
        <v>6</v>
      </c>
      <c r="E715">
        <f ca="1">IF($C715=1,OFFSET(E715,-1,0)+MAX(1,COUNTIF(QCI!$A$13:$A$24,OFFSET(ORÇAMENTO!E715,-1,0))),OFFSET(E715,-1,0))</f>
        <v>1</v>
      </c>
      <c r="F715">
        <f t="shared" ca="1" si="156"/>
        <v>79</v>
      </c>
      <c r="G715">
        <f t="shared" ca="1" si="157"/>
        <v>0</v>
      </c>
      <c r="H715">
        <f t="shared" ca="1" si="158"/>
        <v>0</v>
      </c>
      <c r="I715">
        <f t="shared" ca="1" si="159"/>
        <v>0</v>
      </c>
      <c r="J715">
        <f t="shared" ca="1" si="152"/>
        <v>12</v>
      </c>
      <c r="K715">
        <f ca="1">IF(OR($C715="S",$C715=0),0,MATCH(OFFSET($D715,0,$C715)+IF($C715&lt;&gt;1,1,COUNTIF(QCI!$A$13:$A$24,ORÇAMENTO!E715)),OFFSET($D715,1,$C715,ROW($C$727)-ROW($C715)),0))</f>
        <v>6</v>
      </c>
      <c r="L715" s="116" t="str">
        <f t="shared" ca="1" si="160"/>
        <v>F</v>
      </c>
      <c r="M715" s="117" t="s">
        <v>196</v>
      </c>
      <c r="N715" s="118" t="str">
        <f t="shared" ca="1" si="161"/>
        <v>Nível 2</v>
      </c>
      <c r="O715" s="119" t="str">
        <f t="shared" ca="1" si="162"/>
        <v>1.79.</v>
      </c>
      <c r="P715" s="120" t="s">
        <v>247</v>
      </c>
      <c r="Q715" s="121"/>
      <c r="R715" s="122" t="s">
        <v>1099</v>
      </c>
      <c r="S715" s="123" t="str">
        <f ca="1">REFERENCIA.Unidade</f>
        <v>-</v>
      </c>
      <c r="T715" s="124">
        <f ca="1">OFFSET(CÁLCULO!H$15,ROW($T715)-ROW(T$15),0)</f>
        <v>0</v>
      </c>
      <c r="U715" s="125">
        <f t="shared" ca="1" si="165"/>
        <v>0</v>
      </c>
      <c r="V715" s="126" t="s">
        <v>156</v>
      </c>
      <c r="W715" s="124">
        <f ca="1">IF($C715="S",ROUND(IF(TIPOORCAMENTO="Proposto",ORÇAMENTO.CustoUnitario*(1+$AH715),ORÇAMENTO.PrecoUnitarioLicitado),15-13*$AF$10),0)</f>
        <v>0</v>
      </c>
      <c r="X715" s="127">
        <f ca="1">IF($C715="S",IF(Import.TipoArredondamento&lt;&gt;"TransfereGOV",VTOTAL1,SUM(OFFSET(CÁLCULO!$AI$15,ROW($X715)-ROW($X$15),1):OFFSET(CÁLCULO!$BB$15,ROW($X715)-ROW($X$15),-1))),IF($C715=0,0,ROUND(SomaAgrup,15-13*$AF$11)))</f>
        <v>0</v>
      </c>
      <c r="Y715" s="128" t="s">
        <v>245</v>
      </c>
      <c r="Z715" t="str">
        <f t="shared" ca="1" si="163"/>
        <v/>
      </c>
      <c r="AA715" s="129">
        <f ca="1">IF($C715="S",IF($Z715="CP",$X715,IF($Z715="RA",(($X715)*QCI!$AA$3),0)),SomaAgrup)</f>
        <v>0</v>
      </c>
      <c r="AB715" s="130">
        <f t="shared" ca="1" si="167"/>
        <v>0</v>
      </c>
      <c r="AC715" s="131" t="str">
        <f ca="1">IF($N715="","",IF(ORÇAMENTO.Descricao="","DESCRIÇÃO",IF(AND($C715="S",ORÇAMENTO.Unidade=""),"UNIDADE",IF($X715&lt;0,"VALOR NEGATIVO",IF(OR(AND(TIPOORCAMENTO="Proposto",$AG715&lt;&gt;"",$AG715&gt;0,ORÇAMENTO.CustoUnitario&gt;$AG715),AND(TIPOORCAMENTO="LICITADO",ORÇAMENTO.PrecoUnitarioLicitado&gt;$AN715)),"ACIMA REF.","")))))</f>
        <v/>
      </c>
      <c r="AD715">
        <f ca="1">IF(C715&lt;=CRONO.NivelExibicao,MAX($AD$15:OFFSET(AD715,-1,0))+IF($C715&lt;&gt;1,1,MAX(1,COUNTIF(QCI!$A$13:$A$24,OFFSET($E715,-1,0)))),"")</f>
        <v>80</v>
      </c>
      <c r="AE715" s="7" t="b">
        <f ca="1">IF(AND($C715="S",ORÇAMENTO.CodBarra&lt;&gt;""),IF(ORÇAMENTO.Fonte="",ORÇAMENTO.CodBarra,CONCATENATE(ORÇAMENTO.Fonte," ",ORÇAMENTO.CodBarra)))</f>
        <v>0</v>
      </c>
      <c r="AF715" s="13" t="str">
        <f ca="1">IF(ISERROR(INDIRECT(ORÇAMENTO.BancoRef)),"(abra o arquivo 'Referência "&amp;Excel_BuiltIn_Database&amp;".xlsm)",IF(OR($C715&lt;&gt;"S",ORÇAMENTO.CodBarra=""),"(Sem Código)",IF(ISERROR(MATCH($AE715,INDIRECT(ORÇAMENTO.BancoRef),0)),"(Código não identificado nas referências)",MATCH($AE715,INDIRECT(ORÇAMENTO.BancoRef),0))))</f>
        <v>(abra o arquivo 'Referência 06-2024.xlsm)</v>
      </c>
      <c r="AG715" s="498">
        <f ca="1">ROUND(IF(DESONERACAO="sim",REFERENCIA.Desonerado,REFERENCIA.NaoDesonerado),2)</f>
        <v>0</v>
      </c>
      <c r="AH715" s="499">
        <f t="shared" ca="1" si="168"/>
        <v>0.2432</v>
      </c>
      <c r="AJ715" s="501"/>
      <c r="AL715" s="527"/>
      <c r="AM715" s="381">
        <f t="shared" ca="1" si="164"/>
        <v>0</v>
      </c>
      <c r="AN715" s="566">
        <f t="shared" ca="1" si="169"/>
        <v>0</v>
      </c>
    </row>
    <row r="716" spans="1:40" ht="38.25" x14ac:dyDescent="0.2">
      <c r="A716" t="str">
        <f t="shared" si="166"/>
        <v>S</v>
      </c>
      <c r="B716">
        <f t="shared" ca="1" si="153"/>
        <v>2</v>
      </c>
      <c r="C716" t="str">
        <f t="shared" ca="1" si="154"/>
        <v>S</v>
      </c>
      <c r="D716">
        <f t="shared" ca="1" si="155"/>
        <v>0</v>
      </c>
      <c r="E716">
        <f ca="1">IF($C716=1,OFFSET(E716,-1,0)+MAX(1,COUNTIF(QCI!$A$13:$A$24,OFFSET(ORÇAMENTO!E716,-1,0))),OFFSET(E716,-1,0))</f>
        <v>1</v>
      </c>
      <c r="F716">
        <f t="shared" ca="1" si="156"/>
        <v>79</v>
      </c>
      <c r="G716">
        <f t="shared" ca="1" si="157"/>
        <v>0</v>
      </c>
      <c r="H716">
        <f t="shared" ca="1" si="158"/>
        <v>0</v>
      </c>
      <c r="I716">
        <f t="shared" ca="1" si="159"/>
        <v>0</v>
      </c>
      <c r="J716">
        <f t="shared" ca="1" si="152"/>
        <v>0</v>
      </c>
      <c r="K716">
        <f ca="1">IF(OR($C716="S",$C716=0),0,MATCH(OFFSET($D716,0,$C716)+IF($C716&lt;&gt;1,1,COUNTIF(QCI!$A$13:$A$24,ORÇAMENTO!E716)),OFFSET($D716,1,$C716,ROW($C$727)-ROW($C716)),0))</f>
        <v>0</v>
      </c>
      <c r="L716" s="116" t="str">
        <f t="shared" ca="1" si="160"/>
        <v/>
      </c>
      <c r="M716" s="117" t="s">
        <v>199</v>
      </c>
      <c r="N716" s="118" t="str">
        <f t="shared" ca="1" si="161"/>
        <v>Serviço</v>
      </c>
      <c r="O716" s="119" t="str">
        <f t="shared" ca="1" si="162"/>
        <v>-</v>
      </c>
      <c r="P716" s="120" t="s">
        <v>458</v>
      </c>
      <c r="Q716" s="121" t="s">
        <v>584</v>
      </c>
      <c r="R716" s="122" t="str">
        <f ca="1">IF($C716="S",REFERENCIA.Descricao,"(digite a descrição aqui)")</f>
        <v>(abra o arquivo 'Referência 06-2024.xlsm)</v>
      </c>
      <c r="S716" s="123" t="str">
        <f ca="1">REFERENCIA.Unidade</f>
        <v>-</v>
      </c>
      <c r="T716" s="124">
        <f ca="1">OFFSET(CÁLCULO!H$15,ROW($T716)-ROW(T$15),0)</f>
        <v>330.6</v>
      </c>
      <c r="U716" s="125">
        <f t="shared" ca="1" si="165"/>
        <v>0</v>
      </c>
      <c r="V716" s="126" t="s">
        <v>156</v>
      </c>
      <c r="W716" s="124">
        <f ca="1">IF($C716="S",ROUND(IF(TIPOORCAMENTO="Proposto",ORÇAMENTO.CustoUnitario*(1+$AH716),ORÇAMENTO.PrecoUnitarioLicitado),15-13*$AF$10),0)</f>
        <v>0</v>
      </c>
      <c r="X716" s="127">
        <f ca="1">IF($C716="S",IF(Import.TipoArredondamento&lt;&gt;"TransfereGOV",VTOTAL1,SUM(OFFSET(CÁLCULO!$AI$15,ROW($X716)-ROW($X$15),1):OFFSET(CÁLCULO!$BB$15,ROW($X716)-ROW($X$15),-1))),IF($C716=0,0,ROUND(SomaAgrup,15-13*$AF$11)))</f>
        <v>0</v>
      </c>
      <c r="Y716" s="128" t="s">
        <v>245</v>
      </c>
      <c r="Z716" t="str">
        <f t="shared" ca="1" si="163"/>
        <v/>
      </c>
      <c r="AA716" s="129">
        <f ca="1">IF($C716="S",IF($Z716="CP",$X716,IF($Z716="RA",(($X716)*QCI!$AA$3),0)),SomaAgrup)</f>
        <v>0</v>
      </c>
      <c r="AB716" s="130">
        <f t="shared" ca="1" si="167"/>
        <v>0</v>
      </c>
      <c r="AC716" s="131" t="str">
        <f ca="1">IF($N716="","",IF(ORÇAMENTO.Descricao="","DESCRIÇÃO",IF(AND($C716="S",ORÇAMENTO.Unidade=""),"UNIDADE",IF($X716&lt;0,"VALOR NEGATIVO",IF(OR(AND(TIPOORCAMENTO="Proposto",$AG716&lt;&gt;"",$AG716&gt;0,ORÇAMENTO.CustoUnitario&gt;$AG716),AND(TIPOORCAMENTO="LICITADO",ORÇAMENTO.PrecoUnitarioLicitado&gt;$AN716)),"ACIMA REF.","")))))</f>
        <v/>
      </c>
      <c r="AD716" t="str">
        <f ca="1">IF(C716&lt;=CRONO.NivelExibicao,MAX($AD$15:OFFSET(AD716,-1,0))+IF($C716&lt;&gt;1,1,MAX(1,COUNTIF(QCI!$A$13:$A$24,OFFSET($E716,-1,0)))),"")</f>
        <v/>
      </c>
      <c r="AE716" s="7" t="str">
        <f ca="1">IF(AND($C716="S",ORÇAMENTO.CodBarra&lt;&gt;""),IF(ORÇAMENTO.Fonte="",ORÇAMENTO.CodBarra,CONCATENATE(ORÇAMENTO.Fonte," ",ORÇAMENTO.CodBarra)))</f>
        <v>COMPOSIÇÃO FNDE 176</v>
      </c>
      <c r="AF716" s="13" t="str">
        <f ca="1">IF(ISERROR(INDIRECT(ORÇAMENTO.BancoRef)),"(abra o arquivo 'Referência "&amp;Excel_BuiltIn_Database&amp;".xlsm)",IF(OR($C716&lt;&gt;"S",ORÇAMENTO.CodBarra=""),"(Sem Código)",IF(ISERROR(MATCH($AE716,INDIRECT(ORÇAMENTO.BancoRef),0)),"(Código não identificado nas referências)",MATCH($AE716,INDIRECT(ORÇAMENTO.BancoRef),0))))</f>
        <v>(abra o arquivo 'Referência 06-2024.xlsm)</v>
      </c>
      <c r="AG716" s="498">
        <f ca="1">ROUND(IF(DESONERACAO="sim",REFERENCIA.Desonerado,REFERENCIA.NaoDesonerado),2)</f>
        <v>0</v>
      </c>
      <c r="AH716" s="499">
        <f t="shared" ca="1" si="168"/>
        <v>0.2432</v>
      </c>
      <c r="AJ716" s="501"/>
      <c r="AL716" s="527"/>
      <c r="AM716" s="381">
        <f t="shared" ca="1" si="164"/>
        <v>0</v>
      </c>
      <c r="AN716" s="566">
        <f t="shared" ca="1" si="169"/>
        <v>0</v>
      </c>
    </row>
    <row r="717" spans="1:40" ht="38.25" x14ac:dyDescent="0.2">
      <c r="A717" t="str">
        <f t="shared" si="166"/>
        <v>S</v>
      </c>
      <c r="B717">
        <f t="shared" ca="1" si="153"/>
        <v>2</v>
      </c>
      <c r="C717" t="str">
        <f t="shared" ca="1" si="154"/>
        <v>S</v>
      </c>
      <c r="D717">
        <f t="shared" ca="1" si="155"/>
        <v>0</v>
      </c>
      <c r="E717">
        <f ca="1">IF($C717=1,OFFSET(E717,-1,0)+MAX(1,COUNTIF(QCI!$A$13:$A$24,OFFSET(ORÇAMENTO!E717,-1,0))),OFFSET(E717,-1,0))</f>
        <v>1</v>
      </c>
      <c r="F717">
        <f t="shared" ca="1" si="156"/>
        <v>79</v>
      </c>
      <c r="G717">
        <f t="shared" ca="1" si="157"/>
        <v>0</v>
      </c>
      <c r="H717">
        <f t="shared" ca="1" si="158"/>
        <v>0</v>
      </c>
      <c r="I717">
        <f t="shared" ca="1" si="159"/>
        <v>0</v>
      </c>
      <c r="J717">
        <f t="shared" ca="1" si="152"/>
        <v>0</v>
      </c>
      <c r="K717">
        <f ca="1">IF(OR($C717="S",$C717=0),0,MATCH(OFFSET($D717,0,$C717)+IF($C717&lt;&gt;1,1,COUNTIF(QCI!$A$13:$A$24,ORÇAMENTO!E717)),OFFSET($D717,1,$C717,ROW($C$727)-ROW($C717)),0))</f>
        <v>0</v>
      </c>
      <c r="L717" s="116" t="str">
        <f t="shared" ca="1" si="160"/>
        <v/>
      </c>
      <c r="M717" s="117" t="s">
        <v>199</v>
      </c>
      <c r="N717" s="118" t="str">
        <f t="shared" ca="1" si="161"/>
        <v>Serviço</v>
      </c>
      <c r="O717" s="119" t="str">
        <f t="shared" ca="1" si="162"/>
        <v>-</v>
      </c>
      <c r="P717" s="120" t="s">
        <v>458</v>
      </c>
      <c r="Q717" s="121" t="s">
        <v>1004</v>
      </c>
      <c r="R717" s="122" t="str">
        <f ca="1">IF($C717="S",REFERENCIA.Descricao,"(digite a descrição aqui)")</f>
        <v>(abra o arquivo 'Referência 06-2024.xlsm)</v>
      </c>
      <c r="S717" s="123" t="str">
        <f ca="1">REFERENCIA.Unidade</f>
        <v>-</v>
      </c>
      <c r="T717" s="124">
        <f ca="1">OFFSET(CÁLCULO!H$15,ROW($T717)-ROW(T$15),0)</f>
        <v>330.6</v>
      </c>
      <c r="U717" s="125">
        <f t="shared" ca="1" si="165"/>
        <v>0</v>
      </c>
      <c r="V717" s="126" t="s">
        <v>156</v>
      </c>
      <c r="W717" s="124">
        <f ca="1">IF($C717="S",ROUND(IF(TIPOORCAMENTO="Proposto",ORÇAMENTO.CustoUnitario*(1+$AH717),ORÇAMENTO.PrecoUnitarioLicitado),15-13*$AF$10),0)</f>
        <v>0</v>
      </c>
      <c r="X717" s="127">
        <f ca="1">IF($C717="S",IF(Import.TipoArredondamento&lt;&gt;"TransfereGOV",VTOTAL1,SUM(OFFSET(CÁLCULO!$AI$15,ROW($X717)-ROW($X$15),1):OFFSET(CÁLCULO!$BB$15,ROW($X717)-ROW($X$15),-1))),IF($C717=0,0,ROUND(SomaAgrup,15-13*$AF$11)))</f>
        <v>0</v>
      </c>
      <c r="Y717" s="128" t="s">
        <v>245</v>
      </c>
      <c r="Z717" t="str">
        <f t="shared" ca="1" si="163"/>
        <v/>
      </c>
      <c r="AA717" s="129">
        <f ca="1">IF($C717="S",IF($Z717="CP",$X717,IF($Z717="RA",(($X717)*QCI!$AA$3),0)),SomaAgrup)</f>
        <v>0</v>
      </c>
      <c r="AB717" s="130">
        <f t="shared" ca="1" si="167"/>
        <v>0</v>
      </c>
      <c r="AC717" s="131" t="str">
        <f ca="1">IF($N717="","",IF(ORÇAMENTO.Descricao="","DESCRIÇÃO",IF(AND($C717="S",ORÇAMENTO.Unidade=""),"UNIDADE",IF($X717&lt;0,"VALOR NEGATIVO",IF(OR(AND(TIPOORCAMENTO="Proposto",$AG717&lt;&gt;"",$AG717&gt;0,ORÇAMENTO.CustoUnitario&gt;$AG717),AND(TIPOORCAMENTO="LICITADO",ORÇAMENTO.PrecoUnitarioLicitado&gt;$AN717)),"ACIMA REF.","")))))</f>
        <v/>
      </c>
      <c r="AD717" t="str">
        <f ca="1">IF(C717&lt;=CRONO.NivelExibicao,MAX($AD$15:OFFSET(AD717,-1,0))+IF($C717&lt;&gt;1,1,MAX(1,COUNTIF(QCI!$A$13:$A$24,OFFSET($E717,-1,0)))),"")</f>
        <v/>
      </c>
      <c r="AE717" s="7" t="str">
        <f ca="1">IF(AND($C717="S",ORÇAMENTO.CodBarra&lt;&gt;""),IF(ORÇAMENTO.Fonte="",ORÇAMENTO.CodBarra,CONCATENATE(ORÇAMENTO.Fonte," ",ORÇAMENTO.CodBarra)))</f>
        <v>COMPOSIÇÃO FNDE 177</v>
      </c>
      <c r="AF717" s="13" t="str">
        <f ca="1">IF(ISERROR(INDIRECT(ORÇAMENTO.BancoRef)),"(abra o arquivo 'Referência "&amp;Excel_BuiltIn_Database&amp;".xlsm)",IF(OR($C717&lt;&gt;"S",ORÇAMENTO.CodBarra=""),"(Sem Código)",IF(ISERROR(MATCH($AE717,INDIRECT(ORÇAMENTO.BancoRef),0)),"(Código não identificado nas referências)",MATCH($AE717,INDIRECT(ORÇAMENTO.BancoRef),0))))</f>
        <v>(abra o arquivo 'Referência 06-2024.xlsm)</v>
      </c>
      <c r="AG717" s="498">
        <f ca="1">ROUND(IF(DESONERACAO="sim",REFERENCIA.Desonerado,REFERENCIA.NaoDesonerado),2)</f>
        <v>0</v>
      </c>
      <c r="AH717" s="499">
        <f t="shared" ca="1" si="168"/>
        <v>0.2432</v>
      </c>
      <c r="AJ717" s="501"/>
      <c r="AL717" s="527"/>
      <c r="AM717" s="381">
        <f t="shared" ca="1" si="164"/>
        <v>0</v>
      </c>
      <c r="AN717" s="566">
        <f t="shared" ca="1" si="169"/>
        <v>0</v>
      </c>
    </row>
    <row r="718" spans="1:40" ht="51" x14ac:dyDescent="0.2">
      <c r="A718" t="str">
        <f t="shared" si="166"/>
        <v>S</v>
      </c>
      <c r="B718">
        <f t="shared" ca="1" si="153"/>
        <v>2</v>
      </c>
      <c r="C718" t="str">
        <f t="shared" ca="1" si="154"/>
        <v>S</v>
      </c>
      <c r="D718">
        <f t="shared" ca="1" si="155"/>
        <v>0</v>
      </c>
      <c r="E718">
        <f ca="1">IF($C718=1,OFFSET(E718,-1,0)+MAX(1,COUNTIF(QCI!$A$13:$A$24,OFFSET(ORÇAMENTO!E718,-1,0))),OFFSET(E718,-1,0))</f>
        <v>1</v>
      </c>
      <c r="F718">
        <f t="shared" ca="1" si="156"/>
        <v>79</v>
      </c>
      <c r="G718">
        <f t="shared" ca="1" si="157"/>
        <v>0</v>
      </c>
      <c r="H718">
        <f t="shared" ca="1" si="158"/>
        <v>0</v>
      </c>
      <c r="I718">
        <f t="shared" ca="1" si="159"/>
        <v>0</v>
      </c>
      <c r="J718">
        <f t="shared" ca="1" si="152"/>
        <v>0</v>
      </c>
      <c r="K718">
        <f ca="1">IF(OR($C718="S",$C718=0),0,MATCH(OFFSET($D718,0,$C718)+IF($C718&lt;&gt;1,1,COUNTIF(QCI!$A$13:$A$24,ORÇAMENTO!E718)),OFFSET($D718,1,$C718,ROW($C$727)-ROW($C718)),0))</f>
        <v>0</v>
      </c>
      <c r="L718" s="116" t="str">
        <f t="shared" ca="1" si="160"/>
        <v/>
      </c>
      <c r="M718" s="117" t="s">
        <v>199</v>
      </c>
      <c r="N718" s="118" t="str">
        <f t="shared" ca="1" si="161"/>
        <v>Serviço</v>
      </c>
      <c r="O718" s="119" t="str">
        <f t="shared" ca="1" si="162"/>
        <v>-</v>
      </c>
      <c r="P718" s="120" t="s">
        <v>458</v>
      </c>
      <c r="Q718" s="121" t="s">
        <v>1005</v>
      </c>
      <c r="R718" s="122" t="str">
        <f ca="1">IF($C718="S",REFERENCIA.Descricao,"(digite a descrição aqui)")</f>
        <v>(abra o arquivo 'Referência 06-2024.xlsm)</v>
      </c>
      <c r="S718" s="123" t="str">
        <f ca="1">REFERENCIA.Unidade</f>
        <v>-</v>
      </c>
      <c r="T718" s="124">
        <f ca="1">OFFSET(CÁLCULO!H$15,ROW($T718)-ROW(T$15),0)</f>
        <v>330.6</v>
      </c>
      <c r="U718" s="125">
        <f t="shared" ca="1" si="165"/>
        <v>0</v>
      </c>
      <c r="V718" s="126" t="s">
        <v>156</v>
      </c>
      <c r="W718" s="124">
        <f ca="1">IF($C718="S",ROUND(IF(TIPOORCAMENTO="Proposto",ORÇAMENTO.CustoUnitario*(1+$AH718),ORÇAMENTO.PrecoUnitarioLicitado),15-13*$AF$10),0)</f>
        <v>0</v>
      </c>
      <c r="X718" s="127">
        <f ca="1">IF($C718="S",IF(Import.TipoArredondamento&lt;&gt;"TransfereGOV",VTOTAL1,SUM(OFFSET(CÁLCULO!$AI$15,ROW($X718)-ROW($X$15),1):OFFSET(CÁLCULO!$BB$15,ROW($X718)-ROW($X$15),-1))),IF($C718=0,0,ROUND(SomaAgrup,15-13*$AF$11)))</f>
        <v>0</v>
      </c>
      <c r="Y718" s="128" t="s">
        <v>245</v>
      </c>
      <c r="Z718" t="str">
        <f t="shared" ca="1" si="163"/>
        <v/>
      </c>
      <c r="AA718" s="129">
        <f ca="1">IF($C718="S",IF($Z718="CP",$X718,IF($Z718="RA",(($X718)*QCI!$AA$3),0)),SomaAgrup)</f>
        <v>0</v>
      </c>
      <c r="AB718" s="130">
        <f t="shared" ca="1" si="167"/>
        <v>0</v>
      </c>
      <c r="AC718" s="131" t="str">
        <f ca="1">IF($N718="","",IF(ORÇAMENTO.Descricao="","DESCRIÇÃO",IF(AND($C718="S",ORÇAMENTO.Unidade=""),"UNIDADE",IF($X718&lt;0,"VALOR NEGATIVO",IF(OR(AND(TIPOORCAMENTO="Proposto",$AG718&lt;&gt;"",$AG718&gt;0,ORÇAMENTO.CustoUnitario&gt;$AG718),AND(TIPOORCAMENTO="LICITADO",ORÇAMENTO.PrecoUnitarioLicitado&gt;$AN718)),"ACIMA REF.","")))))</f>
        <v/>
      </c>
      <c r="AD718" t="str">
        <f ca="1">IF(C718&lt;=CRONO.NivelExibicao,MAX($AD$15:OFFSET(AD718,-1,0))+IF($C718&lt;&gt;1,1,MAX(1,COUNTIF(QCI!$A$13:$A$24,OFFSET($E718,-1,0)))),"")</f>
        <v/>
      </c>
      <c r="AE718" s="7" t="str">
        <f ca="1">IF(AND($C718="S",ORÇAMENTO.CodBarra&lt;&gt;""),IF(ORÇAMENTO.Fonte="",ORÇAMENTO.CodBarra,CONCATENATE(ORÇAMENTO.Fonte," ",ORÇAMENTO.CodBarra)))</f>
        <v>COMPOSIÇÃO FNDE 178</v>
      </c>
      <c r="AF718" s="13" t="str">
        <f ca="1">IF(ISERROR(INDIRECT(ORÇAMENTO.BancoRef)),"(abra o arquivo 'Referência "&amp;Excel_BuiltIn_Database&amp;".xlsm)",IF(OR($C718&lt;&gt;"S",ORÇAMENTO.CodBarra=""),"(Sem Código)",IF(ISERROR(MATCH($AE718,INDIRECT(ORÇAMENTO.BancoRef),0)),"(Código não identificado nas referências)",MATCH($AE718,INDIRECT(ORÇAMENTO.BancoRef),0))))</f>
        <v>(abra o arquivo 'Referência 06-2024.xlsm)</v>
      </c>
      <c r="AG718" s="498">
        <f ca="1">ROUND(IF(DESONERACAO="sim",REFERENCIA.Desonerado,REFERENCIA.NaoDesonerado),2)</f>
        <v>0</v>
      </c>
      <c r="AH718" s="499">
        <f t="shared" ca="1" si="168"/>
        <v>0.2432</v>
      </c>
      <c r="AJ718" s="501"/>
      <c r="AL718" s="527"/>
      <c r="AM718" s="381">
        <f t="shared" ca="1" si="164"/>
        <v>0</v>
      </c>
      <c r="AN718" s="566">
        <f t="shared" ca="1" si="169"/>
        <v>0</v>
      </c>
    </row>
    <row r="719" spans="1:40" ht="51" x14ac:dyDescent="0.2">
      <c r="A719" t="str">
        <f t="shared" si="166"/>
        <v>S</v>
      </c>
      <c r="B719">
        <f t="shared" ca="1" si="153"/>
        <v>2</v>
      </c>
      <c r="C719" t="str">
        <f t="shared" ca="1" si="154"/>
        <v>S</v>
      </c>
      <c r="D719">
        <f t="shared" ca="1" si="155"/>
        <v>0</v>
      </c>
      <c r="E719">
        <f ca="1">IF($C719=1,OFFSET(E719,-1,0)+MAX(1,COUNTIF(QCI!$A$13:$A$24,OFFSET(ORÇAMENTO!E719,-1,0))),OFFSET(E719,-1,0))</f>
        <v>1</v>
      </c>
      <c r="F719">
        <f t="shared" ca="1" si="156"/>
        <v>79</v>
      </c>
      <c r="G719">
        <f t="shared" ca="1" si="157"/>
        <v>0</v>
      </c>
      <c r="H719">
        <f t="shared" ca="1" si="158"/>
        <v>0</v>
      </c>
      <c r="I719">
        <f t="shared" ca="1" si="159"/>
        <v>0</v>
      </c>
      <c r="J719">
        <f t="shared" ca="1" si="152"/>
        <v>0</v>
      </c>
      <c r="K719">
        <f ca="1">IF(OR($C719="S",$C719=0),0,MATCH(OFFSET($D719,0,$C719)+IF($C719&lt;&gt;1,1,COUNTIF(QCI!$A$13:$A$24,ORÇAMENTO!E719)),OFFSET($D719,1,$C719,ROW($C$727)-ROW($C719)),0))</f>
        <v>0</v>
      </c>
      <c r="L719" s="116" t="str">
        <f t="shared" ca="1" si="160"/>
        <v/>
      </c>
      <c r="M719" s="117" t="s">
        <v>199</v>
      </c>
      <c r="N719" s="118" t="str">
        <f t="shared" ca="1" si="161"/>
        <v>Serviço</v>
      </c>
      <c r="O719" s="119" t="str">
        <f t="shared" ca="1" si="162"/>
        <v>-</v>
      </c>
      <c r="P719" s="120" t="s">
        <v>458</v>
      </c>
      <c r="Q719" s="121" t="s">
        <v>1006</v>
      </c>
      <c r="R719" s="122" t="str">
        <f ca="1">IF($C719="S",REFERENCIA.Descricao,"(digite a descrição aqui)")</f>
        <v>(abra o arquivo 'Referência 06-2024.xlsm)</v>
      </c>
      <c r="S719" s="123" t="str">
        <f ca="1">REFERENCIA.Unidade</f>
        <v>-</v>
      </c>
      <c r="T719" s="124">
        <f ca="1">OFFSET(CÁLCULO!H$15,ROW($T719)-ROW(T$15),0)</f>
        <v>330.6</v>
      </c>
      <c r="U719" s="125">
        <f t="shared" ca="1" si="165"/>
        <v>0</v>
      </c>
      <c r="V719" s="126" t="s">
        <v>156</v>
      </c>
      <c r="W719" s="124">
        <f ca="1">IF($C719="S",ROUND(IF(TIPOORCAMENTO="Proposto",ORÇAMENTO.CustoUnitario*(1+$AH719),ORÇAMENTO.PrecoUnitarioLicitado),15-13*$AF$10),0)</f>
        <v>0</v>
      </c>
      <c r="X719" s="127">
        <f ca="1">IF($C719="S",IF(Import.TipoArredondamento&lt;&gt;"TransfereGOV",VTOTAL1,SUM(OFFSET(CÁLCULO!$AI$15,ROW($X719)-ROW($X$15),1):OFFSET(CÁLCULO!$BB$15,ROW($X719)-ROW($X$15),-1))),IF($C719=0,0,ROUND(SomaAgrup,15-13*$AF$11)))</f>
        <v>0</v>
      </c>
      <c r="Y719" s="128" t="s">
        <v>245</v>
      </c>
      <c r="Z719" t="str">
        <f t="shared" ca="1" si="163"/>
        <v/>
      </c>
      <c r="AA719" s="129">
        <f ca="1">IF($C719="S",IF($Z719="CP",$X719,IF($Z719="RA",(($X719)*QCI!$AA$3),0)),SomaAgrup)</f>
        <v>0</v>
      </c>
      <c r="AB719" s="130">
        <f t="shared" ca="1" si="167"/>
        <v>0</v>
      </c>
      <c r="AC719" s="131" t="str">
        <f ca="1">IF($N719="","",IF(ORÇAMENTO.Descricao="","DESCRIÇÃO",IF(AND($C719="S",ORÇAMENTO.Unidade=""),"UNIDADE",IF($X719&lt;0,"VALOR NEGATIVO",IF(OR(AND(TIPOORCAMENTO="Proposto",$AG719&lt;&gt;"",$AG719&gt;0,ORÇAMENTO.CustoUnitario&gt;$AG719),AND(TIPOORCAMENTO="LICITADO",ORÇAMENTO.PrecoUnitarioLicitado&gt;$AN719)),"ACIMA REF.","")))))</f>
        <v/>
      </c>
      <c r="AD719" t="str">
        <f ca="1">IF(C719&lt;=CRONO.NivelExibicao,MAX($AD$15:OFFSET(AD719,-1,0))+IF($C719&lt;&gt;1,1,MAX(1,COUNTIF(QCI!$A$13:$A$24,OFFSET($E719,-1,0)))),"")</f>
        <v/>
      </c>
      <c r="AE719" s="7" t="str">
        <f ca="1">IF(AND($C719="S",ORÇAMENTO.CodBarra&lt;&gt;""),IF(ORÇAMENTO.Fonte="",ORÇAMENTO.CodBarra,CONCATENATE(ORÇAMENTO.Fonte," ",ORÇAMENTO.CodBarra)))</f>
        <v>COMPOSIÇÃO FNDE 179</v>
      </c>
      <c r="AF719" s="13" t="str">
        <f ca="1">IF(ISERROR(INDIRECT(ORÇAMENTO.BancoRef)),"(abra o arquivo 'Referência "&amp;Excel_BuiltIn_Database&amp;".xlsm)",IF(OR($C719&lt;&gt;"S",ORÇAMENTO.CodBarra=""),"(Sem Código)",IF(ISERROR(MATCH($AE719,INDIRECT(ORÇAMENTO.BancoRef),0)),"(Código não identificado nas referências)",MATCH($AE719,INDIRECT(ORÇAMENTO.BancoRef),0))))</f>
        <v>(abra o arquivo 'Referência 06-2024.xlsm)</v>
      </c>
      <c r="AG719" s="498">
        <f ca="1">ROUND(IF(DESONERACAO="sim",REFERENCIA.Desonerado,REFERENCIA.NaoDesonerado),2)</f>
        <v>0</v>
      </c>
      <c r="AH719" s="499">
        <f t="shared" ca="1" si="168"/>
        <v>0.2432</v>
      </c>
      <c r="AJ719" s="501"/>
      <c r="AL719" s="527"/>
      <c r="AM719" s="381">
        <f t="shared" ca="1" si="164"/>
        <v>0</v>
      </c>
      <c r="AN719" s="566">
        <f t="shared" ca="1" si="169"/>
        <v>0</v>
      </c>
    </row>
    <row r="720" spans="1:40" x14ac:dyDescent="0.2">
      <c r="A720" t="str">
        <f t="shared" si="166"/>
        <v>S</v>
      </c>
      <c r="B720">
        <f t="shared" ca="1" si="153"/>
        <v>2</v>
      </c>
      <c r="C720" t="str">
        <f t="shared" ca="1" si="154"/>
        <v>S</v>
      </c>
      <c r="D720">
        <f t="shared" ca="1" si="155"/>
        <v>0</v>
      </c>
      <c r="E720">
        <f ca="1">IF($C720=1,OFFSET(E720,-1,0)+MAX(1,COUNTIF(QCI!$A$13:$A$24,OFFSET(ORÇAMENTO!E720,-1,0))),OFFSET(E720,-1,0))</f>
        <v>1</v>
      </c>
      <c r="F720">
        <f t="shared" ca="1" si="156"/>
        <v>79</v>
      </c>
      <c r="G720">
        <f t="shared" ca="1" si="157"/>
        <v>0</v>
      </c>
      <c r="H720">
        <f t="shared" ca="1" si="158"/>
        <v>0</v>
      </c>
      <c r="I720">
        <f t="shared" ca="1" si="159"/>
        <v>0</v>
      </c>
      <c r="J720">
        <f t="shared" ref="J720:J726" ca="1" si="170">IF(OR($C720="S",$C720=0),0,MATCH(0,OFFSET($D720,1,$C720,ROW($C$727)-ROW($C720)),0))</f>
        <v>0</v>
      </c>
      <c r="K720">
        <f ca="1">IF(OR($C720="S",$C720=0),0,MATCH(OFFSET($D720,0,$C720)+IF($C720&lt;&gt;1,1,COUNTIF(QCI!$A$13:$A$24,ORÇAMENTO!E720)),OFFSET($D720,1,$C720,ROW($C$727)-ROW($C720)),0))</f>
        <v>0</v>
      </c>
      <c r="L720" s="116" t="str">
        <f t="shared" ca="1" si="160"/>
        <v/>
      </c>
      <c r="M720" s="117" t="s">
        <v>199</v>
      </c>
      <c r="N720" s="118" t="str">
        <f t="shared" ca="1" si="161"/>
        <v>Serviço</v>
      </c>
      <c r="O720" s="119" t="str">
        <f t="shared" ca="1" si="162"/>
        <v>-</v>
      </c>
      <c r="P720" s="120" t="s">
        <v>247</v>
      </c>
      <c r="Q720" s="121" t="s">
        <v>576</v>
      </c>
      <c r="R720" s="122" t="str">
        <f ca="1">IF($C720="S",REFERENCIA.Descricao,"(digite a descrição aqui)")</f>
        <v>(abra o arquivo 'Referência 06-2024.xlsm)</v>
      </c>
      <c r="S720" s="123" t="str">
        <f ca="1">REFERENCIA.Unidade</f>
        <v>-</v>
      </c>
      <c r="T720" s="124">
        <f ca="1">OFFSET(CÁLCULO!H$15,ROW($T720)-ROW(T$15),0)</f>
        <v>177.7</v>
      </c>
      <c r="U720" s="125">
        <f t="shared" ca="1" si="165"/>
        <v>0</v>
      </c>
      <c r="V720" s="126" t="s">
        <v>156</v>
      </c>
      <c r="W720" s="124">
        <f ca="1">IF($C720="S",ROUND(IF(TIPOORCAMENTO="Proposto",ORÇAMENTO.CustoUnitario*(1+$AH720),ORÇAMENTO.PrecoUnitarioLicitado),15-13*$AF$10),0)</f>
        <v>0</v>
      </c>
      <c r="X720" s="127">
        <f ca="1">IF($C720="S",IF(Import.TipoArredondamento&lt;&gt;"TransfereGOV",VTOTAL1,SUM(OFFSET(CÁLCULO!$AI$15,ROW($X720)-ROW($X$15),1):OFFSET(CÁLCULO!$BB$15,ROW($X720)-ROW($X$15),-1))),IF($C720=0,0,ROUND(SomaAgrup,15-13*$AF$11)))</f>
        <v>0</v>
      </c>
      <c r="Y720" s="128" t="s">
        <v>245</v>
      </c>
      <c r="Z720" t="str">
        <f t="shared" ca="1" si="163"/>
        <v/>
      </c>
      <c r="AA720" s="129">
        <f ca="1">IF($C720="S",IF($Z720="CP",$X720,IF($Z720="RA",(($X720)*QCI!$AA$3),0)),SomaAgrup)</f>
        <v>0</v>
      </c>
      <c r="AB720" s="130">
        <f t="shared" ca="1" si="167"/>
        <v>0</v>
      </c>
      <c r="AC720" s="131" t="str">
        <f ca="1">IF($N720="","",IF(ORÇAMENTO.Descricao="","DESCRIÇÃO",IF(AND($C720="S",ORÇAMENTO.Unidade=""),"UNIDADE",IF($X720&lt;0,"VALOR NEGATIVO",IF(OR(AND(TIPOORCAMENTO="Proposto",$AG720&lt;&gt;"",$AG720&gt;0,ORÇAMENTO.CustoUnitario&gt;$AG720),AND(TIPOORCAMENTO="LICITADO",ORÇAMENTO.PrecoUnitarioLicitado&gt;$AN720)),"ACIMA REF.","")))))</f>
        <v/>
      </c>
      <c r="AD720" t="str">
        <f ca="1">IF(C720&lt;=CRONO.NivelExibicao,MAX($AD$15:OFFSET(AD720,-1,0))+IF($C720&lt;&gt;1,1,MAX(1,COUNTIF(QCI!$A$13:$A$24,OFFSET($E720,-1,0)))),"")</f>
        <v/>
      </c>
      <c r="AE720" s="7" t="str">
        <f ca="1">IF(AND($C720="S",ORÇAMENTO.CodBarra&lt;&gt;""),IF(ORÇAMENTO.Fonte="",ORÇAMENTO.CodBarra,CONCATENATE(ORÇAMENTO.Fonte," ",ORÇAMENTO.CodBarra)))</f>
        <v>SINAPI 101979</v>
      </c>
      <c r="AF720" s="13" t="str">
        <f ca="1">IF(ISERROR(INDIRECT(ORÇAMENTO.BancoRef)),"(abra o arquivo 'Referência "&amp;Excel_BuiltIn_Database&amp;".xlsm)",IF(OR($C720&lt;&gt;"S",ORÇAMENTO.CodBarra=""),"(Sem Código)",IF(ISERROR(MATCH($AE720,INDIRECT(ORÇAMENTO.BancoRef),0)),"(Código não identificado nas referências)",MATCH($AE720,INDIRECT(ORÇAMENTO.BancoRef),0))))</f>
        <v>(abra o arquivo 'Referência 06-2024.xlsm)</v>
      </c>
      <c r="AG720" s="498">
        <f ca="1">ROUND(IF(DESONERACAO="sim",REFERENCIA.Desonerado,REFERENCIA.NaoDesonerado),2)</f>
        <v>0</v>
      </c>
      <c r="AH720" s="499">
        <f t="shared" ca="1" si="168"/>
        <v>0.2432</v>
      </c>
      <c r="AJ720" s="501"/>
      <c r="AL720" s="527"/>
      <c r="AM720" s="381">
        <f t="shared" ca="1" si="164"/>
        <v>0</v>
      </c>
      <c r="AN720" s="566">
        <f t="shared" ca="1" si="169"/>
        <v>0</v>
      </c>
    </row>
    <row r="721" spans="1:40" x14ac:dyDescent="0.2">
      <c r="A721">
        <f t="shared" si="166"/>
        <v>2</v>
      </c>
      <c r="B721">
        <f t="shared" ca="1" si="153"/>
        <v>2</v>
      </c>
      <c r="C721">
        <f t="shared" ca="1" si="154"/>
        <v>2</v>
      </c>
      <c r="D721">
        <f t="shared" ca="1" si="155"/>
        <v>3</v>
      </c>
      <c r="E721">
        <f ca="1">IF($C721=1,OFFSET(E721,-1,0)+MAX(1,COUNTIF(QCI!$A$13:$A$24,OFFSET(ORÇAMENTO!E721,-1,0))),OFFSET(E721,-1,0))</f>
        <v>1</v>
      </c>
      <c r="F721">
        <f t="shared" ca="1" si="156"/>
        <v>80</v>
      </c>
      <c r="G721">
        <f t="shared" ca="1" si="157"/>
        <v>0</v>
      </c>
      <c r="H721">
        <f t="shared" ca="1" si="158"/>
        <v>0</v>
      </c>
      <c r="I721">
        <f t="shared" ca="1" si="159"/>
        <v>0</v>
      </c>
      <c r="J721">
        <f t="shared" ca="1" si="170"/>
        <v>6</v>
      </c>
      <c r="K721">
        <f ca="1">IF(OR($C721="S",$C721=0),0,MATCH(OFFSET($D721,0,$C721)+IF($C721&lt;&gt;1,1,COUNTIF(QCI!$A$13:$A$24,ORÇAMENTO!E721)),OFFSET($D721,1,$C721,ROW($C$727)-ROW($C721)),0))</f>
        <v>3</v>
      </c>
      <c r="L721" s="116" t="str">
        <f t="shared" ca="1" si="160"/>
        <v>F</v>
      </c>
      <c r="M721" s="117" t="s">
        <v>196</v>
      </c>
      <c r="N721" s="118" t="str">
        <f t="shared" ca="1" si="161"/>
        <v>Nível 2</v>
      </c>
      <c r="O721" s="119" t="str">
        <f t="shared" ca="1" si="162"/>
        <v>1.80.</v>
      </c>
      <c r="P721" s="120" t="s">
        <v>247</v>
      </c>
      <c r="Q721" s="121"/>
      <c r="R721" s="122" t="s">
        <v>1100</v>
      </c>
      <c r="S721" s="123" t="str">
        <f ca="1">REFERENCIA.Unidade</f>
        <v>-</v>
      </c>
      <c r="T721" s="124">
        <f ca="1">OFFSET(CÁLCULO!H$15,ROW($T721)-ROW(T$15),0)</f>
        <v>0</v>
      </c>
      <c r="U721" s="125">
        <f t="shared" ca="1" si="165"/>
        <v>0</v>
      </c>
      <c r="V721" s="126" t="s">
        <v>156</v>
      </c>
      <c r="W721" s="124">
        <f ca="1">IF($C721="S",ROUND(IF(TIPOORCAMENTO="Proposto",ORÇAMENTO.CustoUnitario*(1+$AH721),ORÇAMENTO.PrecoUnitarioLicitado),15-13*$AF$10),0)</f>
        <v>0</v>
      </c>
      <c r="X721" s="127">
        <f ca="1">IF($C721="S",IF(Import.TipoArredondamento&lt;&gt;"TransfereGOV",VTOTAL1,SUM(OFFSET(CÁLCULO!$AI$15,ROW($X721)-ROW($X$15),1):OFFSET(CÁLCULO!$BB$15,ROW($X721)-ROW($X$15),-1))),IF($C721=0,0,ROUND(SomaAgrup,15-13*$AF$11)))</f>
        <v>0</v>
      </c>
      <c r="Y721" s="128" t="s">
        <v>245</v>
      </c>
      <c r="Z721" t="str">
        <f t="shared" ca="1" si="163"/>
        <v/>
      </c>
      <c r="AA721" s="129">
        <f ca="1">IF($C721="S",IF($Z721="CP",$X721,IF($Z721="RA",(($X721)*QCI!$AA$3),0)),SomaAgrup)</f>
        <v>0</v>
      </c>
      <c r="AB721" s="130">
        <f t="shared" ca="1" si="167"/>
        <v>0</v>
      </c>
      <c r="AC721" s="131" t="str">
        <f ca="1">IF($N721="","",IF(ORÇAMENTO.Descricao="","DESCRIÇÃO",IF(AND($C721="S",ORÇAMENTO.Unidade=""),"UNIDADE",IF($X721&lt;0,"VALOR NEGATIVO",IF(OR(AND(TIPOORCAMENTO="Proposto",$AG721&lt;&gt;"",$AG721&gt;0,ORÇAMENTO.CustoUnitario&gt;$AG721),AND(TIPOORCAMENTO="LICITADO",ORÇAMENTO.PrecoUnitarioLicitado&gt;$AN721)),"ACIMA REF.","")))))</f>
        <v/>
      </c>
      <c r="AD721">
        <f ca="1">IF(C721&lt;=CRONO.NivelExibicao,MAX($AD$15:OFFSET(AD721,-1,0))+IF($C721&lt;&gt;1,1,MAX(1,COUNTIF(QCI!$A$13:$A$24,OFFSET($E721,-1,0)))),"")</f>
        <v>81</v>
      </c>
      <c r="AE721" s="7" t="b">
        <f ca="1">IF(AND($C721="S",ORÇAMENTO.CodBarra&lt;&gt;""),IF(ORÇAMENTO.Fonte="",ORÇAMENTO.CodBarra,CONCATENATE(ORÇAMENTO.Fonte," ",ORÇAMENTO.CodBarra)))</f>
        <v>0</v>
      </c>
      <c r="AF721" s="13" t="str">
        <f ca="1">IF(ISERROR(INDIRECT(ORÇAMENTO.BancoRef)),"(abra o arquivo 'Referência "&amp;Excel_BuiltIn_Database&amp;".xlsm)",IF(OR($C721&lt;&gt;"S",ORÇAMENTO.CodBarra=""),"(Sem Código)",IF(ISERROR(MATCH($AE721,INDIRECT(ORÇAMENTO.BancoRef),0)),"(Código não identificado nas referências)",MATCH($AE721,INDIRECT(ORÇAMENTO.BancoRef),0))))</f>
        <v>(abra o arquivo 'Referência 06-2024.xlsm)</v>
      </c>
      <c r="AG721" s="498">
        <f ca="1">ROUND(IF(DESONERACAO="sim",REFERENCIA.Desonerado,REFERENCIA.NaoDesonerado),2)</f>
        <v>0</v>
      </c>
      <c r="AH721" s="499">
        <f t="shared" ca="1" si="168"/>
        <v>0.2432</v>
      </c>
      <c r="AJ721" s="501"/>
      <c r="AL721" s="527"/>
      <c r="AM721" s="381">
        <f t="shared" ca="1" si="164"/>
        <v>0</v>
      </c>
      <c r="AN721" s="566">
        <f t="shared" ca="1" si="169"/>
        <v>0</v>
      </c>
    </row>
    <row r="722" spans="1:40" ht="25.5" x14ac:dyDescent="0.2">
      <c r="A722" t="str">
        <f t="shared" si="166"/>
        <v>S</v>
      </c>
      <c r="B722">
        <f t="shared" ca="1" si="153"/>
        <v>2</v>
      </c>
      <c r="C722" t="str">
        <f t="shared" ca="1" si="154"/>
        <v>S</v>
      </c>
      <c r="D722">
        <f t="shared" ca="1" si="155"/>
        <v>0</v>
      </c>
      <c r="E722">
        <f ca="1">IF($C722=1,OFFSET(E722,-1,0)+MAX(1,COUNTIF(QCI!$A$13:$A$24,OFFSET(ORÇAMENTO!E722,-1,0))),OFFSET(E722,-1,0))</f>
        <v>1</v>
      </c>
      <c r="F722">
        <f t="shared" ca="1" si="156"/>
        <v>80</v>
      </c>
      <c r="G722">
        <f t="shared" ca="1" si="157"/>
        <v>0</v>
      </c>
      <c r="H722">
        <f t="shared" ca="1" si="158"/>
        <v>0</v>
      </c>
      <c r="I722">
        <f t="shared" ca="1" si="159"/>
        <v>0</v>
      </c>
      <c r="J722">
        <f t="shared" ca="1" si="170"/>
        <v>0</v>
      </c>
      <c r="K722">
        <f ca="1">IF(OR($C722="S",$C722=0),0,MATCH(OFFSET($D722,0,$C722)+IF($C722&lt;&gt;1,1,COUNTIF(QCI!$A$13:$A$24,ORÇAMENTO!E722)),OFFSET($D722,1,$C722,ROW($C$727)-ROW($C722)),0))</f>
        <v>0</v>
      </c>
      <c r="L722" s="116" t="str">
        <f t="shared" ca="1" si="160"/>
        <v/>
      </c>
      <c r="M722" s="117" t="s">
        <v>199</v>
      </c>
      <c r="N722" s="118" t="str">
        <f t="shared" ca="1" si="161"/>
        <v>Serviço</v>
      </c>
      <c r="O722" s="119" t="str">
        <f t="shared" ca="1" si="162"/>
        <v>-</v>
      </c>
      <c r="P722" s="120" t="s">
        <v>458</v>
      </c>
      <c r="Q722" s="121" t="s">
        <v>1007</v>
      </c>
      <c r="R722" s="122" t="str">
        <f ca="1">IF($C722="S",REFERENCIA.Descricao,"(digite a descrição aqui)")</f>
        <v>(abra o arquivo 'Referência 06-2024.xlsm)</v>
      </c>
      <c r="S722" s="123" t="str">
        <f ca="1">REFERENCIA.Unidade</f>
        <v>-</v>
      </c>
      <c r="T722" s="124">
        <f ca="1">OFFSET(CÁLCULO!H$15,ROW($T722)-ROW(T$15),0)</f>
        <v>330.6</v>
      </c>
      <c r="U722" s="125">
        <f t="shared" ca="1" si="165"/>
        <v>0</v>
      </c>
      <c r="V722" s="126" t="s">
        <v>156</v>
      </c>
      <c r="W722" s="124">
        <f ca="1">IF($C722="S",ROUND(IF(TIPOORCAMENTO="Proposto",ORÇAMENTO.CustoUnitario*(1+$AH722),ORÇAMENTO.PrecoUnitarioLicitado),15-13*$AF$10),0)</f>
        <v>0</v>
      </c>
      <c r="X722" s="127">
        <f ca="1">IF($C722="S",IF(Import.TipoArredondamento&lt;&gt;"TransfereGOV",VTOTAL1,SUM(OFFSET(CÁLCULO!$AI$15,ROW($X722)-ROW($X$15),1):OFFSET(CÁLCULO!$BB$15,ROW($X722)-ROW($X$15),-1))),IF($C722=0,0,ROUND(SomaAgrup,15-13*$AF$11)))</f>
        <v>0</v>
      </c>
      <c r="Y722" s="128" t="s">
        <v>245</v>
      </c>
      <c r="Z722" t="str">
        <f t="shared" ca="1" si="163"/>
        <v/>
      </c>
      <c r="AA722" s="129">
        <f ca="1">IF($C722="S",IF($Z722="CP",$X722,IF($Z722="RA",(($X722)*QCI!$AA$3),0)),SomaAgrup)</f>
        <v>0</v>
      </c>
      <c r="AB722" s="130">
        <f t="shared" ca="1" si="167"/>
        <v>0</v>
      </c>
      <c r="AC722" s="131" t="str">
        <f ca="1">IF($N722="","",IF(ORÇAMENTO.Descricao="","DESCRIÇÃO",IF(AND($C722="S",ORÇAMENTO.Unidade=""),"UNIDADE",IF($X722&lt;0,"VALOR NEGATIVO",IF(OR(AND(TIPOORCAMENTO="Proposto",$AG722&lt;&gt;"",$AG722&gt;0,ORÇAMENTO.CustoUnitario&gt;$AG722),AND(TIPOORCAMENTO="LICITADO",ORÇAMENTO.PrecoUnitarioLicitado&gt;$AN722)),"ACIMA REF.","")))))</f>
        <v/>
      </c>
      <c r="AD722" t="str">
        <f ca="1">IF(C722&lt;=CRONO.NivelExibicao,MAX($AD$15:OFFSET(AD722,-1,0))+IF($C722&lt;&gt;1,1,MAX(1,COUNTIF(QCI!$A$13:$A$24,OFFSET($E722,-1,0)))),"")</f>
        <v/>
      </c>
      <c r="AE722" s="7" t="str">
        <f ca="1">IF(AND($C722="S",ORÇAMENTO.CodBarra&lt;&gt;""),IF(ORÇAMENTO.Fonte="",ORÇAMENTO.CodBarra,CONCATENATE(ORÇAMENTO.Fonte," ",ORÇAMENTO.CodBarra)))</f>
        <v>COMPOSIÇÃO FNDE 196</v>
      </c>
      <c r="AF722" s="13" t="str">
        <f ca="1">IF(ISERROR(INDIRECT(ORÇAMENTO.BancoRef)),"(abra o arquivo 'Referência "&amp;Excel_BuiltIn_Database&amp;".xlsm)",IF(OR($C722&lt;&gt;"S",ORÇAMENTO.CodBarra=""),"(Sem Código)",IF(ISERROR(MATCH($AE722,INDIRECT(ORÇAMENTO.BancoRef),0)),"(Código não identificado nas referências)",MATCH($AE722,INDIRECT(ORÇAMENTO.BancoRef),0))))</f>
        <v>(abra o arquivo 'Referência 06-2024.xlsm)</v>
      </c>
      <c r="AG722" s="498">
        <f ca="1">ROUND(IF(DESONERACAO="sim",REFERENCIA.Desonerado,REFERENCIA.NaoDesonerado),2)</f>
        <v>0</v>
      </c>
      <c r="AH722" s="499">
        <f t="shared" ca="1" si="168"/>
        <v>0.2432</v>
      </c>
      <c r="AJ722" s="501"/>
      <c r="AL722" s="527"/>
      <c r="AM722" s="381">
        <f t="shared" ca="1" si="164"/>
        <v>0</v>
      </c>
      <c r="AN722" s="566">
        <f t="shared" ca="1" si="169"/>
        <v>0</v>
      </c>
    </row>
    <row r="723" spans="1:40" ht="38.25" x14ac:dyDescent="0.2">
      <c r="A723" t="str">
        <f t="shared" si="166"/>
        <v>S</v>
      </c>
      <c r="B723">
        <f t="shared" ca="1" si="153"/>
        <v>2</v>
      </c>
      <c r="C723" t="str">
        <f t="shared" ca="1" si="154"/>
        <v>S</v>
      </c>
      <c r="D723">
        <f t="shared" ca="1" si="155"/>
        <v>0</v>
      </c>
      <c r="E723">
        <f ca="1">IF($C723=1,OFFSET(E723,-1,0)+MAX(1,COUNTIF(QCI!$A$13:$A$24,OFFSET(ORÇAMENTO!E723,-1,0))),OFFSET(E723,-1,0))</f>
        <v>1</v>
      </c>
      <c r="F723">
        <f t="shared" ca="1" si="156"/>
        <v>80</v>
      </c>
      <c r="G723">
        <f t="shared" ca="1" si="157"/>
        <v>0</v>
      </c>
      <c r="H723">
        <f t="shared" ca="1" si="158"/>
        <v>0</v>
      </c>
      <c r="I723">
        <f t="shared" ca="1" si="159"/>
        <v>0</v>
      </c>
      <c r="J723">
        <f t="shared" ca="1" si="170"/>
        <v>0</v>
      </c>
      <c r="K723">
        <f ca="1">IF(OR($C723="S",$C723=0),0,MATCH(OFFSET($D723,0,$C723)+IF($C723&lt;&gt;1,1,COUNTIF(QCI!$A$13:$A$24,ORÇAMENTO!E723)),OFFSET($D723,1,$C723,ROW($C$727)-ROW($C723)),0))</f>
        <v>0</v>
      </c>
      <c r="L723" s="116" t="str">
        <f t="shared" ca="1" si="160"/>
        <v/>
      </c>
      <c r="M723" s="117" t="s">
        <v>199</v>
      </c>
      <c r="N723" s="118" t="str">
        <f t="shared" ca="1" si="161"/>
        <v>Serviço</v>
      </c>
      <c r="O723" s="119" t="str">
        <f t="shared" ca="1" si="162"/>
        <v>-</v>
      </c>
      <c r="P723" s="120" t="s">
        <v>458</v>
      </c>
      <c r="Q723" s="121" t="s">
        <v>1008</v>
      </c>
      <c r="R723" s="122" t="str">
        <f ca="1">IF($C723="S",REFERENCIA.Descricao,"(digite a descrição aqui)")</f>
        <v>(abra o arquivo 'Referência 06-2024.xlsm)</v>
      </c>
      <c r="S723" s="123" t="str">
        <f ca="1">REFERENCIA.Unidade</f>
        <v>-</v>
      </c>
      <c r="T723" s="124">
        <f ca="1">OFFSET(CÁLCULO!H$15,ROW($T723)-ROW(T$15),0)</f>
        <v>330.6</v>
      </c>
      <c r="U723" s="125">
        <f t="shared" ca="1" si="165"/>
        <v>0</v>
      </c>
      <c r="V723" s="126" t="s">
        <v>156</v>
      </c>
      <c r="W723" s="124">
        <f ca="1">IF($C723="S",ROUND(IF(TIPOORCAMENTO="Proposto",ORÇAMENTO.CustoUnitario*(1+$AH723),ORÇAMENTO.PrecoUnitarioLicitado),15-13*$AF$10),0)</f>
        <v>0</v>
      </c>
      <c r="X723" s="127">
        <f ca="1">IF($C723="S",IF(Import.TipoArredondamento&lt;&gt;"TransfereGOV",VTOTAL1,SUM(OFFSET(CÁLCULO!$AI$15,ROW($X723)-ROW($X$15),1):OFFSET(CÁLCULO!$BB$15,ROW($X723)-ROW($X$15),-1))),IF($C723=0,0,ROUND(SomaAgrup,15-13*$AF$11)))</f>
        <v>0</v>
      </c>
      <c r="Y723" s="128" t="s">
        <v>245</v>
      </c>
      <c r="Z723" t="str">
        <f t="shared" ca="1" si="163"/>
        <v/>
      </c>
      <c r="AA723" s="129">
        <f ca="1">IF($C723="S",IF($Z723="CP",$X723,IF($Z723="RA",(($X723)*QCI!$AA$3),0)),SomaAgrup)</f>
        <v>0</v>
      </c>
      <c r="AB723" s="130">
        <f t="shared" ca="1" si="167"/>
        <v>0</v>
      </c>
      <c r="AC723" s="131" t="str">
        <f ca="1">IF($N723="","",IF(ORÇAMENTO.Descricao="","DESCRIÇÃO",IF(AND($C723="S",ORÇAMENTO.Unidade=""),"UNIDADE",IF($X723&lt;0,"VALOR NEGATIVO",IF(OR(AND(TIPOORCAMENTO="Proposto",$AG723&lt;&gt;"",$AG723&gt;0,ORÇAMENTO.CustoUnitario&gt;$AG723),AND(TIPOORCAMENTO="LICITADO",ORÇAMENTO.PrecoUnitarioLicitado&gt;$AN723)),"ACIMA REF.","")))))</f>
        <v/>
      </c>
      <c r="AD723" t="str">
        <f ca="1">IF(C723&lt;=CRONO.NivelExibicao,MAX($AD$15:OFFSET(AD723,-1,0))+IF($C723&lt;&gt;1,1,MAX(1,COUNTIF(QCI!$A$13:$A$24,OFFSET($E723,-1,0)))),"")</f>
        <v/>
      </c>
      <c r="AE723" s="7" t="str">
        <f ca="1">IF(AND($C723="S",ORÇAMENTO.CodBarra&lt;&gt;""),IF(ORÇAMENTO.Fonte="",ORÇAMENTO.CodBarra,CONCATENATE(ORÇAMENTO.Fonte," ",ORÇAMENTO.CodBarra)))</f>
        <v>COMPOSIÇÃO FNDE 352</v>
      </c>
      <c r="AF723" s="13" t="str">
        <f ca="1">IF(ISERROR(INDIRECT(ORÇAMENTO.BancoRef)),"(abra o arquivo 'Referência "&amp;Excel_BuiltIn_Database&amp;".xlsm)",IF(OR($C723&lt;&gt;"S",ORÇAMENTO.CodBarra=""),"(Sem Código)",IF(ISERROR(MATCH($AE723,INDIRECT(ORÇAMENTO.BancoRef),0)),"(Código não identificado nas referências)",MATCH($AE723,INDIRECT(ORÇAMENTO.BancoRef),0))))</f>
        <v>(abra o arquivo 'Referência 06-2024.xlsm)</v>
      </c>
      <c r="AG723" s="498">
        <f ca="1">ROUND(IF(DESONERACAO="sim",REFERENCIA.Desonerado,REFERENCIA.NaoDesonerado),2)</f>
        <v>0</v>
      </c>
      <c r="AH723" s="499">
        <f t="shared" ca="1" si="168"/>
        <v>0.2432</v>
      </c>
      <c r="AJ723" s="501"/>
      <c r="AL723" s="527"/>
      <c r="AM723" s="381">
        <f t="shared" ca="1" si="164"/>
        <v>0</v>
      </c>
      <c r="AN723" s="566">
        <f t="shared" ca="1" si="169"/>
        <v>0</v>
      </c>
    </row>
    <row r="724" spans="1:40" x14ac:dyDescent="0.2">
      <c r="A724">
        <f t="shared" si="166"/>
        <v>2</v>
      </c>
      <c r="B724">
        <f t="shared" ca="1" si="153"/>
        <v>2</v>
      </c>
      <c r="C724">
        <f t="shared" ca="1" si="154"/>
        <v>2</v>
      </c>
      <c r="D724">
        <f t="shared" ca="1" si="155"/>
        <v>3</v>
      </c>
      <c r="E724">
        <f ca="1">IF($C724=1,OFFSET(E724,-1,0)+MAX(1,COUNTIF(QCI!$A$13:$A$24,OFFSET(ORÇAMENTO!E724,-1,0))),OFFSET(E724,-1,0))</f>
        <v>1</v>
      </c>
      <c r="F724">
        <f t="shared" ca="1" si="156"/>
        <v>81</v>
      </c>
      <c r="G724">
        <f t="shared" ca="1" si="157"/>
        <v>0</v>
      </c>
      <c r="H724">
        <f t="shared" ca="1" si="158"/>
        <v>0</v>
      </c>
      <c r="I724">
        <f t="shared" ca="1" si="159"/>
        <v>0</v>
      </c>
      <c r="J724">
        <f t="shared" ca="1" si="170"/>
        <v>3</v>
      </c>
      <c r="K724" t="e">
        <f ca="1">IF(OR($C724="S",$C724=0),0,MATCH(OFFSET($D724,0,$C724)+IF($C724&lt;&gt;1,1,COUNTIF(QCI!$A$13:$A$24,ORÇAMENTO!E724)),OFFSET($D724,1,$C724,ROW($C$727)-ROW($C724)),0))</f>
        <v>#N/A</v>
      </c>
      <c r="L724" s="116" t="str">
        <f t="shared" ca="1" si="160"/>
        <v>F</v>
      </c>
      <c r="M724" s="117" t="s">
        <v>196</v>
      </c>
      <c r="N724" s="118" t="str">
        <f t="shared" ca="1" si="161"/>
        <v>Nível 2</v>
      </c>
      <c r="O724" s="119" t="str">
        <f t="shared" ca="1" si="162"/>
        <v>1.81.</v>
      </c>
      <c r="P724" s="120" t="s">
        <v>247</v>
      </c>
      <c r="Q724" s="121"/>
      <c r="R724" s="122" t="s">
        <v>1009</v>
      </c>
      <c r="S724" s="123" t="str">
        <f ca="1">REFERENCIA.Unidade</f>
        <v>-</v>
      </c>
      <c r="T724" s="124">
        <f ca="1">OFFSET(CÁLCULO!H$15,ROW($T724)-ROW(T$15),0)</f>
        <v>0</v>
      </c>
      <c r="U724" s="125">
        <f t="shared" ca="1" si="165"/>
        <v>0</v>
      </c>
      <c r="V724" s="126" t="s">
        <v>156</v>
      </c>
      <c r="W724" s="124">
        <f ca="1">IF($C724="S",ROUND(IF(TIPOORCAMENTO="Proposto",ORÇAMENTO.CustoUnitario*(1+$AH724),ORÇAMENTO.PrecoUnitarioLicitado),15-13*$AF$10),0)</f>
        <v>0</v>
      </c>
      <c r="X724" s="127">
        <f ca="1">IF($C724="S",IF(Import.TipoArredondamento&lt;&gt;"TransfereGOV",VTOTAL1,SUM(OFFSET(CÁLCULO!$AI$15,ROW($X724)-ROW($X$15),1):OFFSET(CÁLCULO!$BB$15,ROW($X724)-ROW($X$15),-1))),IF($C724=0,0,ROUND(SomaAgrup,15-13*$AF$11)))</f>
        <v>0</v>
      </c>
      <c r="Y724" s="128" t="s">
        <v>245</v>
      </c>
      <c r="Z724" t="str">
        <f t="shared" ca="1" si="163"/>
        <v/>
      </c>
      <c r="AA724" s="129">
        <f ca="1">IF($C724="S",IF($Z724="CP",$X724,IF($Z724="RA",(($X724)*QCI!$AA$3),0)),SomaAgrup)</f>
        <v>0</v>
      </c>
      <c r="AB724" s="130">
        <f t="shared" ca="1" si="167"/>
        <v>0</v>
      </c>
      <c r="AC724" s="131" t="str">
        <f ca="1">IF($N724="","",IF(ORÇAMENTO.Descricao="","DESCRIÇÃO",IF(AND($C724="S",ORÇAMENTO.Unidade=""),"UNIDADE",IF($X724&lt;0,"VALOR NEGATIVO",IF(OR(AND(TIPOORCAMENTO="Proposto",$AG724&lt;&gt;"",$AG724&gt;0,ORÇAMENTO.CustoUnitario&gt;$AG724),AND(TIPOORCAMENTO="LICITADO",ORÇAMENTO.PrecoUnitarioLicitado&gt;$AN724)),"ACIMA REF.","")))))</f>
        <v/>
      </c>
      <c r="AD724">
        <f ca="1">IF(C724&lt;=CRONO.NivelExibicao,MAX($AD$15:OFFSET(AD724,-1,0))+IF($C724&lt;&gt;1,1,MAX(1,COUNTIF(QCI!$A$13:$A$24,OFFSET($E724,-1,0)))),"")</f>
        <v>82</v>
      </c>
      <c r="AE724" s="7" t="b">
        <f ca="1">IF(AND($C724="S",ORÇAMENTO.CodBarra&lt;&gt;""),IF(ORÇAMENTO.Fonte="",ORÇAMENTO.CodBarra,CONCATENATE(ORÇAMENTO.Fonte," ",ORÇAMENTO.CodBarra)))</f>
        <v>0</v>
      </c>
      <c r="AF724" s="13" t="str">
        <f ca="1">IF(ISERROR(INDIRECT(ORÇAMENTO.BancoRef)),"(abra o arquivo 'Referência "&amp;Excel_BuiltIn_Database&amp;".xlsm)",IF(OR($C724&lt;&gt;"S",ORÇAMENTO.CodBarra=""),"(Sem Código)",IF(ISERROR(MATCH($AE724,INDIRECT(ORÇAMENTO.BancoRef),0)),"(Código não identificado nas referências)",MATCH($AE724,INDIRECT(ORÇAMENTO.BancoRef),0))))</f>
        <v>(abra o arquivo 'Referência 06-2024.xlsm)</v>
      </c>
      <c r="AG724" s="498">
        <f ca="1">ROUND(IF(DESONERACAO="sim",REFERENCIA.Desonerado,REFERENCIA.NaoDesonerado),2)</f>
        <v>0</v>
      </c>
      <c r="AH724" s="499">
        <f t="shared" ca="1" si="168"/>
        <v>0.2432</v>
      </c>
      <c r="AJ724" s="501"/>
      <c r="AL724" s="527"/>
      <c r="AM724" s="381">
        <f t="shared" ca="1" si="164"/>
        <v>0</v>
      </c>
      <c r="AN724" s="566">
        <f t="shared" ca="1" si="169"/>
        <v>0</v>
      </c>
    </row>
    <row r="725" spans="1:40" ht="25.5" x14ac:dyDescent="0.2">
      <c r="A725" t="str">
        <f t="shared" si="166"/>
        <v>S</v>
      </c>
      <c r="B725">
        <f t="shared" ca="1" si="153"/>
        <v>2</v>
      </c>
      <c r="C725" t="str">
        <f t="shared" ca="1" si="154"/>
        <v>S</v>
      </c>
      <c r="D725">
        <f t="shared" ca="1" si="155"/>
        <v>0</v>
      </c>
      <c r="E725">
        <f ca="1">IF($C725=1,OFFSET(E725,-1,0)+MAX(1,COUNTIF(QCI!$A$13:$A$24,OFFSET(ORÇAMENTO!E725,-1,0))),OFFSET(E725,-1,0))</f>
        <v>1</v>
      </c>
      <c r="F725">
        <f t="shared" ca="1" si="156"/>
        <v>81</v>
      </c>
      <c r="G725">
        <f t="shared" ca="1" si="157"/>
        <v>0</v>
      </c>
      <c r="H725">
        <f t="shared" ca="1" si="158"/>
        <v>0</v>
      </c>
      <c r="I725">
        <f t="shared" ca="1" si="159"/>
        <v>0</v>
      </c>
      <c r="J725">
        <f t="shared" ca="1" si="170"/>
        <v>0</v>
      </c>
      <c r="K725">
        <f ca="1">IF(OR($C725="S",$C725=0),0,MATCH(OFFSET($D725,0,$C725)+IF($C725&lt;&gt;1,1,COUNTIF(QCI!$A$13:$A$24,ORÇAMENTO!E725)),OFFSET($D725,1,$C725,ROW($C$727)-ROW($C725)),0))</f>
        <v>0</v>
      </c>
      <c r="L725" s="116" t="str">
        <f t="shared" ca="1" si="160"/>
        <v/>
      </c>
      <c r="M725" s="117" t="s">
        <v>199</v>
      </c>
      <c r="N725" s="118" t="str">
        <f t="shared" ca="1" si="161"/>
        <v>Serviço</v>
      </c>
      <c r="O725" s="119" t="str">
        <f t="shared" ca="1" si="162"/>
        <v>-</v>
      </c>
      <c r="P725" s="120" t="s">
        <v>247</v>
      </c>
      <c r="Q725" s="121" t="s">
        <v>1010</v>
      </c>
      <c r="R725" s="122" t="str">
        <f ca="1">IF($C725="S",REFERENCIA.Descricao,"(digite a descrição aqui)")</f>
        <v>(abra o arquivo 'Referência 06-2024.xlsm)</v>
      </c>
      <c r="S725" s="123" t="str">
        <f ca="1">REFERENCIA.Unidade</f>
        <v>-</v>
      </c>
      <c r="T725" s="124">
        <f ca="1">OFFSET(CÁLCULO!H$15,ROW($T725)-ROW(T$15),0)</f>
        <v>1545.99</v>
      </c>
      <c r="U725" s="125">
        <f t="shared" ca="1" si="165"/>
        <v>0</v>
      </c>
      <c r="V725" s="126" t="s">
        <v>156</v>
      </c>
      <c r="W725" s="124">
        <f ca="1">IF($C725="S",ROUND(IF(TIPOORCAMENTO="Proposto",ORÇAMENTO.CustoUnitario*(1+$AH725),ORÇAMENTO.PrecoUnitarioLicitado),15-13*$AF$10),0)</f>
        <v>0</v>
      </c>
      <c r="X725" s="127">
        <f ca="1">IF($C725="S",IF(Import.TipoArredondamento&lt;&gt;"TransfereGOV",VTOTAL1,SUM(OFFSET(CÁLCULO!$AI$15,ROW($X725)-ROW($X$15),1):OFFSET(CÁLCULO!$BB$15,ROW($X725)-ROW($X$15),-1))),IF($C725=0,0,ROUND(SomaAgrup,15-13*$AF$11)))</f>
        <v>0</v>
      </c>
      <c r="Y725" s="128" t="s">
        <v>245</v>
      </c>
      <c r="Z725" t="str">
        <f t="shared" ca="1" si="163"/>
        <v/>
      </c>
      <c r="AA725" s="129">
        <f ca="1">IF($C725="S",IF($Z725="CP",$X725,IF($Z725="RA",(($X725)*QCI!$AA$3),0)),SomaAgrup)</f>
        <v>0</v>
      </c>
      <c r="AB725" s="130">
        <f t="shared" ca="1" si="167"/>
        <v>0</v>
      </c>
      <c r="AC725" s="131" t="str">
        <f ca="1">IF($N725="","",IF(ORÇAMENTO.Descricao="","DESCRIÇÃO",IF(AND($C725="S",ORÇAMENTO.Unidade=""),"UNIDADE",IF($X725&lt;0,"VALOR NEGATIVO",IF(OR(AND(TIPOORCAMENTO="Proposto",$AG725&lt;&gt;"",$AG725&gt;0,ORÇAMENTO.CustoUnitario&gt;$AG725),AND(TIPOORCAMENTO="LICITADO",ORÇAMENTO.PrecoUnitarioLicitado&gt;$AN725)),"ACIMA REF.","")))))</f>
        <v/>
      </c>
      <c r="AD725" t="str">
        <f ca="1">IF(C725&lt;=CRONO.NivelExibicao,MAX($AD$15:OFFSET(AD725,-1,0))+IF($C725&lt;&gt;1,1,MAX(1,COUNTIF(QCI!$A$13:$A$24,OFFSET($E725,-1,0)))),"")</f>
        <v/>
      </c>
      <c r="AE725" s="7" t="str">
        <f ca="1">IF(AND($C725="S",ORÇAMENTO.CodBarra&lt;&gt;""),IF(ORÇAMENTO.Fonte="",ORÇAMENTO.CodBarra,CONCATENATE(ORÇAMENTO.Fonte," ",ORÇAMENTO.CodBarra)))</f>
        <v>SINAPI 99803</v>
      </c>
      <c r="AF725" s="13" t="str">
        <f ca="1">IF(ISERROR(INDIRECT(ORÇAMENTO.BancoRef)),"(abra o arquivo 'Referência "&amp;Excel_BuiltIn_Database&amp;".xlsm)",IF(OR($C725&lt;&gt;"S",ORÇAMENTO.CodBarra=""),"(Sem Código)",IF(ISERROR(MATCH($AE725,INDIRECT(ORÇAMENTO.BancoRef),0)),"(Código não identificado nas referências)",MATCH($AE725,INDIRECT(ORÇAMENTO.BancoRef),0))))</f>
        <v>(abra o arquivo 'Referência 06-2024.xlsm)</v>
      </c>
      <c r="AG725" s="498">
        <f ca="1">ROUND(IF(DESONERACAO="sim",REFERENCIA.Desonerado,REFERENCIA.NaoDesonerado),2)</f>
        <v>0</v>
      </c>
      <c r="AH725" s="499">
        <f t="shared" ca="1" si="168"/>
        <v>0.2432</v>
      </c>
      <c r="AJ725" s="501"/>
      <c r="AL725" s="527"/>
      <c r="AM725" s="381">
        <f t="shared" ca="1" si="164"/>
        <v>0</v>
      </c>
      <c r="AN725" s="566">
        <f t="shared" ca="1" si="169"/>
        <v>0</v>
      </c>
    </row>
    <row r="726" spans="1:40" ht="25.5" x14ac:dyDescent="0.2">
      <c r="A726" t="str">
        <f t="shared" si="166"/>
        <v>S</v>
      </c>
      <c r="B726">
        <f t="shared" ca="1" si="153"/>
        <v>2</v>
      </c>
      <c r="C726" t="str">
        <f t="shared" ca="1" si="154"/>
        <v>S</v>
      </c>
      <c r="D726">
        <f t="shared" ca="1" si="155"/>
        <v>0</v>
      </c>
      <c r="E726">
        <f ca="1">IF($C726=1,OFFSET(E726,-1,0)+MAX(1,COUNTIF(QCI!$A$13:$A$24,OFFSET(ORÇAMENTO!E726,-1,0))),OFFSET(E726,-1,0))</f>
        <v>1</v>
      </c>
      <c r="F726">
        <f t="shared" ca="1" si="156"/>
        <v>81</v>
      </c>
      <c r="G726">
        <f t="shared" ca="1" si="157"/>
        <v>0</v>
      </c>
      <c r="H726">
        <f t="shared" ca="1" si="158"/>
        <v>0</v>
      </c>
      <c r="I726">
        <f t="shared" ca="1" si="159"/>
        <v>0</v>
      </c>
      <c r="J726">
        <f t="shared" ca="1" si="170"/>
        <v>0</v>
      </c>
      <c r="K726">
        <f ca="1">IF(OR($C726="S",$C726=0),0,MATCH(OFFSET($D726,0,$C726)+IF($C726&lt;&gt;1,1,COUNTIF(QCI!$A$13:$A$24,ORÇAMENTO!E726)),OFFSET($D726,1,$C726,ROW($C$727)-ROW($C726)),0))</f>
        <v>0</v>
      </c>
      <c r="L726" s="116" t="str">
        <f t="shared" ca="1" si="160"/>
        <v/>
      </c>
      <c r="M726" s="117" t="s">
        <v>199</v>
      </c>
      <c r="N726" s="118" t="str">
        <f t="shared" ca="1" si="161"/>
        <v>Serviço</v>
      </c>
      <c r="O726" s="119" t="str">
        <f t="shared" ca="1" si="162"/>
        <v>-</v>
      </c>
      <c r="P726" s="120" t="s">
        <v>247</v>
      </c>
      <c r="Q726" s="121" t="s">
        <v>1011</v>
      </c>
      <c r="R726" s="122" t="str">
        <f ca="1">IF($C726="S",REFERENCIA.Descricao,"(digite a descrição aqui)")</f>
        <v>(abra o arquivo 'Referência 06-2024.xlsm)</v>
      </c>
      <c r="S726" s="123" t="str">
        <f ca="1">REFERENCIA.Unidade</f>
        <v>-</v>
      </c>
      <c r="T726" s="124">
        <f ca="1">OFFSET(CÁLCULO!H$15,ROW($T726)-ROW(T$15),0)</f>
        <v>6</v>
      </c>
      <c r="U726" s="125">
        <f t="shared" ca="1" si="165"/>
        <v>0</v>
      </c>
      <c r="V726" s="126" t="s">
        <v>156</v>
      </c>
      <c r="W726" s="124">
        <f ca="1">IF($C726="S",ROUND(IF(TIPOORCAMENTO="Proposto",ORÇAMENTO.CustoUnitario*(1+$AH726),ORÇAMENTO.PrecoUnitarioLicitado),15-13*$AF$10),0)</f>
        <v>0</v>
      </c>
      <c r="X726" s="127">
        <f ca="1">IF($C726="S",IF(Import.TipoArredondamento&lt;&gt;"TransfereGOV",VTOTAL1,SUM(OFFSET(CÁLCULO!$AI$15,ROW($X726)-ROW($X$15),1):OFFSET(CÁLCULO!$BB$15,ROW($X726)-ROW($X$15),-1))),IF($C726=0,0,ROUND(SomaAgrup,15-13*$AF$11)))</f>
        <v>0</v>
      </c>
      <c r="Y726" s="128" t="s">
        <v>245</v>
      </c>
      <c r="Z726" t="str">
        <f t="shared" ca="1" si="163"/>
        <v/>
      </c>
      <c r="AA726" s="129">
        <f ca="1">IF($C726="S",IF($Z726="CP",$X726,IF($Z726="RA",(($X726)*QCI!$AA$3),0)),SomaAgrup)</f>
        <v>0</v>
      </c>
      <c r="AB726" s="130">
        <f t="shared" ca="1" si="167"/>
        <v>0</v>
      </c>
      <c r="AC726" s="131" t="str">
        <f ca="1">IF($N726="","",IF(ORÇAMENTO.Descricao="","DESCRIÇÃO",IF(AND($C726="S",ORÇAMENTO.Unidade=""),"UNIDADE",IF($X726&lt;0,"VALOR NEGATIVO",IF(OR(AND(TIPOORCAMENTO="Proposto",$AG726&lt;&gt;"",$AG726&gt;0,ORÇAMENTO.CustoUnitario&gt;$AG726),AND(TIPOORCAMENTO="LICITADO",ORÇAMENTO.PrecoUnitarioLicitado&gt;$AN726)),"ACIMA REF.","")))))</f>
        <v/>
      </c>
      <c r="AD726" t="str">
        <f ca="1">IF(C726&lt;=CRONO.NivelExibicao,MAX($AD$15:OFFSET(AD726,-1,0))+IF($C726&lt;&gt;1,1,MAX(1,COUNTIF(QCI!$A$13:$A$24,OFFSET($E726,-1,0)))),"")</f>
        <v/>
      </c>
      <c r="AE726" s="7" t="str">
        <f ca="1">IF(AND($C726="S",ORÇAMENTO.CodBarra&lt;&gt;""),IF(ORÇAMENTO.Fonte="",ORÇAMENTO.CodBarra,CONCATENATE(ORÇAMENTO.Fonte," ",ORÇAMENTO.CodBarra)))</f>
        <v>SINAPI 103689</v>
      </c>
      <c r="AF726" s="13" t="str">
        <f ca="1">IF(ISERROR(INDIRECT(ORÇAMENTO.BancoRef)),"(abra o arquivo 'Referência "&amp;Excel_BuiltIn_Database&amp;".xlsm)",IF(OR($C726&lt;&gt;"S",ORÇAMENTO.CodBarra=""),"(Sem Código)",IF(ISERROR(MATCH($AE726,INDIRECT(ORÇAMENTO.BancoRef),0)),"(Código não identificado nas referências)",MATCH($AE726,INDIRECT(ORÇAMENTO.BancoRef),0))))</f>
        <v>(abra o arquivo 'Referência 06-2024.xlsm)</v>
      </c>
      <c r="AG726" s="498">
        <f ca="1">ROUND(IF(DESONERACAO="sim",REFERENCIA.Desonerado,REFERENCIA.NaoDesonerado),2)</f>
        <v>0</v>
      </c>
      <c r="AH726" s="499">
        <f t="shared" ca="1" si="168"/>
        <v>0.2432</v>
      </c>
      <c r="AJ726" s="501"/>
      <c r="AL726" s="527"/>
      <c r="AM726" s="381">
        <f t="shared" ca="1" si="164"/>
        <v>0</v>
      </c>
      <c r="AN726" s="566">
        <f t="shared" ca="1" si="169"/>
        <v>0</v>
      </c>
    </row>
    <row r="727" spans="1:40" ht="5.0999999999999996" customHeight="1" x14ac:dyDescent="0.2">
      <c r="A727">
        <v>-1</v>
      </c>
      <c r="C727">
        <v>-1</v>
      </c>
      <c r="E727">
        <v>0</v>
      </c>
      <c r="F727">
        <v>0</v>
      </c>
      <c r="G727">
        <v>0</v>
      </c>
      <c r="H727">
        <v>0</v>
      </c>
      <c r="I727">
        <v>0</v>
      </c>
      <c r="L727" s="116" t="s">
        <v>246</v>
      </c>
      <c r="M727" s="492"/>
      <c r="N727" s="493"/>
      <c r="O727" s="492"/>
      <c r="P727" s="494"/>
      <c r="Q727" s="494"/>
      <c r="R727" s="494"/>
      <c r="S727" s="494"/>
      <c r="T727" s="494"/>
      <c r="U727" s="494"/>
      <c r="V727" s="494"/>
      <c r="W727" s="494"/>
      <c r="X727" s="493"/>
      <c r="AG727" s="484"/>
      <c r="AH727" s="486"/>
      <c r="AJ727" s="495"/>
      <c r="AL727" s="484"/>
      <c r="AM727" s="485"/>
      <c r="AN727" s="486"/>
    </row>
    <row r="730" spans="1:40" ht="14.25" x14ac:dyDescent="0.2">
      <c r="O730" s="140" t="s">
        <v>248</v>
      </c>
      <c r="Q730" s="619" t="s">
        <v>249</v>
      </c>
      <c r="R730" s="619"/>
      <c r="S730" s="619"/>
      <c r="T730" s="619"/>
      <c r="U730" s="619"/>
      <c r="V730" s="619"/>
      <c r="W730" s="619"/>
      <c r="X730" s="619"/>
    </row>
    <row r="732" spans="1:40" ht="14.25" x14ac:dyDescent="0.2">
      <c r="O732" s="141" t="s">
        <v>187</v>
      </c>
      <c r="X732" s="4"/>
    </row>
    <row r="733" spans="1:40" ht="12.75" customHeight="1" x14ac:dyDescent="0.2">
      <c r="O733" s="620"/>
      <c r="P733" s="620"/>
      <c r="Q733" s="620"/>
      <c r="R733" s="620"/>
      <c r="S733" s="620"/>
      <c r="T733" s="620"/>
      <c r="U733" s="620"/>
      <c r="V733" s="620"/>
      <c r="W733" s="620"/>
      <c r="X733" s="620"/>
    </row>
    <row r="734" spans="1:40" x14ac:dyDescent="0.2">
      <c r="O734" s="620"/>
      <c r="P734" s="620"/>
      <c r="Q734" s="620"/>
      <c r="R734" s="620"/>
      <c r="S734" s="620"/>
      <c r="T734" s="620"/>
      <c r="U734" s="620"/>
      <c r="V734" s="620"/>
      <c r="W734" s="620"/>
      <c r="X734" s="620"/>
    </row>
    <row r="735" spans="1:40" x14ac:dyDescent="0.2">
      <c r="O735" s="620"/>
      <c r="P735" s="620"/>
      <c r="Q735" s="620"/>
      <c r="R735" s="620"/>
      <c r="S735" s="620"/>
      <c r="T735" s="620"/>
      <c r="U735" s="620"/>
      <c r="V735" s="620"/>
      <c r="W735" s="620"/>
      <c r="X735" s="620"/>
    </row>
    <row r="736" spans="1:40" ht="14.25" x14ac:dyDescent="0.2">
      <c r="O736" s="534"/>
      <c r="P736" s="534"/>
      <c r="Q736" s="534"/>
      <c r="R736" s="534"/>
      <c r="S736" s="534"/>
      <c r="T736" s="534"/>
      <c r="U736" s="534"/>
      <c r="V736" s="534"/>
      <c r="W736" s="534"/>
      <c r="X736" s="534"/>
      <c r="Y736" s="534"/>
      <c r="Z736" s="142"/>
      <c r="AA736" s="142"/>
      <c r="AB736" s="142"/>
    </row>
    <row r="737" spans="15:28" ht="15" x14ac:dyDescent="0.25">
      <c r="O737" s="621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737" s="621"/>
      <c r="Q737" s="621"/>
      <c r="R737" s="621"/>
      <c r="S737" s="621"/>
      <c r="T737" s="621"/>
      <c r="U737" s="621"/>
      <c r="V737" s="621"/>
      <c r="W737" s="621"/>
      <c r="X737" s="621"/>
      <c r="Y737" s="143"/>
      <c r="Z737" s="143"/>
      <c r="AA737" s="143"/>
      <c r="AB737" s="143"/>
    </row>
    <row r="738" spans="15:28" ht="15" customHeight="1" x14ac:dyDescent="0.25">
      <c r="O738" s="623" t="s">
        <v>250</v>
      </c>
      <c r="P738" s="623"/>
      <c r="Q738" s="623"/>
      <c r="R738" s="623"/>
      <c r="S738" s="623"/>
      <c r="T738" s="623"/>
      <c r="U738" s="623"/>
      <c r="V738" s="623"/>
      <c r="W738" s="623"/>
      <c r="X738" s="623"/>
      <c r="Y738" s="143"/>
      <c r="Z738" s="143"/>
      <c r="AA738" s="143"/>
      <c r="AB738" s="143"/>
    </row>
    <row r="740" spans="15:28" ht="30" customHeight="1" x14ac:dyDescent="0.2">
      <c r="O740" s="622" t="str">
        <f>Import.Município</f>
        <v>DOIS VIZINHOS - PR</v>
      </c>
      <c r="P740" s="622"/>
      <c r="Q740" s="622"/>
      <c r="S740" s="553"/>
      <c r="T740" s="553"/>
      <c r="U740" s="553"/>
      <c r="V740" s="553"/>
      <c r="W740" s="479"/>
    </row>
    <row r="741" spans="15:28" x14ac:dyDescent="0.2">
      <c r="O741" s="10" t="s">
        <v>188</v>
      </c>
      <c r="S741" s="195" t="s">
        <v>190</v>
      </c>
      <c r="T741" s="195"/>
      <c r="U741" s="195"/>
      <c r="V741" s="195"/>
    </row>
    <row r="742" spans="15:28" x14ac:dyDescent="0.2">
      <c r="S742" s="78" t="s">
        <v>108</v>
      </c>
      <c r="T742" s="79" t="str">
        <f t="array" ref="T742:T744">Import.RespOrçamento</f>
        <v xml:space="preserve">RAUL ZANELLA </v>
      </c>
      <c r="V742" s="80"/>
    </row>
    <row r="743" spans="15:28" x14ac:dyDescent="0.2">
      <c r="O743" s="617">
        <f ca="1">DADOS!$F$25</f>
        <v>45663</v>
      </c>
      <c r="P743" s="617"/>
      <c r="Q743" s="617"/>
      <c r="S743" s="78" t="s">
        <v>109</v>
      </c>
      <c r="T743" s="79" t="str">
        <v>CREA PR-136200/D</v>
      </c>
      <c r="U743" s="80"/>
      <c r="V743" s="80"/>
    </row>
    <row r="744" spans="15:28" x14ac:dyDescent="0.2">
      <c r="O744" s="146" t="s">
        <v>189</v>
      </c>
      <c r="P744" s="1"/>
      <c r="Q744" s="1"/>
      <c r="S744" s="78" t="s">
        <v>110</v>
      </c>
      <c r="T744" s="79">
        <v>0</v>
      </c>
      <c r="U744" s="80"/>
      <c r="V744" s="80"/>
    </row>
  </sheetData>
  <sheetProtection algorithmName="SHA-512" hashValue="+jJbpZ3C1vP1juWwKL2usWbYomxtExZT3HJTNDn53/NeqeIFADhOXFIKsKdovKjR+mv2sinSc4rdGhruATIyaQ==" saltValue="g/EzO6FkcASH536aIrToJg==" spinCount="100000" sheet="1" objects="1" scenarios="1" autoFilter="0"/>
  <autoFilter ref="L15:L727"/>
  <mergeCells count="24">
    <mergeCell ref="O743:Q743"/>
    <mergeCell ref="O15:R15"/>
    <mergeCell ref="Q730:X730"/>
    <mergeCell ref="O733:X735"/>
    <mergeCell ref="O737:X737"/>
    <mergeCell ref="O740:Q740"/>
    <mergeCell ref="O738:X738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AE5:AF5"/>
    <mergeCell ref="O7:P7"/>
    <mergeCell ref="S7:U7"/>
    <mergeCell ref="AL7:AL11"/>
    <mergeCell ref="Y8:Y12"/>
    <mergeCell ref="Z8:Z12"/>
    <mergeCell ref="AA12:AB12"/>
    <mergeCell ref="AJ7:AJ11"/>
  </mergeCells>
  <phoneticPr fontId="39" type="noConversion"/>
  <conditionalFormatting sqref="M14 M149:M155 M212:M218 M283:M297 M346:M360 M363:M368 M397:M403 M429:M436 M504:M510 M522:M536 M542:M549 M560:M566 M656:M662 M705:M718 M165:M187 M197:M202 M221:M232 M235:M246 M300:M306 M316:M321 M414:M420 M468:M492 M579:M610 M613:M617 M665:M681 M688:M702 M721:M726 M16:M139">
    <cfRule type="cellIs" dxfId="1736" priority="9533" stopIfTrue="1" operator="notEqual">
      <formula>$N14</formula>
    </cfRule>
  </conditionalFormatting>
  <conditionalFormatting sqref="N14:O14 R14 W14:X14 N149:O155 R149:R155 W149:X155 N212:O218 R212:R218 W212:X218 N283:O297 R283:R297 W283:X297 N346:O360 R346:R360 W346:X360 W363:X368 R363:R368 N363:O368 N397:O403 R397:R403 W397:X403 N429:O436 R429:R436 W429:X436 N504:O510 R504:R510 W504:X510 N522:O536 R522:R536 W522:X536 N542:O549 R542:R549 W542:X549 N560:O566 R560:R566 W560:X566 N656:O662 R656:R662 W656:X662 N705:O718 R705:R718 W705:X718 N165:O187 R165:R187 W165:X187 N197:O202 R197:R202 W197:X202 N221:O232 R221:R232 W221:X232 N235:O246 R235:R246 W235:X246 N300:O306 R300:R306 W300:X306 W316:X321 R316:R321 N316:O321 N414:O420 R414:R420 W414:X420 N468:O492 R468:R492 W468:X492 N579:O610 R579:R610 W579:X610 W613:X617 R613:R617 N613:O617 N665:O681 R665:R681 W665:X681 N688:O702 R688:R702 W688:X702 N721:O726 R721:R726 W721:X726 N16:O139 R16:R139 W16:X139">
    <cfRule type="expression" dxfId="1735" priority="9534" stopIfTrue="1">
      <formula>$C14=1</formula>
    </cfRule>
    <cfRule type="expression" dxfId="1734" priority="9535" stopIfTrue="1">
      <formula>OR($C14=0,$C14=2,$C14=3,$C14=4)</formula>
    </cfRule>
  </conditionalFormatting>
  <conditionalFormatting sqref="U14:V14 U149:V155 U212:V218 U283:V297 U346:V360 U363:V368 U397:V403 U429:V436 U504:V510 U522:V536 U542:V549 U560:V566 U656:V662 U705:V718 U165:V187 U197:V202 U221:V232 U235:V246 U300:V306 U316:V321 U414:V420 U468:V492 U579:V610 U613:V617 U665:V681 U688:V702 U721:V726 U16:V139">
    <cfRule type="expression" dxfId="1733" priority="9536" stopIfTrue="1">
      <formula>$C14=1</formula>
    </cfRule>
    <cfRule type="expression" dxfId="1732" priority="9537" stopIfTrue="1">
      <formula>OR($C14=0,$C14=2,$C14=3,$C14=4)</formula>
    </cfRule>
    <cfRule type="expression" dxfId="1731" priority="9538" stopIfTrue="1">
      <formula>AND(TIPOORCAMENTO="Licitado",$C14&lt;&gt;"L",$C14&lt;&gt;-1)</formula>
    </cfRule>
  </conditionalFormatting>
  <conditionalFormatting sqref="P14:Q14 S14:T14 Y14 AG14:AH14 P149:Q155 S149:T155 Y149:Y155 AG149:AH155 P212:Q218 S212:T218 Y212:Y218 AG212:AH218 P283:Q297 S283:T297 Y283:Y297 AG283:AH297 P346:Q360 S346:T360 Y346:Y360 AG346:AH360 AG363:AH368 Y363:Y368 S363:T368 P363:Q368 P397:Q403 S397:T403 Y397:Y403 AG397:AH403 P429:Q436 S429:T436 Y429:Y436 AG429:AH436 P504:Q510 S504:T510 Y504:Y510 AG504:AH510 P522:Q536 S522:T536 Y522:Y536 AG522:AH536 P542:Q549 S542:T549 Y542:Y549 AG542:AH549 P560:Q566 S560:T566 Y560:Y566 AG560:AH566 P656:Q662 S656:T662 Y656:Y662 AG656:AH662 P705:Q718 S705:T718 Y705:Y718 AG705:AH718 P165:Q187 S165:T187 Y165:Y187 AG165:AH187 P197:Q202 S197:T202 Y197:Y202 AG197:AH202 P221:Q232 S221:T232 Y221:Y232 AG221:AH232 P235:Q246 S235:T246 Y235:Y246 AG235:AH246 P300:Q306 S300:T306 Y300:Y306 AG300:AH306 AG316:AH321 Y316:Y321 S316:T321 P316:Q321 P414:Q420 S414:T420 Y414:Y420 AG414:AH420 P468:Q492 S468:T492 Y468:Y492 AG468:AH492 P579:Q610 S579:T610 Y579:Y610 AG579:AH610 AG613:AH617 Y613:Y617 S613:T617 P613:Q617 P665:Q681 S665:T681 Y665:Y681 AG665:AH681 P688:Q702 S688:T702 Y688:Y702 AG688:AH702 P721:Q726 S721:T726 Y721:Y726 AG721:AH726 P16:Q139 S16:T139 Y16:Y139 AG16:AH139">
    <cfRule type="expression" dxfId="1730" priority="9539" stopIfTrue="1">
      <formula>$C14=1</formula>
    </cfRule>
    <cfRule type="expression" dxfId="1729" priority="9540" stopIfTrue="1">
      <formula>OR($C14=0,$C14=2,$C14=3,$C14=4)</formula>
    </cfRule>
  </conditionalFormatting>
  <conditionalFormatting sqref="AJ149:AJ155 AJ212:AJ218 AJ283:AJ297 AJ346:AJ360 AJ363:AJ368 AJ397:AJ403 AJ429:AJ436 AJ165:AJ187 AJ197:AJ202 AJ221:AJ232 AJ235:AJ246 AJ300:AJ306 AJ316:AJ321 AJ414:AJ420 AJ468:AJ727 AJ7:AJ139">
    <cfRule type="expression" dxfId="1728" priority="9541" stopIfTrue="1">
      <formula>OR(ACOMPANHAMENTO&lt;&gt;"BM",TIPOORCAMENTO="Licitado")</formula>
    </cfRule>
    <cfRule type="expression" dxfId="1727" priority="9542" stopIfTrue="1">
      <formula>$C7=1</formula>
    </cfRule>
    <cfRule type="expression" dxfId="1726" priority="9543" stopIfTrue="1">
      <formula>OR(AND(ISNUMBER($C7),$C7=0),$C7=2,$C7=3,$C7=4)</formula>
    </cfRule>
  </conditionalFormatting>
  <conditionalFormatting sqref="AL149:AL155 AL212:AL218 AL283:AL297 AL346:AL360 AL363:AL368 AL397:AL403 AL429:AL436 AL165:AL187 AL197:AL202 AL221:AL232 AL235:AL246 AL300:AL306 AL316:AL321 AL414:AL420 AL468:AL727 AL7:AL139">
    <cfRule type="expression" dxfId="1725" priority="9544" stopIfTrue="1">
      <formula>TIPOORCAMENTO="PROPOSTO"</formula>
    </cfRule>
    <cfRule type="expression" dxfId="1724" priority="9545" stopIfTrue="1">
      <formula>$C7=1</formula>
    </cfRule>
    <cfRule type="expression" dxfId="1723" priority="9546" stopIfTrue="1">
      <formula>OR(AND(ISNUMBER($C7),$C7=0),$C7=2,$C7=3,$C7=4)</formula>
    </cfRule>
  </conditionalFormatting>
  <conditionalFormatting sqref="O8:P8">
    <cfRule type="expression" dxfId="1722" priority="9550" stopIfTrue="1">
      <formula>ISERROR(INDIRECT($F$9))</formula>
    </cfRule>
  </conditionalFormatting>
  <conditionalFormatting sqref="S7:V8">
    <cfRule type="expression" dxfId="1721" priority="9551" stopIfTrue="1">
      <formula>TIPOORCAMENTO="Proposto"</formula>
    </cfRule>
  </conditionalFormatting>
  <conditionalFormatting sqref="S9:V9">
    <cfRule type="expression" dxfId="1720" priority="9498" stopIfTrue="1">
      <formula>TIPOORCAMENTO="Proposto"</formula>
    </cfRule>
  </conditionalFormatting>
  <conditionalFormatting sqref="AM149:AN155 AM212:AN218 AM283:AN297 AM346:AN360 AM363:AN368 AM397:AN403 AM429:AN436 AM504:AN510 AM522:AN536 AM542:AN549 AM560:AN566 AM656:AN662 AM705:AN718 AM165:AN187 AM197:AN202 AM221:AN232 AM235:AN246 AM300:AN306 AM316:AN321 AM414:AN420 AM468:AN492 AM579:AN610 AM613:AN617 AM665:AN681 AM688:AN702 AM721:AN727 AM7:AN139">
    <cfRule type="expression" dxfId="1719" priority="9547" stopIfTrue="1">
      <formula>TIPOORCAMENTO="PROPOSTO"</formula>
    </cfRule>
    <cfRule type="expression" dxfId="1718" priority="9548" stopIfTrue="1">
      <formula>$C7=1</formula>
    </cfRule>
    <cfRule type="expression" dxfId="1717" priority="9549" stopIfTrue="1">
      <formula>OR(AND(ISNUMBER($C7),$C7=0),$C7=2,$C7=3,$C7=4)</formula>
    </cfRule>
  </conditionalFormatting>
  <conditionalFormatting sqref="M140:M148">
    <cfRule type="cellIs" dxfId="1716" priority="1413" stopIfTrue="1" operator="notEqual">
      <formula>$N140</formula>
    </cfRule>
  </conditionalFormatting>
  <conditionalFormatting sqref="N140:O148 R140:R148 W140:X148">
    <cfRule type="expression" dxfId="1715" priority="1414" stopIfTrue="1">
      <formula>$C140=1</formula>
    </cfRule>
    <cfRule type="expression" dxfId="1714" priority="1415" stopIfTrue="1">
      <formula>OR($C140=0,$C140=2,$C140=3,$C140=4)</formula>
    </cfRule>
  </conditionalFormatting>
  <conditionalFormatting sqref="U140:V148">
    <cfRule type="expression" dxfId="1713" priority="1416" stopIfTrue="1">
      <formula>$C140=1</formula>
    </cfRule>
    <cfRule type="expression" dxfId="1712" priority="1417" stopIfTrue="1">
      <formula>OR($C140=0,$C140=2,$C140=3,$C140=4)</formula>
    </cfRule>
    <cfRule type="expression" dxfId="1711" priority="1418" stopIfTrue="1">
      <formula>AND(TIPOORCAMENTO="Licitado",$C140&lt;&gt;"L",$C140&lt;&gt;-1)</formula>
    </cfRule>
  </conditionalFormatting>
  <conditionalFormatting sqref="P140:Q148 S140:T148 Y140:Y148 AG140:AH148">
    <cfRule type="expression" dxfId="1710" priority="1419" stopIfTrue="1">
      <formula>$C140=1</formula>
    </cfRule>
    <cfRule type="expression" dxfId="1709" priority="1420" stopIfTrue="1">
      <formula>OR($C140=0,$C140=2,$C140=3,$C140=4)</formula>
    </cfRule>
  </conditionalFormatting>
  <conditionalFormatting sqref="AJ140:AJ148">
    <cfRule type="expression" dxfId="1708" priority="1421" stopIfTrue="1">
      <formula>OR(ACOMPANHAMENTO&lt;&gt;"BM",TIPOORCAMENTO="Licitado")</formula>
    </cfRule>
    <cfRule type="expression" dxfId="1707" priority="1422" stopIfTrue="1">
      <formula>$C140=1</formula>
    </cfRule>
    <cfRule type="expression" dxfId="1706" priority="1423" stopIfTrue="1">
      <formula>OR(AND(ISNUMBER($C140),$C140=0),$C140=2,$C140=3,$C140=4)</formula>
    </cfRule>
  </conditionalFormatting>
  <conditionalFormatting sqref="AL140:AL148">
    <cfRule type="expression" dxfId="1705" priority="1424" stopIfTrue="1">
      <formula>TIPOORCAMENTO="PROPOSTO"</formula>
    </cfRule>
    <cfRule type="expression" dxfId="1704" priority="1425" stopIfTrue="1">
      <formula>$C140=1</formula>
    </cfRule>
    <cfRule type="expression" dxfId="1703" priority="1426" stopIfTrue="1">
      <formula>OR(AND(ISNUMBER($C140),$C140=0),$C140=2,$C140=3,$C140=4)</formula>
    </cfRule>
  </conditionalFormatting>
  <conditionalFormatting sqref="AM140:AN148">
    <cfRule type="expression" dxfId="1702" priority="1427" stopIfTrue="1">
      <formula>TIPOORCAMENTO="PROPOSTO"</formula>
    </cfRule>
    <cfRule type="expression" dxfId="1701" priority="1428" stopIfTrue="1">
      <formula>$C140=1</formula>
    </cfRule>
    <cfRule type="expression" dxfId="1700" priority="1429" stopIfTrue="1">
      <formula>OR(AND(ISNUMBER($C140),$C140=0),$C140=2,$C140=3,$C140=4)</formula>
    </cfRule>
  </conditionalFormatting>
  <conditionalFormatting sqref="M156:M164">
    <cfRule type="cellIs" dxfId="1699" priority="1379" stopIfTrue="1" operator="notEqual">
      <formula>$N156</formula>
    </cfRule>
  </conditionalFormatting>
  <conditionalFormatting sqref="N156:O164 R156:R164 W156:X164">
    <cfRule type="expression" dxfId="1698" priority="1380" stopIfTrue="1">
      <formula>$C156=1</formula>
    </cfRule>
    <cfRule type="expression" dxfId="1697" priority="1381" stopIfTrue="1">
      <formula>OR($C156=0,$C156=2,$C156=3,$C156=4)</formula>
    </cfRule>
  </conditionalFormatting>
  <conditionalFormatting sqref="U156:V164">
    <cfRule type="expression" dxfId="1696" priority="1382" stopIfTrue="1">
      <formula>$C156=1</formula>
    </cfRule>
    <cfRule type="expression" dxfId="1695" priority="1383" stopIfTrue="1">
      <formula>OR($C156=0,$C156=2,$C156=3,$C156=4)</formula>
    </cfRule>
    <cfRule type="expression" dxfId="1694" priority="1384" stopIfTrue="1">
      <formula>AND(TIPOORCAMENTO="Licitado",$C156&lt;&gt;"L",$C156&lt;&gt;-1)</formula>
    </cfRule>
  </conditionalFormatting>
  <conditionalFormatting sqref="P156:Q164 S156:T164 Y156:Y164 AG156:AH164">
    <cfRule type="expression" dxfId="1693" priority="1385" stopIfTrue="1">
      <formula>$C156=1</formula>
    </cfRule>
    <cfRule type="expression" dxfId="1692" priority="1386" stopIfTrue="1">
      <formula>OR($C156=0,$C156=2,$C156=3,$C156=4)</formula>
    </cfRule>
  </conditionalFormatting>
  <conditionalFormatting sqref="AJ156:AJ164">
    <cfRule type="expression" dxfId="1691" priority="1387" stopIfTrue="1">
      <formula>OR(ACOMPANHAMENTO&lt;&gt;"BM",TIPOORCAMENTO="Licitado")</formula>
    </cfRule>
    <cfRule type="expression" dxfId="1690" priority="1388" stopIfTrue="1">
      <formula>$C156=1</formula>
    </cfRule>
    <cfRule type="expression" dxfId="1689" priority="1389" stopIfTrue="1">
      <formula>OR(AND(ISNUMBER($C156),$C156=0),$C156=2,$C156=3,$C156=4)</formula>
    </cfRule>
  </conditionalFormatting>
  <conditionalFormatting sqref="AL156:AL164">
    <cfRule type="expression" dxfId="1688" priority="1390" stopIfTrue="1">
      <formula>TIPOORCAMENTO="PROPOSTO"</formula>
    </cfRule>
    <cfRule type="expression" dxfId="1687" priority="1391" stopIfTrue="1">
      <formula>$C156=1</formula>
    </cfRule>
    <cfRule type="expression" dxfId="1686" priority="1392" stopIfTrue="1">
      <formula>OR(AND(ISNUMBER($C156),$C156=0),$C156=2,$C156=3,$C156=4)</formula>
    </cfRule>
  </conditionalFormatting>
  <conditionalFormatting sqref="AM156:AN164">
    <cfRule type="expression" dxfId="1685" priority="1393" stopIfTrue="1">
      <formula>TIPOORCAMENTO="PROPOSTO"</formula>
    </cfRule>
    <cfRule type="expression" dxfId="1684" priority="1394" stopIfTrue="1">
      <formula>$C156=1</formula>
    </cfRule>
    <cfRule type="expression" dxfId="1683" priority="1395" stopIfTrue="1">
      <formula>OR(AND(ISNUMBER($C156),$C156=0),$C156=2,$C156=3,$C156=4)</formula>
    </cfRule>
  </conditionalFormatting>
  <conditionalFormatting sqref="M188:M196">
    <cfRule type="cellIs" dxfId="1682" priority="1311" stopIfTrue="1" operator="notEqual">
      <formula>$N188</formula>
    </cfRule>
  </conditionalFormatting>
  <conditionalFormatting sqref="N188:O196 R188:R196 W188:X196">
    <cfRule type="expression" dxfId="1681" priority="1312" stopIfTrue="1">
      <formula>$C188=1</formula>
    </cfRule>
    <cfRule type="expression" dxfId="1680" priority="1313" stopIfTrue="1">
      <formula>OR($C188=0,$C188=2,$C188=3,$C188=4)</formula>
    </cfRule>
  </conditionalFormatting>
  <conditionalFormatting sqref="U188:V196">
    <cfRule type="expression" dxfId="1679" priority="1314" stopIfTrue="1">
      <formula>$C188=1</formula>
    </cfRule>
    <cfRule type="expression" dxfId="1678" priority="1315" stopIfTrue="1">
      <formula>OR($C188=0,$C188=2,$C188=3,$C188=4)</formula>
    </cfRule>
    <cfRule type="expression" dxfId="1677" priority="1316" stopIfTrue="1">
      <formula>AND(TIPOORCAMENTO="Licitado",$C188&lt;&gt;"L",$C188&lt;&gt;-1)</formula>
    </cfRule>
  </conditionalFormatting>
  <conditionalFormatting sqref="P188:Q196 S188:T196 Y188:Y196 AG188:AH196">
    <cfRule type="expression" dxfId="1676" priority="1317" stopIfTrue="1">
      <formula>$C188=1</formula>
    </cfRule>
    <cfRule type="expression" dxfId="1675" priority="1318" stopIfTrue="1">
      <formula>OR($C188=0,$C188=2,$C188=3,$C188=4)</formula>
    </cfRule>
  </conditionalFormatting>
  <conditionalFormatting sqref="AJ188:AJ196">
    <cfRule type="expression" dxfId="1674" priority="1319" stopIfTrue="1">
      <formula>OR(ACOMPANHAMENTO&lt;&gt;"BM",TIPOORCAMENTO="Licitado")</formula>
    </cfRule>
    <cfRule type="expression" dxfId="1673" priority="1320" stopIfTrue="1">
      <formula>$C188=1</formula>
    </cfRule>
    <cfRule type="expression" dxfId="1672" priority="1321" stopIfTrue="1">
      <formula>OR(AND(ISNUMBER($C188),$C188=0),$C188=2,$C188=3,$C188=4)</formula>
    </cfRule>
  </conditionalFormatting>
  <conditionalFormatting sqref="AL188:AL196">
    <cfRule type="expression" dxfId="1671" priority="1322" stopIfTrue="1">
      <formula>TIPOORCAMENTO="PROPOSTO"</formula>
    </cfRule>
    <cfRule type="expression" dxfId="1670" priority="1323" stopIfTrue="1">
      <formula>$C188=1</formula>
    </cfRule>
    <cfRule type="expression" dxfId="1669" priority="1324" stopIfTrue="1">
      <formula>OR(AND(ISNUMBER($C188),$C188=0),$C188=2,$C188=3,$C188=4)</formula>
    </cfRule>
  </conditionalFormatting>
  <conditionalFormatting sqref="AM188:AN196">
    <cfRule type="expression" dxfId="1668" priority="1325" stopIfTrue="1">
      <formula>TIPOORCAMENTO="PROPOSTO"</formula>
    </cfRule>
    <cfRule type="expression" dxfId="1667" priority="1326" stopIfTrue="1">
      <formula>$C188=1</formula>
    </cfRule>
    <cfRule type="expression" dxfId="1666" priority="1327" stopIfTrue="1">
      <formula>OR(AND(ISNUMBER($C188),$C188=0),$C188=2,$C188=3,$C188=4)</formula>
    </cfRule>
  </conditionalFormatting>
  <conditionalFormatting sqref="M203:M211">
    <cfRule type="cellIs" dxfId="1665" priority="1277" stopIfTrue="1" operator="notEqual">
      <formula>$N203</formula>
    </cfRule>
  </conditionalFormatting>
  <conditionalFormatting sqref="N203:O211 R203:R211 W203:X211">
    <cfRule type="expression" dxfId="1664" priority="1278" stopIfTrue="1">
      <formula>$C203=1</formula>
    </cfRule>
    <cfRule type="expression" dxfId="1663" priority="1279" stopIfTrue="1">
      <formula>OR($C203=0,$C203=2,$C203=3,$C203=4)</formula>
    </cfRule>
  </conditionalFormatting>
  <conditionalFormatting sqref="U203:V211">
    <cfRule type="expression" dxfId="1662" priority="1280" stopIfTrue="1">
      <formula>$C203=1</formula>
    </cfRule>
    <cfRule type="expression" dxfId="1661" priority="1281" stopIfTrue="1">
      <formula>OR($C203=0,$C203=2,$C203=3,$C203=4)</formula>
    </cfRule>
    <cfRule type="expression" dxfId="1660" priority="1282" stopIfTrue="1">
      <formula>AND(TIPOORCAMENTO="Licitado",$C203&lt;&gt;"L",$C203&lt;&gt;-1)</formula>
    </cfRule>
  </conditionalFormatting>
  <conditionalFormatting sqref="P203:Q211 S203:T211 Y203:Y211 AG203:AH211">
    <cfRule type="expression" dxfId="1659" priority="1283" stopIfTrue="1">
      <formula>$C203=1</formula>
    </cfRule>
    <cfRule type="expression" dxfId="1658" priority="1284" stopIfTrue="1">
      <formula>OR($C203=0,$C203=2,$C203=3,$C203=4)</formula>
    </cfRule>
  </conditionalFormatting>
  <conditionalFormatting sqref="AJ203:AJ211">
    <cfRule type="expression" dxfId="1657" priority="1285" stopIfTrue="1">
      <formula>OR(ACOMPANHAMENTO&lt;&gt;"BM",TIPOORCAMENTO="Licitado")</formula>
    </cfRule>
    <cfRule type="expression" dxfId="1656" priority="1286" stopIfTrue="1">
      <formula>$C203=1</formula>
    </cfRule>
    <cfRule type="expression" dxfId="1655" priority="1287" stopIfTrue="1">
      <formula>OR(AND(ISNUMBER($C203),$C203=0),$C203=2,$C203=3,$C203=4)</formula>
    </cfRule>
  </conditionalFormatting>
  <conditionalFormatting sqref="AL203:AL211">
    <cfRule type="expression" dxfId="1654" priority="1288" stopIfTrue="1">
      <formula>TIPOORCAMENTO="PROPOSTO"</formula>
    </cfRule>
    <cfRule type="expression" dxfId="1653" priority="1289" stopIfTrue="1">
      <formula>$C203=1</formula>
    </cfRule>
    <cfRule type="expression" dxfId="1652" priority="1290" stopIfTrue="1">
      <formula>OR(AND(ISNUMBER($C203),$C203=0),$C203=2,$C203=3,$C203=4)</formula>
    </cfRule>
  </conditionalFormatting>
  <conditionalFormatting sqref="AM203:AN211">
    <cfRule type="expression" dxfId="1651" priority="1291" stopIfTrue="1">
      <formula>TIPOORCAMENTO="PROPOSTO"</formula>
    </cfRule>
    <cfRule type="expression" dxfId="1650" priority="1292" stopIfTrue="1">
      <formula>$C203=1</formula>
    </cfRule>
    <cfRule type="expression" dxfId="1649" priority="1293" stopIfTrue="1">
      <formula>OR(AND(ISNUMBER($C203),$C203=0),$C203=2,$C203=3,$C203=4)</formula>
    </cfRule>
  </conditionalFormatting>
  <conditionalFormatting sqref="M219:M220">
    <cfRule type="cellIs" dxfId="1648" priority="1243" stopIfTrue="1" operator="notEqual">
      <formula>$N219</formula>
    </cfRule>
  </conditionalFormatting>
  <conditionalFormatting sqref="N219:O220 R219:R220 W219:X220">
    <cfRule type="expression" dxfId="1647" priority="1244" stopIfTrue="1">
      <formula>$C219=1</formula>
    </cfRule>
    <cfRule type="expression" dxfId="1646" priority="1245" stopIfTrue="1">
      <formula>OR($C219=0,$C219=2,$C219=3,$C219=4)</formula>
    </cfRule>
  </conditionalFormatting>
  <conditionalFormatting sqref="U219:V220">
    <cfRule type="expression" dxfId="1645" priority="1246" stopIfTrue="1">
      <formula>$C219=1</formula>
    </cfRule>
    <cfRule type="expression" dxfId="1644" priority="1247" stopIfTrue="1">
      <formula>OR($C219=0,$C219=2,$C219=3,$C219=4)</formula>
    </cfRule>
    <cfRule type="expression" dxfId="1643" priority="1248" stopIfTrue="1">
      <formula>AND(TIPOORCAMENTO="Licitado",$C219&lt;&gt;"L",$C219&lt;&gt;-1)</formula>
    </cfRule>
  </conditionalFormatting>
  <conditionalFormatting sqref="P219:Q220 S219:T220 Y219:Y220 AG219:AH220">
    <cfRule type="expression" dxfId="1642" priority="1249" stopIfTrue="1">
      <formula>$C219=1</formula>
    </cfRule>
    <cfRule type="expression" dxfId="1641" priority="1250" stopIfTrue="1">
      <formula>OR($C219=0,$C219=2,$C219=3,$C219=4)</formula>
    </cfRule>
  </conditionalFormatting>
  <conditionalFormatting sqref="AJ219:AJ220">
    <cfRule type="expression" dxfId="1640" priority="1251" stopIfTrue="1">
      <formula>OR(ACOMPANHAMENTO&lt;&gt;"BM",TIPOORCAMENTO="Licitado")</formula>
    </cfRule>
    <cfRule type="expression" dxfId="1639" priority="1252" stopIfTrue="1">
      <formula>$C219=1</formula>
    </cfRule>
    <cfRule type="expression" dxfId="1638" priority="1253" stopIfTrue="1">
      <formula>OR(AND(ISNUMBER($C219),$C219=0),$C219=2,$C219=3,$C219=4)</formula>
    </cfRule>
  </conditionalFormatting>
  <conditionalFormatting sqref="AL219:AL220">
    <cfRule type="expression" dxfId="1637" priority="1254" stopIfTrue="1">
      <formula>TIPOORCAMENTO="PROPOSTO"</formula>
    </cfRule>
    <cfRule type="expression" dxfId="1636" priority="1255" stopIfTrue="1">
      <formula>$C219=1</formula>
    </cfRule>
    <cfRule type="expression" dxfId="1635" priority="1256" stopIfTrue="1">
      <formula>OR(AND(ISNUMBER($C219),$C219=0),$C219=2,$C219=3,$C219=4)</formula>
    </cfRule>
  </conditionalFormatting>
  <conditionalFormatting sqref="AM219:AN220">
    <cfRule type="expression" dxfId="1634" priority="1257" stopIfTrue="1">
      <formula>TIPOORCAMENTO="PROPOSTO"</formula>
    </cfRule>
    <cfRule type="expression" dxfId="1633" priority="1258" stopIfTrue="1">
      <formula>$C219=1</formula>
    </cfRule>
    <cfRule type="expression" dxfId="1632" priority="1259" stopIfTrue="1">
      <formula>OR(AND(ISNUMBER($C219),$C219=0),$C219=2,$C219=3,$C219=4)</formula>
    </cfRule>
  </conditionalFormatting>
  <conditionalFormatting sqref="M249:M257">
    <cfRule type="cellIs" dxfId="1631" priority="1226" stopIfTrue="1" operator="notEqual">
      <formula>$N249</formula>
    </cfRule>
  </conditionalFormatting>
  <conditionalFormatting sqref="N249:O257 R249:R257 W249:X257">
    <cfRule type="expression" dxfId="1630" priority="1227" stopIfTrue="1">
      <formula>$C249=1</formula>
    </cfRule>
    <cfRule type="expression" dxfId="1629" priority="1228" stopIfTrue="1">
      <formula>OR($C249=0,$C249=2,$C249=3,$C249=4)</formula>
    </cfRule>
  </conditionalFormatting>
  <conditionalFormatting sqref="U249:V257">
    <cfRule type="expression" dxfId="1628" priority="1229" stopIfTrue="1">
      <formula>$C249=1</formula>
    </cfRule>
    <cfRule type="expression" dxfId="1627" priority="1230" stopIfTrue="1">
      <formula>OR($C249=0,$C249=2,$C249=3,$C249=4)</formula>
    </cfRule>
    <cfRule type="expression" dxfId="1626" priority="1231" stopIfTrue="1">
      <formula>AND(TIPOORCAMENTO="Licitado",$C249&lt;&gt;"L",$C249&lt;&gt;-1)</formula>
    </cfRule>
  </conditionalFormatting>
  <conditionalFormatting sqref="P249:Q257 S249:T257 Y249:Y257 AG249:AH257">
    <cfRule type="expression" dxfId="1625" priority="1232" stopIfTrue="1">
      <formula>$C249=1</formula>
    </cfRule>
    <cfRule type="expression" dxfId="1624" priority="1233" stopIfTrue="1">
      <formula>OR($C249=0,$C249=2,$C249=3,$C249=4)</formula>
    </cfRule>
  </conditionalFormatting>
  <conditionalFormatting sqref="AJ249:AJ257">
    <cfRule type="expression" dxfId="1623" priority="1234" stopIfTrue="1">
      <formula>OR(ACOMPANHAMENTO&lt;&gt;"BM",TIPOORCAMENTO="Licitado")</formula>
    </cfRule>
    <cfRule type="expression" dxfId="1622" priority="1235" stopIfTrue="1">
      <formula>$C249=1</formula>
    </cfRule>
    <cfRule type="expression" dxfId="1621" priority="1236" stopIfTrue="1">
      <formula>OR(AND(ISNUMBER($C249),$C249=0),$C249=2,$C249=3,$C249=4)</formula>
    </cfRule>
  </conditionalFormatting>
  <conditionalFormatting sqref="AL249:AL257">
    <cfRule type="expression" dxfId="1620" priority="1237" stopIfTrue="1">
      <formula>TIPOORCAMENTO="PROPOSTO"</formula>
    </cfRule>
    <cfRule type="expression" dxfId="1619" priority="1238" stopIfTrue="1">
      <formula>$C249=1</formula>
    </cfRule>
    <cfRule type="expression" dxfId="1618" priority="1239" stopIfTrue="1">
      <formula>OR(AND(ISNUMBER($C249),$C249=0),$C249=2,$C249=3,$C249=4)</formula>
    </cfRule>
  </conditionalFormatting>
  <conditionalFormatting sqref="AM249:AN257">
    <cfRule type="expression" dxfId="1617" priority="1240" stopIfTrue="1">
      <formula>TIPOORCAMENTO="PROPOSTO"</formula>
    </cfRule>
    <cfRule type="expression" dxfId="1616" priority="1241" stopIfTrue="1">
      <formula>$C249=1</formula>
    </cfRule>
    <cfRule type="expression" dxfId="1615" priority="1242" stopIfTrue="1">
      <formula>OR(AND(ISNUMBER($C249),$C249=0),$C249=2,$C249=3,$C249=4)</formula>
    </cfRule>
  </conditionalFormatting>
  <conditionalFormatting sqref="M258:M263 M335 M464:M465">
    <cfRule type="cellIs" dxfId="1614" priority="1209" stopIfTrue="1" operator="notEqual">
      <formula>$N258</formula>
    </cfRule>
  </conditionalFormatting>
  <conditionalFormatting sqref="N258:O263 R258:R263 W258:X263 W335:X335 R335 N335:O335 N464:O465 R464:R465 W464:X465">
    <cfRule type="expression" dxfId="1613" priority="1210" stopIfTrue="1">
      <formula>$C258=1</formula>
    </cfRule>
    <cfRule type="expression" dxfId="1612" priority="1211" stopIfTrue="1">
      <formula>OR($C258=0,$C258=2,$C258=3,$C258=4)</formula>
    </cfRule>
  </conditionalFormatting>
  <conditionalFormatting sqref="U258:V263 U335:V335 U464:V465">
    <cfRule type="expression" dxfId="1611" priority="1212" stopIfTrue="1">
      <formula>$C258=1</formula>
    </cfRule>
    <cfRule type="expression" dxfId="1610" priority="1213" stopIfTrue="1">
      <formula>OR($C258=0,$C258=2,$C258=3,$C258=4)</formula>
    </cfRule>
    <cfRule type="expression" dxfId="1609" priority="1214" stopIfTrue="1">
      <formula>AND(TIPOORCAMENTO="Licitado",$C258&lt;&gt;"L",$C258&lt;&gt;-1)</formula>
    </cfRule>
  </conditionalFormatting>
  <conditionalFormatting sqref="P258:Q263 S258:T263 Y258:Y263 AG258:AH263 AG335:AH335 Y335 S335:T335 P335:Q335 P464:Q465 S464:T465 Y464:Y465 AG464:AH465">
    <cfRule type="expression" dxfId="1608" priority="1215" stopIfTrue="1">
      <formula>$C258=1</formula>
    </cfRule>
    <cfRule type="expression" dxfId="1607" priority="1216" stopIfTrue="1">
      <formula>OR($C258=0,$C258=2,$C258=3,$C258=4)</formula>
    </cfRule>
  </conditionalFormatting>
  <conditionalFormatting sqref="AJ258:AJ263 AJ335 AJ464:AJ465">
    <cfRule type="expression" dxfId="1606" priority="1217" stopIfTrue="1">
      <formula>OR(ACOMPANHAMENTO&lt;&gt;"BM",TIPOORCAMENTO="Licitado")</formula>
    </cfRule>
    <cfRule type="expression" dxfId="1605" priority="1218" stopIfTrue="1">
      <formula>$C258=1</formula>
    </cfRule>
    <cfRule type="expression" dxfId="1604" priority="1219" stopIfTrue="1">
      <formula>OR(AND(ISNUMBER($C258),$C258=0),$C258=2,$C258=3,$C258=4)</formula>
    </cfRule>
  </conditionalFormatting>
  <conditionalFormatting sqref="AL258:AL263 AL335 AL464:AL465">
    <cfRule type="expression" dxfId="1603" priority="1220" stopIfTrue="1">
      <formula>TIPOORCAMENTO="PROPOSTO"</formula>
    </cfRule>
    <cfRule type="expression" dxfId="1602" priority="1221" stopIfTrue="1">
      <formula>$C258=1</formula>
    </cfRule>
    <cfRule type="expression" dxfId="1601" priority="1222" stopIfTrue="1">
      <formula>OR(AND(ISNUMBER($C258),$C258=0),$C258=2,$C258=3,$C258=4)</formula>
    </cfRule>
  </conditionalFormatting>
  <conditionalFormatting sqref="AM258:AN263 AM335:AN335 AM464:AN465">
    <cfRule type="expression" dxfId="1600" priority="1223" stopIfTrue="1">
      <formula>TIPOORCAMENTO="PROPOSTO"</formula>
    </cfRule>
    <cfRule type="expression" dxfId="1599" priority="1224" stopIfTrue="1">
      <formula>$C258=1</formula>
    </cfRule>
    <cfRule type="expression" dxfId="1598" priority="1225" stopIfTrue="1">
      <formula>OR(AND(ISNUMBER($C258),$C258=0),$C258=2,$C258=3,$C258=4)</formula>
    </cfRule>
  </conditionalFormatting>
  <conditionalFormatting sqref="M466:M467">
    <cfRule type="cellIs" dxfId="1597" priority="1192" stopIfTrue="1" operator="notEqual">
      <formula>$N466</formula>
    </cfRule>
  </conditionalFormatting>
  <conditionalFormatting sqref="N466:O467 R466:R467 W466:X467">
    <cfRule type="expression" dxfId="1596" priority="1193" stopIfTrue="1">
      <formula>$C466=1</formula>
    </cfRule>
    <cfRule type="expression" dxfId="1595" priority="1194" stopIfTrue="1">
      <formula>OR($C466=0,$C466=2,$C466=3,$C466=4)</formula>
    </cfRule>
  </conditionalFormatting>
  <conditionalFormatting sqref="U466:V467">
    <cfRule type="expression" dxfId="1594" priority="1195" stopIfTrue="1">
      <formula>$C466=1</formula>
    </cfRule>
    <cfRule type="expression" dxfId="1593" priority="1196" stopIfTrue="1">
      <formula>OR($C466=0,$C466=2,$C466=3,$C466=4)</formula>
    </cfRule>
    <cfRule type="expression" dxfId="1592" priority="1197" stopIfTrue="1">
      <formula>AND(TIPOORCAMENTO="Licitado",$C466&lt;&gt;"L",$C466&lt;&gt;-1)</formula>
    </cfRule>
  </conditionalFormatting>
  <conditionalFormatting sqref="P466:Q467 S466:T467 Y466:Y467 AG466:AH467">
    <cfRule type="expression" dxfId="1591" priority="1198" stopIfTrue="1">
      <formula>$C466=1</formula>
    </cfRule>
    <cfRule type="expression" dxfId="1590" priority="1199" stopIfTrue="1">
      <formula>OR($C466=0,$C466=2,$C466=3,$C466=4)</formula>
    </cfRule>
  </conditionalFormatting>
  <conditionalFormatting sqref="AJ466:AJ467">
    <cfRule type="expression" dxfId="1589" priority="1200" stopIfTrue="1">
      <formula>OR(ACOMPANHAMENTO&lt;&gt;"BM",TIPOORCAMENTO="Licitado")</formula>
    </cfRule>
    <cfRule type="expression" dxfId="1588" priority="1201" stopIfTrue="1">
      <formula>$C466=1</formula>
    </cfRule>
    <cfRule type="expression" dxfId="1587" priority="1202" stopIfTrue="1">
      <formula>OR(AND(ISNUMBER($C466),$C466=0),$C466=2,$C466=3,$C466=4)</formula>
    </cfRule>
  </conditionalFormatting>
  <conditionalFormatting sqref="AL466:AL467">
    <cfRule type="expression" dxfId="1586" priority="1203" stopIfTrue="1">
      <formula>TIPOORCAMENTO="PROPOSTO"</formula>
    </cfRule>
    <cfRule type="expression" dxfId="1585" priority="1204" stopIfTrue="1">
      <formula>$C466=1</formula>
    </cfRule>
    <cfRule type="expression" dxfId="1584" priority="1205" stopIfTrue="1">
      <formula>OR(AND(ISNUMBER($C466),$C466=0),$C466=2,$C466=3,$C466=4)</formula>
    </cfRule>
  </conditionalFormatting>
  <conditionalFormatting sqref="AM466:AN467">
    <cfRule type="expression" dxfId="1583" priority="1206" stopIfTrue="1">
      <formula>TIPOORCAMENTO="PROPOSTO"</formula>
    </cfRule>
    <cfRule type="expression" dxfId="1582" priority="1207" stopIfTrue="1">
      <formula>$C466=1</formula>
    </cfRule>
    <cfRule type="expression" dxfId="1581" priority="1208" stopIfTrue="1">
      <formula>OR(AND(ISNUMBER($C466),$C466=0),$C466=2,$C466=3,$C466=4)</formula>
    </cfRule>
  </conditionalFormatting>
  <conditionalFormatting sqref="M247:M248">
    <cfRule type="cellIs" dxfId="1580" priority="1141" stopIfTrue="1" operator="notEqual">
      <formula>$N247</formula>
    </cfRule>
  </conditionalFormatting>
  <conditionalFormatting sqref="N247:O248 R247:R248 W247:X248">
    <cfRule type="expression" dxfId="1579" priority="1142" stopIfTrue="1">
      <formula>$C247=1</formula>
    </cfRule>
    <cfRule type="expression" dxfId="1578" priority="1143" stopIfTrue="1">
      <formula>OR($C247=0,$C247=2,$C247=3,$C247=4)</formula>
    </cfRule>
  </conditionalFormatting>
  <conditionalFormatting sqref="U247:V248">
    <cfRule type="expression" dxfId="1577" priority="1144" stopIfTrue="1">
      <formula>$C247=1</formula>
    </cfRule>
    <cfRule type="expression" dxfId="1576" priority="1145" stopIfTrue="1">
      <formula>OR($C247=0,$C247=2,$C247=3,$C247=4)</formula>
    </cfRule>
    <cfRule type="expression" dxfId="1575" priority="1146" stopIfTrue="1">
      <formula>AND(TIPOORCAMENTO="Licitado",$C247&lt;&gt;"L",$C247&lt;&gt;-1)</formula>
    </cfRule>
  </conditionalFormatting>
  <conditionalFormatting sqref="P247:Q248 S247:T248 Y247:Y248 AG247:AH248">
    <cfRule type="expression" dxfId="1574" priority="1147" stopIfTrue="1">
      <formula>$C247=1</formula>
    </cfRule>
    <cfRule type="expression" dxfId="1573" priority="1148" stopIfTrue="1">
      <formula>OR($C247=0,$C247=2,$C247=3,$C247=4)</formula>
    </cfRule>
  </conditionalFormatting>
  <conditionalFormatting sqref="AJ247:AJ248">
    <cfRule type="expression" dxfId="1572" priority="1149" stopIfTrue="1">
      <formula>OR(ACOMPANHAMENTO&lt;&gt;"BM",TIPOORCAMENTO="Licitado")</formula>
    </cfRule>
    <cfRule type="expression" dxfId="1571" priority="1150" stopIfTrue="1">
      <formula>$C247=1</formula>
    </cfRule>
    <cfRule type="expression" dxfId="1570" priority="1151" stopIfTrue="1">
      <formula>OR(AND(ISNUMBER($C247),$C247=0),$C247=2,$C247=3,$C247=4)</formula>
    </cfRule>
  </conditionalFormatting>
  <conditionalFormatting sqref="AL247:AL248">
    <cfRule type="expression" dxfId="1569" priority="1152" stopIfTrue="1">
      <formula>TIPOORCAMENTO="PROPOSTO"</formula>
    </cfRule>
    <cfRule type="expression" dxfId="1568" priority="1153" stopIfTrue="1">
      <formula>$C247=1</formula>
    </cfRule>
    <cfRule type="expression" dxfId="1567" priority="1154" stopIfTrue="1">
      <formula>OR(AND(ISNUMBER($C247),$C247=0),$C247=2,$C247=3,$C247=4)</formula>
    </cfRule>
  </conditionalFormatting>
  <conditionalFormatting sqref="AM247:AN248">
    <cfRule type="expression" dxfId="1566" priority="1155" stopIfTrue="1">
      <formula>TIPOORCAMENTO="PROPOSTO"</formula>
    </cfRule>
    <cfRule type="expression" dxfId="1565" priority="1156" stopIfTrue="1">
      <formula>$C247=1</formula>
    </cfRule>
    <cfRule type="expression" dxfId="1564" priority="1157" stopIfTrue="1">
      <formula>OR(AND(ISNUMBER($C247),$C247=0),$C247=2,$C247=3,$C247=4)</formula>
    </cfRule>
  </conditionalFormatting>
  <conditionalFormatting sqref="M233:M234">
    <cfRule type="cellIs" dxfId="1563" priority="1090" stopIfTrue="1" operator="notEqual">
      <formula>$N233</formula>
    </cfRule>
  </conditionalFormatting>
  <conditionalFormatting sqref="N233:O234 R233:R234 W233:X234">
    <cfRule type="expression" dxfId="1562" priority="1091" stopIfTrue="1">
      <formula>$C233=1</formula>
    </cfRule>
    <cfRule type="expression" dxfId="1561" priority="1092" stopIfTrue="1">
      <formula>OR($C233=0,$C233=2,$C233=3,$C233=4)</formula>
    </cfRule>
  </conditionalFormatting>
  <conditionalFormatting sqref="U233:V234">
    <cfRule type="expression" dxfId="1560" priority="1093" stopIfTrue="1">
      <formula>$C233=1</formula>
    </cfRule>
    <cfRule type="expression" dxfId="1559" priority="1094" stopIfTrue="1">
      <formula>OR($C233=0,$C233=2,$C233=3,$C233=4)</formula>
    </cfRule>
    <cfRule type="expression" dxfId="1558" priority="1095" stopIfTrue="1">
      <formula>AND(TIPOORCAMENTO="Licitado",$C233&lt;&gt;"L",$C233&lt;&gt;-1)</formula>
    </cfRule>
  </conditionalFormatting>
  <conditionalFormatting sqref="P233:Q234 S233:T234 Y233:Y234 AG233:AH234">
    <cfRule type="expression" dxfId="1557" priority="1096" stopIfTrue="1">
      <formula>$C233=1</formula>
    </cfRule>
    <cfRule type="expression" dxfId="1556" priority="1097" stopIfTrue="1">
      <formula>OR($C233=0,$C233=2,$C233=3,$C233=4)</formula>
    </cfRule>
  </conditionalFormatting>
  <conditionalFormatting sqref="AJ233:AJ234">
    <cfRule type="expression" dxfId="1555" priority="1098" stopIfTrue="1">
      <formula>OR(ACOMPANHAMENTO&lt;&gt;"BM",TIPOORCAMENTO="Licitado")</formula>
    </cfRule>
    <cfRule type="expression" dxfId="1554" priority="1099" stopIfTrue="1">
      <formula>$C233=1</formula>
    </cfRule>
    <cfRule type="expression" dxfId="1553" priority="1100" stopIfTrue="1">
      <formula>OR(AND(ISNUMBER($C233),$C233=0),$C233=2,$C233=3,$C233=4)</formula>
    </cfRule>
  </conditionalFormatting>
  <conditionalFormatting sqref="AL233:AL234">
    <cfRule type="expression" dxfId="1552" priority="1101" stopIfTrue="1">
      <formula>TIPOORCAMENTO="PROPOSTO"</formula>
    </cfRule>
    <cfRule type="expression" dxfId="1551" priority="1102" stopIfTrue="1">
      <formula>$C233=1</formula>
    </cfRule>
    <cfRule type="expression" dxfId="1550" priority="1103" stopIfTrue="1">
      <formula>OR(AND(ISNUMBER($C233),$C233=0),$C233=2,$C233=3,$C233=4)</formula>
    </cfRule>
  </conditionalFormatting>
  <conditionalFormatting sqref="AM233:AN234">
    <cfRule type="expression" dxfId="1549" priority="1104" stopIfTrue="1">
      <formula>TIPOORCAMENTO="PROPOSTO"</formula>
    </cfRule>
    <cfRule type="expression" dxfId="1548" priority="1105" stopIfTrue="1">
      <formula>$C233=1</formula>
    </cfRule>
    <cfRule type="expression" dxfId="1547" priority="1106" stopIfTrue="1">
      <formula>OR(AND(ISNUMBER($C233),$C233=0),$C233=2,$C233=3,$C233=4)</formula>
    </cfRule>
  </conditionalFormatting>
  <conditionalFormatting sqref="M264:M272">
    <cfRule type="cellIs" dxfId="1546" priority="1073" stopIfTrue="1" operator="notEqual">
      <formula>$N264</formula>
    </cfRule>
  </conditionalFormatting>
  <conditionalFormatting sqref="N264:O272 R264:R272 W264:X272">
    <cfRule type="expression" dxfId="1545" priority="1074" stopIfTrue="1">
      <formula>$C264=1</formula>
    </cfRule>
    <cfRule type="expression" dxfId="1544" priority="1075" stopIfTrue="1">
      <formula>OR($C264=0,$C264=2,$C264=3,$C264=4)</formula>
    </cfRule>
  </conditionalFormatting>
  <conditionalFormatting sqref="U264:V272">
    <cfRule type="expression" dxfId="1543" priority="1076" stopIfTrue="1">
      <formula>$C264=1</formula>
    </cfRule>
    <cfRule type="expression" dxfId="1542" priority="1077" stopIfTrue="1">
      <formula>OR($C264=0,$C264=2,$C264=3,$C264=4)</formula>
    </cfRule>
    <cfRule type="expression" dxfId="1541" priority="1078" stopIfTrue="1">
      <formula>AND(TIPOORCAMENTO="Licitado",$C264&lt;&gt;"L",$C264&lt;&gt;-1)</formula>
    </cfRule>
  </conditionalFormatting>
  <conditionalFormatting sqref="P264:Q272 S264:T272 Y264:Y272 AG264:AH272">
    <cfRule type="expression" dxfId="1540" priority="1079" stopIfTrue="1">
      <formula>$C264=1</formula>
    </cfRule>
    <cfRule type="expression" dxfId="1539" priority="1080" stopIfTrue="1">
      <formula>OR($C264=0,$C264=2,$C264=3,$C264=4)</formula>
    </cfRule>
  </conditionalFormatting>
  <conditionalFormatting sqref="AJ264:AJ272">
    <cfRule type="expression" dxfId="1538" priority="1081" stopIfTrue="1">
      <formula>OR(ACOMPANHAMENTO&lt;&gt;"BM",TIPOORCAMENTO="Licitado")</formula>
    </cfRule>
    <cfRule type="expression" dxfId="1537" priority="1082" stopIfTrue="1">
      <formula>$C264=1</formula>
    </cfRule>
    <cfRule type="expression" dxfId="1536" priority="1083" stopIfTrue="1">
      <formula>OR(AND(ISNUMBER($C264),$C264=0),$C264=2,$C264=3,$C264=4)</formula>
    </cfRule>
  </conditionalFormatting>
  <conditionalFormatting sqref="AL264:AL272">
    <cfRule type="expression" dxfId="1535" priority="1084" stopIfTrue="1">
      <formula>TIPOORCAMENTO="PROPOSTO"</formula>
    </cfRule>
    <cfRule type="expression" dxfId="1534" priority="1085" stopIfTrue="1">
      <formula>$C264=1</formula>
    </cfRule>
    <cfRule type="expression" dxfId="1533" priority="1086" stopIfTrue="1">
      <formula>OR(AND(ISNUMBER($C264),$C264=0),$C264=2,$C264=3,$C264=4)</formula>
    </cfRule>
  </conditionalFormatting>
  <conditionalFormatting sqref="AM264:AN272">
    <cfRule type="expression" dxfId="1532" priority="1087" stopIfTrue="1">
      <formula>TIPOORCAMENTO="PROPOSTO"</formula>
    </cfRule>
    <cfRule type="expression" dxfId="1531" priority="1088" stopIfTrue="1">
      <formula>$C264=1</formula>
    </cfRule>
    <cfRule type="expression" dxfId="1530" priority="1089" stopIfTrue="1">
      <formula>OR(AND(ISNUMBER($C264),$C264=0),$C264=2,$C264=3,$C264=4)</formula>
    </cfRule>
  </conditionalFormatting>
  <conditionalFormatting sqref="M273:M281">
    <cfRule type="cellIs" dxfId="1529" priority="1056" stopIfTrue="1" operator="notEqual">
      <formula>$N273</formula>
    </cfRule>
  </conditionalFormatting>
  <conditionalFormatting sqref="N273:O281 R273:R281 W273:X281">
    <cfRule type="expression" dxfId="1528" priority="1057" stopIfTrue="1">
      <formula>$C273=1</formula>
    </cfRule>
    <cfRule type="expression" dxfId="1527" priority="1058" stopIfTrue="1">
      <formula>OR($C273=0,$C273=2,$C273=3,$C273=4)</formula>
    </cfRule>
  </conditionalFormatting>
  <conditionalFormatting sqref="U273:V281">
    <cfRule type="expression" dxfId="1526" priority="1059" stopIfTrue="1">
      <formula>$C273=1</formula>
    </cfRule>
    <cfRule type="expression" dxfId="1525" priority="1060" stopIfTrue="1">
      <formula>OR($C273=0,$C273=2,$C273=3,$C273=4)</formula>
    </cfRule>
    <cfRule type="expression" dxfId="1524" priority="1061" stopIfTrue="1">
      <formula>AND(TIPOORCAMENTO="Licitado",$C273&lt;&gt;"L",$C273&lt;&gt;-1)</formula>
    </cfRule>
  </conditionalFormatting>
  <conditionalFormatting sqref="P273:Q281 S273:T281 Y273:Y281 AG273:AH281">
    <cfRule type="expression" dxfId="1523" priority="1062" stopIfTrue="1">
      <formula>$C273=1</formula>
    </cfRule>
    <cfRule type="expression" dxfId="1522" priority="1063" stopIfTrue="1">
      <formula>OR($C273=0,$C273=2,$C273=3,$C273=4)</formula>
    </cfRule>
  </conditionalFormatting>
  <conditionalFormatting sqref="AJ273:AJ281">
    <cfRule type="expression" dxfId="1521" priority="1064" stopIfTrue="1">
      <formula>OR(ACOMPANHAMENTO&lt;&gt;"BM",TIPOORCAMENTO="Licitado")</formula>
    </cfRule>
    <cfRule type="expression" dxfId="1520" priority="1065" stopIfTrue="1">
      <formula>$C273=1</formula>
    </cfRule>
    <cfRule type="expression" dxfId="1519" priority="1066" stopIfTrue="1">
      <formula>OR(AND(ISNUMBER($C273),$C273=0),$C273=2,$C273=3,$C273=4)</formula>
    </cfRule>
  </conditionalFormatting>
  <conditionalFormatting sqref="AL273:AL281">
    <cfRule type="expression" dxfId="1518" priority="1067" stopIfTrue="1">
      <formula>TIPOORCAMENTO="PROPOSTO"</formula>
    </cfRule>
    <cfRule type="expression" dxfId="1517" priority="1068" stopIfTrue="1">
      <formula>$C273=1</formula>
    </cfRule>
    <cfRule type="expression" dxfId="1516" priority="1069" stopIfTrue="1">
      <formula>OR(AND(ISNUMBER($C273),$C273=0),$C273=2,$C273=3,$C273=4)</formula>
    </cfRule>
  </conditionalFormatting>
  <conditionalFormatting sqref="AM273:AN281">
    <cfRule type="expression" dxfId="1515" priority="1070" stopIfTrue="1">
      <formula>TIPOORCAMENTO="PROPOSTO"</formula>
    </cfRule>
    <cfRule type="expression" dxfId="1514" priority="1071" stopIfTrue="1">
      <formula>$C273=1</formula>
    </cfRule>
    <cfRule type="expression" dxfId="1513" priority="1072" stopIfTrue="1">
      <formula>OR(AND(ISNUMBER($C273),$C273=0),$C273=2,$C273=3,$C273=4)</formula>
    </cfRule>
  </conditionalFormatting>
  <conditionalFormatting sqref="M333:M334">
    <cfRule type="cellIs" dxfId="1512" priority="1039" stopIfTrue="1" operator="notEqual">
      <formula>$N333</formula>
    </cfRule>
  </conditionalFormatting>
  <conditionalFormatting sqref="N333:O334 R333:R334 W333:X334">
    <cfRule type="expression" dxfId="1511" priority="1040" stopIfTrue="1">
      <formula>$C333=1</formula>
    </cfRule>
    <cfRule type="expression" dxfId="1510" priority="1041" stopIfTrue="1">
      <formula>OR($C333=0,$C333=2,$C333=3,$C333=4)</formula>
    </cfRule>
  </conditionalFormatting>
  <conditionalFormatting sqref="U333:V334">
    <cfRule type="expression" dxfId="1509" priority="1042" stopIfTrue="1">
      <formula>$C333=1</formula>
    </cfRule>
    <cfRule type="expression" dxfId="1508" priority="1043" stopIfTrue="1">
      <formula>OR($C333=0,$C333=2,$C333=3,$C333=4)</formula>
    </cfRule>
    <cfRule type="expression" dxfId="1507" priority="1044" stopIfTrue="1">
      <formula>AND(TIPOORCAMENTO="Licitado",$C333&lt;&gt;"L",$C333&lt;&gt;-1)</formula>
    </cfRule>
  </conditionalFormatting>
  <conditionalFormatting sqref="P333:Q334 S333:T334 Y333:Y334 AG333:AH334">
    <cfRule type="expression" dxfId="1506" priority="1045" stopIfTrue="1">
      <formula>$C333=1</formula>
    </cfRule>
    <cfRule type="expression" dxfId="1505" priority="1046" stopIfTrue="1">
      <formula>OR($C333=0,$C333=2,$C333=3,$C333=4)</formula>
    </cfRule>
  </conditionalFormatting>
  <conditionalFormatting sqref="AJ333:AJ334">
    <cfRule type="expression" dxfId="1504" priority="1047" stopIfTrue="1">
      <formula>OR(ACOMPANHAMENTO&lt;&gt;"BM",TIPOORCAMENTO="Licitado")</formula>
    </cfRule>
    <cfRule type="expression" dxfId="1503" priority="1048" stopIfTrue="1">
      <formula>$C333=1</formula>
    </cfRule>
    <cfRule type="expression" dxfId="1502" priority="1049" stopIfTrue="1">
      <formula>OR(AND(ISNUMBER($C333),$C333=0),$C333=2,$C333=3,$C333=4)</formula>
    </cfRule>
  </conditionalFormatting>
  <conditionalFormatting sqref="AL333:AL334">
    <cfRule type="expression" dxfId="1501" priority="1050" stopIfTrue="1">
      <formula>TIPOORCAMENTO="PROPOSTO"</formula>
    </cfRule>
    <cfRule type="expression" dxfId="1500" priority="1051" stopIfTrue="1">
      <formula>$C333=1</formula>
    </cfRule>
    <cfRule type="expression" dxfId="1499" priority="1052" stopIfTrue="1">
      <formula>OR(AND(ISNUMBER($C333),$C333=0),$C333=2,$C333=3,$C333=4)</formula>
    </cfRule>
  </conditionalFormatting>
  <conditionalFormatting sqref="AM333:AN334">
    <cfRule type="expression" dxfId="1498" priority="1053" stopIfTrue="1">
      <formula>TIPOORCAMENTO="PROPOSTO"</formula>
    </cfRule>
    <cfRule type="expression" dxfId="1497" priority="1054" stopIfTrue="1">
      <formula>$C333=1</formula>
    </cfRule>
    <cfRule type="expression" dxfId="1496" priority="1055" stopIfTrue="1">
      <formula>OR(AND(ISNUMBER($C333),$C333=0),$C333=2,$C333=3,$C333=4)</formula>
    </cfRule>
  </conditionalFormatting>
  <conditionalFormatting sqref="M336:M344">
    <cfRule type="cellIs" dxfId="1495" priority="1022" stopIfTrue="1" operator="notEqual">
      <formula>$N336</formula>
    </cfRule>
  </conditionalFormatting>
  <conditionalFormatting sqref="N336:O344 R336:R344 W336:X344">
    <cfRule type="expression" dxfId="1494" priority="1023" stopIfTrue="1">
      <formula>$C336=1</formula>
    </cfRule>
    <cfRule type="expression" dxfId="1493" priority="1024" stopIfTrue="1">
      <formula>OR($C336=0,$C336=2,$C336=3,$C336=4)</formula>
    </cfRule>
  </conditionalFormatting>
  <conditionalFormatting sqref="U336:V344">
    <cfRule type="expression" dxfId="1492" priority="1025" stopIfTrue="1">
      <formula>$C336=1</formula>
    </cfRule>
    <cfRule type="expression" dxfId="1491" priority="1026" stopIfTrue="1">
      <formula>OR($C336=0,$C336=2,$C336=3,$C336=4)</formula>
    </cfRule>
    <cfRule type="expression" dxfId="1490" priority="1027" stopIfTrue="1">
      <formula>AND(TIPOORCAMENTO="Licitado",$C336&lt;&gt;"L",$C336&lt;&gt;-1)</formula>
    </cfRule>
  </conditionalFormatting>
  <conditionalFormatting sqref="P336:Q344 S336:T344 Y336:Y344 AG336:AH344">
    <cfRule type="expression" dxfId="1489" priority="1028" stopIfTrue="1">
      <formula>$C336=1</formula>
    </cfRule>
    <cfRule type="expression" dxfId="1488" priority="1029" stopIfTrue="1">
      <formula>OR($C336=0,$C336=2,$C336=3,$C336=4)</formula>
    </cfRule>
  </conditionalFormatting>
  <conditionalFormatting sqref="AJ336:AJ344">
    <cfRule type="expression" dxfId="1487" priority="1030" stopIfTrue="1">
      <formula>OR(ACOMPANHAMENTO&lt;&gt;"BM",TIPOORCAMENTO="Licitado")</formula>
    </cfRule>
    <cfRule type="expression" dxfId="1486" priority="1031" stopIfTrue="1">
      <formula>$C336=1</formula>
    </cfRule>
    <cfRule type="expression" dxfId="1485" priority="1032" stopIfTrue="1">
      <formula>OR(AND(ISNUMBER($C336),$C336=0),$C336=2,$C336=3,$C336=4)</formula>
    </cfRule>
  </conditionalFormatting>
  <conditionalFormatting sqref="AL336:AL344">
    <cfRule type="expression" dxfId="1484" priority="1033" stopIfTrue="1">
      <formula>TIPOORCAMENTO="PROPOSTO"</formula>
    </cfRule>
    <cfRule type="expression" dxfId="1483" priority="1034" stopIfTrue="1">
      <formula>$C336=1</formula>
    </cfRule>
    <cfRule type="expression" dxfId="1482" priority="1035" stopIfTrue="1">
      <formula>OR(AND(ISNUMBER($C336),$C336=0),$C336=2,$C336=3,$C336=4)</formula>
    </cfRule>
  </conditionalFormatting>
  <conditionalFormatting sqref="AM336:AN344">
    <cfRule type="expression" dxfId="1481" priority="1036" stopIfTrue="1">
      <formula>TIPOORCAMENTO="PROPOSTO"</formula>
    </cfRule>
    <cfRule type="expression" dxfId="1480" priority="1037" stopIfTrue="1">
      <formula>$C336=1</formula>
    </cfRule>
    <cfRule type="expression" dxfId="1479" priority="1038" stopIfTrue="1">
      <formula>OR(AND(ISNUMBER($C336),$C336=0),$C336=2,$C336=3,$C336=4)</formula>
    </cfRule>
  </conditionalFormatting>
  <conditionalFormatting sqref="M380:M384 M458:M461">
    <cfRule type="cellIs" dxfId="1478" priority="1005" stopIfTrue="1" operator="notEqual">
      <formula>$N380</formula>
    </cfRule>
  </conditionalFormatting>
  <conditionalFormatting sqref="N380:O384 R380:R384 W380:X384 W458:X461 R458:R461 N458:O461">
    <cfRule type="expression" dxfId="1477" priority="1006" stopIfTrue="1">
      <formula>$C380=1</formula>
    </cfRule>
    <cfRule type="expression" dxfId="1476" priority="1007" stopIfTrue="1">
      <formula>OR($C380=0,$C380=2,$C380=3,$C380=4)</formula>
    </cfRule>
  </conditionalFormatting>
  <conditionalFormatting sqref="U380:V384 U458:V461">
    <cfRule type="expression" dxfId="1475" priority="1008" stopIfTrue="1">
      <formula>$C380=1</formula>
    </cfRule>
    <cfRule type="expression" dxfId="1474" priority="1009" stopIfTrue="1">
      <formula>OR($C380=0,$C380=2,$C380=3,$C380=4)</formula>
    </cfRule>
    <cfRule type="expression" dxfId="1473" priority="1010" stopIfTrue="1">
      <formula>AND(TIPOORCAMENTO="Licitado",$C380&lt;&gt;"L",$C380&lt;&gt;-1)</formula>
    </cfRule>
  </conditionalFormatting>
  <conditionalFormatting sqref="P380:Q384 S380:T384 Y380:Y384 AG380:AH384 AG458:AH461 Y458:Y461 S458:T461 P458:Q461">
    <cfRule type="expression" dxfId="1472" priority="1011" stopIfTrue="1">
      <formula>$C380=1</formula>
    </cfRule>
    <cfRule type="expression" dxfId="1471" priority="1012" stopIfTrue="1">
      <formula>OR($C380=0,$C380=2,$C380=3,$C380=4)</formula>
    </cfRule>
  </conditionalFormatting>
  <conditionalFormatting sqref="AJ380:AJ384 AJ458:AJ461">
    <cfRule type="expression" dxfId="1470" priority="1013" stopIfTrue="1">
      <formula>OR(ACOMPANHAMENTO&lt;&gt;"BM",TIPOORCAMENTO="Licitado")</formula>
    </cfRule>
    <cfRule type="expression" dxfId="1469" priority="1014" stopIfTrue="1">
      <formula>$C380=1</formula>
    </cfRule>
    <cfRule type="expression" dxfId="1468" priority="1015" stopIfTrue="1">
      <formula>OR(AND(ISNUMBER($C380),$C380=0),$C380=2,$C380=3,$C380=4)</formula>
    </cfRule>
  </conditionalFormatting>
  <conditionalFormatting sqref="AL380:AL384 AL458:AL461">
    <cfRule type="expression" dxfId="1467" priority="1016" stopIfTrue="1">
      <formula>TIPOORCAMENTO="PROPOSTO"</formula>
    </cfRule>
    <cfRule type="expression" dxfId="1466" priority="1017" stopIfTrue="1">
      <formula>$C380=1</formula>
    </cfRule>
    <cfRule type="expression" dxfId="1465" priority="1018" stopIfTrue="1">
      <formula>OR(AND(ISNUMBER($C380),$C380=0),$C380=2,$C380=3,$C380=4)</formula>
    </cfRule>
  </conditionalFormatting>
  <conditionalFormatting sqref="AM380:AN384 AM458:AN461">
    <cfRule type="expression" dxfId="1464" priority="1019" stopIfTrue="1">
      <formula>TIPOORCAMENTO="PROPOSTO"</formula>
    </cfRule>
    <cfRule type="expression" dxfId="1463" priority="1020" stopIfTrue="1">
      <formula>$C380=1</formula>
    </cfRule>
    <cfRule type="expression" dxfId="1462" priority="1021" stopIfTrue="1">
      <formula>OR(AND(ISNUMBER($C380),$C380=0),$C380=2,$C380=3,$C380=4)</formula>
    </cfRule>
  </conditionalFormatting>
  <conditionalFormatting sqref="M462:M463">
    <cfRule type="cellIs" dxfId="1461" priority="988" stopIfTrue="1" operator="notEqual">
      <formula>$N462</formula>
    </cfRule>
  </conditionalFormatting>
  <conditionalFormatting sqref="N462:O463 R462:R463 W462:X463">
    <cfRule type="expression" dxfId="1460" priority="989" stopIfTrue="1">
      <formula>$C462=1</formula>
    </cfRule>
    <cfRule type="expression" dxfId="1459" priority="990" stopIfTrue="1">
      <formula>OR($C462=0,$C462=2,$C462=3,$C462=4)</formula>
    </cfRule>
  </conditionalFormatting>
  <conditionalFormatting sqref="U462:V463">
    <cfRule type="expression" dxfId="1458" priority="991" stopIfTrue="1">
      <formula>$C462=1</formula>
    </cfRule>
    <cfRule type="expression" dxfId="1457" priority="992" stopIfTrue="1">
      <formula>OR($C462=0,$C462=2,$C462=3,$C462=4)</formula>
    </cfRule>
    <cfRule type="expression" dxfId="1456" priority="993" stopIfTrue="1">
      <formula>AND(TIPOORCAMENTO="Licitado",$C462&lt;&gt;"L",$C462&lt;&gt;-1)</formula>
    </cfRule>
  </conditionalFormatting>
  <conditionalFormatting sqref="P462:Q463 S462:T463 Y462:Y463 AG462:AH463">
    <cfRule type="expression" dxfId="1455" priority="994" stopIfTrue="1">
      <formula>$C462=1</formula>
    </cfRule>
    <cfRule type="expression" dxfId="1454" priority="995" stopIfTrue="1">
      <formula>OR($C462=0,$C462=2,$C462=3,$C462=4)</formula>
    </cfRule>
  </conditionalFormatting>
  <conditionalFormatting sqref="AJ462:AJ463">
    <cfRule type="expression" dxfId="1453" priority="996" stopIfTrue="1">
      <formula>OR(ACOMPANHAMENTO&lt;&gt;"BM",TIPOORCAMENTO="Licitado")</formula>
    </cfRule>
    <cfRule type="expression" dxfId="1452" priority="997" stopIfTrue="1">
      <formula>$C462=1</formula>
    </cfRule>
    <cfRule type="expression" dxfId="1451" priority="998" stopIfTrue="1">
      <formula>OR(AND(ISNUMBER($C462),$C462=0),$C462=2,$C462=3,$C462=4)</formula>
    </cfRule>
  </conditionalFormatting>
  <conditionalFormatting sqref="AL462:AL463">
    <cfRule type="expression" dxfId="1450" priority="999" stopIfTrue="1">
      <formula>TIPOORCAMENTO="PROPOSTO"</formula>
    </cfRule>
    <cfRule type="expression" dxfId="1449" priority="1000" stopIfTrue="1">
      <formula>$C462=1</formula>
    </cfRule>
    <cfRule type="expression" dxfId="1448" priority="1001" stopIfTrue="1">
      <formula>OR(AND(ISNUMBER($C462),$C462=0),$C462=2,$C462=3,$C462=4)</formula>
    </cfRule>
  </conditionalFormatting>
  <conditionalFormatting sqref="AM462:AN463">
    <cfRule type="expression" dxfId="1447" priority="1002" stopIfTrue="1">
      <formula>TIPOORCAMENTO="PROPOSTO"</formula>
    </cfRule>
    <cfRule type="expression" dxfId="1446" priority="1003" stopIfTrue="1">
      <formula>$C462=1</formula>
    </cfRule>
    <cfRule type="expression" dxfId="1445" priority="1004" stopIfTrue="1">
      <formula>OR(AND(ISNUMBER($C462),$C462=0),$C462=2,$C462=3,$C462=4)</formula>
    </cfRule>
  </conditionalFormatting>
  <conditionalFormatting sqref="M345">
    <cfRule type="cellIs" dxfId="1444" priority="971" stopIfTrue="1" operator="notEqual">
      <formula>$N345</formula>
    </cfRule>
  </conditionalFormatting>
  <conditionalFormatting sqref="N345:O345 R345 W345:X345">
    <cfRule type="expression" dxfId="1443" priority="972" stopIfTrue="1">
      <formula>$C345=1</formula>
    </cfRule>
    <cfRule type="expression" dxfId="1442" priority="973" stopIfTrue="1">
      <formula>OR($C345=0,$C345=2,$C345=3,$C345=4)</formula>
    </cfRule>
  </conditionalFormatting>
  <conditionalFormatting sqref="U345:V345">
    <cfRule type="expression" dxfId="1441" priority="974" stopIfTrue="1">
      <formula>$C345=1</formula>
    </cfRule>
    <cfRule type="expression" dxfId="1440" priority="975" stopIfTrue="1">
      <formula>OR($C345=0,$C345=2,$C345=3,$C345=4)</formula>
    </cfRule>
    <cfRule type="expression" dxfId="1439" priority="976" stopIfTrue="1">
      <formula>AND(TIPOORCAMENTO="Licitado",$C345&lt;&gt;"L",$C345&lt;&gt;-1)</formula>
    </cfRule>
  </conditionalFormatting>
  <conditionalFormatting sqref="P345:Q345 S345:T345 Y345 AG345:AH345">
    <cfRule type="expression" dxfId="1438" priority="977" stopIfTrue="1">
      <formula>$C345=1</formula>
    </cfRule>
    <cfRule type="expression" dxfId="1437" priority="978" stopIfTrue="1">
      <formula>OR($C345=0,$C345=2,$C345=3,$C345=4)</formula>
    </cfRule>
  </conditionalFormatting>
  <conditionalFormatting sqref="AJ345">
    <cfRule type="expression" dxfId="1436" priority="979" stopIfTrue="1">
      <formula>OR(ACOMPANHAMENTO&lt;&gt;"BM",TIPOORCAMENTO="Licitado")</formula>
    </cfRule>
    <cfRule type="expression" dxfId="1435" priority="980" stopIfTrue="1">
      <formula>$C345=1</formula>
    </cfRule>
    <cfRule type="expression" dxfId="1434" priority="981" stopIfTrue="1">
      <formula>OR(AND(ISNUMBER($C345),$C345=0),$C345=2,$C345=3,$C345=4)</formula>
    </cfRule>
  </conditionalFormatting>
  <conditionalFormatting sqref="AL345">
    <cfRule type="expression" dxfId="1433" priority="982" stopIfTrue="1">
      <formula>TIPOORCAMENTO="PROPOSTO"</formula>
    </cfRule>
    <cfRule type="expression" dxfId="1432" priority="983" stopIfTrue="1">
      <formula>$C345=1</formula>
    </cfRule>
    <cfRule type="expression" dxfId="1431" priority="984" stopIfTrue="1">
      <formula>OR(AND(ISNUMBER($C345),$C345=0),$C345=2,$C345=3,$C345=4)</formula>
    </cfRule>
  </conditionalFormatting>
  <conditionalFormatting sqref="AM345:AN345">
    <cfRule type="expression" dxfId="1430" priority="985" stopIfTrue="1">
      <formula>TIPOORCAMENTO="PROPOSTO"</formula>
    </cfRule>
    <cfRule type="expression" dxfId="1429" priority="986" stopIfTrue="1">
      <formula>$C345=1</formula>
    </cfRule>
    <cfRule type="expression" dxfId="1428" priority="987" stopIfTrue="1">
      <formula>OR(AND(ISNUMBER($C345),$C345=0),$C345=2,$C345=3,$C345=4)</formula>
    </cfRule>
  </conditionalFormatting>
  <conditionalFormatting sqref="M369:M377">
    <cfRule type="cellIs" dxfId="1427" priority="954" stopIfTrue="1" operator="notEqual">
      <formula>$N369</formula>
    </cfRule>
  </conditionalFormatting>
  <conditionalFormatting sqref="N369:O377 R369:R377 W369:X377">
    <cfRule type="expression" dxfId="1426" priority="955" stopIfTrue="1">
      <formula>$C369=1</formula>
    </cfRule>
    <cfRule type="expression" dxfId="1425" priority="956" stopIfTrue="1">
      <formula>OR($C369=0,$C369=2,$C369=3,$C369=4)</formula>
    </cfRule>
  </conditionalFormatting>
  <conditionalFormatting sqref="U369:V377">
    <cfRule type="expression" dxfId="1424" priority="957" stopIfTrue="1">
      <formula>$C369=1</formula>
    </cfRule>
    <cfRule type="expression" dxfId="1423" priority="958" stopIfTrue="1">
      <formula>OR($C369=0,$C369=2,$C369=3,$C369=4)</formula>
    </cfRule>
    <cfRule type="expression" dxfId="1422" priority="959" stopIfTrue="1">
      <formula>AND(TIPOORCAMENTO="Licitado",$C369&lt;&gt;"L",$C369&lt;&gt;-1)</formula>
    </cfRule>
  </conditionalFormatting>
  <conditionalFormatting sqref="P369:Q377 S369:T377 Y369:Y377 AG369:AH377">
    <cfRule type="expression" dxfId="1421" priority="960" stopIfTrue="1">
      <formula>$C369=1</formula>
    </cfRule>
    <cfRule type="expression" dxfId="1420" priority="961" stopIfTrue="1">
      <formula>OR($C369=0,$C369=2,$C369=3,$C369=4)</formula>
    </cfRule>
  </conditionalFormatting>
  <conditionalFormatting sqref="AJ369:AJ377">
    <cfRule type="expression" dxfId="1419" priority="962" stopIfTrue="1">
      <formula>OR(ACOMPANHAMENTO&lt;&gt;"BM",TIPOORCAMENTO="Licitado")</formula>
    </cfRule>
    <cfRule type="expression" dxfId="1418" priority="963" stopIfTrue="1">
      <formula>$C369=1</formula>
    </cfRule>
    <cfRule type="expression" dxfId="1417" priority="964" stopIfTrue="1">
      <formula>OR(AND(ISNUMBER($C369),$C369=0),$C369=2,$C369=3,$C369=4)</formula>
    </cfRule>
  </conditionalFormatting>
  <conditionalFormatting sqref="AL369:AL377">
    <cfRule type="expression" dxfId="1416" priority="965" stopIfTrue="1">
      <formula>TIPOORCAMENTO="PROPOSTO"</formula>
    </cfRule>
    <cfRule type="expression" dxfId="1415" priority="966" stopIfTrue="1">
      <formula>$C369=1</formula>
    </cfRule>
    <cfRule type="expression" dxfId="1414" priority="967" stopIfTrue="1">
      <formula>OR(AND(ISNUMBER($C369),$C369=0),$C369=2,$C369=3,$C369=4)</formula>
    </cfRule>
  </conditionalFormatting>
  <conditionalFormatting sqref="AM369:AN377">
    <cfRule type="expression" dxfId="1413" priority="968" stopIfTrue="1">
      <formula>TIPOORCAMENTO="PROPOSTO"</formula>
    </cfRule>
    <cfRule type="expression" dxfId="1412" priority="969" stopIfTrue="1">
      <formula>$C369=1</formula>
    </cfRule>
    <cfRule type="expression" dxfId="1411" priority="970" stopIfTrue="1">
      <formula>OR(AND(ISNUMBER($C369),$C369=0),$C369=2,$C369=3,$C369=4)</formula>
    </cfRule>
  </conditionalFormatting>
  <conditionalFormatting sqref="M378:M379">
    <cfRule type="cellIs" dxfId="1410" priority="937" stopIfTrue="1" operator="notEqual">
      <formula>$N378</formula>
    </cfRule>
  </conditionalFormatting>
  <conditionalFormatting sqref="N378:O379 R378:R379 W378:X379">
    <cfRule type="expression" dxfId="1409" priority="938" stopIfTrue="1">
      <formula>$C378=1</formula>
    </cfRule>
    <cfRule type="expression" dxfId="1408" priority="939" stopIfTrue="1">
      <formula>OR($C378=0,$C378=2,$C378=3,$C378=4)</formula>
    </cfRule>
  </conditionalFormatting>
  <conditionalFormatting sqref="U378:V379">
    <cfRule type="expression" dxfId="1407" priority="940" stopIfTrue="1">
      <formula>$C378=1</formula>
    </cfRule>
    <cfRule type="expression" dxfId="1406" priority="941" stopIfTrue="1">
      <formula>OR($C378=0,$C378=2,$C378=3,$C378=4)</formula>
    </cfRule>
    <cfRule type="expression" dxfId="1405" priority="942" stopIfTrue="1">
      <formula>AND(TIPOORCAMENTO="Licitado",$C378&lt;&gt;"L",$C378&lt;&gt;-1)</formula>
    </cfRule>
  </conditionalFormatting>
  <conditionalFormatting sqref="P378:Q379 S378:T379 Y378:Y379 AG378:AH379">
    <cfRule type="expression" dxfId="1404" priority="943" stopIfTrue="1">
      <formula>$C378=1</formula>
    </cfRule>
    <cfRule type="expression" dxfId="1403" priority="944" stopIfTrue="1">
      <formula>OR($C378=0,$C378=2,$C378=3,$C378=4)</formula>
    </cfRule>
  </conditionalFormatting>
  <conditionalFormatting sqref="AJ378:AJ379">
    <cfRule type="expression" dxfId="1402" priority="945" stopIfTrue="1">
      <formula>OR(ACOMPANHAMENTO&lt;&gt;"BM",TIPOORCAMENTO="Licitado")</formula>
    </cfRule>
    <cfRule type="expression" dxfId="1401" priority="946" stopIfTrue="1">
      <formula>$C378=1</formula>
    </cfRule>
    <cfRule type="expression" dxfId="1400" priority="947" stopIfTrue="1">
      <formula>OR(AND(ISNUMBER($C378),$C378=0),$C378=2,$C378=3,$C378=4)</formula>
    </cfRule>
  </conditionalFormatting>
  <conditionalFormatting sqref="AL378:AL379">
    <cfRule type="expression" dxfId="1399" priority="948" stopIfTrue="1">
      <formula>TIPOORCAMENTO="PROPOSTO"</formula>
    </cfRule>
    <cfRule type="expression" dxfId="1398" priority="949" stopIfTrue="1">
      <formula>$C378=1</formula>
    </cfRule>
    <cfRule type="expression" dxfId="1397" priority="950" stopIfTrue="1">
      <formula>OR(AND(ISNUMBER($C378),$C378=0),$C378=2,$C378=3,$C378=4)</formula>
    </cfRule>
  </conditionalFormatting>
  <conditionalFormatting sqref="AM378:AN379">
    <cfRule type="expression" dxfId="1396" priority="951" stopIfTrue="1">
      <formula>TIPOORCAMENTO="PROPOSTO"</formula>
    </cfRule>
    <cfRule type="expression" dxfId="1395" priority="952" stopIfTrue="1">
      <formula>$C378=1</formula>
    </cfRule>
    <cfRule type="expression" dxfId="1394" priority="953" stopIfTrue="1">
      <formula>OR(AND(ISNUMBER($C378),$C378=0),$C378=2,$C378=3,$C378=4)</formula>
    </cfRule>
  </conditionalFormatting>
  <conditionalFormatting sqref="M361:M362">
    <cfRule type="cellIs" dxfId="1393" priority="886" stopIfTrue="1" operator="notEqual">
      <formula>$N361</formula>
    </cfRule>
  </conditionalFormatting>
  <conditionalFormatting sqref="N361:O362 R361:R362 W361:X362">
    <cfRule type="expression" dxfId="1392" priority="887" stopIfTrue="1">
      <formula>$C361=1</formula>
    </cfRule>
    <cfRule type="expression" dxfId="1391" priority="888" stopIfTrue="1">
      <formula>OR($C361=0,$C361=2,$C361=3,$C361=4)</formula>
    </cfRule>
  </conditionalFormatting>
  <conditionalFormatting sqref="U361:V362">
    <cfRule type="expression" dxfId="1390" priority="889" stopIfTrue="1">
      <formula>$C361=1</formula>
    </cfRule>
    <cfRule type="expression" dxfId="1389" priority="890" stopIfTrue="1">
      <formula>OR($C361=0,$C361=2,$C361=3,$C361=4)</formula>
    </cfRule>
    <cfRule type="expression" dxfId="1388" priority="891" stopIfTrue="1">
      <formula>AND(TIPOORCAMENTO="Licitado",$C361&lt;&gt;"L",$C361&lt;&gt;-1)</formula>
    </cfRule>
  </conditionalFormatting>
  <conditionalFormatting sqref="P361:Q362 S361:T362 Y361:Y362 AG361:AH362">
    <cfRule type="expression" dxfId="1387" priority="892" stopIfTrue="1">
      <formula>$C361=1</formula>
    </cfRule>
    <cfRule type="expression" dxfId="1386" priority="893" stopIfTrue="1">
      <formula>OR($C361=0,$C361=2,$C361=3,$C361=4)</formula>
    </cfRule>
  </conditionalFormatting>
  <conditionalFormatting sqref="AJ361:AJ362">
    <cfRule type="expression" dxfId="1385" priority="894" stopIfTrue="1">
      <formula>OR(ACOMPANHAMENTO&lt;&gt;"BM",TIPOORCAMENTO="Licitado")</formula>
    </cfRule>
    <cfRule type="expression" dxfId="1384" priority="895" stopIfTrue="1">
      <formula>$C361=1</formula>
    </cfRule>
    <cfRule type="expression" dxfId="1383" priority="896" stopIfTrue="1">
      <formula>OR(AND(ISNUMBER($C361),$C361=0),$C361=2,$C361=3,$C361=4)</formula>
    </cfRule>
  </conditionalFormatting>
  <conditionalFormatting sqref="AL361:AL362">
    <cfRule type="expression" dxfId="1382" priority="897" stopIfTrue="1">
      <formula>TIPOORCAMENTO="PROPOSTO"</formula>
    </cfRule>
    <cfRule type="expression" dxfId="1381" priority="898" stopIfTrue="1">
      <formula>$C361=1</formula>
    </cfRule>
    <cfRule type="expression" dxfId="1380" priority="899" stopIfTrue="1">
      <formula>OR(AND(ISNUMBER($C361),$C361=0),$C361=2,$C361=3,$C361=4)</formula>
    </cfRule>
  </conditionalFormatting>
  <conditionalFormatting sqref="AM361:AN362">
    <cfRule type="expression" dxfId="1379" priority="900" stopIfTrue="1">
      <formula>TIPOORCAMENTO="PROPOSTO"</formula>
    </cfRule>
    <cfRule type="expression" dxfId="1378" priority="901" stopIfTrue="1">
      <formula>$C361=1</formula>
    </cfRule>
    <cfRule type="expression" dxfId="1377" priority="902" stopIfTrue="1">
      <formula>OR(AND(ISNUMBER($C361),$C361=0),$C361=2,$C361=3,$C361=4)</formula>
    </cfRule>
  </conditionalFormatting>
  <conditionalFormatting sqref="M282">
    <cfRule type="cellIs" dxfId="1376" priority="869" stopIfTrue="1" operator="notEqual">
      <formula>$N282</formula>
    </cfRule>
  </conditionalFormatting>
  <conditionalFormatting sqref="N282:O282 R282 W282:X282">
    <cfRule type="expression" dxfId="1375" priority="870" stopIfTrue="1">
      <formula>$C282=1</formula>
    </cfRule>
    <cfRule type="expression" dxfId="1374" priority="871" stopIfTrue="1">
      <formula>OR($C282=0,$C282=2,$C282=3,$C282=4)</formula>
    </cfRule>
  </conditionalFormatting>
  <conditionalFormatting sqref="U282:V282">
    <cfRule type="expression" dxfId="1373" priority="872" stopIfTrue="1">
      <formula>$C282=1</formula>
    </cfRule>
    <cfRule type="expression" dxfId="1372" priority="873" stopIfTrue="1">
      <formula>OR($C282=0,$C282=2,$C282=3,$C282=4)</formula>
    </cfRule>
    <cfRule type="expression" dxfId="1371" priority="874" stopIfTrue="1">
      <formula>AND(TIPOORCAMENTO="Licitado",$C282&lt;&gt;"L",$C282&lt;&gt;-1)</formula>
    </cfRule>
  </conditionalFormatting>
  <conditionalFormatting sqref="P282:Q282 S282:T282 Y282 AG282:AH282">
    <cfRule type="expression" dxfId="1370" priority="875" stopIfTrue="1">
      <formula>$C282=1</formula>
    </cfRule>
    <cfRule type="expression" dxfId="1369" priority="876" stopIfTrue="1">
      <formula>OR($C282=0,$C282=2,$C282=3,$C282=4)</formula>
    </cfRule>
  </conditionalFormatting>
  <conditionalFormatting sqref="AJ282">
    <cfRule type="expression" dxfId="1368" priority="877" stopIfTrue="1">
      <formula>OR(ACOMPANHAMENTO&lt;&gt;"BM",TIPOORCAMENTO="Licitado")</formula>
    </cfRule>
    <cfRule type="expression" dxfId="1367" priority="878" stopIfTrue="1">
      <formula>$C282=1</formula>
    </cfRule>
    <cfRule type="expression" dxfId="1366" priority="879" stopIfTrue="1">
      <formula>OR(AND(ISNUMBER($C282),$C282=0),$C282=2,$C282=3,$C282=4)</formula>
    </cfRule>
  </conditionalFormatting>
  <conditionalFormatting sqref="AL282">
    <cfRule type="expression" dxfId="1365" priority="880" stopIfTrue="1">
      <formula>TIPOORCAMENTO="PROPOSTO"</formula>
    </cfRule>
    <cfRule type="expression" dxfId="1364" priority="881" stopIfTrue="1">
      <formula>$C282=1</formula>
    </cfRule>
    <cfRule type="expression" dxfId="1363" priority="882" stopIfTrue="1">
      <formula>OR(AND(ISNUMBER($C282),$C282=0),$C282=2,$C282=3,$C282=4)</formula>
    </cfRule>
  </conditionalFormatting>
  <conditionalFormatting sqref="AM282:AN282">
    <cfRule type="expression" dxfId="1362" priority="883" stopIfTrue="1">
      <formula>TIPOORCAMENTO="PROPOSTO"</formula>
    </cfRule>
    <cfRule type="expression" dxfId="1361" priority="884" stopIfTrue="1">
      <formula>$C282=1</formula>
    </cfRule>
    <cfRule type="expression" dxfId="1360" priority="885" stopIfTrue="1">
      <formula>OR(AND(ISNUMBER($C282),$C282=0),$C282=2,$C282=3,$C282=4)</formula>
    </cfRule>
  </conditionalFormatting>
  <conditionalFormatting sqref="M322:M330">
    <cfRule type="cellIs" dxfId="1359" priority="852" stopIfTrue="1" operator="notEqual">
      <formula>$N322</formula>
    </cfRule>
  </conditionalFormatting>
  <conditionalFormatting sqref="N322:O330 R322:R330 W322:X330">
    <cfRule type="expression" dxfId="1358" priority="853" stopIfTrue="1">
      <formula>$C322=1</formula>
    </cfRule>
    <cfRule type="expression" dxfId="1357" priority="854" stopIfTrue="1">
      <formula>OR($C322=0,$C322=2,$C322=3,$C322=4)</formula>
    </cfRule>
  </conditionalFormatting>
  <conditionalFormatting sqref="U322:V330">
    <cfRule type="expression" dxfId="1356" priority="855" stopIfTrue="1">
      <formula>$C322=1</formula>
    </cfRule>
    <cfRule type="expression" dxfId="1355" priority="856" stopIfTrue="1">
      <formula>OR($C322=0,$C322=2,$C322=3,$C322=4)</formula>
    </cfRule>
    <cfRule type="expression" dxfId="1354" priority="857" stopIfTrue="1">
      <formula>AND(TIPOORCAMENTO="Licitado",$C322&lt;&gt;"L",$C322&lt;&gt;-1)</formula>
    </cfRule>
  </conditionalFormatting>
  <conditionalFormatting sqref="P322:Q330 S322:T330 Y322:Y330 AG322:AH330">
    <cfRule type="expression" dxfId="1353" priority="858" stopIfTrue="1">
      <formula>$C322=1</formula>
    </cfRule>
    <cfRule type="expression" dxfId="1352" priority="859" stopIfTrue="1">
      <formula>OR($C322=0,$C322=2,$C322=3,$C322=4)</formula>
    </cfRule>
  </conditionalFormatting>
  <conditionalFormatting sqref="AJ322:AJ330">
    <cfRule type="expression" dxfId="1351" priority="860" stopIfTrue="1">
      <formula>OR(ACOMPANHAMENTO&lt;&gt;"BM",TIPOORCAMENTO="Licitado")</formula>
    </cfRule>
    <cfRule type="expression" dxfId="1350" priority="861" stopIfTrue="1">
      <formula>$C322=1</formula>
    </cfRule>
    <cfRule type="expression" dxfId="1349" priority="862" stopIfTrue="1">
      <formula>OR(AND(ISNUMBER($C322),$C322=0),$C322=2,$C322=3,$C322=4)</formula>
    </cfRule>
  </conditionalFormatting>
  <conditionalFormatting sqref="AL322:AL330">
    <cfRule type="expression" dxfId="1348" priority="863" stopIfTrue="1">
      <formula>TIPOORCAMENTO="PROPOSTO"</formula>
    </cfRule>
    <cfRule type="expression" dxfId="1347" priority="864" stopIfTrue="1">
      <formula>$C322=1</formula>
    </cfRule>
    <cfRule type="expression" dxfId="1346" priority="865" stopIfTrue="1">
      <formula>OR(AND(ISNUMBER($C322),$C322=0),$C322=2,$C322=3,$C322=4)</formula>
    </cfRule>
  </conditionalFormatting>
  <conditionalFormatting sqref="AM322:AN330">
    <cfRule type="expression" dxfId="1345" priority="866" stopIfTrue="1">
      <formula>TIPOORCAMENTO="PROPOSTO"</formula>
    </cfRule>
    <cfRule type="expression" dxfId="1344" priority="867" stopIfTrue="1">
      <formula>$C322=1</formula>
    </cfRule>
    <cfRule type="expression" dxfId="1343" priority="868" stopIfTrue="1">
      <formula>OR(AND(ISNUMBER($C322),$C322=0),$C322=2,$C322=3,$C322=4)</formula>
    </cfRule>
  </conditionalFormatting>
  <conditionalFormatting sqref="M331:M332">
    <cfRule type="cellIs" dxfId="1342" priority="835" stopIfTrue="1" operator="notEqual">
      <formula>$N331</formula>
    </cfRule>
  </conditionalFormatting>
  <conditionalFormatting sqref="N331:O332 R331:R332 W331:X332">
    <cfRule type="expression" dxfId="1341" priority="836" stopIfTrue="1">
      <formula>$C331=1</formula>
    </cfRule>
    <cfRule type="expression" dxfId="1340" priority="837" stopIfTrue="1">
      <formula>OR($C331=0,$C331=2,$C331=3,$C331=4)</formula>
    </cfRule>
  </conditionalFormatting>
  <conditionalFormatting sqref="U331:V332">
    <cfRule type="expression" dxfId="1339" priority="838" stopIfTrue="1">
      <formula>$C331=1</formula>
    </cfRule>
    <cfRule type="expression" dxfId="1338" priority="839" stopIfTrue="1">
      <formula>OR($C331=0,$C331=2,$C331=3,$C331=4)</formula>
    </cfRule>
    <cfRule type="expression" dxfId="1337" priority="840" stopIfTrue="1">
      <formula>AND(TIPOORCAMENTO="Licitado",$C331&lt;&gt;"L",$C331&lt;&gt;-1)</formula>
    </cfRule>
  </conditionalFormatting>
  <conditionalFormatting sqref="P331:Q332 S331:T332 Y331:Y332 AG331:AH332">
    <cfRule type="expression" dxfId="1336" priority="841" stopIfTrue="1">
      <formula>$C331=1</formula>
    </cfRule>
    <cfRule type="expression" dxfId="1335" priority="842" stopIfTrue="1">
      <formula>OR($C331=0,$C331=2,$C331=3,$C331=4)</formula>
    </cfRule>
  </conditionalFormatting>
  <conditionalFormatting sqref="AJ331:AJ332">
    <cfRule type="expression" dxfId="1334" priority="843" stopIfTrue="1">
      <formula>OR(ACOMPANHAMENTO&lt;&gt;"BM",TIPOORCAMENTO="Licitado")</formula>
    </cfRule>
    <cfRule type="expression" dxfId="1333" priority="844" stopIfTrue="1">
      <formula>$C331=1</formula>
    </cfRule>
    <cfRule type="expression" dxfId="1332" priority="845" stopIfTrue="1">
      <formula>OR(AND(ISNUMBER($C331),$C331=0),$C331=2,$C331=3,$C331=4)</formula>
    </cfRule>
  </conditionalFormatting>
  <conditionalFormatting sqref="AL331:AL332">
    <cfRule type="expression" dxfId="1331" priority="846" stopIfTrue="1">
      <formula>TIPOORCAMENTO="PROPOSTO"</formula>
    </cfRule>
    <cfRule type="expression" dxfId="1330" priority="847" stopIfTrue="1">
      <formula>$C331=1</formula>
    </cfRule>
    <cfRule type="expression" dxfId="1329" priority="848" stopIfTrue="1">
      <formula>OR(AND(ISNUMBER($C331),$C331=0),$C331=2,$C331=3,$C331=4)</formula>
    </cfRule>
  </conditionalFormatting>
  <conditionalFormatting sqref="AM331:AN332">
    <cfRule type="expression" dxfId="1328" priority="849" stopIfTrue="1">
      <formula>TIPOORCAMENTO="PROPOSTO"</formula>
    </cfRule>
    <cfRule type="expression" dxfId="1327" priority="850" stopIfTrue="1">
      <formula>$C331=1</formula>
    </cfRule>
    <cfRule type="expression" dxfId="1326" priority="851" stopIfTrue="1">
      <formula>OR(AND(ISNUMBER($C331),$C331=0),$C331=2,$C331=3,$C331=4)</formula>
    </cfRule>
  </conditionalFormatting>
  <conditionalFormatting sqref="M298:M299">
    <cfRule type="cellIs" dxfId="1325" priority="784" stopIfTrue="1" operator="notEqual">
      <formula>$N298</formula>
    </cfRule>
  </conditionalFormatting>
  <conditionalFormatting sqref="N298:O299 R298:R299 W298:X299">
    <cfRule type="expression" dxfId="1324" priority="785" stopIfTrue="1">
      <formula>$C298=1</formula>
    </cfRule>
    <cfRule type="expression" dxfId="1323" priority="786" stopIfTrue="1">
      <formula>OR($C298=0,$C298=2,$C298=3,$C298=4)</formula>
    </cfRule>
  </conditionalFormatting>
  <conditionalFormatting sqref="U298:V299">
    <cfRule type="expression" dxfId="1322" priority="787" stopIfTrue="1">
      <formula>$C298=1</formula>
    </cfRule>
    <cfRule type="expression" dxfId="1321" priority="788" stopIfTrue="1">
      <formula>OR($C298=0,$C298=2,$C298=3,$C298=4)</formula>
    </cfRule>
    <cfRule type="expression" dxfId="1320" priority="789" stopIfTrue="1">
      <formula>AND(TIPOORCAMENTO="Licitado",$C298&lt;&gt;"L",$C298&lt;&gt;-1)</formula>
    </cfRule>
  </conditionalFormatting>
  <conditionalFormatting sqref="P298:Q299 S298:T299 Y298:Y299 AG298:AH299">
    <cfRule type="expression" dxfId="1319" priority="790" stopIfTrue="1">
      <formula>$C298=1</formula>
    </cfRule>
    <cfRule type="expression" dxfId="1318" priority="791" stopIfTrue="1">
      <formula>OR($C298=0,$C298=2,$C298=3,$C298=4)</formula>
    </cfRule>
  </conditionalFormatting>
  <conditionalFormatting sqref="AJ298:AJ299">
    <cfRule type="expression" dxfId="1317" priority="792" stopIfTrue="1">
      <formula>OR(ACOMPANHAMENTO&lt;&gt;"BM",TIPOORCAMENTO="Licitado")</formula>
    </cfRule>
    <cfRule type="expression" dxfId="1316" priority="793" stopIfTrue="1">
      <formula>$C298=1</formula>
    </cfRule>
    <cfRule type="expression" dxfId="1315" priority="794" stopIfTrue="1">
      <formula>OR(AND(ISNUMBER($C298),$C298=0),$C298=2,$C298=3,$C298=4)</formula>
    </cfRule>
  </conditionalFormatting>
  <conditionalFormatting sqref="AL298:AL299">
    <cfRule type="expression" dxfId="1314" priority="795" stopIfTrue="1">
      <formula>TIPOORCAMENTO="PROPOSTO"</formula>
    </cfRule>
    <cfRule type="expression" dxfId="1313" priority="796" stopIfTrue="1">
      <formula>$C298=1</formula>
    </cfRule>
    <cfRule type="expression" dxfId="1312" priority="797" stopIfTrue="1">
      <formula>OR(AND(ISNUMBER($C298),$C298=0),$C298=2,$C298=3,$C298=4)</formula>
    </cfRule>
  </conditionalFormatting>
  <conditionalFormatting sqref="AM298:AN299">
    <cfRule type="expression" dxfId="1311" priority="798" stopIfTrue="1">
      <formula>TIPOORCAMENTO="PROPOSTO"</formula>
    </cfRule>
    <cfRule type="expression" dxfId="1310" priority="799" stopIfTrue="1">
      <formula>$C298=1</formula>
    </cfRule>
    <cfRule type="expression" dxfId="1309" priority="800" stopIfTrue="1">
      <formula>OR(AND(ISNUMBER($C298),$C298=0),$C298=2,$C298=3,$C298=4)</formula>
    </cfRule>
  </conditionalFormatting>
  <conditionalFormatting sqref="M307:M315">
    <cfRule type="cellIs" dxfId="1308" priority="750" stopIfTrue="1" operator="notEqual">
      <formula>$N307</formula>
    </cfRule>
  </conditionalFormatting>
  <conditionalFormatting sqref="N307:O315 R307:R315 W307:X315">
    <cfRule type="expression" dxfId="1307" priority="751" stopIfTrue="1">
      <formula>$C307=1</formula>
    </cfRule>
    <cfRule type="expression" dxfId="1306" priority="752" stopIfTrue="1">
      <formula>OR($C307=0,$C307=2,$C307=3,$C307=4)</formula>
    </cfRule>
  </conditionalFormatting>
  <conditionalFormatting sqref="U307:V315">
    <cfRule type="expression" dxfId="1305" priority="753" stopIfTrue="1">
      <formula>$C307=1</formula>
    </cfRule>
    <cfRule type="expression" dxfId="1304" priority="754" stopIfTrue="1">
      <formula>OR($C307=0,$C307=2,$C307=3,$C307=4)</formula>
    </cfRule>
    <cfRule type="expression" dxfId="1303" priority="755" stopIfTrue="1">
      <formula>AND(TIPOORCAMENTO="Licitado",$C307&lt;&gt;"L",$C307&lt;&gt;-1)</formula>
    </cfRule>
  </conditionalFormatting>
  <conditionalFormatting sqref="P307:Q315 S307:T315 Y307:Y315 AG307:AH315">
    <cfRule type="expression" dxfId="1302" priority="756" stopIfTrue="1">
      <formula>$C307=1</formula>
    </cfRule>
    <cfRule type="expression" dxfId="1301" priority="757" stopIfTrue="1">
      <formula>OR($C307=0,$C307=2,$C307=3,$C307=4)</formula>
    </cfRule>
  </conditionalFormatting>
  <conditionalFormatting sqref="AJ307:AJ315">
    <cfRule type="expression" dxfId="1300" priority="758" stopIfTrue="1">
      <formula>OR(ACOMPANHAMENTO&lt;&gt;"BM",TIPOORCAMENTO="Licitado")</formula>
    </cfRule>
    <cfRule type="expression" dxfId="1299" priority="759" stopIfTrue="1">
      <formula>$C307=1</formula>
    </cfRule>
    <cfRule type="expression" dxfId="1298" priority="760" stopIfTrue="1">
      <formula>OR(AND(ISNUMBER($C307),$C307=0),$C307=2,$C307=3,$C307=4)</formula>
    </cfRule>
  </conditionalFormatting>
  <conditionalFormatting sqref="AL307:AL315">
    <cfRule type="expression" dxfId="1297" priority="761" stopIfTrue="1">
      <formula>TIPOORCAMENTO="PROPOSTO"</formula>
    </cfRule>
    <cfRule type="expression" dxfId="1296" priority="762" stopIfTrue="1">
      <formula>$C307=1</formula>
    </cfRule>
    <cfRule type="expression" dxfId="1295" priority="763" stopIfTrue="1">
      <formula>OR(AND(ISNUMBER($C307),$C307=0),$C307=2,$C307=3,$C307=4)</formula>
    </cfRule>
  </conditionalFormatting>
  <conditionalFormatting sqref="AM307:AN315">
    <cfRule type="expression" dxfId="1294" priority="764" stopIfTrue="1">
      <formula>TIPOORCAMENTO="PROPOSTO"</formula>
    </cfRule>
    <cfRule type="expression" dxfId="1293" priority="765" stopIfTrue="1">
      <formula>$C307=1</formula>
    </cfRule>
    <cfRule type="expression" dxfId="1292" priority="766" stopIfTrue="1">
      <formula>OR(AND(ISNUMBER($C307),$C307=0),$C307=2,$C307=3,$C307=4)</formula>
    </cfRule>
  </conditionalFormatting>
  <conditionalFormatting sqref="M385 M439:M446">
    <cfRule type="cellIs" dxfId="1291" priority="716" stopIfTrue="1" operator="notEqual">
      <formula>$N385</formula>
    </cfRule>
  </conditionalFormatting>
  <conditionalFormatting sqref="N385:O385 R385 W385:X385 W439:X446 R439:R446 N439:O446">
    <cfRule type="expression" dxfId="1290" priority="717" stopIfTrue="1">
      <formula>$C385=1</formula>
    </cfRule>
    <cfRule type="expression" dxfId="1289" priority="718" stopIfTrue="1">
      <formula>OR($C385=0,$C385=2,$C385=3,$C385=4)</formula>
    </cfRule>
  </conditionalFormatting>
  <conditionalFormatting sqref="U385:V385 U439:V446">
    <cfRule type="expression" dxfId="1288" priority="719" stopIfTrue="1">
      <formula>$C385=1</formula>
    </cfRule>
    <cfRule type="expression" dxfId="1287" priority="720" stopIfTrue="1">
      <formula>OR($C385=0,$C385=2,$C385=3,$C385=4)</formula>
    </cfRule>
    <cfRule type="expression" dxfId="1286" priority="721" stopIfTrue="1">
      <formula>AND(TIPOORCAMENTO="Licitado",$C385&lt;&gt;"L",$C385&lt;&gt;-1)</formula>
    </cfRule>
  </conditionalFormatting>
  <conditionalFormatting sqref="P385:Q385 S385:T385 Y385 AG385:AH385 AG439:AH446 Y439:Y446 S439:T446 P439:Q446">
    <cfRule type="expression" dxfId="1285" priority="722" stopIfTrue="1">
      <formula>$C385=1</formula>
    </cfRule>
    <cfRule type="expression" dxfId="1284" priority="723" stopIfTrue="1">
      <formula>OR($C385=0,$C385=2,$C385=3,$C385=4)</formula>
    </cfRule>
  </conditionalFormatting>
  <conditionalFormatting sqref="AJ385 AJ439:AJ446">
    <cfRule type="expression" dxfId="1283" priority="724" stopIfTrue="1">
      <formula>OR(ACOMPANHAMENTO&lt;&gt;"BM",TIPOORCAMENTO="Licitado")</formula>
    </cfRule>
    <cfRule type="expression" dxfId="1282" priority="725" stopIfTrue="1">
      <formula>$C385=1</formula>
    </cfRule>
    <cfRule type="expression" dxfId="1281" priority="726" stopIfTrue="1">
      <formula>OR(AND(ISNUMBER($C385),$C385=0),$C385=2,$C385=3,$C385=4)</formula>
    </cfRule>
  </conditionalFormatting>
  <conditionalFormatting sqref="AL385 AL439:AL446">
    <cfRule type="expression" dxfId="1280" priority="727" stopIfTrue="1">
      <formula>TIPOORCAMENTO="PROPOSTO"</formula>
    </cfRule>
    <cfRule type="expression" dxfId="1279" priority="728" stopIfTrue="1">
      <formula>$C385=1</formula>
    </cfRule>
    <cfRule type="expression" dxfId="1278" priority="729" stopIfTrue="1">
      <formula>OR(AND(ISNUMBER($C385),$C385=0),$C385=2,$C385=3,$C385=4)</formula>
    </cfRule>
  </conditionalFormatting>
  <conditionalFormatting sqref="AM385:AN385 AM439:AN446">
    <cfRule type="expression" dxfId="1277" priority="730" stopIfTrue="1">
      <formula>TIPOORCAMENTO="PROPOSTO"</formula>
    </cfRule>
    <cfRule type="expression" dxfId="1276" priority="731" stopIfTrue="1">
      <formula>$C385=1</formula>
    </cfRule>
    <cfRule type="expression" dxfId="1275" priority="732" stopIfTrue="1">
      <formula>OR(AND(ISNUMBER($C385),$C385=0),$C385=2,$C385=3,$C385=4)</formula>
    </cfRule>
  </conditionalFormatting>
  <conditionalFormatting sqref="M447:M455">
    <cfRule type="cellIs" dxfId="1274" priority="699" stopIfTrue="1" operator="notEqual">
      <formula>$N447</formula>
    </cfRule>
  </conditionalFormatting>
  <conditionalFormatting sqref="N447:O455 R447:R455 W447:X455">
    <cfRule type="expression" dxfId="1273" priority="700" stopIfTrue="1">
      <formula>$C447=1</formula>
    </cfRule>
    <cfRule type="expression" dxfId="1272" priority="701" stopIfTrue="1">
      <formula>OR($C447=0,$C447=2,$C447=3,$C447=4)</formula>
    </cfRule>
  </conditionalFormatting>
  <conditionalFormatting sqref="U447:V455">
    <cfRule type="expression" dxfId="1271" priority="702" stopIfTrue="1">
      <formula>$C447=1</formula>
    </cfRule>
    <cfRule type="expression" dxfId="1270" priority="703" stopIfTrue="1">
      <formula>OR($C447=0,$C447=2,$C447=3,$C447=4)</formula>
    </cfRule>
    <cfRule type="expression" dxfId="1269" priority="704" stopIfTrue="1">
      <formula>AND(TIPOORCAMENTO="Licitado",$C447&lt;&gt;"L",$C447&lt;&gt;-1)</formula>
    </cfRule>
  </conditionalFormatting>
  <conditionalFormatting sqref="P447:Q455 S447:T455 Y447:Y455 AG447:AH455">
    <cfRule type="expression" dxfId="1268" priority="705" stopIfTrue="1">
      <formula>$C447=1</formula>
    </cfRule>
    <cfRule type="expression" dxfId="1267" priority="706" stopIfTrue="1">
      <formula>OR($C447=0,$C447=2,$C447=3,$C447=4)</formula>
    </cfRule>
  </conditionalFormatting>
  <conditionalFormatting sqref="AJ447:AJ455">
    <cfRule type="expression" dxfId="1266" priority="707" stopIfTrue="1">
      <formula>OR(ACOMPANHAMENTO&lt;&gt;"BM",TIPOORCAMENTO="Licitado")</formula>
    </cfRule>
    <cfRule type="expression" dxfId="1265" priority="708" stopIfTrue="1">
      <formula>$C447=1</formula>
    </cfRule>
    <cfRule type="expression" dxfId="1264" priority="709" stopIfTrue="1">
      <formula>OR(AND(ISNUMBER($C447),$C447=0),$C447=2,$C447=3,$C447=4)</formula>
    </cfRule>
  </conditionalFormatting>
  <conditionalFormatting sqref="AL447:AL455">
    <cfRule type="expression" dxfId="1263" priority="710" stopIfTrue="1">
      <formula>TIPOORCAMENTO="PROPOSTO"</formula>
    </cfRule>
    <cfRule type="expression" dxfId="1262" priority="711" stopIfTrue="1">
      <formula>$C447=1</formula>
    </cfRule>
    <cfRule type="expression" dxfId="1261" priority="712" stopIfTrue="1">
      <formula>OR(AND(ISNUMBER($C447),$C447=0),$C447=2,$C447=3,$C447=4)</formula>
    </cfRule>
  </conditionalFormatting>
  <conditionalFormatting sqref="AM447:AN455">
    <cfRule type="expression" dxfId="1260" priority="713" stopIfTrue="1">
      <formula>TIPOORCAMENTO="PROPOSTO"</formula>
    </cfRule>
    <cfRule type="expression" dxfId="1259" priority="714" stopIfTrue="1">
      <formula>$C447=1</formula>
    </cfRule>
    <cfRule type="expression" dxfId="1258" priority="715" stopIfTrue="1">
      <formula>OR(AND(ISNUMBER($C447),$C447=0),$C447=2,$C447=3,$C447=4)</formula>
    </cfRule>
  </conditionalFormatting>
  <conditionalFormatting sqref="M456:M457">
    <cfRule type="cellIs" dxfId="1257" priority="682" stopIfTrue="1" operator="notEqual">
      <formula>$N456</formula>
    </cfRule>
  </conditionalFormatting>
  <conditionalFormatting sqref="N456:O457 R456:R457 W456:X457">
    <cfRule type="expression" dxfId="1256" priority="683" stopIfTrue="1">
      <formula>$C456=1</formula>
    </cfRule>
    <cfRule type="expression" dxfId="1255" priority="684" stopIfTrue="1">
      <formula>OR($C456=0,$C456=2,$C456=3,$C456=4)</formula>
    </cfRule>
  </conditionalFormatting>
  <conditionalFormatting sqref="U456:V457">
    <cfRule type="expression" dxfId="1254" priority="685" stopIfTrue="1">
      <formula>$C456=1</formula>
    </cfRule>
    <cfRule type="expression" dxfId="1253" priority="686" stopIfTrue="1">
      <formula>OR($C456=0,$C456=2,$C456=3,$C456=4)</formula>
    </cfRule>
    <cfRule type="expression" dxfId="1252" priority="687" stopIfTrue="1">
      <formula>AND(TIPOORCAMENTO="Licitado",$C456&lt;&gt;"L",$C456&lt;&gt;-1)</formula>
    </cfRule>
  </conditionalFormatting>
  <conditionalFormatting sqref="P456:Q457 S456:T457 Y456:Y457 AG456:AH457">
    <cfRule type="expression" dxfId="1251" priority="688" stopIfTrue="1">
      <formula>$C456=1</formula>
    </cfRule>
    <cfRule type="expression" dxfId="1250" priority="689" stopIfTrue="1">
      <formula>OR($C456=0,$C456=2,$C456=3,$C456=4)</formula>
    </cfRule>
  </conditionalFormatting>
  <conditionalFormatting sqref="AJ456:AJ457">
    <cfRule type="expression" dxfId="1249" priority="690" stopIfTrue="1">
      <formula>OR(ACOMPANHAMENTO&lt;&gt;"BM",TIPOORCAMENTO="Licitado")</formula>
    </cfRule>
    <cfRule type="expression" dxfId="1248" priority="691" stopIfTrue="1">
      <formula>$C456=1</formula>
    </cfRule>
    <cfRule type="expression" dxfId="1247" priority="692" stopIfTrue="1">
      <formula>OR(AND(ISNUMBER($C456),$C456=0),$C456=2,$C456=3,$C456=4)</formula>
    </cfRule>
  </conditionalFormatting>
  <conditionalFormatting sqref="AL456:AL457">
    <cfRule type="expression" dxfId="1246" priority="693" stopIfTrue="1">
      <formula>TIPOORCAMENTO="PROPOSTO"</formula>
    </cfRule>
    <cfRule type="expression" dxfId="1245" priority="694" stopIfTrue="1">
      <formula>$C456=1</formula>
    </cfRule>
    <cfRule type="expression" dxfId="1244" priority="695" stopIfTrue="1">
      <formula>OR(AND(ISNUMBER($C456),$C456=0),$C456=2,$C456=3,$C456=4)</formula>
    </cfRule>
  </conditionalFormatting>
  <conditionalFormatting sqref="AM456:AN457">
    <cfRule type="expression" dxfId="1243" priority="696" stopIfTrue="1">
      <formula>TIPOORCAMENTO="PROPOSTO"</formula>
    </cfRule>
    <cfRule type="expression" dxfId="1242" priority="697" stopIfTrue="1">
      <formula>$C456=1</formula>
    </cfRule>
    <cfRule type="expression" dxfId="1241" priority="698" stopIfTrue="1">
      <formula>OR(AND(ISNUMBER($C456),$C456=0),$C456=2,$C456=3,$C456=4)</formula>
    </cfRule>
  </conditionalFormatting>
  <conditionalFormatting sqref="M386 M421:M428">
    <cfRule type="cellIs" dxfId="1240" priority="665" stopIfTrue="1" operator="notEqual">
      <formula>$N386</formula>
    </cfRule>
  </conditionalFormatting>
  <conditionalFormatting sqref="N386:O386 R386 W386:X386 W421:X428 R421:R428 N421:O428">
    <cfRule type="expression" dxfId="1239" priority="666" stopIfTrue="1">
      <formula>$C386=1</formula>
    </cfRule>
    <cfRule type="expression" dxfId="1238" priority="667" stopIfTrue="1">
      <formula>OR($C386=0,$C386=2,$C386=3,$C386=4)</formula>
    </cfRule>
  </conditionalFormatting>
  <conditionalFormatting sqref="U386:V386 U421:V428">
    <cfRule type="expression" dxfId="1237" priority="668" stopIfTrue="1">
      <formula>$C386=1</formula>
    </cfRule>
    <cfRule type="expression" dxfId="1236" priority="669" stopIfTrue="1">
      <formula>OR($C386=0,$C386=2,$C386=3,$C386=4)</formula>
    </cfRule>
    <cfRule type="expression" dxfId="1235" priority="670" stopIfTrue="1">
      <formula>AND(TIPOORCAMENTO="Licitado",$C386&lt;&gt;"L",$C386&lt;&gt;-1)</formula>
    </cfRule>
  </conditionalFormatting>
  <conditionalFormatting sqref="P386:Q386 S386:T386 Y386 AG386:AH386 AG421:AH428 Y421:Y428 S421:T428 P421:Q428">
    <cfRule type="expression" dxfId="1234" priority="671" stopIfTrue="1">
      <formula>$C386=1</formula>
    </cfRule>
    <cfRule type="expression" dxfId="1233" priority="672" stopIfTrue="1">
      <formula>OR($C386=0,$C386=2,$C386=3,$C386=4)</formula>
    </cfRule>
  </conditionalFormatting>
  <conditionalFormatting sqref="AJ386 AJ421:AJ428">
    <cfRule type="expression" dxfId="1232" priority="673" stopIfTrue="1">
      <formula>OR(ACOMPANHAMENTO&lt;&gt;"BM",TIPOORCAMENTO="Licitado")</formula>
    </cfRule>
    <cfRule type="expression" dxfId="1231" priority="674" stopIfTrue="1">
      <formula>$C386=1</formula>
    </cfRule>
    <cfRule type="expression" dxfId="1230" priority="675" stopIfTrue="1">
      <formula>OR(AND(ISNUMBER($C386),$C386=0),$C386=2,$C386=3,$C386=4)</formula>
    </cfRule>
  </conditionalFormatting>
  <conditionalFormatting sqref="AL386 AL421:AL428">
    <cfRule type="expression" dxfId="1229" priority="676" stopIfTrue="1">
      <formula>TIPOORCAMENTO="PROPOSTO"</formula>
    </cfRule>
    <cfRule type="expression" dxfId="1228" priority="677" stopIfTrue="1">
      <formula>$C386=1</formula>
    </cfRule>
    <cfRule type="expression" dxfId="1227" priority="678" stopIfTrue="1">
      <formula>OR(AND(ISNUMBER($C386),$C386=0),$C386=2,$C386=3,$C386=4)</formula>
    </cfRule>
  </conditionalFormatting>
  <conditionalFormatting sqref="AM386:AN386 AM421:AN428">
    <cfRule type="expression" dxfId="1226" priority="679" stopIfTrue="1">
      <formula>TIPOORCAMENTO="PROPOSTO"</formula>
    </cfRule>
    <cfRule type="expression" dxfId="1225" priority="680" stopIfTrue="1">
      <formula>$C386=1</formula>
    </cfRule>
    <cfRule type="expression" dxfId="1224" priority="681" stopIfTrue="1">
      <formula>OR(AND(ISNUMBER($C386),$C386=0),$C386=2,$C386=3,$C386=4)</formula>
    </cfRule>
  </conditionalFormatting>
  <conditionalFormatting sqref="M437:M438">
    <cfRule type="cellIs" dxfId="1223" priority="631" stopIfTrue="1" operator="notEqual">
      <formula>$N437</formula>
    </cfRule>
  </conditionalFormatting>
  <conditionalFormatting sqref="N437:O438 R437:R438 W437:X438">
    <cfRule type="expression" dxfId="1222" priority="632" stopIfTrue="1">
      <formula>$C437=1</formula>
    </cfRule>
    <cfRule type="expression" dxfId="1221" priority="633" stopIfTrue="1">
      <formula>OR($C437=0,$C437=2,$C437=3,$C437=4)</formula>
    </cfRule>
  </conditionalFormatting>
  <conditionalFormatting sqref="U437:V438">
    <cfRule type="expression" dxfId="1220" priority="634" stopIfTrue="1">
      <formula>$C437=1</formula>
    </cfRule>
    <cfRule type="expression" dxfId="1219" priority="635" stopIfTrue="1">
      <formula>OR($C437=0,$C437=2,$C437=3,$C437=4)</formula>
    </cfRule>
    <cfRule type="expression" dxfId="1218" priority="636" stopIfTrue="1">
      <formula>AND(TIPOORCAMENTO="Licitado",$C437&lt;&gt;"L",$C437&lt;&gt;-1)</formula>
    </cfRule>
  </conditionalFormatting>
  <conditionalFormatting sqref="P437:Q438 S437:T438 Y437:Y438 AG437:AH438">
    <cfRule type="expression" dxfId="1217" priority="637" stopIfTrue="1">
      <formula>$C437=1</formula>
    </cfRule>
    <cfRule type="expression" dxfId="1216" priority="638" stopIfTrue="1">
      <formula>OR($C437=0,$C437=2,$C437=3,$C437=4)</formula>
    </cfRule>
  </conditionalFormatting>
  <conditionalFormatting sqref="AJ437:AJ438">
    <cfRule type="expression" dxfId="1215" priority="639" stopIfTrue="1">
      <formula>OR(ACOMPANHAMENTO&lt;&gt;"BM",TIPOORCAMENTO="Licitado")</formula>
    </cfRule>
    <cfRule type="expression" dxfId="1214" priority="640" stopIfTrue="1">
      <formula>$C437=1</formula>
    </cfRule>
    <cfRule type="expression" dxfId="1213" priority="641" stopIfTrue="1">
      <formula>OR(AND(ISNUMBER($C437),$C437=0),$C437=2,$C437=3,$C437=4)</formula>
    </cfRule>
  </conditionalFormatting>
  <conditionalFormatting sqref="AL437:AL438">
    <cfRule type="expression" dxfId="1212" priority="642" stopIfTrue="1">
      <formula>TIPOORCAMENTO="PROPOSTO"</formula>
    </cfRule>
    <cfRule type="expression" dxfId="1211" priority="643" stopIfTrue="1">
      <formula>$C437=1</formula>
    </cfRule>
    <cfRule type="expression" dxfId="1210" priority="644" stopIfTrue="1">
      <formula>OR(AND(ISNUMBER($C437),$C437=0),$C437=2,$C437=3,$C437=4)</formula>
    </cfRule>
  </conditionalFormatting>
  <conditionalFormatting sqref="AM437:AN438">
    <cfRule type="expression" dxfId="1209" priority="645" stopIfTrue="1">
      <formula>TIPOORCAMENTO="PROPOSTO"</formula>
    </cfRule>
    <cfRule type="expression" dxfId="1208" priority="646" stopIfTrue="1">
      <formula>$C437=1</formula>
    </cfRule>
    <cfRule type="expression" dxfId="1207" priority="647" stopIfTrue="1">
      <formula>OR(AND(ISNUMBER($C437),$C437=0),$C437=2,$C437=3,$C437=4)</formula>
    </cfRule>
  </conditionalFormatting>
  <conditionalFormatting sqref="M387 M406:M413">
    <cfRule type="cellIs" dxfId="1206" priority="614" stopIfTrue="1" operator="notEqual">
      <formula>$N387</formula>
    </cfRule>
  </conditionalFormatting>
  <conditionalFormatting sqref="N387:O387 R387 W387:X387 W406:X413 R406:R413 N406:O413">
    <cfRule type="expression" dxfId="1205" priority="615" stopIfTrue="1">
      <formula>$C387=1</formula>
    </cfRule>
    <cfRule type="expression" dxfId="1204" priority="616" stopIfTrue="1">
      <formula>OR($C387=0,$C387=2,$C387=3,$C387=4)</formula>
    </cfRule>
  </conditionalFormatting>
  <conditionalFormatting sqref="U387:V387 U406:V413">
    <cfRule type="expression" dxfId="1203" priority="617" stopIfTrue="1">
      <formula>$C387=1</formula>
    </cfRule>
    <cfRule type="expression" dxfId="1202" priority="618" stopIfTrue="1">
      <formula>OR($C387=0,$C387=2,$C387=3,$C387=4)</formula>
    </cfRule>
    <cfRule type="expression" dxfId="1201" priority="619" stopIfTrue="1">
      <formula>AND(TIPOORCAMENTO="Licitado",$C387&lt;&gt;"L",$C387&lt;&gt;-1)</formula>
    </cfRule>
  </conditionalFormatting>
  <conditionalFormatting sqref="P387:Q387 S387:T387 Y387 AG387:AH387 AG406:AH413 Y406:Y413 S406:T413 P406:Q413">
    <cfRule type="expression" dxfId="1200" priority="620" stopIfTrue="1">
      <formula>$C387=1</formula>
    </cfRule>
    <cfRule type="expression" dxfId="1199" priority="621" stopIfTrue="1">
      <formula>OR($C387=0,$C387=2,$C387=3,$C387=4)</formula>
    </cfRule>
  </conditionalFormatting>
  <conditionalFormatting sqref="AJ387 AJ406:AJ413">
    <cfRule type="expression" dxfId="1198" priority="622" stopIfTrue="1">
      <formula>OR(ACOMPANHAMENTO&lt;&gt;"BM",TIPOORCAMENTO="Licitado")</formula>
    </cfRule>
    <cfRule type="expression" dxfId="1197" priority="623" stopIfTrue="1">
      <formula>$C387=1</formula>
    </cfRule>
    <cfRule type="expression" dxfId="1196" priority="624" stopIfTrue="1">
      <formula>OR(AND(ISNUMBER($C387),$C387=0),$C387=2,$C387=3,$C387=4)</formula>
    </cfRule>
  </conditionalFormatting>
  <conditionalFormatting sqref="AL387 AL406:AL413">
    <cfRule type="expression" dxfId="1195" priority="625" stopIfTrue="1">
      <formula>TIPOORCAMENTO="PROPOSTO"</formula>
    </cfRule>
    <cfRule type="expression" dxfId="1194" priority="626" stopIfTrue="1">
      <formula>$C387=1</formula>
    </cfRule>
    <cfRule type="expression" dxfId="1193" priority="627" stopIfTrue="1">
      <formula>OR(AND(ISNUMBER($C387),$C387=0),$C387=2,$C387=3,$C387=4)</formula>
    </cfRule>
  </conditionalFormatting>
  <conditionalFormatting sqref="AM387:AN387 AM406:AN413">
    <cfRule type="expression" dxfId="1192" priority="628" stopIfTrue="1">
      <formula>TIPOORCAMENTO="PROPOSTO"</formula>
    </cfRule>
    <cfRule type="expression" dxfId="1191" priority="629" stopIfTrue="1">
      <formula>$C387=1</formula>
    </cfRule>
    <cfRule type="expression" dxfId="1190" priority="630" stopIfTrue="1">
      <formula>OR(AND(ISNUMBER($C387),$C387=0),$C387=2,$C387=3,$C387=4)</formula>
    </cfRule>
  </conditionalFormatting>
  <conditionalFormatting sqref="M388:M396">
    <cfRule type="cellIs" dxfId="1189" priority="563" stopIfTrue="1" operator="notEqual">
      <formula>$N388</formula>
    </cfRule>
  </conditionalFormatting>
  <conditionalFormatting sqref="N388:O396 R388:R396 W388:X396">
    <cfRule type="expression" dxfId="1188" priority="564" stopIfTrue="1">
      <formula>$C388=1</formula>
    </cfRule>
    <cfRule type="expression" dxfId="1187" priority="565" stopIfTrue="1">
      <formula>OR($C388=0,$C388=2,$C388=3,$C388=4)</formula>
    </cfRule>
  </conditionalFormatting>
  <conditionalFormatting sqref="U388:V396">
    <cfRule type="expression" dxfId="1186" priority="566" stopIfTrue="1">
      <formula>$C388=1</formula>
    </cfRule>
    <cfRule type="expression" dxfId="1185" priority="567" stopIfTrue="1">
      <formula>OR($C388=0,$C388=2,$C388=3,$C388=4)</formula>
    </cfRule>
    <cfRule type="expression" dxfId="1184" priority="568" stopIfTrue="1">
      <formula>AND(TIPOORCAMENTO="Licitado",$C388&lt;&gt;"L",$C388&lt;&gt;-1)</formula>
    </cfRule>
  </conditionalFormatting>
  <conditionalFormatting sqref="P388:Q396 S388:T396 Y388:Y396 AG388:AH396">
    <cfRule type="expression" dxfId="1183" priority="569" stopIfTrue="1">
      <formula>$C388=1</formula>
    </cfRule>
    <cfRule type="expression" dxfId="1182" priority="570" stopIfTrue="1">
      <formula>OR($C388=0,$C388=2,$C388=3,$C388=4)</formula>
    </cfRule>
  </conditionalFormatting>
  <conditionalFormatting sqref="AJ388:AJ396">
    <cfRule type="expression" dxfId="1181" priority="571" stopIfTrue="1">
      <formula>OR(ACOMPANHAMENTO&lt;&gt;"BM",TIPOORCAMENTO="Licitado")</formula>
    </cfRule>
    <cfRule type="expression" dxfId="1180" priority="572" stopIfTrue="1">
      <formula>$C388=1</formula>
    </cfRule>
    <cfRule type="expression" dxfId="1179" priority="573" stopIfTrue="1">
      <formula>OR(AND(ISNUMBER($C388),$C388=0),$C388=2,$C388=3,$C388=4)</formula>
    </cfRule>
  </conditionalFormatting>
  <conditionalFormatting sqref="AL388:AL396">
    <cfRule type="expression" dxfId="1178" priority="574" stopIfTrue="1">
      <formula>TIPOORCAMENTO="PROPOSTO"</formula>
    </cfRule>
    <cfRule type="expression" dxfId="1177" priority="575" stopIfTrue="1">
      <formula>$C388=1</formula>
    </cfRule>
    <cfRule type="expression" dxfId="1176" priority="576" stopIfTrue="1">
      <formula>OR(AND(ISNUMBER($C388),$C388=0),$C388=2,$C388=3,$C388=4)</formula>
    </cfRule>
  </conditionalFormatting>
  <conditionalFormatting sqref="AM388:AN396">
    <cfRule type="expression" dxfId="1175" priority="577" stopIfTrue="1">
      <formula>TIPOORCAMENTO="PROPOSTO"</formula>
    </cfRule>
    <cfRule type="expression" dxfId="1174" priority="578" stopIfTrue="1">
      <formula>$C388=1</formula>
    </cfRule>
    <cfRule type="expression" dxfId="1173" priority="579" stopIfTrue="1">
      <formula>OR(AND(ISNUMBER($C388),$C388=0),$C388=2,$C388=3,$C388=4)</formula>
    </cfRule>
  </conditionalFormatting>
  <conditionalFormatting sqref="M404:M405">
    <cfRule type="cellIs" dxfId="1172" priority="529" stopIfTrue="1" operator="notEqual">
      <formula>$N404</formula>
    </cfRule>
  </conditionalFormatting>
  <conditionalFormatting sqref="N404:O405 R404:R405 W404:X405">
    <cfRule type="expression" dxfId="1171" priority="530" stopIfTrue="1">
      <formula>$C404=1</formula>
    </cfRule>
    <cfRule type="expression" dxfId="1170" priority="531" stopIfTrue="1">
      <formula>OR($C404=0,$C404=2,$C404=3,$C404=4)</formula>
    </cfRule>
  </conditionalFormatting>
  <conditionalFormatting sqref="U404:V405">
    <cfRule type="expression" dxfId="1169" priority="532" stopIfTrue="1">
      <formula>$C404=1</formula>
    </cfRule>
    <cfRule type="expression" dxfId="1168" priority="533" stopIfTrue="1">
      <formula>OR($C404=0,$C404=2,$C404=3,$C404=4)</formula>
    </cfRule>
    <cfRule type="expression" dxfId="1167" priority="534" stopIfTrue="1">
      <formula>AND(TIPOORCAMENTO="Licitado",$C404&lt;&gt;"L",$C404&lt;&gt;-1)</formula>
    </cfRule>
  </conditionalFormatting>
  <conditionalFormatting sqref="P404:Q405 S404:T405 Y404:Y405 AG404:AH405">
    <cfRule type="expression" dxfId="1166" priority="535" stopIfTrue="1">
      <formula>$C404=1</formula>
    </cfRule>
    <cfRule type="expression" dxfId="1165" priority="536" stopIfTrue="1">
      <formula>OR($C404=0,$C404=2,$C404=3,$C404=4)</formula>
    </cfRule>
  </conditionalFormatting>
  <conditionalFormatting sqref="AJ404:AJ405">
    <cfRule type="expression" dxfId="1164" priority="537" stopIfTrue="1">
      <formula>OR(ACOMPANHAMENTO&lt;&gt;"BM",TIPOORCAMENTO="Licitado")</formula>
    </cfRule>
    <cfRule type="expression" dxfId="1163" priority="538" stopIfTrue="1">
      <formula>$C404=1</formula>
    </cfRule>
    <cfRule type="expression" dxfId="1162" priority="539" stopIfTrue="1">
      <formula>OR(AND(ISNUMBER($C404),$C404=0),$C404=2,$C404=3,$C404=4)</formula>
    </cfRule>
  </conditionalFormatting>
  <conditionalFormatting sqref="AL404:AL405">
    <cfRule type="expression" dxfId="1161" priority="540" stopIfTrue="1">
      <formula>TIPOORCAMENTO="PROPOSTO"</formula>
    </cfRule>
    <cfRule type="expression" dxfId="1160" priority="541" stopIfTrue="1">
      <formula>$C404=1</formula>
    </cfRule>
    <cfRule type="expression" dxfId="1159" priority="542" stopIfTrue="1">
      <formula>OR(AND(ISNUMBER($C404),$C404=0),$C404=2,$C404=3,$C404=4)</formula>
    </cfRule>
  </conditionalFormatting>
  <conditionalFormatting sqref="AM404:AN405">
    <cfRule type="expression" dxfId="1158" priority="543" stopIfTrue="1">
      <formula>TIPOORCAMENTO="PROPOSTO"</formula>
    </cfRule>
    <cfRule type="expression" dxfId="1157" priority="544" stopIfTrue="1">
      <formula>$C404=1</formula>
    </cfRule>
    <cfRule type="expression" dxfId="1156" priority="545" stopIfTrue="1">
      <formula>OR(AND(ISNUMBER($C404),$C404=0),$C404=2,$C404=3,$C404=4)</formula>
    </cfRule>
  </conditionalFormatting>
  <conditionalFormatting sqref="M569 M495">
    <cfRule type="cellIs" dxfId="1155" priority="518" stopIfTrue="1" operator="notEqual">
      <formula>$N495</formula>
    </cfRule>
  </conditionalFormatting>
  <conditionalFormatting sqref="W569:X569 R569 N569:O569 W495:X495 R495 N495:O495">
    <cfRule type="expression" dxfId="1154" priority="519" stopIfTrue="1">
      <formula>$C495=1</formula>
    </cfRule>
    <cfRule type="expression" dxfId="1153" priority="520" stopIfTrue="1">
      <formula>OR($C495=0,$C495=2,$C495=3,$C495=4)</formula>
    </cfRule>
  </conditionalFormatting>
  <conditionalFormatting sqref="U569:V569 U495:V495">
    <cfRule type="expression" dxfId="1152" priority="521" stopIfTrue="1">
      <formula>$C495=1</formula>
    </cfRule>
    <cfRule type="expression" dxfId="1151" priority="522" stopIfTrue="1">
      <formula>OR($C495=0,$C495=2,$C495=3,$C495=4)</formula>
    </cfRule>
    <cfRule type="expression" dxfId="1150" priority="523" stopIfTrue="1">
      <formula>AND(TIPOORCAMENTO="Licitado",$C495&lt;&gt;"L",$C495&lt;&gt;-1)</formula>
    </cfRule>
  </conditionalFormatting>
  <conditionalFormatting sqref="AG569:AH569 Y569 S569:T569 P569:Q569 AG495:AH495 Y495 S495:T495 P495:Q495">
    <cfRule type="expression" dxfId="1149" priority="524" stopIfTrue="1">
      <formula>$C495=1</formula>
    </cfRule>
    <cfRule type="expression" dxfId="1148" priority="525" stopIfTrue="1">
      <formula>OR($C495=0,$C495=2,$C495=3,$C495=4)</formula>
    </cfRule>
  </conditionalFormatting>
  <conditionalFormatting sqref="AM569:AN569 AM495:AN495">
    <cfRule type="expression" dxfId="1147" priority="526" stopIfTrue="1">
      <formula>TIPOORCAMENTO="PROPOSTO"</formula>
    </cfRule>
    <cfRule type="expression" dxfId="1146" priority="527" stopIfTrue="1">
      <formula>$C495=1</formula>
    </cfRule>
    <cfRule type="expression" dxfId="1145" priority="528" stopIfTrue="1">
      <formula>OR(AND(ISNUMBER($C495),$C495=0),$C495=2,$C495=3,$C495=4)</formula>
    </cfRule>
  </conditionalFormatting>
  <conditionalFormatting sqref="M570:M575 M682:M684">
    <cfRule type="cellIs" dxfId="1144" priority="507" stopIfTrue="1" operator="notEqual">
      <formula>$N570</formula>
    </cfRule>
  </conditionalFormatting>
  <conditionalFormatting sqref="N570:O575 R570:R575 W570:X575 W682:X684 R682:R684 N682:O684">
    <cfRule type="expression" dxfId="1143" priority="508" stopIfTrue="1">
      <formula>$C570=1</formula>
    </cfRule>
    <cfRule type="expression" dxfId="1142" priority="509" stopIfTrue="1">
      <formula>OR($C570=0,$C570=2,$C570=3,$C570=4)</formula>
    </cfRule>
  </conditionalFormatting>
  <conditionalFormatting sqref="U570:V575 U682:V684">
    <cfRule type="expression" dxfId="1141" priority="510" stopIfTrue="1">
      <formula>$C570=1</formula>
    </cfRule>
    <cfRule type="expression" dxfId="1140" priority="511" stopIfTrue="1">
      <formula>OR($C570=0,$C570=2,$C570=3,$C570=4)</formula>
    </cfRule>
    <cfRule type="expression" dxfId="1139" priority="512" stopIfTrue="1">
      <formula>AND(TIPOORCAMENTO="Licitado",$C570&lt;&gt;"L",$C570&lt;&gt;-1)</formula>
    </cfRule>
  </conditionalFormatting>
  <conditionalFormatting sqref="P570:Q575 S570:T575 Y570:Y575 AG570:AH575 AG682:AH684 Y682:Y684 S682:T684 P682:Q684">
    <cfRule type="expression" dxfId="1138" priority="513" stopIfTrue="1">
      <formula>$C570=1</formula>
    </cfRule>
    <cfRule type="expression" dxfId="1137" priority="514" stopIfTrue="1">
      <formula>OR($C570=0,$C570=2,$C570=3,$C570=4)</formula>
    </cfRule>
  </conditionalFormatting>
  <conditionalFormatting sqref="AM570:AN575 AM682:AN684">
    <cfRule type="expression" dxfId="1136" priority="515" stopIfTrue="1">
      <formula>TIPOORCAMENTO="PROPOSTO"</formula>
    </cfRule>
    <cfRule type="expression" dxfId="1135" priority="516" stopIfTrue="1">
      <formula>$C570=1</formula>
    </cfRule>
    <cfRule type="expression" dxfId="1134" priority="517" stopIfTrue="1">
      <formula>OR(AND(ISNUMBER($C570),$C570=0),$C570=2,$C570=3,$C570=4)</formula>
    </cfRule>
  </conditionalFormatting>
  <conditionalFormatting sqref="M496 M552:M559">
    <cfRule type="cellIs" dxfId="1133" priority="485" stopIfTrue="1" operator="notEqual">
      <formula>$N496</formula>
    </cfRule>
  </conditionalFormatting>
  <conditionalFormatting sqref="N496:O496 R496 W496:X496 W552:X559 R552:R559 N552:O559">
    <cfRule type="expression" dxfId="1132" priority="486" stopIfTrue="1">
      <formula>$C496=1</formula>
    </cfRule>
    <cfRule type="expression" dxfId="1131" priority="487" stopIfTrue="1">
      <formula>OR($C496=0,$C496=2,$C496=3,$C496=4)</formula>
    </cfRule>
  </conditionalFormatting>
  <conditionalFormatting sqref="U496:V496 U552:V559">
    <cfRule type="expression" dxfId="1130" priority="488" stopIfTrue="1">
      <formula>$C496=1</formula>
    </cfRule>
    <cfRule type="expression" dxfId="1129" priority="489" stopIfTrue="1">
      <formula>OR($C496=0,$C496=2,$C496=3,$C496=4)</formula>
    </cfRule>
    <cfRule type="expression" dxfId="1128" priority="490" stopIfTrue="1">
      <formula>AND(TIPOORCAMENTO="Licitado",$C496&lt;&gt;"L",$C496&lt;&gt;-1)</formula>
    </cfRule>
  </conditionalFormatting>
  <conditionalFormatting sqref="P496:Q496 S496:T496 Y496 AG496:AH496 AG552:AH559 Y552:Y559 S552:T559 P552:Q559">
    <cfRule type="expression" dxfId="1127" priority="491" stopIfTrue="1">
      <formula>$C496=1</formula>
    </cfRule>
    <cfRule type="expression" dxfId="1126" priority="492" stopIfTrue="1">
      <formula>OR($C496=0,$C496=2,$C496=3,$C496=4)</formula>
    </cfRule>
  </conditionalFormatting>
  <conditionalFormatting sqref="AM496:AN496 AM552:AN559">
    <cfRule type="expression" dxfId="1125" priority="493" stopIfTrue="1">
      <formula>TIPOORCAMENTO="PROPOSTO"</formula>
    </cfRule>
    <cfRule type="expression" dxfId="1124" priority="494" stopIfTrue="1">
      <formula>$C496=1</formula>
    </cfRule>
    <cfRule type="expression" dxfId="1123" priority="495" stopIfTrue="1">
      <formula>OR(AND(ISNUMBER($C496),$C496=0),$C496=2,$C496=3,$C496=4)</formula>
    </cfRule>
  </conditionalFormatting>
  <conditionalFormatting sqref="M567:M568">
    <cfRule type="cellIs" dxfId="1122" priority="463" stopIfTrue="1" operator="notEqual">
      <formula>$N567</formula>
    </cfRule>
  </conditionalFormatting>
  <conditionalFormatting sqref="N567:O568 R567:R568 W567:X568">
    <cfRule type="expression" dxfId="1121" priority="464" stopIfTrue="1">
      <formula>$C567=1</formula>
    </cfRule>
    <cfRule type="expression" dxfId="1120" priority="465" stopIfTrue="1">
      <formula>OR($C567=0,$C567=2,$C567=3,$C567=4)</formula>
    </cfRule>
  </conditionalFormatting>
  <conditionalFormatting sqref="U567:V568">
    <cfRule type="expression" dxfId="1119" priority="466" stopIfTrue="1">
      <formula>$C567=1</formula>
    </cfRule>
    <cfRule type="expression" dxfId="1118" priority="467" stopIfTrue="1">
      <formula>OR($C567=0,$C567=2,$C567=3,$C567=4)</formula>
    </cfRule>
    <cfRule type="expression" dxfId="1117" priority="468" stopIfTrue="1">
      <formula>AND(TIPOORCAMENTO="Licitado",$C567&lt;&gt;"L",$C567&lt;&gt;-1)</formula>
    </cfRule>
  </conditionalFormatting>
  <conditionalFormatting sqref="P567:Q568 S567:T568 Y567:Y568 AG567:AH568">
    <cfRule type="expression" dxfId="1116" priority="469" stopIfTrue="1">
      <formula>$C567=1</formula>
    </cfRule>
    <cfRule type="expression" dxfId="1115" priority="470" stopIfTrue="1">
      <formula>OR($C567=0,$C567=2,$C567=3,$C567=4)</formula>
    </cfRule>
  </conditionalFormatting>
  <conditionalFormatting sqref="AM567:AN568">
    <cfRule type="expression" dxfId="1114" priority="471" stopIfTrue="1">
      <formula>TIPOORCAMENTO="PROPOSTO"</formula>
    </cfRule>
    <cfRule type="expression" dxfId="1113" priority="472" stopIfTrue="1">
      <formula>$C567=1</formula>
    </cfRule>
    <cfRule type="expression" dxfId="1112" priority="473" stopIfTrue="1">
      <formula>OR(AND(ISNUMBER($C567),$C567=0),$C567=2,$C567=3,$C567=4)</formula>
    </cfRule>
  </conditionalFormatting>
  <conditionalFormatting sqref="M497:M502 M539:M541">
    <cfRule type="cellIs" dxfId="1111" priority="452" stopIfTrue="1" operator="notEqual">
      <formula>$N497</formula>
    </cfRule>
  </conditionalFormatting>
  <conditionalFormatting sqref="N497:O502 R497:R502 W497:X502 W539:X541 R539:R541 N539:O541">
    <cfRule type="expression" dxfId="1110" priority="453" stopIfTrue="1">
      <formula>$C497=1</formula>
    </cfRule>
    <cfRule type="expression" dxfId="1109" priority="454" stopIfTrue="1">
      <formula>OR($C497=0,$C497=2,$C497=3,$C497=4)</formula>
    </cfRule>
  </conditionalFormatting>
  <conditionalFormatting sqref="U497:V502 U539:V541">
    <cfRule type="expression" dxfId="1108" priority="455" stopIfTrue="1">
      <formula>$C497=1</formula>
    </cfRule>
    <cfRule type="expression" dxfId="1107" priority="456" stopIfTrue="1">
      <formula>OR($C497=0,$C497=2,$C497=3,$C497=4)</formula>
    </cfRule>
    <cfRule type="expression" dxfId="1106" priority="457" stopIfTrue="1">
      <formula>AND(TIPOORCAMENTO="Licitado",$C497&lt;&gt;"L",$C497&lt;&gt;-1)</formula>
    </cfRule>
  </conditionalFormatting>
  <conditionalFormatting sqref="P497:Q502 S497:T502 Y497:Y502 AG497:AH502 AG539:AH541 Y539:Y541 S539:T541 P539:Q541">
    <cfRule type="expression" dxfId="1105" priority="458" stopIfTrue="1">
      <formula>$C497=1</formula>
    </cfRule>
    <cfRule type="expression" dxfId="1104" priority="459" stopIfTrue="1">
      <formula>OR($C497=0,$C497=2,$C497=3,$C497=4)</formula>
    </cfRule>
  </conditionalFormatting>
  <conditionalFormatting sqref="AM497:AN502 AM539:AN541">
    <cfRule type="expression" dxfId="1103" priority="460" stopIfTrue="1">
      <formula>TIPOORCAMENTO="PROPOSTO"</formula>
    </cfRule>
    <cfRule type="expression" dxfId="1102" priority="461" stopIfTrue="1">
      <formula>$C497=1</formula>
    </cfRule>
    <cfRule type="expression" dxfId="1101" priority="462" stopIfTrue="1">
      <formula>OR(AND(ISNUMBER($C497),$C497=0),$C497=2,$C497=3,$C497=4)</formula>
    </cfRule>
  </conditionalFormatting>
  <conditionalFormatting sqref="M550:M551">
    <cfRule type="cellIs" dxfId="1100" priority="430" stopIfTrue="1" operator="notEqual">
      <formula>$N550</formula>
    </cfRule>
  </conditionalFormatting>
  <conditionalFormatting sqref="N550:O551 R550:R551 W550:X551">
    <cfRule type="expression" dxfId="1099" priority="431" stopIfTrue="1">
      <formula>$C550=1</formula>
    </cfRule>
    <cfRule type="expression" dxfId="1098" priority="432" stopIfTrue="1">
      <formula>OR($C550=0,$C550=2,$C550=3,$C550=4)</formula>
    </cfRule>
  </conditionalFormatting>
  <conditionalFormatting sqref="U550:V551">
    <cfRule type="expression" dxfId="1097" priority="433" stopIfTrue="1">
      <formula>$C550=1</formula>
    </cfRule>
    <cfRule type="expression" dxfId="1096" priority="434" stopIfTrue="1">
      <formula>OR($C550=0,$C550=2,$C550=3,$C550=4)</formula>
    </cfRule>
    <cfRule type="expression" dxfId="1095" priority="435" stopIfTrue="1">
      <formula>AND(TIPOORCAMENTO="Licitado",$C550&lt;&gt;"L",$C550&lt;&gt;-1)</formula>
    </cfRule>
  </conditionalFormatting>
  <conditionalFormatting sqref="P550:Q551 S550:T551 Y550:Y551 AG550:AH551">
    <cfRule type="expression" dxfId="1094" priority="436" stopIfTrue="1">
      <formula>$C550=1</formula>
    </cfRule>
    <cfRule type="expression" dxfId="1093" priority="437" stopIfTrue="1">
      <formula>OR($C550=0,$C550=2,$C550=3,$C550=4)</formula>
    </cfRule>
  </conditionalFormatting>
  <conditionalFormatting sqref="AM550:AN551">
    <cfRule type="expression" dxfId="1092" priority="438" stopIfTrue="1">
      <formula>TIPOORCAMENTO="PROPOSTO"</formula>
    </cfRule>
    <cfRule type="expression" dxfId="1091" priority="439" stopIfTrue="1">
      <formula>$C550=1</formula>
    </cfRule>
    <cfRule type="expression" dxfId="1090" priority="440" stopIfTrue="1">
      <formula>OR(AND(ISNUMBER($C550),$C550=0),$C550=2,$C550=3,$C550=4)</formula>
    </cfRule>
  </conditionalFormatting>
  <conditionalFormatting sqref="M503">
    <cfRule type="cellIs" dxfId="1089" priority="419" stopIfTrue="1" operator="notEqual">
      <formula>$N503</formula>
    </cfRule>
  </conditionalFormatting>
  <conditionalFormatting sqref="N503:O503 R503 W503:X503">
    <cfRule type="expression" dxfId="1088" priority="420" stopIfTrue="1">
      <formula>$C503=1</formula>
    </cfRule>
    <cfRule type="expression" dxfId="1087" priority="421" stopIfTrue="1">
      <formula>OR($C503=0,$C503=2,$C503=3,$C503=4)</formula>
    </cfRule>
  </conditionalFormatting>
  <conditionalFormatting sqref="U503:V503">
    <cfRule type="expression" dxfId="1086" priority="422" stopIfTrue="1">
      <formula>$C503=1</formula>
    </cfRule>
    <cfRule type="expression" dxfId="1085" priority="423" stopIfTrue="1">
      <formula>OR($C503=0,$C503=2,$C503=3,$C503=4)</formula>
    </cfRule>
    <cfRule type="expression" dxfId="1084" priority="424" stopIfTrue="1">
      <formula>AND(TIPOORCAMENTO="Licitado",$C503&lt;&gt;"L",$C503&lt;&gt;-1)</formula>
    </cfRule>
  </conditionalFormatting>
  <conditionalFormatting sqref="P503:Q503 S503:T503 Y503 AG503:AH503">
    <cfRule type="expression" dxfId="1083" priority="425" stopIfTrue="1">
      <formula>$C503=1</formula>
    </cfRule>
    <cfRule type="expression" dxfId="1082" priority="426" stopIfTrue="1">
      <formula>OR($C503=0,$C503=2,$C503=3,$C503=4)</formula>
    </cfRule>
  </conditionalFormatting>
  <conditionalFormatting sqref="AM503:AN503">
    <cfRule type="expression" dxfId="1081" priority="427" stopIfTrue="1">
      <formula>TIPOORCAMENTO="PROPOSTO"</formula>
    </cfRule>
    <cfRule type="expression" dxfId="1080" priority="428" stopIfTrue="1">
      <formula>$C503=1</formula>
    </cfRule>
    <cfRule type="expression" dxfId="1079" priority="429" stopIfTrue="1">
      <formula>OR(AND(ISNUMBER($C503),$C503=0),$C503=2,$C503=3,$C503=4)</formula>
    </cfRule>
  </conditionalFormatting>
  <conditionalFormatting sqref="M537:M538">
    <cfRule type="cellIs" dxfId="1078" priority="397" stopIfTrue="1" operator="notEqual">
      <formula>$N537</formula>
    </cfRule>
  </conditionalFormatting>
  <conditionalFormatting sqref="N537:O538 R537:R538 W537:X538">
    <cfRule type="expression" dxfId="1077" priority="398" stopIfTrue="1">
      <formula>$C537=1</formula>
    </cfRule>
    <cfRule type="expression" dxfId="1076" priority="399" stopIfTrue="1">
      <formula>OR($C537=0,$C537=2,$C537=3,$C537=4)</formula>
    </cfRule>
  </conditionalFormatting>
  <conditionalFormatting sqref="U537:V538">
    <cfRule type="expression" dxfId="1075" priority="400" stopIfTrue="1">
      <formula>$C537=1</formula>
    </cfRule>
    <cfRule type="expression" dxfId="1074" priority="401" stopIfTrue="1">
      <formula>OR($C537=0,$C537=2,$C537=3,$C537=4)</formula>
    </cfRule>
    <cfRule type="expression" dxfId="1073" priority="402" stopIfTrue="1">
      <formula>AND(TIPOORCAMENTO="Licitado",$C537&lt;&gt;"L",$C537&lt;&gt;-1)</formula>
    </cfRule>
  </conditionalFormatting>
  <conditionalFormatting sqref="P537:Q538 S537:T538 Y537:Y538 AG537:AH538">
    <cfRule type="expression" dxfId="1072" priority="403" stopIfTrue="1">
      <formula>$C537=1</formula>
    </cfRule>
    <cfRule type="expression" dxfId="1071" priority="404" stopIfTrue="1">
      <formula>OR($C537=0,$C537=2,$C537=3,$C537=4)</formula>
    </cfRule>
  </conditionalFormatting>
  <conditionalFormatting sqref="AM537:AN538">
    <cfRule type="expression" dxfId="1070" priority="405" stopIfTrue="1">
      <formula>TIPOORCAMENTO="PROPOSTO"</formula>
    </cfRule>
    <cfRule type="expression" dxfId="1069" priority="406" stopIfTrue="1">
      <formula>$C537=1</formula>
    </cfRule>
    <cfRule type="expression" dxfId="1068" priority="407" stopIfTrue="1">
      <formula>OR(AND(ISNUMBER($C537),$C537=0),$C537=2,$C537=3,$C537=4)</formula>
    </cfRule>
  </conditionalFormatting>
  <conditionalFormatting sqref="M511:M519">
    <cfRule type="cellIs" dxfId="1067" priority="375" stopIfTrue="1" operator="notEqual">
      <formula>$N511</formula>
    </cfRule>
  </conditionalFormatting>
  <conditionalFormatting sqref="N511:O519 R511:R519 W511:X519">
    <cfRule type="expression" dxfId="1066" priority="376" stopIfTrue="1">
      <formula>$C511=1</formula>
    </cfRule>
    <cfRule type="expression" dxfId="1065" priority="377" stopIfTrue="1">
      <formula>OR($C511=0,$C511=2,$C511=3,$C511=4)</formula>
    </cfRule>
  </conditionalFormatting>
  <conditionalFormatting sqref="U511:V519">
    <cfRule type="expression" dxfId="1064" priority="378" stopIfTrue="1">
      <formula>$C511=1</formula>
    </cfRule>
    <cfRule type="expression" dxfId="1063" priority="379" stopIfTrue="1">
      <formula>OR($C511=0,$C511=2,$C511=3,$C511=4)</formula>
    </cfRule>
    <cfRule type="expression" dxfId="1062" priority="380" stopIfTrue="1">
      <formula>AND(TIPOORCAMENTO="Licitado",$C511&lt;&gt;"L",$C511&lt;&gt;-1)</formula>
    </cfRule>
  </conditionalFormatting>
  <conditionalFormatting sqref="P511:Q519 S511:T519 Y511:Y519 AG511:AH519">
    <cfRule type="expression" dxfId="1061" priority="381" stopIfTrue="1">
      <formula>$C511=1</formula>
    </cfRule>
    <cfRule type="expression" dxfId="1060" priority="382" stopIfTrue="1">
      <formula>OR($C511=0,$C511=2,$C511=3,$C511=4)</formula>
    </cfRule>
  </conditionalFormatting>
  <conditionalFormatting sqref="AM511:AN519">
    <cfRule type="expression" dxfId="1059" priority="383" stopIfTrue="1">
      <formula>TIPOORCAMENTO="PROPOSTO"</formula>
    </cfRule>
    <cfRule type="expression" dxfId="1058" priority="384" stopIfTrue="1">
      <formula>$C511=1</formula>
    </cfRule>
    <cfRule type="expression" dxfId="1057" priority="385" stopIfTrue="1">
      <formula>OR(AND(ISNUMBER($C511),$C511=0),$C511=2,$C511=3,$C511=4)</formula>
    </cfRule>
  </conditionalFormatting>
  <conditionalFormatting sqref="M520:M521">
    <cfRule type="cellIs" dxfId="1056" priority="364" stopIfTrue="1" operator="notEqual">
      <formula>$N520</formula>
    </cfRule>
  </conditionalFormatting>
  <conditionalFormatting sqref="N520:O521 R520:R521 W520:X521">
    <cfRule type="expression" dxfId="1055" priority="365" stopIfTrue="1">
      <formula>$C520=1</formula>
    </cfRule>
    <cfRule type="expression" dxfId="1054" priority="366" stopIfTrue="1">
      <formula>OR($C520=0,$C520=2,$C520=3,$C520=4)</formula>
    </cfRule>
  </conditionalFormatting>
  <conditionalFormatting sqref="U520:V521">
    <cfRule type="expression" dxfId="1053" priority="367" stopIfTrue="1">
      <formula>$C520=1</formula>
    </cfRule>
    <cfRule type="expression" dxfId="1052" priority="368" stopIfTrue="1">
      <formula>OR($C520=0,$C520=2,$C520=3,$C520=4)</formula>
    </cfRule>
    <cfRule type="expression" dxfId="1051" priority="369" stopIfTrue="1">
      <formula>AND(TIPOORCAMENTO="Licitado",$C520&lt;&gt;"L",$C520&lt;&gt;-1)</formula>
    </cfRule>
  </conditionalFormatting>
  <conditionalFormatting sqref="P520:Q521 S520:T521 Y520:Y521 AG520:AH521">
    <cfRule type="expression" dxfId="1050" priority="370" stopIfTrue="1">
      <formula>$C520=1</formula>
    </cfRule>
    <cfRule type="expression" dxfId="1049" priority="371" stopIfTrue="1">
      <formula>OR($C520=0,$C520=2,$C520=3,$C520=4)</formula>
    </cfRule>
  </conditionalFormatting>
  <conditionalFormatting sqref="AM520:AN521">
    <cfRule type="expression" dxfId="1048" priority="372" stopIfTrue="1">
      <formula>TIPOORCAMENTO="PROPOSTO"</formula>
    </cfRule>
    <cfRule type="expression" dxfId="1047" priority="373" stopIfTrue="1">
      <formula>$C520=1</formula>
    </cfRule>
    <cfRule type="expression" dxfId="1046" priority="374" stopIfTrue="1">
      <formula>OR(AND(ISNUMBER($C520),$C520=0),$C520=2,$C520=3,$C520=4)</formula>
    </cfRule>
  </conditionalFormatting>
  <conditionalFormatting sqref="M493:M494">
    <cfRule type="cellIs" dxfId="1045" priority="331" stopIfTrue="1" operator="notEqual">
      <formula>$N493</formula>
    </cfRule>
  </conditionalFormatting>
  <conditionalFormatting sqref="N493:O494 R493:R494 W493:X494">
    <cfRule type="expression" dxfId="1044" priority="332" stopIfTrue="1">
      <formula>$C493=1</formula>
    </cfRule>
    <cfRule type="expression" dxfId="1043" priority="333" stopIfTrue="1">
      <formula>OR($C493=0,$C493=2,$C493=3,$C493=4)</formula>
    </cfRule>
  </conditionalFormatting>
  <conditionalFormatting sqref="U493:V494">
    <cfRule type="expression" dxfId="1042" priority="334" stopIfTrue="1">
      <formula>$C493=1</formula>
    </cfRule>
    <cfRule type="expression" dxfId="1041" priority="335" stopIfTrue="1">
      <formula>OR($C493=0,$C493=2,$C493=3,$C493=4)</formula>
    </cfRule>
    <cfRule type="expression" dxfId="1040" priority="336" stopIfTrue="1">
      <formula>AND(TIPOORCAMENTO="Licitado",$C493&lt;&gt;"L",$C493&lt;&gt;-1)</formula>
    </cfRule>
  </conditionalFormatting>
  <conditionalFormatting sqref="P493:Q494 S493:T494 Y493:Y494 AG493:AH494">
    <cfRule type="expression" dxfId="1039" priority="337" stopIfTrue="1">
      <formula>$C493=1</formula>
    </cfRule>
    <cfRule type="expression" dxfId="1038" priority="338" stopIfTrue="1">
      <formula>OR($C493=0,$C493=2,$C493=3,$C493=4)</formula>
    </cfRule>
  </conditionalFormatting>
  <conditionalFormatting sqref="AM493:AN494">
    <cfRule type="expression" dxfId="1037" priority="339" stopIfTrue="1">
      <formula>TIPOORCAMENTO="PROPOSTO"</formula>
    </cfRule>
    <cfRule type="expression" dxfId="1036" priority="340" stopIfTrue="1">
      <formula>$C493=1</formula>
    </cfRule>
    <cfRule type="expression" dxfId="1035" priority="341" stopIfTrue="1">
      <formula>OR(AND(ISNUMBER($C493),$C493=0),$C493=2,$C493=3,$C493=4)</formula>
    </cfRule>
  </conditionalFormatting>
  <conditionalFormatting sqref="M576 M648:M655">
    <cfRule type="cellIs" dxfId="1034" priority="287" stopIfTrue="1" operator="notEqual">
      <formula>$N576</formula>
    </cfRule>
  </conditionalFormatting>
  <conditionalFormatting sqref="N576:O576 R576 W576:X576 W648:X655 R648:R655 N648:O655">
    <cfRule type="expression" dxfId="1033" priority="288" stopIfTrue="1">
      <formula>$C576=1</formula>
    </cfRule>
    <cfRule type="expression" dxfId="1032" priority="289" stopIfTrue="1">
      <formula>OR($C576=0,$C576=2,$C576=3,$C576=4)</formula>
    </cfRule>
  </conditionalFormatting>
  <conditionalFormatting sqref="U576:V576 U648:V655">
    <cfRule type="expression" dxfId="1031" priority="290" stopIfTrue="1">
      <formula>$C576=1</formula>
    </cfRule>
    <cfRule type="expression" dxfId="1030" priority="291" stopIfTrue="1">
      <formula>OR($C576=0,$C576=2,$C576=3,$C576=4)</formula>
    </cfRule>
    <cfRule type="expression" dxfId="1029" priority="292" stopIfTrue="1">
      <formula>AND(TIPOORCAMENTO="Licitado",$C576&lt;&gt;"L",$C576&lt;&gt;-1)</formula>
    </cfRule>
  </conditionalFormatting>
  <conditionalFormatting sqref="P576:Q576 S576:T576 Y576 AG576:AH576 AG648:AH655 Y648:Y655 S648:T655 P648:Q655">
    <cfRule type="expression" dxfId="1028" priority="293" stopIfTrue="1">
      <formula>$C576=1</formula>
    </cfRule>
    <cfRule type="expression" dxfId="1027" priority="294" stopIfTrue="1">
      <formula>OR($C576=0,$C576=2,$C576=3,$C576=4)</formula>
    </cfRule>
  </conditionalFormatting>
  <conditionalFormatting sqref="AM576:AN576 AM648:AN655">
    <cfRule type="expression" dxfId="1026" priority="295" stopIfTrue="1">
      <formula>TIPOORCAMENTO="PROPOSTO"</formula>
    </cfRule>
    <cfRule type="expression" dxfId="1025" priority="296" stopIfTrue="1">
      <formula>$C576=1</formula>
    </cfRule>
    <cfRule type="expression" dxfId="1024" priority="297" stopIfTrue="1">
      <formula>OR(AND(ISNUMBER($C576),$C576=0),$C576=2,$C576=3,$C576=4)</formula>
    </cfRule>
  </conditionalFormatting>
  <conditionalFormatting sqref="M663:M664">
    <cfRule type="cellIs" dxfId="1023" priority="265" stopIfTrue="1" operator="notEqual">
      <formula>$N663</formula>
    </cfRule>
  </conditionalFormatting>
  <conditionalFormatting sqref="N663:O664 R663:R664 W663:X664">
    <cfRule type="expression" dxfId="1022" priority="266" stopIfTrue="1">
      <formula>$C663=1</formula>
    </cfRule>
    <cfRule type="expression" dxfId="1021" priority="267" stopIfTrue="1">
      <formula>OR($C663=0,$C663=2,$C663=3,$C663=4)</formula>
    </cfRule>
  </conditionalFormatting>
  <conditionalFormatting sqref="U663:V664">
    <cfRule type="expression" dxfId="1020" priority="268" stopIfTrue="1">
      <formula>$C663=1</formula>
    </cfRule>
    <cfRule type="expression" dxfId="1019" priority="269" stopIfTrue="1">
      <formula>OR($C663=0,$C663=2,$C663=3,$C663=4)</formula>
    </cfRule>
    <cfRule type="expression" dxfId="1018" priority="270" stopIfTrue="1">
      <formula>AND(TIPOORCAMENTO="Licitado",$C663&lt;&gt;"L",$C663&lt;&gt;-1)</formula>
    </cfRule>
  </conditionalFormatting>
  <conditionalFormatting sqref="P663:Q664 S663:T664 Y663:Y664 AG663:AH664">
    <cfRule type="expression" dxfId="1017" priority="271" stopIfTrue="1">
      <formula>$C663=1</formula>
    </cfRule>
    <cfRule type="expression" dxfId="1016" priority="272" stopIfTrue="1">
      <formula>OR($C663=0,$C663=2,$C663=3,$C663=4)</formula>
    </cfRule>
  </conditionalFormatting>
  <conditionalFormatting sqref="AM663:AN664">
    <cfRule type="expression" dxfId="1015" priority="273" stopIfTrue="1">
      <formula>TIPOORCAMENTO="PROPOSTO"</formula>
    </cfRule>
    <cfRule type="expression" dxfId="1014" priority="274" stopIfTrue="1">
      <formula>$C663=1</formula>
    </cfRule>
    <cfRule type="expression" dxfId="1013" priority="275" stopIfTrue="1">
      <formula>OR(AND(ISNUMBER($C663),$C663=0),$C663=2,$C663=3,$C663=4)</formula>
    </cfRule>
  </conditionalFormatting>
  <conditionalFormatting sqref="M577 M629:M636">
    <cfRule type="cellIs" dxfId="1012" priority="254" stopIfTrue="1" operator="notEqual">
      <formula>$N577</formula>
    </cfRule>
  </conditionalFormatting>
  <conditionalFormatting sqref="N577:O577 R577 W577:X577 W629:X636 R629:R636 N629:O636">
    <cfRule type="expression" dxfId="1011" priority="255" stopIfTrue="1">
      <formula>$C577=1</formula>
    </cfRule>
    <cfRule type="expression" dxfId="1010" priority="256" stopIfTrue="1">
      <formula>OR($C577=0,$C577=2,$C577=3,$C577=4)</formula>
    </cfRule>
  </conditionalFormatting>
  <conditionalFormatting sqref="U577:V577 U629:V636">
    <cfRule type="expression" dxfId="1009" priority="257" stopIfTrue="1">
      <formula>$C577=1</formula>
    </cfRule>
    <cfRule type="expression" dxfId="1008" priority="258" stopIfTrue="1">
      <formula>OR($C577=0,$C577=2,$C577=3,$C577=4)</formula>
    </cfRule>
    <cfRule type="expression" dxfId="1007" priority="259" stopIfTrue="1">
      <formula>AND(TIPOORCAMENTO="Licitado",$C577&lt;&gt;"L",$C577&lt;&gt;-1)</formula>
    </cfRule>
  </conditionalFormatting>
  <conditionalFormatting sqref="P577:Q577 S577:T577 Y577 AG577:AH577 AG629:AH636 Y629:Y636 S629:T636 P629:Q636">
    <cfRule type="expression" dxfId="1006" priority="260" stopIfTrue="1">
      <formula>$C577=1</formula>
    </cfRule>
    <cfRule type="expression" dxfId="1005" priority="261" stopIfTrue="1">
      <formula>OR($C577=0,$C577=2,$C577=3,$C577=4)</formula>
    </cfRule>
  </conditionalFormatting>
  <conditionalFormatting sqref="AM577:AN577 AM629:AN636">
    <cfRule type="expression" dxfId="1004" priority="262" stopIfTrue="1">
      <formula>TIPOORCAMENTO="PROPOSTO"</formula>
    </cfRule>
    <cfRule type="expression" dxfId="1003" priority="263" stopIfTrue="1">
      <formula>$C577=1</formula>
    </cfRule>
    <cfRule type="expression" dxfId="1002" priority="264" stopIfTrue="1">
      <formula>OR(AND(ISNUMBER($C577),$C577=0),$C577=2,$C577=3,$C577=4)</formula>
    </cfRule>
  </conditionalFormatting>
  <conditionalFormatting sqref="M637:M645">
    <cfRule type="cellIs" dxfId="1001" priority="243" stopIfTrue="1" operator="notEqual">
      <formula>$N637</formula>
    </cfRule>
  </conditionalFormatting>
  <conditionalFormatting sqref="N637:O645 R637:R645 W637:X645">
    <cfRule type="expression" dxfId="1000" priority="244" stopIfTrue="1">
      <formula>$C637=1</formula>
    </cfRule>
    <cfRule type="expression" dxfId="999" priority="245" stopIfTrue="1">
      <formula>OR($C637=0,$C637=2,$C637=3,$C637=4)</formula>
    </cfRule>
  </conditionalFormatting>
  <conditionalFormatting sqref="U637:V645">
    <cfRule type="expression" dxfId="998" priority="246" stopIfTrue="1">
      <formula>$C637=1</formula>
    </cfRule>
    <cfRule type="expression" dxfId="997" priority="247" stopIfTrue="1">
      <formula>OR($C637=0,$C637=2,$C637=3,$C637=4)</formula>
    </cfRule>
    <cfRule type="expression" dxfId="996" priority="248" stopIfTrue="1">
      <formula>AND(TIPOORCAMENTO="Licitado",$C637&lt;&gt;"L",$C637&lt;&gt;-1)</formula>
    </cfRule>
  </conditionalFormatting>
  <conditionalFormatting sqref="P637:Q645 S637:T645 Y637:Y645 AG637:AH645">
    <cfRule type="expression" dxfId="995" priority="249" stopIfTrue="1">
      <formula>$C637=1</formula>
    </cfRule>
    <cfRule type="expression" dxfId="994" priority="250" stopIfTrue="1">
      <formula>OR($C637=0,$C637=2,$C637=3,$C637=4)</formula>
    </cfRule>
  </conditionalFormatting>
  <conditionalFormatting sqref="AM637:AN645">
    <cfRule type="expression" dxfId="993" priority="251" stopIfTrue="1">
      <formula>TIPOORCAMENTO="PROPOSTO"</formula>
    </cfRule>
    <cfRule type="expression" dxfId="992" priority="252" stopIfTrue="1">
      <formula>$C637=1</formula>
    </cfRule>
    <cfRule type="expression" dxfId="991" priority="253" stopIfTrue="1">
      <formula>OR(AND(ISNUMBER($C637),$C637=0),$C637=2,$C637=3,$C637=4)</formula>
    </cfRule>
  </conditionalFormatting>
  <conditionalFormatting sqref="M646:M647">
    <cfRule type="cellIs" dxfId="990" priority="232" stopIfTrue="1" operator="notEqual">
      <formula>$N646</formula>
    </cfRule>
  </conditionalFormatting>
  <conditionalFormatting sqref="N646:O647 R646:R647 W646:X647">
    <cfRule type="expression" dxfId="989" priority="233" stopIfTrue="1">
      <formula>$C646=1</formula>
    </cfRule>
    <cfRule type="expression" dxfId="988" priority="234" stopIfTrue="1">
      <formula>OR($C646=0,$C646=2,$C646=3,$C646=4)</formula>
    </cfRule>
  </conditionalFormatting>
  <conditionalFormatting sqref="U646:V647">
    <cfRule type="expression" dxfId="987" priority="235" stopIfTrue="1">
      <formula>$C646=1</formula>
    </cfRule>
    <cfRule type="expression" dxfId="986" priority="236" stopIfTrue="1">
      <formula>OR($C646=0,$C646=2,$C646=3,$C646=4)</formula>
    </cfRule>
    <cfRule type="expression" dxfId="985" priority="237" stopIfTrue="1">
      <formula>AND(TIPOORCAMENTO="Licitado",$C646&lt;&gt;"L",$C646&lt;&gt;-1)</formula>
    </cfRule>
  </conditionalFormatting>
  <conditionalFormatting sqref="P646:Q647 S646:T647 Y646:Y647 AG646:AH647">
    <cfRule type="expression" dxfId="984" priority="238" stopIfTrue="1">
      <formula>$C646=1</formula>
    </cfRule>
    <cfRule type="expression" dxfId="983" priority="239" stopIfTrue="1">
      <formula>OR($C646=0,$C646=2,$C646=3,$C646=4)</formula>
    </cfRule>
  </conditionalFormatting>
  <conditionalFormatting sqref="AM646:AN647">
    <cfRule type="expression" dxfId="982" priority="240" stopIfTrue="1">
      <formula>TIPOORCAMENTO="PROPOSTO"</formula>
    </cfRule>
    <cfRule type="expression" dxfId="981" priority="241" stopIfTrue="1">
      <formula>$C646=1</formula>
    </cfRule>
    <cfRule type="expression" dxfId="980" priority="242" stopIfTrue="1">
      <formula>OR(AND(ISNUMBER($C646),$C646=0),$C646=2,$C646=3,$C646=4)</formula>
    </cfRule>
  </conditionalFormatting>
  <conditionalFormatting sqref="M578">
    <cfRule type="cellIs" dxfId="979" priority="221" stopIfTrue="1" operator="notEqual">
      <formula>$N578</formula>
    </cfRule>
  </conditionalFormatting>
  <conditionalFormatting sqref="N578:O578 R578 W578:X578">
    <cfRule type="expression" dxfId="978" priority="222" stopIfTrue="1">
      <formula>$C578=1</formula>
    </cfRule>
    <cfRule type="expression" dxfId="977" priority="223" stopIfTrue="1">
      <formula>OR($C578=0,$C578=2,$C578=3,$C578=4)</formula>
    </cfRule>
  </conditionalFormatting>
  <conditionalFormatting sqref="U578:V578">
    <cfRule type="expression" dxfId="976" priority="224" stopIfTrue="1">
      <formula>$C578=1</formula>
    </cfRule>
    <cfRule type="expression" dxfId="975" priority="225" stopIfTrue="1">
      <formula>OR($C578=0,$C578=2,$C578=3,$C578=4)</formula>
    </cfRule>
    <cfRule type="expression" dxfId="974" priority="226" stopIfTrue="1">
      <formula>AND(TIPOORCAMENTO="Licitado",$C578&lt;&gt;"L",$C578&lt;&gt;-1)</formula>
    </cfRule>
  </conditionalFormatting>
  <conditionalFormatting sqref="P578:Q578 S578:T578 Y578 AG578:AH578">
    <cfRule type="expression" dxfId="973" priority="227" stopIfTrue="1">
      <formula>$C578=1</formula>
    </cfRule>
    <cfRule type="expression" dxfId="972" priority="228" stopIfTrue="1">
      <formula>OR($C578=0,$C578=2,$C578=3,$C578=4)</formula>
    </cfRule>
  </conditionalFormatting>
  <conditionalFormatting sqref="AM578:AN578">
    <cfRule type="expression" dxfId="971" priority="229" stopIfTrue="1">
      <formula>TIPOORCAMENTO="PROPOSTO"</formula>
    </cfRule>
    <cfRule type="expression" dxfId="970" priority="230" stopIfTrue="1">
      <formula>$C578=1</formula>
    </cfRule>
    <cfRule type="expression" dxfId="969" priority="231" stopIfTrue="1">
      <formula>OR(AND(ISNUMBER($C578),$C578=0),$C578=2,$C578=3,$C578=4)</formula>
    </cfRule>
  </conditionalFormatting>
  <conditionalFormatting sqref="M618:M626">
    <cfRule type="cellIs" dxfId="968" priority="210" stopIfTrue="1" operator="notEqual">
      <formula>$N618</formula>
    </cfRule>
  </conditionalFormatting>
  <conditionalFormatting sqref="N618:O626 R618:R626 W618:X626">
    <cfRule type="expression" dxfId="967" priority="211" stopIfTrue="1">
      <formula>$C618=1</formula>
    </cfRule>
    <cfRule type="expression" dxfId="966" priority="212" stopIfTrue="1">
      <formula>OR($C618=0,$C618=2,$C618=3,$C618=4)</formula>
    </cfRule>
  </conditionalFormatting>
  <conditionalFormatting sqref="U618:V626">
    <cfRule type="expression" dxfId="965" priority="213" stopIfTrue="1">
      <formula>$C618=1</formula>
    </cfRule>
    <cfRule type="expression" dxfId="964" priority="214" stopIfTrue="1">
      <formula>OR($C618=0,$C618=2,$C618=3,$C618=4)</formula>
    </cfRule>
    <cfRule type="expression" dxfId="963" priority="215" stopIfTrue="1">
      <formula>AND(TIPOORCAMENTO="Licitado",$C618&lt;&gt;"L",$C618&lt;&gt;-1)</formula>
    </cfRule>
  </conditionalFormatting>
  <conditionalFormatting sqref="P618:Q626 S618:T626 Y618:Y626 AG618:AH626">
    <cfRule type="expression" dxfId="962" priority="216" stopIfTrue="1">
      <formula>$C618=1</formula>
    </cfRule>
    <cfRule type="expression" dxfId="961" priority="217" stopIfTrue="1">
      <formula>OR($C618=0,$C618=2,$C618=3,$C618=4)</formula>
    </cfRule>
  </conditionalFormatting>
  <conditionalFormatting sqref="AM618:AN626">
    <cfRule type="expression" dxfId="960" priority="218" stopIfTrue="1">
      <formula>TIPOORCAMENTO="PROPOSTO"</formula>
    </cfRule>
    <cfRule type="expression" dxfId="959" priority="219" stopIfTrue="1">
      <formula>$C618=1</formula>
    </cfRule>
    <cfRule type="expression" dxfId="958" priority="220" stopIfTrue="1">
      <formula>OR(AND(ISNUMBER($C618),$C618=0),$C618=2,$C618=3,$C618=4)</formula>
    </cfRule>
  </conditionalFormatting>
  <conditionalFormatting sqref="M627:M628">
    <cfRule type="cellIs" dxfId="957" priority="199" stopIfTrue="1" operator="notEqual">
      <formula>$N627</formula>
    </cfRule>
  </conditionalFormatting>
  <conditionalFormatting sqref="N627:O628 R627:R628 W627:X628">
    <cfRule type="expression" dxfId="956" priority="200" stopIfTrue="1">
      <formula>$C627=1</formula>
    </cfRule>
    <cfRule type="expression" dxfId="955" priority="201" stopIfTrue="1">
      <formula>OR($C627=0,$C627=2,$C627=3,$C627=4)</formula>
    </cfRule>
  </conditionalFormatting>
  <conditionalFormatting sqref="U627:V628">
    <cfRule type="expression" dxfId="954" priority="202" stopIfTrue="1">
      <formula>$C627=1</formula>
    </cfRule>
    <cfRule type="expression" dxfId="953" priority="203" stopIfTrue="1">
      <formula>OR($C627=0,$C627=2,$C627=3,$C627=4)</formula>
    </cfRule>
    <cfRule type="expression" dxfId="952" priority="204" stopIfTrue="1">
      <formula>AND(TIPOORCAMENTO="Licitado",$C627&lt;&gt;"L",$C627&lt;&gt;-1)</formula>
    </cfRule>
  </conditionalFormatting>
  <conditionalFormatting sqref="P627:Q628 S627:T628 Y627:Y628 AG627:AH628">
    <cfRule type="expression" dxfId="951" priority="205" stopIfTrue="1">
      <formula>$C627=1</formula>
    </cfRule>
    <cfRule type="expression" dxfId="950" priority="206" stopIfTrue="1">
      <formula>OR($C627=0,$C627=2,$C627=3,$C627=4)</formula>
    </cfRule>
  </conditionalFormatting>
  <conditionalFormatting sqref="AM627:AN628">
    <cfRule type="expression" dxfId="949" priority="207" stopIfTrue="1">
      <formula>TIPOORCAMENTO="PROPOSTO"</formula>
    </cfRule>
    <cfRule type="expression" dxfId="948" priority="208" stopIfTrue="1">
      <formula>$C627=1</formula>
    </cfRule>
    <cfRule type="expression" dxfId="947" priority="209" stopIfTrue="1">
      <formula>OR(AND(ISNUMBER($C627),$C627=0),$C627=2,$C627=3,$C627=4)</formula>
    </cfRule>
  </conditionalFormatting>
  <conditionalFormatting sqref="M611:M612">
    <cfRule type="cellIs" dxfId="946" priority="166" stopIfTrue="1" operator="notEqual">
      <formula>$N611</formula>
    </cfRule>
  </conditionalFormatting>
  <conditionalFormatting sqref="N611:O612 R611:R612 W611:X612">
    <cfRule type="expression" dxfId="945" priority="167" stopIfTrue="1">
      <formula>$C611=1</formula>
    </cfRule>
    <cfRule type="expression" dxfId="944" priority="168" stopIfTrue="1">
      <formula>OR($C611=0,$C611=2,$C611=3,$C611=4)</formula>
    </cfRule>
  </conditionalFormatting>
  <conditionalFormatting sqref="U611:V612">
    <cfRule type="expression" dxfId="943" priority="169" stopIfTrue="1">
      <formula>$C611=1</formula>
    </cfRule>
    <cfRule type="expression" dxfId="942" priority="170" stopIfTrue="1">
      <formula>OR($C611=0,$C611=2,$C611=3,$C611=4)</formula>
    </cfRule>
    <cfRule type="expression" dxfId="941" priority="171" stopIfTrue="1">
      <formula>AND(TIPOORCAMENTO="Licitado",$C611&lt;&gt;"L",$C611&lt;&gt;-1)</formula>
    </cfRule>
  </conditionalFormatting>
  <conditionalFormatting sqref="P611:Q612 S611:T612 Y611:Y612 AG611:AH612">
    <cfRule type="expression" dxfId="940" priority="172" stopIfTrue="1">
      <formula>$C611=1</formula>
    </cfRule>
    <cfRule type="expression" dxfId="939" priority="173" stopIfTrue="1">
      <formula>OR($C611=0,$C611=2,$C611=3,$C611=4)</formula>
    </cfRule>
  </conditionalFormatting>
  <conditionalFormatting sqref="AM611:AN612">
    <cfRule type="expression" dxfId="938" priority="174" stopIfTrue="1">
      <formula>TIPOORCAMENTO="PROPOSTO"</formula>
    </cfRule>
    <cfRule type="expression" dxfId="937" priority="175" stopIfTrue="1">
      <formula>$C611=1</formula>
    </cfRule>
    <cfRule type="expression" dxfId="936" priority="176" stopIfTrue="1">
      <formula>OR(AND(ISNUMBER($C611),$C611=0),$C611=2,$C611=3,$C611=4)</formula>
    </cfRule>
  </conditionalFormatting>
  <conditionalFormatting sqref="M685">
    <cfRule type="cellIs" dxfId="935" priority="122" stopIfTrue="1" operator="notEqual">
      <formula>$N685</formula>
    </cfRule>
  </conditionalFormatting>
  <conditionalFormatting sqref="N685:O685 R685 W685:X685">
    <cfRule type="expression" dxfId="934" priority="123" stopIfTrue="1">
      <formula>$C685=1</formula>
    </cfRule>
    <cfRule type="expression" dxfId="933" priority="124" stopIfTrue="1">
      <formula>OR($C685=0,$C685=2,$C685=3,$C685=4)</formula>
    </cfRule>
  </conditionalFormatting>
  <conditionalFormatting sqref="U685:V685">
    <cfRule type="expression" dxfId="932" priority="125" stopIfTrue="1">
      <formula>$C685=1</formula>
    </cfRule>
    <cfRule type="expression" dxfId="931" priority="126" stopIfTrue="1">
      <formula>OR($C685=0,$C685=2,$C685=3,$C685=4)</formula>
    </cfRule>
    <cfRule type="expression" dxfId="930" priority="127" stopIfTrue="1">
      <formula>AND(TIPOORCAMENTO="Licitado",$C685&lt;&gt;"L",$C685&lt;&gt;-1)</formula>
    </cfRule>
  </conditionalFormatting>
  <conditionalFormatting sqref="P685:Q685 S685:T685 Y685 AG685:AH685">
    <cfRule type="expression" dxfId="929" priority="128" stopIfTrue="1">
      <formula>$C685=1</formula>
    </cfRule>
    <cfRule type="expression" dxfId="928" priority="129" stopIfTrue="1">
      <formula>OR($C685=0,$C685=2,$C685=3,$C685=4)</formula>
    </cfRule>
  </conditionalFormatting>
  <conditionalFormatting sqref="AM685:AN685">
    <cfRule type="expression" dxfId="927" priority="130" stopIfTrue="1">
      <formula>TIPOORCAMENTO="PROPOSTO"</formula>
    </cfRule>
    <cfRule type="expression" dxfId="926" priority="131" stopIfTrue="1">
      <formula>$C685=1</formula>
    </cfRule>
    <cfRule type="expression" dxfId="925" priority="132" stopIfTrue="1">
      <formula>OR(AND(ISNUMBER($C685),$C685=0),$C685=2,$C685=3,$C685=4)</formula>
    </cfRule>
  </conditionalFormatting>
  <conditionalFormatting sqref="M686">
    <cfRule type="cellIs" dxfId="924" priority="89" stopIfTrue="1" operator="notEqual">
      <formula>$N686</formula>
    </cfRule>
  </conditionalFormatting>
  <conditionalFormatting sqref="N686:O686 R686 W686:X686">
    <cfRule type="expression" dxfId="923" priority="90" stopIfTrue="1">
      <formula>$C686=1</formula>
    </cfRule>
    <cfRule type="expression" dxfId="922" priority="91" stopIfTrue="1">
      <formula>OR($C686=0,$C686=2,$C686=3,$C686=4)</formula>
    </cfRule>
  </conditionalFormatting>
  <conditionalFormatting sqref="U686:V686">
    <cfRule type="expression" dxfId="921" priority="92" stopIfTrue="1">
      <formula>$C686=1</formula>
    </cfRule>
    <cfRule type="expression" dxfId="920" priority="93" stopIfTrue="1">
      <formula>OR($C686=0,$C686=2,$C686=3,$C686=4)</formula>
    </cfRule>
    <cfRule type="expression" dxfId="919" priority="94" stopIfTrue="1">
      <formula>AND(TIPOORCAMENTO="Licitado",$C686&lt;&gt;"L",$C686&lt;&gt;-1)</formula>
    </cfRule>
  </conditionalFormatting>
  <conditionalFormatting sqref="P686:Q686 S686:T686 Y686 AG686:AH686">
    <cfRule type="expression" dxfId="918" priority="95" stopIfTrue="1">
      <formula>$C686=1</formula>
    </cfRule>
    <cfRule type="expression" dxfId="917" priority="96" stopIfTrue="1">
      <formula>OR($C686=0,$C686=2,$C686=3,$C686=4)</formula>
    </cfRule>
  </conditionalFormatting>
  <conditionalFormatting sqref="AM686:AN686">
    <cfRule type="expression" dxfId="916" priority="97" stopIfTrue="1">
      <formula>TIPOORCAMENTO="PROPOSTO"</formula>
    </cfRule>
    <cfRule type="expression" dxfId="915" priority="98" stopIfTrue="1">
      <formula>$C686=1</formula>
    </cfRule>
    <cfRule type="expression" dxfId="914" priority="99" stopIfTrue="1">
      <formula>OR(AND(ISNUMBER($C686),$C686=0),$C686=2,$C686=3,$C686=4)</formula>
    </cfRule>
  </conditionalFormatting>
  <conditionalFormatting sqref="M687">
    <cfRule type="cellIs" dxfId="913" priority="56" stopIfTrue="1" operator="notEqual">
      <formula>$N687</formula>
    </cfRule>
  </conditionalFormatting>
  <conditionalFormatting sqref="N687:O687 R687 W687:X687">
    <cfRule type="expression" dxfId="912" priority="57" stopIfTrue="1">
      <formula>$C687=1</formula>
    </cfRule>
    <cfRule type="expression" dxfId="911" priority="58" stopIfTrue="1">
      <formula>OR($C687=0,$C687=2,$C687=3,$C687=4)</formula>
    </cfRule>
  </conditionalFormatting>
  <conditionalFormatting sqref="U687:V687">
    <cfRule type="expression" dxfId="910" priority="59" stopIfTrue="1">
      <formula>$C687=1</formula>
    </cfRule>
    <cfRule type="expression" dxfId="909" priority="60" stopIfTrue="1">
      <formula>OR($C687=0,$C687=2,$C687=3,$C687=4)</formula>
    </cfRule>
    <cfRule type="expression" dxfId="908" priority="61" stopIfTrue="1">
      <formula>AND(TIPOORCAMENTO="Licitado",$C687&lt;&gt;"L",$C687&lt;&gt;-1)</formula>
    </cfRule>
  </conditionalFormatting>
  <conditionalFormatting sqref="P687:Q687 S687:T687 Y687 AG687:AH687">
    <cfRule type="expression" dxfId="907" priority="62" stopIfTrue="1">
      <formula>$C687=1</formula>
    </cfRule>
    <cfRule type="expression" dxfId="906" priority="63" stopIfTrue="1">
      <formula>OR($C687=0,$C687=2,$C687=3,$C687=4)</formula>
    </cfRule>
  </conditionalFormatting>
  <conditionalFormatting sqref="AM687:AN687">
    <cfRule type="expression" dxfId="905" priority="64" stopIfTrue="1">
      <formula>TIPOORCAMENTO="PROPOSTO"</formula>
    </cfRule>
    <cfRule type="expression" dxfId="904" priority="65" stopIfTrue="1">
      <formula>$C687=1</formula>
    </cfRule>
    <cfRule type="expression" dxfId="903" priority="66" stopIfTrue="1">
      <formula>OR(AND(ISNUMBER($C687),$C687=0),$C687=2,$C687=3,$C687=4)</formula>
    </cfRule>
  </conditionalFormatting>
  <conditionalFormatting sqref="M719:M720">
    <cfRule type="cellIs" dxfId="902" priority="34" stopIfTrue="1" operator="notEqual">
      <formula>$N719</formula>
    </cfRule>
  </conditionalFormatting>
  <conditionalFormatting sqref="N719:O720 R719:R720 W719:X720">
    <cfRule type="expression" dxfId="901" priority="35" stopIfTrue="1">
      <formula>$C719=1</formula>
    </cfRule>
    <cfRule type="expression" dxfId="900" priority="36" stopIfTrue="1">
      <formula>OR($C719=0,$C719=2,$C719=3,$C719=4)</formula>
    </cfRule>
  </conditionalFormatting>
  <conditionalFormatting sqref="U719:V720">
    <cfRule type="expression" dxfId="899" priority="37" stopIfTrue="1">
      <formula>$C719=1</formula>
    </cfRule>
    <cfRule type="expression" dxfId="898" priority="38" stopIfTrue="1">
      <formula>OR($C719=0,$C719=2,$C719=3,$C719=4)</formula>
    </cfRule>
    <cfRule type="expression" dxfId="897" priority="39" stopIfTrue="1">
      <formula>AND(TIPOORCAMENTO="Licitado",$C719&lt;&gt;"L",$C719&lt;&gt;-1)</formula>
    </cfRule>
  </conditionalFormatting>
  <conditionalFormatting sqref="P719:Q720 S719:T720 Y719:Y720 AG719:AH720">
    <cfRule type="expression" dxfId="896" priority="40" stopIfTrue="1">
      <formula>$C719=1</formula>
    </cfRule>
    <cfRule type="expression" dxfId="895" priority="41" stopIfTrue="1">
      <formula>OR($C719=0,$C719=2,$C719=3,$C719=4)</formula>
    </cfRule>
  </conditionalFormatting>
  <conditionalFormatting sqref="AM719:AN720">
    <cfRule type="expression" dxfId="894" priority="42" stopIfTrue="1">
      <formula>TIPOORCAMENTO="PROPOSTO"</formula>
    </cfRule>
    <cfRule type="expression" dxfId="893" priority="43" stopIfTrue="1">
      <formula>$C719=1</formula>
    </cfRule>
    <cfRule type="expression" dxfId="892" priority="44" stopIfTrue="1">
      <formula>OR(AND(ISNUMBER($C719),$C719=0),$C719=2,$C719=3,$C719=4)</formula>
    </cfRule>
  </conditionalFormatting>
  <conditionalFormatting sqref="M703:M704">
    <cfRule type="cellIs" dxfId="891" priority="1" stopIfTrue="1" operator="notEqual">
      <formula>$N703</formula>
    </cfRule>
  </conditionalFormatting>
  <conditionalFormatting sqref="N703:O704 R703:R704 W703:X704">
    <cfRule type="expression" dxfId="890" priority="2" stopIfTrue="1">
      <formula>$C703=1</formula>
    </cfRule>
    <cfRule type="expression" dxfId="889" priority="3" stopIfTrue="1">
      <formula>OR($C703=0,$C703=2,$C703=3,$C703=4)</formula>
    </cfRule>
  </conditionalFormatting>
  <conditionalFormatting sqref="U703:V704">
    <cfRule type="expression" dxfId="888" priority="4" stopIfTrue="1">
      <formula>$C703=1</formula>
    </cfRule>
    <cfRule type="expression" dxfId="887" priority="5" stopIfTrue="1">
      <formula>OR($C703=0,$C703=2,$C703=3,$C703=4)</formula>
    </cfRule>
    <cfRule type="expression" dxfId="886" priority="6" stopIfTrue="1">
      <formula>AND(TIPOORCAMENTO="Licitado",$C703&lt;&gt;"L",$C703&lt;&gt;-1)</formula>
    </cfRule>
  </conditionalFormatting>
  <conditionalFormatting sqref="P703:Q704 S703:T704 Y703:Y704 AG703:AH704">
    <cfRule type="expression" dxfId="885" priority="7" stopIfTrue="1">
      <formula>$C703=1</formula>
    </cfRule>
    <cfRule type="expression" dxfId="884" priority="8" stopIfTrue="1">
      <formula>OR($C703=0,$C703=2,$C703=3,$C703=4)</formula>
    </cfRule>
  </conditionalFormatting>
  <conditionalFormatting sqref="AM703:AN704">
    <cfRule type="expression" dxfId="883" priority="9" stopIfTrue="1">
      <formula>TIPOORCAMENTO="PROPOSTO"</formula>
    </cfRule>
    <cfRule type="expression" dxfId="882" priority="10" stopIfTrue="1">
      <formula>$C703=1</formula>
    </cfRule>
    <cfRule type="expression" dxfId="881" priority="11" stopIfTrue="1">
      <formula>OR(AND(ISNUMBER($C703),$C703=0),$C703=2,$C703=3,$C703=4)</formula>
    </cfRule>
  </conditionalFormatting>
  <dataValidations count="7">
    <dataValidation type="decimal" operator="greaterThan" allowBlank="1" showErrorMessage="1" error="Apenas números decimais maiores que zero." sqref="U14 AL14 AJ14 AJ16:AJ726 AL16:AL726 U16:U726">
      <formula1>0</formula1>
      <formula2>0</formula2>
    </dataValidation>
    <dataValidation type="list" allowBlank="1" sqref="P14 P16:P726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726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726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726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726"/>
    <dataValidation allowBlank="1" showInputMessage="1" showErrorMessage="1" prompt="Para Orçamento Proposto, o Preço Unitário é resultado do produto do Custo Unitário pelo BDI._x000a_Para Orçamento Licitado, deve ser preenchido na Coluna AL." sqref="W14 W16:W726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CM65995"/>
  <sheetViews>
    <sheetView showGridLines="0" zoomScale="85" zoomScaleNormal="85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I349" sqref="I349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34" width="11.7109375" customWidth="1"/>
    <col min="35" max="35" width="0.140625" customWidth="1"/>
    <col min="36" max="45" width="9.140625" customWidth="1"/>
    <col min="46" max="53" width="9.140625" hidden="1" customWidth="1"/>
    <col min="54" max="64" width="9.140625" customWidth="1"/>
    <col min="65" max="72" width="9.140625" hidden="1" customWidth="1"/>
    <col min="73" max="83" width="9.140625" customWidth="1"/>
    <col min="84" max="91" width="9.140625" hidden="1" customWidth="1"/>
    <col min="92" max="92" width="1.7109375" customWidth="1"/>
  </cols>
  <sheetData>
    <row r="1" spans="1:91" ht="15.75" customHeight="1" x14ac:dyDescent="0.2">
      <c r="F1" s="625" t="str">
        <f>IF(ACOMPANHAMENTO="BM","MEMÓRIA DE CÁLCULO","PLQ - PLANILHA DE LEVANTAMENTO DE QUANTIDADES")</f>
        <v>PLQ - PLANILHA DE LEVANTAMENTO DE QUANTIDADES</v>
      </c>
      <c r="G1" s="625"/>
      <c r="H1" s="625"/>
      <c r="I1" s="147"/>
      <c r="K1" s="147"/>
      <c r="L1" s="147"/>
      <c r="M1" s="148"/>
      <c r="N1" s="147"/>
      <c r="P1" s="147"/>
      <c r="Q1" s="604" t="s">
        <v>140</v>
      </c>
      <c r="R1" s="604"/>
      <c r="Y1" s="604" t="s">
        <v>140</v>
      </c>
      <c r="Z1" s="604"/>
      <c r="AG1" s="604" t="s">
        <v>140</v>
      </c>
      <c r="AH1" s="604"/>
    </row>
    <row r="2" spans="1:91" ht="15" customHeight="1" x14ac:dyDescent="0.2">
      <c r="F2" s="626" t="str">
        <f>IF(ACOMPANHAMENTO="BM","","Memória de Cálculo")&amp;" - "&amp;import.recurso</f>
        <v>Memória de Cálculo - OGU</v>
      </c>
      <c r="G2" s="626"/>
      <c r="H2" s="626"/>
      <c r="I2" s="149"/>
      <c r="K2" s="149"/>
      <c r="L2" s="149"/>
      <c r="M2" s="150"/>
      <c r="N2" s="149"/>
      <c r="P2" s="149"/>
      <c r="Q2" s="605" t="s">
        <v>143</v>
      </c>
      <c r="R2" s="605"/>
      <c r="Y2" s="605" t="s">
        <v>143</v>
      </c>
      <c r="Z2" s="605"/>
      <c r="AG2" s="605" t="s">
        <v>143</v>
      </c>
      <c r="AH2" s="605"/>
    </row>
    <row r="3" spans="1:91" ht="12.75" customHeight="1" x14ac:dyDescent="0.2">
      <c r="AJ3" t="e">
        <f ca="1">ROUND(ROUND(OFFSET(#REF!,0,AJ$13),15-13*ORÇAMENTO!$AF$7)*OFFSET(ORÇAMENTO!$W$15,ROW(#REF!)-ROW(AJ$15),0),15-13*ORÇAMENTO!$AF$11)</f>
        <v>#REF!</v>
      </c>
      <c r="AK3" t="e">
        <f ca="1">ROUND(ROUND(OFFSET(#REF!,0,AK$13),15-13*ORÇAMENTO!$AF$7)*OFFSET(ORÇAMENTO!$W$15,ROW(#REF!)-ROW(AK$15),0),15-13*ORÇAMENTO!$AF$11)</f>
        <v>#REF!</v>
      </c>
      <c r="AL3" t="e">
        <f ca="1">ROUND(ROUND(OFFSET(#REF!,0,AL$13),15-13*ORÇAMENTO!$AF$7)*OFFSET(ORÇAMENTO!$W$15,ROW(#REF!)-ROW(AL$15),0),15-13*ORÇAMENTO!$AF$11)</f>
        <v>#REF!</v>
      </c>
      <c r="AM3" s="575" t="e">
        <f ca="1">SUM(AJ3:AL3)-SUM(#REF!)</f>
        <v>#REF!</v>
      </c>
      <c r="AT3" t="e">
        <f ca="1">ROUND(ROUND(OFFSET(#REF!,0,AT$13),15-13*ORÇAMENTO!$AF$7)*OFFSET(ORÇAMENTO!$W$15,ROW(#REF!)-ROW(AT$15),0),15-13*ORÇAMENTO!$AF$11)</f>
        <v>#REF!</v>
      </c>
      <c r="AU3" s="575" t="e">
        <f ca="1">SUM(AR3:AT3)-SUM(#REF!)</f>
        <v>#REF!</v>
      </c>
    </row>
    <row r="4" spans="1:91" ht="12.75" customHeight="1" x14ac:dyDescent="0.2">
      <c r="E4" s="600" t="s">
        <v>202</v>
      </c>
      <c r="F4" s="600"/>
      <c r="G4" s="600" t="s">
        <v>441</v>
      </c>
      <c r="H4" s="600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600" t="s">
        <v>146</v>
      </c>
      <c r="T4" s="600"/>
      <c r="U4" s="600" t="s">
        <v>147</v>
      </c>
      <c r="V4" s="600"/>
      <c r="W4" s="600"/>
      <c r="X4" s="600"/>
      <c r="Y4" s="600"/>
      <c r="Z4" s="600"/>
      <c r="AA4" s="600" t="s">
        <v>146</v>
      </c>
      <c r="AB4" s="600"/>
      <c r="AC4" s="600" t="s">
        <v>147</v>
      </c>
      <c r="AD4" s="600"/>
      <c r="AE4" s="600"/>
      <c r="AF4" s="600"/>
      <c r="AG4" s="600"/>
      <c r="AH4" s="600"/>
    </row>
    <row r="5" spans="1:91" ht="12.75" customHeight="1" x14ac:dyDescent="0.2">
      <c r="E5" s="603" t="str">
        <f>Import.Apelido</f>
        <v>Construção do CMEI Cleovanize Totti</v>
      </c>
      <c r="F5" s="603"/>
      <c r="G5" s="603" t="str" cm="1">
        <f t="array" ref="G5">Import.TransfereGOV</f>
        <v>962693</v>
      </c>
      <c r="H5" s="603"/>
      <c r="I5" s="92" t="str">
        <f>Import.CR</f>
        <v>1095468-12</v>
      </c>
      <c r="K5" s="154" t="str">
        <f>Import.Proponente</f>
        <v>PREFEITURA DE DOIS VIZINHOS - PR</v>
      </c>
      <c r="L5" s="155"/>
      <c r="M5" s="102"/>
      <c r="N5" s="155"/>
      <c r="O5" s="155"/>
      <c r="P5" s="155"/>
      <c r="Q5" s="155"/>
      <c r="R5" s="93"/>
      <c r="S5" s="603" t="str">
        <f>Import.CR</f>
        <v>1095468-12</v>
      </c>
      <c r="T5" s="603"/>
      <c r="U5" s="603" t="str">
        <f>Import.Proponente</f>
        <v>PREFEITURA DE DOIS VIZINHOS - PR</v>
      </c>
      <c r="V5" s="603"/>
      <c r="W5" s="603"/>
      <c r="X5" s="603"/>
      <c r="Y5" s="603"/>
      <c r="Z5" s="603"/>
      <c r="AA5" s="603" t="str">
        <f>Import.CR</f>
        <v>1095468-12</v>
      </c>
      <c r="AB5" s="603"/>
      <c r="AC5" s="603" t="str">
        <f>Import.Proponente</f>
        <v>PREFEITURA DE DOIS VIZINHOS - PR</v>
      </c>
      <c r="AD5" s="603"/>
      <c r="AE5" s="603"/>
      <c r="AF5" s="603"/>
      <c r="AG5" s="603"/>
      <c r="AH5" s="603"/>
    </row>
    <row r="6" spans="1:91" ht="12.75" customHeight="1" x14ac:dyDescent="0.2">
      <c r="T6" s="575" t="e">
        <f ca="1">AM3</f>
        <v>#REF!</v>
      </c>
      <c r="AB6" s="575">
        <f>BC3</f>
        <v>0</v>
      </c>
      <c r="AJ6" t="s">
        <v>251</v>
      </c>
      <c r="BC6" t="s">
        <v>252</v>
      </c>
      <c r="BV6" t="s">
        <v>253</v>
      </c>
    </row>
    <row r="7" spans="1:91" ht="12.75" hidden="1" customHeight="1" x14ac:dyDescent="0.2"/>
    <row r="8" spans="1:91" ht="12.75" hidden="1" customHeight="1" x14ac:dyDescent="0.2"/>
    <row r="9" spans="1:91" ht="12.75" hidden="1" customHeight="1" x14ac:dyDescent="0.2"/>
    <row r="10" spans="1:91" ht="12.75" hidden="1" customHeight="1" x14ac:dyDescent="0.2"/>
    <row r="11" spans="1:91" ht="12.75" hidden="1" customHeight="1" x14ac:dyDescent="0.2"/>
    <row r="12" spans="1:91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 ca="1">IF(ACOMPANHAMENTO="BM",0,COUNTIF(M15:M727,0))</f>
        <v>0</v>
      </c>
      <c r="N12" s="158" t="s">
        <v>257</v>
      </c>
      <c r="O12" s="162"/>
      <c r="P12" s="159" t="s">
        <v>255</v>
      </c>
      <c r="Q12" s="543" t="s">
        <v>1103</v>
      </c>
      <c r="R12" s="162"/>
      <c r="S12" s="162"/>
      <c r="T12" s="162"/>
      <c r="U12" s="162"/>
      <c r="V12" s="162"/>
      <c r="W12" s="162"/>
      <c r="X12" s="162"/>
      <c r="Y12" s="162"/>
      <c r="Z12" s="163"/>
      <c r="AA12" s="162"/>
      <c r="AB12" s="162"/>
      <c r="AC12" s="162"/>
      <c r="AD12" s="162"/>
      <c r="AE12" s="162"/>
      <c r="AF12" s="162"/>
      <c r="AG12" s="162"/>
      <c r="AH12" s="163"/>
      <c r="AI12" s="159" t="s">
        <v>255</v>
      </c>
      <c r="AJ12" s="164" t="str">
        <f ca="1">OFFSET($P$12,0,AJ$13)</f>
        <v>CRECHE  tipo I - de Doiz Vizinhos</v>
      </c>
      <c r="AK12" s="165">
        <f t="shared" ref="AK12:BA12" ca="1" si="0">OFFSET($P$12,0,AK$13)</f>
        <v>0</v>
      </c>
      <c r="AL12" s="165">
        <f t="shared" ca="1" si="0"/>
        <v>0</v>
      </c>
      <c r="AM12" s="165">
        <f t="shared" ca="1" si="0"/>
        <v>0</v>
      </c>
      <c r="AN12" s="165">
        <f t="shared" ca="1" si="0"/>
        <v>0</v>
      </c>
      <c r="AO12" s="165">
        <f t="shared" ca="1" si="0"/>
        <v>0</v>
      </c>
      <c r="AP12" s="165">
        <f t="shared" ca="1" si="0"/>
        <v>0</v>
      </c>
      <c r="AQ12" s="165">
        <f t="shared" ca="1" si="0"/>
        <v>0</v>
      </c>
      <c r="AR12" s="165">
        <f t="shared" ca="1" si="0"/>
        <v>0</v>
      </c>
      <c r="AS12" s="166">
        <f t="shared" ca="1" si="0"/>
        <v>0</v>
      </c>
      <c r="AT12" s="165">
        <f t="shared" ca="1" si="0"/>
        <v>0</v>
      </c>
      <c r="AU12" s="165">
        <f t="shared" ca="1" si="0"/>
        <v>0</v>
      </c>
      <c r="AV12" s="165">
        <f t="shared" ca="1" si="0"/>
        <v>0</v>
      </c>
      <c r="AW12" s="165">
        <f t="shared" ca="1" si="0"/>
        <v>0</v>
      </c>
      <c r="AX12" s="165">
        <f t="shared" ca="1" si="0"/>
        <v>0</v>
      </c>
      <c r="AY12" s="165">
        <f t="shared" ca="1" si="0"/>
        <v>0</v>
      </c>
      <c r="AZ12" s="165">
        <f t="shared" ca="1" si="0"/>
        <v>0</v>
      </c>
      <c r="BA12" s="166">
        <f t="shared" ca="1" si="0"/>
        <v>0</v>
      </c>
      <c r="BC12" s="164" t="str">
        <f ca="1">OFFSET($P$12,0,BC$13)</f>
        <v>CRECHE  tipo I - de Doiz Vizinhos</v>
      </c>
      <c r="BD12" s="165">
        <f t="shared" ref="BD12:BT12" ca="1" si="1">OFFSET($P$12,0,BD$13)</f>
        <v>0</v>
      </c>
      <c r="BE12" s="165">
        <f t="shared" ca="1" si="1"/>
        <v>0</v>
      </c>
      <c r="BF12" s="165">
        <f t="shared" ca="1" si="1"/>
        <v>0</v>
      </c>
      <c r="BG12" s="165">
        <f t="shared" ca="1" si="1"/>
        <v>0</v>
      </c>
      <c r="BH12" s="165">
        <f t="shared" ca="1" si="1"/>
        <v>0</v>
      </c>
      <c r="BI12" s="165">
        <f t="shared" ca="1" si="1"/>
        <v>0</v>
      </c>
      <c r="BJ12" s="165">
        <f t="shared" ca="1" si="1"/>
        <v>0</v>
      </c>
      <c r="BK12" s="165">
        <f t="shared" ca="1" si="1"/>
        <v>0</v>
      </c>
      <c r="BL12" s="166">
        <f t="shared" ca="1" si="1"/>
        <v>0</v>
      </c>
      <c r="BM12" s="165">
        <f t="shared" ca="1" si="1"/>
        <v>0</v>
      </c>
      <c r="BN12" s="165">
        <f t="shared" ca="1" si="1"/>
        <v>0</v>
      </c>
      <c r="BO12" s="165">
        <f t="shared" ca="1" si="1"/>
        <v>0</v>
      </c>
      <c r="BP12" s="165">
        <f t="shared" ca="1" si="1"/>
        <v>0</v>
      </c>
      <c r="BQ12" s="165">
        <f t="shared" ca="1" si="1"/>
        <v>0</v>
      </c>
      <c r="BR12" s="165">
        <f t="shared" ca="1" si="1"/>
        <v>0</v>
      </c>
      <c r="BS12" s="165">
        <f t="shared" ca="1" si="1"/>
        <v>0</v>
      </c>
      <c r="BT12" s="166">
        <f t="shared" ca="1" si="1"/>
        <v>0</v>
      </c>
      <c r="BV12" s="164" t="str">
        <f ca="1">OFFSET($P$12,0,BV$13)</f>
        <v>CRECHE  tipo I - de Doiz Vizinhos</v>
      </c>
      <c r="BW12" s="165">
        <f t="shared" ref="BW12:CM12" ca="1" si="2">OFFSET($P$12,0,BW$13)</f>
        <v>0</v>
      </c>
      <c r="BX12" s="165">
        <f t="shared" ca="1" si="2"/>
        <v>0</v>
      </c>
      <c r="BY12" s="165">
        <f t="shared" ca="1" si="2"/>
        <v>0</v>
      </c>
      <c r="BZ12" s="165">
        <f t="shared" ca="1" si="2"/>
        <v>0</v>
      </c>
      <c r="CA12" s="165">
        <f t="shared" ca="1" si="2"/>
        <v>0</v>
      </c>
      <c r="CB12" s="165">
        <f t="shared" ca="1" si="2"/>
        <v>0</v>
      </c>
      <c r="CC12" s="165">
        <f t="shared" ca="1" si="2"/>
        <v>0</v>
      </c>
      <c r="CD12" s="165">
        <f t="shared" ca="1" si="2"/>
        <v>0</v>
      </c>
      <c r="CE12" s="166">
        <f t="shared" ca="1" si="2"/>
        <v>0</v>
      </c>
      <c r="CF12" s="165">
        <f t="shared" ca="1" si="2"/>
        <v>0</v>
      </c>
      <c r="CG12" s="165">
        <f t="shared" ca="1" si="2"/>
        <v>0</v>
      </c>
      <c r="CH12" s="165">
        <f t="shared" ca="1" si="2"/>
        <v>0</v>
      </c>
      <c r="CI12" s="165">
        <f t="shared" ca="1" si="2"/>
        <v>0</v>
      </c>
      <c r="CJ12" s="165">
        <f t="shared" ca="1" si="2"/>
        <v>0</v>
      </c>
      <c r="CK12" s="165">
        <f t="shared" ca="1" si="2"/>
        <v>0</v>
      </c>
      <c r="CL12" s="165">
        <f t="shared" ca="1" si="2"/>
        <v>0</v>
      </c>
      <c r="CM12" s="166">
        <f t="shared" ca="1" si="2"/>
        <v>0</v>
      </c>
    </row>
    <row r="13" spans="1:91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AH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A13" s="167">
        <f t="shared" ca="1" si="3"/>
        <v>11</v>
      </c>
      <c r="AB13" s="167">
        <f t="shared" ca="1" si="3"/>
        <v>12</v>
      </c>
      <c r="AC13" s="167">
        <f t="shared" ca="1" si="3"/>
        <v>13</v>
      </c>
      <c r="AD13" s="167">
        <f t="shared" ca="1" si="3"/>
        <v>14</v>
      </c>
      <c r="AE13" s="167">
        <f t="shared" ca="1" si="3"/>
        <v>15</v>
      </c>
      <c r="AF13" s="167">
        <f t="shared" ca="1" si="3"/>
        <v>16</v>
      </c>
      <c r="AG13" s="167">
        <f t="shared" ca="1" si="3"/>
        <v>17</v>
      </c>
      <c r="AH13" s="169">
        <f t="shared" ca="1" si="3"/>
        <v>18</v>
      </c>
      <c r="AJ13" s="115">
        <f t="shared" ref="AJ13:CM13" ca="1" si="4">OFFSET(AJ13,0,-1)+1</f>
        <v>1</v>
      </c>
      <c r="AK13" s="170">
        <f t="shared" ca="1" si="4"/>
        <v>2</v>
      </c>
      <c r="AL13" s="170">
        <f t="shared" ca="1" si="4"/>
        <v>3</v>
      </c>
      <c r="AM13" s="170">
        <f t="shared" ca="1" si="4"/>
        <v>4</v>
      </c>
      <c r="AN13" s="170">
        <f t="shared" ca="1" si="4"/>
        <v>5</v>
      </c>
      <c r="AO13" s="170">
        <f t="shared" ca="1" si="4"/>
        <v>6</v>
      </c>
      <c r="AP13" s="170">
        <f t="shared" ca="1" si="4"/>
        <v>7</v>
      </c>
      <c r="AQ13" s="170">
        <f t="shared" ca="1" si="4"/>
        <v>8</v>
      </c>
      <c r="AR13" s="170">
        <f t="shared" ca="1" si="4"/>
        <v>9</v>
      </c>
      <c r="AS13" s="171">
        <f t="shared" ca="1" si="4"/>
        <v>10</v>
      </c>
      <c r="AT13" s="170">
        <f t="shared" ca="1" si="4"/>
        <v>11</v>
      </c>
      <c r="AU13" s="170">
        <f t="shared" ca="1" si="4"/>
        <v>12</v>
      </c>
      <c r="AV13" s="170">
        <f t="shared" ca="1" si="4"/>
        <v>13</v>
      </c>
      <c r="AW13" s="170">
        <f t="shared" ca="1" si="4"/>
        <v>14</v>
      </c>
      <c r="AX13" s="170">
        <f t="shared" ca="1" si="4"/>
        <v>15</v>
      </c>
      <c r="AY13" s="170">
        <f t="shared" ca="1" si="4"/>
        <v>16</v>
      </c>
      <c r="AZ13" s="170">
        <f t="shared" ca="1" si="4"/>
        <v>17</v>
      </c>
      <c r="BA13" s="171">
        <f t="shared" ca="1" si="4"/>
        <v>18</v>
      </c>
      <c r="BC13" s="115">
        <f t="shared" ca="1" si="4"/>
        <v>1</v>
      </c>
      <c r="BD13" s="170">
        <f t="shared" ca="1" si="4"/>
        <v>2</v>
      </c>
      <c r="BE13" s="170">
        <f t="shared" ca="1" si="4"/>
        <v>3</v>
      </c>
      <c r="BF13" s="170">
        <f t="shared" ca="1" si="4"/>
        <v>4</v>
      </c>
      <c r="BG13" s="170">
        <f t="shared" ca="1" si="4"/>
        <v>5</v>
      </c>
      <c r="BH13" s="170">
        <f t="shared" ca="1" si="4"/>
        <v>6</v>
      </c>
      <c r="BI13" s="170">
        <f t="shared" ca="1" si="4"/>
        <v>7</v>
      </c>
      <c r="BJ13" s="170">
        <f t="shared" ca="1" si="4"/>
        <v>8</v>
      </c>
      <c r="BK13" s="170">
        <f t="shared" ca="1" si="4"/>
        <v>9</v>
      </c>
      <c r="BL13" s="171">
        <f t="shared" ca="1" si="4"/>
        <v>10</v>
      </c>
      <c r="BM13" s="170">
        <f t="shared" ca="1" si="4"/>
        <v>11</v>
      </c>
      <c r="BN13" s="170">
        <f t="shared" ca="1" si="4"/>
        <v>12</v>
      </c>
      <c r="BO13" s="170">
        <f t="shared" ca="1" si="4"/>
        <v>13</v>
      </c>
      <c r="BP13" s="170">
        <f t="shared" ca="1" si="4"/>
        <v>14</v>
      </c>
      <c r="BQ13" s="170">
        <f t="shared" ca="1" si="4"/>
        <v>15</v>
      </c>
      <c r="BR13" s="170">
        <f t="shared" ca="1" si="4"/>
        <v>16</v>
      </c>
      <c r="BS13" s="170">
        <f t="shared" ca="1" si="4"/>
        <v>17</v>
      </c>
      <c r="BT13" s="171">
        <f t="shared" ca="1" si="4"/>
        <v>18</v>
      </c>
      <c r="BV13" s="115">
        <f t="shared" ca="1" si="4"/>
        <v>1</v>
      </c>
      <c r="BW13" s="170">
        <f t="shared" ca="1" si="4"/>
        <v>2</v>
      </c>
      <c r="BX13" s="170">
        <f t="shared" ca="1" si="4"/>
        <v>3</v>
      </c>
      <c r="BY13" s="170">
        <f t="shared" ca="1" si="4"/>
        <v>4</v>
      </c>
      <c r="BZ13" s="170">
        <f t="shared" ca="1" si="4"/>
        <v>5</v>
      </c>
      <c r="CA13" s="170">
        <f t="shared" ca="1" si="4"/>
        <v>6</v>
      </c>
      <c r="CB13" s="170">
        <f t="shared" ca="1" si="4"/>
        <v>7</v>
      </c>
      <c r="CC13" s="170">
        <f t="shared" ca="1" si="4"/>
        <v>8</v>
      </c>
      <c r="CD13" s="170">
        <f t="shared" ca="1" si="4"/>
        <v>9</v>
      </c>
      <c r="CE13" s="171">
        <f t="shared" ca="1" si="4"/>
        <v>10</v>
      </c>
      <c r="CF13" s="170">
        <f t="shared" ca="1" si="4"/>
        <v>11</v>
      </c>
      <c r="CG13" s="170">
        <f t="shared" ca="1" si="4"/>
        <v>12</v>
      </c>
      <c r="CH13" s="170">
        <f t="shared" ca="1" si="4"/>
        <v>13</v>
      </c>
      <c r="CI13" s="170">
        <f t="shared" ca="1" si="4"/>
        <v>14</v>
      </c>
      <c r="CJ13" s="170">
        <f t="shared" ca="1" si="4"/>
        <v>15</v>
      </c>
      <c r="CK13" s="170">
        <f t="shared" ca="1" si="4"/>
        <v>16</v>
      </c>
      <c r="CL13" s="170">
        <f t="shared" ca="1" si="4"/>
        <v>17</v>
      </c>
      <c r="CM13" s="171">
        <f t="shared" ca="1" si="4"/>
        <v>18</v>
      </c>
    </row>
    <row r="14" spans="1:91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(abra o arquivo 'Referência 06-2024.xlsm)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IF($D14&lt;&gt;"Serviço",0,IF(ACOMPANHAMENTO="BM",ROUND(OFFSET(ORÇAMENTO!AJ$15,ROW(H14)-ROW(H$15),0),15-13*ORÇAMENTO!$AF$7),SUMPRODUCT(($Q$12:$AI$12&lt;&gt;"")*ROUND($Q14:$AI14,15-13*ORÇAMENTO!$AF$7))))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A14" s="179"/>
      <c r="AB14" s="179"/>
      <c r="AC14" s="179"/>
      <c r="AD14" s="179"/>
      <c r="AE14" s="179"/>
      <c r="AF14" s="179"/>
      <c r="AG14" s="179"/>
      <c r="AH14" s="180"/>
      <c r="AJ14" s="544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5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L14" s="545">
        <f ca="1">IF(AND($D14="Serviço",AL$12&lt;&gt;0,$H14&gt;0,OR(AUTOEVENTO&lt;&gt;"manual",$M14&lt;&gt;1)),
IF(Import.TipoArredondamento&lt;&gt;"TransfereGOV",
ROUND(OFFSET($P14,0,AL$13),15-13*ORÇAMENTO!$AF$7)/$H14*OFFSET(ORÇAMENTO!$X$15,ROW(AL14)-ROW(AL$15),0),
ROUND(ROUND(OFFSET($P14,0,AL$13),15-13*ORÇAMENTO!$AF$7)*OFFSET(ORÇAMENTO!$W$15,ROW(AL14)-ROW(AL$15),0),15-13*ORÇAMENTO!$AF$11)),0)</f>
        <v>0</v>
      </c>
      <c r="AM14" s="545">
        <f ca="1">IF(AND($D14="Serviço",AM$12&lt;&gt;0,$H14&gt;0,OR(AUTOEVENTO&lt;&gt;"manual",$M14&lt;&gt;1)),
IF(Import.TipoArredondamento&lt;&gt;"TransfereGOV",
ROUND(OFFSET($P14,0,AM$13),15-13*ORÇAMENTO!$AF$7)/$H14*OFFSET(ORÇAMENTO!$X$15,ROW(AM14)-ROW(AM$15),0),
ROUND(ROUND(OFFSET($P14,0,AM$13),15-13*ORÇAMENTO!$AF$7)*OFFSET(ORÇAMENTO!$W$15,ROW(AM14)-ROW(AM$15),0),15-13*ORÇAMENTO!$AF$11)),0)</f>
        <v>0</v>
      </c>
      <c r="AN14" s="545">
        <f ca="1">IF(AND($D14="Serviço",AN$12&lt;&gt;0,$H14&gt;0,OR(AUTOEVENTO&lt;&gt;"manual",$M14&lt;&gt;1)),
IF(Import.TipoArredondamento&lt;&gt;"TransfereGOV",
ROUND(OFFSET($P14,0,AN$13),15-13*ORÇAMENTO!$AF$7)/$H14*OFFSET(ORÇAMENTO!$X$15,ROW(AN14)-ROW(AN$15),0),
ROUND(ROUND(OFFSET($P14,0,AN$13),15-13*ORÇAMENTO!$AF$7)*OFFSET(ORÇAMENTO!$W$15,ROW(AN14)-ROW(AN$15),0),15-13*ORÇAMENTO!$AF$11)),0)</f>
        <v>0</v>
      </c>
      <c r="AO14" s="545">
        <f ca="1">IF(AND($D14="Serviço",AO$12&lt;&gt;0,$H14&gt;0,OR(AUTOEVENTO&lt;&gt;"manual",$M14&lt;&gt;1)),
IF(Import.TipoArredondamento&lt;&gt;"TransfereGOV",
ROUND(OFFSET($P14,0,AO$13),15-13*ORÇAMENTO!$AF$7)/$H14*OFFSET(ORÇAMENTO!$X$15,ROW(AO14)-ROW(AO$15),0),
ROUND(ROUND(OFFSET($P14,0,AO$13),15-13*ORÇAMENTO!$AF$7)*OFFSET(ORÇAMENTO!$W$15,ROW(AO14)-ROW(AO$15),0),15-13*ORÇAMENTO!$AF$11)),0)</f>
        <v>0</v>
      </c>
      <c r="AP14" s="545">
        <f ca="1">IF(AND($D14="Serviço",AP$12&lt;&gt;0,$H14&gt;0,OR(AUTOEVENTO&lt;&gt;"manual",$M14&lt;&gt;1)),
IF(Import.TipoArredondamento&lt;&gt;"TransfereGOV",
ROUND(OFFSET($P14,0,AP$13),15-13*ORÇAMENTO!$AF$7)/$H14*OFFSET(ORÇAMENTO!$X$15,ROW(AP14)-ROW(AP$15),0),
ROUND(ROUND(OFFSET($P14,0,AP$13),15-13*ORÇAMENTO!$AF$7)*OFFSET(ORÇAMENTO!$W$15,ROW(AP14)-ROW(AP$15),0),15-13*ORÇAMENTO!$AF$11)),0)</f>
        <v>0</v>
      </c>
      <c r="AQ14" s="545">
        <f ca="1">IF(AND($D14="Serviço",AQ$12&lt;&gt;0,$H14&gt;0,OR(AUTOEVENTO&lt;&gt;"manual",$M14&lt;&gt;1)),
IF(Import.TipoArredondamento&lt;&gt;"TransfereGOV",
ROUND(OFFSET($P14,0,AQ$13),15-13*ORÇAMENTO!$AF$7)/$H14*OFFSET(ORÇAMENTO!$X$15,ROW(AQ14)-ROW(AQ$15),0),
ROUND(ROUND(OFFSET($P14,0,AQ$13),15-13*ORÇAMENTO!$AF$7)*OFFSET(ORÇAMENTO!$W$15,ROW(AQ14)-ROW(AQ$15),0),15-13*ORÇAMENTO!$AF$11)),0)</f>
        <v>0</v>
      </c>
      <c r="AR14" s="545">
        <f ca="1">IF(AND($D14="Serviço",AR$12&lt;&gt;0,$H14&gt;0,OR(AUTOEVENTO&lt;&gt;"manual",$M14&lt;&gt;1)),
IF(Import.TipoArredondamento&lt;&gt;"TransfereGOV",
ROUND(OFFSET($P14,0,AR$13),15-13*ORÇAMENTO!$AF$7)/$H14*OFFSET(ORÇAMENTO!$X$15,ROW(AR14)-ROW(AR$15),0),
ROUND(ROUND(OFFSET($P14,0,AR$13),15-13*ORÇAMENTO!$AF$7)*OFFSET(ORÇAMENTO!$W$15,ROW(AR14)-ROW(AR$15),0),15-13*ORÇAMENTO!$AF$11)),0)</f>
        <v>0</v>
      </c>
      <c r="AS14" s="546">
        <f ca="1">IF(AND($D14="Serviço",AS$12&lt;&gt;0,$H14&gt;0,OR(AUTOEVENTO&lt;&gt;"manual",$M14&lt;&gt;1)),
IF(Import.TipoArredondamento&lt;&gt;"TransfereGOV",
ROUND(OFFSET($P14,0,AS$13),15-13*ORÇAMENTO!$AF$7)/$H14*OFFSET(ORÇAMENTO!$X$15,ROW(AS14)-ROW(AS$15),0),
ROUND(ROUND(OFFSET($P14,0,AS$13),15-13*ORÇAMENTO!$AF$7)*OFFSET(ORÇAMENTO!$W$15,ROW(AS14)-ROW(AS$15),0),15-13*ORÇAMENTO!$AF$11)),0)</f>
        <v>0</v>
      </c>
      <c r="AT14" s="545">
        <f ca="1">IF(AND($D14="Serviço",AT$12&lt;&gt;0,$H14&gt;0,OR(AUTOEVENTO&lt;&gt;"manual",$M14&lt;&gt;1)),
IF(Import.TipoArredondamento&lt;&gt;"TransfereGOV",
ROUND(OFFSET($P14,0,AT$13),15-13*ORÇAMENTO!$AF$7)/$H14*OFFSET(ORÇAMENTO!$X$15,ROW(AT14)-ROW(AT$15),0),
ROUND(ROUND(OFFSET($P14,0,AT$13),15-13*ORÇAMENTO!$AF$7)*OFFSET(ORÇAMENTO!$W$15,ROW(AT14)-ROW(AT$15),0),15-13*ORÇAMENTO!$AF$11)),0)</f>
        <v>0</v>
      </c>
      <c r="AU14" s="545">
        <f ca="1">IF(AND($D14="Serviço",AU$12&lt;&gt;0,$H14&gt;0,OR(AUTOEVENTO&lt;&gt;"manual",$M14&lt;&gt;1)),
IF(Import.TipoArredondamento&lt;&gt;"TransfereGOV",
ROUND(OFFSET($P14,0,AU$13),15-13*ORÇAMENTO!$AF$7)/$H14*OFFSET(ORÇAMENTO!$X$15,ROW(AU14)-ROW(AU$15),0),
ROUND(ROUND(OFFSET($P14,0,AU$13),15-13*ORÇAMENTO!$AF$7)*OFFSET(ORÇAMENTO!$W$15,ROW(AU14)-ROW(AU$15),0),15-13*ORÇAMENTO!$AF$11)),0)</f>
        <v>0</v>
      </c>
      <c r="AV14" s="545">
        <f ca="1">IF(AND($D14="Serviço",AV$12&lt;&gt;0,$H14&gt;0,OR(AUTOEVENTO&lt;&gt;"manual",$M14&lt;&gt;1)),
IF(Import.TipoArredondamento&lt;&gt;"TransfereGOV",
ROUND(OFFSET($P14,0,AV$13),15-13*ORÇAMENTO!$AF$7)/$H14*OFFSET(ORÇAMENTO!$X$15,ROW(AV14)-ROW(AV$15),0),
ROUND(ROUND(OFFSET($P14,0,AV$13),15-13*ORÇAMENTO!$AF$7)*OFFSET(ORÇAMENTO!$W$15,ROW(AV14)-ROW(AV$15),0),15-13*ORÇAMENTO!$AF$11)),0)</f>
        <v>0</v>
      </c>
      <c r="AW14" s="545">
        <f ca="1">IF(AND($D14="Serviço",AW$12&lt;&gt;0,$H14&gt;0,OR(AUTOEVENTO&lt;&gt;"manual",$M14&lt;&gt;1)),
IF(Import.TipoArredondamento&lt;&gt;"TransfereGOV",
ROUND(OFFSET($P14,0,AW$13),15-13*ORÇAMENTO!$AF$7)/$H14*OFFSET(ORÇAMENTO!$X$15,ROW(AW14)-ROW(AW$15),0),
ROUND(ROUND(OFFSET($P14,0,AW$13),15-13*ORÇAMENTO!$AF$7)*OFFSET(ORÇAMENTO!$W$15,ROW(AW14)-ROW(AW$15),0),15-13*ORÇAMENTO!$AF$11)),0)</f>
        <v>0</v>
      </c>
      <c r="AX14" s="545">
        <f ca="1">IF(AND($D14="Serviço",AX$12&lt;&gt;0,$H14&gt;0,OR(AUTOEVENTO&lt;&gt;"manual",$M14&lt;&gt;1)),
IF(Import.TipoArredondamento&lt;&gt;"TransfereGOV",
ROUND(OFFSET($P14,0,AX$13),15-13*ORÇAMENTO!$AF$7)/$H14*OFFSET(ORÇAMENTO!$X$15,ROW(AX14)-ROW(AX$15),0),
ROUND(ROUND(OFFSET($P14,0,AX$13),15-13*ORÇAMENTO!$AF$7)*OFFSET(ORÇAMENTO!$W$15,ROW(AX14)-ROW(AX$15),0),15-13*ORÇAMENTO!$AF$11)),0)</f>
        <v>0</v>
      </c>
      <c r="AY14" s="545">
        <f ca="1">IF(AND($D14="Serviço",AY$12&lt;&gt;0,$H14&gt;0,OR(AUTOEVENTO&lt;&gt;"manual",$M14&lt;&gt;1)),
IF(Import.TipoArredondamento&lt;&gt;"TransfereGOV",
ROUND(OFFSET($P14,0,AY$13),15-13*ORÇAMENTO!$AF$7)/$H14*OFFSET(ORÇAMENTO!$X$15,ROW(AY14)-ROW(AY$15),0),
ROUND(ROUND(OFFSET($P14,0,AY$13),15-13*ORÇAMENTO!$AF$7)*OFFSET(ORÇAMENTO!$W$15,ROW(AY14)-ROW(AY$15),0),15-13*ORÇAMENTO!$AF$11)),0)</f>
        <v>0</v>
      </c>
      <c r="AZ14" s="545">
        <f ca="1">IF(AND($D14="Serviço",AZ$12&lt;&gt;0,$H14&gt;0,OR(AUTOEVENTO&lt;&gt;"manual",$M14&lt;&gt;1)),
IF(Import.TipoArredondamento&lt;&gt;"TransfereGOV",
ROUND(OFFSET($P14,0,AZ$13),15-13*ORÇAMENTO!$AF$7)/$H14*OFFSET(ORÇAMENTO!$X$15,ROW(AZ14)-ROW(AZ$15),0),
ROUND(ROUND(OFFSET($P14,0,AZ$13),15-13*ORÇAMENTO!$AF$7)*OFFSET(ORÇAMENTO!$W$15,ROW(AZ14)-ROW(AZ$15),0),15-13*ORÇAMENTO!$AF$11)),0)</f>
        <v>0</v>
      </c>
      <c r="BA14" s="546">
        <f ca="1">IF(AND($D14="Serviço",BA$12&lt;&gt;0,$H14&gt;0,OR(AUTOEVENTO&lt;&gt;"manual",$M14&lt;&gt;1)),
IF(Import.TipoArredondamento&lt;&gt;"TransfereGOV",
ROUND(OFFSET($P14,0,BA$13),15-13*ORÇAMENTO!$AF$7)/$H14*OFFSET(ORÇAMENTO!$X$15,ROW(BA14)-ROW(BA$15),0),
ROUND(ROUND(OFFSET($P14,0,BA$13),15-13*ORÇAMENTO!$AF$7)*OFFSET(ORÇAMENTO!$W$15,ROW(BA14)-ROW(BA$15),0),15-13*ORÇAMENTO!$AF$11)),0)</f>
        <v>0</v>
      </c>
      <c r="BC14" s="181" t="e">
        <f ca="1">IF($D14&lt;&gt;"Serviço",0,IF(AND(AUTOEVENTO="Manual",$M14=1),0,IF(OFFSET(CRONOPLE!$F$14,$M14,BC$13)="",10^12,OFFSET(CRONOPLE!$F$14,$M14,BC$13))))</f>
        <v>#VALUE!</v>
      </c>
      <c r="BD14" s="181" t="e">
        <f ca="1">IF($D14&lt;&gt;"Serviço",0,IF(AND(AUTOEVENTO="Manual",$M14=1),0,IF(OFFSET(CRONOPLE!$F$14,$M14,BD$13)="",10^12,OFFSET(CRONOPLE!$F$14,$M14,BD$13))))</f>
        <v>#VALUE!</v>
      </c>
      <c r="BE14" s="181" t="e">
        <f ca="1">IF($D14&lt;&gt;"Serviço",0,IF(AND(AUTOEVENTO="Manual",$M14=1),0,IF(OFFSET(CRONOPLE!$F$14,$M14,BE$13)="",10^12,OFFSET(CRONOPLE!$F$14,$M14,BE$13))))</f>
        <v>#VALUE!</v>
      </c>
      <c r="BF14" s="181" t="e">
        <f ca="1">IF($D14&lt;&gt;"Serviço",0,IF(AND(AUTOEVENTO="Manual",$M14=1),0,IF(OFFSET(CRONOPLE!$F$14,$M14,BF$13)="",10^12,OFFSET(CRONOPLE!$F$14,$M14,BF$13))))</f>
        <v>#VALUE!</v>
      </c>
      <c r="BG14" s="181" t="e">
        <f ca="1">IF($D14&lt;&gt;"Serviço",0,IF(AND(AUTOEVENTO="Manual",$M14=1),0,IF(OFFSET(CRONOPLE!$F$14,$M14,BG$13)="",10^12,OFFSET(CRONOPLE!$F$14,$M14,BG$13))))</f>
        <v>#VALUE!</v>
      </c>
      <c r="BH14" s="181" t="e">
        <f ca="1">IF($D14&lt;&gt;"Serviço",0,IF(AND(AUTOEVENTO="Manual",$M14=1),0,IF(OFFSET(CRONOPLE!$F$14,$M14,BH$13)="",10^12,OFFSET(CRONOPLE!$F$14,$M14,BH$13))))</f>
        <v>#VALUE!</v>
      </c>
      <c r="BI14" s="181" t="e">
        <f ca="1">IF($D14&lt;&gt;"Serviço",0,IF(AND(AUTOEVENTO="Manual",$M14=1),0,IF(OFFSET(CRONOPLE!$F$14,$M14,BI$13)="",10^12,OFFSET(CRONOPLE!$F$14,$M14,BI$13))))</f>
        <v>#VALUE!</v>
      </c>
      <c r="BJ14" s="181" t="e">
        <f ca="1">IF($D14&lt;&gt;"Serviço",0,IF(AND(AUTOEVENTO="Manual",$M14=1),0,IF(OFFSET(CRONOPLE!$F$14,$M14,BJ$13)="",10^12,OFFSET(CRONOPLE!$F$14,$M14,BJ$13))))</f>
        <v>#VALUE!</v>
      </c>
      <c r="BK14" s="181" t="e">
        <f ca="1">IF($D14&lt;&gt;"Serviço",0,IF(AND(AUTOEVENTO="Manual",$M14=1),0,IF(OFFSET(CRONOPLE!$F$14,$M14,BK$13)="",10^12,OFFSET(CRONOPLE!$F$14,$M14,BK$13))))</f>
        <v>#VALUE!</v>
      </c>
      <c r="BL14" s="181" t="e">
        <f ca="1">IF($D14&lt;&gt;"Serviço",0,IF(AND(AUTOEVENTO="Manual",$M14=1),0,IF(OFFSET(CRONOPLE!$F$14,$M14,BL$13)="",10^12,OFFSET(CRONOPLE!$F$14,$M14,BL$13))))</f>
        <v>#VALUE!</v>
      </c>
      <c r="BM14" s="181" t="e">
        <f ca="1">IF($D14&lt;&gt;"Serviço",0,IF(AND(AUTOEVENTO="Manual",$M14=1),0,IF(OFFSET(CRONOPLE!$F$14,$M14,BM$13)="",10^12,OFFSET(CRONOPLE!$F$14,$M14,BM$13))))</f>
        <v>#VALUE!</v>
      </c>
      <c r="BN14" s="181" t="e">
        <f ca="1">IF($D14&lt;&gt;"Serviço",0,IF(AND(AUTOEVENTO="Manual",$M14=1),0,IF(OFFSET(CRONOPLE!$F$14,$M14,BN$13)="",10^12,OFFSET(CRONOPLE!$F$14,$M14,BN$13))))</f>
        <v>#VALUE!</v>
      </c>
      <c r="BO14" s="181" t="e">
        <f ca="1">IF($D14&lt;&gt;"Serviço",0,IF(AND(AUTOEVENTO="Manual",$M14=1),0,IF(OFFSET(CRONOPLE!$F$14,$M14,BO$13)="",10^12,OFFSET(CRONOPLE!$F$14,$M14,BO$13))))</f>
        <v>#VALUE!</v>
      </c>
      <c r="BP14" s="181" t="e">
        <f ca="1">IF($D14&lt;&gt;"Serviço",0,IF(AND(AUTOEVENTO="Manual",$M14=1),0,IF(OFFSET(CRONOPLE!$F$14,$M14,BP$13)="",10^12,OFFSET(CRONOPLE!$F$14,$M14,BP$13))))</f>
        <v>#VALUE!</v>
      </c>
      <c r="BQ14" s="181" t="e">
        <f ca="1">IF($D14&lt;&gt;"Serviço",0,IF(AND(AUTOEVENTO="Manual",$M14=1),0,IF(OFFSET(CRONOPLE!$F$14,$M14,BQ$13)="",10^12,OFFSET(CRONOPLE!$F$14,$M14,BQ$13))))</f>
        <v>#VALUE!</v>
      </c>
      <c r="BR14" s="181" t="e">
        <f ca="1">IF($D14&lt;&gt;"Serviço",0,IF(AND(AUTOEVENTO="Manual",$M14=1),0,IF(OFFSET(CRONOPLE!$F$14,$M14,BR$13)="",10^12,OFFSET(CRONOPLE!$F$14,$M14,BR$13))))</f>
        <v>#VALUE!</v>
      </c>
      <c r="BS14" s="181" t="e">
        <f ca="1">IF($D14&lt;&gt;"Serviço",0,IF(AND(AUTOEVENTO="Manual",$M14=1),0,IF(OFFSET(CRONOPLE!$F$14,$M14,BS$13)="",10^12,OFFSET(CRONOPLE!$F$14,$M14,BS$13))))</f>
        <v>#VALUE!</v>
      </c>
      <c r="BT14" s="181" t="e">
        <f ca="1">IF($D14&lt;&gt;"Serviço",0,IF(AND(AUTOEVENTO="Manual",$M14=1),0,IF(OFFSET(CRONOPLE!$F$14,$M14,BT$13)="",10^12,OFFSET(CRONOPLE!$F$14,$M14,BT$13))))</f>
        <v>#VALUE!</v>
      </c>
      <c r="BV14" s="182">
        <f ca="1">IF($D14&lt;&gt;"Serviço",0,IF(OR(AND(AUTOEVENTO="Manual",$M14=1),$M14&gt;(ROW(PLE.lastrow)-ROW(PLE.firstrow))),0,IF(OFFSET(PLE!$G$14,$M14,BV$13)="",10^12,OFFSET(PLE!$G$14,$M14,BV$13))))</f>
        <v>0</v>
      </c>
      <c r="BW14" s="182">
        <f ca="1">IF($D14&lt;&gt;"Serviço",0,IF(OR(AND(AUTOEVENTO="Manual",$M14=1),$M14&gt;(ROW(PLE.lastrow)-ROW(PLE.firstrow))),0,IF(OFFSET(PLE!$G$14,$M14,BW$13)="",10^12,OFFSET(PLE!$G$14,$M14,BW$13))))</f>
        <v>0</v>
      </c>
      <c r="BX14" s="182">
        <f ca="1">IF($D14&lt;&gt;"Serviço",0,IF(OR(AND(AUTOEVENTO="Manual",$M14=1),$M14&gt;(ROW(PLE.lastrow)-ROW(PLE.firstrow))),0,IF(OFFSET(PLE!$G$14,$M14,BX$13)="",10^12,OFFSET(PLE!$G$14,$M14,BX$13))))</f>
        <v>0</v>
      </c>
      <c r="BY14" s="182">
        <f ca="1">IF($D14&lt;&gt;"Serviço",0,IF(OR(AND(AUTOEVENTO="Manual",$M14=1),$M14&gt;(ROW(PLE.lastrow)-ROW(PLE.firstrow))),0,IF(OFFSET(PLE!$G$14,$M14,BY$13)="",10^12,OFFSET(PLE!$G$14,$M14,BY$13))))</f>
        <v>0</v>
      </c>
      <c r="BZ14" s="182">
        <f ca="1">IF($D14&lt;&gt;"Serviço",0,IF(OR(AND(AUTOEVENTO="Manual",$M14=1),$M14&gt;(ROW(PLE.lastrow)-ROW(PLE.firstrow))),0,IF(OFFSET(PLE!$G$14,$M14,BZ$13)="",10^12,OFFSET(PLE!$G$14,$M14,BZ$13))))</f>
        <v>0</v>
      </c>
      <c r="CA14" s="182">
        <f ca="1">IF($D14&lt;&gt;"Serviço",0,IF(OR(AND(AUTOEVENTO="Manual",$M14=1),$M14&gt;(ROW(PLE.lastrow)-ROW(PLE.firstrow))),0,IF(OFFSET(PLE!$G$14,$M14,CA$13)="",10^12,OFFSET(PLE!$G$14,$M14,CA$13))))</f>
        <v>0</v>
      </c>
      <c r="CB14" s="182">
        <f ca="1">IF($D14&lt;&gt;"Serviço",0,IF(OR(AND(AUTOEVENTO="Manual",$M14=1),$M14&gt;(ROW(PLE.lastrow)-ROW(PLE.firstrow))),0,IF(OFFSET(PLE!$G$14,$M14,CB$13)="",10^12,OFFSET(PLE!$G$14,$M14,CB$13))))</f>
        <v>0</v>
      </c>
      <c r="CC14" s="182">
        <f ca="1">IF($D14&lt;&gt;"Serviço",0,IF(OR(AND(AUTOEVENTO="Manual",$M14=1),$M14&gt;(ROW(PLE.lastrow)-ROW(PLE.firstrow))),0,IF(OFFSET(PLE!$G$14,$M14,CC$13)="",10^12,OFFSET(PLE!$G$14,$M14,CC$13))))</f>
        <v>0</v>
      </c>
      <c r="CD14" s="182">
        <f ca="1">IF($D14&lt;&gt;"Serviço",0,IF(OR(AND(AUTOEVENTO="Manual",$M14=1),$M14&gt;(ROW(PLE.lastrow)-ROW(PLE.firstrow))),0,IF(OFFSET(PLE!$G$14,$M14,CD$13)="",10^12,OFFSET(PLE!$G$14,$M14,CD$13))))</f>
        <v>0</v>
      </c>
      <c r="CE14" s="182">
        <f ca="1">IF($D14&lt;&gt;"Serviço",0,IF(OR(AND(AUTOEVENTO="Manual",$M14=1),$M14&gt;(ROW(PLE.lastrow)-ROW(PLE.firstrow))),0,IF(OFFSET(PLE!$G$14,$M14,CE$13)="",10^12,OFFSET(PLE!$G$14,$M14,CE$13))))</f>
        <v>0</v>
      </c>
      <c r="CF14" s="182">
        <f ca="1">IF($D14&lt;&gt;"Serviço",0,IF(OR(AND(AUTOEVENTO="Manual",$M14=1),$M14&gt;(ROW(PLE.lastrow)-ROW(PLE.firstrow))),0,IF(OFFSET(PLE!$G$14,$M14,CF$13)="",10^12,OFFSET(PLE!$G$14,$M14,CF$13))))</f>
        <v>0</v>
      </c>
      <c r="CG14" s="182">
        <f ca="1">IF($D14&lt;&gt;"Serviço",0,IF(OR(AND(AUTOEVENTO="Manual",$M14=1),$M14&gt;(ROW(PLE.lastrow)-ROW(PLE.firstrow))),0,IF(OFFSET(PLE!$G$14,$M14,CG$13)="",10^12,OFFSET(PLE!$G$14,$M14,CG$13))))</f>
        <v>0</v>
      </c>
      <c r="CH14" s="182">
        <f ca="1">IF($D14&lt;&gt;"Serviço",0,IF(OR(AND(AUTOEVENTO="Manual",$M14=1),$M14&gt;(ROW(PLE.lastrow)-ROW(PLE.firstrow))),0,IF(OFFSET(PLE!$G$14,$M14,CH$13)="",10^12,OFFSET(PLE!$G$14,$M14,CH$13))))</f>
        <v>0</v>
      </c>
      <c r="CI14" s="182">
        <f ca="1">IF($D14&lt;&gt;"Serviço",0,IF(OR(AND(AUTOEVENTO="Manual",$M14=1),$M14&gt;(ROW(PLE.lastrow)-ROW(PLE.firstrow))),0,IF(OFFSET(PLE!$G$14,$M14,CI$13)="",10^12,OFFSET(PLE!$G$14,$M14,CI$13))))</f>
        <v>0</v>
      </c>
      <c r="CJ14" s="182">
        <f ca="1">IF($D14&lt;&gt;"Serviço",0,IF(OR(AND(AUTOEVENTO="Manual",$M14=1),$M14&gt;(ROW(PLE.lastrow)-ROW(PLE.firstrow))),0,IF(OFFSET(PLE!$G$14,$M14,CJ$13)="",10^12,OFFSET(PLE!$G$14,$M14,CJ$13))))</f>
        <v>0</v>
      </c>
      <c r="CK14" s="182">
        <f ca="1">IF($D14&lt;&gt;"Serviço",0,IF(OR(AND(AUTOEVENTO="Manual",$M14=1),$M14&gt;(ROW(PLE.lastrow)-ROW(PLE.firstrow))),0,IF(OFFSET(PLE!$G$14,$M14,CK$13)="",10^12,OFFSET(PLE!$G$14,$M14,CK$13))))</f>
        <v>0</v>
      </c>
      <c r="CL14" s="182">
        <f ca="1">IF($D14&lt;&gt;"Serviço",0,IF(OR(AND(AUTOEVENTO="Manual",$M14=1),$M14&gt;(ROW(PLE.lastrow)-ROW(PLE.firstrow))),0,IF(OFFSET(PLE!$G$14,$M14,CL$13)="",10^12,OFFSET(PLE!$G$14,$M14,CL$13))))</f>
        <v>0</v>
      </c>
      <c r="CM14" s="182">
        <f ca="1">IF($D14&lt;&gt;"Serviço",0,IF(OR(AND(AUTOEVENTO="Manual",$M14=1),$M14&gt;(ROW(PLE.lastrow)-ROW(PLE.firstrow))),0,IF(OFFSET(PLE!$G$14,$M14,CM$13)="",10^12,OFFSET(PLE!$G$14,$M14,CM$13))))</f>
        <v>0</v>
      </c>
    </row>
    <row r="15" spans="1:91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CTEF</v>
      </c>
      <c r="E15" s="624" t="str">
        <f>Import.DescLote</f>
        <v>Construção do CMEI Cleovanize Totti Vitoria (FNDE – Creche tipo 1)</v>
      </c>
      <c r="F15" s="624"/>
      <c r="G15" s="624"/>
      <c r="H15" s="624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OFFSET($AI$15,0,O$13)</f>
        <v>#VALUE!</v>
      </c>
      <c r="Q15" s="187">
        <f t="shared" ref="Q15:Z15" ca="1" si="5">OFFSET($AI$15,0,Q$13)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A15" s="186">
        <f t="shared" ref="AA15:AH15" ca="1" si="6">OFFSET($AI$15,0,AA$13)</f>
        <v>0</v>
      </c>
      <c r="AB15" s="186">
        <f t="shared" ca="1" si="6"/>
        <v>0</v>
      </c>
      <c r="AC15" s="186">
        <f t="shared" ca="1" si="6"/>
        <v>0</v>
      </c>
      <c r="AD15" s="186">
        <f t="shared" ca="1" si="6"/>
        <v>0</v>
      </c>
      <c r="AE15" s="186">
        <f t="shared" ca="1" si="6"/>
        <v>0</v>
      </c>
      <c r="AF15" s="186">
        <f t="shared" ca="1" si="6"/>
        <v>0</v>
      </c>
      <c r="AG15" s="186">
        <f t="shared" ca="1" si="6"/>
        <v>0</v>
      </c>
      <c r="AH15" s="188">
        <f t="shared" ca="1" si="6"/>
        <v>0</v>
      </c>
      <c r="AJ15" s="189">
        <f ca="1">ROUND(SUM(OFFSET(AJ$15,1,0):AJ$727),2)</f>
        <v>0</v>
      </c>
      <c r="AK15" s="189">
        <f ca="1">SUM(OFFSET(AK$15,1,0):AK$727)</f>
        <v>0</v>
      </c>
      <c r="AL15" s="189">
        <f ca="1">SUM(OFFSET(AL$15,1,0):AL$727)</f>
        <v>0</v>
      </c>
      <c r="AM15" s="189">
        <f ca="1">SUM(OFFSET(AM$15,1,0):AM$727)</f>
        <v>0</v>
      </c>
      <c r="AN15" s="189">
        <f ca="1">SUM(OFFSET(AN$15,1,0):AN$727)</f>
        <v>0</v>
      </c>
      <c r="AO15" s="189">
        <f ca="1">SUM(OFFSET(AO$15,1,0):AO$727)</f>
        <v>0</v>
      </c>
      <c r="AP15" s="189">
        <f ca="1">SUM(OFFSET(AP$15,1,0):AP$727)</f>
        <v>0</v>
      </c>
      <c r="AQ15" s="189">
        <f ca="1">SUM(OFFSET(AQ$15,1,0):AQ$727)</f>
        <v>0</v>
      </c>
      <c r="AR15" s="189">
        <f ca="1">SUM(OFFSET(AR$15,1,0):AR$727)</f>
        <v>0</v>
      </c>
      <c r="AS15" s="189">
        <f ca="1">SUM(OFFSET(AS$15,1,0):AS$727)</f>
        <v>0</v>
      </c>
      <c r="AT15" s="189">
        <f ca="1">SUM(OFFSET(AT$15,1,0):AT$727)</f>
        <v>0</v>
      </c>
      <c r="AU15" s="189">
        <f ca="1">SUM(OFFSET(AU$15,1,0):AU$727)</f>
        <v>0</v>
      </c>
      <c r="AV15" s="189">
        <f ca="1">SUM(OFFSET(AV$15,1,0):AV$727)</f>
        <v>0</v>
      </c>
      <c r="AW15" s="189">
        <f ca="1">SUM(OFFSET(AW$15,1,0):AW$727)</f>
        <v>0</v>
      </c>
      <c r="AX15" s="189">
        <f ca="1">SUM(OFFSET(AX$15,1,0):AX$727)</f>
        <v>0</v>
      </c>
      <c r="AY15" s="189">
        <f ca="1">SUM(OFFSET(AY$15,1,0):AY$727)</f>
        <v>0</v>
      </c>
      <c r="AZ15" s="189">
        <f ca="1">SUM(OFFSET(AZ$15,1,0):AZ$727)</f>
        <v>0</v>
      </c>
      <c r="BA15" s="189">
        <f ca="1">SUM(OFFSET(BA$15,1,0):BA$727)</f>
        <v>0</v>
      </c>
      <c r="BC15" s="190">
        <f>10^12</f>
        <v>1000000000000</v>
      </c>
      <c r="BD15" s="190">
        <f t="shared" ref="BD15:BT15" si="7">10^12</f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  <c r="BH15" s="190">
        <f t="shared" si="7"/>
        <v>1000000000000</v>
      </c>
      <c r="BI15" s="190">
        <f t="shared" si="7"/>
        <v>1000000000000</v>
      </c>
      <c r="BJ15" s="190">
        <f t="shared" si="7"/>
        <v>1000000000000</v>
      </c>
      <c r="BK15" s="190">
        <f t="shared" si="7"/>
        <v>1000000000000</v>
      </c>
      <c r="BL15" s="190">
        <f t="shared" si="7"/>
        <v>1000000000000</v>
      </c>
      <c r="BM15" s="190">
        <f t="shared" si="7"/>
        <v>1000000000000</v>
      </c>
      <c r="BN15" s="190">
        <f t="shared" si="7"/>
        <v>1000000000000</v>
      </c>
      <c r="BO15" s="190">
        <f t="shared" si="7"/>
        <v>1000000000000</v>
      </c>
      <c r="BP15" s="190">
        <f t="shared" si="7"/>
        <v>1000000000000</v>
      </c>
      <c r="BQ15" s="190">
        <f t="shared" si="7"/>
        <v>1000000000000</v>
      </c>
      <c r="BR15" s="190">
        <f t="shared" si="7"/>
        <v>1000000000000</v>
      </c>
      <c r="BS15" s="190">
        <f t="shared" si="7"/>
        <v>1000000000000</v>
      </c>
      <c r="BT15" s="190">
        <f t="shared" si="7"/>
        <v>1000000000000</v>
      </c>
      <c r="BV15" s="190">
        <f t="shared" ref="BV15:CM15" si="8">10^12</f>
        <v>1000000000000</v>
      </c>
      <c r="BW15" s="190">
        <f t="shared" si="8"/>
        <v>1000000000000</v>
      </c>
      <c r="BX15" s="190">
        <f t="shared" si="8"/>
        <v>1000000000000</v>
      </c>
      <c r="BY15" s="190">
        <f t="shared" si="8"/>
        <v>1000000000000</v>
      </c>
      <c r="BZ15" s="190">
        <f t="shared" si="8"/>
        <v>1000000000000</v>
      </c>
      <c r="CA15" s="190">
        <f t="shared" si="8"/>
        <v>1000000000000</v>
      </c>
      <c r="CB15" s="190">
        <f t="shared" si="8"/>
        <v>1000000000000</v>
      </c>
      <c r="CC15" s="190">
        <f t="shared" si="8"/>
        <v>1000000000000</v>
      </c>
      <c r="CD15" s="190">
        <f t="shared" si="8"/>
        <v>1000000000000</v>
      </c>
      <c r="CE15" s="190">
        <f t="shared" si="8"/>
        <v>1000000000000</v>
      </c>
      <c r="CF15" s="190">
        <f t="shared" si="8"/>
        <v>1000000000000</v>
      </c>
      <c r="CG15" s="190">
        <f t="shared" si="8"/>
        <v>1000000000000</v>
      </c>
      <c r="CH15" s="190">
        <f t="shared" si="8"/>
        <v>1000000000000</v>
      </c>
      <c r="CI15" s="190">
        <f t="shared" si="8"/>
        <v>1000000000000</v>
      </c>
      <c r="CJ15" s="190">
        <f t="shared" si="8"/>
        <v>1000000000000</v>
      </c>
      <c r="CK15" s="190">
        <f t="shared" si="8"/>
        <v>1000000000000</v>
      </c>
      <c r="CL15" s="190">
        <f t="shared" si="8"/>
        <v>1000000000000</v>
      </c>
      <c r="CM15" s="190">
        <f t="shared" si="8"/>
        <v>1000000000000</v>
      </c>
    </row>
    <row r="16" spans="1:91" ht="12.75" x14ac:dyDescent="0.2">
      <c r="A16" s="7" t="str">
        <f t="shared" ref="A16:A69" ca="1" si="9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 xml:space="preserve">CONSTRUÇÃO - CRECHE TIPO 01 -  FNDE 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IF($D16&lt;&gt;"Serviço",0,IF(ACOMPANHAMENTO="BM",ROUND(OFFSET(ORÇAMENTO!AJ$15,ROW(H16)-ROW(H$15),0),15-13*ORÇAMENTO!$AF$7),SUMPRODUCT(($Q$12:$AI$12&lt;&gt;"")*ROUND($Q16:$AI16,15-13*ORÇAMENTO!$AF$7))))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A16" s="179"/>
      <c r="AB16" s="179"/>
      <c r="AC16" s="179"/>
      <c r="AD16" s="179"/>
      <c r="AE16" s="179"/>
      <c r="AF16" s="179"/>
      <c r="AG16" s="179"/>
      <c r="AH16" s="180"/>
      <c r="AJ16" s="544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5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L16" s="545">
        <f ca="1">IF(AND($D16="Serviço",AL$12&lt;&gt;0,$H16&gt;0,OR(AUTOEVENTO&lt;&gt;"manual",$M16&lt;&gt;1)),
IF(Import.TipoArredondamento&lt;&gt;"TransfereGOV",
ROUND(OFFSET($P16,0,AL$13),15-13*ORÇAMENTO!$AF$7)/$H16*OFFSET(ORÇAMENTO!$X$15,ROW(AL16)-ROW(AL$15),0),
ROUND(ROUND(OFFSET($P16,0,AL$13),15-13*ORÇAMENTO!$AF$7)*OFFSET(ORÇAMENTO!$W$15,ROW(AL16)-ROW(AL$15),0),15-13*ORÇAMENTO!$AF$11)),0)</f>
        <v>0</v>
      </c>
      <c r="AM16" s="545">
        <f ca="1">IF(AND($D16="Serviço",AM$12&lt;&gt;0,$H16&gt;0,OR(AUTOEVENTO&lt;&gt;"manual",$M16&lt;&gt;1)),
IF(Import.TipoArredondamento&lt;&gt;"TransfereGOV",
ROUND(OFFSET($P16,0,AM$13),15-13*ORÇAMENTO!$AF$7)/$H16*OFFSET(ORÇAMENTO!$X$15,ROW(AM16)-ROW(AM$15),0),
ROUND(ROUND(OFFSET($P16,0,AM$13),15-13*ORÇAMENTO!$AF$7)*OFFSET(ORÇAMENTO!$W$15,ROW(AM16)-ROW(AM$15),0),15-13*ORÇAMENTO!$AF$11)),0)</f>
        <v>0</v>
      </c>
      <c r="AN16" s="545">
        <f ca="1">IF(AND($D16="Serviço",AN$12&lt;&gt;0,$H16&gt;0,OR(AUTOEVENTO&lt;&gt;"manual",$M16&lt;&gt;1)),
IF(Import.TipoArredondamento&lt;&gt;"TransfereGOV",
ROUND(OFFSET($P16,0,AN$13),15-13*ORÇAMENTO!$AF$7)/$H16*OFFSET(ORÇAMENTO!$X$15,ROW(AN16)-ROW(AN$15),0),
ROUND(ROUND(OFFSET($P16,0,AN$13),15-13*ORÇAMENTO!$AF$7)*OFFSET(ORÇAMENTO!$W$15,ROW(AN16)-ROW(AN$15),0),15-13*ORÇAMENTO!$AF$11)),0)</f>
        <v>0</v>
      </c>
      <c r="AO16" s="545">
        <f ca="1">IF(AND($D16="Serviço",AO$12&lt;&gt;0,$H16&gt;0,OR(AUTOEVENTO&lt;&gt;"manual",$M16&lt;&gt;1)),
IF(Import.TipoArredondamento&lt;&gt;"TransfereGOV",
ROUND(OFFSET($P16,0,AO$13),15-13*ORÇAMENTO!$AF$7)/$H16*OFFSET(ORÇAMENTO!$X$15,ROW(AO16)-ROW(AO$15),0),
ROUND(ROUND(OFFSET($P16,0,AO$13),15-13*ORÇAMENTO!$AF$7)*OFFSET(ORÇAMENTO!$W$15,ROW(AO16)-ROW(AO$15),0),15-13*ORÇAMENTO!$AF$11)),0)</f>
        <v>0</v>
      </c>
      <c r="AP16" s="545">
        <f ca="1">IF(AND($D16="Serviço",AP$12&lt;&gt;0,$H16&gt;0,OR(AUTOEVENTO&lt;&gt;"manual",$M16&lt;&gt;1)),
IF(Import.TipoArredondamento&lt;&gt;"TransfereGOV",
ROUND(OFFSET($P16,0,AP$13),15-13*ORÇAMENTO!$AF$7)/$H16*OFFSET(ORÇAMENTO!$X$15,ROW(AP16)-ROW(AP$15),0),
ROUND(ROUND(OFFSET($P16,0,AP$13),15-13*ORÇAMENTO!$AF$7)*OFFSET(ORÇAMENTO!$W$15,ROW(AP16)-ROW(AP$15),0),15-13*ORÇAMENTO!$AF$11)),0)</f>
        <v>0</v>
      </c>
      <c r="AQ16" s="545">
        <f ca="1">IF(AND($D16="Serviço",AQ$12&lt;&gt;0,$H16&gt;0,OR(AUTOEVENTO&lt;&gt;"manual",$M16&lt;&gt;1)),
IF(Import.TipoArredondamento&lt;&gt;"TransfereGOV",
ROUND(OFFSET($P16,0,AQ$13),15-13*ORÇAMENTO!$AF$7)/$H16*OFFSET(ORÇAMENTO!$X$15,ROW(AQ16)-ROW(AQ$15),0),
ROUND(ROUND(OFFSET($P16,0,AQ$13),15-13*ORÇAMENTO!$AF$7)*OFFSET(ORÇAMENTO!$W$15,ROW(AQ16)-ROW(AQ$15),0),15-13*ORÇAMENTO!$AF$11)),0)</f>
        <v>0</v>
      </c>
      <c r="AR16" s="545">
        <f ca="1">IF(AND($D16="Serviço",AR$12&lt;&gt;0,$H16&gt;0,OR(AUTOEVENTO&lt;&gt;"manual",$M16&lt;&gt;1)),
IF(Import.TipoArredondamento&lt;&gt;"TransfereGOV",
ROUND(OFFSET($P16,0,AR$13),15-13*ORÇAMENTO!$AF$7)/$H16*OFFSET(ORÇAMENTO!$X$15,ROW(AR16)-ROW(AR$15),0),
ROUND(ROUND(OFFSET($P16,0,AR$13),15-13*ORÇAMENTO!$AF$7)*OFFSET(ORÇAMENTO!$W$15,ROW(AR16)-ROW(AR$15),0),15-13*ORÇAMENTO!$AF$11)),0)</f>
        <v>0</v>
      </c>
      <c r="AS16" s="546">
        <f ca="1">IF(AND($D16="Serviço",AS$12&lt;&gt;0,$H16&gt;0,OR(AUTOEVENTO&lt;&gt;"manual",$M16&lt;&gt;1)),
IF(Import.TipoArredondamento&lt;&gt;"TransfereGOV",
ROUND(OFFSET($P16,0,AS$13),15-13*ORÇAMENTO!$AF$7)/$H16*OFFSET(ORÇAMENTO!$X$15,ROW(AS16)-ROW(AS$15),0),
ROUND(ROUND(OFFSET($P16,0,AS$13),15-13*ORÇAMENTO!$AF$7)*OFFSET(ORÇAMENTO!$W$15,ROW(AS16)-ROW(AS$15),0),15-13*ORÇAMENTO!$AF$11)),0)</f>
        <v>0</v>
      </c>
      <c r="AT16" s="545">
        <f ca="1">IF(AND($D16="Serviço",AT$12&lt;&gt;0,$H16&gt;0,OR(AUTOEVENTO&lt;&gt;"manual",$M16&lt;&gt;1)),
IF(Import.TipoArredondamento&lt;&gt;"TransfereGOV",
ROUND(OFFSET($P16,0,AT$13),15-13*ORÇAMENTO!$AF$7)/$H16*OFFSET(ORÇAMENTO!$X$15,ROW(AT16)-ROW(AT$15),0),
ROUND(ROUND(OFFSET($P16,0,AT$13),15-13*ORÇAMENTO!$AF$7)*OFFSET(ORÇAMENTO!$W$15,ROW(AT16)-ROW(AT$15),0),15-13*ORÇAMENTO!$AF$11)),0)</f>
        <v>0</v>
      </c>
      <c r="AU16" s="545">
        <f ca="1">IF(AND($D16="Serviço",AU$12&lt;&gt;0,$H16&gt;0,OR(AUTOEVENTO&lt;&gt;"manual",$M16&lt;&gt;1)),
IF(Import.TipoArredondamento&lt;&gt;"TransfereGOV",
ROUND(OFFSET($P16,0,AU$13),15-13*ORÇAMENTO!$AF$7)/$H16*OFFSET(ORÇAMENTO!$X$15,ROW(AU16)-ROW(AU$15),0),
ROUND(ROUND(OFFSET($P16,0,AU$13),15-13*ORÇAMENTO!$AF$7)*OFFSET(ORÇAMENTO!$W$15,ROW(AU16)-ROW(AU$15),0),15-13*ORÇAMENTO!$AF$11)),0)</f>
        <v>0</v>
      </c>
      <c r="AV16" s="545">
        <f ca="1">IF(AND($D16="Serviço",AV$12&lt;&gt;0,$H16&gt;0,OR(AUTOEVENTO&lt;&gt;"manual",$M16&lt;&gt;1)),
IF(Import.TipoArredondamento&lt;&gt;"TransfereGOV",
ROUND(OFFSET($P16,0,AV$13),15-13*ORÇAMENTO!$AF$7)/$H16*OFFSET(ORÇAMENTO!$X$15,ROW(AV16)-ROW(AV$15),0),
ROUND(ROUND(OFFSET($P16,0,AV$13),15-13*ORÇAMENTO!$AF$7)*OFFSET(ORÇAMENTO!$W$15,ROW(AV16)-ROW(AV$15),0),15-13*ORÇAMENTO!$AF$11)),0)</f>
        <v>0</v>
      </c>
      <c r="AW16" s="545">
        <f ca="1">IF(AND($D16="Serviço",AW$12&lt;&gt;0,$H16&gt;0,OR(AUTOEVENTO&lt;&gt;"manual",$M16&lt;&gt;1)),
IF(Import.TipoArredondamento&lt;&gt;"TransfereGOV",
ROUND(OFFSET($P16,0,AW$13),15-13*ORÇAMENTO!$AF$7)/$H16*OFFSET(ORÇAMENTO!$X$15,ROW(AW16)-ROW(AW$15),0),
ROUND(ROUND(OFFSET($P16,0,AW$13),15-13*ORÇAMENTO!$AF$7)*OFFSET(ORÇAMENTO!$W$15,ROW(AW16)-ROW(AW$15),0),15-13*ORÇAMENTO!$AF$11)),0)</f>
        <v>0</v>
      </c>
      <c r="AX16" s="545">
        <f ca="1">IF(AND($D16="Serviço",AX$12&lt;&gt;0,$H16&gt;0,OR(AUTOEVENTO&lt;&gt;"manual",$M16&lt;&gt;1)),
IF(Import.TipoArredondamento&lt;&gt;"TransfereGOV",
ROUND(OFFSET($P16,0,AX$13),15-13*ORÇAMENTO!$AF$7)/$H16*OFFSET(ORÇAMENTO!$X$15,ROW(AX16)-ROW(AX$15),0),
ROUND(ROUND(OFFSET($P16,0,AX$13),15-13*ORÇAMENTO!$AF$7)*OFFSET(ORÇAMENTO!$W$15,ROW(AX16)-ROW(AX$15),0),15-13*ORÇAMENTO!$AF$11)),0)</f>
        <v>0</v>
      </c>
      <c r="AY16" s="545">
        <f ca="1">IF(AND($D16="Serviço",AY$12&lt;&gt;0,$H16&gt;0,OR(AUTOEVENTO&lt;&gt;"manual",$M16&lt;&gt;1)),
IF(Import.TipoArredondamento&lt;&gt;"TransfereGOV",
ROUND(OFFSET($P16,0,AY$13),15-13*ORÇAMENTO!$AF$7)/$H16*OFFSET(ORÇAMENTO!$X$15,ROW(AY16)-ROW(AY$15),0),
ROUND(ROUND(OFFSET($P16,0,AY$13),15-13*ORÇAMENTO!$AF$7)*OFFSET(ORÇAMENTO!$W$15,ROW(AY16)-ROW(AY$15),0),15-13*ORÇAMENTO!$AF$11)),0)</f>
        <v>0</v>
      </c>
      <c r="AZ16" s="545">
        <f ca="1">IF(AND($D16="Serviço",AZ$12&lt;&gt;0,$H16&gt;0,OR(AUTOEVENTO&lt;&gt;"manual",$M16&lt;&gt;1)),
IF(Import.TipoArredondamento&lt;&gt;"TransfereGOV",
ROUND(OFFSET($P16,0,AZ$13),15-13*ORÇAMENTO!$AF$7)/$H16*OFFSET(ORÇAMENTO!$X$15,ROW(AZ16)-ROW(AZ$15),0),
ROUND(ROUND(OFFSET($P16,0,AZ$13),15-13*ORÇAMENTO!$AF$7)*OFFSET(ORÇAMENTO!$W$15,ROW(AZ16)-ROW(AZ$15),0),15-13*ORÇAMENTO!$AF$11)),0)</f>
        <v>0</v>
      </c>
      <c r="BA16" s="546">
        <f ca="1">IF(AND($D16="Serviço",BA$12&lt;&gt;0,$H16&gt;0,OR(AUTOEVENTO&lt;&gt;"manual",$M16&lt;&gt;1)),
IF(Import.TipoArredondamento&lt;&gt;"TransfereGOV",
ROUND(OFFSET($P16,0,BA$13),15-13*ORÇAMENTO!$AF$7)/$H16*OFFSET(ORÇAMENTO!$X$15,ROW(BA16)-ROW(BA$15),0),
ROUND(ROUND(OFFSET($P16,0,BA$13),15-13*ORÇAMENTO!$AF$7)*OFFSET(ORÇAMENTO!$W$15,ROW(BA16)-ROW(BA$15),0),15-13*ORÇAMENTO!$AF$11)),0)</f>
        <v>0</v>
      </c>
      <c r="BC16" s="181">
        <f ca="1">IF($D16&lt;&gt;"Serviço",0,IF(AND(AUTOEVENTO="Manual",$M16=1),0,IF(OFFSET(CRONOPLE!$F$14,$M16,BC$13)="",10^12,OFFSET(CRONOPLE!$F$14,$M16,BC$13))))</f>
        <v>0</v>
      </c>
      <c r="BD16" s="181">
        <f ca="1">IF($D16&lt;&gt;"Serviço",0,IF(AND(AUTOEVENTO="Manual",$M16=1),0,IF(OFFSET(CRONOPLE!$F$14,$M16,BD$13)="",10^12,OFFSET(CRONOPLE!$F$14,$M16,BD$13))))</f>
        <v>0</v>
      </c>
      <c r="BE16" s="181">
        <f ca="1">IF($D16&lt;&gt;"Serviço",0,IF(AND(AUTOEVENTO="Manual",$M16=1),0,IF(OFFSET(CRONOPLE!$F$14,$M16,BE$13)="",10^12,OFFSET(CRONOPLE!$F$14,$M16,BE$13))))</f>
        <v>0</v>
      </c>
      <c r="BF16" s="181">
        <f ca="1">IF($D16&lt;&gt;"Serviço",0,IF(AND(AUTOEVENTO="Manual",$M16=1),0,IF(OFFSET(CRONOPLE!$F$14,$M16,BF$13)="",10^12,OFFSET(CRONOPLE!$F$14,$M16,BF$13))))</f>
        <v>0</v>
      </c>
      <c r="BG16" s="181">
        <f ca="1">IF($D16&lt;&gt;"Serviço",0,IF(AND(AUTOEVENTO="Manual",$M16=1),0,IF(OFFSET(CRONOPLE!$F$14,$M16,BG$13)="",10^12,OFFSET(CRONOPLE!$F$14,$M16,BG$13))))</f>
        <v>0</v>
      </c>
      <c r="BH16" s="181">
        <f ca="1">IF($D16&lt;&gt;"Serviço",0,IF(AND(AUTOEVENTO="Manual",$M16=1),0,IF(OFFSET(CRONOPLE!$F$14,$M16,BH$13)="",10^12,OFFSET(CRONOPLE!$F$14,$M16,BH$13))))</f>
        <v>0</v>
      </c>
      <c r="BI16" s="181">
        <f ca="1">IF($D16&lt;&gt;"Serviço",0,IF(AND(AUTOEVENTO="Manual",$M16=1),0,IF(OFFSET(CRONOPLE!$F$14,$M16,BI$13)="",10^12,OFFSET(CRONOPLE!$F$14,$M16,BI$13))))</f>
        <v>0</v>
      </c>
      <c r="BJ16" s="181">
        <f ca="1">IF($D16&lt;&gt;"Serviço",0,IF(AND(AUTOEVENTO="Manual",$M16=1),0,IF(OFFSET(CRONOPLE!$F$14,$M16,BJ$13)="",10^12,OFFSET(CRONOPLE!$F$14,$M16,BJ$13))))</f>
        <v>0</v>
      </c>
      <c r="BK16" s="181">
        <f ca="1">IF($D16&lt;&gt;"Serviço",0,IF(AND(AUTOEVENTO="Manual",$M16=1),0,IF(OFFSET(CRONOPLE!$F$14,$M16,BK$13)="",10^12,OFFSET(CRONOPLE!$F$14,$M16,BK$13))))</f>
        <v>0</v>
      </c>
      <c r="BL16" s="181">
        <f ca="1">IF($D16&lt;&gt;"Serviço",0,IF(AND(AUTOEVENTO="Manual",$M16=1),0,IF(OFFSET(CRONOPLE!$F$14,$M16,BL$13)="",10^12,OFFSET(CRONOPLE!$F$14,$M16,BL$13))))</f>
        <v>0</v>
      </c>
      <c r="BM16" s="181">
        <f ca="1">IF($D16&lt;&gt;"Serviço",0,IF(AND(AUTOEVENTO="Manual",$M16=1),0,IF(OFFSET(CRONOPLE!$F$14,$M16,BM$13)="",10^12,OFFSET(CRONOPLE!$F$14,$M16,BM$13))))</f>
        <v>0</v>
      </c>
      <c r="BN16" s="181">
        <f ca="1">IF($D16&lt;&gt;"Serviço",0,IF(AND(AUTOEVENTO="Manual",$M16=1),0,IF(OFFSET(CRONOPLE!$F$14,$M16,BN$13)="",10^12,OFFSET(CRONOPLE!$F$14,$M16,BN$13))))</f>
        <v>0</v>
      </c>
      <c r="BO16" s="181">
        <f ca="1">IF($D16&lt;&gt;"Serviço",0,IF(AND(AUTOEVENTO="Manual",$M16=1),0,IF(OFFSET(CRONOPLE!$F$14,$M16,BO$13)="",10^12,OFFSET(CRONOPLE!$F$14,$M16,BO$13))))</f>
        <v>0</v>
      </c>
      <c r="BP16" s="181">
        <f ca="1">IF($D16&lt;&gt;"Serviço",0,IF(AND(AUTOEVENTO="Manual",$M16=1),0,IF(OFFSET(CRONOPLE!$F$14,$M16,BP$13)="",10^12,OFFSET(CRONOPLE!$F$14,$M16,BP$13))))</f>
        <v>0</v>
      </c>
      <c r="BQ16" s="181">
        <f ca="1">IF($D16&lt;&gt;"Serviço",0,IF(AND(AUTOEVENTO="Manual",$M16=1),0,IF(OFFSET(CRONOPLE!$F$14,$M16,BQ$13)="",10^12,OFFSET(CRONOPLE!$F$14,$M16,BQ$13))))</f>
        <v>0</v>
      </c>
      <c r="BR16" s="181">
        <f ca="1">IF($D16&lt;&gt;"Serviço",0,IF(AND(AUTOEVENTO="Manual",$M16=1),0,IF(OFFSET(CRONOPLE!$F$14,$M16,BR$13)="",10^12,OFFSET(CRONOPLE!$F$14,$M16,BR$13))))</f>
        <v>0</v>
      </c>
      <c r="BS16" s="181">
        <f ca="1">IF($D16&lt;&gt;"Serviço",0,IF(AND(AUTOEVENTO="Manual",$M16=1),0,IF(OFFSET(CRONOPLE!$F$14,$M16,BS$13)="",10^12,OFFSET(CRONOPLE!$F$14,$M16,BS$13))))</f>
        <v>0</v>
      </c>
      <c r="BT16" s="181">
        <f ca="1">IF($D16&lt;&gt;"Serviço",0,IF(AND(AUTOEVENTO="Manual",$M16=1),0,IF(OFFSET(CRONOPLE!$F$14,$M16,BT$13)="",10^12,OFFSET(CRONOPLE!$F$14,$M16,BT$13))))</f>
        <v>0</v>
      </c>
      <c r="BV16" s="182">
        <f ca="1">IF($D16&lt;&gt;"Serviço",0,IF(OR(AND(AUTOEVENTO="Manual",$M16=1),$M16&gt;(ROW(PLE.lastrow)-ROW(PLE.firstrow))),0,IF(OFFSET(PLE!$G$14,$M16,BV$13)="",10^12,OFFSET(PLE!$G$14,$M16,BV$13))))</f>
        <v>0</v>
      </c>
      <c r="BW16" s="182">
        <f ca="1">IF($D16&lt;&gt;"Serviço",0,IF(OR(AND(AUTOEVENTO="Manual",$M16=1),$M16&gt;(ROW(PLE.lastrow)-ROW(PLE.firstrow))),0,IF(OFFSET(PLE!$G$14,$M16,BW$13)="",10^12,OFFSET(PLE!$G$14,$M16,BW$13))))</f>
        <v>0</v>
      </c>
      <c r="BX16" s="182">
        <f ca="1">IF($D16&lt;&gt;"Serviço",0,IF(OR(AND(AUTOEVENTO="Manual",$M16=1),$M16&gt;(ROW(PLE.lastrow)-ROW(PLE.firstrow))),0,IF(OFFSET(PLE!$G$14,$M16,BX$13)="",10^12,OFFSET(PLE!$G$14,$M16,BX$13))))</f>
        <v>0</v>
      </c>
      <c r="BY16" s="182">
        <f ca="1">IF($D16&lt;&gt;"Serviço",0,IF(OR(AND(AUTOEVENTO="Manual",$M16=1),$M16&gt;(ROW(PLE.lastrow)-ROW(PLE.firstrow))),0,IF(OFFSET(PLE!$G$14,$M16,BY$13)="",10^12,OFFSET(PLE!$G$14,$M16,BY$13))))</f>
        <v>0</v>
      </c>
      <c r="BZ16" s="182">
        <f ca="1">IF($D16&lt;&gt;"Serviço",0,IF(OR(AND(AUTOEVENTO="Manual",$M16=1),$M16&gt;(ROW(PLE.lastrow)-ROW(PLE.firstrow))),0,IF(OFFSET(PLE!$G$14,$M16,BZ$13)="",10^12,OFFSET(PLE!$G$14,$M16,BZ$13))))</f>
        <v>0</v>
      </c>
      <c r="CA16" s="182">
        <f ca="1">IF($D16&lt;&gt;"Serviço",0,IF(OR(AND(AUTOEVENTO="Manual",$M16=1),$M16&gt;(ROW(PLE.lastrow)-ROW(PLE.firstrow))),0,IF(OFFSET(PLE!$G$14,$M16,CA$13)="",10^12,OFFSET(PLE!$G$14,$M16,CA$13))))</f>
        <v>0</v>
      </c>
      <c r="CB16" s="182">
        <f ca="1">IF($D16&lt;&gt;"Serviço",0,IF(OR(AND(AUTOEVENTO="Manual",$M16=1),$M16&gt;(ROW(PLE.lastrow)-ROW(PLE.firstrow))),0,IF(OFFSET(PLE!$G$14,$M16,CB$13)="",10^12,OFFSET(PLE!$G$14,$M16,CB$13))))</f>
        <v>0</v>
      </c>
      <c r="CC16" s="182">
        <f ca="1">IF($D16&lt;&gt;"Serviço",0,IF(OR(AND(AUTOEVENTO="Manual",$M16=1),$M16&gt;(ROW(PLE.lastrow)-ROW(PLE.firstrow))),0,IF(OFFSET(PLE!$G$14,$M16,CC$13)="",10^12,OFFSET(PLE!$G$14,$M16,CC$13))))</f>
        <v>0</v>
      </c>
      <c r="CD16" s="182">
        <f ca="1">IF($D16&lt;&gt;"Serviço",0,IF(OR(AND(AUTOEVENTO="Manual",$M16=1),$M16&gt;(ROW(PLE.lastrow)-ROW(PLE.firstrow))),0,IF(OFFSET(PLE!$G$14,$M16,CD$13)="",10^12,OFFSET(PLE!$G$14,$M16,CD$13))))</f>
        <v>0</v>
      </c>
      <c r="CE16" s="182">
        <f ca="1">IF($D16&lt;&gt;"Serviço",0,IF(OR(AND(AUTOEVENTO="Manual",$M16=1),$M16&gt;(ROW(PLE.lastrow)-ROW(PLE.firstrow))),0,IF(OFFSET(PLE!$G$14,$M16,CE$13)="",10^12,OFFSET(PLE!$G$14,$M16,CE$13))))</f>
        <v>0</v>
      </c>
      <c r="CF16" s="182">
        <f ca="1">IF($D16&lt;&gt;"Serviço",0,IF(OR(AND(AUTOEVENTO="Manual",$M16=1),$M16&gt;(ROW(PLE.lastrow)-ROW(PLE.firstrow))),0,IF(OFFSET(PLE!$G$14,$M16,CF$13)="",10^12,OFFSET(PLE!$G$14,$M16,CF$13))))</f>
        <v>0</v>
      </c>
      <c r="CG16" s="182">
        <f ca="1">IF($D16&lt;&gt;"Serviço",0,IF(OR(AND(AUTOEVENTO="Manual",$M16=1),$M16&gt;(ROW(PLE.lastrow)-ROW(PLE.firstrow))),0,IF(OFFSET(PLE!$G$14,$M16,CG$13)="",10^12,OFFSET(PLE!$G$14,$M16,CG$13))))</f>
        <v>0</v>
      </c>
      <c r="CH16" s="182">
        <f ca="1">IF($D16&lt;&gt;"Serviço",0,IF(OR(AND(AUTOEVENTO="Manual",$M16=1),$M16&gt;(ROW(PLE.lastrow)-ROW(PLE.firstrow))),0,IF(OFFSET(PLE!$G$14,$M16,CH$13)="",10^12,OFFSET(PLE!$G$14,$M16,CH$13))))</f>
        <v>0</v>
      </c>
      <c r="CI16" s="182">
        <f ca="1">IF($D16&lt;&gt;"Serviço",0,IF(OR(AND(AUTOEVENTO="Manual",$M16=1),$M16&gt;(ROW(PLE.lastrow)-ROW(PLE.firstrow))),0,IF(OFFSET(PLE!$G$14,$M16,CI$13)="",10^12,OFFSET(PLE!$G$14,$M16,CI$13))))</f>
        <v>0</v>
      </c>
      <c r="CJ16" s="182">
        <f ca="1">IF($D16&lt;&gt;"Serviço",0,IF(OR(AND(AUTOEVENTO="Manual",$M16=1),$M16&gt;(ROW(PLE.lastrow)-ROW(PLE.firstrow))),0,IF(OFFSET(PLE!$G$14,$M16,CJ$13)="",10^12,OFFSET(PLE!$G$14,$M16,CJ$13))))</f>
        <v>0</v>
      </c>
      <c r="CK16" s="182">
        <f ca="1">IF($D16&lt;&gt;"Serviço",0,IF(OR(AND(AUTOEVENTO="Manual",$M16=1),$M16&gt;(ROW(PLE.lastrow)-ROW(PLE.firstrow))),0,IF(OFFSET(PLE!$G$14,$M16,CK$13)="",10^12,OFFSET(PLE!$G$14,$M16,CK$13))))</f>
        <v>0</v>
      </c>
      <c r="CL16" s="182">
        <f ca="1">IF($D16&lt;&gt;"Serviço",0,IF(OR(AND(AUTOEVENTO="Manual",$M16=1),$M16&gt;(ROW(PLE.lastrow)-ROW(PLE.firstrow))),0,IF(OFFSET(PLE!$G$14,$M16,CL$13)="",10^12,OFFSET(PLE!$G$14,$M16,CL$13))))</f>
        <v>0</v>
      </c>
      <c r="CM16" s="182">
        <f ca="1">IF($D16&lt;&gt;"Serviço",0,IF(OR(AND(AUTOEVENTO="Manual",$M16=1),$M16&gt;(ROW(PLE.lastrow)-ROW(PLE.firstrow))),0,IF(OFFSET(PLE!$G$14,$M16,CM$13)="",10^12,OFFSET(PLE!$G$14,$M16,CM$13))))</f>
        <v>0</v>
      </c>
    </row>
    <row r="17" spans="1:91" ht="12.75" x14ac:dyDescent="0.2">
      <c r="A17" s="7" t="str">
        <f t="shared" ca="1" si="9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>ADMINISTRAÇÃO CENTRAL (ADM)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IF($D17&lt;&gt;"Serviço",0,IF(ACOMPANHAMENTO="BM",ROUND(OFFSET(ORÇAMENTO!AJ$15,ROW(H17)-ROW(H$15),0),15-13*ORÇAMENTO!$AF$7),SUMPRODUCT(($Q$12:$AI$12&lt;&gt;"")*ROUND($Q17:$AI17,15-13*ORÇAMENTO!$AF$7))))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A17" s="179"/>
      <c r="AB17" s="179"/>
      <c r="AC17" s="179"/>
      <c r="AD17" s="179"/>
      <c r="AE17" s="179"/>
      <c r="AF17" s="179"/>
      <c r="AG17" s="179"/>
      <c r="AH17" s="180"/>
      <c r="AJ17" s="544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5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L17" s="545">
        <f ca="1">IF(AND($D17="Serviço",AL$12&lt;&gt;0,$H17&gt;0,OR(AUTOEVENTO&lt;&gt;"manual",$M17&lt;&gt;1)),
IF(Import.TipoArredondamento&lt;&gt;"TransfereGOV",
ROUND(OFFSET($P17,0,AL$13),15-13*ORÇAMENTO!$AF$7)/$H17*OFFSET(ORÇAMENTO!$X$15,ROW(AL17)-ROW(AL$15),0),
ROUND(ROUND(OFFSET($P17,0,AL$13),15-13*ORÇAMENTO!$AF$7)*OFFSET(ORÇAMENTO!$W$15,ROW(AL17)-ROW(AL$15),0),15-13*ORÇAMENTO!$AF$11)),0)</f>
        <v>0</v>
      </c>
      <c r="AM17" s="545">
        <f ca="1">IF(AND($D17="Serviço",AM$12&lt;&gt;0,$H17&gt;0,OR(AUTOEVENTO&lt;&gt;"manual",$M17&lt;&gt;1)),
IF(Import.TipoArredondamento&lt;&gt;"TransfereGOV",
ROUND(OFFSET($P17,0,AM$13),15-13*ORÇAMENTO!$AF$7)/$H17*OFFSET(ORÇAMENTO!$X$15,ROW(AM17)-ROW(AM$15),0),
ROUND(ROUND(OFFSET($P17,0,AM$13),15-13*ORÇAMENTO!$AF$7)*OFFSET(ORÇAMENTO!$W$15,ROW(AM17)-ROW(AM$15),0),15-13*ORÇAMENTO!$AF$11)),0)</f>
        <v>0</v>
      </c>
      <c r="AN17" s="545">
        <f ca="1">IF(AND($D17="Serviço",AN$12&lt;&gt;0,$H17&gt;0,OR(AUTOEVENTO&lt;&gt;"manual",$M17&lt;&gt;1)),
IF(Import.TipoArredondamento&lt;&gt;"TransfereGOV",
ROUND(OFFSET($P17,0,AN$13),15-13*ORÇAMENTO!$AF$7)/$H17*OFFSET(ORÇAMENTO!$X$15,ROW(AN17)-ROW(AN$15),0),
ROUND(ROUND(OFFSET($P17,0,AN$13),15-13*ORÇAMENTO!$AF$7)*OFFSET(ORÇAMENTO!$W$15,ROW(AN17)-ROW(AN$15),0),15-13*ORÇAMENTO!$AF$11)),0)</f>
        <v>0</v>
      </c>
      <c r="AO17" s="545">
        <f ca="1">IF(AND($D17="Serviço",AO$12&lt;&gt;0,$H17&gt;0,OR(AUTOEVENTO&lt;&gt;"manual",$M17&lt;&gt;1)),
IF(Import.TipoArredondamento&lt;&gt;"TransfereGOV",
ROUND(OFFSET($P17,0,AO$13),15-13*ORÇAMENTO!$AF$7)/$H17*OFFSET(ORÇAMENTO!$X$15,ROW(AO17)-ROW(AO$15),0),
ROUND(ROUND(OFFSET($P17,0,AO$13),15-13*ORÇAMENTO!$AF$7)*OFFSET(ORÇAMENTO!$W$15,ROW(AO17)-ROW(AO$15),0),15-13*ORÇAMENTO!$AF$11)),0)</f>
        <v>0</v>
      </c>
      <c r="AP17" s="545">
        <f ca="1">IF(AND($D17="Serviço",AP$12&lt;&gt;0,$H17&gt;0,OR(AUTOEVENTO&lt;&gt;"manual",$M17&lt;&gt;1)),
IF(Import.TipoArredondamento&lt;&gt;"TransfereGOV",
ROUND(OFFSET($P17,0,AP$13),15-13*ORÇAMENTO!$AF$7)/$H17*OFFSET(ORÇAMENTO!$X$15,ROW(AP17)-ROW(AP$15),0),
ROUND(ROUND(OFFSET($P17,0,AP$13),15-13*ORÇAMENTO!$AF$7)*OFFSET(ORÇAMENTO!$W$15,ROW(AP17)-ROW(AP$15),0),15-13*ORÇAMENTO!$AF$11)),0)</f>
        <v>0</v>
      </c>
      <c r="AQ17" s="545">
        <f ca="1">IF(AND($D17="Serviço",AQ$12&lt;&gt;0,$H17&gt;0,OR(AUTOEVENTO&lt;&gt;"manual",$M17&lt;&gt;1)),
IF(Import.TipoArredondamento&lt;&gt;"TransfereGOV",
ROUND(OFFSET($P17,0,AQ$13),15-13*ORÇAMENTO!$AF$7)/$H17*OFFSET(ORÇAMENTO!$X$15,ROW(AQ17)-ROW(AQ$15),0),
ROUND(ROUND(OFFSET($P17,0,AQ$13),15-13*ORÇAMENTO!$AF$7)*OFFSET(ORÇAMENTO!$W$15,ROW(AQ17)-ROW(AQ$15),0),15-13*ORÇAMENTO!$AF$11)),0)</f>
        <v>0</v>
      </c>
      <c r="AR17" s="545">
        <f ca="1">IF(AND($D17="Serviço",AR$12&lt;&gt;0,$H17&gt;0,OR(AUTOEVENTO&lt;&gt;"manual",$M17&lt;&gt;1)),
IF(Import.TipoArredondamento&lt;&gt;"TransfereGOV",
ROUND(OFFSET($P17,0,AR$13),15-13*ORÇAMENTO!$AF$7)/$H17*OFFSET(ORÇAMENTO!$X$15,ROW(AR17)-ROW(AR$15),0),
ROUND(ROUND(OFFSET($P17,0,AR$13),15-13*ORÇAMENTO!$AF$7)*OFFSET(ORÇAMENTO!$W$15,ROW(AR17)-ROW(AR$15),0),15-13*ORÇAMENTO!$AF$11)),0)</f>
        <v>0</v>
      </c>
      <c r="AS17" s="546">
        <f ca="1">IF(AND($D17="Serviço",AS$12&lt;&gt;0,$H17&gt;0,OR(AUTOEVENTO&lt;&gt;"manual",$M17&lt;&gt;1)),
IF(Import.TipoArredondamento&lt;&gt;"TransfereGOV",
ROUND(OFFSET($P17,0,AS$13),15-13*ORÇAMENTO!$AF$7)/$H17*OFFSET(ORÇAMENTO!$X$15,ROW(AS17)-ROW(AS$15),0),
ROUND(ROUND(OFFSET($P17,0,AS$13),15-13*ORÇAMENTO!$AF$7)*OFFSET(ORÇAMENTO!$W$15,ROW(AS17)-ROW(AS$15),0),15-13*ORÇAMENTO!$AF$11)),0)</f>
        <v>0</v>
      </c>
      <c r="AT17" s="545">
        <f ca="1">IF(AND($D17="Serviço",AT$12&lt;&gt;0,$H17&gt;0,OR(AUTOEVENTO&lt;&gt;"manual",$M17&lt;&gt;1)),
IF(Import.TipoArredondamento&lt;&gt;"TransfereGOV",
ROUND(OFFSET($P17,0,AT$13),15-13*ORÇAMENTO!$AF$7)/$H17*OFFSET(ORÇAMENTO!$X$15,ROW(AT17)-ROW(AT$15),0),
ROUND(ROUND(OFFSET($P17,0,AT$13),15-13*ORÇAMENTO!$AF$7)*OFFSET(ORÇAMENTO!$W$15,ROW(AT17)-ROW(AT$15),0),15-13*ORÇAMENTO!$AF$11)),0)</f>
        <v>0</v>
      </c>
      <c r="AU17" s="545">
        <f ca="1">IF(AND($D17="Serviço",AU$12&lt;&gt;0,$H17&gt;0,OR(AUTOEVENTO&lt;&gt;"manual",$M17&lt;&gt;1)),
IF(Import.TipoArredondamento&lt;&gt;"TransfereGOV",
ROUND(OFFSET($P17,0,AU$13),15-13*ORÇAMENTO!$AF$7)/$H17*OFFSET(ORÇAMENTO!$X$15,ROW(AU17)-ROW(AU$15),0),
ROUND(ROUND(OFFSET($P17,0,AU$13),15-13*ORÇAMENTO!$AF$7)*OFFSET(ORÇAMENTO!$W$15,ROW(AU17)-ROW(AU$15),0),15-13*ORÇAMENTO!$AF$11)),0)</f>
        <v>0</v>
      </c>
      <c r="AV17" s="545">
        <f ca="1">IF(AND($D17="Serviço",AV$12&lt;&gt;0,$H17&gt;0,OR(AUTOEVENTO&lt;&gt;"manual",$M17&lt;&gt;1)),
IF(Import.TipoArredondamento&lt;&gt;"TransfereGOV",
ROUND(OFFSET($P17,0,AV$13),15-13*ORÇAMENTO!$AF$7)/$H17*OFFSET(ORÇAMENTO!$X$15,ROW(AV17)-ROW(AV$15),0),
ROUND(ROUND(OFFSET($P17,0,AV$13),15-13*ORÇAMENTO!$AF$7)*OFFSET(ORÇAMENTO!$W$15,ROW(AV17)-ROW(AV$15),0),15-13*ORÇAMENTO!$AF$11)),0)</f>
        <v>0</v>
      </c>
      <c r="AW17" s="545">
        <f ca="1">IF(AND($D17="Serviço",AW$12&lt;&gt;0,$H17&gt;0,OR(AUTOEVENTO&lt;&gt;"manual",$M17&lt;&gt;1)),
IF(Import.TipoArredondamento&lt;&gt;"TransfereGOV",
ROUND(OFFSET($P17,0,AW$13),15-13*ORÇAMENTO!$AF$7)/$H17*OFFSET(ORÇAMENTO!$X$15,ROW(AW17)-ROW(AW$15),0),
ROUND(ROUND(OFFSET($P17,0,AW$13),15-13*ORÇAMENTO!$AF$7)*OFFSET(ORÇAMENTO!$W$15,ROW(AW17)-ROW(AW$15),0),15-13*ORÇAMENTO!$AF$11)),0)</f>
        <v>0</v>
      </c>
      <c r="AX17" s="545">
        <f ca="1">IF(AND($D17="Serviço",AX$12&lt;&gt;0,$H17&gt;0,OR(AUTOEVENTO&lt;&gt;"manual",$M17&lt;&gt;1)),
IF(Import.TipoArredondamento&lt;&gt;"TransfereGOV",
ROUND(OFFSET($P17,0,AX$13),15-13*ORÇAMENTO!$AF$7)/$H17*OFFSET(ORÇAMENTO!$X$15,ROW(AX17)-ROW(AX$15),0),
ROUND(ROUND(OFFSET($P17,0,AX$13),15-13*ORÇAMENTO!$AF$7)*OFFSET(ORÇAMENTO!$W$15,ROW(AX17)-ROW(AX$15),0),15-13*ORÇAMENTO!$AF$11)),0)</f>
        <v>0</v>
      </c>
      <c r="AY17" s="545">
        <f ca="1">IF(AND($D17="Serviço",AY$12&lt;&gt;0,$H17&gt;0,OR(AUTOEVENTO&lt;&gt;"manual",$M17&lt;&gt;1)),
IF(Import.TipoArredondamento&lt;&gt;"TransfereGOV",
ROUND(OFFSET($P17,0,AY$13),15-13*ORÇAMENTO!$AF$7)/$H17*OFFSET(ORÇAMENTO!$X$15,ROW(AY17)-ROW(AY$15),0),
ROUND(ROUND(OFFSET($P17,0,AY$13),15-13*ORÇAMENTO!$AF$7)*OFFSET(ORÇAMENTO!$W$15,ROW(AY17)-ROW(AY$15),0),15-13*ORÇAMENTO!$AF$11)),0)</f>
        <v>0</v>
      </c>
      <c r="AZ17" s="545">
        <f ca="1">IF(AND($D17="Serviço",AZ$12&lt;&gt;0,$H17&gt;0,OR(AUTOEVENTO&lt;&gt;"manual",$M17&lt;&gt;1)),
IF(Import.TipoArredondamento&lt;&gt;"TransfereGOV",
ROUND(OFFSET($P17,0,AZ$13),15-13*ORÇAMENTO!$AF$7)/$H17*OFFSET(ORÇAMENTO!$X$15,ROW(AZ17)-ROW(AZ$15),0),
ROUND(ROUND(OFFSET($P17,0,AZ$13),15-13*ORÇAMENTO!$AF$7)*OFFSET(ORÇAMENTO!$W$15,ROW(AZ17)-ROW(AZ$15),0),15-13*ORÇAMENTO!$AF$11)),0)</f>
        <v>0</v>
      </c>
      <c r="BA17" s="546">
        <f ca="1">IF(AND($D17="Serviço",BA$12&lt;&gt;0,$H17&gt;0,OR(AUTOEVENTO&lt;&gt;"manual",$M17&lt;&gt;1)),
IF(Import.TipoArredondamento&lt;&gt;"TransfereGOV",
ROUND(OFFSET($P17,0,BA$13),15-13*ORÇAMENTO!$AF$7)/$H17*OFFSET(ORÇAMENTO!$X$15,ROW(BA17)-ROW(BA$15),0),
ROUND(ROUND(OFFSET($P17,0,BA$13),15-13*ORÇAMENTO!$AF$7)*OFFSET(ORÇAMENTO!$W$15,ROW(BA17)-ROW(BA$15),0),15-13*ORÇAMENTO!$AF$11)),0)</f>
        <v>0</v>
      </c>
      <c r="BC17" s="181">
        <f ca="1">IF($D17&lt;&gt;"Serviço",0,IF(AND(AUTOEVENTO="Manual",$M17=1),0,IF(OFFSET(CRONOPLE!$F$14,$M17,BC$13)="",10^12,OFFSET(CRONOPLE!$F$14,$M17,BC$13))))</f>
        <v>0</v>
      </c>
      <c r="BD17" s="181">
        <f ca="1">IF($D17&lt;&gt;"Serviço",0,IF(AND(AUTOEVENTO="Manual",$M17=1),0,IF(OFFSET(CRONOPLE!$F$14,$M17,BD$13)="",10^12,OFFSET(CRONOPLE!$F$14,$M17,BD$13))))</f>
        <v>0</v>
      </c>
      <c r="BE17" s="181">
        <f ca="1">IF($D17&lt;&gt;"Serviço",0,IF(AND(AUTOEVENTO="Manual",$M17=1),0,IF(OFFSET(CRONOPLE!$F$14,$M17,BE$13)="",10^12,OFFSET(CRONOPLE!$F$14,$M17,BE$13))))</f>
        <v>0</v>
      </c>
      <c r="BF17" s="181">
        <f ca="1">IF($D17&lt;&gt;"Serviço",0,IF(AND(AUTOEVENTO="Manual",$M17=1),0,IF(OFFSET(CRONOPLE!$F$14,$M17,BF$13)="",10^12,OFFSET(CRONOPLE!$F$14,$M17,BF$13))))</f>
        <v>0</v>
      </c>
      <c r="BG17" s="181">
        <f ca="1">IF($D17&lt;&gt;"Serviço",0,IF(AND(AUTOEVENTO="Manual",$M17=1),0,IF(OFFSET(CRONOPLE!$F$14,$M17,BG$13)="",10^12,OFFSET(CRONOPLE!$F$14,$M17,BG$13))))</f>
        <v>0</v>
      </c>
      <c r="BH17" s="181">
        <f ca="1">IF($D17&lt;&gt;"Serviço",0,IF(AND(AUTOEVENTO="Manual",$M17=1),0,IF(OFFSET(CRONOPLE!$F$14,$M17,BH$13)="",10^12,OFFSET(CRONOPLE!$F$14,$M17,BH$13))))</f>
        <v>0</v>
      </c>
      <c r="BI17" s="181">
        <f ca="1">IF($D17&lt;&gt;"Serviço",0,IF(AND(AUTOEVENTO="Manual",$M17=1),0,IF(OFFSET(CRONOPLE!$F$14,$M17,BI$13)="",10^12,OFFSET(CRONOPLE!$F$14,$M17,BI$13))))</f>
        <v>0</v>
      </c>
      <c r="BJ17" s="181">
        <f ca="1">IF($D17&lt;&gt;"Serviço",0,IF(AND(AUTOEVENTO="Manual",$M17=1),0,IF(OFFSET(CRONOPLE!$F$14,$M17,BJ$13)="",10^12,OFFSET(CRONOPLE!$F$14,$M17,BJ$13))))</f>
        <v>0</v>
      </c>
      <c r="BK17" s="181">
        <f ca="1">IF($D17&lt;&gt;"Serviço",0,IF(AND(AUTOEVENTO="Manual",$M17=1),0,IF(OFFSET(CRONOPLE!$F$14,$M17,BK$13)="",10^12,OFFSET(CRONOPLE!$F$14,$M17,BK$13))))</f>
        <v>0</v>
      </c>
      <c r="BL17" s="181">
        <f ca="1">IF($D17&lt;&gt;"Serviço",0,IF(AND(AUTOEVENTO="Manual",$M17=1),0,IF(OFFSET(CRONOPLE!$F$14,$M17,BL$13)="",10^12,OFFSET(CRONOPLE!$F$14,$M17,BL$13))))</f>
        <v>0</v>
      </c>
      <c r="BM17" s="181">
        <f ca="1">IF($D17&lt;&gt;"Serviço",0,IF(AND(AUTOEVENTO="Manual",$M17=1),0,IF(OFFSET(CRONOPLE!$F$14,$M17,BM$13)="",10^12,OFFSET(CRONOPLE!$F$14,$M17,BM$13))))</f>
        <v>0</v>
      </c>
      <c r="BN17" s="181">
        <f ca="1">IF($D17&lt;&gt;"Serviço",0,IF(AND(AUTOEVENTO="Manual",$M17=1),0,IF(OFFSET(CRONOPLE!$F$14,$M17,BN$13)="",10^12,OFFSET(CRONOPLE!$F$14,$M17,BN$13))))</f>
        <v>0</v>
      </c>
      <c r="BO17" s="181">
        <f ca="1">IF($D17&lt;&gt;"Serviço",0,IF(AND(AUTOEVENTO="Manual",$M17=1),0,IF(OFFSET(CRONOPLE!$F$14,$M17,BO$13)="",10^12,OFFSET(CRONOPLE!$F$14,$M17,BO$13))))</f>
        <v>0</v>
      </c>
      <c r="BP17" s="181">
        <f ca="1">IF($D17&lt;&gt;"Serviço",0,IF(AND(AUTOEVENTO="Manual",$M17=1),0,IF(OFFSET(CRONOPLE!$F$14,$M17,BP$13)="",10^12,OFFSET(CRONOPLE!$F$14,$M17,BP$13))))</f>
        <v>0</v>
      </c>
      <c r="BQ17" s="181">
        <f ca="1">IF($D17&lt;&gt;"Serviço",0,IF(AND(AUTOEVENTO="Manual",$M17=1),0,IF(OFFSET(CRONOPLE!$F$14,$M17,BQ$13)="",10^12,OFFSET(CRONOPLE!$F$14,$M17,BQ$13))))</f>
        <v>0</v>
      </c>
      <c r="BR17" s="181">
        <f ca="1">IF($D17&lt;&gt;"Serviço",0,IF(AND(AUTOEVENTO="Manual",$M17=1),0,IF(OFFSET(CRONOPLE!$F$14,$M17,BR$13)="",10^12,OFFSET(CRONOPLE!$F$14,$M17,BR$13))))</f>
        <v>0</v>
      </c>
      <c r="BS17" s="181">
        <f ca="1">IF($D17&lt;&gt;"Serviço",0,IF(AND(AUTOEVENTO="Manual",$M17=1),0,IF(OFFSET(CRONOPLE!$F$14,$M17,BS$13)="",10^12,OFFSET(CRONOPLE!$F$14,$M17,BS$13))))</f>
        <v>0</v>
      </c>
      <c r="BT17" s="181">
        <f ca="1">IF($D17&lt;&gt;"Serviço",0,IF(AND(AUTOEVENTO="Manual",$M17=1),0,IF(OFFSET(CRONOPLE!$F$14,$M17,BT$13)="",10^12,OFFSET(CRONOPLE!$F$14,$M17,BT$13))))</f>
        <v>0</v>
      </c>
      <c r="BV17" s="182">
        <f ca="1">IF($D17&lt;&gt;"Serviço",0,IF(OR(AND(AUTOEVENTO="Manual",$M17=1),$M17&gt;(ROW(PLE.lastrow)-ROW(PLE.firstrow))),0,IF(OFFSET(PLE!$G$14,$M17,BV$13)="",10^12,OFFSET(PLE!$G$14,$M17,BV$13))))</f>
        <v>0</v>
      </c>
      <c r="BW17" s="182">
        <f ca="1">IF($D17&lt;&gt;"Serviço",0,IF(OR(AND(AUTOEVENTO="Manual",$M17=1),$M17&gt;(ROW(PLE.lastrow)-ROW(PLE.firstrow))),0,IF(OFFSET(PLE!$G$14,$M17,BW$13)="",10^12,OFFSET(PLE!$G$14,$M17,BW$13))))</f>
        <v>0</v>
      </c>
      <c r="BX17" s="182">
        <f ca="1">IF($D17&lt;&gt;"Serviço",0,IF(OR(AND(AUTOEVENTO="Manual",$M17=1),$M17&gt;(ROW(PLE.lastrow)-ROW(PLE.firstrow))),0,IF(OFFSET(PLE!$G$14,$M17,BX$13)="",10^12,OFFSET(PLE!$G$14,$M17,BX$13))))</f>
        <v>0</v>
      </c>
      <c r="BY17" s="182">
        <f ca="1">IF($D17&lt;&gt;"Serviço",0,IF(OR(AND(AUTOEVENTO="Manual",$M17=1),$M17&gt;(ROW(PLE.lastrow)-ROW(PLE.firstrow))),0,IF(OFFSET(PLE!$G$14,$M17,BY$13)="",10^12,OFFSET(PLE!$G$14,$M17,BY$13))))</f>
        <v>0</v>
      </c>
      <c r="BZ17" s="182">
        <f ca="1">IF($D17&lt;&gt;"Serviço",0,IF(OR(AND(AUTOEVENTO="Manual",$M17=1),$M17&gt;(ROW(PLE.lastrow)-ROW(PLE.firstrow))),0,IF(OFFSET(PLE!$G$14,$M17,BZ$13)="",10^12,OFFSET(PLE!$G$14,$M17,BZ$13))))</f>
        <v>0</v>
      </c>
      <c r="CA17" s="182">
        <f ca="1">IF($D17&lt;&gt;"Serviço",0,IF(OR(AND(AUTOEVENTO="Manual",$M17=1),$M17&gt;(ROW(PLE.lastrow)-ROW(PLE.firstrow))),0,IF(OFFSET(PLE!$G$14,$M17,CA$13)="",10^12,OFFSET(PLE!$G$14,$M17,CA$13))))</f>
        <v>0</v>
      </c>
      <c r="CB17" s="182">
        <f ca="1">IF($D17&lt;&gt;"Serviço",0,IF(OR(AND(AUTOEVENTO="Manual",$M17=1),$M17&gt;(ROW(PLE.lastrow)-ROW(PLE.firstrow))),0,IF(OFFSET(PLE!$G$14,$M17,CB$13)="",10^12,OFFSET(PLE!$G$14,$M17,CB$13))))</f>
        <v>0</v>
      </c>
      <c r="CC17" s="182">
        <f ca="1">IF($D17&lt;&gt;"Serviço",0,IF(OR(AND(AUTOEVENTO="Manual",$M17=1),$M17&gt;(ROW(PLE.lastrow)-ROW(PLE.firstrow))),0,IF(OFFSET(PLE!$G$14,$M17,CC$13)="",10^12,OFFSET(PLE!$G$14,$M17,CC$13))))</f>
        <v>0</v>
      </c>
      <c r="CD17" s="182">
        <f ca="1">IF($D17&lt;&gt;"Serviço",0,IF(OR(AND(AUTOEVENTO="Manual",$M17=1),$M17&gt;(ROW(PLE.lastrow)-ROW(PLE.firstrow))),0,IF(OFFSET(PLE!$G$14,$M17,CD$13)="",10^12,OFFSET(PLE!$G$14,$M17,CD$13))))</f>
        <v>0</v>
      </c>
      <c r="CE17" s="182">
        <f ca="1">IF($D17&lt;&gt;"Serviço",0,IF(OR(AND(AUTOEVENTO="Manual",$M17=1),$M17&gt;(ROW(PLE.lastrow)-ROW(PLE.firstrow))),0,IF(OFFSET(PLE!$G$14,$M17,CE$13)="",10^12,OFFSET(PLE!$G$14,$M17,CE$13))))</f>
        <v>0</v>
      </c>
      <c r="CF17" s="182">
        <f ca="1">IF($D17&lt;&gt;"Serviço",0,IF(OR(AND(AUTOEVENTO="Manual",$M17=1),$M17&gt;(ROW(PLE.lastrow)-ROW(PLE.firstrow))),0,IF(OFFSET(PLE!$G$14,$M17,CF$13)="",10^12,OFFSET(PLE!$G$14,$M17,CF$13))))</f>
        <v>0</v>
      </c>
      <c r="CG17" s="182">
        <f ca="1">IF($D17&lt;&gt;"Serviço",0,IF(OR(AND(AUTOEVENTO="Manual",$M17=1),$M17&gt;(ROW(PLE.lastrow)-ROW(PLE.firstrow))),0,IF(OFFSET(PLE!$G$14,$M17,CG$13)="",10^12,OFFSET(PLE!$G$14,$M17,CG$13))))</f>
        <v>0</v>
      </c>
      <c r="CH17" s="182">
        <f ca="1">IF($D17&lt;&gt;"Serviço",0,IF(OR(AND(AUTOEVENTO="Manual",$M17=1),$M17&gt;(ROW(PLE.lastrow)-ROW(PLE.firstrow))),0,IF(OFFSET(PLE!$G$14,$M17,CH$13)="",10^12,OFFSET(PLE!$G$14,$M17,CH$13))))</f>
        <v>0</v>
      </c>
      <c r="CI17" s="182">
        <f ca="1">IF($D17&lt;&gt;"Serviço",0,IF(OR(AND(AUTOEVENTO="Manual",$M17=1),$M17&gt;(ROW(PLE.lastrow)-ROW(PLE.firstrow))),0,IF(OFFSET(PLE!$G$14,$M17,CI$13)="",10^12,OFFSET(PLE!$G$14,$M17,CI$13))))</f>
        <v>0</v>
      </c>
      <c r="CJ17" s="182">
        <f ca="1">IF($D17&lt;&gt;"Serviço",0,IF(OR(AND(AUTOEVENTO="Manual",$M17=1),$M17&gt;(ROW(PLE.lastrow)-ROW(PLE.firstrow))),0,IF(OFFSET(PLE!$G$14,$M17,CJ$13)="",10^12,OFFSET(PLE!$G$14,$M17,CJ$13))))</f>
        <v>0</v>
      </c>
      <c r="CK17" s="182">
        <f ca="1">IF($D17&lt;&gt;"Serviço",0,IF(OR(AND(AUTOEVENTO="Manual",$M17=1),$M17&gt;(ROW(PLE.lastrow)-ROW(PLE.firstrow))),0,IF(OFFSET(PLE!$G$14,$M17,CK$13)="",10^12,OFFSET(PLE!$G$14,$M17,CK$13))))</f>
        <v>0</v>
      </c>
      <c r="CL17" s="182">
        <f ca="1">IF($D17&lt;&gt;"Serviço",0,IF(OR(AND(AUTOEVENTO="Manual",$M17=1),$M17&gt;(ROW(PLE.lastrow)-ROW(PLE.firstrow))),0,IF(OFFSET(PLE!$G$14,$M17,CL$13)="",10^12,OFFSET(PLE!$G$14,$M17,CL$13))))</f>
        <v>0</v>
      </c>
      <c r="CM17" s="182">
        <f ca="1">IF($D17&lt;&gt;"Serviço",0,IF(OR(AND(AUTOEVENTO="Manual",$M17=1),$M17&gt;(ROW(PLE.lastrow)-ROW(PLE.firstrow))),0,IF(OFFSET(PLE!$G$14,$M17,CM$13)="",10^12,OFFSET(PLE!$G$14,$M17,CM$13))))</f>
        <v>0</v>
      </c>
    </row>
    <row r="18" spans="1:91" ht="25.5" x14ac:dyDescent="0.2">
      <c r="A18" s="7" t="str">
        <f t="shared" ca="1" si="9"/>
        <v>2</v>
      </c>
      <c r="B18" s="7" t="str">
        <f ca="1">OFFSET(ORÇAMENTO!C$15,ROW(B18)-ROW(B$15),0)</f>
        <v>S</v>
      </c>
      <c r="C18" s="7" t="str">
        <f ca="1">OFFSET(ORÇAMENTO!L$15,ROW(C18)-ROW(C$15),0)</f>
        <v/>
      </c>
      <c r="D18" s="118" t="str">
        <f ca="1">OFFSET(ORÇAMENTO!N$15,ROW(D18)-ROW(D$15),0)</f>
        <v>Serviço</v>
      </c>
      <c r="E18" s="119" t="str">
        <f ca="1">OFFSET(ORÇAMENTO!O$15,ROW(E18)-ROW(E$15),0)</f>
        <v>-</v>
      </c>
      <c r="F18" s="172" t="str">
        <f ca="1">OFFSET(ORÇAMENTO!R$15,ROW(F18)-ROW(F$15),0)</f>
        <v>(abra o arquivo 'Referência 06-2024.xlsm)</v>
      </c>
      <c r="G18" s="173" t="str">
        <f ca="1">IF($D18&lt;&gt;"Serviço","",OFFSET(ORÇAMENTO!S$15,ROW(G18)-ROW(G$15),0))</f>
        <v>-</v>
      </c>
      <c r="H18" s="124">
        <f ca="1">IF($D18&lt;&gt;"Serviço",0,IF(ACOMPANHAMENTO="BM",ROUND(OFFSET(ORÇAMENTO!AJ$15,ROW(H18)-ROW(H$15),0),15-13*ORÇAMENTO!$AF$7),SUMPRODUCT(($Q$12:$AI$12&lt;&gt;"")*ROUND($Q18:$AI18,15-13*ORÇAMENTO!$AF$7))))</f>
        <v>1</v>
      </c>
      <c r="I18" s="561" t="s">
        <v>1107</v>
      </c>
      <c r="K18" s="174" t="s">
        <v>472</v>
      </c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>ADMINISTRAÇÃO CENTRAL (ADM)</v>
      </c>
      <c r="O18" s="178"/>
      <c r="Q18" s="178">
        <v>1</v>
      </c>
      <c r="R18" s="179"/>
      <c r="S18" s="179"/>
      <c r="T18" s="179"/>
      <c r="U18" s="179"/>
      <c r="V18" s="179"/>
      <c r="W18" s="179"/>
      <c r="X18" s="179"/>
      <c r="Y18" s="179"/>
      <c r="Z18" s="180"/>
      <c r="AA18" s="179"/>
      <c r="AB18" s="179"/>
      <c r="AC18" s="179"/>
      <c r="AD18" s="179"/>
      <c r="AE18" s="179"/>
      <c r="AF18" s="179"/>
      <c r="AG18" s="179"/>
      <c r="AH18" s="180"/>
      <c r="AJ18" s="544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5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L18" s="545">
        <f ca="1">IF(AND($D18="Serviço",AL$12&lt;&gt;0,$H18&gt;0,OR(AUTOEVENTO&lt;&gt;"manual",$M18&lt;&gt;1)),
IF(Import.TipoArredondamento&lt;&gt;"TransfereGOV",
ROUND(OFFSET($P18,0,AL$13),15-13*ORÇAMENTO!$AF$7)/$H18*OFFSET(ORÇAMENTO!$X$15,ROW(AL18)-ROW(AL$15),0),
ROUND(ROUND(OFFSET($P18,0,AL$13),15-13*ORÇAMENTO!$AF$7)*OFFSET(ORÇAMENTO!$W$15,ROW(AL18)-ROW(AL$15),0),15-13*ORÇAMENTO!$AF$11)),0)</f>
        <v>0</v>
      </c>
      <c r="AM18" s="545">
        <f ca="1">IF(AND($D18="Serviço",AM$12&lt;&gt;0,$H18&gt;0,OR(AUTOEVENTO&lt;&gt;"manual",$M18&lt;&gt;1)),
IF(Import.TipoArredondamento&lt;&gt;"TransfereGOV",
ROUND(OFFSET($P18,0,AM$13),15-13*ORÇAMENTO!$AF$7)/$H18*OFFSET(ORÇAMENTO!$X$15,ROW(AM18)-ROW(AM$15),0),
ROUND(ROUND(OFFSET($P18,0,AM$13),15-13*ORÇAMENTO!$AF$7)*OFFSET(ORÇAMENTO!$W$15,ROW(AM18)-ROW(AM$15),0),15-13*ORÇAMENTO!$AF$11)),0)</f>
        <v>0</v>
      </c>
      <c r="AN18" s="545">
        <f ca="1">IF(AND($D18="Serviço",AN$12&lt;&gt;0,$H18&gt;0,OR(AUTOEVENTO&lt;&gt;"manual",$M18&lt;&gt;1)),
IF(Import.TipoArredondamento&lt;&gt;"TransfereGOV",
ROUND(OFFSET($P18,0,AN$13),15-13*ORÇAMENTO!$AF$7)/$H18*OFFSET(ORÇAMENTO!$X$15,ROW(AN18)-ROW(AN$15),0),
ROUND(ROUND(OFFSET($P18,0,AN$13),15-13*ORÇAMENTO!$AF$7)*OFFSET(ORÇAMENTO!$W$15,ROW(AN18)-ROW(AN$15),0),15-13*ORÇAMENTO!$AF$11)),0)</f>
        <v>0</v>
      </c>
      <c r="AO18" s="545">
        <f ca="1">IF(AND($D18="Serviço",AO$12&lt;&gt;0,$H18&gt;0,OR(AUTOEVENTO&lt;&gt;"manual",$M18&lt;&gt;1)),
IF(Import.TipoArredondamento&lt;&gt;"TransfereGOV",
ROUND(OFFSET($P18,0,AO$13),15-13*ORÇAMENTO!$AF$7)/$H18*OFFSET(ORÇAMENTO!$X$15,ROW(AO18)-ROW(AO$15),0),
ROUND(ROUND(OFFSET($P18,0,AO$13),15-13*ORÇAMENTO!$AF$7)*OFFSET(ORÇAMENTO!$W$15,ROW(AO18)-ROW(AO$15),0),15-13*ORÇAMENTO!$AF$11)),0)</f>
        <v>0</v>
      </c>
      <c r="AP18" s="545">
        <f ca="1">IF(AND($D18="Serviço",AP$12&lt;&gt;0,$H18&gt;0,OR(AUTOEVENTO&lt;&gt;"manual",$M18&lt;&gt;1)),
IF(Import.TipoArredondamento&lt;&gt;"TransfereGOV",
ROUND(OFFSET($P18,0,AP$13),15-13*ORÇAMENTO!$AF$7)/$H18*OFFSET(ORÇAMENTO!$X$15,ROW(AP18)-ROW(AP$15),0),
ROUND(ROUND(OFFSET($P18,0,AP$13),15-13*ORÇAMENTO!$AF$7)*OFFSET(ORÇAMENTO!$W$15,ROW(AP18)-ROW(AP$15),0),15-13*ORÇAMENTO!$AF$11)),0)</f>
        <v>0</v>
      </c>
      <c r="AQ18" s="545">
        <f ca="1">IF(AND($D18="Serviço",AQ$12&lt;&gt;0,$H18&gt;0,OR(AUTOEVENTO&lt;&gt;"manual",$M18&lt;&gt;1)),
IF(Import.TipoArredondamento&lt;&gt;"TransfereGOV",
ROUND(OFFSET($P18,0,AQ$13),15-13*ORÇAMENTO!$AF$7)/$H18*OFFSET(ORÇAMENTO!$X$15,ROW(AQ18)-ROW(AQ$15),0),
ROUND(ROUND(OFFSET($P18,0,AQ$13),15-13*ORÇAMENTO!$AF$7)*OFFSET(ORÇAMENTO!$W$15,ROW(AQ18)-ROW(AQ$15),0),15-13*ORÇAMENTO!$AF$11)),0)</f>
        <v>0</v>
      </c>
      <c r="AR18" s="545">
        <f ca="1">IF(AND($D18="Serviço",AR$12&lt;&gt;0,$H18&gt;0,OR(AUTOEVENTO&lt;&gt;"manual",$M18&lt;&gt;1)),
IF(Import.TipoArredondamento&lt;&gt;"TransfereGOV",
ROUND(OFFSET($P18,0,AR$13),15-13*ORÇAMENTO!$AF$7)/$H18*OFFSET(ORÇAMENTO!$X$15,ROW(AR18)-ROW(AR$15),0),
ROUND(ROUND(OFFSET($P18,0,AR$13),15-13*ORÇAMENTO!$AF$7)*OFFSET(ORÇAMENTO!$W$15,ROW(AR18)-ROW(AR$15),0),15-13*ORÇAMENTO!$AF$11)),0)</f>
        <v>0</v>
      </c>
      <c r="AS18" s="546">
        <f ca="1">IF(AND($D18="Serviço",AS$12&lt;&gt;0,$H18&gt;0,OR(AUTOEVENTO&lt;&gt;"manual",$M18&lt;&gt;1)),
IF(Import.TipoArredondamento&lt;&gt;"TransfereGOV",
ROUND(OFFSET($P18,0,AS$13),15-13*ORÇAMENTO!$AF$7)/$H18*OFFSET(ORÇAMENTO!$X$15,ROW(AS18)-ROW(AS$15),0),
ROUND(ROUND(OFFSET($P18,0,AS$13),15-13*ORÇAMENTO!$AF$7)*OFFSET(ORÇAMENTO!$W$15,ROW(AS18)-ROW(AS$15),0),15-13*ORÇAMENTO!$AF$11)),0)</f>
        <v>0</v>
      </c>
      <c r="AT18" s="545">
        <f ca="1">IF(AND($D18="Serviço",AT$12&lt;&gt;0,$H18&gt;0,OR(AUTOEVENTO&lt;&gt;"manual",$M18&lt;&gt;1)),
IF(Import.TipoArredondamento&lt;&gt;"TransfereGOV",
ROUND(OFFSET($P18,0,AT$13),15-13*ORÇAMENTO!$AF$7)/$H18*OFFSET(ORÇAMENTO!$X$15,ROW(AT18)-ROW(AT$15),0),
ROUND(ROUND(OFFSET($P18,0,AT$13),15-13*ORÇAMENTO!$AF$7)*OFFSET(ORÇAMENTO!$W$15,ROW(AT18)-ROW(AT$15),0),15-13*ORÇAMENTO!$AF$11)),0)</f>
        <v>0</v>
      </c>
      <c r="AU18" s="545">
        <f ca="1">IF(AND($D18="Serviço",AU$12&lt;&gt;0,$H18&gt;0,OR(AUTOEVENTO&lt;&gt;"manual",$M18&lt;&gt;1)),
IF(Import.TipoArredondamento&lt;&gt;"TransfereGOV",
ROUND(OFFSET($P18,0,AU$13),15-13*ORÇAMENTO!$AF$7)/$H18*OFFSET(ORÇAMENTO!$X$15,ROW(AU18)-ROW(AU$15),0),
ROUND(ROUND(OFFSET($P18,0,AU$13),15-13*ORÇAMENTO!$AF$7)*OFFSET(ORÇAMENTO!$W$15,ROW(AU18)-ROW(AU$15),0),15-13*ORÇAMENTO!$AF$11)),0)</f>
        <v>0</v>
      </c>
      <c r="AV18" s="545">
        <f ca="1">IF(AND($D18="Serviço",AV$12&lt;&gt;0,$H18&gt;0,OR(AUTOEVENTO&lt;&gt;"manual",$M18&lt;&gt;1)),
IF(Import.TipoArredondamento&lt;&gt;"TransfereGOV",
ROUND(OFFSET($P18,0,AV$13),15-13*ORÇAMENTO!$AF$7)/$H18*OFFSET(ORÇAMENTO!$X$15,ROW(AV18)-ROW(AV$15),0),
ROUND(ROUND(OFFSET($P18,0,AV$13),15-13*ORÇAMENTO!$AF$7)*OFFSET(ORÇAMENTO!$W$15,ROW(AV18)-ROW(AV$15),0),15-13*ORÇAMENTO!$AF$11)),0)</f>
        <v>0</v>
      </c>
      <c r="AW18" s="545">
        <f ca="1">IF(AND($D18="Serviço",AW$12&lt;&gt;0,$H18&gt;0,OR(AUTOEVENTO&lt;&gt;"manual",$M18&lt;&gt;1)),
IF(Import.TipoArredondamento&lt;&gt;"TransfereGOV",
ROUND(OFFSET($P18,0,AW$13),15-13*ORÇAMENTO!$AF$7)/$H18*OFFSET(ORÇAMENTO!$X$15,ROW(AW18)-ROW(AW$15),0),
ROUND(ROUND(OFFSET($P18,0,AW$13),15-13*ORÇAMENTO!$AF$7)*OFFSET(ORÇAMENTO!$W$15,ROW(AW18)-ROW(AW$15),0),15-13*ORÇAMENTO!$AF$11)),0)</f>
        <v>0</v>
      </c>
      <c r="AX18" s="545">
        <f ca="1">IF(AND($D18="Serviço",AX$12&lt;&gt;0,$H18&gt;0,OR(AUTOEVENTO&lt;&gt;"manual",$M18&lt;&gt;1)),
IF(Import.TipoArredondamento&lt;&gt;"TransfereGOV",
ROUND(OFFSET($P18,0,AX$13),15-13*ORÇAMENTO!$AF$7)/$H18*OFFSET(ORÇAMENTO!$X$15,ROW(AX18)-ROW(AX$15),0),
ROUND(ROUND(OFFSET($P18,0,AX$13),15-13*ORÇAMENTO!$AF$7)*OFFSET(ORÇAMENTO!$W$15,ROW(AX18)-ROW(AX$15),0),15-13*ORÇAMENTO!$AF$11)),0)</f>
        <v>0</v>
      </c>
      <c r="AY18" s="545">
        <f ca="1">IF(AND($D18="Serviço",AY$12&lt;&gt;0,$H18&gt;0,OR(AUTOEVENTO&lt;&gt;"manual",$M18&lt;&gt;1)),
IF(Import.TipoArredondamento&lt;&gt;"TransfereGOV",
ROUND(OFFSET($P18,0,AY$13),15-13*ORÇAMENTO!$AF$7)/$H18*OFFSET(ORÇAMENTO!$X$15,ROW(AY18)-ROW(AY$15),0),
ROUND(ROUND(OFFSET($P18,0,AY$13),15-13*ORÇAMENTO!$AF$7)*OFFSET(ORÇAMENTO!$W$15,ROW(AY18)-ROW(AY$15),0),15-13*ORÇAMENTO!$AF$11)),0)</f>
        <v>0</v>
      </c>
      <c r="AZ18" s="545">
        <f ca="1">IF(AND($D18="Serviço",AZ$12&lt;&gt;0,$H18&gt;0,OR(AUTOEVENTO&lt;&gt;"manual",$M18&lt;&gt;1)),
IF(Import.TipoArredondamento&lt;&gt;"TransfereGOV",
ROUND(OFFSET($P18,0,AZ$13),15-13*ORÇAMENTO!$AF$7)/$H18*OFFSET(ORÇAMENTO!$X$15,ROW(AZ18)-ROW(AZ$15),0),
ROUND(ROUND(OFFSET($P18,0,AZ$13),15-13*ORÇAMENTO!$AF$7)*OFFSET(ORÇAMENTO!$W$15,ROW(AZ18)-ROW(AZ$15),0),15-13*ORÇAMENTO!$AF$11)),0)</f>
        <v>0</v>
      </c>
      <c r="BA18" s="546">
        <f ca="1">IF(AND($D18="Serviço",BA$12&lt;&gt;0,$H18&gt;0,OR(AUTOEVENTO&lt;&gt;"manual",$M18&lt;&gt;1)),
IF(Import.TipoArredondamento&lt;&gt;"TransfereGOV",
ROUND(OFFSET($P18,0,BA$13),15-13*ORÇAMENTO!$AF$7)/$H18*OFFSET(ORÇAMENTO!$X$15,ROW(BA18)-ROW(BA$15),0),
ROUND(ROUND(OFFSET($P18,0,BA$13),15-13*ORÇAMENTO!$AF$7)*OFFSET(ORÇAMENTO!$W$15,ROW(BA18)-ROW(BA$15),0),15-13*ORÇAMENTO!$AF$11)),0)</f>
        <v>0</v>
      </c>
      <c r="BC18" s="181">
        <f ca="1">IF($D18&lt;&gt;"Serviço",0,IF(AND(AUTOEVENTO="Manual",$M18=1),0,IF(OFFSET(CRONOPLE!$F$14,$M18,BC$13)="",10^12,OFFSET(CRONOPLE!$F$14,$M18,BC$13))))</f>
        <v>1</v>
      </c>
      <c r="BD18" s="181">
        <f ca="1">IF($D18&lt;&gt;"Serviço",0,IF(AND(AUTOEVENTO="Manual",$M18=1),0,IF(OFFSET(CRONOPLE!$F$14,$M18,BD$13)="",10^12,OFFSET(CRONOPLE!$F$14,$M18,BD$13))))</f>
        <v>1000000000000</v>
      </c>
      <c r="BE18" s="181">
        <f ca="1">IF($D18&lt;&gt;"Serviço",0,IF(AND(AUTOEVENTO="Manual",$M18=1),0,IF(OFFSET(CRONOPLE!$F$14,$M18,BE$13)="",10^12,OFFSET(CRONOPLE!$F$14,$M18,BE$13))))</f>
        <v>1000000000000</v>
      </c>
      <c r="BF18" s="181">
        <f ca="1">IF($D18&lt;&gt;"Serviço",0,IF(AND(AUTOEVENTO="Manual",$M18=1),0,IF(OFFSET(CRONOPLE!$F$14,$M18,BF$13)="",10^12,OFFSET(CRONOPLE!$F$14,$M18,BF$13))))</f>
        <v>1000000000000</v>
      </c>
      <c r="BG18" s="181">
        <f ca="1">IF($D18&lt;&gt;"Serviço",0,IF(AND(AUTOEVENTO="Manual",$M18=1),0,IF(OFFSET(CRONOPLE!$F$14,$M18,BG$13)="",10^12,OFFSET(CRONOPLE!$F$14,$M18,BG$13))))</f>
        <v>1000000000000</v>
      </c>
      <c r="BH18" s="181">
        <f ca="1">IF($D18&lt;&gt;"Serviço",0,IF(AND(AUTOEVENTO="Manual",$M18=1),0,IF(OFFSET(CRONOPLE!$F$14,$M18,BH$13)="",10^12,OFFSET(CRONOPLE!$F$14,$M18,BH$13))))</f>
        <v>1000000000000</v>
      </c>
      <c r="BI18" s="181">
        <f ca="1">IF($D18&lt;&gt;"Serviço",0,IF(AND(AUTOEVENTO="Manual",$M18=1),0,IF(OFFSET(CRONOPLE!$F$14,$M18,BI$13)="",10^12,OFFSET(CRONOPLE!$F$14,$M18,BI$13))))</f>
        <v>1000000000000</v>
      </c>
      <c r="BJ18" s="181">
        <f ca="1">IF($D18&lt;&gt;"Serviço",0,IF(AND(AUTOEVENTO="Manual",$M18=1),0,IF(OFFSET(CRONOPLE!$F$14,$M18,BJ$13)="",10^12,OFFSET(CRONOPLE!$F$14,$M18,BJ$13))))</f>
        <v>1000000000000</v>
      </c>
      <c r="BK18" s="181">
        <f ca="1">IF($D18&lt;&gt;"Serviço",0,IF(AND(AUTOEVENTO="Manual",$M18=1),0,IF(OFFSET(CRONOPLE!$F$14,$M18,BK$13)="",10^12,OFFSET(CRONOPLE!$F$14,$M18,BK$13))))</f>
        <v>1000000000000</v>
      </c>
      <c r="BL18" s="181">
        <f ca="1">IF($D18&lt;&gt;"Serviço",0,IF(AND(AUTOEVENTO="Manual",$M18=1),0,IF(OFFSET(CRONOPLE!$F$14,$M18,BL$13)="",10^12,OFFSET(CRONOPLE!$F$14,$M18,BL$13))))</f>
        <v>1000000000000</v>
      </c>
      <c r="BM18" s="181">
        <f ca="1">IF($D18&lt;&gt;"Serviço",0,IF(AND(AUTOEVENTO="Manual",$M18=1),0,IF(OFFSET(CRONOPLE!$F$14,$M18,BM$13)="",10^12,OFFSET(CRONOPLE!$F$14,$M18,BM$13))))</f>
        <v>1000000000000</v>
      </c>
      <c r="BN18" s="181">
        <f ca="1">IF($D18&lt;&gt;"Serviço",0,IF(AND(AUTOEVENTO="Manual",$M18=1),0,IF(OFFSET(CRONOPLE!$F$14,$M18,BN$13)="",10^12,OFFSET(CRONOPLE!$F$14,$M18,BN$13))))</f>
        <v>1000000000000</v>
      </c>
      <c r="BO18" s="181">
        <f ca="1">IF($D18&lt;&gt;"Serviço",0,IF(AND(AUTOEVENTO="Manual",$M18=1),0,IF(OFFSET(CRONOPLE!$F$14,$M18,BO$13)="",10^12,OFFSET(CRONOPLE!$F$14,$M18,BO$13))))</f>
        <v>1000000000000</v>
      </c>
      <c r="BP18" s="181">
        <f ca="1">IF($D18&lt;&gt;"Serviço",0,IF(AND(AUTOEVENTO="Manual",$M18=1),0,IF(OFFSET(CRONOPLE!$F$14,$M18,BP$13)="",10^12,OFFSET(CRONOPLE!$F$14,$M18,BP$13))))</f>
        <v>1000000000000</v>
      </c>
      <c r="BQ18" s="181">
        <f ca="1">IF($D18&lt;&gt;"Serviço",0,IF(AND(AUTOEVENTO="Manual",$M18=1),0,IF(OFFSET(CRONOPLE!$F$14,$M18,BQ$13)="",10^12,OFFSET(CRONOPLE!$F$14,$M18,BQ$13))))</f>
        <v>1000000000000</v>
      </c>
      <c r="BR18" s="181">
        <f ca="1">IF($D18&lt;&gt;"Serviço",0,IF(AND(AUTOEVENTO="Manual",$M18=1),0,IF(OFFSET(CRONOPLE!$F$14,$M18,BR$13)="",10^12,OFFSET(CRONOPLE!$F$14,$M18,BR$13))))</f>
        <v>1000000000000</v>
      </c>
      <c r="BS18" s="181">
        <f ca="1">IF($D18&lt;&gt;"Serviço",0,IF(AND(AUTOEVENTO="Manual",$M18=1),0,IF(OFFSET(CRONOPLE!$F$14,$M18,BS$13)="",10^12,OFFSET(CRONOPLE!$F$14,$M18,BS$13))))</f>
        <v>1000000000000</v>
      </c>
      <c r="BT18" s="181">
        <f ca="1">IF($D18&lt;&gt;"Serviço",0,IF(AND(AUTOEVENTO="Manual",$M18=1),0,IF(OFFSET(CRONOPLE!$F$14,$M18,BT$13)="",10^12,OFFSET(CRONOPLE!$F$14,$M18,BT$13))))</f>
        <v>1000000000000</v>
      </c>
      <c r="BV18" s="182">
        <f ca="1">IF($D18&lt;&gt;"Serviço",0,IF(OR(AND(AUTOEVENTO="Manual",$M18=1),$M18&gt;(ROW(PLE.lastrow)-ROW(PLE.firstrow))),0,IF(OFFSET(PLE!$G$14,$M18,BV$13)="",10^12,OFFSET(PLE!$G$14,$M18,BV$13))))</f>
        <v>1000000000000</v>
      </c>
      <c r="BW18" s="182">
        <f ca="1">IF($D18&lt;&gt;"Serviço",0,IF(OR(AND(AUTOEVENTO="Manual",$M18=1),$M18&gt;(ROW(PLE.lastrow)-ROW(PLE.firstrow))),0,IF(OFFSET(PLE!$G$14,$M18,BW$13)="",10^12,OFFSET(PLE!$G$14,$M18,BW$13))))</f>
        <v>1000000000000</v>
      </c>
      <c r="BX18" s="182">
        <f ca="1">IF($D18&lt;&gt;"Serviço",0,IF(OR(AND(AUTOEVENTO="Manual",$M18=1),$M18&gt;(ROW(PLE.lastrow)-ROW(PLE.firstrow))),0,IF(OFFSET(PLE!$G$14,$M18,BX$13)="",10^12,OFFSET(PLE!$G$14,$M18,BX$13))))</f>
        <v>1000000000000</v>
      </c>
      <c r="BY18" s="182">
        <f ca="1">IF($D18&lt;&gt;"Serviço",0,IF(OR(AND(AUTOEVENTO="Manual",$M18=1),$M18&gt;(ROW(PLE.lastrow)-ROW(PLE.firstrow))),0,IF(OFFSET(PLE!$G$14,$M18,BY$13)="",10^12,OFFSET(PLE!$G$14,$M18,BY$13))))</f>
        <v>1000000000000</v>
      </c>
      <c r="BZ18" s="182">
        <f ca="1">IF($D18&lt;&gt;"Serviço",0,IF(OR(AND(AUTOEVENTO="Manual",$M18=1),$M18&gt;(ROW(PLE.lastrow)-ROW(PLE.firstrow))),0,IF(OFFSET(PLE!$G$14,$M18,BZ$13)="",10^12,OFFSET(PLE!$G$14,$M18,BZ$13))))</f>
        <v>1000000000000</v>
      </c>
      <c r="CA18" s="182">
        <f ca="1">IF($D18&lt;&gt;"Serviço",0,IF(OR(AND(AUTOEVENTO="Manual",$M18=1),$M18&gt;(ROW(PLE.lastrow)-ROW(PLE.firstrow))),0,IF(OFFSET(PLE!$G$14,$M18,CA$13)="",10^12,OFFSET(PLE!$G$14,$M18,CA$13))))</f>
        <v>1000000000000</v>
      </c>
      <c r="CB18" s="182">
        <f ca="1">IF($D18&lt;&gt;"Serviço",0,IF(OR(AND(AUTOEVENTO="Manual",$M18=1),$M18&gt;(ROW(PLE.lastrow)-ROW(PLE.firstrow))),0,IF(OFFSET(PLE!$G$14,$M18,CB$13)="",10^12,OFFSET(PLE!$G$14,$M18,CB$13))))</f>
        <v>1000000000000</v>
      </c>
      <c r="CC18" s="182">
        <f ca="1">IF($D18&lt;&gt;"Serviço",0,IF(OR(AND(AUTOEVENTO="Manual",$M18=1),$M18&gt;(ROW(PLE.lastrow)-ROW(PLE.firstrow))),0,IF(OFFSET(PLE!$G$14,$M18,CC$13)="",10^12,OFFSET(PLE!$G$14,$M18,CC$13))))</f>
        <v>1000000000000</v>
      </c>
      <c r="CD18" s="182">
        <f ca="1">IF($D18&lt;&gt;"Serviço",0,IF(OR(AND(AUTOEVENTO="Manual",$M18=1),$M18&gt;(ROW(PLE.lastrow)-ROW(PLE.firstrow))),0,IF(OFFSET(PLE!$G$14,$M18,CD$13)="",10^12,OFFSET(PLE!$G$14,$M18,CD$13))))</f>
        <v>1000000000000</v>
      </c>
      <c r="CE18" s="182">
        <f ca="1">IF($D18&lt;&gt;"Serviço",0,IF(OR(AND(AUTOEVENTO="Manual",$M18=1),$M18&gt;(ROW(PLE.lastrow)-ROW(PLE.firstrow))),0,IF(OFFSET(PLE!$G$14,$M18,CE$13)="",10^12,OFFSET(PLE!$G$14,$M18,CE$13))))</f>
        <v>1000000000000</v>
      </c>
      <c r="CF18" s="182">
        <f ca="1">IF($D18&lt;&gt;"Serviço",0,IF(OR(AND(AUTOEVENTO="Manual",$M18=1),$M18&gt;(ROW(PLE.lastrow)-ROW(PLE.firstrow))),0,IF(OFFSET(PLE!$G$14,$M18,CF$13)="",10^12,OFFSET(PLE!$G$14,$M18,CF$13))))</f>
        <v>1000000000000</v>
      </c>
      <c r="CG18" s="182">
        <f ca="1">IF($D18&lt;&gt;"Serviço",0,IF(OR(AND(AUTOEVENTO="Manual",$M18=1),$M18&gt;(ROW(PLE.lastrow)-ROW(PLE.firstrow))),0,IF(OFFSET(PLE!$G$14,$M18,CG$13)="",10^12,OFFSET(PLE!$G$14,$M18,CG$13))))</f>
        <v>1000000000000</v>
      </c>
      <c r="CH18" s="182">
        <f ca="1">IF($D18&lt;&gt;"Serviço",0,IF(OR(AND(AUTOEVENTO="Manual",$M18=1),$M18&gt;(ROW(PLE.lastrow)-ROW(PLE.firstrow))),0,IF(OFFSET(PLE!$G$14,$M18,CH$13)="",10^12,OFFSET(PLE!$G$14,$M18,CH$13))))</f>
        <v>1000000000000</v>
      </c>
      <c r="CI18" s="182">
        <f ca="1">IF($D18&lt;&gt;"Serviço",0,IF(OR(AND(AUTOEVENTO="Manual",$M18=1),$M18&gt;(ROW(PLE.lastrow)-ROW(PLE.firstrow))),0,IF(OFFSET(PLE!$G$14,$M18,CI$13)="",10^12,OFFSET(PLE!$G$14,$M18,CI$13))))</f>
        <v>1000000000000</v>
      </c>
      <c r="CJ18" s="182">
        <f ca="1">IF($D18&lt;&gt;"Serviço",0,IF(OR(AND(AUTOEVENTO="Manual",$M18=1),$M18&gt;(ROW(PLE.lastrow)-ROW(PLE.firstrow))),0,IF(OFFSET(PLE!$G$14,$M18,CJ$13)="",10^12,OFFSET(PLE!$G$14,$M18,CJ$13))))</f>
        <v>1000000000000</v>
      </c>
      <c r="CK18" s="182">
        <f ca="1">IF($D18&lt;&gt;"Serviço",0,IF(OR(AND(AUTOEVENTO="Manual",$M18=1),$M18&gt;(ROW(PLE.lastrow)-ROW(PLE.firstrow))),0,IF(OFFSET(PLE!$G$14,$M18,CK$13)="",10^12,OFFSET(PLE!$G$14,$M18,CK$13))))</f>
        <v>1000000000000</v>
      </c>
      <c r="CL18" s="182">
        <f ca="1">IF($D18&lt;&gt;"Serviço",0,IF(OR(AND(AUTOEVENTO="Manual",$M18=1),$M18&gt;(ROW(PLE.lastrow)-ROW(PLE.firstrow))),0,IF(OFFSET(PLE!$G$14,$M18,CL$13)="",10^12,OFFSET(PLE!$G$14,$M18,CL$13))))</f>
        <v>1000000000000</v>
      </c>
      <c r="CM18" s="182">
        <f ca="1">IF($D18&lt;&gt;"Serviço",0,IF(OR(AND(AUTOEVENTO="Manual",$M18=1),$M18&gt;(ROW(PLE.lastrow)-ROW(PLE.firstrow))),0,IF(OFFSET(PLE!$G$14,$M18,CM$13)="",10^12,OFFSET(PLE!$G$14,$M18,CM$13))))</f>
        <v>1000000000000</v>
      </c>
    </row>
    <row r="19" spans="1:91" ht="12.75" x14ac:dyDescent="0.2">
      <c r="A19" s="7" t="str">
        <f t="shared" ca="1" si="9"/>
        <v>4.</v>
      </c>
      <c r="B19" s="7">
        <f ca="1">OFFSET(ORÇAMENTO!C$15,ROW(B19)-ROW(B$15),0)</f>
        <v>2</v>
      </c>
      <c r="C19" s="7" t="str">
        <f ca="1">OFFSET(ORÇAMENTO!L$15,ROW(C19)-ROW(C$15),0)</f>
        <v>F</v>
      </c>
      <c r="D19" s="118" t="str">
        <f ca="1">OFFSET(ORÇAMENTO!N$15,ROW(D19)-ROW(D$15),0)</f>
        <v>Nível 2</v>
      </c>
      <c r="E19" s="119" t="str">
        <f ca="1">OFFSET(ORÇAMENTO!O$15,ROW(E19)-ROW(E$15),0)</f>
        <v>1.2.</v>
      </c>
      <c r="F19" s="172" t="str">
        <f ca="1">OFFSET(ORÇAMENTO!R$15,ROW(F19)-ROW(F$15),0)</f>
        <v>CANTEIRO DE OBRAS (CO)</v>
      </c>
      <c r="G19" s="173" t="str">
        <f ca="1">IF($D19&lt;&gt;"Serviço","",OFFSET(ORÇAMENTO!S$15,ROW(G19)-ROW(G$15),0))</f>
        <v/>
      </c>
      <c r="H19" s="124">
        <f ca="1">IF($D19&lt;&gt;"Serviço",0,IF(ACOMPANHAMENTO="BM",ROUND(OFFSET(ORÇAMENTO!AJ$15,ROW(H19)-ROW(H$15),0),15-13*ORÇAMENTO!$AF$7),SUMPRODUCT(($Q$12:$AI$12&lt;&gt;"")*ROUND($Q19:$AI19,15-13*ORÇAMENTO!$AF$7))))</f>
        <v>0</v>
      </c>
      <c r="I19" s="561"/>
      <c r="K19" s="174"/>
      <c r="L19" s="175" t="s">
        <v>255</v>
      </c>
      <c r="M19" s="176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177" t="str">
        <f ca="1">IF($D19&lt;&gt;"Serviço","",IF(AUTOEVENTO="Manual",IF($A19=0,"&lt;-- defina o número do agrupador",OFFSET(EVENTOS!$D$14,$A19,0)),OFFSET($F$15,$A19,0)))</f>
        <v/>
      </c>
      <c r="O19" s="178"/>
      <c r="Q19" s="178">
        <v>0</v>
      </c>
      <c r="R19" s="179"/>
      <c r="S19" s="179"/>
      <c r="T19" s="179"/>
      <c r="U19" s="179"/>
      <c r="V19" s="179"/>
      <c r="W19" s="179"/>
      <c r="X19" s="179"/>
      <c r="Y19" s="179"/>
      <c r="Z19" s="180"/>
      <c r="AA19" s="179"/>
      <c r="AB19" s="179"/>
      <c r="AC19" s="179"/>
      <c r="AD19" s="179"/>
      <c r="AE19" s="179"/>
      <c r="AF19" s="179"/>
      <c r="AG19" s="179"/>
      <c r="AH19" s="180"/>
      <c r="AJ19" s="544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5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L19" s="545">
        <f ca="1">IF(AND($D19="Serviço",AL$12&lt;&gt;0,$H19&gt;0,OR(AUTOEVENTO&lt;&gt;"manual",$M19&lt;&gt;1)),
IF(Import.TipoArredondamento&lt;&gt;"TransfereGOV",
ROUND(OFFSET($P19,0,AL$13),15-13*ORÇAMENTO!$AF$7)/$H19*OFFSET(ORÇAMENTO!$X$15,ROW(AL19)-ROW(AL$15),0),
ROUND(ROUND(OFFSET($P19,0,AL$13),15-13*ORÇAMENTO!$AF$7)*OFFSET(ORÇAMENTO!$W$15,ROW(AL19)-ROW(AL$15),0),15-13*ORÇAMENTO!$AF$11)),0)</f>
        <v>0</v>
      </c>
      <c r="AM19" s="545">
        <f ca="1">IF(AND($D19="Serviço",AM$12&lt;&gt;0,$H19&gt;0,OR(AUTOEVENTO&lt;&gt;"manual",$M19&lt;&gt;1)),
IF(Import.TipoArredondamento&lt;&gt;"TransfereGOV",
ROUND(OFFSET($P19,0,AM$13),15-13*ORÇAMENTO!$AF$7)/$H19*OFFSET(ORÇAMENTO!$X$15,ROW(AM19)-ROW(AM$15),0),
ROUND(ROUND(OFFSET($P19,0,AM$13),15-13*ORÇAMENTO!$AF$7)*OFFSET(ORÇAMENTO!$W$15,ROW(AM19)-ROW(AM$15),0),15-13*ORÇAMENTO!$AF$11)),0)</f>
        <v>0</v>
      </c>
      <c r="AN19" s="545">
        <f ca="1">IF(AND($D19="Serviço",AN$12&lt;&gt;0,$H19&gt;0,OR(AUTOEVENTO&lt;&gt;"manual",$M19&lt;&gt;1)),
IF(Import.TipoArredondamento&lt;&gt;"TransfereGOV",
ROUND(OFFSET($P19,0,AN$13),15-13*ORÇAMENTO!$AF$7)/$H19*OFFSET(ORÇAMENTO!$X$15,ROW(AN19)-ROW(AN$15),0),
ROUND(ROUND(OFFSET($P19,0,AN$13),15-13*ORÇAMENTO!$AF$7)*OFFSET(ORÇAMENTO!$W$15,ROW(AN19)-ROW(AN$15),0),15-13*ORÇAMENTO!$AF$11)),0)</f>
        <v>0</v>
      </c>
      <c r="AO19" s="545">
        <f ca="1">IF(AND($D19="Serviço",AO$12&lt;&gt;0,$H19&gt;0,OR(AUTOEVENTO&lt;&gt;"manual",$M19&lt;&gt;1)),
IF(Import.TipoArredondamento&lt;&gt;"TransfereGOV",
ROUND(OFFSET($P19,0,AO$13),15-13*ORÇAMENTO!$AF$7)/$H19*OFFSET(ORÇAMENTO!$X$15,ROW(AO19)-ROW(AO$15),0),
ROUND(ROUND(OFFSET($P19,0,AO$13),15-13*ORÇAMENTO!$AF$7)*OFFSET(ORÇAMENTO!$W$15,ROW(AO19)-ROW(AO$15),0),15-13*ORÇAMENTO!$AF$11)),0)</f>
        <v>0</v>
      </c>
      <c r="AP19" s="545">
        <f ca="1">IF(AND($D19="Serviço",AP$12&lt;&gt;0,$H19&gt;0,OR(AUTOEVENTO&lt;&gt;"manual",$M19&lt;&gt;1)),
IF(Import.TipoArredondamento&lt;&gt;"TransfereGOV",
ROUND(OFFSET($P19,0,AP$13),15-13*ORÇAMENTO!$AF$7)/$H19*OFFSET(ORÇAMENTO!$X$15,ROW(AP19)-ROW(AP$15),0),
ROUND(ROUND(OFFSET($P19,0,AP$13),15-13*ORÇAMENTO!$AF$7)*OFFSET(ORÇAMENTO!$W$15,ROW(AP19)-ROW(AP$15),0),15-13*ORÇAMENTO!$AF$11)),0)</f>
        <v>0</v>
      </c>
      <c r="AQ19" s="545">
        <f ca="1">IF(AND($D19="Serviço",AQ$12&lt;&gt;0,$H19&gt;0,OR(AUTOEVENTO&lt;&gt;"manual",$M19&lt;&gt;1)),
IF(Import.TipoArredondamento&lt;&gt;"TransfereGOV",
ROUND(OFFSET($P19,0,AQ$13),15-13*ORÇAMENTO!$AF$7)/$H19*OFFSET(ORÇAMENTO!$X$15,ROW(AQ19)-ROW(AQ$15),0),
ROUND(ROUND(OFFSET($P19,0,AQ$13),15-13*ORÇAMENTO!$AF$7)*OFFSET(ORÇAMENTO!$W$15,ROW(AQ19)-ROW(AQ$15),0),15-13*ORÇAMENTO!$AF$11)),0)</f>
        <v>0</v>
      </c>
      <c r="AR19" s="545">
        <f ca="1">IF(AND($D19="Serviço",AR$12&lt;&gt;0,$H19&gt;0,OR(AUTOEVENTO&lt;&gt;"manual",$M19&lt;&gt;1)),
IF(Import.TipoArredondamento&lt;&gt;"TransfereGOV",
ROUND(OFFSET($P19,0,AR$13),15-13*ORÇAMENTO!$AF$7)/$H19*OFFSET(ORÇAMENTO!$X$15,ROW(AR19)-ROW(AR$15),0),
ROUND(ROUND(OFFSET($P19,0,AR$13),15-13*ORÇAMENTO!$AF$7)*OFFSET(ORÇAMENTO!$W$15,ROW(AR19)-ROW(AR$15),0),15-13*ORÇAMENTO!$AF$11)),0)</f>
        <v>0</v>
      </c>
      <c r="AS19" s="546">
        <f ca="1">IF(AND($D19="Serviço",AS$12&lt;&gt;0,$H19&gt;0,OR(AUTOEVENTO&lt;&gt;"manual",$M19&lt;&gt;1)),
IF(Import.TipoArredondamento&lt;&gt;"TransfereGOV",
ROUND(OFFSET($P19,0,AS$13),15-13*ORÇAMENTO!$AF$7)/$H19*OFFSET(ORÇAMENTO!$X$15,ROW(AS19)-ROW(AS$15),0),
ROUND(ROUND(OFFSET($P19,0,AS$13),15-13*ORÇAMENTO!$AF$7)*OFFSET(ORÇAMENTO!$W$15,ROW(AS19)-ROW(AS$15),0),15-13*ORÇAMENTO!$AF$11)),0)</f>
        <v>0</v>
      </c>
      <c r="AT19" s="545">
        <f ca="1">IF(AND($D19="Serviço",AT$12&lt;&gt;0,$H19&gt;0,OR(AUTOEVENTO&lt;&gt;"manual",$M19&lt;&gt;1)),
IF(Import.TipoArredondamento&lt;&gt;"TransfereGOV",
ROUND(OFFSET($P19,0,AT$13),15-13*ORÇAMENTO!$AF$7)/$H19*OFFSET(ORÇAMENTO!$X$15,ROW(AT19)-ROW(AT$15),0),
ROUND(ROUND(OFFSET($P19,0,AT$13),15-13*ORÇAMENTO!$AF$7)*OFFSET(ORÇAMENTO!$W$15,ROW(AT19)-ROW(AT$15),0),15-13*ORÇAMENTO!$AF$11)),0)</f>
        <v>0</v>
      </c>
      <c r="AU19" s="545">
        <f ca="1">IF(AND($D19="Serviço",AU$12&lt;&gt;0,$H19&gt;0,OR(AUTOEVENTO&lt;&gt;"manual",$M19&lt;&gt;1)),
IF(Import.TipoArredondamento&lt;&gt;"TransfereGOV",
ROUND(OFFSET($P19,0,AU$13),15-13*ORÇAMENTO!$AF$7)/$H19*OFFSET(ORÇAMENTO!$X$15,ROW(AU19)-ROW(AU$15),0),
ROUND(ROUND(OFFSET($P19,0,AU$13),15-13*ORÇAMENTO!$AF$7)*OFFSET(ORÇAMENTO!$W$15,ROW(AU19)-ROW(AU$15),0),15-13*ORÇAMENTO!$AF$11)),0)</f>
        <v>0</v>
      </c>
      <c r="AV19" s="545">
        <f ca="1">IF(AND($D19="Serviço",AV$12&lt;&gt;0,$H19&gt;0,OR(AUTOEVENTO&lt;&gt;"manual",$M19&lt;&gt;1)),
IF(Import.TipoArredondamento&lt;&gt;"TransfereGOV",
ROUND(OFFSET($P19,0,AV$13),15-13*ORÇAMENTO!$AF$7)/$H19*OFFSET(ORÇAMENTO!$X$15,ROW(AV19)-ROW(AV$15),0),
ROUND(ROUND(OFFSET($P19,0,AV$13),15-13*ORÇAMENTO!$AF$7)*OFFSET(ORÇAMENTO!$W$15,ROW(AV19)-ROW(AV$15),0),15-13*ORÇAMENTO!$AF$11)),0)</f>
        <v>0</v>
      </c>
      <c r="AW19" s="545">
        <f ca="1">IF(AND($D19="Serviço",AW$12&lt;&gt;0,$H19&gt;0,OR(AUTOEVENTO&lt;&gt;"manual",$M19&lt;&gt;1)),
IF(Import.TipoArredondamento&lt;&gt;"TransfereGOV",
ROUND(OFFSET($P19,0,AW$13),15-13*ORÇAMENTO!$AF$7)/$H19*OFFSET(ORÇAMENTO!$X$15,ROW(AW19)-ROW(AW$15),0),
ROUND(ROUND(OFFSET($P19,0,AW$13),15-13*ORÇAMENTO!$AF$7)*OFFSET(ORÇAMENTO!$W$15,ROW(AW19)-ROW(AW$15),0),15-13*ORÇAMENTO!$AF$11)),0)</f>
        <v>0</v>
      </c>
      <c r="AX19" s="545">
        <f ca="1">IF(AND($D19="Serviço",AX$12&lt;&gt;0,$H19&gt;0,OR(AUTOEVENTO&lt;&gt;"manual",$M19&lt;&gt;1)),
IF(Import.TipoArredondamento&lt;&gt;"TransfereGOV",
ROUND(OFFSET($P19,0,AX$13),15-13*ORÇAMENTO!$AF$7)/$H19*OFFSET(ORÇAMENTO!$X$15,ROW(AX19)-ROW(AX$15),0),
ROUND(ROUND(OFFSET($P19,0,AX$13),15-13*ORÇAMENTO!$AF$7)*OFFSET(ORÇAMENTO!$W$15,ROW(AX19)-ROW(AX$15),0),15-13*ORÇAMENTO!$AF$11)),0)</f>
        <v>0</v>
      </c>
      <c r="AY19" s="545">
        <f ca="1">IF(AND($D19="Serviço",AY$12&lt;&gt;0,$H19&gt;0,OR(AUTOEVENTO&lt;&gt;"manual",$M19&lt;&gt;1)),
IF(Import.TipoArredondamento&lt;&gt;"TransfereGOV",
ROUND(OFFSET($P19,0,AY$13),15-13*ORÇAMENTO!$AF$7)/$H19*OFFSET(ORÇAMENTO!$X$15,ROW(AY19)-ROW(AY$15),0),
ROUND(ROUND(OFFSET($P19,0,AY$13),15-13*ORÇAMENTO!$AF$7)*OFFSET(ORÇAMENTO!$W$15,ROW(AY19)-ROW(AY$15),0),15-13*ORÇAMENTO!$AF$11)),0)</f>
        <v>0</v>
      </c>
      <c r="AZ19" s="545">
        <f ca="1">IF(AND($D19="Serviço",AZ$12&lt;&gt;0,$H19&gt;0,OR(AUTOEVENTO&lt;&gt;"manual",$M19&lt;&gt;1)),
IF(Import.TipoArredondamento&lt;&gt;"TransfereGOV",
ROUND(OFFSET($P19,0,AZ$13),15-13*ORÇAMENTO!$AF$7)/$H19*OFFSET(ORÇAMENTO!$X$15,ROW(AZ19)-ROW(AZ$15),0),
ROUND(ROUND(OFFSET($P19,0,AZ$13),15-13*ORÇAMENTO!$AF$7)*OFFSET(ORÇAMENTO!$W$15,ROW(AZ19)-ROW(AZ$15),0),15-13*ORÇAMENTO!$AF$11)),0)</f>
        <v>0</v>
      </c>
      <c r="BA19" s="546">
        <f ca="1">IF(AND($D19="Serviço",BA$12&lt;&gt;0,$H19&gt;0,OR(AUTOEVENTO&lt;&gt;"manual",$M19&lt;&gt;1)),
IF(Import.TipoArredondamento&lt;&gt;"TransfereGOV",
ROUND(OFFSET($P19,0,BA$13),15-13*ORÇAMENTO!$AF$7)/$H19*OFFSET(ORÇAMENTO!$X$15,ROW(BA19)-ROW(BA$15),0),
ROUND(ROUND(OFFSET($P19,0,BA$13),15-13*ORÇAMENTO!$AF$7)*OFFSET(ORÇAMENTO!$W$15,ROW(BA19)-ROW(BA$15),0),15-13*ORÇAMENTO!$AF$11)),0)</f>
        <v>0</v>
      </c>
      <c r="BC19" s="181">
        <f ca="1">IF($D19&lt;&gt;"Serviço",0,IF(AND(AUTOEVENTO="Manual",$M19=1),0,IF(OFFSET(CRONOPLE!$F$14,$M19,BC$13)="",10^12,OFFSET(CRONOPLE!$F$14,$M19,BC$13))))</f>
        <v>0</v>
      </c>
      <c r="BD19" s="181">
        <f ca="1">IF($D19&lt;&gt;"Serviço",0,IF(AND(AUTOEVENTO="Manual",$M19=1),0,IF(OFFSET(CRONOPLE!$F$14,$M19,BD$13)="",10^12,OFFSET(CRONOPLE!$F$14,$M19,BD$13))))</f>
        <v>0</v>
      </c>
      <c r="BE19" s="181">
        <f ca="1">IF($D19&lt;&gt;"Serviço",0,IF(AND(AUTOEVENTO="Manual",$M19=1),0,IF(OFFSET(CRONOPLE!$F$14,$M19,BE$13)="",10^12,OFFSET(CRONOPLE!$F$14,$M19,BE$13))))</f>
        <v>0</v>
      </c>
      <c r="BF19" s="181">
        <f ca="1">IF($D19&lt;&gt;"Serviço",0,IF(AND(AUTOEVENTO="Manual",$M19=1),0,IF(OFFSET(CRONOPLE!$F$14,$M19,BF$13)="",10^12,OFFSET(CRONOPLE!$F$14,$M19,BF$13))))</f>
        <v>0</v>
      </c>
      <c r="BG19" s="181">
        <f ca="1">IF($D19&lt;&gt;"Serviço",0,IF(AND(AUTOEVENTO="Manual",$M19=1),0,IF(OFFSET(CRONOPLE!$F$14,$M19,BG$13)="",10^12,OFFSET(CRONOPLE!$F$14,$M19,BG$13))))</f>
        <v>0</v>
      </c>
      <c r="BH19" s="181">
        <f ca="1">IF($D19&lt;&gt;"Serviço",0,IF(AND(AUTOEVENTO="Manual",$M19=1),0,IF(OFFSET(CRONOPLE!$F$14,$M19,BH$13)="",10^12,OFFSET(CRONOPLE!$F$14,$M19,BH$13))))</f>
        <v>0</v>
      </c>
      <c r="BI19" s="181">
        <f ca="1">IF($D19&lt;&gt;"Serviço",0,IF(AND(AUTOEVENTO="Manual",$M19=1),0,IF(OFFSET(CRONOPLE!$F$14,$M19,BI$13)="",10^12,OFFSET(CRONOPLE!$F$14,$M19,BI$13))))</f>
        <v>0</v>
      </c>
      <c r="BJ19" s="181">
        <f ca="1">IF($D19&lt;&gt;"Serviço",0,IF(AND(AUTOEVENTO="Manual",$M19=1),0,IF(OFFSET(CRONOPLE!$F$14,$M19,BJ$13)="",10^12,OFFSET(CRONOPLE!$F$14,$M19,BJ$13))))</f>
        <v>0</v>
      </c>
      <c r="BK19" s="181">
        <f ca="1">IF($D19&lt;&gt;"Serviço",0,IF(AND(AUTOEVENTO="Manual",$M19=1),0,IF(OFFSET(CRONOPLE!$F$14,$M19,BK$13)="",10^12,OFFSET(CRONOPLE!$F$14,$M19,BK$13))))</f>
        <v>0</v>
      </c>
      <c r="BL19" s="181">
        <f ca="1">IF($D19&lt;&gt;"Serviço",0,IF(AND(AUTOEVENTO="Manual",$M19=1),0,IF(OFFSET(CRONOPLE!$F$14,$M19,BL$13)="",10^12,OFFSET(CRONOPLE!$F$14,$M19,BL$13))))</f>
        <v>0</v>
      </c>
      <c r="BM19" s="181">
        <f ca="1">IF($D19&lt;&gt;"Serviço",0,IF(AND(AUTOEVENTO="Manual",$M19=1),0,IF(OFFSET(CRONOPLE!$F$14,$M19,BM$13)="",10^12,OFFSET(CRONOPLE!$F$14,$M19,BM$13))))</f>
        <v>0</v>
      </c>
      <c r="BN19" s="181">
        <f ca="1">IF($D19&lt;&gt;"Serviço",0,IF(AND(AUTOEVENTO="Manual",$M19=1),0,IF(OFFSET(CRONOPLE!$F$14,$M19,BN$13)="",10^12,OFFSET(CRONOPLE!$F$14,$M19,BN$13))))</f>
        <v>0</v>
      </c>
      <c r="BO19" s="181">
        <f ca="1">IF($D19&lt;&gt;"Serviço",0,IF(AND(AUTOEVENTO="Manual",$M19=1),0,IF(OFFSET(CRONOPLE!$F$14,$M19,BO$13)="",10^12,OFFSET(CRONOPLE!$F$14,$M19,BO$13))))</f>
        <v>0</v>
      </c>
      <c r="BP19" s="181">
        <f ca="1">IF($D19&lt;&gt;"Serviço",0,IF(AND(AUTOEVENTO="Manual",$M19=1),0,IF(OFFSET(CRONOPLE!$F$14,$M19,BP$13)="",10^12,OFFSET(CRONOPLE!$F$14,$M19,BP$13))))</f>
        <v>0</v>
      </c>
      <c r="BQ19" s="181">
        <f ca="1">IF($D19&lt;&gt;"Serviço",0,IF(AND(AUTOEVENTO="Manual",$M19=1),0,IF(OFFSET(CRONOPLE!$F$14,$M19,BQ$13)="",10^12,OFFSET(CRONOPLE!$F$14,$M19,BQ$13))))</f>
        <v>0</v>
      </c>
      <c r="BR19" s="181">
        <f ca="1">IF($D19&lt;&gt;"Serviço",0,IF(AND(AUTOEVENTO="Manual",$M19=1),0,IF(OFFSET(CRONOPLE!$F$14,$M19,BR$13)="",10^12,OFFSET(CRONOPLE!$F$14,$M19,BR$13))))</f>
        <v>0</v>
      </c>
      <c r="BS19" s="181">
        <f ca="1">IF($D19&lt;&gt;"Serviço",0,IF(AND(AUTOEVENTO="Manual",$M19=1),0,IF(OFFSET(CRONOPLE!$F$14,$M19,BS$13)="",10^12,OFFSET(CRONOPLE!$F$14,$M19,BS$13))))</f>
        <v>0</v>
      </c>
      <c r="BT19" s="181">
        <f ca="1">IF($D19&lt;&gt;"Serviço",0,IF(AND(AUTOEVENTO="Manual",$M19=1),0,IF(OFFSET(CRONOPLE!$F$14,$M19,BT$13)="",10^12,OFFSET(CRONOPLE!$F$14,$M19,BT$13))))</f>
        <v>0</v>
      </c>
      <c r="BV19" s="182">
        <f ca="1">IF($D19&lt;&gt;"Serviço",0,IF(OR(AND(AUTOEVENTO="Manual",$M19=1),$M19&gt;(ROW(PLE.lastrow)-ROW(PLE.firstrow))),0,IF(OFFSET(PLE!$G$14,$M19,BV$13)="",10^12,OFFSET(PLE!$G$14,$M19,BV$13))))</f>
        <v>0</v>
      </c>
      <c r="BW19" s="182">
        <f ca="1">IF($D19&lt;&gt;"Serviço",0,IF(OR(AND(AUTOEVENTO="Manual",$M19=1),$M19&gt;(ROW(PLE.lastrow)-ROW(PLE.firstrow))),0,IF(OFFSET(PLE!$G$14,$M19,BW$13)="",10^12,OFFSET(PLE!$G$14,$M19,BW$13))))</f>
        <v>0</v>
      </c>
      <c r="BX19" s="182">
        <f ca="1">IF($D19&lt;&gt;"Serviço",0,IF(OR(AND(AUTOEVENTO="Manual",$M19=1),$M19&gt;(ROW(PLE.lastrow)-ROW(PLE.firstrow))),0,IF(OFFSET(PLE!$G$14,$M19,BX$13)="",10^12,OFFSET(PLE!$G$14,$M19,BX$13))))</f>
        <v>0</v>
      </c>
      <c r="BY19" s="182">
        <f ca="1">IF($D19&lt;&gt;"Serviço",0,IF(OR(AND(AUTOEVENTO="Manual",$M19=1),$M19&gt;(ROW(PLE.lastrow)-ROW(PLE.firstrow))),0,IF(OFFSET(PLE!$G$14,$M19,BY$13)="",10^12,OFFSET(PLE!$G$14,$M19,BY$13))))</f>
        <v>0</v>
      </c>
      <c r="BZ19" s="182">
        <f ca="1">IF($D19&lt;&gt;"Serviço",0,IF(OR(AND(AUTOEVENTO="Manual",$M19=1),$M19&gt;(ROW(PLE.lastrow)-ROW(PLE.firstrow))),0,IF(OFFSET(PLE!$G$14,$M19,BZ$13)="",10^12,OFFSET(PLE!$G$14,$M19,BZ$13))))</f>
        <v>0</v>
      </c>
      <c r="CA19" s="182">
        <f ca="1">IF($D19&lt;&gt;"Serviço",0,IF(OR(AND(AUTOEVENTO="Manual",$M19=1),$M19&gt;(ROW(PLE.lastrow)-ROW(PLE.firstrow))),0,IF(OFFSET(PLE!$G$14,$M19,CA$13)="",10^12,OFFSET(PLE!$G$14,$M19,CA$13))))</f>
        <v>0</v>
      </c>
      <c r="CB19" s="182">
        <f ca="1">IF($D19&lt;&gt;"Serviço",0,IF(OR(AND(AUTOEVENTO="Manual",$M19=1),$M19&gt;(ROW(PLE.lastrow)-ROW(PLE.firstrow))),0,IF(OFFSET(PLE!$G$14,$M19,CB$13)="",10^12,OFFSET(PLE!$G$14,$M19,CB$13))))</f>
        <v>0</v>
      </c>
      <c r="CC19" s="182">
        <f ca="1">IF($D19&lt;&gt;"Serviço",0,IF(OR(AND(AUTOEVENTO="Manual",$M19=1),$M19&gt;(ROW(PLE.lastrow)-ROW(PLE.firstrow))),0,IF(OFFSET(PLE!$G$14,$M19,CC$13)="",10^12,OFFSET(PLE!$G$14,$M19,CC$13))))</f>
        <v>0</v>
      </c>
      <c r="CD19" s="182">
        <f ca="1">IF($D19&lt;&gt;"Serviço",0,IF(OR(AND(AUTOEVENTO="Manual",$M19=1),$M19&gt;(ROW(PLE.lastrow)-ROW(PLE.firstrow))),0,IF(OFFSET(PLE!$G$14,$M19,CD$13)="",10^12,OFFSET(PLE!$G$14,$M19,CD$13))))</f>
        <v>0</v>
      </c>
      <c r="CE19" s="182">
        <f ca="1">IF($D19&lt;&gt;"Serviço",0,IF(OR(AND(AUTOEVENTO="Manual",$M19=1),$M19&gt;(ROW(PLE.lastrow)-ROW(PLE.firstrow))),0,IF(OFFSET(PLE!$G$14,$M19,CE$13)="",10^12,OFFSET(PLE!$G$14,$M19,CE$13))))</f>
        <v>0</v>
      </c>
      <c r="CF19" s="182">
        <f ca="1">IF($D19&lt;&gt;"Serviço",0,IF(OR(AND(AUTOEVENTO="Manual",$M19=1),$M19&gt;(ROW(PLE.lastrow)-ROW(PLE.firstrow))),0,IF(OFFSET(PLE!$G$14,$M19,CF$13)="",10^12,OFFSET(PLE!$G$14,$M19,CF$13))))</f>
        <v>0</v>
      </c>
      <c r="CG19" s="182">
        <f ca="1">IF($D19&lt;&gt;"Serviço",0,IF(OR(AND(AUTOEVENTO="Manual",$M19=1),$M19&gt;(ROW(PLE.lastrow)-ROW(PLE.firstrow))),0,IF(OFFSET(PLE!$G$14,$M19,CG$13)="",10^12,OFFSET(PLE!$G$14,$M19,CG$13))))</f>
        <v>0</v>
      </c>
      <c r="CH19" s="182">
        <f ca="1">IF($D19&lt;&gt;"Serviço",0,IF(OR(AND(AUTOEVENTO="Manual",$M19=1),$M19&gt;(ROW(PLE.lastrow)-ROW(PLE.firstrow))),0,IF(OFFSET(PLE!$G$14,$M19,CH$13)="",10^12,OFFSET(PLE!$G$14,$M19,CH$13))))</f>
        <v>0</v>
      </c>
      <c r="CI19" s="182">
        <f ca="1">IF($D19&lt;&gt;"Serviço",0,IF(OR(AND(AUTOEVENTO="Manual",$M19=1),$M19&gt;(ROW(PLE.lastrow)-ROW(PLE.firstrow))),0,IF(OFFSET(PLE!$G$14,$M19,CI$13)="",10^12,OFFSET(PLE!$G$14,$M19,CI$13))))</f>
        <v>0</v>
      </c>
      <c r="CJ19" s="182">
        <f ca="1">IF($D19&lt;&gt;"Serviço",0,IF(OR(AND(AUTOEVENTO="Manual",$M19=1),$M19&gt;(ROW(PLE.lastrow)-ROW(PLE.firstrow))),0,IF(OFFSET(PLE!$G$14,$M19,CJ$13)="",10^12,OFFSET(PLE!$G$14,$M19,CJ$13))))</f>
        <v>0</v>
      </c>
      <c r="CK19" s="182">
        <f ca="1">IF($D19&lt;&gt;"Serviço",0,IF(OR(AND(AUTOEVENTO="Manual",$M19=1),$M19&gt;(ROW(PLE.lastrow)-ROW(PLE.firstrow))),0,IF(OFFSET(PLE!$G$14,$M19,CK$13)="",10^12,OFFSET(PLE!$G$14,$M19,CK$13))))</f>
        <v>0</v>
      </c>
      <c r="CL19" s="182">
        <f ca="1">IF($D19&lt;&gt;"Serviço",0,IF(OR(AND(AUTOEVENTO="Manual",$M19=1),$M19&gt;(ROW(PLE.lastrow)-ROW(PLE.firstrow))),0,IF(OFFSET(PLE!$G$14,$M19,CL$13)="",10^12,OFFSET(PLE!$G$14,$M19,CL$13))))</f>
        <v>0</v>
      </c>
      <c r="CM19" s="182">
        <f ca="1">IF($D19&lt;&gt;"Serviço",0,IF(OR(AND(AUTOEVENTO="Manual",$M19=1),$M19&gt;(ROW(PLE.lastrow)-ROW(PLE.firstrow))),0,IF(OFFSET(PLE!$G$14,$M19,CM$13)="",10^12,OFFSET(PLE!$G$14,$M19,CM$13))))</f>
        <v>0</v>
      </c>
    </row>
    <row r="20" spans="1:91" ht="38.25" x14ac:dyDescent="0.2">
      <c r="A20" s="7" t="str">
        <f t="shared" ca="1" si="9"/>
        <v>4</v>
      </c>
      <c r="B20" s="7" t="str">
        <f ca="1">OFFSET(ORÇAMENTO!C$15,ROW(B20)-ROW(B$15),0)</f>
        <v>S</v>
      </c>
      <c r="C20" s="7" t="str">
        <f ca="1">OFFSET(ORÇAMENTO!L$15,ROW(C20)-ROW(C$15),0)</f>
        <v/>
      </c>
      <c r="D20" s="118" t="str">
        <f ca="1">OFFSET(ORÇAMENTO!N$15,ROW(D20)-ROW(D$15),0)</f>
        <v>Serviço</v>
      </c>
      <c r="E20" s="119" t="str">
        <f ca="1">OFFSET(ORÇAMENTO!O$15,ROW(E20)-ROW(E$15),0)</f>
        <v>-</v>
      </c>
      <c r="F20" s="172" t="str">
        <f ca="1">OFFSET(ORÇAMENTO!R$15,ROW(F20)-ROW(F$15),0)</f>
        <v>(abra o arquivo 'Referência 06-2024.xlsm)</v>
      </c>
      <c r="G20" s="173" t="str">
        <f ca="1">IF($D20&lt;&gt;"Serviço","",OFFSET(ORÇAMENTO!S$15,ROW(G20)-ROW(G$15),0))</f>
        <v>-</v>
      </c>
      <c r="H20" s="124">
        <f ca="1">IF($D20&lt;&gt;"Serviço",0,IF(ACOMPANHAMENTO="BM",ROUND(OFFSET(ORÇAMENTO!AJ$15,ROW(H20)-ROW(H$15),0),15-13*ORÇAMENTO!$AF$7),SUMPRODUCT(($Q$12:$AI$12&lt;&gt;"")*ROUND($Q20:$AI20,15-13*ORÇAMENTO!$AF$7))))</f>
        <v>12</v>
      </c>
      <c r="I20" s="561" t="s">
        <v>1107</v>
      </c>
      <c r="K20" s="174" t="s">
        <v>1021</v>
      </c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3</v>
      </c>
      <c r="N20" s="177" t="str">
        <f ca="1">IF($D20&lt;&gt;"Serviço","",IF(AUTOEVENTO="Manual",IF($A20=0,"&lt;-- defina o número do agrupador",OFFSET(EVENTOS!$D$14,$A20,0)),OFFSET($F$15,$A20,0)))</f>
        <v>CANTEIRO DE OBRAS (CO)</v>
      </c>
      <c r="O20" s="178"/>
      <c r="Q20" s="178">
        <v>12</v>
      </c>
      <c r="R20" s="179"/>
      <c r="S20" s="179"/>
      <c r="T20" s="179"/>
      <c r="U20" s="179"/>
      <c r="V20" s="179"/>
      <c r="W20" s="179"/>
      <c r="X20" s="179"/>
      <c r="Y20" s="179"/>
      <c r="Z20" s="180"/>
      <c r="AA20" s="179"/>
      <c r="AB20" s="179"/>
      <c r="AC20" s="179"/>
      <c r="AD20" s="179"/>
      <c r="AE20" s="179"/>
      <c r="AF20" s="179"/>
      <c r="AG20" s="179"/>
      <c r="AH20" s="180"/>
      <c r="AJ20" s="544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5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L20" s="545">
        <f ca="1">IF(AND($D20="Serviço",AL$12&lt;&gt;0,$H20&gt;0,OR(AUTOEVENTO&lt;&gt;"manual",$M20&lt;&gt;1)),
IF(Import.TipoArredondamento&lt;&gt;"TransfereGOV",
ROUND(OFFSET($P20,0,AL$13),15-13*ORÇAMENTO!$AF$7)/$H20*OFFSET(ORÇAMENTO!$X$15,ROW(AL20)-ROW(AL$15),0),
ROUND(ROUND(OFFSET($P20,0,AL$13),15-13*ORÇAMENTO!$AF$7)*OFFSET(ORÇAMENTO!$W$15,ROW(AL20)-ROW(AL$15),0),15-13*ORÇAMENTO!$AF$11)),0)</f>
        <v>0</v>
      </c>
      <c r="AM20" s="545">
        <f ca="1">IF(AND($D20="Serviço",AM$12&lt;&gt;0,$H20&gt;0,OR(AUTOEVENTO&lt;&gt;"manual",$M20&lt;&gt;1)),
IF(Import.TipoArredondamento&lt;&gt;"TransfereGOV",
ROUND(OFFSET($P20,0,AM$13),15-13*ORÇAMENTO!$AF$7)/$H20*OFFSET(ORÇAMENTO!$X$15,ROW(AM20)-ROW(AM$15),0),
ROUND(ROUND(OFFSET($P20,0,AM$13),15-13*ORÇAMENTO!$AF$7)*OFFSET(ORÇAMENTO!$W$15,ROW(AM20)-ROW(AM$15),0),15-13*ORÇAMENTO!$AF$11)),0)</f>
        <v>0</v>
      </c>
      <c r="AN20" s="545">
        <f ca="1">IF(AND($D20="Serviço",AN$12&lt;&gt;0,$H20&gt;0,OR(AUTOEVENTO&lt;&gt;"manual",$M20&lt;&gt;1)),
IF(Import.TipoArredondamento&lt;&gt;"TransfereGOV",
ROUND(OFFSET($P20,0,AN$13),15-13*ORÇAMENTO!$AF$7)/$H20*OFFSET(ORÇAMENTO!$X$15,ROW(AN20)-ROW(AN$15),0),
ROUND(ROUND(OFFSET($P20,0,AN$13),15-13*ORÇAMENTO!$AF$7)*OFFSET(ORÇAMENTO!$W$15,ROW(AN20)-ROW(AN$15),0),15-13*ORÇAMENTO!$AF$11)),0)</f>
        <v>0</v>
      </c>
      <c r="AO20" s="545">
        <f ca="1">IF(AND($D20="Serviço",AO$12&lt;&gt;0,$H20&gt;0,OR(AUTOEVENTO&lt;&gt;"manual",$M20&lt;&gt;1)),
IF(Import.TipoArredondamento&lt;&gt;"TransfereGOV",
ROUND(OFFSET($P20,0,AO$13),15-13*ORÇAMENTO!$AF$7)/$H20*OFFSET(ORÇAMENTO!$X$15,ROW(AO20)-ROW(AO$15),0),
ROUND(ROUND(OFFSET($P20,0,AO$13),15-13*ORÇAMENTO!$AF$7)*OFFSET(ORÇAMENTO!$W$15,ROW(AO20)-ROW(AO$15),0),15-13*ORÇAMENTO!$AF$11)),0)</f>
        <v>0</v>
      </c>
      <c r="AP20" s="545">
        <f ca="1">IF(AND($D20="Serviço",AP$12&lt;&gt;0,$H20&gt;0,OR(AUTOEVENTO&lt;&gt;"manual",$M20&lt;&gt;1)),
IF(Import.TipoArredondamento&lt;&gt;"TransfereGOV",
ROUND(OFFSET($P20,0,AP$13),15-13*ORÇAMENTO!$AF$7)/$H20*OFFSET(ORÇAMENTO!$X$15,ROW(AP20)-ROW(AP$15),0),
ROUND(ROUND(OFFSET($P20,0,AP$13),15-13*ORÇAMENTO!$AF$7)*OFFSET(ORÇAMENTO!$W$15,ROW(AP20)-ROW(AP$15),0),15-13*ORÇAMENTO!$AF$11)),0)</f>
        <v>0</v>
      </c>
      <c r="AQ20" s="545">
        <f ca="1">IF(AND($D20="Serviço",AQ$12&lt;&gt;0,$H20&gt;0,OR(AUTOEVENTO&lt;&gt;"manual",$M20&lt;&gt;1)),
IF(Import.TipoArredondamento&lt;&gt;"TransfereGOV",
ROUND(OFFSET($P20,0,AQ$13),15-13*ORÇAMENTO!$AF$7)/$H20*OFFSET(ORÇAMENTO!$X$15,ROW(AQ20)-ROW(AQ$15),0),
ROUND(ROUND(OFFSET($P20,0,AQ$13),15-13*ORÇAMENTO!$AF$7)*OFFSET(ORÇAMENTO!$W$15,ROW(AQ20)-ROW(AQ$15),0),15-13*ORÇAMENTO!$AF$11)),0)</f>
        <v>0</v>
      </c>
      <c r="AR20" s="545">
        <f ca="1">IF(AND($D20="Serviço",AR$12&lt;&gt;0,$H20&gt;0,OR(AUTOEVENTO&lt;&gt;"manual",$M20&lt;&gt;1)),
IF(Import.TipoArredondamento&lt;&gt;"TransfereGOV",
ROUND(OFFSET($P20,0,AR$13),15-13*ORÇAMENTO!$AF$7)/$H20*OFFSET(ORÇAMENTO!$X$15,ROW(AR20)-ROW(AR$15),0),
ROUND(ROUND(OFFSET($P20,0,AR$13),15-13*ORÇAMENTO!$AF$7)*OFFSET(ORÇAMENTO!$W$15,ROW(AR20)-ROW(AR$15),0),15-13*ORÇAMENTO!$AF$11)),0)</f>
        <v>0</v>
      </c>
      <c r="AS20" s="546">
        <f ca="1">IF(AND($D20="Serviço",AS$12&lt;&gt;0,$H20&gt;0,OR(AUTOEVENTO&lt;&gt;"manual",$M20&lt;&gt;1)),
IF(Import.TipoArredondamento&lt;&gt;"TransfereGOV",
ROUND(OFFSET($P20,0,AS$13),15-13*ORÇAMENTO!$AF$7)/$H20*OFFSET(ORÇAMENTO!$X$15,ROW(AS20)-ROW(AS$15),0),
ROUND(ROUND(OFFSET($P20,0,AS$13),15-13*ORÇAMENTO!$AF$7)*OFFSET(ORÇAMENTO!$W$15,ROW(AS20)-ROW(AS$15),0),15-13*ORÇAMENTO!$AF$11)),0)</f>
        <v>0</v>
      </c>
      <c r="AT20" s="545">
        <f ca="1">IF(AND($D20="Serviço",AT$12&lt;&gt;0,$H20&gt;0,OR(AUTOEVENTO&lt;&gt;"manual",$M20&lt;&gt;1)),
IF(Import.TipoArredondamento&lt;&gt;"TransfereGOV",
ROUND(OFFSET($P20,0,AT$13),15-13*ORÇAMENTO!$AF$7)/$H20*OFFSET(ORÇAMENTO!$X$15,ROW(AT20)-ROW(AT$15),0),
ROUND(ROUND(OFFSET($P20,0,AT$13),15-13*ORÇAMENTO!$AF$7)*OFFSET(ORÇAMENTO!$W$15,ROW(AT20)-ROW(AT$15),0),15-13*ORÇAMENTO!$AF$11)),0)</f>
        <v>0</v>
      </c>
      <c r="AU20" s="545">
        <f ca="1">IF(AND($D20="Serviço",AU$12&lt;&gt;0,$H20&gt;0,OR(AUTOEVENTO&lt;&gt;"manual",$M20&lt;&gt;1)),
IF(Import.TipoArredondamento&lt;&gt;"TransfereGOV",
ROUND(OFFSET($P20,0,AU$13),15-13*ORÇAMENTO!$AF$7)/$H20*OFFSET(ORÇAMENTO!$X$15,ROW(AU20)-ROW(AU$15),0),
ROUND(ROUND(OFFSET($P20,0,AU$13),15-13*ORÇAMENTO!$AF$7)*OFFSET(ORÇAMENTO!$W$15,ROW(AU20)-ROW(AU$15),0),15-13*ORÇAMENTO!$AF$11)),0)</f>
        <v>0</v>
      </c>
      <c r="AV20" s="545">
        <f ca="1">IF(AND($D20="Serviço",AV$12&lt;&gt;0,$H20&gt;0,OR(AUTOEVENTO&lt;&gt;"manual",$M20&lt;&gt;1)),
IF(Import.TipoArredondamento&lt;&gt;"TransfereGOV",
ROUND(OFFSET($P20,0,AV$13),15-13*ORÇAMENTO!$AF$7)/$H20*OFFSET(ORÇAMENTO!$X$15,ROW(AV20)-ROW(AV$15),0),
ROUND(ROUND(OFFSET($P20,0,AV$13),15-13*ORÇAMENTO!$AF$7)*OFFSET(ORÇAMENTO!$W$15,ROW(AV20)-ROW(AV$15),0),15-13*ORÇAMENTO!$AF$11)),0)</f>
        <v>0</v>
      </c>
      <c r="AW20" s="545">
        <f ca="1">IF(AND($D20="Serviço",AW$12&lt;&gt;0,$H20&gt;0,OR(AUTOEVENTO&lt;&gt;"manual",$M20&lt;&gt;1)),
IF(Import.TipoArredondamento&lt;&gt;"TransfereGOV",
ROUND(OFFSET($P20,0,AW$13),15-13*ORÇAMENTO!$AF$7)/$H20*OFFSET(ORÇAMENTO!$X$15,ROW(AW20)-ROW(AW$15),0),
ROUND(ROUND(OFFSET($P20,0,AW$13),15-13*ORÇAMENTO!$AF$7)*OFFSET(ORÇAMENTO!$W$15,ROW(AW20)-ROW(AW$15),0),15-13*ORÇAMENTO!$AF$11)),0)</f>
        <v>0</v>
      </c>
      <c r="AX20" s="545">
        <f ca="1">IF(AND($D20="Serviço",AX$12&lt;&gt;0,$H20&gt;0,OR(AUTOEVENTO&lt;&gt;"manual",$M20&lt;&gt;1)),
IF(Import.TipoArredondamento&lt;&gt;"TransfereGOV",
ROUND(OFFSET($P20,0,AX$13),15-13*ORÇAMENTO!$AF$7)/$H20*OFFSET(ORÇAMENTO!$X$15,ROW(AX20)-ROW(AX$15),0),
ROUND(ROUND(OFFSET($P20,0,AX$13),15-13*ORÇAMENTO!$AF$7)*OFFSET(ORÇAMENTO!$W$15,ROW(AX20)-ROW(AX$15),0),15-13*ORÇAMENTO!$AF$11)),0)</f>
        <v>0</v>
      </c>
      <c r="AY20" s="545">
        <f ca="1">IF(AND($D20="Serviço",AY$12&lt;&gt;0,$H20&gt;0,OR(AUTOEVENTO&lt;&gt;"manual",$M20&lt;&gt;1)),
IF(Import.TipoArredondamento&lt;&gt;"TransfereGOV",
ROUND(OFFSET($P20,0,AY$13),15-13*ORÇAMENTO!$AF$7)/$H20*OFFSET(ORÇAMENTO!$X$15,ROW(AY20)-ROW(AY$15),0),
ROUND(ROUND(OFFSET($P20,0,AY$13),15-13*ORÇAMENTO!$AF$7)*OFFSET(ORÇAMENTO!$W$15,ROW(AY20)-ROW(AY$15),0),15-13*ORÇAMENTO!$AF$11)),0)</f>
        <v>0</v>
      </c>
      <c r="AZ20" s="545">
        <f ca="1">IF(AND($D20="Serviço",AZ$12&lt;&gt;0,$H20&gt;0,OR(AUTOEVENTO&lt;&gt;"manual",$M20&lt;&gt;1)),
IF(Import.TipoArredondamento&lt;&gt;"TransfereGOV",
ROUND(OFFSET($P20,0,AZ$13),15-13*ORÇAMENTO!$AF$7)/$H20*OFFSET(ORÇAMENTO!$X$15,ROW(AZ20)-ROW(AZ$15),0),
ROUND(ROUND(OFFSET($P20,0,AZ$13),15-13*ORÇAMENTO!$AF$7)*OFFSET(ORÇAMENTO!$W$15,ROW(AZ20)-ROW(AZ$15),0),15-13*ORÇAMENTO!$AF$11)),0)</f>
        <v>0</v>
      </c>
      <c r="BA20" s="546">
        <f ca="1">IF(AND($D20="Serviço",BA$12&lt;&gt;0,$H20&gt;0,OR(AUTOEVENTO&lt;&gt;"manual",$M20&lt;&gt;1)),
IF(Import.TipoArredondamento&lt;&gt;"TransfereGOV",
ROUND(OFFSET($P20,0,BA$13),15-13*ORÇAMENTO!$AF$7)/$H20*OFFSET(ORÇAMENTO!$X$15,ROW(BA20)-ROW(BA$15),0),
ROUND(ROUND(OFFSET($P20,0,BA$13),15-13*ORÇAMENTO!$AF$7)*OFFSET(ORÇAMENTO!$W$15,ROW(BA20)-ROW(BA$15),0),15-13*ORÇAMENTO!$AF$11)),0)</f>
        <v>0</v>
      </c>
      <c r="BC20" s="181">
        <f ca="1">IF($D20&lt;&gt;"Serviço",0,IF(AND(AUTOEVENTO="Manual",$M20=1),0,IF(OFFSET(CRONOPLE!$F$14,$M20,BC$13)="",10^12,OFFSET(CRONOPLE!$F$14,$M20,BC$13))))</f>
        <v>1</v>
      </c>
      <c r="BD20" s="181">
        <f ca="1">IF($D20&lt;&gt;"Serviço",0,IF(AND(AUTOEVENTO="Manual",$M20=1),0,IF(OFFSET(CRONOPLE!$F$14,$M20,BD$13)="",10^12,OFFSET(CRONOPLE!$F$14,$M20,BD$13))))</f>
        <v>1000000000000</v>
      </c>
      <c r="BE20" s="181">
        <f ca="1">IF($D20&lt;&gt;"Serviço",0,IF(AND(AUTOEVENTO="Manual",$M20=1),0,IF(OFFSET(CRONOPLE!$F$14,$M20,BE$13)="",10^12,OFFSET(CRONOPLE!$F$14,$M20,BE$13))))</f>
        <v>1000000000000</v>
      </c>
      <c r="BF20" s="181">
        <f ca="1">IF($D20&lt;&gt;"Serviço",0,IF(AND(AUTOEVENTO="Manual",$M20=1),0,IF(OFFSET(CRONOPLE!$F$14,$M20,BF$13)="",10^12,OFFSET(CRONOPLE!$F$14,$M20,BF$13))))</f>
        <v>1000000000000</v>
      </c>
      <c r="BG20" s="181">
        <f ca="1">IF($D20&lt;&gt;"Serviço",0,IF(AND(AUTOEVENTO="Manual",$M20=1),0,IF(OFFSET(CRONOPLE!$F$14,$M20,BG$13)="",10^12,OFFSET(CRONOPLE!$F$14,$M20,BG$13))))</f>
        <v>1000000000000</v>
      </c>
      <c r="BH20" s="181">
        <f ca="1">IF($D20&lt;&gt;"Serviço",0,IF(AND(AUTOEVENTO="Manual",$M20=1),0,IF(OFFSET(CRONOPLE!$F$14,$M20,BH$13)="",10^12,OFFSET(CRONOPLE!$F$14,$M20,BH$13))))</f>
        <v>1000000000000</v>
      </c>
      <c r="BI20" s="181">
        <f ca="1">IF($D20&lt;&gt;"Serviço",0,IF(AND(AUTOEVENTO="Manual",$M20=1),0,IF(OFFSET(CRONOPLE!$F$14,$M20,BI$13)="",10^12,OFFSET(CRONOPLE!$F$14,$M20,BI$13))))</f>
        <v>1000000000000</v>
      </c>
      <c r="BJ20" s="181">
        <f ca="1">IF($D20&lt;&gt;"Serviço",0,IF(AND(AUTOEVENTO="Manual",$M20=1),0,IF(OFFSET(CRONOPLE!$F$14,$M20,BJ$13)="",10^12,OFFSET(CRONOPLE!$F$14,$M20,BJ$13))))</f>
        <v>1000000000000</v>
      </c>
      <c r="BK20" s="181">
        <f ca="1">IF($D20&lt;&gt;"Serviço",0,IF(AND(AUTOEVENTO="Manual",$M20=1),0,IF(OFFSET(CRONOPLE!$F$14,$M20,BK$13)="",10^12,OFFSET(CRONOPLE!$F$14,$M20,BK$13))))</f>
        <v>1000000000000</v>
      </c>
      <c r="BL20" s="181">
        <f ca="1">IF($D20&lt;&gt;"Serviço",0,IF(AND(AUTOEVENTO="Manual",$M20=1),0,IF(OFFSET(CRONOPLE!$F$14,$M20,BL$13)="",10^12,OFFSET(CRONOPLE!$F$14,$M20,BL$13))))</f>
        <v>1000000000000</v>
      </c>
      <c r="BM20" s="181">
        <f ca="1">IF($D20&lt;&gt;"Serviço",0,IF(AND(AUTOEVENTO="Manual",$M20=1),0,IF(OFFSET(CRONOPLE!$F$14,$M20,BM$13)="",10^12,OFFSET(CRONOPLE!$F$14,$M20,BM$13))))</f>
        <v>1000000000000</v>
      </c>
      <c r="BN20" s="181">
        <f ca="1">IF($D20&lt;&gt;"Serviço",0,IF(AND(AUTOEVENTO="Manual",$M20=1),0,IF(OFFSET(CRONOPLE!$F$14,$M20,BN$13)="",10^12,OFFSET(CRONOPLE!$F$14,$M20,BN$13))))</f>
        <v>1000000000000</v>
      </c>
      <c r="BO20" s="181">
        <f ca="1">IF($D20&lt;&gt;"Serviço",0,IF(AND(AUTOEVENTO="Manual",$M20=1),0,IF(OFFSET(CRONOPLE!$F$14,$M20,BO$13)="",10^12,OFFSET(CRONOPLE!$F$14,$M20,BO$13))))</f>
        <v>1000000000000</v>
      </c>
      <c r="BP20" s="181">
        <f ca="1">IF($D20&lt;&gt;"Serviço",0,IF(AND(AUTOEVENTO="Manual",$M20=1),0,IF(OFFSET(CRONOPLE!$F$14,$M20,BP$13)="",10^12,OFFSET(CRONOPLE!$F$14,$M20,BP$13))))</f>
        <v>1000000000000</v>
      </c>
      <c r="BQ20" s="181">
        <f ca="1">IF($D20&lt;&gt;"Serviço",0,IF(AND(AUTOEVENTO="Manual",$M20=1),0,IF(OFFSET(CRONOPLE!$F$14,$M20,BQ$13)="",10^12,OFFSET(CRONOPLE!$F$14,$M20,BQ$13))))</f>
        <v>1000000000000</v>
      </c>
      <c r="BR20" s="181">
        <f ca="1">IF($D20&lt;&gt;"Serviço",0,IF(AND(AUTOEVENTO="Manual",$M20=1),0,IF(OFFSET(CRONOPLE!$F$14,$M20,BR$13)="",10^12,OFFSET(CRONOPLE!$F$14,$M20,BR$13))))</f>
        <v>1000000000000</v>
      </c>
      <c r="BS20" s="181">
        <f ca="1">IF($D20&lt;&gt;"Serviço",0,IF(AND(AUTOEVENTO="Manual",$M20=1),0,IF(OFFSET(CRONOPLE!$F$14,$M20,BS$13)="",10^12,OFFSET(CRONOPLE!$F$14,$M20,BS$13))))</f>
        <v>1000000000000</v>
      </c>
      <c r="BT20" s="181">
        <f ca="1">IF($D20&lt;&gt;"Serviço",0,IF(AND(AUTOEVENTO="Manual",$M20=1),0,IF(OFFSET(CRONOPLE!$F$14,$M20,BT$13)="",10^12,OFFSET(CRONOPLE!$F$14,$M20,BT$13))))</f>
        <v>1000000000000</v>
      </c>
      <c r="BV20" s="182">
        <f ca="1">IF($D20&lt;&gt;"Serviço",0,IF(OR(AND(AUTOEVENTO="Manual",$M20=1),$M20&gt;(ROW(PLE.lastrow)-ROW(PLE.firstrow))),0,IF(OFFSET(PLE!$G$14,$M20,BV$13)="",10^12,OFFSET(PLE!$G$14,$M20,BV$13))))</f>
        <v>1000000000000</v>
      </c>
      <c r="BW20" s="182">
        <f ca="1">IF($D20&lt;&gt;"Serviço",0,IF(OR(AND(AUTOEVENTO="Manual",$M20=1),$M20&gt;(ROW(PLE.lastrow)-ROW(PLE.firstrow))),0,IF(OFFSET(PLE!$G$14,$M20,BW$13)="",10^12,OFFSET(PLE!$G$14,$M20,BW$13))))</f>
        <v>1000000000000</v>
      </c>
      <c r="BX20" s="182">
        <f ca="1">IF($D20&lt;&gt;"Serviço",0,IF(OR(AND(AUTOEVENTO="Manual",$M20=1),$M20&gt;(ROW(PLE.lastrow)-ROW(PLE.firstrow))),0,IF(OFFSET(PLE!$G$14,$M20,BX$13)="",10^12,OFFSET(PLE!$G$14,$M20,BX$13))))</f>
        <v>1000000000000</v>
      </c>
      <c r="BY20" s="182">
        <f ca="1">IF($D20&lt;&gt;"Serviço",0,IF(OR(AND(AUTOEVENTO="Manual",$M20=1),$M20&gt;(ROW(PLE.lastrow)-ROW(PLE.firstrow))),0,IF(OFFSET(PLE!$G$14,$M20,BY$13)="",10^12,OFFSET(PLE!$G$14,$M20,BY$13))))</f>
        <v>1000000000000</v>
      </c>
      <c r="BZ20" s="182">
        <f ca="1">IF($D20&lt;&gt;"Serviço",0,IF(OR(AND(AUTOEVENTO="Manual",$M20=1),$M20&gt;(ROW(PLE.lastrow)-ROW(PLE.firstrow))),0,IF(OFFSET(PLE!$G$14,$M20,BZ$13)="",10^12,OFFSET(PLE!$G$14,$M20,BZ$13))))</f>
        <v>1000000000000</v>
      </c>
      <c r="CA20" s="182">
        <f ca="1">IF($D20&lt;&gt;"Serviço",0,IF(OR(AND(AUTOEVENTO="Manual",$M20=1),$M20&gt;(ROW(PLE.lastrow)-ROW(PLE.firstrow))),0,IF(OFFSET(PLE!$G$14,$M20,CA$13)="",10^12,OFFSET(PLE!$G$14,$M20,CA$13))))</f>
        <v>1000000000000</v>
      </c>
      <c r="CB20" s="182">
        <f ca="1">IF($D20&lt;&gt;"Serviço",0,IF(OR(AND(AUTOEVENTO="Manual",$M20=1),$M20&gt;(ROW(PLE.lastrow)-ROW(PLE.firstrow))),0,IF(OFFSET(PLE!$G$14,$M20,CB$13)="",10^12,OFFSET(PLE!$G$14,$M20,CB$13))))</f>
        <v>1000000000000</v>
      </c>
      <c r="CC20" s="182">
        <f ca="1">IF($D20&lt;&gt;"Serviço",0,IF(OR(AND(AUTOEVENTO="Manual",$M20=1),$M20&gt;(ROW(PLE.lastrow)-ROW(PLE.firstrow))),0,IF(OFFSET(PLE!$G$14,$M20,CC$13)="",10^12,OFFSET(PLE!$G$14,$M20,CC$13))))</f>
        <v>1000000000000</v>
      </c>
      <c r="CD20" s="182">
        <f ca="1">IF($D20&lt;&gt;"Serviço",0,IF(OR(AND(AUTOEVENTO="Manual",$M20=1),$M20&gt;(ROW(PLE.lastrow)-ROW(PLE.firstrow))),0,IF(OFFSET(PLE!$G$14,$M20,CD$13)="",10^12,OFFSET(PLE!$G$14,$M20,CD$13))))</f>
        <v>1000000000000</v>
      </c>
      <c r="CE20" s="182">
        <f ca="1">IF($D20&lt;&gt;"Serviço",0,IF(OR(AND(AUTOEVENTO="Manual",$M20=1),$M20&gt;(ROW(PLE.lastrow)-ROW(PLE.firstrow))),0,IF(OFFSET(PLE!$G$14,$M20,CE$13)="",10^12,OFFSET(PLE!$G$14,$M20,CE$13))))</f>
        <v>1000000000000</v>
      </c>
      <c r="CF20" s="182">
        <f ca="1">IF($D20&lt;&gt;"Serviço",0,IF(OR(AND(AUTOEVENTO="Manual",$M20=1),$M20&gt;(ROW(PLE.lastrow)-ROW(PLE.firstrow))),0,IF(OFFSET(PLE!$G$14,$M20,CF$13)="",10^12,OFFSET(PLE!$G$14,$M20,CF$13))))</f>
        <v>1000000000000</v>
      </c>
      <c r="CG20" s="182">
        <f ca="1">IF($D20&lt;&gt;"Serviço",0,IF(OR(AND(AUTOEVENTO="Manual",$M20=1),$M20&gt;(ROW(PLE.lastrow)-ROW(PLE.firstrow))),0,IF(OFFSET(PLE!$G$14,$M20,CG$13)="",10^12,OFFSET(PLE!$G$14,$M20,CG$13))))</f>
        <v>1000000000000</v>
      </c>
      <c r="CH20" s="182">
        <f ca="1">IF($D20&lt;&gt;"Serviço",0,IF(OR(AND(AUTOEVENTO="Manual",$M20=1),$M20&gt;(ROW(PLE.lastrow)-ROW(PLE.firstrow))),0,IF(OFFSET(PLE!$G$14,$M20,CH$13)="",10^12,OFFSET(PLE!$G$14,$M20,CH$13))))</f>
        <v>1000000000000</v>
      </c>
      <c r="CI20" s="182">
        <f ca="1">IF($D20&lt;&gt;"Serviço",0,IF(OR(AND(AUTOEVENTO="Manual",$M20=1),$M20&gt;(ROW(PLE.lastrow)-ROW(PLE.firstrow))),0,IF(OFFSET(PLE!$G$14,$M20,CI$13)="",10^12,OFFSET(PLE!$G$14,$M20,CI$13))))</f>
        <v>1000000000000</v>
      </c>
      <c r="CJ20" s="182">
        <f ca="1">IF($D20&lt;&gt;"Serviço",0,IF(OR(AND(AUTOEVENTO="Manual",$M20=1),$M20&gt;(ROW(PLE.lastrow)-ROW(PLE.firstrow))),0,IF(OFFSET(PLE!$G$14,$M20,CJ$13)="",10^12,OFFSET(PLE!$G$14,$M20,CJ$13))))</f>
        <v>1000000000000</v>
      </c>
      <c r="CK20" s="182">
        <f ca="1">IF($D20&lt;&gt;"Serviço",0,IF(OR(AND(AUTOEVENTO="Manual",$M20=1),$M20&gt;(ROW(PLE.lastrow)-ROW(PLE.firstrow))),0,IF(OFFSET(PLE!$G$14,$M20,CK$13)="",10^12,OFFSET(PLE!$G$14,$M20,CK$13))))</f>
        <v>1000000000000</v>
      </c>
      <c r="CL20" s="182">
        <f ca="1">IF($D20&lt;&gt;"Serviço",0,IF(OR(AND(AUTOEVENTO="Manual",$M20=1),$M20&gt;(ROW(PLE.lastrow)-ROW(PLE.firstrow))),0,IF(OFFSET(PLE!$G$14,$M20,CL$13)="",10^12,OFFSET(PLE!$G$14,$M20,CL$13))))</f>
        <v>1000000000000</v>
      </c>
      <c r="CM20" s="182">
        <f ca="1">IF($D20&lt;&gt;"Serviço",0,IF(OR(AND(AUTOEVENTO="Manual",$M20=1),$M20&gt;(ROW(PLE.lastrow)-ROW(PLE.firstrow))),0,IF(OFFSET(PLE!$G$14,$M20,CM$13)="",10^12,OFFSET(PLE!$G$14,$M20,CM$13))))</f>
        <v>1000000000000</v>
      </c>
    </row>
    <row r="21" spans="1:91" ht="38.25" x14ac:dyDescent="0.2">
      <c r="A21" s="7" t="str">
        <f t="shared" ca="1" si="9"/>
        <v>4</v>
      </c>
      <c r="B21" s="7" t="str">
        <f ca="1">OFFSET(ORÇAMENTO!C$15,ROW(B21)-ROW(B$15),0)</f>
        <v>S</v>
      </c>
      <c r="C21" s="7" t="str">
        <f ca="1">OFFSET(ORÇAMENTO!L$15,ROW(C21)-ROW(C$15),0)</f>
        <v/>
      </c>
      <c r="D21" s="118" t="str">
        <f ca="1">OFFSET(ORÇAMENTO!N$15,ROW(D21)-ROW(D$15),0)</f>
        <v>Serviço</v>
      </c>
      <c r="E21" s="119" t="str">
        <f ca="1">OFFSET(ORÇAMENTO!O$15,ROW(E21)-ROW(E$15),0)</f>
        <v>-</v>
      </c>
      <c r="F21" s="172" t="str">
        <f ca="1">OFFSET(ORÇAMENTO!R$15,ROW(F21)-ROW(F$15),0)</f>
        <v>(abra o arquivo 'Referência 06-2024.xlsm)</v>
      </c>
      <c r="G21" s="173" t="str">
        <f ca="1">IF($D21&lt;&gt;"Serviço","",OFFSET(ORÇAMENTO!S$15,ROW(G21)-ROW(G$15),0))</f>
        <v>-</v>
      </c>
      <c r="H21" s="124">
        <f ca="1">IF($D21&lt;&gt;"Serviço",0,IF(ACOMPANHAMENTO="BM",ROUND(OFFSET(ORÇAMENTO!AJ$15,ROW(H21)-ROW(H$15),0),15-13*ORÇAMENTO!$AF$7),SUMPRODUCT(($Q$12:$AI$12&lt;&gt;"")*ROUND($Q21:$AI21,15-13*ORÇAMENTO!$AF$7))))</f>
        <v>12</v>
      </c>
      <c r="I21" s="561" t="s">
        <v>1107</v>
      </c>
      <c r="K21" s="174" t="s">
        <v>1021</v>
      </c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3</v>
      </c>
      <c r="N21" s="177" t="str">
        <f ca="1">IF($D21&lt;&gt;"Serviço","",IF(AUTOEVENTO="Manual",IF($A21=0,"&lt;-- defina o número do agrupador",OFFSET(EVENTOS!$D$14,$A21,0)),OFFSET($F$15,$A21,0)))</f>
        <v>CANTEIRO DE OBRAS (CO)</v>
      </c>
      <c r="O21" s="178"/>
      <c r="Q21" s="178">
        <v>12</v>
      </c>
      <c r="R21" s="179"/>
      <c r="S21" s="179"/>
      <c r="T21" s="179"/>
      <c r="U21" s="179"/>
      <c r="V21" s="179"/>
      <c r="W21" s="179"/>
      <c r="X21" s="179"/>
      <c r="Y21" s="179"/>
      <c r="Z21" s="180"/>
      <c r="AA21" s="179"/>
      <c r="AB21" s="179"/>
      <c r="AC21" s="179"/>
      <c r="AD21" s="179"/>
      <c r="AE21" s="179"/>
      <c r="AF21" s="179"/>
      <c r="AG21" s="179"/>
      <c r="AH21" s="180"/>
      <c r="AJ21" s="544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5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L21" s="545">
        <f ca="1">IF(AND($D21="Serviço",AL$12&lt;&gt;0,$H21&gt;0,OR(AUTOEVENTO&lt;&gt;"manual",$M21&lt;&gt;1)),
IF(Import.TipoArredondamento&lt;&gt;"TransfereGOV",
ROUND(OFFSET($P21,0,AL$13),15-13*ORÇAMENTO!$AF$7)/$H21*OFFSET(ORÇAMENTO!$X$15,ROW(AL21)-ROW(AL$15),0),
ROUND(ROUND(OFFSET($P21,0,AL$13),15-13*ORÇAMENTO!$AF$7)*OFFSET(ORÇAMENTO!$W$15,ROW(AL21)-ROW(AL$15),0),15-13*ORÇAMENTO!$AF$11)),0)</f>
        <v>0</v>
      </c>
      <c r="AM21" s="545">
        <f ca="1">IF(AND($D21="Serviço",AM$12&lt;&gt;0,$H21&gt;0,OR(AUTOEVENTO&lt;&gt;"manual",$M21&lt;&gt;1)),
IF(Import.TipoArredondamento&lt;&gt;"TransfereGOV",
ROUND(OFFSET($P21,0,AM$13),15-13*ORÇAMENTO!$AF$7)/$H21*OFFSET(ORÇAMENTO!$X$15,ROW(AM21)-ROW(AM$15),0),
ROUND(ROUND(OFFSET($P21,0,AM$13),15-13*ORÇAMENTO!$AF$7)*OFFSET(ORÇAMENTO!$W$15,ROW(AM21)-ROW(AM$15),0),15-13*ORÇAMENTO!$AF$11)),0)</f>
        <v>0</v>
      </c>
      <c r="AN21" s="545">
        <f ca="1">IF(AND($D21="Serviço",AN$12&lt;&gt;0,$H21&gt;0,OR(AUTOEVENTO&lt;&gt;"manual",$M21&lt;&gt;1)),
IF(Import.TipoArredondamento&lt;&gt;"TransfereGOV",
ROUND(OFFSET($P21,0,AN$13),15-13*ORÇAMENTO!$AF$7)/$H21*OFFSET(ORÇAMENTO!$X$15,ROW(AN21)-ROW(AN$15),0),
ROUND(ROUND(OFFSET($P21,0,AN$13),15-13*ORÇAMENTO!$AF$7)*OFFSET(ORÇAMENTO!$W$15,ROW(AN21)-ROW(AN$15),0),15-13*ORÇAMENTO!$AF$11)),0)</f>
        <v>0</v>
      </c>
      <c r="AO21" s="545">
        <f ca="1">IF(AND($D21="Serviço",AO$12&lt;&gt;0,$H21&gt;0,OR(AUTOEVENTO&lt;&gt;"manual",$M21&lt;&gt;1)),
IF(Import.TipoArredondamento&lt;&gt;"TransfereGOV",
ROUND(OFFSET($P21,0,AO$13),15-13*ORÇAMENTO!$AF$7)/$H21*OFFSET(ORÇAMENTO!$X$15,ROW(AO21)-ROW(AO$15),0),
ROUND(ROUND(OFFSET($P21,0,AO$13),15-13*ORÇAMENTO!$AF$7)*OFFSET(ORÇAMENTO!$W$15,ROW(AO21)-ROW(AO$15),0),15-13*ORÇAMENTO!$AF$11)),0)</f>
        <v>0</v>
      </c>
      <c r="AP21" s="545">
        <f ca="1">IF(AND($D21="Serviço",AP$12&lt;&gt;0,$H21&gt;0,OR(AUTOEVENTO&lt;&gt;"manual",$M21&lt;&gt;1)),
IF(Import.TipoArredondamento&lt;&gt;"TransfereGOV",
ROUND(OFFSET($P21,0,AP$13),15-13*ORÇAMENTO!$AF$7)/$H21*OFFSET(ORÇAMENTO!$X$15,ROW(AP21)-ROW(AP$15),0),
ROUND(ROUND(OFFSET($P21,0,AP$13),15-13*ORÇAMENTO!$AF$7)*OFFSET(ORÇAMENTO!$W$15,ROW(AP21)-ROW(AP$15),0),15-13*ORÇAMENTO!$AF$11)),0)</f>
        <v>0</v>
      </c>
      <c r="AQ21" s="545">
        <f ca="1">IF(AND($D21="Serviço",AQ$12&lt;&gt;0,$H21&gt;0,OR(AUTOEVENTO&lt;&gt;"manual",$M21&lt;&gt;1)),
IF(Import.TipoArredondamento&lt;&gt;"TransfereGOV",
ROUND(OFFSET($P21,0,AQ$13),15-13*ORÇAMENTO!$AF$7)/$H21*OFFSET(ORÇAMENTO!$X$15,ROW(AQ21)-ROW(AQ$15),0),
ROUND(ROUND(OFFSET($P21,0,AQ$13),15-13*ORÇAMENTO!$AF$7)*OFFSET(ORÇAMENTO!$W$15,ROW(AQ21)-ROW(AQ$15),0),15-13*ORÇAMENTO!$AF$11)),0)</f>
        <v>0</v>
      </c>
      <c r="AR21" s="545">
        <f ca="1">IF(AND($D21="Serviço",AR$12&lt;&gt;0,$H21&gt;0,OR(AUTOEVENTO&lt;&gt;"manual",$M21&lt;&gt;1)),
IF(Import.TipoArredondamento&lt;&gt;"TransfereGOV",
ROUND(OFFSET($P21,0,AR$13),15-13*ORÇAMENTO!$AF$7)/$H21*OFFSET(ORÇAMENTO!$X$15,ROW(AR21)-ROW(AR$15),0),
ROUND(ROUND(OFFSET($P21,0,AR$13),15-13*ORÇAMENTO!$AF$7)*OFFSET(ORÇAMENTO!$W$15,ROW(AR21)-ROW(AR$15),0),15-13*ORÇAMENTO!$AF$11)),0)</f>
        <v>0</v>
      </c>
      <c r="AS21" s="546">
        <f ca="1">IF(AND($D21="Serviço",AS$12&lt;&gt;0,$H21&gt;0,OR(AUTOEVENTO&lt;&gt;"manual",$M21&lt;&gt;1)),
IF(Import.TipoArredondamento&lt;&gt;"TransfereGOV",
ROUND(OFFSET($P21,0,AS$13),15-13*ORÇAMENTO!$AF$7)/$H21*OFFSET(ORÇAMENTO!$X$15,ROW(AS21)-ROW(AS$15),0),
ROUND(ROUND(OFFSET($P21,0,AS$13),15-13*ORÇAMENTO!$AF$7)*OFFSET(ORÇAMENTO!$W$15,ROW(AS21)-ROW(AS$15),0),15-13*ORÇAMENTO!$AF$11)),0)</f>
        <v>0</v>
      </c>
      <c r="AT21" s="545">
        <f ca="1">IF(AND($D21="Serviço",AT$12&lt;&gt;0,$H21&gt;0,OR(AUTOEVENTO&lt;&gt;"manual",$M21&lt;&gt;1)),
IF(Import.TipoArredondamento&lt;&gt;"TransfereGOV",
ROUND(OFFSET($P21,0,AT$13),15-13*ORÇAMENTO!$AF$7)/$H21*OFFSET(ORÇAMENTO!$X$15,ROW(AT21)-ROW(AT$15),0),
ROUND(ROUND(OFFSET($P21,0,AT$13),15-13*ORÇAMENTO!$AF$7)*OFFSET(ORÇAMENTO!$W$15,ROW(AT21)-ROW(AT$15),0),15-13*ORÇAMENTO!$AF$11)),0)</f>
        <v>0</v>
      </c>
      <c r="AU21" s="545">
        <f ca="1">IF(AND($D21="Serviço",AU$12&lt;&gt;0,$H21&gt;0,OR(AUTOEVENTO&lt;&gt;"manual",$M21&lt;&gt;1)),
IF(Import.TipoArredondamento&lt;&gt;"TransfereGOV",
ROUND(OFFSET($P21,0,AU$13),15-13*ORÇAMENTO!$AF$7)/$H21*OFFSET(ORÇAMENTO!$X$15,ROW(AU21)-ROW(AU$15),0),
ROUND(ROUND(OFFSET($P21,0,AU$13),15-13*ORÇAMENTO!$AF$7)*OFFSET(ORÇAMENTO!$W$15,ROW(AU21)-ROW(AU$15),0),15-13*ORÇAMENTO!$AF$11)),0)</f>
        <v>0</v>
      </c>
      <c r="AV21" s="545">
        <f ca="1">IF(AND($D21="Serviço",AV$12&lt;&gt;0,$H21&gt;0,OR(AUTOEVENTO&lt;&gt;"manual",$M21&lt;&gt;1)),
IF(Import.TipoArredondamento&lt;&gt;"TransfereGOV",
ROUND(OFFSET($P21,0,AV$13),15-13*ORÇAMENTO!$AF$7)/$H21*OFFSET(ORÇAMENTO!$X$15,ROW(AV21)-ROW(AV$15),0),
ROUND(ROUND(OFFSET($P21,0,AV$13),15-13*ORÇAMENTO!$AF$7)*OFFSET(ORÇAMENTO!$W$15,ROW(AV21)-ROW(AV$15),0),15-13*ORÇAMENTO!$AF$11)),0)</f>
        <v>0</v>
      </c>
      <c r="AW21" s="545">
        <f ca="1">IF(AND($D21="Serviço",AW$12&lt;&gt;0,$H21&gt;0,OR(AUTOEVENTO&lt;&gt;"manual",$M21&lt;&gt;1)),
IF(Import.TipoArredondamento&lt;&gt;"TransfereGOV",
ROUND(OFFSET($P21,0,AW$13),15-13*ORÇAMENTO!$AF$7)/$H21*OFFSET(ORÇAMENTO!$X$15,ROW(AW21)-ROW(AW$15),0),
ROUND(ROUND(OFFSET($P21,0,AW$13),15-13*ORÇAMENTO!$AF$7)*OFFSET(ORÇAMENTO!$W$15,ROW(AW21)-ROW(AW$15),0),15-13*ORÇAMENTO!$AF$11)),0)</f>
        <v>0</v>
      </c>
      <c r="AX21" s="545">
        <f ca="1">IF(AND($D21="Serviço",AX$12&lt;&gt;0,$H21&gt;0,OR(AUTOEVENTO&lt;&gt;"manual",$M21&lt;&gt;1)),
IF(Import.TipoArredondamento&lt;&gt;"TransfereGOV",
ROUND(OFFSET($P21,0,AX$13),15-13*ORÇAMENTO!$AF$7)/$H21*OFFSET(ORÇAMENTO!$X$15,ROW(AX21)-ROW(AX$15),0),
ROUND(ROUND(OFFSET($P21,0,AX$13),15-13*ORÇAMENTO!$AF$7)*OFFSET(ORÇAMENTO!$W$15,ROW(AX21)-ROW(AX$15),0),15-13*ORÇAMENTO!$AF$11)),0)</f>
        <v>0</v>
      </c>
      <c r="AY21" s="545">
        <f ca="1">IF(AND($D21="Serviço",AY$12&lt;&gt;0,$H21&gt;0,OR(AUTOEVENTO&lt;&gt;"manual",$M21&lt;&gt;1)),
IF(Import.TipoArredondamento&lt;&gt;"TransfereGOV",
ROUND(OFFSET($P21,0,AY$13),15-13*ORÇAMENTO!$AF$7)/$H21*OFFSET(ORÇAMENTO!$X$15,ROW(AY21)-ROW(AY$15),0),
ROUND(ROUND(OFFSET($P21,0,AY$13),15-13*ORÇAMENTO!$AF$7)*OFFSET(ORÇAMENTO!$W$15,ROW(AY21)-ROW(AY$15),0),15-13*ORÇAMENTO!$AF$11)),0)</f>
        <v>0</v>
      </c>
      <c r="AZ21" s="545">
        <f ca="1">IF(AND($D21="Serviço",AZ$12&lt;&gt;0,$H21&gt;0,OR(AUTOEVENTO&lt;&gt;"manual",$M21&lt;&gt;1)),
IF(Import.TipoArredondamento&lt;&gt;"TransfereGOV",
ROUND(OFFSET($P21,0,AZ$13),15-13*ORÇAMENTO!$AF$7)/$H21*OFFSET(ORÇAMENTO!$X$15,ROW(AZ21)-ROW(AZ$15),0),
ROUND(ROUND(OFFSET($P21,0,AZ$13),15-13*ORÇAMENTO!$AF$7)*OFFSET(ORÇAMENTO!$W$15,ROW(AZ21)-ROW(AZ$15),0),15-13*ORÇAMENTO!$AF$11)),0)</f>
        <v>0</v>
      </c>
      <c r="BA21" s="546">
        <f ca="1">IF(AND($D21="Serviço",BA$12&lt;&gt;0,$H21&gt;0,OR(AUTOEVENTO&lt;&gt;"manual",$M21&lt;&gt;1)),
IF(Import.TipoArredondamento&lt;&gt;"TransfereGOV",
ROUND(OFFSET($P21,0,BA$13),15-13*ORÇAMENTO!$AF$7)/$H21*OFFSET(ORÇAMENTO!$X$15,ROW(BA21)-ROW(BA$15),0),
ROUND(ROUND(OFFSET($P21,0,BA$13),15-13*ORÇAMENTO!$AF$7)*OFFSET(ORÇAMENTO!$W$15,ROW(BA21)-ROW(BA$15),0),15-13*ORÇAMENTO!$AF$11)),0)</f>
        <v>0</v>
      </c>
      <c r="BC21" s="181">
        <f ca="1">IF($D21&lt;&gt;"Serviço",0,IF(AND(AUTOEVENTO="Manual",$M21=1),0,IF(OFFSET(CRONOPLE!$F$14,$M21,BC$13)="",10^12,OFFSET(CRONOPLE!$F$14,$M21,BC$13))))</f>
        <v>1</v>
      </c>
      <c r="BD21" s="181">
        <f ca="1">IF($D21&lt;&gt;"Serviço",0,IF(AND(AUTOEVENTO="Manual",$M21=1),0,IF(OFFSET(CRONOPLE!$F$14,$M21,BD$13)="",10^12,OFFSET(CRONOPLE!$F$14,$M21,BD$13))))</f>
        <v>1000000000000</v>
      </c>
      <c r="BE21" s="181">
        <f ca="1">IF($D21&lt;&gt;"Serviço",0,IF(AND(AUTOEVENTO="Manual",$M21=1),0,IF(OFFSET(CRONOPLE!$F$14,$M21,BE$13)="",10^12,OFFSET(CRONOPLE!$F$14,$M21,BE$13))))</f>
        <v>1000000000000</v>
      </c>
      <c r="BF21" s="181">
        <f ca="1">IF($D21&lt;&gt;"Serviço",0,IF(AND(AUTOEVENTO="Manual",$M21=1),0,IF(OFFSET(CRONOPLE!$F$14,$M21,BF$13)="",10^12,OFFSET(CRONOPLE!$F$14,$M21,BF$13))))</f>
        <v>1000000000000</v>
      </c>
      <c r="BG21" s="181">
        <f ca="1">IF($D21&lt;&gt;"Serviço",0,IF(AND(AUTOEVENTO="Manual",$M21=1),0,IF(OFFSET(CRONOPLE!$F$14,$M21,BG$13)="",10^12,OFFSET(CRONOPLE!$F$14,$M21,BG$13))))</f>
        <v>1000000000000</v>
      </c>
      <c r="BH21" s="181">
        <f ca="1">IF($D21&lt;&gt;"Serviço",0,IF(AND(AUTOEVENTO="Manual",$M21=1),0,IF(OFFSET(CRONOPLE!$F$14,$M21,BH$13)="",10^12,OFFSET(CRONOPLE!$F$14,$M21,BH$13))))</f>
        <v>1000000000000</v>
      </c>
      <c r="BI21" s="181">
        <f ca="1">IF($D21&lt;&gt;"Serviço",0,IF(AND(AUTOEVENTO="Manual",$M21=1),0,IF(OFFSET(CRONOPLE!$F$14,$M21,BI$13)="",10^12,OFFSET(CRONOPLE!$F$14,$M21,BI$13))))</f>
        <v>1000000000000</v>
      </c>
      <c r="BJ21" s="181">
        <f ca="1">IF($D21&lt;&gt;"Serviço",0,IF(AND(AUTOEVENTO="Manual",$M21=1),0,IF(OFFSET(CRONOPLE!$F$14,$M21,BJ$13)="",10^12,OFFSET(CRONOPLE!$F$14,$M21,BJ$13))))</f>
        <v>1000000000000</v>
      </c>
      <c r="BK21" s="181">
        <f ca="1">IF($D21&lt;&gt;"Serviço",0,IF(AND(AUTOEVENTO="Manual",$M21=1),0,IF(OFFSET(CRONOPLE!$F$14,$M21,BK$13)="",10^12,OFFSET(CRONOPLE!$F$14,$M21,BK$13))))</f>
        <v>1000000000000</v>
      </c>
      <c r="BL21" s="181">
        <f ca="1">IF($D21&lt;&gt;"Serviço",0,IF(AND(AUTOEVENTO="Manual",$M21=1),0,IF(OFFSET(CRONOPLE!$F$14,$M21,BL$13)="",10^12,OFFSET(CRONOPLE!$F$14,$M21,BL$13))))</f>
        <v>1000000000000</v>
      </c>
      <c r="BM21" s="181">
        <f ca="1">IF($D21&lt;&gt;"Serviço",0,IF(AND(AUTOEVENTO="Manual",$M21=1),0,IF(OFFSET(CRONOPLE!$F$14,$M21,BM$13)="",10^12,OFFSET(CRONOPLE!$F$14,$M21,BM$13))))</f>
        <v>1000000000000</v>
      </c>
      <c r="BN21" s="181">
        <f ca="1">IF($D21&lt;&gt;"Serviço",0,IF(AND(AUTOEVENTO="Manual",$M21=1),0,IF(OFFSET(CRONOPLE!$F$14,$M21,BN$13)="",10^12,OFFSET(CRONOPLE!$F$14,$M21,BN$13))))</f>
        <v>1000000000000</v>
      </c>
      <c r="BO21" s="181">
        <f ca="1">IF($D21&lt;&gt;"Serviço",0,IF(AND(AUTOEVENTO="Manual",$M21=1),0,IF(OFFSET(CRONOPLE!$F$14,$M21,BO$13)="",10^12,OFFSET(CRONOPLE!$F$14,$M21,BO$13))))</f>
        <v>1000000000000</v>
      </c>
      <c r="BP21" s="181">
        <f ca="1">IF($D21&lt;&gt;"Serviço",0,IF(AND(AUTOEVENTO="Manual",$M21=1),0,IF(OFFSET(CRONOPLE!$F$14,$M21,BP$13)="",10^12,OFFSET(CRONOPLE!$F$14,$M21,BP$13))))</f>
        <v>1000000000000</v>
      </c>
      <c r="BQ21" s="181">
        <f ca="1">IF($D21&lt;&gt;"Serviço",0,IF(AND(AUTOEVENTO="Manual",$M21=1),0,IF(OFFSET(CRONOPLE!$F$14,$M21,BQ$13)="",10^12,OFFSET(CRONOPLE!$F$14,$M21,BQ$13))))</f>
        <v>1000000000000</v>
      </c>
      <c r="BR21" s="181">
        <f ca="1">IF($D21&lt;&gt;"Serviço",0,IF(AND(AUTOEVENTO="Manual",$M21=1),0,IF(OFFSET(CRONOPLE!$F$14,$M21,BR$13)="",10^12,OFFSET(CRONOPLE!$F$14,$M21,BR$13))))</f>
        <v>1000000000000</v>
      </c>
      <c r="BS21" s="181">
        <f ca="1">IF($D21&lt;&gt;"Serviço",0,IF(AND(AUTOEVENTO="Manual",$M21=1),0,IF(OFFSET(CRONOPLE!$F$14,$M21,BS$13)="",10^12,OFFSET(CRONOPLE!$F$14,$M21,BS$13))))</f>
        <v>1000000000000</v>
      </c>
      <c r="BT21" s="181">
        <f ca="1">IF($D21&lt;&gt;"Serviço",0,IF(AND(AUTOEVENTO="Manual",$M21=1),0,IF(OFFSET(CRONOPLE!$F$14,$M21,BT$13)="",10^12,OFFSET(CRONOPLE!$F$14,$M21,BT$13))))</f>
        <v>1000000000000</v>
      </c>
      <c r="BV21" s="182">
        <f ca="1">IF($D21&lt;&gt;"Serviço",0,IF(OR(AND(AUTOEVENTO="Manual",$M21=1),$M21&gt;(ROW(PLE.lastrow)-ROW(PLE.firstrow))),0,IF(OFFSET(PLE!$G$14,$M21,BV$13)="",10^12,OFFSET(PLE!$G$14,$M21,BV$13))))</f>
        <v>1000000000000</v>
      </c>
      <c r="BW21" s="182">
        <f ca="1">IF($D21&lt;&gt;"Serviço",0,IF(OR(AND(AUTOEVENTO="Manual",$M21=1),$M21&gt;(ROW(PLE.lastrow)-ROW(PLE.firstrow))),0,IF(OFFSET(PLE!$G$14,$M21,BW$13)="",10^12,OFFSET(PLE!$G$14,$M21,BW$13))))</f>
        <v>1000000000000</v>
      </c>
      <c r="BX21" s="182">
        <f ca="1">IF($D21&lt;&gt;"Serviço",0,IF(OR(AND(AUTOEVENTO="Manual",$M21=1),$M21&gt;(ROW(PLE.lastrow)-ROW(PLE.firstrow))),0,IF(OFFSET(PLE!$G$14,$M21,BX$13)="",10^12,OFFSET(PLE!$G$14,$M21,BX$13))))</f>
        <v>1000000000000</v>
      </c>
      <c r="BY21" s="182">
        <f ca="1">IF($D21&lt;&gt;"Serviço",0,IF(OR(AND(AUTOEVENTO="Manual",$M21=1),$M21&gt;(ROW(PLE.lastrow)-ROW(PLE.firstrow))),0,IF(OFFSET(PLE!$G$14,$M21,BY$13)="",10^12,OFFSET(PLE!$G$14,$M21,BY$13))))</f>
        <v>1000000000000</v>
      </c>
      <c r="BZ21" s="182">
        <f ca="1">IF($D21&lt;&gt;"Serviço",0,IF(OR(AND(AUTOEVENTO="Manual",$M21=1),$M21&gt;(ROW(PLE.lastrow)-ROW(PLE.firstrow))),0,IF(OFFSET(PLE!$G$14,$M21,BZ$13)="",10^12,OFFSET(PLE!$G$14,$M21,BZ$13))))</f>
        <v>1000000000000</v>
      </c>
      <c r="CA21" s="182">
        <f ca="1">IF($D21&lt;&gt;"Serviço",0,IF(OR(AND(AUTOEVENTO="Manual",$M21=1),$M21&gt;(ROW(PLE.lastrow)-ROW(PLE.firstrow))),0,IF(OFFSET(PLE!$G$14,$M21,CA$13)="",10^12,OFFSET(PLE!$G$14,$M21,CA$13))))</f>
        <v>1000000000000</v>
      </c>
      <c r="CB21" s="182">
        <f ca="1">IF($D21&lt;&gt;"Serviço",0,IF(OR(AND(AUTOEVENTO="Manual",$M21=1),$M21&gt;(ROW(PLE.lastrow)-ROW(PLE.firstrow))),0,IF(OFFSET(PLE!$G$14,$M21,CB$13)="",10^12,OFFSET(PLE!$G$14,$M21,CB$13))))</f>
        <v>1000000000000</v>
      </c>
      <c r="CC21" s="182">
        <f ca="1">IF($D21&lt;&gt;"Serviço",0,IF(OR(AND(AUTOEVENTO="Manual",$M21=1),$M21&gt;(ROW(PLE.lastrow)-ROW(PLE.firstrow))),0,IF(OFFSET(PLE!$G$14,$M21,CC$13)="",10^12,OFFSET(PLE!$G$14,$M21,CC$13))))</f>
        <v>1000000000000</v>
      </c>
      <c r="CD21" s="182">
        <f ca="1">IF($D21&lt;&gt;"Serviço",0,IF(OR(AND(AUTOEVENTO="Manual",$M21=1),$M21&gt;(ROW(PLE.lastrow)-ROW(PLE.firstrow))),0,IF(OFFSET(PLE!$G$14,$M21,CD$13)="",10^12,OFFSET(PLE!$G$14,$M21,CD$13))))</f>
        <v>1000000000000</v>
      </c>
      <c r="CE21" s="182">
        <f ca="1">IF($D21&lt;&gt;"Serviço",0,IF(OR(AND(AUTOEVENTO="Manual",$M21=1),$M21&gt;(ROW(PLE.lastrow)-ROW(PLE.firstrow))),0,IF(OFFSET(PLE!$G$14,$M21,CE$13)="",10^12,OFFSET(PLE!$G$14,$M21,CE$13))))</f>
        <v>1000000000000</v>
      </c>
      <c r="CF21" s="182">
        <f ca="1">IF($D21&lt;&gt;"Serviço",0,IF(OR(AND(AUTOEVENTO="Manual",$M21=1),$M21&gt;(ROW(PLE.lastrow)-ROW(PLE.firstrow))),0,IF(OFFSET(PLE!$G$14,$M21,CF$13)="",10^12,OFFSET(PLE!$G$14,$M21,CF$13))))</f>
        <v>1000000000000</v>
      </c>
      <c r="CG21" s="182">
        <f ca="1">IF($D21&lt;&gt;"Serviço",0,IF(OR(AND(AUTOEVENTO="Manual",$M21=1),$M21&gt;(ROW(PLE.lastrow)-ROW(PLE.firstrow))),0,IF(OFFSET(PLE!$G$14,$M21,CG$13)="",10^12,OFFSET(PLE!$G$14,$M21,CG$13))))</f>
        <v>1000000000000</v>
      </c>
      <c r="CH21" s="182">
        <f ca="1">IF($D21&lt;&gt;"Serviço",0,IF(OR(AND(AUTOEVENTO="Manual",$M21=1),$M21&gt;(ROW(PLE.lastrow)-ROW(PLE.firstrow))),0,IF(OFFSET(PLE!$G$14,$M21,CH$13)="",10^12,OFFSET(PLE!$G$14,$M21,CH$13))))</f>
        <v>1000000000000</v>
      </c>
      <c r="CI21" s="182">
        <f ca="1">IF($D21&lt;&gt;"Serviço",0,IF(OR(AND(AUTOEVENTO="Manual",$M21=1),$M21&gt;(ROW(PLE.lastrow)-ROW(PLE.firstrow))),0,IF(OFFSET(PLE!$G$14,$M21,CI$13)="",10^12,OFFSET(PLE!$G$14,$M21,CI$13))))</f>
        <v>1000000000000</v>
      </c>
      <c r="CJ21" s="182">
        <f ca="1">IF($D21&lt;&gt;"Serviço",0,IF(OR(AND(AUTOEVENTO="Manual",$M21=1),$M21&gt;(ROW(PLE.lastrow)-ROW(PLE.firstrow))),0,IF(OFFSET(PLE!$G$14,$M21,CJ$13)="",10^12,OFFSET(PLE!$G$14,$M21,CJ$13))))</f>
        <v>1000000000000</v>
      </c>
      <c r="CK21" s="182">
        <f ca="1">IF($D21&lt;&gt;"Serviço",0,IF(OR(AND(AUTOEVENTO="Manual",$M21=1),$M21&gt;(ROW(PLE.lastrow)-ROW(PLE.firstrow))),0,IF(OFFSET(PLE!$G$14,$M21,CK$13)="",10^12,OFFSET(PLE!$G$14,$M21,CK$13))))</f>
        <v>1000000000000</v>
      </c>
      <c r="CL21" s="182">
        <f ca="1">IF($D21&lt;&gt;"Serviço",0,IF(OR(AND(AUTOEVENTO="Manual",$M21=1),$M21&gt;(ROW(PLE.lastrow)-ROW(PLE.firstrow))),0,IF(OFFSET(PLE!$G$14,$M21,CL$13)="",10^12,OFFSET(PLE!$G$14,$M21,CL$13))))</f>
        <v>1000000000000</v>
      </c>
      <c r="CM21" s="182">
        <f ca="1">IF($D21&lt;&gt;"Serviço",0,IF(OR(AND(AUTOEVENTO="Manual",$M21=1),$M21&gt;(ROW(PLE.lastrow)-ROW(PLE.firstrow))),0,IF(OFFSET(PLE!$G$14,$M21,CM$13)="",10^12,OFFSET(PLE!$G$14,$M21,CM$13))))</f>
        <v>1000000000000</v>
      </c>
    </row>
    <row r="22" spans="1:91" ht="38.25" x14ac:dyDescent="0.2">
      <c r="A22" s="7" t="str">
        <f t="shared" ca="1" si="9"/>
        <v>4</v>
      </c>
      <c r="B22" s="7" t="str">
        <f ca="1">OFFSET(ORÇAMENTO!C$15,ROW(B22)-ROW(B$15),0)</f>
        <v>S</v>
      </c>
      <c r="C22" s="7" t="str">
        <f ca="1">OFFSET(ORÇAMENTO!L$15,ROW(C22)-ROW(C$15),0)</f>
        <v/>
      </c>
      <c r="D22" s="118" t="str">
        <f ca="1">OFFSET(ORÇAMENTO!N$15,ROW(D22)-ROW(D$15),0)</f>
        <v>Serviço</v>
      </c>
      <c r="E22" s="119" t="str">
        <f ca="1">OFFSET(ORÇAMENTO!O$15,ROW(E22)-ROW(E$15),0)</f>
        <v>-</v>
      </c>
      <c r="F22" s="172" t="str">
        <f ca="1">OFFSET(ORÇAMENTO!R$15,ROW(F22)-ROW(F$15),0)</f>
        <v>(abra o arquivo 'Referência 06-2024.xlsm)</v>
      </c>
      <c r="G22" s="173" t="str">
        <f ca="1">IF($D22&lt;&gt;"Serviço","",OFFSET(ORÇAMENTO!S$15,ROW(G22)-ROW(G$15),0))</f>
        <v>-</v>
      </c>
      <c r="H22" s="124">
        <f ca="1">IF($D22&lt;&gt;"Serviço",0,IF(ACOMPANHAMENTO="BM",ROUND(OFFSET(ORÇAMENTO!AJ$15,ROW(H22)-ROW(H$15),0),15-13*ORÇAMENTO!$AF$7),SUMPRODUCT(($Q$12:$AI$12&lt;&gt;"")*ROUND($Q22:$AI22,15-13*ORÇAMENTO!$AF$7))))</f>
        <v>12</v>
      </c>
      <c r="I22" s="561" t="s">
        <v>1107</v>
      </c>
      <c r="K22" s="174" t="s">
        <v>1021</v>
      </c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3</v>
      </c>
      <c r="N22" s="177" t="str">
        <f ca="1">IF($D22&lt;&gt;"Serviço","",IF(AUTOEVENTO="Manual",IF($A22=0,"&lt;-- defina o número do agrupador",OFFSET(EVENTOS!$D$14,$A22,0)),OFFSET($F$15,$A22,0)))</f>
        <v>CANTEIRO DE OBRAS (CO)</v>
      </c>
      <c r="O22" s="178"/>
      <c r="Q22" s="178">
        <v>12</v>
      </c>
      <c r="R22" s="179"/>
      <c r="S22" s="179"/>
      <c r="T22" s="179"/>
      <c r="U22" s="179"/>
      <c r="V22" s="179"/>
      <c r="W22" s="179"/>
      <c r="X22" s="179"/>
      <c r="Y22" s="179"/>
      <c r="Z22" s="180"/>
      <c r="AA22" s="179"/>
      <c r="AB22" s="179"/>
      <c r="AC22" s="179"/>
      <c r="AD22" s="179"/>
      <c r="AE22" s="179"/>
      <c r="AF22" s="179"/>
      <c r="AG22" s="179"/>
      <c r="AH22" s="180"/>
      <c r="AJ22" s="544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5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L22" s="545">
        <f ca="1">IF(AND($D22="Serviço",AL$12&lt;&gt;0,$H22&gt;0,OR(AUTOEVENTO&lt;&gt;"manual",$M22&lt;&gt;1)),
IF(Import.TipoArredondamento&lt;&gt;"TransfereGOV",
ROUND(OFFSET($P22,0,AL$13),15-13*ORÇAMENTO!$AF$7)/$H22*OFFSET(ORÇAMENTO!$X$15,ROW(AL22)-ROW(AL$15),0),
ROUND(ROUND(OFFSET($P22,0,AL$13),15-13*ORÇAMENTO!$AF$7)*OFFSET(ORÇAMENTO!$W$15,ROW(AL22)-ROW(AL$15),0),15-13*ORÇAMENTO!$AF$11)),0)</f>
        <v>0</v>
      </c>
      <c r="AM22" s="545">
        <f ca="1">IF(AND($D22="Serviço",AM$12&lt;&gt;0,$H22&gt;0,OR(AUTOEVENTO&lt;&gt;"manual",$M22&lt;&gt;1)),
IF(Import.TipoArredondamento&lt;&gt;"TransfereGOV",
ROUND(OFFSET($P22,0,AM$13),15-13*ORÇAMENTO!$AF$7)/$H22*OFFSET(ORÇAMENTO!$X$15,ROW(AM22)-ROW(AM$15),0),
ROUND(ROUND(OFFSET($P22,0,AM$13),15-13*ORÇAMENTO!$AF$7)*OFFSET(ORÇAMENTO!$W$15,ROW(AM22)-ROW(AM$15),0),15-13*ORÇAMENTO!$AF$11)),0)</f>
        <v>0</v>
      </c>
      <c r="AN22" s="545">
        <f ca="1">IF(AND($D22="Serviço",AN$12&lt;&gt;0,$H22&gt;0,OR(AUTOEVENTO&lt;&gt;"manual",$M22&lt;&gt;1)),
IF(Import.TipoArredondamento&lt;&gt;"TransfereGOV",
ROUND(OFFSET($P22,0,AN$13),15-13*ORÇAMENTO!$AF$7)/$H22*OFFSET(ORÇAMENTO!$X$15,ROW(AN22)-ROW(AN$15),0),
ROUND(ROUND(OFFSET($P22,0,AN$13),15-13*ORÇAMENTO!$AF$7)*OFFSET(ORÇAMENTO!$W$15,ROW(AN22)-ROW(AN$15),0),15-13*ORÇAMENTO!$AF$11)),0)</f>
        <v>0</v>
      </c>
      <c r="AO22" s="545">
        <f ca="1">IF(AND($D22="Serviço",AO$12&lt;&gt;0,$H22&gt;0,OR(AUTOEVENTO&lt;&gt;"manual",$M22&lt;&gt;1)),
IF(Import.TipoArredondamento&lt;&gt;"TransfereGOV",
ROUND(OFFSET($P22,0,AO$13),15-13*ORÇAMENTO!$AF$7)/$H22*OFFSET(ORÇAMENTO!$X$15,ROW(AO22)-ROW(AO$15),0),
ROUND(ROUND(OFFSET($P22,0,AO$13),15-13*ORÇAMENTO!$AF$7)*OFFSET(ORÇAMENTO!$W$15,ROW(AO22)-ROW(AO$15),0),15-13*ORÇAMENTO!$AF$11)),0)</f>
        <v>0</v>
      </c>
      <c r="AP22" s="545">
        <f ca="1">IF(AND($D22="Serviço",AP$12&lt;&gt;0,$H22&gt;0,OR(AUTOEVENTO&lt;&gt;"manual",$M22&lt;&gt;1)),
IF(Import.TipoArredondamento&lt;&gt;"TransfereGOV",
ROUND(OFFSET($P22,0,AP$13),15-13*ORÇAMENTO!$AF$7)/$H22*OFFSET(ORÇAMENTO!$X$15,ROW(AP22)-ROW(AP$15),0),
ROUND(ROUND(OFFSET($P22,0,AP$13),15-13*ORÇAMENTO!$AF$7)*OFFSET(ORÇAMENTO!$W$15,ROW(AP22)-ROW(AP$15),0),15-13*ORÇAMENTO!$AF$11)),0)</f>
        <v>0</v>
      </c>
      <c r="AQ22" s="545">
        <f ca="1">IF(AND($D22="Serviço",AQ$12&lt;&gt;0,$H22&gt;0,OR(AUTOEVENTO&lt;&gt;"manual",$M22&lt;&gt;1)),
IF(Import.TipoArredondamento&lt;&gt;"TransfereGOV",
ROUND(OFFSET($P22,0,AQ$13),15-13*ORÇAMENTO!$AF$7)/$H22*OFFSET(ORÇAMENTO!$X$15,ROW(AQ22)-ROW(AQ$15),0),
ROUND(ROUND(OFFSET($P22,0,AQ$13),15-13*ORÇAMENTO!$AF$7)*OFFSET(ORÇAMENTO!$W$15,ROW(AQ22)-ROW(AQ$15),0),15-13*ORÇAMENTO!$AF$11)),0)</f>
        <v>0</v>
      </c>
      <c r="AR22" s="545">
        <f ca="1">IF(AND($D22="Serviço",AR$12&lt;&gt;0,$H22&gt;0,OR(AUTOEVENTO&lt;&gt;"manual",$M22&lt;&gt;1)),
IF(Import.TipoArredondamento&lt;&gt;"TransfereGOV",
ROUND(OFFSET($P22,0,AR$13),15-13*ORÇAMENTO!$AF$7)/$H22*OFFSET(ORÇAMENTO!$X$15,ROW(AR22)-ROW(AR$15),0),
ROUND(ROUND(OFFSET($P22,0,AR$13),15-13*ORÇAMENTO!$AF$7)*OFFSET(ORÇAMENTO!$W$15,ROW(AR22)-ROW(AR$15),0),15-13*ORÇAMENTO!$AF$11)),0)</f>
        <v>0</v>
      </c>
      <c r="AS22" s="546">
        <f ca="1">IF(AND($D22="Serviço",AS$12&lt;&gt;0,$H22&gt;0,OR(AUTOEVENTO&lt;&gt;"manual",$M22&lt;&gt;1)),
IF(Import.TipoArredondamento&lt;&gt;"TransfereGOV",
ROUND(OFFSET($P22,0,AS$13),15-13*ORÇAMENTO!$AF$7)/$H22*OFFSET(ORÇAMENTO!$X$15,ROW(AS22)-ROW(AS$15),0),
ROUND(ROUND(OFFSET($P22,0,AS$13),15-13*ORÇAMENTO!$AF$7)*OFFSET(ORÇAMENTO!$W$15,ROW(AS22)-ROW(AS$15),0),15-13*ORÇAMENTO!$AF$11)),0)</f>
        <v>0</v>
      </c>
      <c r="AT22" s="545">
        <f ca="1">IF(AND($D22="Serviço",AT$12&lt;&gt;0,$H22&gt;0,OR(AUTOEVENTO&lt;&gt;"manual",$M22&lt;&gt;1)),
IF(Import.TipoArredondamento&lt;&gt;"TransfereGOV",
ROUND(OFFSET($P22,0,AT$13),15-13*ORÇAMENTO!$AF$7)/$H22*OFFSET(ORÇAMENTO!$X$15,ROW(AT22)-ROW(AT$15),0),
ROUND(ROUND(OFFSET($P22,0,AT$13),15-13*ORÇAMENTO!$AF$7)*OFFSET(ORÇAMENTO!$W$15,ROW(AT22)-ROW(AT$15),0),15-13*ORÇAMENTO!$AF$11)),0)</f>
        <v>0</v>
      </c>
      <c r="AU22" s="545">
        <f ca="1">IF(AND($D22="Serviço",AU$12&lt;&gt;0,$H22&gt;0,OR(AUTOEVENTO&lt;&gt;"manual",$M22&lt;&gt;1)),
IF(Import.TipoArredondamento&lt;&gt;"TransfereGOV",
ROUND(OFFSET($P22,0,AU$13),15-13*ORÇAMENTO!$AF$7)/$H22*OFFSET(ORÇAMENTO!$X$15,ROW(AU22)-ROW(AU$15),0),
ROUND(ROUND(OFFSET($P22,0,AU$13),15-13*ORÇAMENTO!$AF$7)*OFFSET(ORÇAMENTO!$W$15,ROW(AU22)-ROW(AU$15),0),15-13*ORÇAMENTO!$AF$11)),0)</f>
        <v>0</v>
      </c>
      <c r="AV22" s="545">
        <f ca="1">IF(AND($D22="Serviço",AV$12&lt;&gt;0,$H22&gt;0,OR(AUTOEVENTO&lt;&gt;"manual",$M22&lt;&gt;1)),
IF(Import.TipoArredondamento&lt;&gt;"TransfereGOV",
ROUND(OFFSET($P22,0,AV$13),15-13*ORÇAMENTO!$AF$7)/$H22*OFFSET(ORÇAMENTO!$X$15,ROW(AV22)-ROW(AV$15),0),
ROUND(ROUND(OFFSET($P22,0,AV$13),15-13*ORÇAMENTO!$AF$7)*OFFSET(ORÇAMENTO!$W$15,ROW(AV22)-ROW(AV$15),0),15-13*ORÇAMENTO!$AF$11)),0)</f>
        <v>0</v>
      </c>
      <c r="AW22" s="545">
        <f ca="1">IF(AND($D22="Serviço",AW$12&lt;&gt;0,$H22&gt;0,OR(AUTOEVENTO&lt;&gt;"manual",$M22&lt;&gt;1)),
IF(Import.TipoArredondamento&lt;&gt;"TransfereGOV",
ROUND(OFFSET($P22,0,AW$13),15-13*ORÇAMENTO!$AF$7)/$H22*OFFSET(ORÇAMENTO!$X$15,ROW(AW22)-ROW(AW$15),0),
ROUND(ROUND(OFFSET($P22,0,AW$13),15-13*ORÇAMENTO!$AF$7)*OFFSET(ORÇAMENTO!$W$15,ROW(AW22)-ROW(AW$15),0),15-13*ORÇAMENTO!$AF$11)),0)</f>
        <v>0</v>
      </c>
      <c r="AX22" s="545">
        <f ca="1">IF(AND($D22="Serviço",AX$12&lt;&gt;0,$H22&gt;0,OR(AUTOEVENTO&lt;&gt;"manual",$M22&lt;&gt;1)),
IF(Import.TipoArredondamento&lt;&gt;"TransfereGOV",
ROUND(OFFSET($P22,0,AX$13),15-13*ORÇAMENTO!$AF$7)/$H22*OFFSET(ORÇAMENTO!$X$15,ROW(AX22)-ROW(AX$15),0),
ROUND(ROUND(OFFSET($P22,0,AX$13),15-13*ORÇAMENTO!$AF$7)*OFFSET(ORÇAMENTO!$W$15,ROW(AX22)-ROW(AX$15),0),15-13*ORÇAMENTO!$AF$11)),0)</f>
        <v>0</v>
      </c>
      <c r="AY22" s="545">
        <f ca="1">IF(AND($D22="Serviço",AY$12&lt;&gt;0,$H22&gt;0,OR(AUTOEVENTO&lt;&gt;"manual",$M22&lt;&gt;1)),
IF(Import.TipoArredondamento&lt;&gt;"TransfereGOV",
ROUND(OFFSET($P22,0,AY$13),15-13*ORÇAMENTO!$AF$7)/$H22*OFFSET(ORÇAMENTO!$X$15,ROW(AY22)-ROW(AY$15),0),
ROUND(ROUND(OFFSET($P22,0,AY$13),15-13*ORÇAMENTO!$AF$7)*OFFSET(ORÇAMENTO!$W$15,ROW(AY22)-ROW(AY$15),0),15-13*ORÇAMENTO!$AF$11)),0)</f>
        <v>0</v>
      </c>
      <c r="AZ22" s="545">
        <f ca="1">IF(AND($D22="Serviço",AZ$12&lt;&gt;0,$H22&gt;0,OR(AUTOEVENTO&lt;&gt;"manual",$M22&lt;&gt;1)),
IF(Import.TipoArredondamento&lt;&gt;"TransfereGOV",
ROUND(OFFSET($P22,0,AZ$13),15-13*ORÇAMENTO!$AF$7)/$H22*OFFSET(ORÇAMENTO!$X$15,ROW(AZ22)-ROW(AZ$15),0),
ROUND(ROUND(OFFSET($P22,0,AZ$13),15-13*ORÇAMENTO!$AF$7)*OFFSET(ORÇAMENTO!$W$15,ROW(AZ22)-ROW(AZ$15),0),15-13*ORÇAMENTO!$AF$11)),0)</f>
        <v>0</v>
      </c>
      <c r="BA22" s="546">
        <f ca="1">IF(AND($D22="Serviço",BA$12&lt;&gt;0,$H22&gt;0,OR(AUTOEVENTO&lt;&gt;"manual",$M22&lt;&gt;1)),
IF(Import.TipoArredondamento&lt;&gt;"TransfereGOV",
ROUND(OFFSET($P22,0,BA$13),15-13*ORÇAMENTO!$AF$7)/$H22*OFFSET(ORÇAMENTO!$X$15,ROW(BA22)-ROW(BA$15),0),
ROUND(ROUND(OFFSET($P22,0,BA$13),15-13*ORÇAMENTO!$AF$7)*OFFSET(ORÇAMENTO!$W$15,ROW(BA22)-ROW(BA$15),0),15-13*ORÇAMENTO!$AF$11)),0)</f>
        <v>0</v>
      </c>
      <c r="BC22" s="181">
        <f ca="1">IF($D22&lt;&gt;"Serviço",0,IF(AND(AUTOEVENTO="Manual",$M22=1),0,IF(OFFSET(CRONOPLE!$F$14,$M22,BC$13)="",10^12,OFFSET(CRONOPLE!$F$14,$M22,BC$13))))</f>
        <v>1</v>
      </c>
      <c r="BD22" s="181">
        <f ca="1">IF($D22&lt;&gt;"Serviço",0,IF(AND(AUTOEVENTO="Manual",$M22=1),0,IF(OFFSET(CRONOPLE!$F$14,$M22,BD$13)="",10^12,OFFSET(CRONOPLE!$F$14,$M22,BD$13))))</f>
        <v>1000000000000</v>
      </c>
      <c r="BE22" s="181">
        <f ca="1">IF($D22&lt;&gt;"Serviço",0,IF(AND(AUTOEVENTO="Manual",$M22=1),0,IF(OFFSET(CRONOPLE!$F$14,$M22,BE$13)="",10^12,OFFSET(CRONOPLE!$F$14,$M22,BE$13))))</f>
        <v>1000000000000</v>
      </c>
      <c r="BF22" s="181">
        <f ca="1">IF($D22&lt;&gt;"Serviço",0,IF(AND(AUTOEVENTO="Manual",$M22=1),0,IF(OFFSET(CRONOPLE!$F$14,$M22,BF$13)="",10^12,OFFSET(CRONOPLE!$F$14,$M22,BF$13))))</f>
        <v>1000000000000</v>
      </c>
      <c r="BG22" s="181">
        <f ca="1">IF($D22&lt;&gt;"Serviço",0,IF(AND(AUTOEVENTO="Manual",$M22=1),0,IF(OFFSET(CRONOPLE!$F$14,$M22,BG$13)="",10^12,OFFSET(CRONOPLE!$F$14,$M22,BG$13))))</f>
        <v>1000000000000</v>
      </c>
      <c r="BH22" s="181">
        <f ca="1">IF($D22&lt;&gt;"Serviço",0,IF(AND(AUTOEVENTO="Manual",$M22=1),0,IF(OFFSET(CRONOPLE!$F$14,$M22,BH$13)="",10^12,OFFSET(CRONOPLE!$F$14,$M22,BH$13))))</f>
        <v>1000000000000</v>
      </c>
      <c r="BI22" s="181">
        <f ca="1">IF($D22&lt;&gt;"Serviço",0,IF(AND(AUTOEVENTO="Manual",$M22=1),0,IF(OFFSET(CRONOPLE!$F$14,$M22,BI$13)="",10^12,OFFSET(CRONOPLE!$F$14,$M22,BI$13))))</f>
        <v>1000000000000</v>
      </c>
      <c r="BJ22" s="181">
        <f ca="1">IF($D22&lt;&gt;"Serviço",0,IF(AND(AUTOEVENTO="Manual",$M22=1),0,IF(OFFSET(CRONOPLE!$F$14,$M22,BJ$13)="",10^12,OFFSET(CRONOPLE!$F$14,$M22,BJ$13))))</f>
        <v>1000000000000</v>
      </c>
      <c r="BK22" s="181">
        <f ca="1">IF($D22&lt;&gt;"Serviço",0,IF(AND(AUTOEVENTO="Manual",$M22=1),0,IF(OFFSET(CRONOPLE!$F$14,$M22,BK$13)="",10^12,OFFSET(CRONOPLE!$F$14,$M22,BK$13))))</f>
        <v>1000000000000</v>
      </c>
      <c r="BL22" s="181">
        <f ca="1">IF($D22&lt;&gt;"Serviço",0,IF(AND(AUTOEVENTO="Manual",$M22=1),0,IF(OFFSET(CRONOPLE!$F$14,$M22,BL$13)="",10^12,OFFSET(CRONOPLE!$F$14,$M22,BL$13))))</f>
        <v>1000000000000</v>
      </c>
      <c r="BM22" s="181">
        <f ca="1">IF($D22&lt;&gt;"Serviço",0,IF(AND(AUTOEVENTO="Manual",$M22=1),0,IF(OFFSET(CRONOPLE!$F$14,$M22,BM$13)="",10^12,OFFSET(CRONOPLE!$F$14,$M22,BM$13))))</f>
        <v>1000000000000</v>
      </c>
      <c r="BN22" s="181">
        <f ca="1">IF($D22&lt;&gt;"Serviço",0,IF(AND(AUTOEVENTO="Manual",$M22=1),0,IF(OFFSET(CRONOPLE!$F$14,$M22,BN$13)="",10^12,OFFSET(CRONOPLE!$F$14,$M22,BN$13))))</f>
        <v>1000000000000</v>
      </c>
      <c r="BO22" s="181">
        <f ca="1">IF($D22&lt;&gt;"Serviço",0,IF(AND(AUTOEVENTO="Manual",$M22=1),0,IF(OFFSET(CRONOPLE!$F$14,$M22,BO$13)="",10^12,OFFSET(CRONOPLE!$F$14,$M22,BO$13))))</f>
        <v>1000000000000</v>
      </c>
      <c r="BP22" s="181">
        <f ca="1">IF($D22&lt;&gt;"Serviço",0,IF(AND(AUTOEVENTO="Manual",$M22=1),0,IF(OFFSET(CRONOPLE!$F$14,$M22,BP$13)="",10^12,OFFSET(CRONOPLE!$F$14,$M22,BP$13))))</f>
        <v>1000000000000</v>
      </c>
      <c r="BQ22" s="181">
        <f ca="1">IF($D22&lt;&gt;"Serviço",0,IF(AND(AUTOEVENTO="Manual",$M22=1),0,IF(OFFSET(CRONOPLE!$F$14,$M22,BQ$13)="",10^12,OFFSET(CRONOPLE!$F$14,$M22,BQ$13))))</f>
        <v>1000000000000</v>
      </c>
      <c r="BR22" s="181">
        <f ca="1">IF($D22&lt;&gt;"Serviço",0,IF(AND(AUTOEVENTO="Manual",$M22=1),0,IF(OFFSET(CRONOPLE!$F$14,$M22,BR$13)="",10^12,OFFSET(CRONOPLE!$F$14,$M22,BR$13))))</f>
        <v>1000000000000</v>
      </c>
      <c r="BS22" s="181">
        <f ca="1">IF($D22&lt;&gt;"Serviço",0,IF(AND(AUTOEVENTO="Manual",$M22=1),0,IF(OFFSET(CRONOPLE!$F$14,$M22,BS$13)="",10^12,OFFSET(CRONOPLE!$F$14,$M22,BS$13))))</f>
        <v>1000000000000</v>
      </c>
      <c r="BT22" s="181">
        <f ca="1">IF($D22&lt;&gt;"Serviço",0,IF(AND(AUTOEVENTO="Manual",$M22=1),0,IF(OFFSET(CRONOPLE!$F$14,$M22,BT$13)="",10^12,OFFSET(CRONOPLE!$F$14,$M22,BT$13))))</f>
        <v>1000000000000</v>
      </c>
      <c r="BV22" s="182">
        <f ca="1">IF($D22&lt;&gt;"Serviço",0,IF(OR(AND(AUTOEVENTO="Manual",$M22=1),$M22&gt;(ROW(PLE.lastrow)-ROW(PLE.firstrow))),0,IF(OFFSET(PLE!$G$14,$M22,BV$13)="",10^12,OFFSET(PLE!$G$14,$M22,BV$13))))</f>
        <v>1000000000000</v>
      </c>
      <c r="BW22" s="182">
        <f ca="1">IF($D22&lt;&gt;"Serviço",0,IF(OR(AND(AUTOEVENTO="Manual",$M22=1),$M22&gt;(ROW(PLE.lastrow)-ROW(PLE.firstrow))),0,IF(OFFSET(PLE!$G$14,$M22,BW$13)="",10^12,OFFSET(PLE!$G$14,$M22,BW$13))))</f>
        <v>1000000000000</v>
      </c>
      <c r="BX22" s="182">
        <f ca="1">IF($D22&lt;&gt;"Serviço",0,IF(OR(AND(AUTOEVENTO="Manual",$M22=1),$M22&gt;(ROW(PLE.lastrow)-ROW(PLE.firstrow))),0,IF(OFFSET(PLE!$G$14,$M22,BX$13)="",10^12,OFFSET(PLE!$G$14,$M22,BX$13))))</f>
        <v>1000000000000</v>
      </c>
      <c r="BY22" s="182">
        <f ca="1">IF($D22&lt;&gt;"Serviço",0,IF(OR(AND(AUTOEVENTO="Manual",$M22=1),$M22&gt;(ROW(PLE.lastrow)-ROW(PLE.firstrow))),0,IF(OFFSET(PLE!$G$14,$M22,BY$13)="",10^12,OFFSET(PLE!$G$14,$M22,BY$13))))</f>
        <v>1000000000000</v>
      </c>
      <c r="BZ22" s="182">
        <f ca="1">IF($D22&lt;&gt;"Serviço",0,IF(OR(AND(AUTOEVENTO="Manual",$M22=1),$M22&gt;(ROW(PLE.lastrow)-ROW(PLE.firstrow))),0,IF(OFFSET(PLE!$G$14,$M22,BZ$13)="",10^12,OFFSET(PLE!$G$14,$M22,BZ$13))))</f>
        <v>1000000000000</v>
      </c>
      <c r="CA22" s="182">
        <f ca="1">IF($D22&lt;&gt;"Serviço",0,IF(OR(AND(AUTOEVENTO="Manual",$M22=1),$M22&gt;(ROW(PLE.lastrow)-ROW(PLE.firstrow))),0,IF(OFFSET(PLE!$G$14,$M22,CA$13)="",10^12,OFFSET(PLE!$G$14,$M22,CA$13))))</f>
        <v>1000000000000</v>
      </c>
      <c r="CB22" s="182">
        <f ca="1">IF($D22&lt;&gt;"Serviço",0,IF(OR(AND(AUTOEVENTO="Manual",$M22=1),$M22&gt;(ROW(PLE.lastrow)-ROW(PLE.firstrow))),0,IF(OFFSET(PLE!$G$14,$M22,CB$13)="",10^12,OFFSET(PLE!$G$14,$M22,CB$13))))</f>
        <v>1000000000000</v>
      </c>
      <c r="CC22" s="182">
        <f ca="1">IF($D22&lt;&gt;"Serviço",0,IF(OR(AND(AUTOEVENTO="Manual",$M22=1),$M22&gt;(ROW(PLE.lastrow)-ROW(PLE.firstrow))),0,IF(OFFSET(PLE!$G$14,$M22,CC$13)="",10^12,OFFSET(PLE!$G$14,$M22,CC$13))))</f>
        <v>1000000000000</v>
      </c>
      <c r="CD22" s="182">
        <f ca="1">IF($D22&lt;&gt;"Serviço",0,IF(OR(AND(AUTOEVENTO="Manual",$M22=1),$M22&gt;(ROW(PLE.lastrow)-ROW(PLE.firstrow))),0,IF(OFFSET(PLE!$G$14,$M22,CD$13)="",10^12,OFFSET(PLE!$G$14,$M22,CD$13))))</f>
        <v>1000000000000</v>
      </c>
      <c r="CE22" s="182">
        <f ca="1">IF($D22&lt;&gt;"Serviço",0,IF(OR(AND(AUTOEVENTO="Manual",$M22=1),$M22&gt;(ROW(PLE.lastrow)-ROW(PLE.firstrow))),0,IF(OFFSET(PLE!$G$14,$M22,CE$13)="",10^12,OFFSET(PLE!$G$14,$M22,CE$13))))</f>
        <v>1000000000000</v>
      </c>
      <c r="CF22" s="182">
        <f ca="1">IF($D22&lt;&gt;"Serviço",0,IF(OR(AND(AUTOEVENTO="Manual",$M22=1),$M22&gt;(ROW(PLE.lastrow)-ROW(PLE.firstrow))),0,IF(OFFSET(PLE!$G$14,$M22,CF$13)="",10^12,OFFSET(PLE!$G$14,$M22,CF$13))))</f>
        <v>1000000000000</v>
      </c>
      <c r="CG22" s="182">
        <f ca="1">IF($D22&lt;&gt;"Serviço",0,IF(OR(AND(AUTOEVENTO="Manual",$M22=1),$M22&gt;(ROW(PLE.lastrow)-ROW(PLE.firstrow))),0,IF(OFFSET(PLE!$G$14,$M22,CG$13)="",10^12,OFFSET(PLE!$G$14,$M22,CG$13))))</f>
        <v>1000000000000</v>
      </c>
      <c r="CH22" s="182">
        <f ca="1">IF($D22&lt;&gt;"Serviço",0,IF(OR(AND(AUTOEVENTO="Manual",$M22=1),$M22&gt;(ROW(PLE.lastrow)-ROW(PLE.firstrow))),0,IF(OFFSET(PLE!$G$14,$M22,CH$13)="",10^12,OFFSET(PLE!$G$14,$M22,CH$13))))</f>
        <v>1000000000000</v>
      </c>
      <c r="CI22" s="182">
        <f ca="1">IF($D22&lt;&gt;"Serviço",0,IF(OR(AND(AUTOEVENTO="Manual",$M22=1),$M22&gt;(ROW(PLE.lastrow)-ROW(PLE.firstrow))),0,IF(OFFSET(PLE!$G$14,$M22,CI$13)="",10^12,OFFSET(PLE!$G$14,$M22,CI$13))))</f>
        <v>1000000000000</v>
      </c>
      <c r="CJ22" s="182">
        <f ca="1">IF($D22&lt;&gt;"Serviço",0,IF(OR(AND(AUTOEVENTO="Manual",$M22=1),$M22&gt;(ROW(PLE.lastrow)-ROW(PLE.firstrow))),0,IF(OFFSET(PLE!$G$14,$M22,CJ$13)="",10^12,OFFSET(PLE!$G$14,$M22,CJ$13))))</f>
        <v>1000000000000</v>
      </c>
      <c r="CK22" s="182">
        <f ca="1">IF($D22&lt;&gt;"Serviço",0,IF(OR(AND(AUTOEVENTO="Manual",$M22=1),$M22&gt;(ROW(PLE.lastrow)-ROW(PLE.firstrow))),0,IF(OFFSET(PLE!$G$14,$M22,CK$13)="",10^12,OFFSET(PLE!$G$14,$M22,CK$13))))</f>
        <v>1000000000000</v>
      </c>
      <c r="CL22" s="182">
        <f ca="1">IF($D22&lt;&gt;"Serviço",0,IF(OR(AND(AUTOEVENTO="Manual",$M22=1),$M22&gt;(ROW(PLE.lastrow)-ROW(PLE.firstrow))),0,IF(OFFSET(PLE!$G$14,$M22,CL$13)="",10^12,OFFSET(PLE!$G$14,$M22,CL$13))))</f>
        <v>1000000000000</v>
      </c>
      <c r="CM22" s="182">
        <f ca="1">IF($D22&lt;&gt;"Serviço",0,IF(OR(AND(AUTOEVENTO="Manual",$M22=1),$M22&gt;(ROW(PLE.lastrow)-ROW(PLE.firstrow))),0,IF(OFFSET(PLE!$G$14,$M22,CM$13)="",10^12,OFFSET(PLE!$G$14,$M22,CM$13))))</f>
        <v>1000000000000</v>
      </c>
    </row>
    <row r="23" spans="1:91" ht="12.75" x14ac:dyDescent="0.2">
      <c r="A23" s="7" t="str">
        <f t="shared" ca="1" si="9"/>
        <v>8.</v>
      </c>
      <c r="B23" s="7">
        <f ca="1">OFFSET(ORÇAMENTO!C$15,ROW(B23)-ROW(B$15),0)</f>
        <v>2</v>
      </c>
      <c r="C23" s="7" t="str">
        <f ca="1">OFFSET(ORÇAMENTO!L$15,ROW(C23)-ROW(C$15),0)</f>
        <v>F</v>
      </c>
      <c r="D23" s="118" t="str">
        <f ca="1">OFFSET(ORÇAMENTO!N$15,ROW(D23)-ROW(D$15),0)</f>
        <v>Nível 2</v>
      </c>
      <c r="E23" s="119" t="str">
        <f ca="1">OFFSET(ORÇAMENTO!O$15,ROW(E23)-ROW(E$15),0)</f>
        <v>1.3.</v>
      </c>
      <c r="F23" s="172" t="str">
        <f ca="1">OFFSET(ORÇAMENTO!R$15,ROW(F23)-ROW(F$15),0)</f>
        <v>SERVIÇOS PRELIMINARES</v>
      </c>
      <c r="G23" s="173" t="str">
        <f ca="1">IF($D23&lt;&gt;"Serviço","",OFFSET(ORÇAMENTO!S$15,ROW(G23)-ROW(G$15),0))</f>
        <v/>
      </c>
      <c r="H23" s="124">
        <f ca="1">IF($D23&lt;&gt;"Serviço",0,IF(ACOMPANHAMENTO="BM",ROUND(OFFSET(ORÇAMENTO!AJ$15,ROW(H23)-ROW(H$15),0),15-13*ORÇAMENTO!$AF$7),SUMPRODUCT(($Q$12:$AI$12&lt;&gt;"")*ROUND($Q23:$AI23,15-13*ORÇAMENTO!$AF$7))))</f>
        <v>0</v>
      </c>
      <c r="I23" s="561"/>
      <c r="K23" s="174"/>
      <c r="L23" s="175" t="s">
        <v>255</v>
      </c>
      <c r="M23" s="176" t="str">
        <f ca="1">IF($D23&lt;&gt;"Serviço","",IF(AUTOEVENTO="manual",$A23,IF(ISERROR(MATCH($A23,$A$15:OFFSET($A23,-1,0),0)),MAX($M$15:OFFSET(M23,-1,0))+1,INDEX($M$15:OFFSET(M23,-1,0),MATCH($A23,$A$15:OFFSET($A23,-1,0),0)))))</f>
        <v/>
      </c>
      <c r="N23" s="177" t="str">
        <f ca="1">IF($D23&lt;&gt;"Serviço","",IF(AUTOEVENTO="Manual",IF($A23=0,"&lt;-- defina o número do agrupador",OFFSET(EVENTOS!$D$14,$A23,0)),OFFSET($F$15,$A23,0)))</f>
        <v/>
      </c>
      <c r="O23" s="178"/>
      <c r="Q23" s="178">
        <v>0</v>
      </c>
      <c r="R23" s="179"/>
      <c r="S23" s="179"/>
      <c r="T23" s="179"/>
      <c r="U23" s="179"/>
      <c r="V23" s="179"/>
      <c r="W23" s="179"/>
      <c r="X23" s="179"/>
      <c r="Y23" s="179"/>
      <c r="Z23" s="180"/>
      <c r="AA23" s="179"/>
      <c r="AB23" s="179"/>
      <c r="AC23" s="179"/>
      <c r="AD23" s="179"/>
      <c r="AE23" s="179"/>
      <c r="AF23" s="179"/>
      <c r="AG23" s="179"/>
      <c r="AH23" s="180"/>
      <c r="AJ23" s="544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5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L23" s="545">
        <f ca="1">IF(AND($D23="Serviço",AL$12&lt;&gt;0,$H23&gt;0,OR(AUTOEVENTO&lt;&gt;"manual",$M23&lt;&gt;1)),
IF(Import.TipoArredondamento&lt;&gt;"TransfereGOV",
ROUND(OFFSET($P23,0,AL$13),15-13*ORÇAMENTO!$AF$7)/$H23*OFFSET(ORÇAMENTO!$X$15,ROW(AL23)-ROW(AL$15),0),
ROUND(ROUND(OFFSET($P23,0,AL$13),15-13*ORÇAMENTO!$AF$7)*OFFSET(ORÇAMENTO!$W$15,ROW(AL23)-ROW(AL$15),0),15-13*ORÇAMENTO!$AF$11)),0)</f>
        <v>0</v>
      </c>
      <c r="AM23" s="545">
        <f ca="1">IF(AND($D23="Serviço",AM$12&lt;&gt;0,$H23&gt;0,OR(AUTOEVENTO&lt;&gt;"manual",$M23&lt;&gt;1)),
IF(Import.TipoArredondamento&lt;&gt;"TransfereGOV",
ROUND(OFFSET($P23,0,AM$13),15-13*ORÇAMENTO!$AF$7)/$H23*OFFSET(ORÇAMENTO!$X$15,ROW(AM23)-ROW(AM$15),0),
ROUND(ROUND(OFFSET($P23,0,AM$13),15-13*ORÇAMENTO!$AF$7)*OFFSET(ORÇAMENTO!$W$15,ROW(AM23)-ROW(AM$15),0),15-13*ORÇAMENTO!$AF$11)),0)</f>
        <v>0</v>
      </c>
      <c r="AN23" s="545">
        <f ca="1">IF(AND($D23="Serviço",AN$12&lt;&gt;0,$H23&gt;0,OR(AUTOEVENTO&lt;&gt;"manual",$M23&lt;&gt;1)),
IF(Import.TipoArredondamento&lt;&gt;"TransfereGOV",
ROUND(OFFSET($P23,0,AN$13),15-13*ORÇAMENTO!$AF$7)/$H23*OFFSET(ORÇAMENTO!$X$15,ROW(AN23)-ROW(AN$15),0),
ROUND(ROUND(OFFSET($P23,0,AN$13),15-13*ORÇAMENTO!$AF$7)*OFFSET(ORÇAMENTO!$W$15,ROW(AN23)-ROW(AN$15),0),15-13*ORÇAMENTO!$AF$11)),0)</f>
        <v>0</v>
      </c>
      <c r="AO23" s="545">
        <f ca="1">IF(AND($D23="Serviço",AO$12&lt;&gt;0,$H23&gt;0,OR(AUTOEVENTO&lt;&gt;"manual",$M23&lt;&gt;1)),
IF(Import.TipoArredondamento&lt;&gt;"TransfereGOV",
ROUND(OFFSET($P23,0,AO$13),15-13*ORÇAMENTO!$AF$7)/$H23*OFFSET(ORÇAMENTO!$X$15,ROW(AO23)-ROW(AO$15),0),
ROUND(ROUND(OFFSET($P23,0,AO$13),15-13*ORÇAMENTO!$AF$7)*OFFSET(ORÇAMENTO!$W$15,ROW(AO23)-ROW(AO$15),0),15-13*ORÇAMENTO!$AF$11)),0)</f>
        <v>0</v>
      </c>
      <c r="AP23" s="545">
        <f ca="1">IF(AND($D23="Serviço",AP$12&lt;&gt;0,$H23&gt;0,OR(AUTOEVENTO&lt;&gt;"manual",$M23&lt;&gt;1)),
IF(Import.TipoArredondamento&lt;&gt;"TransfereGOV",
ROUND(OFFSET($P23,0,AP$13),15-13*ORÇAMENTO!$AF$7)/$H23*OFFSET(ORÇAMENTO!$X$15,ROW(AP23)-ROW(AP$15),0),
ROUND(ROUND(OFFSET($P23,0,AP$13),15-13*ORÇAMENTO!$AF$7)*OFFSET(ORÇAMENTO!$W$15,ROW(AP23)-ROW(AP$15),0),15-13*ORÇAMENTO!$AF$11)),0)</f>
        <v>0</v>
      </c>
      <c r="AQ23" s="545">
        <f ca="1">IF(AND($D23="Serviço",AQ$12&lt;&gt;0,$H23&gt;0,OR(AUTOEVENTO&lt;&gt;"manual",$M23&lt;&gt;1)),
IF(Import.TipoArredondamento&lt;&gt;"TransfereGOV",
ROUND(OFFSET($P23,0,AQ$13),15-13*ORÇAMENTO!$AF$7)/$H23*OFFSET(ORÇAMENTO!$X$15,ROW(AQ23)-ROW(AQ$15),0),
ROUND(ROUND(OFFSET($P23,0,AQ$13),15-13*ORÇAMENTO!$AF$7)*OFFSET(ORÇAMENTO!$W$15,ROW(AQ23)-ROW(AQ$15),0),15-13*ORÇAMENTO!$AF$11)),0)</f>
        <v>0</v>
      </c>
      <c r="AR23" s="545">
        <f ca="1">IF(AND($D23="Serviço",AR$12&lt;&gt;0,$H23&gt;0,OR(AUTOEVENTO&lt;&gt;"manual",$M23&lt;&gt;1)),
IF(Import.TipoArredondamento&lt;&gt;"TransfereGOV",
ROUND(OFFSET($P23,0,AR$13),15-13*ORÇAMENTO!$AF$7)/$H23*OFFSET(ORÇAMENTO!$X$15,ROW(AR23)-ROW(AR$15),0),
ROUND(ROUND(OFFSET($P23,0,AR$13),15-13*ORÇAMENTO!$AF$7)*OFFSET(ORÇAMENTO!$W$15,ROW(AR23)-ROW(AR$15),0),15-13*ORÇAMENTO!$AF$11)),0)</f>
        <v>0</v>
      </c>
      <c r="AS23" s="546">
        <f ca="1">IF(AND($D23="Serviço",AS$12&lt;&gt;0,$H23&gt;0,OR(AUTOEVENTO&lt;&gt;"manual",$M23&lt;&gt;1)),
IF(Import.TipoArredondamento&lt;&gt;"TransfereGOV",
ROUND(OFFSET($P23,0,AS$13),15-13*ORÇAMENTO!$AF$7)/$H23*OFFSET(ORÇAMENTO!$X$15,ROW(AS23)-ROW(AS$15),0),
ROUND(ROUND(OFFSET($P23,0,AS$13),15-13*ORÇAMENTO!$AF$7)*OFFSET(ORÇAMENTO!$W$15,ROW(AS23)-ROW(AS$15),0),15-13*ORÇAMENTO!$AF$11)),0)</f>
        <v>0</v>
      </c>
      <c r="AT23" s="545">
        <f ca="1">IF(AND($D23="Serviço",AT$12&lt;&gt;0,$H23&gt;0,OR(AUTOEVENTO&lt;&gt;"manual",$M23&lt;&gt;1)),
IF(Import.TipoArredondamento&lt;&gt;"TransfereGOV",
ROUND(OFFSET($P23,0,AT$13),15-13*ORÇAMENTO!$AF$7)/$H23*OFFSET(ORÇAMENTO!$X$15,ROW(AT23)-ROW(AT$15),0),
ROUND(ROUND(OFFSET($P23,0,AT$13),15-13*ORÇAMENTO!$AF$7)*OFFSET(ORÇAMENTO!$W$15,ROW(AT23)-ROW(AT$15),0),15-13*ORÇAMENTO!$AF$11)),0)</f>
        <v>0</v>
      </c>
      <c r="AU23" s="545">
        <f ca="1">IF(AND($D23="Serviço",AU$12&lt;&gt;0,$H23&gt;0,OR(AUTOEVENTO&lt;&gt;"manual",$M23&lt;&gt;1)),
IF(Import.TipoArredondamento&lt;&gt;"TransfereGOV",
ROUND(OFFSET($P23,0,AU$13),15-13*ORÇAMENTO!$AF$7)/$H23*OFFSET(ORÇAMENTO!$X$15,ROW(AU23)-ROW(AU$15),0),
ROUND(ROUND(OFFSET($P23,0,AU$13),15-13*ORÇAMENTO!$AF$7)*OFFSET(ORÇAMENTO!$W$15,ROW(AU23)-ROW(AU$15),0),15-13*ORÇAMENTO!$AF$11)),0)</f>
        <v>0</v>
      </c>
      <c r="AV23" s="545">
        <f ca="1">IF(AND($D23="Serviço",AV$12&lt;&gt;0,$H23&gt;0,OR(AUTOEVENTO&lt;&gt;"manual",$M23&lt;&gt;1)),
IF(Import.TipoArredondamento&lt;&gt;"TransfereGOV",
ROUND(OFFSET($P23,0,AV$13),15-13*ORÇAMENTO!$AF$7)/$H23*OFFSET(ORÇAMENTO!$X$15,ROW(AV23)-ROW(AV$15),0),
ROUND(ROUND(OFFSET($P23,0,AV$13),15-13*ORÇAMENTO!$AF$7)*OFFSET(ORÇAMENTO!$W$15,ROW(AV23)-ROW(AV$15),0),15-13*ORÇAMENTO!$AF$11)),0)</f>
        <v>0</v>
      </c>
      <c r="AW23" s="545">
        <f ca="1">IF(AND($D23="Serviço",AW$12&lt;&gt;0,$H23&gt;0,OR(AUTOEVENTO&lt;&gt;"manual",$M23&lt;&gt;1)),
IF(Import.TipoArredondamento&lt;&gt;"TransfereGOV",
ROUND(OFFSET($P23,0,AW$13),15-13*ORÇAMENTO!$AF$7)/$H23*OFFSET(ORÇAMENTO!$X$15,ROW(AW23)-ROW(AW$15),0),
ROUND(ROUND(OFFSET($P23,0,AW$13),15-13*ORÇAMENTO!$AF$7)*OFFSET(ORÇAMENTO!$W$15,ROW(AW23)-ROW(AW$15),0),15-13*ORÇAMENTO!$AF$11)),0)</f>
        <v>0</v>
      </c>
      <c r="AX23" s="545">
        <f ca="1">IF(AND($D23="Serviço",AX$12&lt;&gt;0,$H23&gt;0,OR(AUTOEVENTO&lt;&gt;"manual",$M23&lt;&gt;1)),
IF(Import.TipoArredondamento&lt;&gt;"TransfereGOV",
ROUND(OFFSET($P23,0,AX$13),15-13*ORÇAMENTO!$AF$7)/$H23*OFFSET(ORÇAMENTO!$X$15,ROW(AX23)-ROW(AX$15),0),
ROUND(ROUND(OFFSET($P23,0,AX$13),15-13*ORÇAMENTO!$AF$7)*OFFSET(ORÇAMENTO!$W$15,ROW(AX23)-ROW(AX$15),0),15-13*ORÇAMENTO!$AF$11)),0)</f>
        <v>0</v>
      </c>
      <c r="AY23" s="545">
        <f ca="1">IF(AND($D23="Serviço",AY$12&lt;&gt;0,$H23&gt;0,OR(AUTOEVENTO&lt;&gt;"manual",$M23&lt;&gt;1)),
IF(Import.TipoArredondamento&lt;&gt;"TransfereGOV",
ROUND(OFFSET($P23,0,AY$13),15-13*ORÇAMENTO!$AF$7)/$H23*OFFSET(ORÇAMENTO!$X$15,ROW(AY23)-ROW(AY$15),0),
ROUND(ROUND(OFFSET($P23,0,AY$13),15-13*ORÇAMENTO!$AF$7)*OFFSET(ORÇAMENTO!$W$15,ROW(AY23)-ROW(AY$15),0),15-13*ORÇAMENTO!$AF$11)),0)</f>
        <v>0</v>
      </c>
      <c r="AZ23" s="545">
        <f ca="1">IF(AND($D23="Serviço",AZ$12&lt;&gt;0,$H23&gt;0,OR(AUTOEVENTO&lt;&gt;"manual",$M23&lt;&gt;1)),
IF(Import.TipoArredondamento&lt;&gt;"TransfereGOV",
ROUND(OFFSET($P23,0,AZ$13),15-13*ORÇAMENTO!$AF$7)/$H23*OFFSET(ORÇAMENTO!$X$15,ROW(AZ23)-ROW(AZ$15),0),
ROUND(ROUND(OFFSET($P23,0,AZ$13),15-13*ORÇAMENTO!$AF$7)*OFFSET(ORÇAMENTO!$W$15,ROW(AZ23)-ROW(AZ$15),0),15-13*ORÇAMENTO!$AF$11)),0)</f>
        <v>0</v>
      </c>
      <c r="BA23" s="546">
        <f ca="1">IF(AND($D23="Serviço",BA$12&lt;&gt;0,$H23&gt;0,OR(AUTOEVENTO&lt;&gt;"manual",$M23&lt;&gt;1)),
IF(Import.TipoArredondamento&lt;&gt;"TransfereGOV",
ROUND(OFFSET($P23,0,BA$13),15-13*ORÇAMENTO!$AF$7)/$H23*OFFSET(ORÇAMENTO!$X$15,ROW(BA23)-ROW(BA$15),0),
ROUND(ROUND(OFFSET($P23,0,BA$13),15-13*ORÇAMENTO!$AF$7)*OFFSET(ORÇAMENTO!$W$15,ROW(BA23)-ROW(BA$15),0),15-13*ORÇAMENTO!$AF$11)),0)</f>
        <v>0</v>
      </c>
      <c r="BC23" s="181">
        <f ca="1">IF($D23&lt;&gt;"Serviço",0,IF(AND(AUTOEVENTO="Manual",$M23=1),0,IF(OFFSET(CRONOPLE!$F$14,$M23,BC$13)="",10^12,OFFSET(CRONOPLE!$F$14,$M23,BC$13))))</f>
        <v>0</v>
      </c>
      <c r="BD23" s="181">
        <f ca="1">IF($D23&lt;&gt;"Serviço",0,IF(AND(AUTOEVENTO="Manual",$M23=1),0,IF(OFFSET(CRONOPLE!$F$14,$M23,BD$13)="",10^12,OFFSET(CRONOPLE!$F$14,$M23,BD$13))))</f>
        <v>0</v>
      </c>
      <c r="BE23" s="181">
        <f ca="1">IF($D23&lt;&gt;"Serviço",0,IF(AND(AUTOEVENTO="Manual",$M23=1),0,IF(OFFSET(CRONOPLE!$F$14,$M23,BE$13)="",10^12,OFFSET(CRONOPLE!$F$14,$M23,BE$13))))</f>
        <v>0</v>
      </c>
      <c r="BF23" s="181">
        <f ca="1">IF($D23&lt;&gt;"Serviço",0,IF(AND(AUTOEVENTO="Manual",$M23=1),0,IF(OFFSET(CRONOPLE!$F$14,$M23,BF$13)="",10^12,OFFSET(CRONOPLE!$F$14,$M23,BF$13))))</f>
        <v>0</v>
      </c>
      <c r="BG23" s="181">
        <f ca="1">IF($D23&lt;&gt;"Serviço",0,IF(AND(AUTOEVENTO="Manual",$M23=1),0,IF(OFFSET(CRONOPLE!$F$14,$M23,BG$13)="",10^12,OFFSET(CRONOPLE!$F$14,$M23,BG$13))))</f>
        <v>0</v>
      </c>
      <c r="BH23" s="181">
        <f ca="1">IF($D23&lt;&gt;"Serviço",0,IF(AND(AUTOEVENTO="Manual",$M23=1),0,IF(OFFSET(CRONOPLE!$F$14,$M23,BH$13)="",10^12,OFFSET(CRONOPLE!$F$14,$M23,BH$13))))</f>
        <v>0</v>
      </c>
      <c r="BI23" s="181">
        <f ca="1">IF($D23&lt;&gt;"Serviço",0,IF(AND(AUTOEVENTO="Manual",$M23=1),0,IF(OFFSET(CRONOPLE!$F$14,$M23,BI$13)="",10^12,OFFSET(CRONOPLE!$F$14,$M23,BI$13))))</f>
        <v>0</v>
      </c>
      <c r="BJ23" s="181">
        <f ca="1">IF($D23&lt;&gt;"Serviço",0,IF(AND(AUTOEVENTO="Manual",$M23=1),0,IF(OFFSET(CRONOPLE!$F$14,$M23,BJ$13)="",10^12,OFFSET(CRONOPLE!$F$14,$M23,BJ$13))))</f>
        <v>0</v>
      </c>
      <c r="BK23" s="181">
        <f ca="1">IF($D23&lt;&gt;"Serviço",0,IF(AND(AUTOEVENTO="Manual",$M23=1),0,IF(OFFSET(CRONOPLE!$F$14,$M23,BK$13)="",10^12,OFFSET(CRONOPLE!$F$14,$M23,BK$13))))</f>
        <v>0</v>
      </c>
      <c r="BL23" s="181">
        <f ca="1">IF($D23&lt;&gt;"Serviço",0,IF(AND(AUTOEVENTO="Manual",$M23=1),0,IF(OFFSET(CRONOPLE!$F$14,$M23,BL$13)="",10^12,OFFSET(CRONOPLE!$F$14,$M23,BL$13))))</f>
        <v>0</v>
      </c>
      <c r="BM23" s="181">
        <f ca="1">IF($D23&lt;&gt;"Serviço",0,IF(AND(AUTOEVENTO="Manual",$M23=1),0,IF(OFFSET(CRONOPLE!$F$14,$M23,BM$13)="",10^12,OFFSET(CRONOPLE!$F$14,$M23,BM$13))))</f>
        <v>0</v>
      </c>
      <c r="BN23" s="181">
        <f ca="1">IF($D23&lt;&gt;"Serviço",0,IF(AND(AUTOEVENTO="Manual",$M23=1),0,IF(OFFSET(CRONOPLE!$F$14,$M23,BN$13)="",10^12,OFFSET(CRONOPLE!$F$14,$M23,BN$13))))</f>
        <v>0</v>
      </c>
      <c r="BO23" s="181">
        <f ca="1">IF($D23&lt;&gt;"Serviço",0,IF(AND(AUTOEVENTO="Manual",$M23=1),0,IF(OFFSET(CRONOPLE!$F$14,$M23,BO$13)="",10^12,OFFSET(CRONOPLE!$F$14,$M23,BO$13))))</f>
        <v>0</v>
      </c>
      <c r="BP23" s="181">
        <f ca="1">IF($D23&lt;&gt;"Serviço",0,IF(AND(AUTOEVENTO="Manual",$M23=1),0,IF(OFFSET(CRONOPLE!$F$14,$M23,BP$13)="",10^12,OFFSET(CRONOPLE!$F$14,$M23,BP$13))))</f>
        <v>0</v>
      </c>
      <c r="BQ23" s="181">
        <f ca="1">IF($D23&lt;&gt;"Serviço",0,IF(AND(AUTOEVENTO="Manual",$M23=1),0,IF(OFFSET(CRONOPLE!$F$14,$M23,BQ$13)="",10^12,OFFSET(CRONOPLE!$F$14,$M23,BQ$13))))</f>
        <v>0</v>
      </c>
      <c r="BR23" s="181">
        <f ca="1">IF($D23&lt;&gt;"Serviço",0,IF(AND(AUTOEVENTO="Manual",$M23=1),0,IF(OFFSET(CRONOPLE!$F$14,$M23,BR$13)="",10^12,OFFSET(CRONOPLE!$F$14,$M23,BR$13))))</f>
        <v>0</v>
      </c>
      <c r="BS23" s="181">
        <f ca="1">IF($D23&lt;&gt;"Serviço",0,IF(AND(AUTOEVENTO="Manual",$M23=1),0,IF(OFFSET(CRONOPLE!$F$14,$M23,BS$13)="",10^12,OFFSET(CRONOPLE!$F$14,$M23,BS$13))))</f>
        <v>0</v>
      </c>
      <c r="BT23" s="181">
        <f ca="1">IF($D23&lt;&gt;"Serviço",0,IF(AND(AUTOEVENTO="Manual",$M23=1),0,IF(OFFSET(CRONOPLE!$F$14,$M23,BT$13)="",10^12,OFFSET(CRONOPLE!$F$14,$M23,BT$13))))</f>
        <v>0</v>
      </c>
      <c r="BV23" s="182">
        <f ca="1">IF($D23&lt;&gt;"Serviço",0,IF(OR(AND(AUTOEVENTO="Manual",$M23=1),$M23&gt;(ROW(PLE.lastrow)-ROW(PLE.firstrow))),0,IF(OFFSET(PLE!$G$14,$M23,BV$13)="",10^12,OFFSET(PLE!$G$14,$M23,BV$13))))</f>
        <v>0</v>
      </c>
      <c r="BW23" s="182">
        <f ca="1">IF($D23&lt;&gt;"Serviço",0,IF(OR(AND(AUTOEVENTO="Manual",$M23=1),$M23&gt;(ROW(PLE.lastrow)-ROW(PLE.firstrow))),0,IF(OFFSET(PLE!$G$14,$M23,BW$13)="",10^12,OFFSET(PLE!$G$14,$M23,BW$13))))</f>
        <v>0</v>
      </c>
      <c r="BX23" s="182">
        <f ca="1">IF($D23&lt;&gt;"Serviço",0,IF(OR(AND(AUTOEVENTO="Manual",$M23=1),$M23&gt;(ROW(PLE.lastrow)-ROW(PLE.firstrow))),0,IF(OFFSET(PLE!$G$14,$M23,BX$13)="",10^12,OFFSET(PLE!$G$14,$M23,BX$13))))</f>
        <v>0</v>
      </c>
      <c r="BY23" s="182">
        <f ca="1">IF($D23&lt;&gt;"Serviço",0,IF(OR(AND(AUTOEVENTO="Manual",$M23=1),$M23&gt;(ROW(PLE.lastrow)-ROW(PLE.firstrow))),0,IF(OFFSET(PLE!$G$14,$M23,BY$13)="",10^12,OFFSET(PLE!$G$14,$M23,BY$13))))</f>
        <v>0</v>
      </c>
      <c r="BZ23" s="182">
        <f ca="1">IF($D23&lt;&gt;"Serviço",0,IF(OR(AND(AUTOEVENTO="Manual",$M23=1),$M23&gt;(ROW(PLE.lastrow)-ROW(PLE.firstrow))),0,IF(OFFSET(PLE!$G$14,$M23,BZ$13)="",10^12,OFFSET(PLE!$G$14,$M23,BZ$13))))</f>
        <v>0</v>
      </c>
      <c r="CA23" s="182">
        <f ca="1">IF($D23&lt;&gt;"Serviço",0,IF(OR(AND(AUTOEVENTO="Manual",$M23=1),$M23&gt;(ROW(PLE.lastrow)-ROW(PLE.firstrow))),0,IF(OFFSET(PLE!$G$14,$M23,CA$13)="",10^12,OFFSET(PLE!$G$14,$M23,CA$13))))</f>
        <v>0</v>
      </c>
      <c r="CB23" s="182">
        <f ca="1">IF($D23&lt;&gt;"Serviço",0,IF(OR(AND(AUTOEVENTO="Manual",$M23=1),$M23&gt;(ROW(PLE.lastrow)-ROW(PLE.firstrow))),0,IF(OFFSET(PLE!$G$14,$M23,CB$13)="",10^12,OFFSET(PLE!$G$14,$M23,CB$13))))</f>
        <v>0</v>
      </c>
      <c r="CC23" s="182">
        <f ca="1">IF($D23&lt;&gt;"Serviço",0,IF(OR(AND(AUTOEVENTO="Manual",$M23=1),$M23&gt;(ROW(PLE.lastrow)-ROW(PLE.firstrow))),0,IF(OFFSET(PLE!$G$14,$M23,CC$13)="",10^12,OFFSET(PLE!$G$14,$M23,CC$13))))</f>
        <v>0</v>
      </c>
      <c r="CD23" s="182">
        <f ca="1">IF($D23&lt;&gt;"Serviço",0,IF(OR(AND(AUTOEVENTO="Manual",$M23=1),$M23&gt;(ROW(PLE.lastrow)-ROW(PLE.firstrow))),0,IF(OFFSET(PLE!$G$14,$M23,CD$13)="",10^12,OFFSET(PLE!$G$14,$M23,CD$13))))</f>
        <v>0</v>
      </c>
      <c r="CE23" s="182">
        <f ca="1">IF($D23&lt;&gt;"Serviço",0,IF(OR(AND(AUTOEVENTO="Manual",$M23=1),$M23&gt;(ROW(PLE.lastrow)-ROW(PLE.firstrow))),0,IF(OFFSET(PLE!$G$14,$M23,CE$13)="",10^12,OFFSET(PLE!$G$14,$M23,CE$13))))</f>
        <v>0</v>
      </c>
      <c r="CF23" s="182">
        <f ca="1">IF($D23&lt;&gt;"Serviço",0,IF(OR(AND(AUTOEVENTO="Manual",$M23=1),$M23&gt;(ROW(PLE.lastrow)-ROW(PLE.firstrow))),0,IF(OFFSET(PLE!$G$14,$M23,CF$13)="",10^12,OFFSET(PLE!$G$14,$M23,CF$13))))</f>
        <v>0</v>
      </c>
      <c r="CG23" s="182">
        <f ca="1">IF($D23&lt;&gt;"Serviço",0,IF(OR(AND(AUTOEVENTO="Manual",$M23=1),$M23&gt;(ROW(PLE.lastrow)-ROW(PLE.firstrow))),0,IF(OFFSET(PLE!$G$14,$M23,CG$13)="",10^12,OFFSET(PLE!$G$14,$M23,CG$13))))</f>
        <v>0</v>
      </c>
      <c r="CH23" s="182">
        <f ca="1">IF($D23&lt;&gt;"Serviço",0,IF(OR(AND(AUTOEVENTO="Manual",$M23=1),$M23&gt;(ROW(PLE.lastrow)-ROW(PLE.firstrow))),0,IF(OFFSET(PLE!$G$14,$M23,CH$13)="",10^12,OFFSET(PLE!$G$14,$M23,CH$13))))</f>
        <v>0</v>
      </c>
      <c r="CI23" s="182">
        <f ca="1">IF($D23&lt;&gt;"Serviço",0,IF(OR(AND(AUTOEVENTO="Manual",$M23=1),$M23&gt;(ROW(PLE.lastrow)-ROW(PLE.firstrow))),0,IF(OFFSET(PLE!$G$14,$M23,CI$13)="",10^12,OFFSET(PLE!$G$14,$M23,CI$13))))</f>
        <v>0</v>
      </c>
      <c r="CJ23" s="182">
        <f ca="1">IF($D23&lt;&gt;"Serviço",0,IF(OR(AND(AUTOEVENTO="Manual",$M23=1),$M23&gt;(ROW(PLE.lastrow)-ROW(PLE.firstrow))),0,IF(OFFSET(PLE!$G$14,$M23,CJ$13)="",10^12,OFFSET(PLE!$G$14,$M23,CJ$13))))</f>
        <v>0</v>
      </c>
      <c r="CK23" s="182">
        <f ca="1">IF($D23&lt;&gt;"Serviço",0,IF(OR(AND(AUTOEVENTO="Manual",$M23=1),$M23&gt;(ROW(PLE.lastrow)-ROW(PLE.firstrow))),0,IF(OFFSET(PLE!$G$14,$M23,CK$13)="",10^12,OFFSET(PLE!$G$14,$M23,CK$13))))</f>
        <v>0</v>
      </c>
      <c r="CL23" s="182">
        <f ca="1">IF($D23&lt;&gt;"Serviço",0,IF(OR(AND(AUTOEVENTO="Manual",$M23=1),$M23&gt;(ROW(PLE.lastrow)-ROW(PLE.firstrow))),0,IF(OFFSET(PLE!$G$14,$M23,CL$13)="",10^12,OFFSET(PLE!$G$14,$M23,CL$13))))</f>
        <v>0</v>
      </c>
      <c r="CM23" s="182">
        <f ca="1">IF($D23&lt;&gt;"Serviço",0,IF(OR(AND(AUTOEVENTO="Manual",$M23=1),$M23&gt;(ROW(PLE.lastrow)-ROW(PLE.firstrow))),0,IF(OFFSET(PLE!$G$14,$M23,CM$13)="",10^12,OFFSET(PLE!$G$14,$M23,CM$13))))</f>
        <v>0</v>
      </c>
    </row>
    <row r="24" spans="1:91" ht="25.5" x14ac:dyDescent="0.2">
      <c r="A24" s="7" t="str">
        <f t="shared" ca="1" si="9"/>
        <v>8</v>
      </c>
      <c r="B24" s="7" t="str">
        <f ca="1">OFFSET(ORÇAMENTO!C$15,ROW(B24)-ROW(B$15),0)</f>
        <v>S</v>
      </c>
      <c r="C24" s="7" t="str">
        <f ca="1">OFFSET(ORÇAMENTO!L$15,ROW(C24)-ROW(C$15),0)</f>
        <v/>
      </c>
      <c r="D24" s="118" t="str">
        <f ca="1">OFFSET(ORÇAMENTO!N$15,ROW(D24)-ROW(D$15),0)</f>
        <v>Serviço</v>
      </c>
      <c r="E24" s="119" t="str">
        <f ca="1">OFFSET(ORÇAMENTO!O$15,ROW(E24)-ROW(E$15),0)</f>
        <v>-</v>
      </c>
      <c r="F24" s="172" t="str">
        <f ca="1">OFFSET(ORÇAMENTO!R$15,ROW(F24)-ROW(F$15),0)</f>
        <v>(abra o arquivo 'Referência 06-2024.xlsm)</v>
      </c>
      <c r="G24" s="173" t="str">
        <f ca="1">IF($D24&lt;&gt;"Serviço","",OFFSET(ORÇAMENTO!S$15,ROW(G24)-ROW(G$15),0))</f>
        <v>-</v>
      </c>
      <c r="H24" s="124">
        <f ca="1">IF($D24&lt;&gt;"Serviço",0,IF(ACOMPANHAMENTO="BM",ROUND(OFFSET(ORÇAMENTO!AJ$15,ROW(H24)-ROW(H$15),0),15-13*ORÇAMENTO!$AF$7),SUMPRODUCT(($Q$12:$AI$12&lt;&gt;"")*ROUND($Q24:$AI24,15-13*ORÇAMENTO!$AF$7))))</f>
        <v>6.48</v>
      </c>
      <c r="I24" s="561" t="s">
        <v>1107</v>
      </c>
      <c r="K24" s="174" t="s">
        <v>1021</v>
      </c>
      <c r="L24" s="175" t="s">
        <v>255</v>
      </c>
      <c r="M24" s="176">
        <f ca="1">IF($D24&lt;&gt;"Serviço","",IF(AUTOEVENTO="manual",$A24,IF(ISERROR(MATCH($A24,$A$15:OFFSET($A24,-1,0),0)),MAX($M$15:OFFSET(M24,-1,0))+1,INDEX($M$15:OFFSET(M24,-1,0),MATCH($A24,$A$15:OFFSET($A24,-1,0),0)))))</f>
        <v>4</v>
      </c>
      <c r="N24" s="177" t="str">
        <f ca="1">IF($D24&lt;&gt;"Serviço","",IF(AUTOEVENTO="Manual",IF($A24=0,"&lt;-- defina o número do agrupador",OFFSET(EVENTOS!$D$14,$A24,0)),OFFSET($F$15,$A24,0)))</f>
        <v>SERVIÇOS PRELIMINARES</v>
      </c>
      <c r="O24" s="178"/>
      <c r="Q24" s="178">
        <v>6.48</v>
      </c>
      <c r="R24" s="179"/>
      <c r="S24" s="179"/>
      <c r="T24" s="179"/>
      <c r="U24" s="179"/>
      <c r="V24" s="179"/>
      <c r="W24" s="179"/>
      <c r="X24" s="179"/>
      <c r="Y24" s="179"/>
      <c r="Z24" s="180"/>
      <c r="AA24" s="179"/>
      <c r="AB24" s="179"/>
      <c r="AC24" s="179"/>
      <c r="AD24" s="179"/>
      <c r="AE24" s="179"/>
      <c r="AF24" s="179"/>
      <c r="AG24" s="179"/>
      <c r="AH24" s="180"/>
      <c r="AJ24" s="544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5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L24" s="545">
        <f ca="1">IF(AND($D24="Serviço",AL$12&lt;&gt;0,$H24&gt;0,OR(AUTOEVENTO&lt;&gt;"manual",$M24&lt;&gt;1)),
IF(Import.TipoArredondamento&lt;&gt;"TransfereGOV",
ROUND(OFFSET($P24,0,AL$13),15-13*ORÇAMENTO!$AF$7)/$H24*OFFSET(ORÇAMENTO!$X$15,ROW(AL24)-ROW(AL$15),0),
ROUND(ROUND(OFFSET($P24,0,AL$13),15-13*ORÇAMENTO!$AF$7)*OFFSET(ORÇAMENTO!$W$15,ROW(AL24)-ROW(AL$15),0),15-13*ORÇAMENTO!$AF$11)),0)</f>
        <v>0</v>
      </c>
      <c r="AM24" s="545">
        <f ca="1">IF(AND($D24="Serviço",AM$12&lt;&gt;0,$H24&gt;0,OR(AUTOEVENTO&lt;&gt;"manual",$M24&lt;&gt;1)),
IF(Import.TipoArredondamento&lt;&gt;"TransfereGOV",
ROUND(OFFSET($P24,0,AM$13),15-13*ORÇAMENTO!$AF$7)/$H24*OFFSET(ORÇAMENTO!$X$15,ROW(AM24)-ROW(AM$15),0),
ROUND(ROUND(OFFSET($P24,0,AM$13),15-13*ORÇAMENTO!$AF$7)*OFFSET(ORÇAMENTO!$W$15,ROW(AM24)-ROW(AM$15),0),15-13*ORÇAMENTO!$AF$11)),0)</f>
        <v>0</v>
      </c>
      <c r="AN24" s="545">
        <f ca="1">IF(AND($D24="Serviço",AN$12&lt;&gt;0,$H24&gt;0,OR(AUTOEVENTO&lt;&gt;"manual",$M24&lt;&gt;1)),
IF(Import.TipoArredondamento&lt;&gt;"TransfereGOV",
ROUND(OFFSET($P24,0,AN$13),15-13*ORÇAMENTO!$AF$7)/$H24*OFFSET(ORÇAMENTO!$X$15,ROW(AN24)-ROW(AN$15),0),
ROUND(ROUND(OFFSET($P24,0,AN$13),15-13*ORÇAMENTO!$AF$7)*OFFSET(ORÇAMENTO!$W$15,ROW(AN24)-ROW(AN$15),0),15-13*ORÇAMENTO!$AF$11)),0)</f>
        <v>0</v>
      </c>
      <c r="AO24" s="545">
        <f ca="1">IF(AND($D24="Serviço",AO$12&lt;&gt;0,$H24&gt;0,OR(AUTOEVENTO&lt;&gt;"manual",$M24&lt;&gt;1)),
IF(Import.TipoArredondamento&lt;&gt;"TransfereGOV",
ROUND(OFFSET($P24,0,AO$13),15-13*ORÇAMENTO!$AF$7)/$H24*OFFSET(ORÇAMENTO!$X$15,ROW(AO24)-ROW(AO$15),0),
ROUND(ROUND(OFFSET($P24,0,AO$13),15-13*ORÇAMENTO!$AF$7)*OFFSET(ORÇAMENTO!$W$15,ROW(AO24)-ROW(AO$15),0),15-13*ORÇAMENTO!$AF$11)),0)</f>
        <v>0</v>
      </c>
      <c r="AP24" s="545">
        <f ca="1">IF(AND($D24="Serviço",AP$12&lt;&gt;0,$H24&gt;0,OR(AUTOEVENTO&lt;&gt;"manual",$M24&lt;&gt;1)),
IF(Import.TipoArredondamento&lt;&gt;"TransfereGOV",
ROUND(OFFSET($P24,0,AP$13),15-13*ORÇAMENTO!$AF$7)/$H24*OFFSET(ORÇAMENTO!$X$15,ROW(AP24)-ROW(AP$15),0),
ROUND(ROUND(OFFSET($P24,0,AP$13),15-13*ORÇAMENTO!$AF$7)*OFFSET(ORÇAMENTO!$W$15,ROW(AP24)-ROW(AP$15),0),15-13*ORÇAMENTO!$AF$11)),0)</f>
        <v>0</v>
      </c>
      <c r="AQ24" s="545">
        <f ca="1">IF(AND($D24="Serviço",AQ$12&lt;&gt;0,$H24&gt;0,OR(AUTOEVENTO&lt;&gt;"manual",$M24&lt;&gt;1)),
IF(Import.TipoArredondamento&lt;&gt;"TransfereGOV",
ROUND(OFFSET($P24,0,AQ$13),15-13*ORÇAMENTO!$AF$7)/$H24*OFFSET(ORÇAMENTO!$X$15,ROW(AQ24)-ROW(AQ$15),0),
ROUND(ROUND(OFFSET($P24,0,AQ$13),15-13*ORÇAMENTO!$AF$7)*OFFSET(ORÇAMENTO!$W$15,ROW(AQ24)-ROW(AQ$15),0),15-13*ORÇAMENTO!$AF$11)),0)</f>
        <v>0</v>
      </c>
      <c r="AR24" s="545">
        <f ca="1">IF(AND($D24="Serviço",AR$12&lt;&gt;0,$H24&gt;0,OR(AUTOEVENTO&lt;&gt;"manual",$M24&lt;&gt;1)),
IF(Import.TipoArredondamento&lt;&gt;"TransfereGOV",
ROUND(OFFSET($P24,0,AR$13),15-13*ORÇAMENTO!$AF$7)/$H24*OFFSET(ORÇAMENTO!$X$15,ROW(AR24)-ROW(AR$15),0),
ROUND(ROUND(OFFSET($P24,0,AR$13),15-13*ORÇAMENTO!$AF$7)*OFFSET(ORÇAMENTO!$W$15,ROW(AR24)-ROW(AR$15),0),15-13*ORÇAMENTO!$AF$11)),0)</f>
        <v>0</v>
      </c>
      <c r="AS24" s="546">
        <f ca="1">IF(AND($D24="Serviço",AS$12&lt;&gt;0,$H24&gt;0,OR(AUTOEVENTO&lt;&gt;"manual",$M24&lt;&gt;1)),
IF(Import.TipoArredondamento&lt;&gt;"TransfereGOV",
ROUND(OFFSET($P24,0,AS$13),15-13*ORÇAMENTO!$AF$7)/$H24*OFFSET(ORÇAMENTO!$X$15,ROW(AS24)-ROW(AS$15),0),
ROUND(ROUND(OFFSET($P24,0,AS$13),15-13*ORÇAMENTO!$AF$7)*OFFSET(ORÇAMENTO!$W$15,ROW(AS24)-ROW(AS$15),0),15-13*ORÇAMENTO!$AF$11)),0)</f>
        <v>0</v>
      </c>
      <c r="AT24" s="545">
        <f ca="1">IF(AND($D24="Serviço",AT$12&lt;&gt;0,$H24&gt;0,OR(AUTOEVENTO&lt;&gt;"manual",$M24&lt;&gt;1)),
IF(Import.TipoArredondamento&lt;&gt;"TransfereGOV",
ROUND(OFFSET($P24,0,AT$13),15-13*ORÇAMENTO!$AF$7)/$H24*OFFSET(ORÇAMENTO!$X$15,ROW(AT24)-ROW(AT$15),0),
ROUND(ROUND(OFFSET($P24,0,AT$13),15-13*ORÇAMENTO!$AF$7)*OFFSET(ORÇAMENTO!$W$15,ROW(AT24)-ROW(AT$15),0),15-13*ORÇAMENTO!$AF$11)),0)</f>
        <v>0</v>
      </c>
      <c r="AU24" s="545">
        <f ca="1">IF(AND($D24="Serviço",AU$12&lt;&gt;0,$H24&gt;0,OR(AUTOEVENTO&lt;&gt;"manual",$M24&lt;&gt;1)),
IF(Import.TipoArredondamento&lt;&gt;"TransfereGOV",
ROUND(OFFSET($P24,0,AU$13),15-13*ORÇAMENTO!$AF$7)/$H24*OFFSET(ORÇAMENTO!$X$15,ROW(AU24)-ROW(AU$15),0),
ROUND(ROUND(OFFSET($P24,0,AU$13),15-13*ORÇAMENTO!$AF$7)*OFFSET(ORÇAMENTO!$W$15,ROW(AU24)-ROW(AU$15),0),15-13*ORÇAMENTO!$AF$11)),0)</f>
        <v>0</v>
      </c>
      <c r="AV24" s="545">
        <f ca="1">IF(AND($D24="Serviço",AV$12&lt;&gt;0,$H24&gt;0,OR(AUTOEVENTO&lt;&gt;"manual",$M24&lt;&gt;1)),
IF(Import.TipoArredondamento&lt;&gt;"TransfereGOV",
ROUND(OFFSET($P24,0,AV$13),15-13*ORÇAMENTO!$AF$7)/$H24*OFFSET(ORÇAMENTO!$X$15,ROW(AV24)-ROW(AV$15),0),
ROUND(ROUND(OFFSET($P24,0,AV$13),15-13*ORÇAMENTO!$AF$7)*OFFSET(ORÇAMENTO!$W$15,ROW(AV24)-ROW(AV$15),0),15-13*ORÇAMENTO!$AF$11)),0)</f>
        <v>0</v>
      </c>
      <c r="AW24" s="545">
        <f ca="1">IF(AND($D24="Serviço",AW$12&lt;&gt;0,$H24&gt;0,OR(AUTOEVENTO&lt;&gt;"manual",$M24&lt;&gt;1)),
IF(Import.TipoArredondamento&lt;&gt;"TransfereGOV",
ROUND(OFFSET($P24,0,AW$13),15-13*ORÇAMENTO!$AF$7)/$H24*OFFSET(ORÇAMENTO!$X$15,ROW(AW24)-ROW(AW$15),0),
ROUND(ROUND(OFFSET($P24,0,AW$13),15-13*ORÇAMENTO!$AF$7)*OFFSET(ORÇAMENTO!$W$15,ROW(AW24)-ROW(AW$15),0),15-13*ORÇAMENTO!$AF$11)),0)</f>
        <v>0</v>
      </c>
      <c r="AX24" s="545">
        <f ca="1">IF(AND($D24="Serviço",AX$12&lt;&gt;0,$H24&gt;0,OR(AUTOEVENTO&lt;&gt;"manual",$M24&lt;&gt;1)),
IF(Import.TipoArredondamento&lt;&gt;"TransfereGOV",
ROUND(OFFSET($P24,0,AX$13),15-13*ORÇAMENTO!$AF$7)/$H24*OFFSET(ORÇAMENTO!$X$15,ROW(AX24)-ROW(AX$15),0),
ROUND(ROUND(OFFSET($P24,0,AX$13),15-13*ORÇAMENTO!$AF$7)*OFFSET(ORÇAMENTO!$W$15,ROW(AX24)-ROW(AX$15),0),15-13*ORÇAMENTO!$AF$11)),0)</f>
        <v>0</v>
      </c>
      <c r="AY24" s="545">
        <f ca="1">IF(AND($D24="Serviço",AY$12&lt;&gt;0,$H24&gt;0,OR(AUTOEVENTO&lt;&gt;"manual",$M24&lt;&gt;1)),
IF(Import.TipoArredondamento&lt;&gt;"TransfereGOV",
ROUND(OFFSET($P24,0,AY$13),15-13*ORÇAMENTO!$AF$7)/$H24*OFFSET(ORÇAMENTO!$X$15,ROW(AY24)-ROW(AY$15),0),
ROUND(ROUND(OFFSET($P24,0,AY$13),15-13*ORÇAMENTO!$AF$7)*OFFSET(ORÇAMENTO!$W$15,ROW(AY24)-ROW(AY$15),0),15-13*ORÇAMENTO!$AF$11)),0)</f>
        <v>0</v>
      </c>
      <c r="AZ24" s="545">
        <f ca="1">IF(AND($D24="Serviço",AZ$12&lt;&gt;0,$H24&gt;0,OR(AUTOEVENTO&lt;&gt;"manual",$M24&lt;&gt;1)),
IF(Import.TipoArredondamento&lt;&gt;"TransfereGOV",
ROUND(OFFSET($P24,0,AZ$13),15-13*ORÇAMENTO!$AF$7)/$H24*OFFSET(ORÇAMENTO!$X$15,ROW(AZ24)-ROW(AZ$15),0),
ROUND(ROUND(OFFSET($P24,0,AZ$13),15-13*ORÇAMENTO!$AF$7)*OFFSET(ORÇAMENTO!$W$15,ROW(AZ24)-ROW(AZ$15),0),15-13*ORÇAMENTO!$AF$11)),0)</f>
        <v>0</v>
      </c>
      <c r="BA24" s="546">
        <f ca="1">IF(AND($D24="Serviço",BA$12&lt;&gt;0,$H24&gt;0,OR(AUTOEVENTO&lt;&gt;"manual",$M24&lt;&gt;1)),
IF(Import.TipoArredondamento&lt;&gt;"TransfereGOV",
ROUND(OFFSET($P24,0,BA$13),15-13*ORÇAMENTO!$AF$7)/$H24*OFFSET(ORÇAMENTO!$X$15,ROW(BA24)-ROW(BA$15),0),
ROUND(ROUND(OFFSET($P24,0,BA$13),15-13*ORÇAMENTO!$AF$7)*OFFSET(ORÇAMENTO!$W$15,ROW(BA24)-ROW(BA$15),0),15-13*ORÇAMENTO!$AF$11)),0)</f>
        <v>0</v>
      </c>
      <c r="BC24" s="181">
        <f ca="1">IF($D24&lt;&gt;"Serviço",0,IF(AND(AUTOEVENTO="Manual",$M24=1),0,IF(OFFSET(CRONOPLE!$F$14,$M24,BC$13)="",10^12,OFFSET(CRONOPLE!$F$14,$M24,BC$13))))</f>
        <v>2</v>
      </c>
      <c r="BD24" s="181">
        <f ca="1">IF($D24&lt;&gt;"Serviço",0,IF(AND(AUTOEVENTO="Manual",$M24=1),0,IF(OFFSET(CRONOPLE!$F$14,$M24,BD$13)="",10^12,OFFSET(CRONOPLE!$F$14,$M24,BD$13))))</f>
        <v>1000000000000</v>
      </c>
      <c r="BE24" s="181">
        <f ca="1">IF($D24&lt;&gt;"Serviço",0,IF(AND(AUTOEVENTO="Manual",$M24=1),0,IF(OFFSET(CRONOPLE!$F$14,$M24,BE$13)="",10^12,OFFSET(CRONOPLE!$F$14,$M24,BE$13))))</f>
        <v>1000000000000</v>
      </c>
      <c r="BF24" s="181">
        <f ca="1">IF($D24&lt;&gt;"Serviço",0,IF(AND(AUTOEVENTO="Manual",$M24=1),0,IF(OFFSET(CRONOPLE!$F$14,$M24,BF$13)="",10^12,OFFSET(CRONOPLE!$F$14,$M24,BF$13))))</f>
        <v>1000000000000</v>
      </c>
      <c r="BG24" s="181">
        <f ca="1">IF($D24&lt;&gt;"Serviço",0,IF(AND(AUTOEVENTO="Manual",$M24=1),0,IF(OFFSET(CRONOPLE!$F$14,$M24,BG$13)="",10^12,OFFSET(CRONOPLE!$F$14,$M24,BG$13))))</f>
        <v>1000000000000</v>
      </c>
      <c r="BH24" s="181">
        <f ca="1">IF($D24&lt;&gt;"Serviço",0,IF(AND(AUTOEVENTO="Manual",$M24=1),0,IF(OFFSET(CRONOPLE!$F$14,$M24,BH$13)="",10^12,OFFSET(CRONOPLE!$F$14,$M24,BH$13))))</f>
        <v>1000000000000</v>
      </c>
      <c r="BI24" s="181">
        <f ca="1">IF($D24&lt;&gt;"Serviço",0,IF(AND(AUTOEVENTO="Manual",$M24=1),0,IF(OFFSET(CRONOPLE!$F$14,$M24,BI$13)="",10^12,OFFSET(CRONOPLE!$F$14,$M24,BI$13))))</f>
        <v>1000000000000</v>
      </c>
      <c r="BJ24" s="181">
        <f ca="1">IF($D24&lt;&gt;"Serviço",0,IF(AND(AUTOEVENTO="Manual",$M24=1),0,IF(OFFSET(CRONOPLE!$F$14,$M24,BJ$13)="",10^12,OFFSET(CRONOPLE!$F$14,$M24,BJ$13))))</f>
        <v>1000000000000</v>
      </c>
      <c r="BK24" s="181">
        <f ca="1">IF($D24&lt;&gt;"Serviço",0,IF(AND(AUTOEVENTO="Manual",$M24=1),0,IF(OFFSET(CRONOPLE!$F$14,$M24,BK$13)="",10^12,OFFSET(CRONOPLE!$F$14,$M24,BK$13))))</f>
        <v>1000000000000</v>
      </c>
      <c r="BL24" s="181">
        <f ca="1">IF($D24&lt;&gt;"Serviço",0,IF(AND(AUTOEVENTO="Manual",$M24=1),0,IF(OFFSET(CRONOPLE!$F$14,$M24,BL$13)="",10^12,OFFSET(CRONOPLE!$F$14,$M24,BL$13))))</f>
        <v>1000000000000</v>
      </c>
      <c r="BM24" s="181">
        <f ca="1">IF($D24&lt;&gt;"Serviço",0,IF(AND(AUTOEVENTO="Manual",$M24=1),0,IF(OFFSET(CRONOPLE!$F$14,$M24,BM$13)="",10^12,OFFSET(CRONOPLE!$F$14,$M24,BM$13))))</f>
        <v>1000000000000</v>
      </c>
      <c r="BN24" s="181">
        <f ca="1">IF($D24&lt;&gt;"Serviço",0,IF(AND(AUTOEVENTO="Manual",$M24=1),0,IF(OFFSET(CRONOPLE!$F$14,$M24,BN$13)="",10^12,OFFSET(CRONOPLE!$F$14,$M24,BN$13))))</f>
        <v>1000000000000</v>
      </c>
      <c r="BO24" s="181">
        <f ca="1">IF($D24&lt;&gt;"Serviço",0,IF(AND(AUTOEVENTO="Manual",$M24=1),0,IF(OFFSET(CRONOPLE!$F$14,$M24,BO$13)="",10^12,OFFSET(CRONOPLE!$F$14,$M24,BO$13))))</f>
        <v>1000000000000</v>
      </c>
      <c r="BP24" s="181">
        <f ca="1">IF($D24&lt;&gt;"Serviço",0,IF(AND(AUTOEVENTO="Manual",$M24=1),0,IF(OFFSET(CRONOPLE!$F$14,$M24,BP$13)="",10^12,OFFSET(CRONOPLE!$F$14,$M24,BP$13))))</f>
        <v>1000000000000</v>
      </c>
      <c r="BQ24" s="181">
        <f ca="1">IF($D24&lt;&gt;"Serviço",0,IF(AND(AUTOEVENTO="Manual",$M24=1),0,IF(OFFSET(CRONOPLE!$F$14,$M24,BQ$13)="",10^12,OFFSET(CRONOPLE!$F$14,$M24,BQ$13))))</f>
        <v>1000000000000</v>
      </c>
      <c r="BR24" s="181">
        <f ca="1">IF($D24&lt;&gt;"Serviço",0,IF(AND(AUTOEVENTO="Manual",$M24=1),0,IF(OFFSET(CRONOPLE!$F$14,$M24,BR$13)="",10^12,OFFSET(CRONOPLE!$F$14,$M24,BR$13))))</f>
        <v>1000000000000</v>
      </c>
      <c r="BS24" s="181">
        <f ca="1">IF($D24&lt;&gt;"Serviço",0,IF(AND(AUTOEVENTO="Manual",$M24=1),0,IF(OFFSET(CRONOPLE!$F$14,$M24,BS$13)="",10^12,OFFSET(CRONOPLE!$F$14,$M24,BS$13))))</f>
        <v>1000000000000</v>
      </c>
      <c r="BT24" s="181">
        <f ca="1">IF($D24&lt;&gt;"Serviço",0,IF(AND(AUTOEVENTO="Manual",$M24=1),0,IF(OFFSET(CRONOPLE!$F$14,$M24,BT$13)="",10^12,OFFSET(CRONOPLE!$F$14,$M24,BT$13))))</f>
        <v>1000000000000</v>
      </c>
      <c r="BV24" s="182">
        <f ca="1">IF($D24&lt;&gt;"Serviço",0,IF(OR(AND(AUTOEVENTO="Manual",$M24=1),$M24&gt;(ROW(PLE.lastrow)-ROW(PLE.firstrow))),0,IF(OFFSET(PLE!$G$14,$M24,BV$13)="",10^12,OFFSET(PLE!$G$14,$M24,BV$13))))</f>
        <v>1000000000000</v>
      </c>
      <c r="BW24" s="182">
        <f ca="1">IF($D24&lt;&gt;"Serviço",0,IF(OR(AND(AUTOEVENTO="Manual",$M24=1),$M24&gt;(ROW(PLE.lastrow)-ROW(PLE.firstrow))),0,IF(OFFSET(PLE!$G$14,$M24,BW$13)="",10^12,OFFSET(PLE!$G$14,$M24,BW$13))))</f>
        <v>1000000000000</v>
      </c>
      <c r="BX24" s="182">
        <f ca="1">IF($D24&lt;&gt;"Serviço",0,IF(OR(AND(AUTOEVENTO="Manual",$M24=1),$M24&gt;(ROW(PLE.lastrow)-ROW(PLE.firstrow))),0,IF(OFFSET(PLE!$G$14,$M24,BX$13)="",10^12,OFFSET(PLE!$G$14,$M24,BX$13))))</f>
        <v>1000000000000</v>
      </c>
      <c r="BY24" s="182">
        <f ca="1">IF($D24&lt;&gt;"Serviço",0,IF(OR(AND(AUTOEVENTO="Manual",$M24=1),$M24&gt;(ROW(PLE.lastrow)-ROW(PLE.firstrow))),0,IF(OFFSET(PLE!$G$14,$M24,BY$13)="",10^12,OFFSET(PLE!$G$14,$M24,BY$13))))</f>
        <v>1000000000000</v>
      </c>
      <c r="BZ24" s="182">
        <f ca="1">IF($D24&lt;&gt;"Serviço",0,IF(OR(AND(AUTOEVENTO="Manual",$M24=1),$M24&gt;(ROW(PLE.lastrow)-ROW(PLE.firstrow))),0,IF(OFFSET(PLE!$G$14,$M24,BZ$13)="",10^12,OFFSET(PLE!$G$14,$M24,BZ$13))))</f>
        <v>1000000000000</v>
      </c>
      <c r="CA24" s="182">
        <f ca="1">IF($D24&lt;&gt;"Serviço",0,IF(OR(AND(AUTOEVENTO="Manual",$M24=1),$M24&gt;(ROW(PLE.lastrow)-ROW(PLE.firstrow))),0,IF(OFFSET(PLE!$G$14,$M24,CA$13)="",10^12,OFFSET(PLE!$G$14,$M24,CA$13))))</f>
        <v>1000000000000</v>
      </c>
      <c r="CB24" s="182">
        <f ca="1">IF($D24&lt;&gt;"Serviço",0,IF(OR(AND(AUTOEVENTO="Manual",$M24=1),$M24&gt;(ROW(PLE.lastrow)-ROW(PLE.firstrow))),0,IF(OFFSET(PLE!$G$14,$M24,CB$13)="",10^12,OFFSET(PLE!$G$14,$M24,CB$13))))</f>
        <v>1000000000000</v>
      </c>
      <c r="CC24" s="182">
        <f ca="1">IF($D24&lt;&gt;"Serviço",0,IF(OR(AND(AUTOEVENTO="Manual",$M24=1),$M24&gt;(ROW(PLE.lastrow)-ROW(PLE.firstrow))),0,IF(OFFSET(PLE!$G$14,$M24,CC$13)="",10^12,OFFSET(PLE!$G$14,$M24,CC$13))))</f>
        <v>1000000000000</v>
      </c>
      <c r="CD24" s="182">
        <f ca="1">IF($D24&lt;&gt;"Serviço",0,IF(OR(AND(AUTOEVENTO="Manual",$M24=1),$M24&gt;(ROW(PLE.lastrow)-ROW(PLE.firstrow))),0,IF(OFFSET(PLE!$G$14,$M24,CD$13)="",10^12,OFFSET(PLE!$G$14,$M24,CD$13))))</f>
        <v>1000000000000</v>
      </c>
      <c r="CE24" s="182">
        <f ca="1">IF($D24&lt;&gt;"Serviço",0,IF(OR(AND(AUTOEVENTO="Manual",$M24=1),$M24&gt;(ROW(PLE.lastrow)-ROW(PLE.firstrow))),0,IF(OFFSET(PLE!$G$14,$M24,CE$13)="",10^12,OFFSET(PLE!$G$14,$M24,CE$13))))</f>
        <v>1000000000000</v>
      </c>
      <c r="CF24" s="182">
        <f ca="1">IF($D24&lt;&gt;"Serviço",0,IF(OR(AND(AUTOEVENTO="Manual",$M24=1),$M24&gt;(ROW(PLE.lastrow)-ROW(PLE.firstrow))),0,IF(OFFSET(PLE!$G$14,$M24,CF$13)="",10^12,OFFSET(PLE!$G$14,$M24,CF$13))))</f>
        <v>1000000000000</v>
      </c>
      <c r="CG24" s="182">
        <f ca="1">IF($D24&lt;&gt;"Serviço",0,IF(OR(AND(AUTOEVENTO="Manual",$M24=1),$M24&gt;(ROW(PLE.lastrow)-ROW(PLE.firstrow))),0,IF(OFFSET(PLE!$G$14,$M24,CG$13)="",10^12,OFFSET(PLE!$G$14,$M24,CG$13))))</f>
        <v>1000000000000</v>
      </c>
      <c r="CH24" s="182">
        <f ca="1">IF($D24&lt;&gt;"Serviço",0,IF(OR(AND(AUTOEVENTO="Manual",$M24=1),$M24&gt;(ROW(PLE.lastrow)-ROW(PLE.firstrow))),0,IF(OFFSET(PLE!$G$14,$M24,CH$13)="",10^12,OFFSET(PLE!$G$14,$M24,CH$13))))</f>
        <v>1000000000000</v>
      </c>
      <c r="CI24" s="182">
        <f ca="1">IF($D24&lt;&gt;"Serviço",0,IF(OR(AND(AUTOEVENTO="Manual",$M24=1),$M24&gt;(ROW(PLE.lastrow)-ROW(PLE.firstrow))),0,IF(OFFSET(PLE!$G$14,$M24,CI$13)="",10^12,OFFSET(PLE!$G$14,$M24,CI$13))))</f>
        <v>1000000000000</v>
      </c>
      <c r="CJ24" s="182">
        <f ca="1">IF($D24&lt;&gt;"Serviço",0,IF(OR(AND(AUTOEVENTO="Manual",$M24=1),$M24&gt;(ROW(PLE.lastrow)-ROW(PLE.firstrow))),0,IF(OFFSET(PLE!$G$14,$M24,CJ$13)="",10^12,OFFSET(PLE!$G$14,$M24,CJ$13))))</f>
        <v>1000000000000</v>
      </c>
      <c r="CK24" s="182">
        <f ca="1">IF($D24&lt;&gt;"Serviço",0,IF(OR(AND(AUTOEVENTO="Manual",$M24=1),$M24&gt;(ROW(PLE.lastrow)-ROW(PLE.firstrow))),0,IF(OFFSET(PLE!$G$14,$M24,CK$13)="",10^12,OFFSET(PLE!$G$14,$M24,CK$13))))</f>
        <v>1000000000000</v>
      </c>
      <c r="CL24" s="182">
        <f ca="1">IF($D24&lt;&gt;"Serviço",0,IF(OR(AND(AUTOEVENTO="Manual",$M24=1),$M24&gt;(ROW(PLE.lastrow)-ROW(PLE.firstrow))),0,IF(OFFSET(PLE!$G$14,$M24,CL$13)="",10^12,OFFSET(PLE!$G$14,$M24,CL$13))))</f>
        <v>1000000000000</v>
      </c>
      <c r="CM24" s="182">
        <f ca="1">IF($D24&lt;&gt;"Serviço",0,IF(OR(AND(AUTOEVENTO="Manual",$M24=1),$M24&gt;(ROW(PLE.lastrow)-ROW(PLE.firstrow))),0,IF(OFFSET(PLE!$G$14,$M24,CM$13)="",10^12,OFFSET(PLE!$G$14,$M24,CM$13))))</f>
        <v>1000000000000</v>
      </c>
    </row>
    <row r="25" spans="1:91" ht="25.5" x14ac:dyDescent="0.2">
      <c r="A25" s="7" t="str">
        <f t="shared" ca="1" si="9"/>
        <v>8</v>
      </c>
      <c r="B25" s="7" t="str">
        <f ca="1">OFFSET(ORÇAMENTO!C$15,ROW(B25)-ROW(B$15),0)</f>
        <v>S</v>
      </c>
      <c r="C25" s="7" t="str">
        <f ca="1">OFFSET(ORÇAMENTO!L$15,ROW(C25)-ROW(C$15),0)</f>
        <v/>
      </c>
      <c r="D25" s="118" t="str">
        <f ca="1">OFFSET(ORÇAMENTO!N$15,ROW(D25)-ROW(D$15),0)</f>
        <v>Serviço</v>
      </c>
      <c r="E25" s="119" t="str">
        <f ca="1">OFFSET(ORÇAMENTO!O$15,ROW(E25)-ROW(E$15),0)</f>
        <v>-</v>
      </c>
      <c r="F25" s="172" t="str">
        <f ca="1">OFFSET(ORÇAMENTO!R$15,ROW(F25)-ROW(F$15),0)</f>
        <v>(abra o arquivo 'Referência 06-2024.xlsm)</v>
      </c>
      <c r="G25" s="173" t="str">
        <f ca="1">IF($D25&lt;&gt;"Serviço","",OFFSET(ORÇAMENTO!S$15,ROW(G25)-ROW(G$15),0))</f>
        <v>-</v>
      </c>
      <c r="H25" s="124">
        <f ca="1">IF($D25&lt;&gt;"Serviço",0,IF(ACOMPANHAMENTO="BM",ROUND(OFFSET(ORÇAMENTO!AJ$15,ROW(H25)-ROW(H$15),0),15-13*ORÇAMENTO!$AF$7),SUMPRODUCT(($Q$12:$AI$12&lt;&gt;"")*ROUND($Q25:$AI25,15-13*ORÇAMENTO!$AF$7))))</f>
        <v>501.6</v>
      </c>
      <c r="I25" s="561" t="s">
        <v>1107</v>
      </c>
      <c r="K25" s="174" t="s">
        <v>1021</v>
      </c>
      <c r="L25" s="175" t="s">
        <v>255</v>
      </c>
      <c r="M25" s="176">
        <f ca="1">IF($D25&lt;&gt;"Serviço","",IF(AUTOEVENTO="manual",$A25,IF(ISERROR(MATCH($A25,$A$15:OFFSET($A25,-1,0),0)),MAX($M$15:OFFSET(M25,-1,0))+1,INDEX($M$15:OFFSET(M25,-1,0),MATCH($A25,$A$15:OFFSET($A25,-1,0),0)))))</f>
        <v>4</v>
      </c>
      <c r="N25" s="177" t="str">
        <f ca="1">IF($D25&lt;&gt;"Serviço","",IF(AUTOEVENTO="Manual",IF($A25=0,"&lt;-- defina o número do agrupador",OFFSET(EVENTOS!$D$14,$A25,0)),OFFSET($F$15,$A25,0)))</f>
        <v>SERVIÇOS PRELIMINARES</v>
      </c>
      <c r="O25" s="178"/>
      <c r="Q25" s="178">
        <v>501.6</v>
      </c>
      <c r="R25" s="179"/>
      <c r="S25" s="179"/>
      <c r="T25" s="179"/>
      <c r="U25" s="179"/>
      <c r="V25" s="179"/>
      <c r="W25" s="179"/>
      <c r="X25" s="179"/>
      <c r="Y25" s="179"/>
      <c r="Z25" s="180"/>
      <c r="AA25" s="179"/>
      <c r="AB25" s="179"/>
      <c r="AC25" s="179"/>
      <c r="AD25" s="179"/>
      <c r="AE25" s="179"/>
      <c r="AF25" s="179"/>
      <c r="AG25" s="179"/>
      <c r="AH25" s="180"/>
      <c r="AJ25" s="544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5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L25" s="545">
        <f ca="1">IF(AND($D25="Serviço",AL$12&lt;&gt;0,$H25&gt;0,OR(AUTOEVENTO&lt;&gt;"manual",$M25&lt;&gt;1)),
IF(Import.TipoArredondamento&lt;&gt;"TransfereGOV",
ROUND(OFFSET($P25,0,AL$13),15-13*ORÇAMENTO!$AF$7)/$H25*OFFSET(ORÇAMENTO!$X$15,ROW(AL25)-ROW(AL$15),0),
ROUND(ROUND(OFFSET($P25,0,AL$13),15-13*ORÇAMENTO!$AF$7)*OFFSET(ORÇAMENTO!$W$15,ROW(AL25)-ROW(AL$15),0),15-13*ORÇAMENTO!$AF$11)),0)</f>
        <v>0</v>
      </c>
      <c r="AM25" s="545">
        <f ca="1">IF(AND($D25="Serviço",AM$12&lt;&gt;0,$H25&gt;0,OR(AUTOEVENTO&lt;&gt;"manual",$M25&lt;&gt;1)),
IF(Import.TipoArredondamento&lt;&gt;"TransfereGOV",
ROUND(OFFSET($P25,0,AM$13),15-13*ORÇAMENTO!$AF$7)/$H25*OFFSET(ORÇAMENTO!$X$15,ROW(AM25)-ROW(AM$15),0),
ROUND(ROUND(OFFSET($P25,0,AM$13),15-13*ORÇAMENTO!$AF$7)*OFFSET(ORÇAMENTO!$W$15,ROW(AM25)-ROW(AM$15),0),15-13*ORÇAMENTO!$AF$11)),0)</f>
        <v>0</v>
      </c>
      <c r="AN25" s="545">
        <f ca="1">IF(AND($D25="Serviço",AN$12&lt;&gt;0,$H25&gt;0,OR(AUTOEVENTO&lt;&gt;"manual",$M25&lt;&gt;1)),
IF(Import.TipoArredondamento&lt;&gt;"TransfereGOV",
ROUND(OFFSET($P25,0,AN$13),15-13*ORÇAMENTO!$AF$7)/$H25*OFFSET(ORÇAMENTO!$X$15,ROW(AN25)-ROW(AN$15),0),
ROUND(ROUND(OFFSET($P25,0,AN$13),15-13*ORÇAMENTO!$AF$7)*OFFSET(ORÇAMENTO!$W$15,ROW(AN25)-ROW(AN$15),0),15-13*ORÇAMENTO!$AF$11)),0)</f>
        <v>0</v>
      </c>
      <c r="AO25" s="545">
        <f ca="1">IF(AND($D25="Serviço",AO$12&lt;&gt;0,$H25&gt;0,OR(AUTOEVENTO&lt;&gt;"manual",$M25&lt;&gt;1)),
IF(Import.TipoArredondamento&lt;&gt;"TransfereGOV",
ROUND(OFFSET($P25,0,AO$13),15-13*ORÇAMENTO!$AF$7)/$H25*OFFSET(ORÇAMENTO!$X$15,ROW(AO25)-ROW(AO$15),0),
ROUND(ROUND(OFFSET($P25,0,AO$13),15-13*ORÇAMENTO!$AF$7)*OFFSET(ORÇAMENTO!$W$15,ROW(AO25)-ROW(AO$15),0),15-13*ORÇAMENTO!$AF$11)),0)</f>
        <v>0</v>
      </c>
      <c r="AP25" s="545">
        <f ca="1">IF(AND($D25="Serviço",AP$12&lt;&gt;0,$H25&gt;0,OR(AUTOEVENTO&lt;&gt;"manual",$M25&lt;&gt;1)),
IF(Import.TipoArredondamento&lt;&gt;"TransfereGOV",
ROUND(OFFSET($P25,0,AP$13),15-13*ORÇAMENTO!$AF$7)/$H25*OFFSET(ORÇAMENTO!$X$15,ROW(AP25)-ROW(AP$15),0),
ROUND(ROUND(OFFSET($P25,0,AP$13),15-13*ORÇAMENTO!$AF$7)*OFFSET(ORÇAMENTO!$W$15,ROW(AP25)-ROW(AP$15),0),15-13*ORÇAMENTO!$AF$11)),0)</f>
        <v>0</v>
      </c>
      <c r="AQ25" s="545">
        <f ca="1">IF(AND($D25="Serviço",AQ$12&lt;&gt;0,$H25&gt;0,OR(AUTOEVENTO&lt;&gt;"manual",$M25&lt;&gt;1)),
IF(Import.TipoArredondamento&lt;&gt;"TransfereGOV",
ROUND(OFFSET($P25,0,AQ$13),15-13*ORÇAMENTO!$AF$7)/$H25*OFFSET(ORÇAMENTO!$X$15,ROW(AQ25)-ROW(AQ$15),0),
ROUND(ROUND(OFFSET($P25,0,AQ$13),15-13*ORÇAMENTO!$AF$7)*OFFSET(ORÇAMENTO!$W$15,ROW(AQ25)-ROW(AQ$15),0),15-13*ORÇAMENTO!$AF$11)),0)</f>
        <v>0</v>
      </c>
      <c r="AR25" s="545">
        <f ca="1">IF(AND($D25="Serviço",AR$12&lt;&gt;0,$H25&gt;0,OR(AUTOEVENTO&lt;&gt;"manual",$M25&lt;&gt;1)),
IF(Import.TipoArredondamento&lt;&gt;"TransfereGOV",
ROUND(OFFSET($P25,0,AR$13),15-13*ORÇAMENTO!$AF$7)/$H25*OFFSET(ORÇAMENTO!$X$15,ROW(AR25)-ROW(AR$15),0),
ROUND(ROUND(OFFSET($P25,0,AR$13),15-13*ORÇAMENTO!$AF$7)*OFFSET(ORÇAMENTO!$W$15,ROW(AR25)-ROW(AR$15),0),15-13*ORÇAMENTO!$AF$11)),0)</f>
        <v>0</v>
      </c>
      <c r="AS25" s="546">
        <f ca="1">IF(AND($D25="Serviço",AS$12&lt;&gt;0,$H25&gt;0,OR(AUTOEVENTO&lt;&gt;"manual",$M25&lt;&gt;1)),
IF(Import.TipoArredondamento&lt;&gt;"TransfereGOV",
ROUND(OFFSET($P25,0,AS$13),15-13*ORÇAMENTO!$AF$7)/$H25*OFFSET(ORÇAMENTO!$X$15,ROW(AS25)-ROW(AS$15),0),
ROUND(ROUND(OFFSET($P25,0,AS$13),15-13*ORÇAMENTO!$AF$7)*OFFSET(ORÇAMENTO!$W$15,ROW(AS25)-ROW(AS$15),0),15-13*ORÇAMENTO!$AF$11)),0)</f>
        <v>0</v>
      </c>
      <c r="AT25" s="545">
        <f ca="1">IF(AND($D25="Serviço",AT$12&lt;&gt;0,$H25&gt;0,OR(AUTOEVENTO&lt;&gt;"manual",$M25&lt;&gt;1)),
IF(Import.TipoArredondamento&lt;&gt;"TransfereGOV",
ROUND(OFFSET($P25,0,AT$13),15-13*ORÇAMENTO!$AF$7)/$H25*OFFSET(ORÇAMENTO!$X$15,ROW(AT25)-ROW(AT$15),0),
ROUND(ROUND(OFFSET($P25,0,AT$13),15-13*ORÇAMENTO!$AF$7)*OFFSET(ORÇAMENTO!$W$15,ROW(AT25)-ROW(AT$15),0),15-13*ORÇAMENTO!$AF$11)),0)</f>
        <v>0</v>
      </c>
      <c r="AU25" s="545">
        <f ca="1">IF(AND($D25="Serviço",AU$12&lt;&gt;0,$H25&gt;0,OR(AUTOEVENTO&lt;&gt;"manual",$M25&lt;&gt;1)),
IF(Import.TipoArredondamento&lt;&gt;"TransfereGOV",
ROUND(OFFSET($P25,0,AU$13),15-13*ORÇAMENTO!$AF$7)/$H25*OFFSET(ORÇAMENTO!$X$15,ROW(AU25)-ROW(AU$15),0),
ROUND(ROUND(OFFSET($P25,0,AU$13),15-13*ORÇAMENTO!$AF$7)*OFFSET(ORÇAMENTO!$W$15,ROW(AU25)-ROW(AU$15),0),15-13*ORÇAMENTO!$AF$11)),0)</f>
        <v>0</v>
      </c>
      <c r="AV25" s="545">
        <f ca="1">IF(AND($D25="Serviço",AV$12&lt;&gt;0,$H25&gt;0,OR(AUTOEVENTO&lt;&gt;"manual",$M25&lt;&gt;1)),
IF(Import.TipoArredondamento&lt;&gt;"TransfereGOV",
ROUND(OFFSET($P25,0,AV$13),15-13*ORÇAMENTO!$AF$7)/$H25*OFFSET(ORÇAMENTO!$X$15,ROW(AV25)-ROW(AV$15),0),
ROUND(ROUND(OFFSET($P25,0,AV$13),15-13*ORÇAMENTO!$AF$7)*OFFSET(ORÇAMENTO!$W$15,ROW(AV25)-ROW(AV$15),0),15-13*ORÇAMENTO!$AF$11)),0)</f>
        <v>0</v>
      </c>
      <c r="AW25" s="545">
        <f ca="1">IF(AND($D25="Serviço",AW$12&lt;&gt;0,$H25&gt;0,OR(AUTOEVENTO&lt;&gt;"manual",$M25&lt;&gt;1)),
IF(Import.TipoArredondamento&lt;&gt;"TransfereGOV",
ROUND(OFFSET($P25,0,AW$13),15-13*ORÇAMENTO!$AF$7)/$H25*OFFSET(ORÇAMENTO!$X$15,ROW(AW25)-ROW(AW$15),0),
ROUND(ROUND(OFFSET($P25,0,AW$13),15-13*ORÇAMENTO!$AF$7)*OFFSET(ORÇAMENTO!$W$15,ROW(AW25)-ROW(AW$15),0),15-13*ORÇAMENTO!$AF$11)),0)</f>
        <v>0</v>
      </c>
      <c r="AX25" s="545">
        <f ca="1">IF(AND($D25="Serviço",AX$12&lt;&gt;0,$H25&gt;0,OR(AUTOEVENTO&lt;&gt;"manual",$M25&lt;&gt;1)),
IF(Import.TipoArredondamento&lt;&gt;"TransfereGOV",
ROUND(OFFSET($P25,0,AX$13),15-13*ORÇAMENTO!$AF$7)/$H25*OFFSET(ORÇAMENTO!$X$15,ROW(AX25)-ROW(AX$15),0),
ROUND(ROUND(OFFSET($P25,0,AX$13),15-13*ORÇAMENTO!$AF$7)*OFFSET(ORÇAMENTO!$W$15,ROW(AX25)-ROW(AX$15),0),15-13*ORÇAMENTO!$AF$11)),0)</f>
        <v>0</v>
      </c>
      <c r="AY25" s="545">
        <f ca="1">IF(AND($D25="Serviço",AY$12&lt;&gt;0,$H25&gt;0,OR(AUTOEVENTO&lt;&gt;"manual",$M25&lt;&gt;1)),
IF(Import.TipoArredondamento&lt;&gt;"TransfereGOV",
ROUND(OFFSET($P25,0,AY$13),15-13*ORÇAMENTO!$AF$7)/$H25*OFFSET(ORÇAMENTO!$X$15,ROW(AY25)-ROW(AY$15),0),
ROUND(ROUND(OFFSET($P25,0,AY$13),15-13*ORÇAMENTO!$AF$7)*OFFSET(ORÇAMENTO!$W$15,ROW(AY25)-ROW(AY$15),0),15-13*ORÇAMENTO!$AF$11)),0)</f>
        <v>0</v>
      </c>
      <c r="AZ25" s="545">
        <f ca="1">IF(AND($D25="Serviço",AZ$12&lt;&gt;0,$H25&gt;0,OR(AUTOEVENTO&lt;&gt;"manual",$M25&lt;&gt;1)),
IF(Import.TipoArredondamento&lt;&gt;"TransfereGOV",
ROUND(OFFSET($P25,0,AZ$13),15-13*ORÇAMENTO!$AF$7)/$H25*OFFSET(ORÇAMENTO!$X$15,ROW(AZ25)-ROW(AZ$15),0),
ROUND(ROUND(OFFSET($P25,0,AZ$13),15-13*ORÇAMENTO!$AF$7)*OFFSET(ORÇAMENTO!$W$15,ROW(AZ25)-ROW(AZ$15),0),15-13*ORÇAMENTO!$AF$11)),0)</f>
        <v>0</v>
      </c>
      <c r="BA25" s="546">
        <f ca="1">IF(AND($D25="Serviço",BA$12&lt;&gt;0,$H25&gt;0,OR(AUTOEVENTO&lt;&gt;"manual",$M25&lt;&gt;1)),
IF(Import.TipoArredondamento&lt;&gt;"TransfereGOV",
ROUND(OFFSET($P25,0,BA$13),15-13*ORÇAMENTO!$AF$7)/$H25*OFFSET(ORÇAMENTO!$X$15,ROW(BA25)-ROW(BA$15),0),
ROUND(ROUND(OFFSET($P25,0,BA$13),15-13*ORÇAMENTO!$AF$7)*OFFSET(ORÇAMENTO!$W$15,ROW(BA25)-ROW(BA$15),0),15-13*ORÇAMENTO!$AF$11)),0)</f>
        <v>0</v>
      </c>
      <c r="BC25" s="181">
        <f ca="1">IF($D25&lt;&gt;"Serviço",0,IF(AND(AUTOEVENTO="Manual",$M25=1),0,IF(OFFSET(CRONOPLE!$F$14,$M25,BC$13)="",10^12,OFFSET(CRONOPLE!$F$14,$M25,BC$13))))</f>
        <v>2</v>
      </c>
      <c r="BD25" s="181">
        <f ca="1">IF($D25&lt;&gt;"Serviço",0,IF(AND(AUTOEVENTO="Manual",$M25=1),0,IF(OFFSET(CRONOPLE!$F$14,$M25,BD$13)="",10^12,OFFSET(CRONOPLE!$F$14,$M25,BD$13))))</f>
        <v>1000000000000</v>
      </c>
      <c r="BE25" s="181">
        <f ca="1">IF($D25&lt;&gt;"Serviço",0,IF(AND(AUTOEVENTO="Manual",$M25=1),0,IF(OFFSET(CRONOPLE!$F$14,$M25,BE$13)="",10^12,OFFSET(CRONOPLE!$F$14,$M25,BE$13))))</f>
        <v>1000000000000</v>
      </c>
      <c r="BF25" s="181">
        <f ca="1">IF($D25&lt;&gt;"Serviço",0,IF(AND(AUTOEVENTO="Manual",$M25=1),0,IF(OFFSET(CRONOPLE!$F$14,$M25,BF$13)="",10^12,OFFSET(CRONOPLE!$F$14,$M25,BF$13))))</f>
        <v>1000000000000</v>
      </c>
      <c r="BG25" s="181">
        <f ca="1">IF($D25&lt;&gt;"Serviço",0,IF(AND(AUTOEVENTO="Manual",$M25=1),0,IF(OFFSET(CRONOPLE!$F$14,$M25,BG$13)="",10^12,OFFSET(CRONOPLE!$F$14,$M25,BG$13))))</f>
        <v>1000000000000</v>
      </c>
      <c r="BH25" s="181">
        <f ca="1">IF($D25&lt;&gt;"Serviço",0,IF(AND(AUTOEVENTO="Manual",$M25=1),0,IF(OFFSET(CRONOPLE!$F$14,$M25,BH$13)="",10^12,OFFSET(CRONOPLE!$F$14,$M25,BH$13))))</f>
        <v>1000000000000</v>
      </c>
      <c r="BI25" s="181">
        <f ca="1">IF($D25&lt;&gt;"Serviço",0,IF(AND(AUTOEVENTO="Manual",$M25=1),0,IF(OFFSET(CRONOPLE!$F$14,$M25,BI$13)="",10^12,OFFSET(CRONOPLE!$F$14,$M25,BI$13))))</f>
        <v>1000000000000</v>
      </c>
      <c r="BJ25" s="181">
        <f ca="1">IF($D25&lt;&gt;"Serviço",0,IF(AND(AUTOEVENTO="Manual",$M25=1),0,IF(OFFSET(CRONOPLE!$F$14,$M25,BJ$13)="",10^12,OFFSET(CRONOPLE!$F$14,$M25,BJ$13))))</f>
        <v>1000000000000</v>
      </c>
      <c r="BK25" s="181">
        <f ca="1">IF($D25&lt;&gt;"Serviço",0,IF(AND(AUTOEVENTO="Manual",$M25=1),0,IF(OFFSET(CRONOPLE!$F$14,$M25,BK$13)="",10^12,OFFSET(CRONOPLE!$F$14,$M25,BK$13))))</f>
        <v>1000000000000</v>
      </c>
      <c r="BL25" s="181">
        <f ca="1">IF($D25&lt;&gt;"Serviço",0,IF(AND(AUTOEVENTO="Manual",$M25=1),0,IF(OFFSET(CRONOPLE!$F$14,$M25,BL$13)="",10^12,OFFSET(CRONOPLE!$F$14,$M25,BL$13))))</f>
        <v>1000000000000</v>
      </c>
      <c r="BM25" s="181">
        <f ca="1">IF($D25&lt;&gt;"Serviço",0,IF(AND(AUTOEVENTO="Manual",$M25=1),0,IF(OFFSET(CRONOPLE!$F$14,$M25,BM$13)="",10^12,OFFSET(CRONOPLE!$F$14,$M25,BM$13))))</f>
        <v>1000000000000</v>
      </c>
      <c r="BN25" s="181">
        <f ca="1">IF($D25&lt;&gt;"Serviço",0,IF(AND(AUTOEVENTO="Manual",$M25=1),0,IF(OFFSET(CRONOPLE!$F$14,$M25,BN$13)="",10^12,OFFSET(CRONOPLE!$F$14,$M25,BN$13))))</f>
        <v>1000000000000</v>
      </c>
      <c r="BO25" s="181">
        <f ca="1">IF($D25&lt;&gt;"Serviço",0,IF(AND(AUTOEVENTO="Manual",$M25=1),0,IF(OFFSET(CRONOPLE!$F$14,$M25,BO$13)="",10^12,OFFSET(CRONOPLE!$F$14,$M25,BO$13))))</f>
        <v>1000000000000</v>
      </c>
      <c r="BP25" s="181">
        <f ca="1">IF($D25&lt;&gt;"Serviço",0,IF(AND(AUTOEVENTO="Manual",$M25=1),0,IF(OFFSET(CRONOPLE!$F$14,$M25,BP$13)="",10^12,OFFSET(CRONOPLE!$F$14,$M25,BP$13))))</f>
        <v>1000000000000</v>
      </c>
      <c r="BQ25" s="181">
        <f ca="1">IF($D25&lt;&gt;"Serviço",0,IF(AND(AUTOEVENTO="Manual",$M25=1),0,IF(OFFSET(CRONOPLE!$F$14,$M25,BQ$13)="",10^12,OFFSET(CRONOPLE!$F$14,$M25,BQ$13))))</f>
        <v>1000000000000</v>
      </c>
      <c r="BR25" s="181">
        <f ca="1">IF($D25&lt;&gt;"Serviço",0,IF(AND(AUTOEVENTO="Manual",$M25=1),0,IF(OFFSET(CRONOPLE!$F$14,$M25,BR$13)="",10^12,OFFSET(CRONOPLE!$F$14,$M25,BR$13))))</f>
        <v>1000000000000</v>
      </c>
      <c r="BS25" s="181">
        <f ca="1">IF($D25&lt;&gt;"Serviço",0,IF(AND(AUTOEVENTO="Manual",$M25=1),0,IF(OFFSET(CRONOPLE!$F$14,$M25,BS$13)="",10^12,OFFSET(CRONOPLE!$F$14,$M25,BS$13))))</f>
        <v>1000000000000</v>
      </c>
      <c r="BT25" s="181">
        <f ca="1">IF($D25&lt;&gt;"Serviço",0,IF(AND(AUTOEVENTO="Manual",$M25=1),0,IF(OFFSET(CRONOPLE!$F$14,$M25,BT$13)="",10^12,OFFSET(CRONOPLE!$F$14,$M25,BT$13))))</f>
        <v>1000000000000</v>
      </c>
      <c r="BV25" s="182">
        <f ca="1">IF($D25&lt;&gt;"Serviço",0,IF(OR(AND(AUTOEVENTO="Manual",$M25=1),$M25&gt;(ROW(PLE.lastrow)-ROW(PLE.firstrow))),0,IF(OFFSET(PLE!$G$14,$M25,BV$13)="",10^12,OFFSET(PLE!$G$14,$M25,BV$13))))</f>
        <v>1000000000000</v>
      </c>
      <c r="BW25" s="182">
        <f ca="1">IF($D25&lt;&gt;"Serviço",0,IF(OR(AND(AUTOEVENTO="Manual",$M25=1),$M25&gt;(ROW(PLE.lastrow)-ROW(PLE.firstrow))),0,IF(OFFSET(PLE!$G$14,$M25,BW$13)="",10^12,OFFSET(PLE!$G$14,$M25,BW$13))))</f>
        <v>1000000000000</v>
      </c>
      <c r="BX25" s="182">
        <f ca="1">IF($D25&lt;&gt;"Serviço",0,IF(OR(AND(AUTOEVENTO="Manual",$M25=1),$M25&gt;(ROW(PLE.lastrow)-ROW(PLE.firstrow))),0,IF(OFFSET(PLE!$G$14,$M25,BX$13)="",10^12,OFFSET(PLE!$G$14,$M25,BX$13))))</f>
        <v>1000000000000</v>
      </c>
      <c r="BY25" s="182">
        <f ca="1">IF($D25&lt;&gt;"Serviço",0,IF(OR(AND(AUTOEVENTO="Manual",$M25=1),$M25&gt;(ROW(PLE.lastrow)-ROW(PLE.firstrow))),0,IF(OFFSET(PLE!$G$14,$M25,BY$13)="",10^12,OFFSET(PLE!$G$14,$M25,BY$13))))</f>
        <v>1000000000000</v>
      </c>
      <c r="BZ25" s="182">
        <f ca="1">IF($D25&lt;&gt;"Serviço",0,IF(OR(AND(AUTOEVENTO="Manual",$M25=1),$M25&gt;(ROW(PLE.lastrow)-ROW(PLE.firstrow))),0,IF(OFFSET(PLE!$G$14,$M25,BZ$13)="",10^12,OFFSET(PLE!$G$14,$M25,BZ$13))))</f>
        <v>1000000000000</v>
      </c>
      <c r="CA25" s="182">
        <f ca="1">IF($D25&lt;&gt;"Serviço",0,IF(OR(AND(AUTOEVENTO="Manual",$M25=1),$M25&gt;(ROW(PLE.lastrow)-ROW(PLE.firstrow))),0,IF(OFFSET(PLE!$G$14,$M25,CA$13)="",10^12,OFFSET(PLE!$G$14,$M25,CA$13))))</f>
        <v>1000000000000</v>
      </c>
      <c r="CB25" s="182">
        <f ca="1">IF($D25&lt;&gt;"Serviço",0,IF(OR(AND(AUTOEVENTO="Manual",$M25=1),$M25&gt;(ROW(PLE.lastrow)-ROW(PLE.firstrow))),0,IF(OFFSET(PLE!$G$14,$M25,CB$13)="",10^12,OFFSET(PLE!$G$14,$M25,CB$13))))</f>
        <v>1000000000000</v>
      </c>
      <c r="CC25" s="182">
        <f ca="1">IF($D25&lt;&gt;"Serviço",0,IF(OR(AND(AUTOEVENTO="Manual",$M25=1),$M25&gt;(ROW(PLE.lastrow)-ROW(PLE.firstrow))),0,IF(OFFSET(PLE!$G$14,$M25,CC$13)="",10^12,OFFSET(PLE!$G$14,$M25,CC$13))))</f>
        <v>1000000000000</v>
      </c>
      <c r="CD25" s="182">
        <f ca="1">IF($D25&lt;&gt;"Serviço",0,IF(OR(AND(AUTOEVENTO="Manual",$M25=1),$M25&gt;(ROW(PLE.lastrow)-ROW(PLE.firstrow))),0,IF(OFFSET(PLE!$G$14,$M25,CD$13)="",10^12,OFFSET(PLE!$G$14,$M25,CD$13))))</f>
        <v>1000000000000</v>
      </c>
      <c r="CE25" s="182">
        <f ca="1">IF($D25&lt;&gt;"Serviço",0,IF(OR(AND(AUTOEVENTO="Manual",$M25=1),$M25&gt;(ROW(PLE.lastrow)-ROW(PLE.firstrow))),0,IF(OFFSET(PLE!$G$14,$M25,CE$13)="",10^12,OFFSET(PLE!$G$14,$M25,CE$13))))</f>
        <v>1000000000000</v>
      </c>
      <c r="CF25" s="182">
        <f ca="1">IF($D25&lt;&gt;"Serviço",0,IF(OR(AND(AUTOEVENTO="Manual",$M25=1),$M25&gt;(ROW(PLE.lastrow)-ROW(PLE.firstrow))),0,IF(OFFSET(PLE!$G$14,$M25,CF$13)="",10^12,OFFSET(PLE!$G$14,$M25,CF$13))))</f>
        <v>1000000000000</v>
      </c>
      <c r="CG25" s="182">
        <f ca="1">IF($D25&lt;&gt;"Serviço",0,IF(OR(AND(AUTOEVENTO="Manual",$M25=1),$M25&gt;(ROW(PLE.lastrow)-ROW(PLE.firstrow))),0,IF(OFFSET(PLE!$G$14,$M25,CG$13)="",10^12,OFFSET(PLE!$G$14,$M25,CG$13))))</f>
        <v>1000000000000</v>
      </c>
      <c r="CH25" s="182">
        <f ca="1">IF($D25&lt;&gt;"Serviço",0,IF(OR(AND(AUTOEVENTO="Manual",$M25=1),$M25&gt;(ROW(PLE.lastrow)-ROW(PLE.firstrow))),0,IF(OFFSET(PLE!$G$14,$M25,CH$13)="",10^12,OFFSET(PLE!$G$14,$M25,CH$13))))</f>
        <v>1000000000000</v>
      </c>
      <c r="CI25" s="182">
        <f ca="1">IF($D25&lt;&gt;"Serviço",0,IF(OR(AND(AUTOEVENTO="Manual",$M25=1),$M25&gt;(ROW(PLE.lastrow)-ROW(PLE.firstrow))),0,IF(OFFSET(PLE!$G$14,$M25,CI$13)="",10^12,OFFSET(PLE!$G$14,$M25,CI$13))))</f>
        <v>1000000000000</v>
      </c>
      <c r="CJ25" s="182">
        <f ca="1">IF($D25&lt;&gt;"Serviço",0,IF(OR(AND(AUTOEVENTO="Manual",$M25=1),$M25&gt;(ROW(PLE.lastrow)-ROW(PLE.firstrow))),0,IF(OFFSET(PLE!$G$14,$M25,CJ$13)="",10^12,OFFSET(PLE!$G$14,$M25,CJ$13))))</f>
        <v>1000000000000</v>
      </c>
      <c r="CK25" s="182">
        <f ca="1">IF($D25&lt;&gt;"Serviço",0,IF(OR(AND(AUTOEVENTO="Manual",$M25=1),$M25&gt;(ROW(PLE.lastrow)-ROW(PLE.firstrow))),0,IF(OFFSET(PLE!$G$14,$M25,CK$13)="",10^12,OFFSET(PLE!$G$14,$M25,CK$13))))</f>
        <v>1000000000000</v>
      </c>
      <c r="CL25" s="182">
        <f ca="1">IF($D25&lt;&gt;"Serviço",0,IF(OR(AND(AUTOEVENTO="Manual",$M25=1),$M25&gt;(ROW(PLE.lastrow)-ROW(PLE.firstrow))),0,IF(OFFSET(PLE!$G$14,$M25,CL$13)="",10^12,OFFSET(PLE!$G$14,$M25,CL$13))))</f>
        <v>1000000000000</v>
      </c>
      <c r="CM25" s="182">
        <f ca="1">IF($D25&lt;&gt;"Serviço",0,IF(OR(AND(AUTOEVENTO="Manual",$M25=1),$M25&gt;(ROW(PLE.lastrow)-ROW(PLE.firstrow))),0,IF(OFFSET(PLE!$G$14,$M25,CM$13)="",10^12,OFFSET(PLE!$G$14,$M25,CM$13))))</f>
        <v>1000000000000</v>
      </c>
    </row>
    <row r="26" spans="1:91" ht="38.25" x14ac:dyDescent="0.2">
      <c r="A26" s="7" t="str">
        <f t="shared" ca="1" si="9"/>
        <v>8</v>
      </c>
      <c r="B26" s="7" t="str">
        <f ca="1">OFFSET(ORÇAMENTO!C$15,ROW(B26)-ROW(B$15),0)</f>
        <v>S</v>
      </c>
      <c r="C26" s="7" t="str">
        <f ca="1">OFFSET(ORÇAMENTO!L$15,ROW(C26)-ROW(C$15),0)</f>
        <v/>
      </c>
      <c r="D26" s="118" t="str">
        <f ca="1">OFFSET(ORÇAMENTO!N$15,ROW(D26)-ROW(D$15),0)</f>
        <v>Serviço</v>
      </c>
      <c r="E26" s="119" t="str">
        <f ca="1">OFFSET(ORÇAMENTO!O$15,ROW(E26)-ROW(E$15),0)</f>
        <v>-</v>
      </c>
      <c r="F26" s="172" t="str">
        <f ca="1">OFFSET(ORÇAMENTO!R$15,ROW(F26)-ROW(F$15),0)</f>
        <v>(abra o arquivo 'Referência 06-2024.xlsm)</v>
      </c>
      <c r="G26" s="173" t="str">
        <f ca="1">IF($D26&lt;&gt;"Serviço","",OFFSET(ORÇAMENTO!S$15,ROW(G26)-ROW(G$15),0))</f>
        <v>-</v>
      </c>
      <c r="H26" s="124">
        <f ca="1">IF($D26&lt;&gt;"Serviço",0,IF(ACOMPANHAMENTO="BM",ROUND(OFFSET(ORÇAMENTO!AJ$15,ROW(H26)-ROW(H$15),0),15-13*ORÇAMENTO!$AF$7),SUMPRODUCT(($Q$12:$AI$12&lt;&gt;"")*ROUND($Q26:$AI26,15-13*ORÇAMENTO!$AF$7))))</f>
        <v>1</v>
      </c>
      <c r="I26" s="561" t="s">
        <v>1107</v>
      </c>
      <c r="K26" s="174" t="s">
        <v>1021</v>
      </c>
      <c r="L26" s="175" t="s">
        <v>255</v>
      </c>
      <c r="M26" s="176">
        <f ca="1">IF($D26&lt;&gt;"Serviço","",IF(AUTOEVENTO="manual",$A26,IF(ISERROR(MATCH($A26,$A$15:OFFSET($A26,-1,0),0)),MAX($M$15:OFFSET(M26,-1,0))+1,INDEX($M$15:OFFSET(M26,-1,0),MATCH($A26,$A$15:OFFSET($A26,-1,0),0)))))</f>
        <v>4</v>
      </c>
      <c r="N26" s="177" t="str">
        <f ca="1">IF($D26&lt;&gt;"Serviço","",IF(AUTOEVENTO="Manual",IF($A26=0,"&lt;-- defina o número do agrupador",OFFSET(EVENTOS!$D$14,$A26,0)),OFFSET($F$15,$A26,0)))</f>
        <v>SERVIÇOS PRELIMINARES</v>
      </c>
      <c r="O26" s="178"/>
      <c r="Q26" s="178">
        <v>1</v>
      </c>
      <c r="R26" s="179"/>
      <c r="S26" s="179"/>
      <c r="T26" s="179"/>
      <c r="U26" s="179"/>
      <c r="V26" s="179"/>
      <c r="W26" s="179"/>
      <c r="X26" s="179"/>
      <c r="Y26" s="179"/>
      <c r="Z26" s="180"/>
      <c r="AA26" s="179"/>
      <c r="AB26" s="179"/>
      <c r="AC26" s="179"/>
      <c r="AD26" s="179"/>
      <c r="AE26" s="179"/>
      <c r="AF26" s="179"/>
      <c r="AG26" s="179"/>
      <c r="AH26" s="180"/>
      <c r="AJ26" s="544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5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L26" s="545">
        <f ca="1">IF(AND($D26="Serviço",AL$12&lt;&gt;0,$H26&gt;0,OR(AUTOEVENTO&lt;&gt;"manual",$M26&lt;&gt;1)),
IF(Import.TipoArredondamento&lt;&gt;"TransfereGOV",
ROUND(OFFSET($P26,0,AL$13),15-13*ORÇAMENTO!$AF$7)/$H26*OFFSET(ORÇAMENTO!$X$15,ROW(AL26)-ROW(AL$15),0),
ROUND(ROUND(OFFSET($P26,0,AL$13),15-13*ORÇAMENTO!$AF$7)*OFFSET(ORÇAMENTO!$W$15,ROW(AL26)-ROW(AL$15),0),15-13*ORÇAMENTO!$AF$11)),0)</f>
        <v>0</v>
      </c>
      <c r="AM26" s="545">
        <f ca="1">IF(AND($D26="Serviço",AM$12&lt;&gt;0,$H26&gt;0,OR(AUTOEVENTO&lt;&gt;"manual",$M26&lt;&gt;1)),
IF(Import.TipoArredondamento&lt;&gt;"TransfereGOV",
ROUND(OFFSET($P26,0,AM$13),15-13*ORÇAMENTO!$AF$7)/$H26*OFFSET(ORÇAMENTO!$X$15,ROW(AM26)-ROW(AM$15),0),
ROUND(ROUND(OFFSET($P26,0,AM$13),15-13*ORÇAMENTO!$AF$7)*OFFSET(ORÇAMENTO!$W$15,ROW(AM26)-ROW(AM$15),0),15-13*ORÇAMENTO!$AF$11)),0)</f>
        <v>0</v>
      </c>
      <c r="AN26" s="545">
        <f ca="1">IF(AND($D26="Serviço",AN$12&lt;&gt;0,$H26&gt;0,OR(AUTOEVENTO&lt;&gt;"manual",$M26&lt;&gt;1)),
IF(Import.TipoArredondamento&lt;&gt;"TransfereGOV",
ROUND(OFFSET($P26,0,AN$13),15-13*ORÇAMENTO!$AF$7)/$H26*OFFSET(ORÇAMENTO!$X$15,ROW(AN26)-ROW(AN$15),0),
ROUND(ROUND(OFFSET($P26,0,AN$13),15-13*ORÇAMENTO!$AF$7)*OFFSET(ORÇAMENTO!$W$15,ROW(AN26)-ROW(AN$15),0),15-13*ORÇAMENTO!$AF$11)),0)</f>
        <v>0</v>
      </c>
      <c r="AO26" s="545">
        <f ca="1">IF(AND($D26="Serviço",AO$12&lt;&gt;0,$H26&gt;0,OR(AUTOEVENTO&lt;&gt;"manual",$M26&lt;&gt;1)),
IF(Import.TipoArredondamento&lt;&gt;"TransfereGOV",
ROUND(OFFSET($P26,0,AO$13),15-13*ORÇAMENTO!$AF$7)/$H26*OFFSET(ORÇAMENTO!$X$15,ROW(AO26)-ROW(AO$15),0),
ROUND(ROUND(OFFSET($P26,0,AO$13),15-13*ORÇAMENTO!$AF$7)*OFFSET(ORÇAMENTO!$W$15,ROW(AO26)-ROW(AO$15),0),15-13*ORÇAMENTO!$AF$11)),0)</f>
        <v>0</v>
      </c>
      <c r="AP26" s="545">
        <f ca="1">IF(AND($D26="Serviço",AP$12&lt;&gt;0,$H26&gt;0,OR(AUTOEVENTO&lt;&gt;"manual",$M26&lt;&gt;1)),
IF(Import.TipoArredondamento&lt;&gt;"TransfereGOV",
ROUND(OFFSET($P26,0,AP$13),15-13*ORÇAMENTO!$AF$7)/$H26*OFFSET(ORÇAMENTO!$X$15,ROW(AP26)-ROW(AP$15),0),
ROUND(ROUND(OFFSET($P26,0,AP$13),15-13*ORÇAMENTO!$AF$7)*OFFSET(ORÇAMENTO!$W$15,ROW(AP26)-ROW(AP$15),0),15-13*ORÇAMENTO!$AF$11)),0)</f>
        <v>0</v>
      </c>
      <c r="AQ26" s="545">
        <f ca="1">IF(AND($D26="Serviço",AQ$12&lt;&gt;0,$H26&gt;0,OR(AUTOEVENTO&lt;&gt;"manual",$M26&lt;&gt;1)),
IF(Import.TipoArredondamento&lt;&gt;"TransfereGOV",
ROUND(OFFSET($P26,0,AQ$13),15-13*ORÇAMENTO!$AF$7)/$H26*OFFSET(ORÇAMENTO!$X$15,ROW(AQ26)-ROW(AQ$15),0),
ROUND(ROUND(OFFSET($P26,0,AQ$13),15-13*ORÇAMENTO!$AF$7)*OFFSET(ORÇAMENTO!$W$15,ROW(AQ26)-ROW(AQ$15),0),15-13*ORÇAMENTO!$AF$11)),0)</f>
        <v>0</v>
      </c>
      <c r="AR26" s="545">
        <f ca="1">IF(AND($D26="Serviço",AR$12&lt;&gt;0,$H26&gt;0,OR(AUTOEVENTO&lt;&gt;"manual",$M26&lt;&gt;1)),
IF(Import.TipoArredondamento&lt;&gt;"TransfereGOV",
ROUND(OFFSET($P26,0,AR$13),15-13*ORÇAMENTO!$AF$7)/$H26*OFFSET(ORÇAMENTO!$X$15,ROW(AR26)-ROW(AR$15),0),
ROUND(ROUND(OFFSET($P26,0,AR$13),15-13*ORÇAMENTO!$AF$7)*OFFSET(ORÇAMENTO!$W$15,ROW(AR26)-ROW(AR$15),0),15-13*ORÇAMENTO!$AF$11)),0)</f>
        <v>0</v>
      </c>
      <c r="AS26" s="546">
        <f ca="1">IF(AND($D26="Serviço",AS$12&lt;&gt;0,$H26&gt;0,OR(AUTOEVENTO&lt;&gt;"manual",$M26&lt;&gt;1)),
IF(Import.TipoArredondamento&lt;&gt;"TransfereGOV",
ROUND(OFFSET($P26,0,AS$13),15-13*ORÇAMENTO!$AF$7)/$H26*OFFSET(ORÇAMENTO!$X$15,ROW(AS26)-ROW(AS$15),0),
ROUND(ROUND(OFFSET($P26,0,AS$13),15-13*ORÇAMENTO!$AF$7)*OFFSET(ORÇAMENTO!$W$15,ROW(AS26)-ROW(AS$15),0),15-13*ORÇAMENTO!$AF$11)),0)</f>
        <v>0</v>
      </c>
      <c r="AT26" s="545">
        <f ca="1">IF(AND($D26="Serviço",AT$12&lt;&gt;0,$H26&gt;0,OR(AUTOEVENTO&lt;&gt;"manual",$M26&lt;&gt;1)),
IF(Import.TipoArredondamento&lt;&gt;"TransfereGOV",
ROUND(OFFSET($P26,0,AT$13),15-13*ORÇAMENTO!$AF$7)/$H26*OFFSET(ORÇAMENTO!$X$15,ROW(AT26)-ROW(AT$15),0),
ROUND(ROUND(OFFSET($P26,0,AT$13),15-13*ORÇAMENTO!$AF$7)*OFFSET(ORÇAMENTO!$W$15,ROW(AT26)-ROW(AT$15),0),15-13*ORÇAMENTO!$AF$11)),0)</f>
        <v>0</v>
      </c>
      <c r="AU26" s="545">
        <f ca="1">IF(AND($D26="Serviço",AU$12&lt;&gt;0,$H26&gt;0,OR(AUTOEVENTO&lt;&gt;"manual",$M26&lt;&gt;1)),
IF(Import.TipoArredondamento&lt;&gt;"TransfereGOV",
ROUND(OFFSET($P26,0,AU$13),15-13*ORÇAMENTO!$AF$7)/$H26*OFFSET(ORÇAMENTO!$X$15,ROW(AU26)-ROW(AU$15),0),
ROUND(ROUND(OFFSET($P26,0,AU$13),15-13*ORÇAMENTO!$AF$7)*OFFSET(ORÇAMENTO!$W$15,ROW(AU26)-ROW(AU$15),0),15-13*ORÇAMENTO!$AF$11)),0)</f>
        <v>0</v>
      </c>
      <c r="AV26" s="545">
        <f ca="1">IF(AND($D26="Serviço",AV$12&lt;&gt;0,$H26&gt;0,OR(AUTOEVENTO&lt;&gt;"manual",$M26&lt;&gt;1)),
IF(Import.TipoArredondamento&lt;&gt;"TransfereGOV",
ROUND(OFFSET($P26,0,AV$13),15-13*ORÇAMENTO!$AF$7)/$H26*OFFSET(ORÇAMENTO!$X$15,ROW(AV26)-ROW(AV$15),0),
ROUND(ROUND(OFFSET($P26,0,AV$13),15-13*ORÇAMENTO!$AF$7)*OFFSET(ORÇAMENTO!$W$15,ROW(AV26)-ROW(AV$15),0),15-13*ORÇAMENTO!$AF$11)),0)</f>
        <v>0</v>
      </c>
      <c r="AW26" s="545">
        <f ca="1">IF(AND($D26="Serviço",AW$12&lt;&gt;0,$H26&gt;0,OR(AUTOEVENTO&lt;&gt;"manual",$M26&lt;&gt;1)),
IF(Import.TipoArredondamento&lt;&gt;"TransfereGOV",
ROUND(OFFSET($P26,0,AW$13),15-13*ORÇAMENTO!$AF$7)/$H26*OFFSET(ORÇAMENTO!$X$15,ROW(AW26)-ROW(AW$15),0),
ROUND(ROUND(OFFSET($P26,0,AW$13),15-13*ORÇAMENTO!$AF$7)*OFFSET(ORÇAMENTO!$W$15,ROW(AW26)-ROW(AW$15),0),15-13*ORÇAMENTO!$AF$11)),0)</f>
        <v>0</v>
      </c>
      <c r="AX26" s="545">
        <f ca="1">IF(AND($D26="Serviço",AX$12&lt;&gt;0,$H26&gt;0,OR(AUTOEVENTO&lt;&gt;"manual",$M26&lt;&gt;1)),
IF(Import.TipoArredondamento&lt;&gt;"TransfereGOV",
ROUND(OFFSET($P26,0,AX$13),15-13*ORÇAMENTO!$AF$7)/$H26*OFFSET(ORÇAMENTO!$X$15,ROW(AX26)-ROW(AX$15),0),
ROUND(ROUND(OFFSET($P26,0,AX$13),15-13*ORÇAMENTO!$AF$7)*OFFSET(ORÇAMENTO!$W$15,ROW(AX26)-ROW(AX$15),0),15-13*ORÇAMENTO!$AF$11)),0)</f>
        <v>0</v>
      </c>
      <c r="AY26" s="545">
        <f ca="1">IF(AND($D26="Serviço",AY$12&lt;&gt;0,$H26&gt;0,OR(AUTOEVENTO&lt;&gt;"manual",$M26&lt;&gt;1)),
IF(Import.TipoArredondamento&lt;&gt;"TransfereGOV",
ROUND(OFFSET($P26,0,AY$13),15-13*ORÇAMENTO!$AF$7)/$H26*OFFSET(ORÇAMENTO!$X$15,ROW(AY26)-ROW(AY$15),0),
ROUND(ROUND(OFFSET($P26,0,AY$13),15-13*ORÇAMENTO!$AF$7)*OFFSET(ORÇAMENTO!$W$15,ROW(AY26)-ROW(AY$15),0),15-13*ORÇAMENTO!$AF$11)),0)</f>
        <v>0</v>
      </c>
      <c r="AZ26" s="545">
        <f ca="1">IF(AND($D26="Serviço",AZ$12&lt;&gt;0,$H26&gt;0,OR(AUTOEVENTO&lt;&gt;"manual",$M26&lt;&gt;1)),
IF(Import.TipoArredondamento&lt;&gt;"TransfereGOV",
ROUND(OFFSET($P26,0,AZ$13),15-13*ORÇAMENTO!$AF$7)/$H26*OFFSET(ORÇAMENTO!$X$15,ROW(AZ26)-ROW(AZ$15),0),
ROUND(ROUND(OFFSET($P26,0,AZ$13),15-13*ORÇAMENTO!$AF$7)*OFFSET(ORÇAMENTO!$W$15,ROW(AZ26)-ROW(AZ$15),0),15-13*ORÇAMENTO!$AF$11)),0)</f>
        <v>0</v>
      </c>
      <c r="BA26" s="546">
        <f ca="1">IF(AND($D26="Serviço",BA$12&lt;&gt;0,$H26&gt;0,OR(AUTOEVENTO&lt;&gt;"manual",$M26&lt;&gt;1)),
IF(Import.TipoArredondamento&lt;&gt;"TransfereGOV",
ROUND(OFFSET($P26,0,BA$13),15-13*ORÇAMENTO!$AF$7)/$H26*OFFSET(ORÇAMENTO!$X$15,ROW(BA26)-ROW(BA$15),0),
ROUND(ROUND(OFFSET($P26,0,BA$13),15-13*ORÇAMENTO!$AF$7)*OFFSET(ORÇAMENTO!$W$15,ROW(BA26)-ROW(BA$15),0),15-13*ORÇAMENTO!$AF$11)),0)</f>
        <v>0</v>
      </c>
      <c r="BC26" s="181">
        <f ca="1">IF($D26&lt;&gt;"Serviço",0,IF(AND(AUTOEVENTO="Manual",$M26=1),0,IF(OFFSET(CRONOPLE!$F$14,$M26,BC$13)="",10^12,OFFSET(CRONOPLE!$F$14,$M26,BC$13))))</f>
        <v>2</v>
      </c>
      <c r="BD26" s="181">
        <f ca="1">IF($D26&lt;&gt;"Serviço",0,IF(AND(AUTOEVENTO="Manual",$M26=1),0,IF(OFFSET(CRONOPLE!$F$14,$M26,BD$13)="",10^12,OFFSET(CRONOPLE!$F$14,$M26,BD$13))))</f>
        <v>1000000000000</v>
      </c>
      <c r="BE26" s="181">
        <f ca="1">IF($D26&lt;&gt;"Serviço",0,IF(AND(AUTOEVENTO="Manual",$M26=1),0,IF(OFFSET(CRONOPLE!$F$14,$M26,BE$13)="",10^12,OFFSET(CRONOPLE!$F$14,$M26,BE$13))))</f>
        <v>1000000000000</v>
      </c>
      <c r="BF26" s="181">
        <f ca="1">IF($D26&lt;&gt;"Serviço",0,IF(AND(AUTOEVENTO="Manual",$M26=1),0,IF(OFFSET(CRONOPLE!$F$14,$M26,BF$13)="",10^12,OFFSET(CRONOPLE!$F$14,$M26,BF$13))))</f>
        <v>1000000000000</v>
      </c>
      <c r="BG26" s="181">
        <f ca="1">IF($D26&lt;&gt;"Serviço",0,IF(AND(AUTOEVENTO="Manual",$M26=1),0,IF(OFFSET(CRONOPLE!$F$14,$M26,BG$13)="",10^12,OFFSET(CRONOPLE!$F$14,$M26,BG$13))))</f>
        <v>1000000000000</v>
      </c>
      <c r="BH26" s="181">
        <f ca="1">IF($D26&lt;&gt;"Serviço",0,IF(AND(AUTOEVENTO="Manual",$M26=1),0,IF(OFFSET(CRONOPLE!$F$14,$M26,BH$13)="",10^12,OFFSET(CRONOPLE!$F$14,$M26,BH$13))))</f>
        <v>1000000000000</v>
      </c>
      <c r="BI26" s="181">
        <f ca="1">IF($D26&lt;&gt;"Serviço",0,IF(AND(AUTOEVENTO="Manual",$M26=1),0,IF(OFFSET(CRONOPLE!$F$14,$M26,BI$13)="",10^12,OFFSET(CRONOPLE!$F$14,$M26,BI$13))))</f>
        <v>1000000000000</v>
      </c>
      <c r="BJ26" s="181">
        <f ca="1">IF($D26&lt;&gt;"Serviço",0,IF(AND(AUTOEVENTO="Manual",$M26=1),0,IF(OFFSET(CRONOPLE!$F$14,$M26,BJ$13)="",10^12,OFFSET(CRONOPLE!$F$14,$M26,BJ$13))))</f>
        <v>1000000000000</v>
      </c>
      <c r="BK26" s="181">
        <f ca="1">IF($D26&lt;&gt;"Serviço",0,IF(AND(AUTOEVENTO="Manual",$M26=1),0,IF(OFFSET(CRONOPLE!$F$14,$M26,BK$13)="",10^12,OFFSET(CRONOPLE!$F$14,$M26,BK$13))))</f>
        <v>1000000000000</v>
      </c>
      <c r="BL26" s="181">
        <f ca="1">IF($D26&lt;&gt;"Serviço",0,IF(AND(AUTOEVENTO="Manual",$M26=1),0,IF(OFFSET(CRONOPLE!$F$14,$M26,BL$13)="",10^12,OFFSET(CRONOPLE!$F$14,$M26,BL$13))))</f>
        <v>1000000000000</v>
      </c>
      <c r="BM26" s="181">
        <f ca="1">IF($D26&lt;&gt;"Serviço",0,IF(AND(AUTOEVENTO="Manual",$M26=1),0,IF(OFFSET(CRONOPLE!$F$14,$M26,BM$13)="",10^12,OFFSET(CRONOPLE!$F$14,$M26,BM$13))))</f>
        <v>1000000000000</v>
      </c>
      <c r="BN26" s="181">
        <f ca="1">IF($D26&lt;&gt;"Serviço",0,IF(AND(AUTOEVENTO="Manual",$M26=1),0,IF(OFFSET(CRONOPLE!$F$14,$M26,BN$13)="",10^12,OFFSET(CRONOPLE!$F$14,$M26,BN$13))))</f>
        <v>1000000000000</v>
      </c>
      <c r="BO26" s="181">
        <f ca="1">IF($D26&lt;&gt;"Serviço",0,IF(AND(AUTOEVENTO="Manual",$M26=1),0,IF(OFFSET(CRONOPLE!$F$14,$M26,BO$13)="",10^12,OFFSET(CRONOPLE!$F$14,$M26,BO$13))))</f>
        <v>1000000000000</v>
      </c>
      <c r="BP26" s="181">
        <f ca="1">IF($D26&lt;&gt;"Serviço",0,IF(AND(AUTOEVENTO="Manual",$M26=1),0,IF(OFFSET(CRONOPLE!$F$14,$M26,BP$13)="",10^12,OFFSET(CRONOPLE!$F$14,$M26,BP$13))))</f>
        <v>1000000000000</v>
      </c>
      <c r="BQ26" s="181">
        <f ca="1">IF($D26&lt;&gt;"Serviço",0,IF(AND(AUTOEVENTO="Manual",$M26=1),0,IF(OFFSET(CRONOPLE!$F$14,$M26,BQ$13)="",10^12,OFFSET(CRONOPLE!$F$14,$M26,BQ$13))))</f>
        <v>1000000000000</v>
      </c>
      <c r="BR26" s="181">
        <f ca="1">IF($D26&lt;&gt;"Serviço",0,IF(AND(AUTOEVENTO="Manual",$M26=1),0,IF(OFFSET(CRONOPLE!$F$14,$M26,BR$13)="",10^12,OFFSET(CRONOPLE!$F$14,$M26,BR$13))))</f>
        <v>1000000000000</v>
      </c>
      <c r="BS26" s="181">
        <f ca="1">IF($D26&lt;&gt;"Serviço",0,IF(AND(AUTOEVENTO="Manual",$M26=1),0,IF(OFFSET(CRONOPLE!$F$14,$M26,BS$13)="",10^12,OFFSET(CRONOPLE!$F$14,$M26,BS$13))))</f>
        <v>1000000000000</v>
      </c>
      <c r="BT26" s="181">
        <f ca="1">IF($D26&lt;&gt;"Serviço",0,IF(AND(AUTOEVENTO="Manual",$M26=1),0,IF(OFFSET(CRONOPLE!$F$14,$M26,BT$13)="",10^12,OFFSET(CRONOPLE!$F$14,$M26,BT$13))))</f>
        <v>1000000000000</v>
      </c>
      <c r="BV26" s="182">
        <f ca="1">IF($D26&lt;&gt;"Serviço",0,IF(OR(AND(AUTOEVENTO="Manual",$M26=1),$M26&gt;(ROW(PLE.lastrow)-ROW(PLE.firstrow))),0,IF(OFFSET(PLE!$G$14,$M26,BV$13)="",10^12,OFFSET(PLE!$G$14,$M26,BV$13))))</f>
        <v>1000000000000</v>
      </c>
      <c r="BW26" s="182">
        <f ca="1">IF($D26&lt;&gt;"Serviço",0,IF(OR(AND(AUTOEVENTO="Manual",$M26=1),$M26&gt;(ROW(PLE.lastrow)-ROW(PLE.firstrow))),0,IF(OFFSET(PLE!$G$14,$M26,BW$13)="",10^12,OFFSET(PLE!$G$14,$M26,BW$13))))</f>
        <v>1000000000000</v>
      </c>
      <c r="BX26" s="182">
        <f ca="1">IF($D26&lt;&gt;"Serviço",0,IF(OR(AND(AUTOEVENTO="Manual",$M26=1),$M26&gt;(ROW(PLE.lastrow)-ROW(PLE.firstrow))),0,IF(OFFSET(PLE!$G$14,$M26,BX$13)="",10^12,OFFSET(PLE!$G$14,$M26,BX$13))))</f>
        <v>1000000000000</v>
      </c>
      <c r="BY26" s="182">
        <f ca="1">IF($D26&lt;&gt;"Serviço",0,IF(OR(AND(AUTOEVENTO="Manual",$M26=1),$M26&gt;(ROW(PLE.lastrow)-ROW(PLE.firstrow))),0,IF(OFFSET(PLE!$G$14,$M26,BY$13)="",10^12,OFFSET(PLE!$G$14,$M26,BY$13))))</f>
        <v>1000000000000</v>
      </c>
      <c r="BZ26" s="182">
        <f ca="1">IF($D26&lt;&gt;"Serviço",0,IF(OR(AND(AUTOEVENTO="Manual",$M26=1),$M26&gt;(ROW(PLE.lastrow)-ROW(PLE.firstrow))),0,IF(OFFSET(PLE!$G$14,$M26,BZ$13)="",10^12,OFFSET(PLE!$G$14,$M26,BZ$13))))</f>
        <v>1000000000000</v>
      </c>
      <c r="CA26" s="182">
        <f ca="1">IF($D26&lt;&gt;"Serviço",0,IF(OR(AND(AUTOEVENTO="Manual",$M26=1),$M26&gt;(ROW(PLE.lastrow)-ROW(PLE.firstrow))),0,IF(OFFSET(PLE!$G$14,$M26,CA$13)="",10^12,OFFSET(PLE!$G$14,$M26,CA$13))))</f>
        <v>1000000000000</v>
      </c>
      <c r="CB26" s="182">
        <f ca="1">IF($D26&lt;&gt;"Serviço",0,IF(OR(AND(AUTOEVENTO="Manual",$M26=1),$M26&gt;(ROW(PLE.lastrow)-ROW(PLE.firstrow))),0,IF(OFFSET(PLE!$G$14,$M26,CB$13)="",10^12,OFFSET(PLE!$G$14,$M26,CB$13))))</f>
        <v>1000000000000</v>
      </c>
      <c r="CC26" s="182">
        <f ca="1">IF($D26&lt;&gt;"Serviço",0,IF(OR(AND(AUTOEVENTO="Manual",$M26=1),$M26&gt;(ROW(PLE.lastrow)-ROW(PLE.firstrow))),0,IF(OFFSET(PLE!$G$14,$M26,CC$13)="",10^12,OFFSET(PLE!$G$14,$M26,CC$13))))</f>
        <v>1000000000000</v>
      </c>
      <c r="CD26" s="182">
        <f ca="1">IF($D26&lt;&gt;"Serviço",0,IF(OR(AND(AUTOEVENTO="Manual",$M26=1),$M26&gt;(ROW(PLE.lastrow)-ROW(PLE.firstrow))),0,IF(OFFSET(PLE!$G$14,$M26,CD$13)="",10^12,OFFSET(PLE!$G$14,$M26,CD$13))))</f>
        <v>1000000000000</v>
      </c>
      <c r="CE26" s="182">
        <f ca="1">IF($D26&lt;&gt;"Serviço",0,IF(OR(AND(AUTOEVENTO="Manual",$M26=1),$M26&gt;(ROW(PLE.lastrow)-ROW(PLE.firstrow))),0,IF(OFFSET(PLE!$G$14,$M26,CE$13)="",10^12,OFFSET(PLE!$G$14,$M26,CE$13))))</f>
        <v>1000000000000</v>
      </c>
      <c r="CF26" s="182">
        <f ca="1">IF($D26&lt;&gt;"Serviço",0,IF(OR(AND(AUTOEVENTO="Manual",$M26=1),$M26&gt;(ROW(PLE.lastrow)-ROW(PLE.firstrow))),0,IF(OFFSET(PLE!$G$14,$M26,CF$13)="",10^12,OFFSET(PLE!$G$14,$M26,CF$13))))</f>
        <v>1000000000000</v>
      </c>
      <c r="CG26" s="182">
        <f ca="1">IF($D26&lt;&gt;"Serviço",0,IF(OR(AND(AUTOEVENTO="Manual",$M26=1),$M26&gt;(ROW(PLE.lastrow)-ROW(PLE.firstrow))),0,IF(OFFSET(PLE!$G$14,$M26,CG$13)="",10^12,OFFSET(PLE!$G$14,$M26,CG$13))))</f>
        <v>1000000000000</v>
      </c>
      <c r="CH26" s="182">
        <f ca="1">IF($D26&lt;&gt;"Serviço",0,IF(OR(AND(AUTOEVENTO="Manual",$M26=1),$M26&gt;(ROW(PLE.lastrow)-ROW(PLE.firstrow))),0,IF(OFFSET(PLE!$G$14,$M26,CH$13)="",10^12,OFFSET(PLE!$G$14,$M26,CH$13))))</f>
        <v>1000000000000</v>
      </c>
      <c r="CI26" s="182">
        <f ca="1">IF($D26&lt;&gt;"Serviço",0,IF(OR(AND(AUTOEVENTO="Manual",$M26=1),$M26&gt;(ROW(PLE.lastrow)-ROW(PLE.firstrow))),0,IF(OFFSET(PLE!$G$14,$M26,CI$13)="",10^12,OFFSET(PLE!$G$14,$M26,CI$13))))</f>
        <v>1000000000000</v>
      </c>
      <c r="CJ26" s="182">
        <f ca="1">IF($D26&lt;&gt;"Serviço",0,IF(OR(AND(AUTOEVENTO="Manual",$M26=1),$M26&gt;(ROW(PLE.lastrow)-ROW(PLE.firstrow))),0,IF(OFFSET(PLE!$G$14,$M26,CJ$13)="",10^12,OFFSET(PLE!$G$14,$M26,CJ$13))))</f>
        <v>1000000000000</v>
      </c>
      <c r="CK26" s="182">
        <f ca="1">IF($D26&lt;&gt;"Serviço",0,IF(OR(AND(AUTOEVENTO="Manual",$M26=1),$M26&gt;(ROW(PLE.lastrow)-ROW(PLE.firstrow))),0,IF(OFFSET(PLE!$G$14,$M26,CK$13)="",10^12,OFFSET(PLE!$G$14,$M26,CK$13))))</f>
        <v>1000000000000</v>
      </c>
      <c r="CL26" s="182">
        <f ca="1">IF($D26&lt;&gt;"Serviço",0,IF(OR(AND(AUTOEVENTO="Manual",$M26=1),$M26&gt;(ROW(PLE.lastrow)-ROW(PLE.firstrow))),0,IF(OFFSET(PLE!$G$14,$M26,CL$13)="",10^12,OFFSET(PLE!$G$14,$M26,CL$13))))</f>
        <v>1000000000000</v>
      </c>
      <c r="CM26" s="182">
        <f ca="1">IF($D26&lt;&gt;"Serviço",0,IF(OR(AND(AUTOEVENTO="Manual",$M26=1),$M26&gt;(ROW(PLE.lastrow)-ROW(PLE.firstrow))),0,IF(OFFSET(PLE!$G$14,$M26,CM$13)="",10^12,OFFSET(PLE!$G$14,$M26,CM$13))))</f>
        <v>1000000000000</v>
      </c>
    </row>
    <row r="27" spans="1:91" ht="25.5" x14ac:dyDescent="0.2">
      <c r="A27" s="7" t="str">
        <f t="shared" ca="1" si="9"/>
        <v>8</v>
      </c>
      <c r="B27" s="7" t="str">
        <f ca="1">OFFSET(ORÇAMENTO!C$15,ROW(B27)-ROW(B$15),0)</f>
        <v>S</v>
      </c>
      <c r="C27" s="7" t="str">
        <f ca="1">OFFSET(ORÇAMENTO!L$15,ROW(C27)-ROW(C$15),0)</f>
        <v/>
      </c>
      <c r="D27" s="118" t="str">
        <f ca="1">OFFSET(ORÇAMENTO!N$15,ROW(D27)-ROW(D$15),0)</f>
        <v>Serviço</v>
      </c>
      <c r="E27" s="119" t="str">
        <f ca="1">OFFSET(ORÇAMENTO!O$15,ROW(E27)-ROW(E$15),0)</f>
        <v>-</v>
      </c>
      <c r="F27" s="172" t="str">
        <f ca="1">OFFSET(ORÇAMENTO!R$15,ROW(F27)-ROW(F$15),0)</f>
        <v>(abra o arquivo 'Referência 06-2024.xlsm)</v>
      </c>
      <c r="G27" s="173" t="str">
        <f ca="1">IF($D27&lt;&gt;"Serviço","",OFFSET(ORÇAMENTO!S$15,ROW(G27)-ROW(G$15),0))</f>
        <v>-</v>
      </c>
      <c r="H27" s="124">
        <f ca="1">IF($D27&lt;&gt;"Serviço",0,IF(ACOMPANHAMENTO="BM",ROUND(OFFSET(ORÇAMENTO!AJ$15,ROW(H27)-ROW(H$15),0),15-13*ORÇAMENTO!$AF$7),SUMPRODUCT(($Q$12:$AI$12&lt;&gt;"")*ROUND($Q27:$AI27,15-13*ORÇAMENTO!$AF$7))))</f>
        <v>1</v>
      </c>
      <c r="I27" s="561" t="s">
        <v>1107</v>
      </c>
      <c r="K27" s="174" t="s">
        <v>1021</v>
      </c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177" t="str">
        <f ca="1">IF($D27&lt;&gt;"Serviço","",IF(AUTOEVENTO="Manual",IF($A27=0,"&lt;-- defina o número do agrupador",OFFSET(EVENTOS!$D$14,$A27,0)),OFFSET($F$15,$A27,0)))</f>
        <v>SERVIÇOS PRELIMINARES</v>
      </c>
      <c r="O27" s="178"/>
      <c r="Q27" s="178">
        <v>1</v>
      </c>
      <c r="R27" s="179"/>
      <c r="S27" s="179"/>
      <c r="T27" s="179"/>
      <c r="U27" s="179"/>
      <c r="V27" s="179"/>
      <c r="W27" s="179"/>
      <c r="X27" s="179"/>
      <c r="Y27" s="179"/>
      <c r="Z27" s="180"/>
      <c r="AA27" s="179"/>
      <c r="AB27" s="179"/>
      <c r="AC27" s="179"/>
      <c r="AD27" s="179"/>
      <c r="AE27" s="179"/>
      <c r="AF27" s="179"/>
      <c r="AG27" s="179"/>
      <c r="AH27" s="180"/>
      <c r="AJ27" s="544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5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L27" s="545">
        <f ca="1">IF(AND($D27="Serviço",AL$12&lt;&gt;0,$H27&gt;0,OR(AUTOEVENTO&lt;&gt;"manual",$M27&lt;&gt;1)),
IF(Import.TipoArredondamento&lt;&gt;"TransfereGOV",
ROUND(OFFSET($P27,0,AL$13),15-13*ORÇAMENTO!$AF$7)/$H27*OFFSET(ORÇAMENTO!$X$15,ROW(AL27)-ROW(AL$15),0),
ROUND(ROUND(OFFSET($P27,0,AL$13),15-13*ORÇAMENTO!$AF$7)*OFFSET(ORÇAMENTO!$W$15,ROW(AL27)-ROW(AL$15),0),15-13*ORÇAMENTO!$AF$11)),0)</f>
        <v>0</v>
      </c>
      <c r="AM27" s="545">
        <f ca="1">IF(AND($D27="Serviço",AM$12&lt;&gt;0,$H27&gt;0,OR(AUTOEVENTO&lt;&gt;"manual",$M27&lt;&gt;1)),
IF(Import.TipoArredondamento&lt;&gt;"TransfereGOV",
ROUND(OFFSET($P27,0,AM$13),15-13*ORÇAMENTO!$AF$7)/$H27*OFFSET(ORÇAMENTO!$X$15,ROW(AM27)-ROW(AM$15),0),
ROUND(ROUND(OFFSET($P27,0,AM$13),15-13*ORÇAMENTO!$AF$7)*OFFSET(ORÇAMENTO!$W$15,ROW(AM27)-ROW(AM$15),0),15-13*ORÇAMENTO!$AF$11)),0)</f>
        <v>0</v>
      </c>
      <c r="AN27" s="545">
        <f ca="1">IF(AND($D27="Serviço",AN$12&lt;&gt;0,$H27&gt;0,OR(AUTOEVENTO&lt;&gt;"manual",$M27&lt;&gt;1)),
IF(Import.TipoArredondamento&lt;&gt;"TransfereGOV",
ROUND(OFFSET($P27,0,AN$13),15-13*ORÇAMENTO!$AF$7)/$H27*OFFSET(ORÇAMENTO!$X$15,ROW(AN27)-ROW(AN$15),0),
ROUND(ROUND(OFFSET($P27,0,AN$13),15-13*ORÇAMENTO!$AF$7)*OFFSET(ORÇAMENTO!$W$15,ROW(AN27)-ROW(AN$15),0),15-13*ORÇAMENTO!$AF$11)),0)</f>
        <v>0</v>
      </c>
      <c r="AO27" s="545">
        <f ca="1">IF(AND($D27="Serviço",AO$12&lt;&gt;0,$H27&gt;0,OR(AUTOEVENTO&lt;&gt;"manual",$M27&lt;&gt;1)),
IF(Import.TipoArredondamento&lt;&gt;"TransfereGOV",
ROUND(OFFSET($P27,0,AO$13),15-13*ORÇAMENTO!$AF$7)/$H27*OFFSET(ORÇAMENTO!$X$15,ROW(AO27)-ROW(AO$15),0),
ROUND(ROUND(OFFSET($P27,0,AO$13),15-13*ORÇAMENTO!$AF$7)*OFFSET(ORÇAMENTO!$W$15,ROW(AO27)-ROW(AO$15),0),15-13*ORÇAMENTO!$AF$11)),0)</f>
        <v>0</v>
      </c>
      <c r="AP27" s="545">
        <f ca="1">IF(AND($D27="Serviço",AP$12&lt;&gt;0,$H27&gt;0,OR(AUTOEVENTO&lt;&gt;"manual",$M27&lt;&gt;1)),
IF(Import.TipoArredondamento&lt;&gt;"TransfereGOV",
ROUND(OFFSET($P27,0,AP$13),15-13*ORÇAMENTO!$AF$7)/$H27*OFFSET(ORÇAMENTO!$X$15,ROW(AP27)-ROW(AP$15),0),
ROUND(ROUND(OFFSET($P27,0,AP$13),15-13*ORÇAMENTO!$AF$7)*OFFSET(ORÇAMENTO!$W$15,ROW(AP27)-ROW(AP$15),0),15-13*ORÇAMENTO!$AF$11)),0)</f>
        <v>0</v>
      </c>
      <c r="AQ27" s="545">
        <f ca="1">IF(AND($D27="Serviço",AQ$12&lt;&gt;0,$H27&gt;0,OR(AUTOEVENTO&lt;&gt;"manual",$M27&lt;&gt;1)),
IF(Import.TipoArredondamento&lt;&gt;"TransfereGOV",
ROUND(OFFSET($P27,0,AQ$13),15-13*ORÇAMENTO!$AF$7)/$H27*OFFSET(ORÇAMENTO!$X$15,ROW(AQ27)-ROW(AQ$15),0),
ROUND(ROUND(OFFSET($P27,0,AQ$13),15-13*ORÇAMENTO!$AF$7)*OFFSET(ORÇAMENTO!$W$15,ROW(AQ27)-ROW(AQ$15),0),15-13*ORÇAMENTO!$AF$11)),0)</f>
        <v>0</v>
      </c>
      <c r="AR27" s="545">
        <f ca="1">IF(AND($D27="Serviço",AR$12&lt;&gt;0,$H27&gt;0,OR(AUTOEVENTO&lt;&gt;"manual",$M27&lt;&gt;1)),
IF(Import.TipoArredondamento&lt;&gt;"TransfereGOV",
ROUND(OFFSET($P27,0,AR$13),15-13*ORÇAMENTO!$AF$7)/$H27*OFFSET(ORÇAMENTO!$X$15,ROW(AR27)-ROW(AR$15),0),
ROUND(ROUND(OFFSET($P27,0,AR$13),15-13*ORÇAMENTO!$AF$7)*OFFSET(ORÇAMENTO!$W$15,ROW(AR27)-ROW(AR$15),0),15-13*ORÇAMENTO!$AF$11)),0)</f>
        <v>0</v>
      </c>
      <c r="AS27" s="546">
        <f ca="1">IF(AND($D27="Serviço",AS$12&lt;&gt;0,$H27&gt;0,OR(AUTOEVENTO&lt;&gt;"manual",$M27&lt;&gt;1)),
IF(Import.TipoArredondamento&lt;&gt;"TransfereGOV",
ROUND(OFFSET($P27,0,AS$13),15-13*ORÇAMENTO!$AF$7)/$H27*OFFSET(ORÇAMENTO!$X$15,ROW(AS27)-ROW(AS$15),0),
ROUND(ROUND(OFFSET($P27,0,AS$13),15-13*ORÇAMENTO!$AF$7)*OFFSET(ORÇAMENTO!$W$15,ROW(AS27)-ROW(AS$15),0),15-13*ORÇAMENTO!$AF$11)),0)</f>
        <v>0</v>
      </c>
      <c r="AT27" s="545">
        <f ca="1">IF(AND($D27="Serviço",AT$12&lt;&gt;0,$H27&gt;0,OR(AUTOEVENTO&lt;&gt;"manual",$M27&lt;&gt;1)),
IF(Import.TipoArredondamento&lt;&gt;"TransfereGOV",
ROUND(OFFSET($P27,0,AT$13),15-13*ORÇAMENTO!$AF$7)/$H27*OFFSET(ORÇAMENTO!$X$15,ROW(AT27)-ROW(AT$15),0),
ROUND(ROUND(OFFSET($P27,0,AT$13),15-13*ORÇAMENTO!$AF$7)*OFFSET(ORÇAMENTO!$W$15,ROW(AT27)-ROW(AT$15),0),15-13*ORÇAMENTO!$AF$11)),0)</f>
        <v>0</v>
      </c>
      <c r="AU27" s="545">
        <f ca="1">IF(AND($D27="Serviço",AU$12&lt;&gt;0,$H27&gt;0,OR(AUTOEVENTO&lt;&gt;"manual",$M27&lt;&gt;1)),
IF(Import.TipoArredondamento&lt;&gt;"TransfereGOV",
ROUND(OFFSET($P27,0,AU$13),15-13*ORÇAMENTO!$AF$7)/$H27*OFFSET(ORÇAMENTO!$X$15,ROW(AU27)-ROW(AU$15),0),
ROUND(ROUND(OFFSET($P27,0,AU$13),15-13*ORÇAMENTO!$AF$7)*OFFSET(ORÇAMENTO!$W$15,ROW(AU27)-ROW(AU$15),0),15-13*ORÇAMENTO!$AF$11)),0)</f>
        <v>0</v>
      </c>
      <c r="AV27" s="545">
        <f ca="1">IF(AND($D27="Serviço",AV$12&lt;&gt;0,$H27&gt;0,OR(AUTOEVENTO&lt;&gt;"manual",$M27&lt;&gt;1)),
IF(Import.TipoArredondamento&lt;&gt;"TransfereGOV",
ROUND(OFFSET($P27,0,AV$13),15-13*ORÇAMENTO!$AF$7)/$H27*OFFSET(ORÇAMENTO!$X$15,ROW(AV27)-ROW(AV$15),0),
ROUND(ROUND(OFFSET($P27,0,AV$13),15-13*ORÇAMENTO!$AF$7)*OFFSET(ORÇAMENTO!$W$15,ROW(AV27)-ROW(AV$15),0),15-13*ORÇAMENTO!$AF$11)),0)</f>
        <v>0</v>
      </c>
      <c r="AW27" s="545">
        <f ca="1">IF(AND($D27="Serviço",AW$12&lt;&gt;0,$H27&gt;0,OR(AUTOEVENTO&lt;&gt;"manual",$M27&lt;&gt;1)),
IF(Import.TipoArredondamento&lt;&gt;"TransfereGOV",
ROUND(OFFSET($P27,0,AW$13),15-13*ORÇAMENTO!$AF$7)/$H27*OFFSET(ORÇAMENTO!$X$15,ROW(AW27)-ROW(AW$15),0),
ROUND(ROUND(OFFSET($P27,0,AW$13),15-13*ORÇAMENTO!$AF$7)*OFFSET(ORÇAMENTO!$W$15,ROW(AW27)-ROW(AW$15),0),15-13*ORÇAMENTO!$AF$11)),0)</f>
        <v>0</v>
      </c>
      <c r="AX27" s="545">
        <f ca="1">IF(AND($D27="Serviço",AX$12&lt;&gt;0,$H27&gt;0,OR(AUTOEVENTO&lt;&gt;"manual",$M27&lt;&gt;1)),
IF(Import.TipoArredondamento&lt;&gt;"TransfereGOV",
ROUND(OFFSET($P27,0,AX$13),15-13*ORÇAMENTO!$AF$7)/$H27*OFFSET(ORÇAMENTO!$X$15,ROW(AX27)-ROW(AX$15),0),
ROUND(ROUND(OFFSET($P27,0,AX$13),15-13*ORÇAMENTO!$AF$7)*OFFSET(ORÇAMENTO!$W$15,ROW(AX27)-ROW(AX$15),0),15-13*ORÇAMENTO!$AF$11)),0)</f>
        <v>0</v>
      </c>
      <c r="AY27" s="545">
        <f ca="1">IF(AND($D27="Serviço",AY$12&lt;&gt;0,$H27&gt;0,OR(AUTOEVENTO&lt;&gt;"manual",$M27&lt;&gt;1)),
IF(Import.TipoArredondamento&lt;&gt;"TransfereGOV",
ROUND(OFFSET($P27,0,AY$13),15-13*ORÇAMENTO!$AF$7)/$H27*OFFSET(ORÇAMENTO!$X$15,ROW(AY27)-ROW(AY$15),0),
ROUND(ROUND(OFFSET($P27,0,AY$13),15-13*ORÇAMENTO!$AF$7)*OFFSET(ORÇAMENTO!$W$15,ROW(AY27)-ROW(AY$15),0),15-13*ORÇAMENTO!$AF$11)),0)</f>
        <v>0</v>
      </c>
      <c r="AZ27" s="545">
        <f ca="1">IF(AND($D27="Serviço",AZ$12&lt;&gt;0,$H27&gt;0,OR(AUTOEVENTO&lt;&gt;"manual",$M27&lt;&gt;1)),
IF(Import.TipoArredondamento&lt;&gt;"TransfereGOV",
ROUND(OFFSET($P27,0,AZ$13),15-13*ORÇAMENTO!$AF$7)/$H27*OFFSET(ORÇAMENTO!$X$15,ROW(AZ27)-ROW(AZ$15),0),
ROUND(ROUND(OFFSET($P27,0,AZ$13),15-13*ORÇAMENTO!$AF$7)*OFFSET(ORÇAMENTO!$W$15,ROW(AZ27)-ROW(AZ$15),0),15-13*ORÇAMENTO!$AF$11)),0)</f>
        <v>0</v>
      </c>
      <c r="BA27" s="546">
        <f ca="1">IF(AND($D27="Serviço",BA$12&lt;&gt;0,$H27&gt;0,OR(AUTOEVENTO&lt;&gt;"manual",$M27&lt;&gt;1)),
IF(Import.TipoArredondamento&lt;&gt;"TransfereGOV",
ROUND(OFFSET($P27,0,BA$13),15-13*ORÇAMENTO!$AF$7)/$H27*OFFSET(ORÇAMENTO!$X$15,ROW(BA27)-ROW(BA$15),0),
ROUND(ROUND(OFFSET($P27,0,BA$13),15-13*ORÇAMENTO!$AF$7)*OFFSET(ORÇAMENTO!$W$15,ROW(BA27)-ROW(BA$15),0),15-13*ORÇAMENTO!$AF$11)),0)</f>
        <v>0</v>
      </c>
      <c r="BC27" s="181">
        <f ca="1">IF($D27&lt;&gt;"Serviço",0,IF(AND(AUTOEVENTO="Manual",$M27=1),0,IF(OFFSET(CRONOPLE!$F$14,$M27,BC$13)="",10^12,OFFSET(CRONOPLE!$F$14,$M27,BC$13))))</f>
        <v>2</v>
      </c>
      <c r="BD27" s="181">
        <f ca="1">IF($D27&lt;&gt;"Serviço",0,IF(AND(AUTOEVENTO="Manual",$M27=1),0,IF(OFFSET(CRONOPLE!$F$14,$M27,BD$13)="",10^12,OFFSET(CRONOPLE!$F$14,$M27,BD$13))))</f>
        <v>1000000000000</v>
      </c>
      <c r="BE27" s="181">
        <f ca="1">IF($D27&lt;&gt;"Serviço",0,IF(AND(AUTOEVENTO="Manual",$M27=1),0,IF(OFFSET(CRONOPLE!$F$14,$M27,BE$13)="",10^12,OFFSET(CRONOPLE!$F$14,$M27,BE$13))))</f>
        <v>1000000000000</v>
      </c>
      <c r="BF27" s="181">
        <f ca="1">IF($D27&lt;&gt;"Serviço",0,IF(AND(AUTOEVENTO="Manual",$M27=1),0,IF(OFFSET(CRONOPLE!$F$14,$M27,BF$13)="",10^12,OFFSET(CRONOPLE!$F$14,$M27,BF$13))))</f>
        <v>1000000000000</v>
      </c>
      <c r="BG27" s="181">
        <f ca="1">IF($D27&lt;&gt;"Serviço",0,IF(AND(AUTOEVENTO="Manual",$M27=1),0,IF(OFFSET(CRONOPLE!$F$14,$M27,BG$13)="",10^12,OFFSET(CRONOPLE!$F$14,$M27,BG$13))))</f>
        <v>1000000000000</v>
      </c>
      <c r="BH27" s="181">
        <f ca="1">IF($D27&lt;&gt;"Serviço",0,IF(AND(AUTOEVENTO="Manual",$M27=1),0,IF(OFFSET(CRONOPLE!$F$14,$M27,BH$13)="",10^12,OFFSET(CRONOPLE!$F$14,$M27,BH$13))))</f>
        <v>1000000000000</v>
      </c>
      <c r="BI27" s="181">
        <f ca="1">IF($D27&lt;&gt;"Serviço",0,IF(AND(AUTOEVENTO="Manual",$M27=1),0,IF(OFFSET(CRONOPLE!$F$14,$M27,BI$13)="",10^12,OFFSET(CRONOPLE!$F$14,$M27,BI$13))))</f>
        <v>1000000000000</v>
      </c>
      <c r="BJ27" s="181">
        <f ca="1">IF($D27&lt;&gt;"Serviço",0,IF(AND(AUTOEVENTO="Manual",$M27=1),0,IF(OFFSET(CRONOPLE!$F$14,$M27,BJ$13)="",10^12,OFFSET(CRONOPLE!$F$14,$M27,BJ$13))))</f>
        <v>1000000000000</v>
      </c>
      <c r="BK27" s="181">
        <f ca="1">IF($D27&lt;&gt;"Serviço",0,IF(AND(AUTOEVENTO="Manual",$M27=1),0,IF(OFFSET(CRONOPLE!$F$14,$M27,BK$13)="",10^12,OFFSET(CRONOPLE!$F$14,$M27,BK$13))))</f>
        <v>1000000000000</v>
      </c>
      <c r="BL27" s="181">
        <f ca="1">IF($D27&lt;&gt;"Serviço",0,IF(AND(AUTOEVENTO="Manual",$M27=1),0,IF(OFFSET(CRONOPLE!$F$14,$M27,BL$13)="",10^12,OFFSET(CRONOPLE!$F$14,$M27,BL$13))))</f>
        <v>1000000000000</v>
      </c>
      <c r="BM27" s="181">
        <f ca="1">IF($D27&lt;&gt;"Serviço",0,IF(AND(AUTOEVENTO="Manual",$M27=1),0,IF(OFFSET(CRONOPLE!$F$14,$M27,BM$13)="",10^12,OFFSET(CRONOPLE!$F$14,$M27,BM$13))))</f>
        <v>1000000000000</v>
      </c>
      <c r="BN27" s="181">
        <f ca="1">IF($D27&lt;&gt;"Serviço",0,IF(AND(AUTOEVENTO="Manual",$M27=1),0,IF(OFFSET(CRONOPLE!$F$14,$M27,BN$13)="",10^12,OFFSET(CRONOPLE!$F$14,$M27,BN$13))))</f>
        <v>1000000000000</v>
      </c>
      <c r="BO27" s="181">
        <f ca="1">IF($D27&lt;&gt;"Serviço",0,IF(AND(AUTOEVENTO="Manual",$M27=1),0,IF(OFFSET(CRONOPLE!$F$14,$M27,BO$13)="",10^12,OFFSET(CRONOPLE!$F$14,$M27,BO$13))))</f>
        <v>1000000000000</v>
      </c>
      <c r="BP27" s="181">
        <f ca="1">IF($D27&lt;&gt;"Serviço",0,IF(AND(AUTOEVENTO="Manual",$M27=1),0,IF(OFFSET(CRONOPLE!$F$14,$M27,BP$13)="",10^12,OFFSET(CRONOPLE!$F$14,$M27,BP$13))))</f>
        <v>1000000000000</v>
      </c>
      <c r="BQ27" s="181">
        <f ca="1">IF($D27&lt;&gt;"Serviço",0,IF(AND(AUTOEVENTO="Manual",$M27=1),0,IF(OFFSET(CRONOPLE!$F$14,$M27,BQ$13)="",10^12,OFFSET(CRONOPLE!$F$14,$M27,BQ$13))))</f>
        <v>1000000000000</v>
      </c>
      <c r="BR27" s="181">
        <f ca="1">IF($D27&lt;&gt;"Serviço",0,IF(AND(AUTOEVENTO="Manual",$M27=1),0,IF(OFFSET(CRONOPLE!$F$14,$M27,BR$13)="",10^12,OFFSET(CRONOPLE!$F$14,$M27,BR$13))))</f>
        <v>1000000000000</v>
      </c>
      <c r="BS27" s="181">
        <f ca="1">IF($D27&lt;&gt;"Serviço",0,IF(AND(AUTOEVENTO="Manual",$M27=1),0,IF(OFFSET(CRONOPLE!$F$14,$M27,BS$13)="",10^12,OFFSET(CRONOPLE!$F$14,$M27,BS$13))))</f>
        <v>1000000000000</v>
      </c>
      <c r="BT27" s="181">
        <f ca="1">IF($D27&lt;&gt;"Serviço",0,IF(AND(AUTOEVENTO="Manual",$M27=1),0,IF(OFFSET(CRONOPLE!$F$14,$M27,BT$13)="",10^12,OFFSET(CRONOPLE!$F$14,$M27,BT$13))))</f>
        <v>1000000000000</v>
      </c>
      <c r="BV27" s="182">
        <f ca="1">IF($D27&lt;&gt;"Serviço",0,IF(OR(AND(AUTOEVENTO="Manual",$M27=1),$M27&gt;(ROW(PLE.lastrow)-ROW(PLE.firstrow))),0,IF(OFFSET(PLE!$G$14,$M27,BV$13)="",10^12,OFFSET(PLE!$G$14,$M27,BV$13))))</f>
        <v>1000000000000</v>
      </c>
      <c r="BW27" s="182">
        <f ca="1">IF($D27&lt;&gt;"Serviço",0,IF(OR(AND(AUTOEVENTO="Manual",$M27=1),$M27&gt;(ROW(PLE.lastrow)-ROW(PLE.firstrow))),0,IF(OFFSET(PLE!$G$14,$M27,BW$13)="",10^12,OFFSET(PLE!$G$14,$M27,BW$13))))</f>
        <v>1000000000000</v>
      </c>
      <c r="BX27" s="182">
        <f ca="1">IF($D27&lt;&gt;"Serviço",0,IF(OR(AND(AUTOEVENTO="Manual",$M27=1),$M27&gt;(ROW(PLE.lastrow)-ROW(PLE.firstrow))),0,IF(OFFSET(PLE!$G$14,$M27,BX$13)="",10^12,OFFSET(PLE!$G$14,$M27,BX$13))))</f>
        <v>1000000000000</v>
      </c>
      <c r="BY27" s="182">
        <f ca="1">IF($D27&lt;&gt;"Serviço",0,IF(OR(AND(AUTOEVENTO="Manual",$M27=1),$M27&gt;(ROW(PLE.lastrow)-ROW(PLE.firstrow))),0,IF(OFFSET(PLE!$G$14,$M27,BY$13)="",10^12,OFFSET(PLE!$G$14,$M27,BY$13))))</f>
        <v>1000000000000</v>
      </c>
      <c r="BZ27" s="182">
        <f ca="1">IF($D27&lt;&gt;"Serviço",0,IF(OR(AND(AUTOEVENTO="Manual",$M27=1),$M27&gt;(ROW(PLE.lastrow)-ROW(PLE.firstrow))),0,IF(OFFSET(PLE!$G$14,$M27,BZ$13)="",10^12,OFFSET(PLE!$G$14,$M27,BZ$13))))</f>
        <v>1000000000000</v>
      </c>
      <c r="CA27" s="182">
        <f ca="1">IF($D27&lt;&gt;"Serviço",0,IF(OR(AND(AUTOEVENTO="Manual",$M27=1),$M27&gt;(ROW(PLE.lastrow)-ROW(PLE.firstrow))),0,IF(OFFSET(PLE!$G$14,$M27,CA$13)="",10^12,OFFSET(PLE!$G$14,$M27,CA$13))))</f>
        <v>1000000000000</v>
      </c>
      <c r="CB27" s="182">
        <f ca="1">IF($D27&lt;&gt;"Serviço",0,IF(OR(AND(AUTOEVENTO="Manual",$M27=1),$M27&gt;(ROW(PLE.lastrow)-ROW(PLE.firstrow))),0,IF(OFFSET(PLE!$G$14,$M27,CB$13)="",10^12,OFFSET(PLE!$G$14,$M27,CB$13))))</f>
        <v>1000000000000</v>
      </c>
      <c r="CC27" s="182">
        <f ca="1">IF($D27&lt;&gt;"Serviço",0,IF(OR(AND(AUTOEVENTO="Manual",$M27=1),$M27&gt;(ROW(PLE.lastrow)-ROW(PLE.firstrow))),0,IF(OFFSET(PLE!$G$14,$M27,CC$13)="",10^12,OFFSET(PLE!$G$14,$M27,CC$13))))</f>
        <v>1000000000000</v>
      </c>
      <c r="CD27" s="182">
        <f ca="1">IF($D27&lt;&gt;"Serviço",0,IF(OR(AND(AUTOEVENTO="Manual",$M27=1),$M27&gt;(ROW(PLE.lastrow)-ROW(PLE.firstrow))),0,IF(OFFSET(PLE!$G$14,$M27,CD$13)="",10^12,OFFSET(PLE!$G$14,$M27,CD$13))))</f>
        <v>1000000000000</v>
      </c>
      <c r="CE27" s="182">
        <f ca="1">IF($D27&lt;&gt;"Serviço",0,IF(OR(AND(AUTOEVENTO="Manual",$M27=1),$M27&gt;(ROW(PLE.lastrow)-ROW(PLE.firstrow))),0,IF(OFFSET(PLE!$G$14,$M27,CE$13)="",10^12,OFFSET(PLE!$G$14,$M27,CE$13))))</f>
        <v>1000000000000</v>
      </c>
      <c r="CF27" s="182">
        <f ca="1">IF($D27&lt;&gt;"Serviço",0,IF(OR(AND(AUTOEVENTO="Manual",$M27=1),$M27&gt;(ROW(PLE.lastrow)-ROW(PLE.firstrow))),0,IF(OFFSET(PLE!$G$14,$M27,CF$13)="",10^12,OFFSET(PLE!$G$14,$M27,CF$13))))</f>
        <v>1000000000000</v>
      </c>
      <c r="CG27" s="182">
        <f ca="1">IF($D27&lt;&gt;"Serviço",0,IF(OR(AND(AUTOEVENTO="Manual",$M27=1),$M27&gt;(ROW(PLE.lastrow)-ROW(PLE.firstrow))),0,IF(OFFSET(PLE!$G$14,$M27,CG$13)="",10^12,OFFSET(PLE!$G$14,$M27,CG$13))))</f>
        <v>1000000000000</v>
      </c>
      <c r="CH27" s="182">
        <f ca="1">IF($D27&lt;&gt;"Serviço",0,IF(OR(AND(AUTOEVENTO="Manual",$M27=1),$M27&gt;(ROW(PLE.lastrow)-ROW(PLE.firstrow))),0,IF(OFFSET(PLE!$G$14,$M27,CH$13)="",10^12,OFFSET(PLE!$G$14,$M27,CH$13))))</f>
        <v>1000000000000</v>
      </c>
      <c r="CI27" s="182">
        <f ca="1">IF($D27&lt;&gt;"Serviço",0,IF(OR(AND(AUTOEVENTO="Manual",$M27=1),$M27&gt;(ROW(PLE.lastrow)-ROW(PLE.firstrow))),0,IF(OFFSET(PLE!$G$14,$M27,CI$13)="",10^12,OFFSET(PLE!$G$14,$M27,CI$13))))</f>
        <v>1000000000000</v>
      </c>
      <c r="CJ27" s="182">
        <f ca="1">IF($D27&lt;&gt;"Serviço",0,IF(OR(AND(AUTOEVENTO="Manual",$M27=1),$M27&gt;(ROW(PLE.lastrow)-ROW(PLE.firstrow))),0,IF(OFFSET(PLE!$G$14,$M27,CJ$13)="",10^12,OFFSET(PLE!$G$14,$M27,CJ$13))))</f>
        <v>1000000000000</v>
      </c>
      <c r="CK27" s="182">
        <f ca="1">IF($D27&lt;&gt;"Serviço",0,IF(OR(AND(AUTOEVENTO="Manual",$M27=1),$M27&gt;(ROW(PLE.lastrow)-ROW(PLE.firstrow))),0,IF(OFFSET(PLE!$G$14,$M27,CK$13)="",10^12,OFFSET(PLE!$G$14,$M27,CK$13))))</f>
        <v>1000000000000</v>
      </c>
      <c r="CL27" s="182">
        <f ca="1">IF($D27&lt;&gt;"Serviço",0,IF(OR(AND(AUTOEVENTO="Manual",$M27=1),$M27&gt;(ROW(PLE.lastrow)-ROW(PLE.firstrow))),0,IF(OFFSET(PLE!$G$14,$M27,CL$13)="",10^12,OFFSET(PLE!$G$14,$M27,CL$13))))</f>
        <v>1000000000000</v>
      </c>
      <c r="CM27" s="182">
        <f ca="1">IF($D27&lt;&gt;"Serviço",0,IF(OR(AND(AUTOEVENTO="Manual",$M27=1),$M27&gt;(ROW(PLE.lastrow)-ROW(PLE.firstrow))),0,IF(OFFSET(PLE!$G$14,$M27,CM$13)="",10^12,OFFSET(PLE!$G$14,$M27,CM$13))))</f>
        <v>1000000000000</v>
      </c>
    </row>
    <row r="28" spans="1:91" ht="38.25" x14ac:dyDescent="0.2">
      <c r="A28" s="7" t="str">
        <f t="shared" ca="1" si="9"/>
        <v>8</v>
      </c>
      <c r="B28" s="7" t="str">
        <f ca="1">OFFSET(ORÇAMENTO!C$15,ROW(B28)-ROW(B$15),0)</f>
        <v>S</v>
      </c>
      <c r="C28" s="7" t="str">
        <f ca="1">OFFSET(ORÇAMENTO!L$15,ROW(C28)-ROW(C$15),0)</f>
        <v/>
      </c>
      <c r="D28" s="118" t="str">
        <f ca="1">OFFSET(ORÇAMENTO!N$15,ROW(D28)-ROW(D$15),0)</f>
        <v>Serviço</v>
      </c>
      <c r="E28" s="119" t="str">
        <f ca="1">OFFSET(ORÇAMENTO!O$15,ROW(E28)-ROW(E$15),0)</f>
        <v>-</v>
      </c>
      <c r="F28" s="172" t="str">
        <f ca="1">OFFSET(ORÇAMENTO!R$15,ROW(F28)-ROW(F$15),0)</f>
        <v>(abra o arquivo 'Referência 06-2024.xlsm)</v>
      </c>
      <c r="G28" s="173" t="str">
        <f ca="1">IF($D28&lt;&gt;"Serviço","",OFFSET(ORÇAMENTO!S$15,ROW(G28)-ROW(G$15),0))</f>
        <v>-</v>
      </c>
      <c r="H28" s="124">
        <f ca="1">IF($D28&lt;&gt;"Serviço",0,IF(ACOMPANHAMENTO="BM",ROUND(OFFSET(ORÇAMENTO!AJ$15,ROW(H28)-ROW(H$15),0),15-13*ORÇAMENTO!$AF$7),SUMPRODUCT(($Q$12:$AI$12&lt;&gt;"")*ROUND($Q28:$AI28,15-13*ORÇAMENTO!$AF$7))))</f>
        <v>254</v>
      </c>
      <c r="I28" s="561" t="s">
        <v>1107</v>
      </c>
      <c r="K28" s="174" t="s">
        <v>1021</v>
      </c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177" t="str">
        <f ca="1">IF($D28&lt;&gt;"Serviço","",IF(AUTOEVENTO="Manual",IF($A28=0,"&lt;-- defina o número do agrupador",OFFSET(EVENTOS!$D$14,$A28,0)),OFFSET($F$15,$A28,0)))</f>
        <v>SERVIÇOS PRELIMINARES</v>
      </c>
      <c r="O28" s="178"/>
      <c r="Q28" s="178">
        <v>254</v>
      </c>
      <c r="R28" s="179"/>
      <c r="S28" s="179"/>
      <c r="T28" s="179"/>
      <c r="U28" s="179"/>
      <c r="V28" s="179"/>
      <c r="W28" s="179"/>
      <c r="X28" s="179"/>
      <c r="Y28" s="179"/>
      <c r="Z28" s="180"/>
      <c r="AA28" s="179"/>
      <c r="AB28" s="179"/>
      <c r="AC28" s="179"/>
      <c r="AD28" s="179"/>
      <c r="AE28" s="179"/>
      <c r="AF28" s="179"/>
      <c r="AG28" s="179"/>
      <c r="AH28" s="180"/>
      <c r="AJ28" s="544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5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L28" s="545">
        <f ca="1">IF(AND($D28="Serviço",AL$12&lt;&gt;0,$H28&gt;0,OR(AUTOEVENTO&lt;&gt;"manual",$M28&lt;&gt;1)),
IF(Import.TipoArredondamento&lt;&gt;"TransfereGOV",
ROUND(OFFSET($P28,0,AL$13),15-13*ORÇAMENTO!$AF$7)/$H28*OFFSET(ORÇAMENTO!$X$15,ROW(AL28)-ROW(AL$15),0),
ROUND(ROUND(OFFSET($P28,0,AL$13),15-13*ORÇAMENTO!$AF$7)*OFFSET(ORÇAMENTO!$W$15,ROW(AL28)-ROW(AL$15),0),15-13*ORÇAMENTO!$AF$11)),0)</f>
        <v>0</v>
      </c>
      <c r="AM28" s="545">
        <f ca="1">IF(AND($D28="Serviço",AM$12&lt;&gt;0,$H28&gt;0,OR(AUTOEVENTO&lt;&gt;"manual",$M28&lt;&gt;1)),
IF(Import.TipoArredondamento&lt;&gt;"TransfereGOV",
ROUND(OFFSET($P28,0,AM$13),15-13*ORÇAMENTO!$AF$7)/$H28*OFFSET(ORÇAMENTO!$X$15,ROW(AM28)-ROW(AM$15),0),
ROUND(ROUND(OFFSET($P28,0,AM$13),15-13*ORÇAMENTO!$AF$7)*OFFSET(ORÇAMENTO!$W$15,ROW(AM28)-ROW(AM$15),0),15-13*ORÇAMENTO!$AF$11)),0)</f>
        <v>0</v>
      </c>
      <c r="AN28" s="545">
        <f ca="1">IF(AND($D28="Serviço",AN$12&lt;&gt;0,$H28&gt;0,OR(AUTOEVENTO&lt;&gt;"manual",$M28&lt;&gt;1)),
IF(Import.TipoArredondamento&lt;&gt;"TransfereGOV",
ROUND(OFFSET($P28,0,AN$13),15-13*ORÇAMENTO!$AF$7)/$H28*OFFSET(ORÇAMENTO!$X$15,ROW(AN28)-ROW(AN$15),0),
ROUND(ROUND(OFFSET($P28,0,AN$13),15-13*ORÇAMENTO!$AF$7)*OFFSET(ORÇAMENTO!$W$15,ROW(AN28)-ROW(AN$15),0),15-13*ORÇAMENTO!$AF$11)),0)</f>
        <v>0</v>
      </c>
      <c r="AO28" s="545">
        <f ca="1">IF(AND($D28="Serviço",AO$12&lt;&gt;0,$H28&gt;0,OR(AUTOEVENTO&lt;&gt;"manual",$M28&lt;&gt;1)),
IF(Import.TipoArredondamento&lt;&gt;"TransfereGOV",
ROUND(OFFSET($P28,0,AO$13),15-13*ORÇAMENTO!$AF$7)/$H28*OFFSET(ORÇAMENTO!$X$15,ROW(AO28)-ROW(AO$15),0),
ROUND(ROUND(OFFSET($P28,0,AO$13),15-13*ORÇAMENTO!$AF$7)*OFFSET(ORÇAMENTO!$W$15,ROW(AO28)-ROW(AO$15),0),15-13*ORÇAMENTO!$AF$11)),0)</f>
        <v>0</v>
      </c>
      <c r="AP28" s="545">
        <f ca="1">IF(AND($D28="Serviço",AP$12&lt;&gt;0,$H28&gt;0,OR(AUTOEVENTO&lt;&gt;"manual",$M28&lt;&gt;1)),
IF(Import.TipoArredondamento&lt;&gt;"TransfereGOV",
ROUND(OFFSET($P28,0,AP$13),15-13*ORÇAMENTO!$AF$7)/$H28*OFFSET(ORÇAMENTO!$X$15,ROW(AP28)-ROW(AP$15),0),
ROUND(ROUND(OFFSET($P28,0,AP$13),15-13*ORÇAMENTO!$AF$7)*OFFSET(ORÇAMENTO!$W$15,ROW(AP28)-ROW(AP$15),0),15-13*ORÇAMENTO!$AF$11)),0)</f>
        <v>0</v>
      </c>
      <c r="AQ28" s="545">
        <f ca="1">IF(AND($D28="Serviço",AQ$12&lt;&gt;0,$H28&gt;0,OR(AUTOEVENTO&lt;&gt;"manual",$M28&lt;&gt;1)),
IF(Import.TipoArredondamento&lt;&gt;"TransfereGOV",
ROUND(OFFSET($P28,0,AQ$13),15-13*ORÇAMENTO!$AF$7)/$H28*OFFSET(ORÇAMENTO!$X$15,ROW(AQ28)-ROW(AQ$15),0),
ROUND(ROUND(OFFSET($P28,0,AQ$13),15-13*ORÇAMENTO!$AF$7)*OFFSET(ORÇAMENTO!$W$15,ROW(AQ28)-ROW(AQ$15),0),15-13*ORÇAMENTO!$AF$11)),0)</f>
        <v>0</v>
      </c>
      <c r="AR28" s="545">
        <f ca="1">IF(AND($D28="Serviço",AR$12&lt;&gt;0,$H28&gt;0,OR(AUTOEVENTO&lt;&gt;"manual",$M28&lt;&gt;1)),
IF(Import.TipoArredondamento&lt;&gt;"TransfereGOV",
ROUND(OFFSET($P28,0,AR$13),15-13*ORÇAMENTO!$AF$7)/$H28*OFFSET(ORÇAMENTO!$X$15,ROW(AR28)-ROW(AR$15),0),
ROUND(ROUND(OFFSET($P28,0,AR$13),15-13*ORÇAMENTO!$AF$7)*OFFSET(ORÇAMENTO!$W$15,ROW(AR28)-ROW(AR$15),0),15-13*ORÇAMENTO!$AF$11)),0)</f>
        <v>0</v>
      </c>
      <c r="AS28" s="546">
        <f ca="1">IF(AND($D28="Serviço",AS$12&lt;&gt;0,$H28&gt;0,OR(AUTOEVENTO&lt;&gt;"manual",$M28&lt;&gt;1)),
IF(Import.TipoArredondamento&lt;&gt;"TransfereGOV",
ROUND(OFFSET($P28,0,AS$13),15-13*ORÇAMENTO!$AF$7)/$H28*OFFSET(ORÇAMENTO!$X$15,ROW(AS28)-ROW(AS$15),0),
ROUND(ROUND(OFFSET($P28,0,AS$13),15-13*ORÇAMENTO!$AF$7)*OFFSET(ORÇAMENTO!$W$15,ROW(AS28)-ROW(AS$15),0),15-13*ORÇAMENTO!$AF$11)),0)</f>
        <v>0</v>
      </c>
      <c r="AT28" s="545">
        <f ca="1">IF(AND($D28="Serviço",AT$12&lt;&gt;0,$H28&gt;0,OR(AUTOEVENTO&lt;&gt;"manual",$M28&lt;&gt;1)),
IF(Import.TipoArredondamento&lt;&gt;"TransfereGOV",
ROUND(OFFSET($P28,0,AT$13),15-13*ORÇAMENTO!$AF$7)/$H28*OFFSET(ORÇAMENTO!$X$15,ROW(AT28)-ROW(AT$15),0),
ROUND(ROUND(OFFSET($P28,0,AT$13),15-13*ORÇAMENTO!$AF$7)*OFFSET(ORÇAMENTO!$W$15,ROW(AT28)-ROW(AT$15),0),15-13*ORÇAMENTO!$AF$11)),0)</f>
        <v>0</v>
      </c>
      <c r="AU28" s="545">
        <f ca="1">IF(AND($D28="Serviço",AU$12&lt;&gt;0,$H28&gt;0,OR(AUTOEVENTO&lt;&gt;"manual",$M28&lt;&gt;1)),
IF(Import.TipoArredondamento&lt;&gt;"TransfereGOV",
ROUND(OFFSET($P28,0,AU$13),15-13*ORÇAMENTO!$AF$7)/$H28*OFFSET(ORÇAMENTO!$X$15,ROW(AU28)-ROW(AU$15),0),
ROUND(ROUND(OFFSET($P28,0,AU$13),15-13*ORÇAMENTO!$AF$7)*OFFSET(ORÇAMENTO!$W$15,ROW(AU28)-ROW(AU$15),0),15-13*ORÇAMENTO!$AF$11)),0)</f>
        <v>0</v>
      </c>
      <c r="AV28" s="545">
        <f ca="1">IF(AND($D28="Serviço",AV$12&lt;&gt;0,$H28&gt;0,OR(AUTOEVENTO&lt;&gt;"manual",$M28&lt;&gt;1)),
IF(Import.TipoArredondamento&lt;&gt;"TransfereGOV",
ROUND(OFFSET($P28,0,AV$13),15-13*ORÇAMENTO!$AF$7)/$H28*OFFSET(ORÇAMENTO!$X$15,ROW(AV28)-ROW(AV$15),0),
ROUND(ROUND(OFFSET($P28,0,AV$13),15-13*ORÇAMENTO!$AF$7)*OFFSET(ORÇAMENTO!$W$15,ROW(AV28)-ROW(AV$15),0),15-13*ORÇAMENTO!$AF$11)),0)</f>
        <v>0</v>
      </c>
      <c r="AW28" s="545">
        <f ca="1">IF(AND($D28="Serviço",AW$12&lt;&gt;0,$H28&gt;0,OR(AUTOEVENTO&lt;&gt;"manual",$M28&lt;&gt;1)),
IF(Import.TipoArredondamento&lt;&gt;"TransfereGOV",
ROUND(OFFSET($P28,0,AW$13),15-13*ORÇAMENTO!$AF$7)/$H28*OFFSET(ORÇAMENTO!$X$15,ROW(AW28)-ROW(AW$15),0),
ROUND(ROUND(OFFSET($P28,0,AW$13),15-13*ORÇAMENTO!$AF$7)*OFFSET(ORÇAMENTO!$W$15,ROW(AW28)-ROW(AW$15),0),15-13*ORÇAMENTO!$AF$11)),0)</f>
        <v>0</v>
      </c>
      <c r="AX28" s="545">
        <f ca="1">IF(AND($D28="Serviço",AX$12&lt;&gt;0,$H28&gt;0,OR(AUTOEVENTO&lt;&gt;"manual",$M28&lt;&gt;1)),
IF(Import.TipoArredondamento&lt;&gt;"TransfereGOV",
ROUND(OFFSET($P28,0,AX$13),15-13*ORÇAMENTO!$AF$7)/$H28*OFFSET(ORÇAMENTO!$X$15,ROW(AX28)-ROW(AX$15),0),
ROUND(ROUND(OFFSET($P28,0,AX$13),15-13*ORÇAMENTO!$AF$7)*OFFSET(ORÇAMENTO!$W$15,ROW(AX28)-ROW(AX$15),0),15-13*ORÇAMENTO!$AF$11)),0)</f>
        <v>0</v>
      </c>
      <c r="AY28" s="545">
        <f ca="1">IF(AND($D28="Serviço",AY$12&lt;&gt;0,$H28&gt;0,OR(AUTOEVENTO&lt;&gt;"manual",$M28&lt;&gt;1)),
IF(Import.TipoArredondamento&lt;&gt;"TransfereGOV",
ROUND(OFFSET($P28,0,AY$13),15-13*ORÇAMENTO!$AF$7)/$H28*OFFSET(ORÇAMENTO!$X$15,ROW(AY28)-ROW(AY$15),0),
ROUND(ROUND(OFFSET($P28,0,AY$13),15-13*ORÇAMENTO!$AF$7)*OFFSET(ORÇAMENTO!$W$15,ROW(AY28)-ROW(AY$15),0),15-13*ORÇAMENTO!$AF$11)),0)</f>
        <v>0</v>
      </c>
      <c r="AZ28" s="545">
        <f ca="1">IF(AND($D28="Serviço",AZ$12&lt;&gt;0,$H28&gt;0,OR(AUTOEVENTO&lt;&gt;"manual",$M28&lt;&gt;1)),
IF(Import.TipoArredondamento&lt;&gt;"TransfereGOV",
ROUND(OFFSET($P28,0,AZ$13),15-13*ORÇAMENTO!$AF$7)/$H28*OFFSET(ORÇAMENTO!$X$15,ROW(AZ28)-ROW(AZ$15),0),
ROUND(ROUND(OFFSET($P28,0,AZ$13),15-13*ORÇAMENTO!$AF$7)*OFFSET(ORÇAMENTO!$W$15,ROW(AZ28)-ROW(AZ$15),0),15-13*ORÇAMENTO!$AF$11)),0)</f>
        <v>0</v>
      </c>
      <c r="BA28" s="546">
        <f ca="1">IF(AND($D28="Serviço",BA$12&lt;&gt;0,$H28&gt;0,OR(AUTOEVENTO&lt;&gt;"manual",$M28&lt;&gt;1)),
IF(Import.TipoArredondamento&lt;&gt;"TransfereGOV",
ROUND(OFFSET($P28,0,BA$13),15-13*ORÇAMENTO!$AF$7)/$H28*OFFSET(ORÇAMENTO!$X$15,ROW(BA28)-ROW(BA$15),0),
ROUND(ROUND(OFFSET($P28,0,BA$13),15-13*ORÇAMENTO!$AF$7)*OFFSET(ORÇAMENTO!$W$15,ROW(BA28)-ROW(BA$15),0),15-13*ORÇAMENTO!$AF$11)),0)</f>
        <v>0</v>
      </c>
      <c r="BC28" s="181">
        <f ca="1">IF($D28&lt;&gt;"Serviço",0,IF(AND(AUTOEVENTO="Manual",$M28=1),0,IF(OFFSET(CRONOPLE!$F$14,$M28,BC$13)="",10^12,OFFSET(CRONOPLE!$F$14,$M28,BC$13))))</f>
        <v>2</v>
      </c>
      <c r="BD28" s="181">
        <f ca="1">IF($D28&lt;&gt;"Serviço",0,IF(AND(AUTOEVENTO="Manual",$M28=1),0,IF(OFFSET(CRONOPLE!$F$14,$M28,BD$13)="",10^12,OFFSET(CRONOPLE!$F$14,$M28,BD$13))))</f>
        <v>1000000000000</v>
      </c>
      <c r="BE28" s="181">
        <f ca="1">IF($D28&lt;&gt;"Serviço",0,IF(AND(AUTOEVENTO="Manual",$M28=1),0,IF(OFFSET(CRONOPLE!$F$14,$M28,BE$13)="",10^12,OFFSET(CRONOPLE!$F$14,$M28,BE$13))))</f>
        <v>1000000000000</v>
      </c>
      <c r="BF28" s="181">
        <f ca="1">IF($D28&lt;&gt;"Serviço",0,IF(AND(AUTOEVENTO="Manual",$M28=1),0,IF(OFFSET(CRONOPLE!$F$14,$M28,BF$13)="",10^12,OFFSET(CRONOPLE!$F$14,$M28,BF$13))))</f>
        <v>1000000000000</v>
      </c>
      <c r="BG28" s="181">
        <f ca="1">IF($D28&lt;&gt;"Serviço",0,IF(AND(AUTOEVENTO="Manual",$M28=1),0,IF(OFFSET(CRONOPLE!$F$14,$M28,BG$13)="",10^12,OFFSET(CRONOPLE!$F$14,$M28,BG$13))))</f>
        <v>1000000000000</v>
      </c>
      <c r="BH28" s="181">
        <f ca="1">IF($D28&lt;&gt;"Serviço",0,IF(AND(AUTOEVENTO="Manual",$M28=1),0,IF(OFFSET(CRONOPLE!$F$14,$M28,BH$13)="",10^12,OFFSET(CRONOPLE!$F$14,$M28,BH$13))))</f>
        <v>1000000000000</v>
      </c>
      <c r="BI28" s="181">
        <f ca="1">IF($D28&lt;&gt;"Serviço",0,IF(AND(AUTOEVENTO="Manual",$M28=1),0,IF(OFFSET(CRONOPLE!$F$14,$M28,BI$13)="",10^12,OFFSET(CRONOPLE!$F$14,$M28,BI$13))))</f>
        <v>1000000000000</v>
      </c>
      <c r="BJ28" s="181">
        <f ca="1">IF($D28&lt;&gt;"Serviço",0,IF(AND(AUTOEVENTO="Manual",$M28=1),0,IF(OFFSET(CRONOPLE!$F$14,$M28,BJ$13)="",10^12,OFFSET(CRONOPLE!$F$14,$M28,BJ$13))))</f>
        <v>1000000000000</v>
      </c>
      <c r="BK28" s="181">
        <f ca="1">IF($D28&lt;&gt;"Serviço",0,IF(AND(AUTOEVENTO="Manual",$M28=1),0,IF(OFFSET(CRONOPLE!$F$14,$M28,BK$13)="",10^12,OFFSET(CRONOPLE!$F$14,$M28,BK$13))))</f>
        <v>1000000000000</v>
      </c>
      <c r="BL28" s="181">
        <f ca="1">IF($D28&lt;&gt;"Serviço",0,IF(AND(AUTOEVENTO="Manual",$M28=1),0,IF(OFFSET(CRONOPLE!$F$14,$M28,BL$13)="",10^12,OFFSET(CRONOPLE!$F$14,$M28,BL$13))))</f>
        <v>1000000000000</v>
      </c>
      <c r="BM28" s="181">
        <f ca="1">IF($D28&lt;&gt;"Serviço",0,IF(AND(AUTOEVENTO="Manual",$M28=1),0,IF(OFFSET(CRONOPLE!$F$14,$M28,BM$13)="",10^12,OFFSET(CRONOPLE!$F$14,$M28,BM$13))))</f>
        <v>1000000000000</v>
      </c>
      <c r="BN28" s="181">
        <f ca="1">IF($D28&lt;&gt;"Serviço",0,IF(AND(AUTOEVENTO="Manual",$M28=1),0,IF(OFFSET(CRONOPLE!$F$14,$M28,BN$13)="",10^12,OFFSET(CRONOPLE!$F$14,$M28,BN$13))))</f>
        <v>1000000000000</v>
      </c>
      <c r="BO28" s="181">
        <f ca="1">IF($D28&lt;&gt;"Serviço",0,IF(AND(AUTOEVENTO="Manual",$M28=1),0,IF(OFFSET(CRONOPLE!$F$14,$M28,BO$13)="",10^12,OFFSET(CRONOPLE!$F$14,$M28,BO$13))))</f>
        <v>1000000000000</v>
      </c>
      <c r="BP28" s="181">
        <f ca="1">IF($D28&lt;&gt;"Serviço",0,IF(AND(AUTOEVENTO="Manual",$M28=1),0,IF(OFFSET(CRONOPLE!$F$14,$M28,BP$13)="",10^12,OFFSET(CRONOPLE!$F$14,$M28,BP$13))))</f>
        <v>1000000000000</v>
      </c>
      <c r="BQ28" s="181">
        <f ca="1">IF($D28&lt;&gt;"Serviço",0,IF(AND(AUTOEVENTO="Manual",$M28=1),0,IF(OFFSET(CRONOPLE!$F$14,$M28,BQ$13)="",10^12,OFFSET(CRONOPLE!$F$14,$M28,BQ$13))))</f>
        <v>1000000000000</v>
      </c>
      <c r="BR28" s="181">
        <f ca="1">IF($D28&lt;&gt;"Serviço",0,IF(AND(AUTOEVENTO="Manual",$M28=1),0,IF(OFFSET(CRONOPLE!$F$14,$M28,BR$13)="",10^12,OFFSET(CRONOPLE!$F$14,$M28,BR$13))))</f>
        <v>1000000000000</v>
      </c>
      <c r="BS28" s="181">
        <f ca="1">IF($D28&lt;&gt;"Serviço",0,IF(AND(AUTOEVENTO="Manual",$M28=1),0,IF(OFFSET(CRONOPLE!$F$14,$M28,BS$13)="",10^12,OFFSET(CRONOPLE!$F$14,$M28,BS$13))))</f>
        <v>1000000000000</v>
      </c>
      <c r="BT28" s="181">
        <f ca="1">IF($D28&lt;&gt;"Serviço",0,IF(AND(AUTOEVENTO="Manual",$M28=1),0,IF(OFFSET(CRONOPLE!$F$14,$M28,BT$13)="",10^12,OFFSET(CRONOPLE!$F$14,$M28,BT$13))))</f>
        <v>1000000000000</v>
      </c>
      <c r="BV28" s="182">
        <f ca="1">IF($D28&lt;&gt;"Serviço",0,IF(OR(AND(AUTOEVENTO="Manual",$M28=1),$M28&gt;(ROW(PLE.lastrow)-ROW(PLE.firstrow))),0,IF(OFFSET(PLE!$G$14,$M28,BV$13)="",10^12,OFFSET(PLE!$G$14,$M28,BV$13))))</f>
        <v>1000000000000</v>
      </c>
      <c r="BW28" s="182">
        <f ca="1">IF($D28&lt;&gt;"Serviço",0,IF(OR(AND(AUTOEVENTO="Manual",$M28=1),$M28&gt;(ROW(PLE.lastrow)-ROW(PLE.firstrow))),0,IF(OFFSET(PLE!$G$14,$M28,BW$13)="",10^12,OFFSET(PLE!$G$14,$M28,BW$13))))</f>
        <v>1000000000000</v>
      </c>
      <c r="BX28" s="182">
        <f ca="1">IF($D28&lt;&gt;"Serviço",0,IF(OR(AND(AUTOEVENTO="Manual",$M28=1),$M28&gt;(ROW(PLE.lastrow)-ROW(PLE.firstrow))),0,IF(OFFSET(PLE!$G$14,$M28,BX$13)="",10^12,OFFSET(PLE!$G$14,$M28,BX$13))))</f>
        <v>1000000000000</v>
      </c>
      <c r="BY28" s="182">
        <f ca="1">IF($D28&lt;&gt;"Serviço",0,IF(OR(AND(AUTOEVENTO="Manual",$M28=1),$M28&gt;(ROW(PLE.lastrow)-ROW(PLE.firstrow))),0,IF(OFFSET(PLE!$G$14,$M28,BY$13)="",10^12,OFFSET(PLE!$G$14,$M28,BY$13))))</f>
        <v>1000000000000</v>
      </c>
      <c r="BZ28" s="182">
        <f ca="1">IF($D28&lt;&gt;"Serviço",0,IF(OR(AND(AUTOEVENTO="Manual",$M28=1),$M28&gt;(ROW(PLE.lastrow)-ROW(PLE.firstrow))),0,IF(OFFSET(PLE!$G$14,$M28,BZ$13)="",10^12,OFFSET(PLE!$G$14,$M28,BZ$13))))</f>
        <v>1000000000000</v>
      </c>
      <c r="CA28" s="182">
        <f ca="1">IF($D28&lt;&gt;"Serviço",0,IF(OR(AND(AUTOEVENTO="Manual",$M28=1),$M28&gt;(ROW(PLE.lastrow)-ROW(PLE.firstrow))),0,IF(OFFSET(PLE!$G$14,$M28,CA$13)="",10^12,OFFSET(PLE!$G$14,$M28,CA$13))))</f>
        <v>1000000000000</v>
      </c>
      <c r="CB28" s="182">
        <f ca="1">IF($D28&lt;&gt;"Serviço",0,IF(OR(AND(AUTOEVENTO="Manual",$M28=1),$M28&gt;(ROW(PLE.lastrow)-ROW(PLE.firstrow))),0,IF(OFFSET(PLE!$G$14,$M28,CB$13)="",10^12,OFFSET(PLE!$G$14,$M28,CB$13))))</f>
        <v>1000000000000</v>
      </c>
      <c r="CC28" s="182">
        <f ca="1">IF($D28&lt;&gt;"Serviço",0,IF(OR(AND(AUTOEVENTO="Manual",$M28=1),$M28&gt;(ROW(PLE.lastrow)-ROW(PLE.firstrow))),0,IF(OFFSET(PLE!$G$14,$M28,CC$13)="",10^12,OFFSET(PLE!$G$14,$M28,CC$13))))</f>
        <v>1000000000000</v>
      </c>
      <c r="CD28" s="182">
        <f ca="1">IF($D28&lt;&gt;"Serviço",0,IF(OR(AND(AUTOEVENTO="Manual",$M28=1),$M28&gt;(ROW(PLE.lastrow)-ROW(PLE.firstrow))),0,IF(OFFSET(PLE!$G$14,$M28,CD$13)="",10^12,OFFSET(PLE!$G$14,$M28,CD$13))))</f>
        <v>1000000000000</v>
      </c>
      <c r="CE28" s="182">
        <f ca="1">IF($D28&lt;&gt;"Serviço",0,IF(OR(AND(AUTOEVENTO="Manual",$M28=1),$M28&gt;(ROW(PLE.lastrow)-ROW(PLE.firstrow))),0,IF(OFFSET(PLE!$G$14,$M28,CE$13)="",10^12,OFFSET(PLE!$G$14,$M28,CE$13))))</f>
        <v>1000000000000</v>
      </c>
      <c r="CF28" s="182">
        <f ca="1">IF($D28&lt;&gt;"Serviço",0,IF(OR(AND(AUTOEVENTO="Manual",$M28=1),$M28&gt;(ROW(PLE.lastrow)-ROW(PLE.firstrow))),0,IF(OFFSET(PLE!$G$14,$M28,CF$13)="",10^12,OFFSET(PLE!$G$14,$M28,CF$13))))</f>
        <v>1000000000000</v>
      </c>
      <c r="CG28" s="182">
        <f ca="1">IF($D28&lt;&gt;"Serviço",0,IF(OR(AND(AUTOEVENTO="Manual",$M28=1),$M28&gt;(ROW(PLE.lastrow)-ROW(PLE.firstrow))),0,IF(OFFSET(PLE!$G$14,$M28,CG$13)="",10^12,OFFSET(PLE!$G$14,$M28,CG$13))))</f>
        <v>1000000000000</v>
      </c>
      <c r="CH28" s="182">
        <f ca="1">IF($D28&lt;&gt;"Serviço",0,IF(OR(AND(AUTOEVENTO="Manual",$M28=1),$M28&gt;(ROW(PLE.lastrow)-ROW(PLE.firstrow))),0,IF(OFFSET(PLE!$G$14,$M28,CH$13)="",10^12,OFFSET(PLE!$G$14,$M28,CH$13))))</f>
        <v>1000000000000</v>
      </c>
      <c r="CI28" s="182">
        <f ca="1">IF($D28&lt;&gt;"Serviço",0,IF(OR(AND(AUTOEVENTO="Manual",$M28=1),$M28&gt;(ROW(PLE.lastrow)-ROW(PLE.firstrow))),0,IF(OFFSET(PLE!$G$14,$M28,CI$13)="",10^12,OFFSET(PLE!$G$14,$M28,CI$13))))</f>
        <v>1000000000000</v>
      </c>
      <c r="CJ28" s="182">
        <f ca="1">IF($D28&lt;&gt;"Serviço",0,IF(OR(AND(AUTOEVENTO="Manual",$M28=1),$M28&gt;(ROW(PLE.lastrow)-ROW(PLE.firstrow))),0,IF(OFFSET(PLE!$G$14,$M28,CJ$13)="",10^12,OFFSET(PLE!$G$14,$M28,CJ$13))))</f>
        <v>1000000000000</v>
      </c>
      <c r="CK28" s="182">
        <f ca="1">IF($D28&lt;&gt;"Serviço",0,IF(OR(AND(AUTOEVENTO="Manual",$M28=1),$M28&gt;(ROW(PLE.lastrow)-ROW(PLE.firstrow))),0,IF(OFFSET(PLE!$G$14,$M28,CK$13)="",10^12,OFFSET(PLE!$G$14,$M28,CK$13))))</f>
        <v>1000000000000</v>
      </c>
      <c r="CL28" s="182">
        <f ca="1">IF($D28&lt;&gt;"Serviço",0,IF(OR(AND(AUTOEVENTO="Manual",$M28=1),$M28&gt;(ROW(PLE.lastrow)-ROW(PLE.firstrow))),0,IF(OFFSET(PLE!$G$14,$M28,CL$13)="",10^12,OFFSET(PLE!$G$14,$M28,CL$13))))</f>
        <v>1000000000000</v>
      </c>
      <c r="CM28" s="182">
        <f ca="1">IF($D28&lt;&gt;"Serviço",0,IF(OR(AND(AUTOEVENTO="Manual",$M28=1),$M28&gt;(ROW(PLE.lastrow)-ROW(PLE.firstrow))),0,IF(OFFSET(PLE!$G$14,$M28,CM$13)="",10^12,OFFSET(PLE!$G$14,$M28,CM$13))))</f>
        <v>1000000000000</v>
      </c>
    </row>
    <row r="29" spans="1:91" ht="12.75" x14ac:dyDescent="0.2">
      <c r="A29" s="7" t="str">
        <f t="shared" ca="1" si="9"/>
        <v>14.</v>
      </c>
      <c r="B29" s="7">
        <f ca="1">OFFSET(ORÇAMENTO!C$15,ROW(B29)-ROW(B$15),0)</f>
        <v>2</v>
      </c>
      <c r="C29" s="7" t="str">
        <f ca="1">OFFSET(ORÇAMENTO!L$15,ROW(C29)-ROW(C$15),0)</f>
        <v>F</v>
      </c>
      <c r="D29" s="118" t="str">
        <f ca="1">OFFSET(ORÇAMENTO!N$15,ROW(D29)-ROW(D$15),0)</f>
        <v>Nível 2</v>
      </c>
      <c r="E29" s="119" t="str">
        <f ca="1">OFFSET(ORÇAMENTO!O$15,ROW(E29)-ROW(E$15),0)</f>
        <v>1.4.</v>
      </c>
      <c r="F29" s="172" t="str">
        <f ca="1">OFFSET(ORÇAMENTO!R$15,ROW(F29)-ROW(F$15),0)</f>
        <v>MOVIMENTO DE TERRA PARA FUNDAÇÕES</v>
      </c>
      <c r="G29" s="173" t="str">
        <f ca="1">IF($D29&lt;&gt;"Serviço","",OFFSET(ORÇAMENTO!S$15,ROW(G29)-ROW(G$15),0))</f>
        <v/>
      </c>
      <c r="H29" s="124">
        <f ca="1">IF($D29&lt;&gt;"Serviço",0,IF(ACOMPANHAMENTO="BM",ROUND(OFFSET(ORÇAMENTO!AJ$15,ROW(H29)-ROW(H$15),0),15-13*ORÇAMENTO!$AF$7),SUMPRODUCT(($Q$12:$AI$12&lt;&gt;"")*ROUND($Q29:$AI29,15-13*ORÇAMENTO!$AF$7))))</f>
        <v>0</v>
      </c>
      <c r="I29" s="561"/>
      <c r="K29" s="174"/>
      <c r="L29" s="175" t="s">
        <v>255</v>
      </c>
      <c r="M29" s="176" t="str">
        <f ca="1">IF($D29&lt;&gt;"Serviço","",IF(AUTOEVENTO="manual",$A29,IF(ISERROR(MATCH($A29,$A$15:OFFSET($A29,-1,0),0)),MAX($M$15:OFFSET(M29,-1,0))+1,INDEX($M$15:OFFSET(M29,-1,0),MATCH($A29,$A$15:OFFSET($A29,-1,0),0)))))</f>
        <v/>
      </c>
      <c r="N29" s="177" t="str">
        <f ca="1">IF($D29&lt;&gt;"Serviço","",IF(AUTOEVENTO="Manual",IF($A29=0,"&lt;-- defina o número do agrupador",OFFSET(EVENTOS!$D$14,$A29,0)),OFFSET($F$15,$A29,0)))</f>
        <v/>
      </c>
      <c r="O29" s="178"/>
      <c r="Q29" s="178">
        <v>0</v>
      </c>
      <c r="R29" s="179"/>
      <c r="S29" s="179"/>
      <c r="T29" s="179"/>
      <c r="U29" s="179"/>
      <c r="V29" s="179"/>
      <c r="W29" s="179"/>
      <c r="X29" s="179"/>
      <c r="Y29" s="179"/>
      <c r="Z29" s="180"/>
      <c r="AA29" s="179"/>
      <c r="AB29" s="179"/>
      <c r="AC29" s="179"/>
      <c r="AD29" s="179"/>
      <c r="AE29" s="179"/>
      <c r="AF29" s="179"/>
      <c r="AG29" s="179"/>
      <c r="AH29" s="180"/>
      <c r="AJ29" s="544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5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L29" s="545">
        <f ca="1">IF(AND($D29="Serviço",AL$12&lt;&gt;0,$H29&gt;0,OR(AUTOEVENTO&lt;&gt;"manual",$M29&lt;&gt;1)),
IF(Import.TipoArredondamento&lt;&gt;"TransfereGOV",
ROUND(OFFSET($P29,0,AL$13),15-13*ORÇAMENTO!$AF$7)/$H29*OFFSET(ORÇAMENTO!$X$15,ROW(AL29)-ROW(AL$15),0),
ROUND(ROUND(OFFSET($P29,0,AL$13),15-13*ORÇAMENTO!$AF$7)*OFFSET(ORÇAMENTO!$W$15,ROW(AL29)-ROW(AL$15),0),15-13*ORÇAMENTO!$AF$11)),0)</f>
        <v>0</v>
      </c>
      <c r="AM29" s="545">
        <f ca="1">IF(AND($D29="Serviço",AM$12&lt;&gt;0,$H29&gt;0,OR(AUTOEVENTO&lt;&gt;"manual",$M29&lt;&gt;1)),
IF(Import.TipoArredondamento&lt;&gt;"TransfereGOV",
ROUND(OFFSET($P29,0,AM$13),15-13*ORÇAMENTO!$AF$7)/$H29*OFFSET(ORÇAMENTO!$X$15,ROW(AM29)-ROW(AM$15),0),
ROUND(ROUND(OFFSET($P29,0,AM$13),15-13*ORÇAMENTO!$AF$7)*OFFSET(ORÇAMENTO!$W$15,ROW(AM29)-ROW(AM$15),0),15-13*ORÇAMENTO!$AF$11)),0)</f>
        <v>0</v>
      </c>
      <c r="AN29" s="545">
        <f ca="1">IF(AND($D29="Serviço",AN$12&lt;&gt;0,$H29&gt;0,OR(AUTOEVENTO&lt;&gt;"manual",$M29&lt;&gt;1)),
IF(Import.TipoArredondamento&lt;&gt;"TransfereGOV",
ROUND(OFFSET($P29,0,AN$13),15-13*ORÇAMENTO!$AF$7)/$H29*OFFSET(ORÇAMENTO!$X$15,ROW(AN29)-ROW(AN$15),0),
ROUND(ROUND(OFFSET($P29,0,AN$13),15-13*ORÇAMENTO!$AF$7)*OFFSET(ORÇAMENTO!$W$15,ROW(AN29)-ROW(AN$15),0),15-13*ORÇAMENTO!$AF$11)),0)</f>
        <v>0</v>
      </c>
      <c r="AO29" s="545">
        <f ca="1">IF(AND($D29="Serviço",AO$12&lt;&gt;0,$H29&gt;0,OR(AUTOEVENTO&lt;&gt;"manual",$M29&lt;&gt;1)),
IF(Import.TipoArredondamento&lt;&gt;"TransfereGOV",
ROUND(OFFSET($P29,0,AO$13),15-13*ORÇAMENTO!$AF$7)/$H29*OFFSET(ORÇAMENTO!$X$15,ROW(AO29)-ROW(AO$15),0),
ROUND(ROUND(OFFSET($P29,0,AO$13),15-13*ORÇAMENTO!$AF$7)*OFFSET(ORÇAMENTO!$W$15,ROW(AO29)-ROW(AO$15),0),15-13*ORÇAMENTO!$AF$11)),0)</f>
        <v>0</v>
      </c>
      <c r="AP29" s="545">
        <f ca="1">IF(AND($D29="Serviço",AP$12&lt;&gt;0,$H29&gt;0,OR(AUTOEVENTO&lt;&gt;"manual",$M29&lt;&gt;1)),
IF(Import.TipoArredondamento&lt;&gt;"TransfereGOV",
ROUND(OFFSET($P29,0,AP$13),15-13*ORÇAMENTO!$AF$7)/$H29*OFFSET(ORÇAMENTO!$X$15,ROW(AP29)-ROW(AP$15),0),
ROUND(ROUND(OFFSET($P29,0,AP$13),15-13*ORÇAMENTO!$AF$7)*OFFSET(ORÇAMENTO!$W$15,ROW(AP29)-ROW(AP$15),0),15-13*ORÇAMENTO!$AF$11)),0)</f>
        <v>0</v>
      </c>
      <c r="AQ29" s="545">
        <f ca="1">IF(AND($D29="Serviço",AQ$12&lt;&gt;0,$H29&gt;0,OR(AUTOEVENTO&lt;&gt;"manual",$M29&lt;&gt;1)),
IF(Import.TipoArredondamento&lt;&gt;"TransfereGOV",
ROUND(OFFSET($P29,0,AQ$13),15-13*ORÇAMENTO!$AF$7)/$H29*OFFSET(ORÇAMENTO!$X$15,ROW(AQ29)-ROW(AQ$15),0),
ROUND(ROUND(OFFSET($P29,0,AQ$13),15-13*ORÇAMENTO!$AF$7)*OFFSET(ORÇAMENTO!$W$15,ROW(AQ29)-ROW(AQ$15),0),15-13*ORÇAMENTO!$AF$11)),0)</f>
        <v>0</v>
      </c>
      <c r="AR29" s="545">
        <f ca="1">IF(AND($D29="Serviço",AR$12&lt;&gt;0,$H29&gt;0,OR(AUTOEVENTO&lt;&gt;"manual",$M29&lt;&gt;1)),
IF(Import.TipoArredondamento&lt;&gt;"TransfereGOV",
ROUND(OFFSET($P29,0,AR$13),15-13*ORÇAMENTO!$AF$7)/$H29*OFFSET(ORÇAMENTO!$X$15,ROW(AR29)-ROW(AR$15),0),
ROUND(ROUND(OFFSET($P29,0,AR$13),15-13*ORÇAMENTO!$AF$7)*OFFSET(ORÇAMENTO!$W$15,ROW(AR29)-ROW(AR$15),0),15-13*ORÇAMENTO!$AF$11)),0)</f>
        <v>0</v>
      </c>
      <c r="AS29" s="546">
        <f ca="1">IF(AND($D29="Serviço",AS$12&lt;&gt;0,$H29&gt;0,OR(AUTOEVENTO&lt;&gt;"manual",$M29&lt;&gt;1)),
IF(Import.TipoArredondamento&lt;&gt;"TransfereGOV",
ROUND(OFFSET($P29,0,AS$13),15-13*ORÇAMENTO!$AF$7)/$H29*OFFSET(ORÇAMENTO!$X$15,ROW(AS29)-ROW(AS$15),0),
ROUND(ROUND(OFFSET($P29,0,AS$13),15-13*ORÇAMENTO!$AF$7)*OFFSET(ORÇAMENTO!$W$15,ROW(AS29)-ROW(AS$15),0),15-13*ORÇAMENTO!$AF$11)),0)</f>
        <v>0</v>
      </c>
      <c r="AT29" s="545">
        <f ca="1">IF(AND($D29="Serviço",AT$12&lt;&gt;0,$H29&gt;0,OR(AUTOEVENTO&lt;&gt;"manual",$M29&lt;&gt;1)),
IF(Import.TipoArredondamento&lt;&gt;"TransfereGOV",
ROUND(OFFSET($P29,0,AT$13),15-13*ORÇAMENTO!$AF$7)/$H29*OFFSET(ORÇAMENTO!$X$15,ROW(AT29)-ROW(AT$15),0),
ROUND(ROUND(OFFSET($P29,0,AT$13),15-13*ORÇAMENTO!$AF$7)*OFFSET(ORÇAMENTO!$W$15,ROW(AT29)-ROW(AT$15),0),15-13*ORÇAMENTO!$AF$11)),0)</f>
        <v>0</v>
      </c>
      <c r="AU29" s="545">
        <f ca="1">IF(AND($D29="Serviço",AU$12&lt;&gt;0,$H29&gt;0,OR(AUTOEVENTO&lt;&gt;"manual",$M29&lt;&gt;1)),
IF(Import.TipoArredondamento&lt;&gt;"TransfereGOV",
ROUND(OFFSET($P29,0,AU$13),15-13*ORÇAMENTO!$AF$7)/$H29*OFFSET(ORÇAMENTO!$X$15,ROW(AU29)-ROW(AU$15),0),
ROUND(ROUND(OFFSET($P29,0,AU$13),15-13*ORÇAMENTO!$AF$7)*OFFSET(ORÇAMENTO!$W$15,ROW(AU29)-ROW(AU$15),0),15-13*ORÇAMENTO!$AF$11)),0)</f>
        <v>0</v>
      </c>
      <c r="AV29" s="545">
        <f ca="1">IF(AND($D29="Serviço",AV$12&lt;&gt;0,$H29&gt;0,OR(AUTOEVENTO&lt;&gt;"manual",$M29&lt;&gt;1)),
IF(Import.TipoArredondamento&lt;&gt;"TransfereGOV",
ROUND(OFFSET($P29,0,AV$13),15-13*ORÇAMENTO!$AF$7)/$H29*OFFSET(ORÇAMENTO!$X$15,ROW(AV29)-ROW(AV$15),0),
ROUND(ROUND(OFFSET($P29,0,AV$13),15-13*ORÇAMENTO!$AF$7)*OFFSET(ORÇAMENTO!$W$15,ROW(AV29)-ROW(AV$15),0),15-13*ORÇAMENTO!$AF$11)),0)</f>
        <v>0</v>
      </c>
      <c r="AW29" s="545">
        <f ca="1">IF(AND($D29="Serviço",AW$12&lt;&gt;0,$H29&gt;0,OR(AUTOEVENTO&lt;&gt;"manual",$M29&lt;&gt;1)),
IF(Import.TipoArredondamento&lt;&gt;"TransfereGOV",
ROUND(OFFSET($P29,0,AW$13),15-13*ORÇAMENTO!$AF$7)/$H29*OFFSET(ORÇAMENTO!$X$15,ROW(AW29)-ROW(AW$15),0),
ROUND(ROUND(OFFSET($P29,0,AW$13),15-13*ORÇAMENTO!$AF$7)*OFFSET(ORÇAMENTO!$W$15,ROW(AW29)-ROW(AW$15),0),15-13*ORÇAMENTO!$AF$11)),0)</f>
        <v>0</v>
      </c>
      <c r="AX29" s="545">
        <f ca="1">IF(AND($D29="Serviço",AX$12&lt;&gt;0,$H29&gt;0,OR(AUTOEVENTO&lt;&gt;"manual",$M29&lt;&gt;1)),
IF(Import.TipoArredondamento&lt;&gt;"TransfereGOV",
ROUND(OFFSET($P29,0,AX$13),15-13*ORÇAMENTO!$AF$7)/$H29*OFFSET(ORÇAMENTO!$X$15,ROW(AX29)-ROW(AX$15),0),
ROUND(ROUND(OFFSET($P29,0,AX$13),15-13*ORÇAMENTO!$AF$7)*OFFSET(ORÇAMENTO!$W$15,ROW(AX29)-ROW(AX$15),0),15-13*ORÇAMENTO!$AF$11)),0)</f>
        <v>0</v>
      </c>
      <c r="AY29" s="545">
        <f ca="1">IF(AND($D29="Serviço",AY$12&lt;&gt;0,$H29&gt;0,OR(AUTOEVENTO&lt;&gt;"manual",$M29&lt;&gt;1)),
IF(Import.TipoArredondamento&lt;&gt;"TransfereGOV",
ROUND(OFFSET($P29,0,AY$13),15-13*ORÇAMENTO!$AF$7)/$H29*OFFSET(ORÇAMENTO!$X$15,ROW(AY29)-ROW(AY$15),0),
ROUND(ROUND(OFFSET($P29,0,AY$13),15-13*ORÇAMENTO!$AF$7)*OFFSET(ORÇAMENTO!$W$15,ROW(AY29)-ROW(AY$15),0),15-13*ORÇAMENTO!$AF$11)),0)</f>
        <v>0</v>
      </c>
      <c r="AZ29" s="545">
        <f ca="1">IF(AND($D29="Serviço",AZ$12&lt;&gt;0,$H29&gt;0,OR(AUTOEVENTO&lt;&gt;"manual",$M29&lt;&gt;1)),
IF(Import.TipoArredondamento&lt;&gt;"TransfereGOV",
ROUND(OFFSET($P29,0,AZ$13),15-13*ORÇAMENTO!$AF$7)/$H29*OFFSET(ORÇAMENTO!$X$15,ROW(AZ29)-ROW(AZ$15),0),
ROUND(ROUND(OFFSET($P29,0,AZ$13),15-13*ORÇAMENTO!$AF$7)*OFFSET(ORÇAMENTO!$W$15,ROW(AZ29)-ROW(AZ$15),0),15-13*ORÇAMENTO!$AF$11)),0)</f>
        <v>0</v>
      </c>
      <c r="BA29" s="546">
        <f ca="1">IF(AND($D29="Serviço",BA$12&lt;&gt;0,$H29&gt;0,OR(AUTOEVENTO&lt;&gt;"manual",$M29&lt;&gt;1)),
IF(Import.TipoArredondamento&lt;&gt;"TransfereGOV",
ROUND(OFFSET($P29,0,BA$13),15-13*ORÇAMENTO!$AF$7)/$H29*OFFSET(ORÇAMENTO!$X$15,ROW(BA29)-ROW(BA$15),0),
ROUND(ROUND(OFFSET($P29,0,BA$13),15-13*ORÇAMENTO!$AF$7)*OFFSET(ORÇAMENTO!$W$15,ROW(BA29)-ROW(BA$15),0),15-13*ORÇAMENTO!$AF$11)),0)</f>
        <v>0</v>
      </c>
      <c r="BC29" s="181">
        <f ca="1">IF($D29&lt;&gt;"Serviço",0,IF(AND(AUTOEVENTO="Manual",$M29=1),0,IF(OFFSET(CRONOPLE!$F$14,$M29,BC$13)="",10^12,OFFSET(CRONOPLE!$F$14,$M29,BC$13))))</f>
        <v>0</v>
      </c>
      <c r="BD29" s="181">
        <f ca="1">IF($D29&lt;&gt;"Serviço",0,IF(AND(AUTOEVENTO="Manual",$M29=1),0,IF(OFFSET(CRONOPLE!$F$14,$M29,BD$13)="",10^12,OFFSET(CRONOPLE!$F$14,$M29,BD$13))))</f>
        <v>0</v>
      </c>
      <c r="BE29" s="181">
        <f ca="1">IF($D29&lt;&gt;"Serviço",0,IF(AND(AUTOEVENTO="Manual",$M29=1),0,IF(OFFSET(CRONOPLE!$F$14,$M29,BE$13)="",10^12,OFFSET(CRONOPLE!$F$14,$M29,BE$13))))</f>
        <v>0</v>
      </c>
      <c r="BF29" s="181">
        <f ca="1">IF($D29&lt;&gt;"Serviço",0,IF(AND(AUTOEVENTO="Manual",$M29=1),0,IF(OFFSET(CRONOPLE!$F$14,$M29,BF$13)="",10^12,OFFSET(CRONOPLE!$F$14,$M29,BF$13))))</f>
        <v>0</v>
      </c>
      <c r="BG29" s="181">
        <f ca="1">IF($D29&lt;&gt;"Serviço",0,IF(AND(AUTOEVENTO="Manual",$M29=1),0,IF(OFFSET(CRONOPLE!$F$14,$M29,BG$13)="",10^12,OFFSET(CRONOPLE!$F$14,$M29,BG$13))))</f>
        <v>0</v>
      </c>
      <c r="BH29" s="181">
        <f ca="1">IF($D29&lt;&gt;"Serviço",0,IF(AND(AUTOEVENTO="Manual",$M29=1),0,IF(OFFSET(CRONOPLE!$F$14,$M29,BH$13)="",10^12,OFFSET(CRONOPLE!$F$14,$M29,BH$13))))</f>
        <v>0</v>
      </c>
      <c r="BI29" s="181">
        <f ca="1">IF($D29&lt;&gt;"Serviço",0,IF(AND(AUTOEVENTO="Manual",$M29=1),0,IF(OFFSET(CRONOPLE!$F$14,$M29,BI$13)="",10^12,OFFSET(CRONOPLE!$F$14,$M29,BI$13))))</f>
        <v>0</v>
      </c>
      <c r="BJ29" s="181">
        <f ca="1">IF($D29&lt;&gt;"Serviço",0,IF(AND(AUTOEVENTO="Manual",$M29=1),0,IF(OFFSET(CRONOPLE!$F$14,$M29,BJ$13)="",10^12,OFFSET(CRONOPLE!$F$14,$M29,BJ$13))))</f>
        <v>0</v>
      </c>
      <c r="BK29" s="181">
        <f ca="1">IF($D29&lt;&gt;"Serviço",0,IF(AND(AUTOEVENTO="Manual",$M29=1),0,IF(OFFSET(CRONOPLE!$F$14,$M29,BK$13)="",10^12,OFFSET(CRONOPLE!$F$14,$M29,BK$13))))</f>
        <v>0</v>
      </c>
      <c r="BL29" s="181">
        <f ca="1">IF($D29&lt;&gt;"Serviço",0,IF(AND(AUTOEVENTO="Manual",$M29=1),0,IF(OFFSET(CRONOPLE!$F$14,$M29,BL$13)="",10^12,OFFSET(CRONOPLE!$F$14,$M29,BL$13))))</f>
        <v>0</v>
      </c>
      <c r="BM29" s="181">
        <f ca="1">IF($D29&lt;&gt;"Serviço",0,IF(AND(AUTOEVENTO="Manual",$M29=1),0,IF(OFFSET(CRONOPLE!$F$14,$M29,BM$13)="",10^12,OFFSET(CRONOPLE!$F$14,$M29,BM$13))))</f>
        <v>0</v>
      </c>
      <c r="BN29" s="181">
        <f ca="1">IF($D29&lt;&gt;"Serviço",0,IF(AND(AUTOEVENTO="Manual",$M29=1),0,IF(OFFSET(CRONOPLE!$F$14,$M29,BN$13)="",10^12,OFFSET(CRONOPLE!$F$14,$M29,BN$13))))</f>
        <v>0</v>
      </c>
      <c r="BO29" s="181">
        <f ca="1">IF($D29&lt;&gt;"Serviço",0,IF(AND(AUTOEVENTO="Manual",$M29=1),0,IF(OFFSET(CRONOPLE!$F$14,$M29,BO$13)="",10^12,OFFSET(CRONOPLE!$F$14,$M29,BO$13))))</f>
        <v>0</v>
      </c>
      <c r="BP29" s="181">
        <f ca="1">IF($D29&lt;&gt;"Serviço",0,IF(AND(AUTOEVENTO="Manual",$M29=1),0,IF(OFFSET(CRONOPLE!$F$14,$M29,BP$13)="",10^12,OFFSET(CRONOPLE!$F$14,$M29,BP$13))))</f>
        <v>0</v>
      </c>
      <c r="BQ29" s="181">
        <f ca="1">IF($D29&lt;&gt;"Serviço",0,IF(AND(AUTOEVENTO="Manual",$M29=1),0,IF(OFFSET(CRONOPLE!$F$14,$M29,BQ$13)="",10^12,OFFSET(CRONOPLE!$F$14,$M29,BQ$13))))</f>
        <v>0</v>
      </c>
      <c r="BR29" s="181">
        <f ca="1">IF($D29&lt;&gt;"Serviço",0,IF(AND(AUTOEVENTO="Manual",$M29=1),0,IF(OFFSET(CRONOPLE!$F$14,$M29,BR$13)="",10^12,OFFSET(CRONOPLE!$F$14,$M29,BR$13))))</f>
        <v>0</v>
      </c>
      <c r="BS29" s="181">
        <f ca="1">IF($D29&lt;&gt;"Serviço",0,IF(AND(AUTOEVENTO="Manual",$M29=1),0,IF(OFFSET(CRONOPLE!$F$14,$M29,BS$13)="",10^12,OFFSET(CRONOPLE!$F$14,$M29,BS$13))))</f>
        <v>0</v>
      </c>
      <c r="BT29" s="181">
        <f ca="1">IF($D29&lt;&gt;"Serviço",0,IF(AND(AUTOEVENTO="Manual",$M29=1),0,IF(OFFSET(CRONOPLE!$F$14,$M29,BT$13)="",10^12,OFFSET(CRONOPLE!$F$14,$M29,BT$13))))</f>
        <v>0</v>
      </c>
      <c r="BV29" s="182">
        <f ca="1">IF($D29&lt;&gt;"Serviço",0,IF(OR(AND(AUTOEVENTO="Manual",$M29=1),$M29&gt;(ROW(PLE.lastrow)-ROW(PLE.firstrow))),0,IF(OFFSET(PLE!$G$14,$M29,BV$13)="",10^12,OFFSET(PLE!$G$14,$M29,BV$13))))</f>
        <v>0</v>
      </c>
      <c r="BW29" s="182">
        <f ca="1">IF($D29&lt;&gt;"Serviço",0,IF(OR(AND(AUTOEVENTO="Manual",$M29=1),$M29&gt;(ROW(PLE.lastrow)-ROW(PLE.firstrow))),0,IF(OFFSET(PLE!$G$14,$M29,BW$13)="",10^12,OFFSET(PLE!$G$14,$M29,BW$13))))</f>
        <v>0</v>
      </c>
      <c r="BX29" s="182">
        <f ca="1">IF($D29&lt;&gt;"Serviço",0,IF(OR(AND(AUTOEVENTO="Manual",$M29=1),$M29&gt;(ROW(PLE.lastrow)-ROW(PLE.firstrow))),0,IF(OFFSET(PLE!$G$14,$M29,BX$13)="",10^12,OFFSET(PLE!$G$14,$M29,BX$13))))</f>
        <v>0</v>
      </c>
      <c r="BY29" s="182">
        <f ca="1">IF($D29&lt;&gt;"Serviço",0,IF(OR(AND(AUTOEVENTO="Manual",$M29=1),$M29&gt;(ROW(PLE.lastrow)-ROW(PLE.firstrow))),0,IF(OFFSET(PLE!$G$14,$M29,BY$13)="",10^12,OFFSET(PLE!$G$14,$M29,BY$13))))</f>
        <v>0</v>
      </c>
      <c r="BZ29" s="182">
        <f ca="1">IF($D29&lt;&gt;"Serviço",0,IF(OR(AND(AUTOEVENTO="Manual",$M29=1),$M29&gt;(ROW(PLE.lastrow)-ROW(PLE.firstrow))),0,IF(OFFSET(PLE!$G$14,$M29,BZ$13)="",10^12,OFFSET(PLE!$G$14,$M29,BZ$13))))</f>
        <v>0</v>
      </c>
      <c r="CA29" s="182">
        <f ca="1">IF($D29&lt;&gt;"Serviço",0,IF(OR(AND(AUTOEVENTO="Manual",$M29=1),$M29&gt;(ROW(PLE.lastrow)-ROW(PLE.firstrow))),0,IF(OFFSET(PLE!$G$14,$M29,CA$13)="",10^12,OFFSET(PLE!$G$14,$M29,CA$13))))</f>
        <v>0</v>
      </c>
      <c r="CB29" s="182">
        <f ca="1">IF($D29&lt;&gt;"Serviço",0,IF(OR(AND(AUTOEVENTO="Manual",$M29=1),$M29&gt;(ROW(PLE.lastrow)-ROW(PLE.firstrow))),0,IF(OFFSET(PLE!$G$14,$M29,CB$13)="",10^12,OFFSET(PLE!$G$14,$M29,CB$13))))</f>
        <v>0</v>
      </c>
      <c r="CC29" s="182">
        <f ca="1">IF($D29&lt;&gt;"Serviço",0,IF(OR(AND(AUTOEVENTO="Manual",$M29=1),$M29&gt;(ROW(PLE.lastrow)-ROW(PLE.firstrow))),0,IF(OFFSET(PLE!$G$14,$M29,CC$13)="",10^12,OFFSET(PLE!$G$14,$M29,CC$13))))</f>
        <v>0</v>
      </c>
      <c r="CD29" s="182">
        <f ca="1">IF($D29&lt;&gt;"Serviço",0,IF(OR(AND(AUTOEVENTO="Manual",$M29=1),$M29&gt;(ROW(PLE.lastrow)-ROW(PLE.firstrow))),0,IF(OFFSET(PLE!$G$14,$M29,CD$13)="",10^12,OFFSET(PLE!$G$14,$M29,CD$13))))</f>
        <v>0</v>
      </c>
      <c r="CE29" s="182">
        <f ca="1">IF($D29&lt;&gt;"Serviço",0,IF(OR(AND(AUTOEVENTO="Manual",$M29=1),$M29&gt;(ROW(PLE.lastrow)-ROW(PLE.firstrow))),0,IF(OFFSET(PLE!$G$14,$M29,CE$13)="",10^12,OFFSET(PLE!$G$14,$M29,CE$13))))</f>
        <v>0</v>
      </c>
      <c r="CF29" s="182">
        <f ca="1">IF($D29&lt;&gt;"Serviço",0,IF(OR(AND(AUTOEVENTO="Manual",$M29=1),$M29&gt;(ROW(PLE.lastrow)-ROW(PLE.firstrow))),0,IF(OFFSET(PLE!$G$14,$M29,CF$13)="",10^12,OFFSET(PLE!$G$14,$M29,CF$13))))</f>
        <v>0</v>
      </c>
      <c r="CG29" s="182">
        <f ca="1">IF($D29&lt;&gt;"Serviço",0,IF(OR(AND(AUTOEVENTO="Manual",$M29=1),$M29&gt;(ROW(PLE.lastrow)-ROW(PLE.firstrow))),0,IF(OFFSET(PLE!$G$14,$M29,CG$13)="",10^12,OFFSET(PLE!$G$14,$M29,CG$13))))</f>
        <v>0</v>
      </c>
      <c r="CH29" s="182">
        <f ca="1">IF($D29&lt;&gt;"Serviço",0,IF(OR(AND(AUTOEVENTO="Manual",$M29=1),$M29&gt;(ROW(PLE.lastrow)-ROW(PLE.firstrow))),0,IF(OFFSET(PLE!$G$14,$M29,CH$13)="",10^12,OFFSET(PLE!$G$14,$M29,CH$13))))</f>
        <v>0</v>
      </c>
      <c r="CI29" s="182">
        <f ca="1">IF($D29&lt;&gt;"Serviço",0,IF(OR(AND(AUTOEVENTO="Manual",$M29=1),$M29&gt;(ROW(PLE.lastrow)-ROW(PLE.firstrow))),0,IF(OFFSET(PLE!$G$14,$M29,CI$13)="",10^12,OFFSET(PLE!$G$14,$M29,CI$13))))</f>
        <v>0</v>
      </c>
      <c r="CJ29" s="182">
        <f ca="1">IF($D29&lt;&gt;"Serviço",0,IF(OR(AND(AUTOEVENTO="Manual",$M29=1),$M29&gt;(ROW(PLE.lastrow)-ROW(PLE.firstrow))),0,IF(OFFSET(PLE!$G$14,$M29,CJ$13)="",10^12,OFFSET(PLE!$G$14,$M29,CJ$13))))</f>
        <v>0</v>
      </c>
      <c r="CK29" s="182">
        <f ca="1">IF($D29&lt;&gt;"Serviço",0,IF(OR(AND(AUTOEVENTO="Manual",$M29=1),$M29&gt;(ROW(PLE.lastrow)-ROW(PLE.firstrow))),0,IF(OFFSET(PLE!$G$14,$M29,CK$13)="",10^12,OFFSET(PLE!$G$14,$M29,CK$13))))</f>
        <v>0</v>
      </c>
      <c r="CL29" s="182">
        <f ca="1">IF($D29&lt;&gt;"Serviço",0,IF(OR(AND(AUTOEVENTO="Manual",$M29=1),$M29&gt;(ROW(PLE.lastrow)-ROW(PLE.firstrow))),0,IF(OFFSET(PLE!$G$14,$M29,CL$13)="",10^12,OFFSET(PLE!$G$14,$M29,CL$13))))</f>
        <v>0</v>
      </c>
      <c r="CM29" s="182">
        <f ca="1">IF($D29&lt;&gt;"Serviço",0,IF(OR(AND(AUTOEVENTO="Manual",$M29=1),$M29&gt;(ROW(PLE.lastrow)-ROW(PLE.firstrow))),0,IF(OFFSET(PLE!$G$14,$M29,CM$13)="",10^12,OFFSET(PLE!$G$14,$M29,CM$13))))</f>
        <v>0</v>
      </c>
    </row>
    <row r="30" spans="1:91" ht="38.25" x14ac:dyDescent="0.2">
      <c r="A30" s="7" t="str">
        <f t="shared" ca="1" si="9"/>
        <v>14</v>
      </c>
      <c r="B30" s="7" t="str">
        <f ca="1">OFFSET(ORÇAMENTO!C$15,ROW(B30)-ROW(B$15),0)</f>
        <v>S</v>
      </c>
      <c r="C30" s="7" t="str">
        <f ca="1">OFFSET(ORÇAMENTO!L$15,ROW(C30)-ROW(C$15),0)</f>
        <v/>
      </c>
      <c r="D30" s="118" t="str">
        <f ca="1">OFFSET(ORÇAMENTO!N$15,ROW(D30)-ROW(D$15),0)</f>
        <v>Serviço</v>
      </c>
      <c r="E30" s="119" t="str">
        <f ca="1">OFFSET(ORÇAMENTO!O$15,ROW(E30)-ROW(E$15),0)</f>
        <v>-</v>
      </c>
      <c r="F30" s="172" t="str">
        <f ca="1">OFFSET(ORÇAMENTO!R$15,ROW(F30)-ROW(F$15),0)</f>
        <v>(abra o arquivo 'Referência 06-2024.xlsm)</v>
      </c>
      <c r="G30" s="173" t="str">
        <f ca="1">IF($D30&lt;&gt;"Serviço","",OFFSET(ORÇAMENTO!S$15,ROW(G30)-ROW(G$15),0))</f>
        <v>-</v>
      </c>
      <c r="H30" s="124">
        <f ca="1">IF($D30&lt;&gt;"Serviço",0,IF(ACOMPANHAMENTO="BM",ROUND(OFFSET(ORÇAMENTO!AJ$15,ROW(H30)-ROW(H$15),0),15-13*ORÇAMENTO!$AF$7),SUMPRODUCT(($Q$12:$AI$12&lt;&gt;"")*ROUND($Q30:$AI30,15-13*ORÇAMENTO!$AF$7))))</f>
        <v>2925</v>
      </c>
      <c r="I30" s="561" t="s">
        <v>1107</v>
      </c>
      <c r="K30" s="174" t="s">
        <v>1026</v>
      </c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5</v>
      </c>
      <c r="N30" s="177" t="str">
        <f ca="1">IF($D30&lt;&gt;"Serviço","",IF(AUTOEVENTO="Manual",IF($A30=0,"&lt;-- defina o número do agrupador",OFFSET(EVENTOS!$D$14,$A30,0)),OFFSET($F$15,$A30,0)))</f>
        <v>MOVIMENTO DE TERRA PARA FUNDAÇÕES</v>
      </c>
      <c r="O30" s="178"/>
      <c r="Q30" s="178">
        <v>2925</v>
      </c>
      <c r="R30" s="179"/>
      <c r="S30" s="179"/>
      <c r="T30" s="179"/>
      <c r="U30" s="179"/>
      <c r="V30" s="179"/>
      <c r="W30" s="179"/>
      <c r="X30" s="179"/>
      <c r="Y30" s="179"/>
      <c r="Z30" s="180"/>
      <c r="AA30" s="179"/>
      <c r="AB30" s="179"/>
      <c r="AC30" s="179"/>
      <c r="AD30" s="179"/>
      <c r="AE30" s="179"/>
      <c r="AF30" s="179"/>
      <c r="AG30" s="179"/>
      <c r="AH30" s="180"/>
      <c r="AJ30" s="544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5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L30" s="545">
        <f ca="1">IF(AND($D30="Serviço",AL$12&lt;&gt;0,$H30&gt;0,OR(AUTOEVENTO&lt;&gt;"manual",$M30&lt;&gt;1)),
IF(Import.TipoArredondamento&lt;&gt;"TransfereGOV",
ROUND(OFFSET($P30,0,AL$13),15-13*ORÇAMENTO!$AF$7)/$H30*OFFSET(ORÇAMENTO!$X$15,ROW(AL30)-ROW(AL$15),0),
ROUND(ROUND(OFFSET($P30,0,AL$13),15-13*ORÇAMENTO!$AF$7)*OFFSET(ORÇAMENTO!$W$15,ROW(AL30)-ROW(AL$15),0),15-13*ORÇAMENTO!$AF$11)),0)</f>
        <v>0</v>
      </c>
      <c r="AM30" s="545">
        <f ca="1">IF(AND($D30="Serviço",AM$12&lt;&gt;0,$H30&gt;0,OR(AUTOEVENTO&lt;&gt;"manual",$M30&lt;&gt;1)),
IF(Import.TipoArredondamento&lt;&gt;"TransfereGOV",
ROUND(OFFSET($P30,0,AM$13),15-13*ORÇAMENTO!$AF$7)/$H30*OFFSET(ORÇAMENTO!$X$15,ROW(AM30)-ROW(AM$15),0),
ROUND(ROUND(OFFSET($P30,0,AM$13),15-13*ORÇAMENTO!$AF$7)*OFFSET(ORÇAMENTO!$W$15,ROW(AM30)-ROW(AM$15),0),15-13*ORÇAMENTO!$AF$11)),0)</f>
        <v>0</v>
      </c>
      <c r="AN30" s="545">
        <f ca="1">IF(AND($D30="Serviço",AN$12&lt;&gt;0,$H30&gt;0,OR(AUTOEVENTO&lt;&gt;"manual",$M30&lt;&gt;1)),
IF(Import.TipoArredondamento&lt;&gt;"TransfereGOV",
ROUND(OFFSET($P30,0,AN$13),15-13*ORÇAMENTO!$AF$7)/$H30*OFFSET(ORÇAMENTO!$X$15,ROW(AN30)-ROW(AN$15),0),
ROUND(ROUND(OFFSET($P30,0,AN$13),15-13*ORÇAMENTO!$AF$7)*OFFSET(ORÇAMENTO!$W$15,ROW(AN30)-ROW(AN$15),0),15-13*ORÇAMENTO!$AF$11)),0)</f>
        <v>0</v>
      </c>
      <c r="AO30" s="545">
        <f ca="1">IF(AND($D30="Serviço",AO$12&lt;&gt;0,$H30&gt;0,OR(AUTOEVENTO&lt;&gt;"manual",$M30&lt;&gt;1)),
IF(Import.TipoArredondamento&lt;&gt;"TransfereGOV",
ROUND(OFFSET($P30,0,AO$13),15-13*ORÇAMENTO!$AF$7)/$H30*OFFSET(ORÇAMENTO!$X$15,ROW(AO30)-ROW(AO$15),0),
ROUND(ROUND(OFFSET($P30,0,AO$13),15-13*ORÇAMENTO!$AF$7)*OFFSET(ORÇAMENTO!$W$15,ROW(AO30)-ROW(AO$15),0),15-13*ORÇAMENTO!$AF$11)),0)</f>
        <v>0</v>
      </c>
      <c r="AP30" s="545">
        <f ca="1">IF(AND($D30="Serviço",AP$12&lt;&gt;0,$H30&gt;0,OR(AUTOEVENTO&lt;&gt;"manual",$M30&lt;&gt;1)),
IF(Import.TipoArredondamento&lt;&gt;"TransfereGOV",
ROUND(OFFSET($P30,0,AP$13),15-13*ORÇAMENTO!$AF$7)/$H30*OFFSET(ORÇAMENTO!$X$15,ROW(AP30)-ROW(AP$15),0),
ROUND(ROUND(OFFSET($P30,0,AP$13),15-13*ORÇAMENTO!$AF$7)*OFFSET(ORÇAMENTO!$W$15,ROW(AP30)-ROW(AP$15),0),15-13*ORÇAMENTO!$AF$11)),0)</f>
        <v>0</v>
      </c>
      <c r="AQ30" s="545">
        <f ca="1">IF(AND($D30="Serviço",AQ$12&lt;&gt;0,$H30&gt;0,OR(AUTOEVENTO&lt;&gt;"manual",$M30&lt;&gt;1)),
IF(Import.TipoArredondamento&lt;&gt;"TransfereGOV",
ROUND(OFFSET($P30,0,AQ$13),15-13*ORÇAMENTO!$AF$7)/$H30*OFFSET(ORÇAMENTO!$X$15,ROW(AQ30)-ROW(AQ$15),0),
ROUND(ROUND(OFFSET($P30,0,AQ$13),15-13*ORÇAMENTO!$AF$7)*OFFSET(ORÇAMENTO!$W$15,ROW(AQ30)-ROW(AQ$15),0),15-13*ORÇAMENTO!$AF$11)),0)</f>
        <v>0</v>
      </c>
      <c r="AR30" s="545">
        <f ca="1">IF(AND($D30="Serviço",AR$12&lt;&gt;0,$H30&gt;0,OR(AUTOEVENTO&lt;&gt;"manual",$M30&lt;&gt;1)),
IF(Import.TipoArredondamento&lt;&gt;"TransfereGOV",
ROUND(OFFSET($P30,0,AR$13),15-13*ORÇAMENTO!$AF$7)/$H30*OFFSET(ORÇAMENTO!$X$15,ROW(AR30)-ROW(AR$15),0),
ROUND(ROUND(OFFSET($P30,0,AR$13),15-13*ORÇAMENTO!$AF$7)*OFFSET(ORÇAMENTO!$W$15,ROW(AR30)-ROW(AR$15),0),15-13*ORÇAMENTO!$AF$11)),0)</f>
        <v>0</v>
      </c>
      <c r="AS30" s="546">
        <f ca="1">IF(AND($D30="Serviço",AS$12&lt;&gt;0,$H30&gt;0,OR(AUTOEVENTO&lt;&gt;"manual",$M30&lt;&gt;1)),
IF(Import.TipoArredondamento&lt;&gt;"TransfereGOV",
ROUND(OFFSET($P30,0,AS$13),15-13*ORÇAMENTO!$AF$7)/$H30*OFFSET(ORÇAMENTO!$X$15,ROW(AS30)-ROW(AS$15),0),
ROUND(ROUND(OFFSET($P30,0,AS$13),15-13*ORÇAMENTO!$AF$7)*OFFSET(ORÇAMENTO!$W$15,ROW(AS30)-ROW(AS$15),0),15-13*ORÇAMENTO!$AF$11)),0)</f>
        <v>0</v>
      </c>
      <c r="AT30" s="545">
        <f ca="1">IF(AND($D30="Serviço",AT$12&lt;&gt;0,$H30&gt;0,OR(AUTOEVENTO&lt;&gt;"manual",$M30&lt;&gt;1)),
IF(Import.TipoArredondamento&lt;&gt;"TransfereGOV",
ROUND(OFFSET($P30,0,AT$13),15-13*ORÇAMENTO!$AF$7)/$H30*OFFSET(ORÇAMENTO!$X$15,ROW(AT30)-ROW(AT$15),0),
ROUND(ROUND(OFFSET($P30,0,AT$13),15-13*ORÇAMENTO!$AF$7)*OFFSET(ORÇAMENTO!$W$15,ROW(AT30)-ROW(AT$15),0),15-13*ORÇAMENTO!$AF$11)),0)</f>
        <v>0</v>
      </c>
      <c r="AU30" s="545">
        <f ca="1">IF(AND($D30="Serviço",AU$12&lt;&gt;0,$H30&gt;0,OR(AUTOEVENTO&lt;&gt;"manual",$M30&lt;&gt;1)),
IF(Import.TipoArredondamento&lt;&gt;"TransfereGOV",
ROUND(OFFSET($P30,0,AU$13),15-13*ORÇAMENTO!$AF$7)/$H30*OFFSET(ORÇAMENTO!$X$15,ROW(AU30)-ROW(AU$15),0),
ROUND(ROUND(OFFSET($P30,0,AU$13),15-13*ORÇAMENTO!$AF$7)*OFFSET(ORÇAMENTO!$W$15,ROW(AU30)-ROW(AU$15),0),15-13*ORÇAMENTO!$AF$11)),0)</f>
        <v>0</v>
      </c>
      <c r="AV30" s="545">
        <f ca="1">IF(AND($D30="Serviço",AV$12&lt;&gt;0,$H30&gt;0,OR(AUTOEVENTO&lt;&gt;"manual",$M30&lt;&gt;1)),
IF(Import.TipoArredondamento&lt;&gt;"TransfereGOV",
ROUND(OFFSET($P30,0,AV$13),15-13*ORÇAMENTO!$AF$7)/$H30*OFFSET(ORÇAMENTO!$X$15,ROW(AV30)-ROW(AV$15),0),
ROUND(ROUND(OFFSET($P30,0,AV$13),15-13*ORÇAMENTO!$AF$7)*OFFSET(ORÇAMENTO!$W$15,ROW(AV30)-ROW(AV$15),0),15-13*ORÇAMENTO!$AF$11)),0)</f>
        <v>0</v>
      </c>
      <c r="AW30" s="545">
        <f ca="1">IF(AND($D30="Serviço",AW$12&lt;&gt;0,$H30&gt;0,OR(AUTOEVENTO&lt;&gt;"manual",$M30&lt;&gt;1)),
IF(Import.TipoArredondamento&lt;&gt;"TransfereGOV",
ROUND(OFFSET($P30,0,AW$13),15-13*ORÇAMENTO!$AF$7)/$H30*OFFSET(ORÇAMENTO!$X$15,ROW(AW30)-ROW(AW$15),0),
ROUND(ROUND(OFFSET($P30,0,AW$13),15-13*ORÇAMENTO!$AF$7)*OFFSET(ORÇAMENTO!$W$15,ROW(AW30)-ROW(AW$15),0),15-13*ORÇAMENTO!$AF$11)),0)</f>
        <v>0</v>
      </c>
      <c r="AX30" s="545">
        <f ca="1">IF(AND($D30="Serviço",AX$12&lt;&gt;0,$H30&gt;0,OR(AUTOEVENTO&lt;&gt;"manual",$M30&lt;&gt;1)),
IF(Import.TipoArredondamento&lt;&gt;"TransfereGOV",
ROUND(OFFSET($P30,0,AX$13),15-13*ORÇAMENTO!$AF$7)/$H30*OFFSET(ORÇAMENTO!$X$15,ROW(AX30)-ROW(AX$15),0),
ROUND(ROUND(OFFSET($P30,0,AX$13),15-13*ORÇAMENTO!$AF$7)*OFFSET(ORÇAMENTO!$W$15,ROW(AX30)-ROW(AX$15),0),15-13*ORÇAMENTO!$AF$11)),0)</f>
        <v>0</v>
      </c>
      <c r="AY30" s="545">
        <f ca="1">IF(AND($D30="Serviço",AY$12&lt;&gt;0,$H30&gt;0,OR(AUTOEVENTO&lt;&gt;"manual",$M30&lt;&gt;1)),
IF(Import.TipoArredondamento&lt;&gt;"TransfereGOV",
ROUND(OFFSET($P30,0,AY$13),15-13*ORÇAMENTO!$AF$7)/$H30*OFFSET(ORÇAMENTO!$X$15,ROW(AY30)-ROW(AY$15),0),
ROUND(ROUND(OFFSET($P30,0,AY$13),15-13*ORÇAMENTO!$AF$7)*OFFSET(ORÇAMENTO!$W$15,ROW(AY30)-ROW(AY$15),0),15-13*ORÇAMENTO!$AF$11)),0)</f>
        <v>0</v>
      </c>
      <c r="AZ30" s="545">
        <f ca="1">IF(AND($D30="Serviço",AZ$12&lt;&gt;0,$H30&gt;0,OR(AUTOEVENTO&lt;&gt;"manual",$M30&lt;&gt;1)),
IF(Import.TipoArredondamento&lt;&gt;"TransfereGOV",
ROUND(OFFSET($P30,0,AZ$13),15-13*ORÇAMENTO!$AF$7)/$H30*OFFSET(ORÇAMENTO!$X$15,ROW(AZ30)-ROW(AZ$15),0),
ROUND(ROUND(OFFSET($P30,0,AZ$13),15-13*ORÇAMENTO!$AF$7)*OFFSET(ORÇAMENTO!$W$15,ROW(AZ30)-ROW(AZ$15),0),15-13*ORÇAMENTO!$AF$11)),0)</f>
        <v>0</v>
      </c>
      <c r="BA30" s="546">
        <f ca="1">IF(AND($D30="Serviço",BA$12&lt;&gt;0,$H30&gt;0,OR(AUTOEVENTO&lt;&gt;"manual",$M30&lt;&gt;1)),
IF(Import.TipoArredondamento&lt;&gt;"TransfereGOV",
ROUND(OFFSET($P30,0,BA$13),15-13*ORÇAMENTO!$AF$7)/$H30*OFFSET(ORÇAMENTO!$X$15,ROW(BA30)-ROW(BA$15),0),
ROUND(ROUND(OFFSET($P30,0,BA$13),15-13*ORÇAMENTO!$AF$7)*OFFSET(ORÇAMENTO!$W$15,ROW(BA30)-ROW(BA$15),0),15-13*ORÇAMENTO!$AF$11)),0)</f>
        <v>0</v>
      </c>
      <c r="BC30" s="181">
        <f ca="1">IF($D30&lt;&gt;"Serviço",0,IF(AND(AUTOEVENTO="Manual",$M30=1),0,IF(OFFSET(CRONOPLE!$F$14,$M30,BC$13)="",10^12,OFFSET(CRONOPLE!$F$14,$M30,BC$13))))</f>
        <v>2</v>
      </c>
      <c r="BD30" s="181">
        <f ca="1">IF($D30&lt;&gt;"Serviço",0,IF(AND(AUTOEVENTO="Manual",$M30=1),0,IF(OFFSET(CRONOPLE!$F$14,$M30,BD$13)="",10^12,OFFSET(CRONOPLE!$F$14,$M30,BD$13))))</f>
        <v>1000000000000</v>
      </c>
      <c r="BE30" s="181">
        <f ca="1">IF($D30&lt;&gt;"Serviço",0,IF(AND(AUTOEVENTO="Manual",$M30=1),0,IF(OFFSET(CRONOPLE!$F$14,$M30,BE$13)="",10^12,OFFSET(CRONOPLE!$F$14,$M30,BE$13))))</f>
        <v>1000000000000</v>
      </c>
      <c r="BF30" s="181">
        <f ca="1">IF($D30&lt;&gt;"Serviço",0,IF(AND(AUTOEVENTO="Manual",$M30=1),0,IF(OFFSET(CRONOPLE!$F$14,$M30,BF$13)="",10^12,OFFSET(CRONOPLE!$F$14,$M30,BF$13))))</f>
        <v>1000000000000</v>
      </c>
      <c r="BG30" s="181">
        <f ca="1">IF($D30&lt;&gt;"Serviço",0,IF(AND(AUTOEVENTO="Manual",$M30=1),0,IF(OFFSET(CRONOPLE!$F$14,$M30,BG$13)="",10^12,OFFSET(CRONOPLE!$F$14,$M30,BG$13))))</f>
        <v>1000000000000</v>
      </c>
      <c r="BH30" s="181">
        <f ca="1">IF($D30&lt;&gt;"Serviço",0,IF(AND(AUTOEVENTO="Manual",$M30=1),0,IF(OFFSET(CRONOPLE!$F$14,$M30,BH$13)="",10^12,OFFSET(CRONOPLE!$F$14,$M30,BH$13))))</f>
        <v>1000000000000</v>
      </c>
      <c r="BI30" s="181">
        <f ca="1">IF($D30&lt;&gt;"Serviço",0,IF(AND(AUTOEVENTO="Manual",$M30=1),0,IF(OFFSET(CRONOPLE!$F$14,$M30,BI$13)="",10^12,OFFSET(CRONOPLE!$F$14,$M30,BI$13))))</f>
        <v>1000000000000</v>
      </c>
      <c r="BJ30" s="181">
        <f ca="1">IF($D30&lt;&gt;"Serviço",0,IF(AND(AUTOEVENTO="Manual",$M30=1),0,IF(OFFSET(CRONOPLE!$F$14,$M30,BJ$13)="",10^12,OFFSET(CRONOPLE!$F$14,$M30,BJ$13))))</f>
        <v>1000000000000</v>
      </c>
      <c r="BK30" s="181">
        <f ca="1">IF($D30&lt;&gt;"Serviço",0,IF(AND(AUTOEVENTO="Manual",$M30=1),0,IF(OFFSET(CRONOPLE!$F$14,$M30,BK$13)="",10^12,OFFSET(CRONOPLE!$F$14,$M30,BK$13))))</f>
        <v>1000000000000</v>
      </c>
      <c r="BL30" s="181">
        <f ca="1">IF($D30&lt;&gt;"Serviço",0,IF(AND(AUTOEVENTO="Manual",$M30=1),0,IF(OFFSET(CRONOPLE!$F$14,$M30,BL$13)="",10^12,OFFSET(CRONOPLE!$F$14,$M30,BL$13))))</f>
        <v>1000000000000</v>
      </c>
      <c r="BM30" s="181">
        <f ca="1">IF($D30&lt;&gt;"Serviço",0,IF(AND(AUTOEVENTO="Manual",$M30=1),0,IF(OFFSET(CRONOPLE!$F$14,$M30,BM$13)="",10^12,OFFSET(CRONOPLE!$F$14,$M30,BM$13))))</f>
        <v>1000000000000</v>
      </c>
      <c r="BN30" s="181">
        <f ca="1">IF($D30&lt;&gt;"Serviço",0,IF(AND(AUTOEVENTO="Manual",$M30=1),0,IF(OFFSET(CRONOPLE!$F$14,$M30,BN$13)="",10^12,OFFSET(CRONOPLE!$F$14,$M30,BN$13))))</f>
        <v>1000000000000</v>
      </c>
      <c r="BO30" s="181">
        <f ca="1">IF($D30&lt;&gt;"Serviço",0,IF(AND(AUTOEVENTO="Manual",$M30=1),0,IF(OFFSET(CRONOPLE!$F$14,$M30,BO$13)="",10^12,OFFSET(CRONOPLE!$F$14,$M30,BO$13))))</f>
        <v>1000000000000</v>
      </c>
      <c r="BP30" s="181">
        <f ca="1">IF($D30&lt;&gt;"Serviço",0,IF(AND(AUTOEVENTO="Manual",$M30=1),0,IF(OFFSET(CRONOPLE!$F$14,$M30,BP$13)="",10^12,OFFSET(CRONOPLE!$F$14,$M30,BP$13))))</f>
        <v>1000000000000</v>
      </c>
      <c r="BQ30" s="181">
        <f ca="1">IF($D30&lt;&gt;"Serviço",0,IF(AND(AUTOEVENTO="Manual",$M30=1),0,IF(OFFSET(CRONOPLE!$F$14,$M30,BQ$13)="",10^12,OFFSET(CRONOPLE!$F$14,$M30,BQ$13))))</f>
        <v>1000000000000</v>
      </c>
      <c r="BR30" s="181">
        <f ca="1">IF($D30&lt;&gt;"Serviço",0,IF(AND(AUTOEVENTO="Manual",$M30=1),0,IF(OFFSET(CRONOPLE!$F$14,$M30,BR$13)="",10^12,OFFSET(CRONOPLE!$F$14,$M30,BR$13))))</f>
        <v>1000000000000</v>
      </c>
      <c r="BS30" s="181">
        <f ca="1">IF($D30&lt;&gt;"Serviço",0,IF(AND(AUTOEVENTO="Manual",$M30=1),0,IF(OFFSET(CRONOPLE!$F$14,$M30,BS$13)="",10^12,OFFSET(CRONOPLE!$F$14,$M30,BS$13))))</f>
        <v>1000000000000</v>
      </c>
      <c r="BT30" s="181">
        <f ca="1">IF($D30&lt;&gt;"Serviço",0,IF(AND(AUTOEVENTO="Manual",$M30=1),0,IF(OFFSET(CRONOPLE!$F$14,$M30,BT$13)="",10^12,OFFSET(CRONOPLE!$F$14,$M30,BT$13))))</f>
        <v>1000000000000</v>
      </c>
      <c r="BV30" s="182">
        <f ca="1">IF($D30&lt;&gt;"Serviço",0,IF(OR(AND(AUTOEVENTO="Manual",$M30=1),$M30&gt;(ROW(PLE.lastrow)-ROW(PLE.firstrow))),0,IF(OFFSET(PLE!$G$14,$M30,BV$13)="",10^12,OFFSET(PLE!$G$14,$M30,BV$13))))</f>
        <v>1000000000000</v>
      </c>
      <c r="BW30" s="182">
        <f ca="1">IF($D30&lt;&gt;"Serviço",0,IF(OR(AND(AUTOEVENTO="Manual",$M30=1),$M30&gt;(ROW(PLE.lastrow)-ROW(PLE.firstrow))),0,IF(OFFSET(PLE!$G$14,$M30,BW$13)="",10^12,OFFSET(PLE!$G$14,$M30,BW$13))))</f>
        <v>1000000000000</v>
      </c>
      <c r="BX30" s="182">
        <f ca="1">IF($D30&lt;&gt;"Serviço",0,IF(OR(AND(AUTOEVENTO="Manual",$M30=1),$M30&gt;(ROW(PLE.lastrow)-ROW(PLE.firstrow))),0,IF(OFFSET(PLE!$G$14,$M30,BX$13)="",10^12,OFFSET(PLE!$G$14,$M30,BX$13))))</f>
        <v>1000000000000</v>
      </c>
      <c r="BY30" s="182">
        <f ca="1">IF($D30&lt;&gt;"Serviço",0,IF(OR(AND(AUTOEVENTO="Manual",$M30=1),$M30&gt;(ROW(PLE.lastrow)-ROW(PLE.firstrow))),0,IF(OFFSET(PLE!$G$14,$M30,BY$13)="",10^12,OFFSET(PLE!$G$14,$M30,BY$13))))</f>
        <v>1000000000000</v>
      </c>
      <c r="BZ30" s="182">
        <f ca="1">IF($D30&lt;&gt;"Serviço",0,IF(OR(AND(AUTOEVENTO="Manual",$M30=1),$M30&gt;(ROW(PLE.lastrow)-ROW(PLE.firstrow))),0,IF(OFFSET(PLE!$G$14,$M30,BZ$13)="",10^12,OFFSET(PLE!$G$14,$M30,BZ$13))))</f>
        <v>1000000000000</v>
      </c>
      <c r="CA30" s="182">
        <f ca="1">IF($D30&lt;&gt;"Serviço",0,IF(OR(AND(AUTOEVENTO="Manual",$M30=1),$M30&gt;(ROW(PLE.lastrow)-ROW(PLE.firstrow))),0,IF(OFFSET(PLE!$G$14,$M30,CA$13)="",10^12,OFFSET(PLE!$G$14,$M30,CA$13))))</f>
        <v>1000000000000</v>
      </c>
      <c r="CB30" s="182">
        <f ca="1">IF($D30&lt;&gt;"Serviço",0,IF(OR(AND(AUTOEVENTO="Manual",$M30=1),$M30&gt;(ROW(PLE.lastrow)-ROW(PLE.firstrow))),0,IF(OFFSET(PLE!$G$14,$M30,CB$13)="",10^12,OFFSET(PLE!$G$14,$M30,CB$13))))</f>
        <v>1000000000000</v>
      </c>
      <c r="CC30" s="182">
        <f ca="1">IF($D30&lt;&gt;"Serviço",0,IF(OR(AND(AUTOEVENTO="Manual",$M30=1),$M30&gt;(ROW(PLE.lastrow)-ROW(PLE.firstrow))),0,IF(OFFSET(PLE!$G$14,$M30,CC$13)="",10^12,OFFSET(PLE!$G$14,$M30,CC$13))))</f>
        <v>1000000000000</v>
      </c>
      <c r="CD30" s="182">
        <f ca="1">IF($D30&lt;&gt;"Serviço",0,IF(OR(AND(AUTOEVENTO="Manual",$M30=1),$M30&gt;(ROW(PLE.lastrow)-ROW(PLE.firstrow))),0,IF(OFFSET(PLE!$G$14,$M30,CD$13)="",10^12,OFFSET(PLE!$G$14,$M30,CD$13))))</f>
        <v>1000000000000</v>
      </c>
      <c r="CE30" s="182">
        <f ca="1">IF($D30&lt;&gt;"Serviço",0,IF(OR(AND(AUTOEVENTO="Manual",$M30=1),$M30&gt;(ROW(PLE.lastrow)-ROW(PLE.firstrow))),0,IF(OFFSET(PLE!$G$14,$M30,CE$13)="",10^12,OFFSET(PLE!$G$14,$M30,CE$13))))</f>
        <v>1000000000000</v>
      </c>
      <c r="CF30" s="182">
        <f ca="1">IF($D30&lt;&gt;"Serviço",0,IF(OR(AND(AUTOEVENTO="Manual",$M30=1),$M30&gt;(ROW(PLE.lastrow)-ROW(PLE.firstrow))),0,IF(OFFSET(PLE!$G$14,$M30,CF$13)="",10^12,OFFSET(PLE!$G$14,$M30,CF$13))))</f>
        <v>1000000000000</v>
      </c>
      <c r="CG30" s="182">
        <f ca="1">IF($D30&lt;&gt;"Serviço",0,IF(OR(AND(AUTOEVENTO="Manual",$M30=1),$M30&gt;(ROW(PLE.lastrow)-ROW(PLE.firstrow))),0,IF(OFFSET(PLE!$G$14,$M30,CG$13)="",10^12,OFFSET(PLE!$G$14,$M30,CG$13))))</f>
        <v>1000000000000</v>
      </c>
      <c r="CH30" s="182">
        <f ca="1">IF($D30&lt;&gt;"Serviço",0,IF(OR(AND(AUTOEVENTO="Manual",$M30=1),$M30&gt;(ROW(PLE.lastrow)-ROW(PLE.firstrow))),0,IF(OFFSET(PLE!$G$14,$M30,CH$13)="",10^12,OFFSET(PLE!$G$14,$M30,CH$13))))</f>
        <v>1000000000000</v>
      </c>
      <c r="CI30" s="182">
        <f ca="1">IF($D30&lt;&gt;"Serviço",0,IF(OR(AND(AUTOEVENTO="Manual",$M30=1),$M30&gt;(ROW(PLE.lastrow)-ROW(PLE.firstrow))),0,IF(OFFSET(PLE!$G$14,$M30,CI$13)="",10^12,OFFSET(PLE!$G$14,$M30,CI$13))))</f>
        <v>1000000000000</v>
      </c>
      <c r="CJ30" s="182">
        <f ca="1">IF($D30&lt;&gt;"Serviço",0,IF(OR(AND(AUTOEVENTO="Manual",$M30=1),$M30&gt;(ROW(PLE.lastrow)-ROW(PLE.firstrow))),0,IF(OFFSET(PLE!$G$14,$M30,CJ$13)="",10^12,OFFSET(PLE!$G$14,$M30,CJ$13))))</f>
        <v>1000000000000</v>
      </c>
      <c r="CK30" s="182">
        <f ca="1">IF($D30&lt;&gt;"Serviço",0,IF(OR(AND(AUTOEVENTO="Manual",$M30=1),$M30&gt;(ROW(PLE.lastrow)-ROW(PLE.firstrow))),0,IF(OFFSET(PLE!$G$14,$M30,CK$13)="",10^12,OFFSET(PLE!$G$14,$M30,CK$13))))</f>
        <v>1000000000000</v>
      </c>
      <c r="CL30" s="182">
        <f ca="1">IF($D30&lt;&gt;"Serviço",0,IF(OR(AND(AUTOEVENTO="Manual",$M30=1),$M30&gt;(ROW(PLE.lastrow)-ROW(PLE.firstrow))),0,IF(OFFSET(PLE!$G$14,$M30,CL$13)="",10^12,OFFSET(PLE!$G$14,$M30,CL$13))))</f>
        <v>1000000000000</v>
      </c>
      <c r="CM30" s="182">
        <f ca="1">IF($D30&lt;&gt;"Serviço",0,IF(OR(AND(AUTOEVENTO="Manual",$M30=1),$M30&gt;(ROW(PLE.lastrow)-ROW(PLE.firstrow))),0,IF(OFFSET(PLE!$G$14,$M30,CM$13)="",10^12,OFFSET(PLE!$G$14,$M30,CM$13))))</f>
        <v>1000000000000</v>
      </c>
    </row>
    <row r="31" spans="1:91" ht="51" x14ac:dyDescent="0.2">
      <c r="A31" s="7" t="str">
        <f t="shared" ca="1" si="9"/>
        <v>14</v>
      </c>
      <c r="B31" s="7" t="str">
        <f ca="1">OFFSET(ORÇAMENTO!C$15,ROW(B31)-ROW(B$15),0)</f>
        <v>S</v>
      </c>
      <c r="C31" s="7" t="str">
        <f ca="1">OFFSET(ORÇAMENTO!L$15,ROW(C31)-ROW(C$15),0)</f>
        <v/>
      </c>
      <c r="D31" s="118" t="str">
        <f ca="1">OFFSET(ORÇAMENTO!N$15,ROW(D31)-ROW(D$15),0)</f>
        <v>Serviço</v>
      </c>
      <c r="E31" s="119" t="str">
        <f ca="1">OFFSET(ORÇAMENTO!O$15,ROW(E31)-ROW(E$15),0)</f>
        <v>-</v>
      </c>
      <c r="F31" s="172" t="str">
        <f ca="1">OFFSET(ORÇAMENTO!R$15,ROW(F31)-ROW(F$15),0)</f>
        <v>(abra o arquivo 'Referência 06-2024.xlsm)</v>
      </c>
      <c r="G31" s="173" t="str">
        <f ca="1">IF($D31&lt;&gt;"Serviço","",OFFSET(ORÇAMENTO!S$15,ROW(G31)-ROW(G$15),0))</f>
        <v>-</v>
      </c>
      <c r="H31" s="124">
        <f ca="1">IF($D31&lt;&gt;"Serviço",0,IF(ACOMPANHAMENTO="BM",ROUND(OFFSET(ORÇAMENTO!AJ$15,ROW(H31)-ROW(H$15),0),15-13*ORÇAMENTO!$AF$7),SUMPRODUCT(($Q$12:$AI$12&lt;&gt;"")*ROUND($Q31:$AI31,15-13*ORÇAMENTO!$AF$7))))</f>
        <v>585</v>
      </c>
      <c r="I31" s="561" t="s">
        <v>1107</v>
      </c>
      <c r="K31" s="174" t="s">
        <v>1022</v>
      </c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5</v>
      </c>
      <c r="N31" s="177" t="str">
        <f ca="1">IF($D31&lt;&gt;"Serviço","",IF(AUTOEVENTO="Manual",IF($A31=0,"&lt;-- defina o número do agrupador",OFFSET(EVENTOS!$D$14,$A31,0)),OFFSET($F$15,$A31,0)))</f>
        <v>MOVIMENTO DE TERRA PARA FUNDAÇÕES</v>
      </c>
      <c r="O31" s="178"/>
      <c r="Q31" s="178">
        <v>585</v>
      </c>
      <c r="R31" s="179"/>
      <c r="S31" s="179"/>
      <c r="T31" s="179"/>
      <c r="U31" s="179"/>
      <c r="V31" s="179"/>
      <c r="W31" s="179"/>
      <c r="X31" s="179"/>
      <c r="Y31" s="179"/>
      <c r="Z31" s="180"/>
      <c r="AA31" s="179"/>
      <c r="AB31" s="179"/>
      <c r="AC31" s="179"/>
      <c r="AD31" s="179"/>
      <c r="AE31" s="179"/>
      <c r="AF31" s="179"/>
      <c r="AG31" s="179"/>
      <c r="AH31" s="180"/>
      <c r="AJ31" s="544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545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L31" s="545">
        <f ca="1">IF(AND($D31="Serviço",AL$12&lt;&gt;0,$H31&gt;0,OR(AUTOEVENTO&lt;&gt;"manual",$M31&lt;&gt;1)),
IF(Import.TipoArredondamento&lt;&gt;"TransfereGOV",
ROUND(OFFSET($P31,0,AL$13),15-13*ORÇAMENTO!$AF$7)/$H31*OFFSET(ORÇAMENTO!$X$15,ROW(AL31)-ROW(AL$15),0),
ROUND(ROUND(OFFSET($P31,0,AL$13),15-13*ORÇAMENTO!$AF$7)*OFFSET(ORÇAMENTO!$W$15,ROW(AL31)-ROW(AL$15),0),15-13*ORÇAMENTO!$AF$11)),0)</f>
        <v>0</v>
      </c>
      <c r="AM31" s="545">
        <f ca="1">IF(AND($D31="Serviço",AM$12&lt;&gt;0,$H31&gt;0,OR(AUTOEVENTO&lt;&gt;"manual",$M31&lt;&gt;1)),
IF(Import.TipoArredondamento&lt;&gt;"TransfereGOV",
ROUND(OFFSET($P31,0,AM$13),15-13*ORÇAMENTO!$AF$7)/$H31*OFFSET(ORÇAMENTO!$X$15,ROW(AM31)-ROW(AM$15),0),
ROUND(ROUND(OFFSET($P31,0,AM$13),15-13*ORÇAMENTO!$AF$7)*OFFSET(ORÇAMENTO!$W$15,ROW(AM31)-ROW(AM$15),0),15-13*ORÇAMENTO!$AF$11)),0)</f>
        <v>0</v>
      </c>
      <c r="AN31" s="545">
        <f ca="1">IF(AND($D31="Serviço",AN$12&lt;&gt;0,$H31&gt;0,OR(AUTOEVENTO&lt;&gt;"manual",$M31&lt;&gt;1)),
IF(Import.TipoArredondamento&lt;&gt;"TransfereGOV",
ROUND(OFFSET($P31,0,AN$13),15-13*ORÇAMENTO!$AF$7)/$H31*OFFSET(ORÇAMENTO!$X$15,ROW(AN31)-ROW(AN$15),0),
ROUND(ROUND(OFFSET($P31,0,AN$13),15-13*ORÇAMENTO!$AF$7)*OFFSET(ORÇAMENTO!$W$15,ROW(AN31)-ROW(AN$15),0),15-13*ORÇAMENTO!$AF$11)),0)</f>
        <v>0</v>
      </c>
      <c r="AO31" s="545">
        <f ca="1">IF(AND($D31="Serviço",AO$12&lt;&gt;0,$H31&gt;0,OR(AUTOEVENTO&lt;&gt;"manual",$M31&lt;&gt;1)),
IF(Import.TipoArredondamento&lt;&gt;"TransfereGOV",
ROUND(OFFSET($P31,0,AO$13),15-13*ORÇAMENTO!$AF$7)/$H31*OFFSET(ORÇAMENTO!$X$15,ROW(AO31)-ROW(AO$15),0),
ROUND(ROUND(OFFSET($P31,0,AO$13),15-13*ORÇAMENTO!$AF$7)*OFFSET(ORÇAMENTO!$W$15,ROW(AO31)-ROW(AO$15),0),15-13*ORÇAMENTO!$AF$11)),0)</f>
        <v>0</v>
      </c>
      <c r="AP31" s="545">
        <f ca="1">IF(AND($D31="Serviço",AP$12&lt;&gt;0,$H31&gt;0,OR(AUTOEVENTO&lt;&gt;"manual",$M31&lt;&gt;1)),
IF(Import.TipoArredondamento&lt;&gt;"TransfereGOV",
ROUND(OFFSET($P31,0,AP$13),15-13*ORÇAMENTO!$AF$7)/$H31*OFFSET(ORÇAMENTO!$X$15,ROW(AP31)-ROW(AP$15),0),
ROUND(ROUND(OFFSET($P31,0,AP$13),15-13*ORÇAMENTO!$AF$7)*OFFSET(ORÇAMENTO!$W$15,ROW(AP31)-ROW(AP$15),0),15-13*ORÇAMENTO!$AF$11)),0)</f>
        <v>0</v>
      </c>
      <c r="AQ31" s="545">
        <f ca="1">IF(AND($D31="Serviço",AQ$12&lt;&gt;0,$H31&gt;0,OR(AUTOEVENTO&lt;&gt;"manual",$M31&lt;&gt;1)),
IF(Import.TipoArredondamento&lt;&gt;"TransfereGOV",
ROUND(OFFSET($P31,0,AQ$13),15-13*ORÇAMENTO!$AF$7)/$H31*OFFSET(ORÇAMENTO!$X$15,ROW(AQ31)-ROW(AQ$15),0),
ROUND(ROUND(OFFSET($P31,0,AQ$13),15-13*ORÇAMENTO!$AF$7)*OFFSET(ORÇAMENTO!$W$15,ROW(AQ31)-ROW(AQ$15),0),15-13*ORÇAMENTO!$AF$11)),0)</f>
        <v>0</v>
      </c>
      <c r="AR31" s="545">
        <f ca="1">IF(AND($D31="Serviço",AR$12&lt;&gt;0,$H31&gt;0,OR(AUTOEVENTO&lt;&gt;"manual",$M31&lt;&gt;1)),
IF(Import.TipoArredondamento&lt;&gt;"TransfereGOV",
ROUND(OFFSET($P31,0,AR$13),15-13*ORÇAMENTO!$AF$7)/$H31*OFFSET(ORÇAMENTO!$X$15,ROW(AR31)-ROW(AR$15),0),
ROUND(ROUND(OFFSET($P31,0,AR$13),15-13*ORÇAMENTO!$AF$7)*OFFSET(ORÇAMENTO!$W$15,ROW(AR31)-ROW(AR$15),0),15-13*ORÇAMENTO!$AF$11)),0)</f>
        <v>0</v>
      </c>
      <c r="AS31" s="546">
        <f ca="1">IF(AND($D31="Serviço",AS$12&lt;&gt;0,$H31&gt;0,OR(AUTOEVENTO&lt;&gt;"manual",$M31&lt;&gt;1)),
IF(Import.TipoArredondamento&lt;&gt;"TransfereGOV",
ROUND(OFFSET($P31,0,AS$13),15-13*ORÇAMENTO!$AF$7)/$H31*OFFSET(ORÇAMENTO!$X$15,ROW(AS31)-ROW(AS$15),0),
ROUND(ROUND(OFFSET($P31,0,AS$13),15-13*ORÇAMENTO!$AF$7)*OFFSET(ORÇAMENTO!$W$15,ROW(AS31)-ROW(AS$15),0),15-13*ORÇAMENTO!$AF$11)),0)</f>
        <v>0</v>
      </c>
      <c r="AT31" s="545">
        <f ca="1">IF(AND($D31="Serviço",AT$12&lt;&gt;0,$H31&gt;0,OR(AUTOEVENTO&lt;&gt;"manual",$M31&lt;&gt;1)),
IF(Import.TipoArredondamento&lt;&gt;"TransfereGOV",
ROUND(OFFSET($P31,0,AT$13),15-13*ORÇAMENTO!$AF$7)/$H31*OFFSET(ORÇAMENTO!$X$15,ROW(AT31)-ROW(AT$15),0),
ROUND(ROUND(OFFSET($P31,0,AT$13),15-13*ORÇAMENTO!$AF$7)*OFFSET(ORÇAMENTO!$W$15,ROW(AT31)-ROW(AT$15),0),15-13*ORÇAMENTO!$AF$11)),0)</f>
        <v>0</v>
      </c>
      <c r="AU31" s="545">
        <f ca="1">IF(AND($D31="Serviço",AU$12&lt;&gt;0,$H31&gt;0,OR(AUTOEVENTO&lt;&gt;"manual",$M31&lt;&gt;1)),
IF(Import.TipoArredondamento&lt;&gt;"TransfereGOV",
ROUND(OFFSET($P31,0,AU$13),15-13*ORÇAMENTO!$AF$7)/$H31*OFFSET(ORÇAMENTO!$X$15,ROW(AU31)-ROW(AU$15),0),
ROUND(ROUND(OFFSET($P31,0,AU$13),15-13*ORÇAMENTO!$AF$7)*OFFSET(ORÇAMENTO!$W$15,ROW(AU31)-ROW(AU$15),0),15-13*ORÇAMENTO!$AF$11)),0)</f>
        <v>0</v>
      </c>
      <c r="AV31" s="545">
        <f ca="1">IF(AND($D31="Serviço",AV$12&lt;&gt;0,$H31&gt;0,OR(AUTOEVENTO&lt;&gt;"manual",$M31&lt;&gt;1)),
IF(Import.TipoArredondamento&lt;&gt;"TransfereGOV",
ROUND(OFFSET($P31,0,AV$13),15-13*ORÇAMENTO!$AF$7)/$H31*OFFSET(ORÇAMENTO!$X$15,ROW(AV31)-ROW(AV$15),0),
ROUND(ROUND(OFFSET($P31,0,AV$13),15-13*ORÇAMENTO!$AF$7)*OFFSET(ORÇAMENTO!$W$15,ROW(AV31)-ROW(AV$15),0),15-13*ORÇAMENTO!$AF$11)),0)</f>
        <v>0</v>
      </c>
      <c r="AW31" s="545">
        <f ca="1">IF(AND($D31="Serviço",AW$12&lt;&gt;0,$H31&gt;0,OR(AUTOEVENTO&lt;&gt;"manual",$M31&lt;&gt;1)),
IF(Import.TipoArredondamento&lt;&gt;"TransfereGOV",
ROUND(OFFSET($P31,0,AW$13),15-13*ORÇAMENTO!$AF$7)/$H31*OFFSET(ORÇAMENTO!$X$15,ROW(AW31)-ROW(AW$15),0),
ROUND(ROUND(OFFSET($P31,0,AW$13),15-13*ORÇAMENTO!$AF$7)*OFFSET(ORÇAMENTO!$W$15,ROW(AW31)-ROW(AW$15),0),15-13*ORÇAMENTO!$AF$11)),0)</f>
        <v>0</v>
      </c>
      <c r="AX31" s="545">
        <f ca="1">IF(AND($D31="Serviço",AX$12&lt;&gt;0,$H31&gt;0,OR(AUTOEVENTO&lt;&gt;"manual",$M31&lt;&gt;1)),
IF(Import.TipoArredondamento&lt;&gt;"TransfereGOV",
ROUND(OFFSET($P31,0,AX$13),15-13*ORÇAMENTO!$AF$7)/$H31*OFFSET(ORÇAMENTO!$X$15,ROW(AX31)-ROW(AX$15),0),
ROUND(ROUND(OFFSET($P31,0,AX$13),15-13*ORÇAMENTO!$AF$7)*OFFSET(ORÇAMENTO!$W$15,ROW(AX31)-ROW(AX$15),0),15-13*ORÇAMENTO!$AF$11)),0)</f>
        <v>0</v>
      </c>
      <c r="AY31" s="545">
        <f ca="1">IF(AND($D31="Serviço",AY$12&lt;&gt;0,$H31&gt;0,OR(AUTOEVENTO&lt;&gt;"manual",$M31&lt;&gt;1)),
IF(Import.TipoArredondamento&lt;&gt;"TransfereGOV",
ROUND(OFFSET($P31,0,AY$13),15-13*ORÇAMENTO!$AF$7)/$H31*OFFSET(ORÇAMENTO!$X$15,ROW(AY31)-ROW(AY$15),0),
ROUND(ROUND(OFFSET($P31,0,AY$13),15-13*ORÇAMENTO!$AF$7)*OFFSET(ORÇAMENTO!$W$15,ROW(AY31)-ROW(AY$15),0),15-13*ORÇAMENTO!$AF$11)),0)</f>
        <v>0</v>
      </c>
      <c r="AZ31" s="545">
        <f ca="1">IF(AND($D31="Serviço",AZ$12&lt;&gt;0,$H31&gt;0,OR(AUTOEVENTO&lt;&gt;"manual",$M31&lt;&gt;1)),
IF(Import.TipoArredondamento&lt;&gt;"TransfereGOV",
ROUND(OFFSET($P31,0,AZ$13),15-13*ORÇAMENTO!$AF$7)/$H31*OFFSET(ORÇAMENTO!$X$15,ROW(AZ31)-ROW(AZ$15),0),
ROUND(ROUND(OFFSET($P31,0,AZ$13),15-13*ORÇAMENTO!$AF$7)*OFFSET(ORÇAMENTO!$W$15,ROW(AZ31)-ROW(AZ$15),0),15-13*ORÇAMENTO!$AF$11)),0)</f>
        <v>0</v>
      </c>
      <c r="BA31" s="546">
        <f ca="1">IF(AND($D31="Serviço",BA$12&lt;&gt;0,$H31&gt;0,OR(AUTOEVENTO&lt;&gt;"manual",$M31&lt;&gt;1)),
IF(Import.TipoArredondamento&lt;&gt;"TransfereGOV",
ROUND(OFFSET($P31,0,BA$13),15-13*ORÇAMENTO!$AF$7)/$H31*OFFSET(ORÇAMENTO!$X$15,ROW(BA31)-ROW(BA$15),0),
ROUND(ROUND(OFFSET($P31,0,BA$13),15-13*ORÇAMENTO!$AF$7)*OFFSET(ORÇAMENTO!$W$15,ROW(BA31)-ROW(BA$15),0),15-13*ORÇAMENTO!$AF$11)),0)</f>
        <v>0</v>
      </c>
      <c r="BC31" s="181">
        <f ca="1">IF($D31&lt;&gt;"Serviço",0,IF(AND(AUTOEVENTO="Manual",$M31=1),0,IF(OFFSET(CRONOPLE!$F$14,$M31,BC$13)="",10^12,OFFSET(CRONOPLE!$F$14,$M31,BC$13))))</f>
        <v>2</v>
      </c>
      <c r="BD31" s="181">
        <f ca="1">IF($D31&lt;&gt;"Serviço",0,IF(AND(AUTOEVENTO="Manual",$M31=1),0,IF(OFFSET(CRONOPLE!$F$14,$M31,BD$13)="",10^12,OFFSET(CRONOPLE!$F$14,$M31,BD$13))))</f>
        <v>1000000000000</v>
      </c>
      <c r="BE31" s="181">
        <f ca="1">IF($D31&lt;&gt;"Serviço",0,IF(AND(AUTOEVENTO="Manual",$M31=1),0,IF(OFFSET(CRONOPLE!$F$14,$M31,BE$13)="",10^12,OFFSET(CRONOPLE!$F$14,$M31,BE$13))))</f>
        <v>1000000000000</v>
      </c>
      <c r="BF31" s="181">
        <f ca="1">IF($D31&lt;&gt;"Serviço",0,IF(AND(AUTOEVENTO="Manual",$M31=1),0,IF(OFFSET(CRONOPLE!$F$14,$M31,BF$13)="",10^12,OFFSET(CRONOPLE!$F$14,$M31,BF$13))))</f>
        <v>1000000000000</v>
      </c>
      <c r="BG31" s="181">
        <f ca="1">IF($D31&lt;&gt;"Serviço",0,IF(AND(AUTOEVENTO="Manual",$M31=1),0,IF(OFFSET(CRONOPLE!$F$14,$M31,BG$13)="",10^12,OFFSET(CRONOPLE!$F$14,$M31,BG$13))))</f>
        <v>1000000000000</v>
      </c>
      <c r="BH31" s="181">
        <f ca="1">IF($D31&lt;&gt;"Serviço",0,IF(AND(AUTOEVENTO="Manual",$M31=1),0,IF(OFFSET(CRONOPLE!$F$14,$M31,BH$13)="",10^12,OFFSET(CRONOPLE!$F$14,$M31,BH$13))))</f>
        <v>1000000000000</v>
      </c>
      <c r="BI31" s="181">
        <f ca="1">IF($D31&lt;&gt;"Serviço",0,IF(AND(AUTOEVENTO="Manual",$M31=1),0,IF(OFFSET(CRONOPLE!$F$14,$M31,BI$13)="",10^12,OFFSET(CRONOPLE!$F$14,$M31,BI$13))))</f>
        <v>1000000000000</v>
      </c>
      <c r="BJ31" s="181">
        <f ca="1">IF($D31&lt;&gt;"Serviço",0,IF(AND(AUTOEVENTO="Manual",$M31=1),0,IF(OFFSET(CRONOPLE!$F$14,$M31,BJ$13)="",10^12,OFFSET(CRONOPLE!$F$14,$M31,BJ$13))))</f>
        <v>1000000000000</v>
      </c>
      <c r="BK31" s="181">
        <f ca="1">IF($D31&lt;&gt;"Serviço",0,IF(AND(AUTOEVENTO="Manual",$M31=1),0,IF(OFFSET(CRONOPLE!$F$14,$M31,BK$13)="",10^12,OFFSET(CRONOPLE!$F$14,$M31,BK$13))))</f>
        <v>1000000000000</v>
      </c>
      <c r="BL31" s="181">
        <f ca="1">IF($D31&lt;&gt;"Serviço",0,IF(AND(AUTOEVENTO="Manual",$M31=1),0,IF(OFFSET(CRONOPLE!$F$14,$M31,BL$13)="",10^12,OFFSET(CRONOPLE!$F$14,$M31,BL$13))))</f>
        <v>1000000000000</v>
      </c>
      <c r="BM31" s="181">
        <f ca="1">IF($D31&lt;&gt;"Serviço",0,IF(AND(AUTOEVENTO="Manual",$M31=1),0,IF(OFFSET(CRONOPLE!$F$14,$M31,BM$13)="",10^12,OFFSET(CRONOPLE!$F$14,$M31,BM$13))))</f>
        <v>1000000000000</v>
      </c>
      <c r="BN31" s="181">
        <f ca="1">IF($D31&lt;&gt;"Serviço",0,IF(AND(AUTOEVENTO="Manual",$M31=1),0,IF(OFFSET(CRONOPLE!$F$14,$M31,BN$13)="",10^12,OFFSET(CRONOPLE!$F$14,$M31,BN$13))))</f>
        <v>1000000000000</v>
      </c>
      <c r="BO31" s="181">
        <f ca="1">IF($D31&lt;&gt;"Serviço",0,IF(AND(AUTOEVENTO="Manual",$M31=1),0,IF(OFFSET(CRONOPLE!$F$14,$M31,BO$13)="",10^12,OFFSET(CRONOPLE!$F$14,$M31,BO$13))))</f>
        <v>1000000000000</v>
      </c>
      <c r="BP31" s="181">
        <f ca="1">IF($D31&lt;&gt;"Serviço",0,IF(AND(AUTOEVENTO="Manual",$M31=1),0,IF(OFFSET(CRONOPLE!$F$14,$M31,BP$13)="",10^12,OFFSET(CRONOPLE!$F$14,$M31,BP$13))))</f>
        <v>1000000000000</v>
      </c>
      <c r="BQ31" s="181">
        <f ca="1">IF($D31&lt;&gt;"Serviço",0,IF(AND(AUTOEVENTO="Manual",$M31=1),0,IF(OFFSET(CRONOPLE!$F$14,$M31,BQ$13)="",10^12,OFFSET(CRONOPLE!$F$14,$M31,BQ$13))))</f>
        <v>1000000000000</v>
      </c>
      <c r="BR31" s="181">
        <f ca="1">IF($D31&lt;&gt;"Serviço",0,IF(AND(AUTOEVENTO="Manual",$M31=1),0,IF(OFFSET(CRONOPLE!$F$14,$M31,BR$13)="",10^12,OFFSET(CRONOPLE!$F$14,$M31,BR$13))))</f>
        <v>1000000000000</v>
      </c>
      <c r="BS31" s="181">
        <f ca="1">IF($D31&lt;&gt;"Serviço",0,IF(AND(AUTOEVENTO="Manual",$M31=1),0,IF(OFFSET(CRONOPLE!$F$14,$M31,BS$13)="",10^12,OFFSET(CRONOPLE!$F$14,$M31,BS$13))))</f>
        <v>1000000000000</v>
      </c>
      <c r="BT31" s="181">
        <f ca="1">IF($D31&lt;&gt;"Serviço",0,IF(AND(AUTOEVENTO="Manual",$M31=1),0,IF(OFFSET(CRONOPLE!$F$14,$M31,BT$13)="",10^12,OFFSET(CRONOPLE!$F$14,$M31,BT$13))))</f>
        <v>1000000000000</v>
      </c>
      <c r="BV31" s="182">
        <f ca="1">IF($D31&lt;&gt;"Serviço",0,IF(OR(AND(AUTOEVENTO="Manual",$M31=1),$M31&gt;(ROW(PLE.lastrow)-ROW(PLE.firstrow))),0,IF(OFFSET(PLE!$G$14,$M31,BV$13)="",10^12,OFFSET(PLE!$G$14,$M31,BV$13))))</f>
        <v>1000000000000</v>
      </c>
      <c r="BW31" s="182">
        <f ca="1">IF($D31&lt;&gt;"Serviço",0,IF(OR(AND(AUTOEVENTO="Manual",$M31=1),$M31&gt;(ROW(PLE.lastrow)-ROW(PLE.firstrow))),0,IF(OFFSET(PLE!$G$14,$M31,BW$13)="",10^12,OFFSET(PLE!$G$14,$M31,BW$13))))</f>
        <v>1000000000000</v>
      </c>
      <c r="BX31" s="182">
        <f ca="1">IF($D31&lt;&gt;"Serviço",0,IF(OR(AND(AUTOEVENTO="Manual",$M31=1),$M31&gt;(ROW(PLE.lastrow)-ROW(PLE.firstrow))),0,IF(OFFSET(PLE!$G$14,$M31,BX$13)="",10^12,OFFSET(PLE!$G$14,$M31,BX$13))))</f>
        <v>1000000000000</v>
      </c>
      <c r="BY31" s="182">
        <f ca="1">IF($D31&lt;&gt;"Serviço",0,IF(OR(AND(AUTOEVENTO="Manual",$M31=1),$M31&gt;(ROW(PLE.lastrow)-ROW(PLE.firstrow))),0,IF(OFFSET(PLE!$G$14,$M31,BY$13)="",10^12,OFFSET(PLE!$G$14,$M31,BY$13))))</f>
        <v>1000000000000</v>
      </c>
      <c r="BZ31" s="182">
        <f ca="1">IF($D31&lt;&gt;"Serviço",0,IF(OR(AND(AUTOEVENTO="Manual",$M31=1),$M31&gt;(ROW(PLE.lastrow)-ROW(PLE.firstrow))),0,IF(OFFSET(PLE!$G$14,$M31,BZ$13)="",10^12,OFFSET(PLE!$G$14,$M31,BZ$13))))</f>
        <v>1000000000000</v>
      </c>
      <c r="CA31" s="182">
        <f ca="1">IF($D31&lt;&gt;"Serviço",0,IF(OR(AND(AUTOEVENTO="Manual",$M31=1),$M31&gt;(ROW(PLE.lastrow)-ROW(PLE.firstrow))),0,IF(OFFSET(PLE!$G$14,$M31,CA$13)="",10^12,OFFSET(PLE!$G$14,$M31,CA$13))))</f>
        <v>1000000000000</v>
      </c>
      <c r="CB31" s="182">
        <f ca="1">IF($D31&lt;&gt;"Serviço",0,IF(OR(AND(AUTOEVENTO="Manual",$M31=1),$M31&gt;(ROW(PLE.lastrow)-ROW(PLE.firstrow))),0,IF(OFFSET(PLE!$G$14,$M31,CB$13)="",10^12,OFFSET(PLE!$G$14,$M31,CB$13))))</f>
        <v>1000000000000</v>
      </c>
      <c r="CC31" s="182">
        <f ca="1">IF($D31&lt;&gt;"Serviço",0,IF(OR(AND(AUTOEVENTO="Manual",$M31=1),$M31&gt;(ROW(PLE.lastrow)-ROW(PLE.firstrow))),0,IF(OFFSET(PLE!$G$14,$M31,CC$13)="",10^12,OFFSET(PLE!$G$14,$M31,CC$13))))</f>
        <v>1000000000000</v>
      </c>
      <c r="CD31" s="182">
        <f ca="1">IF($D31&lt;&gt;"Serviço",0,IF(OR(AND(AUTOEVENTO="Manual",$M31=1),$M31&gt;(ROW(PLE.lastrow)-ROW(PLE.firstrow))),0,IF(OFFSET(PLE!$G$14,$M31,CD$13)="",10^12,OFFSET(PLE!$G$14,$M31,CD$13))))</f>
        <v>1000000000000</v>
      </c>
      <c r="CE31" s="182">
        <f ca="1">IF($D31&lt;&gt;"Serviço",0,IF(OR(AND(AUTOEVENTO="Manual",$M31=1),$M31&gt;(ROW(PLE.lastrow)-ROW(PLE.firstrow))),0,IF(OFFSET(PLE!$G$14,$M31,CE$13)="",10^12,OFFSET(PLE!$G$14,$M31,CE$13))))</f>
        <v>1000000000000</v>
      </c>
      <c r="CF31" s="182">
        <f ca="1">IF($D31&lt;&gt;"Serviço",0,IF(OR(AND(AUTOEVENTO="Manual",$M31=1),$M31&gt;(ROW(PLE.lastrow)-ROW(PLE.firstrow))),0,IF(OFFSET(PLE!$G$14,$M31,CF$13)="",10^12,OFFSET(PLE!$G$14,$M31,CF$13))))</f>
        <v>1000000000000</v>
      </c>
      <c r="CG31" s="182">
        <f ca="1">IF($D31&lt;&gt;"Serviço",0,IF(OR(AND(AUTOEVENTO="Manual",$M31=1),$M31&gt;(ROW(PLE.lastrow)-ROW(PLE.firstrow))),0,IF(OFFSET(PLE!$G$14,$M31,CG$13)="",10^12,OFFSET(PLE!$G$14,$M31,CG$13))))</f>
        <v>1000000000000</v>
      </c>
      <c r="CH31" s="182">
        <f ca="1">IF($D31&lt;&gt;"Serviço",0,IF(OR(AND(AUTOEVENTO="Manual",$M31=1),$M31&gt;(ROW(PLE.lastrow)-ROW(PLE.firstrow))),0,IF(OFFSET(PLE!$G$14,$M31,CH$13)="",10^12,OFFSET(PLE!$G$14,$M31,CH$13))))</f>
        <v>1000000000000</v>
      </c>
      <c r="CI31" s="182">
        <f ca="1">IF($D31&lt;&gt;"Serviço",0,IF(OR(AND(AUTOEVENTO="Manual",$M31=1),$M31&gt;(ROW(PLE.lastrow)-ROW(PLE.firstrow))),0,IF(OFFSET(PLE!$G$14,$M31,CI$13)="",10^12,OFFSET(PLE!$G$14,$M31,CI$13))))</f>
        <v>1000000000000</v>
      </c>
      <c r="CJ31" s="182">
        <f ca="1">IF($D31&lt;&gt;"Serviço",0,IF(OR(AND(AUTOEVENTO="Manual",$M31=1),$M31&gt;(ROW(PLE.lastrow)-ROW(PLE.firstrow))),0,IF(OFFSET(PLE!$G$14,$M31,CJ$13)="",10^12,OFFSET(PLE!$G$14,$M31,CJ$13))))</f>
        <v>1000000000000</v>
      </c>
      <c r="CK31" s="182">
        <f ca="1">IF($D31&lt;&gt;"Serviço",0,IF(OR(AND(AUTOEVENTO="Manual",$M31=1),$M31&gt;(ROW(PLE.lastrow)-ROW(PLE.firstrow))),0,IF(OFFSET(PLE!$G$14,$M31,CK$13)="",10^12,OFFSET(PLE!$G$14,$M31,CK$13))))</f>
        <v>1000000000000</v>
      </c>
      <c r="CL31" s="182">
        <f ca="1">IF($D31&lt;&gt;"Serviço",0,IF(OR(AND(AUTOEVENTO="Manual",$M31=1),$M31&gt;(ROW(PLE.lastrow)-ROW(PLE.firstrow))),0,IF(OFFSET(PLE!$G$14,$M31,CL$13)="",10^12,OFFSET(PLE!$G$14,$M31,CL$13))))</f>
        <v>1000000000000</v>
      </c>
      <c r="CM31" s="182">
        <f ca="1">IF($D31&lt;&gt;"Serviço",0,IF(OR(AND(AUTOEVENTO="Manual",$M31=1),$M31&gt;(ROW(PLE.lastrow)-ROW(PLE.firstrow))),0,IF(OFFSET(PLE!$G$14,$M31,CM$13)="",10^12,OFFSET(PLE!$G$14,$M31,CM$13))))</f>
        <v>1000000000000</v>
      </c>
    </row>
    <row r="32" spans="1:91" ht="38.25" x14ac:dyDescent="0.2">
      <c r="A32" s="7" t="str">
        <f t="shared" ca="1" si="9"/>
        <v>14</v>
      </c>
      <c r="B32" s="7" t="str">
        <f ca="1">OFFSET(ORÇAMENTO!C$15,ROW(B32)-ROW(B$15),0)</f>
        <v>S</v>
      </c>
      <c r="C32" s="7" t="str">
        <f ca="1">OFFSET(ORÇAMENTO!L$15,ROW(C32)-ROW(C$15),0)</f>
        <v/>
      </c>
      <c r="D32" s="118" t="str">
        <f ca="1">OFFSET(ORÇAMENTO!N$15,ROW(D32)-ROW(D$15),0)</f>
        <v>Serviço</v>
      </c>
      <c r="E32" s="119" t="str">
        <f ca="1">OFFSET(ORÇAMENTO!O$15,ROW(E32)-ROW(E$15),0)</f>
        <v>-</v>
      </c>
      <c r="F32" s="172" t="str">
        <f ca="1">OFFSET(ORÇAMENTO!R$15,ROW(F32)-ROW(F$15),0)</f>
        <v>(abra o arquivo 'Referência 06-2024.xlsm)</v>
      </c>
      <c r="G32" s="173" t="str">
        <f ca="1">IF($D32&lt;&gt;"Serviço","",OFFSET(ORÇAMENTO!S$15,ROW(G32)-ROW(G$15),0))</f>
        <v>-</v>
      </c>
      <c r="H32" s="124">
        <f ca="1">IF($D32&lt;&gt;"Serviço",0,IF(ACOMPANHAMENTO="BM",ROUND(OFFSET(ORÇAMENTO!AJ$15,ROW(H32)-ROW(H$15),0),15-13*ORÇAMENTO!$AF$7),SUMPRODUCT(($Q$12:$AI$12&lt;&gt;"")*ROUND($Q32:$AI32,15-13*ORÇAMENTO!$AF$7))))</f>
        <v>107.36</v>
      </c>
      <c r="I32" s="561" t="s">
        <v>1107</v>
      </c>
      <c r="K32" s="174" t="s">
        <v>1022</v>
      </c>
      <c r="L32" s="175" t="s">
        <v>255</v>
      </c>
      <c r="M32" s="176">
        <f ca="1">IF($D32&lt;&gt;"Serviço","",IF(AUTOEVENTO="manual",$A32,IF(ISERROR(MATCH($A32,$A$15:OFFSET($A32,-1,0),0)),MAX($M$15:OFFSET(M32,-1,0))+1,INDEX($M$15:OFFSET(M32,-1,0),MATCH($A32,$A$15:OFFSET($A32,-1,0),0)))))</f>
        <v>5</v>
      </c>
      <c r="N32" s="177" t="str">
        <f ca="1">IF($D32&lt;&gt;"Serviço","",IF(AUTOEVENTO="Manual",IF($A32=0,"&lt;-- defina o número do agrupador",OFFSET(EVENTOS!$D$14,$A32,0)),OFFSET($F$15,$A32,0)))</f>
        <v>MOVIMENTO DE TERRA PARA FUNDAÇÕES</v>
      </c>
      <c r="O32" s="178"/>
      <c r="Q32" s="178">
        <v>107.36</v>
      </c>
      <c r="R32" s="179"/>
      <c r="S32" s="179"/>
      <c r="T32" s="179"/>
      <c r="U32" s="179"/>
      <c r="V32" s="179"/>
      <c r="W32" s="179"/>
      <c r="X32" s="179"/>
      <c r="Y32" s="179"/>
      <c r="Z32" s="180"/>
      <c r="AA32" s="179"/>
      <c r="AB32" s="179"/>
      <c r="AC32" s="179"/>
      <c r="AD32" s="179"/>
      <c r="AE32" s="179"/>
      <c r="AF32" s="179"/>
      <c r="AG32" s="179"/>
      <c r="AH32" s="180"/>
      <c r="AJ32" s="544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545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L32" s="545">
        <f ca="1">IF(AND($D32="Serviço",AL$12&lt;&gt;0,$H32&gt;0,OR(AUTOEVENTO&lt;&gt;"manual",$M32&lt;&gt;1)),
IF(Import.TipoArredondamento&lt;&gt;"TransfereGOV",
ROUND(OFFSET($P32,0,AL$13),15-13*ORÇAMENTO!$AF$7)/$H32*OFFSET(ORÇAMENTO!$X$15,ROW(AL32)-ROW(AL$15),0),
ROUND(ROUND(OFFSET($P32,0,AL$13),15-13*ORÇAMENTO!$AF$7)*OFFSET(ORÇAMENTO!$W$15,ROW(AL32)-ROW(AL$15),0),15-13*ORÇAMENTO!$AF$11)),0)</f>
        <v>0</v>
      </c>
      <c r="AM32" s="545">
        <f ca="1">IF(AND($D32="Serviço",AM$12&lt;&gt;0,$H32&gt;0,OR(AUTOEVENTO&lt;&gt;"manual",$M32&lt;&gt;1)),
IF(Import.TipoArredondamento&lt;&gt;"TransfereGOV",
ROUND(OFFSET($P32,0,AM$13),15-13*ORÇAMENTO!$AF$7)/$H32*OFFSET(ORÇAMENTO!$X$15,ROW(AM32)-ROW(AM$15),0),
ROUND(ROUND(OFFSET($P32,0,AM$13),15-13*ORÇAMENTO!$AF$7)*OFFSET(ORÇAMENTO!$W$15,ROW(AM32)-ROW(AM$15),0),15-13*ORÇAMENTO!$AF$11)),0)</f>
        <v>0</v>
      </c>
      <c r="AN32" s="545">
        <f ca="1">IF(AND($D32="Serviço",AN$12&lt;&gt;0,$H32&gt;0,OR(AUTOEVENTO&lt;&gt;"manual",$M32&lt;&gt;1)),
IF(Import.TipoArredondamento&lt;&gt;"TransfereGOV",
ROUND(OFFSET($P32,0,AN$13),15-13*ORÇAMENTO!$AF$7)/$H32*OFFSET(ORÇAMENTO!$X$15,ROW(AN32)-ROW(AN$15),0),
ROUND(ROUND(OFFSET($P32,0,AN$13),15-13*ORÇAMENTO!$AF$7)*OFFSET(ORÇAMENTO!$W$15,ROW(AN32)-ROW(AN$15),0),15-13*ORÇAMENTO!$AF$11)),0)</f>
        <v>0</v>
      </c>
      <c r="AO32" s="545">
        <f ca="1">IF(AND($D32="Serviço",AO$12&lt;&gt;0,$H32&gt;0,OR(AUTOEVENTO&lt;&gt;"manual",$M32&lt;&gt;1)),
IF(Import.TipoArredondamento&lt;&gt;"TransfereGOV",
ROUND(OFFSET($P32,0,AO$13),15-13*ORÇAMENTO!$AF$7)/$H32*OFFSET(ORÇAMENTO!$X$15,ROW(AO32)-ROW(AO$15),0),
ROUND(ROUND(OFFSET($P32,0,AO$13),15-13*ORÇAMENTO!$AF$7)*OFFSET(ORÇAMENTO!$W$15,ROW(AO32)-ROW(AO$15),0),15-13*ORÇAMENTO!$AF$11)),0)</f>
        <v>0</v>
      </c>
      <c r="AP32" s="545">
        <f ca="1">IF(AND($D32="Serviço",AP$12&lt;&gt;0,$H32&gt;0,OR(AUTOEVENTO&lt;&gt;"manual",$M32&lt;&gt;1)),
IF(Import.TipoArredondamento&lt;&gt;"TransfereGOV",
ROUND(OFFSET($P32,0,AP$13),15-13*ORÇAMENTO!$AF$7)/$H32*OFFSET(ORÇAMENTO!$X$15,ROW(AP32)-ROW(AP$15),0),
ROUND(ROUND(OFFSET($P32,0,AP$13),15-13*ORÇAMENTO!$AF$7)*OFFSET(ORÇAMENTO!$W$15,ROW(AP32)-ROW(AP$15),0),15-13*ORÇAMENTO!$AF$11)),0)</f>
        <v>0</v>
      </c>
      <c r="AQ32" s="545">
        <f ca="1">IF(AND($D32="Serviço",AQ$12&lt;&gt;0,$H32&gt;0,OR(AUTOEVENTO&lt;&gt;"manual",$M32&lt;&gt;1)),
IF(Import.TipoArredondamento&lt;&gt;"TransfereGOV",
ROUND(OFFSET($P32,0,AQ$13),15-13*ORÇAMENTO!$AF$7)/$H32*OFFSET(ORÇAMENTO!$X$15,ROW(AQ32)-ROW(AQ$15),0),
ROUND(ROUND(OFFSET($P32,0,AQ$13),15-13*ORÇAMENTO!$AF$7)*OFFSET(ORÇAMENTO!$W$15,ROW(AQ32)-ROW(AQ$15),0),15-13*ORÇAMENTO!$AF$11)),0)</f>
        <v>0</v>
      </c>
      <c r="AR32" s="545">
        <f ca="1">IF(AND($D32="Serviço",AR$12&lt;&gt;0,$H32&gt;0,OR(AUTOEVENTO&lt;&gt;"manual",$M32&lt;&gt;1)),
IF(Import.TipoArredondamento&lt;&gt;"TransfereGOV",
ROUND(OFFSET($P32,0,AR$13),15-13*ORÇAMENTO!$AF$7)/$H32*OFFSET(ORÇAMENTO!$X$15,ROW(AR32)-ROW(AR$15),0),
ROUND(ROUND(OFFSET($P32,0,AR$13),15-13*ORÇAMENTO!$AF$7)*OFFSET(ORÇAMENTO!$W$15,ROW(AR32)-ROW(AR$15),0),15-13*ORÇAMENTO!$AF$11)),0)</f>
        <v>0</v>
      </c>
      <c r="AS32" s="546">
        <f ca="1">IF(AND($D32="Serviço",AS$12&lt;&gt;0,$H32&gt;0,OR(AUTOEVENTO&lt;&gt;"manual",$M32&lt;&gt;1)),
IF(Import.TipoArredondamento&lt;&gt;"TransfereGOV",
ROUND(OFFSET($P32,0,AS$13),15-13*ORÇAMENTO!$AF$7)/$H32*OFFSET(ORÇAMENTO!$X$15,ROW(AS32)-ROW(AS$15),0),
ROUND(ROUND(OFFSET($P32,0,AS$13),15-13*ORÇAMENTO!$AF$7)*OFFSET(ORÇAMENTO!$W$15,ROW(AS32)-ROW(AS$15),0),15-13*ORÇAMENTO!$AF$11)),0)</f>
        <v>0</v>
      </c>
      <c r="AT32" s="545">
        <f ca="1">IF(AND($D32="Serviço",AT$12&lt;&gt;0,$H32&gt;0,OR(AUTOEVENTO&lt;&gt;"manual",$M32&lt;&gt;1)),
IF(Import.TipoArredondamento&lt;&gt;"TransfereGOV",
ROUND(OFFSET($P32,0,AT$13),15-13*ORÇAMENTO!$AF$7)/$H32*OFFSET(ORÇAMENTO!$X$15,ROW(AT32)-ROW(AT$15),0),
ROUND(ROUND(OFFSET($P32,0,AT$13),15-13*ORÇAMENTO!$AF$7)*OFFSET(ORÇAMENTO!$W$15,ROW(AT32)-ROW(AT$15),0),15-13*ORÇAMENTO!$AF$11)),0)</f>
        <v>0</v>
      </c>
      <c r="AU32" s="545">
        <f ca="1">IF(AND($D32="Serviço",AU$12&lt;&gt;0,$H32&gt;0,OR(AUTOEVENTO&lt;&gt;"manual",$M32&lt;&gt;1)),
IF(Import.TipoArredondamento&lt;&gt;"TransfereGOV",
ROUND(OFFSET($P32,0,AU$13),15-13*ORÇAMENTO!$AF$7)/$H32*OFFSET(ORÇAMENTO!$X$15,ROW(AU32)-ROW(AU$15),0),
ROUND(ROUND(OFFSET($P32,0,AU$13),15-13*ORÇAMENTO!$AF$7)*OFFSET(ORÇAMENTO!$W$15,ROW(AU32)-ROW(AU$15),0),15-13*ORÇAMENTO!$AF$11)),0)</f>
        <v>0</v>
      </c>
      <c r="AV32" s="545">
        <f ca="1">IF(AND($D32="Serviço",AV$12&lt;&gt;0,$H32&gt;0,OR(AUTOEVENTO&lt;&gt;"manual",$M32&lt;&gt;1)),
IF(Import.TipoArredondamento&lt;&gt;"TransfereGOV",
ROUND(OFFSET($P32,0,AV$13),15-13*ORÇAMENTO!$AF$7)/$H32*OFFSET(ORÇAMENTO!$X$15,ROW(AV32)-ROW(AV$15),0),
ROUND(ROUND(OFFSET($P32,0,AV$13),15-13*ORÇAMENTO!$AF$7)*OFFSET(ORÇAMENTO!$W$15,ROW(AV32)-ROW(AV$15),0),15-13*ORÇAMENTO!$AF$11)),0)</f>
        <v>0</v>
      </c>
      <c r="AW32" s="545">
        <f ca="1">IF(AND($D32="Serviço",AW$12&lt;&gt;0,$H32&gt;0,OR(AUTOEVENTO&lt;&gt;"manual",$M32&lt;&gt;1)),
IF(Import.TipoArredondamento&lt;&gt;"TransfereGOV",
ROUND(OFFSET($P32,0,AW$13),15-13*ORÇAMENTO!$AF$7)/$H32*OFFSET(ORÇAMENTO!$X$15,ROW(AW32)-ROW(AW$15),0),
ROUND(ROUND(OFFSET($P32,0,AW$13),15-13*ORÇAMENTO!$AF$7)*OFFSET(ORÇAMENTO!$W$15,ROW(AW32)-ROW(AW$15),0),15-13*ORÇAMENTO!$AF$11)),0)</f>
        <v>0</v>
      </c>
      <c r="AX32" s="545">
        <f ca="1">IF(AND($D32="Serviço",AX$12&lt;&gt;0,$H32&gt;0,OR(AUTOEVENTO&lt;&gt;"manual",$M32&lt;&gt;1)),
IF(Import.TipoArredondamento&lt;&gt;"TransfereGOV",
ROUND(OFFSET($P32,0,AX$13),15-13*ORÇAMENTO!$AF$7)/$H32*OFFSET(ORÇAMENTO!$X$15,ROW(AX32)-ROW(AX$15),0),
ROUND(ROUND(OFFSET($P32,0,AX$13),15-13*ORÇAMENTO!$AF$7)*OFFSET(ORÇAMENTO!$W$15,ROW(AX32)-ROW(AX$15),0),15-13*ORÇAMENTO!$AF$11)),0)</f>
        <v>0</v>
      </c>
      <c r="AY32" s="545">
        <f ca="1">IF(AND($D32="Serviço",AY$12&lt;&gt;0,$H32&gt;0,OR(AUTOEVENTO&lt;&gt;"manual",$M32&lt;&gt;1)),
IF(Import.TipoArredondamento&lt;&gt;"TransfereGOV",
ROUND(OFFSET($P32,0,AY$13),15-13*ORÇAMENTO!$AF$7)/$H32*OFFSET(ORÇAMENTO!$X$15,ROW(AY32)-ROW(AY$15),0),
ROUND(ROUND(OFFSET($P32,0,AY$13),15-13*ORÇAMENTO!$AF$7)*OFFSET(ORÇAMENTO!$W$15,ROW(AY32)-ROW(AY$15),0),15-13*ORÇAMENTO!$AF$11)),0)</f>
        <v>0</v>
      </c>
      <c r="AZ32" s="545">
        <f ca="1">IF(AND($D32="Serviço",AZ$12&lt;&gt;0,$H32&gt;0,OR(AUTOEVENTO&lt;&gt;"manual",$M32&lt;&gt;1)),
IF(Import.TipoArredondamento&lt;&gt;"TransfereGOV",
ROUND(OFFSET($P32,0,AZ$13),15-13*ORÇAMENTO!$AF$7)/$H32*OFFSET(ORÇAMENTO!$X$15,ROW(AZ32)-ROW(AZ$15),0),
ROUND(ROUND(OFFSET($P32,0,AZ$13),15-13*ORÇAMENTO!$AF$7)*OFFSET(ORÇAMENTO!$W$15,ROW(AZ32)-ROW(AZ$15),0),15-13*ORÇAMENTO!$AF$11)),0)</f>
        <v>0</v>
      </c>
      <c r="BA32" s="546">
        <f ca="1">IF(AND($D32="Serviço",BA$12&lt;&gt;0,$H32&gt;0,OR(AUTOEVENTO&lt;&gt;"manual",$M32&lt;&gt;1)),
IF(Import.TipoArredondamento&lt;&gt;"TransfereGOV",
ROUND(OFFSET($P32,0,BA$13),15-13*ORÇAMENTO!$AF$7)/$H32*OFFSET(ORÇAMENTO!$X$15,ROW(BA32)-ROW(BA$15),0),
ROUND(ROUND(OFFSET($P32,0,BA$13),15-13*ORÇAMENTO!$AF$7)*OFFSET(ORÇAMENTO!$W$15,ROW(BA32)-ROW(BA$15),0),15-13*ORÇAMENTO!$AF$11)),0)</f>
        <v>0</v>
      </c>
      <c r="BC32" s="181">
        <f ca="1">IF($D32&lt;&gt;"Serviço",0,IF(AND(AUTOEVENTO="Manual",$M32=1),0,IF(OFFSET(CRONOPLE!$F$14,$M32,BC$13)="",10^12,OFFSET(CRONOPLE!$F$14,$M32,BC$13))))</f>
        <v>2</v>
      </c>
      <c r="BD32" s="181">
        <f ca="1">IF($D32&lt;&gt;"Serviço",0,IF(AND(AUTOEVENTO="Manual",$M32=1),0,IF(OFFSET(CRONOPLE!$F$14,$M32,BD$13)="",10^12,OFFSET(CRONOPLE!$F$14,$M32,BD$13))))</f>
        <v>1000000000000</v>
      </c>
      <c r="BE32" s="181">
        <f ca="1">IF($D32&lt;&gt;"Serviço",0,IF(AND(AUTOEVENTO="Manual",$M32=1),0,IF(OFFSET(CRONOPLE!$F$14,$M32,BE$13)="",10^12,OFFSET(CRONOPLE!$F$14,$M32,BE$13))))</f>
        <v>1000000000000</v>
      </c>
      <c r="BF32" s="181">
        <f ca="1">IF($D32&lt;&gt;"Serviço",0,IF(AND(AUTOEVENTO="Manual",$M32=1),0,IF(OFFSET(CRONOPLE!$F$14,$M32,BF$13)="",10^12,OFFSET(CRONOPLE!$F$14,$M32,BF$13))))</f>
        <v>1000000000000</v>
      </c>
      <c r="BG32" s="181">
        <f ca="1">IF($D32&lt;&gt;"Serviço",0,IF(AND(AUTOEVENTO="Manual",$M32=1),0,IF(OFFSET(CRONOPLE!$F$14,$M32,BG$13)="",10^12,OFFSET(CRONOPLE!$F$14,$M32,BG$13))))</f>
        <v>1000000000000</v>
      </c>
      <c r="BH32" s="181">
        <f ca="1">IF($D32&lt;&gt;"Serviço",0,IF(AND(AUTOEVENTO="Manual",$M32=1),0,IF(OFFSET(CRONOPLE!$F$14,$M32,BH$13)="",10^12,OFFSET(CRONOPLE!$F$14,$M32,BH$13))))</f>
        <v>1000000000000</v>
      </c>
      <c r="BI32" s="181">
        <f ca="1">IF($D32&lt;&gt;"Serviço",0,IF(AND(AUTOEVENTO="Manual",$M32=1),0,IF(OFFSET(CRONOPLE!$F$14,$M32,BI$13)="",10^12,OFFSET(CRONOPLE!$F$14,$M32,BI$13))))</f>
        <v>1000000000000</v>
      </c>
      <c r="BJ32" s="181">
        <f ca="1">IF($D32&lt;&gt;"Serviço",0,IF(AND(AUTOEVENTO="Manual",$M32=1),0,IF(OFFSET(CRONOPLE!$F$14,$M32,BJ$13)="",10^12,OFFSET(CRONOPLE!$F$14,$M32,BJ$13))))</f>
        <v>1000000000000</v>
      </c>
      <c r="BK32" s="181">
        <f ca="1">IF($D32&lt;&gt;"Serviço",0,IF(AND(AUTOEVENTO="Manual",$M32=1),0,IF(OFFSET(CRONOPLE!$F$14,$M32,BK$13)="",10^12,OFFSET(CRONOPLE!$F$14,$M32,BK$13))))</f>
        <v>1000000000000</v>
      </c>
      <c r="BL32" s="181">
        <f ca="1">IF($D32&lt;&gt;"Serviço",0,IF(AND(AUTOEVENTO="Manual",$M32=1),0,IF(OFFSET(CRONOPLE!$F$14,$M32,BL$13)="",10^12,OFFSET(CRONOPLE!$F$14,$M32,BL$13))))</f>
        <v>1000000000000</v>
      </c>
      <c r="BM32" s="181">
        <f ca="1">IF($D32&lt;&gt;"Serviço",0,IF(AND(AUTOEVENTO="Manual",$M32=1),0,IF(OFFSET(CRONOPLE!$F$14,$M32,BM$13)="",10^12,OFFSET(CRONOPLE!$F$14,$M32,BM$13))))</f>
        <v>1000000000000</v>
      </c>
      <c r="BN32" s="181">
        <f ca="1">IF($D32&lt;&gt;"Serviço",0,IF(AND(AUTOEVENTO="Manual",$M32=1),0,IF(OFFSET(CRONOPLE!$F$14,$M32,BN$13)="",10^12,OFFSET(CRONOPLE!$F$14,$M32,BN$13))))</f>
        <v>1000000000000</v>
      </c>
      <c r="BO32" s="181">
        <f ca="1">IF($D32&lt;&gt;"Serviço",0,IF(AND(AUTOEVENTO="Manual",$M32=1),0,IF(OFFSET(CRONOPLE!$F$14,$M32,BO$13)="",10^12,OFFSET(CRONOPLE!$F$14,$M32,BO$13))))</f>
        <v>1000000000000</v>
      </c>
      <c r="BP32" s="181">
        <f ca="1">IF($D32&lt;&gt;"Serviço",0,IF(AND(AUTOEVENTO="Manual",$M32=1),0,IF(OFFSET(CRONOPLE!$F$14,$M32,BP$13)="",10^12,OFFSET(CRONOPLE!$F$14,$M32,BP$13))))</f>
        <v>1000000000000</v>
      </c>
      <c r="BQ32" s="181">
        <f ca="1">IF($D32&lt;&gt;"Serviço",0,IF(AND(AUTOEVENTO="Manual",$M32=1),0,IF(OFFSET(CRONOPLE!$F$14,$M32,BQ$13)="",10^12,OFFSET(CRONOPLE!$F$14,$M32,BQ$13))))</f>
        <v>1000000000000</v>
      </c>
      <c r="BR32" s="181">
        <f ca="1">IF($D32&lt;&gt;"Serviço",0,IF(AND(AUTOEVENTO="Manual",$M32=1),0,IF(OFFSET(CRONOPLE!$F$14,$M32,BR$13)="",10^12,OFFSET(CRONOPLE!$F$14,$M32,BR$13))))</f>
        <v>1000000000000</v>
      </c>
      <c r="BS32" s="181">
        <f ca="1">IF($D32&lt;&gt;"Serviço",0,IF(AND(AUTOEVENTO="Manual",$M32=1),0,IF(OFFSET(CRONOPLE!$F$14,$M32,BS$13)="",10^12,OFFSET(CRONOPLE!$F$14,$M32,BS$13))))</f>
        <v>1000000000000</v>
      </c>
      <c r="BT32" s="181">
        <f ca="1">IF($D32&lt;&gt;"Serviço",0,IF(AND(AUTOEVENTO="Manual",$M32=1),0,IF(OFFSET(CRONOPLE!$F$14,$M32,BT$13)="",10^12,OFFSET(CRONOPLE!$F$14,$M32,BT$13))))</f>
        <v>1000000000000</v>
      </c>
      <c r="BV32" s="182">
        <f ca="1">IF($D32&lt;&gt;"Serviço",0,IF(OR(AND(AUTOEVENTO="Manual",$M32=1),$M32&gt;(ROW(PLE.lastrow)-ROW(PLE.firstrow))),0,IF(OFFSET(PLE!$G$14,$M32,BV$13)="",10^12,OFFSET(PLE!$G$14,$M32,BV$13))))</f>
        <v>1000000000000</v>
      </c>
      <c r="BW32" s="182">
        <f ca="1">IF($D32&lt;&gt;"Serviço",0,IF(OR(AND(AUTOEVENTO="Manual",$M32=1),$M32&gt;(ROW(PLE.lastrow)-ROW(PLE.firstrow))),0,IF(OFFSET(PLE!$G$14,$M32,BW$13)="",10^12,OFFSET(PLE!$G$14,$M32,BW$13))))</f>
        <v>1000000000000</v>
      </c>
      <c r="BX32" s="182">
        <f ca="1">IF($D32&lt;&gt;"Serviço",0,IF(OR(AND(AUTOEVENTO="Manual",$M32=1),$M32&gt;(ROW(PLE.lastrow)-ROW(PLE.firstrow))),0,IF(OFFSET(PLE!$G$14,$M32,BX$13)="",10^12,OFFSET(PLE!$G$14,$M32,BX$13))))</f>
        <v>1000000000000</v>
      </c>
      <c r="BY32" s="182">
        <f ca="1">IF($D32&lt;&gt;"Serviço",0,IF(OR(AND(AUTOEVENTO="Manual",$M32=1),$M32&gt;(ROW(PLE.lastrow)-ROW(PLE.firstrow))),0,IF(OFFSET(PLE!$G$14,$M32,BY$13)="",10^12,OFFSET(PLE!$G$14,$M32,BY$13))))</f>
        <v>1000000000000</v>
      </c>
      <c r="BZ32" s="182">
        <f ca="1">IF($D32&lt;&gt;"Serviço",0,IF(OR(AND(AUTOEVENTO="Manual",$M32=1),$M32&gt;(ROW(PLE.lastrow)-ROW(PLE.firstrow))),0,IF(OFFSET(PLE!$G$14,$M32,BZ$13)="",10^12,OFFSET(PLE!$G$14,$M32,BZ$13))))</f>
        <v>1000000000000</v>
      </c>
      <c r="CA32" s="182">
        <f ca="1">IF($D32&lt;&gt;"Serviço",0,IF(OR(AND(AUTOEVENTO="Manual",$M32=1),$M32&gt;(ROW(PLE.lastrow)-ROW(PLE.firstrow))),0,IF(OFFSET(PLE!$G$14,$M32,CA$13)="",10^12,OFFSET(PLE!$G$14,$M32,CA$13))))</f>
        <v>1000000000000</v>
      </c>
      <c r="CB32" s="182">
        <f ca="1">IF($D32&lt;&gt;"Serviço",0,IF(OR(AND(AUTOEVENTO="Manual",$M32=1),$M32&gt;(ROW(PLE.lastrow)-ROW(PLE.firstrow))),0,IF(OFFSET(PLE!$G$14,$M32,CB$13)="",10^12,OFFSET(PLE!$G$14,$M32,CB$13))))</f>
        <v>1000000000000</v>
      </c>
      <c r="CC32" s="182">
        <f ca="1">IF($D32&lt;&gt;"Serviço",0,IF(OR(AND(AUTOEVENTO="Manual",$M32=1),$M32&gt;(ROW(PLE.lastrow)-ROW(PLE.firstrow))),0,IF(OFFSET(PLE!$G$14,$M32,CC$13)="",10^12,OFFSET(PLE!$G$14,$M32,CC$13))))</f>
        <v>1000000000000</v>
      </c>
      <c r="CD32" s="182">
        <f ca="1">IF($D32&lt;&gt;"Serviço",0,IF(OR(AND(AUTOEVENTO="Manual",$M32=1),$M32&gt;(ROW(PLE.lastrow)-ROW(PLE.firstrow))),0,IF(OFFSET(PLE!$G$14,$M32,CD$13)="",10^12,OFFSET(PLE!$G$14,$M32,CD$13))))</f>
        <v>1000000000000</v>
      </c>
      <c r="CE32" s="182">
        <f ca="1">IF($D32&lt;&gt;"Serviço",0,IF(OR(AND(AUTOEVENTO="Manual",$M32=1),$M32&gt;(ROW(PLE.lastrow)-ROW(PLE.firstrow))),0,IF(OFFSET(PLE!$G$14,$M32,CE$13)="",10^12,OFFSET(PLE!$G$14,$M32,CE$13))))</f>
        <v>1000000000000</v>
      </c>
      <c r="CF32" s="182">
        <f ca="1">IF($D32&lt;&gt;"Serviço",0,IF(OR(AND(AUTOEVENTO="Manual",$M32=1),$M32&gt;(ROW(PLE.lastrow)-ROW(PLE.firstrow))),0,IF(OFFSET(PLE!$G$14,$M32,CF$13)="",10^12,OFFSET(PLE!$G$14,$M32,CF$13))))</f>
        <v>1000000000000</v>
      </c>
      <c r="CG32" s="182">
        <f ca="1">IF($D32&lt;&gt;"Serviço",0,IF(OR(AND(AUTOEVENTO="Manual",$M32=1),$M32&gt;(ROW(PLE.lastrow)-ROW(PLE.firstrow))),0,IF(OFFSET(PLE!$G$14,$M32,CG$13)="",10^12,OFFSET(PLE!$G$14,$M32,CG$13))))</f>
        <v>1000000000000</v>
      </c>
      <c r="CH32" s="182">
        <f ca="1">IF($D32&lt;&gt;"Serviço",0,IF(OR(AND(AUTOEVENTO="Manual",$M32=1),$M32&gt;(ROW(PLE.lastrow)-ROW(PLE.firstrow))),0,IF(OFFSET(PLE!$G$14,$M32,CH$13)="",10^12,OFFSET(PLE!$G$14,$M32,CH$13))))</f>
        <v>1000000000000</v>
      </c>
      <c r="CI32" s="182">
        <f ca="1">IF($D32&lt;&gt;"Serviço",0,IF(OR(AND(AUTOEVENTO="Manual",$M32=1),$M32&gt;(ROW(PLE.lastrow)-ROW(PLE.firstrow))),0,IF(OFFSET(PLE!$G$14,$M32,CI$13)="",10^12,OFFSET(PLE!$G$14,$M32,CI$13))))</f>
        <v>1000000000000</v>
      </c>
      <c r="CJ32" s="182">
        <f ca="1">IF($D32&lt;&gt;"Serviço",0,IF(OR(AND(AUTOEVENTO="Manual",$M32=1),$M32&gt;(ROW(PLE.lastrow)-ROW(PLE.firstrow))),0,IF(OFFSET(PLE!$G$14,$M32,CJ$13)="",10^12,OFFSET(PLE!$G$14,$M32,CJ$13))))</f>
        <v>1000000000000</v>
      </c>
      <c r="CK32" s="182">
        <f ca="1">IF($D32&lt;&gt;"Serviço",0,IF(OR(AND(AUTOEVENTO="Manual",$M32=1),$M32&gt;(ROW(PLE.lastrow)-ROW(PLE.firstrow))),0,IF(OFFSET(PLE!$G$14,$M32,CK$13)="",10^12,OFFSET(PLE!$G$14,$M32,CK$13))))</f>
        <v>1000000000000</v>
      </c>
      <c r="CL32" s="182">
        <f ca="1">IF($D32&lt;&gt;"Serviço",0,IF(OR(AND(AUTOEVENTO="Manual",$M32=1),$M32&gt;(ROW(PLE.lastrow)-ROW(PLE.firstrow))),0,IF(OFFSET(PLE!$G$14,$M32,CL$13)="",10^12,OFFSET(PLE!$G$14,$M32,CL$13))))</f>
        <v>1000000000000</v>
      </c>
      <c r="CM32" s="182">
        <f ca="1">IF($D32&lt;&gt;"Serviço",0,IF(OR(AND(AUTOEVENTO="Manual",$M32=1),$M32&gt;(ROW(PLE.lastrow)-ROW(PLE.firstrow))),0,IF(OFFSET(PLE!$G$14,$M32,CM$13)="",10^12,OFFSET(PLE!$G$14,$M32,CM$13))))</f>
        <v>1000000000000</v>
      </c>
    </row>
    <row r="33" spans="1:91" ht="38.25" x14ac:dyDescent="0.2">
      <c r="A33" s="7" t="str">
        <f t="shared" ca="1" si="9"/>
        <v>14</v>
      </c>
      <c r="B33" s="7" t="str">
        <f ca="1">OFFSET(ORÇAMENTO!C$15,ROW(B33)-ROW(B$15),0)</f>
        <v>S</v>
      </c>
      <c r="C33" s="7" t="str">
        <f ca="1">OFFSET(ORÇAMENTO!L$15,ROW(C33)-ROW(C$15),0)</f>
        <v/>
      </c>
      <c r="D33" s="118" t="str">
        <f ca="1">OFFSET(ORÇAMENTO!N$15,ROW(D33)-ROW(D$15),0)</f>
        <v>Serviço</v>
      </c>
      <c r="E33" s="119" t="str">
        <f ca="1">OFFSET(ORÇAMENTO!O$15,ROW(E33)-ROW(E$15),0)</f>
        <v>-</v>
      </c>
      <c r="F33" s="172" t="str">
        <f ca="1">OFFSET(ORÇAMENTO!R$15,ROW(F33)-ROW(F$15),0)</f>
        <v>(abra o arquivo 'Referência 06-2024.xlsm)</v>
      </c>
      <c r="G33" s="173" t="str">
        <f ca="1">IF($D33&lt;&gt;"Serviço","",OFFSET(ORÇAMENTO!S$15,ROW(G33)-ROW(G$15),0))</f>
        <v>-</v>
      </c>
      <c r="H33" s="124">
        <f ca="1">IF($D33&lt;&gt;"Serviço",0,IF(ACOMPANHAMENTO="BM",ROUND(OFFSET(ORÇAMENTO!AJ$15,ROW(H33)-ROW(H$15),0),15-13*ORÇAMENTO!$AF$7),SUMPRODUCT(($Q$12:$AI$12&lt;&gt;"")*ROUND($Q33:$AI33,15-13*ORÇAMENTO!$AF$7))))</f>
        <v>41.4</v>
      </c>
      <c r="I33" s="561" t="s">
        <v>1107</v>
      </c>
      <c r="K33" s="174" t="s">
        <v>1022</v>
      </c>
      <c r="L33" s="175" t="s">
        <v>255</v>
      </c>
      <c r="M33" s="176">
        <f ca="1">IF($D33&lt;&gt;"Serviço","",IF(AUTOEVENTO="manual",$A33,IF(ISERROR(MATCH($A33,$A$15:OFFSET($A33,-1,0),0)),MAX($M$15:OFFSET(M33,-1,0))+1,INDEX($M$15:OFFSET(M33,-1,0),MATCH($A33,$A$15:OFFSET($A33,-1,0),0)))))</f>
        <v>5</v>
      </c>
      <c r="N33" s="177" t="str">
        <f ca="1">IF($D33&lt;&gt;"Serviço","",IF(AUTOEVENTO="Manual",IF($A33=0,"&lt;-- defina o número do agrupador",OFFSET(EVENTOS!$D$14,$A33,0)),OFFSET($F$15,$A33,0)))</f>
        <v>MOVIMENTO DE TERRA PARA FUNDAÇÕES</v>
      </c>
      <c r="O33" s="178"/>
      <c r="Q33" s="178">
        <v>41.4</v>
      </c>
      <c r="R33" s="179"/>
      <c r="S33" s="179"/>
      <c r="T33" s="179"/>
      <c r="U33" s="179"/>
      <c r="V33" s="179"/>
      <c r="W33" s="179"/>
      <c r="X33" s="179"/>
      <c r="Y33" s="179"/>
      <c r="Z33" s="180"/>
      <c r="AA33" s="179"/>
      <c r="AB33" s="179"/>
      <c r="AC33" s="179"/>
      <c r="AD33" s="179"/>
      <c r="AE33" s="179"/>
      <c r="AF33" s="179"/>
      <c r="AG33" s="179"/>
      <c r="AH33" s="180"/>
      <c r="AJ33" s="544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545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L33" s="545">
        <f ca="1">IF(AND($D33="Serviço",AL$12&lt;&gt;0,$H33&gt;0,OR(AUTOEVENTO&lt;&gt;"manual",$M33&lt;&gt;1)),
IF(Import.TipoArredondamento&lt;&gt;"TransfereGOV",
ROUND(OFFSET($P33,0,AL$13),15-13*ORÇAMENTO!$AF$7)/$H33*OFFSET(ORÇAMENTO!$X$15,ROW(AL33)-ROW(AL$15),0),
ROUND(ROUND(OFFSET($P33,0,AL$13),15-13*ORÇAMENTO!$AF$7)*OFFSET(ORÇAMENTO!$W$15,ROW(AL33)-ROW(AL$15),0),15-13*ORÇAMENTO!$AF$11)),0)</f>
        <v>0</v>
      </c>
      <c r="AM33" s="545">
        <f ca="1">IF(AND($D33="Serviço",AM$12&lt;&gt;0,$H33&gt;0,OR(AUTOEVENTO&lt;&gt;"manual",$M33&lt;&gt;1)),
IF(Import.TipoArredondamento&lt;&gt;"TransfereGOV",
ROUND(OFFSET($P33,0,AM$13),15-13*ORÇAMENTO!$AF$7)/$H33*OFFSET(ORÇAMENTO!$X$15,ROW(AM33)-ROW(AM$15),0),
ROUND(ROUND(OFFSET($P33,0,AM$13),15-13*ORÇAMENTO!$AF$7)*OFFSET(ORÇAMENTO!$W$15,ROW(AM33)-ROW(AM$15),0),15-13*ORÇAMENTO!$AF$11)),0)</f>
        <v>0</v>
      </c>
      <c r="AN33" s="545">
        <f ca="1">IF(AND($D33="Serviço",AN$12&lt;&gt;0,$H33&gt;0,OR(AUTOEVENTO&lt;&gt;"manual",$M33&lt;&gt;1)),
IF(Import.TipoArredondamento&lt;&gt;"TransfereGOV",
ROUND(OFFSET($P33,0,AN$13),15-13*ORÇAMENTO!$AF$7)/$H33*OFFSET(ORÇAMENTO!$X$15,ROW(AN33)-ROW(AN$15),0),
ROUND(ROUND(OFFSET($P33,0,AN$13),15-13*ORÇAMENTO!$AF$7)*OFFSET(ORÇAMENTO!$W$15,ROW(AN33)-ROW(AN$15),0),15-13*ORÇAMENTO!$AF$11)),0)</f>
        <v>0</v>
      </c>
      <c r="AO33" s="545">
        <f ca="1">IF(AND($D33="Serviço",AO$12&lt;&gt;0,$H33&gt;0,OR(AUTOEVENTO&lt;&gt;"manual",$M33&lt;&gt;1)),
IF(Import.TipoArredondamento&lt;&gt;"TransfereGOV",
ROUND(OFFSET($P33,0,AO$13),15-13*ORÇAMENTO!$AF$7)/$H33*OFFSET(ORÇAMENTO!$X$15,ROW(AO33)-ROW(AO$15),0),
ROUND(ROUND(OFFSET($P33,0,AO$13),15-13*ORÇAMENTO!$AF$7)*OFFSET(ORÇAMENTO!$W$15,ROW(AO33)-ROW(AO$15),0),15-13*ORÇAMENTO!$AF$11)),0)</f>
        <v>0</v>
      </c>
      <c r="AP33" s="545">
        <f ca="1">IF(AND($D33="Serviço",AP$12&lt;&gt;0,$H33&gt;0,OR(AUTOEVENTO&lt;&gt;"manual",$M33&lt;&gt;1)),
IF(Import.TipoArredondamento&lt;&gt;"TransfereGOV",
ROUND(OFFSET($P33,0,AP$13),15-13*ORÇAMENTO!$AF$7)/$H33*OFFSET(ORÇAMENTO!$X$15,ROW(AP33)-ROW(AP$15),0),
ROUND(ROUND(OFFSET($P33,0,AP$13),15-13*ORÇAMENTO!$AF$7)*OFFSET(ORÇAMENTO!$W$15,ROW(AP33)-ROW(AP$15),0),15-13*ORÇAMENTO!$AF$11)),0)</f>
        <v>0</v>
      </c>
      <c r="AQ33" s="545">
        <f ca="1">IF(AND($D33="Serviço",AQ$12&lt;&gt;0,$H33&gt;0,OR(AUTOEVENTO&lt;&gt;"manual",$M33&lt;&gt;1)),
IF(Import.TipoArredondamento&lt;&gt;"TransfereGOV",
ROUND(OFFSET($P33,0,AQ$13),15-13*ORÇAMENTO!$AF$7)/$H33*OFFSET(ORÇAMENTO!$X$15,ROW(AQ33)-ROW(AQ$15),0),
ROUND(ROUND(OFFSET($P33,0,AQ$13),15-13*ORÇAMENTO!$AF$7)*OFFSET(ORÇAMENTO!$W$15,ROW(AQ33)-ROW(AQ$15),0),15-13*ORÇAMENTO!$AF$11)),0)</f>
        <v>0</v>
      </c>
      <c r="AR33" s="545">
        <f ca="1">IF(AND($D33="Serviço",AR$12&lt;&gt;0,$H33&gt;0,OR(AUTOEVENTO&lt;&gt;"manual",$M33&lt;&gt;1)),
IF(Import.TipoArredondamento&lt;&gt;"TransfereGOV",
ROUND(OFFSET($P33,0,AR$13),15-13*ORÇAMENTO!$AF$7)/$H33*OFFSET(ORÇAMENTO!$X$15,ROW(AR33)-ROW(AR$15),0),
ROUND(ROUND(OFFSET($P33,0,AR$13),15-13*ORÇAMENTO!$AF$7)*OFFSET(ORÇAMENTO!$W$15,ROW(AR33)-ROW(AR$15),0),15-13*ORÇAMENTO!$AF$11)),0)</f>
        <v>0</v>
      </c>
      <c r="AS33" s="546">
        <f ca="1">IF(AND($D33="Serviço",AS$12&lt;&gt;0,$H33&gt;0,OR(AUTOEVENTO&lt;&gt;"manual",$M33&lt;&gt;1)),
IF(Import.TipoArredondamento&lt;&gt;"TransfereGOV",
ROUND(OFFSET($P33,0,AS$13),15-13*ORÇAMENTO!$AF$7)/$H33*OFFSET(ORÇAMENTO!$X$15,ROW(AS33)-ROW(AS$15),0),
ROUND(ROUND(OFFSET($P33,0,AS$13),15-13*ORÇAMENTO!$AF$7)*OFFSET(ORÇAMENTO!$W$15,ROW(AS33)-ROW(AS$15),0),15-13*ORÇAMENTO!$AF$11)),0)</f>
        <v>0</v>
      </c>
      <c r="AT33" s="545">
        <f ca="1">IF(AND($D33="Serviço",AT$12&lt;&gt;0,$H33&gt;0,OR(AUTOEVENTO&lt;&gt;"manual",$M33&lt;&gt;1)),
IF(Import.TipoArredondamento&lt;&gt;"TransfereGOV",
ROUND(OFFSET($P33,0,AT$13),15-13*ORÇAMENTO!$AF$7)/$H33*OFFSET(ORÇAMENTO!$X$15,ROW(AT33)-ROW(AT$15),0),
ROUND(ROUND(OFFSET($P33,0,AT$13),15-13*ORÇAMENTO!$AF$7)*OFFSET(ORÇAMENTO!$W$15,ROW(AT33)-ROW(AT$15),0),15-13*ORÇAMENTO!$AF$11)),0)</f>
        <v>0</v>
      </c>
      <c r="AU33" s="545">
        <f ca="1">IF(AND($D33="Serviço",AU$12&lt;&gt;0,$H33&gt;0,OR(AUTOEVENTO&lt;&gt;"manual",$M33&lt;&gt;1)),
IF(Import.TipoArredondamento&lt;&gt;"TransfereGOV",
ROUND(OFFSET($P33,0,AU$13),15-13*ORÇAMENTO!$AF$7)/$H33*OFFSET(ORÇAMENTO!$X$15,ROW(AU33)-ROW(AU$15),0),
ROUND(ROUND(OFFSET($P33,0,AU$13),15-13*ORÇAMENTO!$AF$7)*OFFSET(ORÇAMENTO!$W$15,ROW(AU33)-ROW(AU$15),0),15-13*ORÇAMENTO!$AF$11)),0)</f>
        <v>0</v>
      </c>
      <c r="AV33" s="545">
        <f ca="1">IF(AND($D33="Serviço",AV$12&lt;&gt;0,$H33&gt;0,OR(AUTOEVENTO&lt;&gt;"manual",$M33&lt;&gt;1)),
IF(Import.TipoArredondamento&lt;&gt;"TransfereGOV",
ROUND(OFFSET($P33,0,AV$13),15-13*ORÇAMENTO!$AF$7)/$H33*OFFSET(ORÇAMENTO!$X$15,ROW(AV33)-ROW(AV$15),0),
ROUND(ROUND(OFFSET($P33,0,AV$13),15-13*ORÇAMENTO!$AF$7)*OFFSET(ORÇAMENTO!$W$15,ROW(AV33)-ROW(AV$15),0),15-13*ORÇAMENTO!$AF$11)),0)</f>
        <v>0</v>
      </c>
      <c r="AW33" s="545">
        <f ca="1">IF(AND($D33="Serviço",AW$12&lt;&gt;0,$H33&gt;0,OR(AUTOEVENTO&lt;&gt;"manual",$M33&lt;&gt;1)),
IF(Import.TipoArredondamento&lt;&gt;"TransfereGOV",
ROUND(OFFSET($P33,0,AW$13),15-13*ORÇAMENTO!$AF$7)/$H33*OFFSET(ORÇAMENTO!$X$15,ROW(AW33)-ROW(AW$15),0),
ROUND(ROUND(OFFSET($P33,0,AW$13),15-13*ORÇAMENTO!$AF$7)*OFFSET(ORÇAMENTO!$W$15,ROW(AW33)-ROW(AW$15),0),15-13*ORÇAMENTO!$AF$11)),0)</f>
        <v>0</v>
      </c>
      <c r="AX33" s="545">
        <f ca="1">IF(AND($D33="Serviço",AX$12&lt;&gt;0,$H33&gt;0,OR(AUTOEVENTO&lt;&gt;"manual",$M33&lt;&gt;1)),
IF(Import.TipoArredondamento&lt;&gt;"TransfereGOV",
ROUND(OFFSET($P33,0,AX$13),15-13*ORÇAMENTO!$AF$7)/$H33*OFFSET(ORÇAMENTO!$X$15,ROW(AX33)-ROW(AX$15),0),
ROUND(ROUND(OFFSET($P33,0,AX$13),15-13*ORÇAMENTO!$AF$7)*OFFSET(ORÇAMENTO!$W$15,ROW(AX33)-ROW(AX$15),0),15-13*ORÇAMENTO!$AF$11)),0)</f>
        <v>0</v>
      </c>
      <c r="AY33" s="545">
        <f ca="1">IF(AND($D33="Serviço",AY$12&lt;&gt;0,$H33&gt;0,OR(AUTOEVENTO&lt;&gt;"manual",$M33&lt;&gt;1)),
IF(Import.TipoArredondamento&lt;&gt;"TransfereGOV",
ROUND(OFFSET($P33,0,AY$13),15-13*ORÇAMENTO!$AF$7)/$H33*OFFSET(ORÇAMENTO!$X$15,ROW(AY33)-ROW(AY$15),0),
ROUND(ROUND(OFFSET($P33,0,AY$13),15-13*ORÇAMENTO!$AF$7)*OFFSET(ORÇAMENTO!$W$15,ROW(AY33)-ROW(AY$15),0),15-13*ORÇAMENTO!$AF$11)),0)</f>
        <v>0</v>
      </c>
      <c r="AZ33" s="545">
        <f ca="1">IF(AND($D33="Serviço",AZ$12&lt;&gt;0,$H33&gt;0,OR(AUTOEVENTO&lt;&gt;"manual",$M33&lt;&gt;1)),
IF(Import.TipoArredondamento&lt;&gt;"TransfereGOV",
ROUND(OFFSET($P33,0,AZ$13),15-13*ORÇAMENTO!$AF$7)/$H33*OFFSET(ORÇAMENTO!$X$15,ROW(AZ33)-ROW(AZ$15),0),
ROUND(ROUND(OFFSET($P33,0,AZ$13),15-13*ORÇAMENTO!$AF$7)*OFFSET(ORÇAMENTO!$W$15,ROW(AZ33)-ROW(AZ$15),0),15-13*ORÇAMENTO!$AF$11)),0)</f>
        <v>0</v>
      </c>
      <c r="BA33" s="546">
        <f ca="1">IF(AND($D33="Serviço",BA$12&lt;&gt;0,$H33&gt;0,OR(AUTOEVENTO&lt;&gt;"manual",$M33&lt;&gt;1)),
IF(Import.TipoArredondamento&lt;&gt;"TransfereGOV",
ROUND(OFFSET($P33,0,BA$13),15-13*ORÇAMENTO!$AF$7)/$H33*OFFSET(ORÇAMENTO!$X$15,ROW(BA33)-ROW(BA$15),0),
ROUND(ROUND(OFFSET($P33,0,BA$13),15-13*ORÇAMENTO!$AF$7)*OFFSET(ORÇAMENTO!$W$15,ROW(BA33)-ROW(BA$15),0),15-13*ORÇAMENTO!$AF$11)),0)</f>
        <v>0</v>
      </c>
      <c r="BC33" s="181">
        <f ca="1">IF($D33&lt;&gt;"Serviço",0,IF(AND(AUTOEVENTO="Manual",$M33=1),0,IF(OFFSET(CRONOPLE!$F$14,$M33,BC$13)="",10^12,OFFSET(CRONOPLE!$F$14,$M33,BC$13))))</f>
        <v>2</v>
      </c>
      <c r="BD33" s="181">
        <f ca="1">IF($D33&lt;&gt;"Serviço",0,IF(AND(AUTOEVENTO="Manual",$M33=1),0,IF(OFFSET(CRONOPLE!$F$14,$M33,BD$13)="",10^12,OFFSET(CRONOPLE!$F$14,$M33,BD$13))))</f>
        <v>1000000000000</v>
      </c>
      <c r="BE33" s="181">
        <f ca="1">IF($D33&lt;&gt;"Serviço",0,IF(AND(AUTOEVENTO="Manual",$M33=1),0,IF(OFFSET(CRONOPLE!$F$14,$M33,BE$13)="",10^12,OFFSET(CRONOPLE!$F$14,$M33,BE$13))))</f>
        <v>1000000000000</v>
      </c>
      <c r="BF33" s="181">
        <f ca="1">IF($D33&lt;&gt;"Serviço",0,IF(AND(AUTOEVENTO="Manual",$M33=1),0,IF(OFFSET(CRONOPLE!$F$14,$M33,BF$13)="",10^12,OFFSET(CRONOPLE!$F$14,$M33,BF$13))))</f>
        <v>1000000000000</v>
      </c>
      <c r="BG33" s="181">
        <f ca="1">IF($D33&lt;&gt;"Serviço",0,IF(AND(AUTOEVENTO="Manual",$M33=1),0,IF(OFFSET(CRONOPLE!$F$14,$M33,BG$13)="",10^12,OFFSET(CRONOPLE!$F$14,$M33,BG$13))))</f>
        <v>1000000000000</v>
      </c>
      <c r="BH33" s="181">
        <f ca="1">IF($D33&lt;&gt;"Serviço",0,IF(AND(AUTOEVENTO="Manual",$M33=1),0,IF(OFFSET(CRONOPLE!$F$14,$M33,BH$13)="",10^12,OFFSET(CRONOPLE!$F$14,$M33,BH$13))))</f>
        <v>1000000000000</v>
      </c>
      <c r="BI33" s="181">
        <f ca="1">IF($D33&lt;&gt;"Serviço",0,IF(AND(AUTOEVENTO="Manual",$M33=1),0,IF(OFFSET(CRONOPLE!$F$14,$M33,BI$13)="",10^12,OFFSET(CRONOPLE!$F$14,$M33,BI$13))))</f>
        <v>1000000000000</v>
      </c>
      <c r="BJ33" s="181">
        <f ca="1">IF($D33&lt;&gt;"Serviço",0,IF(AND(AUTOEVENTO="Manual",$M33=1),0,IF(OFFSET(CRONOPLE!$F$14,$M33,BJ$13)="",10^12,OFFSET(CRONOPLE!$F$14,$M33,BJ$13))))</f>
        <v>1000000000000</v>
      </c>
      <c r="BK33" s="181">
        <f ca="1">IF($D33&lt;&gt;"Serviço",0,IF(AND(AUTOEVENTO="Manual",$M33=1),0,IF(OFFSET(CRONOPLE!$F$14,$M33,BK$13)="",10^12,OFFSET(CRONOPLE!$F$14,$M33,BK$13))))</f>
        <v>1000000000000</v>
      </c>
      <c r="BL33" s="181">
        <f ca="1">IF($D33&lt;&gt;"Serviço",0,IF(AND(AUTOEVENTO="Manual",$M33=1),0,IF(OFFSET(CRONOPLE!$F$14,$M33,BL$13)="",10^12,OFFSET(CRONOPLE!$F$14,$M33,BL$13))))</f>
        <v>1000000000000</v>
      </c>
      <c r="BM33" s="181">
        <f ca="1">IF($D33&lt;&gt;"Serviço",0,IF(AND(AUTOEVENTO="Manual",$M33=1),0,IF(OFFSET(CRONOPLE!$F$14,$M33,BM$13)="",10^12,OFFSET(CRONOPLE!$F$14,$M33,BM$13))))</f>
        <v>1000000000000</v>
      </c>
      <c r="BN33" s="181">
        <f ca="1">IF($D33&lt;&gt;"Serviço",0,IF(AND(AUTOEVENTO="Manual",$M33=1),0,IF(OFFSET(CRONOPLE!$F$14,$M33,BN$13)="",10^12,OFFSET(CRONOPLE!$F$14,$M33,BN$13))))</f>
        <v>1000000000000</v>
      </c>
      <c r="BO33" s="181">
        <f ca="1">IF($D33&lt;&gt;"Serviço",0,IF(AND(AUTOEVENTO="Manual",$M33=1),0,IF(OFFSET(CRONOPLE!$F$14,$M33,BO$13)="",10^12,OFFSET(CRONOPLE!$F$14,$M33,BO$13))))</f>
        <v>1000000000000</v>
      </c>
      <c r="BP33" s="181">
        <f ca="1">IF($D33&lt;&gt;"Serviço",0,IF(AND(AUTOEVENTO="Manual",$M33=1),0,IF(OFFSET(CRONOPLE!$F$14,$M33,BP$13)="",10^12,OFFSET(CRONOPLE!$F$14,$M33,BP$13))))</f>
        <v>1000000000000</v>
      </c>
      <c r="BQ33" s="181">
        <f ca="1">IF($D33&lt;&gt;"Serviço",0,IF(AND(AUTOEVENTO="Manual",$M33=1),0,IF(OFFSET(CRONOPLE!$F$14,$M33,BQ$13)="",10^12,OFFSET(CRONOPLE!$F$14,$M33,BQ$13))))</f>
        <v>1000000000000</v>
      </c>
      <c r="BR33" s="181">
        <f ca="1">IF($D33&lt;&gt;"Serviço",0,IF(AND(AUTOEVENTO="Manual",$M33=1),0,IF(OFFSET(CRONOPLE!$F$14,$M33,BR$13)="",10^12,OFFSET(CRONOPLE!$F$14,$M33,BR$13))))</f>
        <v>1000000000000</v>
      </c>
      <c r="BS33" s="181">
        <f ca="1">IF($D33&lt;&gt;"Serviço",0,IF(AND(AUTOEVENTO="Manual",$M33=1),0,IF(OFFSET(CRONOPLE!$F$14,$M33,BS$13)="",10^12,OFFSET(CRONOPLE!$F$14,$M33,BS$13))))</f>
        <v>1000000000000</v>
      </c>
      <c r="BT33" s="181">
        <f ca="1">IF($D33&lt;&gt;"Serviço",0,IF(AND(AUTOEVENTO="Manual",$M33=1),0,IF(OFFSET(CRONOPLE!$F$14,$M33,BT$13)="",10^12,OFFSET(CRONOPLE!$F$14,$M33,BT$13))))</f>
        <v>1000000000000</v>
      </c>
      <c r="BV33" s="182">
        <f ca="1">IF($D33&lt;&gt;"Serviço",0,IF(OR(AND(AUTOEVENTO="Manual",$M33=1),$M33&gt;(ROW(PLE.lastrow)-ROW(PLE.firstrow))),0,IF(OFFSET(PLE!$G$14,$M33,BV$13)="",10^12,OFFSET(PLE!$G$14,$M33,BV$13))))</f>
        <v>1000000000000</v>
      </c>
      <c r="BW33" s="182">
        <f ca="1">IF($D33&lt;&gt;"Serviço",0,IF(OR(AND(AUTOEVENTO="Manual",$M33=1),$M33&gt;(ROW(PLE.lastrow)-ROW(PLE.firstrow))),0,IF(OFFSET(PLE!$G$14,$M33,BW$13)="",10^12,OFFSET(PLE!$G$14,$M33,BW$13))))</f>
        <v>1000000000000</v>
      </c>
      <c r="BX33" s="182">
        <f ca="1">IF($D33&lt;&gt;"Serviço",0,IF(OR(AND(AUTOEVENTO="Manual",$M33=1),$M33&gt;(ROW(PLE.lastrow)-ROW(PLE.firstrow))),0,IF(OFFSET(PLE!$G$14,$M33,BX$13)="",10^12,OFFSET(PLE!$G$14,$M33,BX$13))))</f>
        <v>1000000000000</v>
      </c>
      <c r="BY33" s="182">
        <f ca="1">IF($D33&lt;&gt;"Serviço",0,IF(OR(AND(AUTOEVENTO="Manual",$M33=1),$M33&gt;(ROW(PLE.lastrow)-ROW(PLE.firstrow))),0,IF(OFFSET(PLE!$G$14,$M33,BY$13)="",10^12,OFFSET(PLE!$G$14,$M33,BY$13))))</f>
        <v>1000000000000</v>
      </c>
      <c r="BZ33" s="182">
        <f ca="1">IF($D33&lt;&gt;"Serviço",0,IF(OR(AND(AUTOEVENTO="Manual",$M33=1),$M33&gt;(ROW(PLE.lastrow)-ROW(PLE.firstrow))),0,IF(OFFSET(PLE!$G$14,$M33,BZ$13)="",10^12,OFFSET(PLE!$G$14,$M33,BZ$13))))</f>
        <v>1000000000000</v>
      </c>
      <c r="CA33" s="182">
        <f ca="1">IF($D33&lt;&gt;"Serviço",0,IF(OR(AND(AUTOEVENTO="Manual",$M33=1),$M33&gt;(ROW(PLE.lastrow)-ROW(PLE.firstrow))),0,IF(OFFSET(PLE!$G$14,$M33,CA$13)="",10^12,OFFSET(PLE!$G$14,$M33,CA$13))))</f>
        <v>1000000000000</v>
      </c>
      <c r="CB33" s="182">
        <f ca="1">IF($D33&lt;&gt;"Serviço",0,IF(OR(AND(AUTOEVENTO="Manual",$M33=1),$M33&gt;(ROW(PLE.lastrow)-ROW(PLE.firstrow))),0,IF(OFFSET(PLE!$G$14,$M33,CB$13)="",10^12,OFFSET(PLE!$G$14,$M33,CB$13))))</f>
        <v>1000000000000</v>
      </c>
      <c r="CC33" s="182">
        <f ca="1">IF($D33&lt;&gt;"Serviço",0,IF(OR(AND(AUTOEVENTO="Manual",$M33=1),$M33&gt;(ROW(PLE.lastrow)-ROW(PLE.firstrow))),0,IF(OFFSET(PLE!$G$14,$M33,CC$13)="",10^12,OFFSET(PLE!$G$14,$M33,CC$13))))</f>
        <v>1000000000000</v>
      </c>
      <c r="CD33" s="182">
        <f ca="1">IF($D33&lt;&gt;"Serviço",0,IF(OR(AND(AUTOEVENTO="Manual",$M33=1),$M33&gt;(ROW(PLE.lastrow)-ROW(PLE.firstrow))),0,IF(OFFSET(PLE!$G$14,$M33,CD$13)="",10^12,OFFSET(PLE!$G$14,$M33,CD$13))))</f>
        <v>1000000000000</v>
      </c>
      <c r="CE33" s="182">
        <f ca="1">IF($D33&lt;&gt;"Serviço",0,IF(OR(AND(AUTOEVENTO="Manual",$M33=1),$M33&gt;(ROW(PLE.lastrow)-ROW(PLE.firstrow))),0,IF(OFFSET(PLE!$G$14,$M33,CE$13)="",10^12,OFFSET(PLE!$G$14,$M33,CE$13))))</f>
        <v>1000000000000</v>
      </c>
      <c r="CF33" s="182">
        <f ca="1">IF($D33&lt;&gt;"Serviço",0,IF(OR(AND(AUTOEVENTO="Manual",$M33=1),$M33&gt;(ROW(PLE.lastrow)-ROW(PLE.firstrow))),0,IF(OFFSET(PLE!$G$14,$M33,CF$13)="",10^12,OFFSET(PLE!$G$14,$M33,CF$13))))</f>
        <v>1000000000000</v>
      </c>
      <c r="CG33" s="182">
        <f ca="1">IF($D33&lt;&gt;"Serviço",0,IF(OR(AND(AUTOEVENTO="Manual",$M33=1),$M33&gt;(ROW(PLE.lastrow)-ROW(PLE.firstrow))),0,IF(OFFSET(PLE!$G$14,$M33,CG$13)="",10^12,OFFSET(PLE!$G$14,$M33,CG$13))))</f>
        <v>1000000000000</v>
      </c>
      <c r="CH33" s="182">
        <f ca="1">IF($D33&lt;&gt;"Serviço",0,IF(OR(AND(AUTOEVENTO="Manual",$M33=1),$M33&gt;(ROW(PLE.lastrow)-ROW(PLE.firstrow))),0,IF(OFFSET(PLE!$G$14,$M33,CH$13)="",10^12,OFFSET(PLE!$G$14,$M33,CH$13))))</f>
        <v>1000000000000</v>
      </c>
      <c r="CI33" s="182">
        <f ca="1">IF($D33&lt;&gt;"Serviço",0,IF(OR(AND(AUTOEVENTO="Manual",$M33=1),$M33&gt;(ROW(PLE.lastrow)-ROW(PLE.firstrow))),0,IF(OFFSET(PLE!$G$14,$M33,CI$13)="",10^12,OFFSET(PLE!$G$14,$M33,CI$13))))</f>
        <v>1000000000000</v>
      </c>
      <c r="CJ33" s="182">
        <f ca="1">IF($D33&lt;&gt;"Serviço",0,IF(OR(AND(AUTOEVENTO="Manual",$M33=1),$M33&gt;(ROW(PLE.lastrow)-ROW(PLE.firstrow))),0,IF(OFFSET(PLE!$G$14,$M33,CJ$13)="",10^12,OFFSET(PLE!$G$14,$M33,CJ$13))))</f>
        <v>1000000000000</v>
      </c>
      <c r="CK33" s="182">
        <f ca="1">IF($D33&lt;&gt;"Serviço",0,IF(OR(AND(AUTOEVENTO="Manual",$M33=1),$M33&gt;(ROW(PLE.lastrow)-ROW(PLE.firstrow))),0,IF(OFFSET(PLE!$G$14,$M33,CK$13)="",10^12,OFFSET(PLE!$G$14,$M33,CK$13))))</f>
        <v>1000000000000</v>
      </c>
      <c r="CL33" s="182">
        <f ca="1">IF($D33&lt;&gt;"Serviço",0,IF(OR(AND(AUTOEVENTO="Manual",$M33=1),$M33&gt;(ROW(PLE.lastrow)-ROW(PLE.firstrow))),0,IF(OFFSET(PLE!$G$14,$M33,CL$13)="",10^12,OFFSET(PLE!$G$14,$M33,CL$13))))</f>
        <v>1000000000000</v>
      </c>
      <c r="CM33" s="182">
        <f ca="1">IF($D33&lt;&gt;"Serviço",0,IF(OR(AND(AUTOEVENTO="Manual",$M33=1),$M33&gt;(ROW(PLE.lastrow)-ROW(PLE.firstrow))),0,IF(OFFSET(PLE!$G$14,$M33,CM$13)="",10^12,OFFSET(PLE!$G$14,$M33,CM$13))))</f>
        <v>1000000000000</v>
      </c>
    </row>
    <row r="34" spans="1:91" ht="25.5" x14ac:dyDescent="0.2">
      <c r="A34" s="7" t="str">
        <f t="shared" ca="1" si="9"/>
        <v>14</v>
      </c>
      <c r="B34" s="7" t="str">
        <f ca="1">OFFSET(ORÇAMENTO!C$15,ROW(B34)-ROW(B$15),0)</f>
        <v>S</v>
      </c>
      <c r="C34" s="7" t="str">
        <f ca="1">OFFSET(ORÇAMENTO!L$15,ROW(C34)-ROW(C$15),0)</f>
        <v/>
      </c>
      <c r="D34" s="118" t="str">
        <f ca="1">OFFSET(ORÇAMENTO!N$15,ROW(D34)-ROW(D$15),0)</f>
        <v>Serviço</v>
      </c>
      <c r="E34" s="119" t="str">
        <f ca="1">OFFSET(ORÇAMENTO!O$15,ROW(E34)-ROW(E$15),0)</f>
        <v>-</v>
      </c>
      <c r="F34" s="172" t="str">
        <f ca="1">OFFSET(ORÇAMENTO!R$15,ROW(F34)-ROW(F$15),0)</f>
        <v>(abra o arquivo 'Referência 06-2024.xlsm)</v>
      </c>
      <c r="G34" s="173" t="str">
        <f ca="1">IF($D34&lt;&gt;"Serviço","",OFFSET(ORÇAMENTO!S$15,ROW(G34)-ROW(G$15),0))</f>
        <v>-</v>
      </c>
      <c r="H34" s="124">
        <f ca="1">IF($D34&lt;&gt;"Serviço",0,IF(ACOMPANHAMENTO="BM",ROUND(OFFSET(ORÇAMENTO!AJ$15,ROW(H34)-ROW(H$15),0),15-13*ORÇAMENTO!$AF$7),SUMPRODUCT(($Q$12:$AI$12&lt;&gt;"")*ROUND($Q34:$AI34,15-13*ORÇAMENTO!$AF$7))))</f>
        <v>47.9</v>
      </c>
      <c r="I34" s="561" t="s">
        <v>1107</v>
      </c>
      <c r="K34" s="174" t="s">
        <v>1022</v>
      </c>
      <c r="L34" s="175" t="s">
        <v>255</v>
      </c>
      <c r="M34" s="176">
        <f ca="1">IF($D34&lt;&gt;"Serviço","",IF(AUTOEVENTO="manual",$A34,IF(ISERROR(MATCH($A34,$A$15:OFFSET($A34,-1,0),0)),MAX($M$15:OFFSET(M34,-1,0))+1,INDEX($M$15:OFFSET(M34,-1,0),MATCH($A34,$A$15:OFFSET($A34,-1,0),0)))))</f>
        <v>5</v>
      </c>
      <c r="N34" s="177" t="str">
        <f ca="1">IF($D34&lt;&gt;"Serviço","",IF(AUTOEVENTO="Manual",IF($A34=0,"&lt;-- defina o número do agrupador",OFFSET(EVENTOS!$D$14,$A34,0)),OFFSET($F$15,$A34,0)))</f>
        <v>MOVIMENTO DE TERRA PARA FUNDAÇÕES</v>
      </c>
      <c r="O34" s="178"/>
      <c r="Q34" s="178">
        <v>47.9</v>
      </c>
      <c r="R34" s="179"/>
      <c r="S34" s="179"/>
      <c r="T34" s="179"/>
      <c r="U34" s="179"/>
      <c r="V34" s="179"/>
      <c r="W34" s="179"/>
      <c r="X34" s="179"/>
      <c r="Y34" s="179"/>
      <c r="Z34" s="180"/>
      <c r="AA34" s="179"/>
      <c r="AB34" s="179"/>
      <c r="AC34" s="179"/>
      <c r="AD34" s="179"/>
      <c r="AE34" s="179"/>
      <c r="AF34" s="179"/>
      <c r="AG34" s="179"/>
      <c r="AH34" s="180"/>
      <c r="AJ34" s="544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545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L34" s="545">
        <f ca="1">IF(AND($D34="Serviço",AL$12&lt;&gt;0,$H34&gt;0,OR(AUTOEVENTO&lt;&gt;"manual",$M34&lt;&gt;1)),
IF(Import.TipoArredondamento&lt;&gt;"TransfereGOV",
ROUND(OFFSET($P34,0,AL$13),15-13*ORÇAMENTO!$AF$7)/$H34*OFFSET(ORÇAMENTO!$X$15,ROW(AL34)-ROW(AL$15),0),
ROUND(ROUND(OFFSET($P34,0,AL$13),15-13*ORÇAMENTO!$AF$7)*OFFSET(ORÇAMENTO!$W$15,ROW(AL34)-ROW(AL$15),0),15-13*ORÇAMENTO!$AF$11)),0)</f>
        <v>0</v>
      </c>
      <c r="AM34" s="545">
        <f ca="1">IF(AND($D34="Serviço",AM$12&lt;&gt;0,$H34&gt;0,OR(AUTOEVENTO&lt;&gt;"manual",$M34&lt;&gt;1)),
IF(Import.TipoArredondamento&lt;&gt;"TransfereGOV",
ROUND(OFFSET($P34,0,AM$13),15-13*ORÇAMENTO!$AF$7)/$H34*OFFSET(ORÇAMENTO!$X$15,ROW(AM34)-ROW(AM$15),0),
ROUND(ROUND(OFFSET($P34,0,AM$13),15-13*ORÇAMENTO!$AF$7)*OFFSET(ORÇAMENTO!$W$15,ROW(AM34)-ROW(AM$15),0),15-13*ORÇAMENTO!$AF$11)),0)</f>
        <v>0</v>
      </c>
      <c r="AN34" s="545">
        <f ca="1">IF(AND($D34="Serviço",AN$12&lt;&gt;0,$H34&gt;0,OR(AUTOEVENTO&lt;&gt;"manual",$M34&lt;&gt;1)),
IF(Import.TipoArredondamento&lt;&gt;"TransfereGOV",
ROUND(OFFSET($P34,0,AN$13),15-13*ORÇAMENTO!$AF$7)/$H34*OFFSET(ORÇAMENTO!$X$15,ROW(AN34)-ROW(AN$15),0),
ROUND(ROUND(OFFSET($P34,0,AN$13),15-13*ORÇAMENTO!$AF$7)*OFFSET(ORÇAMENTO!$W$15,ROW(AN34)-ROW(AN$15),0),15-13*ORÇAMENTO!$AF$11)),0)</f>
        <v>0</v>
      </c>
      <c r="AO34" s="545">
        <f ca="1">IF(AND($D34="Serviço",AO$12&lt;&gt;0,$H34&gt;0,OR(AUTOEVENTO&lt;&gt;"manual",$M34&lt;&gt;1)),
IF(Import.TipoArredondamento&lt;&gt;"TransfereGOV",
ROUND(OFFSET($P34,0,AO$13),15-13*ORÇAMENTO!$AF$7)/$H34*OFFSET(ORÇAMENTO!$X$15,ROW(AO34)-ROW(AO$15),0),
ROUND(ROUND(OFFSET($P34,0,AO$13),15-13*ORÇAMENTO!$AF$7)*OFFSET(ORÇAMENTO!$W$15,ROW(AO34)-ROW(AO$15),0),15-13*ORÇAMENTO!$AF$11)),0)</f>
        <v>0</v>
      </c>
      <c r="AP34" s="545">
        <f ca="1">IF(AND($D34="Serviço",AP$12&lt;&gt;0,$H34&gt;0,OR(AUTOEVENTO&lt;&gt;"manual",$M34&lt;&gt;1)),
IF(Import.TipoArredondamento&lt;&gt;"TransfereGOV",
ROUND(OFFSET($P34,0,AP$13),15-13*ORÇAMENTO!$AF$7)/$H34*OFFSET(ORÇAMENTO!$X$15,ROW(AP34)-ROW(AP$15),0),
ROUND(ROUND(OFFSET($P34,0,AP$13),15-13*ORÇAMENTO!$AF$7)*OFFSET(ORÇAMENTO!$W$15,ROW(AP34)-ROW(AP$15),0),15-13*ORÇAMENTO!$AF$11)),0)</f>
        <v>0</v>
      </c>
      <c r="AQ34" s="545">
        <f ca="1">IF(AND($D34="Serviço",AQ$12&lt;&gt;0,$H34&gt;0,OR(AUTOEVENTO&lt;&gt;"manual",$M34&lt;&gt;1)),
IF(Import.TipoArredondamento&lt;&gt;"TransfereGOV",
ROUND(OFFSET($P34,0,AQ$13),15-13*ORÇAMENTO!$AF$7)/$H34*OFFSET(ORÇAMENTO!$X$15,ROW(AQ34)-ROW(AQ$15),0),
ROUND(ROUND(OFFSET($P34,0,AQ$13),15-13*ORÇAMENTO!$AF$7)*OFFSET(ORÇAMENTO!$W$15,ROW(AQ34)-ROW(AQ$15),0),15-13*ORÇAMENTO!$AF$11)),0)</f>
        <v>0</v>
      </c>
      <c r="AR34" s="545">
        <f ca="1">IF(AND($D34="Serviço",AR$12&lt;&gt;0,$H34&gt;0,OR(AUTOEVENTO&lt;&gt;"manual",$M34&lt;&gt;1)),
IF(Import.TipoArredondamento&lt;&gt;"TransfereGOV",
ROUND(OFFSET($P34,0,AR$13),15-13*ORÇAMENTO!$AF$7)/$H34*OFFSET(ORÇAMENTO!$X$15,ROW(AR34)-ROW(AR$15),0),
ROUND(ROUND(OFFSET($P34,0,AR$13),15-13*ORÇAMENTO!$AF$7)*OFFSET(ORÇAMENTO!$W$15,ROW(AR34)-ROW(AR$15),0),15-13*ORÇAMENTO!$AF$11)),0)</f>
        <v>0</v>
      </c>
      <c r="AS34" s="546">
        <f ca="1">IF(AND($D34="Serviço",AS$12&lt;&gt;0,$H34&gt;0,OR(AUTOEVENTO&lt;&gt;"manual",$M34&lt;&gt;1)),
IF(Import.TipoArredondamento&lt;&gt;"TransfereGOV",
ROUND(OFFSET($P34,0,AS$13),15-13*ORÇAMENTO!$AF$7)/$H34*OFFSET(ORÇAMENTO!$X$15,ROW(AS34)-ROW(AS$15),0),
ROUND(ROUND(OFFSET($P34,0,AS$13),15-13*ORÇAMENTO!$AF$7)*OFFSET(ORÇAMENTO!$W$15,ROW(AS34)-ROW(AS$15),0),15-13*ORÇAMENTO!$AF$11)),0)</f>
        <v>0</v>
      </c>
      <c r="AT34" s="545">
        <f ca="1">IF(AND($D34="Serviço",AT$12&lt;&gt;0,$H34&gt;0,OR(AUTOEVENTO&lt;&gt;"manual",$M34&lt;&gt;1)),
IF(Import.TipoArredondamento&lt;&gt;"TransfereGOV",
ROUND(OFFSET($P34,0,AT$13),15-13*ORÇAMENTO!$AF$7)/$H34*OFFSET(ORÇAMENTO!$X$15,ROW(AT34)-ROW(AT$15),0),
ROUND(ROUND(OFFSET($P34,0,AT$13),15-13*ORÇAMENTO!$AF$7)*OFFSET(ORÇAMENTO!$W$15,ROW(AT34)-ROW(AT$15),0),15-13*ORÇAMENTO!$AF$11)),0)</f>
        <v>0</v>
      </c>
      <c r="AU34" s="545">
        <f ca="1">IF(AND($D34="Serviço",AU$12&lt;&gt;0,$H34&gt;0,OR(AUTOEVENTO&lt;&gt;"manual",$M34&lt;&gt;1)),
IF(Import.TipoArredondamento&lt;&gt;"TransfereGOV",
ROUND(OFFSET($P34,0,AU$13),15-13*ORÇAMENTO!$AF$7)/$H34*OFFSET(ORÇAMENTO!$X$15,ROW(AU34)-ROW(AU$15),0),
ROUND(ROUND(OFFSET($P34,0,AU$13),15-13*ORÇAMENTO!$AF$7)*OFFSET(ORÇAMENTO!$W$15,ROW(AU34)-ROW(AU$15),0),15-13*ORÇAMENTO!$AF$11)),0)</f>
        <v>0</v>
      </c>
      <c r="AV34" s="545">
        <f ca="1">IF(AND($D34="Serviço",AV$12&lt;&gt;0,$H34&gt;0,OR(AUTOEVENTO&lt;&gt;"manual",$M34&lt;&gt;1)),
IF(Import.TipoArredondamento&lt;&gt;"TransfereGOV",
ROUND(OFFSET($P34,0,AV$13),15-13*ORÇAMENTO!$AF$7)/$H34*OFFSET(ORÇAMENTO!$X$15,ROW(AV34)-ROW(AV$15),0),
ROUND(ROUND(OFFSET($P34,0,AV$13),15-13*ORÇAMENTO!$AF$7)*OFFSET(ORÇAMENTO!$W$15,ROW(AV34)-ROW(AV$15),0),15-13*ORÇAMENTO!$AF$11)),0)</f>
        <v>0</v>
      </c>
      <c r="AW34" s="545">
        <f ca="1">IF(AND($D34="Serviço",AW$12&lt;&gt;0,$H34&gt;0,OR(AUTOEVENTO&lt;&gt;"manual",$M34&lt;&gt;1)),
IF(Import.TipoArredondamento&lt;&gt;"TransfereGOV",
ROUND(OFFSET($P34,0,AW$13),15-13*ORÇAMENTO!$AF$7)/$H34*OFFSET(ORÇAMENTO!$X$15,ROW(AW34)-ROW(AW$15),0),
ROUND(ROUND(OFFSET($P34,0,AW$13),15-13*ORÇAMENTO!$AF$7)*OFFSET(ORÇAMENTO!$W$15,ROW(AW34)-ROW(AW$15),0),15-13*ORÇAMENTO!$AF$11)),0)</f>
        <v>0</v>
      </c>
      <c r="AX34" s="545">
        <f ca="1">IF(AND($D34="Serviço",AX$12&lt;&gt;0,$H34&gt;0,OR(AUTOEVENTO&lt;&gt;"manual",$M34&lt;&gt;1)),
IF(Import.TipoArredondamento&lt;&gt;"TransfereGOV",
ROUND(OFFSET($P34,0,AX$13),15-13*ORÇAMENTO!$AF$7)/$H34*OFFSET(ORÇAMENTO!$X$15,ROW(AX34)-ROW(AX$15),0),
ROUND(ROUND(OFFSET($P34,0,AX$13),15-13*ORÇAMENTO!$AF$7)*OFFSET(ORÇAMENTO!$W$15,ROW(AX34)-ROW(AX$15),0),15-13*ORÇAMENTO!$AF$11)),0)</f>
        <v>0</v>
      </c>
      <c r="AY34" s="545">
        <f ca="1">IF(AND($D34="Serviço",AY$12&lt;&gt;0,$H34&gt;0,OR(AUTOEVENTO&lt;&gt;"manual",$M34&lt;&gt;1)),
IF(Import.TipoArredondamento&lt;&gt;"TransfereGOV",
ROUND(OFFSET($P34,0,AY$13),15-13*ORÇAMENTO!$AF$7)/$H34*OFFSET(ORÇAMENTO!$X$15,ROW(AY34)-ROW(AY$15),0),
ROUND(ROUND(OFFSET($P34,0,AY$13),15-13*ORÇAMENTO!$AF$7)*OFFSET(ORÇAMENTO!$W$15,ROW(AY34)-ROW(AY$15),0),15-13*ORÇAMENTO!$AF$11)),0)</f>
        <v>0</v>
      </c>
      <c r="AZ34" s="545">
        <f ca="1">IF(AND($D34="Serviço",AZ$12&lt;&gt;0,$H34&gt;0,OR(AUTOEVENTO&lt;&gt;"manual",$M34&lt;&gt;1)),
IF(Import.TipoArredondamento&lt;&gt;"TransfereGOV",
ROUND(OFFSET($P34,0,AZ$13),15-13*ORÇAMENTO!$AF$7)/$H34*OFFSET(ORÇAMENTO!$X$15,ROW(AZ34)-ROW(AZ$15),0),
ROUND(ROUND(OFFSET($P34,0,AZ$13),15-13*ORÇAMENTO!$AF$7)*OFFSET(ORÇAMENTO!$W$15,ROW(AZ34)-ROW(AZ$15),0),15-13*ORÇAMENTO!$AF$11)),0)</f>
        <v>0</v>
      </c>
      <c r="BA34" s="546">
        <f ca="1">IF(AND($D34="Serviço",BA$12&lt;&gt;0,$H34&gt;0,OR(AUTOEVENTO&lt;&gt;"manual",$M34&lt;&gt;1)),
IF(Import.TipoArredondamento&lt;&gt;"TransfereGOV",
ROUND(OFFSET($P34,0,BA$13),15-13*ORÇAMENTO!$AF$7)/$H34*OFFSET(ORÇAMENTO!$X$15,ROW(BA34)-ROW(BA$15),0),
ROUND(ROUND(OFFSET($P34,0,BA$13),15-13*ORÇAMENTO!$AF$7)*OFFSET(ORÇAMENTO!$W$15,ROW(BA34)-ROW(BA$15),0),15-13*ORÇAMENTO!$AF$11)),0)</f>
        <v>0</v>
      </c>
      <c r="BC34" s="181">
        <f ca="1">IF($D34&lt;&gt;"Serviço",0,IF(AND(AUTOEVENTO="Manual",$M34=1),0,IF(OFFSET(CRONOPLE!$F$14,$M34,BC$13)="",10^12,OFFSET(CRONOPLE!$F$14,$M34,BC$13))))</f>
        <v>2</v>
      </c>
      <c r="BD34" s="181">
        <f ca="1">IF($D34&lt;&gt;"Serviço",0,IF(AND(AUTOEVENTO="Manual",$M34=1),0,IF(OFFSET(CRONOPLE!$F$14,$M34,BD$13)="",10^12,OFFSET(CRONOPLE!$F$14,$M34,BD$13))))</f>
        <v>1000000000000</v>
      </c>
      <c r="BE34" s="181">
        <f ca="1">IF($D34&lt;&gt;"Serviço",0,IF(AND(AUTOEVENTO="Manual",$M34=1),0,IF(OFFSET(CRONOPLE!$F$14,$M34,BE$13)="",10^12,OFFSET(CRONOPLE!$F$14,$M34,BE$13))))</f>
        <v>1000000000000</v>
      </c>
      <c r="BF34" s="181">
        <f ca="1">IF($D34&lt;&gt;"Serviço",0,IF(AND(AUTOEVENTO="Manual",$M34=1),0,IF(OFFSET(CRONOPLE!$F$14,$M34,BF$13)="",10^12,OFFSET(CRONOPLE!$F$14,$M34,BF$13))))</f>
        <v>1000000000000</v>
      </c>
      <c r="BG34" s="181">
        <f ca="1">IF($D34&lt;&gt;"Serviço",0,IF(AND(AUTOEVENTO="Manual",$M34=1),0,IF(OFFSET(CRONOPLE!$F$14,$M34,BG$13)="",10^12,OFFSET(CRONOPLE!$F$14,$M34,BG$13))))</f>
        <v>1000000000000</v>
      </c>
      <c r="BH34" s="181">
        <f ca="1">IF($D34&lt;&gt;"Serviço",0,IF(AND(AUTOEVENTO="Manual",$M34=1),0,IF(OFFSET(CRONOPLE!$F$14,$M34,BH$13)="",10^12,OFFSET(CRONOPLE!$F$14,$M34,BH$13))))</f>
        <v>1000000000000</v>
      </c>
      <c r="BI34" s="181">
        <f ca="1">IF($D34&lt;&gt;"Serviço",0,IF(AND(AUTOEVENTO="Manual",$M34=1),0,IF(OFFSET(CRONOPLE!$F$14,$M34,BI$13)="",10^12,OFFSET(CRONOPLE!$F$14,$M34,BI$13))))</f>
        <v>1000000000000</v>
      </c>
      <c r="BJ34" s="181">
        <f ca="1">IF($D34&lt;&gt;"Serviço",0,IF(AND(AUTOEVENTO="Manual",$M34=1),0,IF(OFFSET(CRONOPLE!$F$14,$M34,BJ$13)="",10^12,OFFSET(CRONOPLE!$F$14,$M34,BJ$13))))</f>
        <v>1000000000000</v>
      </c>
      <c r="BK34" s="181">
        <f ca="1">IF($D34&lt;&gt;"Serviço",0,IF(AND(AUTOEVENTO="Manual",$M34=1),0,IF(OFFSET(CRONOPLE!$F$14,$M34,BK$13)="",10^12,OFFSET(CRONOPLE!$F$14,$M34,BK$13))))</f>
        <v>1000000000000</v>
      </c>
      <c r="BL34" s="181">
        <f ca="1">IF($D34&lt;&gt;"Serviço",0,IF(AND(AUTOEVENTO="Manual",$M34=1),0,IF(OFFSET(CRONOPLE!$F$14,$M34,BL$13)="",10^12,OFFSET(CRONOPLE!$F$14,$M34,BL$13))))</f>
        <v>1000000000000</v>
      </c>
      <c r="BM34" s="181">
        <f ca="1">IF($D34&lt;&gt;"Serviço",0,IF(AND(AUTOEVENTO="Manual",$M34=1),0,IF(OFFSET(CRONOPLE!$F$14,$M34,BM$13)="",10^12,OFFSET(CRONOPLE!$F$14,$M34,BM$13))))</f>
        <v>1000000000000</v>
      </c>
      <c r="BN34" s="181">
        <f ca="1">IF($D34&lt;&gt;"Serviço",0,IF(AND(AUTOEVENTO="Manual",$M34=1),0,IF(OFFSET(CRONOPLE!$F$14,$M34,BN$13)="",10^12,OFFSET(CRONOPLE!$F$14,$M34,BN$13))))</f>
        <v>1000000000000</v>
      </c>
      <c r="BO34" s="181">
        <f ca="1">IF($D34&lt;&gt;"Serviço",0,IF(AND(AUTOEVENTO="Manual",$M34=1),0,IF(OFFSET(CRONOPLE!$F$14,$M34,BO$13)="",10^12,OFFSET(CRONOPLE!$F$14,$M34,BO$13))))</f>
        <v>1000000000000</v>
      </c>
      <c r="BP34" s="181">
        <f ca="1">IF($D34&lt;&gt;"Serviço",0,IF(AND(AUTOEVENTO="Manual",$M34=1),0,IF(OFFSET(CRONOPLE!$F$14,$M34,BP$13)="",10^12,OFFSET(CRONOPLE!$F$14,$M34,BP$13))))</f>
        <v>1000000000000</v>
      </c>
      <c r="BQ34" s="181">
        <f ca="1">IF($D34&lt;&gt;"Serviço",0,IF(AND(AUTOEVENTO="Manual",$M34=1),0,IF(OFFSET(CRONOPLE!$F$14,$M34,BQ$13)="",10^12,OFFSET(CRONOPLE!$F$14,$M34,BQ$13))))</f>
        <v>1000000000000</v>
      </c>
      <c r="BR34" s="181">
        <f ca="1">IF($D34&lt;&gt;"Serviço",0,IF(AND(AUTOEVENTO="Manual",$M34=1),0,IF(OFFSET(CRONOPLE!$F$14,$M34,BR$13)="",10^12,OFFSET(CRONOPLE!$F$14,$M34,BR$13))))</f>
        <v>1000000000000</v>
      </c>
      <c r="BS34" s="181">
        <f ca="1">IF($D34&lt;&gt;"Serviço",0,IF(AND(AUTOEVENTO="Manual",$M34=1),0,IF(OFFSET(CRONOPLE!$F$14,$M34,BS$13)="",10^12,OFFSET(CRONOPLE!$F$14,$M34,BS$13))))</f>
        <v>1000000000000</v>
      </c>
      <c r="BT34" s="181">
        <f ca="1">IF($D34&lt;&gt;"Serviço",0,IF(AND(AUTOEVENTO="Manual",$M34=1),0,IF(OFFSET(CRONOPLE!$F$14,$M34,BT$13)="",10^12,OFFSET(CRONOPLE!$F$14,$M34,BT$13))))</f>
        <v>1000000000000</v>
      </c>
      <c r="BV34" s="182">
        <f ca="1">IF($D34&lt;&gt;"Serviço",0,IF(OR(AND(AUTOEVENTO="Manual",$M34=1),$M34&gt;(ROW(PLE.lastrow)-ROW(PLE.firstrow))),0,IF(OFFSET(PLE!$G$14,$M34,BV$13)="",10^12,OFFSET(PLE!$G$14,$M34,BV$13))))</f>
        <v>1000000000000</v>
      </c>
      <c r="BW34" s="182">
        <f ca="1">IF($D34&lt;&gt;"Serviço",0,IF(OR(AND(AUTOEVENTO="Manual",$M34=1),$M34&gt;(ROW(PLE.lastrow)-ROW(PLE.firstrow))),0,IF(OFFSET(PLE!$G$14,$M34,BW$13)="",10^12,OFFSET(PLE!$G$14,$M34,BW$13))))</f>
        <v>1000000000000</v>
      </c>
      <c r="BX34" s="182">
        <f ca="1">IF($D34&lt;&gt;"Serviço",0,IF(OR(AND(AUTOEVENTO="Manual",$M34=1),$M34&gt;(ROW(PLE.lastrow)-ROW(PLE.firstrow))),0,IF(OFFSET(PLE!$G$14,$M34,BX$13)="",10^12,OFFSET(PLE!$G$14,$M34,BX$13))))</f>
        <v>1000000000000</v>
      </c>
      <c r="BY34" s="182">
        <f ca="1">IF($D34&lt;&gt;"Serviço",0,IF(OR(AND(AUTOEVENTO="Manual",$M34=1),$M34&gt;(ROW(PLE.lastrow)-ROW(PLE.firstrow))),0,IF(OFFSET(PLE!$G$14,$M34,BY$13)="",10^12,OFFSET(PLE!$G$14,$M34,BY$13))))</f>
        <v>1000000000000</v>
      </c>
      <c r="BZ34" s="182">
        <f ca="1">IF($D34&lt;&gt;"Serviço",0,IF(OR(AND(AUTOEVENTO="Manual",$M34=1),$M34&gt;(ROW(PLE.lastrow)-ROW(PLE.firstrow))),0,IF(OFFSET(PLE!$G$14,$M34,BZ$13)="",10^12,OFFSET(PLE!$G$14,$M34,BZ$13))))</f>
        <v>1000000000000</v>
      </c>
      <c r="CA34" s="182">
        <f ca="1">IF($D34&lt;&gt;"Serviço",0,IF(OR(AND(AUTOEVENTO="Manual",$M34=1),$M34&gt;(ROW(PLE.lastrow)-ROW(PLE.firstrow))),0,IF(OFFSET(PLE!$G$14,$M34,CA$13)="",10^12,OFFSET(PLE!$G$14,$M34,CA$13))))</f>
        <v>1000000000000</v>
      </c>
      <c r="CB34" s="182">
        <f ca="1">IF($D34&lt;&gt;"Serviço",0,IF(OR(AND(AUTOEVENTO="Manual",$M34=1),$M34&gt;(ROW(PLE.lastrow)-ROW(PLE.firstrow))),0,IF(OFFSET(PLE!$G$14,$M34,CB$13)="",10^12,OFFSET(PLE!$G$14,$M34,CB$13))))</f>
        <v>1000000000000</v>
      </c>
      <c r="CC34" s="182">
        <f ca="1">IF($D34&lt;&gt;"Serviço",0,IF(OR(AND(AUTOEVENTO="Manual",$M34=1),$M34&gt;(ROW(PLE.lastrow)-ROW(PLE.firstrow))),0,IF(OFFSET(PLE!$G$14,$M34,CC$13)="",10^12,OFFSET(PLE!$G$14,$M34,CC$13))))</f>
        <v>1000000000000</v>
      </c>
      <c r="CD34" s="182">
        <f ca="1">IF($D34&lt;&gt;"Serviço",0,IF(OR(AND(AUTOEVENTO="Manual",$M34=1),$M34&gt;(ROW(PLE.lastrow)-ROW(PLE.firstrow))),0,IF(OFFSET(PLE!$G$14,$M34,CD$13)="",10^12,OFFSET(PLE!$G$14,$M34,CD$13))))</f>
        <v>1000000000000</v>
      </c>
      <c r="CE34" s="182">
        <f ca="1">IF($D34&lt;&gt;"Serviço",0,IF(OR(AND(AUTOEVENTO="Manual",$M34=1),$M34&gt;(ROW(PLE.lastrow)-ROW(PLE.firstrow))),0,IF(OFFSET(PLE!$G$14,$M34,CE$13)="",10^12,OFFSET(PLE!$G$14,$M34,CE$13))))</f>
        <v>1000000000000</v>
      </c>
      <c r="CF34" s="182">
        <f ca="1">IF($D34&lt;&gt;"Serviço",0,IF(OR(AND(AUTOEVENTO="Manual",$M34=1),$M34&gt;(ROW(PLE.lastrow)-ROW(PLE.firstrow))),0,IF(OFFSET(PLE!$G$14,$M34,CF$13)="",10^12,OFFSET(PLE!$G$14,$M34,CF$13))))</f>
        <v>1000000000000</v>
      </c>
      <c r="CG34" s="182">
        <f ca="1">IF($D34&lt;&gt;"Serviço",0,IF(OR(AND(AUTOEVENTO="Manual",$M34=1),$M34&gt;(ROW(PLE.lastrow)-ROW(PLE.firstrow))),0,IF(OFFSET(PLE!$G$14,$M34,CG$13)="",10^12,OFFSET(PLE!$G$14,$M34,CG$13))))</f>
        <v>1000000000000</v>
      </c>
      <c r="CH34" s="182">
        <f ca="1">IF($D34&lt;&gt;"Serviço",0,IF(OR(AND(AUTOEVENTO="Manual",$M34=1),$M34&gt;(ROW(PLE.lastrow)-ROW(PLE.firstrow))),0,IF(OFFSET(PLE!$G$14,$M34,CH$13)="",10^12,OFFSET(PLE!$G$14,$M34,CH$13))))</f>
        <v>1000000000000</v>
      </c>
      <c r="CI34" s="182">
        <f ca="1">IF($D34&lt;&gt;"Serviço",0,IF(OR(AND(AUTOEVENTO="Manual",$M34=1),$M34&gt;(ROW(PLE.lastrow)-ROW(PLE.firstrow))),0,IF(OFFSET(PLE!$G$14,$M34,CI$13)="",10^12,OFFSET(PLE!$G$14,$M34,CI$13))))</f>
        <v>1000000000000</v>
      </c>
      <c r="CJ34" s="182">
        <f ca="1">IF($D34&lt;&gt;"Serviço",0,IF(OR(AND(AUTOEVENTO="Manual",$M34=1),$M34&gt;(ROW(PLE.lastrow)-ROW(PLE.firstrow))),0,IF(OFFSET(PLE!$G$14,$M34,CJ$13)="",10^12,OFFSET(PLE!$G$14,$M34,CJ$13))))</f>
        <v>1000000000000</v>
      </c>
      <c r="CK34" s="182">
        <f ca="1">IF($D34&lt;&gt;"Serviço",0,IF(OR(AND(AUTOEVENTO="Manual",$M34=1),$M34&gt;(ROW(PLE.lastrow)-ROW(PLE.firstrow))),0,IF(OFFSET(PLE!$G$14,$M34,CK$13)="",10^12,OFFSET(PLE!$G$14,$M34,CK$13))))</f>
        <v>1000000000000</v>
      </c>
      <c r="CL34" s="182">
        <f ca="1">IF($D34&lt;&gt;"Serviço",0,IF(OR(AND(AUTOEVENTO="Manual",$M34=1),$M34&gt;(ROW(PLE.lastrow)-ROW(PLE.firstrow))),0,IF(OFFSET(PLE!$G$14,$M34,CL$13)="",10^12,OFFSET(PLE!$G$14,$M34,CL$13))))</f>
        <v>1000000000000</v>
      </c>
      <c r="CM34" s="182">
        <f ca="1">IF($D34&lt;&gt;"Serviço",0,IF(OR(AND(AUTOEVENTO="Manual",$M34=1),$M34&gt;(ROW(PLE.lastrow)-ROW(PLE.firstrow))),0,IF(OFFSET(PLE!$G$14,$M34,CM$13)="",10^12,OFFSET(PLE!$G$14,$M34,CM$13))))</f>
        <v>1000000000000</v>
      </c>
    </row>
    <row r="35" spans="1:91" ht="63.75" x14ac:dyDescent="0.2">
      <c r="A35" s="7" t="str">
        <f t="shared" ca="1" si="9"/>
        <v>14</v>
      </c>
      <c r="B35" s="7" t="str">
        <f ca="1">OFFSET(ORÇAMENTO!C$15,ROW(B35)-ROW(B$15),0)</f>
        <v>S</v>
      </c>
      <c r="C35" s="7" t="str">
        <f ca="1">OFFSET(ORÇAMENTO!L$15,ROW(C35)-ROW(C$15),0)</f>
        <v/>
      </c>
      <c r="D35" s="118" t="str">
        <f ca="1">OFFSET(ORÇAMENTO!N$15,ROW(D35)-ROW(D$15),0)</f>
        <v>Serviço</v>
      </c>
      <c r="E35" s="119" t="str">
        <f ca="1">OFFSET(ORÇAMENTO!O$15,ROW(E35)-ROW(E$15),0)</f>
        <v>-</v>
      </c>
      <c r="F35" s="172" t="str">
        <f ca="1">OFFSET(ORÇAMENTO!R$15,ROW(F35)-ROW(F$15),0)</f>
        <v>(abra o arquivo 'Referência 06-2024.xlsm)</v>
      </c>
      <c r="G35" s="173" t="str">
        <f ca="1">IF($D35&lt;&gt;"Serviço","",OFFSET(ORÇAMENTO!S$15,ROW(G35)-ROW(G$15),0))</f>
        <v>-</v>
      </c>
      <c r="H35" s="124">
        <f ca="1">IF($D35&lt;&gt;"Serviço",0,IF(ACOMPANHAMENTO="BM",ROUND(OFFSET(ORÇAMENTO!AJ$15,ROW(H35)-ROW(H$15),0),15-13*ORÇAMENTO!$AF$7),SUMPRODUCT(($Q$12:$AI$12&lt;&gt;"")*ROUND($Q35:$AI35,15-13*ORÇAMENTO!$AF$7))))</f>
        <v>84.02</v>
      </c>
      <c r="I35" s="561" t="s">
        <v>1107</v>
      </c>
      <c r="K35" s="174" t="s">
        <v>1022</v>
      </c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177" t="str">
        <f ca="1">IF($D35&lt;&gt;"Serviço","",IF(AUTOEVENTO="Manual",IF($A35=0,"&lt;-- defina o número do agrupador",OFFSET(EVENTOS!$D$14,$A35,0)),OFFSET($F$15,$A35,0)))</f>
        <v>MOVIMENTO DE TERRA PARA FUNDAÇÕES</v>
      </c>
      <c r="O35" s="178"/>
      <c r="Q35" s="178">
        <v>84.02</v>
      </c>
      <c r="R35" s="179"/>
      <c r="S35" s="179"/>
      <c r="T35" s="179"/>
      <c r="U35" s="179"/>
      <c r="V35" s="179"/>
      <c r="W35" s="179"/>
      <c r="X35" s="179"/>
      <c r="Y35" s="179"/>
      <c r="Z35" s="180"/>
      <c r="AA35" s="179"/>
      <c r="AB35" s="179"/>
      <c r="AC35" s="179"/>
      <c r="AD35" s="179"/>
      <c r="AE35" s="179"/>
      <c r="AF35" s="179"/>
      <c r="AG35" s="179"/>
      <c r="AH35" s="180"/>
      <c r="AJ35" s="544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545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L35" s="545">
        <f ca="1">IF(AND($D35="Serviço",AL$12&lt;&gt;0,$H35&gt;0,OR(AUTOEVENTO&lt;&gt;"manual",$M35&lt;&gt;1)),
IF(Import.TipoArredondamento&lt;&gt;"TransfereGOV",
ROUND(OFFSET($P35,0,AL$13),15-13*ORÇAMENTO!$AF$7)/$H35*OFFSET(ORÇAMENTO!$X$15,ROW(AL35)-ROW(AL$15),0),
ROUND(ROUND(OFFSET($P35,0,AL$13),15-13*ORÇAMENTO!$AF$7)*OFFSET(ORÇAMENTO!$W$15,ROW(AL35)-ROW(AL$15),0),15-13*ORÇAMENTO!$AF$11)),0)</f>
        <v>0</v>
      </c>
      <c r="AM35" s="545">
        <f ca="1">IF(AND($D35="Serviço",AM$12&lt;&gt;0,$H35&gt;0,OR(AUTOEVENTO&lt;&gt;"manual",$M35&lt;&gt;1)),
IF(Import.TipoArredondamento&lt;&gt;"TransfereGOV",
ROUND(OFFSET($P35,0,AM$13),15-13*ORÇAMENTO!$AF$7)/$H35*OFFSET(ORÇAMENTO!$X$15,ROW(AM35)-ROW(AM$15),0),
ROUND(ROUND(OFFSET($P35,0,AM$13),15-13*ORÇAMENTO!$AF$7)*OFFSET(ORÇAMENTO!$W$15,ROW(AM35)-ROW(AM$15),0),15-13*ORÇAMENTO!$AF$11)),0)</f>
        <v>0</v>
      </c>
      <c r="AN35" s="545">
        <f ca="1">IF(AND($D35="Serviço",AN$12&lt;&gt;0,$H35&gt;0,OR(AUTOEVENTO&lt;&gt;"manual",$M35&lt;&gt;1)),
IF(Import.TipoArredondamento&lt;&gt;"TransfereGOV",
ROUND(OFFSET($P35,0,AN$13),15-13*ORÇAMENTO!$AF$7)/$H35*OFFSET(ORÇAMENTO!$X$15,ROW(AN35)-ROW(AN$15),0),
ROUND(ROUND(OFFSET($P35,0,AN$13),15-13*ORÇAMENTO!$AF$7)*OFFSET(ORÇAMENTO!$W$15,ROW(AN35)-ROW(AN$15),0),15-13*ORÇAMENTO!$AF$11)),0)</f>
        <v>0</v>
      </c>
      <c r="AO35" s="545">
        <f ca="1">IF(AND($D35="Serviço",AO$12&lt;&gt;0,$H35&gt;0,OR(AUTOEVENTO&lt;&gt;"manual",$M35&lt;&gt;1)),
IF(Import.TipoArredondamento&lt;&gt;"TransfereGOV",
ROUND(OFFSET($P35,0,AO$13),15-13*ORÇAMENTO!$AF$7)/$H35*OFFSET(ORÇAMENTO!$X$15,ROW(AO35)-ROW(AO$15),0),
ROUND(ROUND(OFFSET($P35,0,AO$13),15-13*ORÇAMENTO!$AF$7)*OFFSET(ORÇAMENTO!$W$15,ROW(AO35)-ROW(AO$15),0),15-13*ORÇAMENTO!$AF$11)),0)</f>
        <v>0</v>
      </c>
      <c r="AP35" s="545">
        <f ca="1">IF(AND($D35="Serviço",AP$12&lt;&gt;0,$H35&gt;0,OR(AUTOEVENTO&lt;&gt;"manual",$M35&lt;&gt;1)),
IF(Import.TipoArredondamento&lt;&gt;"TransfereGOV",
ROUND(OFFSET($P35,0,AP$13),15-13*ORÇAMENTO!$AF$7)/$H35*OFFSET(ORÇAMENTO!$X$15,ROW(AP35)-ROW(AP$15),0),
ROUND(ROUND(OFFSET($P35,0,AP$13),15-13*ORÇAMENTO!$AF$7)*OFFSET(ORÇAMENTO!$W$15,ROW(AP35)-ROW(AP$15),0),15-13*ORÇAMENTO!$AF$11)),0)</f>
        <v>0</v>
      </c>
      <c r="AQ35" s="545">
        <f ca="1">IF(AND($D35="Serviço",AQ$12&lt;&gt;0,$H35&gt;0,OR(AUTOEVENTO&lt;&gt;"manual",$M35&lt;&gt;1)),
IF(Import.TipoArredondamento&lt;&gt;"TransfereGOV",
ROUND(OFFSET($P35,0,AQ$13),15-13*ORÇAMENTO!$AF$7)/$H35*OFFSET(ORÇAMENTO!$X$15,ROW(AQ35)-ROW(AQ$15),0),
ROUND(ROUND(OFFSET($P35,0,AQ$13),15-13*ORÇAMENTO!$AF$7)*OFFSET(ORÇAMENTO!$W$15,ROW(AQ35)-ROW(AQ$15),0),15-13*ORÇAMENTO!$AF$11)),0)</f>
        <v>0</v>
      </c>
      <c r="AR35" s="545">
        <f ca="1">IF(AND($D35="Serviço",AR$12&lt;&gt;0,$H35&gt;0,OR(AUTOEVENTO&lt;&gt;"manual",$M35&lt;&gt;1)),
IF(Import.TipoArredondamento&lt;&gt;"TransfereGOV",
ROUND(OFFSET($P35,0,AR$13),15-13*ORÇAMENTO!$AF$7)/$H35*OFFSET(ORÇAMENTO!$X$15,ROW(AR35)-ROW(AR$15),0),
ROUND(ROUND(OFFSET($P35,0,AR$13),15-13*ORÇAMENTO!$AF$7)*OFFSET(ORÇAMENTO!$W$15,ROW(AR35)-ROW(AR$15),0),15-13*ORÇAMENTO!$AF$11)),0)</f>
        <v>0</v>
      </c>
      <c r="AS35" s="546">
        <f ca="1">IF(AND($D35="Serviço",AS$12&lt;&gt;0,$H35&gt;0,OR(AUTOEVENTO&lt;&gt;"manual",$M35&lt;&gt;1)),
IF(Import.TipoArredondamento&lt;&gt;"TransfereGOV",
ROUND(OFFSET($P35,0,AS$13),15-13*ORÇAMENTO!$AF$7)/$H35*OFFSET(ORÇAMENTO!$X$15,ROW(AS35)-ROW(AS$15),0),
ROUND(ROUND(OFFSET($P35,0,AS$13),15-13*ORÇAMENTO!$AF$7)*OFFSET(ORÇAMENTO!$W$15,ROW(AS35)-ROW(AS$15),0),15-13*ORÇAMENTO!$AF$11)),0)</f>
        <v>0</v>
      </c>
      <c r="AT35" s="545">
        <f ca="1">IF(AND($D35="Serviço",AT$12&lt;&gt;0,$H35&gt;0,OR(AUTOEVENTO&lt;&gt;"manual",$M35&lt;&gt;1)),
IF(Import.TipoArredondamento&lt;&gt;"TransfereGOV",
ROUND(OFFSET($P35,0,AT$13),15-13*ORÇAMENTO!$AF$7)/$H35*OFFSET(ORÇAMENTO!$X$15,ROW(AT35)-ROW(AT$15),0),
ROUND(ROUND(OFFSET($P35,0,AT$13),15-13*ORÇAMENTO!$AF$7)*OFFSET(ORÇAMENTO!$W$15,ROW(AT35)-ROW(AT$15),0),15-13*ORÇAMENTO!$AF$11)),0)</f>
        <v>0</v>
      </c>
      <c r="AU35" s="545">
        <f ca="1">IF(AND($D35="Serviço",AU$12&lt;&gt;0,$H35&gt;0,OR(AUTOEVENTO&lt;&gt;"manual",$M35&lt;&gt;1)),
IF(Import.TipoArredondamento&lt;&gt;"TransfereGOV",
ROUND(OFFSET($P35,0,AU$13),15-13*ORÇAMENTO!$AF$7)/$H35*OFFSET(ORÇAMENTO!$X$15,ROW(AU35)-ROW(AU$15),0),
ROUND(ROUND(OFFSET($P35,0,AU$13),15-13*ORÇAMENTO!$AF$7)*OFFSET(ORÇAMENTO!$W$15,ROW(AU35)-ROW(AU$15),0),15-13*ORÇAMENTO!$AF$11)),0)</f>
        <v>0</v>
      </c>
      <c r="AV35" s="545">
        <f ca="1">IF(AND($D35="Serviço",AV$12&lt;&gt;0,$H35&gt;0,OR(AUTOEVENTO&lt;&gt;"manual",$M35&lt;&gt;1)),
IF(Import.TipoArredondamento&lt;&gt;"TransfereGOV",
ROUND(OFFSET($P35,0,AV$13),15-13*ORÇAMENTO!$AF$7)/$H35*OFFSET(ORÇAMENTO!$X$15,ROW(AV35)-ROW(AV$15),0),
ROUND(ROUND(OFFSET($P35,0,AV$13),15-13*ORÇAMENTO!$AF$7)*OFFSET(ORÇAMENTO!$W$15,ROW(AV35)-ROW(AV$15),0),15-13*ORÇAMENTO!$AF$11)),0)</f>
        <v>0</v>
      </c>
      <c r="AW35" s="545">
        <f ca="1">IF(AND($D35="Serviço",AW$12&lt;&gt;0,$H35&gt;0,OR(AUTOEVENTO&lt;&gt;"manual",$M35&lt;&gt;1)),
IF(Import.TipoArredondamento&lt;&gt;"TransfereGOV",
ROUND(OFFSET($P35,0,AW$13),15-13*ORÇAMENTO!$AF$7)/$H35*OFFSET(ORÇAMENTO!$X$15,ROW(AW35)-ROW(AW$15),0),
ROUND(ROUND(OFFSET($P35,0,AW$13),15-13*ORÇAMENTO!$AF$7)*OFFSET(ORÇAMENTO!$W$15,ROW(AW35)-ROW(AW$15),0),15-13*ORÇAMENTO!$AF$11)),0)</f>
        <v>0</v>
      </c>
      <c r="AX35" s="545">
        <f ca="1">IF(AND($D35="Serviço",AX$12&lt;&gt;0,$H35&gt;0,OR(AUTOEVENTO&lt;&gt;"manual",$M35&lt;&gt;1)),
IF(Import.TipoArredondamento&lt;&gt;"TransfereGOV",
ROUND(OFFSET($P35,0,AX$13),15-13*ORÇAMENTO!$AF$7)/$H35*OFFSET(ORÇAMENTO!$X$15,ROW(AX35)-ROW(AX$15),0),
ROUND(ROUND(OFFSET($P35,0,AX$13),15-13*ORÇAMENTO!$AF$7)*OFFSET(ORÇAMENTO!$W$15,ROW(AX35)-ROW(AX$15),0),15-13*ORÇAMENTO!$AF$11)),0)</f>
        <v>0</v>
      </c>
      <c r="AY35" s="545">
        <f ca="1">IF(AND($D35="Serviço",AY$12&lt;&gt;0,$H35&gt;0,OR(AUTOEVENTO&lt;&gt;"manual",$M35&lt;&gt;1)),
IF(Import.TipoArredondamento&lt;&gt;"TransfereGOV",
ROUND(OFFSET($P35,0,AY$13),15-13*ORÇAMENTO!$AF$7)/$H35*OFFSET(ORÇAMENTO!$X$15,ROW(AY35)-ROW(AY$15),0),
ROUND(ROUND(OFFSET($P35,0,AY$13),15-13*ORÇAMENTO!$AF$7)*OFFSET(ORÇAMENTO!$W$15,ROW(AY35)-ROW(AY$15),0),15-13*ORÇAMENTO!$AF$11)),0)</f>
        <v>0</v>
      </c>
      <c r="AZ35" s="545">
        <f ca="1">IF(AND($D35="Serviço",AZ$12&lt;&gt;0,$H35&gt;0,OR(AUTOEVENTO&lt;&gt;"manual",$M35&lt;&gt;1)),
IF(Import.TipoArredondamento&lt;&gt;"TransfereGOV",
ROUND(OFFSET($P35,0,AZ$13),15-13*ORÇAMENTO!$AF$7)/$H35*OFFSET(ORÇAMENTO!$X$15,ROW(AZ35)-ROW(AZ$15),0),
ROUND(ROUND(OFFSET($P35,0,AZ$13),15-13*ORÇAMENTO!$AF$7)*OFFSET(ORÇAMENTO!$W$15,ROW(AZ35)-ROW(AZ$15),0),15-13*ORÇAMENTO!$AF$11)),0)</f>
        <v>0</v>
      </c>
      <c r="BA35" s="546">
        <f ca="1">IF(AND($D35="Serviço",BA$12&lt;&gt;0,$H35&gt;0,OR(AUTOEVENTO&lt;&gt;"manual",$M35&lt;&gt;1)),
IF(Import.TipoArredondamento&lt;&gt;"TransfereGOV",
ROUND(OFFSET($P35,0,BA$13),15-13*ORÇAMENTO!$AF$7)/$H35*OFFSET(ORÇAMENTO!$X$15,ROW(BA35)-ROW(BA$15),0),
ROUND(ROUND(OFFSET($P35,0,BA$13),15-13*ORÇAMENTO!$AF$7)*OFFSET(ORÇAMENTO!$W$15,ROW(BA35)-ROW(BA$15),0),15-13*ORÇAMENTO!$AF$11)),0)</f>
        <v>0</v>
      </c>
      <c r="BC35" s="181">
        <f ca="1">IF($D35&lt;&gt;"Serviço",0,IF(AND(AUTOEVENTO="Manual",$M35=1),0,IF(OFFSET(CRONOPLE!$F$14,$M35,BC$13)="",10^12,OFFSET(CRONOPLE!$F$14,$M35,BC$13))))</f>
        <v>2</v>
      </c>
      <c r="BD35" s="181">
        <f ca="1">IF($D35&lt;&gt;"Serviço",0,IF(AND(AUTOEVENTO="Manual",$M35=1),0,IF(OFFSET(CRONOPLE!$F$14,$M35,BD$13)="",10^12,OFFSET(CRONOPLE!$F$14,$M35,BD$13))))</f>
        <v>1000000000000</v>
      </c>
      <c r="BE35" s="181">
        <f ca="1">IF($D35&lt;&gt;"Serviço",0,IF(AND(AUTOEVENTO="Manual",$M35=1),0,IF(OFFSET(CRONOPLE!$F$14,$M35,BE$13)="",10^12,OFFSET(CRONOPLE!$F$14,$M35,BE$13))))</f>
        <v>1000000000000</v>
      </c>
      <c r="BF35" s="181">
        <f ca="1">IF($D35&lt;&gt;"Serviço",0,IF(AND(AUTOEVENTO="Manual",$M35=1),0,IF(OFFSET(CRONOPLE!$F$14,$M35,BF$13)="",10^12,OFFSET(CRONOPLE!$F$14,$M35,BF$13))))</f>
        <v>1000000000000</v>
      </c>
      <c r="BG35" s="181">
        <f ca="1">IF($D35&lt;&gt;"Serviço",0,IF(AND(AUTOEVENTO="Manual",$M35=1),0,IF(OFFSET(CRONOPLE!$F$14,$M35,BG$13)="",10^12,OFFSET(CRONOPLE!$F$14,$M35,BG$13))))</f>
        <v>1000000000000</v>
      </c>
      <c r="BH35" s="181">
        <f ca="1">IF($D35&lt;&gt;"Serviço",0,IF(AND(AUTOEVENTO="Manual",$M35=1),0,IF(OFFSET(CRONOPLE!$F$14,$M35,BH$13)="",10^12,OFFSET(CRONOPLE!$F$14,$M35,BH$13))))</f>
        <v>1000000000000</v>
      </c>
      <c r="BI35" s="181">
        <f ca="1">IF($D35&lt;&gt;"Serviço",0,IF(AND(AUTOEVENTO="Manual",$M35=1),0,IF(OFFSET(CRONOPLE!$F$14,$M35,BI$13)="",10^12,OFFSET(CRONOPLE!$F$14,$M35,BI$13))))</f>
        <v>1000000000000</v>
      </c>
      <c r="BJ35" s="181">
        <f ca="1">IF($D35&lt;&gt;"Serviço",0,IF(AND(AUTOEVENTO="Manual",$M35=1),0,IF(OFFSET(CRONOPLE!$F$14,$M35,BJ$13)="",10^12,OFFSET(CRONOPLE!$F$14,$M35,BJ$13))))</f>
        <v>1000000000000</v>
      </c>
      <c r="BK35" s="181">
        <f ca="1">IF($D35&lt;&gt;"Serviço",0,IF(AND(AUTOEVENTO="Manual",$M35=1),0,IF(OFFSET(CRONOPLE!$F$14,$M35,BK$13)="",10^12,OFFSET(CRONOPLE!$F$14,$M35,BK$13))))</f>
        <v>1000000000000</v>
      </c>
      <c r="BL35" s="181">
        <f ca="1">IF($D35&lt;&gt;"Serviço",0,IF(AND(AUTOEVENTO="Manual",$M35=1),0,IF(OFFSET(CRONOPLE!$F$14,$M35,BL$13)="",10^12,OFFSET(CRONOPLE!$F$14,$M35,BL$13))))</f>
        <v>1000000000000</v>
      </c>
      <c r="BM35" s="181">
        <f ca="1">IF($D35&lt;&gt;"Serviço",0,IF(AND(AUTOEVENTO="Manual",$M35=1),0,IF(OFFSET(CRONOPLE!$F$14,$M35,BM$13)="",10^12,OFFSET(CRONOPLE!$F$14,$M35,BM$13))))</f>
        <v>1000000000000</v>
      </c>
      <c r="BN35" s="181">
        <f ca="1">IF($D35&lt;&gt;"Serviço",0,IF(AND(AUTOEVENTO="Manual",$M35=1),0,IF(OFFSET(CRONOPLE!$F$14,$M35,BN$13)="",10^12,OFFSET(CRONOPLE!$F$14,$M35,BN$13))))</f>
        <v>1000000000000</v>
      </c>
      <c r="BO35" s="181">
        <f ca="1">IF($D35&lt;&gt;"Serviço",0,IF(AND(AUTOEVENTO="Manual",$M35=1),0,IF(OFFSET(CRONOPLE!$F$14,$M35,BO$13)="",10^12,OFFSET(CRONOPLE!$F$14,$M35,BO$13))))</f>
        <v>1000000000000</v>
      </c>
      <c r="BP35" s="181">
        <f ca="1">IF($D35&lt;&gt;"Serviço",0,IF(AND(AUTOEVENTO="Manual",$M35=1),0,IF(OFFSET(CRONOPLE!$F$14,$M35,BP$13)="",10^12,OFFSET(CRONOPLE!$F$14,$M35,BP$13))))</f>
        <v>1000000000000</v>
      </c>
      <c r="BQ35" s="181">
        <f ca="1">IF($D35&lt;&gt;"Serviço",0,IF(AND(AUTOEVENTO="Manual",$M35=1),0,IF(OFFSET(CRONOPLE!$F$14,$M35,BQ$13)="",10^12,OFFSET(CRONOPLE!$F$14,$M35,BQ$13))))</f>
        <v>1000000000000</v>
      </c>
      <c r="BR35" s="181">
        <f ca="1">IF($D35&lt;&gt;"Serviço",0,IF(AND(AUTOEVENTO="Manual",$M35=1),0,IF(OFFSET(CRONOPLE!$F$14,$M35,BR$13)="",10^12,OFFSET(CRONOPLE!$F$14,$M35,BR$13))))</f>
        <v>1000000000000</v>
      </c>
      <c r="BS35" s="181">
        <f ca="1">IF($D35&lt;&gt;"Serviço",0,IF(AND(AUTOEVENTO="Manual",$M35=1),0,IF(OFFSET(CRONOPLE!$F$14,$M35,BS$13)="",10^12,OFFSET(CRONOPLE!$F$14,$M35,BS$13))))</f>
        <v>1000000000000</v>
      </c>
      <c r="BT35" s="181">
        <f ca="1">IF($D35&lt;&gt;"Serviço",0,IF(AND(AUTOEVENTO="Manual",$M35=1),0,IF(OFFSET(CRONOPLE!$F$14,$M35,BT$13)="",10^12,OFFSET(CRONOPLE!$F$14,$M35,BT$13))))</f>
        <v>1000000000000</v>
      </c>
      <c r="BV35" s="182">
        <f ca="1">IF($D35&lt;&gt;"Serviço",0,IF(OR(AND(AUTOEVENTO="Manual",$M35=1),$M35&gt;(ROW(PLE.lastrow)-ROW(PLE.firstrow))),0,IF(OFFSET(PLE!$G$14,$M35,BV$13)="",10^12,OFFSET(PLE!$G$14,$M35,BV$13))))</f>
        <v>1000000000000</v>
      </c>
      <c r="BW35" s="182">
        <f ca="1">IF($D35&lt;&gt;"Serviço",0,IF(OR(AND(AUTOEVENTO="Manual",$M35=1),$M35&gt;(ROW(PLE.lastrow)-ROW(PLE.firstrow))),0,IF(OFFSET(PLE!$G$14,$M35,BW$13)="",10^12,OFFSET(PLE!$G$14,$M35,BW$13))))</f>
        <v>1000000000000</v>
      </c>
      <c r="BX35" s="182">
        <f ca="1">IF($D35&lt;&gt;"Serviço",0,IF(OR(AND(AUTOEVENTO="Manual",$M35=1),$M35&gt;(ROW(PLE.lastrow)-ROW(PLE.firstrow))),0,IF(OFFSET(PLE!$G$14,$M35,BX$13)="",10^12,OFFSET(PLE!$G$14,$M35,BX$13))))</f>
        <v>1000000000000</v>
      </c>
      <c r="BY35" s="182">
        <f ca="1">IF($D35&lt;&gt;"Serviço",0,IF(OR(AND(AUTOEVENTO="Manual",$M35=1),$M35&gt;(ROW(PLE.lastrow)-ROW(PLE.firstrow))),0,IF(OFFSET(PLE!$G$14,$M35,BY$13)="",10^12,OFFSET(PLE!$G$14,$M35,BY$13))))</f>
        <v>1000000000000</v>
      </c>
      <c r="BZ35" s="182">
        <f ca="1">IF($D35&lt;&gt;"Serviço",0,IF(OR(AND(AUTOEVENTO="Manual",$M35=1),$M35&gt;(ROW(PLE.lastrow)-ROW(PLE.firstrow))),0,IF(OFFSET(PLE!$G$14,$M35,BZ$13)="",10^12,OFFSET(PLE!$G$14,$M35,BZ$13))))</f>
        <v>1000000000000</v>
      </c>
      <c r="CA35" s="182">
        <f ca="1">IF($D35&lt;&gt;"Serviço",0,IF(OR(AND(AUTOEVENTO="Manual",$M35=1),$M35&gt;(ROW(PLE.lastrow)-ROW(PLE.firstrow))),0,IF(OFFSET(PLE!$G$14,$M35,CA$13)="",10^12,OFFSET(PLE!$G$14,$M35,CA$13))))</f>
        <v>1000000000000</v>
      </c>
      <c r="CB35" s="182">
        <f ca="1">IF($D35&lt;&gt;"Serviço",0,IF(OR(AND(AUTOEVENTO="Manual",$M35=1),$M35&gt;(ROW(PLE.lastrow)-ROW(PLE.firstrow))),0,IF(OFFSET(PLE!$G$14,$M35,CB$13)="",10^12,OFFSET(PLE!$G$14,$M35,CB$13))))</f>
        <v>1000000000000</v>
      </c>
      <c r="CC35" s="182">
        <f ca="1">IF($D35&lt;&gt;"Serviço",0,IF(OR(AND(AUTOEVENTO="Manual",$M35=1),$M35&gt;(ROW(PLE.lastrow)-ROW(PLE.firstrow))),0,IF(OFFSET(PLE!$G$14,$M35,CC$13)="",10^12,OFFSET(PLE!$G$14,$M35,CC$13))))</f>
        <v>1000000000000</v>
      </c>
      <c r="CD35" s="182">
        <f ca="1">IF($D35&lt;&gt;"Serviço",0,IF(OR(AND(AUTOEVENTO="Manual",$M35=1),$M35&gt;(ROW(PLE.lastrow)-ROW(PLE.firstrow))),0,IF(OFFSET(PLE!$G$14,$M35,CD$13)="",10^12,OFFSET(PLE!$G$14,$M35,CD$13))))</f>
        <v>1000000000000</v>
      </c>
      <c r="CE35" s="182">
        <f ca="1">IF($D35&lt;&gt;"Serviço",0,IF(OR(AND(AUTOEVENTO="Manual",$M35=1),$M35&gt;(ROW(PLE.lastrow)-ROW(PLE.firstrow))),0,IF(OFFSET(PLE!$G$14,$M35,CE$13)="",10^12,OFFSET(PLE!$G$14,$M35,CE$13))))</f>
        <v>1000000000000</v>
      </c>
      <c r="CF35" s="182">
        <f ca="1">IF($D35&lt;&gt;"Serviço",0,IF(OR(AND(AUTOEVENTO="Manual",$M35=1),$M35&gt;(ROW(PLE.lastrow)-ROW(PLE.firstrow))),0,IF(OFFSET(PLE!$G$14,$M35,CF$13)="",10^12,OFFSET(PLE!$G$14,$M35,CF$13))))</f>
        <v>1000000000000</v>
      </c>
      <c r="CG35" s="182">
        <f ca="1">IF($D35&lt;&gt;"Serviço",0,IF(OR(AND(AUTOEVENTO="Manual",$M35=1),$M35&gt;(ROW(PLE.lastrow)-ROW(PLE.firstrow))),0,IF(OFFSET(PLE!$G$14,$M35,CG$13)="",10^12,OFFSET(PLE!$G$14,$M35,CG$13))))</f>
        <v>1000000000000</v>
      </c>
      <c r="CH35" s="182">
        <f ca="1">IF($D35&lt;&gt;"Serviço",0,IF(OR(AND(AUTOEVENTO="Manual",$M35=1),$M35&gt;(ROW(PLE.lastrow)-ROW(PLE.firstrow))),0,IF(OFFSET(PLE!$G$14,$M35,CH$13)="",10^12,OFFSET(PLE!$G$14,$M35,CH$13))))</f>
        <v>1000000000000</v>
      </c>
      <c r="CI35" s="182">
        <f ca="1">IF($D35&lt;&gt;"Serviço",0,IF(OR(AND(AUTOEVENTO="Manual",$M35=1),$M35&gt;(ROW(PLE.lastrow)-ROW(PLE.firstrow))),0,IF(OFFSET(PLE!$G$14,$M35,CI$13)="",10^12,OFFSET(PLE!$G$14,$M35,CI$13))))</f>
        <v>1000000000000</v>
      </c>
      <c r="CJ35" s="182">
        <f ca="1">IF($D35&lt;&gt;"Serviço",0,IF(OR(AND(AUTOEVENTO="Manual",$M35=1),$M35&gt;(ROW(PLE.lastrow)-ROW(PLE.firstrow))),0,IF(OFFSET(PLE!$G$14,$M35,CJ$13)="",10^12,OFFSET(PLE!$G$14,$M35,CJ$13))))</f>
        <v>1000000000000</v>
      </c>
      <c r="CK35" s="182">
        <f ca="1">IF($D35&lt;&gt;"Serviço",0,IF(OR(AND(AUTOEVENTO="Manual",$M35=1),$M35&gt;(ROW(PLE.lastrow)-ROW(PLE.firstrow))),0,IF(OFFSET(PLE!$G$14,$M35,CK$13)="",10^12,OFFSET(PLE!$G$14,$M35,CK$13))))</f>
        <v>1000000000000</v>
      </c>
      <c r="CL35" s="182">
        <f ca="1">IF($D35&lt;&gt;"Serviço",0,IF(OR(AND(AUTOEVENTO="Manual",$M35=1),$M35&gt;(ROW(PLE.lastrow)-ROW(PLE.firstrow))),0,IF(OFFSET(PLE!$G$14,$M35,CL$13)="",10^12,OFFSET(PLE!$G$14,$M35,CL$13))))</f>
        <v>1000000000000</v>
      </c>
      <c r="CM35" s="182">
        <f ca="1">IF($D35&lt;&gt;"Serviço",0,IF(OR(AND(AUTOEVENTO="Manual",$M35=1),$M35&gt;(ROW(PLE.lastrow)-ROW(PLE.firstrow))),0,IF(OFFSET(PLE!$G$14,$M35,CM$13)="",10^12,OFFSET(PLE!$G$14,$M35,CM$13))))</f>
        <v>1000000000000</v>
      </c>
    </row>
    <row r="36" spans="1:91" ht="51" x14ac:dyDescent="0.2">
      <c r="A36" s="7" t="str">
        <f t="shared" ca="1" si="9"/>
        <v>14</v>
      </c>
      <c r="B36" s="7" t="str">
        <f ca="1">OFFSET(ORÇAMENTO!C$15,ROW(B36)-ROW(B$15),0)</f>
        <v>S</v>
      </c>
      <c r="C36" s="7" t="str">
        <f ca="1">OFFSET(ORÇAMENTO!L$15,ROW(C36)-ROW(C$15),0)</f>
        <v/>
      </c>
      <c r="D36" s="118" t="str">
        <f ca="1">OFFSET(ORÇAMENTO!N$15,ROW(D36)-ROW(D$15),0)</f>
        <v>Serviço</v>
      </c>
      <c r="E36" s="119" t="str">
        <f ca="1">OFFSET(ORÇAMENTO!O$15,ROW(E36)-ROW(E$15),0)</f>
        <v>-</v>
      </c>
      <c r="F36" s="172" t="str">
        <f ca="1">OFFSET(ORÇAMENTO!R$15,ROW(F36)-ROW(F$15),0)</f>
        <v>(abra o arquivo 'Referência 06-2024.xlsm)</v>
      </c>
      <c r="G36" s="173" t="str">
        <f ca="1">IF($D36&lt;&gt;"Serviço","",OFFSET(ORÇAMENTO!S$15,ROW(G36)-ROW(G$15),0))</f>
        <v>-</v>
      </c>
      <c r="H36" s="124">
        <f ca="1">IF($D36&lt;&gt;"Serviço",0,IF(ACOMPANHAMENTO="BM",ROUND(OFFSET(ORÇAMENTO!AJ$15,ROW(H36)-ROW(H$15),0),15-13*ORÇAMENTO!$AF$7),SUMPRODUCT(($Q$12:$AI$12&lt;&gt;"")*ROUND($Q36:$AI36,15-13*ORÇAMENTO!$AF$7))))</f>
        <v>247.36</v>
      </c>
      <c r="I36" s="561" t="s">
        <v>1107</v>
      </c>
      <c r="K36" s="174" t="s">
        <v>1022</v>
      </c>
      <c r="L36" s="175" t="s">
        <v>255</v>
      </c>
      <c r="M36" s="17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177" t="str">
        <f ca="1">IF($D36&lt;&gt;"Serviço","",IF(AUTOEVENTO="Manual",IF($A36=0,"&lt;-- defina o número do agrupador",OFFSET(EVENTOS!$D$14,$A36,0)),OFFSET($F$15,$A36,0)))</f>
        <v>MOVIMENTO DE TERRA PARA FUNDAÇÕES</v>
      </c>
      <c r="O36" s="178"/>
      <c r="Q36" s="178">
        <v>247.36</v>
      </c>
      <c r="R36" s="179"/>
      <c r="S36" s="179"/>
      <c r="T36" s="179"/>
      <c r="U36" s="179"/>
      <c r="V36" s="179"/>
      <c r="W36" s="179"/>
      <c r="X36" s="179"/>
      <c r="Y36" s="179"/>
      <c r="Z36" s="180"/>
      <c r="AA36" s="179"/>
      <c r="AB36" s="179"/>
      <c r="AC36" s="179"/>
      <c r="AD36" s="179"/>
      <c r="AE36" s="179"/>
      <c r="AF36" s="179"/>
      <c r="AG36" s="179"/>
      <c r="AH36" s="180"/>
      <c r="AJ36" s="544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545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L36" s="545">
        <f ca="1">IF(AND($D36="Serviço",AL$12&lt;&gt;0,$H36&gt;0,OR(AUTOEVENTO&lt;&gt;"manual",$M36&lt;&gt;1)),
IF(Import.TipoArredondamento&lt;&gt;"TransfereGOV",
ROUND(OFFSET($P36,0,AL$13),15-13*ORÇAMENTO!$AF$7)/$H36*OFFSET(ORÇAMENTO!$X$15,ROW(AL36)-ROW(AL$15),0),
ROUND(ROUND(OFFSET($P36,0,AL$13),15-13*ORÇAMENTO!$AF$7)*OFFSET(ORÇAMENTO!$W$15,ROW(AL36)-ROW(AL$15),0),15-13*ORÇAMENTO!$AF$11)),0)</f>
        <v>0</v>
      </c>
      <c r="AM36" s="545">
        <f ca="1">IF(AND($D36="Serviço",AM$12&lt;&gt;0,$H36&gt;0,OR(AUTOEVENTO&lt;&gt;"manual",$M36&lt;&gt;1)),
IF(Import.TipoArredondamento&lt;&gt;"TransfereGOV",
ROUND(OFFSET($P36,0,AM$13),15-13*ORÇAMENTO!$AF$7)/$H36*OFFSET(ORÇAMENTO!$X$15,ROW(AM36)-ROW(AM$15),0),
ROUND(ROUND(OFFSET($P36,0,AM$13),15-13*ORÇAMENTO!$AF$7)*OFFSET(ORÇAMENTO!$W$15,ROW(AM36)-ROW(AM$15),0),15-13*ORÇAMENTO!$AF$11)),0)</f>
        <v>0</v>
      </c>
      <c r="AN36" s="545">
        <f ca="1">IF(AND($D36="Serviço",AN$12&lt;&gt;0,$H36&gt;0,OR(AUTOEVENTO&lt;&gt;"manual",$M36&lt;&gt;1)),
IF(Import.TipoArredondamento&lt;&gt;"TransfereGOV",
ROUND(OFFSET($P36,0,AN$13),15-13*ORÇAMENTO!$AF$7)/$H36*OFFSET(ORÇAMENTO!$X$15,ROW(AN36)-ROW(AN$15),0),
ROUND(ROUND(OFFSET($P36,0,AN$13),15-13*ORÇAMENTO!$AF$7)*OFFSET(ORÇAMENTO!$W$15,ROW(AN36)-ROW(AN$15),0),15-13*ORÇAMENTO!$AF$11)),0)</f>
        <v>0</v>
      </c>
      <c r="AO36" s="545">
        <f ca="1">IF(AND($D36="Serviço",AO$12&lt;&gt;0,$H36&gt;0,OR(AUTOEVENTO&lt;&gt;"manual",$M36&lt;&gt;1)),
IF(Import.TipoArredondamento&lt;&gt;"TransfereGOV",
ROUND(OFFSET($P36,0,AO$13),15-13*ORÇAMENTO!$AF$7)/$H36*OFFSET(ORÇAMENTO!$X$15,ROW(AO36)-ROW(AO$15),0),
ROUND(ROUND(OFFSET($P36,0,AO$13),15-13*ORÇAMENTO!$AF$7)*OFFSET(ORÇAMENTO!$W$15,ROW(AO36)-ROW(AO$15),0),15-13*ORÇAMENTO!$AF$11)),0)</f>
        <v>0</v>
      </c>
      <c r="AP36" s="545">
        <f ca="1">IF(AND($D36="Serviço",AP$12&lt;&gt;0,$H36&gt;0,OR(AUTOEVENTO&lt;&gt;"manual",$M36&lt;&gt;1)),
IF(Import.TipoArredondamento&lt;&gt;"TransfereGOV",
ROUND(OFFSET($P36,0,AP$13),15-13*ORÇAMENTO!$AF$7)/$H36*OFFSET(ORÇAMENTO!$X$15,ROW(AP36)-ROW(AP$15),0),
ROUND(ROUND(OFFSET($P36,0,AP$13),15-13*ORÇAMENTO!$AF$7)*OFFSET(ORÇAMENTO!$W$15,ROW(AP36)-ROW(AP$15),0),15-13*ORÇAMENTO!$AF$11)),0)</f>
        <v>0</v>
      </c>
      <c r="AQ36" s="545">
        <f ca="1">IF(AND($D36="Serviço",AQ$12&lt;&gt;0,$H36&gt;0,OR(AUTOEVENTO&lt;&gt;"manual",$M36&lt;&gt;1)),
IF(Import.TipoArredondamento&lt;&gt;"TransfereGOV",
ROUND(OFFSET($P36,0,AQ$13),15-13*ORÇAMENTO!$AF$7)/$H36*OFFSET(ORÇAMENTO!$X$15,ROW(AQ36)-ROW(AQ$15),0),
ROUND(ROUND(OFFSET($P36,0,AQ$13),15-13*ORÇAMENTO!$AF$7)*OFFSET(ORÇAMENTO!$W$15,ROW(AQ36)-ROW(AQ$15),0),15-13*ORÇAMENTO!$AF$11)),0)</f>
        <v>0</v>
      </c>
      <c r="AR36" s="545">
        <f ca="1">IF(AND($D36="Serviço",AR$12&lt;&gt;0,$H36&gt;0,OR(AUTOEVENTO&lt;&gt;"manual",$M36&lt;&gt;1)),
IF(Import.TipoArredondamento&lt;&gt;"TransfereGOV",
ROUND(OFFSET($P36,0,AR$13),15-13*ORÇAMENTO!$AF$7)/$H36*OFFSET(ORÇAMENTO!$X$15,ROW(AR36)-ROW(AR$15),0),
ROUND(ROUND(OFFSET($P36,0,AR$13),15-13*ORÇAMENTO!$AF$7)*OFFSET(ORÇAMENTO!$W$15,ROW(AR36)-ROW(AR$15),0),15-13*ORÇAMENTO!$AF$11)),0)</f>
        <v>0</v>
      </c>
      <c r="AS36" s="546">
        <f ca="1">IF(AND($D36="Serviço",AS$12&lt;&gt;0,$H36&gt;0,OR(AUTOEVENTO&lt;&gt;"manual",$M36&lt;&gt;1)),
IF(Import.TipoArredondamento&lt;&gt;"TransfereGOV",
ROUND(OFFSET($P36,0,AS$13),15-13*ORÇAMENTO!$AF$7)/$H36*OFFSET(ORÇAMENTO!$X$15,ROW(AS36)-ROW(AS$15),0),
ROUND(ROUND(OFFSET($P36,0,AS$13),15-13*ORÇAMENTO!$AF$7)*OFFSET(ORÇAMENTO!$W$15,ROW(AS36)-ROW(AS$15),0),15-13*ORÇAMENTO!$AF$11)),0)</f>
        <v>0</v>
      </c>
      <c r="AT36" s="545">
        <f ca="1">IF(AND($D36="Serviço",AT$12&lt;&gt;0,$H36&gt;0,OR(AUTOEVENTO&lt;&gt;"manual",$M36&lt;&gt;1)),
IF(Import.TipoArredondamento&lt;&gt;"TransfereGOV",
ROUND(OFFSET($P36,0,AT$13),15-13*ORÇAMENTO!$AF$7)/$H36*OFFSET(ORÇAMENTO!$X$15,ROW(AT36)-ROW(AT$15),0),
ROUND(ROUND(OFFSET($P36,0,AT$13),15-13*ORÇAMENTO!$AF$7)*OFFSET(ORÇAMENTO!$W$15,ROW(AT36)-ROW(AT$15),0),15-13*ORÇAMENTO!$AF$11)),0)</f>
        <v>0</v>
      </c>
      <c r="AU36" s="545">
        <f ca="1">IF(AND($D36="Serviço",AU$12&lt;&gt;0,$H36&gt;0,OR(AUTOEVENTO&lt;&gt;"manual",$M36&lt;&gt;1)),
IF(Import.TipoArredondamento&lt;&gt;"TransfereGOV",
ROUND(OFFSET($P36,0,AU$13),15-13*ORÇAMENTO!$AF$7)/$H36*OFFSET(ORÇAMENTO!$X$15,ROW(AU36)-ROW(AU$15),0),
ROUND(ROUND(OFFSET($P36,0,AU$13),15-13*ORÇAMENTO!$AF$7)*OFFSET(ORÇAMENTO!$W$15,ROW(AU36)-ROW(AU$15),0),15-13*ORÇAMENTO!$AF$11)),0)</f>
        <v>0</v>
      </c>
      <c r="AV36" s="545">
        <f ca="1">IF(AND($D36="Serviço",AV$12&lt;&gt;0,$H36&gt;0,OR(AUTOEVENTO&lt;&gt;"manual",$M36&lt;&gt;1)),
IF(Import.TipoArredondamento&lt;&gt;"TransfereGOV",
ROUND(OFFSET($P36,0,AV$13),15-13*ORÇAMENTO!$AF$7)/$H36*OFFSET(ORÇAMENTO!$X$15,ROW(AV36)-ROW(AV$15),0),
ROUND(ROUND(OFFSET($P36,0,AV$13),15-13*ORÇAMENTO!$AF$7)*OFFSET(ORÇAMENTO!$W$15,ROW(AV36)-ROW(AV$15),0),15-13*ORÇAMENTO!$AF$11)),0)</f>
        <v>0</v>
      </c>
      <c r="AW36" s="545">
        <f ca="1">IF(AND($D36="Serviço",AW$12&lt;&gt;0,$H36&gt;0,OR(AUTOEVENTO&lt;&gt;"manual",$M36&lt;&gt;1)),
IF(Import.TipoArredondamento&lt;&gt;"TransfereGOV",
ROUND(OFFSET($P36,0,AW$13),15-13*ORÇAMENTO!$AF$7)/$H36*OFFSET(ORÇAMENTO!$X$15,ROW(AW36)-ROW(AW$15),0),
ROUND(ROUND(OFFSET($P36,0,AW$13),15-13*ORÇAMENTO!$AF$7)*OFFSET(ORÇAMENTO!$W$15,ROW(AW36)-ROW(AW$15),0),15-13*ORÇAMENTO!$AF$11)),0)</f>
        <v>0</v>
      </c>
      <c r="AX36" s="545">
        <f ca="1">IF(AND($D36="Serviço",AX$12&lt;&gt;0,$H36&gt;0,OR(AUTOEVENTO&lt;&gt;"manual",$M36&lt;&gt;1)),
IF(Import.TipoArredondamento&lt;&gt;"TransfereGOV",
ROUND(OFFSET($P36,0,AX$13),15-13*ORÇAMENTO!$AF$7)/$H36*OFFSET(ORÇAMENTO!$X$15,ROW(AX36)-ROW(AX$15),0),
ROUND(ROUND(OFFSET($P36,0,AX$13),15-13*ORÇAMENTO!$AF$7)*OFFSET(ORÇAMENTO!$W$15,ROW(AX36)-ROW(AX$15),0),15-13*ORÇAMENTO!$AF$11)),0)</f>
        <v>0</v>
      </c>
      <c r="AY36" s="545">
        <f ca="1">IF(AND($D36="Serviço",AY$12&lt;&gt;0,$H36&gt;0,OR(AUTOEVENTO&lt;&gt;"manual",$M36&lt;&gt;1)),
IF(Import.TipoArredondamento&lt;&gt;"TransfereGOV",
ROUND(OFFSET($P36,0,AY$13),15-13*ORÇAMENTO!$AF$7)/$H36*OFFSET(ORÇAMENTO!$X$15,ROW(AY36)-ROW(AY$15),0),
ROUND(ROUND(OFFSET($P36,0,AY$13),15-13*ORÇAMENTO!$AF$7)*OFFSET(ORÇAMENTO!$W$15,ROW(AY36)-ROW(AY$15),0),15-13*ORÇAMENTO!$AF$11)),0)</f>
        <v>0</v>
      </c>
      <c r="AZ36" s="545">
        <f ca="1">IF(AND($D36="Serviço",AZ$12&lt;&gt;0,$H36&gt;0,OR(AUTOEVENTO&lt;&gt;"manual",$M36&lt;&gt;1)),
IF(Import.TipoArredondamento&lt;&gt;"TransfereGOV",
ROUND(OFFSET($P36,0,AZ$13),15-13*ORÇAMENTO!$AF$7)/$H36*OFFSET(ORÇAMENTO!$X$15,ROW(AZ36)-ROW(AZ$15),0),
ROUND(ROUND(OFFSET($P36,0,AZ$13),15-13*ORÇAMENTO!$AF$7)*OFFSET(ORÇAMENTO!$W$15,ROW(AZ36)-ROW(AZ$15),0),15-13*ORÇAMENTO!$AF$11)),0)</f>
        <v>0</v>
      </c>
      <c r="BA36" s="546">
        <f ca="1">IF(AND($D36="Serviço",BA$12&lt;&gt;0,$H36&gt;0,OR(AUTOEVENTO&lt;&gt;"manual",$M36&lt;&gt;1)),
IF(Import.TipoArredondamento&lt;&gt;"TransfereGOV",
ROUND(OFFSET($P36,0,BA$13),15-13*ORÇAMENTO!$AF$7)/$H36*OFFSET(ORÇAMENTO!$X$15,ROW(BA36)-ROW(BA$15),0),
ROUND(ROUND(OFFSET($P36,0,BA$13),15-13*ORÇAMENTO!$AF$7)*OFFSET(ORÇAMENTO!$W$15,ROW(BA36)-ROW(BA$15),0),15-13*ORÇAMENTO!$AF$11)),0)</f>
        <v>0</v>
      </c>
      <c r="BC36" s="181">
        <f ca="1">IF($D36&lt;&gt;"Serviço",0,IF(AND(AUTOEVENTO="Manual",$M36=1),0,IF(OFFSET(CRONOPLE!$F$14,$M36,BC$13)="",10^12,OFFSET(CRONOPLE!$F$14,$M36,BC$13))))</f>
        <v>2</v>
      </c>
      <c r="BD36" s="181">
        <f ca="1">IF($D36&lt;&gt;"Serviço",0,IF(AND(AUTOEVENTO="Manual",$M36=1),0,IF(OFFSET(CRONOPLE!$F$14,$M36,BD$13)="",10^12,OFFSET(CRONOPLE!$F$14,$M36,BD$13))))</f>
        <v>1000000000000</v>
      </c>
      <c r="BE36" s="181">
        <f ca="1">IF($D36&lt;&gt;"Serviço",0,IF(AND(AUTOEVENTO="Manual",$M36=1),0,IF(OFFSET(CRONOPLE!$F$14,$M36,BE$13)="",10^12,OFFSET(CRONOPLE!$F$14,$M36,BE$13))))</f>
        <v>1000000000000</v>
      </c>
      <c r="BF36" s="181">
        <f ca="1">IF($D36&lt;&gt;"Serviço",0,IF(AND(AUTOEVENTO="Manual",$M36=1),0,IF(OFFSET(CRONOPLE!$F$14,$M36,BF$13)="",10^12,OFFSET(CRONOPLE!$F$14,$M36,BF$13))))</f>
        <v>1000000000000</v>
      </c>
      <c r="BG36" s="181">
        <f ca="1">IF($D36&lt;&gt;"Serviço",0,IF(AND(AUTOEVENTO="Manual",$M36=1),0,IF(OFFSET(CRONOPLE!$F$14,$M36,BG$13)="",10^12,OFFSET(CRONOPLE!$F$14,$M36,BG$13))))</f>
        <v>1000000000000</v>
      </c>
      <c r="BH36" s="181">
        <f ca="1">IF($D36&lt;&gt;"Serviço",0,IF(AND(AUTOEVENTO="Manual",$M36=1),0,IF(OFFSET(CRONOPLE!$F$14,$M36,BH$13)="",10^12,OFFSET(CRONOPLE!$F$14,$M36,BH$13))))</f>
        <v>1000000000000</v>
      </c>
      <c r="BI36" s="181">
        <f ca="1">IF($D36&lt;&gt;"Serviço",0,IF(AND(AUTOEVENTO="Manual",$M36=1),0,IF(OFFSET(CRONOPLE!$F$14,$M36,BI$13)="",10^12,OFFSET(CRONOPLE!$F$14,$M36,BI$13))))</f>
        <v>1000000000000</v>
      </c>
      <c r="BJ36" s="181">
        <f ca="1">IF($D36&lt;&gt;"Serviço",0,IF(AND(AUTOEVENTO="Manual",$M36=1),0,IF(OFFSET(CRONOPLE!$F$14,$M36,BJ$13)="",10^12,OFFSET(CRONOPLE!$F$14,$M36,BJ$13))))</f>
        <v>1000000000000</v>
      </c>
      <c r="BK36" s="181">
        <f ca="1">IF($D36&lt;&gt;"Serviço",0,IF(AND(AUTOEVENTO="Manual",$M36=1),0,IF(OFFSET(CRONOPLE!$F$14,$M36,BK$13)="",10^12,OFFSET(CRONOPLE!$F$14,$M36,BK$13))))</f>
        <v>1000000000000</v>
      </c>
      <c r="BL36" s="181">
        <f ca="1">IF($D36&lt;&gt;"Serviço",0,IF(AND(AUTOEVENTO="Manual",$M36=1),0,IF(OFFSET(CRONOPLE!$F$14,$M36,BL$13)="",10^12,OFFSET(CRONOPLE!$F$14,$M36,BL$13))))</f>
        <v>1000000000000</v>
      </c>
      <c r="BM36" s="181">
        <f ca="1">IF($D36&lt;&gt;"Serviço",0,IF(AND(AUTOEVENTO="Manual",$M36=1),0,IF(OFFSET(CRONOPLE!$F$14,$M36,BM$13)="",10^12,OFFSET(CRONOPLE!$F$14,$M36,BM$13))))</f>
        <v>1000000000000</v>
      </c>
      <c r="BN36" s="181">
        <f ca="1">IF($D36&lt;&gt;"Serviço",0,IF(AND(AUTOEVENTO="Manual",$M36=1),0,IF(OFFSET(CRONOPLE!$F$14,$M36,BN$13)="",10^12,OFFSET(CRONOPLE!$F$14,$M36,BN$13))))</f>
        <v>1000000000000</v>
      </c>
      <c r="BO36" s="181">
        <f ca="1">IF($D36&lt;&gt;"Serviço",0,IF(AND(AUTOEVENTO="Manual",$M36=1),0,IF(OFFSET(CRONOPLE!$F$14,$M36,BO$13)="",10^12,OFFSET(CRONOPLE!$F$14,$M36,BO$13))))</f>
        <v>1000000000000</v>
      </c>
      <c r="BP36" s="181">
        <f ca="1">IF($D36&lt;&gt;"Serviço",0,IF(AND(AUTOEVENTO="Manual",$M36=1),0,IF(OFFSET(CRONOPLE!$F$14,$M36,BP$13)="",10^12,OFFSET(CRONOPLE!$F$14,$M36,BP$13))))</f>
        <v>1000000000000</v>
      </c>
      <c r="BQ36" s="181">
        <f ca="1">IF($D36&lt;&gt;"Serviço",0,IF(AND(AUTOEVENTO="Manual",$M36=1),0,IF(OFFSET(CRONOPLE!$F$14,$M36,BQ$13)="",10^12,OFFSET(CRONOPLE!$F$14,$M36,BQ$13))))</f>
        <v>1000000000000</v>
      </c>
      <c r="BR36" s="181">
        <f ca="1">IF($D36&lt;&gt;"Serviço",0,IF(AND(AUTOEVENTO="Manual",$M36=1),0,IF(OFFSET(CRONOPLE!$F$14,$M36,BR$13)="",10^12,OFFSET(CRONOPLE!$F$14,$M36,BR$13))))</f>
        <v>1000000000000</v>
      </c>
      <c r="BS36" s="181">
        <f ca="1">IF($D36&lt;&gt;"Serviço",0,IF(AND(AUTOEVENTO="Manual",$M36=1),0,IF(OFFSET(CRONOPLE!$F$14,$M36,BS$13)="",10^12,OFFSET(CRONOPLE!$F$14,$M36,BS$13))))</f>
        <v>1000000000000</v>
      </c>
      <c r="BT36" s="181">
        <f ca="1">IF($D36&lt;&gt;"Serviço",0,IF(AND(AUTOEVENTO="Manual",$M36=1),0,IF(OFFSET(CRONOPLE!$F$14,$M36,BT$13)="",10^12,OFFSET(CRONOPLE!$F$14,$M36,BT$13))))</f>
        <v>1000000000000</v>
      </c>
      <c r="BV36" s="182">
        <f ca="1">IF($D36&lt;&gt;"Serviço",0,IF(OR(AND(AUTOEVENTO="Manual",$M36=1),$M36&gt;(ROW(PLE.lastrow)-ROW(PLE.firstrow))),0,IF(OFFSET(PLE!$G$14,$M36,BV$13)="",10^12,OFFSET(PLE!$G$14,$M36,BV$13))))</f>
        <v>1000000000000</v>
      </c>
      <c r="BW36" s="182">
        <f ca="1">IF($D36&lt;&gt;"Serviço",0,IF(OR(AND(AUTOEVENTO="Manual",$M36=1),$M36&gt;(ROW(PLE.lastrow)-ROW(PLE.firstrow))),0,IF(OFFSET(PLE!$G$14,$M36,BW$13)="",10^12,OFFSET(PLE!$G$14,$M36,BW$13))))</f>
        <v>1000000000000</v>
      </c>
      <c r="BX36" s="182">
        <f ca="1">IF($D36&lt;&gt;"Serviço",0,IF(OR(AND(AUTOEVENTO="Manual",$M36=1),$M36&gt;(ROW(PLE.lastrow)-ROW(PLE.firstrow))),0,IF(OFFSET(PLE!$G$14,$M36,BX$13)="",10^12,OFFSET(PLE!$G$14,$M36,BX$13))))</f>
        <v>1000000000000</v>
      </c>
      <c r="BY36" s="182">
        <f ca="1">IF($D36&lt;&gt;"Serviço",0,IF(OR(AND(AUTOEVENTO="Manual",$M36=1),$M36&gt;(ROW(PLE.lastrow)-ROW(PLE.firstrow))),0,IF(OFFSET(PLE!$G$14,$M36,BY$13)="",10^12,OFFSET(PLE!$G$14,$M36,BY$13))))</f>
        <v>1000000000000</v>
      </c>
      <c r="BZ36" s="182">
        <f ca="1">IF($D36&lt;&gt;"Serviço",0,IF(OR(AND(AUTOEVENTO="Manual",$M36=1),$M36&gt;(ROW(PLE.lastrow)-ROW(PLE.firstrow))),0,IF(OFFSET(PLE!$G$14,$M36,BZ$13)="",10^12,OFFSET(PLE!$G$14,$M36,BZ$13))))</f>
        <v>1000000000000</v>
      </c>
      <c r="CA36" s="182">
        <f ca="1">IF($D36&lt;&gt;"Serviço",0,IF(OR(AND(AUTOEVENTO="Manual",$M36=1),$M36&gt;(ROW(PLE.lastrow)-ROW(PLE.firstrow))),0,IF(OFFSET(PLE!$G$14,$M36,CA$13)="",10^12,OFFSET(PLE!$G$14,$M36,CA$13))))</f>
        <v>1000000000000</v>
      </c>
      <c r="CB36" s="182">
        <f ca="1">IF($D36&lt;&gt;"Serviço",0,IF(OR(AND(AUTOEVENTO="Manual",$M36=1),$M36&gt;(ROW(PLE.lastrow)-ROW(PLE.firstrow))),0,IF(OFFSET(PLE!$G$14,$M36,CB$13)="",10^12,OFFSET(PLE!$G$14,$M36,CB$13))))</f>
        <v>1000000000000</v>
      </c>
      <c r="CC36" s="182">
        <f ca="1">IF($D36&lt;&gt;"Serviço",0,IF(OR(AND(AUTOEVENTO="Manual",$M36=1),$M36&gt;(ROW(PLE.lastrow)-ROW(PLE.firstrow))),0,IF(OFFSET(PLE!$G$14,$M36,CC$13)="",10^12,OFFSET(PLE!$G$14,$M36,CC$13))))</f>
        <v>1000000000000</v>
      </c>
      <c r="CD36" s="182">
        <f ca="1">IF($D36&lt;&gt;"Serviço",0,IF(OR(AND(AUTOEVENTO="Manual",$M36=1),$M36&gt;(ROW(PLE.lastrow)-ROW(PLE.firstrow))),0,IF(OFFSET(PLE!$G$14,$M36,CD$13)="",10^12,OFFSET(PLE!$G$14,$M36,CD$13))))</f>
        <v>1000000000000</v>
      </c>
      <c r="CE36" s="182">
        <f ca="1">IF($D36&lt;&gt;"Serviço",0,IF(OR(AND(AUTOEVENTO="Manual",$M36=1),$M36&gt;(ROW(PLE.lastrow)-ROW(PLE.firstrow))),0,IF(OFFSET(PLE!$G$14,$M36,CE$13)="",10^12,OFFSET(PLE!$G$14,$M36,CE$13))))</f>
        <v>1000000000000</v>
      </c>
      <c r="CF36" s="182">
        <f ca="1">IF($D36&lt;&gt;"Serviço",0,IF(OR(AND(AUTOEVENTO="Manual",$M36=1),$M36&gt;(ROW(PLE.lastrow)-ROW(PLE.firstrow))),0,IF(OFFSET(PLE!$G$14,$M36,CF$13)="",10^12,OFFSET(PLE!$G$14,$M36,CF$13))))</f>
        <v>1000000000000</v>
      </c>
      <c r="CG36" s="182">
        <f ca="1">IF($D36&lt;&gt;"Serviço",0,IF(OR(AND(AUTOEVENTO="Manual",$M36=1),$M36&gt;(ROW(PLE.lastrow)-ROW(PLE.firstrow))),0,IF(OFFSET(PLE!$G$14,$M36,CG$13)="",10^12,OFFSET(PLE!$G$14,$M36,CG$13))))</f>
        <v>1000000000000</v>
      </c>
      <c r="CH36" s="182">
        <f ca="1">IF($D36&lt;&gt;"Serviço",0,IF(OR(AND(AUTOEVENTO="Manual",$M36=1),$M36&gt;(ROW(PLE.lastrow)-ROW(PLE.firstrow))),0,IF(OFFSET(PLE!$G$14,$M36,CH$13)="",10^12,OFFSET(PLE!$G$14,$M36,CH$13))))</f>
        <v>1000000000000</v>
      </c>
      <c r="CI36" s="182">
        <f ca="1">IF($D36&lt;&gt;"Serviço",0,IF(OR(AND(AUTOEVENTO="Manual",$M36=1),$M36&gt;(ROW(PLE.lastrow)-ROW(PLE.firstrow))),0,IF(OFFSET(PLE!$G$14,$M36,CI$13)="",10^12,OFFSET(PLE!$G$14,$M36,CI$13))))</f>
        <v>1000000000000</v>
      </c>
      <c r="CJ36" s="182">
        <f ca="1">IF($D36&lt;&gt;"Serviço",0,IF(OR(AND(AUTOEVENTO="Manual",$M36=1),$M36&gt;(ROW(PLE.lastrow)-ROW(PLE.firstrow))),0,IF(OFFSET(PLE!$G$14,$M36,CJ$13)="",10^12,OFFSET(PLE!$G$14,$M36,CJ$13))))</f>
        <v>1000000000000</v>
      </c>
      <c r="CK36" s="182">
        <f ca="1">IF($D36&lt;&gt;"Serviço",0,IF(OR(AND(AUTOEVENTO="Manual",$M36=1),$M36&gt;(ROW(PLE.lastrow)-ROW(PLE.firstrow))),0,IF(OFFSET(PLE!$G$14,$M36,CK$13)="",10^12,OFFSET(PLE!$G$14,$M36,CK$13))))</f>
        <v>1000000000000</v>
      </c>
      <c r="CL36" s="182">
        <f ca="1">IF($D36&lt;&gt;"Serviço",0,IF(OR(AND(AUTOEVENTO="Manual",$M36=1),$M36&gt;(ROW(PLE.lastrow)-ROW(PLE.firstrow))),0,IF(OFFSET(PLE!$G$14,$M36,CL$13)="",10^12,OFFSET(PLE!$G$14,$M36,CL$13))))</f>
        <v>1000000000000</v>
      </c>
      <c r="CM36" s="182">
        <f ca="1">IF($D36&lt;&gt;"Serviço",0,IF(OR(AND(AUTOEVENTO="Manual",$M36=1),$M36&gt;(ROW(PLE.lastrow)-ROW(PLE.firstrow))),0,IF(OFFSET(PLE!$G$14,$M36,CM$13)="",10^12,OFFSET(PLE!$G$14,$M36,CM$13))))</f>
        <v>1000000000000</v>
      </c>
    </row>
    <row r="37" spans="1:91" ht="12.75" x14ac:dyDescent="0.2">
      <c r="A37" s="7" t="str">
        <f t="shared" ca="1" si="9"/>
        <v>22.</v>
      </c>
      <c r="B37" s="7">
        <f ca="1">OFFSET(ORÇAMENTO!C$15,ROW(B37)-ROW(B$15),0)</f>
        <v>2</v>
      </c>
      <c r="C37" s="7" t="str">
        <f ca="1">OFFSET(ORÇAMENTO!L$15,ROW(C37)-ROW(C$15),0)</f>
        <v>F</v>
      </c>
      <c r="D37" s="118" t="str">
        <f ca="1">OFFSET(ORÇAMENTO!N$15,ROW(D37)-ROW(D$15),0)</f>
        <v>Nível 2</v>
      </c>
      <c r="E37" s="119" t="str">
        <f ca="1">OFFSET(ORÇAMENTO!O$15,ROW(E37)-ROW(E$15),0)</f>
        <v>1.5.</v>
      </c>
      <c r="F37" s="172" t="str">
        <f ca="1">OFFSET(ORÇAMENTO!R$15,ROW(F37)-ROW(F$15),0)</f>
        <v>FUNDAÇÕES - CONCRETO ARMADO PARA TUBULÕES</v>
      </c>
      <c r="G37" s="173" t="str">
        <f ca="1">IF($D37&lt;&gt;"Serviço","",OFFSET(ORÇAMENTO!S$15,ROW(G37)-ROW(G$15),0))</f>
        <v/>
      </c>
      <c r="H37" s="124">
        <f ca="1">IF($D37&lt;&gt;"Serviço",0,IF(ACOMPANHAMENTO="BM",ROUND(OFFSET(ORÇAMENTO!AJ$15,ROW(H37)-ROW(H$15),0),15-13*ORÇAMENTO!$AF$7),SUMPRODUCT(($Q$12:$AI$12&lt;&gt;"")*ROUND($Q37:$AI37,15-13*ORÇAMENTO!$AF$7))))</f>
        <v>0</v>
      </c>
      <c r="I37" s="561"/>
      <c r="K37" s="174" t="s">
        <v>1022</v>
      </c>
      <c r="L37" s="175" t="s">
        <v>255</v>
      </c>
      <c r="M37" s="176" t="str">
        <f ca="1">IF($D37&lt;&gt;"Serviço","",IF(AUTOEVENTO="manual",$A37,IF(ISERROR(MATCH($A37,$A$15:OFFSET($A37,-1,0),0)),MAX($M$15:OFFSET(M37,-1,0))+1,INDEX($M$15:OFFSET(M37,-1,0),MATCH($A37,$A$15:OFFSET($A37,-1,0),0)))))</f>
        <v/>
      </c>
      <c r="N37" s="177" t="str">
        <f ca="1">IF($D37&lt;&gt;"Serviço","",IF(AUTOEVENTO="Manual",IF($A37=0,"&lt;-- defina o número do agrupador",OFFSET(EVENTOS!$D$14,$A37,0)),OFFSET($F$15,$A37,0)))</f>
        <v/>
      </c>
      <c r="O37" s="178"/>
      <c r="Q37" s="178">
        <v>0</v>
      </c>
      <c r="R37" s="179"/>
      <c r="S37" s="179"/>
      <c r="T37" s="179"/>
      <c r="U37" s="179"/>
      <c r="V37" s="179"/>
      <c r="W37" s="179"/>
      <c r="X37" s="179"/>
      <c r="Y37" s="179"/>
      <c r="Z37" s="180"/>
      <c r="AA37" s="179"/>
      <c r="AB37" s="179"/>
      <c r="AC37" s="179"/>
      <c r="AD37" s="179"/>
      <c r="AE37" s="179"/>
      <c r="AF37" s="179"/>
      <c r="AG37" s="179"/>
      <c r="AH37" s="180"/>
      <c r="AJ37" s="544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545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L37" s="545">
        <f ca="1">IF(AND($D37="Serviço",AL$12&lt;&gt;0,$H37&gt;0,OR(AUTOEVENTO&lt;&gt;"manual",$M37&lt;&gt;1)),
IF(Import.TipoArredondamento&lt;&gt;"TransfereGOV",
ROUND(OFFSET($P37,0,AL$13),15-13*ORÇAMENTO!$AF$7)/$H37*OFFSET(ORÇAMENTO!$X$15,ROW(AL37)-ROW(AL$15),0),
ROUND(ROUND(OFFSET($P37,0,AL$13),15-13*ORÇAMENTO!$AF$7)*OFFSET(ORÇAMENTO!$W$15,ROW(AL37)-ROW(AL$15),0),15-13*ORÇAMENTO!$AF$11)),0)</f>
        <v>0</v>
      </c>
      <c r="AM37" s="545">
        <f ca="1">IF(AND($D37="Serviço",AM$12&lt;&gt;0,$H37&gt;0,OR(AUTOEVENTO&lt;&gt;"manual",$M37&lt;&gt;1)),
IF(Import.TipoArredondamento&lt;&gt;"TransfereGOV",
ROUND(OFFSET($P37,0,AM$13),15-13*ORÇAMENTO!$AF$7)/$H37*OFFSET(ORÇAMENTO!$X$15,ROW(AM37)-ROW(AM$15),0),
ROUND(ROUND(OFFSET($P37,0,AM$13),15-13*ORÇAMENTO!$AF$7)*OFFSET(ORÇAMENTO!$W$15,ROW(AM37)-ROW(AM$15),0),15-13*ORÇAMENTO!$AF$11)),0)</f>
        <v>0</v>
      </c>
      <c r="AN37" s="545">
        <f ca="1">IF(AND($D37="Serviço",AN$12&lt;&gt;0,$H37&gt;0,OR(AUTOEVENTO&lt;&gt;"manual",$M37&lt;&gt;1)),
IF(Import.TipoArredondamento&lt;&gt;"TransfereGOV",
ROUND(OFFSET($P37,0,AN$13),15-13*ORÇAMENTO!$AF$7)/$H37*OFFSET(ORÇAMENTO!$X$15,ROW(AN37)-ROW(AN$15),0),
ROUND(ROUND(OFFSET($P37,0,AN$13),15-13*ORÇAMENTO!$AF$7)*OFFSET(ORÇAMENTO!$W$15,ROW(AN37)-ROW(AN$15),0),15-13*ORÇAMENTO!$AF$11)),0)</f>
        <v>0</v>
      </c>
      <c r="AO37" s="545">
        <f ca="1">IF(AND($D37="Serviço",AO$12&lt;&gt;0,$H37&gt;0,OR(AUTOEVENTO&lt;&gt;"manual",$M37&lt;&gt;1)),
IF(Import.TipoArredondamento&lt;&gt;"TransfereGOV",
ROUND(OFFSET($P37,0,AO$13),15-13*ORÇAMENTO!$AF$7)/$H37*OFFSET(ORÇAMENTO!$X$15,ROW(AO37)-ROW(AO$15),0),
ROUND(ROUND(OFFSET($P37,0,AO$13),15-13*ORÇAMENTO!$AF$7)*OFFSET(ORÇAMENTO!$W$15,ROW(AO37)-ROW(AO$15),0),15-13*ORÇAMENTO!$AF$11)),0)</f>
        <v>0</v>
      </c>
      <c r="AP37" s="545">
        <f ca="1">IF(AND($D37="Serviço",AP$12&lt;&gt;0,$H37&gt;0,OR(AUTOEVENTO&lt;&gt;"manual",$M37&lt;&gt;1)),
IF(Import.TipoArredondamento&lt;&gt;"TransfereGOV",
ROUND(OFFSET($P37,0,AP$13),15-13*ORÇAMENTO!$AF$7)/$H37*OFFSET(ORÇAMENTO!$X$15,ROW(AP37)-ROW(AP$15),0),
ROUND(ROUND(OFFSET($P37,0,AP$13),15-13*ORÇAMENTO!$AF$7)*OFFSET(ORÇAMENTO!$W$15,ROW(AP37)-ROW(AP$15),0),15-13*ORÇAMENTO!$AF$11)),0)</f>
        <v>0</v>
      </c>
      <c r="AQ37" s="545">
        <f ca="1">IF(AND($D37="Serviço",AQ$12&lt;&gt;0,$H37&gt;0,OR(AUTOEVENTO&lt;&gt;"manual",$M37&lt;&gt;1)),
IF(Import.TipoArredondamento&lt;&gt;"TransfereGOV",
ROUND(OFFSET($P37,0,AQ$13),15-13*ORÇAMENTO!$AF$7)/$H37*OFFSET(ORÇAMENTO!$X$15,ROW(AQ37)-ROW(AQ$15),0),
ROUND(ROUND(OFFSET($P37,0,AQ$13),15-13*ORÇAMENTO!$AF$7)*OFFSET(ORÇAMENTO!$W$15,ROW(AQ37)-ROW(AQ$15),0),15-13*ORÇAMENTO!$AF$11)),0)</f>
        <v>0</v>
      </c>
      <c r="AR37" s="545">
        <f ca="1">IF(AND($D37="Serviço",AR$12&lt;&gt;0,$H37&gt;0,OR(AUTOEVENTO&lt;&gt;"manual",$M37&lt;&gt;1)),
IF(Import.TipoArredondamento&lt;&gt;"TransfereGOV",
ROUND(OFFSET($P37,0,AR$13),15-13*ORÇAMENTO!$AF$7)/$H37*OFFSET(ORÇAMENTO!$X$15,ROW(AR37)-ROW(AR$15),0),
ROUND(ROUND(OFFSET($P37,0,AR$13),15-13*ORÇAMENTO!$AF$7)*OFFSET(ORÇAMENTO!$W$15,ROW(AR37)-ROW(AR$15),0),15-13*ORÇAMENTO!$AF$11)),0)</f>
        <v>0</v>
      </c>
      <c r="AS37" s="546">
        <f ca="1">IF(AND($D37="Serviço",AS$12&lt;&gt;0,$H37&gt;0,OR(AUTOEVENTO&lt;&gt;"manual",$M37&lt;&gt;1)),
IF(Import.TipoArredondamento&lt;&gt;"TransfereGOV",
ROUND(OFFSET($P37,0,AS$13),15-13*ORÇAMENTO!$AF$7)/$H37*OFFSET(ORÇAMENTO!$X$15,ROW(AS37)-ROW(AS$15),0),
ROUND(ROUND(OFFSET($P37,0,AS$13),15-13*ORÇAMENTO!$AF$7)*OFFSET(ORÇAMENTO!$W$15,ROW(AS37)-ROW(AS$15),0),15-13*ORÇAMENTO!$AF$11)),0)</f>
        <v>0</v>
      </c>
      <c r="AT37" s="545">
        <f ca="1">IF(AND($D37="Serviço",AT$12&lt;&gt;0,$H37&gt;0,OR(AUTOEVENTO&lt;&gt;"manual",$M37&lt;&gt;1)),
IF(Import.TipoArredondamento&lt;&gt;"TransfereGOV",
ROUND(OFFSET($P37,0,AT$13),15-13*ORÇAMENTO!$AF$7)/$H37*OFFSET(ORÇAMENTO!$X$15,ROW(AT37)-ROW(AT$15),0),
ROUND(ROUND(OFFSET($P37,0,AT$13),15-13*ORÇAMENTO!$AF$7)*OFFSET(ORÇAMENTO!$W$15,ROW(AT37)-ROW(AT$15),0),15-13*ORÇAMENTO!$AF$11)),0)</f>
        <v>0</v>
      </c>
      <c r="AU37" s="545">
        <f ca="1">IF(AND($D37="Serviço",AU$12&lt;&gt;0,$H37&gt;0,OR(AUTOEVENTO&lt;&gt;"manual",$M37&lt;&gt;1)),
IF(Import.TipoArredondamento&lt;&gt;"TransfereGOV",
ROUND(OFFSET($P37,0,AU$13),15-13*ORÇAMENTO!$AF$7)/$H37*OFFSET(ORÇAMENTO!$X$15,ROW(AU37)-ROW(AU$15),0),
ROUND(ROUND(OFFSET($P37,0,AU$13),15-13*ORÇAMENTO!$AF$7)*OFFSET(ORÇAMENTO!$W$15,ROW(AU37)-ROW(AU$15),0),15-13*ORÇAMENTO!$AF$11)),0)</f>
        <v>0</v>
      </c>
      <c r="AV37" s="545">
        <f ca="1">IF(AND($D37="Serviço",AV$12&lt;&gt;0,$H37&gt;0,OR(AUTOEVENTO&lt;&gt;"manual",$M37&lt;&gt;1)),
IF(Import.TipoArredondamento&lt;&gt;"TransfereGOV",
ROUND(OFFSET($P37,0,AV$13),15-13*ORÇAMENTO!$AF$7)/$H37*OFFSET(ORÇAMENTO!$X$15,ROW(AV37)-ROW(AV$15),0),
ROUND(ROUND(OFFSET($P37,0,AV$13),15-13*ORÇAMENTO!$AF$7)*OFFSET(ORÇAMENTO!$W$15,ROW(AV37)-ROW(AV$15),0),15-13*ORÇAMENTO!$AF$11)),0)</f>
        <v>0</v>
      </c>
      <c r="AW37" s="545">
        <f ca="1">IF(AND($D37="Serviço",AW$12&lt;&gt;0,$H37&gt;0,OR(AUTOEVENTO&lt;&gt;"manual",$M37&lt;&gt;1)),
IF(Import.TipoArredondamento&lt;&gt;"TransfereGOV",
ROUND(OFFSET($P37,0,AW$13),15-13*ORÇAMENTO!$AF$7)/$H37*OFFSET(ORÇAMENTO!$X$15,ROW(AW37)-ROW(AW$15),0),
ROUND(ROUND(OFFSET($P37,0,AW$13),15-13*ORÇAMENTO!$AF$7)*OFFSET(ORÇAMENTO!$W$15,ROW(AW37)-ROW(AW$15),0),15-13*ORÇAMENTO!$AF$11)),0)</f>
        <v>0</v>
      </c>
      <c r="AX37" s="545">
        <f ca="1">IF(AND($D37="Serviço",AX$12&lt;&gt;0,$H37&gt;0,OR(AUTOEVENTO&lt;&gt;"manual",$M37&lt;&gt;1)),
IF(Import.TipoArredondamento&lt;&gt;"TransfereGOV",
ROUND(OFFSET($P37,0,AX$13),15-13*ORÇAMENTO!$AF$7)/$H37*OFFSET(ORÇAMENTO!$X$15,ROW(AX37)-ROW(AX$15),0),
ROUND(ROUND(OFFSET($P37,0,AX$13),15-13*ORÇAMENTO!$AF$7)*OFFSET(ORÇAMENTO!$W$15,ROW(AX37)-ROW(AX$15),0),15-13*ORÇAMENTO!$AF$11)),0)</f>
        <v>0</v>
      </c>
      <c r="AY37" s="545">
        <f ca="1">IF(AND($D37="Serviço",AY$12&lt;&gt;0,$H37&gt;0,OR(AUTOEVENTO&lt;&gt;"manual",$M37&lt;&gt;1)),
IF(Import.TipoArredondamento&lt;&gt;"TransfereGOV",
ROUND(OFFSET($P37,0,AY$13),15-13*ORÇAMENTO!$AF$7)/$H37*OFFSET(ORÇAMENTO!$X$15,ROW(AY37)-ROW(AY$15),0),
ROUND(ROUND(OFFSET($P37,0,AY$13),15-13*ORÇAMENTO!$AF$7)*OFFSET(ORÇAMENTO!$W$15,ROW(AY37)-ROW(AY$15),0),15-13*ORÇAMENTO!$AF$11)),0)</f>
        <v>0</v>
      </c>
      <c r="AZ37" s="545">
        <f ca="1">IF(AND($D37="Serviço",AZ$12&lt;&gt;0,$H37&gt;0,OR(AUTOEVENTO&lt;&gt;"manual",$M37&lt;&gt;1)),
IF(Import.TipoArredondamento&lt;&gt;"TransfereGOV",
ROUND(OFFSET($P37,0,AZ$13),15-13*ORÇAMENTO!$AF$7)/$H37*OFFSET(ORÇAMENTO!$X$15,ROW(AZ37)-ROW(AZ$15),0),
ROUND(ROUND(OFFSET($P37,0,AZ$13),15-13*ORÇAMENTO!$AF$7)*OFFSET(ORÇAMENTO!$W$15,ROW(AZ37)-ROW(AZ$15),0),15-13*ORÇAMENTO!$AF$11)),0)</f>
        <v>0</v>
      </c>
      <c r="BA37" s="546">
        <f ca="1">IF(AND($D37="Serviço",BA$12&lt;&gt;0,$H37&gt;0,OR(AUTOEVENTO&lt;&gt;"manual",$M37&lt;&gt;1)),
IF(Import.TipoArredondamento&lt;&gt;"TransfereGOV",
ROUND(OFFSET($P37,0,BA$13),15-13*ORÇAMENTO!$AF$7)/$H37*OFFSET(ORÇAMENTO!$X$15,ROW(BA37)-ROW(BA$15),0),
ROUND(ROUND(OFFSET($P37,0,BA$13),15-13*ORÇAMENTO!$AF$7)*OFFSET(ORÇAMENTO!$W$15,ROW(BA37)-ROW(BA$15),0),15-13*ORÇAMENTO!$AF$11)),0)</f>
        <v>0</v>
      </c>
      <c r="BC37" s="181">
        <f ca="1">IF($D37&lt;&gt;"Serviço",0,IF(AND(AUTOEVENTO="Manual",$M37=1),0,IF(OFFSET(CRONOPLE!$F$14,$M37,BC$13)="",10^12,OFFSET(CRONOPLE!$F$14,$M37,BC$13))))</f>
        <v>0</v>
      </c>
      <c r="BD37" s="181">
        <f ca="1">IF($D37&lt;&gt;"Serviço",0,IF(AND(AUTOEVENTO="Manual",$M37=1),0,IF(OFFSET(CRONOPLE!$F$14,$M37,BD$13)="",10^12,OFFSET(CRONOPLE!$F$14,$M37,BD$13))))</f>
        <v>0</v>
      </c>
      <c r="BE37" s="181">
        <f ca="1">IF($D37&lt;&gt;"Serviço",0,IF(AND(AUTOEVENTO="Manual",$M37=1),0,IF(OFFSET(CRONOPLE!$F$14,$M37,BE$13)="",10^12,OFFSET(CRONOPLE!$F$14,$M37,BE$13))))</f>
        <v>0</v>
      </c>
      <c r="BF37" s="181">
        <f ca="1">IF($D37&lt;&gt;"Serviço",0,IF(AND(AUTOEVENTO="Manual",$M37=1),0,IF(OFFSET(CRONOPLE!$F$14,$M37,BF$13)="",10^12,OFFSET(CRONOPLE!$F$14,$M37,BF$13))))</f>
        <v>0</v>
      </c>
      <c r="BG37" s="181">
        <f ca="1">IF($D37&lt;&gt;"Serviço",0,IF(AND(AUTOEVENTO="Manual",$M37=1),0,IF(OFFSET(CRONOPLE!$F$14,$M37,BG$13)="",10^12,OFFSET(CRONOPLE!$F$14,$M37,BG$13))))</f>
        <v>0</v>
      </c>
      <c r="BH37" s="181">
        <f ca="1">IF($D37&lt;&gt;"Serviço",0,IF(AND(AUTOEVENTO="Manual",$M37=1),0,IF(OFFSET(CRONOPLE!$F$14,$M37,BH$13)="",10^12,OFFSET(CRONOPLE!$F$14,$M37,BH$13))))</f>
        <v>0</v>
      </c>
      <c r="BI37" s="181">
        <f ca="1">IF($D37&lt;&gt;"Serviço",0,IF(AND(AUTOEVENTO="Manual",$M37=1),0,IF(OFFSET(CRONOPLE!$F$14,$M37,BI$13)="",10^12,OFFSET(CRONOPLE!$F$14,$M37,BI$13))))</f>
        <v>0</v>
      </c>
      <c r="BJ37" s="181">
        <f ca="1">IF($D37&lt;&gt;"Serviço",0,IF(AND(AUTOEVENTO="Manual",$M37=1),0,IF(OFFSET(CRONOPLE!$F$14,$M37,BJ$13)="",10^12,OFFSET(CRONOPLE!$F$14,$M37,BJ$13))))</f>
        <v>0</v>
      </c>
      <c r="BK37" s="181">
        <f ca="1">IF($D37&lt;&gt;"Serviço",0,IF(AND(AUTOEVENTO="Manual",$M37=1),0,IF(OFFSET(CRONOPLE!$F$14,$M37,BK$13)="",10^12,OFFSET(CRONOPLE!$F$14,$M37,BK$13))))</f>
        <v>0</v>
      </c>
      <c r="BL37" s="181">
        <f ca="1">IF($D37&lt;&gt;"Serviço",0,IF(AND(AUTOEVENTO="Manual",$M37=1),0,IF(OFFSET(CRONOPLE!$F$14,$M37,BL$13)="",10^12,OFFSET(CRONOPLE!$F$14,$M37,BL$13))))</f>
        <v>0</v>
      </c>
      <c r="BM37" s="181">
        <f ca="1">IF($D37&lt;&gt;"Serviço",0,IF(AND(AUTOEVENTO="Manual",$M37=1),0,IF(OFFSET(CRONOPLE!$F$14,$M37,BM$13)="",10^12,OFFSET(CRONOPLE!$F$14,$M37,BM$13))))</f>
        <v>0</v>
      </c>
      <c r="BN37" s="181">
        <f ca="1">IF($D37&lt;&gt;"Serviço",0,IF(AND(AUTOEVENTO="Manual",$M37=1),0,IF(OFFSET(CRONOPLE!$F$14,$M37,BN$13)="",10^12,OFFSET(CRONOPLE!$F$14,$M37,BN$13))))</f>
        <v>0</v>
      </c>
      <c r="BO37" s="181">
        <f ca="1">IF($D37&lt;&gt;"Serviço",0,IF(AND(AUTOEVENTO="Manual",$M37=1),0,IF(OFFSET(CRONOPLE!$F$14,$M37,BO$13)="",10^12,OFFSET(CRONOPLE!$F$14,$M37,BO$13))))</f>
        <v>0</v>
      </c>
      <c r="BP37" s="181">
        <f ca="1">IF($D37&lt;&gt;"Serviço",0,IF(AND(AUTOEVENTO="Manual",$M37=1),0,IF(OFFSET(CRONOPLE!$F$14,$M37,BP$13)="",10^12,OFFSET(CRONOPLE!$F$14,$M37,BP$13))))</f>
        <v>0</v>
      </c>
      <c r="BQ37" s="181">
        <f ca="1">IF($D37&lt;&gt;"Serviço",0,IF(AND(AUTOEVENTO="Manual",$M37=1),0,IF(OFFSET(CRONOPLE!$F$14,$M37,BQ$13)="",10^12,OFFSET(CRONOPLE!$F$14,$M37,BQ$13))))</f>
        <v>0</v>
      </c>
      <c r="BR37" s="181">
        <f ca="1">IF($D37&lt;&gt;"Serviço",0,IF(AND(AUTOEVENTO="Manual",$M37=1),0,IF(OFFSET(CRONOPLE!$F$14,$M37,BR$13)="",10^12,OFFSET(CRONOPLE!$F$14,$M37,BR$13))))</f>
        <v>0</v>
      </c>
      <c r="BS37" s="181">
        <f ca="1">IF($D37&lt;&gt;"Serviço",0,IF(AND(AUTOEVENTO="Manual",$M37=1),0,IF(OFFSET(CRONOPLE!$F$14,$M37,BS$13)="",10^12,OFFSET(CRONOPLE!$F$14,$M37,BS$13))))</f>
        <v>0</v>
      </c>
      <c r="BT37" s="181">
        <f ca="1">IF($D37&lt;&gt;"Serviço",0,IF(AND(AUTOEVENTO="Manual",$M37=1),0,IF(OFFSET(CRONOPLE!$F$14,$M37,BT$13)="",10^12,OFFSET(CRONOPLE!$F$14,$M37,BT$13))))</f>
        <v>0</v>
      </c>
      <c r="BV37" s="182">
        <f ca="1">IF($D37&lt;&gt;"Serviço",0,IF(OR(AND(AUTOEVENTO="Manual",$M37=1),$M37&gt;(ROW(PLE.lastrow)-ROW(PLE.firstrow))),0,IF(OFFSET(PLE!$G$14,$M37,BV$13)="",10^12,OFFSET(PLE!$G$14,$M37,BV$13))))</f>
        <v>0</v>
      </c>
      <c r="BW37" s="182">
        <f ca="1">IF($D37&lt;&gt;"Serviço",0,IF(OR(AND(AUTOEVENTO="Manual",$M37=1),$M37&gt;(ROW(PLE.lastrow)-ROW(PLE.firstrow))),0,IF(OFFSET(PLE!$G$14,$M37,BW$13)="",10^12,OFFSET(PLE!$G$14,$M37,BW$13))))</f>
        <v>0</v>
      </c>
      <c r="BX37" s="182">
        <f ca="1">IF($D37&lt;&gt;"Serviço",0,IF(OR(AND(AUTOEVENTO="Manual",$M37=1),$M37&gt;(ROW(PLE.lastrow)-ROW(PLE.firstrow))),0,IF(OFFSET(PLE!$G$14,$M37,BX$13)="",10^12,OFFSET(PLE!$G$14,$M37,BX$13))))</f>
        <v>0</v>
      </c>
      <c r="BY37" s="182">
        <f ca="1">IF($D37&lt;&gt;"Serviço",0,IF(OR(AND(AUTOEVENTO="Manual",$M37=1),$M37&gt;(ROW(PLE.lastrow)-ROW(PLE.firstrow))),0,IF(OFFSET(PLE!$G$14,$M37,BY$13)="",10^12,OFFSET(PLE!$G$14,$M37,BY$13))))</f>
        <v>0</v>
      </c>
      <c r="BZ37" s="182">
        <f ca="1">IF($D37&lt;&gt;"Serviço",0,IF(OR(AND(AUTOEVENTO="Manual",$M37=1),$M37&gt;(ROW(PLE.lastrow)-ROW(PLE.firstrow))),0,IF(OFFSET(PLE!$G$14,$M37,BZ$13)="",10^12,OFFSET(PLE!$G$14,$M37,BZ$13))))</f>
        <v>0</v>
      </c>
      <c r="CA37" s="182">
        <f ca="1">IF($D37&lt;&gt;"Serviço",0,IF(OR(AND(AUTOEVENTO="Manual",$M37=1),$M37&gt;(ROW(PLE.lastrow)-ROW(PLE.firstrow))),0,IF(OFFSET(PLE!$G$14,$M37,CA$13)="",10^12,OFFSET(PLE!$G$14,$M37,CA$13))))</f>
        <v>0</v>
      </c>
      <c r="CB37" s="182">
        <f ca="1">IF($D37&lt;&gt;"Serviço",0,IF(OR(AND(AUTOEVENTO="Manual",$M37=1),$M37&gt;(ROW(PLE.lastrow)-ROW(PLE.firstrow))),0,IF(OFFSET(PLE!$G$14,$M37,CB$13)="",10^12,OFFSET(PLE!$G$14,$M37,CB$13))))</f>
        <v>0</v>
      </c>
      <c r="CC37" s="182">
        <f ca="1">IF($D37&lt;&gt;"Serviço",0,IF(OR(AND(AUTOEVENTO="Manual",$M37=1),$M37&gt;(ROW(PLE.lastrow)-ROW(PLE.firstrow))),0,IF(OFFSET(PLE!$G$14,$M37,CC$13)="",10^12,OFFSET(PLE!$G$14,$M37,CC$13))))</f>
        <v>0</v>
      </c>
      <c r="CD37" s="182">
        <f ca="1">IF($D37&lt;&gt;"Serviço",0,IF(OR(AND(AUTOEVENTO="Manual",$M37=1),$M37&gt;(ROW(PLE.lastrow)-ROW(PLE.firstrow))),0,IF(OFFSET(PLE!$G$14,$M37,CD$13)="",10^12,OFFSET(PLE!$G$14,$M37,CD$13))))</f>
        <v>0</v>
      </c>
      <c r="CE37" s="182">
        <f ca="1">IF($D37&lt;&gt;"Serviço",0,IF(OR(AND(AUTOEVENTO="Manual",$M37=1),$M37&gt;(ROW(PLE.lastrow)-ROW(PLE.firstrow))),0,IF(OFFSET(PLE!$G$14,$M37,CE$13)="",10^12,OFFSET(PLE!$G$14,$M37,CE$13))))</f>
        <v>0</v>
      </c>
      <c r="CF37" s="182">
        <f ca="1">IF($D37&lt;&gt;"Serviço",0,IF(OR(AND(AUTOEVENTO="Manual",$M37=1),$M37&gt;(ROW(PLE.lastrow)-ROW(PLE.firstrow))),0,IF(OFFSET(PLE!$G$14,$M37,CF$13)="",10^12,OFFSET(PLE!$G$14,$M37,CF$13))))</f>
        <v>0</v>
      </c>
      <c r="CG37" s="182">
        <f ca="1">IF($D37&lt;&gt;"Serviço",0,IF(OR(AND(AUTOEVENTO="Manual",$M37=1),$M37&gt;(ROW(PLE.lastrow)-ROW(PLE.firstrow))),0,IF(OFFSET(PLE!$G$14,$M37,CG$13)="",10^12,OFFSET(PLE!$G$14,$M37,CG$13))))</f>
        <v>0</v>
      </c>
      <c r="CH37" s="182">
        <f ca="1">IF($D37&lt;&gt;"Serviço",0,IF(OR(AND(AUTOEVENTO="Manual",$M37=1),$M37&gt;(ROW(PLE.lastrow)-ROW(PLE.firstrow))),0,IF(OFFSET(PLE!$G$14,$M37,CH$13)="",10^12,OFFSET(PLE!$G$14,$M37,CH$13))))</f>
        <v>0</v>
      </c>
      <c r="CI37" s="182">
        <f ca="1">IF($D37&lt;&gt;"Serviço",0,IF(OR(AND(AUTOEVENTO="Manual",$M37=1),$M37&gt;(ROW(PLE.lastrow)-ROW(PLE.firstrow))),0,IF(OFFSET(PLE!$G$14,$M37,CI$13)="",10^12,OFFSET(PLE!$G$14,$M37,CI$13))))</f>
        <v>0</v>
      </c>
      <c r="CJ37" s="182">
        <f ca="1">IF($D37&lt;&gt;"Serviço",0,IF(OR(AND(AUTOEVENTO="Manual",$M37=1),$M37&gt;(ROW(PLE.lastrow)-ROW(PLE.firstrow))),0,IF(OFFSET(PLE!$G$14,$M37,CJ$13)="",10^12,OFFSET(PLE!$G$14,$M37,CJ$13))))</f>
        <v>0</v>
      </c>
      <c r="CK37" s="182">
        <f ca="1">IF($D37&lt;&gt;"Serviço",0,IF(OR(AND(AUTOEVENTO="Manual",$M37=1),$M37&gt;(ROW(PLE.lastrow)-ROW(PLE.firstrow))),0,IF(OFFSET(PLE!$G$14,$M37,CK$13)="",10^12,OFFSET(PLE!$G$14,$M37,CK$13))))</f>
        <v>0</v>
      </c>
      <c r="CL37" s="182">
        <f ca="1">IF($D37&lt;&gt;"Serviço",0,IF(OR(AND(AUTOEVENTO="Manual",$M37=1),$M37&gt;(ROW(PLE.lastrow)-ROW(PLE.firstrow))),0,IF(OFFSET(PLE!$G$14,$M37,CL$13)="",10^12,OFFSET(PLE!$G$14,$M37,CL$13))))</f>
        <v>0</v>
      </c>
      <c r="CM37" s="182">
        <f ca="1">IF($D37&lt;&gt;"Serviço",0,IF(OR(AND(AUTOEVENTO="Manual",$M37=1),$M37&gt;(ROW(PLE.lastrow)-ROW(PLE.firstrow))),0,IF(OFFSET(PLE!$G$14,$M37,CM$13)="",10^12,OFFSET(PLE!$G$14,$M37,CM$13))))</f>
        <v>0</v>
      </c>
    </row>
    <row r="38" spans="1:91" ht="38.25" x14ac:dyDescent="0.2">
      <c r="A38" s="7" t="str">
        <f t="shared" ca="1" si="9"/>
        <v>22</v>
      </c>
      <c r="B38" s="7" t="str">
        <f ca="1">OFFSET(ORÇAMENTO!C$15,ROW(B38)-ROW(B$15),0)</f>
        <v>S</v>
      </c>
      <c r="C38" s="7" t="str">
        <f ca="1">OFFSET(ORÇAMENTO!L$15,ROW(C38)-ROW(C$15),0)</f>
        <v/>
      </c>
      <c r="D38" s="118" t="str">
        <f ca="1">OFFSET(ORÇAMENTO!N$15,ROW(D38)-ROW(D$15),0)</f>
        <v>Serviço</v>
      </c>
      <c r="E38" s="119" t="str">
        <f ca="1">OFFSET(ORÇAMENTO!O$15,ROW(E38)-ROW(E$15),0)</f>
        <v>-</v>
      </c>
      <c r="F38" s="172" t="str">
        <f ca="1">OFFSET(ORÇAMENTO!R$15,ROW(F38)-ROW(F$15),0)</f>
        <v>(abra o arquivo 'Referência 06-2024.xlsm)</v>
      </c>
      <c r="G38" s="173" t="str">
        <f ca="1">IF($D38&lt;&gt;"Serviço","",OFFSET(ORÇAMENTO!S$15,ROW(G38)-ROW(G$15),0))</f>
        <v>-</v>
      </c>
      <c r="H38" s="124">
        <f ca="1">IF($D38&lt;&gt;"Serviço",0,IF(ACOMPANHAMENTO="BM",ROUND(OFFSET(ORÇAMENTO!AJ$15,ROW(H38)-ROW(H$15),0),15-13*ORÇAMENTO!$AF$7),SUMPRODUCT(($Q$12:$AI$12&lt;&gt;"")*ROUND($Q38:$AI38,15-13*ORÇAMENTO!$AF$7))))</f>
        <v>34.35</v>
      </c>
      <c r="I38" s="561" t="s">
        <v>1107</v>
      </c>
      <c r="K38" s="174" t="s">
        <v>1027</v>
      </c>
      <c r="L38" s="175" t="s">
        <v>255</v>
      </c>
      <c r="M38" s="176">
        <f ca="1">IF($D38&lt;&gt;"Serviço","",IF(AUTOEVENTO="manual",$A38,IF(ISERROR(MATCH($A38,$A$15:OFFSET($A38,-1,0),0)),MAX($M$15:OFFSET(M38,-1,0))+1,INDEX($M$15:OFFSET(M38,-1,0),MATCH($A38,$A$15:OFFSET($A38,-1,0),0)))))</f>
        <v>6</v>
      </c>
      <c r="N38" s="177" t="str">
        <f ca="1">IF($D38&lt;&gt;"Serviço","",IF(AUTOEVENTO="Manual",IF($A38=0,"&lt;-- defina o número do agrupador",OFFSET(EVENTOS!$D$14,$A38,0)),OFFSET($F$15,$A38,0)))</f>
        <v>FUNDAÇÕES - CONCRETO ARMADO PARA TUBULÕES</v>
      </c>
      <c r="O38" s="178"/>
      <c r="Q38" s="178">
        <v>34.35</v>
      </c>
      <c r="R38" s="179"/>
      <c r="S38" s="179"/>
      <c r="T38" s="179"/>
      <c r="U38" s="179"/>
      <c r="V38" s="179"/>
      <c r="W38" s="179"/>
      <c r="X38" s="179"/>
      <c r="Y38" s="179"/>
      <c r="Z38" s="180"/>
      <c r="AA38" s="179"/>
      <c r="AB38" s="179"/>
      <c r="AC38" s="179"/>
      <c r="AD38" s="179"/>
      <c r="AE38" s="179"/>
      <c r="AF38" s="179"/>
      <c r="AG38" s="179"/>
      <c r="AH38" s="180"/>
      <c r="AJ38" s="544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545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L38" s="545">
        <f ca="1">IF(AND($D38="Serviço",AL$12&lt;&gt;0,$H38&gt;0,OR(AUTOEVENTO&lt;&gt;"manual",$M38&lt;&gt;1)),
IF(Import.TipoArredondamento&lt;&gt;"TransfereGOV",
ROUND(OFFSET($P38,0,AL$13),15-13*ORÇAMENTO!$AF$7)/$H38*OFFSET(ORÇAMENTO!$X$15,ROW(AL38)-ROW(AL$15),0),
ROUND(ROUND(OFFSET($P38,0,AL$13),15-13*ORÇAMENTO!$AF$7)*OFFSET(ORÇAMENTO!$W$15,ROW(AL38)-ROW(AL$15),0),15-13*ORÇAMENTO!$AF$11)),0)</f>
        <v>0</v>
      </c>
      <c r="AM38" s="545">
        <f ca="1">IF(AND($D38="Serviço",AM$12&lt;&gt;0,$H38&gt;0,OR(AUTOEVENTO&lt;&gt;"manual",$M38&lt;&gt;1)),
IF(Import.TipoArredondamento&lt;&gt;"TransfereGOV",
ROUND(OFFSET($P38,0,AM$13),15-13*ORÇAMENTO!$AF$7)/$H38*OFFSET(ORÇAMENTO!$X$15,ROW(AM38)-ROW(AM$15),0),
ROUND(ROUND(OFFSET($P38,0,AM$13),15-13*ORÇAMENTO!$AF$7)*OFFSET(ORÇAMENTO!$W$15,ROW(AM38)-ROW(AM$15),0),15-13*ORÇAMENTO!$AF$11)),0)</f>
        <v>0</v>
      </c>
      <c r="AN38" s="545">
        <f ca="1">IF(AND($D38="Serviço",AN$12&lt;&gt;0,$H38&gt;0,OR(AUTOEVENTO&lt;&gt;"manual",$M38&lt;&gt;1)),
IF(Import.TipoArredondamento&lt;&gt;"TransfereGOV",
ROUND(OFFSET($P38,0,AN$13),15-13*ORÇAMENTO!$AF$7)/$H38*OFFSET(ORÇAMENTO!$X$15,ROW(AN38)-ROW(AN$15),0),
ROUND(ROUND(OFFSET($P38,0,AN$13),15-13*ORÇAMENTO!$AF$7)*OFFSET(ORÇAMENTO!$W$15,ROW(AN38)-ROW(AN$15),0),15-13*ORÇAMENTO!$AF$11)),0)</f>
        <v>0</v>
      </c>
      <c r="AO38" s="545">
        <f ca="1">IF(AND($D38="Serviço",AO$12&lt;&gt;0,$H38&gt;0,OR(AUTOEVENTO&lt;&gt;"manual",$M38&lt;&gt;1)),
IF(Import.TipoArredondamento&lt;&gt;"TransfereGOV",
ROUND(OFFSET($P38,0,AO$13),15-13*ORÇAMENTO!$AF$7)/$H38*OFFSET(ORÇAMENTO!$X$15,ROW(AO38)-ROW(AO$15),0),
ROUND(ROUND(OFFSET($P38,0,AO$13),15-13*ORÇAMENTO!$AF$7)*OFFSET(ORÇAMENTO!$W$15,ROW(AO38)-ROW(AO$15),0),15-13*ORÇAMENTO!$AF$11)),0)</f>
        <v>0</v>
      </c>
      <c r="AP38" s="545">
        <f ca="1">IF(AND($D38="Serviço",AP$12&lt;&gt;0,$H38&gt;0,OR(AUTOEVENTO&lt;&gt;"manual",$M38&lt;&gt;1)),
IF(Import.TipoArredondamento&lt;&gt;"TransfereGOV",
ROUND(OFFSET($P38,0,AP$13),15-13*ORÇAMENTO!$AF$7)/$H38*OFFSET(ORÇAMENTO!$X$15,ROW(AP38)-ROW(AP$15),0),
ROUND(ROUND(OFFSET($P38,0,AP$13),15-13*ORÇAMENTO!$AF$7)*OFFSET(ORÇAMENTO!$W$15,ROW(AP38)-ROW(AP$15),0),15-13*ORÇAMENTO!$AF$11)),0)</f>
        <v>0</v>
      </c>
      <c r="AQ38" s="545">
        <f ca="1">IF(AND($D38="Serviço",AQ$12&lt;&gt;0,$H38&gt;0,OR(AUTOEVENTO&lt;&gt;"manual",$M38&lt;&gt;1)),
IF(Import.TipoArredondamento&lt;&gt;"TransfereGOV",
ROUND(OFFSET($P38,0,AQ$13),15-13*ORÇAMENTO!$AF$7)/$H38*OFFSET(ORÇAMENTO!$X$15,ROW(AQ38)-ROW(AQ$15),0),
ROUND(ROUND(OFFSET($P38,0,AQ$13),15-13*ORÇAMENTO!$AF$7)*OFFSET(ORÇAMENTO!$W$15,ROW(AQ38)-ROW(AQ$15),0),15-13*ORÇAMENTO!$AF$11)),0)</f>
        <v>0</v>
      </c>
      <c r="AR38" s="545">
        <f ca="1">IF(AND($D38="Serviço",AR$12&lt;&gt;0,$H38&gt;0,OR(AUTOEVENTO&lt;&gt;"manual",$M38&lt;&gt;1)),
IF(Import.TipoArredondamento&lt;&gt;"TransfereGOV",
ROUND(OFFSET($P38,0,AR$13),15-13*ORÇAMENTO!$AF$7)/$H38*OFFSET(ORÇAMENTO!$X$15,ROW(AR38)-ROW(AR$15),0),
ROUND(ROUND(OFFSET($P38,0,AR$13),15-13*ORÇAMENTO!$AF$7)*OFFSET(ORÇAMENTO!$W$15,ROW(AR38)-ROW(AR$15),0),15-13*ORÇAMENTO!$AF$11)),0)</f>
        <v>0</v>
      </c>
      <c r="AS38" s="546">
        <f ca="1">IF(AND($D38="Serviço",AS$12&lt;&gt;0,$H38&gt;0,OR(AUTOEVENTO&lt;&gt;"manual",$M38&lt;&gt;1)),
IF(Import.TipoArredondamento&lt;&gt;"TransfereGOV",
ROUND(OFFSET($P38,0,AS$13),15-13*ORÇAMENTO!$AF$7)/$H38*OFFSET(ORÇAMENTO!$X$15,ROW(AS38)-ROW(AS$15),0),
ROUND(ROUND(OFFSET($P38,0,AS$13),15-13*ORÇAMENTO!$AF$7)*OFFSET(ORÇAMENTO!$W$15,ROW(AS38)-ROW(AS$15),0),15-13*ORÇAMENTO!$AF$11)),0)</f>
        <v>0</v>
      </c>
      <c r="AT38" s="545">
        <f ca="1">IF(AND($D38="Serviço",AT$12&lt;&gt;0,$H38&gt;0,OR(AUTOEVENTO&lt;&gt;"manual",$M38&lt;&gt;1)),
IF(Import.TipoArredondamento&lt;&gt;"TransfereGOV",
ROUND(OFFSET($P38,0,AT$13),15-13*ORÇAMENTO!$AF$7)/$H38*OFFSET(ORÇAMENTO!$X$15,ROW(AT38)-ROW(AT$15),0),
ROUND(ROUND(OFFSET($P38,0,AT$13),15-13*ORÇAMENTO!$AF$7)*OFFSET(ORÇAMENTO!$W$15,ROW(AT38)-ROW(AT$15),0),15-13*ORÇAMENTO!$AF$11)),0)</f>
        <v>0</v>
      </c>
      <c r="AU38" s="545">
        <f ca="1">IF(AND($D38="Serviço",AU$12&lt;&gt;0,$H38&gt;0,OR(AUTOEVENTO&lt;&gt;"manual",$M38&lt;&gt;1)),
IF(Import.TipoArredondamento&lt;&gt;"TransfereGOV",
ROUND(OFFSET($P38,0,AU$13),15-13*ORÇAMENTO!$AF$7)/$H38*OFFSET(ORÇAMENTO!$X$15,ROW(AU38)-ROW(AU$15),0),
ROUND(ROUND(OFFSET($P38,0,AU$13),15-13*ORÇAMENTO!$AF$7)*OFFSET(ORÇAMENTO!$W$15,ROW(AU38)-ROW(AU$15),0),15-13*ORÇAMENTO!$AF$11)),0)</f>
        <v>0</v>
      </c>
      <c r="AV38" s="545">
        <f ca="1">IF(AND($D38="Serviço",AV$12&lt;&gt;0,$H38&gt;0,OR(AUTOEVENTO&lt;&gt;"manual",$M38&lt;&gt;1)),
IF(Import.TipoArredondamento&lt;&gt;"TransfereGOV",
ROUND(OFFSET($P38,0,AV$13),15-13*ORÇAMENTO!$AF$7)/$H38*OFFSET(ORÇAMENTO!$X$15,ROW(AV38)-ROW(AV$15),0),
ROUND(ROUND(OFFSET($P38,0,AV$13),15-13*ORÇAMENTO!$AF$7)*OFFSET(ORÇAMENTO!$W$15,ROW(AV38)-ROW(AV$15),0),15-13*ORÇAMENTO!$AF$11)),0)</f>
        <v>0</v>
      </c>
      <c r="AW38" s="545">
        <f ca="1">IF(AND($D38="Serviço",AW$12&lt;&gt;0,$H38&gt;0,OR(AUTOEVENTO&lt;&gt;"manual",$M38&lt;&gt;1)),
IF(Import.TipoArredondamento&lt;&gt;"TransfereGOV",
ROUND(OFFSET($P38,0,AW$13),15-13*ORÇAMENTO!$AF$7)/$H38*OFFSET(ORÇAMENTO!$X$15,ROW(AW38)-ROW(AW$15),0),
ROUND(ROUND(OFFSET($P38,0,AW$13),15-13*ORÇAMENTO!$AF$7)*OFFSET(ORÇAMENTO!$W$15,ROW(AW38)-ROW(AW$15),0),15-13*ORÇAMENTO!$AF$11)),0)</f>
        <v>0</v>
      </c>
      <c r="AX38" s="545">
        <f ca="1">IF(AND($D38="Serviço",AX$12&lt;&gt;0,$H38&gt;0,OR(AUTOEVENTO&lt;&gt;"manual",$M38&lt;&gt;1)),
IF(Import.TipoArredondamento&lt;&gt;"TransfereGOV",
ROUND(OFFSET($P38,0,AX$13),15-13*ORÇAMENTO!$AF$7)/$H38*OFFSET(ORÇAMENTO!$X$15,ROW(AX38)-ROW(AX$15),0),
ROUND(ROUND(OFFSET($P38,0,AX$13),15-13*ORÇAMENTO!$AF$7)*OFFSET(ORÇAMENTO!$W$15,ROW(AX38)-ROW(AX$15),0),15-13*ORÇAMENTO!$AF$11)),0)</f>
        <v>0</v>
      </c>
      <c r="AY38" s="545">
        <f ca="1">IF(AND($D38="Serviço",AY$12&lt;&gt;0,$H38&gt;0,OR(AUTOEVENTO&lt;&gt;"manual",$M38&lt;&gt;1)),
IF(Import.TipoArredondamento&lt;&gt;"TransfereGOV",
ROUND(OFFSET($P38,0,AY$13),15-13*ORÇAMENTO!$AF$7)/$H38*OFFSET(ORÇAMENTO!$X$15,ROW(AY38)-ROW(AY$15),0),
ROUND(ROUND(OFFSET($P38,0,AY$13),15-13*ORÇAMENTO!$AF$7)*OFFSET(ORÇAMENTO!$W$15,ROW(AY38)-ROW(AY$15),0),15-13*ORÇAMENTO!$AF$11)),0)</f>
        <v>0</v>
      </c>
      <c r="AZ38" s="545">
        <f ca="1">IF(AND($D38="Serviço",AZ$12&lt;&gt;0,$H38&gt;0,OR(AUTOEVENTO&lt;&gt;"manual",$M38&lt;&gt;1)),
IF(Import.TipoArredondamento&lt;&gt;"TransfereGOV",
ROUND(OFFSET($P38,0,AZ$13),15-13*ORÇAMENTO!$AF$7)/$H38*OFFSET(ORÇAMENTO!$X$15,ROW(AZ38)-ROW(AZ$15),0),
ROUND(ROUND(OFFSET($P38,0,AZ$13),15-13*ORÇAMENTO!$AF$7)*OFFSET(ORÇAMENTO!$W$15,ROW(AZ38)-ROW(AZ$15),0),15-13*ORÇAMENTO!$AF$11)),0)</f>
        <v>0</v>
      </c>
      <c r="BA38" s="546">
        <f ca="1">IF(AND($D38="Serviço",BA$12&lt;&gt;0,$H38&gt;0,OR(AUTOEVENTO&lt;&gt;"manual",$M38&lt;&gt;1)),
IF(Import.TipoArredondamento&lt;&gt;"TransfereGOV",
ROUND(OFFSET($P38,0,BA$13),15-13*ORÇAMENTO!$AF$7)/$H38*OFFSET(ORÇAMENTO!$X$15,ROW(BA38)-ROW(BA$15),0),
ROUND(ROUND(OFFSET($P38,0,BA$13),15-13*ORÇAMENTO!$AF$7)*OFFSET(ORÇAMENTO!$W$15,ROW(BA38)-ROW(BA$15),0),15-13*ORÇAMENTO!$AF$11)),0)</f>
        <v>0</v>
      </c>
      <c r="BC38" s="181">
        <f ca="1">IF($D38&lt;&gt;"Serviço",0,IF(AND(AUTOEVENTO="Manual",$M38=1),0,IF(OFFSET(CRONOPLE!$F$14,$M38,BC$13)="",10^12,OFFSET(CRONOPLE!$F$14,$M38,BC$13))))</f>
        <v>2</v>
      </c>
      <c r="BD38" s="181">
        <f ca="1">IF($D38&lt;&gt;"Serviço",0,IF(AND(AUTOEVENTO="Manual",$M38=1),0,IF(OFFSET(CRONOPLE!$F$14,$M38,BD$13)="",10^12,OFFSET(CRONOPLE!$F$14,$M38,BD$13))))</f>
        <v>1000000000000</v>
      </c>
      <c r="BE38" s="181">
        <f ca="1">IF($D38&lt;&gt;"Serviço",0,IF(AND(AUTOEVENTO="Manual",$M38=1),0,IF(OFFSET(CRONOPLE!$F$14,$M38,BE$13)="",10^12,OFFSET(CRONOPLE!$F$14,$M38,BE$13))))</f>
        <v>1000000000000</v>
      </c>
      <c r="BF38" s="181">
        <f ca="1">IF($D38&lt;&gt;"Serviço",0,IF(AND(AUTOEVENTO="Manual",$M38=1),0,IF(OFFSET(CRONOPLE!$F$14,$M38,BF$13)="",10^12,OFFSET(CRONOPLE!$F$14,$M38,BF$13))))</f>
        <v>1000000000000</v>
      </c>
      <c r="BG38" s="181">
        <f ca="1">IF($D38&lt;&gt;"Serviço",0,IF(AND(AUTOEVENTO="Manual",$M38=1),0,IF(OFFSET(CRONOPLE!$F$14,$M38,BG$13)="",10^12,OFFSET(CRONOPLE!$F$14,$M38,BG$13))))</f>
        <v>1000000000000</v>
      </c>
      <c r="BH38" s="181">
        <f ca="1">IF($D38&lt;&gt;"Serviço",0,IF(AND(AUTOEVENTO="Manual",$M38=1),0,IF(OFFSET(CRONOPLE!$F$14,$M38,BH$13)="",10^12,OFFSET(CRONOPLE!$F$14,$M38,BH$13))))</f>
        <v>1000000000000</v>
      </c>
      <c r="BI38" s="181">
        <f ca="1">IF($D38&lt;&gt;"Serviço",0,IF(AND(AUTOEVENTO="Manual",$M38=1),0,IF(OFFSET(CRONOPLE!$F$14,$M38,BI$13)="",10^12,OFFSET(CRONOPLE!$F$14,$M38,BI$13))))</f>
        <v>1000000000000</v>
      </c>
      <c r="BJ38" s="181">
        <f ca="1">IF($D38&lt;&gt;"Serviço",0,IF(AND(AUTOEVENTO="Manual",$M38=1),0,IF(OFFSET(CRONOPLE!$F$14,$M38,BJ$13)="",10^12,OFFSET(CRONOPLE!$F$14,$M38,BJ$13))))</f>
        <v>1000000000000</v>
      </c>
      <c r="BK38" s="181">
        <f ca="1">IF($D38&lt;&gt;"Serviço",0,IF(AND(AUTOEVENTO="Manual",$M38=1),0,IF(OFFSET(CRONOPLE!$F$14,$M38,BK$13)="",10^12,OFFSET(CRONOPLE!$F$14,$M38,BK$13))))</f>
        <v>1000000000000</v>
      </c>
      <c r="BL38" s="181">
        <f ca="1">IF($D38&lt;&gt;"Serviço",0,IF(AND(AUTOEVENTO="Manual",$M38=1),0,IF(OFFSET(CRONOPLE!$F$14,$M38,BL$13)="",10^12,OFFSET(CRONOPLE!$F$14,$M38,BL$13))))</f>
        <v>1000000000000</v>
      </c>
      <c r="BM38" s="181">
        <f ca="1">IF($D38&lt;&gt;"Serviço",0,IF(AND(AUTOEVENTO="Manual",$M38=1),0,IF(OFFSET(CRONOPLE!$F$14,$M38,BM$13)="",10^12,OFFSET(CRONOPLE!$F$14,$M38,BM$13))))</f>
        <v>1000000000000</v>
      </c>
      <c r="BN38" s="181">
        <f ca="1">IF($D38&lt;&gt;"Serviço",0,IF(AND(AUTOEVENTO="Manual",$M38=1),0,IF(OFFSET(CRONOPLE!$F$14,$M38,BN$13)="",10^12,OFFSET(CRONOPLE!$F$14,$M38,BN$13))))</f>
        <v>1000000000000</v>
      </c>
      <c r="BO38" s="181">
        <f ca="1">IF($D38&lt;&gt;"Serviço",0,IF(AND(AUTOEVENTO="Manual",$M38=1),0,IF(OFFSET(CRONOPLE!$F$14,$M38,BO$13)="",10^12,OFFSET(CRONOPLE!$F$14,$M38,BO$13))))</f>
        <v>1000000000000</v>
      </c>
      <c r="BP38" s="181">
        <f ca="1">IF($D38&lt;&gt;"Serviço",0,IF(AND(AUTOEVENTO="Manual",$M38=1),0,IF(OFFSET(CRONOPLE!$F$14,$M38,BP$13)="",10^12,OFFSET(CRONOPLE!$F$14,$M38,BP$13))))</f>
        <v>1000000000000</v>
      </c>
      <c r="BQ38" s="181">
        <f ca="1">IF($D38&lt;&gt;"Serviço",0,IF(AND(AUTOEVENTO="Manual",$M38=1),0,IF(OFFSET(CRONOPLE!$F$14,$M38,BQ$13)="",10^12,OFFSET(CRONOPLE!$F$14,$M38,BQ$13))))</f>
        <v>1000000000000</v>
      </c>
      <c r="BR38" s="181">
        <f ca="1">IF($D38&lt;&gt;"Serviço",0,IF(AND(AUTOEVENTO="Manual",$M38=1),0,IF(OFFSET(CRONOPLE!$F$14,$M38,BR$13)="",10^12,OFFSET(CRONOPLE!$F$14,$M38,BR$13))))</f>
        <v>1000000000000</v>
      </c>
      <c r="BS38" s="181">
        <f ca="1">IF($D38&lt;&gt;"Serviço",0,IF(AND(AUTOEVENTO="Manual",$M38=1),0,IF(OFFSET(CRONOPLE!$F$14,$M38,BS$13)="",10^12,OFFSET(CRONOPLE!$F$14,$M38,BS$13))))</f>
        <v>1000000000000</v>
      </c>
      <c r="BT38" s="181">
        <f ca="1">IF($D38&lt;&gt;"Serviço",0,IF(AND(AUTOEVENTO="Manual",$M38=1),0,IF(OFFSET(CRONOPLE!$F$14,$M38,BT$13)="",10^12,OFFSET(CRONOPLE!$F$14,$M38,BT$13))))</f>
        <v>1000000000000</v>
      </c>
      <c r="BV38" s="182">
        <f ca="1">IF($D38&lt;&gt;"Serviço",0,IF(OR(AND(AUTOEVENTO="Manual",$M38=1),$M38&gt;(ROW(PLE.lastrow)-ROW(PLE.firstrow))),0,IF(OFFSET(PLE!$G$14,$M38,BV$13)="",10^12,OFFSET(PLE!$G$14,$M38,BV$13))))</f>
        <v>1000000000000</v>
      </c>
      <c r="BW38" s="182">
        <f ca="1">IF($D38&lt;&gt;"Serviço",0,IF(OR(AND(AUTOEVENTO="Manual",$M38=1),$M38&gt;(ROW(PLE.lastrow)-ROW(PLE.firstrow))),0,IF(OFFSET(PLE!$G$14,$M38,BW$13)="",10^12,OFFSET(PLE!$G$14,$M38,BW$13))))</f>
        <v>1000000000000</v>
      </c>
      <c r="BX38" s="182">
        <f ca="1">IF($D38&lt;&gt;"Serviço",0,IF(OR(AND(AUTOEVENTO="Manual",$M38=1),$M38&gt;(ROW(PLE.lastrow)-ROW(PLE.firstrow))),0,IF(OFFSET(PLE!$G$14,$M38,BX$13)="",10^12,OFFSET(PLE!$G$14,$M38,BX$13))))</f>
        <v>1000000000000</v>
      </c>
      <c r="BY38" s="182">
        <f ca="1">IF($D38&lt;&gt;"Serviço",0,IF(OR(AND(AUTOEVENTO="Manual",$M38=1),$M38&gt;(ROW(PLE.lastrow)-ROW(PLE.firstrow))),0,IF(OFFSET(PLE!$G$14,$M38,BY$13)="",10^12,OFFSET(PLE!$G$14,$M38,BY$13))))</f>
        <v>1000000000000</v>
      </c>
      <c r="BZ38" s="182">
        <f ca="1">IF($D38&lt;&gt;"Serviço",0,IF(OR(AND(AUTOEVENTO="Manual",$M38=1),$M38&gt;(ROW(PLE.lastrow)-ROW(PLE.firstrow))),0,IF(OFFSET(PLE!$G$14,$M38,BZ$13)="",10^12,OFFSET(PLE!$G$14,$M38,BZ$13))))</f>
        <v>1000000000000</v>
      </c>
      <c r="CA38" s="182">
        <f ca="1">IF($D38&lt;&gt;"Serviço",0,IF(OR(AND(AUTOEVENTO="Manual",$M38=1),$M38&gt;(ROW(PLE.lastrow)-ROW(PLE.firstrow))),0,IF(OFFSET(PLE!$G$14,$M38,CA$13)="",10^12,OFFSET(PLE!$G$14,$M38,CA$13))))</f>
        <v>1000000000000</v>
      </c>
      <c r="CB38" s="182">
        <f ca="1">IF($D38&lt;&gt;"Serviço",0,IF(OR(AND(AUTOEVENTO="Manual",$M38=1),$M38&gt;(ROW(PLE.lastrow)-ROW(PLE.firstrow))),0,IF(OFFSET(PLE!$G$14,$M38,CB$13)="",10^12,OFFSET(PLE!$G$14,$M38,CB$13))))</f>
        <v>1000000000000</v>
      </c>
      <c r="CC38" s="182">
        <f ca="1">IF($D38&lt;&gt;"Serviço",0,IF(OR(AND(AUTOEVENTO="Manual",$M38=1),$M38&gt;(ROW(PLE.lastrow)-ROW(PLE.firstrow))),0,IF(OFFSET(PLE!$G$14,$M38,CC$13)="",10^12,OFFSET(PLE!$G$14,$M38,CC$13))))</f>
        <v>1000000000000</v>
      </c>
      <c r="CD38" s="182">
        <f ca="1">IF($D38&lt;&gt;"Serviço",0,IF(OR(AND(AUTOEVENTO="Manual",$M38=1),$M38&gt;(ROW(PLE.lastrow)-ROW(PLE.firstrow))),0,IF(OFFSET(PLE!$G$14,$M38,CD$13)="",10^12,OFFSET(PLE!$G$14,$M38,CD$13))))</f>
        <v>1000000000000</v>
      </c>
      <c r="CE38" s="182">
        <f ca="1">IF($D38&lt;&gt;"Serviço",0,IF(OR(AND(AUTOEVENTO="Manual",$M38=1),$M38&gt;(ROW(PLE.lastrow)-ROW(PLE.firstrow))),0,IF(OFFSET(PLE!$G$14,$M38,CE$13)="",10^12,OFFSET(PLE!$G$14,$M38,CE$13))))</f>
        <v>1000000000000</v>
      </c>
      <c r="CF38" s="182">
        <f ca="1">IF($D38&lt;&gt;"Serviço",0,IF(OR(AND(AUTOEVENTO="Manual",$M38=1),$M38&gt;(ROW(PLE.lastrow)-ROW(PLE.firstrow))),0,IF(OFFSET(PLE!$G$14,$M38,CF$13)="",10^12,OFFSET(PLE!$G$14,$M38,CF$13))))</f>
        <v>1000000000000</v>
      </c>
      <c r="CG38" s="182">
        <f ca="1">IF($D38&lt;&gt;"Serviço",0,IF(OR(AND(AUTOEVENTO="Manual",$M38=1),$M38&gt;(ROW(PLE.lastrow)-ROW(PLE.firstrow))),0,IF(OFFSET(PLE!$G$14,$M38,CG$13)="",10^12,OFFSET(PLE!$G$14,$M38,CG$13))))</f>
        <v>1000000000000</v>
      </c>
      <c r="CH38" s="182">
        <f ca="1">IF($D38&lt;&gt;"Serviço",0,IF(OR(AND(AUTOEVENTO="Manual",$M38=1),$M38&gt;(ROW(PLE.lastrow)-ROW(PLE.firstrow))),0,IF(OFFSET(PLE!$G$14,$M38,CH$13)="",10^12,OFFSET(PLE!$G$14,$M38,CH$13))))</f>
        <v>1000000000000</v>
      </c>
      <c r="CI38" s="182">
        <f ca="1">IF($D38&lt;&gt;"Serviço",0,IF(OR(AND(AUTOEVENTO="Manual",$M38=1),$M38&gt;(ROW(PLE.lastrow)-ROW(PLE.firstrow))),0,IF(OFFSET(PLE!$G$14,$M38,CI$13)="",10^12,OFFSET(PLE!$G$14,$M38,CI$13))))</f>
        <v>1000000000000</v>
      </c>
      <c r="CJ38" s="182">
        <f ca="1">IF($D38&lt;&gt;"Serviço",0,IF(OR(AND(AUTOEVENTO="Manual",$M38=1),$M38&gt;(ROW(PLE.lastrow)-ROW(PLE.firstrow))),0,IF(OFFSET(PLE!$G$14,$M38,CJ$13)="",10^12,OFFSET(PLE!$G$14,$M38,CJ$13))))</f>
        <v>1000000000000</v>
      </c>
      <c r="CK38" s="182">
        <f ca="1">IF($D38&lt;&gt;"Serviço",0,IF(OR(AND(AUTOEVENTO="Manual",$M38=1),$M38&gt;(ROW(PLE.lastrow)-ROW(PLE.firstrow))),0,IF(OFFSET(PLE!$G$14,$M38,CK$13)="",10^12,OFFSET(PLE!$G$14,$M38,CK$13))))</f>
        <v>1000000000000</v>
      </c>
      <c r="CL38" s="182">
        <f ca="1">IF($D38&lt;&gt;"Serviço",0,IF(OR(AND(AUTOEVENTO="Manual",$M38=1),$M38&gt;(ROW(PLE.lastrow)-ROW(PLE.firstrow))),0,IF(OFFSET(PLE!$G$14,$M38,CL$13)="",10^12,OFFSET(PLE!$G$14,$M38,CL$13))))</f>
        <v>1000000000000</v>
      </c>
      <c r="CM38" s="182">
        <f ca="1">IF($D38&lt;&gt;"Serviço",0,IF(OR(AND(AUTOEVENTO="Manual",$M38=1),$M38&gt;(ROW(PLE.lastrow)-ROW(PLE.firstrow))),0,IF(OFFSET(PLE!$G$14,$M38,CM$13)="",10^12,OFFSET(PLE!$G$14,$M38,CM$13))))</f>
        <v>1000000000000</v>
      </c>
    </row>
    <row r="39" spans="1:91" ht="38.25" x14ac:dyDescent="0.2">
      <c r="A39" s="7" t="str">
        <f t="shared" ca="1" si="9"/>
        <v>22</v>
      </c>
      <c r="B39" s="7" t="str">
        <f ca="1">OFFSET(ORÇAMENTO!C$15,ROW(B39)-ROW(B$15),0)</f>
        <v>S</v>
      </c>
      <c r="C39" s="7" t="str">
        <f ca="1">OFFSET(ORÇAMENTO!L$15,ROW(C39)-ROW(C$15),0)</f>
        <v/>
      </c>
      <c r="D39" s="118" t="str">
        <f ca="1">OFFSET(ORÇAMENTO!N$15,ROW(D39)-ROW(D$15),0)</f>
        <v>Serviço</v>
      </c>
      <c r="E39" s="119" t="str">
        <f ca="1">OFFSET(ORÇAMENTO!O$15,ROW(E39)-ROW(E$15),0)</f>
        <v>-</v>
      </c>
      <c r="F39" s="172" t="str">
        <f ca="1">OFFSET(ORÇAMENTO!R$15,ROW(F39)-ROW(F$15),0)</f>
        <v>(abra o arquivo 'Referência 06-2024.xlsm)</v>
      </c>
      <c r="G39" s="173" t="str">
        <f ca="1">IF($D39&lt;&gt;"Serviço","",OFFSET(ORÇAMENTO!S$15,ROW(G39)-ROW(G$15),0))</f>
        <v>-</v>
      </c>
      <c r="H39" s="124">
        <f ca="1">IF($D39&lt;&gt;"Serviço",0,IF(ACOMPANHAMENTO="BM",ROUND(OFFSET(ORÇAMENTO!AJ$15,ROW(H39)-ROW(H$15),0),15-13*ORÇAMENTO!$AF$7),SUMPRODUCT(($Q$12:$AI$12&lt;&gt;"")*ROUND($Q39:$AI39,15-13*ORÇAMENTO!$AF$7))))</f>
        <v>3.44</v>
      </c>
      <c r="I39" s="561" t="s">
        <v>1107</v>
      </c>
      <c r="K39" s="174" t="s">
        <v>1027</v>
      </c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6</v>
      </c>
      <c r="N39" s="177" t="str">
        <f ca="1">IF($D39&lt;&gt;"Serviço","",IF(AUTOEVENTO="Manual",IF($A39=0,"&lt;-- defina o número do agrupador",OFFSET(EVENTOS!$D$14,$A39,0)),OFFSET($F$15,$A39,0)))</f>
        <v>FUNDAÇÕES - CONCRETO ARMADO PARA TUBULÕES</v>
      </c>
      <c r="O39" s="178"/>
      <c r="Q39" s="178">
        <v>3.44</v>
      </c>
      <c r="R39" s="179"/>
      <c r="S39" s="179"/>
      <c r="T39" s="179"/>
      <c r="U39" s="179"/>
      <c r="V39" s="179"/>
      <c r="W39" s="179"/>
      <c r="X39" s="179"/>
      <c r="Y39" s="179"/>
      <c r="Z39" s="180"/>
      <c r="AA39" s="179"/>
      <c r="AB39" s="179"/>
      <c r="AC39" s="179"/>
      <c r="AD39" s="179"/>
      <c r="AE39" s="179"/>
      <c r="AF39" s="179"/>
      <c r="AG39" s="179"/>
      <c r="AH39" s="180"/>
      <c r="AJ39" s="544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545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L39" s="545">
        <f ca="1">IF(AND($D39="Serviço",AL$12&lt;&gt;0,$H39&gt;0,OR(AUTOEVENTO&lt;&gt;"manual",$M39&lt;&gt;1)),
IF(Import.TipoArredondamento&lt;&gt;"TransfereGOV",
ROUND(OFFSET($P39,0,AL$13),15-13*ORÇAMENTO!$AF$7)/$H39*OFFSET(ORÇAMENTO!$X$15,ROW(AL39)-ROW(AL$15),0),
ROUND(ROUND(OFFSET($P39,0,AL$13),15-13*ORÇAMENTO!$AF$7)*OFFSET(ORÇAMENTO!$W$15,ROW(AL39)-ROW(AL$15),0),15-13*ORÇAMENTO!$AF$11)),0)</f>
        <v>0</v>
      </c>
      <c r="AM39" s="545">
        <f ca="1">IF(AND($D39="Serviço",AM$12&lt;&gt;0,$H39&gt;0,OR(AUTOEVENTO&lt;&gt;"manual",$M39&lt;&gt;1)),
IF(Import.TipoArredondamento&lt;&gt;"TransfereGOV",
ROUND(OFFSET($P39,0,AM$13),15-13*ORÇAMENTO!$AF$7)/$H39*OFFSET(ORÇAMENTO!$X$15,ROW(AM39)-ROW(AM$15),0),
ROUND(ROUND(OFFSET($P39,0,AM$13),15-13*ORÇAMENTO!$AF$7)*OFFSET(ORÇAMENTO!$W$15,ROW(AM39)-ROW(AM$15),0),15-13*ORÇAMENTO!$AF$11)),0)</f>
        <v>0</v>
      </c>
      <c r="AN39" s="545">
        <f ca="1">IF(AND($D39="Serviço",AN$12&lt;&gt;0,$H39&gt;0,OR(AUTOEVENTO&lt;&gt;"manual",$M39&lt;&gt;1)),
IF(Import.TipoArredondamento&lt;&gt;"TransfereGOV",
ROUND(OFFSET($P39,0,AN$13),15-13*ORÇAMENTO!$AF$7)/$H39*OFFSET(ORÇAMENTO!$X$15,ROW(AN39)-ROW(AN$15),0),
ROUND(ROUND(OFFSET($P39,0,AN$13),15-13*ORÇAMENTO!$AF$7)*OFFSET(ORÇAMENTO!$W$15,ROW(AN39)-ROW(AN$15),0),15-13*ORÇAMENTO!$AF$11)),0)</f>
        <v>0</v>
      </c>
      <c r="AO39" s="545">
        <f ca="1">IF(AND($D39="Serviço",AO$12&lt;&gt;0,$H39&gt;0,OR(AUTOEVENTO&lt;&gt;"manual",$M39&lt;&gt;1)),
IF(Import.TipoArredondamento&lt;&gt;"TransfereGOV",
ROUND(OFFSET($P39,0,AO$13),15-13*ORÇAMENTO!$AF$7)/$H39*OFFSET(ORÇAMENTO!$X$15,ROW(AO39)-ROW(AO$15),0),
ROUND(ROUND(OFFSET($P39,0,AO$13),15-13*ORÇAMENTO!$AF$7)*OFFSET(ORÇAMENTO!$W$15,ROW(AO39)-ROW(AO$15),0),15-13*ORÇAMENTO!$AF$11)),0)</f>
        <v>0</v>
      </c>
      <c r="AP39" s="545">
        <f ca="1">IF(AND($D39="Serviço",AP$12&lt;&gt;0,$H39&gt;0,OR(AUTOEVENTO&lt;&gt;"manual",$M39&lt;&gt;1)),
IF(Import.TipoArredondamento&lt;&gt;"TransfereGOV",
ROUND(OFFSET($P39,0,AP$13),15-13*ORÇAMENTO!$AF$7)/$H39*OFFSET(ORÇAMENTO!$X$15,ROW(AP39)-ROW(AP$15),0),
ROUND(ROUND(OFFSET($P39,0,AP$13),15-13*ORÇAMENTO!$AF$7)*OFFSET(ORÇAMENTO!$W$15,ROW(AP39)-ROW(AP$15),0),15-13*ORÇAMENTO!$AF$11)),0)</f>
        <v>0</v>
      </c>
      <c r="AQ39" s="545">
        <f ca="1">IF(AND($D39="Serviço",AQ$12&lt;&gt;0,$H39&gt;0,OR(AUTOEVENTO&lt;&gt;"manual",$M39&lt;&gt;1)),
IF(Import.TipoArredondamento&lt;&gt;"TransfereGOV",
ROUND(OFFSET($P39,0,AQ$13),15-13*ORÇAMENTO!$AF$7)/$H39*OFFSET(ORÇAMENTO!$X$15,ROW(AQ39)-ROW(AQ$15),0),
ROUND(ROUND(OFFSET($P39,0,AQ$13),15-13*ORÇAMENTO!$AF$7)*OFFSET(ORÇAMENTO!$W$15,ROW(AQ39)-ROW(AQ$15),0),15-13*ORÇAMENTO!$AF$11)),0)</f>
        <v>0</v>
      </c>
      <c r="AR39" s="545">
        <f ca="1">IF(AND($D39="Serviço",AR$12&lt;&gt;0,$H39&gt;0,OR(AUTOEVENTO&lt;&gt;"manual",$M39&lt;&gt;1)),
IF(Import.TipoArredondamento&lt;&gt;"TransfereGOV",
ROUND(OFFSET($P39,0,AR$13),15-13*ORÇAMENTO!$AF$7)/$H39*OFFSET(ORÇAMENTO!$X$15,ROW(AR39)-ROW(AR$15),0),
ROUND(ROUND(OFFSET($P39,0,AR$13),15-13*ORÇAMENTO!$AF$7)*OFFSET(ORÇAMENTO!$W$15,ROW(AR39)-ROW(AR$15),0),15-13*ORÇAMENTO!$AF$11)),0)</f>
        <v>0</v>
      </c>
      <c r="AS39" s="546">
        <f ca="1">IF(AND($D39="Serviço",AS$12&lt;&gt;0,$H39&gt;0,OR(AUTOEVENTO&lt;&gt;"manual",$M39&lt;&gt;1)),
IF(Import.TipoArredondamento&lt;&gt;"TransfereGOV",
ROUND(OFFSET($P39,0,AS$13),15-13*ORÇAMENTO!$AF$7)/$H39*OFFSET(ORÇAMENTO!$X$15,ROW(AS39)-ROW(AS$15),0),
ROUND(ROUND(OFFSET($P39,0,AS$13),15-13*ORÇAMENTO!$AF$7)*OFFSET(ORÇAMENTO!$W$15,ROW(AS39)-ROW(AS$15),0),15-13*ORÇAMENTO!$AF$11)),0)</f>
        <v>0</v>
      </c>
      <c r="AT39" s="545">
        <f ca="1">IF(AND($D39="Serviço",AT$12&lt;&gt;0,$H39&gt;0,OR(AUTOEVENTO&lt;&gt;"manual",$M39&lt;&gt;1)),
IF(Import.TipoArredondamento&lt;&gt;"TransfereGOV",
ROUND(OFFSET($P39,0,AT$13),15-13*ORÇAMENTO!$AF$7)/$H39*OFFSET(ORÇAMENTO!$X$15,ROW(AT39)-ROW(AT$15),0),
ROUND(ROUND(OFFSET($P39,0,AT$13),15-13*ORÇAMENTO!$AF$7)*OFFSET(ORÇAMENTO!$W$15,ROW(AT39)-ROW(AT$15),0),15-13*ORÇAMENTO!$AF$11)),0)</f>
        <v>0</v>
      </c>
      <c r="AU39" s="545">
        <f ca="1">IF(AND($D39="Serviço",AU$12&lt;&gt;0,$H39&gt;0,OR(AUTOEVENTO&lt;&gt;"manual",$M39&lt;&gt;1)),
IF(Import.TipoArredondamento&lt;&gt;"TransfereGOV",
ROUND(OFFSET($P39,0,AU$13),15-13*ORÇAMENTO!$AF$7)/$H39*OFFSET(ORÇAMENTO!$X$15,ROW(AU39)-ROW(AU$15),0),
ROUND(ROUND(OFFSET($P39,0,AU$13),15-13*ORÇAMENTO!$AF$7)*OFFSET(ORÇAMENTO!$W$15,ROW(AU39)-ROW(AU$15),0),15-13*ORÇAMENTO!$AF$11)),0)</f>
        <v>0</v>
      </c>
      <c r="AV39" s="545">
        <f ca="1">IF(AND($D39="Serviço",AV$12&lt;&gt;0,$H39&gt;0,OR(AUTOEVENTO&lt;&gt;"manual",$M39&lt;&gt;1)),
IF(Import.TipoArredondamento&lt;&gt;"TransfereGOV",
ROUND(OFFSET($P39,0,AV$13),15-13*ORÇAMENTO!$AF$7)/$H39*OFFSET(ORÇAMENTO!$X$15,ROW(AV39)-ROW(AV$15),0),
ROUND(ROUND(OFFSET($P39,0,AV$13),15-13*ORÇAMENTO!$AF$7)*OFFSET(ORÇAMENTO!$W$15,ROW(AV39)-ROW(AV$15),0),15-13*ORÇAMENTO!$AF$11)),0)</f>
        <v>0</v>
      </c>
      <c r="AW39" s="545">
        <f ca="1">IF(AND($D39="Serviço",AW$12&lt;&gt;0,$H39&gt;0,OR(AUTOEVENTO&lt;&gt;"manual",$M39&lt;&gt;1)),
IF(Import.TipoArredondamento&lt;&gt;"TransfereGOV",
ROUND(OFFSET($P39,0,AW$13),15-13*ORÇAMENTO!$AF$7)/$H39*OFFSET(ORÇAMENTO!$X$15,ROW(AW39)-ROW(AW$15),0),
ROUND(ROUND(OFFSET($P39,0,AW$13),15-13*ORÇAMENTO!$AF$7)*OFFSET(ORÇAMENTO!$W$15,ROW(AW39)-ROW(AW$15),0),15-13*ORÇAMENTO!$AF$11)),0)</f>
        <v>0</v>
      </c>
      <c r="AX39" s="545">
        <f ca="1">IF(AND($D39="Serviço",AX$12&lt;&gt;0,$H39&gt;0,OR(AUTOEVENTO&lt;&gt;"manual",$M39&lt;&gt;1)),
IF(Import.TipoArredondamento&lt;&gt;"TransfereGOV",
ROUND(OFFSET($P39,0,AX$13),15-13*ORÇAMENTO!$AF$7)/$H39*OFFSET(ORÇAMENTO!$X$15,ROW(AX39)-ROW(AX$15),0),
ROUND(ROUND(OFFSET($P39,0,AX$13),15-13*ORÇAMENTO!$AF$7)*OFFSET(ORÇAMENTO!$W$15,ROW(AX39)-ROW(AX$15),0),15-13*ORÇAMENTO!$AF$11)),0)</f>
        <v>0</v>
      </c>
      <c r="AY39" s="545">
        <f ca="1">IF(AND($D39="Serviço",AY$12&lt;&gt;0,$H39&gt;0,OR(AUTOEVENTO&lt;&gt;"manual",$M39&lt;&gt;1)),
IF(Import.TipoArredondamento&lt;&gt;"TransfereGOV",
ROUND(OFFSET($P39,0,AY$13),15-13*ORÇAMENTO!$AF$7)/$H39*OFFSET(ORÇAMENTO!$X$15,ROW(AY39)-ROW(AY$15),0),
ROUND(ROUND(OFFSET($P39,0,AY$13),15-13*ORÇAMENTO!$AF$7)*OFFSET(ORÇAMENTO!$W$15,ROW(AY39)-ROW(AY$15),0),15-13*ORÇAMENTO!$AF$11)),0)</f>
        <v>0</v>
      </c>
      <c r="AZ39" s="545">
        <f ca="1">IF(AND($D39="Serviço",AZ$12&lt;&gt;0,$H39&gt;0,OR(AUTOEVENTO&lt;&gt;"manual",$M39&lt;&gt;1)),
IF(Import.TipoArredondamento&lt;&gt;"TransfereGOV",
ROUND(OFFSET($P39,0,AZ$13),15-13*ORÇAMENTO!$AF$7)/$H39*OFFSET(ORÇAMENTO!$X$15,ROW(AZ39)-ROW(AZ$15),0),
ROUND(ROUND(OFFSET($P39,0,AZ$13),15-13*ORÇAMENTO!$AF$7)*OFFSET(ORÇAMENTO!$W$15,ROW(AZ39)-ROW(AZ$15),0),15-13*ORÇAMENTO!$AF$11)),0)</f>
        <v>0</v>
      </c>
      <c r="BA39" s="546">
        <f ca="1">IF(AND($D39="Serviço",BA$12&lt;&gt;0,$H39&gt;0,OR(AUTOEVENTO&lt;&gt;"manual",$M39&lt;&gt;1)),
IF(Import.TipoArredondamento&lt;&gt;"TransfereGOV",
ROUND(OFFSET($P39,0,BA$13),15-13*ORÇAMENTO!$AF$7)/$H39*OFFSET(ORÇAMENTO!$X$15,ROW(BA39)-ROW(BA$15),0),
ROUND(ROUND(OFFSET($P39,0,BA$13),15-13*ORÇAMENTO!$AF$7)*OFFSET(ORÇAMENTO!$W$15,ROW(BA39)-ROW(BA$15),0),15-13*ORÇAMENTO!$AF$11)),0)</f>
        <v>0</v>
      </c>
      <c r="BC39" s="181">
        <f ca="1">IF($D39&lt;&gt;"Serviço",0,IF(AND(AUTOEVENTO="Manual",$M39=1),0,IF(OFFSET(CRONOPLE!$F$14,$M39,BC$13)="",10^12,OFFSET(CRONOPLE!$F$14,$M39,BC$13))))</f>
        <v>2</v>
      </c>
      <c r="BD39" s="181">
        <f ca="1">IF($D39&lt;&gt;"Serviço",0,IF(AND(AUTOEVENTO="Manual",$M39=1),0,IF(OFFSET(CRONOPLE!$F$14,$M39,BD$13)="",10^12,OFFSET(CRONOPLE!$F$14,$M39,BD$13))))</f>
        <v>1000000000000</v>
      </c>
      <c r="BE39" s="181">
        <f ca="1">IF($D39&lt;&gt;"Serviço",0,IF(AND(AUTOEVENTO="Manual",$M39=1),0,IF(OFFSET(CRONOPLE!$F$14,$M39,BE$13)="",10^12,OFFSET(CRONOPLE!$F$14,$M39,BE$13))))</f>
        <v>1000000000000</v>
      </c>
      <c r="BF39" s="181">
        <f ca="1">IF($D39&lt;&gt;"Serviço",0,IF(AND(AUTOEVENTO="Manual",$M39=1),0,IF(OFFSET(CRONOPLE!$F$14,$M39,BF$13)="",10^12,OFFSET(CRONOPLE!$F$14,$M39,BF$13))))</f>
        <v>1000000000000</v>
      </c>
      <c r="BG39" s="181">
        <f ca="1">IF($D39&lt;&gt;"Serviço",0,IF(AND(AUTOEVENTO="Manual",$M39=1),0,IF(OFFSET(CRONOPLE!$F$14,$M39,BG$13)="",10^12,OFFSET(CRONOPLE!$F$14,$M39,BG$13))))</f>
        <v>1000000000000</v>
      </c>
      <c r="BH39" s="181">
        <f ca="1">IF($D39&lt;&gt;"Serviço",0,IF(AND(AUTOEVENTO="Manual",$M39=1),0,IF(OFFSET(CRONOPLE!$F$14,$M39,BH$13)="",10^12,OFFSET(CRONOPLE!$F$14,$M39,BH$13))))</f>
        <v>1000000000000</v>
      </c>
      <c r="BI39" s="181">
        <f ca="1">IF($D39&lt;&gt;"Serviço",0,IF(AND(AUTOEVENTO="Manual",$M39=1),0,IF(OFFSET(CRONOPLE!$F$14,$M39,BI$13)="",10^12,OFFSET(CRONOPLE!$F$14,$M39,BI$13))))</f>
        <v>1000000000000</v>
      </c>
      <c r="BJ39" s="181">
        <f ca="1">IF($D39&lt;&gt;"Serviço",0,IF(AND(AUTOEVENTO="Manual",$M39=1),0,IF(OFFSET(CRONOPLE!$F$14,$M39,BJ$13)="",10^12,OFFSET(CRONOPLE!$F$14,$M39,BJ$13))))</f>
        <v>1000000000000</v>
      </c>
      <c r="BK39" s="181">
        <f ca="1">IF($D39&lt;&gt;"Serviço",0,IF(AND(AUTOEVENTO="Manual",$M39=1),0,IF(OFFSET(CRONOPLE!$F$14,$M39,BK$13)="",10^12,OFFSET(CRONOPLE!$F$14,$M39,BK$13))))</f>
        <v>1000000000000</v>
      </c>
      <c r="BL39" s="181">
        <f ca="1">IF($D39&lt;&gt;"Serviço",0,IF(AND(AUTOEVENTO="Manual",$M39=1),0,IF(OFFSET(CRONOPLE!$F$14,$M39,BL$13)="",10^12,OFFSET(CRONOPLE!$F$14,$M39,BL$13))))</f>
        <v>1000000000000</v>
      </c>
      <c r="BM39" s="181">
        <f ca="1">IF($D39&lt;&gt;"Serviço",0,IF(AND(AUTOEVENTO="Manual",$M39=1),0,IF(OFFSET(CRONOPLE!$F$14,$M39,BM$13)="",10^12,OFFSET(CRONOPLE!$F$14,$M39,BM$13))))</f>
        <v>1000000000000</v>
      </c>
      <c r="BN39" s="181">
        <f ca="1">IF($D39&lt;&gt;"Serviço",0,IF(AND(AUTOEVENTO="Manual",$M39=1),0,IF(OFFSET(CRONOPLE!$F$14,$M39,BN$13)="",10^12,OFFSET(CRONOPLE!$F$14,$M39,BN$13))))</f>
        <v>1000000000000</v>
      </c>
      <c r="BO39" s="181">
        <f ca="1">IF($D39&lt;&gt;"Serviço",0,IF(AND(AUTOEVENTO="Manual",$M39=1),0,IF(OFFSET(CRONOPLE!$F$14,$M39,BO$13)="",10^12,OFFSET(CRONOPLE!$F$14,$M39,BO$13))))</f>
        <v>1000000000000</v>
      </c>
      <c r="BP39" s="181">
        <f ca="1">IF($D39&lt;&gt;"Serviço",0,IF(AND(AUTOEVENTO="Manual",$M39=1),0,IF(OFFSET(CRONOPLE!$F$14,$M39,BP$13)="",10^12,OFFSET(CRONOPLE!$F$14,$M39,BP$13))))</f>
        <v>1000000000000</v>
      </c>
      <c r="BQ39" s="181">
        <f ca="1">IF($D39&lt;&gt;"Serviço",0,IF(AND(AUTOEVENTO="Manual",$M39=1),0,IF(OFFSET(CRONOPLE!$F$14,$M39,BQ$13)="",10^12,OFFSET(CRONOPLE!$F$14,$M39,BQ$13))))</f>
        <v>1000000000000</v>
      </c>
      <c r="BR39" s="181">
        <f ca="1">IF($D39&lt;&gt;"Serviço",0,IF(AND(AUTOEVENTO="Manual",$M39=1),0,IF(OFFSET(CRONOPLE!$F$14,$M39,BR$13)="",10^12,OFFSET(CRONOPLE!$F$14,$M39,BR$13))))</f>
        <v>1000000000000</v>
      </c>
      <c r="BS39" s="181">
        <f ca="1">IF($D39&lt;&gt;"Serviço",0,IF(AND(AUTOEVENTO="Manual",$M39=1),0,IF(OFFSET(CRONOPLE!$F$14,$M39,BS$13)="",10^12,OFFSET(CRONOPLE!$F$14,$M39,BS$13))))</f>
        <v>1000000000000</v>
      </c>
      <c r="BT39" s="181">
        <f ca="1">IF($D39&lt;&gt;"Serviço",0,IF(AND(AUTOEVENTO="Manual",$M39=1),0,IF(OFFSET(CRONOPLE!$F$14,$M39,BT$13)="",10^12,OFFSET(CRONOPLE!$F$14,$M39,BT$13))))</f>
        <v>1000000000000</v>
      </c>
      <c r="BV39" s="182">
        <f ca="1">IF($D39&lt;&gt;"Serviço",0,IF(OR(AND(AUTOEVENTO="Manual",$M39=1),$M39&gt;(ROW(PLE.lastrow)-ROW(PLE.firstrow))),0,IF(OFFSET(PLE!$G$14,$M39,BV$13)="",10^12,OFFSET(PLE!$G$14,$M39,BV$13))))</f>
        <v>1000000000000</v>
      </c>
      <c r="BW39" s="182">
        <f ca="1">IF($D39&lt;&gt;"Serviço",0,IF(OR(AND(AUTOEVENTO="Manual",$M39=1),$M39&gt;(ROW(PLE.lastrow)-ROW(PLE.firstrow))),0,IF(OFFSET(PLE!$G$14,$M39,BW$13)="",10^12,OFFSET(PLE!$G$14,$M39,BW$13))))</f>
        <v>1000000000000</v>
      </c>
      <c r="BX39" s="182">
        <f ca="1">IF($D39&lt;&gt;"Serviço",0,IF(OR(AND(AUTOEVENTO="Manual",$M39=1),$M39&gt;(ROW(PLE.lastrow)-ROW(PLE.firstrow))),0,IF(OFFSET(PLE!$G$14,$M39,BX$13)="",10^12,OFFSET(PLE!$G$14,$M39,BX$13))))</f>
        <v>1000000000000</v>
      </c>
      <c r="BY39" s="182">
        <f ca="1">IF($D39&lt;&gt;"Serviço",0,IF(OR(AND(AUTOEVENTO="Manual",$M39=1),$M39&gt;(ROW(PLE.lastrow)-ROW(PLE.firstrow))),0,IF(OFFSET(PLE!$G$14,$M39,BY$13)="",10^12,OFFSET(PLE!$G$14,$M39,BY$13))))</f>
        <v>1000000000000</v>
      </c>
      <c r="BZ39" s="182">
        <f ca="1">IF($D39&lt;&gt;"Serviço",0,IF(OR(AND(AUTOEVENTO="Manual",$M39=1),$M39&gt;(ROW(PLE.lastrow)-ROW(PLE.firstrow))),0,IF(OFFSET(PLE!$G$14,$M39,BZ$13)="",10^12,OFFSET(PLE!$G$14,$M39,BZ$13))))</f>
        <v>1000000000000</v>
      </c>
      <c r="CA39" s="182">
        <f ca="1">IF($D39&lt;&gt;"Serviço",0,IF(OR(AND(AUTOEVENTO="Manual",$M39=1),$M39&gt;(ROW(PLE.lastrow)-ROW(PLE.firstrow))),0,IF(OFFSET(PLE!$G$14,$M39,CA$13)="",10^12,OFFSET(PLE!$G$14,$M39,CA$13))))</f>
        <v>1000000000000</v>
      </c>
      <c r="CB39" s="182">
        <f ca="1">IF($D39&lt;&gt;"Serviço",0,IF(OR(AND(AUTOEVENTO="Manual",$M39=1),$M39&gt;(ROW(PLE.lastrow)-ROW(PLE.firstrow))),0,IF(OFFSET(PLE!$G$14,$M39,CB$13)="",10^12,OFFSET(PLE!$G$14,$M39,CB$13))))</f>
        <v>1000000000000</v>
      </c>
      <c r="CC39" s="182">
        <f ca="1">IF($D39&lt;&gt;"Serviço",0,IF(OR(AND(AUTOEVENTO="Manual",$M39=1),$M39&gt;(ROW(PLE.lastrow)-ROW(PLE.firstrow))),0,IF(OFFSET(PLE!$G$14,$M39,CC$13)="",10^12,OFFSET(PLE!$G$14,$M39,CC$13))))</f>
        <v>1000000000000</v>
      </c>
      <c r="CD39" s="182">
        <f ca="1">IF($D39&lt;&gt;"Serviço",0,IF(OR(AND(AUTOEVENTO="Manual",$M39=1),$M39&gt;(ROW(PLE.lastrow)-ROW(PLE.firstrow))),0,IF(OFFSET(PLE!$G$14,$M39,CD$13)="",10^12,OFFSET(PLE!$G$14,$M39,CD$13))))</f>
        <v>1000000000000</v>
      </c>
      <c r="CE39" s="182">
        <f ca="1">IF($D39&lt;&gt;"Serviço",0,IF(OR(AND(AUTOEVENTO="Manual",$M39=1),$M39&gt;(ROW(PLE.lastrow)-ROW(PLE.firstrow))),0,IF(OFFSET(PLE!$G$14,$M39,CE$13)="",10^12,OFFSET(PLE!$G$14,$M39,CE$13))))</f>
        <v>1000000000000</v>
      </c>
      <c r="CF39" s="182">
        <f ca="1">IF($D39&lt;&gt;"Serviço",0,IF(OR(AND(AUTOEVENTO="Manual",$M39=1),$M39&gt;(ROW(PLE.lastrow)-ROW(PLE.firstrow))),0,IF(OFFSET(PLE!$G$14,$M39,CF$13)="",10^12,OFFSET(PLE!$G$14,$M39,CF$13))))</f>
        <v>1000000000000</v>
      </c>
      <c r="CG39" s="182">
        <f ca="1">IF($D39&lt;&gt;"Serviço",0,IF(OR(AND(AUTOEVENTO="Manual",$M39=1),$M39&gt;(ROW(PLE.lastrow)-ROW(PLE.firstrow))),0,IF(OFFSET(PLE!$G$14,$M39,CG$13)="",10^12,OFFSET(PLE!$G$14,$M39,CG$13))))</f>
        <v>1000000000000</v>
      </c>
      <c r="CH39" s="182">
        <f ca="1">IF($D39&lt;&gt;"Serviço",0,IF(OR(AND(AUTOEVENTO="Manual",$M39=1),$M39&gt;(ROW(PLE.lastrow)-ROW(PLE.firstrow))),0,IF(OFFSET(PLE!$G$14,$M39,CH$13)="",10^12,OFFSET(PLE!$G$14,$M39,CH$13))))</f>
        <v>1000000000000</v>
      </c>
      <c r="CI39" s="182">
        <f ca="1">IF($D39&lt;&gt;"Serviço",0,IF(OR(AND(AUTOEVENTO="Manual",$M39=1),$M39&gt;(ROW(PLE.lastrow)-ROW(PLE.firstrow))),0,IF(OFFSET(PLE!$G$14,$M39,CI$13)="",10^12,OFFSET(PLE!$G$14,$M39,CI$13))))</f>
        <v>1000000000000</v>
      </c>
      <c r="CJ39" s="182">
        <f ca="1">IF($D39&lt;&gt;"Serviço",0,IF(OR(AND(AUTOEVENTO="Manual",$M39=1),$M39&gt;(ROW(PLE.lastrow)-ROW(PLE.firstrow))),0,IF(OFFSET(PLE!$G$14,$M39,CJ$13)="",10^12,OFFSET(PLE!$G$14,$M39,CJ$13))))</f>
        <v>1000000000000</v>
      </c>
      <c r="CK39" s="182">
        <f ca="1">IF($D39&lt;&gt;"Serviço",0,IF(OR(AND(AUTOEVENTO="Manual",$M39=1),$M39&gt;(ROW(PLE.lastrow)-ROW(PLE.firstrow))),0,IF(OFFSET(PLE!$G$14,$M39,CK$13)="",10^12,OFFSET(PLE!$G$14,$M39,CK$13))))</f>
        <v>1000000000000</v>
      </c>
      <c r="CL39" s="182">
        <f ca="1">IF($D39&lt;&gt;"Serviço",0,IF(OR(AND(AUTOEVENTO="Manual",$M39=1),$M39&gt;(ROW(PLE.lastrow)-ROW(PLE.firstrow))),0,IF(OFFSET(PLE!$G$14,$M39,CL$13)="",10^12,OFFSET(PLE!$G$14,$M39,CL$13))))</f>
        <v>1000000000000</v>
      </c>
      <c r="CM39" s="182">
        <f ca="1">IF($D39&lt;&gt;"Serviço",0,IF(OR(AND(AUTOEVENTO="Manual",$M39=1),$M39&gt;(ROW(PLE.lastrow)-ROW(PLE.firstrow))),0,IF(OFFSET(PLE!$G$14,$M39,CM$13)="",10^12,OFFSET(PLE!$G$14,$M39,CM$13))))</f>
        <v>1000000000000</v>
      </c>
    </row>
    <row r="40" spans="1:91" ht="12.75" x14ac:dyDescent="0.2">
      <c r="A40" s="7" t="str">
        <f t="shared" ca="1" si="9"/>
        <v>25.</v>
      </c>
      <c r="B40" s="7">
        <f ca="1">OFFSET(ORÇAMENTO!C$15,ROW(B40)-ROW(B$15),0)</f>
        <v>2</v>
      </c>
      <c r="C40" s="7" t="str">
        <f ca="1">OFFSET(ORÇAMENTO!L$15,ROW(C40)-ROW(C$15),0)</f>
        <v>F</v>
      </c>
      <c r="D40" s="118" t="str">
        <f ca="1">OFFSET(ORÇAMENTO!N$15,ROW(D40)-ROW(D$15),0)</f>
        <v>Nível 2</v>
      </c>
      <c r="E40" s="119" t="str">
        <f ca="1">OFFSET(ORÇAMENTO!O$15,ROW(E40)-ROW(E$15),0)</f>
        <v>1.6.</v>
      </c>
      <c r="F40" s="172" t="str">
        <f ca="1">OFFSET(ORÇAMENTO!R$15,ROW(F40)-ROW(F$15),0)</f>
        <v>FUNDAÇÕES - CONCRETO ARMADO PARA SAPATAS</v>
      </c>
      <c r="G40" s="173" t="str">
        <f ca="1">IF($D40&lt;&gt;"Serviço","",OFFSET(ORÇAMENTO!S$15,ROW(G40)-ROW(G$15),0))</f>
        <v/>
      </c>
      <c r="H40" s="124">
        <f ca="1">IF($D40&lt;&gt;"Serviço",0,IF(ACOMPANHAMENTO="BM",ROUND(OFFSET(ORÇAMENTO!AJ$15,ROW(H40)-ROW(H$15),0),15-13*ORÇAMENTO!$AF$7),SUMPRODUCT(($Q$12:$AI$12&lt;&gt;"")*ROUND($Q40:$AI40,15-13*ORÇAMENTO!$AF$7))))</f>
        <v>0</v>
      </c>
      <c r="I40" s="561"/>
      <c r="K40" s="174" t="s">
        <v>1022</v>
      </c>
      <c r="L40" s="175" t="s">
        <v>255</v>
      </c>
      <c r="M40" s="176" t="str">
        <f ca="1">IF($D40&lt;&gt;"Serviço","",IF(AUTOEVENTO="manual",$A40,IF(ISERROR(MATCH($A40,$A$15:OFFSET($A40,-1,0),0)),MAX($M$15:OFFSET(M40,-1,0))+1,INDEX($M$15:OFFSET(M40,-1,0),MATCH($A40,$A$15:OFFSET($A40,-1,0),0)))))</f>
        <v/>
      </c>
      <c r="N40" s="177" t="str">
        <f ca="1">IF($D40&lt;&gt;"Serviço","",IF(AUTOEVENTO="Manual",IF($A40=0,"&lt;-- defina o número do agrupador",OFFSET(EVENTOS!$D$14,$A40,0)),OFFSET($F$15,$A40,0)))</f>
        <v/>
      </c>
      <c r="O40" s="178"/>
      <c r="Q40" s="178">
        <v>0</v>
      </c>
      <c r="R40" s="179"/>
      <c r="S40" s="179"/>
      <c r="T40" s="179"/>
      <c r="U40" s="179"/>
      <c r="V40" s="179"/>
      <c r="W40" s="179"/>
      <c r="X40" s="179"/>
      <c r="Y40" s="179"/>
      <c r="Z40" s="180"/>
      <c r="AA40" s="179"/>
      <c r="AB40" s="179"/>
      <c r="AC40" s="179"/>
      <c r="AD40" s="179"/>
      <c r="AE40" s="179"/>
      <c r="AF40" s="179"/>
      <c r="AG40" s="179"/>
      <c r="AH40" s="180"/>
      <c r="AJ40" s="544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545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L40" s="545">
        <f ca="1">IF(AND($D40="Serviço",AL$12&lt;&gt;0,$H40&gt;0,OR(AUTOEVENTO&lt;&gt;"manual",$M40&lt;&gt;1)),
IF(Import.TipoArredondamento&lt;&gt;"TransfereGOV",
ROUND(OFFSET($P40,0,AL$13),15-13*ORÇAMENTO!$AF$7)/$H40*OFFSET(ORÇAMENTO!$X$15,ROW(AL40)-ROW(AL$15),0),
ROUND(ROUND(OFFSET($P40,0,AL$13),15-13*ORÇAMENTO!$AF$7)*OFFSET(ORÇAMENTO!$W$15,ROW(AL40)-ROW(AL$15),0),15-13*ORÇAMENTO!$AF$11)),0)</f>
        <v>0</v>
      </c>
      <c r="AM40" s="545">
        <f ca="1">IF(AND($D40="Serviço",AM$12&lt;&gt;0,$H40&gt;0,OR(AUTOEVENTO&lt;&gt;"manual",$M40&lt;&gt;1)),
IF(Import.TipoArredondamento&lt;&gt;"TransfereGOV",
ROUND(OFFSET($P40,0,AM$13),15-13*ORÇAMENTO!$AF$7)/$H40*OFFSET(ORÇAMENTO!$X$15,ROW(AM40)-ROW(AM$15),0),
ROUND(ROUND(OFFSET($P40,0,AM$13),15-13*ORÇAMENTO!$AF$7)*OFFSET(ORÇAMENTO!$W$15,ROW(AM40)-ROW(AM$15),0),15-13*ORÇAMENTO!$AF$11)),0)</f>
        <v>0</v>
      </c>
      <c r="AN40" s="545">
        <f ca="1">IF(AND($D40="Serviço",AN$12&lt;&gt;0,$H40&gt;0,OR(AUTOEVENTO&lt;&gt;"manual",$M40&lt;&gt;1)),
IF(Import.TipoArredondamento&lt;&gt;"TransfereGOV",
ROUND(OFFSET($P40,0,AN$13),15-13*ORÇAMENTO!$AF$7)/$H40*OFFSET(ORÇAMENTO!$X$15,ROW(AN40)-ROW(AN$15),0),
ROUND(ROUND(OFFSET($P40,0,AN$13),15-13*ORÇAMENTO!$AF$7)*OFFSET(ORÇAMENTO!$W$15,ROW(AN40)-ROW(AN$15),0),15-13*ORÇAMENTO!$AF$11)),0)</f>
        <v>0</v>
      </c>
      <c r="AO40" s="545">
        <f ca="1">IF(AND($D40="Serviço",AO$12&lt;&gt;0,$H40&gt;0,OR(AUTOEVENTO&lt;&gt;"manual",$M40&lt;&gt;1)),
IF(Import.TipoArredondamento&lt;&gt;"TransfereGOV",
ROUND(OFFSET($P40,0,AO$13),15-13*ORÇAMENTO!$AF$7)/$H40*OFFSET(ORÇAMENTO!$X$15,ROW(AO40)-ROW(AO$15),0),
ROUND(ROUND(OFFSET($P40,0,AO$13),15-13*ORÇAMENTO!$AF$7)*OFFSET(ORÇAMENTO!$W$15,ROW(AO40)-ROW(AO$15),0),15-13*ORÇAMENTO!$AF$11)),0)</f>
        <v>0</v>
      </c>
      <c r="AP40" s="545">
        <f ca="1">IF(AND($D40="Serviço",AP$12&lt;&gt;0,$H40&gt;0,OR(AUTOEVENTO&lt;&gt;"manual",$M40&lt;&gt;1)),
IF(Import.TipoArredondamento&lt;&gt;"TransfereGOV",
ROUND(OFFSET($P40,0,AP$13),15-13*ORÇAMENTO!$AF$7)/$H40*OFFSET(ORÇAMENTO!$X$15,ROW(AP40)-ROW(AP$15),0),
ROUND(ROUND(OFFSET($P40,0,AP$13),15-13*ORÇAMENTO!$AF$7)*OFFSET(ORÇAMENTO!$W$15,ROW(AP40)-ROW(AP$15),0),15-13*ORÇAMENTO!$AF$11)),0)</f>
        <v>0</v>
      </c>
      <c r="AQ40" s="545">
        <f ca="1">IF(AND($D40="Serviço",AQ$12&lt;&gt;0,$H40&gt;0,OR(AUTOEVENTO&lt;&gt;"manual",$M40&lt;&gt;1)),
IF(Import.TipoArredondamento&lt;&gt;"TransfereGOV",
ROUND(OFFSET($P40,0,AQ$13),15-13*ORÇAMENTO!$AF$7)/$H40*OFFSET(ORÇAMENTO!$X$15,ROW(AQ40)-ROW(AQ$15),0),
ROUND(ROUND(OFFSET($P40,0,AQ$13),15-13*ORÇAMENTO!$AF$7)*OFFSET(ORÇAMENTO!$W$15,ROW(AQ40)-ROW(AQ$15),0),15-13*ORÇAMENTO!$AF$11)),0)</f>
        <v>0</v>
      </c>
      <c r="AR40" s="545">
        <f ca="1">IF(AND($D40="Serviço",AR$12&lt;&gt;0,$H40&gt;0,OR(AUTOEVENTO&lt;&gt;"manual",$M40&lt;&gt;1)),
IF(Import.TipoArredondamento&lt;&gt;"TransfereGOV",
ROUND(OFFSET($P40,0,AR$13),15-13*ORÇAMENTO!$AF$7)/$H40*OFFSET(ORÇAMENTO!$X$15,ROW(AR40)-ROW(AR$15),0),
ROUND(ROUND(OFFSET($P40,0,AR$13),15-13*ORÇAMENTO!$AF$7)*OFFSET(ORÇAMENTO!$W$15,ROW(AR40)-ROW(AR$15),0),15-13*ORÇAMENTO!$AF$11)),0)</f>
        <v>0</v>
      </c>
      <c r="AS40" s="546">
        <f ca="1">IF(AND($D40="Serviço",AS$12&lt;&gt;0,$H40&gt;0,OR(AUTOEVENTO&lt;&gt;"manual",$M40&lt;&gt;1)),
IF(Import.TipoArredondamento&lt;&gt;"TransfereGOV",
ROUND(OFFSET($P40,0,AS$13),15-13*ORÇAMENTO!$AF$7)/$H40*OFFSET(ORÇAMENTO!$X$15,ROW(AS40)-ROW(AS$15),0),
ROUND(ROUND(OFFSET($P40,0,AS$13),15-13*ORÇAMENTO!$AF$7)*OFFSET(ORÇAMENTO!$W$15,ROW(AS40)-ROW(AS$15),0),15-13*ORÇAMENTO!$AF$11)),0)</f>
        <v>0</v>
      </c>
      <c r="AT40" s="545">
        <f ca="1">IF(AND($D40="Serviço",AT$12&lt;&gt;0,$H40&gt;0,OR(AUTOEVENTO&lt;&gt;"manual",$M40&lt;&gt;1)),
IF(Import.TipoArredondamento&lt;&gt;"TransfereGOV",
ROUND(OFFSET($P40,0,AT$13),15-13*ORÇAMENTO!$AF$7)/$H40*OFFSET(ORÇAMENTO!$X$15,ROW(AT40)-ROW(AT$15),0),
ROUND(ROUND(OFFSET($P40,0,AT$13),15-13*ORÇAMENTO!$AF$7)*OFFSET(ORÇAMENTO!$W$15,ROW(AT40)-ROW(AT$15),0),15-13*ORÇAMENTO!$AF$11)),0)</f>
        <v>0</v>
      </c>
      <c r="AU40" s="545">
        <f ca="1">IF(AND($D40="Serviço",AU$12&lt;&gt;0,$H40&gt;0,OR(AUTOEVENTO&lt;&gt;"manual",$M40&lt;&gt;1)),
IF(Import.TipoArredondamento&lt;&gt;"TransfereGOV",
ROUND(OFFSET($P40,0,AU$13),15-13*ORÇAMENTO!$AF$7)/$H40*OFFSET(ORÇAMENTO!$X$15,ROW(AU40)-ROW(AU$15),0),
ROUND(ROUND(OFFSET($P40,0,AU$13),15-13*ORÇAMENTO!$AF$7)*OFFSET(ORÇAMENTO!$W$15,ROW(AU40)-ROW(AU$15),0),15-13*ORÇAMENTO!$AF$11)),0)</f>
        <v>0</v>
      </c>
      <c r="AV40" s="545">
        <f ca="1">IF(AND($D40="Serviço",AV$12&lt;&gt;0,$H40&gt;0,OR(AUTOEVENTO&lt;&gt;"manual",$M40&lt;&gt;1)),
IF(Import.TipoArredondamento&lt;&gt;"TransfereGOV",
ROUND(OFFSET($P40,0,AV$13),15-13*ORÇAMENTO!$AF$7)/$H40*OFFSET(ORÇAMENTO!$X$15,ROW(AV40)-ROW(AV$15),0),
ROUND(ROUND(OFFSET($P40,0,AV$13),15-13*ORÇAMENTO!$AF$7)*OFFSET(ORÇAMENTO!$W$15,ROW(AV40)-ROW(AV$15),0),15-13*ORÇAMENTO!$AF$11)),0)</f>
        <v>0</v>
      </c>
      <c r="AW40" s="545">
        <f ca="1">IF(AND($D40="Serviço",AW$12&lt;&gt;0,$H40&gt;0,OR(AUTOEVENTO&lt;&gt;"manual",$M40&lt;&gt;1)),
IF(Import.TipoArredondamento&lt;&gt;"TransfereGOV",
ROUND(OFFSET($P40,0,AW$13),15-13*ORÇAMENTO!$AF$7)/$H40*OFFSET(ORÇAMENTO!$X$15,ROW(AW40)-ROW(AW$15),0),
ROUND(ROUND(OFFSET($P40,0,AW$13),15-13*ORÇAMENTO!$AF$7)*OFFSET(ORÇAMENTO!$W$15,ROW(AW40)-ROW(AW$15),0),15-13*ORÇAMENTO!$AF$11)),0)</f>
        <v>0</v>
      </c>
      <c r="AX40" s="545">
        <f ca="1">IF(AND($D40="Serviço",AX$12&lt;&gt;0,$H40&gt;0,OR(AUTOEVENTO&lt;&gt;"manual",$M40&lt;&gt;1)),
IF(Import.TipoArredondamento&lt;&gt;"TransfereGOV",
ROUND(OFFSET($P40,0,AX$13),15-13*ORÇAMENTO!$AF$7)/$H40*OFFSET(ORÇAMENTO!$X$15,ROW(AX40)-ROW(AX$15),0),
ROUND(ROUND(OFFSET($P40,0,AX$13),15-13*ORÇAMENTO!$AF$7)*OFFSET(ORÇAMENTO!$W$15,ROW(AX40)-ROW(AX$15),0),15-13*ORÇAMENTO!$AF$11)),0)</f>
        <v>0</v>
      </c>
      <c r="AY40" s="545">
        <f ca="1">IF(AND($D40="Serviço",AY$12&lt;&gt;0,$H40&gt;0,OR(AUTOEVENTO&lt;&gt;"manual",$M40&lt;&gt;1)),
IF(Import.TipoArredondamento&lt;&gt;"TransfereGOV",
ROUND(OFFSET($P40,0,AY$13),15-13*ORÇAMENTO!$AF$7)/$H40*OFFSET(ORÇAMENTO!$X$15,ROW(AY40)-ROW(AY$15),0),
ROUND(ROUND(OFFSET($P40,0,AY$13),15-13*ORÇAMENTO!$AF$7)*OFFSET(ORÇAMENTO!$W$15,ROW(AY40)-ROW(AY$15),0),15-13*ORÇAMENTO!$AF$11)),0)</f>
        <v>0</v>
      </c>
      <c r="AZ40" s="545">
        <f ca="1">IF(AND($D40="Serviço",AZ$12&lt;&gt;0,$H40&gt;0,OR(AUTOEVENTO&lt;&gt;"manual",$M40&lt;&gt;1)),
IF(Import.TipoArredondamento&lt;&gt;"TransfereGOV",
ROUND(OFFSET($P40,0,AZ$13),15-13*ORÇAMENTO!$AF$7)/$H40*OFFSET(ORÇAMENTO!$X$15,ROW(AZ40)-ROW(AZ$15),0),
ROUND(ROUND(OFFSET($P40,0,AZ$13),15-13*ORÇAMENTO!$AF$7)*OFFSET(ORÇAMENTO!$W$15,ROW(AZ40)-ROW(AZ$15),0),15-13*ORÇAMENTO!$AF$11)),0)</f>
        <v>0</v>
      </c>
      <c r="BA40" s="546">
        <f ca="1">IF(AND($D40="Serviço",BA$12&lt;&gt;0,$H40&gt;0,OR(AUTOEVENTO&lt;&gt;"manual",$M40&lt;&gt;1)),
IF(Import.TipoArredondamento&lt;&gt;"TransfereGOV",
ROUND(OFFSET($P40,0,BA$13),15-13*ORÇAMENTO!$AF$7)/$H40*OFFSET(ORÇAMENTO!$X$15,ROW(BA40)-ROW(BA$15),0),
ROUND(ROUND(OFFSET($P40,0,BA$13),15-13*ORÇAMENTO!$AF$7)*OFFSET(ORÇAMENTO!$W$15,ROW(BA40)-ROW(BA$15),0),15-13*ORÇAMENTO!$AF$11)),0)</f>
        <v>0</v>
      </c>
      <c r="BC40" s="181">
        <f ca="1">IF($D40&lt;&gt;"Serviço",0,IF(AND(AUTOEVENTO="Manual",$M40=1),0,IF(OFFSET(CRONOPLE!$F$14,$M40,BC$13)="",10^12,OFFSET(CRONOPLE!$F$14,$M40,BC$13))))</f>
        <v>0</v>
      </c>
      <c r="BD40" s="181">
        <f ca="1">IF($D40&lt;&gt;"Serviço",0,IF(AND(AUTOEVENTO="Manual",$M40=1),0,IF(OFFSET(CRONOPLE!$F$14,$M40,BD$13)="",10^12,OFFSET(CRONOPLE!$F$14,$M40,BD$13))))</f>
        <v>0</v>
      </c>
      <c r="BE40" s="181">
        <f ca="1">IF($D40&lt;&gt;"Serviço",0,IF(AND(AUTOEVENTO="Manual",$M40=1),0,IF(OFFSET(CRONOPLE!$F$14,$M40,BE$13)="",10^12,OFFSET(CRONOPLE!$F$14,$M40,BE$13))))</f>
        <v>0</v>
      </c>
      <c r="BF40" s="181">
        <f ca="1">IF($D40&lt;&gt;"Serviço",0,IF(AND(AUTOEVENTO="Manual",$M40=1),0,IF(OFFSET(CRONOPLE!$F$14,$M40,BF$13)="",10^12,OFFSET(CRONOPLE!$F$14,$M40,BF$13))))</f>
        <v>0</v>
      </c>
      <c r="BG40" s="181">
        <f ca="1">IF($D40&lt;&gt;"Serviço",0,IF(AND(AUTOEVENTO="Manual",$M40=1),0,IF(OFFSET(CRONOPLE!$F$14,$M40,BG$13)="",10^12,OFFSET(CRONOPLE!$F$14,$M40,BG$13))))</f>
        <v>0</v>
      </c>
      <c r="BH40" s="181">
        <f ca="1">IF($D40&lt;&gt;"Serviço",0,IF(AND(AUTOEVENTO="Manual",$M40=1),0,IF(OFFSET(CRONOPLE!$F$14,$M40,BH$13)="",10^12,OFFSET(CRONOPLE!$F$14,$M40,BH$13))))</f>
        <v>0</v>
      </c>
      <c r="BI40" s="181">
        <f ca="1">IF($D40&lt;&gt;"Serviço",0,IF(AND(AUTOEVENTO="Manual",$M40=1),0,IF(OFFSET(CRONOPLE!$F$14,$M40,BI$13)="",10^12,OFFSET(CRONOPLE!$F$14,$M40,BI$13))))</f>
        <v>0</v>
      </c>
      <c r="BJ40" s="181">
        <f ca="1">IF($D40&lt;&gt;"Serviço",0,IF(AND(AUTOEVENTO="Manual",$M40=1),0,IF(OFFSET(CRONOPLE!$F$14,$M40,BJ$13)="",10^12,OFFSET(CRONOPLE!$F$14,$M40,BJ$13))))</f>
        <v>0</v>
      </c>
      <c r="BK40" s="181">
        <f ca="1">IF($D40&lt;&gt;"Serviço",0,IF(AND(AUTOEVENTO="Manual",$M40=1),0,IF(OFFSET(CRONOPLE!$F$14,$M40,BK$13)="",10^12,OFFSET(CRONOPLE!$F$14,$M40,BK$13))))</f>
        <v>0</v>
      </c>
      <c r="BL40" s="181">
        <f ca="1">IF($D40&lt;&gt;"Serviço",0,IF(AND(AUTOEVENTO="Manual",$M40=1),0,IF(OFFSET(CRONOPLE!$F$14,$M40,BL$13)="",10^12,OFFSET(CRONOPLE!$F$14,$M40,BL$13))))</f>
        <v>0</v>
      </c>
      <c r="BM40" s="181">
        <f ca="1">IF($D40&lt;&gt;"Serviço",0,IF(AND(AUTOEVENTO="Manual",$M40=1),0,IF(OFFSET(CRONOPLE!$F$14,$M40,BM$13)="",10^12,OFFSET(CRONOPLE!$F$14,$M40,BM$13))))</f>
        <v>0</v>
      </c>
      <c r="BN40" s="181">
        <f ca="1">IF($D40&lt;&gt;"Serviço",0,IF(AND(AUTOEVENTO="Manual",$M40=1),0,IF(OFFSET(CRONOPLE!$F$14,$M40,BN$13)="",10^12,OFFSET(CRONOPLE!$F$14,$M40,BN$13))))</f>
        <v>0</v>
      </c>
      <c r="BO40" s="181">
        <f ca="1">IF($D40&lt;&gt;"Serviço",0,IF(AND(AUTOEVENTO="Manual",$M40=1),0,IF(OFFSET(CRONOPLE!$F$14,$M40,BO$13)="",10^12,OFFSET(CRONOPLE!$F$14,$M40,BO$13))))</f>
        <v>0</v>
      </c>
      <c r="BP40" s="181">
        <f ca="1">IF($D40&lt;&gt;"Serviço",0,IF(AND(AUTOEVENTO="Manual",$M40=1),0,IF(OFFSET(CRONOPLE!$F$14,$M40,BP$13)="",10^12,OFFSET(CRONOPLE!$F$14,$M40,BP$13))))</f>
        <v>0</v>
      </c>
      <c r="BQ40" s="181">
        <f ca="1">IF($D40&lt;&gt;"Serviço",0,IF(AND(AUTOEVENTO="Manual",$M40=1),0,IF(OFFSET(CRONOPLE!$F$14,$M40,BQ$13)="",10^12,OFFSET(CRONOPLE!$F$14,$M40,BQ$13))))</f>
        <v>0</v>
      </c>
      <c r="BR40" s="181">
        <f ca="1">IF($D40&lt;&gt;"Serviço",0,IF(AND(AUTOEVENTO="Manual",$M40=1),0,IF(OFFSET(CRONOPLE!$F$14,$M40,BR$13)="",10^12,OFFSET(CRONOPLE!$F$14,$M40,BR$13))))</f>
        <v>0</v>
      </c>
      <c r="BS40" s="181">
        <f ca="1">IF($D40&lt;&gt;"Serviço",0,IF(AND(AUTOEVENTO="Manual",$M40=1),0,IF(OFFSET(CRONOPLE!$F$14,$M40,BS$13)="",10^12,OFFSET(CRONOPLE!$F$14,$M40,BS$13))))</f>
        <v>0</v>
      </c>
      <c r="BT40" s="181">
        <f ca="1">IF($D40&lt;&gt;"Serviço",0,IF(AND(AUTOEVENTO="Manual",$M40=1),0,IF(OFFSET(CRONOPLE!$F$14,$M40,BT$13)="",10^12,OFFSET(CRONOPLE!$F$14,$M40,BT$13))))</f>
        <v>0</v>
      </c>
      <c r="BV40" s="182">
        <f ca="1">IF($D40&lt;&gt;"Serviço",0,IF(OR(AND(AUTOEVENTO="Manual",$M40=1),$M40&gt;(ROW(PLE.lastrow)-ROW(PLE.firstrow))),0,IF(OFFSET(PLE!$G$14,$M40,BV$13)="",10^12,OFFSET(PLE!$G$14,$M40,BV$13))))</f>
        <v>0</v>
      </c>
      <c r="BW40" s="182">
        <f ca="1">IF($D40&lt;&gt;"Serviço",0,IF(OR(AND(AUTOEVENTO="Manual",$M40=1),$M40&gt;(ROW(PLE.lastrow)-ROW(PLE.firstrow))),0,IF(OFFSET(PLE!$G$14,$M40,BW$13)="",10^12,OFFSET(PLE!$G$14,$M40,BW$13))))</f>
        <v>0</v>
      </c>
      <c r="BX40" s="182">
        <f ca="1">IF($D40&lt;&gt;"Serviço",0,IF(OR(AND(AUTOEVENTO="Manual",$M40=1),$M40&gt;(ROW(PLE.lastrow)-ROW(PLE.firstrow))),0,IF(OFFSET(PLE!$G$14,$M40,BX$13)="",10^12,OFFSET(PLE!$G$14,$M40,BX$13))))</f>
        <v>0</v>
      </c>
      <c r="BY40" s="182">
        <f ca="1">IF($D40&lt;&gt;"Serviço",0,IF(OR(AND(AUTOEVENTO="Manual",$M40=1),$M40&gt;(ROW(PLE.lastrow)-ROW(PLE.firstrow))),0,IF(OFFSET(PLE!$G$14,$M40,BY$13)="",10^12,OFFSET(PLE!$G$14,$M40,BY$13))))</f>
        <v>0</v>
      </c>
      <c r="BZ40" s="182">
        <f ca="1">IF($D40&lt;&gt;"Serviço",0,IF(OR(AND(AUTOEVENTO="Manual",$M40=1),$M40&gt;(ROW(PLE.lastrow)-ROW(PLE.firstrow))),0,IF(OFFSET(PLE!$G$14,$M40,BZ$13)="",10^12,OFFSET(PLE!$G$14,$M40,BZ$13))))</f>
        <v>0</v>
      </c>
      <c r="CA40" s="182">
        <f ca="1">IF($D40&lt;&gt;"Serviço",0,IF(OR(AND(AUTOEVENTO="Manual",$M40=1),$M40&gt;(ROW(PLE.lastrow)-ROW(PLE.firstrow))),0,IF(OFFSET(PLE!$G$14,$M40,CA$13)="",10^12,OFFSET(PLE!$G$14,$M40,CA$13))))</f>
        <v>0</v>
      </c>
      <c r="CB40" s="182">
        <f ca="1">IF($D40&lt;&gt;"Serviço",0,IF(OR(AND(AUTOEVENTO="Manual",$M40=1),$M40&gt;(ROW(PLE.lastrow)-ROW(PLE.firstrow))),0,IF(OFFSET(PLE!$G$14,$M40,CB$13)="",10^12,OFFSET(PLE!$G$14,$M40,CB$13))))</f>
        <v>0</v>
      </c>
      <c r="CC40" s="182">
        <f ca="1">IF($D40&lt;&gt;"Serviço",0,IF(OR(AND(AUTOEVENTO="Manual",$M40=1),$M40&gt;(ROW(PLE.lastrow)-ROW(PLE.firstrow))),0,IF(OFFSET(PLE!$G$14,$M40,CC$13)="",10^12,OFFSET(PLE!$G$14,$M40,CC$13))))</f>
        <v>0</v>
      </c>
      <c r="CD40" s="182">
        <f ca="1">IF($D40&lt;&gt;"Serviço",0,IF(OR(AND(AUTOEVENTO="Manual",$M40=1),$M40&gt;(ROW(PLE.lastrow)-ROW(PLE.firstrow))),0,IF(OFFSET(PLE!$G$14,$M40,CD$13)="",10^12,OFFSET(PLE!$G$14,$M40,CD$13))))</f>
        <v>0</v>
      </c>
      <c r="CE40" s="182">
        <f ca="1">IF($D40&lt;&gt;"Serviço",0,IF(OR(AND(AUTOEVENTO="Manual",$M40=1),$M40&gt;(ROW(PLE.lastrow)-ROW(PLE.firstrow))),0,IF(OFFSET(PLE!$G$14,$M40,CE$13)="",10^12,OFFSET(PLE!$G$14,$M40,CE$13))))</f>
        <v>0</v>
      </c>
      <c r="CF40" s="182">
        <f ca="1">IF($D40&lt;&gt;"Serviço",0,IF(OR(AND(AUTOEVENTO="Manual",$M40=1),$M40&gt;(ROW(PLE.lastrow)-ROW(PLE.firstrow))),0,IF(OFFSET(PLE!$G$14,$M40,CF$13)="",10^12,OFFSET(PLE!$G$14,$M40,CF$13))))</f>
        <v>0</v>
      </c>
      <c r="CG40" s="182">
        <f ca="1">IF($D40&lt;&gt;"Serviço",0,IF(OR(AND(AUTOEVENTO="Manual",$M40=1),$M40&gt;(ROW(PLE.lastrow)-ROW(PLE.firstrow))),0,IF(OFFSET(PLE!$G$14,$M40,CG$13)="",10^12,OFFSET(PLE!$G$14,$M40,CG$13))))</f>
        <v>0</v>
      </c>
      <c r="CH40" s="182">
        <f ca="1">IF($D40&lt;&gt;"Serviço",0,IF(OR(AND(AUTOEVENTO="Manual",$M40=1),$M40&gt;(ROW(PLE.lastrow)-ROW(PLE.firstrow))),0,IF(OFFSET(PLE!$G$14,$M40,CH$13)="",10^12,OFFSET(PLE!$G$14,$M40,CH$13))))</f>
        <v>0</v>
      </c>
      <c r="CI40" s="182">
        <f ca="1">IF($D40&lt;&gt;"Serviço",0,IF(OR(AND(AUTOEVENTO="Manual",$M40=1),$M40&gt;(ROW(PLE.lastrow)-ROW(PLE.firstrow))),0,IF(OFFSET(PLE!$G$14,$M40,CI$13)="",10^12,OFFSET(PLE!$G$14,$M40,CI$13))))</f>
        <v>0</v>
      </c>
      <c r="CJ40" s="182">
        <f ca="1">IF($D40&lt;&gt;"Serviço",0,IF(OR(AND(AUTOEVENTO="Manual",$M40=1),$M40&gt;(ROW(PLE.lastrow)-ROW(PLE.firstrow))),0,IF(OFFSET(PLE!$G$14,$M40,CJ$13)="",10^12,OFFSET(PLE!$G$14,$M40,CJ$13))))</f>
        <v>0</v>
      </c>
      <c r="CK40" s="182">
        <f ca="1">IF($D40&lt;&gt;"Serviço",0,IF(OR(AND(AUTOEVENTO="Manual",$M40=1),$M40&gt;(ROW(PLE.lastrow)-ROW(PLE.firstrow))),0,IF(OFFSET(PLE!$G$14,$M40,CK$13)="",10^12,OFFSET(PLE!$G$14,$M40,CK$13))))</f>
        <v>0</v>
      </c>
      <c r="CL40" s="182">
        <f ca="1">IF($D40&lt;&gt;"Serviço",0,IF(OR(AND(AUTOEVENTO="Manual",$M40=1),$M40&gt;(ROW(PLE.lastrow)-ROW(PLE.firstrow))),0,IF(OFFSET(PLE!$G$14,$M40,CL$13)="",10^12,OFFSET(PLE!$G$14,$M40,CL$13))))</f>
        <v>0</v>
      </c>
      <c r="CM40" s="182">
        <f ca="1">IF($D40&lt;&gt;"Serviço",0,IF(OR(AND(AUTOEVENTO="Manual",$M40=1),$M40&gt;(ROW(PLE.lastrow)-ROW(PLE.firstrow))),0,IF(OFFSET(PLE!$G$14,$M40,CM$13)="",10^12,OFFSET(PLE!$G$14,$M40,CM$13))))</f>
        <v>0</v>
      </c>
    </row>
    <row r="41" spans="1:91" ht="25.5" x14ac:dyDescent="0.2">
      <c r="A41" s="7" t="str">
        <f t="shared" ca="1" si="9"/>
        <v>25</v>
      </c>
      <c r="B41" s="7" t="str">
        <f ca="1">OFFSET(ORÇAMENTO!C$15,ROW(B41)-ROW(B$15),0)</f>
        <v>S</v>
      </c>
      <c r="C41" s="7" t="str">
        <f ca="1">OFFSET(ORÇAMENTO!L$15,ROW(C41)-ROW(C$15),0)</f>
        <v/>
      </c>
      <c r="D41" s="118" t="str">
        <f ca="1">OFFSET(ORÇAMENTO!N$15,ROW(D41)-ROW(D$15),0)</f>
        <v>Serviço</v>
      </c>
      <c r="E41" s="119" t="str">
        <f ca="1">OFFSET(ORÇAMENTO!O$15,ROW(E41)-ROW(E$15),0)</f>
        <v>-</v>
      </c>
      <c r="F41" s="172" t="str">
        <f ca="1">OFFSET(ORÇAMENTO!R$15,ROW(F41)-ROW(F$15),0)</f>
        <v>(abra o arquivo 'Referência 06-2024.xlsm)</v>
      </c>
      <c r="G41" s="173" t="str">
        <f ca="1">IF($D41&lt;&gt;"Serviço","",OFFSET(ORÇAMENTO!S$15,ROW(G41)-ROW(G$15),0))</f>
        <v>-</v>
      </c>
      <c r="H41" s="124">
        <f ca="1">IF($D41&lt;&gt;"Serviço",0,IF(ACOMPANHAMENTO="BM",ROUND(OFFSET(ORÇAMENTO!AJ$15,ROW(H41)-ROW(H$15),0),15-13*ORÇAMENTO!$AF$7),SUMPRODUCT(($Q$12:$AI$12&lt;&gt;"")*ROUND($Q41:$AI41,15-13*ORÇAMENTO!$AF$7))))</f>
        <v>7.56</v>
      </c>
      <c r="I41" s="561" t="s">
        <v>1107</v>
      </c>
      <c r="K41" s="174" t="s">
        <v>1027</v>
      </c>
      <c r="L41" s="175" t="s">
        <v>255</v>
      </c>
      <c r="M41" s="176">
        <f ca="1">IF($D41&lt;&gt;"Serviço","",IF(AUTOEVENTO="manual",$A41,IF(ISERROR(MATCH($A41,$A$15:OFFSET($A41,-1,0),0)),MAX($M$15:OFFSET(M41,-1,0))+1,INDEX($M$15:OFFSET(M41,-1,0),MATCH($A41,$A$15:OFFSET($A41,-1,0),0)))))</f>
        <v>7</v>
      </c>
      <c r="N41" s="177" t="str">
        <f ca="1">IF($D41&lt;&gt;"Serviço","",IF(AUTOEVENTO="Manual",IF($A41=0,"&lt;-- defina o número do agrupador",OFFSET(EVENTOS!$D$14,$A41,0)),OFFSET($F$15,$A41,0)))</f>
        <v>FUNDAÇÕES - CONCRETO ARMADO PARA SAPATAS</v>
      </c>
      <c r="O41" s="178"/>
      <c r="Q41" s="178">
        <v>7.56</v>
      </c>
      <c r="R41" s="179"/>
      <c r="S41" s="179"/>
      <c r="T41" s="179"/>
      <c r="U41" s="179"/>
      <c r="V41" s="179"/>
      <c r="W41" s="179"/>
      <c r="X41" s="179"/>
      <c r="Y41" s="179"/>
      <c r="Z41" s="180"/>
      <c r="AA41" s="179"/>
      <c r="AB41" s="179"/>
      <c r="AC41" s="179"/>
      <c r="AD41" s="179"/>
      <c r="AE41" s="179"/>
      <c r="AF41" s="179"/>
      <c r="AG41" s="179"/>
      <c r="AH41" s="180"/>
      <c r="AJ41" s="544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545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L41" s="545">
        <f ca="1">IF(AND($D41="Serviço",AL$12&lt;&gt;0,$H41&gt;0,OR(AUTOEVENTO&lt;&gt;"manual",$M41&lt;&gt;1)),
IF(Import.TipoArredondamento&lt;&gt;"TransfereGOV",
ROUND(OFFSET($P41,0,AL$13),15-13*ORÇAMENTO!$AF$7)/$H41*OFFSET(ORÇAMENTO!$X$15,ROW(AL41)-ROW(AL$15),0),
ROUND(ROUND(OFFSET($P41,0,AL$13),15-13*ORÇAMENTO!$AF$7)*OFFSET(ORÇAMENTO!$W$15,ROW(AL41)-ROW(AL$15),0),15-13*ORÇAMENTO!$AF$11)),0)</f>
        <v>0</v>
      </c>
      <c r="AM41" s="545">
        <f ca="1">IF(AND($D41="Serviço",AM$12&lt;&gt;0,$H41&gt;0,OR(AUTOEVENTO&lt;&gt;"manual",$M41&lt;&gt;1)),
IF(Import.TipoArredondamento&lt;&gt;"TransfereGOV",
ROUND(OFFSET($P41,0,AM$13),15-13*ORÇAMENTO!$AF$7)/$H41*OFFSET(ORÇAMENTO!$X$15,ROW(AM41)-ROW(AM$15),0),
ROUND(ROUND(OFFSET($P41,0,AM$13),15-13*ORÇAMENTO!$AF$7)*OFFSET(ORÇAMENTO!$W$15,ROW(AM41)-ROW(AM$15),0),15-13*ORÇAMENTO!$AF$11)),0)</f>
        <v>0</v>
      </c>
      <c r="AN41" s="545">
        <f ca="1">IF(AND($D41="Serviço",AN$12&lt;&gt;0,$H41&gt;0,OR(AUTOEVENTO&lt;&gt;"manual",$M41&lt;&gt;1)),
IF(Import.TipoArredondamento&lt;&gt;"TransfereGOV",
ROUND(OFFSET($P41,0,AN$13),15-13*ORÇAMENTO!$AF$7)/$H41*OFFSET(ORÇAMENTO!$X$15,ROW(AN41)-ROW(AN$15),0),
ROUND(ROUND(OFFSET($P41,0,AN$13),15-13*ORÇAMENTO!$AF$7)*OFFSET(ORÇAMENTO!$W$15,ROW(AN41)-ROW(AN$15),0),15-13*ORÇAMENTO!$AF$11)),0)</f>
        <v>0</v>
      </c>
      <c r="AO41" s="545">
        <f ca="1">IF(AND($D41="Serviço",AO$12&lt;&gt;0,$H41&gt;0,OR(AUTOEVENTO&lt;&gt;"manual",$M41&lt;&gt;1)),
IF(Import.TipoArredondamento&lt;&gt;"TransfereGOV",
ROUND(OFFSET($P41,0,AO$13),15-13*ORÇAMENTO!$AF$7)/$H41*OFFSET(ORÇAMENTO!$X$15,ROW(AO41)-ROW(AO$15),0),
ROUND(ROUND(OFFSET($P41,0,AO$13),15-13*ORÇAMENTO!$AF$7)*OFFSET(ORÇAMENTO!$W$15,ROW(AO41)-ROW(AO$15),0),15-13*ORÇAMENTO!$AF$11)),0)</f>
        <v>0</v>
      </c>
      <c r="AP41" s="545">
        <f ca="1">IF(AND($D41="Serviço",AP$12&lt;&gt;0,$H41&gt;0,OR(AUTOEVENTO&lt;&gt;"manual",$M41&lt;&gt;1)),
IF(Import.TipoArredondamento&lt;&gt;"TransfereGOV",
ROUND(OFFSET($P41,0,AP$13),15-13*ORÇAMENTO!$AF$7)/$H41*OFFSET(ORÇAMENTO!$X$15,ROW(AP41)-ROW(AP$15),0),
ROUND(ROUND(OFFSET($P41,0,AP$13),15-13*ORÇAMENTO!$AF$7)*OFFSET(ORÇAMENTO!$W$15,ROW(AP41)-ROW(AP$15),0),15-13*ORÇAMENTO!$AF$11)),0)</f>
        <v>0</v>
      </c>
      <c r="AQ41" s="545">
        <f ca="1">IF(AND($D41="Serviço",AQ$12&lt;&gt;0,$H41&gt;0,OR(AUTOEVENTO&lt;&gt;"manual",$M41&lt;&gt;1)),
IF(Import.TipoArredondamento&lt;&gt;"TransfereGOV",
ROUND(OFFSET($P41,0,AQ$13),15-13*ORÇAMENTO!$AF$7)/$H41*OFFSET(ORÇAMENTO!$X$15,ROW(AQ41)-ROW(AQ$15),0),
ROUND(ROUND(OFFSET($P41,0,AQ$13),15-13*ORÇAMENTO!$AF$7)*OFFSET(ORÇAMENTO!$W$15,ROW(AQ41)-ROW(AQ$15),0),15-13*ORÇAMENTO!$AF$11)),0)</f>
        <v>0</v>
      </c>
      <c r="AR41" s="545">
        <f ca="1">IF(AND($D41="Serviço",AR$12&lt;&gt;0,$H41&gt;0,OR(AUTOEVENTO&lt;&gt;"manual",$M41&lt;&gt;1)),
IF(Import.TipoArredondamento&lt;&gt;"TransfereGOV",
ROUND(OFFSET($P41,0,AR$13),15-13*ORÇAMENTO!$AF$7)/$H41*OFFSET(ORÇAMENTO!$X$15,ROW(AR41)-ROW(AR$15),0),
ROUND(ROUND(OFFSET($P41,0,AR$13),15-13*ORÇAMENTO!$AF$7)*OFFSET(ORÇAMENTO!$W$15,ROW(AR41)-ROW(AR$15),0),15-13*ORÇAMENTO!$AF$11)),0)</f>
        <v>0</v>
      </c>
      <c r="AS41" s="546">
        <f ca="1">IF(AND($D41="Serviço",AS$12&lt;&gt;0,$H41&gt;0,OR(AUTOEVENTO&lt;&gt;"manual",$M41&lt;&gt;1)),
IF(Import.TipoArredondamento&lt;&gt;"TransfereGOV",
ROUND(OFFSET($P41,0,AS$13),15-13*ORÇAMENTO!$AF$7)/$H41*OFFSET(ORÇAMENTO!$X$15,ROW(AS41)-ROW(AS$15),0),
ROUND(ROUND(OFFSET($P41,0,AS$13),15-13*ORÇAMENTO!$AF$7)*OFFSET(ORÇAMENTO!$W$15,ROW(AS41)-ROW(AS$15),0),15-13*ORÇAMENTO!$AF$11)),0)</f>
        <v>0</v>
      </c>
      <c r="AT41" s="545">
        <f ca="1">IF(AND($D41="Serviço",AT$12&lt;&gt;0,$H41&gt;0,OR(AUTOEVENTO&lt;&gt;"manual",$M41&lt;&gt;1)),
IF(Import.TipoArredondamento&lt;&gt;"TransfereGOV",
ROUND(OFFSET($P41,0,AT$13),15-13*ORÇAMENTO!$AF$7)/$H41*OFFSET(ORÇAMENTO!$X$15,ROW(AT41)-ROW(AT$15),0),
ROUND(ROUND(OFFSET($P41,0,AT$13),15-13*ORÇAMENTO!$AF$7)*OFFSET(ORÇAMENTO!$W$15,ROW(AT41)-ROW(AT$15),0),15-13*ORÇAMENTO!$AF$11)),0)</f>
        <v>0</v>
      </c>
      <c r="AU41" s="545">
        <f ca="1">IF(AND($D41="Serviço",AU$12&lt;&gt;0,$H41&gt;0,OR(AUTOEVENTO&lt;&gt;"manual",$M41&lt;&gt;1)),
IF(Import.TipoArredondamento&lt;&gt;"TransfereGOV",
ROUND(OFFSET($P41,0,AU$13),15-13*ORÇAMENTO!$AF$7)/$H41*OFFSET(ORÇAMENTO!$X$15,ROW(AU41)-ROW(AU$15),0),
ROUND(ROUND(OFFSET($P41,0,AU$13),15-13*ORÇAMENTO!$AF$7)*OFFSET(ORÇAMENTO!$W$15,ROW(AU41)-ROW(AU$15),0),15-13*ORÇAMENTO!$AF$11)),0)</f>
        <v>0</v>
      </c>
      <c r="AV41" s="545">
        <f ca="1">IF(AND($D41="Serviço",AV$12&lt;&gt;0,$H41&gt;0,OR(AUTOEVENTO&lt;&gt;"manual",$M41&lt;&gt;1)),
IF(Import.TipoArredondamento&lt;&gt;"TransfereGOV",
ROUND(OFFSET($P41,0,AV$13),15-13*ORÇAMENTO!$AF$7)/$H41*OFFSET(ORÇAMENTO!$X$15,ROW(AV41)-ROW(AV$15),0),
ROUND(ROUND(OFFSET($P41,0,AV$13),15-13*ORÇAMENTO!$AF$7)*OFFSET(ORÇAMENTO!$W$15,ROW(AV41)-ROW(AV$15),0),15-13*ORÇAMENTO!$AF$11)),0)</f>
        <v>0</v>
      </c>
      <c r="AW41" s="545">
        <f ca="1">IF(AND($D41="Serviço",AW$12&lt;&gt;0,$H41&gt;0,OR(AUTOEVENTO&lt;&gt;"manual",$M41&lt;&gt;1)),
IF(Import.TipoArredondamento&lt;&gt;"TransfereGOV",
ROUND(OFFSET($P41,0,AW$13),15-13*ORÇAMENTO!$AF$7)/$H41*OFFSET(ORÇAMENTO!$X$15,ROW(AW41)-ROW(AW$15),0),
ROUND(ROUND(OFFSET($P41,0,AW$13),15-13*ORÇAMENTO!$AF$7)*OFFSET(ORÇAMENTO!$W$15,ROW(AW41)-ROW(AW$15),0),15-13*ORÇAMENTO!$AF$11)),0)</f>
        <v>0</v>
      </c>
      <c r="AX41" s="545">
        <f ca="1">IF(AND($D41="Serviço",AX$12&lt;&gt;0,$H41&gt;0,OR(AUTOEVENTO&lt;&gt;"manual",$M41&lt;&gt;1)),
IF(Import.TipoArredondamento&lt;&gt;"TransfereGOV",
ROUND(OFFSET($P41,0,AX$13),15-13*ORÇAMENTO!$AF$7)/$H41*OFFSET(ORÇAMENTO!$X$15,ROW(AX41)-ROW(AX$15),0),
ROUND(ROUND(OFFSET($P41,0,AX$13),15-13*ORÇAMENTO!$AF$7)*OFFSET(ORÇAMENTO!$W$15,ROW(AX41)-ROW(AX$15),0),15-13*ORÇAMENTO!$AF$11)),0)</f>
        <v>0</v>
      </c>
      <c r="AY41" s="545">
        <f ca="1">IF(AND($D41="Serviço",AY$12&lt;&gt;0,$H41&gt;0,OR(AUTOEVENTO&lt;&gt;"manual",$M41&lt;&gt;1)),
IF(Import.TipoArredondamento&lt;&gt;"TransfereGOV",
ROUND(OFFSET($P41,0,AY$13),15-13*ORÇAMENTO!$AF$7)/$H41*OFFSET(ORÇAMENTO!$X$15,ROW(AY41)-ROW(AY$15),0),
ROUND(ROUND(OFFSET($P41,0,AY$13),15-13*ORÇAMENTO!$AF$7)*OFFSET(ORÇAMENTO!$W$15,ROW(AY41)-ROW(AY$15),0),15-13*ORÇAMENTO!$AF$11)),0)</f>
        <v>0</v>
      </c>
      <c r="AZ41" s="545">
        <f ca="1">IF(AND($D41="Serviço",AZ$12&lt;&gt;0,$H41&gt;0,OR(AUTOEVENTO&lt;&gt;"manual",$M41&lt;&gt;1)),
IF(Import.TipoArredondamento&lt;&gt;"TransfereGOV",
ROUND(OFFSET($P41,0,AZ$13),15-13*ORÇAMENTO!$AF$7)/$H41*OFFSET(ORÇAMENTO!$X$15,ROW(AZ41)-ROW(AZ$15),0),
ROUND(ROUND(OFFSET($P41,0,AZ$13),15-13*ORÇAMENTO!$AF$7)*OFFSET(ORÇAMENTO!$W$15,ROW(AZ41)-ROW(AZ$15),0),15-13*ORÇAMENTO!$AF$11)),0)</f>
        <v>0</v>
      </c>
      <c r="BA41" s="546">
        <f ca="1">IF(AND($D41="Serviço",BA$12&lt;&gt;0,$H41&gt;0,OR(AUTOEVENTO&lt;&gt;"manual",$M41&lt;&gt;1)),
IF(Import.TipoArredondamento&lt;&gt;"TransfereGOV",
ROUND(OFFSET($P41,0,BA$13),15-13*ORÇAMENTO!$AF$7)/$H41*OFFSET(ORÇAMENTO!$X$15,ROW(BA41)-ROW(BA$15),0),
ROUND(ROUND(OFFSET($P41,0,BA$13),15-13*ORÇAMENTO!$AF$7)*OFFSET(ORÇAMENTO!$W$15,ROW(BA41)-ROW(BA$15),0),15-13*ORÇAMENTO!$AF$11)),0)</f>
        <v>0</v>
      </c>
      <c r="BC41" s="181">
        <f ca="1">IF($D41&lt;&gt;"Serviço",0,IF(AND(AUTOEVENTO="Manual",$M41=1),0,IF(OFFSET(CRONOPLE!$F$14,$M41,BC$13)="",10^12,OFFSET(CRONOPLE!$F$14,$M41,BC$13))))</f>
        <v>2</v>
      </c>
      <c r="BD41" s="181">
        <f ca="1">IF($D41&lt;&gt;"Serviço",0,IF(AND(AUTOEVENTO="Manual",$M41=1),0,IF(OFFSET(CRONOPLE!$F$14,$M41,BD$13)="",10^12,OFFSET(CRONOPLE!$F$14,$M41,BD$13))))</f>
        <v>1000000000000</v>
      </c>
      <c r="BE41" s="181">
        <f ca="1">IF($D41&lt;&gt;"Serviço",0,IF(AND(AUTOEVENTO="Manual",$M41=1),0,IF(OFFSET(CRONOPLE!$F$14,$M41,BE$13)="",10^12,OFFSET(CRONOPLE!$F$14,$M41,BE$13))))</f>
        <v>1000000000000</v>
      </c>
      <c r="BF41" s="181">
        <f ca="1">IF($D41&lt;&gt;"Serviço",0,IF(AND(AUTOEVENTO="Manual",$M41=1),0,IF(OFFSET(CRONOPLE!$F$14,$M41,BF$13)="",10^12,OFFSET(CRONOPLE!$F$14,$M41,BF$13))))</f>
        <v>1000000000000</v>
      </c>
      <c r="BG41" s="181">
        <f ca="1">IF($D41&lt;&gt;"Serviço",0,IF(AND(AUTOEVENTO="Manual",$M41=1),0,IF(OFFSET(CRONOPLE!$F$14,$M41,BG$13)="",10^12,OFFSET(CRONOPLE!$F$14,$M41,BG$13))))</f>
        <v>1000000000000</v>
      </c>
      <c r="BH41" s="181">
        <f ca="1">IF($D41&lt;&gt;"Serviço",0,IF(AND(AUTOEVENTO="Manual",$M41=1),0,IF(OFFSET(CRONOPLE!$F$14,$M41,BH$13)="",10^12,OFFSET(CRONOPLE!$F$14,$M41,BH$13))))</f>
        <v>1000000000000</v>
      </c>
      <c r="BI41" s="181">
        <f ca="1">IF($D41&lt;&gt;"Serviço",0,IF(AND(AUTOEVENTO="Manual",$M41=1),0,IF(OFFSET(CRONOPLE!$F$14,$M41,BI$13)="",10^12,OFFSET(CRONOPLE!$F$14,$M41,BI$13))))</f>
        <v>1000000000000</v>
      </c>
      <c r="BJ41" s="181">
        <f ca="1">IF($D41&lt;&gt;"Serviço",0,IF(AND(AUTOEVENTO="Manual",$M41=1),0,IF(OFFSET(CRONOPLE!$F$14,$M41,BJ$13)="",10^12,OFFSET(CRONOPLE!$F$14,$M41,BJ$13))))</f>
        <v>1000000000000</v>
      </c>
      <c r="BK41" s="181">
        <f ca="1">IF($D41&lt;&gt;"Serviço",0,IF(AND(AUTOEVENTO="Manual",$M41=1),0,IF(OFFSET(CRONOPLE!$F$14,$M41,BK$13)="",10^12,OFFSET(CRONOPLE!$F$14,$M41,BK$13))))</f>
        <v>1000000000000</v>
      </c>
      <c r="BL41" s="181">
        <f ca="1">IF($D41&lt;&gt;"Serviço",0,IF(AND(AUTOEVENTO="Manual",$M41=1),0,IF(OFFSET(CRONOPLE!$F$14,$M41,BL$13)="",10^12,OFFSET(CRONOPLE!$F$14,$M41,BL$13))))</f>
        <v>1000000000000</v>
      </c>
      <c r="BM41" s="181">
        <f ca="1">IF($D41&lt;&gt;"Serviço",0,IF(AND(AUTOEVENTO="Manual",$M41=1),0,IF(OFFSET(CRONOPLE!$F$14,$M41,BM$13)="",10^12,OFFSET(CRONOPLE!$F$14,$M41,BM$13))))</f>
        <v>1000000000000</v>
      </c>
      <c r="BN41" s="181">
        <f ca="1">IF($D41&lt;&gt;"Serviço",0,IF(AND(AUTOEVENTO="Manual",$M41=1),0,IF(OFFSET(CRONOPLE!$F$14,$M41,BN$13)="",10^12,OFFSET(CRONOPLE!$F$14,$M41,BN$13))))</f>
        <v>1000000000000</v>
      </c>
      <c r="BO41" s="181">
        <f ca="1">IF($D41&lt;&gt;"Serviço",0,IF(AND(AUTOEVENTO="Manual",$M41=1),0,IF(OFFSET(CRONOPLE!$F$14,$M41,BO$13)="",10^12,OFFSET(CRONOPLE!$F$14,$M41,BO$13))))</f>
        <v>1000000000000</v>
      </c>
      <c r="BP41" s="181">
        <f ca="1">IF($D41&lt;&gt;"Serviço",0,IF(AND(AUTOEVENTO="Manual",$M41=1),0,IF(OFFSET(CRONOPLE!$F$14,$M41,BP$13)="",10^12,OFFSET(CRONOPLE!$F$14,$M41,BP$13))))</f>
        <v>1000000000000</v>
      </c>
      <c r="BQ41" s="181">
        <f ca="1">IF($D41&lt;&gt;"Serviço",0,IF(AND(AUTOEVENTO="Manual",$M41=1),0,IF(OFFSET(CRONOPLE!$F$14,$M41,BQ$13)="",10^12,OFFSET(CRONOPLE!$F$14,$M41,BQ$13))))</f>
        <v>1000000000000</v>
      </c>
      <c r="BR41" s="181">
        <f ca="1">IF($D41&lt;&gt;"Serviço",0,IF(AND(AUTOEVENTO="Manual",$M41=1),0,IF(OFFSET(CRONOPLE!$F$14,$M41,BR$13)="",10^12,OFFSET(CRONOPLE!$F$14,$M41,BR$13))))</f>
        <v>1000000000000</v>
      </c>
      <c r="BS41" s="181">
        <f ca="1">IF($D41&lt;&gt;"Serviço",0,IF(AND(AUTOEVENTO="Manual",$M41=1),0,IF(OFFSET(CRONOPLE!$F$14,$M41,BS$13)="",10^12,OFFSET(CRONOPLE!$F$14,$M41,BS$13))))</f>
        <v>1000000000000</v>
      </c>
      <c r="BT41" s="181">
        <f ca="1">IF($D41&lt;&gt;"Serviço",0,IF(AND(AUTOEVENTO="Manual",$M41=1),0,IF(OFFSET(CRONOPLE!$F$14,$M41,BT$13)="",10^12,OFFSET(CRONOPLE!$F$14,$M41,BT$13))))</f>
        <v>1000000000000</v>
      </c>
      <c r="BV41" s="182">
        <f ca="1">IF($D41&lt;&gt;"Serviço",0,IF(OR(AND(AUTOEVENTO="Manual",$M41=1),$M41&gt;(ROW(PLE.lastrow)-ROW(PLE.firstrow))),0,IF(OFFSET(PLE!$G$14,$M41,BV$13)="",10^12,OFFSET(PLE!$G$14,$M41,BV$13))))</f>
        <v>1000000000000</v>
      </c>
      <c r="BW41" s="182">
        <f ca="1">IF($D41&lt;&gt;"Serviço",0,IF(OR(AND(AUTOEVENTO="Manual",$M41=1),$M41&gt;(ROW(PLE.lastrow)-ROW(PLE.firstrow))),0,IF(OFFSET(PLE!$G$14,$M41,BW$13)="",10^12,OFFSET(PLE!$G$14,$M41,BW$13))))</f>
        <v>1000000000000</v>
      </c>
      <c r="BX41" s="182">
        <f ca="1">IF($D41&lt;&gt;"Serviço",0,IF(OR(AND(AUTOEVENTO="Manual",$M41=1),$M41&gt;(ROW(PLE.lastrow)-ROW(PLE.firstrow))),0,IF(OFFSET(PLE!$G$14,$M41,BX$13)="",10^12,OFFSET(PLE!$G$14,$M41,BX$13))))</f>
        <v>1000000000000</v>
      </c>
      <c r="BY41" s="182">
        <f ca="1">IF($D41&lt;&gt;"Serviço",0,IF(OR(AND(AUTOEVENTO="Manual",$M41=1),$M41&gt;(ROW(PLE.lastrow)-ROW(PLE.firstrow))),0,IF(OFFSET(PLE!$G$14,$M41,BY$13)="",10^12,OFFSET(PLE!$G$14,$M41,BY$13))))</f>
        <v>1000000000000</v>
      </c>
      <c r="BZ41" s="182">
        <f ca="1">IF($D41&lt;&gt;"Serviço",0,IF(OR(AND(AUTOEVENTO="Manual",$M41=1),$M41&gt;(ROW(PLE.lastrow)-ROW(PLE.firstrow))),0,IF(OFFSET(PLE!$G$14,$M41,BZ$13)="",10^12,OFFSET(PLE!$G$14,$M41,BZ$13))))</f>
        <v>1000000000000</v>
      </c>
      <c r="CA41" s="182">
        <f ca="1">IF($D41&lt;&gt;"Serviço",0,IF(OR(AND(AUTOEVENTO="Manual",$M41=1),$M41&gt;(ROW(PLE.lastrow)-ROW(PLE.firstrow))),0,IF(OFFSET(PLE!$G$14,$M41,CA$13)="",10^12,OFFSET(PLE!$G$14,$M41,CA$13))))</f>
        <v>1000000000000</v>
      </c>
      <c r="CB41" s="182">
        <f ca="1">IF($D41&lt;&gt;"Serviço",0,IF(OR(AND(AUTOEVENTO="Manual",$M41=1),$M41&gt;(ROW(PLE.lastrow)-ROW(PLE.firstrow))),0,IF(OFFSET(PLE!$G$14,$M41,CB$13)="",10^12,OFFSET(PLE!$G$14,$M41,CB$13))))</f>
        <v>1000000000000</v>
      </c>
      <c r="CC41" s="182">
        <f ca="1">IF($D41&lt;&gt;"Serviço",0,IF(OR(AND(AUTOEVENTO="Manual",$M41=1),$M41&gt;(ROW(PLE.lastrow)-ROW(PLE.firstrow))),0,IF(OFFSET(PLE!$G$14,$M41,CC$13)="",10^12,OFFSET(PLE!$G$14,$M41,CC$13))))</f>
        <v>1000000000000</v>
      </c>
      <c r="CD41" s="182">
        <f ca="1">IF($D41&lt;&gt;"Serviço",0,IF(OR(AND(AUTOEVENTO="Manual",$M41=1),$M41&gt;(ROW(PLE.lastrow)-ROW(PLE.firstrow))),0,IF(OFFSET(PLE!$G$14,$M41,CD$13)="",10^12,OFFSET(PLE!$G$14,$M41,CD$13))))</f>
        <v>1000000000000</v>
      </c>
      <c r="CE41" s="182">
        <f ca="1">IF($D41&lt;&gt;"Serviço",0,IF(OR(AND(AUTOEVENTO="Manual",$M41=1),$M41&gt;(ROW(PLE.lastrow)-ROW(PLE.firstrow))),0,IF(OFFSET(PLE!$G$14,$M41,CE$13)="",10^12,OFFSET(PLE!$G$14,$M41,CE$13))))</f>
        <v>1000000000000</v>
      </c>
      <c r="CF41" s="182">
        <f ca="1">IF($D41&lt;&gt;"Serviço",0,IF(OR(AND(AUTOEVENTO="Manual",$M41=1),$M41&gt;(ROW(PLE.lastrow)-ROW(PLE.firstrow))),0,IF(OFFSET(PLE!$G$14,$M41,CF$13)="",10^12,OFFSET(PLE!$G$14,$M41,CF$13))))</f>
        <v>1000000000000</v>
      </c>
      <c r="CG41" s="182">
        <f ca="1">IF($D41&lt;&gt;"Serviço",0,IF(OR(AND(AUTOEVENTO="Manual",$M41=1),$M41&gt;(ROW(PLE.lastrow)-ROW(PLE.firstrow))),0,IF(OFFSET(PLE!$G$14,$M41,CG$13)="",10^12,OFFSET(PLE!$G$14,$M41,CG$13))))</f>
        <v>1000000000000</v>
      </c>
      <c r="CH41" s="182">
        <f ca="1">IF($D41&lt;&gt;"Serviço",0,IF(OR(AND(AUTOEVENTO="Manual",$M41=1),$M41&gt;(ROW(PLE.lastrow)-ROW(PLE.firstrow))),0,IF(OFFSET(PLE!$G$14,$M41,CH$13)="",10^12,OFFSET(PLE!$G$14,$M41,CH$13))))</f>
        <v>1000000000000</v>
      </c>
      <c r="CI41" s="182">
        <f ca="1">IF($D41&lt;&gt;"Serviço",0,IF(OR(AND(AUTOEVENTO="Manual",$M41=1),$M41&gt;(ROW(PLE.lastrow)-ROW(PLE.firstrow))),0,IF(OFFSET(PLE!$G$14,$M41,CI$13)="",10^12,OFFSET(PLE!$G$14,$M41,CI$13))))</f>
        <v>1000000000000</v>
      </c>
      <c r="CJ41" s="182">
        <f ca="1">IF($D41&lt;&gt;"Serviço",0,IF(OR(AND(AUTOEVENTO="Manual",$M41=1),$M41&gt;(ROW(PLE.lastrow)-ROW(PLE.firstrow))),0,IF(OFFSET(PLE!$G$14,$M41,CJ$13)="",10^12,OFFSET(PLE!$G$14,$M41,CJ$13))))</f>
        <v>1000000000000</v>
      </c>
      <c r="CK41" s="182">
        <f ca="1">IF($D41&lt;&gt;"Serviço",0,IF(OR(AND(AUTOEVENTO="Manual",$M41=1),$M41&gt;(ROW(PLE.lastrow)-ROW(PLE.firstrow))),0,IF(OFFSET(PLE!$G$14,$M41,CK$13)="",10^12,OFFSET(PLE!$G$14,$M41,CK$13))))</f>
        <v>1000000000000</v>
      </c>
      <c r="CL41" s="182">
        <f ca="1">IF($D41&lt;&gt;"Serviço",0,IF(OR(AND(AUTOEVENTO="Manual",$M41=1),$M41&gt;(ROW(PLE.lastrow)-ROW(PLE.firstrow))),0,IF(OFFSET(PLE!$G$14,$M41,CL$13)="",10^12,OFFSET(PLE!$G$14,$M41,CL$13))))</f>
        <v>1000000000000</v>
      </c>
      <c r="CM41" s="182">
        <f ca="1">IF($D41&lt;&gt;"Serviço",0,IF(OR(AND(AUTOEVENTO="Manual",$M41=1),$M41&gt;(ROW(PLE.lastrow)-ROW(PLE.firstrow))),0,IF(OFFSET(PLE!$G$14,$M41,CM$13)="",10^12,OFFSET(PLE!$G$14,$M41,CM$13))))</f>
        <v>1000000000000</v>
      </c>
    </row>
    <row r="42" spans="1:91" ht="25.5" x14ac:dyDescent="0.2">
      <c r="A42" s="7" t="str">
        <f t="shared" ca="1" si="9"/>
        <v>25</v>
      </c>
      <c r="B42" s="7" t="str">
        <f ca="1">OFFSET(ORÇAMENTO!C$15,ROW(B42)-ROW(B$15),0)</f>
        <v>S</v>
      </c>
      <c r="C42" s="7" t="str">
        <f ca="1">OFFSET(ORÇAMENTO!L$15,ROW(C42)-ROW(C$15),0)</f>
        <v/>
      </c>
      <c r="D42" s="118" t="str">
        <f ca="1">OFFSET(ORÇAMENTO!N$15,ROW(D42)-ROW(D$15),0)</f>
        <v>Serviço</v>
      </c>
      <c r="E42" s="119" t="str">
        <f ca="1">OFFSET(ORÇAMENTO!O$15,ROW(E42)-ROW(E$15),0)</f>
        <v>-</v>
      </c>
      <c r="F42" s="172" t="str">
        <f ca="1">OFFSET(ORÇAMENTO!R$15,ROW(F42)-ROW(F$15),0)</f>
        <v>(abra o arquivo 'Referência 06-2024.xlsm)</v>
      </c>
      <c r="G42" s="173" t="str">
        <f ca="1">IF($D42&lt;&gt;"Serviço","",OFFSET(ORÇAMENTO!S$15,ROW(G42)-ROW(G$15),0))</f>
        <v>-</v>
      </c>
      <c r="H42" s="124">
        <f ca="1">IF($D42&lt;&gt;"Serviço",0,IF(ACOMPANHAMENTO="BM",ROUND(OFFSET(ORÇAMENTO!AJ$15,ROW(H42)-ROW(H$15),0),15-13*ORÇAMENTO!$AF$7),SUMPRODUCT(($Q$12:$AI$12&lt;&gt;"")*ROUND($Q42:$AI42,15-13*ORÇAMENTO!$AF$7))))</f>
        <v>3.13</v>
      </c>
      <c r="I42" s="561" t="s">
        <v>1107</v>
      </c>
      <c r="K42" s="174" t="s">
        <v>1027</v>
      </c>
      <c r="L42" s="175" t="s">
        <v>255</v>
      </c>
      <c r="M42" s="176">
        <f ca="1">IF($D42&lt;&gt;"Serviço","",IF(AUTOEVENTO="manual",$A42,IF(ISERROR(MATCH($A42,$A$15:OFFSET($A42,-1,0),0)),MAX($M$15:OFFSET(M42,-1,0))+1,INDEX($M$15:OFFSET(M42,-1,0),MATCH($A42,$A$15:OFFSET($A42,-1,0),0)))))</f>
        <v>7</v>
      </c>
      <c r="N42" s="177" t="str">
        <f ca="1">IF($D42&lt;&gt;"Serviço","",IF(AUTOEVENTO="Manual",IF($A42=0,"&lt;-- defina o número do agrupador",OFFSET(EVENTOS!$D$14,$A42,0)),OFFSET($F$15,$A42,0)))</f>
        <v>FUNDAÇÕES - CONCRETO ARMADO PARA SAPATAS</v>
      </c>
      <c r="O42" s="178"/>
      <c r="Q42" s="178">
        <v>3.13</v>
      </c>
      <c r="R42" s="179"/>
      <c r="S42" s="179"/>
      <c r="T42" s="179"/>
      <c r="U42" s="179"/>
      <c r="V42" s="179"/>
      <c r="W42" s="179"/>
      <c r="X42" s="179"/>
      <c r="Y42" s="179"/>
      <c r="Z42" s="180"/>
      <c r="AA42" s="179"/>
      <c r="AB42" s="179"/>
      <c r="AC42" s="179"/>
      <c r="AD42" s="179"/>
      <c r="AE42" s="179"/>
      <c r="AF42" s="179"/>
      <c r="AG42" s="179"/>
      <c r="AH42" s="180"/>
      <c r="AJ42" s="544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545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L42" s="545">
        <f ca="1">IF(AND($D42="Serviço",AL$12&lt;&gt;0,$H42&gt;0,OR(AUTOEVENTO&lt;&gt;"manual",$M42&lt;&gt;1)),
IF(Import.TipoArredondamento&lt;&gt;"TransfereGOV",
ROUND(OFFSET($P42,0,AL$13),15-13*ORÇAMENTO!$AF$7)/$H42*OFFSET(ORÇAMENTO!$X$15,ROW(AL42)-ROW(AL$15),0),
ROUND(ROUND(OFFSET($P42,0,AL$13),15-13*ORÇAMENTO!$AF$7)*OFFSET(ORÇAMENTO!$W$15,ROW(AL42)-ROW(AL$15),0),15-13*ORÇAMENTO!$AF$11)),0)</f>
        <v>0</v>
      </c>
      <c r="AM42" s="545">
        <f ca="1">IF(AND($D42="Serviço",AM$12&lt;&gt;0,$H42&gt;0,OR(AUTOEVENTO&lt;&gt;"manual",$M42&lt;&gt;1)),
IF(Import.TipoArredondamento&lt;&gt;"TransfereGOV",
ROUND(OFFSET($P42,0,AM$13),15-13*ORÇAMENTO!$AF$7)/$H42*OFFSET(ORÇAMENTO!$X$15,ROW(AM42)-ROW(AM$15),0),
ROUND(ROUND(OFFSET($P42,0,AM$13),15-13*ORÇAMENTO!$AF$7)*OFFSET(ORÇAMENTO!$W$15,ROW(AM42)-ROW(AM$15),0),15-13*ORÇAMENTO!$AF$11)),0)</f>
        <v>0</v>
      </c>
      <c r="AN42" s="545">
        <f ca="1">IF(AND($D42="Serviço",AN$12&lt;&gt;0,$H42&gt;0,OR(AUTOEVENTO&lt;&gt;"manual",$M42&lt;&gt;1)),
IF(Import.TipoArredondamento&lt;&gt;"TransfereGOV",
ROUND(OFFSET($P42,0,AN$13),15-13*ORÇAMENTO!$AF$7)/$H42*OFFSET(ORÇAMENTO!$X$15,ROW(AN42)-ROW(AN$15),0),
ROUND(ROUND(OFFSET($P42,0,AN$13),15-13*ORÇAMENTO!$AF$7)*OFFSET(ORÇAMENTO!$W$15,ROW(AN42)-ROW(AN$15),0),15-13*ORÇAMENTO!$AF$11)),0)</f>
        <v>0</v>
      </c>
      <c r="AO42" s="545">
        <f ca="1">IF(AND($D42="Serviço",AO$12&lt;&gt;0,$H42&gt;0,OR(AUTOEVENTO&lt;&gt;"manual",$M42&lt;&gt;1)),
IF(Import.TipoArredondamento&lt;&gt;"TransfereGOV",
ROUND(OFFSET($P42,0,AO$13),15-13*ORÇAMENTO!$AF$7)/$H42*OFFSET(ORÇAMENTO!$X$15,ROW(AO42)-ROW(AO$15),0),
ROUND(ROUND(OFFSET($P42,0,AO$13),15-13*ORÇAMENTO!$AF$7)*OFFSET(ORÇAMENTO!$W$15,ROW(AO42)-ROW(AO$15),0),15-13*ORÇAMENTO!$AF$11)),0)</f>
        <v>0</v>
      </c>
      <c r="AP42" s="545">
        <f ca="1">IF(AND($D42="Serviço",AP$12&lt;&gt;0,$H42&gt;0,OR(AUTOEVENTO&lt;&gt;"manual",$M42&lt;&gt;1)),
IF(Import.TipoArredondamento&lt;&gt;"TransfereGOV",
ROUND(OFFSET($P42,0,AP$13),15-13*ORÇAMENTO!$AF$7)/$H42*OFFSET(ORÇAMENTO!$X$15,ROW(AP42)-ROW(AP$15),0),
ROUND(ROUND(OFFSET($P42,0,AP$13),15-13*ORÇAMENTO!$AF$7)*OFFSET(ORÇAMENTO!$W$15,ROW(AP42)-ROW(AP$15),0),15-13*ORÇAMENTO!$AF$11)),0)</f>
        <v>0</v>
      </c>
      <c r="AQ42" s="545">
        <f ca="1">IF(AND($D42="Serviço",AQ$12&lt;&gt;0,$H42&gt;0,OR(AUTOEVENTO&lt;&gt;"manual",$M42&lt;&gt;1)),
IF(Import.TipoArredondamento&lt;&gt;"TransfereGOV",
ROUND(OFFSET($P42,0,AQ$13),15-13*ORÇAMENTO!$AF$7)/$H42*OFFSET(ORÇAMENTO!$X$15,ROW(AQ42)-ROW(AQ$15),0),
ROUND(ROUND(OFFSET($P42,0,AQ$13),15-13*ORÇAMENTO!$AF$7)*OFFSET(ORÇAMENTO!$W$15,ROW(AQ42)-ROW(AQ$15),0),15-13*ORÇAMENTO!$AF$11)),0)</f>
        <v>0</v>
      </c>
      <c r="AR42" s="545">
        <f ca="1">IF(AND($D42="Serviço",AR$12&lt;&gt;0,$H42&gt;0,OR(AUTOEVENTO&lt;&gt;"manual",$M42&lt;&gt;1)),
IF(Import.TipoArredondamento&lt;&gt;"TransfereGOV",
ROUND(OFFSET($P42,0,AR$13),15-13*ORÇAMENTO!$AF$7)/$H42*OFFSET(ORÇAMENTO!$X$15,ROW(AR42)-ROW(AR$15),0),
ROUND(ROUND(OFFSET($P42,0,AR$13),15-13*ORÇAMENTO!$AF$7)*OFFSET(ORÇAMENTO!$W$15,ROW(AR42)-ROW(AR$15),0),15-13*ORÇAMENTO!$AF$11)),0)</f>
        <v>0</v>
      </c>
      <c r="AS42" s="546">
        <f ca="1">IF(AND($D42="Serviço",AS$12&lt;&gt;0,$H42&gt;0,OR(AUTOEVENTO&lt;&gt;"manual",$M42&lt;&gt;1)),
IF(Import.TipoArredondamento&lt;&gt;"TransfereGOV",
ROUND(OFFSET($P42,0,AS$13),15-13*ORÇAMENTO!$AF$7)/$H42*OFFSET(ORÇAMENTO!$X$15,ROW(AS42)-ROW(AS$15),0),
ROUND(ROUND(OFFSET($P42,0,AS$13),15-13*ORÇAMENTO!$AF$7)*OFFSET(ORÇAMENTO!$W$15,ROW(AS42)-ROW(AS$15),0),15-13*ORÇAMENTO!$AF$11)),0)</f>
        <v>0</v>
      </c>
      <c r="AT42" s="545">
        <f ca="1">IF(AND($D42="Serviço",AT$12&lt;&gt;0,$H42&gt;0,OR(AUTOEVENTO&lt;&gt;"manual",$M42&lt;&gt;1)),
IF(Import.TipoArredondamento&lt;&gt;"TransfereGOV",
ROUND(OFFSET($P42,0,AT$13),15-13*ORÇAMENTO!$AF$7)/$H42*OFFSET(ORÇAMENTO!$X$15,ROW(AT42)-ROW(AT$15),0),
ROUND(ROUND(OFFSET($P42,0,AT$13),15-13*ORÇAMENTO!$AF$7)*OFFSET(ORÇAMENTO!$W$15,ROW(AT42)-ROW(AT$15),0),15-13*ORÇAMENTO!$AF$11)),0)</f>
        <v>0</v>
      </c>
      <c r="AU42" s="545">
        <f ca="1">IF(AND($D42="Serviço",AU$12&lt;&gt;0,$H42&gt;0,OR(AUTOEVENTO&lt;&gt;"manual",$M42&lt;&gt;1)),
IF(Import.TipoArredondamento&lt;&gt;"TransfereGOV",
ROUND(OFFSET($P42,0,AU$13),15-13*ORÇAMENTO!$AF$7)/$H42*OFFSET(ORÇAMENTO!$X$15,ROW(AU42)-ROW(AU$15),0),
ROUND(ROUND(OFFSET($P42,0,AU$13),15-13*ORÇAMENTO!$AF$7)*OFFSET(ORÇAMENTO!$W$15,ROW(AU42)-ROW(AU$15),0),15-13*ORÇAMENTO!$AF$11)),0)</f>
        <v>0</v>
      </c>
      <c r="AV42" s="545">
        <f ca="1">IF(AND($D42="Serviço",AV$12&lt;&gt;0,$H42&gt;0,OR(AUTOEVENTO&lt;&gt;"manual",$M42&lt;&gt;1)),
IF(Import.TipoArredondamento&lt;&gt;"TransfereGOV",
ROUND(OFFSET($P42,0,AV$13),15-13*ORÇAMENTO!$AF$7)/$H42*OFFSET(ORÇAMENTO!$X$15,ROW(AV42)-ROW(AV$15),0),
ROUND(ROUND(OFFSET($P42,0,AV$13),15-13*ORÇAMENTO!$AF$7)*OFFSET(ORÇAMENTO!$W$15,ROW(AV42)-ROW(AV$15),0),15-13*ORÇAMENTO!$AF$11)),0)</f>
        <v>0</v>
      </c>
      <c r="AW42" s="545">
        <f ca="1">IF(AND($D42="Serviço",AW$12&lt;&gt;0,$H42&gt;0,OR(AUTOEVENTO&lt;&gt;"manual",$M42&lt;&gt;1)),
IF(Import.TipoArredondamento&lt;&gt;"TransfereGOV",
ROUND(OFFSET($P42,0,AW$13),15-13*ORÇAMENTO!$AF$7)/$H42*OFFSET(ORÇAMENTO!$X$15,ROW(AW42)-ROW(AW$15),0),
ROUND(ROUND(OFFSET($P42,0,AW$13),15-13*ORÇAMENTO!$AF$7)*OFFSET(ORÇAMENTO!$W$15,ROW(AW42)-ROW(AW$15),0),15-13*ORÇAMENTO!$AF$11)),0)</f>
        <v>0</v>
      </c>
      <c r="AX42" s="545">
        <f ca="1">IF(AND($D42="Serviço",AX$12&lt;&gt;0,$H42&gt;0,OR(AUTOEVENTO&lt;&gt;"manual",$M42&lt;&gt;1)),
IF(Import.TipoArredondamento&lt;&gt;"TransfereGOV",
ROUND(OFFSET($P42,0,AX$13),15-13*ORÇAMENTO!$AF$7)/$H42*OFFSET(ORÇAMENTO!$X$15,ROW(AX42)-ROW(AX$15),0),
ROUND(ROUND(OFFSET($P42,0,AX$13),15-13*ORÇAMENTO!$AF$7)*OFFSET(ORÇAMENTO!$W$15,ROW(AX42)-ROW(AX$15),0),15-13*ORÇAMENTO!$AF$11)),0)</f>
        <v>0</v>
      </c>
      <c r="AY42" s="545">
        <f ca="1">IF(AND($D42="Serviço",AY$12&lt;&gt;0,$H42&gt;0,OR(AUTOEVENTO&lt;&gt;"manual",$M42&lt;&gt;1)),
IF(Import.TipoArredondamento&lt;&gt;"TransfereGOV",
ROUND(OFFSET($P42,0,AY$13),15-13*ORÇAMENTO!$AF$7)/$H42*OFFSET(ORÇAMENTO!$X$15,ROW(AY42)-ROW(AY$15),0),
ROUND(ROUND(OFFSET($P42,0,AY$13),15-13*ORÇAMENTO!$AF$7)*OFFSET(ORÇAMENTO!$W$15,ROW(AY42)-ROW(AY$15),0),15-13*ORÇAMENTO!$AF$11)),0)</f>
        <v>0</v>
      </c>
      <c r="AZ42" s="545">
        <f ca="1">IF(AND($D42="Serviço",AZ$12&lt;&gt;0,$H42&gt;0,OR(AUTOEVENTO&lt;&gt;"manual",$M42&lt;&gt;1)),
IF(Import.TipoArredondamento&lt;&gt;"TransfereGOV",
ROUND(OFFSET($P42,0,AZ$13),15-13*ORÇAMENTO!$AF$7)/$H42*OFFSET(ORÇAMENTO!$X$15,ROW(AZ42)-ROW(AZ$15),0),
ROUND(ROUND(OFFSET($P42,0,AZ$13),15-13*ORÇAMENTO!$AF$7)*OFFSET(ORÇAMENTO!$W$15,ROW(AZ42)-ROW(AZ$15),0),15-13*ORÇAMENTO!$AF$11)),0)</f>
        <v>0</v>
      </c>
      <c r="BA42" s="546">
        <f ca="1">IF(AND($D42="Serviço",BA$12&lt;&gt;0,$H42&gt;0,OR(AUTOEVENTO&lt;&gt;"manual",$M42&lt;&gt;1)),
IF(Import.TipoArredondamento&lt;&gt;"TransfereGOV",
ROUND(OFFSET($P42,0,BA$13),15-13*ORÇAMENTO!$AF$7)/$H42*OFFSET(ORÇAMENTO!$X$15,ROW(BA42)-ROW(BA$15),0),
ROUND(ROUND(OFFSET($P42,0,BA$13),15-13*ORÇAMENTO!$AF$7)*OFFSET(ORÇAMENTO!$W$15,ROW(BA42)-ROW(BA$15),0),15-13*ORÇAMENTO!$AF$11)),0)</f>
        <v>0</v>
      </c>
      <c r="BC42" s="181">
        <f ca="1">IF($D42&lt;&gt;"Serviço",0,IF(AND(AUTOEVENTO="Manual",$M42=1),0,IF(OFFSET(CRONOPLE!$F$14,$M42,BC$13)="",10^12,OFFSET(CRONOPLE!$F$14,$M42,BC$13))))</f>
        <v>2</v>
      </c>
      <c r="BD42" s="181">
        <f ca="1">IF($D42&lt;&gt;"Serviço",0,IF(AND(AUTOEVENTO="Manual",$M42=1),0,IF(OFFSET(CRONOPLE!$F$14,$M42,BD$13)="",10^12,OFFSET(CRONOPLE!$F$14,$M42,BD$13))))</f>
        <v>1000000000000</v>
      </c>
      <c r="BE42" s="181">
        <f ca="1">IF($D42&lt;&gt;"Serviço",0,IF(AND(AUTOEVENTO="Manual",$M42=1),0,IF(OFFSET(CRONOPLE!$F$14,$M42,BE$13)="",10^12,OFFSET(CRONOPLE!$F$14,$M42,BE$13))))</f>
        <v>1000000000000</v>
      </c>
      <c r="BF42" s="181">
        <f ca="1">IF($D42&lt;&gt;"Serviço",0,IF(AND(AUTOEVENTO="Manual",$M42=1),0,IF(OFFSET(CRONOPLE!$F$14,$M42,BF$13)="",10^12,OFFSET(CRONOPLE!$F$14,$M42,BF$13))))</f>
        <v>1000000000000</v>
      </c>
      <c r="BG42" s="181">
        <f ca="1">IF($D42&lt;&gt;"Serviço",0,IF(AND(AUTOEVENTO="Manual",$M42=1),0,IF(OFFSET(CRONOPLE!$F$14,$M42,BG$13)="",10^12,OFFSET(CRONOPLE!$F$14,$M42,BG$13))))</f>
        <v>1000000000000</v>
      </c>
      <c r="BH42" s="181">
        <f ca="1">IF($D42&lt;&gt;"Serviço",0,IF(AND(AUTOEVENTO="Manual",$M42=1),0,IF(OFFSET(CRONOPLE!$F$14,$M42,BH$13)="",10^12,OFFSET(CRONOPLE!$F$14,$M42,BH$13))))</f>
        <v>1000000000000</v>
      </c>
      <c r="BI42" s="181">
        <f ca="1">IF($D42&lt;&gt;"Serviço",0,IF(AND(AUTOEVENTO="Manual",$M42=1),0,IF(OFFSET(CRONOPLE!$F$14,$M42,BI$13)="",10^12,OFFSET(CRONOPLE!$F$14,$M42,BI$13))))</f>
        <v>1000000000000</v>
      </c>
      <c r="BJ42" s="181">
        <f ca="1">IF($D42&lt;&gt;"Serviço",0,IF(AND(AUTOEVENTO="Manual",$M42=1),0,IF(OFFSET(CRONOPLE!$F$14,$M42,BJ$13)="",10^12,OFFSET(CRONOPLE!$F$14,$M42,BJ$13))))</f>
        <v>1000000000000</v>
      </c>
      <c r="BK42" s="181">
        <f ca="1">IF($D42&lt;&gt;"Serviço",0,IF(AND(AUTOEVENTO="Manual",$M42=1),0,IF(OFFSET(CRONOPLE!$F$14,$M42,BK$13)="",10^12,OFFSET(CRONOPLE!$F$14,$M42,BK$13))))</f>
        <v>1000000000000</v>
      </c>
      <c r="BL42" s="181">
        <f ca="1">IF($D42&lt;&gt;"Serviço",0,IF(AND(AUTOEVENTO="Manual",$M42=1),0,IF(OFFSET(CRONOPLE!$F$14,$M42,BL$13)="",10^12,OFFSET(CRONOPLE!$F$14,$M42,BL$13))))</f>
        <v>1000000000000</v>
      </c>
      <c r="BM42" s="181">
        <f ca="1">IF($D42&lt;&gt;"Serviço",0,IF(AND(AUTOEVENTO="Manual",$M42=1),0,IF(OFFSET(CRONOPLE!$F$14,$M42,BM$13)="",10^12,OFFSET(CRONOPLE!$F$14,$M42,BM$13))))</f>
        <v>1000000000000</v>
      </c>
      <c r="BN42" s="181">
        <f ca="1">IF($D42&lt;&gt;"Serviço",0,IF(AND(AUTOEVENTO="Manual",$M42=1),0,IF(OFFSET(CRONOPLE!$F$14,$M42,BN$13)="",10^12,OFFSET(CRONOPLE!$F$14,$M42,BN$13))))</f>
        <v>1000000000000</v>
      </c>
      <c r="BO42" s="181">
        <f ca="1">IF($D42&lt;&gt;"Serviço",0,IF(AND(AUTOEVENTO="Manual",$M42=1),0,IF(OFFSET(CRONOPLE!$F$14,$M42,BO$13)="",10^12,OFFSET(CRONOPLE!$F$14,$M42,BO$13))))</f>
        <v>1000000000000</v>
      </c>
      <c r="BP42" s="181">
        <f ca="1">IF($D42&lt;&gt;"Serviço",0,IF(AND(AUTOEVENTO="Manual",$M42=1),0,IF(OFFSET(CRONOPLE!$F$14,$M42,BP$13)="",10^12,OFFSET(CRONOPLE!$F$14,$M42,BP$13))))</f>
        <v>1000000000000</v>
      </c>
      <c r="BQ42" s="181">
        <f ca="1">IF($D42&lt;&gt;"Serviço",0,IF(AND(AUTOEVENTO="Manual",$M42=1),0,IF(OFFSET(CRONOPLE!$F$14,$M42,BQ$13)="",10^12,OFFSET(CRONOPLE!$F$14,$M42,BQ$13))))</f>
        <v>1000000000000</v>
      </c>
      <c r="BR42" s="181">
        <f ca="1">IF($D42&lt;&gt;"Serviço",0,IF(AND(AUTOEVENTO="Manual",$M42=1),0,IF(OFFSET(CRONOPLE!$F$14,$M42,BR$13)="",10^12,OFFSET(CRONOPLE!$F$14,$M42,BR$13))))</f>
        <v>1000000000000</v>
      </c>
      <c r="BS42" s="181">
        <f ca="1">IF($D42&lt;&gt;"Serviço",0,IF(AND(AUTOEVENTO="Manual",$M42=1),0,IF(OFFSET(CRONOPLE!$F$14,$M42,BS$13)="",10^12,OFFSET(CRONOPLE!$F$14,$M42,BS$13))))</f>
        <v>1000000000000</v>
      </c>
      <c r="BT42" s="181">
        <f ca="1">IF($D42&lt;&gt;"Serviço",0,IF(AND(AUTOEVENTO="Manual",$M42=1),0,IF(OFFSET(CRONOPLE!$F$14,$M42,BT$13)="",10^12,OFFSET(CRONOPLE!$F$14,$M42,BT$13))))</f>
        <v>1000000000000</v>
      </c>
      <c r="BV42" s="182">
        <f ca="1">IF($D42&lt;&gt;"Serviço",0,IF(OR(AND(AUTOEVENTO="Manual",$M42=1),$M42&gt;(ROW(PLE.lastrow)-ROW(PLE.firstrow))),0,IF(OFFSET(PLE!$G$14,$M42,BV$13)="",10^12,OFFSET(PLE!$G$14,$M42,BV$13))))</f>
        <v>1000000000000</v>
      </c>
      <c r="BW42" s="182">
        <f ca="1">IF($D42&lt;&gt;"Serviço",0,IF(OR(AND(AUTOEVENTO="Manual",$M42=1),$M42&gt;(ROW(PLE.lastrow)-ROW(PLE.firstrow))),0,IF(OFFSET(PLE!$G$14,$M42,BW$13)="",10^12,OFFSET(PLE!$G$14,$M42,BW$13))))</f>
        <v>1000000000000</v>
      </c>
      <c r="BX42" s="182">
        <f ca="1">IF($D42&lt;&gt;"Serviço",0,IF(OR(AND(AUTOEVENTO="Manual",$M42=1),$M42&gt;(ROW(PLE.lastrow)-ROW(PLE.firstrow))),0,IF(OFFSET(PLE!$G$14,$M42,BX$13)="",10^12,OFFSET(PLE!$G$14,$M42,BX$13))))</f>
        <v>1000000000000</v>
      </c>
      <c r="BY42" s="182">
        <f ca="1">IF($D42&lt;&gt;"Serviço",0,IF(OR(AND(AUTOEVENTO="Manual",$M42=1),$M42&gt;(ROW(PLE.lastrow)-ROW(PLE.firstrow))),0,IF(OFFSET(PLE!$G$14,$M42,BY$13)="",10^12,OFFSET(PLE!$G$14,$M42,BY$13))))</f>
        <v>1000000000000</v>
      </c>
      <c r="BZ42" s="182">
        <f ca="1">IF($D42&lt;&gt;"Serviço",0,IF(OR(AND(AUTOEVENTO="Manual",$M42=1),$M42&gt;(ROW(PLE.lastrow)-ROW(PLE.firstrow))),0,IF(OFFSET(PLE!$G$14,$M42,BZ$13)="",10^12,OFFSET(PLE!$G$14,$M42,BZ$13))))</f>
        <v>1000000000000</v>
      </c>
      <c r="CA42" s="182">
        <f ca="1">IF($D42&lt;&gt;"Serviço",0,IF(OR(AND(AUTOEVENTO="Manual",$M42=1),$M42&gt;(ROW(PLE.lastrow)-ROW(PLE.firstrow))),0,IF(OFFSET(PLE!$G$14,$M42,CA$13)="",10^12,OFFSET(PLE!$G$14,$M42,CA$13))))</f>
        <v>1000000000000</v>
      </c>
      <c r="CB42" s="182">
        <f ca="1">IF($D42&lt;&gt;"Serviço",0,IF(OR(AND(AUTOEVENTO="Manual",$M42=1),$M42&gt;(ROW(PLE.lastrow)-ROW(PLE.firstrow))),0,IF(OFFSET(PLE!$G$14,$M42,CB$13)="",10^12,OFFSET(PLE!$G$14,$M42,CB$13))))</f>
        <v>1000000000000</v>
      </c>
      <c r="CC42" s="182">
        <f ca="1">IF($D42&lt;&gt;"Serviço",0,IF(OR(AND(AUTOEVENTO="Manual",$M42=1),$M42&gt;(ROW(PLE.lastrow)-ROW(PLE.firstrow))),0,IF(OFFSET(PLE!$G$14,$M42,CC$13)="",10^12,OFFSET(PLE!$G$14,$M42,CC$13))))</f>
        <v>1000000000000</v>
      </c>
      <c r="CD42" s="182">
        <f ca="1">IF($D42&lt;&gt;"Serviço",0,IF(OR(AND(AUTOEVENTO="Manual",$M42=1),$M42&gt;(ROW(PLE.lastrow)-ROW(PLE.firstrow))),0,IF(OFFSET(PLE!$G$14,$M42,CD$13)="",10^12,OFFSET(PLE!$G$14,$M42,CD$13))))</f>
        <v>1000000000000</v>
      </c>
      <c r="CE42" s="182">
        <f ca="1">IF($D42&lt;&gt;"Serviço",0,IF(OR(AND(AUTOEVENTO="Manual",$M42=1),$M42&gt;(ROW(PLE.lastrow)-ROW(PLE.firstrow))),0,IF(OFFSET(PLE!$G$14,$M42,CE$13)="",10^12,OFFSET(PLE!$G$14,$M42,CE$13))))</f>
        <v>1000000000000</v>
      </c>
      <c r="CF42" s="182">
        <f ca="1">IF($D42&lt;&gt;"Serviço",0,IF(OR(AND(AUTOEVENTO="Manual",$M42=1),$M42&gt;(ROW(PLE.lastrow)-ROW(PLE.firstrow))),0,IF(OFFSET(PLE!$G$14,$M42,CF$13)="",10^12,OFFSET(PLE!$G$14,$M42,CF$13))))</f>
        <v>1000000000000</v>
      </c>
      <c r="CG42" s="182">
        <f ca="1">IF($D42&lt;&gt;"Serviço",0,IF(OR(AND(AUTOEVENTO="Manual",$M42=1),$M42&gt;(ROW(PLE.lastrow)-ROW(PLE.firstrow))),0,IF(OFFSET(PLE!$G$14,$M42,CG$13)="",10^12,OFFSET(PLE!$G$14,$M42,CG$13))))</f>
        <v>1000000000000</v>
      </c>
      <c r="CH42" s="182">
        <f ca="1">IF($D42&lt;&gt;"Serviço",0,IF(OR(AND(AUTOEVENTO="Manual",$M42=1),$M42&gt;(ROW(PLE.lastrow)-ROW(PLE.firstrow))),0,IF(OFFSET(PLE!$G$14,$M42,CH$13)="",10^12,OFFSET(PLE!$G$14,$M42,CH$13))))</f>
        <v>1000000000000</v>
      </c>
      <c r="CI42" s="182">
        <f ca="1">IF($D42&lt;&gt;"Serviço",0,IF(OR(AND(AUTOEVENTO="Manual",$M42=1),$M42&gt;(ROW(PLE.lastrow)-ROW(PLE.firstrow))),0,IF(OFFSET(PLE!$G$14,$M42,CI$13)="",10^12,OFFSET(PLE!$G$14,$M42,CI$13))))</f>
        <v>1000000000000</v>
      </c>
      <c r="CJ42" s="182">
        <f ca="1">IF($D42&lt;&gt;"Serviço",0,IF(OR(AND(AUTOEVENTO="Manual",$M42=1),$M42&gt;(ROW(PLE.lastrow)-ROW(PLE.firstrow))),0,IF(OFFSET(PLE!$G$14,$M42,CJ$13)="",10^12,OFFSET(PLE!$G$14,$M42,CJ$13))))</f>
        <v>1000000000000</v>
      </c>
      <c r="CK42" s="182">
        <f ca="1">IF($D42&lt;&gt;"Serviço",0,IF(OR(AND(AUTOEVENTO="Manual",$M42=1),$M42&gt;(ROW(PLE.lastrow)-ROW(PLE.firstrow))),0,IF(OFFSET(PLE!$G$14,$M42,CK$13)="",10^12,OFFSET(PLE!$G$14,$M42,CK$13))))</f>
        <v>1000000000000</v>
      </c>
      <c r="CL42" s="182">
        <f ca="1">IF($D42&lt;&gt;"Serviço",0,IF(OR(AND(AUTOEVENTO="Manual",$M42=1),$M42&gt;(ROW(PLE.lastrow)-ROW(PLE.firstrow))),0,IF(OFFSET(PLE!$G$14,$M42,CL$13)="",10^12,OFFSET(PLE!$G$14,$M42,CL$13))))</f>
        <v>1000000000000</v>
      </c>
      <c r="CM42" s="182">
        <f ca="1">IF($D42&lt;&gt;"Serviço",0,IF(OR(AND(AUTOEVENTO="Manual",$M42=1),$M42&gt;(ROW(PLE.lastrow)-ROW(PLE.firstrow))),0,IF(OFFSET(PLE!$G$14,$M42,CM$13)="",10^12,OFFSET(PLE!$G$14,$M42,CM$13))))</f>
        <v>1000000000000</v>
      </c>
    </row>
    <row r="43" spans="1:91" ht="38.25" x14ac:dyDescent="0.2">
      <c r="A43" s="7" t="str">
        <f t="shared" ca="1" si="9"/>
        <v>25</v>
      </c>
      <c r="B43" s="7" t="str">
        <f ca="1">OFFSET(ORÇAMENTO!C$15,ROW(B43)-ROW(B$15),0)</f>
        <v>S</v>
      </c>
      <c r="C43" s="7" t="str">
        <f ca="1">OFFSET(ORÇAMENTO!L$15,ROW(C43)-ROW(C$15),0)</f>
        <v/>
      </c>
      <c r="D43" s="118" t="str">
        <f ca="1">OFFSET(ORÇAMENTO!N$15,ROW(D43)-ROW(D$15),0)</f>
        <v>Serviço</v>
      </c>
      <c r="E43" s="119" t="str">
        <f ca="1">OFFSET(ORÇAMENTO!O$15,ROW(E43)-ROW(E$15),0)</f>
        <v>-</v>
      </c>
      <c r="F43" s="172" t="str">
        <f ca="1">OFFSET(ORÇAMENTO!R$15,ROW(F43)-ROW(F$15),0)</f>
        <v>(abra o arquivo 'Referência 06-2024.xlsm)</v>
      </c>
      <c r="G43" s="173" t="str">
        <f ca="1">IF($D43&lt;&gt;"Serviço","",OFFSET(ORÇAMENTO!S$15,ROW(G43)-ROW(G$15),0))</f>
        <v>-</v>
      </c>
      <c r="H43" s="124">
        <f ca="1">IF($D43&lt;&gt;"Serviço",0,IF(ACOMPANHAMENTO="BM",ROUND(OFFSET(ORÇAMENTO!AJ$15,ROW(H43)-ROW(H$15),0),15-13*ORÇAMENTO!$AF$7),SUMPRODUCT(($Q$12:$AI$12&lt;&gt;"")*ROUND($Q43:$AI43,15-13*ORÇAMENTO!$AF$7))))</f>
        <v>19.46</v>
      </c>
      <c r="I43" s="561" t="s">
        <v>1107</v>
      </c>
      <c r="K43" s="174" t="s">
        <v>1027</v>
      </c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7</v>
      </c>
      <c r="N43" s="177" t="str">
        <f ca="1">IF($D43&lt;&gt;"Serviço","",IF(AUTOEVENTO="Manual",IF($A43=0,"&lt;-- defina o número do agrupador",OFFSET(EVENTOS!$D$14,$A43,0)),OFFSET($F$15,$A43,0)))</f>
        <v>FUNDAÇÕES - CONCRETO ARMADO PARA SAPATAS</v>
      </c>
      <c r="O43" s="178"/>
      <c r="Q43" s="178">
        <v>19.46</v>
      </c>
      <c r="R43" s="179"/>
      <c r="S43" s="179"/>
      <c r="T43" s="179"/>
      <c r="U43" s="179"/>
      <c r="V43" s="179"/>
      <c r="W43" s="179"/>
      <c r="X43" s="179"/>
      <c r="Y43" s="179"/>
      <c r="Z43" s="180"/>
      <c r="AA43" s="179"/>
      <c r="AB43" s="179"/>
      <c r="AC43" s="179"/>
      <c r="AD43" s="179"/>
      <c r="AE43" s="179"/>
      <c r="AF43" s="179"/>
      <c r="AG43" s="179"/>
      <c r="AH43" s="180"/>
      <c r="AJ43" s="544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545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L43" s="545">
        <f ca="1">IF(AND($D43="Serviço",AL$12&lt;&gt;0,$H43&gt;0,OR(AUTOEVENTO&lt;&gt;"manual",$M43&lt;&gt;1)),
IF(Import.TipoArredondamento&lt;&gt;"TransfereGOV",
ROUND(OFFSET($P43,0,AL$13),15-13*ORÇAMENTO!$AF$7)/$H43*OFFSET(ORÇAMENTO!$X$15,ROW(AL43)-ROW(AL$15),0),
ROUND(ROUND(OFFSET($P43,0,AL$13),15-13*ORÇAMENTO!$AF$7)*OFFSET(ORÇAMENTO!$W$15,ROW(AL43)-ROW(AL$15),0),15-13*ORÇAMENTO!$AF$11)),0)</f>
        <v>0</v>
      </c>
      <c r="AM43" s="545">
        <f ca="1">IF(AND($D43="Serviço",AM$12&lt;&gt;0,$H43&gt;0,OR(AUTOEVENTO&lt;&gt;"manual",$M43&lt;&gt;1)),
IF(Import.TipoArredondamento&lt;&gt;"TransfereGOV",
ROUND(OFFSET($P43,0,AM$13),15-13*ORÇAMENTO!$AF$7)/$H43*OFFSET(ORÇAMENTO!$X$15,ROW(AM43)-ROW(AM$15),0),
ROUND(ROUND(OFFSET($P43,0,AM$13),15-13*ORÇAMENTO!$AF$7)*OFFSET(ORÇAMENTO!$W$15,ROW(AM43)-ROW(AM$15),0),15-13*ORÇAMENTO!$AF$11)),0)</f>
        <v>0</v>
      </c>
      <c r="AN43" s="545">
        <f ca="1">IF(AND($D43="Serviço",AN$12&lt;&gt;0,$H43&gt;0,OR(AUTOEVENTO&lt;&gt;"manual",$M43&lt;&gt;1)),
IF(Import.TipoArredondamento&lt;&gt;"TransfereGOV",
ROUND(OFFSET($P43,0,AN$13),15-13*ORÇAMENTO!$AF$7)/$H43*OFFSET(ORÇAMENTO!$X$15,ROW(AN43)-ROW(AN$15),0),
ROUND(ROUND(OFFSET($P43,0,AN$13),15-13*ORÇAMENTO!$AF$7)*OFFSET(ORÇAMENTO!$W$15,ROW(AN43)-ROW(AN$15),0),15-13*ORÇAMENTO!$AF$11)),0)</f>
        <v>0</v>
      </c>
      <c r="AO43" s="545">
        <f ca="1">IF(AND($D43="Serviço",AO$12&lt;&gt;0,$H43&gt;0,OR(AUTOEVENTO&lt;&gt;"manual",$M43&lt;&gt;1)),
IF(Import.TipoArredondamento&lt;&gt;"TransfereGOV",
ROUND(OFFSET($P43,0,AO$13),15-13*ORÇAMENTO!$AF$7)/$H43*OFFSET(ORÇAMENTO!$X$15,ROW(AO43)-ROW(AO$15),0),
ROUND(ROUND(OFFSET($P43,0,AO$13),15-13*ORÇAMENTO!$AF$7)*OFFSET(ORÇAMENTO!$W$15,ROW(AO43)-ROW(AO$15),0),15-13*ORÇAMENTO!$AF$11)),0)</f>
        <v>0</v>
      </c>
      <c r="AP43" s="545">
        <f ca="1">IF(AND($D43="Serviço",AP$12&lt;&gt;0,$H43&gt;0,OR(AUTOEVENTO&lt;&gt;"manual",$M43&lt;&gt;1)),
IF(Import.TipoArredondamento&lt;&gt;"TransfereGOV",
ROUND(OFFSET($P43,0,AP$13),15-13*ORÇAMENTO!$AF$7)/$H43*OFFSET(ORÇAMENTO!$X$15,ROW(AP43)-ROW(AP$15),0),
ROUND(ROUND(OFFSET($P43,0,AP$13),15-13*ORÇAMENTO!$AF$7)*OFFSET(ORÇAMENTO!$W$15,ROW(AP43)-ROW(AP$15),0),15-13*ORÇAMENTO!$AF$11)),0)</f>
        <v>0</v>
      </c>
      <c r="AQ43" s="545">
        <f ca="1">IF(AND($D43="Serviço",AQ$12&lt;&gt;0,$H43&gt;0,OR(AUTOEVENTO&lt;&gt;"manual",$M43&lt;&gt;1)),
IF(Import.TipoArredondamento&lt;&gt;"TransfereGOV",
ROUND(OFFSET($P43,0,AQ$13),15-13*ORÇAMENTO!$AF$7)/$H43*OFFSET(ORÇAMENTO!$X$15,ROW(AQ43)-ROW(AQ$15),0),
ROUND(ROUND(OFFSET($P43,0,AQ$13),15-13*ORÇAMENTO!$AF$7)*OFFSET(ORÇAMENTO!$W$15,ROW(AQ43)-ROW(AQ$15),0),15-13*ORÇAMENTO!$AF$11)),0)</f>
        <v>0</v>
      </c>
      <c r="AR43" s="545">
        <f ca="1">IF(AND($D43="Serviço",AR$12&lt;&gt;0,$H43&gt;0,OR(AUTOEVENTO&lt;&gt;"manual",$M43&lt;&gt;1)),
IF(Import.TipoArredondamento&lt;&gt;"TransfereGOV",
ROUND(OFFSET($P43,0,AR$13),15-13*ORÇAMENTO!$AF$7)/$H43*OFFSET(ORÇAMENTO!$X$15,ROW(AR43)-ROW(AR$15),0),
ROUND(ROUND(OFFSET($P43,0,AR$13),15-13*ORÇAMENTO!$AF$7)*OFFSET(ORÇAMENTO!$W$15,ROW(AR43)-ROW(AR$15),0),15-13*ORÇAMENTO!$AF$11)),0)</f>
        <v>0</v>
      </c>
      <c r="AS43" s="546">
        <f ca="1">IF(AND($D43="Serviço",AS$12&lt;&gt;0,$H43&gt;0,OR(AUTOEVENTO&lt;&gt;"manual",$M43&lt;&gt;1)),
IF(Import.TipoArredondamento&lt;&gt;"TransfereGOV",
ROUND(OFFSET($P43,0,AS$13),15-13*ORÇAMENTO!$AF$7)/$H43*OFFSET(ORÇAMENTO!$X$15,ROW(AS43)-ROW(AS$15),0),
ROUND(ROUND(OFFSET($P43,0,AS$13),15-13*ORÇAMENTO!$AF$7)*OFFSET(ORÇAMENTO!$W$15,ROW(AS43)-ROW(AS$15),0),15-13*ORÇAMENTO!$AF$11)),0)</f>
        <v>0</v>
      </c>
      <c r="AT43" s="545">
        <f ca="1">IF(AND($D43="Serviço",AT$12&lt;&gt;0,$H43&gt;0,OR(AUTOEVENTO&lt;&gt;"manual",$M43&lt;&gt;1)),
IF(Import.TipoArredondamento&lt;&gt;"TransfereGOV",
ROUND(OFFSET($P43,0,AT$13),15-13*ORÇAMENTO!$AF$7)/$H43*OFFSET(ORÇAMENTO!$X$15,ROW(AT43)-ROW(AT$15),0),
ROUND(ROUND(OFFSET($P43,0,AT$13),15-13*ORÇAMENTO!$AF$7)*OFFSET(ORÇAMENTO!$W$15,ROW(AT43)-ROW(AT$15),0),15-13*ORÇAMENTO!$AF$11)),0)</f>
        <v>0</v>
      </c>
      <c r="AU43" s="545">
        <f ca="1">IF(AND($D43="Serviço",AU$12&lt;&gt;0,$H43&gt;0,OR(AUTOEVENTO&lt;&gt;"manual",$M43&lt;&gt;1)),
IF(Import.TipoArredondamento&lt;&gt;"TransfereGOV",
ROUND(OFFSET($P43,0,AU$13),15-13*ORÇAMENTO!$AF$7)/$H43*OFFSET(ORÇAMENTO!$X$15,ROW(AU43)-ROW(AU$15),0),
ROUND(ROUND(OFFSET($P43,0,AU$13),15-13*ORÇAMENTO!$AF$7)*OFFSET(ORÇAMENTO!$W$15,ROW(AU43)-ROW(AU$15),0),15-13*ORÇAMENTO!$AF$11)),0)</f>
        <v>0</v>
      </c>
      <c r="AV43" s="545">
        <f ca="1">IF(AND($D43="Serviço",AV$12&lt;&gt;0,$H43&gt;0,OR(AUTOEVENTO&lt;&gt;"manual",$M43&lt;&gt;1)),
IF(Import.TipoArredondamento&lt;&gt;"TransfereGOV",
ROUND(OFFSET($P43,0,AV$13),15-13*ORÇAMENTO!$AF$7)/$H43*OFFSET(ORÇAMENTO!$X$15,ROW(AV43)-ROW(AV$15),0),
ROUND(ROUND(OFFSET($P43,0,AV$13),15-13*ORÇAMENTO!$AF$7)*OFFSET(ORÇAMENTO!$W$15,ROW(AV43)-ROW(AV$15),0),15-13*ORÇAMENTO!$AF$11)),0)</f>
        <v>0</v>
      </c>
      <c r="AW43" s="545">
        <f ca="1">IF(AND($D43="Serviço",AW$12&lt;&gt;0,$H43&gt;0,OR(AUTOEVENTO&lt;&gt;"manual",$M43&lt;&gt;1)),
IF(Import.TipoArredondamento&lt;&gt;"TransfereGOV",
ROUND(OFFSET($P43,0,AW$13),15-13*ORÇAMENTO!$AF$7)/$H43*OFFSET(ORÇAMENTO!$X$15,ROW(AW43)-ROW(AW$15),0),
ROUND(ROUND(OFFSET($P43,0,AW$13),15-13*ORÇAMENTO!$AF$7)*OFFSET(ORÇAMENTO!$W$15,ROW(AW43)-ROW(AW$15),0),15-13*ORÇAMENTO!$AF$11)),0)</f>
        <v>0</v>
      </c>
      <c r="AX43" s="545">
        <f ca="1">IF(AND($D43="Serviço",AX$12&lt;&gt;0,$H43&gt;0,OR(AUTOEVENTO&lt;&gt;"manual",$M43&lt;&gt;1)),
IF(Import.TipoArredondamento&lt;&gt;"TransfereGOV",
ROUND(OFFSET($P43,0,AX$13),15-13*ORÇAMENTO!$AF$7)/$H43*OFFSET(ORÇAMENTO!$X$15,ROW(AX43)-ROW(AX$15),0),
ROUND(ROUND(OFFSET($P43,0,AX$13),15-13*ORÇAMENTO!$AF$7)*OFFSET(ORÇAMENTO!$W$15,ROW(AX43)-ROW(AX$15),0),15-13*ORÇAMENTO!$AF$11)),0)</f>
        <v>0</v>
      </c>
      <c r="AY43" s="545">
        <f ca="1">IF(AND($D43="Serviço",AY$12&lt;&gt;0,$H43&gt;0,OR(AUTOEVENTO&lt;&gt;"manual",$M43&lt;&gt;1)),
IF(Import.TipoArredondamento&lt;&gt;"TransfereGOV",
ROUND(OFFSET($P43,0,AY$13),15-13*ORÇAMENTO!$AF$7)/$H43*OFFSET(ORÇAMENTO!$X$15,ROW(AY43)-ROW(AY$15),0),
ROUND(ROUND(OFFSET($P43,0,AY$13),15-13*ORÇAMENTO!$AF$7)*OFFSET(ORÇAMENTO!$W$15,ROW(AY43)-ROW(AY$15),0),15-13*ORÇAMENTO!$AF$11)),0)</f>
        <v>0</v>
      </c>
      <c r="AZ43" s="545">
        <f ca="1">IF(AND($D43="Serviço",AZ$12&lt;&gt;0,$H43&gt;0,OR(AUTOEVENTO&lt;&gt;"manual",$M43&lt;&gt;1)),
IF(Import.TipoArredondamento&lt;&gt;"TransfereGOV",
ROUND(OFFSET($P43,0,AZ$13),15-13*ORÇAMENTO!$AF$7)/$H43*OFFSET(ORÇAMENTO!$X$15,ROW(AZ43)-ROW(AZ$15),0),
ROUND(ROUND(OFFSET($P43,0,AZ$13),15-13*ORÇAMENTO!$AF$7)*OFFSET(ORÇAMENTO!$W$15,ROW(AZ43)-ROW(AZ$15),0),15-13*ORÇAMENTO!$AF$11)),0)</f>
        <v>0</v>
      </c>
      <c r="BA43" s="546">
        <f ca="1">IF(AND($D43="Serviço",BA$12&lt;&gt;0,$H43&gt;0,OR(AUTOEVENTO&lt;&gt;"manual",$M43&lt;&gt;1)),
IF(Import.TipoArredondamento&lt;&gt;"TransfereGOV",
ROUND(OFFSET($P43,0,BA$13),15-13*ORÇAMENTO!$AF$7)/$H43*OFFSET(ORÇAMENTO!$X$15,ROW(BA43)-ROW(BA$15),0),
ROUND(ROUND(OFFSET($P43,0,BA$13),15-13*ORÇAMENTO!$AF$7)*OFFSET(ORÇAMENTO!$W$15,ROW(BA43)-ROW(BA$15),0),15-13*ORÇAMENTO!$AF$11)),0)</f>
        <v>0</v>
      </c>
      <c r="BC43" s="181">
        <f ca="1">IF($D43&lt;&gt;"Serviço",0,IF(AND(AUTOEVENTO="Manual",$M43=1),0,IF(OFFSET(CRONOPLE!$F$14,$M43,BC$13)="",10^12,OFFSET(CRONOPLE!$F$14,$M43,BC$13))))</f>
        <v>2</v>
      </c>
      <c r="BD43" s="181">
        <f ca="1">IF($D43&lt;&gt;"Serviço",0,IF(AND(AUTOEVENTO="Manual",$M43=1),0,IF(OFFSET(CRONOPLE!$F$14,$M43,BD$13)="",10^12,OFFSET(CRONOPLE!$F$14,$M43,BD$13))))</f>
        <v>1000000000000</v>
      </c>
      <c r="BE43" s="181">
        <f ca="1">IF($D43&lt;&gt;"Serviço",0,IF(AND(AUTOEVENTO="Manual",$M43=1),0,IF(OFFSET(CRONOPLE!$F$14,$M43,BE$13)="",10^12,OFFSET(CRONOPLE!$F$14,$M43,BE$13))))</f>
        <v>1000000000000</v>
      </c>
      <c r="BF43" s="181">
        <f ca="1">IF($D43&lt;&gt;"Serviço",0,IF(AND(AUTOEVENTO="Manual",$M43=1),0,IF(OFFSET(CRONOPLE!$F$14,$M43,BF$13)="",10^12,OFFSET(CRONOPLE!$F$14,$M43,BF$13))))</f>
        <v>1000000000000</v>
      </c>
      <c r="BG43" s="181">
        <f ca="1">IF($D43&lt;&gt;"Serviço",0,IF(AND(AUTOEVENTO="Manual",$M43=1),0,IF(OFFSET(CRONOPLE!$F$14,$M43,BG$13)="",10^12,OFFSET(CRONOPLE!$F$14,$M43,BG$13))))</f>
        <v>1000000000000</v>
      </c>
      <c r="BH43" s="181">
        <f ca="1">IF($D43&lt;&gt;"Serviço",0,IF(AND(AUTOEVENTO="Manual",$M43=1),0,IF(OFFSET(CRONOPLE!$F$14,$M43,BH$13)="",10^12,OFFSET(CRONOPLE!$F$14,$M43,BH$13))))</f>
        <v>1000000000000</v>
      </c>
      <c r="BI43" s="181">
        <f ca="1">IF($D43&lt;&gt;"Serviço",0,IF(AND(AUTOEVENTO="Manual",$M43=1),0,IF(OFFSET(CRONOPLE!$F$14,$M43,BI$13)="",10^12,OFFSET(CRONOPLE!$F$14,$M43,BI$13))))</f>
        <v>1000000000000</v>
      </c>
      <c r="BJ43" s="181">
        <f ca="1">IF($D43&lt;&gt;"Serviço",0,IF(AND(AUTOEVENTO="Manual",$M43=1),0,IF(OFFSET(CRONOPLE!$F$14,$M43,BJ$13)="",10^12,OFFSET(CRONOPLE!$F$14,$M43,BJ$13))))</f>
        <v>1000000000000</v>
      </c>
      <c r="BK43" s="181">
        <f ca="1">IF($D43&lt;&gt;"Serviço",0,IF(AND(AUTOEVENTO="Manual",$M43=1),0,IF(OFFSET(CRONOPLE!$F$14,$M43,BK$13)="",10^12,OFFSET(CRONOPLE!$F$14,$M43,BK$13))))</f>
        <v>1000000000000</v>
      </c>
      <c r="BL43" s="181">
        <f ca="1">IF($D43&lt;&gt;"Serviço",0,IF(AND(AUTOEVENTO="Manual",$M43=1),0,IF(OFFSET(CRONOPLE!$F$14,$M43,BL$13)="",10^12,OFFSET(CRONOPLE!$F$14,$M43,BL$13))))</f>
        <v>1000000000000</v>
      </c>
      <c r="BM43" s="181">
        <f ca="1">IF($D43&lt;&gt;"Serviço",0,IF(AND(AUTOEVENTO="Manual",$M43=1),0,IF(OFFSET(CRONOPLE!$F$14,$M43,BM$13)="",10^12,OFFSET(CRONOPLE!$F$14,$M43,BM$13))))</f>
        <v>1000000000000</v>
      </c>
      <c r="BN43" s="181">
        <f ca="1">IF($D43&lt;&gt;"Serviço",0,IF(AND(AUTOEVENTO="Manual",$M43=1),0,IF(OFFSET(CRONOPLE!$F$14,$M43,BN$13)="",10^12,OFFSET(CRONOPLE!$F$14,$M43,BN$13))))</f>
        <v>1000000000000</v>
      </c>
      <c r="BO43" s="181">
        <f ca="1">IF($D43&lt;&gt;"Serviço",0,IF(AND(AUTOEVENTO="Manual",$M43=1),0,IF(OFFSET(CRONOPLE!$F$14,$M43,BO$13)="",10^12,OFFSET(CRONOPLE!$F$14,$M43,BO$13))))</f>
        <v>1000000000000</v>
      </c>
      <c r="BP43" s="181">
        <f ca="1">IF($D43&lt;&gt;"Serviço",0,IF(AND(AUTOEVENTO="Manual",$M43=1),0,IF(OFFSET(CRONOPLE!$F$14,$M43,BP$13)="",10^12,OFFSET(CRONOPLE!$F$14,$M43,BP$13))))</f>
        <v>1000000000000</v>
      </c>
      <c r="BQ43" s="181">
        <f ca="1">IF($D43&lt;&gt;"Serviço",0,IF(AND(AUTOEVENTO="Manual",$M43=1),0,IF(OFFSET(CRONOPLE!$F$14,$M43,BQ$13)="",10^12,OFFSET(CRONOPLE!$F$14,$M43,BQ$13))))</f>
        <v>1000000000000</v>
      </c>
      <c r="BR43" s="181">
        <f ca="1">IF($D43&lt;&gt;"Serviço",0,IF(AND(AUTOEVENTO="Manual",$M43=1),0,IF(OFFSET(CRONOPLE!$F$14,$M43,BR$13)="",10^12,OFFSET(CRONOPLE!$F$14,$M43,BR$13))))</f>
        <v>1000000000000</v>
      </c>
      <c r="BS43" s="181">
        <f ca="1">IF($D43&lt;&gt;"Serviço",0,IF(AND(AUTOEVENTO="Manual",$M43=1),0,IF(OFFSET(CRONOPLE!$F$14,$M43,BS$13)="",10^12,OFFSET(CRONOPLE!$F$14,$M43,BS$13))))</f>
        <v>1000000000000</v>
      </c>
      <c r="BT43" s="181">
        <f ca="1">IF($D43&lt;&gt;"Serviço",0,IF(AND(AUTOEVENTO="Manual",$M43=1),0,IF(OFFSET(CRONOPLE!$F$14,$M43,BT$13)="",10^12,OFFSET(CRONOPLE!$F$14,$M43,BT$13))))</f>
        <v>1000000000000</v>
      </c>
      <c r="BV43" s="182">
        <f ca="1">IF($D43&lt;&gt;"Serviço",0,IF(OR(AND(AUTOEVENTO="Manual",$M43=1),$M43&gt;(ROW(PLE.lastrow)-ROW(PLE.firstrow))),0,IF(OFFSET(PLE!$G$14,$M43,BV$13)="",10^12,OFFSET(PLE!$G$14,$M43,BV$13))))</f>
        <v>1000000000000</v>
      </c>
      <c r="BW43" s="182">
        <f ca="1">IF($D43&lt;&gt;"Serviço",0,IF(OR(AND(AUTOEVENTO="Manual",$M43=1),$M43&gt;(ROW(PLE.lastrow)-ROW(PLE.firstrow))),0,IF(OFFSET(PLE!$G$14,$M43,BW$13)="",10^12,OFFSET(PLE!$G$14,$M43,BW$13))))</f>
        <v>1000000000000</v>
      </c>
      <c r="BX43" s="182">
        <f ca="1">IF($D43&lt;&gt;"Serviço",0,IF(OR(AND(AUTOEVENTO="Manual",$M43=1),$M43&gt;(ROW(PLE.lastrow)-ROW(PLE.firstrow))),0,IF(OFFSET(PLE!$G$14,$M43,BX$13)="",10^12,OFFSET(PLE!$G$14,$M43,BX$13))))</f>
        <v>1000000000000</v>
      </c>
      <c r="BY43" s="182">
        <f ca="1">IF($D43&lt;&gt;"Serviço",0,IF(OR(AND(AUTOEVENTO="Manual",$M43=1),$M43&gt;(ROW(PLE.lastrow)-ROW(PLE.firstrow))),0,IF(OFFSET(PLE!$G$14,$M43,BY$13)="",10^12,OFFSET(PLE!$G$14,$M43,BY$13))))</f>
        <v>1000000000000</v>
      </c>
      <c r="BZ43" s="182">
        <f ca="1">IF($D43&lt;&gt;"Serviço",0,IF(OR(AND(AUTOEVENTO="Manual",$M43=1),$M43&gt;(ROW(PLE.lastrow)-ROW(PLE.firstrow))),0,IF(OFFSET(PLE!$G$14,$M43,BZ$13)="",10^12,OFFSET(PLE!$G$14,$M43,BZ$13))))</f>
        <v>1000000000000</v>
      </c>
      <c r="CA43" s="182">
        <f ca="1">IF($D43&lt;&gt;"Serviço",0,IF(OR(AND(AUTOEVENTO="Manual",$M43=1),$M43&gt;(ROW(PLE.lastrow)-ROW(PLE.firstrow))),0,IF(OFFSET(PLE!$G$14,$M43,CA$13)="",10^12,OFFSET(PLE!$G$14,$M43,CA$13))))</f>
        <v>1000000000000</v>
      </c>
      <c r="CB43" s="182">
        <f ca="1">IF($D43&lt;&gt;"Serviço",0,IF(OR(AND(AUTOEVENTO="Manual",$M43=1),$M43&gt;(ROW(PLE.lastrow)-ROW(PLE.firstrow))),0,IF(OFFSET(PLE!$G$14,$M43,CB$13)="",10^12,OFFSET(PLE!$G$14,$M43,CB$13))))</f>
        <v>1000000000000</v>
      </c>
      <c r="CC43" s="182">
        <f ca="1">IF($D43&lt;&gt;"Serviço",0,IF(OR(AND(AUTOEVENTO="Manual",$M43=1),$M43&gt;(ROW(PLE.lastrow)-ROW(PLE.firstrow))),0,IF(OFFSET(PLE!$G$14,$M43,CC$13)="",10^12,OFFSET(PLE!$G$14,$M43,CC$13))))</f>
        <v>1000000000000</v>
      </c>
      <c r="CD43" s="182">
        <f ca="1">IF($D43&lt;&gt;"Serviço",0,IF(OR(AND(AUTOEVENTO="Manual",$M43=1),$M43&gt;(ROW(PLE.lastrow)-ROW(PLE.firstrow))),0,IF(OFFSET(PLE!$G$14,$M43,CD$13)="",10^12,OFFSET(PLE!$G$14,$M43,CD$13))))</f>
        <v>1000000000000</v>
      </c>
      <c r="CE43" s="182">
        <f ca="1">IF($D43&lt;&gt;"Serviço",0,IF(OR(AND(AUTOEVENTO="Manual",$M43=1),$M43&gt;(ROW(PLE.lastrow)-ROW(PLE.firstrow))),0,IF(OFFSET(PLE!$G$14,$M43,CE$13)="",10^12,OFFSET(PLE!$G$14,$M43,CE$13))))</f>
        <v>1000000000000</v>
      </c>
      <c r="CF43" s="182">
        <f ca="1">IF($D43&lt;&gt;"Serviço",0,IF(OR(AND(AUTOEVENTO="Manual",$M43=1),$M43&gt;(ROW(PLE.lastrow)-ROW(PLE.firstrow))),0,IF(OFFSET(PLE!$G$14,$M43,CF$13)="",10^12,OFFSET(PLE!$G$14,$M43,CF$13))))</f>
        <v>1000000000000</v>
      </c>
      <c r="CG43" s="182">
        <f ca="1">IF($D43&lt;&gt;"Serviço",0,IF(OR(AND(AUTOEVENTO="Manual",$M43=1),$M43&gt;(ROW(PLE.lastrow)-ROW(PLE.firstrow))),0,IF(OFFSET(PLE!$G$14,$M43,CG$13)="",10^12,OFFSET(PLE!$G$14,$M43,CG$13))))</f>
        <v>1000000000000</v>
      </c>
      <c r="CH43" s="182">
        <f ca="1">IF($D43&lt;&gt;"Serviço",0,IF(OR(AND(AUTOEVENTO="Manual",$M43=1),$M43&gt;(ROW(PLE.lastrow)-ROW(PLE.firstrow))),0,IF(OFFSET(PLE!$G$14,$M43,CH$13)="",10^12,OFFSET(PLE!$G$14,$M43,CH$13))))</f>
        <v>1000000000000</v>
      </c>
      <c r="CI43" s="182">
        <f ca="1">IF($D43&lt;&gt;"Serviço",0,IF(OR(AND(AUTOEVENTO="Manual",$M43=1),$M43&gt;(ROW(PLE.lastrow)-ROW(PLE.firstrow))),0,IF(OFFSET(PLE!$G$14,$M43,CI$13)="",10^12,OFFSET(PLE!$G$14,$M43,CI$13))))</f>
        <v>1000000000000</v>
      </c>
      <c r="CJ43" s="182">
        <f ca="1">IF($D43&lt;&gt;"Serviço",0,IF(OR(AND(AUTOEVENTO="Manual",$M43=1),$M43&gt;(ROW(PLE.lastrow)-ROW(PLE.firstrow))),0,IF(OFFSET(PLE!$G$14,$M43,CJ$13)="",10^12,OFFSET(PLE!$G$14,$M43,CJ$13))))</f>
        <v>1000000000000</v>
      </c>
      <c r="CK43" s="182">
        <f ca="1">IF($D43&lt;&gt;"Serviço",0,IF(OR(AND(AUTOEVENTO="Manual",$M43=1),$M43&gt;(ROW(PLE.lastrow)-ROW(PLE.firstrow))),0,IF(OFFSET(PLE!$G$14,$M43,CK$13)="",10^12,OFFSET(PLE!$G$14,$M43,CK$13))))</f>
        <v>1000000000000</v>
      </c>
      <c r="CL43" s="182">
        <f ca="1">IF($D43&lt;&gt;"Serviço",0,IF(OR(AND(AUTOEVENTO="Manual",$M43=1),$M43&gt;(ROW(PLE.lastrow)-ROW(PLE.firstrow))),0,IF(OFFSET(PLE!$G$14,$M43,CL$13)="",10^12,OFFSET(PLE!$G$14,$M43,CL$13))))</f>
        <v>1000000000000</v>
      </c>
      <c r="CM43" s="182">
        <f ca="1">IF($D43&lt;&gt;"Serviço",0,IF(OR(AND(AUTOEVENTO="Manual",$M43=1),$M43&gt;(ROW(PLE.lastrow)-ROW(PLE.firstrow))),0,IF(OFFSET(PLE!$G$14,$M43,CM$13)="",10^12,OFFSET(PLE!$G$14,$M43,CM$13))))</f>
        <v>1000000000000</v>
      </c>
    </row>
    <row r="44" spans="1:91" ht="25.5" x14ac:dyDescent="0.2">
      <c r="A44" s="7" t="str">
        <f t="shared" ca="1" si="9"/>
        <v>25</v>
      </c>
      <c r="B44" s="7" t="str">
        <f ca="1">OFFSET(ORÇAMENTO!C$15,ROW(B44)-ROW(B$15),0)</f>
        <v>S</v>
      </c>
      <c r="C44" s="7" t="str">
        <f ca="1">OFFSET(ORÇAMENTO!L$15,ROW(C44)-ROW(C$15),0)</f>
        <v/>
      </c>
      <c r="D44" s="118" t="str">
        <f ca="1">OFFSET(ORÇAMENTO!N$15,ROW(D44)-ROW(D$15),0)</f>
        <v>Serviço</v>
      </c>
      <c r="E44" s="119" t="str">
        <f ca="1">OFFSET(ORÇAMENTO!O$15,ROW(E44)-ROW(E$15),0)</f>
        <v>-</v>
      </c>
      <c r="F44" s="172" t="str">
        <f ca="1">OFFSET(ORÇAMENTO!R$15,ROW(F44)-ROW(F$15),0)</f>
        <v>(abra o arquivo 'Referência 06-2024.xlsm)</v>
      </c>
      <c r="G44" s="173" t="str">
        <f ca="1">IF($D44&lt;&gt;"Serviço","",OFFSET(ORÇAMENTO!S$15,ROW(G44)-ROW(G$15),0))</f>
        <v>-</v>
      </c>
      <c r="H44" s="124">
        <f ca="1">IF($D44&lt;&gt;"Serviço",0,IF(ACOMPANHAMENTO="BM",ROUND(OFFSET(ORÇAMENTO!AJ$15,ROW(H44)-ROW(H$15),0),15-13*ORÇAMENTO!$AF$7),SUMPRODUCT(($Q$12:$AI$12&lt;&gt;"")*ROUND($Q44:$AI44,15-13*ORÇAMENTO!$AF$7))))</f>
        <v>129.56</v>
      </c>
      <c r="I44" s="561" t="s">
        <v>1107</v>
      </c>
      <c r="K44" s="174" t="s">
        <v>1027</v>
      </c>
      <c r="L44" s="175" t="s">
        <v>255</v>
      </c>
      <c r="M44" s="176">
        <f ca="1">IF($D44&lt;&gt;"Serviço","",IF(AUTOEVENTO="manual",$A44,IF(ISERROR(MATCH($A44,$A$15:OFFSET($A44,-1,0),0)),MAX($M$15:OFFSET(M44,-1,0))+1,INDEX($M$15:OFFSET(M44,-1,0),MATCH($A44,$A$15:OFFSET($A44,-1,0),0)))))</f>
        <v>7</v>
      </c>
      <c r="N44" s="177" t="str">
        <f ca="1">IF($D44&lt;&gt;"Serviço","",IF(AUTOEVENTO="Manual",IF($A44=0,"&lt;-- defina o número do agrupador",OFFSET(EVENTOS!$D$14,$A44,0)),OFFSET($F$15,$A44,0)))</f>
        <v>FUNDAÇÕES - CONCRETO ARMADO PARA SAPATAS</v>
      </c>
      <c r="O44" s="178"/>
      <c r="Q44" s="178">
        <v>129.56</v>
      </c>
      <c r="R44" s="179"/>
      <c r="S44" s="179"/>
      <c r="T44" s="179"/>
      <c r="U44" s="179"/>
      <c r="V44" s="179"/>
      <c r="W44" s="179"/>
      <c r="X44" s="179"/>
      <c r="Y44" s="179"/>
      <c r="Z44" s="180"/>
      <c r="AA44" s="179"/>
      <c r="AB44" s="179"/>
      <c r="AC44" s="179"/>
      <c r="AD44" s="179"/>
      <c r="AE44" s="179"/>
      <c r="AF44" s="179"/>
      <c r="AG44" s="179"/>
      <c r="AH44" s="180"/>
      <c r="AJ44" s="544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545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L44" s="545">
        <f ca="1">IF(AND($D44="Serviço",AL$12&lt;&gt;0,$H44&gt;0,OR(AUTOEVENTO&lt;&gt;"manual",$M44&lt;&gt;1)),
IF(Import.TipoArredondamento&lt;&gt;"TransfereGOV",
ROUND(OFFSET($P44,0,AL$13),15-13*ORÇAMENTO!$AF$7)/$H44*OFFSET(ORÇAMENTO!$X$15,ROW(AL44)-ROW(AL$15),0),
ROUND(ROUND(OFFSET($P44,0,AL$13),15-13*ORÇAMENTO!$AF$7)*OFFSET(ORÇAMENTO!$W$15,ROW(AL44)-ROW(AL$15),0),15-13*ORÇAMENTO!$AF$11)),0)</f>
        <v>0</v>
      </c>
      <c r="AM44" s="545">
        <f ca="1">IF(AND($D44="Serviço",AM$12&lt;&gt;0,$H44&gt;0,OR(AUTOEVENTO&lt;&gt;"manual",$M44&lt;&gt;1)),
IF(Import.TipoArredondamento&lt;&gt;"TransfereGOV",
ROUND(OFFSET($P44,0,AM$13),15-13*ORÇAMENTO!$AF$7)/$H44*OFFSET(ORÇAMENTO!$X$15,ROW(AM44)-ROW(AM$15),0),
ROUND(ROUND(OFFSET($P44,0,AM$13),15-13*ORÇAMENTO!$AF$7)*OFFSET(ORÇAMENTO!$W$15,ROW(AM44)-ROW(AM$15),0),15-13*ORÇAMENTO!$AF$11)),0)</f>
        <v>0</v>
      </c>
      <c r="AN44" s="545">
        <f ca="1">IF(AND($D44="Serviço",AN$12&lt;&gt;0,$H44&gt;0,OR(AUTOEVENTO&lt;&gt;"manual",$M44&lt;&gt;1)),
IF(Import.TipoArredondamento&lt;&gt;"TransfereGOV",
ROUND(OFFSET($P44,0,AN$13),15-13*ORÇAMENTO!$AF$7)/$H44*OFFSET(ORÇAMENTO!$X$15,ROW(AN44)-ROW(AN$15),0),
ROUND(ROUND(OFFSET($P44,0,AN$13),15-13*ORÇAMENTO!$AF$7)*OFFSET(ORÇAMENTO!$W$15,ROW(AN44)-ROW(AN$15),0),15-13*ORÇAMENTO!$AF$11)),0)</f>
        <v>0</v>
      </c>
      <c r="AO44" s="545">
        <f ca="1">IF(AND($D44="Serviço",AO$12&lt;&gt;0,$H44&gt;0,OR(AUTOEVENTO&lt;&gt;"manual",$M44&lt;&gt;1)),
IF(Import.TipoArredondamento&lt;&gt;"TransfereGOV",
ROUND(OFFSET($P44,0,AO$13),15-13*ORÇAMENTO!$AF$7)/$H44*OFFSET(ORÇAMENTO!$X$15,ROW(AO44)-ROW(AO$15),0),
ROUND(ROUND(OFFSET($P44,0,AO$13),15-13*ORÇAMENTO!$AF$7)*OFFSET(ORÇAMENTO!$W$15,ROW(AO44)-ROW(AO$15),0),15-13*ORÇAMENTO!$AF$11)),0)</f>
        <v>0</v>
      </c>
      <c r="AP44" s="545">
        <f ca="1">IF(AND($D44="Serviço",AP$12&lt;&gt;0,$H44&gt;0,OR(AUTOEVENTO&lt;&gt;"manual",$M44&lt;&gt;1)),
IF(Import.TipoArredondamento&lt;&gt;"TransfereGOV",
ROUND(OFFSET($P44,0,AP$13),15-13*ORÇAMENTO!$AF$7)/$H44*OFFSET(ORÇAMENTO!$X$15,ROW(AP44)-ROW(AP$15),0),
ROUND(ROUND(OFFSET($P44,0,AP$13),15-13*ORÇAMENTO!$AF$7)*OFFSET(ORÇAMENTO!$W$15,ROW(AP44)-ROW(AP$15),0),15-13*ORÇAMENTO!$AF$11)),0)</f>
        <v>0</v>
      </c>
      <c r="AQ44" s="545">
        <f ca="1">IF(AND($D44="Serviço",AQ$12&lt;&gt;0,$H44&gt;0,OR(AUTOEVENTO&lt;&gt;"manual",$M44&lt;&gt;1)),
IF(Import.TipoArredondamento&lt;&gt;"TransfereGOV",
ROUND(OFFSET($P44,0,AQ$13),15-13*ORÇAMENTO!$AF$7)/$H44*OFFSET(ORÇAMENTO!$X$15,ROW(AQ44)-ROW(AQ$15),0),
ROUND(ROUND(OFFSET($P44,0,AQ$13),15-13*ORÇAMENTO!$AF$7)*OFFSET(ORÇAMENTO!$W$15,ROW(AQ44)-ROW(AQ$15),0),15-13*ORÇAMENTO!$AF$11)),0)</f>
        <v>0</v>
      </c>
      <c r="AR44" s="545">
        <f ca="1">IF(AND($D44="Serviço",AR$12&lt;&gt;0,$H44&gt;0,OR(AUTOEVENTO&lt;&gt;"manual",$M44&lt;&gt;1)),
IF(Import.TipoArredondamento&lt;&gt;"TransfereGOV",
ROUND(OFFSET($P44,0,AR$13),15-13*ORÇAMENTO!$AF$7)/$H44*OFFSET(ORÇAMENTO!$X$15,ROW(AR44)-ROW(AR$15),0),
ROUND(ROUND(OFFSET($P44,0,AR$13),15-13*ORÇAMENTO!$AF$7)*OFFSET(ORÇAMENTO!$W$15,ROW(AR44)-ROW(AR$15),0),15-13*ORÇAMENTO!$AF$11)),0)</f>
        <v>0</v>
      </c>
      <c r="AS44" s="546">
        <f ca="1">IF(AND($D44="Serviço",AS$12&lt;&gt;0,$H44&gt;0,OR(AUTOEVENTO&lt;&gt;"manual",$M44&lt;&gt;1)),
IF(Import.TipoArredondamento&lt;&gt;"TransfereGOV",
ROUND(OFFSET($P44,0,AS$13),15-13*ORÇAMENTO!$AF$7)/$H44*OFFSET(ORÇAMENTO!$X$15,ROW(AS44)-ROW(AS$15),0),
ROUND(ROUND(OFFSET($P44,0,AS$13),15-13*ORÇAMENTO!$AF$7)*OFFSET(ORÇAMENTO!$W$15,ROW(AS44)-ROW(AS$15),0),15-13*ORÇAMENTO!$AF$11)),0)</f>
        <v>0</v>
      </c>
      <c r="AT44" s="545">
        <f ca="1">IF(AND($D44="Serviço",AT$12&lt;&gt;0,$H44&gt;0,OR(AUTOEVENTO&lt;&gt;"manual",$M44&lt;&gt;1)),
IF(Import.TipoArredondamento&lt;&gt;"TransfereGOV",
ROUND(OFFSET($P44,0,AT$13),15-13*ORÇAMENTO!$AF$7)/$H44*OFFSET(ORÇAMENTO!$X$15,ROW(AT44)-ROW(AT$15),0),
ROUND(ROUND(OFFSET($P44,0,AT$13),15-13*ORÇAMENTO!$AF$7)*OFFSET(ORÇAMENTO!$W$15,ROW(AT44)-ROW(AT$15),0),15-13*ORÇAMENTO!$AF$11)),0)</f>
        <v>0</v>
      </c>
      <c r="AU44" s="545">
        <f ca="1">IF(AND($D44="Serviço",AU$12&lt;&gt;0,$H44&gt;0,OR(AUTOEVENTO&lt;&gt;"manual",$M44&lt;&gt;1)),
IF(Import.TipoArredondamento&lt;&gt;"TransfereGOV",
ROUND(OFFSET($P44,0,AU$13),15-13*ORÇAMENTO!$AF$7)/$H44*OFFSET(ORÇAMENTO!$X$15,ROW(AU44)-ROW(AU$15),0),
ROUND(ROUND(OFFSET($P44,0,AU$13),15-13*ORÇAMENTO!$AF$7)*OFFSET(ORÇAMENTO!$W$15,ROW(AU44)-ROW(AU$15),0),15-13*ORÇAMENTO!$AF$11)),0)</f>
        <v>0</v>
      </c>
      <c r="AV44" s="545">
        <f ca="1">IF(AND($D44="Serviço",AV$12&lt;&gt;0,$H44&gt;0,OR(AUTOEVENTO&lt;&gt;"manual",$M44&lt;&gt;1)),
IF(Import.TipoArredondamento&lt;&gt;"TransfereGOV",
ROUND(OFFSET($P44,0,AV$13),15-13*ORÇAMENTO!$AF$7)/$H44*OFFSET(ORÇAMENTO!$X$15,ROW(AV44)-ROW(AV$15),0),
ROUND(ROUND(OFFSET($P44,0,AV$13),15-13*ORÇAMENTO!$AF$7)*OFFSET(ORÇAMENTO!$W$15,ROW(AV44)-ROW(AV$15),0),15-13*ORÇAMENTO!$AF$11)),0)</f>
        <v>0</v>
      </c>
      <c r="AW44" s="545">
        <f ca="1">IF(AND($D44="Serviço",AW$12&lt;&gt;0,$H44&gt;0,OR(AUTOEVENTO&lt;&gt;"manual",$M44&lt;&gt;1)),
IF(Import.TipoArredondamento&lt;&gt;"TransfereGOV",
ROUND(OFFSET($P44,0,AW$13),15-13*ORÇAMENTO!$AF$7)/$H44*OFFSET(ORÇAMENTO!$X$15,ROW(AW44)-ROW(AW$15),0),
ROUND(ROUND(OFFSET($P44,0,AW$13),15-13*ORÇAMENTO!$AF$7)*OFFSET(ORÇAMENTO!$W$15,ROW(AW44)-ROW(AW$15),0),15-13*ORÇAMENTO!$AF$11)),0)</f>
        <v>0</v>
      </c>
      <c r="AX44" s="545">
        <f ca="1">IF(AND($D44="Serviço",AX$12&lt;&gt;0,$H44&gt;0,OR(AUTOEVENTO&lt;&gt;"manual",$M44&lt;&gt;1)),
IF(Import.TipoArredondamento&lt;&gt;"TransfereGOV",
ROUND(OFFSET($P44,0,AX$13),15-13*ORÇAMENTO!$AF$7)/$H44*OFFSET(ORÇAMENTO!$X$15,ROW(AX44)-ROW(AX$15),0),
ROUND(ROUND(OFFSET($P44,0,AX$13),15-13*ORÇAMENTO!$AF$7)*OFFSET(ORÇAMENTO!$W$15,ROW(AX44)-ROW(AX$15),0),15-13*ORÇAMENTO!$AF$11)),0)</f>
        <v>0</v>
      </c>
      <c r="AY44" s="545">
        <f ca="1">IF(AND($D44="Serviço",AY$12&lt;&gt;0,$H44&gt;0,OR(AUTOEVENTO&lt;&gt;"manual",$M44&lt;&gt;1)),
IF(Import.TipoArredondamento&lt;&gt;"TransfereGOV",
ROUND(OFFSET($P44,0,AY$13),15-13*ORÇAMENTO!$AF$7)/$H44*OFFSET(ORÇAMENTO!$X$15,ROW(AY44)-ROW(AY$15),0),
ROUND(ROUND(OFFSET($P44,0,AY$13),15-13*ORÇAMENTO!$AF$7)*OFFSET(ORÇAMENTO!$W$15,ROW(AY44)-ROW(AY$15),0),15-13*ORÇAMENTO!$AF$11)),0)</f>
        <v>0</v>
      </c>
      <c r="AZ44" s="545">
        <f ca="1">IF(AND($D44="Serviço",AZ$12&lt;&gt;0,$H44&gt;0,OR(AUTOEVENTO&lt;&gt;"manual",$M44&lt;&gt;1)),
IF(Import.TipoArredondamento&lt;&gt;"TransfereGOV",
ROUND(OFFSET($P44,0,AZ$13),15-13*ORÇAMENTO!$AF$7)/$H44*OFFSET(ORÇAMENTO!$X$15,ROW(AZ44)-ROW(AZ$15),0),
ROUND(ROUND(OFFSET($P44,0,AZ$13),15-13*ORÇAMENTO!$AF$7)*OFFSET(ORÇAMENTO!$W$15,ROW(AZ44)-ROW(AZ$15),0),15-13*ORÇAMENTO!$AF$11)),0)</f>
        <v>0</v>
      </c>
      <c r="BA44" s="546">
        <f ca="1">IF(AND($D44="Serviço",BA$12&lt;&gt;0,$H44&gt;0,OR(AUTOEVENTO&lt;&gt;"manual",$M44&lt;&gt;1)),
IF(Import.TipoArredondamento&lt;&gt;"TransfereGOV",
ROUND(OFFSET($P44,0,BA$13),15-13*ORÇAMENTO!$AF$7)/$H44*OFFSET(ORÇAMENTO!$X$15,ROW(BA44)-ROW(BA$15),0),
ROUND(ROUND(OFFSET($P44,0,BA$13),15-13*ORÇAMENTO!$AF$7)*OFFSET(ORÇAMENTO!$W$15,ROW(BA44)-ROW(BA$15),0),15-13*ORÇAMENTO!$AF$11)),0)</f>
        <v>0</v>
      </c>
      <c r="BC44" s="181">
        <f ca="1">IF($D44&lt;&gt;"Serviço",0,IF(AND(AUTOEVENTO="Manual",$M44=1),0,IF(OFFSET(CRONOPLE!$F$14,$M44,BC$13)="",10^12,OFFSET(CRONOPLE!$F$14,$M44,BC$13))))</f>
        <v>2</v>
      </c>
      <c r="BD44" s="181">
        <f ca="1">IF($D44&lt;&gt;"Serviço",0,IF(AND(AUTOEVENTO="Manual",$M44=1),0,IF(OFFSET(CRONOPLE!$F$14,$M44,BD$13)="",10^12,OFFSET(CRONOPLE!$F$14,$M44,BD$13))))</f>
        <v>1000000000000</v>
      </c>
      <c r="BE44" s="181">
        <f ca="1">IF($D44&lt;&gt;"Serviço",0,IF(AND(AUTOEVENTO="Manual",$M44=1),0,IF(OFFSET(CRONOPLE!$F$14,$M44,BE$13)="",10^12,OFFSET(CRONOPLE!$F$14,$M44,BE$13))))</f>
        <v>1000000000000</v>
      </c>
      <c r="BF44" s="181">
        <f ca="1">IF($D44&lt;&gt;"Serviço",0,IF(AND(AUTOEVENTO="Manual",$M44=1),0,IF(OFFSET(CRONOPLE!$F$14,$M44,BF$13)="",10^12,OFFSET(CRONOPLE!$F$14,$M44,BF$13))))</f>
        <v>1000000000000</v>
      </c>
      <c r="BG44" s="181">
        <f ca="1">IF($D44&lt;&gt;"Serviço",0,IF(AND(AUTOEVENTO="Manual",$M44=1),0,IF(OFFSET(CRONOPLE!$F$14,$M44,BG$13)="",10^12,OFFSET(CRONOPLE!$F$14,$M44,BG$13))))</f>
        <v>1000000000000</v>
      </c>
      <c r="BH44" s="181">
        <f ca="1">IF($D44&lt;&gt;"Serviço",0,IF(AND(AUTOEVENTO="Manual",$M44=1),0,IF(OFFSET(CRONOPLE!$F$14,$M44,BH$13)="",10^12,OFFSET(CRONOPLE!$F$14,$M44,BH$13))))</f>
        <v>1000000000000</v>
      </c>
      <c r="BI44" s="181">
        <f ca="1">IF($D44&lt;&gt;"Serviço",0,IF(AND(AUTOEVENTO="Manual",$M44=1),0,IF(OFFSET(CRONOPLE!$F$14,$M44,BI$13)="",10^12,OFFSET(CRONOPLE!$F$14,$M44,BI$13))))</f>
        <v>1000000000000</v>
      </c>
      <c r="BJ44" s="181">
        <f ca="1">IF($D44&lt;&gt;"Serviço",0,IF(AND(AUTOEVENTO="Manual",$M44=1),0,IF(OFFSET(CRONOPLE!$F$14,$M44,BJ$13)="",10^12,OFFSET(CRONOPLE!$F$14,$M44,BJ$13))))</f>
        <v>1000000000000</v>
      </c>
      <c r="BK44" s="181">
        <f ca="1">IF($D44&lt;&gt;"Serviço",0,IF(AND(AUTOEVENTO="Manual",$M44=1),0,IF(OFFSET(CRONOPLE!$F$14,$M44,BK$13)="",10^12,OFFSET(CRONOPLE!$F$14,$M44,BK$13))))</f>
        <v>1000000000000</v>
      </c>
      <c r="BL44" s="181">
        <f ca="1">IF($D44&lt;&gt;"Serviço",0,IF(AND(AUTOEVENTO="Manual",$M44=1),0,IF(OFFSET(CRONOPLE!$F$14,$M44,BL$13)="",10^12,OFFSET(CRONOPLE!$F$14,$M44,BL$13))))</f>
        <v>1000000000000</v>
      </c>
      <c r="BM44" s="181">
        <f ca="1">IF($D44&lt;&gt;"Serviço",0,IF(AND(AUTOEVENTO="Manual",$M44=1),0,IF(OFFSET(CRONOPLE!$F$14,$M44,BM$13)="",10^12,OFFSET(CRONOPLE!$F$14,$M44,BM$13))))</f>
        <v>1000000000000</v>
      </c>
      <c r="BN44" s="181">
        <f ca="1">IF($D44&lt;&gt;"Serviço",0,IF(AND(AUTOEVENTO="Manual",$M44=1),0,IF(OFFSET(CRONOPLE!$F$14,$M44,BN$13)="",10^12,OFFSET(CRONOPLE!$F$14,$M44,BN$13))))</f>
        <v>1000000000000</v>
      </c>
      <c r="BO44" s="181">
        <f ca="1">IF($D44&lt;&gt;"Serviço",0,IF(AND(AUTOEVENTO="Manual",$M44=1),0,IF(OFFSET(CRONOPLE!$F$14,$M44,BO$13)="",10^12,OFFSET(CRONOPLE!$F$14,$M44,BO$13))))</f>
        <v>1000000000000</v>
      </c>
      <c r="BP44" s="181">
        <f ca="1">IF($D44&lt;&gt;"Serviço",0,IF(AND(AUTOEVENTO="Manual",$M44=1),0,IF(OFFSET(CRONOPLE!$F$14,$M44,BP$13)="",10^12,OFFSET(CRONOPLE!$F$14,$M44,BP$13))))</f>
        <v>1000000000000</v>
      </c>
      <c r="BQ44" s="181">
        <f ca="1">IF($D44&lt;&gt;"Serviço",0,IF(AND(AUTOEVENTO="Manual",$M44=1),0,IF(OFFSET(CRONOPLE!$F$14,$M44,BQ$13)="",10^12,OFFSET(CRONOPLE!$F$14,$M44,BQ$13))))</f>
        <v>1000000000000</v>
      </c>
      <c r="BR44" s="181">
        <f ca="1">IF($D44&lt;&gt;"Serviço",0,IF(AND(AUTOEVENTO="Manual",$M44=1),0,IF(OFFSET(CRONOPLE!$F$14,$M44,BR$13)="",10^12,OFFSET(CRONOPLE!$F$14,$M44,BR$13))))</f>
        <v>1000000000000</v>
      </c>
      <c r="BS44" s="181">
        <f ca="1">IF($D44&lt;&gt;"Serviço",0,IF(AND(AUTOEVENTO="Manual",$M44=1),0,IF(OFFSET(CRONOPLE!$F$14,$M44,BS$13)="",10^12,OFFSET(CRONOPLE!$F$14,$M44,BS$13))))</f>
        <v>1000000000000</v>
      </c>
      <c r="BT44" s="181">
        <f ca="1">IF($D44&lt;&gt;"Serviço",0,IF(AND(AUTOEVENTO="Manual",$M44=1),0,IF(OFFSET(CRONOPLE!$F$14,$M44,BT$13)="",10^12,OFFSET(CRONOPLE!$F$14,$M44,BT$13))))</f>
        <v>1000000000000</v>
      </c>
      <c r="BV44" s="182">
        <f ca="1">IF($D44&lt;&gt;"Serviço",0,IF(OR(AND(AUTOEVENTO="Manual",$M44=1),$M44&gt;(ROW(PLE.lastrow)-ROW(PLE.firstrow))),0,IF(OFFSET(PLE!$G$14,$M44,BV$13)="",10^12,OFFSET(PLE!$G$14,$M44,BV$13))))</f>
        <v>1000000000000</v>
      </c>
      <c r="BW44" s="182">
        <f ca="1">IF($D44&lt;&gt;"Serviço",0,IF(OR(AND(AUTOEVENTO="Manual",$M44=1),$M44&gt;(ROW(PLE.lastrow)-ROW(PLE.firstrow))),0,IF(OFFSET(PLE!$G$14,$M44,BW$13)="",10^12,OFFSET(PLE!$G$14,$M44,BW$13))))</f>
        <v>1000000000000</v>
      </c>
      <c r="BX44" s="182">
        <f ca="1">IF($D44&lt;&gt;"Serviço",0,IF(OR(AND(AUTOEVENTO="Manual",$M44=1),$M44&gt;(ROW(PLE.lastrow)-ROW(PLE.firstrow))),0,IF(OFFSET(PLE!$G$14,$M44,BX$13)="",10^12,OFFSET(PLE!$G$14,$M44,BX$13))))</f>
        <v>1000000000000</v>
      </c>
      <c r="BY44" s="182">
        <f ca="1">IF($D44&lt;&gt;"Serviço",0,IF(OR(AND(AUTOEVENTO="Manual",$M44=1),$M44&gt;(ROW(PLE.lastrow)-ROW(PLE.firstrow))),0,IF(OFFSET(PLE!$G$14,$M44,BY$13)="",10^12,OFFSET(PLE!$G$14,$M44,BY$13))))</f>
        <v>1000000000000</v>
      </c>
      <c r="BZ44" s="182">
        <f ca="1">IF($D44&lt;&gt;"Serviço",0,IF(OR(AND(AUTOEVENTO="Manual",$M44=1),$M44&gt;(ROW(PLE.lastrow)-ROW(PLE.firstrow))),0,IF(OFFSET(PLE!$G$14,$M44,BZ$13)="",10^12,OFFSET(PLE!$G$14,$M44,BZ$13))))</f>
        <v>1000000000000</v>
      </c>
      <c r="CA44" s="182">
        <f ca="1">IF($D44&lt;&gt;"Serviço",0,IF(OR(AND(AUTOEVENTO="Manual",$M44=1),$M44&gt;(ROW(PLE.lastrow)-ROW(PLE.firstrow))),0,IF(OFFSET(PLE!$G$14,$M44,CA$13)="",10^12,OFFSET(PLE!$G$14,$M44,CA$13))))</f>
        <v>1000000000000</v>
      </c>
      <c r="CB44" s="182">
        <f ca="1">IF($D44&lt;&gt;"Serviço",0,IF(OR(AND(AUTOEVENTO="Manual",$M44=1),$M44&gt;(ROW(PLE.lastrow)-ROW(PLE.firstrow))),0,IF(OFFSET(PLE!$G$14,$M44,CB$13)="",10^12,OFFSET(PLE!$G$14,$M44,CB$13))))</f>
        <v>1000000000000</v>
      </c>
      <c r="CC44" s="182">
        <f ca="1">IF($D44&lt;&gt;"Serviço",0,IF(OR(AND(AUTOEVENTO="Manual",$M44=1),$M44&gt;(ROW(PLE.lastrow)-ROW(PLE.firstrow))),0,IF(OFFSET(PLE!$G$14,$M44,CC$13)="",10^12,OFFSET(PLE!$G$14,$M44,CC$13))))</f>
        <v>1000000000000</v>
      </c>
      <c r="CD44" s="182">
        <f ca="1">IF($D44&lt;&gt;"Serviço",0,IF(OR(AND(AUTOEVENTO="Manual",$M44=1),$M44&gt;(ROW(PLE.lastrow)-ROW(PLE.firstrow))),0,IF(OFFSET(PLE!$G$14,$M44,CD$13)="",10^12,OFFSET(PLE!$G$14,$M44,CD$13))))</f>
        <v>1000000000000</v>
      </c>
      <c r="CE44" s="182">
        <f ca="1">IF($D44&lt;&gt;"Serviço",0,IF(OR(AND(AUTOEVENTO="Manual",$M44=1),$M44&gt;(ROW(PLE.lastrow)-ROW(PLE.firstrow))),0,IF(OFFSET(PLE!$G$14,$M44,CE$13)="",10^12,OFFSET(PLE!$G$14,$M44,CE$13))))</f>
        <v>1000000000000</v>
      </c>
      <c r="CF44" s="182">
        <f ca="1">IF($D44&lt;&gt;"Serviço",0,IF(OR(AND(AUTOEVENTO="Manual",$M44=1),$M44&gt;(ROW(PLE.lastrow)-ROW(PLE.firstrow))),0,IF(OFFSET(PLE!$G$14,$M44,CF$13)="",10^12,OFFSET(PLE!$G$14,$M44,CF$13))))</f>
        <v>1000000000000</v>
      </c>
      <c r="CG44" s="182">
        <f ca="1">IF($D44&lt;&gt;"Serviço",0,IF(OR(AND(AUTOEVENTO="Manual",$M44=1),$M44&gt;(ROW(PLE.lastrow)-ROW(PLE.firstrow))),0,IF(OFFSET(PLE!$G$14,$M44,CG$13)="",10^12,OFFSET(PLE!$G$14,$M44,CG$13))))</f>
        <v>1000000000000</v>
      </c>
      <c r="CH44" s="182">
        <f ca="1">IF($D44&lt;&gt;"Serviço",0,IF(OR(AND(AUTOEVENTO="Manual",$M44=1),$M44&gt;(ROW(PLE.lastrow)-ROW(PLE.firstrow))),0,IF(OFFSET(PLE!$G$14,$M44,CH$13)="",10^12,OFFSET(PLE!$G$14,$M44,CH$13))))</f>
        <v>1000000000000</v>
      </c>
      <c r="CI44" s="182">
        <f ca="1">IF($D44&lt;&gt;"Serviço",0,IF(OR(AND(AUTOEVENTO="Manual",$M44=1),$M44&gt;(ROW(PLE.lastrow)-ROW(PLE.firstrow))),0,IF(OFFSET(PLE!$G$14,$M44,CI$13)="",10^12,OFFSET(PLE!$G$14,$M44,CI$13))))</f>
        <v>1000000000000</v>
      </c>
      <c r="CJ44" s="182">
        <f ca="1">IF($D44&lt;&gt;"Serviço",0,IF(OR(AND(AUTOEVENTO="Manual",$M44=1),$M44&gt;(ROW(PLE.lastrow)-ROW(PLE.firstrow))),0,IF(OFFSET(PLE!$G$14,$M44,CJ$13)="",10^12,OFFSET(PLE!$G$14,$M44,CJ$13))))</f>
        <v>1000000000000</v>
      </c>
      <c r="CK44" s="182">
        <f ca="1">IF($D44&lt;&gt;"Serviço",0,IF(OR(AND(AUTOEVENTO="Manual",$M44=1),$M44&gt;(ROW(PLE.lastrow)-ROW(PLE.firstrow))),0,IF(OFFSET(PLE!$G$14,$M44,CK$13)="",10^12,OFFSET(PLE!$G$14,$M44,CK$13))))</f>
        <v>1000000000000</v>
      </c>
      <c r="CL44" s="182">
        <f ca="1">IF($D44&lt;&gt;"Serviço",0,IF(OR(AND(AUTOEVENTO="Manual",$M44=1),$M44&gt;(ROW(PLE.lastrow)-ROW(PLE.firstrow))),0,IF(OFFSET(PLE!$G$14,$M44,CL$13)="",10^12,OFFSET(PLE!$G$14,$M44,CL$13))))</f>
        <v>1000000000000</v>
      </c>
      <c r="CM44" s="182">
        <f ca="1">IF($D44&lt;&gt;"Serviço",0,IF(OR(AND(AUTOEVENTO="Manual",$M44=1),$M44&gt;(ROW(PLE.lastrow)-ROW(PLE.firstrow))),0,IF(OFFSET(PLE!$G$14,$M44,CM$13)="",10^12,OFFSET(PLE!$G$14,$M44,CM$13))))</f>
        <v>1000000000000</v>
      </c>
    </row>
    <row r="45" spans="1:91" ht="25.5" x14ac:dyDescent="0.2">
      <c r="A45" s="7" t="str">
        <f t="shared" ca="1" si="9"/>
        <v>25</v>
      </c>
      <c r="B45" s="7" t="str">
        <f ca="1">OFFSET(ORÇAMENTO!C$15,ROW(B45)-ROW(B$15),0)</f>
        <v>S</v>
      </c>
      <c r="C45" s="7" t="str">
        <f ca="1">OFFSET(ORÇAMENTO!L$15,ROW(C45)-ROW(C$15),0)</f>
        <v/>
      </c>
      <c r="D45" s="118" t="str">
        <f ca="1">OFFSET(ORÇAMENTO!N$15,ROW(D45)-ROW(D$15),0)</f>
        <v>Serviço</v>
      </c>
      <c r="E45" s="119" t="str">
        <f ca="1">OFFSET(ORÇAMENTO!O$15,ROW(E45)-ROW(E$15),0)</f>
        <v>-</v>
      </c>
      <c r="F45" s="172" t="str">
        <f ca="1">OFFSET(ORÇAMENTO!R$15,ROW(F45)-ROW(F$15),0)</f>
        <v>(abra o arquivo 'Referência 06-2024.xlsm)</v>
      </c>
      <c r="G45" s="173" t="str">
        <f ca="1">IF($D45&lt;&gt;"Serviço","",OFFSET(ORÇAMENTO!S$15,ROW(G45)-ROW(G$15),0))</f>
        <v>-</v>
      </c>
      <c r="H45" s="124">
        <f ca="1">IF($D45&lt;&gt;"Serviço",0,IF(ACOMPANHAMENTO="BM",ROUND(OFFSET(ORÇAMENTO!AJ$15,ROW(H45)-ROW(H$15),0),15-13*ORÇAMENTO!$AF$7),SUMPRODUCT(($Q$12:$AI$12&lt;&gt;"")*ROUND($Q45:$AI45,15-13*ORÇAMENTO!$AF$7))))</f>
        <v>54.16</v>
      </c>
      <c r="I45" s="561" t="s">
        <v>1107</v>
      </c>
      <c r="K45" s="174" t="s">
        <v>1027</v>
      </c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7</v>
      </c>
      <c r="N45" s="177" t="str">
        <f ca="1">IF($D45&lt;&gt;"Serviço","",IF(AUTOEVENTO="Manual",IF($A45=0,"&lt;-- defina o número do agrupador",OFFSET(EVENTOS!$D$14,$A45,0)),OFFSET($F$15,$A45,0)))</f>
        <v>FUNDAÇÕES - CONCRETO ARMADO PARA SAPATAS</v>
      </c>
      <c r="O45" s="178"/>
      <c r="Q45" s="178">
        <v>54.16</v>
      </c>
      <c r="R45" s="179"/>
      <c r="S45" s="179"/>
      <c r="T45" s="179"/>
      <c r="U45" s="179"/>
      <c r="V45" s="179"/>
      <c r="W45" s="179"/>
      <c r="X45" s="179"/>
      <c r="Y45" s="179"/>
      <c r="Z45" s="180"/>
      <c r="AA45" s="179"/>
      <c r="AB45" s="179"/>
      <c r="AC45" s="179"/>
      <c r="AD45" s="179"/>
      <c r="AE45" s="179"/>
      <c r="AF45" s="179"/>
      <c r="AG45" s="179"/>
      <c r="AH45" s="180"/>
      <c r="AJ45" s="544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545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L45" s="545">
        <f ca="1">IF(AND($D45="Serviço",AL$12&lt;&gt;0,$H45&gt;0,OR(AUTOEVENTO&lt;&gt;"manual",$M45&lt;&gt;1)),
IF(Import.TipoArredondamento&lt;&gt;"TransfereGOV",
ROUND(OFFSET($P45,0,AL$13),15-13*ORÇAMENTO!$AF$7)/$H45*OFFSET(ORÇAMENTO!$X$15,ROW(AL45)-ROW(AL$15),0),
ROUND(ROUND(OFFSET($P45,0,AL$13),15-13*ORÇAMENTO!$AF$7)*OFFSET(ORÇAMENTO!$W$15,ROW(AL45)-ROW(AL$15),0),15-13*ORÇAMENTO!$AF$11)),0)</f>
        <v>0</v>
      </c>
      <c r="AM45" s="545">
        <f ca="1">IF(AND($D45="Serviço",AM$12&lt;&gt;0,$H45&gt;0,OR(AUTOEVENTO&lt;&gt;"manual",$M45&lt;&gt;1)),
IF(Import.TipoArredondamento&lt;&gt;"TransfereGOV",
ROUND(OFFSET($P45,0,AM$13),15-13*ORÇAMENTO!$AF$7)/$H45*OFFSET(ORÇAMENTO!$X$15,ROW(AM45)-ROW(AM$15),0),
ROUND(ROUND(OFFSET($P45,0,AM$13),15-13*ORÇAMENTO!$AF$7)*OFFSET(ORÇAMENTO!$W$15,ROW(AM45)-ROW(AM$15),0),15-13*ORÇAMENTO!$AF$11)),0)</f>
        <v>0</v>
      </c>
      <c r="AN45" s="545">
        <f ca="1">IF(AND($D45="Serviço",AN$12&lt;&gt;0,$H45&gt;0,OR(AUTOEVENTO&lt;&gt;"manual",$M45&lt;&gt;1)),
IF(Import.TipoArredondamento&lt;&gt;"TransfereGOV",
ROUND(OFFSET($P45,0,AN$13),15-13*ORÇAMENTO!$AF$7)/$H45*OFFSET(ORÇAMENTO!$X$15,ROW(AN45)-ROW(AN$15),0),
ROUND(ROUND(OFFSET($P45,0,AN$13),15-13*ORÇAMENTO!$AF$7)*OFFSET(ORÇAMENTO!$W$15,ROW(AN45)-ROW(AN$15),0),15-13*ORÇAMENTO!$AF$11)),0)</f>
        <v>0</v>
      </c>
      <c r="AO45" s="545">
        <f ca="1">IF(AND($D45="Serviço",AO$12&lt;&gt;0,$H45&gt;0,OR(AUTOEVENTO&lt;&gt;"manual",$M45&lt;&gt;1)),
IF(Import.TipoArredondamento&lt;&gt;"TransfereGOV",
ROUND(OFFSET($P45,0,AO$13),15-13*ORÇAMENTO!$AF$7)/$H45*OFFSET(ORÇAMENTO!$X$15,ROW(AO45)-ROW(AO$15),0),
ROUND(ROUND(OFFSET($P45,0,AO$13),15-13*ORÇAMENTO!$AF$7)*OFFSET(ORÇAMENTO!$W$15,ROW(AO45)-ROW(AO$15),0),15-13*ORÇAMENTO!$AF$11)),0)</f>
        <v>0</v>
      </c>
      <c r="AP45" s="545">
        <f ca="1">IF(AND($D45="Serviço",AP$12&lt;&gt;0,$H45&gt;0,OR(AUTOEVENTO&lt;&gt;"manual",$M45&lt;&gt;1)),
IF(Import.TipoArredondamento&lt;&gt;"TransfereGOV",
ROUND(OFFSET($P45,0,AP$13),15-13*ORÇAMENTO!$AF$7)/$H45*OFFSET(ORÇAMENTO!$X$15,ROW(AP45)-ROW(AP$15),0),
ROUND(ROUND(OFFSET($P45,0,AP$13),15-13*ORÇAMENTO!$AF$7)*OFFSET(ORÇAMENTO!$W$15,ROW(AP45)-ROW(AP$15),0),15-13*ORÇAMENTO!$AF$11)),0)</f>
        <v>0</v>
      </c>
      <c r="AQ45" s="545">
        <f ca="1">IF(AND($D45="Serviço",AQ$12&lt;&gt;0,$H45&gt;0,OR(AUTOEVENTO&lt;&gt;"manual",$M45&lt;&gt;1)),
IF(Import.TipoArredondamento&lt;&gt;"TransfereGOV",
ROUND(OFFSET($P45,0,AQ$13),15-13*ORÇAMENTO!$AF$7)/$H45*OFFSET(ORÇAMENTO!$X$15,ROW(AQ45)-ROW(AQ$15),0),
ROUND(ROUND(OFFSET($P45,0,AQ$13),15-13*ORÇAMENTO!$AF$7)*OFFSET(ORÇAMENTO!$W$15,ROW(AQ45)-ROW(AQ$15),0),15-13*ORÇAMENTO!$AF$11)),0)</f>
        <v>0</v>
      </c>
      <c r="AR45" s="545">
        <f ca="1">IF(AND($D45="Serviço",AR$12&lt;&gt;0,$H45&gt;0,OR(AUTOEVENTO&lt;&gt;"manual",$M45&lt;&gt;1)),
IF(Import.TipoArredondamento&lt;&gt;"TransfereGOV",
ROUND(OFFSET($P45,0,AR$13),15-13*ORÇAMENTO!$AF$7)/$H45*OFFSET(ORÇAMENTO!$X$15,ROW(AR45)-ROW(AR$15),0),
ROUND(ROUND(OFFSET($P45,0,AR$13),15-13*ORÇAMENTO!$AF$7)*OFFSET(ORÇAMENTO!$W$15,ROW(AR45)-ROW(AR$15),0),15-13*ORÇAMENTO!$AF$11)),0)</f>
        <v>0</v>
      </c>
      <c r="AS45" s="546">
        <f ca="1">IF(AND($D45="Serviço",AS$12&lt;&gt;0,$H45&gt;0,OR(AUTOEVENTO&lt;&gt;"manual",$M45&lt;&gt;1)),
IF(Import.TipoArredondamento&lt;&gt;"TransfereGOV",
ROUND(OFFSET($P45,0,AS$13),15-13*ORÇAMENTO!$AF$7)/$H45*OFFSET(ORÇAMENTO!$X$15,ROW(AS45)-ROW(AS$15),0),
ROUND(ROUND(OFFSET($P45,0,AS$13),15-13*ORÇAMENTO!$AF$7)*OFFSET(ORÇAMENTO!$W$15,ROW(AS45)-ROW(AS$15),0),15-13*ORÇAMENTO!$AF$11)),0)</f>
        <v>0</v>
      </c>
      <c r="AT45" s="545">
        <f ca="1">IF(AND($D45="Serviço",AT$12&lt;&gt;0,$H45&gt;0,OR(AUTOEVENTO&lt;&gt;"manual",$M45&lt;&gt;1)),
IF(Import.TipoArredondamento&lt;&gt;"TransfereGOV",
ROUND(OFFSET($P45,0,AT$13),15-13*ORÇAMENTO!$AF$7)/$H45*OFFSET(ORÇAMENTO!$X$15,ROW(AT45)-ROW(AT$15),0),
ROUND(ROUND(OFFSET($P45,0,AT$13),15-13*ORÇAMENTO!$AF$7)*OFFSET(ORÇAMENTO!$W$15,ROW(AT45)-ROW(AT$15),0),15-13*ORÇAMENTO!$AF$11)),0)</f>
        <v>0</v>
      </c>
      <c r="AU45" s="545">
        <f ca="1">IF(AND($D45="Serviço",AU$12&lt;&gt;0,$H45&gt;0,OR(AUTOEVENTO&lt;&gt;"manual",$M45&lt;&gt;1)),
IF(Import.TipoArredondamento&lt;&gt;"TransfereGOV",
ROUND(OFFSET($P45,0,AU$13),15-13*ORÇAMENTO!$AF$7)/$H45*OFFSET(ORÇAMENTO!$X$15,ROW(AU45)-ROW(AU$15),0),
ROUND(ROUND(OFFSET($P45,0,AU$13),15-13*ORÇAMENTO!$AF$7)*OFFSET(ORÇAMENTO!$W$15,ROW(AU45)-ROW(AU$15),0),15-13*ORÇAMENTO!$AF$11)),0)</f>
        <v>0</v>
      </c>
      <c r="AV45" s="545">
        <f ca="1">IF(AND($D45="Serviço",AV$12&lt;&gt;0,$H45&gt;0,OR(AUTOEVENTO&lt;&gt;"manual",$M45&lt;&gt;1)),
IF(Import.TipoArredondamento&lt;&gt;"TransfereGOV",
ROUND(OFFSET($P45,0,AV$13),15-13*ORÇAMENTO!$AF$7)/$H45*OFFSET(ORÇAMENTO!$X$15,ROW(AV45)-ROW(AV$15),0),
ROUND(ROUND(OFFSET($P45,0,AV$13),15-13*ORÇAMENTO!$AF$7)*OFFSET(ORÇAMENTO!$W$15,ROW(AV45)-ROW(AV$15),0),15-13*ORÇAMENTO!$AF$11)),0)</f>
        <v>0</v>
      </c>
      <c r="AW45" s="545">
        <f ca="1">IF(AND($D45="Serviço",AW$12&lt;&gt;0,$H45&gt;0,OR(AUTOEVENTO&lt;&gt;"manual",$M45&lt;&gt;1)),
IF(Import.TipoArredondamento&lt;&gt;"TransfereGOV",
ROUND(OFFSET($P45,0,AW$13),15-13*ORÇAMENTO!$AF$7)/$H45*OFFSET(ORÇAMENTO!$X$15,ROW(AW45)-ROW(AW$15),0),
ROUND(ROUND(OFFSET($P45,0,AW$13),15-13*ORÇAMENTO!$AF$7)*OFFSET(ORÇAMENTO!$W$15,ROW(AW45)-ROW(AW$15),0),15-13*ORÇAMENTO!$AF$11)),0)</f>
        <v>0</v>
      </c>
      <c r="AX45" s="545">
        <f ca="1">IF(AND($D45="Serviço",AX$12&lt;&gt;0,$H45&gt;0,OR(AUTOEVENTO&lt;&gt;"manual",$M45&lt;&gt;1)),
IF(Import.TipoArredondamento&lt;&gt;"TransfereGOV",
ROUND(OFFSET($P45,0,AX$13),15-13*ORÇAMENTO!$AF$7)/$H45*OFFSET(ORÇAMENTO!$X$15,ROW(AX45)-ROW(AX$15),0),
ROUND(ROUND(OFFSET($P45,0,AX$13),15-13*ORÇAMENTO!$AF$7)*OFFSET(ORÇAMENTO!$W$15,ROW(AX45)-ROW(AX$15),0),15-13*ORÇAMENTO!$AF$11)),0)</f>
        <v>0</v>
      </c>
      <c r="AY45" s="545">
        <f ca="1">IF(AND($D45="Serviço",AY$12&lt;&gt;0,$H45&gt;0,OR(AUTOEVENTO&lt;&gt;"manual",$M45&lt;&gt;1)),
IF(Import.TipoArredondamento&lt;&gt;"TransfereGOV",
ROUND(OFFSET($P45,0,AY$13),15-13*ORÇAMENTO!$AF$7)/$H45*OFFSET(ORÇAMENTO!$X$15,ROW(AY45)-ROW(AY$15),0),
ROUND(ROUND(OFFSET($P45,0,AY$13),15-13*ORÇAMENTO!$AF$7)*OFFSET(ORÇAMENTO!$W$15,ROW(AY45)-ROW(AY$15),0),15-13*ORÇAMENTO!$AF$11)),0)</f>
        <v>0</v>
      </c>
      <c r="AZ45" s="545">
        <f ca="1">IF(AND($D45="Serviço",AZ$12&lt;&gt;0,$H45&gt;0,OR(AUTOEVENTO&lt;&gt;"manual",$M45&lt;&gt;1)),
IF(Import.TipoArredondamento&lt;&gt;"TransfereGOV",
ROUND(OFFSET($P45,0,AZ$13),15-13*ORÇAMENTO!$AF$7)/$H45*OFFSET(ORÇAMENTO!$X$15,ROW(AZ45)-ROW(AZ$15),0),
ROUND(ROUND(OFFSET($P45,0,AZ$13),15-13*ORÇAMENTO!$AF$7)*OFFSET(ORÇAMENTO!$W$15,ROW(AZ45)-ROW(AZ$15),0),15-13*ORÇAMENTO!$AF$11)),0)</f>
        <v>0</v>
      </c>
      <c r="BA45" s="546">
        <f ca="1">IF(AND($D45="Serviço",BA$12&lt;&gt;0,$H45&gt;0,OR(AUTOEVENTO&lt;&gt;"manual",$M45&lt;&gt;1)),
IF(Import.TipoArredondamento&lt;&gt;"TransfereGOV",
ROUND(OFFSET($P45,0,BA$13),15-13*ORÇAMENTO!$AF$7)/$H45*OFFSET(ORÇAMENTO!$X$15,ROW(BA45)-ROW(BA$15),0),
ROUND(ROUND(OFFSET($P45,0,BA$13),15-13*ORÇAMENTO!$AF$7)*OFFSET(ORÇAMENTO!$W$15,ROW(BA45)-ROW(BA$15),0),15-13*ORÇAMENTO!$AF$11)),0)</f>
        <v>0</v>
      </c>
      <c r="BC45" s="181">
        <f ca="1">IF($D45&lt;&gt;"Serviço",0,IF(AND(AUTOEVENTO="Manual",$M45=1),0,IF(OFFSET(CRONOPLE!$F$14,$M45,BC$13)="",10^12,OFFSET(CRONOPLE!$F$14,$M45,BC$13))))</f>
        <v>2</v>
      </c>
      <c r="BD45" s="181">
        <f ca="1">IF($D45&lt;&gt;"Serviço",0,IF(AND(AUTOEVENTO="Manual",$M45=1),0,IF(OFFSET(CRONOPLE!$F$14,$M45,BD$13)="",10^12,OFFSET(CRONOPLE!$F$14,$M45,BD$13))))</f>
        <v>1000000000000</v>
      </c>
      <c r="BE45" s="181">
        <f ca="1">IF($D45&lt;&gt;"Serviço",0,IF(AND(AUTOEVENTO="Manual",$M45=1),0,IF(OFFSET(CRONOPLE!$F$14,$M45,BE$13)="",10^12,OFFSET(CRONOPLE!$F$14,$M45,BE$13))))</f>
        <v>1000000000000</v>
      </c>
      <c r="BF45" s="181">
        <f ca="1">IF($D45&lt;&gt;"Serviço",0,IF(AND(AUTOEVENTO="Manual",$M45=1),0,IF(OFFSET(CRONOPLE!$F$14,$M45,BF$13)="",10^12,OFFSET(CRONOPLE!$F$14,$M45,BF$13))))</f>
        <v>1000000000000</v>
      </c>
      <c r="BG45" s="181">
        <f ca="1">IF($D45&lt;&gt;"Serviço",0,IF(AND(AUTOEVENTO="Manual",$M45=1),0,IF(OFFSET(CRONOPLE!$F$14,$M45,BG$13)="",10^12,OFFSET(CRONOPLE!$F$14,$M45,BG$13))))</f>
        <v>1000000000000</v>
      </c>
      <c r="BH45" s="181">
        <f ca="1">IF($D45&lt;&gt;"Serviço",0,IF(AND(AUTOEVENTO="Manual",$M45=1),0,IF(OFFSET(CRONOPLE!$F$14,$M45,BH$13)="",10^12,OFFSET(CRONOPLE!$F$14,$M45,BH$13))))</f>
        <v>1000000000000</v>
      </c>
      <c r="BI45" s="181">
        <f ca="1">IF($D45&lt;&gt;"Serviço",0,IF(AND(AUTOEVENTO="Manual",$M45=1),0,IF(OFFSET(CRONOPLE!$F$14,$M45,BI$13)="",10^12,OFFSET(CRONOPLE!$F$14,$M45,BI$13))))</f>
        <v>1000000000000</v>
      </c>
      <c r="BJ45" s="181">
        <f ca="1">IF($D45&lt;&gt;"Serviço",0,IF(AND(AUTOEVENTO="Manual",$M45=1),0,IF(OFFSET(CRONOPLE!$F$14,$M45,BJ$13)="",10^12,OFFSET(CRONOPLE!$F$14,$M45,BJ$13))))</f>
        <v>1000000000000</v>
      </c>
      <c r="BK45" s="181">
        <f ca="1">IF($D45&lt;&gt;"Serviço",0,IF(AND(AUTOEVENTO="Manual",$M45=1),0,IF(OFFSET(CRONOPLE!$F$14,$M45,BK$13)="",10^12,OFFSET(CRONOPLE!$F$14,$M45,BK$13))))</f>
        <v>1000000000000</v>
      </c>
      <c r="BL45" s="181">
        <f ca="1">IF($D45&lt;&gt;"Serviço",0,IF(AND(AUTOEVENTO="Manual",$M45=1),0,IF(OFFSET(CRONOPLE!$F$14,$M45,BL$13)="",10^12,OFFSET(CRONOPLE!$F$14,$M45,BL$13))))</f>
        <v>1000000000000</v>
      </c>
      <c r="BM45" s="181">
        <f ca="1">IF($D45&lt;&gt;"Serviço",0,IF(AND(AUTOEVENTO="Manual",$M45=1),0,IF(OFFSET(CRONOPLE!$F$14,$M45,BM$13)="",10^12,OFFSET(CRONOPLE!$F$14,$M45,BM$13))))</f>
        <v>1000000000000</v>
      </c>
      <c r="BN45" s="181">
        <f ca="1">IF($D45&lt;&gt;"Serviço",0,IF(AND(AUTOEVENTO="Manual",$M45=1),0,IF(OFFSET(CRONOPLE!$F$14,$M45,BN$13)="",10^12,OFFSET(CRONOPLE!$F$14,$M45,BN$13))))</f>
        <v>1000000000000</v>
      </c>
      <c r="BO45" s="181">
        <f ca="1">IF($D45&lt;&gt;"Serviço",0,IF(AND(AUTOEVENTO="Manual",$M45=1),0,IF(OFFSET(CRONOPLE!$F$14,$M45,BO$13)="",10^12,OFFSET(CRONOPLE!$F$14,$M45,BO$13))))</f>
        <v>1000000000000</v>
      </c>
      <c r="BP45" s="181">
        <f ca="1">IF($D45&lt;&gt;"Serviço",0,IF(AND(AUTOEVENTO="Manual",$M45=1),0,IF(OFFSET(CRONOPLE!$F$14,$M45,BP$13)="",10^12,OFFSET(CRONOPLE!$F$14,$M45,BP$13))))</f>
        <v>1000000000000</v>
      </c>
      <c r="BQ45" s="181">
        <f ca="1">IF($D45&lt;&gt;"Serviço",0,IF(AND(AUTOEVENTO="Manual",$M45=1),0,IF(OFFSET(CRONOPLE!$F$14,$M45,BQ$13)="",10^12,OFFSET(CRONOPLE!$F$14,$M45,BQ$13))))</f>
        <v>1000000000000</v>
      </c>
      <c r="BR45" s="181">
        <f ca="1">IF($D45&lt;&gt;"Serviço",0,IF(AND(AUTOEVENTO="Manual",$M45=1),0,IF(OFFSET(CRONOPLE!$F$14,$M45,BR$13)="",10^12,OFFSET(CRONOPLE!$F$14,$M45,BR$13))))</f>
        <v>1000000000000</v>
      </c>
      <c r="BS45" s="181">
        <f ca="1">IF($D45&lt;&gt;"Serviço",0,IF(AND(AUTOEVENTO="Manual",$M45=1),0,IF(OFFSET(CRONOPLE!$F$14,$M45,BS$13)="",10^12,OFFSET(CRONOPLE!$F$14,$M45,BS$13))))</f>
        <v>1000000000000</v>
      </c>
      <c r="BT45" s="181">
        <f ca="1">IF($D45&lt;&gt;"Serviço",0,IF(AND(AUTOEVENTO="Manual",$M45=1),0,IF(OFFSET(CRONOPLE!$F$14,$M45,BT$13)="",10^12,OFFSET(CRONOPLE!$F$14,$M45,BT$13))))</f>
        <v>1000000000000</v>
      </c>
      <c r="BV45" s="182">
        <f ca="1">IF($D45&lt;&gt;"Serviço",0,IF(OR(AND(AUTOEVENTO="Manual",$M45=1),$M45&gt;(ROW(PLE.lastrow)-ROW(PLE.firstrow))),0,IF(OFFSET(PLE!$G$14,$M45,BV$13)="",10^12,OFFSET(PLE!$G$14,$M45,BV$13))))</f>
        <v>1000000000000</v>
      </c>
      <c r="BW45" s="182">
        <f ca="1">IF($D45&lt;&gt;"Serviço",0,IF(OR(AND(AUTOEVENTO="Manual",$M45=1),$M45&gt;(ROW(PLE.lastrow)-ROW(PLE.firstrow))),0,IF(OFFSET(PLE!$G$14,$M45,BW$13)="",10^12,OFFSET(PLE!$G$14,$M45,BW$13))))</f>
        <v>1000000000000</v>
      </c>
      <c r="BX45" s="182">
        <f ca="1">IF($D45&lt;&gt;"Serviço",0,IF(OR(AND(AUTOEVENTO="Manual",$M45=1),$M45&gt;(ROW(PLE.lastrow)-ROW(PLE.firstrow))),0,IF(OFFSET(PLE!$G$14,$M45,BX$13)="",10^12,OFFSET(PLE!$G$14,$M45,BX$13))))</f>
        <v>1000000000000</v>
      </c>
      <c r="BY45" s="182">
        <f ca="1">IF($D45&lt;&gt;"Serviço",0,IF(OR(AND(AUTOEVENTO="Manual",$M45=1),$M45&gt;(ROW(PLE.lastrow)-ROW(PLE.firstrow))),0,IF(OFFSET(PLE!$G$14,$M45,BY$13)="",10^12,OFFSET(PLE!$G$14,$M45,BY$13))))</f>
        <v>1000000000000</v>
      </c>
      <c r="BZ45" s="182">
        <f ca="1">IF($D45&lt;&gt;"Serviço",0,IF(OR(AND(AUTOEVENTO="Manual",$M45=1),$M45&gt;(ROW(PLE.lastrow)-ROW(PLE.firstrow))),0,IF(OFFSET(PLE!$G$14,$M45,BZ$13)="",10^12,OFFSET(PLE!$G$14,$M45,BZ$13))))</f>
        <v>1000000000000</v>
      </c>
      <c r="CA45" s="182">
        <f ca="1">IF($D45&lt;&gt;"Serviço",0,IF(OR(AND(AUTOEVENTO="Manual",$M45=1),$M45&gt;(ROW(PLE.lastrow)-ROW(PLE.firstrow))),0,IF(OFFSET(PLE!$G$14,$M45,CA$13)="",10^12,OFFSET(PLE!$G$14,$M45,CA$13))))</f>
        <v>1000000000000</v>
      </c>
      <c r="CB45" s="182">
        <f ca="1">IF($D45&lt;&gt;"Serviço",0,IF(OR(AND(AUTOEVENTO="Manual",$M45=1),$M45&gt;(ROW(PLE.lastrow)-ROW(PLE.firstrow))),0,IF(OFFSET(PLE!$G$14,$M45,CB$13)="",10^12,OFFSET(PLE!$G$14,$M45,CB$13))))</f>
        <v>1000000000000</v>
      </c>
      <c r="CC45" s="182">
        <f ca="1">IF($D45&lt;&gt;"Serviço",0,IF(OR(AND(AUTOEVENTO="Manual",$M45=1),$M45&gt;(ROW(PLE.lastrow)-ROW(PLE.firstrow))),0,IF(OFFSET(PLE!$G$14,$M45,CC$13)="",10^12,OFFSET(PLE!$G$14,$M45,CC$13))))</f>
        <v>1000000000000</v>
      </c>
      <c r="CD45" s="182">
        <f ca="1">IF($D45&lt;&gt;"Serviço",0,IF(OR(AND(AUTOEVENTO="Manual",$M45=1),$M45&gt;(ROW(PLE.lastrow)-ROW(PLE.firstrow))),0,IF(OFFSET(PLE!$G$14,$M45,CD$13)="",10^12,OFFSET(PLE!$G$14,$M45,CD$13))))</f>
        <v>1000000000000</v>
      </c>
      <c r="CE45" s="182">
        <f ca="1">IF($D45&lt;&gt;"Serviço",0,IF(OR(AND(AUTOEVENTO="Manual",$M45=1),$M45&gt;(ROW(PLE.lastrow)-ROW(PLE.firstrow))),0,IF(OFFSET(PLE!$G$14,$M45,CE$13)="",10^12,OFFSET(PLE!$G$14,$M45,CE$13))))</f>
        <v>1000000000000</v>
      </c>
      <c r="CF45" s="182">
        <f ca="1">IF($D45&lt;&gt;"Serviço",0,IF(OR(AND(AUTOEVENTO="Manual",$M45=1),$M45&gt;(ROW(PLE.lastrow)-ROW(PLE.firstrow))),0,IF(OFFSET(PLE!$G$14,$M45,CF$13)="",10^12,OFFSET(PLE!$G$14,$M45,CF$13))))</f>
        <v>1000000000000</v>
      </c>
      <c r="CG45" s="182">
        <f ca="1">IF($D45&lt;&gt;"Serviço",0,IF(OR(AND(AUTOEVENTO="Manual",$M45=1),$M45&gt;(ROW(PLE.lastrow)-ROW(PLE.firstrow))),0,IF(OFFSET(PLE!$G$14,$M45,CG$13)="",10^12,OFFSET(PLE!$G$14,$M45,CG$13))))</f>
        <v>1000000000000</v>
      </c>
      <c r="CH45" s="182">
        <f ca="1">IF($D45&lt;&gt;"Serviço",0,IF(OR(AND(AUTOEVENTO="Manual",$M45=1),$M45&gt;(ROW(PLE.lastrow)-ROW(PLE.firstrow))),0,IF(OFFSET(PLE!$G$14,$M45,CH$13)="",10^12,OFFSET(PLE!$G$14,$M45,CH$13))))</f>
        <v>1000000000000</v>
      </c>
      <c r="CI45" s="182">
        <f ca="1">IF($D45&lt;&gt;"Serviço",0,IF(OR(AND(AUTOEVENTO="Manual",$M45=1),$M45&gt;(ROW(PLE.lastrow)-ROW(PLE.firstrow))),0,IF(OFFSET(PLE!$G$14,$M45,CI$13)="",10^12,OFFSET(PLE!$G$14,$M45,CI$13))))</f>
        <v>1000000000000</v>
      </c>
      <c r="CJ45" s="182">
        <f ca="1">IF($D45&lt;&gt;"Serviço",0,IF(OR(AND(AUTOEVENTO="Manual",$M45=1),$M45&gt;(ROW(PLE.lastrow)-ROW(PLE.firstrow))),0,IF(OFFSET(PLE!$G$14,$M45,CJ$13)="",10^12,OFFSET(PLE!$G$14,$M45,CJ$13))))</f>
        <v>1000000000000</v>
      </c>
      <c r="CK45" s="182">
        <f ca="1">IF($D45&lt;&gt;"Serviço",0,IF(OR(AND(AUTOEVENTO="Manual",$M45=1),$M45&gt;(ROW(PLE.lastrow)-ROW(PLE.firstrow))),0,IF(OFFSET(PLE!$G$14,$M45,CK$13)="",10^12,OFFSET(PLE!$G$14,$M45,CK$13))))</f>
        <v>1000000000000</v>
      </c>
      <c r="CL45" s="182">
        <f ca="1">IF($D45&lt;&gt;"Serviço",0,IF(OR(AND(AUTOEVENTO="Manual",$M45=1),$M45&gt;(ROW(PLE.lastrow)-ROW(PLE.firstrow))),0,IF(OFFSET(PLE!$G$14,$M45,CL$13)="",10^12,OFFSET(PLE!$G$14,$M45,CL$13))))</f>
        <v>1000000000000</v>
      </c>
      <c r="CM45" s="182">
        <f ca="1">IF($D45&lt;&gt;"Serviço",0,IF(OR(AND(AUTOEVENTO="Manual",$M45=1),$M45&gt;(ROW(PLE.lastrow)-ROW(PLE.firstrow))),0,IF(OFFSET(PLE!$G$14,$M45,CM$13)="",10^12,OFFSET(PLE!$G$14,$M45,CM$13))))</f>
        <v>1000000000000</v>
      </c>
    </row>
    <row r="46" spans="1:91" ht="38.25" x14ac:dyDescent="0.2">
      <c r="A46" s="7" t="str">
        <f t="shared" ca="1" si="9"/>
        <v>25</v>
      </c>
      <c r="B46" s="7" t="str">
        <f ca="1">OFFSET(ORÇAMENTO!C$15,ROW(B46)-ROW(B$15),0)</f>
        <v>S</v>
      </c>
      <c r="C46" s="7" t="str">
        <f ca="1">OFFSET(ORÇAMENTO!L$15,ROW(C46)-ROW(C$15),0)</f>
        <v/>
      </c>
      <c r="D46" s="118" t="str">
        <f ca="1">OFFSET(ORÇAMENTO!N$15,ROW(D46)-ROW(D$15),0)</f>
        <v>Serviço</v>
      </c>
      <c r="E46" s="119" t="str">
        <f ca="1">OFFSET(ORÇAMENTO!O$15,ROW(E46)-ROW(E$15),0)</f>
        <v>-</v>
      </c>
      <c r="F46" s="172" t="str">
        <f ca="1">OFFSET(ORÇAMENTO!R$15,ROW(F46)-ROW(F$15),0)</f>
        <v>(abra o arquivo 'Referência 06-2024.xlsm)</v>
      </c>
      <c r="G46" s="173" t="str">
        <f ca="1">IF($D46&lt;&gt;"Serviço","",OFFSET(ORÇAMENTO!S$15,ROW(G46)-ROW(G$15),0))</f>
        <v>-</v>
      </c>
      <c r="H46" s="124">
        <f ca="1">IF($D46&lt;&gt;"Serviço",0,IF(ACOMPANHAMENTO="BM",ROUND(OFFSET(ORÇAMENTO!AJ$15,ROW(H46)-ROW(H$15),0),15-13*ORÇAMENTO!$AF$7),SUMPRODUCT(($Q$12:$AI$12&lt;&gt;"")*ROUND($Q46:$AI46,15-13*ORÇAMENTO!$AF$7))))</f>
        <v>14.45</v>
      </c>
      <c r="I46" s="561" t="s">
        <v>1107</v>
      </c>
      <c r="K46" s="174" t="s">
        <v>1027</v>
      </c>
      <c r="L46" s="175" t="s">
        <v>255</v>
      </c>
      <c r="M46" s="176">
        <f ca="1">IF($D46&lt;&gt;"Serviço","",IF(AUTOEVENTO="manual",$A46,IF(ISERROR(MATCH($A46,$A$15:OFFSET($A46,-1,0),0)),MAX($M$15:OFFSET(M46,-1,0))+1,INDEX($M$15:OFFSET(M46,-1,0),MATCH($A46,$A$15:OFFSET($A46,-1,0),0)))))</f>
        <v>7</v>
      </c>
      <c r="N46" s="177" t="str">
        <f ca="1">IF($D46&lt;&gt;"Serviço","",IF(AUTOEVENTO="Manual",IF($A46=0,"&lt;-- defina o número do agrupador",OFFSET(EVENTOS!$D$14,$A46,0)),OFFSET($F$15,$A46,0)))</f>
        <v>FUNDAÇÕES - CONCRETO ARMADO PARA SAPATAS</v>
      </c>
      <c r="O46" s="178"/>
      <c r="Q46" s="178">
        <v>14.45</v>
      </c>
      <c r="R46" s="179"/>
      <c r="S46" s="179"/>
      <c r="T46" s="179"/>
      <c r="U46" s="179"/>
      <c r="V46" s="179"/>
      <c r="W46" s="179"/>
      <c r="X46" s="179"/>
      <c r="Y46" s="179"/>
      <c r="Z46" s="180"/>
      <c r="AA46" s="179"/>
      <c r="AB46" s="179"/>
      <c r="AC46" s="179"/>
      <c r="AD46" s="179"/>
      <c r="AE46" s="179"/>
      <c r="AF46" s="179"/>
      <c r="AG46" s="179"/>
      <c r="AH46" s="180"/>
      <c r="AJ46" s="544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545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L46" s="545">
        <f ca="1">IF(AND($D46="Serviço",AL$12&lt;&gt;0,$H46&gt;0,OR(AUTOEVENTO&lt;&gt;"manual",$M46&lt;&gt;1)),
IF(Import.TipoArredondamento&lt;&gt;"TransfereGOV",
ROUND(OFFSET($P46,0,AL$13),15-13*ORÇAMENTO!$AF$7)/$H46*OFFSET(ORÇAMENTO!$X$15,ROW(AL46)-ROW(AL$15),0),
ROUND(ROUND(OFFSET($P46,0,AL$13),15-13*ORÇAMENTO!$AF$7)*OFFSET(ORÇAMENTO!$W$15,ROW(AL46)-ROW(AL$15),0),15-13*ORÇAMENTO!$AF$11)),0)</f>
        <v>0</v>
      </c>
      <c r="AM46" s="545">
        <f ca="1">IF(AND($D46="Serviço",AM$12&lt;&gt;0,$H46&gt;0,OR(AUTOEVENTO&lt;&gt;"manual",$M46&lt;&gt;1)),
IF(Import.TipoArredondamento&lt;&gt;"TransfereGOV",
ROUND(OFFSET($P46,0,AM$13),15-13*ORÇAMENTO!$AF$7)/$H46*OFFSET(ORÇAMENTO!$X$15,ROW(AM46)-ROW(AM$15),0),
ROUND(ROUND(OFFSET($P46,0,AM$13),15-13*ORÇAMENTO!$AF$7)*OFFSET(ORÇAMENTO!$W$15,ROW(AM46)-ROW(AM$15),0),15-13*ORÇAMENTO!$AF$11)),0)</f>
        <v>0</v>
      </c>
      <c r="AN46" s="545">
        <f ca="1">IF(AND($D46="Serviço",AN$12&lt;&gt;0,$H46&gt;0,OR(AUTOEVENTO&lt;&gt;"manual",$M46&lt;&gt;1)),
IF(Import.TipoArredondamento&lt;&gt;"TransfereGOV",
ROUND(OFFSET($P46,0,AN$13),15-13*ORÇAMENTO!$AF$7)/$H46*OFFSET(ORÇAMENTO!$X$15,ROW(AN46)-ROW(AN$15),0),
ROUND(ROUND(OFFSET($P46,0,AN$13),15-13*ORÇAMENTO!$AF$7)*OFFSET(ORÇAMENTO!$W$15,ROW(AN46)-ROW(AN$15),0),15-13*ORÇAMENTO!$AF$11)),0)</f>
        <v>0</v>
      </c>
      <c r="AO46" s="545">
        <f ca="1">IF(AND($D46="Serviço",AO$12&lt;&gt;0,$H46&gt;0,OR(AUTOEVENTO&lt;&gt;"manual",$M46&lt;&gt;1)),
IF(Import.TipoArredondamento&lt;&gt;"TransfereGOV",
ROUND(OFFSET($P46,0,AO$13),15-13*ORÇAMENTO!$AF$7)/$H46*OFFSET(ORÇAMENTO!$X$15,ROW(AO46)-ROW(AO$15),0),
ROUND(ROUND(OFFSET($P46,0,AO$13),15-13*ORÇAMENTO!$AF$7)*OFFSET(ORÇAMENTO!$W$15,ROW(AO46)-ROW(AO$15),0),15-13*ORÇAMENTO!$AF$11)),0)</f>
        <v>0</v>
      </c>
      <c r="AP46" s="545">
        <f ca="1">IF(AND($D46="Serviço",AP$12&lt;&gt;0,$H46&gt;0,OR(AUTOEVENTO&lt;&gt;"manual",$M46&lt;&gt;1)),
IF(Import.TipoArredondamento&lt;&gt;"TransfereGOV",
ROUND(OFFSET($P46,0,AP$13),15-13*ORÇAMENTO!$AF$7)/$H46*OFFSET(ORÇAMENTO!$X$15,ROW(AP46)-ROW(AP$15),0),
ROUND(ROUND(OFFSET($P46,0,AP$13),15-13*ORÇAMENTO!$AF$7)*OFFSET(ORÇAMENTO!$W$15,ROW(AP46)-ROW(AP$15),0),15-13*ORÇAMENTO!$AF$11)),0)</f>
        <v>0</v>
      </c>
      <c r="AQ46" s="545">
        <f ca="1">IF(AND($D46="Serviço",AQ$12&lt;&gt;0,$H46&gt;0,OR(AUTOEVENTO&lt;&gt;"manual",$M46&lt;&gt;1)),
IF(Import.TipoArredondamento&lt;&gt;"TransfereGOV",
ROUND(OFFSET($P46,0,AQ$13),15-13*ORÇAMENTO!$AF$7)/$H46*OFFSET(ORÇAMENTO!$X$15,ROW(AQ46)-ROW(AQ$15),0),
ROUND(ROUND(OFFSET($P46,0,AQ$13),15-13*ORÇAMENTO!$AF$7)*OFFSET(ORÇAMENTO!$W$15,ROW(AQ46)-ROW(AQ$15),0),15-13*ORÇAMENTO!$AF$11)),0)</f>
        <v>0</v>
      </c>
      <c r="AR46" s="545">
        <f ca="1">IF(AND($D46="Serviço",AR$12&lt;&gt;0,$H46&gt;0,OR(AUTOEVENTO&lt;&gt;"manual",$M46&lt;&gt;1)),
IF(Import.TipoArredondamento&lt;&gt;"TransfereGOV",
ROUND(OFFSET($P46,0,AR$13),15-13*ORÇAMENTO!$AF$7)/$H46*OFFSET(ORÇAMENTO!$X$15,ROW(AR46)-ROW(AR$15),0),
ROUND(ROUND(OFFSET($P46,0,AR$13),15-13*ORÇAMENTO!$AF$7)*OFFSET(ORÇAMENTO!$W$15,ROW(AR46)-ROW(AR$15),0),15-13*ORÇAMENTO!$AF$11)),0)</f>
        <v>0</v>
      </c>
      <c r="AS46" s="546">
        <f ca="1">IF(AND($D46="Serviço",AS$12&lt;&gt;0,$H46&gt;0,OR(AUTOEVENTO&lt;&gt;"manual",$M46&lt;&gt;1)),
IF(Import.TipoArredondamento&lt;&gt;"TransfereGOV",
ROUND(OFFSET($P46,0,AS$13),15-13*ORÇAMENTO!$AF$7)/$H46*OFFSET(ORÇAMENTO!$X$15,ROW(AS46)-ROW(AS$15),0),
ROUND(ROUND(OFFSET($P46,0,AS$13),15-13*ORÇAMENTO!$AF$7)*OFFSET(ORÇAMENTO!$W$15,ROW(AS46)-ROW(AS$15),0),15-13*ORÇAMENTO!$AF$11)),0)</f>
        <v>0</v>
      </c>
      <c r="AT46" s="545">
        <f ca="1">IF(AND($D46="Serviço",AT$12&lt;&gt;0,$H46&gt;0,OR(AUTOEVENTO&lt;&gt;"manual",$M46&lt;&gt;1)),
IF(Import.TipoArredondamento&lt;&gt;"TransfereGOV",
ROUND(OFFSET($P46,0,AT$13),15-13*ORÇAMENTO!$AF$7)/$H46*OFFSET(ORÇAMENTO!$X$15,ROW(AT46)-ROW(AT$15),0),
ROUND(ROUND(OFFSET($P46,0,AT$13),15-13*ORÇAMENTO!$AF$7)*OFFSET(ORÇAMENTO!$W$15,ROW(AT46)-ROW(AT$15),0),15-13*ORÇAMENTO!$AF$11)),0)</f>
        <v>0</v>
      </c>
      <c r="AU46" s="545">
        <f ca="1">IF(AND($D46="Serviço",AU$12&lt;&gt;0,$H46&gt;0,OR(AUTOEVENTO&lt;&gt;"manual",$M46&lt;&gt;1)),
IF(Import.TipoArredondamento&lt;&gt;"TransfereGOV",
ROUND(OFFSET($P46,0,AU$13),15-13*ORÇAMENTO!$AF$7)/$H46*OFFSET(ORÇAMENTO!$X$15,ROW(AU46)-ROW(AU$15),0),
ROUND(ROUND(OFFSET($P46,0,AU$13),15-13*ORÇAMENTO!$AF$7)*OFFSET(ORÇAMENTO!$W$15,ROW(AU46)-ROW(AU$15),0),15-13*ORÇAMENTO!$AF$11)),0)</f>
        <v>0</v>
      </c>
      <c r="AV46" s="545">
        <f ca="1">IF(AND($D46="Serviço",AV$12&lt;&gt;0,$H46&gt;0,OR(AUTOEVENTO&lt;&gt;"manual",$M46&lt;&gt;1)),
IF(Import.TipoArredondamento&lt;&gt;"TransfereGOV",
ROUND(OFFSET($P46,0,AV$13),15-13*ORÇAMENTO!$AF$7)/$H46*OFFSET(ORÇAMENTO!$X$15,ROW(AV46)-ROW(AV$15),0),
ROUND(ROUND(OFFSET($P46,0,AV$13),15-13*ORÇAMENTO!$AF$7)*OFFSET(ORÇAMENTO!$W$15,ROW(AV46)-ROW(AV$15),0),15-13*ORÇAMENTO!$AF$11)),0)</f>
        <v>0</v>
      </c>
      <c r="AW46" s="545">
        <f ca="1">IF(AND($D46="Serviço",AW$12&lt;&gt;0,$H46&gt;0,OR(AUTOEVENTO&lt;&gt;"manual",$M46&lt;&gt;1)),
IF(Import.TipoArredondamento&lt;&gt;"TransfereGOV",
ROUND(OFFSET($P46,0,AW$13),15-13*ORÇAMENTO!$AF$7)/$H46*OFFSET(ORÇAMENTO!$X$15,ROW(AW46)-ROW(AW$15),0),
ROUND(ROUND(OFFSET($P46,0,AW$13),15-13*ORÇAMENTO!$AF$7)*OFFSET(ORÇAMENTO!$W$15,ROW(AW46)-ROW(AW$15),0),15-13*ORÇAMENTO!$AF$11)),0)</f>
        <v>0</v>
      </c>
      <c r="AX46" s="545">
        <f ca="1">IF(AND($D46="Serviço",AX$12&lt;&gt;0,$H46&gt;0,OR(AUTOEVENTO&lt;&gt;"manual",$M46&lt;&gt;1)),
IF(Import.TipoArredondamento&lt;&gt;"TransfereGOV",
ROUND(OFFSET($P46,0,AX$13),15-13*ORÇAMENTO!$AF$7)/$H46*OFFSET(ORÇAMENTO!$X$15,ROW(AX46)-ROW(AX$15),0),
ROUND(ROUND(OFFSET($P46,0,AX$13),15-13*ORÇAMENTO!$AF$7)*OFFSET(ORÇAMENTO!$W$15,ROW(AX46)-ROW(AX$15),0),15-13*ORÇAMENTO!$AF$11)),0)</f>
        <v>0</v>
      </c>
      <c r="AY46" s="545">
        <f ca="1">IF(AND($D46="Serviço",AY$12&lt;&gt;0,$H46&gt;0,OR(AUTOEVENTO&lt;&gt;"manual",$M46&lt;&gt;1)),
IF(Import.TipoArredondamento&lt;&gt;"TransfereGOV",
ROUND(OFFSET($P46,0,AY$13),15-13*ORÇAMENTO!$AF$7)/$H46*OFFSET(ORÇAMENTO!$X$15,ROW(AY46)-ROW(AY$15),0),
ROUND(ROUND(OFFSET($P46,0,AY$13),15-13*ORÇAMENTO!$AF$7)*OFFSET(ORÇAMENTO!$W$15,ROW(AY46)-ROW(AY$15),0),15-13*ORÇAMENTO!$AF$11)),0)</f>
        <v>0</v>
      </c>
      <c r="AZ46" s="545">
        <f ca="1">IF(AND($D46="Serviço",AZ$12&lt;&gt;0,$H46&gt;0,OR(AUTOEVENTO&lt;&gt;"manual",$M46&lt;&gt;1)),
IF(Import.TipoArredondamento&lt;&gt;"TransfereGOV",
ROUND(OFFSET($P46,0,AZ$13),15-13*ORÇAMENTO!$AF$7)/$H46*OFFSET(ORÇAMENTO!$X$15,ROW(AZ46)-ROW(AZ$15),0),
ROUND(ROUND(OFFSET($P46,0,AZ$13),15-13*ORÇAMENTO!$AF$7)*OFFSET(ORÇAMENTO!$W$15,ROW(AZ46)-ROW(AZ$15),0),15-13*ORÇAMENTO!$AF$11)),0)</f>
        <v>0</v>
      </c>
      <c r="BA46" s="546">
        <f ca="1">IF(AND($D46="Serviço",BA$12&lt;&gt;0,$H46&gt;0,OR(AUTOEVENTO&lt;&gt;"manual",$M46&lt;&gt;1)),
IF(Import.TipoArredondamento&lt;&gt;"TransfereGOV",
ROUND(OFFSET($P46,0,BA$13),15-13*ORÇAMENTO!$AF$7)/$H46*OFFSET(ORÇAMENTO!$X$15,ROW(BA46)-ROW(BA$15),0),
ROUND(ROUND(OFFSET($P46,0,BA$13),15-13*ORÇAMENTO!$AF$7)*OFFSET(ORÇAMENTO!$W$15,ROW(BA46)-ROW(BA$15),0),15-13*ORÇAMENTO!$AF$11)),0)</f>
        <v>0</v>
      </c>
      <c r="BC46" s="181">
        <f ca="1">IF($D46&lt;&gt;"Serviço",0,IF(AND(AUTOEVENTO="Manual",$M46=1),0,IF(OFFSET(CRONOPLE!$F$14,$M46,BC$13)="",10^12,OFFSET(CRONOPLE!$F$14,$M46,BC$13))))</f>
        <v>2</v>
      </c>
      <c r="BD46" s="181">
        <f ca="1">IF($D46&lt;&gt;"Serviço",0,IF(AND(AUTOEVENTO="Manual",$M46=1),0,IF(OFFSET(CRONOPLE!$F$14,$M46,BD$13)="",10^12,OFFSET(CRONOPLE!$F$14,$M46,BD$13))))</f>
        <v>1000000000000</v>
      </c>
      <c r="BE46" s="181">
        <f ca="1">IF($D46&lt;&gt;"Serviço",0,IF(AND(AUTOEVENTO="Manual",$M46=1),0,IF(OFFSET(CRONOPLE!$F$14,$M46,BE$13)="",10^12,OFFSET(CRONOPLE!$F$14,$M46,BE$13))))</f>
        <v>1000000000000</v>
      </c>
      <c r="BF46" s="181">
        <f ca="1">IF($D46&lt;&gt;"Serviço",0,IF(AND(AUTOEVENTO="Manual",$M46=1),0,IF(OFFSET(CRONOPLE!$F$14,$M46,BF$13)="",10^12,OFFSET(CRONOPLE!$F$14,$M46,BF$13))))</f>
        <v>1000000000000</v>
      </c>
      <c r="BG46" s="181">
        <f ca="1">IF($D46&lt;&gt;"Serviço",0,IF(AND(AUTOEVENTO="Manual",$M46=1),0,IF(OFFSET(CRONOPLE!$F$14,$M46,BG$13)="",10^12,OFFSET(CRONOPLE!$F$14,$M46,BG$13))))</f>
        <v>1000000000000</v>
      </c>
      <c r="BH46" s="181">
        <f ca="1">IF($D46&lt;&gt;"Serviço",0,IF(AND(AUTOEVENTO="Manual",$M46=1),0,IF(OFFSET(CRONOPLE!$F$14,$M46,BH$13)="",10^12,OFFSET(CRONOPLE!$F$14,$M46,BH$13))))</f>
        <v>1000000000000</v>
      </c>
      <c r="BI46" s="181">
        <f ca="1">IF($D46&lt;&gt;"Serviço",0,IF(AND(AUTOEVENTO="Manual",$M46=1),0,IF(OFFSET(CRONOPLE!$F$14,$M46,BI$13)="",10^12,OFFSET(CRONOPLE!$F$14,$M46,BI$13))))</f>
        <v>1000000000000</v>
      </c>
      <c r="BJ46" s="181">
        <f ca="1">IF($D46&lt;&gt;"Serviço",0,IF(AND(AUTOEVENTO="Manual",$M46=1),0,IF(OFFSET(CRONOPLE!$F$14,$M46,BJ$13)="",10^12,OFFSET(CRONOPLE!$F$14,$M46,BJ$13))))</f>
        <v>1000000000000</v>
      </c>
      <c r="BK46" s="181">
        <f ca="1">IF($D46&lt;&gt;"Serviço",0,IF(AND(AUTOEVENTO="Manual",$M46=1),0,IF(OFFSET(CRONOPLE!$F$14,$M46,BK$13)="",10^12,OFFSET(CRONOPLE!$F$14,$M46,BK$13))))</f>
        <v>1000000000000</v>
      </c>
      <c r="BL46" s="181">
        <f ca="1">IF($D46&lt;&gt;"Serviço",0,IF(AND(AUTOEVENTO="Manual",$M46=1),0,IF(OFFSET(CRONOPLE!$F$14,$M46,BL$13)="",10^12,OFFSET(CRONOPLE!$F$14,$M46,BL$13))))</f>
        <v>1000000000000</v>
      </c>
      <c r="BM46" s="181">
        <f ca="1">IF($D46&lt;&gt;"Serviço",0,IF(AND(AUTOEVENTO="Manual",$M46=1),0,IF(OFFSET(CRONOPLE!$F$14,$M46,BM$13)="",10^12,OFFSET(CRONOPLE!$F$14,$M46,BM$13))))</f>
        <v>1000000000000</v>
      </c>
      <c r="BN46" s="181">
        <f ca="1">IF($D46&lt;&gt;"Serviço",0,IF(AND(AUTOEVENTO="Manual",$M46=1),0,IF(OFFSET(CRONOPLE!$F$14,$M46,BN$13)="",10^12,OFFSET(CRONOPLE!$F$14,$M46,BN$13))))</f>
        <v>1000000000000</v>
      </c>
      <c r="BO46" s="181">
        <f ca="1">IF($D46&lt;&gt;"Serviço",0,IF(AND(AUTOEVENTO="Manual",$M46=1),0,IF(OFFSET(CRONOPLE!$F$14,$M46,BO$13)="",10^12,OFFSET(CRONOPLE!$F$14,$M46,BO$13))))</f>
        <v>1000000000000</v>
      </c>
      <c r="BP46" s="181">
        <f ca="1">IF($D46&lt;&gt;"Serviço",0,IF(AND(AUTOEVENTO="Manual",$M46=1),0,IF(OFFSET(CRONOPLE!$F$14,$M46,BP$13)="",10^12,OFFSET(CRONOPLE!$F$14,$M46,BP$13))))</f>
        <v>1000000000000</v>
      </c>
      <c r="BQ46" s="181">
        <f ca="1">IF($D46&lt;&gt;"Serviço",0,IF(AND(AUTOEVENTO="Manual",$M46=1),0,IF(OFFSET(CRONOPLE!$F$14,$M46,BQ$13)="",10^12,OFFSET(CRONOPLE!$F$14,$M46,BQ$13))))</f>
        <v>1000000000000</v>
      </c>
      <c r="BR46" s="181">
        <f ca="1">IF($D46&lt;&gt;"Serviço",0,IF(AND(AUTOEVENTO="Manual",$M46=1),0,IF(OFFSET(CRONOPLE!$F$14,$M46,BR$13)="",10^12,OFFSET(CRONOPLE!$F$14,$M46,BR$13))))</f>
        <v>1000000000000</v>
      </c>
      <c r="BS46" s="181">
        <f ca="1">IF($D46&lt;&gt;"Serviço",0,IF(AND(AUTOEVENTO="Manual",$M46=1),0,IF(OFFSET(CRONOPLE!$F$14,$M46,BS$13)="",10^12,OFFSET(CRONOPLE!$F$14,$M46,BS$13))))</f>
        <v>1000000000000</v>
      </c>
      <c r="BT46" s="181">
        <f ca="1">IF($D46&lt;&gt;"Serviço",0,IF(AND(AUTOEVENTO="Manual",$M46=1),0,IF(OFFSET(CRONOPLE!$F$14,$M46,BT$13)="",10^12,OFFSET(CRONOPLE!$F$14,$M46,BT$13))))</f>
        <v>1000000000000</v>
      </c>
      <c r="BV46" s="182">
        <f ca="1">IF($D46&lt;&gt;"Serviço",0,IF(OR(AND(AUTOEVENTO="Manual",$M46=1),$M46&gt;(ROW(PLE.lastrow)-ROW(PLE.firstrow))),0,IF(OFFSET(PLE!$G$14,$M46,BV$13)="",10^12,OFFSET(PLE!$G$14,$M46,BV$13))))</f>
        <v>1000000000000</v>
      </c>
      <c r="BW46" s="182">
        <f ca="1">IF($D46&lt;&gt;"Serviço",0,IF(OR(AND(AUTOEVENTO="Manual",$M46=1),$M46&gt;(ROW(PLE.lastrow)-ROW(PLE.firstrow))),0,IF(OFFSET(PLE!$G$14,$M46,BW$13)="",10^12,OFFSET(PLE!$G$14,$M46,BW$13))))</f>
        <v>1000000000000</v>
      </c>
      <c r="BX46" s="182">
        <f ca="1">IF($D46&lt;&gt;"Serviço",0,IF(OR(AND(AUTOEVENTO="Manual",$M46=1),$M46&gt;(ROW(PLE.lastrow)-ROW(PLE.firstrow))),0,IF(OFFSET(PLE!$G$14,$M46,BX$13)="",10^12,OFFSET(PLE!$G$14,$M46,BX$13))))</f>
        <v>1000000000000</v>
      </c>
      <c r="BY46" s="182">
        <f ca="1">IF($D46&lt;&gt;"Serviço",0,IF(OR(AND(AUTOEVENTO="Manual",$M46=1),$M46&gt;(ROW(PLE.lastrow)-ROW(PLE.firstrow))),0,IF(OFFSET(PLE!$G$14,$M46,BY$13)="",10^12,OFFSET(PLE!$G$14,$M46,BY$13))))</f>
        <v>1000000000000</v>
      </c>
      <c r="BZ46" s="182">
        <f ca="1">IF($D46&lt;&gt;"Serviço",0,IF(OR(AND(AUTOEVENTO="Manual",$M46=1),$M46&gt;(ROW(PLE.lastrow)-ROW(PLE.firstrow))),0,IF(OFFSET(PLE!$G$14,$M46,BZ$13)="",10^12,OFFSET(PLE!$G$14,$M46,BZ$13))))</f>
        <v>1000000000000</v>
      </c>
      <c r="CA46" s="182">
        <f ca="1">IF($D46&lt;&gt;"Serviço",0,IF(OR(AND(AUTOEVENTO="Manual",$M46=1),$M46&gt;(ROW(PLE.lastrow)-ROW(PLE.firstrow))),0,IF(OFFSET(PLE!$G$14,$M46,CA$13)="",10^12,OFFSET(PLE!$G$14,$M46,CA$13))))</f>
        <v>1000000000000</v>
      </c>
      <c r="CB46" s="182">
        <f ca="1">IF($D46&lt;&gt;"Serviço",0,IF(OR(AND(AUTOEVENTO="Manual",$M46=1),$M46&gt;(ROW(PLE.lastrow)-ROW(PLE.firstrow))),0,IF(OFFSET(PLE!$G$14,$M46,CB$13)="",10^12,OFFSET(PLE!$G$14,$M46,CB$13))))</f>
        <v>1000000000000</v>
      </c>
      <c r="CC46" s="182">
        <f ca="1">IF($D46&lt;&gt;"Serviço",0,IF(OR(AND(AUTOEVENTO="Manual",$M46=1),$M46&gt;(ROW(PLE.lastrow)-ROW(PLE.firstrow))),0,IF(OFFSET(PLE!$G$14,$M46,CC$13)="",10^12,OFFSET(PLE!$G$14,$M46,CC$13))))</f>
        <v>1000000000000</v>
      </c>
      <c r="CD46" s="182">
        <f ca="1">IF($D46&lt;&gt;"Serviço",0,IF(OR(AND(AUTOEVENTO="Manual",$M46=1),$M46&gt;(ROW(PLE.lastrow)-ROW(PLE.firstrow))),0,IF(OFFSET(PLE!$G$14,$M46,CD$13)="",10^12,OFFSET(PLE!$G$14,$M46,CD$13))))</f>
        <v>1000000000000</v>
      </c>
      <c r="CE46" s="182">
        <f ca="1">IF($D46&lt;&gt;"Serviço",0,IF(OR(AND(AUTOEVENTO="Manual",$M46=1),$M46&gt;(ROW(PLE.lastrow)-ROW(PLE.firstrow))),0,IF(OFFSET(PLE!$G$14,$M46,CE$13)="",10^12,OFFSET(PLE!$G$14,$M46,CE$13))))</f>
        <v>1000000000000</v>
      </c>
      <c r="CF46" s="182">
        <f ca="1">IF($D46&lt;&gt;"Serviço",0,IF(OR(AND(AUTOEVENTO="Manual",$M46=1),$M46&gt;(ROW(PLE.lastrow)-ROW(PLE.firstrow))),0,IF(OFFSET(PLE!$G$14,$M46,CF$13)="",10^12,OFFSET(PLE!$G$14,$M46,CF$13))))</f>
        <v>1000000000000</v>
      </c>
      <c r="CG46" s="182">
        <f ca="1">IF($D46&lt;&gt;"Serviço",0,IF(OR(AND(AUTOEVENTO="Manual",$M46=1),$M46&gt;(ROW(PLE.lastrow)-ROW(PLE.firstrow))),0,IF(OFFSET(PLE!$G$14,$M46,CG$13)="",10^12,OFFSET(PLE!$G$14,$M46,CG$13))))</f>
        <v>1000000000000</v>
      </c>
      <c r="CH46" s="182">
        <f ca="1">IF($D46&lt;&gt;"Serviço",0,IF(OR(AND(AUTOEVENTO="Manual",$M46=1),$M46&gt;(ROW(PLE.lastrow)-ROW(PLE.firstrow))),0,IF(OFFSET(PLE!$G$14,$M46,CH$13)="",10^12,OFFSET(PLE!$G$14,$M46,CH$13))))</f>
        <v>1000000000000</v>
      </c>
      <c r="CI46" s="182">
        <f ca="1">IF($D46&lt;&gt;"Serviço",0,IF(OR(AND(AUTOEVENTO="Manual",$M46=1),$M46&gt;(ROW(PLE.lastrow)-ROW(PLE.firstrow))),0,IF(OFFSET(PLE!$G$14,$M46,CI$13)="",10^12,OFFSET(PLE!$G$14,$M46,CI$13))))</f>
        <v>1000000000000</v>
      </c>
      <c r="CJ46" s="182">
        <f ca="1">IF($D46&lt;&gt;"Serviço",0,IF(OR(AND(AUTOEVENTO="Manual",$M46=1),$M46&gt;(ROW(PLE.lastrow)-ROW(PLE.firstrow))),0,IF(OFFSET(PLE!$G$14,$M46,CJ$13)="",10^12,OFFSET(PLE!$G$14,$M46,CJ$13))))</f>
        <v>1000000000000</v>
      </c>
      <c r="CK46" s="182">
        <f ca="1">IF($D46&lt;&gt;"Serviço",0,IF(OR(AND(AUTOEVENTO="Manual",$M46=1),$M46&gt;(ROW(PLE.lastrow)-ROW(PLE.firstrow))),0,IF(OFFSET(PLE!$G$14,$M46,CK$13)="",10^12,OFFSET(PLE!$G$14,$M46,CK$13))))</f>
        <v>1000000000000</v>
      </c>
      <c r="CL46" s="182">
        <f ca="1">IF($D46&lt;&gt;"Serviço",0,IF(OR(AND(AUTOEVENTO="Manual",$M46=1),$M46&gt;(ROW(PLE.lastrow)-ROW(PLE.firstrow))),0,IF(OFFSET(PLE!$G$14,$M46,CL$13)="",10^12,OFFSET(PLE!$G$14,$M46,CL$13))))</f>
        <v>1000000000000</v>
      </c>
      <c r="CM46" s="182">
        <f ca="1">IF($D46&lt;&gt;"Serviço",0,IF(OR(AND(AUTOEVENTO="Manual",$M46=1),$M46&gt;(ROW(PLE.lastrow)-ROW(PLE.firstrow))),0,IF(OFFSET(PLE!$G$14,$M46,CM$13)="",10^12,OFFSET(PLE!$G$14,$M46,CM$13))))</f>
        <v>1000000000000</v>
      </c>
    </row>
    <row r="47" spans="1:91" ht="12.75" x14ac:dyDescent="0.2">
      <c r="A47" s="7" t="str">
        <f t="shared" ca="1" si="9"/>
        <v>32.</v>
      </c>
      <c r="B47" s="7">
        <f ca="1">OFFSET(ORÇAMENTO!C$15,ROW(B47)-ROW(B$15),0)</f>
        <v>2</v>
      </c>
      <c r="C47" s="7" t="str">
        <f ca="1">OFFSET(ORÇAMENTO!L$15,ROW(C47)-ROW(C$15),0)</f>
        <v>F</v>
      </c>
      <c r="D47" s="118" t="str">
        <f ca="1">OFFSET(ORÇAMENTO!N$15,ROW(D47)-ROW(D$15),0)</f>
        <v>Nível 2</v>
      </c>
      <c r="E47" s="119" t="str">
        <f ca="1">OFFSET(ORÇAMENTO!O$15,ROW(E47)-ROW(E$15),0)</f>
        <v>1.7.</v>
      </c>
      <c r="F47" s="172" t="str">
        <f ca="1">OFFSET(ORÇAMENTO!R$15,ROW(F47)-ROW(F$15),0)</f>
        <v>FUNDAÇÕES - CONCRETO ARMADO PARA BLOCOS</v>
      </c>
      <c r="G47" s="173" t="str">
        <f ca="1">IF($D47&lt;&gt;"Serviço","",OFFSET(ORÇAMENTO!S$15,ROW(G47)-ROW(G$15),0))</f>
        <v/>
      </c>
      <c r="H47" s="124">
        <f ca="1">IF($D47&lt;&gt;"Serviço",0,IF(ACOMPANHAMENTO="BM",ROUND(OFFSET(ORÇAMENTO!AJ$15,ROW(H47)-ROW(H$15),0),15-13*ORÇAMENTO!$AF$7),SUMPRODUCT(($Q$12:$AI$12&lt;&gt;"")*ROUND($Q47:$AI47,15-13*ORÇAMENTO!$AF$7))))</f>
        <v>0</v>
      </c>
      <c r="I47" s="561"/>
      <c r="K47" s="174" t="s">
        <v>1022</v>
      </c>
      <c r="L47" s="175" t="s">
        <v>255</v>
      </c>
      <c r="M47" s="176" t="str">
        <f ca="1">IF($D47&lt;&gt;"Serviço","",IF(AUTOEVENTO="manual",$A47,IF(ISERROR(MATCH($A47,$A$15:OFFSET($A47,-1,0),0)),MAX($M$15:OFFSET(M47,-1,0))+1,INDEX($M$15:OFFSET(M47,-1,0),MATCH($A47,$A$15:OFFSET($A47,-1,0),0)))))</f>
        <v/>
      </c>
      <c r="N47" s="177" t="str">
        <f ca="1">IF($D47&lt;&gt;"Serviço","",IF(AUTOEVENTO="Manual",IF($A47=0,"&lt;-- defina o número do agrupador",OFFSET(EVENTOS!$D$14,$A47,0)),OFFSET($F$15,$A47,0)))</f>
        <v/>
      </c>
      <c r="O47" s="178"/>
      <c r="Q47" s="178">
        <v>0</v>
      </c>
      <c r="R47" s="179"/>
      <c r="S47" s="179"/>
      <c r="T47" s="179"/>
      <c r="U47" s="179"/>
      <c r="V47" s="179"/>
      <c r="W47" s="179"/>
      <c r="X47" s="179"/>
      <c r="Y47" s="179"/>
      <c r="Z47" s="180"/>
      <c r="AA47" s="179"/>
      <c r="AB47" s="179"/>
      <c r="AC47" s="179"/>
      <c r="AD47" s="179"/>
      <c r="AE47" s="179"/>
      <c r="AF47" s="179"/>
      <c r="AG47" s="179"/>
      <c r="AH47" s="180"/>
      <c r="AJ47" s="544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545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L47" s="545">
        <f ca="1">IF(AND($D47="Serviço",AL$12&lt;&gt;0,$H47&gt;0,OR(AUTOEVENTO&lt;&gt;"manual",$M47&lt;&gt;1)),
IF(Import.TipoArredondamento&lt;&gt;"TransfereGOV",
ROUND(OFFSET($P47,0,AL$13),15-13*ORÇAMENTO!$AF$7)/$H47*OFFSET(ORÇAMENTO!$X$15,ROW(AL47)-ROW(AL$15),0),
ROUND(ROUND(OFFSET($P47,0,AL$13),15-13*ORÇAMENTO!$AF$7)*OFFSET(ORÇAMENTO!$W$15,ROW(AL47)-ROW(AL$15),0),15-13*ORÇAMENTO!$AF$11)),0)</f>
        <v>0</v>
      </c>
      <c r="AM47" s="545">
        <f ca="1">IF(AND($D47="Serviço",AM$12&lt;&gt;0,$H47&gt;0,OR(AUTOEVENTO&lt;&gt;"manual",$M47&lt;&gt;1)),
IF(Import.TipoArredondamento&lt;&gt;"TransfereGOV",
ROUND(OFFSET($P47,0,AM$13),15-13*ORÇAMENTO!$AF$7)/$H47*OFFSET(ORÇAMENTO!$X$15,ROW(AM47)-ROW(AM$15),0),
ROUND(ROUND(OFFSET($P47,0,AM$13),15-13*ORÇAMENTO!$AF$7)*OFFSET(ORÇAMENTO!$W$15,ROW(AM47)-ROW(AM$15),0),15-13*ORÇAMENTO!$AF$11)),0)</f>
        <v>0</v>
      </c>
      <c r="AN47" s="545">
        <f ca="1">IF(AND($D47="Serviço",AN$12&lt;&gt;0,$H47&gt;0,OR(AUTOEVENTO&lt;&gt;"manual",$M47&lt;&gt;1)),
IF(Import.TipoArredondamento&lt;&gt;"TransfereGOV",
ROUND(OFFSET($P47,0,AN$13),15-13*ORÇAMENTO!$AF$7)/$H47*OFFSET(ORÇAMENTO!$X$15,ROW(AN47)-ROW(AN$15),0),
ROUND(ROUND(OFFSET($P47,0,AN$13),15-13*ORÇAMENTO!$AF$7)*OFFSET(ORÇAMENTO!$W$15,ROW(AN47)-ROW(AN$15),0),15-13*ORÇAMENTO!$AF$11)),0)</f>
        <v>0</v>
      </c>
      <c r="AO47" s="545">
        <f ca="1">IF(AND($D47="Serviço",AO$12&lt;&gt;0,$H47&gt;0,OR(AUTOEVENTO&lt;&gt;"manual",$M47&lt;&gt;1)),
IF(Import.TipoArredondamento&lt;&gt;"TransfereGOV",
ROUND(OFFSET($P47,0,AO$13),15-13*ORÇAMENTO!$AF$7)/$H47*OFFSET(ORÇAMENTO!$X$15,ROW(AO47)-ROW(AO$15),0),
ROUND(ROUND(OFFSET($P47,0,AO$13),15-13*ORÇAMENTO!$AF$7)*OFFSET(ORÇAMENTO!$W$15,ROW(AO47)-ROW(AO$15),0),15-13*ORÇAMENTO!$AF$11)),0)</f>
        <v>0</v>
      </c>
      <c r="AP47" s="545">
        <f ca="1">IF(AND($D47="Serviço",AP$12&lt;&gt;0,$H47&gt;0,OR(AUTOEVENTO&lt;&gt;"manual",$M47&lt;&gt;1)),
IF(Import.TipoArredondamento&lt;&gt;"TransfereGOV",
ROUND(OFFSET($P47,0,AP$13),15-13*ORÇAMENTO!$AF$7)/$H47*OFFSET(ORÇAMENTO!$X$15,ROW(AP47)-ROW(AP$15),0),
ROUND(ROUND(OFFSET($P47,0,AP$13),15-13*ORÇAMENTO!$AF$7)*OFFSET(ORÇAMENTO!$W$15,ROW(AP47)-ROW(AP$15),0),15-13*ORÇAMENTO!$AF$11)),0)</f>
        <v>0</v>
      </c>
      <c r="AQ47" s="545">
        <f ca="1">IF(AND($D47="Serviço",AQ$12&lt;&gt;0,$H47&gt;0,OR(AUTOEVENTO&lt;&gt;"manual",$M47&lt;&gt;1)),
IF(Import.TipoArredondamento&lt;&gt;"TransfereGOV",
ROUND(OFFSET($P47,0,AQ$13),15-13*ORÇAMENTO!$AF$7)/$H47*OFFSET(ORÇAMENTO!$X$15,ROW(AQ47)-ROW(AQ$15),0),
ROUND(ROUND(OFFSET($P47,0,AQ$13),15-13*ORÇAMENTO!$AF$7)*OFFSET(ORÇAMENTO!$W$15,ROW(AQ47)-ROW(AQ$15),0),15-13*ORÇAMENTO!$AF$11)),0)</f>
        <v>0</v>
      </c>
      <c r="AR47" s="545">
        <f ca="1">IF(AND($D47="Serviço",AR$12&lt;&gt;0,$H47&gt;0,OR(AUTOEVENTO&lt;&gt;"manual",$M47&lt;&gt;1)),
IF(Import.TipoArredondamento&lt;&gt;"TransfereGOV",
ROUND(OFFSET($P47,0,AR$13),15-13*ORÇAMENTO!$AF$7)/$H47*OFFSET(ORÇAMENTO!$X$15,ROW(AR47)-ROW(AR$15),0),
ROUND(ROUND(OFFSET($P47,0,AR$13),15-13*ORÇAMENTO!$AF$7)*OFFSET(ORÇAMENTO!$W$15,ROW(AR47)-ROW(AR$15),0),15-13*ORÇAMENTO!$AF$11)),0)</f>
        <v>0</v>
      </c>
      <c r="AS47" s="546">
        <f ca="1">IF(AND($D47="Serviço",AS$12&lt;&gt;0,$H47&gt;0,OR(AUTOEVENTO&lt;&gt;"manual",$M47&lt;&gt;1)),
IF(Import.TipoArredondamento&lt;&gt;"TransfereGOV",
ROUND(OFFSET($P47,0,AS$13),15-13*ORÇAMENTO!$AF$7)/$H47*OFFSET(ORÇAMENTO!$X$15,ROW(AS47)-ROW(AS$15),0),
ROUND(ROUND(OFFSET($P47,0,AS$13),15-13*ORÇAMENTO!$AF$7)*OFFSET(ORÇAMENTO!$W$15,ROW(AS47)-ROW(AS$15),0),15-13*ORÇAMENTO!$AF$11)),0)</f>
        <v>0</v>
      </c>
      <c r="AT47" s="545">
        <f ca="1">IF(AND($D47="Serviço",AT$12&lt;&gt;0,$H47&gt;0,OR(AUTOEVENTO&lt;&gt;"manual",$M47&lt;&gt;1)),
IF(Import.TipoArredondamento&lt;&gt;"TransfereGOV",
ROUND(OFFSET($P47,0,AT$13),15-13*ORÇAMENTO!$AF$7)/$H47*OFFSET(ORÇAMENTO!$X$15,ROW(AT47)-ROW(AT$15),0),
ROUND(ROUND(OFFSET($P47,0,AT$13),15-13*ORÇAMENTO!$AF$7)*OFFSET(ORÇAMENTO!$W$15,ROW(AT47)-ROW(AT$15),0),15-13*ORÇAMENTO!$AF$11)),0)</f>
        <v>0</v>
      </c>
      <c r="AU47" s="545">
        <f ca="1">IF(AND($D47="Serviço",AU$12&lt;&gt;0,$H47&gt;0,OR(AUTOEVENTO&lt;&gt;"manual",$M47&lt;&gt;1)),
IF(Import.TipoArredondamento&lt;&gt;"TransfereGOV",
ROUND(OFFSET($P47,0,AU$13),15-13*ORÇAMENTO!$AF$7)/$H47*OFFSET(ORÇAMENTO!$X$15,ROW(AU47)-ROW(AU$15),0),
ROUND(ROUND(OFFSET($P47,0,AU$13),15-13*ORÇAMENTO!$AF$7)*OFFSET(ORÇAMENTO!$W$15,ROW(AU47)-ROW(AU$15),0),15-13*ORÇAMENTO!$AF$11)),0)</f>
        <v>0</v>
      </c>
      <c r="AV47" s="545">
        <f ca="1">IF(AND($D47="Serviço",AV$12&lt;&gt;0,$H47&gt;0,OR(AUTOEVENTO&lt;&gt;"manual",$M47&lt;&gt;1)),
IF(Import.TipoArredondamento&lt;&gt;"TransfereGOV",
ROUND(OFFSET($P47,0,AV$13),15-13*ORÇAMENTO!$AF$7)/$H47*OFFSET(ORÇAMENTO!$X$15,ROW(AV47)-ROW(AV$15),0),
ROUND(ROUND(OFFSET($P47,0,AV$13),15-13*ORÇAMENTO!$AF$7)*OFFSET(ORÇAMENTO!$W$15,ROW(AV47)-ROW(AV$15),0),15-13*ORÇAMENTO!$AF$11)),0)</f>
        <v>0</v>
      </c>
      <c r="AW47" s="545">
        <f ca="1">IF(AND($D47="Serviço",AW$12&lt;&gt;0,$H47&gt;0,OR(AUTOEVENTO&lt;&gt;"manual",$M47&lt;&gt;1)),
IF(Import.TipoArredondamento&lt;&gt;"TransfereGOV",
ROUND(OFFSET($P47,0,AW$13),15-13*ORÇAMENTO!$AF$7)/$H47*OFFSET(ORÇAMENTO!$X$15,ROW(AW47)-ROW(AW$15),0),
ROUND(ROUND(OFFSET($P47,0,AW$13),15-13*ORÇAMENTO!$AF$7)*OFFSET(ORÇAMENTO!$W$15,ROW(AW47)-ROW(AW$15),0),15-13*ORÇAMENTO!$AF$11)),0)</f>
        <v>0</v>
      </c>
      <c r="AX47" s="545">
        <f ca="1">IF(AND($D47="Serviço",AX$12&lt;&gt;0,$H47&gt;0,OR(AUTOEVENTO&lt;&gt;"manual",$M47&lt;&gt;1)),
IF(Import.TipoArredondamento&lt;&gt;"TransfereGOV",
ROUND(OFFSET($P47,0,AX$13),15-13*ORÇAMENTO!$AF$7)/$H47*OFFSET(ORÇAMENTO!$X$15,ROW(AX47)-ROW(AX$15),0),
ROUND(ROUND(OFFSET($P47,0,AX$13),15-13*ORÇAMENTO!$AF$7)*OFFSET(ORÇAMENTO!$W$15,ROW(AX47)-ROW(AX$15),0),15-13*ORÇAMENTO!$AF$11)),0)</f>
        <v>0</v>
      </c>
      <c r="AY47" s="545">
        <f ca="1">IF(AND($D47="Serviço",AY$12&lt;&gt;0,$H47&gt;0,OR(AUTOEVENTO&lt;&gt;"manual",$M47&lt;&gt;1)),
IF(Import.TipoArredondamento&lt;&gt;"TransfereGOV",
ROUND(OFFSET($P47,0,AY$13),15-13*ORÇAMENTO!$AF$7)/$H47*OFFSET(ORÇAMENTO!$X$15,ROW(AY47)-ROW(AY$15),0),
ROUND(ROUND(OFFSET($P47,0,AY$13),15-13*ORÇAMENTO!$AF$7)*OFFSET(ORÇAMENTO!$W$15,ROW(AY47)-ROW(AY$15),0),15-13*ORÇAMENTO!$AF$11)),0)</f>
        <v>0</v>
      </c>
      <c r="AZ47" s="545">
        <f ca="1">IF(AND($D47="Serviço",AZ$12&lt;&gt;0,$H47&gt;0,OR(AUTOEVENTO&lt;&gt;"manual",$M47&lt;&gt;1)),
IF(Import.TipoArredondamento&lt;&gt;"TransfereGOV",
ROUND(OFFSET($P47,0,AZ$13),15-13*ORÇAMENTO!$AF$7)/$H47*OFFSET(ORÇAMENTO!$X$15,ROW(AZ47)-ROW(AZ$15),0),
ROUND(ROUND(OFFSET($P47,0,AZ$13),15-13*ORÇAMENTO!$AF$7)*OFFSET(ORÇAMENTO!$W$15,ROW(AZ47)-ROW(AZ$15),0),15-13*ORÇAMENTO!$AF$11)),0)</f>
        <v>0</v>
      </c>
      <c r="BA47" s="546">
        <f ca="1">IF(AND($D47="Serviço",BA$12&lt;&gt;0,$H47&gt;0,OR(AUTOEVENTO&lt;&gt;"manual",$M47&lt;&gt;1)),
IF(Import.TipoArredondamento&lt;&gt;"TransfereGOV",
ROUND(OFFSET($P47,0,BA$13),15-13*ORÇAMENTO!$AF$7)/$H47*OFFSET(ORÇAMENTO!$X$15,ROW(BA47)-ROW(BA$15),0),
ROUND(ROUND(OFFSET($P47,0,BA$13),15-13*ORÇAMENTO!$AF$7)*OFFSET(ORÇAMENTO!$W$15,ROW(BA47)-ROW(BA$15),0),15-13*ORÇAMENTO!$AF$11)),0)</f>
        <v>0</v>
      </c>
      <c r="BC47" s="181">
        <f ca="1">IF($D47&lt;&gt;"Serviço",0,IF(AND(AUTOEVENTO="Manual",$M47=1),0,IF(OFFSET(CRONOPLE!$F$14,$M47,BC$13)="",10^12,OFFSET(CRONOPLE!$F$14,$M47,BC$13))))</f>
        <v>0</v>
      </c>
      <c r="BD47" s="181">
        <f ca="1">IF($D47&lt;&gt;"Serviço",0,IF(AND(AUTOEVENTO="Manual",$M47=1),0,IF(OFFSET(CRONOPLE!$F$14,$M47,BD$13)="",10^12,OFFSET(CRONOPLE!$F$14,$M47,BD$13))))</f>
        <v>0</v>
      </c>
      <c r="BE47" s="181">
        <f ca="1">IF($D47&lt;&gt;"Serviço",0,IF(AND(AUTOEVENTO="Manual",$M47=1),0,IF(OFFSET(CRONOPLE!$F$14,$M47,BE$13)="",10^12,OFFSET(CRONOPLE!$F$14,$M47,BE$13))))</f>
        <v>0</v>
      </c>
      <c r="BF47" s="181">
        <f ca="1">IF($D47&lt;&gt;"Serviço",0,IF(AND(AUTOEVENTO="Manual",$M47=1),0,IF(OFFSET(CRONOPLE!$F$14,$M47,BF$13)="",10^12,OFFSET(CRONOPLE!$F$14,$M47,BF$13))))</f>
        <v>0</v>
      </c>
      <c r="BG47" s="181">
        <f ca="1">IF($D47&lt;&gt;"Serviço",0,IF(AND(AUTOEVENTO="Manual",$M47=1),0,IF(OFFSET(CRONOPLE!$F$14,$M47,BG$13)="",10^12,OFFSET(CRONOPLE!$F$14,$M47,BG$13))))</f>
        <v>0</v>
      </c>
      <c r="BH47" s="181">
        <f ca="1">IF($D47&lt;&gt;"Serviço",0,IF(AND(AUTOEVENTO="Manual",$M47=1),0,IF(OFFSET(CRONOPLE!$F$14,$M47,BH$13)="",10^12,OFFSET(CRONOPLE!$F$14,$M47,BH$13))))</f>
        <v>0</v>
      </c>
      <c r="BI47" s="181">
        <f ca="1">IF($D47&lt;&gt;"Serviço",0,IF(AND(AUTOEVENTO="Manual",$M47=1),0,IF(OFFSET(CRONOPLE!$F$14,$M47,BI$13)="",10^12,OFFSET(CRONOPLE!$F$14,$M47,BI$13))))</f>
        <v>0</v>
      </c>
      <c r="BJ47" s="181">
        <f ca="1">IF($D47&lt;&gt;"Serviço",0,IF(AND(AUTOEVENTO="Manual",$M47=1),0,IF(OFFSET(CRONOPLE!$F$14,$M47,BJ$13)="",10^12,OFFSET(CRONOPLE!$F$14,$M47,BJ$13))))</f>
        <v>0</v>
      </c>
      <c r="BK47" s="181">
        <f ca="1">IF($D47&lt;&gt;"Serviço",0,IF(AND(AUTOEVENTO="Manual",$M47=1),0,IF(OFFSET(CRONOPLE!$F$14,$M47,BK$13)="",10^12,OFFSET(CRONOPLE!$F$14,$M47,BK$13))))</f>
        <v>0</v>
      </c>
      <c r="BL47" s="181">
        <f ca="1">IF($D47&lt;&gt;"Serviço",0,IF(AND(AUTOEVENTO="Manual",$M47=1),0,IF(OFFSET(CRONOPLE!$F$14,$M47,BL$13)="",10^12,OFFSET(CRONOPLE!$F$14,$M47,BL$13))))</f>
        <v>0</v>
      </c>
      <c r="BM47" s="181">
        <f ca="1">IF($D47&lt;&gt;"Serviço",0,IF(AND(AUTOEVENTO="Manual",$M47=1),0,IF(OFFSET(CRONOPLE!$F$14,$M47,BM$13)="",10^12,OFFSET(CRONOPLE!$F$14,$M47,BM$13))))</f>
        <v>0</v>
      </c>
      <c r="BN47" s="181">
        <f ca="1">IF($D47&lt;&gt;"Serviço",0,IF(AND(AUTOEVENTO="Manual",$M47=1),0,IF(OFFSET(CRONOPLE!$F$14,$M47,BN$13)="",10^12,OFFSET(CRONOPLE!$F$14,$M47,BN$13))))</f>
        <v>0</v>
      </c>
      <c r="BO47" s="181">
        <f ca="1">IF($D47&lt;&gt;"Serviço",0,IF(AND(AUTOEVENTO="Manual",$M47=1),0,IF(OFFSET(CRONOPLE!$F$14,$M47,BO$13)="",10^12,OFFSET(CRONOPLE!$F$14,$M47,BO$13))))</f>
        <v>0</v>
      </c>
      <c r="BP47" s="181">
        <f ca="1">IF($D47&lt;&gt;"Serviço",0,IF(AND(AUTOEVENTO="Manual",$M47=1),0,IF(OFFSET(CRONOPLE!$F$14,$M47,BP$13)="",10^12,OFFSET(CRONOPLE!$F$14,$M47,BP$13))))</f>
        <v>0</v>
      </c>
      <c r="BQ47" s="181">
        <f ca="1">IF($D47&lt;&gt;"Serviço",0,IF(AND(AUTOEVENTO="Manual",$M47=1),0,IF(OFFSET(CRONOPLE!$F$14,$M47,BQ$13)="",10^12,OFFSET(CRONOPLE!$F$14,$M47,BQ$13))))</f>
        <v>0</v>
      </c>
      <c r="BR47" s="181">
        <f ca="1">IF($D47&lt;&gt;"Serviço",0,IF(AND(AUTOEVENTO="Manual",$M47=1),0,IF(OFFSET(CRONOPLE!$F$14,$M47,BR$13)="",10^12,OFFSET(CRONOPLE!$F$14,$M47,BR$13))))</f>
        <v>0</v>
      </c>
      <c r="BS47" s="181">
        <f ca="1">IF($D47&lt;&gt;"Serviço",0,IF(AND(AUTOEVENTO="Manual",$M47=1),0,IF(OFFSET(CRONOPLE!$F$14,$M47,BS$13)="",10^12,OFFSET(CRONOPLE!$F$14,$M47,BS$13))))</f>
        <v>0</v>
      </c>
      <c r="BT47" s="181">
        <f ca="1">IF($D47&lt;&gt;"Serviço",0,IF(AND(AUTOEVENTO="Manual",$M47=1),0,IF(OFFSET(CRONOPLE!$F$14,$M47,BT$13)="",10^12,OFFSET(CRONOPLE!$F$14,$M47,BT$13))))</f>
        <v>0</v>
      </c>
      <c r="BV47" s="182">
        <f ca="1">IF($D47&lt;&gt;"Serviço",0,IF(OR(AND(AUTOEVENTO="Manual",$M47=1),$M47&gt;(ROW(PLE.lastrow)-ROW(PLE.firstrow))),0,IF(OFFSET(PLE!$G$14,$M47,BV$13)="",10^12,OFFSET(PLE!$G$14,$M47,BV$13))))</f>
        <v>0</v>
      </c>
      <c r="BW47" s="182">
        <f ca="1">IF($D47&lt;&gt;"Serviço",0,IF(OR(AND(AUTOEVENTO="Manual",$M47=1),$M47&gt;(ROW(PLE.lastrow)-ROW(PLE.firstrow))),0,IF(OFFSET(PLE!$G$14,$M47,BW$13)="",10^12,OFFSET(PLE!$G$14,$M47,BW$13))))</f>
        <v>0</v>
      </c>
      <c r="BX47" s="182">
        <f ca="1">IF($D47&lt;&gt;"Serviço",0,IF(OR(AND(AUTOEVENTO="Manual",$M47=1),$M47&gt;(ROW(PLE.lastrow)-ROW(PLE.firstrow))),0,IF(OFFSET(PLE!$G$14,$M47,BX$13)="",10^12,OFFSET(PLE!$G$14,$M47,BX$13))))</f>
        <v>0</v>
      </c>
      <c r="BY47" s="182">
        <f ca="1">IF($D47&lt;&gt;"Serviço",0,IF(OR(AND(AUTOEVENTO="Manual",$M47=1),$M47&gt;(ROW(PLE.lastrow)-ROW(PLE.firstrow))),0,IF(OFFSET(PLE!$G$14,$M47,BY$13)="",10^12,OFFSET(PLE!$G$14,$M47,BY$13))))</f>
        <v>0</v>
      </c>
      <c r="BZ47" s="182">
        <f ca="1">IF($D47&lt;&gt;"Serviço",0,IF(OR(AND(AUTOEVENTO="Manual",$M47=1),$M47&gt;(ROW(PLE.lastrow)-ROW(PLE.firstrow))),0,IF(OFFSET(PLE!$G$14,$M47,BZ$13)="",10^12,OFFSET(PLE!$G$14,$M47,BZ$13))))</f>
        <v>0</v>
      </c>
      <c r="CA47" s="182">
        <f ca="1">IF($D47&lt;&gt;"Serviço",0,IF(OR(AND(AUTOEVENTO="Manual",$M47=1),$M47&gt;(ROW(PLE.lastrow)-ROW(PLE.firstrow))),0,IF(OFFSET(PLE!$G$14,$M47,CA$13)="",10^12,OFFSET(PLE!$G$14,$M47,CA$13))))</f>
        <v>0</v>
      </c>
      <c r="CB47" s="182">
        <f ca="1">IF($D47&lt;&gt;"Serviço",0,IF(OR(AND(AUTOEVENTO="Manual",$M47=1),$M47&gt;(ROW(PLE.lastrow)-ROW(PLE.firstrow))),0,IF(OFFSET(PLE!$G$14,$M47,CB$13)="",10^12,OFFSET(PLE!$G$14,$M47,CB$13))))</f>
        <v>0</v>
      </c>
      <c r="CC47" s="182">
        <f ca="1">IF($D47&lt;&gt;"Serviço",0,IF(OR(AND(AUTOEVENTO="Manual",$M47=1),$M47&gt;(ROW(PLE.lastrow)-ROW(PLE.firstrow))),0,IF(OFFSET(PLE!$G$14,$M47,CC$13)="",10^12,OFFSET(PLE!$G$14,$M47,CC$13))))</f>
        <v>0</v>
      </c>
      <c r="CD47" s="182">
        <f ca="1">IF($D47&lt;&gt;"Serviço",0,IF(OR(AND(AUTOEVENTO="Manual",$M47=1),$M47&gt;(ROW(PLE.lastrow)-ROW(PLE.firstrow))),0,IF(OFFSET(PLE!$G$14,$M47,CD$13)="",10^12,OFFSET(PLE!$G$14,$M47,CD$13))))</f>
        <v>0</v>
      </c>
      <c r="CE47" s="182">
        <f ca="1">IF($D47&lt;&gt;"Serviço",0,IF(OR(AND(AUTOEVENTO="Manual",$M47=1),$M47&gt;(ROW(PLE.lastrow)-ROW(PLE.firstrow))),0,IF(OFFSET(PLE!$G$14,$M47,CE$13)="",10^12,OFFSET(PLE!$G$14,$M47,CE$13))))</f>
        <v>0</v>
      </c>
      <c r="CF47" s="182">
        <f ca="1">IF($D47&lt;&gt;"Serviço",0,IF(OR(AND(AUTOEVENTO="Manual",$M47=1),$M47&gt;(ROW(PLE.lastrow)-ROW(PLE.firstrow))),0,IF(OFFSET(PLE!$G$14,$M47,CF$13)="",10^12,OFFSET(PLE!$G$14,$M47,CF$13))))</f>
        <v>0</v>
      </c>
      <c r="CG47" s="182">
        <f ca="1">IF($D47&lt;&gt;"Serviço",0,IF(OR(AND(AUTOEVENTO="Manual",$M47=1),$M47&gt;(ROW(PLE.lastrow)-ROW(PLE.firstrow))),0,IF(OFFSET(PLE!$G$14,$M47,CG$13)="",10^12,OFFSET(PLE!$G$14,$M47,CG$13))))</f>
        <v>0</v>
      </c>
      <c r="CH47" s="182">
        <f ca="1">IF($D47&lt;&gt;"Serviço",0,IF(OR(AND(AUTOEVENTO="Manual",$M47=1),$M47&gt;(ROW(PLE.lastrow)-ROW(PLE.firstrow))),0,IF(OFFSET(PLE!$G$14,$M47,CH$13)="",10^12,OFFSET(PLE!$G$14,$M47,CH$13))))</f>
        <v>0</v>
      </c>
      <c r="CI47" s="182">
        <f ca="1">IF($D47&lt;&gt;"Serviço",0,IF(OR(AND(AUTOEVENTO="Manual",$M47=1),$M47&gt;(ROW(PLE.lastrow)-ROW(PLE.firstrow))),0,IF(OFFSET(PLE!$G$14,$M47,CI$13)="",10^12,OFFSET(PLE!$G$14,$M47,CI$13))))</f>
        <v>0</v>
      </c>
      <c r="CJ47" s="182">
        <f ca="1">IF($D47&lt;&gt;"Serviço",0,IF(OR(AND(AUTOEVENTO="Manual",$M47=1),$M47&gt;(ROW(PLE.lastrow)-ROW(PLE.firstrow))),0,IF(OFFSET(PLE!$G$14,$M47,CJ$13)="",10^12,OFFSET(PLE!$G$14,$M47,CJ$13))))</f>
        <v>0</v>
      </c>
      <c r="CK47" s="182">
        <f ca="1">IF($D47&lt;&gt;"Serviço",0,IF(OR(AND(AUTOEVENTO="Manual",$M47=1),$M47&gt;(ROW(PLE.lastrow)-ROW(PLE.firstrow))),0,IF(OFFSET(PLE!$G$14,$M47,CK$13)="",10^12,OFFSET(PLE!$G$14,$M47,CK$13))))</f>
        <v>0</v>
      </c>
      <c r="CL47" s="182">
        <f ca="1">IF($D47&lt;&gt;"Serviço",0,IF(OR(AND(AUTOEVENTO="Manual",$M47=1),$M47&gt;(ROW(PLE.lastrow)-ROW(PLE.firstrow))),0,IF(OFFSET(PLE!$G$14,$M47,CL$13)="",10^12,OFFSET(PLE!$G$14,$M47,CL$13))))</f>
        <v>0</v>
      </c>
      <c r="CM47" s="182">
        <f ca="1">IF($D47&lt;&gt;"Serviço",0,IF(OR(AND(AUTOEVENTO="Manual",$M47=1),$M47&gt;(ROW(PLE.lastrow)-ROW(PLE.firstrow))),0,IF(OFFSET(PLE!$G$14,$M47,CM$13)="",10^12,OFFSET(PLE!$G$14,$M47,CM$13))))</f>
        <v>0</v>
      </c>
    </row>
    <row r="48" spans="1:91" ht="25.5" x14ac:dyDescent="0.2">
      <c r="A48" s="7" t="str">
        <f t="shared" ca="1" si="9"/>
        <v>32</v>
      </c>
      <c r="B48" s="7" t="str">
        <f ca="1">OFFSET(ORÇAMENTO!C$15,ROW(B48)-ROW(B$15),0)</f>
        <v>S</v>
      </c>
      <c r="C48" s="7" t="str">
        <f ca="1">OFFSET(ORÇAMENTO!L$15,ROW(C48)-ROW(C$15),0)</f>
        <v/>
      </c>
      <c r="D48" s="118" t="str">
        <f ca="1">OFFSET(ORÇAMENTO!N$15,ROW(D48)-ROW(D$15),0)</f>
        <v>Serviço</v>
      </c>
      <c r="E48" s="119" t="str">
        <f ca="1">OFFSET(ORÇAMENTO!O$15,ROW(E48)-ROW(E$15),0)</f>
        <v>-</v>
      </c>
      <c r="F48" s="172" t="str">
        <f ca="1">OFFSET(ORÇAMENTO!R$15,ROW(F48)-ROW(F$15),0)</f>
        <v>(abra o arquivo 'Referência 06-2024.xlsm)</v>
      </c>
      <c r="G48" s="173" t="str">
        <f ca="1">IF($D48&lt;&gt;"Serviço","",OFFSET(ORÇAMENTO!S$15,ROW(G48)-ROW(G$15),0))</f>
        <v>-</v>
      </c>
      <c r="H48" s="124">
        <f ca="1">IF($D48&lt;&gt;"Serviço",0,IF(ACOMPANHAMENTO="BM",ROUND(OFFSET(ORÇAMENTO!AJ$15,ROW(H48)-ROW(H$15),0),15-13*ORÇAMENTO!$AF$7),SUMPRODUCT(($Q$12:$AI$12&lt;&gt;"")*ROUND($Q48:$AI48,15-13*ORÇAMENTO!$AF$7))))</f>
        <v>20.21</v>
      </c>
      <c r="I48" s="561" t="s">
        <v>1107</v>
      </c>
      <c r="K48" s="174" t="s">
        <v>1027</v>
      </c>
      <c r="L48" s="175" t="s">
        <v>255</v>
      </c>
      <c r="M48" s="176">
        <f ca="1">IF($D48&lt;&gt;"Serviço","",IF(AUTOEVENTO="manual",$A48,IF(ISERROR(MATCH($A48,$A$15:OFFSET($A48,-1,0),0)),MAX($M$15:OFFSET(M48,-1,0))+1,INDEX($M$15:OFFSET(M48,-1,0),MATCH($A48,$A$15:OFFSET($A48,-1,0),0)))))</f>
        <v>8</v>
      </c>
      <c r="N48" s="177" t="str">
        <f ca="1">IF($D48&lt;&gt;"Serviço","",IF(AUTOEVENTO="Manual",IF($A48=0,"&lt;-- defina o número do agrupador",OFFSET(EVENTOS!$D$14,$A48,0)),OFFSET($F$15,$A48,0)))</f>
        <v>FUNDAÇÕES - CONCRETO ARMADO PARA BLOCOS</v>
      </c>
      <c r="O48" s="178"/>
      <c r="Q48" s="178">
        <v>20.21</v>
      </c>
      <c r="R48" s="179"/>
      <c r="S48" s="179"/>
      <c r="T48" s="179"/>
      <c r="U48" s="179"/>
      <c r="V48" s="179"/>
      <c r="W48" s="179"/>
      <c r="X48" s="179"/>
      <c r="Y48" s="179"/>
      <c r="Z48" s="180"/>
      <c r="AA48" s="179"/>
      <c r="AB48" s="179"/>
      <c r="AC48" s="179"/>
      <c r="AD48" s="179"/>
      <c r="AE48" s="179"/>
      <c r="AF48" s="179"/>
      <c r="AG48" s="179"/>
      <c r="AH48" s="180"/>
      <c r="AJ48" s="544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545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L48" s="545">
        <f ca="1">IF(AND($D48="Serviço",AL$12&lt;&gt;0,$H48&gt;0,OR(AUTOEVENTO&lt;&gt;"manual",$M48&lt;&gt;1)),
IF(Import.TipoArredondamento&lt;&gt;"TransfereGOV",
ROUND(OFFSET($P48,0,AL$13),15-13*ORÇAMENTO!$AF$7)/$H48*OFFSET(ORÇAMENTO!$X$15,ROW(AL48)-ROW(AL$15),0),
ROUND(ROUND(OFFSET($P48,0,AL$13),15-13*ORÇAMENTO!$AF$7)*OFFSET(ORÇAMENTO!$W$15,ROW(AL48)-ROW(AL$15),0),15-13*ORÇAMENTO!$AF$11)),0)</f>
        <v>0</v>
      </c>
      <c r="AM48" s="545">
        <f ca="1">IF(AND($D48="Serviço",AM$12&lt;&gt;0,$H48&gt;0,OR(AUTOEVENTO&lt;&gt;"manual",$M48&lt;&gt;1)),
IF(Import.TipoArredondamento&lt;&gt;"TransfereGOV",
ROUND(OFFSET($P48,0,AM$13),15-13*ORÇAMENTO!$AF$7)/$H48*OFFSET(ORÇAMENTO!$X$15,ROW(AM48)-ROW(AM$15),0),
ROUND(ROUND(OFFSET($P48,0,AM$13),15-13*ORÇAMENTO!$AF$7)*OFFSET(ORÇAMENTO!$W$15,ROW(AM48)-ROW(AM$15),0),15-13*ORÇAMENTO!$AF$11)),0)</f>
        <v>0</v>
      </c>
      <c r="AN48" s="545">
        <f ca="1">IF(AND($D48="Serviço",AN$12&lt;&gt;0,$H48&gt;0,OR(AUTOEVENTO&lt;&gt;"manual",$M48&lt;&gt;1)),
IF(Import.TipoArredondamento&lt;&gt;"TransfereGOV",
ROUND(OFFSET($P48,0,AN$13),15-13*ORÇAMENTO!$AF$7)/$H48*OFFSET(ORÇAMENTO!$X$15,ROW(AN48)-ROW(AN$15),0),
ROUND(ROUND(OFFSET($P48,0,AN$13),15-13*ORÇAMENTO!$AF$7)*OFFSET(ORÇAMENTO!$W$15,ROW(AN48)-ROW(AN$15),0),15-13*ORÇAMENTO!$AF$11)),0)</f>
        <v>0</v>
      </c>
      <c r="AO48" s="545">
        <f ca="1">IF(AND($D48="Serviço",AO$12&lt;&gt;0,$H48&gt;0,OR(AUTOEVENTO&lt;&gt;"manual",$M48&lt;&gt;1)),
IF(Import.TipoArredondamento&lt;&gt;"TransfereGOV",
ROUND(OFFSET($P48,0,AO$13),15-13*ORÇAMENTO!$AF$7)/$H48*OFFSET(ORÇAMENTO!$X$15,ROW(AO48)-ROW(AO$15),0),
ROUND(ROUND(OFFSET($P48,0,AO$13),15-13*ORÇAMENTO!$AF$7)*OFFSET(ORÇAMENTO!$W$15,ROW(AO48)-ROW(AO$15),0),15-13*ORÇAMENTO!$AF$11)),0)</f>
        <v>0</v>
      </c>
      <c r="AP48" s="545">
        <f ca="1">IF(AND($D48="Serviço",AP$12&lt;&gt;0,$H48&gt;0,OR(AUTOEVENTO&lt;&gt;"manual",$M48&lt;&gt;1)),
IF(Import.TipoArredondamento&lt;&gt;"TransfereGOV",
ROUND(OFFSET($P48,0,AP$13),15-13*ORÇAMENTO!$AF$7)/$H48*OFFSET(ORÇAMENTO!$X$15,ROW(AP48)-ROW(AP$15),0),
ROUND(ROUND(OFFSET($P48,0,AP$13),15-13*ORÇAMENTO!$AF$7)*OFFSET(ORÇAMENTO!$W$15,ROW(AP48)-ROW(AP$15),0),15-13*ORÇAMENTO!$AF$11)),0)</f>
        <v>0</v>
      </c>
      <c r="AQ48" s="545">
        <f ca="1">IF(AND($D48="Serviço",AQ$12&lt;&gt;0,$H48&gt;0,OR(AUTOEVENTO&lt;&gt;"manual",$M48&lt;&gt;1)),
IF(Import.TipoArredondamento&lt;&gt;"TransfereGOV",
ROUND(OFFSET($P48,0,AQ$13),15-13*ORÇAMENTO!$AF$7)/$H48*OFFSET(ORÇAMENTO!$X$15,ROW(AQ48)-ROW(AQ$15),0),
ROUND(ROUND(OFFSET($P48,0,AQ$13),15-13*ORÇAMENTO!$AF$7)*OFFSET(ORÇAMENTO!$W$15,ROW(AQ48)-ROW(AQ$15),0),15-13*ORÇAMENTO!$AF$11)),0)</f>
        <v>0</v>
      </c>
      <c r="AR48" s="545">
        <f ca="1">IF(AND($D48="Serviço",AR$12&lt;&gt;0,$H48&gt;0,OR(AUTOEVENTO&lt;&gt;"manual",$M48&lt;&gt;1)),
IF(Import.TipoArredondamento&lt;&gt;"TransfereGOV",
ROUND(OFFSET($P48,0,AR$13),15-13*ORÇAMENTO!$AF$7)/$H48*OFFSET(ORÇAMENTO!$X$15,ROW(AR48)-ROW(AR$15),0),
ROUND(ROUND(OFFSET($P48,0,AR$13),15-13*ORÇAMENTO!$AF$7)*OFFSET(ORÇAMENTO!$W$15,ROW(AR48)-ROW(AR$15),0),15-13*ORÇAMENTO!$AF$11)),0)</f>
        <v>0</v>
      </c>
      <c r="AS48" s="546">
        <f ca="1">IF(AND($D48="Serviço",AS$12&lt;&gt;0,$H48&gt;0,OR(AUTOEVENTO&lt;&gt;"manual",$M48&lt;&gt;1)),
IF(Import.TipoArredondamento&lt;&gt;"TransfereGOV",
ROUND(OFFSET($P48,0,AS$13),15-13*ORÇAMENTO!$AF$7)/$H48*OFFSET(ORÇAMENTO!$X$15,ROW(AS48)-ROW(AS$15),0),
ROUND(ROUND(OFFSET($P48,0,AS$13),15-13*ORÇAMENTO!$AF$7)*OFFSET(ORÇAMENTO!$W$15,ROW(AS48)-ROW(AS$15),0),15-13*ORÇAMENTO!$AF$11)),0)</f>
        <v>0</v>
      </c>
      <c r="AT48" s="545">
        <f ca="1">IF(AND($D48="Serviço",AT$12&lt;&gt;0,$H48&gt;0,OR(AUTOEVENTO&lt;&gt;"manual",$M48&lt;&gt;1)),
IF(Import.TipoArredondamento&lt;&gt;"TransfereGOV",
ROUND(OFFSET($P48,0,AT$13),15-13*ORÇAMENTO!$AF$7)/$H48*OFFSET(ORÇAMENTO!$X$15,ROW(AT48)-ROW(AT$15),0),
ROUND(ROUND(OFFSET($P48,0,AT$13),15-13*ORÇAMENTO!$AF$7)*OFFSET(ORÇAMENTO!$W$15,ROW(AT48)-ROW(AT$15),0),15-13*ORÇAMENTO!$AF$11)),0)</f>
        <v>0</v>
      </c>
      <c r="AU48" s="545">
        <f ca="1">IF(AND($D48="Serviço",AU$12&lt;&gt;0,$H48&gt;0,OR(AUTOEVENTO&lt;&gt;"manual",$M48&lt;&gt;1)),
IF(Import.TipoArredondamento&lt;&gt;"TransfereGOV",
ROUND(OFFSET($P48,0,AU$13),15-13*ORÇAMENTO!$AF$7)/$H48*OFFSET(ORÇAMENTO!$X$15,ROW(AU48)-ROW(AU$15),0),
ROUND(ROUND(OFFSET($P48,0,AU$13),15-13*ORÇAMENTO!$AF$7)*OFFSET(ORÇAMENTO!$W$15,ROW(AU48)-ROW(AU$15),0),15-13*ORÇAMENTO!$AF$11)),0)</f>
        <v>0</v>
      </c>
      <c r="AV48" s="545">
        <f ca="1">IF(AND($D48="Serviço",AV$12&lt;&gt;0,$H48&gt;0,OR(AUTOEVENTO&lt;&gt;"manual",$M48&lt;&gt;1)),
IF(Import.TipoArredondamento&lt;&gt;"TransfereGOV",
ROUND(OFFSET($P48,0,AV$13),15-13*ORÇAMENTO!$AF$7)/$H48*OFFSET(ORÇAMENTO!$X$15,ROW(AV48)-ROW(AV$15),0),
ROUND(ROUND(OFFSET($P48,0,AV$13),15-13*ORÇAMENTO!$AF$7)*OFFSET(ORÇAMENTO!$W$15,ROW(AV48)-ROW(AV$15),0),15-13*ORÇAMENTO!$AF$11)),0)</f>
        <v>0</v>
      </c>
      <c r="AW48" s="545">
        <f ca="1">IF(AND($D48="Serviço",AW$12&lt;&gt;0,$H48&gt;0,OR(AUTOEVENTO&lt;&gt;"manual",$M48&lt;&gt;1)),
IF(Import.TipoArredondamento&lt;&gt;"TransfereGOV",
ROUND(OFFSET($P48,0,AW$13),15-13*ORÇAMENTO!$AF$7)/$H48*OFFSET(ORÇAMENTO!$X$15,ROW(AW48)-ROW(AW$15),0),
ROUND(ROUND(OFFSET($P48,0,AW$13),15-13*ORÇAMENTO!$AF$7)*OFFSET(ORÇAMENTO!$W$15,ROW(AW48)-ROW(AW$15),0),15-13*ORÇAMENTO!$AF$11)),0)</f>
        <v>0</v>
      </c>
      <c r="AX48" s="545">
        <f ca="1">IF(AND($D48="Serviço",AX$12&lt;&gt;0,$H48&gt;0,OR(AUTOEVENTO&lt;&gt;"manual",$M48&lt;&gt;1)),
IF(Import.TipoArredondamento&lt;&gt;"TransfereGOV",
ROUND(OFFSET($P48,0,AX$13),15-13*ORÇAMENTO!$AF$7)/$H48*OFFSET(ORÇAMENTO!$X$15,ROW(AX48)-ROW(AX$15),0),
ROUND(ROUND(OFFSET($P48,0,AX$13),15-13*ORÇAMENTO!$AF$7)*OFFSET(ORÇAMENTO!$W$15,ROW(AX48)-ROW(AX$15),0),15-13*ORÇAMENTO!$AF$11)),0)</f>
        <v>0</v>
      </c>
      <c r="AY48" s="545">
        <f ca="1">IF(AND($D48="Serviço",AY$12&lt;&gt;0,$H48&gt;0,OR(AUTOEVENTO&lt;&gt;"manual",$M48&lt;&gt;1)),
IF(Import.TipoArredondamento&lt;&gt;"TransfereGOV",
ROUND(OFFSET($P48,0,AY$13),15-13*ORÇAMENTO!$AF$7)/$H48*OFFSET(ORÇAMENTO!$X$15,ROW(AY48)-ROW(AY$15),0),
ROUND(ROUND(OFFSET($P48,0,AY$13),15-13*ORÇAMENTO!$AF$7)*OFFSET(ORÇAMENTO!$W$15,ROW(AY48)-ROW(AY$15),0),15-13*ORÇAMENTO!$AF$11)),0)</f>
        <v>0</v>
      </c>
      <c r="AZ48" s="545">
        <f ca="1">IF(AND($D48="Serviço",AZ$12&lt;&gt;0,$H48&gt;0,OR(AUTOEVENTO&lt;&gt;"manual",$M48&lt;&gt;1)),
IF(Import.TipoArredondamento&lt;&gt;"TransfereGOV",
ROUND(OFFSET($P48,0,AZ$13),15-13*ORÇAMENTO!$AF$7)/$H48*OFFSET(ORÇAMENTO!$X$15,ROW(AZ48)-ROW(AZ$15),0),
ROUND(ROUND(OFFSET($P48,0,AZ$13),15-13*ORÇAMENTO!$AF$7)*OFFSET(ORÇAMENTO!$W$15,ROW(AZ48)-ROW(AZ$15),0),15-13*ORÇAMENTO!$AF$11)),0)</f>
        <v>0</v>
      </c>
      <c r="BA48" s="546">
        <f ca="1">IF(AND($D48="Serviço",BA$12&lt;&gt;0,$H48&gt;0,OR(AUTOEVENTO&lt;&gt;"manual",$M48&lt;&gt;1)),
IF(Import.TipoArredondamento&lt;&gt;"TransfereGOV",
ROUND(OFFSET($P48,0,BA$13),15-13*ORÇAMENTO!$AF$7)/$H48*OFFSET(ORÇAMENTO!$X$15,ROW(BA48)-ROW(BA$15),0),
ROUND(ROUND(OFFSET($P48,0,BA$13),15-13*ORÇAMENTO!$AF$7)*OFFSET(ORÇAMENTO!$W$15,ROW(BA48)-ROW(BA$15),0),15-13*ORÇAMENTO!$AF$11)),0)</f>
        <v>0</v>
      </c>
      <c r="BC48" s="181">
        <f ca="1">IF($D48&lt;&gt;"Serviço",0,IF(AND(AUTOEVENTO="Manual",$M48=1),0,IF(OFFSET(CRONOPLE!$F$14,$M48,BC$13)="",10^12,OFFSET(CRONOPLE!$F$14,$M48,BC$13))))</f>
        <v>2</v>
      </c>
      <c r="BD48" s="181">
        <f ca="1">IF($D48&lt;&gt;"Serviço",0,IF(AND(AUTOEVENTO="Manual",$M48=1),0,IF(OFFSET(CRONOPLE!$F$14,$M48,BD$13)="",10^12,OFFSET(CRONOPLE!$F$14,$M48,BD$13))))</f>
        <v>1000000000000</v>
      </c>
      <c r="BE48" s="181">
        <f ca="1">IF($D48&lt;&gt;"Serviço",0,IF(AND(AUTOEVENTO="Manual",$M48=1),0,IF(OFFSET(CRONOPLE!$F$14,$M48,BE$13)="",10^12,OFFSET(CRONOPLE!$F$14,$M48,BE$13))))</f>
        <v>1000000000000</v>
      </c>
      <c r="BF48" s="181">
        <f ca="1">IF($D48&lt;&gt;"Serviço",0,IF(AND(AUTOEVENTO="Manual",$M48=1),0,IF(OFFSET(CRONOPLE!$F$14,$M48,BF$13)="",10^12,OFFSET(CRONOPLE!$F$14,$M48,BF$13))))</f>
        <v>1000000000000</v>
      </c>
      <c r="BG48" s="181">
        <f ca="1">IF($D48&lt;&gt;"Serviço",0,IF(AND(AUTOEVENTO="Manual",$M48=1),0,IF(OFFSET(CRONOPLE!$F$14,$M48,BG$13)="",10^12,OFFSET(CRONOPLE!$F$14,$M48,BG$13))))</f>
        <v>1000000000000</v>
      </c>
      <c r="BH48" s="181">
        <f ca="1">IF($D48&lt;&gt;"Serviço",0,IF(AND(AUTOEVENTO="Manual",$M48=1),0,IF(OFFSET(CRONOPLE!$F$14,$M48,BH$13)="",10^12,OFFSET(CRONOPLE!$F$14,$M48,BH$13))))</f>
        <v>1000000000000</v>
      </c>
      <c r="BI48" s="181">
        <f ca="1">IF($D48&lt;&gt;"Serviço",0,IF(AND(AUTOEVENTO="Manual",$M48=1),0,IF(OFFSET(CRONOPLE!$F$14,$M48,BI$13)="",10^12,OFFSET(CRONOPLE!$F$14,$M48,BI$13))))</f>
        <v>1000000000000</v>
      </c>
      <c r="BJ48" s="181">
        <f ca="1">IF($D48&lt;&gt;"Serviço",0,IF(AND(AUTOEVENTO="Manual",$M48=1),0,IF(OFFSET(CRONOPLE!$F$14,$M48,BJ$13)="",10^12,OFFSET(CRONOPLE!$F$14,$M48,BJ$13))))</f>
        <v>1000000000000</v>
      </c>
      <c r="BK48" s="181">
        <f ca="1">IF($D48&lt;&gt;"Serviço",0,IF(AND(AUTOEVENTO="Manual",$M48=1),0,IF(OFFSET(CRONOPLE!$F$14,$M48,BK$13)="",10^12,OFFSET(CRONOPLE!$F$14,$M48,BK$13))))</f>
        <v>1000000000000</v>
      </c>
      <c r="BL48" s="181">
        <f ca="1">IF($D48&lt;&gt;"Serviço",0,IF(AND(AUTOEVENTO="Manual",$M48=1),0,IF(OFFSET(CRONOPLE!$F$14,$M48,BL$13)="",10^12,OFFSET(CRONOPLE!$F$14,$M48,BL$13))))</f>
        <v>1000000000000</v>
      </c>
      <c r="BM48" s="181">
        <f ca="1">IF($D48&lt;&gt;"Serviço",0,IF(AND(AUTOEVENTO="Manual",$M48=1),0,IF(OFFSET(CRONOPLE!$F$14,$M48,BM$13)="",10^12,OFFSET(CRONOPLE!$F$14,$M48,BM$13))))</f>
        <v>1000000000000</v>
      </c>
      <c r="BN48" s="181">
        <f ca="1">IF($D48&lt;&gt;"Serviço",0,IF(AND(AUTOEVENTO="Manual",$M48=1),0,IF(OFFSET(CRONOPLE!$F$14,$M48,BN$13)="",10^12,OFFSET(CRONOPLE!$F$14,$M48,BN$13))))</f>
        <v>1000000000000</v>
      </c>
      <c r="BO48" s="181">
        <f ca="1">IF($D48&lt;&gt;"Serviço",0,IF(AND(AUTOEVENTO="Manual",$M48=1),0,IF(OFFSET(CRONOPLE!$F$14,$M48,BO$13)="",10^12,OFFSET(CRONOPLE!$F$14,$M48,BO$13))))</f>
        <v>1000000000000</v>
      </c>
      <c r="BP48" s="181">
        <f ca="1">IF($D48&lt;&gt;"Serviço",0,IF(AND(AUTOEVENTO="Manual",$M48=1),0,IF(OFFSET(CRONOPLE!$F$14,$M48,BP$13)="",10^12,OFFSET(CRONOPLE!$F$14,$M48,BP$13))))</f>
        <v>1000000000000</v>
      </c>
      <c r="BQ48" s="181">
        <f ca="1">IF($D48&lt;&gt;"Serviço",0,IF(AND(AUTOEVENTO="Manual",$M48=1),0,IF(OFFSET(CRONOPLE!$F$14,$M48,BQ$13)="",10^12,OFFSET(CRONOPLE!$F$14,$M48,BQ$13))))</f>
        <v>1000000000000</v>
      </c>
      <c r="BR48" s="181">
        <f ca="1">IF($D48&lt;&gt;"Serviço",0,IF(AND(AUTOEVENTO="Manual",$M48=1),0,IF(OFFSET(CRONOPLE!$F$14,$M48,BR$13)="",10^12,OFFSET(CRONOPLE!$F$14,$M48,BR$13))))</f>
        <v>1000000000000</v>
      </c>
      <c r="BS48" s="181">
        <f ca="1">IF($D48&lt;&gt;"Serviço",0,IF(AND(AUTOEVENTO="Manual",$M48=1),0,IF(OFFSET(CRONOPLE!$F$14,$M48,BS$13)="",10^12,OFFSET(CRONOPLE!$F$14,$M48,BS$13))))</f>
        <v>1000000000000</v>
      </c>
      <c r="BT48" s="181">
        <f ca="1">IF($D48&lt;&gt;"Serviço",0,IF(AND(AUTOEVENTO="Manual",$M48=1),0,IF(OFFSET(CRONOPLE!$F$14,$M48,BT$13)="",10^12,OFFSET(CRONOPLE!$F$14,$M48,BT$13))))</f>
        <v>1000000000000</v>
      </c>
      <c r="BV48" s="182">
        <f ca="1">IF($D48&lt;&gt;"Serviço",0,IF(OR(AND(AUTOEVENTO="Manual",$M48=1),$M48&gt;(ROW(PLE.lastrow)-ROW(PLE.firstrow))),0,IF(OFFSET(PLE!$G$14,$M48,BV$13)="",10^12,OFFSET(PLE!$G$14,$M48,BV$13))))</f>
        <v>1000000000000</v>
      </c>
      <c r="BW48" s="182">
        <f ca="1">IF($D48&lt;&gt;"Serviço",0,IF(OR(AND(AUTOEVENTO="Manual",$M48=1),$M48&gt;(ROW(PLE.lastrow)-ROW(PLE.firstrow))),0,IF(OFFSET(PLE!$G$14,$M48,BW$13)="",10^12,OFFSET(PLE!$G$14,$M48,BW$13))))</f>
        <v>1000000000000</v>
      </c>
      <c r="BX48" s="182">
        <f ca="1">IF($D48&lt;&gt;"Serviço",0,IF(OR(AND(AUTOEVENTO="Manual",$M48=1),$M48&gt;(ROW(PLE.lastrow)-ROW(PLE.firstrow))),0,IF(OFFSET(PLE!$G$14,$M48,BX$13)="",10^12,OFFSET(PLE!$G$14,$M48,BX$13))))</f>
        <v>1000000000000</v>
      </c>
      <c r="BY48" s="182">
        <f ca="1">IF($D48&lt;&gt;"Serviço",0,IF(OR(AND(AUTOEVENTO="Manual",$M48=1),$M48&gt;(ROW(PLE.lastrow)-ROW(PLE.firstrow))),0,IF(OFFSET(PLE!$G$14,$M48,BY$13)="",10^12,OFFSET(PLE!$G$14,$M48,BY$13))))</f>
        <v>1000000000000</v>
      </c>
      <c r="BZ48" s="182">
        <f ca="1">IF($D48&lt;&gt;"Serviço",0,IF(OR(AND(AUTOEVENTO="Manual",$M48=1),$M48&gt;(ROW(PLE.lastrow)-ROW(PLE.firstrow))),0,IF(OFFSET(PLE!$G$14,$M48,BZ$13)="",10^12,OFFSET(PLE!$G$14,$M48,BZ$13))))</f>
        <v>1000000000000</v>
      </c>
      <c r="CA48" s="182">
        <f ca="1">IF($D48&lt;&gt;"Serviço",0,IF(OR(AND(AUTOEVENTO="Manual",$M48=1),$M48&gt;(ROW(PLE.lastrow)-ROW(PLE.firstrow))),0,IF(OFFSET(PLE!$G$14,$M48,CA$13)="",10^12,OFFSET(PLE!$G$14,$M48,CA$13))))</f>
        <v>1000000000000</v>
      </c>
      <c r="CB48" s="182">
        <f ca="1">IF($D48&lt;&gt;"Serviço",0,IF(OR(AND(AUTOEVENTO="Manual",$M48=1),$M48&gt;(ROW(PLE.lastrow)-ROW(PLE.firstrow))),0,IF(OFFSET(PLE!$G$14,$M48,CB$13)="",10^12,OFFSET(PLE!$G$14,$M48,CB$13))))</f>
        <v>1000000000000</v>
      </c>
      <c r="CC48" s="182">
        <f ca="1">IF($D48&lt;&gt;"Serviço",0,IF(OR(AND(AUTOEVENTO="Manual",$M48=1),$M48&gt;(ROW(PLE.lastrow)-ROW(PLE.firstrow))),0,IF(OFFSET(PLE!$G$14,$M48,CC$13)="",10^12,OFFSET(PLE!$G$14,$M48,CC$13))))</f>
        <v>1000000000000</v>
      </c>
      <c r="CD48" s="182">
        <f ca="1">IF($D48&lt;&gt;"Serviço",0,IF(OR(AND(AUTOEVENTO="Manual",$M48=1),$M48&gt;(ROW(PLE.lastrow)-ROW(PLE.firstrow))),0,IF(OFFSET(PLE!$G$14,$M48,CD$13)="",10^12,OFFSET(PLE!$G$14,$M48,CD$13))))</f>
        <v>1000000000000</v>
      </c>
      <c r="CE48" s="182">
        <f ca="1">IF($D48&lt;&gt;"Serviço",0,IF(OR(AND(AUTOEVENTO="Manual",$M48=1),$M48&gt;(ROW(PLE.lastrow)-ROW(PLE.firstrow))),0,IF(OFFSET(PLE!$G$14,$M48,CE$13)="",10^12,OFFSET(PLE!$G$14,$M48,CE$13))))</f>
        <v>1000000000000</v>
      </c>
      <c r="CF48" s="182">
        <f ca="1">IF($D48&lt;&gt;"Serviço",0,IF(OR(AND(AUTOEVENTO="Manual",$M48=1),$M48&gt;(ROW(PLE.lastrow)-ROW(PLE.firstrow))),0,IF(OFFSET(PLE!$G$14,$M48,CF$13)="",10^12,OFFSET(PLE!$G$14,$M48,CF$13))))</f>
        <v>1000000000000</v>
      </c>
      <c r="CG48" s="182">
        <f ca="1">IF($D48&lt;&gt;"Serviço",0,IF(OR(AND(AUTOEVENTO="Manual",$M48=1),$M48&gt;(ROW(PLE.lastrow)-ROW(PLE.firstrow))),0,IF(OFFSET(PLE!$G$14,$M48,CG$13)="",10^12,OFFSET(PLE!$G$14,$M48,CG$13))))</f>
        <v>1000000000000</v>
      </c>
      <c r="CH48" s="182">
        <f ca="1">IF($D48&lt;&gt;"Serviço",0,IF(OR(AND(AUTOEVENTO="Manual",$M48=1),$M48&gt;(ROW(PLE.lastrow)-ROW(PLE.firstrow))),0,IF(OFFSET(PLE!$G$14,$M48,CH$13)="",10^12,OFFSET(PLE!$G$14,$M48,CH$13))))</f>
        <v>1000000000000</v>
      </c>
      <c r="CI48" s="182">
        <f ca="1">IF($D48&lt;&gt;"Serviço",0,IF(OR(AND(AUTOEVENTO="Manual",$M48=1),$M48&gt;(ROW(PLE.lastrow)-ROW(PLE.firstrow))),0,IF(OFFSET(PLE!$G$14,$M48,CI$13)="",10^12,OFFSET(PLE!$G$14,$M48,CI$13))))</f>
        <v>1000000000000</v>
      </c>
      <c r="CJ48" s="182">
        <f ca="1">IF($D48&lt;&gt;"Serviço",0,IF(OR(AND(AUTOEVENTO="Manual",$M48=1),$M48&gt;(ROW(PLE.lastrow)-ROW(PLE.firstrow))),0,IF(OFFSET(PLE!$G$14,$M48,CJ$13)="",10^12,OFFSET(PLE!$G$14,$M48,CJ$13))))</f>
        <v>1000000000000</v>
      </c>
      <c r="CK48" s="182">
        <f ca="1">IF($D48&lt;&gt;"Serviço",0,IF(OR(AND(AUTOEVENTO="Manual",$M48=1),$M48&gt;(ROW(PLE.lastrow)-ROW(PLE.firstrow))),0,IF(OFFSET(PLE!$G$14,$M48,CK$13)="",10^12,OFFSET(PLE!$G$14,$M48,CK$13))))</f>
        <v>1000000000000</v>
      </c>
      <c r="CL48" s="182">
        <f ca="1">IF($D48&lt;&gt;"Serviço",0,IF(OR(AND(AUTOEVENTO="Manual",$M48=1),$M48&gt;(ROW(PLE.lastrow)-ROW(PLE.firstrow))),0,IF(OFFSET(PLE!$G$14,$M48,CL$13)="",10^12,OFFSET(PLE!$G$14,$M48,CL$13))))</f>
        <v>1000000000000</v>
      </c>
      <c r="CM48" s="182">
        <f ca="1">IF($D48&lt;&gt;"Serviço",0,IF(OR(AND(AUTOEVENTO="Manual",$M48=1),$M48&gt;(ROW(PLE.lastrow)-ROW(PLE.firstrow))),0,IF(OFFSET(PLE!$G$14,$M48,CM$13)="",10^12,OFFSET(PLE!$G$14,$M48,CM$13))))</f>
        <v>1000000000000</v>
      </c>
    </row>
    <row r="49" spans="1:91" ht="38.25" x14ac:dyDescent="0.2">
      <c r="A49" s="7" t="str">
        <f t="shared" ca="1" si="9"/>
        <v>32</v>
      </c>
      <c r="B49" s="7" t="str">
        <f ca="1">OFFSET(ORÇAMENTO!C$15,ROW(B49)-ROW(B$15),0)</f>
        <v>S</v>
      </c>
      <c r="C49" s="7" t="str">
        <f ca="1">OFFSET(ORÇAMENTO!L$15,ROW(C49)-ROW(C$15),0)</f>
        <v/>
      </c>
      <c r="D49" s="118" t="str">
        <f ca="1">OFFSET(ORÇAMENTO!N$15,ROW(D49)-ROW(D$15),0)</f>
        <v>Serviço</v>
      </c>
      <c r="E49" s="119" t="str">
        <f ca="1">OFFSET(ORÇAMENTO!O$15,ROW(E49)-ROW(E$15),0)</f>
        <v>-</v>
      </c>
      <c r="F49" s="172" t="str">
        <f ca="1">OFFSET(ORÇAMENTO!R$15,ROW(F49)-ROW(F$15),0)</f>
        <v>(abra o arquivo 'Referência 06-2024.xlsm)</v>
      </c>
      <c r="G49" s="173" t="str">
        <f ca="1">IF($D49&lt;&gt;"Serviço","",OFFSET(ORÇAMENTO!S$15,ROW(G49)-ROW(G$15),0))</f>
        <v>-</v>
      </c>
      <c r="H49" s="124">
        <f ca="1">IF($D49&lt;&gt;"Serviço",0,IF(ACOMPANHAMENTO="BM",ROUND(OFFSET(ORÇAMENTO!AJ$15,ROW(H49)-ROW(H$15),0),15-13*ORÇAMENTO!$AF$7),SUMPRODUCT(($Q$12:$AI$12&lt;&gt;"")*ROUND($Q49:$AI49,15-13*ORÇAMENTO!$AF$7))))</f>
        <v>20.32</v>
      </c>
      <c r="I49" s="561" t="s">
        <v>1107</v>
      </c>
      <c r="K49" s="174" t="s">
        <v>1027</v>
      </c>
      <c r="L49" s="175" t="s">
        <v>255</v>
      </c>
      <c r="M49" s="176">
        <f ca="1">IF($D49&lt;&gt;"Serviço","",IF(AUTOEVENTO="manual",$A49,IF(ISERROR(MATCH($A49,$A$15:OFFSET($A49,-1,0),0)),MAX($M$15:OFFSET(M49,-1,0))+1,INDEX($M$15:OFFSET(M49,-1,0),MATCH($A49,$A$15:OFFSET($A49,-1,0),0)))))</f>
        <v>8</v>
      </c>
      <c r="N49" s="177" t="str">
        <f ca="1">IF($D49&lt;&gt;"Serviço","",IF(AUTOEVENTO="Manual",IF($A49=0,"&lt;-- defina o número do agrupador",OFFSET(EVENTOS!$D$14,$A49,0)),OFFSET($F$15,$A49,0)))</f>
        <v>FUNDAÇÕES - CONCRETO ARMADO PARA BLOCOS</v>
      </c>
      <c r="O49" s="178"/>
      <c r="Q49" s="178">
        <v>20.32</v>
      </c>
      <c r="R49" s="179"/>
      <c r="S49" s="179"/>
      <c r="T49" s="179"/>
      <c r="U49" s="179"/>
      <c r="V49" s="179"/>
      <c r="W49" s="179"/>
      <c r="X49" s="179"/>
      <c r="Y49" s="179"/>
      <c r="Z49" s="180"/>
      <c r="AA49" s="179"/>
      <c r="AB49" s="179"/>
      <c r="AC49" s="179"/>
      <c r="AD49" s="179"/>
      <c r="AE49" s="179"/>
      <c r="AF49" s="179"/>
      <c r="AG49" s="179"/>
      <c r="AH49" s="180"/>
      <c r="AJ49" s="544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545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L49" s="545">
        <f ca="1">IF(AND($D49="Serviço",AL$12&lt;&gt;0,$H49&gt;0,OR(AUTOEVENTO&lt;&gt;"manual",$M49&lt;&gt;1)),
IF(Import.TipoArredondamento&lt;&gt;"TransfereGOV",
ROUND(OFFSET($P49,0,AL$13),15-13*ORÇAMENTO!$AF$7)/$H49*OFFSET(ORÇAMENTO!$X$15,ROW(AL49)-ROW(AL$15),0),
ROUND(ROUND(OFFSET($P49,0,AL$13),15-13*ORÇAMENTO!$AF$7)*OFFSET(ORÇAMENTO!$W$15,ROW(AL49)-ROW(AL$15),0),15-13*ORÇAMENTO!$AF$11)),0)</f>
        <v>0</v>
      </c>
      <c r="AM49" s="545">
        <f ca="1">IF(AND($D49="Serviço",AM$12&lt;&gt;0,$H49&gt;0,OR(AUTOEVENTO&lt;&gt;"manual",$M49&lt;&gt;1)),
IF(Import.TipoArredondamento&lt;&gt;"TransfereGOV",
ROUND(OFFSET($P49,0,AM$13),15-13*ORÇAMENTO!$AF$7)/$H49*OFFSET(ORÇAMENTO!$X$15,ROW(AM49)-ROW(AM$15),0),
ROUND(ROUND(OFFSET($P49,0,AM$13),15-13*ORÇAMENTO!$AF$7)*OFFSET(ORÇAMENTO!$W$15,ROW(AM49)-ROW(AM$15),0),15-13*ORÇAMENTO!$AF$11)),0)</f>
        <v>0</v>
      </c>
      <c r="AN49" s="545">
        <f ca="1">IF(AND($D49="Serviço",AN$12&lt;&gt;0,$H49&gt;0,OR(AUTOEVENTO&lt;&gt;"manual",$M49&lt;&gt;1)),
IF(Import.TipoArredondamento&lt;&gt;"TransfereGOV",
ROUND(OFFSET($P49,0,AN$13),15-13*ORÇAMENTO!$AF$7)/$H49*OFFSET(ORÇAMENTO!$X$15,ROW(AN49)-ROW(AN$15),0),
ROUND(ROUND(OFFSET($P49,0,AN$13),15-13*ORÇAMENTO!$AF$7)*OFFSET(ORÇAMENTO!$W$15,ROW(AN49)-ROW(AN$15),0),15-13*ORÇAMENTO!$AF$11)),0)</f>
        <v>0</v>
      </c>
      <c r="AO49" s="545">
        <f ca="1">IF(AND($D49="Serviço",AO$12&lt;&gt;0,$H49&gt;0,OR(AUTOEVENTO&lt;&gt;"manual",$M49&lt;&gt;1)),
IF(Import.TipoArredondamento&lt;&gt;"TransfereGOV",
ROUND(OFFSET($P49,0,AO$13),15-13*ORÇAMENTO!$AF$7)/$H49*OFFSET(ORÇAMENTO!$X$15,ROW(AO49)-ROW(AO$15),0),
ROUND(ROUND(OFFSET($P49,0,AO$13),15-13*ORÇAMENTO!$AF$7)*OFFSET(ORÇAMENTO!$W$15,ROW(AO49)-ROW(AO$15),0),15-13*ORÇAMENTO!$AF$11)),0)</f>
        <v>0</v>
      </c>
      <c r="AP49" s="545">
        <f ca="1">IF(AND($D49="Serviço",AP$12&lt;&gt;0,$H49&gt;0,OR(AUTOEVENTO&lt;&gt;"manual",$M49&lt;&gt;1)),
IF(Import.TipoArredondamento&lt;&gt;"TransfereGOV",
ROUND(OFFSET($P49,0,AP$13),15-13*ORÇAMENTO!$AF$7)/$H49*OFFSET(ORÇAMENTO!$X$15,ROW(AP49)-ROW(AP$15),0),
ROUND(ROUND(OFFSET($P49,0,AP$13),15-13*ORÇAMENTO!$AF$7)*OFFSET(ORÇAMENTO!$W$15,ROW(AP49)-ROW(AP$15),0),15-13*ORÇAMENTO!$AF$11)),0)</f>
        <v>0</v>
      </c>
      <c r="AQ49" s="545">
        <f ca="1">IF(AND($D49="Serviço",AQ$12&lt;&gt;0,$H49&gt;0,OR(AUTOEVENTO&lt;&gt;"manual",$M49&lt;&gt;1)),
IF(Import.TipoArredondamento&lt;&gt;"TransfereGOV",
ROUND(OFFSET($P49,0,AQ$13),15-13*ORÇAMENTO!$AF$7)/$H49*OFFSET(ORÇAMENTO!$X$15,ROW(AQ49)-ROW(AQ$15),0),
ROUND(ROUND(OFFSET($P49,0,AQ$13),15-13*ORÇAMENTO!$AF$7)*OFFSET(ORÇAMENTO!$W$15,ROW(AQ49)-ROW(AQ$15),0),15-13*ORÇAMENTO!$AF$11)),0)</f>
        <v>0</v>
      </c>
      <c r="AR49" s="545">
        <f ca="1">IF(AND($D49="Serviço",AR$12&lt;&gt;0,$H49&gt;0,OR(AUTOEVENTO&lt;&gt;"manual",$M49&lt;&gt;1)),
IF(Import.TipoArredondamento&lt;&gt;"TransfereGOV",
ROUND(OFFSET($P49,0,AR$13),15-13*ORÇAMENTO!$AF$7)/$H49*OFFSET(ORÇAMENTO!$X$15,ROW(AR49)-ROW(AR$15),0),
ROUND(ROUND(OFFSET($P49,0,AR$13),15-13*ORÇAMENTO!$AF$7)*OFFSET(ORÇAMENTO!$W$15,ROW(AR49)-ROW(AR$15),0),15-13*ORÇAMENTO!$AF$11)),0)</f>
        <v>0</v>
      </c>
      <c r="AS49" s="546">
        <f ca="1">IF(AND($D49="Serviço",AS$12&lt;&gt;0,$H49&gt;0,OR(AUTOEVENTO&lt;&gt;"manual",$M49&lt;&gt;1)),
IF(Import.TipoArredondamento&lt;&gt;"TransfereGOV",
ROUND(OFFSET($P49,0,AS$13),15-13*ORÇAMENTO!$AF$7)/$H49*OFFSET(ORÇAMENTO!$X$15,ROW(AS49)-ROW(AS$15),0),
ROUND(ROUND(OFFSET($P49,0,AS$13),15-13*ORÇAMENTO!$AF$7)*OFFSET(ORÇAMENTO!$W$15,ROW(AS49)-ROW(AS$15),0),15-13*ORÇAMENTO!$AF$11)),0)</f>
        <v>0</v>
      </c>
      <c r="AT49" s="545">
        <f ca="1">IF(AND($D49="Serviço",AT$12&lt;&gt;0,$H49&gt;0,OR(AUTOEVENTO&lt;&gt;"manual",$M49&lt;&gt;1)),
IF(Import.TipoArredondamento&lt;&gt;"TransfereGOV",
ROUND(OFFSET($P49,0,AT$13),15-13*ORÇAMENTO!$AF$7)/$H49*OFFSET(ORÇAMENTO!$X$15,ROW(AT49)-ROW(AT$15),0),
ROUND(ROUND(OFFSET($P49,0,AT$13),15-13*ORÇAMENTO!$AF$7)*OFFSET(ORÇAMENTO!$W$15,ROW(AT49)-ROW(AT$15),0),15-13*ORÇAMENTO!$AF$11)),0)</f>
        <v>0</v>
      </c>
      <c r="AU49" s="545">
        <f ca="1">IF(AND($D49="Serviço",AU$12&lt;&gt;0,$H49&gt;0,OR(AUTOEVENTO&lt;&gt;"manual",$M49&lt;&gt;1)),
IF(Import.TipoArredondamento&lt;&gt;"TransfereGOV",
ROUND(OFFSET($P49,0,AU$13),15-13*ORÇAMENTO!$AF$7)/$H49*OFFSET(ORÇAMENTO!$X$15,ROW(AU49)-ROW(AU$15),0),
ROUND(ROUND(OFFSET($P49,0,AU$13),15-13*ORÇAMENTO!$AF$7)*OFFSET(ORÇAMENTO!$W$15,ROW(AU49)-ROW(AU$15),0),15-13*ORÇAMENTO!$AF$11)),0)</f>
        <v>0</v>
      </c>
      <c r="AV49" s="545">
        <f ca="1">IF(AND($D49="Serviço",AV$12&lt;&gt;0,$H49&gt;0,OR(AUTOEVENTO&lt;&gt;"manual",$M49&lt;&gt;1)),
IF(Import.TipoArredondamento&lt;&gt;"TransfereGOV",
ROUND(OFFSET($P49,0,AV$13),15-13*ORÇAMENTO!$AF$7)/$H49*OFFSET(ORÇAMENTO!$X$15,ROW(AV49)-ROW(AV$15),0),
ROUND(ROUND(OFFSET($P49,0,AV$13),15-13*ORÇAMENTO!$AF$7)*OFFSET(ORÇAMENTO!$W$15,ROW(AV49)-ROW(AV$15),0),15-13*ORÇAMENTO!$AF$11)),0)</f>
        <v>0</v>
      </c>
      <c r="AW49" s="545">
        <f ca="1">IF(AND($D49="Serviço",AW$12&lt;&gt;0,$H49&gt;0,OR(AUTOEVENTO&lt;&gt;"manual",$M49&lt;&gt;1)),
IF(Import.TipoArredondamento&lt;&gt;"TransfereGOV",
ROUND(OFFSET($P49,0,AW$13),15-13*ORÇAMENTO!$AF$7)/$H49*OFFSET(ORÇAMENTO!$X$15,ROW(AW49)-ROW(AW$15),0),
ROUND(ROUND(OFFSET($P49,0,AW$13),15-13*ORÇAMENTO!$AF$7)*OFFSET(ORÇAMENTO!$W$15,ROW(AW49)-ROW(AW$15),0),15-13*ORÇAMENTO!$AF$11)),0)</f>
        <v>0</v>
      </c>
      <c r="AX49" s="545">
        <f ca="1">IF(AND($D49="Serviço",AX$12&lt;&gt;0,$H49&gt;0,OR(AUTOEVENTO&lt;&gt;"manual",$M49&lt;&gt;1)),
IF(Import.TipoArredondamento&lt;&gt;"TransfereGOV",
ROUND(OFFSET($P49,0,AX$13),15-13*ORÇAMENTO!$AF$7)/$H49*OFFSET(ORÇAMENTO!$X$15,ROW(AX49)-ROW(AX$15),0),
ROUND(ROUND(OFFSET($P49,0,AX$13),15-13*ORÇAMENTO!$AF$7)*OFFSET(ORÇAMENTO!$W$15,ROW(AX49)-ROW(AX$15),0),15-13*ORÇAMENTO!$AF$11)),0)</f>
        <v>0</v>
      </c>
      <c r="AY49" s="545">
        <f ca="1">IF(AND($D49="Serviço",AY$12&lt;&gt;0,$H49&gt;0,OR(AUTOEVENTO&lt;&gt;"manual",$M49&lt;&gt;1)),
IF(Import.TipoArredondamento&lt;&gt;"TransfereGOV",
ROUND(OFFSET($P49,0,AY$13),15-13*ORÇAMENTO!$AF$7)/$H49*OFFSET(ORÇAMENTO!$X$15,ROW(AY49)-ROW(AY$15),0),
ROUND(ROUND(OFFSET($P49,0,AY$13),15-13*ORÇAMENTO!$AF$7)*OFFSET(ORÇAMENTO!$W$15,ROW(AY49)-ROW(AY$15),0),15-13*ORÇAMENTO!$AF$11)),0)</f>
        <v>0</v>
      </c>
      <c r="AZ49" s="545">
        <f ca="1">IF(AND($D49="Serviço",AZ$12&lt;&gt;0,$H49&gt;0,OR(AUTOEVENTO&lt;&gt;"manual",$M49&lt;&gt;1)),
IF(Import.TipoArredondamento&lt;&gt;"TransfereGOV",
ROUND(OFFSET($P49,0,AZ$13),15-13*ORÇAMENTO!$AF$7)/$H49*OFFSET(ORÇAMENTO!$X$15,ROW(AZ49)-ROW(AZ$15),0),
ROUND(ROUND(OFFSET($P49,0,AZ$13),15-13*ORÇAMENTO!$AF$7)*OFFSET(ORÇAMENTO!$W$15,ROW(AZ49)-ROW(AZ$15),0),15-13*ORÇAMENTO!$AF$11)),0)</f>
        <v>0</v>
      </c>
      <c r="BA49" s="546">
        <f ca="1">IF(AND($D49="Serviço",BA$12&lt;&gt;0,$H49&gt;0,OR(AUTOEVENTO&lt;&gt;"manual",$M49&lt;&gt;1)),
IF(Import.TipoArredondamento&lt;&gt;"TransfereGOV",
ROUND(OFFSET($P49,0,BA$13),15-13*ORÇAMENTO!$AF$7)/$H49*OFFSET(ORÇAMENTO!$X$15,ROW(BA49)-ROW(BA$15),0),
ROUND(ROUND(OFFSET($P49,0,BA$13),15-13*ORÇAMENTO!$AF$7)*OFFSET(ORÇAMENTO!$W$15,ROW(BA49)-ROW(BA$15),0),15-13*ORÇAMENTO!$AF$11)),0)</f>
        <v>0</v>
      </c>
      <c r="BC49" s="181">
        <f ca="1">IF($D49&lt;&gt;"Serviço",0,IF(AND(AUTOEVENTO="Manual",$M49=1),0,IF(OFFSET(CRONOPLE!$F$14,$M49,BC$13)="",10^12,OFFSET(CRONOPLE!$F$14,$M49,BC$13))))</f>
        <v>2</v>
      </c>
      <c r="BD49" s="181">
        <f ca="1">IF($D49&lt;&gt;"Serviço",0,IF(AND(AUTOEVENTO="Manual",$M49=1),0,IF(OFFSET(CRONOPLE!$F$14,$M49,BD$13)="",10^12,OFFSET(CRONOPLE!$F$14,$M49,BD$13))))</f>
        <v>1000000000000</v>
      </c>
      <c r="BE49" s="181">
        <f ca="1">IF($D49&lt;&gt;"Serviço",0,IF(AND(AUTOEVENTO="Manual",$M49=1),0,IF(OFFSET(CRONOPLE!$F$14,$M49,BE$13)="",10^12,OFFSET(CRONOPLE!$F$14,$M49,BE$13))))</f>
        <v>1000000000000</v>
      </c>
      <c r="BF49" s="181">
        <f ca="1">IF($D49&lt;&gt;"Serviço",0,IF(AND(AUTOEVENTO="Manual",$M49=1),0,IF(OFFSET(CRONOPLE!$F$14,$M49,BF$13)="",10^12,OFFSET(CRONOPLE!$F$14,$M49,BF$13))))</f>
        <v>1000000000000</v>
      </c>
      <c r="BG49" s="181">
        <f ca="1">IF($D49&lt;&gt;"Serviço",0,IF(AND(AUTOEVENTO="Manual",$M49=1),0,IF(OFFSET(CRONOPLE!$F$14,$M49,BG$13)="",10^12,OFFSET(CRONOPLE!$F$14,$M49,BG$13))))</f>
        <v>1000000000000</v>
      </c>
      <c r="BH49" s="181">
        <f ca="1">IF($D49&lt;&gt;"Serviço",0,IF(AND(AUTOEVENTO="Manual",$M49=1),0,IF(OFFSET(CRONOPLE!$F$14,$M49,BH$13)="",10^12,OFFSET(CRONOPLE!$F$14,$M49,BH$13))))</f>
        <v>1000000000000</v>
      </c>
      <c r="BI49" s="181">
        <f ca="1">IF($D49&lt;&gt;"Serviço",0,IF(AND(AUTOEVENTO="Manual",$M49=1),0,IF(OFFSET(CRONOPLE!$F$14,$M49,BI$13)="",10^12,OFFSET(CRONOPLE!$F$14,$M49,BI$13))))</f>
        <v>1000000000000</v>
      </c>
      <c r="BJ49" s="181">
        <f ca="1">IF($D49&lt;&gt;"Serviço",0,IF(AND(AUTOEVENTO="Manual",$M49=1),0,IF(OFFSET(CRONOPLE!$F$14,$M49,BJ$13)="",10^12,OFFSET(CRONOPLE!$F$14,$M49,BJ$13))))</f>
        <v>1000000000000</v>
      </c>
      <c r="BK49" s="181">
        <f ca="1">IF($D49&lt;&gt;"Serviço",0,IF(AND(AUTOEVENTO="Manual",$M49=1),0,IF(OFFSET(CRONOPLE!$F$14,$M49,BK$13)="",10^12,OFFSET(CRONOPLE!$F$14,$M49,BK$13))))</f>
        <v>1000000000000</v>
      </c>
      <c r="BL49" s="181">
        <f ca="1">IF($D49&lt;&gt;"Serviço",0,IF(AND(AUTOEVENTO="Manual",$M49=1),0,IF(OFFSET(CRONOPLE!$F$14,$M49,BL$13)="",10^12,OFFSET(CRONOPLE!$F$14,$M49,BL$13))))</f>
        <v>1000000000000</v>
      </c>
      <c r="BM49" s="181">
        <f ca="1">IF($D49&lt;&gt;"Serviço",0,IF(AND(AUTOEVENTO="Manual",$M49=1),0,IF(OFFSET(CRONOPLE!$F$14,$M49,BM$13)="",10^12,OFFSET(CRONOPLE!$F$14,$M49,BM$13))))</f>
        <v>1000000000000</v>
      </c>
      <c r="BN49" s="181">
        <f ca="1">IF($D49&lt;&gt;"Serviço",0,IF(AND(AUTOEVENTO="Manual",$M49=1),0,IF(OFFSET(CRONOPLE!$F$14,$M49,BN$13)="",10^12,OFFSET(CRONOPLE!$F$14,$M49,BN$13))))</f>
        <v>1000000000000</v>
      </c>
      <c r="BO49" s="181">
        <f ca="1">IF($D49&lt;&gt;"Serviço",0,IF(AND(AUTOEVENTO="Manual",$M49=1),0,IF(OFFSET(CRONOPLE!$F$14,$M49,BO$13)="",10^12,OFFSET(CRONOPLE!$F$14,$M49,BO$13))))</f>
        <v>1000000000000</v>
      </c>
      <c r="BP49" s="181">
        <f ca="1">IF($D49&lt;&gt;"Serviço",0,IF(AND(AUTOEVENTO="Manual",$M49=1),0,IF(OFFSET(CRONOPLE!$F$14,$M49,BP$13)="",10^12,OFFSET(CRONOPLE!$F$14,$M49,BP$13))))</f>
        <v>1000000000000</v>
      </c>
      <c r="BQ49" s="181">
        <f ca="1">IF($D49&lt;&gt;"Serviço",0,IF(AND(AUTOEVENTO="Manual",$M49=1),0,IF(OFFSET(CRONOPLE!$F$14,$M49,BQ$13)="",10^12,OFFSET(CRONOPLE!$F$14,$M49,BQ$13))))</f>
        <v>1000000000000</v>
      </c>
      <c r="BR49" s="181">
        <f ca="1">IF($D49&lt;&gt;"Serviço",0,IF(AND(AUTOEVENTO="Manual",$M49=1),0,IF(OFFSET(CRONOPLE!$F$14,$M49,BR$13)="",10^12,OFFSET(CRONOPLE!$F$14,$M49,BR$13))))</f>
        <v>1000000000000</v>
      </c>
      <c r="BS49" s="181">
        <f ca="1">IF($D49&lt;&gt;"Serviço",0,IF(AND(AUTOEVENTO="Manual",$M49=1),0,IF(OFFSET(CRONOPLE!$F$14,$M49,BS$13)="",10^12,OFFSET(CRONOPLE!$F$14,$M49,BS$13))))</f>
        <v>1000000000000</v>
      </c>
      <c r="BT49" s="181">
        <f ca="1">IF($D49&lt;&gt;"Serviço",0,IF(AND(AUTOEVENTO="Manual",$M49=1),0,IF(OFFSET(CRONOPLE!$F$14,$M49,BT$13)="",10^12,OFFSET(CRONOPLE!$F$14,$M49,BT$13))))</f>
        <v>1000000000000</v>
      </c>
      <c r="BV49" s="182">
        <f ca="1">IF($D49&lt;&gt;"Serviço",0,IF(OR(AND(AUTOEVENTO="Manual",$M49=1),$M49&gt;(ROW(PLE.lastrow)-ROW(PLE.firstrow))),0,IF(OFFSET(PLE!$G$14,$M49,BV$13)="",10^12,OFFSET(PLE!$G$14,$M49,BV$13))))</f>
        <v>1000000000000</v>
      </c>
      <c r="BW49" s="182">
        <f ca="1">IF($D49&lt;&gt;"Serviço",0,IF(OR(AND(AUTOEVENTO="Manual",$M49=1),$M49&gt;(ROW(PLE.lastrow)-ROW(PLE.firstrow))),0,IF(OFFSET(PLE!$G$14,$M49,BW$13)="",10^12,OFFSET(PLE!$G$14,$M49,BW$13))))</f>
        <v>1000000000000</v>
      </c>
      <c r="BX49" s="182">
        <f ca="1">IF($D49&lt;&gt;"Serviço",0,IF(OR(AND(AUTOEVENTO="Manual",$M49=1),$M49&gt;(ROW(PLE.lastrow)-ROW(PLE.firstrow))),0,IF(OFFSET(PLE!$G$14,$M49,BX$13)="",10^12,OFFSET(PLE!$G$14,$M49,BX$13))))</f>
        <v>1000000000000</v>
      </c>
      <c r="BY49" s="182">
        <f ca="1">IF($D49&lt;&gt;"Serviço",0,IF(OR(AND(AUTOEVENTO="Manual",$M49=1),$M49&gt;(ROW(PLE.lastrow)-ROW(PLE.firstrow))),0,IF(OFFSET(PLE!$G$14,$M49,BY$13)="",10^12,OFFSET(PLE!$G$14,$M49,BY$13))))</f>
        <v>1000000000000</v>
      </c>
      <c r="BZ49" s="182">
        <f ca="1">IF($D49&lt;&gt;"Serviço",0,IF(OR(AND(AUTOEVENTO="Manual",$M49=1),$M49&gt;(ROW(PLE.lastrow)-ROW(PLE.firstrow))),0,IF(OFFSET(PLE!$G$14,$M49,BZ$13)="",10^12,OFFSET(PLE!$G$14,$M49,BZ$13))))</f>
        <v>1000000000000</v>
      </c>
      <c r="CA49" s="182">
        <f ca="1">IF($D49&lt;&gt;"Serviço",0,IF(OR(AND(AUTOEVENTO="Manual",$M49=1),$M49&gt;(ROW(PLE.lastrow)-ROW(PLE.firstrow))),0,IF(OFFSET(PLE!$G$14,$M49,CA$13)="",10^12,OFFSET(PLE!$G$14,$M49,CA$13))))</f>
        <v>1000000000000</v>
      </c>
      <c r="CB49" s="182">
        <f ca="1">IF($D49&lt;&gt;"Serviço",0,IF(OR(AND(AUTOEVENTO="Manual",$M49=1),$M49&gt;(ROW(PLE.lastrow)-ROW(PLE.firstrow))),0,IF(OFFSET(PLE!$G$14,$M49,CB$13)="",10^12,OFFSET(PLE!$G$14,$M49,CB$13))))</f>
        <v>1000000000000</v>
      </c>
      <c r="CC49" s="182">
        <f ca="1">IF($D49&lt;&gt;"Serviço",0,IF(OR(AND(AUTOEVENTO="Manual",$M49=1),$M49&gt;(ROW(PLE.lastrow)-ROW(PLE.firstrow))),0,IF(OFFSET(PLE!$G$14,$M49,CC$13)="",10^12,OFFSET(PLE!$G$14,$M49,CC$13))))</f>
        <v>1000000000000</v>
      </c>
      <c r="CD49" s="182">
        <f ca="1">IF($D49&lt;&gt;"Serviço",0,IF(OR(AND(AUTOEVENTO="Manual",$M49=1),$M49&gt;(ROW(PLE.lastrow)-ROW(PLE.firstrow))),0,IF(OFFSET(PLE!$G$14,$M49,CD$13)="",10^12,OFFSET(PLE!$G$14,$M49,CD$13))))</f>
        <v>1000000000000</v>
      </c>
      <c r="CE49" s="182">
        <f ca="1">IF($D49&lt;&gt;"Serviço",0,IF(OR(AND(AUTOEVENTO="Manual",$M49=1),$M49&gt;(ROW(PLE.lastrow)-ROW(PLE.firstrow))),0,IF(OFFSET(PLE!$G$14,$M49,CE$13)="",10^12,OFFSET(PLE!$G$14,$M49,CE$13))))</f>
        <v>1000000000000</v>
      </c>
      <c r="CF49" s="182">
        <f ca="1">IF($D49&lt;&gt;"Serviço",0,IF(OR(AND(AUTOEVENTO="Manual",$M49=1),$M49&gt;(ROW(PLE.lastrow)-ROW(PLE.firstrow))),0,IF(OFFSET(PLE!$G$14,$M49,CF$13)="",10^12,OFFSET(PLE!$G$14,$M49,CF$13))))</f>
        <v>1000000000000</v>
      </c>
      <c r="CG49" s="182">
        <f ca="1">IF($D49&lt;&gt;"Serviço",0,IF(OR(AND(AUTOEVENTO="Manual",$M49=1),$M49&gt;(ROW(PLE.lastrow)-ROW(PLE.firstrow))),0,IF(OFFSET(PLE!$G$14,$M49,CG$13)="",10^12,OFFSET(PLE!$G$14,$M49,CG$13))))</f>
        <v>1000000000000</v>
      </c>
      <c r="CH49" s="182">
        <f ca="1">IF($D49&lt;&gt;"Serviço",0,IF(OR(AND(AUTOEVENTO="Manual",$M49=1),$M49&gt;(ROW(PLE.lastrow)-ROW(PLE.firstrow))),0,IF(OFFSET(PLE!$G$14,$M49,CH$13)="",10^12,OFFSET(PLE!$G$14,$M49,CH$13))))</f>
        <v>1000000000000</v>
      </c>
      <c r="CI49" s="182">
        <f ca="1">IF($D49&lt;&gt;"Serviço",0,IF(OR(AND(AUTOEVENTO="Manual",$M49=1),$M49&gt;(ROW(PLE.lastrow)-ROW(PLE.firstrow))),0,IF(OFFSET(PLE!$G$14,$M49,CI$13)="",10^12,OFFSET(PLE!$G$14,$M49,CI$13))))</f>
        <v>1000000000000</v>
      </c>
      <c r="CJ49" s="182">
        <f ca="1">IF($D49&lt;&gt;"Serviço",0,IF(OR(AND(AUTOEVENTO="Manual",$M49=1),$M49&gt;(ROW(PLE.lastrow)-ROW(PLE.firstrow))),0,IF(OFFSET(PLE!$G$14,$M49,CJ$13)="",10^12,OFFSET(PLE!$G$14,$M49,CJ$13))))</f>
        <v>1000000000000</v>
      </c>
      <c r="CK49" s="182">
        <f ca="1">IF($D49&lt;&gt;"Serviço",0,IF(OR(AND(AUTOEVENTO="Manual",$M49=1),$M49&gt;(ROW(PLE.lastrow)-ROW(PLE.firstrow))),0,IF(OFFSET(PLE!$G$14,$M49,CK$13)="",10^12,OFFSET(PLE!$G$14,$M49,CK$13))))</f>
        <v>1000000000000</v>
      </c>
      <c r="CL49" s="182">
        <f ca="1">IF($D49&lt;&gt;"Serviço",0,IF(OR(AND(AUTOEVENTO="Manual",$M49=1),$M49&gt;(ROW(PLE.lastrow)-ROW(PLE.firstrow))),0,IF(OFFSET(PLE!$G$14,$M49,CL$13)="",10^12,OFFSET(PLE!$G$14,$M49,CL$13))))</f>
        <v>1000000000000</v>
      </c>
      <c r="CM49" s="182">
        <f ca="1">IF($D49&lt;&gt;"Serviço",0,IF(OR(AND(AUTOEVENTO="Manual",$M49=1),$M49&gt;(ROW(PLE.lastrow)-ROW(PLE.firstrow))),0,IF(OFFSET(PLE!$G$14,$M49,CM$13)="",10^12,OFFSET(PLE!$G$14,$M49,CM$13))))</f>
        <v>1000000000000</v>
      </c>
    </row>
    <row r="50" spans="1:91" ht="38.25" x14ac:dyDescent="0.2">
      <c r="A50" s="7" t="str">
        <f t="shared" ca="1" si="9"/>
        <v>32</v>
      </c>
      <c r="B50" s="7" t="str">
        <f ca="1">OFFSET(ORÇAMENTO!C$15,ROW(B50)-ROW(B$15),0)</f>
        <v>S</v>
      </c>
      <c r="C50" s="7" t="str">
        <f ca="1">OFFSET(ORÇAMENTO!L$15,ROW(C50)-ROW(C$15),0)</f>
        <v/>
      </c>
      <c r="D50" s="118" t="str">
        <f ca="1">OFFSET(ORÇAMENTO!N$15,ROW(D50)-ROW(D$15),0)</f>
        <v>Serviço</v>
      </c>
      <c r="E50" s="119" t="str">
        <f ca="1">OFFSET(ORÇAMENTO!O$15,ROW(E50)-ROW(E$15),0)</f>
        <v>-</v>
      </c>
      <c r="F50" s="172" t="str">
        <f ca="1">OFFSET(ORÇAMENTO!R$15,ROW(F50)-ROW(F$15),0)</f>
        <v>(abra o arquivo 'Referência 06-2024.xlsm)</v>
      </c>
      <c r="G50" s="173" t="str">
        <f ca="1">IF($D50&lt;&gt;"Serviço","",OFFSET(ORÇAMENTO!S$15,ROW(G50)-ROW(G$15),0))</f>
        <v>-</v>
      </c>
      <c r="H50" s="124">
        <f ca="1">IF($D50&lt;&gt;"Serviço",0,IF(ACOMPANHAMENTO="BM",ROUND(OFFSET(ORÇAMENTO!AJ$15,ROW(H50)-ROW(H$15),0),15-13*ORÇAMENTO!$AF$7),SUMPRODUCT(($Q$12:$AI$12&lt;&gt;"")*ROUND($Q50:$AI50,15-13*ORÇAMENTO!$AF$7))))</f>
        <v>213.82</v>
      </c>
      <c r="I50" s="561" t="s">
        <v>1107</v>
      </c>
      <c r="K50" s="174" t="s">
        <v>1027</v>
      </c>
      <c r="L50" s="175" t="s">
        <v>255</v>
      </c>
      <c r="M50" s="176">
        <f ca="1">IF($D50&lt;&gt;"Serviço","",IF(AUTOEVENTO="manual",$A50,IF(ISERROR(MATCH($A50,$A$15:OFFSET($A50,-1,0),0)),MAX($M$15:OFFSET(M50,-1,0))+1,INDEX($M$15:OFFSET(M50,-1,0),MATCH($A50,$A$15:OFFSET($A50,-1,0),0)))))</f>
        <v>8</v>
      </c>
      <c r="N50" s="177" t="str">
        <f ca="1">IF($D50&lt;&gt;"Serviço","",IF(AUTOEVENTO="Manual",IF($A50=0,"&lt;-- defina o número do agrupador",OFFSET(EVENTOS!$D$14,$A50,0)),OFFSET($F$15,$A50,0)))</f>
        <v>FUNDAÇÕES - CONCRETO ARMADO PARA BLOCOS</v>
      </c>
      <c r="O50" s="178"/>
      <c r="Q50" s="178">
        <v>213.82</v>
      </c>
      <c r="R50" s="179"/>
      <c r="S50" s="179"/>
      <c r="T50" s="179"/>
      <c r="U50" s="179"/>
      <c r="V50" s="179"/>
      <c r="W50" s="179"/>
      <c r="X50" s="179"/>
      <c r="Y50" s="179"/>
      <c r="Z50" s="180"/>
      <c r="AA50" s="179"/>
      <c r="AB50" s="179"/>
      <c r="AC50" s="179"/>
      <c r="AD50" s="179"/>
      <c r="AE50" s="179"/>
      <c r="AF50" s="179"/>
      <c r="AG50" s="179"/>
      <c r="AH50" s="180"/>
      <c r="AJ50" s="544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545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L50" s="545">
        <f ca="1">IF(AND($D50="Serviço",AL$12&lt;&gt;0,$H50&gt;0,OR(AUTOEVENTO&lt;&gt;"manual",$M50&lt;&gt;1)),
IF(Import.TipoArredondamento&lt;&gt;"TransfereGOV",
ROUND(OFFSET($P50,0,AL$13),15-13*ORÇAMENTO!$AF$7)/$H50*OFFSET(ORÇAMENTO!$X$15,ROW(AL50)-ROW(AL$15),0),
ROUND(ROUND(OFFSET($P50,0,AL$13),15-13*ORÇAMENTO!$AF$7)*OFFSET(ORÇAMENTO!$W$15,ROW(AL50)-ROW(AL$15),0),15-13*ORÇAMENTO!$AF$11)),0)</f>
        <v>0</v>
      </c>
      <c r="AM50" s="545">
        <f ca="1">IF(AND($D50="Serviço",AM$12&lt;&gt;0,$H50&gt;0,OR(AUTOEVENTO&lt;&gt;"manual",$M50&lt;&gt;1)),
IF(Import.TipoArredondamento&lt;&gt;"TransfereGOV",
ROUND(OFFSET($P50,0,AM$13),15-13*ORÇAMENTO!$AF$7)/$H50*OFFSET(ORÇAMENTO!$X$15,ROW(AM50)-ROW(AM$15),0),
ROUND(ROUND(OFFSET($P50,0,AM$13),15-13*ORÇAMENTO!$AF$7)*OFFSET(ORÇAMENTO!$W$15,ROW(AM50)-ROW(AM$15),0),15-13*ORÇAMENTO!$AF$11)),0)</f>
        <v>0</v>
      </c>
      <c r="AN50" s="545">
        <f ca="1">IF(AND($D50="Serviço",AN$12&lt;&gt;0,$H50&gt;0,OR(AUTOEVENTO&lt;&gt;"manual",$M50&lt;&gt;1)),
IF(Import.TipoArredondamento&lt;&gt;"TransfereGOV",
ROUND(OFFSET($P50,0,AN$13),15-13*ORÇAMENTO!$AF$7)/$H50*OFFSET(ORÇAMENTO!$X$15,ROW(AN50)-ROW(AN$15),0),
ROUND(ROUND(OFFSET($P50,0,AN$13),15-13*ORÇAMENTO!$AF$7)*OFFSET(ORÇAMENTO!$W$15,ROW(AN50)-ROW(AN$15),0),15-13*ORÇAMENTO!$AF$11)),0)</f>
        <v>0</v>
      </c>
      <c r="AO50" s="545">
        <f ca="1">IF(AND($D50="Serviço",AO$12&lt;&gt;0,$H50&gt;0,OR(AUTOEVENTO&lt;&gt;"manual",$M50&lt;&gt;1)),
IF(Import.TipoArredondamento&lt;&gt;"TransfereGOV",
ROUND(OFFSET($P50,0,AO$13),15-13*ORÇAMENTO!$AF$7)/$H50*OFFSET(ORÇAMENTO!$X$15,ROW(AO50)-ROW(AO$15),0),
ROUND(ROUND(OFFSET($P50,0,AO$13),15-13*ORÇAMENTO!$AF$7)*OFFSET(ORÇAMENTO!$W$15,ROW(AO50)-ROW(AO$15),0),15-13*ORÇAMENTO!$AF$11)),0)</f>
        <v>0</v>
      </c>
      <c r="AP50" s="545">
        <f ca="1">IF(AND($D50="Serviço",AP$12&lt;&gt;0,$H50&gt;0,OR(AUTOEVENTO&lt;&gt;"manual",$M50&lt;&gt;1)),
IF(Import.TipoArredondamento&lt;&gt;"TransfereGOV",
ROUND(OFFSET($P50,0,AP$13),15-13*ORÇAMENTO!$AF$7)/$H50*OFFSET(ORÇAMENTO!$X$15,ROW(AP50)-ROW(AP$15),0),
ROUND(ROUND(OFFSET($P50,0,AP$13),15-13*ORÇAMENTO!$AF$7)*OFFSET(ORÇAMENTO!$W$15,ROW(AP50)-ROW(AP$15),0),15-13*ORÇAMENTO!$AF$11)),0)</f>
        <v>0</v>
      </c>
      <c r="AQ50" s="545">
        <f ca="1">IF(AND($D50="Serviço",AQ$12&lt;&gt;0,$H50&gt;0,OR(AUTOEVENTO&lt;&gt;"manual",$M50&lt;&gt;1)),
IF(Import.TipoArredondamento&lt;&gt;"TransfereGOV",
ROUND(OFFSET($P50,0,AQ$13),15-13*ORÇAMENTO!$AF$7)/$H50*OFFSET(ORÇAMENTO!$X$15,ROW(AQ50)-ROW(AQ$15),0),
ROUND(ROUND(OFFSET($P50,0,AQ$13),15-13*ORÇAMENTO!$AF$7)*OFFSET(ORÇAMENTO!$W$15,ROW(AQ50)-ROW(AQ$15),0),15-13*ORÇAMENTO!$AF$11)),0)</f>
        <v>0</v>
      </c>
      <c r="AR50" s="545">
        <f ca="1">IF(AND($D50="Serviço",AR$12&lt;&gt;0,$H50&gt;0,OR(AUTOEVENTO&lt;&gt;"manual",$M50&lt;&gt;1)),
IF(Import.TipoArredondamento&lt;&gt;"TransfereGOV",
ROUND(OFFSET($P50,0,AR$13),15-13*ORÇAMENTO!$AF$7)/$H50*OFFSET(ORÇAMENTO!$X$15,ROW(AR50)-ROW(AR$15),0),
ROUND(ROUND(OFFSET($P50,0,AR$13),15-13*ORÇAMENTO!$AF$7)*OFFSET(ORÇAMENTO!$W$15,ROW(AR50)-ROW(AR$15),0),15-13*ORÇAMENTO!$AF$11)),0)</f>
        <v>0</v>
      </c>
      <c r="AS50" s="546">
        <f ca="1">IF(AND($D50="Serviço",AS$12&lt;&gt;0,$H50&gt;0,OR(AUTOEVENTO&lt;&gt;"manual",$M50&lt;&gt;1)),
IF(Import.TipoArredondamento&lt;&gt;"TransfereGOV",
ROUND(OFFSET($P50,0,AS$13),15-13*ORÇAMENTO!$AF$7)/$H50*OFFSET(ORÇAMENTO!$X$15,ROW(AS50)-ROW(AS$15),0),
ROUND(ROUND(OFFSET($P50,0,AS$13),15-13*ORÇAMENTO!$AF$7)*OFFSET(ORÇAMENTO!$W$15,ROW(AS50)-ROW(AS$15),0),15-13*ORÇAMENTO!$AF$11)),0)</f>
        <v>0</v>
      </c>
      <c r="AT50" s="545">
        <f ca="1">IF(AND($D50="Serviço",AT$12&lt;&gt;0,$H50&gt;0,OR(AUTOEVENTO&lt;&gt;"manual",$M50&lt;&gt;1)),
IF(Import.TipoArredondamento&lt;&gt;"TransfereGOV",
ROUND(OFFSET($P50,0,AT$13),15-13*ORÇAMENTO!$AF$7)/$H50*OFFSET(ORÇAMENTO!$X$15,ROW(AT50)-ROW(AT$15),0),
ROUND(ROUND(OFFSET($P50,0,AT$13),15-13*ORÇAMENTO!$AF$7)*OFFSET(ORÇAMENTO!$W$15,ROW(AT50)-ROW(AT$15),0),15-13*ORÇAMENTO!$AF$11)),0)</f>
        <v>0</v>
      </c>
      <c r="AU50" s="545">
        <f ca="1">IF(AND($D50="Serviço",AU$12&lt;&gt;0,$H50&gt;0,OR(AUTOEVENTO&lt;&gt;"manual",$M50&lt;&gt;1)),
IF(Import.TipoArredondamento&lt;&gt;"TransfereGOV",
ROUND(OFFSET($P50,0,AU$13),15-13*ORÇAMENTO!$AF$7)/$H50*OFFSET(ORÇAMENTO!$X$15,ROW(AU50)-ROW(AU$15),0),
ROUND(ROUND(OFFSET($P50,0,AU$13),15-13*ORÇAMENTO!$AF$7)*OFFSET(ORÇAMENTO!$W$15,ROW(AU50)-ROW(AU$15),0),15-13*ORÇAMENTO!$AF$11)),0)</f>
        <v>0</v>
      </c>
      <c r="AV50" s="545">
        <f ca="1">IF(AND($D50="Serviço",AV$12&lt;&gt;0,$H50&gt;0,OR(AUTOEVENTO&lt;&gt;"manual",$M50&lt;&gt;1)),
IF(Import.TipoArredondamento&lt;&gt;"TransfereGOV",
ROUND(OFFSET($P50,0,AV$13),15-13*ORÇAMENTO!$AF$7)/$H50*OFFSET(ORÇAMENTO!$X$15,ROW(AV50)-ROW(AV$15),0),
ROUND(ROUND(OFFSET($P50,0,AV$13),15-13*ORÇAMENTO!$AF$7)*OFFSET(ORÇAMENTO!$W$15,ROW(AV50)-ROW(AV$15),0),15-13*ORÇAMENTO!$AF$11)),0)</f>
        <v>0</v>
      </c>
      <c r="AW50" s="545">
        <f ca="1">IF(AND($D50="Serviço",AW$12&lt;&gt;0,$H50&gt;0,OR(AUTOEVENTO&lt;&gt;"manual",$M50&lt;&gt;1)),
IF(Import.TipoArredondamento&lt;&gt;"TransfereGOV",
ROUND(OFFSET($P50,0,AW$13),15-13*ORÇAMENTO!$AF$7)/$H50*OFFSET(ORÇAMENTO!$X$15,ROW(AW50)-ROW(AW$15),0),
ROUND(ROUND(OFFSET($P50,0,AW$13),15-13*ORÇAMENTO!$AF$7)*OFFSET(ORÇAMENTO!$W$15,ROW(AW50)-ROW(AW$15),0),15-13*ORÇAMENTO!$AF$11)),0)</f>
        <v>0</v>
      </c>
      <c r="AX50" s="545">
        <f ca="1">IF(AND($D50="Serviço",AX$12&lt;&gt;0,$H50&gt;0,OR(AUTOEVENTO&lt;&gt;"manual",$M50&lt;&gt;1)),
IF(Import.TipoArredondamento&lt;&gt;"TransfereGOV",
ROUND(OFFSET($P50,0,AX$13),15-13*ORÇAMENTO!$AF$7)/$H50*OFFSET(ORÇAMENTO!$X$15,ROW(AX50)-ROW(AX$15),0),
ROUND(ROUND(OFFSET($P50,0,AX$13),15-13*ORÇAMENTO!$AF$7)*OFFSET(ORÇAMENTO!$W$15,ROW(AX50)-ROW(AX$15),0),15-13*ORÇAMENTO!$AF$11)),0)</f>
        <v>0</v>
      </c>
      <c r="AY50" s="545">
        <f ca="1">IF(AND($D50="Serviço",AY$12&lt;&gt;0,$H50&gt;0,OR(AUTOEVENTO&lt;&gt;"manual",$M50&lt;&gt;1)),
IF(Import.TipoArredondamento&lt;&gt;"TransfereGOV",
ROUND(OFFSET($P50,0,AY$13),15-13*ORÇAMENTO!$AF$7)/$H50*OFFSET(ORÇAMENTO!$X$15,ROW(AY50)-ROW(AY$15),0),
ROUND(ROUND(OFFSET($P50,0,AY$13),15-13*ORÇAMENTO!$AF$7)*OFFSET(ORÇAMENTO!$W$15,ROW(AY50)-ROW(AY$15),0),15-13*ORÇAMENTO!$AF$11)),0)</f>
        <v>0</v>
      </c>
      <c r="AZ50" s="545">
        <f ca="1">IF(AND($D50="Serviço",AZ$12&lt;&gt;0,$H50&gt;0,OR(AUTOEVENTO&lt;&gt;"manual",$M50&lt;&gt;1)),
IF(Import.TipoArredondamento&lt;&gt;"TransfereGOV",
ROUND(OFFSET($P50,0,AZ$13),15-13*ORÇAMENTO!$AF$7)/$H50*OFFSET(ORÇAMENTO!$X$15,ROW(AZ50)-ROW(AZ$15),0),
ROUND(ROUND(OFFSET($P50,0,AZ$13),15-13*ORÇAMENTO!$AF$7)*OFFSET(ORÇAMENTO!$W$15,ROW(AZ50)-ROW(AZ$15),0),15-13*ORÇAMENTO!$AF$11)),0)</f>
        <v>0</v>
      </c>
      <c r="BA50" s="546">
        <f ca="1">IF(AND($D50="Serviço",BA$12&lt;&gt;0,$H50&gt;0,OR(AUTOEVENTO&lt;&gt;"manual",$M50&lt;&gt;1)),
IF(Import.TipoArredondamento&lt;&gt;"TransfereGOV",
ROUND(OFFSET($P50,0,BA$13),15-13*ORÇAMENTO!$AF$7)/$H50*OFFSET(ORÇAMENTO!$X$15,ROW(BA50)-ROW(BA$15),0),
ROUND(ROUND(OFFSET($P50,0,BA$13),15-13*ORÇAMENTO!$AF$7)*OFFSET(ORÇAMENTO!$W$15,ROW(BA50)-ROW(BA$15),0),15-13*ORÇAMENTO!$AF$11)),0)</f>
        <v>0</v>
      </c>
      <c r="BC50" s="181">
        <f ca="1">IF($D50&lt;&gt;"Serviço",0,IF(AND(AUTOEVENTO="Manual",$M50=1),0,IF(OFFSET(CRONOPLE!$F$14,$M50,BC$13)="",10^12,OFFSET(CRONOPLE!$F$14,$M50,BC$13))))</f>
        <v>2</v>
      </c>
      <c r="BD50" s="181">
        <f ca="1">IF($D50&lt;&gt;"Serviço",0,IF(AND(AUTOEVENTO="Manual",$M50=1),0,IF(OFFSET(CRONOPLE!$F$14,$M50,BD$13)="",10^12,OFFSET(CRONOPLE!$F$14,$M50,BD$13))))</f>
        <v>1000000000000</v>
      </c>
      <c r="BE50" s="181">
        <f ca="1">IF($D50&lt;&gt;"Serviço",0,IF(AND(AUTOEVENTO="Manual",$M50=1),0,IF(OFFSET(CRONOPLE!$F$14,$M50,BE$13)="",10^12,OFFSET(CRONOPLE!$F$14,$M50,BE$13))))</f>
        <v>1000000000000</v>
      </c>
      <c r="BF50" s="181">
        <f ca="1">IF($D50&lt;&gt;"Serviço",0,IF(AND(AUTOEVENTO="Manual",$M50=1),0,IF(OFFSET(CRONOPLE!$F$14,$M50,BF$13)="",10^12,OFFSET(CRONOPLE!$F$14,$M50,BF$13))))</f>
        <v>1000000000000</v>
      </c>
      <c r="BG50" s="181">
        <f ca="1">IF($D50&lt;&gt;"Serviço",0,IF(AND(AUTOEVENTO="Manual",$M50=1),0,IF(OFFSET(CRONOPLE!$F$14,$M50,BG$13)="",10^12,OFFSET(CRONOPLE!$F$14,$M50,BG$13))))</f>
        <v>1000000000000</v>
      </c>
      <c r="BH50" s="181">
        <f ca="1">IF($D50&lt;&gt;"Serviço",0,IF(AND(AUTOEVENTO="Manual",$M50=1),0,IF(OFFSET(CRONOPLE!$F$14,$M50,BH$13)="",10^12,OFFSET(CRONOPLE!$F$14,$M50,BH$13))))</f>
        <v>1000000000000</v>
      </c>
      <c r="BI50" s="181">
        <f ca="1">IF($D50&lt;&gt;"Serviço",0,IF(AND(AUTOEVENTO="Manual",$M50=1),0,IF(OFFSET(CRONOPLE!$F$14,$M50,BI$13)="",10^12,OFFSET(CRONOPLE!$F$14,$M50,BI$13))))</f>
        <v>1000000000000</v>
      </c>
      <c r="BJ50" s="181">
        <f ca="1">IF($D50&lt;&gt;"Serviço",0,IF(AND(AUTOEVENTO="Manual",$M50=1),0,IF(OFFSET(CRONOPLE!$F$14,$M50,BJ$13)="",10^12,OFFSET(CRONOPLE!$F$14,$M50,BJ$13))))</f>
        <v>1000000000000</v>
      </c>
      <c r="BK50" s="181">
        <f ca="1">IF($D50&lt;&gt;"Serviço",0,IF(AND(AUTOEVENTO="Manual",$M50=1),0,IF(OFFSET(CRONOPLE!$F$14,$M50,BK$13)="",10^12,OFFSET(CRONOPLE!$F$14,$M50,BK$13))))</f>
        <v>1000000000000</v>
      </c>
      <c r="BL50" s="181">
        <f ca="1">IF($D50&lt;&gt;"Serviço",0,IF(AND(AUTOEVENTO="Manual",$M50=1),0,IF(OFFSET(CRONOPLE!$F$14,$M50,BL$13)="",10^12,OFFSET(CRONOPLE!$F$14,$M50,BL$13))))</f>
        <v>1000000000000</v>
      </c>
      <c r="BM50" s="181">
        <f ca="1">IF($D50&lt;&gt;"Serviço",0,IF(AND(AUTOEVENTO="Manual",$M50=1),0,IF(OFFSET(CRONOPLE!$F$14,$M50,BM$13)="",10^12,OFFSET(CRONOPLE!$F$14,$M50,BM$13))))</f>
        <v>1000000000000</v>
      </c>
      <c r="BN50" s="181">
        <f ca="1">IF($D50&lt;&gt;"Serviço",0,IF(AND(AUTOEVENTO="Manual",$M50=1),0,IF(OFFSET(CRONOPLE!$F$14,$M50,BN$13)="",10^12,OFFSET(CRONOPLE!$F$14,$M50,BN$13))))</f>
        <v>1000000000000</v>
      </c>
      <c r="BO50" s="181">
        <f ca="1">IF($D50&lt;&gt;"Serviço",0,IF(AND(AUTOEVENTO="Manual",$M50=1),0,IF(OFFSET(CRONOPLE!$F$14,$M50,BO$13)="",10^12,OFFSET(CRONOPLE!$F$14,$M50,BO$13))))</f>
        <v>1000000000000</v>
      </c>
      <c r="BP50" s="181">
        <f ca="1">IF($D50&lt;&gt;"Serviço",0,IF(AND(AUTOEVENTO="Manual",$M50=1),0,IF(OFFSET(CRONOPLE!$F$14,$M50,BP$13)="",10^12,OFFSET(CRONOPLE!$F$14,$M50,BP$13))))</f>
        <v>1000000000000</v>
      </c>
      <c r="BQ50" s="181">
        <f ca="1">IF($D50&lt;&gt;"Serviço",0,IF(AND(AUTOEVENTO="Manual",$M50=1),0,IF(OFFSET(CRONOPLE!$F$14,$M50,BQ$13)="",10^12,OFFSET(CRONOPLE!$F$14,$M50,BQ$13))))</f>
        <v>1000000000000</v>
      </c>
      <c r="BR50" s="181">
        <f ca="1">IF($D50&lt;&gt;"Serviço",0,IF(AND(AUTOEVENTO="Manual",$M50=1),0,IF(OFFSET(CRONOPLE!$F$14,$M50,BR$13)="",10^12,OFFSET(CRONOPLE!$F$14,$M50,BR$13))))</f>
        <v>1000000000000</v>
      </c>
      <c r="BS50" s="181">
        <f ca="1">IF($D50&lt;&gt;"Serviço",0,IF(AND(AUTOEVENTO="Manual",$M50=1),0,IF(OFFSET(CRONOPLE!$F$14,$M50,BS$13)="",10^12,OFFSET(CRONOPLE!$F$14,$M50,BS$13))))</f>
        <v>1000000000000</v>
      </c>
      <c r="BT50" s="181">
        <f ca="1">IF($D50&lt;&gt;"Serviço",0,IF(AND(AUTOEVENTO="Manual",$M50=1),0,IF(OFFSET(CRONOPLE!$F$14,$M50,BT$13)="",10^12,OFFSET(CRONOPLE!$F$14,$M50,BT$13))))</f>
        <v>1000000000000</v>
      </c>
      <c r="BV50" s="182">
        <f ca="1">IF($D50&lt;&gt;"Serviço",0,IF(OR(AND(AUTOEVENTO="Manual",$M50=1),$M50&gt;(ROW(PLE.lastrow)-ROW(PLE.firstrow))),0,IF(OFFSET(PLE!$G$14,$M50,BV$13)="",10^12,OFFSET(PLE!$G$14,$M50,BV$13))))</f>
        <v>1000000000000</v>
      </c>
      <c r="BW50" s="182">
        <f ca="1">IF($D50&lt;&gt;"Serviço",0,IF(OR(AND(AUTOEVENTO="Manual",$M50=1),$M50&gt;(ROW(PLE.lastrow)-ROW(PLE.firstrow))),0,IF(OFFSET(PLE!$G$14,$M50,BW$13)="",10^12,OFFSET(PLE!$G$14,$M50,BW$13))))</f>
        <v>1000000000000</v>
      </c>
      <c r="BX50" s="182">
        <f ca="1">IF($D50&lt;&gt;"Serviço",0,IF(OR(AND(AUTOEVENTO="Manual",$M50=1),$M50&gt;(ROW(PLE.lastrow)-ROW(PLE.firstrow))),0,IF(OFFSET(PLE!$G$14,$M50,BX$13)="",10^12,OFFSET(PLE!$G$14,$M50,BX$13))))</f>
        <v>1000000000000</v>
      </c>
      <c r="BY50" s="182">
        <f ca="1">IF($D50&lt;&gt;"Serviço",0,IF(OR(AND(AUTOEVENTO="Manual",$M50=1),$M50&gt;(ROW(PLE.lastrow)-ROW(PLE.firstrow))),0,IF(OFFSET(PLE!$G$14,$M50,BY$13)="",10^12,OFFSET(PLE!$G$14,$M50,BY$13))))</f>
        <v>1000000000000</v>
      </c>
      <c r="BZ50" s="182">
        <f ca="1">IF($D50&lt;&gt;"Serviço",0,IF(OR(AND(AUTOEVENTO="Manual",$M50=1),$M50&gt;(ROW(PLE.lastrow)-ROW(PLE.firstrow))),0,IF(OFFSET(PLE!$G$14,$M50,BZ$13)="",10^12,OFFSET(PLE!$G$14,$M50,BZ$13))))</f>
        <v>1000000000000</v>
      </c>
      <c r="CA50" s="182">
        <f ca="1">IF($D50&lt;&gt;"Serviço",0,IF(OR(AND(AUTOEVENTO="Manual",$M50=1),$M50&gt;(ROW(PLE.lastrow)-ROW(PLE.firstrow))),0,IF(OFFSET(PLE!$G$14,$M50,CA$13)="",10^12,OFFSET(PLE!$G$14,$M50,CA$13))))</f>
        <v>1000000000000</v>
      </c>
      <c r="CB50" s="182">
        <f ca="1">IF($D50&lt;&gt;"Serviço",0,IF(OR(AND(AUTOEVENTO="Manual",$M50=1),$M50&gt;(ROW(PLE.lastrow)-ROW(PLE.firstrow))),0,IF(OFFSET(PLE!$G$14,$M50,CB$13)="",10^12,OFFSET(PLE!$G$14,$M50,CB$13))))</f>
        <v>1000000000000</v>
      </c>
      <c r="CC50" s="182">
        <f ca="1">IF($D50&lt;&gt;"Serviço",0,IF(OR(AND(AUTOEVENTO="Manual",$M50=1),$M50&gt;(ROW(PLE.lastrow)-ROW(PLE.firstrow))),0,IF(OFFSET(PLE!$G$14,$M50,CC$13)="",10^12,OFFSET(PLE!$G$14,$M50,CC$13))))</f>
        <v>1000000000000</v>
      </c>
      <c r="CD50" s="182">
        <f ca="1">IF($D50&lt;&gt;"Serviço",0,IF(OR(AND(AUTOEVENTO="Manual",$M50=1),$M50&gt;(ROW(PLE.lastrow)-ROW(PLE.firstrow))),0,IF(OFFSET(PLE!$G$14,$M50,CD$13)="",10^12,OFFSET(PLE!$G$14,$M50,CD$13))))</f>
        <v>1000000000000</v>
      </c>
      <c r="CE50" s="182">
        <f ca="1">IF($D50&lt;&gt;"Serviço",0,IF(OR(AND(AUTOEVENTO="Manual",$M50=1),$M50&gt;(ROW(PLE.lastrow)-ROW(PLE.firstrow))),0,IF(OFFSET(PLE!$G$14,$M50,CE$13)="",10^12,OFFSET(PLE!$G$14,$M50,CE$13))))</f>
        <v>1000000000000</v>
      </c>
      <c r="CF50" s="182">
        <f ca="1">IF($D50&lt;&gt;"Serviço",0,IF(OR(AND(AUTOEVENTO="Manual",$M50=1),$M50&gt;(ROW(PLE.lastrow)-ROW(PLE.firstrow))),0,IF(OFFSET(PLE!$G$14,$M50,CF$13)="",10^12,OFFSET(PLE!$G$14,$M50,CF$13))))</f>
        <v>1000000000000</v>
      </c>
      <c r="CG50" s="182">
        <f ca="1">IF($D50&lt;&gt;"Serviço",0,IF(OR(AND(AUTOEVENTO="Manual",$M50=1),$M50&gt;(ROW(PLE.lastrow)-ROW(PLE.firstrow))),0,IF(OFFSET(PLE!$G$14,$M50,CG$13)="",10^12,OFFSET(PLE!$G$14,$M50,CG$13))))</f>
        <v>1000000000000</v>
      </c>
      <c r="CH50" s="182">
        <f ca="1">IF($D50&lt;&gt;"Serviço",0,IF(OR(AND(AUTOEVENTO="Manual",$M50=1),$M50&gt;(ROW(PLE.lastrow)-ROW(PLE.firstrow))),0,IF(OFFSET(PLE!$G$14,$M50,CH$13)="",10^12,OFFSET(PLE!$G$14,$M50,CH$13))))</f>
        <v>1000000000000</v>
      </c>
      <c r="CI50" s="182">
        <f ca="1">IF($D50&lt;&gt;"Serviço",0,IF(OR(AND(AUTOEVENTO="Manual",$M50=1),$M50&gt;(ROW(PLE.lastrow)-ROW(PLE.firstrow))),0,IF(OFFSET(PLE!$G$14,$M50,CI$13)="",10^12,OFFSET(PLE!$G$14,$M50,CI$13))))</f>
        <v>1000000000000</v>
      </c>
      <c r="CJ50" s="182">
        <f ca="1">IF($D50&lt;&gt;"Serviço",0,IF(OR(AND(AUTOEVENTO="Manual",$M50=1),$M50&gt;(ROW(PLE.lastrow)-ROW(PLE.firstrow))),0,IF(OFFSET(PLE!$G$14,$M50,CJ$13)="",10^12,OFFSET(PLE!$G$14,$M50,CJ$13))))</f>
        <v>1000000000000</v>
      </c>
      <c r="CK50" s="182">
        <f ca="1">IF($D50&lt;&gt;"Serviço",0,IF(OR(AND(AUTOEVENTO="Manual",$M50=1),$M50&gt;(ROW(PLE.lastrow)-ROW(PLE.firstrow))),0,IF(OFFSET(PLE!$G$14,$M50,CK$13)="",10^12,OFFSET(PLE!$G$14,$M50,CK$13))))</f>
        <v>1000000000000</v>
      </c>
      <c r="CL50" s="182">
        <f ca="1">IF($D50&lt;&gt;"Serviço",0,IF(OR(AND(AUTOEVENTO="Manual",$M50=1),$M50&gt;(ROW(PLE.lastrow)-ROW(PLE.firstrow))),0,IF(OFFSET(PLE!$G$14,$M50,CL$13)="",10^12,OFFSET(PLE!$G$14,$M50,CL$13))))</f>
        <v>1000000000000</v>
      </c>
      <c r="CM50" s="182">
        <f ca="1">IF($D50&lt;&gt;"Serviço",0,IF(OR(AND(AUTOEVENTO="Manual",$M50=1),$M50&gt;(ROW(PLE.lastrow)-ROW(PLE.firstrow))),0,IF(OFFSET(PLE!$G$14,$M50,CM$13)="",10^12,OFFSET(PLE!$G$14,$M50,CM$13))))</f>
        <v>1000000000000</v>
      </c>
    </row>
    <row r="51" spans="1:91" ht="25.5" x14ac:dyDescent="0.2">
      <c r="A51" s="7" t="str">
        <f t="shared" ca="1" si="9"/>
        <v>32</v>
      </c>
      <c r="B51" s="7" t="str">
        <f ca="1">OFFSET(ORÇAMENTO!C$15,ROW(B51)-ROW(B$15),0)</f>
        <v>S</v>
      </c>
      <c r="C51" s="7" t="str">
        <f ca="1">OFFSET(ORÇAMENTO!L$15,ROW(C51)-ROW(C$15),0)</f>
        <v/>
      </c>
      <c r="D51" s="118" t="str">
        <f ca="1">OFFSET(ORÇAMENTO!N$15,ROW(D51)-ROW(D$15),0)</f>
        <v>Serviço</v>
      </c>
      <c r="E51" s="119" t="str">
        <f ca="1">OFFSET(ORÇAMENTO!O$15,ROW(E51)-ROW(E$15),0)</f>
        <v>-</v>
      </c>
      <c r="F51" s="172" t="str">
        <f ca="1">OFFSET(ORÇAMENTO!R$15,ROW(F51)-ROW(F$15),0)</f>
        <v>(abra o arquivo 'Referência 06-2024.xlsm)</v>
      </c>
      <c r="G51" s="173" t="str">
        <f ca="1">IF($D51&lt;&gt;"Serviço","",OFFSET(ORÇAMENTO!S$15,ROW(G51)-ROW(G$15),0))</f>
        <v>-</v>
      </c>
      <c r="H51" s="124">
        <f ca="1">IF($D51&lt;&gt;"Serviço",0,IF(ACOMPANHAMENTO="BM",ROUND(OFFSET(ORÇAMENTO!AJ$15,ROW(H51)-ROW(H$15),0),15-13*ORÇAMENTO!$AF$7),SUMPRODUCT(($Q$12:$AI$12&lt;&gt;"")*ROUND($Q51:$AI51,15-13*ORÇAMENTO!$AF$7))))</f>
        <v>872.12</v>
      </c>
      <c r="I51" s="561" t="s">
        <v>1107</v>
      </c>
      <c r="K51" s="174" t="s">
        <v>1027</v>
      </c>
      <c r="L51" s="175" t="s">
        <v>255</v>
      </c>
      <c r="M51" s="176">
        <f ca="1">IF($D51&lt;&gt;"Serviço","",IF(AUTOEVENTO="manual",$A51,IF(ISERROR(MATCH($A51,$A$15:OFFSET($A51,-1,0),0)),MAX($M$15:OFFSET(M51,-1,0))+1,INDEX($M$15:OFFSET(M51,-1,0),MATCH($A51,$A$15:OFFSET($A51,-1,0),0)))))</f>
        <v>8</v>
      </c>
      <c r="N51" s="177" t="str">
        <f ca="1">IF($D51&lt;&gt;"Serviço","",IF(AUTOEVENTO="Manual",IF($A51=0,"&lt;-- defina o número do agrupador",OFFSET(EVENTOS!$D$14,$A51,0)),OFFSET($F$15,$A51,0)))</f>
        <v>FUNDAÇÕES - CONCRETO ARMADO PARA BLOCOS</v>
      </c>
      <c r="O51" s="178"/>
      <c r="Q51" s="178">
        <v>872.12</v>
      </c>
      <c r="R51" s="179"/>
      <c r="S51" s="179"/>
      <c r="T51" s="179"/>
      <c r="U51" s="179"/>
      <c r="V51" s="179"/>
      <c r="W51" s="179"/>
      <c r="X51" s="179"/>
      <c r="Y51" s="179"/>
      <c r="Z51" s="180"/>
      <c r="AA51" s="179"/>
      <c r="AB51" s="179"/>
      <c r="AC51" s="179"/>
      <c r="AD51" s="179"/>
      <c r="AE51" s="179"/>
      <c r="AF51" s="179"/>
      <c r="AG51" s="179"/>
      <c r="AH51" s="180"/>
      <c r="AJ51" s="544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545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L51" s="545">
        <f ca="1">IF(AND($D51="Serviço",AL$12&lt;&gt;0,$H51&gt;0,OR(AUTOEVENTO&lt;&gt;"manual",$M51&lt;&gt;1)),
IF(Import.TipoArredondamento&lt;&gt;"TransfereGOV",
ROUND(OFFSET($P51,0,AL$13),15-13*ORÇAMENTO!$AF$7)/$H51*OFFSET(ORÇAMENTO!$X$15,ROW(AL51)-ROW(AL$15),0),
ROUND(ROUND(OFFSET($P51,0,AL$13),15-13*ORÇAMENTO!$AF$7)*OFFSET(ORÇAMENTO!$W$15,ROW(AL51)-ROW(AL$15),0),15-13*ORÇAMENTO!$AF$11)),0)</f>
        <v>0</v>
      </c>
      <c r="AM51" s="545">
        <f ca="1">IF(AND($D51="Serviço",AM$12&lt;&gt;0,$H51&gt;0,OR(AUTOEVENTO&lt;&gt;"manual",$M51&lt;&gt;1)),
IF(Import.TipoArredondamento&lt;&gt;"TransfereGOV",
ROUND(OFFSET($P51,0,AM$13),15-13*ORÇAMENTO!$AF$7)/$H51*OFFSET(ORÇAMENTO!$X$15,ROW(AM51)-ROW(AM$15),0),
ROUND(ROUND(OFFSET($P51,0,AM$13),15-13*ORÇAMENTO!$AF$7)*OFFSET(ORÇAMENTO!$W$15,ROW(AM51)-ROW(AM$15),0),15-13*ORÇAMENTO!$AF$11)),0)</f>
        <v>0</v>
      </c>
      <c r="AN51" s="545">
        <f ca="1">IF(AND($D51="Serviço",AN$12&lt;&gt;0,$H51&gt;0,OR(AUTOEVENTO&lt;&gt;"manual",$M51&lt;&gt;1)),
IF(Import.TipoArredondamento&lt;&gt;"TransfereGOV",
ROUND(OFFSET($P51,0,AN$13),15-13*ORÇAMENTO!$AF$7)/$H51*OFFSET(ORÇAMENTO!$X$15,ROW(AN51)-ROW(AN$15),0),
ROUND(ROUND(OFFSET($P51,0,AN$13),15-13*ORÇAMENTO!$AF$7)*OFFSET(ORÇAMENTO!$W$15,ROW(AN51)-ROW(AN$15),0),15-13*ORÇAMENTO!$AF$11)),0)</f>
        <v>0</v>
      </c>
      <c r="AO51" s="545">
        <f ca="1">IF(AND($D51="Serviço",AO$12&lt;&gt;0,$H51&gt;0,OR(AUTOEVENTO&lt;&gt;"manual",$M51&lt;&gt;1)),
IF(Import.TipoArredondamento&lt;&gt;"TransfereGOV",
ROUND(OFFSET($P51,0,AO$13),15-13*ORÇAMENTO!$AF$7)/$H51*OFFSET(ORÇAMENTO!$X$15,ROW(AO51)-ROW(AO$15),0),
ROUND(ROUND(OFFSET($P51,0,AO$13),15-13*ORÇAMENTO!$AF$7)*OFFSET(ORÇAMENTO!$W$15,ROW(AO51)-ROW(AO$15),0),15-13*ORÇAMENTO!$AF$11)),0)</f>
        <v>0</v>
      </c>
      <c r="AP51" s="545">
        <f ca="1">IF(AND($D51="Serviço",AP$12&lt;&gt;0,$H51&gt;0,OR(AUTOEVENTO&lt;&gt;"manual",$M51&lt;&gt;1)),
IF(Import.TipoArredondamento&lt;&gt;"TransfereGOV",
ROUND(OFFSET($P51,0,AP$13),15-13*ORÇAMENTO!$AF$7)/$H51*OFFSET(ORÇAMENTO!$X$15,ROW(AP51)-ROW(AP$15),0),
ROUND(ROUND(OFFSET($P51,0,AP$13),15-13*ORÇAMENTO!$AF$7)*OFFSET(ORÇAMENTO!$W$15,ROW(AP51)-ROW(AP$15),0),15-13*ORÇAMENTO!$AF$11)),0)</f>
        <v>0</v>
      </c>
      <c r="AQ51" s="545">
        <f ca="1">IF(AND($D51="Serviço",AQ$12&lt;&gt;0,$H51&gt;0,OR(AUTOEVENTO&lt;&gt;"manual",$M51&lt;&gt;1)),
IF(Import.TipoArredondamento&lt;&gt;"TransfereGOV",
ROUND(OFFSET($P51,0,AQ$13),15-13*ORÇAMENTO!$AF$7)/$H51*OFFSET(ORÇAMENTO!$X$15,ROW(AQ51)-ROW(AQ$15),0),
ROUND(ROUND(OFFSET($P51,0,AQ$13),15-13*ORÇAMENTO!$AF$7)*OFFSET(ORÇAMENTO!$W$15,ROW(AQ51)-ROW(AQ$15),0),15-13*ORÇAMENTO!$AF$11)),0)</f>
        <v>0</v>
      </c>
      <c r="AR51" s="545">
        <f ca="1">IF(AND($D51="Serviço",AR$12&lt;&gt;0,$H51&gt;0,OR(AUTOEVENTO&lt;&gt;"manual",$M51&lt;&gt;1)),
IF(Import.TipoArredondamento&lt;&gt;"TransfereGOV",
ROUND(OFFSET($P51,0,AR$13),15-13*ORÇAMENTO!$AF$7)/$H51*OFFSET(ORÇAMENTO!$X$15,ROW(AR51)-ROW(AR$15),0),
ROUND(ROUND(OFFSET($P51,0,AR$13),15-13*ORÇAMENTO!$AF$7)*OFFSET(ORÇAMENTO!$W$15,ROW(AR51)-ROW(AR$15),0),15-13*ORÇAMENTO!$AF$11)),0)</f>
        <v>0</v>
      </c>
      <c r="AS51" s="546">
        <f ca="1">IF(AND($D51="Serviço",AS$12&lt;&gt;0,$H51&gt;0,OR(AUTOEVENTO&lt;&gt;"manual",$M51&lt;&gt;1)),
IF(Import.TipoArredondamento&lt;&gt;"TransfereGOV",
ROUND(OFFSET($P51,0,AS$13),15-13*ORÇAMENTO!$AF$7)/$H51*OFFSET(ORÇAMENTO!$X$15,ROW(AS51)-ROW(AS$15),0),
ROUND(ROUND(OFFSET($P51,0,AS$13),15-13*ORÇAMENTO!$AF$7)*OFFSET(ORÇAMENTO!$W$15,ROW(AS51)-ROW(AS$15),0),15-13*ORÇAMENTO!$AF$11)),0)</f>
        <v>0</v>
      </c>
      <c r="AT51" s="545">
        <f ca="1">IF(AND($D51="Serviço",AT$12&lt;&gt;0,$H51&gt;0,OR(AUTOEVENTO&lt;&gt;"manual",$M51&lt;&gt;1)),
IF(Import.TipoArredondamento&lt;&gt;"TransfereGOV",
ROUND(OFFSET($P51,0,AT$13),15-13*ORÇAMENTO!$AF$7)/$H51*OFFSET(ORÇAMENTO!$X$15,ROW(AT51)-ROW(AT$15),0),
ROUND(ROUND(OFFSET($P51,0,AT$13),15-13*ORÇAMENTO!$AF$7)*OFFSET(ORÇAMENTO!$W$15,ROW(AT51)-ROW(AT$15),0),15-13*ORÇAMENTO!$AF$11)),0)</f>
        <v>0</v>
      </c>
      <c r="AU51" s="545">
        <f ca="1">IF(AND($D51="Serviço",AU$12&lt;&gt;0,$H51&gt;0,OR(AUTOEVENTO&lt;&gt;"manual",$M51&lt;&gt;1)),
IF(Import.TipoArredondamento&lt;&gt;"TransfereGOV",
ROUND(OFFSET($P51,0,AU$13),15-13*ORÇAMENTO!$AF$7)/$H51*OFFSET(ORÇAMENTO!$X$15,ROW(AU51)-ROW(AU$15),0),
ROUND(ROUND(OFFSET($P51,0,AU$13),15-13*ORÇAMENTO!$AF$7)*OFFSET(ORÇAMENTO!$W$15,ROW(AU51)-ROW(AU$15),0),15-13*ORÇAMENTO!$AF$11)),0)</f>
        <v>0</v>
      </c>
      <c r="AV51" s="545">
        <f ca="1">IF(AND($D51="Serviço",AV$12&lt;&gt;0,$H51&gt;0,OR(AUTOEVENTO&lt;&gt;"manual",$M51&lt;&gt;1)),
IF(Import.TipoArredondamento&lt;&gt;"TransfereGOV",
ROUND(OFFSET($P51,0,AV$13),15-13*ORÇAMENTO!$AF$7)/$H51*OFFSET(ORÇAMENTO!$X$15,ROW(AV51)-ROW(AV$15),0),
ROUND(ROUND(OFFSET($P51,0,AV$13),15-13*ORÇAMENTO!$AF$7)*OFFSET(ORÇAMENTO!$W$15,ROW(AV51)-ROW(AV$15),0),15-13*ORÇAMENTO!$AF$11)),0)</f>
        <v>0</v>
      </c>
      <c r="AW51" s="545">
        <f ca="1">IF(AND($D51="Serviço",AW$12&lt;&gt;0,$H51&gt;0,OR(AUTOEVENTO&lt;&gt;"manual",$M51&lt;&gt;1)),
IF(Import.TipoArredondamento&lt;&gt;"TransfereGOV",
ROUND(OFFSET($P51,0,AW$13),15-13*ORÇAMENTO!$AF$7)/$H51*OFFSET(ORÇAMENTO!$X$15,ROW(AW51)-ROW(AW$15),0),
ROUND(ROUND(OFFSET($P51,0,AW$13),15-13*ORÇAMENTO!$AF$7)*OFFSET(ORÇAMENTO!$W$15,ROW(AW51)-ROW(AW$15),0),15-13*ORÇAMENTO!$AF$11)),0)</f>
        <v>0</v>
      </c>
      <c r="AX51" s="545">
        <f ca="1">IF(AND($D51="Serviço",AX$12&lt;&gt;0,$H51&gt;0,OR(AUTOEVENTO&lt;&gt;"manual",$M51&lt;&gt;1)),
IF(Import.TipoArredondamento&lt;&gt;"TransfereGOV",
ROUND(OFFSET($P51,0,AX$13),15-13*ORÇAMENTO!$AF$7)/$H51*OFFSET(ORÇAMENTO!$X$15,ROW(AX51)-ROW(AX$15),0),
ROUND(ROUND(OFFSET($P51,0,AX$13),15-13*ORÇAMENTO!$AF$7)*OFFSET(ORÇAMENTO!$W$15,ROW(AX51)-ROW(AX$15),0),15-13*ORÇAMENTO!$AF$11)),0)</f>
        <v>0</v>
      </c>
      <c r="AY51" s="545">
        <f ca="1">IF(AND($D51="Serviço",AY$12&lt;&gt;0,$H51&gt;0,OR(AUTOEVENTO&lt;&gt;"manual",$M51&lt;&gt;1)),
IF(Import.TipoArredondamento&lt;&gt;"TransfereGOV",
ROUND(OFFSET($P51,0,AY$13),15-13*ORÇAMENTO!$AF$7)/$H51*OFFSET(ORÇAMENTO!$X$15,ROW(AY51)-ROW(AY$15),0),
ROUND(ROUND(OFFSET($P51,0,AY$13),15-13*ORÇAMENTO!$AF$7)*OFFSET(ORÇAMENTO!$W$15,ROW(AY51)-ROW(AY$15),0),15-13*ORÇAMENTO!$AF$11)),0)</f>
        <v>0</v>
      </c>
      <c r="AZ51" s="545">
        <f ca="1">IF(AND($D51="Serviço",AZ$12&lt;&gt;0,$H51&gt;0,OR(AUTOEVENTO&lt;&gt;"manual",$M51&lt;&gt;1)),
IF(Import.TipoArredondamento&lt;&gt;"TransfereGOV",
ROUND(OFFSET($P51,0,AZ$13),15-13*ORÇAMENTO!$AF$7)/$H51*OFFSET(ORÇAMENTO!$X$15,ROW(AZ51)-ROW(AZ$15),0),
ROUND(ROUND(OFFSET($P51,0,AZ$13),15-13*ORÇAMENTO!$AF$7)*OFFSET(ORÇAMENTO!$W$15,ROW(AZ51)-ROW(AZ$15),0),15-13*ORÇAMENTO!$AF$11)),0)</f>
        <v>0</v>
      </c>
      <c r="BA51" s="546">
        <f ca="1">IF(AND($D51="Serviço",BA$12&lt;&gt;0,$H51&gt;0,OR(AUTOEVENTO&lt;&gt;"manual",$M51&lt;&gt;1)),
IF(Import.TipoArredondamento&lt;&gt;"TransfereGOV",
ROUND(OFFSET($P51,0,BA$13),15-13*ORÇAMENTO!$AF$7)/$H51*OFFSET(ORÇAMENTO!$X$15,ROW(BA51)-ROW(BA$15),0),
ROUND(ROUND(OFFSET($P51,0,BA$13),15-13*ORÇAMENTO!$AF$7)*OFFSET(ORÇAMENTO!$W$15,ROW(BA51)-ROW(BA$15),0),15-13*ORÇAMENTO!$AF$11)),0)</f>
        <v>0</v>
      </c>
      <c r="BC51" s="181">
        <f ca="1">IF($D51&lt;&gt;"Serviço",0,IF(AND(AUTOEVENTO="Manual",$M51=1),0,IF(OFFSET(CRONOPLE!$F$14,$M51,BC$13)="",10^12,OFFSET(CRONOPLE!$F$14,$M51,BC$13))))</f>
        <v>2</v>
      </c>
      <c r="BD51" s="181">
        <f ca="1">IF($D51&lt;&gt;"Serviço",0,IF(AND(AUTOEVENTO="Manual",$M51=1),0,IF(OFFSET(CRONOPLE!$F$14,$M51,BD$13)="",10^12,OFFSET(CRONOPLE!$F$14,$M51,BD$13))))</f>
        <v>1000000000000</v>
      </c>
      <c r="BE51" s="181">
        <f ca="1">IF($D51&lt;&gt;"Serviço",0,IF(AND(AUTOEVENTO="Manual",$M51=1),0,IF(OFFSET(CRONOPLE!$F$14,$M51,BE$13)="",10^12,OFFSET(CRONOPLE!$F$14,$M51,BE$13))))</f>
        <v>1000000000000</v>
      </c>
      <c r="BF51" s="181">
        <f ca="1">IF($D51&lt;&gt;"Serviço",0,IF(AND(AUTOEVENTO="Manual",$M51=1),0,IF(OFFSET(CRONOPLE!$F$14,$M51,BF$13)="",10^12,OFFSET(CRONOPLE!$F$14,$M51,BF$13))))</f>
        <v>1000000000000</v>
      </c>
      <c r="BG51" s="181">
        <f ca="1">IF($D51&lt;&gt;"Serviço",0,IF(AND(AUTOEVENTO="Manual",$M51=1),0,IF(OFFSET(CRONOPLE!$F$14,$M51,BG$13)="",10^12,OFFSET(CRONOPLE!$F$14,$M51,BG$13))))</f>
        <v>1000000000000</v>
      </c>
      <c r="BH51" s="181">
        <f ca="1">IF($D51&lt;&gt;"Serviço",0,IF(AND(AUTOEVENTO="Manual",$M51=1),0,IF(OFFSET(CRONOPLE!$F$14,$M51,BH$13)="",10^12,OFFSET(CRONOPLE!$F$14,$M51,BH$13))))</f>
        <v>1000000000000</v>
      </c>
      <c r="BI51" s="181">
        <f ca="1">IF($D51&lt;&gt;"Serviço",0,IF(AND(AUTOEVENTO="Manual",$M51=1),0,IF(OFFSET(CRONOPLE!$F$14,$M51,BI$13)="",10^12,OFFSET(CRONOPLE!$F$14,$M51,BI$13))))</f>
        <v>1000000000000</v>
      </c>
      <c r="BJ51" s="181">
        <f ca="1">IF($D51&lt;&gt;"Serviço",0,IF(AND(AUTOEVENTO="Manual",$M51=1),0,IF(OFFSET(CRONOPLE!$F$14,$M51,BJ$13)="",10^12,OFFSET(CRONOPLE!$F$14,$M51,BJ$13))))</f>
        <v>1000000000000</v>
      </c>
      <c r="BK51" s="181">
        <f ca="1">IF($D51&lt;&gt;"Serviço",0,IF(AND(AUTOEVENTO="Manual",$M51=1),0,IF(OFFSET(CRONOPLE!$F$14,$M51,BK$13)="",10^12,OFFSET(CRONOPLE!$F$14,$M51,BK$13))))</f>
        <v>1000000000000</v>
      </c>
      <c r="BL51" s="181">
        <f ca="1">IF($D51&lt;&gt;"Serviço",0,IF(AND(AUTOEVENTO="Manual",$M51=1),0,IF(OFFSET(CRONOPLE!$F$14,$M51,BL$13)="",10^12,OFFSET(CRONOPLE!$F$14,$M51,BL$13))))</f>
        <v>1000000000000</v>
      </c>
      <c r="BM51" s="181">
        <f ca="1">IF($D51&lt;&gt;"Serviço",0,IF(AND(AUTOEVENTO="Manual",$M51=1),0,IF(OFFSET(CRONOPLE!$F$14,$M51,BM$13)="",10^12,OFFSET(CRONOPLE!$F$14,$M51,BM$13))))</f>
        <v>1000000000000</v>
      </c>
      <c r="BN51" s="181">
        <f ca="1">IF($D51&lt;&gt;"Serviço",0,IF(AND(AUTOEVENTO="Manual",$M51=1),0,IF(OFFSET(CRONOPLE!$F$14,$M51,BN$13)="",10^12,OFFSET(CRONOPLE!$F$14,$M51,BN$13))))</f>
        <v>1000000000000</v>
      </c>
      <c r="BO51" s="181">
        <f ca="1">IF($D51&lt;&gt;"Serviço",0,IF(AND(AUTOEVENTO="Manual",$M51=1),0,IF(OFFSET(CRONOPLE!$F$14,$M51,BO$13)="",10^12,OFFSET(CRONOPLE!$F$14,$M51,BO$13))))</f>
        <v>1000000000000</v>
      </c>
      <c r="BP51" s="181">
        <f ca="1">IF($D51&lt;&gt;"Serviço",0,IF(AND(AUTOEVENTO="Manual",$M51=1),0,IF(OFFSET(CRONOPLE!$F$14,$M51,BP$13)="",10^12,OFFSET(CRONOPLE!$F$14,$M51,BP$13))))</f>
        <v>1000000000000</v>
      </c>
      <c r="BQ51" s="181">
        <f ca="1">IF($D51&lt;&gt;"Serviço",0,IF(AND(AUTOEVENTO="Manual",$M51=1),0,IF(OFFSET(CRONOPLE!$F$14,$M51,BQ$13)="",10^12,OFFSET(CRONOPLE!$F$14,$M51,BQ$13))))</f>
        <v>1000000000000</v>
      </c>
      <c r="BR51" s="181">
        <f ca="1">IF($D51&lt;&gt;"Serviço",0,IF(AND(AUTOEVENTO="Manual",$M51=1),0,IF(OFFSET(CRONOPLE!$F$14,$M51,BR$13)="",10^12,OFFSET(CRONOPLE!$F$14,$M51,BR$13))))</f>
        <v>1000000000000</v>
      </c>
      <c r="BS51" s="181">
        <f ca="1">IF($D51&lt;&gt;"Serviço",0,IF(AND(AUTOEVENTO="Manual",$M51=1),0,IF(OFFSET(CRONOPLE!$F$14,$M51,BS$13)="",10^12,OFFSET(CRONOPLE!$F$14,$M51,BS$13))))</f>
        <v>1000000000000</v>
      </c>
      <c r="BT51" s="181">
        <f ca="1">IF($D51&lt;&gt;"Serviço",0,IF(AND(AUTOEVENTO="Manual",$M51=1),0,IF(OFFSET(CRONOPLE!$F$14,$M51,BT$13)="",10^12,OFFSET(CRONOPLE!$F$14,$M51,BT$13))))</f>
        <v>1000000000000</v>
      </c>
      <c r="BV51" s="182">
        <f ca="1">IF($D51&lt;&gt;"Serviço",0,IF(OR(AND(AUTOEVENTO="Manual",$M51=1),$M51&gt;(ROW(PLE.lastrow)-ROW(PLE.firstrow))),0,IF(OFFSET(PLE!$G$14,$M51,BV$13)="",10^12,OFFSET(PLE!$G$14,$M51,BV$13))))</f>
        <v>1000000000000</v>
      </c>
      <c r="BW51" s="182">
        <f ca="1">IF($D51&lt;&gt;"Serviço",0,IF(OR(AND(AUTOEVENTO="Manual",$M51=1),$M51&gt;(ROW(PLE.lastrow)-ROW(PLE.firstrow))),0,IF(OFFSET(PLE!$G$14,$M51,BW$13)="",10^12,OFFSET(PLE!$G$14,$M51,BW$13))))</f>
        <v>1000000000000</v>
      </c>
      <c r="BX51" s="182">
        <f ca="1">IF($D51&lt;&gt;"Serviço",0,IF(OR(AND(AUTOEVENTO="Manual",$M51=1),$M51&gt;(ROW(PLE.lastrow)-ROW(PLE.firstrow))),0,IF(OFFSET(PLE!$G$14,$M51,BX$13)="",10^12,OFFSET(PLE!$G$14,$M51,BX$13))))</f>
        <v>1000000000000</v>
      </c>
      <c r="BY51" s="182">
        <f ca="1">IF($D51&lt;&gt;"Serviço",0,IF(OR(AND(AUTOEVENTO="Manual",$M51=1),$M51&gt;(ROW(PLE.lastrow)-ROW(PLE.firstrow))),0,IF(OFFSET(PLE!$G$14,$M51,BY$13)="",10^12,OFFSET(PLE!$G$14,$M51,BY$13))))</f>
        <v>1000000000000</v>
      </c>
      <c r="BZ51" s="182">
        <f ca="1">IF($D51&lt;&gt;"Serviço",0,IF(OR(AND(AUTOEVENTO="Manual",$M51=1),$M51&gt;(ROW(PLE.lastrow)-ROW(PLE.firstrow))),0,IF(OFFSET(PLE!$G$14,$M51,BZ$13)="",10^12,OFFSET(PLE!$G$14,$M51,BZ$13))))</f>
        <v>1000000000000</v>
      </c>
      <c r="CA51" s="182">
        <f ca="1">IF($D51&lt;&gt;"Serviço",0,IF(OR(AND(AUTOEVENTO="Manual",$M51=1),$M51&gt;(ROW(PLE.lastrow)-ROW(PLE.firstrow))),0,IF(OFFSET(PLE!$G$14,$M51,CA$13)="",10^12,OFFSET(PLE!$G$14,$M51,CA$13))))</f>
        <v>1000000000000</v>
      </c>
      <c r="CB51" s="182">
        <f ca="1">IF($D51&lt;&gt;"Serviço",0,IF(OR(AND(AUTOEVENTO="Manual",$M51=1),$M51&gt;(ROW(PLE.lastrow)-ROW(PLE.firstrow))),0,IF(OFFSET(PLE!$G$14,$M51,CB$13)="",10^12,OFFSET(PLE!$G$14,$M51,CB$13))))</f>
        <v>1000000000000</v>
      </c>
      <c r="CC51" s="182">
        <f ca="1">IF($D51&lt;&gt;"Serviço",0,IF(OR(AND(AUTOEVENTO="Manual",$M51=1),$M51&gt;(ROW(PLE.lastrow)-ROW(PLE.firstrow))),0,IF(OFFSET(PLE!$G$14,$M51,CC$13)="",10^12,OFFSET(PLE!$G$14,$M51,CC$13))))</f>
        <v>1000000000000</v>
      </c>
      <c r="CD51" s="182">
        <f ca="1">IF($D51&lt;&gt;"Serviço",0,IF(OR(AND(AUTOEVENTO="Manual",$M51=1),$M51&gt;(ROW(PLE.lastrow)-ROW(PLE.firstrow))),0,IF(OFFSET(PLE!$G$14,$M51,CD$13)="",10^12,OFFSET(PLE!$G$14,$M51,CD$13))))</f>
        <v>1000000000000</v>
      </c>
      <c r="CE51" s="182">
        <f ca="1">IF($D51&lt;&gt;"Serviço",0,IF(OR(AND(AUTOEVENTO="Manual",$M51=1),$M51&gt;(ROW(PLE.lastrow)-ROW(PLE.firstrow))),0,IF(OFFSET(PLE!$G$14,$M51,CE$13)="",10^12,OFFSET(PLE!$G$14,$M51,CE$13))))</f>
        <v>1000000000000</v>
      </c>
      <c r="CF51" s="182">
        <f ca="1">IF($D51&lt;&gt;"Serviço",0,IF(OR(AND(AUTOEVENTO="Manual",$M51=1),$M51&gt;(ROW(PLE.lastrow)-ROW(PLE.firstrow))),0,IF(OFFSET(PLE!$G$14,$M51,CF$13)="",10^12,OFFSET(PLE!$G$14,$M51,CF$13))))</f>
        <v>1000000000000</v>
      </c>
      <c r="CG51" s="182">
        <f ca="1">IF($D51&lt;&gt;"Serviço",0,IF(OR(AND(AUTOEVENTO="Manual",$M51=1),$M51&gt;(ROW(PLE.lastrow)-ROW(PLE.firstrow))),0,IF(OFFSET(PLE!$G$14,$M51,CG$13)="",10^12,OFFSET(PLE!$G$14,$M51,CG$13))))</f>
        <v>1000000000000</v>
      </c>
      <c r="CH51" s="182">
        <f ca="1">IF($D51&lt;&gt;"Serviço",0,IF(OR(AND(AUTOEVENTO="Manual",$M51=1),$M51&gt;(ROW(PLE.lastrow)-ROW(PLE.firstrow))),0,IF(OFFSET(PLE!$G$14,$M51,CH$13)="",10^12,OFFSET(PLE!$G$14,$M51,CH$13))))</f>
        <v>1000000000000</v>
      </c>
      <c r="CI51" s="182">
        <f ca="1">IF($D51&lt;&gt;"Serviço",0,IF(OR(AND(AUTOEVENTO="Manual",$M51=1),$M51&gt;(ROW(PLE.lastrow)-ROW(PLE.firstrow))),0,IF(OFFSET(PLE!$G$14,$M51,CI$13)="",10^12,OFFSET(PLE!$G$14,$M51,CI$13))))</f>
        <v>1000000000000</v>
      </c>
      <c r="CJ51" s="182">
        <f ca="1">IF($D51&lt;&gt;"Serviço",0,IF(OR(AND(AUTOEVENTO="Manual",$M51=1),$M51&gt;(ROW(PLE.lastrow)-ROW(PLE.firstrow))),0,IF(OFFSET(PLE!$G$14,$M51,CJ$13)="",10^12,OFFSET(PLE!$G$14,$M51,CJ$13))))</f>
        <v>1000000000000</v>
      </c>
      <c r="CK51" s="182">
        <f ca="1">IF($D51&lt;&gt;"Serviço",0,IF(OR(AND(AUTOEVENTO="Manual",$M51=1),$M51&gt;(ROW(PLE.lastrow)-ROW(PLE.firstrow))),0,IF(OFFSET(PLE!$G$14,$M51,CK$13)="",10^12,OFFSET(PLE!$G$14,$M51,CK$13))))</f>
        <v>1000000000000</v>
      </c>
      <c r="CL51" s="182">
        <f ca="1">IF($D51&lt;&gt;"Serviço",0,IF(OR(AND(AUTOEVENTO="Manual",$M51=1),$M51&gt;(ROW(PLE.lastrow)-ROW(PLE.firstrow))),0,IF(OFFSET(PLE!$G$14,$M51,CL$13)="",10^12,OFFSET(PLE!$G$14,$M51,CL$13))))</f>
        <v>1000000000000</v>
      </c>
      <c r="CM51" s="182">
        <f ca="1">IF($D51&lt;&gt;"Serviço",0,IF(OR(AND(AUTOEVENTO="Manual",$M51=1),$M51&gt;(ROW(PLE.lastrow)-ROW(PLE.firstrow))),0,IF(OFFSET(PLE!$G$14,$M51,CM$13)="",10^12,OFFSET(PLE!$G$14,$M51,CM$13))))</f>
        <v>1000000000000</v>
      </c>
    </row>
    <row r="52" spans="1:91" ht="25.5" x14ac:dyDescent="0.2">
      <c r="A52" s="7" t="str">
        <f t="shared" ca="1" si="9"/>
        <v>32</v>
      </c>
      <c r="B52" s="7" t="str">
        <f ca="1">OFFSET(ORÇAMENTO!C$15,ROW(B52)-ROW(B$15),0)</f>
        <v>S</v>
      </c>
      <c r="C52" s="7" t="str">
        <f ca="1">OFFSET(ORÇAMENTO!L$15,ROW(C52)-ROW(C$15),0)</f>
        <v/>
      </c>
      <c r="D52" s="118" t="str">
        <f ca="1">OFFSET(ORÇAMENTO!N$15,ROW(D52)-ROW(D$15),0)</f>
        <v>Serviço</v>
      </c>
      <c r="E52" s="119" t="str">
        <f ca="1">OFFSET(ORÇAMENTO!O$15,ROW(E52)-ROW(E$15),0)</f>
        <v>-</v>
      </c>
      <c r="F52" s="172" t="str">
        <f ca="1">OFFSET(ORÇAMENTO!R$15,ROW(F52)-ROW(F$15),0)</f>
        <v>(abra o arquivo 'Referência 06-2024.xlsm)</v>
      </c>
      <c r="G52" s="173" t="str">
        <f ca="1">IF($D52&lt;&gt;"Serviço","",OFFSET(ORÇAMENTO!S$15,ROW(G52)-ROW(G$15),0))</f>
        <v>-</v>
      </c>
      <c r="H52" s="124">
        <f ca="1">IF($D52&lt;&gt;"Serviço",0,IF(ACOMPANHAMENTO="BM",ROUND(OFFSET(ORÇAMENTO!AJ$15,ROW(H52)-ROW(H$15),0),15-13*ORÇAMENTO!$AF$7),SUMPRODUCT(($Q$12:$AI$12&lt;&gt;"")*ROUND($Q52:$AI52,15-13*ORÇAMENTO!$AF$7))))</f>
        <v>135.97999999999999</v>
      </c>
      <c r="I52" s="561" t="s">
        <v>1107</v>
      </c>
      <c r="K52" s="174" t="s">
        <v>1027</v>
      </c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8</v>
      </c>
      <c r="N52" s="177" t="str">
        <f ca="1">IF($D52&lt;&gt;"Serviço","",IF(AUTOEVENTO="Manual",IF($A52=0,"&lt;-- defina o número do agrupador",OFFSET(EVENTOS!$D$14,$A52,0)),OFFSET($F$15,$A52,0)))</f>
        <v>FUNDAÇÕES - CONCRETO ARMADO PARA BLOCOS</v>
      </c>
      <c r="O52" s="178"/>
      <c r="Q52" s="178">
        <v>135.97999999999999</v>
      </c>
      <c r="R52" s="179"/>
      <c r="S52" s="179"/>
      <c r="T52" s="179"/>
      <c r="U52" s="179"/>
      <c r="V52" s="179"/>
      <c r="W52" s="179"/>
      <c r="X52" s="179"/>
      <c r="Y52" s="179"/>
      <c r="Z52" s="180"/>
      <c r="AA52" s="179"/>
      <c r="AB52" s="179"/>
      <c r="AC52" s="179"/>
      <c r="AD52" s="179"/>
      <c r="AE52" s="179"/>
      <c r="AF52" s="179"/>
      <c r="AG52" s="179"/>
      <c r="AH52" s="180"/>
      <c r="AJ52" s="544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545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L52" s="545">
        <f ca="1">IF(AND($D52="Serviço",AL$12&lt;&gt;0,$H52&gt;0,OR(AUTOEVENTO&lt;&gt;"manual",$M52&lt;&gt;1)),
IF(Import.TipoArredondamento&lt;&gt;"TransfereGOV",
ROUND(OFFSET($P52,0,AL$13),15-13*ORÇAMENTO!$AF$7)/$H52*OFFSET(ORÇAMENTO!$X$15,ROW(AL52)-ROW(AL$15),0),
ROUND(ROUND(OFFSET($P52,0,AL$13),15-13*ORÇAMENTO!$AF$7)*OFFSET(ORÇAMENTO!$W$15,ROW(AL52)-ROW(AL$15),0),15-13*ORÇAMENTO!$AF$11)),0)</f>
        <v>0</v>
      </c>
      <c r="AM52" s="545">
        <f ca="1">IF(AND($D52="Serviço",AM$12&lt;&gt;0,$H52&gt;0,OR(AUTOEVENTO&lt;&gt;"manual",$M52&lt;&gt;1)),
IF(Import.TipoArredondamento&lt;&gt;"TransfereGOV",
ROUND(OFFSET($P52,0,AM$13),15-13*ORÇAMENTO!$AF$7)/$H52*OFFSET(ORÇAMENTO!$X$15,ROW(AM52)-ROW(AM$15),0),
ROUND(ROUND(OFFSET($P52,0,AM$13),15-13*ORÇAMENTO!$AF$7)*OFFSET(ORÇAMENTO!$W$15,ROW(AM52)-ROW(AM$15),0),15-13*ORÇAMENTO!$AF$11)),0)</f>
        <v>0</v>
      </c>
      <c r="AN52" s="545">
        <f ca="1">IF(AND($D52="Serviço",AN$12&lt;&gt;0,$H52&gt;0,OR(AUTOEVENTO&lt;&gt;"manual",$M52&lt;&gt;1)),
IF(Import.TipoArredondamento&lt;&gt;"TransfereGOV",
ROUND(OFFSET($P52,0,AN$13),15-13*ORÇAMENTO!$AF$7)/$H52*OFFSET(ORÇAMENTO!$X$15,ROW(AN52)-ROW(AN$15),0),
ROUND(ROUND(OFFSET($P52,0,AN$13),15-13*ORÇAMENTO!$AF$7)*OFFSET(ORÇAMENTO!$W$15,ROW(AN52)-ROW(AN$15),0),15-13*ORÇAMENTO!$AF$11)),0)</f>
        <v>0</v>
      </c>
      <c r="AO52" s="545">
        <f ca="1">IF(AND($D52="Serviço",AO$12&lt;&gt;0,$H52&gt;0,OR(AUTOEVENTO&lt;&gt;"manual",$M52&lt;&gt;1)),
IF(Import.TipoArredondamento&lt;&gt;"TransfereGOV",
ROUND(OFFSET($P52,0,AO$13),15-13*ORÇAMENTO!$AF$7)/$H52*OFFSET(ORÇAMENTO!$X$15,ROW(AO52)-ROW(AO$15),0),
ROUND(ROUND(OFFSET($P52,0,AO$13),15-13*ORÇAMENTO!$AF$7)*OFFSET(ORÇAMENTO!$W$15,ROW(AO52)-ROW(AO$15),0),15-13*ORÇAMENTO!$AF$11)),0)</f>
        <v>0</v>
      </c>
      <c r="AP52" s="545">
        <f ca="1">IF(AND($D52="Serviço",AP$12&lt;&gt;0,$H52&gt;0,OR(AUTOEVENTO&lt;&gt;"manual",$M52&lt;&gt;1)),
IF(Import.TipoArredondamento&lt;&gt;"TransfereGOV",
ROUND(OFFSET($P52,0,AP$13),15-13*ORÇAMENTO!$AF$7)/$H52*OFFSET(ORÇAMENTO!$X$15,ROW(AP52)-ROW(AP$15),0),
ROUND(ROUND(OFFSET($P52,0,AP$13),15-13*ORÇAMENTO!$AF$7)*OFFSET(ORÇAMENTO!$W$15,ROW(AP52)-ROW(AP$15),0),15-13*ORÇAMENTO!$AF$11)),0)</f>
        <v>0</v>
      </c>
      <c r="AQ52" s="545">
        <f ca="1">IF(AND($D52="Serviço",AQ$12&lt;&gt;0,$H52&gt;0,OR(AUTOEVENTO&lt;&gt;"manual",$M52&lt;&gt;1)),
IF(Import.TipoArredondamento&lt;&gt;"TransfereGOV",
ROUND(OFFSET($P52,0,AQ$13),15-13*ORÇAMENTO!$AF$7)/$H52*OFFSET(ORÇAMENTO!$X$15,ROW(AQ52)-ROW(AQ$15),0),
ROUND(ROUND(OFFSET($P52,0,AQ$13),15-13*ORÇAMENTO!$AF$7)*OFFSET(ORÇAMENTO!$W$15,ROW(AQ52)-ROW(AQ$15),0),15-13*ORÇAMENTO!$AF$11)),0)</f>
        <v>0</v>
      </c>
      <c r="AR52" s="545">
        <f ca="1">IF(AND($D52="Serviço",AR$12&lt;&gt;0,$H52&gt;0,OR(AUTOEVENTO&lt;&gt;"manual",$M52&lt;&gt;1)),
IF(Import.TipoArredondamento&lt;&gt;"TransfereGOV",
ROUND(OFFSET($P52,0,AR$13),15-13*ORÇAMENTO!$AF$7)/$H52*OFFSET(ORÇAMENTO!$X$15,ROW(AR52)-ROW(AR$15),0),
ROUND(ROUND(OFFSET($P52,0,AR$13),15-13*ORÇAMENTO!$AF$7)*OFFSET(ORÇAMENTO!$W$15,ROW(AR52)-ROW(AR$15),0),15-13*ORÇAMENTO!$AF$11)),0)</f>
        <v>0</v>
      </c>
      <c r="AS52" s="546">
        <f ca="1">IF(AND($D52="Serviço",AS$12&lt;&gt;0,$H52&gt;0,OR(AUTOEVENTO&lt;&gt;"manual",$M52&lt;&gt;1)),
IF(Import.TipoArredondamento&lt;&gt;"TransfereGOV",
ROUND(OFFSET($P52,0,AS$13),15-13*ORÇAMENTO!$AF$7)/$H52*OFFSET(ORÇAMENTO!$X$15,ROW(AS52)-ROW(AS$15),0),
ROUND(ROUND(OFFSET($P52,0,AS$13),15-13*ORÇAMENTO!$AF$7)*OFFSET(ORÇAMENTO!$W$15,ROW(AS52)-ROW(AS$15),0),15-13*ORÇAMENTO!$AF$11)),0)</f>
        <v>0</v>
      </c>
      <c r="AT52" s="545">
        <f ca="1">IF(AND($D52="Serviço",AT$12&lt;&gt;0,$H52&gt;0,OR(AUTOEVENTO&lt;&gt;"manual",$M52&lt;&gt;1)),
IF(Import.TipoArredondamento&lt;&gt;"TransfereGOV",
ROUND(OFFSET($P52,0,AT$13),15-13*ORÇAMENTO!$AF$7)/$H52*OFFSET(ORÇAMENTO!$X$15,ROW(AT52)-ROW(AT$15),0),
ROUND(ROUND(OFFSET($P52,0,AT$13),15-13*ORÇAMENTO!$AF$7)*OFFSET(ORÇAMENTO!$W$15,ROW(AT52)-ROW(AT$15),0),15-13*ORÇAMENTO!$AF$11)),0)</f>
        <v>0</v>
      </c>
      <c r="AU52" s="545">
        <f ca="1">IF(AND($D52="Serviço",AU$12&lt;&gt;0,$H52&gt;0,OR(AUTOEVENTO&lt;&gt;"manual",$M52&lt;&gt;1)),
IF(Import.TipoArredondamento&lt;&gt;"TransfereGOV",
ROUND(OFFSET($P52,0,AU$13),15-13*ORÇAMENTO!$AF$7)/$H52*OFFSET(ORÇAMENTO!$X$15,ROW(AU52)-ROW(AU$15),0),
ROUND(ROUND(OFFSET($P52,0,AU$13),15-13*ORÇAMENTO!$AF$7)*OFFSET(ORÇAMENTO!$W$15,ROW(AU52)-ROW(AU$15),0),15-13*ORÇAMENTO!$AF$11)),0)</f>
        <v>0</v>
      </c>
      <c r="AV52" s="545">
        <f ca="1">IF(AND($D52="Serviço",AV$12&lt;&gt;0,$H52&gt;0,OR(AUTOEVENTO&lt;&gt;"manual",$M52&lt;&gt;1)),
IF(Import.TipoArredondamento&lt;&gt;"TransfereGOV",
ROUND(OFFSET($P52,0,AV$13),15-13*ORÇAMENTO!$AF$7)/$H52*OFFSET(ORÇAMENTO!$X$15,ROW(AV52)-ROW(AV$15),0),
ROUND(ROUND(OFFSET($P52,0,AV$13),15-13*ORÇAMENTO!$AF$7)*OFFSET(ORÇAMENTO!$W$15,ROW(AV52)-ROW(AV$15),0),15-13*ORÇAMENTO!$AF$11)),0)</f>
        <v>0</v>
      </c>
      <c r="AW52" s="545">
        <f ca="1">IF(AND($D52="Serviço",AW$12&lt;&gt;0,$H52&gt;0,OR(AUTOEVENTO&lt;&gt;"manual",$M52&lt;&gt;1)),
IF(Import.TipoArredondamento&lt;&gt;"TransfereGOV",
ROUND(OFFSET($P52,0,AW$13),15-13*ORÇAMENTO!$AF$7)/$H52*OFFSET(ORÇAMENTO!$X$15,ROW(AW52)-ROW(AW$15),0),
ROUND(ROUND(OFFSET($P52,0,AW$13),15-13*ORÇAMENTO!$AF$7)*OFFSET(ORÇAMENTO!$W$15,ROW(AW52)-ROW(AW$15),0),15-13*ORÇAMENTO!$AF$11)),0)</f>
        <v>0</v>
      </c>
      <c r="AX52" s="545">
        <f ca="1">IF(AND($D52="Serviço",AX$12&lt;&gt;0,$H52&gt;0,OR(AUTOEVENTO&lt;&gt;"manual",$M52&lt;&gt;1)),
IF(Import.TipoArredondamento&lt;&gt;"TransfereGOV",
ROUND(OFFSET($P52,0,AX$13),15-13*ORÇAMENTO!$AF$7)/$H52*OFFSET(ORÇAMENTO!$X$15,ROW(AX52)-ROW(AX$15),0),
ROUND(ROUND(OFFSET($P52,0,AX$13),15-13*ORÇAMENTO!$AF$7)*OFFSET(ORÇAMENTO!$W$15,ROW(AX52)-ROW(AX$15),0),15-13*ORÇAMENTO!$AF$11)),0)</f>
        <v>0</v>
      </c>
      <c r="AY52" s="545">
        <f ca="1">IF(AND($D52="Serviço",AY$12&lt;&gt;0,$H52&gt;0,OR(AUTOEVENTO&lt;&gt;"manual",$M52&lt;&gt;1)),
IF(Import.TipoArredondamento&lt;&gt;"TransfereGOV",
ROUND(OFFSET($P52,0,AY$13),15-13*ORÇAMENTO!$AF$7)/$H52*OFFSET(ORÇAMENTO!$X$15,ROW(AY52)-ROW(AY$15),0),
ROUND(ROUND(OFFSET($P52,0,AY$13),15-13*ORÇAMENTO!$AF$7)*OFFSET(ORÇAMENTO!$W$15,ROW(AY52)-ROW(AY$15),0),15-13*ORÇAMENTO!$AF$11)),0)</f>
        <v>0</v>
      </c>
      <c r="AZ52" s="545">
        <f ca="1">IF(AND($D52="Serviço",AZ$12&lt;&gt;0,$H52&gt;0,OR(AUTOEVENTO&lt;&gt;"manual",$M52&lt;&gt;1)),
IF(Import.TipoArredondamento&lt;&gt;"TransfereGOV",
ROUND(OFFSET($P52,0,AZ$13),15-13*ORÇAMENTO!$AF$7)/$H52*OFFSET(ORÇAMENTO!$X$15,ROW(AZ52)-ROW(AZ$15),0),
ROUND(ROUND(OFFSET($P52,0,AZ$13),15-13*ORÇAMENTO!$AF$7)*OFFSET(ORÇAMENTO!$W$15,ROW(AZ52)-ROW(AZ$15),0),15-13*ORÇAMENTO!$AF$11)),0)</f>
        <v>0</v>
      </c>
      <c r="BA52" s="546">
        <f ca="1">IF(AND($D52="Serviço",BA$12&lt;&gt;0,$H52&gt;0,OR(AUTOEVENTO&lt;&gt;"manual",$M52&lt;&gt;1)),
IF(Import.TipoArredondamento&lt;&gt;"TransfereGOV",
ROUND(OFFSET($P52,0,BA$13),15-13*ORÇAMENTO!$AF$7)/$H52*OFFSET(ORÇAMENTO!$X$15,ROW(BA52)-ROW(BA$15),0),
ROUND(ROUND(OFFSET($P52,0,BA$13),15-13*ORÇAMENTO!$AF$7)*OFFSET(ORÇAMENTO!$W$15,ROW(BA52)-ROW(BA$15),0),15-13*ORÇAMENTO!$AF$11)),0)</f>
        <v>0</v>
      </c>
      <c r="BC52" s="181">
        <f ca="1">IF($D52&lt;&gt;"Serviço",0,IF(AND(AUTOEVENTO="Manual",$M52=1),0,IF(OFFSET(CRONOPLE!$F$14,$M52,BC$13)="",10^12,OFFSET(CRONOPLE!$F$14,$M52,BC$13))))</f>
        <v>2</v>
      </c>
      <c r="BD52" s="181">
        <f ca="1">IF($D52&lt;&gt;"Serviço",0,IF(AND(AUTOEVENTO="Manual",$M52=1),0,IF(OFFSET(CRONOPLE!$F$14,$M52,BD$13)="",10^12,OFFSET(CRONOPLE!$F$14,$M52,BD$13))))</f>
        <v>1000000000000</v>
      </c>
      <c r="BE52" s="181">
        <f ca="1">IF($D52&lt;&gt;"Serviço",0,IF(AND(AUTOEVENTO="Manual",$M52=1),0,IF(OFFSET(CRONOPLE!$F$14,$M52,BE$13)="",10^12,OFFSET(CRONOPLE!$F$14,$M52,BE$13))))</f>
        <v>1000000000000</v>
      </c>
      <c r="BF52" s="181">
        <f ca="1">IF($D52&lt;&gt;"Serviço",0,IF(AND(AUTOEVENTO="Manual",$M52=1),0,IF(OFFSET(CRONOPLE!$F$14,$M52,BF$13)="",10^12,OFFSET(CRONOPLE!$F$14,$M52,BF$13))))</f>
        <v>1000000000000</v>
      </c>
      <c r="BG52" s="181">
        <f ca="1">IF($D52&lt;&gt;"Serviço",0,IF(AND(AUTOEVENTO="Manual",$M52=1),0,IF(OFFSET(CRONOPLE!$F$14,$M52,BG$13)="",10^12,OFFSET(CRONOPLE!$F$14,$M52,BG$13))))</f>
        <v>1000000000000</v>
      </c>
      <c r="BH52" s="181">
        <f ca="1">IF($D52&lt;&gt;"Serviço",0,IF(AND(AUTOEVENTO="Manual",$M52=1),0,IF(OFFSET(CRONOPLE!$F$14,$M52,BH$13)="",10^12,OFFSET(CRONOPLE!$F$14,$M52,BH$13))))</f>
        <v>1000000000000</v>
      </c>
      <c r="BI52" s="181">
        <f ca="1">IF($D52&lt;&gt;"Serviço",0,IF(AND(AUTOEVENTO="Manual",$M52=1),0,IF(OFFSET(CRONOPLE!$F$14,$M52,BI$13)="",10^12,OFFSET(CRONOPLE!$F$14,$M52,BI$13))))</f>
        <v>1000000000000</v>
      </c>
      <c r="BJ52" s="181">
        <f ca="1">IF($D52&lt;&gt;"Serviço",0,IF(AND(AUTOEVENTO="Manual",$M52=1),0,IF(OFFSET(CRONOPLE!$F$14,$M52,BJ$13)="",10^12,OFFSET(CRONOPLE!$F$14,$M52,BJ$13))))</f>
        <v>1000000000000</v>
      </c>
      <c r="BK52" s="181">
        <f ca="1">IF($D52&lt;&gt;"Serviço",0,IF(AND(AUTOEVENTO="Manual",$M52=1),0,IF(OFFSET(CRONOPLE!$F$14,$M52,BK$13)="",10^12,OFFSET(CRONOPLE!$F$14,$M52,BK$13))))</f>
        <v>1000000000000</v>
      </c>
      <c r="BL52" s="181">
        <f ca="1">IF($D52&lt;&gt;"Serviço",0,IF(AND(AUTOEVENTO="Manual",$M52=1),0,IF(OFFSET(CRONOPLE!$F$14,$M52,BL$13)="",10^12,OFFSET(CRONOPLE!$F$14,$M52,BL$13))))</f>
        <v>1000000000000</v>
      </c>
      <c r="BM52" s="181">
        <f ca="1">IF($D52&lt;&gt;"Serviço",0,IF(AND(AUTOEVENTO="Manual",$M52=1),0,IF(OFFSET(CRONOPLE!$F$14,$M52,BM$13)="",10^12,OFFSET(CRONOPLE!$F$14,$M52,BM$13))))</f>
        <v>1000000000000</v>
      </c>
      <c r="BN52" s="181">
        <f ca="1">IF($D52&lt;&gt;"Serviço",0,IF(AND(AUTOEVENTO="Manual",$M52=1),0,IF(OFFSET(CRONOPLE!$F$14,$M52,BN$13)="",10^12,OFFSET(CRONOPLE!$F$14,$M52,BN$13))))</f>
        <v>1000000000000</v>
      </c>
      <c r="BO52" s="181">
        <f ca="1">IF($D52&lt;&gt;"Serviço",0,IF(AND(AUTOEVENTO="Manual",$M52=1),0,IF(OFFSET(CRONOPLE!$F$14,$M52,BO$13)="",10^12,OFFSET(CRONOPLE!$F$14,$M52,BO$13))))</f>
        <v>1000000000000</v>
      </c>
      <c r="BP52" s="181">
        <f ca="1">IF($D52&lt;&gt;"Serviço",0,IF(AND(AUTOEVENTO="Manual",$M52=1),0,IF(OFFSET(CRONOPLE!$F$14,$M52,BP$13)="",10^12,OFFSET(CRONOPLE!$F$14,$M52,BP$13))))</f>
        <v>1000000000000</v>
      </c>
      <c r="BQ52" s="181">
        <f ca="1">IF($D52&lt;&gt;"Serviço",0,IF(AND(AUTOEVENTO="Manual",$M52=1),0,IF(OFFSET(CRONOPLE!$F$14,$M52,BQ$13)="",10^12,OFFSET(CRONOPLE!$F$14,$M52,BQ$13))))</f>
        <v>1000000000000</v>
      </c>
      <c r="BR52" s="181">
        <f ca="1">IF($D52&lt;&gt;"Serviço",0,IF(AND(AUTOEVENTO="Manual",$M52=1),0,IF(OFFSET(CRONOPLE!$F$14,$M52,BR$13)="",10^12,OFFSET(CRONOPLE!$F$14,$M52,BR$13))))</f>
        <v>1000000000000</v>
      </c>
      <c r="BS52" s="181">
        <f ca="1">IF($D52&lt;&gt;"Serviço",0,IF(AND(AUTOEVENTO="Manual",$M52=1),0,IF(OFFSET(CRONOPLE!$F$14,$M52,BS$13)="",10^12,OFFSET(CRONOPLE!$F$14,$M52,BS$13))))</f>
        <v>1000000000000</v>
      </c>
      <c r="BT52" s="181">
        <f ca="1">IF($D52&lt;&gt;"Serviço",0,IF(AND(AUTOEVENTO="Manual",$M52=1),0,IF(OFFSET(CRONOPLE!$F$14,$M52,BT$13)="",10^12,OFFSET(CRONOPLE!$F$14,$M52,BT$13))))</f>
        <v>1000000000000</v>
      </c>
      <c r="BV52" s="182">
        <f ca="1">IF($D52&lt;&gt;"Serviço",0,IF(OR(AND(AUTOEVENTO="Manual",$M52=1),$M52&gt;(ROW(PLE.lastrow)-ROW(PLE.firstrow))),0,IF(OFFSET(PLE!$G$14,$M52,BV$13)="",10^12,OFFSET(PLE!$G$14,$M52,BV$13))))</f>
        <v>1000000000000</v>
      </c>
      <c r="BW52" s="182">
        <f ca="1">IF($D52&lt;&gt;"Serviço",0,IF(OR(AND(AUTOEVENTO="Manual",$M52=1),$M52&gt;(ROW(PLE.lastrow)-ROW(PLE.firstrow))),0,IF(OFFSET(PLE!$G$14,$M52,BW$13)="",10^12,OFFSET(PLE!$G$14,$M52,BW$13))))</f>
        <v>1000000000000</v>
      </c>
      <c r="BX52" s="182">
        <f ca="1">IF($D52&lt;&gt;"Serviço",0,IF(OR(AND(AUTOEVENTO="Manual",$M52=1),$M52&gt;(ROW(PLE.lastrow)-ROW(PLE.firstrow))),0,IF(OFFSET(PLE!$G$14,$M52,BX$13)="",10^12,OFFSET(PLE!$G$14,$M52,BX$13))))</f>
        <v>1000000000000</v>
      </c>
      <c r="BY52" s="182">
        <f ca="1">IF($D52&lt;&gt;"Serviço",0,IF(OR(AND(AUTOEVENTO="Manual",$M52=1),$M52&gt;(ROW(PLE.lastrow)-ROW(PLE.firstrow))),0,IF(OFFSET(PLE!$G$14,$M52,BY$13)="",10^12,OFFSET(PLE!$G$14,$M52,BY$13))))</f>
        <v>1000000000000</v>
      </c>
      <c r="BZ52" s="182">
        <f ca="1">IF($D52&lt;&gt;"Serviço",0,IF(OR(AND(AUTOEVENTO="Manual",$M52=1),$M52&gt;(ROW(PLE.lastrow)-ROW(PLE.firstrow))),0,IF(OFFSET(PLE!$G$14,$M52,BZ$13)="",10^12,OFFSET(PLE!$G$14,$M52,BZ$13))))</f>
        <v>1000000000000</v>
      </c>
      <c r="CA52" s="182">
        <f ca="1">IF($D52&lt;&gt;"Serviço",0,IF(OR(AND(AUTOEVENTO="Manual",$M52=1),$M52&gt;(ROW(PLE.lastrow)-ROW(PLE.firstrow))),0,IF(OFFSET(PLE!$G$14,$M52,CA$13)="",10^12,OFFSET(PLE!$G$14,$M52,CA$13))))</f>
        <v>1000000000000</v>
      </c>
      <c r="CB52" s="182">
        <f ca="1">IF($D52&lt;&gt;"Serviço",0,IF(OR(AND(AUTOEVENTO="Manual",$M52=1),$M52&gt;(ROW(PLE.lastrow)-ROW(PLE.firstrow))),0,IF(OFFSET(PLE!$G$14,$M52,CB$13)="",10^12,OFFSET(PLE!$G$14,$M52,CB$13))))</f>
        <v>1000000000000</v>
      </c>
      <c r="CC52" s="182">
        <f ca="1">IF($D52&lt;&gt;"Serviço",0,IF(OR(AND(AUTOEVENTO="Manual",$M52=1),$M52&gt;(ROW(PLE.lastrow)-ROW(PLE.firstrow))),0,IF(OFFSET(PLE!$G$14,$M52,CC$13)="",10^12,OFFSET(PLE!$G$14,$M52,CC$13))))</f>
        <v>1000000000000</v>
      </c>
      <c r="CD52" s="182">
        <f ca="1">IF($D52&lt;&gt;"Serviço",0,IF(OR(AND(AUTOEVENTO="Manual",$M52=1),$M52&gt;(ROW(PLE.lastrow)-ROW(PLE.firstrow))),0,IF(OFFSET(PLE!$G$14,$M52,CD$13)="",10^12,OFFSET(PLE!$G$14,$M52,CD$13))))</f>
        <v>1000000000000</v>
      </c>
      <c r="CE52" s="182">
        <f ca="1">IF($D52&lt;&gt;"Serviço",0,IF(OR(AND(AUTOEVENTO="Manual",$M52=1),$M52&gt;(ROW(PLE.lastrow)-ROW(PLE.firstrow))),0,IF(OFFSET(PLE!$G$14,$M52,CE$13)="",10^12,OFFSET(PLE!$G$14,$M52,CE$13))))</f>
        <v>1000000000000</v>
      </c>
      <c r="CF52" s="182">
        <f ca="1">IF($D52&lt;&gt;"Serviço",0,IF(OR(AND(AUTOEVENTO="Manual",$M52=1),$M52&gt;(ROW(PLE.lastrow)-ROW(PLE.firstrow))),0,IF(OFFSET(PLE!$G$14,$M52,CF$13)="",10^12,OFFSET(PLE!$G$14,$M52,CF$13))))</f>
        <v>1000000000000</v>
      </c>
      <c r="CG52" s="182">
        <f ca="1">IF($D52&lt;&gt;"Serviço",0,IF(OR(AND(AUTOEVENTO="Manual",$M52=1),$M52&gt;(ROW(PLE.lastrow)-ROW(PLE.firstrow))),0,IF(OFFSET(PLE!$G$14,$M52,CG$13)="",10^12,OFFSET(PLE!$G$14,$M52,CG$13))))</f>
        <v>1000000000000</v>
      </c>
      <c r="CH52" s="182">
        <f ca="1">IF($D52&lt;&gt;"Serviço",0,IF(OR(AND(AUTOEVENTO="Manual",$M52=1),$M52&gt;(ROW(PLE.lastrow)-ROW(PLE.firstrow))),0,IF(OFFSET(PLE!$G$14,$M52,CH$13)="",10^12,OFFSET(PLE!$G$14,$M52,CH$13))))</f>
        <v>1000000000000</v>
      </c>
      <c r="CI52" s="182">
        <f ca="1">IF($D52&lt;&gt;"Serviço",0,IF(OR(AND(AUTOEVENTO="Manual",$M52=1),$M52&gt;(ROW(PLE.lastrow)-ROW(PLE.firstrow))),0,IF(OFFSET(PLE!$G$14,$M52,CI$13)="",10^12,OFFSET(PLE!$G$14,$M52,CI$13))))</f>
        <v>1000000000000</v>
      </c>
      <c r="CJ52" s="182">
        <f ca="1">IF($D52&lt;&gt;"Serviço",0,IF(OR(AND(AUTOEVENTO="Manual",$M52=1),$M52&gt;(ROW(PLE.lastrow)-ROW(PLE.firstrow))),0,IF(OFFSET(PLE!$G$14,$M52,CJ$13)="",10^12,OFFSET(PLE!$G$14,$M52,CJ$13))))</f>
        <v>1000000000000</v>
      </c>
      <c r="CK52" s="182">
        <f ca="1">IF($D52&lt;&gt;"Serviço",0,IF(OR(AND(AUTOEVENTO="Manual",$M52=1),$M52&gt;(ROW(PLE.lastrow)-ROW(PLE.firstrow))),0,IF(OFFSET(PLE!$G$14,$M52,CK$13)="",10^12,OFFSET(PLE!$G$14,$M52,CK$13))))</f>
        <v>1000000000000</v>
      </c>
      <c r="CL52" s="182">
        <f ca="1">IF($D52&lt;&gt;"Serviço",0,IF(OR(AND(AUTOEVENTO="Manual",$M52=1),$M52&gt;(ROW(PLE.lastrow)-ROW(PLE.firstrow))),0,IF(OFFSET(PLE!$G$14,$M52,CL$13)="",10^12,OFFSET(PLE!$G$14,$M52,CL$13))))</f>
        <v>1000000000000</v>
      </c>
      <c r="CM52" s="182">
        <f ca="1">IF($D52&lt;&gt;"Serviço",0,IF(OR(AND(AUTOEVENTO="Manual",$M52=1),$M52&gt;(ROW(PLE.lastrow)-ROW(PLE.firstrow))),0,IF(OFFSET(PLE!$G$14,$M52,CM$13)="",10^12,OFFSET(PLE!$G$14,$M52,CM$13))))</f>
        <v>1000000000000</v>
      </c>
    </row>
    <row r="53" spans="1:91" ht="25.5" x14ac:dyDescent="0.2">
      <c r="A53" s="7" t="str">
        <f t="shared" ca="1" si="9"/>
        <v>32</v>
      </c>
      <c r="B53" s="7" t="str">
        <f ca="1">OFFSET(ORÇAMENTO!C$15,ROW(B53)-ROW(B$15),0)</f>
        <v>S</v>
      </c>
      <c r="C53" s="7" t="str">
        <f ca="1">OFFSET(ORÇAMENTO!L$15,ROW(C53)-ROW(C$15),0)</f>
        <v/>
      </c>
      <c r="D53" s="118" t="str">
        <f ca="1">OFFSET(ORÇAMENTO!N$15,ROW(D53)-ROW(D$15),0)</f>
        <v>Serviço</v>
      </c>
      <c r="E53" s="119" t="str">
        <f ca="1">OFFSET(ORÇAMENTO!O$15,ROW(E53)-ROW(E$15),0)</f>
        <v>-</v>
      </c>
      <c r="F53" s="172" t="str">
        <f ca="1">OFFSET(ORÇAMENTO!R$15,ROW(F53)-ROW(F$15),0)</f>
        <v>(abra o arquivo 'Referência 06-2024.xlsm)</v>
      </c>
      <c r="G53" s="173" t="str">
        <f ca="1">IF($D53&lt;&gt;"Serviço","",OFFSET(ORÇAMENTO!S$15,ROW(G53)-ROW(G$15),0))</f>
        <v>-</v>
      </c>
      <c r="H53" s="124">
        <f ca="1">IF($D53&lt;&gt;"Serviço",0,IF(ACOMPANHAMENTO="BM",ROUND(OFFSET(ORÇAMENTO!AJ$15,ROW(H53)-ROW(H$15),0),15-13*ORÇAMENTO!$AF$7),SUMPRODUCT(($Q$12:$AI$12&lt;&gt;"")*ROUND($Q53:$AI53,15-13*ORÇAMENTO!$AF$7))))</f>
        <v>213.48</v>
      </c>
      <c r="I53" s="561" t="s">
        <v>1107</v>
      </c>
      <c r="K53" s="174" t="s">
        <v>1027</v>
      </c>
      <c r="L53" s="175" t="s">
        <v>255</v>
      </c>
      <c r="M53" s="176">
        <f ca="1">IF($D53&lt;&gt;"Serviço","",IF(AUTOEVENTO="manual",$A53,IF(ISERROR(MATCH($A53,$A$15:OFFSET($A53,-1,0),0)),MAX($M$15:OFFSET(M53,-1,0))+1,INDEX($M$15:OFFSET(M53,-1,0),MATCH($A53,$A$15:OFFSET($A53,-1,0),0)))))</f>
        <v>8</v>
      </c>
      <c r="N53" s="177" t="str">
        <f ca="1">IF($D53&lt;&gt;"Serviço","",IF(AUTOEVENTO="Manual",IF($A53=0,"&lt;-- defina o número do agrupador",OFFSET(EVENTOS!$D$14,$A53,0)),OFFSET($F$15,$A53,0)))</f>
        <v>FUNDAÇÕES - CONCRETO ARMADO PARA BLOCOS</v>
      </c>
      <c r="O53" s="178"/>
      <c r="Q53" s="178">
        <v>213.48</v>
      </c>
      <c r="R53" s="179"/>
      <c r="S53" s="179"/>
      <c r="T53" s="179"/>
      <c r="U53" s="179"/>
      <c r="V53" s="179"/>
      <c r="W53" s="179"/>
      <c r="X53" s="179"/>
      <c r="Y53" s="179"/>
      <c r="Z53" s="180"/>
      <c r="AA53" s="179"/>
      <c r="AB53" s="179"/>
      <c r="AC53" s="179"/>
      <c r="AD53" s="179"/>
      <c r="AE53" s="179"/>
      <c r="AF53" s="179"/>
      <c r="AG53" s="179"/>
      <c r="AH53" s="180"/>
      <c r="AJ53" s="544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545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L53" s="545">
        <f ca="1">IF(AND($D53="Serviço",AL$12&lt;&gt;0,$H53&gt;0,OR(AUTOEVENTO&lt;&gt;"manual",$M53&lt;&gt;1)),
IF(Import.TipoArredondamento&lt;&gt;"TransfereGOV",
ROUND(OFFSET($P53,0,AL$13),15-13*ORÇAMENTO!$AF$7)/$H53*OFFSET(ORÇAMENTO!$X$15,ROW(AL53)-ROW(AL$15),0),
ROUND(ROUND(OFFSET($P53,0,AL$13),15-13*ORÇAMENTO!$AF$7)*OFFSET(ORÇAMENTO!$W$15,ROW(AL53)-ROW(AL$15),0),15-13*ORÇAMENTO!$AF$11)),0)</f>
        <v>0</v>
      </c>
      <c r="AM53" s="545">
        <f ca="1">IF(AND($D53="Serviço",AM$12&lt;&gt;0,$H53&gt;0,OR(AUTOEVENTO&lt;&gt;"manual",$M53&lt;&gt;1)),
IF(Import.TipoArredondamento&lt;&gt;"TransfereGOV",
ROUND(OFFSET($P53,0,AM$13),15-13*ORÇAMENTO!$AF$7)/$H53*OFFSET(ORÇAMENTO!$X$15,ROW(AM53)-ROW(AM$15),0),
ROUND(ROUND(OFFSET($P53,0,AM$13),15-13*ORÇAMENTO!$AF$7)*OFFSET(ORÇAMENTO!$W$15,ROW(AM53)-ROW(AM$15),0),15-13*ORÇAMENTO!$AF$11)),0)</f>
        <v>0</v>
      </c>
      <c r="AN53" s="545">
        <f ca="1">IF(AND($D53="Serviço",AN$12&lt;&gt;0,$H53&gt;0,OR(AUTOEVENTO&lt;&gt;"manual",$M53&lt;&gt;1)),
IF(Import.TipoArredondamento&lt;&gt;"TransfereGOV",
ROUND(OFFSET($P53,0,AN$13),15-13*ORÇAMENTO!$AF$7)/$H53*OFFSET(ORÇAMENTO!$X$15,ROW(AN53)-ROW(AN$15),0),
ROUND(ROUND(OFFSET($P53,0,AN$13),15-13*ORÇAMENTO!$AF$7)*OFFSET(ORÇAMENTO!$W$15,ROW(AN53)-ROW(AN$15),0),15-13*ORÇAMENTO!$AF$11)),0)</f>
        <v>0</v>
      </c>
      <c r="AO53" s="545">
        <f ca="1">IF(AND($D53="Serviço",AO$12&lt;&gt;0,$H53&gt;0,OR(AUTOEVENTO&lt;&gt;"manual",$M53&lt;&gt;1)),
IF(Import.TipoArredondamento&lt;&gt;"TransfereGOV",
ROUND(OFFSET($P53,0,AO$13),15-13*ORÇAMENTO!$AF$7)/$H53*OFFSET(ORÇAMENTO!$X$15,ROW(AO53)-ROW(AO$15),0),
ROUND(ROUND(OFFSET($P53,0,AO$13),15-13*ORÇAMENTO!$AF$7)*OFFSET(ORÇAMENTO!$W$15,ROW(AO53)-ROW(AO$15),0),15-13*ORÇAMENTO!$AF$11)),0)</f>
        <v>0</v>
      </c>
      <c r="AP53" s="545">
        <f ca="1">IF(AND($D53="Serviço",AP$12&lt;&gt;0,$H53&gt;0,OR(AUTOEVENTO&lt;&gt;"manual",$M53&lt;&gt;1)),
IF(Import.TipoArredondamento&lt;&gt;"TransfereGOV",
ROUND(OFFSET($P53,0,AP$13),15-13*ORÇAMENTO!$AF$7)/$H53*OFFSET(ORÇAMENTO!$X$15,ROW(AP53)-ROW(AP$15),0),
ROUND(ROUND(OFFSET($P53,0,AP$13),15-13*ORÇAMENTO!$AF$7)*OFFSET(ORÇAMENTO!$W$15,ROW(AP53)-ROW(AP$15),0),15-13*ORÇAMENTO!$AF$11)),0)</f>
        <v>0</v>
      </c>
      <c r="AQ53" s="545">
        <f ca="1">IF(AND($D53="Serviço",AQ$12&lt;&gt;0,$H53&gt;0,OR(AUTOEVENTO&lt;&gt;"manual",$M53&lt;&gt;1)),
IF(Import.TipoArredondamento&lt;&gt;"TransfereGOV",
ROUND(OFFSET($P53,0,AQ$13),15-13*ORÇAMENTO!$AF$7)/$H53*OFFSET(ORÇAMENTO!$X$15,ROW(AQ53)-ROW(AQ$15),0),
ROUND(ROUND(OFFSET($P53,0,AQ$13),15-13*ORÇAMENTO!$AF$7)*OFFSET(ORÇAMENTO!$W$15,ROW(AQ53)-ROW(AQ$15),0),15-13*ORÇAMENTO!$AF$11)),0)</f>
        <v>0</v>
      </c>
      <c r="AR53" s="545">
        <f ca="1">IF(AND($D53="Serviço",AR$12&lt;&gt;0,$H53&gt;0,OR(AUTOEVENTO&lt;&gt;"manual",$M53&lt;&gt;1)),
IF(Import.TipoArredondamento&lt;&gt;"TransfereGOV",
ROUND(OFFSET($P53,0,AR$13),15-13*ORÇAMENTO!$AF$7)/$H53*OFFSET(ORÇAMENTO!$X$15,ROW(AR53)-ROW(AR$15),0),
ROUND(ROUND(OFFSET($P53,0,AR$13),15-13*ORÇAMENTO!$AF$7)*OFFSET(ORÇAMENTO!$W$15,ROW(AR53)-ROW(AR$15),0),15-13*ORÇAMENTO!$AF$11)),0)</f>
        <v>0</v>
      </c>
      <c r="AS53" s="546">
        <f ca="1">IF(AND($D53="Serviço",AS$12&lt;&gt;0,$H53&gt;0,OR(AUTOEVENTO&lt;&gt;"manual",$M53&lt;&gt;1)),
IF(Import.TipoArredondamento&lt;&gt;"TransfereGOV",
ROUND(OFFSET($P53,0,AS$13),15-13*ORÇAMENTO!$AF$7)/$H53*OFFSET(ORÇAMENTO!$X$15,ROW(AS53)-ROW(AS$15),0),
ROUND(ROUND(OFFSET($P53,0,AS$13),15-13*ORÇAMENTO!$AF$7)*OFFSET(ORÇAMENTO!$W$15,ROW(AS53)-ROW(AS$15),0),15-13*ORÇAMENTO!$AF$11)),0)</f>
        <v>0</v>
      </c>
      <c r="AT53" s="545">
        <f ca="1">IF(AND($D53="Serviço",AT$12&lt;&gt;0,$H53&gt;0,OR(AUTOEVENTO&lt;&gt;"manual",$M53&lt;&gt;1)),
IF(Import.TipoArredondamento&lt;&gt;"TransfereGOV",
ROUND(OFFSET($P53,0,AT$13),15-13*ORÇAMENTO!$AF$7)/$H53*OFFSET(ORÇAMENTO!$X$15,ROW(AT53)-ROW(AT$15),0),
ROUND(ROUND(OFFSET($P53,0,AT$13),15-13*ORÇAMENTO!$AF$7)*OFFSET(ORÇAMENTO!$W$15,ROW(AT53)-ROW(AT$15),0),15-13*ORÇAMENTO!$AF$11)),0)</f>
        <v>0</v>
      </c>
      <c r="AU53" s="545">
        <f ca="1">IF(AND($D53="Serviço",AU$12&lt;&gt;0,$H53&gt;0,OR(AUTOEVENTO&lt;&gt;"manual",$M53&lt;&gt;1)),
IF(Import.TipoArredondamento&lt;&gt;"TransfereGOV",
ROUND(OFFSET($P53,0,AU$13),15-13*ORÇAMENTO!$AF$7)/$H53*OFFSET(ORÇAMENTO!$X$15,ROW(AU53)-ROW(AU$15),0),
ROUND(ROUND(OFFSET($P53,0,AU$13),15-13*ORÇAMENTO!$AF$7)*OFFSET(ORÇAMENTO!$W$15,ROW(AU53)-ROW(AU$15),0),15-13*ORÇAMENTO!$AF$11)),0)</f>
        <v>0</v>
      </c>
      <c r="AV53" s="545">
        <f ca="1">IF(AND($D53="Serviço",AV$12&lt;&gt;0,$H53&gt;0,OR(AUTOEVENTO&lt;&gt;"manual",$M53&lt;&gt;1)),
IF(Import.TipoArredondamento&lt;&gt;"TransfereGOV",
ROUND(OFFSET($P53,0,AV$13),15-13*ORÇAMENTO!$AF$7)/$H53*OFFSET(ORÇAMENTO!$X$15,ROW(AV53)-ROW(AV$15),0),
ROUND(ROUND(OFFSET($P53,0,AV$13),15-13*ORÇAMENTO!$AF$7)*OFFSET(ORÇAMENTO!$W$15,ROW(AV53)-ROW(AV$15),0),15-13*ORÇAMENTO!$AF$11)),0)</f>
        <v>0</v>
      </c>
      <c r="AW53" s="545">
        <f ca="1">IF(AND($D53="Serviço",AW$12&lt;&gt;0,$H53&gt;0,OR(AUTOEVENTO&lt;&gt;"manual",$M53&lt;&gt;1)),
IF(Import.TipoArredondamento&lt;&gt;"TransfereGOV",
ROUND(OFFSET($P53,0,AW$13),15-13*ORÇAMENTO!$AF$7)/$H53*OFFSET(ORÇAMENTO!$X$15,ROW(AW53)-ROW(AW$15),0),
ROUND(ROUND(OFFSET($P53,0,AW$13),15-13*ORÇAMENTO!$AF$7)*OFFSET(ORÇAMENTO!$W$15,ROW(AW53)-ROW(AW$15),0),15-13*ORÇAMENTO!$AF$11)),0)</f>
        <v>0</v>
      </c>
      <c r="AX53" s="545">
        <f ca="1">IF(AND($D53="Serviço",AX$12&lt;&gt;0,$H53&gt;0,OR(AUTOEVENTO&lt;&gt;"manual",$M53&lt;&gt;1)),
IF(Import.TipoArredondamento&lt;&gt;"TransfereGOV",
ROUND(OFFSET($P53,0,AX$13),15-13*ORÇAMENTO!$AF$7)/$H53*OFFSET(ORÇAMENTO!$X$15,ROW(AX53)-ROW(AX$15),0),
ROUND(ROUND(OFFSET($P53,0,AX$13),15-13*ORÇAMENTO!$AF$7)*OFFSET(ORÇAMENTO!$W$15,ROW(AX53)-ROW(AX$15),0),15-13*ORÇAMENTO!$AF$11)),0)</f>
        <v>0</v>
      </c>
      <c r="AY53" s="545">
        <f ca="1">IF(AND($D53="Serviço",AY$12&lt;&gt;0,$H53&gt;0,OR(AUTOEVENTO&lt;&gt;"manual",$M53&lt;&gt;1)),
IF(Import.TipoArredondamento&lt;&gt;"TransfereGOV",
ROUND(OFFSET($P53,0,AY$13),15-13*ORÇAMENTO!$AF$7)/$H53*OFFSET(ORÇAMENTO!$X$15,ROW(AY53)-ROW(AY$15),0),
ROUND(ROUND(OFFSET($P53,0,AY$13),15-13*ORÇAMENTO!$AF$7)*OFFSET(ORÇAMENTO!$W$15,ROW(AY53)-ROW(AY$15),0),15-13*ORÇAMENTO!$AF$11)),0)</f>
        <v>0</v>
      </c>
      <c r="AZ53" s="545">
        <f ca="1">IF(AND($D53="Serviço",AZ$12&lt;&gt;0,$H53&gt;0,OR(AUTOEVENTO&lt;&gt;"manual",$M53&lt;&gt;1)),
IF(Import.TipoArredondamento&lt;&gt;"TransfereGOV",
ROUND(OFFSET($P53,0,AZ$13),15-13*ORÇAMENTO!$AF$7)/$H53*OFFSET(ORÇAMENTO!$X$15,ROW(AZ53)-ROW(AZ$15),0),
ROUND(ROUND(OFFSET($P53,0,AZ$13),15-13*ORÇAMENTO!$AF$7)*OFFSET(ORÇAMENTO!$W$15,ROW(AZ53)-ROW(AZ$15),0),15-13*ORÇAMENTO!$AF$11)),0)</f>
        <v>0</v>
      </c>
      <c r="BA53" s="546">
        <f ca="1">IF(AND($D53="Serviço",BA$12&lt;&gt;0,$H53&gt;0,OR(AUTOEVENTO&lt;&gt;"manual",$M53&lt;&gt;1)),
IF(Import.TipoArredondamento&lt;&gt;"TransfereGOV",
ROUND(OFFSET($P53,0,BA$13),15-13*ORÇAMENTO!$AF$7)/$H53*OFFSET(ORÇAMENTO!$X$15,ROW(BA53)-ROW(BA$15),0),
ROUND(ROUND(OFFSET($P53,0,BA$13),15-13*ORÇAMENTO!$AF$7)*OFFSET(ORÇAMENTO!$W$15,ROW(BA53)-ROW(BA$15),0),15-13*ORÇAMENTO!$AF$11)),0)</f>
        <v>0</v>
      </c>
      <c r="BC53" s="181">
        <f ca="1">IF($D53&lt;&gt;"Serviço",0,IF(AND(AUTOEVENTO="Manual",$M53=1),0,IF(OFFSET(CRONOPLE!$F$14,$M53,BC$13)="",10^12,OFFSET(CRONOPLE!$F$14,$M53,BC$13))))</f>
        <v>2</v>
      </c>
      <c r="BD53" s="181">
        <f ca="1">IF($D53&lt;&gt;"Serviço",0,IF(AND(AUTOEVENTO="Manual",$M53=1),0,IF(OFFSET(CRONOPLE!$F$14,$M53,BD$13)="",10^12,OFFSET(CRONOPLE!$F$14,$M53,BD$13))))</f>
        <v>1000000000000</v>
      </c>
      <c r="BE53" s="181">
        <f ca="1">IF($D53&lt;&gt;"Serviço",0,IF(AND(AUTOEVENTO="Manual",$M53=1),0,IF(OFFSET(CRONOPLE!$F$14,$M53,BE$13)="",10^12,OFFSET(CRONOPLE!$F$14,$M53,BE$13))))</f>
        <v>1000000000000</v>
      </c>
      <c r="BF53" s="181">
        <f ca="1">IF($D53&lt;&gt;"Serviço",0,IF(AND(AUTOEVENTO="Manual",$M53=1),0,IF(OFFSET(CRONOPLE!$F$14,$M53,BF$13)="",10^12,OFFSET(CRONOPLE!$F$14,$M53,BF$13))))</f>
        <v>1000000000000</v>
      </c>
      <c r="BG53" s="181">
        <f ca="1">IF($D53&lt;&gt;"Serviço",0,IF(AND(AUTOEVENTO="Manual",$M53=1),0,IF(OFFSET(CRONOPLE!$F$14,$M53,BG$13)="",10^12,OFFSET(CRONOPLE!$F$14,$M53,BG$13))))</f>
        <v>1000000000000</v>
      </c>
      <c r="BH53" s="181">
        <f ca="1">IF($D53&lt;&gt;"Serviço",0,IF(AND(AUTOEVENTO="Manual",$M53=1),0,IF(OFFSET(CRONOPLE!$F$14,$M53,BH$13)="",10^12,OFFSET(CRONOPLE!$F$14,$M53,BH$13))))</f>
        <v>1000000000000</v>
      </c>
      <c r="BI53" s="181">
        <f ca="1">IF($D53&lt;&gt;"Serviço",0,IF(AND(AUTOEVENTO="Manual",$M53=1),0,IF(OFFSET(CRONOPLE!$F$14,$M53,BI$13)="",10^12,OFFSET(CRONOPLE!$F$14,$M53,BI$13))))</f>
        <v>1000000000000</v>
      </c>
      <c r="BJ53" s="181">
        <f ca="1">IF($D53&lt;&gt;"Serviço",0,IF(AND(AUTOEVENTO="Manual",$M53=1),0,IF(OFFSET(CRONOPLE!$F$14,$M53,BJ$13)="",10^12,OFFSET(CRONOPLE!$F$14,$M53,BJ$13))))</f>
        <v>1000000000000</v>
      </c>
      <c r="BK53" s="181">
        <f ca="1">IF($D53&lt;&gt;"Serviço",0,IF(AND(AUTOEVENTO="Manual",$M53=1),0,IF(OFFSET(CRONOPLE!$F$14,$M53,BK$13)="",10^12,OFFSET(CRONOPLE!$F$14,$M53,BK$13))))</f>
        <v>1000000000000</v>
      </c>
      <c r="BL53" s="181">
        <f ca="1">IF($D53&lt;&gt;"Serviço",0,IF(AND(AUTOEVENTO="Manual",$M53=1),0,IF(OFFSET(CRONOPLE!$F$14,$M53,BL$13)="",10^12,OFFSET(CRONOPLE!$F$14,$M53,BL$13))))</f>
        <v>1000000000000</v>
      </c>
      <c r="BM53" s="181">
        <f ca="1">IF($D53&lt;&gt;"Serviço",0,IF(AND(AUTOEVENTO="Manual",$M53=1),0,IF(OFFSET(CRONOPLE!$F$14,$M53,BM$13)="",10^12,OFFSET(CRONOPLE!$F$14,$M53,BM$13))))</f>
        <v>1000000000000</v>
      </c>
      <c r="BN53" s="181">
        <f ca="1">IF($D53&lt;&gt;"Serviço",0,IF(AND(AUTOEVENTO="Manual",$M53=1),0,IF(OFFSET(CRONOPLE!$F$14,$M53,BN$13)="",10^12,OFFSET(CRONOPLE!$F$14,$M53,BN$13))))</f>
        <v>1000000000000</v>
      </c>
      <c r="BO53" s="181">
        <f ca="1">IF($D53&lt;&gt;"Serviço",0,IF(AND(AUTOEVENTO="Manual",$M53=1),0,IF(OFFSET(CRONOPLE!$F$14,$M53,BO$13)="",10^12,OFFSET(CRONOPLE!$F$14,$M53,BO$13))))</f>
        <v>1000000000000</v>
      </c>
      <c r="BP53" s="181">
        <f ca="1">IF($D53&lt;&gt;"Serviço",0,IF(AND(AUTOEVENTO="Manual",$M53=1),0,IF(OFFSET(CRONOPLE!$F$14,$M53,BP$13)="",10^12,OFFSET(CRONOPLE!$F$14,$M53,BP$13))))</f>
        <v>1000000000000</v>
      </c>
      <c r="BQ53" s="181">
        <f ca="1">IF($D53&lt;&gt;"Serviço",0,IF(AND(AUTOEVENTO="Manual",$M53=1),0,IF(OFFSET(CRONOPLE!$F$14,$M53,BQ$13)="",10^12,OFFSET(CRONOPLE!$F$14,$M53,BQ$13))))</f>
        <v>1000000000000</v>
      </c>
      <c r="BR53" s="181">
        <f ca="1">IF($D53&lt;&gt;"Serviço",0,IF(AND(AUTOEVENTO="Manual",$M53=1),0,IF(OFFSET(CRONOPLE!$F$14,$M53,BR$13)="",10^12,OFFSET(CRONOPLE!$F$14,$M53,BR$13))))</f>
        <v>1000000000000</v>
      </c>
      <c r="BS53" s="181">
        <f ca="1">IF($D53&lt;&gt;"Serviço",0,IF(AND(AUTOEVENTO="Manual",$M53=1),0,IF(OFFSET(CRONOPLE!$F$14,$M53,BS$13)="",10^12,OFFSET(CRONOPLE!$F$14,$M53,BS$13))))</f>
        <v>1000000000000</v>
      </c>
      <c r="BT53" s="181">
        <f ca="1">IF($D53&lt;&gt;"Serviço",0,IF(AND(AUTOEVENTO="Manual",$M53=1),0,IF(OFFSET(CRONOPLE!$F$14,$M53,BT$13)="",10^12,OFFSET(CRONOPLE!$F$14,$M53,BT$13))))</f>
        <v>1000000000000</v>
      </c>
      <c r="BV53" s="182">
        <f ca="1">IF($D53&lt;&gt;"Serviço",0,IF(OR(AND(AUTOEVENTO="Manual",$M53=1),$M53&gt;(ROW(PLE.lastrow)-ROW(PLE.firstrow))),0,IF(OFFSET(PLE!$G$14,$M53,BV$13)="",10^12,OFFSET(PLE!$G$14,$M53,BV$13))))</f>
        <v>1000000000000</v>
      </c>
      <c r="BW53" s="182">
        <f ca="1">IF($D53&lt;&gt;"Serviço",0,IF(OR(AND(AUTOEVENTO="Manual",$M53=1),$M53&gt;(ROW(PLE.lastrow)-ROW(PLE.firstrow))),0,IF(OFFSET(PLE!$G$14,$M53,BW$13)="",10^12,OFFSET(PLE!$G$14,$M53,BW$13))))</f>
        <v>1000000000000</v>
      </c>
      <c r="BX53" s="182">
        <f ca="1">IF($D53&lt;&gt;"Serviço",0,IF(OR(AND(AUTOEVENTO="Manual",$M53=1),$M53&gt;(ROW(PLE.lastrow)-ROW(PLE.firstrow))),0,IF(OFFSET(PLE!$G$14,$M53,BX$13)="",10^12,OFFSET(PLE!$G$14,$M53,BX$13))))</f>
        <v>1000000000000</v>
      </c>
      <c r="BY53" s="182">
        <f ca="1">IF($D53&lt;&gt;"Serviço",0,IF(OR(AND(AUTOEVENTO="Manual",$M53=1),$M53&gt;(ROW(PLE.lastrow)-ROW(PLE.firstrow))),0,IF(OFFSET(PLE!$G$14,$M53,BY$13)="",10^12,OFFSET(PLE!$G$14,$M53,BY$13))))</f>
        <v>1000000000000</v>
      </c>
      <c r="BZ53" s="182">
        <f ca="1">IF($D53&lt;&gt;"Serviço",0,IF(OR(AND(AUTOEVENTO="Manual",$M53=1),$M53&gt;(ROW(PLE.lastrow)-ROW(PLE.firstrow))),0,IF(OFFSET(PLE!$G$14,$M53,BZ$13)="",10^12,OFFSET(PLE!$G$14,$M53,BZ$13))))</f>
        <v>1000000000000</v>
      </c>
      <c r="CA53" s="182">
        <f ca="1">IF($D53&lt;&gt;"Serviço",0,IF(OR(AND(AUTOEVENTO="Manual",$M53=1),$M53&gt;(ROW(PLE.lastrow)-ROW(PLE.firstrow))),0,IF(OFFSET(PLE!$G$14,$M53,CA$13)="",10^12,OFFSET(PLE!$G$14,$M53,CA$13))))</f>
        <v>1000000000000</v>
      </c>
      <c r="CB53" s="182">
        <f ca="1">IF($D53&lt;&gt;"Serviço",0,IF(OR(AND(AUTOEVENTO="Manual",$M53=1),$M53&gt;(ROW(PLE.lastrow)-ROW(PLE.firstrow))),0,IF(OFFSET(PLE!$G$14,$M53,CB$13)="",10^12,OFFSET(PLE!$G$14,$M53,CB$13))))</f>
        <v>1000000000000</v>
      </c>
      <c r="CC53" s="182">
        <f ca="1">IF($D53&lt;&gt;"Serviço",0,IF(OR(AND(AUTOEVENTO="Manual",$M53=1),$M53&gt;(ROW(PLE.lastrow)-ROW(PLE.firstrow))),0,IF(OFFSET(PLE!$G$14,$M53,CC$13)="",10^12,OFFSET(PLE!$G$14,$M53,CC$13))))</f>
        <v>1000000000000</v>
      </c>
      <c r="CD53" s="182">
        <f ca="1">IF($D53&lt;&gt;"Serviço",0,IF(OR(AND(AUTOEVENTO="Manual",$M53=1),$M53&gt;(ROW(PLE.lastrow)-ROW(PLE.firstrow))),0,IF(OFFSET(PLE!$G$14,$M53,CD$13)="",10^12,OFFSET(PLE!$G$14,$M53,CD$13))))</f>
        <v>1000000000000</v>
      </c>
      <c r="CE53" s="182">
        <f ca="1">IF($D53&lt;&gt;"Serviço",0,IF(OR(AND(AUTOEVENTO="Manual",$M53=1),$M53&gt;(ROW(PLE.lastrow)-ROW(PLE.firstrow))),0,IF(OFFSET(PLE!$G$14,$M53,CE$13)="",10^12,OFFSET(PLE!$G$14,$M53,CE$13))))</f>
        <v>1000000000000</v>
      </c>
      <c r="CF53" s="182">
        <f ca="1">IF($D53&lt;&gt;"Serviço",0,IF(OR(AND(AUTOEVENTO="Manual",$M53=1),$M53&gt;(ROW(PLE.lastrow)-ROW(PLE.firstrow))),0,IF(OFFSET(PLE!$G$14,$M53,CF$13)="",10^12,OFFSET(PLE!$G$14,$M53,CF$13))))</f>
        <v>1000000000000</v>
      </c>
      <c r="CG53" s="182">
        <f ca="1">IF($D53&lt;&gt;"Serviço",0,IF(OR(AND(AUTOEVENTO="Manual",$M53=1),$M53&gt;(ROW(PLE.lastrow)-ROW(PLE.firstrow))),0,IF(OFFSET(PLE!$G$14,$M53,CG$13)="",10^12,OFFSET(PLE!$G$14,$M53,CG$13))))</f>
        <v>1000000000000</v>
      </c>
      <c r="CH53" s="182">
        <f ca="1">IF($D53&lt;&gt;"Serviço",0,IF(OR(AND(AUTOEVENTO="Manual",$M53=1),$M53&gt;(ROW(PLE.lastrow)-ROW(PLE.firstrow))),0,IF(OFFSET(PLE!$G$14,$M53,CH$13)="",10^12,OFFSET(PLE!$G$14,$M53,CH$13))))</f>
        <v>1000000000000</v>
      </c>
      <c r="CI53" s="182">
        <f ca="1">IF($D53&lt;&gt;"Serviço",0,IF(OR(AND(AUTOEVENTO="Manual",$M53=1),$M53&gt;(ROW(PLE.lastrow)-ROW(PLE.firstrow))),0,IF(OFFSET(PLE!$G$14,$M53,CI$13)="",10^12,OFFSET(PLE!$G$14,$M53,CI$13))))</f>
        <v>1000000000000</v>
      </c>
      <c r="CJ53" s="182">
        <f ca="1">IF($D53&lt;&gt;"Serviço",0,IF(OR(AND(AUTOEVENTO="Manual",$M53=1),$M53&gt;(ROW(PLE.lastrow)-ROW(PLE.firstrow))),0,IF(OFFSET(PLE!$G$14,$M53,CJ$13)="",10^12,OFFSET(PLE!$G$14,$M53,CJ$13))))</f>
        <v>1000000000000</v>
      </c>
      <c r="CK53" s="182">
        <f ca="1">IF($D53&lt;&gt;"Serviço",0,IF(OR(AND(AUTOEVENTO="Manual",$M53=1),$M53&gt;(ROW(PLE.lastrow)-ROW(PLE.firstrow))),0,IF(OFFSET(PLE!$G$14,$M53,CK$13)="",10^12,OFFSET(PLE!$G$14,$M53,CK$13))))</f>
        <v>1000000000000</v>
      </c>
      <c r="CL53" s="182">
        <f ca="1">IF($D53&lt;&gt;"Serviço",0,IF(OR(AND(AUTOEVENTO="Manual",$M53=1),$M53&gt;(ROW(PLE.lastrow)-ROW(PLE.firstrow))),0,IF(OFFSET(PLE!$G$14,$M53,CL$13)="",10^12,OFFSET(PLE!$G$14,$M53,CL$13))))</f>
        <v>1000000000000</v>
      </c>
      <c r="CM53" s="182">
        <f ca="1">IF($D53&lt;&gt;"Serviço",0,IF(OR(AND(AUTOEVENTO="Manual",$M53=1),$M53&gt;(ROW(PLE.lastrow)-ROW(PLE.firstrow))),0,IF(OFFSET(PLE!$G$14,$M53,CM$13)="",10^12,OFFSET(PLE!$G$14,$M53,CM$13))))</f>
        <v>1000000000000</v>
      </c>
    </row>
    <row r="54" spans="1:91" ht="38.25" x14ac:dyDescent="0.2">
      <c r="A54" s="7" t="str">
        <f t="shared" ca="1" si="9"/>
        <v>32</v>
      </c>
      <c r="B54" s="7" t="str">
        <f ca="1">OFFSET(ORÇAMENTO!C$15,ROW(B54)-ROW(B$15),0)</f>
        <v>S</v>
      </c>
      <c r="C54" s="7" t="str">
        <f ca="1">OFFSET(ORÇAMENTO!L$15,ROW(C54)-ROW(C$15),0)</f>
        <v/>
      </c>
      <c r="D54" s="118" t="str">
        <f ca="1">OFFSET(ORÇAMENTO!N$15,ROW(D54)-ROW(D$15),0)</f>
        <v>Serviço</v>
      </c>
      <c r="E54" s="119" t="str">
        <f ca="1">OFFSET(ORÇAMENTO!O$15,ROW(E54)-ROW(E$15),0)</f>
        <v>-</v>
      </c>
      <c r="F54" s="172" t="str">
        <f ca="1">OFFSET(ORÇAMENTO!R$15,ROW(F54)-ROW(F$15),0)</f>
        <v>(abra o arquivo 'Referência 06-2024.xlsm)</v>
      </c>
      <c r="G54" s="173" t="str">
        <f ca="1">IF($D54&lt;&gt;"Serviço","",OFFSET(ORÇAMENTO!S$15,ROW(G54)-ROW(G$15),0))</f>
        <v>-</v>
      </c>
      <c r="H54" s="124">
        <f ca="1">IF($D54&lt;&gt;"Serviço",0,IF(ACOMPANHAMENTO="BM",ROUND(OFFSET(ORÇAMENTO!AJ$15,ROW(H54)-ROW(H$15),0),15-13*ORÇAMENTO!$AF$7),SUMPRODUCT(($Q$12:$AI$12&lt;&gt;"")*ROUND($Q54:$AI54,15-13*ORÇAMENTO!$AF$7))))</f>
        <v>37.83</v>
      </c>
      <c r="I54" s="561" t="s">
        <v>1107</v>
      </c>
      <c r="K54" s="174" t="s">
        <v>1027</v>
      </c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8</v>
      </c>
      <c r="N54" s="177" t="str">
        <f ca="1">IF($D54&lt;&gt;"Serviço","",IF(AUTOEVENTO="Manual",IF($A54=0,"&lt;-- defina o número do agrupador",OFFSET(EVENTOS!$D$14,$A54,0)),OFFSET($F$15,$A54,0)))</f>
        <v>FUNDAÇÕES - CONCRETO ARMADO PARA BLOCOS</v>
      </c>
      <c r="O54" s="178"/>
      <c r="Q54" s="178">
        <v>37.83</v>
      </c>
      <c r="R54" s="179"/>
      <c r="S54" s="179"/>
      <c r="T54" s="179"/>
      <c r="U54" s="179"/>
      <c r="V54" s="179"/>
      <c r="W54" s="179"/>
      <c r="X54" s="179"/>
      <c r="Y54" s="179"/>
      <c r="Z54" s="180"/>
      <c r="AA54" s="179"/>
      <c r="AB54" s="179"/>
      <c r="AC54" s="179"/>
      <c r="AD54" s="179"/>
      <c r="AE54" s="179"/>
      <c r="AF54" s="179"/>
      <c r="AG54" s="179"/>
      <c r="AH54" s="180"/>
      <c r="AJ54" s="544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545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L54" s="545">
        <f ca="1">IF(AND($D54="Serviço",AL$12&lt;&gt;0,$H54&gt;0,OR(AUTOEVENTO&lt;&gt;"manual",$M54&lt;&gt;1)),
IF(Import.TipoArredondamento&lt;&gt;"TransfereGOV",
ROUND(OFFSET($P54,0,AL$13),15-13*ORÇAMENTO!$AF$7)/$H54*OFFSET(ORÇAMENTO!$X$15,ROW(AL54)-ROW(AL$15),0),
ROUND(ROUND(OFFSET($P54,0,AL$13),15-13*ORÇAMENTO!$AF$7)*OFFSET(ORÇAMENTO!$W$15,ROW(AL54)-ROW(AL$15),0),15-13*ORÇAMENTO!$AF$11)),0)</f>
        <v>0</v>
      </c>
      <c r="AM54" s="545">
        <f ca="1">IF(AND($D54="Serviço",AM$12&lt;&gt;0,$H54&gt;0,OR(AUTOEVENTO&lt;&gt;"manual",$M54&lt;&gt;1)),
IF(Import.TipoArredondamento&lt;&gt;"TransfereGOV",
ROUND(OFFSET($P54,0,AM$13),15-13*ORÇAMENTO!$AF$7)/$H54*OFFSET(ORÇAMENTO!$X$15,ROW(AM54)-ROW(AM$15),0),
ROUND(ROUND(OFFSET($P54,0,AM$13),15-13*ORÇAMENTO!$AF$7)*OFFSET(ORÇAMENTO!$W$15,ROW(AM54)-ROW(AM$15),0),15-13*ORÇAMENTO!$AF$11)),0)</f>
        <v>0</v>
      </c>
      <c r="AN54" s="545">
        <f ca="1">IF(AND($D54="Serviço",AN$12&lt;&gt;0,$H54&gt;0,OR(AUTOEVENTO&lt;&gt;"manual",$M54&lt;&gt;1)),
IF(Import.TipoArredondamento&lt;&gt;"TransfereGOV",
ROUND(OFFSET($P54,0,AN$13),15-13*ORÇAMENTO!$AF$7)/$H54*OFFSET(ORÇAMENTO!$X$15,ROW(AN54)-ROW(AN$15),0),
ROUND(ROUND(OFFSET($P54,0,AN$13),15-13*ORÇAMENTO!$AF$7)*OFFSET(ORÇAMENTO!$W$15,ROW(AN54)-ROW(AN$15),0),15-13*ORÇAMENTO!$AF$11)),0)</f>
        <v>0</v>
      </c>
      <c r="AO54" s="545">
        <f ca="1">IF(AND($D54="Serviço",AO$12&lt;&gt;0,$H54&gt;0,OR(AUTOEVENTO&lt;&gt;"manual",$M54&lt;&gt;1)),
IF(Import.TipoArredondamento&lt;&gt;"TransfereGOV",
ROUND(OFFSET($P54,0,AO$13),15-13*ORÇAMENTO!$AF$7)/$H54*OFFSET(ORÇAMENTO!$X$15,ROW(AO54)-ROW(AO$15),0),
ROUND(ROUND(OFFSET($P54,0,AO$13),15-13*ORÇAMENTO!$AF$7)*OFFSET(ORÇAMENTO!$W$15,ROW(AO54)-ROW(AO$15),0),15-13*ORÇAMENTO!$AF$11)),0)</f>
        <v>0</v>
      </c>
      <c r="AP54" s="545">
        <f ca="1">IF(AND($D54="Serviço",AP$12&lt;&gt;0,$H54&gt;0,OR(AUTOEVENTO&lt;&gt;"manual",$M54&lt;&gt;1)),
IF(Import.TipoArredondamento&lt;&gt;"TransfereGOV",
ROUND(OFFSET($P54,0,AP$13),15-13*ORÇAMENTO!$AF$7)/$H54*OFFSET(ORÇAMENTO!$X$15,ROW(AP54)-ROW(AP$15),0),
ROUND(ROUND(OFFSET($P54,0,AP$13),15-13*ORÇAMENTO!$AF$7)*OFFSET(ORÇAMENTO!$W$15,ROW(AP54)-ROW(AP$15),0),15-13*ORÇAMENTO!$AF$11)),0)</f>
        <v>0</v>
      </c>
      <c r="AQ54" s="545">
        <f ca="1">IF(AND($D54="Serviço",AQ$12&lt;&gt;0,$H54&gt;0,OR(AUTOEVENTO&lt;&gt;"manual",$M54&lt;&gt;1)),
IF(Import.TipoArredondamento&lt;&gt;"TransfereGOV",
ROUND(OFFSET($P54,0,AQ$13),15-13*ORÇAMENTO!$AF$7)/$H54*OFFSET(ORÇAMENTO!$X$15,ROW(AQ54)-ROW(AQ$15),0),
ROUND(ROUND(OFFSET($P54,0,AQ$13),15-13*ORÇAMENTO!$AF$7)*OFFSET(ORÇAMENTO!$W$15,ROW(AQ54)-ROW(AQ$15),0),15-13*ORÇAMENTO!$AF$11)),0)</f>
        <v>0</v>
      </c>
      <c r="AR54" s="545">
        <f ca="1">IF(AND($D54="Serviço",AR$12&lt;&gt;0,$H54&gt;0,OR(AUTOEVENTO&lt;&gt;"manual",$M54&lt;&gt;1)),
IF(Import.TipoArredondamento&lt;&gt;"TransfereGOV",
ROUND(OFFSET($P54,0,AR$13),15-13*ORÇAMENTO!$AF$7)/$H54*OFFSET(ORÇAMENTO!$X$15,ROW(AR54)-ROW(AR$15),0),
ROUND(ROUND(OFFSET($P54,0,AR$13),15-13*ORÇAMENTO!$AF$7)*OFFSET(ORÇAMENTO!$W$15,ROW(AR54)-ROW(AR$15),0),15-13*ORÇAMENTO!$AF$11)),0)</f>
        <v>0</v>
      </c>
      <c r="AS54" s="546">
        <f ca="1">IF(AND($D54="Serviço",AS$12&lt;&gt;0,$H54&gt;0,OR(AUTOEVENTO&lt;&gt;"manual",$M54&lt;&gt;1)),
IF(Import.TipoArredondamento&lt;&gt;"TransfereGOV",
ROUND(OFFSET($P54,0,AS$13),15-13*ORÇAMENTO!$AF$7)/$H54*OFFSET(ORÇAMENTO!$X$15,ROW(AS54)-ROW(AS$15),0),
ROUND(ROUND(OFFSET($P54,0,AS$13),15-13*ORÇAMENTO!$AF$7)*OFFSET(ORÇAMENTO!$W$15,ROW(AS54)-ROW(AS$15),0),15-13*ORÇAMENTO!$AF$11)),0)</f>
        <v>0</v>
      </c>
      <c r="AT54" s="545">
        <f ca="1">IF(AND($D54="Serviço",AT$12&lt;&gt;0,$H54&gt;0,OR(AUTOEVENTO&lt;&gt;"manual",$M54&lt;&gt;1)),
IF(Import.TipoArredondamento&lt;&gt;"TransfereGOV",
ROUND(OFFSET($P54,0,AT$13),15-13*ORÇAMENTO!$AF$7)/$H54*OFFSET(ORÇAMENTO!$X$15,ROW(AT54)-ROW(AT$15),0),
ROUND(ROUND(OFFSET($P54,0,AT$13),15-13*ORÇAMENTO!$AF$7)*OFFSET(ORÇAMENTO!$W$15,ROW(AT54)-ROW(AT$15),0),15-13*ORÇAMENTO!$AF$11)),0)</f>
        <v>0</v>
      </c>
      <c r="AU54" s="545">
        <f ca="1">IF(AND($D54="Serviço",AU$12&lt;&gt;0,$H54&gt;0,OR(AUTOEVENTO&lt;&gt;"manual",$M54&lt;&gt;1)),
IF(Import.TipoArredondamento&lt;&gt;"TransfereGOV",
ROUND(OFFSET($P54,0,AU$13),15-13*ORÇAMENTO!$AF$7)/$H54*OFFSET(ORÇAMENTO!$X$15,ROW(AU54)-ROW(AU$15),0),
ROUND(ROUND(OFFSET($P54,0,AU$13),15-13*ORÇAMENTO!$AF$7)*OFFSET(ORÇAMENTO!$W$15,ROW(AU54)-ROW(AU$15),0),15-13*ORÇAMENTO!$AF$11)),0)</f>
        <v>0</v>
      </c>
      <c r="AV54" s="545">
        <f ca="1">IF(AND($D54="Serviço",AV$12&lt;&gt;0,$H54&gt;0,OR(AUTOEVENTO&lt;&gt;"manual",$M54&lt;&gt;1)),
IF(Import.TipoArredondamento&lt;&gt;"TransfereGOV",
ROUND(OFFSET($P54,0,AV$13),15-13*ORÇAMENTO!$AF$7)/$H54*OFFSET(ORÇAMENTO!$X$15,ROW(AV54)-ROW(AV$15),0),
ROUND(ROUND(OFFSET($P54,0,AV$13),15-13*ORÇAMENTO!$AF$7)*OFFSET(ORÇAMENTO!$W$15,ROW(AV54)-ROW(AV$15),0),15-13*ORÇAMENTO!$AF$11)),0)</f>
        <v>0</v>
      </c>
      <c r="AW54" s="545">
        <f ca="1">IF(AND($D54="Serviço",AW$12&lt;&gt;0,$H54&gt;0,OR(AUTOEVENTO&lt;&gt;"manual",$M54&lt;&gt;1)),
IF(Import.TipoArredondamento&lt;&gt;"TransfereGOV",
ROUND(OFFSET($P54,0,AW$13),15-13*ORÇAMENTO!$AF$7)/$H54*OFFSET(ORÇAMENTO!$X$15,ROW(AW54)-ROW(AW$15),0),
ROUND(ROUND(OFFSET($P54,0,AW$13),15-13*ORÇAMENTO!$AF$7)*OFFSET(ORÇAMENTO!$W$15,ROW(AW54)-ROW(AW$15),0),15-13*ORÇAMENTO!$AF$11)),0)</f>
        <v>0</v>
      </c>
      <c r="AX54" s="545">
        <f ca="1">IF(AND($D54="Serviço",AX$12&lt;&gt;0,$H54&gt;0,OR(AUTOEVENTO&lt;&gt;"manual",$M54&lt;&gt;1)),
IF(Import.TipoArredondamento&lt;&gt;"TransfereGOV",
ROUND(OFFSET($P54,0,AX$13),15-13*ORÇAMENTO!$AF$7)/$H54*OFFSET(ORÇAMENTO!$X$15,ROW(AX54)-ROW(AX$15),0),
ROUND(ROUND(OFFSET($P54,0,AX$13),15-13*ORÇAMENTO!$AF$7)*OFFSET(ORÇAMENTO!$W$15,ROW(AX54)-ROW(AX$15),0),15-13*ORÇAMENTO!$AF$11)),0)</f>
        <v>0</v>
      </c>
      <c r="AY54" s="545">
        <f ca="1">IF(AND($D54="Serviço",AY$12&lt;&gt;0,$H54&gt;0,OR(AUTOEVENTO&lt;&gt;"manual",$M54&lt;&gt;1)),
IF(Import.TipoArredondamento&lt;&gt;"TransfereGOV",
ROUND(OFFSET($P54,0,AY$13),15-13*ORÇAMENTO!$AF$7)/$H54*OFFSET(ORÇAMENTO!$X$15,ROW(AY54)-ROW(AY$15),0),
ROUND(ROUND(OFFSET($P54,0,AY$13),15-13*ORÇAMENTO!$AF$7)*OFFSET(ORÇAMENTO!$W$15,ROW(AY54)-ROW(AY$15),0),15-13*ORÇAMENTO!$AF$11)),0)</f>
        <v>0</v>
      </c>
      <c r="AZ54" s="545">
        <f ca="1">IF(AND($D54="Serviço",AZ$12&lt;&gt;0,$H54&gt;0,OR(AUTOEVENTO&lt;&gt;"manual",$M54&lt;&gt;1)),
IF(Import.TipoArredondamento&lt;&gt;"TransfereGOV",
ROUND(OFFSET($P54,0,AZ$13),15-13*ORÇAMENTO!$AF$7)/$H54*OFFSET(ORÇAMENTO!$X$15,ROW(AZ54)-ROW(AZ$15),0),
ROUND(ROUND(OFFSET($P54,0,AZ$13),15-13*ORÇAMENTO!$AF$7)*OFFSET(ORÇAMENTO!$W$15,ROW(AZ54)-ROW(AZ$15),0),15-13*ORÇAMENTO!$AF$11)),0)</f>
        <v>0</v>
      </c>
      <c r="BA54" s="546">
        <f ca="1">IF(AND($D54="Serviço",BA$12&lt;&gt;0,$H54&gt;0,OR(AUTOEVENTO&lt;&gt;"manual",$M54&lt;&gt;1)),
IF(Import.TipoArredondamento&lt;&gt;"TransfereGOV",
ROUND(OFFSET($P54,0,BA$13),15-13*ORÇAMENTO!$AF$7)/$H54*OFFSET(ORÇAMENTO!$X$15,ROW(BA54)-ROW(BA$15),0),
ROUND(ROUND(OFFSET($P54,0,BA$13),15-13*ORÇAMENTO!$AF$7)*OFFSET(ORÇAMENTO!$W$15,ROW(BA54)-ROW(BA$15),0),15-13*ORÇAMENTO!$AF$11)),0)</f>
        <v>0</v>
      </c>
      <c r="BC54" s="181">
        <f ca="1">IF($D54&lt;&gt;"Serviço",0,IF(AND(AUTOEVENTO="Manual",$M54=1),0,IF(OFFSET(CRONOPLE!$F$14,$M54,BC$13)="",10^12,OFFSET(CRONOPLE!$F$14,$M54,BC$13))))</f>
        <v>2</v>
      </c>
      <c r="BD54" s="181">
        <f ca="1">IF($D54&lt;&gt;"Serviço",0,IF(AND(AUTOEVENTO="Manual",$M54=1),0,IF(OFFSET(CRONOPLE!$F$14,$M54,BD$13)="",10^12,OFFSET(CRONOPLE!$F$14,$M54,BD$13))))</f>
        <v>1000000000000</v>
      </c>
      <c r="BE54" s="181">
        <f ca="1">IF($D54&lt;&gt;"Serviço",0,IF(AND(AUTOEVENTO="Manual",$M54=1),0,IF(OFFSET(CRONOPLE!$F$14,$M54,BE$13)="",10^12,OFFSET(CRONOPLE!$F$14,$M54,BE$13))))</f>
        <v>1000000000000</v>
      </c>
      <c r="BF54" s="181">
        <f ca="1">IF($D54&lt;&gt;"Serviço",0,IF(AND(AUTOEVENTO="Manual",$M54=1),0,IF(OFFSET(CRONOPLE!$F$14,$M54,BF$13)="",10^12,OFFSET(CRONOPLE!$F$14,$M54,BF$13))))</f>
        <v>1000000000000</v>
      </c>
      <c r="BG54" s="181">
        <f ca="1">IF($D54&lt;&gt;"Serviço",0,IF(AND(AUTOEVENTO="Manual",$M54=1),0,IF(OFFSET(CRONOPLE!$F$14,$M54,BG$13)="",10^12,OFFSET(CRONOPLE!$F$14,$M54,BG$13))))</f>
        <v>1000000000000</v>
      </c>
      <c r="BH54" s="181">
        <f ca="1">IF($D54&lt;&gt;"Serviço",0,IF(AND(AUTOEVENTO="Manual",$M54=1),0,IF(OFFSET(CRONOPLE!$F$14,$M54,BH$13)="",10^12,OFFSET(CRONOPLE!$F$14,$M54,BH$13))))</f>
        <v>1000000000000</v>
      </c>
      <c r="BI54" s="181">
        <f ca="1">IF($D54&lt;&gt;"Serviço",0,IF(AND(AUTOEVENTO="Manual",$M54=1),0,IF(OFFSET(CRONOPLE!$F$14,$M54,BI$13)="",10^12,OFFSET(CRONOPLE!$F$14,$M54,BI$13))))</f>
        <v>1000000000000</v>
      </c>
      <c r="BJ54" s="181">
        <f ca="1">IF($D54&lt;&gt;"Serviço",0,IF(AND(AUTOEVENTO="Manual",$M54=1),0,IF(OFFSET(CRONOPLE!$F$14,$M54,BJ$13)="",10^12,OFFSET(CRONOPLE!$F$14,$M54,BJ$13))))</f>
        <v>1000000000000</v>
      </c>
      <c r="BK54" s="181">
        <f ca="1">IF($D54&lt;&gt;"Serviço",0,IF(AND(AUTOEVENTO="Manual",$M54=1),0,IF(OFFSET(CRONOPLE!$F$14,$M54,BK$13)="",10^12,OFFSET(CRONOPLE!$F$14,$M54,BK$13))))</f>
        <v>1000000000000</v>
      </c>
      <c r="BL54" s="181">
        <f ca="1">IF($D54&lt;&gt;"Serviço",0,IF(AND(AUTOEVENTO="Manual",$M54=1),0,IF(OFFSET(CRONOPLE!$F$14,$M54,BL$13)="",10^12,OFFSET(CRONOPLE!$F$14,$M54,BL$13))))</f>
        <v>1000000000000</v>
      </c>
      <c r="BM54" s="181">
        <f ca="1">IF($D54&lt;&gt;"Serviço",0,IF(AND(AUTOEVENTO="Manual",$M54=1),0,IF(OFFSET(CRONOPLE!$F$14,$M54,BM$13)="",10^12,OFFSET(CRONOPLE!$F$14,$M54,BM$13))))</f>
        <v>1000000000000</v>
      </c>
      <c r="BN54" s="181">
        <f ca="1">IF($D54&lt;&gt;"Serviço",0,IF(AND(AUTOEVENTO="Manual",$M54=1),0,IF(OFFSET(CRONOPLE!$F$14,$M54,BN$13)="",10^12,OFFSET(CRONOPLE!$F$14,$M54,BN$13))))</f>
        <v>1000000000000</v>
      </c>
      <c r="BO54" s="181">
        <f ca="1">IF($D54&lt;&gt;"Serviço",0,IF(AND(AUTOEVENTO="Manual",$M54=1),0,IF(OFFSET(CRONOPLE!$F$14,$M54,BO$13)="",10^12,OFFSET(CRONOPLE!$F$14,$M54,BO$13))))</f>
        <v>1000000000000</v>
      </c>
      <c r="BP54" s="181">
        <f ca="1">IF($D54&lt;&gt;"Serviço",0,IF(AND(AUTOEVENTO="Manual",$M54=1),0,IF(OFFSET(CRONOPLE!$F$14,$M54,BP$13)="",10^12,OFFSET(CRONOPLE!$F$14,$M54,BP$13))))</f>
        <v>1000000000000</v>
      </c>
      <c r="BQ54" s="181">
        <f ca="1">IF($D54&lt;&gt;"Serviço",0,IF(AND(AUTOEVENTO="Manual",$M54=1),0,IF(OFFSET(CRONOPLE!$F$14,$M54,BQ$13)="",10^12,OFFSET(CRONOPLE!$F$14,$M54,BQ$13))))</f>
        <v>1000000000000</v>
      </c>
      <c r="BR54" s="181">
        <f ca="1">IF($D54&lt;&gt;"Serviço",0,IF(AND(AUTOEVENTO="Manual",$M54=1),0,IF(OFFSET(CRONOPLE!$F$14,$M54,BR$13)="",10^12,OFFSET(CRONOPLE!$F$14,$M54,BR$13))))</f>
        <v>1000000000000</v>
      </c>
      <c r="BS54" s="181">
        <f ca="1">IF($D54&lt;&gt;"Serviço",0,IF(AND(AUTOEVENTO="Manual",$M54=1),0,IF(OFFSET(CRONOPLE!$F$14,$M54,BS$13)="",10^12,OFFSET(CRONOPLE!$F$14,$M54,BS$13))))</f>
        <v>1000000000000</v>
      </c>
      <c r="BT54" s="181">
        <f ca="1">IF($D54&lt;&gt;"Serviço",0,IF(AND(AUTOEVENTO="Manual",$M54=1),0,IF(OFFSET(CRONOPLE!$F$14,$M54,BT$13)="",10^12,OFFSET(CRONOPLE!$F$14,$M54,BT$13))))</f>
        <v>1000000000000</v>
      </c>
      <c r="BV54" s="182">
        <f ca="1">IF($D54&lt;&gt;"Serviço",0,IF(OR(AND(AUTOEVENTO="Manual",$M54=1),$M54&gt;(ROW(PLE.lastrow)-ROW(PLE.firstrow))),0,IF(OFFSET(PLE!$G$14,$M54,BV$13)="",10^12,OFFSET(PLE!$G$14,$M54,BV$13))))</f>
        <v>1000000000000</v>
      </c>
      <c r="BW54" s="182">
        <f ca="1">IF($D54&lt;&gt;"Serviço",0,IF(OR(AND(AUTOEVENTO="Manual",$M54=1),$M54&gt;(ROW(PLE.lastrow)-ROW(PLE.firstrow))),0,IF(OFFSET(PLE!$G$14,$M54,BW$13)="",10^12,OFFSET(PLE!$G$14,$M54,BW$13))))</f>
        <v>1000000000000</v>
      </c>
      <c r="BX54" s="182">
        <f ca="1">IF($D54&lt;&gt;"Serviço",0,IF(OR(AND(AUTOEVENTO="Manual",$M54=1),$M54&gt;(ROW(PLE.lastrow)-ROW(PLE.firstrow))),0,IF(OFFSET(PLE!$G$14,$M54,BX$13)="",10^12,OFFSET(PLE!$G$14,$M54,BX$13))))</f>
        <v>1000000000000</v>
      </c>
      <c r="BY54" s="182">
        <f ca="1">IF($D54&lt;&gt;"Serviço",0,IF(OR(AND(AUTOEVENTO="Manual",$M54=1),$M54&gt;(ROW(PLE.lastrow)-ROW(PLE.firstrow))),0,IF(OFFSET(PLE!$G$14,$M54,BY$13)="",10^12,OFFSET(PLE!$G$14,$M54,BY$13))))</f>
        <v>1000000000000</v>
      </c>
      <c r="BZ54" s="182">
        <f ca="1">IF($D54&lt;&gt;"Serviço",0,IF(OR(AND(AUTOEVENTO="Manual",$M54=1),$M54&gt;(ROW(PLE.lastrow)-ROW(PLE.firstrow))),0,IF(OFFSET(PLE!$G$14,$M54,BZ$13)="",10^12,OFFSET(PLE!$G$14,$M54,BZ$13))))</f>
        <v>1000000000000</v>
      </c>
      <c r="CA54" s="182">
        <f ca="1">IF($D54&lt;&gt;"Serviço",0,IF(OR(AND(AUTOEVENTO="Manual",$M54=1),$M54&gt;(ROW(PLE.lastrow)-ROW(PLE.firstrow))),0,IF(OFFSET(PLE!$G$14,$M54,CA$13)="",10^12,OFFSET(PLE!$G$14,$M54,CA$13))))</f>
        <v>1000000000000</v>
      </c>
      <c r="CB54" s="182">
        <f ca="1">IF($D54&lt;&gt;"Serviço",0,IF(OR(AND(AUTOEVENTO="Manual",$M54=1),$M54&gt;(ROW(PLE.lastrow)-ROW(PLE.firstrow))),0,IF(OFFSET(PLE!$G$14,$M54,CB$13)="",10^12,OFFSET(PLE!$G$14,$M54,CB$13))))</f>
        <v>1000000000000</v>
      </c>
      <c r="CC54" s="182">
        <f ca="1">IF($D54&lt;&gt;"Serviço",0,IF(OR(AND(AUTOEVENTO="Manual",$M54=1),$M54&gt;(ROW(PLE.lastrow)-ROW(PLE.firstrow))),0,IF(OFFSET(PLE!$G$14,$M54,CC$13)="",10^12,OFFSET(PLE!$G$14,$M54,CC$13))))</f>
        <v>1000000000000</v>
      </c>
      <c r="CD54" s="182">
        <f ca="1">IF($D54&lt;&gt;"Serviço",0,IF(OR(AND(AUTOEVENTO="Manual",$M54=1),$M54&gt;(ROW(PLE.lastrow)-ROW(PLE.firstrow))),0,IF(OFFSET(PLE!$G$14,$M54,CD$13)="",10^12,OFFSET(PLE!$G$14,$M54,CD$13))))</f>
        <v>1000000000000</v>
      </c>
      <c r="CE54" s="182">
        <f ca="1">IF($D54&lt;&gt;"Serviço",0,IF(OR(AND(AUTOEVENTO="Manual",$M54=1),$M54&gt;(ROW(PLE.lastrow)-ROW(PLE.firstrow))),0,IF(OFFSET(PLE!$G$14,$M54,CE$13)="",10^12,OFFSET(PLE!$G$14,$M54,CE$13))))</f>
        <v>1000000000000</v>
      </c>
      <c r="CF54" s="182">
        <f ca="1">IF($D54&lt;&gt;"Serviço",0,IF(OR(AND(AUTOEVENTO="Manual",$M54=1),$M54&gt;(ROW(PLE.lastrow)-ROW(PLE.firstrow))),0,IF(OFFSET(PLE!$G$14,$M54,CF$13)="",10^12,OFFSET(PLE!$G$14,$M54,CF$13))))</f>
        <v>1000000000000</v>
      </c>
      <c r="CG54" s="182">
        <f ca="1">IF($D54&lt;&gt;"Serviço",0,IF(OR(AND(AUTOEVENTO="Manual",$M54=1),$M54&gt;(ROW(PLE.lastrow)-ROW(PLE.firstrow))),0,IF(OFFSET(PLE!$G$14,$M54,CG$13)="",10^12,OFFSET(PLE!$G$14,$M54,CG$13))))</f>
        <v>1000000000000</v>
      </c>
      <c r="CH54" s="182">
        <f ca="1">IF($D54&lt;&gt;"Serviço",0,IF(OR(AND(AUTOEVENTO="Manual",$M54=1),$M54&gt;(ROW(PLE.lastrow)-ROW(PLE.firstrow))),0,IF(OFFSET(PLE!$G$14,$M54,CH$13)="",10^12,OFFSET(PLE!$G$14,$M54,CH$13))))</f>
        <v>1000000000000</v>
      </c>
      <c r="CI54" s="182">
        <f ca="1">IF($D54&lt;&gt;"Serviço",0,IF(OR(AND(AUTOEVENTO="Manual",$M54=1),$M54&gt;(ROW(PLE.lastrow)-ROW(PLE.firstrow))),0,IF(OFFSET(PLE!$G$14,$M54,CI$13)="",10^12,OFFSET(PLE!$G$14,$M54,CI$13))))</f>
        <v>1000000000000</v>
      </c>
      <c r="CJ54" s="182">
        <f ca="1">IF($D54&lt;&gt;"Serviço",0,IF(OR(AND(AUTOEVENTO="Manual",$M54=1),$M54&gt;(ROW(PLE.lastrow)-ROW(PLE.firstrow))),0,IF(OFFSET(PLE!$G$14,$M54,CJ$13)="",10^12,OFFSET(PLE!$G$14,$M54,CJ$13))))</f>
        <v>1000000000000</v>
      </c>
      <c r="CK54" s="182">
        <f ca="1">IF($D54&lt;&gt;"Serviço",0,IF(OR(AND(AUTOEVENTO="Manual",$M54=1),$M54&gt;(ROW(PLE.lastrow)-ROW(PLE.firstrow))),0,IF(OFFSET(PLE!$G$14,$M54,CK$13)="",10^12,OFFSET(PLE!$G$14,$M54,CK$13))))</f>
        <v>1000000000000</v>
      </c>
      <c r="CL54" s="182">
        <f ca="1">IF($D54&lt;&gt;"Serviço",0,IF(OR(AND(AUTOEVENTO="Manual",$M54=1),$M54&gt;(ROW(PLE.lastrow)-ROW(PLE.firstrow))),0,IF(OFFSET(PLE!$G$14,$M54,CL$13)="",10^12,OFFSET(PLE!$G$14,$M54,CL$13))))</f>
        <v>1000000000000</v>
      </c>
      <c r="CM54" s="182">
        <f ca="1">IF($D54&lt;&gt;"Serviço",0,IF(OR(AND(AUTOEVENTO="Manual",$M54=1),$M54&gt;(ROW(PLE.lastrow)-ROW(PLE.firstrow))),0,IF(OFFSET(PLE!$G$14,$M54,CM$13)="",10^12,OFFSET(PLE!$G$14,$M54,CM$13))))</f>
        <v>1000000000000</v>
      </c>
    </row>
    <row r="55" spans="1:91" ht="38.25" x14ac:dyDescent="0.2">
      <c r="A55" s="7" t="str">
        <f t="shared" ca="1" si="9"/>
        <v>32</v>
      </c>
      <c r="B55" s="7" t="str">
        <f ca="1">OFFSET(ORÇAMENTO!C$15,ROW(B55)-ROW(B$15),0)</f>
        <v>S</v>
      </c>
      <c r="C55" s="7" t="str">
        <f ca="1">OFFSET(ORÇAMENTO!L$15,ROW(C55)-ROW(C$15),0)</f>
        <v/>
      </c>
      <c r="D55" s="118" t="str">
        <f ca="1">OFFSET(ORÇAMENTO!N$15,ROW(D55)-ROW(D$15),0)</f>
        <v>Serviço</v>
      </c>
      <c r="E55" s="119" t="str">
        <f ca="1">OFFSET(ORÇAMENTO!O$15,ROW(E55)-ROW(E$15),0)</f>
        <v>-</v>
      </c>
      <c r="F55" s="172" t="str">
        <f ca="1">OFFSET(ORÇAMENTO!R$15,ROW(F55)-ROW(F$15),0)</f>
        <v>(abra o arquivo 'Referência 06-2024.xlsm)</v>
      </c>
      <c r="G55" s="173" t="str">
        <f ca="1">IF($D55&lt;&gt;"Serviço","",OFFSET(ORÇAMENTO!S$15,ROW(G55)-ROW(G$15),0))</f>
        <v>-</v>
      </c>
      <c r="H55" s="124">
        <f ca="1">IF($D55&lt;&gt;"Serviço",0,IF(ACOMPANHAMENTO="BM",ROUND(OFFSET(ORÇAMENTO!AJ$15,ROW(H55)-ROW(H$15),0),15-13*ORÇAMENTO!$AF$7),SUMPRODUCT(($Q$12:$AI$12&lt;&gt;"")*ROUND($Q55:$AI55,15-13*ORÇAMENTO!$AF$7))))</f>
        <v>41.38</v>
      </c>
      <c r="I55" s="561" t="s">
        <v>1107</v>
      </c>
      <c r="K55" s="174" t="s">
        <v>1027</v>
      </c>
      <c r="L55" s="175" t="s">
        <v>255</v>
      </c>
      <c r="M55" s="176">
        <f ca="1">IF($D55&lt;&gt;"Serviço","",IF(AUTOEVENTO="manual",$A55,IF(ISERROR(MATCH($A55,$A$15:OFFSET($A55,-1,0),0)),MAX($M$15:OFFSET(M55,-1,0))+1,INDEX($M$15:OFFSET(M55,-1,0),MATCH($A55,$A$15:OFFSET($A55,-1,0),0)))))</f>
        <v>8</v>
      </c>
      <c r="N55" s="177" t="str">
        <f ca="1">IF($D55&lt;&gt;"Serviço","",IF(AUTOEVENTO="Manual",IF($A55=0,"&lt;-- defina o número do agrupador",OFFSET(EVENTOS!$D$14,$A55,0)),OFFSET($F$15,$A55,0)))</f>
        <v>FUNDAÇÕES - CONCRETO ARMADO PARA BLOCOS</v>
      </c>
      <c r="O55" s="178"/>
      <c r="Q55" s="178">
        <v>41.38</v>
      </c>
      <c r="R55" s="179"/>
      <c r="S55" s="179"/>
      <c r="T55" s="179"/>
      <c r="U55" s="179"/>
      <c r="V55" s="179"/>
      <c r="W55" s="179"/>
      <c r="X55" s="179"/>
      <c r="Y55" s="179"/>
      <c r="Z55" s="180"/>
      <c r="AA55" s="179"/>
      <c r="AB55" s="179"/>
      <c r="AC55" s="179"/>
      <c r="AD55" s="179"/>
      <c r="AE55" s="179"/>
      <c r="AF55" s="179"/>
      <c r="AG55" s="179"/>
      <c r="AH55" s="180"/>
      <c r="AJ55" s="544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545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L55" s="545">
        <f ca="1">IF(AND($D55="Serviço",AL$12&lt;&gt;0,$H55&gt;0,OR(AUTOEVENTO&lt;&gt;"manual",$M55&lt;&gt;1)),
IF(Import.TipoArredondamento&lt;&gt;"TransfereGOV",
ROUND(OFFSET($P55,0,AL$13),15-13*ORÇAMENTO!$AF$7)/$H55*OFFSET(ORÇAMENTO!$X$15,ROW(AL55)-ROW(AL$15),0),
ROUND(ROUND(OFFSET($P55,0,AL$13),15-13*ORÇAMENTO!$AF$7)*OFFSET(ORÇAMENTO!$W$15,ROW(AL55)-ROW(AL$15),0),15-13*ORÇAMENTO!$AF$11)),0)</f>
        <v>0</v>
      </c>
      <c r="AM55" s="545">
        <f ca="1">IF(AND($D55="Serviço",AM$12&lt;&gt;0,$H55&gt;0,OR(AUTOEVENTO&lt;&gt;"manual",$M55&lt;&gt;1)),
IF(Import.TipoArredondamento&lt;&gt;"TransfereGOV",
ROUND(OFFSET($P55,0,AM$13),15-13*ORÇAMENTO!$AF$7)/$H55*OFFSET(ORÇAMENTO!$X$15,ROW(AM55)-ROW(AM$15),0),
ROUND(ROUND(OFFSET($P55,0,AM$13),15-13*ORÇAMENTO!$AF$7)*OFFSET(ORÇAMENTO!$W$15,ROW(AM55)-ROW(AM$15),0),15-13*ORÇAMENTO!$AF$11)),0)</f>
        <v>0</v>
      </c>
      <c r="AN55" s="545">
        <f ca="1">IF(AND($D55="Serviço",AN$12&lt;&gt;0,$H55&gt;0,OR(AUTOEVENTO&lt;&gt;"manual",$M55&lt;&gt;1)),
IF(Import.TipoArredondamento&lt;&gt;"TransfereGOV",
ROUND(OFFSET($P55,0,AN$13),15-13*ORÇAMENTO!$AF$7)/$H55*OFFSET(ORÇAMENTO!$X$15,ROW(AN55)-ROW(AN$15),0),
ROUND(ROUND(OFFSET($P55,0,AN$13),15-13*ORÇAMENTO!$AF$7)*OFFSET(ORÇAMENTO!$W$15,ROW(AN55)-ROW(AN$15),0),15-13*ORÇAMENTO!$AF$11)),0)</f>
        <v>0</v>
      </c>
      <c r="AO55" s="545">
        <f ca="1">IF(AND($D55="Serviço",AO$12&lt;&gt;0,$H55&gt;0,OR(AUTOEVENTO&lt;&gt;"manual",$M55&lt;&gt;1)),
IF(Import.TipoArredondamento&lt;&gt;"TransfereGOV",
ROUND(OFFSET($P55,0,AO$13),15-13*ORÇAMENTO!$AF$7)/$H55*OFFSET(ORÇAMENTO!$X$15,ROW(AO55)-ROW(AO$15),0),
ROUND(ROUND(OFFSET($P55,0,AO$13),15-13*ORÇAMENTO!$AF$7)*OFFSET(ORÇAMENTO!$W$15,ROW(AO55)-ROW(AO$15),0),15-13*ORÇAMENTO!$AF$11)),0)</f>
        <v>0</v>
      </c>
      <c r="AP55" s="545">
        <f ca="1">IF(AND($D55="Serviço",AP$12&lt;&gt;0,$H55&gt;0,OR(AUTOEVENTO&lt;&gt;"manual",$M55&lt;&gt;1)),
IF(Import.TipoArredondamento&lt;&gt;"TransfereGOV",
ROUND(OFFSET($P55,0,AP$13),15-13*ORÇAMENTO!$AF$7)/$H55*OFFSET(ORÇAMENTO!$X$15,ROW(AP55)-ROW(AP$15),0),
ROUND(ROUND(OFFSET($P55,0,AP$13),15-13*ORÇAMENTO!$AF$7)*OFFSET(ORÇAMENTO!$W$15,ROW(AP55)-ROW(AP$15),0),15-13*ORÇAMENTO!$AF$11)),0)</f>
        <v>0</v>
      </c>
      <c r="AQ55" s="545">
        <f ca="1">IF(AND($D55="Serviço",AQ$12&lt;&gt;0,$H55&gt;0,OR(AUTOEVENTO&lt;&gt;"manual",$M55&lt;&gt;1)),
IF(Import.TipoArredondamento&lt;&gt;"TransfereGOV",
ROUND(OFFSET($P55,0,AQ$13),15-13*ORÇAMENTO!$AF$7)/$H55*OFFSET(ORÇAMENTO!$X$15,ROW(AQ55)-ROW(AQ$15),0),
ROUND(ROUND(OFFSET($P55,0,AQ$13),15-13*ORÇAMENTO!$AF$7)*OFFSET(ORÇAMENTO!$W$15,ROW(AQ55)-ROW(AQ$15),0),15-13*ORÇAMENTO!$AF$11)),0)</f>
        <v>0</v>
      </c>
      <c r="AR55" s="545">
        <f ca="1">IF(AND($D55="Serviço",AR$12&lt;&gt;0,$H55&gt;0,OR(AUTOEVENTO&lt;&gt;"manual",$M55&lt;&gt;1)),
IF(Import.TipoArredondamento&lt;&gt;"TransfereGOV",
ROUND(OFFSET($P55,0,AR$13),15-13*ORÇAMENTO!$AF$7)/$H55*OFFSET(ORÇAMENTO!$X$15,ROW(AR55)-ROW(AR$15),0),
ROUND(ROUND(OFFSET($P55,0,AR$13),15-13*ORÇAMENTO!$AF$7)*OFFSET(ORÇAMENTO!$W$15,ROW(AR55)-ROW(AR$15),0),15-13*ORÇAMENTO!$AF$11)),0)</f>
        <v>0</v>
      </c>
      <c r="AS55" s="546">
        <f ca="1">IF(AND($D55="Serviço",AS$12&lt;&gt;0,$H55&gt;0,OR(AUTOEVENTO&lt;&gt;"manual",$M55&lt;&gt;1)),
IF(Import.TipoArredondamento&lt;&gt;"TransfereGOV",
ROUND(OFFSET($P55,0,AS$13),15-13*ORÇAMENTO!$AF$7)/$H55*OFFSET(ORÇAMENTO!$X$15,ROW(AS55)-ROW(AS$15),0),
ROUND(ROUND(OFFSET($P55,0,AS$13),15-13*ORÇAMENTO!$AF$7)*OFFSET(ORÇAMENTO!$W$15,ROW(AS55)-ROW(AS$15),0),15-13*ORÇAMENTO!$AF$11)),0)</f>
        <v>0</v>
      </c>
      <c r="AT55" s="545">
        <f ca="1">IF(AND($D55="Serviço",AT$12&lt;&gt;0,$H55&gt;0,OR(AUTOEVENTO&lt;&gt;"manual",$M55&lt;&gt;1)),
IF(Import.TipoArredondamento&lt;&gt;"TransfereGOV",
ROUND(OFFSET($P55,0,AT$13),15-13*ORÇAMENTO!$AF$7)/$H55*OFFSET(ORÇAMENTO!$X$15,ROW(AT55)-ROW(AT$15),0),
ROUND(ROUND(OFFSET($P55,0,AT$13),15-13*ORÇAMENTO!$AF$7)*OFFSET(ORÇAMENTO!$W$15,ROW(AT55)-ROW(AT$15),0),15-13*ORÇAMENTO!$AF$11)),0)</f>
        <v>0</v>
      </c>
      <c r="AU55" s="545">
        <f ca="1">IF(AND($D55="Serviço",AU$12&lt;&gt;0,$H55&gt;0,OR(AUTOEVENTO&lt;&gt;"manual",$M55&lt;&gt;1)),
IF(Import.TipoArredondamento&lt;&gt;"TransfereGOV",
ROUND(OFFSET($P55,0,AU$13),15-13*ORÇAMENTO!$AF$7)/$H55*OFFSET(ORÇAMENTO!$X$15,ROW(AU55)-ROW(AU$15),0),
ROUND(ROUND(OFFSET($P55,0,AU$13),15-13*ORÇAMENTO!$AF$7)*OFFSET(ORÇAMENTO!$W$15,ROW(AU55)-ROW(AU$15),0),15-13*ORÇAMENTO!$AF$11)),0)</f>
        <v>0</v>
      </c>
      <c r="AV55" s="545">
        <f ca="1">IF(AND($D55="Serviço",AV$12&lt;&gt;0,$H55&gt;0,OR(AUTOEVENTO&lt;&gt;"manual",$M55&lt;&gt;1)),
IF(Import.TipoArredondamento&lt;&gt;"TransfereGOV",
ROUND(OFFSET($P55,0,AV$13),15-13*ORÇAMENTO!$AF$7)/$H55*OFFSET(ORÇAMENTO!$X$15,ROW(AV55)-ROW(AV$15),0),
ROUND(ROUND(OFFSET($P55,0,AV$13),15-13*ORÇAMENTO!$AF$7)*OFFSET(ORÇAMENTO!$W$15,ROW(AV55)-ROW(AV$15),0),15-13*ORÇAMENTO!$AF$11)),0)</f>
        <v>0</v>
      </c>
      <c r="AW55" s="545">
        <f ca="1">IF(AND($D55="Serviço",AW$12&lt;&gt;0,$H55&gt;0,OR(AUTOEVENTO&lt;&gt;"manual",$M55&lt;&gt;1)),
IF(Import.TipoArredondamento&lt;&gt;"TransfereGOV",
ROUND(OFFSET($P55,0,AW$13),15-13*ORÇAMENTO!$AF$7)/$H55*OFFSET(ORÇAMENTO!$X$15,ROW(AW55)-ROW(AW$15),0),
ROUND(ROUND(OFFSET($P55,0,AW$13),15-13*ORÇAMENTO!$AF$7)*OFFSET(ORÇAMENTO!$W$15,ROW(AW55)-ROW(AW$15),0),15-13*ORÇAMENTO!$AF$11)),0)</f>
        <v>0</v>
      </c>
      <c r="AX55" s="545">
        <f ca="1">IF(AND($D55="Serviço",AX$12&lt;&gt;0,$H55&gt;0,OR(AUTOEVENTO&lt;&gt;"manual",$M55&lt;&gt;1)),
IF(Import.TipoArredondamento&lt;&gt;"TransfereGOV",
ROUND(OFFSET($P55,0,AX$13),15-13*ORÇAMENTO!$AF$7)/$H55*OFFSET(ORÇAMENTO!$X$15,ROW(AX55)-ROW(AX$15),0),
ROUND(ROUND(OFFSET($P55,0,AX$13),15-13*ORÇAMENTO!$AF$7)*OFFSET(ORÇAMENTO!$W$15,ROW(AX55)-ROW(AX$15),0),15-13*ORÇAMENTO!$AF$11)),0)</f>
        <v>0</v>
      </c>
      <c r="AY55" s="545">
        <f ca="1">IF(AND($D55="Serviço",AY$12&lt;&gt;0,$H55&gt;0,OR(AUTOEVENTO&lt;&gt;"manual",$M55&lt;&gt;1)),
IF(Import.TipoArredondamento&lt;&gt;"TransfereGOV",
ROUND(OFFSET($P55,0,AY$13),15-13*ORÇAMENTO!$AF$7)/$H55*OFFSET(ORÇAMENTO!$X$15,ROW(AY55)-ROW(AY$15),0),
ROUND(ROUND(OFFSET($P55,0,AY$13),15-13*ORÇAMENTO!$AF$7)*OFFSET(ORÇAMENTO!$W$15,ROW(AY55)-ROW(AY$15),0),15-13*ORÇAMENTO!$AF$11)),0)</f>
        <v>0</v>
      </c>
      <c r="AZ55" s="545">
        <f ca="1">IF(AND($D55="Serviço",AZ$12&lt;&gt;0,$H55&gt;0,OR(AUTOEVENTO&lt;&gt;"manual",$M55&lt;&gt;1)),
IF(Import.TipoArredondamento&lt;&gt;"TransfereGOV",
ROUND(OFFSET($P55,0,AZ$13),15-13*ORÇAMENTO!$AF$7)/$H55*OFFSET(ORÇAMENTO!$X$15,ROW(AZ55)-ROW(AZ$15),0),
ROUND(ROUND(OFFSET($P55,0,AZ$13),15-13*ORÇAMENTO!$AF$7)*OFFSET(ORÇAMENTO!$W$15,ROW(AZ55)-ROW(AZ$15),0),15-13*ORÇAMENTO!$AF$11)),0)</f>
        <v>0</v>
      </c>
      <c r="BA55" s="546">
        <f ca="1">IF(AND($D55="Serviço",BA$12&lt;&gt;0,$H55&gt;0,OR(AUTOEVENTO&lt;&gt;"manual",$M55&lt;&gt;1)),
IF(Import.TipoArredondamento&lt;&gt;"TransfereGOV",
ROUND(OFFSET($P55,0,BA$13),15-13*ORÇAMENTO!$AF$7)/$H55*OFFSET(ORÇAMENTO!$X$15,ROW(BA55)-ROW(BA$15),0),
ROUND(ROUND(OFFSET($P55,0,BA$13),15-13*ORÇAMENTO!$AF$7)*OFFSET(ORÇAMENTO!$W$15,ROW(BA55)-ROW(BA$15),0),15-13*ORÇAMENTO!$AF$11)),0)</f>
        <v>0</v>
      </c>
      <c r="BC55" s="181">
        <f ca="1">IF($D55&lt;&gt;"Serviço",0,IF(AND(AUTOEVENTO="Manual",$M55=1),0,IF(OFFSET(CRONOPLE!$F$14,$M55,BC$13)="",10^12,OFFSET(CRONOPLE!$F$14,$M55,BC$13))))</f>
        <v>2</v>
      </c>
      <c r="BD55" s="181">
        <f ca="1">IF($D55&lt;&gt;"Serviço",0,IF(AND(AUTOEVENTO="Manual",$M55=1),0,IF(OFFSET(CRONOPLE!$F$14,$M55,BD$13)="",10^12,OFFSET(CRONOPLE!$F$14,$M55,BD$13))))</f>
        <v>1000000000000</v>
      </c>
      <c r="BE55" s="181">
        <f ca="1">IF($D55&lt;&gt;"Serviço",0,IF(AND(AUTOEVENTO="Manual",$M55=1),0,IF(OFFSET(CRONOPLE!$F$14,$M55,BE$13)="",10^12,OFFSET(CRONOPLE!$F$14,$M55,BE$13))))</f>
        <v>1000000000000</v>
      </c>
      <c r="BF55" s="181">
        <f ca="1">IF($D55&lt;&gt;"Serviço",0,IF(AND(AUTOEVENTO="Manual",$M55=1),0,IF(OFFSET(CRONOPLE!$F$14,$M55,BF$13)="",10^12,OFFSET(CRONOPLE!$F$14,$M55,BF$13))))</f>
        <v>1000000000000</v>
      </c>
      <c r="BG55" s="181">
        <f ca="1">IF($D55&lt;&gt;"Serviço",0,IF(AND(AUTOEVENTO="Manual",$M55=1),0,IF(OFFSET(CRONOPLE!$F$14,$M55,BG$13)="",10^12,OFFSET(CRONOPLE!$F$14,$M55,BG$13))))</f>
        <v>1000000000000</v>
      </c>
      <c r="BH55" s="181">
        <f ca="1">IF($D55&lt;&gt;"Serviço",0,IF(AND(AUTOEVENTO="Manual",$M55=1),0,IF(OFFSET(CRONOPLE!$F$14,$M55,BH$13)="",10^12,OFFSET(CRONOPLE!$F$14,$M55,BH$13))))</f>
        <v>1000000000000</v>
      </c>
      <c r="BI55" s="181">
        <f ca="1">IF($D55&lt;&gt;"Serviço",0,IF(AND(AUTOEVENTO="Manual",$M55=1),0,IF(OFFSET(CRONOPLE!$F$14,$M55,BI$13)="",10^12,OFFSET(CRONOPLE!$F$14,$M55,BI$13))))</f>
        <v>1000000000000</v>
      </c>
      <c r="BJ55" s="181">
        <f ca="1">IF($D55&lt;&gt;"Serviço",0,IF(AND(AUTOEVENTO="Manual",$M55=1),0,IF(OFFSET(CRONOPLE!$F$14,$M55,BJ$13)="",10^12,OFFSET(CRONOPLE!$F$14,$M55,BJ$13))))</f>
        <v>1000000000000</v>
      </c>
      <c r="BK55" s="181">
        <f ca="1">IF($D55&lt;&gt;"Serviço",0,IF(AND(AUTOEVENTO="Manual",$M55=1),0,IF(OFFSET(CRONOPLE!$F$14,$M55,BK$13)="",10^12,OFFSET(CRONOPLE!$F$14,$M55,BK$13))))</f>
        <v>1000000000000</v>
      </c>
      <c r="BL55" s="181">
        <f ca="1">IF($D55&lt;&gt;"Serviço",0,IF(AND(AUTOEVENTO="Manual",$M55=1),0,IF(OFFSET(CRONOPLE!$F$14,$M55,BL$13)="",10^12,OFFSET(CRONOPLE!$F$14,$M55,BL$13))))</f>
        <v>1000000000000</v>
      </c>
      <c r="BM55" s="181">
        <f ca="1">IF($D55&lt;&gt;"Serviço",0,IF(AND(AUTOEVENTO="Manual",$M55=1),0,IF(OFFSET(CRONOPLE!$F$14,$M55,BM$13)="",10^12,OFFSET(CRONOPLE!$F$14,$M55,BM$13))))</f>
        <v>1000000000000</v>
      </c>
      <c r="BN55" s="181">
        <f ca="1">IF($D55&lt;&gt;"Serviço",0,IF(AND(AUTOEVENTO="Manual",$M55=1),0,IF(OFFSET(CRONOPLE!$F$14,$M55,BN$13)="",10^12,OFFSET(CRONOPLE!$F$14,$M55,BN$13))))</f>
        <v>1000000000000</v>
      </c>
      <c r="BO55" s="181">
        <f ca="1">IF($D55&lt;&gt;"Serviço",0,IF(AND(AUTOEVENTO="Manual",$M55=1),0,IF(OFFSET(CRONOPLE!$F$14,$M55,BO$13)="",10^12,OFFSET(CRONOPLE!$F$14,$M55,BO$13))))</f>
        <v>1000000000000</v>
      </c>
      <c r="BP55" s="181">
        <f ca="1">IF($D55&lt;&gt;"Serviço",0,IF(AND(AUTOEVENTO="Manual",$M55=1),0,IF(OFFSET(CRONOPLE!$F$14,$M55,BP$13)="",10^12,OFFSET(CRONOPLE!$F$14,$M55,BP$13))))</f>
        <v>1000000000000</v>
      </c>
      <c r="BQ55" s="181">
        <f ca="1">IF($D55&lt;&gt;"Serviço",0,IF(AND(AUTOEVENTO="Manual",$M55=1),0,IF(OFFSET(CRONOPLE!$F$14,$M55,BQ$13)="",10^12,OFFSET(CRONOPLE!$F$14,$M55,BQ$13))))</f>
        <v>1000000000000</v>
      </c>
      <c r="BR55" s="181">
        <f ca="1">IF($D55&lt;&gt;"Serviço",0,IF(AND(AUTOEVENTO="Manual",$M55=1),0,IF(OFFSET(CRONOPLE!$F$14,$M55,BR$13)="",10^12,OFFSET(CRONOPLE!$F$14,$M55,BR$13))))</f>
        <v>1000000000000</v>
      </c>
      <c r="BS55" s="181">
        <f ca="1">IF($D55&lt;&gt;"Serviço",0,IF(AND(AUTOEVENTO="Manual",$M55=1),0,IF(OFFSET(CRONOPLE!$F$14,$M55,BS$13)="",10^12,OFFSET(CRONOPLE!$F$14,$M55,BS$13))))</f>
        <v>1000000000000</v>
      </c>
      <c r="BT55" s="181">
        <f ca="1">IF($D55&lt;&gt;"Serviço",0,IF(AND(AUTOEVENTO="Manual",$M55=1),0,IF(OFFSET(CRONOPLE!$F$14,$M55,BT$13)="",10^12,OFFSET(CRONOPLE!$F$14,$M55,BT$13))))</f>
        <v>1000000000000</v>
      </c>
      <c r="BV55" s="182">
        <f ca="1">IF($D55&lt;&gt;"Serviço",0,IF(OR(AND(AUTOEVENTO="Manual",$M55=1),$M55&gt;(ROW(PLE.lastrow)-ROW(PLE.firstrow))),0,IF(OFFSET(PLE!$G$14,$M55,BV$13)="",10^12,OFFSET(PLE!$G$14,$M55,BV$13))))</f>
        <v>1000000000000</v>
      </c>
      <c r="BW55" s="182">
        <f ca="1">IF($D55&lt;&gt;"Serviço",0,IF(OR(AND(AUTOEVENTO="Manual",$M55=1),$M55&gt;(ROW(PLE.lastrow)-ROW(PLE.firstrow))),0,IF(OFFSET(PLE!$G$14,$M55,BW$13)="",10^12,OFFSET(PLE!$G$14,$M55,BW$13))))</f>
        <v>1000000000000</v>
      </c>
      <c r="BX55" s="182">
        <f ca="1">IF($D55&lt;&gt;"Serviço",0,IF(OR(AND(AUTOEVENTO="Manual",$M55=1),$M55&gt;(ROW(PLE.lastrow)-ROW(PLE.firstrow))),0,IF(OFFSET(PLE!$G$14,$M55,BX$13)="",10^12,OFFSET(PLE!$G$14,$M55,BX$13))))</f>
        <v>1000000000000</v>
      </c>
      <c r="BY55" s="182">
        <f ca="1">IF($D55&lt;&gt;"Serviço",0,IF(OR(AND(AUTOEVENTO="Manual",$M55=1),$M55&gt;(ROW(PLE.lastrow)-ROW(PLE.firstrow))),0,IF(OFFSET(PLE!$G$14,$M55,BY$13)="",10^12,OFFSET(PLE!$G$14,$M55,BY$13))))</f>
        <v>1000000000000</v>
      </c>
      <c r="BZ55" s="182">
        <f ca="1">IF($D55&lt;&gt;"Serviço",0,IF(OR(AND(AUTOEVENTO="Manual",$M55=1),$M55&gt;(ROW(PLE.lastrow)-ROW(PLE.firstrow))),0,IF(OFFSET(PLE!$G$14,$M55,BZ$13)="",10^12,OFFSET(PLE!$G$14,$M55,BZ$13))))</f>
        <v>1000000000000</v>
      </c>
      <c r="CA55" s="182">
        <f ca="1">IF($D55&lt;&gt;"Serviço",0,IF(OR(AND(AUTOEVENTO="Manual",$M55=1),$M55&gt;(ROW(PLE.lastrow)-ROW(PLE.firstrow))),0,IF(OFFSET(PLE!$G$14,$M55,CA$13)="",10^12,OFFSET(PLE!$G$14,$M55,CA$13))))</f>
        <v>1000000000000</v>
      </c>
      <c r="CB55" s="182">
        <f ca="1">IF($D55&lt;&gt;"Serviço",0,IF(OR(AND(AUTOEVENTO="Manual",$M55=1),$M55&gt;(ROW(PLE.lastrow)-ROW(PLE.firstrow))),0,IF(OFFSET(PLE!$G$14,$M55,CB$13)="",10^12,OFFSET(PLE!$G$14,$M55,CB$13))))</f>
        <v>1000000000000</v>
      </c>
      <c r="CC55" s="182">
        <f ca="1">IF($D55&lt;&gt;"Serviço",0,IF(OR(AND(AUTOEVENTO="Manual",$M55=1),$M55&gt;(ROW(PLE.lastrow)-ROW(PLE.firstrow))),0,IF(OFFSET(PLE!$G$14,$M55,CC$13)="",10^12,OFFSET(PLE!$G$14,$M55,CC$13))))</f>
        <v>1000000000000</v>
      </c>
      <c r="CD55" s="182">
        <f ca="1">IF($D55&lt;&gt;"Serviço",0,IF(OR(AND(AUTOEVENTO="Manual",$M55=1),$M55&gt;(ROW(PLE.lastrow)-ROW(PLE.firstrow))),0,IF(OFFSET(PLE!$G$14,$M55,CD$13)="",10^12,OFFSET(PLE!$G$14,$M55,CD$13))))</f>
        <v>1000000000000</v>
      </c>
      <c r="CE55" s="182">
        <f ca="1">IF($D55&lt;&gt;"Serviço",0,IF(OR(AND(AUTOEVENTO="Manual",$M55=1),$M55&gt;(ROW(PLE.lastrow)-ROW(PLE.firstrow))),0,IF(OFFSET(PLE!$G$14,$M55,CE$13)="",10^12,OFFSET(PLE!$G$14,$M55,CE$13))))</f>
        <v>1000000000000</v>
      </c>
      <c r="CF55" s="182">
        <f ca="1">IF($D55&lt;&gt;"Serviço",0,IF(OR(AND(AUTOEVENTO="Manual",$M55=1),$M55&gt;(ROW(PLE.lastrow)-ROW(PLE.firstrow))),0,IF(OFFSET(PLE!$G$14,$M55,CF$13)="",10^12,OFFSET(PLE!$G$14,$M55,CF$13))))</f>
        <v>1000000000000</v>
      </c>
      <c r="CG55" s="182">
        <f ca="1">IF($D55&lt;&gt;"Serviço",0,IF(OR(AND(AUTOEVENTO="Manual",$M55=1),$M55&gt;(ROW(PLE.lastrow)-ROW(PLE.firstrow))),0,IF(OFFSET(PLE!$G$14,$M55,CG$13)="",10^12,OFFSET(PLE!$G$14,$M55,CG$13))))</f>
        <v>1000000000000</v>
      </c>
      <c r="CH55" s="182">
        <f ca="1">IF($D55&lt;&gt;"Serviço",0,IF(OR(AND(AUTOEVENTO="Manual",$M55=1),$M55&gt;(ROW(PLE.lastrow)-ROW(PLE.firstrow))),0,IF(OFFSET(PLE!$G$14,$M55,CH$13)="",10^12,OFFSET(PLE!$G$14,$M55,CH$13))))</f>
        <v>1000000000000</v>
      </c>
      <c r="CI55" s="182">
        <f ca="1">IF($D55&lt;&gt;"Serviço",0,IF(OR(AND(AUTOEVENTO="Manual",$M55=1),$M55&gt;(ROW(PLE.lastrow)-ROW(PLE.firstrow))),0,IF(OFFSET(PLE!$G$14,$M55,CI$13)="",10^12,OFFSET(PLE!$G$14,$M55,CI$13))))</f>
        <v>1000000000000</v>
      </c>
      <c r="CJ55" s="182">
        <f ca="1">IF($D55&lt;&gt;"Serviço",0,IF(OR(AND(AUTOEVENTO="Manual",$M55=1),$M55&gt;(ROW(PLE.lastrow)-ROW(PLE.firstrow))),0,IF(OFFSET(PLE!$G$14,$M55,CJ$13)="",10^12,OFFSET(PLE!$G$14,$M55,CJ$13))))</f>
        <v>1000000000000</v>
      </c>
      <c r="CK55" s="182">
        <f ca="1">IF($D55&lt;&gt;"Serviço",0,IF(OR(AND(AUTOEVENTO="Manual",$M55=1),$M55&gt;(ROW(PLE.lastrow)-ROW(PLE.firstrow))),0,IF(OFFSET(PLE!$G$14,$M55,CK$13)="",10^12,OFFSET(PLE!$G$14,$M55,CK$13))))</f>
        <v>1000000000000</v>
      </c>
      <c r="CL55" s="182">
        <f ca="1">IF($D55&lt;&gt;"Serviço",0,IF(OR(AND(AUTOEVENTO="Manual",$M55=1),$M55&gt;(ROW(PLE.lastrow)-ROW(PLE.firstrow))),0,IF(OFFSET(PLE!$G$14,$M55,CL$13)="",10^12,OFFSET(PLE!$G$14,$M55,CL$13))))</f>
        <v>1000000000000</v>
      </c>
      <c r="CM55" s="182">
        <f ca="1">IF($D55&lt;&gt;"Serviço",0,IF(OR(AND(AUTOEVENTO="Manual",$M55=1),$M55&gt;(ROW(PLE.lastrow)-ROW(PLE.firstrow))),0,IF(OFFSET(PLE!$G$14,$M55,CM$13)="",10^12,OFFSET(PLE!$G$14,$M55,CM$13))))</f>
        <v>1000000000000</v>
      </c>
    </row>
    <row r="56" spans="1:91" ht="25.5" x14ac:dyDescent="0.2">
      <c r="A56" s="7" t="str">
        <f t="shared" ca="1" si="9"/>
        <v>32</v>
      </c>
      <c r="B56" s="7" t="str">
        <f ca="1">OFFSET(ORÇAMENTO!C$15,ROW(B56)-ROW(B$15),0)</f>
        <v>S</v>
      </c>
      <c r="C56" s="7" t="str">
        <f ca="1">OFFSET(ORÇAMENTO!L$15,ROW(C56)-ROW(C$15),0)</f>
        <v/>
      </c>
      <c r="D56" s="118" t="str">
        <f ca="1">OFFSET(ORÇAMENTO!N$15,ROW(D56)-ROW(D$15),0)</f>
        <v>Serviço</v>
      </c>
      <c r="E56" s="119" t="str">
        <f ca="1">OFFSET(ORÇAMENTO!O$15,ROW(E56)-ROW(E$15),0)</f>
        <v>-</v>
      </c>
      <c r="F56" s="172" t="str">
        <f ca="1">OFFSET(ORÇAMENTO!R$15,ROW(F56)-ROW(F$15),0)</f>
        <v>(abra o arquivo 'Referência 06-2024.xlsm)</v>
      </c>
      <c r="G56" s="173" t="str">
        <f ca="1">IF($D56&lt;&gt;"Serviço","",OFFSET(ORÇAMENTO!S$15,ROW(G56)-ROW(G$15),0))</f>
        <v>-</v>
      </c>
      <c r="H56" s="124">
        <f ca="1">IF($D56&lt;&gt;"Serviço",0,IF(ACOMPANHAMENTO="BM",ROUND(OFFSET(ORÇAMENTO!AJ$15,ROW(H56)-ROW(H$15),0),15-13*ORÇAMENTO!$AF$7),SUMPRODUCT(($Q$12:$AI$12&lt;&gt;"")*ROUND($Q56:$AI56,15-13*ORÇAMENTO!$AF$7))))</f>
        <v>14.11</v>
      </c>
      <c r="I56" s="561" t="s">
        <v>1107</v>
      </c>
      <c r="K56" s="174" t="s">
        <v>1027</v>
      </c>
      <c r="L56" s="175" t="s">
        <v>255</v>
      </c>
      <c r="M56" s="176">
        <f ca="1">IF($D56&lt;&gt;"Serviço","",IF(AUTOEVENTO="manual",$A56,IF(ISERROR(MATCH($A56,$A$15:OFFSET($A56,-1,0),0)),MAX($M$15:OFFSET(M56,-1,0))+1,INDEX($M$15:OFFSET(M56,-1,0),MATCH($A56,$A$15:OFFSET($A56,-1,0),0)))))</f>
        <v>8</v>
      </c>
      <c r="N56" s="177" t="str">
        <f ca="1">IF($D56&lt;&gt;"Serviço","",IF(AUTOEVENTO="Manual",IF($A56=0,"&lt;-- defina o número do agrupador",OFFSET(EVENTOS!$D$14,$A56,0)),OFFSET($F$15,$A56,0)))</f>
        <v>FUNDAÇÕES - CONCRETO ARMADO PARA BLOCOS</v>
      </c>
      <c r="O56" s="178"/>
      <c r="Q56" s="178">
        <v>14.11</v>
      </c>
      <c r="R56" s="179"/>
      <c r="S56" s="179"/>
      <c r="T56" s="179"/>
      <c r="U56" s="179"/>
      <c r="V56" s="179"/>
      <c r="W56" s="179"/>
      <c r="X56" s="179"/>
      <c r="Y56" s="179"/>
      <c r="Z56" s="180"/>
      <c r="AA56" s="179"/>
      <c r="AB56" s="179"/>
      <c r="AC56" s="179"/>
      <c r="AD56" s="179"/>
      <c r="AE56" s="179"/>
      <c r="AF56" s="179"/>
      <c r="AG56" s="179"/>
      <c r="AH56" s="180"/>
      <c r="AJ56" s="544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545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L56" s="545">
        <f ca="1">IF(AND($D56="Serviço",AL$12&lt;&gt;0,$H56&gt;0,OR(AUTOEVENTO&lt;&gt;"manual",$M56&lt;&gt;1)),
IF(Import.TipoArredondamento&lt;&gt;"TransfereGOV",
ROUND(OFFSET($P56,0,AL$13),15-13*ORÇAMENTO!$AF$7)/$H56*OFFSET(ORÇAMENTO!$X$15,ROW(AL56)-ROW(AL$15),0),
ROUND(ROUND(OFFSET($P56,0,AL$13),15-13*ORÇAMENTO!$AF$7)*OFFSET(ORÇAMENTO!$W$15,ROW(AL56)-ROW(AL$15),0),15-13*ORÇAMENTO!$AF$11)),0)</f>
        <v>0</v>
      </c>
      <c r="AM56" s="545">
        <f ca="1">IF(AND($D56="Serviço",AM$12&lt;&gt;0,$H56&gt;0,OR(AUTOEVENTO&lt;&gt;"manual",$M56&lt;&gt;1)),
IF(Import.TipoArredondamento&lt;&gt;"TransfereGOV",
ROUND(OFFSET($P56,0,AM$13),15-13*ORÇAMENTO!$AF$7)/$H56*OFFSET(ORÇAMENTO!$X$15,ROW(AM56)-ROW(AM$15),0),
ROUND(ROUND(OFFSET($P56,0,AM$13),15-13*ORÇAMENTO!$AF$7)*OFFSET(ORÇAMENTO!$W$15,ROW(AM56)-ROW(AM$15),0),15-13*ORÇAMENTO!$AF$11)),0)</f>
        <v>0</v>
      </c>
      <c r="AN56" s="545">
        <f ca="1">IF(AND($D56="Serviço",AN$12&lt;&gt;0,$H56&gt;0,OR(AUTOEVENTO&lt;&gt;"manual",$M56&lt;&gt;1)),
IF(Import.TipoArredondamento&lt;&gt;"TransfereGOV",
ROUND(OFFSET($P56,0,AN$13),15-13*ORÇAMENTO!$AF$7)/$H56*OFFSET(ORÇAMENTO!$X$15,ROW(AN56)-ROW(AN$15),0),
ROUND(ROUND(OFFSET($P56,0,AN$13),15-13*ORÇAMENTO!$AF$7)*OFFSET(ORÇAMENTO!$W$15,ROW(AN56)-ROW(AN$15),0),15-13*ORÇAMENTO!$AF$11)),0)</f>
        <v>0</v>
      </c>
      <c r="AO56" s="545">
        <f ca="1">IF(AND($D56="Serviço",AO$12&lt;&gt;0,$H56&gt;0,OR(AUTOEVENTO&lt;&gt;"manual",$M56&lt;&gt;1)),
IF(Import.TipoArredondamento&lt;&gt;"TransfereGOV",
ROUND(OFFSET($P56,0,AO$13),15-13*ORÇAMENTO!$AF$7)/$H56*OFFSET(ORÇAMENTO!$X$15,ROW(AO56)-ROW(AO$15),0),
ROUND(ROUND(OFFSET($P56,0,AO$13),15-13*ORÇAMENTO!$AF$7)*OFFSET(ORÇAMENTO!$W$15,ROW(AO56)-ROW(AO$15),0),15-13*ORÇAMENTO!$AF$11)),0)</f>
        <v>0</v>
      </c>
      <c r="AP56" s="545">
        <f ca="1">IF(AND($D56="Serviço",AP$12&lt;&gt;0,$H56&gt;0,OR(AUTOEVENTO&lt;&gt;"manual",$M56&lt;&gt;1)),
IF(Import.TipoArredondamento&lt;&gt;"TransfereGOV",
ROUND(OFFSET($P56,0,AP$13),15-13*ORÇAMENTO!$AF$7)/$H56*OFFSET(ORÇAMENTO!$X$15,ROW(AP56)-ROW(AP$15),0),
ROUND(ROUND(OFFSET($P56,0,AP$13),15-13*ORÇAMENTO!$AF$7)*OFFSET(ORÇAMENTO!$W$15,ROW(AP56)-ROW(AP$15),0),15-13*ORÇAMENTO!$AF$11)),0)</f>
        <v>0</v>
      </c>
      <c r="AQ56" s="545">
        <f ca="1">IF(AND($D56="Serviço",AQ$12&lt;&gt;0,$H56&gt;0,OR(AUTOEVENTO&lt;&gt;"manual",$M56&lt;&gt;1)),
IF(Import.TipoArredondamento&lt;&gt;"TransfereGOV",
ROUND(OFFSET($P56,0,AQ$13),15-13*ORÇAMENTO!$AF$7)/$H56*OFFSET(ORÇAMENTO!$X$15,ROW(AQ56)-ROW(AQ$15),0),
ROUND(ROUND(OFFSET($P56,0,AQ$13),15-13*ORÇAMENTO!$AF$7)*OFFSET(ORÇAMENTO!$W$15,ROW(AQ56)-ROW(AQ$15),0),15-13*ORÇAMENTO!$AF$11)),0)</f>
        <v>0</v>
      </c>
      <c r="AR56" s="545">
        <f ca="1">IF(AND($D56="Serviço",AR$12&lt;&gt;0,$H56&gt;0,OR(AUTOEVENTO&lt;&gt;"manual",$M56&lt;&gt;1)),
IF(Import.TipoArredondamento&lt;&gt;"TransfereGOV",
ROUND(OFFSET($P56,0,AR$13),15-13*ORÇAMENTO!$AF$7)/$H56*OFFSET(ORÇAMENTO!$X$15,ROW(AR56)-ROW(AR$15),0),
ROUND(ROUND(OFFSET($P56,0,AR$13),15-13*ORÇAMENTO!$AF$7)*OFFSET(ORÇAMENTO!$W$15,ROW(AR56)-ROW(AR$15),0),15-13*ORÇAMENTO!$AF$11)),0)</f>
        <v>0</v>
      </c>
      <c r="AS56" s="546">
        <f ca="1">IF(AND($D56="Serviço",AS$12&lt;&gt;0,$H56&gt;0,OR(AUTOEVENTO&lt;&gt;"manual",$M56&lt;&gt;1)),
IF(Import.TipoArredondamento&lt;&gt;"TransfereGOV",
ROUND(OFFSET($P56,0,AS$13),15-13*ORÇAMENTO!$AF$7)/$H56*OFFSET(ORÇAMENTO!$X$15,ROW(AS56)-ROW(AS$15),0),
ROUND(ROUND(OFFSET($P56,0,AS$13),15-13*ORÇAMENTO!$AF$7)*OFFSET(ORÇAMENTO!$W$15,ROW(AS56)-ROW(AS$15),0),15-13*ORÇAMENTO!$AF$11)),0)</f>
        <v>0</v>
      </c>
      <c r="AT56" s="545">
        <f ca="1">IF(AND($D56="Serviço",AT$12&lt;&gt;0,$H56&gt;0,OR(AUTOEVENTO&lt;&gt;"manual",$M56&lt;&gt;1)),
IF(Import.TipoArredondamento&lt;&gt;"TransfereGOV",
ROUND(OFFSET($P56,0,AT$13),15-13*ORÇAMENTO!$AF$7)/$H56*OFFSET(ORÇAMENTO!$X$15,ROW(AT56)-ROW(AT$15),0),
ROUND(ROUND(OFFSET($P56,0,AT$13),15-13*ORÇAMENTO!$AF$7)*OFFSET(ORÇAMENTO!$W$15,ROW(AT56)-ROW(AT$15),0),15-13*ORÇAMENTO!$AF$11)),0)</f>
        <v>0</v>
      </c>
      <c r="AU56" s="545">
        <f ca="1">IF(AND($D56="Serviço",AU$12&lt;&gt;0,$H56&gt;0,OR(AUTOEVENTO&lt;&gt;"manual",$M56&lt;&gt;1)),
IF(Import.TipoArredondamento&lt;&gt;"TransfereGOV",
ROUND(OFFSET($P56,0,AU$13),15-13*ORÇAMENTO!$AF$7)/$H56*OFFSET(ORÇAMENTO!$X$15,ROW(AU56)-ROW(AU$15),0),
ROUND(ROUND(OFFSET($P56,0,AU$13),15-13*ORÇAMENTO!$AF$7)*OFFSET(ORÇAMENTO!$W$15,ROW(AU56)-ROW(AU$15),0),15-13*ORÇAMENTO!$AF$11)),0)</f>
        <v>0</v>
      </c>
      <c r="AV56" s="545">
        <f ca="1">IF(AND($D56="Serviço",AV$12&lt;&gt;0,$H56&gt;0,OR(AUTOEVENTO&lt;&gt;"manual",$M56&lt;&gt;1)),
IF(Import.TipoArredondamento&lt;&gt;"TransfereGOV",
ROUND(OFFSET($P56,0,AV$13),15-13*ORÇAMENTO!$AF$7)/$H56*OFFSET(ORÇAMENTO!$X$15,ROW(AV56)-ROW(AV$15),0),
ROUND(ROUND(OFFSET($P56,0,AV$13),15-13*ORÇAMENTO!$AF$7)*OFFSET(ORÇAMENTO!$W$15,ROW(AV56)-ROW(AV$15),0),15-13*ORÇAMENTO!$AF$11)),0)</f>
        <v>0</v>
      </c>
      <c r="AW56" s="545">
        <f ca="1">IF(AND($D56="Serviço",AW$12&lt;&gt;0,$H56&gt;0,OR(AUTOEVENTO&lt;&gt;"manual",$M56&lt;&gt;1)),
IF(Import.TipoArredondamento&lt;&gt;"TransfereGOV",
ROUND(OFFSET($P56,0,AW$13),15-13*ORÇAMENTO!$AF$7)/$H56*OFFSET(ORÇAMENTO!$X$15,ROW(AW56)-ROW(AW$15),0),
ROUND(ROUND(OFFSET($P56,0,AW$13),15-13*ORÇAMENTO!$AF$7)*OFFSET(ORÇAMENTO!$W$15,ROW(AW56)-ROW(AW$15),0),15-13*ORÇAMENTO!$AF$11)),0)</f>
        <v>0</v>
      </c>
      <c r="AX56" s="545">
        <f ca="1">IF(AND($D56="Serviço",AX$12&lt;&gt;0,$H56&gt;0,OR(AUTOEVENTO&lt;&gt;"manual",$M56&lt;&gt;1)),
IF(Import.TipoArredondamento&lt;&gt;"TransfereGOV",
ROUND(OFFSET($P56,0,AX$13),15-13*ORÇAMENTO!$AF$7)/$H56*OFFSET(ORÇAMENTO!$X$15,ROW(AX56)-ROW(AX$15),0),
ROUND(ROUND(OFFSET($P56,0,AX$13),15-13*ORÇAMENTO!$AF$7)*OFFSET(ORÇAMENTO!$W$15,ROW(AX56)-ROW(AX$15),0),15-13*ORÇAMENTO!$AF$11)),0)</f>
        <v>0</v>
      </c>
      <c r="AY56" s="545">
        <f ca="1">IF(AND($D56="Serviço",AY$12&lt;&gt;0,$H56&gt;0,OR(AUTOEVENTO&lt;&gt;"manual",$M56&lt;&gt;1)),
IF(Import.TipoArredondamento&lt;&gt;"TransfereGOV",
ROUND(OFFSET($P56,0,AY$13),15-13*ORÇAMENTO!$AF$7)/$H56*OFFSET(ORÇAMENTO!$X$15,ROW(AY56)-ROW(AY$15),0),
ROUND(ROUND(OFFSET($P56,0,AY$13),15-13*ORÇAMENTO!$AF$7)*OFFSET(ORÇAMENTO!$W$15,ROW(AY56)-ROW(AY$15),0),15-13*ORÇAMENTO!$AF$11)),0)</f>
        <v>0</v>
      </c>
      <c r="AZ56" s="545">
        <f ca="1">IF(AND($D56="Serviço",AZ$12&lt;&gt;0,$H56&gt;0,OR(AUTOEVENTO&lt;&gt;"manual",$M56&lt;&gt;1)),
IF(Import.TipoArredondamento&lt;&gt;"TransfereGOV",
ROUND(OFFSET($P56,0,AZ$13),15-13*ORÇAMENTO!$AF$7)/$H56*OFFSET(ORÇAMENTO!$X$15,ROW(AZ56)-ROW(AZ$15),0),
ROUND(ROUND(OFFSET($P56,0,AZ$13),15-13*ORÇAMENTO!$AF$7)*OFFSET(ORÇAMENTO!$W$15,ROW(AZ56)-ROW(AZ$15),0),15-13*ORÇAMENTO!$AF$11)),0)</f>
        <v>0</v>
      </c>
      <c r="BA56" s="546">
        <f ca="1">IF(AND($D56="Serviço",BA$12&lt;&gt;0,$H56&gt;0,OR(AUTOEVENTO&lt;&gt;"manual",$M56&lt;&gt;1)),
IF(Import.TipoArredondamento&lt;&gt;"TransfereGOV",
ROUND(OFFSET($P56,0,BA$13),15-13*ORÇAMENTO!$AF$7)/$H56*OFFSET(ORÇAMENTO!$X$15,ROW(BA56)-ROW(BA$15),0),
ROUND(ROUND(OFFSET($P56,0,BA$13),15-13*ORÇAMENTO!$AF$7)*OFFSET(ORÇAMENTO!$W$15,ROW(BA56)-ROW(BA$15),0),15-13*ORÇAMENTO!$AF$11)),0)</f>
        <v>0</v>
      </c>
      <c r="BC56" s="181">
        <f ca="1">IF($D56&lt;&gt;"Serviço",0,IF(AND(AUTOEVENTO="Manual",$M56=1),0,IF(OFFSET(CRONOPLE!$F$14,$M56,BC$13)="",10^12,OFFSET(CRONOPLE!$F$14,$M56,BC$13))))</f>
        <v>2</v>
      </c>
      <c r="BD56" s="181">
        <f ca="1">IF($D56&lt;&gt;"Serviço",0,IF(AND(AUTOEVENTO="Manual",$M56=1),0,IF(OFFSET(CRONOPLE!$F$14,$M56,BD$13)="",10^12,OFFSET(CRONOPLE!$F$14,$M56,BD$13))))</f>
        <v>1000000000000</v>
      </c>
      <c r="BE56" s="181">
        <f ca="1">IF($D56&lt;&gt;"Serviço",0,IF(AND(AUTOEVENTO="Manual",$M56=1),0,IF(OFFSET(CRONOPLE!$F$14,$M56,BE$13)="",10^12,OFFSET(CRONOPLE!$F$14,$M56,BE$13))))</f>
        <v>1000000000000</v>
      </c>
      <c r="BF56" s="181">
        <f ca="1">IF($D56&lt;&gt;"Serviço",0,IF(AND(AUTOEVENTO="Manual",$M56=1),0,IF(OFFSET(CRONOPLE!$F$14,$M56,BF$13)="",10^12,OFFSET(CRONOPLE!$F$14,$M56,BF$13))))</f>
        <v>1000000000000</v>
      </c>
      <c r="BG56" s="181">
        <f ca="1">IF($D56&lt;&gt;"Serviço",0,IF(AND(AUTOEVENTO="Manual",$M56=1),0,IF(OFFSET(CRONOPLE!$F$14,$M56,BG$13)="",10^12,OFFSET(CRONOPLE!$F$14,$M56,BG$13))))</f>
        <v>1000000000000</v>
      </c>
      <c r="BH56" s="181">
        <f ca="1">IF($D56&lt;&gt;"Serviço",0,IF(AND(AUTOEVENTO="Manual",$M56=1),0,IF(OFFSET(CRONOPLE!$F$14,$M56,BH$13)="",10^12,OFFSET(CRONOPLE!$F$14,$M56,BH$13))))</f>
        <v>1000000000000</v>
      </c>
      <c r="BI56" s="181">
        <f ca="1">IF($D56&lt;&gt;"Serviço",0,IF(AND(AUTOEVENTO="Manual",$M56=1),0,IF(OFFSET(CRONOPLE!$F$14,$M56,BI$13)="",10^12,OFFSET(CRONOPLE!$F$14,$M56,BI$13))))</f>
        <v>1000000000000</v>
      </c>
      <c r="BJ56" s="181">
        <f ca="1">IF($D56&lt;&gt;"Serviço",0,IF(AND(AUTOEVENTO="Manual",$M56=1),0,IF(OFFSET(CRONOPLE!$F$14,$M56,BJ$13)="",10^12,OFFSET(CRONOPLE!$F$14,$M56,BJ$13))))</f>
        <v>1000000000000</v>
      </c>
      <c r="BK56" s="181">
        <f ca="1">IF($D56&lt;&gt;"Serviço",0,IF(AND(AUTOEVENTO="Manual",$M56=1),0,IF(OFFSET(CRONOPLE!$F$14,$M56,BK$13)="",10^12,OFFSET(CRONOPLE!$F$14,$M56,BK$13))))</f>
        <v>1000000000000</v>
      </c>
      <c r="BL56" s="181">
        <f ca="1">IF($D56&lt;&gt;"Serviço",0,IF(AND(AUTOEVENTO="Manual",$M56=1),0,IF(OFFSET(CRONOPLE!$F$14,$M56,BL$13)="",10^12,OFFSET(CRONOPLE!$F$14,$M56,BL$13))))</f>
        <v>1000000000000</v>
      </c>
      <c r="BM56" s="181">
        <f ca="1">IF($D56&lt;&gt;"Serviço",0,IF(AND(AUTOEVENTO="Manual",$M56=1),0,IF(OFFSET(CRONOPLE!$F$14,$M56,BM$13)="",10^12,OFFSET(CRONOPLE!$F$14,$M56,BM$13))))</f>
        <v>1000000000000</v>
      </c>
      <c r="BN56" s="181">
        <f ca="1">IF($D56&lt;&gt;"Serviço",0,IF(AND(AUTOEVENTO="Manual",$M56=1),0,IF(OFFSET(CRONOPLE!$F$14,$M56,BN$13)="",10^12,OFFSET(CRONOPLE!$F$14,$M56,BN$13))))</f>
        <v>1000000000000</v>
      </c>
      <c r="BO56" s="181">
        <f ca="1">IF($D56&lt;&gt;"Serviço",0,IF(AND(AUTOEVENTO="Manual",$M56=1),0,IF(OFFSET(CRONOPLE!$F$14,$M56,BO$13)="",10^12,OFFSET(CRONOPLE!$F$14,$M56,BO$13))))</f>
        <v>1000000000000</v>
      </c>
      <c r="BP56" s="181">
        <f ca="1">IF($D56&lt;&gt;"Serviço",0,IF(AND(AUTOEVENTO="Manual",$M56=1),0,IF(OFFSET(CRONOPLE!$F$14,$M56,BP$13)="",10^12,OFFSET(CRONOPLE!$F$14,$M56,BP$13))))</f>
        <v>1000000000000</v>
      </c>
      <c r="BQ56" s="181">
        <f ca="1">IF($D56&lt;&gt;"Serviço",0,IF(AND(AUTOEVENTO="Manual",$M56=1),0,IF(OFFSET(CRONOPLE!$F$14,$M56,BQ$13)="",10^12,OFFSET(CRONOPLE!$F$14,$M56,BQ$13))))</f>
        <v>1000000000000</v>
      </c>
      <c r="BR56" s="181">
        <f ca="1">IF($D56&lt;&gt;"Serviço",0,IF(AND(AUTOEVENTO="Manual",$M56=1),0,IF(OFFSET(CRONOPLE!$F$14,$M56,BR$13)="",10^12,OFFSET(CRONOPLE!$F$14,$M56,BR$13))))</f>
        <v>1000000000000</v>
      </c>
      <c r="BS56" s="181">
        <f ca="1">IF($D56&lt;&gt;"Serviço",0,IF(AND(AUTOEVENTO="Manual",$M56=1),0,IF(OFFSET(CRONOPLE!$F$14,$M56,BS$13)="",10^12,OFFSET(CRONOPLE!$F$14,$M56,BS$13))))</f>
        <v>1000000000000</v>
      </c>
      <c r="BT56" s="181">
        <f ca="1">IF($D56&lt;&gt;"Serviço",0,IF(AND(AUTOEVENTO="Manual",$M56=1),0,IF(OFFSET(CRONOPLE!$F$14,$M56,BT$13)="",10^12,OFFSET(CRONOPLE!$F$14,$M56,BT$13))))</f>
        <v>1000000000000</v>
      </c>
      <c r="BV56" s="182">
        <f ca="1">IF($D56&lt;&gt;"Serviço",0,IF(OR(AND(AUTOEVENTO="Manual",$M56=1),$M56&gt;(ROW(PLE.lastrow)-ROW(PLE.firstrow))),0,IF(OFFSET(PLE!$G$14,$M56,BV$13)="",10^12,OFFSET(PLE!$G$14,$M56,BV$13))))</f>
        <v>1000000000000</v>
      </c>
      <c r="BW56" s="182">
        <f ca="1">IF($D56&lt;&gt;"Serviço",0,IF(OR(AND(AUTOEVENTO="Manual",$M56=1),$M56&gt;(ROW(PLE.lastrow)-ROW(PLE.firstrow))),0,IF(OFFSET(PLE!$G$14,$M56,BW$13)="",10^12,OFFSET(PLE!$G$14,$M56,BW$13))))</f>
        <v>1000000000000</v>
      </c>
      <c r="BX56" s="182">
        <f ca="1">IF($D56&lt;&gt;"Serviço",0,IF(OR(AND(AUTOEVENTO="Manual",$M56=1),$M56&gt;(ROW(PLE.lastrow)-ROW(PLE.firstrow))),0,IF(OFFSET(PLE!$G$14,$M56,BX$13)="",10^12,OFFSET(PLE!$G$14,$M56,BX$13))))</f>
        <v>1000000000000</v>
      </c>
      <c r="BY56" s="182">
        <f ca="1">IF($D56&lt;&gt;"Serviço",0,IF(OR(AND(AUTOEVENTO="Manual",$M56=1),$M56&gt;(ROW(PLE.lastrow)-ROW(PLE.firstrow))),0,IF(OFFSET(PLE!$G$14,$M56,BY$13)="",10^12,OFFSET(PLE!$G$14,$M56,BY$13))))</f>
        <v>1000000000000</v>
      </c>
      <c r="BZ56" s="182">
        <f ca="1">IF($D56&lt;&gt;"Serviço",0,IF(OR(AND(AUTOEVENTO="Manual",$M56=1),$M56&gt;(ROW(PLE.lastrow)-ROW(PLE.firstrow))),0,IF(OFFSET(PLE!$G$14,$M56,BZ$13)="",10^12,OFFSET(PLE!$G$14,$M56,BZ$13))))</f>
        <v>1000000000000</v>
      </c>
      <c r="CA56" s="182">
        <f ca="1">IF($D56&lt;&gt;"Serviço",0,IF(OR(AND(AUTOEVENTO="Manual",$M56=1),$M56&gt;(ROW(PLE.lastrow)-ROW(PLE.firstrow))),0,IF(OFFSET(PLE!$G$14,$M56,CA$13)="",10^12,OFFSET(PLE!$G$14,$M56,CA$13))))</f>
        <v>1000000000000</v>
      </c>
      <c r="CB56" s="182">
        <f ca="1">IF($D56&lt;&gt;"Serviço",0,IF(OR(AND(AUTOEVENTO="Manual",$M56=1),$M56&gt;(ROW(PLE.lastrow)-ROW(PLE.firstrow))),0,IF(OFFSET(PLE!$G$14,$M56,CB$13)="",10^12,OFFSET(PLE!$G$14,$M56,CB$13))))</f>
        <v>1000000000000</v>
      </c>
      <c r="CC56" s="182">
        <f ca="1">IF($D56&lt;&gt;"Serviço",0,IF(OR(AND(AUTOEVENTO="Manual",$M56=1),$M56&gt;(ROW(PLE.lastrow)-ROW(PLE.firstrow))),0,IF(OFFSET(PLE!$G$14,$M56,CC$13)="",10^12,OFFSET(PLE!$G$14,$M56,CC$13))))</f>
        <v>1000000000000</v>
      </c>
      <c r="CD56" s="182">
        <f ca="1">IF($D56&lt;&gt;"Serviço",0,IF(OR(AND(AUTOEVENTO="Manual",$M56=1),$M56&gt;(ROW(PLE.lastrow)-ROW(PLE.firstrow))),0,IF(OFFSET(PLE!$G$14,$M56,CD$13)="",10^12,OFFSET(PLE!$G$14,$M56,CD$13))))</f>
        <v>1000000000000</v>
      </c>
      <c r="CE56" s="182">
        <f ca="1">IF($D56&lt;&gt;"Serviço",0,IF(OR(AND(AUTOEVENTO="Manual",$M56=1),$M56&gt;(ROW(PLE.lastrow)-ROW(PLE.firstrow))),0,IF(OFFSET(PLE!$G$14,$M56,CE$13)="",10^12,OFFSET(PLE!$G$14,$M56,CE$13))))</f>
        <v>1000000000000</v>
      </c>
      <c r="CF56" s="182">
        <f ca="1">IF($D56&lt;&gt;"Serviço",0,IF(OR(AND(AUTOEVENTO="Manual",$M56=1),$M56&gt;(ROW(PLE.lastrow)-ROW(PLE.firstrow))),0,IF(OFFSET(PLE!$G$14,$M56,CF$13)="",10^12,OFFSET(PLE!$G$14,$M56,CF$13))))</f>
        <v>1000000000000</v>
      </c>
      <c r="CG56" s="182">
        <f ca="1">IF($D56&lt;&gt;"Serviço",0,IF(OR(AND(AUTOEVENTO="Manual",$M56=1),$M56&gt;(ROW(PLE.lastrow)-ROW(PLE.firstrow))),0,IF(OFFSET(PLE!$G$14,$M56,CG$13)="",10^12,OFFSET(PLE!$G$14,$M56,CG$13))))</f>
        <v>1000000000000</v>
      </c>
      <c r="CH56" s="182">
        <f ca="1">IF($D56&lt;&gt;"Serviço",0,IF(OR(AND(AUTOEVENTO="Manual",$M56=1),$M56&gt;(ROW(PLE.lastrow)-ROW(PLE.firstrow))),0,IF(OFFSET(PLE!$G$14,$M56,CH$13)="",10^12,OFFSET(PLE!$G$14,$M56,CH$13))))</f>
        <v>1000000000000</v>
      </c>
      <c r="CI56" s="182">
        <f ca="1">IF($D56&lt;&gt;"Serviço",0,IF(OR(AND(AUTOEVENTO="Manual",$M56=1),$M56&gt;(ROW(PLE.lastrow)-ROW(PLE.firstrow))),0,IF(OFFSET(PLE!$G$14,$M56,CI$13)="",10^12,OFFSET(PLE!$G$14,$M56,CI$13))))</f>
        <v>1000000000000</v>
      </c>
      <c r="CJ56" s="182">
        <f ca="1">IF($D56&lt;&gt;"Serviço",0,IF(OR(AND(AUTOEVENTO="Manual",$M56=1),$M56&gt;(ROW(PLE.lastrow)-ROW(PLE.firstrow))),0,IF(OFFSET(PLE!$G$14,$M56,CJ$13)="",10^12,OFFSET(PLE!$G$14,$M56,CJ$13))))</f>
        <v>1000000000000</v>
      </c>
      <c r="CK56" s="182">
        <f ca="1">IF($D56&lt;&gt;"Serviço",0,IF(OR(AND(AUTOEVENTO="Manual",$M56=1),$M56&gt;(ROW(PLE.lastrow)-ROW(PLE.firstrow))),0,IF(OFFSET(PLE!$G$14,$M56,CK$13)="",10^12,OFFSET(PLE!$G$14,$M56,CK$13))))</f>
        <v>1000000000000</v>
      </c>
      <c r="CL56" s="182">
        <f ca="1">IF($D56&lt;&gt;"Serviço",0,IF(OR(AND(AUTOEVENTO="Manual",$M56=1),$M56&gt;(ROW(PLE.lastrow)-ROW(PLE.firstrow))),0,IF(OFFSET(PLE!$G$14,$M56,CL$13)="",10^12,OFFSET(PLE!$G$14,$M56,CL$13))))</f>
        <v>1000000000000</v>
      </c>
      <c r="CM56" s="182">
        <f ca="1">IF($D56&lt;&gt;"Serviço",0,IF(OR(AND(AUTOEVENTO="Manual",$M56=1),$M56&gt;(ROW(PLE.lastrow)-ROW(PLE.firstrow))),0,IF(OFFSET(PLE!$G$14,$M56,CM$13)="",10^12,OFFSET(PLE!$G$14,$M56,CM$13))))</f>
        <v>1000000000000</v>
      </c>
    </row>
    <row r="57" spans="1:91" ht="12.75" x14ac:dyDescent="0.2">
      <c r="A57" s="7" t="str">
        <f t="shared" ca="1" si="9"/>
        <v>42.</v>
      </c>
      <c r="B57" s="7">
        <f ca="1">OFFSET(ORÇAMENTO!C$15,ROW(B57)-ROW(B$15),0)</f>
        <v>2</v>
      </c>
      <c r="C57" s="7" t="str">
        <f ca="1">OFFSET(ORÇAMENTO!L$15,ROW(C57)-ROW(C$15),0)</f>
        <v>F</v>
      </c>
      <c r="D57" s="118" t="str">
        <f ca="1">OFFSET(ORÇAMENTO!N$15,ROW(D57)-ROW(D$15),0)</f>
        <v>Nível 2</v>
      </c>
      <c r="E57" s="119" t="str">
        <f ca="1">OFFSET(ORÇAMENTO!O$15,ROW(E57)-ROW(E$15),0)</f>
        <v>1.8.</v>
      </c>
      <c r="F57" s="172" t="str">
        <f ca="1">OFFSET(ORÇAMENTO!R$15,ROW(F57)-ROW(F$15),0)</f>
        <v>SUPERESTRUTURA - CONCRETO ARMADO PARA PILARES</v>
      </c>
      <c r="G57" s="173" t="str">
        <f ca="1">IF($D57&lt;&gt;"Serviço","",OFFSET(ORÇAMENTO!S$15,ROW(G57)-ROW(G$15),0))</f>
        <v/>
      </c>
      <c r="H57" s="124">
        <f ca="1">IF($D57&lt;&gt;"Serviço",0,IF(ACOMPANHAMENTO="BM",ROUND(OFFSET(ORÇAMENTO!AJ$15,ROW(H57)-ROW(H$15),0),15-13*ORÇAMENTO!$AF$7),SUMPRODUCT(($Q$12:$AI$12&lt;&gt;"")*ROUND($Q57:$AI57,15-13*ORÇAMENTO!$AF$7))))</f>
        <v>0</v>
      </c>
      <c r="I57" s="561"/>
      <c r="K57" s="174"/>
      <c r="L57" s="175" t="s">
        <v>255</v>
      </c>
      <c r="M57" s="176" t="str">
        <f ca="1">IF($D57&lt;&gt;"Serviço","",IF(AUTOEVENTO="manual",$A57,IF(ISERROR(MATCH($A57,$A$15:OFFSET($A57,-1,0),0)),MAX($M$15:OFFSET(M57,-1,0))+1,INDEX($M$15:OFFSET(M57,-1,0),MATCH($A57,$A$15:OFFSET($A57,-1,0),0)))))</f>
        <v/>
      </c>
      <c r="N57" s="177" t="str">
        <f ca="1">IF($D57&lt;&gt;"Serviço","",IF(AUTOEVENTO="Manual",IF($A57=0,"&lt;-- defina o número do agrupador",OFFSET(EVENTOS!$D$14,$A57,0)),OFFSET($F$15,$A57,0)))</f>
        <v/>
      </c>
      <c r="O57" s="178"/>
      <c r="Q57" s="178"/>
      <c r="R57" s="179"/>
      <c r="S57" s="179"/>
      <c r="T57" s="179"/>
      <c r="U57" s="179"/>
      <c r="V57" s="179"/>
      <c r="W57" s="179"/>
      <c r="X57" s="179"/>
      <c r="Y57" s="179"/>
      <c r="Z57" s="180"/>
      <c r="AA57" s="179"/>
      <c r="AB57" s="179"/>
      <c r="AC57" s="179"/>
      <c r="AD57" s="179"/>
      <c r="AE57" s="179"/>
      <c r="AF57" s="179"/>
      <c r="AG57" s="179"/>
      <c r="AH57" s="180"/>
      <c r="AJ57" s="544">
        <f ca="1">IF(AND($D57="Serviço",AJ$12&lt;&gt;0,$H57&gt;0,OR(AUTOEVENTO&lt;&gt;"manual",$M57&lt;&gt;1)),
IF(Import.TipoArredondamento&lt;&gt;"TransfereGOV",
ROUND(OFFSET($P57,0,AJ$13),15-13*ORÇAMENTO!$AF$7)/$H57*OFFSET(ORÇAMENTO!$X$15,ROW(AJ57)-ROW(AJ$15),0),
ROUND(ROUND(OFFSET($P57,0,AJ$13),15-13*ORÇAMENTO!$AF$7)*OFFSET(ORÇAMENTO!$W$15,ROW(AJ57)-ROW(AJ$15),0),15-13*ORÇAMENTO!$AF$11)),0)</f>
        <v>0</v>
      </c>
      <c r="AK57" s="545">
        <f ca="1">IF(AND($D57="Serviço",AK$12&lt;&gt;0,$H57&gt;0,OR(AUTOEVENTO&lt;&gt;"manual",$M57&lt;&gt;1)),
IF(Import.TipoArredondamento&lt;&gt;"TransfereGOV",
ROUND(OFFSET($P57,0,AK$13),15-13*ORÇAMENTO!$AF$7)/$H57*OFFSET(ORÇAMENTO!$X$15,ROW(AK57)-ROW(AK$15),0),
ROUND(ROUND(OFFSET($P57,0,AK$13),15-13*ORÇAMENTO!$AF$7)*OFFSET(ORÇAMENTO!$W$15,ROW(AK57)-ROW(AK$15),0),15-13*ORÇAMENTO!$AF$11)),0)</f>
        <v>0</v>
      </c>
      <c r="AL57" s="545">
        <f ca="1">IF(AND($D57="Serviço",AL$12&lt;&gt;0,$H57&gt;0,OR(AUTOEVENTO&lt;&gt;"manual",$M57&lt;&gt;1)),
IF(Import.TipoArredondamento&lt;&gt;"TransfereGOV",
ROUND(OFFSET($P57,0,AL$13),15-13*ORÇAMENTO!$AF$7)/$H57*OFFSET(ORÇAMENTO!$X$15,ROW(AL57)-ROW(AL$15),0),
ROUND(ROUND(OFFSET($P57,0,AL$13),15-13*ORÇAMENTO!$AF$7)*OFFSET(ORÇAMENTO!$W$15,ROW(AL57)-ROW(AL$15),0),15-13*ORÇAMENTO!$AF$11)),0)</f>
        <v>0</v>
      </c>
      <c r="AM57" s="545">
        <f ca="1">IF(AND($D57="Serviço",AM$12&lt;&gt;0,$H57&gt;0,OR(AUTOEVENTO&lt;&gt;"manual",$M57&lt;&gt;1)),
IF(Import.TipoArredondamento&lt;&gt;"TransfereGOV",
ROUND(OFFSET($P57,0,AM$13),15-13*ORÇAMENTO!$AF$7)/$H57*OFFSET(ORÇAMENTO!$X$15,ROW(AM57)-ROW(AM$15),0),
ROUND(ROUND(OFFSET($P57,0,AM$13),15-13*ORÇAMENTO!$AF$7)*OFFSET(ORÇAMENTO!$W$15,ROW(AM57)-ROW(AM$15),0),15-13*ORÇAMENTO!$AF$11)),0)</f>
        <v>0</v>
      </c>
      <c r="AN57" s="545">
        <f ca="1">IF(AND($D57="Serviço",AN$12&lt;&gt;0,$H57&gt;0,OR(AUTOEVENTO&lt;&gt;"manual",$M57&lt;&gt;1)),
IF(Import.TipoArredondamento&lt;&gt;"TransfereGOV",
ROUND(OFFSET($P57,0,AN$13),15-13*ORÇAMENTO!$AF$7)/$H57*OFFSET(ORÇAMENTO!$X$15,ROW(AN57)-ROW(AN$15),0),
ROUND(ROUND(OFFSET($P57,0,AN$13),15-13*ORÇAMENTO!$AF$7)*OFFSET(ORÇAMENTO!$W$15,ROW(AN57)-ROW(AN$15),0),15-13*ORÇAMENTO!$AF$11)),0)</f>
        <v>0</v>
      </c>
      <c r="AO57" s="545">
        <f ca="1">IF(AND($D57="Serviço",AO$12&lt;&gt;0,$H57&gt;0,OR(AUTOEVENTO&lt;&gt;"manual",$M57&lt;&gt;1)),
IF(Import.TipoArredondamento&lt;&gt;"TransfereGOV",
ROUND(OFFSET($P57,0,AO$13),15-13*ORÇAMENTO!$AF$7)/$H57*OFFSET(ORÇAMENTO!$X$15,ROW(AO57)-ROW(AO$15),0),
ROUND(ROUND(OFFSET($P57,0,AO$13),15-13*ORÇAMENTO!$AF$7)*OFFSET(ORÇAMENTO!$W$15,ROW(AO57)-ROW(AO$15),0),15-13*ORÇAMENTO!$AF$11)),0)</f>
        <v>0</v>
      </c>
      <c r="AP57" s="545">
        <f ca="1">IF(AND($D57="Serviço",AP$12&lt;&gt;0,$H57&gt;0,OR(AUTOEVENTO&lt;&gt;"manual",$M57&lt;&gt;1)),
IF(Import.TipoArredondamento&lt;&gt;"TransfereGOV",
ROUND(OFFSET($P57,0,AP$13),15-13*ORÇAMENTO!$AF$7)/$H57*OFFSET(ORÇAMENTO!$X$15,ROW(AP57)-ROW(AP$15),0),
ROUND(ROUND(OFFSET($P57,0,AP$13),15-13*ORÇAMENTO!$AF$7)*OFFSET(ORÇAMENTO!$W$15,ROW(AP57)-ROW(AP$15),0),15-13*ORÇAMENTO!$AF$11)),0)</f>
        <v>0</v>
      </c>
      <c r="AQ57" s="545">
        <f ca="1">IF(AND($D57="Serviço",AQ$12&lt;&gt;0,$H57&gt;0,OR(AUTOEVENTO&lt;&gt;"manual",$M57&lt;&gt;1)),
IF(Import.TipoArredondamento&lt;&gt;"TransfereGOV",
ROUND(OFFSET($P57,0,AQ$13),15-13*ORÇAMENTO!$AF$7)/$H57*OFFSET(ORÇAMENTO!$X$15,ROW(AQ57)-ROW(AQ$15),0),
ROUND(ROUND(OFFSET($P57,0,AQ$13),15-13*ORÇAMENTO!$AF$7)*OFFSET(ORÇAMENTO!$W$15,ROW(AQ57)-ROW(AQ$15),0),15-13*ORÇAMENTO!$AF$11)),0)</f>
        <v>0</v>
      </c>
      <c r="AR57" s="545">
        <f ca="1">IF(AND($D57="Serviço",AR$12&lt;&gt;0,$H57&gt;0,OR(AUTOEVENTO&lt;&gt;"manual",$M57&lt;&gt;1)),
IF(Import.TipoArredondamento&lt;&gt;"TransfereGOV",
ROUND(OFFSET($P57,0,AR$13),15-13*ORÇAMENTO!$AF$7)/$H57*OFFSET(ORÇAMENTO!$X$15,ROW(AR57)-ROW(AR$15),0),
ROUND(ROUND(OFFSET($P57,0,AR$13),15-13*ORÇAMENTO!$AF$7)*OFFSET(ORÇAMENTO!$W$15,ROW(AR57)-ROW(AR$15),0),15-13*ORÇAMENTO!$AF$11)),0)</f>
        <v>0</v>
      </c>
      <c r="AS57" s="546">
        <f ca="1">IF(AND($D57="Serviço",AS$12&lt;&gt;0,$H57&gt;0,OR(AUTOEVENTO&lt;&gt;"manual",$M57&lt;&gt;1)),
IF(Import.TipoArredondamento&lt;&gt;"TransfereGOV",
ROUND(OFFSET($P57,0,AS$13),15-13*ORÇAMENTO!$AF$7)/$H57*OFFSET(ORÇAMENTO!$X$15,ROW(AS57)-ROW(AS$15),0),
ROUND(ROUND(OFFSET($P57,0,AS$13),15-13*ORÇAMENTO!$AF$7)*OFFSET(ORÇAMENTO!$W$15,ROW(AS57)-ROW(AS$15),0),15-13*ORÇAMENTO!$AF$11)),0)</f>
        <v>0</v>
      </c>
      <c r="AT57" s="545">
        <f ca="1">IF(AND($D57="Serviço",AT$12&lt;&gt;0,$H57&gt;0,OR(AUTOEVENTO&lt;&gt;"manual",$M57&lt;&gt;1)),
IF(Import.TipoArredondamento&lt;&gt;"TransfereGOV",
ROUND(OFFSET($P57,0,AT$13),15-13*ORÇAMENTO!$AF$7)/$H57*OFFSET(ORÇAMENTO!$X$15,ROW(AT57)-ROW(AT$15),0),
ROUND(ROUND(OFFSET($P57,0,AT$13),15-13*ORÇAMENTO!$AF$7)*OFFSET(ORÇAMENTO!$W$15,ROW(AT57)-ROW(AT$15),0),15-13*ORÇAMENTO!$AF$11)),0)</f>
        <v>0</v>
      </c>
      <c r="AU57" s="545">
        <f ca="1">IF(AND($D57="Serviço",AU$12&lt;&gt;0,$H57&gt;0,OR(AUTOEVENTO&lt;&gt;"manual",$M57&lt;&gt;1)),
IF(Import.TipoArredondamento&lt;&gt;"TransfereGOV",
ROUND(OFFSET($P57,0,AU$13),15-13*ORÇAMENTO!$AF$7)/$H57*OFFSET(ORÇAMENTO!$X$15,ROW(AU57)-ROW(AU$15),0),
ROUND(ROUND(OFFSET($P57,0,AU$13),15-13*ORÇAMENTO!$AF$7)*OFFSET(ORÇAMENTO!$W$15,ROW(AU57)-ROW(AU$15),0),15-13*ORÇAMENTO!$AF$11)),0)</f>
        <v>0</v>
      </c>
      <c r="AV57" s="545">
        <f ca="1">IF(AND($D57="Serviço",AV$12&lt;&gt;0,$H57&gt;0,OR(AUTOEVENTO&lt;&gt;"manual",$M57&lt;&gt;1)),
IF(Import.TipoArredondamento&lt;&gt;"TransfereGOV",
ROUND(OFFSET($P57,0,AV$13),15-13*ORÇAMENTO!$AF$7)/$H57*OFFSET(ORÇAMENTO!$X$15,ROW(AV57)-ROW(AV$15),0),
ROUND(ROUND(OFFSET($P57,0,AV$13),15-13*ORÇAMENTO!$AF$7)*OFFSET(ORÇAMENTO!$W$15,ROW(AV57)-ROW(AV$15),0),15-13*ORÇAMENTO!$AF$11)),0)</f>
        <v>0</v>
      </c>
      <c r="AW57" s="545">
        <f ca="1">IF(AND($D57="Serviço",AW$12&lt;&gt;0,$H57&gt;0,OR(AUTOEVENTO&lt;&gt;"manual",$M57&lt;&gt;1)),
IF(Import.TipoArredondamento&lt;&gt;"TransfereGOV",
ROUND(OFFSET($P57,0,AW$13),15-13*ORÇAMENTO!$AF$7)/$H57*OFFSET(ORÇAMENTO!$X$15,ROW(AW57)-ROW(AW$15),0),
ROUND(ROUND(OFFSET($P57,0,AW$13),15-13*ORÇAMENTO!$AF$7)*OFFSET(ORÇAMENTO!$W$15,ROW(AW57)-ROW(AW$15),0),15-13*ORÇAMENTO!$AF$11)),0)</f>
        <v>0</v>
      </c>
      <c r="AX57" s="545">
        <f ca="1">IF(AND($D57="Serviço",AX$12&lt;&gt;0,$H57&gt;0,OR(AUTOEVENTO&lt;&gt;"manual",$M57&lt;&gt;1)),
IF(Import.TipoArredondamento&lt;&gt;"TransfereGOV",
ROUND(OFFSET($P57,0,AX$13),15-13*ORÇAMENTO!$AF$7)/$H57*OFFSET(ORÇAMENTO!$X$15,ROW(AX57)-ROW(AX$15),0),
ROUND(ROUND(OFFSET($P57,0,AX$13),15-13*ORÇAMENTO!$AF$7)*OFFSET(ORÇAMENTO!$W$15,ROW(AX57)-ROW(AX$15),0),15-13*ORÇAMENTO!$AF$11)),0)</f>
        <v>0</v>
      </c>
      <c r="AY57" s="545">
        <f ca="1">IF(AND($D57="Serviço",AY$12&lt;&gt;0,$H57&gt;0,OR(AUTOEVENTO&lt;&gt;"manual",$M57&lt;&gt;1)),
IF(Import.TipoArredondamento&lt;&gt;"TransfereGOV",
ROUND(OFFSET($P57,0,AY$13),15-13*ORÇAMENTO!$AF$7)/$H57*OFFSET(ORÇAMENTO!$X$15,ROW(AY57)-ROW(AY$15),0),
ROUND(ROUND(OFFSET($P57,0,AY$13),15-13*ORÇAMENTO!$AF$7)*OFFSET(ORÇAMENTO!$W$15,ROW(AY57)-ROW(AY$15),0),15-13*ORÇAMENTO!$AF$11)),0)</f>
        <v>0</v>
      </c>
      <c r="AZ57" s="545">
        <f ca="1">IF(AND($D57="Serviço",AZ$12&lt;&gt;0,$H57&gt;0,OR(AUTOEVENTO&lt;&gt;"manual",$M57&lt;&gt;1)),
IF(Import.TipoArredondamento&lt;&gt;"TransfereGOV",
ROUND(OFFSET($P57,0,AZ$13),15-13*ORÇAMENTO!$AF$7)/$H57*OFFSET(ORÇAMENTO!$X$15,ROW(AZ57)-ROW(AZ$15),0),
ROUND(ROUND(OFFSET($P57,0,AZ$13),15-13*ORÇAMENTO!$AF$7)*OFFSET(ORÇAMENTO!$W$15,ROW(AZ57)-ROW(AZ$15),0),15-13*ORÇAMENTO!$AF$11)),0)</f>
        <v>0</v>
      </c>
      <c r="BA57" s="546">
        <f ca="1">IF(AND($D57="Serviço",BA$12&lt;&gt;0,$H57&gt;0,OR(AUTOEVENTO&lt;&gt;"manual",$M57&lt;&gt;1)),
IF(Import.TipoArredondamento&lt;&gt;"TransfereGOV",
ROUND(OFFSET($P57,0,BA$13),15-13*ORÇAMENTO!$AF$7)/$H57*OFFSET(ORÇAMENTO!$X$15,ROW(BA57)-ROW(BA$15),0),
ROUND(ROUND(OFFSET($P57,0,BA$13),15-13*ORÇAMENTO!$AF$7)*OFFSET(ORÇAMENTO!$W$15,ROW(BA57)-ROW(BA$15),0),15-13*ORÇAMENTO!$AF$11)),0)</f>
        <v>0</v>
      </c>
      <c r="BC57" s="181">
        <f ca="1">IF($D57&lt;&gt;"Serviço",0,IF(AND(AUTOEVENTO="Manual",$M57=1),0,IF(OFFSET(CRONOPLE!$F$14,$M57,BC$13)="",10^12,OFFSET(CRONOPLE!$F$14,$M57,BC$13))))</f>
        <v>0</v>
      </c>
      <c r="BD57" s="181">
        <f ca="1">IF($D57&lt;&gt;"Serviço",0,IF(AND(AUTOEVENTO="Manual",$M57=1),0,IF(OFFSET(CRONOPLE!$F$14,$M57,BD$13)="",10^12,OFFSET(CRONOPLE!$F$14,$M57,BD$13))))</f>
        <v>0</v>
      </c>
      <c r="BE57" s="181">
        <f ca="1">IF($D57&lt;&gt;"Serviço",0,IF(AND(AUTOEVENTO="Manual",$M57=1),0,IF(OFFSET(CRONOPLE!$F$14,$M57,BE$13)="",10^12,OFFSET(CRONOPLE!$F$14,$M57,BE$13))))</f>
        <v>0</v>
      </c>
      <c r="BF57" s="181">
        <f ca="1">IF($D57&lt;&gt;"Serviço",0,IF(AND(AUTOEVENTO="Manual",$M57=1),0,IF(OFFSET(CRONOPLE!$F$14,$M57,BF$13)="",10^12,OFFSET(CRONOPLE!$F$14,$M57,BF$13))))</f>
        <v>0</v>
      </c>
      <c r="BG57" s="181">
        <f ca="1">IF($D57&lt;&gt;"Serviço",0,IF(AND(AUTOEVENTO="Manual",$M57=1),0,IF(OFFSET(CRONOPLE!$F$14,$M57,BG$13)="",10^12,OFFSET(CRONOPLE!$F$14,$M57,BG$13))))</f>
        <v>0</v>
      </c>
      <c r="BH57" s="181">
        <f ca="1">IF($D57&lt;&gt;"Serviço",0,IF(AND(AUTOEVENTO="Manual",$M57=1),0,IF(OFFSET(CRONOPLE!$F$14,$M57,BH$13)="",10^12,OFFSET(CRONOPLE!$F$14,$M57,BH$13))))</f>
        <v>0</v>
      </c>
      <c r="BI57" s="181">
        <f ca="1">IF($D57&lt;&gt;"Serviço",0,IF(AND(AUTOEVENTO="Manual",$M57=1),0,IF(OFFSET(CRONOPLE!$F$14,$M57,BI$13)="",10^12,OFFSET(CRONOPLE!$F$14,$M57,BI$13))))</f>
        <v>0</v>
      </c>
      <c r="BJ57" s="181">
        <f ca="1">IF($D57&lt;&gt;"Serviço",0,IF(AND(AUTOEVENTO="Manual",$M57=1),0,IF(OFFSET(CRONOPLE!$F$14,$M57,BJ$13)="",10^12,OFFSET(CRONOPLE!$F$14,$M57,BJ$13))))</f>
        <v>0</v>
      </c>
      <c r="BK57" s="181">
        <f ca="1">IF($D57&lt;&gt;"Serviço",0,IF(AND(AUTOEVENTO="Manual",$M57=1),0,IF(OFFSET(CRONOPLE!$F$14,$M57,BK$13)="",10^12,OFFSET(CRONOPLE!$F$14,$M57,BK$13))))</f>
        <v>0</v>
      </c>
      <c r="BL57" s="181">
        <f ca="1">IF($D57&lt;&gt;"Serviço",0,IF(AND(AUTOEVENTO="Manual",$M57=1),0,IF(OFFSET(CRONOPLE!$F$14,$M57,BL$13)="",10^12,OFFSET(CRONOPLE!$F$14,$M57,BL$13))))</f>
        <v>0</v>
      </c>
      <c r="BM57" s="181">
        <f ca="1">IF($D57&lt;&gt;"Serviço",0,IF(AND(AUTOEVENTO="Manual",$M57=1),0,IF(OFFSET(CRONOPLE!$F$14,$M57,BM$13)="",10^12,OFFSET(CRONOPLE!$F$14,$M57,BM$13))))</f>
        <v>0</v>
      </c>
      <c r="BN57" s="181">
        <f ca="1">IF($D57&lt;&gt;"Serviço",0,IF(AND(AUTOEVENTO="Manual",$M57=1),0,IF(OFFSET(CRONOPLE!$F$14,$M57,BN$13)="",10^12,OFFSET(CRONOPLE!$F$14,$M57,BN$13))))</f>
        <v>0</v>
      </c>
      <c r="BO57" s="181">
        <f ca="1">IF($D57&lt;&gt;"Serviço",0,IF(AND(AUTOEVENTO="Manual",$M57=1),0,IF(OFFSET(CRONOPLE!$F$14,$M57,BO$13)="",10^12,OFFSET(CRONOPLE!$F$14,$M57,BO$13))))</f>
        <v>0</v>
      </c>
      <c r="BP57" s="181">
        <f ca="1">IF($D57&lt;&gt;"Serviço",0,IF(AND(AUTOEVENTO="Manual",$M57=1),0,IF(OFFSET(CRONOPLE!$F$14,$M57,BP$13)="",10^12,OFFSET(CRONOPLE!$F$14,$M57,BP$13))))</f>
        <v>0</v>
      </c>
      <c r="BQ57" s="181">
        <f ca="1">IF($D57&lt;&gt;"Serviço",0,IF(AND(AUTOEVENTO="Manual",$M57=1),0,IF(OFFSET(CRONOPLE!$F$14,$M57,BQ$13)="",10^12,OFFSET(CRONOPLE!$F$14,$M57,BQ$13))))</f>
        <v>0</v>
      </c>
      <c r="BR57" s="181">
        <f ca="1">IF($D57&lt;&gt;"Serviço",0,IF(AND(AUTOEVENTO="Manual",$M57=1),0,IF(OFFSET(CRONOPLE!$F$14,$M57,BR$13)="",10^12,OFFSET(CRONOPLE!$F$14,$M57,BR$13))))</f>
        <v>0</v>
      </c>
      <c r="BS57" s="181">
        <f ca="1">IF($D57&lt;&gt;"Serviço",0,IF(AND(AUTOEVENTO="Manual",$M57=1),0,IF(OFFSET(CRONOPLE!$F$14,$M57,BS$13)="",10^12,OFFSET(CRONOPLE!$F$14,$M57,BS$13))))</f>
        <v>0</v>
      </c>
      <c r="BT57" s="181">
        <f ca="1">IF($D57&lt;&gt;"Serviço",0,IF(AND(AUTOEVENTO="Manual",$M57=1),0,IF(OFFSET(CRONOPLE!$F$14,$M57,BT$13)="",10^12,OFFSET(CRONOPLE!$F$14,$M57,BT$13))))</f>
        <v>0</v>
      </c>
      <c r="BV57" s="182">
        <f ca="1">IF($D57&lt;&gt;"Serviço",0,IF(OR(AND(AUTOEVENTO="Manual",$M57=1),$M57&gt;(ROW(PLE.lastrow)-ROW(PLE.firstrow))),0,IF(OFFSET(PLE!$G$14,$M57,BV$13)="",10^12,OFFSET(PLE!$G$14,$M57,BV$13))))</f>
        <v>0</v>
      </c>
      <c r="BW57" s="182">
        <f ca="1">IF($D57&lt;&gt;"Serviço",0,IF(OR(AND(AUTOEVENTO="Manual",$M57=1),$M57&gt;(ROW(PLE.lastrow)-ROW(PLE.firstrow))),0,IF(OFFSET(PLE!$G$14,$M57,BW$13)="",10^12,OFFSET(PLE!$G$14,$M57,BW$13))))</f>
        <v>0</v>
      </c>
      <c r="BX57" s="182">
        <f ca="1">IF($D57&lt;&gt;"Serviço",0,IF(OR(AND(AUTOEVENTO="Manual",$M57=1),$M57&gt;(ROW(PLE.lastrow)-ROW(PLE.firstrow))),0,IF(OFFSET(PLE!$G$14,$M57,BX$13)="",10^12,OFFSET(PLE!$G$14,$M57,BX$13))))</f>
        <v>0</v>
      </c>
      <c r="BY57" s="182">
        <f ca="1">IF($D57&lt;&gt;"Serviço",0,IF(OR(AND(AUTOEVENTO="Manual",$M57=1),$M57&gt;(ROW(PLE.lastrow)-ROW(PLE.firstrow))),0,IF(OFFSET(PLE!$G$14,$M57,BY$13)="",10^12,OFFSET(PLE!$G$14,$M57,BY$13))))</f>
        <v>0</v>
      </c>
      <c r="BZ57" s="182">
        <f ca="1">IF($D57&lt;&gt;"Serviço",0,IF(OR(AND(AUTOEVENTO="Manual",$M57=1),$M57&gt;(ROW(PLE.lastrow)-ROW(PLE.firstrow))),0,IF(OFFSET(PLE!$G$14,$M57,BZ$13)="",10^12,OFFSET(PLE!$G$14,$M57,BZ$13))))</f>
        <v>0</v>
      </c>
      <c r="CA57" s="182">
        <f ca="1">IF($D57&lt;&gt;"Serviço",0,IF(OR(AND(AUTOEVENTO="Manual",$M57=1),$M57&gt;(ROW(PLE.lastrow)-ROW(PLE.firstrow))),0,IF(OFFSET(PLE!$G$14,$M57,CA$13)="",10^12,OFFSET(PLE!$G$14,$M57,CA$13))))</f>
        <v>0</v>
      </c>
      <c r="CB57" s="182">
        <f ca="1">IF($D57&lt;&gt;"Serviço",0,IF(OR(AND(AUTOEVENTO="Manual",$M57=1),$M57&gt;(ROW(PLE.lastrow)-ROW(PLE.firstrow))),0,IF(OFFSET(PLE!$G$14,$M57,CB$13)="",10^12,OFFSET(PLE!$G$14,$M57,CB$13))))</f>
        <v>0</v>
      </c>
      <c r="CC57" s="182">
        <f ca="1">IF($D57&lt;&gt;"Serviço",0,IF(OR(AND(AUTOEVENTO="Manual",$M57=1),$M57&gt;(ROW(PLE.lastrow)-ROW(PLE.firstrow))),0,IF(OFFSET(PLE!$G$14,$M57,CC$13)="",10^12,OFFSET(PLE!$G$14,$M57,CC$13))))</f>
        <v>0</v>
      </c>
      <c r="CD57" s="182">
        <f ca="1">IF($D57&lt;&gt;"Serviço",0,IF(OR(AND(AUTOEVENTO="Manual",$M57=1),$M57&gt;(ROW(PLE.lastrow)-ROW(PLE.firstrow))),0,IF(OFFSET(PLE!$G$14,$M57,CD$13)="",10^12,OFFSET(PLE!$G$14,$M57,CD$13))))</f>
        <v>0</v>
      </c>
      <c r="CE57" s="182">
        <f ca="1">IF($D57&lt;&gt;"Serviço",0,IF(OR(AND(AUTOEVENTO="Manual",$M57=1),$M57&gt;(ROW(PLE.lastrow)-ROW(PLE.firstrow))),0,IF(OFFSET(PLE!$G$14,$M57,CE$13)="",10^12,OFFSET(PLE!$G$14,$M57,CE$13))))</f>
        <v>0</v>
      </c>
      <c r="CF57" s="182">
        <f ca="1">IF($D57&lt;&gt;"Serviço",0,IF(OR(AND(AUTOEVENTO="Manual",$M57=1),$M57&gt;(ROW(PLE.lastrow)-ROW(PLE.firstrow))),0,IF(OFFSET(PLE!$G$14,$M57,CF$13)="",10^12,OFFSET(PLE!$G$14,$M57,CF$13))))</f>
        <v>0</v>
      </c>
      <c r="CG57" s="182">
        <f ca="1">IF($D57&lt;&gt;"Serviço",0,IF(OR(AND(AUTOEVENTO="Manual",$M57=1),$M57&gt;(ROW(PLE.lastrow)-ROW(PLE.firstrow))),0,IF(OFFSET(PLE!$G$14,$M57,CG$13)="",10^12,OFFSET(PLE!$G$14,$M57,CG$13))))</f>
        <v>0</v>
      </c>
      <c r="CH57" s="182">
        <f ca="1">IF($D57&lt;&gt;"Serviço",0,IF(OR(AND(AUTOEVENTO="Manual",$M57=1),$M57&gt;(ROW(PLE.lastrow)-ROW(PLE.firstrow))),0,IF(OFFSET(PLE!$G$14,$M57,CH$13)="",10^12,OFFSET(PLE!$G$14,$M57,CH$13))))</f>
        <v>0</v>
      </c>
      <c r="CI57" s="182">
        <f ca="1">IF($D57&lt;&gt;"Serviço",0,IF(OR(AND(AUTOEVENTO="Manual",$M57=1),$M57&gt;(ROW(PLE.lastrow)-ROW(PLE.firstrow))),0,IF(OFFSET(PLE!$G$14,$M57,CI$13)="",10^12,OFFSET(PLE!$G$14,$M57,CI$13))))</f>
        <v>0</v>
      </c>
      <c r="CJ57" s="182">
        <f ca="1">IF($D57&lt;&gt;"Serviço",0,IF(OR(AND(AUTOEVENTO="Manual",$M57=1),$M57&gt;(ROW(PLE.lastrow)-ROW(PLE.firstrow))),0,IF(OFFSET(PLE!$G$14,$M57,CJ$13)="",10^12,OFFSET(PLE!$G$14,$M57,CJ$13))))</f>
        <v>0</v>
      </c>
      <c r="CK57" s="182">
        <f ca="1">IF($D57&lt;&gt;"Serviço",0,IF(OR(AND(AUTOEVENTO="Manual",$M57=1),$M57&gt;(ROW(PLE.lastrow)-ROW(PLE.firstrow))),0,IF(OFFSET(PLE!$G$14,$M57,CK$13)="",10^12,OFFSET(PLE!$G$14,$M57,CK$13))))</f>
        <v>0</v>
      </c>
      <c r="CL57" s="182">
        <f ca="1">IF($D57&lt;&gt;"Serviço",0,IF(OR(AND(AUTOEVENTO="Manual",$M57=1),$M57&gt;(ROW(PLE.lastrow)-ROW(PLE.firstrow))),0,IF(OFFSET(PLE!$G$14,$M57,CL$13)="",10^12,OFFSET(PLE!$G$14,$M57,CL$13))))</f>
        <v>0</v>
      </c>
      <c r="CM57" s="182">
        <f ca="1">IF($D57&lt;&gt;"Serviço",0,IF(OR(AND(AUTOEVENTO="Manual",$M57=1),$M57&gt;(ROW(PLE.lastrow)-ROW(PLE.firstrow))),0,IF(OFFSET(PLE!$G$14,$M57,CM$13)="",10^12,OFFSET(PLE!$G$14,$M57,CM$13))))</f>
        <v>0</v>
      </c>
    </row>
    <row r="58" spans="1:91" ht="51" x14ac:dyDescent="0.2">
      <c r="A58" s="7" t="str">
        <f t="shared" ca="1" si="9"/>
        <v>42</v>
      </c>
      <c r="B58" s="7" t="str">
        <f ca="1">OFFSET(ORÇAMENTO!C$15,ROW(B58)-ROW(B$15),0)</f>
        <v>S</v>
      </c>
      <c r="C58" s="7" t="str">
        <f ca="1">OFFSET(ORÇAMENTO!L$15,ROW(C58)-ROW(C$15),0)</f>
        <v/>
      </c>
      <c r="D58" s="118" t="str">
        <f ca="1">OFFSET(ORÇAMENTO!N$15,ROW(D58)-ROW(D$15),0)</f>
        <v>Serviço</v>
      </c>
      <c r="E58" s="119" t="str">
        <f ca="1">OFFSET(ORÇAMENTO!O$15,ROW(E58)-ROW(E$15),0)</f>
        <v>-</v>
      </c>
      <c r="F58" s="172" t="str">
        <f ca="1">OFFSET(ORÇAMENTO!R$15,ROW(F58)-ROW(F$15),0)</f>
        <v>(abra o arquivo 'Referência 06-2024.xlsm)</v>
      </c>
      <c r="G58" s="173" t="str">
        <f ca="1">IF($D58&lt;&gt;"Serviço","",OFFSET(ORÇAMENTO!S$15,ROW(G58)-ROW(G$15),0))</f>
        <v>-</v>
      </c>
      <c r="H58" s="124">
        <f ca="1">IF($D58&lt;&gt;"Serviço",0,IF(ACOMPANHAMENTO="BM",ROUND(OFFSET(ORÇAMENTO!AJ$15,ROW(H58)-ROW(H$15),0),15-13*ORÇAMENTO!$AF$7),SUMPRODUCT(($Q$12:$AI$12&lt;&gt;"")*ROUND($Q58:$AI58,15-13*ORÇAMENTO!$AF$7))))</f>
        <v>605.94000000000005</v>
      </c>
      <c r="I58" s="561" t="s">
        <v>1107</v>
      </c>
      <c r="K58" s="174" t="s">
        <v>1028</v>
      </c>
      <c r="L58" s="175" t="s">
        <v>255</v>
      </c>
      <c r="M58" s="176">
        <f ca="1">IF($D58&lt;&gt;"Serviço","",IF(AUTOEVENTO="manual",$A58,IF(ISERROR(MATCH($A58,$A$15:OFFSET($A58,-1,0),0)),MAX($M$15:OFFSET(M58,-1,0))+1,INDEX($M$15:OFFSET(M58,-1,0),MATCH($A58,$A$15:OFFSET($A58,-1,0),0)))))</f>
        <v>9</v>
      </c>
      <c r="N58" s="177" t="str">
        <f ca="1">IF($D58&lt;&gt;"Serviço","",IF(AUTOEVENTO="Manual",IF($A58=0,"&lt;-- defina o número do agrupador",OFFSET(EVENTOS!$D$14,$A58,0)),OFFSET($F$15,$A58,0)))</f>
        <v>SUPERESTRUTURA - CONCRETO ARMADO PARA PILARES</v>
      </c>
      <c r="O58" s="178"/>
      <c r="Q58" s="178">
        <v>605.94000000000005</v>
      </c>
      <c r="R58" s="179"/>
      <c r="S58" s="179"/>
      <c r="T58" s="179"/>
      <c r="U58" s="179"/>
      <c r="V58" s="179"/>
      <c r="W58" s="179"/>
      <c r="X58" s="179"/>
      <c r="Y58" s="179"/>
      <c r="Z58" s="180"/>
      <c r="AA58" s="179"/>
      <c r="AB58" s="179"/>
      <c r="AC58" s="179"/>
      <c r="AD58" s="179"/>
      <c r="AE58" s="179"/>
      <c r="AF58" s="179"/>
      <c r="AG58" s="179"/>
      <c r="AH58" s="180"/>
      <c r="AJ58" s="544">
        <f ca="1">IF(AND($D58="Serviço",AJ$12&lt;&gt;0,$H58&gt;0,OR(AUTOEVENTO&lt;&gt;"manual",$M58&lt;&gt;1)),
IF(Import.TipoArredondamento&lt;&gt;"TransfereGOV",
ROUND(OFFSET($P58,0,AJ$13),15-13*ORÇAMENTO!$AF$7)/$H58*OFFSET(ORÇAMENTO!$X$15,ROW(AJ58)-ROW(AJ$15),0),
ROUND(ROUND(OFFSET($P58,0,AJ$13),15-13*ORÇAMENTO!$AF$7)*OFFSET(ORÇAMENTO!$W$15,ROW(AJ58)-ROW(AJ$15),0),15-13*ORÇAMENTO!$AF$11)),0)</f>
        <v>0</v>
      </c>
      <c r="AK58" s="545">
        <f ca="1">IF(AND($D58="Serviço",AK$12&lt;&gt;0,$H58&gt;0,OR(AUTOEVENTO&lt;&gt;"manual",$M58&lt;&gt;1)),
IF(Import.TipoArredondamento&lt;&gt;"TransfereGOV",
ROUND(OFFSET($P58,0,AK$13),15-13*ORÇAMENTO!$AF$7)/$H58*OFFSET(ORÇAMENTO!$X$15,ROW(AK58)-ROW(AK$15),0),
ROUND(ROUND(OFFSET($P58,0,AK$13),15-13*ORÇAMENTO!$AF$7)*OFFSET(ORÇAMENTO!$W$15,ROW(AK58)-ROW(AK$15),0),15-13*ORÇAMENTO!$AF$11)),0)</f>
        <v>0</v>
      </c>
      <c r="AL58" s="545">
        <f ca="1">IF(AND($D58="Serviço",AL$12&lt;&gt;0,$H58&gt;0,OR(AUTOEVENTO&lt;&gt;"manual",$M58&lt;&gt;1)),
IF(Import.TipoArredondamento&lt;&gt;"TransfereGOV",
ROUND(OFFSET($P58,0,AL$13),15-13*ORÇAMENTO!$AF$7)/$H58*OFFSET(ORÇAMENTO!$X$15,ROW(AL58)-ROW(AL$15),0),
ROUND(ROUND(OFFSET($P58,0,AL$13),15-13*ORÇAMENTO!$AF$7)*OFFSET(ORÇAMENTO!$W$15,ROW(AL58)-ROW(AL$15),0),15-13*ORÇAMENTO!$AF$11)),0)</f>
        <v>0</v>
      </c>
      <c r="AM58" s="545">
        <f ca="1">IF(AND($D58="Serviço",AM$12&lt;&gt;0,$H58&gt;0,OR(AUTOEVENTO&lt;&gt;"manual",$M58&lt;&gt;1)),
IF(Import.TipoArredondamento&lt;&gt;"TransfereGOV",
ROUND(OFFSET($P58,0,AM$13),15-13*ORÇAMENTO!$AF$7)/$H58*OFFSET(ORÇAMENTO!$X$15,ROW(AM58)-ROW(AM$15),0),
ROUND(ROUND(OFFSET($P58,0,AM$13),15-13*ORÇAMENTO!$AF$7)*OFFSET(ORÇAMENTO!$W$15,ROW(AM58)-ROW(AM$15),0),15-13*ORÇAMENTO!$AF$11)),0)</f>
        <v>0</v>
      </c>
      <c r="AN58" s="545">
        <f ca="1">IF(AND($D58="Serviço",AN$12&lt;&gt;0,$H58&gt;0,OR(AUTOEVENTO&lt;&gt;"manual",$M58&lt;&gt;1)),
IF(Import.TipoArredondamento&lt;&gt;"TransfereGOV",
ROUND(OFFSET($P58,0,AN$13),15-13*ORÇAMENTO!$AF$7)/$H58*OFFSET(ORÇAMENTO!$X$15,ROW(AN58)-ROW(AN$15),0),
ROUND(ROUND(OFFSET($P58,0,AN$13),15-13*ORÇAMENTO!$AF$7)*OFFSET(ORÇAMENTO!$W$15,ROW(AN58)-ROW(AN$15),0),15-13*ORÇAMENTO!$AF$11)),0)</f>
        <v>0</v>
      </c>
      <c r="AO58" s="545">
        <f ca="1">IF(AND($D58="Serviço",AO$12&lt;&gt;0,$H58&gt;0,OR(AUTOEVENTO&lt;&gt;"manual",$M58&lt;&gt;1)),
IF(Import.TipoArredondamento&lt;&gt;"TransfereGOV",
ROUND(OFFSET($P58,0,AO$13),15-13*ORÇAMENTO!$AF$7)/$H58*OFFSET(ORÇAMENTO!$X$15,ROW(AO58)-ROW(AO$15),0),
ROUND(ROUND(OFFSET($P58,0,AO$13),15-13*ORÇAMENTO!$AF$7)*OFFSET(ORÇAMENTO!$W$15,ROW(AO58)-ROW(AO$15),0),15-13*ORÇAMENTO!$AF$11)),0)</f>
        <v>0</v>
      </c>
      <c r="AP58" s="545">
        <f ca="1">IF(AND($D58="Serviço",AP$12&lt;&gt;0,$H58&gt;0,OR(AUTOEVENTO&lt;&gt;"manual",$M58&lt;&gt;1)),
IF(Import.TipoArredondamento&lt;&gt;"TransfereGOV",
ROUND(OFFSET($P58,0,AP$13),15-13*ORÇAMENTO!$AF$7)/$H58*OFFSET(ORÇAMENTO!$X$15,ROW(AP58)-ROW(AP$15),0),
ROUND(ROUND(OFFSET($P58,0,AP$13),15-13*ORÇAMENTO!$AF$7)*OFFSET(ORÇAMENTO!$W$15,ROW(AP58)-ROW(AP$15),0),15-13*ORÇAMENTO!$AF$11)),0)</f>
        <v>0</v>
      </c>
      <c r="AQ58" s="545">
        <f ca="1">IF(AND($D58="Serviço",AQ$12&lt;&gt;0,$H58&gt;0,OR(AUTOEVENTO&lt;&gt;"manual",$M58&lt;&gt;1)),
IF(Import.TipoArredondamento&lt;&gt;"TransfereGOV",
ROUND(OFFSET($P58,0,AQ$13),15-13*ORÇAMENTO!$AF$7)/$H58*OFFSET(ORÇAMENTO!$X$15,ROW(AQ58)-ROW(AQ$15),0),
ROUND(ROUND(OFFSET($P58,0,AQ$13),15-13*ORÇAMENTO!$AF$7)*OFFSET(ORÇAMENTO!$W$15,ROW(AQ58)-ROW(AQ$15),0),15-13*ORÇAMENTO!$AF$11)),0)</f>
        <v>0</v>
      </c>
      <c r="AR58" s="545">
        <f ca="1">IF(AND($D58="Serviço",AR$12&lt;&gt;0,$H58&gt;0,OR(AUTOEVENTO&lt;&gt;"manual",$M58&lt;&gt;1)),
IF(Import.TipoArredondamento&lt;&gt;"TransfereGOV",
ROUND(OFFSET($P58,0,AR$13),15-13*ORÇAMENTO!$AF$7)/$H58*OFFSET(ORÇAMENTO!$X$15,ROW(AR58)-ROW(AR$15),0),
ROUND(ROUND(OFFSET($P58,0,AR$13),15-13*ORÇAMENTO!$AF$7)*OFFSET(ORÇAMENTO!$W$15,ROW(AR58)-ROW(AR$15),0),15-13*ORÇAMENTO!$AF$11)),0)</f>
        <v>0</v>
      </c>
      <c r="AS58" s="546">
        <f ca="1">IF(AND($D58="Serviço",AS$12&lt;&gt;0,$H58&gt;0,OR(AUTOEVENTO&lt;&gt;"manual",$M58&lt;&gt;1)),
IF(Import.TipoArredondamento&lt;&gt;"TransfereGOV",
ROUND(OFFSET($P58,0,AS$13),15-13*ORÇAMENTO!$AF$7)/$H58*OFFSET(ORÇAMENTO!$X$15,ROW(AS58)-ROW(AS$15),0),
ROUND(ROUND(OFFSET($P58,0,AS$13),15-13*ORÇAMENTO!$AF$7)*OFFSET(ORÇAMENTO!$W$15,ROW(AS58)-ROW(AS$15),0),15-13*ORÇAMENTO!$AF$11)),0)</f>
        <v>0</v>
      </c>
      <c r="AT58" s="545">
        <f ca="1">IF(AND($D58="Serviço",AT$12&lt;&gt;0,$H58&gt;0,OR(AUTOEVENTO&lt;&gt;"manual",$M58&lt;&gt;1)),
IF(Import.TipoArredondamento&lt;&gt;"TransfereGOV",
ROUND(OFFSET($P58,0,AT$13),15-13*ORÇAMENTO!$AF$7)/$H58*OFFSET(ORÇAMENTO!$X$15,ROW(AT58)-ROW(AT$15),0),
ROUND(ROUND(OFFSET($P58,0,AT$13),15-13*ORÇAMENTO!$AF$7)*OFFSET(ORÇAMENTO!$W$15,ROW(AT58)-ROW(AT$15),0),15-13*ORÇAMENTO!$AF$11)),0)</f>
        <v>0</v>
      </c>
      <c r="AU58" s="545">
        <f ca="1">IF(AND($D58="Serviço",AU$12&lt;&gt;0,$H58&gt;0,OR(AUTOEVENTO&lt;&gt;"manual",$M58&lt;&gt;1)),
IF(Import.TipoArredondamento&lt;&gt;"TransfereGOV",
ROUND(OFFSET($P58,0,AU$13),15-13*ORÇAMENTO!$AF$7)/$H58*OFFSET(ORÇAMENTO!$X$15,ROW(AU58)-ROW(AU$15),0),
ROUND(ROUND(OFFSET($P58,0,AU$13),15-13*ORÇAMENTO!$AF$7)*OFFSET(ORÇAMENTO!$W$15,ROW(AU58)-ROW(AU$15),0),15-13*ORÇAMENTO!$AF$11)),0)</f>
        <v>0</v>
      </c>
      <c r="AV58" s="545">
        <f ca="1">IF(AND($D58="Serviço",AV$12&lt;&gt;0,$H58&gt;0,OR(AUTOEVENTO&lt;&gt;"manual",$M58&lt;&gt;1)),
IF(Import.TipoArredondamento&lt;&gt;"TransfereGOV",
ROUND(OFFSET($P58,0,AV$13),15-13*ORÇAMENTO!$AF$7)/$H58*OFFSET(ORÇAMENTO!$X$15,ROW(AV58)-ROW(AV$15),0),
ROUND(ROUND(OFFSET($P58,0,AV$13),15-13*ORÇAMENTO!$AF$7)*OFFSET(ORÇAMENTO!$W$15,ROW(AV58)-ROW(AV$15),0),15-13*ORÇAMENTO!$AF$11)),0)</f>
        <v>0</v>
      </c>
      <c r="AW58" s="545">
        <f ca="1">IF(AND($D58="Serviço",AW$12&lt;&gt;0,$H58&gt;0,OR(AUTOEVENTO&lt;&gt;"manual",$M58&lt;&gt;1)),
IF(Import.TipoArredondamento&lt;&gt;"TransfereGOV",
ROUND(OFFSET($P58,0,AW$13),15-13*ORÇAMENTO!$AF$7)/$H58*OFFSET(ORÇAMENTO!$X$15,ROW(AW58)-ROW(AW$15),0),
ROUND(ROUND(OFFSET($P58,0,AW$13),15-13*ORÇAMENTO!$AF$7)*OFFSET(ORÇAMENTO!$W$15,ROW(AW58)-ROW(AW$15),0),15-13*ORÇAMENTO!$AF$11)),0)</f>
        <v>0</v>
      </c>
      <c r="AX58" s="545">
        <f ca="1">IF(AND($D58="Serviço",AX$12&lt;&gt;0,$H58&gt;0,OR(AUTOEVENTO&lt;&gt;"manual",$M58&lt;&gt;1)),
IF(Import.TipoArredondamento&lt;&gt;"TransfereGOV",
ROUND(OFFSET($P58,0,AX$13),15-13*ORÇAMENTO!$AF$7)/$H58*OFFSET(ORÇAMENTO!$X$15,ROW(AX58)-ROW(AX$15),0),
ROUND(ROUND(OFFSET($P58,0,AX$13),15-13*ORÇAMENTO!$AF$7)*OFFSET(ORÇAMENTO!$W$15,ROW(AX58)-ROW(AX$15),0),15-13*ORÇAMENTO!$AF$11)),0)</f>
        <v>0</v>
      </c>
      <c r="AY58" s="545">
        <f ca="1">IF(AND($D58="Serviço",AY$12&lt;&gt;0,$H58&gt;0,OR(AUTOEVENTO&lt;&gt;"manual",$M58&lt;&gt;1)),
IF(Import.TipoArredondamento&lt;&gt;"TransfereGOV",
ROUND(OFFSET($P58,0,AY$13),15-13*ORÇAMENTO!$AF$7)/$H58*OFFSET(ORÇAMENTO!$X$15,ROW(AY58)-ROW(AY$15),0),
ROUND(ROUND(OFFSET($P58,0,AY$13),15-13*ORÇAMENTO!$AF$7)*OFFSET(ORÇAMENTO!$W$15,ROW(AY58)-ROW(AY$15),0),15-13*ORÇAMENTO!$AF$11)),0)</f>
        <v>0</v>
      </c>
      <c r="AZ58" s="545">
        <f ca="1">IF(AND($D58="Serviço",AZ$12&lt;&gt;0,$H58&gt;0,OR(AUTOEVENTO&lt;&gt;"manual",$M58&lt;&gt;1)),
IF(Import.TipoArredondamento&lt;&gt;"TransfereGOV",
ROUND(OFFSET($P58,0,AZ$13),15-13*ORÇAMENTO!$AF$7)/$H58*OFFSET(ORÇAMENTO!$X$15,ROW(AZ58)-ROW(AZ$15),0),
ROUND(ROUND(OFFSET($P58,0,AZ$13),15-13*ORÇAMENTO!$AF$7)*OFFSET(ORÇAMENTO!$W$15,ROW(AZ58)-ROW(AZ$15),0),15-13*ORÇAMENTO!$AF$11)),0)</f>
        <v>0</v>
      </c>
      <c r="BA58" s="546">
        <f ca="1">IF(AND($D58="Serviço",BA$12&lt;&gt;0,$H58&gt;0,OR(AUTOEVENTO&lt;&gt;"manual",$M58&lt;&gt;1)),
IF(Import.TipoArredondamento&lt;&gt;"TransfereGOV",
ROUND(OFFSET($P58,0,BA$13),15-13*ORÇAMENTO!$AF$7)/$H58*OFFSET(ORÇAMENTO!$X$15,ROW(BA58)-ROW(BA$15),0),
ROUND(ROUND(OFFSET($P58,0,BA$13),15-13*ORÇAMENTO!$AF$7)*OFFSET(ORÇAMENTO!$W$15,ROW(BA58)-ROW(BA$15),0),15-13*ORÇAMENTO!$AF$11)),0)</f>
        <v>0</v>
      </c>
      <c r="BC58" s="181">
        <f ca="1">IF($D58&lt;&gt;"Serviço",0,IF(AND(AUTOEVENTO="Manual",$M58=1),0,IF(OFFSET(CRONOPLE!$F$14,$M58,BC$13)="",10^12,OFFSET(CRONOPLE!$F$14,$M58,BC$13))))</f>
        <v>3</v>
      </c>
      <c r="BD58" s="181">
        <f ca="1">IF($D58&lt;&gt;"Serviço",0,IF(AND(AUTOEVENTO="Manual",$M58=1),0,IF(OFFSET(CRONOPLE!$F$14,$M58,BD$13)="",10^12,OFFSET(CRONOPLE!$F$14,$M58,BD$13))))</f>
        <v>1000000000000</v>
      </c>
      <c r="BE58" s="181">
        <f ca="1">IF($D58&lt;&gt;"Serviço",0,IF(AND(AUTOEVENTO="Manual",$M58=1),0,IF(OFFSET(CRONOPLE!$F$14,$M58,BE$13)="",10^12,OFFSET(CRONOPLE!$F$14,$M58,BE$13))))</f>
        <v>1000000000000</v>
      </c>
      <c r="BF58" s="181">
        <f ca="1">IF($D58&lt;&gt;"Serviço",0,IF(AND(AUTOEVENTO="Manual",$M58=1),0,IF(OFFSET(CRONOPLE!$F$14,$M58,BF$13)="",10^12,OFFSET(CRONOPLE!$F$14,$M58,BF$13))))</f>
        <v>1000000000000</v>
      </c>
      <c r="BG58" s="181">
        <f ca="1">IF($D58&lt;&gt;"Serviço",0,IF(AND(AUTOEVENTO="Manual",$M58=1),0,IF(OFFSET(CRONOPLE!$F$14,$M58,BG$13)="",10^12,OFFSET(CRONOPLE!$F$14,$M58,BG$13))))</f>
        <v>1000000000000</v>
      </c>
      <c r="BH58" s="181">
        <f ca="1">IF($D58&lt;&gt;"Serviço",0,IF(AND(AUTOEVENTO="Manual",$M58=1),0,IF(OFFSET(CRONOPLE!$F$14,$M58,BH$13)="",10^12,OFFSET(CRONOPLE!$F$14,$M58,BH$13))))</f>
        <v>1000000000000</v>
      </c>
      <c r="BI58" s="181">
        <f ca="1">IF($D58&lt;&gt;"Serviço",0,IF(AND(AUTOEVENTO="Manual",$M58=1),0,IF(OFFSET(CRONOPLE!$F$14,$M58,BI$13)="",10^12,OFFSET(CRONOPLE!$F$14,$M58,BI$13))))</f>
        <v>1000000000000</v>
      </c>
      <c r="BJ58" s="181">
        <f ca="1">IF($D58&lt;&gt;"Serviço",0,IF(AND(AUTOEVENTO="Manual",$M58=1),0,IF(OFFSET(CRONOPLE!$F$14,$M58,BJ$13)="",10^12,OFFSET(CRONOPLE!$F$14,$M58,BJ$13))))</f>
        <v>1000000000000</v>
      </c>
      <c r="BK58" s="181">
        <f ca="1">IF($D58&lt;&gt;"Serviço",0,IF(AND(AUTOEVENTO="Manual",$M58=1),0,IF(OFFSET(CRONOPLE!$F$14,$M58,BK$13)="",10^12,OFFSET(CRONOPLE!$F$14,$M58,BK$13))))</f>
        <v>1000000000000</v>
      </c>
      <c r="BL58" s="181">
        <f ca="1">IF($D58&lt;&gt;"Serviço",0,IF(AND(AUTOEVENTO="Manual",$M58=1),0,IF(OFFSET(CRONOPLE!$F$14,$M58,BL$13)="",10^12,OFFSET(CRONOPLE!$F$14,$M58,BL$13))))</f>
        <v>1000000000000</v>
      </c>
      <c r="BM58" s="181">
        <f ca="1">IF($D58&lt;&gt;"Serviço",0,IF(AND(AUTOEVENTO="Manual",$M58=1),0,IF(OFFSET(CRONOPLE!$F$14,$M58,BM$13)="",10^12,OFFSET(CRONOPLE!$F$14,$M58,BM$13))))</f>
        <v>1000000000000</v>
      </c>
      <c r="BN58" s="181">
        <f ca="1">IF($D58&lt;&gt;"Serviço",0,IF(AND(AUTOEVENTO="Manual",$M58=1),0,IF(OFFSET(CRONOPLE!$F$14,$M58,BN$13)="",10^12,OFFSET(CRONOPLE!$F$14,$M58,BN$13))))</f>
        <v>1000000000000</v>
      </c>
      <c r="BO58" s="181">
        <f ca="1">IF($D58&lt;&gt;"Serviço",0,IF(AND(AUTOEVENTO="Manual",$M58=1),0,IF(OFFSET(CRONOPLE!$F$14,$M58,BO$13)="",10^12,OFFSET(CRONOPLE!$F$14,$M58,BO$13))))</f>
        <v>1000000000000</v>
      </c>
      <c r="BP58" s="181">
        <f ca="1">IF($D58&lt;&gt;"Serviço",0,IF(AND(AUTOEVENTO="Manual",$M58=1),0,IF(OFFSET(CRONOPLE!$F$14,$M58,BP$13)="",10^12,OFFSET(CRONOPLE!$F$14,$M58,BP$13))))</f>
        <v>1000000000000</v>
      </c>
      <c r="BQ58" s="181">
        <f ca="1">IF($D58&lt;&gt;"Serviço",0,IF(AND(AUTOEVENTO="Manual",$M58=1),0,IF(OFFSET(CRONOPLE!$F$14,$M58,BQ$13)="",10^12,OFFSET(CRONOPLE!$F$14,$M58,BQ$13))))</f>
        <v>1000000000000</v>
      </c>
      <c r="BR58" s="181">
        <f ca="1">IF($D58&lt;&gt;"Serviço",0,IF(AND(AUTOEVENTO="Manual",$M58=1),0,IF(OFFSET(CRONOPLE!$F$14,$M58,BR$13)="",10^12,OFFSET(CRONOPLE!$F$14,$M58,BR$13))))</f>
        <v>1000000000000</v>
      </c>
      <c r="BS58" s="181">
        <f ca="1">IF($D58&lt;&gt;"Serviço",0,IF(AND(AUTOEVENTO="Manual",$M58=1),0,IF(OFFSET(CRONOPLE!$F$14,$M58,BS$13)="",10^12,OFFSET(CRONOPLE!$F$14,$M58,BS$13))))</f>
        <v>1000000000000</v>
      </c>
      <c r="BT58" s="181">
        <f ca="1">IF($D58&lt;&gt;"Serviço",0,IF(AND(AUTOEVENTO="Manual",$M58=1),0,IF(OFFSET(CRONOPLE!$F$14,$M58,BT$13)="",10^12,OFFSET(CRONOPLE!$F$14,$M58,BT$13))))</f>
        <v>1000000000000</v>
      </c>
      <c r="BV58" s="182">
        <f ca="1">IF($D58&lt;&gt;"Serviço",0,IF(OR(AND(AUTOEVENTO="Manual",$M58=1),$M58&gt;(ROW(PLE.lastrow)-ROW(PLE.firstrow))),0,IF(OFFSET(PLE!$G$14,$M58,BV$13)="",10^12,OFFSET(PLE!$G$14,$M58,BV$13))))</f>
        <v>1000000000000</v>
      </c>
      <c r="BW58" s="182">
        <f ca="1">IF($D58&lt;&gt;"Serviço",0,IF(OR(AND(AUTOEVENTO="Manual",$M58=1),$M58&gt;(ROW(PLE.lastrow)-ROW(PLE.firstrow))),0,IF(OFFSET(PLE!$G$14,$M58,BW$13)="",10^12,OFFSET(PLE!$G$14,$M58,BW$13))))</f>
        <v>1000000000000</v>
      </c>
      <c r="BX58" s="182">
        <f ca="1">IF($D58&lt;&gt;"Serviço",0,IF(OR(AND(AUTOEVENTO="Manual",$M58=1),$M58&gt;(ROW(PLE.lastrow)-ROW(PLE.firstrow))),0,IF(OFFSET(PLE!$G$14,$M58,BX$13)="",10^12,OFFSET(PLE!$G$14,$M58,BX$13))))</f>
        <v>1000000000000</v>
      </c>
      <c r="BY58" s="182">
        <f ca="1">IF($D58&lt;&gt;"Serviço",0,IF(OR(AND(AUTOEVENTO="Manual",$M58=1),$M58&gt;(ROW(PLE.lastrow)-ROW(PLE.firstrow))),0,IF(OFFSET(PLE!$G$14,$M58,BY$13)="",10^12,OFFSET(PLE!$G$14,$M58,BY$13))))</f>
        <v>1000000000000</v>
      </c>
      <c r="BZ58" s="182">
        <f ca="1">IF($D58&lt;&gt;"Serviço",0,IF(OR(AND(AUTOEVENTO="Manual",$M58=1),$M58&gt;(ROW(PLE.lastrow)-ROW(PLE.firstrow))),0,IF(OFFSET(PLE!$G$14,$M58,BZ$13)="",10^12,OFFSET(PLE!$G$14,$M58,BZ$13))))</f>
        <v>1000000000000</v>
      </c>
      <c r="CA58" s="182">
        <f ca="1">IF($D58&lt;&gt;"Serviço",0,IF(OR(AND(AUTOEVENTO="Manual",$M58=1),$M58&gt;(ROW(PLE.lastrow)-ROW(PLE.firstrow))),0,IF(OFFSET(PLE!$G$14,$M58,CA$13)="",10^12,OFFSET(PLE!$G$14,$M58,CA$13))))</f>
        <v>1000000000000</v>
      </c>
      <c r="CB58" s="182">
        <f ca="1">IF($D58&lt;&gt;"Serviço",0,IF(OR(AND(AUTOEVENTO="Manual",$M58=1),$M58&gt;(ROW(PLE.lastrow)-ROW(PLE.firstrow))),0,IF(OFFSET(PLE!$G$14,$M58,CB$13)="",10^12,OFFSET(PLE!$G$14,$M58,CB$13))))</f>
        <v>1000000000000</v>
      </c>
      <c r="CC58" s="182">
        <f ca="1">IF($D58&lt;&gt;"Serviço",0,IF(OR(AND(AUTOEVENTO="Manual",$M58=1),$M58&gt;(ROW(PLE.lastrow)-ROW(PLE.firstrow))),0,IF(OFFSET(PLE!$G$14,$M58,CC$13)="",10^12,OFFSET(PLE!$G$14,$M58,CC$13))))</f>
        <v>1000000000000</v>
      </c>
      <c r="CD58" s="182">
        <f ca="1">IF($D58&lt;&gt;"Serviço",0,IF(OR(AND(AUTOEVENTO="Manual",$M58=1),$M58&gt;(ROW(PLE.lastrow)-ROW(PLE.firstrow))),0,IF(OFFSET(PLE!$G$14,$M58,CD$13)="",10^12,OFFSET(PLE!$G$14,$M58,CD$13))))</f>
        <v>1000000000000</v>
      </c>
      <c r="CE58" s="182">
        <f ca="1">IF($D58&lt;&gt;"Serviço",0,IF(OR(AND(AUTOEVENTO="Manual",$M58=1),$M58&gt;(ROW(PLE.lastrow)-ROW(PLE.firstrow))),0,IF(OFFSET(PLE!$G$14,$M58,CE$13)="",10^12,OFFSET(PLE!$G$14,$M58,CE$13))))</f>
        <v>1000000000000</v>
      </c>
      <c r="CF58" s="182">
        <f ca="1">IF($D58&lt;&gt;"Serviço",0,IF(OR(AND(AUTOEVENTO="Manual",$M58=1),$M58&gt;(ROW(PLE.lastrow)-ROW(PLE.firstrow))),0,IF(OFFSET(PLE!$G$14,$M58,CF$13)="",10^12,OFFSET(PLE!$G$14,$M58,CF$13))))</f>
        <v>1000000000000</v>
      </c>
      <c r="CG58" s="182">
        <f ca="1">IF($D58&lt;&gt;"Serviço",0,IF(OR(AND(AUTOEVENTO="Manual",$M58=1),$M58&gt;(ROW(PLE.lastrow)-ROW(PLE.firstrow))),0,IF(OFFSET(PLE!$G$14,$M58,CG$13)="",10^12,OFFSET(PLE!$G$14,$M58,CG$13))))</f>
        <v>1000000000000</v>
      </c>
      <c r="CH58" s="182">
        <f ca="1">IF($D58&lt;&gt;"Serviço",0,IF(OR(AND(AUTOEVENTO="Manual",$M58=1),$M58&gt;(ROW(PLE.lastrow)-ROW(PLE.firstrow))),0,IF(OFFSET(PLE!$G$14,$M58,CH$13)="",10^12,OFFSET(PLE!$G$14,$M58,CH$13))))</f>
        <v>1000000000000</v>
      </c>
      <c r="CI58" s="182">
        <f ca="1">IF($D58&lt;&gt;"Serviço",0,IF(OR(AND(AUTOEVENTO="Manual",$M58=1),$M58&gt;(ROW(PLE.lastrow)-ROW(PLE.firstrow))),0,IF(OFFSET(PLE!$G$14,$M58,CI$13)="",10^12,OFFSET(PLE!$G$14,$M58,CI$13))))</f>
        <v>1000000000000</v>
      </c>
      <c r="CJ58" s="182">
        <f ca="1">IF($D58&lt;&gt;"Serviço",0,IF(OR(AND(AUTOEVENTO="Manual",$M58=1),$M58&gt;(ROW(PLE.lastrow)-ROW(PLE.firstrow))),0,IF(OFFSET(PLE!$G$14,$M58,CJ$13)="",10^12,OFFSET(PLE!$G$14,$M58,CJ$13))))</f>
        <v>1000000000000</v>
      </c>
      <c r="CK58" s="182">
        <f ca="1">IF($D58&lt;&gt;"Serviço",0,IF(OR(AND(AUTOEVENTO="Manual",$M58=1),$M58&gt;(ROW(PLE.lastrow)-ROW(PLE.firstrow))),0,IF(OFFSET(PLE!$G$14,$M58,CK$13)="",10^12,OFFSET(PLE!$G$14,$M58,CK$13))))</f>
        <v>1000000000000</v>
      </c>
      <c r="CL58" s="182">
        <f ca="1">IF($D58&lt;&gt;"Serviço",0,IF(OR(AND(AUTOEVENTO="Manual",$M58=1),$M58&gt;(ROW(PLE.lastrow)-ROW(PLE.firstrow))),0,IF(OFFSET(PLE!$G$14,$M58,CL$13)="",10^12,OFFSET(PLE!$G$14,$M58,CL$13))))</f>
        <v>1000000000000</v>
      </c>
      <c r="CM58" s="182">
        <f ca="1">IF($D58&lt;&gt;"Serviço",0,IF(OR(AND(AUTOEVENTO="Manual",$M58=1),$M58&gt;(ROW(PLE.lastrow)-ROW(PLE.firstrow))),0,IF(OFFSET(PLE!$G$14,$M58,CM$13)="",10^12,OFFSET(PLE!$G$14,$M58,CM$13))))</f>
        <v>1000000000000</v>
      </c>
    </row>
    <row r="59" spans="1:91" ht="38.25" x14ac:dyDescent="0.2">
      <c r="A59" s="7" t="str">
        <f t="shared" ca="1" si="9"/>
        <v>42</v>
      </c>
      <c r="B59" s="7" t="str">
        <f ca="1">OFFSET(ORÇAMENTO!C$15,ROW(B59)-ROW(B$15),0)</f>
        <v>S</v>
      </c>
      <c r="C59" s="7" t="str">
        <f ca="1">OFFSET(ORÇAMENTO!L$15,ROW(C59)-ROW(C$15),0)</f>
        <v/>
      </c>
      <c r="D59" s="118" t="str">
        <f ca="1">OFFSET(ORÇAMENTO!N$15,ROW(D59)-ROW(D$15),0)</f>
        <v>Serviço</v>
      </c>
      <c r="E59" s="119" t="str">
        <f ca="1">OFFSET(ORÇAMENTO!O$15,ROW(E59)-ROW(E$15),0)</f>
        <v>-</v>
      </c>
      <c r="F59" s="172" t="str">
        <f ca="1">OFFSET(ORÇAMENTO!R$15,ROW(F59)-ROW(F$15),0)</f>
        <v>(abra o arquivo 'Referência 06-2024.xlsm)</v>
      </c>
      <c r="G59" s="173" t="str">
        <f ca="1">IF($D59&lt;&gt;"Serviço","",OFFSET(ORÇAMENTO!S$15,ROW(G59)-ROW(G$15),0))</f>
        <v>-</v>
      </c>
      <c r="H59" s="124">
        <f ca="1">IF($D59&lt;&gt;"Serviço",0,IF(ACOMPANHAMENTO="BM",ROUND(OFFSET(ORÇAMENTO!AJ$15,ROW(H59)-ROW(H$15),0),15-13*ORÇAMENTO!$AF$7),SUMPRODUCT(($Q$12:$AI$12&lt;&gt;"")*ROUND($Q59:$AI59,15-13*ORÇAMENTO!$AF$7))))</f>
        <v>1560.82</v>
      </c>
      <c r="I59" s="561" t="s">
        <v>1107</v>
      </c>
      <c r="K59" s="174" t="s">
        <v>1028</v>
      </c>
      <c r="L59" s="175" t="s">
        <v>255</v>
      </c>
      <c r="M59" s="176">
        <f ca="1">IF($D59&lt;&gt;"Serviço","",IF(AUTOEVENTO="manual",$A59,IF(ISERROR(MATCH($A59,$A$15:OFFSET($A59,-1,0),0)),MAX($M$15:OFFSET(M59,-1,0))+1,INDEX($M$15:OFFSET(M59,-1,0),MATCH($A59,$A$15:OFFSET($A59,-1,0),0)))))</f>
        <v>9</v>
      </c>
      <c r="N59" s="177" t="str">
        <f ca="1">IF($D59&lt;&gt;"Serviço","",IF(AUTOEVENTO="Manual",IF($A59=0,"&lt;-- defina o número do agrupador",OFFSET(EVENTOS!$D$14,$A59,0)),OFFSET($F$15,$A59,0)))</f>
        <v>SUPERESTRUTURA - CONCRETO ARMADO PARA PILARES</v>
      </c>
      <c r="O59" s="178"/>
      <c r="Q59" s="178">
        <v>1560.82</v>
      </c>
      <c r="R59" s="179"/>
      <c r="S59" s="179"/>
      <c r="T59" s="179"/>
      <c r="U59" s="179"/>
      <c r="V59" s="179"/>
      <c r="W59" s="179"/>
      <c r="X59" s="179"/>
      <c r="Y59" s="179"/>
      <c r="Z59" s="180"/>
      <c r="AA59" s="179"/>
      <c r="AB59" s="179"/>
      <c r="AC59" s="179"/>
      <c r="AD59" s="179"/>
      <c r="AE59" s="179"/>
      <c r="AF59" s="179"/>
      <c r="AG59" s="179"/>
      <c r="AH59" s="180"/>
      <c r="AJ59" s="544">
        <f ca="1">IF(AND($D59="Serviço",AJ$12&lt;&gt;0,$H59&gt;0,OR(AUTOEVENTO&lt;&gt;"manual",$M59&lt;&gt;1)),
IF(Import.TipoArredondamento&lt;&gt;"TransfereGOV",
ROUND(OFFSET($P59,0,AJ$13),15-13*ORÇAMENTO!$AF$7)/$H59*OFFSET(ORÇAMENTO!$X$15,ROW(AJ59)-ROW(AJ$15),0),
ROUND(ROUND(OFFSET($P59,0,AJ$13),15-13*ORÇAMENTO!$AF$7)*OFFSET(ORÇAMENTO!$W$15,ROW(AJ59)-ROW(AJ$15),0),15-13*ORÇAMENTO!$AF$11)),0)</f>
        <v>0</v>
      </c>
      <c r="AK59" s="545">
        <f ca="1">IF(AND($D59="Serviço",AK$12&lt;&gt;0,$H59&gt;0,OR(AUTOEVENTO&lt;&gt;"manual",$M59&lt;&gt;1)),
IF(Import.TipoArredondamento&lt;&gt;"TransfereGOV",
ROUND(OFFSET($P59,0,AK$13),15-13*ORÇAMENTO!$AF$7)/$H59*OFFSET(ORÇAMENTO!$X$15,ROW(AK59)-ROW(AK$15),0),
ROUND(ROUND(OFFSET($P59,0,AK$13),15-13*ORÇAMENTO!$AF$7)*OFFSET(ORÇAMENTO!$W$15,ROW(AK59)-ROW(AK$15),0),15-13*ORÇAMENTO!$AF$11)),0)</f>
        <v>0</v>
      </c>
      <c r="AL59" s="545">
        <f ca="1">IF(AND($D59="Serviço",AL$12&lt;&gt;0,$H59&gt;0,OR(AUTOEVENTO&lt;&gt;"manual",$M59&lt;&gt;1)),
IF(Import.TipoArredondamento&lt;&gt;"TransfereGOV",
ROUND(OFFSET($P59,0,AL$13),15-13*ORÇAMENTO!$AF$7)/$H59*OFFSET(ORÇAMENTO!$X$15,ROW(AL59)-ROW(AL$15),0),
ROUND(ROUND(OFFSET($P59,0,AL$13),15-13*ORÇAMENTO!$AF$7)*OFFSET(ORÇAMENTO!$W$15,ROW(AL59)-ROW(AL$15),0),15-13*ORÇAMENTO!$AF$11)),0)</f>
        <v>0</v>
      </c>
      <c r="AM59" s="545">
        <f ca="1">IF(AND($D59="Serviço",AM$12&lt;&gt;0,$H59&gt;0,OR(AUTOEVENTO&lt;&gt;"manual",$M59&lt;&gt;1)),
IF(Import.TipoArredondamento&lt;&gt;"TransfereGOV",
ROUND(OFFSET($P59,0,AM$13),15-13*ORÇAMENTO!$AF$7)/$H59*OFFSET(ORÇAMENTO!$X$15,ROW(AM59)-ROW(AM$15),0),
ROUND(ROUND(OFFSET($P59,0,AM$13),15-13*ORÇAMENTO!$AF$7)*OFFSET(ORÇAMENTO!$W$15,ROW(AM59)-ROW(AM$15),0),15-13*ORÇAMENTO!$AF$11)),0)</f>
        <v>0</v>
      </c>
      <c r="AN59" s="545">
        <f ca="1">IF(AND($D59="Serviço",AN$12&lt;&gt;0,$H59&gt;0,OR(AUTOEVENTO&lt;&gt;"manual",$M59&lt;&gt;1)),
IF(Import.TipoArredondamento&lt;&gt;"TransfereGOV",
ROUND(OFFSET($P59,0,AN$13),15-13*ORÇAMENTO!$AF$7)/$H59*OFFSET(ORÇAMENTO!$X$15,ROW(AN59)-ROW(AN$15),0),
ROUND(ROUND(OFFSET($P59,0,AN$13),15-13*ORÇAMENTO!$AF$7)*OFFSET(ORÇAMENTO!$W$15,ROW(AN59)-ROW(AN$15),0),15-13*ORÇAMENTO!$AF$11)),0)</f>
        <v>0</v>
      </c>
      <c r="AO59" s="545">
        <f ca="1">IF(AND($D59="Serviço",AO$12&lt;&gt;0,$H59&gt;0,OR(AUTOEVENTO&lt;&gt;"manual",$M59&lt;&gt;1)),
IF(Import.TipoArredondamento&lt;&gt;"TransfereGOV",
ROUND(OFFSET($P59,0,AO$13),15-13*ORÇAMENTO!$AF$7)/$H59*OFFSET(ORÇAMENTO!$X$15,ROW(AO59)-ROW(AO$15),0),
ROUND(ROUND(OFFSET($P59,0,AO$13),15-13*ORÇAMENTO!$AF$7)*OFFSET(ORÇAMENTO!$W$15,ROW(AO59)-ROW(AO$15),0),15-13*ORÇAMENTO!$AF$11)),0)</f>
        <v>0</v>
      </c>
      <c r="AP59" s="545">
        <f ca="1">IF(AND($D59="Serviço",AP$12&lt;&gt;0,$H59&gt;0,OR(AUTOEVENTO&lt;&gt;"manual",$M59&lt;&gt;1)),
IF(Import.TipoArredondamento&lt;&gt;"TransfereGOV",
ROUND(OFFSET($P59,0,AP$13),15-13*ORÇAMENTO!$AF$7)/$H59*OFFSET(ORÇAMENTO!$X$15,ROW(AP59)-ROW(AP$15),0),
ROUND(ROUND(OFFSET($P59,0,AP$13),15-13*ORÇAMENTO!$AF$7)*OFFSET(ORÇAMENTO!$W$15,ROW(AP59)-ROW(AP$15),0),15-13*ORÇAMENTO!$AF$11)),0)</f>
        <v>0</v>
      </c>
      <c r="AQ59" s="545">
        <f ca="1">IF(AND($D59="Serviço",AQ$12&lt;&gt;0,$H59&gt;0,OR(AUTOEVENTO&lt;&gt;"manual",$M59&lt;&gt;1)),
IF(Import.TipoArredondamento&lt;&gt;"TransfereGOV",
ROUND(OFFSET($P59,0,AQ$13),15-13*ORÇAMENTO!$AF$7)/$H59*OFFSET(ORÇAMENTO!$X$15,ROW(AQ59)-ROW(AQ$15),0),
ROUND(ROUND(OFFSET($P59,0,AQ$13),15-13*ORÇAMENTO!$AF$7)*OFFSET(ORÇAMENTO!$W$15,ROW(AQ59)-ROW(AQ$15),0),15-13*ORÇAMENTO!$AF$11)),0)</f>
        <v>0</v>
      </c>
      <c r="AR59" s="545">
        <f ca="1">IF(AND($D59="Serviço",AR$12&lt;&gt;0,$H59&gt;0,OR(AUTOEVENTO&lt;&gt;"manual",$M59&lt;&gt;1)),
IF(Import.TipoArredondamento&lt;&gt;"TransfereGOV",
ROUND(OFFSET($P59,0,AR$13),15-13*ORÇAMENTO!$AF$7)/$H59*OFFSET(ORÇAMENTO!$X$15,ROW(AR59)-ROW(AR$15),0),
ROUND(ROUND(OFFSET($P59,0,AR$13),15-13*ORÇAMENTO!$AF$7)*OFFSET(ORÇAMENTO!$W$15,ROW(AR59)-ROW(AR$15),0),15-13*ORÇAMENTO!$AF$11)),0)</f>
        <v>0</v>
      </c>
      <c r="AS59" s="546">
        <f ca="1">IF(AND($D59="Serviço",AS$12&lt;&gt;0,$H59&gt;0,OR(AUTOEVENTO&lt;&gt;"manual",$M59&lt;&gt;1)),
IF(Import.TipoArredondamento&lt;&gt;"TransfereGOV",
ROUND(OFFSET($P59,0,AS$13),15-13*ORÇAMENTO!$AF$7)/$H59*OFFSET(ORÇAMENTO!$X$15,ROW(AS59)-ROW(AS$15),0),
ROUND(ROUND(OFFSET($P59,0,AS$13),15-13*ORÇAMENTO!$AF$7)*OFFSET(ORÇAMENTO!$W$15,ROW(AS59)-ROW(AS$15),0),15-13*ORÇAMENTO!$AF$11)),0)</f>
        <v>0</v>
      </c>
      <c r="AT59" s="545">
        <f ca="1">IF(AND($D59="Serviço",AT$12&lt;&gt;0,$H59&gt;0,OR(AUTOEVENTO&lt;&gt;"manual",$M59&lt;&gt;1)),
IF(Import.TipoArredondamento&lt;&gt;"TransfereGOV",
ROUND(OFFSET($P59,0,AT$13),15-13*ORÇAMENTO!$AF$7)/$H59*OFFSET(ORÇAMENTO!$X$15,ROW(AT59)-ROW(AT$15),0),
ROUND(ROUND(OFFSET($P59,0,AT$13),15-13*ORÇAMENTO!$AF$7)*OFFSET(ORÇAMENTO!$W$15,ROW(AT59)-ROW(AT$15),0),15-13*ORÇAMENTO!$AF$11)),0)</f>
        <v>0</v>
      </c>
      <c r="AU59" s="545">
        <f ca="1">IF(AND($D59="Serviço",AU$12&lt;&gt;0,$H59&gt;0,OR(AUTOEVENTO&lt;&gt;"manual",$M59&lt;&gt;1)),
IF(Import.TipoArredondamento&lt;&gt;"TransfereGOV",
ROUND(OFFSET($P59,0,AU$13),15-13*ORÇAMENTO!$AF$7)/$H59*OFFSET(ORÇAMENTO!$X$15,ROW(AU59)-ROW(AU$15),0),
ROUND(ROUND(OFFSET($P59,0,AU$13),15-13*ORÇAMENTO!$AF$7)*OFFSET(ORÇAMENTO!$W$15,ROW(AU59)-ROW(AU$15),0),15-13*ORÇAMENTO!$AF$11)),0)</f>
        <v>0</v>
      </c>
      <c r="AV59" s="545">
        <f ca="1">IF(AND($D59="Serviço",AV$12&lt;&gt;0,$H59&gt;0,OR(AUTOEVENTO&lt;&gt;"manual",$M59&lt;&gt;1)),
IF(Import.TipoArredondamento&lt;&gt;"TransfereGOV",
ROUND(OFFSET($P59,0,AV$13),15-13*ORÇAMENTO!$AF$7)/$H59*OFFSET(ORÇAMENTO!$X$15,ROW(AV59)-ROW(AV$15),0),
ROUND(ROUND(OFFSET($P59,0,AV$13),15-13*ORÇAMENTO!$AF$7)*OFFSET(ORÇAMENTO!$W$15,ROW(AV59)-ROW(AV$15),0),15-13*ORÇAMENTO!$AF$11)),0)</f>
        <v>0</v>
      </c>
      <c r="AW59" s="545">
        <f ca="1">IF(AND($D59="Serviço",AW$12&lt;&gt;0,$H59&gt;0,OR(AUTOEVENTO&lt;&gt;"manual",$M59&lt;&gt;1)),
IF(Import.TipoArredondamento&lt;&gt;"TransfereGOV",
ROUND(OFFSET($P59,0,AW$13),15-13*ORÇAMENTO!$AF$7)/$H59*OFFSET(ORÇAMENTO!$X$15,ROW(AW59)-ROW(AW$15),0),
ROUND(ROUND(OFFSET($P59,0,AW$13),15-13*ORÇAMENTO!$AF$7)*OFFSET(ORÇAMENTO!$W$15,ROW(AW59)-ROW(AW$15),0),15-13*ORÇAMENTO!$AF$11)),0)</f>
        <v>0</v>
      </c>
      <c r="AX59" s="545">
        <f ca="1">IF(AND($D59="Serviço",AX$12&lt;&gt;0,$H59&gt;0,OR(AUTOEVENTO&lt;&gt;"manual",$M59&lt;&gt;1)),
IF(Import.TipoArredondamento&lt;&gt;"TransfereGOV",
ROUND(OFFSET($P59,0,AX$13),15-13*ORÇAMENTO!$AF$7)/$H59*OFFSET(ORÇAMENTO!$X$15,ROW(AX59)-ROW(AX$15),0),
ROUND(ROUND(OFFSET($P59,0,AX$13),15-13*ORÇAMENTO!$AF$7)*OFFSET(ORÇAMENTO!$W$15,ROW(AX59)-ROW(AX$15),0),15-13*ORÇAMENTO!$AF$11)),0)</f>
        <v>0</v>
      </c>
      <c r="AY59" s="545">
        <f ca="1">IF(AND($D59="Serviço",AY$12&lt;&gt;0,$H59&gt;0,OR(AUTOEVENTO&lt;&gt;"manual",$M59&lt;&gt;1)),
IF(Import.TipoArredondamento&lt;&gt;"TransfereGOV",
ROUND(OFFSET($P59,0,AY$13),15-13*ORÇAMENTO!$AF$7)/$H59*OFFSET(ORÇAMENTO!$X$15,ROW(AY59)-ROW(AY$15),0),
ROUND(ROUND(OFFSET($P59,0,AY$13),15-13*ORÇAMENTO!$AF$7)*OFFSET(ORÇAMENTO!$W$15,ROW(AY59)-ROW(AY$15),0),15-13*ORÇAMENTO!$AF$11)),0)</f>
        <v>0</v>
      </c>
      <c r="AZ59" s="545">
        <f ca="1">IF(AND($D59="Serviço",AZ$12&lt;&gt;0,$H59&gt;0,OR(AUTOEVENTO&lt;&gt;"manual",$M59&lt;&gt;1)),
IF(Import.TipoArredondamento&lt;&gt;"TransfereGOV",
ROUND(OFFSET($P59,0,AZ$13),15-13*ORÇAMENTO!$AF$7)/$H59*OFFSET(ORÇAMENTO!$X$15,ROW(AZ59)-ROW(AZ$15),0),
ROUND(ROUND(OFFSET($P59,0,AZ$13),15-13*ORÇAMENTO!$AF$7)*OFFSET(ORÇAMENTO!$W$15,ROW(AZ59)-ROW(AZ$15),0),15-13*ORÇAMENTO!$AF$11)),0)</f>
        <v>0</v>
      </c>
      <c r="BA59" s="546">
        <f ca="1">IF(AND($D59="Serviço",BA$12&lt;&gt;0,$H59&gt;0,OR(AUTOEVENTO&lt;&gt;"manual",$M59&lt;&gt;1)),
IF(Import.TipoArredondamento&lt;&gt;"TransfereGOV",
ROUND(OFFSET($P59,0,BA$13),15-13*ORÇAMENTO!$AF$7)/$H59*OFFSET(ORÇAMENTO!$X$15,ROW(BA59)-ROW(BA$15),0),
ROUND(ROUND(OFFSET($P59,0,BA$13),15-13*ORÇAMENTO!$AF$7)*OFFSET(ORÇAMENTO!$W$15,ROW(BA59)-ROW(BA$15),0),15-13*ORÇAMENTO!$AF$11)),0)</f>
        <v>0</v>
      </c>
      <c r="BC59" s="181">
        <f ca="1">IF($D59&lt;&gt;"Serviço",0,IF(AND(AUTOEVENTO="Manual",$M59=1),0,IF(OFFSET(CRONOPLE!$F$14,$M59,BC$13)="",10^12,OFFSET(CRONOPLE!$F$14,$M59,BC$13))))</f>
        <v>3</v>
      </c>
      <c r="BD59" s="181">
        <f ca="1">IF($D59&lt;&gt;"Serviço",0,IF(AND(AUTOEVENTO="Manual",$M59=1),0,IF(OFFSET(CRONOPLE!$F$14,$M59,BD$13)="",10^12,OFFSET(CRONOPLE!$F$14,$M59,BD$13))))</f>
        <v>1000000000000</v>
      </c>
      <c r="BE59" s="181">
        <f ca="1">IF($D59&lt;&gt;"Serviço",0,IF(AND(AUTOEVENTO="Manual",$M59=1),0,IF(OFFSET(CRONOPLE!$F$14,$M59,BE$13)="",10^12,OFFSET(CRONOPLE!$F$14,$M59,BE$13))))</f>
        <v>1000000000000</v>
      </c>
      <c r="BF59" s="181">
        <f ca="1">IF($D59&lt;&gt;"Serviço",0,IF(AND(AUTOEVENTO="Manual",$M59=1),0,IF(OFFSET(CRONOPLE!$F$14,$M59,BF$13)="",10^12,OFFSET(CRONOPLE!$F$14,$M59,BF$13))))</f>
        <v>1000000000000</v>
      </c>
      <c r="BG59" s="181">
        <f ca="1">IF($D59&lt;&gt;"Serviço",0,IF(AND(AUTOEVENTO="Manual",$M59=1),0,IF(OFFSET(CRONOPLE!$F$14,$M59,BG$13)="",10^12,OFFSET(CRONOPLE!$F$14,$M59,BG$13))))</f>
        <v>1000000000000</v>
      </c>
      <c r="BH59" s="181">
        <f ca="1">IF($D59&lt;&gt;"Serviço",0,IF(AND(AUTOEVENTO="Manual",$M59=1),0,IF(OFFSET(CRONOPLE!$F$14,$M59,BH$13)="",10^12,OFFSET(CRONOPLE!$F$14,$M59,BH$13))))</f>
        <v>1000000000000</v>
      </c>
      <c r="BI59" s="181">
        <f ca="1">IF($D59&lt;&gt;"Serviço",0,IF(AND(AUTOEVENTO="Manual",$M59=1),0,IF(OFFSET(CRONOPLE!$F$14,$M59,BI$13)="",10^12,OFFSET(CRONOPLE!$F$14,$M59,BI$13))))</f>
        <v>1000000000000</v>
      </c>
      <c r="BJ59" s="181">
        <f ca="1">IF($D59&lt;&gt;"Serviço",0,IF(AND(AUTOEVENTO="Manual",$M59=1),0,IF(OFFSET(CRONOPLE!$F$14,$M59,BJ$13)="",10^12,OFFSET(CRONOPLE!$F$14,$M59,BJ$13))))</f>
        <v>1000000000000</v>
      </c>
      <c r="BK59" s="181">
        <f ca="1">IF($D59&lt;&gt;"Serviço",0,IF(AND(AUTOEVENTO="Manual",$M59=1),0,IF(OFFSET(CRONOPLE!$F$14,$M59,BK$13)="",10^12,OFFSET(CRONOPLE!$F$14,$M59,BK$13))))</f>
        <v>1000000000000</v>
      </c>
      <c r="BL59" s="181">
        <f ca="1">IF($D59&lt;&gt;"Serviço",0,IF(AND(AUTOEVENTO="Manual",$M59=1),0,IF(OFFSET(CRONOPLE!$F$14,$M59,BL$13)="",10^12,OFFSET(CRONOPLE!$F$14,$M59,BL$13))))</f>
        <v>1000000000000</v>
      </c>
      <c r="BM59" s="181">
        <f ca="1">IF($D59&lt;&gt;"Serviço",0,IF(AND(AUTOEVENTO="Manual",$M59=1),0,IF(OFFSET(CRONOPLE!$F$14,$M59,BM$13)="",10^12,OFFSET(CRONOPLE!$F$14,$M59,BM$13))))</f>
        <v>1000000000000</v>
      </c>
      <c r="BN59" s="181">
        <f ca="1">IF($D59&lt;&gt;"Serviço",0,IF(AND(AUTOEVENTO="Manual",$M59=1),0,IF(OFFSET(CRONOPLE!$F$14,$M59,BN$13)="",10^12,OFFSET(CRONOPLE!$F$14,$M59,BN$13))))</f>
        <v>1000000000000</v>
      </c>
      <c r="BO59" s="181">
        <f ca="1">IF($D59&lt;&gt;"Serviço",0,IF(AND(AUTOEVENTO="Manual",$M59=1),0,IF(OFFSET(CRONOPLE!$F$14,$M59,BO$13)="",10^12,OFFSET(CRONOPLE!$F$14,$M59,BO$13))))</f>
        <v>1000000000000</v>
      </c>
      <c r="BP59" s="181">
        <f ca="1">IF($D59&lt;&gt;"Serviço",0,IF(AND(AUTOEVENTO="Manual",$M59=1),0,IF(OFFSET(CRONOPLE!$F$14,$M59,BP$13)="",10^12,OFFSET(CRONOPLE!$F$14,$M59,BP$13))))</f>
        <v>1000000000000</v>
      </c>
      <c r="BQ59" s="181">
        <f ca="1">IF($D59&lt;&gt;"Serviço",0,IF(AND(AUTOEVENTO="Manual",$M59=1),0,IF(OFFSET(CRONOPLE!$F$14,$M59,BQ$13)="",10^12,OFFSET(CRONOPLE!$F$14,$M59,BQ$13))))</f>
        <v>1000000000000</v>
      </c>
      <c r="BR59" s="181">
        <f ca="1">IF($D59&lt;&gt;"Serviço",0,IF(AND(AUTOEVENTO="Manual",$M59=1),0,IF(OFFSET(CRONOPLE!$F$14,$M59,BR$13)="",10^12,OFFSET(CRONOPLE!$F$14,$M59,BR$13))))</f>
        <v>1000000000000</v>
      </c>
      <c r="BS59" s="181">
        <f ca="1">IF($D59&lt;&gt;"Serviço",0,IF(AND(AUTOEVENTO="Manual",$M59=1),0,IF(OFFSET(CRONOPLE!$F$14,$M59,BS$13)="",10^12,OFFSET(CRONOPLE!$F$14,$M59,BS$13))))</f>
        <v>1000000000000</v>
      </c>
      <c r="BT59" s="181">
        <f ca="1">IF($D59&lt;&gt;"Serviço",0,IF(AND(AUTOEVENTO="Manual",$M59=1),0,IF(OFFSET(CRONOPLE!$F$14,$M59,BT$13)="",10^12,OFFSET(CRONOPLE!$F$14,$M59,BT$13))))</f>
        <v>1000000000000</v>
      </c>
      <c r="BV59" s="182">
        <f ca="1">IF($D59&lt;&gt;"Serviço",0,IF(OR(AND(AUTOEVENTO="Manual",$M59=1),$M59&gt;(ROW(PLE.lastrow)-ROW(PLE.firstrow))),0,IF(OFFSET(PLE!$G$14,$M59,BV$13)="",10^12,OFFSET(PLE!$G$14,$M59,BV$13))))</f>
        <v>1000000000000</v>
      </c>
      <c r="BW59" s="182">
        <f ca="1">IF($D59&lt;&gt;"Serviço",0,IF(OR(AND(AUTOEVENTO="Manual",$M59=1),$M59&gt;(ROW(PLE.lastrow)-ROW(PLE.firstrow))),0,IF(OFFSET(PLE!$G$14,$M59,BW$13)="",10^12,OFFSET(PLE!$G$14,$M59,BW$13))))</f>
        <v>1000000000000</v>
      </c>
      <c r="BX59" s="182">
        <f ca="1">IF($D59&lt;&gt;"Serviço",0,IF(OR(AND(AUTOEVENTO="Manual",$M59=1),$M59&gt;(ROW(PLE.lastrow)-ROW(PLE.firstrow))),0,IF(OFFSET(PLE!$G$14,$M59,BX$13)="",10^12,OFFSET(PLE!$G$14,$M59,BX$13))))</f>
        <v>1000000000000</v>
      </c>
      <c r="BY59" s="182">
        <f ca="1">IF($D59&lt;&gt;"Serviço",0,IF(OR(AND(AUTOEVENTO="Manual",$M59=1),$M59&gt;(ROW(PLE.lastrow)-ROW(PLE.firstrow))),0,IF(OFFSET(PLE!$G$14,$M59,BY$13)="",10^12,OFFSET(PLE!$G$14,$M59,BY$13))))</f>
        <v>1000000000000</v>
      </c>
      <c r="BZ59" s="182">
        <f ca="1">IF($D59&lt;&gt;"Serviço",0,IF(OR(AND(AUTOEVENTO="Manual",$M59=1),$M59&gt;(ROW(PLE.lastrow)-ROW(PLE.firstrow))),0,IF(OFFSET(PLE!$G$14,$M59,BZ$13)="",10^12,OFFSET(PLE!$G$14,$M59,BZ$13))))</f>
        <v>1000000000000</v>
      </c>
      <c r="CA59" s="182">
        <f ca="1">IF($D59&lt;&gt;"Serviço",0,IF(OR(AND(AUTOEVENTO="Manual",$M59=1),$M59&gt;(ROW(PLE.lastrow)-ROW(PLE.firstrow))),0,IF(OFFSET(PLE!$G$14,$M59,CA$13)="",10^12,OFFSET(PLE!$G$14,$M59,CA$13))))</f>
        <v>1000000000000</v>
      </c>
      <c r="CB59" s="182">
        <f ca="1">IF($D59&lt;&gt;"Serviço",0,IF(OR(AND(AUTOEVENTO="Manual",$M59=1),$M59&gt;(ROW(PLE.lastrow)-ROW(PLE.firstrow))),0,IF(OFFSET(PLE!$G$14,$M59,CB$13)="",10^12,OFFSET(PLE!$G$14,$M59,CB$13))))</f>
        <v>1000000000000</v>
      </c>
      <c r="CC59" s="182">
        <f ca="1">IF($D59&lt;&gt;"Serviço",0,IF(OR(AND(AUTOEVENTO="Manual",$M59=1),$M59&gt;(ROW(PLE.lastrow)-ROW(PLE.firstrow))),0,IF(OFFSET(PLE!$G$14,$M59,CC$13)="",10^12,OFFSET(PLE!$G$14,$M59,CC$13))))</f>
        <v>1000000000000</v>
      </c>
      <c r="CD59" s="182">
        <f ca="1">IF($D59&lt;&gt;"Serviço",0,IF(OR(AND(AUTOEVENTO="Manual",$M59=1),$M59&gt;(ROW(PLE.lastrow)-ROW(PLE.firstrow))),0,IF(OFFSET(PLE!$G$14,$M59,CD$13)="",10^12,OFFSET(PLE!$G$14,$M59,CD$13))))</f>
        <v>1000000000000</v>
      </c>
      <c r="CE59" s="182">
        <f ca="1">IF($D59&lt;&gt;"Serviço",0,IF(OR(AND(AUTOEVENTO="Manual",$M59=1),$M59&gt;(ROW(PLE.lastrow)-ROW(PLE.firstrow))),0,IF(OFFSET(PLE!$G$14,$M59,CE$13)="",10^12,OFFSET(PLE!$G$14,$M59,CE$13))))</f>
        <v>1000000000000</v>
      </c>
      <c r="CF59" s="182">
        <f ca="1">IF($D59&lt;&gt;"Serviço",0,IF(OR(AND(AUTOEVENTO="Manual",$M59=1),$M59&gt;(ROW(PLE.lastrow)-ROW(PLE.firstrow))),0,IF(OFFSET(PLE!$G$14,$M59,CF$13)="",10^12,OFFSET(PLE!$G$14,$M59,CF$13))))</f>
        <v>1000000000000</v>
      </c>
      <c r="CG59" s="182">
        <f ca="1">IF($D59&lt;&gt;"Serviço",0,IF(OR(AND(AUTOEVENTO="Manual",$M59=1),$M59&gt;(ROW(PLE.lastrow)-ROW(PLE.firstrow))),0,IF(OFFSET(PLE!$G$14,$M59,CG$13)="",10^12,OFFSET(PLE!$G$14,$M59,CG$13))))</f>
        <v>1000000000000</v>
      </c>
      <c r="CH59" s="182">
        <f ca="1">IF($D59&lt;&gt;"Serviço",0,IF(OR(AND(AUTOEVENTO="Manual",$M59=1),$M59&gt;(ROW(PLE.lastrow)-ROW(PLE.firstrow))),0,IF(OFFSET(PLE!$G$14,$M59,CH$13)="",10^12,OFFSET(PLE!$G$14,$M59,CH$13))))</f>
        <v>1000000000000</v>
      </c>
      <c r="CI59" s="182">
        <f ca="1">IF($D59&lt;&gt;"Serviço",0,IF(OR(AND(AUTOEVENTO="Manual",$M59=1),$M59&gt;(ROW(PLE.lastrow)-ROW(PLE.firstrow))),0,IF(OFFSET(PLE!$G$14,$M59,CI$13)="",10^12,OFFSET(PLE!$G$14,$M59,CI$13))))</f>
        <v>1000000000000</v>
      </c>
      <c r="CJ59" s="182">
        <f ca="1">IF($D59&lt;&gt;"Serviço",0,IF(OR(AND(AUTOEVENTO="Manual",$M59=1),$M59&gt;(ROW(PLE.lastrow)-ROW(PLE.firstrow))),0,IF(OFFSET(PLE!$G$14,$M59,CJ$13)="",10^12,OFFSET(PLE!$G$14,$M59,CJ$13))))</f>
        <v>1000000000000</v>
      </c>
      <c r="CK59" s="182">
        <f ca="1">IF($D59&lt;&gt;"Serviço",0,IF(OR(AND(AUTOEVENTO="Manual",$M59=1),$M59&gt;(ROW(PLE.lastrow)-ROW(PLE.firstrow))),0,IF(OFFSET(PLE!$G$14,$M59,CK$13)="",10^12,OFFSET(PLE!$G$14,$M59,CK$13))))</f>
        <v>1000000000000</v>
      </c>
      <c r="CL59" s="182">
        <f ca="1">IF($D59&lt;&gt;"Serviço",0,IF(OR(AND(AUTOEVENTO="Manual",$M59=1),$M59&gt;(ROW(PLE.lastrow)-ROW(PLE.firstrow))),0,IF(OFFSET(PLE!$G$14,$M59,CL$13)="",10^12,OFFSET(PLE!$G$14,$M59,CL$13))))</f>
        <v>1000000000000</v>
      </c>
      <c r="CM59" s="182">
        <f ca="1">IF($D59&lt;&gt;"Serviço",0,IF(OR(AND(AUTOEVENTO="Manual",$M59=1),$M59&gt;(ROW(PLE.lastrow)-ROW(PLE.firstrow))),0,IF(OFFSET(PLE!$G$14,$M59,CM$13)="",10^12,OFFSET(PLE!$G$14,$M59,CM$13))))</f>
        <v>1000000000000</v>
      </c>
    </row>
    <row r="60" spans="1:91" ht="38.25" x14ac:dyDescent="0.2">
      <c r="A60" s="7" t="str">
        <f t="shared" ca="1" si="9"/>
        <v>42</v>
      </c>
      <c r="B60" s="7" t="str">
        <f ca="1">OFFSET(ORÇAMENTO!C$15,ROW(B60)-ROW(B$15),0)</f>
        <v>S</v>
      </c>
      <c r="C60" s="7" t="str">
        <f ca="1">OFFSET(ORÇAMENTO!L$15,ROW(C60)-ROW(C$15),0)</f>
        <v/>
      </c>
      <c r="D60" s="118" t="str">
        <f ca="1">OFFSET(ORÇAMENTO!N$15,ROW(D60)-ROW(D$15),0)</f>
        <v>Serviço</v>
      </c>
      <c r="E60" s="119" t="str">
        <f ca="1">OFFSET(ORÇAMENTO!O$15,ROW(E60)-ROW(E$15),0)</f>
        <v>-</v>
      </c>
      <c r="F60" s="172" t="str">
        <f ca="1">OFFSET(ORÇAMENTO!R$15,ROW(F60)-ROW(F$15),0)</f>
        <v>(abra o arquivo 'Referência 06-2024.xlsm)</v>
      </c>
      <c r="G60" s="173" t="str">
        <f ca="1">IF($D60&lt;&gt;"Serviço","",OFFSET(ORÇAMENTO!S$15,ROW(G60)-ROW(G$15),0))</f>
        <v>-</v>
      </c>
      <c r="H60" s="124">
        <f ca="1">IF($D60&lt;&gt;"Serviço",0,IF(ACOMPANHAMENTO="BM",ROUND(OFFSET(ORÇAMENTO!AJ$15,ROW(H60)-ROW(H$15),0),15-13*ORÇAMENTO!$AF$7),SUMPRODUCT(($Q$12:$AI$12&lt;&gt;"")*ROUND($Q60:$AI60,15-13*ORÇAMENTO!$AF$7))))</f>
        <v>46.94</v>
      </c>
      <c r="I60" s="561" t="s">
        <v>1107</v>
      </c>
      <c r="K60" s="174" t="s">
        <v>1028</v>
      </c>
      <c r="L60" s="175" t="s">
        <v>255</v>
      </c>
      <c r="M60" s="176">
        <f ca="1">IF($D60&lt;&gt;"Serviço","",IF(AUTOEVENTO="manual",$A60,IF(ISERROR(MATCH($A60,$A$15:OFFSET($A60,-1,0),0)),MAX($M$15:OFFSET(M60,-1,0))+1,INDEX($M$15:OFFSET(M60,-1,0),MATCH($A60,$A$15:OFFSET($A60,-1,0),0)))))</f>
        <v>9</v>
      </c>
      <c r="N60" s="177" t="str">
        <f ca="1">IF($D60&lt;&gt;"Serviço","",IF(AUTOEVENTO="Manual",IF($A60=0,"&lt;-- defina o número do agrupador",OFFSET(EVENTOS!$D$14,$A60,0)),OFFSET($F$15,$A60,0)))</f>
        <v>SUPERESTRUTURA - CONCRETO ARMADO PARA PILARES</v>
      </c>
      <c r="O60" s="178"/>
      <c r="Q60" s="178">
        <v>46.94</v>
      </c>
      <c r="R60" s="179"/>
      <c r="S60" s="179"/>
      <c r="T60" s="179"/>
      <c r="U60" s="179"/>
      <c r="V60" s="179"/>
      <c r="W60" s="179"/>
      <c r="X60" s="179"/>
      <c r="Y60" s="179"/>
      <c r="Z60" s="180"/>
      <c r="AA60" s="179"/>
      <c r="AB60" s="179"/>
      <c r="AC60" s="179"/>
      <c r="AD60" s="179"/>
      <c r="AE60" s="179"/>
      <c r="AF60" s="179"/>
      <c r="AG60" s="179"/>
      <c r="AH60" s="180"/>
      <c r="AJ60" s="544">
        <f ca="1">IF(AND($D60="Serviço",AJ$12&lt;&gt;0,$H60&gt;0,OR(AUTOEVENTO&lt;&gt;"manual",$M60&lt;&gt;1)),
IF(Import.TipoArredondamento&lt;&gt;"TransfereGOV",
ROUND(OFFSET($P60,0,AJ$13),15-13*ORÇAMENTO!$AF$7)/$H60*OFFSET(ORÇAMENTO!$X$15,ROW(AJ60)-ROW(AJ$15),0),
ROUND(ROUND(OFFSET($P60,0,AJ$13),15-13*ORÇAMENTO!$AF$7)*OFFSET(ORÇAMENTO!$W$15,ROW(AJ60)-ROW(AJ$15),0),15-13*ORÇAMENTO!$AF$11)),0)</f>
        <v>0</v>
      </c>
      <c r="AK60" s="545">
        <f ca="1">IF(AND($D60="Serviço",AK$12&lt;&gt;0,$H60&gt;0,OR(AUTOEVENTO&lt;&gt;"manual",$M60&lt;&gt;1)),
IF(Import.TipoArredondamento&lt;&gt;"TransfereGOV",
ROUND(OFFSET($P60,0,AK$13),15-13*ORÇAMENTO!$AF$7)/$H60*OFFSET(ORÇAMENTO!$X$15,ROW(AK60)-ROW(AK$15),0),
ROUND(ROUND(OFFSET($P60,0,AK$13),15-13*ORÇAMENTO!$AF$7)*OFFSET(ORÇAMENTO!$W$15,ROW(AK60)-ROW(AK$15),0),15-13*ORÇAMENTO!$AF$11)),0)</f>
        <v>0</v>
      </c>
      <c r="AL60" s="545">
        <f ca="1">IF(AND($D60="Serviço",AL$12&lt;&gt;0,$H60&gt;0,OR(AUTOEVENTO&lt;&gt;"manual",$M60&lt;&gt;1)),
IF(Import.TipoArredondamento&lt;&gt;"TransfereGOV",
ROUND(OFFSET($P60,0,AL$13),15-13*ORÇAMENTO!$AF$7)/$H60*OFFSET(ORÇAMENTO!$X$15,ROW(AL60)-ROW(AL$15),0),
ROUND(ROUND(OFFSET($P60,0,AL$13),15-13*ORÇAMENTO!$AF$7)*OFFSET(ORÇAMENTO!$W$15,ROW(AL60)-ROW(AL$15),0),15-13*ORÇAMENTO!$AF$11)),0)</f>
        <v>0</v>
      </c>
      <c r="AM60" s="545">
        <f ca="1">IF(AND($D60="Serviço",AM$12&lt;&gt;0,$H60&gt;0,OR(AUTOEVENTO&lt;&gt;"manual",$M60&lt;&gt;1)),
IF(Import.TipoArredondamento&lt;&gt;"TransfereGOV",
ROUND(OFFSET($P60,0,AM$13),15-13*ORÇAMENTO!$AF$7)/$H60*OFFSET(ORÇAMENTO!$X$15,ROW(AM60)-ROW(AM$15),0),
ROUND(ROUND(OFFSET($P60,0,AM$13),15-13*ORÇAMENTO!$AF$7)*OFFSET(ORÇAMENTO!$W$15,ROW(AM60)-ROW(AM$15),0),15-13*ORÇAMENTO!$AF$11)),0)</f>
        <v>0</v>
      </c>
      <c r="AN60" s="545">
        <f ca="1">IF(AND($D60="Serviço",AN$12&lt;&gt;0,$H60&gt;0,OR(AUTOEVENTO&lt;&gt;"manual",$M60&lt;&gt;1)),
IF(Import.TipoArredondamento&lt;&gt;"TransfereGOV",
ROUND(OFFSET($P60,0,AN$13),15-13*ORÇAMENTO!$AF$7)/$H60*OFFSET(ORÇAMENTO!$X$15,ROW(AN60)-ROW(AN$15),0),
ROUND(ROUND(OFFSET($P60,0,AN$13),15-13*ORÇAMENTO!$AF$7)*OFFSET(ORÇAMENTO!$W$15,ROW(AN60)-ROW(AN$15),0),15-13*ORÇAMENTO!$AF$11)),0)</f>
        <v>0</v>
      </c>
      <c r="AO60" s="545">
        <f ca="1">IF(AND($D60="Serviço",AO$12&lt;&gt;0,$H60&gt;0,OR(AUTOEVENTO&lt;&gt;"manual",$M60&lt;&gt;1)),
IF(Import.TipoArredondamento&lt;&gt;"TransfereGOV",
ROUND(OFFSET($P60,0,AO$13),15-13*ORÇAMENTO!$AF$7)/$H60*OFFSET(ORÇAMENTO!$X$15,ROW(AO60)-ROW(AO$15),0),
ROUND(ROUND(OFFSET($P60,0,AO$13),15-13*ORÇAMENTO!$AF$7)*OFFSET(ORÇAMENTO!$W$15,ROW(AO60)-ROW(AO$15),0),15-13*ORÇAMENTO!$AF$11)),0)</f>
        <v>0</v>
      </c>
      <c r="AP60" s="545">
        <f ca="1">IF(AND($D60="Serviço",AP$12&lt;&gt;0,$H60&gt;0,OR(AUTOEVENTO&lt;&gt;"manual",$M60&lt;&gt;1)),
IF(Import.TipoArredondamento&lt;&gt;"TransfereGOV",
ROUND(OFFSET($P60,0,AP$13),15-13*ORÇAMENTO!$AF$7)/$H60*OFFSET(ORÇAMENTO!$X$15,ROW(AP60)-ROW(AP$15),0),
ROUND(ROUND(OFFSET($P60,0,AP$13),15-13*ORÇAMENTO!$AF$7)*OFFSET(ORÇAMENTO!$W$15,ROW(AP60)-ROW(AP$15),0),15-13*ORÇAMENTO!$AF$11)),0)</f>
        <v>0</v>
      </c>
      <c r="AQ60" s="545">
        <f ca="1">IF(AND($D60="Serviço",AQ$12&lt;&gt;0,$H60&gt;0,OR(AUTOEVENTO&lt;&gt;"manual",$M60&lt;&gt;1)),
IF(Import.TipoArredondamento&lt;&gt;"TransfereGOV",
ROUND(OFFSET($P60,0,AQ$13),15-13*ORÇAMENTO!$AF$7)/$H60*OFFSET(ORÇAMENTO!$X$15,ROW(AQ60)-ROW(AQ$15),0),
ROUND(ROUND(OFFSET($P60,0,AQ$13),15-13*ORÇAMENTO!$AF$7)*OFFSET(ORÇAMENTO!$W$15,ROW(AQ60)-ROW(AQ$15),0),15-13*ORÇAMENTO!$AF$11)),0)</f>
        <v>0</v>
      </c>
      <c r="AR60" s="545">
        <f ca="1">IF(AND($D60="Serviço",AR$12&lt;&gt;0,$H60&gt;0,OR(AUTOEVENTO&lt;&gt;"manual",$M60&lt;&gt;1)),
IF(Import.TipoArredondamento&lt;&gt;"TransfereGOV",
ROUND(OFFSET($P60,0,AR$13),15-13*ORÇAMENTO!$AF$7)/$H60*OFFSET(ORÇAMENTO!$X$15,ROW(AR60)-ROW(AR$15),0),
ROUND(ROUND(OFFSET($P60,0,AR$13),15-13*ORÇAMENTO!$AF$7)*OFFSET(ORÇAMENTO!$W$15,ROW(AR60)-ROW(AR$15),0),15-13*ORÇAMENTO!$AF$11)),0)</f>
        <v>0</v>
      </c>
      <c r="AS60" s="546">
        <f ca="1">IF(AND($D60="Serviço",AS$12&lt;&gt;0,$H60&gt;0,OR(AUTOEVENTO&lt;&gt;"manual",$M60&lt;&gt;1)),
IF(Import.TipoArredondamento&lt;&gt;"TransfereGOV",
ROUND(OFFSET($P60,0,AS$13),15-13*ORÇAMENTO!$AF$7)/$H60*OFFSET(ORÇAMENTO!$X$15,ROW(AS60)-ROW(AS$15),0),
ROUND(ROUND(OFFSET($P60,0,AS$13),15-13*ORÇAMENTO!$AF$7)*OFFSET(ORÇAMENTO!$W$15,ROW(AS60)-ROW(AS$15),0),15-13*ORÇAMENTO!$AF$11)),0)</f>
        <v>0</v>
      </c>
      <c r="AT60" s="545">
        <f ca="1">IF(AND($D60="Serviço",AT$12&lt;&gt;0,$H60&gt;0,OR(AUTOEVENTO&lt;&gt;"manual",$M60&lt;&gt;1)),
IF(Import.TipoArredondamento&lt;&gt;"TransfereGOV",
ROUND(OFFSET($P60,0,AT$13),15-13*ORÇAMENTO!$AF$7)/$H60*OFFSET(ORÇAMENTO!$X$15,ROW(AT60)-ROW(AT$15),0),
ROUND(ROUND(OFFSET($P60,0,AT$13),15-13*ORÇAMENTO!$AF$7)*OFFSET(ORÇAMENTO!$W$15,ROW(AT60)-ROW(AT$15),0),15-13*ORÇAMENTO!$AF$11)),0)</f>
        <v>0</v>
      </c>
      <c r="AU60" s="545">
        <f ca="1">IF(AND($D60="Serviço",AU$12&lt;&gt;0,$H60&gt;0,OR(AUTOEVENTO&lt;&gt;"manual",$M60&lt;&gt;1)),
IF(Import.TipoArredondamento&lt;&gt;"TransfereGOV",
ROUND(OFFSET($P60,0,AU$13),15-13*ORÇAMENTO!$AF$7)/$H60*OFFSET(ORÇAMENTO!$X$15,ROW(AU60)-ROW(AU$15),0),
ROUND(ROUND(OFFSET($P60,0,AU$13),15-13*ORÇAMENTO!$AF$7)*OFFSET(ORÇAMENTO!$W$15,ROW(AU60)-ROW(AU$15),0),15-13*ORÇAMENTO!$AF$11)),0)</f>
        <v>0</v>
      </c>
      <c r="AV60" s="545">
        <f ca="1">IF(AND($D60="Serviço",AV$12&lt;&gt;0,$H60&gt;0,OR(AUTOEVENTO&lt;&gt;"manual",$M60&lt;&gt;1)),
IF(Import.TipoArredondamento&lt;&gt;"TransfereGOV",
ROUND(OFFSET($P60,0,AV$13),15-13*ORÇAMENTO!$AF$7)/$H60*OFFSET(ORÇAMENTO!$X$15,ROW(AV60)-ROW(AV$15),0),
ROUND(ROUND(OFFSET($P60,0,AV$13),15-13*ORÇAMENTO!$AF$7)*OFFSET(ORÇAMENTO!$W$15,ROW(AV60)-ROW(AV$15),0),15-13*ORÇAMENTO!$AF$11)),0)</f>
        <v>0</v>
      </c>
      <c r="AW60" s="545">
        <f ca="1">IF(AND($D60="Serviço",AW$12&lt;&gt;0,$H60&gt;0,OR(AUTOEVENTO&lt;&gt;"manual",$M60&lt;&gt;1)),
IF(Import.TipoArredondamento&lt;&gt;"TransfereGOV",
ROUND(OFFSET($P60,0,AW$13),15-13*ORÇAMENTO!$AF$7)/$H60*OFFSET(ORÇAMENTO!$X$15,ROW(AW60)-ROW(AW$15),0),
ROUND(ROUND(OFFSET($P60,0,AW$13),15-13*ORÇAMENTO!$AF$7)*OFFSET(ORÇAMENTO!$W$15,ROW(AW60)-ROW(AW$15),0),15-13*ORÇAMENTO!$AF$11)),0)</f>
        <v>0</v>
      </c>
      <c r="AX60" s="545">
        <f ca="1">IF(AND($D60="Serviço",AX$12&lt;&gt;0,$H60&gt;0,OR(AUTOEVENTO&lt;&gt;"manual",$M60&lt;&gt;1)),
IF(Import.TipoArredondamento&lt;&gt;"TransfereGOV",
ROUND(OFFSET($P60,0,AX$13),15-13*ORÇAMENTO!$AF$7)/$H60*OFFSET(ORÇAMENTO!$X$15,ROW(AX60)-ROW(AX$15),0),
ROUND(ROUND(OFFSET($P60,0,AX$13),15-13*ORÇAMENTO!$AF$7)*OFFSET(ORÇAMENTO!$W$15,ROW(AX60)-ROW(AX$15),0),15-13*ORÇAMENTO!$AF$11)),0)</f>
        <v>0</v>
      </c>
      <c r="AY60" s="545">
        <f ca="1">IF(AND($D60="Serviço",AY$12&lt;&gt;0,$H60&gt;0,OR(AUTOEVENTO&lt;&gt;"manual",$M60&lt;&gt;1)),
IF(Import.TipoArredondamento&lt;&gt;"TransfereGOV",
ROUND(OFFSET($P60,0,AY$13),15-13*ORÇAMENTO!$AF$7)/$H60*OFFSET(ORÇAMENTO!$X$15,ROW(AY60)-ROW(AY$15),0),
ROUND(ROUND(OFFSET($P60,0,AY$13),15-13*ORÇAMENTO!$AF$7)*OFFSET(ORÇAMENTO!$W$15,ROW(AY60)-ROW(AY$15),0),15-13*ORÇAMENTO!$AF$11)),0)</f>
        <v>0</v>
      </c>
      <c r="AZ60" s="545">
        <f ca="1">IF(AND($D60="Serviço",AZ$12&lt;&gt;0,$H60&gt;0,OR(AUTOEVENTO&lt;&gt;"manual",$M60&lt;&gt;1)),
IF(Import.TipoArredondamento&lt;&gt;"TransfereGOV",
ROUND(OFFSET($P60,0,AZ$13),15-13*ORÇAMENTO!$AF$7)/$H60*OFFSET(ORÇAMENTO!$X$15,ROW(AZ60)-ROW(AZ$15),0),
ROUND(ROUND(OFFSET($P60,0,AZ$13),15-13*ORÇAMENTO!$AF$7)*OFFSET(ORÇAMENTO!$W$15,ROW(AZ60)-ROW(AZ$15),0),15-13*ORÇAMENTO!$AF$11)),0)</f>
        <v>0</v>
      </c>
      <c r="BA60" s="546">
        <f ca="1">IF(AND($D60="Serviço",BA$12&lt;&gt;0,$H60&gt;0,OR(AUTOEVENTO&lt;&gt;"manual",$M60&lt;&gt;1)),
IF(Import.TipoArredondamento&lt;&gt;"TransfereGOV",
ROUND(OFFSET($P60,0,BA$13),15-13*ORÇAMENTO!$AF$7)/$H60*OFFSET(ORÇAMENTO!$X$15,ROW(BA60)-ROW(BA$15),0),
ROUND(ROUND(OFFSET($P60,0,BA$13),15-13*ORÇAMENTO!$AF$7)*OFFSET(ORÇAMENTO!$W$15,ROW(BA60)-ROW(BA$15),0),15-13*ORÇAMENTO!$AF$11)),0)</f>
        <v>0</v>
      </c>
      <c r="BC60" s="181">
        <f ca="1">IF($D60&lt;&gt;"Serviço",0,IF(AND(AUTOEVENTO="Manual",$M60=1),0,IF(OFFSET(CRONOPLE!$F$14,$M60,BC$13)="",10^12,OFFSET(CRONOPLE!$F$14,$M60,BC$13))))</f>
        <v>3</v>
      </c>
      <c r="BD60" s="181">
        <f ca="1">IF($D60&lt;&gt;"Serviço",0,IF(AND(AUTOEVENTO="Manual",$M60=1),0,IF(OFFSET(CRONOPLE!$F$14,$M60,BD$13)="",10^12,OFFSET(CRONOPLE!$F$14,$M60,BD$13))))</f>
        <v>1000000000000</v>
      </c>
      <c r="BE60" s="181">
        <f ca="1">IF($D60&lt;&gt;"Serviço",0,IF(AND(AUTOEVENTO="Manual",$M60=1),0,IF(OFFSET(CRONOPLE!$F$14,$M60,BE$13)="",10^12,OFFSET(CRONOPLE!$F$14,$M60,BE$13))))</f>
        <v>1000000000000</v>
      </c>
      <c r="BF60" s="181">
        <f ca="1">IF($D60&lt;&gt;"Serviço",0,IF(AND(AUTOEVENTO="Manual",$M60=1),0,IF(OFFSET(CRONOPLE!$F$14,$M60,BF$13)="",10^12,OFFSET(CRONOPLE!$F$14,$M60,BF$13))))</f>
        <v>1000000000000</v>
      </c>
      <c r="BG60" s="181">
        <f ca="1">IF($D60&lt;&gt;"Serviço",0,IF(AND(AUTOEVENTO="Manual",$M60=1),0,IF(OFFSET(CRONOPLE!$F$14,$M60,BG$13)="",10^12,OFFSET(CRONOPLE!$F$14,$M60,BG$13))))</f>
        <v>1000000000000</v>
      </c>
      <c r="BH60" s="181">
        <f ca="1">IF($D60&lt;&gt;"Serviço",0,IF(AND(AUTOEVENTO="Manual",$M60=1),0,IF(OFFSET(CRONOPLE!$F$14,$M60,BH$13)="",10^12,OFFSET(CRONOPLE!$F$14,$M60,BH$13))))</f>
        <v>1000000000000</v>
      </c>
      <c r="BI60" s="181">
        <f ca="1">IF($D60&lt;&gt;"Serviço",0,IF(AND(AUTOEVENTO="Manual",$M60=1),0,IF(OFFSET(CRONOPLE!$F$14,$M60,BI$13)="",10^12,OFFSET(CRONOPLE!$F$14,$M60,BI$13))))</f>
        <v>1000000000000</v>
      </c>
      <c r="BJ60" s="181">
        <f ca="1">IF($D60&lt;&gt;"Serviço",0,IF(AND(AUTOEVENTO="Manual",$M60=1),0,IF(OFFSET(CRONOPLE!$F$14,$M60,BJ$13)="",10^12,OFFSET(CRONOPLE!$F$14,$M60,BJ$13))))</f>
        <v>1000000000000</v>
      </c>
      <c r="BK60" s="181">
        <f ca="1">IF($D60&lt;&gt;"Serviço",0,IF(AND(AUTOEVENTO="Manual",$M60=1),0,IF(OFFSET(CRONOPLE!$F$14,$M60,BK$13)="",10^12,OFFSET(CRONOPLE!$F$14,$M60,BK$13))))</f>
        <v>1000000000000</v>
      </c>
      <c r="BL60" s="181">
        <f ca="1">IF($D60&lt;&gt;"Serviço",0,IF(AND(AUTOEVENTO="Manual",$M60=1),0,IF(OFFSET(CRONOPLE!$F$14,$M60,BL$13)="",10^12,OFFSET(CRONOPLE!$F$14,$M60,BL$13))))</f>
        <v>1000000000000</v>
      </c>
      <c r="BM60" s="181">
        <f ca="1">IF($D60&lt;&gt;"Serviço",0,IF(AND(AUTOEVENTO="Manual",$M60=1),0,IF(OFFSET(CRONOPLE!$F$14,$M60,BM$13)="",10^12,OFFSET(CRONOPLE!$F$14,$M60,BM$13))))</f>
        <v>1000000000000</v>
      </c>
      <c r="BN60" s="181">
        <f ca="1">IF($D60&lt;&gt;"Serviço",0,IF(AND(AUTOEVENTO="Manual",$M60=1),0,IF(OFFSET(CRONOPLE!$F$14,$M60,BN$13)="",10^12,OFFSET(CRONOPLE!$F$14,$M60,BN$13))))</f>
        <v>1000000000000</v>
      </c>
      <c r="BO60" s="181">
        <f ca="1">IF($D60&lt;&gt;"Serviço",0,IF(AND(AUTOEVENTO="Manual",$M60=1),0,IF(OFFSET(CRONOPLE!$F$14,$M60,BO$13)="",10^12,OFFSET(CRONOPLE!$F$14,$M60,BO$13))))</f>
        <v>1000000000000</v>
      </c>
      <c r="BP60" s="181">
        <f ca="1">IF($D60&lt;&gt;"Serviço",0,IF(AND(AUTOEVENTO="Manual",$M60=1),0,IF(OFFSET(CRONOPLE!$F$14,$M60,BP$13)="",10^12,OFFSET(CRONOPLE!$F$14,$M60,BP$13))))</f>
        <v>1000000000000</v>
      </c>
      <c r="BQ60" s="181">
        <f ca="1">IF($D60&lt;&gt;"Serviço",0,IF(AND(AUTOEVENTO="Manual",$M60=1),0,IF(OFFSET(CRONOPLE!$F$14,$M60,BQ$13)="",10^12,OFFSET(CRONOPLE!$F$14,$M60,BQ$13))))</f>
        <v>1000000000000</v>
      </c>
      <c r="BR60" s="181">
        <f ca="1">IF($D60&lt;&gt;"Serviço",0,IF(AND(AUTOEVENTO="Manual",$M60=1),0,IF(OFFSET(CRONOPLE!$F$14,$M60,BR$13)="",10^12,OFFSET(CRONOPLE!$F$14,$M60,BR$13))))</f>
        <v>1000000000000</v>
      </c>
      <c r="BS60" s="181">
        <f ca="1">IF($D60&lt;&gt;"Serviço",0,IF(AND(AUTOEVENTO="Manual",$M60=1),0,IF(OFFSET(CRONOPLE!$F$14,$M60,BS$13)="",10^12,OFFSET(CRONOPLE!$F$14,$M60,BS$13))))</f>
        <v>1000000000000</v>
      </c>
      <c r="BT60" s="181">
        <f ca="1">IF($D60&lt;&gt;"Serviço",0,IF(AND(AUTOEVENTO="Manual",$M60=1),0,IF(OFFSET(CRONOPLE!$F$14,$M60,BT$13)="",10^12,OFFSET(CRONOPLE!$F$14,$M60,BT$13))))</f>
        <v>1000000000000</v>
      </c>
      <c r="BV60" s="182">
        <f ca="1">IF($D60&lt;&gt;"Serviço",0,IF(OR(AND(AUTOEVENTO="Manual",$M60=1),$M60&gt;(ROW(PLE.lastrow)-ROW(PLE.firstrow))),0,IF(OFFSET(PLE!$G$14,$M60,BV$13)="",10^12,OFFSET(PLE!$G$14,$M60,BV$13))))</f>
        <v>1000000000000</v>
      </c>
      <c r="BW60" s="182">
        <f ca="1">IF($D60&lt;&gt;"Serviço",0,IF(OR(AND(AUTOEVENTO="Manual",$M60=1),$M60&gt;(ROW(PLE.lastrow)-ROW(PLE.firstrow))),0,IF(OFFSET(PLE!$G$14,$M60,BW$13)="",10^12,OFFSET(PLE!$G$14,$M60,BW$13))))</f>
        <v>1000000000000</v>
      </c>
      <c r="BX60" s="182">
        <f ca="1">IF($D60&lt;&gt;"Serviço",0,IF(OR(AND(AUTOEVENTO="Manual",$M60=1),$M60&gt;(ROW(PLE.lastrow)-ROW(PLE.firstrow))),0,IF(OFFSET(PLE!$G$14,$M60,BX$13)="",10^12,OFFSET(PLE!$G$14,$M60,BX$13))))</f>
        <v>1000000000000</v>
      </c>
      <c r="BY60" s="182">
        <f ca="1">IF($D60&lt;&gt;"Serviço",0,IF(OR(AND(AUTOEVENTO="Manual",$M60=1),$M60&gt;(ROW(PLE.lastrow)-ROW(PLE.firstrow))),0,IF(OFFSET(PLE!$G$14,$M60,BY$13)="",10^12,OFFSET(PLE!$G$14,$M60,BY$13))))</f>
        <v>1000000000000</v>
      </c>
      <c r="BZ60" s="182">
        <f ca="1">IF($D60&lt;&gt;"Serviço",0,IF(OR(AND(AUTOEVENTO="Manual",$M60=1),$M60&gt;(ROW(PLE.lastrow)-ROW(PLE.firstrow))),0,IF(OFFSET(PLE!$G$14,$M60,BZ$13)="",10^12,OFFSET(PLE!$G$14,$M60,BZ$13))))</f>
        <v>1000000000000</v>
      </c>
      <c r="CA60" s="182">
        <f ca="1">IF($D60&lt;&gt;"Serviço",0,IF(OR(AND(AUTOEVENTO="Manual",$M60=1),$M60&gt;(ROW(PLE.lastrow)-ROW(PLE.firstrow))),0,IF(OFFSET(PLE!$G$14,$M60,CA$13)="",10^12,OFFSET(PLE!$G$14,$M60,CA$13))))</f>
        <v>1000000000000</v>
      </c>
      <c r="CB60" s="182">
        <f ca="1">IF($D60&lt;&gt;"Serviço",0,IF(OR(AND(AUTOEVENTO="Manual",$M60=1),$M60&gt;(ROW(PLE.lastrow)-ROW(PLE.firstrow))),0,IF(OFFSET(PLE!$G$14,$M60,CB$13)="",10^12,OFFSET(PLE!$G$14,$M60,CB$13))))</f>
        <v>1000000000000</v>
      </c>
      <c r="CC60" s="182">
        <f ca="1">IF($D60&lt;&gt;"Serviço",0,IF(OR(AND(AUTOEVENTO="Manual",$M60=1),$M60&gt;(ROW(PLE.lastrow)-ROW(PLE.firstrow))),0,IF(OFFSET(PLE!$G$14,$M60,CC$13)="",10^12,OFFSET(PLE!$G$14,$M60,CC$13))))</f>
        <v>1000000000000</v>
      </c>
      <c r="CD60" s="182">
        <f ca="1">IF($D60&lt;&gt;"Serviço",0,IF(OR(AND(AUTOEVENTO="Manual",$M60=1),$M60&gt;(ROW(PLE.lastrow)-ROW(PLE.firstrow))),0,IF(OFFSET(PLE!$G$14,$M60,CD$13)="",10^12,OFFSET(PLE!$G$14,$M60,CD$13))))</f>
        <v>1000000000000</v>
      </c>
      <c r="CE60" s="182">
        <f ca="1">IF($D60&lt;&gt;"Serviço",0,IF(OR(AND(AUTOEVENTO="Manual",$M60=1),$M60&gt;(ROW(PLE.lastrow)-ROW(PLE.firstrow))),0,IF(OFFSET(PLE!$G$14,$M60,CE$13)="",10^12,OFFSET(PLE!$G$14,$M60,CE$13))))</f>
        <v>1000000000000</v>
      </c>
      <c r="CF60" s="182">
        <f ca="1">IF($D60&lt;&gt;"Serviço",0,IF(OR(AND(AUTOEVENTO="Manual",$M60=1),$M60&gt;(ROW(PLE.lastrow)-ROW(PLE.firstrow))),0,IF(OFFSET(PLE!$G$14,$M60,CF$13)="",10^12,OFFSET(PLE!$G$14,$M60,CF$13))))</f>
        <v>1000000000000</v>
      </c>
      <c r="CG60" s="182">
        <f ca="1">IF($D60&lt;&gt;"Serviço",0,IF(OR(AND(AUTOEVENTO="Manual",$M60=1),$M60&gt;(ROW(PLE.lastrow)-ROW(PLE.firstrow))),0,IF(OFFSET(PLE!$G$14,$M60,CG$13)="",10^12,OFFSET(PLE!$G$14,$M60,CG$13))))</f>
        <v>1000000000000</v>
      </c>
      <c r="CH60" s="182">
        <f ca="1">IF($D60&lt;&gt;"Serviço",0,IF(OR(AND(AUTOEVENTO="Manual",$M60=1),$M60&gt;(ROW(PLE.lastrow)-ROW(PLE.firstrow))),0,IF(OFFSET(PLE!$G$14,$M60,CH$13)="",10^12,OFFSET(PLE!$G$14,$M60,CH$13))))</f>
        <v>1000000000000</v>
      </c>
      <c r="CI60" s="182">
        <f ca="1">IF($D60&lt;&gt;"Serviço",0,IF(OR(AND(AUTOEVENTO="Manual",$M60=1),$M60&gt;(ROW(PLE.lastrow)-ROW(PLE.firstrow))),0,IF(OFFSET(PLE!$G$14,$M60,CI$13)="",10^12,OFFSET(PLE!$G$14,$M60,CI$13))))</f>
        <v>1000000000000</v>
      </c>
      <c r="CJ60" s="182">
        <f ca="1">IF($D60&lt;&gt;"Serviço",0,IF(OR(AND(AUTOEVENTO="Manual",$M60=1),$M60&gt;(ROW(PLE.lastrow)-ROW(PLE.firstrow))),0,IF(OFFSET(PLE!$G$14,$M60,CJ$13)="",10^12,OFFSET(PLE!$G$14,$M60,CJ$13))))</f>
        <v>1000000000000</v>
      </c>
      <c r="CK60" s="182">
        <f ca="1">IF($D60&lt;&gt;"Serviço",0,IF(OR(AND(AUTOEVENTO="Manual",$M60=1),$M60&gt;(ROW(PLE.lastrow)-ROW(PLE.firstrow))),0,IF(OFFSET(PLE!$G$14,$M60,CK$13)="",10^12,OFFSET(PLE!$G$14,$M60,CK$13))))</f>
        <v>1000000000000</v>
      </c>
      <c r="CL60" s="182">
        <f ca="1">IF($D60&lt;&gt;"Serviço",0,IF(OR(AND(AUTOEVENTO="Manual",$M60=1),$M60&gt;(ROW(PLE.lastrow)-ROW(PLE.firstrow))),0,IF(OFFSET(PLE!$G$14,$M60,CL$13)="",10^12,OFFSET(PLE!$G$14,$M60,CL$13))))</f>
        <v>1000000000000</v>
      </c>
      <c r="CM60" s="182">
        <f ca="1">IF($D60&lt;&gt;"Serviço",0,IF(OR(AND(AUTOEVENTO="Manual",$M60=1),$M60&gt;(ROW(PLE.lastrow)-ROW(PLE.firstrow))),0,IF(OFFSET(PLE!$G$14,$M60,CM$13)="",10^12,OFFSET(PLE!$G$14,$M60,CM$13))))</f>
        <v>1000000000000</v>
      </c>
    </row>
    <row r="61" spans="1:91" ht="38.25" x14ac:dyDescent="0.2">
      <c r="A61" s="7" t="str">
        <f t="shared" ca="1" si="9"/>
        <v>42</v>
      </c>
      <c r="B61" s="7" t="str">
        <f ca="1">OFFSET(ORÇAMENTO!C$15,ROW(B61)-ROW(B$15),0)</f>
        <v>S</v>
      </c>
      <c r="C61" s="7" t="str">
        <f ca="1">OFFSET(ORÇAMENTO!L$15,ROW(C61)-ROW(C$15),0)</f>
        <v/>
      </c>
      <c r="D61" s="118" t="str">
        <f ca="1">OFFSET(ORÇAMENTO!N$15,ROW(D61)-ROW(D$15),0)</f>
        <v>Serviço</v>
      </c>
      <c r="E61" s="119" t="str">
        <f ca="1">OFFSET(ORÇAMENTO!O$15,ROW(E61)-ROW(E$15),0)</f>
        <v>-</v>
      </c>
      <c r="F61" s="172" t="str">
        <f ca="1">OFFSET(ORÇAMENTO!R$15,ROW(F61)-ROW(F$15),0)</f>
        <v>(abra o arquivo 'Referência 06-2024.xlsm)</v>
      </c>
      <c r="G61" s="173" t="str">
        <f ca="1">IF($D61&lt;&gt;"Serviço","",OFFSET(ORÇAMENTO!S$15,ROW(G61)-ROW(G$15),0))</f>
        <v>-</v>
      </c>
      <c r="H61" s="124">
        <f ca="1">IF($D61&lt;&gt;"Serviço",0,IF(ACOMPANHAMENTO="BM",ROUND(OFFSET(ORÇAMENTO!AJ$15,ROW(H61)-ROW(H$15),0),15-13*ORÇAMENTO!$AF$7),SUMPRODUCT(($Q$12:$AI$12&lt;&gt;"")*ROUND($Q61:$AI61,15-13*ORÇAMENTO!$AF$7))))</f>
        <v>880.4</v>
      </c>
      <c r="I61" s="561" t="s">
        <v>1107</v>
      </c>
      <c r="K61" s="174" t="s">
        <v>1028</v>
      </c>
      <c r="L61" s="175" t="s">
        <v>255</v>
      </c>
      <c r="M61" s="176">
        <f ca="1">IF($D61&lt;&gt;"Serviço","",IF(AUTOEVENTO="manual",$A61,IF(ISERROR(MATCH($A61,$A$15:OFFSET($A61,-1,0),0)),MAX($M$15:OFFSET(M61,-1,0))+1,INDEX($M$15:OFFSET(M61,-1,0),MATCH($A61,$A$15:OFFSET($A61,-1,0),0)))))</f>
        <v>9</v>
      </c>
      <c r="N61" s="177" t="str">
        <f ca="1">IF($D61&lt;&gt;"Serviço","",IF(AUTOEVENTO="Manual",IF($A61=0,"&lt;-- defina o número do agrupador",OFFSET(EVENTOS!$D$14,$A61,0)),OFFSET($F$15,$A61,0)))</f>
        <v>SUPERESTRUTURA - CONCRETO ARMADO PARA PILARES</v>
      </c>
      <c r="O61" s="178"/>
      <c r="Q61" s="178">
        <v>880.4</v>
      </c>
      <c r="R61" s="179"/>
      <c r="S61" s="179"/>
      <c r="T61" s="179"/>
      <c r="U61" s="179"/>
      <c r="V61" s="179"/>
      <c r="W61" s="179"/>
      <c r="X61" s="179"/>
      <c r="Y61" s="179"/>
      <c r="Z61" s="180"/>
      <c r="AA61" s="179"/>
      <c r="AB61" s="179"/>
      <c r="AC61" s="179"/>
      <c r="AD61" s="179"/>
      <c r="AE61" s="179"/>
      <c r="AF61" s="179"/>
      <c r="AG61" s="179"/>
      <c r="AH61" s="180"/>
      <c r="AJ61" s="544">
        <f ca="1">IF(AND($D61="Serviço",AJ$12&lt;&gt;0,$H61&gt;0,OR(AUTOEVENTO&lt;&gt;"manual",$M61&lt;&gt;1)),
IF(Import.TipoArredondamento&lt;&gt;"TransfereGOV",
ROUND(OFFSET($P61,0,AJ$13),15-13*ORÇAMENTO!$AF$7)/$H61*OFFSET(ORÇAMENTO!$X$15,ROW(AJ61)-ROW(AJ$15),0),
ROUND(ROUND(OFFSET($P61,0,AJ$13),15-13*ORÇAMENTO!$AF$7)*OFFSET(ORÇAMENTO!$W$15,ROW(AJ61)-ROW(AJ$15),0),15-13*ORÇAMENTO!$AF$11)),0)</f>
        <v>0</v>
      </c>
      <c r="AK61" s="545">
        <f ca="1">IF(AND($D61="Serviço",AK$12&lt;&gt;0,$H61&gt;0,OR(AUTOEVENTO&lt;&gt;"manual",$M61&lt;&gt;1)),
IF(Import.TipoArredondamento&lt;&gt;"TransfereGOV",
ROUND(OFFSET($P61,0,AK$13),15-13*ORÇAMENTO!$AF$7)/$H61*OFFSET(ORÇAMENTO!$X$15,ROW(AK61)-ROW(AK$15),0),
ROUND(ROUND(OFFSET($P61,0,AK$13),15-13*ORÇAMENTO!$AF$7)*OFFSET(ORÇAMENTO!$W$15,ROW(AK61)-ROW(AK$15),0),15-13*ORÇAMENTO!$AF$11)),0)</f>
        <v>0</v>
      </c>
      <c r="AL61" s="545">
        <f ca="1">IF(AND($D61="Serviço",AL$12&lt;&gt;0,$H61&gt;0,OR(AUTOEVENTO&lt;&gt;"manual",$M61&lt;&gt;1)),
IF(Import.TipoArredondamento&lt;&gt;"TransfereGOV",
ROUND(OFFSET($P61,0,AL$13),15-13*ORÇAMENTO!$AF$7)/$H61*OFFSET(ORÇAMENTO!$X$15,ROW(AL61)-ROW(AL$15),0),
ROUND(ROUND(OFFSET($P61,0,AL$13),15-13*ORÇAMENTO!$AF$7)*OFFSET(ORÇAMENTO!$W$15,ROW(AL61)-ROW(AL$15),0),15-13*ORÇAMENTO!$AF$11)),0)</f>
        <v>0</v>
      </c>
      <c r="AM61" s="545">
        <f ca="1">IF(AND($D61="Serviço",AM$12&lt;&gt;0,$H61&gt;0,OR(AUTOEVENTO&lt;&gt;"manual",$M61&lt;&gt;1)),
IF(Import.TipoArredondamento&lt;&gt;"TransfereGOV",
ROUND(OFFSET($P61,0,AM$13),15-13*ORÇAMENTO!$AF$7)/$H61*OFFSET(ORÇAMENTO!$X$15,ROW(AM61)-ROW(AM$15),0),
ROUND(ROUND(OFFSET($P61,0,AM$13),15-13*ORÇAMENTO!$AF$7)*OFFSET(ORÇAMENTO!$W$15,ROW(AM61)-ROW(AM$15),0),15-13*ORÇAMENTO!$AF$11)),0)</f>
        <v>0</v>
      </c>
      <c r="AN61" s="545">
        <f ca="1">IF(AND($D61="Serviço",AN$12&lt;&gt;0,$H61&gt;0,OR(AUTOEVENTO&lt;&gt;"manual",$M61&lt;&gt;1)),
IF(Import.TipoArredondamento&lt;&gt;"TransfereGOV",
ROUND(OFFSET($P61,0,AN$13),15-13*ORÇAMENTO!$AF$7)/$H61*OFFSET(ORÇAMENTO!$X$15,ROW(AN61)-ROW(AN$15),0),
ROUND(ROUND(OFFSET($P61,0,AN$13),15-13*ORÇAMENTO!$AF$7)*OFFSET(ORÇAMENTO!$W$15,ROW(AN61)-ROW(AN$15),0),15-13*ORÇAMENTO!$AF$11)),0)</f>
        <v>0</v>
      </c>
      <c r="AO61" s="545">
        <f ca="1">IF(AND($D61="Serviço",AO$12&lt;&gt;0,$H61&gt;0,OR(AUTOEVENTO&lt;&gt;"manual",$M61&lt;&gt;1)),
IF(Import.TipoArredondamento&lt;&gt;"TransfereGOV",
ROUND(OFFSET($P61,0,AO$13),15-13*ORÇAMENTO!$AF$7)/$H61*OFFSET(ORÇAMENTO!$X$15,ROW(AO61)-ROW(AO$15),0),
ROUND(ROUND(OFFSET($P61,0,AO$13),15-13*ORÇAMENTO!$AF$7)*OFFSET(ORÇAMENTO!$W$15,ROW(AO61)-ROW(AO$15),0),15-13*ORÇAMENTO!$AF$11)),0)</f>
        <v>0</v>
      </c>
      <c r="AP61" s="545">
        <f ca="1">IF(AND($D61="Serviço",AP$12&lt;&gt;0,$H61&gt;0,OR(AUTOEVENTO&lt;&gt;"manual",$M61&lt;&gt;1)),
IF(Import.TipoArredondamento&lt;&gt;"TransfereGOV",
ROUND(OFFSET($P61,0,AP$13),15-13*ORÇAMENTO!$AF$7)/$H61*OFFSET(ORÇAMENTO!$X$15,ROW(AP61)-ROW(AP$15),0),
ROUND(ROUND(OFFSET($P61,0,AP$13),15-13*ORÇAMENTO!$AF$7)*OFFSET(ORÇAMENTO!$W$15,ROW(AP61)-ROW(AP$15),0),15-13*ORÇAMENTO!$AF$11)),0)</f>
        <v>0</v>
      </c>
      <c r="AQ61" s="545">
        <f ca="1">IF(AND($D61="Serviço",AQ$12&lt;&gt;0,$H61&gt;0,OR(AUTOEVENTO&lt;&gt;"manual",$M61&lt;&gt;1)),
IF(Import.TipoArredondamento&lt;&gt;"TransfereGOV",
ROUND(OFFSET($P61,0,AQ$13),15-13*ORÇAMENTO!$AF$7)/$H61*OFFSET(ORÇAMENTO!$X$15,ROW(AQ61)-ROW(AQ$15),0),
ROUND(ROUND(OFFSET($P61,0,AQ$13),15-13*ORÇAMENTO!$AF$7)*OFFSET(ORÇAMENTO!$W$15,ROW(AQ61)-ROW(AQ$15),0),15-13*ORÇAMENTO!$AF$11)),0)</f>
        <v>0</v>
      </c>
      <c r="AR61" s="545">
        <f ca="1">IF(AND($D61="Serviço",AR$12&lt;&gt;0,$H61&gt;0,OR(AUTOEVENTO&lt;&gt;"manual",$M61&lt;&gt;1)),
IF(Import.TipoArredondamento&lt;&gt;"TransfereGOV",
ROUND(OFFSET($P61,0,AR$13),15-13*ORÇAMENTO!$AF$7)/$H61*OFFSET(ORÇAMENTO!$X$15,ROW(AR61)-ROW(AR$15),0),
ROUND(ROUND(OFFSET($P61,0,AR$13),15-13*ORÇAMENTO!$AF$7)*OFFSET(ORÇAMENTO!$W$15,ROW(AR61)-ROW(AR$15),0),15-13*ORÇAMENTO!$AF$11)),0)</f>
        <v>0</v>
      </c>
      <c r="AS61" s="546">
        <f ca="1">IF(AND($D61="Serviço",AS$12&lt;&gt;0,$H61&gt;0,OR(AUTOEVENTO&lt;&gt;"manual",$M61&lt;&gt;1)),
IF(Import.TipoArredondamento&lt;&gt;"TransfereGOV",
ROUND(OFFSET($P61,0,AS$13),15-13*ORÇAMENTO!$AF$7)/$H61*OFFSET(ORÇAMENTO!$X$15,ROW(AS61)-ROW(AS$15),0),
ROUND(ROUND(OFFSET($P61,0,AS$13),15-13*ORÇAMENTO!$AF$7)*OFFSET(ORÇAMENTO!$W$15,ROW(AS61)-ROW(AS$15),0),15-13*ORÇAMENTO!$AF$11)),0)</f>
        <v>0</v>
      </c>
      <c r="AT61" s="545">
        <f ca="1">IF(AND($D61="Serviço",AT$12&lt;&gt;0,$H61&gt;0,OR(AUTOEVENTO&lt;&gt;"manual",$M61&lt;&gt;1)),
IF(Import.TipoArredondamento&lt;&gt;"TransfereGOV",
ROUND(OFFSET($P61,0,AT$13),15-13*ORÇAMENTO!$AF$7)/$H61*OFFSET(ORÇAMENTO!$X$15,ROW(AT61)-ROW(AT$15),0),
ROUND(ROUND(OFFSET($P61,0,AT$13),15-13*ORÇAMENTO!$AF$7)*OFFSET(ORÇAMENTO!$W$15,ROW(AT61)-ROW(AT$15),0),15-13*ORÇAMENTO!$AF$11)),0)</f>
        <v>0</v>
      </c>
      <c r="AU61" s="545">
        <f ca="1">IF(AND($D61="Serviço",AU$12&lt;&gt;0,$H61&gt;0,OR(AUTOEVENTO&lt;&gt;"manual",$M61&lt;&gt;1)),
IF(Import.TipoArredondamento&lt;&gt;"TransfereGOV",
ROUND(OFFSET($P61,0,AU$13),15-13*ORÇAMENTO!$AF$7)/$H61*OFFSET(ORÇAMENTO!$X$15,ROW(AU61)-ROW(AU$15),0),
ROUND(ROUND(OFFSET($P61,0,AU$13),15-13*ORÇAMENTO!$AF$7)*OFFSET(ORÇAMENTO!$W$15,ROW(AU61)-ROW(AU$15),0),15-13*ORÇAMENTO!$AF$11)),0)</f>
        <v>0</v>
      </c>
      <c r="AV61" s="545">
        <f ca="1">IF(AND($D61="Serviço",AV$12&lt;&gt;0,$H61&gt;0,OR(AUTOEVENTO&lt;&gt;"manual",$M61&lt;&gt;1)),
IF(Import.TipoArredondamento&lt;&gt;"TransfereGOV",
ROUND(OFFSET($P61,0,AV$13),15-13*ORÇAMENTO!$AF$7)/$H61*OFFSET(ORÇAMENTO!$X$15,ROW(AV61)-ROW(AV$15),0),
ROUND(ROUND(OFFSET($P61,0,AV$13),15-13*ORÇAMENTO!$AF$7)*OFFSET(ORÇAMENTO!$W$15,ROW(AV61)-ROW(AV$15),0),15-13*ORÇAMENTO!$AF$11)),0)</f>
        <v>0</v>
      </c>
      <c r="AW61" s="545">
        <f ca="1">IF(AND($D61="Serviço",AW$12&lt;&gt;0,$H61&gt;0,OR(AUTOEVENTO&lt;&gt;"manual",$M61&lt;&gt;1)),
IF(Import.TipoArredondamento&lt;&gt;"TransfereGOV",
ROUND(OFFSET($P61,0,AW$13),15-13*ORÇAMENTO!$AF$7)/$H61*OFFSET(ORÇAMENTO!$X$15,ROW(AW61)-ROW(AW$15),0),
ROUND(ROUND(OFFSET($P61,0,AW$13),15-13*ORÇAMENTO!$AF$7)*OFFSET(ORÇAMENTO!$W$15,ROW(AW61)-ROW(AW$15),0),15-13*ORÇAMENTO!$AF$11)),0)</f>
        <v>0</v>
      </c>
      <c r="AX61" s="545">
        <f ca="1">IF(AND($D61="Serviço",AX$12&lt;&gt;0,$H61&gt;0,OR(AUTOEVENTO&lt;&gt;"manual",$M61&lt;&gt;1)),
IF(Import.TipoArredondamento&lt;&gt;"TransfereGOV",
ROUND(OFFSET($P61,0,AX$13),15-13*ORÇAMENTO!$AF$7)/$H61*OFFSET(ORÇAMENTO!$X$15,ROW(AX61)-ROW(AX$15),0),
ROUND(ROUND(OFFSET($P61,0,AX$13),15-13*ORÇAMENTO!$AF$7)*OFFSET(ORÇAMENTO!$W$15,ROW(AX61)-ROW(AX$15),0),15-13*ORÇAMENTO!$AF$11)),0)</f>
        <v>0</v>
      </c>
      <c r="AY61" s="545">
        <f ca="1">IF(AND($D61="Serviço",AY$12&lt;&gt;0,$H61&gt;0,OR(AUTOEVENTO&lt;&gt;"manual",$M61&lt;&gt;1)),
IF(Import.TipoArredondamento&lt;&gt;"TransfereGOV",
ROUND(OFFSET($P61,0,AY$13),15-13*ORÇAMENTO!$AF$7)/$H61*OFFSET(ORÇAMENTO!$X$15,ROW(AY61)-ROW(AY$15),0),
ROUND(ROUND(OFFSET($P61,0,AY$13),15-13*ORÇAMENTO!$AF$7)*OFFSET(ORÇAMENTO!$W$15,ROW(AY61)-ROW(AY$15),0),15-13*ORÇAMENTO!$AF$11)),0)</f>
        <v>0</v>
      </c>
      <c r="AZ61" s="545">
        <f ca="1">IF(AND($D61="Serviço",AZ$12&lt;&gt;0,$H61&gt;0,OR(AUTOEVENTO&lt;&gt;"manual",$M61&lt;&gt;1)),
IF(Import.TipoArredondamento&lt;&gt;"TransfereGOV",
ROUND(OFFSET($P61,0,AZ$13),15-13*ORÇAMENTO!$AF$7)/$H61*OFFSET(ORÇAMENTO!$X$15,ROW(AZ61)-ROW(AZ$15),0),
ROUND(ROUND(OFFSET($P61,0,AZ$13),15-13*ORÇAMENTO!$AF$7)*OFFSET(ORÇAMENTO!$W$15,ROW(AZ61)-ROW(AZ$15),0),15-13*ORÇAMENTO!$AF$11)),0)</f>
        <v>0</v>
      </c>
      <c r="BA61" s="546">
        <f ca="1">IF(AND($D61="Serviço",BA$12&lt;&gt;0,$H61&gt;0,OR(AUTOEVENTO&lt;&gt;"manual",$M61&lt;&gt;1)),
IF(Import.TipoArredondamento&lt;&gt;"TransfereGOV",
ROUND(OFFSET($P61,0,BA$13),15-13*ORÇAMENTO!$AF$7)/$H61*OFFSET(ORÇAMENTO!$X$15,ROW(BA61)-ROW(BA$15),0),
ROUND(ROUND(OFFSET($P61,0,BA$13),15-13*ORÇAMENTO!$AF$7)*OFFSET(ORÇAMENTO!$W$15,ROW(BA61)-ROW(BA$15),0),15-13*ORÇAMENTO!$AF$11)),0)</f>
        <v>0</v>
      </c>
      <c r="BC61" s="181">
        <f ca="1">IF($D61&lt;&gt;"Serviço",0,IF(AND(AUTOEVENTO="Manual",$M61=1),0,IF(OFFSET(CRONOPLE!$F$14,$M61,BC$13)="",10^12,OFFSET(CRONOPLE!$F$14,$M61,BC$13))))</f>
        <v>3</v>
      </c>
      <c r="BD61" s="181">
        <f ca="1">IF($D61&lt;&gt;"Serviço",0,IF(AND(AUTOEVENTO="Manual",$M61=1),0,IF(OFFSET(CRONOPLE!$F$14,$M61,BD$13)="",10^12,OFFSET(CRONOPLE!$F$14,$M61,BD$13))))</f>
        <v>1000000000000</v>
      </c>
      <c r="BE61" s="181">
        <f ca="1">IF($D61&lt;&gt;"Serviço",0,IF(AND(AUTOEVENTO="Manual",$M61=1),0,IF(OFFSET(CRONOPLE!$F$14,$M61,BE$13)="",10^12,OFFSET(CRONOPLE!$F$14,$M61,BE$13))))</f>
        <v>1000000000000</v>
      </c>
      <c r="BF61" s="181">
        <f ca="1">IF($D61&lt;&gt;"Serviço",0,IF(AND(AUTOEVENTO="Manual",$M61=1),0,IF(OFFSET(CRONOPLE!$F$14,$M61,BF$13)="",10^12,OFFSET(CRONOPLE!$F$14,$M61,BF$13))))</f>
        <v>1000000000000</v>
      </c>
      <c r="BG61" s="181">
        <f ca="1">IF($D61&lt;&gt;"Serviço",0,IF(AND(AUTOEVENTO="Manual",$M61=1),0,IF(OFFSET(CRONOPLE!$F$14,$M61,BG$13)="",10^12,OFFSET(CRONOPLE!$F$14,$M61,BG$13))))</f>
        <v>1000000000000</v>
      </c>
      <c r="BH61" s="181">
        <f ca="1">IF($D61&lt;&gt;"Serviço",0,IF(AND(AUTOEVENTO="Manual",$M61=1),0,IF(OFFSET(CRONOPLE!$F$14,$M61,BH$13)="",10^12,OFFSET(CRONOPLE!$F$14,$M61,BH$13))))</f>
        <v>1000000000000</v>
      </c>
      <c r="BI61" s="181">
        <f ca="1">IF($D61&lt;&gt;"Serviço",0,IF(AND(AUTOEVENTO="Manual",$M61=1),0,IF(OFFSET(CRONOPLE!$F$14,$M61,BI$13)="",10^12,OFFSET(CRONOPLE!$F$14,$M61,BI$13))))</f>
        <v>1000000000000</v>
      </c>
      <c r="BJ61" s="181">
        <f ca="1">IF($D61&lt;&gt;"Serviço",0,IF(AND(AUTOEVENTO="Manual",$M61=1),0,IF(OFFSET(CRONOPLE!$F$14,$M61,BJ$13)="",10^12,OFFSET(CRONOPLE!$F$14,$M61,BJ$13))))</f>
        <v>1000000000000</v>
      </c>
      <c r="BK61" s="181">
        <f ca="1">IF($D61&lt;&gt;"Serviço",0,IF(AND(AUTOEVENTO="Manual",$M61=1),0,IF(OFFSET(CRONOPLE!$F$14,$M61,BK$13)="",10^12,OFFSET(CRONOPLE!$F$14,$M61,BK$13))))</f>
        <v>1000000000000</v>
      </c>
      <c r="BL61" s="181">
        <f ca="1">IF($D61&lt;&gt;"Serviço",0,IF(AND(AUTOEVENTO="Manual",$M61=1),0,IF(OFFSET(CRONOPLE!$F$14,$M61,BL$13)="",10^12,OFFSET(CRONOPLE!$F$14,$M61,BL$13))))</f>
        <v>1000000000000</v>
      </c>
      <c r="BM61" s="181">
        <f ca="1">IF($D61&lt;&gt;"Serviço",0,IF(AND(AUTOEVENTO="Manual",$M61=1),0,IF(OFFSET(CRONOPLE!$F$14,$M61,BM$13)="",10^12,OFFSET(CRONOPLE!$F$14,$M61,BM$13))))</f>
        <v>1000000000000</v>
      </c>
      <c r="BN61" s="181">
        <f ca="1">IF($D61&lt;&gt;"Serviço",0,IF(AND(AUTOEVENTO="Manual",$M61=1),0,IF(OFFSET(CRONOPLE!$F$14,$M61,BN$13)="",10^12,OFFSET(CRONOPLE!$F$14,$M61,BN$13))))</f>
        <v>1000000000000</v>
      </c>
      <c r="BO61" s="181">
        <f ca="1">IF($D61&lt;&gt;"Serviço",0,IF(AND(AUTOEVENTO="Manual",$M61=1),0,IF(OFFSET(CRONOPLE!$F$14,$M61,BO$13)="",10^12,OFFSET(CRONOPLE!$F$14,$M61,BO$13))))</f>
        <v>1000000000000</v>
      </c>
      <c r="BP61" s="181">
        <f ca="1">IF($D61&lt;&gt;"Serviço",0,IF(AND(AUTOEVENTO="Manual",$M61=1),0,IF(OFFSET(CRONOPLE!$F$14,$M61,BP$13)="",10^12,OFFSET(CRONOPLE!$F$14,$M61,BP$13))))</f>
        <v>1000000000000</v>
      </c>
      <c r="BQ61" s="181">
        <f ca="1">IF($D61&lt;&gt;"Serviço",0,IF(AND(AUTOEVENTO="Manual",$M61=1),0,IF(OFFSET(CRONOPLE!$F$14,$M61,BQ$13)="",10^12,OFFSET(CRONOPLE!$F$14,$M61,BQ$13))))</f>
        <v>1000000000000</v>
      </c>
      <c r="BR61" s="181">
        <f ca="1">IF($D61&lt;&gt;"Serviço",0,IF(AND(AUTOEVENTO="Manual",$M61=1),0,IF(OFFSET(CRONOPLE!$F$14,$M61,BR$13)="",10^12,OFFSET(CRONOPLE!$F$14,$M61,BR$13))))</f>
        <v>1000000000000</v>
      </c>
      <c r="BS61" s="181">
        <f ca="1">IF($D61&lt;&gt;"Serviço",0,IF(AND(AUTOEVENTO="Manual",$M61=1),0,IF(OFFSET(CRONOPLE!$F$14,$M61,BS$13)="",10^12,OFFSET(CRONOPLE!$F$14,$M61,BS$13))))</f>
        <v>1000000000000</v>
      </c>
      <c r="BT61" s="181">
        <f ca="1">IF($D61&lt;&gt;"Serviço",0,IF(AND(AUTOEVENTO="Manual",$M61=1),0,IF(OFFSET(CRONOPLE!$F$14,$M61,BT$13)="",10^12,OFFSET(CRONOPLE!$F$14,$M61,BT$13))))</f>
        <v>1000000000000</v>
      </c>
      <c r="BV61" s="182">
        <f ca="1">IF($D61&lt;&gt;"Serviço",0,IF(OR(AND(AUTOEVENTO="Manual",$M61=1),$M61&gt;(ROW(PLE.lastrow)-ROW(PLE.firstrow))),0,IF(OFFSET(PLE!$G$14,$M61,BV$13)="",10^12,OFFSET(PLE!$G$14,$M61,BV$13))))</f>
        <v>1000000000000</v>
      </c>
      <c r="BW61" s="182">
        <f ca="1">IF($D61&lt;&gt;"Serviço",0,IF(OR(AND(AUTOEVENTO="Manual",$M61=1),$M61&gt;(ROW(PLE.lastrow)-ROW(PLE.firstrow))),0,IF(OFFSET(PLE!$G$14,$M61,BW$13)="",10^12,OFFSET(PLE!$G$14,$M61,BW$13))))</f>
        <v>1000000000000</v>
      </c>
      <c r="BX61" s="182">
        <f ca="1">IF($D61&lt;&gt;"Serviço",0,IF(OR(AND(AUTOEVENTO="Manual",$M61=1),$M61&gt;(ROW(PLE.lastrow)-ROW(PLE.firstrow))),0,IF(OFFSET(PLE!$G$14,$M61,BX$13)="",10^12,OFFSET(PLE!$G$14,$M61,BX$13))))</f>
        <v>1000000000000</v>
      </c>
      <c r="BY61" s="182">
        <f ca="1">IF($D61&lt;&gt;"Serviço",0,IF(OR(AND(AUTOEVENTO="Manual",$M61=1),$M61&gt;(ROW(PLE.lastrow)-ROW(PLE.firstrow))),0,IF(OFFSET(PLE!$G$14,$M61,BY$13)="",10^12,OFFSET(PLE!$G$14,$M61,BY$13))))</f>
        <v>1000000000000</v>
      </c>
      <c r="BZ61" s="182">
        <f ca="1">IF($D61&lt;&gt;"Serviço",0,IF(OR(AND(AUTOEVENTO="Manual",$M61=1),$M61&gt;(ROW(PLE.lastrow)-ROW(PLE.firstrow))),0,IF(OFFSET(PLE!$G$14,$M61,BZ$13)="",10^12,OFFSET(PLE!$G$14,$M61,BZ$13))))</f>
        <v>1000000000000</v>
      </c>
      <c r="CA61" s="182">
        <f ca="1">IF($D61&lt;&gt;"Serviço",0,IF(OR(AND(AUTOEVENTO="Manual",$M61=1),$M61&gt;(ROW(PLE.lastrow)-ROW(PLE.firstrow))),0,IF(OFFSET(PLE!$G$14,$M61,CA$13)="",10^12,OFFSET(PLE!$G$14,$M61,CA$13))))</f>
        <v>1000000000000</v>
      </c>
      <c r="CB61" s="182">
        <f ca="1">IF($D61&lt;&gt;"Serviço",0,IF(OR(AND(AUTOEVENTO="Manual",$M61=1),$M61&gt;(ROW(PLE.lastrow)-ROW(PLE.firstrow))),0,IF(OFFSET(PLE!$G$14,$M61,CB$13)="",10^12,OFFSET(PLE!$G$14,$M61,CB$13))))</f>
        <v>1000000000000</v>
      </c>
      <c r="CC61" s="182">
        <f ca="1">IF($D61&lt;&gt;"Serviço",0,IF(OR(AND(AUTOEVENTO="Manual",$M61=1),$M61&gt;(ROW(PLE.lastrow)-ROW(PLE.firstrow))),0,IF(OFFSET(PLE!$G$14,$M61,CC$13)="",10^12,OFFSET(PLE!$G$14,$M61,CC$13))))</f>
        <v>1000000000000</v>
      </c>
      <c r="CD61" s="182">
        <f ca="1">IF($D61&lt;&gt;"Serviço",0,IF(OR(AND(AUTOEVENTO="Manual",$M61=1),$M61&gt;(ROW(PLE.lastrow)-ROW(PLE.firstrow))),0,IF(OFFSET(PLE!$G$14,$M61,CD$13)="",10^12,OFFSET(PLE!$G$14,$M61,CD$13))))</f>
        <v>1000000000000</v>
      </c>
      <c r="CE61" s="182">
        <f ca="1">IF($D61&lt;&gt;"Serviço",0,IF(OR(AND(AUTOEVENTO="Manual",$M61=1),$M61&gt;(ROW(PLE.lastrow)-ROW(PLE.firstrow))),0,IF(OFFSET(PLE!$G$14,$M61,CE$13)="",10^12,OFFSET(PLE!$G$14,$M61,CE$13))))</f>
        <v>1000000000000</v>
      </c>
      <c r="CF61" s="182">
        <f ca="1">IF($D61&lt;&gt;"Serviço",0,IF(OR(AND(AUTOEVENTO="Manual",$M61=1),$M61&gt;(ROW(PLE.lastrow)-ROW(PLE.firstrow))),0,IF(OFFSET(PLE!$G$14,$M61,CF$13)="",10^12,OFFSET(PLE!$G$14,$M61,CF$13))))</f>
        <v>1000000000000</v>
      </c>
      <c r="CG61" s="182">
        <f ca="1">IF($D61&lt;&gt;"Serviço",0,IF(OR(AND(AUTOEVENTO="Manual",$M61=1),$M61&gt;(ROW(PLE.lastrow)-ROW(PLE.firstrow))),0,IF(OFFSET(PLE!$G$14,$M61,CG$13)="",10^12,OFFSET(PLE!$G$14,$M61,CG$13))))</f>
        <v>1000000000000</v>
      </c>
      <c r="CH61" s="182">
        <f ca="1">IF($D61&lt;&gt;"Serviço",0,IF(OR(AND(AUTOEVENTO="Manual",$M61=1),$M61&gt;(ROW(PLE.lastrow)-ROW(PLE.firstrow))),0,IF(OFFSET(PLE!$G$14,$M61,CH$13)="",10^12,OFFSET(PLE!$G$14,$M61,CH$13))))</f>
        <v>1000000000000</v>
      </c>
      <c r="CI61" s="182">
        <f ca="1">IF($D61&lt;&gt;"Serviço",0,IF(OR(AND(AUTOEVENTO="Manual",$M61=1),$M61&gt;(ROW(PLE.lastrow)-ROW(PLE.firstrow))),0,IF(OFFSET(PLE!$G$14,$M61,CI$13)="",10^12,OFFSET(PLE!$G$14,$M61,CI$13))))</f>
        <v>1000000000000</v>
      </c>
      <c r="CJ61" s="182">
        <f ca="1">IF($D61&lt;&gt;"Serviço",0,IF(OR(AND(AUTOEVENTO="Manual",$M61=1),$M61&gt;(ROW(PLE.lastrow)-ROW(PLE.firstrow))),0,IF(OFFSET(PLE!$G$14,$M61,CJ$13)="",10^12,OFFSET(PLE!$G$14,$M61,CJ$13))))</f>
        <v>1000000000000</v>
      </c>
      <c r="CK61" s="182">
        <f ca="1">IF($D61&lt;&gt;"Serviço",0,IF(OR(AND(AUTOEVENTO="Manual",$M61=1),$M61&gt;(ROW(PLE.lastrow)-ROW(PLE.firstrow))),0,IF(OFFSET(PLE!$G$14,$M61,CK$13)="",10^12,OFFSET(PLE!$G$14,$M61,CK$13))))</f>
        <v>1000000000000</v>
      </c>
      <c r="CL61" s="182">
        <f ca="1">IF($D61&lt;&gt;"Serviço",0,IF(OR(AND(AUTOEVENTO="Manual",$M61=1),$M61&gt;(ROW(PLE.lastrow)-ROW(PLE.firstrow))),0,IF(OFFSET(PLE!$G$14,$M61,CL$13)="",10^12,OFFSET(PLE!$G$14,$M61,CL$13))))</f>
        <v>1000000000000</v>
      </c>
      <c r="CM61" s="182">
        <f ca="1">IF($D61&lt;&gt;"Serviço",0,IF(OR(AND(AUTOEVENTO="Manual",$M61=1),$M61&gt;(ROW(PLE.lastrow)-ROW(PLE.firstrow))),0,IF(OFFSET(PLE!$G$14,$M61,CM$13)="",10^12,OFFSET(PLE!$G$14,$M61,CM$13))))</f>
        <v>1000000000000</v>
      </c>
    </row>
    <row r="62" spans="1:91" ht="38.25" x14ac:dyDescent="0.2">
      <c r="A62" s="7" t="str">
        <f t="shared" ca="1" si="9"/>
        <v>42</v>
      </c>
      <c r="B62" s="7" t="str">
        <f ca="1">OFFSET(ORÇAMENTO!C$15,ROW(B62)-ROW(B$15),0)</f>
        <v>S</v>
      </c>
      <c r="C62" s="7" t="str">
        <f ca="1">OFFSET(ORÇAMENTO!L$15,ROW(C62)-ROW(C$15),0)</f>
        <v/>
      </c>
      <c r="D62" s="118" t="str">
        <f ca="1">OFFSET(ORÇAMENTO!N$15,ROW(D62)-ROW(D$15),0)</f>
        <v>Serviço</v>
      </c>
      <c r="E62" s="119" t="str">
        <f ca="1">OFFSET(ORÇAMENTO!O$15,ROW(E62)-ROW(E$15),0)</f>
        <v>-</v>
      </c>
      <c r="F62" s="172" t="str">
        <f ca="1">OFFSET(ORÇAMENTO!R$15,ROW(F62)-ROW(F$15),0)</f>
        <v>(abra o arquivo 'Referência 06-2024.xlsm)</v>
      </c>
      <c r="G62" s="173" t="str">
        <f ca="1">IF($D62&lt;&gt;"Serviço","",OFFSET(ORÇAMENTO!S$15,ROW(G62)-ROW(G$15),0))</f>
        <v>-</v>
      </c>
      <c r="H62" s="124">
        <f ca="1">IF($D62&lt;&gt;"Serviço",0,IF(ACOMPANHAMENTO="BM",ROUND(OFFSET(ORÇAMENTO!AJ$15,ROW(H62)-ROW(H$15),0),15-13*ORÇAMENTO!$AF$7),SUMPRODUCT(($Q$12:$AI$12&lt;&gt;"")*ROUND($Q62:$AI62,15-13*ORÇAMENTO!$AF$7))))</f>
        <v>29.76</v>
      </c>
      <c r="I62" s="561" t="s">
        <v>1107</v>
      </c>
      <c r="K62" s="174" t="s">
        <v>1028</v>
      </c>
      <c r="L62" s="175" t="s">
        <v>255</v>
      </c>
      <c r="M62" s="176">
        <f ca="1">IF($D62&lt;&gt;"Serviço","",IF(AUTOEVENTO="manual",$A62,IF(ISERROR(MATCH($A62,$A$15:OFFSET($A62,-1,0),0)),MAX($M$15:OFFSET(M62,-1,0))+1,INDEX($M$15:OFFSET(M62,-1,0),MATCH($A62,$A$15:OFFSET($A62,-1,0),0)))))</f>
        <v>9</v>
      </c>
      <c r="N62" s="177" t="str">
        <f ca="1">IF($D62&lt;&gt;"Serviço","",IF(AUTOEVENTO="Manual",IF($A62=0,"&lt;-- defina o número do agrupador",OFFSET(EVENTOS!$D$14,$A62,0)),OFFSET($F$15,$A62,0)))</f>
        <v>SUPERESTRUTURA - CONCRETO ARMADO PARA PILARES</v>
      </c>
      <c r="O62" s="178"/>
      <c r="Q62" s="178">
        <v>29.76</v>
      </c>
      <c r="R62" s="179"/>
      <c r="S62" s="179"/>
      <c r="T62" s="179"/>
      <c r="U62" s="179"/>
      <c r="V62" s="179"/>
      <c r="W62" s="179"/>
      <c r="X62" s="179"/>
      <c r="Y62" s="179"/>
      <c r="Z62" s="180"/>
      <c r="AA62" s="179"/>
      <c r="AB62" s="179"/>
      <c r="AC62" s="179"/>
      <c r="AD62" s="179"/>
      <c r="AE62" s="179"/>
      <c r="AF62" s="179"/>
      <c r="AG62" s="179"/>
      <c r="AH62" s="180"/>
      <c r="AJ62" s="544">
        <f ca="1">IF(AND($D62="Serviço",AJ$12&lt;&gt;0,$H62&gt;0,OR(AUTOEVENTO&lt;&gt;"manual",$M62&lt;&gt;1)),
IF(Import.TipoArredondamento&lt;&gt;"TransfereGOV",
ROUND(OFFSET($P62,0,AJ$13),15-13*ORÇAMENTO!$AF$7)/$H62*OFFSET(ORÇAMENTO!$X$15,ROW(AJ62)-ROW(AJ$15),0),
ROUND(ROUND(OFFSET($P62,0,AJ$13),15-13*ORÇAMENTO!$AF$7)*OFFSET(ORÇAMENTO!$W$15,ROW(AJ62)-ROW(AJ$15),0),15-13*ORÇAMENTO!$AF$11)),0)</f>
        <v>0</v>
      </c>
      <c r="AK62" s="545">
        <f ca="1">IF(AND($D62="Serviço",AK$12&lt;&gt;0,$H62&gt;0,OR(AUTOEVENTO&lt;&gt;"manual",$M62&lt;&gt;1)),
IF(Import.TipoArredondamento&lt;&gt;"TransfereGOV",
ROUND(OFFSET($P62,0,AK$13),15-13*ORÇAMENTO!$AF$7)/$H62*OFFSET(ORÇAMENTO!$X$15,ROW(AK62)-ROW(AK$15),0),
ROUND(ROUND(OFFSET($P62,0,AK$13),15-13*ORÇAMENTO!$AF$7)*OFFSET(ORÇAMENTO!$W$15,ROW(AK62)-ROW(AK$15),0),15-13*ORÇAMENTO!$AF$11)),0)</f>
        <v>0</v>
      </c>
      <c r="AL62" s="545">
        <f ca="1">IF(AND($D62="Serviço",AL$12&lt;&gt;0,$H62&gt;0,OR(AUTOEVENTO&lt;&gt;"manual",$M62&lt;&gt;1)),
IF(Import.TipoArredondamento&lt;&gt;"TransfereGOV",
ROUND(OFFSET($P62,0,AL$13),15-13*ORÇAMENTO!$AF$7)/$H62*OFFSET(ORÇAMENTO!$X$15,ROW(AL62)-ROW(AL$15),0),
ROUND(ROUND(OFFSET($P62,0,AL$13),15-13*ORÇAMENTO!$AF$7)*OFFSET(ORÇAMENTO!$W$15,ROW(AL62)-ROW(AL$15),0),15-13*ORÇAMENTO!$AF$11)),0)</f>
        <v>0</v>
      </c>
      <c r="AM62" s="545">
        <f ca="1">IF(AND($D62="Serviço",AM$12&lt;&gt;0,$H62&gt;0,OR(AUTOEVENTO&lt;&gt;"manual",$M62&lt;&gt;1)),
IF(Import.TipoArredondamento&lt;&gt;"TransfereGOV",
ROUND(OFFSET($P62,0,AM$13),15-13*ORÇAMENTO!$AF$7)/$H62*OFFSET(ORÇAMENTO!$X$15,ROW(AM62)-ROW(AM$15),0),
ROUND(ROUND(OFFSET($P62,0,AM$13),15-13*ORÇAMENTO!$AF$7)*OFFSET(ORÇAMENTO!$W$15,ROW(AM62)-ROW(AM$15),0),15-13*ORÇAMENTO!$AF$11)),0)</f>
        <v>0</v>
      </c>
      <c r="AN62" s="545">
        <f ca="1">IF(AND($D62="Serviço",AN$12&lt;&gt;0,$H62&gt;0,OR(AUTOEVENTO&lt;&gt;"manual",$M62&lt;&gt;1)),
IF(Import.TipoArredondamento&lt;&gt;"TransfereGOV",
ROUND(OFFSET($P62,0,AN$13),15-13*ORÇAMENTO!$AF$7)/$H62*OFFSET(ORÇAMENTO!$X$15,ROW(AN62)-ROW(AN$15),0),
ROUND(ROUND(OFFSET($P62,0,AN$13),15-13*ORÇAMENTO!$AF$7)*OFFSET(ORÇAMENTO!$W$15,ROW(AN62)-ROW(AN$15),0),15-13*ORÇAMENTO!$AF$11)),0)</f>
        <v>0</v>
      </c>
      <c r="AO62" s="545">
        <f ca="1">IF(AND($D62="Serviço",AO$12&lt;&gt;0,$H62&gt;0,OR(AUTOEVENTO&lt;&gt;"manual",$M62&lt;&gt;1)),
IF(Import.TipoArredondamento&lt;&gt;"TransfereGOV",
ROUND(OFFSET($P62,0,AO$13),15-13*ORÇAMENTO!$AF$7)/$H62*OFFSET(ORÇAMENTO!$X$15,ROW(AO62)-ROW(AO$15),0),
ROUND(ROUND(OFFSET($P62,0,AO$13),15-13*ORÇAMENTO!$AF$7)*OFFSET(ORÇAMENTO!$W$15,ROW(AO62)-ROW(AO$15),0),15-13*ORÇAMENTO!$AF$11)),0)</f>
        <v>0</v>
      </c>
      <c r="AP62" s="545">
        <f ca="1">IF(AND($D62="Serviço",AP$12&lt;&gt;0,$H62&gt;0,OR(AUTOEVENTO&lt;&gt;"manual",$M62&lt;&gt;1)),
IF(Import.TipoArredondamento&lt;&gt;"TransfereGOV",
ROUND(OFFSET($P62,0,AP$13),15-13*ORÇAMENTO!$AF$7)/$H62*OFFSET(ORÇAMENTO!$X$15,ROW(AP62)-ROW(AP$15),0),
ROUND(ROUND(OFFSET($P62,0,AP$13),15-13*ORÇAMENTO!$AF$7)*OFFSET(ORÇAMENTO!$W$15,ROW(AP62)-ROW(AP$15),0),15-13*ORÇAMENTO!$AF$11)),0)</f>
        <v>0</v>
      </c>
      <c r="AQ62" s="545">
        <f ca="1">IF(AND($D62="Serviço",AQ$12&lt;&gt;0,$H62&gt;0,OR(AUTOEVENTO&lt;&gt;"manual",$M62&lt;&gt;1)),
IF(Import.TipoArredondamento&lt;&gt;"TransfereGOV",
ROUND(OFFSET($P62,0,AQ$13),15-13*ORÇAMENTO!$AF$7)/$H62*OFFSET(ORÇAMENTO!$X$15,ROW(AQ62)-ROW(AQ$15),0),
ROUND(ROUND(OFFSET($P62,0,AQ$13),15-13*ORÇAMENTO!$AF$7)*OFFSET(ORÇAMENTO!$W$15,ROW(AQ62)-ROW(AQ$15),0),15-13*ORÇAMENTO!$AF$11)),0)</f>
        <v>0</v>
      </c>
      <c r="AR62" s="545">
        <f ca="1">IF(AND($D62="Serviço",AR$12&lt;&gt;0,$H62&gt;0,OR(AUTOEVENTO&lt;&gt;"manual",$M62&lt;&gt;1)),
IF(Import.TipoArredondamento&lt;&gt;"TransfereGOV",
ROUND(OFFSET($P62,0,AR$13),15-13*ORÇAMENTO!$AF$7)/$H62*OFFSET(ORÇAMENTO!$X$15,ROW(AR62)-ROW(AR$15),0),
ROUND(ROUND(OFFSET($P62,0,AR$13),15-13*ORÇAMENTO!$AF$7)*OFFSET(ORÇAMENTO!$W$15,ROW(AR62)-ROW(AR$15),0),15-13*ORÇAMENTO!$AF$11)),0)</f>
        <v>0</v>
      </c>
      <c r="AS62" s="546">
        <f ca="1">IF(AND($D62="Serviço",AS$12&lt;&gt;0,$H62&gt;0,OR(AUTOEVENTO&lt;&gt;"manual",$M62&lt;&gt;1)),
IF(Import.TipoArredondamento&lt;&gt;"TransfereGOV",
ROUND(OFFSET($P62,0,AS$13),15-13*ORÇAMENTO!$AF$7)/$H62*OFFSET(ORÇAMENTO!$X$15,ROW(AS62)-ROW(AS$15),0),
ROUND(ROUND(OFFSET($P62,0,AS$13),15-13*ORÇAMENTO!$AF$7)*OFFSET(ORÇAMENTO!$W$15,ROW(AS62)-ROW(AS$15),0),15-13*ORÇAMENTO!$AF$11)),0)</f>
        <v>0</v>
      </c>
      <c r="AT62" s="545">
        <f ca="1">IF(AND($D62="Serviço",AT$12&lt;&gt;0,$H62&gt;0,OR(AUTOEVENTO&lt;&gt;"manual",$M62&lt;&gt;1)),
IF(Import.TipoArredondamento&lt;&gt;"TransfereGOV",
ROUND(OFFSET($P62,0,AT$13),15-13*ORÇAMENTO!$AF$7)/$H62*OFFSET(ORÇAMENTO!$X$15,ROW(AT62)-ROW(AT$15),0),
ROUND(ROUND(OFFSET($P62,0,AT$13),15-13*ORÇAMENTO!$AF$7)*OFFSET(ORÇAMENTO!$W$15,ROW(AT62)-ROW(AT$15),0),15-13*ORÇAMENTO!$AF$11)),0)</f>
        <v>0</v>
      </c>
      <c r="AU62" s="545">
        <f ca="1">IF(AND($D62="Serviço",AU$12&lt;&gt;0,$H62&gt;0,OR(AUTOEVENTO&lt;&gt;"manual",$M62&lt;&gt;1)),
IF(Import.TipoArredondamento&lt;&gt;"TransfereGOV",
ROUND(OFFSET($P62,0,AU$13),15-13*ORÇAMENTO!$AF$7)/$H62*OFFSET(ORÇAMENTO!$X$15,ROW(AU62)-ROW(AU$15),0),
ROUND(ROUND(OFFSET($P62,0,AU$13),15-13*ORÇAMENTO!$AF$7)*OFFSET(ORÇAMENTO!$W$15,ROW(AU62)-ROW(AU$15),0),15-13*ORÇAMENTO!$AF$11)),0)</f>
        <v>0</v>
      </c>
      <c r="AV62" s="545">
        <f ca="1">IF(AND($D62="Serviço",AV$12&lt;&gt;0,$H62&gt;0,OR(AUTOEVENTO&lt;&gt;"manual",$M62&lt;&gt;1)),
IF(Import.TipoArredondamento&lt;&gt;"TransfereGOV",
ROUND(OFFSET($P62,0,AV$13),15-13*ORÇAMENTO!$AF$7)/$H62*OFFSET(ORÇAMENTO!$X$15,ROW(AV62)-ROW(AV$15),0),
ROUND(ROUND(OFFSET($P62,0,AV$13),15-13*ORÇAMENTO!$AF$7)*OFFSET(ORÇAMENTO!$W$15,ROW(AV62)-ROW(AV$15),0),15-13*ORÇAMENTO!$AF$11)),0)</f>
        <v>0</v>
      </c>
      <c r="AW62" s="545">
        <f ca="1">IF(AND($D62="Serviço",AW$12&lt;&gt;0,$H62&gt;0,OR(AUTOEVENTO&lt;&gt;"manual",$M62&lt;&gt;1)),
IF(Import.TipoArredondamento&lt;&gt;"TransfereGOV",
ROUND(OFFSET($P62,0,AW$13),15-13*ORÇAMENTO!$AF$7)/$H62*OFFSET(ORÇAMENTO!$X$15,ROW(AW62)-ROW(AW$15),0),
ROUND(ROUND(OFFSET($P62,0,AW$13),15-13*ORÇAMENTO!$AF$7)*OFFSET(ORÇAMENTO!$W$15,ROW(AW62)-ROW(AW$15),0),15-13*ORÇAMENTO!$AF$11)),0)</f>
        <v>0</v>
      </c>
      <c r="AX62" s="545">
        <f ca="1">IF(AND($D62="Serviço",AX$12&lt;&gt;0,$H62&gt;0,OR(AUTOEVENTO&lt;&gt;"manual",$M62&lt;&gt;1)),
IF(Import.TipoArredondamento&lt;&gt;"TransfereGOV",
ROUND(OFFSET($P62,0,AX$13),15-13*ORÇAMENTO!$AF$7)/$H62*OFFSET(ORÇAMENTO!$X$15,ROW(AX62)-ROW(AX$15),0),
ROUND(ROUND(OFFSET($P62,0,AX$13),15-13*ORÇAMENTO!$AF$7)*OFFSET(ORÇAMENTO!$W$15,ROW(AX62)-ROW(AX$15),0),15-13*ORÇAMENTO!$AF$11)),0)</f>
        <v>0</v>
      </c>
      <c r="AY62" s="545">
        <f ca="1">IF(AND($D62="Serviço",AY$12&lt;&gt;0,$H62&gt;0,OR(AUTOEVENTO&lt;&gt;"manual",$M62&lt;&gt;1)),
IF(Import.TipoArredondamento&lt;&gt;"TransfereGOV",
ROUND(OFFSET($P62,0,AY$13),15-13*ORÇAMENTO!$AF$7)/$H62*OFFSET(ORÇAMENTO!$X$15,ROW(AY62)-ROW(AY$15),0),
ROUND(ROUND(OFFSET($P62,0,AY$13),15-13*ORÇAMENTO!$AF$7)*OFFSET(ORÇAMENTO!$W$15,ROW(AY62)-ROW(AY$15),0),15-13*ORÇAMENTO!$AF$11)),0)</f>
        <v>0</v>
      </c>
      <c r="AZ62" s="545">
        <f ca="1">IF(AND($D62="Serviço",AZ$12&lt;&gt;0,$H62&gt;0,OR(AUTOEVENTO&lt;&gt;"manual",$M62&lt;&gt;1)),
IF(Import.TipoArredondamento&lt;&gt;"TransfereGOV",
ROUND(OFFSET($P62,0,AZ$13),15-13*ORÇAMENTO!$AF$7)/$H62*OFFSET(ORÇAMENTO!$X$15,ROW(AZ62)-ROW(AZ$15),0),
ROUND(ROUND(OFFSET($P62,0,AZ$13),15-13*ORÇAMENTO!$AF$7)*OFFSET(ORÇAMENTO!$W$15,ROW(AZ62)-ROW(AZ$15),0),15-13*ORÇAMENTO!$AF$11)),0)</f>
        <v>0</v>
      </c>
      <c r="BA62" s="546">
        <f ca="1">IF(AND($D62="Serviço",BA$12&lt;&gt;0,$H62&gt;0,OR(AUTOEVENTO&lt;&gt;"manual",$M62&lt;&gt;1)),
IF(Import.TipoArredondamento&lt;&gt;"TransfereGOV",
ROUND(OFFSET($P62,0,BA$13),15-13*ORÇAMENTO!$AF$7)/$H62*OFFSET(ORÇAMENTO!$X$15,ROW(BA62)-ROW(BA$15),0),
ROUND(ROUND(OFFSET($P62,0,BA$13),15-13*ORÇAMENTO!$AF$7)*OFFSET(ORÇAMENTO!$W$15,ROW(BA62)-ROW(BA$15),0),15-13*ORÇAMENTO!$AF$11)),0)</f>
        <v>0</v>
      </c>
      <c r="BC62" s="181">
        <f ca="1">IF($D62&lt;&gt;"Serviço",0,IF(AND(AUTOEVENTO="Manual",$M62=1),0,IF(OFFSET(CRONOPLE!$F$14,$M62,BC$13)="",10^12,OFFSET(CRONOPLE!$F$14,$M62,BC$13))))</f>
        <v>3</v>
      </c>
      <c r="BD62" s="181">
        <f ca="1">IF($D62&lt;&gt;"Serviço",0,IF(AND(AUTOEVENTO="Manual",$M62=1),0,IF(OFFSET(CRONOPLE!$F$14,$M62,BD$13)="",10^12,OFFSET(CRONOPLE!$F$14,$M62,BD$13))))</f>
        <v>1000000000000</v>
      </c>
      <c r="BE62" s="181">
        <f ca="1">IF($D62&lt;&gt;"Serviço",0,IF(AND(AUTOEVENTO="Manual",$M62=1),0,IF(OFFSET(CRONOPLE!$F$14,$M62,BE$13)="",10^12,OFFSET(CRONOPLE!$F$14,$M62,BE$13))))</f>
        <v>1000000000000</v>
      </c>
      <c r="BF62" s="181">
        <f ca="1">IF($D62&lt;&gt;"Serviço",0,IF(AND(AUTOEVENTO="Manual",$M62=1),0,IF(OFFSET(CRONOPLE!$F$14,$M62,BF$13)="",10^12,OFFSET(CRONOPLE!$F$14,$M62,BF$13))))</f>
        <v>1000000000000</v>
      </c>
      <c r="BG62" s="181">
        <f ca="1">IF($D62&lt;&gt;"Serviço",0,IF(AND(AUTOEVENTO="Manual",$M62=1),0,IF(OFFSET(CRONOPLE!$F$14,$M62,BG$13)="",10^12,OFFSET(CRONOPLE!$F$14,$M62,BG$13))))</f>
        <v>1000000000000</v>
      </c>
      <c r="BH62" s="181">
        <f ca="1">IF($D62&lt;&gt;"Serviço",0,IF(AND(AUTOEVENTO="Manual",$M62=1),0,IF(OFFSET(CRONOPLE!$F$14,$M62,BH$13)="",10^12,OFFSET(CRONOPLE!$F$14,$M62,BH$13))))</f>
        <v>1000000000000</v>
      </c>
      <c r="BI62" s="181">
        <f ca="1">IF($D62&lt;&gt;"Serviço",0,IF(AND(AUTOEVENTO="Manual",$M62=1),0,IF(OFFSET(CRONOPLE!$F$14,$M62,BI$13)="",10^12,OFFSET(CRONOPLE!$F$14,$M62,BI$13))))</f>
        <v>1000000000000</v>
      </c>
      <c r="BJ62" s="181">
        <f ca="1">IF($D62&lt;&gt;"Serviço",0,IF(AND(AUTOEVENTO="Manual",$M62=1),0,IF(OFFSET(CRONOPLE!$F$14,$M62,BJ$13)="",10^12,OFFSET(CRONOPLE!$F$14,$M62,BJ$13))))</f>
        <v>1000000000000</v>
      </c>
      <c r="BK62" s="181">
        <f ca="1">IF($D62&lt;&gt;"Serviço",0,IF(AND(AUTOEVENTO="Manual",$M62=1),0,IF(OFFSET(CRONOPLE!$F$14,$M62,BK$13)="",10^12,OFFSET(CRONOPLE!$F$14,$M62,BK$13))))</f>
        <v>1000000000000</v>
      </c>
      <c r="BL62" s="181">
        <f ca="1">IF($D62&lt;&gt;"Serviço",0,IF(AND(AUTOEVENTO="Manual",$M62=1),0,IF(OFFSET(CRONOPLE!$F$14,$M62,BL$13)="",10^12,OFFSET(CRONOPLE!$F$14,$M62,BL$13))))</f>
        <v>1000000000000</v>
      </c>
      <c r="BM62" s="181">
        <f ca="1">IF($D62&lt;&gt;"Serviço",0,IF(AND(AUTOEVENTO="Manual",$M62=1),0,IF(OFFSET(CRONOPLE!$F$14,$M62,BM$13)="",10^12,OFFSET(CRONOPLE!$F$14,$M62,BM$13))))</f>
        <v>1000000000000</v>
      </c>
      <c r="BN62" s="181">
        <f ca="1">IF($D62&lt;&gt;"Serviço",0,IF(AND(AUTOEVENTO="Manual",$M62=1),0,IF(OFFSET(CRONOPLE!$F$14,$M62,BN$13)="",10^12,OFFSET(CRONOPLE!$F$14,$M62,BN$13))))</f>
        <v>1000000000000</v>
      </c>
      <c r="BO62" s="181">
        <f ca="1">IF($D62&lt;&gt;"Serviço",0,IF(AND(AUTOEVENTO="Manual",$M62=1),0,IF(OFFSET(CRONOPLE!$F$14,$M62,BO$13)="",10^12,OFFSET(CRONOPLE!$F$14,$M62,BO$13))))</f>
        <v>1000000000000</v>
      </c>
      <c r="BP62" s="181">
        <f ca="1">IF($D62&lt;&gt;"Serviço",0,IF(AND(AUTOEVENTO="Manual",$M62=1),0,IF(OFFSET(CRONOPLE!$F$14,$M62,BP$13)="",10^12,OFFSET(CRONOPLE!$F$14,$M62,BP$13))))</f>
        <v>1000000000000</v>
      </c>
      <c r="BQ62" s="181">
        <f ca="1">IF($D62&lt;&gt;"Serviço",0,IF(AND(AUTOEVENTO="Manual",$M62=1),0,IF(OFFSET(CRONOPLE!$F$14,$M62,BQ$13)="",10^12,OFFSET(CRONOPLE!$F$14,$M62,BQ$13))))</f>
        <v>1000000000000</v>
      </c>
      <c r="BR62" s="181">
        <f ca="1">IF($D62&lt;&gt;"Serviço",0,IF(AND(AUTOEVENTO="Manual",$M62=1),0,IF(OFFSET(CRONOPLE!$F$14,$M62,BR$13)="",10^12,OFFSET(CRONOPLE!$F$14,$M62,BR$13))))</f>
        <v>1000000000000</v>
      </c>
      <c r="BS62" s="181">
        <f ca="1">IF($D62&lt;&gt;"Serviço",0,IF(AND(AUTOEVENTO="Manual",$M62=1),0,IF(OFFSET(CRONOPLE!$F$14,$M62,BS$13)="",10^12,OFFSET(CRONOPLE!$F$14,$M62,BS$13))))</f>
        <v>1000000000000</v>
      </c>
      <c r="BT62" s="181">
        <f ca="1">IF($D62&lt;&gt;"Serviço",0,IF(AND(AUTOEVENTO="Manual",$M62=1),0,IF(OFFSET(CRONOPLE!$F$14,$M62,BT$13)="",10^12,OFFSET(CRONOPLE!$F$14,$M62,BT$13))))</f>
        <v>1000000000000</v>
      </c>
      <c r="BV62" s="182">
        <f ca="1">IF($D62&lt;&gt;"Serviço",0,IF(OR(AND(AUTOEVENTO="Manual",$M62=1),$M62&gt;(ROW(PLE.lastrow)-ROW(PLE.firstrow))),0,IF(OFFSET(PLE!$G$14,$M62,BV$13)="",10^12,OFFSET(PLE!$G$14,$M62,BV$13))))</f>
        <v>1000000000000</v>
      </c>
      <c r="BW62" s="182">
        <f ca="1">IF($D62&lt;&gt;"Serviço",0,IF(OR(AND(AUTOEVENTO="Manual",$M62=1),$M62&gt;(ROW(PLE.lastrow)-ROW(PLE.firstrow))),0,IF(OFFSET(PLE!$G$14,$M62,BW$13)="",10^12,OFFSET(PLE!$G$14,$M62,BW$13))))</f>
        <v>1000000000000</v>
      </c>
      <c r="BX62" s="182">
        <f ca="1">IF($D62&lt;&gt;"Serviço",0,IF(OR(AND(AUTOEVENTO="Manual",$M62=1),$M62&gt;(ROW(PLE.lastrow)-ROW(PLE.firstrow))),0,IF(OFFSET(PLE!$G$14,$M62,BX$13)="",10^12,OFFSET(PLE!$G$14,$M62,BX$13))))</f>
        <v>1000000000000</v>
      </c>
      <c r="BY62" s="182">
        <f ca="1">IF($D62&lt;&gt;"Serviço",0,IF(OR(AND(AUTOEVENTO="Manual",$M62=1),$M62&gt;(ROW(PLE.lastrow)-ROW(PLE.firstrow))),0,IF(OFFSET(PLE!$G$14,$M62,BY$13)="",10^12,OFFSET(PLE!$G$14,$M62,BY$13))))</f>
        <v>1000000000000</v>
      </c>
      <c r="BZ62" s="182">
        <f ca="1">IF($D62&lt;&gt;"Serviço",0,IF(OR(AND(AUTOEVENTO="Manual",$M62=1),$M62&gt;(ROW(PLE.lastrow)-ROW(PLE.firstrow))),0,IF(OFFSET(PLE!$G$14,$M62,BZ$13)="",10^12,OFFSET(PLE!$G$14,$M62,BZ$13))))</f>
        <v>1000000000000</v>
      </c>
      <c r="CA62" s="182">
        <f ca="1">IF($D62&lt;&gt;"Serviço",0,IF(OR(AND(AUTOEVENTO="Manual",$M62=1),$M62&gt;(ROW(PLE.lastrow)-ROW(PLE.firstrow))),0,IF(OFFSET(PLE!$G$14,$M62,CA$13)="",10^12,OFFSET(PLE!$G$14,$M62,CA$13))))</f>
        <v>1000000000000</v>
      </c>
      <c r="CB62" s="182">
        <f ca="1">IF($D62&lt;&gt;"Serviço",0,IF(OR(AND(AUTOEVENTO="Manual",$M62=1),$M62&gt;(ROW(PLE.lastrow)-ROW(PLE.firstrow))),0,IF(OFFSET(PLE!$G$14,$M62,CB$13)="",10^12,OFFSET(PLE!$G$14,$M62,CB$13))))</f>
        <v>1000000000000</v>
      </c>
      <c r="CC62" s="182">
        <f ca="1">IF($D62&lt;&gt;"Serviço",0,IF(OR(AND(AUTOEVENTO="Manual",$M62=1),$M62&gt;(ROW(PLE.lastrow)-ROW(PLE.firstrow))),0,IF(OFFSET(PLE!$G$14,$M62,CC$13)="",10^12,OFFSET(PLE!$G$14,$M62,CC$13))))</f>
        <v>1000000000000</v>
      </c>
      <c r="CD62" s="182">
        <f ca="1">IF($D62&lt;&gt;"Serviço",0,IF(OR(AND(AUTOEVENTO="Manual",$M62=1),$M62&gt;(ROW(PLE.lastrow)-ROW(PLE.firstrow))),0,IF(OFFSET(PLE!$G$14,$M62,CD$13)="",10^12,OFFSET(PLE!$G$14,$M62,CD$13))))</f>
        <v>1000000000000</v>
      </c>
      <c r="CE62" s="182">
        <f ca="1">IF($D62&lt;&gt;"Serviço",0,IF(OR(AND(AUTOEVENTO="Manual",$M62=1),$M62&gt;(ROW(PLE.lastrow)-ROW(PLE.firstrow))),0,IF(OFFSET(PLE!$G$14,$M62,CE$13)="",10^12,OFFSET(PLE!$G$14,$M62,CE$13))))</f>
        <v>1000000000000</v>
      </c>
      <c r="CF62" s="182">
        <f ca="1">IF($D62&lt;&gt;"Serviço",0,IF(OR(AND(AUTOEVENTO="Manual",$M62=1),$M62&gt;(ROW(PLE.lastrow)-ROW(PLE.firstrow))),0,IF(OFFSET(PLE!$G$14,$M62,CF$13)="",10^12,OFFSET(PLE!$G$14,$M62,CF$13))))</f>
        <v>1000000000000</v>
      </c>
      <c r="CG62" s="182">
        <f ca="1">IF($D62&lt;&gt;"Serviço",0,IF(OR(AND(AUTOEVENTO="Manual",$M62=1),$M62&gt;(ROW(PLE.lastrow)-ROW(PLE.firstrow))),0,IF(OFFSET(PLE!$G$14,$M62,CG$13)="",10^12,OFFSET(PLE!$G$14,$M62,CG$13))))</f>
        <v>1000000000000</v>
      </c>
      <c r="CH62" s="182">
        <f ca="1">IF($D62&lt;&gt;"Serviço",0,IF(OR(AND(AUTOEVENTO="Manual",$M62=1),$M62&gt;(ROW(PLE.lastrow)-ROW(PLE.firstrow))),0,IF(OFFSET(PLE!$G$14,$M62,CH$13)="",10^12,OFFSET(PLE!$G$14,$M62,CH$13))))</f>
        <v>1000000000000</v>
      </c>
      <c r="CI62" s="182">
        <f ca="1">IF($D62&lt;&gt;"Serviço",0,IF(OR(AND(AUTOEVENTO="Manual",$M62=1),$M62&gt;(ROW(PLE.lastrow)-ROW(PLE.firstrow))),0,IF(OFFSET(PLE!$G$14,$M62,CI$13)="",10^12,OFFSET(PLE!$G$14,$M62,CI$13))))</f>
        <v>1000000000000</v>
      </c>
      <c r="CJ62" s="182">
        <f ca="1">IF($D62&lt;&gt;"Serviço",0,IF(OR(AND(AUTOEVENTO="Manual",$M62=1),$M62&gt;(ROW(PLE.lastrow)-ROW(PLE.firstrow))),0,IF(OFFSET(PLE!$G$14,$M62,CJ$13)="",10^12,OFFSET(PLE!$G$14,$M62,CJ$13))))</f>
        <v>1000000000000</v>
      </c>
      <c r="CK62" s="182">
        <f ca="1">IF($D62&lt;&gt;"Serviço",0,IF(OR(AND(AUTOEVENTO="Manual",$M62=1),$M62&gt;(ROW(PLE.lastrow)-ROW(PLE.firstrow))),0,IF(OFFSET(PLE!$G$14,$M62,CK$13)="",10^12,OFFSET(PLE!$G$14,$M62,CK$13))))</f>
        <v>1000000000000</v>
      </c>
      <c r="CL62" s="182">
        <f ca="1">IF($D62&lt;&gt;"Serviço",0,IF(OR(AND(AUTOEVENTO="Manual",$M62=1),$M62&gt;(ROW(PLE.lastrow)-ROW(PLE.firstrow))),0,IF(OFFSET(PLE!$G$14,$M62,CL$13)="",10^12,OFFSET(PLE!$G$14,$M62,CL$13))))</f>
        <v>1000000000000</v>
      </c>
      <c r="CM62" s="182">
        <f ca="1">IF($D62&lt;&gt;"Serviço",0,IF(OR(AND(AUTOEVENTO="Manual",$M62=1),$M62&gt;(ROW(PLE.lastrow)-ROW(PLE.firstrow))),0,IF(OFFSET(PLE!$G$14,$M62,CM$13)="",10^12,OFFSET(PLE!$G$14,$M62,CM$13))))</f>
        <v>1000000000000</v>
      </c>
    </row>
    <row r="63" spans="1:91" ht="25.5" x14ac:dyDescent="0.2">
      <c r="A63" s="7" t="str">
        <f t="shared" ca="1" si="9"/>
        <v>48.</v>
      </c>
      <c r="B63" s="7">
        <f ca="1">OFFSET(ORÇAMENTO!C$15,ROW(B63)-ROW(B$15),0)</f>
        <v>2</v>
      </c>
      <c r="C63" s="7" t="str">
        <f ca="1">OFFSET(ORÇAMENTO!L$15,ROW(C63)-ROW(C$15),0)</f>
        <v>F</v>
      </c>
      <c r="D63" s="118" t="str">
        <f ca="1">OFFSET(ORÇAMENTO!N$15,ROW(D63)-ROW(D$15),0)</f>
        <v>Nível 2</v>
      </c>
      <c r="E63" s="119" t="str">
        <f ca="1">OFFSET(ORÇAMENTO!O$15,ROW(E63)-ROW(E$15),0)</f>
        <v>1.9.</v>
      </c>
      <c r="F63" s="172" t="str">
        <f ca="1">OFFSET(ORÇAMENTO!R$15,ROW(F63)-ROW(F$15),0)</f>
        <v>SUPERESTRUTURA - CONCRETO ARMADO PARA VIGAS INCLUINDO BALDRAME</v>
      </c>
      <c r="G63" s="173" t="str">
        <f ca="1">IF($D63&lt;&gt;"Serviço","",OFFSET(ORÇAMENTO!S$15,ROW(G63)-ROW(G$15),0))</f>
        <v/>
      </c>
      <c r="H63" s="124">
        <f ca="1">IF($D63&lt;&gt;"Serviço",0,IF(ACOMPANHAMENTO="BM",ROUND(OFFSET(ORÇAMENTO!AJ$15,ROW(H63)-ROW(H$15),0),15-13*ORÇAMENTO!$AF$7),SUMPRODUCT(($Q$12:$AI$12&lt;&gt;"")*ROUND($Q63:$AI63,15-13*ORÇAMENTO!$AF$7))))</f>
        <v>0</v>
      </c>
      <c r="I63" s="561"/>
      <c r="K63" s="174" t="s">
        <v>1023</v>
      </c>
      <c r="L63" s="175" t="s">
        <v>255</v>
      </c>
      <c r="M63" s="176" t="str">
        <f ca="1">IF($D63&lt;&gt;"Serviço","",IF(AUTOEVENTO="manual",$A63,IF(ISERROR(MATCH($A63,$A$15:OFFSET($A63,-1,0),0)),MAX($M$15:OFFSET(M63,-1,0))+1,INDEX($M$15:OFFSET(M63,-1,0),MATCH($A63,$A$15:OFFSET($A63,-1,0),0)))))</f>
        <v/>
      </c>
      <c r="N63" s="177" t="str">
        <f ca="1">IF($D63&lt;&gt;"Serviço","",IF(AUTOEVENTO="Manual",IF($A63=0,"&lt;-- defina o número do agrupador",OFFSET(EVENTOS!$D$14,$A63,0)),OFFSET($F$15,$A63,0)))</f>
        <v/>
      </c>
      <c r="O63" s="178"/>
      <c r="Q63" s="178"/>
      <c r="R63" s="179"/>
      <c r="S63" s="179"/>
      <c r="T63" s="179"/>
      <c r="U63" s="179"/>
      <c r="V63" s="179"/>
      <c r="W63" s="179"/>
      <c r="X63" s="179"/>
      <c r="Y63" s="179"/>
      <c r="Z63" s="180"/>
      <c r="AA63" s="179"/>
      <c r="AB63" s="179"/>
      <c r="AC63" s="179"/>
      <c r="AD63" s="179"/>
      <c r="AE63" s="179"/>
      <c r="AF63" s="179"/>
      <c r="AG63" s="179"/>
      <c r="AH63" s="180"/>
      <c r="AJ63" s="544">
        <f ca="1">IF(AND($D63="Serviço",AJ$12&lt;&gt;0,$H63&gt;0,OR(AUTOEVENTO&lt;&gt;"manual",$M63&lt;&gt;1)),
IF(Import.TipoArredondamento&lt;&gt;"TransfereGOV",
ROUND(OFFSET($P63,0,AJ$13),15-13*ORÇAMENTO!$AF$7)/$H63*OFFSET(ORÇAMENTO!$X$15,ROW(AJ63)-ROW(AJ$15),0),
ROUND(ROUND(OFFSET($P63,0,AJ$13),15-13*ORÇAMENTO!$AF$7)*OFFSET(ORÇAMENTO!$W$15,ROW(AJ63)-ROW(AJ$15),0),15-13*ORÇAMENTO!$AF$11)),0)</f>
        <v>0</v>
      </c>
      <c r="AK63" s="545">
        <f ca="1">IF(AND($D63="Serviço",AK$12&lt;&gt;0,$H63&gt;0,OR(AUTOEVENTO&lt;&gt;"manual",$M63&lt;&gt;1)),
IF(Import.TipoArredondamento&lt;&gt;"TransfereGOV",
ROUND(OFFSET($P63,0,AK$13),15-13*ORÇAMENTO!$AF$7)/$H63*OFFSET(ORÇAMENTO!$X$15,ROW(AK63)-ROW(AK$15),0),
ROUND(ROUND(OFFSET($P63,0,AK$13),15-13*ORÇAMENTO!$AF$7)*OFFSET(ORÇAMENTO!$W$15,ROW(AK63)-ROW(AK$15),0),15-13*ORÇAMENTO!$AF$11)),0)</f>
        <v>0</v>
      </c>
      <c r="AL63" s="545">
        <f ca="1">IF(AND($D63="Serviço",AL$12&lt;&gt;0,$H63&gt;0,OR(AUTOEVENTO&lt;&gt;"manual",$M63&lt;&gt;1)),
IF(Import.TipoArredondamento&lt;&gt;"TransfereGOV",
ROUND(OFFSET($P63,0,AL$13),15-13*ORÇAMENTO!$AF$7)/$H63*OFFSET(ORÇAMENTO!$X$15,ROW(AL63)-ROW(AL$15),0),
ROUND(ROUND(OFFSET($P63,0,AL$13),15-13*ORÇAMENTO!$AF$7)*OFFSET(ORÇAMENTO!$W$15,ROW(AL63)-ROW(AL$15),0),15-13*ORÇAMENTO!$AF$11)),0)</f>
        <v>0</v>
      </c>
      <c r="AM63" s="545">
        <f ca="1">IF(AND($D63="Serviço",AM$12&lt;&gt;0,$H63&gt;0,OR(AUTOEVENTO&lt;&gt;"manual",$M63&lt;&gt;1)),
IF(Import.TipoArredondamento&lt;&gt;"TransfereGOV",
ROUND(OFFSET($P63,0,AM$13),15-13*ORÇAMENTO!$AF$7)/$H63*OFFSET(ORÇAMENTO!$X$15,ROW(AM63)-ROW(AM$15),0),
ROUND(ROUND(OFFSET($P63,0,AM$13),15-13*ORÇAMENTO!$AF$7)*OFFSET(ORÇAMENTO!$W$15,ROW(AM63)-ROW(AM$15),0),15-13*ORÇAMENTO!$AF$11)),0)</f>
        <v>0</v>
      </c>
      <c r="AN63" s="545">
        <f ca="1">IF(AND($D63="Serviço",AN$12&lt;&gt;0,$H63&gt;0,OR(AUTOEVENTO&lt;&gt;"manual",$M63&lt;&gt;1)),
IF(Import.TipoArredondamento&lt;&gt;"TransfereGOV",
ROUND(OFFSET($P63,0,AN$13),15-13*ORÇAMENTO!$AF$7)/$H63*OFFSET(ORÇAMENTO!$X$15,ROW(AN63)-ROW(AN$15),0),
ROUND(ROUND(OFFSET($P63,0,AN$13),15-13*ORÇAMENTO!$AF$7)*OFFSET(ORÇAMENTO!$W$15,ROW(AN63)-ROW(AN$15),0),15-13*ORÇAMENTO!$AF$11)),0)</f>
        <v>0</v>
      </c>
      <c r="AO63" s="545">
        <f ca="1">IF(AND($D63="Serviço",AO$12&lt;&gt;0,$H63&gt;0,OR(AUTOEVENTO&lt;&gt;"manual",$M63&lt;&gt;1)),
IF(Import.TipoArredondamento&lt;&gt;"TransfereGOV",
ROUND(OFFSET($P63,0,AO$13),15-13*ORÇAMENTO!$AF$7)/$H63*OFFSET(ORÇAMENTO!$X$15,ROW(AO63)-ROW(AO$15),0),
ROUND(ROUND(OFFSET($P63,0,AO$13),15-13*ORÇAMENTO!$AF$7)*OFFSET(ORÇAMENTO!$W$15,ROW(AO63)-ROW(AO$15),0),15-13*ORÇAMENTO!$AF$11)),0)</f>
        <v>0</v>
      </c>
      <c r="AP63" s="545">
        <f ca="1">IF(AND($D63="Serviço",AP$12&lt;&gt;0,$H63&gt;0,OR(AUTOEVENTO&lt;&gt;"manual",$M63&lt;&gt;1)),
IF(Import.TipoArredondamento&lt;&gt;"TransfereGOV",
ROUND(OFFSET($P63,0,AP$13),15-13*ORÇAMENTO!$AF$7)/$H63*OFFSET(ORÇAMENTO!$X$15,ROW(AP63)-ROW(AP$15),0),
ROUND(ROUND(OFFSET($P63,0,AP$13),15-13*ORÇAMENTO!$AF$7)*OFFSET(ORÇAMENTO!$W$15,ROW(AP63)-ROW(AP$15),0),15-13*ORÇAMENTO!$AF$11)),0)</f>
        <v>0</v>
      </c>
      <c r="AQ63" s="545">
        <f ca="1">IF(AND($D63="Serviço",AQ$12&lt;&gt;0,$H63&gt;0,OR(AUTOEVENTO&lt;&gt;"manual",$M63&lt;&gt;1)),
IF(Import.TipoArredondamento&lt;&gt;"TransfereGOV",
ROUND(OFFSET($P63,0,AQ$13),15-13*ORÇAMENTO!$AF$7)/$H63*OFFSET(ORÇAMENTO!$X$15,ROW(AQ63)-ROW(AQ$15),0),
ROUND(ROUND(OFFSET($P63,0,AQ$13),15-13*ORÇAMENTO!$AF$7)*OFFSET(ORÇAMENTO!$W$15,ROW(AQ63)-ROW(AQ$15),0),15-13*ORÇAMENTO!$AF$11)),0)</f>
        <v>0</v>
      </c>
      <c r="AR63" s="545">
        <f ca="1">IF(AND($D63="Serviço",AR$12&lt;&gt;0,$H63&gt;0,OR(AUTOEVENTO&lt;&gt;"manual",$M63&lt;&gt;1)),
IF(Import.TipoArredondamento&lt;&gt;"TransfereGOV",
ROUND(OFFSET($P63,0,AR$13),15-13*ORÇAMENTO!$AF$7)/$H63*OFFSET(ORÇAMENTO!$X$15,ROW(AR63)-ROW(AR$15),0),
ROUND(ROUND(OFFSET($P63,0,AR$13),15-13*ORÇAMENTO!$AF$7)*OFFSET(ORÇAMENTO!$W$15,ROW(AR63)-ROW(AR$15),0),15-13*ORÇAMENTO!$AF$11)),0)</f>
        <v>0</v>
      </c>
      <c r="AS63" s="546">
        <f ca="1">IF(AND($D63="Serviço",AS$12&lt;&gt;0,$H63&gt;0,OR(AUTOEVENTO&lt;&gt;"manual",$M63&lt;&gt;1)),
IF(Import.TipoArredondamento&lt;&gt;"TransfereGOV",
ROUND(OFFSET($P63,0,AS$13),15-13*ORÇAMENTO!$AF$7)/$H63*OFFSET(ORÇAMENTO!$X$15,ROW(AS63)-ROW(AS$15),0),
ROUND(ROUND(OFFSET($P63,0,AS$13),15-13*ORÇAMENTO!$AF$7)*OFFSET(ORÇAMENTO!$W$15,ROW(AS63)-ROW(AS$15),0),15-13*ORÇAMENTO!$AF$11)),0)</f>
        <v>0</v>
      </c>
      <c r="AT63" s="545">
        <f ca="1">IF(AND($D63="Serviço",AT$12&lt;&gt;0,$H63&gt;0,OR(AUTOEVENTO&lt;&gt;"manual",$M63&lt;&gt;1)),
IF(Import.TipoArredondamento&lt;&gt;"TransfereGOV",
ROUND(OFFSET($P63,0,AT$13),15-13*ORÇAMENTO!$AF$7)/$H63*OFFSET(ORÇAMENTO!$X$15,ROW(AT63)-ROW(AT$15),0),
ROUND(ROUND(OFFSET($P63,0,AT$13),15-13*ORÇAMENTO!$AF$7)*OFFSET(ORÇAMENTO!$W$15,ROW(AT63)-ROW(AT$15),0),15-13*ORÇAMENTO!$AF$11)),0)</f>
        <v>0</v>
      </c>
      <c r="AU63" s="545">
        <f ca="1">IF(AND($D63="Serviço",AU$12&lt;&gt;0,$H63&gt;0,OR(AUTOEVENTO&lt;&gt;"manual",$M63&lt;&gt;1)),
IF(Import.TipoArredondamento&lt;&gt;"TransfereGOV",
ROUND(OFFSET($P63,0,AU$13),15-13*ORÇAMENTO!$AF$7)/$H63*OFFSET(ORÇAMENTO!$X$15,ROW(AU63)-ROW(AU$15),0),
ROUND(ROUND(OFFSET($P63,0,AU$13),15-13*ORÇAMENTO!$AF$7)*OFFSET(ORÇAMENTO!$W$15,ROW(AU63)-ROW(AU$15),0),15-13*ORÇAMENTO!$AF$11)),0)</f>
        <v>0</v>
      </c>
      <c r="AV63" s="545">
        <f ca="1">IF(AND($D63="Serviço",AV$12&lt;&gt;0,$H63&gt;0,OR(AUTOEVENTO&lt;&gt;"manual",$M63&lt;&gt;1)),
IF(Import.TipoArredondamento&lt;&gt;"TransfereGOV",
ROUND(OFFSET($P63,0,AV$13),15-13*ORÇAMENTO!$AF$7)/$H63*OFFSET(ORÇAMENTO!$X$15,ROW(AV63)-ROW(AV$15),0),
ROUND(ROUND(OFFSET($P63,0,AV$13),15-13*ORÇAMENTO!$AF$7)*OFFSET(ORÇAMENTO!$W$15,ROW(AV63)-ROW(AV$15),0),15-13*ORÇAMENTO!$AF$11)),0)</f>
        <v>0</v>
      </c>
      <c r="AW63" s="545">
        <f ca="1">IF(AND($D63="Serviço",AW$12&lt;&gt;0,$H63&gt;0,OR(AUTOEVENTO&lt;&gt;"manual",$M63&lt;&gt;1)),
IF(Import.TipoArredondamento&lt;&gt;"TransfereGOV",
ROUND(OFFSET($P63,0,AW$13),15-13*ORÇAMENTO!$AF$7)/$H63*OFFSET(ORÇAMENTO!$X$15,ROW(AW63)-ROW(AW$15),0),
ROUND(ROUND(OFFSET($P63,0,AW$13),15-13*ORÇAMENTO!$AF$7)*OFFSET(ORÇAMENTO!$W$15,ROW(AW63)-ROW(AW$15),0),15-13*ORÇAMENTO!$AF$11)),0)</f>
        <v>0</v>
      </c>
      <c r="AX63" s="545">
        <f ca="1">IF(AND($D63="Serviço",AX$12&lt;&gt;0,$H63&gt;0,OR(AUTOEVENTO&lt;&gt;"manual",$M63&lt;&gt;1)),
IF(Import.TipoArredondamento&lt;&gt;"TransfereGOV",
ROUND(OFFSET($P63,0,AX$13),15-13*ORÇAMENTO!$AF$7)/$H63*OFFSET(ORÇAMENTO!$X$15,ROW(AX63)-ROW(AX$15),0),
ROUND(ROUND(OFFSET($P63,0,AX$13),15-13*ORÇAMENTO!$AF$7)*OFFSET(ORÇAMENTO!$W$15,ROW(AX63)-ROW(AX$15),0),15-13*ORÇAMENTO!$AF$11)),0)</f>
        <v>0</v>
      </c>
      <c r="AY63" s="545">
        <f ca="1">IF(AND($D63="Serviço",AY$12&lt;&gt;0,$H63&gt;0,OR(AUTOEVENTO&lt;&gt;"manual",$M63&lt;&gt;1)),
IF(Import.TipoArredondamento&lt;&gt;"TransfereGOV",
ROUND(OFFSET($P63,0,AY$13),15-13*ORÇAMENTO!$AF$7)/$H63*OFFSET(ORÇAMENTO!$X$15,ROW(AY63)-ROW(AY$15),0),
ROUND(ROUND(OFFSET($P63,0,AY$13),15-13*ORÇAMENTO!$AF$7)*OFFSET(ORÇAMENTO!$W$15,ROW(AY63)-ROW(AY$15),0),15-13*ORÇAMENTO!$AF$11)),0)</f>
        <v>0</v>
      </c>
      <c r="AZ63" s="545">
        <f ca="1">IF(AND($D63="Serviço",AZ$12&lt;&gt;0,$H63&gt;0,OR(AUTOEVENTO&lt;&gt;"manual",$M63&lt;&gt;1)),
IF(Import.TipoArredondamento&lt;&gt;"TransfereGOV",
ROUND(OFFSET($P63,0,AZ$13),15-13*ORÇAMENTO!$AF$7)/$H63*OFFSET(ORÇAMENTO!$X$15,ROW(AZ63)-ROW(AZ$15),0),
ROUND(ROUND(OFFSET($P63,0,AZ$13),15-13*ORÇAMENTO!$AF$7)*OFFSET(ORÇAMENTO!$W$15,ROW(AZ63)-ROW(AZ$15),0),15-13*ORÇAMENTO!$AF$11)),0)</f>
        <v>0</v>
      </c>
      <c r="BA63" s="546">
        <f ca="1">IF(AND($D63="Serviço",BA$12&lt;&gt;0,$H63&gt;0,OR(AUTOEVENTO&lt;&gt;"manual",$M63&lt;&gt;1)),
IF(Import.TipoArredondamento&lt;&gt;"TransfereGOV",
ROUND(OFFSET($P63,0,BA$13),15-13*ORÇAMENTO!$AF$7)/$H63*OFFSET(ORÇAMENTO!$X$15,ROW(BA63)-ROW(BA$15),0),
ROUND(ROUND(OFFSET($P63,0,BA$13),15-13*ORÇAMENTO!$AF$7)*OFFSET(ORÇAMENTO!$W$15,ROW(BA63)-ROW(BA$15),0),15-13*ORÇAMENTO!$AF$11)),0)</f>
        <v>0</v>
      </c>
      <c r="BC63" s="181">
        <f ca="1">IF($D63&lt;&gt;"Serviço",0,IF(AND(AUTOEVENTO="Manual",$M63=1),0,IF(OFFSET(CRONOPLE!$F$14,$M63,BC$13)="",10^12,OFFSET(CRONOPLE!$F$14,$M63,BC$13))))</f>
        <v>0</v>
      </c>
      <c r="BD63" s="181">
        <f ca="1">IF($D63&lt;&gt;"Serviço",0,IF(AND(AUTOEVENTO="Manual",$M63=1),0,IF(OFFSET(CRONOPLE!$F$14,$M63,BD$13)="",10^12,OFFSET(CRONOPLE!$F$14,$M63,BD$13))))</f>
        <v>0</v>
      </c>
      <c r="BE63" s="181">
        <f ca="1">IF($D63&lt;&gt;"Serviço",0,IF(AND(AUTOEVENTO="Manual",$M63=1),0,IF(OFFSET(CRONOPLE!$F$14,$M63,BE$13)="",10^12,OFFSET(CRONOPLE!$F$14,$M63,BE$13))))</f>
        <v>0</v>
      </c>
      <c r="BF63" s="181">
        <f ca="1">IF($D63&lt;&gt;"Serviço",0,IF(AND(AUTOEVENTO="Manual",$M63=1),0,IF(OFFSET(CRONOPLE!$F$14,$M63,BF$13)="",10^12,OFFSET(CRONOPLE!$F$14,$M63,BF$13))))</f>
        <v>0</v>
      </c>
      <c r="BG63" s="181">
        <f ca="1">IF($D63&lt;&gt;"Serviço",0,IF(AND(AUTOEVENTO="Manual",$M63=1),0,IF(OFFSET(CRONOPLE!$F$14,$M63,BG$13)="",10^12,OFFSET(CRONOPLE!$F$14,$M63,BG$13))))</f>
        <v>0</v>
      </c>
      <c r="BH63" s="181">
        <f ca="1">IF($D63&lt;&gt;"Serviço",0,IF(AND(AUTOEVENTO="Manual",$M63=1),0,IF(OFFSET(CRONOPLE!$F$14,$M63,BH$13)="",10^12,OFFSET(CRONOPLE!$F$14,$M63,BH$13))))</f>
        <v>0</v>
      </c>
      <c r="BI63" s="181">
        <f ca="1">IF($D63&lt;&gt;"Serviço",0,IF(AND(AUTOEVENTO="Manual",$M63=1),0,IF(OFFSET(CRONOPLE!$F$14,$M63,BI$13)="",10^12,OFFSET(CRONOPLE!$F$14,$M63,BI$13))))</f>
        <v>0</v>
      </c>
      <c r="BJ63" s="181">
        <f ca="1">IF($D63&lt;&gt;"Serviço",0,IF(AND(AUTOEVENTO="Manual",$M63=1),0,IF(OFFSET(CRONOPLE!$F$14,$M63,BJ$13)="",10^12,OFFSET(CRONOPLE!$F$14,$M63,BJ$13))))</f>
        <v>0</v>
      </c>
      <c r="BK63" s="181">
        <f ca="1">IF($D63&lt;&gt;"Serviço",0,IF(AND(AUTOEVENTO="Manual",$M63=1),0,IF(OFFSET(CRONOPLE!$F$14,$M63,BK$13)="",10^12,OFFSET(CRONOPLE!$F$14,$M63,BK$13))))</f>
        <v>0</v>
      </c>
      <c r="BL63" s="181">
        <f ca="1">IF($D63&lt;&gt;"Serviço",0,IF(AND(AUTOEVENTO="Manual",$M63=1),0,IF(OFFSET(CRONOPLE!$F$14,$M63,BL$13)="",10^12,OFFSET(CRONOPLE!$F$14,$M63,BL$13))))</f>
        <v>0</v>
      </c>
      <c r="BM63" s="181">
        <f ca="1">IF($D63&lt;&gt;"Serviço",0,IF(AND(AUTOEVENTO="Manual",$M63=1),0,IF(OFFSET(CRONOPLE!$F$14,$M63,BM$13)="",10^12,OFFSET(CRONOPLE!$F$14,$M63,BM$13))))</f>
        <v>0</v>
      </c>
      <c r="BN63" s="181">
        <f ca="1">IF($D63&lt;&gt;"Serviço",0,IF(AND(AUTOEVENTO="Manual",$M63=1),0,IF(OFFSET(CRONOPLE!$F$14,$M63,BN$13)="",10^12,OFFSET(CRONOPLE!$F$14,$M63,BN$13))))</f>
        <v>0</v>
      </c>
      <c r="BO63" s="181">
        <f ca="1">IF($D63&lt;&gt;"Serviço",0,IF(AND(AUTOEVENTO="Manual",$M63=1),0,IF(OFFSET(CRONOPLE!$F$14,$M63,BO$13)="",10^12,OFFSET(CRONOPLE!$F$14,$M63,BO$13))))</f>
        <v>0</v>
      </c>
      <c r="BP63" s="181">
        <f ca="1">IF($D63&lt;&gt;"Serviço",0,IF(AND(AUTOEVENTO="Manual",$M63=1),0,IF(OFFSET(CRONOPLE!$F$14,$M63,BP$13)="",10^12,OFFSET(CRONOPLE!$F$14,$M63,BP$13))))</f>
        <v>0</v>
      </c>
      <c r="BQ63" s="181">
        <f ca="1">IF($D63&lt;&gt;"Serviço",0,IF(AND(AUTOEVENTO="Manual",$M63=1),0,IF(OFFSET(CRONOPLE!$F$14,$M63,BQ$13)="",10^12,OFFSET(CRONOPLE!$F$14,$M63,BQ$13))))</f>
        <v>0</v>
      </c>
      <c r="BR63" s="181">
        <f ca="1">IF($D63&lt;&gt;"Serviço",0,IF(AND(AUTOEVENTO="Manual",$M63=1),0,IF(OFFSET(CRONOPLE!$F$14,$M63,BR$13)="",10^12,OFFSET(CRONOPLE!$F$14,$M63,BR$13))))</f>
        <v>0</v>
      </c>
      <c r="BS63" s="181">
        <f ca="1">IF($D63&lt;&gt;"Serviço",0,IF(AND(AUTOEVENTO="Manual",$M63=1),0,IF(OFFSET(CRONOPLE!$F$14,$M63,BS$13)="",10^12,OFFSET(CRONOPLE!$F$14,$M63,BS$13))))</f>
        <v>0</v>
      </c>
      <c r="BT63" s="181">
        <f ca="1">IF($D63&lt;&gt;"Serviço",0,IF(AND(AUTOEVENTO="Manual",$M63=1),0,IF(OFFSET(CRONOPLE!$F$14,$M63,BT$13)="",10^12,OFFSET(CRONOPLE!$F$14,$M63,BT$13))))</f>
        <v>0</v>
      </c>
      <c r="BV63" s="182">
        <f ca="1">IF($D63&lt;&gt;"Serviço",0,IF(OR(AND(AUTOEVENTO="Manual",$M63=1),$M63&gt;(ROW(PLE.lastrow)-ROW(PLE.firstrow))),0,IF(OFFSET(PLE!$G$14,$M63,BV$13)="",10^12,OFFSET(PLE!$G$14,$M63,BV$13))))</f>
        <v>0</v>
      </c>
      <c r="BW63" s="182">
        <f ca="1">IF($D63&lt;&gt;"Serviço",0,IF(OR(AND(AUTOEVENTO="Manual",$M63=1),$M63&gt;(ROW(PLE.lastrow)-ROW(PLE.firstrow))),0,IF(OFFSET(PLE!$G$14,$M63,BW$13)="",10^12,OFFSET(PLE!$G$14,$M63,BW$13))))</f>
        <v>0</v>
      </c>
      <c r="BX63" s="182">
        <f ca="1">IF($D63&lt;&gt;"Serviço",0,IF(OR(AND(AUTOEVENTO="Manual",$M63=1),$M63&gt;(ROW(PLE.lastrow)-ROW(PLE.firstrow))),0,IF(OFFSET(PLE!$G$14,$M63,BX$13)="",10^12,OFFSET(PLE!$G$14,$M63,BX$13))))</f>
        <v>0</v>
      </c>
      <c r="BY63" s="182">
        <f ca="1">IF($D63&lt;&gt;"Serviço",0,IF(OR(AND(AUTOEVENTO="Manual",$M63=1),$M63&gt;(ROW(PLE.lastrow)-ROW(PLE.firstrow))),0,IF(OFFSET(PLE!$G$14,$M63,BY$13)="",10^12,OFFSET(PLE!$G$14,$M63,BY$13))))</f>
        <v>0</v>
      </c>
      <c r="BZ63" s="182">
        <f ca="1">IF($D63&lt;&gt;"Serviço",0,IF(OR(AND(AUTOEVENTO="Manual",$M63=1),$M63&gt;(ROW(PLE.lastrow)-ROW(PLE.firstrow))),0,IF(OFFSET(PLE!$G$14,$M63,BZ$13)="",10^12,OFFSET(PLE!$G$14,$M63,BZ$13))))</f>
        <v>0</v>
      </c>
      <c r="CA63" s="182">
        <f ca="1">IF($D63&lt;&gt;"Serviço",0,IF(OR(AND(AUTOEVENTO="Manual",$M63=1),$M63&gt;(ROW(PLE.lastrow)-ROW(PLE.firstrow))),0,IF(OFFSET(PLE!$G$14,$M63,CA$13)="",10^12,OFFSET(PLE!$G$14,$M63,CA$13))))</f>
        <v>0</v>
      </c>
      <c r="CB63" s="182">
        <f ca="1">IF($D63&lt;&gt;"Serviço",0,IF(OR(AND(AUTOEVENTO="Manual",$M63=1),$M63&gt;(ROW(PLE.lastrow)-ROW(PLE.firstrow))),0,IF(OFFSET(PLE!$G$14,$M63,CB$13)="",10^12,OFFSET(PLE!$G$14,$M63,CB$13))))</f>
        <v>0</v>
      </c>
      <c r="CC63" s="182">
        <f ca="1">IF($D63&lt;&gt;"Serviço",0,IF(OR(AND(AUTOEVENTO="Manual",$M63=1),$M63&gt;(ROW(PLE.lastrow)-ROW(PLE.firstrow))),0,IF(OFFSET(PLE!$G$14,$M63,CC$13)="",10^12,OFFSET(PLE!$G$14,$M63,CC$13))))</f>
        <v>0</v>
      </c>
      <c r="CD63" s="182">
        <f ca="1">IF($D63&lt;&gt;"Serviço",0,IF(OR(AND(AUTOEVENTO="Manual",$M63=1),$M63&gt;(ROW(PLE.lastrow)-ROW(PLE.firstrow))),0,IF(OFFSET(PLE!$G$14,$M63,CD$13)="",10^12,OFFSET(PLE!$G$14,$M63,CD$13))))</f>
        <v>0</v>
      </c>
      <c r="CE63" s="182">
        <f ca="1">IF($D63&lt;&gt;"Serviço",0,IF(OR(AND(AUTOEVENTO="Manual",$M63=1),$M63&gt;(ROW(PLE.lastrow)-ROW(PLE.firstrow))),0,IF(OFFSET(PLE!$G$14,$M63,CE$13)="",10^12,OFFSET(PLE!$G$14,$M63,CE$13))))</f>
        <v>0</v>
      </c>
      <c r="CF63" s="182">
        <f ca="1">IF($D63&lt;&gt;"Serviço",0,IF(OR(AND(AUTOEVENTO="Manual",$M63=1),$M63&gt;(ROW(PLE.lastrow)-ROW(PLE.firstrow))),0,IF(OFFSET(PLE!$G$14,$M63,CF$13)="",10^12,OFFSET(PLE!$G$14,$M63,CF$13))))</f>
        <v>0</v>
      </c>
      <c r="CG63" s="182">
        <f ca="1">IF($D63&lt;&gt;"Serviço",0,IF(OR(AND(AUTOEVENTO="Manual",$M63=1),$M63&gt;(ROW(PLE.lastrow)-ROW(PLE.firstrow))),0,IF(OFFSET(PLE!$G$14,$M63,CG$13)="",10^12,OFFSET(PLE!$G$14,$M63,CG$13))))</f>
        <v>0</v>
      </c>
      <c r="CH63" s="182">
        <f ca="1">IF($D63&lt;&gt;"Serviço",0,IF(OR(AND(AUTOEVENTO="Manual",$M63=1),$M63&gt;(ROW(PLE.lastrow)-ROW(PLE.firstrow))),0,IF(OFFSET(PLE!$G$14,$M63,CH$13)="",10^12,OFFSET(PLE!$G$14,$M63,CH$13))))</f>
        <v>0</v>
      </c>
      <c r="CI63" s="182">
        <f ca="1">IF($D63&lt;&gt;"Serviço",0,IF(OR(AND(AUTOEVENTO="Manual",$M63=1),$M63&gt;(ROW(PLE.lastrow)-ROW(PLE.firstrow))),0,IF(OFFSET(PLE!$G$14,$M63,CI$13)="",10^12,OFFSET(PLE!$G$14,$M63,CI$13))))</f>
        <v>0</v>
      </c>
      <c r="CJ63" s="182">
        <f ca="1">IF($D63&lt;&gt;"Serviço",0,IF(OR(AND(AUTOEVENTO="Manual",$M63=1),$M63&gt;(ROW(PLE.lastrow)-ROW(PLE.firstrow))),0,IF(OFFSET(PLE!$G$14,$M63,CJ$13)="",10^12,OFFSET(PLE!$G$14,$M63,CJ$13))))</f>
        <v>0</v>
      </c>
      <c r="CK63" s="182">
        <f ca="1">IF($D63&lt;&gt;"Serviço",0,IF(OR(AND(AUTOEVENTO="Manual",$M63=1),$M63&gt;(ROW(PLE.lastrow)-ROW(PLE.firstrow))),0,IF(OFFSET(PLE!$G$14,$M63,CK$13)="",10^12,OFFSET(PLE!$G$14,$M63,CK$13))))</f>
        <v>0</v>
      </c>
      <c r="CL63" s="182">
        <f ca="1">IF($D63&lt;&gt;"Serviço",0,IF(OR(AND(AUTOEVENTO="Manual",$M63=1),$M63&gt;(ROW(PLE.lastrow)-ROW(PLE.firstrow))),0,IF(OFFSET(PLE!$G$14,$M63,CL$13)="",10^12,OFFSET(PLE!$G$14,$M63,CL$13))))</f>
        <v>0</v>
      </c>
      <c r="CM63" s="182">
        <f ca="1">IF($D63&lt;&gt;"Serviço",0,IF(OR(AND(AUTOEVENTO="Manual",$M63=1),$M63&gt;(ROW(PLE.lastrow)-ROW(PLE.firstrow))),0,IF(OFFSET(PLE!$G$14,$M63,CM$13)="",10^12,OFFSET(PLE!$G$14,$M63,CM$13))))</f>
        <v>0</v>
      </c>
    </row>
    <row r="64" spans="1:91" ht="38.25" x14ac:dyDescent="0.2">
      <c r="A64" s="7" t="str">
        <f t="shared" ca="1" si="9"/>
        <v>48</v>
      </c>
      <c r="B64" s="7" t="str">
        <f ca="1">OFFSET(ORÇAMENTO!C$15,ROW(B64)-ROW(B$15),0)</f>
        <v>S</v>
      </c>
      <c r="C64" s="7" t="str">
        <f ca="1">OFFSET(ORÇAMENTO!L$15,ROW(C64)-ROW(C$15),0)</f>
        <v/>
      </c>
      <c r="D64" s="118" t="str">
        <f ca="1">OFFSET(ORÇAMENTO!N$15,ROW(D64)-ROW(D$15),0)</f>
        <v>Serviço</v>
      </c>
      <c r="E64" s="119" t="str">
        <f ca="1">OFFSET(ORÇAMENTO!O$15,ROW(E64)-ROW(E$15),0)</f>
        <v>-</v>
      </c>
      <c r="F64" s="172" t="str">
        <f ca="1">OFFSET(ORÇAMENTO!R$15,ROW(F64)-ROW(F$15),0)</f>
        <v>(abra o arquivo 'Referência 06-2024.xlsm)</v>
      </c>
      <c r="G64" s="173" t="str">
        <f ca="1">IF($D64&lt;&gt;"Serviço","",OFFSET(ORÇAMENTO!S$15,ROW(G64)-ROW(G$15),0))</f>
        <v>-</v>
      </c>
      <c r="H64" s="124">
        <f ca="1">IF($D64&lt;&gt;"Serviço",0,IF(ACOMPANHAMENTO="BM",ROUND(OFFSET(ORÇAMENTO!AJ$15,ROW(H64)-ROW(H$15),0),15-13*ORÇAMENTO!$AF$7),SUMPRODUCT(($Q$12:$AI$12&lt;&gt;"")*ROUND($Q64:$AI64,15-13*ORÇAMENTO!$AF$7))))</f>
        <v>191</v>
      </c>
      <c r="I64" s="561" t="s">
        <v>1107</v>
      </c>
      <c r="K64" s="174" t="s">
        <v>1028</v>
      </c>
      <c r="L64" s="175" t="s">
        <v>255</v>
      </c>
      <c r="M64" s="176">
        <f ca="1">IF($D64&lt;&gt;"Serviço","",IF(AUTOEVENTO="manual",$A64,IF(ISERROR(MATCH($A64,$A$15:OFFSET($A64,-1,0),0)),MAX($M$15:OFFSET(M64,-1,0))+1,INDEX($M$15:OFFSET(M64,-1,0),MATCH($A64,$A$15:OFFSET($A64,-1,0),0)))))</f>
        <v>10</v>
      </c>
      <c r="N64" s="177" t="str">
        <f ca="1">IF($D64&lt;&gt;"Serviço","",IF(AUTOEVENTO="Manual",IF($A64=0,"&lt;-- defina o número do agrupador",OFFSET(EVENTOS!$D$14,$A64,0)),OFFSET($F$15,$A64,0)))</f>
        <v>SUPERESTRUTURA - CONCRETO ARMADO PARA VIGAS INCLUINDO BALDRAME</v>
      </c>
      <c r="O64" s="178"/>
      <c r="Q64" s="178">
        <v>191</v>
      </c>
      <c r="R64" s="179"/>
      <c r="S64" s="179"/>
      <c r="T64" s="179"/>
      <c r="U64" s="179"/>
      <c r="V64" s="179"/>
      <c r="W64" s="179"/>
      <c r="X64" s="179"/>
      <c r="Y64" s="179"/>
      <c r="Z64" s="180"/>
      <c r="AA64" s="179"/>
      <c r="AB64" s="179"/>
      <c r="AC64" s="179"/>
      <c r="AD64" s="179"/>
      <c r="AE64" s="179"/>
      <c r="AF64" s="179"/>
      <c r="AG64" s="179"/>
      <c r="AH64" s="180"/>
      <c r="AJ64" s="544">
        <f ca="1">IF(AND($D64="Serviço",AJ$12&lt;&gt;0,$H64&gt;0,OR(AUTOEVENTO&lt;&gt;"manual",$M64&lt;&gt;1)),
IF(Import.TipoArredondamento&lt;&gt;"TransfereGOV",
ROUND(OFFSET($P64,0,AJ$13),15-13*ORÇAMENTO!$AF$7)/$H64*OFFSET(ORÇAMENTO!$X$15,ROW(AJ64)-ROW(AJ$15),0),
ROUND(ROUND(OFFSET($P64,0,AJ$13),15-13*ORÇAMENTO!$AF$7)*OFFSET(ORÇAMENTO!$W$15,ROW(AJ64)-ROW(AJ$15),0),15-13*ORÇAMENTO!$AF$11)),0)</f>
        <v>0</v>
      </c>
      <c r="AK64" s="545">
        <f ca="1">IF(AND($D64="Serviço",AK$12&lt;&gt;0,$H64&gt;0,OR(AUTOEVENTO&lt;&gt;"manual",$M64&lt;&gt;1)),
IF(Import.TipoArredondamento&lt;&gt;"TransfereGOV",
ROUND(OFFSET($P64,0,AK$13),15-13*ORÇAMENTO!$AF$7)/$H64*OFFSET(ORÇAMENTO!$X$15,ROW(AK64)-ROW(AK$15),0),
ROUND(ROUND(OFFSET($P64,0,AK$13),15-13*ORÇAMENTO!$AF$7)*OFFSET(ORÇAMENTO!$W$15,ROW(AK64)-ROW(AK$15),0),15-13*ORÇAMENTO!$AF$11)),0)</f>
        <v>0</v>
      </c>
      <c r="AL64" s="545">
        <f ca="1">IF(AND($D64="Serviço",AL$12&lt;&gt;0,$H64&gt;0,OR(AUTOEVENTO&lt;&gt;"manual",$M64&lt;&gt;1)),
IF(Import.TipoArredondamento&lt;&gt;"TransfereGOV",
ROUND(OFFSET($P64,0,AL$13),15-13*ORÇAMENTO!$AF$7)/$H64*OFFSET(ORÇAMENTO!$X$15,ROW(AL64)-ROW(AL$15),0),
ROUND(ROUND(OFFSET($P64,0,AL$13),15-13*ORÇAMENTO!$AF$7)*OFFSET(ORÇAMENTO!$W$15,ROW(AL64)-ROW(AL$15),0),15-13*ORÇAMENTO!$AF$11)),0)</f>
        <v>0</v>
      </c>
      <c r="AM64" s="545">
        <f ca="1">IF(AND($D64="Serviço",AM$12&lt;&gt;0,$H64&gt;0,OR(AUTOEVENTO&lt;&gt;"manual",$M64&lt;&gt;1)),
IF(Import.TipoArredondamento&lt;&gt;"TransfereGOV",
ROUND(OFFSET($P64,0,AM$13),15-13*ORÇAMENTO!$AF$7)/$H64*OFFSET(ORÇAMENTO!$X$15,ROW(AM64)-ROW(AM$15),0),
ROUND(ROUND(OFFSET($P64,0,AM$13),15-13*ORÇAMENTO!$AF$7)*OFFSET(ORÇAMENTO!$W$15,ROW(AM64)-ROW(AM$15),0),15-13*ORÇAMENTO!$AF$11)),0)</f>
        <v>0</v>
      </c>
      <c r="AN64" s="545">
        <f ca="1">IF(AND($D64="Serviço",AN$12&lt;&gt;0,$H64&gt;0,OR(AUTOEVENTO&lt;&gt;"manual",$M64&lt;&gt;1)),
IF(Import.TipoArredondamento&lt;&gt;"TransfereGOV",
ROUND(OFFSET($P64,0,AN$13),15-13*ORÇAMENTO!$AF$7)/$H64*OFFSET(ORÇAMENTO!$X$15,ROW(AN64)-ROW(AN$15),0),
ROUND(ROUND(OFFSET($P64,0,AN$13),15-13*ORÇAMENTO!$AF$7)*OFFSET(ORÇAMENTO!$W$15,ROW(AN64)-ROW(AN$15),0),15-13*ORÇAMENTO!$AF$11)),0)</f>
        <v>0</v>
      </c>
      <c r="AO64" s="545">
        <f ca="1">IF(AND($D64="Serviço",AO$12&lt;&gt;0,$H64&gt;0,OR(AUTOEVENTO&lt;&gt;"manual",$M64&lt;&gt;1)),
IF(Import.TipoArredondamento&lt;&gt;"TransfereGOV",
ROUND(OFFSET($P64,0,AO$13),15-13*ORÇAMENTO!$AF$7)/$H64*OFFSET(ORÇAMENTO!$X$15,ROW(AO64)-ROW(AO$15),0),
ROUND(ROUND(OFFSET($P64,0,AO$13),15-13*ORÇAMENTO!$AF$7)*OFFSET(ORÇAMENTO!$W$15,ROW(AO64)-ROW(AO$15),0),15-13*ORÇAMENTO!$AF$11)),0)</f>
        <v>0</v>
      </c>
      <c r="AP64" s="545">
        <f ca="1">IF(AND($D64="Serviço",AP$12&lt;&gt;0,$H64&gt;0,OR(AUTOEVENTO&lt;&gt;"manual",$M64&lt;&gt;1)),
IF(Import.TipoArredondamento&lt;&gt;"TransfereGOV",
ROUND(OFFSET($P64,0,AP$13),15-13*ORÇAMENTO!$AF$7)/$H64*OFFSET(ORÇAMENTO!$X$15,ROW(AP64)-ROW(AP$15),0),
ROUND(ROUND(OFFSET($P64,0,AP$13),15-13*ORÇAMENTO!$AF$7)*OFFSET(ORÇAMENTO!$W$15,ROW(AP64)-ROW(AP$15),0),15-13*ORÇAMENTO!$AF$11)),0)</f>
        <v>0</v>
      </c>
      <c r="AQ64" s="545">
        <f ca="1">IF(AND($D64="Serviço",AQ$12&lt;&gt;0,$H64&gt;0,OR(AUTOEVENTO&lt;&gt;"manual",$M64&lt;&gt;1)),
IF(Import.TipoArredondamento&lt;&gt;"TransfereGOV",
ROUND(OFFSET($P64,0,AQ$13),15-13*ORÇAMENTO!$AF$7)/$H64*OFFSET(ORÇAMENTO!$X$15,ROW(AQ64)-ROW(AQ$15),0),
ROUND(ROUND(OFFSET($P64,0,AQ$13),15-13*ORÇAMENTO!$AF$7)*OFFSET(ORÇAMENTO!$W$15,ROW(AQ64)-ROW(AQ$15),0),15-13*ORÇAMENTO!$AF$11)),0)</f>
        <v>0</v>
      </c>
      <c r="AR64" s="545">
        <f ca="1">IF(AND($D64="Serviço",AR$12&lt;&gt;0,$H64&gt;0,OR(AUTOEVENTO&lt;&gt;"manual",$M64&lt;&gt;1)),
IF(Import.TipoArredondamento&lt;&gt;"TransfereGOV",
ROUND(OFFSET($P64,0,AR$13),15-13*ORÇAMENTO!$AF$7)/$H64*OFFSET(ORÇAMENTO!$X$15,ROW(AR64)-ROW(AR$15),0),
ROUND(ROUND(OFFSET($P64,0,AR$13),15-13*ORÇAMENTO!$AF$7)*OFFSET(ORÇAMENTO!$W$15,ROW(AR64)-ROW(AR$15),0),15-13*ORÇAMENTO!$AF$11)),0)</f>
        <v>0</v>
      </c>
      <c r="AS64" s="546">
        <f ca="1">IF(AND($D64="Serviço",AS$12&lt;&gt;0,$H64&gt;0,OR(AUTOEVENTO&lt;&gt;"manual",$M64&lt;&gt;1)),
IF(Import.TipoArredondamento&lt;&gt;"TransfereGOV",
ROUND(OFFSET($P64,0,AS$13),15-13*ORÇAMENTO!$AF$7)/$H64*OFFSET(ORÇAMENTO!$X$15,ROW(AS64)-ROW(AS$15),0),
ROUND(ROUND(OFFSET($P64,0,AS$13),15-13*ORÇAMENTO!$AF$7)*OFFSET(ORÇAMENTO!$W$15,ROW(AS64)-ROW(AS$15),0),15-13*ORÇAMENTO!$AF$11)),0)</f>
        <v>0</v>
      </c>
      <c r="AT64" s="545">
        <f ca="1">IF(AND($D64="Serviço",AT$12&lt;&gt;0,$H64&gt;0,OR(AUTOEVENTO&lt;&gt;"manual",$M64&lt;&gt;1)),
IF(Import.TipoArredondamento&lt;&gt;"TransfereGOV",
ROUND(OFFSET($P64,0,AT$13),15-13*ORÇAMENTO!$AF$7)/$H64*OFFSET(ORÇAMENTO!$X$15,ROW(AT64)-ROW(AT$15),0),
ROUND(ROUND(OFFSET($P64,0,AT$13),15-13*ORÇAMENTO!$AF$7)*OFFSET(ORÇAMENTO!$W$15,ROW(AT64)-ROW(AT$15),0),15-13*ORÇAMENTO!$AF$11)),0)</f>
        <v>0</v>
      </c>
      <c r="AU64" s="545">
        <f ca="1">IF(AND($D64="Serviço",AU$12&lt;&gt;0,$H64&gt;0,OR(AUTOEVENTO&lt;&gt;"manual",$M64&lt;&gt;1)),
IF(Import.TipoArredondamento&lt;&gt;"TransfereGOV",
ROUND(OFFSET($P64,0,AU$13),15-13*ORÇAMENTO!$AF$7)/$H64*OFFSET(ORÇAMENTO!$X$15,ROW(AU64)-ROW(AU$15),0),
ROUND(ROUND(OFFSET($P64,0,AU$13),15-13*ORÇAMENTO!$AF$7)*OFFSET(ORÇAMENTO!$W$15,ROW(AU64)-ROW(AU$15),0),15-13*ORÇAMENTO!$AF$11)),0)</f>
        <v>0</v>
      </c>
      <c r="AV64" s="545">
        <f ca="1">IF(AND($D64="Serviço",AV$12&lt;&gt;0,$H64&gt;0,OR(AUTOEVENTO&lt;&gt;"manual",$M64&lt;&gt;1)),
IF(Import.TipoArredondamento&lt;&gt;"TransfereGOV",
ROUND(OFFSET($P64,0,AV$13),15-13*ORÇAMENTO!$AF$7)/$H64*OFFSET(ORÇAMENTO!$X$15,ROW(AV64)-ROW(AV$15),0),
ROUND(ROUND(OFFSET($P64,0,AV$13),15-13*ORÇAMENTO!$AF$7)*OFFSET(ORÇAMENTO!$W$15,ROW(AV64)-ROW(AV$15),0),15-13*ORÇAMENTO!$AF$11)),0)</f>
        <v>0</v>
      </c>
      <c r="AW64" s="545">
        <f ca="1">IF(AND($D64="Serviço",AW$12&lt;&gt;0,$H64&gt;0,OR(AUTOEVENTO&lt;&gt;"manual",$M64&lt;&gt;1)),
IF(Import.TipoArredondamento&lt;&gt;"TransfereGOV",
ROUND(OFFSET($P64,0,AW$13),15-13*ORÇAMENTO!$AF$7)/$H64*OFFSET(ORÇAMENTO!$X$15,ROW(AW64)-ROW(AW$15),0),
ROUND(ROUND(OFFSET($P64,0,AW$13),15-13*ORÇAMENTO!$AF$7)*OFFSET(ORÇAMENTO!$W$15,ROW(AW64)-ROW(AW$15),0),15-13*ORÇAMENTO!$AF$11)),0)</f>
        <v>0</v>
      </c>
      <c r="AX64" s="545">
        <f ca="1">IF(AND($D64="Serviço",AX$12&lt;&gt;0,$H64&gt;0,OR(AUTOEVENTO&lt;&gt;"manual",$M64&lt;&gt;1)),
IF(Import.TipoArredondamento&lt;&gt;"TransfereGOV",
ROUND(OFFSET($P64,0,AX$13),15-13*ORÇAMENTO!$AF$7)/$H64*OFFSET(ORÇAMENTO!$X$15,ROW(AX64)-ROW(AX$15),0),
ROUND(ROUND(OFFSET($P64,0,AX$13),15-13*ORÇAMENTO!$AF$7)*OFFSET(ORÇAMENTO!$W$15,ROW(AX64)-ROW(AX$15),0),15-13*ORÇAMENTO!$AF$11)),0)</f>
        <v>0</v>
      </c>
      <c r="AY64" s="545">
        <f ca="1">IF(AND($D64="Serviço",AY$12&lt;&gt;0,$H64&gt;0,OR(AUTOEVENTO&lt;&gt;"manual",$M64&lt;&gt;1)),
IF(Import.TipoArredondamento&lt;&gt;"TransfereGOV",
ROUND(OFFSET($P64,0,AY$13),15-13*ORÇAMENTO!$AF$7)/$H64*OFFSET(ORÇAMENTO!$X$15,ROW(AY64)-ROW(AY$15),0),
ROUND(ROUND(OFFSET($P64,0,AY$13),15-13*ORÇAMENTO!$AF$7)*OFFSET(ORÇAMENTO!$W$15,ROW(AY64)-ROW(AY$15),0),15-13*ORÇAMENTO!$AF$11)),0)</f>
        <v>0</v>
      </c>
      <c r="AZ64" s="545">
        <f ca="1">IF(AND($D64="Serviço",AZ$12&lt;&gt;0,$H64&gt;0,OR(AUTOEVENTO&lt;&gt;"manual",$M64&lt;&gt;1)),
IF(Import.TipoArredondamento&lt;&gt;"TransfereGOV",
ROUND(OFFSET($P64,0,AZ$13),15-13*ORÇAMENTO!$AF$7)/$H64*OFFSET(ORÇAMENTO!$X$15,ROW(AZ64)-ROW(AZ$15),0),
ROUND(ROUND(OFFSET($P64,0,AZ$13),15-13*ORÇAMENTO!$AF$7)*OFFSET(ORÇAMENTO!$W$15,ROW(AZ64)-ROW(AZ$15),0),15-13*ORÇAMENTO!$AF$11)),0)</f>
        <v>0</v>
      </c>
      <c r="BA64" s="546">
        <f ca="1">IF(AND($D64="Serviço",BA$12&lt;&gt;0,$H64&gt;0,OR(AUTOEVENTO&lt;&gt;"manual",$M64&lt;&gt;1)),
IF(Import.TipoArredondamento&lt;&gt;"TransfereGOV",
ROUND(OFFSET($P64,0,BA$13),15-13*ORÇAMENTO!$AF$7)/$H64*OFFSET(ORÇAMENTO!$X$15,ROW(BA64)-ROW(BA$15),0),
ROUND(ROUND(OFFSET($P64,0,BA$13),15-13*ORÇAMENTO!$AF$7)*OFFSET(ORÇAMENTO!$W$15,ROW(BA64)-ROW(BA$15),0),15-13*ORÇAMENTO!$AF$11)),0)</f>
        <v>0</v>
      </c>
      <c r="BC64" s="181">
        <f ca="1">IF($D64&lt;&gt;"Serviço",0,IF(AND(AUTOEVENTO="Manual",$M64=1),0,IF(OFFSET(CRONOPLE!$F$14,$M64,BC$13)="",10^12,OFFSET(CRONOPLE!$F$14,$M64,BC$13))))</f>
        <v>3</v>
      </c>
      <c r="BD64" s="181">
        <f ca="1">IF($D64&lt;&gt;"Serviço",0,IF(AND(AUTOEVENTO="Manual",$M64=1),0,IF(OFFSET(CRONOPLE!$F$14,$M64,BD$13)="",10^12,OFFSET(CRONOPLE!$F$14,$M64,BD$13))))</f>
        <v>1000000000000</v>
      </c>
      <c r="BE64" s="181">
        <f ca="1">IF($D64&lt;&gt;"Serviço",0,IF(AND(AUTOEVENTO="Manual",$M64=1),0,IF(OFFSET(CRONOPLE!$F$14,$M64,BE$13)="",10^12,OFFSET(CRONOPLE!$F$14,$M64,BE$13))))</f>
        <v>1000000000000</v>
      </c>
      <c r="BF64" s="181">
        <f ca="1">IF($D64&lt;&gt;"Serviço",0,IF(AND(AUTOEVENTO="Manual",$M64=1),0,IF(OFFSET(CRONOPLE!$F$14,$M64,BF$13)="",10^12,OFFSET(CRONOPLE!$F$14,$M64,BF$13))))</f>
        <v>1000000000000</v>
      </c>
      <c r="BG64" s="181">
        <f ca="1">IF($D64&lt;&gt;"Serviço",0,IF(AND(AUTOEVENTO="Manual",$M64=1),0,IF(OFFSET(CRONOPLE!$F$14,$M64,BG$13)="",10^12,OFFSET(CRONOPLE!$F$14,$M64,BG$13))))</f>
        <v>1000000000000</v>
      </c>
      <c r="BH64" s="181">
        <f ca="1">IF($D64&lt;&gt;"Serviço",0,IF(AND(AUTOEVENTO="Manual",$M64=1),0,IF(OFFSET(CRONOPLE!$F$14,$M64,BH$13)="",10^12,OFFSET(CRONOPLE!$F$14,$M64,BH$13))))</f>
        <v>1000000000000</v>
      </c>
      <c r="BI64" s="181">
        <f ca="1">IF($D64&lt;&gt;"Serviço",0,IF(AND(AUTOEVENTO="Manual",$M64=1),0,IF(OFFSET(CRONOPLE!$F$14,$M64,BI$13)="",10^12,OFFSET(CRONOPLE!$F$14,$M64,BI$13))))</f>
        <v>1000000000000</v>
      </c>
      <c r="BJ64" s="181">
        <f ca="1">IF($D64&lt;&gt;"Serviço",0,IF(AND(AUTOEVENTO="Manual",$M64=1),0,IF(OFFSET(CRONOPLE!$F$14,$M64,BJ$13)="",10^12,OFFSET(CRONOPLE!$F$14,$M64,BJ$13))))</f>
        <v>1000000000000</v>
      </c>
      <c r="BK64" s="181">
        <f ca="1">IF($D64&lt;&gt;"Serviço",0,IF(AND(AUTOEVENTO="Manual",$M64=1),0,IF(OFFSET(CRONOPLE!$F$14,$M64,BK$13)="",10^12,OFFSET(CRONOPLE!$F$14,$M64,BK$13))))</f>
        <v>1000000000000</v>
      </c>
      <c r="BL64" s="181">
        <f ca="1">IF($D64&lt;&gt;"Serviço",0,IF(AND(AUTOEVENTO="Manual",$M64=1),0,IF(OFFSET(CRONOPLE!$F$14,$M64,BL$13)="",10^12,OFFSET(CRONOPLE!$F$14,$M64,BL$13))))</f>
        <v>1000000000000</v>
      </c>
      <c r="BM64" s="181">
        <f ca="1">IF($D64&lt;&gt;"Serviço",0,IF(AND(AUTOEVENTO="Manual",$M64=1),0,IF(OFFSET(CRONOPLE!$F$14,$M64,BM$13)="",10^12,OFFSET(CRONOPLE!$F$14,$M64,BM$13))))</f>
        <v>1000000000000</v>
      </c>
      <c r="BN64" s="181">
        <f ca="1">IF($D64&lt;&gt;"Serviço",0,IF(AND(AUTOEVENTO="Manual",$M64=1),0,IF(OFFSET(CRONOPLE!$F$14,$M64,BN$13)="",10^12,OFFSET(CRONOPLE!$F$14,$M64,BN$13))))</f>
        <v>1000000000000</v>
      </c>
      <c r="BO64" s="181">
        <f ca="1">IF($D64&lt;&gt;"Serviço",0,IF(AND(AUTOEVENTO="Manual",$M64=1),0,IF(OFFSET(CRONOPLE!$F$14,$M64,BO$13)="",10^12,OFFSET(CRONOPLE!$F$14,$M64,BO$13))))</f>
        <v>1000000000000</v>
      </c>
      <c r="BP64" s="181">
        <f ca="1">IF($D64&lt;&gt;"Serviço",0,IF(AND(AUTOEVENTO="Manual",$M64=1),0,IF(OFFSET(CRONOPLE!$F$14,$M64,BP$13)="",10^12,OFFSET(CRONOPLE!$F$14,$M64,BP$13))))</f>
        <v>1000000000000</v>
      </c>
      <c r="BQ64" s="181">
        <f ca="1">IF($D64&lt;&gt;"Serviço",0,IF(AND(AUTOEVENTO="Manual",$M64=1),0,IF(OFFSET(CRONOPLE!$F$14,$M64,BQ$13)="",10^12,OFFSET(CRONOPLE!$F$14,$M64,BQ$13))))</f>
        <v>1000000000000</v>
      </c>
      <c r="BR64" s="181">
        <f ca="1">IF($D64&lt;&gt;"Serviço",0,IF(AND(AUTOEVENTO="Manual",$M64=1),0,IF(OFFSET(CRONOPLE!$F$14,$M64,BR$13)="",10^12,OFFSET(CRONOPLE!$F$14,$M64,BR$13))))</f>
        <v>1000000000000</v>
      </c>
      <c r="BS64" s="181">
        <f ca="1">IF($D64&lt;&gt;"Serviço",0,IF(AND(AUTOEVENTO="Manual",$M64=1),0,IF(OFFSET(CRONOPLE!$F$14,$M64,BS$13)="",10^12,OFFSET(CRONOPLE!$F$14,$M64,BS$13))))</f>
        <v>1000000000000</v>
      </c>
      <c r="BT64" s="181">
        <f ca="1">IF($D64&lt;&gt;"Serviço",0,IF(AND(AUTOEVENTO="Manual",$M64=1),0,IF(OFFSET(CRONOPLE!$F$14,$M64,BT$13)="",10^12,OFFSET(CRONOPLE!$F$14,$M64,BT$13))))</f>
        <v>1000000000000</v>
      </c>
      <c r="BV64" s="182">
        <f ca="1">IF($D64&lt;&gt;"Serviço",0,IF(OR(AND(AUTOEVENTO="Manual",$M64=1),$M64&gt;(ROW(PLE.lastrow)-ROW(PLE.firstrow))),0,IF(OFFSET(PLE!$G$14,$M64,BV$13)="",10^12,OFFSET(PLE!$G$14,$M64,BV$13))))</f>
        <v>1000000000000</v>
      </c>
      <c r="BW64" s="182">
        <f ca="1">IF($D64&lt;&gt;"Serviço",0,IF(OR(AND(AUTOEVENTO="Manual",$M64=1),$M64&gt;(ROW(PLE.lastrow)-ROW(PLE.firstrow))),0,IF(OFFSET(PLE!$G$14,$M64,BW$13)="",10^12,OFFSET(PLE!$G$14,$M64,BW$13))))</f>
        <v>1000000000000</v>
      </c>
      <c r="BX64" s="182">
        <f ca="1">IF($D64&lt;&gt;"Serviço",0,IF(OR(AND(AUTOEVENTO="Manual",$M64=1),$M64&gt;(ROW(PLE.lastrow)-ROW(PLE.firstrow))),0,IF(OFFSET(PLE!$G$14,$M64,BX$13)="",10^12,OFFSET(PLE!$G$14,$M64,BX$13))))</f>
        <v>1000000000000</v>
      </c>
      <c r="BY64" s="182">
        <f ca="1">IF($D64&lt;&gt;"Serviço",0,IF(OR(AND(AUTOEVENTO="Manual",$M64=1),$M64&gt;(ROW(PLE.lastrow)-ROW(PLE.firstrow))),0,IF(OFFSET(PLE!$G$14,$M64,BY$13)="",10^12,OFFSET(PLE!$G$14,$M64,BY$13))))</f>
        <v>1000000000000</v>
      </c>
      <c r="BZ64" s="182">
        <f ca="1">IF($D64&lt;&gt;"Serviço",0,IF(OR(AND(AUTOEVENTO="Manual",$M64=1),$M64&gt;(ROW(PLE.lastrow)-ROW(PLE.firstrow))),0,IF(OFFSET(PLE!$G$14,$M64,BZ$13)="",10^12,OFFSET(PLE!$G$14,$M64,BZ$13))))</f>
        <v>1000000000000</v>
      </c>
      <c r="CA64" s="182">
        <f ca="1">IF($D64&lt;&gt;"Serviço",0,IF(OR(AND(AUTOEVENTO="Manual",$M64=1),$M64&gt;(ROW(PLE.lastrow)-ROW(PLE.firstrow))),0,IF(OFFSET(PLE!$G$14,$M64,CA$13)="",10^12,OFFSET(PLE!$G$14,$M64,CA$13))))</f>
        <v>1000000000000</v>
      </c>
      <c r="CB64" s="182">
        <f ca="1">IF($D64&lt;&gt;"Serviço",0,IF(OR(AND(AUTOEVENTO="Manual",$M64=1),$M64&gt;(ROW(PLE.lastrow)-ROW(PLE.firstrow))),0,IF(OFFSET(PLE!$G$14,$M64,CB$13)="",10^12,OFFSET(PLE!$G$14,$M64,CB$13))))</f>
        <v>1000000000000</v>
      </c>
      <c r="CC64" s="182">
        <f ca="1">IF($D64&lt;&gt;"Serviço",0,IF(OR(AND(AUTOEVENTO="Manual",$M64=1),$M64&gt;(ROW(PLE.lastrow)-ROW(PLE.firstrow))),0,IF(OFFSET(PLE!$G$14,$M64,CC$13)="",10^12,OFFSET(PLE!$G$14,$M64,CC$13))))</f>
        <v>1000000000000</v>
      </c>
      <c r="CD64" s="182">
        <f ca="1">IF($D64&lt;&gt;"Serviço",0,IF(OR(AND(AUTOEVENTO="Manual",$M64=1),$M64&gt;(ROW(PLE.lastrow)-ROW(PLE.firstrow))),0,IF(OFFSET(PLE!$G$14,$M64,CD$13)="",10^12,OFFSET(PLE!$G$14,$M64,CD$13))))</f>
        <v>1000000000000</v>
      </c>
      <c r="CE64" s="182">
        <f ca="1">IF($D64&lt;&gt;"Serviço",0,IF(OR(AND(AUTOEVENTO="Manual",$M64=1),$M64&gt;(ROW(PLE.lastrow)-ROW(PLE.firstrow))),0,IF(OFFSET(PLE!$G$14,$M64,CE$13)="",10^12,OFFSET(PLE!$G$14,$M64,CE$13))))</f>
        <v>1000000000000</v>
      </c>
      <c r="CF64" s="182">
        <f ca="1">IF($D64&lt;&gt;"Serviço",0,IF(OR(AND(AUTOEVENTO="Manual",$M64=1),$M64&gt;(ROW(PLE.lastrow)-ROW(PLE.firstrow))),0,IF(OFFSET(PLE!$G$14,$M64,CF$13)="",10^12,OFFSET(PLE!$G$14,$M64,CF$13))))</f>
        <v>1000000000000</v>
      </c>
      <c r="CG64" s="182">
        <f ca="1">IF($D64&lt;&gt;"Serviço",0,IF(OR(AND(AUTOEVENTO="Manual",$M64=1),$M64&gt;(ROW(PLE.lastrow)-ROW(PLE.firstrow))),0,IF(OFFSET(PLE!$G$14,$M64,CG$13)="",10^12,OFFSET(PLE!$G$14,$M64,CG$13))))</f>
        <v>1000000000000</v>
      </c>
      <c r="CH64" s="182">
        <f ca="1">IF($D64&lt;&gt;"Serviço",0,IF(OR(AND(AUTOEVENTO="Manual",$M64=1),$M64&gt;(ROW(PLE.lastrow)-ROW(PLE.firstrow))),0,IF(OFFSET(PLE!$G$14,$M64,CH$13)="",10^12,OFFSET(PLE!$G$14,$M64,CH$13))))</f>
        <v>1000000000000</v>
      </c>
      <c r="CI64" s="182">
        <f ca="1">IF($D64&lt;&gt;"Serviço",0,IF(OR(AND(AUTOEVENTO="Manual",$M64=1),$M64&gt;(ROW(PLE.lastrow)-ROW(PLE.firstrow))),0,IF(OFFSET(PLE!$G$14,$M64,CI$13)="",10^12,OFFSET(PLE!$G$14,$M64,CI$13))))</f>
        <v>1000000000000</v>
      </c>
      <c r="CJ64" s="182">
        <f ca="1">IF($D64&lt;&gt;"Serviço",0,IF(OR(AND(AUTOEVENTO="Manual",$M64=1),$M64&gt;(ROW(PLE.lastrow)-ROW(PLE.firstrow))),0,IF(OFFSET(PLE!$G$14,$M64,CJ$13)="",10^12,OFFSET(PLE!$G$14,$M64,CJ$13))))</f>
        <v>1000000000000</v>
      </c>
      <c r="CK64" s="182">
        <f ca="1">IF($D64&lt;&gt;"Serviço",0,IF(OR(AND(AUTOEVENTO="Manual",$M64=1),$M64&gt;(ROW(PLE.lastrow)-ROW(PLE.firstrow))),0,IF(OFFSET(PLE!$G$14,$M64,CK$13)="",10^12,OFFSET(PLE!$G$14,$M64,CK$13))))</f>
        <v>1000000000000</v>
      </c>
      <c r="CL64" s="182">
        <f ca="1">IF($D64&lt;&gt;"Serviço",0,IF(OR(AND(AUTOEVENTO="Manual",$M64=1),$M64&gt;(ROW(PLE.lastrow)-ROW(PLE.firstrow))),0,IF(OFFSET(PLE!$G$14,$M64,CL$13)="",10^12,OFFSET(PLE!$G$14,$M64,CL$13))))</f>
        <v>1000000000000</v>
      </c>
      <c r="CM64" s="182">
        <f ca="1">IF($D64&lt;&gt;"Serviço",0,IF(OR(AND(AUTOEVENTO="Manual",$M64=1),$M64&gt;(ROW(PLE.lastrow)-ROW(PLE.firstrow))),0,IF(OFFSET(PLE!$G$14,$M64,CM$13)="",10^12,OFFSET(PLE!$G$14,$M64,CM$13))))</f>
        <v>1000000000000</v>
      </c>
    </row>
    <row r="65" spans="1:91" ht="51" x14ac:dyDescent="0.2">
      <c r="A65" s="7" t="str">
        <f t="shared" ca="1" si="9"/>
        <v>48</v>
      </c>
      <c r="B65" s="7" t="str">
        <f ca="1">OFFSET(ORÇAMENTO!C$15,ROW(B65)-ROW(B$15),0)</f>
        <v>S</v>
      </c>
      <c r="C65" s="7" t="str">
        <f ca="1">OFFSET(ORÇAMENTO!L$15,ROW(C65)-ROW(C$15),0)</f>
        <v/>
      </c>
      <c r="D65" s="118" t="str">
        <f ca="1">OFFSET(ORÇAMENTO!N$15,ROW(D65)-ROW(D$15),0)</f>
        <v>Serviço</v>
      </c>
      <c r="E65" s="119" t="str">
        <f ca="1">OFFSET(ORÇAMENTO!O$15,ROW(E65)-ROW(E$15),0)</f>
        <v>-</v>
      </c>
      <c r="F65" s="172" t="str">
        <f ca="1">OFFSET(ORÇAMENTO!R$15,ROW(F65)-ROW(F$15),0)</f>
        <v>(abra o arquivo 'Referência 06-2024.xlsm)</v>
      </c>
      <c r="G65" s="173" t="str">
        <f ca="1">IF($D65&lt;&gt;"Serviço","",OFFSET(ORÇAMENTO!S$15,ROW(G65)-ROW(G$15),0))</f>
        <v>-</v>
      </c>
      <c r="H65" s="124">
        <f ca="1">IF($D65&lt;&gt;"Serviço",0,IF(ACOMPANHAMENTO="BM",ROUND(OFFSET(ORÇAMENTO!AJ$15,ROW(H65)-ROW(H$15),0),15-13*ORÇAMENTO!$AF$7),SUMPRODUCT(($Q$12:$AI$12&lt;&gt;"")*ROUND($Q65:$AI65,15-13*ORÇAMENTO!$AF$7))))</f>
        <v>1673.1</v>
      </c>
      <c r="I65" s="561" t="s">
        <v>1107</v>
      </c>
      <c r="K65" s="174" t="s">
        <v>1028</v>
      </c>
      <c r="L65" s="175" t="s">
        <v>255</v>
      </c>
      <c r="M65" s="176">
        <f ca="1">IF($D65&lt;&gt;"Serviço","",IF(AUTOEVENTO="manual",$A65,IF(ISERROR(MATCH($A65,$A$15:OFFSET($A65,-1,0),0)),MAX($M$15:OFFSET(M65,-1,0))+1,INDEX($M$15:OFFSET(M65,-1,0),MATCH($A65,$A$15:OFFSET($A65,-1,0),0)))))</f>
        <v>10</v>
      </c>
      <c r="N65" s="177" t="str">
        <f ca="1">IF($D65&lt;&gt;"Serviço","",IF(AUTOEVENTO="Manual",IF($A65=0,"&lt;-- defina o número do agrupador",OFFSET(EVENTOS!$D$14,$A65,0)),OFFSET($F$15,$A65,0)))</f>
        <v>SUPERESTRUTURA - CONCRETO ARMADO PARA VIGAS INCLUINDO BALDRAME</v>
      </c>
      <c r="O65" s="178"/>
      <c r="Q65" s="178">
        <v>1673.1</v>
      </c>
      <c r="R65" s="179"/>
      <c r="S65" s="179"/>
      <c r="T65" s="179"/>
      <c r="U65" s="179"/>
      <c r="V65" s="179"/>
      <c r="W65" s="179"/>
      <c r="X65" s="179"/>
      <c r="Y65" s="179"/>
      <c r="Z65" s="180"/>
      <c r="AA65" s="179"/>
      <c r="AB65" s="179"/>
      <c r="AC65" s="179"/>
      <c r="AD65" s="179"/>
      <c r="AE65" s="179"/>
      <c r="AF65" s="179"/>
      <c r="AG65" s="179"/>
      <c r="AH65" s="180"/>
      <c r="AJ65" s="544">
        <f ca="1">IF(AND($D65="Serviço",AJ$12&lt;&gt;0,$H65&gt;0,OR(AUTOEVENTO&lt;&gt;"manual",$M65&lt;&gt;1)),
IF(Import.TipoArredondamento&lt;&gt;"TransfereGOV",
ROUND(OFFSET($P65,0,AJ$13),15-13*ORÇAMENTO!$AF$7)/$H65*OFFSET(ORÇAMENTO!$X$15,ROW(AJ65)-ROW(AJ$15),0),
ROUND(ROUND(OFFSET($P65,0,AJ$13),15-13*ORÇAMENTO!$AF$7)*OFFSET(ORÇAMENTO!$W$15,ROW(AJ65)-ROW(AJ$15),0),15-13*ORÇAMENTO!$AF$11)),0)</f>
        <v>0</v>
      </c>
      <c r="AK65" s="545">
        <f ca="1">IF(AND($D65="Serviço",AK$12&lt;&gt;0,$H65&gt;0,OR(AUTOEVENTO&lt;&gt;"manual",$M65&lt;&gt;1)),
IF(Import.TipoArredondamento&lt;&gt;"TransfereGOV",
ROUND(OFFSET($P65,0,AK$13),15-13*ORÇAMENTO!$AF$7)/$H65*OFFSET(ORÇAMENTO!$X$15,ROW(AK65)-ROW(AK$15),0),
ROUND(ROUND(OFFSET($P65,0,AK$13),15-13*ORÇAMENTO!$AF$7)*OFFSET(ORÇAMENTO!$W$15,ROW(AK65)-ROW(AK$15),0),15-13*ORÇAMENTO!$AF$11)),0)</f>
        <v>0</v>
      </c>
      <c r="AL65" s="545">
        <f ca="1">IF(AND($D65="Serviço",AL$12&lt;&gt;0,$H65&gt;0,OR(AUTOEVENTO&lt;&gt;"manual",$M65&lt;&gt;1)),
IF(Import.TipoArredondamento&lt;&gt;"TransfereGOV",
ROUND(OFFSET($P65,0,AL$13),15-13*ORÇAMENTO!$AF$7)/$H65*OFFSET(ORÇAMENTO!$X$15,ROW(AL65)-ROW(AL$15),0),
ROUND(ROUND(OFFSET($P65,0,AL$13),15-13*ORÇAMENTO!$AF$7)*OFFSET(ORÇAMENTO!$W$15,ROW(AL65)-ROW(AL$15),0),15-13*ORÇAMENTO!$AF$11)),0)</f>
        <v>0</v>
      </c>
      <c r="AM65" s="545">
        <f ca="1">IF(AND($D65="Serviço",AM$12&lt;&gt;0,$H65&gt;0,OR(AUTOEVENTO&lt;&gt;"manual",$M65&lt;&gt;1)),
IF(Import.TipoArredondamento&lt;&gt;"TransfereGOV",
ROUND(OFFSET($P65,0,AM$13),15-13*ORÇAMENTO!$AF$7)/$H65*OFFSET(ORÇAMENTO!$X$15,ROW(AM65)-ROW(AM$15),0),
ROUND(ROUND(OFFSET($P65,0,AM$13),15-13*ORÇAMENTO!$AF$7)*OFFSET(ORÇAMENTO!$W$15,ROW(AM65)-ROW(AM$15),0),15-13*ORÇAMENTO!$AF$11)),0)</f>
        <v>0</v>
      </c>
      <c r="AN65" s="545">
        <f ca="1">IF(AND($D65="Serviço",AN$12&lt;&gt;0,$H65&gt;0,OR(AUTOEVENTO&lt;&gt;"manual",$M65&lt;&gt;1)),
IF(Import.TipoArredondamento&lt;&gt;"TransfereGOV",
ROUND(OFFSET($P65,0,AN$13),15-13*ORÇAMENTO!$AF$7)/$H65*OFFSET(ORÇAMENTO!$X$15,ROW(AN65)-ROW(AN$15),0),
ROUND(ROUND(OFFSET($P65,0,AN$13),15-13*ORÇAMENTO!$AF$7)*OFFSET(ORÇAMENTO!$W$15,ROW(AN65)-ROW(AN$15),0),15-13*ORÇAMENTO!$AF$11)),0)</f>
        <v>0</v>
      </c>
      <c r="AO65" s="545">
        <f ca="1">IF(AND($D65="Serviço",AO$12&lt;&gt;0,$H65&gt;0,OR(AUTOEVENTO&lt;&gt;"manual",$M65&lt;&gt;1)),
IF(Import.TipoArredondamento&lt;&gt;"TransfereGOV",
ROUND(OFFSET($P65,0,AO$13),15-13*ORÇAMENTO!$AF$7)/$H65*OFFSET(ORÇAMENTO!$X$15,ROW(AO65)-ROW(AO$15),0),
ROUND(ROUND(OFFSET($P65,0,AO$13),15-13*ORÇAMENTO!$AF$7)*OFFSET(ORÇAMENTO!$W$15,ROW(AO65)-ROW(AO$15),0),15-13*ORÇAMENTO!$AF$11)),0)</f>
        <v>0</v>
      </c>
      <c r="AP65" s="545">
        <f ca="1">IF(AND($D65="Serviço",AP$12&lt;&gt;0,$H65&gt;0,OR(AUTOEVENTO&lt;&gt;"manual",$M65&lt;&gt;1)),
IF(Import.TipoArredondamento&lt;&gt;"TransfereGOV",
ROUND(OFFSET($P65,0,AP$13),15-13*ORÇAMENTO!$AF$7)/$H65*OFFSET(ORÇAMENTO!$X$15,ROW(AP65)-ROW(AP$15),0),
ROUND(ROUND(OFFSET($P65,0,AP$13),15-13*ORÇAMENTO!$AF$7)*OFFSET(ORÇAMENTO!$W$15,ROW(AP65)-ROW(AP$15),0),15-13*ORÇAMENTO!$AF$11)),0)</f>
        <v>0</v>
      </c>
      <c r="AQ65" s="545">
        <f ca="1">IF(AND($D65="Serviço",AQ$12&lt;&gt;0,$H65&gt;0,OR(AUTOEVENTO&lt;&gt;"manual",$M65&lt;&gt;1)),
IF(Import.TipoArredondamento&lt;&gt;"TransfereGOV",
ROUND(OFFSET($P65,0,AQ$13),15-13*ORÇAMENTO!$AF$7)/$H65*OFFSET(ORÇAMENTO!$X$15,ROW(AQ65)-ROW(AQ$15),0),
ROUND(ROUND(OFFSET($P65,0,AQ$13),15-13*ORÇAMENTO!$AF$7)*OFFSET(ORÇAMENTO!$W$15,ROW(AQ65)-ROW(AQ$15),0),15-13*ORÇAMENTO!$AF$11)),0)</f>
        <v>0</v>
      </c>
      <c r="AR65" s="545">
        <f ca="1">IF(AND($D65="Serviço",AR$12&lt;&gt;0,$H65&gt;0,OR(AUTOEVENTO&lt;&gt;"manual",$M65&lt;&gt;1)),
IF(Import.TipoArredondamento&lt;&gt;"TransfereGOV",
ROUND(OFFSET($P65,0,AR$13),15-13*ORÇAMENTO!$AF$7)/$H65*OFFSET(ORÇAMENTO!$X$15,ROW(AR65)-ROW(AR$15),0),
ROUND(ROUND(OFFSET($P65,0,AR$13),15-13*ORÇAMENTO!$AF$7)*OFFSET(ORÇAMENTO!$W$15,ROW(AR65)-ROW(AR$15),0),15-13*ORÇAMENTO!$AF$11)),0)</f>
        <v>0</v>
      </c>
      <c r="AS65" s="546">
        <f ca="1">IF(AND($D65="Serviço",AS$12&lt;&gt;0,$H65&gt;0,OR(AUTOEVENTO&lt;&gt;"manual",$M65&lt;&gt;1)),
IF(Import.TipoArredondamento&lt;&gt;"TransfereGOV",
ROUND(OFFSET($P65,0,AS$13),15-13*ORÇAMENTO!$AF$7)/$H65*OFFSET(ORÇAMENTO!$X$15,ROW(AS65)-ROW(AS$15),0),
ROUND(ROUND(OFFSET($P65,0,AS$13),15-13*ORÇAMENTO!$AF$7)*OFFSET(ORÇAMENTO!$W$15,ROW(AS65)-ROW(AS$15),0),15-13*ORÇAMENTO!$AF$11)),0)</f>
        <v>0</v>
      </c>
      <c r="AT65" s="545">
        <f ca="1">IF(AND($D65="Serviço",AT$12&lt;&gt;0,$H65&gt;0,OR(AUTOEVENTO&lt;&gt;"manual",$M65&lt;&gt;1)),
IF(Import.TipoArredondamento&lt;&gt;"TransfereGOV",
ROUND(OFFSET($P65,0,AT$13),15-13*ORÇAMENTO!$AF$7)/$H65*OFFSET(ORÇAMENTO!$X$15,ROW(AT65)-ROW(AT$15),0),
ROUND(ROUND(OFFSET($P65,0,AT$13),15-13*ORÇAMENTO!$AF$7)*OFFSET(ORÇAMENTO!$W$15,ROW(AT65)-ROW(AT$15),0),15-13*ORÇAMENTO!$AF$11)),0)</f>
        <v>0</v>
      </c>
      <c r="AU65" s="545">
        <f ca="1">IF(AND($D65="Serviço",AU$12&lt;&gt;0,$H65&gt;0,OR(AUTOEVENTO&lt;&gt;"manual",$M65&lt;&gt;1)),
IF(Import.TipoArredondamento&lt;&gt;"TransfereGOV",
ROUND(OFFSET($P65,0,AU$13),15-13*ORÇAMENTO!$AF$7)/$H65*OFFSET(ORÇAMENTO!$X$15,ROW(AU65)-ROW(AU$15),0),
ROUND(ROUND(OFFSET($P65,0,AU$13),15-13*ORÇAMENTO!$AF$7)*OFFSET(ORÇAMENTO!$W$15,ROW(AU65)-ROW(AU$15),0),15-13*ORÇAMENTO!$AF$11)),0)</f>
        <v>0</v>
      </c>
      <c r="AV65" s="545">
        <f ca="1">IF(AND($D65="Serviço",AV$12&lt;&gt;0,$H65&gt;0,OR(AUTOEVENTO&lt;&gt;"manual",$M65&lt;&gt;1)),
IF(Import.TipoArredondamento&lt;&gt;"TransfereGOV",
ROUND(OFFSET($P65,0,AV$13),15-13*ORÇAMENTO!$AF$7)/$H65*OFFSET(ORÇAMENTO!$X$15,ROW(AV65)-ROW(AV$15),0),
ROUND(ROUND(OFFSET($P65,0,AV$13),15-13*ORÇAMENTO!$AF$7)*OFFSET(ORÇAMENTO!$W$15,ROW(AV65)-ROW(AV$15),0),15-13*ORÇAMENTO!$AF$11)),0)</f>
        <v>0</v>
      </c>
      <c r="AW65" s="545">
        <f ca="1">IF(AND($D65="Serviço",AW$12&lt;&gt;0,$H65&gt;0,OR(AUTOEVENTO&lt;&gt;"manual",$M65&lt;&gt;1)),
IF(Import.TipoArredondamento&lt;&gt;"TransfereGOV",
ROUND(OFFSET($P65,0,AW$13),15-13*ORÇAMENTO!$AF$7)/$H65*OFFSET(ORÇAMENTO!$X$15,ROW(AW65)-ROW(AW$15),0),
ROUND(ROUND(OFFSET($P65,0,AW$13),15-13*ORÇAMENTO!$AF$7)*OFFSET(ORÇAMENTO!$W$15,ROW(AW65)-ROW(AW$15),0),15-13*ORÇAMENTO!$AF$11)),0)</f>
        <v>0</v>
      </c>
      <c r="AX65" s="545">
        <f ca="1">IF(AND($D65="Serviço",AX$12&lt;&gt;0,$H65&gt;0,OR(AUTOEVENTO&lt;&gt;"manual",$M65&lt;&gt;1)),
IF(Import.TipoArredondamento&lt;&gt;"TransfereGOV",
ROUND(OFFSET($P65,0,AX$13),15-13*ORÇAMENTO!$AF$7)/$H65*OFFSET(ORÇAMENTO!$X$15,ROW(AX65)-ROW(AX$15),0),
ROUND(ROUND(OFFSET($P65,0,AX$13),15-13*ORÇAMENTO!$AF$7)*OFFSET(ORÇAMENTO!$W$15,ROW(AX65)-ROW(AX$15),0),15-13*ORÇAMENTO!$AF$11)),0)</f>
        <v>0</v>
      </c>
      <c r="AY65" s="545">
        <f ca="1">IF(AND($D65="Serviço",AY$12&lt;&gt;0,$H65&gt;0,OR(AUTOEVENTO&lt;&gt;"manual",$M65&lt;&gt;1)),
IF(Import.TipoArredondamento&lt;&gt;"TransfereGOV",
ROUND(OFFSET($P65,0,AY$13),15-13*ORÇAMENTO!$AF$7)/$H65*OFFSET(ORÇAMENTO!$X$15,ROW(AY65)-ROW(AY$15),0),
ROUND(ROUND(OFFSET($P65,0,AY$13),15-13*ORÇAMENTO!$AF$7)*OFFSET(ORÇAMENTO!$W$15,ROW(AY65)-ROW(AY$15),0),15-13*ORÇAMENTO!$AF$11)),0)</f>
        <v>0</v>
      </c>
      <c r="AZ65" s="545">
        <f ca="1">IF(AND($D65="Serviço",AZ$12&lt;&gt;0,$H65&gt;0,OR(AUTOEVENTO&lt;&gt;"manual",$M65&lt;&gt;1)),
IF(Import.TipoArredondamento&lt;&gt;"TransfereGOV",
ROUND(OFFSET($P65,0,AZ$13),15-13*ORÇAMENTO!$AF$7)/$H65*OFFSET(ORÇAMENTO!$X$15,ROW(AZ65)-ROW(AZ$15),0),
ROUND(ROUND(OFFSET($P65,0,AZ$13),15-13*ORÇAMENTO!$AF$7)*OFFSET(ORÇAMENTO!$W$15,ROW(AZ65)-ROW(AZ$15),0),15-13*ORÇAMENTO!$AF$11)),0)</f>
        <v>0</v>
      </c>
      <c r="BA65" s="546">
        <f ca="1">IF(AND($D65="Serviço",BA$12&lt;&gt;0,$H65&gt;0,OR(AUTOEVENTO&lt;&gt;"manual",$M65&lt;&gt;1)),
IF(Import.TipoArredondamento&lt;&gt;"TransfereGOV",
ROUND(OFFSET($P65,0,BA$13),15-13*ORÇAMENTO!$AF$7)/$H65*OFFSET(ORÇAMENTO!$X$15,ROW(BA65)-ROW(BA$15),0),
ROUND(ROUND(OFFSET($P65,0,BA$13),15-13*ORÇAMENTO!$AF$7)*OFFSET(ORÇAMENTO!$W$15,ROW(BA65)-ROW(BA$15),0),15-13*ORÇAMENTO!$AF$11)),0)</f>
        <v>0</v>
      </c>
      <c r="BC65" s="181">
        <f ca="1">IF($D65&lt;&gt;"Serviço",0,IF(AND(AUTOEVENTO="Manual",$M65=1),0,IF(OFFSET(CRONOPLE!$F$14,$M65,BC$13)="",10^12,OFFSET(CRONOPLE!$F$14,$M65,BC$13))))</f>
        <v>3</v>
      </c>
      <c r="BD65" s="181">
        <f ca="1">IF($D65&lt;&gt;"Serviço",0,IF(AND(AUTOEVENTO="Manual",$M65=1),0,IF(OFFSET(CRONOPLE!$F$14,$M65,BD$13)="",10^12,OFFSET(CRONOPLE!$F$14,$M65,BD$13))))</f>
        <v>1000000000000</v>
      </c>
      <c r="BE65" s="181">
        <f ca="1">IF($D65&lt;&gt;"Serviço",0,IF(AND(AUTOEVENTO="Manual",$M65=1),0,IF(OFFSET(CRONOPLE!$F$14,$M65,BE$13)="",10^12,OFFSET(CRONOPLE!$F$14,$M65,BE$13))))</f>
        <v>1000000000000</v>
      </c>
      <c r="BF65" s="181">
        <f ca="1">IF($D65&lt;&gt;"Serviço",0,IF(AND(AUTOEVENTO="Manual",$M65=1),0,IF(OFFSET(CRONOPLE!$F$14,$M65,BF$13)="",10^12,OFFSET(CRONOPLE!$F$14,$M65,BF$13))))</f>
        <v>1000000000000</v>
      </c>
      <c r="BG65" s="181">
        <f ca="1">IF($D65&lt;&gt;"Serviço",0,IF(AND(AUTOEVENTO="Manual",$M65=1),0,IF(OFFSET(CRONOPLE!$F$14,$M65,BG$13)="",10^12,OFFSET(CRONOPLE!$F$14,$M65,BG$13))))</f>
        <v>1000000000000</v>
      </c>
      <c r="BH65" s="181">
        <f ca="1">IF($D65&lt;&gt;"Serviço",0,IF(AND(AUTOEVENTO="Manual",$M65=1),0,IF(OFFSET(CRONOPLE!$F$14,$M65,BH$13)="",10^12,OFFSET(CRONOPLE!$F$14,$M65,BH$13))))</f>
        <v>1000000000000</v>
      </c>
      <c r="BI65" s="181">
        <f ca="1">IF($D65&lt;&gt;"Serviço",0,IF(AND(AUTOEVENTO="Manual",$M65=1),0,IF(OFFSET(CRONOPLE!$F$14,$M65,BI$13)="",10^12,OFFSET(CRONOPLE!$F$14,$M65,BI$13))))</f>
        <v>1000000000000</v>
      </c>
      <c r="BJ65" s="181">
        <f ca="1">IF($D65&lt;&gt;"Serviço",0,IF(AND(AUTOEVENTO="Manual",$M65=1),0,IF(OFFSET(CRONOPLE!$F$14,$M65,BJ$13)="",10^12,OFFSET(CRONOPLE!$F$14,$M65,BJ$13))))</f>
        <v>1000000000000</v>
      </c>
      <c r="BK65" s="181">
        <f ca="1">IF($D65&lt;&gt;"Serviço",0,IF(AND(AUTOEVENTO="Manual",$M65=1),0,IF(OFFSET(CRONOPLE!$F$14,$M65,BK$13)="",10^12,OFFSET(CRONOPLE!$F$14,$M65,BK$13))))</f>
        <v>1000000000000</v>
      </c>
      <c r="BL65" s="181">
        <f ca="1">IF($D65&lt;&gt;"Serviço",0,IF(AND(AUTOEVENTO="Manual",$M65=1),0,IF(OFFSET(CRONOPLE!$F$14,$M65,BL$13)="",10^12,OFFSET(CRONOPLE!$F$14,$M65,BL$13))))</f>
        <v>1000000000000</v>
      </c>
      <c r="BM65" s="181">
        <f ca="1">IF($D65&lt;&gt;"Serviço",0,IF(AND(AUTOEVENTO="Manual",$M65=1),0,IF(OFFSET(CRONOPLE!$F$14,$M65,BM$13)="",10^12,OFFSET(CRONOPLE!$F$14,$M65,BM$13))))</f>
        <v>1000000000000</v>
      </c>
      <c r="BN65" s="181">
        <f ca="1">IF($D65&lt;&gt;"Serviço",0,IF(AND(AUTOEVENTO="Manual",$M65=1),0,IF(OFFSET(CRONOPLE!$F$14,$M65,BN$13)="",10^12,OFFSET(CRONOPLE!$F$14,$M65,BN$13))))</f>
        <v>1000000000000</v>
      </c>
      <c r="BO65" s="181">
        <f ca="1">IF($D65&lt;&gt;"Serviço",0,IF(AND(AUTOEVENTO="Manual",$M65=1),0,IF(OFFSET(CRONOPLE!$F$14,$M65,BO$13)="",10^12,OFFSET(CRONOPLE!$F$14,$M65,BO$13))))</f>
        <v>1000000000000</v>
      </c>
      <c r="BP65" s="181">
        <f ca="1">IF($D65&lt;&gt;"Serviço",0,IF(AND(AUTOEVENTO="Manual",$M65=1),0,IF(OFFSET(CRONOPLE!$F$14,$M65,BP$13)="",10^12,OFFSET(CRONOPLE!$F$14,$M65,BP$13))))</f>
        <v>1000000000000</v>
      </c>
      <c r="BQ65" s="181">
        <f ca="1">IF($D65&lt;&gt;"Serviço",0,IF(AND(AUTOEVENTO="Manual",$M65=1),0,IF(OFFSET(CRONOPLE!$F$14,$M65,BQ$13)="",10^12,OFFSET(CRONOPLE!$F$14,$M65,BQ$13))))</f>
        <v>1000000000000</v>
      </c>
      <c r="BR65" s="181">
        <f ca="1">IF($D65&lt;&gt;"Serviço",0,IF(AND(AUTOEVENTO="Manual",$M65=1),0,IF(OFFSET(CRONOPLE!$F$14,$M65,BR$13)="",10^12,OFFSET(CRONOPLE!$F$14,$M65,BR$13))))</f>
        <v>1000000000000</v>
      </c>
      <c r="BS65" s="181">
        <f ca="1">IF($D65&lt;&gt;"Serviço",0,IF(AND(AUTOEVENTO="Manual",$M65=1),0,IF(OFFSET(CRONOPLE!$F$14,$M65,BS$13)="",10^12,OFFSET(CRONOPLE!$F$14,$M65,BS$13))))</f>
        <v>1000000000000</v>
      </c>
      <c r="BT65" s="181">
        <f ca="1">IF($D65&lt;&gt;"Serviço",0,IF(AND(AUTOEVENTO="Manual",$M65=1),0,IF(OFFSET(CRONOPLE!$F$14,$M65,BT$13)="",10^12,OFFSET(CRONOPLE!$F$14,$M65,BT$13))))</f>
        <v>1000000000000</v>
      </c>
      <c r="BV65" s="182">
        <f ca="1">IF($D65&lt;&gt;"Serviço",0,IF(OR(AND(AUTOEVENTO="Manual",$M65=1),$M65&gt;(ROW(PLE.lastrow)-ROW(PLE.firstrow))),0,IF(OFFSET(PLE!$G$14,$M65,BV$13)="",10^12,OFFSET(PLE!$G$14,$M65,BV$13))))</f>
        <v>1000000000000</v>
      </c>
      <c r="BW65" s="182">
        <f ca="1">IF($D65&lt;&gt;"Serviço",0,IF(OR(AND(AUTOEVENTO="Manual",$M65=1),$M65&gt;(ROW(PLE.lastrow)-ROW(PLE.firstrow))),0,IF(OFFSET(PLE!$G$14,$M65,BW$13)="",10^12,OFFSET(PLE!$G$14,$M65,BW$13))))</f>
        <v>1000000000000</v>
      </c>
      <c r="BX65" s="182">
        <f ca="1">IF($D65&lt;&gt;"Serviço",0,IF(OR(AND(AUTOEVENTO="Manual",$M65=1),$M65&gt;(ROW(PLE.lastrow)-ROW(PLE.firstrow))),0,IF(OFFSET(PLE!$G$14,$M65,BX$13)="",10^12,OFFSET(PLE!$G$14,$M65,BX$13))))</f>
        <v>1000000000000</v>
      </c>
      <c r="BY65" s="182">
        <f ca="1">IF($D65&lt;&gt;"Serviço",0,IF(OR(AND(AUTOEVENTO="Manual",$M65=1),$M65&gt;(ROW(PLE.lastrow)-ROW(PLE.firstrow))),0,IF(OFFSET(PLE!$G$14,$M65,BY$13)="",10^12,OFFSET(PLE!$G$14,$M65,BY$13))))</f>
        <v>1000000000000</v>
      </c>
      <c r="BZ65" s="182">
        <f ca="1">IF($D65&lt;&gt;"Serviço",0,IF(OR(AND(AUTOEVENTO="Manual",$M65=1),$M65&gt;(ROW(PLE.lastrow)-ROW(PLE.firstrow))),0,IF(OFFSET(PLE!$G$14,$M65,BZ$13)="",10^12,OFFSET(PLE!$G$14,$M65,BZ$13))))</f>
        <v>1000000000000</v>
      </c>
      <c r="CA65" s="182">
        <f ca="1">IF($D65&lt;&gt;"Serviço",0,IF(OR(AND(AUTOEVENTO="Manual",$M65=1),$M65&gt;(ROW(PLE.lastrow)-ROW(PLE.firstrow))),0,IF(OFFSET(PLE!$G$14,$M65,CA$13)="",10^12,OFFSET(PLE!$G$14,$M65,CA$13))))</f>
        <v>1000000000000</v>
      </c>
      <c r="CB65" s="182">
        <f ca="1">IF($D65&lt;&gt;"Serviço",0,IF(OR(AND(AUTOEVENTO="Manual",$M65=1),$M65&gt;(ROW(PLE.lastrow)-ROW(PLE.firstrow))),0,IF(OFFSET(PLE!$G$14,$M65,CB$13)="",10^12,OFFSET(PLE!$G$14,$M65,CB$13))))</f>
        <v>1000000000000</v>
      </c>
      <c r="CC65" s="182">
        <f ca="1">IF($D65&lt;&gt;"Serviço",0,IF(OR(AND(AUTOEVENTO="Manual",$M65=1),$M65&gt;(ROW(PLE.lastrow)-ROW(PLE.firstrow))),0,IF(OFFSET(PLE!$G$14,$M65,CC$13)="",10^12,OFFSET(PLE!$G$14,$M65,CC$13))))</f>
        <v>1000000000000</v>
      </c>
      <c r="CD65" s="182">
        <f ca="1">IF($D65&lt;&gt;"Serviço",0,IF(OR(AND(AUTOEVENTO="Manual",$M65=1),$M65&gt;(ROW(PLE.lastrow)-ROW(PLE.firstrow))),0,IF(OFFSET(PLE!$G$14,$M65,CD$13)="",10^12,OFFSET(PLE!$G$14,$M65,CD$13))))</f>
        <v>1000000000000</v>
      </c>
      <c r="CE65" s="182">
        <f ca="1">IF($D65&lt;&gt;"Serviço",0,IF(OR(AND(AUTOEVENTO="Manual",$M65=1),$M65&gt;(ROW(PLE.lastrow)-ROW(PLE.firstrow))),0,IF(OFFSET(PLE!$G$14,$M65,CE$13)="",10^12,OFFSET(PLE!$G$14,$M65,CE$13))))</f>
        <v>1000000000000</v>
      </c>
      <c r="CF65" s="182">
        <f ca="1">IF($D65&lt;&gt;"Serviço",0,IF(OR(AND(AUTOEVENTO="Manual",$M65=1),$M65&gt;(ROW(PLE.lastrow)-ROW(PLE.firstrow))),0,IF(OFFSET(PLE!$G$14,$M65,CF$13)="",10^12,OFFSET(PLE!$G$14,$M65,CF$13))))</f>
        <v>1000000000000</v>
      </c>
      <c r="CG65" s="182">
        <f ca="1">IF($D65&lt;&gt;"Serviço",0,IF(OR(AND(AUTOEVENTO="Manual",$M65=1),$M65&gt;(ROW(PLE.lastrow)-ROW(PLE.firstrow))),0,IF(OFFSET(PLE!$G$14,$M65,CG$13)="",10^12,OFFSET(PLE!$G$14,$M65,CG$13))))</f>
        <v>1000000000000</v>
      </c>
      <c r="CH65" s="182">
        <f ca="1">IF($D65&lt;&gt;"Serviço",0,IF(OR(AND(AUTOEVENTO="Manual",$M65=1),$M65&gt;(ROW(PLE.lastrow)-ROW(PLE.firstrow))),0,IF(OFFSET(PLE!$G$14,$M65,CH$13)="",10^12,OFFSET(PLE!$G$14,$M65,CH$13))))</f>
        <v>1000000000000</v>
      </c>
      <c r="CI65" s="182">
        <f ca="1">IF($D65&lt;&gt;"Serviço",0,IF(OR(AND(AUTOEVENTO="Manual",$M65=1),$M65&gt;(ROW(PLE.lastrow)-ROW(PLE.firstrow))),0,IF(OFFSET(PLE!$G$14,$M65,CI$13)="",10^12,OFFSET(PLE!$G$14,$M65,CI$13))))</f>
        <v>1000000000000</v>
      </c>
      <c r="CJ65" s="182">
        <f ca="1">IF($D65&lt;&gt;"Serviço",0,IF(OR(AND(AUTOEVENTO="Manual",$M65=1),$M65&gt;(ROW(PLE.lastrow)-ROW(PLE.firstrow))),0,IF(OFFSET(PLE!$G$14,$M65,CJ$13)="",10^12,OFFSET(PLE!$G$14,$M65,CJ$13))))</f>
        <v>1000000000000</v>
      </c>
      <c r="CK65" s="182">
        <f ca="1">IF($D65&lt;&gt;"Serviço",0,IF(OR(AND(AUTOEVENTO="Manual",$M65=1),$M65&gt;(ROW(PLE.lastrow)-ROW(PLE.firstrow))),0,IF(OFFSET(PLE!$G$14,$M65,CK$13)="",10^12,OFFSET(PLE!$G$14,$M65,CK$13))))</f>
        <v>1000000000000</v>
      </c>
      <c r="CL65" s="182">
        <f ca="1">IF($D65&lt;&gt;"Serviço",0,IF(OR(AND(AUTOEVENTO="Manual",$M65=1),$M65&gt;(ROW(PLE.lastrow)-ROW(PLE.firstrow))),0,IF(OFFSET(PLE!$G$14,$M65,CL$13)="",10^12,OFFSET(PLE!$G$14,$M65,CL$13))))</f>
        <v>1000000000000</v>
      </c>
      <c r="CM65" s="182">
        <f ca="1">IF($D65&lt;&gt;"Serviço",0,IF(OR(AND(AUTOEVENTO="Manual",$M65=1),$M65&gt;(ROW(PLE.lastrow)-ROW(PLE.firstrow))),0,IF(OFFSET(PLE!$G$14,$M65,CM$13)="",10^12,OFFSET(PLE!$G$14,$M65,CM$13))))</f>
        <v>1000000000000</v>
      </c>
    </row>
    <row r="66" spans="1:91" ht="38.25" x14ac:dyDescent="0.2">
      <c r="A66" s="7" t="str">
        <f t="shared" ca="1" si="9"/>
        <v>48</v>
      </c>
      <c r="B66" s="7" t="str">
        <f ca="1">OFFSET(ORÇAMENTO!C$15,ROW(B66)-ROW(B$15),0)</f>
        <v>S</v>
      </c>
      <c r="C66" s="7" t="str">
        <f ca="1">OFFSET(ORÇAMENTO!L$15,ROW(C66)-ROW(C$15),0)</f>
        <v/>
      </c>
      <c r="D66" s="118" t="str">
        <f ca="1">OFFSET(ORÇAMENTO!N$15,ROW(D66)-ROW(D$15),0)</f>
        <v>Serviço</v>
      </c>
      <c r="E66" s="119" t="str">
        <f ca="1">OFFSET(ORÇAMENTO!O$15,ROW(E66)-ROW(E$15),0)</f>
        <v>-</v>
      </c>
      <c r="F66" s="172" t="str">
        <f ca="1">OFFSET(ORÇAMENTO!R$15,ROW(F66)-ROW(F$15),0)</f>
        <v>(abra o arquivo 'Referência 06-2024.xlsm)</v>
      </c>
      <c r="G66" s="173" t="str">
        <f ca="1">IF($D66&lt;&gt;"Serviço","",OFFSET(ORÇAMENTO!S$15,ROW(G66)-ROW(G$15),0))</f>
        <v>-</v>
      </c>
      <c r="H66" s="124">
        <f ca="1">IF($D66&lt;&gt;"Serviço",0,IF(ACOMPANHAMENTO="BM",ROUND(OFFSET(ORÇAMENTO!AJ$15,ROW(H66)-ROW(H$15),0),15-13*ORÇAMENTO!$AF$7),SUMPRODUCT(($Q$12:$AI$12&lt;&gt;"")*ROUND($Q66:$AI66,15-13*ORÇAMENTO!$AF$7))))</f>
        <v>23.7</v>
      </c>
      <c r="I66" s="561" t="s">
        <v>1107</v>
      </c>
      <c r="K66" s="174" t="s">
        <v>1028</v>
      </c>
      <c r="L66" s="175" t="s">
        <v>255</v>
      </c>
      <c r="M66" s="176">
        <f ca="1">IF($D66&lt;&gt;"Serviço","",IF(AUTOEVENTO="manual",$A66,IF(ISERROR(MATCH($A66,$A$15:OFFSET($A66,-1,0),0)),MAX($M$15:OFFSET(M66,-1,0))+1,INDEX($M$15:OFFSET(M66,-1,0),MATCH($A66,$A$15:OFFSET($A66,-1,0),0)))))</f>
        <v>10</v>
      </c>
      <c r="N66" s="177" t="str">
        <f ca="1">IF($D66&lt;&gt;"Serviço","",IF(AUTOEVENTO="Manual",IF($A66=0,"&lt;-- defina o número do agrupador",OFFSET(EVENTOS!$D$14,$A66,0)),OFFSET($F$15,$A66,0)))</f>
        <v>SUPERESTRUTURA - CONCRETO ARMADO PARA VIGAS INCLUINDO BALDRAME</v>
      </c>
      <c r="O66" s="178"/>
      <c r="Q66" s="178">
        <v>23.7</v>
      </c>
      <c r="R66" s="179"/>
      <c r="S66" s="179"/>
      <c r="T66" s="179"/>
      <c r="U66" s="179"/>
      <c r="V66" s="179"/>
      <c r="W66" s="179"/>
      <c r="X66" s="179"/>
      <c r="Y66" s="179"/>
      <c r="Z66" s="180"/>
      <c r="AA66" s="179"/>
      <c r="AB66" s="179"/>
      <c r="AC66" s="179"/>
      <c r="AD66" s="179"/>
      <c r="AE66" s="179"/>
      <c r="AF66" s="179"/>
      <c r="AG66" s="179"/>
      <c r="AH66" s="180"/>
      <c r="AJ66" s="544">
        <f ca="1">IF(AND($D66="Serviço",AJ$12&lt;&gt;0,$H66&gt;0,OR(AUTOEVENTO&lt;&gt;"manual",$M66&lt;&gt;1)),
IF(Import.TipoArredondamento&lt;&gt;"TransfereGOV",
ROUND(OFFSET($P66,0,AJ$13),15-13*ORÇAMENTO!$AF$7)/$H66*OFFSET(ORÇAMENTO!$X$15,ROW(AJ66)-ROW(AJ$15),0),
ROUND(ROUND(OFFSET($P66,0,AJ$13),15-13*ORÇAMENTO!$AF$7)*OFFSET(ORÇAMENTO!$W$15,ROW(AJ66)-ROW(AJ$15),0),15-13*ORÇAMENTO!$AF$11)),0)</f>
        <v>0</v>
      </c>
      <c r="AK66" s="545">
        <f ca="1">IF(AND($D66="Serviço",AK$12&lt;&gt;0,$H66&gt;0,OR(AUTOEVENTO&lt;&gt;"manual",$M66&lt;&gt;1)),
IF(Import.TipoArredondamento&lt;&gt;"TransfereGOV",
ROUND(OFFSET($P66,0,AK$13),15-13*ORÇAMENTO!$AF$7)/$H66*OFFSET(ORÇAMENTO!$X$15,ROW(AK66)-ROW(AK$15),0),
ROUND(ROUND(OFFSET($P66,0,AK$13),15-13*ORÇAMENTO!$AF$7)*OFFSET(ORÇAMENTO!$W$15,ROW(AK66)-ROW(AK$15),0),15-13*ORÇAMENTO!$AF$11)),0)</f>
        <v>0</v>
      </c>
      <c r="AL66" s="545">
        <f ca="1">IF(AND($D66="Serviço",AL$12&lt;&gt;0,$H66&gt;0,OR(AUTOEVENTO&lt;&gt;"manual",$M66&lt;&gt;1)),
IF(Import.TipoArredondamento&lt;&gt;"TransfereGOV",
ROUND(OFFSET($P66,0,AL$13),15-13*ORÇAMENTO!$AF$7)/$H66*OFFSET(ORÇAMENTO!$X$15,ROW(AL66)-ROW(AL$15),0),
ROUND(ROUND(OFFSET($P66,0,AL$13),15-13*ORÇAMENTO!$AF$7)*OFFSET(ORÇAMENTO!$W$15,ROW(AL66)-ROW(AL$15),0),15-13*ORÇAMENTO!$AF$11)),0)</f>
        <v>0</v>
      </c>
      <c r="AM66" s="545">
        <f ca="1">IF(AND($D66="Serviço",AM$12&lt;&gt;0,$H66&gt;0,OR(AUTOEVENTO&lt;&gt;"manual",$M66&lt;&gt;1)),
IF(Import.TipoArredondamento&lt;&gt;"TransfereGOV",
ROUND(OFFSET($P66,0,AM$13),15-13*ORÇAMENTO!$AF$7)/$H66*OFFSET(ORÇAMENTO!$X$15,ROW(AM66)-ROW(AM$15),0),
ROUND(ROUND(OFFSET($P66,0,AM$13),15-13*ORÇAMENTO!$AF$7)*OFFSET(ORÇAMENTO!$W$15,ROW(AM66)-ROW(AM$15),0),15-13*ORÇAMENTO!$AF$11)),0)</f>
        <v>0</v>
      </c>
      <c r="AN66" s="545">
        <f ca="1">IF(AND($D66="Serviço",AN$12&lt;&gt;0,$H66&gt;0,OR(AUTOEVENTO&lt;&gt;"manual",$M66&lt;&gt;1)),
IF(Import.TipoArredondamento&lt;&gt;"TransfereGOV",
ROUND(OFFSET($P66,0,AN$13),15-13*ORÇAMENTO!$AF$7)/$H66*OFFSET(ORÇAMENTO!$X$15,ROW(AN66)-ROW(AN$15),0),
ROUND(ROUND(OFFSET($P66,0,AN$13),15-13*ORÇAMENTO!$AF$7)*OFFSET(ORÇAMENTO!$W$15,ROW(AN66)-ROW(AN$15),0),15-13*ORÇAMENTO!$AF$11)),0)</f>
        <v>0</v>
      </c>
      <c r="AO66" s="545">
        <f ca="1">IF(AND($D66="Serviço",AO$12&lt;&gt;0,$H66&gt;0,OR(AUTOEVENTO&lt;&gt;"manual",$M66&lt;&gt;1)),
IF(Import.TipoArredondamento&lt;&gt;"TransfereGOV",
ROUND(OFFSET($P66,0,AO$13),15-13*ORÇAMENTO!$AF$7)/$H66*OFFSET(ORÇAMENTO!$X$15,ROW(AO66)-ROW(AO$15),0),
ROUND(ROUND(OFFSET($P66,0,AO$13),15-13*ORÇAMENTO!$AF$7)*OFFSET(ORÇAMENTO!$W$15,ROW(AO66)-ROW(AO$15),0),15-13*ORÇAMENTO!$AF$11)),0)</f>
        <v>0</v>
      </c>
      <c r="AP66" s="545">
        <f ca="1">IF(AND($D66="Serviço",AP$12&lt;&gt;0,$H66&gt;0,OR(AUTOEVENTO&lt;&gt;"manual",$M66&lt;&gt;1)),
IF(Import.TipoArredondamento&lt;&gt;"TransfereGOV",
ROUND(OFFSET($P66,0,AP$13),15-13*ORÇAMENTO!$AF$7)/$H66*OFFSET(ORÇAMENTO!$X$15,ROW(AP66)-ROW(AP$15),0),
ROUND(ROUND(OFFSET($P66,0,AP$13),15-13*ORÇAMENTO!$AF$7)*OFFSET(ORÇAMENTO!$W$15,ROW(AP66)-ROW(AP$15),0),15-13*ORÇAMENTO!$AF$11)),0)</f>
        <v>0</v>
      </c>
      <c r="AQ66" s="545">
        <f ca="1">IF(AND($D66="Serviço",AQ$12&lt;&gt;0,$H66&gt;0,OR(AUTOEVENTO&lt;&gt;"manual",$M66&lt;&gt;1)),
IF(Import.TipoArredondamento&lt;&gt;"TransfereGOV",
ROUND(OFFSET($P66,0,AQ$13),15-13*ORÇAMENTO!$AF$7)/$H66*OFFSET(ORÇAMENTO!$X$15,ROW(AQ66)-ROW(AQ$15),0),
ROUND(ROUND(OFFSET($P66,0,AQ$13),15-13*ORÇAMENTO!$AF$7)*OFFSET(ORÇAMENTO!$W$15,ROW(AQ66)-ROW(AQ$15),0),15-13*ORÇAMENTO!$AF$11)),0)</f>
        <v>0</v>
      </c>
      <c r="AR66" s="545">
        <f ca="1">IF(AND($D66="Serviço",AR$12&lt;&gt;0,$H66&gt;0,OR(AUTOEVENTO&lt;&gt;"manual",$M66&lt;&gt;1)),
IF(Import.TipoArredondamento&lt;&gt;"TransfereGOV",
ROUND(OFFSET($P66,0,AR$13),15-13*ORÇAMENTO!$AF$7)/$H66*OFFSET(ORÇAMENTO!$X$15,ROW(AR66)-ROW(AR$15),0),
ROUND(ROUND(OFFSET($P66,0,AR$13),15-13*ORÇAMENTO!$AF$7)*OFFSET(ORÇAMENTO!$W$15,ROW(AR66)-ROW(AR$15),0),15-13*ORÇAMENTO!$AF$11)),0)</f>
        <v>0</v>
      </c>
      <c r="AS66" s="546">
        <f ca="1">IF(AND($D66="Serviço",AS$12&lt;&gt;0,$H66&gt;0,OR(AUTOEVENTO&lt;&gt;"manual",$M66&lt;&gt;1)),
IF(Import.TipoArredondamento&lt;&gt;"TransfereGOV",
ROUND(OFFSET($P66,0,AS$13),15-13*ORÇAMENTO!$AF$7)/$H66*OFFSET(ORÇAMENTO!$X$15,ROW(AS66)-ROW(AS$15),0),
ROUND(ROUND(OFFSET($P66,0,AS$13),15-13*ORÇAMENTO!$AF$7)*OFFSET(ORÇAMENTO!$W$15,ROW(AS66)-ROW(AS$15),0),15-13*ORÇAMENTO!$AF$11)),0)</f>
        <v>0</v>
      </c>
      <c r="AT66" s="545">
        <f ca="1">IF(AND($D66="Serviço",AT$12&lt;&gt;0,$H66&gt;0,OR(AUTOEVENTO&lt;&gt;"manual",$M66&lt;&gt;1)),
IF(Import.TipoArredondamento&lt;&gt;"TransfereGOV",
ROUND(OFFSET($P66,0,AT$13),15-13*ORÇAMENTO!$AF$7)/$H66*OFFSET(ORÇAMENTO!$X$15,ROW(AT66)-ROW(AT$15),0),
ROUND(ROUND(OFFSET($P66,0,AT$13),15-13*ORÇAMENTO!$AF$7)*OFFSET(ORÇAMENTO!$W$15,ROW(AT66)-ROW(AT$15),0),15-13*ORÇAMENTO!$AF$11)),0)</f>
        <v>0</v>
      </c>
      <c r="AU66" s="545">
        <f ca="1">IF(AND($D66="Serviço",AU$12&lt;&gt;0,$H66&gt;0,OR(AUTOEVENTO&lt;&gt;"manual",$M66&lt;&gt;1)),
IF(Import.TipoArredondamento&lt;&gt;"TransfereGOV",
ROUND(OFFSET($P66,0,AU$13),15-13*ORÇAMENTO!$AF$7)/$H66*OFFSET(ORÇAMENTO!$X$15,ROW(AU66)-ROW(AU$15),0),
ROUND(ROUND(OFFSET($P66,0,AU$13),15-13*ORÇAMENTO!$AF$7)*OFFSET(ORÇAMENTO!$W$15,ROW(AU66)-ROW(AU$15),0),15-13*ORÇAMENTO!$AF$11)),0)</f>
        <v>0</v>
      </c>
      <c r="AV66" s="545">
        <f ca="1">IF(AND($D66="Serviço",AV$12&lt;&gt;0,$H66&gt;0,OR(AUTOEVENTO&lt;&gt;"manual",$M66&lt;&gt;1)),
IF(Import.TipoArredondamento&lt;&gt;"TransfereGOV",
ROUND(OFFSET($P66,0,AV$13),15-13*ORÇAMENTO!$AF$7)/$H66*OFFSET(ORÇAMENTO!$X$15,ROW(AV66)-ROW(AV$15),0),
ROUND(ROUND(OFFSET($P66,0,AV$13),15-13*ORÇAMENTO!$AF$7)*OFFSET(ORÇAMENTO!$W$15,ROW(AV66)-ROW(AV$15),0),15-13*ORÇAMENTO!$AF$11)),0)</f>
        <v>0</v>
      </c>
      <c r="AW66" s="545">
        <f ca="1">IF(AND($D66="Serviço",AW$12&lt;&gt;0,$H66&gt;0,OR(AUTOEVENTO&lt;&gt;"manual",$M66&lt;&gt;1)),
IF(Import.TipoArredondamento&lt;&gt;"TransfereGOV",
ROUND(OFFSET($P66,0,AW$13),15-13*ORÇAMENTO!$AF$7)/$H66*OFFSET(ORÇAMENTO!$X$15,ROW(AW66)-ROW(AW$15),0),
ROUND(ROUND(OFFSET($P66,0,AW$13),15-13*ORÇAMENTO!$AF$7)*OFFSET(ORÇAMENTO!$W$15,ROW(AW66)-ROW(AW$15),0),15-13*ORÇAMENTO!$AF$11)),0)</f>
        <v>0</v>
      </c>
      <c r="AX66" s="545">
        <f ca="1">IF(AND($D66="Serviço",AX$12&lt;&gt;0,$H66&gt;0,OR(AUTOEVENTO&lt;&gt;"manual",$M66&lt;&gt;1)),
IF(Import.TipoArredondamento&lt;&gt;"TransfereGOV",
ROUND(OFFSET($P66,0,AX$13),15-13*ORÇAMENTO!$AF$7)/$H66*OFFSET(ORÇAMENTO!$X$15,ROW(AX66)-ROW(AX$15),0),
ROUND(ROUND(OFFSET($P66,0,AX$13),15-13*ORÇAMENTO!$AF$7)*OFFSET(ORÇAMENTO!$W$15,ROW(AX66)-ROW(AX$15),0),15-13*ORÇAMENTO!$AF$11)),0)</f>
        <v>0</v>
      </c>
      <c r="AY66" s="545">
        <f ca="1">IF(AND($D66="Serviço",AY$12&lt;&gt;0,$H66&gt;0,OR(AUTOEVENTO&lt;&gt;"manual",$M66&lt;&gt;1)),
IF(Import.TipoArredondamento&lt;&gt;"TransfereGOV",
ROUND(OFFSET($P66,0,AY$13),15-13*ORÇAMENTO!$AF$7)/$H66*OFFSET(ORÇAMENTO!$X$15,ROW(AY66)-ROW(AY$15),0),
ROUND(ROUND(OFFSET($P66,0,AY$13),15-13*ORÇAMENTO!$AF$7)*OFFSET(ORÇAMENTO!$W$15,ROW(AY66)-ROW(AY$15),0),15-13*ORÇAMENTO!$AF$11)),0)</f>
        <v>0</v>
      </c>
      <c r="AZ66" s="545">
        <f ca="1">IF(AND($D66="Serviço",AZ$12&lt;&gt;0,$H66&gt;0,OR(AUTOEVENTO&lt;&gt;"manual",$M66&lt;&gt;1)),
IF(Import.TipoArredondamento&lt;&gt;"TransfereGOV",
ROUND(OFFSET($P66,0,AZ$13),15-13*ORÇAMENTO!$AF$7)/$H66*OFFSET(ORÇAMENTO!$X$15,ROW(AZ66)-ROW(AZ$15),0),
ROUND(ROUND(OFFSET($P66,0,AZ$13),15-13*ORÇAMENTO!$AF$7)*OFFSET(ORÇAMENTO!$W$15,ROW(AZ66)-ROW(AZ$15),0),15-13*ORÇAMENTO!$AF$11)),0)</f>
        <v>0</v>
      </c>
      <c r="BA66" s="546">
        <f ca="1">IF(AND($D66="Serviço",BA$12&lt;&gt;0,$H66&gt;0,OR(AUTOEVENTO&lt;&gt;"manual",$M66&lt;&gt;1)),
IF(Import.TipoArredondamento&lt;&gt;"TransfereGOV",
ROUND(OFFSET($P66,0,BA$13),15-13*ORÇAMENTO!$AF$7)/$H66*OFFSET(ORÇAMENTO!$X$15,ROW(BA66)-ROW(BA$15),0),
ROUND(ROUND(OFFSET($P66,0,BA$13),15-13*ORÇAMENTO!$AF$7)*OFFSET(ORÇAMENTO!$W$15,ROW(BA66)-ROW(BA$15),0),15-13*ORÇAMENTO!$AF$11)),0)</f>
        <v>0</v>
      </c>
      <c r="BC66" s="181">
        <f ca="1">IF($D66&lt;&gt;"Serviço",0,IF(AND(AUTOEVENTO="Manual",$M66=1),0,IF(OFFSET(CRONOPLE!$F$14,$M66,BC$13)="",10^12,OFFSET(CRONOPLE!$F$14,$M66,BC$13))))</f>
        <v>3</v>
      </c>
      <c r="BD66" s="181">
        <f ca="1">IF($D66&lt;&gt;"Serviço",0,IF(AND(AUTOEVENTO="Manual",$M66=1),0,IF(OFFSET(CRONOPLE!$F$14,$M66,BD$13)="",10^12,OFFSET(CRONOPLE!$F$14,$M66,BD$13))))</f>
        <v>1000000000000</v>
      </c>
      <c r="BE66" s="181">
        <f ca="1">IF($D66&lt;&gt;"Serviço",0,IF(AND(AUTOEVENTO="Manual",$M66=1),0,IF(OFFSET(CRONOPLE!$F$14,$M66,BE$13)="",10^12,OFFSET(CRONOPLE!$F$14,$M66,BE$13))))</f>
        <v>1000000000000</v>
      </c>
      <c r="BF66" s="181">
        <f ca="1">IF($D66&lt;&gt;"Serviço",0,IF(AND(AUTOEVENTO="Manual",$M66=1),0,IF(OFFSET(CRONOPLE!$F$14,$M66,BF$13)="",10^12,OFFSET(CRONOPLE!$F$14,$M66,BF$13))))</f>
        <v>1000000000000</v>
      </c>
      <c r="BG66" s="181">
        <f ca="1">IF($D66&lt;&gt;"Serviço",0,IF(AND(AUTOEVENTO="Manual",$M66=1),0,IF(OFFSET(CRONOPLE!$F$14,$M66,BG$13)="",10^12,OFFSET(CRONOPLE!$F$14,$M66,BG$13))))</f>
        <v>1000000000000</v>
      </c>
      <c r="BH66" s="181">
        <f ca="1">IF($D66&lt;&gt;"Serviço",0,IF(AND(AUTOEVENTO="Manual",$M66=1),0,IF(OFFSET(CRONOPLE!$F$14,$M66,BH$13)="",10^12,OFFSET(CRONOPLE!$F$14,$M66,BH$13))))</f>
        <v>1000000000000</v>
      </c>
      <c r="BI66" s="181">
        <f ca="1">IF($D66&lt;&gt;"Serviço",0,IF(AND(AUTOEVENTO="Manual",$M66=1),0,IF(OFFSET(CRONOPLE!$F$14,$M66,BI$13)="",10^12,OFFSET(CRONOPLE!$F$14,$M66,BI$13))))</f>
        <v>1000000000000</v>
      </c>
      <c r="BJ66" s="181">
        <f ca="1">IF($D66&lt;&gt;"Serviço",0,IF(AND(AUTOEVENTO="Manual",$M66=1),0,IF(OFFSET(CRONOPLE!$F$14,$M66,BJ$13)="",10^12,OFFSET(CRONOPLE!$F$14,$M66,BJ$13))))</f>
        <v>1000000000000</v>
      </c>
      <c r="BK66" s="181">
        <f ca="1">IF($D66&lt;&gt;"Serviço",0,IF(AND(AUTOEVENTO="Manual",$M66=1),0,IF(OFFSET(CRONOPLE!$F$14,$M66,BK$13)="",10^12,OFFSET(CRONOPLE!$F$14,$M66,BK$13))))</f>
        <v>1000000000000</v>
      </c>
      <c r="BL66" s="181">
        <f ca="1">IF($D66&lt;&gt;"Serviço",0,IF(AND(AUTOEVENTO="Manual",$M66=1),0,IF(OFFSET(CRONOPLE!$F$14,$M66,BL$13)="",10^12,OFFSET(CRONOPLE!$F$14,$M66,BL$13))))</f>
        <v>1000000000000</v>
      </c>
      <c r="BM66" s="181">
        <f ca="1">IF($D66&lt;&gt;"Serviço",0,IF(AND(AUTOEVENTO="Manual",$M66=1),0,IF(OFFSET(CRONOPLE!$F$14,$M66,BM$13)="",10^12,OFFSET(CRONOPLE!$F$14,$M66,BM$13))))</f>
        <v>1000000000000</v>
      </c>
      <c r="BN66" s="181">
        <f ca="1">IF($D66&lt;&gt;"Serviço",0,IF(AND(AUTOEVENTO="Manual",$M66=1),0,IF(OFFSET(CRONOPLE!$F$14,$M66,BN$13)="",10^12,OFFSET(CRONOPLE!$F$14,$M66,BN$13))))</f>
        <v>1000000000000</v>
      </c>
      <c r="BO66" s="181">
        <f ca="1">IF($D66&lt;&gt;"Serviço",0,IF(AND(AUTOEVENTO="Manual",$M66=1),0,IF(OFFSET(CRONOPLE!$F$14,$M66,BO$13)="",10^12,OFFSET(CRONOPLE!$F$14,$M66,BO$13))))</f>
        <v>1000000000000</v>
      </c>
      <c r="BP66" s="181">
        <f ca="1">IF($D66&lt;&gt;"Serviço",0,IF(AND(AUTOEVENTO="Manual",$M66=1),0,IF(OFFSET(CRONOPLE!$F$14,$M66,BP$13)="",10^12,OFFSET(CRONOPLE!$F$14,$M66,BP$13))))</f>
        <v>1000000000000</v>
      </c>
      <c r="BQ66" s="181">
        <f ca="1">IF($D66&lt;&gt;"Serviço",0,IF(AND(AUTOEVENTO="Manual",$M66=1),0,IF(OFFSET(CRONOPLE!$F$14,$M66,BQ$13)="",10^12,OFFSET(CRONOPLE!$F$14,$M66,BQ$13))))</f>
        <v>1000000000000</v>
      </c>
      <c r="BR66" s="181">
        <f ca="1">IF($D66&lt;&gt;"Serviço",0,IF(AND(AUTOEVENTO="Manual",$M66=1),0,IF(OFFSET(CRONOPLE!$F$14,$M66,BR$13)="",10^12,OFFSET(CRONOPLE!$F$14,$M66,BR$13))))</f>
        <v>1000000000000</v>
      </c>
      <c r="BS66" s="181">
        <f ca="1">IF($D66&lt;&gt;"Serviço",0,IF(AND(AUTOEVENTO="Manual",$M66=1),0,IF(OFFSET(CRONOPLE!$F$14,$M66,BS$13)="",10^12,OFFSET(CRONOPLE!$F$14,$M66,BS$13))))</f>
        <v>1000000000000</v>
      </c>
      <c r="BT66" s="181">
        <f ca="1">IF($D66&lt;&gt;"Serviço",0,IF(AND(AUTOEVENTO="Manual",$M66=1),0,IF(OFFSET(CRONOPLE!$F$14,$M66,BT$13)="",10^12,OFFSET(CRONOPLE!$F$14,$M66,BT$13))))</f>
        <v>1000000000000</v>
      </c>
      <c r="BV66" s="182">
        <f ca="1">IF($D66&lt;&gt;"Serviço",0,IF(OR(AND(AUTOEVENTO="Manual",$M66=1),$M66&gt;(ROW(PLE.lastrow)-ROW(PLE.firstrow))),0,IF(OFFSET(PLE!$G$14,$M66,BV$13)="",10^12,OFFSET(PLE!$G$14,$M66,BV$13))))</f>
        <v>1000000000000</v>
      </c>
      <c r="BW66" s="182">
        <f ca="1">IF($D66&lt;&gt;"Serviço",0,IF(OR(AND(AUTOEVENTO="Manual",$M66=1),$M66&gt;(ROW(PLE.lastrow)-ROW(PLE.firstrow))),0,IF(OFFSET(PLE!$G$14,$M66,BW$13)="",10^12,OFFSET(PLE!$G$14,$M66,BW$13))))</f>
        <v>1000000000000</v>
      </c>
      <c r="BX66" s="182">
        <f ca="1">IF($D66&lt;&gt;"Serviço",0,IF(OR(AND(AUTOEVENTO="Manual",$M66=1),$M66&gt;(ROW(PLE.lastrow)-ROW(PLE.firstrow))),0,IF(OFFSET(PLE!$G$14,$M66,BX$13)="",10^12,OFFSET(PLE!$G$14,$M66,BX$13))))</f>
        <v>1000000000000</v>
      </c>
      <c r="BY66" s="182">
        <f ca="1">IF($D66&lt;&gt;"Serviço",0,IF(OR(AND(AUTOEVENTO="Manual",$M66=1),$M66&gt;(ROW(PLE.lastrow)-ROW(PLE.firstrow))),0,IF(OFFSET(PLE!$G$14,$M66,BY$13)="",10^12,OFFSET(PLE!$G$14,$M66,BY$13))))</f>
        <v>1000000000000</v>
      </c>
      <c r="BZ66" s="182">
        <f ca="1">IF($D66&lt;&gt;"Serviço",0,IF(OR(AND(AUTOEVENTO="Manual",$M66=1),$M66&gt;(ROW(PLE.lastrow)-ROW(PLE.firstrow))),0,IF(OFFSET(PLE!$G$14,$M66,BZ$13)="",10^12,OFFSET(PLE!$G$14,$M66,BZ$13))))</f>
        <v>1000000000000</v>
      </c>
      <c r="CA66" s="182">
        <f ca="1">IF($D66&lt;&gt;"Serviço",0,IF(OR(AND(AUTOEVENTO="Manual",$M66=1),$M66&gt;(ROW(PLE.lastrow)-ROW(PLE.firstrow))),0,IF(OFFSET(PLE!$G$14,$M66,CA$13)="",10^12,OFFSET(PLE!$G$14,$M66,CA$13))))</f>
        <v>1000000000000</v>
      </c>
      <c r="CB66" s="182">
        <f ca="1">IF($D66&lt;&gt;"Serviço",0,IF(OR(AND(AUTOEVENTO="Manual",$M66=1),$M66&gt;(ROW(PLE.lastrow)-ROW(PLE.firstrow))),0,IF(OFFSET(PLE!$G$14,$M66,CB$13)="",10^12,OFFSET(PLE!$G$14,$M66,CB$13))))</f>
        <v>1000000000000</v>
      </c>
      <c r="CC66" s="182">
        <f ca="1">IF($D66&lt;&gt;"Serviço",0,IF(OR(AND(AUTOEVENTO="Manual",$M66=1),$M66&gt;(ROW(PLE.lastrow)-ROW(PLE.firstrow))),0,IF(OFFSET(PLE!$G$14,$M66,CC$13)="",10^12,OFFSET(PLE!$G$14,$M66,CC$13))))</f>
        <v>1000000000000</v>
      </c>
      <c r="CD66" s="182">
        <f ca="1">IF($D66&lt;&gt;"Serviço",0,IF(OR(AND(AUTOEVENTO="Manual",$M66=1),$M66&gt;(ROW(PLE.lastrow)-ROW(PLE.firstrow))),0,IF(OFFSET(PLE!$G$14,$M66,CD$13)="",10^12,OFFSET(PLE!$G$14,$M66,CD$13))))</f>
        <v>1000000000000</v>
      </c>
      <c r="CE66" s="182">
        <f ca="1">IF($D66&lt;&gt;"Serviço",0,IF(OR(AND(AUTOEVENTO="Manual",$M66=1),$M66&gt;(ROW(PLE.lastrow)-ROW(PLE.firstrow))),0,IF(OFFSET(PLE!$G$14,$M66,CE$13)="",10^12,OFFSET(PLE!$G$14,$M66,CE$13))))</f>
        <v>1000000000000</v>
      </c>
      <c r="CF66" s="182">
        <f ca="1">IF($D66&lt;&gt;"Serviço",0,IF(OR(AND(AUTOEVENTO="Manual",$M66=1),$M66&gt;(ROW(PLE.lastrow)-ROW(PLE.firstrow))),0,IF(OFFSET(PLE!$G$14,$M66,CF$13)="",10^12,OFFSET(PLE!$G$14,$M66,CF$13))))</f>
        <v>1000000000000</v>
      </c>
      <c r="CG66" s="182">
        <f ca="1">IF($D66&lt;&gt;"Serviço",0,IF(OR(AND(AUTOEVENTO="Manual",$M66=1),$M66&gt;(ROW(PLE.lastrow)-ROW(PLE.firstrow))),0,IF(OFFSET(PLE!$G$14,$M66,CG$13)="",10^12,OFFSET(PLE!$G$14,$M66,CG$13))))</f>
        <v>1000000000000</v>
      </c>
      <c r="CH66" s="182">
        <f ca="1">IF($D66&lt;&gt;"Serviço",0,IF(OR(AND(AUTOEVENTO="Manual",$M66=1),$M66&gt;(ROW(PLE.lastrow)-ROW(PLE.firstrow))),0,IF(OFFSET(PLE!$G$14,$M66,CH$13)="",10^12,OFFSET(PLE!$G$14,$M66,CH$13))))</f>
        <v>1000000000000</v>
      </c>
      <c r="CI66" s="182">
        <f ca="1">IF($D66&lt;&gt;"Serviço",0,IF(OR(AND(AUTOEVENTO="Manual",$M66=1),$M66&gt;(ROW(PLE.lastrow)-ROW(PLE.firstrow))),0,IF(OFFSET(PLE!$G$14,$M66,CI$13)="",10^12,OFFSET(PLE!$G$14,$M66,CI$13))))</f>
        <v>1000000000000</v>
      </c>
      <c r="CJ66" s="182">
        <f ca="1">IF($D66&lt;&gt;"Serviço",0,IF(OR(AND(AUTOEVENTO="Manual",$M66=1),$M66&gt;(ROW(PLE.lastrow)-ROW(PLE.firstrow))),0,IF(OFFSET(PLE!$G$14,$M66,CJ$13)="",10^12,OFFSET(PLE!$G$14,$M66,CJ$13))))</f>
        <v>1000000000000</v>
      </c>
      <c r="CK66" s="182">
        <f ca="1">IF($D66&lt;&gt;"Serviço",0,IF(OR(AND(AUTOEVENTO="Manual",$M66=1),$M66&gt;(ROW(PLE.lastrow)-ROW(PLE.firstrow))),0,IF(OFFSET(PLE!$G$14,$M66,CK$13)="",10^12,OFFSET(PLE!$G$14,$M66,CK$13))))</f>
        <v>1000000000000</v>
      </c>
      <c r="CL66" s="182">
        <f ca="1">IF($D66&lt;&gt;"Serviço",0,IF(OR(AND(AUTOEVENTO="Manual",$M66=1),$M66&gt;(ROW(PLE.lastrow)-ROW(PLE.firstrow))),0,IF(OFFSET(PLE!$G$14,$M66,CL$13)="",10^12,OFFSET(PLE!$G$14,$M66,CL$13))))</f>
        <v>1000000000000</v>
      </c>
      <c r="CM66" s="182">
        <f ca="1">IF($D66&lt;&gt;"Serviço",0,IF(OR(AND(AUTOEVENTO="Manual",$M66=1),$M66&gt;(ROW(PLE.lastrow)-ROW(PLE.firstrow))),0,IF(OFFSET(PLE!$G$14,$M66,CM$13)="",10^12,OFFSET(PLE!$G$14,$M66,CM$13))))</f>
        <v>1000000000000</v>
      </c>
    </row>
    <row r="67" spans="1:91" ht="38.25" x14ac:dyDescent="0.2">
      <c r="A67" s="7" t="str">
        <f t="shared" ca="1" si="9"/>
        <v>48</v>
      </c>
      <c r="B67" s="7" t="str">
        <f ca="1">OFFSET(ORÇAMENTO!C$15,ROW(B67)-ROW(B$15),0)</f>
        <v>S</v>
      </c>
      <c r="C67" s="7" t="str">
        <f ca="1">OFFSET(ORÇAMENTO!L$15,ROW(C67)-ROW(C$15),0)</f>
        <v/>
      </c>
      <c r="D67" s="118" t="str">
        <f ca="1">OFFSET(ORÇAMENTO!N$15,ROW(D67)-ROW(D$15),0)</f>
        <v>Serviço</v>
      </c>
      <c r="E67" s="119" t="str">
        <f ca="1">OFFSET(ORÇAMENTO!O$15,ROW(E67)-ROW(E$15),0)</f>
        <v>-</v>
      </c>
      <c r="F67" s="172" t="str">
        <f ca="1">OFFSET(ORÇAMENTO!R$15,ROW(F67)-ROW(F$15),0)</f>
        <v>(abra o arquivo 'Referência 06-2024.xlsm)</v>
      </c>
      <c r="G67" s="173" t="str">
        <f ca="1">IF($D67&lt;&gt;"Serviço","",OFFSET(ORÇAMENTO!S$15,ROW(G67)-ROW(G$15),0))</f>
        <v>-</v>
      </c>
      <c r="H67" s="124">
        <f ca="1">IF($D67&lt;&gt;"Serviço",0,IF(ACOMPANHAMENTO="BM",ROUND(OFFSET(ORÇAMENTO!AJ$15,ROW(H67)-ROW(H$15),0),15-13*ORÇAMENTO!$AF$7),SUMPRODUCT(($Q$12:$AI$12&lt;&gt;"")*ROUND($Q67:$AI67,15-13*ORÇAMENTO!$AF$7))))</f>
        <v>2752.7</v>
      </c>
      <c r="I67" s="561" t="s">
        <v>1107</v>
      </c>
      <c r="K67" s="174" t="s">
        <v>1028</v>
      </c>
      <c r="L67" s="175" t="s">
        <v>255</v>
      </c>
      <c r="M67" s="176">
        <f ca="1">IF($D67&lt;&gt;"Serviço","",IF(AUTOEVENTO="manual",$A67,IF(ISERROR(MATCH($A67,$A$15:OFFSET($A67,-1,0),0)),MAX($M$15:OFFSET(M67,-1,0))+1,INDEX($M$15:OFFSET(M67,-1,0),MATCH($A67,$A$15:OFFSET($A67,-1,0),0)))))</f>
        <v>10</v>
      </c>
      <c r="N67" s="177" t="str">
        <f ca="1">IF($D67&lt;&gt;"Serviço","",IF(AUTOEVENTO="Manual",IF($A67=0,"&lt;-- defina o número do agrupador",OFFSET(EVENTOS!$D$14,$A67,0)),OFFSET($F$15,$A67,0)))</f>
        <v>SUPERESTRUTURA - CONCRETO ARMADO PARA VIGAS INCLUINDO BALDRAME</v>
      </c>
      <c r="O67" s="178"/>
      <c r="Q67" s="178">
        <v>2752.7</v>
      </c>
      <c r="R67" s="179"/>
      <c r="S67" s="179"/>
      <c r="T67" s="179"/>
      <c r="U67" s="179"/>
      <c r="V67" s="179"/>
      <c r="W67" s="179"/>
      <c r="X67" s="179"/>
      <c r="Y67" s="179"/>
      <c r="Z67" s="180"/>
      <c r="AA67" s="179"/>
      <c r="AB67" s="179"/>
      <c r="AC67" s="179"/>
      <c r="AD67" s="179"/>
      <c r="AE67" s="179"/>
      <c r="AF67" s="179"/>
      <c r="AG67" s="179"/>
      <c r="AH67" s="180"/>
      <c r="AJ67" s="544">
        <f ca="1">IF(AND($D67="Serviço",AJ$12&lt;&gt;0,$H67&gt;0,OR(AUTOEVENTO&lt;&gt;"manual",$M67&lt;&gt;1)),
IF(Import.TipoArredondamento&lt;&gt;"TransfereGOV",
ROUND(OFFSET($P67,0,AJ$13),15-13*ORÇAMENTO!$AF$7)/$H67*OFFSET(ORÇAMENTO!$X$15,ROW(AJ67)-ROW(AJ$15),0),
ROUND(ROUND(OFFSET($P67,0,AJ$13),15-13*ORÇAMENTO!$AF$7)*OFFSET(ORÇAMENTO!$W$15,ROW(AJ67)-ROW(AJ$15),0),15-13*ORÇAMENTO!$AF$11)),0)</f>
        <v>0</v>
      </c>
      <c r="AK67" s="545">
        <f ca="1">IF(AND($D67="Serviço",AK$12&lt;&gt;0,$H67&gt;0,OR(AUTOEVENTO&lt;&gt;"manual",$M67&lt;&gt;1)),
IF(Import.TipoArredondamento&lt;&gt;"TransfereGOV",
ROUND(OFFSET($P67,0,AK$13),15-13*ORÇAMENTO!$AF$7)/$H67*OFFSET(ORÇAMENTO!$X$15,ROW(AK67)-ROW(AK$15),0),
ROUND(ROUND(OFFSET($P67,0,AK$13),15-13*ORÇAMENTO!$AF$7)*OFFSET(ORÇAMENTO!$W$15,ROW(AK67)-ROW(AK$15),0),15-13*ORÇAMENTO!$AF$11)),0)</f>
        <v>0</v>
      </c>
      <c r="AL67" s="545">
        <f ca="1">IF(AND($D67="Serviço",AL$12&lt;&gt;0,$H67&gt;0,OR(AUTOEVENTO&lt;&gt;"manual",$M67&lt;&gt;1)),
IF(Import.TipoArredondamento&lt;&gt;"TransfereGOV",
ROUND(OFFSET($P67,0,AL$13),15-13*ORÇAMENTO!$AF$7)/$H67*OFFSET(ORÇAMENTO!$X$15,ROW(AL67)-ROW(AL$15),0),
ROUND(ROUND(OFFSET($P67,0,AL$13),15-13*ORÇAMENTO!$AF$7)*OFFSET(ORÇAMENTO!$W$15,ROW(AL67)-ROW(AL$15),0),15-13*ORÇAMENTO!$AF$11)),0)</f>
        <v>0</v>
      </c>
      <c r="AM67" s="545">
        <f ca="1">IF(AND($D67="Serviço",AM$12&lt;&gt;0,$H67&gt;0,OR(AUTOEVENTO&lt;&gt;"manual",$M67&lt;&gt;1)),
IF(Import.TipoArredondamento&lt;&gt;"TransfereGOV",
ROUND(OFFSET($P67,0,AM$13),15-13*ORÇAMENTO!$AF$7)/$H67*OFFSET(ORÇAMENTO!$X$15,ROW(AM67)-ROW(AM$15),0),
ROUND(ROUND(OFFSET($P67,0,AM$13),15-13*ORÇAMENTO!$AF$7)*OFFSET(ORÇAMENTO!$W$15,ROW(AM67)-ROW(AM$15),0),15-13*ORÇAMENTO!$AF$11)),0)</f>
        <v>0</v>
      </c>
      <c r="AN67" s="545">
        <f ca="1">IF(AND($D67="Serviço",AN$12&lt;&gt;0,$H67&gt;0,OR(AUTOEVENTO&lt;&gt;"manual",$M67&lt;&gt;1)),
IF(Import.TipoArredondamento&lt;&gt;"TransfereGOV",
ROUND(OFFSET($P67,0,AN$13),15-13*ORÇAMENTO!$AF$7)/$H67*OFFSET(ORÇAMENTO!$X$15,ROW(AN67)-ROW(AN$15),0),
ROUND(ROUND(OFFSET($P67,0,AN$13),15-13*ORÇAMENTO!$AF$7)*OFFSET(ORÇAMENTO!$W$15,ROW(AN67)-ROW(AN$15),0),15-13*ORÇAMENTO!$AF$11)),0)</f>
        <v>0</v>
      </c>
      <c r="AO67" s="545">
        <f ca="1">IF(AND($D67="Serviço",AO$12&lt;&gt;0,$H67&gt;0,OR(AUTOEVENTO&lt;&gt;"manual",$M67&lt;&gt;1)),
IF(Import.TipoArredondamento&lt;&gt;"TransfereGOV",
ROUND(OFFSET($P67,0,AO$13),15-13*ORÇAMENTO!$AF$7)/$H67*OFFSET(ORÇAMENTO!$X$15,ROW(AO67)-ROW(AO$15),0),
ROUND(ROUND(OFFSET($P67,0,AO$13),15-13*ORÇAMENTO!$AF$7)*OFFSET(ORÇAMENTO!$W$15,ROW(AO67)-ROW(AO$15),0),15-13*ORÇAMENTO!$AF$11)),0)</f>
        <v>0</v>
      </c>
      <c r="AP67" s="545">
        <f ca="1">IF(AND($D67="Serviço",AP$12&lt;&gt;0,$H67&gt;0,OR(AUTOEVENTO&lt;&gt;"manual",$M67&lt;&gt;1)),
IF(Import.TipoArredondamento&lt;&gt;"TransfereGOV",
ROUND(OFFSET($P67,0,AP$13),15-13*ORÇAMENTO!$AF$7)/$H67*OFFSET(ORÇAMENTO!$X$15,ROW(AP67)-ROW(AP$15),0),
ROUND(ROUND(OFFSET($P67,0,AP$13),15-13*ORÇAMENTO!$AF$7)*OFFSET(ORÇAMENTO!$W$15,ROW(AP67)-ROW(AP$15),0),15-13*ORÇAMENTO!$AF$11)),0)</f>
        <v>0</v>
      </c>
      <c r="AQ67" s="545">
        <f ca="1">IF(AND($D67="Serviço",AQ$12&lt;&gt;0,$H67&gt;0,OR(AUTOEVENTO&lt;&gt;"manual",$M67&lt;&gt;1)),
IF(Import.TipoArredondamento&lt;&gt;"TransfereGOV",
ROUND(OFFSET($P67,0,AQ$13),15-13*ORÇAMENTO!$AF$7)/$H67*OFFSET(ORÇAMENTO!$X$15,ROW(AQ67)-ROW(AQ$15),0),
ROUND(ROUND(OFFSET($P67,0,AQ$13),15-13*ORÇAMENTO!$AF$7)*OFFSET(ORÇAMENTO!$W$15,ROW(AQ67)-ROW(AQ$15),0),15-13*ORÇAMENTO!$AF$11)),0)</f>
        <v>0</v>
      </c>
      <c r="AR67" s="545">
        <f ca="1">IF(AND($D67="Serviço",AR$12&lt;&gt;0,$H67&gt;0,OR(AUTOEVENTO&lt;&gt;"manual",$M67&lt;&gt;1)),
IF(Import.TipoArredondamento&lt;&gt;"TransfereGOV",
ROUND(OFFSET($P67,0,AR$13),15-13*ORÇAMENTO!$AF$7)/$H67*OFFSET(ORÇAMENTO!$X$15,ROW(AR67)-ROW(AR$15),0),
ROUND(ROUND(OFFSET($P67,0,AR$13),15-13*ORÇAMENTO!$AF$7)*OFFSET(ORÇAMENTO!$W$15,ROW(AR67)-ROW(AR$15),0),15-13*ORÇAMENTO!$AF$11)),0)</f>
        <v>0</v>
      </c>
      <c r="AS67" s="546">
        <f ca="1">IF(AND($D67="Serviço",AS$12&lt;&gt;0,$H67&gt;0,OR(AUTOEVENTO&lt;&gt;"manual",$M67&lt;&gt;1)),
IF(Import.TipoArredondamento&lt;&gt;"TransfereGOV",
ROUND(OFFSET($P67,0,AS$13),15-13*ORÇAMENTO!$AF$7)/$H67*OFFSET(ORÇAMENTO!$X$15,ROW(AS67)-ROW(AS$15),0),
ROUND(ROUND(OFFSET($P67,0,AS$13),15-13*ORÇAMENTO!$AF$7)*OFFSET(ORÇAMENTO!$W$15,ROW(AS67)-ROW(AS$15),0),15-13*ORÇAMENTO!$AF$11)),0)</f>
        <v>0</v>
      </c>
      <c r="AT67" s="545">
        <f ca="1">IF(AND($D67="Serviço",AT$12&lt;&gt;0,$H67&gt;0,OR(AUTOEVENTO&lt;&gt;"manual",$M67&lt;&gt;1)),
IF(Import.TipoArredondamento&lt;&gt;"TransfereGOV",
ROUND(OFFSET($P67,0,AT$13),15-13*ORÇAMENTO!$AF$7)/$H67*OFFSET(ORÇAMENTO!$X$15,ROW(AT67)-ROW(AT$15),0),
ROUND(ROUND(OFFSET($P67,0,AT$13),15-13*ORÇAMENTO!$AF$7)*OFFSET(ORÇAMENTO!$W$15,ROW(AT67)-ROW(AT$15),0),15-13*ORÇAMENTO!$AF$11)),0)</f>
        <v>0</v>
      </c>
      <c r="AU67" s="545">
        <f ca="1">IF(AND($D67="Serviço",AU$12&lt;&gt;0,$H67&gt;0,OR(AUTOEVENTO&lt;&gt;"manual",$M67&lt;&gt;1)),
IF(Import.TipoArredondamento&lt;&gt;"TransfereGOV",
ROUND(OFFSET($P67,0,AU$13),15-13*ORÇAMENTO!$AF$7)/$H67*OFFSET(ORÇAMENTO!$X$15,ROW(AU67)-ROW(AU$15),0),
ROUND(ROUND(OFFSET($P67,0,AU$13),15-13*ORÇAMENTO!$AF$7)*OFFSET(ORÇAMENTO!$W$15,ROW(AU67)-ROW(AU$15),0),15-13*ORÇAMENTO!$AF$11)),0)</f>
        <v>0</v>
      </c>
      <c r="AV67" s="545">
        <f ca="1">IF(AND($D67="Serviço",AV$12&lt;&gt;0,$H67&gt;0,OR(AUTOEVENTO&lt;&gt;"manual",$M67&lt;&gt;1)),
IF(Import.TipoArredondamento&lt;&gt;"TransfereGOV",
ROUND(OFFSET($P67,0,AV$13),15-13*ORÇAMENTO!$AF$7)/$H67*OFFSET(ORÇAMENTO!$X$15,ROW(AV67)-ROW(AV$15),0),
ROUND(ROUND(OFFSET($P67,0,AV$13),15-13*ORÇAMENTO!$AF$7)*OFFSET(ORÇAMENTO!$W$15,ROW(AV67)-ROW(AV$15),0),15-13*ORÇAMENTO!$AF$11)),0)</f>
        <v>0</v>
      </c>
      <c r="AW67" s="545">
        <f ca="1">IF(AND($D67="Serviço",AW$12&lt;&gt;0,$H67&gt;0,OR(AUTOEVENTO&lt;&gt;"manual",$M67&lt;&gt;1)),
IF(Import.TipoArredondamento&lt;&gt;"TransfereGOV",
ROUND(OFFSET($P67,0,AW$13),15-13*ORÇAMENTO!$AF$7)/$H67*OFFSET(ORÇAMENTO!$X$15,ROW(AW67)-ROW(AW$15),0),
ROUND(ROUND(OFFSET($P67,0,AW$13),15-13*ORÇAMENTO!$AF$7)*OFFSET(ORÇAMENTO!$W$15,ROW(AW67)-ROW(AW$15),0),15-13*ORÇAMENTO!$AF$11)),0)</f>
        <v>0</v>
      </c>
      <c r="AX67" s="545">
        <f ca="1">IF(AND($D67="Serviço",AX$12&lt;&gt;0,$H67&gt;0,OR(AUTOEVENTO&lt;&gt;"manual",$M67&lt;&gt;1)),
IF(Import.TipoArredondamento&lt;&gt;"TransfereGOV",
ROUND(OFFSET($P67,0,AX$13),15-13*ORÇAMENTO!$AF$7)/$H67*OFFSET(ORÇAMENTO!$X$15,ROW(AX67)-ROW(AX$15),0),
ROUND(ROUND(OFFSET($P67,0,AX$13),15-13*ORÇAMENTO!$AF$7)*OFFSET(ORÇAMENTO!$W$15,ROW(AX67)-ROW(AX$15),0),15-13*ORÇAMENTO!$AF$11)),0)</f>
        <v>0</v>
      </c>
      <c r="AY67" s="545">
        <f ca="1">IF(AND($D67="Serviço",AY$12&lt;&gt;0,$H67&gt;0,OR(AUTOEVENTO&lt;&gt;"manual",$M67&lt;&gt;1)),
IF(Import.TipoArredondamento&lt;&gt;"TransfereGOV",
ROUND(OFFSET($P67,0,AY$13),15-13*ORÇAMENTO!$AF$7)/$H67*OFFSET(ORÇAMENTO!$X$15,ROW(AY67)-ROW(AY$15),0),
ROUND(ROUND(OFFSET($P67,0,AY$13),15-13*ORÇAMENTO!$AF$7)*OFFSET(ORÇAMENTO!$W$15,ROW(AY67)-ROW(AY$15),0),15-13*ORÇAMENTO!$AF$11)),0)</f>
        <v>0</v>
      </c>
      <c r="AZ67" s="545">
        <f ca="1">IF(AND($D67="Serviço",AZ$12&lt;&gt;0,$H67&gt;0,OR(AUTOEVENTO&lt;&gt;"manual",$M67&lt;&gt;1)),
IF(Import.TipoArredondamento&lt;&gt;"TransfereGOV",
ROUND(OFFSET($P67,0,AZ$13),15-13*ORÇAMENTO!$AF$7)/$H67*OFFSET(ORÇAMENTO!$X$15,ROW(AZ67)-ROW(AZ$15),0),
ROUND(ROUND(OFFSET($P67,0,AZ$13),15-13*ORÇAMENTO!$AF$7)*OFFSET(ORÇAMENTO!$W$15,ROW(AZ67)-ROW(AZ$15),0),15-13*ORÇAMENTO!$AF$11)),0)</f>
        <v>0</v>
      </c>
      <c r="BA67" s="546">
        <f ca="1">IF(AND($D67="Serviço",BA$12&lt;&gt;0,$H67&gt;0,OR(AUTOEVENTO&lt;&gt;"manual",$M67&lt;&gt;1)),
IF(Import.TipoArredondamento&lt;&gt;"TransfereGOV",
ROUND(OFFSET($P67,0,BA$13),15-13*ORÇAMENTO!$AF$7)/$H67*OFFSET(ORÇAMENTO!$X$15,ROW(BA67)-ROW(BA$15),0),
ROUND(ROUND(OFFSET($P67,0,BA$13),15-13*ORÇAMENTO!$AF$7)*OFFSET(ORÇAMENTO!$W$15,ROW(BA67)-ROW(BA$15),0),15-13*ORÇAMENTO!$AF$11)),0)</f>
        <v>0</v>
      </c>
      <c r="BC67" s="181">
        <f ca="1">IF($D67&lt;&gt;"Serviço",0,IF(AND(AUTOEVENTO="Manual",$M67=1),0,IF(OFFSET(CRONOPLE!$F$14,$M67,BC$13)="",10^12,OFFSET(CRONOPLE!$F$14,$M67,BC$13))))</f>
        <v>3</v>
      </c>
      <c r="BD67" s="181">
        <f ca="1">IF($D67&lt;&gt;"Serviço",0,IF(AND(AUTOEVENTO="Manual",$M67=1),0,IF(OFFSET(CRONOPLE!$F$14,$M67,BD$13)="",10^12,OFFSET(CRONOPLE!$F$14,$M67,BD$13))))</f>
        <v>1000000000000</v>
      </c>
      <c r="BE67" s="181">
        <f ca="1">IF($D67&lt;&gt;"Serviço",0,IF(AND(AUTOEVENTO="Manual",$M67=1),0,IF(OFFSET(CRONOPLE!$F$14,$M67,BE$13)="",10^12,OFFSET(CRONOPLE!$F$14,$M67,BE$13))))</f>
        <v>1000000000000</v>
      </c>
      <c r="BF67" s="181">
        <f ca="1">IF($D67&lt;&gt;"Serviço",0,IF(AND(AUTOEVENTO="Manual",$M67=1),0,IF(OFFSET(CRONOPLE!$F$14,$M67,BF$13)="",10^12,OFFSET(CRONOPLE!$F$14,$M67,BF$13))))</f>
        <v>1000000000000</v>
      </c>
      <c r="BG67" s="181">
        <f ca="1">IF($D67&lt;&gt;"Serviço",0,IF(AND(AUTOEVENTO="Manual",$M67=1),0,IF(OFFSET(CRONOPLE!$F$14,$M67,BG$13)="",10^12,OFFSET(CRONOPLE!$F$14,$M67,BG$13))))</f>
        <v>1000000000000</v>
      </c>
      <c r="BH67" s="181">
        <f ca="1">IF($D67&lt;&gt;"Serviço",0,IF(AND(AUTOEVENTO="Manual",$M67=1),0,IF(OFFSET(CRONOPLE!$F$14,$M67,BH$13)="",10^12,OFFSET(CRONOPLE!$F$14,$M67,BH$13))))</f>
        <v>1000000000000</v>
      </c>
      <c r="BI67" s="181">
        <f ca="1">IF($D67&lt;&gt;"Serviço",0,IF(AND(AUTOEVENTO="Manual",$M67=1),0,IF(OFFSET(CRONOPLE!$F$14,$M67,BI$13)="",10^12,OFFSET(CRONOPLE!$F$14,$M67,BI$13))))</f>
        <v>1000000000000</v>
      </c>
      <c r="BJ67" s="181">
        <f ca="1">IF($D67&lt;&gt;"Serviço",0,IF(AND(AUTOEVENTO="Manual",$M67=1),0,IF(OFFSET(CRONOPLE!$F$14,$M67,BJ$13)="",10^12,OFFSET(CRONOPLE!$F$14,$M67,BJ$13))))</f>
        <v>1000000000000</v>
      </c>
      <c r="BK67" s="181">
        <f ca="1">IF($D67&lt;&gt;"Serviço",0,IF(AND(AUTOEVENTO="Manual",$M67=1),0,IF(OFFSET(CRONOPLE!$F$14,$M67,BK$13)="",10^12,OFFSET(CRONOPLE!$F$14,$M67,BK$13))))</f>
        <v>1000000000000</v>
      </c>
      <c r="BL67" s="181">
        <f ca="1">IF($D67&lt;&gt;"Serviço",0,IF(AND(AUTOEVENTO="Manual",$M67=1),0,IF(OFFSET(CRONOPLE!$F$14,$M67,BL$13)="",10^12,OFFSET(CRONOPLE!$F$14,$M67,BL$13))))</f>
        <v>1000000000000</v>
      </c>
      <c r="BM67" s="181">
        <f ca="1">IF($D67&lt;&gt;"Serviço",0,IF(AND(AUTOEVENTO="Manual",$M67=1),0,IF(OFFSET(CRONOPLE!$F$14,$M67,BM$13)="",10^12,OFFSET(CRONOPLE!$F$14,$M67,BM$13))))</f>
        <v>1000000000000</v>
      </c>
      <c r="BN67" s="181">
        <f ca="1">IF($D67&lt;&gt;"Serviço",0,IF(AND(AUTOEVENTO="Manual",$M67=1),0,IF(OFFSET(CRONOPLE!$F$14,$M67,BN$13)="",10^12,OFFSET(CRONOPLE!$F$14,$M67,BN$13))))</f>
        <v>1000000000000</v>
      </c>
      <c r="BO67" s="181">
        <f ca="1">IF($D67&lt;&gt;"Serviço",0,IF(AND(AUTOEVENTO="Manual",$M67=1),0,IF(OFFSET(CRONOPLE!$F$14,$M67,BO$13)="",10^12,OFFSET(CRONOPLE!$F$14,$M67,BO$13))))</f>
        <v>1000000000000</v>
      </c>
      <c r="BP67" s="181">
        <f ca="1">IF($D67&lt;&gt;"Serviço",0,IF(AND(AUTOEVENTO="Manual",$M67=1),0,IF(OFFSET(CRONOPLE!$F$14,$M67,BP$13)="",10^12,OFFSET(CRONOPLE!$F$14,$M67,BP$13))))</f>
        <v>1000000000000</v>
      </c>
      <c r="BQ67" s="181">
        <f ca="1">IF($D67&lt;&gt;"Serviço",0,IF(AND(AUTOEVENTO="Manual",$M67=1),0,IF(OFFSET(CRONOPLE!$F$14,$M67,BQ$13)="",10^12,OFFSET(CRONOPLE!$F$14,$M67,BQ$13))))</f>
        <v>1000000000000</v>
      </c>
      <c r="BR67" s="181">
        <f ca="1">IF($D67&lt;&gt;"Serviço",0,IF(AND(AUTOEVENTO="Manual",$M67=1),0,IF(OFFSET(CRONOPLE!$F$14,$M67,BR$13)="",10^12,OFFSET(CRONOPLE!$F$14,$M67,BR$13))))</f>
        <v>1000000000000</v>
      </c>
      <c r="BS67" s="181">
        <f ca="1">IF($D67&lt;&gt;"Serviço",0,IF(AND(AUTOEVENTO="Manual",$M67=1),0,IF(OFFSET(CRONOPLE!$F$14,$M67,BS$13)="",10^12,OFFSET(CRONOPLE!$F$14,$M67,BS$13))))</f>
        <v>1000000000000</v>
      </c>
      <c r="BT67" s="181">
        <f ca="1">IF($D67&lt;&gt;"Serviço",0,IF(AND(AUTOEVENTO="Manual",$M67=1),0,IF(OFFSET(CRONOPLE!$F$14,$M67,BT$13)="",10^12,OFFSET(CRONOPLE!$F$14,$M67,BT$13))))</f>
        <v>1000000000000</v>
      </c>
      <c r="BV67" s="182">
        <f ca="1">IF($D67&lt;&gt;"Serviço",0,IF(OR(AND(AUTOEVENTO="Manual",$M67=1),$M67&gt;(ROW(PLE.lastrow)-ROW(PLE.firstrow))),0,IF(OFFSET(PLE!$G$14,$M67,BV$13)="",10^12,OFFSET(PLE!$G$14,$M67,BV$13))))</f>
        <v>1000000000000</v>
      </c>
      <c r="BW67" s="182">
        <f ca="1">IF($D67&lt;&gt;"Serviço",0,IF(OR(AND(AUTOEVENTO="Manual",$M67=1),$M67&gt;(ROW(PLE.lastrow)-ROW(PLE.firstrow))),0,IF(OFFSET(PLE!$G$14,$M67,BW$13)="",10^12,OFFSET(PLE!$G$14,$M67,BW$13))))</f>
        <v>1000000000000</v>
      </c>
      <c r="BX67" s="182">
        <f ca="1">IF($D67&lt;&gt;"Serviço",0,IF(OR(AND(AUTOEVENTO="Manual",$M67=1),$M67&gt;(ROW(PLE.lastrow)-ROW(PLE.firstrow))),0,IF(OFFSET(PLE!$G$14,$M67,BX$13)="",10^12,OFFSET(PLE!$G$14,$M67,BX$13))))</f>
        <v>1000000000000</v>
      </c>
      <c r="BY67" s="182">
        <f ca="1">IF($D67&lt;&gt;"Serviço",0,IF(OR(AND(AUTOEVENTO="Manual",$M67=1),$M67&gt;(ROW(PLE.lastrow)-ROW(PLE.firstrow))),0,IF(OFFSET(PLE!$G$14,$M67,BY$13)="",10^12,OFFSET(PLE!$G$14,$M67,BY$13))))</f>
        <v>1000000000000</v>
      </c>
      <c r="BZ67" s="182">
        <f ca="1">IF($D67&lt;&gt;"Serviço",0,IF(OR(AND(AUTOEVENTO="Manual",$M67=1),$M67&gt;(ROW(PLE.lastrow)-ROW(PLE.firstrow))),0,IF(OFFSET(PLE!$G$14,$M67,BZ$13)="",10^12,OFFSET(PLE!$G$14,$M67,BZ$13))))</f>
        <v>1000000000000</v>
      </c>
      <c r="CA67" s="182">
        <f ca="1">IF($D67&lt;&gt;"Serviço",0,IF(OR(AND(AUTOEVENTO="Manual",$M67=1),$M67&gt;(ROW(PLE.lastrow)-ROW(PLE.firstrow))),0,IF(OFFSET(PLE!$G$14,$M67,CA$13)="",10^12,OFFSET(PLE!$G$14,$M67,CA$13))))</f>
        <v>1000000000000</v>
      </c>
      <c r="CB67" s="182">
        <f ca="1">IF($D67&lt;&gt;"Serviço",0,IF(OR(AND(AUTOEVENTO="Manual",$M67=1),$M67&gt;(ROW(PLE.lastrow)-ROW(PLE.firstrow))),0,IF(OFFSET(PLE!$G$14,$M67,CB$13)="",10^12,OFFSET(PLE!$G$14,$M67,CB$13))))</f>
        <v>1000000000000</v>
      </c>
      <c r="CC67" s="182">
        <f ca="1">IF($D67&lt;&gt;"Serviço",0,IF(OR(AND(AUTOEVENTO="Manual",$M67=1),$M67&gt;(ROW(PLE.lastrow)-ROW(PLE.firstrow))),0,IF(OFFSET(PLE!$G$14,$M67,CC$13)="",10^12,OFFSET(PLE!$G$14,$M67,CC$13))))</f>
        <v>1000000000000</v>
      </c>
      <c r="CD67" s="182">
        <f ca="1">IF($D67&lt;&gt;"Serviço",0,IF(OR(AND(AUTOEVENTO="Manual",$M67=1),$M67&gt;(ROW(PLE.lastrow)-ROW(PLE.firstrow))),0,IF(OFFSET(PLE!$G$14,$M67,CD$13)="",10^12,OFFSET(PLE!$G$14,$M67,CD$13))))</f>
        <v>1000000000000</v>
      </c>
      <c r="CE67" s="182">
        <f ca="1">IF($D67&lt;&gt;"Serviço",0,IF(OR(AND(AUTOEVENTO="Manual",$M67=1),$M67&gt;(ROW(PLE.lastrow)-ROW(PLE.firstrow))),0,IF(OFFSET(PLE!$G$14,$M67,CE$13)="",10^12,OFFSET(PLE!$G$14,$M67,CE$13))))</f>
        <v>1000000000000</v>
      </c>
      <c r="CF67" s="182">
        <f ca="1">IF($D67&lt;&gt;"Serviço",0,IF(OR(AND(AUTOEVENTO="Manual",$M67=1),$M67&gt;(ROW(PLE.lastrow)-ROW(PLE.firstrow))),0,IF(OFFSET(PLE!$G$14,$M67,CF$13)="",10^12,OFFSET(PLE!$G$14,$M67,CF$13))))</f>
        <v>1000000000000</v>
      </c>
      <c r="CG67" s="182">
        <f ca="1">IF($D67&lt;&gt;"Serviço",0,IF(OR(AND(AUTOEVENTO="Manual",$M67=1),$M67&gt;(ROW(PLE.lastrow)-ROW(PLE.firstrow))),0,IF(OFFSET(PLE!$G$14,$M67,CG$13)="",10^12,OFFSET(PLE!$G$14,$M67,CG$13))))</f>
        <v>1000000000000</v>
      </c>
      <c r="CH67" s="182">
        <f ca="1">IF($D67&lt;&gt;"Serviço",0,IF(OR(AND(AUTOEVENTO="Manual",$M67=1),$M67&gt;(ROW(PLE.lastrow)-ROW(PLE.firstrow))),0,IF(OFFSET(PLE!$G$14,$M67,CH$13)="",10^12,OFFSET(PLE!$G$14,$M67,CH$13))))</f>
        <v>1000000000000</v>
      </c>
      <c r="CI67" s="182">
        <f ca="1">IF($D67&lt;&gt;"Serviço",0,IF(OR(AND(AUTOEVENTO="Manual",$M67=1),$M67&gt;(ROW(PLE.lastrow)-ROW(PLE.firstrow))),0,IF(OFFSET(PLE!$G$14,$M67,CI$13)="",10^12,OFFSET(PLE!$G$14,$M67,CI$13))))</f>
        <v>1000000000000</v>
      </c>
      <c r="CJ67" s="182">
        <f ca="1">IF($D67&lt;&gt;"Serviço",0,IF(OR(AND(AUTOEVENTO="Manual",$M67=1),$M67&gt;(ROW(PLE.lastrow)-ROW(PLE.firstrow))),0,IF(OFFSET(PLE!$G$14,$M67,CJ$13)="",10^12,OFFSET(PLE!$G$14,$M67,CJ$13))))</f>
        <v>1000000000000</v>
      </c>
      <c r="CK67" s="182">
        <f ca="1">IF($D67&lt;&gt;"Serviço",0,IF(OR(AND(AUTOEVENTO="Manual",$M67=1),$M67&gt;(ROW(PLE.lastrow)-ROW(PLE.firstrow))),0,IF(OFFSET(PLE!$G$14,$M67,CK$13)="",10^12,OFFSET(PLE!$G$14,$M67,CK$13))))</f>
        <v>1000000000000</v>
      </c>
      <c r="CL67" s="182">
        <f ca="1">IF($D67&lt;&gt;"Serviço",0,IF(OR(AND(AUTOEVENTO="Manual",$M67=1),$M67&gt;(ROW(PLE.lastrow)-ROW(PLE.firstrow))),0,IF(OFFSET(PLE!$G$14,$M67,CL$13)="",10^12,OFFSET(PLE!$G$14,$M67,CL$13))))</f>
        <v>1000000000000</v>
      </c>
      <c r="CM67" s="182">
        <f ca="1">IF($D67&lt;&gt;"Serviço",0,IF(OR(AND(AUTOEVENTO="Manual",$M67=1),$M67&gt;(ROW(PLE.lastrow)-ROW(PLE.firstrow))),0,IF(OFFSET(PLE!$G$14,$M67,CM$13)="",10^12,OFFSET(PLE!$G$14,$M67,CM$13))))</f>
        <v>1000000000000</v>
      </c>
    </row>
    <row r="68" spans="1:91" ht="38.25" x14ac:dyDescent="0.2">
      <c r="A68" s="7" t="str">
        <f t="shared" ca="1" si="9"/>
        <v>48</v>
      </c>
      <c r="B68" s="7" t="str">
        <f ca="1">OFFSET(ORÇAMENTO!C$15,ROW(B68)-ROW(B$15),0)</f>
        <v>S</v>
      </c>
      <c r="C68" s="7" t="str">
        <f ca="1">OFFSET(ORÇAMENTO!L$15,ROW(C68)-ROW(C$15),0)</f>
        <v/>
      </c>
      <c r="D68" s="118" t="str">
        <f ca="1">OFFSET(ORÇAMENTO!N$15,ROW(D68)-ROW(D$15),0)</f>
        <v>Serviço</v>
      </c>
      <c r="E68" s="119" t="str">
        <f ca="1">OFFSET(ORÇAMENTO!O$15,ROW(E68)-ROW(E$15),0)</f>
        <v>-</v>
      </c>
      <c r="F68" s="172" t="str">
        <f ca="1">OFFSET(ORÇAMENTO!R$15,ROW(F68)-ROW(F$15),0)</f>
        <v>(abra o arquivo 'Referência 06-2024.xlsm)</v>
      </c>
      <c r="G68" s="173" t="str">
        <f ca="1">IF($D68&lt;&gt;"Serviço","",OFFSET(ORÇAMENTO!S$15,ROW(G68)-ROW(G$15),0))</f>
        <v>-</v>
      </c>
      <c r="H68" s="124">
        <f ca="1">IF($D68&lt;&gt;"Serviço",0,IF(ACOMPANHAMENTO="BM",ROUND(OFFSET(ORÇAMENTO!AJ$15,ROW(H68)-ROW(H$15),0),15-13*ORÇAMENTO!$AF$7),SUMPRODUCT(($Q$12:$AI$12&lt;&gt;"")*ROUND($Q68:$AI68,15-13*ORÇAMENTO!$AF$7))))</f>
        <v>573.70000000000005</v>
      </c>
      <c r="I68" s="561" t="s">
        <v>1107</v>
      </c>
      <c r="K68" s="174" t="s">
        <v>1028</v>
      </c>
      <c r="L68" s="175" t="s">
        <v>255</v>
      </c>
      <c r="M68" s="176">
        <f ca="1">IF($D68&lt;&gt;"Serviço","",IF(AUTOEVENTO="manual",$A68,IF(ISERROR(MATCH($A68,$A$15:OFFSET($A68,-1,0),0)),MAX($M$15:OFFSET(M68,-1,0))+1,INDEX($M$15:OFFSET(M68,-1,0),MATCH($A68,$A$15:OFFSET($A68,-1,0),0)))))</f>
        <v>10</v>
      </c>
      <c r="N68" s="177" t="str">
        <f ca="1">IF($D68&lt;&gt;"Serviço","",IF(AUTOEVENTO="Manual",IF($A68=0,"&lt;-- defina o número do agrupador",OFFSET(EVENTOS!$D$14,$A68,0)),OFFSET($F$15,$A68,0)))</f>
        <v>SUPERESTRUTURA - CONCRETO ARMADO PARA VIGAS INCLUINDO BALDRAME</v>
      </c>
      <c r="O68" s="178"/>
      <c r="Q68" s="178">
        <v>573.70000000000005</v>
      </c>
      <c r="R68" s="179"/>
      <c r="S68" s="179"/>
      <c r="T68" s="179"/>
      <c r="U68" s="179"/>
      <c r="V68" s="179"/>
      <c r="W68" s="179"/>
      <c r="X68" s="179"/>
      <c r="Y68" s="179"/>
      <c r="Z68" s="180"/>
      <c r="AA68" s="179"/>
      <c r="AB68" s="179"/>
      <c r="AC68" s="179"/>
      <c r="AD68" s="179"/>
      <c r="AE68" s="179"/>
      <c r="AF68" s="179"/>
      <c r="AG68" s="179"/>
      <c r="AH68" s="180"/>
      <c r="AJ68" s="544">
        <f ca="1">IF(AND($D68="Serviço",AJ$12&lt;&gt;0,$H68&gt;0,OR(AUTOEVENTO&lt;&gt;"manual",$M68&lt;&gt;1)),
IF(Import.TipoArredondamento&lt;&gt;"TransfereGOV",
ROUND(OFFSET($P68,0,AJ$13),15-13*ORÇAMENTO!$AF$7)/$H68*OFFSET(ORÇAMENTO!$X$15,ROW(AJ68)-ROW(AJ$15),0),
ROUND(ROUND(OFFSET($P68,0,AJ$13),15-13*ORÇAMENTO!$AF$7)*OFFSET(ORÇAMENTO!$W$15,ROW(AJ68)-ROW(AJ$15),0),15-13*ORÇAMENTO!$AF$11)),0)</f>
        <v>0</v>
      </c>
      <c r="AK68" s="545">
        <f ca="1">IF(AND($D68="Serviço",AK$12&lt;&gt;0,$H68&gt;0,OR(AUTOEVENTO&lt;&gt;"manual",$M68&lt;&gt;1)),
IF(Import.TipoArredondamento&lt;&gt;"TransfereGOV",
ROUND(OFFSET($P68,0,AK$13),15-13*ORÇAMENTO!$AF$7)/$H68*OFFSET(ORÇAMENTO!$X$15,ROW(AK68)-ROW(AK$15),0),
ROUND(ROUND(OFFSET($P68,0,AK$13),15-13*ORÇAMENTO!$AF$7)*OFFSET(ORÇAMENTO!$W$15,ROW(AK68)-ROW(AK$15),0),15-13*ORÇAMENTO!$AF$11)),0)</f>
        <v>0</v>
      </c>
      <c r="AL68" s="545">
        <f ca="1">IF(AND($D68="Serviço",AL$12&lt;&gt;0,$H68&gt;0,OR(AUTOEVENTO&lt;&gt;"manual",$M68&lt;&gt;1)),
IF(Import.TipoArredondamento&lt;&gt;"TransfereGOV",
ROUND(OFFSET($P68,0,AL$13),15-13*ORÇAMENTO!$AF$7)/$H68*OFFSET(ORÇAMENTO!$X$15,ROW(AL68)-ROW(AL$15),0),
ROUND(ROUND(OFFSET($P68,0,AL$13),15-13*ORÇAMENTO!$AF$7)*OFFSET(ORÇAMENTO!$W$15,ROW(AL68)-ROW(AL$15),0),15-13*ORÇAMENTO!$AF$11)),0)</f>
        <v>0</v>
      </c>
      <c r="AM68" s="545">
        <f ca="1">IF(AND($D68="Serviço",AM$12&lt;&gt;0,$H68&gt;0,OR(AUTOEVENTO&lt;&gt;"manual",$M68&lt;&gt;1)),
IF(Import.TipoArredondamento&lt;&gt;"TransfereGOV",
ROUND(OFFSET($P68,0,AM$13),15-13*ORÇAMENTO!$AF$7)/$H68*OFFSET(ORÇAMENTO!$X$15,ROW(AM68)-ROW(AM$15),0),
ROUND(ROUND(OFFSET($P68,0,AM$13),15-13*ORÇAMENTO!$AF$7)*OFFSET(ORÇAMENTO!$W$15,ROW(AM68)-ROW(AM$15),0),15-13*ORÇAMENTO!$AF$11)),0)</f>
        <v>0</v>
      </c>
      <c r="AN68" s="545">
        <f ca="1">IF(AND($D68="Serviço",AN$12&lt;&gt;0,$H68&gt;0,OR(AUTOEVENTO&lt;&gt;"manual",$M68&lt;&gt;1)),
IF(Import.TipoArredondamento&lt;&gt;"TransfereGOV",
ROUND(OFFSET($P68,0,AN$13),15-13*ORÇAMENTO!$AF$7)/$H68*OFFSET(ORÇAMENTO!$X$15,ROW(AN68)-ROW(AN$15),0),
ROUND(ROUND(OFFSET($P68,0,AN$13),15-13*ORÇAMENTO!$AF$7)*OFFSET(ORÇAMENTO!$W$15,ROW(AN68)-ROW(AN$15),0),15-13*ORÇAMENTO!$AF$11)),0)</f>
        <v>0</v>
      </c>
      <c r="AO68" s="545">
        <f ca="1">IF(AND($D68="Serviço",AO$12&lt;&gt;0,$H68&gt;0,OR(AUTOEVENTO&lt;&gt;"manual",$M68&lt;&gt;1)),
IF(Import.TipoArredondamento&lt;&gt;"TransfereGOV",
ROUND(OFFSET($P68,0,AO$13),15-13*ORÇAMENTO!$AF$7)/$H68*OFFSET(ORÇAMENTO!$X$15,ROW(AO68)-ROW(AO$15),0),
ROUND(ROUND(OFFSET($P68,0,AO$13),15-13*ORÇAMENTO!$AF$7)*OFFSET(ORÇAMENTO!$W$15,ROW(AO68)-ROW(AO$15),0),15-13*ORÇAMENTO!$AF$11)),0)</f>
        <v>0</v>
      </c>
      <c r="AP68" s="545">
        <f ca="1">IF(AND($D68="Serviço",AP$12&lt;&gt;0,$H68&gt;0,OR(AUTOEVENTO&lt;&gt;"manual",$M68&lt;&gt;1)),
IF(Import.TipoArredondamento&lt;&gt;"TransfereGOV",
ROUND(OFFSET($P68,0,AP$13),15-13*ORÇAMENTO!$AF$7)/$H68*OFFSET(ORÇAMENTO!$X$15,ROW(AP68)-ROW(AP$15),0),
ROUND(ROUND(OFFSET($P68,0,AP$13),15-13*ORÇAMENTO!$AF$7)*OFFSET(ORÇAMENTO!$W$15,ROW(AP68)-ROW(AP$15),0),15-13*ORÇAMENTO!$AF$11)),0)</f>
        <v>0</v>
      </c>
      <c r="AQ68" s="545">
        <f ca="1">IF(AND($D68="Serviço",AQ$12&lt;&gt;0,$H68&gt;0,OR(AUTOEVENTO&lt;&gt;"manual",$M68&lt;&gt;1)),
IF(Import.TipoArredondamento&lt;&gt;"TransfereGOV",
ROUND(OFFSET($P68,0,AQ$13),15-13*ORÇAMENTO!$AF$7)/$H68*OFFSET(ORÇAMENTO!$X$15,ROW(AQ68)-ROW(AQ$15),0),
ROUND(ROUND(OFFSET($P68,0,AQ$13),15-13*ORÇAMENTO!$AF$7)*OFFSET(ORÇAMENTO!$W$15,ROW(AQ68)-ROW(AQ$15),0),15-13*ORÇAMENTO!$AF$11)),0)</f>
        <v>0</v>
      </c>
      <c r="AR68" s="545">
        <f ca="1">IF(AND($D68="Serviço",AR$12&lt;&gt;0,$H68&gt;0,OR(AUTOEVENTO&lt;&gt;"manual",$M68&lt;&gt;1)),
IF(Import.TipoArredondamento&lt;&gt;"TransfereGOV",
ROUND(OFFSET($P68,0,AR$13),15-13*ORÇAMENTO!$AF$7)/$H68*OFFSET(ORÇAMENTO!$X$15,ROW(AR68)-ROW(AR$15),0),
ROUND(ROUND(OFFSET($P68,0,AR$13),15-13*ORÇAMENTO!$AF$7)*OFFSET(ORÇAMENTO!$W$15,ROW(AR68)-ROW(AR$15),0),15-13*ORÇAMENTO!$AF$11)),0)</f>
        <v>0</v>
      </c>
      <c r="AS68" s="546">
        <f ca="1">IF(AND($D68="Serviço",AS$12&lt;&gt;0,$H68&gt;0,OR(AUTOEVENTO&lt;&gt;"manual",$M68&lt;&gt;1)),
IF(Import.TipoArredondamento&lt;&gt;"TransfereGOV",
ROUND(OFFSET($P68,0,AS$13),15-13*ORÇAMENTO!$AF$7)/$H68*OFFSET(ORÇAMENTO!$X$15,ROW(AS68)-ROW(AS$15),0),
ROUND(ROUND(OFFSET($P68,0,AS$13),15-13*ORÇAMENTO!$AF$7)*OFFSET(ORÇAMENTO!$W$15,ROW(AS68)-ROW(AS$15),0),15-13*ORÇAMENTO!$AF$11)),0)</f>
        <v>0</v>
      </c>
      <c r="AT68" s="545">
        <f ca="1">IF(AND($D68="Serviço",AT$12&lt;&gt;0,$H68&gt;0,OR(AUTOEVENTO&lt;&gt;"manual",$M68&lt;&gt;1)),
IF(Import.TipoArredondamento&lt;&gt;"TransfereGOV",
ROUND(OFFSET($P68,0,AT$13),15-13*ORÇAMENTO!$AF$7)/$H68*OFFSET(ORÇAMENTO!$X$15,ROW(AT68)-ROW(AT$15),0),
ROUND(ROUND(OFFSET($P68,0,AT$13),15-13*ORÇAMENTO!$AF$7)*OFFSET(ORÇAMENTO!$W$15,ROW(AT68)-ROW(AT$15),0),15-13*ORÇAMENTO!$AF$11)),0)</f>
        <v>0</v>
      </c>
      <c r="AU68" s="545">
        <f ca="1">IF(AND($D68="Serviço",AU$12&lt;&gt;0,$H68&gt;0,OR(AUTOEVENTO&lt;&gt;"manual",$M68&lt;&gt;1)),
IF(Import.TipoArredondamento&lt;&gt;"TransfereGOV",
ROUND(OFFSET($P68,0,AU$13),15-13*ORÇAMENTO!$AF$7)/$H68*OFFSET(ORÇAMENTO!$X$15,ROW(AU68)-ROW(AU$15),0),
ROUND(ROUND(OFFSET($P68,0,AU$13),15-13*ORÇAMENTO!$AF$7)*OFFSET(ORÇAMENTO!$W$15,ROW(AU68)-ROW(AU$15),0),15-13*ORÇAMENTO!$AF$11)),0)</f>
        <v>0</v>
      </c>
      <c r="AV68" s="545">
        <f ca="1">IF(AND($D68="Serviço",AV$12&lt;&gt;0,$H68&gt;0,OR(AUTOEVENTO&lt;&gt;"manual",$M68&lt;&gt;1)),
IF(Import.TipoArredondamento&lt;&gt;"TransfereGOV",
ROUND(OFFSET($P68,0,AV$13),15-13*ORÇAMENTO!$AF$7)/$H68*OFFSET(ORÇAMENTO!$X$15,ROW(AV68)-ROW(AV$15),0),
ROUND(ROUND(OFFSET($P68,0,AV$13),15-13*ORÇAMENTO!$AF$7)*OFFSET(ORÇAMENTO!$W$15,ROW(AV68)-ROW(AV$15),0),15-13*ORÇAMENTO!$AF$11)),0)</f>
        <v>0</v>
      </c>
      <c r="AW68" s="545">
        <f ca="1">IF(AND($D68="Serviço",AW$12&lt;&gt;0,$H68&gt;0,OR(AUTOEVENTO&lt;&gt;"manual",$M68&lt;&gt;1)),
IF(Import.TipoArredondamento&lt;&gt;"TransfereGOV",
ROUND(OFFSET($P68,0,AW$13),15-13*ORÇAMENTO!$AF$7)/$H68*OFFSET(ORÇAMENTO!$X$15,ROW(AW68)-ROW(AW$15),0),
ROUND(ROUND(OFFSET($P68,0,AW$13),15-13*ORÇAMENTO!$AF$7)*OFFSET(ORÇAMENTO!$W$15,ROW(AW68)-ROW(AW$15),0),15-13*ORÇAMENTO!$AF$11)),0)</f>
        <v>0</v>
      </c>
      <c r="AX68" s="545">
        <f ca="1">IF(AND($D68="Serviço",AX$12&lt;&gt;0,$H68&gt;0,OR(AUTOEVENTO&lt;&gt;"manual",$M68&lt;&gt;1)),
IF(Import.TipoArredondamento&lt;&gt;"TransfereGOV",
ROUND(OFFSET($P68,0,AX$13),15-13*ORÇAMENTO!$AF$7)/$H68*OFFSET(ORÇAMENTO!$X$15,ROW(AX68)-ROW(AX$15),0),
ROUND(ROUND(OFFSET($P68,0,AX$13),15-13*ORÇAMENTO!$AF$7)*OFFSET(ORÇAMENTO!$W$15,ROW(AX68)-ROW(AX$15),0),15-13*ORÇAMENTO!$AF$11)),0)</f>
        <v>0</v>
      </c>
      <c r="AY68" s="545">
        <f ca="1">IF(AND($D68="Serviço",AY$12&lt;&gt;0,$H68&gt;0,OR(AUTOEVENTO&lt;&gt;"manual",$M68&lt;&gt;1)),
IF(Import.TipoArredondamento&lt;&gt;"TransfereGOV",
ROUND(OFFSET($P68,0,AY$13),15-13*ORÇAMENTO!$AF$7)/$H68*OFFSET(ORÇAMENTO!$X$15,ROW(AY68)-ROW(AY$15),0),
ROUND(ROUND(OFFSET($P68,0,AY$13),15-13*ORÇAMENTO!$AF$7)*OFFSET(ORÇAMENTO!$W$15,ROW(AY68)-ROW(AY$15),0),15-13*ORÇAMENTO!$AF$11)),0)</f>
        <v>0</v>
      </c>
      <c r="AZ68" s="545">
        <f ca="1">IF(AND($D68="Serviço",AZ$12&lt;&gt;0,$H68&gt;0,OR(AUTOEVENTO&lt;&gt;"manual",$M68&lt;&gt;1)),
IF(Import.TipoArredondamento&lt;&gt;"TransfereGOV",
ROUND(OFFSET($P68,0,AZ$13),15-13*ORÇAMENTO!$AF$7)/$H68*OFFSET(ORÇAMENTO!$X$15,ROW(AZ68)-ROW(AZ$15),0),
ROUND(ROUND(OFFSET($P68,0,AZ$13),15-13*ORÇAMENTO!$AF$7)*OFFSET(ORÇAMENTO!$W$15,ROW(AZ68)-ROW(AZ$15),0),15-13*ORÇAMENTO!$AF$11)),0)</f>
        <v>0</v>
      </c>
      <c r="BA68" s="546">
        <f ca="1">IF(AND($D68="Serviço",BA$12&lt;&gt;0,$H68&gt;0,OR(AUTOEVENTO&lt;&gt;"manual",$M68&lt;&gt;1)),
IF(Import.TipoArredondamento&lt;&gt;"TransfereGOV",
ROUND(OFFSET($P68,0,BA$13),15-13*ORÇAMENTO!$AF$7)/$H68*OFFSET(ORÇAMENTO!$X$15,ROW(BA68)-ROW(BA$15),0),
ROUND(ROUND(OFFSET($P68,0,BA$13),15-13*ORÇAMENTO!$AF$7)*OFFSET(ORÇAMENTO!$W$15,ROW(BA68)-ROW(BA$15),0),15-13*ORÇAMENTO!$AF$11)),0)</f>
        <v>0</v>
      </c>
      <c r="BC68" s="181">
        <f ca="1">IF($D68&lt;&gt;"Serviço",0,IF(AND(AUTOEVENTO="Manual",$M68=1),0,IF(OFFSET(CRONOPLE!$F$14,$M68,BC$13)="",10^12,OFFSET(CRONOPLE!$F$14,$M68,BC$13))))</f>
        <v>3</v>
      </c>
      <c r="BD68" s="181">
        <f ca="1">IF($D68&lt;&gt;"Serviço",0,IF(AND(AUTOEVENTO="Manual",$M68=1),0,IF(OFFSET(CRONOPLE!$F$14,$M68,BD$13)="",10^12,OFFSET(CRONOPLE!$F$14,$M68,BD$13))))</f>
        <v>1000000000000</v>
      </c>
      <c r="BE68" s="181">
        <f ca="1">IF($D68&lt;&gt;"Serviço",0,IF(AND(AUTOEVENTO="Manual",$M68=1),0,IF(OFFSET(CRONOPLE!$F$14,$M68,BE$13)="",10^12,OFFSET(CRONOPLE!$F$14,$M68,BE$13))))</f>
        <v>1000000000000</v>
      </c>
      <c r="BF68" s="181">
        <f ca="1">IF($D68&lt;&gt;"Serviço",0,IF(AND(AUTOEVENTO="Manual",$M68=1),0,IF(OFFSET(CRONOPLE!$F$14,$M68,BF$13)="",10^12,OFFSET(CRONOPLE!$F$14,$M68,BF$13))))</f>
        <v>1000000000000</v>
      </c>
      <c r="BG68" s="181">
        <f ca="1">IF($D68&lt;&gt;"Serviço",0,IF(AND(AUTOEVENTO="Manual",$M68=1),0,IF(OFFSET(CRONOPLE!$F$14,$M68,BG$13)="",10^12,OFFSET(CRONOPLE!$F$14,$M68,BG$13))))</f>
        <v>1000000000000</v>
      </c>
      <c r="BH68" s="181">
        <f ca="1">IF($D68&lt;&gt;"Serviço",0,IF(AND(AUTOEVENTO="Manual",$M68=1),0,IF(OFFSET(CRONOPLE!$F$14,$M68,BH$13)="",10^12,OFFSET(CRONOPLE!$F$14,$M68,BH$13))))</f>
        <v>1000000000000</v>
      </c>
      <c r="BI68" s="181">
        <f ca="1">IF($D68&lt;&gt;"Serviço",0,IF(AND(AUTOEVENTO="Manual",$M68=1),0,IF(OFFSET(CRONOPLE!$F$14,$M68,BI$13)="",10^12,OFFSET(CRONOPLE!$F$14,$M68,BI$13))))</f>
        <v>1000000000000</v>
      </c>
      <c r="BJ68" s="181">
        <f ca="1">IF($D68&lt;&gt;"Serviço",0,IF(AND(AUTOEVENTO="Manual",$M68=1),0,IF(OFFSET(CRONOPLE!$F$14,$M68,BJ$13)="",10^12,OFFSET(CRONOPLE!$F$14,$M68,BJ$13))))</f>
        <v>1000000000000</v>
      </c>
      <c r="BK68" s="181">
        <f ca="1">IF($D68&lt;&gt;"Serviço",0,IF(AND(AUTOEVENTO="Manual",$M68=1),0,IF(OFFSET(CRONOPLE!$F$14,$M68,BK$13)="",10^12,OFFSET(CRONOPLE!$F$14,$M68,BK$13))))</f>
        <v>1000000000000</v>
      </c>
      <c r="BL68" s="181">
        <f ca="1">IF($D68&lt;&gt;"Serviço",0,IF(AND(AUTOEVENTO="Manual",$M68=1),0,IF(OFFSET(CRONOPLE!$F$14,$M68,BL$13)="",10^12,OFFSET(CRONOPLE!$F$14,$M68,BL$13))))</f>
        <v>1000000000000</v>
      </c>
      <c r="BM68" s="181">
        <f ca="1">IF($D68&lt;&gt;"Serviço",0,IF(AND(AUTOEVENTO="Manual",$M68=1),0,IF(OFFSET(CRONOPLE!$F$14,$M68,BM$13)="",10^12,OFFSET(CRONOPLE!$F$14,$M68,BM$13))))</f>
        <v>1000000000000</v>
      </c>
      <c r="BN68" s="181">
        <f ca="1">IF($D68&lt;&gt;"Serviço",0,IF(AND(AUTOEVENTO="Manual",$M68=1),0,IF(OFFSET(CRONOPLE!$F$14,$M68,BN$13)="",10^12,OFFSET(CRONOPLE!$F$14,$M68,BN$13))))</f>
        <v>1000000000000</v>
      </c>
      <c r="BO68" s="181">
        <f ca="1">IF($D68&lt;&gt;"Serviço",0,IF(AND(AUTOEVENTO="Manual",$M68=1),0,IF(OFFSET(CRONOPLE!$F$14,$M68,BO$13)="",10^12,OFFSET(CRONOPLE!$F$14,$M68,BO$13))))</f>
        <v>1000000000000</v>
      </c>
      <c r="BP68" s="181">
        <f ca="1">IF($D68&lt;&gt;"Serviço",0,IF(AND(AUTOEVENTO="Manual",$M68=1),0,IF(OFFSET(CRONOPLE!$F$14,$M68,BP$13)="",10^12,OFFSET(CRONOPLE!$F$14,$M68,BP$13))))</f>
        <v>1000000000000</v>
      </c>
      <c r="BQ68" s="181">
        <f ca="1">IF($D68&lt;&gt;"Serviço",0,IF(AND(AUTOEVENTO="Manual",$M68=1),0,IF(OFFSET(CRONOPLE!$F$14,$M68,BQ$13)="",10^12,OFFSET(CRONOPLE!$F$14,$M68,BQ$13))))</f>
        <v>1000000000000</v>
      </c>
      <c r="BR68" s="181">
        <f ca="1">IF($D68&lt;&gt;"Serviço",0,IF(AND(AUTOEVENTO="Manual",$M68=1),0,IF(OFFSET(CRONOPLE!$F$14,$M68,BR$13)="",10^12,OFFSET(CRONOPLE!$F$14,$M68,BR$13))))</f>
        <v>1000000000000</v>
      </c>
      <c r="BS68" s="181">
        <f ca="1">IF($D68&lt;&gt;"Serviço",0,IF(AND(AUTOEVENTO="Manual",$M68=1),0,IF(OFFSET(CRONOPLE!$F$14,$M68,BS$13)="",10^12,OFFSET(CRONOPLE!$F$14,$M68,BS$13))))</f>
        <v>1000000000000</v>
      </c>
      <c r="BT68" s="181">
        <f ca="1">IF($D68&lt;&gt;"Serviço",0,IF(AND(AUTOEVENTO="Manual",$M68=1),0,IF(OFFSET(CRONOPLE!$F$14,$M68,BT$13)="",10^12,OFFSET(CRONOPLE!$F$14,$M68,BT$13))))</f>
        <v>1000000000000</v>
      </c>
      <c r="BV68" s="182">
        <f ca="1">IF($D68&lt;&gt;"Serviço",0,IF(OR(AND(AUTOEVENTO="Manual",$M68=1),$M68&gt;(ROW(PLE.lastrow)-ROW(PLE.firstrow))),0,IF(OFFSET(PLE!$G$14,$M68,BV$13)="",10^12,OFFSET(PLE!$G$14,$M68,BV$13))))</f>
        <v>1000000000000</v>
      </c>
      <c r="BW68" s="182">
        <f ca="1">IF($D68&lt;&gt;"Serviço",0,IF(OR(AND(AUTOEVENTO="Manual",$M68=1),$M68&gt;(ROW(PLE.lastrow)-ROW(PLE.firstrow))),0,IF(OFFSET(PLE!$G$14,$M68,BW$13)="",10^12,OFFSET(PLE!$G$14,$M68,BW$13))))</f>
        <v>1000000000000</v>
      </c>
      <c r="BX68" s="182">
        <f ca="1">IF($D68&lt;&gt;"Serviço",0,IF(OR(AND(AUTOEVENTO="Manual",$M68=1),$M68&gt;(ROW(PLE.lastrow)-ROW(PLE.firstrow))),0,IF(OFFSET(PLE!$G$14,$M68,BX$13)="",10^12,OFFSET(PLE!$G$14,$M68,BX$13))))</f>
        <v>1000000000000</v>
      </c>
      <c r="BY68" s="182">
        <f ca="1">IF($D68&lt;&gt;"Serviço",0,IF(OR(AND(AUTOEVENTO="Manual",$M68=1),$M68&gt;(ROW(PLE.lastrow)-ROW(PLE.firstrow))),0,IF(OFFSET(PLE!$G$14,$M68,BY$13)="",10^12,OFFSET(PLE!$G$14,$M68,BY$13))))</f>
        <v>1000000000000</v>
      </c>
      <c r="BZ68" s="182">
        <f ca="1">IF($D68&lt;&gt;"Serviço",0,IF(OR(AND(AUTOEVENTO="Manual",$M68=1),$M68&gt;(ROW(PLE.lastrow)-ROW(PLE.firstrow))),0,IF(OFFSET(PLE!$G$14,$M68,BZ$13)="",10^12,OFFSET(PLE!$G$14,$M68,BZ$13))))</f>
        <v>1000000000000</v>
      </c>
      <c r="CA68" s="182">
        <f ca="1">IF($D68&lt;&gt;"Serviço",0,IF(OR(AND(AUTOEVENTO="Manual",$M68=1),$M68&gt;(ROW(PLE.lastrow)-ROW(PLE.firstrow))),0,IF(OFFSET(PLE!$G$14,$M68,CA$13)="",10^12,OFFSET(PLE!$G$14,$M68,CA$13))))</f>
        <v>1000000000000</v>
      </c>
      <c r="CB68" s="182">
        <f ca="1">IF($D68&lt;&gt;"Serviço",0,IF(OR(AND(AUTOEVENTO="Manual",$M68=1),$M68&gt;(ROW(PLE.lastrow)-ROW(PLE.firstrow))),0,IF(OFFSET(PLE!$G$14,$M68,CB$13)="",10^12,OFFSET(PLE!$G$14,$M68,CB$13))))</f>
        <v>1000000000000</v>
      </c>
      <c r="CC68" s="182">
        <f ca="1">IF($D68&lt;&gt;"Serviço",0,IF(OR(AND(AUTOEVENTO="Manual",$M68=1),$M68&gt;(ROW(PLE.lastrow)-ROW(PLE.firstrow))),0,IF(OFFSET(PLE!$G$14,$M68,CC$13)="",10^12,OFFSET(PLE!$G$14,$M68,CC$13))))</f>
        <v>1000000000000</v>
      </c>
      <c r="CD68" s="182">
        <f ca="1">IF($D68&lt;&gt;"Serviço",0,IF(OR(AND(AUTOEVENTO="Manual",$M68=1),$M68&gt;(ROW(PLE.lastrow)-ROW(PLE.firstrow))),0,IF(OFFSET(PLE!$G$14,$M68,CD$13)="",10^12,OFFSET(PLE!$G$14,$M68,CD$13))))</f>
        <v>1000000000000</v>
      </c>
      <c r="CE68" s="182">
        <f ca="1">IF($D68&lt;&gt;"Serviço",0,IF(OR(AND(AUTOEVENTO="Manual",$M68=1),$M68&gt;(ROW(PLE.lastrow)-ROW(PLE.firstrow))),0,IF(OFFSET(PLE!$G$14,$M68,CE$13)="",10^12,OFFSET(PLE!$G$14,$M68,CE$13))))</f>
        <v>1000000000000</v>
      </c>
      <c r="CF68" s="182">
        <f ca="1">IF($D68&lt;&gt;"Serviço",0,IF(OR(AND(AUTOEVENTO="Manual",$M68=1),$M68&gt;(ROW(PLE.lastrow)-ROW(PLE.firstrow))),0,IF(OFFSET(PLE!$G$14,$M68,CF$13)="",10^12,OFFSET(PLE!$G$14,$M68,CF$13))))</f>
        <v>1000000000000</v>
      </c>
      <c r="CG68" s="182">
        <f ca="1">IF($D68&lt;&gt;"Serviço",0,IF(OR(AND(AUTOEVENTO="Manual",$M68=1),$M68&gt;(ROW(PLE.lastrow)-ROW(PLE.firstrow))),0,IF(OFFSET(PLE!$G$14,$M68,CG$13)="",10^12,OFFSET(PLE!$G$14,$M68,CG$13))))</f>
        <v>1000000000000</v>
      </c>
      <c r="CH68" s="182">
        <f ca="1">IF($D68&lt;&gt;"Serviço",0,IF(OR(AND(AUTOEVENTO="Manual",$M68=1),$M68&gt;(ROW(PLE.lastrow)-ROW(PLE.firstrow))),0,IF(OFFSET(PLE!$G$14,$M68,CH$13)="",10^12,OFFSET(PLE!$G$14,$M68,CH$13))))</f>
        <v>1000000000000</v>
      </c>
      <c r="CI68" s="182">
        <f ca="1">IF($D68&lt;&gt;"Serviço",0,IF(OR(AND(AUTOEVENTO="Manual",$M68=1),$M68&gt;(ROW(PLE.lastrow)-ROW(PLE.firstrow))),0,IF(OFFSET(PLE!$G$14,$M68,CI$13)="",10^12,OFFSET(PLE!$G$14,$M68,CI$13))))</f>
        <v>1000000000000</v>
      </c>
      <c r="CJ68" s="182">
        <f ca="1">IF($D68&lt;&gt;"Serviço",0,IF(OR(AND(AUTOEVENTO="Manual",$M68=1),$M68&gt;(ROW(PLE.lastrow)-ROW(PLE.firstrow))),0,IF(OFFSET(PLE!$G$14,$M68,CJ$13)="",10^12,OFFSET(PLE!$G$14,$M68,CJ$13))))</f>
        <v>1000000000000</v>
      </c>
      <c r="CK68" s="182">
        <f ca="1">IF($D68&lt;&gt;"Serviço",0,IF(OR(AND(AUTOEVENTO="Manual",$M68=1),$M68&gt;(ROW(PLE.lastrow)-ROW(PLE.firstrow))),0,IF(OFFSET(PLE!$G$14,$M68,CK$13)="",10^12,OFFSET(PLE!$G$14,$M68,CK$13))))</f>
        <v>1000000000000</v>
      </c>
      <c r="CL68" s="182">
        <f ca="1">IF($D68&lt;&gt;"Serviço",0,IF(OR(AND(AUTOEVENTO="Manual",$M68=1),$M68&gt;(ROW(PLE.lastrow)-ROW(PLE.firstrow))),0,IF(OFFSET(PLE!$G$14,$M68,CL$13)="",10^12,OFFSET(PLE!$G$14,$M68,CL$13))))</f>
        <v>1000000000000</v>
      </c>
      <c r="CM68" s="182">
        <f ca="1">IF($D68&lt;&gt;"Serviço",0,IF(OR(AND(AUTOEVENTO="Manual",$M68=1),$M68&gt;(ROW(PLE.lastrow)-ROW(PLE.firstrow))),0,IF(OFFSET(PLE!$G$14,$M68,CM$13)="",10^12,OFFSET(PLE!$G$14,$M68,CM$13))))</f>
        <v>1000000000000</v>
      </c>
    </row>
    <row r="69" spans="1:91" ht="38.25" x14ac:dyDescent="0.2">
      <c r="A69" s="7" t="str">
        <f t="shared" ca="1" si="9"/>
        <v>48</v>
      </c>
      <c r="B69" s="7" t="str">
        <f ca="1">OFFSET(ORÇAMENTO!C$15,ROW(B69)-ROW(B$15),0)</f>
        <v>S</v>
      </c>
      <c r="C69" s="7" t="str">
        <f ca="1">OFFSET(ORÇAMENTO!L$15,ROW(C69)-ROW(C$15),0)</f>
        <v/>
      </c>
      <c r="D69" s="118" t="str">
        <f ca="1">OFFSET(ORÇAMENTO!N$15,ROW(D69)-ROW(D$15),0)</f>
        <v>Serviço</v>
      </c>
      <c r="E69" s="119" t="str">
        <f ca="1">OFFSET(ORÇAMENTO!O$15,ROW(E69)-ROW(E$15),0)</f>
        <v>-</v>
      </c>
      <c r="F69" s="172" t="str">
        <f ca="1">OFFSET(ORÇAMENTO!R$15,ROW(F69)-ROW(F$15),0)</f>
        <v>(abra o arquivo 'Referência 06-2024.xlsm)</v>
      </c>
      <c r="G69" s="173" t="str">
        <f ca="1">IF($D69&lt;&gt;"Serviço","",OFFSET(ORÇAMENTO!S$15,ROW(G69)-ROW(G$15),0))</f>
        <v>-</v>
      </c>
      <c r="H69" s="124">
        <f ca="1">IF($D69&lt;&gt;"Serviço",0,IF(ACOMPANHAMENTO="BM",ROUND(OFFSET(ORÇAMENTO!AJ$15,ROW(H69)-ROW(H$15),0),15-13*ORÇAMENTO!$AF$7),SUMPRODUCT(($Q$12:$AI$12&lt;&gt;"")*ROUND($Q69:$AI69,15-13*ORÇAMENTO!$AF$7))))</f>
        <v>876.4</v>
      </c>
      <c r="I69" s="561" t="s">
        <v>1107</v>
      </c>
      <c r="K69" s="174" t="s">
        <v>1028</v>
      </c>
      <c r="L69" s="175" t="s">
        <v>255</v>
      </c>
      <c r="M69" s="176">
        <f ca="1">IF($D69&lt;&gt;"Serviço","",IF(AUTOEVENTO="manual",$A69,IF(ISERROR(MATCH($A69,$A$15:OFFSET($A69,-1,0),0)),MAX($M$15:OFFSET(M69,-1,0))+1,INDEX($M$15:OFFSET(M69,-1,0),MATCH($A69,$A$15:OFFSET($A69,-1,0),0)))))</f>
        <v>10</v>
      </c>
      <c r="N69" s="177" t="str">
        <f ca="1">IF($D69&lt;&gt;"Serviço","",IF(AUTOEVENTO="Manual",IF($A69=0,"&lt;-- defina o número do agrupador",OFFSET(EVENTOS!$D$14,$A69,0)),OFFSET($F$15,$A69,0)))</f>
        <v>SUPERESTRUTURA - CONCRETO ARMADO PARA VIGAS INCLUINDO BALDRAME</v>
      </c>
      <c r="O69" s="178"/>
      <c r="Q69" s="178">
        <v>876.4</v>
      </c>
      <c r="R69" s="179"/>
      <c r="S69" s="179"/>
      <c r="T69" s="179"/>
      <c r="U69" s="179"/>
      <c r="V69" s="179"/>
      <c r="W69" s="179"/>
      <c r="X69" s="179"/>
      <c r="Y69" s="179"/>
      <c r="Z69" s="180"/>
      <c r="AA69" s="179"/>
      <c r="AB69" s="179"/>
      <c r="AC69" s="179"/>
      <c r="AD69" s="179"/>
      <c r="AE69" s="179"/>
      <c r="AF69" s="179"/>
      <c r="AG69" s="179"/>
      <c r="AH69" s="180"/>
      <c r="AJ69" s="544">
        <f ca="1">IF(AND($D69="Serviço",AJ$12&lt;&gt;0,$H69&gt;0,OR(AUTOEVENTO&lt;&gt;"manual",$M69&lt;&gt;1)),
IF(Import.TipoArredondamento&lt;&gt;"TransfereGOV",
ROUND(OFFSET($P69,0,AJ$13),15-13*ORÇAMENTO!$AF$7)/$H69*OFFSET(ORÇAMENTO!$X$15,ROW(AJ69)-ROW(AJ$15),0),
ROUND(ROUND(OFFSET($P69,0,AJ$13),15-13*ORÇAMENTO!$AF$7)*OFFSET(ORÇAMENTO!$W$15,ROW(AJ69)-ROW(AJ$15),0),15-13*ORÇAMENTO!$AF$11)),0)</f>
        <v>0</v>
      </c>
      <c r="AK69" s="545">
        <f ca="1">IF(AND($D69="Serviço",AK$12&lt;&gt;0,$H69&gt;0,OR(AUTOEVENTO&lt;&gt;"manual",$M69&lt;&gt;1)),
IF(Import.TipoArredondamento&lt;&gt;"TransfereGOV",
ROUND(OFFSET($P69,0,AK$13),15-13*ORÇAMENTO!$AF$7)/$H69*OFFSET(ORÇAMENTO!$X$15,ROW(AK69)-ROW(AK$15),0),
ROUND(ROUND(OFFSET($P69,0,AK$13),15-13*ORÇAMENTO!$AF$7)*OFFSET(ORÇAMENTO!$W$15,ROW(AK69)-ROW(AK$15),0),15-13*ORÇAMENTO!$AF$11)),0)</f>
        <v>0</v>
      </c>
      <c r="AL69" s="545">
        <f ca="1">IF(AND($D69="Serviço",AL$12&lt;&gt;0,$H69&gt;0,OR(AUTOEVENTO&lt;&gt;"manual",$M69&lt;&gt;1)),
IF(Import.TipoArredondamento&lt;&gt;"TransfereGOV",
ROUND(OFFSET($P69,0,AL$13),15-13*ORÇAMENTO!$AF$7)/$H69*OFFSET(ORÇAMENTO!$X$15,ROW(AL69)-ROW(AL$15),0),
ROUND(ROUND(OFFSET($P69,0,AL$13),15-13*ORÇAMENTO!$AF$7)*OFFSET(ORÇAMENTO!$W$15,ROW(AL69)-ROW(AL$15),0),15-13*ORÇAMENTO!$AF$11)),0)</f>
        <v>0</v>
      </c>
      <c r="AM69" s="545">
        <f ca="1">IF(AND($D69="Serviço",AM$12&lt;&gt;0,$H69&gt;0,OR(AUTOEVENTO&lt;&gt;"manual",$M69&lt;&gt;1)),
IF(Import.TipoArredondamento&lt;&gt;"TransfereGOV",
ROUND(OFFSET($P69,0,AM$13),15-13*ORÇAMENTO!$AF$7)/$H69*OFFSET(ORÇAMENTO!$X$15,ROW(AM69)-ROW(AM$15),0),
ROUND(ROUND(OFFSET($P69,0,AM$13),15-13*ORÇAMENTO!$AF$7)*OFFSET(ORÇAMENTO!$W$15,ROW(AM69)-ROW(AM$15),0),15-13*ORÇAMENTO!$AF$11)),0)</f>
        <v>0</v>
      </c>
      <c r="AN69" s="545">
        <f ca="1">IF(AND($D69="Serviço",AN$12&lt;&gt;0,$H69&gt;0,OR(AUTOEVENTO&lt;&gt;"manual",$M69&lt;&gt;1)),
IF(Import.TipoArredondamento&lt;&gt;"TransfereGOV",
ROUND(OFFSET($P69,0,AN$13),15-13*ORÇAMENTO!$AF$7)/$H69*OFFSET(ORÇAMENTO!$X$15,ROW(AN69)-ROW(AN$15),0),
ROUND(ROUND(OFFSET($P69,0,AN$13),15-13*ORÇAMENTO!$AF$7)*OFFSET(ORÇAMENTO!$W$15,ROW(AN69)-ROW(AN$15),0),15-13*ORÇAMENTO!$AF$11)),0)</f>
        <v>0</v>
      </c>
      <c r="AO69" s="545">
        <f ca="1">IF(AND($D69="Serviço",AO$12&lt;&gt;0,$H69&gt;0,OR(AUTOEVENTO&lt;&gt;"manual",$M69&lt;&gt;1)),
IF(Import.TipoArredondamento&lt;&gt;"TransfereGOV",
ROUND(OFFSET($P69,0,AO$13),15-13*ORÇAMENTO!$AF$7)/$H69*OFFSET(ORÇAMENTO!$X$15,ROW(AO69)-ROW(AO$15),0),
ROUND(ROUND(OFFSET($P69,0,AO$13),15-13*ORÇAMENTO!$AF$7)*OFFSET(ORÇAMENTO!$W$15,ROW(AO69)-ROW(AO$15),0),15-13*ORÇAMENTO!$AF$11)),0)</f>
        <v>0</v>
      </c>
      <c r="AP69" s="545">
        <f ca="1">IF(AND($D69="Serviço",AP$12&lt;&gt;0,$H69&gt;0,OR(AUTOEVENTO&lt;&gt;"manual",$M69&lt;&gt;1)),
IF(Import.TipoArredondamento&lt;&gt;"TransfereGOV",
ROUND(OFFSET($P69,0,AP$13),15-13*ORÇAMENTO!$AF$7)/$H69*OFFSET(ORÇAMENTO!$X$15,ROW(AP69)-ROW(AP$15),0),
ROUND(ROUND(OFFSET($P69,0,AP$13),15-13*ORÇAMENTO!$AF$7)*OFFSET(ORÇAMENTO!$W$15,ROW(AP69)-ROW(AP$15),0),15-13*ORÇAMENTO!$AF$11)),0)</f>
        <v>0</v>
      </c>
      <c r="AQ69" s="545">
        <f ca="1">IF(AND($D69="Serviço",AQ$12&lt;&gt;0,$H69&gt;0,OR(AUTOEVENTO&lt;&gt;"manual",$M69&lt;&gt;1)),
IF(Import.TipoArredondamento&lt;&gt;"TransfereGOV",
ROUND(OFFSET($P69,0,AQ$13),15-13*ORÇAMENTO!$AF$7)/$H69*OFFSET(ORÇAMENTO!$X$15,ROW(AQ69)-ROW(AQ$15),0),
ROUND(ROUND(OFFSET($P69,0,AQ$13),15-13*ORÇAMENTO!$AF$7)*OFFSET(ORÇAMENTO!$W$15,ROW(AQ69)-ROW(AQ$15),0),15-13*ORÇAMENTO!$AF$11)),0)</f>
        <v>0</v>
      </c>
      <c r="AR69" s="545">
        <f ca="1">IF(AND($D69="Serviço",AR$12&lt;&gt;0,$H69&gt;0,OR(AUTOEVENTO&lt;&gt;"manual",$M69&lt;&gt;1)),
IF(Import.TipoArredondamento&lt;&gt;"TransfereGOV",
ROUND(OFFSET($P69,0,AR$13),15-13*ORÇAMENTO!$AF$7)/$H69*OFFSET(ORÇAMENTO!$X$15,ROW(AR69)-ROW(AR$15),0),
ROUND(ROUND(OFFSET($P69,0,AR$13),15-13*ORÇAMENTO!$AF$7)*OFFSET(ORÇAMENTO!$W$15,ROW(AR69)-ROW(AR$15),0),15-13*ORÇAMENTO!$AF$11)),0)</f>
        <v>0</v>
      </c>
      <c r="AS69" s="546">
        <f ca="1">IF(AND($D69="Serviço",AS$12&lt;&gt;0,$H69&gt;0,OR(AUTOEVENTO&lt;&gt;"manual",$M69&lt;&gt;1)),
IF(Import.TipoArredondamento&lt;&gt;"TransfereGOV",
ROUND(OFFSET($P69,0,AS$13),15-13*ORÇAMENTO!$AF$7)/$H69*OFFSET(ORÇAMENTO!$X$15,ROW(AS69)-ROW(AS$15),0),
ROUND(ROUND(OFFSET($P69,0,AS$13),15-13*ORÇAMENTO!$AF$7)*OFFSET(ORÇAMENTO!$W$15,ROW(AS69)-ROW(AS$15),0),15-13*ORÇAMENTO!$AF$11)),0)</f>
        <v>0</v>
      </c>
      <c r="AT69" s="545">
        <f ca="1">IF(AND($D69="Serviço",AT$12&lt;&gt;0,$H69&gt;0,OR(AUTOEVENTO&lt;&gt;"manual",$M69&lt;&gt;1)),
IF(Import.TipoArredondamento&lt;&gt;"TransfereGOV",
ROUND(OFFSET($P69,0,AT$13),15-13*ORÇAMENTO!$AF$7)/$H69*OFFSET(ORÇAMENTO!$X$15,ROW(AT69)-ROW(AT$15),0),
ROUND(ROUND(OFFSET($P69,0,AT$13),15-13*ORÇAMENTO!$AF$7)*OFFSET(ORÇAMENTO!$W$15,ROW(AT69)-ROW(AT$15),0),15-13*ORÇAMENTO!$AF$11)),0)</f>
        <v>0</v>
      </c>
      <c r="AU69" s="545">
        <f ca="1">IF(AND($D69="Serviço",AU$12&lt;&gt;0,$H69&gt;0,OR(AUTOEVENTO&lt;&gt;"manual",$M69&lt;&gt;1)),
IF(Import.TipoArredondamento&lt;&gt;"TransfereGOV",
ROUND(OFFSET($P69,0,AU$13),15-13*ORÇAMENTO!$AF$7)/$H69*OFFSET(ORÇAMENTO!$X$15,ROW(AU69)-ROW(AU$15),0),
ROUND(ROUND(OFFSET($P69,0,AU$13),15-13*ORÇAMENTO!$AF$7)*OFFSET(ORÇAMENTO!$W$15,ROW(AU69)-ROW(AU$15),0),15-13*ORÇAMENTO!$AF$11)),0)</f>
        <v>0</v>
      </c>
      <c r="AV69" s="545">
        <f ca="1">IF(AND($D69="Serviço",AV$12&lt;&gt;0,$H69&gt;0,OR(AUTOEVENTO&lt;&gt;"manual",$M69&lt;&gt;1)),
IF(Import.TipoArredondamento&lt;&gt;"TransfereGOV",
ROUND(OFFSET($P69,0,AV$13),15-13*ORÇAMENTO!$AF$7)/$H69*OFFSET(ORÇAMENTO!$X$15,ROW(AV69)-ROW(AV$15),0),
ROUND(ROUND(OFFSET($P69,0,AV$13),15-13*ORÇAMENTO!$AF$7)*OFFSET(ORÇAMENTO!$W$15,ROW(AV69)-ROW(AV$15),0),15-13*ORÇAMENTO!$AF$11)),0)</f>
        <v>0</v>
      </c>
      <c r="AW69" s="545">
        <f ca="1">IF(AND($D69="Serviço",AW$12&lt;&gt;0,$H69&gt;0,OR(AUTOEVENTO&lt;&gt;"manual",$M69&lt;&gt;1)),
IF(Import.TipoArredondamento&lt;&gt;"TransfereGOV",
ROUND(OFFSET($P69,0,AW$13),15-13*ORÇAMENTO!$AF$7)/$H69*OFFSET(ORÇAMENTO!$X$15,ROW(AW69)-ROW(AW$15),0),
ROUND(ROUND(OFFSET($P69,0,AW$13),15-13*ORÇAMENTO!$AF$7)*OFFSET(ORÇAMENTO!$W$15,ROW(AW69)-ROW(AW$15),0),15-13*ORÇAMENTO!$AF$11)),0)</f>
        <v>0</v>
      </c>
      <c r="AX69" s="545">
        <f ca="1">IF(AND($D69="Serviço",AX$12&lt;&gt;0,$H69&gt;0,OR(AUTOEVENTO&lt;&gt;"manual",$M69&lt;&gt;1)),
IF(Import.TipoArredondamento&lt;&gt;"TransfereGOV",
ROUND(OFFSET($P69,0,AX$13),15-13*ORÇAMENTO!$AF$7)/$H69*OFFSET(ORÇAMENTO!$X$15,ROW(AX69)-ROW(AX$15),0),
ROUND(ROUND(OFFSET($P69,0,AX$13),15-13*ORÇAMENTO!$AF$7)*OFFSET(ORÇAMENTO!$W$15,ROW(AX69)-ROW(AX$15),0),15-13*ORÇAMENTO!$AF$11)),0)</f>
        <v>0</v>
      </c>
      <c r="AY69" s="545">
        <f ca="1">IF(AND($D69="Serviço",AY$12&lt;&gt;0,$H69&gt;0,OR(AUTOEVENTO&lt;&gt;"manual",$M69&lt;&gt;1)),
IF(Import.TipoArredondamento&lt;&gt;"TransfereGOV",
ROUND(OFFSET($P69,0,AY$13),15-13*ORÇAMENTO!$AF$7)/$H69*OFFSET(ORÇAMENTO!$X$15,ROW(AY69)-ROW(AY$15),0),
ROUND(ROUND(OFFSET($P69,0,AY$13),15-13*ORÇAMENTO!$AF$7)*OFFSET(ORÇAMENTO!$W$15,ROW(AY69)-ROW(AY$15),0),15-13*ORÇAMENTO!$AF$11)),0)</f>
        <v>0</v>
      </c>
      <c r="AZ69" s="545">
        <f ca="1">IF(AND($D69="Serviço",AZ$12&lt;&gt;0,$H69&gt;0,OR(AUTOEVENTO&lt;&gt;"manual",$M69&lt;&gt;1)),
IF(Import.TipoArredondamento&lt;&gt;"TransfereGOV",
ROUND(OFFSET($P69,0,AZ$13),15-13*ORÇAMENTO!$AF$7)/$H69*OFFSET(ORÇAMENTO!$X$15,ROW(AZ69)-ROW(AZ$15),0),
ROUND(ROUND(OFFSET($P69,0,AZ$13),15-13*ORÇAMENTO!$AF$7)*OFFSET(ORÇAMENTO!$W$15,ROW(AZ69)-ROW(AZ$15),0),15-13*ORÇAMENTO!$AF$11)),0)</f>
        <v>0</v>
      </c>
      <c r="BA69" s="546">
        <f ca="1">IF(AND($D69="Serviço",BA$12&lt;&gt;0,$H69&gt;0,OR(AUTOEVENTO&lt;&gt;"manual",$M69&lt;&gt;1)),
IF(Import.TipoArredondamento&lt;&gt;"TransfereGOV",
ROUND(OFFSET($P69,0,BA$13),15-13*ORÇAMENTO!$AF$7)/$H69*OFFSET(ORÇAMENTO!$X$15,ROW(BA69)-ROW(BA$15),0),
ROUND(ROUND(OFFSET($P69,0,BA$13),15-13*ORÇAMENTO!$AF$7)*OFFSET(ORÇAMENTO!$W$15,ROW(BA69)-ROW(BA$15),0),15-13*ORÇAMENTO!$AF$11)),0)</f>
        <v>0</v>
      </c>
      <c r="BC69" s="181">
        <f ca="1">IF($D69&lt;&gt;"Serviço",0,IF(AND(AUTOEVENTO="Manual",$M69=1),0,IF(OFFSET(CRONOPLE!$F$14,$M69,BC$13)="",10^12,OFFSET(CRONOPLE!$F$14,$M69,BC$13))))</f>
        <v>3</v>
      </c>
      <c r="BD69" s="181">
        <f ca="1">IF($D69&lt;&gt;"Serviço",0,IF(AND(AUTOEVENTO="Manual",$M69=1),0,IF(OFFSET(CRONOPLE!$F$14,$M69,BD$13)="",10^12,OFFSET(CRONOPLE!$F$14,$M69,BD$13))))</f>
        <v>1000000000000</v>
      </c>
      <c r="BE69" s="181">
        <f ca="1">IF($D69&lt;&gt;"Serviço",0,IF(AND(AUTOEVENTO="Manual",$M69=1),0,IF(OFFSET(CRONOPLE!$F$14,$M69,BE$13)="",10^12,OFFSET(CRONOPLE!$F$14,$M69,BE$13))))</f>
        <v>1000000000000</v>
      </c>
      <c r="BF69" s="181">
        <f ca="1">IF($D69&lt;&gt;"Serviço",0,IF(AND(AUTOEVENTO="Manual",$M69=1),0,IF(OFFSET(CRONOPLE!$F$14,$M69,BF$13)="",10^12,OFFSET(CRONOPLE!$F$14,$M69,BF$13))))</f>
        <v>1000000000000</v>
      </c>
      <c r="BG69" s="181">
        <f ca="1">IF($D69&lt;&gt;"Serviço",0,IF(AND(AUTOEVENTO="Manual",$M69=1),0,IF(OFFSET(CRONOPLE!$F$14,$M69,BG$13)="",10^12,OFFSET(CRONOPLE!$F$14,$M69,BG$13))))</f>
        <v>1000000000000</v>
      </c>
      <c r="BH69" s="181">
        <f ca="1">IF($D69&lt;&gt;"Serviço",0,IF(AND(AUTOEVENTO="Manual",$M69=1),0,IF(OFFSET(CRONOPLE!$F$14,$M69,BH$13)="",10^12,OFFSET(CRONOPLE!$F$14,$M69,BH$13))))</f>
        <v>1000000000000</v>
      </c>
      <c r="BI69" s="181">
        <f ca="1">IF($D69&lt;&gt;"Serviço",0,IF(AND(AUTOEVENTO="Manual",$M69=1),0,IF(OFFSET(CRONOPLE!$F$14,$M69,BI$13)="",10^12,OFFSET(CRONOPLE!$F$14,$M69,BI$13))))</f>
        <v>1000000000000</v>
      </c>
      <c r="BJ69" s="181">
        <f ca="1">IF($D69&lt;&gt;"Serviço",0,IF(AND(AUTOEVENTO="Manual",$M69=1),0,IF(OFFSET(CRONOPLE!$F$14,$M69,BJ$13)="",10^12,OFFSET(CRONOPLE!$F$14,$M69,BJ$13))))</f>
        <v>1000000000000</v>
      </c>
      <c r="BK69" s="181">
        <f ca="1">IF($D69&lt;&gt;"Serviço",0,IF(AND(AUTOEVENTO="Manual",$M69=1),0,IF(OFFSET(CRONOPLE!$F$14,$M69,BK$13)="",10^12,OFFSET(CRONOPLE!$F$14,$M69,BK$13))))</f>
        <v>1000000000000</v>
      </c>
      <c r="BL69" s="181">
        <f ca="1">IF($D69&lt;&gt;"Serviço",0,IF(AND(AUTOEVENTO="Manual",$M69=1),0,IF(OFFSET(CRONOPLE!$F$14,$M69,BL$13)="",10^12,OFFSET(CRONOPLE!$F$14,$M69,BL$13))))</f>
        <v>1000000000000</v>
      </c>
      <c r="BM69" s="181">
        <f ca="1">IF($D69&lt;&gt;"Serviço",0,IF(AND(AUTOEVENTO="Manual",$M69=1),0,IF(OFFSET(CRONOPLE!$F$14,$M69,BM$13)="",10^12,OFFSET(CRONOPLE!$F$14,$M69,BM$13))))</f>
        <v>1000000000000</v>
      </c>
      <c r="BN69" s="181">
        <f ca="1">IF($D69&lt;&gt;"Serviço",0,IF(AND(AUTOEVENTO="Manual",$M69=1),0,IF(OFFSET(CRONOPLE!$F$14,$M69,BN$13)="",10^12,OFFSET(CRONOPLE!$F$14,$M69,BN$13))))</f>
        <v>1000000000000</v>
      </c>
      <c r="BO69" s="181">
        <f ca="1">IF($D69&lt;&gt;"Serviço",0,IF(AND(AUTOEVENTO="Manual",$M69=1),0,IF(OFFSET(CRONOPLE!$F$14,$M69,BO$13)="",10^12,OFFSET(CRONOPLE!$F$14,$M69,BO$13))))</f>
        <v>1000000000000</v>
      </c>
      <c r="BP69" s="181">
        <f ca="1">IF($D69&lt;&gt;"Serviço",0,IF(AND(AUTOEVENTO="Manual",$M69=1),0,IF(OFFSET(CRONOPLE!$F$14,$M69,BP$13)="",10^12,OFFSET(CRONOPLE!$F$14,$M69,BP$13))))</f>
        <v>1000000000000</v>
      </c>
      <c r="BQ69" s="181">
        <f ca="1">IF($D69&lt;&gt;"Serviço",0,IF(AND(AUTOEVENTO="Manual",$M69=1),0,IF(OFFSET(CRONOPLE!$F$14,$M69,BQ$13)="",10^12,OFFSET(CRONOPLE!$F$14,$M69,BQ$13))))</f>
        <v>1000000000000</v>
      </c>
      <c r="BR69" s="181">
        <f ca="1">IF($D69&lt;&gt;"Serviço",0,IF(AND(AUTOEVENTO="Manual",$M69=1),0,IF(OFFSET(CRONOPLE!$F$14,$M69,BR$13)="",10^12,OFFSET(CRONOPLE!$F$14,$M69,BR$13))))</f>
        <v>1000000000000</v>
      </c>
      <c r="BS69" s="181">
        <f ca="1">IF($D69&lt;&gt;"Serviço",0,IF(AND(AUTOEVENTO="Manual",$M69=1),0,IF(OFFSET(CRONOPLE!$F$14,$M69,BS$13)="",10^12,OFFSET(CRONOPLE!$F$14,$M69,BS$13))))</f>
        <v>1000000000000</v>
      </c>
      <c r="BT69" s="181">
        <f ca="1">IF($D69&lt;&gt;"Serviço",0,IF(AND(AUTOEVENTO="Manual",$M69=1),0,IF(OFFSET(CRONOPLE!$F$14,$M69,BT$13)="",10^12,OFFSET(CRONOPLE!$F$14,$M69,BT$13))))</f>
        <v>1000000000000</v>
      </c>
      <c r="BV69" s="182">
        <f ca="1">IF($D69&lt;&gt;"Serviço",0,IF(OR(AND(AUTOEVENTO="Manual",$M69=1),$M69&gt;(ROW(PLE.lastrow)-ROW(PLE.firstrow))),0,IF(OFFSET(PLE!$G$14,$M69,BV$13)="",10^12,OFFSET(PLE!$G$14,$M69,BV$13))))</f>
        <v>1000000000000</v>
      </c>
      <c r="BW69" s="182">
        <f ca="1">IF($D69&lt;&gt;"Serviço",0,IF(OR(AND(AUTOEVENTO="Manual",$M69=1),$M69&gt;(ROW(PLE.lastrow)-ROW(PLE.firstrow))),0,IF(OFFSET(PLE!$G$14,$M69,BW$13)="",10^12,OFFSET(PLE!$G$14,$M69,BW$13))))</f>
        <v>1000000000000</v>
      </c>
      <c r="BX69" s="182">
        <f ca="1">IF($D69&lt;&gt;"Serviço",0,IF(OR(AND(AUTOEVENTO="Manual",$M69=1),$M69&gt;(ROW(PLE.lastrow)-ROW(PLE.firstrow))),0,IF(OFFSET(PLE!$G$14,$M69,BX$13)="",10^12,OFFSET(PLE!$G$14,$M69,BX$13))))</f>
        <v>1000000000000</v>
      </c>
      <c r="BY69" s="182">
        <f ca="1">IF($D69&lt;&gt;"Serviço",0,IF(OR(AND(AUTOEVENTO="Manual",$M69=1),$M69&gt;(ROW(PLE.lastrow)-ROW(PLE.firstrow))),0,IF(OFFSET(PLE!$G$14,$M69,BY$13)="",10^12,OFFSET(PLE!$G$14,$M69,BY$13))))</f>
        <v>1000000000000</v>
      </c>
      <c r="BZ69" s="182">
        <f ca="1">IF($D69&lt;&gt;"Serviço",0,IF(OR(AND(AUTOEVENTO="Manual",$M69=1),$M69&gt;(ROW(PLE.lastrow)-ROW(PLE.firstrow))),0,IF(OFFSET(PLE!$G$14,$M69,BZ$13)="",10^12,OFFSET(PLE!$G$14,$M69,BZ$13))))</f>
        <v>1000000000000</v>
      </c>
      <c r="CA69" s="182">
        <f ca="1">IF($D69&lt;&gt;"Serviço",0,IF(OR(AND(AUTOEVENTO="Manual",$M69=1),$M69&gt;(ROW(PLE.lastrow)-ROW(PLE.firstrow))),0,IF(OFFSET(PLE!$G$14,$M69,CA$13)="",10^12,OFFSET(PLE!$G$14,$M69,CA$13))))</f>
        <v>1000000000000</v>
      </c>
      <c r="CB69" s="182">
        <f ca="1">IF($D69&lt;&gt;"Serviço",0,IF(OR(AND(AUTOEVENTO="Manual",$M69=1),$M69&gt;(ROW(PLE.lastrow)-ROW(PLE.firstrow))),0,IF(OFFSET(PLE!$G$14,$M69,CB$13)="",10^12,OFFSET(PLE!$G$14,$M69,CB$13))))</f>
        <v>1000000000000</v>
      </c>
      <c r="CC69" s="182">
        <f ca="1">IF($D69&lt;&gt;"Serviço",0,IF(OR(AND(AUTOEVENTO="Manual",$M69=1),$M69&gt;(ROW(PLE.lastrow)-ROW(PLE.firstrow))),0,IF(OFFSET(PLE!$G$14,$M69,CC$13)="",10^12,OFFSET(PLE!$G$14,$M69,CC$13))))</f>
        <v>1000000000000</v>
      </c>
      <c r="CD69" s="182">
        <f ca="1">IF($D69&lt;&gt;"Serviço",0,IF(OR(AND(AUTOEVENTO="Manual",$M69=1),$M69&gt;(ROW(PLE.lastrow)-ROW(PLE.firstrow))),0,IF(OFFSET(PLE!$G$14,$M69,CD$13)="",10^12,OFFSET(PLE!$G$14,$M69,CD$13))))</f>
        <v>1000000000000</v>
      </c>
      <c r="CE69" s="182">
        <f ca="1">IF($D69&lt;&gt;"Serviço",0,IF(OR(AND(AUTOEVENTO="Manual",$M69=1),$M69&gt;(ROW(PLE.lastrow)-ROW(PLE.firstrow))),0,IF(OFFSET(PLE!$G$14,$M69,CE$13)="",10^12,OFFSET(PLE!$G$14,$M69,CE$13))))</f>
        <v>1000000000000</v>
      </c>
      <c r="CF69" s="182">
        <f ca="1">IF($D69&lt;&gt;"Serviço",0,IF(OR(AND(AUTOEVENTO="Manual",$M69=1),$M69&gt;(ROW(PLE.lastrow)-ROW(PLE.firstrow))),0,IF(OFFSET(PLE!$G$14,$M69,CF$13)="",10^12,OFFSET(PLE!$G$14,$M69,CF$13))))</f>
        <v>1000000000000</v>
      </c>
      <c r="CG69" s="182">
        <f ca="1">IF($D69&lt;&gt;"Serviço",0,IF(OR(AND(AUTOEVENTO="Manual",$M69=1),$M69&gt;(ROW(PLE.lastrow)-ROW(PLE.firstrow))),0,IF(OFFSET(PLE!$G$14,$M69,CG$13)="",10^12,OFFSET(PLE!$G$14,$M69,CG$13))))</f>
        <v>1000000000000</v>
      </c>
      <c r="CH69" s="182">
        <f ca="1">IF($D69&lt;&gt;"Serviço",0,IF(OR(AND(AUTOEVENTO="Manual",$M69=1),$M69&gt;(ROW(PLE.lastrow)-ROW(PLE.firstrow))),0,IF(OFFSET(PLE!$G$14,$M69,CH$13)="",10^12,OFFSET(PLE!$G$14,$M69,CH$13))))</f>
        <v>1000000000000</v>
      </c>
      <c r="CI69" s="182">
        <f ca="1">IF($D69&lt;&gt;"Serviço",0,IF(OR(AND(AUTOEVENTO="Manual",$M69=1),$M69&gt;(ROW(PLE.lastrow)-ROW(PLE.firstrow))),0,IF(OFFSET(PLE!$G$14,$M69,CI$13)="",10^12,OFFSET(PLE!$G$14,$M69,CI$13))))</f>
        <v>1000000000000</v>
      </c>
      <c r="CJ69" s="182">
        <f ca="1">IF($D69&lt;&gt;"Serviço",0,IF(OR(AND(AUTOEVENTO="Manual",$M69=1),$M69&gt;(ROW(PLE.lastrow)-ROW(PLE.firstrow))),0,IF(OFFSET(PLE!$G$14,$M69,CJ$13)="",10^12,OFFSET(PLE!$G$14,$M69,CJ$13))))</f>
        <v>1000000000000</v>
      </c>
      <c r="CK69" s="182">
        <f ca="1">IF($D69&lt;&gt;"Serviço",0,IF(OR(AND(AUTOEVENTO="Manual",$M69=1),$M69&gt;(ROW(PLE.lastrow)-ROW(PLE.firstrow))),0,IF(OFFSET(PLE!$G$14,$M69,CK$13)="",10^12,OFFSET(PLE!$G$14,$M69,CK$13))))</f>
        <v>1000000000000</v>
      </c>
      <c r="CL69" s="182">
        <f ca="1">IF($D69&lt;&gt;"Serviço",0,IF(OR(AND(AUTOEVENTO="Manual",$M69=1),$M69&gt;(ROW(PLE.lastrow)-ROW(PLE.firstrow))),0,IF(OFFSET(PLE!$G$14,$M69,CL$13)="",10^12,OFFSET(PLE!$G$14,$M69,CL$13))))</f>
        <v>1000000000000</v>
      </c>
      <c r="CM69" s="182">
        <f ca="1">IF($D69&lt;&gt;"Serviço",0,IF(OR(AND(AUTOEVENTO="Manual",$M69=1),$M69&gt;(ROW(PLE.lastrow)-ROW(PLE.firstrow))),0,IF(OFFSET(PLE!$G$14,$M69,CM$13)="",10^12,OFFSET(PLE!$G$14,$M69,CM$13))))</f>
        <v>1000000000000</v>
      </c>
    </row>
    <row r="70" spans="1:91" ht="38.25" x14ac:dyDescent="0.2">
      <c r="A70" s="7" t="str">
        <f t="shared" ref="A70:A117" ca="1" si="10">IF(AUTOEVENTO="Manual",IF(K70&lt;&gt;"",MIN(VALUE(LEFT(K70,FIND(".",K70)-1)),COUNTA(EVENTOS.Lista)),0),IF(OR($B70&gt;AUTOEVENTO,$B70="S",$B70=0),SUBSTITUTE(OFFSET($A70,-1,0),IF($D70="Serviço",".",""),""),ROW(A70)-ROW($A$15)&amp;"."))</f>
        <v>48</v>
      </c>
      <c r="B70" s="7" t="str">
        <f ca="1">OFFSET(ORÇAMENTO!C$15,ROW(B70)-ROW(B$15),0)</f>
        <v>S</v>
      </c>
      <c r="C70" s="7" t="str">
        <f ca="1">OFFSET(ORÇAMENTO!L$15,ROW(C70)-ROW(C$15),0)</f>
        <v/>
      </c>
      <c r="D70" s="118" t="str">
        <f ca="1">OFFSET(ORÇAMENTO!N$15,ROW(D70)-ROW(D$15),0)</f>
        <v>Serviço</v>
      </c>
      <c r="E70" s="119" t="str">
        <f ca="1">OFFSET(ORÇAMENTO!O$15,ROW(E70)-ROW(E$15),0)</f>
        <v>-</v>
      </c>
      <c r="F70" s="172" t="str">
        <f ca="1">OFFSET(ORÇAMENTO!R$15,ROW(F70)-ROW(F$15),0)</f>
        <v>(abra o arquivo 'Referência 06-2024.xlsm)</v>
      </c>
      <c r="G70" s="173" t="str">
        <f ca="1">IF($D70&lt;&gt;"Serviço","",OFFSET(ORÇAMENTO!S$15,ROW(G70)-ROW(G$15),0))</f>
        <v>-</v>
      </c>
      <c r="H70" s="124">
        <f ca="1">IF($D70&lt;&gt;"Serviço",0,IF(ACOMPANHAMENTO="BM",ROUND(OFFSET(ORÇAMENTO!AJ$15,ROW(H70)-ROW(H$15),0),15-13*ORÇAMENTO!$AF$7),SUMPRODUCT(($Q$12:$AI$12&lt;&gt;"")*ROUND($Q70:$AI70,15-13*ORÇAMENTO!$AF$7))))</f>
        <v>385.1</v>
      </c>
      <c r="I70" s="561" t="s">
        <v>1107</v>
      </c>
      <c r="K70" s="174" t="s">
        <v>1028</v>
      </c>
      <c r="L70" s="175" t="s">
        <v>255</v>
      </c>
      <c r="M70" s="176">
        <f ca="1">IF($D70&lt;&gt;"Serviço","",IF(AUTOEVENTO="manual",$A70,IF(ISERROR(MATCH($A70,$A$15:OFFSET($A70,-1,0),0)),MAX($M$15:OFFSET(M70,-1,0))+1,INDEX($M$15:OFFSET(M70,-1,0),MATCH($A70,$A$15:OFFSET($A70,-1,0),0)))))</f>
        <v>10</v>
      </c>
      <c r="N70" s="177" t="str">
        <f ca="1">IF($D70&lt;&gt;"Serviço","",IF(AUTOEVENTO="Manual",IF($A70=0,"&lt;-- defina o número do agrupador",OFFSET(EVENTOS!$D$14,$A70,0)),OFFSET($F$15,$A70,0)))</f>
        <v>SUPERESTRUTURA - CONCRETO ARMADO PARA VIGAS INCLUINDO BALDRAME</v>
      </c>
      <c r="O70" s="178"/>
      <c r="Q70" s="178">
        <v>385.1</v>
      </c>
      <c r="R70" s="179"/>
      <c r="S70" s="179"/>
      <c r="T70" s="179"/>
      <c r="U70" s="179"/>
      <c r="V70" s="179"/>
      <c r="W70" s="179"/>
      <c r="X70" s="179"/>
      <c r="Y70" s="179"/>
      <c r="Z70" s="180"/>
      <c r="AA70" s="179"/>
      <c r="AB70" s="179"/>
      <c r="AC70" s="179"/>
      <c r="AD70" s="179"/>
      <c r="AE70" s="179"/>
      <c r="AF70" s="179"/>
      <c r="AG70" s="179"/>
      <c r="AH70" s="180"/>
      <c r="AJ70" s="544">
        <f ca="1">IF(AND($D70="Serviço",AJ$12&lt;&gt;0,$H70&gt;0,OR(AUTOEVENTO&lt;&gt;"manual",$M70&lt;&gt;1)),
IF(Import.TipoArredondamento&lt;&gt;"TransfereGOV",
ROUND(OFFSET($P70,0,AJ$13),15-13*ORÇAMENTO!$AF$7)/$H70*OFFSET(ORÇAMENTO!$X$15,ROW(AJ70)-ROW(AJ$15),0),
ROUND(ROUND(OFFSET($P70,0,AJ$13),15-13*ORÇAMENTO!$AF$7)*OFFSET(ORÇAMENTO!$W$15,ROW(AJ70)-ROW(AJ$15),0),15-13*ORÇAMENTO!$AF$11)),0)</f>
        <v>0</v>
      </c>
      <c r="AK70" s="545">
        <f ca="1">IF(AND($D70="Serviço",AK$12&lt;&gt;0,$H70&gt;0,OR(AUTOEVENTO&lt;&gt;"manual",$M70&lt;&gt;1)),
IF(Import.TipoArredondamento&lt;&gt;"TransfereGOV",
ROUND(OFFSET($P70,0,AK$13),15-13*ORÇAMENTO!$AF$7)/$H70*OFFSET(ORÇAMENTO!$X$15,ROW(AK70)-ROW(AK$15),0),
ROUND(ROUND(OFFSET($P70,0,AK$13),15-13*ORÇAMENTO!$AF$7)*OFFSET(ORÇAMENTO!$W$15,ROW(AK70)-ROW(AK$15),0),15-13*ORÇAMENTO!$AF$11)),0)</f>
        <v>0</v>
      </c>
      <c r="AL70" s="545">
        <f ca="1">IF(AND($D70="Serviço",AL$12&lt;&gt;0,$H70&gt;0,OR(AUTOEVENTO&lt;&gt;"manual",$M70&lt;&gt;1)),
IF(Import.TipoArredondamento&lt;&gt;"TransfereGOV",
ROUND(OFFSET($P70,0,AL$13),15-13*ORÇAMENTO!$AF$7)/$H70*OFFSET(ORÇAMENTO!$X$15,ROW(AL70)-ROW(AL$15),0),
ROUND(ROUND(OFFSET($P70,0,AL$13),15-13*ORÇAMENTO!$AF$7)*OFFSET(ORÇAMENTO!$W$15,ROW(AL70)-ROW(AL$15),0),15-13*ORÇAMENTO!$AF$11)),0)</f>
        <v>0</v>
      </c>
      <c r="AM70" s="545">
        <f ca="1">IF(AND($D70="Serviço",AM$12&lt;&gt;0,$H70&gt;0,OR(AUTOEVENTO&lt;&gt;"manual",$M70&lt;&gt;1)),
IF(Import.TipoArredondamento&lt;&gt;"TransfereGOV",
ROUND(OFFSET($P70,0,AM$13),15-13*ORÇAMENTO!$AF$7)/$H70*OFFSET(ORÇAMENTO!$X$15,ROW(AM70)-ROW(AM$15),0),
ROUND(ROUND(OFFSET($P70,0,AM$13),15-13*ORÇAMENTO!$AF$7)*OFFSET(ORÇAMENTO!$W$15,ROW(AM70)-ROW(AM$15),0),15-13*ORÇAMENTO!$AF$11)),0)</f>
        <v>0</v>
      </c>
      <c r="AN70" s="545">
        <f ca="1">IF(AND($D70="Serviço",AN$12&lt;&gt;0,$H70&gt;0,OR(AUTOEVENTO&lt;&gt;"manual",$M70&lt;&gt;1)),
IF(Import.TipoArredondamento&lt;&gt;"TransfereGOV",
ROUND(OFFSET($P70,0,AN$13),15-13*ORÇAMENTO!$AF$7)/$H70*OFFSET(ORÇAMENTO!$X$15,ROW(AN70)-ROW(AN$15),0),
ROUND(ROUND(OFFSET($P70,0,AN$13),15-13*ORÇAMENTO!$AF$7)*OFFSET(ORÇAMENTO!$W$15,ROW(AN70)-ROW(AN$15),0),15-13*ORÇAMENTO!$AF$11)),0)</f>
        <v>0</v>
      </c>
      <c r="AO70" s="545">
        <f ca="1">IF(AND($D70="Serviço",AO$12&lt;&gt;0,$H70&gt;0,OR(AUTOEVENTO&lt;&gt;"manual",$M70&lt;&gt;1)),
IF(Import.TipoArredondamento&lt;&gt;"TransfereGOV",
ROUND(OFFSET($P70,0,AO$13),15-13*ORÇAMENTO!$AF$7)/$H70*OFFSET(ORÇAMENTO!$X$15,ROW(AO70)-ROW(AO$15),0),
ROUND(ROUND(OFFSET($P70,0,AO$13),15-13*ORÇAMENTO!$AF$7)*OFFSET(ORÇAMENTO!$W$15,ROW(AO70)-ROW(AO$15),0),15-13*ORÇAMENTO!$AF$11)),0)</f>
        <v>0</v>
      </c>
      <c r="AP70" s="545">
        <f ca="1">IF(AND($D70="Serviço",AP$12&lt;&gt;0,$H70&gt;0,OR(AUTOEVENTO&lt;&gt;"manual",$M70&lt;&gt;1)),
IF(Import.TipoArredondamento&lt;&gt;"TransfereGOV",
ROUND(OFFSET($P70,0,AP$13),15-13*ORÇAMENTO!$AF$7)/$H70*OFFSET(ORÇAMENTO!$X$15,ROW(AP70)-ROW(AP$15),0),
ROUND(ROUND(OFFSET($P70,0,AP$13),15-13*ORÇAMENTO!$AF$7)*OFFSET(ORÇAMENTO!$W$15,ROW(AP70)-ROW(AP$15),0),15-13*ORÇAMENTO!$AF$11)),0)</f>
        <v>0</v>
      </c>
      <c r="AQ70" s="545">
        <f ca="1">IF(AND($D70="Serviço",AQ$12&lt;&gt;0,$H70&gt;0,OR(AUTOEVENTO&lt;&gt;"manual",$M70&lt;&gt;1)),
IF(Import.TipoArredondamento&lt;&gt;"TransfereGOV",
ROUND(OFFSET($P70,0,AQ$13),15-13*ORÇAMENTO!$AF$7)/$H70*OFFSET(ORÇAMENTO!$X$15,ROW(AQ70)-ROW(AQ$15),0),
ROUND(ROUND(OFFSET($P70,0,AQ$13),15-13*ORÇAMENTO!$AF$7)*OFFSET(ORÇAMENTO!$W$15,ROW(AQ70)-ROW(AQ$15),0),15-13*ORÇAMENTO!$AF$11)),0)</f>
        <v>0</v>
      </c>
      <c r="AR70" s="545">
        <f ca="1">IF(AND($D70="Serviço",AR$12&lt;&gt;0,$H70&gt;0,OR(AUTOEVENTO&lt;&gt;"manual",$M70&lt;&gt;1)),
IF(Import.TipoArredondamento&lt;&gt;"TransfereGOV",
ROUND(OFFSET($P70,0,AR$13),15-13*ORÇAMENTO!$AF$7)/$H70*OFFSET(ORÇAMENTO!$X$15,ROW(AR70)-ROW(AR$15),0),
ROUND(ROUND(OFFSET($P70,0,AR$13),15-13*ORÇAMENTO!$AF$7)*OFFSET(ORÇAMENTO!$W$15,ROW(AR70)-ROW(AR$15),0),15-13*ORÇAMENTO!$AF$11)),0)</f>
        <v>0</v>
      </c>
      <c r="AS70" s="546">
        <f ca="1">IF(AND($D70="Serviço",AS$12&lt;&gt;0,$H70&gt;0,OR(AUTOEVENTO&lt;&gt;"manual",$M70&lt;&gt;1)),
IF(Import.TipoArredondamento&lt;&gt;"TransfereGOV",
ROUND(OFFSET($P70,0,AS$13),15-13*ORÇAMENTO!$AF$7)/$H70*OFFSET(ORÇAMENTO!$X$15,ROW(AS70)-ROW(AS$15),0),
ROUND(ROUND(OFFSET($P70,0,AS$13),15-13*ORÇAMENTO!$AF$7)*OFFSET(ORÇAMENTO!$W$15,ROW(AS70)-ROW(AS$15),0),15-13*ORÇAMENTO!$AF$11)),0)</f>
        <v>0</v>
      </c>
      <c r="AT70" s="545">
        <f ca="1">IF(AND($D70="Serviço",AT$12&lt;&gt;0,$H70&gt;0,OR(AUTOEVENTO&lt;&gt;"manual",$M70&lt;&gt;1)),
IF(Import.TipoArredondamento&lt;&gt;"TransfereGOV",
ROUND(OFFSET($P70,0,AT$13),15-13*ORÇAMENTO!$AF$7)/$H70*OFFSET(ORÇAMENTO!$X$15,ROW(AT70)-ROW(AT$15),0),
ROUND(ROUND(OFFSET($P70,0,AT$13),15-13*ORÇAMENTO!$AF$7)*OFFSET(ORÇAMENTO!$W$15,ROW(AT70)-ROW(AT$15),0),15-13*ORÇAMENTO!$AF$11)),0)</f>
        <v>0</v>
      </c>
      <c r="AU70" s="545">
        <f ca="1">IF(AND($D70="Serviço",AU$12&lt;&gt;0,$H70&gt;0,OR(AUTOEVENTO&lt;&gt;"manual",$M70&lt;&gt;1)),
IF(Import.TipoArredondamento&lt;&gt;"TransfereGOV",
ROUND(OFFSET($P70,0,AU$13),15-13*ORÇAMENTO!$AF$7)/$H70*OFFSET(ORÇAMENTO!$X$15,ROW(AU70)-ROW(AU$15),0),
ROUND(ROUND(OFFSET($P70,0,AU$13),15-13*ORÇAMENTO!$AF$7)*OFFSET(ORÇAMENTO!$W$15,ROW(AU70)-ROW(AU$15),0),15-13*ORÇAMENTO!$AF$11)),0)</f>
        <v>0</v>
      </c>
      <c r="AV70" s="545">
        <f ca="1">IF(AND($D70="Serviço",AV$12&lt;&gt;0,$H70&gt;0,OR(AUTOEVENTO&lt;&gt;"manual",$M70&lt;&gt;1)),
IF(Import.TipoArredondamento&lt;&gt;"TransfereGOV",
ROUND(OFFSET($P70,0,AV$13),15-13*ORÇAMENTO!$AF$7)/$H70*OFFSET(ORÇAMENTO!$X$15,ROW(AV70)-ROW(AV$15),0),
ROUND(ROUND(OFFSET($P70,0,AV$13),15-13*ORÇAMENTO!$AF$7)*OFFSET(ORÇAMENTO!$W$15,ROW(AV70)-ROW(AV$15),0),15-13*ORÇAMENTO!$AF$11)),0)</f>
        <v>0</v>
      </c>
      <c r="AW70" s="545">
        <f ca="1">IF(AND($D70="Serviço",AW$12&lt;&gt;0,$H70&gt;0,OR(AUTOEVENTO&lt;&gt;"manual",$M70&lt;&gt;1)),
IF(Import.TipoArredondamento&lt;&gt;"TransfereGOV",
ROUND(OFFSET($P70,0,AW$13),15-13*ORÇAMENTO!$AF$7)/$H70*OFFSET(ORÇAMENTO!$X$15,ROW(AW70)-ROW(AW$15),0),
ROUND(ROUND(OFFSET($P70,0,AW$13),15-13*ORÇAMENTO!$AF$7)*OFFSET(ORÇAMENTO!$W$15,ROW(AW70)-ROW(AW$15),0),15-13*ORÇAMENTO!$AF$11)),0)</f>
        <v>0</v>
      </c>
      <c r="AX70" s="545">
        <f ca="1">IF(AND($D70="Serviço",AX$12&lt;&gt;0,$H70&gt;0,OR(AUTOEVENTO&lt;&gt;"manual",$M70&lt;&gt;1)),
IF(Import.TipoArredondamento&lt;&gt;"TransfereGOV",
ROUND(OFFSET($P70,0,AX$13),15-13*ORÇAMENTO!$AF$7)/$H70*OFFSET(ORÇAMENTO!$X$15,ROW(AX70)-ROW(AX$15),0),
ROUND(ROUND(OFFSET($P70,0,AX$13),15-13*ORÇAMENTO!$AF$7)*OFFSET(ORÇAMENTO!$W$15,ROW(AX70)-ROW(AX$15),0),15-13*ORÇAMENTO!$AF$11)),0)</f>
        <v>0</v>
      </c>
      <c r="AY70" s="545">
        <f ca="1">IF(AND($D70="Serviço",AY$12&lt;&gt;0,$H70&gt;0,OR(AUTOEVENTO&lt;&gt;"manual",$M70&lt;&gt;1)),
IF(Import.TipoArredondamento&lt;&gt;"TransfereGOV",
ROUND(OFFSET($P70,0,AY$13),15-13*ORÇAMENTO!$AF$7)/$H70*OFFSET(ORÇAMENTO!$X$15,ROW(AY70)-ROW(AY$15),0),
ROUND(ROUND(OFFSET($P70,0,AY$13),15-13*ORÇAMENTO!$AF$7)*OFFSET(ORÇAMENTO!$W$15,ROW(AY70)-ROW(AY$15),0),15-13*ORÇAMENTO!$AF$11)),0)</f>
        <v>0</v>
      </c>
      <c r="AZ70" s="545">
        <f ca="1">IF(AND($D70="Serviço",AZ$12&lt;&gt;0,$H70&gt;0,OR(AUTOEVENTO&lt;&gt;"manual",$M70&lt;&gt;1)),
IF(Import.TipoArredondamento&lt;&gt;"TransfereGOV",
ROUND(OFFSET($P70,0,AZ$13),15-13*ORÇAMENTO!$AF$7)/$H70*OFFSET(ORÇAMENTO!$X$15,ROW(AZ70)-ROW(AZ$15),0),
ROUND(ROUND(OFFSET($P70,0,AZ$13),15-13*ORÇAMENTO!$AF$7)*OFFSET(ORÇAMENTO!$W$15,ROW(AZ70)-ROW(AZ$15),0),15-13*ORÇAMENTO!$AF$11)),0)</f>
        <v>0</v>
      </c>
      <c r="BA70" s="546">
        <f ca="1">IF(AND($D70="Serviço",BA$12&lt;&gt;0,$H70&gt;0,OR(AUTOEVENTO&lt;&gt;"manual",$M70&lt;&gt;1)),
IF(Import.TipoArredondamento&lt;&gt;"TransfereGOV",
ROUND(OFFSET($P70,0,BA$13),15-13*ORÇAMENTO!$AF$7)/$H70*OFFSET(ORÇAMENTO!$X$15,ROW(BA70)-ROW(BA$15),0),
ROUND(ROUND(OFFSET($P70,0,BA$13),15-13*ORÇAMENTO!$AF$7)*OFFSET(ORÇAMENTO!$W$15,ROW(BA70)-ROW(BA$15),0),15-13*ORÇAMENTO!$AF$11)),0)</f>
        <v>0</v>
      </c>
      <c r="BC70" s="181">
        <f ca="1">IF($D70&lt;&gt;"Serviço",0,IF(AND(AUTOEVENTO="Manual",$M70=1),0,IF(OFFSET(CRONOPLE!$F$14,$M70,BC$13)="",10^12,OFFSET(CRONOPLE!$F$14,$M70,BC$13))))</f>
        <v>3</v>
      </c>
      <c r="BD70" s="181">
        <f ca="1">IF($D70&lt;&gt;"Serviço",0,IF(AND(AUTOEVENTO="Manual",$M70=1),0,IF(OFFSET(CRONOPLE!$F$14,$M70,BD$13)="",10^12,OFFSET(CRONOPLE!$F$14,$M70,BD$13))))</f>
        <v>1000000000000</v>
      </c>
      <c r="BE70" s="181">
        <f ca="1">IF($D70&lt;&gt;"Serviço",0,IF(AND(AUTOEVENTO="Manual",$M70=1),0,IF(OFFSET(CRONOPLE!$F$14,$M70,BE$13)="",10^12,OFFSET(CRONOPLE!$F$14,$M70,BE$13))))</f>
        <v>1000000000000</v>
      </c>
      <c r="BF70" s="181">
        <f ca="1">IF($D70&lt;&gt;"Serviço",0,IF(AND(AUTOEVENTO="Manual",$M70=1),0,IF(OFFSET(CRONOPLE!$F$14,$M70,BF$13)="",10^12,OFFSET(CRONOPLE!$F$14,$M70,BF$13))))</f>
        <v>1000000000000</v>
      </c>
      <c r="BG70" s="181">
        <f ca="1">IF($D70&lt;&gt;"Serviço",0,IF(AND(AUTOEVENTO="Manual",$M70=1),0,IF(OFFSET(CRONOPLE!$F$14,$M70,BG$13)="",10^12,OFFSET(CRONOPLE!$F$14,$M70,BG$13))))</f>
        <v>1000000000000</v>
      </c>
      <c r="BH70" s="181">
        <f ca="1">IF($D70&lt;&gt;"Serviço",0,IF(AND(AUTOEVENTO="Manual",$M70=1),0,IF(OFFSET(CRONOPLE!$F$14,$M70,BH$13)="",10^12,OFFSET(CRONOPLE!$F$14,$M70,BH$13))))</f>
        <v>1000000000000</v>
      </c>
      <c r="BI70" s="181">
        <f ca="1">IF($D70&lt;&gt;"Serviço",0,IF(AND(AUTOEVENTO="Manual",$M70=1),0,IF(OFFSET(CRONOPLE!$F$14,$M70,BI$13)="",10^12,OFFSET(CRONOPLE!$F$14,$M70,BI$13))))</f>
        <v>1000000000000</v>
      </c>
      <c r="BJ70" s="181">
        <f ca="1">IF($D70&lt;&gt;"Serviço",0,IF(AND(AUTOEVENTO="Manual",$M70=1),0,IF(OFFSET(CRONOPLE!$F$14,$M70,BJ$13)="",10^12,OFFSET(CRONOPLE!$F$14,$M70,BJ$13))))</f>
        <v>1000000000000</v>
      </c>
      <c r="BK70" s="181">
        <f ca="1">IF($D70&lt;&gt;"Serviço",0,IF(AND(AUTOEVENTO="Manual",$M70=1),0,IF(OFFSET(CRONOPLE!$F$14,$M70,BK$13)="",10^12,OFFSET(CRONOPLE!$F$14,$M70,BK$13))))</f>
        <v>1000000000000</v>
      </c>
      <c r="BL70" s="181">
        <f ca="1">IF($D70&lt;&gt;"Serviço",0,IF(AND(AUTOEVENTO="Manual",$M70=1),0,IF(OFFSET(CRONOPLE!$F$14,$M70,BL$13)="",10^12,OFFSET(CRONOPLE!$F$14,$M70,BL$13))))</f>
        <v>1000000000000</v>
      </c>
      <c r="BM70" s="181">
        <f ca="1">IF($D70&lt;&gt;"Serviço",0,IF(AND(AUTOEVENTO="Manual",$M70=1),0,IF(OFFSET(CRONOPLE!$F$14,$M70,BM$13)="",10^12,OFFSET(CRONOPLE!$F$14,$M70,BM$13))))</f>
        <v>1000000000000</v>
      </c>
      <c r="BN70" s="181">
        <f ca="1">IF($D70&lt;&gt;"Serviço",0,IF(AND(AUTOEVENTO="Manual",$M70=1),0,IF(OFFSET(CRONOPLE!$F$14,$M70,BN$13)="",10^12,OFFSET(CRONOPLE!$F$14,$M70,BN$13))))</f>
        <v>1000000000000</v>
      </c>
      <c r="BO70" s="181">
        <f ca="1">IF($D70&lt;&gt;"Serviço",0,IF(AND(AUTOEVENTO="Manual",$M70=1),0,IF(OFFSET(CRONOPLE!$F$14,$M70,BO$13)="",10^12,OFFSET(CRONOPLE!$F$14,$M70,BO$13))))</f>
        <v>1000000000000</v>
      </c>
      <c r="BP70" s="181">
        <f ca="1">IF($D70&lt;&gt;"Serviço",0,IF(AND(AUTOEVENTO="Manual",$M70=1),0,IF(OFFSET(CRONOPLE!$F$14,$M70,BP$13)="",10^12,OFFSET(CRONOPLE!$F$14,$M70,BP$13))))</f>
        <v>1000000000000</v>
      </c>
      <c r="BQ70" s="181">
        <f ca="1">IF($D70&lt;&gt;"Serviço",0,IF(AND(AUTOEVENTO="Manual",$M70=1),0,IF(OFFSET(CRONOPLE!$F$14,$M70,BQ$13)="",10^12,OFFSET(CRONOPLE!$F$14,$M70,BQ$13))))</f>
        <v>1000000000000</v>
      </c>
      <c r="BR70" s="181">
        <f ca="1">IF($D70&lt;&gt;"Serviço",0,IF(AND(AUTOEVENTO="Manual",$M70=1),0,IF(OFFSET(CRONOPLE!$F$14,$M70,BR$13)="",10^12,OFFSET(CRONOPLE!$F$14,$M70,BR$13))))</f>
        <v>1000000000000</v>
      </c>
      <c r="BS70" s="181">
        <f ca="1">IF($D70&lt;&gt;"Serviço",0,IF(AND(AUTOEVENTO="Manual",$M70=1),0,IF(OFFSET(CRONOPLE!$F$14,$M70,BS$13)="",10^12,OFFSET(CRONOPLE!$F$14,$M70,BS$13))))</f>
        <v>1000000000000</v>
      </c>
      <c r="BT70" s="181">
        <f ca="1">IF($D70&lt;&gt;"Serviço",0,IF(AND(AUTOEVENTO="Manual",$M70=1),0,IF(OFFSET(CRONOPLE!$F$14,$M70,BT$13)="",10^12,OFFSET(CRONOPLE!$F$14,$M70,BT$13))))</f>
        <v>1000000000000</v>
      </c>
      <c r="BV70" s="182">
        <f ca="1">IF($D70&lt;&gt;"Serviço",0,IF(OR(AND(AUTOEVENTO="Manual",$M70=1),$M70&gt;(ROW(PLE.lastrow)-ROW(PLE.firstrow))),0,IF(OFFSET(PLE!$G$14,$M70,BV$13)="",10^12,OFFSET(PLE!$G$14,$M70,BV$13))))</f>
        <v>1000000000000</v>
      </c>
      <c r="BW70" s="182">
        <f ca="1">IF($D70&lt;&gt;"Serviço",0,IF(OR(AND(AUTOEVENTO="Manual",$M70=1),$M70&gt;(ROW(PLE.lastrow)-ROW(PLE.firstrow))),0,IF(OFFSET(PLE!$G$14,$M70,BW$13)="",10^12,OFFSET(PLE!$G$14,$M70,BW$13))))</f>
        <v>1000000000000</v>
      </c>
      <c r="BX70" s="182">
        <f ca="1">IF($D70&lt;&gt;"Serviço",0,IF(OR(AND(AUTOEVENTO="Manual",$M70=1),$M70&gt;(ROW(PLE.lastrow)-ROW(PLE.firstrow))),0,IF(OFFSET(PLE!$G$14,$M70,BX$13)="",10^12,OFFSET(PLE!$G$14,$M70,BX$13))))</f>
        <v>1000000000000</v>
      </c>
      <c r="BY70" s="182">
        <f ca="1">IF($D70&lt;&gt;"Serviço",0,IF(OR(AND(AUTOEVENTO="Manual",$M70=1),$M70&gt;(ROW(PLE.lastrow)-ROW(PLE.firstrow))),0,IF(OFFSET(PLE!$G$14,$M70,BY$13)="",10^12,OFFSET(PLE!$G$14,$M70,BY$13))))</f>
        <v>1000000000000</v>
      </c>
      <c r="BZ70" s="182">
        <f ca="1">IF($D70&lt;&gt;"Serviço",0,IF(OR(AND(AUTOEVENTO="Manual",$M70=1),$M70&gt;(ROW(PLE.lastrow)-ROW(PLE.firstrow))),0,IF(OFFSET(PLE!$G$14,$M70,BZ$13)="",10^12,OFFSET(PLE!$G$14,$M70,BZ$13))))</f>
        <v>1000000000000</v>
      </c>
      <c r="CA70" s="182">
        <f ca="1">IF($D70&lt;&gt;"Serviço",0,IF(OR(AND(AUTOEVENTO="Manual",$M70=1),$M70&gt;(ROW(PLE.lastrow)-ROW(PLE.firstrow))),0,IF(OFFSET(PLE!$G$14,$M70,CA$13)="",10^12,OFFSET(PLE!$G$14,$M70,CA$13))))</f>
        <v>1000000000000</v>
      </c>
      <c r="CB70" s="182">
        <f ca="1">IF($D70&lt;&gt;"Serviço",0,IF(OR(AND(AUTOEVENTO="Manual",$M70=1),$M70&gt;(ROW(PLE.lastrow)-ROW(PLE.firstrow))),0,IF(OFFSET(PLE!$G$14,$M70,CB$13)="",10^12,OFFSET(PLE!$G$14,$M70,CB$13))))</f>
        <v>1000000000000</v>
      </c>
      <c r="CC70" s="182">
        <f ca="1">IF($D70&lt;&gt;"Serviço",0,IF(OR(AND(AUTOEVENTO="Manual",$M70=1),$M70&gt;(ROW(PLE.lastrow)-ROW(PLE.firstrow))),0,IF(OFFSET(PLE!$G$14,$M70,CC$13)="",10^12,OFFSET(PLE!$G$14,$M70,CC$13))))</f>
        <v>1000000000000</v>
      </c>
      <c r="CD70" s="182">
        <f ca="1">IF($D70&lt;&gt;"Serviço",0,IF(OR(AND(AUTOEVENTO="Manual",$M70=1),$M70&gt;(ROW(PLE.lastrow)-ROW(PLE.firstrow))),0,IF(OFFSET(PLE!$G$14,$M70,CD$13)="",10^12,OFFSET(PLE!$G$14,$M70,CD$13))))</f>
        <v>1000000000000</v>
      </c>
      <c r="CE70" s="182">
        <f ca="1">IF($D70&lt;&gt;"Serviço",0,IF(OR(AND(AUTOEVENTO="Manual",$M70=1),$M70&gt;(ROW(PLE.lastrow)-ROW(PLE.firstrow))),0,IF(OFFSET(PLE!$G$14,$M70,CE$13)="",10^12,OFFSET(PLE!$G$14,$M70,CE$13))))</f>
        <v>1000000000000</v>
      </c>
      <c r="CF70" s="182">
        <f ca="1">IF($D70&lt;&gt;"Serviço",0,IF(OR(AND(AUTOEVENTO="Manual",$M70=1),$M70&gt;(ROW(PLE.lastrow)-ROW(PLE.firstrow))),0,IF(OFFSET(PLE!$G$14,$M70,CF$13)="",10^12,OFFSET(PLE!$G$14,$M70,CF$13))))</f>
        <v>1000000000000</v>
      </c>
      <c r="CG70" s="182">
        <f ca="1">IF($D70&lt;&gt;"Serviço",0,IF(OR(AND(AUTOEVENTO="Manual",$M70=1),$M70&gt;(ROW(PLE.lastrow)-ROW(PLE.firstrow))),0,IF(OFFSET(PLE!$G$14,$M70,CG$13)="",10^12,OFFSET(PLE!$G$14,$M70,CG$13))))</f>
        <v>1000000000000</v>
      </c>
      <c r="CH70" s="182">
        <f ca="1">IF($D70&lt;&gt;"Serviço",0,IF(OR(AND(AUTOEVENTO="Manual",$M70=1),$M70&gt;(ROW(PLE.lastrow)-ROW(PLE.firstrow))),0,IF(OFFSET(PLE!$G$14,$M70,CH$13)="",10^12,OFFSET(PLE!$G$14,$M70,CH$13))))</f>
        <v>1000000000000</v>
      </c>
      <c r="CI70" s="182">
        <f ca="1">IF($D70&lt;&gt;"Serviço",0,IF(OR(AND(AUTOEVENTO="Manual",$M70=1),$M70&gt;(ROW(PLE.lastrow)-ROW(PLE.firstrow))),0,IF(OFFSET(PLE!$G$14,$M70,CI$13)="",10^12,OFFSET(PLE!$G$14,$M70,CI$13))))</f>
        <v>1000000000000</v>
      </c>
      <c r="CJ70" s="182">
        <f ca="1">IF($D70&lt;&gt;"Serviço",0,IF(OR(AND(AUTOEVENTO="Manual",$M70=1),$M70&gt;(ROW(PLE.lastrow)-ROW(PLE.firstrow))),0,IF(OFFSET(PLE!$G$14,$M70,CJ$13)="",10^12,OFFSET(PLE!$G$14,$M70,CJ$13))))</f>
        <v>1000000000000</v>
      </c>
      <c r="CK70" s="182">
        <f ca="1">IF($D70&lt;&gt;"Serviço",0,IF(OR(AND(AUTOEVENTO="Manual",$M70=1),$M70&gt;(ROW(PLE.lastrow)-ROW(PLE.firstrow))),0,IF(OFFSET(PLE!$G$14,$M70,CK$13)="",10^12,OFFSET(PLE!$G$14,$M70,CK$13))))</f>
        <v>1000000000000</v>
      </c>
      <c r="CL70" s="182">
        <f ca="1">IF($D70&lt;&gt;"Serviço",0,IF(OR(AND(AUTOEVENTO="Manual",$M70=1),$M70&gt;(ROW(PLE.lastrow)-ROW(PLE.firstrow))),0,IF(OFFSET(PLE!$G$14,$M70,CL$13)="",10^12,OFFSET(PLE!$G$14,$M70,CL$13))))</f>
        <v>1000000000000</v>
      </c>
      <c r="CM70" s="182">
        <f ca="1">IF($D70&lt;&gt;"Serviço",0,IF(OR(AND(AUTOEVENTO="Manual",$M70=1),$M70&gt;(ROW(PLE.lastrow)-ROW(PLE.firstrow))),0,IF(OFFSET(PLE!$G$14,$M70,CM$13)="",10^12,OFFSET(PLE!$G$14,$M70,CM$13))))</f>
        <v>1000000000000</v>
      </c>
    </row>
    <row r="71" spans="1:91" ht="38.25" x14ac:dyDescent="0.2">
      <c r="A71" s="7" t="str">
        <f t="shared" ca="1" si="10"/>
        <v>48</v>
      </c>
      <c r="B71" s="7" t="str">
        <f ca="1">OFFSET(ORÇAMENTO!C$15,ROW(B71)-ROW(B$15),0)</f>
        <v>S</v>
      </c>
      <c r="C71" s="7" t="str">
        <f ca="1">OFFSET(ORÇAMENTO!L$15,ROW(C71)-ROW(C$15),0)</f>
        <v/>
      </c>
      <c r="D71" s="118" t="str">
        <f ca="1">OFFSET(ORÇAMENTO!N$15,ROW(D71)-ROW(D$15),0)</f>
        <v>Serviço</v>
      </c>
      <c r="E71" s="119" t="str">
        <f ca="1">OFFSET(ORÇAMENTO!O$15,ROW(E71)-ROW(E$15),0)</f>
        <v>-</v>
      </c>
      <c r="F71" s="172" t="str">
        <f ca="1">OFFSET(ORÇAMENTO!R$15,ROW(F71)-ROW(F$15),0)</f>
        <v>(abra o arquivo 'Referência 06-2024.xlsm)</v>
      </c>
      <c r="G71" s="173" t="str">
        <f ca="1">IF($D71&lt;&gt;"Serviço","",OFFSET(ORÇAMENTO!S$15,ROW(G71)-ROW(G$15),0))</f>
        <v>-</v>
      </c>
      <c r="H71" s="124">
        <f ca="1">IF($D71&lt;&gt;"Serviço",0,IF(ACOMPANHAMENTO="BM",ROUND(OFFSET(ORÇAMENTO!AJ$15,ROW(H71)-ROW(H$15),0),15-13*ORÇAMENTO!$AF$7),SUMPRODUCT(($Q$12:$AI$12&lt;&gt;"")*ROUND($Q71:$AI71,15-13*ORÇAMENTO!$AF$7))))</f>
        <v>122.6</v>
      </c>
      <c r="I71" s="561" t="s">
        <v>1107</v>
      </c>
      <c r="K71" s="174" t="s">
        <v>1028</v>
      </c>
      <c r="L71" s="175" t="s">
        <v>255</v>
      </c>
      <c r="M71" s="176">
        <f ca="1">IF($D71&lt;&gt;"Serviço","",IF(AUTOEVENTO="manual",$A71,IF(ISERROR(MATCH($A71,$A$15:OFFSET($A71,-1,0),0)),MAX($M$15:OFFSET(M71,-1,0))+1,INDEX($M$15:OFFSET(M71,-1,0),MATCH($A71,$A$15:OFFSET($A71,-1,0),0)))))</f>
        <v>10</v>
      </c>
      <c r="N71" s="177" t="str">
        <f ca="1">IF($D71&lt;&gt;"Serviço","",IF(AUTOEVENTO="Manual",IF($A71=0,"&lt;-- defina o número do agrupador",OFFSET(EVENTOS!$D$14,$A71,0)),OFFSET($F$15,$A71,0)))</f>
        <v>SUPERESTRUTURA - CONCRETO ARMADO PARA VIGAS INCLUINDO BALDRAME</v>
      </c>
      <c r="O71" s="178"/>
      <c r="Q71" s="178">
        <v>122.60000000000001</v>
      </c>
      <c r="R71" s="179"/>
      <c r="S71" s="179"/>
      <c r="T71" s="179"/>
      <c r="U71" s="179"/>
      <c r="V71" s="179"/>
      <c r="W71" s="179"/>
      <c r="X71" s="179"/>
      <c r="Y71" s="179"/>
      <c r="Z71" s="180"/>
      <c r="AA71" s="179"/>
      <c r="AB71" s="179"/>
      <c r="AC71" s="179"/>
      <c r="AD71" s="179"/>
      <c r="AE71" s="179"/>
      <c r="AF71" s="179"/>
      <c r="AG71" s="179"/>
      <c r="AH71" s="180"/>
      <c r="AJ71" s="544">
        <f ca="1">IF(AND($D71="Serviço",AJ$12&lt;&gt;0,$H71&gt;0,OR(AUTOEVENTO&lt;&gt;"manual",$M71&lt;&gt;1)),
IF(Import.TipoArredondamento&lt;&gt;"TransfereGOV",
ROUND(OFFSET($P71,0,AJ$13),15-13*ORÇAMENTO!$AF$7)/$H71*OFFSET(ORÇAMENTO!$X$15,ROW(AJ71)-ROW(AJ$15),0),
ROUND(ROUND(OFFSET($P71,0,AJ$13),15-13*ORÇAMENTO!$AF$7)*OFFSET(ORÇAMENTO!$W$15,ROW(AJ71)-ROW(AJ$15),0),15-13*ORÇAMENTO!$AF$11)),0)</f>
        <v>0</v>
      </c>
      <c r="AK71" s="545">
        <f ca="1">IF(AND($D71="Serviço",AK$12&lt;&gt;0,$H71&gt;0,OR(AUTOEVENTO&lt;&gt;"manual",$M71&lt;&gt;1)),
IF(Import.TipoArredondamento&lt;&gt;"TransfereGOV",
ROUND(OFFSET($P71,0,AK$13),15-13*ORÇAMENTO!$AF$7)/$H71*OFFSET(ORÇAMENTO!$X$15,ROW(AK71)-ROW(AK$15),0),
ROUND(ROUND(OFFSET($P71,0,AK$13),15-13*ORÇAMENTO!$AF$7)*OFFSET(ORÇAMENTO!$W$15,ROW(AK71)-ROW(AK$15),0),15-13*ORÇAMENTO!$AF$11)),0)</f>
        <v>0</v>
      </c>
      <c r="AL71" s="545">
        <f ca="1">IF(AND($D71="Serviço",AL$12&lt;&gt;0,$H71&gt;0,OR(AUTOEVENTO&lt;&gt;"manual",$M71&lt;&gt;1)),
IF(Import.TipoArredondamento&lt;&gt;"TransfereGOV",
ROUND(OFFSET($P71,0,AL$13),15-13*ORÇAMENTO!$AF$7)/$H71*OFFSET(ORÇAMENTO!$X$15,ROW(AL71)-ROW(AL$15),0),
ROUND(ROUND(OFFSET($P71,0,AL$13),15-13*ORÇAMENTO!$AF$7)*OFFSET(ORÇAMENTO!$W$15,ROW(AL71)-ROW(AL$15),0),15-13*ORÇAMENTO!$AF$11)),0)</f>
        <v>0</v>
      </c>
      <c r="AM71" s="545">
        <f ca="1">IF(AND($D71="Serviço",AM$12&lt;&gt;0,$H71&gt;0,OR(AUTOEVENTO&lt;&gt;"manual",$M71&lt;&gt;1)),
IF(Import.TipoArredondamento&lt;&gt;"TransfereGOV",
ROUND(OFFSET($P71,0,AM$13),15-13*ORÇAMENTO!$AF$7)/$H71*OFFSET(ORÇAMENTO!$X$15,ROW(AM71)-ROW(AM$15),0),
ROUND(ROUND(OFFSET($P71,0,AM$13),15-13*ORÇAMENTO!$AF$7)*OFFSET(ORÇAMENTO!$W$15,ROW(AM71)-ROW(AM$15),0),15-13*ORÇAMENTO!$AF$11)),0)</f>
        <v>0</v>
      </c>
      <c r="AN71" s="545">
        <f ca="1">IF(AND($D71="Serviço",AN$12&lt;&gt;0,$H71&gt;0,OR(AUTOEVENTO&lt;&gt;"manual",$M71&lt;&gt;1)),
IF(Import.TipoArredondamento&lt;&gt;"TransfereGOV",
ROUND(OFFSET($P71,0,AN$13),15-13*ORÇAMENTO!$AF$7)/$H71*OFFSET(ORÇAMENTO!$X$15,ROW(AN71)-ROW(AN$15),0),
ROUND(ROUND(OFFSET($P71,0,AN$13),15-13*ORÇAMENTO!$AF$7)*OFFSET(ORÇAMENTO!$W$15,ROW(AN71)-ROW(AN$15),0),15-13*ORÇAMENTO!$AF$11)),0)</f>
        <v>0</v>
      </c>
      <c r="AO71" s="545">
        <f ca="1">IF(AND($D71="Serviço",AO$12&lt;&gt;0,$H71&gt;0,OR(AUTOEVENTO&lt;&gt;"manual",$M71&lt;&gt;1)),
IF(Import.TipoArredondamento&lt;&gt;"TransfereGOV",
ROUND(OFFSET($P71,0,AO$13),15-13*ORÇAMENTO!$AF$7)/$H71*OFFSET(ORÇAMENTO!$X$15,ROW(AO71)-ROW(AO$15),0),
ROUND(ROUND(OFFSET($P71,0,AO$13),15-13*ORÇAMENTO!$AF$7)*OFFSET(ORÇAMENTO!$W$15,ROW(AO71)-ROW(AO$15),0),15-13*ORÇAMENTO!$AF$11)),0)</f>
        <v>0</v>
      </c>
      <c r="AP71" s="545">
        <f ca="1">IF(AND($D71="Serviço",AP$12&lt;&gt;0,$H71&gt;0,OR(AUTOEVENTO&lt;&gt;"manual",$M71&lt;&gt;1)),
IF(Import.TipoArredondamento&lt;&gt;"TransfereGOV",
ROUND(OFFSET($P71,0,AP$13),15-13*ORÇAMENTO!$AF$7)/$H71*OFFSET(ORÇAMENTO!$X$15,ROW(AP71)-ROW(AP$15),0),
ROUND(ROUND(OFFSET($P71,0,AP$13),15-13*ORÇAMENTO!$AF$7)*OFFSET(ORÇAMENTO!$W$15,ROW(AP71)-ROW(AP$15),0),15-13*ORÇAMENTO!$AF$11)),0)</f>
        <v>0</v>
      </c>
      <c r="AQ71" s="545">
        <f ca="1">IF(AND($D71="Serviço",AQ$12&lt;&gt;0,$H71&gt;0,OR(AUTOEVENTO&lt;&gt;"manual",$M71&lt;&gt;1)),
IF(Import.TipoArredondamento&lt;&gt;"TransfereGOV",
ROUND(OFFSET($P71,0,AQ$13),15-13*ORÇAMENTO!$AF$7)/$H71*OFFSET(ORÇAMENTO!$X$15,ROW(AQ71)-ROW(AQ$15),0),
ROUND(ROUND(OFFSET($P71,0,AQ$13),15-13*ORÇAMENTO!$AF$7)*OFFSET(ORÇAMENTO!$W$15,ROW(AQ71)-ROW(AQ$15),0),15-13*ORÇAMENTO!$AF$11)),0)</f>
        <v>0</v>
      </c>
      <c r="AR71" s="545">
        <f ca="1">IF(AND($D71="Serviço",AR$12&lt;&gt;0,$H71&gt;0,OR(AUTOEVENTO&lt;&gt;"manual",$M71&lt;&gt;1)),
IF(Import.TipoArredondamento&lt;&gt;"TransfereGOV",
ROUND(OFFSET($P71,0,AR$13),15-13*ORÇAMENTO!$AF$7)/$H71*OFFSET(ORÇAMENTO!$X$15,ROW(AR71)-ROW(AR$15),0),
ROUND(ROUND(OFFSET($P71,0,AR$13),15-13*ORÇAMENTO!$AF$7)*OFFSET(ORÇAMENTO!$W$15,ROW(AR71)-ROW(AR$15),0),15-13*ORÇAMENTO!$AF$11)),0)</f>
        <v>0</v>
      </c>
      <c r="AS71" s="546">
        <f ca="1">IF(AND($D71="Serviço",AS$12&lt;&gt;0,$H71&gt;0,OR(AUTOEVENTO&lt;&gt;"manual",$M71&lt;&gt;1)),
IF(Import.TipoArredondamento&lt;&gt;"TransfereGOV",
ROUND(OFFSET($P71,0,AS$13),15-13*ORÇAMENTO!$AF$7)/$H71*OFFSET(ORÇAMENTO!$X$15,ROW(AS71)-ROW(AS$15),0),
ROUND(ROUND(OFFSET($P71,0,AS$13),15-13*ORÇAMENTO!$AF$7)*OFFSET(ORÇAMENTO!$W$15,ROW(AS71)-ROW(AS$15),0),15-13*ORÇAMENTO!$AF$11)),0)</f>
        <v>0</v>
      </c>
      <c r="AT71" s="545">
        <f ca="1">IF(AND($D71="Serviço",AT$12&lt;&gt;0,$H71&gt;0,OR(AUTOEVENTO&lt;&gt;"manual",$M71&lt;&gt;1)),
IF(Import.TipoArredondamento&lt;&gt;"TransfereGOV",
ROUND(OFFSET($P71,0,AT$13),15-13*ORÇAMENTO!$AF$7)/$H71*OFFSET(ORÇAMENTO!$X$15,ROW(AT71)-ROW(AT$15),0),
ROUND(ROUND(OFFSET($P71,0,AT$13),15-13*ORÇAMENTO!$AF$7)*OFFSET(ORÇAMENTO!$W$15,ROW(AT71)-ROW(AT$15),0),15-13*ORÇAMENTO!$AF$11)),0)</f>
        <v>0</v>
      </c>
      <c r="AU71" s="545">
        <f ca="1">IF(AND($D71="Serviço",AU$12&lt;&gt;0,$H71&gt;0,OR(AUTOEVENTO&lt;&gt;"manual",$M71&lt;&gt;1)),
IF(Import.TipoArredondamento&lt;&gt;"TransfereGOV",
ROUND(OFFSET($P71,0,AU$13),15-13*ORÇAMENTO!$AF$7)/$H71*OFFSET(ORÇAMENTO!$X$15,ROW(AU71)-ROW(AU$15),0),
ROUND(ROUND(OFFSET($P71,0,AU$13),15-13*ORÇAMENTO!$AF$7)*OFFSET(ORÇAMENTO!$W$15,ROW(AU71)-ROW(AU$15),0),15-13*ORÇAMENTO!$AF$11)),0)</f>
        <v>0</v>
      </c>
      <c r="AV71" s="545">
        <f ca="1">IF(AND($D71="Serviço",AV$12&lt;&gt;0,$H71&gt;0,OR(AUTOEVENTO&lt;&gt;"manual",$M71&lt;&gt;1)),
IF(Import.TipoArredondamento&lt;&gt;"TransfereGOV",
ROUND(OFFSET($P71,0,AV$13),15-13*ORÇAMENTO!$AF$7)/$H71*OFFSET(ORÇAMENTO!$X$15,ROW(AV71)-ROW(AV$15),0),
ROUND(ROUND(OFFSET($P71,0,AV$13),15-13*ORÇAMENTO!$AF$7)*OFFSET(ORÇAMENTO!$W$15,ROW(AV71)-ROW(AV$15),0),15-13*ORÇAMENTO!$AF$11)),0)</f>
        <v>0</v>
      </c>
      <c r="AW71" s="545">
        <f ca="1">IF(AND($D71="Serviço",AW$12&lt;&gt;0,$H71&gt;0,OR(AUTOEVENTO&lt;&gt;"manual",$M71&lt;&gt;1)),
IF(Import.TipoArredondamento&lt;&gt;"TransfereGOV",
ROUND(OFFSET($P71,0,AW$13),15-13*ORÇAMENTO!$AF$7)/$H71*OFFSET(ORÇAMENTO!$X$15,ROW(AW71)-ROW(AW$15),0),
ROUND(ROUND(OFFSET($P71,0,AW$13),15-13*ORÇAMENTO!$AF$7)*OFFSET(ORÇAMENTO!$W$15,ROW(AW71)-ROW(AW$15),0),15-13*ORÇAMENTO!$AF$11)),0)</f>
        <v>0</v>
      </c>
      <c r="AX71" s="545">
        <f ca="1">IF(AND($D71="Serviço",AX$12&lt;&gt;0,$H71&gt;0,OR(AUTOEVENTO&lt;&gt;"manual",$M71&lt;&gt;1)),
IF(Import.TipoArredondamento&lt;&gt;"TransfereGOV",
ROUND(OFFSET($P71,0,AX$13),15-13*ORÇAMENTO!$AF$7)/$H71*OFFSET(ORÇAMENTO!$X$15,ROW(AX71)-ROW(AX$15),0),
ROUND(ROUND(OFFSET($P71,0,AX$13),15-13*ORÇAMENTO!$AF$7)*OFFSET(ORÇAMENTO!$W$15,ROW(AX71)-ROW(AX$15),0),15-13*ORÇAMENTO!$AF$11)),0)</f>
        <v>0</v>
      </c>
      <c r="AY71" s="545">
        <f ca="1">IF(AND($D71="Serviço",AY$12&lt;&gt;0,$H71&gt;0,OR(AUTOEVENTO&lt;&gt;"manual",$M71&lt;&gt;1)),
IF(Import.TipoArredondamento&lt;&gt;"TransfereGOV",
ROUND(OFFSET($P71,0,AY$13),15-13*ORÇAMENTO!$AF$7)/$H71*OFFSET(ORÇAMENTO!$X$15,ROW(AY71)-ROW(AY$15),0),
ROUND(ROUND(OFFSET($P71,0,AY$13),15-13*ORÇAMENTO!$AF$7)*OFFSET(ORÇAMENTO!$W$15,ROW(AY71)-ROW(AY$15),0),15-13*ORÇAMENTO!$AF$11)),0)</f>
        <v>0</v>
      </c>
      <c r="AZ71" s="545">
        <f ca="1">IF(AND($D71="Serviço",AZ$12&lt;&gt;0,$H71&gt;0,OR(AUTOEVENTO&lt;&gt;"manual",$M71&lt;&gt;1)),
IF(Import.TipoArredondamento&lt;&gt;"TransfereGOV",
ROUND(OFFSET($P71,0,AZ$13),15-13*ORÇAMENTO!$AF$7)/$H71*OFFSET(ORÇAMENTO!$X$15,ROW(AZ71)-ROW(AZ$15),0),
ROUND(ROUND(OFFSET($P71,0,AZ$13),15-13*ORÇAMENTO!$AF$7)*OFFSET(ORÇAMENTO!$W$15,ROW(AZ71)-ROW(AZ$15),0),15-13*ORÇAMENTO!$AF$11)),0)</f>
        <v>0</v>
      </c>
      <c r="BA71" s="546">
        <f ca="1">IF(AND($D71="Serviço",BA$12&lt;&gt;0,$H71&gt;0,OR(AUTOEVENTO&lt;&gt;"manual",$M71&lt;&gt;1)),
IF(Import.TipoArredondamento&lt;&gt;"TransfereGOV",
ROUND(OFFSET($P71,0,BA$13),15-13*ORÇAMENTO!$AF$7)/$H71*OFFSET(ORÇAMENTO!$X$15,ROW(BA71)-ROW(BA$15),0),
ROUND(ROUND(OFFSET($P71,0,BA$13),15-13*ORÇAMENTO!$AF$7)*OFFSET(ORÇAMENTO!$W$15,ROW(BA71)-ROW(BA$15),0),15-13*ORÇAMENTO!$AF$11)),0)</f>
        <v>0</v>
      </c>
      <c r="BC71" s="181">
        <f ca="1">IF($D71&lt;&gt;"Serviço",0,IF(AND(AUTOEVENTO="Manual",$M71=1),0,IF(OFFSET(CRONOPLE!$F$14,$M71,BC$13)="",10^12,OFFSET(CRONOPLE!$F$14,$M71,BC$13))))</f>
        <v>3</v>
      </c>
      <c r="BD71" s="181">
        <f ca="1">IF($D71&lt;&gt;"Serviço",0,IF(AND(AUTOEVENTO="Manual",$M71=1),0,IF(OFFSET(CRONOPLE!$F$14,$M71,BD$13)="",10^12,OFFSET(CRONOPLE!$F$14,$M71,BD$13))))</f>
        <v>1000000000000</v>
      </c>
      <c r="BE71" s="181">
        <f ca="1">IF($D71&lt;&gt;"Serviço",0,IF(AND(AUTOEVENTO="Manual",$M71=1),0,IF(OFFSET(CRONOPLE!$F$14,$M71,BE$13)="",10^12,OFFSET(CRONOPLE!$F$14,$M71,BE$13))))</f>
        <v>1000000000000</v>
      </c>
      <c r="BF71" s="181">
        <f ca="1">IF($D71&lt;&gt;"Serviço",0,IF(AND(AUTOEVENTO="Manual",$M71=1),0,IF(OFFSET(CRONOPLE!$F$14,$M71,BF$13)="",10^12,OFFSET(CRONOPLE!$F$14,$M71,BF$13))))</f>
        <v>1000000000000</v>
      </c>
      <c r="BG71" s="181">
        <f ca="1">IF($D71&lt;&gt;"Serviço",0,IF(AND(AUTOEVENTO="Manual",$M71=1),0,IF(OFFSET(CRONOPLE!$F$14,$M71,BG$13)="",10^12,OFFSET(CRONOPLE!$F$14,$M71,BG$13))))</f>
        <v>1000000000000</v>
      </c>
      <c r="BH71" s="181">
        <f ca="1">IF($D71&lt;&gt;"Serviço",0,IF(AND(AUTOEVENTO="Manual",$M71=1),0,IF(OFFSET(CRONOPLE!$F$14,$M71,BH$13)="",10^12,OFFSET(CRONOPLE!$F$14,$M71,BH$13))))</f>
        <v>1000000000000</v>
      </c>
      <c r="BI71" s="181">
        <f ca="1">IF($D71&lt;&gt;"Serviço",0,IF(AND(AUTOEVENTO="Manual",$M71=1),0,IF(OFFSET(CRONOPLE!$F$14,$M71,BI$13)="",10^12,OFFSET(CRONOPLE!$F$14,$M71,BI$13))))</f>
        <v>1000000000000</v>
      </c>
      <c r="BJ71" s="181">
        <f ca="1">IF($D71&lt;&gt;"Serviço",0,IF(AND(AUTOEVENTO="Manual",$M71=1),0,IF(OFFSET(CRONOPLE!$F$14,$M71,BJ$13)="",10^12,OFFSET(CRONOPLE!$F$14,$M71,BJ$13))))</f>
        <v>1000000000000</v>
      </c>
      <c r="BK71" s="181">
        <f ca="1">IF($D71&lt;&gt;"Serviço",0,IF(AND(AUTOEVENTO="Manual",$M71=1),0,IF(OFFSET(CRONOPLE!$F$14,$M71,BK$13)="",10^12,OFFSET(CRONOPLE!$F$14,$M71,BK$13))))</f>
        <v>1000000000000</v>
      </c>
      <c r="BL71" s="181">
        <f ca="1">IF($D71&lt;&gt;"Serviço",0,IF(AND(AUTOEVENTO="Manual",$M71=1),0,IF(OFFSET(CRONOPLE!$F$14,$M71,BL$13)="",10^12,OFFSET(CRONOPLE!$F$14,$M71,BL$13))))</f>
        <v>1000000000000</v>
      </c>
      <c r="BM71" s="181">
        <f ca="1">IF($D71&lt;&gt;"Serviço",0,IF(AND(AUTOEVENTO="Manual",$M71=1),0,IF(OFFSET(CRONOPLE!$F$14,$M71,BM$13)="",10^12,OFFSET(CRONOPLE!$F$14,$M71,BM$13))))</f>
        <v>1000000000000</v>
      </c>
      <c r="BN71" s="181">
        <f ca="1">IF($D71&lt;&gt;"Serviço",0,IF(AND(AUTOEVENTO="Manual",$M71=1),0,IF(OFFSET(CRONOPLE!$F$14,$M71,BN$13)="",10^12,OFFSET(CRONOPLE!$F$14,$M71,BN$13))))</f>
        <v>1000000000000</v>
      </c>
      <c r="BO71" s="181">
        <f ca="1">IF($D71&lt;&gt;"Serviço",0,IF(AND(AUTOEVENTO="Manual",$M71=1),0,IF(OFFSET(CRONOPLE!$F$14,$M71,BO$13)="",10^12,OFFSET(CRONOPLE!$F$14,$M71,BO$13))))</f>
        <v>1000000000000</v>
      </c>
      <c r="BP71" s="181">
        <f ca="1">IF($D71&lt;&gt;"Serviço",0,IF(AND(AUTOEVENTO="Manual",$M71=1),0,IF(OFFSET(CRONOPLE!$F$14,$M71,BP$13)="",10^12,OFFSET(CRONOPLE!$F$14,$M71,BP$13))))</f>
        <v>1000000000000</v>
      </c>
      <c r="BQ71" s="181">
        <f ca="1">IF($D71&lt;&gt;"Serviço",0,IF(AND(AUTOEVENTO="Manual",$M71=1),0,IF(OFFSET(CRONOPLE!$F$14,$M71,BQ$13)="",10^12,OFFSET(CRONOPLE!$F$14,$M71,BQ$13))))</f>
        <v>1000000000000</v>
      </c>
      <c r="BR71" s="181">
        <f ca="1">IF($D71&lt;&gt;"Serviço",0,IF(AND(AUTOEVENTO="Manual",$M71=1),0,IF(OFFSET(CRONOPLE!$F$14,$M71,BR$13)="",10^12,OFFSET(CRONOPLE!$F$14,$M71,BR$13))))</f>
        <v>1000000000000</v>
      </c>
      <c r="BS71" s="181">
        <f ca="1">IF($D71&lt;&gt;"Serviço",0,IF(AND(AUTOEVENTO="Manual",$M71=1),0,IF(OFFSET(CRONOPLE!$F$14,$M71,BS$13)="",10^12,OFFSET(CRONOPLE!$F$14,$M71,BS$13))))</f>
        <v>1000000000000</v>
      </c>
      <c r="BT71" s="181">
        <f ca="1">IF($D71&lt;&gt;"Serviço",0,IF(AND(AUTOEVENTO="Manual",$M71=1),0,IF(OFFSET(CRONOPLE!$F$14,$M71,BT$13)="",10^12,OFFSET(CRONOPLE!$F$14,$M71,BT$13))))</f>
        <v>1000000000000</v>
      </c>
      <c r="BV71" s="182">
        <f ca="1">IF($D71&lt;&gt;"Serviço",0,IF(OR(AND(AUTOEVENTO="Manual",$M71=1),$M71&gt;(ROW(PLE.lastrow)-ROW(PLE.firstrow))),0,IF(OFFSET(PLE!$G$14,$M71,BV$13)="",10^12,OFFSET(PLE!$G$14,$M71,BV$13))))</f>
        <v>1000000000000</v>
      </c>
      <c r="BW71" s="182">
        <f ca="1">IF($D71&lt;&gt;"Serviço",0,IF(OR(AND(AUTOEVENTO="Manual",$M71=1),$M71&gt;(ROW(PLE.lastrow)-ROW(PLE.firstrow))),0,IF(OFFSET(PLE!$G$14,$M71,BW$13)="",10^12,OFFSET(PLE!$G$14,$M71,BW$13))))</f>
        <v>1000000000000</v>
      </c>
      <c r="BX71" s="182">
        <f ca="1">IF($D71&lt;&gt;"Serviço",0,IF(OR(AND(AUTOEVENTO="Manual",$M71=1),$M71&gt;(ROW(PLE.lastrow)-ROW(PLE.firstrow))),0,IF(OFFSET(PLE!$G$14,$M71,BX$13)="",10^12,OFFSET(PLE!$G$14,$M71,BX$13))))</f>
        <v>1000000000000</v>
      </c>
      <c r="BY71" s="182">
        <f ca="1">IF($D71&lt;&gt;"Serviço",0,IF(OR(AND(AUTOEVENTO="Manual",$M71=1),$M71&gt;(ROW(PLE.lastrow)-ROW(PLE.firstrow))),0,IF(OFFSET(PLE!$G$14,$M71,BY$13)="",10^12,OFFSET(PLE!$G$14,$M71,BY$13))))</f>
        <v>1000000000000</v>
      </c>
      <c r="BZ71" s="182">
        <f ca="1">IF($D71&lt;&gt;"Serviço",0,IF(OR(AND(AUTOEVENTO="Manual",$M71=1),$M71&gt;(ROW(PLE.lastrow)-ROW(PLE.firstrow))),0,IF(OFFSET(PLE!$G$14,$M71,BZ$13)="",10^12,OFFSET(PLE!$G$14,$M71,BZ$13))))</f>
        <v>1000000000000</v>
      </c>
      <c r="CA71" s="182">
        <f ca="1">IF($D71&lt;&gt;"Serviço",0,IF(OR(AND(AUTOEVENTO="Manual",$M71=1),$M71&gt;(ROW(PLE.lastrow)-ROW(PLE.firstrow))),0,IF(OFFSET(PLE!$G$14,$M71,CA$13)="",10^12,OFFSET(PLE!$G$14,$M71,CA$13))))</f>
        <v>1000000000000</v>
      </c>
      <c r="CB71" s="182">
        <f ca="1">IF($D71&lt;&gt;"Serviço",0,IF(OR(AND(AUTOEVENTO="Manual",$M71=1),$M71&gt;(ROW(PLE.lastrow)-ROW(PLE.firstrow))),0,IF(OFFSET(PLE!$G$14,$M71,CB$13)="",10^12,OFFSET(PLE!$G$14,$M71,CB$13))))</f>
        <v>1000000000000</v>
      </c>
      <c r="CC71" s="182">
        <f ca="1">IF($D71&lt;&gt;"Serviço",0,IF(OR(AND(AUTOEVENTO="Manual",$M71=1),$M71&gt;(ROW(PLE.lastrow)-ROW(PLE.firstrow))),0,IF(OFFSET(PLE!$G$14,$M71,CC$13)="",10^12,OFFSET(PLE!$G$14,$M71,CC$13))))</f>
        <v>1000000000000</v>
      </c>
      <c r="CD71" s="182">
        <f ca="1">IF($D71&lt;&gt;"Serviço",0,IF(OR(AND(AUTOEVENTO="Manual",$M71=1),$M71&gt;(ROW(PLE.lastrow)-ROW(PLE.firstrow))),0,IF(OFFSET(PLE!$G$14,$M71,CD$13)="",10^12,OFFSET(PLE!$G$14,$M71,CD$13))))</f>
        <v>1000000000000</v>
      </c>
      <c r="CE71" s="182">
        <f ca="1">IF($D71&lt;&gt;"Serviço",0,IF(OR(AND(AUTOEVENTO="Manual",$M71=1),$M71&gt;(ROW(PLE.lastrow)-ROW(PLE.firstrow))),0,IF(OFFSET(PLE!$G$14,$M71,CE$13)="",10^12,OFFSET(PLE!$G$14,$M71,CE$13))))</f>
        <v>1000000000000</v>
      </c>
      <c r="CF71" s="182">
        <f ca="1">IF($D71&lt;&gt;"Serviço",0,IF(OR(AND(AUTOEVENTO="Manual",$M71=1),$M71&gt;(ROW(PLE.lastrow)-ROW(PLE.firstrow))),0,IF(OFFSET(PLE!$G$14,$M71,CF$13)="",10^12,OFFSET(PLE!$G$14,$M71,CF$13))))</f>
        <v>1000000000000</v>
      </c>
      <c r="CG71" s="182">
        <f ca="1">IF($D71&lt;&gt;"Serviço",0,IF(OR(AND(AUTOEVENTO="Manual",$M71=1),$M71&gt;(ROW(PLE.lastrow)-ROW(PLE.firstrow))),0,IF(OFFSET(PLE!$G$14,$M71,CG$13)="",10^12,OFFSET(PLE!$G$14,$M71,CG$13))))</f>
        <v>1000000000000</v>
      </c>
      <c r="CH71" s="182">
        <f ca="1">IF($D71&lt;&gt;"Serviço",0,IF(OR(AND(AUTOEVENTO="Manual",$M71=1),$M71&gt;(ROW(PLE.lastrow)-ROW(PLE.firstrow))),0,IF(OFFSET(PLE!$G$14,$M71,CH$13)="",10^12,OFFSET(PLE!$G$14,$M71,CH$13))))</f>
        <v>1000000000000</v>
      </c>
      <c r="CI71" s="182">
        <f ca="1">IF($D71&lt;&gt;"Serviço",0,IF(OR(AND(AUTOEVENTO="Manual",$M71=1),$M71&gt;(ROW(PLE.lastrow)-ROW(PLE.firstrow))),0,IF(OFFSET(PLE!$G$14,$M71,CI$13)="",10^12,OFFSET(PLE!$G$14,$M71,CI$13))))</f>
        <v>1000000000000</v>
      </c>
      <c r="CJ71" s="182">
        <f ca="1">IF($D71&lt;&gt;"Serviço",0,IF(OR(AND(AUTOEVENTO="Manual",$M71=1),$M71&gt;(ROW(PLE.lastrow)-ROW(PLE.firstrow))),0,IF(OFFSET(PLE!$G$14,$M71,CJ$13)="",10^12,OFFSET(PLE!$G$14,$M71,CJ$13))))</f>
        <v>1000000000000</v>
      </c>
      <c r="CK71" s="182">
        <f ca="1">IF($D71&lt;&gt;"Serviço",0,IF(OR(AND(AUTOEVENTO="Manual",$M71=1),$M71&gt;(ROW(PLE.lastrow)-ROW(PLE.firstrow))),0,IF(OFFSET(PLE!$G$14,$M71,CK$13)="",10^12,OFFSET(PLE!$G$14,$M71,CK$13))))</f>
        <v>1000000000000</v>
      </c>
      <c r="CL71" s="182">
        <f ca="1">IF($D71&lt;&gt;"Serviço",0,IF(OR(AND(AUTOEVENTO="Manual",$M71=1),$M71&gt;(ROW(PLE.lastrow)-ROW(PLE.firstrow))),0,IF(OFFSET(PLE!$G$14,$M71,CL$13)="",10^12,OFFSET(PLE!$G$14,$M71,CL$13))))</f>
        <v>1000000000000</v>
      </c>
      <c r="CM71" s="182">
        <f ca="1">IF($D71&lt;&gt;"Serviço",0,IF(OR(AND(AUTOEVENTO="Manual",$M71=1),$M71&gt;(ROW(PLE.lastrow)-ROW(PLE.firstrow))),0,IF(OFFSET(PLE!$G$14,$M71,CM$13)="",10^12,OFFSET(PLE!$G$14,$M71,CM$13))))</f>
        <v>1000000000000</v>
      </c>
    </row>
    <row r="72" spans="1:91" ht="38.25" x14ac:dyDescent="0.2">
      <c r="A72" s="7" t="str">
        <f t="shared" ca="1" si="10"/>
        <v>48</v>
      </c>
      <c r="B72" s="7" t="str">
        <f ca="1">OFFSET(ORÇAMENTO!C$15,ROW(B72)-ROW(B$15),0)</f>
        <v>S</v>
      </c>
      <c r="C72" s="7" t="str">
        <f ca="1">OFFSET(ORÇAMENTO!L$15,ROW(C72)-ROW(C$15),0)</f>
        <v/>
      </c>
      <c r="D72" s="118" t="str">
        <f ca="1">OFFSET(ORÇAMENTO!N$15,ROW(D72)-ROW(D$15),0)</f>
        <v>Serviço</v>
      </c>
      <c r="E72" s="119" t="str">
        <f ca="1">OFFSET(ORÇAMENTO!O$15,ROW(E72)-ROW(E$15),0)</f>
        <v>-</v>
      </c>
      <c r="F72" s="172" t="str">
        <f ca="1">OFFSET(ORÇAMENTO!R$15,ROW(F72)-ROW(F$15),0)</f>
        <v>(abra o arquivo 'Referência 06-2024.xlsm)</v>
      </c>
      <c r="G72" s="173" t="str">
        <f ca="1">IF($D72&lt;&gt;"Serviço","",OFFSET(ORÇAMENTO!S$15,ROW(G72)-ROW(G$15),0))</f>
        <v>-</v>
      </c>
      <c r="H72" s="124">
        <f ca="1">IF($D72&lt;&gt;"Serviço",0,IF(ACOMPANHAMENTO="BM",ROUND(OFFSET(ORÇAMENTO!AJ$15,ROW(H72)-ROW(H$15),0),15-13*ORÇAMENTO!$AF$7),SUMPRODUCT(($Q$12:$AI$12&lt;&gt;"")*ROUND($Q72:$AI72,15-13*ORÇAMENTO!$AF$7))))</f>
        <v>1746.5</v>
      </c>
      <c r="I72" s="561" t="s">
        <v>1107</v>
      </c>
      <c r="K72" s="174" t="s">
        <v>1028</v>
      </c>
      <c r="L72" s="175" t="s">
        <v>255</v>
      </c>
      <c r="M72" s="176">
        <f ca="1">IF($D72&lt;&gt;"Serviço","",IF(AUTOEVENTO="manual",$A72,IF(ISERROR(MATCH($A72,$A$15:OFFSET($A72,-1,0),0)),MAX($M$15:OFFSET(M72,-1,0))+1,INDEX($M$15:OFFSET(M72,-1,0),MATCH($A72,$A$15:OFFSET($A72,-1,0),0)))))</f>
        <v>10</v>
      </c>
      <c r="N72" s="177" t="str">
        <f ca="1">IF($D72&lt;&gt;"Serviço","",IF(AUTOEVENTO="Manual",IF($A72=0,"&lt;-- defina o número do agrupador",OFFSET(EVENTOS!$D$14,$A72,0)),OFFSET($F$15,$A72,0)))</f>
        <v>SUPERESTRUTURA - CONCRETO ARMADO PARA VIGAS INCLUINDO BALDRAME</v>
      </c>
      <c r="O72" s="178"/>
      <c r="Q72" s="178">
        <v>1746.5</v>
      </c>
      <c r="R72" s="179"/>
      <c r="S72" s="179"/>
      <c r="T72" s="179"/>
      <c r="U72" s="179"/>
      <c r="V72" s="179"/>
      <c r="W72" s="179"/>
      <c r="X72" s="179"/>
      <c r="Y72" s="179"/>
      <c r="Z72" s="180"/>
      <c r="AA72" s="179"/>
      <c r="AB72" s="179"/>
      <c r="AC72" s="179"/>
      <c r="AD72" s="179"/>
      <c r="AE72" s="179"/>
      <c r="AF72" s="179"/>
      <c r="AG72" s="179"/>
      <c r="AH72" s="180"/>
      <c r="AJ72" s="544">
        <f ca="1">IF(AND($D72="Serviço",AJ$12&lt;&gt;0,$H72&gt;0,OR(AUTOEVENTO&lt;&gt;"manual",$M72&lt;&gt;1)),
IF(Import.TipoArredondamento&lt;&gt;"TransfereGOV",
ROUND(OFFSET($P72,0,AJ$13),15-13*ORÇAMENTO!$AF$7)/$H72*OFFSET(ORÇAMENTO!$X$15,ROW(AJ72)-ROW(AJ$15),0),
ROUND(ROUND(OFFSET($P72,0,AJ$13),15-13*ORÇAMENTO!$AF$7)*OFFSET(ORÇAMENTO!$W$15,ROW(AJ72)-ROW(AJ$15),0),15-13*ORÇAMENTO!$AF$11)),0)</f>
        <v>0</v>
      </c>
      <c r="AK72" s="545">
        <f ca="1">IF(AND($D72="Serviço",AK$12&lt;&gt;0,$H72&gt;0,OR(AUTOEVENTO&lt;&gt;"manual",$M72&lt;&gt;1)),
IF(Import.TipoArredondamento&lt;&gt;"TransfereGOV",
ROUND(OFFSET($P72,0,AK$13),15-13*ORÇAMENTO!$AF$7)/$H72*OFFSET(ORÇAMENTO!$X$15,ROW(AK72)-ROW(AK$15),0),
ROUND(ROUND(OFFSET($P72,0,AK$13),15-13*ORÇAMENTO!$AF$7)*OFFSET(ORÇAMENTO!$W$15,ROW(AK72)-ROW(AK$15),0),15-13*ORÇAMENTO!$AF$11)),0)</f>
        <v>0</v>
      </c>
      <c r="AL72" s="545">
        <f ca="1">IF(AND($D72="Serviço",AL$12&lt;&gt;0,$H72&gt;0,OR(AUTOEVENTO&lt;&gt;"manual",$M72&lt;&gt;1)),
IF(Import.TipoArredondamento&lt;&gt;"TransfereGOV",
ROUND(OFFSET($P72,0,AL$13),15-13*ORÇAMENTO!$AF$7)/$H72*OFFSET(ORÇAMENTO!$X$15,ROW(AL72)-ROW(AL$15),0),
ROUND(ROUND(OFFSET($P72,0,AL$13),15-13*ORÇAMENTO!$AF$7)*OFFSET(ORÇAMENTO!$W$15,ROW(AL72)-ROW(AL$15),0),15-13*ORÇAMENTO!$AF$11)),0)</f>
        <v>0</v>
      </c>
      <c r="AM72" s="545">
        <f ca="1">IF(AND($D72="Serviço",AM$12&lt;&gt;0,$H72&gt;0,OR(AUTOEVENTO&lt;&gt;"manual",$M72&lt;&gt;1)),
IF(Import.TipoArredondamento&lt;&gt;"TransfereGOV",
ROUND(OFFSET($P72,0,AM$13),15-13*ORÇAMENTO!$AF$7)/$H72*OFFSET(ORÇAMENTO!$X$15,ROW(AM72)-ROW(AM$15),0),
ROUND(ROUND(OFFSET($P72,0,AM$13),15-13*ORÇAMENTO!$AF$7)*OFFSET(ORÇAMENTO!$W$15,ROW(AM72)-ROW(AM$15),0),15-13*ORÇAMENTO!$AF$11)),0)</f>
        <v>0</v>
      </c>
      <c r="AN72" s="545">
        <f ca="1">IF(AND($D72="Serviço",AN$12&lt;&gt;0,$H72&gt;0,OR(AUTOEVENTO&lt;&gt;"manual",$M72&lt;&gt;1)),
IF(Import.TipoArredondamento&lt;&gt;"TransfereGOV",
ROUND(OFFSET($P72,0,AN$13),15-13*ORÇAMENTO!$AF$7)/$H72*OFFSET(ORÇAMENTO!$X$15,ROW(AN72)-ROW(AN$15),0),
ROUND(ROUND(OFFSET($P72,0,AN$13),15-13*ORÇAMENTO!$AF$7)*OFFSET(ORÇAMENTO!$W$15,ROW(AN72)-ROW(AN$15),0),15-13*ORÇAMENTO!$AF$11)),0)</f>
        <v>0</v>
      </c>
      <c r="AO72" s="545">
        <f ca="1">IF(AND($D72="Serviço",AO$12&lt;&gt;0,$H72&gt;0,OR(AUTOEVENTO&lt;&gt;"manual",$M72&lt;&gt;1)),
IF(Import.TipoArredondamento&lt;&gt;"TransfereGOV",
ROUND(OFFSET($P72,0,AO$13),15-13*ORÇAMENTO!$AF$7)/$H72*OFFSET(ORÇAMENTO!$X$15,ROW(AO72)-ROW(AO$15),0),
ROUND(ROUND(OFFSET($P72,0,AO$13),15-13*ORÇAMENTO!$AF$7)*OFFSET(ORÇAMENTO!$W$15,ROW(AO72)-ROW(AO$15),0),15-13*ORÇAMENTO!$AF$11)),0)</f>
        <v>0</v>
      </c>
      <c r="AP72" s="545">
        <f ca="1">IF(AND($D72="Serviço",AP$12&lt;&gt;0,$H72&gt;0,OR(AUTOEVENTO&lt;&gt;"manual",$M72&lt;&gt;1)),
IF(Import.TipoArredondamento&lt;&gt;"TransfereGOV",
ROUND(OFFSET($P72,0,AP$13),15-13*ORÇAMENTO!$AF$7)/$H72*OFFSET(ORÇAMENTO!$X$15,ROW(AP72)-ROW(AP$15),0),
ROUND(ROUND(OFFSET($P72,0,AP$13),15-13*ORÇAMENTO!$AF$7)*OFFSET(ORÇAMENTO!$W$15,ROW(AP72)-ROW(AP$15),0),15-13*ORÇAMENTO!$AF$11)),0)</f>
        <v>0</v>
      </c>
      <c r="AQ72" s="545">
        <f ca="1">IF(AND($D72="Serviço",AQ$12&lt;&gt;0,$H72&gt;0,OR(AUTOEVENTO&lt;&gt;"manual",$M72&lt;&gt;1)),
IF(Import.TipoArredondamento&lt;&gt;"TransfereGOV",
ROUND(OFFSET($P72,0,AQ$13),15-13*ORÇAMENTO!$AF$7)/$H72*OFFSET(ORÇAMENTO!$X$15,ROW(AQ72)-ROW(AQ$15),0),
ROUND(ROUND(OFFSET($P72,0,AQ$13),15-13*ORÇAMENTO!$AF$7)*OFFSET(ORÇAMENTO!$W$15,ROW(AQ72)-ROW(AQ$15),0),15-13*ORÇAMENTO!$AF$11)),0)</f>
        <v>0</v>
      </c>
      <c r="AR72" s="545">
        <f ca="1">IF(AND($D72="Serviço",AR$12&lt;&gt;0,$H72&gt;0,OR(AUTOEVENTO&lt;&gt;"manual",$M72&lt;&gt;1)),
IF(Import.TipoArredondamento&lt;&gt;"TransfereGOV",
ROUND(OFFSET($P72,0,AR$13),15-13*ORÇAMENTO!$AF$7)/$H72*OFFSET(ORÇAMENTO!$X$15,ROW(AR72)-ROW(AR$15),0),
ROUND(ROUND(OFFSET($P72,0,AR$13),15-13*ORÇAMENTO!$AF$7)*OFFSET(ORÇAMENTO!$W$15,ROW(AR72)-ROW(AR$15),0),15-13*ORÇAMENTO!$AF$11)),0)</f>
        <v>0</v>
      </c>
      <c r="AS72" s="546">
        <f ca="1">IF(AND($D72="Serviço",AS$12&lt;&gt;0,$H72&gt;0,OR(AUTOEVENTO&lt;&gt;"manual",$M72&lt;&gt;1)),
IF(Import.TipoArredondamento&lt;&gt;"TransfereGOV",
ROUND(OFFSET($P72,0,AS$13),15-13*ORÇAMENTO!$AF$7)/$H72*OFFSET(ORÇAMENTO!$X$15,ROW(AS72)-ROW(AS$15),0),
ROUND(ROUND(OFFSET($P72,0,AS$13),15-13*ORÇAMENTO!$AF$7)*OFFSET(ORÇAMENTO!$W$15,ROW(AS72)-ROW(AS$15),0),15-13*ORÇAMENTO!$AF$11)),0)</f>
        <v>0</v>
      </c>
      <c r="AT72" s="545">
        <f ca="1">IF(AND($D72="Serviço",AT$12&lt;&gt;0,$H72&gt;0,OR(AUTOEVENTO&lt;&gt;"manual",$M72&lt;&gt;1)),
IF(Import.TipoArredondamento&lt;&gt;"TransfereGOV",
ROUND(OFFSET($P72,0,AT$13),15-13*ORÇAMENTO!$AF$7)/$H72*OFFSET(ORÇAMENTO!$X$15,ROW(AT72)-ROW(AT$15),0),
ROUND(ROUND(OFFSET($P72,0,AT$13),15-13*ORÇAMENTO!$AF$7)*OFFSET(ORÇAMENTO!$W$15,ROW(AT72)-ROW(AT$15),0),15-13*ORÇAMENTO!$AF$11)),0)</f>
        <v>0</v>
      </c>
      <c r="AU72" s="545">
        <f ca="1">IF(AND($D72="Serviço",AU$12&lt;&gt;0,$H72&gt;0,OR(AUTOEVENTO&lt;&gt;"manual",$M72&lt;&gt;1)),
IF(Import.TipoArredondamento&lt;&gt;"TransfereGOV",
ROUND(OFFSET($P72,0,AU$13),15-13*ORÇAMENTO!$AF$7)/$H72*OFFSET(ORÇAMENTO!$X$15,ROW(AU72)-ROW(AU$15),0),
ROUND(ROUND(OFFSET($P72,0,AU$13),15-13*ORÇAMENTO!$AF$7)*OFFSET(ORÇAMENTO!$W$15,ROW(AU72)-ROW(AU$15),0),15-13*ORÇAMENTO!$AF$11)),0)</f>
        <v>0</v>
      </c>
      <c r="AV72" s="545">
        <f ca="1">IF(AND($D72="Serviço",AV$12&lt;&gt;0,$H72&gt;0,OR(AUTOEVENTO&lt;&gt;"manual",$M72&lt;&gt;1)),
IF(Import.TipoArredondamento&lt;&gt;"TransfereGOV",
ROUND(OFFSET($P72,0,AV$13),15-13*ORÇAMENTO!$AF$7)/$H72*OFFSET(ORÇAMENTO!$X$15,ROW(AV72)-ROW(AV$15),0),
ROUND(ROUND(OFFSET($P72,0,AV$13),15-13*ORÇAMENTO!$AF$7)*OFFSET(ORÇAMENTO!$W$15,ROW(AV72)-ROW(AV$15),0),15-13*ORÇAMENTO!$AF$11)),0)</f>
        <v>0</v>
      </c>
      <c r="AW72" s="545">
        <f ca="1">IF(AND($D72="Serviço",AW$12&lt;&gt;0,$H72&gt;0,OR(AUTOEVENTO&lt;&gt;"manual",$M72&lt;&gt;1)),
IF(Import.TipoArredondamento&lt;&gt;"TransfereGOV",
ROUND(OFFSET($P72,0,AW$13),15-13*ORÇAMENTO!$AF$7)/$H72*OFFSET(ORÇAMENTO!$X$15,ROW(AW72)-ROW(AW$15),0),
ROUND(ROUND(OFFSET($P72,0,AW$13),15-13*ORÇAMENTO!$AF$7)*OFFSET(ORÇAMENTO!$W$15,ROW(AW72)-ROW(AW$15),0),15-13*ORÇAMENTO!$AF$11)),0)</f>
        <v>0</v>
      </c>
      <c r="AX72" s="545">
        <f ca="1">IF(AND($D72="Serviço",AX$12&lt;&gt;0,$H72&gt;0,OR(AUTOEVENTO&lt;&gt;"manual",$M72&lt;&gt;1)),
IF(Import.TipoArredondamento&lt;&gt;"TransfereGOV",
ROUND(OFFSET($P72,0,AX$13),15-13*ORÇAMENTO!$AF$7)/$H72*OFFSET(ORÇAMENTO!$X$15,ROW(AX72)-ROW(AX$15),0),
ROUND(ROUND(OFFSET($P72,0,AX$13),15-13*ORÇAMENTO!$AF$7)*OFFSET(ORÇAMENTO!$W$15,ROW(AX72)-ROW(AX$15),0),15-13*ORÇAMENTO!$AF$11)),0)</f>
        <v>0</v>
      </c>
      <c r="AY72" s="545">
        <f ca="1">IF(AND($D72="Serviço",AY$12&lt;&gt;0,$H72&gt;0,OR(AUTOEVENTO&lt;&gt;"manual",$M72&lt;&gt;1)),
IF(Import.TipoArredondamento&lt;&gt;"TransfereGOV",
ROUND(OFFSET($P72,0,AY$13),15-13*ORÇAMENTO!$AF$7)/$H72*OFFSET(ORÇAMENTO!$X$15,ROW(AY72)-ROW(AY$15),0),
ROUND(ROUND(OFFSET($P72,0,AY$13),15-13*ORÇAMENTO!$AF$7)*OFFSET(ORÇAMENTO!$W$15,ROW(AY72)-ROW(AY$15),0),15-13*ORÇAMENTO!$AF$11)),0)</f>
        <v>0</v>
      </c>
      <c r="AZ72" s="545">
        <f ca="1">IF(AND($D72="Serviço",AZ$12&lt;&gt;0,$H72&gt;0,OR(AUTOEVENTO&lt;&gt;"manual",$M72&lt;&gt;1)),
IF(Import.TipoArredondamento&lt;&gt;"TransfereGOV",
ROUND(OFFSET($P72,0,AZ$13),15-13*ORÇAMENTO!$AF$7)/$H72*OFFSET(ORÇAMENTO!$X$15,ROW(AZ72)-ROW(AZ$15),0),
ROUND(ROUND(OFFSET($P72,0,AZ$13),15-13*ORÇAMENTO!$AF$7)*OFFSET(ORÇAMENTO!$W$15,ROW(AZ72)-ROW(AZ$15),0),15-13*ORÇAMENTO!$AF$11)),0)</f>
        <v>0</v>
      </c>
      <c r="BA72" s="546">
        <f ca="1">IF(AND($D72="Serviço",BA$12&lt;&gt;0,$H72&gt;0,OR(AUTOEVENTO&lt;&gt;"manual",$M72&lt;&gt;1)),
IF(Import.TipoArredondamento&lt;&gt;"TransfereGOV",
ROUND(OFFSET($P72,0,BA$13),15-13*ORÇAMENTO!$AF$7)/$H72*OFFSET(ORÇAMENTO!$X$15,ROW(BA72)-ROW(BA$15),0),
ROUND(ROUND(OFFSET($P72,0,BA$13),15-13*ORÇAMENTO!$AF$7)*OFFSET(ORÇAMENTO!$W$15,ROW(BA72)-ROW(BA$15),0),15-13*ORÇAMENTO!$AF$11)),0)</f>
        <v>0</v>
      </c>
      <c r="BC72" s="181">
        <f ca="1">IF($D72&lt;&gt;"Serviço",0,IF(AND(AUTOEVENTO="Manual",$M72=1),0,IF(OFFSET(CRONOPLE!$F$14,$M72,BC$13)="",10^12,OFFSET(CRONOPLE!$F$14,$M72,BC$13))))</f>
        <v>3</v>
      </c>
      <c r="BD72" s="181">
        <f ca="1">IF($D72&lt;&gt;"Serviço",0,IF(AND(AUTOEVENTO="Manual",$M72=1),0,IF(OFFSET(CRONOPLE!$F$14,$M72,BD$13)="",10^12,OFFSET(CRONOPLE!$F$14,$M72,BD$13))))</f>
        <v>1000000000000</v>
      </c>
      <c r="BE72" s="181">
        <f ca="1">IF($D72&lt;&gt;"Serviço",0,IF(AND(AUTOEVENTO="Manual",$M72=1),0,IF(OFFSET(CRONOPLE!$F$14,$M72,BE$13)="",10^12,OFFSET(CRONOPLE!$F$14,$M72,BE$13))))</f>
        <v>1000000000000</v>
      </c>
      <c r="BF72" s="181">
        <f ca="1">IF($D72&lt;&gt;"Serviço",0,IF(AND(AUTOEVENTO="Manual",$M72=1),0,IF(OFFSET(CRONOPLE!$F$14,$M72,BF$13)="",10^12,OFFSET(CRONOPLE!$F$14,$M72,BF$13))))</f>
        <v>1000000000000</v>
      </c>
      <c r="BG72" s="181">
        <f ca="1">IF($D72&lt;&gt;"Serviço",0,IF(AND(AUTOEVENTO="Manual",$M72=1),0,IF(OFFSET(CRONOPLE!$F$14,$M72,BG$13)="",10^12,OFFSET(CRONOPLE!$F$14,$M72,BG$13))))</f>
        <v>1000000000000</v>
      </c>
      <c r="BH72" s="181">
        <f ca="1">IF($D72&lt;&gt;"Serviço",0,IF(AND(AUTOEVENTO="Manual",$M72=1),0,IF(OFFSET(CRONOPLE!$F$14,$M72,BH$13)="",10^12,OFFSET(CRONOPLE!$F$14,$M72,BH$13))))</f>
        <v>1000000000000</v>
      </c>
      <c r="BI72" s="181">
        <f ca="1">IF($D72&lt;&gt;"Serviço",0,IF(AND(AUTOEVENTO="Manual",$M72=1),0,IF(OFFSET(CRONOPLE!$F$14,$M72,BI$13)="",10^12,OFFSET(CRONOPLE!$F$14,$M72,BI$13))))</f>
        <v>1000000000000</v>
      </c>
      <c r="BJ72" s="181">
        <f ca="1">IF($D72&lt;&gt;"Serviço",0,IF(AND(AUTOEVENTO="Manual",$M72=1),0,IF(OFFSET(CRONOPLE!$F$14,$M72,BJ$13)="",10^12,OFFSET(CRONOPLE!$F$14,$M72,BJ$13))))</f>
        <v>1000000000000</v>
      </c>
      <c r="BK72" s="181">
        <f ca="1">IF($D72&lt;&gt;"Serviço",0,IF(AND(AUTOEVENTO="Manual",$M72=1),0,IF(OFFSET(CRONOPLE!$F$14,$M72,BK$13)="",10^12,OFFSET(CRONOPLE!$F$14,$M72,BK$13))))</f>
        <v>1000000000000</v>
      </c>
      <c r="BL72" s="181">
        <f ca="1">IF($D72&lt;&gt;"Serviço",0,IF(AND(AUTOEVENTO="Manual",$M72=1),0,IF(OFFSET(CRONOPLE!$F$14,$M72,BL$13)="",10^12,OFFSET(CRONOPLE!$F$14,$M72,BL$13))))</f>
        <v>1000000000000</v>
      </c>
      <c r="BM72" s="181">
        <f ca="1">IF($D72&lt;&gt;"Serviço",0,IF(AND(AUTOEVENTO="Manual",$M72=1),0,IF(OFFSET(CRONOPLE!$F$14,$M72,BM$13)="",10^12,OFFSET(CRONOPLE!$F$14,$M72,BM$13))))</f>
        <v>1000000000000</v>
      </c>
      <c r="BN72" s="181">
        <f ca="1">IF($D72&lt;&gt;"Serviço",0,IF(AND(AUTOEVENTO="Manual",$M72=1),0,IF(OFFSET(CRONOPLE!$F$14,$M72,BN$13)="",10^12,OFFSET(CRONOPLE!$F$14,$M72,BN$13))))</f>
        <v>1000000000000</v>
      </c>
      <c r="BO72" s="181">
        <f ca="1">IF($D72&lt;&gt;"Serviço",0,IF(AND(AUTOEVENTO="Manual",$M72=1),0,IF(OFFSET(CRONOPLE!$F$14,$M72,BO$13)="",10^12,OFFSET(CRONOPLE!$F$14,$M72,BO$13))))</f>
        <v>1000000000000</v>
      </c>
      <c r="BP72" s="181">
        <f ca="1">IF($D72&lt;&gt;"Serviço",0,IF(AND(AUTOEVENTO="Manual",$M72=1),0,IF(OFFSET(CRONOPLE!$F$14,$M72,BP$13)="",10^12,OFFSET(CRONOPLE!$F$14,$M72,BP$13))))</f>
        <v>1000000000000</v>
      </c>
      <c r="BQ72" s="181">
        <f ca="1">IF($D72&lt;&gt;"Serviço",0,IF(AND(AUTOEVENTO="Manual",$M72=1),0,IF(OFFSET(CRONOPLE!$F$14,$M72,BQ$13)="",10^12,OFFSET(CRONOPLE!$F$14,$M72,BQ$13))))</f>
        <v>1000000000000</v>
      </c>
      <c r="BR72" s="181">
        <f ca="1">IF($D72&lt;&gt;"Serviço",0,IF(AND(AUTOEVENTO="Manual",$M72=1),0,IF(OFFSET(CRONOPLE!$F$14,$M72,BR$13)="",10^12,OFFSET(CRONOPLE!$F$14,$M72,BR$13))))</f>
        <v>1000000000000</v>
      </c>
      <c r="BS72" s="181">
        <f ca="1">IF($D72&lt;&gt;"Serviço",0,IF(AND(AUTOEVENTO="Manual",$M72=1),0,IF(OFFSET(CRONOPLE!$F$14,$M72,BS$13)="",10^12,OFFSET(CRONOPLE!$F$14,$M72,BS$13))))</f>
        <v>1000000000000</v>
      </c>
      <c r="BT72" s="181">
        <f ca="1">IF($D72&lt;&gt;"Serviço",0,IF(AND(AUTOEVENTO="Manual",$M72=1),0,IF(OFFSET(CRONOPLE!$F$14,$M72,BT$13)="",10^12,OFFSET(CRONOPLE!$F$14,$M72,BT$13))))</f>
        <v>1000000000000</v>
      </c>
      <c r="BV72" s="182">
        <f ca="1">IF($D72&lt;&gt;"Serviço",0,IF(OR(AND(AUTOEVENTO="Manual",$M72=1),$M72&gt;(ROW(PLE.lastrow)-ROW(PLE.firstrow))),0,IF(OFFSET(PLE!$G$14,$M72,BV$13)="",10^12,OFFSET(PLE!$G$14,$M72,BV$13))))</f>
        <v>1000000000000</v>
      </c>
      <c r="BW72" s="182">
        <f ca="1">IF($D72&lt;&gt;"Serviço",0,IF(OR(AND(AUTOEVENTO="Manual",$M72=1),$M72&gt;(ROW(PLE.lastrow)-ROW(PLE.firstrow))),0,IF(OFFSET(PLE!$G$14,$M72,BW$13)="",10^12,OFFSET(PLE!$G$14,$M72,BW$13))))</f>
        <v>1000000000000</v>
      </c>
      <c r="BX72" s="182">
        <f ca="1">IF($D72&lt;&gt;"Serviço",0,IF(OR(AND(AUTOEVENTO="Manual",$M72=1),$M72&gt;(ROW(PLE.lastrow)-ROW(PLE.firstrow))),0,IF(OFFSET(PLE!$G$14,$M72,BX$13)="",10^12,OFFSET(PLE!$G$14,$M72,BX$13))))</f>
        <v>1000000000000</v>
      </c>
      <c r="BY72" s="182">
        <f ca="1">IF($D72&lt;&gt;"Serviço",0,IF(OR(AND(AUTOEVENTO="Manual",$M72=1),$M72&gt;(ROW(PLE.lastrow)-ROW(PLE.firstrow))),0,IF(OFFSET(PLE!$G$14,$M72,BY$13)="",10^12,OFFSET(PLE!$G$14,$M72,BY$13))))</f>
        <v>1000000000000</v>
      </c>
      <c r="BZ72" s="182">
        <f ca="1">IF($D72&lt;&gt;"Serviço",0,IF(OR(AND(AUTOEVENTO="Manual",$M72=1),$M72&gt;(ROW(PLE.lastrow)-ROW(PLE.firstrow))),0,IF(OFFSET(PLE!$G$14,$M72,BZ$13)="",10^12,OFFSET(PLE!$G$14,$M72,BZ$13))))</f>
        <v>1000000000000</v>
      </c>
      <c r="CA72" s="182">
        <f ca="1">IF($D72&lt;&gt;"Serviço",0,IF(OR(AND(AUTOEVENTO="Manual",$M72=1),$M72&gt;(ROW(PLE.lastrow)-ROW(PLE.firstrow))),0,IF(OFFSET(PLE!$G$14,$M72,CA$13)="",10^12,OFFSET(PLE!$G$14,$M72,CA$13))))</f>
        <v>1000000000000</v>
      </c>
      <c r="CB72" s="182">
        <f ca="1">IF($D72&lt;&gt;"Serviço",0,IF(OR(AND(AUTOEVENTO="Manual",$M72=1),$M72&gt;(ROW(PLE.lastrow)-ROW(PLE.firstrow))),0,IF(OFFSET(PLE!$G$14,$M72,CB$13)="",10^12,OFFSET(PLE!$G$14,$M72,CB$13))))</f>
        <v>1000000000000</v>
      </c>
      <c r="CC72" s="182">
        <f ca="1">IF($D72&lt;&gt;"Serviço",0,IF(OR(AND(AUTOEVENTO="Manual",$M72=1),$M72&gt;(ROW(PLE.lastrow)-ROW(PLE.firstrow))),0,IF(OFFSET(PLE!$G$14,$M72,CC$13)="",10^12,OFFSET(PLE!$G$14,$M72,CC$13))))</f>
        <v>1000000000000</v>
      </c>
      <c r="CD72" s="182">
        <f ca="1">IF($D72&lt;&gt;"Serviço",0,IF(OR(AND(AUTOEVENTO="Manual",$M72=1),$M72&gt;(ROW(PLE.lastrow)-ROW(PLE.firstrow))),0,IF(OFFSET(PLE!$G$14,$M72,CD$13)="",10^12,OFFSET(PLE!$G$14,$M72,CD$13))))</f>
        <v>1000000000000</v>
      </c>
      <c r="CE72" s="182">
        <f ca="1">IF($D72&lt;&gt;"Serviço",0,IF(OR(AND(AUTOEVENTO="Manual",$M72=1),$M72&gt;(ROW(PLE.lastrow)-ROW(PLE.firstrow))),0,IF(OFFSET(PLE!$G$14,$M72,CE$13)="",10^12,OFFSET(PLE!$G$14,$M72,CE$13))))</f>
        <v>1000000000000</v>
      </c>
      <c r="CF72" s="182">
        <f ca="1">IF($D72&lt;&gt;"Serviço",0,IF(OR(AND(AUTOEVENTO="Manual",$M72=1),$M72&gt;(ROW(PLE.lastrow)-ROW(PLE.firstrow))),0,IF(OFFSET(PLE!$G$14,$M72,CF$13)="",10^12,OFFSET(PLE!$G$14,$M72,CF$13))))</f>
        <v>1000000000000</v>
      </c>
      <c r="CG72" s="182">
        <f ca="1">IF($D72&lt;&gt;"Serviço",0,IF(OR(AND(AUTOEVENTO="Manual",$M72=1),$M72&gt;(ROW(PLE.lastrow)-ROW(PLE.firstrow))),0,IF(OFFSET(PLE!$G$14,$M72,CG$13)="",10^12,OFFSET(PLE!$G$14,$M72,CG$13))))</f>
        <v>1000000000000</v>
      </c>
      <c r="CH72" s="182">
        <f ca="1">IF($D72&lt;&gt;"Serviço",0,IF(OR(AND(AUTOEVENTO="Manual",$M72=1),$M72&gt;(ROW(PLE.lastrow)-ROW(PLE.firstrow))),0,IF(OFFSET(PLE!$G$14,$M72,CH$13)="",10^12,OFFSET(PLE!$G$14,$M72,CH$13))))</f>
        <v>1000000000000</v>
      </c>
      <c r="CI72" s="182">
        <f ca="1">IF($D72&lt;&gt;"Serviço",0,IF(OR(AND(AUTOEVENTO="Manual",$M72=1),$M72&gt;(ROW(PLE.lastrow)-ROW(PLE.firstrow))),0,IF(OFFSET(PLE!$G$14,$M72,CI$13)="",10^12,OFFSET(PLE!$G$14,$M72,CI$13))))</f>
        <v>1000000000000</v>
      </c>
      <c r="CJ72" s="182">
        <f ca="1">IF($D72&lt;&gt;"Serviço",0,IF(OR(AND(AUTOEVENTO="Manual",$M72=1),$M72&gt;(ROW(PLE.lastrow)-ROW(PLE.firstrow))),0,IF(OFFSET(PLE!$G$14,$M72,CJ$13)="",10^12,OFFSET(PLE!$G$14,$M72,CJ$13))))</f>
        <v>1000000000000</v>
      </c>
      <c r="CK72" s="182">
        <f ca="1">IF($D72&lt;&gt;"Serviço",0,IF(OR(AND(AUTOEVENTO="Manual",$M72=1),$M72&gt;(ROW(PLE.lastrow)-ROW(PLE.firstrow))),0,IF(OFFSET(PLE!$G$14,$M72,CK$13)="",10^12,OFFSET(PLE!$G$14,$M72,CK$13))))</f>
        <v>1000000000000</v>
      </c>
      <c r="CL72" s="182">
        <f ca="1">IF($D72&lt;&gt;"Serviço",0,IF(OR(AND(AUTOEVENTO="Manual",$M72=1),$M72&gt;(ROW(PLE.lastrow)-ROW(PLE.firstrow))),0,IF(OFFSET(PLE!$G$14,$M72,CL$13)="",10^12,OFFSET(PLE!$G$14,$M72,CL$13))))</f>
        <v>1000000000000</v>
      </c>
      <c r="CM72" s="182">
        <f ca="1">IF($D72&lt;&gt;"Serviço",0,IF(OR(AND(AUTOEVENTO="Manual",$M72=1),$M72&gt;(ROW(PLE.lastrow)-ROW(PLE.firstrow))),0,IF(OFFSET(PLE!$G$14,$M72,CM$13)="",10^12,OFFSET(PLE!$G$14,$M72,CM$13))))</f>
        <v>1000000000000</v>
      </c>
    </row>
    <row r="73" spans="1:91" ht="38.25" x14ac:dyDescent="0.2">
      <c r="A73" s="7" t="str">
        <f t="shared" ca="1" si="10"/>
        <v>48</v>
      </c>
      <c r="B73" s="7" t="str">
        <f ca="1">OFFSET(ORÇAMENTO!C$15,ROW(B73)-ROW(B$15),0)</f>
        <v>S</v>
      </c>
      <c r="C73" s="7" t="str">
        <f ca="1">OFFSET(ORÇAMENTO!L$15,ROW(C73)-ROW(C$15),0)</f>
        <v/>
      </c>
      <c r="D73" s="118" t="str">
        <f ca="1">OFFSET(ORÇAMENTO!N$15,ROW(D73)-ROW(D$15),0)</f>
        <v>Serviço</v>
      </c>
      <c r="E73" s="119" t="str">
        <f ca="1">OFFSET(ORÇAMENTO!O$15,ROW(E73)-ROW(E$15),0)</f>
        <v>-</v>
      </c>
      <c r="F73" s="172" t="str">
        <f ca="1">OFFSET(ORÇAMENTO!R$15,ROW(F73)-ROW(F$15),0)</f>
        <v>(abra o arquivo 'Referência 06-2024.xlsm)</v>
      </c>
      <c r="G73" s="173" t="str">
        <f ca="1">IF($D73&lt;&gt;"Serviço","",OFFSET(ORÇAMENTO!S$15,ROW(G73)-ROW(G$15),0))</f>
        <v>-</v>
      </c>
      <c r="H73" s="124">
        <f ca="1">IF($D73&lt;&gt;"Serviço",0,IF(ACOMPANHAMENTO="BM",ROUND(OFFSET(ORÇAMENTO!AJ$15,ROW(H73)-ROW(H$15),0),15-13*ORÇAMENTO!$AF$7),SUMPRODUCT(($Q$12:$AI$12&lt;&gt;"")*ROUND($Q73:$AI73,15-13*ORÇAMENTO!$AF$7))))</f>
        <v>108.4</v>
      </c>
      <c r="I73" s="561" t="s">
        <v>1107</v>
      </c>
      <c r="K73" s="174" t="s">
        <v>1028</v>
      </c>
      <c r="L73" s="175" t="s">
        <v>255</v>
      </c>
      <c r="M73" s="176">
        <f ca="1">IF($D73&lt;&gt;"Serviço","",IF(AUTOEVENTO="manual",$A73,IF(ISERROR(MATCH($A73,$A$15:OFFSET($A73,-1,0),0)),MAX($M$15:OFFSET(M73,-1,0))+1,INDEX($M$15:OFFSET(M73,-1,0),MATCH($A73,$A$15:OFFSET($A73,-1,0),0)))))</f>
        <v>10</v>
      </c>
      <c r="N73" s="177" t="str">
        <f ca="1">IF($D73&lt;&gt;"Serviço","",IF(AUTOEVENTO="Manual",IF($A73=0,"&lt;-- defina o número do agrupador",OFFSET(EVENTOS!$D$14,$A73,0)),OFFSET($F$15,$A73,0)))</f>
        <v>SUPERESTRUTURA - CONCRETO ARMADO PARA VIGAS INCLUINDO BALDRAME</v>
      </c>
      <c r="O73" s="178"/>
      <c r="Q73" s="178">
        <v>108.4</v>
      </c>
      <c r="R73" s="179"/>
      <c r="S73" s="179"/>
      <c r="T73" s="179"/>
      <c r="U73" s="179"/>
      <c r="V73" s="179"/>
      <c r="W73" s="179"/>
      <c r="X73" s="179"/>
      <c r="Y73" s="179"/>
      <c r="Z73" s="180"/>
      <c r="AA73" s="179"/>
      <c r="AB73" s="179"/>
      <c r="AC73" s="179"/>
      <c r="AD73" s="179"/>
      <c r="AE73" s="179"/>
      <c r="AF73" s="179"/>
      <c r="AG73" s="179"/>
      <c r="AH73" s="180"/>
      <c r="AJ73" s="544">
        <f ca="1">IF(AND($D73="Serviço",AJ$12&lt;&gt;0,$H73&gt;0,OR(AUTOEVENTO&lt;&gt;"manual",$M73&lt;&gt;1)),
IF(Import.TipoArredondamento&lt;&gt;"TransfereGOV",
ROUND(OFFSET($P73,0,AJ$13),15-13*ORÇAMENTO!$AF$7)/$H73*OFFSET(ORÇAMENTO!$X$15,ROW(AJ73)-ROW(AJ$15),0),
ROUND(ROUND(OFFSET($P73,0,AJ$13),15-13*ORÇAMENTO!$AF$7)*OFFSET(ORÇAMENTO!$W$15,ROW(AJ73)-ROW(AJ$15),0),15-13*ORÇAMENTO!$AF$11)),0)</f>
        <v>0</v>
      </c>
      <c r="AK73" s="545">
        <f ca="1">IF(AND($D73="Serviço",AK$12&lt;&gt;0,$H73&gt;0,OR(AUTOEVENTO&lt;&gt;"manual",$M73&lt;&gt;1)),
IF(Import.TipoArredondamento&lt;&gt;"TransfereGOV",
ROUND(OFFSET($P73,0,AK$13),15-13*ORÇAMENTO!$AF$7)/$H73*OFFSET(ORÇAMENTO!$X$15,ROW(AK73)-ROW(AK$15),0),
ROUND(ROUND(OFFSET($P73,0,AK$13),15-13*ORÇAMENTO!$AF$7)*OFFSET(ORÇAMENTO!$W$15,ROW(AK73)-ROW(AK$15),0),15-13*ORÇAMENTO!$AF$11)),0)</f>
        <v>0</v>
      </c>
      <c r="AL73" s="545">
        <f ca="1">IF(AND($D73="Serviço",AL$12&lt;&gt;0,$H73&gt;0,OR(AUTOEVENTO&lt;&gt;"manual",$M73&lt;&gt;1)),
IF(Import.TipoArredondamento&lt;&gt;"TransfereGOV",
ROUND(OFFSET($P73,0,AL$13),15-13*ORÇAMENTO!$AF$7)/$H73*OFFSET(ORÇAMENTO!$X$15,ROW(AL73)-ROW(AL$15),0),
ROUND(ROUND(OFFSET($P73,0,AL$13),15-13*ORÇAMENTO!$AF$7)*OFFSET(ORÇAMENTO!$W$15,ROW(AL73)-ROW(AL$15),0),15-13*ORÇAMENTO!$AF$11)),0)</f>
        <v>0</v>
      </c>
      <c r="AM73" s="545">
        <f ca="1">IF(AND($D73="Serviço",AM$12&lt;&gt;0,$H73&gt;0,OR(AUTOEVENTO&lt;&gt;"manual",$M73&lt;&gt;1)),
IF(Import.TipoArredondamento&lt;&gt;"TransfereGOV",
ROUND(OFFSET($P73,0,AM$13),15-13*ORÇAMENTO!$AF$7)/$H73*OFFSET(ORÇAMENTO!$X$15,ROW(AM73)-ROW(AM$15),0),
ROUND(ROUND(OFFSET($P73,0,AM$13),15-13*ORÇAMENTO!$AF$7)*OFFSET(ORÇAMENTO!$W$15,ROW(AM73)-ROW(AM$15),0),15-13*ORÇAMENTO!$AF$11)),0)</f>
        <v>0</v>
      </c>
      <c r="AN73" s="545">
        <f ca="1">IF(AND($D73="Serviço",AN$12&lt;&gt;0,$H73&gt;0,OR(AUTOEVENTO&lt;&gt;"manual",$M73&lt;&gt;1)),
IF(Import.TipoArredondamento&lt;&gt;"TransfereGOV",
ROUND(OFFSET($P73,0,AN$13),15-13*ORÇAMENTO!$AF$7)/$H73*OFFSET(ORÇAMENTO!$X$15,ROW(AN73)-ROW(AN$15),0),
ROUND(ROUND(OFFSET($P73,0,AN$13),15-13*ORÇAMENTO!$AF$7)*OFFSET(ORÇAMENTO!$W$15,ROW(AN73)-ROW(AN$15),0),15-13*ORÇAMENTO!$AF$11)),0)</f>
        <v>0</v>
      </c>
      <c r="AO73" s="545">
        <f ca="1">IF(AND($D73="Serviço",AO$12&lt;&gt;0,$H73&gt;0,OR(AUTOEVENTO&lt;&gt;"manual",$M73&lt;&gt;1)),
IF(Import.TipoArredondamento&lt;&gt;"TransfereGOV",
ROUND(OFFSET($P73,0,AO$13),15-13*ORÇAMENTO!$AF$7)/$H73*OFFSET(ORÇAMENTO!$X$15,ROW(AO73)-ROW(AO$15),0),
ROUND(ROUND(OFFSET($P73,0,AO$13),15-13*ORÇAMENTO!$AF$7)*OFFSET(ORÇAMENTO!$W$15,ROW(AO73)-ROW(AO$15),0),15-13*ORÇAMENTO!$AF$11)),0)</f>
        <v>0</v>
      </c>
      <c r="AP73" s="545">
        <f ca="1">IF(AND($D73="Serviço",AP$12&lt;&gt;0,$H73&gt;0,OR(AUTOEVENTO&lt;&gt;"manual",$M73&lt;&gt;1)),
IF(Import.TipoArredondamento&lt;&gt;"TransfereGOV",
ROUND(OFFSET($P73,0,AP$13),15-13*ORÇAMENTO!$AF$7)/$H73*OFFSET(ORÇAMENTO!$X$15,ROW(AP73)-ROW(AP$15),0),
ROUND(ROUND(OFFSET($P73,0,AP$13),15-13*ORÇAMENTO!$AF$7)*OFFSET(ORÇAMENTO!$W$15,ROW(AP73)-ROW(AP$15),0),15-13*ORÇAMENTO!$AF$11)),0)</f>
        <v>0</v>
      </c>
      <c r="AQ73" s="545">
        <f ca="1">IF(AND($D73="Serviço",AQ$12&lt;&gt;0,$H73&gt;0,OR(AUTOEVENTO&lt;&gt;"manual",$M73&lt;&gt;1)),
IF(Import.TipoArredondamento&lt;&gt;"TransfereGOV",
ROUND(OFFSET($P73,0,AQ$13),15-13*ORÇAMENTO!$AF$7)/$H73*OFFSET(ORÇAMENTO!$X$15,ROW(AQ73)-ROW(AQ$15),0),
ROUND(ROUND(OFFSET($P73,0,AQ$13),15-13*ORÇAMENTO!$AF$7)*OFFSET(ORÇAMENTO!$W$15,ROW(AQ73)-ROW(AQ$15),0),15-13*ORÇAMENTO!$AF$11)),0)</f>
        <v>0</v>
      </c>
      <c r="AR73" s="545">
        <f ca="1">IF(AND($D73="Serviço",AR$12&lt;&gt;0,$H73&gt;0,OR(AUTOEVENTO&lt;&gt;"manual",$M73&lt;&gt;1)),
IF(Import.TipoArredondamento&lt;&gt;"TransfereGOV",
ROUND(OFFSET($P73,0,AR$13),15-13*ORÇAMENTO!$AF$7)/$H73*OFFSET(ORÇAMENTO!$X$15,ROW(AR73)-ROW(AR$15),0),
ROUND(ROUND(OFFSET($P73,0,AR$13),15-13*ORÇAMENTO!$AF$7)*OFFSET(ORÇAMENTO!$W$15,ROW(AR73)-ROW(AR$15),0),15-13*ORÇAMENTO!$AF$11)),0)</f>
        <v>0</v>
      </c>
      <c r="AS73" s="546">
        <f ca="1">IF(AND($D73="Serviço",AS$12&lt;&gt;0,$H73&gt;0,OR(AUTOEVENTO&lt;&gt;"manual",$M73&lt;&gt;1)),
IF(Import.TipoArredondamento&lt;&gt;"TransfereGOV",
ROUND(OFFSET($P73,0,AS$13),15-13*ORÇAMENTO!$AF$7)/$H73*OFFSET(ORÇAMENTO!$X$15,ROW(AS73)-ROW(AS$15),0),
ROUND(ROUND(OFFSET($P73,0,AS$13),15-13*ORÇAMENTO!$AF$7)*OFFSET(ORÇAMENTO!$W$15,ROW(AS73)-ROW(AS$15),0),15-13*ORÇAMENTO!$AF$11)),0)</f>
        <v>0</v>
      </c>
      <c r="AT73" s="545">
        <f ca="1">IF(AND($D73="Serviço",AT$12&lt;&gt;0,$H73&gt;0,OR(AUTOEVENTO&lt;&gt;"manual",$M73&lt;&gt;1)),
IF(Import.TipoArredondamento&lt;&gt;"TransfereGOV",
ROUND(OFFSET($P73,0,AT$13),15-13*ORÇAMENTO!$AF$7)/$H73*OFFSET(ORÇAMENTO!$X$15,ROW(AT73)-ROW(AT$15),0),
ROUND(ROUND(OFFSET($P73,0,AT$13),15-13*ORÇAMENTO!$AF$7)*OFFSET(ORÇAMENTO!$W$15,ROW(AT73)-ROW(AT$15),0),15-13*ORÇAMENTO!$AF$11)),0)</f>
        <v>0</v>
      </c>
      <c r="AU73" s="545">
        <f ca="1">IF(AND($D73="Serviço",AU$12&lt;&gt;0,$H73&gt;0,OR(AUTOEVENTO&lt;&gt;"manual",$M73&lt;&gt;1)),
IF(Import.TipoArredondamento&lt;&gt;"TransfereGOV",
ROUND(OFFSET($P73,0,AU$13),15-13*ORÇAMENTO!$AF$7)/$H73*OFFSET(ORÇAMENTO!$X$15,ROW(AU73)-ROW(AU$15),0),
ROUND(ROUND(OFFSET($P73,0,AU$13),15-13*ORÇAMENTO!$AF$7)*OFFSET(ORÇAMENTO!$W$15,ROW(AU73)-ROW(AU$15),0),15-13*ORÇAMENTO!$AF$11)),0)</f>
        <v>0</v>
      </c>
      <c r="AV73" s="545">
        <f ca="1">IF(AND($D73="Serviço",AV$12&lt;&gt;0,$H73&gt;0,OR(AUTOEVENTO&lt;&gt;"manual",$M73&lt;&gt;1)),
IF(Import.TipoArredondamento&lt;&gt;"TransfereGOV",
ROUND(OFFSET($P73,0,AV$13),15-13*ORÇAMENTO!$AF$7)/$H73*OFFSET(ORÇAMENTO!$X$15,ROW(AV73)-ROW(AV$15),0),
ROUND(ROUND(OFFSET($P73,0,AV$13),15-13*ORÇAMENTO!$AF$7)*OFFSET(ORÇAMENTO!$W$15,ROW(AV73)-ROW(AV$15),0),15-13*ORÇAMENTO!$AF$11)),0)</f>
        <v>0</v>
      </c>
      <c r="AW73" s="545">
        <f ca="1">IF(AND($D73="Serviço",AW$12&lt;&gt;0,$H73&gt;0,OR(AUTOEVENTO&lt;&gt;"manual",$M73&lt;&gt;1)),
IF(Import.TipoArredondamento&lt;&gt;"TransfereGOV",
ROUND(OFFSET($P73,0,AW$13),15-13*ORÇAMENTO!$AF$7)/$H73*OFFSET(ORÇAMENTO!$X$15,ROW(AW73)-ROW(AW$15),0),
ROUND(ROUND(OFFSET($P73,0,AW$13),15-13*ORÇAMENTO!$AF$7)*OFFSET(ORÇAMENTO!$W$15,ROW(AW73)-ROW(AW$15),0),15-13*ORÇAMENTO!$AF$11)),0)</f>
        <v>0</v>
      </c>
      <c r="AX73" s="545">
        <f ca="1">IF(AND($D73="Serviço",AX$12&lt;&gt;0,$H73&gt;0,OR(AUTOEVENTO&lt;&gt;"manual",$M73&lt;&gt;1)),
IF(Import.TipoArredondamento&lt;&gt;"TransfereGOV",
ROUND(OFFSET($P73,0,AX$13),15-13*ORÇAMENTO!$AF$7)/$H73*OFFSET(ORÇAMENTO!$X$15,ROW(AX73)-ROW(AX$15),0),
ROUND(ROUND(OFFSET($P73,0,AX$13),15-13*ORÇAMENTO!$AF$7)*OFFSET(ORÇAMENTO!$W$15,ROW(AX73)-ROW(AX$15),0),15-13*ORÇAMENTO!$AF$11)),0)</f>
        <v>0</v>
      </c>
      <c r="AY73" s="545">
        <f ca="1">IF(AND($D73="Serviço",AY$12&lt;&gt;0,$H73&gt;0,OR(AUTOEVENTO&lt;&gt;"manual",$M73&lt;&gt;1)),
IF(Import.TipoArredondamento&lt;&gt;"TransfereGOV",
ROUND(OFFSET($P73,0,AY$13),15-13*ORÇAMENTO!$AF$7)/$H73*OFFSET(ORÇAMENTO!$X$15,ROW(AY73)-ROW(AY$15),0),
ROUND(ROUND(OFFSET($P73,0,AY$13),15-13*ORÇAMENTO!$AF$7)*OFFSET(ORÇAMENTO!$W$15,ROW(AY73)-ROW(AY$15),0),15-13*ORÇAMENTO!$AF$11)),0)</f>
        <v>0</v>
      </c>
      <c r="AZ73" s="545">
        <f ca="1">IF(AND($D73="Serviço",AZ$12&lt;&gt;0,$H73&gt;0,OR(AUTOEVENTO&lt;&gt;"manual",$M73&lt;&gt;1)),
IF(Import.TipoArredondamento&lt;&gt;"TransfereGOV",
ROUND(OFFSET($P73,0,AZ$13),15-13*ORÇAMENTO!$AF$7)/$H73*OFFSET(ORÇAMENTO!$X$15,ROW(AZ73)-ROW(AZ$15),0),
ROUND(ROUND(OFFSET($P73,0,AZ$13),15-13*ORÇAMENTO!$AF$7)*OFFSET(ORÇAMENTO!$W$15,ROW(AZ73)-ROW(AZ$15),0),15-13*ORÇAMENTO!$AF$11)),0)</f>
        <v>0</v>
      </c>
      <c r="BA73" s="546">
        <f ca="1">IF(AND($D73="Serviço",BA$12&lt;&gt;0,$H73&gt;0,OR(AUTOEVENTO&lt;&gt;"manual",$M73&lt;&gt;1)),
IF(Import.TipoArredondamento&lt;&gt;"TransfereGOV",
ROUND(OFFSET($P73,0,BA$13),15-13*ORÇAMENTO!$AF$7)/$H73*OFFSET(ORÇAMENTO!$X$15,ROW(BA73)-ROW(BA$15),0),
ROUND(ROUND(OFFSET($P73,0,BA$13),15-13*ORÇAMENTO!$AF$7)*OFFSET(ORÇAMENTO!$W$15,ROW(BA73)-ROW(BA$15),0),15-13*ORÇAMENTO!$AF$11)),0)</f>
        <v>0</v>
      </c>
      <c r="BC73" s="181">
        <f ca="1">IF($D73&lt;&gt;"Serviço",0,IF(AND(AUTOEVENTO="Manual",$M73=1),0,IF(OFFSET(CRONOPLE!$F$14,$M73,BC$13)="",10^12,OFFSET(CRONOPLE!$F$14,$M73,BC$13))))</f>
        <v>3</v>
      </c>
      <c r="BD73" s="181">
        <f ca="1">IF($D73&lt;&gt;"Serviço",0,IF(AND(AUTOEVENTO="Manual",$M73=1),0,IF(OFFSET(CRONOPLE!$F$14,$M73,BD$13)="",10^12,OFFSET(CRONOPLE!$F$14,$M73,BD$13))))</f>
        <v>1000000000000</v>
      </c>
      <c r="BE73" s="181">
        <f ca="1">IF($D73&lt;&gt;"Serviço",0,IF(AND(AUTOEVENTO="Manual",$M73=1),0,IF(OFFSET(CRONOPLE!$F$14,$M73,BE$13)="",10^12,OFFSET(CRONOPLE!$F$14,$M73,BE$13))))</f>
        <v>1000000000000</v>
      </c>
      <c r="BF73" s="181">
        <f ca="1">IF($D73&lt;&gt;"Serviço",0,IF(AND(AUTOEVENTO="Manual",$M73=1),0,IF(OFFSET(CRONOPLE!$F$14,$M73,BF$13)="",10^12,OFFSET(CRONOPLE!$F$14,$M73,BF$13))))</f>
        <v>1000000000000</v>
      </c>
      <c r="BG73" s="181">
        <f ca="1">IF($D73&lt;&gt;"Serviço",0,IF(AND(AUTOEVENTO="Manual",$M73=1),0,IF(OFFSET(CRONOPLE!$F$14,$M73,BG$13)="",10^12,OFFSET(CRONOPLE!$F$14,$M73,BG$13))))</f>
        <v>1000000000000</v>
      </c>
      <c r="BH73" s="181">
        <f ca="1">IF($D73&lt;&gt;"Serviço",0,IF(AND(AUTOEVENTO="Manual",$M73=1),0,IF(OFFSET(CRONOPLE!$F$14,$M73,BH$13)="",10^12,OFFSET(CRONOPLE!$F$14,$M73,BH$13))))</f>
        <v>1000000000000</v>
      </c>
      <c r="BI73" s="181">
        <f ca="1">IF($D73&lt;&gt;"Serviço",0,IF(AND(AUTOEVENTO="Manual",$M73=1),0,IF(OFFSET(CRONOPLE!$F$14,$M73,BI$13)="",10^12,OFFSET(CRONOPLE!$F$14,$M73,BI$13))))</f>
        <v>1000000000000</v>
      </c>
      <c r="BJ73" s="181">
        <f ca="1">IF($D73&lt;&gt;"Serviço",0,IF(AND(AUTOEVENTO="Manual",$M73=1),0,IF(OFFSET(CRONOPLE!$F$14,$M73,BJ$13)="",10^12,OFFSET(CRONOPLE!$F$14,$M73,BJ$13))))</f>
        <v>1000000000000</v>
      </c>
      <c r="BK73" s="181">
        <f ca="1">IF($D73&lt;&gt;"Serviço",0,IF(AND(AUTOEVENTO="Manual",$M73=1),0,IF(OFFSET(CRONOPLE!$F$14,$M73,BK$13)="",10^12,OFFSET(CRONOPLE!$F$14,$M73,BK$13))))</f>
        <v>1000000000000</v>
      </c>
      <c r="BL73" s="181">
        <f ca="1">IF($D73&lt;&gt;"Serviço",0,IF(AND(AUTOEVENTO="Manual",$M73=1),0,IF(OFFSET(CRONOPLE!$F$14,$M73,BL$13)="",10^12,OFFSET(CRONOPLE!$F$14,$M73,BL$13))))</f>
        <v>1000000000000</v>
      </c>
      <c r="BM73" s="181">
        <f ca="1">IF($D73&lt;&gt;"Serviço",0,IF(AND(AUTOEVENTO="Manual",$M73=1),0,IF(OFFSET(CRONOPLE!$F$14,$M73,BM$13)="",10^12,OFFSET(CRONOPLE!$F$14,$M73,BM$13))))</f>
        <v>1000000000000</v>
      </c>
      <c r="BN73" s="181">
        <f ca="1">IF($D73&lt;&gt;"Serviço",0,IF(AND(AUTOEVENTO="Manual",$M73=1),0,IF(OFFSET(CRONOPLE!$F$14,$M73,BN$13)="",10^12,OFFSET(CRONOPLE!$F$14,$M73,BN$13))))</f>
        <v>1000000000000</v>
      </c>
      <c r="BO73" s="181">
        <f ca="1">IF($D73&lt;&gt;"Serviço",0,IF(AND(AUTOEVENTO="Manual",$M73=1),0,IF(OFFSET(CRONOPLE!$F$14,$M73,BO$13)="",10^12,OFFSET(CRONOPLE!$F$14,$M73,BO$13))))</f>
        <v>1000000000000</v>
      </c>
      <c r="BP73" s="181">
        <f ca="1">IF($D73&lt;&gt;"Serviço",0,IF(AND(AUTOEVENTO="Manual",$M73=1),0,IF(OFFSET(CRONOPLE!$F$14,$M73,BP$13)="",10^12,OFFSET(CRONOPLE!$F$14,$M73,BP$13))))</f>
        <v>1000000000000</v>
      </c>
      <c r="BQ73" s="181">
        <f ca="1">IF($D73&lt;&gt;"Serviço",0,IF(AND(AUTOEVENTO="Manual",$M73=1),0,IF(OFFSET(CRONOPLE!$F$14,$M73,BQ$13)="",10^12,OFFSET(CRONOPLE!$F$14,$M73,BQ$13))))</f>
        <v>1000000000000</v>
      </c>
      <c r="BR73" s="181">
        <f ca="1">IF($D73&lt;&gt;"Serviço",0,IF(AND(AUTOEVENTO="Manual",$M73=1),0,IF(OFFSET(CRONOPLE!$F$14,$M73,BR$13)="",10^12,OFFSET(CRONOPLE!$F$14,$M73,BR$13))))</f>
        <v>1000000000000</v>
      </c>
      <c r="BS73" s="181">
        <f ca="1">IF($D73&lt;&gt;"Serviço",0,IF(AND(AUTOEVENTO="Manual",$M73=1),0,IF(OFFSET(CRONOPLE!$F$14,$M73,BS$13)="",10^12,OFFSET(CRONOPLE!$F$14,$M73,BS$13))))</f>
        <v>1000000000000</v>
      </c>
      <c r="BT73" s="181">
        <f ca="1">IF($D73&lt;&gt;"Serviço",0,IF(AND(AUTOEVENTO="Manual",$M73=1),0,IF(OFFSET(CRONOPLE!$F$14,$M73,BT$13)="",10^12,OFFSET(CRONOPLE!$F$14,$M73,BT$13))))</f>
        <v>1000000000000</v>
      </c>
      <c r="BV73" s="182">
        <f ca="1">IF($D73&lt;&gt;"Serviço",0,IF(OR(AND(AUTOEVENTO="Manual",$M73=1),$M73&gt;(ROW(PLE.lastrow)-ROW(PLE.firstrow))),0,IF(OFFSET(PLE!$G$14,$M73,BV$13)="",10^12,OFFSET(PLE!$G$14,$M73,BV$13))))</f>
        <v>1000000000000</v>
      </c>
      <c r="BW73" s="182">
        <f ca="1">IF($D73&lt;&gt;"Serviço",0,IF(OR(AND(AUTOEVENTO="Manual",$M73=1),$M73&gt;(ROW(PLE.lastrow)-ROW(PLE.firstrow))),0,IF(OFFSET(PLE!$G$14,$M73,BW$13)="",10^12,OFFSET(PLE!$G$14,$M73,BW$13))))</f>
        <v>1000000000000</v>
      </c>
      <c r="BX73" s="182">
        <f ca="1">IF($D73&lt;&gt;"Serviço",0,IF(OR(AND(AUTOEVENTO="Manual",$M73=1),$M73&gt;(ROW(PLE.lastrow)-ROW(PLE.firstrow))),0,IF(OFFSET(PLE!$G$14,$M73,BX$13)="",10^12,OFFSET(PLE!$G$14,$M73,BX$13))))</f>
        <v>1000000000000</v>
      </c>
      <c r="BY73" s="182">
        <f ca="1">IF($D73&lt;&gt;"Serviço",0,IF(OR(AND(AUTOEVENTO="Manual",$M73=1),$M73&gt;(ROW(PLE.lastrow)-ROW(PLE.firstrow))),0,IF(OFFSET(PLE!$G$14,$M73,BY$13)="",10^12,OFFSET(PLE!$G$14,$M73,BY$13))))</f>
        <v>1000000000000</v>
      </c>
      <c r="BZ73" s="182">
        <f ca="1">IF($D73&lt;&gt;"Serviço",0,IF(OR(AND(AUTOEVENTO="Manual",$M73=1),$M73&gt;(ROW(PLE.lastrow)-ROW(PLE.firstrow))),0,IF(OFFSET(PLE!$G$14,$M73,BZ$13)="",10^12,OFFSET(PLE!$G$14,$M73,BZ$13))))</f>
        <v>1000000000000</v>
      </c>
      <c r="CA73" s="182">
        <f ca="1">IF($D73&lt;&gt;"Serviço",0,IF(OR(AND(AUTOEVENTO="Manual",$M73=1),$M73&gt;(ROW(PLE.lastrow)-ROW(PLE.firstrow))),0,IF(OFFSET(PLE!$G$14,$M73,CA$13)="",10^12,OFFSET(PLE!$G$14,$M73,CA$13))))</f>
        <v>1000000000000</v>
      </c>
      <c r="CB73" s="182">
        <f ca="1">IF($D73&lt;&gt;"Serviço",0,IF(OR(AND(AUTOEVENTO="Manual",$M73=1),$M73&gt;(ROW(PLE.lastrow)-ROW(PLE.firstrow))),0,IF(OFFSET(PLE!$G$14,$M73,CB$13)="",10^12,OFFSET(PLE!$G$14,$M73,CB$13))))</f>
        <v>1000000000000</v>
      </c>
      <c r="CC73" s="182">
        <f ca="1">IF($D73&lt;&gt;"Serviço",0,IF(OR(AND(AUTOEVENTO="Manual",$M73=1),$M73&gt;(ROW(PLE.lastrow)-ROW(PLE.firstrow))),0,IF(OFFSET(PLE!$G$14,$M73,CC$13)="",10^12,OFFSET(PLE!$G$14,$M73,CC$13))))</f>
        <v>1000000000000</v>
      </c>
      <c r="CD73" s="182">
        <f ca="1">IF($D73&lt;&gt;"Serviço",0,IF(OR(AND(AUTOEVENTO="Manual",$M73=1),$M73&gt;(ROW(PLE.lastrow)-ROW(PLE.firstrow))),0,IF(OFFSET(PLE!$G$14,$M73,CD$13)="",10^12,OFFSET(PLE!$G$14,$M73,CD$13))))</f>
        <v>1000000000000</v>
      </c>
      <c r="CE73" s="182">
        <f ca="1">IF($D73&lt;&gt;"Serviço",0,IF(OR(AND(AUTOEVENTO="Manual",$M73=1),$M73&gt;(ROW(PLE.lastrow)-ROW(PLE.firstrow))),0,IF(OFFSET(PLE!$G$14,$M73,CE$13)="",10^12,OFFSET(PLE!$G$14,$M73,CE$13))))</f>
        <v>1000000000000</v>
      </c>
      <c r="CF73" s="182">
        <f ca="1">IF($D73&lt;&gt;"Serviço",0,IF(OR(AND(AUTOEVENTO="Manual",$M73=1),$M73&gt;(ROW(PLE.lastrow)-ROW(PLE.firstrow))),0,IF(OFFSET(PLE!$G$14,$M73,CF$13)="",10^12,OFFSET(PLE!$G$14,$M73,CF$13))))</f>
        <v>1000000000000</v>
      </c>
      <c r="CG73" s="182">
        <f ca="1">IF($D73&lt;&gt;"Serviço",0,IF(OR(AND(AUTOEVENTO="Manual",$M73=1),$M73&gt;(ROW(PLE.lastrow)-ROW(PLE.firstrow))),0,IF(OFFSET(PLE!$G$14,$M73,CG$13)="",10^12,OFFSET(PLE!$G$14,$M73,CG$13))))</f>
        <v>1000000000000</v>
      </c>
      <c r="CH73" s="182">
        <f ca="1">IF($D73&lt;&gt;"Serviço",0,IF(OR(AND(AUTOEVENTO="Manual",$M73=1),$M73&gt;(ROW(PLE.lastrow)-ROW(PLE.firstrow))),0,IF(OFFSET(PLE!$G$14,$M73,CH$13)="",10^12,OFFSET(PLE!$G$14,$M73,CH$13))))</f>
        <v>1000000000000</v>
      </c>
      <c r="CI73" s="182">
        <f ca="1">IF($D73&lt;&gt;"Serviço",0,IF(OR(AND(AUTOEVENTO="Manual",$M73=1),$M73&gt;(ROW(PLE.lastrow)-ROW(PLE.firstrow))),0,IF(OFFSET(PLE!$G$14,$M73,CI$13)="",10^12,OFFSET(PLE!$G$14,$M73,CI$13))))</f>
        <v>1000000000000</v>
      </c>
      <c r="CJ73" s="182">
        <f ca="1">IF($D73&lt;&gt;"Serviço",0,IF(OR(AND(AUTOEVENTO="Manual",$M73=1),$M73&gt;(ROW(PLE.lastrow)-ROW(PLE.firstrow))),0,IF(OFFSET(PLE!$G$14,$M73,CJ$13)="",10^12,OFFSET(PLE!$G$14,$M73,CJ$13))))</f>
        <v>1000000000000</v>
      </c>
      <c r="CK73" s="182">
        <f ca="1">IF($D73&lt;&gt;"Serviço",0,IF(OR(AND(AUTOEVENTO="Manual",$M73=1),$M73&gt;(ROW(PLE.lastrow)-ROW(PLE.firstrow))),0,IF(OFFSET(PLE!$G$14,$M73,CK$13)="",10^12,OFFSET(PLE!$G$14,$M73,CK$13))))</f>
        <v>1000000000000</v>
      </c>
      <c r="CL73" s="182">
        <f ca="1">IF($D73&lt;&gt;"Serviço",0,IF(OR(AND(AUTOEVENTO="Manual",$M73=1),$M73&gt;(ROW(PLE.lastrow)-ROW(PLE.firstrow))),0,IF(OFFSET(PLE!$G$14,$M73,CL$13)="",10^12,OFFSET(PLE!$G$14,$M73,CL$13))))</f>
        <v>1000000000000</v>
      </c>
      <c r="CM73" s="182">
        <f ca="1">IF($D73&lt;&gt;"Serviço",0,IF(OR(AND(AUTOEVENTO="Manual",$M73=1),$M73&gt;(ROW(PLE.lastrow)-ROW(PLE.firstrow))),0,IF(OFFSET(PLE!$G$14,$M73,CM$13)="",10^12,OFFSET(PLE!$G$14,$M73,CM$13))))</f>
        <v>1000000000000</v>
      </c>
    </row>
    <row r="74" spans="1:91" ht="12.75" x14ac:dyDescent="0.2">
      <c r="A74" s="7" t="str">
        <f t="shared" ca="1" si="10"/>
        <v>59.</v>
      </c>
      <c r="B74" s="7">
        <f ca="1">OFFSET(ORÇAMENTO!C$15,ROW(B74)-ROW(B$15),0)</f>
        <v>2</v>
      </c>
      <c r="C74" s="7" t="str">
        <f ca="1">OFFSET(ORÇAMENTO!L$15,ROW(C74)-ROW(C$15),0)</f>
        <v>F</v>
      </c>
      <c r="D74" s="118" t="str">
        <f ca="1">OFFSET(ORÇAMENTO!N$15,ROW(D74)-ROW(D$15),0)</f>
        <v>Nível 2</v>
      </c>
      <c r="E74" s="119" t="str">
        <f ca="1">OFFSET(ORÇAMENTO!O$15,ROW(E74)-ROW(E$15),0)</f>
        <v>1.10.</v>
      </c>
      <c r="F74" s="172" t="str">
        <f ca="1">OFFSET(ORÇAMENTO!R$15,ROW(F74)-ROW(F$15),0)</f>
        <v>SUPERESTRUTURA - CONCRETO ARMADO PARA VERGAS</v>
      </c>
      <c r="G74" s="173" t="str">
        <f ca="1">IF($D74&lt;&gt;"Serviço","",OFFSET(ORÇAMENTO!S$15,ROW(G74)-ROW(G$15),0))</f>
        <v/>
      </c>
      <c r="H74" s="124">
        <f ca="1">IF($D74&lt;&gt;"Serviço",0,IF(ACOMPANHAMENTO="BM",ROUND(OFFSET(ORÇAMENTO!AJ$15,ROW(H74)-ROW(H$15),0),15-13*ORÇAMENTO!$AF$7),SUMPRODUCT(($Q$12:$AI$12&lt;&gt;"")*ROUND($Q74:$AI74,15-13*ORÇAMENTO!$AF$7))))</f>
        <v>0</v>
      </c>
      <c r="I74" s="561"/>
      <c r="K74" s="174" t="s">
        <v>1023</v>
      </c>
      <c r="L74" s="175" t="s">
        <v>255</v>
      </c>
      <c r="M74" s="176" t="str">
        <f ca="1">IF($D74&lt;&gt;"Serviço","",IF(AUTOEVENTO="manual",$A74,IF(ISERROR(MATCH($A74,$A$15:OFFSET($A74,-1,0),0)),MAX($M$15:OFFSET(M74,-1,0))+1,INDEX($M$15:OFFSET(M74,-1,0),MATCH($A74,$A$15:OFFSET($A74,-1,0),0)))))</f>
        <v/>
      </c>
      <c r="N74" s="177" t="str">
        <f ca="1">IF($D74&lt;&gt;"Serviço","",IF(AUTOEVENTO="Manual",IF($A74=0,"&lt;-- defina o número do agrupador",OFFSET(EVENTOS!$D$14,$A74,0)),OFFSET($F$15,$A74,0)))</f>
        <v/>
      </c>
      <c r="O74" s="178"/>
      <c r="Q74" s="178"/>
      <c r="R74" s="179"/>
      <c r="S74" s="179"/>
      <c r="T74" s="179"/>
      <c r="U74" s="179"/>
      <c r="V74" s="179"/>
      <c r="W74" s="179"/>
      <c r="X74" s="179"/>
      <c r="Y74" s="179"/>
      <c r="Z74" s="180"/>
      <c r="AA74" s="179"/>
      <c r="AB74" s="179"/>
      <c r="AC74" s="179"/>
      <c r="AD74" s="179"/>
      <c r="AE74" s="179"/>
      <c r="AF74" s="179"/>
      <c r="AG74" s="179"/>
      <c r="AH74" s="180"/>
      <c r="AJ74" s="544">
        <f ca="1">IF(AND($D74="Serviço",AJ$12&lt;&gt;0,$H74&gt;0,OR(AUTOEVENTO&lt;&gt;"manual",$M74&lt;&gt;1)),
IF(Import.TipoArredondamento&lt;&gt;"TransfereGOV",
ROUND(OFFSET($P74,0,AJ$13),15-13*ORÇAMENTO!$AF$7)/$H74*OFFSET(ORÇAMENTO!$X$15,ROW(AJ74)-ROW(AJ$15),0),
ROUND(ROUND(OFFSET($P74,0,AJ$13),15-13*ORÇAMENTO!$AF$7)*OFFSET(ORÇAMENTO!$W$15,ROW(AJ74)-ROW(AJ$15),0),15-13*ORÇAMENTO!$AF$11)),0)</f>
        <v>0</v>
      </c>
      <c r="AK74" s="545">
        <f ca="1">IF(AND($D74="Serviço",AK$12&lt;&gt;0,$H74&gt;0,OR(AUTOEVENTO&lt;&gt;"manual",$M74&lt;&gt;1)),
IF(Import.TipoArredondamento&lt;&gt;"TransfereGOV",
ROUND(OFFSET($P74,0,AK$13),15-13*ORÇAMENTO!$AF$7)/$H74*OFFSET(ORÇAMENTO!$X$15,ROW(AK74)-ROW(AK$15),0),
ROUND(ROUND(OFFSET($P74,0,AK$13),15-13*ORÇAMENTO!$AF$7)*OFFSET(ORÇAMENTO!$W$15,ROW(AK74)-ROW(AK$15),0),15-13*ORÇAMENTO!$AF$11)),0)</f>
        <v>0</v>
      </c>
      <c r="AL74" s="545">
        <f ca="1">IF(AND($D74="Serviço",AL$12&lt;&gt;0,$H74&gt;0,OR(AUTOEVENTO&lt;&gt;"manual",$M74&lt;&gt;1)),
IF(Import.TipoArredondamento&lt;&gt;"TransfereGOV",
ROUND(OFFSET($P74,0,AL$13),15-13*ORÇAMENTO!$AF$7)/$H74*OFFSET(ORÇAMENTO!$X$15,ROW(AL74)-ROW(AL$15),0),
ROUND(ROUND(OFFSET($P74,0,AL$13),15-13*ORÇAMENTO!$AF$7)*OFFSET(ORÇAMENTO!$W$15,ROW(AL74)-ROW(AL$15),0),15-13*ORÇAMENTO!$AF$11)),0)</f>
        <v>0</v>
      </c>
      <c r="AM74" s="545">
        <f ca="1">IF(AND($D74="Serviço",AM$12&lt;&gt;0,$H74&gt;0,OR(AUTOEVENTO&lt;&gt;"manual",$M74&lt;&gt;1)),
IF(Import.TipoArredondamento&lt;&gt;"TransfereGOV",
ROUND(OFFSET($P74,0,AM$13),15-13*ORÇAMENTO!$AF$7)/$H74*OFFSET(ORÇAMENTO!$X$15,ROW(AM74)-ROW(AM$15),0),
ROUND(ROUND(OFFSET($P74,0,AM$13),15-13*ORÇAMENTO!$AF$7)*OFFSET(ORÇAMENTO!$W$15,ROW(AM74)-ROW(AM$15),0),15-13*ORÇAMENTO!$AF$11)),0)</f>
        <v>0</v>
      </c>
      <c r="AN74" s="545">
        <f ca="1">IF(AND($D74="Serviço",AN$12&lt;&gt;0,$H74&gt;0,OR(AUTOEVENTO&lt;&gt;"manual",$M74&lt;&gt;1)),
IF(Import.TipoArredondamento&lt;&gt;"TransfereGOV",
ROUND(OFFSET($P74,0,AN$13),15-13*ORÇAMENTO!$AF$7)/$H74*OFFSET(ORÇAMENTO!$X$15,ROW(AN74)-ROW(AN$15),0),
ROUND(ROUND(OFFSET($P74,0,AN$13),15-13*ORÇAMENTO!$AF$7)*OFFSET(ORÇAMENTO!$W$15,ROW(AN74)-ROW(AN$15),0),15-13*ORÇAMENTO!$AF$11)),0)</f>
        <v>0</v>
      </c>
      <c r="AO74" s="545">
        <f ca="1">IF(AND($D74="Serviço",AO$12&lt;&gt;0,$H74&gt;0,OR(AUTOEVENTO&lt;&gt;"manual",$M74&lt;&gt;1)),
IF(Import.TipoArredondamento&lt;&gt;"TransfereGOV",
ROUND(OFFSET($P74,0,AO$13),15-13*ORÇAMENTO!$AF$7)/$H74*OFFSET(ORÇAMENTO!$X$15,ROW(AO74)-ROW(AO$15),0),
ROUND(ROUND(OFFSET($P74,0,AO$13),15-13*ORÇAMENTO!$AF$7)*OFFSET(ORÇAMENTO!$W$15,ROW(AO74)-ROW(AO$15),0),15-13*ORÇAMENTO!$AF$11)),0)</f>
        <v>0</v>
      </c>
      <c r="AP74" s="545">
        <f ca="1">IF(AND($D74="Serviço",AP$12&lt;&gt;0,$H74&gt;0,OR(AUTOEVENTO&lt;&gt;"manual",$M74&lt;&gt;1)),
IF(Import.TipoArredondamento&lt;&gt;"TransfereGOV",
ROUND(OFFSET($P74,0,AP$13),15-13*ORÇAMENTO!$AF$7)/$H74*OFFSET(ORÇAMENTO!$X$15,ROW(AP74)-ROW(AP$15),0),
ROUND(ROUND(OFFSET($P74,0,AP$13),15-13*ORÇAMENTO!$AF$7)*OFFSET(ORÇAMENTO!$W$15,ROW(AP74)-ROW(AP$15),0),15-13*ORÇAMENTO!$AF$11)),0)</f>
        <v>0</v>
      </c>
      <c r="AQ74" s="545">
        <f ca="1">IF(AND($D74="Serviço",AQ$12&lt;&gt;0,$H74&gt;0,OR(AUTOEVENTO&lt;&gt;"manual",$M74&lt;&gt;1)),
IF(Import.TipoArredondamento&lt;&gt;"TransfereGOV",
ROUND(OFFSET($P74,0,AQ$13),15-13*ORÇAMENTO!$AF$7)/$H74*OFFSET(ORÇAMENTO!$X$15,ROW(AQ74)-ROW(AQ$15),0),
ROUND(ROUND(OFFSET($P74,0,AQ$13),15-13*ORÇAMENTO!$AF$7)*OFFSET(ORÇAMENTO!$W$15,ROW(AQ74)-ROW(AQ$15),0),15-13*ORÇAMENTO!$AF$11)),0)</f>
        <v>0</v>
      </c>
      <c r="AR74" s="545">
        <f ca="1">IF(AND($D74="Serviço",AR$12&lt;&gt;0,$H74&gt;0,OR(AUTOEVENTO&lt;&gt;"manual",$M74&lt;&gt;1)),
IF(Import.TipoArredondamento&lt;&gt;"TransfereGOV",
ROUND(OFFSET($P74,0,AR$13),15-13*ORÇAMENTO!$AF$7)/$H74*OFFSET(ORÇAMENTO!$X$15,ROW(AR74)-ROW(AR$15),0),
ROUND(ROUND(OFFSET($P74,0,AR$13),15-13*ORÇAMENTO!$AF$7)*OFFSET(ORÇAMENTO!$W$15,ROW(AR74)-ROW(AR$15),0),15-13*ORÇAMENTO!$AF$11)),0)</f>
        <v>0</v>
      </c>
      <c r="AS74" s="546">
        <f ca="1">IF(AND($D74="Serviço",AS$12&lt;&gt;0,$H74&gt;0,OR(AUTOEVENTO&lt;&gt;"manual",$M74&lt;&gt;1)),
IF(Import.TipoArredondamento&lt;&gt;"TransfereGOV",
ROUND(OFFSET($P74,0,AS$13),15-13*ORÇAMENTO!$AF$7)/$H74*OFFSET(ORÇAMENTO!$X$15,ROW(AS74)-ROW(AS$15),0),
ROUND(ROUND(OFFSET($P74,0,AS$13),15-13*ORÇAMENTO!$AF$7)*OFFSET(ORÇAMENTO!$W$15,ROW(AS74)-ROW(AS$15),0),15-13*ORÇAMENTO!$AF$11)),0)</f>
        <v>0</v>
      </c>
      <c r="AT74" s="545">
        <f ca="1">IF(AND($D74="Serviço",AT$12&lt;&gt;0,$H74&gt;0,OR(AUTOEVENTO&lt;&gt;"manual",$M74&lt;&gt;1)),
IF(Import.TipoArredondamento&lt;&gt;"TransfereGOV",
ROUND(OFFSET($P74,0,AT$13),15-13*ORÇAMENTO!$AF$7)/$H74*OFFSET(ORÇAMENTO!$X$15,ROW(AT74)-ROW(AT$15),0),
ROUND(ROUND(OFFSET($P74,0,AT$13),15-13*ORÇAMENTO!$AF$7)*OFFSET(ORÇAMENTO!$W$15,ROW(AT74)-ROW(AT$15),0),15-13*ORÇAMENTO!$AF$11)),0)</f>
        <v>0</v>
      </c>
      <c r="AU74" s="545">
        <f ca="1">IF(AND($D74="Serviço",AU$12&lt;&gt;0,$H74&gt;0,OR(AUTOEVENTO&lt;&gt;"manual",$M74&lt;&gt;1)),
IF(Import.TipoArredondamento&lt;&gt;"TransfereGOV",
ROUND(OFFSET($P74,0,AU$13),15-13*ORÇAMENTO!$AF$7)/$H74*OFFSET(ORÇAMENTO!$X$15,ROW(AU74)-ROW(AU$15),0),
ROUND(ROUND(OFFSET($P74,0,AU$13),15-13*ORÇAMENTO!$AF$7)*OFFSET(ORÇAMENTO!$W$15,ROW(AU74)-ROW(AU$15),0),15-13*ORÇAMENTO!$AF$11)),0)</f>
        <v>0</v>
      </c>
      <c r="AV74" s="545">
        <f ca="1">IF(AND($D74="Serviço",AV$12&lt;&gt;0,$H74&gt;0,OR(AUTOEVENTO&lt;&gt;"manual",$M74&lt;&gt;1)),
IF(Import.TipoArredondamento&lt;&gt;"TransfereGOV",
ROUND(OFFSET($P74,0,AV$13),15-13*ORÇAMENTO!$AF$7)/$H74*OFFSET(ORÇAMENTO!$X$15,ROW(AV74)-ROW(AV$15),0),
ROUND(ROUND(OFFSET($P74,0,AV$13),15-13*ORÇAMENTO!$AF$7)*OFFSET(ORÇAMENTO!$W$15,ROW(AV74)-ROW(AV$15),0),15-13*ORÇAMENTO!$AF$11)),0)</f>
        <v>0</v>
      </c>
      <c r="AW74" s="545">
        <f ca="1">IF(AND($D74="Serviço",AW$12&lt;&gt;0,$H74&gt;0,OR(AUTOEVENTO&lt;&gt;"manual",$M74&lt;&gt;1)),
IF(Import.TipoArredondamento&lt;&gt;"TransfereGOV",
ROUND(OFFSET($P74,0,AW$13),15-13*ORÇAMENTO!$AF$7)/$H74*OFFSET(ORÇAMENTO!$X$15,ROW(AW74)-ROW(AW$15),0),
ROUND(ROUND(OFFSET($P74,0,AW$13),15-13*ORÇAMENTO!$AF$7)*OFFSET(ORÇAMENTO!$W$15,ROW(AW74)-ROW(AW$15),0),15-13*ORÇAMENTO!$AF$11)),0)</f>
        <v>0</v>
      </c>
      <c r="AX74" s="545">
        <f ca="1">IF(AND($D74="Serviço",AX$12&lt;&gt;0,$H74&gt;0,OR(AUTOEVENTO&lt;&gt;"manual",$M74&lt;&gt;1)),
IF(Import.TipoArredondamento&lt;&gt;"TransfereGOV",
ROUND(OFFSET($P74,0,AX$13),15-13*ORÇAMENTO!$AF$7)/$H74*OFFSET(ORÇAMENTO!$X$15,ROW(AX74)-ROW(AX$15),0),
ROUND(ROUND(OFFSET($P74,0,AX$13),15-13*ORÇAMENTO!$AF$7)*OFFSET(ORÇAMENTO!$W$15,ROW(AX74)-ROW(AX$15),0),15-13*ORÇAMENTO!$AF$11)),0)</f>
        <v>0</v>
      </c>
      <c r="AY74" s="545">
        <f ca="1">IF(AND($D74="Serviço",AY$12&lt;&gt;0,$H74&gt;0,OR(AUTOEVENTO&lt;&gt;"manual",$M74&lt;&gt;1)),
IF(Import.TipoArredondamento&lt;&gt;"TransfereGOV",
ROUND(OFFSET($P74,0,AY$13),15-13*ORÇAMENTO!$AF$7)/$H74*OFFSET(ORÇAMENTO!$X$15,ROW(AY74)-ROW(AY$15),0),
ROUND(ROUND(OFFSET($P74,0,AY$13),15-13*ORÇAMENTO!$AF$7)*OFFSET(ORÇAMENTO!$W$15,ROW(AY74)-ROW(AY$15),0),15-13*ORÇAMENTO!$AF$11)),0)</f>
        <v>0</v>
      </c>
      <c r="AZ74" s="545">
        <f ca="1">IF(AND($D74="Serviço",AZ$12&lt;&gt;0,$H74&gt;0,OR(AUTOEVENTO&lt;&gt;"manual",$M74&lt;&gt;1)),
IF(Import.TipoArredondamento&lt;&gt;"TransfereGOV",
ROUND(OFFSET($P74,0,AZ$13),15-13*ORÇAMENTO!$AF$7)/$H74*OFFSET(ORÇAMENTO!$X$15,ROW(AZ74)-ROW(AZ$15),0),
ROUND(ROUND(OFFSET($P74,0,AZ$13),15-13*ORÇAMENTO!$AF$7)*OFFSET(ORÇAMENTO!$W$15,ROW(AZ74)-ROW(AZ$15),0),15-13*ORÇAMENTO!$AF$11)),0)</f>
        <v>0</v>
      </c>
      <c r="BA74" s="546">
        <f ca="1">IF(AND($D74="Serviço",BA$12&lt;&gt;0,$H74&gt;0,OR(AUTOEVENTO&lt;&gt;"manual",$M74&lt;&gt;1)),
IF(Import.TipoArredondamento&lt;&gt;"TransfereGOV",
ROUND(OFFSET($P74,0,BA$13),15-13*ORÇAMENTO!$AF$7)/$H74*OFFSET(ORÇAMENTO!$X$15,ROW(BA74)-ROW(BA$15),0),
ROUND(ROUND(OFFSET($P74,0,BA$13),15-13*ORÇAMENTO!$AF$7)*OFFSET(ORÇAMENTO!$W$15,ROW(BA74)-ROW(BA$15),0),15-13*ORÇAMENTO!$AF$11)),0)</f>
        <v>0</v>
      </c>
      <c r="BC74" s="181">
        <f ca="1">IF($D74&lt;&gt;"Serviço",0,IF(AND(AUTOEVENTO="Manual",$M74=1),0,IF(OFFSET(CRONOPLE!$F$14,$M74,BC$13)="",10^12,OFFSET(CRONOPLE!$F$14,$M74,BC$13))))</f>
        <v>0</v>
      </c>
      <c r="BD74" s="181">
        <f ca="1">IF($D74&lt;&gt;"Serviço",0,IF(AND(AUTOEVENTO="Manual",$M74=1),0,IF(OFFSET(CRONOPLE!$F$14,$M74,BD$13)="",10^12,OFFSET(CRONOPLE!$F$14,$M74,BD$13))))</f>
        <v>0</v>
      </c>
      <c r="BE74" s="181">
        <f ca="1">IF($D74&lt;&gt;"Serviço",0,IF(AND(AUTOEVENTO="Manual",$M74=1),0,IF(OFFSET(CRONOPLE!$F$14,$M74,BE$13)="",10^12,OFFSET(CRONOPLE!$F$14,$M74,BE$13))))</f>
        <v>0</v>
      </c>
      <c r="BF74" s="181">
        <f ca="1">IF($D74&lt;&gt;"Serviço",0,IF(AND(AUTOEVENTO="Manual",$M74=1),0,IF(OFFSET(CRONOPLE!$F$14,$M74,BF$13)="",10^12,OFFSET(CRONOPLE!$F$14,$M74,BF$13))))</f>
        <v>0</v>
      </c>
      <c r="BG74" s="181">
        <f ca="1">IF($D74&lt;&gt;"Serviço",0,IF(AND(AUTOEVENTO="Manual",$M74=1),0,IF(OFFSET(CRONOPLE!$F$14,$M74,BG$13)="",10^12,OFFSET(CRONOPLE!$F$14,$M74,BG$13))))</f>
        <v>0</v>
      </c>
      <c r="BH74" s="181">
        <f ca="1">IF($D74&lt;&gt;"Serviço",0,IF(AND(AUTOEVENTO="Manual",$M74=1),0,IF(OFFSET(CRONOPLE!$F$14,$M74,BH$13)="",10^12,OFFSET(CRONOPLE!$F$14,$M74,BH$13))))</f>
        <v>0</v>
      </c>
      <c r="BI74" s="181">
        <f ca="1">IF($D74&lt;&gt;"Serviço",0,IF(AND(AUTOEVENTO="Manual",$M74=1),0,IF(OFFSET(CRONOPLE!$F$14,$M74,BI$13)="",10^12,OFFSET(CRONOPLE!$F$14,$M74,BI$13))))</f>
        <v>0</v>
      </c>
      <c r="BJ74" s="181">
        <f ca="1">IF($D74&lt;&gt;"Serviço",0,IF(AND(AUTOEVENTO="Manual",$M74=1),0,IF(OFFSET(CRONOPLE!$F$14,$M74,BJ$13)="",10^12,OFFSET(CRONOPLE!$F$14,$M74,BJ$13))))</f>
        <v>0</v>
      </c>
      <c r="BK74" s="181">
        <f ca="1">IF($D74&lt;&gt;"Serviço",0,IF(AND(AUTOEVENTO="Manual",$M74=1),0,IF(OFFSET(CRONOPLE!$F$14,$M74,BK$13)="",10^12,OFFSET(CRONOPLE!$F$14,$M74,BK$13))))</f>
        <v>0</v>
      </c>
      <c r="BL74" s="181">
        <f ca="1">IF($D74&lt;&gt;"Serviço",0,IF(AND(AUTOEVENTO="Manual",$M74=1),0,IF(OFFSET(CRONOPLE!$F$14,$M74,BL$13)="",10^12,OFFSET(CRONOPLE!$F$14,$M74,BL$13))))</f>
        <v>0</v>
      </c>
      <c r="BM74" s="181">
        <f ca="1">IF($D74&lt;&gt;"Serviço",0,IF(AND(AUTOEVENTO="Manual",$M74=1),0,IF(OFFSET(CRONOPLE!$F$14,$M74,BM$13)="",10^12,OFFSET(CRONOPLE!$F$14,$M74,BM$13))))</f>
        <v>0</v>
      </c>
      <c r="BN74" s="181">
        <f ca="1">IF($D74&lt;&gt;"Serviço",0,IF(AND(AUTOEVENTO="Manual",$M74=1),0,IF(OFFSET(CRONOPLE!$F$14,$M74,BN$13)="",10^12,OFFSET(CRONOPLE!$F$14,$M74,BN$13))))</f>
        <v>0</v>
      </c>
      <c r="BO74" s="181">
        <f ca="1">IF($D74&lt;&gt;"Serviço",0,IF(AND(AUTOEVENTO="Manual",$M74=1),0,IF(OFFSET(CRONOPLE!$F$14,$M74,BO$13)="",10^12,OFFSET(CRONOPLE!$F$14,$M74,BO$13))))</f>
        <v>0</v>
      </c>
      <c r="BP74" s="181">
        <f ca="1">IF($D74&lt;&gt;"Serviço",0,IF(AND(AUTOEVENTO="Manual",$M74=1),0,IF(OFFSET(CRONOPLE!$F$14,$M74,BP$13)="",10^12,OFFSET(CRONOPLE!$F$14,$M74,BP$13))))</f>
        <v>0</v>
      </c>
      <c r="BQ74" s="181">
        <f ca="1">IF($D74&lt;&gt;"Serviço",0,IF(AND(AUTOEVENTO="Manual",$M74=1),0,IF(OFFSET(CRONOPLE!$F$14,$M74,BQ$13)="",10^12,OFFSET(CRONOPLE!$F$14,$M74,BQ$13))))</f>
        <v>0</v>
      </c>
      <c r="BR74" s="181">
        <f ca="1">IF($D74&lt;&gt;"Serviço",0,IF(AND(AUTOEVENTO="Manual",$M74=1),0,IF(OFFSET(CRONOPLE!$F$14,$M74,BR$13)="",10^12,OFFSET(CRONOPLE!$F$14,$M74,BR$13))))</f>
        <v>0</v>
      </c>
      <c r="BS74" s="181">
        <f ca="1">IF($D74&lt;&gt;"Serviço",0,IF(AND(AUTOEVENTO="Manual",$M74=1),0,IF(OFFSET(CRONOPLE!$F$14,$M74,BS$13)="",10^12,OFFSET(CRONOPLE!$F$14,$M74,BS$13))))</f>
        <v>0</v>
      </c>
      <c r="BT74" s="181">
        <f ca="1">IF($D74&lt;&gt;"Serviço",0,IF(AND(AUTOEVENTO="Manual",$M74=1),0,IF(OFFSET(CRONOPLE!$F$14,$M74,BT$13)="",10^12,OFFSET(CRONOPLE!$F$14,$M74,BT$13))))</f>
        <v>0</v>
      </c>
      <c r="BV74" s="182">
        <f ca="1">IF($D74&lt;&gt;"Serviço",0,IF(OR(AND(AUTOEVENTO="Manual",$M74=1),$M74&gt;(ROW(PLE.lastrow)-ROW(PLE.firstrow))),0,IF(OFFSET(PLE!$G$14,$M74,BV$13)="",10^12,OFFSET(PLE!$G$14,$M74,BV$13))))</f>
        <v>0</v>
      </c>
      <c r="BW74" s="182">
        <f ca="1">IF($D74&lt;&gt;"Serviço",0,IF(OR(AND(AUTOEVENTO="Manual",$M74=1),$M74&gt;(ROW(PLE.lastrow)-ROW(PLE.firstrow))),0,IF(OFFSET(PLE!$G$14,$M74,BW$13)="",10^12,OFFSET(PLE!$G$14,$M74,BW$13))))</f>
        <v>0</v>
      </c>
      <c r="BX74" s="182">
        <f ca="1">IF($D74&lt;&gt;"Serviço",0,IF(OR(AND(AUTOEVENTO="Manual",$M74=1),$M74&gt;(ROW(PLE.lastrow)-ROW(PLE.firstrow))),0,IF(OFFSET(PLE!$G$14,$M74,BX$13)="",10^12,OFFSET(PLE!$G$14,$M74,BX$13))))</f>
        <v>0</v>
      </c>
      <c r="BY74" s="182">
        <f ca="1">IF($D74&lt;&gt;"Serviço",0,IF(OR(AND(AUTOEVENTO="Manual",$M74=1),$M74&gt;(ROW(PLE.lastrow)-ROW(PLE.firstrow))),0,IF(OFFSET(PLE!$G$14,$M74,BY$13)="",10^12,OFFSET(PLE!$G$14,$M74,BY$13))))</f>
        <v>0</v>
      </c>
      <c r="BZ74" s="182">
        <f ca="1">IF($D74&lt;&gt;"Serviço",0,IF(OR(AND(AUTOEVENTO="Manual",$M74=1),$M74&gt;(ROW(PLE.lastrow)-ROW(PLE.firstrow))),0,IF(OFFSET(PLE!$G$14,$M74,BZ$13)="",10^12,OFFSET(PLE!$G$14,$M74,BZ$13))))</f>
        <v>0</v>
      </c>
      <c r="CA74" s="182">
        <f ca="1">IF($D74&lt;&gt;"Serviço",0,IF(OR(AND(AUTOEVENTO="Manual",$M74=1),$M74&gt;(ROW(PLE.lastrow)-ROW(PLE.firstrow))),0,IF(OFFSET(PLE!$G$14,$M74,CA$13)="",10^12,OFFSET(PLE!$G$14,$M74,CA$13))))</f>
        <v>0</v>
      </c>
      <c r="CB74" s="182">
        <f ca="1">IF($D74&lt;&gt;"Serviço",0,IF(OR(AND(AUTOEVENTO="Manual",$M74=1),$M74&gt;(ROW(PLE.lastrow)-ROW(PLE.firstrow))),0,IF(OFFSET(PLE!$G$14,$M74,CB$13)="",10^12,OFFSET(PLE!$G$14,$M74,CB$13))))</f>
        <v>0</v>
      </c>
      <c r="CC74" s="182">
        <f ca="1">IF($D74&lt;&gt;"Serviço",0,IF(OR(AND(AUTOEVENTO="Manual",$M74=1),$M74&gt;(ROW(PLE.lastrow)-ROW(PLE.firstrow))),0,IF(OFFSET(PLE!$G$14,$M74,CC$13)="",10^12,OFFSET(PLE!$G$14,$M74,CC$13))))</f>
        <v>0</v>
      </c>
      <c r="CD74" s="182">
        <f ca="1">IF($D74&lt;&gt;"Serviço",0,IF(OR(AND(AUTOEVENTO="Manual",$M74=1),$M74&gt;(ROW(PLE.lastrow)-ROW(PLE.firstrow))),0,IF(OFFSET(PLE!$G$14,$M74,CD$13)="",10^12,OFFSET(PLE!$G$14,$M74,CD$13))))</f>
        <v>0</v>
      </c>
      <c r="CE74" s="182">
        <f ca="1">IF($D74&lt;&gt;"Serviço",0,IF(OR(AND(AUTOEVENTO="Manual",$M74=1),$M74&gt;(ROW(PLE.lastrow)-ROW(PLE.firstrow))),0,IF(OFFSET(PLE!$G$14,$M74,CE$13)="",10^12,OFFSET(PLE!$G$14,$M74,CE$13))))</f>
        <v>0</v>
      </c>
      <c r="CF74" s="182">
        <f ca="1">IF($D74&lt;&gt;"Serviço",0,IF(OR(AND(AUTOEVENTO="Manual",$M74=1),$M74&gt;(ROW(PLE.lastrow)-ROW(PLE.firstrow))),0,IF(OFFSET(PLE!$G$14,$M74,CF$13)="",10^12,OFFSET(PLE!$G$14,$M74,CF$13))))</f>
        <v>0</v>
      </c>
      <c r="CG74" s="182">
        <f ca="1">IF($D74&lt;&gt;"Serviço",0,IF(OR(AND(AUTOEVENTO="Manual",$M74=1),$M74&gt;(ROW(PLE.lastrow)-ROW(PLE.firstrow))),0,IF(OFFSET(PLE!$G$14,$M74,CG$13)="",10^12,OFFSET(PLE!$G$14,$M74,CG$13))))</f>
        <v>0</v>
      </c>
      <c r="CH74" s="182">
        <f ca="1">IF($D74&lt;&gt;"Serviço",0,IF(OR(AND(AUTOEVENTO="Manual",$M74=1),$M74&gt;(ROW(PLE.lastrow)-ROW(PLE.firstrow))),0,IF(OFFSET(PLE!$G$14,$M74,CH$13)="",10^12,OFFSET(PLE!$G$14,$M74,CH$13))))</f>
        <v>0</v>
      </c>
      <c r="CI74" s="182">
        <f ca="1">IF($D74&lt;&gt;"Serviço",0,IF(OR(AND(AUTOEVENTO="Manual",$M74=1),$M74&gt;(ROW(PLE.lastrow)-ROW(PLE.firstrow))),0,IF(OFFSET(PLE!$G$14,$M74,CI$13)="",10^12,OFFSET(PLE!$G$14,$M74,CI$13))))</f>
        <v>0</v>
      </c>
      <c r="CJ74" s="182">
        <f ca="1">IF($D74&lt;&gt;"Serviço",0,IF(OR(AND(AUTOEVENTO="Manual",$M74=1),$M74&gt;(ROW(PLE.lastrow)-ROW(PLE.firstrow))),0,IF(OFFSET(PLE!$G$14,$M74,CJ$13)="",10^12,OFFSET(PLE!$G$14,$M74,CJ$13))))</f>
        <v>0</v>
      </c>
      <c r="CK74" s="182">
        <f ca="1">IF($D74&lt;&gt;"Serviço",0,IF(OR(AND(AUTOEVENTO="Manual",$M74=1),$M74&gt;(ROW(PLE.lastrow)-ROW(PLE.firstrow))),0,IF(OFFSET(PLE!$G$14,$M74,CK$13)="",10^12,OFFSET(PLE!$G$14,$M74,CK$13))))</f>
        <v>0</v>
      </c>
      <c r="CL74" s="182">
        <f ca="1">IF($D74&lt;&gt;"Serviço",0,IF(OR(AND(AUTOEVENTO="Manual",$M74=1),$M74&gt;(ROW(PLE.lastrow)-ROW(PLE.firstrow))),0,IF(OFFSET(PLE!$G$14,$M74,CL$13)="",10^12,OFFSET(PLE!$G$14,$M74,CL$13))))</f>
        <v>0</v>
      </c>
      <c r="CM74" s="182">
        <f ca="1">IF($D74&lt;&gt;"Serviço",0,IF(OR(AND(AUTOEVENTO="Manual",$M74=1),$M74&gt;(ROW(PLE.lastrow)-ROW(PLE.firstrow))),0,IF(OFFSET(PLE!$G$14,$M74,CM$13)="",10^12,OFFSET(PLE!$G$14,$M74,CM$13))))</f>
        <v>0</v>
      </c>
    </row>
    <row r="75" spans="1:91" ht="38.25" x14ac:dyDescent="0.2">
      <c r="A75" s="7" t="str">
        <f t="shared" ca="1" si="10"/>
        <v>59</v>
      </c>
      <c r="B75" s="7" t="str">
        <f ca="1">OFFSET(ORÇAMENTO!C$15,ROW(B75)-ROW(B$15),0)</f>
        <v>S</v>
      </c>
      <c r="C75" s="7" t="str">
        <f ca="1">OFFSET(ORÇAMENTO!L$15,ROW(C75)-ROW(C$15),0)</f>
        <v/>
      </c>
      <c r="D75" s="118" t="str">
        <f ca="1">OFFSET(ORÇAMENTO!N$15,ROW(D75)-ROW(D$15),0)</f>
        <v>Serviço</v>
      </c>
      <c r="E75" s="119" t="str">
        <f ca="1">OFFSET(ORÇAMENTO!O$15,ROW(E75)-ROW(E$15),0)</f>
        <v>-</v>
      </c>
      <c r="F75" s="172" t="str">
        <f ca="1">OFFSET(ORÇAMENTO!R$15,ROW(F75)-ROW(F$15),0)</f>
        <v>(abra o arquivo 'Referência 06-2024.xlsm)</v>
      </c>
      <c r="G75" s="173" t="str">
        <f ca="1">IF($D75&lt;&gt;"Serviço","",OFFSET(ORÇAMENTO!S$15,ROW(G75)-ROW(G$15),0))</f>
        <v>-</v>
      </c>
      <c r="H75" s="124">
        <f ca="1">IF($D75&lt;&gt;"Serviço",0,IF(ACOMPANHAMENTO="BM",ROUND(OFFSET(ORÇAMENTO!AJ$15,ROW(H75)-ROW(H$15),0),15-13*ORÇAMENTO!$AF$7),SUMPRODUCT(($Q$12:$AI$12&lt;&gt;"")*ROUND($Q75:$AI75,15-13*ORÇAMENTO!$AF$7))))</f>
        <v>43.7</v>
      </c>
      <c r="I75" s="561" t="s">
        <v>1107</v>
      </c>
      <c r="K75" s="174" t="s">
        <v>1028</v>
      </c>
      <c r="L75" s="175" t="s">
        <v>255</v>
      </c>
      <c r="M75" s="176">
        <f ca="1">IF($D75&lt;&gt;"Serviço","",IF(AUTOEVENTO="manual",$A75,IF(ISERROR(MATCH($A75,$A$15:OFFSET($A75,-1,0),0)),MAX($M$15:OFFSET(M75,-1,0))+1,INDEX($M$15:OFFSET(M75,-1,0),MATCH($A75,$A$15:OFFSET($A75,-1,0),0)))))</f>
        <v>11</v>
      </c>
      <c r="N75" s="177" t="str">
        <f ca="1">IF($D75&lt;&gt;"Serviço","",IF(AUTOEVENTO="Manual",IF($A75=0,"&lt;-- defina o número do agrupador",OFFSET(EVENTOS!$D$14,$A75,0)),OFFSET($F$15,$A75,0)))</f>
        <v>SUPERESTRUTURA - CONCRETO ARMADO PARA VERGAS</v>
      </c>
      <c r="O75" s="178"/>
      <c r="Q75" s="178">
        <v>43.7</v>
      </c>
      <c r="R75" s="179"/>
      <c r="S75" s="179"/>
      <c r="T75" s="179"/>
      <c r="U75" s="179"/>
      <c r="V75" s="179"/>
      <c r="W75" s="179"/>
      <c r="X75" s="179"/>
      <c r="Y75" s="179"/>
      <c r="Z75" s="180"/>
      <c r="AA75" s="179"/>
      <c r="AB75" s="179"/>
      <c r="AC75" s="179"/>
      <c r="AD75" s="179"/>
      <c r="AE75" s="179"/>
      <c r="AF75" s="179"/>
      <c r="AG75" s="179"/>
      <c r="AH75" s="180"/>
      <c r="AJ75" s="544">
        <f ca="1">IF(AND($D75="Serviço",AJ$12&lt;&gt;0,$H75&gt;0,OR(AUTOEVENTO&lt;&gt;"manual",$M75&lt;&gt;1)),
IF(Import.TipoArredondamento&lt;&gt;"TransfereGOV",
ROUND(OFFSET($P75,0,AJ$13),15-13*ORÇAMENTO!$AF$7)/$H75*OFFSET(ORÇAMENTO!$X$15,ROW(AJ75)-ROW(AJ$15),0),
ROUND(ROUND(OFFSET($P75,0,AJ$13),15-13*ORÇAMENTO!$AF$7)*OFFSET(ORÇAMENTO!$W$15,ROW(AJ75)-ROW(AJ$15),0),15-13*ORÇAMENTO!$AF$11)),0)</f>
        <v>0</v>
      </c>
      <c r="AK75" s="545">
        <f ca="1">IF(AND($D75="Serviço",AK$12&lt;&gt;0,$H75&gt;0,OR(AUTOEVENTO&lt;&gt;"manual",$M75&lt;&gt;1)),
IF(Import.TipoArredondamento&lt;&gt;"TransfereGOV",
ROUND(OFFSET($P75,0,AK$13),15-13*ORÇAMENTO!$AF$7)/$H75*OFFSET(ORÇAMENTO!$X$15,ROW(AK75)-ROW(AK$15),0),
ROUND(ROUND(OFFSET($P75,0,AK$13),15-13*ORÇAMENTO!$AF$7)*OFFSET(ORÇAMENTO!$W$15,ROW(AK75)-ROW(AK$15),0),15-13*ORÇAMENTO!$AF$11)),0)</f>
        <v>0</v>
      </c>
      <c r="AL75" s="545">
        <f ca="1">IF(AND($D75="Serviço",AL$12&lt;&gt;0,$H75&gt;0,OR(AUTOEVENTO&lt;&gt;"manual",$M75&lt;&gt;1)),
IF(Import.TipoArredondamento&lt;&gt;"TransfereGOV",
ROUND(OFFSET($P75,0,AL$13),15-13*ORÇAMENTO!$AF$7)/$H75*OFFSET(ORÇAMENTO!$X$15,ROW(AL75)-ROW(AL$15),0),
ROUND(ROUND(OFFSET($P75,0,AL$13),15-13*ORÇAMENTO!$AF$7)*OFFSET(ORÇAMENTO!$W$15,ROW(AL75)-ROW(AL$15),0),15-13*ORÇAMENTO!$AF$11)),0)</f>
        <v>0</v>
      </c>
      <c r="AM75" s="545">
        <f ca="1">IF(AND($D75="Serviço",AM$12&lt;&gt;0,$H75&gt;0,OR(AUTOEVENTO&lt;&gt;"manual",$M75&lt;&gt;1)),
IF(Import.TipoArredondamento&lt;&gt;"TransfereGOV",
ROUND(OFFSET($P75,0,AM$13),15-13*ORÇAMENTO!$AF$7)/$H75*OFFSET(ORÇAMENTO!$X$15,ROW(AM75)-ROW(AM$15),0),
ROUND(ROUND(OFFSET($P75,0,AM$13),15-13*ORÇAMENTO!$AF$7)*OFFSET(ORÇAMENTO!$W$15,ROW(AM75)-ROW(AM$15),0),15-13*ORÇAMENTO!$AF$11)),0)</f>
        <v>0</v>
      </c>
      <c r="AN75" s="545">
        <f ca="1">IF(AND($D75="Serviço",AN$12&lt;&gt;0,$H75&gt;0,OR(AUTOEVENTO&lt;&gt;"manual",$M75&lt;&gt;1)),
IF(Import.TipoArredondamento&lt;&gt;"TransfereGOV",
ROUND(OFFSET($P75,0,AN$13),15-13*ORÇAMENTO!$AF$7)/$H75*OFFSET(ORÇAMENTO!$X$15,ROW(AN75)-ROW(AN$15),0),
ROUND(ROUND(OFFSET($P75,0,AN$13),15-13*ORÇAMENTO!$AF$7)*OFFSET(ORÇAMENTO!$W$15,ROW(AN75)-ROW(AN$15),0),15-13*ORÇAMENTO!$AF$11)),0)</f>
        <v>0</v>
      </c>
      <c r="AO75" s="545">
        <f ca="1">IF(AND($D75="Serviço",AO$12&lt;&gt;0,$H75&gt;0,OR(AUTOEVENTO&lt;&gt;"manual",$M75&lt;&gt;1)),
IF(Import.TipoArredondamento&lt;&gt;"TransfereGOV",
ROUND(OFFSET($P75,0,AO$13),15-13*ORÇAMENTO!$AF$7)/$H75*OFFSET(ORÇAMENTO!$X$15,ROW(AO75)-ROW(AO$15),0),
ROUND(ROUND(OFFSET($P75,0,AO$13),15-13*ORÇAMENTO!$AF$7)*OFFSET(ORÇAMENTO!$W$15,ROW(AO75)-ROW(AO$15),0),15-13*ORÇAMENTO!$AF$11)),0)</f>
        <v>0</v>
      </c>
      <c r="AP75" s="545">
        <f ca="1">IF(AND($D75="Serviço",AP$12&lt;&gt;0,$H75&gt;0,OR(AUTOEVENTO&lt;&gt;"manual",$M75&lt;&gt;1)),
IF(Import.TipoArredondamento&lt;&gt;"TransfereGOV",
ROUND(OFFSET($P75,0,AP$13),15-13*ORÇAMENTO!$AF$7)/$H75*OFFSET(ORÇAMENTO!$X$15,ROW(AP75)-ROW(AP$15),0),
ROUND(ROUND(OFFSET($P75,0,AP$13),15-13*ORÇAMENTO!$AF$7)*OFFSET(ORÇAMENTO!$W$15,ROW(AP75)-ROW(AP$15),0),15-13*ORÇAMENTO!$AF$11)),0)</f>
        <v>0</v>
      </c>
      <c r="AQ75" s="545">
        <f ca="1">IF(AND($D75="Serviço",AQ$12&lt;&gt;0,$H75&gt;0,OR(AUTOEVENTO&lt;&gt;"manual",$M75&lt;&gt;1)),
IF(Import.TipoArredondamento&lt;&gt;"TransfereGOV",
ROUND(OFFSET($P75,0,AQ$13),15-13*ORÇAMENTO!$AF$7)/$H75*OFFSET(ORÇAMENTO!$X$15,ROW(AQ75)-ROW(AQ$15),0),
ROUND(ROUND(OFFSET($P75,0,AQ$13),15-13*ORÇAMENTO!$AF$7)*OFFSET(ORÇAMENTO!$W$15,ROW(AQ75)-ROW(AQ$15),0),15-13*ORÇAMENTO!$AF$11)),0)</f>
        <v>0</v>
      </c>
      <c r="AR75" s="545">
        <f ca="1">IF(AND($D75="Serviço",AR$12&lt;&gt;0,$H75&gt;0,OR(AUTOEVENTO&lt;&gt;"manual",$M75&lt;&gt;1)),
IF(Import.TipoArredondamento&lt;&gt;"TransfereGOV",
ROUND(OFFSET($P75,0,AR$13),15-13*ORÇAMENTO!$AF$7)/$H75*OFFSET(ORÇAMENTO!$X$15,ROW(AR75)-ROW(AR$15),0),
ROUND(ROUND(OFFSET($P75,0,AR$13),15-13*ORÇAMENTO!$AF$7)*OFFSET(ORÇAMENTO!$W$15,ROW(AR75)-ROW(AR$15),0),15-13*ORÇAMENTO!$AF$11)),0)</f>
        <v>0</v>
      </c>
      <c r="AS75" s="546">
        <f ca="1">IF(AND($D75="Serviço",AS$12&lt;&gt;0,$H75&gt;0,OR(AUTOEVENTO&lt;&gt;"manual",$M75&lt;&gt;1)),
IF(Import.TipoArredondamento&lt;&gt;"TransfereGOV",
ROUND(OFFSET($P75,0,AS$13),15-13*ORÇAMENTO!$AF$7)/$H75*OFFSET(ORÇAMENTO!$X$15,ROW(AS75)-ROW(AS$15),0),
ROUND(ROUND(OFFSET($P75,0,AS$13),15-13*ORÇAMENTO!$AF$7)*OFFSET(ORÇAMENTO!$W$15,ROW(AS75)-ROW(AS$15),0),15-13*ORÇAMENTO!$AF$11)),0)</f>
        <v>0</v>
      </c>
      <c r="AT75" s="545">
        <f ca="1">IF(AND($D75="Serviço",AT$12&lt;&gt;0,$H75&gt;0,OR(AUTOEVENTO&lt;&gt;"manual",$M75&lt;&gt;1)),
IF(Import.TipoArredondamento&lt;&gt;"TransfereGOV",
ROUND(OFFSET($P75,0,AT$13),15-13*ORÇAMENTO!$AF$7)/$H75*OFFSET(ORÇAMENTO!$X$15,ROW(AT75)-ROW(AT$15),0),
ROUND(ROUND(OFFSET($P75,0,AT$13),15-13*ORÇAMENTO!$AF$7)*OFFSET(ORÇAMENTO!$W$15,ROW(AT75)-ROW(AT$15),0),15-13*ORÇAMENTO!$AF$11)),0)</f>
        <v>0</v>
      </c>
      <c r="AU75" s="545">
        <f ca="1">IF(AND($D75="Serviço",AU$12&lt;&gt;0,$H75&gt;0,OR(AUTOEVENTO&lt;&gt;"manual",$M75&lt;&gt;1)),
IF(Import.TipoArredondamento&lt;&gt;"TransfereGOV",
ROUND(OFFSET($P75,0,AU$13),15-13*ORÇAMENTO!$AF$7)/$H75*OFFSET(ORÇAMENTO!$X$15,ROW(AU75)-ROW(AU$15),0),
ROUND(ROUND(OFFSET($P75,0,AU$13),15-13*ORÇAMENTO!$AF$7)*OFFSET(ORÇAMENTO!$W$15,ROW(AU75)-ROW(AU$15),0),15-13*ORÇAMENTO!$AF$11)),0)</f>
        <v>0</v>
      </c>
      <c r="AV75" s="545">
        <f ca="1">IF(AND($D75="Serviço",AV$12&lt;&gt;0,$H75&gt;0,OR(AUTOEVENTO&lt;&gt;"manual",$M75&lt;&gt;1)),
IF(Import.TipoArredondamento&lt;&gt;"TransfereGOV",
ROUND(OFFSET($P75,0,AV$13),15-13*ORÇAMENTO!$AF$7)/$H75*OFFSET(ORÇAMENTO!$X$15,ROW(AV75)-ROW(AV$15),0),
ROUND(ROUND(OFFSET($P75,0,AV$13),15-13*ORÇAMENTO!$AF$7)*OFFSET(ORÇAMENTO!$W$15,ROW(AV75)-ROW(AV$15),0),15-13*ORÇAMENTO!$AF$11)),0)</f>
        <v>0</v>
      </c>
      <c r="AW75" s="545">
        <f ca="1">IF(AND($D75="Serviço",AW$12&lt;&gt;0,$H75&gt;0,OR(AUTOEVENTO&lt;&gt;"manual",$M75&lt;&gt;1)),
IF(Import.TipoArredondamento&lt;&gt;"TransfereGOV",
ROUND(OFFSET($P75,0,AW$13),15-13*ORÇAMENTO!$AF$7)/$H75*OFFSET(ORÇAMENTO!$X$15,ROW(AW75)-ROW(AW$15),0),
ROUND(ROUND(OFFSET($P75,0,AW$13),15-13*ORÇAMENTO!$AF$7)*OFFSET(ORÇAMENTO!$W$15,ROW(AW75)-ROW(AW$15),0),15-13*ORÇAMENTO!$AF$11)),0)</f>
        <v>0</v>
      </c>
      <c r="AX75" s="545">
        <f ca="1">IF(AND($D75="Serviço",AX$12&lt;&gt;0,$H75&gt;0,OR(AUTOEVENTO&lt;&gt;"manual",$M75&lt;&gt;1)),
IF(Import.TipoArredondamento&lt;&gt;"TransfereGOV",
ROUND(OFFSET($P75,0,AX$13),15-13*ORÇAMENTO!$AF$7)/$H75*OFFSET(ORÇAMENTO!$X$15,ROW(AX75)-ROW(AX$15),0),
ROUND(ROUND(OFFSET($P75,0,AX$13),15-13*ORÇAMENTO!$AF$7)*OFFSET(ORÇAMENTO!$W$15,ROW(AX75)-ROW(AX$15),0),15-13*ORÇAMENTO!$AF$11)),0)</f>
        <v>0</v>
      </c>
      <c r="AY75" s="545">
        <f ca="1">IF(AND($D75="Serviço",AY$12&lt;&gt;0,$H75&gt;0,OR(AUTOEVENTO&lt;&gt;"manual",$M75&lt;&gt;1)),
IF(Import.TipoArredondamento&lt;&gt;"TransfereGOV",
ROUND(OFFSET($P75,0,AY$13),15-13*ORÇAMENTO!$AF$7)/$H75*OFFSET(ORÇAMENTO!$X$15,ROW(AY75)-ROW(AY$15),0),
ROUND(ROUND(OFFSET($P75,0,AY$13),15-13*ORÇAMENTO!$AF$7)*OFFSET(ORÇAMENTO!$W$15,ROW(AY75)-ROW(AY$15),0),15-13*ORÇAMENTO!$AF$11)),0)</f>
        <v>0</v>
      </c>
      <c r="AZ75" s="545">
        <f ca="1">IF(AND($D75="Serviço",AZ$12&lt;&gt;0,$H75&gt;0,OR(AUTOEVENTO&lt;&gt;"manual",$M75&lt;&gt;1)),
IF(Import.TipoArredondamento&lt;&gt;"TransfereGOV",
ROUND(OFFSET($P75,0,AZ$13),15-13*ORÇAMENTO!$AF$7)/$H75*OFFSET(ORÇAMENTO!$X$15,ROW(AZ75)-ROW(AZ$15),0),
ROUND(ROUND(OFFSET($P75,0,AZ$13),15-13*ORÇAMENTO!$AF$7)*OFFSET(ORÇAMENTO!$W$15,ROW(AZ75)-ROW(AZ$15),0),15-13*ORÇAMENTO!$AF$11)),0)</f>
        <v>0</v>
      </c>
      <c r="BA75" s="546">
        <f ca="1">IF(AND($D75="Serviço",BA$12&lt;&gt;0,$H75&gt;0,OR(AUTOEVENTO&lt;&gt;"manual",$M75&lt;&gt;1)),
IF(Import.TipoArredondamento&lt;&gt;"TransfereGOV",
ROUND(OFFSET($P75,0,BA$13),15-13*ORÇAMENTO!$AF$7)/$H75*OFFSET(ORÇAMENTO!$X$15,ROW(BA75)-ROW(BA$15),0),
ROUND(ROUND(OFFSET($P75,0,BA$13),15-13*ORÇAMENTO!$AF$7)*OFFSET(ORÇAMENTO!$W$15,ROW(BA75)-ROW(BA$15),0),15-13*ORÇAMENTO!$AF$11)),0)</f>
        <v>0</v>
      </c>
      <c r="BC75" s="181">
        <f ca="1">IF($D75&lt;&gt;"Serviço",0,IF(AND(AUTOEVENTO="Manual",$M75=1),0,IF(OFFSET(CRONOPLE!$F$14,$M75,BC$13)="",10^12,OFFSET(CRONOPLE!$F$14,$M75,BC$13))))</f>
        <v>3</v>
      </c>
      <c r="BD75" s="181">
        <f ca="1">IF($D75&lt;&gt;"Serviço",0,IF(AND(AUTOEVENTO="Manual",$M75=1),0,IF(OFFSET(CRONOPLE!$F$14,$M75,BD$13)="",10^12,OFFSET(CRONOPLE!$F$14,$M75,BD$13))))</f>
        <v>1000000000000</v>
      </c>
      <c r="BE75" s="181">
        <f ca="1">IF($D75&lt;&gt;"Serviço",0,IF(AND(AUTOEVENTO="Manual",$M75=1),0,IF(OFFSET(CRONOPLE!$F$14,$M75,BE$13)="",10^12,OFFSET(CRONOPLE!$F$14,$M75,BE$13))))</f>
        <v>1000000000000</v>
      </c>
      <c r="BF75" s="181">
        <f ca="1">IF($D75&lt;&gt;"Serviço",0,IF(AND(AUTOEVENTO="Manual",$M75=1),0,IF(OFFSET(CRONOPLE!$F$14,$M75,BF$13)="",10^12,OFFSET(CRONOPLE!$F$14,$M75,BF$13))))</f>
        <v>1000000000000</v>
      </c>
      <c r="BG75" s="181">
        <f ca="1">IF($D75&lt;&gt;"Serviço",0,IF(AND(AUTOEVENTO="Manual",$M75=1),0,IF(OFFSET(CRONOPLE!$F$14,$M75,BG$13)="",10^12,OFFSET(CRONOPLE!$F$14,$M75,BG$13))))</f>
        <v>1000000000000</v>
      </c>
      <c r="BH75" s="181">
        <f ca="1">IF($D75&lt;&gt;"Serviço",0,IF(AND(AUTOEVENTO="Manual",$M75=1),0,IF(OFFSET(CRONOPLE!$F$14,$M75,BH$13)="",10^12,OFFSET(CRONOPLE!$F$14,$M75,BH$13))))</f>
        <v>1000000000000</v>
      </c>
      <c r="BI75" s="181">
        <f ca="1">IF($D75&lt;&gt;"Serviço",0,IF(AND(AUTOEVENTO="Manual",$M75=1),0,IF(OFFSET(CRONOPLE!$F$14,$M75,BI$13)="",10^12,OFFSET(CRONOPLE!$F$14,$M75,BI$13))))</f>
        <v>1000000000000</v>
      </c>
      <c r="BJ75" s="181">
        <f ca="1">IF($D75&lt;&gt;"Serviço",0,IF(AND(AUTOEVENTO="Manual",$M75=1),0,IF(OFFSET(CRONOPLE!$F$14,$M75,BJ$13)="",10^12,OFFSET(CRONOPLE!$F$14,$M75,BJ$13))))</f>
        <v>1000000000000</v>
      </c>
      <c r="BK75" s="181">
        <f ca="1">IF($D75&lt;&gt;"Serviço",0,IF(AND(AUTOEVENTO="Manual",$M75=1),0,IF(OFFSET(CRONOPLE!$F$14,$M75,BK$13)="",10^12,OFFSET(CRONOPLE!$F$14,$M75,BK$13))))</f>
        <v>1000000000000</v>
      </c>
      <c r="BL75" s="181">
        <f ca="1">IF($D75&lt;&gt;"Serviço",0,IF(AND(AUTOEVENTO="Manual",$M75=1),0,IF(OFFSET(CRONOPLE!$F$14,$M75,BL$13)="",10^12,OFFSET(CRONOPLE!$F$14,$M75,BL$13))))</f>
        <v>1000000000000</v>
      </c>
      <c r="BM75" s="181">
        <f ca="1">IF($D75&lt;&gt;"Serviço",0,IF(AND(AUTOEVENTO="Manual",$M75=1),0,IF(OFFSET(CRONOPLE!$F$14,$M75,BM$13)="",10^12,OFFSET(CRONOPLE!$F$14,$M75,BM$13))))</f>
        <v>1000000000000</v>
      </c>
      <c r="BN75" s="181">
        <f ca="1">IF($D75&lt;&gt;"Serviço",0,IF(AND(AUTOEVENTO="Manual",$M75=1),0,IF(OFFSET(CRONOPLE!$F$14,$M75,BN$13)="",10^12,OFFSET(CRONOPLE!$F$14,$M75,BN$13))))</f>
        <v>1000000000000</v>
      </c>
      <c r="BO75" s="181">
        <f ca="1">IF($D75&lt;&gt;"Serviço",0,IF(AND(AUTOEVENTO="Manual",$M75=1),0,IF(OFFSET(CRONOPLE!$F$14,$M75,BO$13)="",10^12,OFFSET(CRONOPLE!$F$14,$M75,BO$13))))</f>
        <v>1000000000000</v>
      </c>
      <c r="BP75" s="181">
        <f ca="1">IF($D75&lt;&gt;"Serviço",0,IF(AND(AUTOEVENTO="Manual",$M75=1),0,IF(OFFSET(CRONOPLE!$F$14,$M75,BP$13)="",10^12,OFFSET(CRONOPLE!$F$14,$M75,BP$13))))</f>
        <v>1000000000000</v>
      </c>
      <c r="BQ75" s="181">
        <f ca="1">IF($D75&lt;&gt;"Serviço",0,IF(AND(AUTOEVENTO="Manual",$M75=1),0,IF(OFFSET(CRONOPLE!$F$14,$M75,BQ$13)="",10^12,OFFSET(CRONOPLE!$F$14,$M75,BQ$13))))</f>
        <v>1000000000000</v>
      </c>
      <c r="BR75" s="181">
        <f ca="1">IF($D75&lt;&gt;"Serviço",0,IF(AND(AUTOEVENTO="Manual",$M75=1),0,IF(OFFSET(CRONOPLE!$F$14,$M75,BR$13)="",10^12,OFFSET(CRONOPLE!$F$14,$M75,BR$13))))</f>
        <v>1000000000000</v>
      </c>
      <c r="BS75" s="181">
        <f ca="1">IF($D75&lt;&gt;"Serviço",0,IF(AND(AUTOEVENTO="Manual",$M75=1),0,IF(OFFSET(CRONOPLE!$F$14,$M75,BS$13)="",10^12,OFFSET(CRONOPLE!$F$14,$M75,BS$13))))</f>
        <v>1000000000000</v>
      </c>
      <c r="BT75" s="181">
        <f ca="1">IF($D75&lt;&gt;"Serviço",0,IF(AND(AUTOEVENTO="Manual",$M75=1),0,IF(OFFSET(CRONOPLE!$F$14,$M75,BT$13)="",10^12,OFFSET(CRONOPLE!$F$14,$M75,BT$13))))</f>
        <v>1000000000000</v>
      </c>
      <c r="BV75" s="182">
        <f ca="1">IF($D75&lt;&gt;"Serviço",0,IF(OR(AND(AUTOEVENTO="Manual",$M75=1),$M75&gt;(ROW(PLE.lastrow)-ROW(PLE.firstrow))),0,IF(OFFSET(PLE!$G$14,$M75,BV$13)="",10^12,OFFSET(PLE!$G$14,$M75,BV$13))))</f>
        <v>1000000000000</v>
      </c>
      <c r="BW75" s="182">
        <f ca="1">IF($D75&lt;&gt;"Serviço",0,IF(OR(AND(AUTOEVENTO="Manual",$M75=1),$M75&gt;(ROW(PLE.lastrow)-ROW(PLE.firstrow))),0,IF(OFFSET(PLE!$G$14,$M75,BW$13)="",10^12,OFFSET(PLE!$G$14,$M75,BW$13))))</f>
        <v>1000000000000</v>
      </c>
      <c r="BX75" s="182">
        <f ca="1">IF($D75&lt;&gt;"Serviço",0,IF(OR(AND(AUTOEVENTO="Manual",$M75=1),$M75&gt;(ROW(PLE.lastrow)-ROW(PLE.firstrow))),0,IF(OFFSET(PLE!$G$14,$M75,BX$13)="",10^12,OFFSET(PLE!$G$14,$M75,BX$13))))</f>
        <v>1000000000000</v>
      </c>
      <c r="BY75" s="182">
        <f ca="1">IF($D75&lt;&gt;"Serviço",0,IF(OR(AND(AUTOEVENTO="Manual",$M75=1),$M75&gt;(ROW(PLE.lastrow)-ROW(PLE.firstrow))),0,IF(OFFSET(PLE!$G$14,$M75,BY$13)="",10^12,OFFSET(PLE!$G$14,$M75,BY$13))))</f>
        <v>1000000000000</v>
      </c>
      <c r="BZ75" s="182">
        <f ca="1">IF($D75&lt;&gt;"Serviço",0,IF(OR(AND(AUTOEVENTO="Manual",$M75=1),$M75&gt;(ROW(PLE.lastrow)-ROW(PLE.firstrow))),0,IF(OFFSET(PLE!$G$14,$M75,BZ$13)="",10^12,OFFSET(PLE!$G$14,$M75,BZ$13))))</f>
        <v>1000000000000</v>
      </c>
      <c r="CA75" s="182">
        <f ca="1">IF($D75&lt;&gt;"Serviço",0,IF(OR(AND(AUTOEVENTO="Manual",$M75=1),$M75&gt;(ROW(PLE.lastrow)-ROW(PLE.firstrow))),0,IF(OFFSET(PLE!$G$14,$M75,CA$13)="",10^12,OFFSET(PLE!$G$14,$M75,CA$13))))</f>
        <v>1000000000000</v>
      </c>
      <c r="CB75" s="182">
        <f ca="1">IF($D75&lt;&gt;"Serviço",0,IF(OR(AND(AUTOEVENTO="Manual",$M75=1),$M75&gt;(ROW(PLE.lastrow)-ROW(PLE.firstrow))),0,IF(OFFSET(PLE!$G$14,$M75,CB$13)="",10^12,OFFSET(PLE!$G$14,$M75,CB$13))))</f>
        <v>1000000000000</v>
      </c>
      <c r="CC75" s="182">
        <f ca="1">IF($D75&lt;&gt;"Serviço",0,IF(OR(AND(AUTOEVENTO="Manual",$M75=1),$M75&gt;(ROW(PLE.lastrow)-ROW(PLE.firstrow))),0,IF(OFFSET(PLE!$G$14,$M75,CC$13)="",10^12,OFFSET(PLE!$G$14,$M75,CC$13))))</f>
        <v>1000000000000</v>
      </c>
      <c r="CD75" s="182">
        <f ca="1">IF($D75&lt;&gt;"Serviço",0,IF(OR(AND(AUTOEVENTO="Manual",$M75=1),$M75&gt;(ROW(PLE.lastrow)-ROW(PLE.firstrow))),0,IF(OFFSET(PLE!$G$14,$M75,CD$13)="",10^12,OFFSET(PLE!$G$14,$M75,CD$13))))</f>
        <v>1000000000000</v>
      </c>
      <c r="CE75" s="182">
        <f ca="1">IF($D75&lt;&gt;"Serviço",0,IF(OR(AND(AUTOEVENTO="Manual",$M75=1),$M75&gt;(ROW(PLE.lastrow)-ROW(PLE.firstrow))),0,IF(OFFSET(PLE!$G$14,$M75,CE$13)="",10^12,OFFSET(PLE!$G$14,$M75,CE$13))))</f>
        <v>1000000000000</v>
      </c>
      <c r="CF75" s="182">
        <f ca="1">IF($D75&lt;&gt;"Serviço",0,IF(OR(AND(AUTOEVENTO="Manual",$M75=1),$M75&gt;(ROW(PLE.lastrow)-ROW(PLE.firstrow))),0,IF(OFFSET(PLE!$G$14,$M75,CF$13)="",10^12,OFFSET(PLE!$G$14,$M75,CF$13))))</f>
        <v>1000000000000</v>
      </c>
      <c r="CG75" s="182">
        <f ca="1">IF($D75&lt;&gt;"Serviço",0,IF(OR(AND(AUTOEVENTO="Manual",$M75=1),$M75&gt;(ROW(PLE.lastrow)-ROW(PLE.firstrow))),0,IF(OFFSET(PLE!$G$14,$M75,CG$13)="",10^12,OFFSET(PLE!$G$14,$M75,CG$13))))</f>
        <v>1000000000000</v>
      </c>
      <c r="CH75" s="182">
        <f ca="1">IF($D75&lt;&gt;"Serviço",0,IF(OR(AND(AUTOEVENTO="Manual",$M75=1),$M75&gt;(ROW(PLE.lastrow)-ROW(PLE.firstrow))),0,IF(OFFSET(PLE!$G$14,$M75,CH$13)="",10^12,OFFSET(PLE!$G$14,$M75,CH$13))))</f>
        <v>1000000000000</v>
      </c>
      <c r="CI75" s="182">
        <f ca="1">IF($D75&lt;&gt;"Serviço",0,IF(OR(AND(AUTOEVENTO="Manual",$M75=1),$M75&gt;(ROW(PLE.lastrow)-ROW(PLE.firstrow))),0,IF(OFFSET(PLE!$G$14,$M75,CI$13)="",10^12,OFFSET(PLE!$G$14,$M75,CI$13))))</f>
        <v>1000000000000</v>
      </c>
      <c r="CJ75" s="182">
        <f ca="1">IF($D75&lt;&gt;"Serviço",0,IF(OR(AND(AUTOEVENTO="Manual",$M75=1),$M75&gt;(ROW(PLE.lastrow)-ROW(PLE.firstrow))),0,IF(OFFSET(PLE!$G$14,$M75,CJ$13)="",10^12,OFFSET(PLE!$G$14,$M75,CJ$13))))</f>
        <v>1000000000000</v>
      </c>
      <c r="CK75" s="182">
        <f ca="1">IF($D75&lt;&gt;"Serviço",0,IF(OR(AND(AUTOEVENTO="Manual",$M75=1),$M75&gt;(ROW(PLE.lastrow)-ROW(PLE.firstrow))),0,IF(OFFSET(PLE!$G$14,$M75,CK$13)="",10^12,OFFSET(PLE!$G$14,$M75,CK$13))))</f>
        <v>1000000000000</v>
      </c>
      <c r="CL75" s="182">
        <f ca="1">IF($D75&lt;&gt;"Serviço",0,IF(OR(AND(AUTOEVENTO="Manual",$M75=1),$M75&gt;(ROW(PLE.lastrow)-ROW(PLE.firstrow))),0,IF(OFFSET(PLE!$G$14,$M75,CL$13)="",10^12,OFFSET(PLE!$G$14,$M75,CL$13))))</f>
        <v>1000000000000</v>
      </c>
      <c r="CM75" s="182">
        <f ca="1">IF($D75&lt;&gt;"Serviço",0,IF(OR(AND(AUTOEVENTO="Manual",$M75=1),$M75&gt;(ROW(PLE.lastrow)-ROW(PLE.firstrow))),0,IF(OFFSET(PLE!$G$14,$M75,CM$13)="",10^12,OFFSET(PLE!$G$14,$M75,CM$13))))</f>
        <v>1000000000000</v>
      </c>
    </row>
    <row r="76" spans="1:91" ht="38.25" x14ac:dyDescent="0.2">
      <c r="A76" s="7" t="str">
        <f t="shared" ca="1" si="10"/>
        <v>59</v>
      </c>
      <c r="B76" s="7" t="str">
        <f ca="1">OFFSET(ORÇAMENTO!C$15,ROW(B76)-ROW(B$15),0)</f>
        <v>S</v>
      </c>
      <c r="C76" s="7" t="str">
        <f ca="1">OFFSET(ORÇAMENTO!L$15,ROW(C76)-ROW(C$15),0)</f>
        <v/>
      </c>
      <c r="D76" s="118" t="str">
        <f ca="1">OFFSET(ORÇAMENTO!N$15,ROW(D76)-ROW(D$15),0)</f>
        <v>Serviço</v>
      </c>
      <c r="E76" s="119" t="str">
        <f ca="1">OFFSET(ORÇAMENTO!O$15,ROW(E76)-ROW(E$15),0)</f>
        <v>-</v>
      </c>
      <c r="F76" s="172" t="str">
        <f ca="1">OFFSET(ORÇAMENTO!R$15,ROW(F76)-ROW(F$15),0)</f>
        <v>(abra o arquivo 'Referência 06-2024.xlsm)</v>
      </c>
      <c r="G76" s="173" t="str">
        <f ca="1">IF($D76&lt;&gt;"Serviço","",OFFSET(ORÇAMENTO!S$15,ROW(G76)-ROW(G$15),0))</f>
        <v>-</v>
      </c>
      <c r="H76" s="124">
        <f ca="1">IF($D76&lt;&gt;"Serviço",0,IF(ACOMPANHAMENTO="BM",ROUND(OFFSET(ORÇAMENTO!AJ$15,ROW(H76)-ROW(H$15),0),15-13*ORÇAMENTO!$AF$7),SUMPRODUCT(($Q$12:$AI$12&lt;&gt;"")*ROUND($Q76:$AI76,15-13*ORÇAMENTO!$AF$7))))</f>
        <v>8.9</v>
      </c>
      <c r="I76" s="561" t="s">
        <v>1107</v>
      </c>
      <c r="K76" s="174" t="s">
        <v>1028</v>
      </c>
      <c r="L76" s="175" t="s">
        <v>255</v>
      </c>
      <c r="M76" s="176">
        <f ca="1">IF($D76&lt;&gt;"Serviço","",IF(AUTOEVENTO="manual",$A76,IF(ISERROR(MATCH($A76,$A$15:OFFSET($A76,-1,0),0)),MAX($M$15:OFFSET(M76,-1,0))+1,INDEX($M$15:OFFSET(M76,-1,0),MATCH($A76,$A$15:OFFSET($A76,-1,0),0)))))</f>
        <v>11</v>
      </c>
      <c r="N76" s="177" t="str">
        <f ca="1">IF($D76&lt;&gt;"Serviço","",IF(AUTOEVENTO="Manual",IF($A76=0,"&lt;-- defina o número do agrupador",OFFSET(EVENTOS!$D$14,$A76,0)),OFFSET($F$15,$A76,0)))</f>
        <v>SUPERESTRUTURA - CONCRETO ARMADO PARA VERGAS</v>
      </c>
      <c r="O76" s="178"/>
      <c r="Q76" s="178">
        <v>8.9</v>
      </c>
      <c r="R76" s="179"/>
      <c r="S76" s="179"/>
      <c r="T76" s="179"/>
      <c r="U76" s="179"/>
      <c r="V76" s="179"/>
      <c r="W76" s="179"/>
      <c r="X76" s="179"/>
      <c r="Y76" s="179"/>
      <c r="Z76" s="180"/>
      <c r="AA76" s="179"/>
      <c r="AB76" s="179"/>
      <c r="AC76" s="179"/>
      <c r="AD76" s="179"/>
      <c r="AE76" s="179"/>
      <c r="AF76" s="179"/>
      <c r="AG76" s="179"/>
      <c r="AH76" s="180"/>
      <c r="AJ76" s="544">
        <f ca="1">IF(AND($D76="Serviço",AJ$12&lt;&gt;0,$H76&gt;0,OR(AUTOEVENTO&lt;&gt;"manual",$M76&lt;&gt;1)),
IF(Import.TipoArredondamento&lt;&gt;"TransfereGOV",
ROUND(OFFSET($P76,0,AJ$13),15-13*ORÇAMENTO!$AF$7)/$H76*OFFSET(ORÇAMENTO!$X$15,ROW(AJ76)-ROW(AJ$15),0),
ROUND(ROUND(OFFSET($P76,0,AJ$13),15-13*ORÇAMENTO!$AF$7)*OFFSET(ORÇAMENTO!$W$15,ROW(AJ76)-ROW(AJ$15),0),15-13*ORÇAMENTO!$AF$11)),0)</f>
        <v>0</v>
      </c>
      <c r="AK76" s="545">
        <f ca="1">IF(AND($D76="Serviço",AK$12&lt;&gt;0,$H76&gt;0,OR(AUTOEVENTO&lt;&gt;"manual",$M76&lt;&gt;1)),
IF(Import.TipoArredondamento&lt;&gt;"TransfereGOV",
ROUND(OFFSET($P76,0,AK$13),15-13*ORÇAMENTO!$AF$7)/$H76*OFFSET(ORÇAMENTO!$X$15,ROW(AK76)-ROW(AK$15),0),
ROUND(ROUND(OFFSET($P76,0,AK$13),15-13*ORÇAMENTO!$AF$7)*OFFSET(ORÇAMENTO!$W$15,ROW(AK76)-ROW(AK$15),0),15-13*ORÇAMENTO!$AF$11)),0)</f>
        <v>0</v>
      </c>
      <c r="AL76" s="545">
        <f ca="1">IF(AND($D76="Serviço",AL$12&lt;&gt;0,$H76&gt;0,OR(AUTOEVENTO&lt;&gt;"manual",$M76&lt;&gt;1)),
IF(Import.TipoArredondamento&lt;&gt;"TransfereGOV",
ROUND(OFFSET($P76,0,AL$13),15-13*ORÇAMENTO!$AF$7)/$H76*OFFSET(ORÇAMENTO!$X$15,ROW(AL76)-ROW(AL$15),0),
ROUND(ROUND(OFFSET($P76,0,AL$13),15-13*ORÇAMENTO!$AF$7)*OFFSET(ORÇAMENTO!$W$15,ROW(AL76)-ROW(AL$15),0),15-13*ORÇAMENTO!$AF$11)),0)</f>
        <v>0</v>
      </c>
      <c r="AM76" s="545">
        <f ca="1">IF(AND($D76="Serviço",AM$12&lt;&gt;0,$H76&gt;0,OR(AUTOEVENTO&lt;&gt;"manual",$M76&lt;&gt;1)),
IF(Import.TipoArredondamento&lt;&gt;"TransfereGOV",
ROUND(OFFSET($P76,0,AM$13),15-13*ORÇAMENTO!$AF$7)/$H76*OFFSET(ORÇAMENTO!$X$15,ROW(AM76)-ROW(AM$15),0),
ROUND(ROUND(OFFSET($P76,0,AM$13),15-13*ORÇAMENTO!$AF$7)*OFFSET(ORÇAMENTO!$W$15,ROW(AM76)-ROW(AM$15),0),15-13*ORÇAMENTO!$AF$11)),0)</f>
        <v>0</v>
      </c>
      <c r="AN76" s="545">
        <f ca="1">IF(AND($D76="Serviço",AN$12&lt;&gt;0,$H76&gt;0,OR(AUTOEVENTO&lt;&gt;"manual",$M76&lt;&gt;1)),
IF(Import.TipoArredondamento&lt;&gt;"TransfereGOV",
ROUND(OFFSET($P76,0,AN$13),15-13*ORÇAMENTO!$AF$7)/$H76*OFFSET(ORÇAMENTO!$X$15,ROW(AN76)-ROW(AN$15),0),
ROUND(ROUND(OFFSET($P76,0,AN$13),15-13*ORÇAMENTO!$AF$7)*OFFSET(ORÇAMENTO!$W$15,ROW(AN76)-ROW(AN$15),0),15-13*ORÇAMENTO!$AF$11)),0)</f>
        <v>0</v>
      </c>
      <c r="AO76" s="545">
        <f ca="1">IF(AND($D76="Serviço",AO$12&lt;&gt;0,$H76&gt;0,OR(AUTOEVENTO&lt;&gt;"manual",$M76&lt;&gt;1)),
IF(Import.TipoArredondamento&lt;&gt;"TransfereGOV",
ROUND(OFFSET($P76,0,AO$13),15-13*ORÇAMENTO!$AF$7)/$H76*OFFSET(ORÇAMENTO!$X$15,ROW(AO76)-ROW(AO$15),0),
ROUND(ROUND(OFFSET($P76,0,AO$13),15-13*ORÇAMENTO!$AF$7)*OFFSET(ORÇAMENTO!$W$15,ROW(AO76)-ROW(AO$15),0),15-13*ORÇAMENTO!$AF$11)),0)</f>
        <v>0</v>
      </c>
      <c r="AP76" s="545">
        <f ca="1">IF(AND($D76="Serviço",AP$12&lt;&gt;0,$H76&gt;0,OR(AUTOEVENTO&lt;&gt;"manual",$M76&lt;&gt;1)),
IF(Import.TipoArredondamento&lt;&gt;"TransfereGOV",
ROUND(OFFSET($P76,0,AP$13),15-13*ORÇAMENTO!$AF$7)/$H76*OFFSET(ORÇAMENTO!$X$15,ROW(AP76)-ROW(AP$15),0),
ROUND(ROUND(OFFSET($P76,0,AP$13),15-13*ORÇAMENTO!$AF$7)*OFFSET(ORÇAMENTO!$W$15,ROW(AP76)-ROW(AP$15),0),15-13*ORÇAMENTO!$AF$11)),0)</f>
        <v>0</v>
      </c>
      <c r="AQ76" s="545">
        <f ca="1">IF(AND($D76="Serviço",AQ$12&lt;&gt;0,$H76&gt;0,OR(AUTOEVENTO&lt;&gt;"manual",$M76&lt;&gt;1)),
IF(Import.TipoArredondamento&lt;&gt;"TransfereGOV",
ROUND(OFFSET($P76,0,AQ$13),15-13*ORÇAMENTO!$AF$7)/$H76*OFFSET(ORÇAMENTO!$X$15,ROW(AQ76)-ROW(AQ$15),0),
ROUND(ROUND(OFFSET($P76,0,AQ$13),15-13*ORÇAMENTO!$AF$7)*OFFSET(ORÇAMENTO!$W$15,ROW(AQ76)-ROW(AQ$15),0),15-13*ORÇAMENTO!$AF$11)),0)</f>
        <v>0</v>
      </c>
      <c r="AR76" s="545">
        <f ca="1">IF(AND($D76="Serviço",AR$12&lt;&gt;0,$H76&gt;0,OR(AUTOEVENTO&lt;&gt;"manual",$M76&lt;&gt;1)),
IF(Import.TipoArredondamento&lt;&gt;"TransfereGOV",
ROUND(OFFSET($P76,0,AR$13),15-13*ORÇAMENTO!$AF$7)/$H76*OFFSET(ORÇAMENTO!$X$15,ROW(AR76)-ROW(AR$15),0),
ROUND(ROUND(OFFSET($P76,0,AR$13),15-13*ORÇAMENTO!$AF$7)*OFFSET(ORÇAMENTO!$W$15,ROW(AR76)-ROW(AR$15),0),15-13*ORÇAMENTO!$AF$11)),0)</f>
        <v>0</v>
      </c>
      <c r="AS76" s="546">
        <f ca="1">IF(AND($D76="Serviço",AS$12&lt;&gt;0,$H76&gt;0,OR(AUTOEVENTO&lt;&gt;"manual",$M76&lt;&gt;1)),
IF(Import.TipoArredondamento&lt;&gt;"TransfereGOV",
ROUND(OFFSET($P76,0,AS$13),15-13*ORÇAMENTO!$AF$7)/$H76*OFFSET(ORÇAMENTO!$X$15,ROW(AS76)-ROW(AS$15),0),
ROUND(ROUND(OFFSET($P76,0,AS$13),15-13*ORÇAMENTO!$AF$7)*OFFSET(ORÇAMENTO!$W$15,ROW(AS76)-ROW(AS$15),0),15-13*ORÇAMENTO!$AF$11)),0)</f>
        <v>0</v>
      </c>
      <c r="AT76" s="545">
        <f ca="1">IF(AND($D76="Serviço",AT$12&lt;&gt;0,$H76&gt;0,OR(AUTOEVENTO&lt;&gt;"manual",$M76&lt;&gt;1)),
IF(Import.TipoArredondamento&lt;&gt;"TransfereGOV",
ROUND(OFFSET($P76,0,AT$13),15-13*ORÇAMENTO!$AF$7)/$H76*OFFSET(ORÇAMENTO!$X$15,ROW(AT76)-ROW(AT$15),0),
ROUND(ROUND(OFFSET($P76,0,AT$13),15-13*ORÇAMENTO!$AF$7)*OFFSET(ORÇAMENTO!$W$15,ROW(AT76)-ROW(AT$15),0),15-13*ORÇAMENTO!$AF$11)),0)</f>
        <v>0</v>
      </c>
      <c r="AU76" s="545">
        <f ca="1">IF(AND($D76="Serviço",AU$12&lt;&gt;0,$H76&gt;0,OR(AUTOEVENTO&lt;&gt;"manual",$M76&lt;&gt;1)),
IF(Import.TipoArredondamento&lt;&gt;"TransfereGOV",
ROUND(OFFSET($P76,0,AU$13),15-13*ORÇAMENTO!$AF$7)/$H76*OFFSET(ORÇAMENTO!$X$15,ROW(AU76)-ROW(AU$15),0),
ROUND(ROUND(OFFSET($P76,0,AU$13),15-13*ORÇAMENTO!$AF$7)*OFFSET(ORÇAMENTO!$W$15,ROW(AU76)-ROW(AU$15),0),15-13*ORÇAMENTO!$AF$11)),0)</f>
        <v>0</v>
      </c>
      <c r="AV76" s="545">
        <f ca="1">IF(AND($D76="Serviço",AV$12&lt;&gt;0,$H76&gt;0,OR(AUTOEVENTO&lt;&gt;"manual",$M76&lt;&gt;1)),
IF(Import.TipoArredondamento&lt;&gt;"TransfereGOV",
ROUND(OFFSET($P76,0,AV$13),15-13*ORÇAMENTO!$AF$7)/$H76*OFFSET(ORÇAMENTO!$X$15,ROW(AV76)-ROW(AV$15),0),
ROUND(ROUND(OFFSET($P76,0,AV$13),15-13*ORÇAMENTO!$AF$7)*OFFSET(ORÇAMENTO!$W$15,ROW(AV76)-ROW(AV$15),0),15-13*ORÇAMENTO!$AF$11)),0)</f>
        <v>0</v>
      </c>
      <c r="AW76" s="545">
        <f ca="1">IF(AND($D76="Serviço",AW$12&lt;&gt;0,$H76&gt;0,OR(AUTOEVENTO&lt;&gt;"manual",$M76&lt;&gt;1)),
IF(Import.TipoArredondamento&lt;&gt;"TransfereGOV",
ROUND(OFFSET($P76,0,AW$13),15-13*ORÇAMENTO!$AF$7)/$H76*OFFSET(ORÇAMENTO!$X$15,ROW(AW76)-ROW(AW$15),0),
ROUND(ROUND(OFFSET($P76,0,AW$13),15-13*ORÇAMENTO!$AF$7)*OFFSET(ORÇAMENTO!$W$15,ROW(AW76)-ROW(AW$15),0),15-13*ORÇAMENTO!$AF$11)),0)</f>
        <v>0</v>
      </c>
      <c r="AX76" s="545">
        <f ca="1">IF(AND($D76="Serviço",AX$12&lt;&gt;0,$H76&gt;0,OR(AUTOEVENTO&lt;&gt;"manual",$M76&lt;&gt;1)),
IF(Import.TipoArredondamento&lt;&gt;"TransfereGOV",
ROUND(OFFSET($P76,0,AX$13),15-13*ORÇAMENTO!$AF$7)/$H76*OFFSET(ORÇAMENTO!$X$15,ROW(AX76)-ROW(AX$15),0),
ROUND(ROUND(OFFSET($P76,0,AX$13),15-13*ORÇAMENTO!$AF$7)*OFFSET(ORÇAMENTO!$W$15,ROW(AX76)-ROW(AX$15),0),15-13*ORÇAMENTO!$AF$11)),0)</f>
        <v>0</v>
      </c>
      <c r="AY76" s="545">
        <f ca="1">IF(AND($D76="Serviço",AY$12&lt;&gt;0,$H76&gt;0,OR(AUTOEVENTO&lt;&gt;"manual",$M76&lt;&gt;1)),
IF(Import.TipoArredondamento&lt;&gt;"TransfereGOV",
ROUND(OFFSET($P76,0,AY$13),15-13*ORÇAMENTO!$AF$7)/$H76*OFFSET(ORÇAMENTO!$X$15,ROW(AY76)-ROW(AY$15),0),
ROUND(ROUND(OFFSET($P76,0,AY$13),15-13*ORÇAMENTO!$AF$7)*OFFSET(ORÇAMENTO!$W$15,ROW(AY76)-ROW(AY$15),0),15-13*ORÇAMENTO!$AF$11)),0)</f>
        <v>0</v>
      </c>
      <c r="AZ76" s="545">
        <f ca="1">IF(AND($D76="Serviço",AZ$12&lt;&gt;0,$H76&gt;0,OR(AUTOEVENTO&lt;&gt;"manual",$M76&lt;&gt;1)),
IF(Import.TipoArredondamento&lt;&gt;"TransfereGOV",
ROUND(OFFSET($P76,0,AZ$13),15-13*ORÇAMENTO!$AF$7)/$H76*OFFSET(ORÇAMENTO!$X$15,ROW(AZ76)-ROW(AZ$15),0),
ROUND(ROUND(OFFSET($P76,0,AZ$13),15-13*ORÇAMENTO!$AF$7)*OFFSET(ORÇAMENTO!$W$15,ROW(AZ76)-ROW(AZ$15),0),15-13*ORÇAMENTO!$AF$11)),0)</f>
        <v>0</v>
      </c>
      <c r="BA76" s="546">
        <f ca="1">IF(AND($D76="Serviço",BA$12&lt;&gt;0,$H76&gt;0,OR(AUTOEVENTO&lt;&gt;"manual",$M76&lt;&gt;1)),
IF(Import.TipoArredondamento&lt;&gt;"TransfereGOV",
ROUND(OFFSET($P76,0,BA$13),15-13*ORÇAMENTO!$AF$7)/$H76*OFFSET(ORÇAMENTO!$X$15,ROW(BA76)-ROW(BA$15),0),
ROUND(ROUND(OFFSET($P76,0,BA$13),15-13*ORÇAMENTO!$AF$7)*OFFSET(ORÇAMENTO!$W$15,ROW(BA76)-ROW(BA$15),0),15-13*ORÇAMENTO!$AF$11)),0)</f>
        <v>0</v>
      </c>
      <c r="BC76" s="181">
        <f ca="1">IF($D76&lt;&gt;"Serviço",0,IF(AND(AUTOEVENTO="Manual",$M76=1),0,IF(OFFSET(CRONOPLE!$F$14,$M76,BC$13)="",10^12,OFFSET(CRONOPLE!$F$14,$M76,BC$13))))</f>
        <v>3</v>
      </c>
      <c r="BD76" s="181">
        <f ca="1">IF($D76&lt;&gt;"Serviço",0,IF(AND(AUTOEVENTO="Manual",$M76=1),0,IF(OFFSET(CRONOPLE!$F$14,$M76,BD$13)="",10^12,OFFSET(CRONOPLE!$F$14,$M76,BD$13))))</f>
        <v>1000000000000</v>
      </c>
      <c r="BE76" s="181">
        <f ca="1">IF($D76&lt;&gt;"Serviço",0,IF(AND(AUTOEVENTO="Manual",$M76=1),0,IF(OFFSET(CRONOPLE!$F$14,$M76,BE$13)="",10^12,OFFSET(CRONOPLE!$F$14,$M76,BE$13))))</f>
        <v>1000000000000</v>
      </c>
      <c r="BF76" s="181">
        <f ca="1">IF($D76&lt;&gt;"Serviço",0,IF(AND(AUTOEVENTO="Manual",$M76=1),0,IF(OFFSET(CRONOPLE!$F$14,$M76,BF$13)="",10^12,OFFSET(CRONOPLE!$F$14,$M76,BF$13))))</f>
        <v>1000000000000</v>
      </c>
      <c r="BG76" s="181">
        <f ca="1">IF($D76&lt;&gt;"Serviço",0,IF(AND(AUTOEVENTO="Manual",$M76=1),0,IF(OFFSET(CRONOPLE!$F$14,$M76,BG$13)="",10^12,OFFSET(CRONOPLE!$F$14,$M76,BG$13))))</f>
        <v>1000000000000</v>
      </c>
      <c r="BH76" s="181">
        <f ca="1">IF($D76&lt;&gt;"Serviço",0,IF(AND(AUTOEVENTO="Manual",$M76=1),0,IF(OFFSET(CRONOPLE!$F$14,$M76,BH$13)="",10^12,OFFSET(CRONOPLE!$F$14,$M76,BH$13))))</f>
        <v>1000000000000</v>
      </c>
      <c r="BI76" s="181">
        <f ca="1">IF($D76&lt;&gt;"Serviço",0,IF(AND(AUTOEVENTO="Manual",$M76=1),0,IF(OFFSET(CRONOPLE!$F$14,$M76,BI$13)="",10^12,OFFSET(CRONOPLE!$F$14,$M76,BI$13))))</f>
        <v>1000000000000</v>
      </c>
      <c r="BJ76" s="181">
        <f ca="1">IF($D76&lt;&gt;"Serviço",0,IF(AND(AUTOEVENTO="Manual",$M76=1),0,IF(OFFSET(CRONOPLE!$F$14,$M76,BJ$13)="",10^12,OFFSET(CRONOPLE!$F$14,$M76,BJ$13))))</f>
        <v>1000000000000</v>
      </c>
      <c r="BK76" s="181">
        <f ca="1">IF($D76&lt;&gt;"Serviço",0,IF(AND(AUTOEVENTO="Manual",$M76=1),0,IF(OFFSET(CRONOPLE!$F$14,$M76,BK$13)="",10^12,OFFSET(CRONOPLE!$F$14,$M76,BK$13))))</f>
        <v>1000000000000</v>
      </c>
      <c r="BL76" s="181">
        <f ca="1">IF($D76&lt;&gt;"Serviço",0,IF(AND(AUTOEVENTO="Manual",$M76=1),0,IF(OFFSET(CRONOPLE!$F$14,$M76,BL$13)="",10^12,OFFSET(CRONOPLE!$F$14,$M76,BL$13))))</f>
        <v>1000000000000</v>
      </c>
      <c r="BM76" s="181">
        <f ca="1">IF($D76&lt;&gt;"Serviço",0,IF(AND(AUTOEVENTO="Manual",$M76=1),0,IF(OFFSET(CRONOPLE!$F$14,$M76,BM$13)="",10^12,OFFSET(CRONOPLE!$F$14,$M76,BM$13))))</f>
        <v>1000000000000</v>
      </c>
      <c r="BN76" s="181">
        <f ca="1">IF($D76&lt;&gt;"Serviço",0,IF(AND(AUTOEVENTO="Manual",$M76=1),0,IF(OFFSET(CRONOPLE!$F$14,$M76,BN$13)="",10^12,OFFSET(CRONOPLE!$F$14,$M76,BN$13))))</f>
        <v>1000000000000</v>
      </c>
      <c r="BO76" s="181">
        <f ca="1">IF($D76&lt;&gt;"Serviço",0,IF(AND(AUTOEVENTO="Manual",$M76=1),0,IF(OFFSET(CRONOPLE!$F$14,$M76,BO$13)="",10^12,OFFSET(CRONOPLE!$F$14,$M76,BO$13))))</f>
        <v>1000000000000</v>
      </c>
      <c r="BP76" s="181">
        <f ca="1">IF($D76&lt;&gt;"Serviço",0,IF(AND(AUTOEVENTO="Manual",$M76=1),0,IF(OFFSET(CRONOPLE!$F$14,$M76,BP$13)="",10^12,OFFSET(CRONOPLE!$F$14,$M76,BP$13))))</f>
        <v>1000000000000</v>
      </c>
      <c r="BQ76" s="181">
        <f ca="1">IF($D76&lt;&gt;"Serviço",0,IF(AND(AUTOEVENTO="Manual",$M76=1),0,IF(OFFSET(CRONOPLE!$F$14,$M76,BQ$13)="",10^12,OFFSET(CRONOPLE!$F$14,$M76,BQ$13))))</f>
        <v>1000000000000</v>
      </c>
      <c r="BR76" s="181">
        <f ca="1">IF($D76&lt;&gt;"Serviço",0,IF(AND(AUTOEVENTO="Manual",$M76=1),0,IF(OFFSET(CRONOPLE!$F$14,$M76,BR$13)="",10^12,OFFSET(CRONOPLE!$F$14,$M76,BR$13))))</f>
        <v>1000000000000</v>
      </c>
      <c r="BS76" s="181">
        <f ca="1">IF($D76&lt;&gt;"Serviço",0,IF(AND(AUTOEVENTO="Manual",$M76=1),0,IF(OFFSET(CRONOPLE!$F$14,$M76,BS$13)="",10^12,OFFSET(CRONOPLE!$F$14,$M76,BS$13))))</f>
        <v>1000000000000</v>
      </c>
      <c r="BT76" s="181">
        <f ca="1">IF($D76&lt;&gt;"Serviço",0,IF(AND(AUTOEVENTO="Manual",$M76=1),0,IF(OFFSET(CRONOPLE!$F$14,$M76,BT$13)="",10^12,OFFSET(CRONOPLE!$F$14,$M76,BT$13))))</f>
        <v>1000000000000</v>
      </c>
      <c r="BV76" s="182">
        <f ca="1">IF($D76&lt;&gt;"Serviço",0,IF(OR(AND(AUTOEVENTO="Manual",$M76=1),$M76&gt;(ROW(PLE.lastrow)-ROW(PLE.firstrow))),0,IF(OFFSET(PLE!$G$14,$M76,BV$13)="",10^12,OFFSET(PLE!$G$14,$M76,BV$13))))</f>
        <v>1000000000000</v>
      </c>
      <c r="BW76" s="182">
        <f ca="1">IF($D76&lt;&gt;"Serviço",0,IF(OR(AND(AUTOEVENTO="Manual",$M76=1),$M76&gt;(ROW(PLE.lastrow)-ROW(PLE.firstrow))),0,IF(OFFSET(PLE!$G$14,$M76,BW$13)="",10^12,OFFSET(PLE!$G$14,$M76,BW$13))))</f>
        <v>1000000000000</v>
      </c>
      <c r="BX76" s="182">
        <f ca="1">IF($D76&lt;&gt;"Serviço",0,IF(OR(AND(AUTOEVENTO="Manual",$M76=1),$M76&gt;(ROW(PLE.lastrow)-ROW(PLE.firstrow))),0,IF(OFFSET(PLE!$G$14,$M76,BX$13)="",10^12,OFFSET(PLE!$G$14,$M76,BX$13))))</f>
        <v>1000000000000</v>
      </c>
      <c r="BY76" s="182">
        <f ca="1">IF($D76&lt;&gt;"Serviço",0,IF(OR(AND(AUTOEVENTO="Manual",$M76=1),$M76&gt;(ROW(PLE.lastrow)-ROW(PLE.firstrow))),0,IF(OFFSET(PLE!$G$14,$M76,BY$13)="",10^12,OFFSET(PLE!$G$14,$M76,BY$13))))</f>
        <v>1000000000000</v>
      </c>
      <c r="BZ76" s="182">
        <f ca="1">IF($D76&lt;&gt;"Serviço",0,IF(OR(AND(AUTOEVENTO="Manual",$M76=1),$M76&gt;(ROW(PLE.lastrow)-ROW(PLE.firstrow))),0,IF(OFFSET(PLE!$G$14,$M76,BZ$13)="",10^12,OFFSET(PLE!$G$14,$M76,BZ$13))))</f>
        <v>1000000000000</v>
      </c>
      <c r="CA76" s="182">
        <f ca="1">IF($D76&lt;&gt;"Serviço",0,IF(OR(AND(AUTOEVENTO="Manual",$M76=1),$M76&gt;(ROW(PLE.lastrow)-ROW(PLE.firstrow))),0,IF(OFFSET(PLE!$G$14,$M76,CA$13)="",10^12,OFFSET(PLE!$G$14,$M76,CA$13))))</f>
        <v>1000000000000</v>
      </c>
      <c r="CB76" s="182">
        <f ca="1">IF($D76&lt;&gt;"Serviço",0,IF(OR(AND(AUTOEVENTO="Manual",$M76=1),$M76&gt;(ROW(PLE.lastrow)-ROW(PLE.firstrow))),0,IF(OFFSET(PLE!$G$14,$M76,CB$13)="",10^12,OFFSET(PLE!$G$14,$M76,CB$13))))</f>
        <v>1000000000000</v>
      </c>
      <c r="CC76" s="182">
        <f ca="1">IF($D76&lt;&gt;"Serviço",0,IF(OR(AND(AUTOEVENTO="Manual",$M76=1),$M76&gt;(ROW(PLE.lastrow)-ROW(PLE.firstrow))),0,IF(OFFSET(PLE!$G$14,$M76,CC$13)="",10^12,OFFSET(PLE!$G$14,$M76,CC$13))))</f>
        <v>1000000000000</v>
      </c>
      <c r="CD76" s="182">
        <f ca="1">IF($D76&lt;&gt;"Serviço",0,IF(OR(AND(AUTOEVENTO="Manual",$M76=1),$M76&gt;(ROW(PLE.lastrow)-ROW(PLE.firstrow))),0,IF(OFFSET(PLE!$G$14,$M76,CD$13)="",10^12,OFFSET(PLE!$G$14,$M76,CD$13))))</f>
        <v>1000000000000</v>
      </c>
      <c r="CE76" s="182">
        <f ca="1">IF($D76&lt;&gt;"Serviço",0,IF(OR(AND(AUTOEVENTO="Manual",$M76=1),$M76&gt;(ROW(PLE.lastrow)-ROW(PLE.firstrow))),0,IF(OFFSET(PLE!$G$14,$M76,CE$13)="",10^12,OFFSET(PLE!$G$14,$M76,CE$13))))</f>
        <v>1000000000000</v>
      </c>
      <c r="CF76" s="182">
        <f ca="1">IF($D76&lt;&gt;"Serviço",0,IF(OR(AND(AUTOEVENTO="Manual",$M76=1),$M76&gt;(ROW(PLE.lastrow)-ROW(PLE.firstrow))),0,IF(OFFSET(PLE!$G$14,$M76,CF$13)="",10^12,OFFSET(PLE!$G$14,$M76,CF$13))))</f>
        <v>1000000000000</v>
      </c>
      <c r="CG76" s="182">
        <f ca="1">IF($D76&lt;&gt;"Serviço",0,IF(OR(AND(AUTOEVENTO="Manual",$M76=1),$M76&gt;(ROW(PLE.lastrow)-ROW(PLE.firstrow))),0,IF(OFFSET(PLE!$G$14,$M76,CG$13)="",10^12,OFFSET(PLE!$G$14,$M76,CG$13))))</f>
        <v>1000000000000</v>
      </c>
      <c r="CH76" s="182">
        <f ca="1">IF($D76&lt;&gt;"Serviço",0,IF(OR(AND(AUTOEVENTO="Manual",$M76=1),$M76&gt;(ROW(PLE.lastrow)-ROW(PLE.firstrow))),0,IF(OFFSET(PLE!$G$14,$M76,CH$13)="",10^12,OFFSET(PLE!$G$14,$M76,CH$13))))</f>
        <v>1000000000000</v>
      </c>
      <c r="CI76" s="182">
        <f ca="1">IF($D76&lt;&gt;"Serviço",0,IF(OR(AND(AUTOEVENTO="Manual",$M76=1),$M76&gt;(ROW(PLE.lastrow)-ROW(PLE.firstrow))),0,IF(OFFSET(PLE!$G$14,$M76,CI$13)="",10^12,OFFSET(PLE!$G$14,$M76,CI$13))))</f>
        <v>1000000000000</v>
      </c>
      <c r="CJ76" s="182">
        <f ca="1">IF($D76&lt;&gt;"Serviço",0,IF(OR(AND(AUTOEVENTO="Manual",$M76=1),$M76&gt;(ROW(PLE.lastrow)-ROW(PLE.firstrow))),0,IF(OFFSET(PLE!$G$14,$M76,CJ$13)="",10^12,OFFSET(PLE!$G$14,$M76,CJ$13))))</f>
        <v>1000000000000</v>
      </c>
      <c r="CK76" s="182">
        <f ca="1">IF($D76&lt;&gt;"Serviço",0,IF(OR(AND(AUTOEVENTO="Manual",$M76=1),$M76&gt;(ROW(PLE.lastrow)-ROW(PLE.firstrow))),0,IF(OFFSET(PLE!$G$14,$M76,CK$13)="",10^12,OFFSET(PLE!$G$14,$M76,CK$13))))</f>
        <v>1000000000000</v>
      </c>
      <c r="CL76" s="182">
        <f ca="1">IF($D76&lt;&gt;"Serviço",0,IF(OR(AND(AUTOEVENTO="Manual",$M76=1),$M76&gt;(ROW(PLE.lastrow)-ROW(PLE.firstrow))),0,IF(OFFSET(PLE!$G$14,$M76,CL$13)="",10^12,OFFSET(PLE!$G$14,$M76,CL$13))))</f>
        <v>1000000000000</v>
      </c>
      <c r="CM76" s="182">
        <f ca="1">IF($D76&lt;&gt;"Serviço",0,IF(OR(AND(AUTOEVENTO="Manual",$M76=1),$M76&gt;(ROW(PLE.lastrow)-ROW(PLE.firstrow))),0,IF(OFFSET(PLE!$G$14,$M76,CM$13)="",10^12,OFFSET(PLE!$G$14,$M76,CM$13))))</f>
        <v>1000000000000</v>
      </c>
    </row>
    <row r="77" spans="1:91" ht="38.25" x14ac:dyDescent="0.2">
      <c r="A77" s="7" t="str">
        <f t="shared" ca="1" si="10"/>
        <v>59</v>
      </c>
      <c r="B77" s="7" t="str">
        <f ca="1">OFFSET(ORÇAMENTO!C$15,ROW(B77)-ROW(B$15),0)</f>
        <v>S</v>
      </c>
      <c r="C77" s="7" t="str">
        <f ca="1">OFFSET(ORÇAMENTO!L$15,ROW(C77)-ROW(C$15),0)</f>
        <v/>
      </c>
      <c r="D77" s="118" t="str">
        <f ca="1">OFFSET(ORÇAMENTO!N$15,ROW(D77)-ROW(D$15),0)</f>
        <v>Serviço</v>
      </c>
      <c r="E77" s="119" t="str">
        <f ca="1">OFFSET(ORÇAMENTO!O$15,ROW(E77)-ROW(E$15),0)</f>
        <v>-</v>
      </c>
      <c r="F77" s="172" t="str">
        <f ca="1">OFFSET(ORÇAMENTO!R$15,ROW(F77)-ROW(F$15),0)</f>
        <v>(abra o arquivo 'Referência 06-2024.xlsm)</v>
      </c>
      <c r="G77" s="173" t="str">
        <f ca="1">IF($D77&lt;&gt;"Serviço","",OFFSET(ORÇAMENTO!S$15,ROW(G77)-ROW(G$15),0))</f>
        <v>-</v>
      </c>
      <c r="H77" s="124">
        <f ca="1">IF($D77&lt;&gt;"Serviço",0,IF(ACOMPANHAMENTO="BM",ROUND(OFFSET(ORÇAMENTO!AJ$15,ROW(H77)-ROW(H$15),0),15-13*ORÇAMENTO!$AF$7),SUMPRODUCT(($Q$12:$AI$12&lt;&gt;"")*ROUND($Q77:$AI77,15-13*ORÇAMENTO!$AF$7))))</f>
        <v>9.4</v>
      </c>
      <c r="I77" s="561" t="s">
        <v>1107</v>
      </c>
      <c r="K77" s="174" t="s">
        <v>1028</v>
      </c>
      <c r="L77" s="175" t="s">
        <v>255</v>
      </c>
      <c r="M77" s="176">
        <f ca="1">IF($D77&lt;&gt;"Serviço","",IF(AUTOEVENTO="manual",$A77,IF(ISERROR(MATCH($A77,$A$15:OFFSET($A77,-1,0),0)),MAX($M$15:OFFSET(M77,-1,0))+1,INDEX($M$15:OFFSET(M77,-1,0),MATCH($A77,$A$15:OFFSET($A77,-1,0),0)))))</f>
        <v>11</v>
      </c>
      <c r="N77" s="177" t="str">
        <f ca="1">IF($D77&lt;&gt;"Serviço","",IF(AUTOEVENTO="Manual",IF($A77=0,"&lt;-- defina o número do agrupador",OFFSET(EVENTOS!$D$14,$A77,0)),OFFSET($F$15,$A77,0)))</f>
        <v>SUPERESTRUTURA - CONCRETO ARMADO PARA VERGAS</v>
      </c>
      <c r="O77" s="178"/>
      <c r="Q77" s="178">
        <v>9.4</v>
      </c>
      <c r="R77" s="179"/>
      <c r="S77" s="179"/>
      <c r="T77" s="179"/>
      <c r="U77" s="179"/>
      <c r="V77" s="179"/>
      <c r="W77" s="179"/>
      <c r="X77" s="179"/>
      <c r="Y77" s="179"/>
      <c r="Z77" s="180"/>
      <c r="AA77" s="179"/>
      <c r="AB77" s="179"/>
      <c r="AC77" s="179"/>
      <c r="AD77" s="179"/>
      <c r="AE77" s="179"/>
      <c r="AF77" s="179"/>
      <c r="AG77" s="179"/>
      <c r="AH77" s="180"/>
      <c r="AJ77" s="544">
        <f ca="1">IF(AND($D77="Serviço",AJ$12&lt;&gt;0,$H77&gt;0,OR(AUTOEVENTO&lt;&gt;"manual",$M77&lt;&gt;1)),
IF(Import.TipoArredondamento&lt;&gt;"TransfereGOV",
ROUND(OFFSET($P77,0,AJ$13),15-13*ORÇAMENTO!$AF$7)/$H77*OFFSET(ORÇAMENTO!$X$15,ROW(AJ77)-ROW(AJ$15),0),
ROUND(ROUND(OFFSET($P77,0,AJ$13),15-13*ORÇAMENTO!$AF$7)*OFFSET(ORÇAMENTO!$W$15,ROW(AJ77)-ROW(AJ$15),0),15-13*ORÇAMENTO!$AF$11)),0)</f>
        <v>0</v>
      </c>
      <c r="AK77" s="545">
        <f ca="1">IF(AND($D77="Serviço",AK$12&lt;&gt;0,$H77&gt;0,OR(AUTOEVENTO&lt;&gt;"manual",$M77&lt;&gt;1)),
IF(Import.TipoArredondamento&lt;&gt;"TransfereGOV",
ROUND(OFFSET($P77,0,AK$13),15-13*ORÇAMENTO!$AF$7)/$H77*OFFSET(ORÇAMENTO!$X$15,ROW(AK77)-ROW(AK$15),0),
ROUND(ROUND(OFFSET($P77,0,AK$13),15-13*ORÇAMENTO!$AF$7)*OFFSET(ORÇAMENTO!$W$15,ROW(AK77)-ROW(AK$15),0),15-13*ORÇAMENTO!$AF$11)),0)</f>
        <v>0</v>
      </c>
      <c r="AL77" s="545">
        <f ca="1">IF(AND($D77="Serviço",AL$12&lt;&gt;0,$H77&gt;0,OR(AUTOEVENTO&lt;&gt;"manual",$M77&lt;&gt;1)),
IF(Import.TipoArredondamento&lt;&gt;"TransfereGOV",
ROUND(OFFSET($P77,0,AL$13),15-13*ORÇAMENTO!$AF$7)/$H77*OFFSET(ORÇAMENTO!$X$15,ROW(AL77)-ROW(AL$15),0),
ROUND(ROUND(OFFSET($P77,0,AL$13),15-13*ORÇAMENTO!$AF$7)*OFFSET(ORÇAMENTO!$W$15,ROW(AL77)-ROW(AL$15),0),15-13*ORÇAMENTO!$AF$11)),0)</f>
        <v>0</v>
      </c>
      <c r="AM77" s="545">
        <f ca="1">IF(AND($D77="Serviço",AM$12&lt;&gt;0,$H77&gt;0,OR(AUTOEVENTO&lt;&gt;"manual",$M77&lt;&gt;1)),
IF(Import.TipoArredondamento&lt;&gt;"TransfereGOV",
ROUND(OFFSET($P77,0,AM$13),15-13*ORÇAMENTO!$AF$7)/$H77*OFFSET(ORÇAMENTO!$X$15,ROW(AM77)-ROW(AM$15),0),
ROUND(ROUND(OFFSET($P77,0,AM$13),15-13*ORÇAMENTO!$AF$7)*OFFSET(ORÇAMENTO!$W$15,ROW(AM77)-ROW(AM$15),0),15-13*ORÇAMENTO!$AF$11)),0)</f>
        <v>0</v>
      </c>
      <c r="AN77" s="545">
        <f ca="1">IF(AND($D77="Serviço",AN$12&lt;&gt;0,$H77&gt;0,OR(AUTOEVENTO&lt;&gt;"manual",$M77&lt;&gt;1)),
IF(Import.TipoArredondamento&lt;&gt;"TransfereGOV",
ROUND(OFFSET($P77,0,AN$13),15-13*ORÇAMENTO!$AF$7)/$H77*OFFSET(ORÇAMENTO!$X$15,ROW(AN77)-ROW(AN$15),0),
ROUND(ROUND(OFFSET($P77,0,AN$13),15-13*ORÇAMENTO!$AF$7)*OFFSET(ORÇAMENTO!$W$15,ROW(AN77)-ROW(AN$15),0),15-13*ORÇAMENTO!$AF$11)),0)</f>
        <v>0</v>
      </c>
      <c r="AO77" s="545">
        <f ca="1">IF(AND($D77="Serviço",AO$12&lt;&gt;0,$H77&gt;0,OR(AUTOEVENTO&lt;&gt;"manual",$M77&lt;&gt;1)),
IF(Import.TipoArredondamento&lt;&gt;"TransfereGOV",
ROUND(OFFSET($P77,0,AO$13),15-13*ORÇAMENTO!$AF$7)/$H77*OFFSET(ORÇAMENTO!$X$15,ROW(AO77)-ROW(AO$15),0),
ROUND(ROUND(OFFSET($P77,0,AO$13),15-13*ORÇAMENTO!$AF$7)*OFFSET(ORÇAMENTO!$W$15,ROW(AO77)-ROW(AO$15),0),15-13*ORÇAMENTO!$AF$11)),0)</f>
        <v>0</v>
      </c>
      <c r="AP77" s="545">
        <f ca="1">IF(AND($D77="Serviço",AP$12&lt;&gt;0,$H77&gt;0,OR(AUTOEVENTO&lt;&gt;"manual",$M77&lt;&gt;1)),
IF(Import.TipoArredondamento&lt;&gt;"TransfereGOV",
ROUND(OFFSET($P77,0,AP$13),15-13*ORÇAMENTO!$AF$7)/$H77*OFFSET(ORÇAMENTO!$X$15,ROW(AP77)-ROW(AP$15),0),
ROUND(ROUND(OFFSET($P77,0,AP$13),15-13*ORÇAMENTO!$AF$7)*OFFSET(ORÇAMENTO!$W$15,ROW(AP77)-ROW(AP$15),0),15-13*ORÇAMENTO!$AF$11)),0)</f>
        <v>0</v>
      </c>
      <c r="AQ77" s="545">
        <f ca="1">IF(AND($D77="Serviço",AQ$12&lt;&gt;0,$H77&gt;0,OR(AUTOEVENTO&lt;&gt;"manual",$M77&lt;&gt;1)),
IF(Import.TipoArredondamento&lt;&gt;"TransfereGOV",
ROUND(OFFSET($P77,0,AQ$13),15-13*ORÇAMENTO!$AF$7)/$H77*OFFSET(ORÇAMENTO!$X$15,ROW(AQ77)-ROW(AQ$15),0),
ROUND(ROUND(OFFSET($P77,0,AQ$13),15-13*ORÇAMENTO!$AF$7)*OFFSET(ORÇAMENTO!$W$15,ROW(AQ77)-ROW(AQ$15),0),15-13*ORÇAMENTO!$AF$11)),0)</f>
        <v>0</v>
      </c>
      <c r="AR77" s="545">
        <f ca="1">IF(AND($D77="Serviço",AR$12&lt;&gt;0,$H77&gt;0,OR(AUTOEVENTO&lt;&gt;"manual",$M77&lt;&gt;1)),
IF(Import.TipoArredondamento&lt;&gt;"TransfereGOV",
ROUND(OFFSET($P77,0,AR$13),15-13*ORÇAMENTO!$AF$7)/$H77*OFFSET(ORÇAMENTO!$X$15,ROW(AR77)-ROW(AR$15),0),
ROUND(ROUND(OFFSET($P77,0,AR$13),15-13*ORÇAMENTO!$AF$7)*OFFSET(ORÇAMENTO!$W$15,ROW(AR77)-ROW(AR$15),0),15-13*ORÇAMENTO!$AF$11)),0)</f>
        <v>0</v>
      </c>
      <c r="AS77" s="546">
        <f ca="1">IF(AND($D77="Serviço",AS$12&lt;&gt;0,$H77&gt;0,OR(AUTOEVENTO&lt;&gt;"manual",$M77&lt;&gt;1)),
IF(Import.TipoArredondamento&lt;&gt;"TransfereGOV",
ROUND(OFFSET($P77,0,AS$13),15-13*ORÇAMENTO!$AF$7)/$H77*OFFSET(ORÇAMENTO!$X$15,ROW(AS77)-ROW(AS$15),0),
ROUND(ROUND(OFFSET($P77,0,AS$13),15-13*ORÇAMENTO!$AF$7)*OFFSET(ORÇAMENTO!$W$15,ROW(AS77)-ROW(AS$15),0),15-13*ORÇAMENTO!$AF$11)),0)</f>
        <v>0</v>
      </c>
      <c r="AT77" s="545">
        <f ca="1">IF(AND($D77="Serviço",AT$12&lt;&gt;0,$H77&gt;0,OR(AUTOEVENTO&lt;&gt;"manual",$M77&lt;&gt;1)),
IF(Import.TipoArredondamento&lt;&gt;"TransfereGOV",
ROUND(OFFSET($P77,0,AT$13),15-13*ORÇAMENTO!$AF$7)/$H77*OFFSET(ORÇAMENTO!$X$15,ROW(AT77)-ROW(AT$15),0),
ROUND(ROUND(OFFSET($P77,0,AT$13),15-13*ORÇAMENTO!$AF$7)*OFFSET(ORÇAMENTO!$W$15,ROW(AT77)-ROW(AT$15),0),15-13*ORÇAMENTO!$AF$11)),0)</f>
        <v>0</v>
      </c>
      <c r="AU77" s="545">
        <f ca="1">IF(AND($D77="Serviço",AU$12&lt;&gt;0,$H77&gt;0,OR(AUTOEVENTO&lt;&gt;"manual",$M77&lt;&gt;1)),
IF(Import.TipoArredondamento&lt;&gt;"TransfereGOV",
ROUND(OFFSET($P77,0,AU$13),15-13*ORÇAMENTO!$AF$7)/$H77*OFFSET(ORÇAMENTO!$X$15,ROW(AU77)-ROW(AU$15),0),
ROUND(ROUND(OFFSET($P77,0,AU$13),15-13*ORÇAMENTO!$AF$7)*OFFSET(ORÇAMENTO!$W$15,ROW(AU77)-ROW(AU$15),0),15-13*ORÇAMENTO!$AF$11)),0)</f>
        <v>0</v>
      </c>
      <c r="AV77" s="545">
        <f ca="1">IF(AND($D77="Serviço",AV$12&lt;&gt;0,$H77&gt;0,OR(AUTOEVENTO&lt;&gt;"manual",$M77&lt;&gt;1)),
IF(Import.TipoArredondamento&lt;&gt;"TransfereGOV",
ROUND(OFFSET($P77,0,AV$13),15-13*ORÇAMENTO!$AF$7)/$H77*OFFSET(ORÇAMENTO!$X$15,ROW(AV77)-ROW(AV$15),0),
ROUND(ROUND(OFFSET($P77,0,AV$13),15-13*ORÇAMENTO!$AF$7)*OFFSET(ORÇAMENTO!$W$15,ROW(AV77)-ROW(AV$15),0),15-13*ORÇAMENTO!$AF$11)),0)</f>
        <v>0</v>
      </c>
      <c r="AW77" s="545">
        <f ca="1">IF(AND($D77="Serviço",AW$12&lt;&gt;0,$H77&gt;0,OR(AUTOEVENTO&lt;&gt;"manual",$M77&lt;&gt;1)),
IF(Import.TipoArredondamento&lt;&gt;"TransfereGOV",
ROUND(OFFSET($P77,0,AW$13),15-13*ORÇAMENTO!$AF$7)/$H77*OFFSET(ORÇAMENTO!$X$15,ROW(AW77)-ROW(AW$15),0),
ROUND(ROUND(OFFSET($P77,0,AW$13),15-13*ORÇAMENTO!$AF$7)*OFFSET(ORÇAMENTO!$W$15,ROW(AW77)-ROW(AW$15),0),15-13*ORÇAMENTO!$AF$11)),0)</f>
        <v>0</v>
      </c>
      <c r="AX77" s="545">
        <f ca="1">IF(AND($D77="Serviço",AX$12&lt;&gt;0,$H77&gt;0,OR(AUTOEVENTO&lt;&gt;"manual",$M77&lt;&gt;1)),
IF(Import.TipoArredondamento&lt;&gt;"TransfereGOV",
ROUND(OFFSET($P77,0,AX$13),15-13*ORÇAMENTO!$AF$7)/$H77*OFFSET(ORÇAMENTO!$X$15,ROW(AX77)-ROW(AX$15),0),
ROUND(ROUND(OFFSET($P77,0,AX$13),15-13*ORÇAMENTO!$AF$7)*OFFSET(ORÇAMENTO!$W$15,ROW(AX77)-ROW(AX$15),0),15-13*ORÇAMENTO!$AF$11)),0)</f>
        <v>0</v>
      </c>
      <c r="AY77" s="545">
        <f ca="1">IF(AND($D77="Serviço",AY$12&lt;&gt;0,$H77&gt;0,OR(AUTOEVENTO&lt;&gt;"manual",$M77&lt;&gt;1)),
IF(Import.TipoArredondamento&lt;&gt;"TransfereGOV",
ROUND(OFFSET($P77,0,AY$13),15-13*ORÇAMENTO!$AF$7)/$H77*OFFSET(ORÇAMENTO!$X$15,ROW(AY77)-ROW(AY$15),0),
ROUND(ROUND(OFFSET($P77,0,AY$13),15-13*ORÇAMENTO!$AF$7)*OFFSET(ORÇAMENTO!$W$15,ROW(AY77)-ROW(AY$15),0),15-13*ORÇAMENTO!$AF$11)),0)</f>
        <v>0</v>
      </c>
      <c r="AZ77" s="545">
        <f ca="1">IF(AND($D77="Serviço",AZ$12&lt;&gt;0,$H77&gt;0,OR(AUTOEVENTO&lt;&gt;"manual",$M77&lt;&gt;1)),
IF(Import.TipoArredondamento&lt;&gt;"TransfereGOV",
ROUND(OFFSET($P77,0,AZ$13),15-13*ORÇAMENTO!$AF$7)/$H77*OFFSET(ORÇAMENTO!$X$15,ROW(AZ77)-ROW(AZ$15),0),
ROUND(ROUND(OFFSET($P77,0,AZ$13),15-13*ORÇAMENTO!$AF$7)*OFFSET(ORÇAMENTO!$W$15,ROW(AZ77)-ROW(AZ$15),0),15-13*ORÇAMENTO!$AF$11)),0)</f>
        <v>0</v>
      </c>
      <c r="BA77" s="546">
        <f ca="1">IF(AND($D77="Serviço",BA$12&lt;&gt;0,$H77&gt;0,OR(AUTOEVENTO&lt;&gt;"manual",$M77&lt;&gt;1)),
IF(Import.TipoArredondamento&lt;&gt;"TransfereGOV",
ROUND(OFFSET($P77,0,BA$13),15-13*ORÇAMENTO!$AF$7)/$H77*OFFSET(ORÇAMENTO!$X$15,ROW(BA77)-ROW(BA$15),0),
ROUND(ROUND(OFFSET($P77,0,BA$13),15-13*ORÇAMENTO!$AF$7)*OFFSET(ORÇAMENTO!$W$15,ROW(BA77)-ROW(BA$15),0),15-13*ORÇAMENTO!$AF$11)),0)</f>
        <v>0</v>
      </c>
      <c r="BC77" s="181">
        <f ca="1">IF($D77&lt;&gt;"Serviço",0,IF(AND(AUTOEVENTO="Manual",$M77=1),0,IF(OFFSET(CRONOPLE!$F$14,$M77,BC$13)="",10^12,OFFSET(CRONOPLE!$F$14,$M77,BC$13))))</f>
        <v>3</v>
      </c>
      <c r="BD77" s="181">
        <f ca="1">IF($D77&lt;&gt;"Serviço",0,IF(AND(AUTOEVENTO="Manual",$M77=1),0,IF(OFFSET(CRONOPLE!$F$14,$M77,BD$13)="",10^12,OFFSET(CRONOPLE!$F$14,$M77,BD$13))))</f>
        <v>1000000000000</v>
      </c>
      <c r="BE77" s="181">
        <f ca="1">IF($D77&lt;&gt;"Serviço",0,IF(AND(AUTOEVENTO="Manual",$M77=1),0,IF(OFFSET(CRONOPLE!$F$14,$M77,BE$13)="",10^12,OFFSET(CRONOPLE!$F$14,$M77,BE$13))))</f>
        <v>1000000000000</v>
      </c>
      <c r="BF77" s="181">
        <f ca="1">IF($D77&lt;&gt;"Serviço",0,IF(AND(AUTOEVENTO="Manual",$M77=1),0,IF(OFFSET(CRONOPLE!$F$14,$M77,BF$13)="",10^12,OFFSET(CRONOPLE!$F$14,$M77,BF$13))))</f>
        <v>1000000000000</v>
      </c>
      <c r="BG77" s="181">
        <f ca="1">IF($D77&lt;&gt;"Serviço",0,IF(AND(AUTOEVENTO="Manual",$M77=1),0,IF(OFFSET(CRONOPLE!$F$14,$M77,BG$13)="",10^12,OFFSET(CRONOPLE!$F$14,$M77,BG$13))))</f>
        <v>1000000000000</v>
      </c>
      <c r="BH77" s="181">
        <f ca="1">IF($D77&lt;&gt;"Serviço",0,IF(AND(AUTOEVENTO="Manual",$M77=1),0,IF(OFFSET(CRONOPLE!$F$14,$M77,BH$13)="",10^12,OFFSET(CRONOPLE!$F$14,$M77,BH$13))))</f>
        <v>1000000000000</v>
      </c>
      <c r="BI77" s="181">
        <f ca="1">IF($D77&lt;&gt;"Serviço",0,IF(AND(AUTOEVENTO="Manual",$M77=1),0,IF(OFFSET(CRONOPLE!$F$14,$M77,BI$13)="",10^12,OFFSET(CRONOPLE!$F$14,$M77,BI$13))))</f>
        <v>1000000000000</v>
      </c>
      <c r="BJ77" s="181">
        <f ca="1">IF($D77&lt;&gt;"Serviço",0,IF(AND(AUTOEVENTO="Manual",$M77=1),0,IF(OFFSET(CRONOPLE!$F$14,$M77,BJ$13)="",10^12,OFFSET(CRONOPLE!$F$14,$M77,BJ$13))))</f>
        <v>1000000000000</v>
      </c>
      <c r="BK77" s="181">
        <f ca="1">IF($D77&lt;&gt;"Serviço",0,IF(AND(AUTOEVENTO="Manual",$M77=1),0,IF(OFFSET(CRONOPLE!$F$14,$M77,BK$13)="",10^12,OFFSET(CRONOPLE!$F$14,$M77,BK$13))))</f>
        <v>1000000000000</v>
      </c>
      <c r="BL77" s="181">
        <f ca="1">IF($D77&lt;&gt;"Serviço",0,IF(AND(AUTOEVENTO="Manual",$M77=1),0,IF(OFFSET(CRONOPLE!$F$14,$M77,BL$13)="",10^12,OFFSET(CRONOPLE!$F$14,$M77,BL$13))))</f>
        <v>1000000000000</v>
      </c>
      <c r="BM77" s="181">
        <f ca="1">IF($D77&lt;&gt;"Serviço",0,IF(AND(AUTOEVENTO="Manual",$M77=1),0,IF(OFFSET(CRONOPLE!$F$14,$M77,BM$13)="",10^12,OFFSET(CRONOPLE!$F$14,$M77,BM$13))))</f>
        <v>1000000000000</v>
      </c>
      <c r="BN77" s="181">
        <f ca="1">IF($D77&lt;&gt;"Serviço",0,IF(AND(AUTOEVENTO="Manual",$M77=1),0,IF(OFFSET(CRONOPLE!$F$14,$M77,BN$13)="",10^12,OFFSET(CRONOPLE!$F$14,$M77,BN$13))))</f>
        <v>1000000000000</v>
      </c>
      <c r="BO77" s="181">
        <f ca="1">IF($D77&lt;&gt;"Serviço",0,IF(AND(AUTOEVENTO="Manual",$M77=1),0,IF(OFFSET(CRONOPLE!$F$14,$M77,BO$13)="",10^12,OFFSET(CRONOPLE!$F$14,$M77,BO$13))))</f>
        <v>1000000000000</v>
      </c>
      <c r="BP77" s="181">
        <f ca="1">IF($D77&lt;&gt;"Serviço",0,IF(AND(AUTOEVENTO="Manual",$M77=1),0,IF(OFFSET(CRONOPLE!$F$14,$M77,BP$13)="",10^12,OFFSET(CRONOPLE!$F$14,$M77,BP$13))))</f>
        <v>1000000000000</v>
      </c>
      <c r="BQ77" s="181">
        <f ca="1">IF($D77&lt;&gt;"Serviço",0,IF(AND(AUTOEVENTO="Manual",$M77=1),0,IF(OFFSET(CRONOPLE!$F$14,$M77,BQ$13)="",10^12,OFFSET(CRONOPLE!$F$14,$M77,BQ$13))))</f>
        <v>1000000000000</v>
      </c>
      <c r="BR77" s="181">
        <f ca="1">IF($D77&lt;&gt;"Serviço",0,IF(AND(AUTOEVENTO="Manual",$M77=1),0,IF(OFFSET(CRONOPLE!$F$14,$M77,BR$13)="",10^12,OFFSET(CRONOPLE!$F$14,$M77,BR$13))))</f>
        <v>1000000000000</v>
      </c>
      <c r="BS77" s="181">
        <f ca="1">IF($D77&lt;&gt;"Serviço",0,IF(AND(AUTOEVENTO="Manual",$M77=1),0,IF(OFFSET(CRONOPLE!$F$14,$M77,BS$13)="",10^12,OFFSET(CRONOPLE!$F$14,$M77,BS$13))))</f>
        <v>1000000000000</v>
      </c>
      <c r="BT77" s="181">
        <f ca="1">IF($D77&lt;&gt;"Serviço",0,IF(AND(AUTOEVENTO="Manual",$M77=1),0,IF(OFFSET(CRONOPLE!$F$14,$M77,BT$13)="",10^12,OFFSET(CRONOPLE!$F$14,$M77,BT$13))))</f>
        <v>1000000000000</v>
      </c>
      <c r="BV77" s="182">
        <f ca="1">IF($D77&lt;&gt;"Serviço",0,IF(OR(AND(AUTOEVENTO="Manual",$M77=1),$M77&gt;(ROW(PLE.lastrow)-ROW(PLE.firstrow))),0,IF(OFFSET(PLE!$G$14,$M77,BV$13)="",10^12,OFFSET(PLE!$G$14,$M77,BV$13))))</f>
        <v>1000000000000</v>
      </c>
      <c r="BW77" s="182">
        <f ca="1">IF($D77&lt;&gt;"Serviço",0,IF(OR(AND(AUTOEVENTO="Manual",$M77=1),$M77&gt;(ROW(PLE.lastrow)-ROW(PLE.firstrow))),0,IF(OFFSET(PLE!$G$14,$M77,BW$13)="",10^12,OFFSET(PLE!$G$14,$M77,BW$13))))</f>
        <v>1000000000000</v>
      </c>
      <c r="BX77" s="182">
        <f ca="1">IF($D77&lt;&gt;"Serviço",0,IF(OR(AND(AUTOEVENTO="Manual",$M77=1),$M77&gt;(ROW(PLE.lastrow)-ROW(PLE.firstrow))),0,IF(OFFSET(PLE!$G$14,$M77,BX$13)="",10^12,OFFSET(PLE!$G$14,$M77,BX$13))))</f>
        <v>1000000000000</v>
      </c>
      <c r="BY77" s="182">
        <f ca="1">IF($D77&lt;&gt;"Serviço",0,IF(OR(AND(AUTOEVENTO="Manual",$M77=1),$M77&gt;(ROW(PLE.lastrow)-ROW(PLE.firstrow))),0,IF(OFFSET(PLE!$G$14,$M77,BY$13)="",10^12,OFFSET(PLE!$G$14,$M77,BY$13))))</f>
        <v>1000000000000</v>
      </c>
      <c r="BZ77" s="182">
        <f ca="1">IF($D77&lt;&gt;"Serviço",0,IF(OR(AND(AUTOEVENTO="Manual",$M77=1),$M77&gt;(ROW(PLE.lastrow)-ROW(PLE.firstrow))),0,IF(OFFSET(PLE!$G$14,$M77,BZ$13)="",10^12,OFFSET(PLE!$G$14,$M77,BZ$13))))</f>
        <v>1000000000000</v>
      </c>
      <c r="CA77" s="182">
        <f ca="1">IF($D77&lt;&gt;"Serviço",0,IF(OR(AND(AUTOEVENTO="Manual",$M77=1),$M77&gt;(ROW(PLE.lastrow)-ROW(PLE.firstrow))),0,IF(OFFSET(PLE!$G$14,$M77,CA$13)="",10^12,OFFSET(PLE!$G$14,$M77,CA$13))))</f>
        <v>1000000000000</v>
      </c>
      <c r="CB77" s="182">
        <f ca="1">IF($D77&lt;&gt;"Serviço",0,IF(OR(AND(AUTOEVENTO="Manual",$M77=1),$M77&gt;(ROW(PLE.lastrow)-ROW(PLE.firstrow))),0,IF(OFFSET(PLE!$G$14,$M77,CB$13)="",10^12,OFFSET(PLE!$G$14,$M77,CB$13))))</f>
        <v>1000000000000</v>
      </c>
      <c r="CC77" s="182">
        <f ca="1">IF($D77&lt;&gt;"Serviço",0,IF(OR(AND(AUTOEVENTO="Manual",$M77=1),$M77&gt;(ROW(PLE.lastrow)-ROW(PLE.firstrow))),0,IF(OFFSET(PLE!$G$14,$M77,CC$13)="",10^12,OFFSET(PLE!$G$14,$M77,CC$13))))</f>
        <v>1000000000000</v>
      </c>
      <c r="CD77" s="182">
        <f ca="1">IF($D77&lt;&gt;"Serviço",0,IF(OR(AND(AUTOEVENTO="Manual",$M77=1),$M77&gt;(ROW(PLE.lastrow)-ROW(PLE.firstrow))),0,IF(OFFSET(PLE!$G$14,$M77,CD$13)="",10^12,OFFSET(PLE!$G$14,$M77,CD$13))))</f>
        <v>1000000000000</v>
      </c>
      <c r="CE77" s="182">
        <f ca="1">IF($D77&lt;&gt;"Serviço",0,IF(OR(AND(AUTOEVENTO="Manual",$M77=1),$M77&gt;(ROW(PLE.lastrow)-ROW(PLE.firstrow))),0,IF(OFFSET(PLE!$G$14,$M77,CE$13)="",10^12,OFFSET(PLE!$G$14,$M77,CE$13))))</f>
        <v>1000000000000</v>
      </c>
      <c r="CF77" s="182">
        <f ca="1">IF($D77&lt;&gt;"Serviço",0,IF(OR(AND(AUTOEVENTO="Manual",$M77=1),$M77&gt;(ROW(PLE.lastrow)-ROW(PLE.firstrow))),0,IF(OFFSET(PLE!$G$14,$M77,CF$13)="",10^12,OFFSET(PLE!$G$14,$M77,CF$13))))</f>
        <v>1000000000000</v>
      </c>
      <c r="CG77" s="182">
        <f ca="1">IF($D77&lt;&gt;"Serviço",0,IF(OR(AND(AUTOEVENTO="Manual",$M77=1),$M77&gt;(ROW(PLE.lastrow)-ROW(PLE.firstrow))),0,IF(OFFSET(PLE!$G$14,$M77,CG$13)="",10^12,OFFSET(PLE!$G$14,$M77,CG$13))))</f>
        <v>1000000000000</v>
      </c>
      <c r="CH77" s="182">
        <f ca="1">IF($D77&lt;&gt;"Serviço",0,IF(OR(AND(AUTOEVENTO="Manual",$M77=1),$M77&gt;(ROW(PLE.lastrow)-ROW(PLE.firstrow))),0,IF(OFFSET(PLE!$G$14,$M77,CH$13)="",10^12,OFFSET(PLE!$G$14,$M77,CH$13))))</f>
        <v>1000000000000</v>
      </c>
      <c r="CI77" s="182">
        <f ca="1">IF($D77&lt;&gt;"Serviço",0,IF(OR(AND(AUTOEVENTO="Manual",$M77=1),$M77&gt;(ROW(PLE.lastrow)-ROW(PLE.firstrow))),0,IF(OFFSET(PLE!$G$14,$M77,CI$13)="",10^12,OFFSET(PLE!$G$14,$M77,CI$13))))</f>
        <v>1000000000000</v>
      </c>
      <c r="CJ77" s="182">
        <f ca="1">IF($D77&lt;&gt;"Serviço",0,IF(OR(AND(AUTOEVENTO="Manual",$M77=1),$M77&gt;(ROW(PLE.lastrow)-ROW(PLE.firstrow))),0,IF(OFFSET(PLE!$G$14,$M77,CJ$13)="",10^12,OFFSET(PLE!$G$14,$M77,CJ$13))))</f>
        <v>1000000000000</v>
      </c>
      <c r="CK77" s="182">
        <f ca="1">IF($D77&lt;&gt;"Serviço",0,IF(OR(AND(AUTOEVENTO="Manual",$M77=1),$M77&gt;(ROW(PLE.lastrow)-ROW(PLE.firstrow))),0,IF(OFFSET(PLE!$G$14,$M77,CK$13)="",10^12,OFFSET(PLE!$G$14,$M77,CK$13))))</f>
        <v>1000000000000</v>
      </c>
      <c r="CL77" s="182">
        <f ca="1">IF($D77&lt;&gt;"Serviço",0,IF(OR(AND(AUTOEVENTO="Manual",$M77=1),$M77&gt;(ROW(PLE.lastrow)-ROW(PLE.firstrow))),0,IF(OFFSET(PLE!$G$14,$M77,CL$13)="",10^12,OFFSET(PLE!$G$14,$M77,CL$13))))</f>
        <v>1000000000000</v>
      </c>
      <c r="CM77" s="182">
        <f ca="1">IF($D77&lt;&gt;"Serviço",0,IF(OR(AND(AUTOEVENTO="Manual",$M77=1),$M77&gt;(ROW(PLE.lastrow)-ROW(PLE.firstrow))),0,IF(OFFSET(PLE!$G$14,$M77,CM$13)="",10^12,OFFSET(PLE!$G$14,$M77,CM$13))))</f>
        <v>1000000000000</v>
      </c>
    </row>
    <row r="78" spans="1:91" ht="38.25" x14ac:dyDescent="0.2">
      <c r="A78" s="7" t="str">
        <f t="shared" ca="1" si="10"/>
        <v>59</v>
      </c>
      <c r="B78" s="7" t="str">
        <f ca="1">OFFSET(ORÇAMENTO!C$15,ROW(B78)-ROW(B$15),0)</f>
        <v>S</v>
      </c>
      <c r="C78" s="7" t="str">
        <f ca="1">OFFSET(ORÇAMENTO!L$15,ROW(C78)-ROW(C$15),0)</f>
        <v/>
      </c>
      <c r="D78" s="118" t="str">
        <f ca="1">OFFSET(ORÇAMENTO!N$15,ROW(D78)-ROW(D$15),0)</f>
        <v>Serviço</v>
      </c>
      <c r="E78" s="119" t="str">
        <f ca="1">OFFSET(ORÇAMENTO!O$15,ROW(E78)-ROW(E$15),0)</f>
        <v>-</v>
      </c>
      <c r="F78" s="172" t="str">
        <f ca="1">OFFSET(ORÇAMENTO!R$15,ROW(F78)-ROW(F$15),0)</f>
        <v>(abra o arquivo 'Referência 06-2024.xlsm)</v>
      </c>
      <c r="G78" s="173" t="str">
        <f ca="1">IF($D78&lt;&gt;"Serviço","",OFFSET(ORÇAMENTO!S$15,ROW(G78)-ROW(G$15),0))</f>
        <v>-</v>
      </c>
      <c r="H78" s="124">
        <f ca="1">IF($D78&lt;&gt;"Serviço",0,IF(ACOMPANHAMENTO="BM",ROUND(OFFSET(ORÇAMENTO!AJ$15,ROW(H78)-ROW(H$15),0),15-13*ORÇAMENTO!$AF$7),SUMPRODUCT(($Q$12:$AI$12&lt;&gt;"")*ROUND($Q78:$AI78,15-13*ORÇAMENTO!$AF$7))))</f>
        <v>7</v>
      </c>
      <c r="I78" s="561" t="s">
        <v>1107</v>
      </c>
      <c r="K78" s="174" t="s">
        <v>1028</v>
      </c>
      <c r="L78" s="175" t="s">
        <v>255</v>
      </c>
      <c r="M78" s="176">
        <f ca="1">IF($D78&lt;&gt;"Serviço","",IF(AUTOEVENTO="manual",$A78,IF(ISERROR(MATCH($A78,$A$15:OFFSET($A78,-1,0),0)),MAX($M$15:OFFSET(M78,-1,0))+1,INDEX($M$15:OFFSET(M78,-1,0),MATCH($A78,$A$15:OFFSET($A78,-1,0),0)))))</f>
        <v>11</v>
      </c>
      <c r="N78" s="177" t="str">
        <f ca="1">IF($D78&lt;&gt;"Serviço","",IF(AUTOEVENTO="Manual",IF($A78=0,"&lt;-- defina o número do agrupador",OFFSET(EVENTOS!$D$14,$A78,0)),OFFSET($F$15,$A78,0)))</f>
        <v>SUPERESTRUTURA - CONCRETO ARMADO PARA VERGAS</v>
      </c>
      <c r="O78" s="178"/>
      <c r="Q78" s="178">
        <v>7</v>
      </c>
      <c r="R78" s="179"/>
      <c r="S78" s="179"/>
      <c r="T78" s="179"/>
      <c r="U78" s="179"/>
      <c r="V78" s="179"/>
      <c r="W78" s="179"/>
      <c r="X78" s="179"/>
      <c r="Y78" s="179"/>
      <c r="Z78" s="180"/>
      <c r="AA78" s="179"/>
      <c r="AB78" s="179"/>
      <c r="AC78" s="179"/>
      <c r="AD78" s="179"/>
      <c r="AE78" s="179"/>
      <c r="AF78" s="179"/>
      <c r="AG78" s="179"/>
      <c r="AH78" s="180"/>
      <c r="AJ78" s="544">
        <f ca="1">IF(AND($D78="Serviço",AJ$12&lt;&gt;0,$H78&gt;0,OR(AUTOEVENTO&lt;&gt;"manual",$M78&lt;&gt;1)),
IF(Import.TipoArredondamento&lt;&gt;"TransfereGOV",
ROUND(OFFSET($P78,0,AJ$13),15-13*ORÇAMENTO!$AF$7)/$H78*OFFSET(ORÇAMENTO!$X$15,ROW(AJ78)-ROW(AJ$15),0),
ROUND(ROUND(OFFSET($P78,0,AJ$13),15-13*ORÇAMENTO!$AF$7)*OFFSET(ORÇAMENTO!$W$15,ROW(AJ78)-ROW(AJ$15),0),15-13*ORÇAMENTO!$AF$11)),0)</f>
        <v>0</v>
      </c>
      <c r="AK78" s="545">
        <f ca="1">IF(AND($D78="Serviço",AK$12&lt;&gt;0,$H78&gt;0,OR(AUTOEVENTO&lt;&gt;"manual",$M78&lt;&gt;1)),
IF(Import.TipoArredondamento&lt;&gt;"TransfereGOV",
ROUND(OFFSET($P78,0,AK$13),15-13*ORÇAMENTO!$AF$7)/$H78*OFFSET(ORÇAMENTO!$X$15,ROW(AK78)-ROW(AK$15),0),
ROUND(ROUND(OFFSET($P78,0,AK$13),15-13*ORÇAMENTO!$AF$7)*OFFSET(ORÇAMENTO!$W$15,ROW(AK78)-ROW(AK$15),0),15-13*ORÇAMENTO!$AF$11)),0)</f>
        <v>0</v>
      </c>
      <c r="AL78" s="545">
        <f ca="1">IF(AND($D78="Serviço",AL$12&lt;&gt;0,$H78&gt;0,OR(AUTOEVENTO&lt;&gt;"manual",$M78&lt;&gt;1)),
IF(Import.TipoArredondamento&lt;&gt;"TransfereGOV",
ROUND(OFFSET($P78,0,AL$13),15-13*ORÇAMENTO!$AF$7)/$H78*OFFSET(ORÇAMENTO!$X$15,ROW(AL78)-ROW(AL$15),0),
ROUND(ROUND(OFFSET($P78,0,AL$13),15-13*ORÇAMENTO!$AF$7)*OFFSET(ORÇAMENTO!$W$15,ROW(AL78)-ROW(AL$15),0),15-13*ORÇAMENTO!$AF$11)),0)</f>
        <v>0</v>
      </c>
      <c r="AM78" s="545">
        <f ca="1">IF(AND($D78="Serviço",AM$12&lt;&gt;0,$H78&gt;0,OR(AUTOEVENTO&lt;&gt;"manual",$M78&lt;&gt;1)),
IF(Import.TipoArredondamento&lt;&gt;"TransfereGOV",
ROUND(OFFSET($P78,0,AM$13),15-13*ORÇAMENTO!$AF$7)/$H78*OFFSET(ORÇAMENTO!$X$15,ROW(AM78)-ROW(AM$15),0),
ROUND(ROUND(OFFSET($P78,0,AM$13),15-13*ORÇAMENTO!$AF$7)*OFFSET(ORÇAMENTO!$W$15,ROW(AM78)-ROW(AM$15),0),15-13*ORÇAMENTO!$AF$11)),0)</f>
        <v>0</v>
      </c>
      <c r="AN78" s="545">
        <f ca="1">IF(AND($D78="Serviço",AN$12&lt;&gt;0,$H78&gt;0,OR(AUTOEVENTO&lt;&gt;"manual",$M78&lt;&gt;1)),
IF(Import.TipoArredondamento&lt;&gt;"TransfereGOV",
ROUND(OFFSET($P78,0,AN$13),15-13*ORÇAMENTO!$AF$7)/$H78*OFFSET(ORÇAMENTO!$X$15,ROW(AN78)-ROW(AN$15),0),
ROUND(ROUND(OFFSET($P78,0,AN$13),15-13*ORÇAMENTO!$AF$7)*OFFSET(ORÇAMENTO!$W$15,ROW(AN78)-ROW(AN$15),0),15-13*ORÇAMENTO!$AF$11)),0)</f>
        <v>0</v>
      </c>
      <c r="AO78" s="545">
        <f ca="1">IF(AND($D78="Serviço",AO$12&lt;&gt;0,$H78&gt;0,OR(AUTOEVENTO&lt;&gt;"manual",$M78&lt;&gt;1)),
IF(Import.TipoArredondamento&lt;&gt;"TransfereGOV",
ROUND(OFFSET($P78,0,AO$13),15-13*ORÇAMENTO!$AF$7)/$H78*OFFSET(ORÇAMENTO!$X$15,ROW(AO78)-ROW(AO$15),0),
ROUND(ROUND(OFFSET($P78,0,AO$13),15-13*ORÇAMENTO!$AF$7)*OFFSET(ORÇAMENTO!$W$15,ROW(AO78)-ROW(AO$15),0),15-13*ORÇAMENTO!$AF$11)),0)</f>
        <v>0</v>
      </c>
      <c r="AP78" s="545">
        <f ca="1">IF(AND($D78="Serviço",AP$12&lt;&gt;0,$H78&gt;0,OR(AUTOEVENTO&lt;&gt;"manual",$M78&lt;&gt;1)),
IF(Import.TipoArredondamento&lt;&gt;"TransfereGOV",
ROUND(OFFSET($P78,0,AP$13),15-13*ORÇAMENTO!$AF$7)/$H78*OFFSET(ORÇAMENTO!$X$15,ROW(AP78)-ROW(AP$15),0),
ROUND(ROUND(OFFSET($P78,0,AP$13),15-13*ORÇAMENTO!$AF$7)*OFFSET(ORÇAMENTO!$W$15,ROW(AP78)-ROW(AP$15),0),15-13*ORÇAMENTO!$AF$11)),0)</f>
        <v>0</v>
      </c>
      <c r="AQ78" s="545">
        <f ca="1">IF(AND($D78="Serviço",AQ$12&lt;&gt;0,$H78&gt;0,OR(AUTOEVENTO&lt;&gt;"manual",$M78&lt;&gt;1)),
IF(Import.TipoArredondamento&lt;&gt;"TransfereGOV",
ROUND(OFFSET($P78,0,AQ$13),15-13*ORÇAMENTO!$AF$7)/$H78*OFFSET(ORÇAMENTO!$X$15,ROW(AQ78)-ROW(AQ$15),0),
ROUND(ROUND(OFFSET($P78,0,AQ$13),15-13*ORÇAMENTO!$AF$7)*OFFSET(ORÇAMENTO!$W$15,ROW(AQ78)-ROW(AQ$15),0),15-13*ORÇAMENTO!$AF$11)),0)</f>
        <v>0</v>
      </c>
      <c r="AR78" s="545">
        <f ca="1">IF(AND($D78="Serviço",AR$12&lt;&gt;0,$H78&gt;0,OR(AUTOEVENTO&lt;&gt;"manual",$M78&lt;&gt;1)),
IF(Import.TipoArredondamento&lt;&gt;"TransfereGOV",
ROUND(OFFSET($P78,0,AR$13),15-13*ORÇAMENTO!$AF$7)/$H78*OFFSET(ORÇAMENTO!$X$15,ROW(AR78)-ROW(AR$15),0),
ROUND(ROUND(OFFSET($P78,0,AR$13),15-13*ORÇAMENTO!$AF$7)*OFFSET(ORÇAMENTO!$W$15,ROW(AR78)-ROW(AR$15),0),15-13*ORÇAMENTO!$AF$11)),0)</f>
        <v>0</v>
      </c>
      <c r="AS78" s="546">
        <f ca="1">IF(AND($D78="Serviço",AS$12&lt;&gt;0,$H78&gt;0,OR(AUTOEVENTO&lt;&gt;"manual",$M78&lt;&gt;1)),
IF(Import.TipoArredondamento&lt;&gt;"TransfereGOV",
ROUND(OFFSET($P78,0,AS$13),15-13*ORÇAMENTO!$AF$7)/$H78*OFFSET(ORÇAMENTO!$X$15,ROW(AS78)-ROW(AS$15),0),
ROUND(ROUND(OFFSET($P78,0,AS$13),15-13*ORÇAMENTO!$AF$7)*OFFSET(ORÇAMENTO!$W$15,ROW(AS78)-ROW(AS$15),0),15-13*ORÇAMENTO!$AF$11)),0)</f>
        <v>0</v>
      </c>
      <c r="AT78" s="545">
        <f ca="1">IF(AND($D78="Serviço",AT$12&lt;&gt;0,$H78&gt;0,OR(AUTOEVENTO&lt;&gt;"manual",$M78&lt;&gt;1)),
IF(Import.TipoArredondamento&lt;&gt;"TransfereGOV",
ROUND(OFFSET($P78,0,AT$13),15-13*ORÇAMENTO!$AF$7)/$H78*OFFSET(ORÇAMENTO!$X$15,ROW(AT78)-ROW(AT$15),0),
ROUND(ROUND(OFFSET($P78,0,AT$13),15-13*ORÇAMENTO!$AF$7)*OFFSET(ORÇAMENTO!$W$15,ROW(AT78)-ROW(AT$15),0),15-13*ORÇAMENTO!$AF$11)),0)</f>
        <v>0</v>
      </c>
      <c r="AU78" s="545">
        <f ca="1">IF(AND($D78="Serviço",AU$12&lt;&gt;0,$H78&gt;0,OR(AUTOEVENTO&lt;&gt;"manual",$M78&lt;&gt;1)),
IF(Import.TipoArredondamento&lt;&gt;"TransfereGOV",
ROUND(OFFSET($P78,0,AU$13),15-13*ORÇAMENTO!$AF$7)/$H78*OFFSET(ORÇAMENTO!$X$15,ROW(AU78)-ROW(AU$15),0),
ROUND(ROUND(OFFSET($P78,0,AU$13),15-13*ORÇAMENTO!$AF$7)*OFFSET(ORÇAMENTO!$W$15,ROW(AU78)-ROW(AU$15),0),15-13*ORÇAMENTO!$AF$11)),0)</f>
        <v>0</v>
      </c>
      <c r="AV78" s="545">
        <f ca="1">IF(AND($D78="Serviço",AV$12&lt;&gt;0,$H78&gt;0,OR(AUTOEVENTO&lt;&gt;"manual",$M78&lt;&gt;1)),
IF(Import.TipoArredondamento&lt;&gt;"TransfereGOV",
ROUND(OFFSET($P78,0,AV$13),15-13*ORÇAMENTO!$AF$7)/$H78*OFFSET(ORÇAMENTO!$X$15,ROW(AV78)-ROW(AV$15),0),
ROUND(ROUND(OFFSET($P78,0,AV$13),15-13*ORÇAMENTO!$AF$7)*OFFSET(ORÇAMENTO!$W$15,ROW(AV78)-ROW(AV$15),0),15-13*ORÇAMENTO!$AF$11)),0)</f>
        <v>0</v>
      </c>
      <c r="AW78" s="545">
        <f ca="1">IF(AND($D78="Serviço",AW$12&lt;&gt;0,$H78&gt;0,OR(AUTOEVENTO&lt;&gt;"manual",$M78&lt;&gt;1)),
IF(Import.TipoArredondamento&lt;&gt;"TransfereGOV",
ROUND(OFFSET($P78,0,AW$13),15-13*ORÇAMENTO!$AF$7)/$H78*OFFSET(ORÇAMENTO!$X$15,ROW(AW78)-ROW(AW$15),0),
ROUND(ROUND(OFFSET($P78,0,AW$13),15-13*ORÇAMENTO!$AF$7)*OFFSET(ORÇAMENTO!$W$15,ROW(AW78)-ROW(AW$15),0),15-13*ORÇAMENTO!$AF$11)),0)</f>
        <v>0</v>
      </c>
      <c r="AX78" s="545">
        <f ca="1">IF(AND($D78="Serviço",AX$12&lt;&gt;0,$H78&gt;0,OR(AUTOEVENTO&lt;&gt;"manual",$M78&lt;&gt;1)),
IF(Import.TipoArredondamento&lt;&gt;"TransfereGOV",
ROUND(OFFSET($P78,0,AX$13),15-13*ORÇAMENTO!$AF$7)/$H78*OFFSET(ORÇAMENTO!$X$15,ROW(AX78)-ROW(AX$15),0),
ROUND(ROUND(OFFSET($P78,0,AX$13),15-13*ORÇAMENTO!$AF$7)*OFFSET(ORÇAMENTO!$W$15,ROW(AX78)-ROW(AX$15),0),15-13*ORÇAMENTO!$AF$11)),0)</f>
        <v>0</v>
      </c>
      <c r="AY78" s="545">
        <f ca="1">IF(AND($D78="Serviço",AY$12&lt;&gt;0,$H78&gt;0,OR(AUTOEVENTO&lt;&gt;"manual",$M78&lt;&gt;1)),
IF(Import.TipoArredondamento&lt;&gt;"TransfereGOV",
ROUND(OFFSET($P78,0,AY$13),15-13*ORÇAMENTO!$AF$7)/$H78*OFFSET(ORÇAMENTO!$X$15,ROW(AY78)-ROW(AY$15),0),
ROUND(ROUND(OFFSET($P78,0,AY$13),15-13*ORÇAMENTO!$AF$7)*OFFSET(ORÇAMENTO!$W$15,ROW(AY78)-ROW(AY$15),0),15-13*ORÇAMENTO!$AF$11)),0)</f>
        <v>0</v>
      </c>
      <c r="AZ78" s="545">
        <f ca="1">IF(AND($D78="Serviço",AZ$12&lt;&gt;0,$H78&gt;0,OR(AUTOEVENTO&lt;&gt;"manual",$M78&lt;&gt;1)),
IF(Import.TipoArredondamento&lt;&gt;"TransfereGOV",
ROUND(OFFSET($P78,0,AZ$13),15-13*ORÇAMENTO!$AF$7)/$H78*OFFSET(ORÇAMENTO!$X$15,ROW(AZ78)-ROW(AZ$15),0),
ROUND(ROUND(OFFSET($P78,0,AZ$13),15-13*ORÇAMENTO!$AF$7)*OFFSET(ORÇAMENTO!$W$15,ROW(AZ78)-ROW(AZ$15),0),15-13*ORÇAMENTO!$AF$11)),0)</f>
        <v>0</v>
      </c>
      <c r="BA78" s="546">
        <f ca="1">IF(AND($D78="Serviço",BA$12&lt;&gt;0,$H78&gt;0,OR(AUTOEVENTO&lt;&gt;"manual",$M78&lt;&gt;1)),
IF(Import.TipoArredondamento&lt;&gt;"TransfereGOV",
ROUND(OFFSET($P78,0,BA$13),15-13*ORÇAMENTO!$AF$7)/$H78*OFFSET(ORÇAMENTO!$X$15,ROW(BA78)-ROW(BA$15),0),
ROUND(ROUND(OFFSET($P78,0,BA$13),15-13*ORÇAMENTO!$AF$7)*OFFSET(ORÇAMENTO!$W$15,ROW(BA78)-ROW(BA$15),0),15-13*ORÇAMENTO!$AF$11)),0)</f>
        <v>0</v>
      </c>
      <c r="BC78" s="181">
        <f ca="1">IF($D78&lt;&gt;"Serviço",0,IF(AND(AUTOEVENTO="Manual",$M78=1),0,IF(OFFSET(CRONOPLE!$F$14,$M78,BC$13)="",10^12,OFFSET(CRONOPLE!$F$14,$M78,BC$13))))</f>
        <v>3</v>
      </c>
      <c r="BD78" s="181">
        <f ca="1">IF($D78&lt;&gt;"Serviço",0,IF(AND(AUTOEVENTO="Manual",$M78=1),0,IF(OFFSET(CRONOPLE!$F$14,$M78,BD$13)="",10^12,OFFSET(CRONOPLE!$F$14,$M78,BD$13))))</f>
        <v>1000000000000</v>
      </c>
      <c r="BE78" s="181">
        <f ca="1">IF($D78&lt;&gt;"Serviço",0,IF(AND(AUTOEVENTO="Manual",$M78=1),0,IF(OFFSET(CRONOPLE!$F$14,$M78,BE$13)="",10^12,OFFSET(CRONOPLE!$F$14,$M78,BE$13))))</f>
        <v>1000000000000</v>
      </c>
      <c r="BF78" s="181">
        <f ca="1">IF($D78&lt;&gt;"Serviço",0,IF(AND(AUTOEVENTO="Manual",$M78=1),0,IF(OFFSET(CRONOPLE!$F$14,$M78,BF$13)="",10^12,OFFSET(CRONOPLE!$F$14,$M78,BF$13))))</f>
        <v>1000000000000</v>
      </c>
      <c r="BG78" s="181">
        <f ca="1">IF($D78&lt;&gt;"Serviço",0,IF(AND(AUTOEVENTO="Manual",$M78=1),0,IF(OFFSET(CRONOPLE!$F$14,$M78,BG$13)="",10^12,OFFSET(CRONOPLE!$F$14,$M78,BG$13))))</f>
        <v>1000000000000</v>
      </c>
      <c r="BH78" s="181">
        <f ca="1">IF($D78&lt;&gt;"Serviço",0,IF(AND(AUTOEVENTO="Manual",$M78=1),0,IF(OFFSET(CRONOPLE!$F$14,$M78,BH$13)="",10^12,OFFSET(CRONOPLE!$F$14,$M78,BH$13))))</f>
        <v>1000000000000</v>
      </c>
      <c r="BI78" s="181">
        <f ca="1">IF($D78&lt;&gt;"Serviço",0,IF(AND(AUTOEVENTO="Manual",$M78=1),0,IF(OFFSET(CRONOPLE!$F$14,$M78,BI$13)="",10^12,OFFSET(CRONOPLE!$F$14,$M78,BI$13))))</f>
        <v>1000000000000</v>
      </c>
      <c r="BJ78" s="181">
        <f ca="1">IF($D78&lt;&gt;"Serviço",0,IF(AND(AUTOEVENTO="Manual",$M78=1),0,IF(OFFSET(CRONOPLE!$F$14,$M78,BJ$13)="",10^12,OFFSET(CRONOPLE!$F$14,$M78,BJ$13))))</f>
        <v>1000000000000</v>
      </c>
      <c r="BK78" s="181">
        <f ca="1">IF($D78&lt;&gt;"Serviço",0,IF(AND(AUTOEVENTO="Manual",$M78=1),0,IF(OFFSET(CRONOPLE!$F$14,$M78,BK$13)="",10^12,OFFSET(CRONOPLE!$F$14,$M78,BK$13))))</f>
        <v>1000000000000</v>
      </c>
      <c r="BL78" s="181">
        <f ca="1">IF($D78&lt;&gt;"Serviço",0,IF(AND(AUTOEVENTO="Manual",$M78=1),0,IF(OFFSET(CRONOPLE!$F$14,$M78,BL$13)="",10^12,OFFSET(CRONOPLE!$F$14,$M78,BL$13))))</f>
        <v>1000000000000</v>
      </c>
      <c r="BM78" s="181">
        <f ca="1">IF($D78&lt;&gt;"Serviço",0,IF(AND(AUTOEVENTO="Manual",$M78=1),0,IF(OFFSET(CRONOPLE!$F$14,$M78,BM$13)="",10^12,OFFSET(CRONOPLE!$F$14,$M78,BM$13))))</f>
        <v>1000000000000</v>
      </c>
      <c r="BN78" s="181">
        <f ca="1">IF($D78&lt;&gt;"Serviço",0,IF(AND(AUTOEVENTO="Manual",$M78=1),0,IF(OFFSET(CRONOPLE!$F$14,$M78,BN$13)="",10^12,OFFSET(CRONOPLE!$F$14,$M78,BN$13))))</f>
        <v>1000000000000</v>
      </c>
      <c r="BO78" s="181">
        <f ca="1">IF($D78&lt;&gt;"Serviço",0,IF(AND(AUTOEVENTO="Manual",$M78=1),0,IF(OFFSET(CRONOPLE!$F$14,$M78,BO$13)="",10^12,OFFSET(CRONOPLE!$F$14,$M78,BO$13))))</f>
        <v>1000000000000</v>
      </c>
      <c r="BP78" s="181">
        <f ca="1">IF($D78&lt;&gt;"Serviço",0,IF(AND(AUTOEVENTO="Manual",$M78=1),0,IF(OFFSET(CRONOPLE!$F$14,$M78,BP$13)="",10^12,OFFSET(CRONOPLE!$F$14,$M78,BP$13))))</f>
        <v>1000000000000</v>
      </c>
      <c r="BQ78" s="181">
        <f ca="1">IF($D78&lt;&gt;"Serviço",0,IF(AND(AUTOEVENTO="Manual",$M78=1),0,IF(OFFSET(CRONOPLE!$F$14,$M78,BQ$13)="",10^12,OFFSET(CRONOPLE!$F$14,$M78,BQ$13))))</f>
        <v>1000000000000</v>
      </c>
      <c r="BR78" s="181">
        <f ca="1">IF($D78&lt;&gt;"Serviço",0,IF(AND(AUTOEVENTO="Manual",$M78=1),0,IF(OFFSET(CRONOPLE!$F$14,$M78,BR$13)="",10^12,OFFSET(CRONOPLE!$F$14,$M78,BR$13))))</f>
        <v>1000000000000</v>
      </c>
      <c r="BS78" s="181">
        <f ca="1">IF($D78&lt;&gt;"Serviço",0,IF(AND(AUTOEVENTO="Manual",$M78=1),0,IF(OFFSET(CRONOPLE!$F$14,$M78,BS$13)="",10^12,OFFSET(CRONOPLE!$F$14,$M78,BS$13))))</f>
        <v>1000000000000</v>
      </c>
      <c r="BT78" s="181">
        <f ca="1">IF($D78&lt;&gt;"Serviço",0,IF(AND(AUTOEVENTO="Manual",$M78=1),0,IF(OFFSET(CRONOPLE!$F$14,$M78,BT$13)="",10^12,OFFSET(CRONOPLE!$F$14,$M78,BT$13))))</f>
        <v>1000000000000</v>
      </c>
      <c r="BV78" s="182">
        <f ca="1">IF($D78&lt;&gt;"Serviço",0,IF(OR(AND(AUTOEVENTO="Manual",$M78=1),$M78&gt;(ROW(PLE.lastrow)-ROW(PLE.firstrow))),0,IF(OFFSET(PLE!$G$14,$M78,BV$13)="",10^12,OFFSET(PLE!$G$14,$M78,BV$13))))</f>
        <v>1000000000000</v>
      </c>
      <c r="BW78" s="182">
        <f ca="1">IF($D78&lt;&gt;"Serviço",0,IF(OR(AND(AUTOEVENTO="Manual",$M78=1),$M78&gt;(ROW(PLE.lastrow)-ROW(PLE.firstrow))),0,IF(OFFSET(PLE!$G$14,$M78,BW$13)="",10^12,OFFSET(PLE!$G$14,$M78,BW$13))))</f>
        <v>1000000000000</v>
      </c>
      <c r="BX78" s="182">
        <f ca="1">IF($D78&lt;&gt;"Serviço",0,IF(OR(AND(AUTOEVENTO="Manual",$M78=1),$M78&gt;(ROW(PLE.lastrow)-ROW(PLE.firstrow))),0,IF(OFFSET(PLE!$G$14,$M78,BX$13)="",10^12,OFFSET(PLE!$G$14,$M78,BX$13))))</f>
        <v>1000000000000</v>
      </c>
      <c r="BY78" s="182">
        <f ca="1">IF($D78&lt;&gt;"Serviço",0,IF(OR(AND(AUTOEVENTO="Manual",$M78=1),$M78&gt;(ROW(PLE.lastrow)-ROW(PLE.firstrow))),0,IF(OFFSET(PLE!$G$14,$M78,BY$13)="",10^12,OFFSET(PLE!$G$14,$M78,BY$13))))</f>
        <v>1000000000000</v>
      </c>
      <c r="BZ78" s="182">
        <f ca="1">IF($D78&lt;&gt;"Serviço",0,IF(OR(AND(AUTOEVENTO="Manual",$M78=1),$M78&gt;(ROW(PLE.lastrow)-ROW(PLE.firstrow))),0,IF(OFFSET(PLE!$G$14,$M78,BZ$13)="",10^12,OFFSET(PLE!$G$14,$M78,BZ$13))))</f>
        <v>1000000000000</v>
      </c>
      <c r="CA78" s="182">
        <f ca="1">IF($D78&lt;&gt;"Serviço",0,IF(OR(AND(AUTOEVENTO="Manual",$M78=1),$M78&gt;(ROW(PLE.lastrow)-ROW(PLE.firstrow))),0,IF(OFFSET(PLE!$G$14,$M78,CA$13)="",10^12,OFFSET(PLE!$G$14,$M78,CA$13))))</f>
        <v>1000000000000</v>
      </c>
      <c r="CB78" s="182">
        <f ca="1">IF($D78&lt;&gt;"Serviço",0,IF(OR(AND(AUTOEVENTO="Manual",$M78=1),$M78&gt;(ROW(PLE.lastrow)-ROW(PLE.firstrow))),0,IF(OFFSET(PLE!$G$14,$M78,CB$13)="",10^12,OFFSET(PLE!$G$14,$M78,CB$13))))</f>
        <v>1000000000000</v>
      </c>
      <c r="CC78" s="182">
        <f ca="1">IF($D78&lt;&gt;"Serviço",0,IF(OR(AND(AUTOEVENTO="Manual",$M78=1),$M78&gt;(ROW(PLE.lastrow)-ROW(PLE.firstrow))),0,IF(OFFSET(PLE!$G$14,$M78,CC$13)="",10^12,OFFSET(PLE!$G$14,$M78,CC$13))))</f>
        <v>1000000000000</v>
      </c>
      <c r="CD78" s="182">
        <f ca="1">IF($D78&lt;&gt;"Serviço",0,IF(OR(AND(AUTOEVENTO="Manual",$M78=1),$M78&gt;(ROW(PLE.lastrow)-ROW(PLE.firstrow))),0,IF(OFFSET(PLE!$G$14,$M78,CD$13)="",10^12,OFFSET(PLE!$G$14,$M78,CD$13))))</f>
        <v>1000000000000</v>
      </c>
      <c r="CE78" s="182">
        <f ca="1">IF($D78&lt;&gt;"Serviço",0,IF(OR(AND(AUTOEVENTO="Manual",$M78=1),$M78&gt;(ROW(PLE.lastrow)-ROW(PLE.firstrow))),0,IF(OFFSET(PLE!$G$14,$M78,CE$13)="",10^12,OFFSET(PLE!$G$14,$M78,CE$13))))</f>
        <v>1000000000000</v>
      </c>
      <c r="CF78" s="182">
        <f ca="1">IF($D78&lt;&gt;"Serviço",0,IF(OR(AND(AUTOEVENTO="Manual",$M78=1),$M78&gt;(ROW(PLE.lastrow)-ROW(PLE.firstrow))),0,IF(OFFSET(PLE!$G$14,$M78,CF$13)="",10^12,OFFSET(PLE!$G$14,$M78,CF$13))))</f>
        <v>1000000000000</v>
      </c>
      <c r="CG78" s="182">
        <f ca="1">IF($D78&lt;&gt;"Serviço",0,IF(OR(AND(AUTOEVENTO="Manual",$M78=1),$M78&gt;(ROW(PLE.lastrow)-ROW(PLE.firstrow))),0,IF(OFFSET(PLE!$G$14,$M78,CG$13)="",10^12,OFFSET(PLE!$G$14,$M78,CG$13))))</f>
        <v>1000000000000</v>
      </c>
      <c r="CH78" s="182">
        <f ca="1">IF($D78&lt;&gt;"Serviço",0,IF(OR(AND(AUTOEVENTO="Manual",$M78=1),$M78&gt;(ROW(PLE.lastrow)-ROW(PLE.firstrow))),0,IF(OFFSET(PLE!$G$14,$M78,CH$13)="",10^12,OFFSET(PLE!$G$14,$M78,CH$13))))</f>
        <v>1000000000000</v>
      </c>
      <c r="CI78" s="182">
        <f ca="1">IF($D78&lt;&gt;"Serviço",0,IF(OR(AND(AUTOEVENTO="Manual",$M78=1),$M78&gt;(ROW(PLE.lastrow)-ROW(PLE.firstrow))),0,IF(OFFSET(PLE!$G$14,$M78,CI$13)="",10^12,OFFSET(PLE!$G$14,$M78,CI$13))))</f>
        <v>1000000000000</v>
      </c>
      <c r="CJ78" s="182">
        <f ca="1">IF($D78&lt;&gt;"Serviço",0,IF(OR(AND(AUTOEVENTO="Manual",$M78=1),$M78&gt;(ROW(PLE.lastrow)-ROW(PLE.firstrow))),0,IF(OFFSET(PLE!$G$14,$M78,CJ$13)="",10^12,OFFSET(PLE!$G$14,$M78,CJ$13))))</f>
        <v>1000000000000</v>
      </c>
      <c r="CK78" s="182">
        <f ca="1">IF($D78&lt;&gt;"Serviço",0,IF(OR(AND(AUTOEVENTO="Manual",$M78=1),$M78&gt;(ROW(PLE.lastrow)-ROW(PLE.firstrow))),0,IF(OFFSET(PLE!$G$14,$M78,CK$13)="",10^12,OFFSET(PLE!$G$14,$M78,CK$13))))</f>
        <v>1000000000000</v>
      </c>
      <c r="CL78" s="182">
        <f ca="1">IF($D78&lt;&gt;"Serviço",0,IF(OR(AND(AUTOEVENTO="Manual",$M78=1),$M78&gt;(ROW(PLE.lastrow)-ROW(PLE.firstrow))),0,IF(OFFSET(PLE!$G$14,$M78,CL$13)="",10^12,OFFSET(PLE!$G$14,$M78,CL$13))))</f>
        <v>1000000000000</v>
      </c>
      <c r="CM78" s="182">
        <f ca="1">IF($D78&lt;&gt;"Serviço",0,IF(OR(AND(AUTOEVENTO="Manual",$M78=1),$M78&gt;(ROW(PLE.lastrow)-ROW(PLE.firstrow))),0,IF(OFFSET(PLE!$G$14,$M78,CM$13)="",10^12,OFFSET(PLE!$G$14,$M78,CM$13))))</f>
        <v>1000000000000</v>
      </c>
    </row>
    <row r="79" spans="1:91" ht="38.25" x14ac:dyDescent="0.2">
      <c r="A79" s="7" t="str">
        <f t="shared" ca="1" si="10"/>
        <v>59</v>
      </c>
      <c r="B79" s="7" t="str">
        <f ca="1">OFFSET(ORÇAMENTO!C$15,ROW(B79)-ROW(B$15),0)</f>
        <v>S</v>
      </c>
      <c r="C79" s="7" t="str">
        <f ca="1">OFFSET(ORÇAMENTO!L$15,ROW(C79)-ROW(C$15),0)</f>
        <v/>
      </c>
      <c r="D79" s="118" t="str">
        <f ca="1">OFFSET(ORÇAMENTO!N$15,ROW(D79)-ROW(D$15),0)</f>
        <v>Serviço</v>
      </c>
      <c r="E79" s="119" t="str">
        <f ca="1">OFFSET(ORÇAMENTO!O$15,ROW(E79)-ROW(E$15),0)</f>
        <v>-</v>
      </c>
      <c r="F79" s="172" t="str">
        <f ca="1">OFFSET(ORÇAMENTO!R$15,ROW(F79)-ROW(F$15),0)</f>
        <v>(abra o arquivo 'Referência 06-2024.xlsm)</v>
      </c>
      <c r="G79" s="173" t="str">
        <f ca="1">IF($D79&lt;&gt;"Serviço","",OFFSET(ORÇAMENTO!S$15,ROW(G79)-ROW(G$15),0))</f>
        <v>-</v>
      </c>
      <c r="H79" s="124">
        <f ca="1">IF($D79&lt;&gt;"Serviço",0,IF(ACOMPANHAMENTO="BM",ROUND(OFFSET(ORÇAMENTO!AJ$15,ROW(H79)-ROW(H$15),0),15-13*ORÇAMENTO!$AF$7),SUMPRODUCT(($Q$12:$AI$12&lt;&gt;"")*ROUND($Q79:$AI79,15-13*ORÇAMENTO!$AF$7))))</f>
        <v>122.7</v>
      </c>
      <c r="I79" s="561" t="s">
        <v>1107</v>
      </c>
      <c r="K79" s="174" t="s">
        <v>1028</v>
      </c>
      <c r="L79" s="175" t="s">
        <v>255</v>
      </c>
      <c r="M79" s="176">
        <f ca="1">IF($D79&lt;&gt;"Serviço","",IF(AUTOEVENTO="manual",$A79,IF(ISERROR(MATCH($A79,$A$15:OFFSET($A79,-1,0),0)),MAX($M$15:OFFSET(M79,-1,0))+1,INDEX($M$15:OFFSET(M79,-1,0),MATCH($A79,$A$15:OFFSET($A79,-1,0),0)))))</f>
        <v>11</v>
      </c>
      <c r="N79" s="177" t="str">
        <f ca="1">IF($D79&lt;&gt;"Serviço","",IF(AUTOEVENTO="Manual",IF($A79=0,"&lt;-- defina o número do agrupador",OFFSET(EVENTOS!$D$14,$A79,0)),OFFSET($F$15,$A79,0)))</f>
        <v>SUPERESTRUTURA - CONCRETO ARMADO PARA VERGAS</v>
      </c>
      <c r="O79" s="178"/>
      <c r="Q79" s="178">
        <v>122.7</v>
      </c>
      <c r="R79" s="179"/>
      <c r="S79" s="179"/>
      <c r="T79" s="179"/>
      <c r="U79" s="179"/>
      <c r="V79" s="179"/>
      <c r="W79" s="179"/>
      <c r="X79" s="179"/>
      <c r="Y79" s="179"/>
      <c r="Z79" s="180"/>
      <c r="AA79" s="179"/>
      <c r="AB79" s="179"/>
      <c r="AC79" s="179"/>
      <c r="AD79" s="179"/>
      <c r="AE79" s="179"/>
      <c r="AF79" s="179"/>
      <c r="AG79" s="179"/>
      <c r="AH79" s="180"/>
      <c r="AJ79" s="544">
        <f ca="1">IF(AND($D79="Serviço",AJ$12&lt;&gt;0,$H79&gt;0,OR(AUTOEVENTO&lt;&gt;"manual",$M79&lt;&gt;1)),
IF(Import.TipoArredondamento&lt;&gt;"TransfereGOV",
ROUND(OFFSET($P79,0,AJ$13),15-13*ORÇAMENTO!$AF$7)/$H79*OFFSET(ORÇAMENTO!$X$15,ROW(AJ79)-ROW(AJ$15),0),
ROUND(ROUND(OFFSET($P79,0,AJ$13),15-13*ORÇAMENTO!$AF$7)*OFFSET(ORÇAMENTO!$W$15,ROW(AJ79)-ROW(AJ$15),0),15-13*ORÇAMENTO!$AF$11)),0)</f>
        <v>0</v>
      </c>
      <c r="AK79" s="545">
        <f ca="1">IF(AND($D79="Serviço",AK$12&lt;&gt;0,$H79&gt;0,OR(AUTOEVENTO&lt;&gt;"manual",$M79&lt;&gt;1)),
IF(Import.TipoArredondamento&lt;&gt;"TransfereGOV",
ROUND(OFFSET($P79,0,AK$13),15-13*ORÇAMENTO!$AF$7)/$H79*OFFSET(ORÇAMENTO!$X$15,ROW(AK79)-ROW(AK$15),0),
ROUND(ROUND(OFFSET($P79,0,AK$13),15-13*ORÇAMENTO!$AF$7)*OFFSET(ORÇAMENTO!$W$15,ROW(AK79)-ROW(AK$15),0),15-13*ORÇAMENTO!$AF$11)),0)</f>
        <v>0</v>
      </c>
      <c r="AL79" s="545">
        <f ca="1">IF(AND($D79="Serviço",AL$12&lt;&gt;0,$H79&gt;0,OR(AUTOEVENTO&lt;&gt;"manual",$M79&lt;&gt;1)),
IF(Import.TipoArredondamento&lt;&gt;"TransfereGOV",
ROUND(OFFSET($P79,0,AL$13),15-13*ORÇAMENTO!$AF$7)/$H79*OFFSET(ORÇAMENTO!$X$15,ROW(AL79)-ROW(AL$15),0),
ROUND(ROUND(OFFSET($P79,0,AL$13),15-13*ORÇAMENTO!$AF$7)*OFFSET(ORÇAMENTO!$W$15,ROW(AL79)-ROW(AL$15),0),15-13*ORÇAMENTO!$AF$11)),0)</f>
        <v>0</v>
      </c>
      <c r="AM79" s="545">
        <f ca="1">IF(AND($D79="Serviço",AM$12&lt;&gt;0,$H79&gt;0,OR(AUTOEVENTO&lt;&gt;"manual",$M79&lt;&gt;1)),
IF(Import.TipoArredondamento&lt;&gt;"TransfereGOV",
ROUND(OFFSET($P79,0,AM$13),15-13*ORÇAMENTO!$AF$7)/$H79*OFFSET(ORÇAMENTO!$X$15,ROW(AM79)-ROW(AM$15),0),
ROUND(ROUND(OFFSET($P79,0,AM$13),15-13*ORÇAMENTO!$AF$7)*OFFSET(ORÇAMENTO!$W$15,ROW(AM79)-ROW(AM$15),0),15-13*ORÇAMENTO!$AF$11)),0)</f>
        <v>0</v>
      </c>
      <c r="AN79" s="545">
        <f ca="1">IF(AND($D79="Serviço",AN$12&lt;&gt;0,$H79&gt;0,OR(AUTOEVENTO&lt;&gt;"manual",$M79&lt;&gt;1)),
IF(Import.TipoArredondamento&lt;&gt;"TransfereGOV",
ROUND(OFFSET($P79,0,AN$13),15-13*ORÇAMENTO!$AF$7)/$H79*OFFSET(ORÇAMENTO!$X$15,ROW(AN79)-ROW(AN$15),0),
ROUND(ROUND(OFFSET($P79,0,AN$13),15-13*ORÇAMENTO!$AF$7)*OFFSET(ORÇAMENTO!$W$15,ROW(AN79)-ROW(AN$15),0),15-13*ORÇAMENTO!$AF$11)),0)</f>
        <v>0</v>
      </c>
      <c r="AO79" s="545">
        <f ca="1">IF(AND($D79="Serviço",AO$12&lt;&gt;0,$H79&gt;0,OR(AUTOEVENTO&lt;&gt;"manual",$M79&lt;&gt;1)),
IF(Import.TipoArredondamento&lt;&gt;"TransfereGOV",
ROUND(OFFSET($P79,0,AO$13),15-13*ORÇAMENTO!$AF$7)/$H79*OFFSET(ORÇAMENTO!$X$15,ROW(AO79)-ROW(AO$15),0),
ROUND(ROUND(OFFSET($P79,0,AO$13),15-13*ORÇAMENTO!$AF$7)*OFFSET(ORÇAMENTO!$W$15,ROW(AO79)-ROW(AO$15),0),15-13*ORÇAMENTO!$AF$11)),0)</f>
        <v>0</v>
      </c>
      <c r="AP79" s="545">
        <f ca="1">IF(AND($D79="Serviço",AP$12&lt;&gt;0,$H79&gt;0,OR(AUTOEVENTO&lt;&gt;"manual",$M79&lt;&gt;1)),
IF(Import.TipoArredondamento&lt;&gt;"TransfereGOV",
ROUND(OFFSET($P79,0,AP$13),15-13*ORÇAMENTO!$AF$7)/$H79*OFFSET(ORÇAMENTO!$X$15,ROW(AP79)-ROW(AP$15),0),
ROUND(ROUND(OFFSET($P79,0,AP$13),15-13*ORÇAMENTO!$AF$7)*OFFSET(ORÇAMENTO!$W$15,ROW(AP79)-ROW(AP$15),0),15-13*ORÇAMENTO!$AF$11)),0)</f>
        <v>0</v>
      </c>
      <c r="AQ79" s="545">
        <f ca="1">IF(AND($D79="Serviço",AQ$12&lt;&gt;0,$H79&gt;0,OR(AUTOEVENTO&lt;&gt;"manual",$M79&lt;&gt;1)),
IF(Import.TipoArredondamento&lt;&gt;"TransfereGOV",
ROUND(OFFSET($P79,0,AQ$13),15-13*ORÇAMENTO!$AF$7)/$H79*OFFSET(ORÇAMENTO!$X$15,ROW(AQ79)-ROW(AQ$15),0),
ROUND(ROUND(OFFSET($P79,0,AQ$13),15-13*ORÇAMENTO!$AF$7)*OFFSET(ORÇAMENTO!$W$15,ROW(AQ79)-ROW(AQ$15),0),15-13*ORÇAMENTO!$AF$11)),0)</f>
        <v>0</v>
      </c>
      <c r="AR79" s="545">
        <f ca="1">IF(AND($D79="Serviço",AR$12&lt;&gt;0,$H79&gt;0,OR(AUTOEVENTO&lt;&gt;"manual",$M79&lt;&gt;1)),
IF(Import.TipoArredondamento&lt;&gt;"TransfereGOV",
ROUND(OFFSET($P79,0,AR$13),15-13*ORÇAMENTO!$AF$7)/$H79*OFFSET(ORÇAMENTO!$X$15,ROW(AR79)-ROW(AR$15),0),
ROUND(ROUND(OFFSET($P79,0,AR$13),15-13*ORÇAMENTO!$AF$7)*OFFSET(ORÇAMENTO!$W$15,ROW(AR79)-ROW(AR$15),0),15-13*ORÇAMENTO!$AF$11)),0)</f>
        <v>0</v>
      </c>
      <c r="AS79" s="546">
        <f ca="1">IF(AND($D79="Serviço",AS$12&lt;&gt;0,$H79&gt;0,OR(AUTOEVENTO&lt;&gt;"manual",$M79&lt;&gt;1)),
IF(Import.TipoArredondamento&lt;&gt;"TransfereGOV",
ROUND(OFFSET($P79,0,AS$13),15-13*ORÇAMENTO!$AF$7)/$H79*OFFSET(ORÇAMENTO!$X$15,ROW(AS79)-ROW(AS$15),0),
ROUND(ROUND(OFFSET($P79,0,AS$13),15-13*ORÇAMENTO!$AF$7)*OFFSET(ORÇAMENTO!$W$15,ROW(AS79)-ROW(AS$15),0),15-13*ORÇAMENTO!$AF$11)),0)</f>
        <v>0</v>
      </c>
      <c r="AT79" s="545">
        <f ca="1">IF(AND($D79="Serviço",AT$12&lt;&gt;0,$H79&gt;0,OR(AUTOEVENTO&lt;&gt;"manual",$M79&lt;&gt;1)),
IF(Import.TipoArredondamento&lt;&gt;"TransfereGOV",
ROUND(OFFSET($P79,0,AT$13),15-13*ORÇAMENTO!$AF$7)/$H79*OFFSET(ORÇAMENTO!$X$15,ROW(AT79)-ROW(AT$15),0),
ROUND(ROUND(OFFSET($P79,0,AT$13),15-13*ORÇAMENTO!$AF$7)*OFFSET(ORÇAMENTO!$W$15,ROW(AT79)-ROW(AT$15),0),15-13*ORÇAMENTO!$AF$11)),0)</f>
        <v>0</v>
      </c>
      <c r="AU79" s="545">
        <f ca="1">IF(AND($D79="Serviço",AU$12&lt;&gt;0,$H79&gt;0,OR(AUTOEVENTO&lt;&gt;"manual",$M79&lt;&gt;1)),
IF(Import.TipoArredondamento&lt;&gt;"TransfereGOV",
ROUND(OFFSET($P79,0,AU$13),15-13*ORÇAMENTO!$AF$7)/$H79*OFFSET(ORÇAMENTO!$X$15,ROW(AU79)-ROW(AU$15),0),
ROUND(ROUND(OFFSET($P79,0,AU$13),15-13*ORÇAMENTO!$AF$7)*OFFSET(ORÇAMENTO!$W$15,ROW(AU79)-ROW(AU$15),0),15-13*ORÇAMENTO!$AF$11)),0)</f>
        <v>0</v>
      </c>
      <c r="AV79" s="545">
        <f ca="1">IF(AND($D79="Serviço",AV$12&lt;&gt;0,$H79&gt;0,OR(AUTOEVENTO&lt;&gt;"manual",$M79&lt;&gt;1)),
IF(Import.TipoArredondamento&lt;&gt;"TransfereGOV",
ROUND(OFFSET($P79,0,AV$13),15-13*ORÇAMENTO!$AF$7)/$H79*OFFSET(ORÇAMENTO!$X$15,ROW(AV79)-ROW(AV$15),0),
ROUND(ROUND(OFFSET($P79,0,AV$13),15-13*ORÇAMENTO!$AF$7)*OFFSET(ORÇAMENTO!$W$15,ROW(AV79)-ROW(AV$15),0),15-13*ORÇAMENTO!$AF$11)),0)</f>
        <v>0</v>
      </c>
      <c r="AW79" s="545">
        <f ca="1">IF(AND($D79="Serviço",AW$12&lt;&gt;0,$H79&gt;0,OR(AUTOEVENTO&lt;&gt;"manual",$M79&lt;&gt;1)),
IF(Import.TipoArredondamento&lt;&gt;"TransfereGOV",
ROUND(OFFSET($P79,0,AW$13),15-13*ORÇAMENTO!$AF$7)/$H79*OFFSET(ORÇAMENTO!$X$15,ROW(AW79)-ROW(AW$15),0),
ROUND(ROUND(OFFSET($P79,0,AW$13),15-13*ORÇAMENTO!$AF$7)*OFFSET(ORÇAMENTO!$W$15,ROW(AW79)-ROW(AW$15),0),15-13*ORÇAMENTO!$AF$11)),0)</f>
        <v>0</v>
      </c>
      <c r="AX79" s="545">
        <f ca="1">IF(AND($D79="Serviço",AX$12&lt;&gt;0,$H79&gt;0,OR(AUTOEVENTO&lt;&gt;"manual",$M79&lt;&gt;1)),
IF(Import.TipoArredondamento&lt;&gt;"TransfereGOV",
ROUND(OFFSET($P79,0,AX$13),15-13*ORÇAMENTO!$AF$7)/$H79*OFFSET(ORÇAMENTO!$X$15,ROW(AX79)-ROW(AX$15),0),
ROUND(ROUND(OFFSET($P79,0,AX$13),15-13*ORÇAMENTO!$AF$7)*OFFSET(ORÇAMENTO!$W$15,ROW(AX79)-ROW(AX$15),0),15-13*ORÇAMENTO!$AF$11)),0)</f>
        <v>0</v>
      </c>
      <c r="AY79" s="545">
        <f ca="1">IF(AND($D79="Serviço",AY$12&lt;&gt;0,$H79&gt;0,OR(AUTOEVENTO&lt;&gt;"manual",$M79&lt;&gt;1)),
IF(Import.TipoArredondamento&lt;&gt;"TransfereGOV",
ROUND(OFFSET($P79,0,AY$13),15-13*ORÇAMENTO!$AF$7)/$H79*OFFSET(ORÇAMENTO!$X$15,ROW(AY79)-ROW(AY$15),0),
ROUND(ROUND(OFFSET($P79,0,AY$13),15-13*ORÇAMENTO!$AF$7)*OFFSET(ORÇAMENTO!$W$15,ROW(AY79)-ROW(AY$15),0),15-13*ORÇAMENTO!$AF$11)),0)</f>
        <v>0</v>
      </c>
      <c r="AZ79" s="545">
        <f ca="1">IF(AND($D79="Serviço",AZ$12&lt;&gt;0,$H79&gt;0,OR(AUTOEVENTO&lt;&gt;"manual",$M79&lt;&gt;1)),
IF(Import.TipoArredondamento&lt;&gt;"TransfereGOV",
ROUND(OFFSET($P79,0,AZ$13),15-13*ORÇAMENTO!$AF$7)/$H79*OFFSET(ORÇAMENTO!$X$15,ROW(AZ79)-ROW(AZ$15),0),
ROUND(ROUND(OFFSET($P79,0,AZ$13),15-13*ORÇAMENTO!$AF$7)*OFFSET(ORÇAMENTO!$W$15,ROW(AZ79)-ROW(AZ$15),0),15-13*ORÇAMENTO!$AF$11)),0)</f>
        <v>0</v>
      </c>
      <c r="BA79" s="546">
        <f ca="1">IF(AND($D79="Serviço",BA$12&lt;&gt;0,$H79&gt;0,OR(AUTOEVENTO&lt;&gt;"manual",$M79&lt;&gt;1)),
IF(Import.TipoArredondamento&lt;&gt;"TransfereGOV",
ROUND(OFFSET($P79,0,BA$13),15-13*ORÇAMENTO!$AF$7)/$H79*OFFSET(ORÇAMENTO!$X$15,ROW(BA79)-ROW(BA$15),0),
ROUND(ROUND(OFFSET($P79,0,BA$13),15-13*ORÇAMENTO!$AF$7)*OFFSET(ORÇAMENTO!$W$15,ROW(BA79)-ROW(BA$15),0),15-13*ORÇAMENTO!$AF$11)),0)</f>
        <v>0</v>
      </c>
      <c r="BC79" s="181">
        <f ca="1">IF($D79&lt;&gt;"Serviço",0,IF(AND(AUTOEVENTO="Manual",$M79=1),0,IF(OFFSET(CRONOPLE!$F$14,$M79,BC$13)="",10^12,OFFSET(CRONOPLE!$F$14,$M79,BC$13))))</f>
        <v>3</v>
      </c>
      <c r="BD79" s="181">
        <f ca="1">IF($D79&lt;&gt;"Serviço",0,IF(AND(AUTOEVENTO="Manual",$M79=1),0,IF(OFFSET(CRONOPLE!$F$14,$M79,BD$13)="",10^12,OFFSET(CRONOPLE!$F$14,$M79,BD$13))))</f>
        <v>1000000000000</v>
      </c>
      <c r="BE79" s="181">
        <f ca="1">IF($D79&lt;&gt;"Serviço",0,IF(AND(AUTOEVENTO="Manual",$M79=1),0,IF(OFFSET(CRONOPLE!$F$14,$M79,BE$13)="",10^12,OFFSET(CRONOPLE!$F$14,$M79,BE$13))))</f>
        <v>1000000000000</v>
      </c>
      <c r="BF79" s="181">
        <f ca="1">IF($D79&lt;&gt;"Serviço",0,IF(AND(AUTOEVENTO="Manual",$M79=1),0,IF(OFFSET(CRONOPLE!$F$14,$M79,BF$13)="",10^12,OFFSET(CRONOPLE!$F$14,$M79,BF$13))))</f>
        <v>1000000000000</v>
      </c>
      <c r="BG79" s="181">
        <f ca="1">IF($D79&lt;&gt;"Serviço",0,IF(AND(AUTOEVENTO="Manual",$M79=1),0,IF(OFFSET(CRONOPLE!$F$14,$M79,BG$13)="",10^12,OFFSET(CRONOPLE!$F$14,$M79,BG$13))))</f>
        <v>1000000000000</v>
      </c>
      <c r="BH79" s="181">
        <f ca="1">IF($D79&lt;&gt;"Serviço",0,IF(AND(AUTOEVENTO="Manual",$M79=1),0,IF(OFFSET(CRONOPLE!$F$14,$M79,BH$13)="",10^12,OFFSET(CRONOPLE!$F$14,$M79,BH$13))))</f>
        <v>1000000000000</v>
      </c>
      <c r="BI79" s="181">
        <f ca="1">IF($D79&lt;&gt;"Serviço",0,IF(AND(AUTOEVENTO="Manual",$M79=1),0,IF(OFFSET(CRONOPLE!$F$14,$M79,BI$13)="",10^12,OFFSET(CRONOPLE!$F$14,$M79,BI$13))))</f>
        <v>1000000000000</v>
      </c>
      <c r="BJ79" s="181">
        <f ca="1">IF($D79&lt;&gt;"Serviço",0,IF(AND(AUTOEVENTO="Manual",$M79=1),0,IF(OFFSET(CRONOPLE!$F$14,$M79,BJ$13)="",10^12,OFFSET(CRONOPLE!$F$14,$M79,BJ$13))))</f>
        <v>1000000000000</v>
      </c>
      <c r="BK79" s="181">
        <f ca="1">IF($D79&lt;&gt;"Serviço",0,IF(AND(AUTOEVENTO="Manual",$M79=1),0,IF(OFFSET(CRONOPLE!$F$14,$M79,BK$13)="",10^12,OFFSET(CRONOPLE!$F$14,$M79,BK$13))))</f>
        <v>1000000000000</v>
      </c>
      <c r="BL79" s="181">
        <f ca="1">IF($D79&lt;&gt;"Serviço",0,IF(AND(AUTOEVENTO="Manual",$M79=1),0,IF(OFFSET(CRONOPLE!$F$14,$M79,BL$13)="",10^12,OFFSET(CRONOPLE!$F$14,$M79,BL$13))))</f>
        <v>1000000000000</v>
      </c>
      <c r="BM79" s="181">
        <f ca="1">IF($D79&lt;&gt;"Serviço",0,IF(AND(AUTOEVENTO="Manual",$M79=1),0,IF(OFFSET(CRONOPLE!$F$14,$M79,BM$13)="",10^12,OFFSET(CRONOPLE!$F$14,$M79,BM$13))))</f>
        <v>1000000000000</v>
      </c>
      <c r="BN79" s="181">
        <f ca="1">IF($D79&lt;&gt;"Serviço",0,IF(AND(AUTOEVENTO="Manual",$M79=1),0,IF(OFFSET(CRONOPLE!$F$14,$M79,BN$13)="",10^12,OFFSET(CRONOPLE!$F$14,$M79,BN$13))))</f>
        <v>1000000000000</v>
      </c>
      <c r="BO79" s="181">
        <f ca="1">IF($D79&lt;&gt;"Serviço",0,IF(AND(AUTOEVENTO="Manual",$M79=1),0,IF(OFFSET(CRONOPLE!$F$14,$M79,BO$13)="",10^12,OFFSET(CRONOPLE!$F$14,$M79,BO$13))))</f>
        <v>1000000000000</v>
      </c>
      <c r="BP79" s="181">
        <f ca="1">IF($D79&lt;&gt;"Serviço",0,IF(AND(AUTOEVENTO="Manual",$M79=1),0,IF(OFFSET(CRONOPLE!$F$14,$M79,BP$13)="",10^12,OFFSET(CRONOPLE!$F$14,$M79,BP$13))))</f>
        <v>1000000000000</v>
      </c>
      <c r="BQ79" s="181">
        <f ca="1">IF($D79&lt;&gt;"Serviço",0,IF(AND(AUTOEVENTO="Manual",$M79=1),0,IF(OFFSET(CRONOPLE!$F$14,$M79,BQ$13)="",10^12,OFFSET(CRONOPLE!$F$14,$M79,BQ$13))))</f>
        <v>1000000000000</v>
      </c>
      <c r="BR79" s="181">
        <f ca="1">IF($D79&lt;&gt;"Serviço",0,IF(AND(AUTOEVENTO="Manual",$M79=1),0,IF(OFFSET(CRONOPLE!$F$14,$M79,BR$13)="",10^12,OFFSET(CRONOPLE!$F$14,$M79,BR$13))))</f>
        <v>1000000000000</v>
      </c>
      <c r="BS79" s="181">
        <f ca="1">IF($D79&lt;&gt;"Serviço",0,IF(AND(AUTOEVENTO="Manual",$M79=1),0,IF(OFFSET(CRONOPLE!$F$14,$M79,BS$13)="",10^12,OFFSET(CRONOPLE!$F$14,$M79,BS$13))))</f>
        <v>1000000000000</v>
      </c>
      <c r="BT79" s="181">
        <f ca="1">IF($D79&lt;&gt;"Serviço",0,IF(AND(AUTOEVENTO="Manual",$M79=1),0,IF(OFFSET(CRONOPLE!$F$14,$M79,BT$13)="",10^12,OFFSET(CRONOPLE!$F$14,$M79,BT$13))))</f>
        <v>1000000000000</v>
      </c>
      <c r="BV79" s="182">
        <f ca="1">IF($D79&lt;&gt;"Serviço",0,IF(OR(AND(AUTOEVENTO="Manual",$M79=1),$M79&gt;(ROW(PLE.lastrow)-ROW(PLE.firstrow))),0,IF(OFFSET(PLE!$G$14,$M79,BV$13)="",10^12,OFFSET(PLE!$G$14,$M79,BV$13))))</f>
        <v>1000000000000</v>
      </c>
      <c r="BW79" s="182">
        <f ca="1">IF($D79&lt;&gt;"Serviço",0,IF(OR(AND(AUTOEVENTO="Manual",$M79=1),$M79&gt;(ROW(PLE.lastrow)-ROW(PLE.firstrow))),0,IF(OFFSET(PLE!$G$14,$M79,BW$13)="",10^12,OFFSET(PLE!$G$14,$M79,BW$13))))</f>
        <v>1000000000000</v>
      </c>
      <c r="BX79" s="182">
        <f ca="1">IF($D79&lt;&gt;"Serviço",0,IF(OR(AND(AUTOEVENTO="Manual",$M79=1),$M79&gt;(ROW(PLE.lastrow)-ROW(PLE.firstrow))),0,IF(OFFSET(PLE!$G$14,$M79,BX$13)="",10^12,OFFSET(PLE!$G$14,$M79,BX$13))))</f>
        <v>1000000000000</v>
      </c>
      <c r="BY79" s="182">
        <f ca="1">IF($D79&lt;&gt;"Serviço",0,IF(OR(AND(AUTOEVENTO="Manual",$M79=1),$M79&gt;(ROW(PLE.lastrow)-ROW(PLE.firstrow))),0,IF(OFFSET(PLE!$G$14,$M79,BY$13)="",10^12,OFFSET(PLE!$G$14,$M79,BY$13))))</f>
        <v>1000000000000</v>
      </c>
      <c r="BZ79" s="182">
        <f ca="1">IF($D79&lt;&gt;"Serviço",0,IF(OR(AND(AUTOEVENTO="Manual",$M79=1),$M79&gt;(ROW(PLE.lastrow)-ROW(PLE.firstrow))),0,IF(OFFSET(PLE!$G$14,$M79,BZ$13)="",10^12,OFFSET(PLE!$G$14,$M79,BZ$13))))</f>
        <v>1000000000000</v>
      </c>
      <c r="CA79" s="182">
        <f ca="1">IF($D79&lt;&gt;"Serviço",0,IF(OR(AND(AUTOEVENTO="Manual",$M79=1),$M79&gt;(ROW(PLE.lastrow)-ROW(PLE.firstrow))),0,IF(OFFSET(PLE!$G$14,$M79,CA$13)="",10^12,OFFSET(PLE!$G$14,$M79,CA$13))))</f>
        <v>1000000000000</v>
      </c>
      <c r="CB79" s="182">
        <f ca="1">IF($D79&lt;&gt;"Serviço",0,IF(OR(AND(AUTOEVENTO="Manual",$M79=1),$M79&gt;(ROW(PLE.lastrow)-ROW(PLE.firstrow))),0,IF(OFFSET(PLE!$G$14,$M79,CB$13)="",10^12,OFFSET(PLE!$G$14,$M79,CB$13))))</f>
        <v>1000000000000</v>
      </c>
      <c r="CC79" s="182">
        <f ca="1">IF($D79&lt;&gt;"Serviço",0,IF(OR(AND(AUTOEVENTO="Manual",$M79=1),$M79&gt;(ROW(PLE.lastrow)-ROW(PLE.firstrow))),0,IF(OFFSET(PLE!$G$14,$M79,CC$13)="",10^12,OFFSET(PLE!$G$14,$M79,CC$13))))</f>
        <v>1000000000000</v>
      </c>
      <c r="CD79" s="182">
        <f ca="1">IF($D79&lt;&gt;"Serviço",0,IF(OR(AND(AUTOEVENTO="Manual",$M79=1),$M79&gt;(ROW(PLE.lastrow)-ROW(PLE.firstrow))),0,IF(OFFSET(PLE!$G$14,$M79,CD$13)="",10^12,OFFSET(PLE!$G$14,$M79,CD$13))))</f>
        <v>1000000000000</v>
      </c>
      <c r="CE79" s="182">
        <f ca="1">IF($D79&lt;&gt;"Serviço",0,IF(OR(AND(AUTOEVENTO="Manual",$M79=1),$M79&gt;(ROW(PLE.lastrow)-ROW(PLE.firstrow))),0,IF(OFFSET(PLE!$G$14,$M79,CE$13)="",10^12,OFFSET(PLE!$G$14,$M79,CE$13))))</f>
        <v>1000000000000</v>
      </c>
      <c r="CF79" s="182">
        <f ca="1">IF($D79&lt;&gt;"Serviço",0,IF(OR(AND(AUTOEVENTO="Manual",$M79=1),$M79&gt;(ROW(PLE.lastrow)-ROW(PLE.firstrow))),0,IF(OFFSET(PLE!$G$14,$M79,CF$13)="",10^12,OFFSET(PLE!$G$14,$M79,CF$13))))</f>
        <v>1000000000000</v>
      </c>
      <c r="CG79" s="182">
        <f ca="1">IF($D79&lt;&gt;"Serviço",0,IF(OR(AND(AUTOEVENTO="Manual",$M79=1),$M79&gt;(ROW(PLE.lastrow)-ROW(PLE.firstrow))),0,IF(OFFSET(PLE!$G$14,$M79,CG$13)="",10^12,OFFSET(PLE!$G$14,$M79,CG$13))))</f>
        <v>1000000000000</v>
      </c>
      <c r="CH79" s="182">
        <f ca="1">IF($D79&lt;&gt;"Serviço",0,IF(OR(AND(AUTOEVENTO="Manual",$M79=1),$M79&gt;(ROW(PLE.lastrow)-ROW(PLE.firstrow))),0,IF(OFFSET(PLE!$G$14,$M79,CH$13)="",10^12,OFFSET(PLE!$G$14,$M79,CH$13))))</f>
        <v>1000000000000</v>
      </c>
      <c r="CI79" s="182">
        <f ca="1">IF($D79&lt;&gt;"Serviço",0,IF(OR(AND(AUTOEVENTO="Manual",$M79=1),$M79&gt;(ROW(PLE.lastrow)-ROW(PLE.firstrow))),0,IF(OFFSET(PLE!$G$14,$M79,CI$13)="",10^12,OFFSET(PLE!$G$14,$M79,CI$13))))</f>
        <v>1000000000000</v>
      </c>
      <c r="CJ79" s="182">
        <f ca="1">IF($D79&lt;&gt;"Serviço",0,IF(OR(AND(AUTOEVENTO="Manual",$M79=1),$M79&gt;(ROW(PLE.lastrow)-ROW(PLE.firstrow))),0,IF(OFFSET(PLE!$G$14,$M79,CJ$13)="",10^12,OFFSET(PLE!$G$14,$M79,CJ$13))))</f>
        <v>1000000000000</v>
      </c>
      <c r="CK79" s="182">
        <f ca="1">IF($D79&lt;&gt;"Serviço",0,IF(OR(AND(AUTOEVENTO="Manual",$M79=1),$M79&gt;(ROW(PLE.lastrow)-ROW(PLE.firstrow))),0,IF(OFFSET(PLE!$G$14,$M79,CK$13)="",10^12,OFFSET(PLE!$G$14,$M79,CK$13))))</f>
        <v>1000000000000</v>
      </c>
      <c r="CL79" s="182">
        <f ca="1">IF($D79&lt;&gt;"Serviço",0,IF(OR(AND(AUTOEVENTO="Manual",$M79=1),$M79&gt;(ROW(PLE.lastrow)-ROW(PLE.firstrow))),0,IF(OFFSET(PLE!$G$14,$M79,CL$13)="",10^12,OFFSET(PLE!$G$14,$M79,CL$13))))</f>
        <v>1000000000000</v>
      </c>
      <c r="CM79" s="182">
        <f ca="1">IF($D79&lt;&gt;"Serviço",0,IF(OR(AND(AUTOEVENTO="Manual",$M79=1),$M79&gt;(ROW(PLE.lastrow)-ROW(PLE.firstrow))),0,IF(OFFSET(PLE!$G$14,$M79,CM$13)="",10^12,OFFSET(PLE!$G$14,$M79,CM$13))))</f>
        <v>1000000000000</v>
      </c>
    </row>
    <row r="80" spans="1:91" ht="38.25" x14ac:dyDescent="0.2">
      <c r="A80" s="7" t="str">
        <f t="shared" ca="1" si="10"/>
        <v>59</v>
      </c>
      <c r="B80" s="7" t="str">
        <f ca="1">OFFSET(ORÇAMENTO!C$15,ROW(B80)-ROW(B$15),0)</f>
        <v>S</v>
      </c>
      <c r="C80" s="7" t="str">
        <f ca="1">OFFSET(ORÇAMENTO!L$15,ROW(C80)-ROW(C$15),0)</f>
        <v/>
      </c>
      <c r="D80" s="118" t="str">
        <f ca="1">OFFSET(ORÇAMENTO!N$15,ROW(D80)-ROW(D$15),0)</f>
        <v>Serviço</v>
      </c>
      <c r="E80" s="119" t="str">
        <f ca="1">OFFSET(ORÇAMENTO!O$15,ROW(E80)-ROW(E$15),0)</f>
        <v>-</v>
      </c>
      <c r="F80" s="172" t="str">
        <f ca="1">OFFSET(ORÇAMENTO!R$15,ROW(F80)-ROW(F$15),0)</f>
        <v>(abra o arquivo 'Referência 06-2024.xlsm)</v>
      </c>
      <c r="G80" s="173" t="str">
        <f ca="1">IF($D80&lt;&gt;"Serviço","",OFFSET(ORÇAMENTO!S$15,ROW(G80)-ROW(G$15),0))</f>
        <v>-</v>
      </c>
      <c r="H80" s="124">
        <f ca="1">IF($D80&lt;&gt;"Serviço",0,IF(ACOMPANHAMENTO="BM",ROUND(OFFSET(ORÇAMENTO!AJ$15,ROW(H80)-ROW(H$15),0),15-13*ORÇAMENTO!$AF$7),SUMPRODUCT(($Q$12:$AI$12&lt;&gt;"")*ROUND($Q80:$AI80,15-13*ORÇAMENTO!$AF$7))))</f>
        <v>16.600000000000001</v>
      </c>
      <c r="I80" s="561" t="s">
        <v>1107</v>
      </c>
      <c r="K80" s="174" t="s">
        <v>1028</v>
      </c>
      <c r="L80" s="175" t="s">
        <v>255</v>
      </c>
      <c r="M80" s="176">
        <f ca="1">IF($D80&lt;&gt;"Serviço","",IF(AUTOEVENTO="manual",$A80,IF(ISERROR(MATCH($A80,$A$15:OFFSET($A80,-1,0),0)),MAX($M$15:OFFSET(M80,-1,0))+1,INDEX($M$15:OFFSET(M80,-1,0),MATCH($A80,$A$15:OFFSET($A80,-1,0),0)))))</f>
        <v>11</v>
      </c>
      <c r="N80" s="177" t="str">
        <f ca="1">IF($D80&lt;&gt;"Serviço","",IF(AUTOEVENTO="Manual",IF($A80=0,"&lt;-- defina o número do agrupador",OFFSET(EVENTOS!$D$14,$A80,0)),OFFSET($F$15,$A80,0)))</f>
        <v>SUPERESTRUTURA - CONCRETO ARMADO PARA VERGAS</v>
      </c>
      <c r="O80" s="178"/>
      <c r="Q80" s="178">
        <v>16.600000000000001</v>
      </c>
      <c r="R80" s="179"/>
      <c r="S80" s="179"/>
      <c r="T80" s="179"/>
      <c r="U80" s="179"/>
      <c r="V80" s="179"/>
      <c r="W80" s="179"/>
      <c r="X80" s="179"/>
      <c r="Y80" s="179"/>
      <c r="Z80" s="180"/>
      <c r="AA80" s="179"/>
      <c r="AB80" s="179"/>
      <c r="AC80" s="179"/>
      <c r="AD80" s="179"/>
      <c r="AE80" s="179"/>
      <c r="AF80" s="179"/>
      <c r="AG80" s="179"/>
      <c r="AH80" s="180"/>
      <c r="AJ80" s="544">
        <f ca="1">IF(AND($D80="Serviço",AJ$12&lt;&gt;0,$H80&gt;0,OR(AUTOEVENTO&lt;&gt;"manual",$M80&lt;&gt;1)),
IF(Import.TipoArredondamento&lt;&gt;"TransfereGOV",
ROUND(OFFSET($P80,0,AJ$13),15-13*ORÇAMENTO!$AF$7)/$H80*OFFSET(ORÇAMENTO!$X$15,ROW(AJ80)-ROW(AJ$15),0),
ROUND(ROUND(OFFSET($P80,0,AJ$13),15-13*ORÇAMENTO!$AF$7)*OFFSET(ORÇAMENTO!$W$15,ROW(AJ80)-ROW(AJ$15),0),15-13*ORÇAMENTO!$AF$11)),0)</f>
        <v>0</v>
      </c>
      <c r="AK80" s="545">
        <f ca="1">IF(AND($D80="Serviço",AK$12&lt;&gt;0,$H80&gt;0,OR(AUTOEVENTO&lt;&gt;"manual",$M80&lt;&gt;1)),
IF(Import.TipoArredondamento&lt;&gt;"TransfereGOV",
ROUND(OFFSET($P80,0,AK$13),15-13*ORÇAMENTO!$AF$7)/$H80*OFFSET(ORÇAMENTO!$X$15,ROW(AK80)-ROW(AK$15),0),
ROUND(ROUND(OFFSET($P80,0,AK$13),15-13*ORÇAMENTO!$AF$7)*OFFSET(ORÇAMENTO!$W$15,ROW(AK80)-ROW(AK$15),0),15-13*ORÇAMENTO!$AF$11)),0)</f>
        <v>0</v>
      </c>
      <c r="AL80" s="545">
        <f ca="1">IF(AND($D80="Serviço",AL$12&lt;&gt;0,$H80&gt;0,OR(AUTOEVENTO&lt;&gt;"manual",$M80&lt;&gt;1)),
IF(Import.TipoArredondamento&lt;&gt;"TransfereGOV",
ROUND(OFFSET($P80,0,AL$13),15-13*ORÇAMENTO!$AF$7)/$H80*OFFSET(ORÇAMENTO!$X$15,ROW(AL80)-ROW(AL$15),0),
ROUND(ROUND(OFFSET($P80,0,AL$13),15-13*ORÇAMENTO!$AF$7)*OFFSET(ORÇAMENTO!$W$15,ROW(AL80)-ROW(AL$15),0),15-13*ORÇAMENTO!$AF$11)),0)</f>
        <v>0</v>
      </c>
      <c r="AM80" s="545">
        <f ca="1">IF(AND($D80="Serviço",AM$12&lt;&gt;0,$H80&gt;0,OR(AUTOEVENTO&lt;&gt;"manual",$M80&lt;&gt;1)),
IF(Import.TipoArredondamento&lt;&gt;"TransfereGOV",
ROUND(OFFSET($P80,0,AM$13),15-13*ORÇAMENTO!$AF$7)/$H80*OFFSET(ORÇAMENTO!$X$15,ROW(AM80)-ROW(AM$15),0),
ROUND(ROUND(OFFSET($P80,0,AM$13),15-13*ORÇAMENTO!$AF$7)*OFFSET(ORÇAMENTO!$W$15,ROW(AM80)-ROW(AM$15),0),15-13*ORÇAMENTO!$AF$11)),0)</f>
        <v>0</v>
      </c>
      <c r="AN80" s="545">
        <f ca="1">IF(AND($D80="Serviço",AN$12&lt;&gt;0,$H80&gt;0,OR(AUTOEVENTO&lt;&gt;"manual",$M80&lt;&gt;1)),
IF(Import.TipoArredondamento&lt;&gt;"TransfereGOV",
ROUND(OFFSET($P80,0,AN$13),15-13*ORÇAMENTO!$AF$7)/$H80*OFFSET(ORÇAMENTO!$X$15,ROW(AN80)-ROW(AN$15),0),
ROUND(ROUND(OFFSET($P80,0,AN$13),15-13*ORÇAMENTO!$AF$7)*OFFSET(ORÇAMENTO!$W$15,ROW(AN80)-ROW(AN$15),0),15-13*ORÇAMENTO!$AF$11)),0)</f>
        <v>0</v>
      </c>
      <c r="AO80" s="545">
        <f ca="1">IF(AND($D80="Serviço",AO$12&lt;&gt;0,$H80&gt;0,OR(AUTOEVENTO&lt;&gt;"manual",$M80&lt;&gt;1)),
IF(Import.TipoArredondamento&lt;&gt;"TransfereGOV",
ROUND(OFFSET($P80,0,AO$13),15-13*ORÇAMENTO!$AF$7)/$H80*OFFSET(ORÇAMENTO!$X$15,ROW(AO80)-ROW(AO$15),0),
ROUND(ROUND(OFFSET($P80,0,AO$13),15-13*ORÇAMENTO!$AF$7)*OFFSET(ORÇAMENTO!$W$15,ROW(AO80)-ROW(AO$15),0),15-13*ORÇAMENTO!$AF$11)),0)</f>
        <v>0</v>
      </c>
      <c r="AP80" s="545">
        <f ca="1">IF(AND($D80="Serviço",AP$12&lt;&gt;0,$H80&gt;0,OR(AUTOEVENTO&lt;&gt;"manual",$M80&lt;&gt;1)),
IF(Import.TipoArredondamento&lt;&gt;"TransfereGOV",
ROUND(OFFSET($P80,0,AP$13),15-13*ORÇAMENTO!$AF$7)/$H80*OFFSET(ORÇAMENTO!$X$15,ROW(AP80)-ROW(AP$15),0),
ROUND(ROUND(OFFSET($P80,0,AP$13),15-13*ORÇAMENTO!$AF$7)*OFFSET(ORÇAMENTO!$W$15,ROW(AP80)-ROW(AP$15),0),15-13*ORÇAMENTO!$AF$11)),0)</f>
        <v>0</v>
      </c>
      <c r="AQ80" s="545">
        <f ca="1">IF(AND($D80="Serviço",AQ$12&lt;&gt;0,$H80&gt;0,OR(AUTOEVENTO&lt;&gt;"manual",$M80&lt;&gt;1)),
IF(Import.TipoArredondamento&lt;&gt;"TransfereGOV",
ROUND(OFFSET($P80,0,AQ$13),15-13*ORÇAMENTO!$AF$7)/$H80*OFFSET(ORÇAMENTO!$X$15,ROW(AQ80)-ROW(AQ$15),0),
ROUND(ROUND(OFFSET($P80,0,AQ$13),15-13*ORÇAMENTO!$AF$7)*OFFSET(ORÇAMENTO!$W$15,ROW(AQ80)-ROW(AQ$15),0),15-13*ORÇAMENTO!$AF$11)),0)</f>
        <v>0</v>
      </c>
      <c r="AR80" s="545">
        <f ca="1">IF(AND($D80="Serviço",AR$12&lt;&gt;0,$H80&gt;0,OR(AUTOEVENTO&lt;&gt;"manual",$M80&lt;&gt;1)),
IF(Import.TipoArredondamento&lt;&gt;"TransfereGOV",
ROUND(OFFSET($P80,0,AR$13),15-13*ORÇAMENTO!$AF$7)/$H80*OFFSET(ORÇAMENTO!$X$15,ROW(AR80)-ROW(AR$15),0),
ROUND(ROUND(OFFSET($P80,0,AR$13),15-13*ORÇAMENTO!$AF$7)*OFFSET(ORÇAMENTO!$W$15,ROW(AR80)-ROW(AR$15),0),15-13*ORÇAMENTO!$AF$11)),0)</f>
        <v>0</v>
      </c>
      <c r="AS80" s="546">
        <f ca="1">IF(AND($D80="Serviço",AS$12&lt;&gt;0,$H80&gt;0,OR(AUTOEVENTO&lt;&gt;"manual",$M80&lt;&gt;1)),
IF(Import.TipoArredondamento&lt;&gt;"TransfereGOV",
ROUND(OFFSET($P80,0,AS$13),15-13*ORÇAMENTO!$AF$7)/$H80*OFFSET(ORÇAMENTO!$X$15,ROW(AS80)-ROW(AS$15),0),
ROUND(ROUND(OFFSET($P80,0,AS$13),15-13*ORÇAMENTO!$AF$7)*OFFSET(ORÇAMENTO!$W$15,ROW(AS80)-ROW(AS$15),0),15-13*ORÇAMENTO!$AF$11)),0)</f>
        <v>0</v>
      </c>
      <c r="AT80" s="545">
        <f ca="1">IF(AND($D80="Serviço",AT$12&lt;&gt;0,$H80&gt;0,OR(AUTOEVENTO&lt;&gt;"manual",$M80&lt;&gt;1)),
IF(Import.TipoArredondamento&lt;&gt;"TransfereGOV",
ROUND(OFFSET($P80,0,AT$13),15-13*ORÇAMENTO!$AF$7)/$H80*OFFSET(ORÇAMENTO!$X$15,ROW(AT80)-ROW(AT$15),0),
ROUND(ROUND(OFFSET($P80,0,AT$13),15-13*ORÇAMENTO!$AF$7)*OFFSET(ORÇAMENTO!$W$15,ROW(AT80)-ROW(AT$15),0),15-13*ORÇAMENTO!$AF$11)),0)</f>
        <v>0</v>
      </c>
      <c r="AU80" s="545">
        <f ca="1">IF(AND($D80="Serviço",AU$12&lt;&gt;0,$H80&gt;0,OR(AUTOEVENTO&lt;&gt;"manual",$M80&lt;&gt;1)),
IF(Import.TipoArredondamento&lt;&gt;"TransfereGOV",
ROUND(OFFSET($P80,0,AU$13),15-13*ORÇAMENTO!$AF$7)/$H80*OFFSET(ORÇAMENTO!$X$15,ROW(AU80)-ROW(AU$15),0),
ROUND(ROUND(OFFSET($P80,0,AU$13),15-13*ORÇAMENTO!$AF$7)*OFFSET(ORÇAMENTO!$W$15,ROW(AU80)-ROW(AU$15),0),15-13*ORÇAMENTO!$AF$11)),0)</f>
        <v>0</v>
      </c>
      <c r="AV80" s="545">
        <f ca="1">IF(AND($D80="Serviço",AV$12&lt;&gt;0,$H80&gt;0,OR(AUTOEVENTO&lt;&gt;"manual",$M80&lt;&gt;1)),
IF(Import.TipoArredondamento&lt;&gt;"TransfereGOV",
ROUND(OFFSET($P80,0,AV$13),15-13*ORÇAMENTO!$AF$7)/$H80*OFFSET(ORÇAMENTO!$X$15,ROW(AV80)-ROW(AV$15),0),
ROUND(ROUND(OFFSET($P80,0,AV$13),15-13*ORÇAMENTO!$AF$7)*OFFSET(ORÇAMENTO!$W$15,ROW(AV80)-ROW(AV$15),0),15-13*ORÇAMENTO!$AF$11)),0)</f>
        <v>0</v>
      </c>
      <c r="AW80" s="545">
        <f ca="1">IF(AND($D80="Serviço",AW$12&lt;&gt;0,$H80&gt;0,OR(AUTOEVENTO&lt;&gt;"manual",$M80&lt;&gt;1)),
IF(Import.TipoArredondamento&lt;&gt;"TransfereGOV",
ROUND(OFFSET($P80,0,AW$13),15-13*ORÇAMENTO!$AF$7)/$H80*OFFSET(ORÇAMENTO!$X$15,ROW(AW80)-ROW(AW$15),0),
ROUND(ROUND(OFFSET($P80,0,AW$13),15-13*ORÇAMENTO!$AF$7)*OFFSET(ORÇAMENTO!$W$15,ROW(AW80)-ROW(AW$15),0),15-13*ORÇAMENTO!$AF$11)),0)</f>
        <v>0</v>
      </c>
      <c r="AX80" s="545">
        <f ca="1">IF(AND($D80="Serviço",AX$12&lt;&gt;0,$H80&gt;0,OR(AUTOEVENTO&lt;&gt;"manual",$M80&lt;&gt;1)),
IF(Import.TipoArredondamento&lt;&gt;"TransfereGOV",
ROUND(OFFSET($P80,0,AX$13),15-13*ORÇAMENTO!$AF$7)/$H80*OFFSET(ORÇAMENTO!$X$15,ROW(AX80)-ROW(AX$15),0),
ROUND(ROUND(OFFSET($P80,0,AX$13),15-13*ORÇAMENTO!$AF$7)*OFFSET(ORÇAMENTO!$W$15,ROW(AX80)-ROW(AX$15),0),15-13*ORÇAMENTO!$AF$11)),0)</f>
        <v>0</v>
      </c>
      <c r="AY80" s="545">
        <f ca="1">IF(AND($D80="Serviço",AY$12&lt;&gt;0,$H80&gt;0,OR(AUTOEVENTO&lt;&gt;"manual",$M80&lt;&gt;1)),
IF(Import.TipoArredondamento&lt;&gt;"TransfereGOV",
ROUND(OFFSET($P80,0,AY$13),15-13*ORÇAMENTO!$AF$7)/$H80*OFFSET(ORÇAMENTO!$X$15,ROW(AY80)-ROW(AY$15),0),
ROUND(ROUND(OFFSET($P80,0,AY$13),15-13*ORÇAMENTO!$AF$7)*OFFSET(ORÇAMENTO!$W$15,ROW(AY80)-ROW(AY$15),0),15-13*ORÇAMENTO!$AF$11)),0)</f>
        <v>0</v>
      </c>
      <c r="AZ80" s="545">
        <f ca="1">IF(AND($D80="Serviço",AZ$12&lt;&gt;0,$H80&gt;0,OR(AUTOEVENTO&lt;&gt;"manual",$M80&lt;&gt;1)),
IF(Import.TipoArredondamento&lt;&gt;"TransfereGOV",
ROUND(OFFSET($P80,0,AZ$13),15-13*ORÇAMENTO!$AF$7)/$H80*OFFSET(ORÇAMENTO!$X$15,ROW(AZ80)-ROW(AZ$15),0),
ROUND(ROUND(OFFSET($P80,0,AZ$13),15-13*ORÇAMENTO!$AF$7)*OFFSET(ORÇAMENTO!$W$15,ROW(AZ80)-ROW(AZ$15),0),15-13*ORÇAMENTO!$AF$11)),0)</f>
        <v>0</v>
      </c>
      <c r="BA80" s="546">
        <f ca="1">IF(AND($D80="Serviço",BA$12&lt;&gt;0,$H80&gt;0,OR(AUTOEVENTO&lt;&gt;"manual",$M80&lt;&gt;1)),
IF(Import.TipoArredondamento&lt;&gt;"TransfereGOV",
ROUND(OFFSET($P80,0,BA$13),15-13*ORÇAMENTO!$AF$7)/$H80*OFFSET(ORÇAMENTO!$X$15,ROW(BA80)-ROW(BA$15),0),
ROUND(ROUND(OFFSET($P80,0,BA$13),15-13*ORÇAMENTO!$AF$7)*OFFSET(ORÇAMENTO!$W$15,ROW(BA80)-ROW(BA$15),0),15-13*ORÇAMENTO!$AF$11)),0)</f>
        <v>0</v>
      </c>
      <c r="BC80" s="181">
        <f ca="1">IF($D80&lt;&gt;"Serviço",0,IF(AND(AUTOEVENTO="Manual",$M80=1),0,IF(OFFSET(CRONOPLE!$F$14,$M80,BC$13)="",10^12,OFFSET(CRONOPLE!$F$14,$M80,BC$13))))</f>
        <v>3</v>
      </c>
      <c r="BD80" s="181">
        <f ca="1">IF($D80&lt;&gt;"Serviço",0,IF(AND(AUTOEVENTO="Manual",$M80=1),0,IF(OFFSET(CRONOPLE!$F$14,$M80,BD$13)="",10^12,OFFSET(CRONOPLE!$F$14,$M80,BD$13))))</f>
        <v>1000000000000</v>
      </c>
      <c r="BE80" s="181">
        <f ca="1">IF($D80&lt;&gt;"Serviço",0,IF(AND(AUTOEVENTO="Manual",$M80=1),0,IF(OFFSET(CRONOPLE!$F$14,$M80,BE$13)="",10^12,OFFSET(CRONOPLE!$F$14,$M80,BE$13))))</f>
        <v>1000000000000</v>
      </c>
      <c r="BF80" s="181">
        <f ca="1">IF($D80&lt;&gt;"Serviço",0,IF(AND(AUTOEVENTO="Manual",$M80=1),0,IF(OFFSET(CRONOPLE!$F$14,$M80,BF$13)="",10^12,OFFSET(CRONOPLE!$F$14,$M80,BF$13))))</f>
        <v>1000000000000</v>
      </c>
      <c r="BG80" s="181">
        <f ca="1">IF($D80&lt;&gt;"Serviço",0,IF(AND(AUTOEVENTO="Manual",$M80=1),0,IF(OFFSET(CRONOPLE!$F$14,$M80,BG$13)="",10^12,OFFSET(CRONOPLE!$F$14,$M80,BG$13))))</f>
        <v>1000000000000</v>
      </c>
      <c r="BH80" s="181">
        <f ca="1">IF($D80&lt;&gt;"Serviço",0,IF(AND(AUTOEVENTO="Manual",$M80=1),0,IF(OFFSET(CRONOPLE!$F$14,$M80,BH$13)="",10^12,OFFSET(CRONOPLE!$F$14,$M80,BH$13))))</f>
        <v>1000000000000</v>
      </c>
      <c r="BI80" s="181">
        <f ca="1">IF($D80&lt;&gt;"Serviço",0,IF(AND(AUTOEVENTO="Manual",$M80=1),0,IF(OFFSET(CRONOPLE!$F$14,$M80,BI$13)="",10^12,OFFSET(CRONOPLE!$F$14,$M80,BI$13))))</f>
        <v>1000000000000</v>
      </c>
      <c r="BJ80" s="181">
        <f ca="1">IF($D80&lt;&gt;"Serviço",0,IF(AND(AUTOEVENTO="Manual",$M80=1),0,IF(OFFSET(CRONOPLE!$F$14,$M80,BJ$13)="",10^12,OFFSET(CRONOPLE!$F$14,$M80,BJ$13))))</f>
        <v>1000000000000</v>
      </c>
      <c r="BK80" s="181">
        <f ca="1">IF($D80&lt;&gt;"Serviço",0,IF(AND(AUTOEVENTO="Manual",$M80=1),0,IF(OFFSET(CRONOPLE!$F$14,$M80,BK$13)="",10^12,OFFSET(CRONOPLE!$F$14,$M80,BK$13))))</f>
        <v>1000000000000</v>
      </c>
      <c r="BL80" s="181">
        <f ca="1">IF($D80&lt;&gt;"Serviço",0,IF(AND(AUTOEVENTO="Manual",$M80=1),0,IF(OFFSET(CRONOPLE!$F$14,$M80,BL$13)="",10^12,OFFSET(CRONOPLE!$F$14,$M80,BL$13))))</f>
        <v>1000000000000</v>
      </c>
      <c r="BM80" s="181">
        <f ca="1">IF($D80&lt;&gt;"Serviço",0,IF(AND(AUTOEVENTO="Manual",$M80=1),0,IF(OFFSET(CRONOPLE!$F$14,$M80,BM$13)="",10^12,OFFSET(CRONOPLE!$F$14,$M80,BM$13))))</f>
        <v>1000000000000</v>
      </c>
      <c r="BN80" s="181">
        <f ca="1">IF($D80&lt;&gt;"Serviço",0,IF(AND(AUTOEVENTO="Manual",$M80=1),0,IF(OFFSET(CRONOPLE!$F$14,$M80,BN$13)="",10^12,OFFSET(CRONOPLE!$F$14,$M80,BN$13))))</f>
        <v>1000000000000</v>
      </c>
      <c r="BO80" s="181">
        <f ca="1">IF($D80&lt;&gt;"Serviço",0,IF(AND(AUTOEVENTO="Manual",$M80=1),0,IF(OFFSET(CRONOPLE!$F$14,$M80,BO$13)="",10^12,OFFSET(CRONOPLE!$F$14,$M80,BO$13))))</f>
        <v>1000000000000</v>
      </c>
      <c r="BP80" s="181">
        <f ca="1">IF($D80&lt;&gt;"Serviço",0,IF(AND(AUTOEVENTO="Manual",$M80=1),0,IF(OFFSET(CRONOPLE!$F$14,$M80,BP$13)="",10^12,OFFSET(CRONOPLE!$F$14,$M80,BP$13))))</f>
        <v>1000000000000</v>
      </c>
      <c r="BQ80" s="181">
        <f ca="1">IF($D80&lt;&gt;"Serviço",0,IF(AND(AUTOEVENTO="Manual",$M80=1),0,IF(OFFSET(CRONOPLE!$F$14,$M80,BQ$13)="",10^12,OFFSET(CRONOPLE!$F$14,$M80,BQ$13))))</f>
        <v>1000000000000</v>
      </c>
      <c r="BR80" s="181">
        <f ca="1">IF($D80&lt;&gt;"Serviço",0,IF(AND(AUTOEVENTO="Manual",$M80=1),0,IF(OFFSET(CRONOPLE!$F$14,$M80,BR$13)="",10^12,OFFSET(CRONOPLE!$F$14,$M80,BR$13))))</f>
        <v>1000000000000</v>
      </c>
      <c r="BS80" s="181">
        <f ca="1">IF($D80&lt;&gt;"Serviço",0,IF(AND(AUTOEVENTO="Manual",$M80=1),0,IF(OFFSET(CRONOPLE!$F$14,$M80,BS$13)="",10^12,OFFSET(CRONOPLE!$F$14,$M80,BS$13))))</f>
        <v>1000000000000</v>
      </c>
      <c r="BT80" s="181">
        <f ca="1">IF($D80&lt;&gt;"Serviço",0,IF(AND(AUTOEVENTO="Manual",$M80=1),0,IF(OFFSET(CRONOPLE!$F$14,$M80,BT$13)="",10^12,OFFSET(CRONOPLE!$F$14,$M80,BT$13))))</f>
        <v>1000000000000</v>
      </c>
      <c r="BV80" s="182">
        <f ca="1">IF($D80&lt;&gt;"Serviço",0,IF(OR(AND(AUTOEVENTO="Manual",$M80=1),$M80&gt;(ROW(PLE.lastrow)-ROW(PLE.firstrow))),0,IF(OFFSET(PLE!$G$14,$M80,BV$13)="",10^12,OFFSET(PLE!$G$14,$M80,BV$13))))</f>
        <v>1000000000000</v>
      </c>
      <c r="BW80" s="182">
        <f ca="1">IF($D80&lt;&gt;"Serviço",0,IF(OR(AND(AUTOEVENTO="Manual",$M80=1),$M80&gt;(ROW(PLE.lastrow)-ROW(PLE.firstrow))),0,IF(OFFSET(PLE!$G$14,$M80,BW$13)="",10^12,OFFSET(PLE!$G$14,$M80,BW$13))))</f>
        <v>1000000000000</v>
      </c>
      <c r="BX80" s="182">
        <f ca="1">IF($D80&lt;&gt;"Serviço",0,IF(OR(AND(AUTOEVENTO="Manual",$M80=1),$M80&gt;(ROW(PLE.lastrow)-ROW(PLE.firstrow))),0,IF(OFFSET(PLE!$G$14,$M80,BX$13)="",10^12,OFFSET(PLE!$G$14,$M80,BX$13))))</f>
        <v>1000000000000</v>
      </c>
      <c r="BY80" s="182">
        <f ca="1">IF($D80&lt;&gt;"Serviço",0,IF(OR(AND(AUTOEVENTO="Manual",$M80=1),$M80&gt;(ROW(PLE.lastrow)-ROW(PLE.firstrow))),0,IF(OFFSET(PLE!$G$14,$M80,BY$13)="",10^12,OFFSET(PLE!$G$14,$M80,BY$13))))</f>
        <v>1000000000000</v>
      </c>
      <c r="BZ80" s="182">
        <f ca="1">IF($D80&lt;&gt;"Serviço",0,IF(OR(AND(AUTOEVENTO="Manual",$M80=1),$M80&gt;(ROW(PLE.lastrow)-ROW(PLE.firstrow))),0,IF(OFFSET(PLE!$G$14,$M80,BZ$13)="",10^12,OFFSET(PLE!$G$14,$M80,BZ$13))))</f>
        <v>1000000000000</v>
      </c>
      <c r="CA80" s="182">
        <f ca="1">IF($D80&lt;&gt;"Serviço",0,IF(OR(AND(AUTOEVENTO="Manual",$M80=1),$M80&gt;(ROW(PLE.lastrow)-ROW(PLE.firstrow))),0,IF(OFFSET(PLE!$G$14,$M80,CA$13)="",10^12,OFFSET(PLE!$G$14,$M80,CA$13))))</f>
        <v>1000000000000</v>
      </c>
      <c r="CB80" s="182">
        <f ca="1">IF($D80&lt;&gt;"Serviço",0,IF(OR(AND(AUTOEVENTO="Manual",$M80=1),$M80&gt;(ROW(PLE.lastrow)-ROW(PLE.firstrow))),0,IF(OFFSET(PLE!$G$14,$M80,CB$13)="",10^12,OFFSET(PLE!$G$14,$M80,CB$13))))</f>
        <v>1000000000000</v>
      </c>
      <c r="CC80" s="182">
        <f ca="1">IF($D80&lt;&gt;"Serviço",0,IF(OR(AND(AUTOEVENTO="Manual",$M80=1),$M80&gt;(ROW(PLE.lastrow)-ROW(PLE.firstrow))),0,IF(OFFSET(PLE!$G$14,$M80,CC$13)="",10^12,OFFSET(PLE!$G$14,$M80,CC$13))))</f>
        <v>1000000000000</v>
      </c>
      <c r="CD80" s="182">
        <f ca="1">IF($D80&lt;&gt;"Serviço",0,IF(OR(AND(AUTOEVENTO="Manual",$M80=1),$M80&gt;(ROW(PLE.lastrow)-ROW(PLE.firstrow))),0,IF(OFFSET(PLE!$G$14,$M80,CD$13)="",10^12,OFFSET(PLE!$G$14,$M80,CD$13))))</f>
        <v>1000000000000</v>
      </c>
      <c r="CE80" s="182">
        <f ca="1">IF($D80&lt;&gt;"Serviço",0,IF(OR(AND(AUTOEVENTO="Manual",$M80=1),$M80&gt;(ROW(PLE.lastrow)-ROW(PLE.firstrow))),0,IF(OFFSET(PLE!$G$14,$M80,CE$13)="",10^12,OFFSET(PLE!$G$14,$M80,CE$13))))</f>
        <v>1000000000000</v>
      </c>
      <c r="CF80" s="182">
        <f ca="1">IF($D80&lt;&gt;"Serviço",0,IF(OR(AND(AUTOEVENTO="Manual",$M80=1),$M80&gt;(ROW(PLE.lastrow)-ROW(PLE.firstrow))),0,IF(OFFSET(PLE!$G$14,$M80,CF$13)="",10^12,OFFSET(PLE!$G$14,$M80,CF$13))))</f>
        <v>1000000000000</v>
      </c>
      <c r="CG80" s="182">
        <f ca="1">IF($D80&lt;&gt;"Serviço",0,IF(OR(AND(AUTOEVENTO="Manual",$M80=1),$M80&gt;(ROW(PLE.lastrow)-ROW(PLE.firstrow))),0,IF(OFFSET(PLE!$G$14,$M80,CG$13)="",10^12,OFFSET(PLE!$G$14,$M80,CG$13))))</f>
        <v>1000000000000</v>
      </c>
      <c r="CH80" s="182">
        <f ca="1">IF($D80&lt;&gt;"Serviço",0,IF(OR(AND(AUTOEVENTO="Manual",$M80=1),$M80&gt;(ROW(PLE.lastrow)-ROW(PLE.firstrow))),0,IF(OFFSET(PLE!$G$14,$M80,CH$13)="",10^12,OFFSET(PLE!$G$14,$M80,CH$13))))</f>
        <v>1000000000000</v>
      </c>
      <c r="CI80" s="182">
        <f ca="1">IF($D80&lt;&gt;"Serviço",0,IF(OR(AND(AUTOEVENTO="Manual",$M80=1),$M80&gt;(ROW(PLE.lastrow)-ROW(PLE.firstrow))),0,IF(OFFSET(PLE!$G$14,$M80,CI$13)="",10^12,OFFSET(PLE!$G$14,$M80,CI$13))))</f>
        <v>1000000000000</v>
      </c>
      <c r="CJ80" s="182">
        <f ca="1">IF($D80&lt;&gt;"Serviço",0,IF(OR(AND(AUTOEVENTO="Manual",$M80=1),$M80&gt;(ROW(PLE.lastrow)-ROW(PLE.firstrow))),0,IF(OFFSET(PLE!$G$14,$M80,CJ$13)="",10^12,OFFSET(PLE!$G$14,$M80,CJ$13))))</f>
        <v>1000000000000</v>
      </c>
      <c r="CK80" s="182">
        <f ca="1">IF($D80&lt;&gt;"Serviço",0,IF(OR(AND(AUTOEVENTO="Manual",$M80=1),$M80&gt;(ROW(PLE.lastrow)-ROW(PLE.firstrow))),0,IF(OFFSET(PLE!$G$14,$M80,CK$13)="",10^12,OFFSET(PLE!$G$14,$M80,CK$13))))</f>
        <v>1000000000000</v>
      </c>
      <c r="CL80" s="182">
        <f ca="1">IF($D80&lt;&gt;"Serviço",0,IF(OR(AND(AUTOEVENTO="Manual",$M80=1),$M80&gt;(ROW(PLE.lastrow)-ROW(PLE.firstrow))),0,IF(OFFSET(PLE!$G$14,$M80,CL$13)="",10^12,OFFSET(PLE!$G$14,$M80,CL$13))))</f>
        <v>1000000000000</v>
      </c>
      <c r="CM80" s="182">
        <f ca="1">IF($D80&lt;&gt;"Serviço",0,IF(OR(AND(AUTOEVENTO="Manual",$M80=1),$M80&gt;(ROW(PLE.lastrow)-ROW(PLE.firstrow))),0,IF(OFFSET(PLE!$G$14,$M80,CM$13)="",10^12,OFFSET(PLE!$G$14,$M80,CM$13))))</f>
        <v>1000000000000</v>
      </c>
    </row>
    <row r="81" spans="1:91" ht="12.75" x14ac:dyDescent="0.2">
      <c r="A81" s="7" t="str">
        <f t="shared" ca="1" si="10"/>
        <v>66.</v>
      </c>
      <c r="B81" s="7">
        <f ca="1">OFFSET(ORÇAMENTO!C$15,ROW(B81)-ROW(B$15),0)</f>
        <v>2</v>
      </c>
      <c r="C81" s="7" t="str">
        <f ca="1">OFFSET(ORÇAMENTO!L$15,ROW(C81)-ROW(C$15),0)</f>
        <v>F</v>
      </c>
      <c r="D81" s="118" t="str">
        <f ca="1">OFFSET(ORÇAMENTO!N$15,ROW(D81)-ROW(D$15),0)</f>
        <v>Nível 2</v>
      </c>
      <c r="E81" s="119" t="str">
        <f ca="1">OFFSET(ORÇAMENTO!O$15,ROW(E81)-ROW(E$15),0)</f>
        <v>1.11.</v>
      </c>
      <c r="F81" s="172" t="str">
        <f ca="1">OFFSET(ORÇAMENTO!R$15,ROW(F81)-ROW(F$15),0)</f>
        <v>SUPERESTRUTURA - CONCRETO ARMADO PARA LAJE</v>
      </c>
      <c r="G81" s="173" t="str">
        <f ca="1">IF($D81&lt;&gt;"Serviço","",OFFSET(ORÇAMENTO!S$15,ROW(G81)-ROW(G$15),0))</f>
        <v/>
      </c>
      <c r="H81" s="124">
        <f ca="1">IF($D81&lt;&gt;"Serviço",0,IF(ACOMPANHAMENTO="BM",ROUND(OFFSET(ORÇAMENTO!AJ$15,ROW(H81)-ROW(H$15),0),15-13*ORÇAMENTO!$AF$7),SUMPRODUCT(($Q$12:$AI$12&lt;&gt;"")*ROUND($Q81:$AI81,15-13*ORÇAMENTO!$AF$7))))</f>
        <v>0</v>
      </c>
      <c r="I81" s="561"/>
      <c r="K81" s="174" t="s">
        <v>1023</v>
      </c>
      <c r="L81" s="175" t="s">
        <v>255</v>
      </c>
      <c r="M81" s="176" t="str">
        <f ca="1">IF($D81&lt;&gt;"Serviço","",IF(AUTOEVENTO="manual",$A81,IF(ISERROR(MATCH($A81,$A$15:OFFSET($A81,-1,0),0)),MAX($M$15:OFFSET(M81,-1,0))+1,INDEX($M$15:OFFSET(M81,-1,0),MATCH($A81,$A$15:OFFSET($A81,-1,0),0)))))</f>
        <v/>
      </c>
      <c r="N81" s="177" t="str">
        <f ca="1">IF($D81&lt;&gt;"Serviço","",IF(AUTOEVENTO="Manual",IF($A81=0,"&lt;-- defina o número do agrupador",OFFSET(EVENTOS!$D$14,$A81,0)),OFFSET($F$15,$A81,0)))</f>
        <v/>
      </c>
      <c r="O81" s="178"/>
      <c r="Q81" s="178"/>
      <c r="R81" s="179"/>
      <c r="S81" s="179"/>
      <c r="T81" s="179"/>
      <c r="U81" s="179"/>
      <c r="V81" s="179"/>
      <c r="W81" s="179"/>
      <c r="X81" s="179"/>
      <c r="Y81" s="179"/>
      <c r="Z81" s="180"/>
      <c r="AA81" s="179"/>
      <c r="AB81" s="179"/>
      <c r="AC81" s="179"/>
      <c r="AD81" s="179"/>
      <c r="AE81" s="179"/>
      <c r="AF81" s="179"/>
      <c r="AG81" s="179"/>
      <c r="AH81" s="180"/>
      <c r="AJ81" s="544">
        <f ca="1">IF(AND($D81="Serviço",AJ$12&lt;&gt;0,$H81&gt;0,OR(AUTOEVENTO&lt;&gt;"manual",$M81&lt;&gt;1)),
IF(Import.TipoArredondamento&lt;&gt;"TransfereGOV",
ROUND(OFFSET($P81,0,AJ$13),15-13*ORÇAMENTO!$AF$7)/$H81*OFFSET(ORÇAMENTO!$X$15,ROW(AJ81)-ROW(AJ$15),0),
ROUND(ROUND(OFFSET($P81,0,AJ$13),15-13*ORÇAMENTO!$AF$7)*OFFSET(ORÇAMENTO!$W$15,ROW(AJ81)-ROW(AJ$15),0),15-13*ORÇAMENTO!$AF$11)),0)</f>
        <v>0</v>
      </c>
      <c r="AK81" s="545">
        <f ca="1">IF(AND($D81="Serviço",AK$12&lt;&gt;0,$H81&gt;0,OR(AUTOEVENTO&lt;&gt;"manual",$M81&lt;&gt;1)),
IF(Import.TipoArredondamento&lt;&gt;"TransfereGOV",
ROUND(OFFSET($P81,0,AK$13),15-13*ORÇAMENTO!$AF$7)/$H81*OFFSET(ORÇAMENTO!$X$15,ROW(AK81)-ROW(AK$15),0),
ROUND(ROUND(OFFSET($P81,0,AK$13),15-13*ORÇAMENTO!$AF$7)*OFFSET(ORÇAMENTO!$W$15,ROW(AK81)-ROW(AK$15),0),15-13*ORÇAMENTO!$AF$11)),0)</f>
        <v>0</v>
      </c>
      <c r="AL81" s="545">
        <f ca="1">IF(AND($D81="Serviço",AL$12&lt;&gt;0,$H81&gt;0,OR(AUTOEVENTO&lt;&gt;"manual",$M81&lt;&gt;1)),
IF(Import.TipoArredondamento&lt;&gt;"TransfereGOV",
ROUND(OFFSET($P81,0,AL$13),15-13*ORÇAMENTO!$AF$7)/$H81*OFFSET(ORÇAMENTO!$X$15,ROW(AL81)-ROW(AL$15),0),
ROUND(ROUND(OFFSET($P81,0,AL$13),15-13*ORÇAMENTO!$AF$7)*OFFSET(ORÇAMENTO!$W$15,ROW(AL81)-ROW(AL$15),0),15-13*ORÇAMENTO!$AF$11)),0)</f>
        <v>0</v>
      </c>
      <c r="AM81" s="545">
        <f ca="1">IF(AND($D81="Serviço",AM$12&lt;&gt;0,$H81&gt;0,OR(AUTOEVENTO&lt;&gt;"manual",$M81&lt;&gt;1)),
IF(Import.TipoArredondamento&lt;&gt;"TransfereGOV",
ROUND(OFFSET($P81,0,AM$13),15-13*ORÇAMENTO!$AF$7)/$H81*OFFSET(ORÇAMENTO!$X$15,ROW(AM81)-ROW(AM$15),0),
ROUND(ROUND(OFFSET($P81,0,AM$13),15-13*ORÇAMENTO!$AF$7)*OFFSET(ORÇAMENTO!$W$15,ROW(AM81)-ROW(AM$15),0),15-13*ORÇAMENTO!$AF$11)),0)</f>
        <v>0</v>
      </c>
      <c r="AN81" s="545">
        <f ca="1">IF(AND($D81="Serviço",AN$12&lt;&gt;0,$H81&gt;0,OR(AUTOEVENTO&lt;&gt;"manual",$M81&lt;&gt;1)),
IF(Import.TipoArredondamento&lt;&gt;"TransfereGOV",
ROUND(OFFSET($P81,0,AN$13),15-13*ORÇAMENTO!$AF$7)/$H81*OFFSET(ORÇAMENTO!$X$15,ROW(AN81)-ROW(AN$15),0),
ROUND(ROUND(OFFSET($P81,0,AN$13),15-13*ORÇAMENTO!$AF$7)*OFFSET(ORÇAMENTO!$W$15,ROW(AN81)-ROW(AN$15),0),15-13*ORÇAMENTO!$AF$11)),0)</f>
        <v>0</v>
      </c>
      <c r="AO81" s="545">
        <f ca="1">IF(AND($D81="Serviço",AO$12&lt;&gt;0,$H81&gt;0,OR(AUTOEVENTO&lt;&gt;"manual",$M81&lt;&gt;1)),
IF(Import.TipoArredondamento&lt;&gt;"TransfereGOV",
ROUND(OFFSET($P81,0,AO$13),15-13*ORÇAMENTO!$AF$7)/$H81*OFFSET(ORÇAMENTO!$X$15,ROW(AO81)-ROW(AO$15),0),
ROUND(ROUND(OFFSET($P81,0,AO$13),15-13*ORÇAMENTO!$AF$7)*OFFSET(ORÇAMENTO!$W$15,ROW(AO81)-ROW(AO$15),0),15-13*ORÇAMENTO!$AF$11)),0)</f>
        <v>0</v>
      </c>
      <c r="AP81" s="545">
        <f ca="1">IF(AND($D81="Serviço",AP$12&lt;&gt;0,$H81&gt;0,OR(AUTOEVENTO&lt;&gt;"manual",$M81&lt;&gt;1)),
IF(Import.TipoArredondamento&lt;&gt;"TransfereGOV",
ROUND(OFFSET($P81,0,AP$13),15-13*ORÇAMENTO!$AF$7)/$H81*OFFSET(ORÇAMENTO!$X$15,ROW(AP81)-ROW(AP$15),0),
ROUND(ROUND(OFFSET($P81,0,AP$13),15-13*ORÇAMENTO!$AF$7)*OFFSET(ORÇAMENTO!$W$15,ROW(AP81)-ROW(AP$15),0),15-13*ORÇAMENTO!$AF$11)),0)</f>
        <v>0</v>
      </c>
      <c r="AQ81" s="545">
        <f ca="1">IF(AND($D81="Serviço",AQ$12&lt;&gt;0,$H81&gt;0,OR(AUTOEVENTO&lt;&gt;"manual",$M81&lt;&gt;1)),
IF(Import.TipoArredondamento&lt;&gt;"TransfereGOV",
ROUND(OFFSET($P81,0,AQ$13),15-13*ORÇAMENTO!$AF$7)/$H81*OFFSET(ORÇAMENTO!$X$15,ROW(AQ81)-ROW(AQ$15),0),
ROUND(ROUND(OFFSET($P81,0,AQ$13),15-13*ORÇAMENTO!$AF$7)*OFFSET(ORÇAMENTO!$W$15,ROW(AQ81)-ROW(AQ$15),0),15-13*ORÇAMENTO!$AF$11)),0)</f>
        <v>0</v>
      </c>
      <c r="AR81" s="545">
        <f ca="1">IF(AND($D81="Serviço",AR$12&lt;&gt;0,$H81&gt;0,OR(AUTOEVENTO&lt;&gt;"manual",$M81&lt;&gt;1)),
IF(Import.TipoArredondamento&lt;&gt;"TransfereGOV",
ROUND(OFFSET($P81,0,AR$13),15-13*ORÇAMENTO!$AF$7)/$H81*OFFSET(ORÇAMENTO!$X$15,ROW(AR81)-ROW(AR$15),0),
ROUND(ROUND(OFFSET($P81,0,AR$13),15-13*ORÇAMENTO!$AF$7)*OFFSET(ORÇAMENTO!$W$15,ROW(AR81)-ROW(AR$15),0),15-13*ORÇAMENTO!$AF$11)),0)</f>
        <v>0</v>
      </c>
      <c r="AS81" s="546">
        <f ca="1">IF(AND($D81="Serviço",AS$12&lt;&gt;0,$H81&gt;0,OR(AUTOEVENTO&lt;&gt;"manual",$M81&lt;&gt;1)),
IF(Import.TipoArredondamento&lt;&gt;"TransfereGOV",
ROUND(OFFSET($P81,0,AS$13),15-13*ORÇAMENTO!$AF$7)/$H81*OFFSET(ORÇAMENTO!$X$15,ROW(AS81)-ROW(AS$15),0),
ROUND(ROUND(OFFSET($P81,0,AS$13),15-13*ORÇAMENTO!$AF$7)*OFFSET(ORÇAMENTO!$W$15,ROW(AS81)-ROW(AS$15),0),15-13*ORÇAMENTO!$AF$11)),0)</f>
        <v>0</v>
      </c>
      <c r="AT81" s="545">
        <f ca="1">IF(AND($D81="Serviço",AT$12&lt;&gt;0,$H81&gt;0,OR(AUTOEVENTO&lt;&gt;"manual",$M81&lt;&gt;1)),
IF(Import.TipoArredondamento&lt;&gt;"TransfereGOV",
ROUND(OFFSET($P81,0,AT$13),15-13*ORÇAMENTO!$AF$7)/$H81*OFFSET(ORÇAMENTO!$X$15,ROW(AT81)-ROW(AT$15),0),
ROUND(ROUND(OFFSET($P81,0,AT$13),15-13*ORÇAMENTO!$AF$7)*OFFSET(ORÇAMENTO!$W$15,ROW(AT81)-ROW(AT$15),0),15-13*ORÇAMENTO!$AF$11)),0)</f>
        <v>0</v>
      </c>
      <c r="AU81" s="545">
        <f ca="1">IF(AND($D81="Serviço",AU$12&lt;&gt;0,$H81&gt;0,OR(AUTOEVENTO&lt;&gt;"manual",$M81&lt;&gt;1)),
IF(Import.TipoArredondamento&lt;&gt;"TransfereGOV",
ROUND(OFFSET($P81,0,AU$13),15-13*ORÇAMENTO!$AF$7)/$H81*OFFSET(ORÇAMENTO!$X$15,ROW(AU81)-ROW(AU$15),0),
ROUND(ROUND(OFFSET($P81,0,AU$13),15-13*ORÇAMENTO!$AF$7)*OFFSET(ORÇAMENTO!$W$15,ROW(AU81)-ROW(AU$15),0),15-13*ORÇAMENTO!$AF$11)),0)</f>
        <v>0</v>
      </c>
      <c r="AV81" s="545">
        <f ca="1">IF(AND($D81="Serviço",AV$12&lt;&gt;0,$H81&gt;0,OR(AUTOEVENTO&lt;&gt;"manual",$M81&lt;&gt;1)),
IF(Import.TipoArredondamento&lt;&gt;"TransfereGOV",
ROUND(OFFSET($P81,0,AV$13),15-13*ORÇAMENTO!$AF$7)/$H81*OFFSET(ORÇAMENTO!$X$15,ROW(AV81)-ROW(AV$15),0),
ROUND(ROUND(OFFSET($P81,0,AV$13),15-13*ORÇAMENTO!$AF$7)*OFFSET(ORÇAMENTO!$W$15,ROW(AV81)-ROW(AV$15),0),15-13*ORÇAMENTO!$AF$11)),0)</f>
        <v>0</v>
      </c>
      <c r="AW81" s="545">
        <f ca="1">IF(AND($D81="Serviço",AW$12&lt;&gt;0,$H81&gt;0,OR(AUTOEVENTO&lt;&gt;"manual",$M81&lt;&gt;1)),
IF(Import.TipoArredondamento&lt;&gt;"TransfereGOV",
ROUND(OFFSET($P81,0,AW$13),15-13*ORÇAMENTO!$AF$7)/$H81*OFFSET(ORÇAMENTO!$X$15,ROW(AW81)-ROW(AW$15),0),
ROUND(ROUND(OFFSET($P81,0,AW$13),15-13*ORÇAMENTO!$AF$7)*OFFSET(ORÇAMENTO!$W$15,ROW(AW81)-ROW(AW$15),0),15-13*ORÇAMENTO!$AF$11)),0)</f>
        <v>0</v>
      </c>
      <c r="AX81" s="545">
        <f ca="1">IF(AND($D81="Serviço",AX$12&lt;&gt;0,$H81&gt;0,OR(AUTOEVENTO&lt;&gt;"manual",$M81&lt;&gt;1)),
IF(Import.TipoArredondamento&lt;&gt;"TransfereGOV",
ROUND(OFFSET($P81,0,AX$13),15-13*ORÇAMENTO!$AF$7)/$H81*OFFSET(ORÇAMENTO!$X$15,ROW(AX81)-ROW(AX$15),0),
ROUND(ROUND(OFFSET($P81,0,AX$13),15-13*ORÇAMENTO!$AF$7)*OFFSET(ORÇAMENTO!$W$15,ROW(AX81)-ROW(AX$15),0),15-13*ORÇAMENTO!$AF$11)),0)</f>
        <v>0</v>
      </c>
      <c r="AY81" s="545">
        <f ca="1">IF(AND($D81="Serviço",AY$12&lt;&gt;0,$H81&gt;0,OR(AUTOEVENTO&lt;&gt;"manual",$M81&lt;&gt;1)),
IF(Import.TipoArredondamento&lt;&gt;"TransfereGOV",
ROUND(OFFSET($P81,0,AY$13),15-13*ORÇAMENTO!$AF$7)/$H81*OFFSET(ORÇAMENTO!$X$15,ROW(AY81)-ROW(AY$15),0),
ROUND(ROUND(OFFSET($P81,0,AY$13),15-13*ORÇAMENTO!$AF$7)*OFFSET(ORÇAMENTO!$W$15,ROW(AY81)-ROW(AY$15),0),15-13*ORÇAMENTO!$AF$11)),0)</f>
        <v>0</v>
      </c>
      <c r="AZ81" s="545">
        <f ca="1">IF(AND($D81="Serviço",AZ$12&lt;&gt;0,$H81&gt;0,OR(AUTOEVENTO&lt;&gt;"manual",$M81&lt;&gt;1)),
IF(Import.TipoArredondamento&lt;&gt;"TransfereGOV",
ROUND(OFFSET($P81,0,AZ$13),15-13*ORÇAMENTO!$AF$7)/$H81*OFFSET(ORÇAMENTO!$X$15,ROW(AZ81)-ROW(AZ$15),0),
ROUND(ROUND(OFFSET($P81,0,AZ$13),15-13*ORÇAMENTO!$AF$7)*OFFSET(ORÇAMENTO!$W$15,ROW(AZ81)-ROW(AZ$15),0),15-13*ORÇAMENTO!$AF$11)),0)</f>
        <v>0</v>
      </c>
      <c r="BA81" s="546">
        <f ca="1">IF(AND($D81="Serviço",BA$12&lt;&gt;0,$H81&gt;0,OR(AUTOEVENTO&lt;&gt;"manual",$M81&lt;&gt;1)),
IF(Import.TipoArredondamento&lt;&gt;"TransfereGOV",
ROUND(OFFSET($P81,0,BA$13),15-13*ORÇAMENTO!$AF$7)/$H81*OFFSET(ORÇAMENTO!$X$15,ROW(BA81)-ROW(BA$15),0),
ROUND(ROUND(OFFSET($P81,0,BA$13),15-13*ORÇAMENTO!$AF$7)*OFFSET(ORÇAMENTO!$W$15,ROW(BA81)-ROW(BA$15),0),15-13*ORÇAMENTO!$AF$11)),0)</f>
        <v>0</v>
      </c>
      <c r="BC81" s="181">
        <f ca="1">IF($D81&lt;&gt;"Serviço",0,IF(AND(AUTOEVENTO="Manual",$M81=1),0,IF(OFFSET(CRONOPLE!$F$14,$M81,BC$13)="",10^12,OFFSET(CRONOPLE!$F$14,$M81,BC$13))))</f>
        <v>0</v>
      </c>
      <c r="BD81" s="181">
        <f ca="1">IF($D81&lt;&gt;"Serviço",0,IF(AND(AUTOEVENTO="Manual",$M81=1),0,IF(OFFSET(CRONOPLE!$F$14,$M81,BD$13)="",10^12,OFFSET(CRONOPLE!$F$14,$M81,BD$13))))</f>
        <v>0</v>
      </c>
      <c r="BE81" s="181">
        <f ca="1">IF($D81&lt;&gt;"Serviço",0,IF(AND(AUTOEVENTO="Manual",$M81=1),0,IF(OFFSET(CRONOPLE!$F$14,$M81,BE$13)="",10^12,OFFSET(CRONOPLE!$F$14,$M81,BE$13))))</f>
        <v>0</v>
      </c>
      <c r="BF81" s="181">
        <f ca="1">IF($D81&lt;&gt;"Serviço",0,IF(AND(AUTOEVENTO="Manual",$M81=1),0,IF(OFFSET(CRONOPLE!$F$14,$M81,BF$13)="",10^12,OFFSET(CRONOPLE!$F$14,$M81,BF$13))))</f>
        <v>0</v>
      </c>
      <c r="BG81" s="181">
        <f ca="1">IF($D81&lt;&gt;"Serviço",0,IF(AND(AUTOEVENTO="Manual",$M81=1),0,IF(OFFSET(CRONOPLE!$F$14,$M81,BG$13)="",10^12,OFFSET(CRONOPLE!$F$14,$M81,BG$13))))</f>
        <v>0</v>
      </c>
      <c r="BH81" s="181">
        <f ca="1">IF($D81&lt;&gt;"Serviço",0,IF(AND(AUTOEVENTO="Manual",$M81=1),0,IF(OFFSET(CRONOPLE!$F$14,$M81,BH$13)="",10^12,OFFSET(CRONOPLE!$F$14,$M81,BH$13))))</f>
        <v>0</v>
      </c>
      <c r="BI81" s="181">
        <f ca="1">IF($D81&lt;&gt;"Serviço",0,IF(AND(AUTOEVENTO="Manual",$M81=1),0,IF(OFFSET(CRONOPLE!$F$14,$M81,BI$13)="",10^12,OFFSET(CRONOPLE!$F$14,$M81,BI$13))))</f>
        <v>0</v>
      </c>
      <c r="BJ81" s="181">
        <f ca="1">IF($D81&lt;&gt;"Serviço",0,IF(AND(AUTOEVENTO="Manual",$M81=1),0,IF(OFFSET(CRONOPLE!$F$14,$M81,BJ$13)="",10^12,OFFSET(CRONOPLE!$F$14,$M81,BJ$13))))</f>
        <v>0</v>
      </c>
      <c r="BK81" s="181">
        <f ca="1">IF($D81&lt;&gt;"Serviço",0,IF(AND(AUTOEVENTO="Manual",$M81=1),0,IF(OFFSET(CRONOPLE!$F$14,$M81,BK$13)="",10^12,OFFSET(CRONOPLE!$F$14,$M81,BK$13))))</f>
        <v>0</v>
      </c>
      <c r="BL81" s="181">
        <f ca="1">IF($D81&lt;&gt;"Serviço",0,IF(AND(AUTOEVENTO="Manual",$M81=1),0,IF(OFFSET(CRONOPLE!$F$14,$M81,BL$13)="",10^12,OFFSET(CRONOPLE!$F$14,$M81,BL$13))))</f>
        <v>0</v>
      </c>
      <c r="BM81" s="181">
        <f ca="1">IF($D81&lt;&gt;"Serviço",0,IF(AND(AUTOEVENTO="Manual",$M81=1),0,IF(OFFSET(CRONOPLE!$F$14,$M81,BM$13)="",10^12,OFFSET(CRONOPLE!$F$14,$M81,BM$13))))</f>
        <v>0</v>
      </c>
      <c r="BN81" s="181">
        <f ca="1">IF($D81&lt;&gt;"Serviço",0,IF(AND(AUTOEVENTO="Manual",$M81=1),0,IF(OFFSET(CRONOPLE!$F$14,$M81,BN$13)="",10^12,OFFSET(CRONOPLE!$F$14,$M81,BN$13))))</f>
        <v>0</v>
      </c>
      <c r="BO81" s="181">
        <f ca="1">IF($D81&lt;&gt;"Serviço",0,IF(AND(AUTOEVENTO="Manual",$M81=1),0,IF(OFFSET(CRONOPLE!$F$14,$M81,BO$13)="",10^12,OFFSET(CRONOPLE!$F$14,$M81,BO$13))))</f>
        <v>0</v>
      </c>
      <c r="BP81" s="181">
        <f ca="1">IF($D81&lt;&gt;"Serviço",0,IF(AND(AUTOEVENTO="Manual",$M81=1),0,IF(OFFSET(CRONOPLE!$F$14,$M81,BP$13)="",10^12,OFFSET(CRONOPLE!$F$14,$M81,BP$13))))</f>
        <v>0</v>
      </c>
      <c r="BQ81" s="181">
        <f ca="1">IF($D81&lt;&gt;"Serviço",0,IF(AND(AUTOEVENTO="Manual",$M81=1),0,IF(OFFSET(CRONOPLE!$F$14,$M81,BQ$13)="",10^12,OFFSET(CRONOPLE!$F$14,$M81,BQ$13))))</f>
        <v>0</v>
      </c>
      <c r="BR81" s="181">
        <f ca="1">IF($D81&lt;&gt;"Serviço",0,IF(AND(AUTOEVENTO="Manual",$M81=1),0,IF(OFFSET(CRONOPLE!$F$14,$M81,BR$13)="",10^12,OFFSET(CRONOPLE!$F$14,$M81,BR$13))))</f>
        <v>0</v>
      </c>
      <c r="BS81" s="181">
        <f ca="1">IF($D81&lt;&gt;"Serviço",0,IF(AND(AUTOEVENTO="Manual",$M81=1),0,IF(OFFSET(CRONOPLE!$F$14,$M81,BS$13)="",10^12,OFFSET(CRONOPLE!$F$14,$M81,BS$13))))</f>
        <v>0</v>
      </c>
      <c r="BT81" s="181">
        <f ca="1">IF($D81&lt;&gt;"Serviço",0,IF(AND(AUTOEVENTO="Manual",$M81=1),0,IF(OFFSET(CRONOPLE!$F$14,$M81,BT$13)="",10^12,OFFSET(CRONOPLE!$F$14,$M81,BT$13))))</f>
        <v>0</v>
      </c>
      <c r="BV81" s="182">
        <f ca="1">IF($D81&lt;&gt;"Serviço",0,IF(OR(AND(AUTOEVENTO="Manual",$M81=1),$M81&gt;(ROW(PLE.lastrow)-ROW(PLE.firstrow))),0,IF(OFFSET(PLE!$G$14,$M81,BV$13)="",10^12,OFFSET(PLE!$G$14,$M81,BV$13))))</f>
        <v>0</v>
      </c>
      <c r="BW81" s="182">
        <f ca="1">IF($D81&lt;&gt;"Serviço",0,IF(OR(AND(AUTOEVENTO="Manual",$M81=1),$M81&gt;(ROW(PLE.lastrow)-ROW(PLE.firstrow))),0,IF(OFFSET(PLE!$G$14,$M81,BW$13)="",10^12,OFFSET(PLE!$G$14,$M81,BW$13))))</f>
        <v>0</v>
      </c>
      <c r="BX81" s="182">
        <f ca="1">IF($D81&lt;&gt;"Serviço",0,IF(OR(AND(AUTOEVENTO="Manual",$M81=1),$M81&gt;(ROW(PLE.lastrow)-ROW(PLE.firstrow))),0,IF(OFFSET(PLE!$G$14,$M81,BX$13)="",10^12,OFFSET(PLE!$G$14,$M81,BX$13))))</f>
        <v>0</v>
      </c>
      <c r="BY81" s="182">
        <f ca="1">IF($D81&lt;&gt;"Serviço",0,IF(OR(AND(AUTOEVENTO="Manual",$M81=1),$M81&gt;(ROW(PLE.lastrow)-ROW(PLE.firstrow))),0,IF(OFFSET(PLE!$G$14,$M81,BY$13)="",10^12,OFFSET(PLE!$G$14,$M81,BY$13))))</f>
        <v>0</v>
      </c>
      <c r="BZ81" s="182">
        <f ca="1">IF($D81&lt;&gt;"Serviço",0,IF(OR(AND(AUTOEVENTO="Manual",$M81=1),$M81&gt;(ROW(PLE.lastrow)-ROW(PLE.firstrow))),0,IF(OFFSET(PLE!$G$14,$M81,BZ$13)="",10^12,OFFSET(PLE!$G$14,$M81,BZ$13))))</f>
        <v>0</v>
      </c>
      <c r="CA81" s="182">
        <f ca="1">IF($D81&lt;&gt;"Serviço",0,IF(OR(AND(AUTOEVENTO="Manual",$M81=1),$M81&gt;(ROW(PLE.lastrow)-ROW(PLE.firstrow))),0,IF(OFFSET(PLE!$G$14,$M81,CA$13)="",10^12,OFFSET(PLE!$G$14,$M81,CA$13))))</f>
        <v>0</v>
      </c>
      <c r="CB81" s="182">
        <f ca="1">IF($D81&lt;&gt;"Serviço",0,IF(OR(AND(AUTOEVENTO="Manual",$M81=1),$M81&gt;(ROW(PLE.lastrow)-ROW(PLE.firstrow))),0,IF(OFFSET(PLE!$G$14,$M81,CB$13)="",10^12,OFFSET(PLE!$G$14,$M81,CB$13))))</f>
        <v>0</v>
      </c>
      <c r="CC81" s="182">
        <f ca="1">IF($D81&lt;&gt;"Serviço",0,IF(OR(AND(AUTOEVENTO="Manual",$M81=1),$M81&gt;(ROW(PLE.lastrow)-ROW(PLE.firstrow))),0,IF(OFFSET(PLE!$G$14,$M81,CC$13)="",10^12,OFFSET(PLE!$G$14,$M81,CC$13))))</f>
        <v>0</v>
      </c>
      <c r="CD81" s="182">
        <f ca="1">IF($D81&lt;&gt;"Serviço",0,IF(OR(AND(AUTOEVENTO="Manual",$M81=1),$M81&gt;(ROW(PLE.lastrow)-ROW(PLE.firstrow))),0,IF(OFFSET(PLE!$G$14,$M81,CD$13)="",10^12,OFFSET(PLE!$G$14,$M81,CD$13))))</f>
        <v>0</v>
      </c>
      <c r="CE81" s="182">
        <f ca="1">IF($D81&lt;&gt;"Serviço",0,IF(OR(AND(AUTOEVENTO="Manual",$M81=1),$M81&gt;(ROW(PLE.lastrow)-ROW(PLE.firstrow))),0,IF(OFFSET(PLE!$G$14,$M81,CE$13)="",10^12,OFFSET(PLE!$G$14,$M81,CE$13))))</f>
        <v>0</v>
      </c>
      <c r="CF81" s="182">
        <f ca="1">IF($D81&lt;&gt;"Serviço",0,IF(OR(AND(AUTOEVENTO="Manual",$M81=1),$M81&gt;(ROW(PLE.lastrow)-ROW(PLE.firstrow))),0,IF(OFFSET(PLE!$G$14,$M81,CF$13)="",10^12,OFFSET(PLE!$G$14,$M81,CF$13))))</f>
        <v>0</v>
      </c>
      <c r="CG81" s="182">
        <f ca="1">IF($D81&lt;&gt;"Serviço",0,IF(OR(AND(AUTOEVENTO="Manual",$M81=1),$M81&gt;(ROW(PLE.lastrow)-ROW(PLE.firstrow))),0,IF(OFFSET(PLE!$G$14,$M81,CG$13)="",10^12,OFFSET(PLE!$G$14,$M81,CG$13))))</f>
        <v>0</v>
      </c>
      <c r="CH81" s="182">
        <f ca="1">IF($D81&lt;&gt;"Serviço",0,IF(OR(AND(AUTOEVENTO="Manual",$M81=1),$M81&gt;(ROW(PLE.lastrow)-ROW(PLE.firstrow))),0,IF(OFFSET(PLE!$G$14,$M81,CH$13)="",10^12,OFFSET(PLE!$G$14,$M81,CH$13))))</f>
        <v>0</v>
      </c>
      <c r="CI81" s="182">
        <f ca="1">IF($D81&lt;&gt;"Serviço",0,IF(OR(AND(AUTOEVENTO="Manual",$M81=1),$M81&gt;(ROW(PLE.lastrow)-ROW(PLE.firstrow))),0,IF(OFFSET(PLE!$G$14,$M81,CI$13)="",10^12,OFFSET(PLE!$G$14,$M81,CI$13))))</f>
        <v>0</v>
      </c>
      <c r="CJ81" s="182">
        <f ca="1">IF($D81&lt;&gt;"Serviço",0,IF(OR(AND(AUTOEVENTO="Manual",$M81=1),$M81&gt;(ROW(PLE.lastrow)-ROW(PLE.firstrow))),0,IF(OFFSET(PLE!$G$14,$M81,CJ$13)="",10^12,OFFSET(PLE!$G$14,$M81,CJ$13))))</f>
        <v>0</v>
      </c>
      <c r="CK81" s="182">
        <f ca="1">IF($D81&lt;&gt;"Serviço",0,IF(OR(AND(AUTOEVENTO="Manual",$M81=1),$M81&gt;(ROW(PLE.lastrow)-ROW(PLE.firstrow))),0,IF(OFFSET(PLE!$G$14,$M81,CK$13)="",10^12,OFFSET(PLE!$G$14,$M81,CK$13))))</f>
        <v>0</v>
      </c>
      <c r="CL81" s="182">
        <f ca="1">IF($D81&lt;&gt;"Serviço",0,IF(OR(AND(AUTOEVENTO="Manual",$M81=1),$M81&gt;(ROW(PLE.lastrow)-ROW(PLE.firstrow))),0,IF(OFFSET(PLE!$G$14,$M81,CL$13)="",10^12,OFFSET(PLE!$G$14,$M81,CL$13))))</f>
        <v>0</v>
      </c>
      <c r="CM81" s="182">
        <f ca="1">IF($D81&lt;&gt;"Serviço",0,IF(OR(AND(AUTOEVENTO="Manual",$M81=1),$M81&gt;(ROW(PLE.lastrow)-ROW(PLE.firstrow))),0,IF(OFFSET(PLE!$G$14,$M81,CM$13)="",10^12,OFFSET(PLE!$G$14,$M81,CM$13))))</f>
        <v>0</v>
      </c>
    </row>
    <row r="82" spans="1:91" ht="38.25" x14ac:dyDescent="0.2">
      <c r="A82" s="7" t="str">
        <f t="shared" ca="1" si="10"/>
        <v>66</v>
      </c>
      <c r="B82" s="7" t="str">
        <f ca="1">OFFSET(ORÇAMENTO!C$15,ROW(B82)-ROW(B$15),0)</f>
        <v>S</v>
      </c>
      <c r="C82" s="7" t="str">
        <f ca="1">OFFSET(ORÇAMENTO!L$15,ROW(C82)-ROW(C$15),0)</f>
        <v/>
      </c>
      <c r="D82" s="118" t="str">
        <f ca="1">OFFSET(ORÇAMENTO!N$15,ROW(D82)-ROW(D$15),0)</f>
        <v>Serviço</v>
      </c>
      <c r="E82" s="119" t="str">
        <f ca="1">OFFSET(ORÇAMENTO!O$15,ROW(E82)-ROW(E$15),0)</f>
        <v>-</v>
      </c>
      <c r="F82" s="172" t="str">
        <f ca="1">OFFSET(ORÇAMENTO!R$15,ROW(F82)-ROW(F$15),0)</f>
        <v>(abra o arquivo 'Referência 06-2024.xlsm)</v>
      </c>
      <c r="G82" s="173" t="str">
        <f ca="1">IF($D82&lt;&gt;"Serviço","",OFFSET(ORÇAMENTO!S$15,ROW(G82)-ROW(G$15),0))</f>
        <v>-</v>
      </c>
      <c r="H82" s="124">
        <f ca="1">IF($D82&lt;&gt;"Serviço",0,IF(ACOMPANHAMENTO="BM",ROUND(OFFSET(ORÇAMENTO!AJ$15,ROW(H82)-ROW(H$15),0),15-13*ORÇAMENTO!$AF$7),SUMPRODUCT(($Q$12:$AI$12&lt;&gt;"")*ROUND($Q82:$AI82,15-13*ORÇAMENTO!$AF$7))))</f>
        <v>37.799999999999997</v>
      </c>
      <c r="I82" s="561" t="s">
        <v>1107</v>
      </c>
      <c r="K82" s="174" t="s">
        <v>1028</v>
      </c>
      <c r="L82" s="175" t="s">
        <v>255</v>
      </c>
      <c r="M82" s="176">
        <f ca="1">IF($D82&lt;&gt;"Serviço","",IF(AUTOEVENTO="manual",$A82,IF(ISERROR(MATCH($A82,$A$15:OFFSET($A82,-1,0),0)),MAX($M$15:OFFSET(M82,-1,0))+1,INDEX($M$15:OFFSET(M82,-1,0),MATCH($A82,$A$15:OFFSET($A82,-1,0),0)))))</f>
        <v>12</v>
      </c>
      <c r="N82" s="177" t="str">
        <f ca="1">IF($D82&lt;&gt;"Serviço","",IF(AUTOEVENTO="Manual",IF($A82=0,"&lt;-- defina o número do agrupador",OFFSET(EVENTOS!$D$14,$A82,0)),OFFSET($F$15,$A82,0)))</f>
        <v>SUPERESTRUTURA - CONCRETO ARMADO PARA LAJE</v>
      </c>
      <c r="O82" s="178"/>
      <c r="Q82" s="178">
        <v>37.799999999999997</v>
      </c>
      <c r="R82" s="179"/>
      <c r="S82" s="179"/>
      <c r="T82" s="179"/>
      <c r="U82" s="179"/>
      <c r="V82" s="179"/>
      <c r="W82" s="179"/>
      <c r="X82" s="179"/>
      <c r="Y82" s="179"/>
      <c r="Z82" s="180"/>
      <c r="AA82" s="179"/>
      <c r="AB82" s="179"/>
      <c r="AC82" s="179"/>
      <c r="AD82" s="179"/>
      <c r="AE82" s="179"/>
      <c r="AF82" s="179"/>
      <c r="AG82" s="179"/>
      <c r="AH82" s="180"/>
      <c r="AJ82" s="544">
        <f ca="1">IF(AND($D82="Serviço",AJ$12&lt;&gt;0,$H82&gt;0,OR(AUTOEVENTO&lt;&gt;"manual",$M82&lt;&gt;1)),
IF(Import.TipoArredondamento&lt;&gt;"TransfereGOV",
ROUND(OFFSET($P82,0,AJ$13),15-13*ORÇAMENTO!$AF$7)/$H82*OFFSET(ORÇAMENTO!$X$15,ROW(AJ82)-ROW(AJ$15),0),
ROUND(ROUND(OFFSET($P82,0,AJ$13),15-13*ORÇAMENTO!$AF$7)*OFFSET(ORÇAMENTO!$W$15,ROW(AJ82)-ROW(AJ$15),0),15-13*ORÇAMENTO!$AF$11)),0)</f>
        <v>0</v>
      </c>
      <c r="AK82" s="545">
        <f ca="1">IF(AND($D82="Serviço",AK$12&lt;&gt;0,$H82&gt;0,OR(AUTOEVENTO&lt;&gt;"manual",$M82&lt;&gt;1)),
IF(Import.TipoArredondamento&lt;&gt;"TransfereGOV",
ROUND(OFFSET($P82,0,AK$13),15-13*ORÇAMENTO!$AF$7)/$H82*OFFSET(ORÇAMENTO!$X$15,ROW(AK82)-ROW(AK$15),0),
ROUND(ROUND(OFFSET($P82,0,AK$13),15-13*ORÇAMENTO!$AF$7)*OFFSET(ORÇAMENTO!$W$15,ROW(AK82)-ROW(AK$15),0),15-13*ORÇAMENTO!$AF$11)),0)</f>
        <v>0</v>
      </c>
      <c r="AL82" s="545">
        <f ca="1">IF(AND($D82="Serviço",AL$12&lt;&gt;0,$H82&gt;0,OR(AUTOEVENTO&lt;&gt;"manual",$M82&lt;&gt;1)),
IF(Import.TipoArredondamento&lt;&gt;"TransfereGOV",
ROUND(OFFSET($P82,0,AL$13),15-13*ORÇAMENTO!$AF$7)/$H82*OFFSET(ORÇAMENTO!$X$15,ROW(AL82)-ROW(AL$15),0),
ROUND(ROUND(OFFSET($P82,0,AL$13),15-13*ORÇAMENTO!$AF$7)*OFFSET(ORÇAMENTO!$W$15,ROW(AL82)-ROW(AL$15),0),15-13*ORÇAMENTO!$AF$11)),0)</f>
        <v>0</v>
      </c>
      <c r="AM82" s="545">
        <f ca="1">IF(AND($D82="Serviço",AM$12&lt;&gt;0,$H82&gt;0,OR(AUTOEVENTO&lt;&gt;"manual",$M82&lt;&gt;1)),
IF(Import.TipoArredondamento&lt;&gt;"TransfereGOV",
ROUND(OFFSET($P82,0,AM$13),15-13*ORÇAMENTO!$AF$7)/$H82*OFFSET(ORÇAMENTO!$X$15,ROW(AM82)-ROW(AM$15),0),
ROUND(ROUND(OFFSET($P82,0,AM$13),15-13*ORÇAMENTO!$AF$7)*OFFSET(ORÇAMENTO!$W$15,ROW(AM82)-ROW(AM$15),0),15-13*ORÇAMENTO!$AF$11)),0)</f>
        <v>0</v>
      </c>
      <c r="AN82" s="545">
        <f ca="1">IF(AND($D82="Serviço",AN$12&lt;&gt;0,$H82&gt;0,OR(AUTOEVENTO&lt;&gt;"manual",$M82&lt;&gt;1)),
IF(Import.TipoArredondamento&lt;&gt;"TransfereGOV",
ROUND(OFFSET($P82,0,AN$13),15-13*ORÇAMENTO!$AF$7)/$H82*OFFSET(ORÇAMENTO!$X$15,ROW(AN82)-ROW(AN$15),0),
ROUND(ROUND(OFFSET($P82,0,AN$13),15-13*ORÇAMENTO!$AF$7)*OFFSET(ORÇAMENTO!$W$15,ROW(AN82)-ROW(AN$15),0),15-13*ORÇAMENTO!$AF$11)),0)</f>
        <v>0</v>
      </c>
      <c r="AO82" s="545">
        <f ca="1">IF(AND($D82="Serviço",AO$12&lt;&gt;0,$H82&gt;0,OR(AUTOEVENTO&lt;&gt;"manual",$M82&lt;&gt;1)),
IF(Import.TipoArredondamento&lt;&gt;"TransfereGOV",
ROUND(OFFSET($P82,0,AO$13),15-13*ORÇAMENTO!$AF$7)/$H82*OFFSET(ORÇAMENTO!$X$15,ROW(AO82)-ROW(AO$15),0),
ROUND(ROUND(OFFSET($P82,0,AO$13),15-13*ORÇAMENTO!$AF$7)*OFFSET(ORÇAMENTO!$W$15,ROW(AO82)-ROW(AO$15),0),15-13*ORÇAMENTO!$AF$11)),0)</f>
        <v>0</v>
      </c>
      <c r="AP82" s="545">
        <f ca="1">IF(AND($D82="Serviço",AP$12&lt;&gt;0,$H82&gt;0,OR(AUTOEVENTO&lt;&gt;"manual",$M82&lt;&gt;1)),
IF(Import.TipoArredondamento&lt;&gt;"TransfereGOV",
ROUND(OFFSET($P82,0,AP$13),15-13*ORÇAMENTO!$AF$7)/$H82*OFFSET(ORÇAMENTO!$X$15,ROW(AP82)-ROW(AP$15),0),
ROUND(ROUND(OFFSET($P82,0,AP$13),15-13*ORÇAMENTO!$AF$7)*OFFSET(ORÇAMENTO!$W$15,ROW(AP82)-ROW(AP$15),0),15-13*ORÇAMENTO!$AF$11)),0)</f>
        <v>0</v>
      </c>
      <c r="AQ82" s="545">
        <f ca="1">IF(AND($D82="Serviço",AQ$12&lt;&gt;0,$H82&gt;0,OR(AUTOEVENTO&lt;&gt;"manual",$M82&lt;&gt;1)),
IF(Import.TipoArredondamento&lt;&gt;"TransfereGOV",
ROUND(OFFSET($P82,0,AQ$13),15-13*ORÇAMENTO!$AF$7)/$H82*OFFSET(ORÇAMENTO!$X$15,ROW(AQ82)-ROW(AQ$15),0),
ROUND(ROUND(OFFSET($P82,0,AQ$13),15-13*ORÇAMENTO!$AF$7)*OFFSET(ORÇAMENTO!$W$15,ROW(AQ82)-ROW(AQ$15),0),15-13*ORÇAMENTO!$AF$11)),0)</f>
        <v>0</v>
      </c>
      <c r="AR82" s="545">
        <f ca="1">IF(AND($D82="Serviço",AR$12&lt;&gt;0,$H82&gt;0,OR(AUTOEVENTO&lt;&gt;"manual",$M82&lt;&gt;1)),
IF(Import.TipoArredondamento&lt;&gt;"TransfereGOV",
ROUND(OFFSET($P82,0,AR$13),15-13*ORÇAMENTO!$AF$7)/$H82*OFFSET(ORÇAMENTO!$X$15,ROW(AR82)-ROW(AR$15),0),
ROUND(ROUND(OFFSET($P82,0,AR$13),15-13*ORÇAMENTO!$AF$7)*OFFSET(ORÇAMENTO!$W$15,ROW(AR82)-ROW(AR$15),0),15-13*ORÇAMENTO!$AF$11)),0)</f>
        <v>0</v>
      </c>
      <c r="AS82" s="546">
        <f ca="1">IF(AND($D82="Serviço",AS$12&lt;&gt;0,$H82&gt;0,OR(AUTOEVENTO&lt;&gt;"manual",$M82&lt;&gt;1)),
IF(Import.TipoArredondamento&lt;&gt;"TransfereGOV",
ROUND(OFFSET($P82,0,AS$13),15-13*ORÇAMENTO!$AF$7)/$H82*OFFSET(ORÇAMENTO!$X$15,ROW(AS82)-ROW(AS$15),0),
ROUND(ROUND(OFFSET($P82,0,AS$13),15-13*ORÇAMENTO!$AF$7)*OFFSET(ORÇAMENTO!$W$15,ROW(AS82)-ROW(AS$15),0),15-13*ORÇAMENTO!$AF$11)),0)</f>
        <v>0</v>
      </c>
      <c r="AT82" s="545">
        <f ca="1">IF(AND($D82="Serviço",AT$12&lt;&gt;0,$H82&gt;0,OR(AUTOEVENTO&lt;&gt;"manual",$M82&lt;&gt;1)),
IF(Import.TipoArredondamento&lt;&gt;"TransfereGOV",
ROUND(OFFSET($P82,0,AT$13),15-13*ORÇAMENTO!$AF$7)/$H82*OFFSET(ORÇAMENTO!$X$15,ROW(AT82)-ROW(AT$15),0),
ROUND(ROUND(OFFSET($P82,0,AT$13),15-13*ORÇAMENTO!$AF$7)*OFFSET(ORÇAMENTO!$W$15,ROW(AT82)-ROW(AT$15),0),15-13*ORÇAMENTO!$AF$11)),0)</f>
        <v>0</v>
      </c>
      <c r="AU82" s="545">
        <f ca="1">IF(AND($D82="Serviço",AU$12&lt;&gt;0,$H82&gt;0,OR(AUTOEVENTO&lt;&gt;"manual",$M82&lt;&gt;1)),
IF(Import.TipoArredondamento&lt;&gt;"TransfereGOV",
ROUND(OFFSET($P82,0,AU$13),15-13*ORÇAMENTO!$AF$7)/$H82*OFFSET(ORÇAMENTO!$X$15,ROW(AU82)-ROW(AU$15),0),
ROUND(ROUND(OFFSET($P82,0,AU$13),15-13*ORÇAMENTO!$AF$7)*OFFSET(ORÇAMENTO!$W$15,ROW(AU82)-ROW(AU$15),0),15-13*ORÇAMENTO!$AF$11)),0)</f>
        <v>0</v>
      </c>
      <c r="AV82" s="545">
        <f ca="1">IF(AND($D82="Serviço",AV$12&lt;&gt;0,$H82&gt;0,OR(AUTOEVENTO&lt;&gt;"manual",$M82&lt;&gt;1)),
IF(Import.TipoArredondamento&lt;&gt;"TransfereGOV",
ROUND(OFFSET($P82,0,AV$13),15-13*ORÇAMENTO!$AF$7)/$H82*OFFSET(ORÇAMENTO!$X$15,ROW(AV82)-ROW(AV$15),0),
ROUND(ROUND(OFFSET($P82,0,AV$13),15-13*ORÇAMENTO!$AF$7)*OFFSET(ORÇAMENTO!$W$15,ROW(AV82)-ROW(AV$15),0),15-13*ORÇAMENTO!$AF$11)),0)</f>
        <v>0</v>
      </c>
      <c r="AW82" s="545">
        <f ca="1">IF(AND($D82="Serviço",AW$12&lt;&gt;0,$H82&gt;0,OR(AUTOEVENTO&lt;&gt;"manual",$M82&lt;&gt;1)),
IF(Import.TipoArredondamento&lt;&gt;"TransfereGOV",
ROUND(OFFSET($P82,0,AW$13),15-13*ORÇAMENTO!$AF$7)/$H82*OFFSET(ORÇAMENTO!$X$15,ROW(AW82)-ROW(AW$15),0),
ROUND(ROUND(OFFSET($P82,0,AW$13),15-13*ORÇAMENTO!$AF$7)*OFFSET(ORÇAMENTO!$W$15,ROW(AW82)-ROW(AW$15),0),15-13*ORÇAMENTO!$AF$11)),0)</f>
        <v>0</v>
      </c>
      <c r="AX82" s="545">
        <f ca="1">IF(AND($D82="Serviço",AX$12&lt;&gt;0,$H82&gt;0,OR(AUTOEVENTO&lt;&gt;"manual",$M82&lt;&gt;1)),
IF(Import.TipoArredondamento&lt;&gt;"TransfereGOV",
ROUND(OFFSET($P82,0,AX$13),15-13*ORÇAMENTO!$AF$7)/$H82*OFFSET(ORÇAMENTO!$X$15,ROW(AX82)-ROW(AX$15),0),
ROUND(ROUND(OFFSET($P82,0,AX$13),15-13*ORÇAMENTO!$AF$7)*OFFSET(ORÇAMENTO!$W$15,ROW(AX82)-ROW(AX$15),0),15-13*ORÇAMENTO!$AF$11)),0)</f>
        <v>0</v>
      </c>
      <c r="AY82" s="545">
        <f ca="1">IF(AND($D82="Serviço",AY$12&lt;&gt;0,$H82&gt;0,OR(AUTOEVENTO&lt;&gt;"manual",$M82&lt;&gt;1)),
IF(Import.TipoArredondamento&lt;&gt;"TransfereGOV",
ROUND(OFFSET($P82,0,AY$13),15-13*ORÇAMENTO!$AF$7)/$H82*OFFSET(ORÇAMENTO!$X$15,ROW(AY82)-ROW(AY$15),0),
ROUND(ROUND(OFFSET($P82,0,AY$13),15-13*ORÇAMENTO!$AF$7)*OFFSET(ORÇAMENTO!$W$15,ROW(AY82)-ROW(AY$15),0),15-13*ORÇAMENTO!$AF$11)),0)</f>
        <v>0</v>
      </c>
      <c r="AZ82" s="545">
        <f ca="1">IF(AND($D82="Serviço",AZ$12&lt;&gt;0,$H82&gt;0,OR(AUTOEVENTO&lt;&gt;"manual",$M82&lt;&gt;1)),
IF(Import.TipoArredondamento&lt;&gt;"TransfereGOV",
ROUND(OFFSET($P82,0,AZ$13),15-13*ORÇAMENTO!$AF$7)/$H82*OFFSET(ORÇAMENTO!$X$15,ROW(AZ82)-ROW(AZ$15),0),
ROUND(ROUND(OFFSET($P82,0,AZ$13),15-13*ORÇAMENTO!$AF$7)*OFFSET(ORÇAMENTO!$W$15,ROW(AZ82)-ROW(AZ$15),0),15-13*ORÇAMENTO!$AF$11)),0)</f>
        <v>0</v>
      </c>
      <c r="BA82" s="546">
        <f ca="1">IF(AND($D82="Serviço",BA$12&lt;&gt;0,$H82&gt;0,OR(AUTOEVENTO&lt;&gt;"manual",$M82&lt;&gt;1)),
IF(Import.TipoArredondamento&lt;&gt;"TransfereGOV",
ROUND(OFFSET($P82,0,BA$13),15-13*ORÇAMENTO!$AF$7)/$H82*OFFSET(ORÇAMENTO!$X$15,ROW(BA82)-ROW(BA$15),0),
ROUND(ROUND(OFFSET($P82,0,BA$13),15-13*ORÇAMENTO!$AF$7)*OFFSET(ORÇAMENTO!$W$15,ROW(BA82)-ROW(BA$15),0),15-13*ORÇAMENTO!$AF$11)),0)</f>
        <v>0</v>
      </c>
      <c r="BC82" s="181">
        <f ca="1">IF($D82&lt;&gt;"Serviço",0,IF(AND(AUTOEVENTO="Manual",$M82=1),0,IF(OFFSET(CRONOPLE!$F$14,$M82,BC$13)="",10^12,OFFSET(CRONOPLE!$F$14,$M82,BC$13))))</f>
        <v>4</v>
      </c>
      <c r="BD82" s="181">
        <f ca="1">IF($D82&lt;&gt;"Serviço",0,IF(AND(AUTOEVENTO="Manual",$M82=1),0,IF(OFFSET(CRONOPLE!$F$14,$M82,BD$13)="",10^12,OFFSET(CRONOPLE!$F$14,$M82,BD$13))))</f>
        <v>1000000000000</v>
      </c>
      <c r="BE82" s="181">
        <f ca="1">IF($D82&lt;&gt;"Serviço",0,IF(AND(AUTOEVENTO="Manual",$M82=1),0,IF(OFFSET(CRONOPLE!$F$14,$M82,BE$13)="",10^12,OFFSET(CRONOPLE!$F$14,$M82,BE$13))))</f>
        <v>1000000000000</v>
      </c>
      <c r="BF82" s="181">
        <f ca="1">IF($D82&lt;&gt;"Serviço",0,IF(AND(AUTOEVENTO="Manual",$M82=1),0,IF(OFFSET(CRONOPLE!$F$14,$M82,BF$13)="",10^12,OFFSET(CRONOPLE!$F$14,$M82,BF$13))))</f>
        <v>1000000000000</v>
      </c>
      <c r="BG82" s="181">
        <f ca="1">IF($D82&lt;&gt;"Serviço",0,IF(AND(AUTOEVENTO="Manual",$M82=1),0,IF(OFFSET(CRONOPLE!$F$14,$M82,BG$13)="",10^12,OFFSET(CRONOPLE!$F$14,$M82,BG$13))))</f>
        <v>1000000000000</v>
      </c>
      <c r="BH82" s="181">
        <f ca="1">IF($D82&lt;&gt;"Serviço",0,IF(AND(AUTOEVENTO="Manual",$M82=1),0,IF(OFFSET(CRONOPLE!$F$14,$M82,BH$13)="",10^12,OFFSET(CRONOPLE!$F$14,$M82,BH$13))))</f>
        <v>1000000000000</v>
      </c>
      <c r="BI82" s="181">
        <f ca="1">IF($D82&lt;&gt;"Serviço",0,IF(AND(AUTOEVENTO="Manual",$M82=1),0,IF(OFFSET(CRONOPLE!$F$14,$M82,BI$13)="",10^12,OFFSET(CRONOPLE!$F$14,$M82,BI$13))))</f>
        <v>1000000000000</v>
      </c>
      <c r="BJ82" s="181">
        <f ca="1">IF($D82&lt;&gt;"Serviço",0,IF(AND(AUTOEVENTO="Manual",$M82=1),0,IF(OFFSET(CRONOPLE!$F$14,$M82,BJ$13)="",10^12,OFFSET(CRONOPLE!$F$14,$M82,BJ$13))))</f>
        <v>1000000000000</v>
      </c>
      <c r="BK82" s="181">
        <f ca="1">IF($D82&lt;&gt;"Serviço",0,IF(AND(AUTOEVENTO="Manual",$M82=1),0,IF(OFFSET(CRONOPLE!$F$14,$M82,BK$13)="",10^12,OFFSET(CRONOPLE!$F$14,$M82,BK$13))))</f>
        <v>1000000000000</v>
      </c>
      <c r="BL82" s="181">
        <f ca="1">IF($D82&lt;&gt;"Serviço",0,IF(AND(AUTOEVENTO="Manual",$M82=1),0,IF(OFFSET(CRONOPLE!$F$14,$M82,BL$13)="",10^12,OFFSET(CRONOPLE!$F$14,$M82,BL$13))))</f>
        <v>1000000000000</v>
      </c>
      <c r="BM82" s="181">
        <f ca="1">IF($D82&lt;&gt;"Serviço",0,IF(AND(AUTOEVENTO="Manual",$M82=1),0,IF(OFFSET(CRONOPLE!$F$14,$M82,BM$13)="",10^12,OFFSET(CRONOPLE!$F$14,$M82,BM$13))))</f>
        <v>1000000000000</v>
      </c>
      <c r="BN82" s="181">
        <f ca="1">IF($D82&lt;&gt;"Serviço",0,IF(AND(AUTOEVENTO="Manual",$M82=1),0,IF(OFFSET(CRONOPLE!$F$14,$M82,BN$13)="",10^12,OFFSET(CRONOPLE!$F$14,$M82,BN$13))))</f>
        <v>1000000000000</v>
      </c>
      <c r="BO82" s="181">
        <f ca="1">IF($D82&lt;&gt;"Serviço",0,IF(AND(AUTOEVENTO="Manual",$M82=1),0,IF(OFFSET(CRONOPLE!$F$14,$M82,BO$13)="",10^12,OFFSET(CRONOPLE!$F$14,$M82,BO$13))))</f>
        <v>1000000000000</v>
      </c>
      <c r="BP82" s="181">
        <f ca="1">IF($D82&lt;&gt;"Serviço",0,IF(AND(AUTOEVENTO="Manual",$M82=1),0,IF(OFFSET(CRONOPLE!$F$14,$M82,BP$13)="",10^12,OFFSET(CRONOPLE!$F$14,$M82,BP$13))))</f>
        <v>1000000000000</v>
      </c>
      <c r="BQ82" s="181">
        <f ca="1">IF($D82&lt;&gt;"Serviço",0,IF(AND(AUTOEVENTO="Manual",$M82=1),0,IF(OFFSET(CRONOPLE!$F$14,$M82,BQ$13)="",10^12,OFFSET(CRONOPLE!$F$14,$M82,BQ$13))))</f>
        <v>1000000000000</v>
      </c>
      <c r="BR82" s="181">
        <f ca="1">IF($D82&lt;&gt;"Serviço",0,IF(AND(AUTOEVENTO="Manual",$M82=1),0,IF(OFFSET(CRONOPLE!$F$14,$M82,BR$13)="",10^12,OFFSET(CRONOPLE!$F$14,$M82,BR$13))))</f>
        <v>1000000000000</v>
      </c>
      <c r="BS82" s="181">
        <f ca="1">IF($D82&lt;&gt;"Serviço",0,IF(AND(AUTOEVENTO="Manual",$M82=1),0,IF(OFFSET(CRONOPLE!$F$14,$M82,BS$13)="",10^12,OFFSET(CRONOPLE!$F$14,$M82,BS$13))))</f>
        <v>1000000000000</v>
      </c>
      <c r="BT82" s="181">
        <f ca="1">IF($D82&lt;&gt;"Serviço",0,IF(AND(AUTOEVENTO="Manual",$M82=1),0,IF(OFFSET(CRONOPLE!$F$14,$M82,BT$13)="",10^12,OFFSET(CRONOPLE!$F$14,$M82,BT$13))))</f>
        <v>1000000000000</v>
      </c>
      <c r="BV82" s="182">
        <f ca="1">IF($D82&lt;&gt;"Serviço",0,IF(OR(AND(AUTOEVENTO="Manual",$M82=1),$M82&gt;(ROW(PLE.lastrow)-ROW(PLE.firstrow))),0,IF(OFFSET(PLE!$G$14,$M82,BV$13)="",10^12,OFFSET(PLE!$G$14,$M82,BV$13))))</f>
        <v>1000000000000</v>
      </c>
      <c r="BW82" s="182">
        <f ca="1">IF($D82&lt;&gt;"Serviço",0,IF(OR(AND(AUTOEVENTO="Manual",$M82=1),$M82&gt;(ROW(PLE.lastrow)-ROW(PLE.firstrow))),0,IF(OFFSET(PLE!$G$14,$M82,BW$13)="",10^12,OFFSET(PLE!$G$14,$M82,BW$13))))</f>
        <v>1000000000000</v>
      </c>
      <c r="BX82" s="182">
        <f ca="1">IF($D82&lt;&gt;"Serviço",0,IF(OR(AND(AUTOEVENTO="Manual",$M82=1),$M82&gt;(ROW(PLE.lastrow)-ROW(PLE.firstrow))),0,IF(OFFSET(PLE!$G$14,$M82,BX$13)="",10^12,OFFSET(PLE!$G$14,$M82,BX$13))))</f>
        <v>1000000000000</v>
      </c>
      <c r="BY82" s="182">
        <f ca="1">IF($D82&lt;&gt;"Serviço",0,IF(OR(AND(AUTOEVENTO="Manual",$M82=1),$M82&gt;(ROW(PLE.lastrow)-ROW(PLE.firstrow))),0,IF(OFFSET(PLE!$G$14,$M82,BY$13)="",10^12,OFFSET(PLE!$G$14,$M82,BY$13))))</f>
        <v>1000000000000</v>
      </c>
      <c r="BZ82" s="182">
        <f ca="1">IF($D82&lt;&gt;"Serviço",0,IF(OR(AND(AUTOEVENTO="Manual",$M82=1),$M82&gt;(ROW(PLE.lastrow)-ROW(PLE.firstrow))),0,IF(OFFSET(PLE!$G$14,$M82,BZ$13)="",10^12,OFFSET(PLE!$G$14,$M82,BZ$13))))</f>
        <v>1000000000000</v>
      </c>
      <c r="CA82" s="182">
        <f ca="1">IF($D82&lt;&gt;"Serviço",0,IF(OR(AND(AUTOEVENTO="Manual",$M82=1),$M82&gt;(ROW(PLE.lastrow)-ROW(PLE.firstrow))),0,IF(OFFSET(PLE!$G$14,$M82,CA$13)="",10^12,OFFSET(PLE!$G$14,$M82,CA$13))))</f>
        <v>1000000000000</v>
      </c>
      <c r="CB82" s="182">
        <f ca="1">IF($D82&lt;&gt;"Serviço",0,IF(OR(AND(AUTOEVENTO="Manual",$M82=1),$M82&gt;(ROW(PLE.lastrow)-ROW(PLE.firstrow))),0,IF(OFFSET(PLE!$G$14,$M82,CB$13)="",10^12,OFFSET(PLE!$G$14,$M82,CB$13))))</f>
        <v>1000000000000</v>
      </c>
      <c r="CC82" s="182">
        <f ca="1">IF($D82&lt;&gt;"Serviço",0,IF(OR(AND(AUTOEVENTO="Manual",$M82=1),$M82&gt;(ROW(PLE.lastrow)-ROW(PLE.firstrow))),0,IF(OFFSET(PLE!$G$14,$M82,CC$13)="",10^12,OFFSET(PLE!$G$14,$M82,CC$13))))</f>
        <v>1000000000000</v>
      </c>
      <c r="CD82" s="182">
        <f ca="1">IF($D82&lt;&gt;"Serviço",0,IF(OR(AND(AUTOEVENTO="Manual",$M82=1),$M82&gt;(ROW(PLE.lastrow)-ROW(PLE.firstrow))),0,IF(OFFSET(PLE!$G$14,$M82,CD$13)="",10^12,OFFSET(PLE!$G$14,$M82,CD$13))))</f>
        <v>1000000000000</v>
      </c>
      <c r="CE82" s="182">
        <f ca="1">IF($D82&lt;&gt;"Serviço",0,IF(OR(AND(AUTOEVENTO="Manual",$M82=1),$M82&gt;(ROW(PLE.lastrow)-ROW(PLE.firstrow))),0,IF(OFFSET(PLE!$G$14,$M82,CE$13)="",10^12,OFFSET(PLE!$G$14,$M82,CE$13))))</f>
        <v>1000000000000</v>
      </c>
      <c r="CF82" s="182">
        <f ca="1">IF($D82&lt;&gt;"Serviço",0,IF(OR(AND(AUTOEVENTO="Manual",$M82=1),$M82&gt;(ROW(PLE.lastrow)-ROW(PLE.firstrow))),0,IF(OFFSET(PLE!$G$14,$M82,CF$13)="",10^12,OFFSET(PLE!$G$14,$M82,CF$13))))</f>
        <v>1000000000000</v>
      </c>
      <c r="CG82" s="182">
        <f ca="1">IF($D82&lt;&gt;"Serviço",0,IF(OR(AND(AUTOEVENTO="Manual",$M82=1),$M82&gt;(ROW(PLE.lastrow)-ROW(PLE.firstrow))),0,IF(OFFSET(PLE!$G$14,$M82,CG$13)="",10^12,OFFSET(PLE!$G$14,$M82,CG$13))))</f>
        <v>1000000000000</v>
      </c>
      <c r="CH82" s="182">
        <f ca="1">IF($D82&lt;&gt;"Serviço",0,IF(OR(AND(AUTOEVENTO="Manual",$M82=1),$M82&gt;(ROW(PLE.lastrow)-ROW(PLE.firstrow))),0,IF(OFFSET(PLE!$G$14,$M82,CH$13)="",10^12,OFFSET(PLE!$G$14,$M82,CH$13))))</f>
        <v>1000000000000</v>
      </c>
      <c r="CI82" s="182">
        <f ca="1">IF($D82&lt;&gt;"Serviço",0,IF(OR(AND(AUTOEVENTO="Manual",$M82=1),$M82&gt;(ROW(PLE.lastrow)-ROW(PLE.firstrow))),0,IF(OFFSET(PLE!$G$14,$M82,CI$13)="",10^12,OFFSET(PLE!$G$14,$M82,CI$13))))</f>
        <v>1000000000000</v>
      </c>
      <c r="CJ82" s="182">
        <f ca="1">IF($D82&lt;&gt;"Serviço",0,IF(OR(AND(AUTOEVENTO="Manual",$M82=1),$M82&gt;(ROW(PLE.lastrow)-ROW(PLE.firstrow))),0,IF(OFFSET(PLE!$G$14,$M82,CJ$13)="",10^12,OFFSET(PLE!$G$14,$M82,CJ$13))))</f>
        <v>1000000000000</v>
      </c>
      <c r="CK82" s="182">
        <f ca="1">IF($D82&lt;&gt;"Serviço",0,IF(OR(AND(AUTOEVENTO="Manual",$M82=1),$M82&gt;(ROW(PLE.lastrow)-ROW(PLE.firstrow))),0,IF(OFFSET(PLE!$G$14,$M82,CK$13)="",10^12,OFFSET(PLE!$G$14,$M82,CK$13))))</f>
        <v>1000000000000</v>
      </c>
      <c r="CL82" s="182">
        <f ca="1">IF($D82&lt;&gt;"Serviço",0,IF(OR(AND(AUTOEVENTO="Manual",$M82=1),$M82&gt;(ROW(PLE.lastrow)-ROW(PLE.firstrow))),0,IF(OFFSET(PLE!$G$14,$M82,CL$13)="",10^12,OFFSET(PLE!$G$14,$M82,CL$13))))</f>
        <v>1000000000000</v>
      </c>
      <c r="CM82" s="182">
        <f ca="1">IF($D82&lt;&gt;"Serviço",0,IF(OR(AND(AUTOEVENTO="Manual",$M82=1),$M82&gt;(ROW(PLE.lastrow)-ROW(PLE.firstrow))),0,IF(OFFSET(PLE!$G$14,$M82,CM$13)="",10^12,OFFSET(PLE!$G$14,$M82,CM$13))))</f>
        <v>1000000000000</v>
      </c>
    </row>
    <row r="83" spans="1:91" ht="38.25" x14ac:dyDescent="0.2">
      <c r="A83" s="7" t="str">
        <f t="shared" ca="1" si="10"/>
        <v>66</v>
      </c>
      <c r="B83" s="7" t="str">
        <f ca="1">OFFSET(ORÇAMENTO!C$15,ROW(B83)-ROW(B$15),0)</f>
        <v>S</v>
      </c>
      <c r="C83" s="7" t="str">
        <f ca="1">OFFSET(ORÇAMENTO!L$15,ROW(C83)-ROW(C$15),0)</f>
        <v/>
      </c>
      <c r="D83" s="118" t="str">
        <f ca="1">OFFSET(ORÇAMENTO!N$15,ROW(D83)-ROW(D$15),0)</f>
        <v>Serviço</v>
      </c>
      <c r="E83" s="119" t="str">
        <f ca="1">OFFSET(ORÇAMENTO!O$15,ROW(E83)-ROW(E$15),0)</f>
        <v>-</v>
      </c>
      <c r="F83" s="172" t="str">
        <f ca="1">OFFSET(ORÇAMENTO!R$15,ROW(F83)-ROW(F$15),0)</f>
        <v>(abra o arquivo 'Referência 06-2024.xlsm)</v>
      </c>
      <c r="G83" s="173" t="str">
        <f ca="1">IF($D83&lt;&gt;"Serviço","",OFFSET(ORÇAMENTO!S$15,ROW(G83)-ROW(G$15),0))</f>
        <v>-</v>
      </c>
      <c r="H83" s="124">
        <f ca="1">IF($D83&lt;&gt;"Serviço",0,IF(ACOMPANHAMENTO="BM",ROUND(OFFSET(ORÇAMENTO!AJ$15,ROW(H83)-ROW(H$15),0),15-13*ORÇAMENTO!$AF$7),SUMPRODUCT(($Q$12:$AI$12&lt;&gt;"")*ROUND($Q83:$AI83,15-13*ORÇAMENTO!$AF$7))))</f>
        <v>13.8</v>
      </c>
      <c r="I83" s="561" t="s">
        <v>1107</v>
      </c>
      <c r="K83" s="174" t="s">
        <v>1028</v>
      </c>
      <c r="L83" s="175" t="s">
        <v>255</v>
      </c>
      <c r="M83" s="176">
        <f ca="1">IF($D83&lt;&gt;"Serviço","",IF(AUTOEVENTO="manual",$A83,IF(ISERROR(MATCH($A83,$A$15:OFFSET($A83,-1,0),0)),MAX($M$15:OFFSET(M83,-1,0))+1,INDEX($M$15:OFFSET(M83,-1,0),MATCH($A83,$A$15:OFFSET($A83,-1,0),0)))))</f>
        <v>12</v>
      </c>
      <c r="N83" s="177" t="str">
        <f ca="1">IF($D83&lt;&gt;"Serviço","",IF(AUTOEVENTO="Manual",IF($A83=0,"&lt;-- defina o número do agrupador",OFFSET(EVENTOS!$D$14,$A83,0)),OFFSET($F$15,$A83,0)))</f>
        <v>SUPERESTRUTURA - CONCRETO ARMADO PARA LAJE</v>
      </c>
      <c r="O83" s="178"/>
      <c r="Q83" s="178">
        <v>13.8</v>
      </c>
      <c r="R83" s="179"/>
      <c r="S83" s="179"/>
      <c r="T83" s="179"/>
      <c r="U83" s="179"/>
      <c r="V83" s="179"/>
      <c r="W83" s="179"/>
      <c r="X83" s="179"/>
      <c r="Y83" s="179"/>
      <c r="Z83" s="180"/>
      <c r="AA83" s="179"/>
      <c r="AB83" s="179"/>
      <c r="AC83" s="179"/>
      <c r="AD83" s="179"/>
      <c r="AE83" s="179"/>
      <c r="AF83" s="179"/>
      <c r="AG83" s="179"/>
      <c r="AH83" s="180"/>
      <c r="AJ83" s="544">
        <f ca="1">IF(AND($D83="Serviço",AJ$12&lt;&gt;0,$H83&gt;0,OR(AUTOEVENTO&lt;&gt;"manual",$M83&lt;&gt;1)),
IF(Import.TipoArredondamento&lt;&gt;"TransfereGOV",
ROUND(OFFSET($P83,0,AJ$13),15-13*ORÇAMENTO!$AF$7)/$H83*OFFSET(ORÇAMENTO!$X$15,ROW(AJ83)-ROW(AJ$15),0),
ROUND(ROUND(OFFSET($P83,0,AJ$13),15-13*ORÇAMENTO!$AF$7)*OFFSET(ORÇAMENTO!$W$15,ROW(AJ83)-ROW(AJ$15),0),15-13*ORÇAMENTO!$AF$11)),0)</f>
        <v>0</v>
      </c>
      <c r="AK83" s="545">
        <f ca="1">IF(AND($D83="Serviço",AK$12&lt;&gt;0,$H83&gt;0,OR(AUTOEVENTO&lt;&gt;"manual",$M83&lt;&gt;1)),
IF(Import.TipoArredondamento&lt;&gt;"TransfereGOV",
ROUND(OFFSET($P83,0,AK$13),15-13*ORÇAMENTO!$AF$7)/$H83*OFFSET(ORÇAMENTO!$X$15,ROW(AK83)-ROW(AK$15),0),
ROUND(ROUND(OFFSET($P83,0,AK$13),15-13*ORÇAMENTO!$AF$7)*OFFSET(ORÇAMENTO!$W$15,ROW(AK83)-ROW(AK$15),0),15-13*ORÇAMENTO!$AF$11)),0)</f>
        <v>0</v>
      </c>
      <c r="AL83" s="545">
        <f ca="1">IF(AND($D83="Serviço",AL$12&lt;&gt;0,$H83&gt;0,OR(AUTOEVENTO&lt;&gt;"manual",$M83&lt;&gt;1)),
IF(Import.TipoArredondamento&lt;&gt;"TransfereGOV",
ROUND(OFFSET($P83,0,AL$13),15-13*ORÇAMENTO!$AF$7)/$H83*OFFSET(ORÇAMENTO!$X$15,ROW(AL83)-ROW(AL$15),0),
ROUND(ROUND(OFFSET($P83,0,AL$13),15-13*ORÇAMENTO!$AF$7)*OFFSET(ORÇAMENTO!$W$15,ROW(AL83)-ROW(AL$15),0),15-13*ORÇAMENTO!$AF$11)),0)</f>
        <v>0</v>
      </c>
      <c r="AM83" s="545">
        <f ca="1">IF(AND($D83="Serviço",AM$12&lt;&gt;0,$H83&gt;0,OR(AUTOEVENTO&lt;&gt;"manual",$M83&lt;&gt;1)),
IF(Import.TipoArredondamento&lt;&gt;"TransfereGOV",
ROUND(OFFSET($P83,0,AM$13),15-13*ORÇAMENTO!$AF$7)/$H83*OFFSET(ORÇAMENTO!$X$15,ROW(AM83)-ROW(AM$15),0),
ROUND(ROUND(OFFSET($P83,0,AM$13),15-13*ORÇAMENTO!$AF$7)*OFFSET(ORÇAMENTO!$W$15,ROW(AM83)-ROW(AM$15),0),15-13*ORÇAMENTO!$AF$11)),0)</f>
        <v>0</v>
      </c>
      <c r="AN83" s="545">
        <f ca="1">IF(AND($D83="Serviço",AN$12&lt;&gt;0,$H83&gt;0,OR(AUTOEVENTO&lt;&gt;"manual",$M83&lt;&gt;1)),
IF(Import.TipoArredondamento&lt;&gt;"TransfereGOV",
ROUND(OFFSET($P83,0,AN$13),15-13*ORÇAMENTO!$AF$7)/$H83*OFFSET(ORÇAMENTO!$X$15,ROW(AN83)-ROW(AN$15),0),
ROUND(ROUND(OFFSET($P83,0,AN$13),15-13*ORÇAMENTO!$AF$7)*OFFSET(ORÇAMENTO!$W$15,ROW(AN83)-ROW(AN$15),0),15-13*ORÇAMENTO!$AF$11)),0)</f>
        <v>0</v>
      </c>
      <c r="AO83" s="545">
        <f ca="1">IF(AND($D83="Serviço",AO$12&lt;&gt;0,$H83&gt;0,OR(AUTOEVENTO&lt;&gt;"manual",$M83&lt;&gt;1)),
IF(Import.TipoArredondamento&lt;&gt;"TransfereGOV",
ROUND(OFFSET($P83,0,AO$13),15-13*ORÇAMENTO!$AF$7)/$H83*OFFSET(ORÇAMENTO!$X$15,ROW(AO83)-ROW(AO$15),0),
ROUND(ROUND(OFFSET($P83,0,AO$13),15-13*ORÇAMENTO!$AF$7)*OFFSET(ORÇAMENTO!$W$15,ROW(AO83)-ROW(AO$15),0),15-13*ORÇAMENTO!$AF$11)),0)</f>
        <v>0</v>
      </c>
      <c r="AP83" s="545">
        <f ca="1">IF(AND($D83="Serviço",AP$12&lt;&gt;0,$H83&gt;0,OR(AUTOEVENTO&lt;&gt;"manual",$M83&lt;&gt;1)),
IF(Import.TipoArredondamento&lt;&gt;"TransfereGOV",
ROUND(OFFSET($P83,0,AP$13),15-13*ORÇAMENTO!$AF$7)/$H83*OFFSET(ORÇAMENTO!$X$15,ROW(AP83)-ROW(AP$15),0),
ROUND(ROUND(OFFSET($P83,0,AP$13),15-13*ORÇAMENTO!$AF$7)*OFFSET(ORÇAMENTO!$W$15,ROW(AP83)-ROW(AP$15),0),15-13*ORÇAMENTO!$AF$11)),0)</f>
        <v>0</v>
      </c>
      <c r="AQ83" s="545">
        <f ca="1">IF(AND($D83="Serviço",AQ$12&lt;&gt;0,$H83&gt;0,OR(AUTOEVENTO&lt;&gt;"manual",$M83&lt;&gt;1)),
IF(Import.TipoArredondamento&lt;&gt;"TransfereGOV",
ROUND(OFFSET($P83,0,AQ$13),15-13*ORÇAMENTO!$AF$7)/$H83*OFFSET(ORÇAMENTO!$X$15,ROW(AQ83)-ROW(AQ$15),0),
ROUND(ROUND(OFFSET($P83,0,AQ$13),15-13*ORÇAMENTO!$AF$7)*OFFSET(ORÇAMENTO!$W$15,ROW(AQ83)-ROW(AQ$15),0),15-13*ORÇAMENTO!$AF$11)),0)</f>
        <v>0</v>
      </c>
      <c r="AR83" s="545">
        <f ca="1">IF(AND($D83="Serviço",AR$12&lt;&gt;0,$H83&gt;0,OR(AUTOEVENTO&lt;&gt;"manual",$M83&lt;&gt;1)),
IF(Import.TipoArredondamento&lt;&gt;"TransfereGOV",
ROUND(OFFSET($P83,0,AR$13),15-13*ORÇAMENTO!$AF$7)/$H83*OFFSET(ORÇAMENTO!$X$15,ROW(AR83)-ROW(AR$15),0),
ROUND(ROUND(OFFSET($P83,0,AR$13),15-13*ORÇAMENTO!$AF$7)*OFFSET(ORÇAMENTO!$W$15,ROW(AR83)-ROW(AR$15),0),15-13*ORÇAMENTO!$AF$11)),0)</f>
        <v>0</v>
      </c>
      <c r="AS83" s="546">
        <f ca="1">IF(AND($D83="Serviço",AS$12&lt;&gt;0,$H83&gt;0,OR(AUTOEVENTO&lt;&gt;"manual",$M83&lt;&gt;1)),
IF(Import.TipoArredondamento&lt;&gt;"TransfereGOV",
ROUND(OFFSET($P83,0,AS$13),15-13*ORÇAMENTO!$AF$7)/$H83*OFFSET(ORÇAMENTO!$X$15,ROW(AS83)-ROW(AS$15),0),
ROUND(ROUND(OFFSET($P83,0,AS$13),15-13*ORÇAMENTO!$AF$7)*OFFSET(ORÇAMENTO!$W$15,ROW(AS83)-ROW(AS$15),0),15-13*ORÇAMENTO!$AF$11)),0)</f>
        <v>0</v>
      </c>
      <c r="AT83" s="545">
        <f ca="1">IF(AND($D83="Serviço",AT$12&lt;&gt;0,$H83&gt;0,OR(AUTOEVENTO&lt;&gt;"manual",$M83&lt;&gt;1)),
IF(Import.TipoArredondamento&lt;&gt;"TransfereGOV",
ROUND(OFFSET($P83,0,AT$13),15-13*ORÇAMENTO!$AF$7)/$H83*OFFSET(ORÇAMENTO!$X$15,ROW(AT83)-ROW(AT$15),0),
ROUND(ROUND(OFFSET($P83,0,AT$13),15-13*ORÇAMENTO!$AF$7)*OFFSET(ORÇAMENTO!$W$15,ROW(AT83)-ROW(AT$15),0),15-13*ORÇAMENTO!$AF$11)),0)</f>
        <v>0</v>
      </c>
      <c r="AU83" s="545">
        <f ca="1">IF(AND($D83="Serviço",AU$12&lt;&gt;0,$H83&gt;0,OR(AUTOEVENTO&lt;&gt;"manual",$M83&lt;&gt;1)),
IF(Import.TipoArredondamento&lt;&gt;"TransfereGOV",
ROUND(OFFSET($P83,0,AU$13),15-13*ORÇAMENTO!$AF$7)/$H83*OFFSET(ORÇAMENTO!$X$15,ROW(AU83)-ROW(AU$15),0),
ROUND(ROUND(OFFSET($P83,0,AU$13),15-13*ORÇAMENTO!$AF$7)*OFFSET(ORÇAMENTO!$W$15,ROW(AU83)-ROW(AU$15),0),15-13*ORÇAMENTO!$AF$11)),0)</f>
        <v>0</v>
      </c>
      <c r="AV83" s="545">
        <f ca="1">IF(AND($D83="Serviço",AV$12&lt;&gt;0,$H83&gt;0,OR(AUTOEVENTO&lt;&gt;"manual",$M83&lt;&gt;1)),
IF(Import.TipoArredondamento&lt;&gt;"TransfereGOV",
ROUND(OFFSET($P83,0,AV$13),15-13*ORÇAMENTO!$AF$7)/$H83*OFFSET(ORÇAMENTO!$X$15,ROW(AV83)-ROW(AV$15),0),
ROUND(ROUND(OFFSET($P83,0,AV$13),15-13*ORÇAMENTO!$AF$7)*OFFSET(ORÇAMENTO!$W$15,ROW(AV83)-ROW(AV$15),0),15-13*ORÇAMENTO!$AF$11)),0)</f>
        <v>0</v>
      </c>
      <c r="AW83" s="545">
        <f ca="1">IF(AND($D83="Serviço",AW$12&lt;&gt;0,$H83&gt;0,OR(AUTOEVENTO&lt;&gt;"manual",$M83&lt;&gt;1)),
IF(Import.TipoArredondamento&lt;&gt;"TransfereGOV",
ROUND(OFFSET($P83,0,AW$13),15-13*ORÇAMENTO!$AF$7)/$H83*OFFSET(ORÇAMENTO!$X$15,ROW(AW83)-ROW(AW$15),0),
ROUND(ROUND(OFFSET($P83,0,AW$13),15-13*ORÇAMENTO!$AF$7)*OFFSET(ORÇAMENTO!$W$15,ROW(AW83)-ROW(AW$15),0),15-13*ORÇAMENTO!$AF$11)),0)</f>
        <v>0</v>
      </c>
      <c r="AX83" s="545">
        <f ca="1">IF(AND($D83="Serviço",AX$12&lt;&gt;0,$H83&gt;0,OR(AUTOEVENTO&lt;&gt;"manual",$M83&lt;&gt;1)),
IF(Import.TipoArredondamento&lt;&gt;"TransfereGOV",
ROUND(OFFSET($P83,0,AX$13),15-13*ORÇAMENTO!$AF$7)/$H83*OFFSET(ORÇAMENTO!$X$15,ROW(AX83)-ROW(AX$15),0),
ROUND(ROUND(OFFSET($P83,0,AX$13),15-13*ORÇAMENTO!$AF$7)*OFFSET(ORÇAMENTO!$W$15,ROW(AX83)-ROW(AX$15),0),15-13*ORÇAMENTO!$AF$11)),0)</f>
        <v>0</v>
      </c>
      <c r="AY83" s="545">
        <f ca="1">IF(AND($D83="Serviço",AY$12&lt;&gt;0,$H83&gt;0,OR(AUTOEVENTO&lt;&gt;"manual",$M83&lt;&gt;1)),
IF(Import.TipoArredondamento&lt;&gt;"TransfereGOV",
ROUND(OFFSET($P83,0,AY$13),15-13*ORÇAMENTO!$AF$7)/$H83*OFFSET(ORÇAMENTO!$X$15,ROW(AY83)-ROW(AY$15),0),
ROUND(ROUND(OFFSET($P83,0,AY$13),15-13*ORÇAMENTO!$AF$7)*OFFSET(ORÇAMENTO!$W$15,ROW(AY83)-ROW(AY$15),0),15-13*ORÇAMENTO!$AF$11)),0)</f>
        <v>0</v>
      </c>
      <c r="AZ83" s="545">
        <f ca="1">IF(AND($D83="Serviço",AZ$12&lt;&gt;0,$H83&gt;0,OR(AUTOEVENTO&lt;&gt;"manual",$M83&lt;&gt;1)),
IF(Import.TipoArredondamento&lt;&gt;"TransfereGOV",
ROUND(OFFSET($P83,0,AZ$13),15-13*ORÇAMENTO!$AF$7)/$H83*OFFSET(ORÇAMENTO!$X$15,ROW(AZ83)-ROW(AZ$15),0),
ROUND(ROUND(OFFSET($P83,0,AZ$13),15-13*ORÇAMENTO!$AF$7)*OFFSET(ORÇAMENTO!$W$15,ROW(AZ83)-ROW(AZ$15),0),15-13*ORÇAMENTO!$AF$11)),0)</f>
        <v>0</v>
      </c>
      <c r="BA83" s="546">
        <f ca="1">IF(AND($D83="Serviço",BA$12&lt;&gt;0,$H83&gt;0,OR(AUTOEVENTO&lt;&gt;"manual",$M83&lt;&gt;1)),
IF(Import.TipoArredondamento&lt;&gt;"TransfereGOV",
ROUND(OFFSET($P83,0,BA$13),15-13*ORÇAMENTO!$AF$7)/$H83*OFFSET(ORÇAMENTO!$X$15,ROW(BA83)-ROW(BA$15),0),
ROUND(ROUND(OFFSET($P83,0,BA$13),15-13*ORÇAMENTO!$AF$7)*OFFSET(ORÇAMENTO!$W$15,ROW(BA83)-ROW(BA$15),0),15-13*ORÇAMENTO!$AF$11)),0)</f>
        <v>0</v>
      </c>
      <c r="BC83" s="181">
        <f ca="1">IF($D83&lt;&gt;"Serviço",0,IF(AND(AUTOEVENTO="Manual",$M83=1),0,IF(OFFSET(CRONOPLE!$F$14,$M83,BC$13)="",10^12,OFFSET(CRONOPLE!$F$14,$M83,BC$13))))</f>
        <v>4</v>
      </c>
      <c r="BD83" s="181">
        <f ca="1">IF($D83&lt;&gt;"Serviço",0,IF(AND(AUTOEVENTO="Manual",$M83=1),0,IF(OFFSET(CRONOPLE!$F$14,$M83,BD$13)="",10^12,OFFSET(CRONOPLE!$F$14,$M83,BD$13))))</f>
        <v>1000000000000</v>
      </c>
      <c r="BE83" s="181">
        <f ca="1">IF($D83&lt;&gt;"Serviço",0,IF(AND(AUTOEVENTO="Manual",$M83=1),0,IF(OFFSET(CRONOPLE!$F$14,$M83,BE$13)="",10^12,OFFSET(CRONOPLE!$F$14,$M83,BE$13))))</f>
        <v>1000000000000</v>
      </c>
      <c r="BF83" s="181">
        <f ca="1">IF($D83&lt;&gt;"Serviço",0,IF(AND(AUTOEVENTO="Manual",$M83=1),0,IF(OFFSET(CRONOPLE!$F$14,$M83,BF$13)="",10^12,OFFSET(CRONOPLE!$F$14,$M83,BF$13))))</f>
        <v>1000000000000</v>
      </c>
      <c r="BG83" s="181">
        <f ca="1">IF($D83&lt;&gt;"Serviço",0,IF(AND(AUTOEVENTO="Manual",$M83=1),0,IF(OFFSET(CRONOPLE!$F$14,$M83,BG$13)="",10^12,OFFSET(CRONOPLE!$F$14,$M83,BG$13))))</f>
        <v>1000000000000</v>
      </c>
      <c r="BH83" s="181">
        <f ca="1">IF($D83&lt;&gt;"Serviço",0,IF(AND(AUTOEVENTO="Manual",$M83=1),0,IF(OFFSET(CRONOPLE!$F$14,$M83,BH$13)="",10^12,OFFSET(CRONOPLE!$F$14,$M83,BH$13))))</f>
        <v>1000000000000</v>
      </c>
      <c r="BI83" s="181">
        <f ca="1">IF($D83&lt;&gt;"Serviço",0,IF(AND(AUTOEVENTO="Manual",$M83=1),0,IF(OFFSET(CRONOPLE!$F$14,$M83,BI$13)="",10^12,OFFSET(CRONOPLE!$F$14,$M83,BI$13))))</f>
        <v>1000000000000</v>
      </c>
      <c r="BJ83" s="181">
        <f ca="1">IF($D83&lt;&gt;"Serviço",0,IF(AND(AUTOEVENTO="Manual",$M83=1),0,IF(OFFSET(CRONOPLE!$F$14,$M83,BJ$13)="",10^12,OFFSET(CRONOPLE!$F$14,$M83,BJ$13))))</f>
        <v>1000000000000</v>
      </c>
      <c r="BK83" s="181">
        <f ca="1">IF($D83&lt;&gt;"Serviço",0,IF(AND(AUTOEVENTO="Manual",$M83=1),0,IF(OFFSET(CRONOPLE!$F$14,$M83,BK$13)="",10^12,OFFSET(CRONOPLE!$F$14,$M83,BK$13))))</f>
        <v>1000000000000</v>
      </c>
      <c r="BL83" s="181">
        <f ca="1">IF($D83&lt;&gt;"Serviço",0,IF(AND(AUTOEVENTO="Manual",$M83=1),0,IF(OFFSET(CRONOPLE!$F$14,$M83,BL$13)="",10^12,OFFSET(CRONOPLE!$F$14,$M83,BL$13))))</f>
        <v>1000000000000</v>
      </c>
      <c r="BM83" s="181">
        <f ca="1">IF($D83&lt;&gt;"Serviço",0,IF(AND(AUTOEVENTO="Manual",$M83=1),0,IF(OFFSET(CRONOPLE!$F$14,$M83,BM$13)="",10^12,OFFSET(CRONOPLE!$F$14,$M83,BM$13))))</f>
        <v>1000000000000</v>
      </c>
      <c r="BN83" s="181">
        <f ca="1">IF($D83&lt;&gt;"Serviço",0,IF(AND(AUTOEVENTO="Manual",$M83=1),0,IF(OFFSET(CRONOPLE!$F$14,$M83,BN$13)="",10^12,OFFSET(CRONOPLE!$F$14,$M83,BN$13))))</f>
        <v>1000000000000</v>
      </c>
      <c r="BO83" s="181">
        <f ca="1">IF($D83&lt;&gt;"Serviço",0,IF(AND(AUTOEVENTO="Manual",$M83=1),0,IF(OFFSET(CRONOPLE!$F$14,$M83,BO$13)="",10^12,OFFSET(CRONOPLE!$F$14,$M83,BO$13))))</f>
        <v>1000000000000</v>
      </c>
      <c r="BP83" s="181">
        <f ca="1">IF($D83&lt;&gt;"Serviço",0,IF(AND(AUTOEVENTO="Manual",$M83=1),0,IF(OFFSET(CRONOPLE!$F$14,$M83,BP$13)="",10^12,OFFSET(CRONOPLE!$F$14,$M83,BP$13))))</f>
        <v>1000000000000</v>
      </c>
      <c r="BQ83" s="181">
        <f ca="1">IF($D83&lt;&gt;"Serviço",0,IF(AND(AUTOEVENTO="Manual",$M83=1),0,IF(OFFSET(CRONOPLE!$F$14,$M83,BQ$13)="",10^12,OFFSET(CRONOPLE!$F$14,$M83,BQ$13))))</f>
        <v>1000000000000</v>
      </c>
      <c r="BR83" s="181">
        <f ca="1">IF($D83&lt;&gt;"Serviço",0,IF(AND(AUTOEVENTO="Manual",$M83=1),0,IF(OFFSET(CRONOPLE!$F$14,$M83,BR$13)="",10^12,OFFSET(CRONOPLE!$F$14,$M83,BR$13))))</f>
        <v>1000000000000</v>
      </c>
      <c r="BS83" s="181">
        <f ca="1">IF($D83&lt;&gt;"Serviço",0,IF(AND(AUTOEVENTO="Manual",$M83=1),0,IF(OFFSET(CRONOPLE!$F$14,$M83,BS$13)="",10^12,OFFSET(CRONOPLE!$F$14,$M83,BS$13))))</f>
        <v>1000000000000</v>
      </c>
      <c r="BT83" s="181">
        <f ca="1">IF($D83&lt;&gt;"Serviço",0,IF(AND(AUTOEVENTO="Manual",$M83=1),0,IF(OFFSET(CRONOPLE!$F$14,$M83,BT$13)="",10^12,OFFSET(CRONOPLE!$F$14,$M83,BT$13))))</f>
        <v>1000000000000</v>
      </c>
      <c r="BV83" s="182">
        <f ca="1">IF($D83&lt;&gt;"Serviço",0,IF(OR(AND(AUTOEVENTO="Manual",$M83=1),$M83&gt;(ROW(PLE.lastrow)-ROW(PLE.firstrow))),0,IF(OFFSET(PLE!$G$14,$M83,BV$13)="",10^12,OFFSET(PLE!$G$14,$M83,BV$13))))</f>
        <v>1000000000000</v>
      </c>
      <c r="BW83" s="182">
        <f ca="1">IF($D83&lt;&gt;"Serviço",0,IF(OR(AND(AUTOEVENTO="Manual",$M83=1),$M83&gt;(ROW(PLE.lastrow)-ROW(PLE.firstrow))),0,IF(OFFSET(PLE!$G$14,$M83,BW$13)="",10^12,OFFSET(PLE!$G$14,$M83,BW$13))))</f>
        <v>1000000000000</v>
      </c>
      <c r="BX83" s="182">
        <f ca="1">IF($D83&lt;&gt;"Serviço",0,IF(OR(AND(AUTOEVENTO="Manual",$M83=1),$M83&gt;(ROW(PLE.lastrow)-ROW(PLE.firstrow))),0,IF(OFFSET(PLE!$G$14,$M83,BX$13)="",10^12,OFFSET(PLE!$G$14,$M83,BX$13))))</f>
        <v>1000000000000</v>
      </c>
      <c r="BY83" s="182">
        <f ca="1">IF($D83&lt;&gt;"Serviço",0,IF(OR(AND(AUTOEVENTO="Manual",$M83=1),$M83&gt;(ROW(PLE.lastrow)-ROW(PLE.firstrow))),0,IF(OFFSET(PLE!$G$14,$M83,BY$13)="",10^12,OFFSET(PLE!$G$14,$M83,BY$13))))</f>
        <v>1000000000000</v>
      </c>
      <c r="BZ83" s="182">
        <f ca="1">IF($D83&lt;&gt;"Serviço",0,IF(OR(AND(AUTOEVENTO="Manual",$M83=1),$M83&gt;(ROW(PLE.lastrow)-ROW(PLE.firstrow))),0,IF(OFFSET(PLE!$G$14,$M83,BZ$13)="",10^12,OFFSET(PLE!$G$14,$M83,BZ$13))))</f>
        <v>1000000000000</v>
      </c>
      <c r="CA83" s="182">
        <f ca="1">IF($D83&lt;&gt;"Serviço",0,IF(OR(AND(AUTOEVENTO="Manual",$M83=1),$M83&gt;(ROW(PLE.lastrow)-ROW(PLE.firstrow))),0,IF(OFFSET(PLE!$G$14,$M83,CA$13)="",10^12,OFFSET(PLE!$G$14,$M83,CA$13))))</f>
        <v>1000000000000</v>
      </c>
      <c r="CB83" s="182">
        <f ca="1">IF($D83&lt;&gt;"Serviço",0,IF(OR(AND(AUTOEVENTO="Manual",$M83=1),$M83&gt;(ROW(PLE.lastrow)-ROW(PLE.firstrow))),0,IF(OFFSET(PLE!$G$14,$M83,CB$13)="",10^12,OFFSET(PLE!$G$14,$M83,CB$13))))</f>
        <v>1000000000000</v>
      </c>
      <c r="CC83" s="182">
        <f ca="1">IF($D83&lt;&gt;"Serviço",0,IF(OR(AND(AUTOEVENTO="Manual",$M83=1),$M83&gt;(ROW(PLE.lastrow)-ROW(PLE.firstrow))),0,IF(OFFSET(PLE!$G$14,$M83,CC$13)="",10^12,OFFSET(PLE!$G$14,$M83,CC$13))))</f>
        <v>1000000000000</v>
      </c>
      <c r="CD83" s="182">
        <f ca="1">IF($D83&lt;&gt;"Serviço",0,IF(OR(AND(AUTOEVENTO="Manual",$M83=1),$M83&gt;(ROW(PLE.lastrow)-ROW(PLE.firstrow))),0,IF(OFFSET(PLE!$G$14,$M83,CD$13)="",10^12,OFFSET(PLE!$G$14,$M83,CD$13))))</f>
        <v>1000000000000</v>
      </c>
      <c r="CE83" s="182">
        <f ca="1">IF($D83&lt;&gt;"Serviço",0,IF(OR(AND(AUTOEVENTO="Manual",$M83=1),$M83&gt;(ROW(PLE.lastrow)-ROW(PLE.firstrow))),0,IF(OFFSET(PLE!$G$14,$M83,CE$13)="",10^12,OFFSET(PLE!$G$14,$M83,CE$13))))</f>
        <v>1000000000000</v>
      </c>
      <c r="CF83" s="182">
        <f ca="1">IF($D83&lt;&gt;"Serviço",0,IF(OR(AND(AUTOEVENTO="Manual",$M83=1),$M83&gt;(ROW(PLE.lastrow)-ROW(PLE.firstrow))),0,IF(OFFSET(PLE!$G$14,$M83,CF$13)="",10^12,OFFSET(PLE!$G$14,$M83,CF$13))))</f>
        <v>1000000000000</v>
      </c>
      <c r="CG83" s="182">
        <f ca="1">IF($D83&lt;&gt;"Serviço",0,IF(OR(AND(AUTOEVENTO="Manual",$M83=1),$M83&gt;(ROW(PLE.lastrow)-ROW(PLE.firstrow))),0,IF(OFFSET(PLE!$G$14,$M83,CG$13)="",10^12,OFFSET(PLE!$G$14,$M83,CG$13))))</f>
        <v>1000000000000</v>
      </c>
      <c r="CH83" s="182">
        <f ca="1">IF($D83&lt;&gt;"Serviço",0,IF(OR(AND(AUTOEVENTO="Manual",$M83=1),$M83&gt;(ROW(PLE.lastrow)-ROW(PLE.firstrow))),0,IF(OFFSET(PLE!$G$14,$M83,CH$13)="",10^12,OFFSET(PLE!$G$14,$M83,CH$13))))</f>
        <v>1000000000000</v>
      </c>
      <c r="CI83" s="182">
        <f ca="1">IF($D83&lt;&gt;"Serviço",0,IF(OR(AND(AUTOEVENTO="Manual",$M83=1),$M83&gt;(ROW(PLE.lastrow)-ROW(PLE.firstrow))),0,IF(OFFSET(PLE!$G$14,$M83,CI$13)="",10^12,OFFSET(PLE!$G$14,$M83,CI$13))))</f>
        <v>1000000000000</v>
      </c>
      <c r="CJ83" s="182">
        <f ca="1">IF($D83&lt;&gt;"Serviço",0,IF(OR(AND(AUTOEVENTO="Manual",$M83=1),$M83&gt;(ROW(PLE.lastrow)-ROW(PLE.firstrow))),0,IF(OFFSET(PLE!$G$14,$M83,CJ$13)="",10^12,OFFSET(PLE!$G$14,$M83,CJ$13))))</f>
        <v>1000000000000</v>
      </c>
      <c r="CK83" s="182">
        <f ca="1">IF($D83&lt;&gt;"Serviço",0,IF(OR(AND(AUTOEVENTO="Manual",$M83=1),$M83&gt;(ROW(PLE.lastrow)-ROW(PLE.firstrow))),0,IF(OFFSET(PLE!$G$14,$M83,CK$13)="",10^12,OFFSET(PLE!$G$14,$M83,CK$13))))</f>
        <v>1000000000000</v>
      </c>
      <c r="CL83" s="182">
        <f ca="1">IF($D83&lt;&gt;"Serviço",0,IF(OR(AND(AUTOEVENTO="Manual",$M83=1),$M83&gt;(ROW(PLE.lastrow)-ROW(PLE.firstrow))),0,IF(OFFSET(PLE!$G$14,$M83,CL$13)="",10^12,OFFSET(PLE!$G$14,$M83,CL$13))))</f>
        <v>1000000000000</v>
      </c>
      <c r="CM83" s="182">
        <f ca="1">IF($D83&lt;&gt;"Serviço",0,IF(OR(AND(AUTOEVENTO="Manual",$M83=1),$M83&gt;(ROW(PLE.lastrow)-ROW(PLE.firstrow))),0,IF(OFFSET(PLE!$G$14,$M83,CM$13)="",10^12,OFFSET(PLE!$G$14,$M83,CM$13))))</f>
        <v>1000000000000</v>
      </c>
    </row>
    <row r="84" spans="1:91" ht="38.25" x14ac:dyDescent="0.2">
      <c r="A84" s="7" t="str">
        <f t="shared" ca="1" si="10"/>
        <v>66</v>
      </c>
      <c r="B84" s="7" t="str">
        <f ca="1">OFFSET(ORÇAMENTO!C$15,ROW(B84)-ROW(B$15),0)</f>
        <v>S</v>
      </c>
      <c r="C84" s="7" t="str">
        <f ca="1">OFFSET(ORÇAMENTO!L$15,ROW(C84)-ROW(C$15),0)</f>
        <v/>
      </c>
      <c r="D84" s="118" t="str">
        <f ca="1">OFFSET(ORÇAMENTO!N$15,ROW(D84)-ROW(D$15),0)</f>
        <v>Serviço</v>
      </c>
      <c r="E84" s="119" t="str">
        <f ca="1">OFFSET(ORÇAMENTO!O$15,ROW(E84)-ROW(E$15),0)</f>
        <v>-</v>
      </c>
      <c r="F84" s="172" t="str">
        <f ca="1">OFFSET(ORÇAMENTO!R$15,ROW(F84)-ROW(F$15),0)</f>
        <v>(abra o arquivo 'Referência 06-2024.xlsm)</v>
      </c>
      <c r="G84" s="173" t="str">
        <f ca="1">IF($D84&lt;&gt;"Serviço","",OFFSET(ORÇAMENTO!S$15,ROW(G84)-ROW(G$15),0))</f>
        <v>-</v>
      </c>
      <c r="H84" s="124">
        <f ca="1">IF($D84&lt;&gt;"Serviço",0,IF(ACOMPANHAMENTO="BM",ROUND(OFFSET(ORÇAMENTO!AJ$15,ROW(H84)-ROW(H$15),0),15-13*ORÇAMENTO!$AF$7),SUMPRODUCT(($Q$12:$AI$12&lt;&gt;"")*ROUND($Q84:$AI84,15-13*ORÇAMENTO!$AF$7))))</f>
        <v>49.3</v>
      </c>
      <c r="I84" s="561" t="s">
        <v>1107</v>
      </c>
      <c r="K84" s="174" t="s">
        <v>1028</v>
      </c>
      <c r="L84" s="175" t="s">
        <v>255</v>
      </c>
      <c r="M84" s="176">
        <f ca="1">IF($D84&lt;&gt;"Serviço","",IF(AUTOEVENTO="manual",$A84,IF(ISERROR(MATCH($A84,$A$15:OFFSET($A84,-1,0),0)),MAX($M$15:OFFSET(M84,-1,0))+1,INDEX($M$15:OFFSET(M84,-1,0),MATCH($A84,$A$15:OFFSET($A84,-1,0),0)))))</f>
        <v>12</v>
      </c>
      <c r="N84" s="177" t="str">
        <f ca="1">IF($D84&lt;&gt;"Serviço","",IF(AUTOEVENTO="Manual",IF($A84=0,"&lt;-- defina o número do agrupador",OFFSET(EVENTOS!$D$14,$A84,0)),OFFSET($F$15,$A84,0)))</f>
        <v>SUPERESTRUTURA - CONCRETO ARMADO PARA LAJE</v>
      </c>
      <c r="O84" s="178"/>
      <c r="Q84" s="178">
        <v>49.3</v>
      </c>
      <c r="R84" s="179"/>
      <c r="S84" s="179"/>
      <c r="T84" s="179"/>
      <c r="U84" s="179"/>
      <c r="V84" s="179"/>
      <c r="W84" s="179"/>
      <c r="X84" s="179"/>
      <c r="Y84" s="179"/>
      <c r="Z84" s="180"/>
      <c r="AA84" s="179"/>
      <c r="AB84" s="179"/>
      <c r="AC84" s="179"/>
      <c r="AD84" s="179"/>
      <c r="AE84" s="179"/>
      <c r="AF84" s="179"/>
      <c r="AG84" s="179"/>
      <c r="AH84" s="180"/>
      <c r="AJ84" s="544">
        <f ca="1">IF(AND($D84="Serviço",AJ$12&lt;&gt;0,$H84&gt;0,OR(AUTOEVENTO&lt;&gt;"manual",$M84&lt;&gt;1)),
IF(Import.TipoArredondamento&lt;&gt;"TransfereGOV",
ROUND(OFFSET($P84,0,AJ$13),15-13*ORÇAMENTO!$AF$7)/$H84*OFFSET(ORÇAMENTO!$X$15,ROW(AJ84)-ROW(AJ$15),0),
ROUND(ROUND(OFFSET($P84,0,AJ$13),15-13*ORÇAMENTO!$AF$7)*OFFSET(ORÇAMENTO!$W$15,ROW(AJ84)-ROW(AJ$15),0),15-13*ORÇAMENTO!$AF$11)),0)</f>
        <v>0</v>
      </c>
      <c r="AK84" s="545">
        <f ca="1">IF(AND($D84="Serviço",AK$12&lt;&gt;0,$H84&gt;0,OR(AUTOEVENTO&lt;&gt;"manual",$M84&lt;&gt;1)),
IF(Import.TipoArredondamento&lt;&gt;"TransfereGOV",
ROUND(OFFSET($P84,0,AK$13),15-13*ORÇAMENTO!$AF$7)/$H84*OFFSET(ORÇAMENTO!$X$15,ROW(AK84)-ROW(AK$15),0),
ROUND(ROUND(OFFSET($P84,0,AK$13),15-13*ORÇAMENTO!$AF$7)*OFFSET(ORÇAMENTO!$W$15,ROW(AK84)-ROW(AK$15),0),15-13*ORÇAMENTO!$AF$11)),0)</f>
        <v>0</v>
      </c>
      <c r="AL84" s="545">
        <f ca="1">IF(AND($D84="Serviço",AL$12&lt;&gt;0,$H84&gt;0,OR(AUTOEVENTO&lt;&gt;"manual",$M84&lt;&gt;1)),
IF(Import.TipoArredondamento&lt;&gt;"TransfereGOV",
ROUND(OFFSET($P84,0,AL$13),15-13*ORÇAMENTO!$AF$7)/$H84*OFFSET(ORÇAMENTO!$X$15,ROW(AL84)-ROW(AL$15),0),
ROUND(ROUND(OFFSET($P84,0,AL$13),15-13*ORÇAMENTO!$AF$7)*OFFSET(ORÇAMENTO!$W$15,ROW(AL84)-ROW(AL$15),0),15-13*ORÇAMENTO!$AF$11)),0)</f>
        <v>0</v>
      </c>
      <c r="AM84" s="545">
        <f ca="1">IF(AND($D84="Serviço",AM$12&lt;&gt;0,$H84&gt;0,OR(AUTOEVENTO&lt;&gt;"manual",$M84&lt;&gt;1)),
IF(Import.TipoArredondamento&lt;&gt;"TransfereGOV",
ROUND(OFFSET($P84,0,AM$13),15-13*ORÇAMENTO!$AF$7)/$H84*OFFSET(ORÇAMENTO!$X$15,ROW(AM84)-ROW(AM$15),0),
ROUND(ROUND(OFFSET($P84,0,AM$13),15-13*ORÇAMENTO!$AF$7)*OFFSET(ORÇAMENTO!$W$15,ROW(AM84)-ROW(AM$15),0),15-13*ORÇAMENTO!$AF$11)),0)</f>
        <v>0</v>
      </c>
      <c r="AN84" s="545">
        <f ca="1">IF(AND($D84="Serviço",AN$12&lt;&gt;0,$H84&gt;0,OR(AUTOEVENTO&lt;&gt;"manual",$M84&lt;&gt;1)),
IF(Import.TipoArredondamento&lt;&gt;"TransfereGOV",
ROUND(OFFSET($P84,0,AN$13),15-13*ORÇAMENTO!$AF$7)/$H84*OFFSET(ORÇAMENTO!$X$15,ROW(AN84)-ROW(AN$15),0),
ROUND(ROUND(OFFSET($P84,0,AN$13),15-13*ORÇAMENTO!$AF$7)*OFFSET(ORÇAMENTO!$W$15,ROW(AN84)-ROW(AN$15),0),15-13*ORÇAMENTO!$AF$11)),0)</f>
        <v>0</v>
      </c>
      <c r="AO84" s="545">
        <f ca="1">IF(AND($D84="Serviço",AO$12&lt;&gt;0,$H84&gt;0,OR(AUTOEVENTO&lt;&gt;"manual",$M84&lt;&gt;1)),
IF(Import.TipoArredondamento&lt;&gt;"TransfereGOV",
ROUND(OFFSET($P84,0,AO$13),15-13*ORÇAMENTO!$AF$7)/$H84*OFFSET(ORÇAMENTO!$X$15,ROW(AO84)-ROW(AO$15),0),
ROUND(ROUND(OFFSET($P84,0,AO$13),15-13*ORÇAMENTO!$AF$7)*OFFSET(ORÇAMENTO!$W$15,ROW(AO84)-ROW(AO$15),0),15-13*ORÇAMENTO!$AF$11)),0)</f>
        <v>0</v>
      </c>
      <c r="AP84" s="545">
        <f ca="1">IF(AND($D84="Serviço",AP$12&lt;&gt;0,$H84&gt;0,OR(AUTOEVENTO&lt;&gt;"manual",$M84&lt;&gt;1)),
IF(Import.TipoArredondamento&lt;&gt;"TransfereGOV",
ROUND(OFFSET($P84,0,AP$13),15-13*ORÇAMENTO!$AF$7)/$H84*OFFSET(ORÇAMENTO!$X$15,ROW(AP84)-ROW(AP$15),0),
ROUND(ROUND(OFFSET($P84,0,AP$13),15-13*ORÇAMENTO!$AF$7)*OFFSET(ORÇAMENTO!$W$15,ROW(AP84)-ROW(AP$15),0),15-13*ORÇAMENTO!$AF$11)),0)</f>
        <v>0</v>
      </c>
      <c r="AQ84" s="545">
        <f ca="1">IF(AND($D84="Serviço",AQ$12&lt;&gt;0,$H84&gt;0,OR(AUTOEVENTO&lt;&gt;"manual",$M84&lt;&gt;1)),
IF(Import.TipoArredondamento&lt;&gt;"TransfereGOV",
ROUND(OFFSET($P84,0,AQ$13),15-13*ORÇAMENTO!$AF$7)/$H84*OFFSET(ORÇAMENTO!$X$15,ROW(AQ84)-ROW(AQ$15),0),
ROUND(ROUND(OFFSET($P84,0,AQ$13),15-13*ORÇAMENTO!$AF$7)*OFFSET(ORÇAMENTO!$W$15,ROW(AQ84)-ROW(AQ$15),0),15-13*ORÇAMENTO!$AF$11)),0)</f>
        <v>0</v>
      </c>
      <c r="AR84" s="545">
        <f ca="1">IF(AND($D84="Serviço",AR$12&lt;&gt;0,$H84&gt;0,OR(AUTOEVENTO&lt;&gt;"manual",$M84&lt;&gt;1)),
IF(Import.TipoArredondamento&lt;&gt;"TransfereGOV",
ROUND(OFFSET($P84,0,AR$13),15-13*ORÇAMENTO!$AF$7)/$H84*OFFSET(ORÇAMENTO!$X$15,ROW(AR84)-ROW(AR$15),0),
ROUND(ROUND(OFFSET($P84,0,AR$13),15-13*ORÇAMENTO!$AF$7)*OFFSET(ORÇAMENTO!$W$15,ROW(AR84)-ROW(AR$15),0),15-13*ORÇAMENTO!$AF$11)),0)</f>
        <v>0</v>
      </c>
      <c r="AS84" s="546">
        <f ca="1">IF(AND($D84="Serviço",AS$12&lt;&gt;0,$H84&gt;0,OR(AUTOEVENTO&lt;&gt;"manual",$M84&lt;&gt;1)),
IF(Import.TipoArredondamento&lt;&gt;"TransfereGOV",
ROUND(OFFSET($P84,0,AS$13),15-13*ORÇAMENTO!$AF$7)/$H84*OFFSET(ORÇAMENTO!$X$15,ROW(AS84)-ROW(AS$15),0),
ROUND(ROUND(OFFSET($P84,0,AS$13),15-13*ORÇAMENTO!$AF$7)*OFFSET(ORÇAMENTO!$W$15,ROW(AS84)-ROW(AS$15),0),15-13*ORÇAMENTO!$AF$11)),0)</f>
        <v>0</v>
      </c>
      <c r="AT84" s="545">
        <f ca="1">IF(AND($D84="Serviço",AT$12&lt;&gt;0,$H84&gt;0,OR(AUTOEVENTO&lt;&gt;"manual",$M84&lt;&gt;1)),
IF(Import.TipoArredondamento&lt;&gt;"TransfereGOV",
ROUND(OFFSET($P84,0,AT$13),15-13*ORÇAMENTO!$AF$7)/$H84*OFFSET(ORÇAMENTO!$X$15,ROW(AT84)-ROW(AT$15),0),
ROUND(ROUND(OFFSET($P84,0,AT$13),15-13*ORÇAMENTO!$AF$7)*OFFSET(ORÇAMENTO!$W$15,ROW(AT84)-ROW(AT$15),0),15-13*ORÇAMENTO!$AF$11)),0)</f>
        <v>0</v>
      </c>
      <c r="AU84" s="545">
        <f ca="1">IF(AND($D84="Serviço",AU$12&lt;&gt;0,$H84&gt;0,OR(AUTOEVENTO&lt;&gt;"manual",$M84&lt;&gt;1)),
IF(Import.TipoArredondamento&lt;&gt;"TransfereGOV",
ROUND(OFFSET($P84,0,AU$13),15-13*ORÇAMENTO!$AF$7)/$H84*OFFSET(ORÇAMENTO!$X$15,ROW(AU84)-ROW(AU$15),0),
ROUND(ROUND(OFFSET($P84,0,AU$13),15-13*ORÇAMENTO!$AF$7)*OFFSET(ORÇAMENTO!$W$15,ROW(AU84)-ROW(AU$15),0),15-13*ORÇAMENTO!$AF$11)),0)</f>
        <v>0</v>
      </c>
      <c r="AV84" s="545">
        <f ca="1">IF(AND($D84="Serviço",AV$12&lt;&gt;0,$H84&gt;0,OR(AUTOEVENTO&lt;&gt;"manual",$M84&lt;&gt;1)),
IF(Import.TipoArredondamento&lt;&gt;"TransfereGOV",
ROUND(OFFSET($P84,0,AV$13),15-13*ORÇAMENTO!$AF$7)/$H84*OFFSET(ORÇAMENTO!$X$15,ROW(AV84)-ROW(AV$15),0),
ROUND(ROUND(OFFSET($P84,0,AV$13),15-13*ORÇAMENTO!$AF$7)*OFFSET(ORÇAMENTO!$W$15,ROW(AV84)-ROW(AV$15),0),15-13*ORÇAMENTO!$AF$11)),0)</f>
        <v>0</v>
      </c>
      <c r="AW84" s="545">
        <f ca="1">IF(AND($D84="Serviço",AW$12&lt;&gt;0,$H84&gt;0,OR(AUTOEVENTO&lt;&gt;"manual",$M84&lt;&gt;1)),
IF(Import.TipoArredondamento&lt;&gt;"TransfereGOV",
ROUND(OFFSET($P84,0,AW$13),15-13*ORÇAMENTO!$AF$7)/$H84*OFFSET(ORÇAMENTO!$X$15,ROW(AW84)-ROW(AW$15),0),
ROUND(ROUND(OFFSET($P84,0,AW$13),15-13*ORÇAMENTO!$AF$7)*OFFSET(ORÇAMENTO!$W$15,ROW(AW84)-ROW(AW$15),0),15-13*ORÇAMENTO!$AF$11)),0)</f>
        <v>0</v>
      </c>
      <c r="AX84" s="545">
        <f ca="1">IF(AND($D84="Serviço",AX$12&lt;&gt;0,$H84&gt;0,OR(AUTOEVENTO&lt;&gt;"manual",$M84&lt;&gt;1)),
IF(Import.TipoArredondamento&lt;&gt;"TransfereGOV",
ROUND(OFFSET($P84,0,AX$13),15-13*ORÇAMENTO!$AF$7)/$H84*OFFSET(ORÇAMENTO!$X$15,ROW(AX84)-ROW(AX$15),0),
ROUND(ROUND(OFFSET($P84,0,AX$13),15-13*ORÇAMENTO!$AF$7)*OFFSET(ORÇAMENTO!$W$15,ROW(AX84)-ROW(AX$15),0),15-13*ORÇAMENTO!$AF$11)),0)</f>
        <v>0</v>
      </c>
      <c r="AY84" s="545">
        <f ca="1">IF(AND($D84="Serviço",AY$12&lt;&gt;0,$H84&gt;0,OR(AUTOEVENTO&lt;&gt;"manual",$M84&lt;&gt;1)),
IF(Import.TipoArredondamento&lt;&gt;"TransfereGOV",
ROUND(OFFSET($P84,0,AY$13),15-13*ORÇAMENTO!$AF$7)/$H84*OFFSET(ORÇAMENTO!$X$15,ROW(AY84)-ROW(AY$15),0),
ROUND(ROUND(OFFSET($P84,0,AY$13),15-13*ORÇAMENTO!$AF$7)*OFFSET(ORÇAMENTO!$W$15,ROW(AY84)-ROW(AY$15),0),15-13*ORÇAMENTO!$AF$11)),0)</f>
        <v>0</v>
      </c>
      <c r="AZ84" s="545">
        <f ca="1">IF(AND($D84="Serviço",AZ$12&lt;&gt;0,$H84&gt;0,OR(AUTOEVENTO&lt;&gt;"manual",$M84&lt;&gt;1)),
IF(Import.TipoArredondamento&lt;&gt;"TransfereGOV",
ROUND(OFFSET($P84,0,AZ$13),15-13*ORÇAMENTO!$AF$7)/$H84*OFFSET(ORÇAMENTO!$X$15,ROW(AZ84)-ROW(AZ$15),0),
ROUND(ROUND(OFFSET($P84,0,AZ$13),15-13*ORÇAMENTO!$AF$7)*OFFSET(ORÇAMENTO!$W$15,ROW(AZ84)-ROW(AZ$15),0),15-13*ORÇAMENTO!$AF$11)),0)</f>
        <v>0</v>
      </c>
      <c r="BA84" s="546">
        <f ca="1">IF(AND($D84="Serviço",BA$12&lt;&gt;0,$H84&gt;0,OR(AUTOEVENTO&lt;&gt;"manual",$M84&lt;&gt;1)),
IF(Import.TipoArredondamento&lt;&gt;"TransfereGOV",
ROUND(OFFSET($P84,0,BA$13),15-13*ORÇAMENTO!$AF$7)/$H84*OFFSET(ORÇAMENTO!$X$15,ROW(BA84)-ROW(BA$15),0),
ROUND(ROUND(OFFSET($P84,0,BA$13),15-13*ORÇAMENTO!$AF$7)*OFFSET(ORÇAMENTO!$W$15,ROW(BA84)-ROW(BA$15),0),15-13*ORÇAMENTO!$AF$11)),0)</f>
        <v>0</v>
      </c>
      <c r="BC84" s="181">
        <f ca="1">IF($D84&lt;&gt;"Serviço",0,IF(AND(AUTOEVENTO="Manual",$M84=1),0,IF(OFFSET(CRONOPLE!$F$14,$M84,BC$13)="",10^12,OFFSET(CRONOPLE!$F$14,$M84,BC$13))))</f>
        <v>4</v>
      </c>
      <c r="BD84" s="181">
        <f ca="1">IF($D84&lt;&gt;"Serviço",0,IF(AND(AUTOEVENTO="Manual",$M84=1),0,IF(OFFSET(CRONOPLE!$F$14,$M84,BD$13)="",10^12,OFFSET(CRONOPLE!$F$14,$M84,BD$13))))</f>
        <v>1000000000000</v>
      </c>
      <c r="BE84" s="181">
        <f ca="1">IF($D84&lt;&gt;"Serviço",0,IF(AND(AUTOEVENTO="Manual",$M84=1),0,IF(OFFSET(CRONOPLE!$F$14,$M84,BE$13)="",10^12,OFFSET(CRONOPLE!$F$14,$M84,BE$13))))</f>
        <v>1000000000000</v>
      </c>
      <c r="BF84" s="181">
        <f ca="1">IF($D84&lt;&gt;"Serviço",0,IF(AND(AUTOEVENTO="Manual",$M84=1),0,IF(OFFSET(CRONOPLE!$F$14,$M84,BF$13)="",10^12,OFFSET(CRONOPLE!$F$14,$M84,BF$13))))</f>
        <v>1000000000000</v>
      </c>
      <c r="BG84" s="181">
        <f ca="1">IF($D84&lt;&gt;"Serviço",0,IF(AND(AUTOEVENTO="Manual",$M84=1),0,IF(OFFSET(CRONOPLE!$F$14,$M84,BG$13)="",10^12,OFFSET(CRONOPLE!$F$14,$M84,BG$13))))</f>
        <v>1000000000000</v>
      </c>
      <c r="BH84" s="181">
        <f ca="1">IF($D84&lt;&gt;"Serviço",0,IF(AND(AUTOEVENTO="Manual",$M84=1),0,IF(OFFSET(CRONOPLE!$F$14,$M84,BH$13)="",10^12,OFFSET(CRONOPLE!$F$14,$M84,BH$13))))</f>
        <v>1000000000000</v>
      </c>
      <c r="BI84" s="181">
        <f ca="1">IF($D84&lt;&gt;"Serviço",0,IF(AND(AUTOEVENTO="Manual",$M84=1),0,IF(OFFSET(CRONOPLE!$F$14,$M84,BI$13)="",10^12,OFFSET(CRONOPLE!$F$14,$M84,BI$13))))</f>
        <v>1000000000000</v>
      </c>
      <c r="BJ84" s="181">
        <f ca="1">IF($D84&lt;&gt;"Serviço",0,IF(AND(AUTOEVENTO="Manual",$M84=1),0,IF(OFFSET(CRONOPLE!$F$14,$M84,BJ$13)="",10^12,OFFSET(CRONOPLE!$F$14,$M84,BJ$13))))</f>
        <v>1000000000000</v>
      </c>
      <c r="BK84" s="181">
        <f ca="1">IF($D84&lt;&gt;"Serviço",0,IF(AND(AUTOEVENTO="Manual",$M84=1),0,IF(OFFSET(CRONOPLE!$F$14,$M84,BK$13)="",10^12,OFFSET(CRONOPLE!$F$14,$M84,BK$13))))</f>
        <v>1000000000000</v>
      </c>
      <c r="BL84" s="181">
        <f ca="1">IF($D84&lt;&gt;"Serviço",0,IF(AND(AUTOEVENTO="Manual",$M84=1),0,IF(OFFSET(CRONOPLE!$F$14,$M84,BL$13)="",10^12,OFFSET(CRONOPLE!$F$14,$M84,BL$13))))</f>
        <v>1000000000000</v>
      </c>
      <c r="BM84" s="181">
        <f ca="1">IF($D84&lt;&gt;"Serviço",0,IF(AND(AUTOEVENTO="Manual",$M84=1),0,IF(OFFSET(CRONOPLE!$F$14,$M84,BM$13)="",10^12,OFFSET(CRONOPLE!$F$14,$M84,BM$13))))</f>
        <v>1000000000000</v>
      </c>
      <c r="BN84" s="181">
        <f ca="1">IF($D84&lt;&gt;"Serviço",0,IF(AND(AUTOEVENTO="Manual",$M84=1),0,IF(OFFSET(CRONOPLE!$F$14,$M84,BN$13)="",10^12,OFFSET(CRONOPLE!$F$14,$M84,BN$13))))</f>
        <v>1000000000000</v>
      </c>
      <c r="BO84" s="181">
        <f ca="1">IF($D84&lt;&gt;"Serviço",0,IF(AND(AUTOEVENTO="Manual",$M84=1),0,IF(OFFSET(CRONOPLE!$F$14,$M84,BO$13)="",10^12,OFFSET(CRONOPLE!$F$14,$M84,BO$13))))</f>
        <v>1000000000000</v>
      </c>
      <c r="BP84" s="181">
        <f ca="1">IF($D84&lt;&gt;"Serviço",0,IF(AND(AUTOEVENTO="Manual",$M84=1),0,IF(OFFSET(CRONOPLE!$F$14,$M84,BP$13)="",10^12,OFFSET(CRONOPLE!$F$14,$M84,BP$13))))</f>
        <v>1000000000000</v>
      </c>
      <c r="BQ84" s="181">
        <f ca="1">IF($D84&lt;&gt;"Serviço",0,IF(AND(AUTOEVENTO="Manual",$M84=1),0,IF(OFFSET(CRONOPLE!$F$14,$M84,BQ$13)="",10^12,OFFSET(CRONOPLE!$F$14,$M84,BQ$13))))</f>
        <v>1000000000000</v>
      </c>
      <c r="BR84" s="181">
        <f ca="1">IF($D84&lt;&gt;"Serviço",0,IF(AND(AUTOEVENTO="Manual",$M84=1),0,IF(OFFSET(CRONOPLE!$F$14,$M84,BR$13)="",10^12,OFFSET(CRONOPLE!$F$14,$M84,BR$13))))</f>
        <v>1000000000000</v>
      </c>
      <c r="BS84" s="181">
        <f ca="1">IF($D84&lt;&gt;"Serviço",0,IF(AND(AUTOEVENTO="Manual",$M84=1),0,IF(OFFSET(CRONOPLE!$F$14,$M84,BS$13)="",10^12,OFFSET(CRONOPLE!$F$14,$M84,BS$13))))</f>
        <v>1000000000000</v>
      </c>
      <c r="BT84" s="181">
        <f ca="1">IF($D84&lt;&gt;"Serviço",0,IF(AND(AUTOEVENTO="Manual",$M84=1),0,IF(OFFSET(CRONOPLE!$F$14,$M84,BT$13)="",10^12,OFFSET(CRONOPLE!$F$14,$M84,BT$13))))</f>
        <v>1000000000000</v>
      </c>
      <c r="BV84" s="182">
        <f ca="1">IF($D84&lt;&gt;"Serviço",0,IF(OR(AND(AUTOEVENTO="Manual",$M84=1),$M84&gt;(ROW(PLE.lastrow)-ROW(PLE.firstrow))),0,IF(OFFSET(PLE!$G$14,$M84,BV$13)="",10^12,OFFSET(PLE!$G$14,$M84,BV$13))))</f>
        <v>1000000000000</v>
      </c>
      <c r="BW84" s="182">
        <f ca="1">IF($D84&lt;&gt;"Serviço",0,IF(OR(AND(AUTOEVENTO="Manual",$M84=1),$M84&gt;(ROW(PLE.lastrow)-ROW(PLE.firstrow))),0,IF(OFFSET(PLE!$G$14,$M84,BW$13)="",10^12,OFFSET(PLE!$G$14,$M84,BW$13))))</f>
        <v>1000000000000</v>
      </c>
      <c r="BX84" s="182">
        <f ca="1">IF($D84&lt;&gt;"Serviço",0,IF(OR(AND(AUTOEVENTO="Manual",$M84=1),$M84&gt;(ROW(PLE.lastrow)-ROW(PLE.firstrow))),0,IF(OFFSET(PLE!$G$14,$M84,BX$13)="",10^12,OFFSET(PLE!$G$14,$M84,BX$13))))</f>
        <v>1000000000000</v>
      </c>
      <c r="BY84" s="182">
        <f ca="1">IF($D84&lt;&gt;"Serviço",0,IF(OR(AND(AUTOEVENTO="Manual",$M84=1),$M84&gt;(ROW(PLE.lastrow)-ROW(PLE.firstrow))),0,IF(OFFSET(PLE!$G$14,$M84,BY$13)="",10^12,OFFSET(PLE!$G$14,$M84,BY$13))))</f>
        <v>1000000000000</v>
      </c>
      <c r="BZ84" s="182">
        <f ca="1">IF($D84&lt;&gt;"Serviço",0,IF(OR(AND(AUTOEVENTO="Manual",$M84=1),$M84&gt;(ROW(PLE.lastrow)-ROW(PLE.firstrow))),0,IF(OFFSET(PLE!$G$14,$M84,BZ$13)="",10^12,OFFSET(PLE!$G$14,$M84,BZ$13))))</f>
        <v>1000000000000</v>
      </c>
      <c r="CA84" s="182">
        <f ca="1">IF($D84&lt;&gt;"Serviço",0,IF(OR(AND(AUTOEVENTO="Manual",$M84=1),$M84&gt;(ROW(PLE.lastrow)-ROW(PLE.firstrow))),0,IF(OFFSET(PLE!$G$14,$M84,CA$13)="",10^12,OFFSET(PLE!$G$14,$M84,CA$13))))</f>
        <v>1000000000000</v>
      </c>
      <c r="CB84" s="182">
        <f ca="1">IF($D84&lt;&gt;"Serviço",0,IF(OR(AND(AUTOEVENTO="Manual",$M84=1),$M84&gt;(ROW(PLE.lastrow)-ROW(PLE.firstrow))),0,IF(OFFSET(PLE!$G$14,$M84,CB$13)="",10^12,OFFSET(PLE!$G$14,$M84,CB$13))))</f>
        <v>1000000000000</v>
      </c>
      <c r="CC84" s="182">
        <f ca="1">IF($D84&lt;&gt;"Serviço",0,IF(OR(AND(AUTOEVENTO="Manual",$M84=1),$M84&gt;(ROW(PLE.lastrow)-ROW(PLE.firstrow))),0,IF(OFFSET(PLE!$G$14,$M84,CC$13)="",10^12,OFFSET(PLE!$G$14,$M84,CC$13))))</f>
        <v>1000000000000</v>
      </c>
      <c r="CD84" s="182">
        <f ca="1">IF($D84&lt;&gt;"Serviço",0,IF(OR(AND(AUTOEVENTO="Manual",$M84=1),$M84&gt;(ROW(PLE.lastrow)-ROW(PLE.firstrow))),0,IF(OFFSET(PLE!$G$14,$M84,CD$13)="",10^12,OFFSET(PLE!$G$14,$M84,CD$13))))</f>
        <v>1000000000000</v>
      </c>
      <c r="CE84" s="182">
        <f ca="1">IF($D84&lt;&gt;"Serviço",0,IF(OR(AND(AUTOEVENTO="Manual",$M84=1),$M84&gt;(ROW(PLE.lastrow)-ROW(PLE.firstrow))),0,IF(OFFSET(PLE!$G$14,$M84,CE$13)="",10^12,OFFSET(PLE!$G$14,$M84,CE$13))))</f>
        <v>1000000000000</v>
      </c>
      <c r="CF84" s="182">
        <f ca="1">IF($D84&lt;&gt;"Serviço",0,IF(OR(AND(AUTOEVENTO="Manual",$M84=1),$M84&gt;(ROW(PLE.lastrow)-ROW(PLE.firstrow))),0,IF(OFFSET(PLE!$G$14,$M84,CF$13)="",10^12,OFFSET(PLE!$G$14,$M84,CF$13))))</f>
        <v>1000000000000</v>
      </c>
      <c r="CG84" s="182">
        <f ca="1">IF($D84&lt;&gt;"Serviço",0,IF(OR(AND(AUTOEVENTO="Manual",$M84=1),$M84&gt;(ROW(PLE.lastrow)-ROW(PLE.firstrow))),0,IF(OFFSET(PLE!$G$14,$M84,CG$13)="",10^12,OFFSET(PLE!$G$14,$M84,CG$13))))</f>
        <v>1000000000000</v>
      </c>
      <c r="CH84" s="182">
        <f ca="1">IF($D84&lt;&gt;"Serviço",0,IF(OR(AND(AUTOEVENTO="Manual",$M84=1),$M84&gt;(ROW(PLE.lastrow)-ROW(PLE.firstrow))),0,IF(OFFSET(PLE!$G$14,$M84,CH$13)="",10^12,OFFSET(PLE!$G$14,$M84,CH$13))))</f>
        <v>1000000000000</v>
      </c>
      <c r="CI84" s="182">
        <f ca="1">IF($D84&lt;&gt;"Serviço",0,IF(OR(AND(AUTOEVENTO="Manual",$M84=1),$M84&gt;(ROW(PLE.lastrow)-ROW(PLE.firstrow))),0,IF(OFFSET(PLE!$G$14,$M84,CI$13)="",10^12,OFFSET(PLE!$G$14,$M84,CI$13))))</f>
        <v>1000000000000</v>
      </c>
      <c r="CJ84" s="182">
        <f ca="1">IF($D84&lt;&gt;"Serviço",0,IF(OR(AND(AUTOEVENTO="Manual",$M84=1),$M84&gt;(ROW(PLE.lastrow)-ROW(PLE.firstrow))),0,IF(OFFSET(PLE!$G$14,$M84,CJ$13)="",10^12,OFFSET(PLE!$G$14,$M84,CJ$13))))</f>
        <v>1000000000000</v>
      </c>
      <c r="CK84" s="182">
        <f ca="1">IF($D84&lt;&gt;"Serviço",0,IF(OR(AND(AUTOEVENTO="Manual",$M84=1),$M84&gt;(ROW(PLE.lastrow)-ROW(PLE.firstrow))),0,IF(OFFSET(PLE!$G$14,$M84,CK$13)="",10^12,OFFSET(PLE!$G$14,$M84,CK$13))))</f>
        <v>1000000000000</v>
      </c>
      <c r="CL84" s="182">
        <f ca="1">IF($D84&lt;&gt;"Serviço",0,IF(OR(AND(AUTOEVENTO="Manual",$M84=1),$M84&gt;(ROW(PLE.lastrow)-ROW(PLE.firstrow))),0,IF(OFFSET(PLE!$G$14,$M84,CL$13)="",10^12,OFFSET(PLE!$G$14,$M84,CL$13))))</f>
        <v>1000000000000</v>
      </c>
      <c r="CM84" s="182">
        <f ca="1">IF($D84&lt;&gt;"Serviço",0,IF(OR(AND(AUTOEVENTO="Manual",$M84=1),$M84&gt;(ROW(PLE.lastrow)-ROW(PLE.firstrow))),0,IF(OFFSET(PLE!$G$14,$M84,CM$13)="",10^12,OFFSET(PLE!$G$14,$M84,CM$13))))</f>
        <v>1000000000000</v>
      </c>
    </row>
    <row r="85" spans="1:91" ht="38.25" x14ac:dyDescent="0.2">
      <c r="A85" s="7" t="str">
        <f t="shared" ca="1" si="10"/>
        <v>66</v>
      </c>
      <c r="B85" s="7" t="str">
        <f ca="1">OFFSET(ORÇAMENTO!C$15,ROW(B85)-ROW(B$15),0)</f>
        <v>S</v>
      </c>
      <c r="C85" s="7" t="str">
        <f ca="1">OFFSET(ORÇAMENTO!L$15,ROW(C85)-ROW(C$15),0)</f>
        <v/>
      </c>
      <c r="D85" s="118" t="str">
        <f ca="1">OFFSET(ORÇAMENTO!N$15,ROW(D85)-ROW(D$15),0)</f>
        <v>Serviço</v>
      </c>
      <c r="E85" s="119" t="str">
        <f ca="1">OFFSET(ORÇAMENTO!O$15,ROW(E85)-ROW(E$15),0)</f>
        <v>-</v>
      </c>
      <c r="F85" s="172" t="str">
        <f ca="1">OFFSET(ORÇAMENTO!R$15,ROW(F85)-ROW(F$15),0)</f>
        <v>(abra o arquivo 'Referência 06-2024.xlsm)</v>
      </c>
      <c r="G85" s="173" t="str">
        <f ca="1">IF($D85&lt;&gt;"Serviço","",OFFSET(ORÇAMENTO!S$15,ROW(G85)-ROW(G$15),0))</f>
        <v>-</v>
      </c>
      <c r="H85" s="124">
        <f ca="1">IF($D85&lt;&gt;"Serviço",0,IF(ACOMPANHAMENTO="BM",ROUND(OFFSET(ORÇAMENTO!AJ$15,ROW(H85)-ROW(H$15),0),15-13*ORÇAMENTO!$AF$7),SUMPRODUCT(($Q$12:$AI$12&lt;&gt;"")*ROUND($Q85:$AI85,15-13*ORÇAMENTO!$AF$7))))</f>
        <v>453.1</v>
      </c>
      <c r="I85" s="561" t="s">
        <v>1107</v>
      </c>
      <c r="K85" s="174" t="s">
        <v>1028</v>
      </c>
      <c r="L85" s="175" t="s">
        <v>255</v>
      </c>
      <c r="M85" s="176">
        <f ca="1">IF($D85&lt;&gt;"Serviço","",IF(AUTOEVENTO="manual",$A85,IF(ISERROR(MATCH($A85,$A$15:OFFSET($A85,-1,0),0)),MAX($M$15:OFFSET(M85,-1,0))+1,INDEX($M$15:OFFSET(M85,-1,0),MATCH($A85,$A$15:OFFSET($A85,-1,0),0)))))</f>
        <v>12</v>
      </c>
      <c r="N85" s="177" t="str">
        <f ca="1">IF($D85&lt;&gt;"Serviço","",IF(AUTOEVENTO="Manual",IF($A85=0,"&lt;-- defina o número do agrupador",OFFSET(EVENTOS!$D$14,$A85,0)),OFFSET($F$15,$A85,0)))</f>
        <v>SUPERESTRUTURA - CONCRETO ARMADO PARA LAJE</v>
      </c>
      <c r="O85" s="178"/>
      <c r="Q85" s="178">
        <v>453.1</v>
      </c>
      <c r="R85" s="179"/>
      <c r="S85" s="179"/>
      <c r="T85" s="179"/>
      <c r="U85" s="179"/>
      <c r="V85" s="179"/>
      <c r="W85" s="179"/>
      <c r="X85" s="179"/>
      <c r="Y85" s="179"/>
      <c r="Z85" s="180"/>
      <c r="AA85" s="179"/>
      <c r="AB85" s="179"/>
      <c r="AC85" s="179"/>
      <c r="AD85" s="179"/>
      <c r="AE85" s="179"/>
      <c r="AF85" s="179"/>
      <c r="AG85" s="179"/>
      <c r="AH85" s="180"/>
      <c r="AJ85" s="544">
        <f ca="1">IF(AND($D85="Serviço",AJ$12&lt;&gt;0,$H85&gt;0,OR(AUTOEVENTO&lt;&gt;"manual",$M85&lt;&gt;1)),
IF(Import.TipoArredondamento&lt;&gt;"TransfereGOV",
ROUND(OFFSET($P85,0,AJ$13),15-13*ORÇAMENTO!$AF$7)/$H85*OFFSET(ORÇAMENTO!$X$15,ROW(AJ85)-ROW(AJ$15),0),
ROUND(ROUND(OFFSET($P85,0,AJ$13),15-13*ORÇAMENTO!$AF$7)*OFFSET(ORÇAMENTO!$W$15,ROW(AJ85)-ROW(AJ$15),0),15-13*ORÇAMENTO!$AF$11)),0)</f>
        <v>0</v>
      </c>
      <c r="AK85" s="545">
        <f ca="1">IF(AND($D85="Serviço",AK$12&lt;&gt;0,$H85&gt;0,OR(AUTOEVENTO&lt;&gt;"manual",$M85&lt;&gt;1)),
IF(Import.TipoArredondamento&lt;&gt;"TransfereGOV",
ROUND(OFFSET($P85,0,AK$13),15-13*ORÇAMENTO!$AF$7)/$H85*OFFSET(ORÇAMENTO!$X$15,ROW(AK85)-ROW(AK$15),0),
ROUND(ROUND(OFFSET($P85,0,AK$13),15-13*ORÇAMENTO!$AF$7)*OFFSET(ORÇAMENTO!$W$15,ROW(AK85)-ROW(AK$15),0),15-13*ORÇAMENTO!$AF$11)),0)</f>
        <v>0</v>
      </c>
      <c r="AL85" s="545">
        <f ca="1">IF(AND($D85="Serviço",AL$12&lt;&gt;0,$H85&gt;0,OR(AUTOEVENTO&lt;&gt;"manual",$M85&lt;&gt;1)),
IF(Import.TipoArredondamento&lt;&gt;"TransfereGOV",
ROUND(OFFSET($P85,0,AL$13),15-13*ORÇAMENTO!$AF$7)/$H85*OFFSET(ORÇAMENTO!$X$15,ROW(AL85)-ROW(AL$15),0),
ROUND(ROUND(OFFSET($P85,0,AL$13),15-13*ORÇAMENTO!$AF$7)*OFFSET(ORÇAMENTO!$W$15,ROW(AL85)-ROW(AL$15),0),15-13*ORÇAMENTO!$AF$11)),0)</f>
        <v>0</v>
      </c>
      <c r="AM85" s="545">
        <f ca="1">IF(AND($D85="Serviço",AM$12&lt;&gt;0,$H85&gt;0,OR(AUTOEVENTO&lt;&gt;"manual",$M85&lt;&gt;1)),
IF(Import.TipoArredondamento&lt;&gt;"TransfereGOV",
ROUND(OFFSET($P85,0,AM$13),15-13*ORÇAMENTO!$AF$7)/$H85*OFFSET(ORÇAMENTO!$X$15,ROW(AM85)-ROW(AM$15),0),
ROUND(ROUND(OFFSET($P85,0,AM$13),15-13*ORÇAMENTO!$AF$7)*OFFSET(ORÇAMENTO!$W$15,ROW(AM85)-ROW(AM$15),0),15-13*ORÇAMENTO!$AF$11)),0)</f>
        <v>0</v>
      </c>
      <c r="AN85" s="545">
        <f ca="1">IF(AND($D85="Serviço",AN$12&lt;&gt;0,$H85&gt;0,OR(AUTOEVENTO&lt;&gt;"manual",$M85&lt;&gt;1)),
IF(Import.TipoArredondamento&lt;&gt;"TransfereGOV",
ROUND(OFFSET($P85,0,AN$13),15-13*ORÇAMENTO!$AF$7)/$H85*OFFSET(ORÇAMENTO!$X$15,ROW(AN85)-ROW(AN$15),0),
ROUND(ROUND(OFFSET($P85,0,AN$13),15-13*ORÇAMENTO!$AF$7)*OFFSET(ORÇAMENTO!$W$15,ROW(AN85)-ROW(AN$15),0),15-13*ORÇAMENTO!$AF$11)),0)</f>
        <v>0</v>
      </c>
      <c r="AO85" s="545">
        <f ca="1">IF(AND($D85="Serviço",AO$12&lt;&gt;0,$H85&gt;0,OR(AUTOEVENTO&lt;&gt;"manual",$M85&lt;&gt;1)),
IF(Import.TipoArredondamento&lt;&gt;"TransfereGOV",
ROUND(OFFSET($P85,0,AO$13),15-13*ORÇAMENTO!$AF$7)/$H85*OFFSET(ORÇAMENTO!$X$15,ROW(AO85)-ROW(AO$15),0),
ROUND(ROUND(OFFSET($P85,0,AO$13),15-13*ORÇAMENTO!$AF$7)*OFFSET(ORÇAMENTO!$W$15,ROW(AO85)-ROW(AO$15),0),15-13*ORÇAMENTO!$AF$11)),0)</f>
        <v>0</v>
      </c>
      <c r="AP85" s="545">
        <f ca="1">IF(AND($D85="Serviço",AP$12&lt;&gt;0,$H85&gt;0,OR(AUTOEVENTO&lt;&gt;"manual",$M85&lt;&gt;1)),
IF(Import.TipoArredondamento&lt;&gt;"TransfereGOV",
ROUND(OFFSET($P85,0,AP$13),15-13*ORÇAMENTO!$AF$7)/$H85*OFFSET(ORÇAMENTO!$X$15,ROW(AP85)-ROW(AP$15),0),
ROUND(ROUND(OFFSET($P85,0,AP$13),15-13*ORÇAMENTO!$AF$7)*OFFSET(ORÇAMENTO!$W$15,ROW(AP85)-ROW(AP$15),0),15-13*ORÇAMENTO!$AF$11)),0)</f>
        <v>0</v>
      </c>
      <c r="AQ85" s="545">
        <f ca="1">IF(AND($D85="Serviço",AQ$12&lt;&gt;0,$H85&gt;0,OR(AUTOEVENTO&lt;&gt;"manual",$M85&lt;&gt;1)),
IF(Import.TipoArredondamento&lt;&gt;"TransfereGOV",
ROUND(OFFSET($P85,0,AQ$13),15-13*ORÇAMENTO!$AF$7)/$H85*OFFSET(ORÇAMENTO!$X$15,ROW(AQ85)-ROW(AQ$15),0),
ROUND(ROUND(OFFSET($P85,0,AQ$13),15-13*ORÇAMENTO!$AF$7)*OFFSET(ORÇAMENTO!$W$15,ROW(AQ85)-ROW(AQ$15),0),15-13*ORÇAMENTO!$AF$11)),0)</f>
        <v>0</v>
      </c>
      <c r="AR85" s="545">
        <f ca="1">IF(AND($D85="Serviço",AR$12&lt;&gt;0,$H85&gt;0,OR(AUTOEVENTO&lt;&gt;"manual",$M85&lt;&gt;1)),
IF(Import.TipoArredondamento&lt;&gt;"TransfereGOV",
ROUND(OFFSET($P85,0,AR$13),15-13*ORÇAMENTO!$AF$7)/$H85*OFFSET(ORÇAMENTO!$X$15,ROW(AR85)-ROW(AR$15),0),
ROUND(ROUND(OFFSET($P85,0,AR$13),15-13*ORÇAMENTO!$AF$7)*OFFSET(ORÇAMENTO!$W$15,ROW(AR85)-ROW(AR$15),0),15-13*ORÇAMENTO!$AF$11)),0)</f>
        <v>0</v>
      </c>
      <c r="AS85" s="546">
        <f ca="1">IF(AND($D85="Serviço",AS$12&lt;&gt;0,$H85&gt;0,OR(AUTOEVENTO&lt;&gt;"manual",$M85&lt;&gt;1)),
IF(Import.TipoArredondamento&lt;&gt;"TransfereGOV",
ROUND(OFFSET($P85,0,AS$13),15-13*ORÇAMENTO!$AF$7)/$H85*OFFSET(ORÇAMENTO!$X$15,ROW(AS85)-ROW(AS$15),0),
ROUND(ROUND(OFFSET($P85,0,AS$13),15-13*ORÇAMENTO!$AF$7)*OFFSET(ORÇAMENTO!$W$15,ROW(AS85)-ROW(AS$15),0),15-13*ORÇAMENTO!$AF$11)),0)</f>
        <v>0</v>
      </c>
      <c r="AT85" s="545">
        <f ca="1">IF(AND($D85="Serviço",AT$12&lt;&gt;0,$H85&gt;0,OR(AUTOEVENTO&lt;&gt;"manual",$M85&lt;&gt;1)),
IF(Import.TipoArredondamento&lt;&gt;"TransfereGOV",
ROUND(OFFSET($P85,0,AT$13),15-13*ORÇAMENTO!$AF$7)/$H85*OFFSET(ORÇAMENTO!$X$15,ROW(AT85)-ROW(AT$15),0),
ROUND(ROUND(OFFSET($P85,0,AT$13),15-13*ORÇAMENTO!$AF$7)*OFFSET(ORÇAMENTO!$W$15,ROW(AT85)-ROW(AT$15),0),15-13*ORÇAMENTO!$AF$11)),0)</f>
        <v>0</v>
      </c>
      <c r="AU85" s="545">
        <f ca="1">IF(AND($D85="Serviço",AU$12&lt;&gt;0,$H85&gt;0,OR(AUTOEVENTO&lt;&gt;"manual",$M85&lt;&gt;1)),
IF(Import.TipoArredondamento&lt;&gt;"TransfereGOV",
ROUND(OFFSET($P85,0,AU$13),15-13*ORÇAMENTO!$AF$7)/$H85*OFFSET(ORÇAMENTO!$X$15,ROW(AU85)-ROW(AU$15),0),
ROUND(ROUND(OFFSET($P85,0,AU$13),15-13*ORÇAMENTO!$AF$7)*OFFSET(ORÇAMENTO!$W$15,ROW(AU85)-ROW(AU$15),0),15-13*ORÇAMENTO!$AF$11)),0)</f>
        <v>0</v>
      </c>
      <c r="AV85" s="545">
        <f ca="1">IF(AND($D85="Serviço",AV$12&lt;&gt;0,$H85&gt;0,OR(AUTOEVENTO&lt;&gt;"manual",$M85&lt;&gt;1)),
IF(Import.TipoArredondamento&lt;&gt;"TransfereGOV",
ROUND(OFFSET($P85,0,AV$13),15-13*ORÇAMENTO!$AF$7)/$H85*OFFSET(ORÇAMENTO!$X$15,ROW(AV85)-ROW(AV$15),0),
ROUND(ROUND(OFFSET($P85,0,AV$13),15-13*ORÇAMENTO!$AF$7)*OFFSET(ORÇAMENTO!$W$15,ROW(AV85)-ROW(AV$15),0),15-13*ORÇAMENTO!$AF$11)),0)</f>
        <v>0</v>
      </c>
      <c r="AW85" s="545">
        <f ca="1">IF(AND($D85="Serviço",AW$12&lt;&gt;0,$H85&gt;0,OR(AUTOEVENTO&lt;&gt;"manual",$M85&lt;&gt;1)),
IF(Import.TipoArredondamento&lt;&gt;"TransfereGOV",
ROUND(OFFSET($P85,0,AW$13),15-13*ORÇAMENTO!$AF$7)/$H85*OFFSET(ORÇAMENTO!$X$15,ROW(AW85)-ROW(AW$15),0),
ROUND(ROUND(OFFSET($P85,0,AW$13),15-13*ORÇAMENTO!$AF$7)*OFFSET(ORÇAMENTO!$W$15,ROW(AW85)-ROW(AW$15),0),15-13*ORÇAMENTO!$AF$11)),0)</f>
        <v>0</v>
      </c>
      <c r="AX85" s="545">
        <f ca="1">IF(AND($D85="Serviço",AX$12&lt;&gt;0,$H85&gt;0,OR(AUTOEVENTO&lt;&gt;"manual",$M85&lt;&gt;1)),
IF(Import.TipoArredondamento&lt;&gt;"TransfereGOV",
ROUND(OFFSET($P85,0,AX$13),15-13*ORÇAMENTO!$AF$7)/$H85*OFFSET(ORÇAMENTO!$X$15,ROW(AX85)-ROW(AX$15),0),
ROUND(ROUND(OFFSET($P85,0,AX$13),15-13*ORÇAMENTO!$AF$7)*OFFSET(ORÇAMENTO!$W$15,ROW(AX85)-ROW(AX$15),0),15-13*ORÇAMENTO!$AF$11)),0)</f>
        <v>0</v>
      </c>
      <c r="AY85" s="545">
        <f ca="1">IF(AND($D85="Serviço",AY$12&lt;&gt;0,$H85&gt;0,OR(AUTOEVENTO&lt;&gt;"manual",$M85&lt;&gt;1)),
IF(Import.TipoArredondamento&lt;&gt;"TransfereGOV",
ROUND(OFFSET($P85,0,AY$13),15-13*ORÇAMENTO!$AF$7)/$H85*OFFSET(ORÇAMENTO!$X$15,ROW(AY85)-ROW(AY$15),0),
ROUND(ROUND(OFFSET($P85,0,AY$13),15-13*ORÇAMENTO!$AF$7)*OFFSET(ORÇAMENTO!$W$15,ROW(AY85)-ROW(AY$15),0),15-13*ORÇAMENTO!$AF$11)),0)</f>
        <v>0</v>
      </c>
      <c r="AZ85" s="545">
        <f ca="1">IF(AND($D85="Serviço",AZ$12&lt;&gt;0,$H85&gt;0,OR(AUTOEVENTO&lt;&gt;"manual",$M85&lt;&gt;1)),
IF(Import.TipoArredondamento&lt;&gt;"TransfereGOV",
ROUND(OFFSET($P85,0,AZ$13),15-13*ORÇAMENTO!$AF$7)/$H85*OFFSET(ORÇAMENTO!$X$15,ROW(AZ85)-ROW(AZ$15),0),
ROUND(ROUND(OFFSET($P85,0,AZ$13),15-13*ORÇAMENTO!$AF$7)*OFFSET(ORÇAMENTO!$W$15,ROW(AZ85)-ROW(AZ$15),0),15-13*ORÇAMENTO!$AF$11)),0)</f>
        <v>0</v>
      </c>
      <c r="BA85" s="546">
        <f ca="1">IF(AND($D85="Serviço",BA$12&lt;&gt;0,$H85&gt;0,OR(AUTOEVENTO&lt;&gt;"manual",$M85&lt;&gt;1)),
IF(Import.TipoArredondamento&lt;&gt;"TransfereGOV",
ROUND(OFFSET($P85,0,BA$13),15-13*ORÇAMENTO!$AF$7)/$H85*OFFSET(ORÇAMENTO!$X$15,ROW(BA85)-ROW(BA$15),0),
ROUND(ROUND(OFFSET($P85,0,BA$13),15-13*ORÇAMENTO!$AF$7)*OFFSET(ORÇAMENTO!$W$15,ROW(BA85)-ROW(BA$15),0),15-13*ORÇAMENTO!$AF$11)),0)</f>
        <v>0</v>
      </c>
      <c r="BC85" s="181">
        <f ca="1">IF($D85&lt;&gt;"Serviço",0,IF(AND(AUTOEVENTO="Manual",$M85=1),0,IF(OFFSET(CRONOPLE!$F$14,$M85,BC$13)="",10^12,OFFSET(CRONOPLE!$F$14,$M85,BC$13))))</f>
        <v>4</v>
      </c>
      <c r="BD85" s="181">
        <f ca="1">IF($D85&lt;&gt;"Serviço",0,IF(AND(AUTOEVENTO="Manual",$M85=1),0,IF(OFFSET(CRONOPLE!$F$14,$M85,BD$13)="",10^12,OFFSET(CRONOPLE!$F$14,$M85,BD$13))))</f>
        <v>1000000000000</v>
      </c>
      <c r="BE85" s="181">
        <f ca="1">IF($D85&lt;&gt;"Serviço",0,IF(AND(AUTOEVENTO="Manual",$M85=1),0,IF(OFFSET(CRONOPLE!$F$14,$M85,BE$13)="",10^12,OFFSET(CRONOPLE!$F$14,$M85,BE$13))))</f>
        <v>1000000000000</v>
      </c>
      <c r="BF85" s="181">
        <f ca="1">IF($D85&lt;&gt;"Serviço",0,IF(AND(AUTOEVENTO="Manual",$M85=1),0,IF(OFFSET(CRONOPLE!$F$14,$M85,BF$13)="",10^12,OFFSET(CRONOPLE!$F$14,$M85,BF$13))))</f>
        <v>1000000000000</v>
      </c>
      <c r="BG85" s="181">
        <f ca="1">IF($D85&lt;&gt;"Serviço",0,IF(AND(AUTOEVENTO="Manual",$M85=1),0,IF(OFFSET(CRONOPLE!$F$14,$M85,BG$13)="",10^12,OFFSET(CRONOPLE!$F$14,$M85,BG$13))))</f>
        <v>1000000000000</v>
      </c>
      <c r="BH85" s="181">
        <f ca="1">IF($D85&lt;&gt;"Serviço",0,IF(AND(AUTOEVENTO="Manual",$M85=1),0,IF(OFFSET(CRONOPLE!$F$14,$M85,BH$13)="",10^12,OFFSET(CRONOPLE!$F$14,$M85,BH$13))))</f>
        <v>1000000000000</v>
      </c>
      <c r="BI85" s="181">
        <f ca="1">IF($D85&lt;&gt;"Serviço",0,IF(AND(AUTOEVENTO="Manual",$M85=1),0,IF(OFFSET(CRONOPLE!$F$14,$M85,BI$13)="",10^12,OFFSET(CRONOPLE!$F$14,$M85,BI$13))))</f>
        <v>1000000000000</v>
      </c>
      <c r="BJ85" s="181">
        <f ca="1">IF($D85&lt;&gt;"Serviço",0,IF(AND(AUTOEVENTO="Manual",$M85=1),0,IF(OFFSET(CRONOPLE!$F$14,$M85,BJ$13)="",10^12,OFFSET(CRONOPLE!$F$14,$M85,BJ$13))))</f>
        <v>1000000000000</v>
      </c>
      <c r="BK85" s="181">
        <f ca="1">IF($D85&lt;&gt;"Serviço",0,IF(AND(AUTOEVENTO="Manual",$M85=1),0,IF(OFFSET(CRONOPLE!$F$14,$M85,BK$13)="",10^12,OFFSET(CRONOPLE!$F$14,$M85,BK$13))))</f>
        <v>1000000000000</v>
      </c>
      <c r="BL85" s="181">
        <f ca="1">IF($D85&lt;&gt;"Serviço",0,IF(AND(AUTOEVENTO="Manual",$M85=1),0,IF(OFFSET(CRONOPLE!$F$14,$M85,BL$13)="",10^12,OFFSET(CRONOPLE!$F$14,$M85,BL$13))))</f>
        <v>1000000000000</v>
      </c>
      <c r="BM85" s="181">
        <f ca="1">IF($D85&lt;&gt;"Serviço",0,IF(AND(AUTOEVENTO="Manual",$M85=1),0,IF(OFFSET(CRONOPLE!$F$14,$M85,BM$13)="",10^12,OFFSET(CRONOPLE!$F$14,$M85,BM$13))))</f>
        <v>1000000000000</v>
      </c>
      <c r="BN85" s="181">
        <f ca="1">IF($D85&lt;&gt;"Serviço",0,IF(AND(AUTOEVENTO="Manual",$M85=1),0,IF(OFFSET(CRONOPLE!$F$14,$M85,BN$13)="",10^12,OFFSET(CRONOPLE!$F$14,$M85,BN$13))))</f>
        <v>1000000000000</v>
      </c>
      <c r="BO85" s="181">
        <f ca="1">IF($D85&lt;&gt;"Serviço",0,IF(AND(AUTOEVENTO="Manual",$M85=1),0,IF(OFFSET(CRONOPLE!$F$14,$M85,BO$13)="",10^12,OFFSET(CRONOPLE!$F$14,$M85,BO$13))))</f>
        <v>1000000000000</v>
      </c>
      <c r="BP85" s="181">
        <f ca="1">IF($D85&lt;&gt;"Serviço",0,IF(AND(AUTOEVENTO="Manual",$M85=1),0,IF(OFFSET(CRONOPLE!$F$14,$M85,BP$13)="",10^12,OFFSET(CRONOPLE!$F$14,$M85,BP$13))))</f>
        <v>1000000000000</v>
      </c>
      <c r="BQ85" s="181">
        <f ca="1">IF($D85&lt;&gt;"Serviço",0,IF(AND(AUTOEVENTO="Manual",$M85=1),0,IF(OFFSET(CRONOPLE!$F$14,$M85,BQ$13)="",10^12,OFFSET(CRONOPLE!$F$14,$M85,BQ$13))))</f>
        <v>1000000000000</v>
      </c>
      <c r="BR85" s="181">
        <f ca="1">IF($D85&lt;&gt;"Serviço",0,IF(AND(AUTOEVENTO="Manual",$M85=1),0,IF(OFFSET(CRONOPLE!$F$14,$M85,BR$13)="",10^12,OFFSET(CRONOPLE!$F$14,$M85,BR$13))))</f>
        <v>1000000000000</v>
      </c>
      <c r="BS85" s="181">
        <f ca="1">IF($D85&lt;&gt;"Serviço",0,IF(AND(AUTOEVENTO="Manual",$M85=1),0,IF(OFFSET(CRONOPLE!$F$14,$M85,BS$13)="",10^12,OFFSET(CRONOPLE!$F$14,$M85,BS$13))))</f>
        <v>1000000000000</v>
      </c>
      <c r="BT85" s="181">
        <f ca="1">IF($D85&lt;&gt;"Serviço",0,IF(AND(AUTOEVENTO="Manual",$M85=1),0,IF(OFFSET(CRONOPLE!$F$14,$M85,BT$13)="",10^12,OFFSET(CRONOPLE!$F$14,$M85,BT$13))))</f>
        <v>1000000000000</v>
      </c>
      <c r="BV85" s="182">
        <f ca="1">IF($D85&lt;&gt;"Serviço",0,IF(OR(AND(AUTOEVENTO="Manual",$M85=1),$M85&gt;(ROW(PLE.lastrow)-ROW(PLE.firstrow))),0,IF(OFFSET(PLE!$G$14,$M85,BV$13)="",10^12,OFFSET(PLE!$G$14,$M85,BV$13))))</f>
        <v>1000000000000</v>
      </c>
      <c r="BW85" s="182">
        <f ca="1">IF($D85&lt;&gt;"Serviço",0,IF(OR(AND(AUTOEVENTO="Manual",$M85=1),$M85&gt;(ROW(PLE.lastrow)-ROW(PLE.firstrow))),0,IF(OFFSET(PLE!$G$14,$M85,BW$13)="",10^12,OFFSET(PLE!$G$14,$M85,BW$13))))</f>
        <v>1000000000000</v>
      </c>
      <c r="BX85" s="182">
        <f ca="1">IF($D85&lt;&gt;"Serviço",0,IF(OR(AND(AUTOEVENTO="Manual",$M85=1),$M85&gt;(ROW(PLE.lastrow)-ROW(PLE.firstrow))),0,IF(OFFSET(PLE!$G$14,$M85,BX$13)="",10^12,OFFSET(PLE!$G$14,$M85,BX$13))))</f>
        <v>1000000000000</v>
      </c>
      <c r="BY85" s="182">
        <f ca="1">IF($D85&lt;&gt;"Serviço",0,IF(OR(AND(AUTOEVENTO="Manual",$M85=1),$M85&gt;(ROW(PLE.lastrow)-ROW(PLE.firstrow))),0,IF(OFFSET(PLE!$G$14,$M85,BY$13)="",10^12,OFFSET(PLE!$G$14,$M85,BY$13))))</f>
        <v>1000000000000</v>
      </c>
      <c r="BZ85" s="182">
        <f ca="1">IF($D85&lt;&gt;"Serviço",0,IF(OR(AND(AUTOEVENTO="Manual",$M85=1),$M85&gt;(ROW(PLE.lastrow)-ROW(PLE.firstrow))),0,IF(OFFSET(PLE!$G$14,$M85,BZ$13)="",10^12,OFFSET(PLE!$G$14,$M85,BZ$13))))</f>
        <v>1000000000000</v>
      </c>
      <c r="CA85" s="182">
        <f ca="1">IF($D85&lt;&gt;"Serviço",0,IF(OR(AND(AUTOEVENTO="Manual",$M85=1),$M85&gt;(ROW(PLE.lastrow)-ROW(PLE.firstrow))),0,IF(OFFSET(PLE!$G$14,$M85,CA$13)="",10^12,OFFSET(PLE!$G$14,$M85,CA$13))))</f>
        <v>1000000000000</v>
      </c>
      <c r="CB85" s="182">
        <f ca="1">IF($D85&lt;&gt;"Serviço",0,IF(OR(AND(AUTOEVENTO="Manual",$M85=1),$M85&gt;(ROW(PLE.lastrow)-ROW(PLE.firstrow))),0,IF(OFFSET(PLE!$G$14,$M85,CB$13)="",10^12,OFFSET(PLE!$G$14,$M85,CB$13))))</f>
        <v>1000000000000</v>
      </c>
      <c r="CC85" s="182">
        <f ca="1">IF($D85&lt;&gt;"Serviço",0,IF(OR(AND(AUTOEVENTO="Manual",$M85=1),$M85&gt;(ROW(PLE.lastrow)-ROW(PLE.firstrow))),0,IF(OFFSET(PLE!$G$14,$M85,CC$13)="",10^12,OFFSET(PLE!$G$14,$M85,CC$13))))</f>
        <v>1000000000000</v>
      </c>
      <c r="CD85" s="182">
        <f ca="1">IF($D85&lt;&gt;"Serviço",0,IF(OR(AND(AUTOEVENTO="Manual",$M85=1),$M85&gt;(ROW(PLE.lastrow)-ROW(PLE.firstrow))),0,IF(OFFSET(PLE!$G$14,$M85,CD$13)="",10^12,OFFSET(PLE!$G$14,$M85,CD$13))))</f>
        <v>1000000000000</v>
      </c>
      <c r="CE85" s="182">
        <f ca="1">IF($D85&lt;&gt;"Serviço",0,IF(OR(AND(AUTOEVENTO="Manual",$M85=1),$M85&gt;(ROW(PLE.lastrow)-ROW(PLE.firstrow))),0,IF(OFFSET(PLE!$G$14,$M85,CE$13)="",10^12,OFFSET(PLE!$G$14,$M85,CE$13))))</f>
        <v>1000000000000</v>
      </c>
      <c r="CF85" s="182">
        <f ca="1">IF($D85&lt;&gt;"Serviço",0,IF(OR(AND(AUTOEVENTO="Manual",$M85=1),$M85&gt;(ROW(PLE.lastrow)-ROW(PLE.firstrow))),0,IF(OFFSET(PLE!$G$14,$M85,CF$13)="",10^12,OFFSET(PLE!$G$14,$M85,CF$13))))</f>
        <v>1000000000000</v>
      </c>
      <c r="CG85" s="182">
        <f ca="1">IF($D85&lt;&gt;"Serviço",0,IF(OR(AND(AUTOEVENTO="Manual",$M85=1),$M85&gt;(ROW(PLE.lastrow)-ROW(PLE.firstrow))),0,IF(OFFSET(PLE!$G$14,$M85,CG$13)="",10^12,OFFSET(PLE!$G$14,$M85,CG$13))))</f>
        <v>1000000000000</v>
      </c>
      <c r="CH85" s="182">
        <f ca="1">IF($D85&lt;&gt;"Serviço",0,IF(OR(AND(AUTOEVENTO="Manual",$M85=1),$M85&gt;(ROW(PLE.lastrow)-ROW(PLE.firstrow))),0,IF(OFFSET(PLE!$G$14,$M85,CH$13)="",10^12,OFFSET(PLE!$G$14,$M85,CH$13))))</f>
        <v>1000000000000</v>
      </c>
      <c r="CI85" s="182">
        <f ca="1">IF($D85&lt;&gt;"Serviço",0,IF(OR(AND(AUTOEVENTO="Manual",$M85=1),$M85&gt;(ROW(PLE.lastrow)-ROW(PLE.firstrow))),0,IF(OFFSET(PLE!$G$14,$M85,CI$13)="",10^12,OFFSET(PLE!$G$14,$M85,CI$13))))</f>
        <v>1000000000000</v>
      </c>
      <c r="CJ85" s="182">
        <f ca="1">IF($D85&lt;&gt;"Serviço",0,IF(OR(AND(AUTOEVENTO="Manual",$M85=1),$M85&gt;(ROW(PLE.lastrow)-ROW(PLE.firstrow))),0,IF(OFFSET(PLE!$G$14,$M85,CJ$13)="",10^12,OFFSET(PLE!$G$14,$M85,CJ$13))))</f>
        <v>1000000000000</v>
      </c>
      <c r="CK85" s="182">
        <f ca="1">IF($D85&lt;&gt;"Serviço",0,IF(OR(AND(AUTOEVENTO="Manual",$M85=1),$M85&gt;(ROW(PLE.lastrow)-ROW(PLE.firstrow))),0,IF(OFFSET(PLE!$G$14,$M85,CK$13)="",10^12,OFFSET(PLE!$G$14,$M85,CK$13))))</f>
        <v>1000000000000</v>
      </c>
      <c r="CL85" s="182">
        <f ca="1">IF($D85&lt;&gt;"Serviço",0,IF(OR(AND(AUTOEVENTO="Manual",$M85=1),$M85&gt;(ROW(PLE.lastrow)-ROW(PLE.firstrow))),0,IF(OFFSET(PLE!$G$14,$M85,CL$13)="",10^12,OFFSET(PLE!$G$14,$M85,CL$13))))</f>
        <v>1000000000000</v>
      </c>
      <c r="CM85" s="182">
        <f ca="1">IF($D85&lt;&gt;"Serviço",0,IF(OR(AND(AUTOEVENTO="Manual",$M85=1),$M85&gt;(ROW(PLE.lastrow)-ROW(PLE.firstrow))),0,IF(OFFSET(PLE!$G$14,$M85,CM$13)="",10^12,OFFSET(PLE!$G$14,$M85,CM$13))))</f>
        <v>1000000000000</v>
      </c>
    </row>
    <row r="86" spans="1:91" ht="38.25" x14ac:dyDescent="0.2">
      <c r="A86" s="7" t="str">
        <f t="shared" ca="1" si="10"/>
        <v>66</v>
      </c>
      <c r="B86" s="7" t="str">
        <f ca="1">OFFSET(ORÇAMENTO!C$15,ROW(B86)-ROW(B$15),0)</f>
        <v>S</v>
      </c>
      <c r="C86" s="7" t="str">
        <f ca="1">OFFSET(ORÇAMENTO!L$15,ROW(C86)-ROW(C$15),0)</f>
        <v/>
      </c>
      <c r="D86" s="118" t="str">
        <f ca="1">OFFSET(ORÇAMENTO!N$15,ROW(D86)-ROW(D$15),0)</f>
        <v>Serviço</v>
      </c>
      <c r="E86" s="119" t="str">
        <f ca="1">OFFSET(ORÇAMENTO!O$15,ROW(E86)-ROW(E$15),0)</f>
        <v>-</v>
      </c>
      <c r="F86" s="172" t="str">
        <f ca="1">OFFSET(ORÇAMENTO!R$15,ROW(F86)-ROW(F$15),0)</f>
        <v>(abra o arquivo 'Referência 06-2024.xlsm)</v>
      </c>
      <c r="G86" s="173" t="str">
        <f ca="1">IF($D86&lt;&gt;"Serviço","",OFFSET(ORÇAMENTO!S$15,ROW(G86)-ROW(G$15),0))</f>
        <v>-</v>
      </c>
      <c r="H86" s="124">
        <f ca="1">IF($D86&lt;&gt;"Serviço",0,IF(ACOMPANHAMENTO="BM",ROUND(OFFSET(ORÇAMENTO!AJ$15,ROW(H86)-ROW(H$15),0),15-13*ORÇAMENTO!$AF$7),SUMPRODUCT(($Q$12:$AI$12&lt;&gt;"")*ROUND($Q86:$AI86,15-13*ORÇAMENTO!$AF$7))))</f>
        <v>3.5</v>
      </c>
      <c r="I86" s="561" t="s">
        <v>1107</v>
      </c>
      <c r="K86" s="174" t="s">
        <v>1028</v>
      </c>
      <c r="L86" s="175" t="s">
        <v>255</v>
      </c>
      <c r="M86" s="176">
        <f ca="1">IF($D86&lt;&gt;"Serviço","",IF(AUTOEVENTO="manual",$A86,IF(ISERROR(MATCH($A86,$A$15:OFFSET($A86,-1,0),0)),MAX($M$15:OFFSET(M86,-1,0))+1,INDEX($M$15:OFFSET(M86,-1,0),MATCH($A86,$A$15:OFFSET($A86,-1,0),0)))))</f>
        <v>12</v>
      </c>
      <c r="N86" s="177" t="str">
        <f ca="1">IF($D86&lt;&gt;"Serviço","",IF(AUTOEVENTO="Manual",IF($A86=0,"&lt;-- defina o número do agrupador",OFFSET(EVENTOS!$D$14,$A86,0)),OFFSET($F$15,$A86,0)))</f>
        <v>SUPERESTRUTURA - CONCRETO ARMADO PARA LAJE</v>
      </c>
      <c r="O86" s="178"/>
      <c r="Q86" s="178">
        <v>3.5</v>
      </c>
      <c r="R86" s="179"/>
      <c r="S86" s="179"/>
      <c r="T86" s="179"/>
      <c r="U86" s="179"/>
      <c r="V86" s="179"/>
      <c r="W86" s="179"/>
      <c r="X86" s="179"/>
      <c r="Y86" s="179"/>
      <c r="Z86" s="180"/>
      <c r="AA86" s="179"/>
      <c r="AB86" s="179"/>
      <c r="AC86" s="179"/>
      <c r="AD86" s="179"/>
      <c r="AE86" s="179"/>
      <c r="AF86" s="179"/>
      <c r="AG86" s="179"/>
      <c r="AH86" s="180"/>
      <c r="AJ86" s="544">
        <f ca="1">IF(AND($D86="Serviço",AJ$12&lt;&gt;0,$H86&gt;0,OR(AUTOEVENTO&lt;&gt;"manual",$M86&lt;&gt;1)),
IF(Import.TipoArredondamento&lt;&gt;"TransfereGOV",
ROUND(OFFSET($P86,0,AJ$13),15-13*ORÇAMENTO!$AF$7)/$H86*OFFSET(ORÇAMENTO!$X$15,ROW(AJ86)-ROW(AJ$15),0),
ROUND(ROUND(OFFSET($P86,0,AJ$13),15-13*ORÇAMENTO!$AF$7)*OFFSET(ORÇAMENTO!$W$15,ROW(AJ86)-ROW(AJ$15),0),15-13*ORÇAMENTO!$AF$11)),0)</f>
        <v>0</v>
      </c>
      <c r="AK86" s="545">
        <f ca="1">IF(AND($D86="Serviço",AK$12&lt;&gt;0,$H86&gt;0,OR(AUTOEVENTO&lt;&gt;"manual",$M86&lt;&gt;1)),
IF(Import.TipoArredondamento&lt;&gt;"TransfereGOV",
ROUND(OFFSET($P86,0,AK$13),15-13*ORÇAMENTO!$AF$7)/$H86*OFFSET(ORÇAMENTO!$X$15,ROW(AK86)-ROW(AK$15),0),
ROUND(ROUND(OFFSET($P86,0,AK$13),15-13*ORÇAMENTO!$AF$7)*OFFSET(ORÇAMENTO!$W$15,ROW(AK86)-ROW(AK$15),0),15-13*ORÇAMENTO!$AF$11)),0)</f>
        <v>0</v>
      </c>
      <c r="AL86" s="545">
        <f ca="1">IF(AND($D86="Serviço",AL$12&lt;&gt;0,$H86&gt;0,OR(AUTOEVENTO&lt;&gt;"manual",$M86&lt;&gt;1)),
IF(Import.TipoArredondamento&lt;&gt;"TransfereGOV",
ROUND(OFFSET($P86,0,AL$13),15-13*ORÇAMENTO!$AF$7)/$H86*OFFSET(ORÇAMENTO!$X$15,ROW(AL86)-ROW(AL$15),0),
ROUND(ROUND(OFFSET($P86,0,AL$13),15-13*ORÇAMENTO!$AF$7)*OFFSET(ORÇAMENTO!$W$15,ROW(AL86)-ROW(AL$15),0),15-13*ORÇAMENTO!$AF$11)),0)</f>
        <v>0</v>
      </c>
      <c r="AM86" s="545">
        <f ca="1">IF(AND($D86="Serviço",AM$12&lt;&gt;0,$H86&gt;0,OR(AUTOEVENTO&lt;&gt;"manual",$M86&lt;&gt;1)),
IF(Import.TipoArredondamento&lt;&gt;"TransfereGOV",
ROUND(OFFSET($P86,0,AM$13),15-13*ORÇAMENTO!$AF$7)/$H86*OFFSET(ORÇAMENTO!$X$15,ROW(AM86)-ROW(AM$15),0),
ROUND(ROUND(OFFSET($P86,0,AM$13),15-13*ORÇAMENTO!$AF$7)*OFFSET(ORÇAMENTO!$W$15,ROW(AM86)-ROW(AM$15),0),15-13*ORÇAMENTO!$AF$11)),0)</f>
        <v>0</v>
      </c>
      <c r="AN86" s="545">
        <f ca="1">IF(AND($D86="Serviço",AN$12&lt;&gt;0,$H86&gt;0,OR(AUTOEVENTO&lt;&gt;"manual",$M86&lt;&gt;1)),
IF(Import.TipoArredondamento&lt;&gt;"TransfereGOV",
ROUND(OFFSET($P86,0,AN$13),15-13*ORÇAMENTO!$AF$7)/$H86*OFFSET(ORÇAMENTO!$X$15,ROW(AN86)-ROW(AN$15),0),
ROUND(ROUND(OFFSET($P86,0,AN$13),15-13*ORÇAMENTO!$AF$7)*OFFSET(ORÇAMENTO!$W$15,ROW(AN86)-ROW(AN$15),0),15-13*ORÇAMENTO!$AF$11)),0)</f>
        <v>0</v>
      </c>
      <c r="AO86" s="545">
        <f ca="1">IF(AND($D86="Serviço",AO$12&lt;&gt;0,$H86&gt;0,OR(AUTOEVENTO&lt;&gt;"manual",$M86&lt;&gt;1)),
IF(Import.TipoArredondamento&lt;&gt;"TransfereGOV",
ROUND(OFFSET($P86,0,AO$13),15-13*ORÇAMENTO!$AF$7)/$H86*OFFSET(ORÇAMENTO!$X$15,ROW(AO86)-ROW(AO$15),0),
ROUND(ROUND(OFFSET($P86,0,AO$13),15-13*ORÇAMENTO!$AF$7)*OFFSET(ORÇAMENTO!$W$15,ROW(AO86)-ROW(AO$15),0),15-13*ORÇAMENTO!$AF$11)),0)</f>
        <v>0</v>
      </c>
      <c r="AP86" s="545">
        <f ca="1">IF(AND($D86="Serviço",AP$12&lt;&gt;0,$H86&gt;0,OR(AUTOEVENTO&lt;&gt;"manual",$M86&lt;&gt;1)),
IF(Import.TipoArredondamento&lt;&gt;"TransfereGOV",
ROUND(OFFSET($P86,0,AP$13),15-13*ORÇAMENTO!$AF$7)/$H86*OFFSET(ORÇAMENTO!$X$15,ROW(AP86)-ROW(AP$15),0),
ROUND(ROUND(OFFSET($P86,0,AP$13),15-13*ORÇAMENTO!$AF$7)*OFFSET(ORÇAMENTO!$W$15,ROW(AP86)-ROW(AP$15),0),15-13*ORÇAMENTO!$AF$11)),0)</f>
        <v>0</v>
      </c>
      <c r="AQ86" s="545">
        <f ca="1">IF(AND($D86="Serviço",AQ$12&lt;&gt;0,$H86&gt;0,OR(AUTOEVENTO&lt;&gt;"manual",$M86&lt;&gt;1)),
IF(Import.TipoArredondamento&lt;&gt;"TransfereGOV",
ROUND(OFFSET($P86,0,AQ$13),15-13*ORÇAMENTO!$AF$7)/$H86*OFFSET(ORÇAMENTO!$X$15,ROW(AQ86)-ROW(AQ$15),0),
ROUND(ROUND(OFFSET($P86,0,AQ$13),15-13*ORÇAMENTO!$AF$7)*OFFSET(ORÇAMENTO!$W$15,ROW(AQ86)-ROW(AQ$15),0),15-13*ORÇAMENTO!$AF$11)),0)</f>
        <v>0</v>
      </c>
      <c r="AR86" s="545">
        <f ca="1">IF(AND($D86="Serviço",AR$12&lt;&gt;0,$H86&gt;0,OR(AUTOEVENTO&lt;&gt;"manual",$M86&lt;&gt;1)),
IF(Import.TipoArredondamento&lt;&gt;"TransfereGOV",
ROUND(OFFSET($P86,0,AR$13),15-13*ORÇAMENTO!$AF$7)/$H86*OFFSET(ORÇAMENTO!$X$15,ROW(AR86)-ROW(AR$15),0),
ROUND(ROUND(OFFSET($P86,0,AR$13),15-13*ORÇAMENTO!$AF$7)*OFFSET(ORÇAMENTO!$W$15,ROW(AR86)-ROW(AR$15),0),15-13*ORÇAMENTO!$AF$11)),0)</f>
        <v>0</v>
      </c>
      <c r="AS86" s="546">
        <f ca="1">IF(AND($D86="Serviço",AS$12&lt;&gt;0,$H86&gt;0,OR(AUTOEVENTO&lt;&gt;"manual",$M86&lt;&gt;1)),
IF(Import.TipoArredondamento&lt;&gt;"TransfereGOV",
ROUND(OFFSET($P86,0,AS$13),15-13*ORÇAMENTO!$AF$7)/$H86*OFFSET(ORÇAMENTO!$X$15,ROW(AS86)-ROW(AS$15),0),
ROUND(ROUND(OFFSET($P86,0,AS$13),15-13*ORÇAMENTO!$AF$7)*OFFSET(ORÇAMENTO!$W$15,ROW(AS86)-ROW(AS$15),0),15-13*ORÇAMENTO!$AF$11)),0)</f>
        <v>0</v>
      </c>
      <c r="AT86" s="545">
        <f ca="1">IF(AND($D86="Serviço",AT$12&lt;&gt;0,$H86&gt;0,OR(AUTOEVENTO&lt;&gt;"manual",$M86&lt;&gt;1)),
IF(Import.TipoArredondamento&lt;&gt;"TransfereGOV",
ROUND(OFFSET($P86,0,AT$13),15-13*ORÇAMENTO!$AF$7)/$H86*OFFSET(ORÇAMENTO!$X$15,ROW(AT86)-ROW(AT$15),0),
ROUND(ROUND(OFFSET($P86,0,AT$13),15-13*ORÇAMENTO!$AF$7)*OFFSET(ORÇAMENTO!$W$15,ROW(AT86)-ROW(AT$15),0),15-13*ORÇAMENTO!$AF$11)),0)</f>
        <v>0</v>
      </c>
      <c r="AU86" s="545">
        <f ca="1">IF(AND($D86="Serviço",AU$12&lt;&gt;0,$H86&gt;0,OR(AUTOEVENTO&lt;&gt;"manual",$M86&lt;&gt;1)),
IF(Import.TipoArredondamento&lt;&gt;"TransfereGOV",
ROUND(OFFSET($P86,0,AU$13),15-13*ORÇAMENTO!$AF$7)/$H86*OFFSET(ORÇAMENTO!$X$15,ROW(AU86)-ROW(AU$15),0),
ROUND(ROUND(OFFSET($P86,0,AU$13),15-13*ORÇAMENTO!$AF$7)*OFFSET(ORÇAMENTO!$W$15,ROW(AU86)-ROW(AU$15),0),15-13*ORÇAMENTO!$AF$11)),0)</f>
        <v>0</v>
      </c>
      <c r="AV86" s="545">
        <f ca="1">IF(AND($D86="Serviço",AV$12&lt;&gt;0,$H86&gt;0,OR(AUTOEVENTO&lt;&gt;"manual",$M86&lt;&gt;1)),
IF(Import.TipoArredondamento&lt;&gt;"TransfereGOV",
ROUND(OFFSET($P86,0,AV$13),15-13*ORÇAMENTO!$AF$7)/$H86*OFFSET(ORÇAMENTO!$X$15,ROW(AV86)-ROW(AV$15),0),
ROUND(ROUND(OFFSET($P86,0,AV$13),15-13*ORÇAMENTO!$AF$7)*OFFSET(ORÇAMENTO!$W$15,ROW(AV86)-ROW(AV$15),0),15-13*ORÇAMENTO!$AF$11)),0)</f>
        <v>0</v>
      </c>
      <c r="AW86" s="545">
        <f ca="1">IF(AND($D86="Serviço",AW$12&lt;&gt;0,$H86&gt;0,OR(AUTOEVENTO&lt;&gt;"manual",$M86&lt;&gt;1)),
IF(Import.TipoArredondamento&lt;&gt;"TransfereGOV",
ROUND(OFFSET($P86,0,AW$13),15-13*ORÇAMENTO!$AF$7)/$H86*OFFSET(ORÇAMENTO!$X$15,ROW(AW86)-ROW(AW$15),0),
ROUND(ROUND(OFFSET($P86,0,AW$13),15-13*ORÇAMENTO!$AF$7)*OFFSET(ORÇAMENTO!$W$15,ROW(AW86)-ROW(AW$15),0),15-13*ORÇAMENTO!$AF$11)),0)</f>
        <v>0</v>
      </c>
      <c r="AX86" s="545">
        <f ca="1">IF(AND($D86="Serviço",AX$12&lt;&gt;0,$H86&gt;0,OR(AUTOEVENTO&lt;&gt;"manual",$M86&lt;&gt;1)),
IF(Import.TipoArredondamento&lt;&gt;"TransfereGOV",
ROUND(OFFSET($P86,0,AX$13),15-13*ORÇAMENTO!$AF$7)/$H86*OFFSET(ORÇAMENTO!$X$15,ROW(AX86)-ROW(AX$15),0),
ROUND(ROUND(OFFSET($P86,0,AX$13),15-13*ORÇAMENTO!$AF$7)*OFFSET(ORÇAMENTO!$W$15,ROW(AX86)-ROW(AX$15),0),15-13*ORÇAMENTO!$AF$11)),0)</f>
        <v>0</v>
      </c>
      <c r="AY86" s="545">
        <f ca="1">IF(AND($D86="Serviço",AY$12&lt;&gt;0,$H86&gt;0,OR(AUTOEVENTO&lt;&gt;"manual",$M86&lt;&gt;1)),
IF(Import.TipoArredondamento&lt;&gt;"TransfereGOV",
ROUND(OFFSET($P86,0,AY$13),15-13*ORÇAMENTO!$AF$7)/$H86*OFFSET(ORÇAMENTO!$X$15,ROW(AY86)-ROW(AY$15),0),
ROUND(ROUND(OFFSET($P86,0,AY$13),15-13*ORÇAMENTO!$AF$7)*OFFSET(ORÇAMENTO!$W$15,ROW(AY86)-ROW(AY$15),0),15-13*ORÇAMENTO!$AF$11)),0)</f>
        <v>0</v>
      </c>
      <c r="AZ86" s="545">
        <f ca="1">IF(AND($D86="Serviço",AZ$12&lt;&gt;0,$H86&gt;0,OR(AUTOEVENTO&lt;&gt;"manual",$M86&lt;&gt;1)),
IF(Import.TipoArredondamento&lt;&gt;"TransfereGOV",
ROUND(OFFSET($P86,0,AZ$13),15-13*ORÇAMENTO!$AF$7)/$H86*OFFSET(ORÇAMENTO!$X$15,ROW(AZ86)-ROW(AZ$15),0),
ROUND(ROUND(OFFSET($P86,0,AZ$13),15-13*ORÇAMENTO!$AF$7)*OFFSET(ORÇAMENTO!$W$15,ROW(AZ86)-ROW(AZ$15),0),15-13*ORÇAMENTO!$AF$11)),0)</f>
        <v>0</v>
      </c>
      <c r="BA86" s="546">
        <f ca="1">IF(AND($D86="Serviço",BA$12&lt;&gt;0,$H86&gt;0,OR(AUTOEVENTO&lt;&gt;"manual",$M86&lt;&gt;1)),
IF(Import.TipoArredondamento&lt;&gt;"TransfereGOV",
ROUND(OFFSET($P86,0,BA$13),15-13*ORÇAMENTO!$AF$7)/$H86*OFFSET(ORÇAMENTO!$X$15,ROW(BA86)-ROW(BA$15),0),
ROUND(ROUND(OFFSET($P86,0,BA$13),15-13*ORÇAMENTO!$AF$7)*OFFSET(ORÇAMENTO!$W$15,ROW(BA86)-ROW(BA$15),0),15-13*ORÇAMENTO!$AF$11)),0)</f>
        <v>0</v>
      </c>
      <c r="BC86" s="181">
        <f ca="1">IF($D86&lt;&gt;"Serviço",0,IF(AND(AUTOEVENTO="Manual",$M86=1),0,IF(OFFSET(CRONOPLE!$F$14,$M86,BC$13)="",10^12,OFFSET(CRONOPLE!$F$14,$M86,BC$13))))</f>
        <v>4</v>
      </c>
      <c r="BD86" s="181">
        <f ca="1">IF($D86&lt;&gt;"Serviço",0,IF(AND(AUTOEVENTO="Manual",$M86=1),0,IF(OFFSET(CRONOPLE!$F$14,$M86,BD$13)="",10^12,OFFSET(CRONOPLE!$F$14,$M86,BD$13))))</f>
        <v>1000000000000</v>
      </c>
      <c r="BE86" s="181">
        <f ca="1">IF($D86&lt;&gt;"Serviço",0,IF(AND(AUTOEVENTO="Manual",$M86=1),0,IF(OFFSET(CRONOPLE!$F$14,$M86,BE$13)="",10^12,OFFSET(CRONOPLE!$F$14,$M86,BE$13))))</f>
        <v>1000000000000</v>
      </c>
      <c r="BF86" s="181">
        <f ca="1">IF($D86&lt;&gt;"Serviço",0,IF(AND(AUTOEVENTO="Manual",$M86=1),0,IF(OFFSET(CRONOPLE!$F$14,$M86,BF$13)="",10^12,OFFSET(CRONOPLE!$F$14,$M86,BF$13))))</f>
        <v>1000000000000</v>
      </c>
      <c r="BG86" s="181">
        <f ca="1">IF($D86&lt;&gt;"Serviço",0,IF(AND(AUTOEVENTO="Manual",$M86=1),0,IF(OFFSET(CRONOPLE!$F$14,$M86,BG$13)="",10^12,OFFSET(CRONOPLE!$F$14,$M86,BG$13))))</f>
        <v>1000000000000</v>
      </c>
      <c r="BH86" s="181">
        <f ca="1">IF($D86&lt;&gt;"Serviço",0,IF(AND(AUTOEVENTO="Manual",$M86=1),0,IF(OFFSET(CRONOPLE!$F$14,$M86,BH$13)="",10^12,OFFSET(CRONOPLE!$F$14,$M86,BH$13))))</f>
        <v>1000000000000</v>
      </c>
      <c r="BI86" s="181">
        <f ca="1">IF($D86&lt;&gt;"Serviço",0,IF(AND(AUTOEVENTO="Manual",$M86=1),0,IF(OFFSET(CRONOPLE!$F$14,$M86,BI$13)="",10^12,OFFSET(CRONOPLE!$F$14,$M86,BI$13))))</f>
        <v>1000000000000</v>
      </c>
      <c r="BJ86" s="181">
        <f ca="1">IF($D86&lt;&gt;"Serviço",0,IF(AND(AUTOEVENTO="Manual",$M86=1),0,IF(OFFSET(CRONOPLE!$F$14,$M86,BJ$13)="",10^12,OFFSET(CRONOPLE!$F$14,$M86,BJ$13))))</f>
        <v>1000000000000</v>
      </c>
      <c r="BK86" s="181">
        <f ca="1">IF($D86&lt;&gt;"Serviço",0,IF(AND(AUTOEVENTO="Manual",$M86=1),0,IF(OFFSET(CRONOPLE!$F$14,$M86,BK$13)="",10^12,OFFSET(CRONOPLE!$F$14,$M86,BK$13))))</f>
        <v>1000000000000</v>
      </c>
      <c r="BL86" s="181">
        <f ca="1">IF($D86&lt;&gt;"Serviço",0,IF(AND(AUTOEVENTO="Manual",$M86=1),0,IF(OFFSET(CRONOPLE!$F$14,$M86,BL$13)="",10^12,OFFSET(CRONOPLE!$F$14,$M86,BL$13))))</f>
        <v>1000000000000</v>
      </c>
      <c r="BM86" s="181">
        <f ca="1">IF($D86&lt;&gt;"Serviço",0,IF(AND(AUTOEVENTO="Manual",$M86=1),0,IF(OFFSET(CRONOPLE!$F$14,$M86,BM$13)="",10^12,OFFSET(CRONOPLE!$F$14,$M86,BM$13))))</f>
        <v>1000000000000</v>
      </c>
      <c r="BN86" s="181">
        <f ca="1">IF($D86&lt;&gt;"Serviço",0,IF(AND(AUTOEVENTO="Manual",$M86=1),0,IF(OFFSET(CRONOPLE!$F$14,$M86,BN$13)="",10^12,OFFSET(CRONOPLE!$F$14,$M86,BN$13))))</f>
        <v>1000000000000</v>
      </c>
      <c r="BO86" s="181">
        <f ca="1">IF($D86&lt;&gt;"Serviço",0,IF(AND(AUTOEVENTO="Manual",$M86=1),0,IF(OFFSET(CRONOPLE!$F$14,$M86,BO$13)="",10^12,OFFSET(CRONOPLE!$F$14,$M86,BO$13))))</f>
        <v>1000000000000</v>
      </c>
      <c r="BP86" s="181">
        <f ca="1">IF($D86&lt;&gt;"Serviço",0,IF(AND(AUTOEVENTO="Manual",$M86=1),0,IF(OFFSET(CRONOPLE!$F$14,$M86,BP$13)="",10^12,OFFSET(CRONOPLE!$F$14,$M86,BP$13))))</f>
        <v>1000000000000</v>
      </c>
      <c r="BQ86" s="181">
        <f ca="1">IF($D86&lt;&gt;"Serviço",0,IF(AND(AUTOEVENTO="Manual",$M86=1),0,IF(OFFSET(CRONOPLE!$F$14,$M86,BQ$13)="",10^12,OFFSET(CRONOPLE!$F$14,$M86,BQ$13))))</f>
        <v>1000000000000</v>
      </c>
      <c r="BR86" s="181">
        <f ca="1">IF($D86&lt;&gt;"Serviço",0,IF(AND(AUTOEVENTO="Manual",$M86=1),0,IF(OFFSET(CRONOPLE!$F$14,$M86,BR$13)="",10^12,OFFSET(CRONOPLE!$F$14,$M86,BR$13))))</f>
        <v>1000000000000</v>
      </c>
      <c r="BS86" s="181">
        <f ca="1">IF($D86&lt;&gt;"Serviço",0,IF(AND(AUTOEVENTO="Manual",$M86=1),0,IF(OFFSET(CRONOPLE!$F$14,$M86,BS$13)="",10^12,OFFSET(CRONOPLE!$F$14,$M86,BS$13))))</f>
        <v>1000000000000</v>
      </c>
      <c r="BT86" s="181">
        <f ca="1">IF($D86&lt;&gt;"Serviço",0,IF(AND(AUTOEVENTO="Manual",$M86=1),0,IF(OFFSET(CRONOPLE!$F$14,$M86,BT$13)="",10^12,OFFSET(CRONOPLE!$F$14,$M86,BT$13))))</f>
        <v>1000000000000</v>
      </c>
      <c r="BV86" s="182">
        <f ca="1">IF($D86&lt;&gt;"Serviço",0,IF(OR(AND(AUTOEVENTO="Manual",$M86=1),$M86&gt;(ROW(PLE.lastrow)-ROW(PLE.firstrow))),0,IF(OFFSET(PLE!$G$14,$M86,BV$13)="",10^12,OFFSET(PLE!$G$14,$M86,BV$13))))</f>
        <v>1000000000000</v>
      </c>
      <c r="BW86" s="182">
        <f ca="1">IF($D86&lt;&gt;"Serviço",0,IF(OR(AND(AUTOEVENTO="Manual",$M86=1),$M86&gt;(ROW(PLE.lastrow)-ROW(PLE.firstrow))),0,IF(OFFSET(PLE!$G$14,$M86,BW$13)="",10^12,OFFSET(PLE!$G$14,$M86,BW$13))))</f>
        <v>1000000000000</v>
      </c>
      <c r="BX86" s="182">
        <f ca="1">IF($D86&lt;&gt;"Serviço",0,IF(OR(AND(AUTOEVENTO="Manual",$M86=1),$M86&gt;(ROW(PLE.lastrow)-ROW(PLE.firstrow))),0,IF(OFFSET(PLE!$G$14,$M86,BX$13)="",10^12,OFFSET(PLE!$G$14,$M86,BX$13))))</f>
        <v>1000000000000</v>
      </c>
      <c r="BY86" s="182">
        <f ca="1">IF($D86&lt;&gt;"Serviço",0,IF(OR(AND(AUTOEVENTO="Manual",$M86=1),$M86&gt;(ROW(PLE.lastrow)-ROW(PLE.firstrow))),0,IF(OFFSET(PLE!$G$14,$M86,BY$13)="",10^12,OFFSET(PLE!$G$14,$M86,BY$13))))</f>
        <v>1000000000000</v>
      </c>
      <c r="BZ86" s="182">
        <f ca="1">IF($D86&lt;&gt;"Serviço",0,IF(OR(AND(AUTOEVENTO="Manual",$M86=1),$M86&gt;(ROW(PLE.lastrow)-ROW(PLE.firstrow))),0,IF(OFFSET(PLE!$G$14,$M86,BZ$13)="",10^12,OFFSET(PLE!$G$14,$M86,BZ$13))))</f>
        <v>1000000000000</v>
      </c>
      <c r="CA86" s="182">
        <f ca="1">IF($D86&lt;&gt;"Serviço",0,IF(OR(AND(AUTOEVENTO="Manual",$M86=1),$M86&gt;(ROW(PLE.lastrow)-ROW(PLE.firstrow))),0,IF(OFFSET(PLE!$G$14,$M86,CA$13)="",10^12,OFFSET(PLE!$G$14,$M86,CA$13))))</f>
        <v>1000000000000</v>
      </c>
      <c r="CB86" s="182">
        <f ca="1">IF($D86&lt;&gt;"Serviço",0,IF(OR(AND(AUTOEVENTO="Manual",$M86=1),$M86&gt;(ROW(PLE.lastrow)-ROW(PLE.firstrow))),0,IF(OFFSET(PLE!$G$14,$M86,CB$13)="",10^12,OFFSET(PLE!$G$14,$M86,CB$13))))</f>
        <v>1000000000000</v>
      </c>
      <c r="CC86" s="182">
        <f ca="1">IF($D86&lt;&gt;"Serviço",0,IF(OR(AND(AUTOEVENTO="Manual",$M86=1),$M86&gt;(ROW(PLE.lastrow)-ROW(PLE.firstrow))),0,IF(OFFSET(PLE!$G$14,$M86,CC$13)="",10^12,OFFSET(PLE!$G$14,$M86,CC$13))))</f>
        <v>1000000000000</v>
      </c>
      <c r="CD86" s="182">
        <f ca="1">IF($D86&lt;&gt;"Serviço",0,IF(OR(AND(AUTOEVENTO="Manual",$M86=1),$M86&gt;(ROW(PLE.lastrow)-ROW(PLE.firstrow))),0,IF(OFFSET(PLE!$G$14,$M86,CD$13)="",10^12,OFFSET(PLE!$G$14,$M86,CD$13))))</f>
        <v>1000000000000</v>
      </c>
      <c r="CE86" s="182">
        <f ca="1">IF($D86&lt;&gt;"Serviço",0,IF(OR(AND(AUTOEVENTO="Manual",$M86=1),$M86&gt;(ROW(PLE.lastrow)-ROW(PLE.firstrow))),0,IF(OFFSET(PLE!$G$14,$M86,CE$13)="",10^12,OFFSET(PLE!$G$14,$M86,CE$13))))</f>
        <v>1000000000000</v>
      </c>
      <c r="CF86" s="182">
        <f ca="1">IF($D86&lt;&gt;"Serviço",0,IF(OR(AND(AUTOEVENTO="Manual",$M86=1),$M86&gt;(ROW(PLE.lastrow)-ROW(PLE.firstrow))),0,IF(OFFSET(PLE!$G$14,$M86,CF$13)="",10^12,OFFSET(PLE!$G$14,$M86,CF$13))))</f>
        <v>1000000000000</v>
      </c>
      <c r="CG86" s="182">
        <f ca="1">IF($D86&lt;&gt;"Serviço",0,IF(OR(AND(AUTOEVENTO="Manual",$M86=1),$M86&gt;(ROW(PLE.lastrow)-ROW(PLE.firstrow))),0,IF(OFFSET(PLE!$G$14,$M86,CG$13)="",10^12,OFFSET(PLE!$G$14,$M86,CG$13))))</f>
        <v>1000000000000</v>
      </c>
      <c r="CH86" s="182">
        <f ca="1">IF($D86&lt;&gt;"Serviço",0,IF(OR(AND(AUTOEVENTO="Manual",$M86=1),$M86&gt;(ROW(PLE.lastrow)-ROW(PLE.firstrow))),0,IF(OFFSET(PLE!$G$14,$M86,CH$13)="",10^12,OFFSET(PLE!$G$14,$M86,CH$13))))</f>
        <v>1000000000000</v>
      </c>
      <c r="CI86" s="182">
        <f ca="1">IF($D86&lt;&gt;"Serviço",0,IF(OR(AND(AUTOEVENTO="Manual",$M86=1),$M86&gt;(ROW(PLE.lastrow)-ROW(PLE.firstrow))),0,IF(OFFSET(PLE!$G$14,$M86,CI$13)="",10^12,OFFSET(PLE!$G$14,$M86,CI$13))))</f>
        <v>1000000000000</v>
      </c>
      <c r="CJ86" s="182">
        <f ca="1">IF($D86&lt;&gt;"Serviço",0,IF(OR(AND(AUTOEVENTO="Manual",$M86=1),$M86&gt;(ROW(PLE.lastrow)-ROW(PLE.firstrow))),0,IF(OFFSET(PLE!$G$14,$M86,CJ$13)="",10^12,OFFSET(PLE!$G$14,$M86,CJ$13))))</f>
        <v>1000000000000</v>
      </c>
      <c r="CK86" s="182">
        <f ca="1">IF($D86&lt;&gt;"Serviço",0,IF(OR(AND(AUTOEVENTO="Manual",$M86=1),$M86&gt;(ROW(PLE.lastrow)-ROW(PLE.firstrow))),0,IF(OFFSET(PLE!$G$14,$M86,CK$13)="",10^12,OFFSET(PLE!$G$14,$M86,CK$13))))</f>
        <v>1000000000000</v>
      </c>
      <c r="CL86" s="182">
        <f ca="1">IF($D86&lt;&gt;"Serviço",0,IF(OR(AND(AUTOEVENTO="Manual",$M86=1),$M86&gt;(ROW(PLE.lastrow)-ROW(PLE.firstrow))),0,IF(OFFSET(PLE!$G$14,$M86,CL$13)="",10^12,OFFSET(PLE!$G$14,$M86,CL$13))))</f>
        <v>1000000000000</v>
      </c>
      <c r="CM86" s="182">
        <f ca="1">IF($D86&lt;&gt;"Serviço",0,IF(OR(AND(AUTOEVENTO="Manual",$M86=1),$M86&gt;(ROW(PLE.lastrow)-ROW(PLE.firstrow))),0,IF(OFFSET(PLE!$G$14,$M86,CM$13)="",10^12,OFFSET(PLE!$G$14,$M86,CM$13))))</f>
        <v>1000000000000</v>
      </c>
    </row>
    <row r="87" spans="1:91" ht="38.25" x14ac:dyDescent="0.2">
      <c r="A87" s="7" t="str">
        <f t="shared" ca="1" si="10"/>
        <v>66</v>
      </c>
      <c r="B87" s="7" t="str">
        <f ca="1">OFFSET(ORÇAMENTO!C$15,ROW(B87)-ROW(B$15),0)</f>
        <v>S</v>
      </c>
      <c r="C87" s="7" t="str">
        <f ca="1">OFFSET(ORÇAMENTO!L$15,ROW(C87)-ROW(C$15),0)</f>
        <v/>
      </c>
      <c r="D87" s="118" t="str">
        <f ca="1">OFFSET(ORÇAMENTO!N$15,ROW(D87)-ROW(D$15),0)</f>
        <v>Serviço</v>
      </c>
      <c r="E87" s="119" t="str">
        <f ca="1">OFFSET(ORÇAMENTO!O$15,ROW(E87)-ROW(E$15),0)</f>
        <v>-</v>
      </c>
      <c r="F87" s="172" t="str">
        <f ca="1">OFFSET(ORÇAMENTO!R$15,ROW(F87)-ROW(F$15),0)</f>
        <v>(abra o arquivo 'Referência 06-2024.xlsm)</v>
      </c>
      <c r="G87" s="173" t="str">
        <f ca="1">IF($D87&lt;&gt;"Serviço","",OFFSET(ORÇAMENTO!S$15,ROW(G87)-ROW(G$15),0))</f>
        <v>-</v>
      </c>
      <c r="H87" s="124">
        <f ca="1">IF($D87&lt;&gt;"Serviço",0,IF(ACOMPANHAMENTO="BM",ROUND(OFFSET(ORÇAMENTO!AJ$15,ROW(H87)-ROW(H$15),0),15-13*ORÇAMENTO!$AF$7),SUMPRODUCT(($Q$12:$AI$12&lt;&gt;"")*ROUND($Q87:$AI87,15-13*ORÇAMENTO!$AF$7))))</f>
        <v>0.2</v>
      </c>
      <c r="I87" s="561" t="s">
        <v>1107</v>
      </c>
      <c r="K87" s="174" t="s">
        <v>1028</v>
      </c>
      <c r="L87" s="175" t="s">
        <v>255</v>
      </c>
      <c r="M87" s="176">
        <f ca="1">IF($D87&lt;&gt;"Serviço","",IF(AUTOEVENTO="manual",$A87,IF(ISERROR(MATCH($A87,$A$15:OFFSET($A87,-1,0),0)),MAX($M$15:OFFSET(M87,-1,0))+1,INDEX($M$15:OFFSET(M87,-1,0),MATCH($A87,$A$15:OFFSET($A87,-1,0),0)))))</f>
        <v>12</v>
      </c>
      <c r="N87" s="177" t="str">
        <f ca="1">IF($D87&lt;&gt;"Serviço","",IF(AUTOEVENTO="Manual",IF($A87=0,"&lt;-- defina o número do agrupador",OFFSET(EVENTOS!$D$14,$A87,0)),OFFSET($F$15,$A87,0)))</f>
        <v>SUPERESTRUTURA - CONCRETO ARMADO PARA LAJE</v>
      </c>
      <c r="O87" s="178"/>
      <c r="Q87" s="178">
        <v>0.2</v>
      </c>
      <c r="R87" s="179"/>
      <c r="S87" s="179"/>
      <c r="T87" s="179"/>
      <c r="U87" s="179"/>
      <c r="V87" s="179"/>
      <c r="W87" s="179"/>
      <c r="X87" s="179"/>
      <c r="Y87" s="179"/>
      <c r="Z87" s="180"/>
      <c r="AA87" s="179"/>
      <c r="AB87" s="179"/>
      <c r="AC87" s="179"/>
      <c r="AD87" s="179"/>
      <c r="AE87" s="179"/>
      <c r="AF87" s="179"/>
      <c r="AG87" s="179"/>
      <c r="AH87" s="180"/>
      <c r="AJ87" s="544">
        <f ca="1">IF(AND($D87="Serviço",AJ$12&lt;&gt;0,$H87&gt;0,OR(AUTOEVENTO&lt;&gt;"manual",$M87&lt;&gt;1)),
IF(Import.TipoArredondamento&lt;&gt;"TransfereGOV",
ROUND(OFFSET($P87,0,AJ$13),15-13*ORÇAMENTO!$AF$7)/$H87*OFFSET(ORÇAMENTO!$X$15,ROW(AJ87)-ROW(AJ$15),0),
ROUND(ROUND(OFFSET($P87,0,AJ$13),15-13*ORÇAMENTO!$AF$7)*OFFSET(ORÇAMENTO!$W$15,ROW(AJ87)-ROW(AJ$15),0),15-13*ORÇAMENTO!$AF$11)),0)</f>
        <v>0</v>
      </c>
      <c r="AK87" s="545">
        <f ca="1">IF(AND($D87="Serviço",AK$12&lt;&gt;0,$H87&gt;0,OR(AUTOEVENTO&lt;&gt;"manual",$M87&lt;&gt;1)),
IF(Import.TipoArredondamento&lt;&gt;"TransfereGOV",
ROUND(OFFSET($P87,0,AK$13),15-13*ORÇAMENTO!$AF$7)/$H87*OFFSET(ORÇAMENTO!$X$15,ROW(AK87)-ROW(AK$15),0),
ROUND(ROUND(OFFSET($P87,0,AK$13),15-13*ORÇAMENTO!$AF$7)*OFFSET(ORÇAMENTO!$W$15,ROW(AK87)-ROW(AK$15),0),15-13*ORÇAMENTO!$AF$11)),0)</f>
        <v>0</v>
      </c>
      <c r="AL87" s="545">
        <f ca="1">IF(AND($D87="Serviço",AL$12&lt;&gt;0,$H87&gt;0,OR(AUTOEVENTO&lt;&gt;"manual",$M87&lt;&gt;1)),
IF(Import.TipoArredondamento&lt;&gt;"TransfereGOV",
ROUND(OFFSET($P87,0,AL$13),15-13*ORÇAMENTO!$AF$7)/$H87*OFFSET(ORÇAMENTO!$X$15,ROW(AL87)-ROW(AL$15),0),
ROUND(ROUND(OFFSET($P87,0,AL$13),15-13*ORÇAMENTO!$AF$7)*OFFSET(ORÇAMENTO!$W$15,ROW(AL87)-ROW(AL$15),0),15-13*ORÇAMENTO!$AF$11)),0)</f>
        <v>0</v>
      </c>
      <c r="AM87" s="545">
        <f ca="1">IF(AND($D87="Serviço",AM$12&lt;&gt;0,$H87&gt;0,OR(AUTOEVENTO&lt;&gt;"manual",$M87&lt;&gt;1)),
IF(Import.TipoArredondamento&lt;&gt;"TransfereGOV",
ROUND(OFFSET($P87,0,AM$13),15-13*ORÇAMENTO!$AF$7)/$H87*OFFSET(ORÇAMENTO!$X$15,ROW(AM87)-ROW(AM$15),0),
ROUND(ROUND(OFFSET($P87,0,AM$13),15-13*ORÇAMENTO!$AF$7)*OFFSET(ORÇAMENTO!$W$15,ROW(AM87)-ROW(AM$15),0),15-13*ORÇAMENTO!$AF$11)),0)</f>
        <v>0</v>
      </c>
      <c r="AN87" s="545">
        <f ca="1">IF(AND($D87="Serviço",AN$12&lt;&gt;0,$H87&gt;0,OR(AUTOEVENTO&lt;&gt;"manual",$M87&lt;&gt;1)),
IF(Import.TipoArredondamento&lt;&gt;"TransfereGOV",
ROUND(OFFSET($P87,0,AN$13),15-13*ORÇAMENTO!$AF$7)/$H87*OFFSET(ORÇAMENTO!$X$15,ROW(AN87)-ROW(AN$15),0),
ROUND(ROUND(OFFSET($P87,0,AN$13),15-13*ORÇAMENTO!$AF$7)*OFFSET(ORÇAMENTO!$W$15,ROW(AN87)-ROW(AN$15),0),15-13*ORÇAMENTO!$AF$11)),0)</f>
        <v>0</v>
      </c>
      <c r="AO87" s="545">
        <f ca="1">IF(AND($D87="Serviço",AO$12&lt;&gt;0,$H87&gt;0,OR(AUTOEVENTO&lt;&gt;"manual",$M87&lt;&gt;1)),
IF(Import.TipoArredondamento&lt;&gt;"TransfereGOV",
ROUND(OFFSET($P87,0,AO$13),15-13*ORÇAMENTO!$AF$7)/$H87*OFFSET(ORÇAMENTO!$X$15,ROW(AO87)-ROW(AO$15),0),
ROUND(ROUND(OFFSET($P87,0,AO$13),15-13*ORÇAMENTO!$AF$7)*OFFSET(ORÇAMENTO!$W$15,ROW(AO87)-ROW(AO$15),0),15-13*ORÇAMENTO!$AF$11)),0)</f>
        <v>0</v>
      </c>
      <c r="AP87" s="545">
        <f ca="1">IF(AND($D87="Serviço",AP$12&lt;&gt;0,$H87&gt;0,OR(AUTOEVENTO&lt;&gt;"manual",$M87&lt;&gt;1)),
IF(Import.TipoArredondamento&lt;&gt;"TransfereGOV",
ROUND(OFFSET($P87,0,AP$13),15-13*ORÇAMENTO!$AF$7)/$H87*OFFSET(ORÇAMENTO!$X$15,ROW(AP87)-ROW(AP$15),0),
ROUND(ROUND(OFFSET($P87,0,AP$13),15-13*ORÇAMENTO!$AF$7)*OFFSET(ORÇAMENTO!$W$15,ROW(AP87)-ROW(AP$15),0),15-13*ORÇAMENTO!$AF$11)),0)</f>
        <v>0</v>
      </c>
      <c r="AQ87" s="545">
        <f ca="1">IF(AND($D87="Serviço",AQ$12&lt;&gt;0,$H87&gt;0,OR(AUTOEVENTO&lt;&gt;"manual",$M87&lt;&gt;1)),
IF(Import.TipoArredondamento&lt;&gt;"TransfereGOV",
ROUND(OFFSET($P87,0,AQ$13),15-13*ORÇAMENTO!$AF$7)/$H87*OFFSET(ORÇAMENTO!$X$15,ROW(AQ87)-ROW(AQ$15),0),
ROUND(ROUND(OFFSET($P87,0,AQ$13),15-13*ORÇAMENTO!$AF$7)*OFFSET(ORÇAMENTO!$W$15,ROW(AQ87)-ROW(AQ$15),0),15-13*ORÇAMENTO!$AF$11)),0)</f>
        <v>0</v>
      </c>
      <c r="AR87" s="545">
        <f ca="1">IF(AND($D87="Serviço",AR$12&lt;&gt;0,$H87&gt;0,OR(AUTOEVENTO&lt;&gt;"manual",$M87&lt;&gt;1)),
IF(Import.TipoArredondamento&lt;&gt;"TransfereGOV",
ROUND(OFFSET($P87,0,AR$13),15-13*ORÇAMENTO!$AF$7)/$H87*OFFSET(ORÇAMENTO!$X$15,ROW(AR87)-ROW(AR$15),0),
ROUND(ROUND(OFFSET($P87,0,AR$13),15-13*ORÇAMENTO!$AF$7)*OFFSET(ORÇAMENTO!$W$15,ROW(AR87)-ROW(AR$15),0),15-13*ORÇAMENTO!$AF$11)),0)</f>
        <v>0</v>
      </c>
      <c r="AS87" s="546">
        <f ca="1">IF(AND($D87="Serviço",AS$12&lt;&gt;0,$H87&gt;0,OR(AUTOEVENTO&lt;&gt;"manual",$M87&lt;&gt;1)),
IF(Import.TipoArredondamento&lt;&gt;"TransfereGOV",
ROUND(OFFSET($P87,0,AS$13),15-13*ORÇAMENTO!$AF$7)/$H87*OFFSET(ORÇAMENTO!$X$15,ROW(AS87)-ROW(AS$15),0),
ROUND(ROUND(OFFSET($P87,0,AS$13),15-13*ORÇAMENTO!$AF$7)*OFFSET(ORÇAMENTO!$W$15,ROW(AS87)-ROW(AS$15),0),15-13*ORÇAMENTO!$AF$11)),0)</f>
        <v>0</v>
      </c>
      <c r="AT87" s="545">
        <f ca="1">IF(AND($D87="Serviço",AT$12&lt;&gt;0,$H87&gt;0,OR(AUTOEVENTO&lt;&gt;"manual",$M87&lt;&gt;1)),
IF(Import.TipoArredondamento&lt;&gt;"TransfereGOV",
ROUND(OFFSET($P87,0,AT$13),15-13*ORÇAMENTO!$AF$7)/$H87*OFFSET(ORÇAMENTO!$X$15,ROW(AT87)-ROW(AT$15),0),
ROUND(ROUND(OFFSET($P87,0,AT$13),15-13*ORÇAMENTO!$AF$7)*OFFSET(ORÇAMENTO!$W$15,ROW(AT87)-ROW(AT$15),0),15-13*ORÇAMENTO!$AF$11)),0)</f>
        <v>0</v>
      </c>
      <c r="AU87" s="545">
        <f ca="1">IF(AND($D87="Serviço",AU$12&lt;&gt;0,$H87&gt;0,OR(AUTOEVENTO&lt;&gt;"manual",$M87&lt;&gt;1)),
IF(Import.TipoArredondamento&lt;&gt;"TransfereGOV",
ROUND(OFFSET($P87,0,AU$13),15-13*ORÇAMENTO!$AF$7)/$H87*OFFSET(ORÇAMENTO!$X$15,ROW(AU87)-ROW(AU$15),0),
ROUND(ROUND(OFFSET($P87,0,AU$13),15-13*ORÇAMENTO!$AF$7)*OFFSET(ORÇAMENTO!$W$15,ROW(AU87)-ROW(AU$15),0),15-13*ORÇAMENTO!$AF$11)),0)</f>
        <v>0</v>
      </c>
      <c r="AV87" s="545">
        <f ca="1">IF(AND($D87="Serviço",AV$12&lt;&gt;0,$H87&gt;0,OR(AUTOEVENTO&lt;&gt;"manual",$M87&lt;&gt;1)),
IF(Import.TipoArredondamento&lt;&gt;"TransfereGOV",
ROUND(OFFSET($P87,0,AV$13),15-13*ORÇAMENTO!$AF$7)/$H87*OFFSET(ORÇAMENTO!$X$15,ROW(AV87)-ROW(AV$15),0),
ROUND(ROUND(OFFSET($P87,0,AV$13),15-13*ORÇAMENTO!$AF$7)*OFFSET(ORÇAMENTO!$W$15,ROW(AV87)-ROW(AV$15),0),15-13*ORÇAMENTO!$AF$11)),0)</f>
        <v>0</v>
      </c>
      <c r="AW87" s="545">
        <f ca="1">IF(AND($D87="Serviço",AW$12&lt;&gt;0,$H87&gt;0,OR(AUTOEVENTO&lt;&gt;"manual",$M87&lt;&gt;1)),
IF(Import.TipoArredondamento&lt;&gt;"TransfereGOV",
ROUND(OFFSET($P87,0,AW$13),15-13*ORÇAMENTO!$AF$7)/$H87*OFFSET(ORÇAMENTO!$X$15,ROW(AW87)-ROW(AW$15),0),
ROUND(ROUND(OFFSET($P87,0,AW$13),15-13*ORÇAMENTO!$AF$7)*OFFSET(ORÇAMENTO!$W$15,ROW(AW87)-ROW(AW$15),0),15-13*ORÇAMENTO!$AF$11)),0)</f>
        <v>0</v>
      </c>
      <c r="AX87" s="545">
        <f ca="1">IF(AND($D87="Serviço",AX$12&lt;&gt;0,$H87&gt;0,OR(AUTOEVENTO&lt;&gt;"manual",$M87&lt;&gt;1)),
IF(Import.TipoArredondamento&lt;&gt;"TransfereGOV",
ROUND(OFFSET($P87,0,AX$13),15-13*ORÇAMENTO!$AF$7)/$H87*OFFSET(ORÇAMENTO!$X$15,ROW(AX87)-ROW(AX$15),0),
ROUND(ROUND(OFFSET($P87,0,AX$13),15-13*ORÇAMENTO!$AF$7)*OFFSET(ORÇAMENTO!$W$15,ROW(AX87)-ROW(AX$15),0),15-13*ORÇAMENTO!$AF$11)),0)</f>
        <v>0</v>
      </c>
      <c r="AY87" s="545">
        <f ca="1">IF(AND($D87="Serviço",AY$12&lt;&gt;0,$H87&gt;0,OR(AUTOEVENTO&lt;&gt;"manual",$M87&lt;&gt;1)),
IF(Import.TipoArredondamento&lt;&gt;"TransfereGOV",
ROUND(OFFSET($P87,0,AY$13),15-13*ORÇAMENTO!$AF$7)/$H87*OFFSET(ORÇAMENTO!$X$15,ROW(AY87)-ROW(AY$15),0),
ROUND(ROUND(OFFSET($P87,0,AY$13),15-13*ORÇAMENTO!$AF$7)*OFFSET(ORÇAMENTO!$W$15,ROW(AY87)-ROW(AY$15),0),15-13*ORÇAMENTO!$AF$11)),0)</f>
        <v>0</v>
      </c>
      <c r="AZ87" s="545">
        <f ca="1">IF(AND($D87="Serviço",AZ$12&lt;&gt;0,$H87&gt;0,OR(AUTOEVENTO&lt;&gt;"manual",$M87&lt;&gt;1)),
IF(Import.TipoArredondamento&lt;&gt;"TransfereGOV",
ROUND(OFFSET($P87,0,AZ$13),15-13*ORÇAMENTO!$AF$7)/$H87*OFFSET(ORÇAMENTO!$X$15,ROW(AZ87)-ROW(AZ$15),0),
ROUND(ROUND(OFFSET($P87,0,AZ$13),15-13*ORÇAMENTO!$AF$7)*OFFSET(ORÇAMENTO!$W$15,ROW(AZ87)-ROW(AZ$15),0),15-13*ORÇAMENTO!$AF$11)),0)</f>
        <v>0</v>
      </c>
      <c r="BA87" s="546">
        <f ca="1">IF(AND($D87="Serviço",BA$12&lt;&gt;0,$H87&gt;0,OR(AUTOEVENTO&lt;&gt;"manual",$M87&lt;&gt;1)),
IF(Import.TipoArredondamento&lt;&gt;"TransfereGOV",
ROUND(OFFSET($P87,0,BA$13),15-13*ORÇAMENTO!$AF$7)/$H87*OFFSET(ORÇAMENTO!$X$15,ROW(BA87)-ROW(BA$15),0),
ROUND(ROUND(OFFSET($P87,0,BA$13),15-13*ORÇAMENTO!$AF$7)*OFFSET(ORÇAMENTO!$W$15,ROW(BA87)-ROW(BA$15),0),15-13*ORÇAMENTO!$AF$11)),0)</f>
        <v>0</v>
      </c>
      <c r="BC87" s="181">
        <f ca="1">IF($D87&lt;&gt;"Serviço",0,IF(AND(AUTOEVENTO="Manual",$M87=1),0,IF(OFFSET(CRONOPLE!$F$14,$M87,BC$13)="",10^12,OFFSET(CRONOPLE!$F$14,$M87,BC$13))))</f>
        <v>4</v>
      </c>
      <c r="BD87" s="181">
        <f ca="1">IF($D87&lt;&gt;"Serviço",0,IF(AND(AUTOEVENTO="Manual",$M87=1),0,IF(OFFSET(CRONOPLE!$F$14,$M87,BD$13)="",10^12,OFFSET(CRONOPLE!$F$14,$M87,BD$13))))</f>
        <v>1000000000000</v>
      </c>
      <c r="BE87" s="181">
        <f ca="1">IF($D87&lt;&gt;"Serviço",0,IF(AND(AUTOEVENTO="Manual",$M87=1),0,IF(OFFSET(CRONOPLE!$F$14,$M87,BE$13)="",10^12,OFFSET(CRONOPLE!$F$14,$M87,BE$13))))</f>
        <v>1000000000000</v>
      </c>
      <c r="BF87" s="181">
        <f ca="1">IF($D87&lt;&gt;"Serviço",0,IF(AND(AUTOEVENTO="Manual",$M87=1),0,IF(OFFSET(CRONOPLE!$F$14,$M87,BF$13)="",10^12,OFFSET(CRONOPLE!$F$14,$M87,BF$13))))</f>
        <v>1000000000000</v>
      </c>
      <c r="BG87" s="181">
        <f ca="1">IF($D87&lt;&gt;"Serviço",0,IF(AND(AUTOEVENTO="Manual",$M87=1),0,IF(OFFSET(CRONOPLE!$F$14,$M87,BG$13)="",10^12,OFFSET(CRONOPLE!$F$14,$M87,BG$13))))</f>
        <v>1000000000000</v>
      </c>
      <c r="BH87" s="181">
        <f ca="1">IF($D87&lt;&gt;"Serviço",0,IF(AND(AUTOEVENTO="Manual",$M87=1),0,IF(OFFSET(CRONOPLE!$F$14,$M87,BH$13)="",10^12,OFFSET(CRONOPLE!$F$14,$M87,BH$13))))</f>
        <v>1000000000000</v>
      </c>
      <c r="BI87" s="181">
        <f ca="1">IF($D87&lt;&gt;"Serviço",0,IF(AND(AUTOEVENTO="Manual",$M87=1),0,IF(OFFSET(CRONOPLE!$F$14,$M87,BI$13)="",10^12,OFFSET(CRONOPLE!$F$14,$M87,BI$13))))</f>
        <v>1000000000000</v>
      </c>
      <c r="BJ87" s="181">
        <f ca="1">IF($D87&lt;&gt;"Serviço",0,IF(AND(AUTOEVENTO="Manual",$M87=1),0,IF(OFFSET(CRONOPLE!$F$14,$M87,BJ$13)="",10^12,OFFSET(CRONOPLE!$F$14,$M87,BJ$13))))</f>
        <v>1000000000000</v>
      </c>
      <c r="BK87" s="181">
        <f ca="1">IF($D87&lt;&gt;"Serviço",0,IF(AND(AUTOEVENTO="Manual",$M87=1),0,IF(OFFSET(CRONOPLE!$F$14,$M87,BK$13)="",10^12,OFFSET(CRONOPLE!$F$14,$M87,BK$13))))</f>
        <v>1000000000000</v>
      </c>
      <c r="BL87" s="181">
        <f ca="1">IF($D87&lt;&gt;"Serviço",0,IF(AND(AUTOEVENTO="Manual",$M87=1),0,IF(OFFSET(CRONOPLE!$F$14,$M87,BL$13)="",10^12,OFFSET(CRONOPLE!$F$14,$M87,BL$13))))</f>
        <v>1000000000000</v>
      </c>
      <c r="BM87" s="181">
        <f ca="1">IF($D87&lt;&gt;"Serviço",0,IF(AND(AUTOEVENTO="Manual",$M87=1),0,IF(OFFSET(CRONOPLE!$F$14,$M87,BM$13)="",10^12,OFFSET(CRONOPLE!$F$14,$M87,BM$13))))</f>
        <v>1000000000000</v>
      </c>
      <c r="BN87" s="181">
        <f ca="1">IF($D87&lt;&gt;"Serviço",0,IF(AND(AUTOEVENTO="Manual",$M87=1),0,IF(OFFSET(CRONOPLE!$F$14,$M87,BN$13)="",10^12,OFFSET(CRONOPLE!$F$14,$M87,BN$13))))</f>
        <v>1000000000000</v>
      </c>
      <c r="BO87" s="181">
        <f ca="1">IF($D87&lt;&gt;"Serviço",0,IF(AND(AUTOEVENTO="Manual",$M87=1),0,IF(OFFSET(CRONOPLE!$F$14,$M87,BO$13)="",10^12,OFFSET(CRONOPLE!$F$14,$M87,BO$13))))</f>
        <v>1000000000000</v>
      </c>
      <c r="BP87" s="181">
        <f ca="1">IF($D87&lt;&gt;"Serviço",0,IF(AND(AUTOEVENTO="Manual",$M87=1),0,IF(OFFSET(CRONOPLE!$F$14,$M87,BP$13)="",10^12,OFFSET(CRONOPLE!$F$14,$M87,BP$13))))</f>
        <v>1000000000000</v>
      </c>
      <c r="BQ87" s="181">
        <f ca="1">IF($D87&lt;&gt;"Serviço",0,IF(AND(AUTOEVENTO="Manual",$M87=1),0,IF(OFFSET(CRONOPLE!$F$14,$M87,BQ$13)="",10^12,OFFSET(CRONOPLE!$F$14,$M87,BQ$13))))</f>
        <v>1000000000000</v>
      </c>
      <c r="BR87" s="181">
        <f ca="1">IF($D87&lt;&gt;"Serviço",0,IF(AND(AUTOEVENTO="Manual",$M87=1),0,IF(OFFSET(CRONOPLE!$F$14,$M87,BR$13)="",10^12,OFFSET(CRONOPLE!$F$14,$M87,BR$13))))</f>
        <v>1000000000000</v>
      </c>
      <c r="BS87" s="181">
        <f ca="1">IF($D87&lt;&gt;"Serviço",0,IF(AND(AUTOEVENTO="Manual",$M87=1),0,IF(OFFSET(CRONOPLE!$F$14,$M87,BS$13)="",10^12,OFFSET(CRONOPLE!$F$14,$M87,BS$13))))</f>
        <v>1000000000000</v>
      </c>
      <c r="BT87" s="181">
        <f ca="1">IF($D87&lt;&gt;"Serviço",0,IF(AND(AUTOEVENTO="Manual",$M87=1),0,IF(OFFSET(CRONOPLE!$F$14,$M87,BT$13)="",10^12,OFFSET(CRONOPLE!$F$14,$M87,BT$13))))</f>
        <v>1000000000000</v>
      </c>
      <c r="BV87" s="182">
        <f ca="1">IF($D87&lt;&gt;"Serviço",0,IF(OR(AND(AUTOEVENTO="Manual",$M87=1),$M87&gt;(ROW(PLE.lastrow)-ROW(PLE.firstrow))),0,IF(OFFSET(PLE!$G$14,$M87,BV$13)="",10^12,OFFSET(PLE!$G$14,$M87,BV$13))))</f>
        <v>1000000000000</v>
      </c>
      <c r="BW87" s="182">
        <f ca="1">IF($D87&lt;&gt;"Serviço",0,IF(OR(AND(AUTOEVENTO="Manual",$M87=1),$M87&gt;(ROW(PLE.lastrow)-ROW(PLE.firstrow))),0,IF(OFFSET(PLE!$G$14,$M87,BW$13)="",10^12,OFFSET(PLE!$G$14,$M87,BW$13))))</f>
        <v>1000000000000</v>
      </c>
      <c r="BX87" s="182">
        <f ca="1">IF($D87&lt;&gt;"Serviço",0,IF(OR(AND(AUTOEVENTO="Manual",$M87=1),$M87&gt;(ROW(PLE.lastrow)-ROW(PLE.firstrow))),0,IF(OFFSET(PLE!$G$14,$M87,BX$13)="",10^12,OFFSET(PLE!$G$14,$M87,BX$13))))</f>
        <v>1000000000000</v>
      </c>
      <c r="BY87" s="182">
        <f ca="1">IF($D87&lt;&gt;"Serviço",0,IF(OR(AND(AUTOEVENTO="Manual",$M87=1),$M87&gt;(ROW(PLE.lastrow)-ROW(PLE.firstrow))),0,IF(OFFSET(PLE!$G$14,$M87,BY$13)="",10^12,OFFSET(PLE!$G$14,$M87,BY$13))))</f>
        <v>1000000000000</v>
      </c>
      <c r="BZ87" s="182">
        <f ca="1">IF($D87&lt;&gt;"Serviço",0,IF(OR(AND(AUTOEVENTO="Manual",$M87=1),$M87&gt;(ROW(PLE.lastrow)-ROW(PLE.firstrow))),0,IF(OFFSET(PLE!$G$14,$M87,BZ$13)="",10^12,OFFSET(PLE!$G$14,$M87,BZ$13))))</f>
        <v>1000000000000</v>
      </c>
      <c r="CA87" s="182">
        <f ca="1">IF($D87&lt;&gt;"Serviço",0,IF(OR(AND(AUTOEVENTO="Manual",$M87=1),$M87&gt;(ROW(PLE.lastrow)-ROW(PLE.firstrow))),0,IF(OFFSET(PLE!$G$14,$M87,CA$13)="",10^12,OFFSET(PLE!$G$14,$M87,CA$13))))</f>
        <v>1000000000000</v>
      </c>
      <c r="CB87" s="182">
        <f ca="1">IF($D87&lt;&gt;"Serviço",0,IF(OR(AND(AUTOEVENTO="Manual",$M87=1),$M87&gt;(ROW(PLE.lastrow)-ROW(PLE.firstrow))),0,IF(OFFSET(PLE!$G$14,$M87,CB$13)="",10^12,OFFSET(PLE!$G$14,$M87,CB$13))))</f>
        <v>1000000000000</v>
      </c>
      <c r="CC87" s="182">
        <f ca="1">IF($D87&lt;&gt;"Serviço",0,IF(OR(AND(AUTOEVENTO="Manual",$M87=1),$M87&gt;(ROW(PLE.lastrow)-ROW(PLE.firstrow))),0,IF(OFFSET(PLE!$G$14,$M87,CC$13)="",10^12,OFFSET(PLE!$G$14,$M87,CC$13))))</f>
        <v>1000000000000</v>
      </c>
      <c r="CD87" s="182">
        <f ca="1">IF($D87&lt;&gt;"Serviço",0,IF(OR(AND(AUTOEVENTO="Manual",$M87=1),$M87&gt;(ROW(PLE.lastrow)-ROW(PLE.firstrow))),0,IF(OFFSET(PLE!$G$14,$M87,CD$13)="",10^12,OFFSET(PLE!$G$14,$M87,CD$13))))</f>
        <v>1000000000000</v>
      </c>
      <c r="CE87" s="182">
        <f ca="1">IF($D87&lt;&gt;"Serviço",0,IF(OR(AND(AUTOEVENTO="Manual",$M87=1),$M87&gt;(ROW(PLE.lastrow)-ROW(PLE.firstrow))),0,IF(OFFSET(PLE!$G$14,$M87,CE$13)="",10^12,OFFSET(PLE!$G$14,$M87,CE$13))))</f>
        <v>1000000000000</v>
      </c>
      <c r="CF87" s="182">
        <f ca="1">IF($D87&lt;&gt;"Serviço",0,IF(OR(AND(AUTOEVENTO="Manual",$M87=1),$M87&gt;(ROW(PLE.lastrow)-ROW(PLE.firstrow))),0,IF(OFFSET(PLE!$G$14,$M87,CF$13)="",10^12,OFFSET(PLE!$G$14,$M87,CF$13))))</f>
        <v>1000000000000</v>
      </c>
      <c r="CG87" s="182">
        <f ca="1">IF($D87&lt;&gt;"Serviço",0,IF(OR(AND(AUTOEVENTO="Manual",$M87=1),$M87&gt;(ROW(PLE.lastrow)-ROW(PLE.firstrow))),0,IF(OFFSET(PLE!$G$14,$M87,CG$13)="",10^12,OFFSET(PLE!$G$14,$M87,CG$13))))</f>
        <v>1000000000000</v>
      </c>
      <c r="CH87" s="182">
        <f ca="1">IF($D87&lt;&gt;"Serviço",0,IF(OR(AND(AUTOEVENTO="Manual",$M87=1),$M87&gt;(ROW(PLE.lastrow)-ROW(PLE.firstrow))),0,IF(OFFSET(PLE!$G$14,$M87,CH$13)="",10^12,OFFSET(PLE!$G$14,$M87,CH$13))))</f>
        <v>1000000000000</v>
      </c>
      <c r="CI87" s="182">
        <f ca="1">IF($D87&lt;&gt;"Serviço",0,IF(OR(AND(AUTOEVENTO="Manual",$M87=1),$M87&gt;(ROW(PLE.lastrow)-ROW(PLE.firstrow))),0,IF(OFFSET(PLE!$G$14,$M87,CI$13)="",10^12,OFFSET(PLE!$G$14,$M87,CI$13))))</f>
        <v>1000000000000</v>
      </c>
      <c r="CJ87" s="182">
        <f ca="1">IF($D87&lt;&gt;"Serviço",0,IF(OR(AND(AUTOEVENTO="Manual",$M87=1),$M87&gt;(ROW(PLE.lastrow)-ROW(PLE.firstrow))),0,IF(OFFSET(PLE!$G$14,$M87,CJ$13)="",10^12,OFFSET(PLE!$G$14,$M87,CJ$13))))</f>
        <v>1000000000000</v>
      </c>
      <c r="CK87" s="182">
        <f ca="1">IF($D87&lt;&gt;"Serviço",0,IF(OR(AND(AUTOEVENTO="Manual",$M87=1),$M87&gt;(ROW(PLE.lastrow)-ROW(PLE.firstrow))),0,IF(OFFSET(PLE!$G$14,$M87,CK$13)="",10^12,OFFSET(PLE!$G$14,$M87,CK$13))))</f>
        <v>1000000000000</v>
      </c>
      <c r="CL87" s="182">
        <f ca="1">IF($D87&lt;&gt;"Serviço",0,IF(OR(AND(AUTOEVENTO="Manual",$M87=1),$M87&gt;(ROW(PLE.lastrow)-ROW(PLE.firstrow))),0,IF(OFFSET(PLE!$G$14,$M87,CL$13)="",10^12,OFFSET(PLE!$G$14,$M87,CL$13))))</f>
        <v>1000000000000</v>
      </c>
      <c r="CM87" s="182">
        <f ca="1">IF($D87&lt;&gt;"Serviço",0,IF(OR(AND(AUTOEVENTO="Manual",$M87=1),$M87&gt;(ROW(PLE.lastrow)-ROW(PLE.firstrow))),0,IF(OFFSET(PLE!$G$14,$M87,CM$13)="",10^12,OFFSET(PLE!$G$14,$M87,CM$13))))</f>
        <v>1000000000000</v>
      </c>
    </row>
    <row r="88" spans="1:91" ht="38.25" x14ac:dyDescent="0.2">
      <c r="A88" s="7" t="str">
        <f t="shared" ca="1" si="10"/>
        <v>66</v>
      </c>
      <c r="B88" s="7" t="str">
        <f ca="1">OFFSET(ORÇAMENTO!C$15,ROW(B88)-ROW(B$15),0)</f>
        <v>S</v>
      </c>
      <c r="C88" s="7" t="str">
        <f ca="1">OFFSET(ORÇAMENTO!L$15,ROW(C88)-ROW(C$15),0)</f>
        <v/>
      </c>
      <c r="D88" s="118" t="str">
        <f ca="1">OFFSET(ORÇAMENTO!N$15,ROW(D88)-ROW(D$15),0)</f>
        <v>Serviço</v>
      </c>
      <c r="E88" s="119" t="str">
        <f ca="1">OFFSET(ORÇAMENTO!O$15,ROW(E88)-ROW(E$15),0)</f>
        <v>-</v>
      </c>
      <c r="F88" s="172" t="str">
        <f ca="1">OFFSET(ORÇAMENTO!R$15,ROW(F88)-ROW(F$15),0)</f>
        <v>(abra o arquivo 'Referência 06-2024.xlsm)</v>
      </c>
      <c r="G88" s="173" t="str">
        <f ca="1">IF($D88&lt;&gt;"Serviço","",OFFSET(ORÇAMENTO!S$15,ROW(G88)-ROW(G$15),0))</f>
        <v>-</v>
      </c>
      <c r="H88" s="124">
        <f ca="1">IF($D88&lt;&gt;"Serviço",0,IF(ACOMPANHAMENTO="BM",ROUND(OFFSET(ORÇAMENTO!AJ$15,ROW(H88)-ROW(H$15),0),15-13*ORÇAMENTO!$AF$7),SUMPRODUCT(($Q$12:$AI$12&lt;&gt;"")*ROUND($Q88:$AI88,15-13*ORÇAMENTO!$AF$7))))</f>
        <v>7.1</v>
      </c>
      <c r="I88" s="561" t="s">
        <v>1107</v>
      </c>
      <c r="K88" s="174" t="s">
        <v>1028</v>
      </c>
      <c r="L88" s="175" t="s">
        <v>255</v>
      </c>
      <c r="M88" s="176">
        <f ca="1">IF($D88&lt;&gt;"Serviço","",IF(AUTOEVENTO="manual",$A88,IF(ISERROR(MATCH($A88,$A$15:OFFSET($A88,-1,0),0)),MAX($M$15:OFFSET(M88,-1,0))+1,INDEX($M$15:OFFSET(M88,-1,0),MATCH($A88,$A$15:OFFSET($A88,-1,0),0)))))</f>
        <v>12</v>
      </c>
      <c r="N88" s="177" t="str">
        <f ca="1">IF($D88&lt;&gt;"Serviço","",IF(AUTOEVENTO="Manual",IF($A88=0,"&lt;-- defina o número do agrupador",OFFSET(EVENTOS!$D$14,$A88,0)),OFFSET($F$15,$A88,0)))</f>
        <v>SUPERESTRUTURA - CONCRETO ARMADO PARA LAJE</v>
      </c>
      <c r="O88" s="178"/>
      <c r="Q88" s="178">
        <v>7.1</v>
      </c>
      <c r="R88" s="179"/>
      <c r="S88" s="179"/>
      <c r="T88" s="179"/>
      <c r="U88" s="179"/>
      <c r="V88" s="179"/>
      <c r="W88" s="179"/>
      <c r="X88" s="179"/>
      <c r="Y88" s="179"/>
      <c r="Z88" s="180"/>
      <c r="AA88" s="179"/>
      <c r="AB88" s="179"/>
      <c r="AC88" s="179"/>
      <c r="AD88" s="179"/>
      <c r="AE88" s="179"/>
      <c r="AF88" s="179"/>
      <c r="AG88" s="179"/>
      <c r="AH88" s="180"/>
      <c r="AJ88" s="544">
        <f ca="1">IF(AND($D88="Serviço",AJ$12&lt;&gt;0,$H88&gt;0,OR(AUTOEVENTO&lt;&gt;"manual",$M88&lt;&gt;1)),
IF(Import.TipoArredondamento&lt;&gt;"TransfereGOV",
ROUND(OFFSET($P88,0,AJ$13),15-13*ORÇAMENTO!$AF$7)/$H88*OFFSET(ORÇAMENTO!$X$15,ROW(AJ88)-ROW(AJ$15),0),
ROUND(ROUND(OFFSET($P88,0,AJ$13),15-13*ORÇAMENTO!$AF$7)*OFFSET(ORÇAMENTO!$W$15,ROW(AJ88)-ROW(AJ$15),0),15-13*ORÇAMENTO!$AF$11)),0)</f>
        <v>0</v>
      </c>
      <c r="AK88" s="545">
        <f ca="1">IF(AND($D88="Serviço",AK$12&lt;&gt;0,$H88&gt;0,OR(AUTOEVENTO&lt;&gt;"manual",$M88&lt;&gt;1)),
IF(Import.TipoArredondamento&lt;&gt;"TransfereGOV",
ROUND(OFFSET($P88,0,AK$13),15-13*ORÇAMENTO!$AF$7)/$H88*OFFSET(ORÇAMENTO!$X$15,ROW(AK88)-ROW(AK$15),0),
ROUND(ROUND(OFFSET($P88,0,AK$13),15-13*ORÇAMENTO!$AF$7)*OFFSET(ORÇAMENTO!$W$15,ROW(AK88)-ROW(AK$15),0),15-13*ORÇAMENTO!$AF$11)),0)</f>
        <v>0</v>
      </c>
      <c r="AL88" s="545">
        <f ca="1">IF(AND($D88="Serviço",AL$12&lt;&gt;0,$H88&gt;0,OR(AUTOEVENTO&lt;&gt;"manual",$M88&lt;&gt;1)),
IF(Import.TipoArredondamento&lt;&gt;"TransfereGOV",
ROUND(OFFSET($P88,0,AL$13),15-13*ORÇAMENTO!$AF$7)/$H88*OFFSET(ORÇAMENTO!$X$15,ROW(AL88)-ROW(AL$15),0),
ROUND(ROUND(OFFSET($P88,0,AL$13),15-13*ORÇAMENTO!$AF$7)*OFFSET(ORÇAMENTO!$W$15,ROW(AL88)-ROW(AL$15),0),15-13*ORÇAMENTO!$AF$11)),0)</f>
        <v>0</v>
      </c>
      <c r="AM88" s="545">
        <f ca="1">IF(AND($D88="Serviço",AM$12&lt;&gt;0,$H88&gt;0,OR(AUTOEVENTO&lt;&gt;"manual",$M88&lt;&gt;1)),
IF(Import.TipoArredondamento&lt;&gt;"TransfereGOV",
ROUND(OFFSET($P88,0,AM$13),15-13*ORÇAMENTO!$AF$7)/$H88*OFFSET(ORÇAMENTO!$X$15,ROW(AM88)-ROW(AM$15),0),
ROUND(ROUND(OFFSET($P88,0,AM$13),15-13*ORÇAMENTO!$AF$7)*OFFSET(ORÇAMENTO!$W$15,ROW(AM88)-ROW(AM$15),0),15-13*ORÇAMENTO!$AF$11)),0)</f>
        <v>0</v>
      </c>
      <c r="AN88" s="545">
        <f ca="1">IF(AND($D88="Serviço",AN$12&lt;&gt;0,$H88&gt;0,OR(AUTOEVENTO&lt;&gt;"manual",$M88&lt;&gt;1)),
IF(Import.TipoArredondamento&lt;&gt;"TransfereGOV",
ROUND(OFFSET($P88,0,AN$13),15-13*ORÇAMENTO!$AF$7)/$H88*OFFSET(ORÇAMENTO!$X$15,ROW(AN88)-ROW(AN$15),0),
ROUND(ROUND(OFFSET($P88,0,AN$13),15-13*ORÇAMENTO!$AF$7)*OFFSET(ORÇAMENTO!$W$15,ROW(AN88)-ROW(AN$15),0),15-13*ORÇAMENTO!$AF$11)),0)</f>
        <v>0</v>
      </c>
      <c r="AO88" s="545">
        <f ca="1">IF(AND($D88="Serviço",AO$12&lt;&gt;0,$H88&gt;0,OR(AUTOEVENTO&lt;&gt;"manual",$M88&lt;&gt;1)),
IF(Import.TipoArredondamento&lt;&gt;"TransfereGOV",
ROUND(OFFSET($P88,0,AO$13),15-13*ORÇAMENTO!$AF$7)/$H88*OFFSET(ORÇAMENTO!$X$15,ROW(AO88)-ROW(AO$15),0),
ROUND(ROUND(OFFSET($P88,0,AO$13),15-13*ORÇAMENTO!$AF$7)*OFFSET(ORÇAMENTO!$W$15,ROW(AO88)-ROW(AO$15),0),15-13*ORÇAMENTO!$AF$11)),0)</f>
        <v>0</v>
      </c>
      <c r="AP88" s="545">
        <f ca="1">IF(AND($D88="Serviço",AP$12&lt;&gt;0,$H88&gt;0,OR(AUTOEVENTO&lt;&gt;"manual",$M88&lt;&gt;1)),
IF(Import.TipoArredondamento&lt;&gt;"TransfereGOV",
ROUND(OFFSET($P88,0,AP$13),15-13*ORÇAMENTO!$AF$7)/$H88*OFFSET(ORÇAMENTO!$X$15,ROW(AP88)-ROW(AP$15),0),
ROUND(ROUND(OFFSET($P88,0,AP$13),15-13*ORÇAMENTO!$AF$7)*OFFSET(ORÇAMENTO!$W$15,ROW(AP88)-ROW(AP$15),0),15-13*ORÇAMENTO!$AF$11)),0)</f>
        <v>0</v>
      </c>
      <c r="AQ88" s="545">
        <f ca="1">IF(AND($D88="Serviço",AQ$12&lt;&gt;0,$H88&gt;0,OR(AUTOEVENTO&lt;&gt;"manual",$M88&lt;&gt;1)),
IF(Import.TipoArredondamento&lt;&gt;"TransfereGOV",
ROUND(OFFSET($P88,0,AQ$13),15-13*ORÇAMENTO!$AF$7)/$H88*OFFSET(ORÇAMENTO!$X$15,ROW(AQ88)-ROW(AQ$15),0),
ROUND(ROUND(OFFSET($P88,0,AQ$13),15-13*ORÇAMENTO!$AF$7)*OFFSET(ORÇAMENTO!$W$15,ROW(AQ88)-ROW(AQ$15),0),15-13*ORÇAMENTO!$AF$11)),0)</f>
        <v>0</v>
      </c>
      <c r="AR88" s="545">
        <f ca="1">IF(AND($D88="Serviço",AR$12&lt;&gt;0,$H88&gt;0,OR(AUTOEVENTO&lt;&gt;"manual",$M88&lt;&gt;1)),
IF(Import.TipoArredondamento&lt;&gt;"TransfereGOV",
ROUND(OFFSET($P88,0,AR$13),15-13*ORÇAMENTO!$AF$7)/$H88*OFFSET(ORÇAMENTO!$X$15,ROW(AR88)-ROW(AR$15),0),
ROUND(ROUND(OFFSET($P88,0,AR$13),15-13*ORÇAMENTO!$AF$7)*OFFSET(ORÇAMENTO!$W$15,ROW(AR88)-ROW(AR$15),0),15-13*ORÇAMENTO!$AF$11)),0)</f>
        <v>0</v>
      </c>
      <c r="AS88" s="546">
        <f ca="1">IF(AND($D88="Serviço",AS$12&lt;&gt;0,$H88&gt;0,OR(AUTOEVENTO&lt;&gt;"manual",$M88&lt;&gt;1)),
IF(Import.TipoArredondamento&lt;&gt;"TransfereGOV",
ROUND(OFFSET($P88,0,AS$13),15-13*ORÇAMENTO!$AF$7)/$H88*OFFSET(ORÇAMENTO!$X$15,ROW(AS88)-ROW(AS$15),0),
ROUND(ROUND(OFFSET($P88,0,AS$13),15-13*ORÇAMENTO!$AF$7)*OFFSET(ORÇAMENTO!$W$15,ROW(AS88)-ROW(AS$15),0),15-13*ORÇAMENTO!$AF$11)),0)</f>
        <v>0</v>
      </c>
      <c r="AT88" s="545">
        <f ca="1">IF(AND($D88="Serviço",AT$12&lt;&gt;0,$H88&gt;0,OR(AUTOEVENTO&lt;&gt;"manual",$M88&lt;&gt;1)),
IF(Import.TipoArredondamento&lt;&gt;"TransfereGOV",
ROUND(OFFSET($P88,0,AT$13),15-13*ORÇAMENTO!$AF$7)/$H88*OFFSET(ORÇAMENTO!$X$15,ROW(AT88)-ROW(AT$15),0),
ROUND(ROUND(OFFSET($P88,0,AT$13),15-13*ORÇAMENTO!$AF$7)*OFFSET(ORÇAMENTO!$W$15,ROW(AT88)-ROW(AT$15),0),15-13*ORÇAMENTO!$AF$11)),0)</f>
        <v>0</v>
      </c>
      <c r="AU88" s="545">
        <f ca="1">IF(AND($D88="Serviço",AU$12&lt;&gt;0,$H88&gt;0,OR(AUTOEVENTO&lt;&gt;"manual",$M88&lt;&gt;1)),
IF(Import.TipoArredondamento&lt;&gt;"TransfereGOV",
ROUND(OFFSET($P88,0,AU$13),15-13*ORÇAMENTO!$AF$7)/$H88*OFFSET(ORÇAMENTO!$X$15,ROW(AU88)-ROW(AU$15),0),
ROUND(ROUND(OFFSET($P88,0,AU$13),15-13*ORÇAMENTO!$AF$7)*OFFSET(ORÇAMENTO!$W$15,ROW(AU88)-ROW(AU$15),0),15-13*ORÇAMENTO!$AF$11)),0)</f>
        <v>0</v>
      </c>
      <c r="AV88" s="545">
        <f ca="1">IF(AND($D88="Serviço",AV$12&lt;&gt;0,$H88&gt;0,OR(AUTOEVENTO&lt;&gt;"manual",$M88&lt;&gt;1)),
IF(Import.TipoArredondamento&lt;&gt;"TransfereGOV",
ROUND(OFFSET($P88,0,AV$13),15-13*ORÇAMENTO!$AF$7)/$H88*OFFSET(ORÇAMENTO!$X$15,ROW(AV88)-ROW(AV$15),0),
ROUND(ROUND(OFFSET($P88,0,AV$13),15-13*ORÇAMENTO!$AF$7)*OFFSET(ORÇAMENTO!$W$15,ROW(AV88)-ROW(AV$15),0),15-13*ORÇAMENTO!$AF$11)),0)</f>
        <v>0</v>
      </c>
      <c r="AW88" s="545">
        <f ca="1">IF(AND($D88="Serviço",AW$12&lt;&gt;0,$H88&gt;0,OR(AUTOEVENTO&lt;&gt;"manual",$M88&lt;&gt;1)),
IF(Import.TipoArredondamento&lt;&gt;"TransfereGOV",
ROUND(OFFSET($P88,0,AW$13),15-13*ORÇAMENTO!$AF$7)/$H88*OFFSET(ORÇAMENTO!$X$15,ROW(AW88)-ROW(AW$15),0),
ROUND(ROUND(OFFSET($P88,0,AW$13),15-13*ORÇAMENTO!$AF$7)*OFFSET(ORÇAMENTO!$W$15,ROW(AW88)-ROW(AW$15),0),15-13*ORÇAMENTO!$AF$11)),0)</f>
        <v>0</v>
      </c>
      <c r="AX88" s="545">
        <f ca="1">IF(AND($D88="Serviço",AX$12&lt;&gt;0,$H88&gt;0,OR(AUTOEVENTO&lt;&gt;"manual",$M88&lt;&gt;1)),
IF(Import.TipoArredondamento&lt;&gt;"TransfereGOV",
ROUND(OFFSET($P88,0,AX$13),15-13*ORÇAMENTO!$AF$7)/$H88*OFFSET(ORÇAMENTO!$X$15,ROW(AX88)-ROW(AX$15),0),
ROUND(ROUND(OFFSET($P88,0,AX$13),15-13*ORÇAMENTO!$AF$7)*OFFSET(ORÇAMENTO!$W$15,ROW(AX88)-ROW(AX$15),0),15-13*ORÇAMENTO!$AF$11)),0)</f>
        <v>0</v>
      </c>
      <c r="AY88" s="545">
        <f ca="1">IF(AND($D88="Serviço",AY$12&lt;&gt;0,$H88&gt;0,OR(AUTOEVENTO&lt;&gt;"manual",$M88&lt;&gt;1)),
IF(Import.TipoArredondamento&lt;&gt;"TransfereGOV",
ROUND(OFFSET($P88,0,AY$13),15-13*ORÇAMENTO!$AF$7)/$H88*OFFSET(ORÇAMENTO!$X$15,ROW(AY88)-ROW(AY$15),0),
ROUND(ROUND(OFFSET($P88,0,AY$13),15-13*ORÇAMENTO!$AF$7)*OFFSET(ORÇAMENTO!$W$15,ROW(AY88)-ROW(AY$15),0),15-13*ORÇAMENTO!$AF$11)),0)</f>
        <v>0</v>
      </c>
      <c r="AZ88" s="545">
        <f ca="1">IF(AND($D88="Serviço",AZ$12&lt;&gt;0,$H88&gt;0,OR(AUTOEVENTO&lt;&gt;"manual",$M88&lt;&gt;1)),
IF(Import.TipoArredondamento&lt;&gt;"TransfereGOV",
ROUND(OFFSET($P88,0,AZ$13),15-13*ORÇAMENTO!$AF$7)/$H88*OFFSET(ORÇAMENTO!$X$15,ROW(AZ88)-ROW(AZ$15),0),
ROUND(ROUND(OFFSET($P88,0,AZ$13),15-13*ORÇAMENTO!$AF$7)*OFFSET(ORÇAMENTO!$W$15,ROW(AZ88)-ROW(AZ$15),0),15-13*ORÇAMENTO!$AF$11)),0)</f>
        <v>0</v>
      </c>
      <c r="BA88" s="546">
        <f ca="1">IF(AND($D88="Serviço",BA$12&lt;&gt;0,$H88&gt;0,OR(AUTOEVENTO&lt;&gt;"manual",$M88&lt;&gt;1)),
IF(Import.TipoArredondamento&lt;&gt;"TransfereGOV",
ROUND(OFFSET($P88,0,BA$13),15-13*ORÇAMENTO!$AF$7)/$H88*OFFSET(ORÇAMENTO!$X$15,ROW(BA88)-ROW(BA$15),0),
ROUND(ROUND(OFFSET($P88,0,BA$13),15-13*ORÇAMENTO!$AF$7)*OFFSET(ORÇAMENTO!$W$15,ROW(BA88)-ROW(BA$15),0),15-13*ORÇAMENTO!$AF$11)),0)</f>
        <v>0</v>
      </c>
      <c r="BC88" s="181">
        <f ca="1">IF($D88&lt;&gt;"Serviço",0,IF(AND(AUTOEVENTO="Manual",$M88=1),0,IF(OFFSET(CRONOPLE!$F$14,$M88,BC$13)="",10^12,OFFSET(CRONOPLE!$F$14,$M88,BC$13))))</f>
        <v>4</v>
      </c>
      <c r="BD88" s="181">
        <f ca="1">IF($D88&lt;&gt;"Serviço",0,IF(AND(AUTOEVENTO="Manual",$M88=1),0,IF(OFFSET(CRONOPLE!$F$14,$M88,BD$13)="",10^12,OFFSET(CRONOPLE!$F$14,$M88,BD$13))))</f>
        <v>1000000000000</v>
      </c>
      <c r="BE88" s="181">
        <f ca="1">IF($D88&lt;&gt;"Serviço",0,IF(AND(AUTOEVENTO="Manual",$M88=1),0,IF(OFFSET(CRONOPLE!$F$14,$M88,BE$13)="",10^12,OFFSET(CRONOPLE!$F$14,$M88,BE$13))))</f>
        <v>1000000000000</v>
      </c>
      <c r="BF88" s="181">
        <f ca="1">IF($D88&lt;&gt;"Serviço",0,IF(AND(AUTOEVENTO="Manual",$M88=1),0,IF(OFFSET(CRONOPLE!$F$14,$M88,BF$13)="",10^12,OFFSET(CRONOPLE!$F$14,$M88,BF$13))))</f>
        <v>1000000000000</v>
      </c>
      <c r="BG88" s="181">
        <f ca="1">IF($D88&lt;&gt;"Serviço",0,IF(AND(AUTOEVENTO="Manual",$M88=1),0,IF(OFFSET(CRONOPLE!$F$14,$M88,BG$13)="",10^12,OFFSET(CRONOPLE!$F$14,$M88,BG$13))))</f>
        <v>1000000000000</v>
      </c>
      <c r="BH88" s="181">
        <f ca="1">IF($D88&lt;&gt;"Serviço",0,IF(AND(AUTOEVENTO="Manual",$M88=1),0,IF(OFFSET(CRONOPLE!$F$14,$M88,BH$13)="",10^12,OFFSET(CRONOPLE!$F$14,$M88,BH$13))))</f>
        <v>1000000000000</v>
      </c>
      <c r="BI88" s="181">
        <f ca="1">IF($D88&lt;&gt;"Serviço",0,IF(AND(AUTOEVENTO="Manual",$M88=1),0,IF(OFFSET(CRONOPLE!$F$14,$M88,BI$13)="",10^12,OFFSET(CRONOPLE!$F$14,$M88,BI$13))))</f>
        <v>1000000000000</v>
      </c>
      <c r="BJ88" s="181">
        <f ca="1">IF($D88&lt;&gt;"Serviço",0,IF(AND(AUTOEVENTO="Manual",$M88=1),0,IF(OFFSET(CRONOPLE!$F$14,$M88,BJ$13)="",10^12,OFFSET(CRONOPLE!$F$14,$M88,BJ$13))))</f>
        <v>1000000000000</v>
      </c>
      <c r="BK88" s="181">
        <f ca="1">IF($D88&lt;&gt;"Serviço",0,IF(AND(AUTOEVENTO="Manual",$M88=1),0,IF(OFFSET(CRONOPLE!$F$14,$M88,BK$13)="",10^12,OFFSET(CRONOPLE!$F$14,$M88,BK$13))))</f>
        <v>1000000000000</v>
      </c>
      <c r="BL88" s="181">
        <f ca="1">IF($D88&lt;&gt;"Serviço",0,IF(AND(AUTOEVENTO="Manual",$M88=1),0,IF(OFFSET(CRONOPLE!$F$14,$M88,BL$13)="",10^12,OFFSET(CRONOPLE!$F$14,$M88,BL$13))))</f>
        <v>1000000000000</v>
      </c>
      <c r="BM88" s="181">
        <f ca="1">IF($D88&lt;&gt;"Serviço",0,IF(AND(AUTOEVENTO="Manual",$M88=1),0,IF(OFFSET(CRONOPLE!$F$14,$M88,BM$13)="",10^12,OFFSET(CRONOPLE!$F$14,$M88,BM$13))))</f>
        <v>1000000000000</v>
      </c>
      <c r="BN88" s="181">
        <f ca="1">IF($D88&lt;&gt;"Serviço",0,IF(AND(AUTOEVENTO="Manual",$M88=1),0,IF(OFFSET(CRONOPLE!$F$14,$M88,BN$13)="",10^12,OFFSET(CRONOPLE!$F$14,$M88,BN$13))))</f>
        <v>1000000000000</v>
      </c>
      <c r="BO88" s="181">
        <f ca="1">IF($D88&lt;&gt;"Serviço",0,IF(AND(AUTOEVENTO="Manual",$M88=1),0,IF(OFFSET(CRONOPLE!$F$14,$M88,BO$13)="",10^12,OFFSET(CRONOPLE!$F$14,$M88,BO$13))))</f>
        <v>1000000000000</v>
      </c>
      <c r="BP88" s="181">
        <f ca="1">IF($D88&lt;&gt;"Serviço",0,IF(AND(AUTOEVENTO="Manual",$M88=1),0,IF(OFFSET(CRONOPLE!$F$14,$M88,BP$13)="",10^12,OFFSET(CRONOPLE!$F$14,$M88,BP$13))))</f>
        <v>1000000000000</v>
      </c>
      <c r="BQ88" s="181">
        <f ca="1">IF($D88&lt;&gt;"Serviço",0,IF(AND(AUTOEVENTO="Manual",$M88=1),0,IF(OFFSET(CRONOPLE!$F$14,$M88,BQ$13)="",10^12,OFFSET(CRONOPLE!$F$14,$M88,BQ$13))))</f>
        <v>1000000000000</v>
      </c>
      <c r="BR88" s="181">
        <f ca="1">IF($D88&lt;&gt;"Serviço",0,IF(AND(AUTOEVENTO="Manual",$M88=1),0,IF(OFFSET(CRONOPLE!$F$14,$M88,BR$13)="",10^12,OFFSET(CRONOPLE!$F$14,$M88,BR$13))))</f>
        <v>1000000000000</v>
      </c>
      <c r="BS88" s="181">
        <f ca="1">IF($D88&lt;&gt;"Serviço",0,IF(AND(AUTOEVENTO="Manual",$M88=1),0,IF(OFFSET(CRONOPLE!$F$14,$M88,BS$13)="",10^12,OFFSET(CRONOPLE!$F$14,$M88,BS$13))))</f>
        <v>1000000000000</v>
      </c>
      <c r="BT88" s="181">
        <f ca="1">IF($D88&lt;&gt;"Serviço",0,IF(AND(AUTOEVENTO="Manual",$M88=1),0,IF(OFFSET(CRONOPLE!$F$14,$M88,BT$13)="",10^12,OFFSET(CRONOPLE!$F$14,$M88,BT$13))))</f>
        <v>1000000000000</v>
      </c>
      <c r="BV88" s="182">
        <f ca="1">IF($D88&lt;&gt;"Serviço",0,IF(OR(AND(AUTOEVENTO="Manual",$M88=1),$M88&gt;(ROW(PLE.lastrow)-ROW(PLE.firstrow))),0,IF(OFFSET(PLE!$G$14,$M88,BV$13)="",10^12,OFFSET(PLE!$G$14,$M88,BV$13))))</f>
        <v>1000000000000</v>
      </c>
      <c r="BW88" s="182">
        <f ca="1">IF($D88&lt;&gt;"Serviço",0,IF(OR(AND(AUTOEVENTO="Manual",$M88=1),$M88&gt;(ROW(PLE.lastrow)-ROW(PLE.firstrow))),0,IF(OFFSET(PLE!$G$14,$M88,BW$13)="",10^12,OFFSET(PLE!$G$14,$M88,BW$13))))</f>
        <v>1000000000000</v>
      </c>
      <c r="BX88" s="182">
        <f ca="1">IF($D88&lt;&gt;"Serviço",0,IF(OR(AND(AUTOEVENTO="Manual",$M88=1),$M88&gt;(ROW(PLE.lastrow)-ROW(PLE.firstrow))),0,IF(OFFSET(PLE!$G$14,$M88,BX$13)="",10^12,OFFSET(PLE!$G$14,$M88,BX$13))))</f>
        <v>1000000000000</v>
      </c>
      <c r="BY88" s="182">
        <f ca="1">IF($D88&lt;&gt;"Serviço",0,IF(OR(AND(AUTOEVENTO="Manual",$M88=1),$M88&gt;(ROW(PLE.lastrow)-ROW(PLE.firstrow))),0,IF(OFFSET(PLE!$G$14,$M88,BY$13)="",10^12,OFFSET(PLE!$G$14,$M88,BY$13))))</f>
        <v>1000000000000</v>
      </c>
      <c r="BZ88" s="182">
        <f ca="1">IF($D88&lt;&gt;"Serviço",0,IF(OR(AND(AUTOEVENTO="Manual",$M88=1),$M88&gt;(ROW(PLE.lastrow)-ROW(PLE.firstrow))),0,IF(OFFSET(PLE!$G$14,$M88,BZ$13)="",10^12,OFFSET(PLE!$G$14,$M88,BZ$13))))</f>
        <v>1000000000000</v>
      </c>
      <c r="CA88" s="182">
        <f ca="1">IF($D88&lt;&gt;"Serviço",0,IF(OR(AND(AUTOEVENTO="Manual",$M88=1),$M88&gt;(ROW(PLE.lastrow)-ROW(PLE.firstrow))),0,IF(OFFSET(PLE!$G$14,$M88,CA$13)="",10^12,OFFSET(PLE!$G$14,$M88,CA$13))))</f>
        <v>1000000000000</v>
      </c>
      <c r="CB88" s="182">
        <f ca="1">IF($D88&lt;&gt;"Serviço",0,IF(OR(AND(AUTOEVENTO="Manual",$M88=1),$M88&gt;(ROW(PLE.lastrow)-ROW(PLE.firstrow))),0,IF(OFFSET(PLE!$G$14,$M88,CB$13)="",10^12,OFFSET(PLE!$G$14,$M88,CB$13))))</f>
        <v>1000000000000</v>
      </c>
      <c r="CC88" s="182">
        <f ca="1">IF($D88&lt;&gt;"Serviço",0,IF(OR(AND(AUTOEVENTO="Manual",$M88=1),$M88&gt;(ROW(PLE.lastrow)-ROW(PLE.firstrow))),0,IF(OFFSET(PLE!$G$14,$M88,CC$13)="",10^12,OFFSET(PLE!$G$14,$M88,CC$13))))</f>
        <v>1000000000000</v>
      </c>
      <c r="CD88" s="182">
        <f ca="1">IF($D88&lt;&gt;"Serviço",0,IF(OR(AND(AUTOEVENTO="Manual",$M88=1),$M88&gt;(ROW(PLE.lastrow)-ROW(PLE.firstrow))),0,IF(OFFSET(PLE!$G$14,$M88,CD$13)="",10^12,OFFSET(PLE!$G$14,$M88,CD$13))))</f>
        <v>1000000000000</v>
      </c>
      <c r="CE88" s="182">
        <f ca="1">IF($D88&lt;&gt;"Serviço",0,IF(OR(AND(AUTOEVENTO="Manual",$M88=1),$M88&gt;(ROW(PLE.lastrow)-ROW(PLE.firstrow))),0,IF(OFFSET(PLE!$G$14,$M88,CE$13)="",10^12,OFFSET(PLE!$G$14,$M88,CE$13))))</f>
        <v>1000000000000</v>
      </c>
      <c r="CF88" s="182">
        <f ca="1">IF($D88&lt;&gt;"Serviço",0,IF(OR(AND(AUTOEVENTO="Manual",$M88=1),$M88&gt;(ROW(PLE.lastrow)-ROW(PLE.firstrow))),0,IF(OFFSET(PLE!$G$14,$M88,CF$13)="",10^12,OFFSET(PLE!$G$14,$M88,CF$13))))</f>
        <v>1000000000000</v>
      </c>
      <c r="CG88" s="182">
        <f ca="1">IF($D88&lt;&gt;"Serviço",0,IF(OR(AND(AUTOEVENTO="Manual",$M88=1),$M88&gt;(ROW(PLE.lastrow)-ROW(PLE.firstrow))),0,IF(OFFSET(PLE!$G$14,$M88,CG$13)="",10^12,OFFSET(PLE!$G$14,$M88,CG$13))))</f>
        <v>1000000000000</v>
      </c>
      <c r="CH88" s="182">
        <f ca="1">IF($D88&lt;&gt;"Serviço",0,IF(OR(AND(AUTOEVENTO="Manual",$M88=1),$M88&gt;(ROW(PLE.lastrow)-ROW(PLE.firstrow))),0,IF(OFFSET(PLE!$G$14,$M88,CH$13)="",10^12,OFFSET(PLE!$G$14,$M88,CH$13))))</f>
        <v>1000000000000</v>
      </c>
      <c r="CI88" s="182">
        <f ca="1">IF($D88&lt;&gt;"Serviço",0,IF(OR(AND(AUTOEVENTO="Manual",$M88=1),$M88&gt;(ROW(PLE.lastrow)-ROW(PLE.firstrow))),0,IF(OFFSET(PLE!$G$14,$M88,CI$13)="",10^12,OFFSET(PLE!$G$14,$M88,CI$13))))</f>
        <v>1000000000000</v>
      </c>
      <c r="CJ88" s="182">
        <f ca="1">IF($D88&lt;&gt;"Serviço",0,IF(OR(AND(AUTOEVENTO="Manual",$M88=1),$M88&gt;(ROW(PLE.lastrow)-ROW(PLE.firstrow))),0,IF(OFFSET(PLE!$G$14,$M88,CJ$13)="",10^12,OFFSET(PLE!$G$14,$M88,CJ$13))))</f>
        <v>1000000000000</v>
      </c>
      <c r="CK88" s="182">
        <f ca="1">IF($D88&lt;&gt;"Serviço",0,IF(OR(AND(AUTOEVENTO="Manual",$M88=1),$M88&gt;(ROW(PLE.lastrow)-ROW(PLE.firstrow))),0,IF(OFFSET(PLE!$G$14,$M88,CK$13)="",10^12,OFFSET(PLE!$G$14,$M88,CK$13))))</f>
        <v>1000000000000</v>
      </c>
      <c r="CL88" s="182">
        <f ca="1">IF($D88&lt;&gt;"Serviço",0,IF(OR(AND(AUTOEVENTO="Manual",$M88=1),$M88&gt;(ROW(PLE.lastrow)-ROW(PLE.firstrow))),0,IF(OFFSET(PLE!$G$14,$M88,CL$13)="",10^12,OFFSET(PLE!$G$14,$M88,CL$13))))</f>
        <v>1000000000000</v>
      </c>
      <c r="CM88" s="182">
        <f ca="1">IF($D88&lt;&gt;"Serviço",0,IF(OR(AND(AUTOEVENTO="Manual",$M88=1),$M88&gt;(ROW(PLE.lastrow)-ROW(PLE.firstrow))),0,IF(OFFSET(PLE!$G$14,$M88,CM$13)="",10^12,OFFSET(PLE!$G$14,$M88,CM$13))))</f>
        <v>1000000000000</v>
      </c>
    </row>
    <row r="89" spans="1:91" ht="12.75" x14ac:dyDescent="0.2">
      <c r="A89" s="7" t="str">
        <f t="shared" ca="1" si="10"/>
        <v>74.</v>
      </c>
      <c r="B89" s="7">
        <f ca="1">OFFSET(ORÇAMENTO!C$15,ROW(B89)-ROW(B$15),0)</f>
        <v>2</v>
      </c>
      <c r="C89" s="7" t="str">
        <f ca="1">OFFSET(ORÇAMENTO!L$15,ROW(C89)-ROW(C$15),0)</f>
        <v>F</v>
      </c>
      <c r="D89" s="118" t="str">
        <f ca="1">OFFSET(ORÇAMENTO!N$15,ROW(D89)-ROW(D$15),0)</f>
        <v>Nível 2</v>
      </c>
      <c r="E89" s="119" t="str">
        <f ca="1">OFFSET(ORÇAMENTO!O$15,ROW(E89)-ROW(E$15),0)</f>
        <v>1.12.</v>
      </c>
      <c r="F89" s="172" t="str">
        <f ca="1">OFFSET(ORÇAMENTO!R$15,ROW(F89)-ROW(F$15),0)</f>
        <v>SUPERESTRUTURA - ESTRUTURA METÁLICA</v>
      </c>
      <c r="G89" s="173" t="str">
        <f ca="1">IF($D89&lt;&gt;"Serviço","",OFFSET(ORÇAMENTO!S$15,ROW(G89)-ROW(G$15),0))</f>
        <v/>
      </c>
      <c r="H89" s="124">
        <f ca="1">IF($D89&lt;&gt;"Serviço",0,IF(ACOMPANHAMENTO="BM",ROUND(OFFSET(ORÇAMENTO!AJ$15,ROW(H89)-ROW(H$15),0),15-13*ORÇAMENTO!$AF$7),SUMPRODUCT(($Q$12:$AI$12&lt;&gt;"")*ROUND($Q89:$AI89,15-13*ORÇAMENTO!$AF$7))))</f>
        <v>0</v>
      </c>
      <c r="I89" s="561"/>
      <c r="K89" s="174"/>
      <c r="L89" s="175" t="s">
        <v>255</v>
      </c>
      <c r="M89" s="176" t="str">
        <f ca="1">IF($D89&lt;&gt;"Serviço","",IF(AUTOEVENTO="manual",$A89,IF(ISERROR(MATCH($A89,$A$15:OFFSET($A89,-1,0),0)),MAX($M$15:OFFSET(M89,-1,0))+1,INDEX($M$15:OFFSET(M89,-1,0),MATCH($A89,$A$15:OFFSET($A89,-1,0),0)))))</f>
        <v/>
      </c>
      <c r="N89" s="177" t="str">
        <f ca="1">IF($D89&lt;&gt;"Serviço","",IF(AUTOEVENTO="Manual",IF($A89=0,"&lt;-- defina o número do agrupador",OFFSET(EVENTOS!$D$14,$A89,0)),OFFSET($F$15,$A89,0)))</f>
        <v/>
      </c>
      <c r="O89" s="178"/>
      <c r="Q89" s="178">
        <v>0</v>
      </c>
      <c r="R89" s="179"/>
      <c r="S89" s="179"/>
      <c r="T89" s="179"/>
      <c r="U89" s="179"/>
      <c r="V89" s="179"/>
      <c r="W89" s="179"/>
      <c r="X89" s="179"/>
      <c r="Y89" s="179"/>
      <c r="Z89" s="180"/>
      <c r="AA89" s="179"/>
      <c r="AB89" s="179"/>
      <c r="AC89" s="179"/>
      <c r="AD89" s="179"/>
      <c r="AE89" s="179"/>
      <c r="AF89" s="179"/>
      <c r="AG89" s="179"/>
      <c r="AH89" s="180"/>
      <c r="AJ89" s="544">
        <f ca="1">IF(AND($D89="Serviço",AJ$12&lt;&gt;0,$H89&gt;0,OR(AUTOEVENTO&lt;&gt;"manual",$M89&lt;&gt;1)),
IF(Import.TipoArredondamento&lt;&gt;"TransfereGOV",
ROUND(OFFSET($P89,0,AJ$13),15-13*ORÇAMENTO!$AF$7)/$H89*OFFSET(ORÇAMENTO!$X$15,ROW(AJ89)-ROW(AJ$15),0),
ROUND(ROUND(OFFSET($P89,0,AJ$13),15-13*ORÇAMENTO!$AF$7)*OFFSET(ORÇAMENTO!$W$15,ROW(AJ89)-ROW(AJ$15),0),15-13*ORÇAMENTO!$AF$11)),0)</f>
        <v>0</v>
      </c>
      <c r="AK89" s="545">
        <f ca="1">IF(AND($D89="Serviço",AK$12&lt;&gt;0,$H89&gt;0,OR(AUTOEVENTO&lt;&gt;"manual",$M89&lt;&gt;1)),
IF(Import.TipoArredondamento&lt;&gt;"TransfereGOV",
ROUND(OFFSET($P89,0,AK$13),15-13*ORÇAMENTO!$AF$7)/$H89*OFFSET(ORÇAMENTO!$X$15,ROW(AK89)-ROW(AK$15),0),
ROUND(ROUND(OFFSET($P89,0,AK$13),15-13*ORÇAMENTO!$AF$7)*OFFSET(ORÇAMENTO!$W$15,ROW(AK89)-ROW(AK$15),0),15-13*ORÇAMENTO!$AF$11)),0)</f>
        <v>0</v>
      </c>
      <c r="AL89" s="545">
        <f ca="1">IF(AND($D89="Serviço",AL$12&lt;&gt;0,$H89&gt;0,OR(AUTOEVENTO&lt;&gt;"manual",$M89&lt;&gt;1)),
IF(Import.TipoArredondamento&lt;&gt;"TransfereGOV",
ROUND(OFFSET($P89,0,AL$13),15-13*ORÇAMENTO!$AF$7)/$H89*OFFSET(ORÇAMENTO!$X$15,ROW(AL89)-ROW(AL$15),0),
ROUND(ROUND(OFFSET($P89,0,AL$13),15-13*ORÇAMENTO!$AF$7)*OFFSET(ORÇAMENTO!$W$15,ROW(AL89)-ROW(AL$15),0),15-13*ORÇAMENTO!$AF$11)),0)</f>
        <v>0</v>
      </c>
      <c r="AM89" s="545">
        <f ca="1">IF(AND($D89="Serviço",AM$12&lt;&gt;0,$H89&gt;0,OR(AUTOEVENTO&lt;&gt;"manual",$M89&lt;&gt;1)),
IF(Import.TipoArredondamento&lt;&gt;"TransfereGOV",
ROUND(OFFSET($P89,0,AM$13),15-13*ORÇAMENTO!$AF$7)/$H89*OFFSET(ORÇAMENTO!$X$15,ROW(AM89)-ROW(AM$15),0),
ROUND(ROUND(OFFSET($P89,0,AM$13),15-13*ORÇAMENTO!$AF$7)*OFFSET(ORÇAMENTO!$W$15,ROW(AM89)-ROW(AM$15),0),15-13*ORÇAMENTO!$AF$11)),0)</f>
        <v>0</v>
      </c>
      <c r="AN89" s="545">
        <f ca="1">IF(AND($D89="Serviço",AN$12&lt;&gt;0,$H89&gt;0,OR(AUTOEVENTO&lt;&gt;"manual",$M89&lt;&gt;1)),
IF(Import.TipoArredondamento&lt;&gt;"TransfereGOV",
ROUND(OFFSET($P89,0,AN$13),15-13*ORÇAMENTO!$AF$7)/$H89*OFFSET(ORÇAMENTO!$X$15,ROW(AN89)-ROW(AN$15),0),
ROUND(ROUND(OFFSET($P89,0,AN$13),15-13*ORÇAMENTO!$AF$7)*OFFSET(ORÇAMENTO!$W$15,ROW(AN89)-ROW(AN$15),0),15-13*ORÇAMENTO!$AF$11)),0)</f>
        <v>0</v>
      </c>
      <c r="AO89" s="545">
        <f ca="1">IF(AND($D89="Serviço",AO$12&lt;&gt;0,$H89&gt;0,OR(AUTOEVENTO&lt;&gt;"manual",$M89&lt;&gt;1)),
IF(Import.TipoArredondamento&lt;&gt;"TransfereGOV",
ROUND(OFFSET($P89,0,AO$13),15-13*ORÇAMENTO!$AF$7)/$H89*OFFSET(ORÇAMENTO!$X$15,ROW(AO89)-ROW(AO$15),0),
ROUND(ROUND(OFFSET($P89,0,AO$13),15-13*ORÇAMENTO!$AF$7)*OFFSET(ORÇAMENTO!$W$15,ROW(AO89)-ROW(AO$15),0),15-13*ORÇAMENTO!$AF$11)),0)</f>
        <v>0</v>
      </c>
      <c r="AP89" s="545">
        <f ca="1">IF(AND($D89="Serviço",AP$12&lt;&gt;0,$H89&gt;0,OR(AUTOEVENTO&lt;&gt;"manual",$M89&lt;&gt;1)),
IF(Import.TipoArredondamento&lt;&gt;"TransfereGOV",
ROUND(OFFSET($P89,0,AP$13),15-13*ORÇAMENTO!$AF$7)/$H89*OFFSET(ORÇAMENTO!$X$15,ROW(AP89)-ROW(AP$15),0),
ROUND(ROUND(OFFSET($P89,0,AP$13),15-13*ORÇAMENTO!$AF$7)*OFFSET(ORÇAMENTO!$W$15,ROW(AP89)-ROW(AP$15),0),15-13*ORÇAMENTO!$AF$11)),0)</f>
        <v>0</v>
      </c>
      <c r="AQ89" s="545">
        <f ca="1">IF(AND($D89="Serviço",AQ$12&lt;&gt;0,$H89&gt;0,OR(AUTOEVENTO&lt;&gt;"manual",$M89&lt;&gt;1)),
IF(Import.TipoArredondamento&lt;&gt;"TransfereGOV",
ROUND(OFFSET($P89,0,AQ$13),15-13*ORÇAMENTO!$AF$7)/$H89*OFFSET(ORÇAMENTO!$X$15,ROW(AQ89)-ROW(AQ$15),0),
ROUND(ROUND(OFFSET($P89,0,AQ$13),15-13*ORÇAMENTO!$AF$7)*OFFSET(ORÇAMENTO!$W$15,ROW(AQ89)-ROW(AQ$15),0),15-13*ORÇAMENTO!$AF$11)),0)</f>
        <v>0</v>
      </c>
      <c r="AR89" s="545">
        <f ca="1">IF(AND($D89="Serviço",AR$12&lt;&gt;0,$H89&gt;0,OR(AUTOEVENTO&lt;&gt;"manual",$M89&lt;&gt;1)),
IF(Import.TipoArredondamento&lt;&gt;"TransfereGOV",
ROUND(OFFSET($P89,0,AR$13),15-13*ORÇAMENTO!$AF$7)/$H89*OFFSET(ORÇAMENTO!$X$15,ROW(AR89)-ROW(AR$15),0),
ROUND(ROUND(OFFSET($P89,0,AR$13),15-13*ORÇAMENTO!$AF$7)*OFFSET(ORÇAMENTO!$W$15,ROW(AR89)-ROW(AR$15),0),15-13*ORÇAMENTO!$AF$11)),0)</f>
        <v>0</v>
      </c>
      <c r="AS89" s="546">
        <f ca="1">IF(AND($D89="Serviço",AS$12&lt;&gt;0,$H89&gt;0,OR(AUTOEVENTO&lt;&gt;"manual",$M89&lt;&gt;1)),
IF(Import.TipoArredondamento&lt;&gt;"TransfereGOV",
ROUND(OFFSET($P89,0,AS$13),15-13*ORÇAMENTO!$AF$7)/$H89*OFFSET(ORÇAMENTO!$X$15,ROW(AS89)-ROW(AS$15),0),
ROUND(ROUND(OFFSET($P89,0,AS$13),15-13*ORÇAMENTO!$AF$7)*OFFSET(ORÇAMENTO!$W$15,ROW(AS89)-ROW(AS$15),0),15-13*ORÇAMENTO!$AF$11)),0)</f>
        <v>0</v>
      </c>
      <c r="AT89" s="545">
        <f ca="1">IF(AND($D89="Serviço",AT$12&lt;&gt;0,$H89&gt;0,OR(AUTOEVENTO&lt;&gt;"manual",$M89&lt;&gt;1)),
IF(Import.TipoArredondamento&lt;&gt;"TransfereGOV",
ROUND(OFFSET($P89,0,AT$13),15-13*ORÇAMENTO!$AF$7)/$H89*OFFSET(ORÇAMENTO!$X$15,ROW(AT89)-ROW(AT$15),0),
ROUND(ROUND(OFFSET($P89,0,AT$13),15-13*ORÇAMENTO!$AF$7)*OFFSET(ORÇAMENTO!$W$15,ROW(AT89)-ROW(AT$15),0),15-13*ORÇAMENTO!$AF$11)),0)</f>
        <v>0</v>
      </c>
      <c r="AU89" s="545">
        <f ca="1">IF(AND($D89="Serviço",AU$12&lt;&gt;0,$H89&gt;0,OR(AUTOEVENTO&lt;&gt;"manual",$M89&lt;&gt;1)),
IF(Import.TipoArredondamento&lt;&gt;"TransfereGOV",
ROUND(OFFSET($P89,0,AU$13),15-13*ORÇAMENTO!$AF$7)/$H89*OFFSET(ORÇAMENTO!$X$15,ROW(AU89)-ROW(AU$15),0),
ROUND(ROUND(OFFSET($P89,0,AU$13),15-13*ORÇAMENTO!$AF$7)*OFFSET(ORÇAMENTO!$W$15,ROW(AU89)-ROW(AU$15),0),15-13*ORÇAMENTO!$AF$11)),0)</f>
        <v>0</v>
      </c>
      <c r="AV89" s="545">
        <f ca="1">IF(AND($D89="Serviço",AV$12&lt;&gt;0,$H89&gt;0,OR(AUTOEVENTO&lt;&gt;"manual",$M89&lt;&gt;1)),
IF(Import.TipoArredondamento&lt;&gt;"TransfereGOV",
ROUND(OFFSET($P89,0,AV$13),15-13*ORÇAMENTO!$AF$7)/$H89*OFFSET(ORÇAMENTO!$X$15,ROW(AV89)-ROW(AV$15),0),
ROUND(ROUND(OFFSET($P89,0,AV$13),15-13*ORÇAMENTO!$AF$7)*OFFSET(ORÇAMENTO!$W$15,ROW(AV89)-ROW(AV$15),0),15-13*ORÇAMENTO!$AF$11)),0)</f>
        <v>0</v>
      </c>
      <c r="AW89" s="545">
        <f ca="1">IF(AND($D89="Serviço",AW$12&lt;&gt;0,$H89&gt;0,OR(AUTOEVENTO&lt;&gt;"manual",$M89&lt;&gt;1)),
IF(Import.TipoArredondamento&lt;&gt;"TransfereGOV",
ROUND(OFFSET($P89,0,AW$13),15-13*ORÇAMENTO!$AF$7)/$H89*OFFSET(ORÇAMENTO!$X$15,ROW(AW89)-ROW(AW$15),0),
ROUND(ROUND(OFFSET($P89,0,AW$13),15-13*ORÇAMENTO!$AF$7)*OFFSET(ORÇAMENTO!$W$15,ROW(AW89)-ROW(AW$15),0),15-13*ORÇAMENTO!$AF$11)),0)</f>
        <v>0</v>
      </c>
      <c r="AX89" s="545">
        <f ca="1">IF(AND($D89="Serviço",AX$12&lt;&gt;0,$H89&gt;0,OR(AUTOEVENTO&lt;&gt;"manual",$M89&lt;&gt;1)),
IF(Import.TipoArredondamento&lt;&gt;"TransfereGOV",
ROUND(OFFSET($P89,0,AX$13),15-13*ORÇAMENTO!$AF$7)/$H89*OFFSET(ORÇAMENTO!$X$15,ROW(AX89)-ROW(AX$15),0),
ROUND(ROUND(OFFSET($P89,0,AX$13),15-13*ORÇAMENTO!$AF$7)*OFFSET(ORÇAMENTO!$W$15,ROW(AX89)-ROW(AX$15),0),15-13*ORÇAMENTO!$AF$11)),0)</f>
        <v>0</v>
      </c>
      <c r="AY89" s="545">
        <f ca="1">IF(AND($D89="Serviço",AY$12&lt;&gt;0,$H89&gt;0,OR(AUTOEVENTO&lt;&gt;"manual",$M89&lt;&gt;1)),
IF(Import.TipoArredondamento&lt;&gt;"TransfereGOV",
ROUND(OFFSET($P89,0,AY$13),15-13*ORÇAMENTO!$AF$7)/$H89*OFFSET(ORÇAMENTO!$X$15,ROW(AY89)-ROW(AY$15),0),
ROUND(ROUND(OFFSET($P89,0,AY$13),15-13*ORÇAMENTO!$AF$7)*OFFSET(ORÇAMENTO!$W$15,ROW(AY89)-ROW(AY$15),0),15-13*ORÇAMENTO!$AF$11)),0)</f>
        <v>0</v>
      </c>
      <c r="AZ89" s="545">
        <f ca="1">IF(AND($D89="Serviço",AZ$12&lt;&gt;0,$H89&gt;0,OR(AUTOEVENTO&lt;&gt;"manual",$M89&lt;&gt;1)),
IF(Import.TipoArredondamento&lt;&gt;"TransfereGOV",
ROUND(OFFSET($P89,0,AZ$13),15-13*ORÇAMENTO!$AF$7)/$H89*OFFSET(ORÇAMENTO!$X$15,ROW(AZ89)-ROW(AZ$15),0),
ROUND(ROUND(OFFSET($P89,0,AZ$13),15-13*ORÇAMENTO!$AF$7)*OFFSET(ORÇAMENTO!$W$15,ROW(AZ89)-ROW(AZ$15),0),15-13*ORÇAMENTO!$AF$11)),0)</f>
        <v>0</v>
      </c>
      <c r="BA89" s="546">
        <f ca="1">IF(AND($D89="Serviço",BA$12&lt;&gt;0,$H89&gt;0,OR(AUTOEVENTO&lt;&gt;"manual",$M89&lt;&gt;1)),
IF(Import.TipoArredondamento&lt;&gt;"TransfereGOV",
ROUND(OFFSET($P89,0,BA$13),15-13*ORÇAMENTO!$AF$7)/$H89*OFFSET(ORÇAMENTO!$X$15,ROW(BA89)-ROW(BA$15),0),
ROUND(ROUND(OFFSET($P89,0,BA$13),15-13*ORÇAMENTO!$AF$7)*OFFSET(ORÇAMENTO!$W$15,ROW(BA89)-ROW(BA$15),0),15-13*ORÇAMENTO!$AF$11)),0)</f>
        <v>0</v>
      </c>
      <c r="BC89" s="181">
        <f ca="1">IF($D89&lt;&gt;"Serviço",0,IF(AND(AUTOEVENTO="Manual",$M89=1),0,IF(OFFSET(CRONOPLE!$F$14,$M89,BC$13)="",10^12,OFFSET(CRONOPLE!$F$14,$M89,BC$13))))</f>
        <v>0</v>
      </c>
      <c r="BD89" s="181">
        <f ca="1">IF($D89&lt;&gt;"Serviço",0,IF(AND(AUTOEVENTO="Manual",$M89=1),0,IF(OFFSET(CRONOPLE!$F$14,$M89,BD$13)="",10^12,OFFSET(CRONOPLE!$F$14,$M89,BD$13))))</f>
        <v>0</v>
      </c>
      <c r="BE89" s="181">
        <f ca="1">IF($D89&lt;&gt;"Serviço",0,IF(AND(AUTOEVENTO="Manual",$M89=1),0,IF(OFFSET(CRONOPLE!$F$14,$M89,BE$13)="",10^12,OFFSET(CRONOPLE!$F$14,$M89,BE$13))))</f>
        <v>0</v>
      </c>
      <c r="BF89" s="181">
        <f ca="1">IF($D89&lt;&gt;"Serviço",0,IF(AND(AUTOEVENTO="Manual",$M89=1),0,IF(OFFSET(CRONOPLE!$F$14,$M89,BF$13)="",10^12,OFFSET(CRONOPLE!$F$14,$M89,BF$13))))</f>
        <v>0</v>
      </c>
      <c r="BG89" s="181">
        <f ca="1">IF($D89&lt;&gt;"Serviço",0,IF(AND(AUTOEVENTO="Manual",$M89=1),0,IF(OFFSET(CRONOPLE!$F$14,$M89,BG$13)="",10^12,OFFSET(CRONOPLE!$F$14,$M89,BG$13))))</f>
        <v>0</v>
      </c>
      <c r="BH89" s="181">
        <f ca="1">IF($D89&lt;&gt;"Serviço",0,IF(AND(AUTOEVENTO="Manual",$M89=1),0,IF(OFFSET(CRONOPLE!$F$14,$M89,BH$13)="",10^12,OFFSET(CRONOPLE!$F$14,$M89,BH$13))))</f>
        <v>0</v>
      </c>
      <c r="BI89" s="181">
        <f ca="1">IF($D89&lt;&gt;"Serviço",0,IF(AND(AUTOEVENTO="Manual",$M89=1),0,IF(OFFSET(CRONOPLE!$F$14,$M89,BI$13)="",10^12,OFFSET(CRONOPLE!$F$14,$M89,BI$13))))</f>
        <v>0</v>
      </c>
      <c r="BJ89" s="181">
        <f ca="1">IF($D89&lt;&gt;"Serviço",0,IF(AND(AUTOEVENTO="Manual",$M89=1),0,IF(OFFSET(CRONOPLE!$F$14,$M89,BJ$13)="",10^12,OFFSET(CRONOPLE!$F$14,$M89,BJ$13))))</f>
        <v>0</v>
      </c>
      <c r="BK89" s="181">
        <f ca="1">IF($D89&lt;&gt;"Serviço",0,IF(AND(AUTOEVENTO="Manual",$M89=1),0,IF(OFFSET(CRONOPLE!$F$14,$M89,BK$13)="",10^12,OFFSET(CRONOPLE!$F$14,$M89,BK$13))))</f>
        <v>0</v>
      </c>
      <c r="BL89" s="181">
        <f ca="1">IF($D89&lt;&gt;"Serviço",0,IF(AND(AUTOEVENTO="Manual",$M89=1),0,IF(OFFSET(CRONOPLE!$F$14,$M89,BL$13)="",10^12,OFFSET(CRONOPLE!$F$14,$M89,BL$13))))</f>
        <v>0</v>
      </c>
      <c r="BM89" s="181">
        <f ca="1">IF($D89&lt;&gt;"Serviço",0,IF(AND(AUTOEVENTO="Manual",$M89=1),0,IF(OFFSET(CRONOPLE!$F$14,$M89,BM$13)="",10^12,OFFSET(CRONOPLE!$F$14,$M89,BM$13))))</f>
        <v>0</v>
      </c>
      <c r="BN89" s="181">
        <f ca="1">IF($D89&lt;&gt;"Serviço",0,IF(AND(AUTOEVENTO="Manual",$M89=1),0,IF(OFFSET(CRONOPLE!$F$14,$M89,BN$13)="",10^12,OFFSET(CRONOPLE!$F$14,$M89,BN$13))))</f>
        <v>0</v>
      </c>
      <c r="BO89" s="181">
        <f ca="1">IF($D89&lt;&gt;"Serviço",0,IF(AND(AUTOEVENTO="Manual",$M89=1),0,IF(OFFSET(CRONOPLE!$F$14,$M89,BO$13)="",10^12,OFFSET(CRONOPLE!$F$14,$M89,BO$13))))</f>
        <v>0</v>
      </c>
      <c r="BP89" s="181">
        <f ca="1">IF($D89&lt;&gt;"Serviço",0,IF(AND(AUTOEVENTO="Manual",$M89=1),0,IF(OFFSET(CRONOPLE!$F$14,$M89,BP$13)="",10^12,OFFSET(CRONOPLE!$F$14,$M89,BP$13))))</f>
        <v>0</v>
      </c>
      <c r="BQ89" s="181">
        <f ca="1">IF($D89&lt;&gt;"Serviço",0,IF(AND(AUTOEVENTO="Manual",$M89=1),0,IF(OFFSET(CRONOPLE!$F$14,$M89,BQ$13)="",10^12,OFFSET(CRONOPLE!$F$14,$M89,BQ$13))))</f>
        <v>0</v>
      </c>
      <c r="BR89" s="181">
        <f ca="1">IF($D89&lt;&gt;"Serviço",0,IF(AND(AUTOEVENTO="Manual",$M89=1),0,IF(OFFSET(CRONOPLE!$F$14,$M89,BR$13)="",10^12,OFFSET(CRONOPLE!$F$14,$M89,BR$13))))</f>
        <v>0</v>
      </c>
      <c r="BS89" s="181">
        <f ca="1">IF($D89&lt;&gt;"Serviço",0,IF(AND(AUTOEVENTO="Manual",$M89=1),0,IF(OFFSET(CRONOPLE!$F$14,$M89,BS$13)="",10^12,OFFSET(CRONOPLE!$F$14,$M89,BS$13))))</f>
        <v>0</v>
      </c>
      <c r="BT89" s="181">
        <f ca="1">IF($D89&lt;&gt;"Serviço",0,IF(AND(AUTOEVENTO="Manual",$M89=1),0,IF(OFFSET(CRONOPLE!$F$14,$M89,BT$13)="",10^12,OFFSET(CRONOPLE!$F$14,$M89,BT$13))))</f>
        <v>0</v>
      </c>
      <c r="BV89" s="182">
        <f ca="1">IF($D89&lt;&gt;"Serviço",0,IF(OR(AND(AUTOEVENTO="Manual",$M89=1),$M89&gt;(ROW(PLE.lastrow)-ROW(PLE.firstrow))),0,IF(OFFSET(PLE!$G$14,$M89,BV$13)="",10^12,OFFSET(PLE!$G$14,$M89,BV$13))))</f>
        <v>0</v>
      </c>
      <c r="BW89" s="182">
        <f ca="1">IF($D89&lt;&gt;"Serviço",0,IF(OR(AND(AUTOEVENTO="Manual",$M89=1),$M89&gt;(ROW(PLE.lastrow)-ROW(PLE.firstrow))),0,IF(OFFSET(PLE!$G$14,$M89,BW$13)="",10^12,OFFSET(PLE!$G$14,$M89,BW$13))))</f>
        <v>0</v>
      </c>
      <c r="BX89" s="182">
        <f ca="1">IF($D89&lt;&gt;"Serviço",0,IF(OR(AND(AUTOEVENTO="Manual",$M89=1),$M89&gt;(ROW(PLE.lastrow)-ROW(PLE.firstrow))),0,IF(OFFSET(PLE!$G$14,$M89,BX$13)="",10^12,OFFSET(PLE!$G$14,$M89,BX$13))))</f>
        <v>0</v>
      </c>
      <c r="BY89" s="182">
        <f ca="1">IF($D89&lt;&gt;"Serviço",0,IF(OR(AND(AUTOEVENTO="Manual",$M89=1),$M89&gt;(ROW(PLE.lastrow)-ROW(PLE.firstrow))),0,IF(OFFSET(PLE!$G$14,$M89,BY$13)="",10^12,OFFSET(PLE!$G$14,$M89,BY$13))))</f>
        <v>0</v>
      </c>
      <c r="BZ89" s="182">
        <f ca="1">IF($D89&lt;&gt;"Serviço",0,IF(OR(AND(AUTOEVENTO="Manual",$M89=1),$M89&gt;(ROW(PLE.lastrow)-ROW(PLE.firstrow))),0,IF(OFFSET(PLE!$G$14,$M89,BZ$13)="",10^12,OFFSET(PLE!$G$14,$M89,BZ$13))))</f>
        <v>0</v>
      </c>
      <c r="CA89" s="182">
        <f ca="1">IF($D89&lt;&gt;"Serviço",0,IF(OR(AND(AUTOEVENTO="Manual",$M89=1),$M89&gt;(ROW(PLE.lastrow)-ROW(PLE.firstrow))),0,IF(OFFSET(PLE!$G$14,$M89,CA$13)="",10^12,OFFSET(PLE!$G$14,$M89,CA$13))))</f>
        <v>0</v>
      </c>
      <c r="CB89" s="182">
        <f ca="1">IF($D89&lt;&gt;"Serviço",0,IF(OR(AND(AUTOEVENTO="Manual",$M89=1),$M89&gt;(ROW(PLE.lastrow)-ROW(PLE.firstrow))),0,IF(OFFSET(PLE!$G$14,$M89,CB$13)="",10^12,OFFSET(PLE!$G$14,$M89,CB$13))))</f>
        <v>0</v>
      </c>
      <c r="CC89" s="182">
        <f ca="1">IF($D89&lt;&gt;"Serviço",0,IF(OR(AND(AUTOEVENTO="Manual",$M89=1),$M89&gt;(ROW(PLE.lastrow)-ROW(PLE.firstrow))),0,IF(OFFSET(PLE!$G$14,$M89,CC$13)="",10^12,OFFSET(PLE!$G$14,$M89,CC$13))))</f>
        <v>0</v>
      </c>
      <c r="CD89" s="182">
        <f ca="1">IF($D89&lt;&gt;"Serviço",0,IF(OR(AND(AUTOEVENTO="Manual",$M89=1),$M89&gt;(ROW(PLE.lastrow)-ROW(PLE.firstrow))),0,IF(OFFSET(PLE!$G$14,$M89,CD$13)="",10^12,OFFSET(PLE!$G$14,$M89,CD$13))))</f>
        <v>0</v>
      </c>
      <c r="CE89" s="182">
        <f ca="1">IF($D89&lt;&gt;"Serviço",0,IF(OR(AND(AUTOEVENTO="Manual",$M89=1),$M89&gt;(ROW(PLE.lastrow)-ROW(PLE.firstrow))),0,IF(OFFSET(PLE!$G$14,$M89,CE$13)="",10^12,OFFSET(PLE!$G$14,$M89,CE$13))))</f>
        <v>0</v>
      </c>
      <c r="CF89" s="182">
        <f ca="1">IF($D89&lt;&gt;"Serviço",0,IF(OR(AND(AUTOEVENTO="Manual",$M89=1),$M89&gt;(ROW(PLE.lastrow)-ROW(PLE.firstrow))),0,IF(OFFSET(PLE!$G$14,$M89,CF$13)="",10^12,OFFSET(PLE!$G$14,$M89,CF$13))))</f>
        <v>0</v>
      </c>
      <c r="CG89" s="182">
        <f ca="1">IF($D89&lt;&gt;"Serviço",0,IF(OR(AND(AUTOEVENTO="Manual",$M89=1),$M89&gt;(ROW(PLE.lastrow)-ROW(PLE.firstrow))),0,IF(OFFSET(PLE!$G$14,$M89,CG$13)="",10^12,OFFSET(PLE!$G$14,$M89,CG$13))))</f>
        <v>0</v>
      </c>
      <c r="CH89" s="182">
        <f ca="1">IF($D89&lt;&gt;"Serviço",0,IF(OR(AND(AUTOEVENTO="Manual",$M89=1),$M89&gt;(ROW(PLE.lastrow)-ROW(PLE.firstrow))),0,IF(OFFSET(PLE!$G$14,$M89,CH$13)="",10^12,OFFSET(PLE!$G$14,$M89,CH$13))))</f>
        <v>0</v>
      </c>
      <c r="CI89" s="182">
        <f ca="1">IF($D89&lt;&gt;"Serviço",0,IF(OR(AND(AUTOEVENTO="Manual",$M89=1),$M89&gt;(ROW(PLE.lastrow)-ROW(PLE.firstrow))),0,IF(OFFSET(PLE!$G$14,$M89,CI$13)="",10^12,OFFSET(PLE!$G$14,$M89,CI$13))))</f>
        <v>0</v>
      </c>
      <c r="CJ89" s="182">
        <f ca="1">IF($D89&lt;&gt;"Serviço",0,IF(OR(AND(AUTOEVENTO="Manual",$M89=1),$M89&gt;(ROW(PLE.lastrow)-ROW(PLE.firstrow))),0,IF(OFFSET(PLE!$G$14,$M89,CJ$13)="",10^12,OFFSET(PLE!$G$14,$M89,CJ$13))))</f>
        <v>0</v>
      </c>
      <c r="CK89" s="182">
        <f ca="1">IF($D89&lt;&gt;"Serviço",0,IF(OR(AND(AUTOEVENTO="Manual",$M89=1),$M89&gt;(ROW(PLE.lastrow)-ROW(PLE.firstrow))),0,IF(OFFSET(PLE!$G$14,$M89,CK$13)="",10^12,OFFSET(PLE!$G$14,$M89,CK$13))))</f>
        <v>0</v>
      </c>
      <c r="CL89" s="182">
        <f ca="1">IF($D89&lt;&gt;"Serviço",0,IF(OR(AND(AUTOEVENTO="Manual",$M89=1),$M89&gt;(ROW(PLE.lastrow)-ROW(PLE.firstrow))),0,IF(OFFSET(PLE!$G$14,$M89,CL$13)="",10^12,OFFSET(PLE!$G$14,$M89,CL$13))))</f>
        <v>0</v>
      </c>
      <c r="CM89" s="182">
        <f ca="1">IF($D89&lt;&gt;"Serviço",0,IF(OR(AND(AUTOEVENTO="Manual",$M89=1),$M89&gt;(ROW(PLE.lastrow)-ROW(PLE.firstrow))),0,IF(OFFSET(PLE!$G$14,$M89,CM$13)="",10^12,OFFSET(PLE!$G$14,$M89,CM$13))))</f>
        <v>0</v>
      </c>
    </row>
    <row r="90" spans="1:91" ht="51" x14ac:dyDescent="0.2">
      <c r="A90" s="7" t="str">
        <f t="shared" ca="1" si="10"/>
        <v>74</v>
      </c>
      <c r="B90" s="7" t="str">
        <f ca="1">OFFSET(ORÇAMENTO!C$15,ROW(B90)-ROW(B$15),0)</f>
        <v>S</v>
      </c>
      <c r="C90" s="7" t="str">
        <f ca="1">OFFSET(ORÇAMENTO!L$15,ROW(C90)-ROW(C$15),0)</f>
        <v/>
      </c>
      <c r="D90" s="118" t="str">
        <f ca="1">OFFSET(ORÇAMENTO!N$15,ROW(D90)-ROW(D$15),0)</f>
        <v>Serviço</v>
      </c>
      <c r="E90" s="119" t="str">
        <f ca="1">OFFSET(ORÇAMENTO!O$15,ROW(E90)-ROW(E$15),0)</f>
        <v>-</v>
      </c>
      <c r="F90" s="172" t="str">
        <f ca="1">OFFSET(ORÇAMENTO!R$15,ROW(F90)-ROW(F$15),0)</f>
        <v>(abra o arquivo 'Referência 06-2024.xlsm)</v>
      </c>
      <c r="G90" s="173" t="str">
        <f ca="1">IF($D90&lt;&gt;"Serviço","",OFFSET(ORÇAMENTO!S$15,ROW(G90)-ROW(G$15),0))</f>
        <v>-</v>
      </c>
      <c r="H90" s="124">
        <f ca="1">IF($D90&lt;&gt;"Serviço",0,IF(ACOMPANHAMENTO="BM",ROUND(OFFSET(ORÇAMENTO!AJ$15,ROW(H90)-ROW(H$15),0),15-13*ORÇAMENTO!$AF$7),SUMPRODUCT(($Q$12:$AI$12&lt;&gt;"")*ROUND($Q90:$AI90,15-13*ORÇAMENTO!$AF$7))))</f>
        <v>19006</v>
      </c>
      <c r="I90" s="561" t="s">
        <v>1107</v>
      </c>
      <c r="K90" s="174"/>
      <c r="L90" s="175" t="s">
        <v>255</v>
      </c>
      <c r="M90" s="176">
        <f ca="1">IF($D90&lt;&gt;"Serviço","",IF(AUTOEVENTO="manual",$A90,IF(ISERROR(MATCH($A90,$A$15:OFFSET($A90,-1,0),0)),MAX($M$15:OFFSET(M90,-1,0))+1,INDEX($M$15:OFFSET(M90,-1,0),MATCH($A90,$A$15:OFFSET($A90,-1,0),0)))))</f>
        <v>13</v>
      </c>
      <c r="N90" s="177" t="str">
        <f ca="1">IF($D90&lt;&gt;"Serviço","",IF(AUTOEVENTO="Manual",IF($A90=0,"&lt;-- defina o número do agrupador",OFFSET(EVENTOS!$D$14,$A90,0)),OFFSET($F$15,$A90,0)))</f>
        <v>SUPERESTRUTURA - ESTRUTURA METÁLICA</v>
      </c>
      <c r="O90" s="178"/>
      <c r="Q90" s="178">
        <v>19006</v>
      </c>
      <c r="R90" s="179"/>
      <c r="S90" s="179"/>
      <c r="T90" s="179"/>
      <c r="U90" s="179"/>
      <c r="V90" s="179"/>
      <c r="W90" s="179"/>
      <c r="X90" s="179"/>
      <c r="Y90" s="179"/>
      <c r="Z90" s="180"/>
      <c r="AA90" s="179"/>
      <c r="AB90" s="179"/>
      <c r="AC90" s="179"/>
      <c r="AD90" s="179"/>
      <c r="AE90" s="179"/>
      <c r="AF90" s="179"/>
      <c r="AG90" s="179"/>
      <c r="AH90" s="180"/>
      <c r="AJ90" s="544">
        <f ca="1">IF(AND($D90="Serviço",AJ$12&lt;&gt;0,$H90&gt;0,OR(AUTOEVENTO&lt;&gt;"manual",$M90&lt;&gt;1)),
IF(Import.TipoArredondamento&lt;&gt;"TransfereGOV",
ROUND(OFFSET($P90,0,AJ$13),15-13*ORÇAMENTO!$AF$7)/$H90*OFFSET(ORÇAMENTO!$X$15,ROW(AJ90)-ROW(AJ$15),0),
ROUND(ROUND(OFFSET($P90,0,AJ$13),15-13*ORÇAMENTO!$AF$7)*OFFSET(ORÇAMENTO!$W$15,ROW(AJ90)-ROW(AJ$15),0),15-13*ORÇAMENTO!$AF$11)),0)</f>
        <v>0</v>
      </c>
      <c r="AK90" s="545">
        <f ca="1">IF(AND($D90="Serviço",AK$12&lt;&gt;0,$H90&gt;0,OR(AUTOEVENTO&lt;&gt;"manual",$M90&lt;&gt;1)),
IF(Import.TipoArredondamento&lt;&gt;"TransfereGOV",
ROUND(OFFSET($P90,0,AK$13),15-13*ORÇAMENTO!$AF$7)/$H90*OFFSET(ORÇAMENTO!$X$15,ROW(AK90)-ROW(AK$15),0),
ROUND(ROUND(OFFSET($P90,0,AK$13),15-13*ORÇAMENTO!$AF$7)*OFFSET(ORÇAMENTO!$W$15,ROW(AK90)-ROW(AK$15),0),15-13*ORÇAMENTO!$AF$11)),0)</f>
        <v>0</v>
      </c>
      <c r="AL90" s="545">
        <f ca="1">IF(AND($D90="Serviço",AL$12&lt;&gt;0,$H90&gt;0,OR(AUTOEVENTO&lt;&gt;"manual",$M90&lt;&gt;1)),
IF(Import.TipoArredondamento&lt;&gt;"TransfereGOV",
ROUND(OFFSET($P90,0,AL$13),15-13*ORÇAMENTO!$AF$7)/$H90*OFFSET(ORÇAMENTO!$X$15,ROW(AL90)-ROW(AL$15),0),
ROUND(ROUND(OFFSET($P90,0,AL$13),15-13*ORÇAMENTO!$AF$7)*OFFSET(ORÇAMENTO!$W$15,ROW(AL90)-ROW(AL$15),0),15-13*ORÇAMENTO!$AF$11)),0)</f>
        <v>0</v>
      </c>
      <c r="AM90" s="545">
        <f ca="1">IF(AND($D90="Serviço",AM$12&lt;&gt;0,$H90&gt;0,OR(AUTOEVENTO&lt;&gt;"manual",$M90&lt;&gt;1)),
IF(Import.TipoArredondamento&lt;&gt;"TransfereGOV",
ROUND(OFFSET($P90,0,AM$13),15-13*ORÇAMENTO!$AF$7)/$H90*OFFSET(ORÇAMENTO!$X$15,ROW(AM90)-ROW(AM$15),0),
ROUND(ROUND(OFFSET($P90,0,AM$13),15-13*ORÇAMENTO!$AF$7)*OFFSET(ORÇAMENTO!$W$15,ROW(AM90)-ROW(AM$15),0),15-13*ORÇAMENTO!$AF$11)),0)</f>
        <v>0</v>
      </c>
      <c r="AN90" s="545">
        <f ca="1">IF(AND($D90="Serviço",AN$12&lt;&gt;0,$H90&gt;0,OR(AUTOEVENTO&lt;&gt;"manual",$M90&lt;&gt;1)),
IF(Import.TipoArredondamento&lt;&gt;"TransfereGOV",
ROUND(OFFSET($P90,0,AN$13),15-13*ORÇAMENTO!$AF$7)/$H90*OFFSET(ORÇAMENTO!$X$15,ROW(AN90)-ROW(AN$15),0),
ROUND(ROUND(OFFSET($P90,0,AN$13),15-13*ORÇAMENTO!$AF$7)*OFFSET(ORÇAMENTO!$W$15,ROW(AN90)-ROW(AN$15),0),15-13*ORÇAMENTO!$AF$11)),0)</f>
        <v>0</v>
      </c>
      <c r="AO90" s="545">
        <f ca="1">IF(AND($D90="Serviço",AO$12&lt;&gt;0,$H90&gt;0,OR(AUTOEVENTO&lt;&gt;"manual",$M90&lt;&gt;1)),
IF(Import.TipoArredondamento&lt;&gt;"TransfereGOV",
ROUND(OFFSET($P90,0,AO$13),15-13*ORÇAMENTO!$AF$7)/$H90*OFFSET(ORÇAMENTO!$X$15,ROW(AO90)-ROW(AO$15),0),
ROUND(ROUND(OFFSET($P90,0,AO$13),15-13*ORÇAMENTO!$AF$7)*OFFSET(ORÇAMENTO!$W$15,ROW(AO90)-ROW(AO$15),0),15-13*ORÇAMENTO!$AF$11)),0)</f>
        <v>0</v>
      </c>
      <c r="AP90" s="545">
        <f ca="1">IF(AND($D90="Serviço",AP$12&lt;&gt;0,$H90&gt;0,OR(AUTOEVENTO&lt;&gt;"manual",$M90&lt;&gt;1)),
IF(Import.TipoArredondamento&lt;&gt;"TransfereGOV",
ROUND(OFFSET($P90,0,AP$13),15-13*ORÇAMENTO!$AF$7)/$H90*OFFSET(ORÇAMENTO!$X$15,ROW(AP90)-ROW(AP$15),0),
ROUND(ROUND(OFFSET($P90,0,AP$13),15-13*ORÇAMENTO!$AF$7)*OFFSET(ORÇAMENTO!$W$15,ROW(AP90)-ROW(AP$15),0),15-13*ORÇAMENTO!$AF$11)),0)</f>
        <v>0</v>
      </c>
      <c r="AQ90" s="545">
        <f ca="1">IF(AND($D90="Serviço",AQ$12&lt;&gt;0,$H90&gt;0,OR(AUTOEVENTO&lt;&gt;"manual",$M90&lt;&gt;1)),
IF(Import.TipoArredondamento&lt;&gt;"TransfereGOV",
ROUND(OFFSET($P90,0,AQ$13),15-13*ORÇAMENTO!$AF$7)/$H90*OFFSET(ORÇAMENTO!$X$15,ROW(AQ90)-ROW(AQ$15),0),
ROUND(ROUND(OFFSET($P90,0,AQ$13),15-13*ORÇAMENTO!$AF$7)*OFFSET(ORÇAMENTO!$W$15,ROW(AQ90)-ROW(AQ$15),0),15-13*ORÇAMENTO!$AF$11)),0)</f>
        <v>0</v>
      </c>
      <c r="AR90" s="545">
        <f ca="1">IF(AND($D90="Serviço",AR$12&lt;&gt;0,$H90&gt;0,OR(AUTOEVENTO&lt;&gt;"manual",$M90&lt;&gt;1)),
IF(Import.TipoArredondamento&lt;&gt;"TransfereGOV",
ROUND(OFFSET($P90,0,AR$13),15-13*ORÇAMENTO!$AF$7)/$H90*OFFSET(ORÇAMENTO!$X$15,ROW(AR90)-ROW(AR$15),0),
ROUND(ROUND(OFFSET($P90,0,AR$13),15-13*ORÇAMENTO!$AF$7)*OFFSET(ORÇAMENTO!$W$15,ROW(AR90)-ROW(AR$15),0),15-13*ORÇAMENTO!$AF$11)),0)</f>
        <v>0</v>
      </c>
      <c r="AS90" s="546">
        <f ca="1">IF(AND($D90="Serviço",AS$12&lt;&gt;0,$H90&gt;0,OR(AUTOEVENTO&lt;&gt;"manual",$M90&lt;&gt;1)),
IF(Import.TipoArredondamento&lt;&gt;"TransfereGOV",
ROUND(OFFSET($P90,0,AS$13),15-13*ORÇAMENTO!$AF$7)/$H90*OFFSET(ORÇAMENTO!$X$15,ROW(AS90)-ROW(AS$15),0),
ROUND(ROUND(OFFSET($P90,0,AS$13),15-13*ORÇAMENTO!$AF$7)*OFFSET(ORÇAMENTO!$W$15,ROW(AS90)-ROW(AS$15),0),15-13*ORÇAMENTO!$AF$11)),0)</f>
        <v>0</v>
      </c>
      <c r="AT90" s="545">
        <f ca="1">IF(AND($D90="Serviço",AT$12&lt;&gt;0,$H90&gt;0,OR(AUTOEVENTO&lt;&gt;"manual",$M90&lt;&gt;1)),
IF(Import.TipoArredondamento&lt;&gt;"TransfereGOV",
ROUND(OFFSET($P90,0,AT$13),15-13*ORÇAMENTO!$AF$7)/$H90*OFFSET(ORÇAMENTO!$X$15,ROW(AT90)-ROW(AT$15),0),
ROUND(ROUND(OFFSET($P90,0,AT$13),15-13*ORÇAMENTO!$AF$7)*OFFSET(ORÇAMENTO!$W$15,ROW(AT90)-ROW(AT$15),0),15-13*ORÇAMENTO!$AF$11)),0)</f>
        <v>0</v>
      </c>
      <c r="AU90" s="545">
        <f ca="1">IF(AND($D90="Serviço",AU$12&lt;&gt;0,$H90&gt;0,OR(AUTOEVENTO&lt;&gt;"manual",$M90&lt;&gt;1)),
IF(Import.TipoArredondamento&lt;&gt;"TransfereGOV",
ROUND(OFFSET($P90,0,AU$13),15-13*ORÇAMENTO!$AF$7)/$H90*OFFSET(ORÇAMENTO!$X$15,ROW(AU90)-ROW(AU$15),0),
ROUND(ROUND(OFFSET($P90,0,AU$13),15-13*ORÇAMENTO!$AF$7)*OFFSET(ORÇAMENTO!$W$15,ROW(AU90)-ROW(AU$15),0),15-13*ORÇAMENTO!$AF$11)),0)</f>
        <v>0</v>
      </c>
      <c r="AV90" s="545">
        <f ca="1">IF(AND($D90="Serviço",AV$12&lt;&gt;0,$H90&gt;0,OR(AUTOEVENTO&lt;&gt;"manual",$M90&lt;&gt;1)),
IF(Import.TipoArredondamento&lt;&gt;"TransfereGOV",
ROUND(OFFSET($P90,0,AV$13),15-13*ORÇAMENTO!$AF$7)/$H90*OFFSET(ORÇAMENTO!$X$15,ROW(AV90)-ROW(AV$15),0),
ROUND(ROUND(OFFSET($P90,0,AV$13),15-13*ORÇAMENTO!$AF$7)*OFFSET(ORÇAMENTO!$W$15,ROW(AV90)-ROW(AV$15),0),15-13*ORÇAMENTO!$AF$11)),0)</f>
        <v>0</v>
      </c>
      <c r="AW90" s="545">
        <f ca="1">IF(AND($D90="Serviço",AW$12&lt;&gt;0,$H90&gt;0,OR(AUTOEVENTO&lt;&gt;"manual",$M90&lt;&gt;1)),
IF(Import.TipoArredondamento&lt;&gt;"TransfereGOV",
ROUND(OFFSET($P90,0,AW$13),15-13*ORÇAMENTO!$AF$7)/$H90*OFFSET(ORÇAMENTO!$X$15,ROW(AW90)-ROW(AW$15),0),
ROUND(ROUND(OFFSET($P90,0,AW$13),15-13*ORÇAMENTO!$AF$7)*OFFSET(ORÇAMENTO!$W$15,ROW(AW90)-ROW(AW$15),0),15-13*ORÇAMENTO!$AF$11)),0)</f>
        <v>0</v>
      </c>
      <c r="AX90" s="545">
        <f ca="1">IF(AND($D90="Serviço",AX$12&lt;&gt;0,$H90&gt;0,OR(AUTOEVENTO&lt;&gt;"manual",$M90&lt;&gt;1)),
IF(Import.TipoArredondamento&lt;&gt;"TransfereGOV",
ROUND(OFFSET($P90,0,AX$13),15-13*ORÇAMENTO!$AF$7)/$H90*OFFSET(ORÇAMENTO!$X$15,ROW(AX90)-ROW(AX$15),0),
ROUND(ROUND(OFFSET($P90,0,AX$13),15-13*ORÇAMENTO!$AF$7)*OFFSET(ORÇAMENTO!$W$15,ROW(AX90)-ROW(AX$15),0),15-13*ORÇAMENTO!$AF$11)),0)</f>
        <v>0</v>
      </c>
      <c r="AY90" s="545">
        <f ca="1">IF(AND($D90="Serviço",AY$12&lt;&gt;0,$H90&gt;0,OR(AUTOEVENTO&lt;&gt;"manual",$M90&lt;&gt;1)),
IF(Import.TipoArredondamento&lt;&gt;"TransfereGOV",
ROUND(OFFSET($P90,0,AY$13),15-13*ORÇAMENTO!$AF$7)/$H90*OFFSET(ORÇAMENTO!$X$15,ROW(AY90)-ROW(AY$15),0),
ROUND(ROUND(OFFSET($P90,0,AY$13),15-13*ORÇAMENTO!$AF$7)*OFFSET(ORÇAMENTO!$W$15,ROW(AY90)-ROW(AY$15),0),15-13*ORÇAMENTO!$AF$11)),0)</f>
        <v>0</v>
      </c>
      <c r="AZ90" s="545">
        <f ca="1">IF(AND($D90="Serviço",AZ$12&lt;&gt;0,$H90&gt;0,OR(AUTOEVENTO&lt;&gt;"manual",$M90&lt;&gt;1)),
IF(Import.TipoArredondamento&lt;&gt;"TransfereGOV",
ROUND(OFFSET($P90,0,AZ$13),15-13*ORÇAMENTO!$AF$7)/$H90*OFFSET(ORÇAMENTO!$X$15,ROW(AZ90)-ROW(AZ$15),0),
ROUND(ROUND(OFFSET($P90,0,AZ$13),15-13*ORÇAMENTO!$AF$7)*OFFSET(ORÇAMENTO!$W$15,ROW(AZ90)-ROW(AZ$15),0),15-13*ORÇAMENTO!$AF$11)),0)</f>
        <v>0</v>
      </c>
      <c r="BA90" s="546">
        <f ca="1">IF(AND($D90="Serviço",BA$12&lt;&gt;0,$H90&gt;0,OR(AUTOEVENTO&lt;&gt;"manual",$M90&lt;&gt;1)),
IF(Import.TipoArredondamento&lt;&gt;"TransfereGOV",
ROUND(OFFSET($P90,0,BA$13),15-13*ORÇAMENTO!$AF$7)/$H90*OFFSET(ORÇAMENTO!$X$15,ROW(BA90)-ROW(BA$15),0),
ROUND(ROUND(OFFSET($P90,0,BA$13),15-13*ORÇAMENTO!$AF$7)*OFFSET(ORÇAMENTO!$W$15,ROW(BA90)-ROW(BA$15),0),15-13*ORÇAMENTO!$AF$11)),0)</f>
        <v>0</v>
      </c>
      <c r="BC90" s="181">
        <f ca="1">IF($D90&lt;&gt;"Serviço",0,IF(AND(AUTOEVENTO="Manual",$M90=1),0,IF(OFFSET(CRONOPLE!$F$14,$M90,BC$13)="",10^12,OFFSET(CRONOPLE!$F$14,$M90,BC$13))))</f>
        <v>4</v>
      </c>
      <c r="BD90" s="181">
        <f ca="1">IF($D90&lt;&gt;"Serviço",0,IF(AND(AUTOEVENTO="Manual",$M90=1),0,IF(OFFSET(CRONOPLE!$F$14,$M90,BD$13)="",10^12,OFFSET(CRONOPLE!$F$14,$M90,BD$13))))</f>
        <v>1000000000000</v>
      </c>
      <c r="BE90" s="181">
        <f ca="1">IF($D90&lt;&gt;"Serviço",0,IF(AND(AUTOEVENTO="Manual",$M90=1),0,IF(OFFSET(CRONOPLE!$F$14,$M90,BE$13)="",10^12,OFFSET(CRONOPLE!$F$14,$M90,BE$13))))</f>
        <v>1000000000000</v>
      </c>
      <c r="BF90" s="181">
        <f ca="1">IF($D90&lt;&gt;"Serviço",0,IF(AND(AUTOEVENTO="Manual",$M90=1),0,IF(OFFSET(CRONOPLE!$F$14,$M90,BF$13)="",10^12,OFFSET(CRONOPLE!$F$14,$M90,BF$13))))</f>
        <v>1000000000000</v>
      </c>
      <c r="BG90" s="181">
        <f ca="1">IF($D90&lt;&gt;"Serviço",0,IF(AND(AUTOEVENTO="Manual",$M90=1),0,IF(OFFSET(CRONOPLE!$F$14,$M90,BG$13)="",10^12,OFFSET(CRONOPLE!$F$14,$M90,BG$13))))</f>
        <v>1000000000000</v>
      </c>
      <c r="BH90" s="181">
        <f ca="1">IF($D90&lt;&gt;"Serviço",0,IF(AND(AUTOEVENTO="Manual",$M90=1),0,IF(OFFSET(CRONOPLE!$F$14,$M90,BH$13)="",10^12,OFFSET(CRONOPLE!$F$14,$M90,BH$13))))</f>
        <v>1000000000000</v>
      </c>
      <c r="BI90" s="181">
        <f ca="1">IF($D90&lt;&gt;"Serviço",0,IF(AND(AUTOEVENTO="Manual",$M90=1),0,IF(OFFSET(CRONOPLE!$F$14,$M90,BI$13)="",10^12,OFFSET(CRONOPLE!$F$14,$M90,BI$13))))</f>
        <v>1000000000000</v>
      </c>
      <c r="BJ90" s="181">
        <f ca="1">IF($D90&lt;&gt;"Serviço",0,IF(AND(AUTOEVENTO="Manual",$M90=1),0,IF(OFFSET(CRONOPLE!$F$14,$M90,BJ$13)="",10^12,OFFSET(CRONOPLE!$F$14,$M90,BJ$13))))</f>
        <v>1000000000000</v>
      </c>
      <c r="BK90" s="181">
        <f ca="1">IF($D90&lt;&gt;"Serviço",0,IF(AND(AUTOEVENTO="Manual",$M90=1),0,IF(OFFSET(CRONOPLE!$F$14,$M90,BK$13)="",10^12,OFFSET(CRONOPLE!$F$14,$M90,BK$13))))</f>
        <v>1000000000000</v>
      </c>
      <c r="BL90" s="181">
        <f ca="1">IF($D90&lt;&gt;"Serviço",0,IF(AND(AUTOEVENTO="Manual",$M90=1),0,IF(OFFSET(CRONOPLE!$F$14,$M90,BL$13)="",10^12,OFFSET(CRONOPLE!$F$14,$M90,BL$13))))</f>
        <v>1000000000000</v>
      </c>
      <c r="BM90" s="181">
        <f ca="1">IF($D90&lt;&gt;"Serviço",0,IF(AND(AUTOEVENTO="Manual",$M90=1),0,IF(OFFSET(CRONOPLE!$F$14,$M90,BM$13)="",10^12,OFFSET(CRONOPLE!$F$14,$M90,BM$13))))</f>
        <v>1000000000000</v>
      </c>
      <c r="BN90" s="181">
        <f ca="1">IF($D90&lt;&gt;"Serviço",0,IF(AND(AUTOEVENTO="Manual",$M90=1),0,IF(OFFSET(CRONOPLE!$F$14,$M90,BN$13)="",10^12,OFFSET(CRONOPLE!$F$14,$M90,BN$13))))</f>
        <v>1000000000000</v>
      </c>
      <c r="BO90" s="181">
        <f ca="1">IF($D90&lt;&gt;"Serviço",0,IF(AND(AUTOEVENTO="Manual",$M90=1),0,IF(OFFSET(CRONOPLE!$F$14,$M90,BO$13)="",10^12,OFFSET(CRONOPLE!$F$14,$M90,BO$13))))</f>
        <v>1000000000000</v>
      </c>
      <c r="BP90" s="181">
        <f ca="1">IF($D90&lt;&gt;"Serviço",0,IF(AND(AUTOEVENTO="Manual",$M90=1),0,IF(OFFSET(CRONOPLE!$F$14,$M90,BP$13)="",10^12,OFFSET(CRONOPLE!$F$14,$M90,BP$13))))</f>
        <v>1000000000000</v>
      </c>
      <c r="BQ90" s="181">
        <f ca="1">IF($D90&lt;&gt;"Serviço",0,IF(AND(AUTOEVENTO="Manual",$M90=1),0,IF(OFFSET(CRONOPLE!$F$14,$M90,BQ$13)="",10^12,OFFSET(CRONOPLE!$F$14,$M90,BQ$13))))</f>
        <v>1000000000000</v>
      </c>
      <c r="BR90" s="181">
        <f ca="1">IF($D90&lt;&gt;"Serviço",0,IF(AND(AUTOEVENTO="Manual",$M90=1),0,IF(OFFSET(CRONOPLE!$F$14,$M90,BR$13)="",10^12,OFFSET(CRONOPLE!$F$14,$M90,BR$13))))</f>
        <v>1000000000000</v>
      </c>
      <c r="BS90" s="181">
        <f ca="1">IF($D90&lt;&gt;"Serviço",0,IF(AND(AUTOEVENTO="Manual",$M90=1),0,IF(OFFSET(CRONOPLE!$F$14,$M90,BS$13)="",10^12,OFFSET(CRONOPLE!$F$14,$M90,BS$13))))</f>
        <v>1000000000000</v>
      </c>
      <c r="BT90" s="181">
        <f ca="1">IF($D90&lt;&gt;"Serviço",0,IF(AND(AUTOEVENTO="Manual",$M90=1),0,IF(OFFSET(CRONOPLE!$F$14,$M90,BT$13)="",10^12,OFFSET(CRONOPLE!$F$14,$M90,BT$13))))</f>
        <v>1000000000000</v>
      </c>
      <c r="BV90" s="182">
        <f ca="1">IF($D90&lt;&gt;"Serviço",0,IF(OR(AND(AUTOEVENTO="Manual",$M90=1),$M90&gt;(ROW(PLE.lastrow)-ROW(PLE.firstrow))),0,IF(OFFSET(PLE!$G$14,$M90,BV$13)="",10^12,OFFSET(PLE!$G$14,$M90,BV$13))))</f>
        <v>1000000000000</v>
      </c>
      <c r="BW90" s="182">
        <f ca="1">IF($D90&lt;&gt;"Serviço",0,IF(OR(AND(AUTOEVENTO="Manual",$M90=1),$M90&gt;(ROW(PLE.lastrow)-ROW(PLE.firstrow))),0,IF(OFFSET(PLE!$G$14,$M90,BW$13)="",10^12,OFFSET(PLE!$G$14,$M90,BW$13))))</f>
        <v>1000000000000</v>
      </c>
      <c r="BX90" s="182">
        <f ca="1">IF($D90&lt;&gt;"Serviço",0,IF(OR(AND(AUTOEVENTO="Manual",$M90=1),$M90&gt;(ROW(PLE.lastrow)-ROW(PLE.firstrow))),0,IF(OFFSET(PLE!$G$14,$M90,BX$13)="",10^12,OFFSET(PLE!$G$14,$M90,BX$13))))</f>
        <v>1000000000000</v>
      </c>
      <c r="BY90" s="182">
        <f ca="1">IF($D90&lt;&gt;"Serviço",0,IF(OR(AND(AUTOEVENTO="Manual",$M90=1),$M90&gt;(ROW(PLE.lastrow)-ROW(PLE.firstrow))),0,IF(OFFSET(PLE!$G$14,$M90,BY$13)="",10^12,OFFSET(PLE!$G$14,$M90,BY$13))))</f>
        <v>1000000000000</v>
      </c>
      <c r="BZ90" s="182">
        <f ca="1">IF($D90&lt;&gt;"Serviço",0,IF(OR(AND(AUTOEVENTO="Manual",$M90=1),$M90&gt;(ROW(PLE.lastrow)-ROW(PLE.firstrow))),0,IF(OFFSET(PLE!$G$14,$M90,BZ$13)="",10^12,OFFSET(PLE!$G$14,$M90,BZ$13))))</f>
        <v>1000000000000</v>
      </c>
      <c r="CA90" s="182">
        <f ca="1">IF($D90&lt;&gt;"Serviço",0,IF(OR(AND(AUTOEVENTO="Manual",$M90=1),$M90&gt;(ROW(PLE.lastrow)-ROW(PLE.firstrow))),0,IF(OFFSET(PLE!$G$14,$M90,CA$13)="",10^12,OFFSET(PLE!$G$14,$M90,CA$13))))</f>
        <v>1000000000000</v>
      </c>
      <c r="CB90" s="182">
        <f ca="1">IF($D90&lt;&gt;"Serviço",0,IF(OR(AND(AUTOEVENTO="Manual",$M90=1),$M90&gt;(ROW(PLE.lastrow)-ROW(PLE.firstrow))),0,IF(OFFSET(PLE!$G$14,$M90,CB$13)="",10^12,OFFSET(PLE!$G$14,$M90,CB$13))))</f>
        <v>1000000000000</v>
      </c>
      <c r="CC90" s="182">
        <f ca="1">IF($D90&lt;&gt;"Serviço",0,IF(OR(AND(AUTOEVENTO="Manual",$M90=1),$M90&gt;(ROW(PLE.lastrow)-ROW(PLE.firstrow))),0,IF(OFFSET(PLE!$G$14,$M90,CC$13)="",10^12,OFFSET(PLE!$G$14,$M90,CC$13))))</f>
        <v>1000000000000</v>
      </c>
      <c r="CD90" s="182">
        <f ca="1">IF($D90&lt;&gt;"Serviço",0,IF(OR(AND(AUTOEVENTO="Manual",$M90=1),$M90&gt;(ROW(PLE.lastrow)-ROW(PLE.firstrow))),0,IF(OFFSET(PLE!$G$14,$M90,CD$13)="",10^12,OFFSET(PLE!$G$14,$M90,CD$13))))</f>
        <v>1000000000000</v>
      </c>
      <c r="CE90" s="182">
        <f ca="1">IF($D90&lt;&gt;"Serviço",0,IF(OR(AND(AUTOEVENTO="Manual",$M90=1),$M90&gt;(ROW(PLE.lastrow)-ROW(PLE.firstrow))),0,IF(OFFSET(PLE!$G$14,$M90,CE$13)="",10^12,OFFSET(PLE!$G$14,$M90,CE$13))))</f>
        <v>1000000000000</v>
      </c>
      <c r="CF90" s="182">
        <f ca="1">IF($D90&lt;&gt;"Serviço",0,IF(OR(AND(AUTOEVENTO="Manual",$M90=1),$M90&gt;(ROW(PLE.lastrow)-ROW(PLE.firstrow))),0,IF(OFFSET(PLE!$G$14,$M90,CF$13)="",10^12,OFFSET(PLE!$G$14,$M90,CF$13))))</f>
        <v>1000000000000</v>
      </c>
      <c r="CG90" s="182">
        <f ca="1">IF($D90&lt;&gt;"Serviço",0,IF(OR(AND(AUTOEVENTO="Manual",$M90=1),$M90&gt;(ROW(PLE.lastrow)-ROW(PLE.firstrow))),0,IF(OFFSET(PLE!$G$14,$M90,CG$13)="",10^12,OFFSET(PLE!$G$14,$M90,CG$13))))</f>
        <v>1000000000000</v>
      </c>
      <c r="CH90" s="182">
        <f ca="1">IF($D90&lt;&gt;"Serviço",0,IF(OR(AND(AUTOEVENTO="Manual",$M90=1),$M90&gt;(ROW(PLE.lastrow)-ROW(PLE.firstrow))),0,IF(OFFSET(PLE!$G$14,$M90,CH$13)="",10^12,OFFSET(PLE!$G$14,$M90,CH$13))))</f>
        <v>1000000000000</v>
      </c>
      <c r="CI90" s="182">
        <f ca="1">IF($D90&lt;&gt;"Serviço",0,IF(OR(AND(AUTOEVENTO="Manual",$M90=1),$M90&gt;(ROW(PLE.lastrow)-ROW(PLE.firstrow))),0,IF(OFFSET(PLE!$G$14,$M90,CI$13)="",10^12,OFFSET(PLE!$G$14,$M90,CI$13))))</f>
        <v>1000000000000</v>
      </c>
      <c r="CJ90" s="182">
        <f ca="1">IF($D90&lt;&gt;"Serviço",0,IF(OR(AND(AUTOEVENTO="Manual",$M90=1),$M90&gt;(ROW(PLE.lastrow)-ROW(PLE.firstrow))),0,IF(OFFSET(PLE!$G$14,$M90,CJ$13)="",10^12,OFFSET(PLE!$G$14,$M90,CJ$13))))</f>
        <v>1000000000000</v>
      </c>
      <c r="CK90" s="182">
        <f ca="1">IF($D90&lt;&gt;"Serviço",0,IF(OR(AND(AUTOEVENTO="Manual",$M90=1),$M90&gt;(ROW(PLE.lastrow)-ROW(PLE.firstrow))),0,IF(OFFSET(PLE!$G$14,$M90,CK$13)="",10^12,OFFSET(PLE!$G$14,$M90,CK$13))))</f>
        <v>1000000000000</v>
      </c>
      <c r="CL90" s="182">
        <f ca="1">IF($D90&lt;&gt;"Serviço",0,IF(OR(AND(AUTOEVENTO="Manual",$M90=1),$M90&gt;(ROW(PLE.lastrow)-ROW(PLE.firstrow))),0,IF(OFFSET(PLE!$G$14,$M90,CL$13)="",10^12,OFFSET(PLE!$G$14,$M90,CL$13))))</f>
        <v>1000000000000</v>
      </c>
      <c r="CM90" s="182">
        <f ca="1">IF($D90&lt;&gt;"Serviço",0,IF(OR(AND(AUTOEVENTO="Manual",$M90=1),$M90&gt;(ROW(PLE.lastrow)-ROW(PLE.firstrow))),0,IF(OFFSET(PLE!$G$14,$M90,CM$13)="",10^12,OFFSET(PLE!$G$14,$M90,CM$13))))</f>
        <v>1000000000000</v>
      </c>
    </row>
    <row r="91" spans="1:91" ht="12.75" x14ac:dyDescent="0.2">
      <c r="A91" s="7" t="str">
        <f t="shared" ca="1" si="10"/>
        <v>76.</v>
      </c>
      <c r="B91" s="7">
        <f ca="1">OFFSET(ORÇAMENTO!C$15,ROW(B91)-ROW(B$15),0)</f>
        <v>2</v>
      </c>
      <c r="C91" s="7" t="str">
        <f ca="1">OFFSET(ORÇAMENTO!L$15,ROW(C91)-ROW(C$15),0)</f>
        <v>F</v>
      </c>
      <c r="D91" s="118" t="str">
        <f ca="1">OFFSET(ORÇAMENTO!N$15,ROW(D91)-ROW(D$15),0)</f>
        <v>Nível 2</v>
      </c>
      <c r="E91" s="119" t="str">
        <f ca="1">OFFSET(ORÇAMENTO!O$15,ROW(E91)-ROW(E$15),0)</f>
        <v>1.13.</v>
      </c>
      <c r="F91" s="172" t="str">
        <f ca="1">OFFSET(ORÇAMENTO!R$15,ROW(F91)-ROW(F$15),0)</f>
        <v>PAVIMENTAÇÃO INTERNA - PISO DE CONCRETO 8 CM</v>
      </c>
      <c r="G91" s="173" t="str">
        <f ca="1">IF($D91&lt;&gt;"Serviço","",OFFSET(ORÇAMENTO!S$15,ROW(G91)-ROW(G$15),0))</f>
        <v/>
      </c>
      <c r="H91" s="124">
        <f ca="1">IF($D91&lt;&gt;"Serviço",0,IF(ACOMPANHAMENTO="BM",ROUND(OFFSET(ORÇAMENTO!AJ$15,ROW(H91)-ROW(H$15),0),15-13*ORÇAMENTO!$AF$7),SUMPRODUCT(($Q$12:$AI$12&lt;&gt;"")*ROUND($Q91:$AI91,15-13*ORÇAMENTO!$AF$7))))</f>
        <v>0</v>
      </c>
      <c r="I91" s="561"/>
      <c r="K91" s="174"/>
      <c r="L91" s="175" t="s">
        <v>255</v>
      </c>
      <c r="M91" s="176" t="str">
        <f ca="1">IF($D91&lt;&gt;"Serviço","",IF(AUTOEVENTO="manual",$A91,IF(ISERROR(MATCH($A91,$A$15:OFFSET($A91,-1,0),0)),MAX($M$15:OFFSET(M91,-1,0))+1,INDEX($M$15:OFFSET(M91,-1,0),MATCH($A91,$A$15:OFFSET($A91,-1,0),0)))))</f>
        <v/>
      </c>
      <c r="N91" s="177" t="str">
        <f ca="1">IF($D91&lt;&gt;"Serviço","",IF(AUTOEVENTO="Manual",IF($A91=0,"&lt;-- defina o número do agrupador",OFFSET(EVENTOS!$D$14,$A91,0)),OFFSET($F$15,$A91,0)))</f>
        <v/>
      </c>
      <c r="O91" s="178"/>
      <c r="Q91" s="178"/>
      <c r="R91" s="179"/>
      <c r="S91" s="179"/>
      <c r="T91" s="179"/>
      <c r="U91" s="179"/>
      <c r="V91" s="179"/>
      <c r="W91" s="179"/>
      <c r="X91" s="179"/>
      <c r="Y91" s="179"/>
      <c r="Z91" s="180"/>
      <c r="AA91" s="179"/>
      <c r="AB91" s="179"/>
      <c r="AC91" s="179"/>
      <c r="AD91" s="179"/>
      <c r="AE91" s="179"/>
      <c r="AF91" s="179"/>
      <c r="AG91" s="179"/>
      <c r="AH91" s="180"/>
      <c r="AJ91" s="544">
        <f ca="1">IF(AND($D91="Serviço",AJ$12&lt;&gt;0,$H91&gt;0,OR(AUTOEVENTO&lt;&gt;"manual",$M91&lt;&gt;1)),
IF(Import.TipoArredondamento&lt;&gt;"TransfereGOV",
ROUND(OFFSET($P91,0,AJ$13),15-13*ORÇAMENTO!$AF$7)/$H91*OFFSET(ORÇAMENTO!$X$15,ROW(AJ91)-ROW(AJ$15),0),
ROUND(ROUND(OFFSET($P91,0,AJ$13),15-13*ORÇAMENTO!$AF$7)*OFFSET(ORÇAMENTO!$W$15,ROW(AJ91)-ROW(AJ$15),0),15-13*ORÇAMENTO!$AF$11)),0)</f>
        <v>0</v>
      </c>
      <c r="AK91" s="545">
        <f ca="1">IF(AND($D91="Serviço",AK$12&lt;&gt;0,$H91&gt;0,OR(AUTOEVENTO&lt;&gt;"manual",$M91&lt;&gt;1)),
IF(Import.TipoArredondamento&lt;&gt;"TransfereGOV",
ROUND(OFFSET($P91,0,AK$13),15-13*ORÇAMENTO!$AF$7)/$H91*OFFSET(ORÇAMENTO!$X$15,ROW(AK91)-ROW(AK$15),0),
ROUND(ROUND(OFFSET($P91,0,AK$13),15-13*ORÇAMENTO!$AF$7)*OFFSET(ORÇAMENTO!$W$15,ROW(AK91)-ROW(AK$15),0),15-13*ORÇAMENTO!$AF$11)),0)</f>
        <v>0</v>
      </c>
      <c r="AL91" s="545">
        <f ca="1">IF(AND($D91="Serviço",AL$12&lt;&gt;0,$H91&gt;0,OR(AUTOEVENTO&lt;&gt;"manual",$M91&lt;&gt;1)),
IF(Import.TipoArredondamento&lt;&gt;"TransfereGOV",
ROUND(OFFSET($P91,0,AL$13),15-13*ORÇAMENTO!$AF$7)/$H91*OFFSET(ORÇAMENTO!$X$15,ROW(AL91)-ROW(AL$15),0),
ROUND(ROUND(OFFSET($P91,0,AL$13),15-13*ORÇAMENTO!$AF$7)*OFFSET(ORÇAMENTO!$W$15,ROW(AL91)-ROW(AL$15),0),15-13*ORÇAMENTO!$AF$11)),0)</f>
        <v>0</v>
      </c>
      <c r="AM91" s="545">
        <f ca="1">IF(AND($D91="Serviço",AM$12&lt;&gt;0,$H91&gt;0,OR(AUTOEVENTO&lt;&gt;"manual",$M91&lt;&gt;1)),
IF(Import.TipoArredondamento&lt;&gt;"TransfereGOV",
ROUND(OFFSET($P91,0,AM$13),15-13*ORÇAMENTO!$AF$7)/$H91*OFFSET(ORÇAMENTO!$X$15,ROW(AM91)-ROW(AM$15),0),
ROUND(ROUND(OFFSET($P91,0,AM$13),15-13*ORÇAMENTO!$AF$7)*OFFSET(ORÇAMENTO!$W$15,ROW(AM91)-ROW(AM$15),0),15-13*ORÇAMENTO!$AF$11)),0)</f>
        <v>0</v>
      </c>
      <c r="AN91" s="545">
        <f ca="1">IF(AND($D91="Serviço",AN$12&lt;&gt;0,$H91&gt;0,OR(AUTOEVENTO&lt;&gt;"manual",$M91&lt;&gt;1)),
IF(Import.TipoArredondamento&lt;&gt;"TransfereGOV",
ROUND(OFFSET($P91,0,AN$13),15-13*ORÇAMENTO!$AF$7)/$H91*OFFSET(ORÇAMENTO!$X$15,ROW(AN91)-ROW(AN$15),0),
ROUND(ROUND(OFFSET($P91,0,AN$13),15-13*ORÇAMENTO!$AF$7)*OFFSET(ORÇAMENTO!$W$15,ROW(AN91)-ROW(AN$15),0),15-13*ORÇAMENTO!$AF$11)),0)</f>
        <v>0</v>
      </c>
      <c r="AO91" s="545">
        <f ca="1">IF(AND($D91="Serviço",AO$12&lt;&gt;0,$H91&gt;0,OR(AUTOEVENTO&lt;&gt;"manual",$M91&lt;&gt;1)),
IF(Import.TipoArredondamento&lt;&gt;"TransfereGOV",
ROUND(OFFSET($P91,0,AO$13),15-13*ORÇAMENTO!$AF$7)/$H91*OFFSET(ORÇAMENTO!$X$15,ROW(AO91)-ROW(AO$15),0),
ROUND(ROUND(OFFSET($P91,0,AO$13),15-13*ORÇAMENTO!$AF$7)*OFFSET(ORÇAMENTO!$W$15,ROW(AO91)-ROW(AO$15),0),15-13*ORÇAMENTO!$AF$11)),0)</f>
        <v>0</v>
      </c>
      <c r="AP91" s="545">
        <f ca="1">IF(AND($D91="Serviço",AP$12&lt;&gt;0,$H91&gt;0,OR(AUTOEVENTO&lt;&gt;"manual",$M91&lt;&gt;1)),
IF(Import.TipoArredondamento&lt;&gt;"TransfereGOV",
ROUND(OFFSET($P91,0,AP$13),15-13*ORÇAMENTO!$AF$7)/$H91*OFFSET(ORÇAMENTO!$X$15,ROW(AP91)-ROW(AP$15),0),
ROUND(ROUND(OFFSET($P91,0,AP$13),15-13*ORÇAMENTO!$AF$7)*OFFSET(ORÇAMENTO!$W$15,ROW(AP91)-ROW(AP$15),0),15-13*ORÇAMENTO!$AF$11)),0)</f>
        <v>0</v>
      </c>
      <c r="AQ91" s="545">
        <f ca="1">IF(AND($D91="Serviço",AQ$12&lt;&gt;0,$H91&gt;0,OR(AUTOEVENTO&lt;&gt;"manual",$M91&lt;&gt;1)),
IF(Import.TipoArredondamento&lt;&gt;"TransfereGOV",
ROUND(OFFSET($P91,0,AQ$13),15-13*ORÇAMENTO!$AF$7)/$H91*OFFSET(ORÇAMENTO!$X$15,ROW(AQ91)-ROW(AQ$15),0),
ROUND(ROUND(OFFSET($P91,0,AQ$13),15-13*ORÇAMENTO!$AF$7)*OFFSET(ORÇAMENTO!$W$15,ROW(AQ91)-ROW(AQ$15),0),15-13*ORÇAMENTO!$AF$11)),0)</f>
        <v>0</v>
      </c>
      <c r="AR91" s="545">
        <f ca="1">IF(AND($D91="Serviço",AR$12&lt;&gt;0,$H91&gt;0,OR(AUTOEVENTO&lt;&gt;"manual",$M91&lt;&gt;1)),
IF(Import.TipoArredondamento&lt;&gt;"TransfereGOV",
ROUND(OFFSET($P91,0,AR$13),15-13*ORÇAMENTO!$AF$7)/$H91*OFFSET(ORÇAMENTO!$X$15,ROW(AR91)-ROW(AR$15),0),
ROUND(ROUND(OFFSET($P91,0,AR$13),15-13*ORÇAMENTO!$AF$7)*OFFSET(ORÇAMENTO!$W$15,ROW(AR91)-ROW(AR$15),0),15-13*ORÇAMENTO!$AF$11)),0)</f>
        <v>0</v>
      </c>
      <c r="AS91" s="546">
        <f ca="1">IF(AND($D91="Serviço",AS$12&lt;&gt;0,$H91&gt;0,OR(AUTOEVENTO&lt;&gt;"manual",$M91&lt;&gt;1)),
IF(Import.TipoArredondamento&lt;&gt;"TransfereGOV",
ROUND(OFFSET($P91,0,AS$13),15-13*ORÇAMENTO!$AF$7)/$H91*OFFSET(ORÇAMENTO!$X$15,ROW(AS91)-ROW(AS$15),0),
ROUND(ROUND(OFFSET($P91,0,AS$13),15-13*ORÇAMENTO!$AF$7)*OFFSET(ORÇAMENTO!$W$15,ROW(AS91)-ROW(AS$15),0),15-13*ORÇAMENTO!$AF$11)),0)</f>
        <v>0</v>
      </c>
      <c r="AT91" s="545">
        <f ca="1">IF(AND($D91="Serviço",AT$12&lt;&gt;0,$H91&gt;0,OR(AUTOEVENTO&lt;&gt;"manual",$M91&lt;&gt;1)),
IF(Import.TipoArredondamento&lt;&gt;"TransfereGOV",
ROUND(OFFSET($P91,0,AT$13),15-13*ORÇAMENTO!$AF$7)/$H91*OFFSET(ORÇAMENTO!$X$15,ROW(AT91)-ROW(AT$15),0),
ROUND(ROUND(OFFSET($P91,0,AT$13),15-13*ORÇAMENTO!$AF$7)*OFFSET(ORÇAMENTO!$W$15,ROW(AT91)-ROW(AT$15),0),15-13*ORÇAMENTO!$AF$11)),0)</f>
        <v>0</v>
      </c>
      <c r="AU91" s="545">
        <f ca="1">IF(AND($D91="Serviço",AU$12&lt;&gt;0,$H91&gt;0,OR(AUTOEVENTO&lt;&gt;"manual",$M91&lt;&gt;1)),
IF(Import.TipoArredondamento&lt;&gt;"TransfereGOV",
ROUND(OFFSET($P91,0,AU$13),15-13*ORÇAMENTO!$AF$7)/$H91*OFFSET(ORÇAMENTO!$X$15,ROW(AU91)-ROW(AU$15),0),
ROUND(ROUND(OFFSET($P91,0,AU$13),15-13*ORÇAMENTO!$AF$7)*OFFSET(ORÇAMENTO!$W$15,ROW(AU91)-ROW(AU$15),0),15-13*ORÇAMENTO!$AF$11)),0)</f>
        <v>0</v>
      </c>
      <c r="AV91" s="545">
        <f ca="1">IF(AND($D91="Serviço",AV$12&lt;&gt;0,$H91&gt;0,OR(AUTOEVENTO&lt;&gt;"manual",$M91&lt;&gt;1)),
IF(Import.TipoArredondamento&lt;&gt;"TransfereGOV",
ROUND(OFFSET($P91,0,AV$13),15-13*ORÇAMENTO!$AF$7)/$H91*OFFSET(ORÇAMENTO!$X$15,ROW(AV91)-ROW(AV$15),0),
ROUND(ROUND(OFFSET($P91,0,AV$13),15-13*ORÇAMENTO!$AF$7)*OFFSET(ORÇAMENTO!$W$15,ROW(AV91)-ROW(AV$15),0),15-13*ORÇAMENTO!$AF$11)),0)</f>
        <v>0</v>
      </c>
      <c r="AW91" s="545">
        <f ca="1">IF(AND($D91="Serviço",AW$12&lt;&gt;0,$H91&gt;0,OR(AUTOEVENTO&lt;&gt;"manual",$M91&lt;&gt;1)),
IF(Import.TipoArredondamento&lt;&gt;"TransfereGOV",
ROUND(OFFSET($P91,0,AW$13),15-13*ORÇAMENTO!$AF$7)/$H91*OFFSET(ORÇAMENTO!$X$15,ROW(AW91)-ROW(AW$15),0),
ROUND(ROUND(OFFSET($P91,0,AW$13),15-13*ORÇAMENTO!$AF$7)*OFFSET(ORÇAMENTO!$W$15,ROW(AW91)-ROW(AW$15),0),15-13*ORÇAMENTO!$AF$11)),0)</f>
        <v>0</v>
      </c>
      <c r="AX91" s="545">
        <f ca="1">IF(AND($D91="Serviço",AX$12&lt;&gt;0,$H91&gt;0,OR(AUTOEVENTO&lt;&gt;"manual",$M91&lt;&gt;1)),
IF(Import.TipoArredondamento&lt;&gt;"TransfereGOV",
ROUND(OFFSET($P91,0,AX$13),15-13*ORÇAMENTO!$AF$7)/$H91*OFFSET(ORÇAMENTO!$X$15,ROW(AX91)-ROW(AX$15),0),
ROUND(ROUND(OFFSET($P91,0,AX$13),15-13*ORÇAMENTO!$AF$7)*OFFSET(ORÇAMENTO!$W$15,ROW(AX91)-ROW(AX$15),0),15-13*ORÇAMENTO!$AF$11)),0)</f>
        <v>0</v>
      </c>
      <c r="AY91" s="545">
        <f ca="1">IF(AND($D91="Serviço",AY$12&lt;&gt;0,$H91&gt;0,OR(AUTOEVENTO&lt;&gt;"manual",$M91&lt;&gt;1)),
IF(Import.TipoArredondamento&lt;&gt;"TransfereGOV",
ROUND(OFFSET($P91,0,AY$13),15-13*ORÇAMENTO!$AF$7)/$H91*OFFSET(ORÇAMENTO!$X$15,ROW(AY91)-ROW(AY$15),0),
ROUND(ROUND(OFFSET($P91,0,AY$13),15-13*ORÇAMENTO!$AF$7)*OFFSET(ORÇAMENTO!$W$15,ROW(AY91)-ROW(AY$15),0),15-13*ORÇAMENTO!$AF$11)),0)</f>
        <v>0</v>
      </c>
      <c r="AZ91" s="545">
        <f ca="1">IF(AND($D91="Serviço",AZ$12&lt;&gt;0,$H91&gt;0,OR(AUTOEVENTO&lt;&gt;"manual",$M91&lt;&gt;1)),
IF(Import.TipoArredondamento&lt;&gt;"TransfereGOV",
ROUND(OFFSET($P91,0,AZ$13),15-13*ORÇAMENTO!$AF$7)/$H91*OFFSET(ORÇAMENTO!$X$15,ROW(AZ91)-ROW(AZ$15),0),
ROUND(ROUND(OFFSET($P91,0,AZ$13),15-13*ORÇAMENTO!$AF$7)*OFFSET(ORÇAMENTO!$W$15,ROW(AZ91)-ROW(AZ$15),0),15-13*ORÇAMENTO!$AF$11)),0)</f>
        <v>0</v>
      </c>
      <c r="BA91" s="546">
        <f ca="1">IF(AND($D91="Serviço",BA$12&lt;&gt;0,$H91&gt;0,OR(AUTOEVENTO&lt;&gt;"manual",$M91&lt;&gt;1)),
IF(Import.TipoArredondamento&lt;&gt;"TransfereGOV",
ROUND(OFFSET($P91,0,BA$13),15-13*ORÇAMENTO!$AF$7)/$H91*OFFSET(ORÇAMENTO!$X$15,ROW(BA91)-ROW(BA$15),0),
ROUND(ROUND(OFFSET($P91,0,BA$13),15-13*ORÇAMENTO!$AF$7)*OFFSET(ORÇAMENTO!$W$15,ROW(BA91)-ROW(BA$15),0),15-13*ORÇAMENTO!$AF$11)),0)</f>
        <v>0</v>
      </c>
      <c r="BC91" s="181">
        <f ca="1">IF($D91&lt;&gt;"Serviço",0,IF(AND(AUTOEVENTO="Manual",$M91=1),0,IF(OFFSET(CRONOPLE!$F$14,$M91,BC$13)="",10^12,OFFSET(CRONOPLE!$F$14,$M91,BC$13))))</f>
        <v>0</v>
      </c>
      <c r="BD91" s="181">
        <f ca="1">IF($D91&lt;&gt;"Serviço",0,IF(AND(AUTOEVENTO="Manual",$M91=1),0,IF(OFFSET(CRONOPLE!$F$14,$M91,BD$13)="",10^12,OFFSET(CRONOPLE!$F$14,$M91,BD$13))))</f>
        <v>0</v>
      </c>
      <c r="BE91" s="181">
        <f ca="1">IF($D91&lt;&gt;"Serviço",0,IF(AND(AUTOEVENTO="Manual",$M91=1),0,IF(OFFSET(CRONOPLE!$F$14,$M91,BE$13)="",10^12,OFFSET(CRONOPLE!$F$14,$M91,BE$13))))</f>
        <v>0</v>
      </c>
      <c r="BF91" s="181">
        <f ca="1">IF($D91&lt;&gt;"Serviço",0,IF(AND(AUTOEVENTO="Manual",$M91=1),0,IF(OFFSET(CRONOPLE!$F$14,$M91,BF$13)="",10^12,OFFSET(CRONOPLE!$F$14,$M91,BF$13))))</f>
        <v>0</v>
      </c>
      <c r="BG91" s="181">
        <f ca="1">IF($D91&lt;&gt;"Serviço",0,IF(AND(AUTOEVENTO="Manual",$M91=1),0,IF(OFFSET(CRONOPLE!$F$14,$M91,BG$13)="",10^12,OFFSET(CRONOPLE!$F$14,$M91,BG$13))))</f>
        <v>0</v>
      </c>
      <c r="BH91" s="181">
        <f ca="1">IF($D91&lt;&gt;"Serviço",0,IF(AND(AUTOEVENTO="Manual",$M91=1),0,IF(OFFSET(CRONOPLE!$F$14,$M91,BH$13)="",10^12,OFFSET(CRONOPLE!$F$14,$M91,BH$13))))</f>
        <v>0</v>
      </c>
      <c r="BI91" s="181">
        <f ca="1">IF($D91&lt;&gt;"Serviço",0,IF(AND(AUTOEVENTO="Manual",$M91=1),0,IF(OFFSET(CRONOPLE!$F$14,$M91,BI$13)="",10^12,OFFSET(CRONOPLE!$F$14,$M91,BI$13))))</f>
        <v>0</v>
      </c>
      <c r="BJ91" s="181">
        <f ca="1">IF($D91&lt;&gt;"Serviço",0,IF(AND(AUTOEVENTO="Manual",$M91=1),0,IF(OFFSET(CRONOPLE!$F$14,$M91,BJ$13)="",10^12,OFFSET(CRONOPLE!$F$14,$M91,BJ$13))))</f>
        <v>0</v>
      </c>
      <c r="BK91" s="181">
        <f ca="1">IF($D91&lt;&gt;"Serviço",0,IF(AND(AUTOEVENTO="Manual",$M91=1),0,IF(OFFSET(CRONOPLE!$F$14,$M91,BK$13)="",10^12,OFFSET(CRONOPLE!$F$14,$M91,BK$13))))</f>
        <v>0</v>
      </c>
      <c r="BL91" s="181">
        <f ca="1">IF($D91&lt;&gt;"Serviço",0,IF(AND(AUTOEVENTO="Manual",$M91=1),0,IF(OFFSET(CRONOPLE!$F$14,$M91,BL$13)="",10^12,OFFSET(CRONOPLE!$F$14,$M91,BL$13))))</f>
        <v>0</v>
      </c>
      <c r="BM91" s="181">
        <f ca="1">IF($D91&lt;&gt;"Serviço",0,IF(AND(AUTOEVENTO="Manual",$M91=1),0,IF(OFFSET(CRONOPLE!$F$14,$M91,BM$13)="",10^12,OFFSET(CRONOPLE!$F$14,$M91,BM$13))))</f>
        <v>0</v>
      </c>
      <c r="BN91" s="181">
        <f ca="1">IF($D91&lt;&gt;"Serviço",0,IF(AND(AUTOEVENTO="Manual",$M91=1),0,IF(OFFSET(CRONOPLE!$F$14,$M91,BN$13)="",10^12,OFFSET(CRONOPLE!$F$14,$M91,BN$13))))</f>
        <v>0</v>
      </c>
      <c r="BO91" s="181">
        <f ca="1">IF($D91&lt;&gt;"Serviço",0,IF(AND(AUTOEVENTO="Manual",$M91=1),0,IF(OFFSET(CRONOPLE!$F$14,$M91,BO$13)="",10^12,OFFSET(CRONOPLE!$F$14,$M91,BO$13))))</f>
        <v>0</v>
      </c>
      <c r="BP91" s="181">
        <f ca="1">IF($D91&lt;&gt;"Serviço",0,IF(AND(AUTOEVENTO="Manual",$M91=1),0,IF(OFFSET(CRONOPLE!$F$14,$M91,BP$13)="",10^12,OFFSET(CRONOPLE!$F$14,$M91,BP$13))))</f>
        <v>0</v>
      </c>
      <c r="BQ91" s="181">
        <f ca="1">IF($D91&lt;&gt;"Serviço",0,IF(AND(AUTOEVENTO="Manual",$M91=1),0,IF(OFFSET(CRONOPLE!$F$14,$M91,BQ$13)="",10^12,OFFSET(CRONOPLE!$F$14,$M91,BQ$13))))</f>
        <v>0</v>
      </c>
      <c r="BR91" s="181">
        <f ca="1">IF($D91&lt;&gt;"Serviço",0,IF(AND(AUTOEVENTO="Manual",$M91=1),0,IF(OFFSET(CRONOPLE!$F$14,$M91,BR$13)="",10^12,OFFSET(CRONOPLE!$F$14,$M91,BR$13))))</f>
        <v>0</v>
      </c>
      <c r="BS91" s="181">
        <f ca="1">IF($D91&lt;&gt;"Serviço",0,IF(AND(AUTOEVENTO="Manual",$M91=1),0,IF(OFFSET(CRONOPLE!$F$14,$M91,BS$13)="",10^12,OFFSET(CRONOPLE!$F$14,$M91,BS$13))))</f>
        <v>0</v>
      </c>
      <c r="BT91" s="181">
        <f ca="1">IF($D91&lt;&gt;"Serviço",0,IF(AND(AUTOEVENTO="Manual",$M91=1),0,IF(OFFSET(CRONOPLE!$F$14,$M91,BT$13)="",10^12,OFFSET(CRONOPLE!$F$14,$M91,BT$13))))</f>
        <v>0</v>
      </c>
      <c r="BV91" s="182">
        <f ca="1">IF($D91&lt;&gt;"Serviço",0,IF(OR(AND(AUTOEVENTO="Manual",$M91=1),$M91&gt;(ROW(PLE.lastrow)-ROW(PLE.firstrow))),0,IF(OFFSET(PLE!$G$14,$M91,BV$13)="",10^12,OFFSET(PLE!$G$14,$M91,BV$13))))</f>
        <v>0</v>
      </c>
      <c r="BW91" s="182">
        <f ca="1">IF($D91&lt;&gt;"Serviço",0,IF(OR(AND(AUTOEVENTO="Manual",$M91=1),$M91&gt;(ROW(PLE.lastrow)-ROW(PLE.firstrow))),0,IF(OFFSET(PLE!$G$14,$M91,BW$13)="",10^12,OFFSET(PLE!$G$14,$M91,BW$13))))</f>
        <v>0</v>
      </c>
      <c r="BX91" s="182">
        <f ca="1">IF($D91&lt;&gt;"Serviço",0,IF(OR(AND(AUTOEVENTO="Manual",$M91=1),$M91&gt;(ROW(PLE.lastrow)-ROW(PLE.firstrow))),0,IF(OFFSET(PLE!$G$14,$M91,BX$13)="",10^12,OFFSET(PLE!$G$14,$M91,BX$13))))</f>
        <v>0</v>
      </c>
      <c r="BY91" s="182">
        <f ca="1">IF($D91&lt;&gt;"Serviço",0,IF(OR(AND(AUTOEVENTO="Manual",$M91=1),$M91&gt;(ROW(PLE.lastrow)-ROW(PLE.firstrow))),0,IF(OFFSET(PLE!$G$14,$M91,BY$13)="",10^12,OFFSET(PLE!$G$14,$M91,BY$13))))</f>
        <v>0</v>
      </c>
      <c r="BZ91" s="182">
        <f ca="1">IF($D91&lt;&gt;"Serviço",0,IF(OR(AND(AUTOEVENTO="Manual",$M91=1),$M91&gt;(ROW(PLE.lastrow)-ROW(PLE.firstrow))),0,IF(OFFSET(PLE!$G$14,$M91,BZ$13)="",10^12,OFFSET(PLE!$G$14,$M91,BZ$13))))</f>
        <v>0</v>
      </c>
      <c r="CA91" s="182">
        <f ca="1">IF($D91&lt;&gt;"Serviço",0,IF(OR(AND(AUTOEVENTO="Manual",$M91=1),$M91&gt;(ROW(PLE.lastrow)-ROW(PLE.firstrow))),0,IF(OFFSET(PLE!$G$14,$M91,CA$13)="",10^12,OFFSET(PLE!$G$14,$M91,CA$13))))</f>
        <v>0</v>
      </c>
      <c r="CB91" s="182">
        <f ca="1">IF($D91&lt;&gt;"Serviço",0,IF(OR(AND(AUTOEVENTO="Manual",$M91=1),$M91&gt;(ROW(PLE.lastrow)-ROW(PLE.firstrow))),0,IF(OFFSET(PLE!$G$14,$M91,CB$13)="",10^12,OFFSET(PLE!$G$14,$M91,CB$13))))</f>
        <v>0</v>
      </c>
      <c r="CC91" s="182">
        <f ca="1">IF($D91&lt;&gt;"Serviço",0,IF(OR(AND(AUTOEVENTO="Manual",$M91=1),$M91&gt;(ROW(PLE.lastrow)-ROW(PLE.firstrow))),0,IF(OFFSET(PLE!$G$14,$M91,CC$13)="",10^12,OFFSET(PLE!$G$14,$M91,CC$13))))</f>
        <v>0</v>
      </c>
      <c r="CD91" s="182">
        <f ca="1">IF($D91&lt;&gt;"Serviço",0,IF(OR(AND(AUTOEVENTO="Manual",$M91=1),$M91&gt;(ROW(PLE.lastrow)-ROW(PLE.firstrow))),0,IF(OFFSET(PLE!$G$14,$M91,CD$13)="",10^12,OFFSET(PLE!$G$14,$M91,CD$13))))</f>
        <v>0</v>
      </c>
      <c r="CE91" s="182">
        <f ca="1">IF($D91&lt;&gt;"Serviço",0,IF(OR(AND(AUTOEVENTO="Manual",$M91=1),$M91&gt;(ROW(PLE.lastrow)-ROW(PLE.firstrow))),0,IF(OFFSET(PLE!$G$14,$M91,CE$13)="",10^12,OFFSET(PLE!$G$14,$M91,CE$13))))</f>
        <v>0</v>
      </c>
      <c r="CF91" s="182">
        <f ca="1">IF($D91&lt;&gt;"Serviço",0,IF(OR(AND(AUTOEVENTO="Manual",$M91=1),$M91&gt;(ROW(PLE.lastrow)-ROW(PLE.firstrow))),0,IF(OFFSET(PLE!$G$14,$M91,CF$13)="",10^12,OFFSET(PLE!$G$14,$M91,CF$13))))</f>
        <v>0</v>
      </c>
      <c r="CG91" s="182">
        <f ca="1">IF($D91&lt;&gt;"Serviço",0,IF(OR(AND(AUTOEVENTO="Manual",$M91=1),$M91&gt;(ROW(PLE.lastrow)-ROW(PLE.firstrow))),0,IF(OFFSET(PLE!$G$14,$M91,CG$13)="",10^12,OFFSET(PLE!$G$14,$M91,CG$13))))</f>
        <v>0</v>
      </c>
      <c r="CH91" s="182">
        <f ca="1">IF($D91&lt;&gt;"Serviço",0,IF(OR(AND(AUTOEVENTO="Manual",$M91=1),$M91&gt;(ROW(PLE.lastrow)-ROW(PLE.firstrow))),0,IF(OFFSET(PLE!$G$14,$M91,CH$13)="",10^12,OFFSET(PLE!$G$14,$M91,CH$13))))</f>
        <v>0</v>
      </c>
      <c r="CI91" s="182">
        <f ca="1">IF($D91&lt;&gt;"Serviço",0,IF(OR(AND(AUTOEVENTO="Manual",$M91=1),$M91&gt;(ROW(PLE.lastrow)-ROW(PLE.firstrow))),0,IF(OFFSET(PLE!$G$14,$M91,CI$13)="",10^12,OFFSET(PLE!$G$14,$M91,CI$13))))</f>
        <v>0</v>
      </c>
      <c r="CJ91" s="182">
        <f ca="1">IF($D91&lt;&gt;"Serviço",0,IF(OR(AND(AUTOEVENTO="Manual",$M91=1),$M91&gt;(ROW(PLE.lastrow)-ROW(PLE.firstrow))),0,IF(OFFSET(PLE!$G$14,$M91,CJ$13)="",10^12,OFFSET(PLE!$G$14,$M91,CJ$13))))</f>
        <v>0</v>
      </c>
      <c r="CK91" s="182">
        <f ca="1">IF($D91&lt;&gt;"Serviço",0,IF(OR(AND(AUTOEVENTO="Manual",$M91=1),$M91&gt;(ROW(PLE.lastrow)-ROW(PLE.firstrow))),0,IF(OFFSET(PLE!$G$14,$M91,CK$13)="",10^12,OFFSET(PLE!$G$14,$M91,CK$13))))</f>
        <v>0</v>
      </c>
      <c r="CL91" s="182">
        <f ca="1">IF($D91&lt;&gt;"Serviço",0,IF(OR(AND(AUTOEVENTO="Manual",$M91=1),$M91&gt;(ROW(PLE.lastrow)-ROW(PLE.firstrow))),0,IF(OFFSET(PLE!$G$14,$M91,CL$13)="",10^12,OFFSET(PLE!$G$14,$M91,CL$13))))</f>
        <v>0</v>
      </c>
      <c r="CM91" s="182">
        <f ca="1">IF($D91&lt;&gt;"Serviço",0,IF(OR(AND(AUTOEVENTO="Manual",$M91=1),$M91&gt;(ROW(PLE.lastrow)-ROW(PLE.firstrow))),0,IF(OFFSET(PLE!$G$14,$M91,CM$13)="",10^12,OFFSET(PLE!$G$14,$M91,CM$13))))</f>
        <v>0</v>
      </c>
    </row>
    <row r="92" spans="1:91" ht="38.25" x14ac:dyDescent="0.2">
      <c r="A92" s="7" t="str">
        <f t="shared" ca="1" si="10"/>
        <v>76</v>
      </c>
      <c r="B92" s="7" t="str">
        <f ca="1">OFFSET(ORÇAMENTO!C$15,ROW(B92)-ROW(B$15),0)</f>
        <v>S</v>
      </c>
      <c r="C92" s="7" t="str">
        <f ca="1">OFFSET(ORÇAMENTO!L$15,ROW(C92)-ROW(C$15),0)</f>
        <v/>
      </c>
      <c r="D92" s="118" t="str">
        <f ca="1">OFFSET(ORÇAMENTO!N$15,ROW(D92)-ROW(D$15),0)</f>
        <v>Serviço</v>
      </c>
      <c r="E92" s="119" t="str">
        <f ca="1">OFFSET(ORÇAMENTO!O$15,ROW(E92)-ROW(E$15),0)</f>
        <v>-</v>
      </c>
      <c r="F92" s="172" t="str">
        <f ca="1">OFFSET(ORÇAMENTO!R$15,ROW(F92)-ROW(F$15),0)</f>
        <v>(abra o arquivo 'Referência 06-2024.xlsm)</v>
      </c>
      <c r="G92" s="173" t="str">
        <f ca="1">IF($D92&lt;&gt;"Serviço","",OFFSET(ORÇAMENTO!S$15,ROW(G92)-ROW(G$15),0))</f>
        <v>-</v>
      </c>
      <c r="H92" s="124">
        <f ca="1">IF($D92&lt;&gt;"Serviço",0,IF(ACOMPANHAMENTO="BM",ROUND(OFFSET(ORÇAMENTO!AJ$15,ROW(H92)-ROW(H$15),0),15-13*ORÇAMENTO!$AF$7),SUMPRODUCT(($Q$12:$AI$12&lt;&gt;"")*ROUND($Q92:$AI92,15-13*ORÇAMENTO!$AF$7))))</f>
        <v>1394.71</v>
      </c>
      <c r="I92" s="561" t="s">
        <v>1107</v>
      </c>
      <c r="K92" s="174"/>
      <c r="L92" s="175" t="s">
        <v>255</v>
      </c>
      <c r="M92" s="176">
        <f ca="1">IF($D92&lt;&gt;"Serviço","",IF(AUTOEVENTO="manual",$A92,IF(ISERROR(MATCH($A92,$A$15:OFFSET($A92,-1,0),0)),MAX($M$15:OFFSET(M92,-1,0))+1,INDEX($M$15:OFFSET(M92,-1,0),MATCH($A92,$A$15:OFFSET($A92,-1,0),0)))))</f>
        <v>14</v>
      </c>
      <c r="N92" s="177" t="str">
        <f ca="1">IF($D92&lt;&gt;"Serviço","",IF(AUTOEVENTO="Manual",IF($A92=0,"&lt;-- defina o número do agrupador",OFFSET(EVENTOS!$D$14,$A92,0)),OFFSET($F$15,$A92,0)))</f>
        <v>PAVIMENTAÇÃO INTERNA - PISO DE CONCRETO 8 CM</v>
      </c>
      <c r="O92" s="178"/>
      <c r="Q92" s="178">
        <v>1394.71</v>
      </c>
      <c r="R92" s="179"/>
      <c r="S92" s="179"/>
      <c r="T92" s="179"/>
      <c r="U92" s="179"/>
      <c r="V92" s="179"/>
      <c r="W92" s="179"/>
      <c r="X92" s="179"/>
      <c r="Y92" s="179"/>
      <c r="Z92" s="180"/>
      <c r="AA92" s="179"/>
      <c r="AB92" s="179"/>
      <c r="AC92" s="179"/>
      <c r="AD92" s="179"/>
      <c r="AE92" s="179"/>
      <c r="AF92" s="179"/>
      <c r="AG92" s="179"/>
      <c r="AH92" s="180"/>
      <c r="AJ92" s="544">
        <f ca="1">IF(AND($D92="Serviço",AJ$12&lt;&gt;0,$H92&gt;0,OR(AUTOEVENTO&lt;&gt;"manual",$M92&lt;&gt;1)),
IF(Import.TipoArredondamento&lt;&gt;"TransfereGOV",
ROUND(OFFSET($P92,0,AJ$13),15-13*ORÇAMENTO!$AF$7)/$H92*OFFSET(ORÇAMENTO!$X$15,ROW(AJ92)-ROW(AJ$15),0),
ROUND(ROUND(OFFSET($P92,0,AJ$13),15-13*ORÇAMENTO!$AF$7)*OFFSET(ORÇAMENTO!$W$15,ROW(AJ92)-ROW(AJ$15),0),15-13*ORÇAMENTO!$AF$11)),0)</f>
        <v>0</v>
      </c>
      <c r="AK92" s="545">
        <f ca="1">IF(AND($D92="Serviço",AK$12&lt;&gt;0,$H92&gt;0,OR(AUTOEVENTO&lt;&gt;"manual",$M92&lt;&gt;1)),
IF(Import.TipoArredondamento&lt;&gt;"TransfereGOV",
ROUND(OFFSET($P92,0,AK$13),15-13*ORÇAMENTO!$AF$7)/$H92*OFFSET(ORÇAMENTO!$X$15,ROW(AK92)-ROW(AK$15),0),
ROUND(ROUND(OFFSET($P92,0,AK$13),15-13*ORÇAMENTO!$AF$7)*OFFSET(ORÇAMENTO!$W$15,ROW(AK92)-ROW(AK$15),0),15-13*ORÇAMENTO!$AF$11)),0)</f>
        <v>0</v>
      </c>
      <c r="AL92" s="545">
        <f ca="1">IF(AND($D92="Serviço",AL$12&lt;&gt;0,$H92&gt;0,OR(AUTOEVENTO&lt;&gt;"manual",$M92&lt;&gt;1)),
IF(Import.TipoArredondamento&lt;&gt;"TransfereGOV",
ROUND(OFFSET($P92,0,AL$13),15-13*ORÇAMENTO!$AF$7)/$H92*OFFSET(ORÇAMENTO!$X$15,ROW(AL92)-ROW(AL$15),0),
ROUND(ROUND(OFFSET($P92,0,AL$13),15-13*ORÇAMENTO!$AF$7)*OFFSET(ORÇAMENTO!$W$15,ROW(AL92)-ROW(AL$15),0),15-13*ORÇAMENTO!$AF$11)),0)</f>
        <v>0</v>
      </c>
      <c r="AM92" s="545">
        <f ca="1">IF(AND($D92="Serviço",AM$12&lt;&gt;0,$H92&gt;0,OR(AUTOEVENTO&lt;&gt;"manual",$M92&lt;&gt;1)),
IF(Import.TipoArredondamento&lt;&gt;"TransfereGOV",
ROUND(OFFSET($P92,0,AM$13),15-13*ORÇAMENTO!$AF$7)/$H92*OFFSET(ORÇAMENTO!$X$15,ROW(AM92)-ROW(AM$15),0),
ROUND(ROUND(OFFSET($P92,0,AM$13),15-13*ORÇAMENTO!$AF$7)*OFFSET(ORÇAMENTO!$W$15,ROW(AM92)-ROW(AM$15),0),15-13*ORÇAMENTO!$AF$11)),0)</f>
        <v>0</v>
      </c>
      <c r="AN92" s="545">
        <f ca="1">IF(AND($D92="Serviço",AN$12&lt;&gt;0,$H92&gt;0,OR(AUTOEVENTO&lt;&gt;"manual",$M92&lt;&gt;1)),
IF(Import.TipoArredondamento&lt;&gt;"TransfereGOV",
ROUND(OFFSET($P92,0,AN$13),15-13*ORÇAMENTO!$AF$7)/$H92*OFFSET(ORÇAMENTO!$X$15,ROW(AN92)-ROW(AN$15),0),
ROUND(ROUND(OFFSET($P92,0,AN$13),15-13*ORÇAMENTO!$AF$7)*OFFSET(ORÇAMENTO!$W$15,ROW(AN92)-ROW(AN$15),0),15-13*ORÇAMENTO!$AF$11)),0)</f>
        <v>0</v>
      </c>
      <c r="AO92" s="545">
        <f ca="1">IF(AND($D92="Serviço",AO$12&lt;&gt;0,$H92&gt;0,OR(AUTOEVENTO&lt;&gt;"manual",$M92&lt;&gt;1)),
IF(Import.TipoArredondamento&lt;&gt;"TransfereGOV",
ROUND(OFFSET($P92,0,AO$13),15-13*ORÇAMENTO!$AF$7)/$H92*OFFSET(ORÇAMENTO!$X$15,ROW(AO92)-ROW(AO$15),0),
ROUND(ROUND(OFFSET($P92,0,AO$13),15-13*ORÇAMENTO!$AF$7)*OFFSET(ORÇAMENTO!$W$15,ROW(AO92)-ROW(AO$15),0),15-13*ORÇAMENTO!$AF$11)),0)</f>
        <v>0</v>
      </c>
      <c r="AP92" s="545">
        <f ca="1">IF(AND($D92="Serviço",AP$12&lt;&gt;0,$H92&gt;0,OR(AUTOEVENTO&lt;&gt;"manual",$M92&lt;&gt;1)),
IF(Import.TipoArredondamento&lt;&gt;"TransfereGOV",
ROUND(OFFSET($P92,0,AP$13),15-13*ORÇAMENTO!$AF$7)/$H92*OFFSET(ORÇAMENTO!$X$15,ROW(AP92)-ROW(AP$15),0),
ROUND(ROUND(OFFSET($P92,0,AP$13),15-13*ORÇAMENTO!$AF$7)*OFFSET(ORÇAMENTO!$W$15,ROW(AP92)-ROW(AP$15),0),15-13*ORÇAMENTO!$AF$11)),0)</f>
        <v>0</v>
      </c>
      <c r="AQ92" s="545">
        <f ca="1">IF(AND($D92="Serviço",AQ$12&lt;&gt;0,$H92&gt;0,OR(AUTOEVENTO&lt;&gt;"manual",$M92&lt;&gt;1)),
IF(Import.TipoArredondamento&lt;&gt;"TransfereGOV",
ROUND(OFFSET($P92,0,AQ$13),15-13*ORÇAMENTO!$AF$7)/$H92*OFFSET(ORÇAMENTO!$X$15,ROW(AQ92)-ROW(AQ$15),0),
ROUND(ROUND(OFFSET($P92,0,AQ$13),15-13*ORÇAMENTO!$AF$7)*OFFSET(ORÇAMENTO!$W$15,ROW(AQ92)-ROW(AQ$15),0),15-13*ORÇAMENTO!$AF$11)),0)</f>
        <v>0</v>
      </c>
      <c r="AR92" s="545">
        <f ca="1">IF(AND($D92="Serviço",AR$12&lt;&gt;0,$H92&gt;0,OR(AUTOEVENTO&lt;&gt;"manual",$M92&lt;&gt;1)),
IF(Import.TipoArredondamento&lt;&gt;"TransfereGOV",
ROUND(OFFSET($P92,0,AR$13),15-13*ORÇAMENTO!$AF$7)/$H92*OFFSET(ORÇAMENTO!$X$15,ROW(AR92)-ROW(AR$15),0),
ROUND(ROUND(OFFSET($P92,0,AR$13),15-13*ORÇAMENTO!$AF$7)*OFFSET(ORÇAMENTO!$W$15,ROW(AR92)-ROW(AR$15),0),15-13*ORÇAMENTO!$AF$11)),0)</f>
        <v>0</v>
      </c>
      <c r="AS92" s="546">
        <f ca="1">IF(AND($D92="Serviço",AS$12&lt;&gt;0,$H92&gt;0,OR(AUTOEVENTO&lt;&gt;"manual",$M92&lt;&gt;1)),
IF(Import.TipoArredondamento&lt;&gt;"TransfereGOV",
ROUND(OFFSET($P92,0,AS$13),15-13*ORÇAMENTO!$AF$7)/$H92*OFFSET(ORÇAMENTO!$X$15,ROW(AS92)-ROW(AS$15),0),
ROUND(ROUND(OFFSET($P92,0,AS$13),15-13*ORÇAMENTO!$AF$7)*OFFSET(ORÇAMENTO!$W$15,ROW(AS92)-ROW(AS$15),0),15-13*ORÇAMENTO!$AF$11)),0)</f>
        <v>0</v>
      </c>
      <c r="AT92" s="545">
        <f ca="1">IF(AND($D92="Serviço",AT$12&lt;&gt;0,$H92&gt;0,OR(AUTOEVENTO&lt;&gt;"manual",$M92&lt;&gt;1)),
IF(Import.TipoArredondamento&lt;&gt;"TransfereGOV",
ROUND(OFFSET($P92,0,AT$13),15-13*ORÇAMENTO!$AF$7)/$H92*OFFSET(ORÇAMENTO!$X$15,ROW(AT92)-ROW(AT$15),0),
ROUND(ROUND(OFFSET($P92,0,AT$13),15-13*ORÇAMENTO!$AF$7)*OFFSET(ORÇAMENTO!$W$15,ROW(AT92)-ROW(AT$15),0),15-13*ORÇAMENTO!$AF$11)),0)</f>
        <v>0</v>
      </c>
      <c r="AU92" s="545">
        <f ca="1">IF(AND($D92="Serviço",AU$12&lt;&gt;0,$H92&gt;0,OR(AUTOEVENTO&lt;&gt;"manual",$M92&lt;&gt;1)),
IF(Import.TipoArredondamento&lt;&gt;"TransfereGOV",
ROUND(OFFSET($P92,0,AU$13),15-13*ORÇAMENTO!$AF$7)/$H92*OFFSET(ORÇAMENTO!$X$15,ROW(AU92)-ROW(AU$15),0),
ROUND(ROUND(OFFSET($P92,0,AU$13),15-13*ORÇAMENTO!$AF$7)*OFFSET(ORÇAMENTO!$W$15,ROW(AU92)-ROW(AU$15),0),15-13*ORÇAMENTO!$AF$11)),0)</f>
        <v>0</v>
      </c>
      <c r="AV92" s="545">
        <f ca="1">IF(AND($D92="Serviço",AV$12&lt;&gt;0,$H92&gt;0,OR(AUTOEVENTO&lt;&gt;"manual",$M92&lt;&gt;1)),
IF(Import.TipoArredondamento&lt;&gt;"TransfereGOV",
ROUND(OFFSET($P92,0,AV$13),15-13*ORÇAMENTO!$AF$7)/$H92*OFFSET(ORÇAMENTO!$X$15,ROW(AV92)-ROW(AV$15),0),
ROUND(ROUND(OFFSET($P92,0,AV$13),15-13*ORÇAMENTO!$AF$7)*OFFSET(ORÇAMENTO!$W$15,ROW(AV92)-ROW(AV$15),0),15-13*ORÇAMENTO!$AF$11)),0)</f>
        <v>0</v>
      </c>
      <c r="AW92" s="545">
        <f ca="1">IF(AND($D92="Serviço",AW$12&lt;&gt;0,$H92&gt;0,OR(AUTOEVENTO&lt;&gt;"manual",$M92&lt;&gt;1)),
IF(Import.TipoArredondamento&lt;&gt;"TransfereGOV",
ROUND(OFFSET($P92,0,AW$13),15-13*ORÇAMENTO!$AF$7)/$H92*OFFSET(ORÇAMENTO!$X$15,ROW(AW92)-ROW(AW$15),0),
ROUND(ROUND(OFFSET($P92,0,AW$13),15-13*ORÇAMENTO!$AF$7)*OFFSET(ORÇAMENTO!$W$15,ROW(AW92)-ROW(AW$15),0),15-13*ORÇAMENTO!$AF$11)),0)</f>
        <v>0</v>
      </c>
      <c r="AX92" s="545">
        <f ca="1">IF(AND($D92="Serviço",AX$12&lt;&gt;0,$H92&gt;0,OR(AUTOEVENTO&lt;&gt;"manual",$M92&lt;&gt;1)),
IF(Import.TipoArredondamento&lt;&gt;"TransfereGOV",
ROUND(OFFSET($P92,0,AX$13),15-13*ORÇAMENTO!$AF$7)/$H92*OFFSET(ORÇAMENTO!$X$15,ROW(AX92)-ROW(AX$15),0),
ROUND(ROUND(OFFSET($P92,0,AX$13),15-13*ORÇAMENTO!$AF$7)*OFFSET(ORÇAMENTO!$W$15,ROW(AX92)-ROW(AX$15),0),15-13*ORÇAMENTO!$AF$11)),0)</f>
        <v>0</v>
      </c>
      <c r="AY92" s="545">
        <f ca="1">IF(AND($D92="Serviço",AY$12&lt;&gt;0,$H92&gt;0,OR(AUTOEVENTO&lt;&gt;"manual",$M92&lt;&gt;1)),
IF(Import.TipoArredondamento&lt;&gt;"TransfereGOV",
ROUND(OFFSET($P92,0,AY$13),15-13*ORÇAMENTO!$AF$7)/$H92*OFFSET(ORÇAMENTO!$X$15,ROW(AY92)-ROW(AY$15),0),
ROUND(ROUND(OFFSET($P92,0,AY$13),15-13*ORÇAMENTO!$AF$7)*OFFSET(ORÇAMENTO!$W$15,ROW(AY92)-ROW(AY$15),0),15-13*ORÇAMENTO!$AF$11)),0)</f>
        <v>0</v>
      </c>
      <c r="AZ92" s="545">
        <f ca="1">IF(AND($D92="Serviço",AZ$12&lt;&gt;0,$H92&gt;0,OR(AUTOEVENTO&lt;&gt;"manual",$M92&lt;&gt;1)),
IF(Import.TipoArredondamento&lt;&gt;"TransfereGOV",
ROUND(OFFSET($P92,0,AZ$13),15-13*ORÇAMENTO!$AF$7)/$H92*OFFSET(ORÇAMENTO!$X$15,ROW(AZ92)-ROW(AZ$15),0),
ROUND(ROUND(OFFSET($P92,0,AZ$13),15-13*ORÇAMENTO!$AF$7)*OFFSET(ORÇAMENTO!$W$15,ROW(AZ92)-ROW(AZ$15),0),15-13*ORÇAMENTO!$AF$11)),0)</f>
        <v>0</v>
      </c>
      <c r="BA92" s="546">
        <f ca="1">IF(AND($D92="Serviço",BA$12&lt;&gt;0,$H92&gt;0,OR(AUTOEVENTO&lt;&gt;"manual",$M92&lt;&gt;1)),
IF(Import.TipoArredondamento&lt;&gt;"TransfereGOV",
ROUND(OFFSET($P92,0,BA$13),15-13*ORÇAMENTO!$AF$7)/$H92*OFFSET(ORÇAMENTO!$X$15,ROW(BA92)-ROW(BA$15),0),
ROUND(ROUND(OFFSET($P92,0,BA$13),15-13*ORÇAMENTO!$AF$7)*OFFSET(ORÇAMENTO!$W$15,ROW(BA92)-ROW(BA$15),0),15-13*ORÇAMENTO!$AF$11)),0)</f>
        <v>0</v>
      </c>
      <c r="BC92" s="181">
        <f ca="1">IF($D92&lt;&gt;"Serviço",0,IF(AND(AUTOEVENTO="Manual",$M92=1),0,IF(OFFSET(CRONOPLE!$F$14,$M92,BC$13)="",10^12,OFFSET(CRONOPLE!$F$14,$M92,BC$13))))</f>
        <v>4</v>
      </c>
      <c r="BD92" s="181">
        <f ca="1">IF($D92&lt;&gt;"Serviço",0,IF(AND(AUTOEVENTO="Manual",$M92=1),0,IF(OFFSET(CRONOPLE!$F$14,$M92,BD$13)="",10^12,OFFSET(CRONOPLE!$F$14,$M92,BD$13))))</f>
        <v>1000000000000</v>
      </c>
      <c r="BE92" s="181">
        <f ca="1">IF($D92&lt;&gt;"Serviço",0,IF(AND(AUTOEVENTO="Manual",$M92=1),0,IF(OFFSET(CRONOPLE!$F$14,$M92,BE$13)="",10^12,OFFSET(CRONOPLE!$F$14,$M92,BE$13))))</f>
        <v>1000000000000</v>
      </c>
      <c r="BF92" s="181">
        <f ca="1">IF($D92&lt;&gt;"Serviço",0,IF(AND(AUTOEVENTO="Manual",$M92=1),0,IF(OFFSET(CRONOPLE!$F$14,$M92,BF$13)="",10^12,OFFSET(CRONOPLE!$F$14,$M92,BF$13))))</f>
        <v>1000000000000</v>
      </c>
      <c r="BG92" s="181">
        <f ca="1">IF($D92&lt;&gt;"Serviço",0,IF(AND(AUTOEVENTO="Manual",$M92=1),0,IF(OFFSET(CRONOPLE!$F$14,$M92,BG$13)="",10^12,OFFSET(CRONOPLE!$F$14,$M92,BG$13))))</f>
        <v>1000000000000</v>
      </c>
      <c r="BH92" s="181">
        <f ca="1">IF($D92&lt;&gt;"Serviço",0,IF(AND(AUTOEVENTO="Manual",$M92=1),0,IF(OFFSET(CRONOPLE!$F$14,$M92,BH$13)="",10^12,OFFSET(CRONOPLE!$F$14,$M92,BH$13))))</f>
        <v>1000000000000</v>
      </c>
      <c r="BI92" s="181">
        <f ca="1">IF($D92&lt;&gt;"Serviço",0,IF(AND(AUTOEVENTO="Manual",$M92=1),0,IF(OFFSET(CRONOPLE!$F$14,$M92,BI$13)="",10^12,OFFSET(CRONOPLE!$F$14,$M92,BI$13))))</f>
        <v>1000000000000</v>
      </c>
      <c r="BJ92" s="181">
        <f ca="1">IF($D92&lt;&gt;"Serviço",0,IF(AND(AUTOEVENTO="Manual",$M92=1),0,IF(OFFSET(CRONOPLE!$F$14,$M92,BJ$13)="",10^12,OFFSET(CRONOPLE!$F$14,$M92,BJ$13))))</f>
        <v>1000000000000</v>
      </c>
      <c r="BK92" s="181">
        <f ca="1">IF($D92&lt;&gt;"Serviço",0,IF(AND(AUTOEVENTO="Manual",$M92=1),0,IF(OFFSET(CRONOPLE!$F$14,$M92,BK$13)="",10^12,OFFSET(CRONOPLE!$F$14,$M92,BK$13))))</f>
        <v>1000000000000</v>
      </c>
      <c r="BL92" s="181">
        <f ca="1">IF($D92&lt;&gt;"Serviço",0,IF(AND(AUTOEVENTO="Manual",$M92=1),0,IF(OFFSET(CRONOPLE!$F$14,$M92,BL$13)="",10^12,OFFSET(CRONOPLE!$F$14,$M92,BL$13))))</f>
        <v>1000000000000</v>
      </c>
      <c r="BM92" s="181">
        <f ca="1">IF($D92&lt;&gt;"Serviço",0,IF(AND(AUTOEVENTO="Manual",$M92=1),0,IF(OFFSET(CRONOPLE!$F$14,$M92,BM$13)="",10^12,OFFSET(CRONOPLE!$F$14,$M92,BM$13))))</f>
        <v>1000000000000</v>
      </c>
      <c r="BN92" s="181">
        <f ca="1">IF($D92&lt;&gt;"Serviço",0,IF(AND(AUTOEVENTO="Manual",$M92=1),0,IF(OFFSET(CRONOPLE!$F$14,$M92,BN$13)="",10^12,OFFSET(CRONOPLE!$F$14,$M92,BN$13))))</f>
        <v>1000000000000</v>
      </c>
      <c r="BO92" s="181">
        <f ca="1">IF($D92&lt;&gt;"Serviço",0,IF(AND(AUTOEVENTO="Manual",$M92=1),0,IF(OFFSET(CRONOPLE!$F$14,$M92,BO$13)="",10^12,OFFSET(CRONOPLE!$F$14,$M92,BO$13))))</f>
        <v>1000000000000</v>
      </c>
      <c r="BP92" s="181">
        <f ca="1">IF($D92&lt;&gt;"Serviço",0,IF(AND(AUTOEVENTO="Manual",$M92=1),0,IF(OFFSET(CRONOPLE!$F$14,$M92,BP$13)="",10^12,OFFSET(CRONOPLE!$F$14,$M92,BP$13))))</f>
        <v>1000000000000</v>
      </c>
      <c r="BQ92" s="181">
        <f ca="1">IF($D92&lt;&gt;"Serviço",0,IF(AND(AUTOEVENTO="Manual",$M92=1),0,IF(OFFSET(CRONOPLE!$F$14,$M92,BQ$13)="",10^12,OFFSET(CRONOPLE!$F$14,$M92,BQ$13))))</f>
        <v>1000000000000</v>
      </c>
      <c r="BR92" s="181">
        <f ca="1">IF($D92&lt;&gt;"Serviço",0,IF(AND(AUTOEVENTO="Manual",$M92=1),0,IF(OFFSET(CRONOPLE!$F$14,$M92,BR$13)="",10^12,OFFSET(CRONOPLE!$F$14,$M92,BR$13))))</f>
        <v>1000000000000</v>
      </c>
      <c r="BS92" s="181">
        <f ca="1">IF($D92&lt;&gt;"Serviço",0,IF(AND(AUTOEVENTO="Manual",$M92=1),0,IF(OFFSET(CRONOPLE!$F$14,$M92,BS$13)="",10^12,OFFSET(CRONOPLE!$F$14,$M92,BS$13))))</f>
        <v>1000000000000</v>
      </c>
      <c r="BT92" s="181">
        <f ca="1">IF($D92&lt;&gt;"Serviço",0,IF(AND(AUTOEVENTO="Manual",$M92=1),0,IF(OFFSET(CRONOPLE!$F$14,$M92,BT$13)="",10^12,OFFSET(CRONOPLE!$F$14,$M92,BT$13))))</f>
        <v>1000000000000</v>
      </c>
      <c r="BV92" s="182">
        <f ca="1">IF($D92&lt;&gt;"Serviço",0,IF(OR(AND(AUTOEVENTO="Manual",$M92=1),$M92&gt;(ROW(PLE.lastrow)-ROW(PLE.firstrow))),0,IF(OFFSET(PLE!$G$14,$M92,BV$13)="",10^12,OFFSET(PLE!$G$14,$M92,BV$13))))</f>
        <v>1000000000000</v>
      </c>
      <c r="BW92" s="182">
        <f ca="1">IF($D92&lt;&gt;"Serviço",0,IF(OR(AND(AUTOEVENTO="Manual",$M92=1),$M92&gt;(ROW(PLE.lastrow)-ROW(PLE.firstrow))),0,IF(OFFSET(PLE!$G$14,$M92,BW$13)="",10^12,OFFSET(PLE!$G$14,$M92,BW$13))))</f>
        <v>1000000000000</v>
      </c>
      <c r="BX92" s="182">
        <f ca="1">IF($D92&lt;&gt;"Serviço",0,IF(OR(AND(AUTOEVENTO="Manual",$M92=1),$M92&gt;(ROW(PLE.lastrow)-ROW(PLE.firstrow))),0,IF(OFFSET(PLE!$G$14,$M92,BX$13)="",10^12,OFFSET(PLE!$G$14,$M92,BX$13))))</f>
        <v>1000000000000</v>
      </c>
      <c r="BY92" s="182">
        <f ca="1">IF($D92&lt;&gt;"Serviço",0,IF(OR(AND(AUTOEVENTO="Manual",$M92=1),$M92&gt;(ROW(PLE.lastrow)-ROW(PLE.firstrow))),0,IF(OFFSET(PLE!$G$14,$M92,BY$13)="",10^12,OFFSET(PLE!$G$14,$M92,BY$13))))</f>
        <v>1000000000000</v>
      </c>
      <c r="BZ92" s="182">
        <f ca="1">IF($D92&lt;&gt;"Serviço",0,IF(OR(AND(AUTOEVENTO="Manual",$M92=1),$M92&gt;(ROW(PLE.lastrow)-ROW(PLE.firstrow))),0,IF(OFFSET(PLE!$G$14,$M92,BZ$13)="",10^12,OFFSET(PLE!$G$14,$M92,BZ$13))))</f>
        <v>1000000000000</v>
      </c>
      <c r="CA92" s="182">
        <f ca="1">IF($D92&lt;&gt;"Serviço",0,IF(OR(AND(AUTOEVENTO="Manual",$M92=1),$M92&gt;(ROW(PLE.lastrow)-ROW(PLE.firstrow))),0,IF(OFFSET(PLE!$G$14,$M92,CA$13)="",10^12,OFFSET(PLE!$G$14,$M92,CA$13))))</f>
        <v>1000000000000</v>
      </c>
      <c r="CB92" s="182">
        <f ca="1">IF($D92&lt;&gt;"Serviço",0,IF(OR(AND(AUTOEVENTO="Manual",$M92=1),$M92&gt;(ROW(PLE.lastrow)-ROW(PLE.firstrow))),0,IF(OFFSET(PLE!$G$14,$M92,CB$13)="",10^12,OFFSET(PLE!$G$14,$M92,CB$13))))</f>
        <v>1000000000000</v>
      </c>
      <c r="CC92" s="182">
        <f ca="1">IF($D92&lt;&gt;"Serviço",0,IF(OR(AND(AUTOEVENTO="Manual",$M92=1),$M92&gt;(ROW(PLE.lastrow)-ROW(PLE.firstrow))),0,IF(OFFSET(PLE!$G$14,$M92,CC$13)="",10^12,OFFSET(PLE!$G$14,$M92,CC$13))))</f>
        <v>1000000000000</v>
      </c>
      <c r="CD92" s="182">
        <f ca="1">IF($D92&lt;&gt;"Serviço",0,IF(OR(AND(AUTOEVENTO="Manual",$M92=1),$M92&gt;(ROW(PLE.lastrow)-ROW(PLE.firstrow))),0,IF(OFFSET(PLE!$G$14,$M92,CD$13)="",10^12,OFFSET(PLE!$G$14,$M92,CD$13))))</f>
        <v>1000000000000</v>
      </c>
      <c r="CE92" s="182">
        <f ca="1">IF($D92&lt;&gt;"Serviço",0,IF(OR(AND(AUTOEVENTO="Manual",$M92=1),$M92&gt;(ROW(PLE.lastrow)-ROW(PLE.firstrow))),0,IF(OFFSET(PLE!$G$14,$M92,CE$13)="",10^12,OFFSET(PLE!$G$14,$M92,CE$13))))</f>
        <v>1000000000000</v>
      </c>
      <c r="CF92" s="182">
        <f ca="1">IF($D92&lt;&gt;"Serviço",0,IF(OR(AND(AUTOEVENTO="Manual",$M92=1),$M92&gt;(ROW(PLE.lastrow)-ROW(PLE.firstrow))),0,IF(OFFSET(PLE!$G$14,$M92,CF$13)="",10^12,OFFSET(PLE!$G$14,$M92,CF$13))))</f>
        <v>1000000000000</v>
      </c>
      <c r="CG92" s="182">
        <f ca="1">IF($D92&lt;&gt;"Serviço",0,IF(OR(AND(AUTOEVENTO="Manual",$M92=1),$M92&gt;(ROW(PLE.lastrow)-ROW(PLE.firstrow))),0,IF(OFFSET(PLE!$G$14,$M92,CG$13)="",10^12,OFFSET(PLE!$G$14,$M92,CG$13))))</f>
        <v>1000000000000</v>
      </c>
      <c r="CH92" s="182">
        <f ca="1">IF($D92&lt;&gt;"Serviço",0,IF(OR(AND(AUTOEVENTO="Manual",$M92=1),$M92&gt;(ROW(PLE.lastrow)-ROW(PLE.firstrow))),0,IF(OFFSET(PLE!$G$14,$M92,CH$13)="",10^12,OFFSET(PLE!$G$14,$M92,CH$13))))</f>
        <v>1000000000000</v>
      </c>
      <c r="CI92" s="182">
        <f ca="1">IF($D92&lt;&gt;"Serviço",0,IF(OR(AND(AUTOEVENTO="Manual",$M92=1),$M92&gt;(ROW(PLE.lastrow)-ROW(PLE.firstrow))),0,IF(OFFSET(PLE!$G$14,$M92,CI$13)="",10^12,OFFSET(PLE!$G$14,$M92,CI$13))))</f>
        <v>1000000000000</v>
      </c>
      <c r="CJ92" s="182">
        <f ca="1">IF($D92&lt;&gt;"Serviço",0,IF(OR(AND(AUTOEVENTO="Manual",$M92=1),$M92&gt;(ROW(PLE.lastrow)-ROW(PLE.firstrow))),0,IF(OFFSET(PLE!$G$14,$M92,CJ$13)="",10^12,OFFSET(PLE!$G$14,$M92,CJ$13))))</f>
        <v>1000000000000</v>
      </c>
      <c r="CK92" s="182">
        <f ca="1">IF($D92&lt;&gt;"Serviço",0,IF(OR(AND(AUTOEVENTO="Manual",$M92=1),$M92&gt;(ROW(PLE.lastrow)-ROW(PLE.firstrow))),0,IF(OFFSET(PLE!$G$14,$M92,CK$13)="",10^12,OFFSET(PLE!$G$14,$M92,CK$13))))</f>
        <v>1000000000000</v>
      </c>
      <c r="CL92" s="182">
        <f ca="1">IF($D92&lt;&gt;"Serviço",0,IF(OR(AND(AUTOEVENTO="Manual",$M92=1),$M92&gt;(ROW(PLE.lastrow)-ROW(PLE.firstrow))),0,IF(OFFSET(PLE!$G$14,$M92,CL$13)="",10^12,OFFSET(PLE!$G$14,$M92,CL$13))))</f>
        <v>1000000000000</v>
      </c>
      <c r="CM92" s="182">
        <f ca="1">IF($D92&lt;&gt;"Serviço",0,IF(OR(AND(AUTOEVENTO="Manual",$M92=1),$M92&gt;(ROW(PLE.lastrow)-ROW(PLE.firstrow))),0,IF(OFFSET(PLE!$G$14,$M92,CM$13)="",10^12,OFFSET(PLE!$G$14,$M92,CM$13))))</f>
        <v>1000000000000</v>
      </c>
    </row>
    <row r="93" spans="1:91" ht="25.5" x14ac:dyDescent="0.2">
      <c r="A93" s="7" t="str">
        <f t="shared" ca="1" si="10"/>
        <v>76</v>
      </c>
      <c r="B93" s="7" t="str">
        <f ca="1">OFFSET(ORÇAMENTO!C$15,ROW(B93)-ROW(B$15),0)</f>
        <v>S</v>
      </c>
      <c r="C93" s="7" t="str">
        <f ca="1">OFFSET(ORÇAMENTO!L$15,ROW(C93)-ROW(C$15),0)</f>
        <v/>
      </c>
      <c r="D93" s="118" t="str">
        <f ca="1">OFFSET(ORÇAMENTO!N$15,ROW(D93)-ROW(D$15),0)</f>
        <v>Serviço</v>
      </c>
      <c r="E93" s="119" t="str">
        <f ca="1">OFFSET(ORÇAMENTO!O$15,ROW(E93)-ROW(E$15),0)</f>
        <v>-</v>
      </c>
      <c r="F93" s="172" t="str">
        <f ca="1">OFFSET(ORÇAMENTO!R$15,ROW(F93)-ROW(F$15),0)</f>
        <v>(abra o arquivo 'Referência 06-2024.xlsm)</v>
      </c>
      <c r="G93" s="173" t="str">
        <f ca="1">IF($D93&lt;&gt;"Serviço","",OFFSET(ORÇAMENTO!S$15,ROW(G93)-ROW(G$15),0))</f>
        <v>-</v>
      </c>
      <c r="H93" s="124">
        <f ca="1">IF($D93&lt;&gt;"Serviço",0,IF(ACOMPANHAMENTO="BM",ROUND(OFFSET(ORÇAMENTO!AJ$15,ROW(H93)-ROW(H$15),0),15-13*ORÇAMENTO!$AF$7),SUMPRODUCT(($Q$12:$AI$12&lt;&gt;"")*ROUND($Q93:$AI93,15-13*ORÇAMENTO!$AF$7))))</f>
        <v>69.739999999999995</v>
      </c>
      <c r="I93" s="561" t="s">
        <v>1107</v>
      </c>
      <c r="K93" s="174"/>
      <c r="L93" s="175" t="s">
        <v>255</v>
      </c>
      <c r="M93" s="176">
        <f ca="1">IF($D93&lt;&gt;"Serviço","",IF(AUTOEVENTO="manual",$A93,IF(ISERROR(MATCH($A93,$A$15:OFFSET($A93,-1,0),0)),MAX($M$15:OFFSET(M93,-1,0))+1,INDEX($M$15:OFFSET(M93,-1,0),MATCH($A93,$A$15:OFFSET($A93,-1,0),0)))))</f>
        <v>14</v>
      </c>
      <c r="N93" s="177" t="str">
        <f ca="1">IF($D93&lt;&gt;"Serviço","",IF(AUTOEVENTO="Manual",IF($A93=0,"&lt;-- defina o número do agrupador",OFFSET(EVENTOS!$D$14,$A93,0)),OFFSET($F$15,$A93,0)))</f>
        <v>PAVIMENTAÇÃO INTERNA - PISO DE CONCRETO 8 CM</v>
      </c>
      <c r="O93" s="178"/>
      <c r="Q93" s="178">
        <v>69.739999999999995</v>
      </c>
      <c r="R93" s="179"/>
      <c r="S93" s="179"/>
      <c r="T93" s="179"/>
      <c r="U93" s="179"/>
      <c r="V93" s="179"/>
      <c r="W93" s="179"/>
      <c r="X93" s="179"/>
      <c r="Y93" s="179"/>
      <c r="Z93" s="180"/>
      <c r="AA93" s="179"/>
      <c r="AB93" s="179"/>
      <c r="AC93" s="179"/>
      <c r="AD93" s="179"/>
      <c r="AE93" s="179"/>
      <c r="AF93" s="179"/>
      <c r="AG93" s="179"/>
      <c r="AH93" s="180"/>
      <c r="AJ93" s="544">
        <f ca="1">IF(AND($D93="Serviço",AJ$12&lt;&gt;0,$H93&gt;0,OR(AUTOEVENTO&lt;&gt;"manual",$M93&lt;&gt;1)),
IF(Import.TipoArredondamento&lt;&gt;"TransfereGOV",
ROUND(OFFSET($P93,0,AJ$13),15-13*ORÇAMENTO!$AF$7)/$H93*OFFSET(ORÇAMENTO!$X$15,ROW(AJ93)-ROW(AJ$15),0),
ROUND(ROUND(OFFSET($P93,0,AJ$13),15-13*ORÇAMENTO!$AF$7)*OFFSET(ORÇAMENTO!$W$15,ROW(AJ93)-ROW(AJ$15),0),15-13*ORÇAMENTO!$AF$11)),0)</f>
        <v>0</v>
      </c>
      <c r="AK93" s="545">
        <f ca="1">IF(AND($D93="Serviço",AK$12&lt;&gt;0,$H93&gt;0,OR(AUTOEVENTO&lt;&gt;"manual",$M93&lt;&gt;1)),
IF(Import.TipoArredondamento&lt;&gt;"TransfereGOV",
ROUND(OFFSET($P93,0,AK$13),15-13*ORÇAMENTO!$AF$7)/$H93*OFFSET(ORÇAMENTO!$X$15,ROW(AK93)-ROW(AK$15),0),
ROUND(ROUND(OFFSET($P93,0,AK$13),15-13*ORÇAMENTO!$AF$7)*OFFSET(ORÇAMENTO!$W$15,ROW(AK93)-ROW(AK$15),0),15-13*ORÇAMENTO!$AF$11)),0)</f>
        <v>0</v>
      </c>
      <c r="AL93" s="545">
        <f ca="1">IF(AND($D93="Serviço",AL$12&lt;&gt;0,$H93&gt;0,OR(AUTOEVENTO&lt;&gt;"manual",$M93&lt;&gt;1)),
IF(Import.TipoArredondamento&lt;&gt;"TransfereGOV",
ROUND(OFFSET($P93,0,AL$13),15-13*ORÇAMENTO!$AF$7)/$H93*OFFSET(ORÇAMENTO!$X$15,ROW(AL93)-ROW(AL$15),0),
ROUND(ROUND(OFFSET($P93,0,AL$13),15-13*ORÇAMENTO!$AF$7)*OFFSET(ORÇAMENTO!$W$15,ROW(AL93)-ROW(AL$15),0),15-13*ORÇAMENTO!$AF$11)),0)</f>
        <v>0</v>
      </c>
      <c r="AM93" s="545">
        <f ca="1">IF(AND($D93="Serviço",AM$12&lt;&gt;0,$H93&gt;0,OR(AUTOEVENTO&lt;&gt;"manual",$M93&lt;&gt;1)),
IF(Import.TipoArredondamento&lt;&gt;"TransfereGOV",
ROUND(OFFSET($P93,0,AM$13),15-13*ORÇAMENTO!$AF$7)/$H93*OFFSET(ORÇAMENTO!$X$15,ROW(AM93)-ROW(AM$15),0),
ROUND(ROUND(OFFSET($P93,0,AM$13),15-13*ORÇAMENTO!$AF$7)*OFFSET(ORÇAMENTO!$W$15,ROW(AM93)-ROW(AM$15),0),15-13*ORÇAMENTO!$AF$11)),0)</f>
        <v>0</v>
      </c>
      <c r="AN93" s="545">
        <f ca="1">IF(AND($D93="Serviço",AN$12&lt;&gt;0,$H93&gt;0,OR(AUTOEVENTO&lt;&gt;"manual",$M93&lt;&gt;1)),
IF(Import.TipoArredondamento&lt;&gt;"TransfereGOV",
ROUND(OFFSET($P93,0,AN$13),15-13*ORÇAMENTO!$AF$7)/$H93*OFFSET(ORÇAMENTO!$X$15,ROW(AN93)-ROW(AN$15),0),
ROUND(ROUND(OFFSET($P93,0,AN$13),15-13*ORÇAMENTO!$AF$7)*OFFSET(ORÇAMENTO!$W$15,ROW(AN93)-ROW(AN$15),0),15-13*ORÇAMENTO!$AF$11)),0)</f>
        <v>0</v>
      </c>
      <c r="AO93" s="545">
        <f ca="1">IF(AND($D93="Serviço",AO$12&lt;&gt;0,$H93&gt;0,OR(AUTOEVENTO&lt;&gt;"manual",$M93&lt;&gt;1)),
IF(Import.TipoArredondamento&lt;&gt;"TransfereGOV",
ROUND(OFFSET($P93,0,AO$13),15-13*ORÇAMENTO!$AF$7)/$H93*OFFSET(ORÇAMENTO!$X$15,ROW(AO93)-ROW(AO$15),0),
ROUND(ROUND(OFFSET($P93,0,AO$13),15-13*ORÇAMENTO!$AF$7)*OFFSET(ORÇAMENTO!$W$15,ROW(AO93)-ROW(AO$15),0),15-13*ORÇAMENTO!$AF$11)),0)</f>
        <v>0</v>
      </c>
      <c r="AP93" s="545">
        <f ca="1">IF(AND($D93="Serviço",AP$12&lt;&gt;0,$H93&gt;0,OR(AUTOEVENTO&lt;&gt;"manual",$M93&lt;&gt;1)),
IF(Import.TipoArredondamento&lt;&gt;"TransfereGOV",
ROUND(OFFSET($P93,0,AP$13),15-13*ORÇAMENTO!$AF$7)/$H93*OFFSET(ORÇAMENTO!$X$15,ROW(AP93)-ROW(AP$15),0),
ROUND(ROUND(OFFSET($P93,0,AP$13),15-13*ORÇAMENTO!$AF$7)*OFFSET(ORÇAMENTO!$W$15,ROW(AP93)-ROW(AP$15),0),15-13*ORÇAMENTO!$AF$11)),0)</f>
        <v>0</v>
      </c>
      <c r="AQ93" s="545">
        <f ca="1">IF(AND($D93="Serviço",AQ$12&lt;&gt;0,$H93&gt;0,OR(AUTOEVENTO&lt;&gt;"manual",$M93&lt;&gt;1)),
IF(Import.TipoArredondamento&lt;&gt;"TransfereGOV",
ROUND(OFFSET($P93,0,AQ$13),15-13*ORÇAMENTO!$AF$7)/$H93*OFFSET(ORÇAMENTO!$X$15,ROW(AQ93)-ROW(AQ$15),0),
ROUND(ROUND(OFFSET($P93,0,AQ$13),15-13*ORÇAMENTO!$AF$7)*OFFSET(ORÇAMENTO!$W$15,ROW(AQ93)-ROW(AQ$15),0),15-13*ORÇAMENTO!$AF$11)),0)</f>
        <v>0</v>
      </c>
      <c r="AR93" s="545">
        <f ca="1">IF(AND($D93="Serviço",AR$12&lt;&gt;0,$H93&gt;0,OR(AUTOEVENTO&lt;&gt;"manual",$M93&lt;&gt;1)),
IF(Import.TipoArredondamento&lt;&gt;"TransfereGOV",
ROUND(OFFSET($P93,0,AR$13),15-13*ORÇAMENTO!$AF$7)/$H93*OFFSET(ORÇAMENTO!$X$15,ROW(AR93)-ROW(AR$15),0),
ROUND(ROUND(OFFSET($P93,0,AR$13),15-13*ORÇAMENTO!$AF$7)*OFFSET(ORÇAMENTO!$W$15,ROW(AR93)-ROW(AR$15),0),15-13*ORÇAMENTO!$AF$11)),0)</f>
        <v>0</v>
      </c>
      <c r="AS93" s="546">
        <f ca="1">IF(AND($D93="Serviço",AS$12&lt;&gt;0,$H93&gt;0,OR(AUTOEVENTO&lt;&gt;"manual",$M93&lt;&gt;1)),
IF(Import.TipoArredondamento&lt;&gt;"TransfereGOV",
ROUND(OFFSET($P93,0,AS$13),15-13*ORÇAMENTO!$AF$7)/$H93*OFFSET(ORÇAMENTO!$X$15,ROW(AS93)-ROW(AS$15),0),
ROUND(ROUND(OFFSET($P93,0,AS$13),15-13*ORÇAMENTO!$AF$7)*OFFSET(ORÇAMENTO!$W$15,ROW(AS93)-ROW(AS$15),0),15-13*ORÇAMENTO!$AF$11)),0)</f>
        <v>0</v>
      </c>
      <c r="AT93" s="545">
        <f ca="1">IF(AND($D93="Serviço",AT$12&lt;&gt;0,$H93&gt;0,OR(AUTOEVENTO&lt;&gt;"manual",$M93&lt;&gt;1)),
IF(Import.TipoArredondamento&lt;&gt;"TransfereGOV",
ROUND(OFFSET($P93,0,AT$13),15-13*ORÇAMENTO!$AF$7)/$H93*OFFSET(ORÇAMENTO!$X$15,ROW(AT93)-ROW(AT$15),0),
ROUND(ROUND(OFFSET($P93,0,AT$13),15-13*ORÇAMENTO!$AF$7)*OFFSET(ORÇAMENTO!$W$15,ROW(AT93)-ROW(AT$15),0),15-13*ORÇAMENTO!$AF$11)),0)</f>
        <v>0</v>
      </c>
      <c r="AU93" s="545">
        <f ca="1">IF(AND($D93="Serviço",AU$12&lt;&gt;0,$H93&gt;0,OR(AUTOEVENTO&lt;&gt;"manual",$M93&lt;&gt;1)),
IF(Import.TipoArredondamento&lt;&gt;"TransfereGOV",
ROUND(OFFSET($P93,0,AU$13),15-13*ORÇAMENTO!$AF$7)/$H93*OFFSET(ORÇAMENTO!$X$15,ROW(AU93)-ROW(AU$15),0),
ROUND(ROUND(OFFSET($P93,0,AU$13),15-13*ORÇAMENTO!$AF$7)*OFFSET(ORÇAMENTO!$W$15,ROW(AU93)-ROW(AU$15),0),15-13*ORÇAMENTO!$AF$11)),0)</f>
        <v>0</v>
      </c>
      <c r="AV93" s="545">
        <f ca="1">IF(AND($D93="Serviço",AV$12&lt;&gt;0,$H93&gt;0,OR(AUTOEVENTO&lt;&gt;"manual",$M93&lt;&gt;1)),
IF(Import.TipoArredondamento&lt;&gt;"TransfereGOV",
ROUND(OFFSET($P93,0,AV$13),15-13*ORÇAMENTO!$AF$7)/$H93*OFFSET(ORÇAMENTO!$X$15,ROW(AV93)-ROW(AV$15),0),
ROUND(ROUND(OFFSET($P93,0,AV$13),15-13*ORÇAMENTO!$AF$7)*OFFSET(ORÇAMENTO!$W$15,ROW(AV93)-ROW(AV$15),0),15-13*ORÇAMENTO!$AF$11)),0)</f>
        <v>0</v>
      </c>
      <c r="AW93" s="545">
        <f ca="1">IF(AND($D93="Serviço",AW$12&lt;&gt;0,$H93&gt;0,OR(AUTOEVENTO&lt;&gt;"manual",$M93&lt;&gt;1)),
IF(Import.TipoArredondamento&lt;&gt;"TransfereGOV",
ROUND(OFFSET($P93,0,AW$13),15-13*ORÇAMENTO!$AF$7)/$H93*OFFSET(ORÇAMENTO!$X$15,ROW(AW93)-ROW(AW$15),0),
ROUND(ROUND(OFFSET($P93,0,AW$13),15-13*ORÇAMENTO!$AF$7)*OFFSET(ORÇAMENTO!$W$15,ROW(AW93)-ROW(AW$15),0),15-13*ORÇAMENTO!$AF$11)),0)</f>
        <v>0</v>
      </c>
      <c r="AX93" s="545">
        <f ca="1">IF(AND($D93="Serviço",AX$12&lt;&gt;0,$H93&gt;0,OR(AUTOEVENTO&lt;&gt;"manual",$M93&lt;&gt;1)),
IF(Import.TipoArredondamento&lt;&gt;"TransfereGOV",
ROUND(OFFSET($P93,0,AX$13),15-13*ORÇAMENTO!$AF$7)/$H93*OFFSET(ORÇAMENTO!$X$15,ROW(AX93)-ROW(AX$15),0),
ROUND(ROUND(OFFSET($P93,0,AX$13),15-13*ORÇAMENTO!$AF$7)*OFFSET(ORÇAMENTO!$W$15,ROW(AX93)-ROW(AX$15),0),15-13*ORÇAMENTO!$AF$11)),0)</f>
        <v>0</v>
      </c>
      <c r="AY93" s="545">
        <f ca="1">IF(AND($D93="Serviço",AY$12&lt;&gt;0,$H93&gt;0,OR(AUTOEVENTO&lt;&gt;"manual",$M93&lt;&gt;1)),
IF(Import.TipoArredondamento&lt;&gt;"TransfereGOV",
ROUND(OFFSET($P93,0,AY$13),15-13*ORÇAMENTO!$AF$7)/$H93*OFFSET(ORÇAMENTO!$X$15,ROW(AY93)-ROW(AY$15),0),
ROUND(ROUND(OFFSET($P93,0,AY$13),15-13*ORÇAMENTO!$AF$7)*OFFSET(ORÇAMENTO!$W$15,ROW(AY93)-ROW(AY$15),0),15-13*ORÇAMENTO!$AF$11)),0)</f>
        <v>0</v>
      </c>
      <c r="AZ93" s="545">
        <f ca="1">IF(AND($D93="Serviço",AZ$12&lt;&gt;0,$H93&gt;0,OR(AUTOEVENTO&lt;&gt;"manual",$M93&lt;&gt;1)),
IF(Import.TipoArredondamento&lt;&gt;"TransfereGOV",
ROUND(OFFSET($P93,0,AZ$13),15-13*ORÇAMENTO!$AF$7)/$H93*OFFSET(ORÇAMENTO!$X$15,ROW(AZ93)-ROW(AZ$15),0),
ROUND(ROUND(OFFSET($P93,0,AZ$13),15-13*ORÇAMENTO!$AF$7)*OFFSET(ORÇAMENTO!$W$15,ROW(AZ93)-ROW(AZ$15),0),15-13*ORÇAMENTO!$AF$11)),0)</f>
        <v>0</v>
      </c>
      <c r="BA93" s="546">
        <f ca="1">IF(AND($D93="Serviço",BA$12&lt;&gt;0,$H93&gt;0,OR(AUTOEVENTO&lt;&gt;"manual",$M93&lt;&gt;1)),
IF(Import.TipoArredondamento&lt;&gt;"TransfereGOV",
ROUND(OFFSET($P93,0,BA$13),15-13*ORÇAMENTO!$AF$7)/$H93*OFFSET(ORÇAMENTO!$X$15,ROW(BA93)-ROW(BA$15),0),
ROUND(ROUND(OFFSET($P93,0,BA$13),15-13*ORÇAMENTO!$AF$7)*OFFSET(ORÇAMENTO!$W$15,ROW(BA93)-ROW(BA$15),0),15-13*ORÇAMENTO!$AF$11)),0)</f>
        <v>0</v>
      </c>
      <c r="BC93" s="181">
        <f ca="1">IF($D93&lt;&gt;"Serviço",0,IF(AND(AUTOEVENTO="Manual",$M93=1),0,IF(OFFSET(CRONOPLE!$F$14,$M93,BC$13)="",10^12,OFFSET(CRONOPLE!$F$14,$M93,BC$13))))</f>
        <v>4</v>
      </c>
      <c r="BD93" s="181">
        <f ca="1">IF($D93&lt;&gt;"Serviço",0,IF(AND(AUTOEVENTO="Manual",$M93=1),0,IF(OFFSET(CRONOPLE!$F$14,$M93,BD$13)="",10^12,OFFSET(CRONOPLE!$F$14,$M93,BD$13))))</f>
        <v>1000000000000</v>
      </c>
      <c r="BE93" s="181">
        <f ca="1">IF($D93&lt;&gt;"Serviço",0,IF(AND(AUTOEVENTO="Manual",$M93=1),0,IF(OFFSET(CRONOPLE!$F$14,$M93,BE$13)="",10^12,OFFSET(CRONOPLE!$F$14,$M93,BE$13))))</f>
        <v>1000000000000</v>
      </c>
      <c r="BF93" s="181">
        <f ca="1">IF($D93&lt;&gt;"Serviço",0,IF(AND(AUTOEVENTO="Manual",$M93=1),0,IF(OFFSET(CRONOPLE!$F$14,$M93,BF$13)="",10^12,OFFSET(CRONOPLE!$F$14,$M93,BF$13))))</f>
        <v>1000000000000</v>
      </c>
      <c r="BG93" s="181">
        <f ca="1">IF($D93&lt;&gt;"Serviço",0,IF(AND(AUTOEVENTO="Manual",$M93=1),0,IF(OFFSET(CRONOPLE!$F$14,$M93,BG$13)="",10^12,OFFSET(CRONOPLE!$F$14,$M93,BG$13))))</f>
        <v>1000000000000</v>
      </c>
      <c r="BH93" s="181">
        <f ca="1">IF($D93&lt;&gt;"Serviço",0,IF(AND(AUTOEVENTO="Manual",$M93=1),0,IF(OFFSET(CRONOPLE!$F$14,$M93,BH$13)="",10^12,OFFSET(CRONOPLE!$F$14,$M93,BH$13))))</f>
        <v>1000000000000</v>
      </c>
      <c r="BI93" s="181">
        <f ca="1">IF($D93&lt;&gt;"Serviço",0,IF(AND(AUTOEVENTO="Manual",$M93=1),0,IF(OFFSET(CRONOPLE!$F$14,$M93,BI$13)="",10^12,OFFSET(CRONOPLE!$F$14,$M93,BI$13))))</f>
        <v>1000000000000</v>
      </c>
      <c r="BJ93" s="181">
        <f ca="1">IF($D93&lt;&gt;"Serviço",0,IF(AND(AUTOEVENTO="Manual",$M93=1),0,IF(OFFSET(CRONOPLE!$F$14,$M93,BJ$13)="",10^12,OFFSET(CRONOPLE!$F$14,$M93,BJ$13))))</f>
        <v>1000000000000</v>
      </c>
      <c r="BK93" s="181">
        <f ca="1">IF($D93&lt;&gt;"Serviço",0,IF(AND(AUTOEVENTO="Manual",$M93=1),0,IF(OFFSET(CRONOPLE!$F$14,$M93,BK$13)="",10^12,OFFSET(CRONOPLE!$F$14,$M93,BK$13))))</f>
        <v>1000000000000</v>
      </c>
      <c r="BL93" s="181">
        <f ca="1">IF($D93&lt;&gt;"Serviço",0,IF(AND(AUTOEVENTO="Manual",$M93=1),0,IF(OFFSET(CRONOPLE!$F$14,$M93,BL$13)="",10^12,OFFSET(CRONOPLE!$F$14,$M93,BL$13))))</f>
        <v>1000000000000</v>
      </c>
      <c r="BM93" s="181">
        <f ca="1">IF($D93&lt;&gt;"Serviço",0,IF(AND(AUTOEVENTO="Manual",$M93=1),0,IF(OFFSET(CRONOPLE!$F$14,$M93,BM$13)="",10^12,OFFSET(CRONOPLE!$F$14,$M93,BM$13))))</f>
        <v>1000000000000</v>
      </c>
      <c r="BN93" s="181">
        <f ca="1">IF($D93&lt;&gt;"Serviço",0,IF(AND(AUTOEVENTO="Manual",$M93=1),0,IF(OFFSET(CRONOPLE!$F$14,$M93,BN$13)="",10^12,OFFSET(CRONOPLE!$F$14,$M93,BN$13))))</f>
        <v>1000000000000</v>
      </c>
      <c r="BO93" s="181">
        <f ca="1">IF($D93&lt;&gt;"Serviço",0,IF(AND(AUTOEVENTO="Manual",$M93=1),0,IF(OFFSET(CRONOPLE!$F$14,$M93,BO$13)="",10^12,OFFSET(CRONOPLE!$F$14,$M93,BO$13))))</f>
        <v>1000000000000</v>
      </c>
      <c r="BP93" s="181">
        <f ca="1">IF($D93&lt;&gt;"Serviço",0,IF(AND(AUTOEVENTO="Manual",$M93=1),0,IF(OFFSET(CRONOPLE!$F$14,$M93,BP$13)="",10^12,OFFSET(CRONOPLE!$F$14,$M93,BP$13))))</f>
        <v>1000000000000</v>
      </c>
      <c r="BQ93" s="181">
        <f ca="1">IF($D93&lt;&gt;"Serviço",0,IF(AND(AUTOEVENTO="Manual",$M93=1),0,IF(OFFSET(CRONOPLE!$F$14,$M93,BQ$13)="",10^12,OFFSET(CRONOPLE!$F$14,$M93,BQ$13))))</f>
        <v>1000000000000</v>
      </c>
      <c r="BR93" s="181">
        <f ca="1">IF($D93&lt;&gt;"Serviço",0,IF(AND(AUTOEVENTO="Manual",$M93=1),0,IF(OFFSET(CRONOPLE!$F$14,$M93,BR$13)="",10^12,OFFSET(CRONOPLE!$F$14,$M93,BR$13))))</f>
        <v>1000000000000</v>
      </c>
      <c r="BS93" s="181">
        <f ca="1">IF($D93&lt;&gt;"Serviço",0,IF(AND(AUTOEVENTO="Manual",$M93=1),0,IF(OFFSET(CRONOPLE!$F$14,$M93,BS$13)="",10^12,OFFSET(CRONOPLE!$F$14,$M93,BS$13))))</f>
        <v>1000000000000</v>
      </c>
      <c r="BT93" s="181">
        <f ca="1">IF($D93&lt;&gt;"Serviço",0,IF(AND(AUTOEVENTO="Manual",$M93=1),0,IF(OFFSET(CRONOPLE!$F$14,$M93,BT$13)="",10^12,OFFSET(CRONOPLE!$F$14,$M93,BT$13))))</f>
        <v>1000000000000</v>
      </c>
      <c r="BV93" s="182">
        <f ca="1">IF($D93&lt;&gt;"Serviço",0,IF(OR(AND(AUTOEVENTO="Manual",$M93=1),$M93&gt;(ROW(PLE.lastrow)-ROW(PLE.firstrow))),0,IF(OFFSET(PLE!$G$14,$M93,BV$13)="",10^12,OFFSET(PLE!$G$14,$M93,BV$13))))</f>
        <v>1000000000000</v>
      </c>
      <c r="BW93" s="182">
        <f ca="1">IF($D93&lt;&gt;"Serviço",0,IF(OR(AND(AUTOEVENTO="Manual",$M93=1),$M93&gt;(ROW(PLE.lastrow)-ROW(PLE.firstrow))),0,IF(OFFSET(PLE!$G$14,$M93,BW$13)="",10^12,OFFSET(PLE!$G$14,$M93,BW$13))))</f>
        <v>1000000000000</v>
      </c>
      <c r="BX93" s="182">
        <f ca="1">IF($D93&lt;&gt;"Serviço",0,IF(OR(AND(AUTOEVENTO="Manual",$M93=1),$M93&gt;(ROW(PLE.lastrow)-ROW(PLE.firstrow))),0,IF(OFFSET(PLE!$G$14,$M93,BX$13)="",10^12,OFFSET(PLE!$G$14,$M93,BX$13))))</f>
        <v>1000000000000</v>
      </c>
      <c r="BY93" s="182">
        <f ca="1">IF($D93&lt;&gt;"Serviço",0,IF(OR(AND(AUTOEVENTO="Manual",$M93=1),$M93&gt;(ROW(PLE.lastrow)-ROW(PLE.firstrow))),0,IF(OFFSET(PLE!$G$14,$M93,BY$13)="",10^12,OFFSET(PLE!$G$14,$M93,BY$13))))</f>
        <v>1000000000000</v>
      </c>
      <c r="BZ93" s="182">
        <f ca="1">IF($D93&lt;&gt;"Serviço",0,IF(OR(AND(AUTOEVENTO="Manual",$M93=1),$M93&gt;(ROW(PLE.lastrow)-ROW(PLE.firstrow))),0,IF(OFFSET(PLE!$G$14,$M93,BZ$13)="",10^12,OFFSET(PLE!$G$14,$M93,BZ$13))))</f>
        <v>1000000000000</v>
      </c>
      <c r="CA93" s="182">
        <f ca="1">IF($D93&lt;&gt;"Serviço",0,IF(OR(AND(AUTOEVENTO="Manual",$M93=1),$M93&gt;(ROW(PLE.lastrow)-ROW(PLE.firstrow))),0,IF(OFFSET(PLE!$G$14,$M93,CA$13)="",10^12,OFFSET(PLE!$G$14,$M93,CA$13))))</f>
        <v>1000000000000</v>
      </c>
      <c r="CB93" s="182">
        <f ca="1">IF($D93&lt;&gt;"Serviço",0,IF(OR(AND(AUTOEVENTO="Manual",$M93=1),$M93&gt;(ROW(PLE.lastrow)-ROW(PLE.firstrow))),0,IF(OFFSET(PLE!$G$14,$M93,CB$13)="",10^12,OFFSET(PLE!$G$14,$M93,CB$13))))</f>
        <v>1000000000000</v>
      </c>
      <c r="CC93" s="182">
        <f ca="1">IF($D93&lt;&gt;"Serviço",0,IF(OR(AND(AUTOEVENTO="Manual",$M93=1),$M93&gt;(ROW(PLE.lastrow)-ROW(PLE.firstrow))),0,IF(OFFSET(PLE!$G$14,$M93,CC$13)="",10^12,OFFSET(PLE!$G$14,$M93,CC$13))))</f>
        <v>1000000000000</v>
      </c>
      <c r="CD93" s="182">
        <f ca="1">IF($D93&lt;&gt;"Serviço",0,IF(OR(AND(AUTOEVENTO="Manual",$M93=1),$M93&gt;(ROW(PLE.lastrow)-ROW(PLE.firstrow))),0,IF(OFFSET(PLE!$G$14,$M93,CD$13)="",10^12,OFFSET(PLE!$G$14,$M93,CD$13))))</f>
        <v>1000000000000</v>
      </c>
      <c r="CE93" s="182">
        <f ca="1">IF($D93&lt;&gt;"Serviço",0,IF(OR(AND(AUTOEVENTO="Manual",$M93=1),$M93&gt;(ROW(PLE.lastrow)-ROW(PLE.firstrow))),0,IF(OFFSET(PLE!$G$14,$M93,CE$13)="",10^12,OFFSET(PLE!$G$14,$M93,CE$13))))</f>
        <v>1000000000000</v>
      </c>
      <c r="CF93" s="182">
        <f ca="1">IF($D93&lt;&gt;"Serviço",0,IF(OR(AND(AUTOEVENTO="Manual",$M93=1),$M93&gt;(ROW(PLE.lastrow)-ROW(PLE.firstrow))),0,IF(OFFSET(PLE!$G$14,$M93,CF$13)="",10^12,OFFSET(PLE!$G$14,$M93,CF$13))))</f>
        <v>1000000000000</v>
      </c>
      <c r="CG93" s="182">
        <f ca="1">IF($D93&lt;&gt;"Serviço",0,IF(OR(AND(AUTOEVENTO="Manual",$M93=1),$M93&gt;(ROW(PLE.lastrow)-ROW(PLE.firstrow))),0,IF(OFFSET(PLE!$G$14,$M93,CG$13)="",10^12,OFFSET(PLE!$G$14,$M93,CG$13))))</f>
        <v>1000000000000</v>
      </c>
      <c r="CH93" s="182">
        <f ca="1">IF($D93&lt;&gt;"Serviço",0,IF(OR(AND(AUTOEVENTO="Manual",$M93=1),$M93&gt;(ROW(PLE.lastrow)-ROW(PLE.firstrow))),0,IF(OFFSET(PLE!$G$14,$M93,CH$13)="",10^12,OFFSET(PLE!$G$14,$M93,CH$13))))</f>
        <v>1000000000000</v>
      </c>
      <c r="CI93" s="182">
        <f ca="1">IF($D93&lt;&gt;"Serviço",0,IF(OR(AND(AUTOEVENTO="Manual",$M93=1),$M93&gt;(ROW(PLE.lastrow)-ROW(PLE.firstrow))),0,IF(OFFSET(PLE!$G$14,$M93,CI$13)="",10^12,OFFSET(PLE!$G$14,$M93,CI$13))))</f>
        <v>1000000000000</v>
      </c>
      <c r="CJ93" s="182">
        <f ca="1">IF($D93&lt;&gt;"Serviço",0,IF(OR(AND(AUTOEVENTO="Manual",$M93=1),$M93&gt;(ROW(PLE.lastrow)-ROW(PLE.firstrow))),0,IF(OFFSET(PLE!$G$14,$M93,CJ$13)="",10^12,OFFSET(PLE!$G$14,$M93,CJ$13))))</f>
        <v>1000000000000</v>
      </c>
      <c r="CK93" s="182">
        <f ca="1">IF($D93&lt;&gt;"Serviço",0,IF(OR(AND(AUTOEVENTO="Manual",$M93=1),$M93&gt;(ROW(PLE.lastrow)-ROW(PLE.firstrow))),0,IF(OFFSET(PLE!$G$14,$M93,CK$13)="",10^12,OFFSET(PLE!$G$14,$M93,CK$13))))</f>
        <v>1000000000000</v>
      </c>
      <c r="CL93" s="182">
        <f ca="1">IF($D93&lt;&gt;"Serviço",0,IF(OR(AND(AUTOEVENTO="Manual",$M93=1),$M93&gt;(ROW(PLE.lastrow)-ROW(PLE.firstrow))),0,IF(OFFSET(PLE!$G$14,$M93,CL$13)="",10^12,OFFSET(PLE!$G$14,$M93,CL$13))))</f>
        <v>1000000000000</v>
      </c>
      <c r="CM93" s="182">
        <f ca="1">IF($D93&lt;&gt;"Serviço",0,IF(OR(AND(AUTOEVENTO="Manual",$M93=1),$M93&gt;(ROW(PLE.lastrow)-ROW(PLE.firstrow))),0,IF(OFFSET(PLE!$G$14,$M93,CM$13)="",10^12,OFFSET(PLE!$G$14,$M93,CM$13))))</f>
        <v>1000000000000</v>
      </c>
    </row>
    <row r="94" spans="1:91" ht="25.5" x14ac:dyDescent="0.2">
      <c r="A94" s="7" t="str">
        <f t="shared" ca="1" si="10"/>
        <v>76</v>
      </c>
      <c r="B94" s="7" t="str">
        <f ca="1">OFFSET(ORÇAMENTO!C$15,ROW(B94)-ROW(B$15),0)</f>
        <v>S</v>
      </c>
      <c r="C94" s="7" t="str">
        <f ca="1">OFFSET(ORÇAMENTO!L$15,ROW(C94)-ROW(C$15),0)</f>
        <v/>
      </c>
      <c r="D94" s="118" t="str">
        <f ca="1">OFFSET(ORÇAMENTO!N$15,ROW(D94)-ROW(D$15),0)</f>
        <v>Serviço</v>
      </c>
      <c r="E94" s="119" t="str">
        <f ca="1">OFFSET(ORÇAMENTO!O$15,ROW(E94)-ROW(E$15),0)</f>
        <v>-</v>
      </c>
      <c r="F94" s="172" t="str">
        <f ca="1">OFFSET(ORÇAMENTO!R$15,ROW(F94)-ROW(F$15),0)</f>
        <v>(abra o arquivo 'Referência 06-2024.xlsm)</v>
      </c>
      <c r="G94" s="173" t="str">
        <f ca="1">IF($D94&lt;&gt;"Serviço","",OFFSET(ORÇAMENTO!S$15,ROW(G94)-ROW(G$15),0))</f>
        <v>-</v>
      </c>
      <c r="H94" s="124">
        <f ca="1">IF($D94&lt;&gt;"Serviço",0,IF(ACOMPANHAMENTO="BM",ROUND(OFFSET(ORÇAMENTO!AJ$15,ROW(H94)-ROW(H$15),0),15-13*ORÇAMENTO!$AF$7),SUMPRODUCT(($Q$12:$AI$12&lt;&gt;"")*ROUND($Q94:$AI94,15-13*ORÇAMENTO!$AF$7))))</f>
        <v>1394.71</v>
      </c>
      <c r="I94" s="561" t="s">
        <v>1107</v>
      </c>
      <c r="K94" s="174"/>
      <c r="L94" s="175" t="s">
        <v>255</v>
      </c>
      <c r="M94" s="176">
        <f ca="1">IF($D94&lt;&gt;"Serviço","",IF(AUTOEVENTO="manual",$A94,IF(ISERROR(MATCH($A94,$A$15:OFFSET($A94,-1,0),0)),MAX($M$15:OFFSET(M94,-1,0))+1,INDEX($M$15:OFFSET(M94,-1,0),MATCH($A94,$A$15:OFFSET($A94,-1,0),0)))))</f>
        <v>14</v>
      </c>
      <c r="N94" s="177" t="str">
        <f ca="1">IF($D94&lt;&gt;"Serviço","",IF(AUTOEVENTO="Manual",IF($A94=0,"&lt;-- defina o número do agrupador",OFFSET(EVENTOS!$D$14,$A94,0)),OFFSET($F$15,$A94,0)))</f>
        <v>PAVIMENTAÇÃO INTERNA - PISO DE CONCRETO 8 CM</v>
      </c>
      <c r="O94" s="178"/>
      <c r="Q94" s="178">
        <v>1394.71</v>
      </c>
      <c r="R94" s="179"/>
      <c r="S94" s="179"/>
      <c r="T94" s="179"/>
      <c r="U94" s="179"/>
      <c r="V94" s="179"/>
      <c r="W94" s="179"/>
      <c r="X94" s="179"/>
      <c r="Y94" s="179"/>
      <c r="Z94" s="180"/>
      <c r="AA94" s="179"/>
      <c r="AB94" s="179"/>
      <c r="AC94" s="179"/>
      <c r="AD94" s="179"/>
      <c r="AE94" s="179"/>
      <c r="AF94" s="179"/>
      <c r="AG94" s="179"/>
      <c r="AH94" s="180"/>
      <c r="AJ94" s="544">
        <f ca="1">IF(AND($D94="Serviço",AJ$12&lt;&gt;0,$H94&gt;0,OR(AUTOEVENTO&lt;&gt;"manual",$M94&lt;&gt;1)),
IF(Import.TipoArredondamento&lt;&gt;"TransfereGOV",
ROUND(OFFSET($P94,0,AJ$13),15-13*ORÇAMENTO!$AF$7)/$H94*OFFSET(ORÇAMENTO!$X$15,ROW(AJ94)-ROW(AJ$15),0),
ROUND(ROUND(OFFSET($P94,0,AJ$13),15-13*ORÇAMENTO!$AF$7)*OFFSET(ORÇAMENTO!$W$15,ROW(AJ94)-ROW(AJ$15),0),15-13*ORÇAMENTO!$AF$11)),0)</f>
        <v>0</v>
      </c>
      <c r="AK94" s="545">
        <f ca="1">IF(AND($D94="Serviço",AK$12&lt;&gt;0,$H94&gt;0,OR(AUTOEVENTO&lt;&gt;"manual",$M94&lt;&gt;1)),
IF(Import.TipoArredondamento&lt;&gt;"TransfereGOV",
ROUND(OFFSET($P94,0,AK$13),15-13*ORÇAMENTO!$AF$7)/$H94*OFFSET(ORÇAMENTO!$X$15,ROW(AK94)-ROW(AK$15),0),
ROUND(ROUND(OFFSET($P94,0,AK$13),15-13*ORÇAMENTO!$AF$7)*OFFSET(ORÇAMENTO!$W$15,ROW(AK94)-ROW(AK$15),0),15-13*ORÇAMENTO!$AF$11)),0)</f>
        <v>0</v>
      </c>
      <c r="AL94" s="545">
        <f ca="1">IF(AND($D94="Serviço",AL$12&lt;&gt;0,$H94&gt;0,OR(AUTOEVENTO&lt;&gt;"manual",$M94&lt;&gt;1)),
IF(Import.TipoArredondamento&lt;&gt;"TransfereGOV",
ROUND(OFFSET($P94,0,AL$13),15-13*ORÇAMENTO!$AF$7)/$H94*OFFSET(ORÇAMENTO!$X$15,ROW(AL94)-ROW(AL$15),0),
ROUND(ROUND(OFFSET($P94,0,AL$13),15-13*ORÇAMENTO!$AF$7)*OFFSET(ORÇAMENTO!$W$15,ROW(AL94)-ROW(AL$15),0),15-13*ORÇAMENTO!$AF$11)),0)</f>
        <v>0</v>
      </c>
      <c r="AM94" s="545">
        <f ca="1">IF(AND($D94="Serviço",AM$12&lt;&gt;0,$H94&gt;0,OR(AUTOEVENTO&lt;&gt;"manual",$M94&lt;&gt;1)),
IF(Import.TipoArredondamento&lt;&gt;"TransfereGOV",
ROUND(OFFSET($P94,0,AM$13),15-13*ORÇAMENTO!$AF$7)/$H94*OFFSET(ORÇAMENTO!$X$15,ROW(AM94)-ROW(AM$15),0),
ROUND(ROUND(OFFSET($P94,0,AM$13),15-13*ORÇAMENTO!$AF$7)*OFFSET(ORÇAMENTO!$W$15,ROW(AM94)-ROW(AM$15),0),15-13*ORÇAMENTO!$AF$11)),0)</f>
        <v>0</v>
      </c>
      <c r="AN94" s="545">
        <f ca="1">IF(AND($D94="Serviço",AN$12&lt;&gt;0,$H94&gt;0,OR(AUTOEVENTO&lt;&gt;"manual",$M94&lt;&gt;1)),
IF(Import.TipoArredondamento&lt;&gt;"TransfereGOV",
ROUND(OFFSET($P94,0,AN$13),15-13*ORÇAMENTO!$AF$7)/$H94*OFFSET(ORÇAMENTO!$X$15,ROW(AN94)-ROW(AN$15),0),
ROUND(ROUND(OFFSET($P94,0,AN$13),15-13*ORÇAMENTO!$AF$7)*OFFSET(ORÇAMENTO!$W$15,ROW(AN94)-ROW(AN$15),0),15-13*ORÇAMENTO!$AF$11)),0)</f>
        <v>0</v>
      </c>
      <c r="AO94" s="545">
        <f ca="1">IF(AND($D94="Serviço",AO$12&lt;&gt;0,$H94&gt;0,OR(AUTOEVENTO&lt;&gt;"manual",$M94&lt;&gt;1)),
IF(Import.TipoArredondamento&lt;&gt;"TransfereGOV",
ROUND(OFFSET($P94,0,AO$13),15-13*ORÇAMENTO!$AF$7)/$H94*OFFSET(ORÇAMENTO!$X$15,ROW(AO94)-ROW(AO$15),0),
ROUND(ROUND(OFFSET($P94,0,AO$13),15-13*ORÇAMENTO!$AF$7)*OFFSET(ORÇAMENTO!$W$15,ROW(AO94)-ROW(AO$15),0),15-13*ORÇAMENTO!$AF$11)),0)</f>
        <v>0</v>
      </c>
      <c r="AP94" s="545">
        <f ca="1">IF(AND($D94="Serviço",AP$12&lt;&gt;0,$H94&gt;0,OR(AUTOEVENTO&lt;&gt;"manual",$M94&lt;&gt;1)),
IF(Import.TipoArredondamento&lt;&gt;"TransfereGOV",
ROUND(OFFSET($P94,0,AP$13),15-13*ORÇAMENTO!$AF$7)/$H94*OFFSET(ORÇAMENTO!$X$15,ROW(AP94)-ROW(AP$15),0),
ROUND(ROUND(OFFSET($P94,0,AP$13),15-13*ORÇAMENTO!$AF$7)*OFFSET(ORÇAMENTO!$W$15,ROW(AP94)-ROW(AP$15),0),15-13*ORÇAMENTO!$AF$11)),0)</f>
        <v>0</v>
      </c>
      <c r="AQ94" s="545">
        <f ca="1">IF(AND($D94="Serviço",AQ$12&lt;&gt;0,$H94&gt;0,OR(AUTOEVENTO&lt;&gt;"manual",$M94&lt;&gt;1)),
IF(Import.TipoArredondamento&lt;&gt;"TransfereGOV",
ROUND(OFFSET($P94,0,AQ$13),15-13*ORÇAMENTO!$AF$7)/$H94*OFFSET(ORÇAMENTO!$X$15,ROW(AQ94)-ROW(AQ$15),0),
ROUND(ROUND(OFFSET($P94,0,AQ$13),15-13*ORÇAMENTO!$AF$7)*OFFSET(ORÇAMENTO!$W$15,ROW(AQ94)-ROW(AQ$15),0),15-13*ORÇAMENTO!$AF$11)),0)</f>
        <v>0</v>
      </c>
      <c r="AR94" s="545">
        <f ca="1">IF(AND($D94="Serviço",AR$12&lt;&gt;0,$H94&gt;0,OR(AUTOEVENTO&lt;&gt;"manual",$M94&lt;&gt;1)),
IF(Import.TipoArredondamento&lt;&gt;"TransfereGOV",
ROUND(OFFSET($P94,0,AR$13),15-13*ORÇAMENTO!$AF$7)/$H94*OFFSET(ORÇAMENTO!$X$15,ROW(AR94)-ROW(AR$15),0),
ROUND(ROUND(OFFSET($P94,0,AR$13),15-13*ORÇAMENTO!$AF$7)*OFFSET(ORÇAMENTO!$W$15,ROW(AR94)-ROW(AR$15),0),15-13*ORÇAMENTO!$AF$11)),0)</f>
        <v>0</v>
      </c>
      <c r="AS94" s="546">
        <f ca="1">IF(AND($D94="Serviço",AS$12&lt;&gt;0,$H94&gt;0,OR(AUTOEVENTO&lt;&gt;"manual",$M94&lt;&gt;1)),
IF(Import.TipoArredondamento&lt;&gt;"TransfereGOV",
ROUND(OFFSET($P94,0,AS$13),15-13*ORÇAMENTO!$AF$7)/$H94*OFFSET(ORÇAMENTO!$X$15,ROW(AS94)-ROW(AS$15),0),
ROUND(ROUND(OFFSET($P94,0,AS$13),15-13*ORÇAMENTO!$AF$7)*OFFSET(ORÇAMENTO!$W$15,ROW(AS94)-ROW(AS$15),0),15-13*ORÇAMENTO!$AF$11)),0)</f>
        <v>0</v>
      </c>
      <c r="AT94" s="545">
        <f ca="1">IF(AND($D94="Serviço",AT$12&lt;&gt;0,$H94&gt;0,OR(AUTOEVENTO&lt;&gt;"manual",$M94&lt;&gt;1)),
IF(Import.TipoArredondamento&lt;&gt;"TransfereGOV",
ROUND(OFFSET($P94,0,AT$13),15-13*ORÇAMENTO!$AF$7)/$H94*OFFSET(ORÇAMENTO!$X$15,ROW(AT94)-ROW(AT$15),0),
ROUND(ROUND(OFFSET($P94,0,AT$13),15-13*ORÇAMENTO!$AF$7)*OFFSET(ORÇAMENTO!$W$15,ROW(AT94)-ROW(AT$15),0),15-13*ORÇAMENTO!$AF$11)),0)</f>
        <v>0</v>
      </c>
      <c r="AU94" s="545">
        <f ca="1">IF(AND($D94="Serviço",AU$12&lt;&gt;0,$H94&gt;0,OR(AUTOEVENTO&lt;&gt;"manual",$M94&lt;&gt;1)),
IF(Import.TipoArredondamento&lt;&gt;"TransfereGOV",
ROUND(OFFSET($P94,0,AU$13),15-13*ORÇAMENTO!$AF$7)/$H94*OFFSET(ORÇAMENTO!$X$15,ROW(AU94)-ROW(AU$15),0),
ROUND(ROUND(OFFSET($P94,0,AU$13),15-13*ORÇAMENTO!$AF$7)*OFFSET(ORÇAMENTO!$W$15,ROW(AU94)-ROW(AU$15),0),15-13*ORÇAMENTO!$AF$11)),0)</f>
        <v>0</v>
      </c>
      <c r="AV94" s="545">
        <f ca="1">IF(AND($D94="Serviço",AV$12&lt;&gt;0,$H94&gt;0,OR(AUTOEVENTO&lt;&gt;"manual",$M94&lt;&gt;1)),
IF(Import.TipoArredondamento&lt;&gt;"TransfereGOV",
ROUND(OFFSET($P94,0,AV$13),15-13*ORÇAMENTO!$AF$7)/$H94*OFFSET(ORÇAMENTO!$X$15,ROW(AV94)-ROW(AV$15),0),
ROUND(ROUND(OFFSET($P94,0,AV$13),15-13*ORÇAMENTO!$AF$7)*OFFSET(ORÇAMENTO!$W$15,ROW(AV94)-ROW(AV$15),0),15-13*ORÇAMENTO!$AF$11)),0)</f>
        <v>0</v>
      </c>
      <c r="AW94" s="545">
        <f ca="1">IF(AND($D94="Serviço",AW$12&lt;&gt;0,$H94&gt;0,OR(AUTOEVENTO&lt;&gt;"manual",$M94&lt;&gt;1)),
IF(Import.TipoArredondamento&lt;&gt;"TransfereGOV",
ROUND(OFFSET($P94,0,AW$13),15-13*ORÇAMENTO!$AF$7)/$H94*OFFSET(ORÇAMENTO!$X$15,ROW(AW94)-ROW(AW$15),0),
ROUND(ROUND(OFFSET($P94,0,AW$13),15-13*ORÇAMENTO!$AF$7)*OFFSET(ORÇAMENTO!$W$15,ROW(AW94)-ROW(AW$15),0),15-13*ORÇAMENTO!$AF$11)),0)</f>
        <v>0</v>
      </c>
      <c r="AX94" s="545">
        <f ca="1">IF(AND($D94="Serviço",AX$12&lt;&gt;0,$H94&gt;0,OR(AUTOEVENTO&lt;&gt;"manual",$M94&lt;&gt;1)),
IF(Import.TipoArredondamento&lt;&gt;"TransfereGOV",
ROUND(OFFSET($P94,0,AX$13),15-13*ORÇAMENTO!$AF$7)/$H94*OFFSET(ORÇAMENTO!$X$15,ROW(AX94)-ROW(AX$15),0),
ROUND(ROUND(OFFSET($P94,0,AX$13),15-13*ORÇAMENTO!$AF$7)*OFFSET(ORÇAMENTO!$W$15,ROW(AX94)-ROW(AX$15),0),15-13*ORÇAMENTO!$AF$11)),0)</f>
        <v>0</v>
      </c>
      <c r="AY94" s="545">
        <f ca="1">IF(AND($D94="Serviço",AY$12&lt;&gt;0,$H94&gt;0,OR(AUTOEVENTO&lt;&gt;"manual",$M94&lt;&gt;1)),
IF(Import.TipoArredondamento&lt;&gt;"TransfereGOV",
ROUND(OFFSET($P94,0,AY$13),15-13*ORÇAMENTO!$AF$7)/$H94*OFFSET(ORÇAMENTO!$X$15,ROW(AY94)-ROW(AY$15),0),
ROUND(ROUND(OFFSET($P94,0,AY$13),15-13*ORÇAMENTO!$AF$7)*OFFSET(ORÇAMENTO!$W$15,ROW(AY94)-ROW(AY$15),0),15-13*ORÇAMENTO!$AF$11)),0)</f>
        <v>0</v>
      </c>
      <c r="AZ94" s="545">
        <f ca="1">IF(AND($D94="Serviço",AZ$12&lt;&gt;0,$H94&gt;0,OR(AUTOEVENTO&lt;&gt;"manual",$M94&lt;&gt;1)),
IF(Import.TipoArredondamento&lt;&gt;"TransfereGOV",
ROUND(OFFSET($P94,0,AZ$13),15-13*ORÇAMENTO!$AF$7)/$H94*OFFSET(ORÇAMENTO!$X$15,ROW(AZ94)-ROW(AZ$15),0),
ROUND(ROUND(OFFSET($P94,0,AZ$13),15-13*ORÇAMENTO!$AF$7)*OFFSET(ORÇAMENTO!$W$15,ROW(AZ94)-ROW(AZ$15),0),15-13*ORÇAMENTO!$AF$11)),0)</f>
        <v>0</v>
      </c>
      <c r="BA94" s="546">
        <f ca="1">IF(AND($D94="Serviço",BA$12&lt;&gt;0,$H94&gt;0,OR(AUTOEVENTO&lt;&gt;"manual",$M94&lt;&gt;1)),
IF(Import.TipoArredondamento&lt;&gt;"TransfereGOV",
ROUND(OFFSET($P94,0,BA$13),15-13*ORÇAMENTO!$AF$7)/$H94*OFFSET(ORÇAMENTO!$X$15,ROW(BA94)-ROW(BA$15),0),
ROUND(ROUND(OFFSET($P94,0,BA$13),15-13*ORÇAMENTO!$AF$7)*OFFSET(ORÇAMENTO!$W$15,ROW(BA94)-ROW(BA$15),0),15-13*ORÇAMENTO!$AF$11)),0)</f>
        <v>0</v>
      </c>
      <c r="BC94" s="181">
        <f ca="1">IF($D94&lt;&gt;"Serviço",0,IF(AND(AUTOEVENTO="Manual",$M94=1),0,IF(OFFSET(CRONOPLE!$F$14,$M94,BC$13)="",10^12,OFFSET(CRONOPLE!$F$14,$M94,BC$13))))</f>
        <v>4</v>
      </c>
      <c r="BD94" s="181">
        <f ca="1">IF($D94&lt;&gt;"Serviço",0,IF(AND(AUTOEVENTO="Manual",$M94=1),0,IF(OFFSET(CRONOPLE!$F$14,$M94,BD$13)="",10^12,OFFSET(CRONOPLE!$F$14,$M94,BD$13))))</f>
        <v>1000000000000</v>
      </c>
      <c r="BE94" s="181">
        <f ca="1">IF($D94&lt;&gt;"Serviço",0,IF(AND(AUTOEVENTO="Manual",$M94=1),0,IF(OFFSET(CRONOPLE!$F$14,$M94,BE$13)="",10^12,OFFSET(CRONOPLE!$F$14,$M94,BE$13))))</f>
        <v>1000000000000</v>
      </c>
      <c r="BF94" s="181">
        <f ca="1">IF($D94&lt;&gt;"Serviço",0,IF(AND(AUTOEVENTO="Manual",$M94=1),0,IF(OFFSET(CRONOPLE!$F$14,$M94,BF$13)="",10^12,OFFSET(CRONOPLE!$F$14,$M94,BF$13))))</f>
        <v>1000000000000</v>
      </c>
      <c r="BG94" s="181">
        <f ca="1">IF($D94&lt;&gt;"Serviço",0,IF(AND(AUTOEVENTO="Manual",$M94=1),0,IF(OFFSET(CRONOPLE!$F$14,$M94,BG$13)="",10^12,OFFSET(CRONOPLE!$F$14,$M94,BG$13))))</f>
        <v>1000000000000</v>
      </c>
      <c r="BH94" s="181">
        <f ca="1">IF($D94&lt;&gt;"Serviço",0,IF(AND(AUTOEVENTO="Manual",$M94=1),0,IF(OFFSET(CRONOPLE!$F$14,$M94,BH$13)="",10^12,OFFSET(CRONOPLE!$F$14,$M94,BH$13))))</f>
        <v>1000000000000</v>
      </c>
      <c r="BI94" s="181">
        <f ca="1">IF($D94&lt;&gt;"Serviço",0,IF(AND(AUTOEVENTO="Manual",$M94=1),0,IF(OFFSET(CRONOPLE!$F$14,$M94,BI$13)="",10^12,OFFSET(CRONOPLE!$F$14,$M94,BI$13))))</f>
        <v>1000000000000</v>
      </c>
      <c r="BJ94" s="181">
        <f ca="1">IF($D94&lt;&gt;"Serviço",0,IF(AND(AUTOEVENTO="Manual",$M94=1),0,IF(OFFSET(CRONOPLE!$F$14,$M94,BJ$13)="",10^12,OFFSET(CRONOPLE!$F$14,$M94,BJ$13))))</f>
        <v>1000000000000</v>
      </c>
      <c r="BK94" s="181">
        <f ca="1">IF($D94&lt;&gt;"Serviço",0,IF(AND(AUTOEVENTO="Manual",$M94=1),0,IF(OFFSET(CRONOPLE!$F$14,$M94,BK$13)="",10^12,OFFSET(CRONOPLE!$F$14,$M94,BK$13))))</f>
        <v>1000000000000</v>
      </c>
      <c r="BL94" s="181">
        <f ca="1">IF($D94&lt;&gt;"Serviço",0,IF(AND(AUTOEVENTO="Manual",$M94=1),0,IF(OFFSET(CRONOPLE!$F$14,$M94,BL$13)="",10^12,OFFSET(CRONOPLE!$F$14,$M94,BL$13))))</f>
        <v>1000000000000</v>
      </c>
      <c r="BM94" s="181">
        <f ca="1">IF($D94&lt;&gt;"Serviço",0,IF(AND(AUTOEVENTO="Manual",$M94=1),0,IF(OFFSET(CRONOPLE!$F$14,$M94,BM$13)="",10^12,OFFSET(CRONOPLE!$F$14,$M94,BM$13))))</f>
        <v>1000000000000</v>
      </c>
      <c r="BN94" s="181">
        <f ca="1">IF($D94&lt;&gt;"Serviço",0,IF(AND(AUTOEVENTO="Manual",$M94=1),0,IF(OFFSET(CRONOPLE!$F$14,$M94,BN$13)="",10^12,OFFSET(CRONOPLE!$F$14,$M94,BN$13))))</f>
        <v>1000000000000</v>
      </c>
      <c r="BO94" s="181">
        <f ca="1">IF($D94&lt;&gt;"Serviço",0,IF(AND(AUTOEVENTO="Manual",$M94=1),0,IF(OFFSET(CRONOPLE!$F$14,$M94,BO$13)="",10^12,OFFSET(CRONOPLE!$F$14,$M94,BO$13))))</f>
        <v>1000000000000</v>
      </c>
      <c r="BP94" s="181">
        <f ca="1">IF($D94&lt;&gt;"Serviço",0,IF(AND(AUTOEVENTO="Manual",$M94=1),0,IF(OFFSET(CRONOPLE!$F$14,$M94,BP$13)="",10^12,OFFSET(CRONOPLE!$F$14,$M94,BP$13))))</f>
        <v>1000000000000</v>
      </c>
      <c r="BQ94" s="181">
        <f ca="1">IF($D94&lt;&gt;"Serviço",0,IF(AND(AUTOEVENTO="Manual",$M94=1),0,IF(OFFSET(CRONOPLE!$F$14,$M94,BQ$13)="",10^12,OFFSET(CRONOPLE!$F$14,$M94,BQ$13))))</f>
        <v>1000000000000</v>
      </c>
      <c r="BR94" s="181">
        <f ca="1">IF($D94&lt;&gt;"Serviço",0,IF(AND(AUTOEVENTO="Manual",$M94=1),0,IF(OFFSET(CRONOPLE!$F$14,$M94,BR$13)="",10^12,OFFSET(CRONOPLE!$F$14,$M94,BR$13))))</f>
        <v>1000000000000</v>
      </c>
      <c r="BS94" s="181">
        <f ca="1">IF($D94&lt;&gt;"Serviço",0,IF(AND(AUTOEVENTO="Manual",$M94=1),0,IF(OFFSET(CRONOPLE!$F$14,$M94,BS$13)="",10^12,OFFSET(CRONOPLE!$F$14,$M94,BS$13))))</f>
        <v>1000000000000</v>
      </c>
      <c r="BT94" s="181">
        <f ca="1">IF($D94&lt;&gt;"Serviço",0,IF(AND(AUTOEVENTO="Manual",$M94=1),0,IF(OFFSET(CRONOPLE!$F$14,$M94,BT$13)="",10^12,OFFSET(CRONOPLE!$F$14,$M94,BT$13))))</f>
        <v>1000000000000</v>
      </c>
      <c r="BV94" s="182">
        <f ca="1">IF($D94&lt;&gt;"Serviço",0,IF(OR(AND(AUTOEVENTO="Manual",$M94=1),$M94&gt;(ROW(PLE.lastrow)-ROW(PLE.firstrow))),0,IF(OFFSET(PLE!$G$14,$M94,BV$13)="",10^12,OFFSET(PLE!$G$14,$M94,BV$13))))</f>
        <v>1000000000000</v>
      </c>
      <c r="BW94" s="182">
        <f ca="1">IF($D94&lt;&gt;"Serviço",0,IF(OR(AND(AUTOEVENTO="Manual",$M94=1),$M94&gt;(ROW(PLE.lastrow)-ROW(PLE.firstrow))),0,IF(OFFSET(PLE!$G$14,$M94,BW$13)="",10^12,OFFSET(PLE!$G$14,$M94,BW$13))))</f>
        <v>1000000000000</v>
      </c>
      <c r="BX94" s="182">
        <f ca="1">IF($D94&lt;&gt;"Serviço",0,IF(OR(AND(AUTOEVENTO="Manual",$M94=1),$M94&gt;(ROW(PLE.lastrow)-ROW(PLE.firstrow))),0,IF(OFFSET(PLE!$G$14,$M94,BX$13)="",10^12,OFFSET(PLE!$G$14,$M94,BX$13))))</f>
        <v>1000000000000</v>
      </c>
      <c r="BY94" s="182">
        <f ca="1">IF($D94&lt;&gt;"Serviço",0,IF(OR(AND(AUTOEVENTO="Manual",$M94=1),$M94&gt;(ROW(PLE.lastrow)-ROW(PLE.firstrow))),0,IF(OFFSET(PLE!$G$14,$M94,BY$13)="",10^12,OFFSET(PLE!$G$14,$M94,BY$13))))</f>
        <v>1000000000000</v>
      </c>
      <c r="BZ94" s="182">
        <f ca="1">IF($D94&lt;&gt;"Serviço",0,IF(OR(AND(AUTOEVENTO="Manual",$M94=1),$M94&gt;(ROW(PLE.lastrow)-ROW(PLE.firstrow))),0,IF(OFFSET(PLE!$G$14,$M94,BZ$13)="",10^12,OFFSET(PLE!$G$14,$M94,BZ$13))))</f>
        <v>1000000000000</v>
      </c>
      <c r="CA94" s="182">
        <f ca="1">IF($D94&lt;&gt;"Serviço",0,IF(OR(AND(AUTOEVENTO="Manual",$M94=1),$M94&gt;(ROW(PLE.lastrow)-ROW(PLE.firstrow))),0,IF(OFFSET(PLE!$G$14,$M94,CA$13)="",10^12,OFFSET(PLE!$G$14,$M94,CA$13))))</f>
        <v>1000000000000</v>
      </c>
      <c r="CB94" s="182">
        <f ca="1">IF($D94&lt;&gt;"Serviço",0,IF(OR(AND(AUTOEVENTO="Manual",$M94=1),$M94&gt;(ROW(PLE.lastrow)-ROW(PLE.firstrow))),0,IF(OFFSET(PLE!$G$14,$M94,CB$13)="",10^12,OFFSET(PLE!$G$14,$M94,CB$13))))</f>
        <v>1000000000000</v>
      </c>
      <c r="CC94" s="182">
        <f ca="1">IF($D94&lt;&gt;"Serviço",0,IF(OR(AND(AUTOEVENTO="Manual",$M94=1),$M94&gt;(ROW(PLE.lastrow)-ROW(PLE.firstrow))),0,IF(OFFSET(PLE!$G$14,$M94,CC$13)="",10^12,OFFSET(PLE!$G$14,$M94,CC$13))))</f>
        <v>1000000000000</v>
      </c>
      <c r="CD94" s="182">
        <f ca="1">IF($D94&lt;&gt;"Serviço",0,IF(OR(AND(AUTOEVENTO="Manual",$M94=1),$M94&gt;(ROW(PLE.lastrow)-ROW(PLE.firstrow))),0,IF(OFFSET(PLE!$G$14,$M94,CD$13)="",10^12,OFFSET(PLE!$G$14,$M94,CD$13))))</f>
        <v>1000000000000</v>
      </c>
      <c r="CE94" s="182">
        <f ca="1">IF($D94&lt;&gt;"Serviço",0,IF(OR(AND(AUTOEVENTO="Manual",$M94=1),$M94&gt;(ROW(PLE.lastrow)-ROW(PLE.firstrow))),0,IF(OFFSET(PLE!$G$14,$M94,CE$13)="",10^12,OFFSET(PLE!$G$14,$M94,CE$13))))</f>
        <v>1000000000000</v>
      </c>
      <c r="CF94" s="182">
        <f ca="1">IF($D94&lt;&gt;"Serviço",0,IF(OR(AND(AUTOEVENTO="Manual",$M94=1),$M94&gt;(ROW(PLE.lastrow)-ROW(PLE.firstrow))),0,IF(OFFSET(PLE!$G$14,$M94,CF$13)="",10^12,OFFSET(PLE!$G$14,$M94,CF$13))))</f>
        <v>1000000000000</v>
      </c>
      <c r="CG94" s="182">
        <f ca="1">IF($D94&lt;&gt;"Serviço",0,IF(OR(AND(AUTOEVENTO="Manual",$M94=1),$M94&gt;(ROW(PLE.lastrow)-ROW(PLE.firstrow))),0,IF(OFFSET(PLE!$G$14,$M94,CG$13)="",10^12,OFFSET(PLE!$G$14,$M94,CG$13))))</f>
        <v>1000000000000</v>
      </c>
      <c r="CH94" s="182">
        <f ca="1">IF($D94&lt;&gt;"Serviço",0,IF(OR(AND(AUTOEVENTO="Manual",$M94=1),$M94&gt;(ROW(PLE.lastrow)-ROW(PLE.firstrow))),0,IF(OFFSET(PLE!$G$14,$M94,CH$13)="",10^12,OFFSET(PLE!$G$14,$M94,CH$13))))</f>
        <v>1000000000000</v>
      </c>
      <c r="CI94" s="182">
        <f ca="1">IF($D94&lt;&gt;"Serviço",0,IF(OR(AND(AUTOEVENTO="Manual",$M94=1),$M94&gt;(ROW(PLE.lastrow)-ROW(PLE.firstrow))),0,IF(OFFSET(PLE!$G$14,$M94,CI$13)="",10^12,OFFSET(PLE!$G$14,$M94,CI$13))))</f>
        <v>1000000000000</v>
      </c>
      <c r="CJ94" s="182">
        <f ca="1">IF($D94&lt;&gt;"Serviço",0,IF(OR(AND(AUTOEVENTO="Manual",$M94=1),$M94&gt;(ROW(PLE.lastrow)-ROW(PLE.firstrow))),0,IF(OFFSET(PLE!$G$14,$M94,CJ$13)="",10^12,OFFSET(PLE!$G$14,$M94,CJ$13))))</f>
        <v>1000000000000</v>
      </c>
      <c r="CK94" s="182">
        <f ca="1">IF($D94&lt;&gt;"Serviço",0,IF(OR(AND(AUTOEVENTO="Manual",$M94=1),$M94&gt;(ROW(PLE.lastrow)-ROW(PLE.firstrow))),0,IF(OFFSET(PLE!$G$14,$M94,CK$13)="",10^12,OFFSET(PLE!$G$14,$M94,CK$13))))</f>
        <v>1000000000000</v>
      </c>
      <c r="CL94" s="182">
        <f ca="1">IF($D94&lt;&gt;"Serviço",0,IF(OR(AND(AUTOEVENTO="Manual",$M94=1),$M94&gt;(ROW(PLE.lastrow)-ROW(PLE.firstrow))),0,IF(OFFSET(PLE!$G$14,$M94,CL$13)="",10^12,OFFSET(PLE!$G$14,$M94,CL$13))))</f>
        <v>1000000000000</v>
      </c>
      <c r="CM94" s="182">
        <f ca="1">IF($D94&lt;&gt;"Serviço",0,IF(OR(AND(AUTOEVENTO="Manual",$M94=1),$M94&gt;(ROW(PLE.lastrow)-ROW(PLE.firstrow))),0,IF(OFFSET(PLE!$G$14,$M94,CM$13)="",10^12,OFFSET(PLE!$G$14,$M94,CM$13))))</f>
        <v>1000000000000</v>
      </c>
    </row>
    <row r="95" spans="1:91" ht="38.25" x14ac:dyDescent="0.2">
      <c r="A95" s="7" t="str">
        <f t="shared" ca="1" si="10"/>
        <v>76</v>
      </c>
      <c r="B95" s="7" t="str">
        <f ca="1">OFFSET(ORÇAMENTO!C$15,ROW(B95)-ROW(B$15),0)</f>
        <v>S</v>
      </c>
      <c r="C95" s="7" t="str">
        <f ca="1">OFFSET(ORÇAMENTO!L$15,ROW(C95)-ROW(C$15),0)</f>
        <v/>
      </c>
      <c r="D95" s="118" t="str">
        <f ca="1">OFFSET(ORÇAMENTO!N$15,ROW(D95)-ROW(D$15),0)</f>
        <v>Serviço</v>
      </c>
      <c r="E95" s="119" t="str">
        <f ca="1">OFFSET(ORÇAMENTO!O$15,ROW(E95)-ROW(E$15),0)</f>
        <v>-</v>
      </c>
      <c r="F95" s="172" t="str">
        <f ca="1">OFFSET(ORÇAMENTO!R$15,ROW(F95)-ROW(F$15),0)</f>
        <v>(abra o arquivo 'Referência 06-2024.xlsm)</v>
      </c>
      <c r="G95" s="173" t="str">
        <f ca="1">IF($D95&lt;&gt;"Serviço","",OFFSET(ORÇAMENTO!S$15,ROW(G95)-ROW(G$15),0))</f>
        <v>-</v>
      </c>
      <c r="H95" s="124">
        <f ca="1">IF($D95&lt;&gt;"Serviço",0,IF(ACOMPANHAMENTO="BM",ROUND(OFFSET(ORÇAMENTO!AJ$15,ROW(H95)-ROW(H$15),0),15-13*ORÇAMENTO!$AF$7),SUMPRODUCT(($Q$12:$AI$12&lt;&gt;"")*ROUND($Q95:$AI95,15-13*ORÇAMENTO!$AF$7))))</f>
        <v>111.58</v>
      </c>
      <c r="I95" s="561" t="s">
        <v>1107</v>
      </c>
      <c r="K95" s="174"/>
      <c r="L95" s="175" t="s">
        <v>255</v>
      </c>
      <c r="M95" s="176">
        <f ca="1">IF($D95&lt;&gt;"Serviço","",IF(AUTOEVENTO="manual",$A95,IF(ISERROR(MATCH($A95,$A$15:OFFSET($A95,-1,0),0)),MAX($M$15:OFFSET(M95,-1,0))+1,INDEX($M$15:OFFSET(M95,-1,0),MATCH($A95,$A$15:OFFSET($A95,-1,0),0)))))</f>
        <v>14</v>
      </c>
      <c r="N95" s="177" t="str">
        <f ca="1">IF($D95&lt;&gt;"Serviço","",IF(AUTOEVENTO="Manual",IF($A95=0,"&lt;-- defina o número do agrupador",OFFSET(EVENTOS!$D$14,$A95,0)),OFFSET($F$15,$A95,0)))</f>
        <v>PAVIMENTAÇÃO INTERNA - PISO DE CONCRETO 8 CM</v>
      </c>
      <c r="O95" s="178"/>
      <c r="Q95" s="178">
        <v>111.58</v>
      </c>
      <c r="R95" s="179"/>
      <c r="S95" s="179"/>
      <c r="T95" s="179"/>
      <c r="U95" s="179"/>
      <c r="V95" s="179"/>
      <c r="W95" s="179"/>
      <c r="X95" s="179"/>
      <c r="Y95" s="179"/>
      <c r="Z95" s="180"/>
      <c r="AA95" s="179"/>
      <c r="AB95" s="179"/>
      <c r="AC95" s="179"/>
      <c r="AD95" s="179"/>
      <c r="AE95" s="179"/>
      <c r="AF95" s="179"/>
      <c r="AG95" s="179"/>
      <c r="AH95" s="180"/>
      <c r="AJ95" s="544">
        <f ca="1">IF(AND($D95="Serviço",AJ$12&lt;&gt;0,$H95&gt;0,OR(AUTOEVENTO&lt;&gt;"manual",$M95&lt;&gt;1)),
IF(Import.TipoArredondamento&lt;&gt;"TransfereGOV",
ROUND(OFFSET($P95,0,AJ$13),15-13*ORÇAMENTO!$AF$7)/$H95*OFFSET(ORÇAMENTO!$X$15,ROW(AJ95)-ROW(AJ$15),0),
ROUND(ROUND(OFFSET($P95,0,AJ$13),15-13*ORÇAMENTO!$AF$7)*OFFSET(ORÇAMENTO!$W$15,ROW(AJ95)-ROW(AJ$15),0),15-13*ORÇAMENTO!$AF$11)),0)</f>
        <v>0</v>
      </c>
      <c r="AK95" s="545">
        <f ca="1">IF(AND($D95="Serviço",AK$12&lt;&gt;0,$H95&gt;0,OR(AUTOEVENTO&lt;&gt;"manual",$M95&lt;&gt;1)),
IF(Import.TipoArredondamento&lt;&gt;"TransfereGOV",
ROUND(OFFSET($P95,0,AK$13),15-13*ORÇAMENTO!$AF$7)/$H95*OFFSET(ORÇAMENTO!$X$15,ROW(AK95)-ROW(AK$15),0),
ROUND(ROUND(OFFSET($P95,0,AK$13),15-13*ORÇAMENTO!$AF$7)*OFFSET(ORÇAMENTO!$W$15,ROW(AK95)-ROW(AK$15),0),15-13*ORÇAMENTO!$AF$11)),0)</f>
        <v>0</v>
      </c>
      <c r="AL95" s="545">
        <f ca="1">IF(AND($D95="Serviço",AL$12&lt;&gt;0,$H95&gt;0,OR(AUTOEVENTO&lt;&gt;"manual",$M95&lt;&gt;1)),
IF(Import.TipoArredondamento&lt;&gt;"TransfereGOV",
ROUND(OFFSET($P95,0,AL$13),15-13*ORÇAMENTO!$AF$7)/$H95*OFFSET(ORÇAMENTO!$X$15,ROW(AL95)-ROW(AL$15),0),
ROUND(ROUND(OFFSET($P95,0,AL$13),15-13*ORÇAMENTO!$AF$7)*OFFSET(ORÇAMENTO!$W$15,ROW(AL95)-ROW(AL$15),0),15-13*ORÇAMENTO!$AF$11)),0)</f>
        <v>0</v>
      </c>
      <c r="AM95" s="545">
        <f ca="1">IF(AND($D95="Serviço",AM$12&lt;&gt;0,$H95&gt;0,OR(AUTOEVENTO&lt;&gt;"manual",$M95&lt;&gt;1)),
IF(Import.TipoArredondamento&lt;&gt;"TransfereGOV",
ROUND(OFFSET($P95,0,AM$13),15-13*ORÇAMENTO!$AF$7)/$H95*OFFSET(ORÇAMENTO!$X$15,ROW(AM95)-ROW(AM$15),0),
ROUND(ROUND(OFFSET($P95,0,AM$13),15-13*ORÇAMENTO!$AF$7)*OFFSET(ORÇAMENTO!$W$15,ROW(AM95)-ROW(AM$15),0),15-13*ORÇAMENTO!$AF$11)),0)</f>
        <v>0</v>
      </c>
      <c r="AN95" s="545">
        <f ca="1">IF(AND($D95="Serviço",AN$12&lt;&gt;0,$H95&gt;0,OR(AUTOEVENTO&lt;&gt;"manual",$M95&lt;&gt;1)),
IF(Import.TipoArredondamento&lt;&gt;"TransfereGOV",
ROUND(OFFSET($P95,0,AN$13),15-13*ORÇAMENTO!$AF$7)/$H95*OFFSET(ORÇAMENTO!$X$15,ROW(AN95)-ROW(AN$15),0),
ROUND(ROUND(OFFSET($P95,0,AN$13),15-13*ORÇAMENTO!$AF$7)*OFFSET(ORÇAMENTO!$W$15,ROW(AN95)-ROW(AN$15),0),15-13*ORÇAMENTO!$AF$11)),0)</f>
        <v>0</v>
      </c>
      <c r="AO95" s="545">
        <f ca="1">IF(AND($D95="Serviço",AO$12&lt;&gt;0,$H95&gt;0,OR(AUTOEVENTO&lt;&gt;"manual",$M95&lt;&gt;1)),
IF(Import.TipoArredondamento&lt;&gt;"TransfereGOV",
ROUND(OFFSET($P95,0,AO$13),15-13*ORÇAMENTO!$AF$7)/$H95*OFFSET(ORÇAMENTO!$X$15,ROW(AO95)-ROW(AO$15),0),
ROUND(ROUND(OFFSET($P95,0,AO$13),15-13*ORÇAMENTO!$AF$7)*OFFSET(ORÇAMENTO!$W$15,ROW(AO95)-ROW(AO$15),0),15-13*ORÇAMENTO!$AF$11)),0)</f>
        <v>0</v>
      </c>
      <c r="AP95" s="545">
        <f ca="1">IF(AND($D95="Serviço",AP$12&lt;&gt;0,$H95&gt;0,OR(AUTOEVENTO&lt;&gt;"manual",$M95&lt;&gt;1)),
IF(Import.TipoArredondamento&lt;&gt;"TransfereGOV",
ROUND(OFFSET($P95,0,AP$13),15-13*ORÇAMENTO!$AF$7)/$H95*OFFSET(ORÇAMENTO!$X$15,ROW(AP95)-ROW(AP$15),0),
ROUND(ROUND(OFFSET($P95,0,AP$13),15-13*ORÇAMENTO!$AF$7)*OFFSET(ORÇAMENTO!$W$15,ROW(AP95)-ROW(AP$15),0),15-13*ORÇAMENTO!$AF$11)),0)</f>
        <v>0</v>
      </c>
      <c r="AQ95" s="545">
        <f ca="1">IF(AND($D95="Serviço",AQ$12&lt;&gt;0,$H95&gt;0,OR(AUTOEVENTO&lt;&gt;"manual",$M95&lt;&gt;1)),
IF(Import.TipoArredondamento&lt;&gt;"TransfereGOV",
ROUND(OFFSET($P95,0,AQ$13),15-13*ORÇAMENTO!$AF$7)/$H95*OFFSET(ORÇAMENTO!$X$15,ROW(AQ95)-ROW(AQ$15),0),
ROUND(ROUND(OFFSET($P95,0,AQ$13),15-13*ORÇAMENTO!$AF$7)*OFFSET(ORÇAMENTO!$W$15,ROW(AQ95)-ROW(AQ$15),0),15-13*ORÇAMENTO!$AF$11)),0)</f>
        <v>0</v>
      </c>
      <c r="AR95" s="545">
        <f ca="1">IF(AND($D95="Serviço",AR$12&lt;&gt;0,$H95&gt;0,OR(AUTOEVENTO&lt;&gt;"manual",$M95&lt;&gt;1)),
IF(Import.TipoArredondamento&lt;&gt;"TransfereGOV",
ROUND(OFFSET($P95,0,AR$13),15-13*ORÇAMENTO!$AF$7)/$H95*OFFSET(ORÇAMENTO!$X$15,ROW(AR95)-ROW(AR$15),0),
ROUND(ROUND(OFFSET($P95,0,AR$13),15-13*ORÇAMENTO!$AF$7)*OFFSET(ORÇAMENTO!$W$15,ROW(AR95)-ROW(AR$15),0),15-13*ORÇAMENTO!$AF$11)),0)</f>
        <v>0</v>
      </c>
      <c r="AS95" s="546">
        <f ca="1">IF(AND($D95="Serviço",AS$12&lt;&gt;0,$H95&gt;0,OR(AUTOEVENTO&lt;&gt;"manual",$M95&lt;&gt;1)),
IF(Import.TipoArredondamento&lt;&gt;"TransfereGOV",
ROUND(OFFSET($P95,0,AS$13),15-13*ORÇAMENTO!$AF$7)/$H95*OFFSET(ORÇAMENTO!$X$15,ROW(AS95)-ROW(AS$15),0),
ROUND(ROUND(OFFSET($P95,0,AS$13),15-13*ORÇAMENTO!$AF$7)*OFFSET(ORÇAMENTO!$W$15,ROW(AS95)-ROW(AS$15),0),15-13*ORÇAMENTO!$AF$11)),0)</f>
        <v>0</v>
      </c>
      <c r="AT95" s="545">
        <f ca="1">IF(AND($D95="Serviço",AT$12&lt;&gt;0,$H95&gt;0,OR(AUTOEVENTO&lt;&gt;"manual",$M95&lt;&gt;1)),
IF(Import.TipoArredondamento&lt;&gt;"TransfereGOV",
ROUND(OFFSET($P95,0,AT$13),15-13*ORÇAMENTO!$AF$7)/$H95*OFFSET(ORÇAMENTO!$X$15,ROW(AT95)-ROW(AT$15),0),
ROUND(ROUND(OFFSET($P95,0,AT$13),15-13*ORÇAMENTO!$AF$7)*OFFSET(ORÇAMENTO!$W$15,ROW(AT95)-ROW(AT$15),0),15-13*ORÇAMENTO!$AF$11)),0)</f>
        <v>0</v>
      </c>
      <c r="AU95" s="545">
        <f ca="1">IF(AND($D95="Serviço",AU$12&lt;&gt;0,$H95&gt;0,OR(AUTOEVENTO&lt;&gt;"manual",$M95&lt;&gt;1)),
IF(Import.TipoArredondamento&lt;&gt;"TransfereGOV",
ROUND(OFFSET($P95,0,AU$13),15-13*ORÇAMENTO!$AF$7)/$H95*OFFSET(ORÇAMENTO!$X$15,ROW(AU95)-ROW(AU$15),0),
ROUND(ROUND(OFFSET($P95,0,AU$13),15-13*ORÇAMENTO!$AF$7)*OFFSET(ORÇAMENTO!$W$15,ROW(AU95)-ROW(AU$15),0),15-13*ORÇAMENTO!$AF$11)),0)</f>
        <v>0</v>
      </c>
      <c r="AV95" s="545">
        <f ca="1">IF(AND($D95="Serviço",AV$12&lt;&gt;0,$H95&gt;0,OR(AUTOEVENTO&lt;&gt;"manual",$M95&lt;&gt;1)),
IF(Import.TipoArredondamento&lt;&gt;"TransfereGOV",
ROUND(OFFSET($P95,0,AV$13),15-13*ORÇAMENTO!$AF$7)/$H95*OFFSET(ORÇAMENTO!$X$15,ROW(AV95)-ROW(AV$15),0),
ROUND(ROUND(OFFSET($P95,0,AV$13),15-13*ORÇAMENTO!$AF$7)*OFFSET(ORÇAMENTO!$W$15,ROW(AV95)-ROW(AV$15),0),15-13*ORÇAMENTO!$AF$11)),0)</f>
        <v>0</v>
      </c>
      <c r="AW95" s="545">
        <f ca="1">IF(AND($D95="Serviço",AW$12&lt;&gt;0,$H95&gt;0,OR(AUTOEVENTO&lt;&gt;"manual",$M95&lt;&gt;1)),
IF(Import.TipoArredondamento&lt;&gt;"TransfereGOV",
ROUND(OFFSET($P95,0,AW$13),15-13*ORÇAMENTO!$AF$7)/$H95*OFFSET(ORÇAMENTO!$X$15,ROW(AW95)-ROW(AW$15),0),
ROUND(ROUND(OFFSET($P95,0,AW$13),15-13*ORÇAMENTO!$AF$7)*OFFSET(ORÇAMENTO!$W$15,ROW(AW95)-ROW(AW$15),0),15-13*ORÇAMENTO!$AF$11)),0)</f>
        <v>0</v>
      </c>
      <c r="AX95" s="545">
        <f ca="1">IF(AND($D95="Serviço",AX$12&lt;&gt;0,$H95&gt;0,OR(AUTOEVENTO&lt;&gt;"manual",$M95&lt;&gt;1)),
IF(Import.TipoArredondamento&lt;&gt;"TransfereGOV",
ROUND(OFFSET($P95,0,AX$13),15-13*ORÇAMENTO!$AF$7)/$H95*OFFSET(ORÇAMENTO!$X$15,ROW(AX95)-ROW(AX$15),0),
ROUND(ROUND(OFFSET($P95,0,AX$13),15-13*ORÇAMENTO!$AF$7)*OFFSET(ORÇAMENTO!$W$15,ROW(AX95)-ROW(AX$15),0),15-13*ORÇAMENTO!$AF$11)),0)</f>
        <v>0</v>
      </c>
      <c r="AY95" s="545">
        <f ca="1">IF(AND($D95="Serviço",AY$12&lt;&gt;0,$H95&gt;0,OR(AUTOEVENTO&lt;&gt;"manual",$M95&lt;&gt;1)),
IF(Import.TipoArredondamento&lt;&gt;"TransfereGOV",
ROUND(OFFSET($P95,0,AY$13),15-13*ORÇAMENTO!$AF$7)/$H95*OFFSET(ORÇAMENTO!$X$15,ROW(AY95)-ROW(AY$15),0),
ROUND(ROUND(OFFSET($P95,0,AY$13),15-13*ORÇAMENTO!$AF$7)*OFFSET(ORÇAMENTO!$W$15,ROW(AY95)-ROW(AY$15),0),15-13*ORÇAMENTO!$AF$11)),0)</f>
        <v>0</v>
      </c>
      <c r="AZ95" s="545">
        <f ca="1">IF(AND($D95="Serviço",AZ$12&lt;&gt;0,$H95&gt;0,OR(AUTOEVENTO&lt;&gt;"manual",$M95&lt;&gt;1)),
IF(Import.TipoArredondamento&lt;&gt;"TransfereGOV",
ROUND(OFFSET($P95,0,AZ$13),15-13*ORÇAMENTO!$AF$7)/$H95*OFFSET(ORÇAMENTO!$X$15,ROW(AZ95)-ROW(AZ$15),0),
ROUND(ROUND(OFFSET($P95,0,AZ$13),15-13*ORÇAMENTO!$AF$7)*OFFSET(ORÇAMENTO!$W$15,ROW(AZ95)-ROW(AZ$15),0),15-13*ORÇAMENTO!$AF$11)),0)</f>
        <v>0</v>
      </c>
      <c r="BA95" s="546">
        <f ca="1">IF(AND($D95="Serviço",BA$12&lt;&gt;0,$H95&gt;0,OR(AUTOEVENTO&lt;&gt;"manual",$M95&lt;&gt;1)),
IF(Import.TipoArredondamento&lt;&gt;"TransfereGOV",
ROUND(OFFSET($P95,0,BA$13),15-13*ORÇAMENTO!$AF$7)/$H95*OFFSET(ORÇAMENTO!$X$15,ROW(BA95)-ROW(BA$15),0),
ROUND(ROUND(OFFSET($P95,0,BA$13),15-13*ORÇAMENTO!$AF$7)*OFFSET(ORÇAMENTO!$W$15,ROW(BA95)-ROW(BA$15),0),15-13*ORÇAMENTO!$AF$11)),0)</f>
        <v>0</v>
      </c>
      <c r="BC95" s="181">
        <f ca="1">IF($D95&lt;&gt;"Serviço",0,IF(AND(AUTOEVENTO="Manual",$M95=1),0,IF(OFFSET(CRONOPLE!$F$14,$M95,BC$13)="",10^12,OFFSET(CRONOPLE!$F$14,$M95,BC$13))))</f>
        <v>4</v>
      </c>
      <c r="BD95" s="181">
        <f ca="1">IF($D95&lt;&gt;"Serviço",0,IF(AND(AUTOEVENTO="Manual",$M95=1),0,IF(OFFSET(CRONOPLE!$F$14,$M95,BD$13)="",10^12,OFFSET(CRONOPLE!$F$14,$M95,BD$13))))</f>
        <v>1000000000000</v>
      </c>
      <c r="BE95" s="181">
        <f ca="1">IF($D95&lt;&gt;"Serviço",0,IF(AND(AUTOEVENTO="Manual",$M95=1),0,IF(OFFSET(CRONOPLE!$F$14,$M95,BE$13)="",10^12,OFFSET(CRONOPLE!$F$14,$M95,BE$13))))</f>
        <v>1000000000000</v>
      </c>
      <c r="BF95" s="181">
        <f ca="1">IF($D95&lt;&gt;"Serviço",0,IF(AND(AUTOEVENTO="Manual",$M95=1),0,IF(OFFSET(CRONOPLE!$F$14,$M95,BF$13)="",10^12,OFFSET(CRONOPLE!$F$14,$M95,BF$13))))</f>
        <v>1000000000000</v>
      </c>
      <c r="BG95" s="181">
        <f ca="1">IF($D95&lt;&gt;"Serviço",0,IF(AND(AUTOEVENTO="Manual",$M95=1),0,IF(OFFSET(CRONOPLE!$F$14,$M95,BG$13)="",10^12,OFFSET(CRONOPLE!$F$14,$M95,BG$13))))</f>
        <v>1000000000000</v>
      </c>
      <c r="BH95" s="181">
        <f ca="1">IF($D95&lt;&gt;"Serviço",0,IF(AND(AUTOEVENTO="Manual",$M95=1),0,IF(OFFSET(CRONOPLE!$F$14,$M95,BH$13)="",10^12,OFFSET(CRONOPLE!$F$14,$M95,BH$13))))</f>
        <v>1000000000000</v>
      </c>
      <c r="BI95" s="181">
        <f ca="1">IF($D95&lt;&gt;"Serviço",0,IF(AND(AUTOEVENTO="Manual",$M95=1),0,IF(OFFSET(CRONOPLE!$F$14,$M95,BI$13)="",10^12,OFFSET(CRONOPLE!$F$14,$M95,BI$13))))</f>
        <v>1000000000000</v>
      </c>
      <c r="BJ95" s="181">
        <f ca="1">IF($D95&lt;&gt;"Serviço",0,IF(AND(AUTOEVENTO="Manual",$M95=1),0,IF(OFFSET(CRONOPLE!$F$14,$M95,BJ$13)="",10^12,OFFSET(CRONOPLE!$F$14,$M95,BJ$13))))</f>
        <v>1000000000000</v>
      </c>
      <c r="BK95" s="181">
        <f ca="1">IF($D95&lt;&gt;"Serviço",0,IF(AND(AUTOEVENTO="Manual",$M95=1),0,IF(OFFSET(CRONOPLE!$F$14,$M95,BK$13)="",10^12,OFFSET(CRONOPLE!$F$14,$M95,BK$13))))</f>
        <v>1000000000000</v>
      </c>
      <c r="BL95" s="181">
        <f ca="1">IF($D95&lt;&gt;"Serviço",0,IF(AND(AUTOEVENTO="Manual",$M95=1),0,IF(OFFSET(CRONOPLE!$F$14,$M95,BL$13)="",10^12,OFFSET(CRONOPLE!$F$14,$M95,BL$13))))</f>
        <v>1000000000000</v>
      </c>
      <c r="BM95" s="181">
        <f ca="1">IF($D95&lt;&gt;"Serviço",0,IF(AND(AUTOEVENTO="Manual",$M95=1),0,IF(OFFSET(CRONOPLE!$F$14,$M95,BM$13)="",10^12,OFFSET(CRONOPLE!$F$14,$M95,BM$13))))</f>
        <v>1000000000000</v>
      </c>
      <c r="BN95" s="181">
        <f ca="1">IF($D95&lt;&gt;"Serviço",0,IF(AND(AUTOEVENTO="Manual",$M95=1),0,IF(OFFSET(CRONOPLE!$F$14,$M95,BN$13)="",10^12,OFFSET(CRONOPLE!$F$14,$M95,BN$13))))</f>
        <v>1000000000000</v>
      </c>
      <c r="BO95" s="181">
        <f ca="1">IF($D95&lt;&gt;"Serviço",0,IF(AND(AUTOEVENTO="Manual",$M95=1),0,IF(OFFSET(CRONOPLE!$F$14,$M95,BO$13)="",10^12,OFFSET(CRONOPLE!$F$14,$M95,BO$13))))</f>
        <v>1000000000000</v>
      </c>
      <c r="BP95" s="181">
        <f ca="1">IF($D95&lt;&gt;"Serviço",0,IF(AND(AUTOEVENTO="Manual",$M95=1),0,IF(OFFSET(CRONOPLE!$F$14,$M95,BP$13)="",10^12,OFFSET(CRONOPLE!$F$14,$M95,BP$13))))</f>
        <v>1000000000000</v>
      </c>
      <c r="BQ95" s="181">
        <f ca="1">IF($D95&lt;&gt;"Serviço",0,IF(AND(AUTOEVENTO="Manual",$M95=1),0,IF(OFFSET(CRONOPLE!$F$14,$M95,BQ$13)="",10^12,OFFSET(CRONOPLE!$F$14,$M95,BQ$13))))</f>
        <v>1000000000000</v>
      </c>
      <c r="BR95" s="181">
        <f ca="1">IF($D95&lt;&gt;"Serviço",0,IF(AND(AUTOEVENTO="Manual",$M95=1),0,IF(OFFSET(CRONOPLE!$F$14,$M95,BR$13)="",10^12,OFFSET(CRONOPLE!$F$14,$M95,BR$13))))</f>
        <v>1000000000000</v>
      </c>
      <c r="BS95" s="181">
        <f ca="1">IF($D95&lt;&gt;"Serviço",0,IF(AND(AUTOEVENTO="Manual",$M95=1),0,IF(OFFSET(CRONOPLE!$F$14,$M95,BS$13)="",10^12,OFFSET(CRONOPLE!$F$14,$M95,BS$13))))</f>
        <v>1000000000000</v>
      </c>
      <c r="BT95" s="181">
        <f ca="1">IF($D95&lt;&gt;"Serviço",0,IF(AND(AUTOEVENTO="Manual",$M95=1),0,IF(OFFSET(CRONOPLE!$F$14,$M95,BT$13)="",10^12,OFFSET(CRONOPLE!$F$14,$M95,BT$13))))</f>
        <v>1000000000000</v>
      </c>
      <c r="BV95" s="182">
        <f ca="1">IF($D95&lt;&gt;"Serviço",0,IF(OR(AND(AUTOEVENTO="Manual",$M95=1),$M95&gt;(ROW(PLE.lastrow)-ROW(PLE.firstrow))),0,IF(OFFSET(PLE!$G$14,$M95,BV$13)="",10^12,OFFSET(PLE!$G$14,$M95,BV$13))))</f>
        <v>1000000000000</v>
      </c>
      <c r="BW95" s="182">
        <f ca="1">IF($D95&lt;&gt;"Serviço",0,IF(OR(AND(AUTOEVENTO="Manual",$M95=1),$M95&gt;(ROW(PLE.lastrow)-ROW(PLE.firstrow))),0,IF(OFFSET(PLE!$G$14,$M95,BW$13)="",10^12,OFFSET(PLE!$G$14,$M95,BW$13))))</f>
        <v>1000000000000</v>
      </c>
      <c r="BX95" s="182">
        <f ca="1">IF($D95&lt;&gt;"Serviço",0,IF(OR(AND(AUTOEVENTO="Manual",$M95=1),$M95&gt;(ROW(PLE.lastrow)-ROW(PLE.firstrow))),0,IF(OFFSET(PLE!$G$14,$M95,BX$13)="",10^12,OFFSET(PLE!$G$14,$M95,BX$13))))</f>
        <v>1000000000000</v>
      </c>
      <c r="BY95" s="182">
        <f ca="1">IF($D95&lt;&gt;"Serviço",0,IF(OR(AND(AUTOEVENTO="Manual",$M95=1),$M95&gt;(ROW(PLE.lastrow)-ROW(PLE.firstrow))),0,IF(OFFSET(PLE!$G$14,$M95,BY$13)="",10^12,OFFSET(PLE!$G$14,$M95,BY$13))))</f>
        <v>1000000000000</v>
      </c>
      <c r="BZ95" s="182">
        <f ca="1">IF($D95&lt;&gt;"Serviço",0,IF(OR(AND(AUTOEVENTO="Manual",$M95=1),$M95&gt;(ROW(PLE.lastrow)-ROW(PLE.firstrow))),0,IF(OFFSET(PLE!$G$14,$M95,BZ$13)="",10^12,OFFSET(PLE!$G$14,$M95,BZ$13))))</f>
        <v>1000000000000</v>
      </c>
      <c r="CA95" s="182">
        <f ca="1">IF($D95&lt;&gt;"Serviço",0,IF(OR(AND(AUTOEVENTO="Manual",$M95=1),$M95&gt;(ROW(PLE.lastrow)-ROW(PLE.firstrow))),0,IF(OFFSET(PLE!$G$14,$M95,CA$13)="",10^12,OFFSET(PLE!$G$14,$M95,CA$13))))</f>
        <v>1000000000000</v>
      </c>
      <c r="CB95" s="182">
        <f ca="1">IF($D95&lt;&gt;"Serviço",0,IF(OR(AND(AUTOEVENTO="Manual",$M95=1),$M95&gt;(ROW(PLE.lastrow)-ROW(PLE.firstrow))),0,IF(OFFSET(PLE!$G$14,$M95,CB$13)="",10^12,OFFSET(PLE!$G$14,$M95,CB$13))))</f>
        <v>1000000000000</v>
      </c>
      <c r="CC95" s="182">
        <f ca="1">IF($D95&lt;&gt;"Serviço",0,IF(OR(AND(AUTOEVENTO="Manual",$M95=1),$M95&gt;(ROW(PLE.lastrow)-ROW(PLE.firstrow))),0,IF(OFFSET(PLE!$G$14,$M95,CC$13)="",10^12,OFFSET(PLE!$G$14,$M95,CC$13))))</f>
        <v>1000000000000</v>
      </c>
      <c r="CD95" s="182">
        <f ca="1">IF($D95&lt;&gt;"Serviço",0,IF(OR(AND(AUTOEVENTO="Manual",$M95=1),$M95&gt;(ROW(PLE.lastrow)-ROW(PLE.firstrow))),0,IF(OFFSET(PLE!$G$14,$M95,CD$13)="",10^12,OFFSET(PLE!$G$14,$M95,CD$13))))</f>
        <v>1000000000000</v>
      </c>
      <c r="CE95" s="182">
        <f ca="1">IF($D95&lt;&gt;"Serviço",0,IF(OR(AND(AUTOEVENTO="Manual",$M95=1),$M95&gt;(ROW(PLE.lastrow)-ROW(PLE.firstrow))),0,IF(OFFSET(PLE!$G$14,$M95,CE$13)="",10^12,OFFSET(PLE!$G$14,$M95,CE$13))))</f>
        <v>1000000000000</v>
      </c>
      <c r="CF95" s="182">
        <f ca="1">IF($D95&lt;&gt;"Serviço",0,IF(OR(AND(AUTOEVENTO="Manual",$M95=1),$M95&gt;(ROW(PLE.lastrow)-ROW(PLE.firstrow))),0,IF(OFFSET(PLE!$G$14,$M95,CF$13)="",10^12,OFFSET(PLE!$G$14,$M95,CF$13))))</f>
        <v>1000000000000</v>
      </c>
      <c r="CG95" s="182">
        <f ca="1">IF($D95&lt;&gt;"Serviço",0,IF(OR(AND(AUTOEVENTO="Manual",$M95=1),$M95&gt;(ROW(PLE.lastrow)-ROW(PLE.firstrow))),0,IF(OFFSET(PLE!$G$14,$M95,CG$13)="",10^12,OFFSET(PLE!$G$14,$M95,CG$13))))</f>
        <v>1000000000000</v>
      </c>
      <c r="CH95" s="182">
        <f ca="1">IF($D95&lt;&gt;"Serviço",0,IF(OR(AND(AUTOEVENTO="Manual",$M95=1),$M95&gt;(ROW(PLE.lastrow)-ROW(PLE.firstrow))),0,IF(OFFSET(PLE!$G$14,$M95,CH$13)="",10^12,OFFSET(PLE!$G$14,$M95,CH$13))))</f>
        <v>1000000000000</v>
      </c>
      <c r="CI95" s="182">
        <f ca="1">IF($D95&lt;&gt;"Serviço",0,IF(OR(AND(AUTOEVENTO="Manual",$M95=1),$M95&gt;(ROW(PLE.lastrow)-ROW(PLE.firstrow))),0,IF(OFFSET(PLE!$G$14,$M95,CI$13)="",10^12,OFFSET(PLE!$G$14,$M95,CI$13))))</f>
        <v>1000000000000</v>
      </c>
      <c r="CJ95" s="182">
        <f ca="1">IF($D95&lt;&gt;"Serviço",0,IF(OR(AND(AUTOEVENTO="Manual",$M95=1),$M95&gt;(ROW(PLE.lastrow)-ROW(PLE.firstrow))),0,IF(OFFSET(PLE!$G$14,$M95,CJ$13)="",10^12,OFFSET(PLE!$G$14,$M95,CJ$13))))</f>
        <v>1000000000000</v>
      </c>
      <c r="CK95" s="182">
        <f ca="1">IF($D95&lt;&gt;"Serviço",0,IF(OR(AND(AUTOEVENTO="Manual",$M95=1),$M95&gt;(ROW(PLE.lastrow)-ROW(PLE.firstrow))),0,IF(OFFSET(PLE!$G$14,$M95,CK$13)="",10^12,OFFSET(PLE!$G$14,$M95,CK$13))))</f>
        <v>1000000000000</v>
      </c>
      <c r="CL95" s="182">
        <f ca="1">IF($D95&lt;&gt;"Serviço",0,IF(OR(AND(AUTOEVENTO="Manual",$M95=1),$M95&gt;(ROW(PLE.lastrow)-ROW(PLE.firstrow))),0,IF(OFFSET(PLE!$G$14,$M95,CL$13)="",10^12,OFFSET(PLE!$G$14,$M95,CL$13))))</f>
        <v>1000000000000</v>
      </c>
      <c r="CM95" s="182">
        <f ca="1">IF($D95&lt;&gt;"Serviço",0,IF(OR(AND(AUTOEVENTO="Manual",$M95=1),$M95&gt;(ROW(PLE.lastrow)-ROW(PLE.firstrow))),0,IF(OFFSET(PLE!$G$14,$M95,CM$13)="",10^12,OFFSET(PLE!$G$14,$M95,CM$13))))</f>
        <v>1000000000000</v>
      </c>
    </row>
    <row r="96" spans="1:91" ht="12.75" x14ac:dyDescent="0.2">
      <c r="A96" s="7" t="str">
        <f t="shared" ca="1" si="10"/>
        <v>81.</v>
      </c>
      <c r="B96" s="7">
        <f ca="1">OFFSET(ORÇAMENTO!C$15,ROW(B96)-ROW(B$15),0)</f>
        <v>2</v>
      </c>
      <c r="C96" s="7" t="str">
        <f ca="1">OFFSET(ORÇAMENTO!L$15,ROW(C96)-ROW(C$15),0)</f>
        <v>F</v>
      </c>
      <c r="D96" s="118" t="str">
        <f ca="1">OFFSET(ORÇAMENTO!N$15,ROW(D96)-ROW(D$15),0)</f>
        <v>Nível 2</v>
      </c>
      <c r="E96" s="119" t="str">
        <f ca="1">OFFSET(ORÇAMENTO!O$15,ROW(E96)-ROW(E$15),0)</f>
        <v>1.14.</v>
      </c>
      <c r="F96" s="172" t="str">
        <f ca="1">OFFSET(ORÇAMENTO!R$15,ROW(F96)-ROW(F$15),0)</f>
        <v>PAVIMENTAÇÃO EXTERNA - CALÇADA DE PISO DE CONCRETO 7 CM</v>
      </c>
      <c r="G96" s="173" t="str">
        <f ca="1">IF($D96&lt;&gt;"Serviço","",OFFSET(ORÇAMENTO!S$15,ROW(G96)-ROW(G$15),0))</f>
        <v/>
      </c>
      <c r="H96" s="124">
        <f ca="1">IF($D96&lt;&gt;"Serviço",0,IF(ACOMPANHAMENTO="BM",ROUND(OFFSET(ORÇAMENTO!AJ$15,ROW(H96)-ROW(H$15),0),15-13*ORÇAMENTO!$AF$7),SUMPRODUCT(($Q$12:$AI$12&lt;&gt;"")*ROUND($Q96:$AI96,15-13*ORÇAMENTO!$AF$7))))</f>
        <v>0</v>
      </c>
      <c r="I96" s="561"/>
      <c r="K96" s="174"/>
      <c r="L96" s="175" t="s">
        <v>255</v>
      </c>
      <c r="M96" s="176" t="str">
        <f ca="1">IF($D96&lt;&gt;"Serviço","",IF(AUTOEVENTO="manual",$A96,IF(ISERROR(MATCH($A96,$A$15:OFFSET($A96,-1,0),0)),MAX($M$15:OFFSET(M96,-1,0))+1,INDEX($M$15:OFFSET(M96,-1,0),MATCH($A96,$A$15:OFFSET($A96,-1,0),0)))))</f>
        <v/>
      </c>
      <c r="N96" s="177" t="str">
        <f ca="1">IF($D96&lt;&gt;"Serviço","",IF(AUTOEVENTO="Manual",IF($A96=0,"&lt;-- defina o número do agrupador",OFFSET(EVENTOS!$D$14,$A96,0)),OFFSET($F$15,$A96,0)))</f>
        <v/>
      </c>
      <c r="O96" s="178"/>
      <c r="Q96" s="178">
        <v>0</v>
      </c>
      <c r="R96" s="179"/>
      <c r="S96" s="179"/>
      <c r="T96" s="179"/>
      <c r="U96" s="179"/>
      <c r="V96" s="179"/>
      <c r="W96" s="179"/>
      <c r="X96" s="179"/>
      <c r="Y96" s="179"/>
      <c r="Z96" s="180"/>
      <c r="AA96" s="179"/>
      <c r="AB96" s="179"/>
      <c r="AC96" s="179"/>
      <c r="AD96" s="179"/>
      <c r="AE96" s="179"/>
      <c r="AF96" s="179"/>
      <c r="AG96" s="179"/>
      <c r="AH96" s="180"/>
      <c r="AJ96" s="544">
        <f ca="1">IF(AND($D96="Serviço",AJ$12&lt;&gt;0,$H96&gt;0,OR(AUTOEVENTO&lt;&gt;"manual",$M96&lt;&gt;1)),
IF(Import.TipoArredondamento&lt;&gt;"TransfereGOV",
ROUND(OFFSET($P96,0,AJ$13),15-13*ORÇAMENTO!$AF$7)/$H96*OFFSET(ORÇAMENTO!$X$15,ROW(AJ96)-ROW(AJ$15),0),
ROUND(ROUND(OFFSET($P96,0,AJ$13),15-13*ORÇAMENTO!$AF$7)*OFFSET(ORÇAMENTO!$W$15,ROW(AJ96)-ROW(AJ$15),0),15-13*ORÇAMENTO!$AF$11)),0)</f>
        <v>0</v>
      </c>
      <c r="AK96" s="545">
        <f ca="1">IF(AND($D96="Serviço",AK$12&lt;&gt;0,$H96&gt;0,OR(AUTOEVENTO&lt;&gt;"manual",$M96&lt;&gt;1)),
IF(Import.TipoArredondamento&lt;&gt;"TransfereGOV",
ROUND(OFFSET($P96,0,AK$13),15-13*ORÇAMENTO!$AF$7)/$H96*OFFSET(ORÇAMENTO!$X$15,ROW(AK96)-ROW(AK$15),0),
ROUND(ROUND(OFFSET($P96,0,AK$13),15-13*ORÇAMENTO!$AF$7)*OFFSET(ORÇAMENTO!$W$15,ROW(AK96)-ROW(AK$15),0),15-13*ORÇAMENTO!$AF$11)),0)</f>
        <v>0</v>
      </c>
      <c r="AL96" s="545">
        <f ca="1">IF(AND($D96="Serviço",AL$12&lt;&gt;0,$H96&gt;0,OR(AUTOEVENTO&lt;&gt;"manual",$M96&lt;&gt;1)),
IF(Import.TipoArredondamento&lt;&gt;"TransfereGOV",
ROUND(OFFSET($P96,0,AL$13),15-13*ORÇAMENTO!$AF$7)/$H96*OFFSET(ORÇAMENTO!$X$15,ROW(AL96)-ROW(AL$15),0),
ROUND(ROUND(OFFSET($P96,0,AL$13),15-13*ORÇAMENTO!$AF$7)*OFFSET(ORÇAMENTO!$W$15,ROW(AL96)-ROW(AL$15),0),15-13*ORÇAMENTO!$AF$11)),0)</f>
        <v>0</v>
      </c>
      <c r="AM96" s="545">
        <f ca="1">IF(AND($D96="Serviço",AM$12&lt;&gt;0,$H96&gt;0,OR(AUTOEVENTO&lt;&gt;"manual",$M96&lt;&gt;1)),
IF(Import.TipoArredondamento&lt;&gt;"TransfereGOV",
ROUND(OFFSET($P96,0,AM$13),15-13*ORÇAMENTO!$AF$7)/$H96*OFFSET(ORÇAMENTO!$X$15,ROW(AM96)-ROW(AM$15),0),
ROUND(ROUND(OFFSET($P96,0,AM$13),15-13*ORÇAMENTO!$AF$7)*OFFSET(ORÇAMENTO!$W$15,ROW(AM96)-ROW(AM$15),0),15-13*ORÇAMENTO!$AF$11)),0)</f>
        <v>0</v>
      </c>
      <c r="AN96" s="545">
        <f ca="1">IF(AND($D96="Serviço",AN$12&lt;&gt;0,$H96&gt;0,OR(AUTOEVENTO&lt;&gt;"manual",$M96&lt;&gt;1)),
IF(Import.TipoArredondamento&lt;&gt;"TransfereGOV",
ROUND(OFFSET($P96,0,AN$13),15-13*ORÇAMENTO!$AF$7)/$H96*OFFSET(ORÇAMENTO!$X$15,ROW(AN96)-ROW(AN$15),0),
ROUND(ROUND(OFFSET($P96,0,AN$13),15-13*ORÇAMENTO!$AF$7)*OFFSET(ORÇAMENTO!$W$15,ROW(AN96)-ROW(AN$15),0),15-13*ORÇAMENTO!$AF$11)),0)</f>
        <v>0</v>
      </c>
      <c r="AO96" s="545">
        <f ca="1">IF(AND($D96="Serviço",AO$12&lt;&gt;0,$H96&gt;0,OR(AUTOEVENTO&lt;&gt;"manual",$M96&lt;&gt;1)),
IF(Import.TipoArredondamento&lt;&gt;"TransfereGOV",
ROUND(OFFSET($P96,0,AO$13),15-13*ORÇAMENTO!$AF$7)/$H96*OFFSET(ORÇAMENTO!$X$15,ROW(AO96)-ROW(AO$15),0),
ROUND(ROUND(OFFSET($P96,0,AO$13),15-13*ORÇAMENTO!$AF$7)*OFFSET(ORÇAMENTO!$W$15,ROW(AO96)-ROW(AO$15),0),15-13*ORÇAMENTO!$AF$11)),0)</f>
        <v>0</v>
      </c>
      <c r="AP96" s="545">
        <f ca="1">IF(AND($D96="Serviço",AP$12&lt;&gt;0,$H96&gt;0,OR(AUTOEVENTO&lt;&gt;"manual",$M96&lt;&gt;1)),
IF(Import.TipoArredondamento&lt;&gt;"TransfereGOV",
ROUND(OFFSET($P96,0,AP$13),15-13*ORÇAMENTO!$AF$7)/$H96*OFFSET(ORÇAMENTO!$X$15,ROW(AP96)-ROW(AP$15),0),
ROUND(ROUND(OFFSET($P96,0,AP$13),15-13*ORÇAMENTO!$AF$7)*OFFSET(ORÇAMENTO!$W$15,ROW(AP96)-ROW(AP$15),0),15-13*ORÇAMENTO!$AF$11)),0)</f>
        <v>0</v>
      </c>
      <c r="AQ96" s="545">
        <f ca="1">IF(AND($D96="Serviço",AQ$12&lt;&gt;0,$H96&gt;0,OR(AUTOEVENTO&lt;&gt;"manual",$M96&lt;&gt;1)),
IF(Import.TipoArredondamento&lt;&gt;"TransfereGOV",
ROUND(OFFSET($P96,0,AQ$13),15-13*ORÇAMENTO!$AF$7)/$H96*OFFSET(ORÇAMENTO!$X$15,ROW(AQ96)-ROW(AQ$15),0),
ROUND(ROUND(OFFSET($P96,0,AQ$13),15-13*ORÇAMENTO!$AF$7)*OFFSET(ORÇAMENTO!$W$15,ROW(AQ96)-ROW(AQ$15),0),15-13*ORÇAMENTO!$AF$11)),0)</f>
        <v>0</v>
      </c>
      <c r="AR96" s="545">
        <f ca="1">IF(AND($D96="Serviço",AR$12&lt;&gt;0,$H96&gt;0,OR(AUTOEVENTO&lt;&gt;"manual",$M96&lt;&gt;1)),
IF(Import.TipoArredondamento&lt;&gt;"TransfereGOV",
ROUND(OFFSET($P96,0,AR$13),15-13*ORÇAMENTO!$AF$7)/$H96*OFFSET(ORÇAMENTO!$X$15,ROW(AR96)-ROW(AR$15),0),
ROUND(ROUND(OFFSET($P96,0,AR$13),15-13*ORÇAMENTO!$AF$7)*OFFSET(ORÇAMENTO!$W$15,ROW(AR96)-ROW(AR$15),0),15-13*ORÇAMENTO!$AF$11)),0)</f>
        <v>0</v>
      </c>
      <c r="AS96" s="546">
        <f ca="1">IF(AND($D96="Serviço",AS$12&lt;&gt;0,$H96&gt;0,OR(AUTOEVENTO&lt;&gt;"manual",$M96&lt;&gt;1)),
IF(Import.TipoArredondamento&lt;&gt;"TransfereGOV",
ROUND(OFFSET($P96,0,AS$13),15-13*ORÇAMENTO!$AF$7)/$H96*OFFSET(ORÇAMENTO!$X$15,ROW(AS96)-ROW(AS$15),0),
ROUND(ROUND(OFFSET($P96,0,AS$13),15-13*ORÇAMENTO!$AF$7)*OFFSET(ORÇAMENTO!$W$15,ROW(AS96)-ROW(AS$15),0),15-13*ORÇAMENTO!$AF$11)),0)</f>
        <v>0</v>
      </c>
      <c r="AT96" s="545">
        <f ca="1">IF(AND($D96="Serviço",AT$12&lt;&gt;0,$H96&gt;0,OR(AUTOEVENTO&lt;&gt;"manual",$M96&lt;&gt;1)),
IF(Import.TipoArredondamento&lt;&gt;"TransfereGOV",
ROUND(OFFSET($P96,0,AT$13),15-13*ORÇAMENTO!$AF$7)/$H96*OFFSET(ORÇAMENTO!$X$15,ROW(AT96)-ROW(AT$15),0),
ROUND(ROUND(OFFSET($P96,0,AT$13),15-13*ORÇAMENTO!$AF$7)*OFFSET(ORÇAMENTO!$W$15,ROW(AT96)-ROW(AT$15),0),15-13*ORÇAMENTO!$AF$11)),0)</f>
        <v>0</v>
      </c>
      <c r="AU96" s="545">
        <f ca="1">IF(AND($D96="Serviço",AU$12&lt;&gt;0,$H96&gt;0,OR(AUTOEVENTO&lt;&gt;"manual",$M96&lt;&gt;1)),
IF(Import.TipoArredondamento&lt;&gt;"TransfereGOV",
ROUND(OFFSET($P96,0,AU$13),15-13*ORÇAMENTO!$AF$7)/$H96*OFFSET(ORÇAMENTO!$X$15,ROW(AU96)-ROW(AU$15),0),
ROUND(ROUND(OFFSET($P96,0,AU$13),15-13*ORÇAMENTO!$AF$7)*OFFSET(ORÇAMENTO!$W$15,ROW(AU96)-ROW(AU$15),0),15-13*ORÇAMENTO!$AF$11)),0)</f>
        <v>0</v>
      </c>
      <c r="AV96" s="545">
        <f ca="1">IF(AND($D96="Serviço",AV$12&lt;&gt;0,$H96&gt;0,OR(AUTOEVENTO&lt;&gt;"manual",$M96&lt;&gt;1)),
IF(Import.TipoArredondamento&lt;&gt;"TransfereGOV",
ROUND(OFFSET($P96,0,AV$13),15-13*ORÇAMENTO!$AF$7)/$H96*OFFSET(ORÇAMENTO!$X$15,ROW(AV96)-ROW(AV$15),0),
ROUND(ROUND(OFFSET($P96,0,AV$13),15-13*ORÇAMENTO!$AF$7)*OFFSET(ORÇAMENTO!$W$15,ROW(AV96)-ROW(AV$15),0),15-13*ORÇAMENTO!$AF$11)),0)</f>
        <v>0</v>
      </c>
      <c r="AW96" s="545">
        <f ca="1">IF(AND($D96="Serviço",AW$12&lt;&gt;0,$H96&gt;0,OR(AUTOEVENTO&lt;&gt;"manual",$M96&lt;&gt;1)),
IF(Import.TipoArredondamento&lt;&gt;"TransfereGOV",
ROUND(OFFSET($P96,0,AW$13),15-13*ORÇAMENTO!$AF$7)/$H96*OFFSET(ORÇAMENTO!$X$15,ROW(AW96)-ROW(AW$15),0),
ROUND(ROUND(OFFSET($P96,0,AW$13),15-13*ORÇAMENTO!$AF$7)*OFFSET(ORÇAMENTO!$W$15,ROW(AW96)-ROW(AW$15),0),15-13*ORÇAMENTO!$AF$11)),0)</f>
        <v>0</v>
      </c>
      <c r="AX96" s="545">
        <f ca="1">IF(AND($D96="Serviço",AX$12&lt;&gt;0,$H96&gt;0,OR(AUTOEVENTO&lt;&gt;"manual",$M96&lt;&gt;1)),
IF(Import.TipoArredondamento&lt;&gt;"TransfereGOV",
ROUND(OFFSET($P96,0,AX$13),15-13*ORÇAMENTO!$AF$7)/$H96*OFFSET(ORÇAMENTO!$X$15,ROW(AX96)-ROW(AX$15),0),
ROUND(ROUND(OFFSET($P96,0,AX$13),15-13*ORÇAMENTO!$AF$7)*OFFSET(ORÇAMENTO!$W$15,ROW(AX96)-ROW(AX$15),0),15-13*ORÇAMENTO!$AF$11)),0)</f>
        <v>0</v>
      </c>
      <c r="AY96" s="545">
        <f ca="1">IF(AND($D96="Serviço",AY$12&lt;&gt;0,$H96&gt;0,OR(AUTOEVENTO&lt;&gt;"manual",$M96&lt;&gt;1)),
IF(Import.TipoArredondamento&lt;&gt;"TransfereGOV",
ROUND(OFFSET($P96,0,AY$13),15-13*ORÇAMENTO!$AF$7)/$H96*OFFSET(ORÇAMENTO!$X$15,ROW(AY96)-ROW(AY$15),0),
ROUND(ROUND(OFFSET($P96,0,AY$13),15-13*ORÇAMENTO!$AF$7)*OFFSET(ORÇAMENTO!$W$15,ROW(AY96)-ROW(AY$15),0),15-13*ORÇAMENTO!$AF$11)),0)</f>
        <v>0</v>
      </c>
      <c r="AZ96" s="545">
        <f ca="1">IF(AND($D96="Serviço",AZ$12&lt;&gt;0,$H96&gt;0,OR(AUTOEVENTO&lt;&gt;"manual",$M96&lt;&gt;1)),
IF(Import.TipoArredondamento&lt;&gt;"TransfereGOV",
ROUND(OFFSET($P96,0,AZ$13),15-13*ORÇAMENTO!$AF$7)/$H96*OFFSET(ORÇAMENTO!$X$15,ROW(AZ96)-ROW(AZ$15),0),
ROUND(ROUND(OFFSET($P96,0,AZ$13),15-13*ORÇAMENTO!$AF$7)*OFFSET(ORÇAMENTO!$W$15,ROW(AZ96)-ROW(AZ$15),0),15-13*ORÇAMENTO!$AF$11)),0)</f>
        <v>0</v>
      </c>
      <c r="BA96" s="546">
        <f ca="1">IF(AND($D96="Serviço",BA$12&lt;&gt;0,$H96&gt;0,OR(AUTOEVENTO&lt;&gt;"manual",$M96&lt;&gt;1)),
IF(Import.TipoArredondamento&lt;&gt;"TransfereGOV",
ROUND(OFFSET($P96,0,BA$13),15-13*ORÇAMENTO!$AF$7)/$H96*OFFSET(ORÇAMENTO!$X$15,ROW(BA96)-ROW(BA$15),0),
ROUND(ROUND(OFFSET($P96,0,BA$13),15-13*ORÇAMENTO!$AF$7)*OFFSET(ORÇAMENTO!$W$15,ROW(BA96)-ROW(BA$15),0),15-13*ORÇAMENTO!$AF$11)),0)</f>
        <v>0</v>
      </c>
      <c r="BC96" s="181">
        <f ca="1">IF($D96&lt;&gt;"Serviço",0,IF(AND(AUTOEVENTO="Manual",$M96=1),0,IF(OFFSET(CRONOPLE!$F$14,$M96,BC$13)="",10^12,OFFSET(CRONOPLE!$F$14,$M96,BC$13))))</f>
        <v>0</v>
      </c>
      <c r="BD96" s="181">
        <f ca="1">IF($D96&lt;&gt;"Serviço",0,IF(AND(AUTOEVENTO="Manual",$M96=1),0,IF(OFFSET(CRONOPLE!$F$14,$M96,BD$13)="",10^12,OFFSET(CRONOPLE!$F$14,$M96,BD$13))))</f>
        <v>0</v>
      </c>
      <c r="BE96" s="181">
        <f ca="1">IF($D96&lt;&gt;"Serviço",0,IF(AND(AUTOEVENTO="Manual",$M96=1),0,IF(OFFSET(CRONOPLE!$F$14,$M96,BE$13)="",10^12,OFFSET(CRONOPLE!$F$14,$M96,BE$13))))</f>
        <v>0</v>
      </c>
      <c r="BF96" s="181">
        <f ca="1">IF($D96&lt;&gt;"Serviço",0,IF(AND(AUTOEVENTO="Manual",$M96=1),0,IF(OFFSET(CRONOPLE!$F$14,$M96,BF$13)="",10^12,OFFSET(CRONOPLE!$F$14,$M96,BF$13))))</f>
        <v>0</v>
      </c>
      <c r="BG96" s="181">
        <f ca="1">IF($D96&lt;&gt;"Serviço",0,IF(AND(AUTOEVENTO="Manual",$M96=1),0,IF(OFFSET(CRONOPLE!$F$14,$M96,BG$13)="",10^12,OFFSET(CRONOPLE!$F$14,$M96,BG$13))))</f>
        <v>0</v>
      </c>
      <c r="BH96" s="181">
        <f ca="1">IF($D96&lt;&gt;"Serviço",0,IF(AND(AUTOEVENTO="Manual",$M96=1),0,IF(OFFSET(CRONOPLE!$F$14,$M96,BH$13)="",10^12,OFFSET(CRONOPLE!$F$14,$M96,BH$13))))</f>
        <v>0</v>
      </c>
      <c r="BI96" s="181">
        <f ca="1">IF($D96&lt;&gt;"Serviço",0,IF(AND(AUTOEVENTO="Manual",$M96=1),0,IF(OFFSET(CRONOPLE!$F$14,$M96,BI$13)="",10^12,OFFSET(CRONOPLE!$F$14,$M96,BI$13))))</f>
        <v>0</v>
      </c>
      <c r="BJ96" s="181">
        <f ca="1">IF($D96&lt;&gt;"Serviço",0,IF(AND(AUTOEVENTO="Manual",$M96=1),0,IF(OFFSET(CRONOPLE!$F$14,$M96,BJ$13)="",10^12,OFFSET(CRONOPLE!$F$14,$M96,BJ$13))))</f>
        <v>0</v>
      </c>
      <c r="BK96" s="181">
        <f ca="1">IF($D96&lt;&gt;"Serviço",0,IF(AND(AUTOEVENTO="Manual",$M96=1),0,IF(OFFSET(CRONOPLE!$F$14,$M96,BK$13)="",10^12,OFFSET(CRONOPLE!$F$14,$M96,BK$13))))</f>
        <v>0</v>
      </c>
      <c r="BL96" s="181">
        <f ca="1">IF($D96&lt;&gt;"Serviço",0,IF(AND(AUTOEVENTO="Manual",$M96=1),0,IF(OFFSET(CRONOPLE!$F$14,$M96,BL$13)="",10^12,OFFSET(CRONOPLE!$F$14,$M96,BL$13))))</f>
        <v>0</v>
      </c>
      <c r="BM96" s="181">
        <f ca="1">IF($D96&lt;&gt;"Serviço",0,IF(AND(AUTOEVENTO="Manual",$M96=1),0,IF(OFFSET(CRONOPLE!$F$14,$M96,BM$13)="",10^12,OFFSET(CRONOPLE!$F$14,$M96,BM$13))))</f>
        <v>0</v>
      </c>
      <c r="BN96" s="181">
        <f ca="1">IF($D96&lt;&gt;"Serviço",0,IF(AND(AUTOEVENTO="Manual",$M96=1),0,IF(OFFSET(CRONOPLE!$F$14,$M96,BN$13)="",10^12,OFFSET(CRONOPLE!$F$14,$M96,BN$13))))</f>
        <v>0</v>
      </c>
      <c r="BO96" s="181">
        <f ca="1">IF($D96&lt;&gt;"Serviço",0,IF(AND(AUTOEVENTO="Manual",$M96=1),0,IF(OFFSET(CRONOPLE!$F$14,$M96,BO$13)="",10^12,OFFSET(CRONOPLE!$F$14,$M96,BO$13))))</f>
        <v>0</v>
      </c>
      <c r="BP96" s="181">
        <f ca="1">IF($D96&lt;&gt;"Serviço",0,IF(AND(AUTOEVENTO="Manual",$M96=1),0,IF(OFFSET(CRONOPLE!$F$14,$M96,BP$13)="",10^12,OFFSET(CRONOPLE!$F$14,$M96,BP$13))))</f>
        <v>0</v>
      </c>
      <c r="BQ96" s="181">
        <f ca="1">IF($D96&lt;&gt;"Serviço",0,IF(AND(AUTOEVENTO="Manual",$M96=1),0,IF(OFFSET(CRONOPLE!$F$14,$M96,BQ$13)="",10^12,OFFSET(CRONOPLE!$F$14,$M96,BQ$13))))</f>
        <v>0</v>
      </c>
      <c r="BR96" s="181">
        <f ca="1">IF($D96&lt;&gt;"Serviço",0,IF(AND(AUTOEVENTO="Manual",$M96=1),0,IF(OFFSET(CRONOPLE!$F$14,$M96,BR$13)="",10^12,OFFSET(CRONOPLE!$F$14,$M96,BR$13))))</f>
        <v>0</v>
      </c>
      <c r="BS96" s="181">
        <f ca="1">IF($D96&lt;&gt;"Serviço",0,IF(AND(AUTOEVENTO="Manual",$M96=1),0,IF(OFFSET(CRONOPLE!$F$14,$M96,BS$13)="",10^12,OFFSET(CRONOPLE!$F$14,$M96,BS$13))))</f>
        <v>0</v>
      </c>
      <c r="BT96" s="181">
        <f ca="1">IF($D96&lt;&gt;"Serviço",0,IF(AND(AUTOEVENTO="Manual",$M96=1),0,IF(OFFSET(CRONOPLE!$F$14,$M96,BT$13)="",10^12,OFFSET(CRONOPLE!$F$14,$M96,BT$13))))</f>
        <v>0</v>
      </c>
      <c r="BV96" s="182">
        <f ca="1">IF($D96&lt;&gt;"Serviço",0,IF(OR(AND(AUTOEVENTO="Manual",$M96=1),$M96&gt;(ROW(PLE.lastrow)-ROW(PLE.firstrow))),0,IF(OFFSET(PLE!$G$14,$M96,BV$13)="",10^12,OFFSET(PLE!$G$14,$M96,BV$13))))</f>
        <v>0</v>
      </c>
      <c r="BW96" s="182">
        <f ca="1">IF($D96&lt;&gt;"Serviço",0,IF(OR(AND(AUTOEVENTO="Manual",$M96=1),$M96&gt;(ROW(PLE.lastrow)-ROW(PLE.firstrow))),0,IF(OFFSET(PLE!$G$14,$M96,BW$13)="",10^12,OFFSET(PLE!$G$14,$M96,BW$13))))</f>
        <v>0</v>
      </c>
      <c r="BX96" s="182">
        <f ca="1">IF($D96&lt;&gt;"Serviço",0,IF(OR(AND(AUTOEVENTO="Manual",$M96=1),$M96&gt;(ROW(PLE.lastrow)-ROW(PLE.firstrow))),0,IF(OFFSET(PLE!$G$14,$M96,BX$13)="",10^12,OFFSET(PLE!$G$14,$M96,BX$13))))</f>
        <v>0</v>
      </c>
      <c r="BY96" s="182">
        <f ca="1">IF($D96&lt;&gt;"Serviço",0,IF(OR(AND(AUTOEVENTO="Manual",$M96=1),$M96&gt;(ROW(PLE.lastrow)-ROW(PLE.firstrow))),0,IF(OFFSET(PLE!$G$14,$M96,BY$13)="",10^12,OFFSET(PLE!$G$14,$M96,BY$13))))</f>
        <v>0</v>
      </c>
      <c r="BZ96" s="182">
        <f ca="1">IF($D96&lt;&gt;"Serviço",0,IF(OR(AND(AUTOEVENTO="Manual",$M96=1),$M96&gt;(ROW(PLE.lastrow)-ROW(PLE.firstrow))),0,IF(OFFSET(PLE!$G$14,$M96,BZ$13)="",10^12,OFFSET(PLE!$G$14,$M96,BZ$13))))</f>
        <v>0</v>
      </c>
      <c r="CA96" s="182">
        <f ca="1">IF($D96&lt;&gt;"Serviço",0,IF(OR(AND(AUTOEVENTO="Manual",$M96=1),$M96&gt;(ROW(PLE.lastrow)-ROW(PLE.firstrow))),0,IF(OFFSET(PLE!$G$14,$M96,CA$13)="",10^12,OFFSET(PLE!$G$14,$M96,CA$13))))</f>
        <v>0</v>
      </c>
      <c r="CB96" s="182">
        <f ca="1">IF($D96&lt;&gt;"Serviço",0,IF(OR(AND(AUTOEVENTO="Manual",$M96=1),$M96&gt;(ROW(PLE.lastrow)-ROW(PLE.firstrow))),0,IF(OFFSET(PLE!$G$14,$M96,CB$13)="",10^12,OFFSET(PLE!$G$14,$M96,CB$13))))</f>
        <v>0</v>
      </c>
      <c r="CC96" s="182">
        <f ca="1">IF($D96&lt;&gt;"Serviço",0,IF(OR(AND(AUTOEVENTO="Manual",$M96=1),$M96&gt;(ROW(PLE.lastrow)-ROW(PLE.firstrow))),0,IF(OFFSET(PLE!$G$14,$M96,CC$13)="",10^12,OFFSET(PLE!$G$14,$M96,CC$13))))</f>
        <v>0</v>
      </c>
      <c r="CD96" s="182">
        <f ca="1">IF($D96&lt;&gt;"Serviço",0,IF(OR(AND(AUTOEVENTO="Manual",$M96=1),$M96&gt;(ROW(PLE.lastrow)-ROW(PLE.firstrow))),0,IF(OFFSET(PLE!$G$14,$M96,CD$13)="",10^12,OFFSET(PLE!$G$14,$M96,CD$13))))</f>
        <v>0</v>
      </c>
      <c r="CE96" s="182">
        <f ca="1">IF($D96&lt;&gt;"Serviço",0,IF(OR(AND(AUTOEVENTO="Manual",$M96=1),$M96&gt;(ROW(PLE.lastrow)-ROW(PLE.firstrow))),0,IF(OFFSET(PLE!$G$14,$M96,CE$13)="",10^12,OFFSET(PLE!$G$14,$M96,CE$13))))</f>
        <v>0</v>
      </c>
      <c r="CF96" s="182">
        <f ca="1">IF($D96&lt;&gt;"Serviço",0,IF(OR(AND(AUTOEVENTO="Manual",$M96=1),$M96&gt;(ROW(PLE.lastrow)-ROW(PLE.firstrow))),0,IF(OFFSET(PLE!$G$14,$M96,CF$13)="",10^12,OFFSET(PLE!$G$14,$M96,CF$13))))</f>
        <v>0</v>
      </c>
      <c r="CG96" s="182">
        <f ca="1">IF($D96&lt;&gt;"Serviço",0,IF(OR(AND(AUTOEVENTO="Manual",$M96=1),$M96&gt;(ROW(PLE.lastrow)-ROW(PLE.firstrow))),0,IF(OFFSET(PLE!$G$14,$M96,CG$13)="",10^12,OFFSET(PLE!$G$14,$M96,CG$13))))</f>
        <v>0</v>
      </c>
      <c r="CH96" s="182">
        <f ca="1">IF($D96&lt;&gt;"Serviço",0,IF(OR(AND(AUTOEVENTO="Manual",$M96=1),$M96&gt;(ROW(PLE.lastrow)-ROW(PLE.firstrow))),0,IF(OFFSET(PLE!$G$14,$M96,CH$13)="",10^12,OFFSET(PLE!$G$14,$M96,CH$13))))</f>
        <v>0</v>
      </c>
      <c r="CI96" s="182">
        <f ca="1">IF($D96&lt;&gt;"Serviço",0,IF(OR(AND(AUTOEVENTO="Manual",$M96=1),$M96&gt;(ROW(PLE.lastrow)-ROW(PLE.firstrow))),0,IF(OFFSET(PLE!$G$14,$M96,CI$13)="",10^12,OFFSET(PLE!$G$14,$M96,CI$13))))</f>
        <v>0</v>
      </c>
      <c r="CJ96" s="182">
        <f ca="1">IF($D96&lt;&gt;"Serviço",0,IF(OR(AND(AUTOEVENTO="Manual",$M96=1),$M96&gt;(ROW(PLE.lastrow)-ROW(PLE.firstrow))),0,IF(OFFSET(PLE!$G$14,$M96,CJ$13)="",10^12,OFFSET(PLE!$G$14,$M96,CJ$13))))</f>
        <v>0</v>
      </c>
      <c r="CK96" s="182">
        <f ca="1">IF($D96&lt;&gt;"Serviço",0,IF(OR(AND(AUTOEVENTO="Manual",$M96=1),$M96&gt;(ROW(PLE.lastrow)-ROW(PLE.firstrow))),0,IF(OFFSET(PLE!$G$14,$M96,CK$13)="",10^12,OFFSET(PLE!$G$14,$M96,CK$13))))</f>
        <v>0</v>
      </c>
      <c r="CL96" s="182">
        <f ca="1">IF($D96&lt;&gt;"Serviço",0,IF(OR(AND(AUTOEVENTO="Manual",$M96=1),$M96&gt;(ROW(PLE.lastrow)-ROW(PLE.firstrow))),0,IF(OFFSET(PLE!$G$14,$M96,CL$13)="",10^12,OFFSET(PLE!$G$14,$M96,CL$13))))</f>
        <v>0</v>
      </c>
      <c r="CM96" s="182">
        <f ca="1">IF($D96&lt;&gt;"Serviço",0,IF(OR(AND(AUTOEVENTO="Manual",$M96=1),$M96&gt;(ROW(PLE.lastrow)-ROW(PLE.firstrow))),0,IF(OFFSET(PLE!$G$14,$M96,CM$13)="",10^12,OFFSET(PLE!$G$14,$M96,CM$13))))</f>
        <v>0</v>
      </c>
    </row>
    <row r="97" spans="1:91" ht="38.25" x14ac:dyDescent="0.2">
      <c r="A97" s="7" t="str">
        <f t="shared" ca="1" si="10"/>
        <v>81</v>
      </c>
      <c r="B97" s="7" t="str">
        <f ca="1">OFFSET(ORÇAMENTO!C$15,ROW(B97)-ROW(B$15),0)</f>
        <v>S</v>
      </c>
      <c r="C97" s="7" t="str">
        <f ca="1">OFFSET(ORÇAMENTO!L$15,ROW(C97)-ROW(C$15),0)</f>
        <v/>
      </c>
      <c r="D97" s="118" t="str">
        <f ca="1">OFFSET(ORÇAMENTO!N$15,ROW(D97)-ROW(D$15),0)</f>
        <v>Serviço</v>
      </c>
      <c r="E97" s="119" t="str">
        <f ca="1">OFFSET(ORÇAMENTO!O$15,ROW(E97)-ROW(E$15),0)</f>
        <v>-</v>
      </c>
      <c r="F97" s="172" t="str">
        <f ca="1">OFFSET(ORÇAMENTO!R$15,ROW(F97)-ROW(F$15),0)</f>
        <v>(abra o arquivo 'Referência 06-2024.xlsm)</v>
      </c>
      <c r="G97" s="173" t="str">
        <f ca="1">IF($D97&lt;&gt;"Serviço","",OFFSET(ORÇAMENTO!S$15,ROW(G97)-ROW(G$15),0))</f>
        <v>-</v>
      </c>
      <c r="H97" s="124">
        <f ca="1">IF($D97&lt;&gt;"Serviço",0,IF(ACOMPANHAMENTO="BM",ROUND(OFFSET(ORÇAMENTO!AJ$15,ROW(H97)-ROW(H$15),0),15-13*ORÇAMENTO!$AF$7),SUMPRODUCT(($Q$12:$AI$12&lt;&gt;"")*ROUND($Q97:$AI97,15-13*ORÇAMENTO!$AF$7))))</f>
        <v>490.26</v>
      </c>
      <c r="I97" s="561" t="s">
        <v>1107</v>
      </c>
      <c r="K97" s="174"/>
      <c r="L97" s="175" t="s">
        <v>255</v>
      </c>
      <c r="M97" s="176">
        <f ca="1">IF($D97&lt;&gt;"Serviço","",IF(AUTOEVENTO="manual",$A97,IF(ISERROR(MATCH($A97,$A$15:OFFSET($A97,-1,0),0)),MAX($M$15:OFFSET(M97,-1,0))+1,INDEX($M$15:OFFSET(M97,-1,0),MATCH($A97,$A$15:OFFSET($A97,-1,0),0)))))</f>
        <v>15</v>
      </c>
      <c r="N97" s="177" t="str">
        <f ca="1">IF($D97&lt;&gt;"Serviço","",IF(AUTOEVENTO="Manual",IF($A97=0,"&lt;-- defina o número do agrupador",OFFSET(EVENTOS!$D$14,$A97,0)),OFFSET($F$15,$A97,0)))</f>
        <v>PAVIMENTAÇÃO EXTERNA - CALÇADA DE PISO DE CONCRETO 7 CM</v>
      </c>
      <c r="O97" s="178"/>
      <c r="Q97" s="178">
        <v>490.26</v>
      </c>
      <c r="R97" s="179"/>
      <c r="S97" s="179"/>
      <c r="T97" s="179"/>
      <c r="U97" s="179"/>
      <c r="V97" s="179"/>
      <c r="W97" s="179"/>
      <c r="X97" s="179"/>
      <c r="Y97" s="179"/>
      <c r="Z97" s="180"/>
      <c r="AA97" s="179"/>
      <c r="AB97" s="179"/>
      <c r="AC97" s="179"/>
      <c r="AD97" s="179"/>
      <c r="AE97" s="179"/>
      <c r="AF97" s="179"/>
      <c r="AG97" s="179"/>
      <c r="AH97" s="180"/>
      <c r="AJ97" s="544">
        <f ca="1">IF(AND($D97="Serviço",AJ$12&lt;&gt;0,$H97&gt;0,OR(AUTOEVENTO&lt;&gt;"manual",$M97&lt;&gt;1)),
IF(Import.TipoArredondamento&lt;&gt;"TransfereGOV",
ROUND(OFFSET($P97,0,AJ$13),15-13*ORÇAMENTO!$AF$7)/$H97*OFFSET(ORÇAMENTO!$X$15,ROW(AJ97)-ROW(AJ$15),0),
ROUND(ROUND(OFFSET($P97,0,AJ$13),15-13*ORÇAMENTO!$AF$7)*OFFSET(ORÇAMENTO!$W$15,ROW(AJ97)-ROW(AJ$15),0),15-13*ORÇAMENTO!$AF$11)),0)</f>
        <v>0</v>
      </c>
      <c r="AK97" s="545">
        <f ca="1">IF(AND($D97="Serviço",AK$12&lt;&gt;0,$H97&gt;0,OR(AUTOEVENTO&lt;&gt;"manual",$M97&lt;&gt;1)),
IF(Import.TipoArredondamento&lt;&gt;"TransfereGOV",
ROUND(OFFSET($P97,0,AK$13),15-13*ORÇAMENTO!$AF$7)/$H97*OFFSET(ORÇAMENTO!$X$15,ROW(AK97)-ROW(AK$15),0),
ROUND(ROUND(OFFSET($P97,0,AK$13),15-13*ORÇAMENTO!$AF$7)*OFFSET(ORÇAMENTO!$W$15,ROW(AK97)-ROW(AK$15),0),15-13*ORÇAMENTO!$AF$11)),0)</f>
        <v>0</v>
      </c>
      <c r="AL97" s="545">
        <f ca="1">IF(AND($D97="Serviço",AL$12&lt;&gt;0,$H97&gt;0,OR(AUTOEVENTO&lt;&gt;"manual",$M97&lt;&gt;1)),
IF(Import.TipoArredondamento&lt;&gt;"TransfereGOV",
ROUND(OFFSET($P97,0,AL$13),15-13*ORÇAMENTO!$AF$7)/$H97*OFFSET(ORÇAMENTO!$X$15,ROW(AL97)-ROW(AL$15),0),
ROUND(ROUND(OFFSET($P97,0,AL$13),15-13*ORÇAMENTO!$AF$7)*OFFSET(ORÇAMENTO!$W$15,ROW(AL97)-ROW(AL$15),0),15-13*ORÇAMENTO!$AF$11)),0)</f>
        <v>0</v>
      </c>
      <c r="AM97" s="545">
        <f ca="1">IF(AND($D97="Serviço",AM$12&lt;&gt;0,$H97&gt;0,OR(AUTOEVENTO&lt;&gt;"manual",$M97&lt;&gt;1)),
IF(Import.TipoArredondamento&lt;&gt;"TransfereGOV",
ROUND(OFFSET($P97,0,AM$13),15-13*ORÇAMENTO!$AF$7)/$H97*OFFSET(ORÇAMENTO!$X$15,ROW(AM97)-ROW(AM$15),0),
ROUND(ROUND(OFFSET($P97,0,AM$13),15-13*ORÇAMENTO!$AF$7)*OFFSET(ORÇAMENTO!$W$15,ROW(AM97)-ROW(AM$15),0),15-13*ORÇAMENTO!$AF$11)),0)</f>
        <v>0</v>
      </c>
      <c r="AN97" s="545">
        <f ca="1">IF(AND($D97="Serviço",AN$12&lt;&gt;0,$H97&gt;0,OR(AUTOEVENTO&lt;&gt;"manual",$M97&lt;&gt;1)),
IF(Import.TipoArredondamento&lt;&gt;"TransfereGOV",
ROUND(OFFSET($P97,0,AN$13),15-13*ORÇAMENTO!$AF$7)/$H97*OFFSET(ORÇAMENTO!$X$15,ROW(AN97)-ROW(AN$15),0),
ROUND(ROUND(OFFSET($P97,0,AN$13),15-13*ORÇAMENTO!$AF$7)*OFFSET(ORÇAMENTO!$W$15,ROW(AN97)-ROW(AN$15),0),15-13*ORÇAMENTO!$AF$11)),0)</f>
        <v>0</v>
      </c>
      <c r="AO97" s="545">
        <f ca="1">IF(AND($D97="Serviço",AO$12&lt;&gt;0,$H97&gt;0,OR(AUTOEVENTO&lt;&gt;"manual",$M97&lt;&gt;1)),
IF(Import.TipoArredondamento&lt;&gt;"TransfereGOV",
ROUND(OFFSET($P97,0,AO$13),15-13*ORÇAMENTO!$AF$7)/$H97*OFFSET(ORÇAMENTO!$X$15,ROW(AO97)-ROW(AO$15),0),
ROUND(ROUND(OFFSET($P97,0,AO$13),15-13*ORÇAMENTO!$AF$7)*OFFSET(ORÇAMENTO!$W$15,ROW(AO97)-ROW(AO$15),0),15-13*ORÇAMENTO!$AF$11)),0)</f>
        <v>0</v>
      </c>
      <c r="AP97" s="545">
        <f ca="1">IF(AND($D97="Serviço",AP$12&lt;&gt;0,$H97&gt;0,OR(AUTOEVENTO&lt;&gt;"manual",$M97&lt;&gt;1)),
IF(Import.TipoArredondamento&lt;&gt;"TransfereGOV",
ROUND(OFFSET($P97,0,AP$13),15-13*ORÇAMENTO!$AF$7)/$H97*OFFSET(ORÇAMENTO!$X$15,ROW(AP97)-ROW(AP$15),0),
ROUND(ROUND(OFFSET($P97,0,AP$13),15-13*ORÇAMENTO!$AF$7)*OFFSET(ORÇAMENTO!$W$15,ROW(AP97)-ROW(AP$15),0),15-13*ORÇAMENTO!$AF$11)),0)</f>
        <v>0</v>
      </c>
      <c r="AQ97" s="545">
        <f ca="1">IF(AND($D97="Serviço",AQ$12&lt;&gt;0,$H97&gt;0,OR(AUTOEVENTO&lt;&gt;"manual",$M97&lt;&gt;1)),
IF(Import.TipoArredondamento&lt;&gt;"TransfereGOV",
ROUND(OFFSET($P97,0,AQ$13),15-13*ORÇAMENTO!$AF$7)/$H97*OFFSET(ORÇAMENTO!$X$15,ROW(AQ97)-ROW(AQ$15),0),
ROUND(ROUND(OFFSET($P97,0,AQ$13),15-13*ORÇAMENTO!$AF$7)*OFFSET(ORÇAMENTO!$W$15,ROW(AQ97)-ROW(AQ$15),0),15-13*ORÇAMENTO!$AF$11)),0)</f>
        <v>0</v>
      </c>
      <c r="AR97" s="545">
        <f ca="1">IF(AND($D97="Serviço",AR$12&lt;&gt;0,$H97&gt;0,OR(AUTOEVENTO&lt;&gt;"manual",$M97&lt;&gt;1)),
IF(Import.TipoArredondamento&lt;&gt;"TransfereGOV",
ROUND(OFFSET($P97,0,AR$13),15-13*ORÇAMENTO!$AF$7)/$H97*OFFSET(ORÇAMENTO!$X$15,ROW(AR97)-ROW(AR$15),0),
ROUND(ROUND(OFFSET($P97,0,AR$13),15-13*ORÇAMENTO!$AF$7)*OFFSET(ORÇAMENTO!$W$15,ROW(AR97)-ROW(AR$15),0),15-13*ORÇAMENTO!$AF$11)),0)</f>
        <v>0</v>
      </c>
      <c r="AS97" s="546">
        <f ca="1">IF(AND($D97="Serviço",AS$12&lt;&gt;0,$H97&gt;0,OR(AUTOEVENTO&lt;&gt;"manual",$M97&lt;&gt;1)),
IF(Import.TipoArredondamento&lt;&gt;"TransfereGOV",
ROUND(OFFSET($P97,0,AS$13),15-13*ORÇAMENTO!$AF$7)/$H97*OFFSET(ORÇAMENTO!$X$15,ROW(AS97)-ROW(AS$15),0),
ROUND(ROUND(OFFSET($P97,0,AS$13),15-13*ORÇAMENTO!$AF$7)*OFFSET(ORÇAMENTO!$W$15,ROW(AS97)-ROW(AS$15),0),15-13*ORÇAMENTO!$AF$11)),0)</f>
        <v>0</v>
      </c>
      <c r="AT97" s="545">
        <f ca="1">IF(AND($D97="Serviço",AT$12&lt;&gt;0,$H97&gt;0,OR(AUTOEVENTO&lt;&gt;"manual",$M97&lt;&gt;1)),
IF(Import.TipoArredondamento&lt;&gt;"TransfereGOV",
ROUND(OFFSET($P97,0,AT$13),15-13*ORÇAMENTO!$AF$7)/$H97*OFFSET(ORÇAMENTO!$X$15,ROW(AT97)-ROW(AT$15),0),
ROUND(ROUND(OFFSET($P97,0,AT$13),15-13*ORÇAMENTO!$AF$7)*OFFSET(ORÇAMENTO!$W$15,ROW(AT97)-ROW(AT$15),0),15-13*ORÇAMENTO!$AF$11)),0)</f>
        <v>0</v>
      </c>
      <c r="AU97" s="545">
        <f ca="1">IF(AND($D97="Serviço",AU$12&lt;&gt;0,$H97&gt;0,OR(AUTOEVENTO&lt;&gt;"manual",$M97&lt;&gt;1)),
IF(Import.TipoArredondamento&lt;&gt;"TransfereGOV",
ROUND(OFFSET($P97,0,AU$13),15-13*ORÇAMENTO!$AF$7)/$H97*OFFSET(ORÇAMENTO!$X$15,ROW(AU97)-ROW(AU$15),0),
ROUND(ROUND(OFFSET($P97,0,AU$13),15-13*ORÇAMENTO!$AF$7)*OFFSET(ORÇAMENTO!$W$15,ROW(AU97)-ROW(AU$15),0),15-13*ORÇAMENTO!$AF$11)),0)</f>
        <v>0</v>
      </c>
      <c r="AV97" s="545">
        <f ca="1">IF(AND($D97="Serviço",AV$12&lt;&gt;0,$H97&gt;0,OR(AUTOEVENTO&lt;&gt;"manual",$M97&lt;&gt;1)),
IF(Import.TipoArredondamento&lt;&gt;"TransfereGOV",
ROUND(OFFSET($P97,0,AV$13),15-13*ORÇAMENTO!$AF$7)/$H97*OFFSET(ORÇAMENTO!$X$15,ROW(AV97)-ROW(AV$15),0),
ROUND(ROUND(OFFSET($P97,0,AV$13),15-13*ORÇAMENTO!$AF$7)*OFFSET(ORÇAMENTO!$W$15,ROW(AV97)-ROW(AV$15),0),15-13*ORÇAMENTO!$AF$11)),0)</f>
        <v>0</v>
      </c>
      <c r="AW97" s="545">
        <f ca="1">IF(AND($D97="Serviço",AW$12&lt;&gt;0,$H97&gt;0,OR(AUTOEVENTO&lt;&gt;"manual",$M97&lt;&gt;1)),
IF(Import.TipoArredondamento&lt;&gt;"TransfereGOV",
ROUND(OFFSET($P97,0,AW$13),15-13*ORÇAMENTO!$AF$7)/$H97*OFFSET(ORÇAMENTO!$X$15,ROW(AW97)-ROW(AW$15),0),
ROUND(ROUND(OFFSET($P97,0,AW$13),15-13*ORÇAMENTO!$AF$7)*OFFSET(ORÇAMENTO!$W$15,ROW(AW97)-ROW(AW$15),0),15-13*ORÇAMENTO!$AF$11)),0)</f>
        <v>0</v>
      </c>
      <c r="AX97" s="545">
        <f ca="1">IF(AND($D97="Serviço",AX$12&lt;&gt;0,$H97&gt;0,OR(AUTOEVENTO&lt;&gt;"manual",$M97&lt;&gt;1)),
IF(Import.TipoArredondamento&lt;&gt;"TransfereGOV",
ROUND(OFFSET($P97,0,AX$13),15-13*ORÇAMENTO!$AF$7)/$H97*OFFSET(ORÇAMENTO!$X$15,ROW(AX97)-ROW(AX$15),0),
ROUND(ROUND(OFFSET($P97,0,AX$13),15-13*ORÇAMENTO!$AF$7)*OFFSET(ORÇAMENTO!$W$15,ROW(AX97)-ROW(AX$15),0),15-13*ORÇAMENTO!$AF$11)),0)</f>
        <v>0</v>
      </c>
      <c r="AY97" s="545">
        <f ca="1">IF(AND($D97="Serviço",AY$12&lt;&gt;0,$H97&gt;0,OR(AUTOEVENTO&lt;&gt;"manual",$M97&lt;&gt;1)),
IF(Import.TipoArredondamento&lt;&gt;"TransfereGOV",
ROUND(OFFSET($P97,0,AY$13),15-13*ORÇAMENTO!$AF$7)/$H97*OFFSET(ORÇAMENTO!$X$15,ROW(AY97)-ROW(AY$15),0),
ROUND(ROUND(OFFSET($P97,0,AY$13),15-13*ORÇAMENTO!$AF$7)*OFFSET(ORÇAMENTO!$W$15,ROW(AY97)-ROW(AY$15),0),15-13*ORÇAMENTO!$AF$11)),0)</f>
        <v>0</v>
      </c>
      <c r="AZ97" s="545">
        <f ca="1">IF(AND($D97="Serviço",AZ$12&lt;&gt;0,$H97&gt;0,OR(AUTOEVENTO&lt;&gt;"manual",$M97&lt;&gt;1)),
IF(Import.TipoArredondamento&lt;&gt;"TransfereGOV",
ROUND(OFFSET($P97,0,AZ$13),15-13*ORÇAMENTO!$AF$7)/$H97*OFFSET(ORÇAMENTO!$X$15,ROW(AZ97)-ROW(AZ$15),0),
ROUND(ROUND(OFFSET($P97,0,AZ$13),15-13*ORÇAMENTO!$AF$7)*OFFSET(ORÇAMENTO!$W$15,ROW(AZ97)-ROW(AZ$15),0),15-13*ORÇAMENTO!$AF$11)),0)</f>
        <v>0</v>
      </c>
      <c r="BA97" s="546">
        <f ca="1">IF(AND($D97="Serviço",BA$12&lt;&gt;0,$H97&gt;0,OR(AUTOEVENTO&lt;&gt;"manual",$M97&lt;&gt;1)),
IF(Import.TipoArredondamento&lt;&gt;"TransfereGOV",
ROUND(OFFSET($P97,0,BA$13),15-13*ORÇAMENTO!$AF$7)/$H97*OFFSET(ORÇAMENTO!$X$15,ROW(BA97)-ROW(BA$15),0),
ROUND(ROUND(OFFSET($P97,0,BA$13),15-13*ORÇAMENTO!$AF$7)*OFFSET(ORÇAMENTO!$W$15,ROW(BA97)-ROW(BA$15),0),15-13*ORÇAMENTO!$AF$11)),0)</f>
        <v>0</v>
      </c>
      <c r="BC97" s="181">
        <f ca="1">IF($D97&lt;&gt;"Serviço",0,IF(AND(AUTOEVENTO="Manual",$M97=1),0,IF(OFFSET(CRONOPLE!$F$14,$M97,BC$13)="",10^12,OFFSET(CRONOPLE!$F$14,$M97,BC$13))))</f>
        <v>4</v>
      </c>
      <c r="BD97" s="181">
        <f ca="1">IF($D97&lt;&gt;"Serviço",0,IF(AND(AUTOEVENTO="Manual",$M97=1),0,IF(OFFSET(CRONOPLE!$F$14,$M97,BD$13)="",10^12,OFFSET(CRONOPLE!$F$14,$M97,BD$13))))</f>
        <v>1000000000000</v>
      </c>
      <c r="BE97" s="181">
        <f ca="1">IF($D97&lt;&gt;"Serviço",0,IF(AND(AUTOEVENTO="Manual",$M97=1),0,IF(OFFSET(CRONOPLE!$F$14,$M97,BE$13)="",10^12,OFFSET(CRONOPLE!$F$14,$M97,BE$13))))</f>
        <v>1000000000000</v>
      </c>
      <c r="BF97" s="181">
        <f ca="1">IF($D97&lt;&gt;"Serviço",0,IF(AND(AUTOEVENTO="Manual",$M97=1),0,IF(OFFSET(CRONOPLE!$F$14,$M97,BF$13)="",10^12,OFFSET(CRONOPLE!$F$14,$M97,BF$13))))</f>
        <v>1000000000000</v>
      </c>
      <c r="BG97" s="181">
        <f ca="1">IF($D97&lt;&gt;"Serviço",0,IF(AND(AUTOEVENTO="Manual",$M97=1),0,IF(OFFSET(CRONOPLE!$F$14,$M97,BG$13)="",10^12,OFFSET(CRONOPLE!$F$14,$M97,BG$13))))</f>
        <v>1000000000000</v>
      </c>
      <c r="BH97" s="181">
        <f ca="1">IF($D97&lt;&gt;"Serviço",0,IF(AND(AUTOEVENTO="Manual",$M97=1),0,IF(OFFSET(CRONOPLE!$F$14,$M97,BH$13)="",10^12,OFFSET(CRONOPLE!$F$14,$M97,BH$13))))</f>
        <v>1000000000000</v>
      </c>
      <c r="BI97" s="181">
        <f ca="1">IF($D97&lt;&gt;"Serviço",0,IF(AND(AUTOEVENTO="Manual",$M97=1),0,IF(OFFSET(CRONOPLE!$F$14,$M97,BI$13)="",10^12,OFFSET(CRONOPLE!$F$14,$M97,BI$13))))</f>
        <v>1000000000000</v>
      </c>
      <c r="BJ97" s="181">
        <f ca="1">IF($D97&lt;&gt;"Serviço",0,IF(AND(AUTOEVENTO="Manual",$M97=1),0,IF(OFFSET(CRONOPLE!$F$14,$M97,BJ$13)="",10^12,OFFSET(CRONOPLE!$F$14,$M97,BJ$13))))</f>
        <v>1000000000000</v>
      </c>
      <c r="BK97" s="181">
        <f ca="1">IF($D97&lt;&gt;"Serviço",0,IF(AND(AUTOEVENTO="Manual",$M97=1),0,IF(OFFSET(CRONOPLE!$F$14,$M97,BK$13)="",10^12,OFFSET(CRONOPLE!$F$14,$M97,BK$13))))</f>
        <v>1000000000000</v>
      </c>
      <c r="BL97" s="181">
        <f ca="1">IF($D97&lt;&gt;"Serviço",0,IF(AND(AUTOEVENTO="Manual",$M97=1),0,IF(OFFSET(CRONOPLE!$F$14,$M97,BL$13)="",10^12,OFFSET(CRONOPLE!$F$14,$M97,BL$13))))</f>
        <v>1000000000000</v>
      </c>
      <c r="BM97" s="181">
        <f ca="1">IF($D97&lt;&gt;"Serviço",0,IF(AND(AUTOEVENTO="Manual",$M97=1),0,IF(OFFSET(CRONOPLE!$F$14,$M97,BM$13)="",10^12,OFFSET(CRONOPLE!$F$14,$M97,BM$13))))</f>
        <v>1000000000000</v>
      </c>
      <c r="BN97" s="181">
        <f ca="1">IF($D97&lt;&gt;"Serviço",0,IF(AND(AUTOEVENTO="Manual",$M97=1),0,IF(OFFSET(CRONOPLE!$F$14,$M97,BN$13)="",10^12,OFFSET(CRONOPLE!$F$14,$M97,BN$13))))</f>
        <v>1000000000000</v>
      </c>
      <c r="BO97" s="181">
        <f ca="1">IF($D97&lt;&gt;"Serviço",0,IF(AND(AUTOEVENTO="Manual",$M97=1),0,IF(OFFSET(CRONOPLE!$F$14,$M97,BO$13)="",10^12,OFFSET(CRONOPLE!$F$14,$M97,BO$13))))</f>
        <v>1000000000000</v>
      </c>
      <c r="BP97" s="181">
        <f ca="1">IF($D97&lt;&gt;"Serviço",0,IF(AND(AUTOEVENTO="Manual",$M97=1),0,IF(OFFSET(CRONOPLE!$F$14,$M97,BP$13)="",10^12,OFFSET(CRONOPLE!$F$14,$M97,BP$13))))</f>
        <v>1000000000000</v>
      </c>
      <c r="BQ97" s="181">
        <f ca="1">IF($D97&lt;&gt;"Serviço",0,IF(AND(AUTOEVENTO="Manual",$M97=1),0,IF(OFFSET(CRONOPLE!$F$14,$M97,BQ$13)="",10^12,OFFSET(CRONOPLE!$F$14,$M97,BQ$13))))</f>
        <v>1000000000000</v>
      </c>
      <c r="BR97" s="181">
        <f ca="1">IF($D97&lt;&gt;"Serviço",0,IF(AND(AUTOEVENTO="Manual",$M97=1),0,IF(OFFSET(CRONOPLE!$F$14,$M97,BR$13)="",10^12,OFFSET(CRONOPLE!$F$14,$M97,BR$13))))</f>
        <v>1000000000000</v>
      </c>
      <c r="BS97" s="181">
        <f ca="1">IF($D97&lt;&gt;"Serviço",0,IF(AND(AUTOEVENTO="Manual",$M97=1),0,IF(OFFSET(CRONOPLE!$F$14,$M97,BS$13)="",10^12,OFFSET(CRONOPLE!$F$14,$M97,BS$13))))</f>
        <v>1000000000000</v>
      </c>
      <c r="BT97" s="181">
        <f ca="1">IF($D97&lt;&gt;"Serviço",0,IF(AND(AUTOEVENTO="Manual",$M97=1),0,IF(OFFSET(CRONOPLE!$F$14,$M97,BT$13)="",10^12,OFFSET(CRONOPLE!$F$14,$M97,BT$13))))</f>
        <v>1000000000000</v>
      </c>
      <c r="BV97" s="182">
        <f ca="1">IF($D97&lt;&gt;"Serviço",0,IF(OR(AND(AUTOEVENTO="Manual",$M97=1),$M97&gt;(ROW(PLE.lastrow)-ROW(PLE.firstrow))),0,IF(OFFSET(PLE!$G$14,$M97,BV$13)="",10^12,OFFSET(PLE!$G$14,$M97,BV$13))))</f>
        <v>1000000000000</v>
      </c>
      <c r="BW97" s="182">
        <f ca="1">IF($D97&lt;&gt;"Serviço",0,IF(OR(AND(AUTOEVENTO="Manual",$M97=1),$M97&gt;(ROW(PLE.lastrow)-ROW(PLE.firstrow))),0,IF(OFFSET(PLE!$G$14,$M97,BW$13)="",10^12,OFFSET(PLE!$G$14,$M97,BW$13))))</f>
        <v>1000000000000</v>
      </c>
      <c r="BX97" s="182">
        <f ca="1">IF($D97&lt;&gt;"Serviço",0,IF(OR(AND(AUTOEVENTO="Manual",$M97=1),$M97&gt;(ROW(PLE.lastrow)-ROW(PLE.firstrow))),0,IF(OFFSET(PLE!$G$14,$M97,BX$13)="",10^12,OFFSET(PLE!$G$14,$M97,BX$13))))</f>
        <v>1000000000000</v>
      </c>
      <c r="BY97" s="182">
        <f ca="1">IF($D97&lt;&gt;"Serviço",0,IF(OR(AND(AUTOEVENTO="Manual",$M97=1),$M97&gt;(ROW(PLE.lastrow)-ROW(PLE.firstrow))),0,IF(OFFSET(PLE!$G$14,$M97,BY$13)="",10^12,OFFSET(PLE!$G$14,$M97,BY$13))))</f>
        <v>1000000000000</v>
      </c>
      <c r="BZ97" s="182">
        <f ca="1">IF($D97&lt;&gt;"Serviço",0,IF(OR(AND(AUTOEVENTO="Manual",$M97=1),$M97&gt;(ROW(PLE.lastrow)-ROW(PLE.firstrow))),0,IF(OFFSET(PLE!$G$14,$M97,BZ$13)="",10^12,OFFSET(PLE!$G$14,$M97,BZ$13))))</f>
        <v>1000000000000</v>
      </c>
      <c r="CA97" s="182">
        <f ca="1">IF($D97&lt;&gt;"Serviço",0,IF(OR(AND(AUTOEVENTO="Manual",$M97=1),$M97&gt;(ROW(PLE.lastrow)-ROW(PLE.firstrow))),0,IF(OFFSET(PLE!$G$14,$M97,CA$13)="",10^12,OFFSET(PLE!$G$14,$M97,CA$13))))</f>
        <v>1000000000000</v>
      </c>
      <c r="CB97" s="182">
        <f ca="1">IF($D97&lt;&gt;"Serviço",0,IF(OR(AND(AUTOEVENTO="Manual",$M97=1),$M97&gt;(ROW(PLE.lastrow)-ROW(PLE.firstrow))),0,IF(OFFSET(PLE!$G$14,$M97,CB$13)="",10^12,OFFSET(PLE!$G$14,$M97,CB$13))))</f>
        <v>1000000000000</v>
      </c>
      <c r="CC97" s="182">
        <f ca="1">IF($D97&lt;&gt;"Serviço",0,IF(OR(AND(AUTOEVENTO="Manual",$M97=1),$M97&gt;(ROW(PLE.lastrow)-ROW(PLE.firstrow))),0,IF(OFFSET(PLE!$G$14,$M97,CC$13)="",10^12,OFFSET(PLE!$G$14,$M97,CC$13))))</f>
        <v>1000000000000</v>
      </c>
      <c r="CD97" s="182">
        <f ca="1">IF($D97&lt;&gt;"Serviço",0,IF(OR(AND(AUTOEVENTO="Manual",$M97=1),$M97&gt;(ROW(PLE.lastrow)-ROW(PLE.firstrow))),0,IF(OFFSET(PLE!$G$14,$M97,CD$13)="",10^12,OFFSET(PLE!$G$14,$M97,CD$13))))</f>
        <v>1000000000000</v>
      </c>
      <c r="CE97" s="182">
        <f ca="1">IF($D97&lt;&gt;"Serviço",0,IF(OR(AND(AUTOEVENTO="Manual",$M97=1),$M97&gt;(ROW(PLE.lastrow)-ROW(PLE.firstrow))),0,IF(OFFSET(PLE!$G$14,$M97,CE$13)="",10^12,OFFSET(PLE!$G$14,$M97,CE$13))))</f>
        <v>1000000000000</v>
      </c>
      <c r="CF97" s="182">
        <f ca="1">IF($D97&lt;&gt;"Serviço",0,IF(OR(AND(AUTOEVENTO="Manual",$M97=1),$M97&gt;(ROW(PLE.lastrow)-ROW(PLE.firstrow))),0,IF(OFFSET(PLE!$G$14,$M97,CF$13)="",10^12,OFFSET(PLE!$G$14,$M97,CF$13))))</f>
        <v>1000000000000</v>
      </c>
      <c r="CG97" s="182">
        <f ca="1">IF($D97&lt;&gt;"Serviço",0,IF(OR(AND(AUTOEVENTO="Manual",$M97=1),$M97&gt;(ROW(PLE.lastrow)-ROW(PLE.firstrow))),0,IF(OFFSET(PLE!$G$14,$M97,CG$13)="",10^12,OFFSET(PLE!$G$14,$M97,CG$13))))</f>
        <v>1000000000000</v>
      </c>
      <c r="CH97" s="182">
        <f ca="1">IF($D97&lt;&gt;"Serviço",0,IF(OR(AND(AUTOEVENTO="Manual",$M97=1),$M97&gt;(ROW(PLE.lastrow)-ROW(PLE.firstrow))),0,IF(OFFSET(PLE!$G$14,$M97,CH$13)="",10^12,OFFSET(PLE!$G$14,$M97,CH$13))))</f>
        <v>1000000000000</v>
      </c>
      <c r="CI97" s="182">
        <f ca="1">IF($D97&lt;&gt;"Serviço",0,IF(OR(AND(AUTOEVENTO="Manual",$M97=1),$M97&gt;(ROW(PLE.lastrow)-ROW(PLE.firstrow))),0,IF(OFFSET(PLE!$G$14,$M97,CI$13)="",10^12,OFFSET(PLE!$G$14,$M97,CI$13))))</f>
        <v>1000000000000</v>
      </c>
      <c r="CJ97" s="182">
        <f ca="1">IF($D97&lt;&gt;"Serviço",0,IF(OR(AND(AUTOEVENTO="Manual",$M97=1),$M97&gt;(ROW(PLE.lastrow)-ROW(PLE.firstrow))),0,IF(OFFSET(PLE!$G$14,$M97,CJ$13)="",10^12,OFFSET(PLE!$G$14,$M97,CJ$13))))</f>
        <v>1000000000000</v>
      </c>
      <c r="CK97" s="182">
        <f ca="1">IF($D97&lt;&gt;"Serviço",0,IF(OR(AND(AUTOEVENTO="Manual",$M97=1),$M97&gt;(ROW(PLE.lastrow)-ROW(PLE.firstrow))),0,IF(OFFSET(PLE!$G$14,$M97,CK$13)="",10^12,OFFSET(PLE!$G$14,$M97,CK$13))))</f>
        <v>1000000000000</v>
      </c>
      <c r="CL97" s="182">
        <f ca="1">IF($D97&lt;&gt;"Serviço",0,IF(OR(AND(AUTOEVENTO="Manual",$M97=1),$M97&gt;(ROW(PLE.lastrow)-ROW(PLE.firstrow))),0,IF(OFFSET(PLE!$G$14,$M97,CL$13)="",10^12,OFFSET(PLE!$G$14,$M97,CL$13))))</f>
        <v>1000000000000</v>
      </c>
      <c r="CM97" s="182">
        <f ca="1">IF($D97&lt;&gt;"Serviço",0,IF(OR(AND(AUTOEVENTO="Manual",$M97=1),$M97&gt;(ROW(PLE.lastrow)-ROW(PLE.firstrow))),0,IF(OFFSET(PLE!$G$14,$M97,CM$13)="",10^12,OFFSET(PLE!$G$14,$M97,CM$13))))</f>
        <v>1000000000000</v>
      </c>
    </row>
    <row r="98" spans="1:91" ht="38.25" x14ac:dyDescent="0.2">
      <c r="A98" s="7" t="str">
        <f t="shared" ca="1" si="10"/>
        <v>81</v>
      </c>
      <c r="B98" s="7" t="str">
        <f ca="1">OFFSET(ORÇAMENTO!C$15,ROW(B98)-ROW(B$15),0)</f>
        <v>S</v>
      </c>
      <c r="C98" s="7" t="str">
        <f ca="1">OFFSET(ORÇAMENTO!L$15,ROW(C98)-ROW(C$15),0)</f>
        <v/>
      </c>
      <c r="D98" s="118" t="str">
        <f ca="1">OFFSET(ORÇAMENTO!N$15,ROW(D98)-ROW(D$15),0)</f>
        <v>Serviço</v>
      </c>
      <c r="E98" s="119" t="str">
        <f ca="1">OFFSET(ORÇAMENTO!O$15,ROW(E98)-ROW(E$15),0)</f>
        <v>-</v>
      </c>
      <c r="F98" s="172" t="str">
        <f ca="1">OFFSET(ORÇAMENTO!R$15,ROW(F98)-ROW(F$15),0)</f>
        <v>(abra o arquivo 'Referência 06-2024.xlsm)</v>
      </c>
      <c r="G98" s="173" t="str">
        <f ca="1">IF($D98&lt;&gt;"Serviço","",OFFSET(ORÇAMENTO!S$15,ROW(G98)-ROW(G$15),0))</f>
        <v>-</v>
      </c>
      <c r="H98" s="124">
        <f ca="1">IF($D98&lt;&gt;"Serviço",0,IF(ACOMPANHAMENTO="BM",ROUND(OFFSET(ORÇAMENTO!AJ$15,ROW(H98)-ROW(H$15),0),15-13*ORÇAMENTO!$AF$7),SUMPRODUCT(($Q$12:$AI$12&lt;&gt;"")*ROUND($Q98:$AI98,15-13*ORÇAMENTO!$AF$7))))</f>
        <v>24.51</v>
      </c>
      <c r="I98" s="561" t="s">
        <v>1107</v>
      </c>
      <c r="K98" s="174"/>
      <c r="L98" s="175" t="s">
        <v>255</v>
      </c>
      <c r="M98" s="176">
        <f ca="1">IF($D98&lt;&gt;"Serviço","",IF(AUTOEVENTO="manual",$A98,IF(ISERROR(MATCH($A98,$A$15:OFFSET($A98,-1,0),0)),MAX($M$15:OFFSET(M98,-1,0))+1,INDEX($M$15:OFFSET(M98,-1,0),MATCH($A98,$A$15:OFFSET($A98,-1,0),0)))))</f>
        <v>15</v>
      </c>
      <c r="N98" s="177" t="str">
        <f ca="1">IF($D98&lt;&gt;"Serviço","",IF(AUTOEVENTO="Manual",IF($A98=0,"&lt;-- defina o número do agrupador",OFFSET(EVENTOS!$D$14,$A98,0)),OFFSET($F$15,$A98,0)))</f>
        <v>PAVIMENTAÇÃO EXTERNA - CALÇADA DE PISO DE CONCRETO 7 CM</v>
      </c>
      <c r="O98" s="178"/>
      <c r="Q98" s="178">
        <v>24.51</v>
      </c>
      <c r="R98" s="179"/>
      <c r="S98" s="179"/>
      <c r="T98" s="179"/>
      <c r="U98" s="179"/>
      <c r="V98" s="179"/>
      <c r="W98" s="179"/>
      <c r="X98" s="179"/>
      <c r="Y98" s="179"/>
      <c r="Z98" s="180"/>
      <c r="AA98" s="179"/>
      <c r="AB98" s="179"/>
      <c r="AC98" s="179"/>
      <c r="AD98" s="179"/>
      <c r="AE98" s="179"/>
      <c r="AF98" s="179"/>
      <c r="AG98" s="179"/>
      <c r="AH98" s="180"/>
      <c r="AJ98" s="544">
        <f ca="1">IF(AND($D98="Serviço",AJ$12&lt;&gt;0,$H98&gt;0,OR(AUTOEVENTO&lt;&gt;"manual",$M98&lt;&gt;1)),
IF(Import.TipoArredondamento&lt;&gt;"TransfereGOV",
ROUND(OFFSET($P98,0,AJ$13),15-13*ORÇAMENTO!$AF$7)/$H98*OFFSET(ORÇAMENTO!$X$15,ROW(AJ98)-ROW(AJ$15),0),
ROUND(ROUND(OFFSET($P98,0,AJ$13),15-13*ORÇAMENTO!$AF$7)*OFFSET(ORÇAMENTO!$W$15,ROW(AJ98)-ROW(AJ$15),0),15-13*ORÇAMENTO!$AF$11)),0)</f>
        <v>0</v>
      </c>
      <c r="AK98" s="545">
        <f ca="1">IF(AND($D98="Serviço",AK$12&lt;&gt;0,$H98&gt;0,OR(AUTOEVENTO&lt;&gt;"manual",$M98&lt;&gt;1)),
IF(Import.TipoArredondamento&lt;&gt;"TransfereGOV",
ROUND(OFFSET($P98,0,AK$13),15-13*ORÇAMENTO!$AF$7)/$H98*OFFSET(ORÇAMENTO!$X$15,ROW(AK98)-ROW(AK$15),0),
ROUND(ROUND(OFFSET($P98,0,AK$13),15-13*ORÇAMENTO!$AF$7)*OFFSET(ORÇAMENTO!$W$15,ROW(AK98)-ROW(AK$15),0),15-13*ORÇAMENTO!$AF$11)),0)</f>
        <v>0</v>
      </c>
      <c r="AL98" s="545">
        <f ca="1">IF(AND($D98="Serviço",AL$12&lt;&gt;0,$H98&gt;0,OR(AUTOEVENTO&lt;&gt;"manual",$M98&lt;&gt;1)),
IF(Import.TipoArredondamento&lt;&gt;"TransfereGOV",
ROUND(OFFSET($P98,0,AL$13),15-13*ORÇAMENTO!$AF$7)/$H98*OFFSET(ORÇAMENTO!$X$15,ROW(AL98)-ROW(AL$15),0),
ROUND(ROUND(OFFSET($P98,0,AL$13),15-13*ORÇAMENTO!$AF$7)*OFFSET(ORÇAMENTO!$W$15,ROW(AL98)-ROW(AL$15),0),15-13*ORÇAMENTO!$AF$11)),0)</f>
        <v>0</v>
      </c>
      <c r="AM98" s="545">
        <f ca="1">IF(AND($D98="Serviço",AM$12&lt;&gt;0,$H98&gt;0,OR(AUTOEVENTO&lt;&gt;"manual",$M98&lt;&gt;1)),
IF(Import.TipoArredondamento&lt;&gt;"TransfereGOV",
ROUND(OFFSET($P98,0,AM$13),15-13*ORÇAMENTO!$AF$7)/$H98*OFFSET(ORÇAMENTO!$X$15,ROW(AM98)-ROW(AM$15),0),
ROUND(ROUND(OFFSET($P98,0,AM$13),15-13*ORÇAMENTO!$AF$7)*OFFSET(ORÇAMENTO!$W$15,ROW(AM98)-ROW(AM$15),0),15-13*ORÇAMENTO!$AF$11)),0)</f>
        <v>0</v>
      </c>
      <c r="AN98" s="545">
        <f ca="1">IF(AND($D98="Serviço",AN$12&lt;&gt;0,$H98&gt;0,OR(AUTOEVENTO&lt;&gt;"manual",$M98&lt;&gt;1)),
IF(Import.TipoArredondamento&lt;&gt;"TransfereGOV",
ROUND(OFFSET($P98,0,AN$13),15-13*ORÇAMENTO!$AF$7)/$H98*OFFSET(ORÇAMENTO!$X$15,ROW(AN98)-ROW(AN$15),0),
ROUND(ROUND(OFFSET($P98,0,AN$13),15-13*ORÇAMENTO!$AF$7)*OFFSET(ORÇAMENTO!$W$15,ROW(AN98)-ROW(AN$15),0),15-13*ORÇAMENTO!$AF$11)),0)</f>
        <v>0</v>
      </c>
      <c r="AO98" s="545">
        <f ca="1">IF(AND($D98="Serviço",AO$12&lt;&gt;0,$H98&gt;0,OR(AUTOEVENTO&lt;&gt;"manual",$M98&lt;&gt;1)),
IF(Import.TipoArredondamento&lt;&gt;"TransfereGOV",
ROUND(OFFSET($P98,0,AO$13),15-13*ORÇAMENTO!$AF$7)/$H98*OFFSET(ORÇAMENTO!$X$15,ROW(AO98)-ROW(AO$15),0),
ROUND(ROUND(OFFSET($P98,0,AO$13),15-13*ORÇAMENTO!$AF$7)*OFFSET(ORÇAMENTO!$W$15,ROW(AO98)-ROW(AO$15),0),15-13*ORÇAMENTO!$AF$11)),0)</f>
        <v>0</v>
      </c>
      <c r="AP98" s="545">
        <f ca="1">IF(AND($D98="Serviço",AP$12&lt;&gt;0,$H98&gt;0,OR(AUTOEVENTO&lt;&gt;"manual",$M98&lt;&gt;1)),
IF(Import.TipoArredondamento&lt;&gt;"TransfereGOV",
ROUND(OFFSET($P98,0,AP$13),15-13*ORÇAMENTO!$AF$7)/$H98*OFFSET(ORÇAMENTO!$X$15,ROW(AP98)-ROW(AP$15),0),
ROUND(ROUND(OFFSET($P98,0,AP$13),15-13*ORÇAMENTO!$AF$7)*OFFSET(ORÇAMENTO!$W$15,ROW(AP98)-ROW(AP$15),0),15-13*ORÇAMENTO!$AF$11)),0)</f>
        <v>0</v>
      </c>
      <c r="AQ98" s="545">
        <f ca="1">IF(AND($D98="Serviço",AQ$12&lt;&gt;0,$H98&gt;0,OR(AUTOEVENTO&lt;&gt;"manual",$M98&lt;&gt;1)),
IF(Import.TipoArredondamento&lt;&gt;"TransfereGOV",
ROUND(OFFSET($P98,0,AQ$13),15-13*ORÇAMENTO!$AF$7)/$H98*OFFSET(ORÇAMENTO!$X$15,ROW(AQ98)-ROW(AQ$15),0),
ROUND(ROUND(OFFSET($P98,0,AQ$13),15-13*ORÇAMENTO!$AF$7)*OFFSET(ORÇAMENTO!$W$15,ROW(AQ98)-ROW(AQ$15),0),15-13*ORÇAMENTO!$AF$11)),0)</f>
        <v>0</v>
      </c>
      <c r="AR98" s="545">
        <f ca="1">IF(AND($D98="Serviço",AR$12&lt;&gt;0,$H98&gt;0,OR(AUTOEVENTO&lt;&gt;"manual",$M98&lt;&gt;1)),
IF(Import.TipoArredondamento&lt;&gt;"TransfereGOV",
ROUND(OFFSET($P98,0,AR$13),15-13*ORÇAMENTO!$AF$7)/$H98*OFFSET(ORÇAMENTO!$X$15,ROW(AR98)-ROW(AR$15),0),
ROUND(ROUND(OFFSET($P98,0,AR$13),15-13*ORÇAMENTO!$AF$7)*OFFSET(ORÇAMENTO!$W$15,ROW(AR98)-ROW(AR$15),0),15-13*ORÇAMENTO!$AF$11)),0)</f>
        <v>0</v>
      </c>
      <c r="AS98" s="546">
        <f ca="1">IF(AND($D98="Serviço",AS$12&lt;&gt;0,$H98&gt;0,OR(AUTOEVENTO&lt;&gt;"manual",$M98&lt;&gt;1)),
IF(Import.TipoArredondamento&lt;&gt;"TransfereGOV",
ROUND(OFFSET($P98,0,AS$13),15-13*ORÇAMENTO!$AF$7)/$H98*OFFSET(ORÇAMENTO!$X$15,ROW(AS98)-ROW(AS$15),0),
ROUND(ROUND(OFFSET($P98,0,AS$13),15-13*ORÇAMENTO!$AF$7)*OFFSET(ORÇAMENTO!$W$15,ROW(AS98)-ROW(AS$15),0),15-13*ORÇAMENTO!$AF$11)),0)</f>
        <v>0</v>
      </c>
      <c r="AT98" s="545">
        <f ca="1">IF(AND($D98="Serviço",AT$12&lt;&gt;0,$H98&gt;0,OR(AUTOEVENTO&lt;&gt;"manual",$M98&lt;&gt;1)),
IF(Import.TipoArredondamento&lt;&gt;"TransfereGOV",
ROUND(OFFSET($P98,0,AT$13),15-13*ORÇAMENTO!$AF$7)/$H98*OFFSET(ORÇAMENTO!$X$15,ROW(AT98)-ROW(AT$15),0),
ROUND(ROUND(OFFSET($P98,0,AT$13),15-13*ORÇAMENTO!$AF$7)*OFFSET(ORÇAMENTO!$W$15,ROW(AT98)-ROW(AT$15),0),15-13*ORÇAMENTO!$AF$11)),0)</f>
        <v>0</v>
      </c>
      <c r="AU98" s="545">
        <f ca="1">IF(AND($D98="Serviço",AU$12&lt;&gt;0,$H98&gt;0,OR(AUTOEVENTO&lt;&gt;"manual",$M98&lt;&gt;1)),
IF(Import.TipoArredondamento&lt;&gt;"TransfereGOV",
ROUND(OFFSET($P98,0,AU$13),15-13*ORÇAMENTO!$AF$7)/$H98*OFFSET(ORÇAMENTO!$X$15,ROW(AU98)-ROW(AU$15),0),
ROUND(ROUND(OFFSET($P98,0,AU$13),15-13*ORÇAMENTO!$AF$7)*OFFSET(ORÇAMENTO!$W$15,ROW(AU98)-ROW(AU$15),0),15-13*ORÇAMENTO!$AF$11)),0)</f>
        <v>0</v>
      </c>
      <c r="AV98" s="545">
        <f ca="1">IF(AND($D98="Serviço",AV$12&lt;&gt;0,$H98&gt;0,OR(AUTOEVENTO&lt;&gt;"manual",$M98&lt;&gt;1)),
IF(Import.TipoArredondamento&lt;&gt;"TransfereGOV",
ROUND(OFFSET($P98,0,AV$13),15-13*ORÇAMENTO!$AF$7)/$H98*OFFSET(ORÇAMENTO!$X$15,ROW(AV98)-ROW(AV$15),0),
ROUND(ROUND(OFFSET($P98,0,AV$13),15-13*ORÇAMENTO!$AF$7)*OFFSET(ORÇAMENTO!$W$15,ROW(AV98)-ROW(AV$15),0),15-13*ORÇAMENTO!$AF$11)),0)</f>
        <v>0</v>
      </c>
      <c r="AW98" s="545">
        <f ca="1">IF(AND($D98="Serviço",AW$12&lt;&gt;0,$H98&gt;0,OR(AUTOEVENTO&lt;&gt;"manual",$M98&lt;&gt;1)),
IF(Import.TipoArredondamento&lt;&gt;"TransfereGOV",
ROUND(OFFSET($P98,0,AW$13),15-13*ORÇAMENTO!$AF$7)/$H98*OFFSET(ORÇAMENTO!$X$15,ROW(AW98)-ROW(AW$15),0),
ROUND(ROUND(OFFSET($P98,0,AW$13),15-13*ORÇAMENTO!$AF$7)*OFFSET(ORÇAMENTO!$W$15,ROW(AW98)-ROW(AW$15),0),15-13*ORÇAMENTO!$AF$11)),0)</f>
        <v>0</v>
      </c>
      <c r="AX98" s="545">
        <f ca="1">IF(AND($D98="Serviço",AX$12&lt;&gt;0,$H98&gt;0,OR(AUTOEVENTO&lt;&gt;"manual",$M98&lt;&gt;1)),
IF(Import.TipoArredondamento&lt;&gt;"TransfereGOV",
ROUND(OFFSET($P98,0,AX$13),15-13*ORÇAMENTO!$AF$7)/$H98*OFFSET(ORÇAMENTO!$X$15,ROW(AX98)-ROW(AX$15),0),
ROUND(ROUND(OFFSET($P98,0,AX$13),15-13*ORÇAMENTO!$AF$7)*OFFSET(ORÇAMENTO!$W$15,ROW(AX98)-ROW(AX$15),0),15-13*ORÇAMENTO!$AF$11)),0)</f>
        <v>0</v>
      </c>
      <c r="AY98" s="545">
        <f ca="1">IF(AND($D98="Serviço",AY$12&lt;&gt;0,$H98&gt;0,OR(AUTOEVENTO&lt;&gt;"manual",$M98&lt;&gt;1)),
IF(Import.TipoArredondamento&lt;&gt;"TransfereGOV",
ROUND(OFFSET($P98,0,AY$13),15-13*ORÇAMENTO!$AF$7)/$H98*OFFSET(ORÇAMENTO!$X$15,ROW(AY98)-ROW(AY$15),0),
ROUND(ROUND(OFFSET($P98,0,AY$13),15-13*ORÇAMENTO!$AF$7)*OFFSET(ORÇAMENTO!$W$15,ROW(AY98)-ROW(AY$15),0),15-13*ORÇAMENTO!$AF$11)),0)</f>
        <v>0</v>
      </c>
      <c r="AZ98" s="545">
        <f ca="1">IF(AND($D98="Serviço",AZ$12&lt;&gt;0,$H98&gt;0,OR(AUTOEVENTO&lt;&gt;"manual",$M98&lt;&gt;1)),
IF(Import.TipoArredondamento&lt;&gt;"TransfereGOV",
ROUND(OFFSET($P98,0,AZ$13),15-13*ORÇAMENTO!$AF$7)/$H98*OFFSET(ORÇAMENTO!$X$15,ROW(AZ98)-ROW(AZ$15),0),
ROUND(ROUND(OFFSET($P98,0,AZ$13),15-13*ORÇAMENTO!$AF$7)*OFFSET(ORÇAMENTO!$W$15,ROW(AZ98)-ROW(AZ$15),0),15-13*ORÇAMENTO!$AF$11)),0)</f>
        <v>0</v>
      </c>
      <c r="BA98" s="546">
        <f ca="1">IF(AND($D98="Serviço",BA$12&lt;&gt;0,$H98&gt;0,OR(AUTOEVENTO&lt;&gt;"manual",$M98&lt;&gt;1)),
IF(Import.TipoArredondamento&lt;&gt;"TransfereGOV",
ROUND(OFFSET($P98,0,BA$13),15-13*ORÇAMENTO!$AF$7)/$H98*OFFSET(ORÇAMENTO!$X$15,ROW(BA98)-ROW(BA$15),0),
ROUND(ROUND(OFFSET($P98,0,BA$13),15-13*ORÇAMENTO!$AF$7)*OFFSET(ORÇAMENTO!$W$15,ROW(BA98)-ROW(BA$15),0),15-13*ORÇAMENTO!$AF$11)),0)</f>
        <v>0</v>
      </c>
      <c r="BC98" s="181">
        <f ca="1">IF($D98&lt;&gt;"Serviço",0,IF(AND(AUTOEVENTO="Manual",$M98=1),0,IF(OFFSET(CRONOPLE!$F$14,$M98,BC$13)="",10^12,OFFSET(CRONOPLE!$F$14,$M98,BC$13))))</f>
        <v>4</v>
      </c>
      <c r="BD98" s="181">
        <f ca="1">IF($D98&lt;&gt;"Serviço",0,IF(AND(AUTOEVENTO="Manual",$M98=1),0,IF(OFFSET(CRONOPLE!$F$14,$M98,BD$13)="",10^12,OFFSET(CRONOPLE!$F$14,$M98,BD$13))))</f>
        <v>1000000000000</v>
      </c>
      <c r="BE98" s="181">
        <f ca="1">IF($D98&lt;&gt;"Serviço",0,IF(AND(AUTOEVENTO="Manual",$M98=1),0,IF(OFFSET(CRONOPLE!$F$14,$M98,BE$13)="",10^12,OFFSET(CRONOPLE!$F$14,$M98,BE$13))))</f>
        <v>1000000000000</v>
      </c>
      <c r="BF98" s="181">
        <f ca="1">IF($D98&lt;&gt;"Serviço",0,IF(AND(AUTOEVENTO="Manual",$M98=1),0,IF(OFFSET(CRONOPLE!$F$14,$M98,BF$13)="",10^12,OFFSET(CRONOPLE!$F$14,$M98,BF$13))))</f>
        <v>1000000000000</v>
      </c>
      <c r="BG98" s="181">
        <f ca="1">IF($D98&lt;&gt;"Serviço",0,IF(AND(AUTOEVENTO="Manual",$M98=1),0,IF(OFFSET(CRONOPLE!$F$14,$M98,BG$13)="",10^12,OFFSET(CRONOPLE!$F$14,$M98,BG$13))))</f>
        <v>1000000000000</v>
      </c>
      <c r="BH98" s="181">
        <f ca="1">IF($D98&lt;&gt;"Serviço",0,IF(AND(AUTOEVENTO="Manual",$M98=1),0,IF(OFFSET(CRONOPLE!$F$14,$M98,BH$13)="",10^12,OFFSET(CRONOPLE!$F$14,$M98,BH$13))))</f>
        <v>1000000000000</v>
      </c>
      <c r="BI98" s="181">
        <f ca="1">IF($D98&lt;&gt;"Serviço",0,IF(AND(AUTOEVENTO="Manual",$M98=1),0,IF(OFFSET(CRONOPLE!$F$14,$M98,BI$13)="",10^12,OFFSET(CRONOPLE!$F$14,$M98,BI$13))))</f>
        <v>1000000000000</v>
      </c>
      <c r="BJ98" s="181">
        <f ca="1">IF($D98&lt;&gt;"Serviço",0,IF(AND(AUTOEVENTO="Manual",$M98=1),0,IF(OFFSET(CRONOPLE!$F$14,$M98,BJ$13)="",10^12,OFFSET(CRONOPLE!$F$14,$M98,BJ$13))))</f>
        <v>1000000000000</v>
      </c>
      <c r="BK98" s="181">
        <f ca="1">IF($D98&lt;&gt;"Serviço",0,IF(AND(AUTOEVENTO="Manual",$M98=1),0,IF(OFFSET(CRONOPLE!$F$14,$M98,BK$13)="",10^12,OFFSET(CRONOPLE!$F$14,$M98,BK$13))))</f>
        <v>1000000000000</v>
      </c>
      <c r="BL98" s="181">
        <f ca="1">IF($D98&lt;&gt;"Serviço",0,IF(AND(AUTOEVENTO="Manual",$M98=1),0,IF(OFFSET(CRONOPLE!$F$14,$M98,BL$13)="",10^12,OFFSET(CRONOPLE!$F$14,$M98,BL$13))))</f>
        <v>1000000000000</v>
      </c>
      <c r="BM98" s="181">
        <f ca="1">IF($D98&lt;&gt;"Serviço",0,IF(AND(AUTOEVENTO="Manual",$M98=1),0,IF(OFFSET(CRONOPLE!$F$14,$M98,BM$13)="",10^12,OFFSET(CRONOPLE!$F$14,$M98,BM$13))))</f>
        <v>1000000000000</v>
      </c>
      <c r="BN98" s="181">
        <f ca="1">IF($D98&lt;&gt;"Serviço",0,IF(AND(AUTOEVENTO="Manual",$M98=1),0,IF(OFFSET(CRONOPLE!$F$14,$M98,BN$13)="",10^12,OFFSET(CRONOPLE!$F$14,$M98,BN$13))))</f>
        <v>1000000000000</v>
      </c>
      <c r="BO98" s="181">
        <f ca="1">IF($D98&lt;&gt;"Serviço",0,IF(AND(AUTOEVENTO="Manual",$M98=1),0,IF(OFFSET(CRONOPLE!$F$14,$M98,BO$13)="",10^12,OFFSET(CRONOPLE!$F$14,$M98,BO$13))))</f>
        <v>1000000000000</v>
      </c>
      <c r="BP98" s="181">
        <f ca="1">IF($D98&lt;&gt;"Serviço",0,IF(AND(AUTOEVENTO="Manual",$M98=1),0,IF(OFFSET(CRONOPLE!$F$14,$M98,BP$13)="",10^12,OFFSET(CRONOPLE!$F$14,$M98,BP$13))))</f>
        <v>1000000000000</v>
      </c>
      <c r="BQ98" s="181">
        <f ca="1">IF($D98&lt;&gt;"Serviço",0,IF(AND(AUTOEVENTO="Manual",$M98=1),0,IF(OFFSET(CRONOPLE!$F$14,$M98,BQ$13)="",10^12,OFFSET(CRONOPLE!$F$14,$M98,BQ$13))))</f>
        <v>1000000000000</v>
      </c>
      <c r="BR98" s="181">
        <f ca="1">IF($D98&lt;&gt;"Serviço",0,IF(AND(AUTOEVENTO="Manual",$M98=1),0,IF(OFFSET(CRONOPLE!$F$14,$M98,BR$13)="",10^12,OFFSET(CRONOPLE!$F$14,$M98,BR$13))))</f>
        <v>1000000000000</v>
      </c>
      <c r="BS98" s="181">
        <f ca="1">IF($D98&lt;&gt;"Serviço",0,IF(AND(AUTOEVENTO="Manual",$M98=1),0,IF(OFFSET(CRONOPLE!$F$14,$M98,BS$13)="",10^12,OFFSET(CRONOPLE!$F$14,$M98,BS$13))))</f>
        <v>1000000000000</v>
      </c>
      <c r="BT98" s="181">
        <f ca="1">IF($D98&lt;&gt;"Serviço",0,IF(AND(AUTOEVENTO="Manual",$M98=1),0,IF(OFFSET(CRONOPLE!$F$14,$M98,BT$13)="",10^12,OFFSET(CRONOPLE!$F$14,$M98,BT$13))))</f>
        <v>1000000000000</v>
      </c>
      <c r="BV98" s="182">
        <f ca="1">IF($D98&lt;&gt;"Serviço",0,IF(OR(AND(AUTOEVENTO="Manual",$M98=1),$M98&gt;(ROW(PLE.lastrow)-ROW(PLE.firstrow))),0,IF(OFFSET(PLE!$G$14,$M98,BV$13)="",10^12,OFFSET(PLE!$G$14,$M98,BV$13))))</f>
        <v>1000000000000</v>
      </c>
      <c r="BW98" s="182">
        <f ca="1">IF($D98&lt;&gt;"Serviço",0,IF(OR(AND(AUTOEVENTO="Manual",$M98=1),$M98&gt;(ROW(PLE.lastrow)-ROW(PLE.firstrow))),0,IF(OFFSET(PLE!$G$14,$M98,BW$13)="",10^12,OFFSET(PLE!$G$14,$M98,BW$13))))</f>
        <v>1000000000000</v>
      </c>
      <c r="BX98" s="182">
        <f ca="1">IF($D98&lt;&gt;"Serviço",0,IF(OR(AND(AUTOEVENTO="Manual",$M98=1),$M98&gt;(ROW(PLE.lastrow)-ROW(PLE.firstrow))),0,IF(OFFSET(PLE!$G$14,$M98,BX$13)="",10^12,OFFSET(PLE!$G$14,$M98,BX$13))))</f>
        <v>1000000000000</v>
      </c>
      <c r="BY98" s="182">
        <f ca="1">IF($D98&lt;&gt;"Serviço",0,IF(OR(AND(AUTOEVENTO="Manual",$M98=1),$M98&gt;(ROW(PLE.lastrow)-ROW(PLE.firstrow))),0,IF(OFFSET(PLE!$G$14,$M98,BY$13)="",10^12,OFFSET(PLE!$G$14,$M98,BY$13))))</f>
        <v>1000000000000</v>
      </c>
      <c r="BZ98" s="182">
        <f ca="1">IF($D98&lt;&gt;"Serviço",0,IF(OR(AND(AUTOEVENTO="Manual",$M98=1),$M98&gt;(ROW(PLE.lastrow)-ROW(PLE.firstrow))),0,IF(OFFSET(PLE!$G$14,$M98,BZ$13)="",10^12,OFFSET(PLE!$G$14,$M98,BZ$13))))</f>
        <v>1000000000000</v>
      </c>
      <c r="CA98" s="182">
        <f ca="1">IF($D98&lt;&gt;"Serviço",0,IF(OR(AND(AUTOEVENTO="Manual",$M98=1),$M98&gt;(ROW(PLE.lastrow)-ROW(PLE.firstrow))),0,IF(OFFSET(PLE!$G$14,$M98,CA$13)="",10^12,OFFSET(PLE!$G$14,$M98,CA$13))))</f>
        <v>1000000000000</v>
      </c>
      <c r="CB98" s="182">
        <f ca="1">IF($D98&lt;&gt;"Serviço",0,IF(OR(AND(AUTOEVENTO="Manual",$M98=1),$M98&gt;(ROW(PLE.lastrow)-ROW(PLE.firstrow))),0,IF(OFFSET(PLE!$G$14,$M98,CB$13)="",10^12,OFFSET(PLE!$G$14,$M98,CB$13))))</f>
        <v>1000000000000</v>
      </c>
      <c r="CC98" s="182">
        <f ca="1">IF($D98&lt;&gt;"Serviço",0,IF(OR(AND(AUTOEVENTO="Manual",$M98=1),$M98&gt;(ROW(PLE.lastrow)-ROW(PLE.firstrow))),0,IF(OFFSET(PLE!$G$14,$M98,CC$13)="",10^12,OFFSET(PLE!$G$14,$M98,CC$13))))</f>
        <v>1000000000000</v>
      </c>
      <c r="CD98" s="182">
        <f ca="1">IF($D98&lt;&gt;"Serviço",0,IF(OR(AND(AUTOEVENTO="Manual",$M98=1),$M98&gt;(ROW(PLE.lastrow)-ROW(PLE.firstrow))),0,IF(OFFSET(PLE!$G$14,$M98,CD$13)="",10^12,OFFSET(PLE!$G$14,$M98,CD$13))))</f>
        <v>1000000000000</v>
      </c>
      <c r="CE98" s="182">
        <f ca="1">IF($D98&lt;&gt;"Serviço",0,IF(OR(AND(AUTOEVENTO="Manual",$M98=1),$M98&gt;(ROW(PLE.lastrow)-ROW(PLE.firstrow))),0,IF(OFFSET(PLE!$G$14,$M98,CE$13)="",10^12,OFFSET(PLE!$G$14,$M98,CE$13))))</f>
        <v>1000000000000</v>
      </c>
      <c r="CF98" s="182">
        <f ca="1">IF($D98&lt;&gt;"Serviço",0,IF(OR(AND(AUTOEVENTO="Manual",$M98=1),$M98&gt;(ROW(PLE.lastrow)-ROW(PLE.firstrow))),0,IF(OFFSET(PLE!$G$14,$M98,CF$13)="",10^12,OFFSET(PLE!$G$14,$M98,CF$13))))</f>
        <v>1000000000000</v>
      </c>
      <c r="CG98" s="182">
        <f ca="1">IF($D98&lt;&gt;"Serviço",0,IF(OR(AND(AUTOEVENTO="Manual",$M98=1),$M98&gt;(ROW(PLE.lastrow)-ROW(PLE.firstrow))),0,IF(OFFSET(PLE!$G$14,$M98,CG$13)="",10^12,OFFSET(PLE!$G$14,$M98,CG$13))))</f>
        <v>1000000000000</v>
      </c>
      <c r="CH98" s="182">
        <f ca="1">IF($D98&lt;&gt;"Serviço",0,IF(OR(AND(AUTOEVENTO="Manual",$M98=1),$M98&gt;(ROW(PLE.lastrow)-ROW(PLE.firstrow))),0,IF(OFFSET(PLE!$G$14,$M98,CH$13)="",10^12,OFFSET(PLE!$G$14,$M98,CH$13))))</f>
        <v>1000000000000</v>
      </c>
      <c r="CI98" s="182">
        <f ca="1">IF($D98&lt;&gt;"Serviço",0,IF(OR(AND(AUTOEVENTO="Manual",$M98=1),$M98&gt;(ROW(PLE.lastrow)-ROW(PLE.firstrow))),0,IF(OFFSET(PLE!$G$14,$M98,CI$13)="",10^12,OFFSET(PLE!$G$14,$M98,CI$13))))</f>
        <v>1000000000000</v>
      </c>
      <c r="CJ98" s="182">
        <f ca="1">IF($D98&lt;&gt;"Serviço",0,IF(OR(AND(AUTOEVENTO="Manual",$M98=1),$M98&gt;(ROW(PLE.lastrow)-ROW(PLE.firstrow))),0,IF(OFFSET(PLE!$G$14,$M98,CJ$13)="",10^12,OFFSET(PLE!$G$14,$M98,CJ$13))))</f>
        <v>1000000000000</v>
      </c>
      <c r="CK98" s="182">
        <f ca="1">IF($D98&lt;&gt;"Serviço",0,IF(OR(AND(AUTOEVENTO="Manual",$M98=1),$M98&gt;(ROW(PLE.lastrow)-ROW(PLE.firstrow))),0,IF(OFFSET(PLE!$G$14,$M98,CK$13)="",10^12,OFFSET(PLE!$G$14,$M98,CK$13))))</f>
        <v>1000000000000</v>
      </c>
      <c r="CL98" s="182">
        <f ca="1">IF($D98&lt;&gt;"Serviço",0,IF(OR(AND(AUTOEVENTO="Manual",$M98=1),$M98&gt;(ROW(PLE.lastrow)-ROW(PLE.firstrow))),0,IF(OFFSET(PLE!$G$14,$M98,CL$13)="",10^12,OFFSET(PLE!$G$14,$M98,CL$13))))</f>
        <v>1000000000000</v>
      </c>
      <c r="CM98" s="182">
        <f ca="1">IF($D98&lt;&gt;"Serviço",0,IF(OR(AND(AUTOEVENTO="Manual",$M98=1),$M98&gt;(ROW(PLE.lastrow)-ROW(PLE.firstrow))),0,IF(OFFSET(PLE!$G$14,$M98,CM$13)="",10^12,OFFSET(PLE!$G$14,$M98,CM$13))))</f>
        <v>1000000000000</v>
      </c>
    </row>
    <row r="99" spans="1:91" ht="38.25" x14ac:dyDescent="0.2">
      <c r="A99" s="7" t="str">
        <f t="shared" ca="1" si="10"/>
        <v>81</v>
      </c>
      <c r="B99" s="7" t="str">
        <f ca="1">OFFSET(ORÇAMENTO!C$15,ROW(B99)-ROW(B$15),0)</f>
        <v>S</v>
      </c>
      <c r="C99" s="7" t="str">
        <f ca="1">OFFSET(ORÇAMENTO!L$15,ROW(C99)-ROW(C$15),0)</f>
        <v/>
      </c>
      <c r="D99" s="118" t="str">
        <f ca="1">OFFSET(ORÇAMENTO!N$15,ROW(D99)-ROW(D$15),0)</f>
        <v>Serviço</v>
      </c>
      <c r="E99" s="119" t="str">
        <f ca="1">OFFSET(ORÇAMENTO!O$15,ROW(E99)-ROW(E$15),0)</f>
        <v>-</v>
      </c>
      <c r="F99" s="172" t="str">
        <f ca="1">OFFSET(ORÇAMENTO!R$15,ROW(F99)-ROW(F$15),0)</f>
        <v>(abra o arquivo 'Referência 06-2024.xlsm)</v>
      </c>
      <c r="G99" s="173" t="str">
        <f ca="1">IF($D99&lt;&gt;"Serviço","",OFFSET(ORÇAMENTO!S$15,ROW(G99)-ROW(G$15),0))</f>
        <v>-</v>
      </c>
      <c r="H99" s="124">
        <f ca="1">IF($D99&lt;&gt;"Serviço",0,IF(ACOMPANHAMENTO="BM",ROUND(OFFSET(ORÇAMENTO!AJ$15,ROW(H99)-ROW(H$15),0),15-13*ORÇAMENTO!$AF$7),SUMPRODUCT(($Q$12:$AI$12&lt;&gt;"")*ROUND($Q99:$AI99,15-13*ORÇAMENTO!$AF$7))))</f>
        <v>490.26</v>
      </c>
      <c r="I99" s="561" t="s">
        <v>1107</v>
      </c>
      <c r="K99" s="174"/>
      <c r="L99" s="175" t="s">
        <v>255</v>
      </c>
      <c r="M99" s="176">
        <f ca="1">IF($D99&lt;&gt;"Serviço","",IF(AUTOEVENTO="manual",$A99,IF(ISERROR(MATCH($A99,$A$15:OFFSET($A99,-1,0),0)),MAX($M$15:OFFSET(M99,-1,0))+1,INDEX($M$15:OFFSET(M99,-1,0),MATCH($A99,$A$15:OFFSET($A99,-1,0),0)))))</f>
        <v>15</v>
      </c>
      <c r="N99" s="177" t="str">
        <f ca="1">IF($D99&lt;&gt;"Serviço","",IF(AUTOEVENTO="Manual",IF($A99=0,"&lt;-- defina o número do agrupador",OFFSET(EVENTOS!$D$14,$A99,0)),OFFSET($F$15,$A99,0)))</f>
        <v>PAVIMENTAÇÃO EXTERNA - CALÇADA DE PISO DE CONCRETO 7 CM</v>
      </c>
      <c r="O99" s="178"/>
      <c r="Q99" s="178">
        <v>490.26</v>
      </c>
      <c r="R99" s="179"/>
      <c r="S99" s="179"/>
      <c r="T99" s="179"/>
      <c r="U99" s="179"/>
      <c r="V99" s="179"/>
      <c r="W99" s="179"/>
      <c r="X99" s="179"/>
      <c r="Y99" s="179"/>
      <c r="Z99" s="180"/>
      <c r="AA99" s="179"/>
      <c r="AB99" s="179"/>
      <c r="AC99" s="179"/>
      <c r="AD99" s="179"/>
      <c r="AE99" s="179"/>
      <c r="AF99" s="179"/>
      <c r="AG99" s="179"/>
      <c r="AH99" s="180"/>
      <c r="AJ99" s="544">
        <f ca="1">IF(AND($D99="Serviço",AJ$12&lt;&gt;0,$H99&gt;0,OR(AUTOEVENTO&lt;&gt;"manual",$M99&lt;&gt;1)),
IF(Import.TipoArredondamento&lt;&gt;"TransfereGOV",
ROUND(OFFSET($P99,0,AJ$13),15-13*ORÇAMENTO!$AF$7)/$H99*OFFSET(ORÇAMENTO!$X$15,ROW(AJ99)-ROW(AJ$15),0),
ROUND(ROUND(OFFSET($P99,0,AJ$13),15-13*ORÇAMENTO!$AF$7)*OFFSET(ORÇAMENTO!$W$15,ROW(AJ99)-ROW(AJ$15),0),15-13*ORÇAMENTO!$AF$11)),0)</f>
        <v>0</v>
      </c>
      <c r="AK99" s="545">
        <f ca="1">IF(AND($D99="Serviço",AK$12&lt;&gt;0,$H99&gt;0,OR(AUTOEVENTO&lt;&gt;"manual",$M99&lt;&gt;1)),
IF(Import.TipoArredondamento&lt;&gt;"TransfereGOV",
ROUND(OFFSET($P99,0,AK$13),15-13*ORÇAMENTO!$AF$7)/$H99*OFFSET(ORÇAMENTO!$X$15,ROW(AK99)-ROW(AK$15),0),
ROUND(ROUND(OFFSET($P99,0,AK$13),15-13*ORÇAMENTO!$AF$7)*OFFSET(ORÇAMENTO!$W$15,ROW(AK99)-ROW(AK$15),0),15-13*ORÇAMENTO!$AF$11)),0)</f>
        <v>0</v>
      </c>
      <c r="AL99" s="545">
        <f ca="1">IF(AND($D99="Serviço",AL$12&lt;&gt;0,$H99&gt;0,OR(AUTOEVENTO&lt;&gt;"manual",$M99&lt;&gt;1)),
IF(Import.TipoArredondamento&lt;&gt;"TransfereGOV",
ROUND(OFFSET($P99,0,AL$13),15-13*ORÇAMENTO!$AF$7)/$H99*OFFSET(ORÇAMENTO!$X$15,ROW(AL99)-ROW(AL$15),0),
ROUND(ROUND(OFFSET($P99,0,AL$13),15-13*ORÇAMENTO!$AF$7)*OFFSET(ORÇAMENTO!$W$15,ROW(AL99)-ROW(AL$15),0),15-13*ORÇAMENTO!$AF$11)),0)</f>
        <v>0</v>
      </c>
      <c r="AM99" s="545">
        <f ca="1">IF(AND($D99="Serviço",AM$12&lt;&gt;0,$H99&gt;0,OR(AUTOEVENTO&lt;&gt;"manual",$M99&lt;&gt;1)),
IF(Import.TipoArredondamento&lt;&gt;"TransfereGOV",
ROUND(OFFSET($P99,0,AM$13),15-13*ORÇAMENTO!$AF$7)/$H99*OFFSET(ORÇAMENTO!$X$15,ROW(AM99)-ROW(AM$15),0),
ROUND(ROUND(OFFSET($P99,0,AM$13),15-13*ORÇAMENTO!$AF$7)*OFFSET(ORÇAMENTO!$W$15,ROW(AM99)-ROW(AM$15),0),15-13*ORÇAMENTO!$AF$11)),0)</f>
        <v>0</v>
      </c>
      <c r="AN99" s="545">
        <f ca="1">IF(AND($D99="Serviço",AN$12&lt;&gt;0,$H99&gt;0,OR(AUTOEVENTO&lt;&gt;"manual",$M99&lt;&gt;1)),
IF(Import.TipoArredondamento&lt;&gt;"TransfereGOV",
ROUND(OFFSET($P99,0,AN$13),15-13*ORÇAMENTO!$AF$7)/$H99*OFFSET(ORÇAMENTO!$X$15,ROW(AN99)-ROW(AN$15),0),
ROUND(ROUND(OFFSET($P99,0,AN$13),15-13*ORÇAMENTO!$AF$7)*OFFSET(ORÇAMENTO!$W$15,ROW(AN99)-ROW(AN$15),0),15-13*ORÇAMENTO!$AF$11)),0)</f>
        <v>0</v>
      </c>
      <c r="AO99" s="545">
        <f ca="1">IF(AND($D99="Serviço",AO$12&lt;&gt;0,$H99&gt;0,OR(AUTOEVENTO&lt;&gt;"manual",$M99&lt;&gt;1)),
IF(Import.TipoArredondamento&lt;&gt;"TransfereGOV",
ROUND(OFFSET($P99,0,AO$13),15-13*ORÇAMENTO!$AF$7)/$H99*OFFSET(ORÇAMENTO!$X$15,ROW(AO99)-ROW(AO$15),0),
ROUND(ROUND(OFFSET($P99,0,AO$13),15-13*ORÇAMENTO!$AF$7)*OFFSET(ORÇAMENTO!$W$15,ROW(AO99)-ROW(AO$15),0),15-13*ORÇAMENTO!$AF$11)),0)</f>
        <v>0</v>
      </c>
      <c r="AP99" s="545">
        <f ca="1">IF(AND($D99="Serviço",AP$12&lt;&gt;0,$H99&gt;0,OR(AUTOEVENTO&lt;&gt;"manual",$M99&lt;&gt;1)),
IF(Import.TipoArredondamento&lt;&gt;"TransfereGOV",
ROUND(OFFSET($P99,0,AP$13),15-13*ORÇAMENTO!$AF$7)/$H99*OFFSET(ORÇAMENTO!$X$15,ROW(AP99)-ROW(AP$15),0),
ROUND(ROUND(OFFSET($P99,0,AP$13),15-13*ORÇAMENTO!$AF$7)*OFFSET(ORÇAMENTO!$W$15,ROW(AP99)-ROW(AP$15),0),15-13*ORÇAMENTO!$AF$11)),0)</f>
        <v>0</v>
      </c>
      <c r="AQ99" s="545">
        <f ca="1">IF(AND($D99="Serviço",AQ$12&lt;&gt;0,$H99&gt;0,OR(AUTOEVENTO&lt;&gt;"manual",$M99&lt;&gt;1)),
IF(Import.TipoArredondamento&lt;&gt;"TransfereGOV",
ROUND(OFFSET($P99,0,AQ$13),15-13*ORÇAMENTO!$AF$7)/$H99*OFFSET(ORÇAMENTO!$X$15,ROW(AQ99)-ROW(AQ$15),0),
ROUND(ROUND(OFFSET($P99,0,AQ$13),15-13*ORÇAMENTO!$AF$7)*OFFSET(ORÇAMENTO!$W$15,ROW(AQ99)-ROW(AQ$15),0),15-13*ORÇAMENTO!$AF$11)),0)</f>
        <v>0</v>
      </c>
      <c r="AR99" s="545">
        <f ca="1">IF(AND($D99="Serviço",AR$12&lt;&gt;0,$H99&gt;0,OR(AUTOEVENTO&lt;&gt;"manual",$M99&lt;&gt;1)),
IF(Import.TipoArredondamento&lt;&gt;"TransfereGOV",
ROUND(OFFSET($P99,0,AR$13),15-13*ORÇAMENTO!$AF$7)/$H99*OFFSET(ORÇAMENTO!$X$15,ROW(AR99)-ROW(AR$15),0),
ROUND(ROUND(OFFSET($P99,0,AR$13),15-13*ORÇAMENTO!$AF$7)*OFFSET(ORÇAMENTO!$W$15,ROW(AR99)-ROW(AR$15),0),15-13*ORÇAMENTO!$AF$11)),0)</f>
        <v>0</v>
      </c>
      <c r="AS99" s="546">
        <f ca="1">IF(AND($D99="Serviço",AS$12&lt;&gt;0,$H99&gt;0,OR(AUTOEVENTO&lt;&gt;"manual",$M99&lt;&gt;1)),
IF(Import.TipoArredondamento&lt;&gt;"TransfereGOV",
ROUND(OFFSET($P99,0,AS$13),15-13*ORÇAMENTO!$AF$7)/$H99*OFFSET(ORÇAMENTO!$X$15,ROW(AS99)-ROW(AS$15),0),
ROUND(ROUND(OFFSET($P99,0,AS$13),15-13*ORÇAMENTO!$AF$7)*OFFSET(ORÇAMENTO!$W$15,ROW(AS99)-ROW(AS$15),0),15-13*ORÇAMENTO!$AF$11)),0)</f>
        <v>0</v>
      </c>
      <c r="AT99" s="545">
        <f ca="1">IF(AND($D99="Serviço",AT$12&lt;&gt;0,$H99&gt;0,OR(AUTOEVENTO&lt;&gt;"manual",$M99&lt;&gt;1)),
IF(Import.TipoArredondamento&lt;&gt;"TransfereGOV",
ROUND(OFFSET($P99,0,AT$13),15-13*ORÇAMENTO!$AF$7)/$H99*OFFSET(ORÇAMENTO!$X$15,ROW(AT99)-ROW(AT$15),0),
ROUND(ROUND(OFFSET($P99,0,AT$13),15-13*ORÇAMENTO!$AF$7)*OFFSET(ORÇAMENTO!$W$15,ROW(AT99)-ROW(AT$15),0),15-13*ORÇAMENTO!$AF$11)),0)</f>
        <v>0</v>
      </c>
      <c r="AU99" s="545">
        <f ca="1">IF(AND($D99="Serviço",AU$12&lt;&gt;0,$H99&gt;0,OR(AUTOEVENTO&lt;&gt;"manual",$M99&lt;&gt;1)),
IF(Import.TipoArredondamento&lt;&gt;"TransfereGOV",
ROUND(OFFSET($P99,0,AU$13),15-13*ORÇAMENTO!$AF$7)/$H99*OFFSET(ORÇAMENTO!$X$15,ROW(AU99)-ROW(AU$15),0),
ROUND(ROUND(OFFSET($P99,0,AU$13),15-13*ORÇAMENTO!$AF$7)*OFFSET(ORÇAMENTO!$W$15,ROW(AU99)-ROW(AU$15),0),15-13*ORÇAMENTO!$AF$11)),0)</f>
        <v>0</v>
      </c>
      <c r="AV99" s="545">
        <f ca="1">IF(AND($D99="Serviço",AV$12&lt;&gt;0,$H99&gt;0,OR(AUTOEVENTO&lt;&gt;"manual",$M99&lt;&gt;1)),
IF(Import.TipoArredondamento&lt;&gt;"TransfereGOV",
ROUND(OFFSET($P99,0,AV$13),15-13*ORÇAMENTO!$AF$7)/$H99*OFFSET(ORÇAMENTO!$X$15,ROW(AV99)-ROW(AV$15),0),
ROUND(ROUND(OFFSET($P99,0,AV$13),15-13*ORÇAMENTO!$AF$7)*OFFSET(ORÇAMENTO!$W$15,ROW(AV99)-ROW(AV$15),0),15-13*ORÇAMENTO!$AF$11)),0)</f>
        <v>0</v>
      </c>
      <c r="AW99" s="545">
        <f ca="1">IF(AND($D99="Serviço",AW$12&lt;&gt;0,$H99&gt;0,OR(AUTOEVENTO&lt;&gt;"manual",$M99&lt;&gt;1)),
IF(Import.TipoArredondamento&lt;&gt;"TransfereGOV",
ROUND(OFFSET($P99,0,AW$13),15-13*ORÇAMENTO!$AF$7)/$H99*OFFSET(ORÇAMENTO!$X$15,ROW(AW99)-ROW(AW$15),0),
ROUND(ROUND(OFFSET($P99,0,AW$13),15-13*ORÇAMENTO!$AF$7)*OFFSET(ORÇAMENTO!$W$15,ROW(AW99)-ROW(AW$15),0),15-13*ORÇAMENTO!$AF$11)),0)</f>
        <v>0</v>
      </c>
      <c r="AX99" s="545">
        <f ca="1">IF(AND($D99="Serviço",AX$12&lt;&gt;0,$H99&gt;0,OR(AUTOEVENTO&lt;&gt;"manual",$M99&lt;&gt;1)),
IF(Import.TipoArredondamento&lt;&gt;"TransfereGOV",
ROUND(OFFSET($P99,0,AX$13),15-13*ORÇAMENTO!$AF$7)/$H99*OFFSET(ORÇAMENTO!$X$15,ROW(AX99)-ROW(AX$15),0),
ROUND(ROUND(OFFSET($P99,0,AX$13),15-13*ORÇAMENTO!$AF$7)*OFFSET(ORÇAMENTO!$W$15,ROW(AX99)-ROW(AX$15),0),15-13*ORÇAMENTO!$AF$11)),0)</f>
        <v>0</v>
      </c>
      <c r="AY99" s="545">
        <f ca="1">IF(AND($D99="Serviço",AY$12&lt;&gt;0,$H99&gt;0,OR(AUTOEVENTO&lt;&gt;"manual",$M99&lt;&gt;1)),
IF(Import.TipoArredondamento&lt;&gt;"TransfereGOV",
ROUND(OFFSET($P99,0,AY$13),15-13*ORÇAMENTO!$AF$7)/$H99*OFFSET(ORÇAMENTO!$X$15,ROW(AY99)-ROW(AY$15),0),
ROUND(ROUND(OFFSET($P99,0,AY$13),15-13*ORÇAMENTO!$AF$7)*OFFSET(ORÇAMENTO!$W$15,ROW(AY99)-ROW(AY$15),0),15-13*ORÇAMENTO!$AF$11)),0)</f>
        <v>0</v>
      </c>
      <c r="AZ99" s="545">
        <f ca="1">IF(AND($D99="Serviço",AZ$12&lt;&gt;0,$H99&gt;0,OR(AUTOEVENTO&lt;&gt;"manual",$M99&lt;&gt;1)),
IF(Import.TipoArredondamento&lt;&gt;"TransfereGOV",
ROUND(OFFSET($P99,0,AZ$13),15-13*ORÇAMENTO!$AF$7)/$H99*OFFSET(ORÇAMENTO!$X$15,ROW(AZ99)-ROW(AZ$15),0),
ROUND(ROUND(OFFSET($P99,0,AZ$13),15-13*ORÇAMENTO!$AF$7)*OFFSET(ORÇAMENTO!$W$15,ROW(AZ99)-ROW(AZ$15),0),15-13*ORÇAMENTO!$AF$11)),0)</f>
        <v>0</v>
      </c>
      <c r="BA99" s="546">
        <f ca="1">IF(AND($D99="Serviço",BA$12&lt;&gt;0,$H99&gt;0,OR(AUTOEVENTO&lt;&gt;"manual",$M99&lt;&gt;1)),
IF(Import.TipoArredondamento&lt;&gt;"TransfereGOV",
ROUND(OFFSET($P99,0,BA$13),15-13*ORÇAMENTO!$AF$7)/$H99*OFFSET(ORÇAMENTO!$X$15,ROW(BA99)-ROW(BA$15),0),
ROUND(ROUND(OFFSET($P99,0,BA$13),15-13*ORÇAMENTO!$AF$7)*OFFSET(ORÇAMENTO!$W$15,ROW(BA99)-ROW(BA$15),0),15-13*ORÇAMENTO!$AF$11)),0)</f>
        <v>0</v>
      </c>
      <c r="BC99" s="181">
        <f ca="1">IF($D99&lt;&gt;"Serviço",0,IF(AND(AUTOEVENTO="Manual",$M99=1),0,IF(OFFSET(CRONOPLE!$F$14,$M99,BC$13)="",10^12,OFFSET(CRONOPLE!$F$14,$M99,BC$13))))</f>
        <v>4</v>
      </c>
      <c r="BD99" s="181">
        <f ca="1">IF($D99&lt;&gt;"Serviço",0,IF(AND(AUTOEVENTO="Manual",$M99=1),0,IF(OFFSET(CRONOPLE!$F$14,$M99,BD$13)="",10^12,OFFSET(CRONOPLE!$F$14,$M99,BD$13))))</f>
        <v>1000000000000</v>
      </c>
      <c r="BE99" s="181">
        <f ca="1">IF($D99&lt;&gt;"Serviço",0,IF(AND(AUTOEVENTO="Manual",$M99=1),0,IF(OFFSET(CRONOPLE!$F$14,$M99,BE$13)="",10^12,OFFSET(CRONOPLE!$F$14,$M99,BE$13))))</f>
        <v>1000000000000</v>
      </c>
      <c r="BF99" s="181">
        <f ca="1">IF($D99&lt;&gt;"Serviço",0,IF(AND(AUTOEVENTO="Manual",$M99=1),0,IF(OFFSET(CRONOPLE!$F$14,$M99,BF$13)="",10^12,OFFSET(CRONOPLE!$F$14,$M99,BF$13))))</f>
        <v>1000000000000</v>
      </c>
      <c r="BG99" s="181">
        <f ca="1">IF($D99&lt;&gt;"Serviço",0,IF(AND(AUTOEVENTO="Manual",$M99=1),0,IF(OFFSET(CRONOPLE!$F$14,$M99,BG$13)="",10^12,OFFSET(CRONOPLE!$F$14,$M99,BG$13))))</f>
        <v>1000000000000</v>
      </c>
      <c r="BH99" s="181">
        <f ca="1">IF($D99&lt;&gt;"Serviço",0,IF(AND(AUTOEVENTO="Manual",$M99=1),0,IF(OFFSET(CRONOPLE!$F$14,$M99,BH$13)="",10^12,OFFSET(CRONOPLE!$F$14,$M99,BH$13))))</f>
        <v>1000000000000</v>
      </c>
      <c r="BI99" s="181">
        <f ca="1">IF($D99&lt;&gt;"Serviço",0,IF(AND(AUTOEVENTO="Manual",$M99=1),0,IF(OFFSET(CRONOPLE!$F$14,$M99,BI$13)="",10^12,OFFSET(CRONOPLE!$F$14,$M99,BI$13))))</f>
        <v>1000000000000</v>
      </c>
      <c r="BJ99" s="181">
        <f ca="1">IF($D99&lt;&gt;"Serviço",0,IF(AND(AUTOEVENTO="Manual",$M99=1),0,IF(OFFSET(CRONOPLE!$F$14,$M99,BJ$13)="",10^12,OFFSET(CRONOPLE!$F$14,$M99,BJ$13))))</f>
        <v>1000000000000</v>
      </c>
      <c r="BK99" s="181">
        <f ca="1">IF($D99&lt;&gt;"Serviço",0,IF(AND(AUTOEVENTO="Manual",$M99=1),0,IF(OFFSET(CRONOPLE!$F$14,$M99,BK$13)="",10^12,OFFSET(CRONOPLE!$F$14,$M99,BK$13))))</f>
        <v>1000000000000</v>
      </c>
      <c r="BL99" s="181">
        <f ca="1">IF($D99&lt;&gt;"Serviço",0,IF(AND(AUTOEVENTO="Manual",$M99=1),0,IF(OFFSET(CRONOPLE!$F$14,$M99,BL$13)="",10^12,OFFSET(CRONOPLE!$F$14,$M99,BL$13))))</f>
        <v>1000000000000</v>
      </c>
      <c r="BM99" s="181">
        <f ca="1">IF($D99&lt;&gt;"Serviço",0,IF(AND(AUTOEVENTO="Manual",$M99=1),0,IF(OFFSET(CRONOPLE!$F$14,$M99,BM$13)="",10^12,OFFSET(CRONOPLE!$F$14,$M99,BM$13))))</f>
        <v>1000000000000</v>
      </c>
      <c r="BN99" s="181">
        <f ca="1">IF($D99&lt;&gt;"Serviço",0,IF(AND(AUTOEVENTO="Manual",$M99=1),0,IF(OFFSET(CRONOPLE!$F$14,$M99,BN$13)="",10^12,OFFSET(CRONOPLE!$F$14,$M99,BN$13))))</f>
        <v>1000000000000</v>
      </c>
      <c r="BO99" s="181">
        <f ca="1">IF($D99&lt;&gt;"Serviço",0,IF(AND(AUTOEVENTO="Manual",$M99=1),0,IF(OFFSET(CRONOPLE!$F$14,$M99,BO$13)="",10^12,OFFSET(CRONOPLE!$F$14,$M99,BO$13))))</f>
        <v>1000000000000</v>
      </c>
      <c r="BP99" s="181">
        <f ca="1">IF($D99&lt;&gt;"Serviço",0,IF(AND(AUTOEVENTO="Manual",$M99=1),0,IF(OFFSET(CRONOPLE!$F$14,$M99,BP$13)="",10^12,OFFSET(CRONOPLE!$F$14,$M99,BP$13))))</f>
        <v>1000000000000</v>
      </c>
      <c r="BQ99" s="181">
        <f ca="1">IF($D99&lt;&gt;"Serviço",0,IF(AND(AUTOEVENTO="Manual",$M99=1),0,IF(OFFSET(CRONOPLE!$F$14,$M99,BQ$13)="",10^12,OFFSET(CRONOPLE!$F$14,$M99,BQ$13))))</f>
        <v>1000000000000</v>
      </c>
      <c r="BR99" s="181">
        <f ca="1">IF($D99&lt;&gt;"Serviço",0,IF(AND(AUTOEVENTO="Manual",$M99=1),0,IF(OFFSET(CRONOPLE!$F$14,$M99,BR$13)="",10^12,OFFSET(CRONOPLE!$F$14,$M99,BR$13))))</f>
        <v>1000000000000</v>
      </c>
      <c r="BS99" s="181">
        <f ca="1">IF($D99&lt;&gt;"Serviço",0,IF(AND(AUTOEVENTO="Manual",$M99=1),0,IF(OFFSET(CRONOPLE!$F$14,$M99,BS$13)="",10^12,OFFSET(CRONOPLE!$F$14,$M99,BS$13))))</f>
        <v>1000000000000</v>
      </c>
      <c r="BT99" s="181">
        <f ca="1">IF($D99&lt;&gt;"Serviço",0,IF(AND(AUTOEVENTO="Manual",$M99=1),0,IF(OFFSET(CRONOPLE!$F$14,$M99,BT$13)="",10^12,OFFSET(CRONOPLE!$F$14,$M99,BT$13))))</f>
        <v>1000000000000</v>
      </c>
      <c r="BV99" s="182">
        <f ca="1">IF($D99&lt;&gt;"Serviço",0,IF(OR(AND(AUTOEVENTO="Manual",$M99=1),$M99&gt;(ROW(PLE.lastrow)-ROW(PLE.firstrow))),0,IF(OFFSET(PLE!$G$14,$M99,BV$13)="",10^12,OFFSET(PLE!$G$14,$M99,BV$13))))</f>
        <v>1000000000000</v>
      </c>
      <c r="BW99" s="182">
        <f ca="1">IF($D99&lt;&gt;"Serviço",0,IF(OR(AND(AUTOEVENTO="Manual",$M99=1),$M99&gt;(ROW(PLE.lastrow)-ROW(PLE.firstrow))),0,IF(OFFSET(PLE!$G$14,$M99,BW$13)="",10^12,OFFSET(PLE!$G$14,$M99,BW$13))))</f>
        <v>1000000000000</v>
      </c>
      <c r="BX99" s="182">
        <f ca="1">IF($D99&lt;&gt;"Serviço",0,IF(OR(AND(AUTOEVENTO="Manual",$M99=1),$M99&gt;(ROW(PLE.lastrow)-ROW(PLE.firstrow))),0,IF(OFFSET(PLE!$G$14,$M99,BX$13)="",10^12,OFFSET(PLE!$G$14,$M99,BX$13))))</f>
        <v>1000000000000</v>
      </c>
      <c r="BY99" s="182">
        <f ca="1">IF($D99&lt;&gt;"Serviço",0,IF(OR(AND(AUTOEVENTO="Manual",$M99=1),$M99&gt;(ROW(PLE.lastrow)-ROW(PLE.firstrow))),0,IF(OFFSET(PLE!$G$14,$M99,BY$13)="",10^12,OFFSET(PLE!$G$14,$M99,BY$13))))</f>
        <v>1000000000000</v>
      </c>
      <c r="BZ99" s="182">
        <f ca="1">IF($D99&lt;&gt;"Serviço",0,IF(OR(AND(AUTOEVENTO="Manual",$M99=1),$M99&gt;(ROW(PLE.lastrow)-ROW(PLE.firstrow))),0,IF(OFFSET(PLE!$G$14,$M99,BZ$13)="",10^12,OFFSET(PLE!$G$14,$M99,BZ$13))))</f>
        <v>1000000000000</v>
      </c>
      <c r="CA99" s="182">
        <f ca="1">IF($D99&lt;&gt;"Serviço",0,IF(OR(AND(AUTOEVENTO="Manual",$M99=1),$M99&gt;(ROW(PLE.lastrow)-ROW(PLE.firstrow))),0,IF(OFFSET(PLE!$G$14,$M99,CA$13)="",10^12,OFFSET(PLE!$G$14,$M99,CA$13))))</f>
        <v>1000000000000</v>
      </c>
      <c r="CB99" s="182">
        <f ca="1">IF($D99&lt;&gt;"Serviço",0,IF(OR(AND(AUTOEVENTO="Manual",$M99=1),$M99&gt;(ROW(PLE.lastrow)-ROW(PLE.firstrow))),0,IF(OFFSET(PLE!$G$14,$M99,CB$13)="",10^12,OFFSET(PLE!$G$14,$M99,CB$13))))</f>
        <v>1000000000000</v>
      </c>
      <c r="CC99" s="182">
        <f ca="1">IF($D99&lt;&gt;"Serviço",0,IF(OR(AND(AUTOEVENTO="Manual",$M99=1),$M99&gt;(ROW(PLE.lastrow)-ROW(PLE.firstrow))),0,IF(OFFSET(PLE!$G$14,$M99,CC$13)="",10^12,OFFSET(PLE!$G$14,$M99,CC$13))))</f>
        <v>1000000000000</v>
      </c>
      <c r="CD99" s="182">
        <f ca="1">IF($D99&lt;&gt;"Serviço",0,IF(OR(AND(AUTOEVENTO="Manual",$M99=1),$M99&gt;(ROW(PLE.lastrow)-ROW(PLE.firstrow))),0,IF(OFFSET(PLE!$G$14,$M99,CD$13)="",10^12,OFFSET(PLE!$G$14,$M99,CD$13))))</f>
        <v>1000000000000</v>
      </c>
      <c r="CE99" s="182">
        <f ca="1">IF($D99&lt;&gt;"Serviço",0,IF(OR(AND(AUTOEVENTO="Manual",$M99=1),$M99&gt;(ROW(PLE.lastrow)-ROW(PLE.firstrow))),0,IF(OFFSET(PLE!$G$14,$M99,CE$13)="",10^12,OFFSET(PLE!$G$14,$M99,CE$13))))</f>
        <v>1000000000000</v>
      </c>
      <c r="CF99" s="182">
        <f ca="1">IF($D99&lt;&gt;"Serviço",0,IF(OR(AND(AUTOEVENTO="Manual",$M99=1),$M99&gt;(ROW(PLE.lastrow)-ROW(PLE.firstrow))),0,IF(OFFSET(PLE!$G$14,$M99,CF$13)="",10^12,OFFSET(PLE!$G$14,$M99,CF$13))))</f>
        <v>1000000000000</v>
      </c>
      <c r="CG99" s="182">
        <f ca="1">IF($D99&lt;&gt;"Serviço",0,IF(OR(AND(AUTOEVENTO="Manual",$M99=1),$M99&gt;(ROW(PLE.lastrow)-ROW(PLE.firstrow))),0,IF(OFFSET(PLE!$G$14,$M99,CG$13)="",10^12,OFFSET(PLE!$G$14,$M99,CG$13))))</f>
        <v>1000000000000</v>
      </c>
      <c r="CH99" s="182">
        <f ca="1">IF($D99&lt;&gt;"Serviço",0,IF(OR(AND(AUTOEVENTO="Manual",$M99=1),$M99&gt;(ROW(PLE.lastrow)-ROW(PLE.firstrow))),0,IF(OFFSET(PLE!$G$14,$M99,CH$13)="",10^12,OFFSET(PLE!$G$14,$M99,CH$13))))</f>
        <v>1000000000000</v>
      </c>
      <c r="CI99" s="182">
        <f ca="1">IF($D99&lt;&gt;"Serviço",0,IF(OR(AND(AUTOEVENTO="Manual",$M99=1),$M99&gt;(ROW(PLE.lastrow)-ROW(PLE.firstrow))),0,IF(OFFSET(PLE!$G$14,$M99,CI$13)="",10^12,OFFSET(PLE!$G$14,$M99,CI$13))))</f>
        <v>1000000000000</v>
      </c>
      <c r="CJ99" s="182">
        <f ca="1">IF($D99&lt;&gt;"Serviço",0,IF(OR(AND(AUTOEVENTO="Manual",$M99=1),$M99&gt;(ROW(PLE.lastrow)-ROW(PLE.firstrow))),0,IF(OFFSET(PLE!$G$14,$M99,CJ$13)="",10^12,OFFSET(PLE!$G$14,$M99,CJ$13))))</f>
        <v>1000000000000</v>
      </c>
      <c r="CK99" s="182">
        <f ca="1">IF($D99&lt;&gt;"Serviço",0,IF(OR(AND(AUTOEVENTO="Manual",$M99=1),$M99&gt;(ROW(PLE.lastrow)-ROW(PLE.firstrow))),0,IF(OFFSET(PLE!$G$14,$M99,CK$13)="",10^12,OFFSET(PLE!$G$14,$M99,CK$13))))</f>
        <v>1000000000000</v>
      </c>
      <c r="CL99" s="182">
        <f ca="1">IF($D99&lt;&gt;"Serviço",0,IF(OR(AND(AUTOEVENTO="Manual",$M99=1),$M99&gt;(ROW(PLE.lastrow)-ROW(PLE.firstrow))),0,IF(OFFSET(PLE!$G$14,$M99,CL$13)="",10^12,OFFSET(PLE!$G$14,$M99,CL$13))))</f>
        <v>1000000000000</v>
      </c>
      <c r="CM99" s="182">
        <f ca="1">IF($D99&lt;&gt;"Serviço",0,IF(OR(AND(AUTOEVENTO="Manual",$M99=1),$M99&gt;(ROW(PLE.lastrow)-ROW(PLE.firstrow))),0,IF(OFFSET(PLE!$G$14,$M99,CM$13)="",10^12,OFFSET(PLE!$G$14,$M99,CM$13))))</f>
        <v>1000000000000</v>
      </c>
    </row>
    <row r="100" spans="1:91" ht="38.25" x14ac:dyDescent="0.2">
      <c r="A100" s="7" t="str">
        <f t="shared" ca="1" si="10"/>
        <v>81</v>
      </c>
      <c r="B100" s="7" t="str">
        <f ca="1">OFFSET(ORÇAMENTO!C$15,ROW(B100)-ROW(B$15),0)</f>
        <v>S</v>
      </c>
      <c r="C100" s="7" t="str">
        <f ca="1">OFFSET(ORÇAMENTO!L$15,ROW(C100)-ROW(C$15),0)</f>
        <v/>
      </c>
      <c r="D100" s="118" t="str">
        <f ca="1">OFFSET(ORÇAMENTO!N$15,ROW(D100)-ROW(D$15),0)</f>
        <v>Serviço</v>
      </c>
      <c r="E100" s="119" t="str">
        <f ca="1">OFFSET(ORÇAMENTO!O$15,ROW(E100)-ROW(E$15),0)</f>
        <v>-</v>
      </c>
      <c r="F100" s="172" t="str">
        <f ca="1">OFFSET(ORÇAMENTO!R$15,ROW(F100)-ROW(F$15),0)</f>
        <v>(abra o arquivo 'Referência 06-2024.xlsm)</v>
      </c>
      <c r="G100" s="173" t="str">
        <f ca="1">IF($D100&lt;&gt;"Serviço","",OFFSET(ORÇAMENTO!S$15,ROW(G100)-ROW(G$15),0))</f>
        <v>-</v>
      </c>
      <c r="H100" s="124">
        <f ca="1">IF($D100&lt;&gt;"Serviço",0,IF(ACOMPANHAMENTO="BM",ROUND(OFFSET(ORÇAMENTO!AJ$15,ROW(H100)-ROW(H$15),0),15-13*ORÇAMENTO!$AF$7),SUMPRODUCT(($Q$12:$AI$12&lt;&gt;"")*ROUND($Q100:$AI100,15-13*ORÇAMENTO!$AF$7))))</f>
        <v>39.22</v>
      </c>
      <c r="I100" s="561" t="s">
        <v>1107</v>
      </c>
      <c r="K100" s="174"/>
      <c r="L100" s="175" t="s">
        <v>255</v>
      </c>
      <c r="M100" s="176">
        <f ca="1">IF($D100&lt;&gt;"Serviço","",IF(AUTOEVENTO="manual",$A100,IF(ISERROR(MATCH($A100,$A$15:OFFSET($A100,-1,0),0)),MAX($M$15:OFFSET(M100,-1,0))+1,INDEX($M$15:OFFSET(M100,-1,0),MATCH($A100,$A$15:OFFSET($A100,-1,0),0)))))</f>
        <v>15</v>
      </c>
      <c r="N100" s="177" t="str">
        <f ca="1">IF($D100&lt;&gt;"Serviço","",IF(AUTOEVENTO="Manual",IF($A100=0,"&lt;-- defina o número do agrupador",OFFSET(EVENTOS!$D$14,$A100,0)),OFFSET($F$15,$A100,0)))</f>
        <v>PAVIMENTAÇÃO EXTERNA - CALÇADA DE PISO DE CONCRETO 7 CM</v>
      </c>
      <c r="O100" s="178"/>
      <c r="Q100" s="178">
        <v>39.22</v>
      </c>
      <c r="R100" s="179"/>
      <c r="S100" s="179"/>
      <c r="T100" s="179"/>
      <c r="U100" s="179"/>
      <c r="V100" s="179"/>
      <c r="W100" s="179"/>
      <c r="X100" s="179"/>
      <c r="Y100" s="179"/>
      <c r="Z100" s="180"/>
      <c r="AA100" s="179"/>
      <c r="AB100" s="179"/>
      <c r="AC100" s="179"/>
      <c r="AD100" s="179"/>
      <c r="AE100" s="179"/>
      <c r="AF100" s="179"/>
      <c r="AG100" s="179"/>
      <c r="AH100" s="180"/>
      <c r="AJ100" s="544">
        <f ca="1">IF(AND($D100="Serviço",AJ$12&lt;&gt;0,$H100&gt;0,OR(AUTOEVENTO&lt;&gt;"manual",$M100&lt;&gt;1)),
IF(Import.TipoArredondamento&lt;&gt;"TransfereGOV",
ROUND(OFFSET($P100,0,AJ$13),15-13*ORÇAMENTO!$AF$7)/$H100*OFFSET(ORÇAMENTO!$X$15,ROW(AJ100)-ROW(AJ$15),0),
ROUND(ROUND(OFFSET($P100,0,AJ$13),15-13*ORÇAMENTO!$AF$7)*OFFSET(ORÇAMENTO!$W$15,ROW(AJ100)-ROW(AJ$15),0),15-13*ORÇAMENTO!$AF$11)),0)</f>
        <v>0</v>
      </c>
      <c r="AK100" s="545">
        <f ca="1">IF(AND($D100="Serviço",AK$12&lt;&gt;0,$H100&gt;0,OR(AUTOEVENTO&lt;&gt;"manual",$M100&lt;&gt;1)),
IF(Import.TipoArredondamento&lt;&gt;"TransfereGOV",
ROUND(OFFSET($P100,0,AK$13),15-13*ORÇAMENTO!$AF$7)/$H100*OFFSET(ORÇAMENTO!$X$15,ROW(AK100)-ROW(AK$15),0),
ROUND(ROUND(OFFSET($P100,0,AK$13),15-13*ORÇAMENTO!$AF$7)*OFFSET(ORÇAMENTO!$W$15,ROW(AK100)-ROW(AK$15),0),15-13*ORÇAMENTO!$AF$11)),0)</f>
        <v>0</v>
      </c>
      <c r="AL100" s="545">
        <f ca="1">IF(AND($D100="Serviço",AL$12&lt;&gt;0,$H100&gt;0,OR(AUTOEVENTO&lt;&gt;"manual",$M100&lt;&gt;1)),
IF(Import.TipoArredondamento&lt;&gt;"TransfereGOV",
ROUND(OFFSET($P100,0,AL$13),15-13*ORÇAMENTO!$AF$7)/$H100*OFFSET(ORÇAMENTO!$X$15,ROW(AL100)-ROW(AL$15),0),
ROUND(ROUND(OFFSET($P100,0,AL$13),15-13*ORÇAMENTO!$AF$7)*OFFSET(ORÇAMENTO!$W$15,ROW(AL100)-ROW(AL$15),0),15-13*ORÇAMENTO!$AF$11)),0)</f>
        <v>0</v>
      </c>
      <c r="AM100" s="545">
        <f ca="1">IF(AND($D100="Serviço",AM$12&lt;&gt;0,$H100&gt;0,OR(AUTOEVENTO&lt;&gt;"manual",$M100&lt;&gt;1)),
IF(Import.TipoArredondamento&lt;&gt;"TransfereGOV",
ROUND(OFFSET($P100,0,AM$13),15-13*ORÇAMENTO!$AF$7)/$H100*OFFSET(ORÇAMENTO!$X$15,ROW(AM100)-ROW(AM$15),0),
ROUND(ROUND(OFFSET($P100,0,AM$13),15-13*ORÇAMENTO!$AF$7)*OFFSET(ORÇAMENTO!$W$15,ROW(AM100)-ROW(AM$15),0),15-13*ORÇAMENTO!$AF$11)),0)</f>
        <v>0</v>
      </c>
      <c r="AN100" s="545">
        <f ca="1">IF(AND($D100="Serviço",AN$12&lt;&gt;0,$H100&gt;0,OR(AUTOEVENTO&lt;&gt;"manual",$M100&lt;&gt;1)),
IF(Import.TipoArredondamento&lt;&gt;"TransfereGOV",
ROUND(OFFSET($P100,0,AN$13),15-13*ORÇAMENTO!$AF$7)/$H100*OFFSET(ORÇAMENTO!$X$15,ROW(AN100)-ROW(AN$15),0),
ROUND(ROUND(OFFSET($P100,0,AN$13),15-13*ORÇAMENTO!$AF$7)*OFFSET(ORÇAMENTO!$W$15,ROW(AN100)-ROW(AN$15),0),15-13*ORÇAMENTO!$AF$11)),0)</f>
        <v>0</v>
      </c>
      <c r="AO100" s="545">
        <f ca="1">IF(AND($D100="Serviço",AO$12&lt;&gt;0,$H100&gt;0,OR(AUTOEVENTO&lt;&gt;"manual",$M100&lt;&gt;1)),
IF(Import.TipoArredondamento&lt;&gt;"TransfereGOV",
ROUND(OFFSET($P100,0,AO$13),15-13*ORÇAMENTO!$AF$7)/$H100*OFFSET(ORÇAMENTO!$X$15,ROW(AO100)-ROW(AO$15),0),
ROUND(ROUND(OFFSET($P100,0,AO$13),15-13*ORÇAMENTO!$AF$7)*OFFSET(ORÇAMENTO!$W$15,ROW(AO100)-ROW(AO$15),0),15-13*ORÇAMENTO!$AF$11)),0)</f>
        <v>0</v>
      </c>
      <c r="AP100" s="545">
        <f ca="1">IF(AND($D100="Serviço",AP$12&lt;&gt;0,$H100&gt;0,OR(AUTOEVENTO&lt;&gt;"manual",$M100&lt;&gt;1)),
IF(Import.TipoArredondamento&lt;&gt;"TransfereGOV",
ROUND(OFFSET($P100,0,AP$13),15-13*ORÇAMENTO!$AF$7)/$H100*OFFSET(ORÇAMENTO!$X$15,ROW(AP100)-ROW(AP$15),0),
ROUND(ROUND(OFFSET($P100,0,AP$13),15-13*ORÇAMENTO!$AF$7)*OFFSET(ORÇAMENTO!$W$15,ROW(AP100)-ROW(AP$15),0),15-13*ORÇAMENTO!$AF$11)),0)</f>
        <v>0</v>
      </c>
      <c r="AQ100" s="545">
        <f ca="1">IF(AND($D100="Serviço",AQ$12&lt;&gt;0,$H100&gt;0,OR(AUTOEVENTO&lt;&gt;"manual",$M100&lt;&gt;1)),
IF(Import.TipoArredondamento&lt;&gt;"TransfereGOV",
ROUND(OFFSET($P100,0,AQ$13),15-13*ORÇAMENTO!$AF$7)/$H100*OFFSET(ORÇAMENTO!$X$15,ROW(AQ100)-ROW(AQ$15),0),
ROUND(ROUND(OFFSET($P100,0,AQ$13),15-13*ORÇAMENTO!$AF$7)*OFFSET(ORÇAMENTO!$W$15,ROW(AQ100)-ROW(AQ$15),0),15-13*ORÇAMENTO!$AF$11)),0)</f>
        <v>0</v>
      </c>
      <c r="AR100" s="545">
        <f ca="1">IF(AND($D100="Serviço",AR$12&lt;&gt;0,$H100&gt;0,OR(AUTOEVENTO&lt;&gt;"manual",$M100&lt;&gt;1)),
IF(Import.TipoArredondamento&lt;&gt;"TransfereGOV",
ROUND(OFFSET($P100,0,AR$13),15-13*ORÇAMENTO!$AF$7)/$H100*OFFSET(ORÇAMENTO!$X$15,ROW(AR100)-ROW(AR$15),0),
ROUND(ROUND(OFFSET($P100,0,AR$13),15-13*ORÇAMENTO!$AF$7)*OFFSET(ORÇAMENTO!$W$15,ROW(AR100)-ROW(AR$15),0),15-13*ORÇAMENTO!$AF$11)),0)</f>
        <v>0</v>
      </c>
      <c r="AS100" s="546">
        <f ca="1">IF(AND($D100="Serviço",AS$12&lt;&gt;0,$H100&gt;0,OR(AUTOEVENTO&lt;&gt;"manual",$M100&lt;&gt;1)),
IF(Import.TipoArredondamento&lt;&gt;"TransfereGOV",
ROUND(OFFSET($P100,0,AS$13),15-13*ORÇAMENTO!$AF$7)/$H100*OFFSET(ORÇAMENTO!$X$15,ROW(AS100)-ROW(AS$15),0),
ROUND(ROUND(OFFSET($P100,0,AS$13),15-13*ORÇAMENTO!$AF$7)*OFFSET(ORÇAMENTO!$W$15,ROW(AS100)-ROW(AS$15),0),15-13*ORÇAMENTO!$AF$11)),0)</f>
        <v>0</v>
      </c>
      <c r="AT100" s="545">
        <f ca="1">IF(AND($D100="Serviço",AT$12&lt;&gt;0,$H100&gt;0,OR(AUTOEVENTO&lt;&gt;"manual",$M100&lt;&gt;1)),
IF(Import.TipoArredondamento&lt;&gt;"TransfereGOV",
ROUND(OFFSET($P100,0,AT$13),15-13*ORÇAMENTO!$AF$7)/$H100*OFFSET(ORÇAMENTO!$X$15,ROW(AT100)-ROW(AT$15),0),
ROUND(ROUND(OFFSET($P100,0,AT$13),15-13*ORÇAMENTO!$AF$7)*OFFSET(ORÇAMENTO!$W$15,ROW(AT100)-ROW(AT$15),0),15-13*ORÇAMENTO!$AF$11)),0)</f>
        <v>0</v>
      </c>
      <c r="AU100" s="545">
        <f ca="1">IF(AND($D100="Serviço",AU$12&lt;&gt;0,$H100&gt;0,OR(AUTOEVENTO&lt;&gt;"manual",$M100&lt;&gt;1)),
IF(Import.TipoArredondamento&lt;&gt;"TransfereGOV",
ROUND(OFFSET($P100,0,AU$13),15-13*ORÇAMENTO!$AF$7)/$H100*OFFSET(ORÇAMENTO!$X$15,ROW(AU100)-ROW(AU$15),0),
ROUND(ROUND(OFFSET($P100,0,AU$13),15-13*ORÇAMENTO!$AF$7)*OFFSET(ORÇAMENTO!$W$15,ROW(AU100)-ROW(AU$15),0),15-13*ORÇAMENTO!$AF$11)),0)</f>
        <v>0</v>
      </c>
      <c r="AV100" s="545">
        <f ca="1">IF(AND($D100="Serviço",AV$12&lt;&gt;0,$H100&gt;0,OR(AUTOEVENTO&lt;&gt;"manual",$M100&lt;&gt;1)),
IF(Import.TipoArredondamento&lt;&gt;"TransfereGOV",
ROUND(OFFSET($P100,0,AV$13),15-13*ORÇAMENTO!$AF$7)/$H100*OFFSET(ORÇAMENTO!$X$15,ROW(AV100)-ROW(AV$15),0),
ROUND(ROUND(OFFSET($P100,0,AV$13),15-13*ORÇAMENTO!$AF$7)*OFFSET(ORÇAMENTO!$W$15,ROW(AV100)-ROW(AV$15),0),15-13*ORÇAMENTO!$AF$11)),0)</f>
        <v>0</v>
      </c>
      <c r="AW100" s="545">
        <f ca="1">IF(AND($D100="Serviço",AW$12&lt;&gt;0,$H100&gt;0,OR(AUTOEVENTO&lt;&gt;"manual",$M100&lt;&gt;1)),
IF(Import.TipoArredondamento&lt;&gt;"TransfereGOV",
ROUND(OFFSET($P100,0,AW$13),15-13*ORÇAMENTO!$AF$7)/$H100*OFFSET(ORÇAMENTO!$X$15,ROW(AW100)-ROW(AW$15),0),
ROUND(ROUND(OFFSET($P100,0,AW$13),15-13*ORÇAMENTO!$AF$7)*OFFSET(ORÇAMENTO!$W$15,ROW(AW100)-ROW(AW$15),0),15-13*ORÇAMENTO!$AF$11)),0)</f>
        <v>0</v>
      </c>
      <c r="AX100" s="545">
        <f ca="1">IF(AND($D100="Serviço",AX$12&lt;&gt;0,$H100&gt;0,OR(AUTOEVENTO&lt;&gt;"manual",$M100&lt;&gt;1)),
IF(Import.TipoArredondamento&lt;&gt;"TransfereGOV",
ROUND(OFFSET($P100,0,AX$13),15-13*ORÇAMENTO!$AF$7)/$H100*OFFSET(ORÇAMENTO!$X$15,ROW(AX100)-ROW(AX$15),0),
ROUND(ROUND(OFFSET($P100,0,AX$13),15-13*ORÇAMENTO!$AF$7)*OFFSET(ORÇAMENTO!$W$15,ROW(AX100)-ROW(AX$15),0),15-13*ORÇAMENTO!$AF$11)),0)</f>
        <v>0</v>
      </c>
      <c r="AY100" s="545">
        <f ca="1">IF(AND($D100="Serviço",AY$12&lt;&gt;0,$H100&gt;0,OR(AUTOEVENTO&lt;&gt;"manual",$M100&lt;&gt;1)),
IF(Import.TipoArredondamento&lt;&gt;"TransfereGOV",
ROUND(OFFSET($P100,0,AY$13),15-13*ORÇAMENTO!$AF$7)/$H100*OFFSET(ORÇAMENTO!$X$15,ROW(AY100)-ROW(AY$15),0),
ROUND(ROUND(OFFSET($P100,0,AY$13),15-13*ORÇAMENTO!$AF$7)*OFFSET(ORÇAMENTO!$W$15,ROW(AY100)-ROW(AY$15),0),15-13*ORÇAMENTO!$AF$11)),0)</f>
        <v>0</v>
      </c>
      <c r="AZ100" s="545">
        <f ca="1">IF(AND($D100="Serviço",AZ$12&lt;&gt;0,$H100&gt;0,OR(AUTOEVENTO&lt;&gt;"manual",$M100&lt;&gt;1)),
IF(Import.TipoArredondamento&lt;&gt;"TransfereGOV",
ROUND(OFFSET($P100,0,AZ$13),15-13*ORÇAMENTO!$AF$7)/$H100*OFFSET(ORÇAMENTO!$X$15,ROW(AZ100)-ROW(AZ$15),0),
ROUND(ROUND(OFFSET($P100,0,AZ$13),15-13*ORÇAMENTO!$AF$7)*OFFSET(ORÇAMENTO!$W$15,ROW(AZ100)-ROW(AZ$15),0),15-13*ORÇAMENTO!$AF$11)),0)</f>
        <v>0</v>
      </c>
      <c r="BA100" s="546">
        <f ca="1">IF(AND($D100="Serviço",BA$12&lt;&gt;0,$H100&gt;0,OR(AUTOEVENTO&lt;&gt;"manual",$M100&lt;&gt;1)),
IF(Import.TipoArredondamento&lt;&gt;"TransfereGOV",
ROUND(OFFSET($P100,0,BA$13),15-13*ORÇAMENTO!$AF$7)/$H100*OFFSET(ORÇAMENTO!$X$15,ROW(BA100)-ROW(BA$15),0),
ROUND(ROUND(OFFSET($P100,0,BA$13),15-13*ORÇAMENTO!$AF$7)*OFFSET(ORÇAMENTO!$W$15,ROW(BA100)-ROW(BA$15),0),15-13*ORÇAMENTO!$AF$11)),0)</f>
        <v>0</v>
      </c>
      <c r="BC100" s="181">
        <f ca="1">IF($D100&lt;&gt;"Serviço",0,IF(AND(AUTOEVENTO="Manual",$M100=1),0,IF(OFFSET(CRONOPLE!$F$14,$M100,BC$13)="",10^12,OFFSET(CRONOPLE!$F$14,$M100,BC$13))))</f>
        <v>4</v>
      </c>
      <c r="BD100" s="181">
        <f ca="1">IF($D100&lt;&gt;"Serviço",0,IF(AND(AUTOEVENTO="Manual",$M100=1),0,IF(OFFSET(CRONOPLE!$F$14,$M100,BD$13)="",10^12,OFFSET(CRONOPLE!$F$14,$M100,BD$13))))</f>
        <v>1000000000000</v>
      </c>
      <c r="BE100" s="181">
        <f ca="1">IF($D100&lt;&gt;"Serviço",0,IF(AND(AUTOEVENTO="Manual",$M100=1),0,IF(OFFSET(CRONOPLE!$F$14,$M100,BE$13)="",10^12,OFFSET(CRONOPLE!$F$14,$M100,BE$13))))</f>
        <v>1000000000000</v>
      </c>
      <c r="BF100" s="181">
        <f ca="1">IF($D100&lt;&gt;"Serviço",0,IF(AND(AUTOEVENTO="Manual",$M100=1),0,IF(OFFSET(CRONOPLE!$F$14,$M100,BF$13)="",10^12,OFFSET(CRONOPLE!$F$14,$M100,BF$13))))</f>
        <v>1000000000000</v>
      </c>
      <c r="BG100" s="181">
        <f ca="1">IF($D100&lt;&gt;"Serviço",0,IF(AND(AUTOEVENTO="Manual",$M100=1),0,IF(OFFSET(CRONOPLE!$F$14,$M100,BG$13)="",10^12,OFFSET(CRONOPLE!$F$14,$M100,BG$13))))</f>
        <v>1000000000000</v>
      </c>
      <c r="BH100" s="181">
        <f ca="1">IF($D100&lt;&gt;"Serviço",0,IF(AND(AUTOEVENTO="Manual",$M100=1),0,IF(OFFSET(CRONOPLE!$F$14,$M100,BH$13)="",10^12,OFFSET(CRONOPLE!$F$14,$M100,BH$13))))</f>
        <v>1000000000000</v>
      </c>
      <c r="BI100" s="181">
        <f ca="1">IF($D100&lt;&gt;"Serviço",0,IF(AND(AUTOEVENTO="Manual",$M100=1),0,IF(OFFSET(CRONOPLE!$F$14,$M100,BI$13)="",10^12,OFFSET(CRONOPLE!$F$14,$M100,BI$13))))</f>
        <v>1000000000000</v>
      </c>
      <c r="BJ100" s="181">
        <f ca="1">IF($D100&lt;&gt;"Serviço",0,IF(AND(AUTOEVENTO="Manual",$M100=1),0,IF(OFFSET(CRONOPLE!$F$14,$M100,BJ$13)="",10^12,OFFSET(CRONOPLE!$F$14,$M100,BJ$13))))</f>
        <v>1000000000000</v>
      </c>
      <c r="BK100" s="181">
        <f ca="1">IF($D100&lt;&gt;"Serviço",0,IF(AND(AUTOEVENTO="Manual",$M100=1),0,IF(OFFSET(CRONOPLE!$F$14,$M100,BK$13)="",10^12,OFFSET(CRONOPLE!$F$14,$M100,BK$13))))</f>
        <v>1000000000000</v>
      </c>
      <c r="BL100" s="181">
        <f ca="1">IF($D100&lt;&gt;"Serviço",0,IF(AND(AUTOEVENTO="Manual",$M100=1),0,IF(OFFSET(CRONOPLE!$F$14,$M100,BL$13)="",10^12,OFFSET(CRONOPLE!$F$14,$M100,BL$13))))</f>
        <v>1000000000000</v>
      </c>
      <c r="BM100" s="181">
        <f ca="1">IF($D100&lt;&gt;"Serviço",0,IF(AND(AUTOEVENTO="Manual",$M100=1),0,IF(OFFSET(CRONOPLE!$F$14,$M100,BM$13)="",10^12,OFFSET(CRONOPLE!$F$14,$M100,BM$13))))</f>
        <v>1000000000000</v>
      </c>
      <c r="BN100" s="181">
        <f ca="1">IF($D100&lt;&gt;"Serviço",0,IF(AND(AUTOEVENTO="Manual",$M100=1),0,IF(OFFSET(CRONOPLE!$F$14,$M100,BN$13)="",10^12,OFFSET(CRONOPLE!$F$14,$M100,BN$13))))</f>
        <v>1000000000000</v>
      </c>
      <c r="BO100" s="181">
        <f ca="1">IF($D100&lt;&gt;"Serviço",0,IF(AND(AUTOEVENTO="Manual",$M100=1),0,IF(OFFSET(CRONOPLE!$F$14,$M100,BO$13)="",10^12,OFFSET(CRONOPLE!$F$14,$M100,BO$13))))</f>
        <v>1000000000000</v>
      </c>
      <c r="BP100" s="181">
        <f ca="1">IF($D100&lt;&gt;"Serviço",0,IF(AND(AUTOEVENTO="Manual",$M100=1),0,IF(OFFSET(CRONOPLE!$F$14,$M100,BP$13)="",10^12,OFFSET(CRONOPLE!$F$14,$M100,BP$13))))</f>
        <v>1000000000000</v>
      </c>
      <c r="BQ100" s="181">
        <f ca="1">IF($D100&lt;&gt;"Serviço",0,IF(AND(AUTOEVENTO="Manual",$M100=1),0,IF(OFFSET(CRONOPLE!$F$14,$M100,BQ$13)="",10^12,OFFSET(CRONOPLE!$F$14,$M100,BQ$13))))</f>
        <v>1000000000000</v>
      </c>
      <c r="BR100" s="181">
        <f ca="1">IF($D100&lt;&gt;"Serviço",0,IF(AND(AUTOEVENTO="Manual",$M100=1),0,IF(OFFSET(CRONOPLE!$F$14,$M100,BR$13)="",10^12,OFFSET(CRONOPLE!$F$14,$M100,BR$13))))</f>
        <v>1000000000000</v>
      </c>
      <c r="BS100" s="181">
        <f ca="1">IF($D100&lt;&gt;"Serviço",0,IF(AND(AUTOEVENTO="Manual",$M100=1),0,IF(OFFSET(CRONOPLE!$F$14,$M100,BS$13)="",10^12,OFFSET(CRONOPLE!$F$14,$M100,BS$13))))</f>
        <v>1000000000000</v>
      </c>
      <c r="BT100" s="181">
        <f ca="1">IF($D100&lt;&gt;"Serviço",0,IF(AND(AUTOEVENTO="Manual",$M100=1),0,IF(OFFSET(CRONOPLE!$F$14,$M100,BT$13)="",10^12,OFFSET(CRONOPLE!$F$14,$M100,BT$13))))</f>
        <v>1000000000000</v>
      </c>
      <c r="BV100" s="182">
        <f ca="1">IF($D100&lt;&gt;"Serviço",0,IF(OR(AND(AUTOEVENTO="Manual",$M100=1),$M100&gt;(ROW(PLE.lastrow)-ROW(PLE.firstrow))),0,IF(OFFSET(PLE!$G$14,$M100,BV$13)="",10^12,OFFSET(PLE!$G$14,$M100,BV$13))))</f>
        <v>1000000000000</v>
      </c>
      <c r="BW100" s="182">
        <f ca="1">IF($D100&lt;&gt;"Serviço",0,IF(OR(AND(AUTOEVENTO="Manual",$M100=1),$M100&gt;(ROW(PLE.lastrow)-ROW(PLE.firstrow))),0,IF(OFFSET(PLE!$G$14,$M100,BW$13)="",10^12,OFFSET(PLE!$G$14,$M100,BW$13))))</f>
        <v>1000000000000</v>
      </c>
      <c r="BX100" s="182">
        <f ca="1">IF($D100&lt;&gt;"Serviço",0,IF(OR(AND(AUTOEVENTO="Manual",$M100=1),$M100&gt;(ROW(PLE.lastrow)-ROW(PLE.firstrow))),0,IF(OFFSET(PLE!$G$14,$M100,BX$13)="",10^12,OFFSET(PLE!$G$14,$M100,BX$13))))</f>
        <v>1000000000000</v>
      </c>
      <c r="BY100" s="182">
        <f ca="1">IF($D100&lt;&gt;"Serviço",0,IF(OR(AND(AUTOEVENTO="Manual",$M100=1),$M100&gt;(ROW(PLE.lastrow)-ROW(PLE.firstrow))),0,IF(OFFSET(PLE!$G$14,$M100,BY$13)="",10^12,OFFSET(PLE!$G$14,$M100,BY$13))))</f>
        <v>1000000000000</v>
      </c>
      <c r="BZ100" s="182">
        <f ca="1">IF($D100&lt;&gt;"Serviço",0,IF(OR(AND(AUTOEVENTO="Manual",$M100=1),$M100&gt;(ROW(PLE.lastrow)-ROW(PLE.firstrow))),0,IF(OFFSET(PLE!$G$14,$M100,BZ$13)="",10^12,OFFSET(PLE!$G$14,$M100,BZ$13))))</f>
        <v>1000000000000</v>
      </c>
      <c r="CA100" s="182">
        <f ca="1">IF($D100&lt;&gt;"Serviço",0,IF(OR(AND(AUTOEVENTO="Manual",$M100=1),$M100&gt;(ROW(PLE.lastrow)-ROW(PLE.firstrow))),0,IF(OFFSET(PLE!$G$14,$M100,CA$13)="",10^12,OFFSET(PLE!$G$14,$M100,CA$13))))</f>
        <v>1000000000000</v>
      </c>
      <c r="CB100" s="182">
        <f ca="1">IF($D100&lt;&gt;"Serviço",0,IF(OR(AND(AUTOEVENTO="Manual",$M100=1),$M100&gt;(ROW(PLE.lastrow)-ROW(PLE.firstrow))),0,IF(OFFSET(PLE!$G$14,$M100,CB$13)="",10^12,OFFSET(PLE!$G$14,$M100,CB$13))))</f>
        <v>1000000000000</v>
      </c>
      <c r="CC100" s="182">
        <f ca="1">IF($D100&lt;&gt;"Serviço",0,IF(OR(AND(AUTOEVENTO="Manual",$M100=1),$M100&gt;(ROW(PLE.lastrow)-ROW(PLE.firstrow))),0,IF(OFFSET(PLE!$G$14,$M100,CC$13)="",10^12,OFFSET(PLE!$G$14,$M100,CC$13))))</f>
        <v>1000000000000</v>
      </c>
      <c r="CD100" s="182">
        <f ca="1">IF($D100&lt;&gt;"Serviço",0,IF(OR(AND(AUTOEVENTO="Manual",$M100=1),$M100&gt;(ROW(PLE.lastrow)-ROW(PLE.firstrow))),0,IF(OFFSET(PLE!$G$14,$M100,CD$13)="",10^12,OFFSET(PLE!$G$14,$M100,CD$13))))</f>
        <v>1000000000000</v>
      </c>
      <c r="CE100" s="182">
        <f ca="1">IF($D100&lt;&gt;"Serviço",0,IF(OR(AND(AUTOEVENTO="Manual",$M100=1),$M100&gt;(ROW(PLE.lastrow)-ROW(PLE.firstrow))),0,IF(OFFSET(PLE!$G$14,$M100,CE$13)="",10^12,OFFSET(PLE!$G$14,$M100,CE$13))))</f>
        <v>1000000000000</v>
      </c>
      <c r="CF100" s="182">
        <f ca="1">IF($D100&lt;&gt;"Serviço",0,IF(OR(AND(AUTOEVENTO="Manual",$M100=1),$M100&gt;(ROW(PLE.lastrow)-ROW(PLE.firstrow))),0,IF(OFFSET(PLE!$G$14,$M100,CF$13)="",10^12,OFFSET(PLE!$G$14,$M100,CF$13))))</f>
        <v>1000000000000</v>
      </c>
      <c r="CG100" s="182">
        <f ca="1">IF($D100&lt;&gt;"Serviço",0,IF(OR(AND(AUTOEVENTO="Manual",$M100=1),$M100&gt;(ROW(PLE.lastrow)-ROW(PLE.firstrow))),0,IF(OFFSET(PLE!$G$14,$M100,CG$13)="",10^12,OFFSET(PLE!$G$14,$M100,CG$13))))</f>
        <v>1000000000000</v>
      </c>
      <c r="CH100" s="182">
        <f ca="1">IF($D100&lt;&gt;"Serviço",0,IF(OR(AND(AUTOEVENTO="Manual",$M100=1),$M100&gt;(ROW(PLE.lastrow)-ROW(PLE.firstrow))),0,IF(OFFSET(PLE!$G$14,$M100,CH$13)="",10^12,OFFSET(PLE!$G$14,$M100,CH$13))))</f>
        <v>1000000000000</v>
      </c>
      <c r="CI100" s="182">
        <f ca="1">IF($D100&lt;&gt;"Serviço",0,IF(OR(AND(AUTOEVENTO="Manual",$M100=1),$M100&gt;(ROW(PLE.lastrow)-ROW(PLE.firstrow))),0,IF(OFFSET(PLE!$G$14,$M100,CI$13)="",10^12,OFFSET(PLE!$G$14,$M100,CI$13))))</f>
        <v>1000000000000</v>
      </c>
      <c r="CJ100" s="182">
        <f ca="1">IF($D100&lt;&gt;"Serviço",0,IF(OR(AND(AUTOEVENTO="Manual",$M100=1),$M100&gt;(ROW(PLE.lastrow)-ROW(PLE.firstrow))),0,IF(OFFSET(PLE!$G$14,$M100,CJ$13)="",10^12,OFFSET(PLE!$G$14,$M100,CJ$13))))</f>
        <v>1000000000000</v>
      </c>
      <c r="CK100" s="182">
        <f ca="1">IF($D100&lt;&gt;"Serviço",0,IF(OR(AND(AUTOEVENTO="Manual",$M100=1),$M100&gt;(ROW(PLE.lastrow)-ROW(PLE.firstrow))),0,IF(OFFSET(PLE!$G$14,$M100,CK$13)="",10^12,OFFSET(PLE!$G$14,$M100,CK$13))))</f>
        <v>1000000000000</v>
      </c>
      <c r="CL100" s="182">
        <f ca="1">IF($D100&lt;&gt;"Serviço",0,IF(OR(AND(AUTOEVENTO="Manual",$M100=1),$M100&gt;(ROW(PLE.lastrow)-ROW(PLE.firstrow))),0,IF(OFFSET(PLE!$G$14,$M100,CL$13)="",10^12,OFFSET(PLE!$G$14,$M100,CL$13))))</f>
        <v>1000000000000</v>
      </c>
      <c r="CM100" s="182">
        <f ca="1">IF($D100&lt;&gt;"Serviço",0,IF(OR(AND(AUTOEVENTO="Manual",$M100=1),$M100&gt;(ROW(PLE.lastrow)-ROW(PLE.firstrow))),0,IF(OFFSET(PLE!$G$14,$M100,CM$13)="",10^12,OFFSET(PLE!$G$14,$M100,CM$13))))</f>
        <v>1000000000000</v>
      </c>
    </row>
    <row r="101" spans="1:91" ht="12.75" x14ac:dyDescent="0.2">
      <c r="A101" s="7" t="str">
        <f t="shared" ca="1" si="10"/>
        <v>86.</v>
      </c>
      <c r="B101" s="7">
        <f ca="1">OFFSET(ORÇAMENTO!C$15,ROW(B101)-ROW(B$15),0)</f>
        <v>2</v>
      </c>
      <c r="C101" s="7" t="str">
        <f ca="1">OFFSET(ORÇAMENTO!L$15,ROW(C101)-ROW(C$15),0)</f>
        <v>F</v>
      </c>
      <c r="D101" s="118" t="str">
        <f ca="1">OFFSET(ORÇAMENTO!N$15,ROW(D101)-ROW(D$15),0)</f>
        <v>Nível 2</v>
      </c>
      <c r="E101" s="119" t="str">
        <f ca="1">OFFSET(ORÇAMENTO!O$15,ROW(E101)-ROW(E$15),0)</f>
        <v>1.15.</v>
      </c>
      <c r="F101" s="172" t="str">
        <f ca="1">OFFSET(ORÇAMENTO!R$15,ROW(F101)-ROW(F$15),0)</f>
        <v>SISTEMA DE VEDAÇÃO VERTICAL - ELEMENTOS VAZADOS</v>
      </c>
      <c r="G101" s="173" t="str">
        <f ca="1">IF($D101&lt;&gt;"Serviço","",OFFSET(ORÇAMENTO!S$15,ROW(G101)-ROW(G$15),0))</f>
        <v/>
      </c>
      <c r="H101" s="124">
        <f ca="1">IF($D101&lt;&gt;"Serviço",0,IF(ACOMPANHAMENTO="BM",ROUND(OFFSET(ORÇAMENTO!AJ$15,ROW(H101)-ROW(H$15),0),15-13*ORÇAMENTO!$AF$7),SUMPRODUCT(($Q$12:$AI$12&lt;&gt;"")*ROUND($Q101:$AI101,15-13*ORÇAMENTO!$AF$7))))</f>
        <v>0</v>
      </c>
      <c r="I101" s="561"/>
      <c r="K101" s="174"/>
      <c r="L101" s="175" t="s">
        <v>255</v>
      </c>
      <c r="M101" s="176" t="str">
        <f ca="1">IF($D101&lt;&gt;"Serviço","",IF(AUTOEVENTO="manual",$A101,IF(ISERROR(MATCH($A101,$A$15:OFFSET($A101,-1,0),0)),MAX($M$15:OFFSET(M101,-1,0))+1,INDEX($M$15:OFFSET(M101,-1,0),MATCH($A101,$A$15:OFFSET($A101,-1,0),0)))))</f>
        <v/>
      </c>
      <c r="N101" s="177" t="str">
        <f ca="1">IF($D101&lt;&gt;"Serviço","",IF(AUTOEVENTO="Manual",IF($A101=0,"&lt;-- defina o número do agrupador",OFFSET(EVENTOS!$D$14,$A101,0)),OFFSET($F$15,$A101,0)))</f>
        <v/>
      </c>
      <c r="O101" s="178"/>
      <c r="Q101" s="178">
        <v>0</v>
      </c>
      <c r="R101" s="179"/>
      <c r="S101" s="179"/>
      <c r="T101" s="179"/>
      <c r="U101" s="179"/>
      <c r="V101" s="179"/>
      <c r="W101" s="179"/>
      <c r="X101" s="179"/>
      <c r="Y101" s="179"/>
      <c r="Z101" s="180"/>
      <c r="AA101" s="179"/>
      <c r="AB101" s="179"/>
      <c r="AC101" s="179"/>
      <c r="AD101" s="179"/>
      <c r="AE101" s="179"/>
      <c r="AF101" s="179"/>
      <c r="AG101" s="179"/>
      <c r="AH101" s="180"/>
      <c r="AJ101" s="544">
        <f ca="1">IF(AND($D101="Serviço",AJ$12&lt;&gt;0,$H101&gt;0,OR(AUTOEVENTO&lt;&gt;"manual",$M101&lt;&gt;1)),
IF(Import.TipoArredondamento&lt;&gt;"TransfereGOV",
ROUND(OFFSET($P101,0,AJ$13),15-13*ORÇAMENTO!$AF$7)/$H101*OFFSET(ORÇAMENTO!$X$15,ROW(AJ101)-ROW(AJ$15),0),
ROUND(ROUND(OFFSET($P101,0,AJ$13),15-13*ORÇAMENTO!$AF$7)*OFFSET(ORÇAMENTO!$W$15,ROW(AJ101)-ROW(AJ$15),0),15-13*ORÇAMENTO!$AF$11)),0)</f>
        <v>0</v>
      </c>
      <c r="AK101" s="545">
        <f ca="1">IF(AND($D101="Serviço",AK$12&lt;&gt;0,$H101&gt;0,OR(AUTOEVENTO&lt;&gt;"manual",$M101&lt;&gt;1)),
IF(Import.TipoArredondamento&lt;&gt;"TransfereGOV",
ROUND(OFFSET($P101,0,AK$13),15-13*ORÇAMENTO!$AF$7)/$H101*OFFSET(ORÇAMENTO!$X$15,ROW(AK101)-ROW(AK$15),0),
ROUND(ROUND(OFFSET($P101,0,AK$13),15-13*ORÇAMENTO!$AF$7)*OFFSET(ORÇAMENTO!$W$15,ROW(AK101)-ROW(AK$15),0),15-13*ORÇAMENTO!$AF$11)),0)</f>
        <v>0</v>
      </c>
      <c r="AL101" s="545">
        <f ca="1">IF(AND($D101="Serviço",AL$12&lt;&gt;0,$H101&gt;0,OR(AUTOEVENTO&lt;&gt;"manual",$M101&lt;&gt;1)),
IF(Import.TipoArredondamento&lt;&gt;"TransfereGOV",
ROUND(OFFSET($P101,0,AL$13),15-13*ORÇAMENTO!$AF$7)/$H101*OFFSET(ORÇAMENTO!$X$15,ROW(AL101)-ROW(AL$15),0),
ROUND(ROUND(OFFSET($P101,0,AL$13),15-13*ORÇAMENTO!$AF$7)*OFFSET(ORÇAMENTO!$W$15,ROW(AL101)-ROW(AL$15),0),15-13*ORÇAMENTO!$AF$11)),0)</f>
        <v>0</v>
      </c>
      <c r="AM101" s="545">
        <f ca="1">IF(AND($D101="Serviço",AM$12&lt;&gt;0,$H101&gt;0,OR(AUTOEVENTO&lt;&gt;"manual",$M101&lt;&gt;1)),
IF(Import.TipoArredondamento&lt;&gt;"TransfereGOV",
ROUND(OFFSET($P101,0,AM$13),15-13*ORÇAMENTO!$AF$7)/$H101*OFFSET(ORÇAMENTO!$X$15,ROW(AM101)-ROW(AM$15),0),
ROUND(ROUND(OFFSET($P101,0,AM$13),15-13*ORÇAMENTO!$AF$7)*OFFSET(ORÇAMENTO!$W$15,ROW(AM101)-ROW(AM$15),0),15-13*ORÇAMENTO!$AF$11)),0)</f>
        <v>0</v>
      </c>
      <c r="AN101" s="545">
        <f ca="1">IF(AND($D101="Serviço",AN$12&lt;&gt;0,$H101&gt;0,OR(AUTOEVENTO&lt;&gt;"manual",$M101&lt;&gt;1)),
IF(Import.TipoArredondamento&lt;&gt;"TransfereGOV",
ROUND(OFFSET($P101,0,AN$13),15-13*ORÇAMENTO!$AF$7)/$H101*OFFSET(ORÇAMENTO!$X$15,ROW(AN101)-ROW(AN$15),0),
ROUND(ROUND(OFFSET($P101,0,AN$13),15-13*ORÇAMENTO!$AF$7)*OFFSET(ORÇAMENTO!$W$15,ROW(AN101)-ROW(AN$15),0),15-13*ORÇAMENTO!$AF$11)),0)</f>
        <v>0</v>
      </c>
      <c r="AO101" s="545">
        <f ca="1">IF(AND($D101="Serviço",AO$12&lt;&gt;0,$H101&gt;0,OR(AUTOEVENTO&lt;&gt;"manual",$M101&lt;&gt;1)),
IF(Import.TipoArredondamento&lt;&gt;"TransfereGOV",
ROUND(OFFSET($P101,0,AO$13),15-13*ORÇAMENTO!$AF$7)/$H101*OFFSET(ORÇAMENTO!$X$15,ROW(AO101)-ROW(AO$15),0),
ROUND(ROUND(OFFSET($P101,0,AO$13),15-13*ORÇAMENTO!$AF$7)*OFFSET(ORÇAMENTO!$W$15,ROW(AO101)-ROW(AO$15),0),15-13*ORÇAMENTO!$AF$11)),0)</f>
        <v>0</v>
      </c>
      <c r="AP101" s="545">
        <f ca="1">IF(AND($D101="Serviço",AP$12&lt;&gt;0,$H101&gt;0,OR(AUTOEVENTO&lt;&gt;"manual",$M101&lt;&gt;1)),
IF(Import.TipoArredondamento&lt;&gt;"TransfereGOV",
ROUND(OFFSET($P101,0,AP$13),15-13*ORÇAMENTO!$AF$7)/$H101*OFFSET(ORÇAMENTO!$X$15,ROW(AP101)-ROW(AP$15),0),
ROUND(ROUND(OFFSET($P101,0,AP$13),15-13*ORÇAMENTO!$AF$7)*OFFSET(ORÇAMENTO!$W$15,ROW(AP101)-ROW(AP$15),0),15-13*ORÇAMENTO!$AF$11)),0)</f>
        <v>0</v>
      </c>
      <c r="AQ101" s="545">
        <f ca="1">IF(AND($D101="Serviço",AQ$12&lt;&gt;0,$H101&gt;0,OR(AUTOEVENTO&lt;&gt;"manual",$M101&lt;&gt;1)),
IF(Import.TipoArredondamento&lt;&gt;"TransfereGOV",
ROUND(OFFSET($P101,0,AQ$13),15-13*ORÇAMENTO!$AF$7)/$H101*OFFSET(ORÇAMENTO!$X$15,ROW(AQ101)-ROW(AQ$15),0),
ROUND(ROUND(OFFSET($P101,0,AQ$13),15-13*ORÇAMENTO!$AF$7)*OFFSET(ORÇAMENTO!$W$15,ROW(AQ101)-ROW(AQ$15),0),15-13*ORÇAMENTO!$AF$11)),0)</f>
        <v>0</v>
      </c>
      <c r="AR101" s="545">
        <f ca="1">IF(AND($D101="Serviço",AR$12&lt;&gt;0,$H101&gt;0,OR(AUTOEVENTO&lt;&gt;"manual",$M101&lt;&gt;1)),
IF(Import.TipoArredondamento&lt;&gt;"TransfereGOV",
ROUND(OFFSET($P101,0,AR$13),15-13*ORÇAMENTO!$AF$7)/$H101*OFFSET(ORÇAMENTO!$X$15,ROW(AR101)-ROW(AR$15),0),
ROUND(ROUND(OFFSET($P101,0,AR$13),15-13*ORÇAMENTO!$AF$7)*OFFSET(ORÇAMENTO!$W$15,ROW(AR101)-ROW(AR$15),0),15-13*ORÇAMENTO!$AF$11)),0)</f>
        <v>0</v>
      </c>
      <c r="AS101" s="546">
        <f ca="1">IF(AND($D101="Serviço",AS$12&lt;&gt;0,$H101&gt;0,OR(AUTOEVENTO&lt;&gt;"manual",$M101&lt;&gt;1)),
IF(Import.TipoArredondamento&lt;&gt;"TransfereGOV",
ROUND(OFFSET($P101,0,AS$13),15-13*ORÇAMENTO!$AF$7)/$H101*OFFSET(ORÇAMENTO!$X$15,ROW(AS101)-ROW(AS$15),0),
ROUND(ROUND(OFFSET($P101,0,AS$13),15-13*ORÇAMENTO!$AF$7)*OFFSET(ORÇAMENTO!$W$15,ROW(AS101)-ROW(AS$15),0),15-13*ORÇAMENTO!$AF$11)),0)</f>
        <v>0</v>
      </c>
      <c r="AT101" s="545">
        <f ca="1">IF(AND($D101="Serviço",AT$12&lt;&gt;0,$H101&gt;0,OR(AUTOEVENTO&lt;&gt;"manual",$M101&lt;&gt;1)),
IF(Import.TipoArredondamento&lt;&gt;"TransfereGOV",
ROUND(OFFSET($P101,0,AT$13),15-13*ORÇAMENTO!$AF$7)/$H101*OFFSET(ORÇAMENTO!$X$15,ROW(AT101)-ROW(AT$15),0),
ROUND(ROUND(OFFSET($P101,0,AT$13),15-13*ORÇAMENTO!$AF$7)*OFFSET(ORÇAMENTO!$W$15,ROW(AT101)-ROW(AT$15),0),15-13*ORÇAMENTO!$AF$11)),0)</f>
        <v>0</v>
      </c>
      <c r="AU101" s="545">
        <f ca="1">IF(AND($D101="Serviço",AU$12&lt;&gt;0,$H101&gt;0,OR(AUTOEVENTO&lt;&gt;"manual",$M101&lt;&gt;1)),
IF(Import.TipoArredondamento&lt;&gt;"TransfereGOV",
ROUND(OFFSET($P101,0,AU$13),15-13*ORÇAMENTO!$AF$7)/$H101*OFFSET(ORÇAMENTO!$X$15,ROW(AU101)-ROW(AU$15),0),
ROUND(ROUND(OFFSET($P101,0,AU$13),15-13*ORÇAMENTO!$AF$7)*OFFSET(ORÇAMENTO!$W$15,ROW(AU101)-ROW(AU$15),0),15-13*ORÇAMENTO!$AF$11)),0)</f>
        <v>0</v>
      </c>
      <c r="AV101" s="545">
        <f ca="1">IF(AND($D101="Serviço",AV$12&lt;&gt;0,$H101&gt;0,OR(AUTOEVENTO&lt;&gt;"manual",$M101&lt;&gt;1)),
IF(Import.TipoArredondamento&lt;&gt;"TransfereGOV",
ROUND(OFFSET($P101,0,AV$13),15-13*ORÇAMENTO!$AF$7)/$H101*OFFSET(ORÇAMENTO!$X$15,ROW(AV101)-ROW(AV$15),0),
ROUND(ROUND(OFFSET($P101,0,AV$13),15-13*ORÇAMENTO!$AF$7)*OFFSET(ORÇAMENTO!$W$15,ROW(AV101)-ROW(AV$15),0),15-13*ORÇAMENTO!$AF$11)),0)</f>
        <v>0</v>
      </c>
      <c r="AW101" s="545">
        <f ca="1">IF(AND($D101="Serviço",AW$12&lt;&gt;0,$H101&gt;0,OR(AUTOEVENTO&lt;&gt;"manual",$M101&lt;&gt;1)),
IF(Import.TipoArredondamento&lt;&gt;"TransfereGOV",
ROUND(OFFSET($P101,0,AW$13),15-13*ORÇAMENTO!$AF$7)/$H101*OFFSET(ORÇAMENTO!$X$15,ROW(AW101)-ROW(AW$15),0),
ROUND(ROUND(OFFSET($P101,0,AW$13),15-13*ORÇAMENTO!$AF$7)*OFFSET(ORÇAMENTO!$W$15,ROW(AW101)-ROW(AW$15),0),15-13*ORÇAMENTO!$AF$11)),0)</f>
        <v>0</v>
      </c>
      <c r="AX101" s="545">
        <f ca="1">IF(AND($D101="Serviço",AX$12&lt;&gt;0,$H101&gt;0,OR(AUTOEVENTO&lt;&gt;"manual",$M101&lt;&gt;1)),
IF(Import.TipoArredondamento&lt;&gt;"TransfereGOV",
ROUND(OFFSET($P101,0,AX$13),15-13*ORÇAMENTO!$AF$7)/$H101*OFFSET(ORÇAMENTO!$X$15,ROW(AX101)-ROW(AX$15),0),
ROUND(ROUND(OFFSET($P101,0,AX$13),15-13*ORÇAMENTO!$AF$7)*OFFSET(ORÇAMENTO!$W$15,ROW(AX101)-ROW(AX$15),0),15-13*ORÇAMENTO!$AF$11)),0)</f>
        <v>0</v>
      </c>
      <c r="AY101" s="545">
        <f ca="1">IF(AND($D101="Serviço",AY$12&lt;&gt;0,$H101&gt;0,OR(AUTOEVENTO&lt;&gt;"manual",$M101&lt;&gt;1)),
IF(Import.TipoArredondamento&lt;&gt;"TransfereGOV",
ROUND(OFFSET($P101,0,AY$13),15-13*ORÇAMENTO!$AF$7)/$H101*OFFSET(ORÇAMENTO!$X$15,ROW(AY101)-ROW(AY$15),0),
ROUND(ROUND(OFFSET($P101,0,AY$13),15-13*ORÇAMENTO!$AF$7)*OFFSET(ORÇAMENTO!$W$15,ROW(AY101)-ROW(AY$15),0),15-13*ORÇAMENTO!$AF$11)),0)</f>
        <v>0</v>
      </c>
      <c r="AZ101" s="545">
        <f ca="1">IF(AND($D101="Serviço",AZ$12&lt;&gt;0,$H101&gt;0,OR(AUTOEVENTO&lt;&gt;"manual",$M101&lt;&gt;1)),
IF(Import.TipoArredondamento&lt;&gt;"TransfereGOV",
ROUND(OFFSET($P101,0,AZ$13),15-13*ORÇAMENTO!$AF$7)/$H101*OFFSET(ORÇAMENTO!$X$15,ROW(AZ101)-ROW(AZ$15),0),
ROUND(ROUND(OFFSET($P101,0,AZ$13),15-13*ORÇAMENTO!$AF$7)*OFFSET(ORÇAMENTO!$W$15,ROW(AZ101)-ROW(AZ$15),0),15-13*ORÇAMENTO!$AF$11)),0)</f>
        <v>0</v>
      </c>
      <c r="BA101" s="546">
        <f ca="1">IF(AND($D101="Serviço",BA$12&lt;&gt;0,$H101&gt;0,OR(AUTOEVENTO&lt;&gt;"manual",$M101&lt;&gt;1)),
IF(Import.TipoArredondamento&lt;&gt;"TransfereGOV",
ROUND(OFFSET($P101,0,BA$13),15-13*ORÇAMENTO!$AF$7)/$H101*OFFSET(ORÇAMENTO!$X$15,ROW(BA101)-ROW(BA$15),0),
ROUND(ROUND(OFFSET($P101,0,BA$13),15-13*ORÇAMENTO!$AF$7)*OFFSET(ORÇAMENTO!$W$15,ROW(BA101)-ROW(BA$15),0),15-13*ORÇAMENTO!$AF$11)),0)</f>
        <v>0</v>
      </c>
      <c r="BC101" s="181">
        <f ca="1">IF($D101&lt;&gt;"Serviço",0,IF(AND(AUTOEVENTO="Manual",$M101=1),0,IF(OFFSET(CRONOPLE!$F$14,$M101,BC$13)="",10^12,OFFSET(CRONOPLE!$F$14,$M101,BC$13))))</f>
        <v>0</v>
      </c>
      <c r="BD101" s="181">
        <f ca="1">IF($D101&lt;&gt;"Serviço",0,IF(AND(AUTOEVENTO="Manual",$M101=1),0,IF(OFFSET(CRONOPLE!$F$14,$M101,BD$13)="",10^12,OFFSET(CRONOPLE!$F$14,$M101,BD$13))))</f>
        <v>0</v>
      </c>
      <c r="BE101" s="181">
        <f ca="1">IF($D101&lt;&gt;"Serviço",0,IF(AND(AUTOEVENTO="Manual",$M101=1),0,IF(OFFSET(CRONOPLE!$F$14,$M101,BE$13)="",10^12,OFFSET(CRONOPLE!$F$14,$M101,BE$13))))</f>
        <v>0</v>
      </c>
      <c r="BF101" s="181">
        <f ca="1">IF($D101&lt;&gt;"Serviço",0,IF(AND(AUTOEVENTO="Manual",$M101=1),0,IF(OFFSET(CRONOPLE!$F$14,$M101,BF$13)="",10^12,OFFSET(CRONOPLE!$F$14,$M101,BF$13))))</f>
        <v>0</v>
      </c>
      <c r="BG101" s="181">
        <f ca="1">IF($D101&lt;&gt;"Serviço",0,IF(AND(AUTOEVENTO="Manual",$M101=1),0,IF(OFFSET(CRONOPLE!$F$14,$M101,BG$13)="",10^12,OFFSET(CRONOPLE!$F$14,$M101,BG$13))))</f>
        <v>0</v>
      </c>
      <c r="BH101" s="181">
        <f ca="1">IF($D101&lt;&gt;"Serviço",0,IF(AND(AUTOEVENTO="Manual",$M101=1),0,IF(OFFSET(CRONOPLE!$F$14,$M101,BH$13)="",10^12,OFFSET(CRONOPLE!$F$14,$M101,BH$13))))</f>
        <v>0</v>
      </c>
      <c r="BI101" s="181">
        <f ca="1">IF($D101&lt;&gt;"Serviço",0,IF(AND(AUTOEVENTO="Manual",$M101=1),0,IF(OFFSET(CRONOPLE!$F$14,$M101,BI$13)="",10^12,OFFSET(CRONOPLE!$F$14,$M101,BI$13))))</f>
        <v>0</v>
      </c>
      <c r="BJ101" s="181">
        <f ca="1">IF($D101&lt;&gt;"Serviço",0,IF(AND(AUTOEVENTO="Manual",$M101=1),0,IF(OFFSET(CRONOPLE!$F$14,$M101,BJ$13)="",10^12,OFFSET(CRONOPLE!$F$14,$M101,BJ$13))))</f>
        <v>0</v>
      </c>
      <c r="BK101" s="181">
        <f ca="1">IF($D101&lt;&gt;"Serviço",0,IF(AND(AUTOEVENTO="Manual",$M101=1),0,IF(OFFSET(CRONOPLE!$F$14,$M101,BK$13)="",10^12,OFFSET(CRONOPLE!$F$14,$M101,BK$13))))</f>
        <v>0</v>
      </c>
      <c r="BL101" s="181">
        <f ca="1">IF($D101&lt;&gt;"Serviço",0,IF(AND(AUTOEVENTO="Manual",$M101=1),0,IF(OFFSET(CRONOPLE!$F$14,$M101,BL$13)="",10^12,OFFSET(CRONOPLE!$F$14,$M101,BL$13))))</f>
        <v>0</v>
      </c>
      <c r="BM101" s="181">
        <f ca="1">IF($D101&lt;&gt;"Serviço",0,IF(AND(AUTOEVENTO="Manual",$M101=1),0,IF(OFFSET(CRONOPLE!$F$14,$M101,BM$13)="",10^12,OFFSET(CRONOPLE!$F$14,$M101,BM$13))))</f>
        <v>0</v>
      </c>
      <c r="BN101" s="181">
        <f ca="1">IF($D101&lt;&gt;"Serviço",0,IF(AND(AUTOEVENTO="Manual",$M101=1),0,IF(OFFSET(CRONOPLE!$F$14,$M101,BN$13)="",10^12,OFFSET(CRONOPLE!$F$14,$M101,BN$13))))</f>
        <v>0</v>
      </c>
      <c r="BO101" s="181">
        <f ca="1">IF($D101&lt;&gt;"Serviço",0,IF(AND(AUTOEVENTO="Manual",$M101=1),0,IF(OFFSET(CRONOPLE!$F$14,$M101,BO$13)="",10^12,OFFSET(CRONOPLE!$F$14,$M101,BO$13))))</f>
        <v>0</v>
      </c>
      <c r="BP101" s="181">
        <f ca="1">IF($D101&lt;&gt;"Serviço",0,IF(AND(AUTOEVENTO="Manual",$M101=1),0,IF(OFFSET(CRONOPLE!$F$14,$M101,BP$13)="",10^12,OFFSET(CRONOPLE!$F$14,$M101,BP$13))))</f>
        <v>0</v>
      </c>
      <c r="BQ101" s="181">
        <f ca="1">IF($D101&lt;&gt;"Serviço",0,IF(AND(AUTOEVENTO="Manual",$M101=1),0,IF(OFFSET(CRONOPLE!$F$14,$M101,BQ$13)="",10^12,OFFSET(CRONOPLE!$F$14,$M101,BQ$13))))</f>
        <v>0</v>
      </c>
      <c r="BR101" s="181">
        <f ca="1">IF($D101&lt;&gt;"Serviço",0,IF(AND(AUTOEVENTO="Manual",$M101=1),0,IF(OFFSET(CRONOPLE!$F$14,$M101,BR$13)="",10^12,OFFSET(CRONOPLE!$F$14,$M101,BR$13))))</f>
        <v>0</v>
      </c>
      <c r="BS101" s="181">
        <f ca="1">IF($D101&lt;&gt;"Serviço",0,IF(AND(AUTOEVENTO="Manual",$M101=1),0,IF(OFFSET(CRONOPLE!$F$14,$M101,BS$13)="",10^12,OFFSET(CRONOPLE!$F$14,$M101,BS$13))))</f>
        <v>0</v>
      </c>
      <c r="BT101" s="181">
        <f ca="1">IF($D101&lt;&gt;"Serviço",0,IF(AND(AUTOEVENTO="Manual",$M101=1),0,IF(OFFSET(CRONOPLE!$F$14,$M101,BT$13)="",10^12,OFFSET(CRONOPLE!$F$14,$M101,BT$13))))</f>
        <v>0</v>
      </c>
      <c r="BV101" s="182">
        <f ca="1">IF($D101&lt;&gt;"Serviço",0,IF(OR(AND(AUTOEVENTO="Manual",$M101=1),$M101&gt;(ROW(PLE.lastrow)-ROW(PLE.firstrow))),0,IF(OFFSET(PLE!$G$14,$M101,BV$13)="",10^12,OFFSET(PLE!$G$14,$M101,BV$13))))</f>
        <v>0</v>
      </c>
      <c r="BW101" s="182">
        <f ca="1">IF($D101&lt;&gt;"Serviço",0,IF(OR(AND(AUTOEVENTO="Manual",$M101=1),$M101&gt;(ROW(PLE.lastrow)-ROW(PLE.firstrow))),0,IF(OFFSET(PLE!$G$14,$M101,BW$13)="",10^12,OFFSET(PLE!$G$14,$M101,BW$13))))</f>
        <v>0</v>
      </c>
      <c r="BX101" s="182">
        <f ca="1">IF($D101&lt;&gt;"Serviço",0,IF(OR(AND(AUTOEVENTO="Manual",$M101=1),$M101&gt;(ROW(PLE.lastrow)-ROW(PLE.firstrow))),0,IF(OFFSET(PLE!$G$14,$M101,BX$13)="",10^12,OFFSET(PLE!$G$14,$M101,BX$13))))</f>
        <v>0</v>
      </c>
      <c r="BY101" s="182">
        <f ca="1">IF($D101&lt;&gt;"Serviço",0,IF(OR(AND(AUTOEVENTO="Manual",$M101=1),$M101&gt;(ROW(PLE.lastrow)-ROW(PLE.firstrow))),0,IF(OFFSET(PLE!$G$14,$M101,BY$13)="",10^12,OFFSET(PLE!$G$14,$M101,BY$13))))</f>
        <v>0</v>
      </c>
      <c r="BZ101" s="182">
        <f ca="1">IF($D101&lt;&gt;"Serviço",0,IF(OR(AND(AUTOEVENTO="Manual",$M101=1),$M101&gt;(ROW(PLE.lastrow)-ROW(PLE.firstrow))),0,IF(OFFSET(PLE!$G$14,$M101,BZ$13)="",10^12,OFFSET(PLE!$G$14,$M101,BZ$13))))</f>
        <v>0</v>
      </c>
      <c r="CA101" s="182">
        <f ca="1">IF($D101&lt;&gt;"Serviço",0,IF(OR(AND(AUTOEVENTO="Manual",$M101=1),$M101&gt;(ROW(PLE.lastrow)-ROW(PLE.firstrow))),0,IF(OFFSET(PLE!$G$14,$M101,CA$13)="",10^12,OFFSET(PLE!$G$14,$M101,CA$13))))</f>
        <v>0</v>
      </c>
      <c r="CB101" s="182">
        <f ca="1">IF($D101&lt;&gt;"Serviço",0,IF(OR(AND(AUTOEVENTO="Manual",$M101=1),$M101&gt;(ROW(PLE.lastrow)-ROW(PLE.firstrow))),0,IF(OFFSET(PLE!$G$14,$M101,CB$13)="",10^12,OFFSET(PLE!$G$14,$M101,CB$13))))</f>
        <v>0</v>
      </c>
      <c r="CC101" s="182">
        <f ca="1">IF($D101&lt;&gt;"Serviço",0,IF(OR(AND(AUTOEVENTO="Manual",$M101=1),$M101&gt;(ROW(PLE.lastrow)-ROW(PLE.firstrow))),0,IF(OFFSET(PLE!$G$14,$M101,CC$13)="",10^12,OFFSET(PLE!$G$14,$M101,CC$13))))</f>
        <v>0</v>
      </c>
      <c r="CD101" s="182">
        <f ca="1">IF($D101&lt;&gt;"Serviço",0,IF(OR(AND(AUTOEVENTO="Manual",$M101=1),$M101&gt;(ROW(PLE.lastrow)-ROW(PLE.firstrow))),0,IF(OFFSET(PLE!$G$14,$M101,CD$13)="",10^12,OFFSET(PLE!$G$14,$M101,CD$13))))</f>
        <v>0</v>
      </c>
      <c r="CE101" s="182">
        <f ca="1">IF($D101&lt;&gt;"Serviço",0,IF(OR(AND(AUTOEVENTO="Manual",$M101=1),$M101&gt;(ROW(PLE.lastrow)-ROW(PLE.firstrow))),0,IF(OFFSET(PLE!$G$14,$M101,CE$13)="",10^12,OFFSET(PLE!$G$14,$M101,CE$13))))</f>
        <v>0</v>
      </c>
      <c r="CF101" s="182">
        <f ca="1">IF($D101&lt;&gt;"Serviço",0,IF(OR(AND(AUTOEVENTO="Manual",$M101=1),$M101&gt;(ROW(PLE.lastrow)-ROW(PLE.firstrow))),0,IF(OFFSET(PLE!$G$14,$M101,CF$13)="",10^12,OFFSET(PLE!$G$14,$M101,CF$13))))</f>
        <v>0</v>
      </c>
      <c r="CG101" s="182">
        <f ca="1">IF($D101&lt;&gt;"Serviço",0,IF(OR(AND(AUTOEVENTO="Manual",$M101=1),$M101&gt;(ROW(PLE.lastrow)-ROW(PLE.firstrow))),0,IF(OFFSET(PLE!$G$14,$M101,CG$13)="",10^12,OFFSET(PLE!$G$14,$M101,CG$13))))</f>
        <v>0</v>
      </c>
      <c r="CH101" s="182">
        <f ca="1">IF($D101&lt;&gt;"Serviço",0,IF(OR(AND(AUTOEVENTO="Manual",$M101=1),$M101&gt;(ROW(PLE.lastrow)-ROW(PLE.firstrow))),0,IF(OFFSET(PLE!$G$14,$M101,CH$13)="",10^12,OFFSET(PLE!$G$14,$M101,CH$13))))</f>
        <v>0</v>
      </c>
      <c r="CI101" s="182">
        <f ca="1">IF($D101&lt;&gt;"Serviço",0,IF(OR(AND(AUTOEVENTO="Manual",$M101=1),$M101&gt;(ROW(PLE.lastrow)-ROW(PLE.firstrow))),0,IF(OFFSET(PLE!$G$14,$M101,CI$13)="",10^12,OFFSET(PLE!$G$14,$M101,CI$13))))</f>
        <v>0</v>
      </c>
      <c r="CJ101" s="182">
        <f ca="1">IF($D101&lt;&gt;"Serviço",0,IF(OR(AND(AUTOEVENTO="Manual",$M101=1),$M101&gt;(ROW(PLE.lastrow)-ROW(PLE.firstrow))),0,IF(OFFSET(PLE!$G$14,$M101,CJ$13)="",10^12,OFFSET(PLE!$G$14,$M101,CJ$13))))</f>
        <v>0</v>
      </c>
      <c r="CK101" s="182">
        <f ca="1">IF($D101&lt;&gt;"Serviço",0,IF(OR(AND(AUTOEVENTO="Manual",$M101=1),$M101&gt;(ROW(PLE.lastrow)-ROW(PLE.firstrow))),0,IF(OFFSET(PLE!$G$14,$M101,CK$13)="",10^12,OFFSET(PLE!$G$14,$M101,CK$13))))</f>
        <v>0</v>
      </c>
      <c r="CL101" s="182">
        <f ca="1">IF($D101&lt;&gt;"Serviço",0,IF(OR(AND(AUTOEVENTO="Manual",$M101=1),$M101&gt;(ROW(PLE.lastrow)-ROW(PLE.firstrow))),0,IF(OFFSET(PLE!$G$14,$M101,CL$13)="",10^12,OFFSET(PLE!$G$14,$M101,CL$13))))</f>
        <v>0</v>
      </c>
      <c r="CM101" s="182">
        <f ca="1">IF($D101&lt;&gt;"Serviço",0,IF(OR(AND(AUTOEVENTO="Manual",$M101=1),$M101&gt;(ROW(PLE.lastrow)-ROW(PLE.firstrow))),0,IF(OFFSET(PLE!$G$14,$M101,CM$13)="",10^12,OFFSET(PLE!$G$14,$M101,CM$13))))</f>
        <v>0</v>
      </c>
    </row>
    <row r="102" spans="1:91" ht="38.25" x14ac:dyDescent="0.2">
      <c r="A102" s="7" t="str">
        <f t="shared" ca="1" si="10"/>
        <v>86</v>
      </c>
      <c r="B102" s="7" t="str">
        <f ca="1">OFFSET(ORÇAMENTO!C$15,ROW(B102)-ROW(B$15),0)</f>
        <v>S</v>
      </c>
      <c r="C102" s="7" t="str">
        <f ca="1">OFFSET(ORÇAMENTO!L$15,ROW(C102)-ROW(C$15),0)</f>
        <v/>
      </c>
      <c r="D102" s="118" t="str">
        <f ca="1">OFFSET(ORÇAMENTO!N$15,ROW(D102)-ROW(D$15),0)</f>
        <v>Serviço</v>
      </c>
      <c r="E102" s="119" t="str">
        <f ca="1">OFFSET(ORÇAMENTO!O$15,ROW(E102)-ROW(E$15),0)</f>
        <v>-</v>
      </c>
      <c r="F102" s="172" t="str">
        <f ca="1">OFFSET(ORÇAMENTO!R$15,ROW(F102)-ROW(F$15),0)</f>
        <v>(abra o arquivo 'Referência 06-2024.xlsm)</v>
      </c>
      <c r="G102" s="173" t="str">
        <f ca="1">IF($D102&lt;&gt;"Serviço","",OFFSET(ORÇAMENTO!S$15,ROW(G102)-ROW(G$15),0))</f>
        <v>-</v>
      </c>
      <c r="H102" s="124">
        <f ca="1">IF($D102&lt;&gt;"Serviço",0,IF(ACOMPANHAMENTO="BM",ROUND(OFFSET(ORÇAMENTO!AJ$15,ROW(H102)-ROW(H$15),0),15-13*ORÇAMENTO!$AF$7),SUMPRODUCT(($Q$12:$AI$12&lt;&gt;"")*ROUND($Q102:$AI102,15-13*ORÇAMENTO!$AF$7))))</f>
        <v>4.8</v>
      </c>
      <c r="I102" s="561" t="s">
        <v>1107</v>
      </c>
      <c r="K102" s="174"/>
      <c r="L102" s="175" t="s">
        <v>255</v>
      </c>
      <c r="M102" s="176">
        <f ca="1">IF($D102&lt;&gt;"Serviço","",IF(AUTOEVENTO="manual",$A102,IF(ISERROR(MATCH($A102,$A$15:OFFSET($A102,-1,0),0)),MAX($M$15:OFFSET(M102,-1,0))+1,INDEX($M$15:OFFSET(M102,-1,0),MATCH($A102,$A$15:OFFSET($A102,-1,0),0)))))</f>
        <v>16</v>
      </c>
      <c r="N102" s="177" t="str">
        <f ca="1">IF($D102&lt;&gt;"Serviço","",IF(AUTOEVENTO="Manual",IF($A102=0,"&lt;-- defina o número do agrupador",OFFSET(EVENTOS!$D$14,$A102,0)),OFFSET($F$15,$A102,0)))</f>
        <v>SISTEMA DE VEDAÇÃO VERTICAL - ELEMENTOS VAZADOS</v>
      </c>
      <c r="O102" s="178"/>
      <c r="Q102" s="178">
        <v>4.8</v>
      </c>
      <c r="R102" s="179"/>
      <c r="S102" s="179"/>
      <c r="T102" s="179"/>
      <c r="U102" s="179"/>
      <c r="V102" s="179"/>
      <c r="W102" s="179"/>
      <c r="X102" s="179"/>
      <c r="Y102" s="179"/>
      <c r="Z102" s="180"/>
      <c r="AA102" s="179"/>
      <c r="AB102" s="179"/>
      <c r="AC102" s="179"/>
      <c r="AD102" s="179"/>
      <c r="AE102" s="179"/>
      <c r="AF102" s="179"/>
      <c r="AG102" s="179"/>
      <c r="AH102" s="180"/>
      <c r="AJ102" s="544">
        <f ca="1">IF(AND($D102="Serviço",AJ$12&lt;&gt;0,$H102&gt;0,OR(AUTOEVENTO&lt;&gt;"manual",$M102&lt;&gt;1)),
IF(Import.TipoArredondamento&lt;&gt;"TransfereGOV",
ROUND(OFFSET($P102,0,AJ$13),15-13*ORÇAMENTO!$AF$7)/$H102*OFFSET(ORÇAMENTO!$X$15,ROW(AJ102)-ROW(AJ$15),0),
ROUND(ROUND(OFFSET($P102,0,AJ$13),15-13*ORÇAMENTO!$AF$7)*OFFSET(ORÇAMENTO!$W$15,ROW(AJ102)-ROW(AJ$15),0),15-13*ORÇAMENTO!$AF$11)),0)</f>
        <v>0</v>
      </c>
      <c r="AK102" s="545">
        <f ca="1">IF(AND($D102="Serviço",AK$12&lt;&gt;0,$H102&gt;0,OR(AUTOEVENTO&lt;&gt;"manual",$M102&lt;&gt;1)),
IF(Import.TipoArredondamento&lt;&gt;"TransfereGOV",
ROUND(OFFSET($P102,0,AK$13),15-13*ORÇAMENTO!$AF$7)/$H102*OFFSET(ORÇAMENTO!$X$15,ROW(AK102)-ROW(AK$15),0),
ROUND(ROUND(OFFSET($P102,0,AK$13),15-13*ORÇAMENTO!$AF$7)*OFFSET(ORÇAMENTO!$W$15,ROW(AK102)-ROW(AK$15),0),15-13*ORÇAMENTO!$AF$11)),0)</f>
        <v>0</v>
      </c>
      <c r="AL102" s="545">
        <f ca="1">IF(AND($D102="Serviço",AL$12&lt;&gt;0,$H102&gt;0,OR(AUTOEVENTO&lt;&gt;"manual",$M102&lt;&gt;1)),
IF(Import.TipoArredondamento&lt;&gt;"TransfereGOV",
ROUND(OFFSET($P102,0,AL$13),15-13*ORÇAMENTO!$AF$7)/$H102*OFFSET(ORÇAMENTO!$X$15,ROW(AL102)-ROW(AL$15),0),
ROUND(ROUND(OFFSET($P102,0,AL$13),15-13*ORÇAMENTO!$AF$7)*OFFSET(ORÇAMENTO!$W$15,ROW(AL102)-ROW(AL$15),0),15-13*ORÇAMENTO!$AF$11)),0)</f>
        <v>0</v>
      </c>
      <c r="AM102" s="545">
        <f ca="1">IF(AND($D102="Serviço",AM$12&lt;&gt;0,$H102&gt;0,OR(AUTOEVENTO&lt;&gt;"manual",$M102&lt;&gt;1)),
IF(Import.TipoArredondamento&lt;&gt;"TransfereGOV",
ROUND(OFFSET($P102,0,AM$13),15-13*ORÇAMENTO!$AF$7)/$H102*OFFSET(ORÇAMENTO!$X$15,ROW(AM102)-ROW(AM$15),0),
ROUND(ROUND(OFFSET($P102,0,AM$13),15-13*ORÇAMENTO!$AF$7)*OFFSET(ORÇAMENTO!$W$15,ROW(AM102)-ROW(AM$15),0),15-13*ORÇAMENTO!$AF$11)),0)</f>
        <v>0</v>
      </c>
      <c r="AN102" s="545">
        <f ca="1">IF(AND($D102="Serviço",AN$12&lt;&gt;0,$H102&gt;0,OR(AUTOEVENTO&lt;&gt;"manual",$M102&lt;&gt;1)),
IF(Import.TipoArredondamento&lt;&gt;"TransfereGOV",
ROUND(OFFSET($P102,0,AN$13),15-13*ORÇAMENTO!$AF$7)/$H102*OFFSET(ORÇAMENTO!$X$15,ROW(AN102)-ROW(AN$15),0),
ROUND(ROUND(OFFSET($P102,0,AN$13),15-13*ORÇAMENTO!$AF$7)*OFFSET(ORÇAMENTO!$W$15,ROW(AN102)-ROW(AN$15),0),15-13*ORÇAMENTO!$AF$11)),0)</f>
        <v>0</v>
      </c>
      <c r="AO102" s="545">
        <f ca="1">IF(AND($D102="Serviço",AO$12&lt;&gt;0,$H102&gt;0,OR(AUTOEVENTO&lt;&gt;"manual",$M102&lt;&gt;1)),
IF(Import.TipoArredondamento&lt;&gt;"TransfereGOV",
ROUND(OFFSET($P102,0,AO$13),15-13*ORÇAMENTO!$AF$7)/$H102*OFFSET(ORÇAMENTO!$X$15,ROW(AO102)-ROW(AO$15),0),
ROUND(ROUND(OFFSET($P102,0,AO$13),15-13*ORÇAMENTO!$AF$7)*OFFSET(ORÇAMENTO!$W$15,ROW(AO102)-ROW(AO$15),0),15-13*ORÇAMENTO!$AF$11)),0)</f>
        <v>0</v>
      </c>
      <c r="AP102" s="545">
        <f ca="1">IF(AND($D102="Serviço",AP$12&lt;&gt;0,$H102&gt;0,OR(AUTOEVENTO&lt;&gt;"manual",$M102&lt;&gt;1)),
IF(Import.TipoArredondamento&lt;&gt;"TransfereGOV",
ROUND(OFFSET($P102,0,AP$13),15-13*ORÇAMENTO!$AF$7)/$H102*OFFSET(ORÇAMENTO!$X$15,ROW(AP102)-ROW(AP$15),0),
ROUND(ROUND(OFFSET($P102,0,AP$13),15-13*ORÇAMENTO!$AF$7)*OFFSET(ORÇAMENTO!$W$15,ROW(AP102)-ROW(AP$15),0),15-13*ORÇAMENTO!$AF$11)),0)</f>
        <v>0</v>
      </c>
      <c r="AQ102" s="545">
        <f ca="1">IF(AND($D102="Serviço",AQ$12&lt;&gt;0,$H102&gt;0,OR(AUTOEVENTO&lt;&gt;"manual",$M102&lt;&gt;1)),
IF(Import.TipoArredondamento&lt;&gt;"TransfereGOV",
ROUND(OFFSET($P102,0,AQ$13),15-13*ORÇAMENTO!$AF$7)/$H102*OFFSET(ORÇAMENTO!$X$15,ROW(AQ102)-ROW(AQ$15),0),
ROUND(ROUND(OFFSET($P102,0,AQ$13),15-13*ORÇAMENTO!$AF$7)*OFFSET(ORÇAMENTO!$W$15,ROW(AQ102)-ROW(AQ$15),0),15-13*ORÇAMENTO!$AF$11)),0)</f>
        <v>0</v>
      </c>
      <c r="AR102" s="545">
        <f ca="1">IF(AND($D102="Serviço",AR$12&lt;&gt;0,$H102&gt;0,OR(AUTOEVENTO&lt;&gt;"manual",$M102&lt;&gt;1)),
IF(Import.TipoArredondamento&lt;&gt;"TransfereGOV",
ROUND(OFFSET($P102,0,AR$13),15-13*ORÇAMENTO!$AF$7)/$H102*OFFSET(ORÇAMENTO!$X$15,ROW(AR102)-ROW(AR$15),0),
ROUND(ROUND(OFFSET($P102,0,AR$13),15-13*ORÇAMENTO!$AF$7)*OFFSET(ORÇAMENTO!$W$15,ROW(AR102)-ROW(AR$15),0),15-13*ORÇAMENTO!$AF$11)),0)</f>
        <v>0</v>
      </c>
      <c r="AS102" s="546">
        <f ca="1">IF(AND($D102="Serviço",AS$12&lt;&gt;0,$H102&gt;0,OR(AUTOEVENTO&lt;&gt;"manual",$M102&lt;&gt;1)),
IF(Import.TipoArredondamento&lt;&gt;"TransfereGOV",
ROUND(OFFSET($P102,0,AS$13),15-13*ORÇAMENTO!$AF$7)/$H102*OFFSET(ORÇAMENTO!$X$15,ROW(AS102)-ROW(AS$15),0),
ROUND(ROUND(OFFSET($P102,0,AS$13),15-13*ORÇAMENTO!$AF$7)*OFFSET(ORÇAMENTO!$W$15,ROW(AS102)-ROW(AS$15),0),15-13*ORÇAMENTO!$AF$11)),0)</f>
        <v>0</v>
      </c>
      <c r="AT102" s="545">
        <f ca="1">IF(AND($D102="Serviço",AT$12&lt;&gt;0,$H102&gt;0,OR(AUTOEVENTO&lt;&gt;"manual",$M102&lt;&gt;1)),
IF(Import.TipoArredondamento&lt;&gt;"TransfereGOV",
ROUND(OFFSET($P102,0,AT$13),15-13*ORÇAMENTO!$AF$7)/$H102*OFFSET(ORÇAMENTO!$X$15,ROW(AT102)-ROW(AT$15),0),
ROUND(ROUND(OFFSET($P102,0,AT$13),15-13*ORÇAMENTO!$AF$7)*OFFSET(ORÇAMENTO!$W$15,ROW(AT102)-ROW(AT$15),0),15-13*ORÇAMENTO!$AF$11)),0)</f>
        <v>0</v>
      </c>
      <c r="AU102" s="545">
        <f ca="1">IF(AND($D102="Serviço",AU$12&lt;&gt;0,$H102&gt;0,OR(AUTOEVENTO&lt;&gt;"manual",$M102&lt;&gt;1)),
IF(Import.TipoArredondamento&lt;&gt;"TransfereGOV",
ROUND(OFFSET($P102,0,AU$13),15-13*ORÇAMENTO!$AF$7)/$H102*OFFSET(ORÇAMENTO!$X$15,ROW(AU102)-ROW(AU$15),0),
ROUND(ROUND(OFFSET($P102,0,AU$13),15-13*ORÇAMENTO!$AF$7)*OFFSET(ORÇAMENTO!$W$15,ROW(AU102)-ROW(AU$15),0),15-13*ORÇAMENTO!$AF$11)),0)</f>
        <v>0</v>
      </c>
      <c r="AV102" s="545">
        <f ca="1">IF(AND($D102="Serviço",AV$12&lt;&gt;0,$H102&gt;0,OR(AUTOEVENTO&lt;&gt;"manual",$M102&lt;&gt;1)),
IF(Import.TipoArredondamento&lt;&gt;"TransfereGOV",
ROUND(OFFSET($P102,0,AV$13),15-13*ORÇAMENTO!$AF$7)/$H102*OFFSET(ORÇAMENTO!$X$15,ROW(AV102)-ROW(AV$15),0),
ROUND(ROUND(OFFSET($P102,0,AV$13),15-13*ORÇAMENTO!$AF$7)*OFFSET(ORÇAMENTO!$W$15,ROW(AV102)-ROW(AV$15),0),15-13*ORÇAMENTO!$AF$11)),0)</f>
        <v>0</v>
      </c>
      <c r="AW102" s="545">
        <f ca="1">IF(AND($D102="Serviço",AW$12&lt;&gt;0,$H102&gt;0,OR(AUTOEVENTO&lt;&gt;"manual",$M102&lt;&gt;1)),
IF(Import.TipoArredondamento&lt;&gt;"TransfereGOV",
ROUND(OFFSET($P102,0,AW$13),15-13*ORÇAMENTO!$AF$7)/$H102*OFFSET(ORÇAMENTO!$X$15,ROW(AW102)-ROW(AW$15),0),
ROUND(ROUND(OFFSET($P102,0,AW$13),15-13*ORÇAMENTO!$AF$7)*OFFSET(ORÇAMENTO!$W$15,ROW(AW102)-ROW(AW$15),0),15-13*ORÇAMENTO!$AF$11)),0)</f>
        <v>0</v>
      </c>
      <c r="AX102" s="545">
        <f ca="1">IF(AND($D102="Serviço",AX$12&lt;&gt;0,$H102&gt;0,OR(AUTOEVENTO&lt;&gt;"manual",$M102&lt;&gt;1)),
IF(Import.TipoArredondamento&lt;&gt;"TransfereGOV",
ROUND(OFFSET($P102,0,AX$13),15-13*ORÇAMENTO!$AF$7)/$H102*OFFSET(ORÇAMENTO!$X$15,ROW(AX102)-ROW(AX$15),0),
ROUND(ROUND(OFFSET($P102,0,AX$13),15-13*ORÇAMENTO!$AF$7)*OFFSET(ORÇAMENTO!$W$15,ROW(AX102)-ROW(AX$15),0),15-13*ORÇAMENTO!$AF$11)),0)</f>
        <v>0</v>
      </c>
      <c r="AY102" s="545">
        <f ca="1">IF(AND($D102="Serviço",AY$12&lt;&gt;0,$H102&gt;0,OR(AUTOEVENTO&lt;&gt;"manual",$M102&lt;&gt;1)),
IF(Import.TipoArredondamento&lt;&gt;"TransfereGOV",
ROUND(OFFSET($P102,0,AY$13),15-13*ORÇAMENTO!$AF$7)/$H102*OFFSET(ORÇAMENTO!$X$15,ROW(AY102)-ROW(AY$15),0),
ROUND(ROUND(OFFSET($P102,0,AY$13),15-13*ORÇAMENTO!$AF$7)*OFFSET(ORÇAMENTO!$W$15,ROW(AY102)-ROW(AY$15),0),15-13*ORÇAMENTO!$AF$11)),0)</f>
        <v>0</v>
      </c>
      <c r="AZ102" s="545">
        <f ca="1">IF(AND($D102="Serviço",AZ$12&lt;&gt;0,$H102&gt;0,OR(AUTOEVENTO&lt;&gt;"manual",$M102&lt;&gt;1)),
IF(Import.TipoArredondamento&lt;&gt;"TransfereGOV",
ROUND(OFFSET($P102,0,AZ$13),15-13*ORÇAMENTO!$AF$7)/$H102*OFFSET(ORÇAMENTO!$X$15,ROW(AZ102)-ROW(AZ$15),0),
ROUND(ROUND(OFFSET($P102,0,AZ$13),15-13*ORÇAMENTO!$AF$7)*OFFSET(ORÇAMENTO!$W$15,ROW(AZ102)-ROW(AZ$15),0),15-13*ORÇAMENTO!$AF$11)),0)</f>
        <v>0</v>
      </c>
      <c r="BA102" s="546">
        <f ca="1">IF(AND($D102="Serviço",BA$12&lt;&gt;0,$H102&gt;0,OR(AUTOEVENTO&lt;&gt;"manual",$M102&lt;&gt;1)),
IF(Import.TipoArredondamento&lt;&gt;"TransfereGOV",
ROUND(OFFSET($P102,0,BA$13),15-13*ORÇAMENTO!$AF$7)/$H102*OFFSET(ORÇAMENTO!$X$15,ROW(BA102)-ROW(BA$15),0),
ROUND(ROUND(OFFSET($P102,0,BA$13),15-13*ORÇAMENTO!$AF$7)*OFFSET(ORÇAMENTO!$W$15,ROW(BA102)-ROW(BA$15),0),15-13*ORÇAMENTO!$AF$11)),0)</f>
        <v>0</v>
      </c>
      <c r="BC102" s="181">
        <f ca="1">IF($D102&lt;&gt;"Serviço",0,IF(AND(AUTOEVENTO="Manual",$M102=1),0,IF(OFFSET(CRONOPLE!$F$14,$M102,BC$13)="",10^12,OFFSET(CRONOPLE!$F$14,$M102,BC$13))))</f>
        <v>4</v>
      </c>
      <c r="BD102" s="181">
        <f ca="1">IF($D102&lt;&gt;"Serviço",0,IF(AND(AUTOEVENTO="Manual",$M102=1),0,IF(OFFSET(CRONOPLE!$F$14,$M102,BD$13)="",10^12,OFFSET(CRONOPLE!$F$14,$M102,BD$13))))</f>
        <v>1000000000000</v>
      </c>
      <c r="BE102" s="181">
        <f ca="1">IF($D102&lt;&gt;"Serviço",0,IF(AND(AUTOEVENTO="Manual",$M102=1),0,IF(OFFSET(CRONOPLE!$F$14,$M102,BE$13)="",10^12,OFFSET(CRONOPLE!$F$14,$M102,BE$13))))</f>
        <v>1000000000000</v>
      </c>
      <c r="BF102" s="181">
        <f ca="1">IF($D102&lt;&gt;"Serviço",0,IF(AND(AUTOEVENTO="Manual",$M102=1),0,IF(OFFSET(CRONOPLE!$F$14,$M102,BF$13)="",10^12,OFFSET(CRONOPLE!$F$14,$M102,BF$13))))</f>
        <v>1000000000000</v>
      </c>
      <c r="BG102" s="181">
        <f ca="1">IF($D102&lt;&gt;"Serviço",0,IF(AND(AUTOEVENTO="Manual",$M102=1),0,IF(OFFSET(CRONOPLE!$F$14,$M102,BG$13)="",10^12,OFFSET(CRONOPLE!$F$14,$M102,BG$13))))</f>
        <v>1000000000000</v>
      </c>
      <c r="BH102" s="181">
        <f ca="1">IF($D102&lt;&gt;"Serviço",0,IF(AND(AUTOEVENTO="Manual",$M102=1),0,IF(OFFSET(CRONOPLE!$F$14,$M102,BH$13)="",10^12,OFFSET(CRONOPLE!$F$14,$M102,BH$13))))</f>
        <v>1000000000000</v>
      </c>
      <c r="BI102" s="181">
        <f ca="1">IF($D102&lt;&gt;"Serviço",0,IF(AND(AUTOEVENTO="Manual",$M102=1),0,IF(OFFSET(CRONOPLE!$F$14,$M102,BI$13)="",10^12,OFFSET(CRONOPLE!$F$14,$M102,BI$13))))</f>
        <v>1000000000000</v>
      </c>
      <c r="BJ102" s="181">
        <f ca="1">IF($D102&lt;&gt;"Serviço",0,IF(AND(AUTOEVENTO="Manual",$M102=1),0,IF(OFFSET(CRONOPLE!$F$14,$M102,BJ$13)="",10^12,OFFSET(CRONOPLE!$F$14,$M102,BJ$13))))</f>
        <v>1000000000000</v>
      </c>
      <c r="BK102" s="181">
        <f ca="1">IF($D102&lt;&gt;"Serviço",0,IF(AND(AUTOEVENTO="Manual",$M102=1),0,IF(OFFSET(CRONOPLE!$F$14,$M102,BK$13)="",10^12,OFFSET(CRONOPLE!$F$14,$M102,BK$13))))</f>
        <v>1000000000000</v>
      </c>
      <c r="BL102" s="181">
        <f ca="1">IF($D102&lt;&gt;"Serviço",0,IF(AND(AUTOEVENTO="Manual",$M102=1),0,IF(OFFSET(CRONOPLE!$F$14,$M102,BL$13)="",10^12,OFFSET(CRONOPLE!$F$14,$M102,BL$13))))</f>
        <v>1000000000000</v>
      </c>
      <c r="BM102" s="181">
        <f ca="1">IF($D102&lt;&gt;"Serviço",0,IF(AND(AUTOEVENTO="Manual",$M102=1),0,IF(OFFSET(CRONOPLE!$F$14,$M102,BM$13)="",10^12,OFFSET(CRONOPLE!$F$14,$M102,BM$13))))</f>
        <v>1000000000000</v>
      </c>
      <c r="BN102" s="181">
        <f ca="1">IF($D102&lt;&gt;"Serviço",0,IF(AND(AUTOEVENTO="Manual",$M102=1),0,IF(OFFSET(CRONOPLE!$F$14,$M102,BN$13)="",10^12,OFFSET(CRONOPLE!$F$14,$M102,BN$13))))</f>
        <v>1000000000000</v>
      </c>
      <c r="BO102" s="181">
        <f ca="1">IF($D102&lt;&gt;"Serviço",0,IF(AND(AUTOEVENTO="Manual",$M102=1),0,IF(OFFSET(CRONOPLE!$F$14,$M102,BO$13)="",10^12,OFFSET(CRONOPLE!$F$14,$M102,BO$13))))</f>
        <v>1000000000000</v>
      </c>
      <c r="BP102" s="181">
        <f ca="1">IF($D102&lt;&gt;"Serviço",0,IF(AND(AUTOEVENTO="Manual",$M102=1),0,IF(OFFSET(CRONOPLE!$F$14,$M102,BP$13)="",10^12,OFFSET(CRONOPLE!$F$14,$M102,BP$13))))</f>
        <v>1000000000000</v>
      </c>
      <c r="BQ102" s="181">
        <f ca="1">IF($D102&lt;&gt;"Serviço",0,IF(AND(AUTOEVENTO="Manual",$M102=1),0,IF(OFFSET(CRONOPLE!$F$14,$M102,BQ$13)="",10^12,OFFSET(CRONOPLE!$F$14,$M102,BQ$13))))</f>
        <v>1000000000000</v>
      </c>
      <c r="BR102" s="181">
        <f ca="1">IF($D102&lt;&gt;"Serviço",0,IF(AND(AUTOEVENTO="Manual",$M102=1),0,IF(OFFSET(CRONOPLE!$F$14,$M102,BR$13)="",10^12,OFFSET(CRONOPLE!$F$14,$M102,BR$13))))</f>
        <v>1000000000000</v>
      </c>
      <c r="BS102" s="181">
        <f ca="1">IF($D102&lt;&gt;"Serviço",0,IF(AND(AUTOEVENTO="Manual",$M102=1),0,IF(OFFSET(CRONOPLE!$F$14,$M102,BS$13)="",10^12,OFFSET(CRONOPLE!$F$14,$M102,BS$13))))</f>
        <v>1000000000000</v>
      </c>
      <c r="BT102" s="181">
        <f ca="1">IF($D102&lt;&gt;"Serviço",0,IF(AND(AUTOEVENTO="Manual",$M102=1),0,IF(OFFSET(CRONOPLE!$F$14,$M102,BT$13)="",10^12,OFFSET(CRONOPLE!$F$14,$M102,BT$13))))</f>
        <v>1000000000000</v>
      </c>
      <c r="BV102" s="182">
        <f ca="1">IF($D102&lt;&gt;"Serviço",0,IF(OR(AND(AUTOEVENTO="Manual",$M102=1),$M102&gt;(ROW(PLE.lastrow)-ROW(PLE.firstrow))),0,IF(OFFSET(PLE!$G$14,$M102,BV$13)="",10^12,OFFSET(PLE!$G$14,$M102,BV$13))))</f>
        <v>1000000000000</v>
      </c>
      <c r="BW102" s="182">
        <f ca="1">IF($D102&lt;&gt;"Serviço",0,IF(OR(AND(AUTOEVENTO="Manual",$M102=1),$M102&gt;(ROW(PLE.lastrow)-ROW(PLE.firstrow))),0,IF(OFFSET(PLE!$G$14,$M102,BW$13)="",10^12,OFFSET(PLE!$G$14,$M102,BW$13))))</f>
        <v>1000000000000</v>
      </c>
      <c r="BX102" s="182">
        <f ca="1">IF($D102&lt;&gt;"Serviço",0,IF(OR(AND(AUTOEVENTO="Manual",$M102=1),$M102&gt;(ROW(PLE.lastrow)-ROW(PLE.firstrow))),0,IF(OFFSET(PLE!$G$14,$M102,BX$13)="",10^12,OFFSET(PLE!$G$14,$M102,BX$13))))</f>
        <v>1000000000000</v>
      </c>
      <c r="BY102" s="182">
        <f ca="1">IF($D102&lt;&gt;"Serviço",0,IF(OR(AND(AUTOEVENTO="Manual",$M102=1),$M102&gt;(ROW(PLE.lastrow)-ROW(PLE.firstrow))),0,IF(OFFSET(PLE!$G$14,$M102,BY$13)="",10^12,OFFSET(PLE!$G$14,$M102,BY$13))))</f>
        <v>1000000000000</v>
      </c>
      <c r="BZ102" s="182">
        <f ca="1">IF($D102&lt;&gt;"Serviço",0,IF(OR(AND(AUTOEVENTO="Manual",$M102=1),$M102&gt;(ROW(PLE.lastrow)-ROW(PLE.firstrow))),0,IF(OFFSET(PLE!$G$14,$M102,BZ$13)="",10^12,OFFSET(PLE!$G$14,$M102,BZ$13))))</f>
        <v>1000000000000</v>
      </c>
      <c r="CA102" s="182">
        <f ca="1">IF($D102&lt;&gt;"Serviço",0,IF(OR(AND(AUTOEVENTO="Manual",$M102=1),$M102&gt;(ROW(PLE.lastrow)-ROW(PLE.firstrow))),0,IF(OFFSET(PLE!$G$14,$M102,CA$13)="",10^12,OFFSET(PLE!$G$14,$M102,CA$13))))</f>
        <v>1000000000000</v>
      </c>
      <c r="CB102" s="182">
        <f ca="1">IF($D102&lt;&gt;"Serviço",0,IF(OR(AND(AUTOEVENTO="Manual",$M102=1),$M102&gt;(ROW(PLE.lastrow)-ROW(PLE.firstrow))),0,IF(OFFSET(PLE!$G$14,$M102,CB$13)="",10^12,OFFSET(PLE!$G$14,$M102,CB$13))))</f>
        <v>1000000000000</v>
      </c>
      <c r="CC102" s="182">
        <f ca="1">IF($D102&lt;&gt;"Serviço",0,IF(OR(AND(AUTOEVENTO="Manual",$M102=1),$M102&gt;(ROW(PLE.lastrow)-ROW(PLE.firstrow))),0,IF(OFFSET(PLE!$G$14,$M102,CC$13)="",10^12,OFFSET(PLE!$G$14,$M102,CC$13))))</f>
        <v>1000000000000</v>
      </c>
      <c r="CD102" s="182">
        <f ca="1">IF($D102&lt;&gt;"Serviço",0,IF(OR(AND(AUTOEVENTO="Manual",$M102=1),$M102&gt;(ROW(PLE.lastrow)-ROW(PLE.firstrow))),0,IF(OFFSET(PLE!$G$14,$M102,CD$13)="",10^12,OFFSET(PLE!$G$14,$M102,CD$13))))</f>
        <v>1000000000000</v>
      </c>
      <c r="CE102" s="182">
        <f ca="1">IF($D102&lt;&gt;"Serviço",0,IF(OR(AND(AUTOEVENTO="Manual",$M102=1),$M102&gt;(ROW(PLE.lastrow)-ROW(PLE.firstrow))),0,IF(OFFSET(PLE!$G$14,$M102,CE$13)="",10^12,OFFSET(PLE!$G$14,$M102,CE$13))))</f>
        <v>1000000000000</v>
      </c>
      <c r="CF102" s="182">
        <f ca="1">IF($D102&lt;&gt;"Serviço",0,IF(OR(AND(AUTOEVENTO="Manual",$M102=1),$M102&gt;(ROW(PLE.lastrow)-ROW(PLE.firstrow))),0,IF(OFFSET(PLE!$G$14,$M102,CF$13)="",10^12,OFFSET(PLE!$G$14,$M102,CF$13))))</f>
        <v>1000000000000</v>
      </c>
      <c r="CG102" s="182">
        <f ca="1">IF($D102&lt;&gt;"Serviço",0,IF(OR(AND(AUTOEVENTO="Manual",$M102=1),$M102&gt;(ROW(PLE.lastrow)-ROW(PLE.firstrow))),0,IF(OFFSET(PLE!$G$14,$M102,CG$13)="",10^12,OFFSET(PLE!$G$14,$M102,CG$13))))</f>
        <v>1000000000000</v>
      </c>
      <c r="CH102" s="182">
        <f ca="1">IF($D102&lt;&gt;"Serviço",0,IF(OR(AND(AUTOEVENTO="Manual",$M102=1),$M102&gt;(ROW(PLE.lastrow)-ROW(PLE.firstrow))),0,IF(OFFSET(PLE!$G$14,$M102,CH$13)="",10^12,OFFSET(PLE!$G$14,$M102,CH$13))))</f>
        <v>1000000000000</v>
      </c>
      <c r="CI102" s="182">
        <f ca="1">IF($D102&lt;&gt;"Serviço",0,IF(OR(AND(AUTOEVENTO="Manual",$M102=1),$M102&gt;(ROW(PLE.lastrow)-ROW(PLE.firstrow))),0,IF(OFFSET(PLE!$G$14,$M102,CI$13)="",10^12,OFFSET(PLE!$G$14,$M102,CI$13))))</f>
        <v>1000000000000</v>
      </c>
      <c r="CJ102" s="182">
        <f ca="1">IF($D102&lt;&gt;"Serviço",0,IF(OR(AND(AUTOEVENTO="Manual",$M102=1),$M102&gt;(ROW(PLE.lastrow)-ROW(PLE.firstrow))),0,IF(OFFSET(PLE!$G$14,$M102,CJ$13)="",10^12,OFFSET(PLE!$G$14,$M102,CJ$13))))</f>
        <v>1000000000000</v>
      </c>
      <c r="CK102" s="182">
        <f ca="1">IF($D102&lt;&gt;"Serviço",0,IF(OR(AND(AUTOEVENTO="Manual",$M102=1),$M102&gt;(ROW(PLE.lastrow)-ROW(PLE.firstrow))),0,IF(OFFSET(PLE!$G$14,$M102,CK$13)="",10^12,OFFSET(PLE!$G$14,$M102,CK$13))))</f>
        <v>1000000000000</v>
      </c>
      <c r="CL102" s="182">
        <f ca="1">IF($D102&lt;&gt;"Serviço",0,IF(OR(AND(AUTOEVENTO="Manual",$M102=1),$M102&gt;(ROW(PLE.lastrow)-ROW(PLE.firstrow))),0,IF(OFFSET(PLE!$G$14,$M102,CL$13)="",10^12,OFFSET(PLE!$G$14,$M102,CL$13))))</f>
        <v>1000000000000</v>
      </c>
      <c r="CM102" s="182">
        <f ca="1">IF($D102&lt;&gt;"Serviço",0,IF(OR(AND(AUTOEVENTO="Manual",$M102=1),$M102&gt;(ROW(PLE.lastrow)-ROW(PLE.firstrow))),0,IF(OFFSET(PLE!$G$14,$M102,CM$13)="",10^12,OFFSET(PLE!$G$14,$M102,CM$13))))</f>
        <v>1000000000000</v>
      </c>
    </row>
    <row r="103" spans="1:91" ht="12.75" x14ac:dyDescent="0.2">
      <c r="A103" s="7" t="str">
        <f t="shared" ca="1" si="10"/>
        <v>88.</v>
      </c>
      <c r="B103" s="7">
        <f ca="1">OFFSET(ORÇAMENTO!C$15,ROW(B103)-ROW(B$15),0)</f>
        <v>2</v>
      </c>
      <c r="C103" s="7" t="str">
        <f ca="1">OFFSET(ORÇAMENTO!L$15,ROW(C103)-ROW(C$15),0)</f>
        <v>F</v>
      </c>
      <c r="D103" s="118" t="str">
        <f ca="1">OFFSET(ORÇAMENTO!N$15,ROW(D103)-ROW(D$15),0)</f>
        <v>Nível 2</v>
      </c>
      <c r="E103" s="119" t="str">
        <f ca="1">OFFSET(ORÇAMENTO!O$15,ROW(E103)-ROW(E$15),0)</f>
        <v>1.16.</v>
      </c>
      <c r="F103" s="172" t="str">
        <f ca="1">OFFSET(ORÇAMENTO!R$15,ROW(F103)-ROW(F$15),0)</f>
        <v>SISTEMA DE VEDAÇÃO VERTICAL - ALVENARIA DE VEDAÇÃO</v>
      </c>
      <c r="G103" s="173" t="str">
        <f ca="1">IF($D103&lt;&gt;"Serviço","",OFFSET(ORÇAMENTO!S$15,ROW(G103)-ROW(G$15),0))</f>
        <v/>
      </c>
      <c r="H103" s="124">
        <f ca="1">IF($D103&lt;&gt;"Serviço",0,IF(ACOMPANHAMENTO="BM",ROUND(OFFSET(ORÇAMENTO!AJ$15,ROW(H103)-ROW(H$15),0),15-13*ORÇAMENTO!$AF$7),SUMPRODUCT(($Q$12:$AI$12&lt;&gt;"")*ROUND($Q103:$AI103,15-13*ORÇAMENTO!$AF$7))))</f>
        <v>0</v>
      </c>
      <c r="I103" s="561"/>
      <c r="K103" s="174"/>
      <c r="L103" s="175" t="s">
        <v>255</v>
      </c>
      <c r="M103" s="176" t="str">
        <f ca="1">IF($D103&lt;&gt;"Serviço","",IF(AUTOEVENTO="manual",$A103,IF(ISERROR(MATCH($A103,$A$15:OFFSET($A103,-1,0),0)),MAX($M$15:OFFSET(M103,-1,0))+1,INDEX($M$15:OFFSET(M103,-1,0),MATCH($A103,$A$15:OFFSET($A103,-1,0),0)))))</f>
        <v/>
      </c>
      <c r="N103" s="177" t="str">
        <f ca="1">IF($D103&lt;&gt;"Serviço","",IF(AUTOEVENTO="Manual",IF($A103=0,"&lt;-- defina o número do agrupador",OFFSET(EVENTOS!$D$14,$A103,0)),OFFSET($F$15,$A103,0)))</f>
        <v/>
      </c>
      <c r="O103" s="178"/>
      <c r="Q103" s="178"/>
      <c r="R103" s="179"/>
      <c r="S103" s="179"/>
      <c r="T103" s="179"/>
      <c r="U103" s="179"/>
      <c r="V103" s="179"/>
      <c r="W103" s="179"/>
      <c r="X103" s="179"/>
      <c r="Y103" s="179"/>
      <c r="Z103" s="180"/>
      <c r="AA103" s="179"/>
      <c r="AB103" s="179"/>
      <c r="AC103" s="179"/>
      <c r="AD103" s="179"/>
      <c r="AE103" s="179"/>
      <c r="AF103" s="179"/>
      <c r="AG103" s="179"/>
      <c r="AH103" s="180"/>
      <c r="AJ103" s="544">
        <f ca="1">IF(AND($D103="Serviço",AJ$12&lt;&gt;0,$H103&gt;0,OR(AUTOEVENTO&lt;&gt;"manual",$M103&lt;&gt;1)),
IF(Import.TipoArredondamento&lt;&gt;"TransfereGOV",
ROUND(OFFSET($P103,0,AJ$13),15-13*ORÇAMENTO!$AF$7)/$H103*OFFSET(ORÇAMENTO!$X$15,ROW(AJ103)-ROW(AJ$15),0),
ROUND(ROUND(OFFSET($P103,0,AJ$13),15-13*ORÇAMENTO!$AF$7)*OFFSET(ORÇAMENTO!$W$15,ROW(AJ103)-ROW(AJ$15),0),15-13*ORÇAMENTO!$AF$11)),0)</f>
        <v>0</v>
      </c>
      <c r="AK103" s="545">
        <f ca="1">IF(AND($D103="Serviço",AK$12&lt;&gt;0,$H103&gt;0,OR(AUTOEVENTO&lt;&gt;"manual",$M103&lt;&gt;1)),
IF(Import.TipoArredondamento&lt;&gt;"TransfereGOV",
ROUND(OFFSET($P103,0,AK$13),15-13*ORÇAMENTO!$AF$7)/$H103*OFFSET(ORÇAMENTO!$X$15,ROW(AK103)-ROW(AK$15),0),
ROUND(ROUND(OFFSET($P103,0,AK$13),15-13*ORÇAMENTO!$AF$7)*OFFSET(ORÇAMENTO!$W$15,ROW(AK103)-ROW(AK$15),0),15-13*ORÇAMENTO!$AF$11)),0)</f>
        <v>0</v>
      </c>
      <c r="AL103" s="545">
        <f ca="1">IF(AND($D103="Serviço",AL$12&lt;&gt;0,$H103&gt;0,OR(AUTOEVENTO&lt;&gt;"manual",$M103&lt;&gt;1)),
IF(Import.TipoArredondamento&lt;&gt;"TransfereGOV",
ROUND(OFFSET($P103,0,AL$13),15-13*ORÇAMENTO!$AF$7)/$H103*OFFSET(ORÇAMENTO!$X$15,ROW(AL103)-ROW(AL$15),0),
ROUND(ROUND(OFFSET($P103,0,AL$13),15-13*ORÇAMENTO!$AF$7)*OFFSET(ORÇAMENTO!$W$15,ROW(AL103)-ROW(AL$15),0),15-13*ORÇAMENTO!$AF$11)),0)</f>
        <v>0</v>
      </c>
      <c r="AM103" s="545">
        <f ca="1">IF(AND($D103="Serviço",AM$12&lt;&gt;0,$H103&gt;0,OR(AUTOEVENTO&lt;&gt;"manual",$M103&lt;&gt;1)),
IF(Import.TipoArredondamento&lt;&gt;"TransfereGOV",
ROUND(OFFSET($P103,0,AM$13),15-13*ORÇAMENTO!$AF$7)/$H103*OFFSET(ORÇAMENTO!$X$15,ROW(AM103)-ROW(AM$15),0),
ROUND(ROUND(OFFSET($P103,0,AM$13),15-13*ORÇAMENTO!$AF$7)*OFFSET(ORÇAMENTO!$W$15,ROW(AM103)-ROW(AM$15),0),15-13*ORÇAMENTO!$AF$11)),0)</f>
        <v>0</v>
      </c>
      <c r="AN103" s="545">
        <f ca="1">IF(AND($D103="Serviço",AN$12&lt;&gt;0,$H103&gt;0,OR(AUTOEVENTO&lt;&gt;"manual",$M103&lt;&gt;1)),
IF(Import.TipoArredondamento&lt;&gt;"TransfereGOV",
ROUND(OFFSET($P103,0,AN$13),15-13*ORÇAMENTO!$AF$7)/$H103*OFFSET(ORÇAMENTO!$X$15,ROW(AN103)-ROW(AN$15),0),
ROUND(ROUND(OFFSET($P103,0,AN$13),15-13*ORÇAMENTO!$AF$7)*OFFSET(ORÇAMENTO!$W$15,ROW(AN103)-ROW(AN$15),0),15-13*ORÇAMENTO!$AF$11)),0)</f>
        <v>0</v>
      </c>
      <c r="AO103" s="545">
        <f ca="1">IF(AND($D103="Serviço",AO$12&lt;&gt;0,$H103&gt;0,OR(AUTOEVENTO&lt;&gt;"manual",$M103&lt;&gt;1)),
IF(Import.TipoArredondamento&lt;&gt;"TransfereGOV",
ROUND(OFFSET($P103,0,AO$13),15-13*ORÇAMENTO!$AF$7)/$H103*OFFSET(ORÇAMENTO!$X$15,ROW(AO103)-ROW(AO$15),0),
ROUND(ROUND(OFFSET($P103,0,AO$13),15-13*ORÇAMENTO!$AF$7)*OFFSET(ORÇAMENTO!$W$15,ROW(AO103)-ROW(AO$15),0),15-13*ORÇAMENTO!$AF$11)),0)</f>
        <v>0</v>
      </c>
      <c r="AP103" s="545">
        <f ca="1">IF(AND($D103="Serviço",AP$12&lt;&gt;0,$H103&gt;0,OR(AUTOEVENTO&lt;&gt;"manual",$M103&lt;&gt;1)),
IF(Import.TipoArredondamento&lt;&gt;"TransfereGOV",
ROUND(OFFSET($P103,0,AP$13),15-13*ORÇAMENTO!$AF$7)/$H103*OFFSET(ORÇAMENTO!$X$15,ROW(AP103)-ROW(AP$15),0),
ROUND(ROUND(OFFSET($P103,0,AP$13),15-13*ORÇAMENTO!$AF$7)*OFFSET(ORÇAMENTO!$W$15,ROW(AP103)-ROW(AP$15),0),15-13*ORÇAMENTO!$AF$11)),0)</f>
        <v>0</v>
      </c>
      <c r="AQ103" s="545">
        <f ca="1">IF(AND($D103="Serviço",AQ$12&lt;&gt;0,$H103&gt;0,OR(AUTOEVENTO&lt;&gt;"manual",$M103&lt;&gt;1)),
IF(Import.TipoArredondamento&lt;&gt;"TransfereGOV",
ROUND(OFFSET($P103,0,AQ$13),15-13*ORÇAMENTO!$AF$7)/$H103*OFFSET(ORÇAMENTO!$X$15,ROW(AQ103)-ROW(AQ$15),0),
ROUND(ROUND(OFFSET($P103,0,AQ$13),15-13*ORÇAMENTO!$AF$7)*OFFSET(ORÇAMENTO!$W$15,ROW(AQ103)-ROW(AQ$15),0),15-13*ORÇAMENTO!$AF$11)),0)</f>
        <v>0</v>
      </c>
      <c r="AR103" s="545">
        <f ca="1">IF(AND($D103="Serviço",AR$12&lt;&gt;0,$H103&gt;0,OR(AUTOEVENTO&lt;&gt;"manual",$M103&lt;&gt;1)),
IF(Import.TipoArredondamento&lt;&gt;"TransfereGOV",
ROUND(OFFSET($P103,0,AR$13),15-13*ORÇAMENTO!$AF$7)/$H103*OFFSET(ORÇAMENTO!$X$15,ROW(AR103)-ROW(AR$15),0),
ROUND(ROUND(OFFSET($P103,0,AR$13),15-13*ORÇAMENTO!$AF$7)*OFFSET(ORÇAMENTO!$W$15,ROW(AR103)-ROW(AR$15),0),15-13*ORÇAMENTO!$AF$11)),0)</f>
        <v>0</v>
      </c>
      <c r="AS103" s="546">
        <f ca="1">IF(AND($D103="Serviço",AS$12&lt;&gt;0,$H103&gt;0,OR(AUTOEVENTO&lt;&gt;"manual",$M103&lt;&gt;1)),
IF(Import.TipoArredondamento&lt;&gt;"TransfereGOV",
ROUND(OFFSET($P103,0,AS$13),15-13*ORÇAMENTO!$AF$7)/$H103*OFFSET(ORÇAMENTO!$X$15,ROW(AS103)-ROW(AS$15),0),
ROUND(ROUND(OFFSET($P103,0,AS$13),15-13*ORÇAMENTO!$AF$7)*OFFSET(ORÇAMENTO!$W$15,ROW(AS103)-ROW(AS$15),0),15-13*ORÇAMENTO!$AF$11)),0)</f>
        <v>0</v>
      </c>
      <c r="AT103" s="545">
        <f ca="1">IF(AND($D103="Serviço",AT$12&lt;&gt;0,$H103&gt;0,OR(AUTOEVENTO&lt;&gt;"manual",$M103&lt;&gt;1)),
IF(Import.TipoArredondamento&lt;&gt;"TransfereGOV",
ROUND(OFFSET($P103,0,AT$13),15-13*ORÇAMENTO!$AF$7)/$H103*OFFSET(ORÇAMENTO!$X$15,ROW(AT103)-ROW(AT$15),0),
ROUND(ROUND(OFFSET($P103,0,AT$13),15-13*ORÇAMENTO!$AF$7)*OFFSET(ORÇAMENTO!$W$15,ROW(AT103)-ROW(AT$15),0),15-13*ORÇAMENTO!$AF$11)),0)</f>
        <v>0</v>
      </c>
      <c r="AU103" s="545">
        <f ca="1">IF(AND($D103="Serviço",AU$12&lt;&gt;0,$H103&gt;0,OR(AUTOEVENTO&lt;&gt;"manual",$M103&lt;&gt;1)),
IF(Import.TipoArredondamento&lt;&gt;"TransfereGOV",
ROUND(OFFSET($P103,0,AU$13),15-13*ORÇAMENTO!$AF$7)/$H103*OFFSET(ORÇAMENTO!$X$15,ROW(AU103)-ROW(AU$15),0),
ROUND(ROUND(OFFSET($P103,0,AU$13),15-13*ORÇAMENTO!$AF$7)*OFFSET(ORÇAMENTO!$W$15,ROW(AU103)-ROW(AU$15),0),15-13*ORÇAMENTO!$AF$11)),0)</f>
        <v>0</v>
      </c>
      <c r="AV103" s="545">
        <f ca="1">IF(AND($D103="Serviço",AV$12&lt;&gt;0,$H103&gt;0,OR(AUTOEVENTO&lt;&gt;"manual",$M103&lt;&gt;1)),
IF(Import.TipoArredondamento&lt;&gt;"TransfereGOV",
ROUND(OFFSET($P103,0,AV$13),15-13*ORÇAMENTO!$AF$7)/$H103*OFFSET(ORÇAMENTO!$X$15,ROW(AV103)-ROW(AV$15),0),
ROUND(ROUND(OFFSET($P103,0,AV$13),15-13*ORÇAMENTO!$AF$7)*OFFSET(ORÇAMENTO!$W$15,ROW(AV103)-ROW(AV$15),0),15-13*ORÇAMENTO!$AF$11)),0)</f>
        <v>0</v>
      </c>
      <c r="AW103" s="545">
        <f ca="1">IF(AND($D103="Serviço",AW$12&lt;&gt;0,$H103&gt;0,OR(AUTOEVENTO&lt;&gt;"manual",$M103&lt;&gt;1)),
IF(Import.TipoArredondamento&lt;&gt;"TransfereGOV",
ROUND(OFFSET($P103,0,AW$13),15-13*ORÇAMENTO!$AF$7)/$H103*OFFSET(ORÇAMENTO!$X$15,ROW(AW103)-ROW(AW$15),0),
ROUND(ROUND(OFFSET($P103,0,AW$13),15-13*ORÇAMENTO!$AF$7)*OFFSET(ORÇAMENTO!$W$15,ROW(AW103)-ROW(AW$15),0),15-13*ORÇAMENTO!$AF$11)),0)</f>
        <v>0</v>
      </c>
      <c r="AX103" s="545">
        <f ca="1">IF(AND($D103="Serviço",AX$12&lt;&gt;0,$H103&gt;0,OR(AUTOEVENTO&lt;&gt;"manual",$M103&lt;&gt;1)),
IF(Import.TipoArredondamento&lt;&gt;"TransfereGOV",
ROUND(OFFSET($P103,0,AX$13),15-13*ORÇAMENTO!$AF$7)/$H103*OFFSET(ORÇAMENTO!$X$15,ROW(AX103)-ROW(AX$15),0),
ROUND(ROUND(OFFSET($P103,0,AX$13),15-13*ORÇAMENTO!$AF$7)*OFFSET(ORÇAMENTO!$W$15,ROW(AX103)-ROW(AX$15),0),15-13*ORÇAMENTO!$AF$11)),0)</f>
        <v>0</v>
      </c>
      <c r="AY103" s="545">
        <f ca="1">IF(AND($D103="Serviço",AY$12&lt;&gt;0,$H103&gt;0,OR(AUTOEVENTO&lt;&gt;"manual",$M103&lt;&gt;1)),
IF(Import.TipoArredondamento&lt;&gt;"TransfereGOV",
ROUND(OFFSET($P103,0,AY$13),15-13*ORÇAMENTO!$AF$7)/$H103*OFFSET(ORÇAMENTO!$X$15,ROW(AY103)-ROW(AY$15),0),
ROUND(ROUND(OFFSET($P103,0,AY$13),15-13*ORÇAMENTO!$AF$7)*OFFSET(ORÇAMENTO!$W$15,ROW(AY103)-ROW(AY$15),0),15-13*ORÇAMENTO!$AF$11)),0)</f>
        <v>0</v>
      </c>
      <c r="AZ103" s="545">
        <f ca="1">IF(AND($D103="Serviço",AZ$12&lt;&gt;0,$H103&gt;0,OR(AUTOEVENTO&lt;&gt;"manual",$M103&lt;&gt;1)),
IF(Import.TipoArredondamento&lt;&gt;"TransfereGOV",
ROUND(OFFSET($P103,0,AZ$13),15-13*ORÇAMENTO!$AF$7)/$H103*OFFSET(ORÇAMENTO!$X$15,ROW(AZ103)-ROW(AZ$15),0),
ROUND(ROUND(OFFSET($P103,0,AZ$13),15-13*ORÇAMENTO!$AF$7)*OFFSET(ORÇAMENTO!$W$15,ROW(AZ103)-ROW(AZ$15),0),15-13*ORÇAMENTO!$AF$11)),0)</f>
        <v>0</v>
      </c>
      <c r="BA103" s="546">
        <f ca="1">IF(AND($D103="Serviço",BA$12&lt;&gt;0,$H103&gt;0,OR(AUTOEVENTO&lt;&gt;"manual",$M103&lt;&gt;1)),
IF(Import.TipoArredondamento&lt;&gt;"TransfereGOV",
ROUND(OFFSET($P103,0,BA$13),15-13*ORÇAMENTO!$AF$7)/$H103*OFFSET(ORÇAMENTO!$X$15,ROW(BA103)-ROW(BA$15),0),
ROUND(ROUND(OFFSET($P103,0,BA$13),15-13*ORÇAMENTO!$AF$7)*OFFSET(ORÇAMENTO!$W$15,ROW(BA103)-ROW(BA$15),0),15-13*ORÇAMENTO!$AF$11)),0)</f>
        <v>0</v>
      </c>
      <c r="BC103" s="181">
        <f ca="1">IF($D103&lt;&gt;"Serviço",0,IF(AND(AUTOEVENTO="Manual",$M103=1),0,IF(OFFSET(CRONOPLE!$F$14,$M103,BC$13)="",10^12,OFFSET(CRONOPLE!$F$14,$M103,BC$13))))</f>
        <v>0</v>
      </c>
      <c r="BD103" s="181">
        <f ca="1">IF($D103&lt;&gt;"Serviço",0,IF(AND(AUTOEVENTO="Manual",$M103=1),0,IF(OFFSET(CRONOPLE!$F$14,$M103,BD$13)="",10^12,OFFSET(CRONOPLE!$F$14,$M103,BD$13))))</f>
        <v>0</v>
      </c>
      <c r="BE103" s="181">
        <f ca="1">IF($D103&lt;&gt;"Serviço",0,IF(AND(AUTOEVENTO="Manual",$M103=1),0,IF(OFFSET(CRONOPLE!$F$14,$M103,BE$13)="",10^12,OFFSET(CRONOPLE!$F$14,$M103,BE$13))))</f>
        <v>0</v>
      </c>
      <c r="BF103" s="181">
        <f ca="1">IF($D103&lt;&gt;"Serviço",0,IF(AND(AUTOEVENTO="Manual",$M103=1),0,IF(OFFSET(CRONOPLE!$F$14,$M103,BF$13)="",10^12,OFFSET(CRONOPLE!$F$14,$M103,BF$13))))</f>
        <v>0</v>
      </c>
      <c r="BG103" s="181">
        <f ca="1">IF($D103&lt;&gt;"Serviço",0,IF(AND(AUTOEVENTO="Manual",$M103=1),0,IF(OFFSET(CRONOPLE!$F$14,$M103,BG$13)="",10^12,OFFSET(CRONOPLE!$F$14,$M103,BG$13))))</f>
        <v>0</v>
      </c>
      <c r="BH103" s="181">
        <f ca="1">IF($D103&lt;&gt;"Serviço",0,IF(AND(AUTOEVENTO="Manual",$M103=1),0,IF(OFFSET(CRONOPLE!$F$14,$M103,BH$13)="",10^12,OFFSET(CRONOPLE!$F$14,$M103,BH$13))))</f>
        <v>0</v>
      </c>
      <c r="BI103" s="181">
        <f ca="1">IF($D103&lt;&gt;"Serviço",0,IF(AND(AUTOEVENTO="Manual",$M103=1),0,IF(OFFSET(CRONOPLE!$F$14,$M103,BI$13)="",10^12,OFFSET(CRONOPLE!$F$14,$M103,BI$13))))</f>
        <v>0</v>
      </c>
      <c r="BJ103" s="181">
        <f ca="1">IF($D103&lt;&gt;"Serviço",0,IF(AND(AUTOEVENTO="Manual",$M103=1),0,IF(OFFSET(CRONOPLE!$F$14,$M103,BJ$13)="",10^12,OFFSET(CRONOPLE!$F$14,$M103,BJ$13))))</f>
        <v>0</v>
      </c>
      <c r="BK103" s="181">
        <f ca="1">IF($D103&lt;&gt;"Serviço",0,IF(AND(AUTOEVENTO="Manual",$M103=1),0,IF(OFFSET(CRONOPLE!$F$14,$M103,BK$13)="",10^12,OFFSET(CRONOPLE!$F$14,$M103,BK$13))))</f>
        <v>0</v>
      </c>
      <c r="BL103" s="181">
        <f ca="1">IF($D103&lt;&gt;"Serviço",0,IF(AND(AUTOEVENTO="Manual",$M103=1),0,IF(OFFSET(CRONOPLE!$F$14,$M103,BL$13)="",10^12,OFFSET(CRONOPLE!$F$14,$M103,BL$13))))</f>
        <v>0</v>
      </c>
      <c r="BM103" s="181">
        <f ca="1">IF($D103&lt;&gt;"Serviço",0,IF(AND(AUTOEVENTO="Manual",$M103=1),0,IF(OFFSET(CRONOPLE!$F$14,$M103,BM$13)="",10^12,OFFSET(CRONOPLE!$F$14,$M103,BM$13))))</f>
        <v>0</v>
      </c>
      <c r="BN103" s="181">
        <f ca="1">IF($D103&lt;&gt;"Serviço",0,IF(AND(AUTOEVENTO="Manual",$M103=1),0,IF(OFFSET(CRONOPLE!$F$14,$M103,BN$13)="",10^12,OFFSET(CRONOPLE!$F$14,$M103,BN$13))))</f>
        <v>0</v>
      </c>
      <c r="BO103" s="181">
        <f ca="1">IF($D103&lt;&gt;"Serviço",0,IF(AND(AUTOEVENTO="Manual",$M103=1),0,IF(OFFSET(CRONOPLE!$F$14,$M103,BO$13)="",10^12,OFFSET(CRONOPLE!$F$14,$M103,BO$13))))</f>
        <v>0</v>
      </c>
      <c r="BP103" s="181">
        <f ca="1">IF($D103&lt;&gt;"Serviço",0,IF(AND(AUTOEVENTO="Manual",$M103=1),0,IF(OFFSET(CRONOPLE!$F$14,$M103,BP$13)="",10^12,OFFSET(CRONOPLE!$F$14,$M103,BP$13))))</f>
        <v>0</v>
      </c>
      <c r="BQ103" s="181">
        <f ca="1">IF($D103&lt;&gt;"Serviço",0,IF(AND(AUTOEVENTO="Manual",$M103=1),0,IF(OFFSET(CRONOPLE!$F$14,$M103,BQ$13)="",10^12,OFFSET(CRONOPLE!$F$14,$M103,BQ$13))))</f>
        <v>0</v>
      </c>
      <c r="BR103" s="181">
        <f ca="1">IF($D103&lt;&gt;"Serviço",0,IF(AND(AUTOEVENTO="Manual",$M103=1),0,IF(OFFSET(CRONOPLE!$F$14,$M103,BR$13)="",10^12,OFFSET(CRONOPLE!$F$14,$M103,BR$13))))</f>
        <v>0</v>
      </c>
      <c r="BS103" s="181">
        <f ca="1">IF($D103&lt;&gt;"Serviço",0,IF(AND(AUTOEVENTO="Manual",$M103=1),0,IF(OFFSET(CRONOPLE!$F$14,$M103,BS$13)="",10^12,OFFSET(CRONOPLE!$F$14,$M103,BS$13))))</f>
        <v>0</v>
      </c>
      <c r="BT103" s="181">
        <f ca="1">IF($D103&lt;&gt;"Serviço",0,IF(AND(AUTOEVENTO="Manual",$M103=1),0,IF(OFFSET(CRONOPLE!$F$14,$M103,BT$13)="",10^12,OFFSET(CRONOPLE!$F$14,$M103,BT$13))))</f>
        <v>0</v>
      </c>
      <c r="BV103" s="182">
        <f ca="1">IF($D103&lt;&gt;"Serviço",0,IF(OR(AND(AUTOEVENTO="Manual",$M103=1),$M103&gt;(ROW(PLE.lastrow)-ROW(PLE.firstrow))),0,IF(OFFSET(PLE!$G$14,$M103,BV$13)="",10^12,OFFSET(PLE!$G$14,$M103,BV$13))))</f>
        <v>0</v>
      </c>
      <c r="BW103" s="182">
        <f ca="1">IF($D103&lt;&gt;"Serviço",0,IF(OR(AND(AUTOEVENTO="Manual",$M103=1),$M103&gt;(ROW(PLE.lastrow)-ROW(PLE.firstrow))),0,IF(OFFSET(PLE!$G$14,$M103,BW$13)="",10^12,OFFSET(PLE!$G$14,$M103,BW$13))))</f>
        <v>0</v>
      </c>
      <c r="BX103" s="182">
        <f ca="1">IF($D103&lt;&gt;"Serviço",0,IF(OR(AND(AUTOEVENTO="Manual",$M103=1),$M103&gt;(ROW(PLE.lastrow)-ROW(PLE.firstrow))),0,IF(OFFSET(PLE!$G$14,$M103,BX$13)="",10^12,OFFSET(PLE!$G$14,$M103,BX$13))))</f>
        <v>0</v>
      </c>
      <c r="BY103" s="182">
        <f ca="1">IF($D103&lt;&gt;"Serviço",0,IF(OR(AND(AUTOEVENTO="Manual",$M103=1),$M103&gt;(ROW(PLE.lastrow)-ROW(PLE.firstrow))),0,IF(OFFSET(PLE!$G$14,$M103,BY$13)="",10^12,OFFSET(PLE!$G$14,$M103,BY$13))))</f>
        <v>0</v>
      </c>
      <c r="BZ103" s="182">
        <f ca="1">IF($D103&lt;&gt;"Serviço",0,IF(OR(AND(AUTOEVENTO="Manual",$M103=1),$M103&gt;(ROW(PLE.lastrow)-ROW(PLE.firstrow))),0,IF(OFFSET(PLE!$G$14,$M103,BZ$13)="",10^12,OFFSET(PLE!$G$14,$M103,BZ$13))))</f>
        <v>0</v>
      </c>
      <c r="CA103" s="182">
        <f ca="1">IF($D103&lt;&gt;"Serviço",0,IF(OR(AND(AUTOEVENTO="Manual",$M103=1),$M103&gt;(ROW(PLE.lastrow)-ROW(PLE.firstrow))),0,IF(OFFSET(PLE!$G$14,$M103,CA$13)="",10^12,OFFSET(PLE!$G$14,$M103,CA$13))))</f>
        <v>0</v>
      </c>
      <c r="CB103" s="182">
        <f ca="1">IF($D103&lt;&gt;"Serviço",0,IF(OR(AND(AUTOEVENTO="Manual",$M103=1),$M103&gt;(ROW(PLE.lastrow)-ROW(PLE.firstrow))),0,IF(OFFSET(PLE!$G$14,$M103,CB$13)="",10^12,OFFSET(PLE!$G$14,$M103,CB$13))))</f>
        <v>0</v>
      </c>
      <c r="CC103" s="182">
        <f ca="1">IF($D103&lt;&gt;"Serviço",0,IF(OR(AND(AUTOEVENTO="Manual",$M103=1),$M103&gt;(ROW(PLE.lastrow)-ROW(PLE.firstrow))),0,IF(OFFSET(PLE!$G$14,$M103,CC$13)="",10^12,OFFSET(PLE!$G$14,$M103,CC$13))))</f>
        <v>0</v>
      </c>
      <c r="CD103" s="182">
        <f ca="1">IF($D103&lt;&gt;"Serviço",0,IF(OR(AND(AUTOEVENTO="Manual",$M103=1),$M103&gt;(ROW(PLE.lastrow)-ROW(PLE.firstrow))),0,IF(OFFSET(PLE!$G$14,$M103,CD$13)="",10^12,OFFSET(PLE!$G$14,$M103,CD$13))))</f>
        <v>0</v>
      </c>
      <c r="CE103" s="182">
        <f ca="1">IF($D103&lt;&gt;"Serviço",0,IF(OR(AND(AUTOEVENTO="Manual",$M103=1),$M103&gt;(ROW(PLE.lastrow)-ROW(PLE.firstrow))),0,IF(OFFSET(PLE!$G$14,$M103,CE$13)="",10^12,OFFSET(PLE!$G$14,$M103,CE$13))))</f>
        <v>0</v>
      </c>
      <c r="CF103" s="182">
        <f ca="1">IF($D103&lt;&gt;"Serviço",0,IF(OR(AND(AUTOEVENTO="Manual",$M103=1),$M103&gt;(ROW(PLE.lastrow)-ROW(PLE.firstrow))),0,IF(OFFSET(PLE!$G$14,$M103,CF$13)="",10^12,OFFSET(PLE!$G$14,$M103,CF$13))))</f>
        <v>0</v>
      </c>
      <c r="CG103" s="182">
        <f ca="1">IF($D103&lt;&gt;"Serviço",0,IF(OR(AND(AUTOEVENTO="Manual",$M103=1),$M103&gt;(ROW(PLE.lastrow)-ROW(PLE.firstrow))),0,IF(OFFSET(PLE!$G$14,$M103,CG$13)="",10^12,OFFSET(PLE!$G$14,$M103,CG$13))))</f>
        <v>0</v>
      </c>
      <c r="CH103" s="182">
        <f ca="1">IF($D103&lt;&gt;"Serviço",0,IF(OR(AND(AUTOEVENTO="Manual",$M103=1),$M103&gt;(ROW(PLE.lastrow)-ROW(PLE.firstrow))),0,IF(OFFSET(PLE!$G$14,$M103,CH$13)="",10^12,OFFSET(PLE!$G$14,$M103,CH$13))))</f>
        <v>0</v>
      </c>
      <c r="CI103" s="182">
        <f ca="1">IF($D103&lt;&gt;"Serviço",0,IF(OR(AND(AUTOEVENTO="Manual",$M103=1),$M103&gt;(ROW(PLE.lastrow)-ROW(PLE.firstrow))),0,IF(OFFSET(PLE!$G$14,$M103,CI$13)="",10^12,OFFSET(PLE!$G$14,$M103,CI$13))))</f>
        <v>0</v>
      </c>
      <c r="CJ103" s="182">
        <f ca="1">IF($D103&lt;&gt;"Serviço",0,IF(OR(AND(AUTOEVENTO="Manual",$M103=1),$M103&gt;(ROW(PLE.lastrow)-ROW(PLE.firstrow))),0,IF(OFFSET(PLE!$G$14,$M103,CJ$13)="",10^12,OFFSET(PLE!$G$14,$M103,CJ$13))))</f>
        <v>0</v>
      </c>
      <c r="CK103" s="182">
        <f ca="1">IF($D103&lt;&gt;"Serviço",0,IF(OR(AND(AUTOEVENTO="Manual",$M103=1),$M103&gt;(ROW(PLE.lastrow)-ROW(PLE.firstrow))),0,IF(OFFSET(PLE!$G$14,$M103,CK$13)="",10^12,OFFSET(PLE!$G$14,$M103,CK$13))))</f>
        <v>0</v>
      </c>
      <c r="CL103" s="182">
        <f ca="1">IF($D103&lt;&gt;"Serviço",0,IF(OR(AND(AUTOEVENTO="Manual",$M103=1),$M103&gt;(ROW(PLE.lastrow)-ROW(PLE.firstrow))),0,IF(OFFSET(PLE!$G$14,$M103,CL$13)="",10^12,OFFSET(PLE!$G$14,$M103,CL$13))))</f>
        <v>0</v>
      </c>
      <c r="CM103" s="182">
        <f ca="1">IF($D103&lt;&gt;"Serviço",0,IF(OR(AND(AUTOEVENTO="Manual",$M103=1),$M103&gt;(ROW(PLE.lastrow)-ROW(PLE.firstrow))),0,IF(OFFSET(PLE!$G$14,$M103,CM$13)="",10^12,OFFSET(PLE!$G$14,$M103,CM$13))))</f>
        <v>0</v>
      </c>
    </row>
    <row r="104" spans="1:91" ht="38.25" x14ac:dyDescent="0.2">
      <c r="A104" s="7" t="str">
        <f t="shared" ca="1" si="10"/>
        <v>88</v>
      </c>
      <c r="B104" s="7" t="str">
        <f ca="1">OFFSET(ORÇAMENTO!C$15,ROW(B104)-ROW(B$15),0)</f>
        <v>S</v>
      </c>
      <c r="C104" s="7" t="str">
        <f ca="1">OFFSET(ORÇAMENTO!L$15,ROW(C104)-ROW(C$15),0)</f>
        <v/>
      </c>
      <c r="D104" s="118" t="str">
        <f ca="1">OFFSET(ORÇAMENTO!N$15,ROW(D104)-ROW(D$15),0)</f>
        <v>Serviço</v>
      </c>
      <c r="E104" s="119" t="str">
        <f ca="1">OFFSET(ORÇAMENTO!O$15,ROW(E104)-ROW(E$15),0)</f>
        <v>-</v>
      </c>
      <c r="F104" s="172" t="str">
        <f ca="1">OFFSET(ORÇAMENTO!R$15,ROW(F104)-ROW(F$15),0)</f>
        <v>(abra o arquivo 'Referência 06-2024.xlsm)</v>
      </c>
      <c r="G104" s="173" t="str">
        <f ca="1">IF($D104&lt;&gt;"Serviço","",OFFSET(ORÇAMENTO!S$15,ROW(G104)-ROW(G$15),0))</f>
        <v>-</v>
      </c>
      <c r="H104" s="124">
        <f ca="1">IF($D104&lt;&gt;"Serviço",0,IF(ACOMPANHAMENTO="BM",ROUND(OFFSET(ORÇAMENTO!AJ$15,ROW(H104)-ROW(H$15),0),15-13*ORÇAMENTO!$AF$7),SUMPRODUCT(($Q$12:$AI$12&lt;&gt;"")*ROUND($Q104:$AI104,15-13*ORÇAMENTO!$AF$7))))</f>
        <v>778.74</v>
      </c>
      <c r="I104" s="561" t="s">
        <v>1107</v>
      </c>
      <c r="K104" s="174"/>
      <c r="L104" s="175" t="s">
        <v>255</v>
      </c>
      <c r="M104" s="176">
        <f ca="1">IF($D104&lt;&gt;"Serviço","",IF(AUTOEVENTO="manual",$A104,IF(ISERROR(MATCH($A104,$A$15:OFFSET($A104,-1,0),0)),MAX($M$15:OFFSET(M104,-1,0))+1,INDEX($M$15:OFFSET(M104,-1,0),MATCH($A104,$A$15:OFFSET($A104,-1,0),0)))))</f>
        <v>17</v>
      </c>
      <c r="N104" s="177" t="str">
        <f ca="1">IF($D104&lt;&gt;"Serviço","",IF(AUTOEVENTO="Manual",IF($A104=0,"&lt;-- defina o número do agrupador",OFFSET(EVENTOS!$D$14,$A104,0)),OFFSET($F$15,$A104,0)))</f>
        <v>SISTEMA DE VEDAÇÃO VERTICAL - ALVENARIA DE VEDAÇÃO</v>
      </c>
      <c r="O104" s="178"/>
      <c r="Q104" s="178">
        <v>778.74</v>
      </c>
      <c r="R104" s="179"/>
      <c r="S104" s="179"/>
      <c r="T104" s="179"/>
      <c r="U104" s="179"/>
      <c r="V104" s="179"/>
      <c r="W104" s="179"/>
      <c r="X104" s="179"/>
      <c r="Y104" s="179"/>
      <c r="Z104" s="180"/>
      <c r="AA104" s="179"/>
      <c r="AB104" s="179"/>
      <c r="AC104" s="179"/>
      <c r="AD104" s="179"/>
      <c r="AE104" s="179"/>
      <c r="AF104" s="179"/>
      <c r="AG104" s="179"/>
      <c r="AH104" s="180"/>
      <c r="AJ104" s="544">
        <f ca="1">IF(AND($D104="Serviço",AJ$12&lt;&gt;0,$H104&gt;0,OR(AUTOEVENTO&lt;&gt;"manual",$M104&lt;&gt;1)),
IF(Import.TipoArredondamento&lt;&gt;"TransfereGOV",
ROUND(OFFSET($P104,0,AJ$13),15-13*ORÇAMENTO!$AF$7)/$H104*OFFSET(ORÇAMENTO!$X$15,ROW(AJ104)-ROW(AJ$15),0),
ROUND(ROUND(OFFSET($P104,0,AJ$13),15-13*ORÇAMENTO!$AF$7)*OFFSET(ORÇAMENTO!$W$15,ROW(AJ104)-ROW(AJ$15),0),15-13*ORÇAMENTO!$AF$11)),0)</f>
        <v>0</v>
      </c>
      <c r="AK104" s="545">
        <f ca="1">IF(AND($D104="Serviço",AK$12&lt;&gt;0,$H104&gt;0,OR(AUTOEVENTO&lt;&gt;"manual",$M104&lt;&gt;1)),
IF(Import.TipoArredondamento&lt;&gt;"TransfereGOV",
ROUND(OFFSET($P104,0,AK$13),15-13*ORÇAMENTO!$AF$7)/$H104*OFFSET(ORÇAMENTO!$X$15,ROW(AK104)-ROW(AK$15),0),
ROUND(ROUND(OFFSET($P104,0,AK$13),15-13*ORÇAMENTO!$AF$7)*OFFSET(ORÇAMENTO!$W$15,ROW(AK104)-ROW(AK$15),0),15-13*ORÇAMENTO!$AF$11)),0)</f>
        <v>0</v>
      </c>
      <c r="AL104" s="545">
        <f ca="1">IF(AND($D104="Serviço",AL$12&lt;&gt;0,$H104&gt;0,OR(AUTOEVENTO&lt;&gt;"manual",$M104&lt;&gt;1)),
IF(Import.TipoArredondamento&lt;&gt;"TransfereGOV",
ROUND(OFFSET($P104,0,AL$13),15-13*ORÇAMENTO!$AF$7)/$H104*OFFSET(ORÇAMENTO!$X$15,ROW(AL104)-ROW(AL$15),0),
ROUND(ROUND(OFFSET($P104,0,AL$13),15-13*ORÇAMENTO!$AF$7)*OFFSET(ORÇAMENTO!$W$15,ROW(AL104)-ROW(AL$15),0),15-13*ORÇAMENTO!$AF$11)),0)</f>
        <v>0</v>
      </c>
      <c r="AM104" s="545">
        <f ca="1">IF(AND($D104="Serviço",AM$12&lt;&gt;0,$H104&gt;0,OR(AUTOEVENTO&lt;&gt;"manual",$M104&lt;&gt;1)),
IF(Import.TipoArredondamento&lt;&gt;"TransfereGOV",
ROUND(OFFSET($P104,0,AM$13),15-13*ORÇAMENTO!$AF$7)/$H104*OFFSET(ORÇAMENTO!$X$15,ROW(AM104)-ROW(AM$15),0),
ROUND(ROUND(OFFSET($P104,0,AM$13),15-13*ORÇAMENTO!$AF$7)*OFFSET(ORÇAMENTO!$W$15,ROW(AM104)-ROW(AM$15),0),15-13*ORÇAMENTO!$AF$11)),0)</f>
        <v>0</v>
      </c>
      <c r="AN104" s="545">
        <f ca="1">IF(AND($D104="Serviço",AN$12&lt;&gt;0,$H104&gt;0,OR(AUTOEVENTO&lt;&gt;"manual",$M104&lt;&gt;1)),
IF(Import.TipoArredondamento&lt;&gt;"TransfereGOV",
ROUND(OFFSET($P104,0,AN$13),15-13*ORÇAMENTO!$AF$7)/$H104*OFFSET(ORÇAMENTO!$X$15,ROW(AN104)-ROW(AN$15),0),
ROUND(ROUND(OFFSET($P104,0,AN$13),15-13*ORÇAMENTO!$AF$7)*OFFSET(ORÇAMENTO!$W$15,ROW(AN104)-ROW(AN$15),0),15-13*ORÇAMENTO!$AF$11)),0)</f>
        <v>0</v>
      </c>
      <c r="AO104" s="545">
        <f ca="1">IF(AND($D104="Serviço",AO$12&lt;&gt;0,$H104&gt;0,OR(AUTOEVENTO&lt;&gt;"manual",$M104&lt;&gt;1)),
IF(Import.TipoArredondamento&lt;&gt;"TransfereGOV",
ROUND(OFFSET($P104,0,AO$13),15-13*ORÇAMENTO!$AF$7)/$H104*OFFSET(ORÇAMENTO!$X$15,ROW(AO104)-ROW(AO$15),0),
ROUND(ROUND(OFFSET($P104,0,AO$13),15-13*ORÇAMENTO!$AF$7)*OFFSET(ORÇAMENTO!$W$15,ROW(AO104)-ROW(AO$15),0),15-13*ORÇAMENTO!$AF$11)),0)</f>
        <v>0</v>
      </c>
      <c r="AP104" s="545">
        <f ca="1">IF(AND($D104="Serviço",AP$12&lt;&gt;0,$H104&gt;0,OR(AUTOEVENTO&lt;&gt;"manual",$M104&lt;&gt;1)),
IF(Import.TipoArredondamento&lt;&gt;"TransfereGOV",
ROUND(OFFSET($P104,0,AP$13),15-13*ORÇAMENTO!$AF$7)/$H104*OFFSET(ORÇAMENTO!$X$15,ROW(AP104)-ROW(AP$15),0),
ROUND(ROUND(OFFSET($P104,0,AP$13),15-13*ORÇAMENTO!$AF$7)*OFFSET(ORÇAMENTO!$W$15,ROW(AP104)-ROW(AP$15),0),15-13*ORÇAMENTO!$AF$11)),0)</f>
        <v>0</v>
      </c>
      <c r="AQ104" s="545">
        <f ca="1">IF(AND($D104="Serviço",AQ$12&lt;&gt;0,$H104&gt;0,OR(AUTOEVENTO&lt;&gt;"manual",$M104&lt;&gt;1)),
IF(Import.TipoArredondamento&lt;&gt;"TransfereGOV",
ROUND(OFFSET($P104,0,AQ$13),15-13*ORÇAMENTO!$AF$7)/$H104*OFFSET(ORÇAMENTO!$X$15,ROW(AQ104)-ROW(AQ$15),0),
ROUND(ROUND(OFFSET($P104,0,AQ$13),15-13*ORÇAMENTO!$AF$7)*OFFSET(ORÇAMENTO!$W$15,ROW(AQ104)-ROW(AQ$15),0),15-13*ORÇAMENTO!$AF$11)),0)</f>
        <v>0</v>
      </c>
      <c r="AR104" s="545">
        <f ca="1">IF(AND($D104="Serviço",AR$12&lt;&gt;0,$H104&gt;0,OR(AUTOEVENTO&lt;&gt;"manual",$M104&lt;&gt;1)),
IF(Import.TipoArredondamento&lt;&gt;"TransfereGOV",
ROUND(OFFSET($P104,0,AR$13),15-13*ORÇAMENTO!$AF$7)/$H104*OFFSET(ORÇAMENTO!$X$15,ROW(AR104)-ROW(AR$15),0),
ROUND(ROUND(OFFSET($P104,0,AR$13),15-13*ORÇAMENTO!$AF$7)*OFFSET(ORÇAMENTO!$W$15,ROW(AR104)-ROW(AR$15),0),15-13*ORÇAMENTO!$AF$11)),0)</f>
        <v>0</v>
      </c>
      <c r="AS104" s="546">
        <f ca="1">IF(AND($D104="Serviço",AS$12&lt;&gt;0,$H104&gt;0,OR(AUTOEVENTO&lt;&gt;"manual",$M104&lt;&gt;1)),
IF(Import.TipoArredondamento&lt;&gt;"TransfereGOV",
ROUND(OFFSET($P104,0,AS$13),15-13*ORÇAMENTO!$AF$7)/$H104*OFFSET(ORÇAMENTO!$X$15,ROW(AS104)-ROW(AS$15),0),
ROUND(ROUND(OFFSET($P104,0,AS$13),15-13*ORÇAMENTO!$AF$7)*OFFSET(ORÇAMENTO!$W$15,ROW(AS104)-ROW(AS$15),0),15-13*ORÇAMENTO!$AF$11)),0)</f>
        <v>0</v>
      </c>
      <c r="AT104" s="545">
        <f ca="1">IF(AND($D104="Serviço",AT$12&lt;&gt;0,$H104&gt;0,OR(AUTOEVENTO&lt;&gt;"manual",$M104&lt;&gt;1)),
IF(Import.TipoArredondamento&lt;&gt;"TransfereGOV",
ROUND(OFFSET($P104,0,AT$13),15-13*ORÇAMENTO!$AF$7)/$H104*OFFSET(ORÇAMENTO!$X$15,ROW(AT104)-ROW(AT$15),0),
ROUND(ROUND(OFFSET($P104,0,AT$13),15-13*ORÇAMENTO!$AF$7)*OFFSET(ORÇAMENTO!$W$15,ROW(AT104)-ROW(AT$15),0),15-13*ORÇAMENTO!$AF$11)),0)</f>
        <v>0</v>
      </c>
      <c r="AU104" s="545">
        <f ca="1">IF(AND($D104="Serviço",AU$12&lt;&gt;0,$H104&gt;0,OR(AUTOEVENTO&lt;&gt;"manual",$M104&lt;&gt;1)),
IF(Import.TipoArredondamento&lt;&gt;"TransfereGOV",
ROUND(OFFSET($P104,0,AU$13),15-13*ORÇAMENTO!$AF$7)/$H104*OFFSET(ORÇAMENTO!$X$15,ROW(AU104)-ROW(AU$15),0),
ROUND(ROUND(OFFSET($P104,0,AU$13),15-13*ORÇAMENTO!$AF$7)*OFFSET(ORÇAMENTO!$W$15,ROW(AU104)-ROW(AU$15),0),15-13*ORÇAMENTO!$AF$11)),0)</f>
        <v>0</v>
      </c>
      <c r="AV104" s="545">
        <f ca="1">IF(AND($D104="Serviço",AV$12&lt;&gt;0,$H104&gt;0,OR(AUTOEVENTO&lt;&gt;"manual",$M104&lt;&gt;1)),
IF(Import.TipoArredondamento&lt;&gt;"TransfereGOV",
ROUND(OFFSET($P104,0,AV$13),15-13*ORÇAMENTO!$AF$7)/$H104*OFFSET(ORÇAMENTO!$X$15,ROW(AV104)-ROW(AV$15),0),
ROUND(ROUND(OFFSET($P104,0,AV$13),15-13*ORÇAMENTO!$AF$7)*OFFSET(ORÇAMENTO!$W$15,ROW(AV104)-ROW(AV$15),0),15-13*ORÇAMENTO!$AF$11)),0)</f>
        <v>0</v>
      </c>
      <c r="AW104" s="545">
        <f ca="1">IF(AND($D104="Serviço",AW$12&lt;&gt;0,$H104&gt;0,OR(AUTOEVENTO&lt;&gt;"manual",$M104&lt;&gt;1)),
IF(Import.TipoArredondamento&lt;&gt;"TransfereGOV",
ROUND(OFFSET($P104,0,AW$13),15-13*ORÇAMENTO!$AF$7)/$H104*OFFSET(ORÇAMENTO!$X$15,ROW(AW104)-ROW(AW$15),0),
ROUND(ROUND(OFFSET($P104,0,AW$13),15-13*ORÇAMENTO!$AF$7)*OFFSET(ORÇAMENTO!$W$15,ROW(AW104)-ROW(AW$15),0),15-13*ORÇAMENTO!$AF$11)),0)</f>
        <v>0</v>
      </c>
      <c r="AX104" s="545">
        <f ca="1">IF(AND($D104="Serviço",AX$12&lt;&gt;0,$H104&gt;0,OR(AUTOEVENTO&lt;&gt;"manual",$M104&lt;&gt;1)),
IF(Import.TipoArredondamento&lt;&gt;"TransfereGOV",
ROUND(OFFSET($P104,0,AX$13),15-13*ORÇAMENTO!$AF$7)/$H104*OFFSET(ORÇAMENTO!$X$15,ROW(AX104)-ROW(AX$15),0),
ROUND(ROUND(OFFSET($P104,0,AX$13),15-13*ORÇAMENTO!$AF$7)*OFFSET(ORÇAMENTO!$W$15,ROW(AX104)-ROW(AX$15),0),15-13*ORÇAMENTO!$AF$11)),0)</f>
        <v>0</v>
      </c>
      <c r="AY104" s="545">
        <f ca="1">IF(AND($D104="Serviço",AY$12&lt;&gt;0,$H104&gt;0,OR(AUTOEVENTO&lt;&gt;"manual",$M104&lt;&gt;1)),
IF(Import.TipoArredondamento&lt;&gt;"TransfereGOV",
ROUND(OFFSET($P104,0,AY$13),15-13*ORÇAMENTO!$AF$7)/$H104*OFFSET(ORÇAMENTO!$X$15,ROW(AY104)-ROW(AY$15),0),
ROUND(ROUND(OFFSET($P104,0,AY$13),15-13*ORÇAMENTO!$AF$7)*OFFSET(ORÇAMENTO!$W$15,ROW(AY104)-ROW(AY$15),0),15-13*ORÇAMENTO!$AF$11)),0)</f>
        <v>0</v>
      </c>
      <c r="AZ104" s="545">
        <f ca="1">IF(AND($D104="Serviço",AZ$12&lt;&gt;0,$H104&gt;0,OR(AUTOEVENTO&lt;&gt;"manual",$M104&lt;&gt;1)),
IF(Import.TipoArredondamento&lt;&gt;"TransfereGOV",
ROUND(OFFSET($P104,0,AZ$13),15-13*ORÇAMENTO!$AF$7)/$H104*OFFSET(ORÇAMENTO!$X$15,ROW(AZ104)-ROW(AZ$15),0),
ROUND(ROUND(OFFSET($P104,0,AZ$13),15-13*ORÇAMENTO!$AF$7)*OFFSET(ORÇAMENTO!$W$15,ROW(AZ104)-ROW(AZ$15),0),15-13*ORÇAMENTO!$AF$11)),0)</f>
        <v>0</v>
      </c>
      <c r="BA104" s="546">
        <f ca="1">IF(AND($D104="Serviço",BA$12&lt;&gt;0,$H104&gt;0,OR(AUTOEVENTO&lt;&gt;"manual",$M104&lt;&gt;1)),
IF(Import.TipoArredondamento&lt;&gt;"TransfereGOV",
ROUND(OFFSET($P104,0,BA$13),15-13*ORÇAMENTO!$AF$7)/$H104*OFFSET(ORÇAMENTO!$X$15,ROW(BA104)-ROW(BA$15),0),
ROUND(ROUND(OFFSET($P104,0,BA$13),15-13*ORÇAMENTO!$AF$7)*OFFSET(ORÇAMENTO!$W$15,ROW(BA104)-ROW(BA$15),0),15-13*ORÇAMENTO!$AF$11)),0)</f>
        <v>0</v>
      </c>
      <c r="BC104" s="181">
        <f ca="1">IF($D104&lt;&gt;"Serviço",0,IF(AND(AUTOEVENTO="Manual",$M104=1),0,IF(OFFSET(CRONOPLE!$F$14,$M104,BC$13)="",10^12,OFFSET(CRONOPLE!$F$14,$M104,BC$13))))</f>
        <v>4</v>
      </c>
      <c r="BD104" s="181">
        <f ca="1">IF($D104&lt;&gt;"Serviço",0,IF(AND(AUTOEVENTO="Manual",$M104=1),0,IF(OFFSET(CRONOPLE!$F$14,$M104,BD$13)="",10^12,OFFSET(CRONOPLE!$F$14,$M104,BD$13))))</f>
        <v>1000000000000</v>
      </c>
      <c r="BE104" s="181">
        <f ca="1">IF($D104&lt;&gt;"Serviço",0,IF(AND(AUTOEVENTO="Manual",$M104=1),0,IF(OFFSET(CRONOPLE!$F$14,$M104,BE$13)="",10^12,OFFSET(CRONOPLE!$F$14,$M104,BE$13))))</f>
        <v>1000000000000</v>
      </c>
      <c r="BF104" s="181">
        <f ca="1">IF($D104&lt;&gt;"Serviço",0,IF(AND(AUTOEVENTO="Manual",$M104=1),0,IF(OFFSET(CRONOPLE!$F$14,$M104,BF$13)="",10^12,OFFSET(CRONOPLE!$F$14,$M104,BF$13))))</f>
        <v>1000000000000</v>
      </c>
      <c r="BG104" s="181">
        <f ca="1">IF($D104&lt;&gt;"Serviço",0,IF(AND(AUTOEVENTO="Manual",$M104=1),0,IF(OFFSET(CRONOPLE!$F$14,$M104,BG$13)="",10^12,OFFSET(CRONOPLE!$F$14,$M104,BG$13))))</f>
        <v>1000000000000</v>
      </c>
      <c r="BH104" s="181">
        <f ca="1">IF($D104&lt;&gt;"Serviço",0,IF(AND(AUTOEVENTO="Manual",$M104=1),0,IF(OFFSET(CRONOPLE!$F$14,$M104,BH$13)="",10^12,OFFSET(CRONOPLE!$F$14,$M104,BH$13))))</f>
        <v>1000000000000</v>
      </c>
      <c r="BI104" s="181">
        <f ca="1">IF($D104&lt;&gt;"Serviço",0,IF(AND(AUTOEVENTO="Manual",$M104=1),0,IF(OFFSET(CRONOPLE!$F$14,$M104,BI$13)="",10^12,OFFSET(CRONOPLE!$F$14,$M104,BI$13))))</f>
        <v>1000000000000</v>
      </c>
      <c r="BJ104" s="181">
        <f ca="1">IF($D104&lt;&gt;"Serviço",0,IF(AND(AUTOEVENTO="Manual",$M104=1),0,IF(OFFSET(CRONOPLE!$F$14,$M104,BJ$13)="",10^12,OFFSET(CRONOPLE!$F$14,$M104,BJ$13))))</f>
        <v>1000000000000</v>
      </c>
      <c r="BK104" s="181">
        <f ca="1">IF($D104&lt;&gt;"Serviço",0,IF(AND(AUTOEVENTO="Manual",$M104=1),0,IF(OFFSET(CRONOPLE!$F$14,$M104,BK$13)="",10^12,OFFSET(CRONOPLE!$F$14,$M104,BK$13))))</f>
        <v>1000000000000</v>
      </c>
      <c r="BL104" s="181">
        <f ca="1">IF($D104&lt;&gt;"Serviço",0,IF(AND(AUTOEVENTO="Manual",$M104=1),0,IF(OFFSET(CRONOPLE!$F$14,$M104,BL$13)="",10^12,OFFSET(CRONOPLE!$F$14,$M104,BL$13))))</f>
        <v>1000000000000</v>
      </c>
      <c r="BM104" s="181">
        <f ca="1">IF($D104&lt;&gt;"Serviço",0,IF(AND(AUTOEVENTO="Manual",$M104=1),0,IF(OFFSET(CRONOPLE!$F$14,$M104,BM$13)="",10^12,OFFSET(CRONOPLE!$F$14,$M104,BM$13))))</f>
        <v>1000000000000</v>
      </c>
      <c r="BN104" s="181">
        <f ca="1">IF($D104&lt;&gt;"Serviço",0,IF(AND(AUTOEVENTO="Manual",$M104=1),0,IF(OFFSET(CRONOPLE!$F$14,$M104,BN$13)="",10^12,OFFSET(CRONOPLE!$F$14,$M104,BN$13))))</f>
        <v>1000000000000</v>
      </c>
      <c r="BO104" s="181">
        <f ca="1">IF($D104&lt;&gt;"Serviço",0,IF(AND(AUTOEVENTO="Manual",$M104=1),0,IF(OFFSET(CRONOPLE!$F$14,$M104,BO$13)="",10^12,OFFSET(CRONOPLE!$F$14,$M104,BO$13))))</f>
        <v>1000000000000</v>
      </c>
      <c r="BP104" s="181">
        <f ca="1">IF($D104&lt;&gt;"Serviço",0,IF(AND(AUTOEVENTO="Manual",$M104=1),0,IF(OFFSET(CRONOPLE!$F$14,$M104,BP$13)="",10^12,OFFSET(CRONOPLE!$F$14,$M104,BP$13))))</f>
        <v>1000000000000</v>
      </c>
      <c r="BQ104" s="181">
        <f ca="1">IF($D104&lt;&gt;"Serviço",0,IF(AND(AUTOEVENTO="Manual",$M104=1),0,IF(OFFSET(CRONOPLE!$F$14,$M104,BQ$13)="",10^12,OFFSET(CRONOPLE!$F$14,$M104,BQ$13))))</f>
        <v>1000000000000</v>
      </c>
      <c r="BR104" s="181">
        <f ca="1">IF($D104&lt;&gt;"Serviço",0,IF(AND(AUTOEVENTO="Manual",$M104=1),0,IF(OFFSET(CRONOPLE!$F$14,$M104,BR$13)="",10^12,OFFSET(CRONOPLE!$F$14,$M104,BR$13))))</f>
        <v>1000000000000</v>
      </c>
      <c r="BS104" s="181">
        <f ca="1">IF($D104&lt;&gt;"Serviço",0,IF(AND(AUTOEVENTO="Manual",$M104=1),0,IF(OFFSET(CRONOPLE!$F$14,$M104,BS$13)="",10^12,OFFSET(CRONOPLE!$F$14,$M104,BS$13))))</f>
        <v>1000000000000</v>
      </c>
      <c r="BT104" s="181">
        <f ca="1">IF($D104&lt;&gt;"Serviço",0,IF(AND(AUTOEVENTO="Manual",$M104=1),0,IF(OFFSET(CRONOPLE!$F$14,$M104,BT$13)="",10^12,OFFSET(CRONOPLE!$F$14,$M104,BT$13))))</f>
        <v>1000000000000</v>
      </c>
      <c r="BV104" s="182">
        <f ca="1">IF($D104&lt;&gt;"Serviço",0,IF(OR(AND(AUTOEVENTO="Manual",$M104=1),$M104&gt;(ROW(PLE.lastrow)-ROW(PLE.firstrow))),0,IF(OFFSET(PLE!$G$14,$M104,BV$13)="",10^12,OFFSET(PLE!$G$14,$M104,BV$13))))</f>
        <v>1000000000000</v>
      </c>
      <c r="BW104" s="182">
        <f ca="1">IF($D104&lt;&gt;"Serviço",0,IF(OR(AND(AUTOEVENTO="Manual",$M104=1),$M104&gt;(ROW(PLE.lastrow)-ROW(PLE.firstrow))),0,IF(OFFSET(PLE!$G$14,$M104,BW$13)="",10^12,OFFSET(PLE!$G$14,$M104,BW$13))))</f>
        <v>1000000000000</v>
      </c>
      <c r="BX104" s="182">
        <f ca="1">IF($D104&lt;&gt;"Serviço",0,IF(OR(AND(AUTOEVENTO="Manual",$M104=1),$M104&gt;(ROW(PLE.lastrow)-ROW(PLE.firstrow))),0,IF(OFFSET(PLE!$G$14,$M104,BX$13)="",10^12,OFFSET(PLE!$G$14,$M104,BX$13))))</f>
        <v>1000000000000</v>
      </c>
      <c r="BY104" s="182">
        <f ca="1">IF($D104&lt;&gt;"Serviço",0,IF(OR(AND(AUTOEVENTO="Manual",$M104=1),$M104&gt;(ROW(PLE.lastrow)-ROW(PLE.firstrow))),0,IF(OFFSET(PLE!$G$14,$M104,BY$13)="",10^12,OFFSET(PLE!$G$14,$M104,BY$13))))</f>
        <v>1000000000000</v>
      </c>
      <c r="BZ104" s="182">
        <f ca="1">IF($D104&lt;&gt;"Serviço",0,IF(OR(AND(AUTOEVENTO="Manual",$M104=1),$M104&gt;(ROW(PLE.lastrow)-ROW(PLE.firstrow))),0,IF(OFFSET(PLE!$G$14,$M104,BZ$13)="",10^12,OFFSET(PLE!$G$14,$M104,BZ$13))))</f>
        <v>1000000000000</v>
      </c>
      <c r="CA104" s="182">
        <f ca="1">IF($D104&lt;&gt;"Serviço",0,IF(OR(AND(AUTOEVENTO="Manual",$M104=1),$M104&gt;(ROW(PLE.lastrow)-ROW(PLE.firstrow))),0,IF(OFFSET(PLE!$G$14,$M104,CA$13)="",10^12,OFFSET(PLE!$G$14,$M104,CA$13))))</f>
        <v>1000000000000</v>
      </c>
      <c r="CB104" s="182">
        <f ca="1">IF($D104&lt;&gt;"Serviço",0,IF(OR(AND(AUTOEVENTO="Manual",$M104=1),$M104&gt;(ROW(PLE.lastrow)-ROW(PLE.firstrow))),0,IF(OFFSET(PLE!$G$14,$M104,CB$13)="",10^12,OFFSET(PLE!$G$14,$M104,CB$13))))</f>
        <v>1000000000000</v>
      </c>
      <c r="CC104" s="182">
        <f ca="1">IF($D104&lt;&gt;"Serviço",0,IF(OR(AND(AUTOEVENTO="Manual",$M104=1),$M104&gt;(ROW(PLE.lastrow)-ROW(PLE.firstrow))),0,IF(OFFSET(PLE!$G$14,$M104,CC$13)="",10^12,OFFSET(PLE!$G$14,$M104,CC$13))))</f>
        <v>1000000000000</v>
      </c>
      <c r="CD104" s="182">
        <f ca="1">IF($D104&lt;&gt;"Serviço",0,IF(OR(AND(AUTOEVENTO="Manual",$M104=1),$M104&gt;(ROW(PLE.lastrow)-ROW(PLE.firstrow))),0,IF(OFFSET(PLE!$G$14,$M104,CD$13)="",10^12,OFFSET(PLE!$G$14,$M104,CD$13))))</f>
        <v>1000000000000</v>
      </c>
      <c r="CE104" s="182">
        <f ca="1">IF($D104&lt;&gt;"Serviço",0,IF(OR(AND(AUTOEVENTO="Manual",$M104=1),$M104&gt;(ROW(PLE.lastrow)-ROW(PLE.firstrow))),0,IF(OFFSET(PLE!$G$14,$M104,CE$13)="",10^12,OFFSET(PLE!$G$14,$M104,CE$13))))</f>
        <v>1000000000000</v>
      </c>
      <c r="CF104" s="182">
        <f ca="1">IF($D104&lt;&gt;"Serviço",0,IF(OR(AND(AUTOEVENTO="Manual",$M104=1),$M104&gt;(ROW(PLE.lastrow)-ROW(PLE.firstrow))),0,IF(OFFSET(PLE!$G$14,$M104,CF$13)="",10^12,OFFSET(PLE!$G$14,$M104,CF$13))))</f>
        <v>1000000000000</v>
      </c>
      <c r="CG104" s="182">
        <f ca="1">IF($D104&lt;&gt;"Serviço",0,IF(OR(AND(AUTOEVENTO="Manual",$M104=1),$M104&gt;(ROW(PLE.lastrow)-ROW(PLE.firstrow))),0,IF(OFFSET(PLE!$G$14,$M104,CG$13)="",10^12,OFFSET(PLE!$G$14,$M104,CG$13))))</f>
        <v>1000000000000</v>
      </c>
      <c r="CH104" s="182">
        <f ca="1">IF($D104&lt;&gt;"Serviço",0,IF(OR(AND(AUTOEVENTO="Manual",$M104=1),$M104&gt;(ROW(PLE.lastrow)-ROW(PLE.firstrow))),0,IF(OFFSET(PLE!$G$14,$M104,CH$13)="",10^12,OFFSET(PLE!$G$14,$M104,CH$13))))</f>
        <v>1000000000000</v>
      </c>
      <c r="CI104" s="182">
        <f ca="1">IF($D104&lt;&gt;"Serviço",0,IF(OR(AND(AUTOEVENTO="Manual",$M104=1),$M104&gt;(ROW(PLE.lastrow)-ROW(PLE.firstrow))),0,IF(OFFSET(PLE!$G$14,$M104,CI$13)="",10^12,OFFSET(PLE!$G$14,$M104,CI$13))))</f>
        <v>1000000000000</v>
      </c>
      <c r="CJ104" s="182">
        <f ca="1">IF($D104&lt;&gt;"Serviço",0,IF(OR(AND(AUTOEVENTO="Manual",$M104=1),$M104&gt;(ROW(PLE.lastrow)-ROW(PLE.firstrow))),0,IF(OFFSET(PLE!$G$14,$M104,CJ$13)="",10^12,OFFSET(PLE!$G$14,$M104,CJ$13))))</f>
        <v>1000000000000</v>
      </c>
      <c r="CK104" s="182">
        <f ca="1">IF($D104&lt;&gt;"Serviço",0,IF(OR(AND(AUTOEVENTO="Manual",$M104=1),$M104&gt;(ROW(PLE.lastrow)-ROW(PLE.firstrow))),0,IF(OFFSET(PLE!$G$14,$M104,CK$13)="",10^12,OFFSET(PLE!$G$14,$M104,CK$13))))</f>
        <v>1000000000000</v>
      </c>
      <c r="CL104" s="182">
        <f ca="1">IF($D104&lt;&gt;"Serviço",0,IF(OR(AND(AUTOEVENTO="Manual",$M104=1),$M104&gt;(ROW(PLE.lastrow)-ROW(PLE.firstrow))),0,IF(OFFSET(PLE!$G$14,$M104,CL$13)="",10^12,OFFSET(PLE!$G$14,$M104,CL$13))))</f>
        <v>1000000000000</v>
      </c>
      <c r="CM104" s="182">
        <f ca="1">IF($D104&lt;&gt;"Serviço",0,IF(OR(AND(AUTOEVENTO="Manual",$M104=1),$M104&gt;(ROW(PLE.lastrow)-ROW(PLE.firstrow))),0,IF(OFFSET(PLE!$G$14,$M104,CM$13)="",10^12,OFFSET(PLE!$G$14,$M104,CM$13))))</f>
        <v>1000000000000</v>
      </c>
    </row>
    <row r="105" spans="1:91" ht="38.25" x14ac:dyDescent="0.2">
      <c r="A105" s="7" t="str">
        <f t="shared" ca="1" si="10"/>
        <v>88</v>
      </c>
      <c r="B105" s="7" t="str">
        <f ca="1">OFFSET(ORÇAMENTO!C$15,ROW(B105)-ROW(B$15),0)</f>
        <v>S</v>
      </c>
      <c r="C105" s="7" t="str">
        <f ca="1">OFFSET(ORÇAMENTO!L$15,ROW(C105)-ROW(C$15),0)</f>
        <v/>
      </c>
      <c r="D105" s="118" t="str">
        <f ca="1">OFFSET(ORÇAMENTO!N$15,ROW(D105)-ROW(D$15),0)</f>
        <v>Serviço</v>
      </c>
      <c r="E105" s="119" t="str">
        <f ca="1">OFFSET(ORÇAMENTO!O$15,ROW(E105)-ROW(E$15),0)</f>
        <v>-</v>
      </c>
      <c r="F105" s="172" t="str">
        <f ca="1">OFFSET(ORÇAMENTO!R$15,ROW(F105)-ROW(F$15),0)</f>
        <v>(abra o arquivo 'Referência 06-2024.xlsm)</v>
      </c>
      <c r="G105" s="173" t="str">
        <f ca="1">IF($D105&lt;&gt;"Serviço","",OFFSET(ORÇAMENTO!S$15,ROW(G105)-ROW(G$15),0))</f>
        <v>-</v>
      </c>
      <c r="H105" s="124">
        <f ca="1">IF($D105&lt;&gt;"Serviço",0,IF(ACOMPANHAMENTO="BM",ROUND(OFFSET(ORÇAMENTO!AJ$15,ROW(H105)-ROW(H$15),0),15-13*ORÇAMENTO!$AF$7),SUMPRODUCT(($Q$12:$AI$12&lt;&gt;"")*ROUND($Q105:$AI105,15-13*ORÇAMENTO!$AF$7))))</f>
        <v>931.08</v>
      </c>
      <c r="I105" s="561" t="s">
        <v>1107</v>
      </c>
      <c r="K105" s="174"/>
      <c r="L105" s="175" t="s">
        <v>255</v>
      </c>
      <c r="M105" s="176">
        <f ca="1">IF($D105&lt;&gt;"Serviço","",IF(AUTOEVENTO="manual",$A105,IF(ISERROR(MATCH($A105,$A$15:OFFSET($A105,-1,0),0)),MAX($M$15:OFFSET(M105,-1,0))+1,INDEX($M$15:OFFSET(M105,-1,0),MATCH($A105,$A$15:OFFSET($A105,-1,0),0)))))</f>
        <v>17</v>
      </c>
      <c r="N105" s="177" t="str">
        <f ca="1">IF($D105&lt;&gt;"Serviço","",IF(AUTOEVENTO="Manual",IF($A105=0,"&lt;-- defina o número do agrupador",OFFSET(EVENTOS!$D$14,$A105,0)),OFFSET($F$15,$A105,0)))</f>
        <v>SISTEMA DE VEDAÇÃO VERTICAL - ALVENARIA DE VEDAÇÃO</v>
      </c>
      <c r="O105" s="178"/>
      <c r="Q105" s="178">
        <v>931.07999999999993</v>
      </c>
      <c r="R105" s="179"/>
      <c r="S105" s="179"/>
      <c r="T105" s="179"/>
      <c r="U105" s="179"/>
      <c r="V105" s="179"/>
      <c r="W105" s="179"/>
      <c r="X105" s="179"/>
      <c r="Y105" s="179"/>
      <c r="Z105" s="180"/>
      <c r="AA105" s="179"/>
      <c r="AB105" s="179"/>
      <c r="AC105" s="179"/>
      <c r="AD105" s="179"/>
      <c r="AE105" s="179"/>
      <c r="AF105" s="179"/>
      <c r="AG105" s="179"/>
      <c r="AH105" s="180"/>
      <c r="AJ105" s="544">
        <f ca="1">IF(AND($D105="Serviço",AJ$12&lt;&gt;0,$H105&gt;0,OR(AUTOEVENTO&lt;&gt;"manual",$M105&lt;&gt;1)),
IF(Import.TipoArredondamento&lt;&gt;"TransfereGOV",
ROUND(OFFSET($P105,0,AJ$13),15-13*ORÇAMENTO!$AF$7)/$H105*OFFSET(ORÇAMENTO!$X$15,ROW(AJ105)-ROW(AJ$15),0),
ROUND(ROUND(OFFSET($P105,0,AJ$13),15-13*ORÇAMENTO!$AF$7)*OFFSET(ORÇAMENTO!$W$15,ROW(AJ105)-ROW(AJ$15),0),15-13*ORÇAMENTO!$AF$11)),0)</f>
        <v>0</v>
      </c>
      <c r="AK105" s="545">
        <f ca="1">IF(AND($D105="Serviço",AK$12&lt;&gt;0,$H105&gt;0,OR(AUTOEVENTO&lt;&gt;"manual",$M105&lt;&gt;1)),
IF(Import.TipoArredondamento&lt;&gt;"TransfereGOV",
ROUND(OFFSET($P105,0,AK$13),15-13*ORÇAMENTO!$AF$7)/$H105*OFFSET(ORÇAMENTO!$X$15,ROW(AK105)-ROW(AK$15),0),
ROUND(ROUND(OFFSET($P105,0,AK$13),15-13*ORÇAMENTO!$AF$7)*OFFSET(ORÇAMENTO!$W$15,ROW(AK105)-ROW(AK$15),0),15-13*ORÇAMENTO!$AF$11)),0)</f>
        <v>0</v>
      </c>
      <c r="AL105" s="545">
        <f ca="1">IF(AND($D105="Serviço",AL$12&lt;&gt;0,$H105&gt;0,OR(AUTOEVENTO&lt;&gt;"manual",$M105&lt;&gt;1)),
IF(Import.TipoArredondamento&lt;&gt;"TransfereGOV",
ROUND(OFFSET($P105,0,AL$13),15-13*ORÇAMENTO!$AF$7)/$H105*OFFSET(ORÇAMENTO!$X$15,ROW(AL105)-ROW(AL$15),0),
ROUND(ROUND(OFFSET($P105,0,AL$13),15-13*ORÇAMENTO!$AF$7)*OFFSET(ORÇAMENTO!$W$15,ROW(AL105)-ROW(AL$15),0),15-13*ORÇAMENTO!$AF$11)),0)</f>
        <v>0</v>
      </c>
      <c r="AM105" s="545">
        <f ca="1">IF(AND($D105="Serviço",AM$12&lt;&gt;0,$H105&gt;0,OR(AUTOEVENTO&lt;&gt;"manual",$M105&lt;&gt;1)),
IF(Import.TipoArredondamento&lt;&gt;"TransfereGOV",
ROUND(OFFSET($P105,0,AM$13),15-13*ORÇAMENTO!$AF$7)/$H105*OFFSET(ORÇAMENTO!$X$15,ROW(AM105)-ROW(AM$15),0),
ROUND(ROUND(OFFSET($P105,0,AM$13),15-13*ORÇAMENTO!$AF$7)*OFFSET(ORÇAMENTO!$W$15,ROW(AM105)-ROW(AM$15),0),15-13*ORÇAMENTO!$AF$11)),0)</f>
        <v>0</v>
      </c>
      <c r="AN105" s="545">
        <f ca="1">IF(AND($D105="Serviço",AN$12&lt;&gt;0,$H105&gt;0,OR(AUTOEVENTO&lt;&gt;"manual",$M105&lt;&gt;1)),
IF(Import.TipoArredondamento&lt;&gt;"TransfereGOV",
ROUND(OFFSET($P105,0,AN$13),15-13*ORÇAMENTO!$AF$7)/$H105*OFFSET(ORÇAMENTO!$X$15,ROW(AN105)-ROW(AN$15),0),
ROUND(ROUND(OFFSET($P105,0,AN$13),15-13*ORÇAMENTO!$AF$7)*OFFSET(ORÇAMENTO!$W$15,ROW(AN105)-ROW(AN$15),0),15-13*ORÇAMENTO!$AF$11)),0)</f>
        <v>0</v>
      </c>
      <c r="AO105" s="545">
        <f ca="1">IF(AND($D105="Serviço",AO$12&lt;&gt;0,$H105&gt;0,OR(AUTOEVENTO&lt;&gt;"manual",$M105&lt;&gt;1)),
IF(Import.TipoArredondamento&lt;&gt;"TransfereGOV",
ROUND(OFFSET($P105,0,AO$13),15-13*ORÇAMENTO!$AF$7)/$H105*OFFSET(ORÇAMENTO!$X$15,ROW(AO105)-ROW(AO$15),0),
ROUND(ROUND(OFFSET($P105,0,AO$13),15-13*ORÇAMENTO!$AF$7)*OFFSET(ORÇAMENTO!$W$15,ROW(AO105)-ROW(AO$15),0),15-13*ORÇAMENTO!$AF$11)),0)</f>
        <v>0</v>
      </c>
      <c r="AP105" s="545">
        <f ca="1">IF(AND($D105="Serviço",AP$12&lt;&gt;0,$H105&gt;0,OR(AUTOEVENTO&lt;&gt;"manual",$M105&lt;&gt;1)),
IF(Import.TipoArredondamento&lt;&gt;"TransfereGOV",
ROUND(OFFSET($P105,0,AP$13),15-13*ORÇAMENTO!$AF$7)/$H105*OFFSET(ORÇAMENTO!$X$15,ROW(AP105)-ROW(AP$15),0),
ROUND(ROUND(OFFSET($P105,0,AP$13),15-13*ORÇAMENTO!$AF$7)*OFFSET(ORÇAMENTO!$W$15,ROW(AP105)-ROW(AP$15),0),15-13*ORÇAMENTO!$AF$11)),0)</f>
        <v>0</v>
      </c>
      <c r="AQ105" s="545">
        <f ca="1">IF(AND($D105="Serviço",AQ$12&lt;&gt;0,$H105&gt;0,OR(AUTOEVENTO&lt;&gt;"manual",$M105&lt;&gt;1)),
IF(Import.TipoArredondamento&lt;&gt;"TransfereGOV",
ROUND(OFFSET($P105,0,AQ$13),15-13*ORÇAMENTO!$AF$7)/$H105*OFFSET(ORÇAMENTO!$X$15,ROW(AQ105)-ROW(AQ$15),0),
ROUND(ROUND(OFFSET($P105,0,AQ$13),15-13*ORÇAMENTO!$AF$7)*OFFSET(ORÇAMENTO!$W$15,ROW(AQ105)-ROW(AQ$15),0),15-13*ORÇAMENTO!$AF$11)),0)</f>
        <v>0</v>
      </c>
      <c r="AR105" s="545">
        <f ca="1">IF(AND($D105="Serviço",AR$12&lt;&gt;0,$H105&gt;0,OR(AUTOEVENTO&lt;&gt;"manual",$M105&lt;&gt;1)),
IF(Import.TipoArredondamento&lt;&gt;"TransfereGOV",
ROUND(OFFSET($P105,0,AR$13),15-13*ORÇAMENTO!$AF$7)/$H105*OFFSET(ORÇAMENTO!$X$15,ROW(AR105)-ROW(AR$15),0),
ROUND(ROUND(OFFSET($P105,0,AR$13),15-13*ORÇAMENTO!$AF$7)*OFFSET(ORÇAMENTO!$W$15,ROW(AR105)-ROW(AR$15),0),15-13*ORÇAMENTO!$AF$11)),0)</f>
        <v>0</v>
      </c>
      <c r="AS105" s="546">
        <f ca="1">IF(AND($D105="Serviço",AS$12&lt;&gt;0,$H105&gt;0,OR(AUTOEVENTO&lt;&gt;"manual",$M105&lt;&gt;1)),
IF(Import.TipoArredondamento&lt;&gt;"TransfereGOV",
ROUND(OFFSET($P105,0,AS$13),15-13*ORÇAMENTO!$AF$7)/$H105*OFFSET(ORÇAMENTO!$X$15,ROW(AS105)-ROW(AS$15),0),
ROUND(ROUND(OFFSET($P105,0,AS$13),15-13*ORÇAMENTO!$AF$7)*OFFSET(ORÇAMENTO!$W$15,ROW(AS105)-ROW(AS$15),0),15-13*ORÇAMENTO!$AF$11)),0)</f>
        <v>0</v>
      </c>
      <c r="AT105" s="545">
        <f ca="1">IF(AND($D105="Serviço",AT$12&lt;&gt;0,$H105&gt;0,OR(AUTOEVENTO&lt;&gt;"manual",$M105&lt;&gt;1)),
IF(Import.TipoArredondamento&lt;&gt;"TransfereGOV",
ROUND(OFFSET($P105,0,AT$13),15-13*ORÇAMENTO!$AF$7)/$H105*OFFSET(ORÇAMENTO!$X$15,ROW(AT105)-ROW(AT$15),0),
ROUND(ROUND(OFFSET($P105,0,AT$13),15-13*ORÇAMENTO!$AF$7)*OFFSET(ORÇAMENTO!$W$15,ROW(AT105)-ROW(AT$15),0),15-13*ORÇAMENTO!$AF$11)),0)</f>
        <v>0</v>
      </c>
      <c r="AU105" s="545">
        <f ca="1">IF(AND($D105="Serviço",AU$12&lt;&gt;0,$H105&gt;0,OR(AUTOEVENTO&lt;&gt;"manual",$M105&lt;&gt;1)),
IF(Import.TipoArredondamento&lt;&gt;"TransfereGOV",
ROUND(OFFSET($P105,0,AU$13),15-13*ORÇAMENTO!$AF$7)/$H105*OFFSET(ORÇAMENTO!$X$15,ROW(AU105)-ROW(AU$15),0),
ROUND(ROUND(OFFSET($P105,0,AU$13),15-13*ORÇAMENTO!$AF$7)*OFFSET(ORÇAMENTO!$W$15,ROW(AU105)-ROW(AU$15),0),15-13*ORÇAMENTO!$AF$11)),0)</f>
        <v>0</v>
      </c>
      <c r="AV105" s="545">
        <f ca="1">IF(AND($D105="Serviço",AV$12&lt;&gt;0,$H105&gt;0,OR(AUTOEVENTO&lt;&gt;"manual",$M105&lt;&gt;1)),
IF(Import.TipoArredondamento&lt;&gt;"TransfereGOV",
ROUND(OFFSET($P105,0,AV$13),15-13*ORÇAMENTO!$AF$7)/$H105*OFFSET(ORÇAMENTO!$X$15,ROW(AV105)-ROW(AV$15),0),
ROUND(ROUND(OFFSET($P105,0,AV$13),15-13*ORÇAMENTO!$AF$7)*OFFSET(ORÇAMENTO!$W$15,ROW(AV105)-ROW(AV$15),0),15-13*ORÇAMENTO!$AF$11)),0)</f>
        <v>0</v>
      </c>
      <c r="AW105" s="545">
        <f ca="1">IF(AND($D105="Serviço",AW$12&lt;&gt;0,$H105&gt;0,OR(AUTOEVENTO&lt;&gt;"manual",$M105&lt;&gt;1)),
IF(Import.TipoArredondamento&lt;&gt;"TransfereGOV",
ROUND(OFFSET($P105,0,AW$13),15-13*ORÇAMENTO!$AF$7)/$H105*OFFSET(ORÇAMENTO!$X$15,ROW(AW105)-ROW(AW$15),0),
ROUND(ROUND(OFFSET($P105,0,AW$13),15-13*ORÇAMENTO!$AF$7)*OFFSET(ORÇAMENTO!$W$15,ROW(AW105)-ROW(AW$15),0),15-13*ORÇAMENTO!$AF$11)),0)</f>
        <v>0</v>
      </c>
      <c r="AX105" s="545">
        <f ca="1">IF(AND($D105="Serviço",AX$12&lt;&gt;0,$H105&gt;0,OR(AUTOEVENTO&lt;&gt;"manual",$M105&lt;&gt;1)),
IF(Import.TipoArredondamento&lt;&gt;"TransfereGOV",
ROUND(OFFSET($P105,0,AX$13),15-13*ORÇAMENTO!$AF$7)/$H105*OFFSET(ORÇAMENTO!$X$15,ROW(AX105)-ROW(AX$15),0),
ROUND(ROUND(OFFSET($P105,0,AX$13),15-13*ORÇAMENTO!$AF$7)*OFFSET(ORÇAMENTO!$W$15,ROW(AX105)-ROW(AX$15),0),15-13*ORÇAMENTO!$AF$11)),0)</f>
        <v>0</v>
      </c>
      <c r="AY105" s="545">
        <f ca="1">IF(AND($D105="Serviço",AY$12&lt;&gt;0,$H105&gt;0,OR(AUTOEVENTO&lt;&gt;"manual",$M105&lt;&gt;1)),
IF(Import.TipoArredondamento&lt;&gt;"TransfereGOV",
ROUND(OFFSET($P105,0,AY$13),15-13*ORÇAMENTO!$AF$7)/$H105*OFFSET(ORÇAMENTO!$X$15,ROW(AY105)-ROW(AY$15),0),
ROUND(ROUND(OFFSET($P105,0,AY$13),15-13*ORÇAMENTO!$AF$7)*OFFSET(ORÇAMENTO!$W$15,ROW(AY105)-ROW(AY$15),0),15-13*ORÇAMENTO!$AF$11)),0)</f>
        <v>0</v>
      </c>
      <c r="AZ105" s="545">
        <f ca="1">IF(AND($D105="Serviço",AZ$12&lt;&gt;0,$H105&gt;0,OR(AUTOEVENTO&lt;&gt;"manual",$M105&lt;&gt;1)),
IF(Import.TipoArredondamento&lt;&gt;"TransfereGOV",
ROUND(OFFSET($P105,0,AZ$13),15-13*ORÇAMENTO!$AF$7)/$H105*OFFSET(ORÇAMENTO!$X$15,ROW(AZ105)-ROW(AZ$15),0),
ROUND(ROUND(OFFSET($P105,0,AZ$13),15-13*ORÇAMENTO!$AF$7)*OFFSET(ORÇAMENTO!$W$15,ROW(AZ105)-ROW(AZ$15),0),15-13*ORÇAMENTO!$AF$11)),0)</f>
        <v>0</v>
      </c>
      <c r="BA105" s="546">
        <f ca="1">IF(AND($D105="Serviço",BA$12&lt;&gt;0,$H105&gt;0,OR(AUTOEVENTO&lt;&gt;"manual",$M105&lt;&gt;1)),
IF(Import.TipoArredondamento&lt;&gt;"TransfereGOV",
ROUND(OFFSET($P105,0,BA$13),15-13*ORÇAMENTO!$AF$7)/$H105*OFFSET(ORÇAMENTO!$X$15,ROW(BA105)-ROW(BA$15),0),
ROUND(ROUND(OFFSET($P105,0,BA$13),15-13*ORÇAMENTO!$AF$7)*OFFSET(ORÇAMENTO!$W$15,ROW(BA105)-ROW(BA$15),0),15-13*ORÇAMENTO!$AF$11)),0)</f>
        <v>0</v>
      </c>
      <c r="BC105" s="181">
        <f ca="1">IF($D105&lt;&gt;"Serviço",0,IF(AND(AUTOEVENTO="Manual",$M105=1),0,IF(OFFSET(CRONOPLE!$F$14,$M105,BC$13)="",10^12,OFFSET(CRONOPLE!$F$14,$M105,BC$13))))</f>
        <v>4</v>
      </c>
      <c r="BD105" s="181">
        <f ca="1">IF($D105&lt;&gt;"Serviço",0,IF(AND(AUTOEVENTO="Manual",$M105=1),0,IF(OFFSET(CRONOPLE!$F$14,$M105,BD$13)="",10^12,OFFSET(CRONOPLE!$F$14,$M105,BD$13))))</f>
        <v>1000000000000</v>
      </c>
      <c r="BE105" s="181">
        <f ca="1">IF($D105&lt;&gt;"Serviço",0,IF(AND(AUTOEVENTO="Manual",$M105=1),0,IF(OFFSET(CRONOPLE!$F$14,$M105,BE$13)="",10^12,OFFSET(CRONOPLE!$F$14,$M105,BE$13))))</f>
        <v>1000000000000</v>
      </c>
      <c r="BF105" s="181">
        <f ca="1">IF($D105&lt;&gt;"Serviço",0,IF(AND(AUTOEVENTO="Manual",$M105=1),0,IF(OFFSET(CRONOPLE!$F$14,$M105,BF$13)="",10^12,OFFSET(CRONOPLE!$F$14,$M105,BF$13))))</f>
        <v>1000000000000</v>
      </c>
      <c r="BG105" s="181">
        <f ca="1">IF($D105&lt;&gt;"Serviço",0,IF(AND(AUTOEVENTO="Manual",$M105=1),0,IF(OFFSET(CRONOPLE!$F$14,$M105,BG$13)="",10^12,OFFSET(CRONOPLE!$F$14,$M105,BG$13))))</f>
        <v>1000000000000</v>
      </c>
      <c r="BH105" s="181">
        <f ca="1">IF($D105&lt;&gt;"Serviço",0,IF(AND(AUTOEVENTO="Manual",$M105=1),0,IF(OFFSET(CRONOPLE!$F$14,$M105,BH$13)="",10^12,OFFSET(CRONOPLE!$F$14,$M105,BH$13))))</f>
        <v>1000000000000</v>
      </c>
      <c r="BI105" s="181">
        <f ca="1">IF($D105&lt;&gt;"Serviço",0,IF(AND(AUTOEVENTO="Manual",$M105=1),0,IF(OFFSET(CRONOPLE!$F$14,$M105,BI$13)="",10^12,OFFSET(CRONOPLE!$F$14,$M105,BI$13))))</f>
        <v>1000000000000</v>
      </c>
      <c r="BJ105" s="181">
        <f ca="1">IF($D105&lt;&gt;"Serviço",0,IF(AND(AUTOEVENTO="Manual",$M105=1),0,IF(OFFSET(CRONOPLE!$F$14,$M105,BJ$13)="",10^12,OFFSET(CRONOPLE!$F$14,$M105,BJ$13))))</f>
        <v>1000000000000</v>
      </c>
      <c r="BK105" s="181">
        <f ca="1">IF($D105&lt;&gt;"Serviço",0,IF(AND(AUTOEVENTO="Manual",$M105=1),0,IF(OFFSET(CRONOPLE!$F$14,$M105,BK$13)="",10^12,OFFSET(CRONOPLE!$F$14,$M105,BK$13))))</f>
        <v>1000000000000</v>
      </c>
      <c r="BL105" s="181">
        <f ca="1">IF($D105&lt;&gt;"Serviço",0,IF(AND(AUTOEVENTO="Manual",$M105=1),0,IF(OFFSET(CRONOPLE!$F$14,$M105,BL$13)="",10^12,OFFSET(CRONOPLE!$F$14,$M105,BL$13))))</f>
        <v>1000000000000</v>
      </c>
      <c r="BM105" s="181">
        <f ca="1">IF($D105&lt;&gt;"Serviço",0,IF(AND(AUTOEVENTO="Manual",$M105=1),0,IF(OFFSET(CRONOPLE!$F$14,$M105,BM$13)="",10^12,OFFSET(CRONOPLE!$F$14,$M105,BM$13))))</f>
        <v>1000000000000</v>
      </c>
      <c r="BN105" s="181">
        <f ca="1">IF($D105&lt;&gt;"Serviço",0,IF(AND(AUTOEVENTO="Manual",$M105=1),0,IF(OFFSET(CRONOPLE!$F$14,$M105,BN$13)="",10^12,OFFSET(CRONOPLE!$F$14,$M105,BN$13))))</f>
        <v>1000000000000</v>
      </c>
      <c r="BO105" s="181">
        <f ca="1">IF($D105&lt;&gt;"Serviço",0,IF(AND(AUTOEVENTO="Manual",$M105=1),0,IF(OFFSET(CRONOPLE!$F$14,$M105,BO$13)="",10^12,OFFSET(CRONOPLE!$F$14,$M105,BO$13))))</f>
        <v>1000000000000</v>
      </c>
      <c r="BP105" s="181">
        <f ca="1">IF($D105&lt;&gt;"Serviço",0,IF(AND(AUTOEVENTO="Manual",$M105=1),0,IF(OFFSET(CRONOPLE!$F$14,$M105,BP$13)="",10^12,OFFSET(CRONOPLE!$F$14,$M105,BP$13))))</f>
        <v>1000000000000</v>
      </c>
      <c r="BQ105" s="181">
        <f ca="1">IF($D105&lt;&gt;"Serviço",0,IF(AND(AUTOEVENTO="Manual",$M105=1),0,IF(OFFSET(CRONOPLE!$F$14,$M105,BQ$13)="",10^12,OFFSET(CRONOPLE!$F$14,$M105,BQ$13))))</f>
        <v>1000000000000</v>
      </c>
      <c r="BR105" s="181">
        <f ca="1">IF($D105&lt;&gt;"Serviço",0,IF(AND(AUTOEVENTO="Manual",$M105=1),0,IF(OFFSET(CRONOPLE!$F$14,$M105,BR$13)="",10^12,OFFSET(CRONOPLE!$F$14,$M105,BR$13))))</f>
        <v>1000000000000</v>
      </c>
      <c r="BS105" s="181">
        <f ca="1">IF($D105&lt;&gt;"Serviço",0,IF(AND(AUTOEVENTO="Manual",$M105=1),0,IF(OFFSET(CRONOPLE!$F$14,$M105,BS$13)="",10^12,OFFSET(CRONOPLE!$F$14,$M105,BS$13))))</f>
        <v>1000000000000</v>
      </c>
      <c r="BT105" s="181">
        <f ca="1">IF($D105&lt;&gt;"Serviço",0,IF(AND(AUTOEVENTO="Manual",$M105=1),0,IF(OFFSET(CRONOPLE!$F$14,$M105,BT$13)="",10^12,OFFSET(CRONOPLE!$F$14,$M105,BT$13))))</f>
        <v>1000000000000</v>
      </c>
      <c r="BV105" s="182">
        <f ca="1">IF($D105&lt;&gt;"Serviço",0,IF(OR(AND(AUTOEVENTO="Manual",$M105=1),$M105&gt;(ROW(PLE.lastrow)-ROW(PLE.firstrow))),0,IF(OFFSET(PLE!$G$14,$M105,BV$13)="",10^12,OFFSET(PLE!$G$14,$M105,BV$13))))</f>
        <v>1000000000000</v>
      </c>
      <c r="BW105" s="182">
        <f ca="1">IF($D105&lt;&gt;"Serviço",0,IF(OR(AND(AUTOEVENTO="Manual",$M105=1),$M105&gt;(ROW(PLE.lastrow)-ROW(PLE.firstrow))),0,IF(OFFSET(PLE!$G$14,$M105,BW$13)="",10^12,OFFSET(PLE!$G$14,$M105,BW$13))))</f>
        <v>1000000000000</v>
      </c>
      <c r="BX105" s="182">
        <f ca="1">IF($D105&lt;&gt;"Serviço",0,IF(OR(AND(AUTOEVENTO="Manual",$M105=1),$M105&gt;(ROW(PLE.lastrow)-ROW(PLE.firstrow))),0,IF(OFFSET(PLE!$G$14,$M105,BX$13)="",10^12,OFFSET(PLE!$G$14,$M105,BX$13))))</f>
        <v>1000000000000</v>
      </c>
      <c r="BY105" s="182">
        <f ca="1">IF($D105&lt;&gt;"Serviço",0,IF(OR(AND(AUTOEVENTO="Manual",$M105=1),$M105&gt;(ROW(PLE.lastrow)-ROW(PLE.firstrow))),0,IF(OFFSET(PLE!$G$14,$M105,BY$13)="",10^12,OFFSET(PLE!$G$14,$M105,BY$13))))</f>
        <v>1000000000000</v>
      </c>
      <c r="BZ105" s="182">
        <f ca="1">IF($D105&lt;&gt;"Serviço",0,IF(OR(AND(AUTOEVENTO="Manual",$M105=1),$M105&gt;(ROW(PLE.lastrow)-ROW(PLE.firstrow))),0,IF(OFFSET(PLE!$G$14,$M105,BZ$13)="",10^12,OFFSET(PLE!$G$14,$M105,BZ$13))))</f>
        <v>1000000000000</v>
      </c>
      <c r="CA105" s="182">
        <f ca="1">IF($D105&lt;&gt;"Serviço",0,IF(OR(AND(AUTOEVENTO="Manual",$M105=1),$M105&gt;(ROW(PLE.lastrow)-ROW(PLE.firstrow))),0,IF(OFFSET(PLE!$G$14,$M105,CA$13)="",10^12,OFFSET(PLE!$G$14,$M105,CA$13))))</f>
        <v>1000000000000</v>
      </c>
      <c r="CB105" s="182">
        <f ca="1">IF($D105&lt;&gt;"Serviço",0,IF(OR(AND(AUTOEVENTO="Manual",$M105=1),$M105&gt;(ROW(PLE.lastrow)-ROW(PLE.firstrow))),0,IF(OFFSET(PLE!$G$14,$M105,CB$13)="",10^12,OFFSET(PLE!$G$14,$M105,CB$13))))</f>
        <v>1000000000000</v>
      </c>
      <c r="CC105" s="182">
        <f ca="1">IF($D105&lt;&gt;"Serviço",0,IF(OR(AND(AUTOEVENTO="Manual",$M105=1),$M105&gt;(ROW(PLE.lastrow)-ROW(PLE.firstrow))),0,IF(OFFSET(PLE!$G$14,$M105,CC$13)="",10^12,OFFSET(PLE!$G$14,$M105,CC$13))))</f>
        <v>1000000000000</v>
      </c>
      <c r="CD105" s="182">
        <f ca="1">IF($D105&lt;&gt;"Serviço",0,IF(OR(AND(AUTOEVENTO="Manual",$M105=1),$M105&gt;(ROW(PLE.lastrow)-ROW(PLE.firstrow))),0,IF(OFFSET(PLE!$G$14,$M105,CD$13)="",10^12,OFFSET(PLE!$G$14,$M105,CD$13))))</f>
        <v>1000000000000</v>
      </c>
      <c r="CE105" s="182">
        <f ca="1">IF($D105&lt;&gt;"Serviço",0,IF(OR(AND(AUTOEVENTO="Manual",$M105=1),$M105&gt;(ROW(PLE.lastrow)-ROW(PLE.firstrow))),0,IF(OFFSET(PLE!$G$14,$M105,CE$13)="",10^12,OFFSET(PLE!$G$14,$M105,CE$13))))</f>
        <v>1000000000000</v>
      </c>
      <c r="CF105" s="182">
        <f ca="1">IF($D105&lt;&gt;"Serviço",0,IF(OR(AND(AUTOEVENTO="Manual",$M105=1),$M105&gt;(ROW(PLE.lastrow)-ROW(PLE.firstrow))),0,IF(OFFSET(PLE!$G$14,$M105,CF$13)="",10^12,OFFSET(PLE!$G$14,$M105,CF$13))))</f>
        <v>1000000000000</v>
      </c>
      <c r="CG105" s="182">
        <f ca="1">IF($D105&lt;&gt;"Serviço",0,IF(OR(AND(AUTOEVENTO="Manual",$M105=1),$M105&gt;(ROW(PLE.lastrow)-ROW(PLE.firstrow))),0,IF(OFFSET(PLE!$G$14,$M105,CG$13)="",10^12,OFFSET(PLE!$G$14,$M105,CG$13))))</f>
        <v>1000000000000</v>
      </c>
      <c r="CH105" s="182">
        <f ca="1">IF($D105&lt;&gt;"Serviço",0,IF(OR(AND(AUTOEVENTO="Manual",$M105=1),$M105&gt;(ROW(PLE.lastrow)-ROW(PLE.firstrow))),0,IF(OFFSET(PLE!$G$14,$M105,CH$13)="",10^12,OFFSET(PLE!$G$14,$M105,CH$13))))</f>
        <v>1000000000000</v>
      </c>
      <c r="CI105" s="182">
        <f ca="1">IF($D105&lt;&gt;"Serviço",0,IF(OR(AND(AUTOEVENTO="Manual",$M105=1),$M105&gt;(ROW(PLE.lastrow)-ROW(PLE.firstrow))),0,IF(OFFSET(PLE!$G$14,$M105,CI$13)="",10^12,OFFSET(PLE!$G$14,$M105,CI$13))))</f>
        <v>1000000000000</v>
      </c>
      <c r="CJ105" s="182">
        <f ca="1">IF($D105&lt;&gt;"Serviço",0,IF(OR(AND(AUTOEVENTO="Manual",$M105=1),$M105&gt;(ROW(PLE.lastrow)-ROW(PLE.firstrow))),0,IF(OFFSET(PLE!$G$14,$M105,CJ$13)="",10^12,OFFSET(PLE!$G$14,$M105,CJ$13))))</f>
        <v>1000000000000</v>
      </c>
      <c r="CK105" s="182">
        <f ca="1">IF($D105&lt;&gt;"Serviço",0,IF(OR(AND(AUTOEVENTO="Manual",$M105=1),$M105&gt;(ROW(PLE.lastrow)-ROW(PLE.firstrow))),0,IF(OFFSET(PLE!$G$14,$M105,CK$13)="",10^12,OFFSET(PLE!$G$14,$M105,CK$13))))</f>
        <v>1000000000000</v>
      </c>
      <c r="CL105" s="182">
        <f ca="1">IF($D105&lt;&gt;"Serviço",0,IF(OR(AND(AUTOEVENTO="Manual",$M105=1),$M105&gt;(ROW(PLE.lastrow)-ROW(PLE.firstrow))),0,IF(OFFSET(PLE!$G$14,$M105,CL$13)="",10^12,OFFSET(PLE!$G$14,$M105,CL$13))))</f>
        <v>1000000000000</v>
      </c>
      <c r="CM105" s="182">
        <f ca="1">IF($D105&lt;&gt;"Serviço",0,IF(OR(AND(AUTOEVENTO="Manual",$M105=1),$M105&gt;(ROW(PLE.lastrow)-ROW(PLE.firstrow))),0,IF(OFFSET(PLE!$G$14,$M105,CM$13)="",10^12,OFFSET(PLE!$G$14,$M105,CM$13))))</f>
        <v>1000000000000</v>
      </c>
    </row>
    <row r="106" spans="1:91" ht="38.25" x14ac:dyDescent="0.2">
      <c r="A106" s="7" t="str">
        <f t="shared" ca="1" si="10"/>
        <v>88</v>
      </c>
      <c r="B106" s="7" t="str">
        <f ca="1">OFFSET(ORÇAMENTO!C$15,ROW(B106)-ROW(B$15),0)</f>
        <v>S</v>
      </c>
      <c r="C106" s="7" t="str">
        <f ca="1">OFFSET(ORÇAMENTO!L$15,ROW(C106)-ROW(C$15),0)</f>
        <v/>
      </c>
      <c r="D106" s="118" t="str">
        <f ca="1">OFFSET(ORÇAMENTO!N$15,ROW(D106)-ROW(D$15),0)</f>
        <v>Serviço</v>
      </c>
      <c r="E106" s="119" t="str">
        <f ca="1">OFFSET(ORÇAMENTO!O$15,ROW(E106)-ROW(E$15),0)</f>
        <v>-</v>
      </c>
      <c r="F106" s="172" t="str">
        <f ca="1">OFFSET(ORÇAMENTO!R$15,ROW(F106)-ROW(F$15),0)</f>
        <v>(abra o arquivo 'Referência 06-2024.xlsm)</v>
      </c>
      <c r="G106" s="173" t="str">
        <f ca="1">IF($D106&lt;&gt;"Serviço","",OFFSET(ORÇAMENTO!S$15,ROW(G106)-ROW(G$15),0))</f>
        <v>-</v>
      </c>
      <c r="H106" s="124">
        <f ca="1">IF($D106&lt;&gt;"Serviço",0,IF(ACOMPANHAMENTO="BM",ROUND(OFFSET(ORÇAMENTO!AJ$15,ROW(H106)-ROW(H$15),0),15-13*ORÇAMENTO!$AF$7),SUMPRODUCT(($Q$12:$AI$12&lt;&gt;"")*ROUND($Q106:$AI106,15-13*ORÇAMENTO!$AF$7))))</f>
        <v>17.16</v>
      </c>
      <c r="I106" s="561" t="s">
        <v>1107</v>
      </c>
      <c r="K106" s="174"/>
      <c r="L106" s="175" t="s">
        <v>255</v>
      </c>
      <c r="M106" s="176">
        <f ca="1">IF($D106&lt;&gt;"Serviço","",IF(AUTOEVENTO="manual",$A106,IF(ISERROR(MATCH($A106,$A$15:OFFSET($A106,-1,0),0)),MAX($M$15:OFFSET(M106,-1,0))+1,INDEX($M$15:OFFSET(M106,-1,0),MATCH($A106,$A$15:OFFSET($A106,-1,0),0)))))</f>
        <v>17</v>
      </c>
      <c r="N106" s="177" t="str">
        <f ca="1">IF($D106&lt;&gt;"Serviço","",IF(AUTOEVENTO="Manual",IF($A106=0,"&lt;-- defina o número do agrupador",OFFSET(EVENTOS!$D$14,$A106,0)),OFFSET($F$15,$A106,0)))</f>
        <v>SISTEMA DE VEDAÇÃO VERTICAL - ALVENARIA DE VEDAÇÃO</v>
      </c>
      <c r="O106" s="178"/>
      <c r="Q106" s="178">
        <v>17.16</v>
      </c>
      <c r="R106" s="179"/>
      <c r="S106" s="179"/>
      <c r="T106" s="179"/>
      <c r="U106" s="179"/>
      <c r="V106" s="179"/>
      <c r="W106" s="179"/>
      <c r="X106" s="179"/>
      <c r="Y106" s="179"/>
      <c r="Z106" s="180"/>
      <c r="AA106" s="179"/>
      <c r="AB106" s="179"/>
      <c r="AC106" s="179"/>
      <c r="AD106" s="179"/>
      <c r="AE106" s="179"/>
      <c r="AF106" s="179"/>
      <c r="AG106" s="179"/>
      <c r="AH106" s="180"/>
      <c r="AJ106" s="544">
        <f ca="1">IF(AND($D106="Serviço",AJ$12&lt;&gt;0,$H106&gt;0,OR(AUTOEVENTO&lt;&gt;"manual",$M106&lt;&gt;1)),
IF(Import.TipoArredondamento&lt;&gt;"TransfereGOV",
ROUND(OFFSET($P106,0,AJ$13),15-13*ORÇAMENTO!$AF$7)/$H106*OFFSET(ORÇAMENTO!$X$15,ROW(AJ106)-ROW(AJ$15),0),
ROUND(ROUND(OFFSET($P106,0,AJ$13),15-13*ORÇAMENTO!$AF$7)*OFFSET(ORÇAMENTO!$W$15,ROW(AJ106)-ROW(AJ$15),0),15-13*ORÇAMENTO!$AF$11)),0)</f>
        <v>0</v>
      </c>
      <c r="AK106" s="545">
        <f ca="1">IF(AND($D106="Serviço",AK$12&lt;&gt;0,$H106&gt;0,OR(AUTOEVENTO&lt;&gt;"manual",$M106&lt;&gt;1)),
IF(Import.TipoArredondamento&lt;&gt;"TransfereGOV",
ROUND(OFFSET($P106,0,AK$13),15-13*ORÇAMENTO!$AF$7)/$H106*OFFSET(ORÇAMENTO!$X$15,ROW(AK106)-ROW(AK$15),0),
ROUND(ROUND(OFFSET($P106,0,AK$13),15-13*ORÇAMENTO!$AF$7)*OFFSET(ORÇAMENTO!$W$15,ROW(AK106)-ROW(AK$15),0),15-13*ORÇAMENTO!$AF$11)),0)</f>
        <v>0</v>
      </c>
      <c r="AL106" s="545">
        <f ca="1">IF(AND($D106="Serviço",AL$12&lt;&gt;0,$H106&gt;0,OR(AUTOEVENTO&lt;&gt;"manual",$M106&lt;&gt;1)),
IF(Import.TipoArredondamento&lt;&gt;"TransfereGOV",
ROUND(OFFSET($P106,0,AL$13),15-13*ORÇAMENTO!$AF$7)/$H106*OFFSET(ORÇAMENTO!$X$15,ROW(AL106)-ROW(AL$15),0),
ROUND(ROUND(OFFSET($P106,0,AL$13),15-13*ORÇAMENTO!$AF$7)*OFFSET(ORÇAMENTO!$W$15,ROW(AL106)-ROW(AL$15),0),15-13*ORÇAMENTO!$AF$11)),0)</f>
        <v>0</v>
      </c>
      <c r="AM106" s="545">
        <f ca="1">IF(AND($D106="Serviço",AM$12&lt;&gt;0,$H106&gt;0,OR(AUTOEVENTO&lt;&gt;"manual",$M106&lt;&gt;1)),
IF(Import.TipoArredondamento&lt;&gt;"TransfereGOV",
ROUND(OFFSET($P106,0,AM$13),15-13*ORÇAMENTO!$AF$7)/$H106*OFFSET(ORÇAMENTO!$X$15,ROW(AM106)-ROW(AM$15),0),
ROUND(ROUND(OFFSET($P106,0,AM$13),15-13*ORÇAMENTO!$AF$7)*OFFSET(ORÇAMENTO!$W$15,ROW(AM106)-ROW(AM$15),0),15-13*ORÇAMENTO!$AF$11)),0)</f>
        <v>0</v>
      </c>
      <c r="AN106" s="545">
        <f ca="1">IF(AND($D106="Serviço",AN$12&lt;&gt;0,$H106&gt;0,OR(AUTOEVENTO&lt;&gt;"manual",$M106&lt;&gt;1)),
IF(Import.TipoArredondamento&lt;&gt;"TransfereGOV",
ROUND(OFFSET($P106,0,AN$13),15-13*ORÇAMENTO!$AF$7)/$H106*OFFSET(ORÇAMENTO!$X$15,ROW(AN106)-ROW(AN$15),0),
ROUND(ROUND(OFFSET($P106,0,AN$13),15-13*ORÇAMENTO!$AF$7)*OFFSET(ORÇAMENTO!$W$15,ROW(AN106)-ROW(AN$15),0),15-13*ORÇAMENTO!$AF$11)),0)</f>
        <v>0</v>
      </c>
      <c r="AO106" s="545">
        <f ca="1">IF(AND($D106="Serviço",AO$12&lt;&gt;0,$H106&gt;0,OR(AUTOEVENTO&lt;&gt;"manual",$M106&lt;&gt;1)),
IF(Import.TipoArredondamento&lt;&gt;"TransfereGOV",
ROUND(OFFSET($P106,0,AO$13),15-13*ORÇAMENTO!$AF$7)/$H106*OFFSET(ORÇAMENTO!$X$15,ROW(AO106)-ROW(AO$15),0),
ROUND(ROUND(OFFSET($P106,0,AO$13),15-13*ORÇAMENTO!$AF$7)*OFFSET(ORÇAMENTO!$W$15,ROW(AO106)-ROW(AO$15),0),15-13*ORÇAMENTO!$AF$11)),0)</f>
        <v>0</v>
      </c>
      <c r="AP106" s="545">
        <f ca="1">IF(AND($D106="Serviço",AP$12&lt;&gt;0,$H106&gt;0,OR(AUTOEVENTO&lt;&gt;"manual",$M106&lt;&gt;1)),
IF(Import.TipoArredondamento&lt;&gt;"TransfereGOV",
ROUND(OFFSET($P106,0,AP$13),15-13*ORÇAMENTO!$AF$7)/$H106*OFFSET(ORÇAMENTO!$X$15,ROW(AP106)-ROW(AP$15),0),
ROUND(ROUND(OFFSET($P106,0,AP$13),15-13*ORÇAMENTO!$AF$7)*OFFSET(ORÇAMENTO!$W$15,ROW(AP106)-ROW(AP$15),0),15-13*ORÇAMENTO!$AF$11)),0)</f>
        <v>0</v>
      </c>
      <c r="AQ106" s="545">
        <f ca="1">IF(AND($D106="Serviço",AQ$12&lt;&gt;0,$H106&gt;0,OR(AUTOEVENTO&lt;&gt;"manual",$M106&lt;&gt;1)),
IF(Import.TipoArredondamento&lt;&gt;"TransfereGOV",
ROUND(OFFSET($P106,0,AQ$13),15-13*ORÇAMENTO!$AF$7)/$H106*OFFSET(ORÇAMENTO!$X$15,ROW(AQ106)-ROW(AQ$15),0),
ROUND(ROUND(OFFSET($P106,0,AQ$13),15-13*ORÇAMENTO!$AF$7)*OFFSET(ORÇAMENTO!$W$15,ROW(AQ106)-ROW(AQ$15),0),15-13*ORÇAMENTO!$AF$11)),0)</f>
        <v>0</v>
      </c>
      <c r="AR106" s="545">
        <f ca="1">IF(AND($D106="Serviço",AR$12&lt;&gt;0,$H106&gt;0,OR(AUTOEVENTO&lt;&gt;"manual",$M106&lt;&gt;1)),
IF(Import.TipoArredondamento&lt;&gt;"TransfereGOV",
ROUND(OFFSET($P106,0,AR$13),15-13*ORÇAMENTO!$AF$7)/$H106*OFFSET(ORÇAMENTO!$X$15,ROW(AR106)-ROW(AR$15),0),
ROUND(ROUND(OFFSET($P106,0,AR$13),15-13*ORÇAMENTO!$AF$7)*OFFSET(ORÇAMENTO!$W$15,ROW(AR106)-ROW(AR$15),0),15-13*ORÇAMENTO!$AF$11)),0)</f>
        <v>0</v>
      </c>
      <c r="AS106" s="546">
        <f ca="1">IF(AND($D106="Serviço",AS$12&lt;&gt;0,$H106&gt;0,OR(AUTOEVENTO&lt;&gt;"manual",$M106&lt;&gt;1)),
IF(Import.TipoArredondamento&lt;&gt;"TransfereGOV",
ROUND(OFFSET($P106,0,AS$13),15-13*ORÇAMENTO!$AF$7)/$H106*OFFSET(ORÇAMENTO!$X$15,ROW(AS106)-ROW(AS$15),0),
ROUND(ROUND(OFFSET($P106,0,AS$13),15-13*ORÇAMENTO!$AF$7)*OFFSET(ORÇAMENTO!$W$15,ROW(AS106)-ROW(AS$15),0),15-13*ORÇAMENTO!$AF$11)),0)</f>
        <v>0</v>
      </c>
      <c r="AT106" s="545">
        <f ca="1">IF(AND($D106="Serviço",AT$12&lt;&gt;0,$H106&gt;0,OR(AUTOEVENTO&lt;&gt;"manual",$M106&lt;&gt;1)),
IF(Import.TipoArredondamento&lt;&gt;"TransfereGOV",
ROUND(OFFSET($P106,0,AT$13),15-13*ORÇAMENTO!$AF$7)/$H106*OFFSET(ORÇAMENTO!$X$15,ROW(AT106)-ROW(AT$15),0),
ROUND(ROUND(OFFSET($P106,0,AT$13),15-13*ORÇAMENTO!$AF$7)*OFFSET(ORÇAMENTO!$W$15,ROW(AT106)-ROW(AT$15),0),15-13*ORÇAMENTO!$AF$11)),0)</f>
        <v>0</v>
      </c>
      <c r="AU106" s="545">
        <f ca="1">IF(AND($D106="Serviço",AU$12&lt;&gt;0,$H106&gt;0,OR(AUTOEVENTO&lt;&gt;"manual",$M106&lt;&gt;1)),
IF(Import.TipoArredondamento&lt;&gt;"TransfereGOV",
ROUND(OFFSET($P106,0,AU$13),15-13*ORÇAMENTO!$AF$7)/$H106*OFFSET(ORÇAMENTO!$X$15,ROW(AU106)-ROW(AU$15),0),
ROUND(ROUND(OFFSET($P106,0,AU$13),15-13*ORÇAMENTO!$AF$7)*OFFSET(ORÇAMENTO!$W$15,ROW(AU106)-ROW(AU$15),0),15-13*ORÇAMENTO!$AF$11)),0)</f>
        <v>0</v>
      </c>
      <c r="AV106" s="545">
        <f ca="1">IF(AND($D106="Serviço",AV$12&lt;&gt;0,$H106&gt;0,OR(AUTOEVENTO&lt;&gt;"manual",$M106&lt;&gt;1)),
IF(Import.TipoArredondamento&lt;&gt;"TransfereGOV",
ROUND(OFFSET($P106,0,AV$13),15-13*ORÇAMENTO!$AF$7)/$H106*OFFSET(ORÇAMENTO!$X$15,ROW(AV106)-ROW(AV$15),0),
ROUND(ROUND(OFFSET($P106,0,AV$13),15-13*ORÇAMENTO!$AF$7)*OFFSET(ORÇAMENTO!$W$15,ROW(AV106)-ROW(AV$15),0),15-13*ORÇAMENTO!$AF$11)),0)</f>
        <v>0</v>
      </c>
      <c r="AW106" s="545">
        <f ca="1">IF(AND($D106="Serviço",AW$12&lt;&gt;0,$H106&gt;0,OR(AUTOEVENTO&lt;&gt;"manual",$M106&lt;&gt;1)),
IF(Import.TipoArredondamento&lt;&gt;"TransfereGOV",
ROUND(OFFSET($P106,0,AW$13),15-13*ORÇAMENTO!$AF$7)/$H106*OFFSET(ORÇAMENTO!$X$15,ROW(AW106)-ROW(AW$15),0),
ROUND(ROUND(OFFSET($P106,0,AW$13),15-13*ORÇAMENTO!$AF$7)*OFFSET(ORÇAMENTO!$W$15,ROW(AW106)-ROW(AW$15),0),15-13*ORÇAMENTO!$AF$11)),0)</f>
        <v>0</v>
      </c>
      <c r="AX106" s="545">
        <f ca="1">IF(AND($D106="Serviço",AX$12&lt;&gt;0,$H106&gt;0,OR(AUTOEVENTO&lt;&gt;"manual",$M106&lt;&gt;1)),
IF(Import.TipoArredondamento&lt;&gt;"TransfereGOV",
ROUND(OFFSET($P106,0,AX$13),15-13*ORÇAMENTO!$AF$7)/$H106*OFFSET(ORÇAMENTO!$X$15,ROW(AX106)-ROW(AX$15),0),
ROUND(ROUND(OFFSET($P106,0,AX$13),15-13*ORÇAMENTO!$AF$7)*OFFSET(ORÇAMENTO!$W$15,ROW(AX106)-ROW(AX$15),0),15-13*ORÇAMENTO!$AF$11)),0)</f>
        <v>0</v>
      </c>
      <c r="AY106" s="545">
        <f ca="1">IF(AND($D106="Serviço",AY$12&lt;&gt;0,$H106&gt;0,OR(AUTOEVENTO&lt;&gt;"manual",$M106&lt;&gt;1)),
IF(Import.TipoArredondamento&lt;&gt;"TransfereGOV",
ROUND(OFFSET($P106,0,AY$13),15-13*ORÇAMENTO!$AF$7)/$H106*OFFSET(ORÇAMENTO!$X$15,ROW(AY106)-ROW(AY$15),0),
ROUND(ROUND(OFFSET($P106,0,AY$13),15-13*ORÇAMENTO!$AF$7)*OFFSET(ORÇAMENTO!$W$15,ROW(AY106)-ROW(AY$15),0),15-13*ORÇAMENTO!$AF$11)),0)</f>
        <v>0</v>
      </c>
      <c r="AZ106" s="545">
        <f ca="1">IF(AND($D106="Serviço",AZ$12&lt;&gt;0,$H106&gt;0,OR(AUTOEVENTO&lt;&gt;"manual",$M106&lt;&gt;1)),
IF(Import.TipoArredondamento&lt;&gt;"TransfereGOV",
ROUND(OFFSET($P106,0,AZ$13),15-13*ORÇAMENTO!$AF$7)/$H106*OFFSET(ORÇAMENTO!$X$15,ROW(AZ106)-ROW(AZ$15),0),
ROUND(ROUND(OFFSET($P106,0,AZ$13),15-13*ORÇAMENTO!$AF$7)*OFFSET(ORÇAMENTO!$W$15,ROW(AZ106)-ROW(AZ$15),0),15-13*ORÇAMENTO!$AF$11)),0)</f>
        <v>0</v>
      </c>
      <c r="BA106" s="546">
        <f ca="1">IF(AND($D106="Serviço",BA$12&lt;&gt;0,$H106&gt;0,OR(AUTOEVENTO&lt;&gt;"manual",$M106&lt;&gt;1)),
IF(Import.TipoArredondamento&lt;&gt;"TransfereGOV",
ROUND(OFFSET($P106,0,BA$13),15-13*ORÇAMENTO!$AF$7)/$H106*OFFSET(ORÇAMENTO!$X$15,ROW(BA106)-ROW(BA$15),0),
ROUND(ROUND(OFFSET($P106,0,BA$13),15-13*ORÇAMENTO!$AF$7)*OFFSET(ORÇAMENTO!$W$15,ROW(BA106)-ROW(BA$15),0),15-13*ORÇAMENTO!$AF$11)),0)</f>
        <v>0</v>
      </c>
      <c r="BC106" s="181">
        <f ca="1">IF($D106&lt;&gt;"Serviço",0,IF(AND(AUTOEVENTO="Manual",$M106=1),0,IF(OFFSET(CRONOPLE!$F$14,$M106,BC$13)="",10^12,OFFSET(CRONOPLE!$F$14,$M106,BC$13))))</f>
        <v>4</v>
      </c>
      <c r="BD106" s="181">
        <f ca="1">IF($D106&lt;&gt;"Serviço",0,IF(AND(AUTOEVENTO="Manual",$M106=1),0,IF(OFFSET(CRONOPLE!$F$14,$M106,BD$13)="",10^12,OFFSET(CRONOPLE!$F$14,$M106,BD$13))))</f>
        <v>1000000000000</v>
      </c>
      <c r="BE106" s="181">
        <f ca="1">IF($D106&lt;&gt;"Serviço",0,IF(AND(AUTOEVENTO="Manual",$M106=1),0,IF(OFFSET(CRONOPLE!$F$14,$M106,BE$13)="",10^12,OFFSET(CRONOPLE!$F$14,$M106,BE$13))))</f>
        <v>1000000000000</v>
      </c>
      <c r="BF106" s="181">
        <f ca="1">IF($D106&lt;&gt;"Serviço",0,IF(AND(AUTOEVENTO="Manual",$M106=1),0,IF(OFFSET(CRONOPLE!$F$14,$M106,BF$13)="",10^12,OFFSET(CRONOPLE!$F$14,$M106,BF$13))))</f>
        <v>1000000000000</v>
      </c>
      <c r="BG106" s="181">
        <f ca="1">IF($D106&lt;&gt;"Serviço",0,IF(AND(AUTOEVENTO="Manual",$M106=1),0,IF(OFFSET(CRONOPLE!$F$14,$M106,BG$13)="",10^12,OFFSET(CRONOPLE!$F$14,$M106,BG$13))))</f>
        <v>1000000000000</v>
      </c>
      <c r="BH106" s="181">
        <f ca="1">IF($D106&lt;&gt;"Serviço",0,IF(AND(AUTOEVENTO="Manual",$M106=1),0,IF(OFFSET(CRONOPLE!$F$14,$M106,BH$13)="",10^12,OFFSET(CRONOPLE!$F$14,$M106,BH$13))))</f>
        <v>1000000000000</v>
      </c>
      <c r="BI106" s="181">
        <f ca="1">IF($D106&lt;&gt;"Serviço",0,IF(AND(AUTOEVENTO="Manual",$M106=1),0,IF(OFFSET(CRONOPLE!$F$14,$M106,BI$13)="",10^12,OFFSET(CRONOPLE!$F$14,$M106,BI$13))))</f>
        <v>1000000000000</v>
      </c>
      <c r="BJ106" s="181">
        <f ca="1">IF($D106&lt;&gt;"Serviço",0,IF(AND(AUTOEVENTO="Manual",$M106=1),0,IF(OFFSET(CRONOPLE!$F$14,$M106,BJ$13)="",10^12,OFFSET(CRONOPLE!$F$14,$M106,BJ$13))))</f>
        <v>1000000000000</v>
      </c>
      <c r="BK106" s="181">
        <f ca="1">IF($D106&lt;&gt;"Serviço",0,IF(AND(AUTOEVENTO="Manual",$M106=1),0,IF(OFFSET(CRONOPLE!$F$14,$M106,BK$13)="",10^12,OFFSET(CRONOPLE!$F$14,$M106,BK$13))))</f>
        <v>1000000000000</v>
      </c>
      <c r="BL106" s="181">
        <f ca="1">IF($D106&lt;&gt;"Serviço",0,IF(AND(AUTOEVENTO="Manual",$M106=1),0,IF(OFFSET(CRONOPLE!$F$14,$M106,BL$13)="",10^12,OFFSET(CRONOPLE!$F$14,$M106,BL$13))))</f>
        <v>1000000000000</v>
      </c>
      <c r="BM106" s="181">
        <f ca="1">IF($D106&lt;&gt;"Serviço",0,IF(AND(AUTOEVENTO="Manual",$M106=1),0,IF(OFFSET(CRONOPLE!$F$14,$M106,BM$13)="",10^12,OFFSET(CRONOPLE!$F$14,$M106,BM$13))))</f>
        <v>1000000000000</v>
      </c>
      <c r="BN106" s="181">
        <f ca="1">IF($D106&lt;&gt;"Serviço",0,IF(AND(AUTOEVENTO="Manual",$M106=1),0,IF(OFFSET(CRONOPLE!$F$14,$M106,BN$13)="",10^12,OFFSET(CRONOPLE!$F$14,$M106,BN$13))))</f>
        <v>1000000000000</v>
      </c>
      <c r="BO106" s="181">
        <f ca="1">IF($D106&lt;&gt;"Serviço",0,IF(AND(AUTOEVENTO="Manual",$M106=1),0,IF(OFFSET(CRONOPLE!$F$14,$M106,BO$13)="",10^12,OFFSET(CRONOPLE!$F$14,$M106,BO$13))))</f>
        <v>1000000000000</v>
      </c>
      <c r="BP106" s="181">
        <f ca="1">IF($D106&lt;&gt;"Serviço",0,IF(AND(AUTOEVENTO="Manual",$M106=1),0,IF(OFFSET(CRONOPLE!$F$14,$M106,BP$13)="",10^12,OFFSET(CRONOPLE!$F$14,$M106,BP$13))))</f>
        <v>1000000000000</v>
      </c>
      <c r="BQ106" s="181">
        <f ca="1">IF($D106&lt;&gt;"Serviço",0,IF(AND(AUTOEVENTO="Manual",$M106=1),0,IF(OFFSET(CRONOPLE!$F$14,$M106,BQ$13)="",10^12,OFFSET(CRONOPLE!$F$14,$M106,BQ$13))))</f>
        <v>1000000000000</v>
      </c>
      <c r="BR106" s="181">
        <f ca="1">IF($D106&lt;&gt;"Serviço",0,IF(AND(AUTOEVENTO="Manual",$M106=1),0,IF(OFFSET(CRONOPLE!$F$14,$M106,BR$13)="",10^12,OFFSET(CRONOPLE!$F$14,$M106,BR$13))))</f>
        <v>1000000000000</v>
      </c>
      <c r="BS106" s="181">
        <f ca="1">IF($D106&lt;&gt;"Serviço",0,IF(AND(AUTOEVENTO="Manual",$M106=1),0,IF(OFFSET(CRONOPLE!$F$14,$M106,BS$13)="",10^12,OFFSET(CRONOPLE!$F$14,$M106,BS$13))))</f>
        <v>1000000000000</v>
      </c>
      <c r="BT106" s="181">
        <f ca="1">IF($D106&lt;&gt;"Serviço",0,IF(AND(AUTOEVENTO="Manual",$M106=1),0,IF(OFFSET(CRONOPLE!$F$14,$M106,BT$13)="",10^12,OFFSET(CRONOPLE!$F$14,$M106,BT$13))))</f>
        <v>1000000000000</v>
      </c>
      <c r="BV106" s="182">
        <f ca="1">IF($D106&lt;&gt;"Serviço",0,IF(OR(AND(AUTOEVENTO="Manual",$M106=1),$M106&gt;(ROW(PLE.lastrow)-ROW(PLE.firstrow))),0,IF(OFFSET(PLE!$G$14,$M106,BV$13)="",10^12,OFFSET(PLE!$G$14,$M106,BV$13))))</f>
        <v>1000000000000</v>
      </c>
      <c r="BW106" s="182">
        <f ca="1">IF($D106&lt;&gt;"Serviço",0,IF(OR(AND(AUTOEVENTO="Manual",$M106=1),$M106&gt;(ROW(PLE.lastrow)-ROW(PLE.firstrow))),0,IF(OFFSET(PLE!$G$14,$M106,BW$13)="",10^12,OFFSET(PLE!$G$14,$M106,BW$13))))</f>
        <v>1000000000000</v>
      </c>
      <c r="BX106" s="182">
        <f ca="1">IF($D106&lt;&gt;"Serviço",0,IF(OR(AND(AUTOEVENTO="Manual",$M106=1),$M106&gt;(ROW(PLE.lastrow)-ROW(PLE.firstrow))),0,IF(OFFSET(PLE!$G$14,$M106,BX$13)="",10^12,OFFSET(PLE!$G$14,$M106,BX$13))))</f>
        <v>1000000000000</v>
      </c>
      <c r="BY106" s="182">
        <f ca="1">IF($D106&lt;&gt;"Serviço",0,IF(OR(AND(AUTOEVENTO="Manual",$M106=1),$M106&gt;(ROW(PLE.lastrow)-ROW(PLE.firstrow))),0,IF(OFFSET(PLE!$G$14,$M106,BY$13)="",10^12,OFFSET(PLE!$G$14,$M106,BY$13))))</f>
        <v>1000000000000</v>
      </c>
      <c r="BZ106" s="182">
        <f ca="1">IF($D106&lt;&gt;"Serviço",0,IF(OR(AND(AUTOEVENTO="Manual",$M106=1),$M106&gt;(ROW(PLE.lastrow)-ROW(PLE.firstrow))),0,IF(OFFSET(PLE!$G$14,$M106,BZ$13)="",10^12,OFFSET(PLE!$G$14,$M106,BZ$13))))</f>
        <v>1000000000000</v>
      </c>
      <c r="CA106" s="182">
        <f ca="1">IF($D106&lt;&gt;"Serviço",0,IF(OR(AND(AUTOEVENTO="Manual",$M106=1),$M106&gt;(ROW(PLE.lastrow)-ROW(PLE.firstrow))),0,IF(OFFSET(PLE!$G$14,$M106,CA$13)="",10^12,OFFSET(PLE!$G$14,$M106,CA$13))))</f>
        <v>1000000000000</v>
      </c>
      <c r="CB106" s="182">
        <f ca="1">IF($D106&lt;&gt;"Serviço",0,IF(OR(AND(AUTOEVENTO="Manual",$M106=1),$M106&gt;(ROW(PLE.lastrow)-ROW(PLE.firstrow))),0,IF(OFFSET(PLE!$G$14,$M106,CB$13)="",10^12,OFFSET(PLE!$G$14,$M106,CB$13))))</f>
        <v>1000000000000</v>
      </c>
      <c r="CC106" s="182">
        <f ca="1">IF($D106&lt;&gt;"Serviço",0,IF(OR(AND(AUTOEVENTO="Manual",$M106=1),$M106&gt;(ROW(PLE.lastrow)-ROW(PLE.firstrow))),0,IF(OFFSET(PLE!$G$14,$M106,CC$13)="",10^12,OFFSET(PLE!$G$14,$M106,CC$13))))</f>
        <v>1000000000000</v>
      </c>
      <c r="CD106" s="182">
        <f ca="1">IF($D106&lt;&gt;"Serviço",0,IF(OR(AND(AUTOEVENTO="Manual",$M106=1),$M106&gt;(ROW(PLE.lastrow)-ROW(PLE.firstrow))),0,IF(OFFSET(PLE!$G$14,$M106,CD$13)="",10^12,OFFSET(PLE!$G$14,$M106,CD$13))))</f>
        <v>1000000000000</v>
      </c>
      <c r="CE106" s="182">
        <f ca="1">IF($D106&lt;&gt;"Serviço",0,IF(OR(AND(AUTOEVENTO="Manual",$M106=1),$M106&gt;(ROW(PLE.lastrow)-ROW(PLE.firstrow))),0,IF(OFFSET(PLE!$G$14,$M106,CE$13)="",10^12,OFFSET(PLE!$G$14,$M106,CE$13))))</f>
        <v>1000000000000</v>
      </c>
      <c r="CF106" s="182">
        <f ca="1">IF($D106&lt;&gt;"Serviço",0,IF(OR(AND(AUTOEVENTO="Manual",$M106=1),$M106&gt;(ROW(PLE.lastrow)-ROW(PLE.firstrow))),0,IF(OFFSET(PLE!$G$14,$M106,CF$13)="",10^12,OFFSET(PLE!$G$14,$M106,CF$13))))</f>
        <v>1000000000000</v>
      </c>
      <c r="CG106" s="182">
        <f ca="1">IF($D106&lt;&gt;"Serviço",0,IF(OR(AND(AUTOEVENTO="Manual",$M106=1),$M106&gt;(ROW(PLE.lastrow)-ROW(PLE.firstrow))),0,IF(OFFSET(PLE!$G$14,$M106,CG$13)="",10^12,OFFSET(PLE!$G$14,$M106,CG$13))))</f>
        <v>1000000000000</v>
      </c>
      <c r="CH106" s="182">
        <f ca="1">IF($D106&lt;&gt;"Serviço",0,IF(OR(AND(AUTOEVENTO="Manual",$M106=1),$M106&gt;(ROW(PLE.lastrow)-ROW(PLE.firstrow))),0,IF(OFFSET(PLE!$G$14,$M106,CH$13)="",10^12,OFFSET(PLE!$G$14,$M106,CH$13))))</f>
        <v>1000000000000</v>
      </c>
      <c r="CI106" s="182">
        <f ca="1">IF($D106&lt;&gt;"Serviço",0,IF(OR(AND(AUTOEVENTO="Manual",$M106=1),$M106&gt;(ROW(PLE.lastrow)-ROW(PLE.firstrow))),0,IF(OFFSET(PLE!$G$14,$M106,CI$13)="",10^12,OFFSET(PLE!$G$14,$M106,CI$13))))</f>
        <v>1000000000000</v>
      </c>
      <c r="CJ106" s="182">
        <f ca="1">IF($D106&lt;&gt;"Serviço",0,IF(OR(AND(AUTOEVENTO="Manual",$M106=1),$M106&gt;(ROW(PLE.lastrow)-ROW(PLE.firstrow))),0,IF(OFFSET(PLE!$G$14,$M106,CJ$13)="",10^12,OFFSET(PLE!$G$14,$M106,CJ$13))))</f>
        <v>1000000000000</v>
      </c>
      <c r="CK106" s="182">
        <f ca="1">IF($D106&lt;&gt;"Serviço",0,IF(OR(AND(AUTOEVENTO="Manual",$M106=1),$M106&gt;(ROW(PLE.lastrow)-ROW(PLE.firstrow))),0,IF(OFFSET(PLE!$G$14,$M106,CK$13)="",10^12,OFFSET(PLE!$G$14,$M106,CK$13))))</f>
        <v>1000000000000</v>
      </c>
      <c r="CL106" s="182">
        <f ca="1">IF($D106&lt;&gt;"Serviço",0,IF(OR(AND(AUTOEVENTO="Manual",$M106=1),$M106&gt;(ROW(PLE.lastrow)-ROW(PLE.firstrow))),0,IF(OFFSET(PLE!$G$14,$M106,CL$13)="",10^12,OFFSET(PLE!$G$14,$M106,CL$13))))</f>
        <v>1000000000000</v>
      </c>
      <c r="CM106" s="182">
        <f ca="1">IF($D106&lt;&gt;"Serviço",0,IF(OR(AND(AUTOEVENTO="Manual",$M106=1),$M106&gt;(ROW(PLE.lastrow)-ROW(PLE.firstrow))),0,IF(OFFSET(PLE!$G$14,$M106,CM$13)="",10^12,OFFSET(PLE!$G$14,$M106,CM$13))))</f>
        <v>1000000000000</v>
      </c>
    </row>
    <row r="107" spans="1:91" ht="38.25" x14ac:dyDescent="0.2">
      <c r="A107" s="7" t="str">
        <f t="shared" ca="1" si="10"/>
        <v>88</v>
      </c>
      <c r="B107" s="7" t="str">
        <f ca="1">OFFSET(ORÇAMENTO!C$15,ROW(B107)-ROW(B$15),0)</f>
        <v>S</v>
      </c>
      <c r="C107" s="7" t="str">
        <f ca="1">OFFSET(ORÇAMENTO!L$15,ROW(C107)-ROW(C$15),0)</f>
        <v/>
      </c>
      <c r="D107" s="118" t="str">
        <f ca="1">OFFSET(ORÇAMENTO!N$15,ROW(D107)-ROW(D$15),0)</f>
        <v>Serviço</v>
      </c>
      <c r="E107" s="119" t="str">
        <f ca="1">OFFSET(ORÇAMENTO!O$15,ROW(E107)-ROW(E$15),0)</f>
        <v>-</v>
      </c>
      <c r="F107" s="172" t="str">
        <f ca="1">OFFSET(ORÇAMENTO!R$15,ROW(F107)-ROW(F$15),0)</f>
        <v>(abra o arquivo 'Referência 06-2024.xlsm)</v>
      </c>
      <c r="G107" s="173" t="str">
        <f ca="1">IF($D107&lt;&gt;"Serviço","",OFFSET(ORÇAMENTO!S$15,ROW(G107)-ROW(G$15),0))</f>
        <v>-</v>
      </c>
      <c r="H107" s="124">
        <f ca="1">IF($D107&lt;&gt;"Serviço",0,IF(ACOMPANHAMENTO="BM",ROUND(OFFSET(ORÇAMENTO!AJ$15,ROW(H107)-ROW(H$15),0),15-13*ORÇAMENTO!$AF$7),SUMPRODUCT(($Q$12:$AI$12&lt;&gt;"")*ROUND($Q107:$AI107,15-13*ORÇAMENTO!$AF$7))))</f>
        <v>636.52</v>
      </c>
      <c r="I107" s="561" t="s">
        <v>1107</v>
      </c>
      <c r="K107" s="174"/>
      <c r="L107" s="175" t="s">
        <v>255</v>
      </c>
      <c r="M107" s="176">
        <f ca="1">IF($D107&lt;&gt;"Serviço","",IF(AUTOEVENTO="manual",$A107,IF(ISERROR(MATCH($A107,$A$15:OFFSET($A107,-1,0),0)),MAX($M$15:OFFSET(M107,-1,0))+1,INDEX($M$15:OFFSET(M107,-1,0),MATCH($A107,$A$15:OFFSET($A107,-1,0),0)))))</f>
        <v>17</v>
      </c>
      <c r="N107" s="177" t="str">
        <f ca="1">IF($D107&lt;&gt;"Serviço","",IF(AUTOEVENTO="Manual",IF($A107=0,"&lt;-- defina o número do agrupador",OFFSET(EVENTOS!$D$14,$A107,0)),OFFSET($F$15,$A107,0)))</f>
        <v>SISTEMA DE VEDAÇÃO VERTICAL - ALVENARIA DE VEDAÇÃO</v>
      </c>
      <c r="O107" s="178"/>
      <c r="Q107" s="178">
        <v>636.52</v>
      </c>
      <c r="R107" s="179"/>
      <c r="S107" s="179"/>
      <c r="T107" s="179"/>
      <c r="U107" s="179"/>
      <c r="V107" s="179"/>
      <c r="W107" s="179"/>
      <c r="X107" s="179"/>
      <c r="Y107" s="179"/>
      <c r="Z107" s="180"/>
      <c r="AA107" s="179"/>
      <c r="AB107" s="179"/>
      <c r="AC107" s="179"/>
      <c r="AD107" s="179"/>
      <c r="AE107" s="179"/>
      <c r="AF107" s="179"/>
      <c r="AG107" s="179"/>
      <c r="AH107" s="180"/>
      <c r="AJ107" s="544">
        <f ca="1">IF(AND($D107="Serviço",AJ$12&lt;&gt;0,$H107&gt;0,OR(AUTOEVENTO&lt;&gt;"manual",$M107&lt;&gt;1)),
IF(Import.TipoArredondamento&lt;&gt;"TransfereGOV",
ROUND(OFFSET($P107,0,AJ$13),15-13*ORÇAMENTO!$AF$7)/$H107*OFFSET(ORÇAMENTO!$X$15,ROW(AJ107)-ROW(AJ$15),0),
ROUND(ROUND(OFFSET($P107,0,AJ$13),15-13*ORÇAMENTO!$AF$7)*OFFSET(ORÇAMENTO!$W$15,ROW(AJ107)-ROW(AJ$15),0),15-13*ORÇAMENTO!$AF$11)),0)</f>
        <v>0</v>
      </c>
      <c r="AK107" s="545">
        <f ca="1">IF(AND($D107="Serviço",AK$12&lt;&gt;0,$H107&gt;0,OR(AUTOEVENTO&lt;&gt;"manual",$M107&lt;&gt;1)),
IF(Import.TipoArredondamento&lt;&gt;"TransfereGOV",
ROUND(OFFSET($P107,0,AK$13),15-13*ORÇAMENTO!$AF$7)/$H107*OFFSET(ORÇAMENTO!$X$15,ROW(AK107)-ROW(AK$15),0),
ROUND(ROUND(OFFSET($P107,0,AK$13),15-13*ORÇAMENTO!$AF$7)*OFFSET(ORÇAMENTO!$W$15,ROW(AK107)-ROW(AK$15),0),15-13*ORÇAMENTO!$AF$11)),0)</f>
        <v>0</v>
      </c>
      <c r="AL107" s="545">
        <f ca="1">IF(AND($D107="Serviço",AL$12&lt;&gt;0,$H107&gt;0,OR(AUTOEVENTO&lt;&gt;"manual",$M107&lt;&gt;1)),
IF(Import.TipoArredondamento&lt;&gt;"TransfereGOV",
ROUND(OFFSET($P107,0,AL$13),15-13*ORÇAMENTO!$AF$7)/$H107*OFFSET(ORÇAMENTO!$X$15,ROW(AL107)-ROW(AL$15),0),
ROUND(ROUND(OFFSET($P107,0,AL$13),15-13*ORÇAMENTO!$AF$7)*OFFSET(ORÇAMENTO!$W$15,ROW(AL107)-ROW(AL$15),0),15-13*ORÇAMENTO!$AF$11)),0)</f>
        <v>0</v>
      </c>
      <c r="AM107" s="545">
        <f ca="1">IF(AND($D107="Serviço",AM$12&lt;&gt;0,$H107&gt;0,OR(AUTOEVENTO&lt;&gt;"manual",$M107&lt;&gt;1)),
IF(Import.TipoArredondamento&lt;&gt;"TransfereGOV",
ROUND(OFFSET($P107,0,AM$13),15-13*ORÇAMENTO!$AF$7)/$H107*OFFSET(ORÇAMENTO!$X$15,ROW(AM107)-ROW(AM$15),0),
ROUND(ROUND(OFFSET($P107,0,AM$13),15-13*ORÇAMENTO!$AF$7)*OFFSET(ORÇAMENTO!$W$15,ROW(AM107)-ROW(AM$15),0),15-13*ORÇAMENTO!$AF$11)),0)</f>
        <v>0</v>
      </c>
      <c r="AN107" s="545">
        <f ca="1">IF(AND($D107="Serviço",AN$12&lt;&gt;0,$H107&gt;0,OR(AUTOEVENTO&lt;&gt;"manual",$M107&lt;&gt;1)),
IF(Import.TipoArredondamento&lt;&gt;"TransfereGOV",
ROUND(OFFSET($P107,0,AN$13),15-13*ORÇAMENTO!$AF$7)/$H107*OFFSET(ORÇAMENTO!$X$15,ROW(AN107)-ROW(AN$15),0),
ROUND(ROUND(OFFSET($P107,0,AN$13),15-13*ORÇAMENTO!$AF$7)*OFFSET(ORÇAMENTO!$W$15,ROW(AN107)-ROW(AN$15),0),15-13*ORÇAMENTO!$AF$11)),0)</f>
        <v>0</v>
      </c>
      <c r="AO107" s="545">
        <f ca="1">IF(AND($D107="Serviço",AO$12&lt;&gt;0,$H107&gt;0,OR(AUTOEVENTO&lt;&gt;"manual",$M107&lt;&gt;1)),
IF(Import.TipoArredondamento&lt;&gt;"TransfereGOV",
ROUND(OFFSET($P107,0,AO$13),15-13*ORÇAMENTO!$AF$7)/$H107*OFFSET(ORÇAMENTO!$X$15,ROW(AO107)-ROW(AO$15),0),
ROUND(ROUND(OFFSET($P107,0,AO$13),15-13*ORÇAMENTO!$AF$7)*OFFSET(ORÇAMENTO!$W$15,ROW(AO107)-ROW(AO$15),0),15-13*ORÇAMENTO!$AF$11)),0)</f>
        <v>0</v>
      </c>
      <c r="AP107" s="545">
        <f ca="1">IF(AND($D107="Serviço",AP$12&lt;&gt;0,$H107&gt;0,OR(AUTOEVENTO&lt;&gt;"manual",$M107&lt;&gt;1)),
IF(Import.TipoArredondamento&lt;&gt;"TransfereGOV",
ROUND(OFFSET($P107,0,AP$13),15-13*ORÇAMENTO!$AF$7)/$H107*OFFSET(ORÇAMENTO!$X$15,ROW(AP107)-ROW(AP$15),0),
ROUND(ROUND(OFFSET($P107,0,AP$13),15-13*ORÇAMENTO!$AF$7)*OFFSET(ORÇAMENTO!$W$15,ROW(AP107)-ROW(AP$15),0),15-13*ORÇAMENTO!$AF$11)),0)</f>
        <v>0</v>
      </c>
      <c r="AQ107" s="545">
        <f ca="1">IF(AND($D107="Serviço",AQ$12&lt;&gt;0,$H107&gt;0,OR(AUTOEVENTO&lt;&gt;"manual",$M107&lt;&gt;1)),
IF(Import.TipoArredondamento&lt;&gt;"TransfereGOV",
ROUND(OFFSET($P107,0,AQ$13),15-13*ORÇAMENTO!$AF$7)/$H107*OFFSET(ORÇAMENTO!$X$15,ROW(AQ107)-ROW(AQ$15),0),
ROUND(ROUND(OFFSET($P107,0,AQ$13),15-13*ORÇAMENTO!$AF$7)*OFFSET(ORÇAMENTO!$W$15,ROW(AQ107)-ROW(AQ$15),0),15-13*ORÇAMENTO!$AF$11)),0)</f>
        <v>0</v>
      </c>
      <c r="AR107" s="545">
        <f ca="1">IF(AND($D107="Serviço",AR$12&lt;&gt;0,$H107&gt;0,OR(AUTOEVENTO&lt;&gt;"manual",$M107&lt;&gt;1)),
IF(Import.TipoArredondamento&lt;&gt;"TransfereGOV",
ROUND(OFFSET($P107,0,AR$13),15-13*ORÇAMENTO!$AF$7)/$H107*OFFSET(ORÇAMENTO!$X$15,ROW(AR107)-ROW(AR$15),0),
ROUND(ROUND(OFFSET($P107,0,AR$13),15-13*ORÇAMENTO!$AF$7)*OFFSET(ORÇAMENTO!$W$15,ROW(AR107)-ROW(AR$15),0),15-13*ORÇAMENTO!$AF$11)),0)</f>
        <v>0</v>
      </c>
      <c r="AS107" s="546">
        <f ca="1">IF(AND($D107="Serviço",AS$12&lt;&gt;0,$H107&gt;0,OR(AUTOEVENTO&lt;&gt;"manual",$M107&lt;&gt;1)),
IF(Import.TipoArredondamento&lt;&gt;"TransfereGOV",
ROUND(OFFSET($P107,0,AS$13),15-13*ORÇAMENTO!$AF$7)/$H107*OFFSET(ORÇAMENTO!$X$15,ROW(AS107)-ROW(AS$15),0),
ROUND(ROUND(OFFSET($P107,0,AS$13),15-13*ORÇAMENTO!$AF$7)*OFFSET(ORÇAMENTO!$W$15,ROW(AS107)-ROW(AS$15),0),15-13*ORÇAMENTO!$AF$11)),0)</f>
        <v>0</v>
      </c>
      <c r="AT107" s="545">
        <f ca="1">IF(AND($D107="Serviço",AT$12&lt;&gt;0,$H107&gt;0,OR(AUTOEVENTO&lt;&gt;"manual",$M107&lt;&gt;1)),
IF(Import.TipoArredondamento&lt;&gt;"TransfereGOV",
ROUND(OFFSET($P107,0,AT$13),15-13*ORÇAMENTO!$AF$7)/$H107*OFFSET(ORÇAMENTO!$X$15,ROW(AT107)-ROW(AT$15),0),
ROUND(ROUND(OFFSET($P107,0,AT$13),15-13*ORÇAMENTO!$AF$7)*OFFSET(ORÇAMENTO!$W$15,ROW(AT107)-ROW(AT$15),0),15-13*ORÇAMENTO!$AF$11)),0)</f>
        <v>0</v>
      </c>
      <c r="AU107" s="545">
        <f ca="1">IF(AND($D107="Serviço",AU$12&lt;&gt;0,$H107&gt;0,OR(AUTOEVENTO&lt;&gt;"manual",$M107&lt;&gt;1)),
IF(Import.TipoArredondamento&lt;&gt;"TransfereGOV",
ROUND(OFFSET($P107,0,AU$13),15-13*ORÇAMENTO!$AF$7)/$H107*OFFSET(ORÇAMENTO!$X$15,ROW(AU107)-ROW(AU$15),0),
ROUND(ROUND(OFFSET($P107,0,AU$13),15-13*ORÇAMENTO!$AF$7)*OFFSET(ORÇAMENTO!$W$15,ROW(AU107)-ROW(AU$15),0),15-13*ORÇAMENTO!$AF$11)),0)</f>
        <v>0</v>
      </c>
      <c r="AV107" s="545">
        <f ca="1">IF(AND($D107="Serviço",AV$12&lt;&gt;0,$H107&gt;0,OR(AUTOEVENTO&lt;&gt;"manual",$M107&lt;&gt;1)),
IF(Import.TipoArredondamento&lt;&gt;"TransfereGOV",
ROUND(OFFSET($P107,0,AV$13),15-13*ORÇAMENTO!$AF$7)/$H107*OFFSET(ORÇAMENTO!$X$15,ROW(AV107)-ROW(AV$15),0),
ROUND(ROUND(OFFSET($P107,0,AV$13),15-13*ORÇAMENTO!$AF$7)*OFFSET(ORÇAMENTO!$W$15,ROW(AV107)-ROW(AV$15),0),15-13*ORÇAMENTO!$AF$11)),0)</f>
        <v>0</v>
      </c>
      <c r="AW107" s="545">
        <f ca="1">IF(AND($D107="Serviço",AW$12&lt;&gt;0,$H107&gt;0,OR(AUTOEVENTO&lt;&gt;"manual",$M107&lt;&gt;1)),
IF(Import.TipoArredondamento&lt;&gt;"TransfereGOV",
ROUND(OFFSET($P107,0,AW$13),15-13*ORÇAMENTO!$AF$7)/$H107*OFFSET(ORÇAMENTO!$X$15,ROW(AW107)-ROW(AW$15),0),
ROUND(ROUND(OFFSET($P107,0,AW$13),15-13*ORÇAMENTO!$AF$7)*OFFSET(ORÇAMENTO!$W$15,ROW(AW107)-ROW(AW$15),0),15-13*ORÇAMENTO!$AF$11)),0)</f>
        <v>0</v>
      </c>
      <c r="AX107" s="545">
        <f ca="1">IF(AND($D107="Serviço",AX$12&lt;&gt;0,$H107&gt;0,OR(AUTOEVENTO&lt;&gt;"manual",$M107&lt;&gt;1)),
IF(Import.TipoArredondamento&lt;&gt;"TransfereGOV",
ROUND(OFFSET($P107,0,AX$13),15-13*ORÇAMENTO!$AF$7)/$H107*OFFSET(ORÇAMENTO!$X$15,ROW(AX107)-ROW(AX$15),0),
ROUND(ROUND(OFFSET($P107,0,AX$13),15-13*ORÇAMENTO!$AF$7)*OFFSET(ORÇAMENTO!$W$15,ROW(AX107)-ROW(AX$15),0),15-13*ORÇAMENTO!$AF$11)),0)</f>
        <v>0</v>
      </c>
      <c r="AY107" s="545">
        <f ca="1">IF(AND($D107="Serviço",AY$12&lt;&gt;0,$H107&gt;0,OR(AUTOEVENTO&lt;&gt;"manual",$M107&lt;&gt;1)),
IF(Import.TipoArredondamento&lt;&gt;"TransfereGOV",
ROUND(OFFSET($P107,0,AY$13),15-13*ORÇAMENTO!$AF$7)/$H107*OFFSET(ORÇAMENTO!$X$15,ROW(AY107)-ROW(AY$15),0),
ROUND(ROUND(OFFSET($P107,0,AY$13),15-13*ORÇAMENTO!$AF$7)*OFFSET(ORÇAMENTO!$W$15,ROW(AY107)-ROW(AY$15),0),15-13*ORÇAMENTO!$AF$11)),0)</f>
        <v>0</v>
      </c>
      <c r="AZ107" s="545">
        <f ca="1">IF(AND($D107="Serviço",AZ$12&lt;&gt;0,$H107&gt;0,OR(AUTOEVENTO&lt;&gt;"manual",$M107&lt;&gt;1)),
IF(Import.TipoArredondamento&lt;&gt;"TransfereGOV",
ROUND(OFFSET($P107,0,AZ$13),15-13*ORÇAMENTO!$AF$7)/$H107*OFFSET(ORÇAMENTO!$X$15,ROW(AZ107)-ROW(AZ$15),0),
ROUND(ROUND(OFFSET($P107,0,AZ$13),15-13*ORÇAMENTO!$AF$7)*OFFSET(ORÇAMENTO!$W$15,ROW(AZ107)-ROW(AZ$15),0),15-13*ORÇAMENTO!$AF$11)),0)</f>
        <v>0</v>
      </c>
      <c r="BA107" s="546">
        <f ca="1">IF(AND($D107="Serviço",BA$12&lt;&gt;0,$H107&gt;0,OR(AUTOEVENTO&lt;&gt;"manual",$M107&lt;&gt;1)),
IF(Import.TipoArredondamento&lt;&gt;"TransfereGOV",
ROUND(OFFSET($P107,0,BA$13),15-13*ORÇAMENTO!$AF$7)/$H107*OFFSET(ORÇAMENTO!$X$15,ROW(BA107)-ROW(BA$15),0),
ROUND(ROUND(OFFSET($P107,0,BA$13),15-13*ORÇAMENTO!$AF$7)*OFFSET(ORÇAMENTO!$W$15,ROW(BA107)-ROW(BA$15),0),15-13*ORÇAMENTO!$AF$11)),0)</f>
        <v>0</v>
      </c>
      <c r="BC107" s="181">
        <f ca="1">IF($D107&lt;&gt;"Serviço",0,IF(AND(AUTOEVENTO="Manual",$M107=1),0,IF(OFFSET(CRONOPLE!$F$14,$M107,BC$13)="",10^12,OFFSET(CRONOPLE!$F$14,$M107,BC$13))))</f>
        <v>4</v>
      </c>
      <c r="BD107" s="181">
        <f ca="1">IF($D107&lt;&gt;"Serviço",0,IF(AND(AUTOEVENTO="Manual",$M107=1),0,IF(OFFSET(CRONOPLE!$F$14,$M107,BD$13)="",10^12,OFFSET(CRONOPLE!$F$14,$M107,BD$13))))</f>
        <v>1000000000000</v>
      </c>
      <c r="BE107" s="181">
        <f ca="1">IF($D107&lt;&gt;"Serviço",0,IF(AND(AUTOEVENTO="Manual",$M107=1),0,IF(OFFSET(CRONOPLE!$F$14,$M107,BE$13)="",10^12,OFFSET(CRONOPLE!$F$14,$M107,BE$13))))</f>
        <v>1000000000000</v>
      </c>
      <c r="BF107" s="181">
        <f ca="1">IF($D107&lt;&gt;"Serviço",0,IF(AND(AUTOEVENTO="Manual",$M107=1),0,IF(OFFSET(CRONOPLE!$F$14,$M107,BF$13)="",10^12,OFFSET(CRONOPLE!$F$14,$M107,BF$13))))</f>
        <v>1000000000000</v>
      </c>
      <c r="BG107" s="181">
        <f ca="1">IF($D107&lt;&gt;"Serviço",0,IF(AND(AUTOEVENTO="Manual",$M107=1),0,IF(OFFSET(CRONOPLE!$F$14,$M107,BG$13)="",10^12,OFFSET(CRONOPLE!$F$14,$M107,BG$13))))</f>
        <v>1000000000000</v>
      </c>
      <c r="BH107" s="181">
        <f ca="1">IF($D107&lt;&gt;"Serviço",0,IF(AND(AUTOEVENTO="Manual",$M107=1),0,IF(OFFSET(CRONOPLE!$F$14,$M107,BH$13)="",10^12,OFFSET(CRONOPLE!$F$14,$M107,BH$13))))</f>
        <v>1000000000000</v>
      </c>
      <c r="BI107" s="181">
        <f ca="1">IF($D107&lt;&gt;"Serviço",0,IF(AND(AUTOEVENTO="Manual",$M107=1),0,IF(OFFSET(CRONOPLE!$F$14,$M107,BI$13)="",10^12,OFFSET(CRONOPLE!$F$14,$M107,BI$13))))</f>
        <v>1000000000000</v>
      </c>
      <c r="BJ107" s="181">
        <f ca="1">IF($D107&lt;&gt;"Serviço",0,IF(AND(AUTOEVENTO="Manual",$M107=1),0,IF(OFFSET(CRONOPLE!$F$14,$M107,BJ$13)="",10^12,OFFSET(CRONOPLE!$F$14,$M107,BJ$13))))</f>
        <v>1000000000000</v>
      </c>
      <c r="BK107" s="181">
        <f ca="1">IF($D107&lt;&gt;"Serviço",0,IF(AND(AUTOEVENTO="Manual",$M107=1),0,IF(OFFSET(CRONOPLE!$F$14,$M107,BK$13)="",10^12,OFFSET(CRONOPLE!$F$14,$M107,BK$13))))</f>
        <v>1000000000000</v>
      </c>
      <c r="BL107" s="181">
        <f ca="1">IF($D107&lt;&gt;"Serviço",0,IF(AND(AUTOEVENTO="Manual",$M107=1),0,IF(OFFSET(CRONOPLE!$F$14,$M107,BL$13)="",10^12,OFFSET(CRONOPLE!$F$14,$M107,BL$13))))</f>
        <v>1000000000000</v>
      </c>
      <c r="BM107" s="181">
        <f ca="1">IF($D107&lt;&gt;"Serviço",0,IF(AND(AUTOEVENTO="Manual",$M107=1),0,IF(OFFSET(CRONOPLE!$F$14,$M107,BM$13)="",10^12,OFFSET(CRONOPLE!$F$14,$M107,BM$13))))</f>
        <v>1000000000000</v>
      </c>
      <c r="BN107" s="181">
        <f ca="1">IF($D107&lt;&gt;"Serviço",0,IF(AND(AUTOEVENTO="Manual",$M107=1),0,IF(OFFSET(CRONOPLE!$F$14,$M107,BN$13)="",10^12,OFFSET(CRONOPLE!$F$14,$M107,BN$13))))</f>
        <v>1000000000000</v>
      </c>
      <c r="BO107" s="181">
        <f ca="1">IF($D107&lt;&gt;"Serviço",0,IF(AND(AUTOEVENTO="Manual",$M107=1),0,IF(OFFSET(CRONOPLE!$F$14,$M107,BO$13)="",10^12,OFFSET(CRONOPLE!$F$14,$M107,BO$13))))</f>
        <v>1000000000000</v>
      </c>
      <c r="BP107" s="181">
        <f ca="1">IF($D107&lt;&gt;"Serviço",0,IF(AND(AUTOEVENTO="Manual",$M107=1),0,IF(OFFSET(CRONOPLE!$F$14,$M107,BP$13)="",10^12,OFFSET(CRONOPLE!$F$14,$M107,BP$13))))</f>
        <v>1000000000000</v>
      </c>
      <c r="BQ107" s="181">
        <f ca="1">IF($D107&lt;&gt;"Serviço",0,IF(AND(AUTOEVENTO="Manual",$M107=1),0,IF(OFFSET(CRONOPLE!$F$14,$M107,BQ$13)="",10^12,OFFSET(CRONOPLE!$F$14,$M107,BQ$13))))</f>
        <v>1000000000000</v>
      </c>
      <c r="BR107" s="181">
        <f ca="1">IF($D107&lt;&gt;"Serviço",0,IF(AND(AUTOEVENTO="Manual",$M107=1),0,IF(OFFSET(CRONOPLE!$F$14,$M107,BR$13)="",10^12,OFFSET(CRONOPLE!$F$14,$M107,BR$13))))</f>
        <v>1000000000000</v>
      </c>
      <c r="BS107" s="181">
        <f ca="1">IF($D107&lt;&gt;"Serviço",0,IF(AND(AUTOEVENTO="Manual",$M107=1),0,IF(OFFSET(CRONOPLE!$F$14,$M107,BS$13)="",10^12,OFFSET(CRONOPLE!$F$14,$M107,BS$13))))</f>
        <v>1000000000000</v>
      </c>
      <c r="BT107" s="181">
        <f ca="1">IF($D107&lt;&gt;"Serviço",0,IF(AND(AUTOEVENTO="Manual",$M107=1),0,IF(OFFSET(CRONOPLE!$F$14,$M107,BT$13)="",10^12,OFFSET(CRONOPLE!$F$14,$M107,BT$13))))</f>
        <v>1000000000000</v>
      </c>
      <c r="BV107" s="182">
        <f ca="1">IF($D107&lt;&gt;"Serviço",0,IF(OR(AND(AUTOEVENTO="Manual",$M107=1),$M107&gt;(ROW(PLE.lastrow)-ROW(PLE.firstrow))),0,IF(OFFSET(PLE!$G$14,$M107,BV$13)="",10^12,OFFSET(PLE!$G$14,$M107,BV$13))))</f>
        <v>1000000000000</v>
      </c>
      <c r="BW107" s="182">
        <f ca="1">IF($D107&lt;&gt;"Serviço",0,IF(OR(AND(AUTOEVENTO="Manual",$M107=1),$M107&gt;(ROW(PLE.lastrow)-ROW(PLE.firstrow))),0,IF(OFFSET(PLE!$G$14,$M107,BW$13)="",10^12,OFFSET(PLE!$G$14,$M107,BW$13))))</f>
        <v>1000000000000</v>
      </c>
      <c r="BX107" s="182">
        <f ca="1">IF($D107&lt;&gt;"Serviço",0,IF(OR(AND(AUTOEVENTO="Manual",$M107=1),$M107&gt;(ROW(PLE.lastrow)-ROW(PLE.firstrow))),0,IF(OFFSET(PLE!$G$14,$M107,BX$13)="",10^12,OFFSET(PLE!$G$14,$M107,BX$13))))</f>
        <v>1000000000000</v>
      </c>
      <c r="BY107" s="182">
        <f ca="1">IF($D107&lt;&gt;"Serviço",0,IF(OR(AND(AUTOEVENTO="Manual",$M107=1),$M107&gt;(ROW(PLE.lastrow)-ROW(PLE.firstrow))),0,IF(OFFSET(PLE!$G$14,$M107,BY$13)="",10^12,OFFSET(PLE!$G$14,$M107,BY$13))))</f>
        <v>1000000000000</v>
      </c>
      <c r="BZ107" s="182">
        <f ca="1">IF($D107&lt;&gt;"Serviço",0,IF(OR(AND(AUTOEVENTO="Manual",$M107=1),$M107&gt;(ROW(PLE.lastrow)-ROW(PLE.firstrow))),0,IF(OFFSET(PLE!$G$14,$M107,BZ$13)="",10^12,OFFSET(PLE!$G$14,$M107,BZ$13))))</f>
        <v>1000000000000</v>
      </c>
      <c r="CA107" s="182">
        <f ca="1">IF($D107&lt;&gt;"Serviço",0,IF(OR(AND(AUTOEVENTO="Manual",$M107=1),$M107&gt;(ROW(PLE.lastrow)-ROW(PLE.firstrow))),0,IF(OFFSET(PLE!$G$14,$M107,CA$13)="",10^12,OFFSET(PLE!$G$14,$M107,CA$13))))</f>
        <v>1000000000000</v>
      </c>
      <c r="CB107" s="182">
        <f ca="1">IF($D107&lt;&gt;"Serviço",0,IF(OR(AND(AUTOEVENTO="Manual",$M107=1),$M107&gt;(ROW(PLE.lastrow)-ROW(PLE.firstrow))),0,IF(OFFSET(PLE!$G$14,$M107,CB$13)="",10^12,OFFSET(PLE!$G$14,$M107,CB$13))))</f>
        <v>1000000000000</v>
      </c>
      <c r="CC107" s="182">
        <f ca="1">IF($D107&lt;&gt;"Serviço",0,IF(OR(AND(AUTOEVENTO="Manual",$M107=1),$M107&gt;(ROW(PLE.lastrow)-ROW(PLE.firstrow))),0,IF(OFFSET(PLE!$G$14,$M107,CC$13)="",10^12,OFFSET(PLE!$G$14,$M107,CC$13))))</f>
        <v>1000000000000</v>
      </c>
      <c r="CD107" s="182">
        <f ca="1">IF($D107&lt;&gt;"Serviço",0,IF(OR(AND(AUTOEVENTO="Manual",$M107=1),$M107&gt;(ROW(PLE.lastrow)-ROW(PLE.firstrow))),0,IF(OFFSET(PLE!$G$14,$M107,CD$13)="",10^12,OFFSET(PLE!$G$14,$M107,CD$13))))</f>
        <v>1000000000000</v>
      </c>
      <c r="CE107" s="182">
        <f ca="1">IF($D107&lt;&gt;"Serviço",0,IF(OR(AND(AUTOEVENTO="Manual",$M107=1),$M107&gt;(ROW(PLE.lastrow)-ROW(PLE.firstrow))),0,IF(OFFSET(PLE!$G$14,$M107,CE$13)="",10^12,OFFSET(PLE!$G$14,$M107,CE$13))))</f>
        <v>1000000000000</v>
      </c>
      <c r="CF107" s="182">
        <f ca="1">IF($D107&lt;&gt;"Serviço",0,IF(OR(AND(AUTOEVENTO="Manual",$M107=1),$M107&gt;(ROW(PLE.lastrow)-ROW(PLE.firstrow))),0,IF(OFFSET(PLE!$G$14,$M107,CF$13)="",10^12,OFFSET(PLE!$G$14,$M107,CF$13))))</f>
        <v>1000000000000</v>
      </c>
      <c r="CG107" s="182">
        <f ca="1">IF($D107&lt;&gt;"Serviço",0,IF(OR(AND(AUTOEVENTO="Manual",$M107=1),$M107&gt;(ROW(PLE.lastrow)-ROW(PLE.firstrow))),0,IF(OFFSET(PLE!$G$14,$M107,CG$13)="",10^12,OFFSET(PLE!$G$14,$M107,CG$13))))</f>
        <v>1000000000000</v>
      </c>
      <c r="CH107" s="182">
        <f ca="1">IF($D107&lt;&gt;"Serviço",0,IF(OR(AND(AUTOEVENTO="Manual",$M107=1),$M107&gt;(ROW(PLE.lastrow)-ROW(PLE.firstrow))),0,IF(OFFSET(PLE!$G$14,$M107,CH$13)="",10^12,OFFSET(PLE!$G$14,$M107,CH$13))))</f>
        <v>1000000000000</v>
      </c>
      <c r="CI107" s="182">
        <f ca="1">IF($D107&lt;&gt;"Serviço",0,IF(OR(AND(AUTOEVENTO="Manual",$M107=1),$M107&gt;(ROW(PLE.lastrow)-ROW(PLE.firstrow))),0,IF(OFFSET(PLE!$G$14,$M107,CI$13)="",10^12,OFFSET(PLE!$G$14,$M107,CI$13))))</f>
        <v>1000000000000</v>
      </c>
      <c r="CJ107" s="182">
        <f ca="1">IF($D107&lt;&gt;"Serviço",0,IF(OR(AND(AUTOEVENTO="Manual",$M107=1),$M107&gt;(ROW(PLE.lastrow)-ROW(PLE.firstrow))),0,IF(OFFSET(PLE!$G$14,$M107,CJ$13)="",10^12,OFFSET(PLE!$G$14,$M107,CJ$13))))</f>
        <v>1000000000000</v>
      </c>
      <c r="CK107" s="182">
        <f ca="1">IF($D107&lt;&gt;"Serviço",0,IF(OR(AND(AUTOEVENTO="Manual",$M107=1),$M107&gt;(ROW(PLE.lastrow)-ROW(PLE.firstrow))),0,IF(OFFSET(PLE!$G$14,$M107,CK$13)="",10^12,OFFSET(PLE!$G$14,$M107,CK$13))))</f>
        <v>1000000000000</v>
      </c>
      <c r="CL107" s="182">
        <f ca="1">IF($D107&lt;&gt;"Serviço",0,IF(OR(AND(AUTOEVENTO="Manual",$M107=1),$M107&gt;(ROW(PLE.lastrow)-ROW(PLE.firstrow))),0,IF(OFFSET(PLE!$G$14,$M107,CL$13)="",10^12,OFFSET(PLE!$G$14,$M107,CL$13))))</f>
        <v>1000000000000</v>
      </c>
      <c r="CM107" s="182">
        <f ca="1">IF($D107&lt;&gt;"Serviço",0,IF(OR(AND(AUTOEVENTO="Manual",$M107=1),$M107&gt;(ROW(PLE.lastrow)-ROW(PLE.firstrow))),0,IF(OFFSET(PLE!$G$14,$M107,CM$13)="",10^12,OFFSET(PLE!$G$14,$M107,CM$13))))</f>
        <v>1000000000000</v>
      </c>
    </row>
    <row r="108" spans="1:91" ht="38.25" x14ac:dyDescent="0.2">
      <c r="A108" s="7" t="str">
        <f t="shared" ca="1" si="10"/>
        <v>88</v>
      </c>
      <c r="B108" s="7" t="str">
        <f ca="1">OFFSET(ORÇAMENTO!C$15,ROW(B108)-ROW(B$15),0)</f>
        <v>S</v>
      </c>
      <c r="C108" s="7" t="str">
        <f ca="1">OFFSET(ORÇAMENTO!L$15,ROW(C108)-ROW(C$15),0)</f>
        <v/>
      </c>
      <c r="D108" s="118" t="str">
        <f ca="1">OFFSET(ORÇAMENTO!N$15,ROW(D108)-ROW(D$15),0)</f>
        <v>Serviço</v>
      </c>
      <c r="E108" s="119" t="str">
        <f ca="1">OFFSET(ORÇAMENTO!O$15,ROW(E108)-ROW(E$15),0)</f>
        <v>-</v>
      </c>
      <c r="F108" s="172" t="str">
        <f ca="1">OFFSET(ORÇAMENTO!R$15,ROW(F108)-ROW(F$15),0)</f>
        <v>(abra o arquivo 'Referência 06-2024.xlsm)</v>
      </c>
      <c r="G108" s="173" t="str">
        <f ca="1">IF($D108&lt;&gt;"Serviço","",OFFSET(ORÇAMENTO!S$15,ROW(G108)-ROW(G$15),0))</f>
        <v>-</v>
      </c>
      <c r="H108" s="124">
        <f ca="1">IF($D108&lt;&gt;"Serviço",0,IF(ACOMPANHAMENTO="BM",ROUND(OFFSET(ORÇAMENTO!AJ$15,ROW(H108)-ROW(H$15),0),15-13*ORÇAMENTO!$AF$7),SUMPRODUCT(($Q$12:$AI$12&lt;&gt;"")*ROUND($Q108:$AI108,15-13*ORÇAMENTO!$AF$7))))</f>
        <v>14.71</v>
      </c>
      <c r="I108" s="561" t="s">
        <v>1107</v>
      </c>
      <c r="K108" s="174"/>
      <c r="L108" s="175" t="s">
        <v>255</v>
      </c>
      <c r="M108" s="176">
        <f ca="1">IF($D108&lt;&gt;"Serviço","",IF(AUTOEVENTO="manual",$A108,IF(ISERROR(MATCH($A108,$A$15:OFFSET($A108,-1,0),0)),MAX($M$15:OFFSET(M108,-1,0))+1,INDEX($M$15:OFFSET(M108,-1,0),MATCH($A108,$A$15:OFFSET($A108,-1,0),0)))))</f>
        <v>17</v>
      </c>
      <c r="N108" s="177" t="str">
        <f ca="1">IF($D108&lt;&gt;"Serviço","",IF(AUTOEVENTO="Manual",IF($A108=0,"&lt;-- defina o número do agrupador",OFFSET(EVENTOS!$D$14,$A108,0)),OFFSET($F$15,$A108,0)))</f>
        <v>SISTEMA DE VEDAÇÃO VERTICAL - ALVENARIA DE VEDAÇÃO</v>
      </c>
      <c r="O108" s="178"/>
      <c r="Q108" s="178">
        <v>14.71</v>
      </c>
      <c r="R108" s="179"/>
      <c r="S108" s="179"/>
      <c r="T108" s="179"/>
      <c r="U108" s="179"/>
      <c r="V108" s="179"/>
      <c r="W108" s="179"/>
      <c r="X108" s="179"/>
      <c r="Y108" s="179"/>
      <c r="Z108" s="180"/>
      <c r="AA108" s="179"/>
      <c r="AB108" s="179"/>
      <c r="AC108" s="179"/>
      <c r="AD108" s="179"/>
      <c r="AE108" s="179"/>
      <c r="AF108" s="179"/>
      <c r="AG108" s="179"/>
      <c r="AH108" s="180"/>
      <c r="AJ108" s="544">
        <f ca="1">IF(AND($D108="Serviço",AJ$12&lt;&gt;0,$H108&gt;0,OR(AUTOEVENTO&lt;&gt;"manual",$M108&lt;&gt;1)),
IF(Import.TipoArredondamento&lt;&gt;"TransfereGOV",
ROUND(OFFSET($P108,0,AJ$13),15-13*ORÇAMENTO!$AF$7)/$H108*OFFSET(ORÇAMENTO!$X$15,ROW(AJ108)-ROW(AJ$15),0),
ROUND(ROUND(OFFSET($P108,0,AJ$13),15-13*ORÇAMENTO!$AF$7)*OFFSET(ORÇAMENTO!$W$15,ROW(AJ108)-ROW(AJ$15),0),15-13*ORÇAMENTO!$AF$11)),0)</f>
        <v>0</v>
      </c>
      <c r="AK108" s="545">
        <f ca="1">IF(AND($D108="Serviço",AK$12&lt;&gt;0,$H108&gt;0,OR(AUTOEVENTO&lt;&gt;"manual",$M108&lt;&gt;1)),
IF(Import.TipoArredondamento&lt;&gt;"TransfereGOV",
ROUND(OFFSET($P108,0,AK$13),15-13*ORÇAMENTO!$AF$7)/$H108*OFFSET(ORÇAMENTO!$X$15,ROW(AK108)-ROW(AK$15),0),
ROUND(ROUND(OFFSET($P108,0,AK$13),15-13*ORÇAMENTO!$AF$7)*OFFSET(ORÇAMENTO!$W$15,ROW(AK108)-ROW(AK$15),0),15-13*ORÇAMENTO!$AF$11)),0)</f>
        <v>0</v>
      </c>
      <c r="AL108" s="545">
        <f ca="1">IF(AND($D108="Serviço",AL$12&lt;&gt;0,$H108&gt;0,OR(AUTOEVENTO&lt;&gt;"manual",$M108&lt;&gt;1)),
IF(Import.TipoArredondamento&lt;&gt;"TransfereGOV",
ROUND(OFFSET($P108,0,AL$13),15-13*ORÇAMENTO!$AF$7)/$H108*OFFSET(ORÇAMENTO!$X$15,ROW(AL108)-ROW(AL$15),0),
ROUND(ROUND(OFFSET($P108,0,AL$13),15-13*ORÇAMENTO!$AF$7)*OFFSET(ORÇAMENTO!$W$15,ROW(AL108)-ROW(AL$15),0),15-13*ORÇAMENTO!$AF$11)),0)</f>
        <v>0</v>
      </c>
      <c r="AM108" s="545">
        <f ca="1">IF(AND($D108="Serviço",AM$12&lt;&gt;0,$H108&gt;0,OR(AUTOEVENTO&lt;&gt;"manual",$M108&lt;&gt;1)),
IF(Import.TipoArredondamento&lt;&gt;"TransfereGOV",
ROUND(OFFSET($P108,0,AM$13),15-13*ORÇAMENTO!$AF$7)/$H108*OFFSET(ORÇAMENTO!$X$15,ROW(AM108)-ROW(AM$15),0),
ROUND(ROUND(OFFSET($P108,0,AM$13),15-13*ORÇAMENTO!$AF$7)*OFFSET(ORÇAMENTO!$W$15,ROW(AM108)-ROW(AM$15),0),15-13*ORÇAMENTO!$AF$11)),0)</f>
        <v>0</v>
      </c>
      <c r="AN108" s="545">
        <f ca="1">IF(AND($D108="Serviço",AN$12&lt;&gt;0,$H108&gt;0,OR(AUTOEVENTO&lt;&gt;"manual",$M108&lt;&gt;1)),
IF(Import.TipoArredondamento&lt;&gt;"TransfereGOV",
ROUND(OFFSET($P108,0,AN$13),15-13*ORÇAMENTO!$AF$7)/$H108*OFFSET(ORÇAMENTO!$X$15,ROW(AN108)-ROW(AN$15),0),
ROUND(ROUND(OFFSET($P108,0,AN$13),15-13*ORÇAMENTO!$AF$7)*OFFSET(ORÇAMENTO!$W$15,ROW(AN108)-ROW(AN$15),0),15-13*ORÇAMENTO!$AF$11)),0)</f>
        <v>0</v>
      </c>
      <c r="AO108" s="545">
        <f ca="1">IF(AND($D108="Serviço",AO$12&lt;&gt;0,$H108&gt;0,OR(AUTOEVENTO&lt;&gt;"manual",$M108&lt;&gt;1)),
IF(Import.TipoArredondamento&lt;&gt;"TransfereGOV",
ROUND(OFFSET($P108,0,AO$13),15-13*ORÇAMENTO!$AF$7)/$H108*OFFSET(ORÇAMENTO!$X$15,ROW(AO108)-ROW(AO$15),0),
ROUND(ROUND(OFFSET($P108,0,AO$13),15-13*ORÇAMENTO!$AF$7)*OFFSET(ORÇAMENTO!$W$15,ROW(AO108)-ROW(AO$15),0),15-13*ORÇAMENTO!$AF$11)),0)</f>
        <v>0</v>
      </c>
      <c r="AP108" s="545">
        <f ca="1">IF(AND($D108="Serviço",AP$12&lt;&gt;0,$H108&gt;0,OR(AUTOEVENTO&lt;&gt;"manual",$M108&lt;&gt;1)),
IF(Import.TipoArredondamento&lt;&gt;"TransfereGOV",
ROUND(OFFSET($P108,0,AP$13),15-13*ORÇAMENTO!$AF$7)/$H108*OFFSET(ORÇAMENTO!$X$15,ROW(AP108)-ROW(AP$15),0),
ROUND(ROUND(OFFSET($P108,0,AP$13),15-13*ORÇAMENTO!$AF$7)*OFFSET(ORÇAMENTO!$W$15,ROW(AP108)-ROW(AP$15),0),15-13*ORÇAMENTO!$AF$11)),0)</f>
        <v>0</v>
      </c>
      <c r="AQ108" s="545">
        <f ca="1">IF(AND($D108="Serviço",AQ$12&lt;&gt;0,$H108&gt;0,OR(AUTOEVENTO&lt;&gt;"manual",$M108&lt;&gt;1)),
IF(Import.TipoArredondamento&lt;&gt;"TransfereGOV",
ROUND(OFFSET($P108,0,AQ$13),15-13*ORÇAMENTO!$AF$7)/$H108*OFFSET(ORÇAMENTO!$X$15,ROW(AQ108)-ROW(AQ$15),0),
ROUND(ROUND(OFFSET($P108,0,AQ$13),15-13*ORÇAMENTO!$AF$7)*OFFSET(ORÇAMENTO!$W$15,ROW(AQ108)-ROW(AQ$15),0),15-13*ORÇAMENTO!$AF$11)),0)</f>
        <v>0</v>
      </c>
      <c r="AR108" s="545">
        <f ca="1">IF(AND($D108="Serviço",AR$12&lt;&gt;0,$H108&gt;0,OR(AUTOEVENTO&lt;&gt;"manual",$M108&lt;&gt;1)),
IF(Import.TipoArredondamento&lt;&gt;"TransfereGOV",
ROUND(OFFSET($P108,0,AR$13),15-13*ORÇAMENTO!$AF$7)/$H108*OFFSET(ORÇAMENTO!$X$15,ROW(AR108)-ROW(AR$15),0),
ROUND(ROUND(OFFSET($P108,0,AR$13),15-13*ORÇAMENTO!$AF$7)*OFFSET(ORÇAMENTO!$W$15,ROW(AR108)-ROW(AR$15),0),15-13*ORÇAMENTO!$AF$11)),0)</f>
        <v>0</v>
      </c>
      <c r="AS108" s="546">
        <f ca="1">IF(AND($D108="Serviço",AS$12&lt;&gt;0,$H108&gt;0,OR(AUTOEVENTO&lt;&gt;"manual",$M108&lt;&gt;1)),
IF(Import.TipoArredondamento&lt;&gt;"TransfereGOV",
ROUND(OFFSET($P108,0,AS$13),15-13*ORÇAMENTO!$AF$7)/$H108*OFFSET(ORÇAMENTO!$X$15,ROW(AS108)-ROW(AS$15),0),
ROUND(ROUND(OFFSET($P108,0,AS$13),15-13*ORÇAMENTO!$AF$7)*OFFSET(ORÇAMENTO!$W$15,ROW(AS108)-ROW(AS$15),0),15-13*ORÇAMENTO!$AF$11)),0)</f>
        <v>0</v>
      </c>
      <c r="AT108" s="545">
        <f ca="1">IF(AND($D108="Serviço",AT$12&lt;&gt;0,$H108&gt;0,OR(AUTOEVENTO&lt;&gt;"manual",$M108&lt;&gt;1)),
IF(Import.TipoArredondamento&lt;&gt;"TransfereGOV",
ROUND(OFFSET($P108,0,AT$13),15-13*ORÇAMENTO!$AF$7)/$H108*OFFSET(ORÇAMENTO!$X$15,ROW(AT108)-ROW(AT$15),0),
ROUND(ROUND(OFFSET($P108,0,AT$13),15-13*ORÇAMENTO!$AF$7)*OFFSET(ORÇAMENTO!$W$15,ROW(AT108)-ROW(AT$15),0),15-13*ORÇAMENTO!$AF$11)),0)</f>
        <v>0</v>
      </c>
      <c r="AU108" s="545">
        <f ca="1">IF(AND($D108="Serviço",AU$12&lt;&gt;0,$H108&gt;0,OR(AUTOEVENTO&lt;&gt;"manual",$M108&lt;&gt;1)),
IF(Import.TipoArredondamento&lt;&gt;"TransfereGOV",
ROUND(OFFSET($P108,0,AU$13),15-13*ORÇAMENTO!$AF$7)/$H108*OFFSET(ORÇAMENTO!$X$15,ROW(AU108)-ROW(AU$15),0),
ROUND(ROUND(OFFSET($P108,0,AU$13),15-13*ORÇAMENTO!$AF$7)*OFFSET(ORÇAMENTO!$W$15,ROW(AU108)-ROW(AU$15),0),15-13*ORÇAMENTO!$AF$11)),0)</f>
        <v>0</v>
      </c>
      <c r="AV108" s="545">
        <f ca="1">IF(AND($D108="Serviço",AV$12&lt;&gt;0,$H108&gt;0,OR(AUTOEVENTO&lt;&gt;"manual",$M108&lt;&gt;1)),
IF(Import.TipoArredondamento&lt;&gt;"TransfereGOV",
ROUND(OFFSET($P108,0,AV$13),15-13*ORÇAMENTO!$AF$7)/$H108*OFFSET(ORÇAMENTO!$X$15,ROW(AV108)-ROW(AV$15),0),
ROUND(ROUND(OFFSET($P108,0,AV$13),15-13*ORÇAMENTO!$AF$7)*OFFSET(ORÇAMENTO!$W$15,ROW(AV108)-ROW(AV$15),0),15-13*ORÇAMENTO!$AF$11)),0)</f>
        <v>0</v>
      </c>
      <c r="AW108" s="545">
        <f ca="1">IF(AND($D108="Serviço",AW$12&lt;&gt;0,$H108&gt;0,OR(AUTOEVENTO&lt;&gt;"manual",$M108&lt;&gt;1)),
IF(Import.TipoArredondamento&lt;&gt;"TransfereGOV",
ROUND(OFFSET($P108,0,AW$13),15-13*ORÇAMENTO!$AF$7)/$H108*OFFSET(ORÇAMENTO!$X$15,ROW(AW108)-ROW(AW$15),0),
ROUND(ROUND(OFFSET($P108,0,AW$13),15-13*ORÇAMENTO!$AF$7)*OFFSET(ORÇAMENTO!$W$15,ROW(AW108)-ROW(AW$15),0),15-13*ORÇAMENTO!$AF$11)),0)</f>
        <v>0</v>
      </c>
      <c r="AX108" s="545">
        <f ca="1">IF(AND($D108="Serviço",AX$12&lt;&gt;0,$H108&gt;0,OR(AUTOEVENTO&lt;&gt;"manual",$M108&lt;&gt;1)),
IF(Import.TipoArredondamento&lt;&gt;"TransfereGOV",
ROUND(OFFSET($P108,0,AX$13),15-13*ORÇAMENTO!$AF$7)/$H108*OFFSET(ORÇAMENTO!$X$15,ROW(AX108)-ROW(AX$15),0),
ROUND(ROUND(OFFSET($P108,0,AX$13),15-13*ORÇAMENTO!$AF$7)*OFFSET(ORÇAMENTO!$W$15,ROW(AX108)-ROW(AX$15),0),15-13*ORÇAMENTO!$AF$11)),0)</f>
        <v>0</v>
      </c>
      <c r="AY108" s="545">
        <f ca="1">IF(AND($D108="Serviço",AY$12&lt;&gt;0,$H108&gt;0,OR(AUTOEVENTO&lt;&gt;"manual",$M108&lt;&gt;1)),
IF(Import.TipoArredondamento&lt;&gt;"TransfereGOV",
ROUND(OFFSET($P108,0,AY$13),15-13*ORÇAMENTO!$AF$7)/$H108*OFFSET(ORÇAMENTO!$X$15,ROW(AY108)-ROW(AY$15),0),
ROUND(ROUND(OFFSET($P108,0,AY$13),15-13*ORÇAMENTO!$AF$7)*OFFSET(ORÇAMENTO!$W$15,ROW(AY108)-ROW(AY$15),0),15-13*ORÇAMENTO!$AF$11)),0)</f>
        <v>0</v>
      </c>
      <c r="AZ108" s="545">
        <f ca="1">IF(AND($D108="Serviço",AZ$12&lt;&gt;0,$H108&gt;0,OR(AUTOEVENTO&lt;&gt;"manual",$M108&lt;&gt;1)),
IF(Import.TipoArredondamento&lt;&gt;"TransfereGOV",
ROUND(OFFSET($P108,0,AZ$13),15-13*ORÇAMENTO!$AF$7)/$H108*OFFSET(ORÇAMENTO!$X$15,ROW(AZ108)-ROW(AZ$15),0),
ROUND(ROUND(OFFSET($P108,0,AZ$13),15-13*ORÇAMENTO!$AF$7)*OFFSET(ORÇAMENTO!$W$15,ROW(AZ108)-ROW(AZ$15),0),15-13*ORÇAMENTO!$AF$11)),0)</f>
        <v>0</v>
      </c>
      <c r="BA108" s="546">
        <f ca="1">IF(AND($D108="Serviço",BA$12&lt;&gt;0,$H108&gt;0,OR(AUTOEVENTO&lt;&gt;"manual",$M108&lt;&gt;1)),
IF(Import.TipoArredondamento&lt;&gt;"TransfereGOV",
ROUND(OFFSET($P108,0,BA$13),15-13*ORÇAMENTO!$AF$7)/$H108*OFFSET(ORÇAMENTO!$X$15,ROW(BA108)-ROW(BA$15),0),
ROUND(ROUND(OFFSET($P108,0,BA$13),15-13*ORÇAMENTO!$AF$7)*OFFSET(ORÇAMENTO!$W$15,ROW(BA108)-ROW(BA$15),0),15-13*ORÇAMENTO!$AF$11)),0)</f>
        <v>0</v>
      </c>
      <c r="BC108" s="181">
        <f ca="1">IF($D108&lt;&gt;"Serviço",0,IF(AND(AUTOEVENTO="Manual",$M108=1),0,IF(OFFSET(CRONOPLE!$F$14,$M108,BC$13)="",10^12,OFFSET(CRONOPLE!$F$14,$M108,BC$13))))</f>
        <v>4</v>
      </c>
      <c r="BD108" s="181">
        <f ca="1">IF($D108&lt;&gt;"Serviço",0,IF(AND(AUTOEVENTO="Manual",$M108=1),0,IF(OFFSET(CRONOPLE!$F$14,$M108,BD$13)="",10^12,OFFSET(CRONOPLE!$F$14,$M108,BD$13))))</f>
        <v>1000000000000</v>
      </c>
      <c r="BE108" s="181">
        <f ca="1">IF($D108&lt;&gt;"Serviço",0,IF(AND(AUTOEVENTO="Manual",$M108=1),0,IF(OFFSET(CRONOPLE!$F$14,$M108,BE$13)="",10^12,OFFSET(CRONOPLE!$F$14,$M108,BE$13))))</f>
        <v>1000000000000</v>
      </c>
      <c r="BF108" s="181">
        <f ca="1">IF($D108&lt;&gt;"Serviço",0,IF(AND(AUTOEVENTO="Manual",$M108=1),0,IF(OFFSET(CRONOPLE!$F$14,$M108,BF$13)="",10^12,OFFSET(CRONOPLE!$F$14,$M108,BF$13))))</f>
        <v>1000000000000</v>
      </c>
      <c r="BG108" s="181">
        <f ca="1">IF($D108&lt;&gt;"Serviço",0,IF(AND(AUTOEVENTO="Manual",$M108=1),0,IF(OFFSET(CRONOPLE!$F$14,$M108,BG$13)="",10^12,OFFSET(CRONOPLE!$F$14,$M108,BG$13))))</f>
        <v>1000000000000</v>
      </c>
      <c r="BH108" s="181">
        <f ca="1">IF($D108&lt;&gt;"Serviço",0,IF(AND(AUTOEVENTO="Manual",$M108=1),0,IF(OFFSET(CRONOPLE!$F$14,$M108,BH$13)="",10^12,OFFSET(CRONOPLE!$F$14,$M108,BH$13))))</f>
        <v>1000000000000</v>
      </c>
      <c r="BI108" s="181">
        <f ca="1">IF($D108&lt;&gt;"Serviço",0,IF(AND(AUTOEVENTO="Manual",$M108=1),0,IF(OFFSET(CRONOPLE!$F$14,$M108,BI$13)="",10^12,OFFSET(CRONOPLE!$F$14,$M108,BI$13))))</f>
        <v>1000000000000</v>
      </c>
      <c r="BJ108" s="181">
        <f ca="1">IF($D108&lt;&gt;"Serviço",0,IF(AND(AUTOEVENTO="Manual",$M108=1),0,IF(OFFSET(CRONOPLE!$F$14,$M108,BJ$13)="",10^12,OFFSET(CRONOPLE!$F$14,$M108,BJ$13))))</f>
        <v>1000000000000</v>
      </c>
      <c r="BK108" s="181">
        <f ca="1">IF($D108&lt;&gt;"Serviço",0,IF(AND(AUTOEVENTO="Manual",$M108=1),0,IF(OFFSET(CRONOPLE!$F$14,$M108,BK$13)="",10^12,OFFSET(CRONOPLE!$F$14,$M108,BK$13))))</f>
        <v>1000000000000</v>
      </c>
      <c r="BL108" s="181">
        <f ca="1">IF($D108&lt;&gt;"Serviço",0,IF(AND(AUTOEVENTO="Manual",$M108=1),0,IF(OFFSET(CRONOPLE!$F$14,$M108,BL$13)="",10^12,OFFSET(CRONOPLE!$F$14,$M108,BL$13))))</f>
        <v>1000000000000</v>
      </c>
      <c r="BM108" s="181">
        <f ca="1">IF($D108&lt;&gt;"Serviço",0,IF(AND(AUTOEVENTO="Manual",$M108=1),0,IF(OFFSET(CRONOPLE!$F$14,$M108,BM$13)="",10^12,OFFSET(CRONOPLE!$F$14,$M108,BM$13))))</f>
        <v>1000000000000</v>
      </c>
      <c r="BN108" s="181">
        <f ca="1">IF($D108&lt;&gt;"Serviço",0,IF(AND(AUTOEVENTO="Manual",$M108=1),0,IF(OFFSET(CRONOPLE!$F$14,$M108,BN$13)="",10^12,OFFSET(CRONOPLE!$F$14,$M108,BN$13))))</f>
        <v>1000000000000</v>
      </c>
      <c r="BO108" s="181">
        <f ca="1">IF($D108&lt;&gt;"Serviço",0,IF(AND(AUTOEVENTO="Manual",$M108=1),0,IF(OFFSET(CRONOPLE!$F$14,$M108,BO$13)="",10^12,OFFSET(CRONOPLE!$F$14,$M108,BO$13))))</f>
        <v>1000000000000</v>
      </c>
      <c r="BP108" s="181">
        <f ca="1">IF($D108&lt;&gt;"Serviço",0,IF(AND(AUTOEVENTO="Manual",$M108=1),0,IF(OFFSET(CRONOPLE!$F$14,$M108,BP$13)="",10^12,OFFSET(CRONOPLE!$F$14,$M108,BP$13))))</f>
        <v>1000000000000</v>
      </c>
      <c r="BQ108" s="181">
        <f ca="1">IF($D108&lt;&gt;"Serviço",0,IF(AND(AUTOEVENTO="Manual",$M108=1),0,IF(OFFSET(CRONOPLE!$F$14,$M108,BQ$13)="",10^12,OFFSET(CRONOPLE!$F$14,$M108,BQ$13))))</f>
        <v>1000000000000</v>
      </c>
      <c r="BR108" s="181">
        <f ca="1">IF($D108&lt;&gt;"Serviço",0,IF(AND(AUTOEVENTO="Manual",$M108=1),0,IF(OFFSET(CRONOPLE!$F$14,$M108,BR$13)="",10^12,OFFSET(CRONOPLE!$F$14,$M108,BR$13))))</f>
        <v>1000000000000</v>
      </c>
      <c r="BS108" s="181">
        <f ca="1">IF($D108&lt;&gt;"Serviço",0,IF(AND(AUTOEVENTO="Manual",$M108=1),0,IF(OFFSET(CRONOPLE!$F$14,$M108,BS$13)="",10^12,OFFSET(CRONOPLE!$F$14,$M108,BS$13))))</f>
        <v>1000000000000</v>
      </c>
      <c r="BT108" s="181">
        <f ca="1">IF($D108&lt;&gt;"Serviço",0,IF(AND(AUTOEVENTO="Manual",$M108=1),0,IF(OFFSET(CRONOPLE!$F$14,$M108,BT$13)="",10^12,OFFSET(CRONOPLE!$F$14,$M108,BT$13))))</f>
        <v>1000000000000</v>
      </c>
      <c r="BV108" s="182">
        <f ca="1">IF($D108&lt;&gt;"Serviço",0,IF(OR(AND(AUTOEVENTO="Manual",$M108=1),$M108&gt;(ROW(PLE.lastrow)-ROW(PLE.firstrow))),0,IF(OFFSET(PLE!$G$14,$M108,BV$13)="",10^12,OFFSET(PLE!$G$14,$M108,BV$13))))</f>
        <v>1000000000000</v>
      </c>
      <c r="BW108" s="182">
        <f ca="1">IF($D108&lt;&gt;"Serviço",0,IF(OR(AND(AUTOEVENTO="Manual",$M108=1),$M108&gt;(ROW(PLE.lastrow)-ROW(PLE.firstrow))),0,IF(OFFSET(PLE!$G$14,$M108,BW$13)="",10^12,OFFSET(PLE!$G$14,$M108,BW$13))))</f>
        <v>1000000000000</v>
      </c>
      <c r="BX108" s="182">
        <f ca="1">IF($D108&lt;&gt;"Serviço",0,IF(OR(AND(AUTOEVENTO="Manual",$M108=1),$M108&gt;(ROW(PLE.lastrow)-ROW(PLE.firstrow))),0,IF(OFFSET(PLE!$G$14,$M108,BX$13)="",10^12,OFFSET(PLE!$G$14,$M108,BX$13))))</f>
        <v>1000000000000</v>
      </c>
      <c r="BY108" s="182">
        <f ca="1">IF($D108&lt;&gt;"Serviço",0,IF(OR(AND(AUTOEVENTO="Manual",$M108=1),$M108&gt;(ROW(PLE.lastrow)-ROW(PLE.firstrow))),0,IF(OFFSET(PLE!$G$14,$M108,BY$13)="",10^12,OFFSET(PLE!$G$14,$M108,BY$13))))</f>
        <v>1000000000000</v>
      </c>
      <c r="BZ108" s="182">
        <f ca="1">IF($D108&lt;&gt;"Serviço",0,IF(OR(AND(AUTOEVENTO="Manual",$M108=1),$M108&gt;(ROW(PLE.lastrow)-ROW(PLE.firstrow))),0,IF(OFFSET(PLE!$G$14,$M108,BZ$13)="",10^12,OFFSET(PLE!$G$14,$M108,BZ$13))))</f>
        <v>1000000000000</v>
      </c>
      <c r="CA108" s="182">
        <f ca="1">IF($D108&lt;&gt;"Serviço",0,IF(OR(AND(AUTOEVENTO="Manual",$M108=1),$M108&gt;(ROW(PLE.lastrow)-ROW(PLE.firstrow))),0,IF(OFFSET(PLE!$G$14,$M108,CA$13)="",10^12,OFFSET(PLE!$G$14,$M108,CA$13))))</f>
        <v>1000000000000</v>
      </c>
      <c r="CB108" s="182">
        <f ca="1">IF($D108&lt;&gt;"Serviço",0,IF(OR(AND(AUTOEVENTO="Manual",$M108=1),$M108&gt;(ROW(PLE.lastrow)-ROW(PLE.firstrow))),0,IF(OFFSET(PLE!$G$14,$M108,CB$13)="",10^12,OFFSET(PLE!$G$14,$M108,CB$13))))</f>
        <v>1000000000000</v>
      </c>
      <c r="CC108" s="182">
        <f ca="1">IF($D108&lt;&gt;"Serviço",0,IF(OR(AND(AUTOEVENTO="Manual",$M108=1),$M108&gt;(ROW(PLE.lastrow)-ROW(PLE.firstrow))),0,IF(OFFSET(PLE!$G$14,$M108,CC$13)="",10^12,OFFSET(PLE!$G$14,$M108,CC$13))))</f>
        <v>1000000000000</v>
      </c>
      <c r="CD108" s="182">
        <f ca="1">IF($D108&lt;&gt;"Serviço",0,IF(OR(AND(AUTOEVENTO="Manual",$M108=1),$M108&gt;(ROW(PLE.lastrow)-ROW(PLE.firstrow))),0,IF(OFFSET(PLE!$G$14,$M108,CD$13)="",10^12,OFFSET(PLE!$G$14,$M108,CD$13))))</f>
        <v>1000000000000</v>
      </c>
      <c r="CE108" s="182">
        <f ca="1">IF($D108&lt;&gt;"Serviço",0,IF(OR(AND(AUTOEVENTO="Manual",$M108=1),$M108&gt;(ROW(PLE.lastrow)-ROW(PLE.firstrow))),0,IF(OFFSET(PLE!$G$14,$M108,CE$13)="",10^12,OFFSET(PLE!$G$14,$M108,CE$13))))</f>
        <v>1000000000000</v>
      </c>
      <c r="CF108" s="182">
        <f ca="1">IF($D108&lt;&gt;"Serviço",0,IF(OR(AND(AUTOEVENTO="Manual",$M108=1),$M108&gt;(ROW(PLE.lastrow)-ROW(PLE.firstrow))),0,IF(OFFSET(PLE!$G$14,$M108,CF$13)="",10^12,OFFSET(PLE!$G$14,$M108,CF$13))))</f>
        <v>1000000000000</v>
      </c>
      <c r="CG108" s="182">
        <f ca="1">IF($D108&lt;&gt;"Serviço",0,IF(OR(AND(AUTOEVENTO="Manual",$M108=1),$M108&gt;(ROW(PLE.lastrow)-ROW(PLE.firstrow))),0,IF(OFFSET(PLE!$G$14,$M108,CG$13)="",10^12,OFFSET(PLE!$G$14,$M108,CG$13))))</f>
        <v>1000000000000</v>
      </c>
      <c r="CH108" s="182">
        <f ca="1">IF($D108&lt;&gt;"Serviço",0,IF(OR(AND(AUTOEVENTO="Manual",$M108=1),$M108&gt;(ROW(PLE.lastrow)-ROW(PLE.firstrow))),0,IF(OFFSET(PLE!$G$14,$M108,CH$13)="",10^12,OFFSET(PLE!$G$14,$M108,CH$13))))</f>
        <v>1000000000000</v>
      </c>
      <c r="CI108" s="182">
        <f ca="1">IF($D108&lt;&gt;"Serviço",0,IF(OR(AND(AUTOEVENTO="Manual",$M108=1),$M108&gt;(ROW(PLE.lastrow)-ROW(PLE.firstrow))),0,IF(OFFSET(PLE!$G$14,$M108,CI$13)="",10^12,OFFSET(PLE!$G$14,$M108,CI$13))))</f>
        <v>1000000000000</v>
      </c>
      <c r="CJ108" s="182">
        <f ca="1">IF($D108&lt;&gt;"Serviço",0,IF(OR(AND(AUTOEVENTO="Manual",$M108=1),$M108&gt;(ROW(PLE.lastrow)-ROW(PLE.firstrow))),0,IF(OFFSET(PLE!$G$14,$M108,CJ$13)="",10^12,OFFSET(PLE!$G$14,$M108,CJ$13))))</f>
        <v>1000000000000</v>
      </c>
      <c r="CK108" s="182">
        <f ca="1">IF($D108&lt;&gt;"Serviço",0,IF(OR(AND(AUTOEVENTO="Manual",$M108=1),$M108&gt;(ROW(PLE.lastrow)-ROW(PLE.firstrow))),0,IF(OFFSET(PLE!$G$14,$M108,CK$13)="",10^12,OFFSET(PLE!$G$14,$M108,CK$13))))</f>
        <v>1000000000000</v>
      </c>
      <c r="CL108" s="182">
        <f ca="1">IF($D108&lt;&gt;"Serviço",0,IF(OR(AND(AUTOEVENTO="Manual",$M108=1),$M108&gt;(ROW(PLE.lastrow)-ROW(PLE.firstrow))),0,IF(OFFSET(PLE!$G$14,$M108,CL$13)="",10^12,OFFSET(PLE!$G$14,$M108,CL$13))))</f>
        <v>1000000000000</v>
      </c>
      <c r="CM108" s="182">
        <f ca="1">IF($D108&lt;&gt;"Serviço",0,IF(OR(AND(AUTOEVENTO="Manual",$M108=1),$M108&gt;(ROW(PLE.lastrow)-ROW(PLE.firstrow))),0,IF(OFFSET(PLE!$G$14,$M108,CM$13)="",10^12,OFFSET(PLE!$G$14,$M108,CM$13))))</f>
        <v>1000000000000</v>
      </c>
    </row>
    <row r="109" spans="1:91" ht="38.25" x14ac:dyDescent="0.2">
      <c r="A109" s="7" t="str">
        <f t="shared" ca="1" si="10"/>
        <v>88</v>
      </c>
      <c r="B109" s="7" t="str">
        <f ca="1">OFFSET(ORÇAMENTO!C$15,ROW(B109)-ROW(B$15),0)</f>
        <v>S</v>
      </c>
      <c r="C109" s="7" t="str">
        <f ca="1">OFFSET(ORÇAMENTO!L$15,ROW(C109)-ROW(C$15),0)</f>
        <v/>
      </c>
      <c r="D109" s="118" t="str">
        <f ca="1">OFFSET(ORÇAMENTO!N$15,ROW(D109)-ROW(D$15),0)</f>
        <v>Serviço</v>
      </c>
      <c r="E109" s="119" t="str">
        <f ca="1">OFFSET(ORÇAMENTO!O$15,ROW(E109)-ROW(E$15),0)</f>
        <v>-</v>
      </c>
      <c r="F109" s="172" t="str">
        <f ca="1">OFFSET(ORÇAMENTO!R$15,ROW(F109)-ROW(F$15),0)</f>
        <v>(abra o arquivo 'Referência 06-2024.xlsm)</v>
      </c>
      <c r="G109" s="173" t="str">
        <f ca="1">IF($D109&lt;&gt;"Serviço","",OFFSET(ORÇAMENTO!S$15,ROW(G109)-ROW(G$15),0))</f>
        <v>-</v>
      </c>
      <c r="H109" s="124">
        <f ca="1">IF($D109&lt;&gt;"Serviço",0,IF(ACOMPANHAMENTO="BM",ROUND(OFFSET(ORÇAMENTO!AJ$15,ROW(H109)-ROW(H$15),0),15-13*ORÇAMENTO!$AF$7),SUMPRODUCT(($Q$12:$AI$12&lt;&gt;"")*ROUND($Q109:$AI109,15-13*ORÇAMENTO!$AF$7))))</f>
        <v>9.5299999999999994</v>
      </c>
      <c r="I109" s="561" t="s">
        <v>1107</v>
      </c>
      <c r="K109" s="174"/>
      <c r="L109" s="175" t="s">
        <v>255</v>
      </c>
      <c r="M109" s="176">
        <f ca="1">IF($D109&lt;&gt;"Serviço","",IF(AUTOEVENTO="manual",$A109,IF(ISERROR(MATCH($A109,$A$15:OFFSET($A109,-1,0),0)),MAX($M$15:OFFSET(M109,-1,0))+1,INDEX($M$15:OFFSET(M109,-1,0),MATCH($A109,$A$15:OFFSET($A109,-1,0),0)))))</f>
        <v>17</v>
      </c>
      <c r="N109" s="177" t="str">
        <f ca="1">IF($D109&lt;&gt;"Serviço","",IF(AUTOEVENTO="Manual",IF($A109=0,"&lt;-- defina o número do agrupador",OFFSET(EVENTOS!$D$14,$A109,0)),OFFSET($F$15,$A109,0)))</f>
        <v>SISTEMA DE VEDAÇÃO VERTICAL - ALVENARIA DE VEDAÇÃO</v>
      </c>
      <c r="O109" s="178"/>
      <c r="Q109" s="178">
        <v>9.5299999999999994</v>
      </c>
      <c r="R109" s="179"/>
      <c r="S109" s="179"/>
      <c r="T109" s="179"/>
      <c r="U109" s="179"/>
      <c r="V109" s="179"/>
      <c r="W109" s="179"/>
      <c r="X109" s="179"/>
      <c r="Y109" s="179"/>
      <c r="Z109" s="180"/>
      <c r="AA109" s="179"/>
      <c r="AB109" s="179"/>
      <c r="AC109" s="179"/>
      <c r="AD109" s="179"/>
      <c r="AE109" s="179"/>
      <c r="AF109" s="179"/>
      <c r="AG109" s="179"/>
      <c r="AH109" s="180"/>
      <c r="AJ109" s="544">
        <f ca="1">IF(AND($D109="Serviço",AJ$12&lt;&gt;0,$H109&gt;0,OR(AUTOEVENTO&lt;&gt;"manual",$M109&lt;&gt;1)),
IF(Import.TipoArredondamento&lt;&gt;"TransfereGOV",
ROUND(OFFSET($P109,0,AJ$13),15-13*ORÇAMENTO!$AF$7)/$H109*OFFSET(ORÇAMENTO!$X$15,ROW(AJ109)-ROW(AJ$15),0),
ROUND(ROUND(OFFSET($P109,0,AJ$13),15-13*ORÇAMENTO!$AF$7)*OFFSET(ORÇAMENTO!$W$15,ROW(AJ109)-ROW(AJ$15),0),15-13*ORÇAMENTO!$AF$11)),0)</f>
        <v>0</v>
      </c>
      <c r="AK109" s="545">
        <f ca="1">IF(AND($D109="Serviço",AK$12&lt;&gt;0,$H109&gt;0,OR(AUTOEVENTO&lt;&gt;"manual",$M109&lt;&gt;1)),
IF(Import.TipoArredondamento&lt;&gt;"TransfereGOV",
ROUND(OFFSET($P109,0,AK$13),15-13*ORÇAMENTO!$AF$7)/$H109*OFFSET(ORÇAMENTO!$X$15,ROW(AK109)-ROW(AK$15),0),
ROUND(ROUND(OFFSET($P109,0,AK$13),15-13*ORÇAMENTO!$AF$7)*OFFSET(ORÇAMENTO!$W$15,ROW(AK109)-ROW(AK$15),0),15-13*ORÇAMENTO!$AF$11)),0)</f>
        <v>0</v>
      </c>
      <c r="AL109" s="545">
        <f ca="1">IF(AND($D109="Serviço",AL$12&lt;&gt;0,$H109&gt;0,OR(AUTOEVENTO&lt;&gt;"manual",$M109&lt;&gt;1)),
IF(Import.TipoArredondamento&lt;&gt;"TransfereGOV",
ROUND(OFFSET($P109,0,AL$13),15-13*ORÇAMENTO!$AF$7)/$H109*OFFSET(ORÇAMENTO!$X$15,ROW(AL109)-ROW(AL$15),0),
ROUND(ROUND(OFFSET($P109,0,AL$13),15-13*ORÇAMENTO!$AF$7)*OFFSET(ORÇAMENTO!$W$15,ROW(AL109)-ROW(AL$15),0),15-13*ORÇAMENTO!$AF$11)),0)</f>
        <v>0</v>
      </c>
      <c r="AM109" s="545">
        <f ca="1">IF(AND($D109="Serviço",AM$12&lt;&gt;0,$H109&gt;0,OR(AUTOEVENTO&lt;&gt;"manual",$M109&lt;&gt;1)),
IF(Import.TipoArredondamento&lt;&gt;"TransfereGOV",
ROUND(OFFSET($P109,0,AM$13),15-13*ORÇAMENTO!$AF$7)/$H109*OFFSET(ORÇAMENTO!$X$15,ROW(AM109)-ROW(AM$15),0),
ROUND(ROUND(OFFSET($P109,0,AM$13),15-13*ORÇAMENTO!$AF$7)*OFFSET(ORÇAMENTO!$W$15,ROW(AM109)-ROW(AM$15),0),15-13*ORÇAMENTO!$AF$11)),0)</f>
        <v>0</v>
      </c>
      <c r="AN109" s="545">
        <f ca="1">IF(AND($D109="Serviço",AN$12&lt;&gt;0,$H109&gt;0,OR(AUTOEVENTO&lt;&gt;"manual",$M109&lt;&gt;1)),
IF(Import.TipoArredondamento&lt;&gt;"TransfereGOV",
ROUND(OFFSET($P109,0,AN$13),15-13*ORÇAMENTO!$AF$7)/$H109*OFFSET(ORÇAMENTO!$X$15,ROW(AN109)-ROW(AN$15),0),
ROUND(ROUND(OFFSET($P109,0,AN$13),15-13*ORÇAMENTO!$AF$7)*OFFSET(ORÇAMENTO!$W$15,ROW(AN109)-ROW(AN$15),0),15-13*ORÇAMENTO!$AF$11)),0)</f>
        <v>0</v>
      </c>
      <c r="AO109" s="545">
        <f ca="1">IF(AND($D109="Serviço",AO$12&lt;&gt;0,$H109&gt;0,OR(AUTOEVENTO&lt;&gt;"manual",$M109&lt;&gt;1)),
IF(Import.TipoArredondamento&lt;&gt;"TransfereGOV",
ROUND(OFFSET($P109,0,AO$13),15-13*ORÇAMENTO!$AF$7)/$H109*OFFSET(ORÇAMENTO!$X$15,ROW(AO109)-ROW(AO$15),0),
ROUND(ROUND(OFFSET($P109,0,AO$13),15-13*ORÇAMENTO!$AF$7)*OFFSET(ORÇAMENTO!$W$15,ROW(AO109)-ROW(AO$15),0),15-13*ORÇAMENTO!$AF$11)),0)</f>
        <v>0</v>
      </c>
      <c r="AP109" s="545">
        <f ca="1">IF(AND($D109="Serviço",AP$12&lt;&gt;0,$H109&gt;0,OR(AUTOEVENTO&lt;&gt;"manual",$M109&lt;&gt;1)),
IF(Import.TipoArredondamento&lt;&gt;"TransfereGOV",
ROUND(OFFSET($P109,0,AP$13),15-13*ORÇAMENTO!$AF$7)/$H109*OFFSET(ORÇAMENTO!$X$15,ROW(AP109)-ROW(AP$15),0),
ROUND(ROUND(OFFSET($P109,0,AP$13),15-13*ORÇAMENTO!$AF$7)*OFFSET(ORÇAMENTO!$W$15,ROW(AP109)-ROW(AP$15),0),15-13*ORÇAMENTO!$AF$11)),0)</f>
        <v>0</v>
      </c>
      <c r="AQ109" s="545">
        <f ca="1">IF(AND($D109="Serviço",AQ$12&lt;&gt;0,$H109&gt;0,OR(AUTOEVENTO&lt;&gt;"manual",$M109&lt;&gt;1)),
IF(Import.TipoArredondamento&lt;&gt;"TransfereGOV",
ROUND(OFFSET($P109,0,AQ$13),15-13*ORÇAMENTO!$AF$7)/$H109*OFFSET(ORÇAMENTO!$X$15,ROW(AQ109)-ROW(AQ$15),0),
ROUND(ROUND(OFFSET($P109,0,AQ$13),15-13*ORÇAMENTO!$AF$7)*OFFSET(ORÇAMENTO!$W$15,ROW(AQ109)-ROW(AQ$15),0),15-13*ORÇAMENTO!$AF$11)),0)</f>
        <v>0</v>
      </c>
      <c r="AR109" s="545">
        <f ca="1">IF(AND($D109="Serviço",AR$12&lt;&gt;0,$H109&gt;0,OR(AUTOEVENTO&lt;&gt;"manual",$M109&lt;&gt;1)),
IF(Import.TipoArredondamento&lt;&gt;"TransfereGOV",
ROUND(OFFSET($P109,0,AR$13),15-13*ORÇAMENTO!$AF$7)/$H109*OFFSET(ORÇAMENTO!$X$15,ROW(AR109)-ROW(AR$15),0),
ROUND(ROUND(OFFSET($P109,0,AR$13),15-13*ORÇAMENTO!$AF$7)*OFFSET(ORÇAMENTO!$W$15,ROW(AR109)-ROW(AR$15),0),15-13*ORÇAMENTO!$AF$11)),0)</f>
        <v>0</v>
      </c>
      <c r="AS109" s="546">
        <f ca="1">IF(AND($D109="Serviço",AS$12&lt;&gt;0,$H109&gt;0,OR(AUTOEVENTO&lt;&gt;"manual",$M109&lt;&gt;1)),
IF(Import.TipoArredondamento&lt;&gt;"TransfereGOV",
ROUND(OFFSET($P109,0,AS$13),15-13*ORÇAMENTO!$AF$7)/$H109*OFFSET(ORÇAMENTO!$X$15,ROW(AS109)-ROW(AS$15),0),
ROUND(ROUND(OFFSET($P109,0,AS$13),15-13*ORÇAMENTO!$AF$7)*OFFSET(ORÇAMENTO!$W$15,ROW(AS109)-ROW(AS$15),0),15-13*ORÇAMENTO!$AF$11)),0)</f>
        <v>0</v>
      </c>
      <c r="AT109" s="545">
        <f ca="1">IF(AND($D109="Serviço",AT$12&lt;&gt;0,$H109&gt;0,OR(AUTOEVENTO&lt;&gt;"manual",$M109&lt;&gt;1)),
IF(Import.TipoArredondamento&lt;&gt;"TransfereGOV",
ROUND(OFFSET($P109,0,AT$13),15-13*ORÇAMENTO!$AF$7)/$H109*OFFSET(ORÇAMENTO!$X$15,ROW(AT109)-ROW(AT$15),0),
ROUND(ROUND(OFFSET($P109,0,AT$13),15-13*ORÇAMENTO!$AF$7)*OFFSET(ORÇAMENTO!$W$15,ROW(AT109)-ROW(AT$15),0),15-13*ORÇAMENTO!$AF$11)),0)</f>
        <v>0</v>
      </c>
      <c r="AU109" s="545">
        <f ca="1">IF(AND($D109="Serviço",AU$12&lt;&gt;0,$H109&gt;0,OR(AUTOEVENTO&lt;&gt;"manual",$M109&lt;&gt;1)),
IF(Import.TipoArredondamento&lt;&gt;"TransfereGOV",
ROUND(OFFSET($P109,0,AU$13),15-13*ORÇAMENTO!$AF$7)/$H109*OFFSET(ORÇAMENTO!$X$15,ROW(AU109)-ROW(AU$15),0),
ROUND(ROUND(OFFSET($P109,0,AU$13),15-13*ORÇAMENTO!$AF$7)*OFFSET(ORÇAMENTO!$W$15,ROW(AU109)-ROW(AU$15),0),15-13*ORÇAMENTO!$AF$11)),0)</f>
        <v>0</v>
      </c>
      <c r="AV109" s="545">
        <f ca="1">IF(AND($D109="Serviço",AV$12&lt;&gt;0,$H109&gt;0,OR(AUTOEVENTO&lt;&gt;"manual",$M109&lt;&gt;1)),
IF(Import.TipoArredondamento&lt;&gt;"TransfereGOV",
ROUND(OFFSET($P109,0,AV$13),15-13*ORÇAMENTO!$AF$7)/$H109*OFFSET(ORÇAMENTO!$X$15,ROW(AV109)-ROW(AV$15),0),
ROUND(ROUND(OFFSET($P109,0,AV$13),15-13*ORÇAMENTO!$AF$7)*OFFSET(ORÇAMENTO!$W$15,ROW(AV109)-ROW(AV$15),0),15-13*ORÇAMENTO!$AF$11)),0)</f>
        <v>0</v>
      </c>
      <c r="AW109" s="545">
        <f ca="1">IF(AND($D109="Serviço",AW$12&lt;&gt;0,$H109&gt;0,OR(AUTOEVENTO&lt;&gt;"manual",$M109&lt;&gt;1)),
IF(Import.TipoArredondamento&lt;&gt;"TransfereGOV",
ROUND(OFFSET($P109,0,AW$13),15-13*ORÇAMENTO!$AF$7)/$H109*OFFSET(ORÇAMENTO!$X$15,ROW(AW109)-ROW(AW$15),0),
ROUND(ROUND(OFFSET($P109,0,AW$13),15-13*ORÇAMENTO!$AF$7)*OFFSET(ORÇAMENTO!$W$15,ROW(AW109)-ROW(AW$15),0),15-13*ORÇAMENTO!$AF$11)),0)</f>
        <v>0</v>
      </c>
      <c r="AX109" s="545">
        <f ca="1">IF(AND($D109="Serviço",AX$12&lt;&gt;0,$H109&gt;0,OR(AUTOEVENTO&lt;&gt;"manual",$M109&lt;&gt;1)),
IF(Import.TipoArredondamento&lt;&gt;"TransfereGOV",
ROUND(OFFSET($P109,0,AX$13),15-13*ORÇAMENTO!$AF$7)/$H109*OFFSET(ORÇAMENTO!$X$15,ROW(AX109)-ROW(AX$15),0),
ROUND(ROUND(OFFSET($P109,0,AX$13),15-13*ORÇAMENTO!$AF$7)*OFFSET(ORÇAMENTO!$W$15,ROW(AX109)-ROW(AX$15),0),15-13*ORÇAMENTO!$AF$11)),0)</f>
        <v>0</v>
      </c>
      <c r="AY109" s="545">
        <f ca="1">IF(AND($D109="Serviço",AY$12&lt;&gt;0,$H109&gt;0,OR(AUTOEVENTO&lt;&gt;"manual",$M109&lt;&gt;1)),
IF(Import.TipoArredondamento&lt;&gt;"TransfereGOV",
ROUND(OFFSET($P109,0,AY$13),15-13*ORÇAMENTO!$AF$7)/$H109*OFFSET(ORÇAMENTO!$X$15,ROW(AY109)-ROW(AY$15),0),
ROUND(ROUND(OFFSET($P109,0,AY$13),15-13*ORÇAMENTO!$AF$7)*OFFSET(ORÇAMENTO!$W$15,ROW(AY109)-ROW(AY$15),0),15-13*ORÇAMENTO!$AF$11)),0)</f>
        <v>0</v>
      </c>
      <c r="AZ109" s="545">
        <f ca="1">IF(AND($D109="Serviço",AZ$12&lt;&gt;0,$H109&gt;0,OR(AUTOEVENTO&lt;&gt;"manual",$M109&lt;&gt;1)),
IF(Import.TipoArredondamento&lt;&gt;"TransfereGOV",
ROUND(OFFSET($P109,0,AZ$13),15-13*ORÇAMENTO!$AF$7)/$H109*OFFSET(ORÇAMENTO!$X$15,ROW(AZ109)-ROW(AZ$15),0),
ROUND(ROUND(OFFSET($P109,0,AZ$13),15-13*ORÇAMENTO!$AF$7)*OFFSET(ORÇAMENTO!$W$15,ROW(AZ109)-ROW(AZ$15),0),15-13*ORÇAMENTO!$AF$11)),0)</f>
        <v>0</v>
      </c>
      <c r="BA109" s="546">
        <f ca="1">IF(AND($D109="Serviço",BA$12&lt;&gt;0,$H109&gt;0,OR(AUTOEVENTO&lt;&gt;"manual",$M109&lt;&gt;1)),
IF(Import.TipoArredondamento&lt;&gt;"TransfereGOV",
ROUND(OFFSET($P109,0,BA$13),15-13*ORÇAMENTO!$AF$7)/$H109*OFFSET(ORÇAMENTO!$X$15,ROW(BA109)-ROW(BA$15),0),
ROUND(ROUND(OFFSET($P109,0,BA$13),15-13*ORÇAMENTO!$AF$7)*OFFSET(ORÇAMENTO!$W$15,ROW(BA109)-ROW(BA$15),0),15-13*ORÇAMENTO!$AF$11)),0)</f>
        <v>0</v>
      </c>
      <c r="BC109" s="181">
        <f ca="1">IF($D109&lt;&gt;"Serviço",0,IF(AND(AUTOEVENTO="Manual",$M109=1),0,IF(OFFSET(CRONOPLE!$F$14,$M109,BC$13)="",10^12,OFFSET(CRONOPLE!$F$14,$M109,BC$13))))</f>
        <v>4</v>
      </c>
      <c r="BD109" s="181">
        <f ca="1">IF($D109&lt;&gt;"Serviço",0,IF(AND(AUTOEVENTO="Manual",$M109=1),0,IF(OFFSET(CRONOPLE!$F$14,$M109,BD$13)="",10^12,OFFSET(CRONOPLE!$F$14,$M109,BD$13))))</f>
        <v>1000000000000</v>
      </c>
      <c r="BE109" s="181">
        <f ca="1">IF($D109&lt;&gt;"Serviço",0,IF(AND(AUTOEVENTO="Manual",$M109=1),0,IF(OFFSET(CRONOPLE!$F$14,$M109,BE$13)="",10^12,OFFSET(CRONOPLE!$F$14,$M109,BE$13))))</f>
        <v>1000000000000</v>
      </c>
      <c r="BF109" s="181">
        <f ca="1">IF($D109&lt;&gt;"Serviço",0,IF(AND(AUTOEVENTO="Manual",$M109=1),0,IF(OFFSET(CRONOPLE!$F$14,$M109,BF$13)="",10^12,OFFSET(CRONOPLE!$F$14,$M109,BF$13))))</f>
        <v>1000000000000</v>
      </c>
      <c r="BG109" s="181">
        <f ca="1">IF($D109&lt;&gt;"Serviço",0,IF(AND(AUTOEVENTO="Manual",$M109=1),0,IF(OFFSET(CRONOPLE!$F$14,$M109,BG$13)="",10^12,OFFSET(CRONOPLE!$F$14,$M109,BG$13))))</f>
        <v>1000000000000</v>
      </c>
      <c r="BH109" s="181">
        <f ca="1">IF($D109&lt;&gt;"Serviço",0,IF(AND(AUTOEVENTO="Manual",$M109=1),0,IF(OFFSET(CRONOPLE!$F$14,$M109,BH$13)="",10^12,OFFSET(CRONOPLE!$F$14,$M109,BH$13))))</f>
        <v>1000000000000</v>
      </c>
      <c r="BI109" s="181">
        <f ca="1">IF($D109&lt;&gt;"Serviço",0,IF(AND(AUTOEVENTO="Manual",$M109=1),0,IF(OFFSET(CRONOPLE!$F$14,$M109,BI$13)="",10^12,OFFSET(CRONOPLE!$F$14,$M109,BI$13))))</f>
        <v>1000000000000</v>
      </c>
      <c r="BJ109" s="181">
        <f ca="1">IF($D109&lt;&gt;"Serviço",0,IF(AND(AUTOEVENTO="Manual",$M109=1),0,IF(OFFSET(CRONOPLE!$F$14,$M109,BJ$13)="",10^12,OFFSET(CRONOPLE!$F$14,$M109,BJ$13))))</f>
        <v>1000000000000</v>
      </c>
      <c r="BK109" s="181">
        <f ca="1">IF($D109&lt;&gt;"Serviço",0,IF(AND(AUTOEVENTO="Manual",$M109=1),0,IF(OFFSET(CRONOPLE!$F$14,$M109,BK$13)="",10^12,OFFSET(CRONOPLE!$F$14,$M109,BK$13))))</f>
        <v>1000000000000</v>
      </c>
      <c r="BL109" s="181">
        <f ca="1">IF($D109&lt;&gt;"Serviço",0,IF(AND(AUTOEVENTO="Manual",$M109=1),0,IF(OFFSET(CRONOPLE!$F$14,$M109,BL$13)="",10^12,OFFSET(CRONOPLE!$F$14,$M109,BL$13))))</f>
        <v>1000000000000</v>
      </c>
      <c r="BM109" s="181">
        <f ca="1">IF($D109&lt;&gt;"Serviço",0,IF(AND(AUTOEVENTO="Manual",$M109=1),0,IF(OFFSET(CRONOPLE!$F$14,$M109,BM$13)="",10^12,OFFSET(CRONOPLE!$F$14,$M109,BM$13))))</f>
        <v>1000000000000</v>
      </c>
      <c r="BN109" s="181">
        <f ca="1">IF($D109&lt;&gt;"Serviço",0,IF(AND(AUTOEVENTO="Manual",$M109=1),0,IF(OFFSET(CRONOPLE!$F$14,$M109,BN$13)="",10^12,OFFSET(CRONOPLE!$F$14,$M109,BN$13))))</f>
        <v>1000000000000</v>
      </c>
      <c r="BO109" s="181">
        <f ca="1">IF($D109&lt;&gt;"Serviço",0,IF(AND(AUTOEVENTO="Manual",$M109=1),0,IF(OFFSET(CRONOPLE!$F$14,$M109,BO$13)="",10^12,OFFSET(CRONOPLE!$F$14,$M109,BO$13))))</f>
        <v>1000000000000</v>
      </c>
      <c r="BP109" s="181">
        <f ca="1">IF($D109&lt;&gt;"Serviço",0,IF(AND(AUTOEVENTO="Manual",$M109=1),0,IF(OFFSET(CRONOPLE!$F$14,$M109,BP$13)="",10^12,OFFSET(CRONOPLE!$F$14,$M109,BP$13))))</f>
        <v>1000000000000</v>
      </c>
      <c r="BQ109" s="181">
        <f ca="1">IF($D109&lt;&gt;"Serviço",0,IF(AND(AUTOEVENTO="Manual",$M109=1),0,IF(OFFSET(CRONOPLE!$F$14,$M109,BQ$13)="",10^12,OFFSET(CRONOPLE!$F$14,$M109,BQ$13))))</f>
        <v>1000000000000</v>
      </c>
      <c r="BR109" s="181">
        <f ca="1">IF($D109&lt;&gt;"Serviço",0,IF(AND(AUTOEVENTO="Manual",$M109=1),0,IF(OFFSET(CRONOPLE!$F$14,$M109,BR$13)="",10^12,OFFSET(CRONOPLE!$F$14,$M109,BR$13))))</f>
        <v>1000000000000</v>
      </c>
      <c r="BS109" s="181">
        <f ca="1">IF($D109&lt;&gt;"Serviço",0,IF(AND(AUTOEVENTO="Manual",$M109=1),0,IF(OFFSET(CRONOPLE!$F$14,$M109,BS$13)="",10^12,OFFSET(CRONOPLE!$F$14,$M109,BS$13))))</f>
        <v>1000000000000</v>
      </c>
      <c r="BT109" s="181">
        <f ca="1">IF($D109&lt;&gt;"Serviço",0,IF(AND(AUTOEVENTO="Manual",$M109=1),0,IF(OFFSET(CRONOPLE!$F$14,$M109,BT$13)="",10^12,OFFSET(CRONOPLE!$F$14,$M109,BT$13))))</f>
        <v>1000000000000</v>
      </c>
      <c r="BV109" s="182">
        <f ca="1">IF($D109&lt;&gt;"Serviço",0,IF(OR(AND(AUTOEVENTO="Manual",$M109=1),$M109&gt;(ROW(PLE.lastrow)-ROW(PLE.firstrow))),0,IF(OFFSET(PLE!$G$14,$M109,BV$13)="",10^12,OFFSET(PLE!$G$14,$M109,BV$13))))</f>
        <v>1000000000000</v>
      </c>
      <c r="BW109" s="182">
        <f ca="1">IF($D109&lt;&gt;"Serviço",0,IF(OR(AND(AUTOEVENTO="Manual",$M109=1),$M109&gt;(ROW(PLE.lastrow)-ROW(PLE.firstrow))),0,IF(OFFSET(PLE!$G$14,$M109,BW$13)="",10^12,OFFSET(PLE!$G$14,$M109,BW$13))))</f>
        <v>1000000000000</v>
      </c>
      <c r="BX109" s="182">
        <f ca="1">IF($D109&lt;&gt;"Serviço",0,IF(OR(AND(AUTOEVENTO="Manual",$M109=1),$M109&gt;(ROW(PLE.lastrow)-ROW(PLE.firstrow))),0,IF(OFFSET(PLE!$G$14,$M109,BX$13)="",10^12,OFFSET(PLE!$G$14,$M109,BX$13))))</f>
        <v>1000000000000</v>
      </c>
      <c r="BY109" s="182">
        <f ca="1">IF($D109&lt;&gt;"Serviço",0,IF(OR(AND(AUTOEVENTO="Manual",$M109=1),$M109&gt;(ROW(PLE.lastrow)-ROW(PLE.firstrow))),0,IF(OFFSET(PLE!$G$14,$M109,BY$13)="",10^12,OFFSET(PLE!$G$14,$M109,BY$13))))</f>
        <v>1000000000000</v>
      </c>
      <c r="BZ109" s="182">
        <f ca="1">IF($D109&lt;&gt;"Serviço",0,IF(OR(AND(AUTOEVENTO="Manual",$M109=1),$M109&gt;(ROW(PLE.lastrow)-ROW(PLE.firstrow))),0,IF(OFFSET(PLE!$G$14,$M109,BZ$13)="",10^12,OFFSET(PLE!$G$14,$M109,BZ$13))))</f>
        <v>1000000000000</v>
      </c>
      <c r="CA109" s="182">
        <f ca="1">IF($D109&lt;&gt;"Serviço",0,IF(OR(AND(AUTOEVENTO="Manual",$M109=1),$M109&gt;(ROW(PLE.lastrow)-ROW(PLE.firstrow))),0,IF(OFFSET(PLE!$G$14,$M109,CA$13)="",10^12,OFFSET(PLE!$G$14,$M109,CA$13))))</f>
        <v>1000000000000</v>
      </c>
      <c r="CB109" s="182">
        <f ca="1">IF($D109&lt;&gt;"Serviço",0,IF(OR(AND(AUTOEVENTO="Manual",$M109=1),$M109&gt;(ROW(PLE.lastrow)-ROW(PLE.firstrow))),0,IF(OFFSET(PLE!$G$14,$M109,CB$13)="",10^12,OFFSET(PLE!$G$14,$M109,CB$13))))</f>
        <v>1000000000000</v>
      </c>
      <c r="CC109" s="182">
        <f ca="1">IF($D109&lt;&gt;"Serviço",0,IF(OR(AND(AUTOEVENTO="Manual",$M109=1),$M109&gt;(ROW(PLE.lastrow)-ROW(PLE.firstrow))),0,IF(OFFSET(PLE!$G$14,$M109,CC$13)="",10^12,OFFSET(PLE!$G$14,$M109,CC$13))))</f>
        <v>1000000000000</v>
      </c>
      <c r="CD109" s="182">
        <f ca="1">IF($D109&lt;&gt;"Serviço",0,IF(OR(AND(AUTOEVENTO="Manual",$M109=1),$M109&gt;(ROW(PLE.lastrow)-ROW(PLE.firstrow))),0,IF(OFFSET(PLE!$G$14,$M109,CD$13)="",10^12,OFFSET(PLE!$G$14,$M109,CD$13))))</f>
        <v>1000000000000</v>
      </c>
      <c r="CE109" s="182">
        <f ca="1">IF($D109&lt;&gt;"Serviço",0,IF(OR(AND(AUTOEVENTO="Manual",$M109=1),$M109&gt;(ROW(PLE.lastrow)-ROW(PLE.firstrow))),0,IF(OFFSET(PLE!$G$14,$M109,CE$13)="",10^12,OFFSET(PLE!$G$14,$M109,CE$13))))</f>
        <v>1000000000000</v>
      </c>
      <c r="CF109" s="182">
        <f ca="1">IF($D109&lt;&gt;"Serviço",0,IF(OR(AND(AUTOEVENTO="Manual",$M109=1),$M109&gt;(ROW(PLE.lastrow)-ROW(PLE.firstrow))),0,IF(OFFSET(PLE!$G$14,$M109,CF$13)="",10^12,OFFSET(PLE!$G$14,$M109,CF$13))))</f>
        <v>1000000000000</v>
      </c>
      <c r="CG109" s="182">
        <f ca="1">IF($D109&lt;&gt;"Serviço",0,IF(OR(AND(AUTOEVENTO="Manual",$M109=1),$M109&gt;(ROW(PLE.lastrow)-ROW(PLE.firstrow))),0,IF(OFFSET(PLE!$G$14,$M109,CG$13)="",10^12,OFFSET(PLE!$G$14,$M109,CG$13))))</f>
        <v>1000000000000</v>
      </c>
      <c r="CH109" s="182">
        <f ca="1">IF($D109&lt;&gt;"Serviço",0,IF(OR(AND(AUTOEVENTO="Manual",$M109=1),$M109&gt;(ROW(PLE.lastrow)-ROW(PLE.firstrow))),0,IF(OFFSET(PLE!$G$14,$M109,CH$13)="",10^12,OFFSET(PLE!$G$14,$M109,CH$13))))</f>
        <v>1000000000000</v>
      </c>
      <c r="CI109" s="182">
        <f ca="1">IF($D109&lt;&gt;"Serviço",0,IF(OR(AND(AUTOEVENTO="Manual",$M109=1),$M109&gt;(ROW(PLE.lastrow)-ROW(PLE.firstrow))),0,IF(OFFSET(PLE!$G$14,$M109,CI$13)="",10^12,OFFSET(PLE!$G$14,$M109,CI$13))))</f>
        <v>1000000000000</v>
      </c>
      <c r="CJ109" s="182">
        <f ca="1">IF($D109&lt;&gt;"Serviço",0,IF(OR(AND(AUTOEVENTO="Manual",$M109=1),$M109&gt;(ROW(PLE.lastrow)-ROW(PLE.firstrow))),0,IF(OFFSET(PLE!$G$14,$M109,CJ$13)="",10^12,OFFSET(PLE!$G$14,$M109,CJ$13))))</f>
        <v>1000000000000</v>
      </c>
      <c r="CK109" s="182">
        <f ca="1">IF($D109&lt;&gt;"Serviço",0,IF(OR(AND(AUTOEVENTO="Manual",$M109=1),$M109&gt;(ROW(PLE.lastrow)-ROW(PLE.firstrow))),0,IF(OFFSET(PLE!$G$14,$M109,CK$13)="",10^12,OFFSET(PLE!$G$14,$M109,CK$13))))</f>
        <v>1000000000000</v>
      </c>
      <c r="CL109" s="182">
        <f ca="1">IF($D109&lt;&gt;"Serviço",0,IF(OR(AND(AUTOEVENTO="Manual",$M109=1),$M109&gt;(ROW(PLE.lastrow)-ROW(PLE.firstrow))),0,IF(OFFSET(PLE!$G$14,$M109,CL$13)="",10^12,OFFSET(PLE!$G$14,$M109,CL$13))))</f>
        <v>1000000000000</v>
      </c>
      <c r="CM109" s="182">
        <f ca="1">IF($D109&lt;&gt;"Serviço",0,IF(OR(AND(AUTOEVENTO="Manual",$M109=1),$M109&gt;(ROW(PLE.lastrow)-ROW(PLE.firstrow))),0,IF(OFFSET(PLE!$G$14,$M109,CM$13)="",10^12,OFFSET(PLE!$G$14,$M109,CM$13))))</f>
        <v>1000000000000</v>
      </c>
    </row>
    <row r="110" spans="1:91" ht="12.75" x14ac:dyDescent="0.2">
      <c r="A110" s="7" t="str">
        <f t="shared" ca="1" si="10"/>
        <v>95.</v>
      </c>
      <c r="B110" s="7">
        <f ca="1">OFFSET(ORÇAMENTO!C$15,ROW(B110)-ROW(B$15),0)</f>
        <v>2</v>
      </c>
      <c r="C110" s="7" t="str">
        <f ca="1">OFFSET(ORÇAMENTO!L$15,ROW(C110)-ROW(C$15),0)</f>
        <v>F</v>
      </c>
      <c r="D110" s="118" t="str">
        <f ca="1">OFFSET(ORÇAMENTO!N$15,ROW(D110)-ROW(D$15),0)</f>
        <v>Nível 2</v>
      </c>
      <c r="E110" s="119" t="str">
        <f ca="1">OFFSET(ORÇAMENTO!O$15,ROW(E110)-ROW(E$15),0)</f>
        <v>1.17.</v>
      </c>
      <c r="F110" s="172" t="str">
        <f ca="1">OFFSET(ORÇAMENTO!R$15,ROW(F110)-ROW(F$15),0)</f>
        <v>SISTEMA DE VEDAÇÃO VERTICAL - DIVISÓRIAS</v>
      </c>
      <c r="G110" s="173" t="str">
        <f ca="1">IF($D110&lt;&gt;"Serviço","",OFFSET(ORÇAMENTO!S$15,ROW(G110)-ROW(G$15),0))</f>
        <v/>
      </c>
      <c r="H110" s="124">
        <f ca="1">IF($D110&lt;&gt;"Serviço",0,IF(ACOMPANHAMENTO="BM",ROUND(OFFSET(ORÇAMENTO!AJ$15,ROW(H110)-ROW(H$15),0),15-13*ORÇAMENTO!$AF$7),SUMPRODUCT(($Q$12:$AI$12&lt;&gt;"")*ROUND($Q110:$AI110,15-13*ORÇAMENTO!$AF$7))))</f>
        <v>0</v>
      </c>
      <c r="I110" s="561"/>
      <c r="K110" s="174"/>
      <c r="L110" s="175" t="s">
        <v>255</v>
      </c>
      <c r="M110" s="176" t="str">
        <f ca="1">IF($D110&lt;&gt;"Serviço","",IF(AUTOEVENTO="manual",$A110,IF(ISERROR(MATCH($A110,$A$15:OFFSET($A110,-1,0),0)),MAX($M$15:OFFSET(M110,-1,0))+1,INDEX($M$15:OFFSET(M110,-1,0),MATCH($A110,$A$15:OFFSET($A110,-1,0),0)))))</f>
        <v/>
      </c>
      <c r="N110" s="177" t="str">
        <f ca="1">IF($D110&lt;&gt;"Serviço","",IF(AUTOEVENTO="Manual",IF($A110=0,"&lt;-- defina o número do agrupador",OFFSET(EVENTOS!$D$14,$A110,0)),OFFSET($F$15,$A110,0)))</f>
        <v/>
      </c>
      <c r="O110" s="178"/>
      <c r="Q110" s="178">
        <v>0</v>
      </c>
      <c r="R110" s="179"/>
      <c r="S110" s="179"/>
      <c r="T110" s="179"/>
      <c r="U110" s="179"/>
      <c r="V110" s="179"/>
      <c r="W110" s="179"/>
      <c r="X110" s="179"/>
      <c r="Y110" s="179"/>
      <c r="Z110" s="180"/>
      <c r="AA110" s="179"/>
      <c r="AB110" s="179"/>
      <c r="AC110" s="179"/>
      <c r="AD110" s="179"/>
      <c r="AE110" s="179"/>
      <c r="AF110" s="179"/>
      <c r="AG110" s="179"/>
      <c r="AH110" s="180"/>
      <c r="AJ110" s="544">
        <f ca="1">IF(AND($D110="Serviço",AJ$12&lt;&gt;0,$H110&gt;0,OR(AUTOEVENTO&lt;&gt;"manual",$M110&lt;&gt;1)),
IF(Import.TipoArredondamento&lt;&gt;"TransfereGOV",
ROUND(OFFSET($P110,0,AJ$13),15-13*ORÇAMENTO!$AF$7)/$H110*OFFSET(ORÇAMENTO!$X$15,ROW(AJ110)-ROW(AJ$15),0),
ROUND(ROUND(OFFSET($P110,0,AJ$13),15-13*ORÇAMENTO!$AF$7)*OFFSET(ORÇAMENTO!$W$15,ROW(AJ110)-ROW(AJ$15),0),15-13*ORÇAMENTO!$AF$11)),0)</f>
        <v>0</v>
      </c>
      <c r="AK110" s="545">
        <f ca="1">IF(AND($D110="Serviço",AK$12&lt;&gt;0,$H110&gt;0,OR(AUTOEVENTO&lt;&gt;"manual",$M110&lt;&gt;1)),
IF(Import.TipoArredondamento&lt;&gt;"TransfereGOV",
ROUND(OFFSET($P110,0,AK$13),15-13*ORÇAMENTO!$AF$7)/$H110*OFFSET(ORÇAMENTO!$X$15,ROW(AK110)-ROW(AK$15),0),
ROUND(ROUND(OFFSET($P110,0,AK$13),15-13*ORÇAMENTO!$AF$7)*OFFSET(ORÇAMENTO!$W$15,ROW(AK110)-ROW(AK$15),0),15-13*ORÇAMENTO!$AF$11)),0)</f>
        <v>0</v>
      </c>
      <c r="AL110" s="545">
        <f ca="1">IF(AND($D110="Serviço",AL$12&lt;&gt;0,$H110&gt;0,OR(AUTOEVENTO&lt;&gt;"manual",$M110&lt;&gt;1)),
IF(Import.TipoArredondamento&lt;&gt;"TransfereGOV",
ROUND(OFFSET($P110,0,AL$13),15-13*ORÇAMENTO!$AF$7)/$H110*OFFSET(ORÇAMENTO!$X$15,ROW(AL110)-ROW(AL$15),0),
ROUND(ROUND(OFFSET($P110,0,AL$13),15-13*ORÇAMENTO!$AF$7)*OFFSET(ORÇAMENTO!$W$15,ROW(AL110)-ROW(AL$15),0),15-13*ORÇAMENTO!$AF$11)),0)</f>
        <v>0</v>
      </c>
      <c r="AM110" s="545">
        <f ca="1">IF(AND($D110="Serviço",AM$12&lt;&gt;0,$H110&gt;0,OR(AUTOEVENTO&lt;&gt;"manual",$M110&lt;&gt;1)),
IF(Import.TipoArredondamento&lt;&gt;"TransfereGOV",
ROUND(OFFSET($P110,0,AM$13),15-13*ORÇAMENTO!$AF$7)/$H110*OFFSET(ORÇAMENTO!$X$15,ROW(AM110)-ROW(AM$15),0),
ROUND(ROUND(OFFSET($P110,0,AM$13),15-13*ORÇAMENTO!$AF$7)*OFFSET(ORÇAMENTO!$W$15,ROW(AM110)-ROW(AM$15),0),15-13*ORÇAMENTO!$AF$11)),0)</f>
        <v>0</v>
      </c>
      <c r="AN110" s="545">
        <f ca="1">IF(AND($D110="Serviço",AN$12&lt;&gt;0,$H110&gt;0,OR(AUTOEVENTO&lt;&gt;"manual",$M110&lt;&gt;1)),
IF(Import.TipoArredondamento&lt;&gt;"TransfereGOV",
ROUND(OFFSET($P110,0,AN$13),15-13*ORÇAMENTO!$AF$7)/$H110*OFFSET(ORÇAMENTO!$X$15,ROW(AN110)-ROW(AN$15),0),
ROUND(ROUND(OFFSET($P110,0,AN$13),15-13*ORÇAMENTO!$AF$7)*OFFSET(ORÇAMENTO!$W$15,ROW(AN110)-ROW(AN$15),0),15-13*ORÇAMENTO!$AF$11)),0)</f>
        <v>0</v>
      </c>
      <c r="AO110" s="545">
        <f ca="1">IF(AND($D110="Serviço",AO$12&lt;&gt;0,$H110&gt;0,OR(AUTOEVENTO&lt;&gt;"manual",$M110&lt;&gt;1)),
IF(Import.TipoArredondamento&lt;&gt;"TransfereGOV",
ROUND(OFFSET($P110,0,AO$13),15-13*ORÇAMENTO!$AF$7)/$H110*OFFSET(ORÇAMENTO!$X$15,ROW(AO110)-ROW(AO$15),0),
ROUND(ROUND(OFFSET($P110,0,AO$13),15-13*ORÇAMENTO!$AF$7)*OFFSET(ORÇAMENTO!$W$15,ROW(AO110)-ROW(AO$15),0),15-13*ORÇAMENTO!$AF$11)),0)</f>
        <v>0</v>
      </c>
      <c r="AP110" s="545">
        <f ca="1">IF(AND($D110="Serviço",AP$12&lt;&gt;0,$H110&gt;0,OR(AUTOEVENTO&lt;&gt;"manual",$M110&lt;&gt;1)),
IF(Import.TipoArredondamento&lt;&gt;"TransfereGOV",
ROUND(OFFSET($P110,0,AP$13),15-13*ORÇAMENTO!$AF$7)/$H110*OFFSET(ORÇAMENTO!$X$15,ROW(AP110)-ROW(AP$15),0),
ROUND(ROUND(OFFSET($P110,0,AP$13),15-13*ORÇAMENTO!$AF$7)*OFFSET(ORÇAMENTO!$W$15,ROW(AP110)-ROW(AP$15),0),15-13*ORÇAMENTO!$AF$11)),0)</f>
        <v>0</v>
      </c>
      <c r="AQ110" s="545">
        <f ca="1">IF(AND($D110="Serviço",AQ$12&lt;&gt;0,$H110&gt;0,OR(AUTOEVENTO&lt;&gt;"manual",$M110&lt;&gt;1)),
IF(Import.TipoArredondamento&lt;&gt;"TransfereGOV",
ROUND(OFFSET($P110,0,AQ$13),15-13*ORÇAMENTO!$AF$7)/$H110*OFFSET(ORÇAMENTO!$X$15,ROW(AQ110)-ROW(AQ$15),0),
ROUND(ROUND(OFFSET($P110,0,AQ$13),15-13*ORÇAMENTO!$AF$7)*OFFSET(ORÇAMENTO!$W$15,ROW(AQ110)-ROW(AQ$15),0),15-13*ORÇAMENTO!$AF$11)),0)</f>
        <v>0</v>
      </c>
      <c r="AR110" s="545">
        <f ca="1">IF(AND($D110="Serviço",AR$12&lt;&gt;0,$H110&gt;0,OR(AUTOEVENTO&lt;&gt;"manual",$M110&lt;&gt;1)),
IF(Import.TipoArredondamento&lt;&gt;"TransfereGOV",
ROUND(OFFSET($P110,0,AR$13),15-13*ORÇAMENTO!$AF$7)/$H110*OFFSET(ORÇAMENTO!$X$15,ROW(AR110)-ROW(AR$15),0),
ROUND(ROUND(OFFSET($P110,0,AR$13),15-13*ORÇAMENTO!$AF$7)*OFFSET(ORÇAMENTO!$W$15,ROW(AR110)-ROW(AR$15),0),15-13*ORÇAMENTO!$AF$11)),0)</f>
        <v>0</v>
      </c>
      <c r="AS110" s="546">
        <f ca="1">IF(AND($D110="Serviço",AS$12&lt;&gt;0,$H110&gt;0,OR(AUTOEVENTO&lt;&gt;"manual",$M110&lt;&gt;1)),
IF(Import.TipoArredondamento&lt;&gt;"TransfereGOV",
ROUND(OFFSET($P110,0,AS$13),15-13*ORÇAMENTO!$AF$7)/$H110*OFFSET(ORÇAMENTO!$X$15,ROW(AS110)-ROW(AS$15),0),
ROUND(ROUND(OFFSET($P110,0,AS$13),15-13*ORÇAMENTO!$AF$7)*OFFSET(ORÇAMENTO!$W$15,ROW(AS110)-ROW(AS$15),0),15-13*ORÇAMENTO!$AF$11)),0)</f>
        <v>0</v>
      </c>
      <c r="AT110" s="545">
        <f ca="1">IF(AND($D110="Serviço",AT$12&lt;&gt;0,$H110&gt;0,OR(AUTOEVENTO&lt;&gt;"manual",$M110&lt;&gt;1)),
IF(Import.TipoArredondamento&lt;&gt;"TransfereGOV",
ROUND(OFFSET($P110,0,AT$13),15-13*ORÇAMENTO!$AF$7)/$H110*OFFSET(ORÇAMENTO!$X$15,ROW(AT110)-ROW(AT$15),0),
ROUND(ROUND(OFFSET($P110,0,AT$13),15-13*ORÇAMENTO!$AF$7)*OFFSET(ORÇAMENTO!$W$15,ROW(AT110)-ROW(AT$15),0),15-13*ORÇAMENTO!$AF$11)),0)</f>
        <v>0</v>
      </c>
      <c r="AU110" s="545">
        <f ca="1">IF(AND($D110="Serviço",AU$12&lt;&gt;0,$H110&gt;0,OR(AUTOEVENTO&lt;&gt;"manual",$M110&lt;&gt;1)),
IF(Import.TipoArredondamento&lt;&gt;"TransfereGOV",
ROUND(OFFSET($P110,0,AU$13),15-13*ORÇAMENTO!$AF$7)/$H110*OFFSET(ORÇAMENTO!$X$15,ROW(AU110)-ROW(AU$15),0),
ROUND(ROUND(OFFSET($P110,0,AU$13),15-13*ORÇAMENTO!$AF$7)*OFFSET(ORÇAMENTO!$W$15,ROW(AU110)-ROW(AU$15),0),15-13*ORÇAMENTO!$AF$11)),0)</f>
        <v>0</v>
      </c>
      <c r="AV110" s="545">
        <f ca="1">IF(AND($D110="Serviço",AV$12&lt;&gt;0,$H110&gt;0,OR(AUTOEVENTO&lt;&gt;"manual",$M110&lt;&gt;1)),
IF(Import.TipoArredondamento&lt;&gt;"TransfereGOV",
ROUND(OFFSET($P110,0,AV$13),15-13*ORÇAMENTO!$AF$7)/$H110*OFFSET(ORÇAMENTO!$X$15,ROW(AV110)-ROW(AV$15),0),
ROUND(ROUND(OFFSET($P110,0,AV$13),15-13*ORÇAMENTO!$AF$7)*OFFSET(ORÇAMENTO!$W$15,ROW(AV110)-ROW(AV$15),0),15-13*ORÇAMENTO!$AF$11)),0)</f>
        <v>0</v>
      </c>
      <c r="AW110" s="545">
        <f ca="1">IF(AND($D110="Serviço",AW$12&lt;&gt;0,$H110&gt;0,OR(AUTOEVENTO&lt;&gt;"manual",$M110&lt;&gt;1)),
IF(Import.TipoArredondamento&lt;&gt;"TransfereGOV",
ROUND(OFFSET($P110,0,AW$13),15-13*ORÇAMENTO!$AF$7)/$H110*OFFSET(ORÇAMENTO!$X$15,ROW(AW110)-ROW(AW$15),0),
ROUND(ROUND(OFFSET($P110,0,AW$13),15-13*ORÇAMENTO!$AF$7)*OFFSET(ORÇAMENTO!$W$15,ROW(AW110)-ROW(AW$15),0),15-13*ORÇAMENTO!$AF$11)),0)</f>
        <v>0</v>
      </c>
      <c r="AX110" s="545">
        <f ca="1">IF(AND($D110="Serviço",AX$12&lt;&gt;0,$H110&gt;0,OR(AUTOEVENTO&lt;&gt;"manual",$M110&lt;&gt;1)),
IF(Import.TipoArredondamento&lt;&gt;"TransfereGOV",
ROUND(OFFSET($P110,0,AX$13),15-13*ORÇAMENTO!$AF$7)/$H110*OFFSET(ORÇAMENTO!$X$15,ROW(AX110)-ROW(AX$15),0),
ROUND(ROUND(OFFSET($P110,0,AX$13),15-13*ORÇAMENTO!$AF$7)*OFFSET(ORÇAMENTO!$W$15,ROW(AX110)-ROW(AX$15),0),15-13*ORÇAMENTO!$AF$11)),0)</f>
        <v>0</v>
      </c>
      <c r="AY110" s="545">
        <f ca="1">IF(AND($D110="Serviço",AY$12&lt;&gt;0,$H110&gt;0,OR(AUTOEVENTO&lt;&gt;"manual",$M110&lt;&gt;1)),
IF(Import.TipoArredondamento&lt;&gt;"TransfereGOV",
ROUND(OFFSET($P110,0,AY$13),15-13*ORÇAMENTO!$AF$7)/$H110*OFFSET(ORÇAMENTO!$X$15,ROW(AY110)-ROW(AY$15),0),
ROUND(ROUND(OFFSET($P110,0,AY$13),15-13*ORÇAMENTO!$AF$7)*OFFSET(ORÇAMENTO!$W$15,ROW(AY110)-ROW(AY$15),0),15-13*ORÇAMENTO!$AF$11)),0)</f>
        <v>0</v>
      </c>
      <c r="AZ110" s="545">
        <f ca="1">IF(AND($D110="Serviço",AZ$12&lt;&gt;0,$H110&gt;0,OR(AUTOEVENTO&lt;&gt;"manual",$M110&lt;&gt;1)),
IF(Import.TipoArredondamento&lt;&gt;"TransfereGOV",
ROUND(OFFSET($P110,0,AZ$13),15-13*ORÇAMENTO!$AF$7)/$H110*OFFSET(ORÇAMENTO!$X$15,ROW(AZ110)-ROW(AZ$15),0),
ROUND(ROUND(OFFSET($P110,0,AZ$13),15-13*ORÇAMENTO!$AF$7)*OFFSET(ORÇAMENTO!$W$15,ROW(AZ110)-ROW(AZ$15),0),15-13*ORÇAMENTO!$AF$11)),0)</f>
        <v>0</v>
      </c>
      <c r="BA110" s="546">
        <f ca="1">IF(AND($D110="Serviço",BA$12&lt;&gt;0,$H110&gt;0,OR(AUTOEVENTO&lt;&gt;"manual",$M110&lt;&gt;1)),
IF(Import.TipoArredondamento&lt;&gt;"TransfereGOV",
ROUND(OFFSET($P110,0,BA$13),15-13*ORÇAMENTO!$AF$7)/$H110*OFFSET(ORÇAMENTO!$X$15,ROW(BA110)-ROW(BA$15),0),
ROUND(ROUND(OFFSET($P110,0,BA$13),15-13*ORÇAMENTO!$AF$7)*OFFSET(ORÇAMENTO!$W$15,ROW(BA110)-ROW(BA$15),0),15-13*ORÇAMENTO!$AF$11)),0)</f>
        <v>0</v>
      </c>
      <c r="BC110" s="181">
        <f ca="1">IF($D110&lt;&gt;"Serviço",0,IF(AND(AUTOEVENTO="Manual",$M110=1),0,IF(OFFSET(CRONOPLE!$F$14,$M110,BC$13)="",10^12,OFFSET(CRONOPLE!$F$14,$M110,BC$13))))</f>
        <v>0</v>
      </c>
      <c r="BD110" s="181">
        <f ca="1">IF($D110&lt;&gt;"Serviço",0,IF(AND(AUTOEVENTO="Manual",$M110=1),0,IF(OFFSET(CRONOPLE!$F$14,$M110,BD$13)="",10^12,OFFSET(CRONOPLE!$F$14,$M110,BD$13))))</f>
        <v>0</v>
      </c>
      <c r="BE110" s="181">
        <f ca="1">IF($D110&lt;&gt;"Serviço",0,IF(AND(AUTOEVENTO="Manual",$M110=1),0,IF(OFFSET(CRONOPLE!$F$14,$M110,BE$13)="",10^12,OFFSET(CRONOPLE!$F$14,$M110,BE$13))))</f>
        <v>0</v>
      </c>
      <c r="BF110" s="181">
        <f ca="1">IF($D110&lt;&gt;"Serviço",0,IF(AND(AUTOEVENTO="Manual",$M110=1),0,IF(OFFSET(CRONOPLE!$F$14,$M110,BF$13)="",10^12,OFFSET(CRONOPLE!$F$14,$M110,BF$13))))</f>
        <v>0</v>
      </c>
      <c r="BG110" s="181">
        <f ca="1">IF($D110&lt;&gt;"Serviço",0,IF(AND(AUTOEVENTO="Manual",$M110=1),0,IF(OFFSET(CRONOPLE!$F$14,$M110,BG$13)="",10^12,OFFSET(CRONOPLE!$F$14,$M110,BG$13))))</f>
        <v>0</v>
      </c>
      <c r="BH110" s="181">
        <f ca="1">IF($D110&lt;&gt;"Serviço",0,IF(AND(AUTOEVENTO="Manual",$M110=1),0,IF(OFFSET(CRONOPLE!$F$14,$M110,BH$13)="",10^12,OFFSET(CRONOPLE!$F$14,$M110,BH$13))))</f>
        <v>0</v>
      </c>
      <c r="BI110" s="181">
        <f ca="1">IF($D110&lt;&gt;"Serviço",0,IF(AND(AUTOEVENTO="Manual",$M110=1),0,IF(OFFSET(CRONOPLE!$F$14,$M110,BI$13)="",10^12,OFFSET(CRONOPLE!$F$14,$M110,BI$13))))</f>
        <v>0</v>
      </c>
      <c r="BJ110" s="181">
        <f ca="1">IF($D110&lt;&gt;"Serviço",0,IF(AND(AUTOEVENTO="Manual",$M110=1),0,IF(OFFSET(CRONOPLE!$F$14,$M110,BJ$13)="",10^12,OFFSET(CRONOPLE!$F$14,$M110,BJ$13))))</f>
        <v>0</v>
      </c>
      <c r="BK110" s="181">
        <f ca="1">IF($D110&lt;&gt;"Serviço",0,IF(AND(AUTOEVENTO="Manual",$M110=1),0,IF(OFFSET(CRONOPLE!$F$14,$M110,BK$13)="",10^12,OFFSET(CRONOPLE!$F$14,$M110,BK$13))))</f>
        <v>0</v>
      </c>
      <c r="BL110" s="181">
        <f ca="1">IF($D110&lt;&gt;"Serviço",0,IF(AND(AUTOEVENTO="Manual",$M110=1),0,IF(OFFSET(CRONOPLE!$F$14,$M110,BL$13)="",10^12,OFFSET(CRONOPLE!$F$14,$M110,BL$13))))</f>
        <v>0</v>
      </c>
      <c r="BM110" s="181">
        <f ca="1">IF($D110&lt;&gt;"Serviço",0,IF(AND(AUTOEVENTO="Manual",$M110=1),0,IF(OFFSET(CRONOPLE!$F$14,$M110,BM$13)="",10^12,OFFSET(CRONOPLE!$F$14,$M110,BM$13))))</f>
        <v>0</v>
      </c>
      <c r="BN110" s="181">
        <f ca="1">IF($D110&lt;&gt;"Serviço",0,IF(AND(AUTOEVENTO="Manual",$M110=1),0,IF(OFFSET(CRONOPLE!$F$14,$M110,BN$13)="",10^12,OFFSET(CRONOPLE!$F$14,$M110,BN$13))))</f>
        <v>0</v>
      </c>
      <c r="BO110" s="181">
        <f ca="1">IF($D110&lt;&gt;"Serviço",0,IF(AND(AUTOEVENTO="Manual",$M110=1),0,IF(OFFSET(CRONOPLE!$F$14,$M110,BO$13)="",10^12,OFFSET(CRONOPLE!$F$14,$M110,BO$13))))</f>
        <v>0</v>
      </c>
      <c r="BP110" s="181">
        <f ca="1">IF($D110&lt;&gt;"Serviço",0,IF(AND(AUTOEVENTO="Manual",$M110=1),0,IF(OFFSET(CRONOPLE!$F$14,$M110,BP$13)="",10^12,OFFSET(CRONOPLE!$F$14,$M110,BP$13))))</f>
        <v>0</v>
      </c>
      <c r="BQ110" s="181">
        <f ca="1">IF($D110&lt;&gt;"Serviço",0,IF(AND(AUTOEVENTO="Manual",$M110=1),0,IF(OFFSET(CRONOPLE!$F$14,$M110,BQ$13)="",10^12,OFFSET(CRONOPLE!$F$14,$M110,BQ$13))))</f>
        <v>0</v>
      </c>
      <c r="BR110" s="181">
        <f ca="1">IF($D110&lt;&gt;"Serviço",0,IF(AND(AUTOEVENTO="Manual",$M110=1),0,IF(OFFSET(CRONOPLE!$F$14,$M110,BR$13)="",10^12,OFFSET(CRONOPLE!$F$14,$M110,BR$13))))</f>
        <v>0</v>
      </c>
      <c r="BS110" s="181">
        <f ca="1">IF($D110&lt;&gt;"Serviço",0,IF(AND(AUTOEVENTO="Manual",$M110=1),0,IF(OFFSET(CRONOPLE!$F$14,$M110,BS$13)="",10^12,OFFSET(CRONOPLE!$F$14,$M110,BS$13))))</f>
        <v>0</v>
      </c>
      <c r="BT110" s="181">
        <f ca="1">IF($D110&lt;&gt;"Serviço",0,IF(AND(AUTOEVENTO="Manual",$M110=1),0,IF(OFFSET(CRONOPLE!$F$14,$M110,BT$13)="",10^12,OFFSET(CRONOPLE!$F$14,$M110,BT$13))))</f>
        <v>0</v>
      </c>
      <c r="BV110" s="182">
        <f ca="1">IF($D110&lt;&gt;"Serviço",0,IF(OR(AND(AUTOEVENTO="Manual",$M110=1),$M110&gt;(ROW(PLE.lastrow)-ROW(PLE.firstrow))),0,IF(OFFSET(PLE!$G$14,$M110,BV$13)="",10^12,OFFSET(PLE!$G$14,$M110,BV$13))))</f>
        <v>0</v>
      </c>
      <c r="BW110" s="182">
        <f ca="1">IF($D110&lt;&gt;"Serviço",0,IF(OR(AND(AUTOEVENTO="Manual",$M110=1),$M110&gt;(ROW(PLE.lastrow)-ROW(PLE.firstrow))),0,IF(OFFSET(PLE!$G$14,$M110,BW$13)="",10^12,OFFSET(PLE!$G$14,$M110,BW$13))))</f>
        <v>0</v>
      </c>
      <c r="BX110" s="182">
        <f ca="1">IF($D110&lt;&gt;"Serviço",0,IF(OR(AND(AUTOEVENTO="Manual",$M110=1),$M110&gt;(ROW(PLE.lastrow)-ROW(PLE.firstrow))),0,IF(OFFSET(PLE!$G$14,$M110,BX$13)="",10^12,OFFSET(PLE!$G$14,$M110,BX$13))))</f>
        <v>0</v>
      </c>
      <c r="BY110" s="182">
        <f ca="1">IF($D110&lt;&gt;"Serviço",0,IF(OR(AND(AUTOEVENTO="Manual",$M110=1),$M110&gt;(ROW(PLE.lastrow)-ROW(PLE.firstrow))),0,IF(OFFSET(PLE!$G$14,$M110,BY$13)="",10^12,OFFSET(PLE!$G$14,$M110,BY$13))))</f>
        <v>0</v>
      </c>
      <c r="BZ110" s="182">
        <f ca="1">IF($D110&lt;&gt;"Serviço",0,IF(OR(AND(AUTOEVENTO="Manual",$M110=1),$M110&gt;(ROW(PLE.lastrow)-ROW(PLE.firstrow))),0,IF(OFFSET(PLE!$G$14,$M110,BZ$13)="",10^12,OFFSET(PLE!$G$14,$M110,BZ$13))))</f>
        <v>0</v>
      </c>
      <c r="CA110" s="182">
        <f ca="1">IF($D110&lt;&gt;"Serviço",0,IF(OR(AND(AUTOEVENTO="Manual",$M110=1),$M110&gt;(ROW(PLE.lastrow)-ROW(PLE.firstrow))),0,IF(OFFSET(PLE!$G$14,$M110,CA$13)="",10^12,OFFSET(PLE!$G$14,$M110,CA$13))))</f>
        <v>0</v>
      </c>
      <c r="CB110" s="182">
        <f ca="1">IF($D110&lt;&gt;"Serviço",0,IF(OR(AND(AUTOEVENTO="Manual",$M110=1),$M110&gt;(ROW(PLE.lastrow)-ROW(PLE.firstrow))),0,IF(OFFSET(PLE!$G$14,$M110,CB$13)="",10^12,OFFSET(PLE!$G$14,$M110,CB$13))))</f>
        <v>0</v>
      </c>
      <c r="CC110" s="182">
        <f ca="1">IF($D110&lt;&gt;"Serviço",0,IF(OR(AND(AUTOEVENTO="Manual",$M110=1),$M110&gt;(ROW(PLE.lastrow)-ROW(PLE.firstrow))),0,IF(OFFSET(PLE!$G$14,$M110,CC$13)="",10^12,OFFSET(PLE!$G$14,$M110,CC$13))))</f>
        <v>0</v>
      </c>
      <c r="CD110" s="182">
        <f ca="1">IF($D110&lt;&gt;"Serviço",0,IF(OR(AND(AUTOEVENTO="Manual",$M110=1),$M110&gt;(ROW(PLE.lastrow)-ROW(PLE.firstrow))),0,IF(OFFSET(PLE!$G$14,$M110,CD$13)="",10^12,OFFSET(PLE!$G$14,$M110,CD$13))))</f>
        <v>0</v>
      </c>
      <c r="CE110" s="182">
        <f ca="1">IF($D110&lt;&gt;"Serviço",0,IF(OR(AND(AUTOEVENTO="Manual",$M110=1),$M110&gt;(ROW(PLE.lastrow)-ROW(PLE.firstrow))),0,IF(OFFSET(PLE!$G$14,$M110,CE$13)="",10^12,OFFSET(PLE!$G$14,$M110,CE$13))))</f>
        <v>0</v>
      </c>
      <c r="CF110" s="182">
        <f ca="1">IF($D110&lt;&gt;"Serviço",0,IF(OR(AND(AUTOEVENTO="Manual",$M110=1),$M110&gt;(ROW(PLE.lastrow)-ROW(PLE.firstrow))),0,IF(OFFSET(PLE!$G$14,$M110,CF$13)="",10^12,OFFSET(PLE!$G$14,$M110,CF$13))))</f>
        <v>0</v>
      </c>
      <c r="CG110" s="182">
        <f ca="1">IF($D110&lt;&gt;"Serviço",0,IF(OR(AND(AUTOEVENTO="Manual",$M110=1),$M110&gt;(ROW(PLE.lastrow)-ROW(PLE.firstrow))),0,IF(OFFSET(PLE!$G$14,$M110,CG$13)="",10^12,OFFSET(PLE!$G$14,$M110,CG$13))))</f>
        <v>0</v>
      </c>
      <c r="CH110" s="182">
        <f ca="1">IF($D110&lt;&gt;"Serviço",0,IF(OR(AND(AUTOEVENTO="Manual",$M110=1),$M110&gt;(ROW(PLE.lastrow)-ROW(PLE.firstrow))),0,IF(OFFSET(PLE!$G$14,$M110,CH$13)="",10^12,OFFSET(PLE!$G$14,$M110,CH$13))))</f>
        <v>0</v>
      </c>
      <c r="CI110" s="182">
        <f ca="1">IF($D110&lt;&gt;"Serviço",0,IF(OR(AND(AUTOEVENTO="Manual",$M110=1),$M110&gt;(ROW(PLE.lastrow)-ROW(PLE.firstrow))),0,IF(OFFSET(PLE!$G$14,$M110,CI$13)="",10^12,OFFSET(PLE!$G$14,$M110,CI$13))))</f>
        <v>0</v>
      </c>
      <c r="CJ110" s="182">
        <f ca="1">IF($D110&lt;&gt;"Serviço",0,IF(OR(AND(AUTOEVENTO="Manual",$M110=1),$M110&gt;(ROW(PLE.lastrow)-ROW(PLE.firstrow))),0,IF(OFFSET(PLE!$G$14,$M110,CJ$13)="",10^12,OFFSET(PLE!$G$14,$M110,CJ$13))))</f>
        <v>0</v>
      </c>
      <c r="CK110" s="182">
        <f ca="1">IF($D110&lt;&gt;"Serviço",0,IF(OR(AND(AUTOEVENTO="Manual",$M110=1),$M110&gt;(ROW(PLE.lastrow)-ROW(PLE.firstrow))),0,IF(OFFSET(PLE!$G$14,$M110,CK$13)="",10^12,OFFSET(PLE!$G$14,$M110,CK$13))))</f>
        <v>0</v>
      </c>
      <c r="CL110" s="182">
        <f ca="1">IF($D110&lt;&gt;"Serviço",0,IF(OR(AND(AUTOEVENTO="Manual",$M110=1),$M110&gt;(ROW(PLE.lastrow)-ROW(PLE.firstrow))),0,IF(OFFSET(PLE!$G$14,$M110,CL$13)="",10^12,OFFSET(PLE!$G$14,$M110,CL$13))))</f>
        <v>0</v>
      </c>
      <c r="CM110" s="182">
        <f ca="1">IF($D110&lt;&gt;"Serviço",0,IF(OR(AND(AUTOEVENTO="Manual",$M110=1),$M110&gt;(ROW(PLE.lastrow)-ROW(PLE.firstrow))),0,IF(OFFSET(PLE!$G$14,$M110,CM$13)="",10^12,OFFSET(PLE!$G$14,$M110,CM$13))))</f>
        <v>0</v>
      </c>
    </row>
    <row r="111" spans="1:91" ht="38.25" x14ac:dyDescent="0.2">
      <c r="A111" s="7" t="str">
        <f t="shared" ca="1" si="10"/>
        <v>95</v>
      </c>
      <c r="B111" s="7" t="str">
        <f ca="1">OFFSET(ORÇAMENTO!C$15,ROW(B111)-ROW(B$15),0)</f>
        <v>S</v>
      </c>
      <c r="C111" s="7" t="str">
        <f ca="1">OFFSET(ORÇAMENTO!L$15,ROW(C111)-ROW(C$15),0)</f>
        <v/>
      </c>
      <c r="D111" s="118" t="str">
        <f ca="1">OFFSET(ORÇAMENTO!N$15,ROW(D111)-ROW(D$15),0)</f>
        <v>Serviço</v>
      </c>
      <c r="E111" s="119" t="str">
        <f ca="1">OFFSET(ORÇAMENTO!O$15,ROW(E111)-ROW(E$15),0)</f>
        <v>-</v>
      </c>
      <c r="F111" s="172" t="str">
        <f ca="1">OFFSET(ORÇAMENTO!R$15,ROW(F111)-ROW(F$15),0)</f>
        <v>(abra o arquivo 'Referência 06-2024.xlsm)</v>
      </c>
      <c r="G111" s="173" t="str">
        <f ca="1">IF($D111&lt;&gt;"Serviço","",OFFSET(ORÇAMENTO!S$15,ROW(G111)-ROW(G$15),0))</f>
        <v>-</v>
      </c>
      <c r="H111" s="124">
        <f ca="1">IF($D111&lt;&gt;"Serviço",0,IF(ACOMPANHAMENTO="BM",ROUND(OFFSET(ORÇAMENTO!AJ$15,ROW(H111)-ROW(H$15),0),15-13*ORÇAMENTO!$AF$7),SUMPRODUCT(($Q$12:$AI$12&lt;&gt;"")*ROUND($Q111:$AI111,15-13*ORÇAMENTO!$AF$7))))</f>
        <v>14.36</v>
      </c>
      <c r="I111" s="561" t="s">
        <v>1107</v>
      </c>
      <c r="K111" s="174"/>
      <c r="L111" s="175" t="s">
        <v>255</v>
      </c>
      <c r="M111" s="176">
        <f ca="1">IF($D111&lt;&gt;"Serviço","",IF(AUTOEVENTO="manual",$A111,IF(ISERROR(MATCH($A111,$A$15:OFFSET($A111,-1,0),0)),MAX($M$15:OFFSET(M111,-1,0))+1,INDEX($M$15:OFFSET(M111,-1,0),MATCH($A111,$A$15:OFFSET($A111,-1,0),0)))))</f>
        <v>18</v>
      </c>
      <c r="N111" s="177" t="str">
        <f ca="1">IF($D111&lt;&gt;"Serviço","",IF(AUTOEVENTO="Manual",IF($A111=0,"&lt;-- defina o número do agrupador",OFFSET(EVENTOS!$D$14,$A111,0)),OFFSET($F$15,$A111,0)))</f>
        <v>SISTEMA DE VEDAÇÃO VERTICAL - DIVISÓRIAS</v>
      </c>
      <c r="O111" s="178"/>
      <c r="Q111" s="178">
        <v>14.36</v>
      </c>
      <c r="R111" s="179"/>
      <c r="S111" s="179"/>
      <c r="T111" s="179"/>
      <c r="U111" s="179"/>
      <c r="V111" s="179"/>
      <c r="W111" s="179"/>
      <c r="X111" s="179"/>
      <c r="Y111" s="179"/>
      <c r="Z111" s="180"/>
      <c r="AA111" s="179"/>
      <c r="AB111" s="179"/>
      <c r="AC111" s="179"/>
      <c r="AD111" s="179"/>
      <c r="AE111" s="179"/>
      <c r="AF111" s="179"/>
      <c r="AG111" s="179"/>
      <c r="AH111" s="180"/>
      <c r="AJ111" s="544">
        <f ca="1">IF(AND($D111="Serviço",AJ$12&lt;&gt;0,$H111&gt;0,OR(AUTOEVENTO&lt;&gt;"manual",$M111&lt;&gt;1)),
IF(Import.TipoArredondamento&lt;&gt;"TransfereGOV",
ROUND(OFFSET($P111,0,AJ$13),15-13*ORÇAMENTO!$AF$7)/$H111*OFFSET(ORÇAMENTO!$X$15,ROW(AJ111)-ROW(AJ$15),0),
ROUND(ROUND(OFFSET($P111,0,AJ$13),15-13*ORÇAMENTO!$AF$7)*OFFSET(ORÇAMENTO!$W$15,ROW(AJ111)-ROW(AJ$15),0),15-13*ORÇAMENTO!$AF$11)),0)</f>
        <v>0</v>
      </c>
      <c r="AK111" s="545">
        <f ca="1">IF(AND($D111="Serviço",AK$12&lt;&gt;0,$H111&gt;0,OR(AUTOEVENTO&lt;&gt;"manual",$M111&lt;&gt;1)),
IF(Import.TipoArredondamento&lt;&gt;"TransfereGOV",
ROUND(OFFSET($P111,0,AK$13),15-13*ORÇAMENTO!$AF$7)/$H111*OFFSET(ORÇAMENTO!$X$15,ROW(AK111)-ROW(AK$15),0),
ROUND(ROUND(OFFSET($P111,0,AK$13),15-13*ORÇAMENTO!$AF$7)*OFFSET(ORÇAMENTO!$W$15,ROW(AK111)-ROW(AK$15),0),15-13*ORÇAMENTO!$AF$11)),0)</f>
        <v>0</v>
      </c>
      <c r="AL111" s="545">
        <f ca="1">IF(AND($D111="Serviço",AL$12&lt;&gt;0,$H111&gt;0,OR(AUTOEVENTO&lt;&gt;"manual",$M111&lt;&gt;1)),
IF(Import.TipoArredondamento&lt;&gt;"TransfereGOV",
ROUND(OFFSET($P111,0,AL$13),15-13*ORÇAMENTO!$AF$7)/$H111*OFFSET(ORÇAMENTO!$X$15,ROW(AL111)-ROW(AL$15),0),
ROUND(ROUND(OFFSET($P111,0,AL$13),15-13*ORÇAMENTO!$AF$7)*OFFSET(ORÇAMENTO!$W$15,ROW(AL111)-ROW(AL$15),0),15-13*ORÇAMENTO!$AF$11)),0)</f>
        <v>0</v>
      </c>
      <c r="AM111" s="545">
        <f ca="1">IF(AND($D111="Serviço",AM$12&lt;&gt;0,$H111&gt;0,OR(AUTOEVENTO&lt;&gt;"manual",$M111&lt;&gt;1)),
IF(Import.TipoArredondamento&lt;&gt;"TransfereGOV",
ROUND(OFFSET($P111,0,AM$13),15-13*ORÇAMENTO!$AF$7)/$H111*OFFSET(ORÇAMENTO!$X$15,ROW(AM111)-ROW(AM$15),0),
ROUND(ROUND(OFFSET($P111,0,AM$13),15-13*ORÇAMENTO!$AF$7)*OFFSET(ORÇAMENTO!$W$15,ROW(AM111)-ROW(AM$15),0),15-13*ORÇAMENTO!$AF$11)),0)</f>
        <v>0</v>
      </c>
      <c r="AN111" s="545">
        <f ca="1">IF(AND($D111="Serviço",AN$12&lt;&gt;0,$H111&gt;0,OR(AUTOEVENTO&lt;&gt;"manual",$M111&lt;&gt;1)),
IF(Import.TipoArredondamento&lt;&gt;"TransfereGOV",
ROUND(OFFSET($P111,0,AN$13),15-13*ORÇAMENTO!$AF$7)/$H111*OFFSET(ORÇAMENTO!$X$15,ROW(AN111)-ROW(AN$15),0),
ROUND(ROUND(OFFSET($P111,0,AN$13),15-13*ORÇAMENTO!$AF$7)*OFFSET(ORÇAMENTO!$W$15,ROW(AN111)-ROW(AN$15),0),15-13*ORÇAMENTO!$AF$11)),0)</f>
        <v>0</v>
      </c>
      <c r="AO111" s="545">
        <f ca="1">IF(AND($D111="Serviço",AO$12&lt;&gt;0,$H111&gt;0,OR(AUTOEVENTO&lt;&gt;"manual",$M111&lt;&gt;1)),
IF(Import.TipoArredondamento&lt;&gt;"TransfereGOV",
ROUND(OFFSET($P111,0,AO$13),15-13*ORÇAMENTO!$AF$7)/$H111*OFFSET(ORÇAMENTO!$X$15,ROW(AO111)-ROW(AO$15),0),
ROUND(ROUND(OFFSET($P111,0,AO$13),15-13*ORÇAMENTO!$AF$7)*OFFSET(ORÇAMENTO!$W$15,ROW(AO111)-ROW(AO$15),0),15-13*ORÇAMENTO!$AF$11)),0)</f>
        <v>0</v>
      </c>
      <c r="AP111" s="545">
        <f ca="1">IF(AND($D111="Serviço",AP$12&lt;&gt;0,$H111&gt;0,OR(AUTOEVENTO&lt;&gt;"manual",$M111&lt;&gt;1)),
IF(Import.TipoArredondamento&lt;&gt;"TransfereGOV",
ROUND(OFFSET($P111,0,AP$13),15-13*ORÇAMENTO!$AF$7)/$H111*OFFSET(ORÇAMENTO!$X$15,ROW(AP111)-ROW(AP$15),0),
ROUND(ROUND(OFFSET($P111,0,AP$13),15-13*ORÇAMENTO!$AF$7)*OFFSET(ORÇAMENTO!$W$15,ROW(AP111)-ROW(AP$15),0),15-13*ORÇAMENTO!$AF$11)),0)</f>
        <v>0</v>
      </c>
      <c r="AQ111" s="545">
        <f ca="1">IF(AND($D111="Serviço",AQ$12&lt;&gt;0,$H111&gt;0,OR(AUTOEVENTO&lt;&gt;"manual",$M111&lt;&gt;1)),
IF(Import.TipoArredondamento&lt;&gt;"TransfereGOV",
ROUND(OFFSET($P111,0,AQ$13),15-13*ORÇAMENTO!$AF$7)/$H111*OFFSET(ORÇAMENTO!$X$15,ROW(AQ111)-ROW(AQ$15),0),
ROUND(ROUND(OFFSET($P111,0,AQ$13),15-13*ORÇAMENTO!$AF$7)*OFFSET(ORÇAMENTO!$W$15,ROW(AQ111)-ROW(AQ$15),0),15-13*ORÇAMENTO!$AF$11)),0)</f>
        <v>0</v>
      </c>
      <c r="AR111" s="545">
        <f ca="1">IF(AND($D111="Serviço",AR$12&lt;&gt;0,$H111&gt;0,OR(AUTOEVENTO&lt;&gt;"manual",$M111&lt;&gt;1)),
IF(Import.TipoArredondamento&lt;&gt;"TransfereGOV",
ROUND(OFFSET($P111,0,AR$13),15-13*ORÇAMENTO!$AF$7)/$H111*OFFSET(ORÇAMENTO!$X$15,ROW(AR111)-ROW(AR$15),0),
ROUND(ROUND(OFFSET($P111,0,AR$13),15-13*ORÇAMENTO!$AF$7)*OFFSET(ORÇAMENTO!$W$15,ROW(AR111)-ROW(AR$15),0),15-13*ORÇAMENTO!$AF$11)),0)</f>
        <v>0</v>
      </c>
      <c r="AS111" s="546">
        <f ca="1">IF(AND($D111="Serviço",AS$12&lt;&gt;0,$H111&gt;0,OR(AUTOEVENTO&lt;&gt;"manual",$M111&lt;&gt;1)),
IF(Import.TipoArredondamento&lt;&gt;"TransfereGOV",
ROUND(OFFSET($P111,0,AS$13),15-13*ORÇAMENTO!$AF$7)/$H111*OFFSET(ORÇAMENTO!$X$15,ROW(AS111)-ROW(AS$15),0),
ROUND(ROUND(OFFSET($P111,0,AS$13),15-13*ORÇAMENTO!$AF$7)*OFFSET(ORÇAMENTO!$W$15,ROW(AS111)-ROW(AS$15),0),15-13*ORÇAMENTO!$AF$11)),0)</f>
        <v>0</v>
      </c>
      <c r="AT111" s="545">
        <f ca="1">IF(AND($D111="Serviço",AT$12&lt;&gt;0,$H111&gt;0,OR(AUTOEVENTO&lt;&gt;"manual",$M111&lt;&gt;1)),
IF(Import.TipoArredondamento&lt;&gt;"TransfereGOV",
ROUND(OFFSET($P111,0,AT$13),15-13*ORÇAMENTO!$AF$7)/$H111*OFFSET(ORÇAMENTO!$X$15,ROW(AT111)-ROW(AT$15),0),
ROUND(ROUND(OFFSET($P111,0,AT$13),15-13*ORÇAMENTO!$AF$7)*OFFSET(ORÇAMENTO!$W$15,ROW(AT111)-ROW(AT$15),0),15-13*ORÇAMENTO!$AF$11)),0)</f>
        <v>0</v>
      </c>
      <c r="AU111" s="545">
        <f ca="1">IF(AND($D111="Serviço",AU$12&lt;&gt;0,$H111&gt;0,OR(AUTOEVENTO&lt;&gt;"manual",$M111&lt;&gt;1)),
IF(Import.TipoArredondamento&lt;&gt;"TransfereGOV",
ROUND(OFFSET($P111,0,AU$13),15-13*ORÇAMENTO!$AF$7)/$H111*OFFSET(ORÇAMENTO!$X$15,ROW(AU111)-ROW(AU$15),0),
ROUND(ROUND(OFFSET($P111,0,AU$13),15-13*ORÇAMENTO!$AF$7)*OFFSET(ORÇAMENTO!$W$15,ROW(AU111)-ROW(AU$15),0),15-13*ORÇAMENTO!$AF$11)),0)</f>
        <v>0</v>
      </c>
      <c r="AV111" s="545">
        <f ca="1">IF(AND($D111="Serviço",AV$12&lt;&gt;0,$H111&gt;0,OR(AUTOEVENTO&lt;&gt;"manual",$M111&lt;&gt;1)),
IF(Import.TipoArredondamento&lt;&gt;"TransfereGOV",
ROUND(OFFSET($P111,0,AV$13),15-13*ORÇAMENTO!$AF$7)/$H111*OFFSET(ORÇAMENTO!$X$15,ROW(AV111)-ROW(AV$15),0),
ROUND(ROUND(OFFSET($P111,0,AV$13),15-13*ORÇAMENTO!$AF$7)*OFFSET(ORÇAMENTO!$W$15,ROW(AV111)-ROW(AV$15),0),15-13*ORÇAMENTO!$AF$11)),0)</f>
        <v>0</v>
      </c>
      <c r="AW111" s="545">
        <f ca="1">IF(AND($D111="Serviço",AW$12&lt;&gt;0,$H111&gt;0,OR(AUTOEVENTO&lt;&gt;"manual",$M111&lt;&gt;1)),
IF(Import.TipoArredondamento&lt;&gt;"TransfereGOV",
ROUND(OFFSET($P111,0,AW$13),15-13*ORÇAMENTO!$AF$7)/$H111*OFFSET(ORÇAMENTO!$X$15,ROW(AW111)-ROW(AW$15),0),
ROUND(ROUND(OFFSET($P111,0,AW$13),15-13*ORÇAMENTO!$AF$7)*OFFSET(ORÇAMENTO!$W$15,ROW(AW111)-ROW(AW$15),0),15-13*ORÇAMENTO!$AF$11)),0)</f>
        <v>0</v>
      </c>
      <c r="AX111" s="545">
        <f ca="1">IF(AND($D111="Serviço",AX$12&lt;&gt;0,$H111&gt;0,OR(AUTOEVENTO&lt;&gt;"manual",$M111&lt;&gt;1)),
IF(Import.TipoArredondamento&lt;&gt;"TransfereGOV",
ROUND(OFFSET($P111,0,AX$13),15-13*ORÇAMENTO!$AF$7)/$H111*OFFSET(ORÇAMENTO!$X$15,ROW(AX111)-ROW(AX$15),0),
ROUND(ROUND(OFFSET($P111,0,AX$13),15-13*ORÇAMENTO!$AF$7)*OFFSET(ORÇAMENTO!$W$15,ROW(AX111)-ROW(AX$15),0),15-13*ORÇAMENTO!$AF$11)),0)</f>
        <v>0</v>
      </c>
      <c r="AY111" s="545">
        <f ca="1">IF(AND($D111="Serviço",AY$12&lt;&gt;0,$H111&gt;0,OR(AUTOEVENTO&lt;&gt;"manual",$M111&lt;&gt;1)),
IF(Import.TipoArredondamento&lt;&gt;"TransfereGOV",
ROUND(OFFSET($P111,0,AY$13),15-13*ORÇAMENTO!$AF$7)/$H111*OFFSET(ORÇAMENTO!$X$15,ROW(AY111)-ROW(AY$15),0),
ROUND(ROUND(OFFSET($P111,0,AY$13),15-13*ORÇAMENTO!$AF$7)*OFFSET(ORÇAMENTO!$W$15,ROW(AY111)-ROW(AY$15),0),15-13*ORÇAMENTO!$AF$11)),0)</f>
        <v>0</v>
      </c>
      <c r="AZ111" s="545">
        <f ca="1">IF(AND($D111="Serviço",AZ$12&lt;&gt;0,$H111&gt;0,OR(AUTOEVENTO&lt;&gt;"manual",$M111&lt;&gt;1)),
IF(Import.TipoArredondamento&lt;&gt;"TransfereGOV",
ROUND(OFFSET($P111,0,AZ$13),15-13*ORÇAMENTO!$AF$7)/$H111*OFFSET(ORÇAMENTO!$X$15,ROW(AZ111)-ROW(AZ$15),0),
ROUND(ROUND(OFFSET($P111,0,AZ$13),15-13*ORÇAMENTO!$AF$7)*OFFSET(ORÇAMENTO!$W$15,ROW(AZ111)-ROW(AZ$15),0),15-13*ORÇAMENTO!$AF$11)),0)</f>
        <v>0</v>
      </c>
      <c r="BA111" s="546">
        <f ca="1">IF(AND($D111="Serviço",BA$12&lt;&gt;0,$H111&gt;0,OR(AUTOEVENTO&lt;&gt;"manual",$M111&lt;&gt;1)),
IF(Import.TipoArredondamento&lt;&gt;"TransfereGOV",
ROUND(OFFSET($P111,0,BA$13),15-13*ORÇAMENTO!$AF$7)/$H111*OFFSET(ORÇAMENTO!$X$15,ROW(BA111)-ROW(BA$15),0),
ROUND(ROUND(OFFSET($P111,0,BA$13),15-13*ORÇAMENTO!$AF$7)*OFFSET(ORÇAMENTO!$W$15,ROW(BA111)-ROW(BA$15),0),15-13*ORÇAMENTO!$AF$11)),0)</f>
        <v>0</v>
      </c>
      <c r="BC111" s="181">
        <f ca="1">IF($D111&lt;&gt;"Serviço",0,IF(AND(AUTOEVENTO="Manual",$M111=1),0,IF(OFFSET(CRONOPLE!$F$14,$M111,BC$13)="",10^12,OFFSET(CRONOPLE!$F$14,$M111,BC$13))))</f>
        <v>5</v>
      </c>
      <c r="BD111" s="181">
        <f ca="1">IF($D111&lt;&gt;"Serviço",0,IF(AND(AUTOEVENTO="Manual",$M111=1),0,IF(OFFSET(CRONOPLE!$F$14,$M111,BD$13)="",10^12,OFFSET(CRONOPLE!$F$14,$M111,BD$13))))</f>
        <v>1000000000000</v>
      </c>
      <c r="BE111" s="181">
        <f ca="1">IF($D111&lt;&gt;"Serviço",0,IF(AND(AUTOEVENTO="Manual",$M111=1),0,IF(OFFSET(CRONOPLE!$F$14,$M111,BE$13)="",10^12,OFFSET(CRONOPLE!$F$14,$M111,BE$13))))</f>
        <v>1000000000000</v>
      </c>
      <c r="BF111" s="181">
        <f ca="1">IF($D111&lt;&gt;"Serviço",0,IF(AND(AUTOEVENTO="Manual",$M111=1),0,IF(OFFSET(CRONOPLE!$F$14,$M111,BF$13)="",10^12,OFFSET(CRONOPLE!$F$14,$M111,BF$13))))</f>
        <v>1000000000000</v>
      </c>
      <c r="BG111" s="181">
        <f ca="1">IF($D111&lt;&gt;"Serviço",0,IF(AND(AUTOEVENTO="Manual",$M111=1),0,IF(OFFSET(CRONOPLE!$F$14,$M111,BG$13)="",10^12,OFFSET(CRONOPLE!$F$14,$M111,BG$13))))</f>
        <v>1000000000000</v>
      </c>
      <c r="BH111" s="181">
        <f ca="1">IF($D111&lt;&gt;"Serviço",0,IF(AND(AUTOEVENTO="Manual",$M111=1),0,IF(OFFSET(CRONOPLE!$F$14,$M111,BH$13)="",10^12,OFFSET(CRONOPLE!$F$14,$M111,BH$13))))</f>
        <v>1000000000000</v>
      </c>
      <c r="BI111" s="181">
        <f ca="1">IF($D111&lt;&gt;"Serviço",0,IF(AND(AUTOEVENTO="Manual",$M111=1),0,IF(OFFSET(CRONOPLE!$F$14,$M111,BI$13)="",10^12,OFFSET(CRONOPLE!$F$14,$M111,BI$13))))</f>
        <v>1000000000000</v>
      </c>
      <c r="BJ111" s="181">
        <f ca="1">IF($D111&lt;&gt;"Serviço",0,IF(AND(AUTOEVENTO="Manual",$M111=1),0,IF(OFFSET(CRONOPLE!$F$14,$M111,BJ$13)="",10^12,OFFSET(CRONOPLE!$F$14,$M111,BJ$13))))</f>
        <v>1000000000000</v>
      </c>
      <c r="BK111" s="181">
        <f ca="1">IF($D111&lt;&gt;"Serviço",0,IF(AND(AUTOEVENTO="Manual",$M111=1),0,IF(OFFSET(CRONOPLE!$F$14,$M111,BK$13)="",10^12,OFFSET(CRONOPLE!$F$14,$M111,BK$13))))</f>
        <v>1000000000000</v>
      </c>
      <c r="BL111" s="181">
        <f ca="1">IF($D111&lt;&gt;"Serviço",0,IF(AND(AUTOEVENTO="Manual",$M111=1),0,IF(OFFSET(CRONOPLE!$F$14,$M111,BL$13)="",10^12,OFFSET(CRONOPLE!$F$14,$M111,BL$13))))</f>
        <v>1000000000000</v>
      </c>
      <c r="BM111" s="181">
        <f ca="1">IF($D111&lt;&gt;"Serviço",0,IF(AND(AUTOEVENTO="Manual",$M111=1),0,IF(OFFSET(CRONOPLE!$F$14,$M111,BM$13)="",10^12,OFFSET(CRONOPLE!$F$14,$M111,BM$13))))</f>
        <v>1000000000000</v>
      </c>
      <c r="BN111" s="181">
        <f ca="1">IF($D111&lt;&gt;"Serviço",0,IF(AND(AUTOEVENTO="Manual",$M111=1),0,IF(OFFSET(CRONOPLE!$F$14,$M111,BN$13)="",10^12,OFFSET(CRONOPLE!$F$14,$M111,BN$13))))</f>
        <v>1000000000000</v>
      </c>
      <c r="BO111" s="181">
        <f ca="1">IF($D111&lt;&gt;"Serviço",0,IF(AND(AUTOEVENTO="Manual",$M111=1),0,IF(OFFSET(CRONOPLE!$F$14,$M111,BO$13)="",10^12,OFFSET(CRONOPLE!$F$14,$M111,BO$13))))</f>
        <v>1000000000000</v>
      </c>
      <c r="BP111" s="181">
        <f ca="1">IF($D111&lt;&gt;"Serviço",0,IF(AND(AUTOEVENTO="Manual",$M111=1),0,IF(OFFSET(CRONOPLE!$F$14,$M111,BP$13)="",10^12,OFFSET(CRONOPLE!$F$14,$M111,BP$13))))</f>
        <v>1000000000000</v>
      </c>
      <c r="BQ111" s="181">
        <f ca="1">IF($D111&lt;&gt;"Serviço",0,IF(AND(AUTOEVENTO="Manual",$M111=1),0,IF(OFFSET(CRONOPLE!$F$14,$M111,BQ$13)="",10^12,OFFSET(CRONOPLE!$F$14,$M111,BQ$13))))</f>
        <v>1000000000000</v>
      </c>
      <c r="BR111" s="181">
        <f ca="1">IF($D111&lt;&gt;"Serviço",0,IF(AND(AUTOEVENTO="Manual",$M111=1),0,IF(OFFSET(CRONOPLE!$F$14,$M111,BR$13)="",10^12,OFFSET(CRONOPLE!$F$14,$M111,BR$13))))</f>
        <v>1000000000000</v>
      </c>
      <c r="BS111" s="181">
        <f ca="1">IF($D111&lt;&gt;"Serviço",0,IF(AND(AUTOEVENTO="Manual",$M111=1),0,IF(OFFSET(CRONOPLE!$F$14,$M111,BS$13)="",10^12,OFFSET(CRONOPLE!$F$14,$M111,BS$13))))</f>
        <v>1000000000000</v>
      </c>
      <c r="BT111" s="181">
        <f ca="1">IF($D111&lt;&gt;"Serviço",0,IF(AND(AUTOEVENTO="Manual",$M111=1),0,IF(OFFSET(CRONOPLE!$F$14,$M111,BT$13)="",10^12,OFFSET(CRONOPLE!$F$14,$M111,BT$13))))</f>
        <v>1000000000000</v>
      </c>
      <c r="BV111" s="182">
        <f ca="1">IF($D111&lt;&gt;"Serviço",0,IF(OR(AND(AUTOEVENTO="Manual",$M111=1),$M111&gt;(ROW(PLE.lastrow)-ROW(PLE.firstrow))),0,IF(OFFSET(PLE!$G$14,$M111,BV$13)="",10^12,OFFSET(PLE!$G$14,$M111,BV$13))))</f>
        <v>1000000000000</v>
      </c>
      <c r="BW111" s="182">
        <f ca="1">IF($D111&lt;&gt;"Serviço",0,IF(OR(AND(AUTOEVENTO="Manual",$M111=1),$M111&gt;(ROW(PLE.lastrow)-ROW(PLE.firstrow))),0,IF(OFFSET(PLE!$G$14,$M111,BW$13)="",10^12,OFFSET(PLE!$G$14,$M111,BW$13))))</f>
        <v>1000000000000</v>
      </c>
      <c r="BX111" s="182">
        <f ca="1">IF($D111&lt;&gt;"Serviço",0,IF(OR(AND(AUTOEVENTO="Manual",$M111=1),$M111&gt;(ROW(PLE.lastrow)-ROW(PLE.firstrow))),0,IF(OFFSET(PLE!$G$14,$M111,BX$13)="",10^12,OFFSET(PLE!$G$14,$M111,BX$13))))</f>
        <v>1000000000000</v>
      </c>
      <c r="BY111" s="182">
        <f ca="1">IF($D111&lt;&gt;"Serviço",0,IF(OR(AND(AUTOEVENTO="Manual",$M111=1),$M111&gt;(ROW(PLE.lastrow)-ROW(PLE.firstrow))),0,IF(OFFSET(PLE!$G$14,$M111,BY$13)="",10^12,OFFSET(PLE!$G$14,$M111,BY$13))))</f>
        <v>1000000000000</v>
      </c>
      <c r="BZ111" s="182">
        <f ca="1">IF($D111&lt;&gt;"Serviço",0,IF(OR(AND(AUTOEVENTO="Manual",$M111=1),$M111&gt;(ROW(PLE.lastrow)-ROW(PLE.firstrow))),0,IF(OFFSET(PLE!$G$14,$M111,BZ$13)="",10^12,OFFSET(PLE!$G$14,$M111,BZ$13))))</f>
        <v>1000000000000</v>
      </c>
      <c r="CA111" s="182">
        <f ca="1">IF($D111&lt;&gt;"Serviço",0,IF(OR(AND(AUTOEVENTO="Manual",$M111=1),$M111&gt;(ROW(PLE.lastrow)-ROW(PLE.firstrow))),0,IF(OFFSET(PLE!$G$14,$M111,CA$13)="",10^12,OFFSET(PLE!$G$14,$M111,CA$13))))</f>
        <v>1000000000000</v>
      </c>
      <c r="CB111" s="182">
        <f ca="1">IF($D111&lt;&gt;"Serviço",0,IF(OR(AND(AUTOEVENTO="Manual",$M111=1),$M111&gt;(ROW(PLE.lastrow)-ROW(PLE.firstrow))),0,IF(OFFSET(PLE!$G$14,$M111,CB$13)="",10^12,OFFSET(PLE!$G$14,$M111,CB$13))))</f>
        <v>1000000000000</v>
      </c>
      <c r="CC111" s="182">
        <f ca="1">IF($D111&lt;&gt;"Serviço",0,IF(OR(AND(AUTOEVENTO="Manual",$M111=1),$M111&gt;(ROW(PLE.lastrow)-ROW(PLE.firstrow))),0,IF(OFFSET(PLE!$G$14,$M111,CC$13)="",10^12,OFFSET(PLE!$G$14,$M111,CC$13))))</f>
        <v>1000000000000</v>
      </c>
      <c r="CD111" s="182">
        <f ca="1">IF($D111&lt;&gt;"Serviço",0,IF(OR(AND(AUTOEVENTO="Manual",$M111=1),$M111&gt;(ROW(PLE.lastrow)-ROW(PLE.firstrow))),0,IF(OFFSET(PLE!$G$14,$M111,CD$13)="",10^12,OFFSET(PLE!$G$14,$M111,CD$13))))</f>
        <v>1000000000000</v>
      </c>
      <c r="CE111" s="182">
        <f ca="1">IF($D111&lt;&gt;"Serviço",0,IF(OR(AND(AUTOEVENTO="Manual",$M111=1),$M111&gt;(ROW(PLE.lastrow)-ROW(PLE.firstrow))),0,IF(OFFSET(PLE!$G$14,$M111,CE$13)="",10^12,OFFSET(PLE!$G$14,$M111,CE$13))))</f>
        <v>1000000000000</v>
      </c>
      <c r="CF111" s="182">
        <f ca="1">IF($D111&lt;&gt;"Serviço",0,IF(OR(AND(AUTOEVENTO="Manual",$M111=1),$M111&gt;(ROW(PLE.lastrow)-ROW(PLE.firstrow))),0,IF(OFFSET(PLE!$G$14,$M111,CF$13)="",10^12,OFFSET(PLE!$G$14,$M111,CF$13))))</f>
        <v>1000000000000</v>
      </c>
      <c r="CG111" s="182">
        <f ca="1">IF($D111&lt;&gt;"Serviço",0,IF(OR(AND(AUTOEVENTO="Manual",$M111=1),$M111&gt;(ROW(PLE.lastrow)-ROW(PLE.firstrow))),0,IF(OFFSET(PLE!$G$14,$M111,CG$13)="",10^12,OFFSET(PLE!$G$14,$M111,CG$13))))</f>
        <v>1000000000000</v>
      </c>
      <c r="CH111" s="182">
        <f ca="1">IF($D111&lt;&gt;"Serviço",0,IF(OR(AND(AUTOEVENTO="Manual",$M111=1),$M111&gt;(ROW(PLE.lastrow)-ROW(PLE.firstrow))),0,IF(OFFSET(PLE!$G$14,$M111,CH$13)="",10^12,OFFSET(PLE!$G$14,$M111,CH$13))))</f>
        <v>1000000000000</v>
      </c>
      <c r="CI111" s="182">
        <f ca="1">IF($D111&lt;&gt;"Serviço",0,IF(OR(AND(AUTOEVENTO="Manual",$M111=1),$M111&gt;(ROW(PLE.lastrow)-ROW(PLE.firstrow))),0,IF(OFFSET(PLE!$G$14,$M111,CI$13)="",10^12,OFFSET(PLE!$G$14,$M111,CI$13))))</f>
        <v>1000000000000</v>
      </c>
      <c r="CJ111" s="182">
        <f ca="1">IF($D111&lt;&gt;"Serviço",0,IF(OR(AND(AUTOEVENTO="Manual",$M111=1),$M111&gt;(ROW(PLE.lastrow)-ROW(PLE.firstrow))),0,IF(OFFSET(PLE!$G$14,$M111,CJ$13)="",10^12,OFFSET(PLE!$G$14,$M111,CJ$13))))</f>
        <v>1000000000000</v>
      </c>
      <c r="CK111" s="182">
        <f ca="1">IF($D111&lt;&gt;"Serviço",0,IF(OR(AND(AUTOEVENTO="Manual",$M111=1),$M111&gt;(ROW(PLE.lastrow)-ROW(PLE.firstrow))),0,IF(OFFSET(PLE!$G$14,$M111,CK$13)="",10^12,OFFSET(PLE!$G$14,$M111,CK$13))))</f>
        <v>1000000000000</v>
      </c>
      <c r="CL111" s="182">
        <f ca="1">IF($D111&lt;&gt;"Serviço",0,IF(OR(AND(AUTOEVENTO="Manual",$M111=1),$M111&gt;(ROW(PLE.lastrow)-ROW(PLE.firstrow))),0,IF(OFFSET(PLE!$G$14,$M111,CL$13)="",10^12,OFFSET(PLE!$G$14,$M111,CL$13))))</f>
        <v>1000000000000</v>
      </c>
      <c r="CM111" s="182">
        <f ca="1">IF($D111&lt;&gt;"Serviço",0,IF(OR(AND(AUTOEVENTO="Manual",$M111=1),$M111&gt;(ROW(PLE.lastrow)-ROW(PLE.firstrow))),0,IF(OFFSET(PLE!$G$14,$M111,CM$13)="",10^12,OFFSET(PLE!$G$14,$M111,CM$13))))</f>
        <v>1000000000000</v>
      </c>
    </row>
    <row r="112" spans="1:91" ht="25.5" x14ac:dyDescent="0.2">
      <c r="A112" s="7" t="str">
        <f t="shared" ca="1" si="10"/>
        <v>95</v>
      </c>
      <c r="B112" s="7" t="str">
        <f ca="1">OFFSET(ORÇAMENTO!C$15,ROW(B112)-ROW(B$15),0)</f>
        <v>S</v>
      </c>
      <c r="C112" s="7" t="str">
        <f ca="1">OFFSET(ORÇAMENTO!L$15,ROW(C112)-ROW(C$15),0)</f>
        <v/>
      </c>
      <c r="D112" s="118" t="str">
        <f ca="1">OFFSET(ORÇAMENTO!N$15,ROW(D112)-ROW(D$15),0)</f>
        <v>Serviço</v>
      </c>
      <c r="E112" s="119" t="str">
        <f ca="1">OFFSET(ORÇAMENTO!O$15,ROW(E112)-ROW(E$15),0)</f>
        <v>-</v>
      </c>
      <c r="F112" s="172" t="str">
        <f ca="1">OFFSET(ORÇAMENTO!R$15,ROW(F112)-ROW(F$15),0)</f>
        <v>(abra o arquivo 'Referência 06-2024.xlsm)</v>
      </c>
      <c r="G112" s="173" t="str">
        <f ca="1">IF($D112&lt;&gt;"Serviço","",OFFSET(ORÇAMENTO!S$15,ROW(G112)-ROW(G$15),0))</f>
        <v>-</v>
      </c>
      <c r="H112" s="124">
        <f ca="1">IF($D112&lt;&gt;"Serviço",0,IF(ACOMPANHAMENTO="BM",ROUND(OFFSET(ORÇAMENTO!AJ$15,ROW(H112)-ROW(H$15),0),15-13*ORÇAMENTO!$AF$7),SUMPRODUCT(($Q$12:$AI$12&lt;&gt;"")*ROUND($Q112:$AI112,15-13*ORÇAMENTO!$AF$7))))</f>
        <v>5.94</v>
      </c>
      <c r="I112" s="561" t="s">
        <v>1107</v>
      </c>
      <c r="K112" s="174"/>
      <c r="L112" s="175" t="s">
        <v>255</v>
      </c>
      <c r="M112" s="176">
        <f ca="1">IF($D112&lt;&gt;"Serviço","",IF(AUTOEVENTO="manual",$A112,IF(ISERROR(MATCH($A112,$A$15:OFFSET($A112,-1,0),0)),MAX($M$15:OFFSET(M112,-1,0))+1,INDEX($M$15:OFFSET(M112,-1,0),MATCH($A112,$A$15:OFFSET($A112,-1,0),0)))))</f>
        <v>18</v>
      </c>
      <c r="N112" s="177" t="str">
        <f ca="1">IF($D112&lt;&gt;"Serviço","",IF(AUTOEVENTO="Manual",IF($A112=0,"&lt;-- defina o número do agrupador",OFFSET(EVENTOS!$D$14,$A112,0)),OFFSET($F$15,$A112,0)))</f>
        <v>SISTEMA DE VEDAÇÃO VERTICAL - DIVISÓRIAS</v>
      </c>
      <c r="O112" s="178"/>
      <c r="Q112" s="178">
        <v>5.94</v>
      </c>
      <c r="R112" s="179"/>
      <c r="S112" s="179"/>
      <c r="T112" s="179"/>
      <c r="U112" s="179"/>
      <c r="V112" s="179"/>
      <c r="W112" s="179"/>
      <c r="X112" s="179"/>
      <c r="Y112" s="179"/>
      <c r="Z112" s="180"/>
      <c r="AA112" s="179"/>
      <c r="AB112" s="179"/>
      <c r="AC112" s="179"/>
      <c r="AD112" s="179"/>
      <c r="AE112" s="179"/>
      <c r="AF112" s="179"/>
      <c r="AG112" s="179"/>
      <c r="AH112" s="180"/>
      <c r="AJ112" s="544">
        <f ca="1">IF(AND($D112="Serviço",AJ$12&lt;&gt;0,$H112&gt;0,OR(AUTOEVENTO&lt;&gt;"manual",$M112&lt;&gt;1)),
IF(Import.TipoArredondamento&lt;&gt;"TransfereGOV",
ROUND(OFFSET($P112,0,AJ$13),15-13*ORÇAMENTO!$AF$7)/$H112*OFFSET(ORÇAMENTO!$X$15,ROW(AJ112)-ROW(AJ$15),0),
ROUND(ROUND(OFFSET($P112,0,AJ$13),15-13*ORÇAMENTO!$AF$7)*OFFSET(ORÇAMENTO!$W$15,ROW(AJ112)-ROW(AJ$15),0),15-13*ORÇAMENTO!$AF$11)),0)</f>
        <v>0</v>
      </c>
      <c r="AK112" s="545">
        <f ca="1">IF(AND($D112="Serviço",AK$12&lt;&gt;0,$H112&gt;0,OR(AUTOEVENTO&lt;&gt;"manual",$M112&lt;&gt;1)),
IF(Import.TipoArredondamento&lt;&gt;"TransfereGOV",
ROUND(OFFSET($P112,0,AK$13),15-13*ORÇAMENTO!$AF$7)/$H112*OFFSET(ORÇAMENTO!$X$15,ROW(AK112)-ROW(AK$15),0),
ROUND(ROUND(OFFSET($P112,0,AK$13),15-13*ORÇAMENTO!$AF$7)*OFFSET(ORÇAMENTO!$W$15,ROW(AK112)-ROW(AK$15),0),15-13*ORÇAMENTO!$AF$11)),0)</f>
        <v>0</v>
      </c>
      <c r="AL112" s="545">
        <f ca="1">IF(AND($D112="Serviço",AL$12&lt;&gt;0,$H112&gt;0,OR(AUTOEVENTO&lt;&gt;"manual",$M112&lt;&gt;1)),
IF(Import.TipoArredondamento&lt;&gt;"TransfereGOV",
ROUND(OFFSET($P112,0,AL$13),15-13*ORÇAMENTO!$AF$7)/$H112*OFFSET(ORÇAMENTO!$X$15,ROW(AL112)-ROW(AL$15),0),
ROUND(ROUND(OFFSET($P112,0,AL$13),15-13*ORÇAMENTO!$AF$7)*OFFSET(ORÇAMENTO!$W$15,ROW(AL112)-ROW(AL$15),0),15-13*ORÇAMENTO!$AF$11)),0)</f>
        <v>0</v>
      </c>
      <c r="AM112" s="545">
        <f ca="1">IF(AND($D112="Serviço",AM$12&lt;&gt;0,$H112&gt;0,OR(AUTOEVENTO&lt;&gt;"manual",$M112&lt;&gt;1)),
IF(Import.TipoArredondamento&lt;&gt;"TransfereGOV",
ROUND(OFFSET($P112,0,AM$13),15-13*ORÇAMENTO!$AF$7)/$H112*OFFSET(ORÇAMENTO!$X$15,ROW(AM112)-ROW(AM$15),0),
ROUND(ROUND(OFFSET($P112,0,AM$13),15-13*ORÇAMENTO!$AF$7)*OFFSET(ORÇAMENTO!$W$15,ROW(AM112)-ROW(AM$15),0),15-13*ORÇAMENTO!$AF$11)),0)</f>
        <v>0</v>
      </c>
      <c r="AN112" s="545">
        <f ca="1">IF(AND($D112="Serviço",AN$12&lt;&gt;0,$H112&gt;0,OR(AUTOEVENTO&lt;&gt;"manual",$M112&lt;&gt;1)),
IF(Import.TipoArredondamento&lt;&gt;"TransfereGOV",
ROUND(OFFSET($P112,0,AN$13),15-13*ORÇAMENTO!$AF$7)/$H112*OFFSET(ORÇAMENTO!$X$15,ROW(AN112)-ROW(AN$15),0),
ROUND(ROUND(OFFSET($P112,0,AN$13),15-13*ORÇAMENTO!$AF$7)*OFFSET(ORÇAMENTO!$W$15,ROW(AN112)-ROW(AN$15),0),15-13*ORÇAMENTO!$AF$11)),0)</f>
        <v>0</v>
      </c>
      <c r="AO112" s="545">
        <f ca="1">IF(AND($D112="Serviço",AO$12&lt;&gt;0,$H112&gt;0,OR(AUTOEVENTO&lt;&gt;"manual",$M112&lt;&gt;1)),
IF(Import.TipoArredondamento&lt;&gt;"TransfereGOV",
ROUND(OFFSET($P112,0,AO$13),15-13*ORÇAMENTO!$AF$7)/$H112*OFFSET(ORÇAMENTO!$X$15,ROW(AO112)-ROW(AO$15),0),
ROUND(ROUND(OFFSET($P112,0,AO$13),15-13*ORÇAMENTO!$AF$7)*OFFSET(ORÇAMENTO!$W$15,ROW(AO112)-ROW(AO$15),0),15-13*ORÇAMENTO!$AF$11)),0)</f>
        <v>0</v>
      </c>
      <c r="AP112" s="545">
        <f ca="1">IF(AND($D112="Serviço",AP$12&lt;&gt;0,$H112&gt;0,OR(AUTOEVENTO&lt;&gt;"manual",$M112&lt;&gt;1)),
IF(Import.TipoArredondamento&lt;&gt;"TransfereGOV",
ROUND(OFFSET($P112,0,AP$13),15-13*ORÇAMENTO!$AF$7)/$H112*OFFSET(ORÇAMENTO!$X$15,ROW(AP112)-ROW(AP$15),0),
ROUND(ROUND(OFFSET($P112,0,AP$13),15-13*ORÇAMENTO!$AF$7)*OFFSET(ORÇAMENTO!$W$15,ROW(AP112)-ROW(AP$15),0),15-13*ORÇAMENTO!$AF$11)),0)</f>
        <v>0</v>
      </c>
      <c r="AQ112" s="545">
        <f ca="1">IF(AND($D112="Serviço",AQ$12&lt;&gt;0,$H112&gt;0,OR(AUTOEVENTO&lt;&gt;"manual",$M112&lt;&gt;1)),
IF(Import.TipoArredondamento&lt;&gt;"TransfereGOV",
ROUND(OFFSET($P112,0,AQ$13),15-13*ORÇAMENTO!$AF$7)/$H112*OFFSET(ORÇAMENTO!$X$15,ROW(AQ112)-ROW(AQ$15),0),
ROUND(ROUND(OFFSET($P112,0,AQ$13),15-13*ORÇAMENTO!$AF$7)*OFFSET(ORÇAMENTO!$W$15,ROW(AQ112)-ROW(AQ$15),0),15-13*ORÇAMENTO!$AF$11)),0)</f>
        <v>0</v>
      </c>
      <c r="AR112" s="545">
        <f ca="1">IF(AND($D112="Serviço",AR$12&lt;&gt;0,$H112&gt;0,OR(AUTOEVENTO&lt;&gt;"manual",$M112&lt;&gt;1)),
IF(Import.TipoArredondamento&lt;&gt;"TransfereGOV",
ROUND(OFFSET($P112,0,AR$13),15-13*ORÇAMENTO!$AF$7)/$H112*OFFSET(ORÇAMENTO!$X$15,ROW(AR112)-ROW(AR$15),0),
ROUND(ROUND(OFFSET($P112,0,AR$13),15-13*ORÇAMENTO!$AF$7)*OFFSET(ORÇAMENTO!$W$15,ROW(AR112)-ROW(AR$15),0),15-13*ORÇAMENTO!$AF$11)),0)</f>
        <v>0</v>
      </c>
      <c r="AS112" s="546">
        <f ca="1">IF(AND($D112="Serviço",AS$12&lt;&gt;0,$H112&gt;0,OR(AUTOEVENTO&lt;&gt;"manual",$M112&lt;&gt;1)),
IF(Import.TipoArredondamento&lt;&gt;"TransfereGOV",
ROUND(OFFSET($P112,0,AS$13),15-13*ORÇAMENTO!$AF$7)/$H112*OFFSET(ORÇAMENTO!$X$15,ROW(AS112)-ROW(AS$15),0),
ROUND(ROUND(OFFSET($P112,0,AS$13),15-13*ORÇAMENTO!$AF$7)*OFFSET(ORÇAMENTO!$W$15,ROW(AS112)-ROW(AS$15),0),15-13*ORÇAMENTO!$AF$11)),0)</f>
        <v>0</v>
      </c>
      <c r="AT112" s="545">
        <f ca="1">IF(AND($D112="Serviço",AT$12&lt;&gt;0,$H112&gt;0,OR(AUTOEVENTO&lt;&gt;"manual",$M112&lt;&gt;1)),
IF(Import.TipoArredondamento&lt;&gt;"TransfereGOV",
ROUND(OFFSET($P112,0,AT$13),15-13*ORÇAMENTO!$AF$7)/$H112*OFFSET(ORÇAMENTO!$X$15,ROW(AT112)-ROW(AT$15),0),
ROUND(ROUND(OFFSET($P112,0,AT$13),15-13*ORÇAMENTO!$AF$7)*OFFSET(ORÇAMENTO!$W$15,ROW(AT112)-ROW(AT$15),0),15-13*ORÇAMENTO!$AF$11)),0)</f>
        <v>0</v>
      </c>
      <c r="AU112" s="545">
        <f ca="1">IF(AND($D112="Serviço",AU$12&lt;&gt;0,$H112&gt;0,OR(AUTOEVENTO&lt;&gt;"manual",$M112&lt;&gt;1)),
IF(Import.TipoArredondamento&lt;&gt;"TransfereGOV",
ROUND(OFFSET($P112,0,AU$13),15-13*ORÇAMENTO!$AF$7)/$H112*OFFSET(ORÇAMENTO!$X$15,ROW(AU112)-ROW(AU$15),0),
ROUND(ROUND(OFFSET($P112,0,AU$13),15-13*ORÇAMENTO!$AF$7)*OFFSET(ORÇAMENTO!$W$15,ROW(AU112)-ROW(AU$15),0),15-13*ORÇAMENTO!$AF$11)),0)</f>
        <v>0</v>
      </c>
      <c r="AV112" s="545">
        <f ca="1">IF(AND($D112="Serviço",AV$12&lt;&gt;0,$H112&gt;0,OR(AUTOEVENTO&lt;&gt;"manual",$M112&lt;&gt;1)),
IF(Import.TipoArredondamento&lt;&gt;"TransfereGOV",
ROUND(OFFSET($P112,0,AV$13),15-13*ORÇAMENTO!$AF$7)/$H112*OFFSET(ORÇAMENTO!$X$15,ROW(AV112)-ROW(AV$15),0),
ROUND(ROUND(OFFSET($P112,0,AV$13),15-13*ORÇAMENTO!$AF$7)*OFFSET(ORÇAMENTO!$W$15,ROW(AV112)-ROW(AV$15),0),15-13*ORÇAMENTO!$AF$11)),0)</f>
        <v>0</v>
      </c>
      <c r="AW112" s="545">
        <f ca="1">IF(AND($D112="Serviço",AW$12&lt;&gt;0,$H112&gt;0,OR(AUTOEVENTO&lt;&gt;"manual",$M112&lt;&gt;1)),
IF(Import.TipoArredondamento&lt;&gt;"TransfereGOV",
ROUND(OFFSET($P112,0,AW$13),15-13*ORÇAMENTO!$AF$7)/$H112*OFFSET(ORÇAMENTO!$X$15,ROW(AW112)-ROW(AW$15),0),
ROUND(ROUND(OFFSET($P112,0,AW$13),15-13*ORÇAMENTO!$AF$7)*OFFSET(ORÇAMENTO!$W$15,ROW(AW112)-ROW(AW$15),0),15-13*ORÇAMENTO!$AF$11)),0)</f>
        <v>0</v>
      </c>
      <c r="AX112" s="545">
        <f ca="1">IF(AND($D112="Serviço",AX$12&lt;&gt;0,$H112&gt;0,OR(AUTOEVENTO&lt;&gt;"manual",$M112&lt;&gt;1)),
IF(Import.TipoArredondamento&lt;&gt;"TransfereGOV",
ROUND(OFFSET($P112,0,AX$13),15-13*ORÇAMENTO!$AF$7)/$H112*OFFSET(ORÇAMENTO!$X$15,ROW(AX112)-ROW(AX$15),0),
ROUND(ROUND(OFFSET($P112,0,AX$13),15-13*ORÇAMENTO!$AF$7)*OFFSET(ORÇAMENTO!$W$15,ROW(AX112)-ROW(AX$15),0),15-13*ORÇAMENTO!$AF$11)),0)</f>
        <v>0</v>
      </c>
      <c r="AY112" s="545">
        <f ca="1">IF(AND($D112="Serviço",AY$12&lt;&gt;0,$H112&gt;0,OR(AUTOEVENTO&lt;&gt;"manual",$M112&lt;&gt;1)),
IF(Import.TipoArredondamento&lt;&gt;"TransfereGOV",
ROUND(OFFSET($P112,0,AY$13),15-13*ORÇAMENTO!$AF$7)/$H112*OFFSET(ORÇAMENTO!$X$15,ROW(AY112)-ROW(AY$15),0),
ROUND(ROUND(OFFSET($P112,0,AY$13),15-13*ORÇAMENTO!$AF$7)*OFFSET(ORÇAMENTO!$W$15,ROW(AY112)-ROW(AY$15),0),15-13*ORÇAMENTO!$AF$11)),0)</f>
        <v>0</v>
      </c>
      <c r="AZ112" s="545">
        <f ca="1">IF(AND($D112="Serviço",AZ$12&lt;&gt;0,$H112&gt;0,OR(AUTOEVENTO&lt;&gt;"manual",$M112&lt;&gt;1)),
IF(Import.TipoArredondamento&lt;&gt;"TransfereGOV",
ROUND(OFFSET($P112,0,AZ$13),15-13*ORÇAMENTO!$AF$7)/$H112*OFFSET(ORÇAMENTO!$X$15,ROW(AZ112)-ROW(AZ$15),0),
ROUND(ROUND(OFFSET($P112,0,AZ$13),15-13*ORÇAMENTO!$AF$7)*OFFSET(ORÇAMENTO!$W$15,ROW(AZ112)-ROW(AZ$15),0),15-13*ORÇAMENTO!$AF$11)),0)</f>
        <v>0</v>
      </c>
      <c r="BA112" s="546">
        <f ca="1">IF(AND($D112="Serviço",BA$12&lt;&gt;0,$H112&gt;0,OR(AUTOEVENTO&lt;&gt;"manual",$M112&lt;&gt;1)),
IF(Import.TipoArredondamento&lt;&gt;"TransfereGOV",
ROUND(OFFSET($P112,0,BA$13),15-13*ORÇAMENTO!$AF$7)/$H112*OFFSET(ORÇAMENTO!$X$15,ROW(BA112)-ROW(BA$15),0),
ROUND(ROUND(OFFSET($P112,0,BA$13),15-13*ORÇAMENTO!$AF$7)*OFFSET(ORÇAMENTO!$W$15,ROW(BA112)-ROW(BA$15),0),15-13*ORÇAMENTO!$AF$11)),0)</f>
        <v>0</v>
      </c>
      <c r="BC112" s="181">
        <f ca="1">IF($D112&lt;&gt;"Serviço",0,IF(AND(AUTOEVENTO="Manual",$M112=1),0,IF(OFFSET(CRONOPLE!$F$14,$M112,BC$13)="",10^12,OFFSET(CRONOPLE!$F$14,$M112,BC$13))))</f>
        <v>5</v>
      </c>
      <c r="BD112" s="181">
        <f ca="1">IF($D112&lt;&gt;"Serviço",0,IF(AND(AUTOEVENTO="Manual",$M112=1),0,IF(OFFSET(CRONOPLE!$F$14,$M112,BD$13)="",10^12,OFFSET(CRONOPLE!$F$14,$M112,BD$13))))</f>
        <v>1000000000000</v>
      </c>
      <c r="BE112" s="181">
        <f ca="1">IF($D112&lt;&gt;"Serviço",0,IF(AND(AUTOEVENTO="Manual",$M112=1),0,IF(OFFSET(CRONOPLE!$F$14,$M112,BE$13)="",10^12,OFFSET(CRONOPLE!$F$14,$M112,BE$13))))</f>
        <v>1000000000000</v>
      </c>
      <c r="BF112" s="181">
        <f ca="1">IF($D112&lt;&gt;"Serviço",0,IF(AND(AUTOEVENTO="Manual",$M112=1),0,IF(OFFSET(CRONOPLE!$F$14,$M112,BF$13)="",10^12,OFFSET(CRONOPLE!$F$14,$M112,BF$13))))</f>
        <v>1000000000000</v>
      </c>
      <c r="BG112" s="181">
        <f ca="1">IF($D112&lt;&gt;"Serviço",0,IF(AND(AUTOEVENTO="Manual",$M112=1),0,IF(OFFSET(CRONOPLE!$F$14,$M112,BG$13)="",10^12,OFFSET(CRONOPLE!$F$14,$M112,BG$13))))</f>
        <v>1000000000000</v>
      </c>
      <c r="BH112" s="181">
        <f ca="1">IF($D112&lt;&gt;"Serviço",0,IF(AND(AUTOEVENTO="Manual",$M112=1),0,IF(OFFSET(CRONOPLE!$F$14,$M112,BH$13)="",10^12,OFFSET(CRONOPLE!$F$14,$M112,BH$13))))</f>
        <v>1000000000000</v>
      </c>
      <c r="BI112" s="181">
        <f ca="1">IF($D112&lt;&gt;"Serviço",0,IF(AND(AUTOEVENTO="Manual",$M112=1),0,IF(OFFSET(CRONOPLE!$F$14,$M112,BI$13)="",10^12,OFFSET(CRONOPLE!$F$14,$M112,BI$13))))</f>
        <v>1000000000000</v>
      </c>
      <c r="BJ112" s="181">
        <f ca="1">IF($D112&lt;&gt;"Serviço",0,IF(AND(AUTOEVENTO="Manual",$M112=1),0,IF(OFFSET(CRONOPLE!$F$14,$M112,BJ$13)="",10^12,OFFSET(CRONOPLE!$F$14,$M112,BJ$13))))</f>
        <v>1000000000000</v>
      </c>
      <c r="BK112" s="181">
        <f ca="1">IF($D112&lt;&gt;"Serviço",0,IF(AND(AUTOEVENTO="Manual",$M112=1),0,IF(OFFSET(CRONOPLE!$F$14,$M112,BK$13)="",10^12,OFFSET(CRONOPLE!$F$14,$M112,BK$13))))</f>
        <v>1000000000000</v>
      </c>
      <c r="BL112" s="181">
        <f ca="1">IF($D112&lt;&gt;"Serviço",0,IF(AND(AUTOEVENTO="Manual",$M112=1),0,IF(OFFSET(CRONOPLE!$F$14,$M112,BL$13)="",10^12,OFFSET(CRONOPLE!$F$14,$M112,BL$13))))</f>
        <v>1000000000000</v>
      </c>
      <c r="BM112" s="181">
        <f ca="1">IF($D112&lt;&gt;"Serviço",0,IF(AND(AUTOEVENTO="Manual",$M112=1),0,IF(OFFSET(CRONOPLE!$F$14,$M112,BM$13)="",10^12,OFFSET(CRONOPLE!$F$14,$M112,BM$13))))</f>
        <v>1000000000000</v>
      </c>
      <c r="BN112" s="181">
        <f ca="1">IF($D112&lt;&gt;"Serviço",0,IF(AND(AUTOEVENTO="Manual",$M112=1),0,IF(OFFSET(CRONOPLE!$F$14,$M112,BN$13)="",10^12,OFFSET(CRONOPLE!$F$14,$M112,BN$13))))</f>
        <v>1000000000000</v>
      </c>
      <c r="BO112" s="181">
        <f ca="1">IF($D112&lt;&gt;"Serviço",0,IF(AND(AUTOEVENTO="Manual",$M112=1),0,IF(OFFSET(CRONOPLE!$F$14,$M112,BO$13)="",10^12,OFFSET(CRONOPLE!$F$14,$M112,BO$13))))</f>
        <v>1000000000000</v>
      </c>
      <c r="BP112" s="181">
        <f ca="1">IF($D112&lt;&gt;"Serviço",0,IF(AND(AUTOEVENTO="Manual",$M112=1),0,IF(OFFSET(CRONOPLE!$F$14,$M112,BP$13)="",10^12,OFFSET(CRONOPLE!$F$14,$M112,BP$13))))</f>
        <v>1000000000000</v>
      </c>
      <c r="BQ112" s="181">
        <f ca="1">IF($D112&lt;&gt;"Serviço",0,IF(AND(AUTOEVENTO="Manual",$M112=1),0,IF(OFFSET(CRONOPLE!$F$14,$M112,BQ$13)="",10^12,OFFSET(CRONOPLE!$F$14,$M112,BQ$13))))</f>
        <v>1000000000000</v>
      </c>
      <c r="BR112" s="181">
        <f ca="1">IF($D112&lt;&gt;"Serviço",0,IF(AND(AUTOEVENTO="Manual",$M112=1),0,IF(OFFSET(CRONOPLE!$F$14,$M112,BR$13)="",10^12,OFFSET(CRONOPLE!$F$14,$M112,BR$13))))</f>
        <v>1000000000000</v>
      </c>
      <c r="BS112" s="181">
        <f ca="1">IF($D112&lt;&gt;"Serviço",0,IF(AND(AUTOEVENTO="Manual",$M112=1),0,IF(OFFSET(CRONOPLE!$F$14,$M112,BS$13)="",10^12,OFFSET(CRONOPLE!$F$14,$M112,BS$13))))</f>
        <v>1000000000000</v>
      </c>
      <c r="BT112" s="181">
        <f ca="1">IF($D112&lt;&gt;"Serviço",0,IF(AND(AUTOEVENTO="Manual",$M112=1),0,IF(OFFSET(CRONOPLE!$F$14,$M112,BT$13)="",10^12,OFFSET(CRONOPLE!$F$14,$M112,BT$13))))</f>
        <v>1000000000000</v>
      </c>
      <c r="BV112" s="182">
        <f ca="1">IF($D112&lt;&gt;"Serviço",0,IF(OR(AND(AUTOEVENTO="Manual",$M112=1),$M112&gt;(ROW(PLE.lastrow)-ROW(PLE.firstrow))),0,IF(OFFSET(PLE!$G$14,$M112,BV$13)="",10^12,OFFSET(PLE!$G$14,$M112,BV$13))))</f>
        <v>1000000000000</v>
      </c>
      <c r="BW112" s="182">
        <f ca="1">IF($D112&lt;&gt;"Serviço",0,IF(OR(AND(AUTOEVENTO="Manual",$M112=1),$M112&gt;(ROW(PLE.lastrow)-ROW(PLE.firstrow))),0,IF(OFFSET(PLE!$G$14,$M112,BW$13)="",10^12,OFFSET(PLE!$G$14,$M112,BW$13))))</f>
        <v>1000000000000</v>
      </c>
      <c r="BX112" s="182">
        <f ca="1">IF($D112&lt;&gt;"Serviço",0,IF(OR(AND(AUTOEVENTO="Manual",$M112=1),$M112&gt;(ROW(PLE.lastrow)-ROW(PLE.firstrow))),0,IF(OFFSET(PLE!$G$14,$M112,BX$13)="",10^12,OFFSET(PLE!$G$14,$M112,BX$13))))</f>
        <v>1000000000000</v>
      </c>
      <c r="BY112" s="182">
        <f ca="1">IF($D112&lt;&gt;"Serviço",0,IF(OR(AND(AUTOEVENTO="Manual",$M112=1),$M112&gt;(ROW(PLE.lastrow)-ROW(PLE.firstrow))),0,IF(OFFSET(PLE!$G$14,$M112,BY$13)="",10^12,OFFSET(PLE!$G$14,$M112,BY$13))))</f>
        <v>1000000000000</v>
      </c>
      <c r="BZ112" s="182">
        <f ca="1">IF($D112&lt;&gt;"Serviço",0,IF(OR(AND(AUTOEVENTO="Manual",$M112=1),$M112&gt;(ROW(PLE.lastrow)-ROW(PLE.firstrow))),0,IF(OFFSET(PLE!$G$14,$M112,BZ$13)="",10^12,OFFSET(PLE!$G$14,$M112,BZ$13))))</f>
        <v>1000000000000</v>
      </c>
      <c r="CA112" s="182">
        <f ca="1">IF($D112&lt;&gt;"Serviço",0,IF(OR(AND(AUTOEVENTO="Manual",$M112=1),$M112&gt;(ROW(PLE.lastrow)-ROW(PLE.firstrow))),0,IF(OFFSET(PLE!$G$14,$M112,CA$13)="",10^12,OFFSET(PLE!$G$14,$M112,CA$13))))</f>
        <v>1000000000000</v>
      </c>
      <c r="CB112" s="182">
        <f ca="1">IF($D112&lt;&gt;"Serviço",0,IF(OR(AND(AUTOEVENTO="Manual",$M112=1),$M112&gt;(ROW(PLE.lastrow)-ROW(PLE.firstrow))),0,IF(OFFSET(PLE!$G$14,$M112,CB$13)="",10^12,OFFSET(PLE!$G$14,$M112,CB$13))))</f>
        <v>1000000000000</v>
      </c>
      <c r="CC112" s="182">
        <f ca="1">IF($D112&lt;&gt;"Serviço",0,IF(OR(AND(AUTOEVENTO="Manual",$M112=1),$M112&gt;(ROW(PLE.lastrow)-ROW(PLE.firstrow))),0,IF(OFFSET(PLE!$G$14,$M112,CC$13)="",10^12,OFFSET(PLE!$G$14,$M112,CC$13))))</f>
        <v>1000000000000</v>
      </c>
      <c r="CD112" s="182">
        <f ca="1">IF($D112&lt;&gt;"Serviço",0,IF(OR(AND(AUTOEVENTO="Manual",$M112=1),$M112&gt;(ROW(PLE.lastrow)-ROW(PLE.firstrow))),0,IF(OFFSET(PLE!$G$14,$M112,CD$13)="",10^12,OFFSET(PLE!$G$14,$M112,CD$13))))</f>
        <v>1000000000000</v>
      </c>
      <c r="CE112" s="182">
        <f ca="1">IF($D112&lt;&gt;"Serviço",0,IF(OR(AND(AUTOEVENTO="Manual",$M112=1),$M112&gt;(ROW(PLE.lastrow)-ROW(PLE.firstrow))),0,IF(OFFSET(PLE!$G$14,$M112,CE$13)="",10^12,OFFSET(PLE!$G$14,$M112,CE$13))))</f>
        <v>1000000000000</v>
      </c>
      <c r="CF112" s="182">
        <f ca="1">IF($D112&lt;&gt;"Serviço",0,IF(OR(AND(AUTOEVENTO="Manual",$M112=1),$M112&gt;(ROW(PLE.lastrow)-ROW(PLE.firstrow))),0,IF(OFFSET(PLE!$G$14,$M112,CF$13)="",10^12,OFFSET(PLE!$G$14,$M112,CF$13))))</f>
        <v>1000000000000</v>
      </c>
      <c r="CG112" s="182">
        <f ca="1">IF($D112&lt;&gt;"Serviço",0,IF(OR(AND(AUTOEVENTO="Manual",$M112=1),$M112&gt;(ROW(PLE.lastrow)-ROW(PLE.firstrow))),0,IF(OFFSET(PLE!$G$14,$M112,CG$13)="",10^12,OFFSET(PLE!$G$14,$M112,CG$13))))</f>
        <v>1000000000000</v>
      </c>
      <c r="CH112" s="182">
        <f ca="1">IF($D112&lt;&gt;"Serviço",0,IF(OR(AND(AUTOEVENTO="Manual",$M112=1),$M112&gt;(ROW(PLE.lastrow)-ROW(PLE.firstrow))),0,IF(OFFSET(PLE!$G$14,$M112,CH$13)="",10^12,OFFSET(PLE!$G$14,$M112,CH$13))))</f>
        <v>1000000000000</v>
      </c>
      <c r="CI112" s="182">
        <f ca="1">IF($D112&lt;&gt;"Serviço",0,IF(OR(AND(AUTOEVENTO="Manual",$M112=1),$M112&gt;(ROW(PLE.lastrow)-ROW(PLE.firstrow))),0,IF(OFFSET(PLE!$G$14,$M112,CI$13)="",10^12,OFFSET(PLE!$G$14,$M112,CI$13))))</f>
        <v>1000000000000</v>
      </c>
      <c r="CJ112" s="182">
        <f ca="1">IF($D112&lt;&gt;"Serviço",0,IF(OR(AND(AUTOEVENTO="Manual",$M112=1),$M112&gt;(ROW(PLE.lastrow)-ROW(PLE.firstrow))),0,IF(OFFSET(PLE!$G$14,$M112,CJ$13)="",10^12,OFFSET(PLE!$G$14,$M112,CJ$13))))</f>
        <v>1000000000000</v>
      </c>
      <c r="CK112" s="182">
        <f ca="1">IF($D112&lt;&gt;"Serviço",0,IF(OR(AND(AUTOEVENTO="Manual",$M112=1),$M112&gt;(ROW(PLE.lastrow)-ROW(PLE.firstrow))),0,IF(OFFSET(PLE!$G$14,$M112,CK$13)="",10^12,OFFSET(PLE!$G$14,$M112,CK$13))))</f>
        <v>1000000000000</v>
      </c>
      <c r="CL112" s="182">
        <f ca="1">IF($D112&lt;&gt;"Serviço",0,IF(OR(AND(AUTOEVENTO="Manual",$M112=1),$M112&gt;(ROW(PLE.lastrow)-ROW(PLE.firstrow))),0,IF(OFFSET(PLE!$G$14,$M112,CL$13)="",10^12,OFFSET(PLE!$G$14,$M112,CL$13))))</f>
        <v>1000000000000</v>
      </c>
      <c r="CM112" s="182">
        <f ca="1">IF($D112&lt;&gt;"Serviço",0,IF(OR(AND(AUTOEVENTO="Manual",$M112=1),$M112&gt;(ROW(PLE.lastrow)-ROW(PLE.firstrow))),0,IF(OFFSET(PLE!$G$14,$M112,CM$13)="",10^12,OFFSET(PLE!$G$14,$M112,CM$13))))</f>
        <v>1000000000000</v>
      </c>
    </row>
    <row r="113" spans="1:91" ht="25.5" x14ac:dyDescent="0.2">
      <c r="A113" s="7" t="str">
        <f t="shared" ca="1" si="10"/>
        <v>95</v>
      </c>
      <c r="B113" s="7" t="str">
        <f ca="1">OFFSET(ORÇAMENTO!C$15,ROW(B113)-ROW(B$15),0)</f>
        <v>S</v>
      </c>
      <c r="C113" s="7" t="str">
        <f ca="1">OFFSET(ORÇAMENTO!L$15,ROW(C113)-ROW(C$15),0)</f>
        <v/>
      </c>
      <c r="D113" s="118" t="str">
        <f ca="1">OFFSET(ORÇAMENTO!N$15,ROW(D113)-ROW(D$15),0)</f>
        <v>Serviço</v>
      </c>
      <c r="E113" s="119" t="str">
        <f ca="1">OFFSET(ORÇAMENTO!O$15,ROW(E113)-ROW(E$15),0)</f>
        <v>-</v>
      </c>
      <c r="F113" s="172" t="str">
        <f ca="1">OFFSET(ORÇAMENTO!R$15,ROW(F113)-ROW(F$15),0)</f>
        <v>(abra o arquivo 'Referência 06-2024.xlsm)</v>
      </c>
      <c r="G113" s="173" t="str">
        <f ca="1">IF($D113&lt;&gt;"Serviço","",OFFSET(ORÇAMENTO!S$15,ROW(G113)-ROW(G$15),0))</f>
        <v>-</v>
      </c>
      <c r="H113" s="124">
        <f ca="1">IF($D113&lt;&gt;"Serviço",0,IF(ACOMPANHAMENTO="BM",ROUND(OFFSET(ORÇAMENTO!AJ$15,ROW(H113)-ROW(H$15),0),15-13*ORÇAMENTO!$AF$7),SUMPRODUCT(($Q$12:$AI$12&lt;&gt;"")*ROUND($Q113:$AI113,15-13*ORÇAMENTO!$AF$7))))</f>
        <v>5.38</v>
      </c>
      <c r="I113" s="561" t="s">
        <v>1107</v>
      </c>
      <c r="K113" s="174"/>
      <c r="L113" s="175" t="s">
        <v>255</v>
      </c>
      <c r="M113" s="176">
        <f ca="1">IF($D113&lt;&gt;"Serviço","",IF(AUTOEVENTO="manual",$A113,IF(ISERROR(MATCH($A113,$A$15:OFFSET($A113,-1,0),0)),MAX($M$15:OFFSET(M113,-1,0))+1,INDEX($M$15:OFFSET(M113,-1,0),MATCH($A113,$A$15:OFFSET($A113,-1,0),0)))))</f>
        <v>18</v>
      </c>
      <c r="N113" s="177" t="str">
        <f ca="1">IF($D113&lt;&gt;"Serviço","",IF(AUTOEVENTO="Manual",IF($A113=0,"&lt;-- defina o número do agrupador",OFFSET(EVENTOS!$D$14,$A113,0)),OFFSET($F$15,$A113,0)))</f>
        <v>SISTEMA DE VEDAÇÃO VERTICAL - DIVISÓRIAS</v>
      </c>
      <c r="O113" s="178"/>
      <c r="Q113" s="178">
        <v>5.38</v>
      </c>
      <c r="R113" s="179"/>
      <c r="S113" s="179"/>
      <c r="T113" s="179"/>
      <c r="U113" s="179"/>
      <c r="V113" s="179"/>
      <c r="W113" s="179"/>
      <c r="X113" s="179"/>
      <c r="Y113" s="179"/>
      <c r="Z113" s="180"/>
      <c r="AA113" s="179"/>
      <c r="AB113" s="179"/>
      <c r="AC113" s="179"/>
      <c r="AD113" s="179"/>
      <c r="AE113" s="179"/>
      <c r="AF113" s="179"/>
      <c r="AG113" s="179"/>
      <c r="AH113" s="180"/>
      <c r="AJ113" s="544">
        <f ca="1">IF(AND($D113="Serviço",AJ$12&lt;&gt;0,$H113&gt;0,OR(AUTOEVENTO&lt;&gt;"manual",$M113&lt;&gt;1)),
IF(Import.TipoArredondamento&lt;&gt;"TransfereGOV",
ROUND(OFFSET($P113,0,AJ$13),15-13*ORÇAMENTO!$AF$7)/$H113*OFFSET(ORÇAMENTO!$X$15,ROW(AJ113)-ROW(AJ$15),0),
ROUND(ROUND(OFFSET($P113,0,AJ$13),15-13*ORÇAMENTO!$AF$7)*OFFSET(ORÇAMENTO!$W$15,ROW(AJ113)-ROW(AJ$15),0),15-13*ORÇAMENTO!$AF$11)),0)</f>
        <v>0</v>
      </c>
      <c r="AK113" s="545">
        <f ca="1">IF(AND($D113="Serviço",AK$12&lt;&gt;0,$H113&gt;0,OR(AUTOEVENTO&lt;&gt;"manual",$M113&lt;&gt;1)),
IF(Import.TipoArredondamento&lt;&gt;"TransfereGOV",
ROUND(OFFSET($P113,0,AK$13),15-13*ORÇAMENTO!$AF$7)/$H113*OFFSET(ORÇAMENTO!$X$15,ROW(AK113)-ROW(AK$15),0),
ROUND(ROUND(OFFSET($P113,0,AK$13),15-13*ORÇAMENTO!$AF$7)*OFFSET(ORÇAMENTO!$W$15,ROW(AK113)-ROW(AK$15),0),15-13*ORÇAMENTO!$AF$11)),0)</f>
        <v>0</v>
      </c>
      <c r="AL113" s="545">
        <f ca="1">IF(AND($D113="Serviço",AL$12&lt;&gt;0,$H113&gt;0,OR(AUTOEVENTO&lt;&gt;"manual",$M113&lt;&gt;1)),
IF(Import.TipoArredondamento&lt;&gt;"TransfereGOV",
ROUND(OFFSET($P113,0,AL$13),15-13*ORÇAMENTO!$AF$7)/$H113*OFFSET(ORÇAMENTO!$X$15,ROW(AL113)-ROW(AL$15),0),
ROUND(ROUND(OFFSET($P113,0,AL$13),15-13*ORÇAMENTO!$AF$7)*OFFSET(ORÇAMENTO!$W$15,ROW(AL113)-ROW(AL$15),0),15-13*ORÇAMENTO!$AF$11)),0)</f>
        <v>0</v>
      </c>
      <c r="AM113" s="545">
        <f ca="1">IF(AND($D113="Serviço",AM$12&lt;&gt;0,$H113&gt;0,OR(AUTOEVENTO&lt;&gt;"manual",$M113&lt;&gt;1)),
IF(Import.TipoArredondamento&lt;&gt;"TransfereGOV",
ROUND(OFFSET($P113,0,AM$13),15-13*ORÇAMENTO!$AF$7)/$H113*OFFSET(ORÇAMENTO!$X$15,ROW(AM113)-ROW(AM$15),0),
ROUND(ROUND(OFFSET($P113,0,AM$13),15-13*ORÇAMENTO!$AF$7)*OFFSET(ORÇAMENTO!$W$15,ROW(AM113)-ROW(AM$15),0),15-13*ORÇAMENTO!$AF$11)),0)</f>
        <v>0</v>
      </c>
      <c r="AN113" s="545">
        <f ca="1">IF(AND($D113="Serviço",AN$12&lt;&gt;0,$H113&gt;0,OR(AUTOEVENTO&lt;&gt;"manual",$M113&lt;&gt;1)),
IF(Import.TipoArredondamento&lt;&gt;"TransfereGOV",
ROUND(OFFSET($P113,0,AN$13),15-13*ORÇAMENTO!$AF$7)/$H113*OFFSET(ORÇAMENTO!$X$15,ROW(AN113)-ROW(AN$15),0),
ROUND(ROUND(OFFSET($P113,0,AN$13),15-13*ORÇAMENTO!$AF$7)*OFFSET(ORÇAMENTO!$W$15,ROW(AN113)-ROW(AN$15),0),15-13*ORÇAMENTO!$AF$11)),0)</f>
        <v>0</v>
      </c>
      <c r="AO113" s="545">
        <f ca="1">IF(AND($D113="Serviço",AO$12&lt;&gt;0,$H113&gt;0,OR(AUTOEVENTO&lt;&gt;"manual",$M113&lt;&gt;1)),
IF(Import.TipoArredondamento&lt;&gt;"TransfereGOV",
ROUND(OFFSET($P113,0,AO$13),15-13*ORÇAMENTO!$AF$7)/$H113*OFFSET(ORÇAMENTO!$X$15,ROW(AO113)-ROW(AO$15),0),
ROUND(ROUND(OFFSET($P113,0,AO$13),15-13*ORÇAMENTO!$AF$7)*OFFSET(ORÇAMENTO!$W$15,ROW(AO113)-ROW(AO$15),0),15-13*ORÇAMENTO!$AF$11)),0)</f>
        <v>0</v>
      </c>
      <c r="AP113" s="545">
        <f ca="1">IF(AND($D113="Serviço",AP$12&lt;&gt;0,$H113&gt;0,OR(AUTOEVENTO&lt;&gt;"manual",$M113&lt;&gt;1)),
IF(Import.TipoArredondamento&lt;&gt;"TransfereGOV",
ROUND(OFFSET($P113,0,AP$13),15-13*ORÇAMENTO!$AF$7)/$H113*OFFSET(ORÇAMENTO!$X$15,ROW(AP113)-ROW(AP$15),0),
ROUND(ROUND(OFFSET($P113,0,AP$13),15-13*ORÇAMENTO!$AF$7)*OFFSET(ORÇAMENTO!$W$15,ROW(AP113)-ROW(AP$15),0),15-13*ORÇAMENTO!$AF$11)),0)</f>
        <v>0</v>
      </c>
      <c r="AQ113" s="545">
        <f ca="1">IF(AND($D113="Serviço",AQ$12&lt;&gt;0,$H113&gt;0,OR(AUTOEVENTO&lt;&gt;"manual",$M113&lt;&gt;1)),
IF(Import.TipoArredondamento&lt;&gt;"TransfereGOV",
ROUND(OFFSET($P113,0,AQ$13),15-13*ORÇAMENTO!$AF$7)/$H113*OFFSET(ORÇAMENTO!$X$15,ROW(AQ113)-ROW(AQ$15),0),
ROUND(ROUND(OFFSET($P113,0,AQ$13),15-13*ORÇAMENTO!$AF$7)*OFFSET(ORÇAMENTO!$W$15,ROW(AQ113)-ROW(AQ$15),0),15-13*ORÇAMENTO!$AF$11)),0)</f>
        <v>0</v>
      </c>
      <c r="AR113" s="545">
        <f ca="1">IF(AND($D113="Serviço",AR$12&lt;&gt;0,$H113&gt;0,OR(AUTOEVENTO&lt;&gt;"manual",$M113&lt;&gt;1)),
IF(Import.TipoArredondamento&lt;&gt;"TransfereGOV",
ROUND(OFFSET($P113,0,AR$13),15-13*ORÇAMENTO!$AF$7)/$H113*OFFSET(ORÇAMENTO!$X$15,ROW(AR113)-ROW(AR$15),0),
ROUND(ROUND(OFFSET($P113,0,AR$13),15-13*ORÇAMENTO!$AF$7)*OFFSET(ORÇAMENTO!$W$15,ROW(AR113)-ROW(AR$15),0),15-13*ORÇAMENTO!$AF$11)),0)</f>
        <v>0</v>
      </c>
      <c r="AS113" s="546">
        <f ca="1">IF(AND($D113="Serviço",AS$12&lt;&gt;0,$H113&gt;0,OR(AUTOEVENTO&lt;&gt;"manual",$M113&lt;&gt;1)),
IF(Import.TipoArredondamento&lt;&gt;"TransfereGOV",
ROUND(OFFSET($P113,0,AS$13),15-13*ORÇAMENTO!$AF$7)/$H113*OFFSET(ORÇAMENTO!$X$15,ROW(AS113)-ROW(AS$15),0),
ROUND(ROUND(OFFSET($P113,0,AS$13),15-13*ORÇAMENTO!$AF$7)*OFFSET(ORÇAMENTO!$W$15,ROW(AS113)-ROW(AS$15),0),15-13*ORÇAMENTO!$AF$11)),0)</f>
        <v>0</v>
      </c>
      <c r="AT113" s="545">
        <f ca="1">IF(AND($D113="Serviço",AT$12&lt;&gt;0,$H113&gt;0,OR(AUTOEVENTO&lt;&gt;"manual",$M113&lt;&gt;1)),
IF(Import.TipoArredondamento&lt;&gt;"TransfereGOV",
ROUND(OFFSET($P113,0,AT$13),15-13*ORÇAMENTO!$AF$7)/$H113*OFFSET(ORÇAMENTO!$X$15,ROW(AT113)-ROW(AT$15),0),
ROUND(ROUND(OFFSET($P113,0,AT$13),15-13*ORÇAMENTO!$AF$7)*OFFSET(ORÇAMENTO!$W$15,ROW(AT113)-ROW(AT$15),0),15-13*ORÇAMENTO!$AF$11)),0)</f>
        <v>0</v>
      </c>
      <c r="AU113" s="545">
        <f ca="1">IF(AND($D113="Serviço",AU$12&lt;&gt;0,$H113&gt;0,OR(AUTOEVENTO&lt;&gt;"manual",$M113&lt;&gt;1)),
IF(Import.TipoArredondamento&lt;&gt;"TransfereGOV",
ROUND(OFFSET($P113,0,AU$13),15-13*ORÇAMENTO!$AF$7)/$H113*OFFSET(ORÇAMENTO!$X$15,ROW(AU113)-ROW(AU$15),0),
ROUND(ROUND(OFFSET($P113,0,AU$13),15-13*ORÇAMENTO!$AF$7)*OFFSET(ORÇAMENTO!$W$15,ROW(AU113)-ROW(AU$15),0),15-13*ORÇAMENTO!$AF$11)),0)</f>
        <v>0</v>
      </c>
      <c r="AV113" s="545">
        <f ca="1">IF(AND($D113="Serviço",AV$12&lt;&gt;0,$H113&gt;0,OR(AUTOEVENTO&lt;&gt;"manual",$M113&lt;&gt;1)),
IF(Import.TipoArredondamento&lt;&gt;"TransfereGOV",
ROUND(OFFSET($P113,0,AV$13),15-13*ORÇAMENTO!$AF$7)/$H113*OFFSET(ORÇAMENTO!$X$15,ROW(AV113)-ROW(AV$15),0),
ROUND(ROUND(OFFSET($P113,0,AV$13),15-13*ORÇAMENTO!$AF$7)*OFFSET(ORÇAMENTO!$W$15,ROW(AV113)-ROW(AV$15),0),15-13*ORÇAMENTO!$AF$11)),0)</f>
        <v>0</v>
      </c>
      <c r="AW113" s="545">
        <f ca="1">IF(AND($D113="Serviço",AW$12&lt;&gt;0,$H113&gt;0,OR(AUTOEVENTO&lt;&gt;"manual",$M113&lt;&gt;1)),
IF(Import.TipoArredondamento&lt;&gt;"TransfereGOV",
ROUND(OFFSET($P113,0,AW$13),15-13*ORÇAMENTO!$AF$7)/$H113*OFFSET(ORÇAMENTO!$X$15,ROW(AW113)-ROW(AW$15),0),
ROUND(ROUND(OFFSET($P113,0,AW$13),15-13*ORÇAMENTO!$AF$7)*OFFSET(ORÇAMENTO!$W$15,ROW(AW113)-ROW(AW$15),0),15-13*ORÇAMENTO!$AF$11)),0)</f>
        <v>0</v>
      </c>
      <c r="AX113" s="545">
        <f ca="1">IF(AND($D113="Serviço",AX$12&lt;&gt;0,$H113&gt;0,OR(AUTOEVENTO&lt;&gt;"manual",$M113&lt;&gt;1)),
IF(Import.TipoArredondamento&lt;&gt;"TransfereGOV",
ROUND(OFFSET($P113,0,AX$13),15-13*ORÇAMENTO!$AF$7)/$H113*OFFSET(ORÇAMENTO!$X$15,ROW(AX113)-ROW(AX$15),0),
ROUND(ROUND(OFFSET($P113,0,AX$13),15-13*ORÇAMENTO!$AF$7)*OFFSET(ORÇAMENTO!$W$15,ROW(AX113)-ROW(AX$15),0),15-13*ORÇAMENTO!$AF$11)),0)</f>
        <v>0</v>
      </c>
      <c r="AY113" s="545">
        <f ca="1">IF(AND($D113="Serviço",AY$12&lt;&gt;0,$H113&gt;0,OR(AUTOEVENTO&lt;&gt;"manual",$M113&lt;&gt;1)),
IF(Import.TipoArredondamento&lt;&gt;"TransfereGOV",
ROUND(OFFSET($P113,0,AY$13),15-13*ORÇAMENTO!$AF$7)/$H113*OFFSET(ORÇAMENTO!$X$15,ROW(AY113)-ROW(AY$15),0),
ROUND(ROUND(OFFSET($P113,0,AY$13),15-13*ORÇAMENTO!$AF$7)*OFFSET(ORÇAMENTO!$W$15,ROW(AY113)-ROW(AY$15),0),15-13*ORÇAMENTO!$AF$11)),0)</f>
        <v>0</v>
      </c>
      <c r="AZ113" s="545">
        <f ca="1">IF(AND($D113="Serviço",AZ$12&lt;&gt;0,$H113&gt;0,OR(AUTOEVENTO&lt;&gt;"manual",$M113&lt;&gt;1)),
IF(Import.TipoArredondamento&lt;&gt;"TransfereGOV",
ROUND(OFFSET($P113,0,AZ$13),15-13*ORÇAMENTO!$AF$7)/$H113*OFFSET(ORÇAMENTO!$X$15,ROW(AZ113)-ROW(AZ$15),0),
ROUND(ROUND(OFFSET($P113,0,AZ$13),15-13*ORÇAMENTO!$AF$7)*OFFSET(ORÇAMENTO!$W$15,ROW(AZ113)-ROW(AZ$15),0),15-13*ORÇAMENTO!$AF$11)),0)</f>
        <v>0</v>
      </c>
      <c r="BA113" s="546">
        <f ca="1">IF(AND($D113="Serviço",BA$12&lt;&gt;0,$H113&gt;0,OR(AUTOEVENTO&lt;&gt;"manual",$M113&lt;&gt;1)),
IF(Import.TipoArredondamento&lt;&gt;"TransfereGOV",
ROUND(OFFSET($P113,0,BA$13),15-13*ORÇAMENTO!$AF$7)/$H113*OFFSET(ORÇAMENTO!$X$15,ROW(BA113)-ROW(BA$15),0),
ROUND(ROUND(OFFSET($P113,0,BA$13),15-13*ORÇAMENTO!$AF$7)*OFFSET(ORÇAMENTO!$W$15,ROW(BA113)-ROW(BA$15),0),15-13*ORÇAMENTO!$AF$11)),0)</f>
        <v>0</v>
      </c>
      <c r="BC113" s="181">
        <f ca="1">IF($D113&lt;&gt;"Serviço",0,IF(AND(AUTOEVENTO="Manual",$M113=1),0,IF(OFFSET(CRONOPLE!$F$14,$M113,BC$13)="",10^12,OFFSET(CRONOPLE!$F$14,$M113,BC$13))))</f>
        <v>5</v>
      </c>
      <c r="BD113" s="181">
        <f ca="1">IF($D113&lt;&gt;"Serviço",0,IF(AND(AUTOEVENTO="Manual",$M113=1),0,IF(OFFSET(CRONOPLE!$F$14,$M113,BD$13)="",10^12,OFFSET(CRONOPLE!$F$14,$M113,BD$13))))</f>
        <v>1000000000000</v>
      </c>
      <c r="BE113" s="181">
        <f ca="1">IF($D113&lt;&gt;"Serviço",0,IF(AND(AUTOEVENTO="Manual",$M113=1),0,IF(OFFSET(CRONOPLE!$F$14,$M113,BE$13)="",10^12,OFFSET(CRONOPLE!$F$14,$M113,BE$13))))</f>
        <v>1000000000000</v>
      </c>
      <c r="BF113" s="181">
        <f ca="1">IF($D113&lt;&gt;"Serviço",0,IF(AND(AUTOEVENTO="Manual",$M113=1),0,IF(OFFSET(CRONOPLE!$F$14,$M113,BF$13)="",10^12,OFFSET(CRONOPLE!$F$14,$M113,BF$13))))</f>
        <v>1000000000000</v>
      </c>
      <c r="BG113" s="181">
        <f ca="1">IF($D113&lt;&gt;"Serviço",0,IF(AND(AUTOEVENTO="Manual",$M113=1),0,IF(OFFSET(CRONOPLE!$F$14,$M113,BG$13)="",10^12,OFFSET(CRONOPLE!$F$14,$M113,BG$13))))</f>
        <v>1000000000000</v>
      </c>
      <c r="BH113" s="181">
        <f ca="1">IF($D113&lt;&gt;"Serviço",0,IF(AND(AUTOEVENTO="Manual",$M113=1),0,IF(OFFSET(CRONOPLE!$F$14,$M113,BH$13)="",10^12,OFFSET(CRONOPLE!$F$14,$M113,BH$13))))</f>
        <v>1000000000000</v>
      </c>
      <c r="BI113" s="181">
        <f ca="1">IF($D113&lt;&gt;"Serviço",0,IF(AND(AUTOEVENTO="Manual",$M113=1),0,IF(OFFSET(CRONOPLE!$F$14,$M113,BI$13)="",10^12,OFFSET(CRONOPLE!$F$14,$M113,BI$13))))</f>
        <v>1000000000000</v>
      </c>
      <c r="BJ113" s="181">
        <f ca="1">IF($D113&lt;&gt;"Serviço",0,IF(AND(AUTOEVENTO="Manual",$M113=1),0,IF(OFFSET(CRONOPLE!$F$14,$M113,BJ$13)="",10^12,OFFSET(CRONOPLE!$F$14,$M113,BJ$13))))</f>
        <v>1000000000000</v>
      </c>
      <c r="BK113" s="181">
        <f ca="1">IF($D113&lt;&gt;"Serviço",0,IF(AND(AUTOEVENTO="Manual",$M113=1),0,IF(OFFSET(CRONOPLE!$F$14,$M113,BK$13)="",10^12,OFFSET(CRONOPLE!$F$14,$M113,BK$13))))</f>
        <v>1000000000000</v>
      </c>
      <c r="BL113" s="181">
        <f ca="1">IF($D113&lt;&gt;"Serviço",0,IF(AND(AUTOEVENTO="Manual",$M113=1),0,IF(OFFSET(CRONOPLE!$F$14,$M113,BL$13)="",10^12,OFFSET(CRONOPLE!$F$14,$M113,BL$13))))</f>
        <v>1000000000000</v>
      </c>
      <c r="BM113" s="181">
        <f ca="1">IF($D113&lt;&gt;"Serviço",0,IF(AND(AUTOEVENTO="Manual",$M113=1),0,IF(OFFSET(CRONOPLE!$F$14,$M113,BM$13)="",10^12,OFFSET(CRONOPLE!$F$14,$M113,BM$13))))</f>
        <v>1000000000000</v>
      </c>
      <c r="BN113" s="181">
        <f ca="1">IF($D113&lt;&gt;"Serviço",0,IF(AND(AUTOEVENTO="Manual",$M113=1),0,IF(OFFSET(CRONOPLE!$F$14,$M113,BN$13)="",10^12,OFFSET(CRONOPLE!$F$14,$M113,BN$13))))</f>
        <v>1000000000000</v>
      </c>
      <c r="BO113" s="181">
        <f ca="1">IF($D113&lt;&gt;"Serviço",0,IF(AND(AUTOEVENTO="Manual",$M113=1),0,IF(OFFSET(CRONOPLE!$F$14,$M113,BO$13)="",10^12,OFFSET(CRONOPLE!$F$14,$M113,BO$13))))</f>
        <v>1000000000000</v>
      </c>
      <c r="BP113" s="181">
        <f ca="1">IF($D113&lt;&gt;"Serviço",0,IF(AND(AUTOEVENTO="Manual",$M113=1),0,IF(OFFSET(CRONOPLE!$F$14,$M113,BP$13)="",10^12,OFFSET(CRONOPLE!$F$14,$M113,BP$13))))</f>
        <v>1000000000000</v>
      </c>
      <c r="BQ113" s="181">
        <f ca="1">IF($D113&lt;&gt;"Serviço",0,IF(AND(AUTOEVENTO="Manual",$M113=1),0,IF(OFFSET(CRONOPLE!$F$14,$M113,BQ$13)="",10^12,OFFSET(CRONOPLE!$F$14,$M113,BQ$13))))</f>
        <v>1000000000000</v>
      </c>
      <c r="BR113" s="181">
        <f ca="1">IF($D113&lt;&gt;"Serviço",0,IF(AND(AUTOEVENTO="Manual",$M113=1),0,IF(OFFSET(CRONOPLE!$F$14,$M113,BR$13)="",10^12,OFFSET(CRONOPLE!$F$14,$M113,BR$13))))</f>
        <v>1000000000000</v>
      </c>
      <c r="BS113" s="181">
        <f ca="1">IF($D113&lt;&gt;"Serviço",0,IF(AND(AUTOEVENTO="Manual",$M113=1),0,IF(OFFSET(CRONOPLE!$F$14,$M113,BS$13)="",10^12,OFFSET(CRONOPLE!$F$14,$M113,BS$13))))</f>
        <v>1000000000000</v>
      </c>
      <c r="BT113" s="181">
        <f ca="1">IF($D113&lt;&gt;"Serviço",0,IF(AND(AUTOEVENTO="Manual",$M113=1),0,IF(OFFSET(CRONOPLE!$F$14,$M113,BT$13)="",10^12,OFFSET(CRONOPLE!$F$14,$M113,BT$13))))</f>
        <v>1000000000000</v>
      </c>
      <c r="BV113" s="182">
        <f ca="1">IF($D113&lt;&gt;"Serviço",0,IF(OR(AND(AUTOEVENTO="Manual",$M113=1),$M113&gt;(ROW(PLE.lastrow)-ROW(PLE.firstrow))),0,IF(OFFSET(PLE!$G$14,$M113,BV$13)="",10^12,OFFSET(PLE!$G$14,$M113,BV$13))))</f>
        <v>1000000000000</v>
      </c>
      <c r="BW113" s="182">
        <f ca="1">IF($D113&lt;&gt;"Serviço",0,IF(OR(AND(AUTOEVENTO="Manual",$M113=1),$M113&gt;(ROW(PLE.lastrow)-ROW(PLE.firstrow))),0,IF(OFFSET(PLE!$G$14,$M113,BW$13)="",10^12,OFFSET(PLE!$G$14,$M113,BW$13))))</f>
        <v>1000000000000</v>
      </c>
      <c r="BX113" s="182">
        <f ca="1">IF($D113&lt;&gt;"Serviço",0,IF(OR(AND(AUTOEVENTO="Manual",$M113=1),$M113&gt;(ROW(PLE.lastrow)-ROW(PLE.firstrow))),0,IF(OFFSET(PLE!$G$14,$M113,BX$13)="",10^12,OFFSET(PLE!$G$14,$M113,BX$13))))</f>
        <v>1000000000000</v>
      </c>
      <c r="BY113" s="182">
        <f ca="1">IF($D113&lt;&gt;"Serviço",0,IF(OR(AND(AUTOEVENTO="Manual",$M113=1),$M113&gt;(ROW(PLE.lastrow)-ROW(PLE.firstrow))),0,IF(OFFSET(PLE!$G$14,$M113,BY$13)="",10^12,OFFSET(PLE!$G$14,$M113,BY$13))))</f>
        <v>1000000000000</v>
      </c>
      <c r="BZ113" s="182">
        <f ca="1">IF($D113&lt;&gt;"Serviço",0,IF(OR(AND(AUTOEVENTO="Manual",$M113=1),$M113&gt;(ROW(PLE.lastrow)-ROW(PLE.firstrow))),0,IF(OFFSET(PLE!$G$14,$M113,BZ$13)="",10^12,OFFSET(PLE!$G$14,$M113,BZ$13))))</f>
        <v>1000000000000</v>
      </c>
      <c r="CA113" s="182">
        <f ca="1">IF($D113&lt;&gt;"Serviço",0,IF(OR(AND(AUTOEVENTO="Manual",$M113=1),$M113&gt;(ROW(PLE.lastrow)-ROW(PLE.firstrow))),0,IF(OFFSET(PLE!$G$14,$M113,CA$13)="",10^12,OFFSET(PLE!$G$14,$M113,CA$13))))</f>
        <v>1000000000000</v>
      </c>
      <c r="CB113" s="182">
        <f ca="1">IF($D113&lt;&gt;"Serviço",0,IF(OR(AND(AUTOEVENTO="Manual",$M113=1),$M113&gt;(ROW(PLE.lastrow)-ROW(PLE.firstrow))),0,IF(OFFSET(PLE!$G$14,$M113,CB$13)="",10^12,OFFSET(PLE!$G$14,$M113,CB$13))))</f>
        <v>1000000000000</v>
      </c>
      <c r="CC113" s="182">
        <f ca="1">IF($D113&lt;&gt;"Serviço",0,IF(OR(AND(AUTOEVENTO="Manual",$M113=1),$M113&gt;(ROW(PLE.lastrow)-ROW(PLE.firstrow))),0,IF(OFFSET(PLE!$G$14,$M113,CC$13)="",10^12,OFFSET(PLE!$G$14,$M113,CC$13))))</f>
        <v>1000000000000</v>
      </c>
      <c r="CD113" s="182">
        <f ca="1">IF($D113&lt;&gt;"Serviço",0,IF(OR(AND(AUTOEVENTO="Manual",$M113=1),$M113&gt;(ROW(PLE.lastrow)-ROW(PLE.firstrow))),0,IF(OFFSET(PLE!$G$14,$M113,CD$13)="",10^12,OFFSET(PLE!$G$14,$M113,CD$13))))</f>
        <v>1000000000000</v>
      </c>
      <c r="CE113" s="182">
        <f ca="1">IF($D113&lt;&gt;"Serviço",0,IF(OR(AND(AUTOEVENTO="Manual",$M113=1),$M113&gt;(ROW(PLE.lastrow)-ROW(PLE.firstrow))),0,IF(OFFSET(PLE!$G$14,$M113,CE$13)="",10^12,OFFSET(PLE!$G$14,$M113,CE$13))))</f>
        <v>1000000000000</v>
      </c>
      <c r="CF113" s="182">
        <f ca="1">IF($D113&lt;&gt;"Serviço",0,IF(OR(AND(AUTOEVENTO="Manual",$M113=1),$M113&gt;(ROW(PLE.lastrow)-ROW(PLE.firstrow))),0,IF(OFFSET(PLE!$G$14,$M113,CF$13)="",10^12,OFFSET(PLE!$G$14,$M113,CF$13))))</f>
        <v>1000000000000</v>
      </c>
      <c r="CG113" s="182">
        <f ca="1">IF($D113&lt;&gt;"Serviço",0,IF(OR(AND(AUTOEVENTO="Manual",$M113=1),$M113&gt;(ROW(PLE.lastrow)-ROW(PLE.firstrow))),0,IF(OFFSET(PLE!$G$14,$M113,CG$13)="",10^12,OFFSET(PLE!$G$14,$M113,CG$13))))</f>
        <v>1000000000000</v>
      </c>
      <c r="CH113" s="182">
        <f ca="1">IF($D113&lt;&gt;"Serviço",0,IF(OR(AND(AUTOEVENTO="Manual",$M113=1),$M113&gt;(ROW(PLE.lastrow)-ROW(PLE.firstrow))),0,IF(OFFSET(PLE!$G$14,$M113,CH$13)="",10^12,OFFSET(PLE!$G$14,$M113,CH$13))))</f>
        <v>1000000000000</v>
      </c>
      <c r="CI113" s="182">
        <f ca="1">IF($D113&lt;&gt;"Serviço",0,IF(OR(AND(AUTOEVENTO="Manual",$M113=1),$M113&gt;(ROW(PLE.lastrow)-ROW(PLE.firstrow))),0,IF(OFFSET(PLE!$G$14,$M113,CI$13)="",10^12,OFFSET(PLE!$G$14,$M113,CI$13))))</f>
        <v>1000000000000</v>
      </c>
      <c r="CJ113" s="182">
        <f ca="1">IF($D113&lt;&gt;"Serviço",0,IF(OR(AND(AUTOEVENTO="Manual",$M113=1),$M113&gt;(ROW(PLE.lastrow)-ROW(PLE.firstrow))),0,IF(OFFSET(PLE!$G$14,$M113,CJ$13)="",10^12,OFFSET(PLE!$G$14,$M113,CJ$13))))</f>
        <v>1000000000000</v>
      </c>
      <c r="CK113" s="182">
        <f ca="1">IF($D113&lt;&gt;"Serviço",0,IF(OR(AND(AUTOEVENTO="Manual",$M113=1),$M113&gt;(ROW(PLE.lastrow)-ROW(PLE.firstrow))),0,IF(OFFSET(PLE!$G$14,$M113,CK$13)="",10^12,OFFSET(PLE!$G$14,$M113,CK$13))))</f>
        <v>1000000000000</v>
      </c>
      <c r="CL113" s="182">
        <f ca="1">IF($D113&lt;&gt;"Serviço",0,IF(OR(AND(AUTOEVENTO="Manual",$M113=1),$M113&gt;(ROW(PLE.lastrow)-ROW(PLE.firstrow))),0,IF(OFFSET(PLE!$G$14,$M113,CL$13)="",10^12,OFFSET(PLE!$G$14,$M113,CL$13))))</f>
        <v>1000000000000</v>
      </c>
      <c r="CM113" s="182">
        <f ca="1">IF($D113&lt;&gt;"Serviço",0,IF(OR(AND(AUTOEVENTO="Manual",$M113=1),$M113&gt;(ROW(PLE.lastrow)-ROW(PLE.firstrow))),0,IF(OFFSET(PLE!$G$14,$M113,CM$13)="",10^12,OFFSET(PLE!$G$14,$M113,CM$13))))</f>
        <v>1000000000000</v>
      </c>
    </row>
    <row r="114" spans="1:91" ht="12.75" x14ac:dyDescent="0.2">
      <c r="A114" s="7" t="str">
        <f t="shared" ca="1" si="10"/>
        <v>99.</v>
      </c>
      <c r="B114" s="7">
        <f ca="1">OFFSET(ORÇAMENTO!C$15,ROW(B114)-ROW(B$15),0)</f>
        <v>2</v>
      </c>
      <c r="C114" s="7" t="str">
        <f ca="1">OFFSET(ORÇAMENTO!L$15,ROW(C114)-ROW(C$15),0)</f>
        <v>F</v>
      </c>
      <c r="D114" s="118" t="str">
        <f ca="1">OFFSET(ORÇAMENTO!N$15,ROW(D114)-ROW(D$15),0)</f>
        <v>Nível 2</v>
      </c>
      <c r="E114" s="119" t="str">
        <f ca="1">OFFSET(ORÇAMENTO!O$15,ROW(E114)-ROW(E$15),0)</f>
        <v>1.18.</v>
      </c>
      <c r="F114" s="172" t="str">
        <f ca="1">OFFSET(ORÇAMENTO!R$15,ROW(F114)-ROW(F$15),0)</f>
        <v>ESQUADRIAS - PORTAS DE MADEIRA</v>
      </c>
      <c r="G114" s="173" t="str">
        <f ca="1">IF($D114&lt;&gt;"Serviço","",OFFSET(ORÇAMENTO!S$15,ROW(G114)-ROW(G$15),0))</f>
        <v/>
      </c>
      <c r="H114" s="124">
        <f ca="1">IF($D114&lt;&gt;"Serviço",0,IF(ACOMPANHAMENTO="BM",ROUND(OFFSET(ORÇAMENTO!AJ$15,ROW(H114)-ROW(H$15),0),15-13*ORÇAMENTO!$AF$7),SUMPRODUCT(($Q$12:$AI$12&lt;&gt;"")*ROUND($Q114:$AI114,15-13*ORÇAMENTO!$AF$7))))</f>
        <v>0</v>
      </c>
      <c r="I114" s="561"/>
      <c r="K114" s="174"/>
      <c r="L114" s="175" t="s">
        <v>255</v>
      </c>
      <c r="M114" s="176" t="str">
        <f ca="1">IF($D114&lt;&gt;"Serviço","",IF(AUTOEVENTO="manual",$A114,IF(ISERROR(MATCH($A114,$A$15:OFFSET($A114,-1,0),0)),MAX($M$15:OFFSET(M114,-1,0))+1,INDEX($M$15:OFFSET(M114,-1,0),MATCH($A114,$A$15:OFFSET($A114,-1,0),0)))))</f>
        <v/>
      </c>
      <c r="N114" s="177" t="str">
        <f ca="1">IF($D114&lt;&gt;"Serviço","",IF(AUTOEVENTO="Manual",IF($A114=0,"&lt;-- defina o número do agrupador",OFFSET(EVENTOS!$D$14,$A114,0)),OFFSET($F$15,$A114,0)))</f>
        <v/>
      </c>
      <c r="O114" s="178"/>
      <c r="Q114" s="178"/>
      <c r="R114" s="179"/>
      <c r="S114" s="179"/>
      <c r="T114" s="179"/>
      <c r="U114" s="179"/>
      <c r="V114" s="179"/>
      <c r="W114" s="179"/>
      <c r="X114" s="179"/>
      <c r="Y114" s="179"/>
      <c r="Z114" s="180"/>
      <c r="AA114" s="179"/>
      <c r="AB114" s="179"/>
      <c r="AC114" s="179"/>
      <c r="AD114" s="179"/>
      <c r="AE114" s="179"/>
      <c r="AF114" s="179"/>
      <c r="AG114" s="179"/>
      <c r="AH114" s="180"/>
      <c r="AJ114" s="544">
        <f ca="1">IF(AND($D114="Serviço",AJ$12&lt;&gt;0,$H114&gt;0,OR(AUTOEVENTO&lt;&gt;"manual",$M114&lt;&gt;1)),
IF(Import.TipoArredondamento&lt;&gt;"TransfereGOV",
ROUND(OFFSET($P114,0,AJ$13),15-13*ORÇAMENTO!$AF$7)/$H114*OFFSET(ORÇAMENTO!$X$15,ROW(AJ114)-ROW(AJ$15),0),
ROUND(ROUND(OFFSET($P114,0,AJ$13),15-13*ORÇAMENTO!$AF$7)*OFFSET(ORÇAMENTO!$W$15,ROW(AJ114)-ROW(AJ$15),0),15-13*ORÇAMENTO!$AF$11)),0)</f>
        <v>0</v>
      </c>
      <c r="AK114" s="545">
        <f ca="1">IF(AND($D114="Serviço",AK$12&lt;&gt;0,$H114&gt;0,OR(AUTOEVENTO&lt;&gt;"manual",$M114&lt;&gt;1)),
IF(Import.TipoArredondamento&lt;&gt;"TransfereGOV",
ROUND(OFFSET($P114,0,AK$13),15-13*ORÇAMENTO!$AF$7)/$H114*OFFSET(ORÇAMENTO!$X$15,ROW(AK114)-ROW(AK$15),0),
ROUND(ROUND(OFFSET($P114,0,AK$13),15-13*ORÇAMENTO!$AF$7)*OFFSET(ORÇAMENTO!$W$15,ROW(AK114)-ROW(AK$15),0),15-13*ORÇAMENTO!$AF$11)),0)</f>
        <v>0</v>
      </c>
      <c r="AL114" s="545">
        <f ca="1">IF(AND($D114="Serviço",AL$12&lt;&gt;0,$H114&gt;0,OR(AUTOEVENTO&lt;&gt;"manual",$M114&lt;&gt;1)),
IF(Import.TipoArredondamento&lt;&gt;"TransfereGOV",
ROUND(OFFSET($P114,0,AL$13),15-13*ORÇAMENTO!$AF$7)/$H114*OFFSET(ORÇAMENTO!$X$15,ROW(AL114)-ROW(AL$15),0),
ROUND(ROUND(OFFSET($P114,0,AL$13),15-13*ORÇAMENTO!$AF$7)*OFFSET(ORÇAMENTO!$W$15,ROW(AL114)-ROW(AL$15),0),15-13*ORÇAMENTO!$AF$11)),0)</f>
        <v>0</v>
      </c>
      <c r="AM114" s="545">
        <f ca="1">IF(AND($D114="Serviço",AM$12&lt;&gt;0,$H114&gt;0,OR(AUTOEVENTO&lt;&gt;"manual",$M114&lt;&gt;1)),
IF(Import.TipoArredondamento&lt;&gt;"TransfereGOV",
ROUND(OFFSET($P114,0,AM$13),15-13*ORÇAMENTO!$AF$7)/$H114*OFFSET(ORÇAMENTO!$X$15,ROW(AM114)-ROW(AM$15),0),
ROUND(ROUND(OFFSET($P114,0,AM$13),15-13*ORÇAMENTO!$AF$7)*OFFSET(ORÇAMENTO!$W$15,ROW(AM114)-ROW(AM$15),0),15-13*ORÇAMENTO!$AF$11)),0)</f>
        <v>0</v>
      </c>
      <c r="AN114" s="545">
        <f ca="1">IF(AND($D114="Serviço",AN$12&lt;&gt;0,$H114&gt;0,OR(AUTOEVENTO&lt;&gt;"manual",$M114&lt;&gt;1)),
IF(Import.TipoArredondamento&lt;&gt;"TransfereGOV",
ROUND(OFFSET($P114,0,AN$13),15-13*ORÇAMENTO!$AF$7)/$H114*OFFSET(ORÇAMENTO!$X$15,ROW(AN114)-ROW(AN$15),0),
ROUND(ROUND(OFFSET($P114,0,AN$13),15-13*ORÇAMENTO!$AF$7)*OFFSET(ORÇAMENTO!$W$15,ROW(AN114)-ROW(AN$15),0),15-13*ORÇAMENTO!$AF$11)),0)</f>
        <v>0</v>
      </c>
      <c r="AO114" s="545">
        <f ca="1">IF(AND($D114="Serviço",AO$12&lt;&gt;0,$H114&gt;0,OR(AUTOEVENTO&lt;&gt;"manual",$M114&lt;&gt;1)),
IF(Import.TipoArredondamento&lt;&gt;"TransfereGOV",
ROUND(OFFSET($P114,0,AO$13),15-13*ORÇAMENTO!$AF$7)/$H114*OFFSET(ORÇAMENTO!$X$15,ROW(AO114)-ROW(AO$15),0),
ROUND(ROUND(OFFSET($P114,0,AO$13),15-13*ORÇAMENTO!$AF$7)*OFFSET(ORÇAMENTO!$W$15,ROW(AO114)-ROW(AO$15),0),15-13*ORÇAMENTO!$AF$11)),0)</f>
        <v>0</v>
      </c>
      <c r="AP114" s="545">
        <f ca="1">IF(AND($D114="Serviço",AP$12&lt;&gt;0,$H114&gt;0,OR(AUTOEVENTO&lt;&gt;"manual",$M114&lt;&gt;1)),
IF(Import.TipoArredondamento&lt;&gt;"TransfereGOV",
ROUND(OFFSET($P114,0,AP$13),15-13*ORÇAMENTO!$AF$7)/$H114*OFFSET(ORÇAMENTO!$X$15,ROW(AP114)-ROW(AP$15),0),
ROUND(ROUND(OFFSET($P114,0,AP$13),15-13*ORÇAMENTO!$AF$7)*OFFSET(ORÇAMENTO!$W$15,ROW(AP114)-ROW(AP$15),0),15-13*ORÇAMENTO!$AF$11)),0)</f>
        <v>0</v>
      </c>
      <c r="AQ114" s="545">
        <f ca="1">IF(AND($D114="Serviço",AQ$12&lt;&gt;0,$H114&gt;0,OR(AUTOEVENTO&lt;&gt;"manual",$M114&lt;&gt;1)),
IF(Import.TipoArredondamento&lt;&gt;"TransfereGOV",
ROUND(OFFSET($P114,0,AQ$13),15-13*ORÇAMENTO!$AF$7)/$H114*OFFSET(ORÇAMENTO!$X$15,ROW(AQ114)-ROW(AQ$15),0),
ROUND(ROUND(OFFSET($P114,0,AQ$13),15-13*ORÇAMENTO!$AF$7)*OFFSET(ORÇAMENTO!$W$15,ROW(AQ114)-ROW(AQ$15),0),15-13*ORÇAMENTO!$AF$11)),0)</f>
        <v>0</v>
      </c>
      <c r="AR114" s="545">
        <f ca="1">IF(AND($D114="Serviço",AR$12&lt;&gt;0,$H114&gt;0,OR(AUTOEVENTO&lt;&gt;"manual",$M114&lt;&gt;1)),
IF(Import.TipoArredondamento&lt;&gt;"TransfereGOV",
ROUND(OFFSET($P114,0,AR$13),15-13*ORÇAMENTO!$AF$7)/$H114*OFFSET(ORÇAMENTO!$X$15,ROW(AR114)-ROW(AR$15),0),
ROUND(ROUND(OFFSET($P114,0,AR$13),15-13*ORÇAMENTO!$AF$7)*OFFSET(ORÇAMENTO!$W$15,ROW(AR114)-ROW(AR$15),0),15-13*ORÇAMENTO!$AF$11)),0)</f>
        <v>0</v>
      </c>
      <c r="AS114" s="546">
        <f ca="1">IF(AND($D114="Serviço",AS$12&lt;&gt;0,$H114&gt;0,OR(AUTOEVENTO&lt;&gt;"manual",$M114&lt;&gt;1)),
IF(Import.TipoArredondamento&lt;&gt;"TransfereGOV",
ROUND(OFFSET($P114,0,AS$13),15-13*ORÇAMENTO!$AF$7)/$H114*OFFSET(ORÇAMENTO!$X$15,ROW(AS114)-ROW(AS$15),0),
ROUND(ROUND(OFFSET($P114,0,AS$13),15-13*ORÇAMENTO!$AF$7)*OFFSET(ORÇAMENTO!$W$15,ROW(AS114)-ROW(AS$15),0),15-13*ORÇAMENTO!$AF$11)),0)</f>
        <v>0</v>
      </c>
      <c r="AT114" s="545">
        <f ca="1">IF(AND($D114="Serviço",AT$12&lt;&gt;0,$H114&gt;0,OR(AUTOEVENTO&lt;&gt;"manual",$M114&lt;&gt;1)),
IF(Import.TipoArredondamento&lt;&gt;"TransfereGOV",
ROUND(OFFSET($P114,0,AT$13),15-13*ORÇAMENTO!$AF$7)/$H114*OFFSET(ORÇAMENTO!$X$15,ROW(AT114)-ROW(AT$15),0),
ROUND(ROUND(OFFSET($P114,0,AT$13),15-13*ORÇAMENTO!$AF$7)*OFFSET(ORÇAMENTO!$W$15,ROW(AT114)-ROW(AT$15),0),15-13*ORÇAMENTO!$AF$11)),0)</f>
        <v>0</v>
      </c>
      <c r="AU114" s="545">
        <f ca="1">IF(AND($D114="Serviço",AU$12&lt;&gt;0,$H114&gt;0,OR(AUTOEVENTO&lt;&gt;"manual",$M114&lt;&gt;1)),
IF(Import.TipoArredondamento&lt;&gt;"TransfereGOV",
ROUND(OFFSET($P114,0,AU$13),15-13*ORÇAMENTO!$AF$7)/$H114*OFFSET(ORÇAMENTO!$X$15,ROW(AU114)-ROW(AU$15),0),
ROUND(ROUND(OFFSET($P114,0,AU$13),15-13*ORÇAMENTO!$AF$7)*OFFSET(ORÇAMENTO!$W$15,ROW(AU114)-ROW(AU$15),0),15-13*ORÇAMENTO!$AF$11)),0)</f>
        <v>0</v>
      </c>
      <c r="AV114" s="545">
        <f ca="1">IF(AND($D114="Serviço",AV$12&lt;&gt;0,$H114&gt;0,OR(AUTOEVENTO&lt;&gt;"manual",$M114&lt;&gt;1)),
IF(Import.TipoArredondamento&lt;&gt;"TransfereGOV",
ROUND(OFFSET($P114,0,AV$13),15-13*ORÇAMENTO!$AF$7)/$H114*OFFSET(ORÇAMENTO!$X$15,ROW(AV114)-ROW(AV$15),0),
ROUND(ROUND(OFFSET($P114,0,AV$13),15-13*ORÇAMENTO!$AF$7)*OFFSET(ORÇAMENTO!$W$15,ROW(AV114)-ROW(AV$15),0),15-13*ORÇAMENTO!$AF$11)),0)</f>
        <v>0</v>
      </c>
      <c r="AW114" s="545">
        <f ca="1">IF(AND($D114="Serviço",AW$12&lt;&gt;0,$H114&gt;0,OR(AUTOEVENTO&lt;&gt;"manual",$M114&lt;&gt;1)),
IF(Import.TipoArredondamento&lt;&gt;"TransfereGOV",
ROUND(OFFSET($P114,0,AW$13),15-13*ORÇAMENTO!$AF$7)/$H114*OFFSET(ORÇAMENTO!$X$15,ROW(AW114)-ROW(AW$15),0),
ROUND(ROUND(OFFSET($P114,0,AW$13),15-13*ORÇAMENTO!$AF$7)*OFFSET(ORÇAMENTO!$W$15,ROW(AW114)-ROW(AW$15),0),15-13*ORÇAMENTO!$AF$11)),0)</f>
        <v>0</v>
      </c>
      <c r="AX114" s="545">
        <f ca="1">IF(AND($D114="Serviço",AX$12&lt;&gt;0,$H114&gt;0,OR(AUTOEVENTO&lt;&gt;"manual",$M114&lt;&gt;1)),
IF(Import.TipoArredondamento&lt;&gt;"TransfereGOV",
ROUND(OFFSET($P114,0,AX$13),15-13*ORÇAMENTO!$AF$7)/$H114*OFFSET(ORÇAMENTO!$X$15,ROW(AX114)-ROW(AX$15),0),
ROUND(ROUND(OFFSET($P114,0,AX$13),15-13*ORÇAMENTO!$AF$7)*OFFSET(ORÇAMENTO!$W$15,ROW(AX114)-ROW(AX$15),0),15-13*ORÇAMENTO!$AF$11)),0)</f>
        <v>0</v>
      </c>
      <c r="AY114" s="545">
        <f ca="1">IF(AND($D114="Serviço",AY$12&lt;&gt;0,$H114&gt;0,OR(AUTOEVENTO&lt;&gt;"manual",$M114&lt;&gt;1)),
IF(Import.TipoArredondamento&lt;&gt;"TransfereGOV",
ROUND(OFFSET($P114,0,AY$13),15-13*ORÇAMENTO!$AF$7)/$H114*OFFSET(ORÇAMENTO!$X$15,ROW(AY114)-ROW(AY$15),0),
ROUND(ROUND(OFFSET($P114,0,AY$13),15-13*ORÇAMENTO!$AF$7)*OFFSET(ORÇAMENTO!$W$15,ROW(AY114)-ROW(AY$15),0),15-13*ORÇAMENTO!$AF$11)),0)</f>
        <v>0</v>
      </c>
      <c r="AZ114" s="545">
        <f ca="1">IF(AND($D114="Serviço",AZ$12&lt;&gt;0,$H114&gt;0,OR(AUTOEVENTO&lt;&gt;"manual",$M114&lt;&gt;1)),
IF(Import.TipoArredondamento&lt;&gt;"TransfereGOV",
ROUND(OFFSET($P114,0,AZ$13),15-13*ORÇAMENTO!$AF$7)/$H114*OFFSET(ORÇAMENTO!$X$15,ROW(AZ114)-ROW(AZ$15),0),
ROUND(ROUND(OFFSET($P114,0,AZ$13),15-13*ORÇAMENTO!$AF$7)*OFFSET(ORÇAMENTO!$W$15,ROW(AZ114)-ROW(AZ$15),0),15-13*ORÇAMENTO!$AF$11)),0)</f>
        <v>0</v>
      </c>
      <c r="BA114" s="546">
        <f ca="1">IF(AND($D114="Serviço",BA$12&lt;&gt;0,$H114&gt;0,OR(AUTOEVENTO&lt;&gt;"manual",$M114&lt;&gt;1)),
IF(Import.TipoArredondamento&lt;&gt;"TransfereGOV",
ROUND(OFFSET($P114,0,BA$13),15-13*ORÇAMENTO!$AF$7)/$H114*OFFSET(ORÇAMENTO!$X$15,ROW(BA114)-ROW(BA$15),0),
ROUND(ROUND(OFFSET($P114,0,BA$13),15-13*ORÇAMENTO!$AF$7)*OFFSET(ORÇAMENTO!$W$15,ROW(BA114)-ROW(BA$15),0),15-13*ORÇAMENTO!$AF$11)),0)</f>
        <v>0</v>
      </c>
      <c r="BC114" s="181">
        <f ca="1">IF($D114&lt;&gt;"Serviço",0,IF(AND(AUTOEVENTO="Manual",$M114=1),0,IF(OFFSET(CRONOPLE!$F$14,$M114,BC$13)="",10^12,OFFSET(CRONOPLE!$F$14,$M114,BC$13))))</f>
        <v>0</v>
      </c>
      <c r="BD114" s="181">
        <f ca="1">IF($D114&lt;&gt;"Serviço",0,IF(AND(AUTOEVENTO="Manual",$M114=1),0,IF(OFFSET(CRONOPLE!$F$14,$M114,BD$13)="",10^12,OFFSET(CRONOPLE!$F$14,$M114,BD$13))))</f>
        <v>0</v>
      </c>
      <c r="BE114" s="181">
        <f ca="1">IF($D114&lt;&gt;"Serviço",0,IF(AND(AUTOEVENTO="Manual",$M114=1),0,IF(OFFSET(CRONOPLE!$F$14,$M114,BE$13)="",10^12,OFFSET(CRONOPLE!$F$14,$M114,BE$13))))</f>
        <v>0</v>
      </c>
      <c r="BF114" s="181">
        <f ca="1">IF($D114&lt;&gt;"Serviço",0,IF(AND(AUTOEVENTO="Manual",$M114=1),0,IF(OFFSET(CRONOPLE!$F$14,$M114,BF$13)="",10^12,OFFSET(CRONOPLE!$F$14,$M114,BF$13))))</f>
        <v>0</v>
      </c>
      <c r="BG114" s="181">
        <f ca="1">IF($D114&lt;&gt;"Serviço",0,IF(AND(AUTOEVENTO="Manual",$M114=1),0,IF(OFFSET(CRONOPLE!$F$14,$M114,BG$13)="",10^12,OFFSET(CRONOPLE!$F$14,$M114,BG$13))))</f>
        <v>0</v>
      </c>
      <c r="BH114" s="181">
        <f ca="1">IF($D114&lt;&gt;"Serviço",0,IF(AND(AUTOEVENTO="Manual",$M114=1),0,IF(OFFSET(CRONOPLE!$F$14,$M114,BH$13)="",10^12,OFFSET(CRONOPLE!$F$14,$M114,BH$13))))</f>
        <v>0</v>
      </c>
      <c r="BI114" s="181">
        <f ca="1">IF($D114&lt;&gt;"Serviço",0,IF(AND(AUTOEVENTO="Manual",$M114=1),0,IF(OFFSET(CRONOPLE!$F$14,$M114,BI$13)="",10^12,OFFSET(CRONOPLE!$F$14,$M114,BI$13))))</f>
        <v>0</v>
      </c>
      <c r="BJ114" s="181">
        <f ca="1">IF($D114&lt;&gt;"Serviço",0,IF(AND(AUTOEVENTO="Manual",$M114=1),0,IF(OFFSET(CRONOPLE!$F$14,$M114,BJ$13)="",10^12,OFFSET(CRONOPLE!$F$14,$M114,BJ$13))))</f>
        <v>0</v>
      </c>
      <c r="BK114" s="181">
        <f ca="1">IF($D114&lt;&gt;"Serviço",0,IF(AND(AUTOEVENTO="Manual",$M114=1),0,IF(OFFSET(CRONOPLE!$F$14,$M114,BK$13)="",10^12,OFFSET(CRONOPLE!$F$14,$M114,BK$13))))</f>
        <v>0</v>
      </c>
      <c r="BL114" s="181">
        <f ca="1">IF($D114&lt;&gt;"Serviço",0,IF(AND(AUTOEVENTO="Manual",$M114=1),0,IF(OFFSET(CRONOPLE!$F$14,$M114,BL$13)="",10^12,OFFSET(CRONOPLE!$F$14,$M114,BL$13))))</f>
        <v>0</v>
      </c>
      <c r="BM114" s="181">
        <f ca="1">IF($D114&lt;&gt;"Serviço",0,IF(AND(AUTOEVENTO="Manual",$M114=1),0,IF(OFFSET(CRONOPLE!$F$14,$M114,BM$13)="",10^12,OFFSET(CRONOPLE!$F$14,$M114,BM$13))))</f>
        <v>0</v>
      </c>
      <c r="BN114" s="181">
        <f ca="1">IF($D114&lt;&gt;"Serviço",0,IF(AND(AUTOEVENTO="Manual",$M114=1),0,IF(OFFSET(CRONOPLE!$F$14,$M114,BN$13)="",10^12,OFFSET(CRONOPLE!$F$14,$M114,BN$13))))</f>
        <v>0</v>
      </c>
      <c r="BO114" s="181">
        <f ca="1">IF($D114&lt;&gt;"Serviço",0,IF(AND(AUTOEVENTO="Manual",$M114=1),0,IF(OFFSET(CRONOPLE!$F$14,$M114,BO$13)="",10^12,OFFSET(CRONOPLE!$F$14,$M114,BO$13))))</f>
        <v>0</v>
      </c>
      <c r="BP114" s="181">
        <f ca="1">IF($D114&lt;&gt;"Serviço",0,IF(AND(AUTOEVENTO="Manual",$M114=1),0,IF(OFFSET(CRONOPLE!$F$14,$M114,BP$13)="",10^12,OFFSET(CRONOPLE!$F$14,$M114,BP$13))))</f>
        <v>0</v>
      </c>
      <c r="BQ114" s="181">
        <f ca="1">IF($D114&lt;&gt;"Serviço",0,IF(AND(AUTOEVENTO="Manual",$M114=1),0,IF(OFFSET(CRONOPLE!$F$14,$M114,BQ$13)="",10^12,OFFSET(CRONOPLE!$F$14,$M114,BQ$13))))</f>
        <v>0</v>
      </c>
      <c r="BR114" s="181">
        <f ca="1">IF($D114&lt;&gt;"Serviço",0,IF(AND(AUTOEVENTO="Manual",$M114=1),0,IF(OFFSET(CRONOPLE!$F$14,$M114,BR$13)="",10^12,OFFSET(CRONOPLE!$F$14,$M114,BR$13))))</f>
        <v>0</v>
      </c>
      <c r="BS114" s="181">
        <f ca="1">IF($D114&lt;&gt;"Serviço",0,IF(AND(AUTOEVENTO="Manual",$M114=1),0,IF(OFFSET(CRONOPLE!$F$14,$M114,BS$13)="",10^12,OFFSET(CRONOPLE!$F$14,$M114,BS$13))))</f>
        <v>0</v>
      </c>
      <c r="BT114" s="181">
        <f ca="1">IF($D114&lt;&gt;"Serviço",0,IF(AND(AUTOEVENTO="Manual",$M114=1),0,IF(OFFSET(CRONOPLE!$F$14,$M114,BT$13)="",10^12,OFFSET(CRONOPLE!$F$14,$M114,BT$13))))</f>
        <v>0</v>
      </c>
      <c r="BV114" s="182">
        <f ca="1">IF($D114&lt;&gt;"Serviço",0,IF(OR(AND(AUTOEVENTO="Manual",$M114=1),$M114&gt;(ROW(PLE.lastrow)-ROW(PLE.firstrow))),0,IF(OFFSET(PLE!$G$14,$M114,BV$13)="",10^12,OFFSET(PLE!$G$14,$M114,BV$13))))</f>
        <v>0</v>
      </c>
      <c r="BW114" s="182">
        <f ca="1">IF($D114&lt;&gt;"Serviço",0,IF(OR(AND(AUTOEVENTO="Manual",$M114=1),$M114&gt;(ROW(PLE.lastrow)-ROW(PLE.firstrow))),0,IF(OFFSET(PLE!$G$14,$M114,BW$13)="",10^12,OFFSET(PLE!$G$14,$M114,BW$13))))</f>
        <v>0</v>
      </c>
      <c r="BX114" s="182">
        <f ca="1">IF($D114&lt;&gt;"Serviço",0,IF(OR(AND(AUTOEVENTO="Manual",$M114=1),$M114&gt;(ROW(PLE.lastrow)-ROW(PLE.firstrow))),0,IF(OFFSET(PLE!$G$14,$M114,BX$13)="",10^12,OFFSET(PLE!$G$14,$M114,BX$13))))</f>
        <v>0</v>
      </c>
      <c r="BY114" s="182">
        <f ca="1">IF($D114&lt;&gt;"Serviço",0,IF(OR(AND(AUTOEVENTO="Manual",$M114=1),$M114&gt;(ROW(PLE.lastrow)-ROW(PLE.firstrow))),0,IF(OFFSET(PLE!$G$14,$M114,BY$13)="",10^12,OFFSET(PLE!$G$14,$M114,BY$13))))</f>
        <v>0</v>
      </c>
      <c r="BZ114" s="182">
        <f ca="1">IF($D114&lt;&gt;"Serviço",0,IF(OR(AND(AUTOEVENTO="Manual",$M114=1),$M114&gt;(ROW(PLE.lastrow)-ROW(PLE.firstrow))),0,IF(OFFSET(PLE!$G$14,$M114,BZ$13)="",10^12,OFFSET(PLE!$G$14,$M114,BZ$13))))</f>
        <v>0</v>
      </c>
      <c r="CA114" s="182">
        <f ca="1">IF($D114&lt;&gt;"Serviço",0,IF(OR(AND(AUTOEVENTO="Manual",$M114=1),$M114&gt;(ROW(PLE.lastrow)-ROW(PLE.firstrow))),0,IF(OFFSET(PLE!$G$14,$M114,CA$13)="",10^12,OFFSET(PLE!$G$14,$M114,CA$13))))</f>
        <v>0</v>
      </c>
      <c r="CB114" s="182">
        <f ca="1">IF($D114&lt;&gt;"Serviço",0,IF(OR(AND(AUTOEVENTO="Manual",$M114=1),$M114&gt;(ROW(PLE.lastrow)-ROW(PLE.firstrow))),0,IF(OFFSET(PLE!$G$14,$M114,CB$13)="",10^12,OFFSET(PLE!$G$14,$M114,CB$13))))</f>
        <v>0</v>
      </c>
      <c r="CC114" s="182">
        <f ca="1">IF($D114&lt;&gt;"Serviço",0,IF(OR(AND(AUTOEVENTO="Manual",$M114=1),$M114&gt;(ROW(PLE.lastrow)-ROW(PLE.firstrow))),0,IF(OFFSET(PLE!$G$14,$M114,CC$13)="",10^12,OFFSET(PLE!$G$14,$M114,CC$13))))</f>
        <v>0</v>
      </c>
      <c r="CD114" s="182">
        <f ca="1">IF($D114&lt;&gt;"Serviço",0,IF(OR(AND(AUTOEVENTO="Manual",$M114=1),$M114&gt;(ROW(PLE.lastrow)-ROW(PLE.firstrow))),0,IF(OFFSET(PLE!$G$14,$M114,CD$13)="",10^12,OFFSET(PLE!$G$14,$M114,CD$13))))</f>
        <v>0</v>
      </c>
      <c r="CE114" s="182">
        <f ca="1">IF($D114&lt;&gt;"Serviço",0,IF(OR(AND(AUTOEVENTO="Manual",$M114=1),$M114&gt;(ROW(PLE.lastrow)-ROW(PLE.firstrow))),0,IF(OFFSET(PLE!$G$14,$M114,CE$13)="",10^12,OFFSET(PLE!$G$14,$M114,CE$13))))</f>
        <v>0</v>
      </c>
      <c r="CF114" s="182">
        <f ca="1">IF($D114&lt;&gt;"Serviço",0,IF(OR(AND(AUTOEVENTO="Manual",$M114=1),$M114&gt;(ROW(PLE.lastrow)-ROW(PLE.firstrow))),0,IF(OFFSET(PLE!$G$14,$M114,CF$13)="",10^12,OFFSET(PLE!$G$14,$M114,CF$13))))</f>
        <v>0</v>
      </c>
      <c r="CG114" s="182">
        <f ca="1">IF($D114&lt;&gt;"Serviço",0,IF(OR(AND(AUTOEVENTO="Manual",$M114=1),$M114&gt;(ROW(PLE.lastrow)-ROW(PLE.firstrow))),0,IF(OFFSET(PLE!$G$14,$M114,CG$13)="",10^12,OFFSET(PLE!$G$14,$M114,CG$13))))</f>
        <v>0</v>
      </c>
      <c r="CH114" s="182">
        <f ca="1">IF($D114&lt;&gt;"Serviço",0,IF(OR(AND(AUTOEVENTO="Manual",$M114=1),$M114&gt;(ROW(PLE.lastrow)-ROW(PLE.firstrow))),0,IF(OFFSET(PLE!$G$14,$M114,CH$13)="",10^12,OFFSET(PLE!$G$14,$M114,CH$13))))</f>
        <v>0</v>
      </c>
      <c r="CI114" s="182">
        <f ca="1">IF($D114&lt;&gt;"Serviço",0,IF(OR(AND(AUTOEVENTO="Manual",$M114=1),$M114&gt;(ROW(PLE.lastrow)-ROW(PLE.firstrow))),0,IF(OFFSET(PLE!$G$14,$M114,CI$13)="",10^12,OFFSET(PLE!$G$14,$M114,CI$13))))</f>
        <v>0</v>
      </c>
      <c r="CJ114" s="182">
        <f ca="1">IF($D114&lt;&gt;"Serviço",0,IF(OR(AND(AUTOEVENTO="Manual",$M114=1),$M114&gt;(ROW(PLE.lastrow)-ROW(PLE.firstrow))),0,IF(OFFSET(PLE!$G$14,$M114,CJ$13)="",10^12,OFFSET(PLE!$G$14,$M114,CJ$13))))</f>
        <v>0</v>
      </c>
      <c r="CK114" s="182">
        <f ca="1">IF($D114&lt;&gt;"Serviço",0,IF(OR(AND(AUTOEVENTO="Manual",$M114=1),$M114&gt;(ROW(PLE.lastrow)-ROW(PLE.firstrow))),0,IF(OFFSET(PLE!$G$14,$M114,CK$13)="",10^12,OFFSET(PLE!$G$14,$M114,CK$13))))</f>
        <v>0</v>
      </c>
      <c r="CL114" s="182">
        <f ca="1">IF($D114&lt;&gt;"Serviço",0,IF(OR(AND(AUTOEVENTO="Manual",$M114=1),$M114&gt;(ROW(PLE.lastrow)-ROW(PLE.firstrow))),0,IF(OFFSET(PLE!$G$14,$M114,CL$13)="",10^12,OFFSET(PLE!$G$14,$M114,CL$13))))</f>
        <v>0</v>
      </c>
      <c r="CM114" s="182">
        <f ca="1">IF($D114&lt;&gt;"Serviço",0,IF(OR(AND(AUTOEVENTO="Manual",$M114=1),$M114&gt;(ROW(PLE.lastrow)-ROW(PLE.firstrow))),0,IF(OFFSET(PLE!$G$14,$M114,CM$13)="",10^12,OFFSET(PLE!$G$14,$M114,CM$13))))</f>
        <v>0</v>
      </c>
    </row>
    <row r="115" spans="1:91" ht="63.75" x14ac:dyDescent="0.2">
      <c r="A115" s="7" t="str">
        <f t="shared" ca="1" si="10"/>
        <v>99</v>
      </c>
      <c r="B115" s="7" t="str">
        <f ca="1">OFFSET(ORÇAMENTO!C$15,ROW(B115)-ROW(B$15),0)</f>
        <v>S</v>
      </c>
      <c r="C115" s="7" t="str">
        <f ca="1">OFFSET(ORÇAMENTO!L$15,ROW(C115)-ROW(C$15),0)</f>
        <v/>
      </c>
      <c r="D115" s="118" t="str">
        <f ca="1">OFFSET(ORÇAMENTO!N$15,ROW(D115)-ROW(D$15),0)</f>
        <v>Serviço</v>
      </c>
      <c r="E115" s="119" t="str">
        <f ca="1">OFFSET(ORÇAMENTO!O$15,ROW(E115)-ROW(E$15),0)</f>
        <v>-</v>
      </c>
      <c r="F115" s="172" t="str">
        <f ca="1">OFFSET(ORÇAMENTO!R$15,ROW(F115)-ROW(F$15),0)</f>
        <v>(abra o arquivo 'Referência 06-2024.xlsm)</v>
      </c>
      <c r="G115" s="173" t="str">
        <f ca="1">IF($D115&lt;&gt;"Serviço","",OFFSET(ORÇAMENTO!S$15,ROW(G115)-ROW(G$15),0))</f>
        <v>-</v>
      </c>
      <c r="H115" s="124">
        <f ca="1">IF($D115&lt;&gt;"Serviço",0,IF(ACOMPANHAMENTO="BM",ROUND(OFFSET(ORÇAMENTO!AJ$15,ROW(H115)-ROW(H$15),0),15-13*ORÇAMENTO!$AF$7),SUMPRODUCT(($Q$12:$AI$12&lt;&gt;"")*ROUND($Q115:$AI115,15-13*ORÇAMENTO!$AF$7))))</f>
        <v>17</v>
      </c>
      <c r="I115" s="561" t="s">
        <v>1107</v>
      </c>
      <c r="K115" s="174"/>
      <c r="L115" s="175" t="s">
        <v>255</v>
      </c>
      <c r="M115" s="176">
        <f ca="1">IF($D115&lt;&gt;"Serviço","",IF(AUTOEVENTO="manual",$A115,IF(ISERROR(MATCH($A115,$A$15:OFFSET($A115,-1,0),0)),MAX($M$15:OFFSET(M115,-1,0))+1,INDEX($M$15:OFFSET(M115,-1,0),MATCH($A115,$A$15:OFFSET($A115,-1,0),0)))))</f>
        <v>19</v>
      </c>
      <c r="N115" s="177" t="str">
        <f ca="1">IF($D115&lt;&gt;"Serviço","",IF(AUTOEVENTO="Manual",IF($A115=0,"&lt;-- defina o número do agrupador",OFFSET(EVENTOS!$D$14,$A115,0)),OFFSET($F$15,$A115,0)))</f>
        <v>ESQUADRIAS - PORTAS DE MADEIRA</v>
      </c>
      <c r="O115" s="178"/>
      <c r="Q115" s="178">
        <v>17</v>
      </c>
      <c r="R115" s="179"/>
      <c r="S115" s="179"/>
      <c r="T115" s="179"/>
      <c r="U115" s="179"/>
      <c r="V115" s="179"/>
      <c r="W115" s="179"/>
      <c r="X115" s="179"/>
      <c r="Y115" s="179"/>
      <c r="Z115" s="180"/>
      <c r="AA115" s="179"/>
      <c r="AB115" s="179"/>
      <c r="AC115" s="179"/>
      <c r="AD115" s="179"/>
      <c r="AE115" s="179"/>
      <c r="AF115" s="179"/>
      <c r="AG115" s="179"/>
      <c r="AH115" s="180"/>
      <c r="AJ115" s="544">
        <f ca="1">IF(AND($D115="Serviço",AJ$12&lt;&gt;0,$H115&gt;0,OR(AUTOEVENTO&lt;&gt;"manual",$M115&lt;&gt;1)),
IF(Import.TipoArredondamento&lt;&gt;"TransfereGOV",
ROUND(OFFSET($P115,0,AJ$13),15-13*ORÇAMENTO!$AF$7)/$H115*OFFSET(ORÇAMENTO!$X$15,ROW(AJ115)-ROW(AJ$15),0),
ROUND(ROUND(OFFSET($P115,0,AJ$13),15-13*ORÇAMENTO!$AF$7)*OFFSET(ORÇAMENTO!$W$15,ROW(AJ115)-ROW(AJ$15),0),15-13*ORÇAMENTO!$AF$11)),0)</f>
        <v>0</v>
      </c>
      <c r="AK115" s="545">
        <f ca="1">IF(AND($D115="Serviço",AK$12&lt;&gt;0,$H115&gt;0,OR(AUTOEVENTO&lt;&gt;"manual",$M115&lt;&gt;1)),
IF(Import.TipoArredondamento&lt;&gt;"TransfereGOV",
ROUND(OFFSET($P115,0,AK$13),15-13*ORÇAMENTO!$AF$7)/$H115*OFFSET(ORÇAMENTO!$X$15,ROW(AK115)-ROW(AK$15),0),
ROUND(ROUND(OFFSET($P115,0,AK$13),15-13*ORÇAMENTO!$AF$7)*OFFSET(ORÇAMENTO!$W$15,ROW(AK115)-ROW(AK$15),0),15-13*ORÇAMENTO!$AF$11)),0)</f>
        <v>0</v>
      </c>
      <c r="AL115" s="545">
        <f ca="1">IF(AND($D115="Serviço",AL$12&lt;&gt;0,$H115&gt;0,OR(AUTOEVENTO&lt;&gt;"manual",$M115&lt;&gt;1)),
IF(Import.TipoArredondamento&lt;&gt;"TransfereGOV",
ROUND(OFFSET($P115,0,AL$13),15-13*ORÇAMENTO!$AF$7)/$H115*OFFSET(ORÇAMENTO!$X$15,ROW(AL115)-ROW(AL$15),0),
ROUND(ROUND(OFFSET($P115,0,AL$13),15-13*ORÇAMENTO!$AF$7)*OFFSET(ORÇAMENTO!$W$15,ROW(AL115)-ROW(AL$15),0),15-13*ORÇAMENTO!$AF$11)),0)</f>
        <v>0</v>
      </c>
      <c r="AM115" s="545">
        <f ca="1">IF(AND($D115="Serviço",AM$12&lt;&gt;0,$H115&gt;0,OR(AUTOEVENTO&lt;&gt;"manual",$M115&lt;&gt;1)),
IF(Import.TipoArredondamento&lt;&gt;"TransfereGOV",
ROUND(OFFSET($P115,0,AM$13),15-13*ORÇAMENTO!$AF$7)/$H115*OFFSET(ORÇAMENTO!$X$15,ROW(AM115)-ROW(AM$15),0),
ROUND(ROUND(OFFSET($P115,0,AM$13),15-13*ORÇAMENTO!$AF$7)*OFFSET(ORÇAMENTO!$W$15,ROW(AM115)-ROW(AM$15),0),15-13*ORÇAMENTO!$AF$11)),0)</f>
        <v>0</v>
      </c>
      <c r="AN115" s="545">
        <f ca="1">IF(AND($D115="Serviço",AN$12&lt;&gt;0,$H115&gt;0,OR(AUTOEVENTO&lt;&gt;"manual",$M115&lt;&gt;1)),
IF(Import.TipoArredondamento&lt;&gt;"TransfereGOV",
ROUND(OFFSET($P115,0,AN$13),15-13*ORÇAMENTO!$AF$7)/$H115*OFFSET(ORÇAMENTO!$X$15,ROW(AN115)-ROW(AN$15),0),
ROUND(ROUND(OFFSET($P115,0,AN$13),15-13*ORÇAMENTO!$AF$7)*OFFSET(ORÇAMENTO!$W$15,ROW(AN115)-ROW(AN$15),0),15-13*ORÇAMENTO!$AF$11)),0)</f>
        <v>0</v>
      </c>
      <c r="AO115" s="545">
        <f ca="1">IF(AND($D115="Serviço",AO$12&lt;&gt;0,$H115&gt;0,OR(AUTOEVENTO&lt;&gt;"manual",$M115&lt;&gt;1)),
IF(Import.TipoArredondamento&lt;&gt;"TransfereGOV",
ROUND(OFFSET($P115,0,AO$13),15-13*ORÇAMENTO!$AF$7)/$H115*OFFSET(ORÇAMENTO!$X$15,ROW(AO115)-ROW(AO$15),0),
ROUND(ROUND(OFFSET($P115,0,AO$13),15-13*ORÇAMENTO!$AF$7)*OFFSET(ORÇAMENTO!$W$15,ROW(AO115)-ROW(AO$15),0),15-13*ORÇAMENTO!$AF$11)),0)</f>
        <v>0</v>
      </c>
      <c r="AP115" s="545">
        <f ca="1">IF(AND($D115="Serviço",AP$12&lt;&gt;0,$H115&gt;0,OR(AUTOEVENTO&lt;&gt;"manual",$M115&lt;&gt;1)),
IF(Import.TipoArredondamento&lt;&gt;"TransfereGOV",
ROUND(OFFSET($P115,0,AP$13),15-13*ORÇAMENTO!$AF$7)/$H115*OFFSET(ORÇAMENTO!$X$15,ROW(AP115)-ROW(AP$15),0),
ROUND(ROUND(OFFSET($P115,0,AP$13),15-13*ORÇAMENTO!$AF$7)*OFFSET(ORÇAMENTO!$W$15,ROW(AP115)-ROW(AP$15),0),15-13*ORÇAMENTO!$AF$11)),0)</f>
        <v>0</v>
      </c>
      <c r="AQ115" s="545">
        <f ca="1">IF(AND($D115="Serviço",AQ$12&lt;&gt;0,$H115&gt;0,OR(AUTOEVENTO&lt;&gt;"manual",$M115&lt;&gt;1)),
IF(Import.TipoArredondamento&lt;&gt;"TransfereGOV",
ROUND(OFFSET($P115,0,AQ$13),15-13*ORÇAMENTO!$AF$7)/$H115*OFFSET(ORÇAMENTO!$X$15,ROW(AQ115)-ROW(AQ$15),0),
ROUND(ROUND(OFFSET($P115,0,AQ$13),15-13*ORÇAMENTO!$AF$7)*OFFSET(ORÇAMENTO!$W$15,ROW(AQ115)-ROW(AQ$15),0),15-13*ORÇAMENTO!$AF$11)),0)</f>
        <v>0</v>
      </c>
      <c r="AR115" s="545">
        <f ca="1">IF(AND($D115="Serviço",AR$12&lt;&gt;0,$H115&gt;0,OR(AUTOEVENTO&lt;&gt;"manual",$M115&lt;&gt;1)),
IF(Import.TipoArredondamento&lt;&gt;"TransfereGOV",
ROUND(OFFSET($P115,0,AR$13),15-13*ORÇAMENTO!$AF$7)/$H115*OFFSET(ORÇAMENTO!$X$15,ROW(AR115)-ROW(AR$15),0),
ROUND(ROUND(OFFSET($P115,0,AR$13),15-13*ORÇAMENTO!$AF$7)*OFFSET(ORÇAMENTO!$W$15,ROW(AR115)-ROW(AR$15),0),15-13*ORÇAMENTO!$AF$11)),0)</f>
        <v>0</v>
      </c>
      <c r="AS115" s="546">
        <f ca="1">IF(AND($D115="Serviço",AS$12&lt;&gt;0,$H115&gt;0,OR(AUTOEVENTO&lt;&gt;"manual",$M115&lt;&gt;1)),
IF(Import.TipoArredondamento&lt;&gt;"TransfereGOV",
ROUND(OFFSET($P115,0,AS$13),15-13*ORÇAMENTO!$AF$7)/$H115*OFFSET(ORÇAMENTO!$X$15,ROW(AS115)-ROW(AS$15),0),
ROUND(ROUND(OFFSET($P115,0,AS$13),15-13*ORÇAMENTO!$AF$7)*OFFSET(ORÇAMENTO!$W$15,ROW(AS115)-ROW(AS$15),0),15-13*ORÇAMENTO!$AF$11)),0)</f>
        <v>0</v>
      </c>
      <c r="AT115" s="545">
        <f ca="1">IF(AND($D115="Serviço",AT$12&lt;&gt;0,$H115&gt;0,OR(AUTOEVENTO&lt;&gt;"manual",$M115&lt;&gt;1)),
IF(Import.TipoArredondamento&lt;&gt;"TransfereGOV",
ROUND(OFFSET($P115,0,AT$13),15-13*ORÇAMENTO!$AF$7)/$H115*OFFSET(ORÇAMENTO!$X$15,ROW(AT115)-ROW(AT$15),0),
ROUND(ROUND(OFFSET($P115,0,AT$13),15-13*ORÇAMENTO!$AF$7)*OFFSET(ORÇAMENTO!$W$15,ROW(AT115)-ROW(AT$15),0),15-13*ORÇAMENTO!$AF$11)),0)</f>
        <v>0</v>
      </c>
      <c r="AU115" s="545">
        <f ca="1">IF(AND($D115="Serviço",AU$12&lt;&gt;0,$H115&gt;0,OR(AUTOEVENTO&lt;&gt;"manual",$M115&lt;&gt;1)),
IF(Import.TipoArredondamento&lt;&gt;"TransfereGOV",
ROUND(OFFSET($P115,0,AU$13),15-13*ORÇAMENTO!$AF$7)/$H115*OFFSET(ORÇAMENTO!$X$15,ROW(AU115)-ROW(AU$15),0),
ROUND(ROUND(OFFSET($P115,0,AU$13),15-13*ORÇAMENTO!$AF$7)*OFFSET(ORÇAMENTO!$W$15,ROW(AU115)-ROW(AU$15),0),15-13*ORÇAMENTO!$AF$11)),0)</f>
        <v>0</v>
      </c>
      <c r="AV115" s="545">
        <f ca="1">IF(AND($D115="Serviço",AV$12&lt;&gt;0,$H115&gt;0,OR(AUTOEVENTO&lt;&gt;"manual",$M115&lt;&gt;1)),
IF(Import.TipoArredondamento&lt;&gt;"TransfereGOV",
ROUND(OFFSET($P115,0,AV$13),15-13*ORÇAMENTO!$AF$7)/$H115*OFFSET(ORÇAMENTO!$X$15,ROW(AV115)-ROW(AV$15),0),
ROUND(ROUND(OFFSET($P115,0,AV$13),15-13*ORÇAMENTO!$AF$7)*OFFSET(ORÇAMENTO!$W$15,ROW(AV115)-ROW(AV$15),0),15-13*ORÇAMENTO!$AF$11)),0)</f>
        <v>0</v>
      </c>
      <c r="AW115" s="545">
        <f ca="1">IF(AND($D115="Serviço",AW$12&lt;&gt;0,$H115&gt;0,OR(AUTOEVENTO&lt;&gt;"manual",$M115&lt;&gt;1)),
IF(Import.TipoArredondamento&lt;&gt;"TransfereGOV",
ROUND(OFFSET($P115,0,AW$13),15-13*ORÇAMENTO!$AF$7)/$H115*OFFSET(ORÇAMENTO!$X$15,ROW(AW115)-ROW(AW$15),0),
ROUND(ROUND(OFFSET($P115,0,AW$13),15-13*ORÇAMENTO!$AF$7)*OFFSET(ORÇAMENTO!$W$15,ROW(AW115)-ROW(AW$15),0),15-13*ORÇAMENTO!$AF$11)),0)</f>
        <v>0</v>
      </c>
      <c r="AX115" s="545">
        <f ca="1">IF(AND($D115="Serviço",AX$12&lt;&gt;0,$H115&gt;0,OR(AUTOEVENTO&lt;&gt;"manual",$M115&lt;&gt;1)),
IF(Import.TipoArredondamento&lt;&gt;"TransfereGOV",
ROUND(OFFSET($P115,0,AX$13),15-13*ORÇAMENTO!$AF$7)/$H115*OFFSET(ORÇAMENTO!$X$15,ROW(AX115)-ROW(AX$15),0),
ROUND(ROUND(OFFSET($P115,0,AX$13),15-13*ORÇAMENTO!$AF$7)*OFFSET(ORÇAMENTO!$W$15,ROW(AX115)-ROW(AX$15),0),15-13*ORÇAMENTO!$AF$11)),0)</f>
        <v>0</v>
      </c>
      <c r="AY115" s="545">
        <f ca="1">IF(AND($D115="Serviço",AY$12&lt;&gt;0,$H115&gt;0,OR(AUTOEVENTO&lt;&gt;"manual",$M115&lt;&gt;1)),
IF(Import.TipoArredondamento&lt;&gt;"TransfereGOV",
ROUND(OFFSET($P115,0,AY$13),15-13*ORÇAMENTO!$AF$7)/$H115*OFFSET(ORÇAMENTO!$X$15,ROW(AY115)-ROW(AY$15),0),
ROUND(ROUND(OFFSET($P115,0,AY$13),15-13*ORÇAMENTO!$AF$7)*OFFSET(ORÇAMENTO!$W$15,ROW(AY115)-ROW(AY$15),0),15-13*ORÇAMENTO!$AF$11)),0)</f>
        <v>0</v>
      </c>
      <c r="AZ115" s="545">
        <f ca="1">IF(AND($D115="Serviço",AZ$12&lt;&gt;0,$H115&gt;0,OR(AUTOEVENTO&lt;&gt;"manual",$M115&lt;&gt;1)),
IF(Import.TipoArredondamento&lt;&gt;"TransfereGOV",
ROUND(OFFSET($P115,0,AZ$13),15-13*ORÇAMENTO!$AF$7)/$H115*OFFSET(ORÇAMENTO!$X$15,ROW(AZ115)-ROW(AZ$15),0),
ROUND(ROUND(OFFSET($P115,0,AZ$13),15-13*ORÇAMENTO!$AF$7)*OFFSET(ORÇAMENTO!$W$15,ROW(AZ115)-ROW(AZ$15),0),15-13*ORÇAMENTO!$AF$11)),0)</f>
        <v>0</v>
      </c>
      <c r="BA115" s="546">
        <f ca="1">IF(AND($D115="Serviço",BA$12&lt;&gt;0,$H115&gt;0,OR(AUTOEVENTO&lt;&gt;"manual",$M115&lt;&gt;1)),
IF(Import.TipoArredondamento&lt;&gt;"TransfereGOV",
ROUND(OFFSET($P115,0,BA$13),15-13*ORÇAMENTO!$AF$7)/$H115*OFFSET(ORÇAMENTO!$X$15,ROW(BA115)-ROW(BA$15),0),
ROUND(ROUND(OFFSET($P115,0,BA$13),15-13*ORÇAMENTO!$AF$7)*OFFSET(ORÇAMENTO!$W$15,ROW(BA115)-ROW(BA$15),0),15-13*ORÇAMENTO!$AF$11)),0)</f>
        <v>0</v>
      </c>
      <c r="BC115" s="181">
        <f ca="1">IF($D115&lt;&gt;"Serviço",0,IF(AND(AUTOEVENTO="Manual",$M115=1),0,IF(OFFSET(CRONOPLE!$F$14,$M115,BC$13)="",10^12,OFFSET(CRONOPLE!$F$14,$M115,BC$13))))</f>
        <v>5</v>
      </c>
      <c r="BD115" s="181">
        <f ca="1">IF($D115&lt;&gt;"Serviço",0,IF(AND(AUTOEVENTO="Manual",$M115=1),0,IF(OFFSET(CRONOPLE!$F$14,$M115,BD$13)="",10^12,OFFSET(CRONOPLE!$F$14,$M115,BD$13))))</f>
        <v>1000000000000</v>
      </c>
      <c r="BE115" s="181">
        <f ca="1">IF($D115&lt;&gt;"Serviço",0,IF(AND(AUTOEVENTO="Manual",$M115=1),0,IF(OFFSET(CRONOPLE!$F$14,$M115,BE$13)="",10^12,OFFSET(CRONOPLE!$F$14,$M115,BE$13))))</f>
        <v>1000000000000</v>
      </c>
      <c r="BF115" s="181">
        <f ca="1">IF($D115&lt;&gt;"Serviço",0,IF(AND(AUTOEVENTO="Manual",$M115=1),0,IF(OFFSET(CRONOPLE!$F$14,$M115,BF$13)="",10^12,OFFSET(CRONOPLE!$F$14,$M115,BF$13))))</f>
        <v>1000000000000</v>
      </c>
      <c r="BG115" s="181">
        <f ca="1">IF($D115&lt;&gt;"Serviço",0,IF(AND(AUTOEVENTO="Manual",$M115=1),0,IF(OFFSET(CRONOPLE!$F$14,$M115,BG$13)="",10^12,OFFSET(CRONOPLE!$F$14,$M115,BG$13))))</f>
        <v>1000000000000</v>
      </c>
      <c r="BH115" s="181">
        <f ca="1">IF($D115&lt;&gt;"Serviço",0,IF(AND(AUTOEVENTO="Manual",$M115=1),0,IF(OFFSET(CRONOPLE!$F$14,$M115,BH$13)="",10^12,OFFSET(CRONOPLE!$F$14,$M115,BH$13))))</f>
        <v>1000000000000</v>
      </c>
      <c r="BI115" s="181">
        <f ca="1">IF($D115&lt;&gt;"Serviço",0,IF(AND(AUTOEVENTO="Manual",$M115=1),0,IF(OFFSET(CRONOPLE!$F$14,$M115,BI$13)="",10^12,OFFSET(CRONOPLE!$F$14,$M115,BI$13))))</f>
        <v>1000000000000</v>
      </c>
      <c r="BJ115" s="181">
        <f ca="1">IF($D115&lt;&gt;"Serviço",0,IF(AND(AUTOEVENTO="Manual",$M115=1),0,IF(OFFSET(CRONOPLE!$F$14,$M115,BJ$13)="",10^12,OFFSET(CRONOPLE!$F$14,$M115,BJ$13))))</f>
        <v>1000000000000</v>
      </c>
      <c r="BK115" s="181">
        <f ca="1">IF($D115&lt;&gt;"Serviço",0,IF(AND(AUTOEVENTO="Manual",$M115=1),0,IF(OFFSET(CRONOPLE!$F$14,$M115,BK$13)="",10^12,OFFSET(CRONOPLE!$F$14,$M115,BK$13))))</f>
        <v>1000000000000</v>
      </c>
      <c r="BL115" s="181">
        <f ca="1">IF($D115&lt;&gt;"Serviço",0,IF(AND(AUTOEVENTO="Manual",$M115=1),0,IF(OFFSET(CRONOPLE!$F$14,$M115,BL$13)="",10^12,OFFSET(CRONOPLE!$F$14,$M115,BL$13))))</f>
        <v>1000000000000</v>
      </c>
      <c r="BM115" s="181">
        <f ca="1">IF($D115&lt;&gt;"Serviço",0,IF(AND(AUTOEVENTO="Manual",$M115=1),0,IF(OFFSET(CRONOPLE!$F$14,$M115,BM$13)="",10^12,OFFSET(CRONOPLE!$F$14,$M115,BM$13))))</f>
        <v>1000000000000</v>
      </c>
      <c r="BN115" s="181">
        <f ca="1">IF($D115&lt;&gt;"Serviço",0,IF(AND(AUTOEVENTO="Manual",$M115=1),0,IF(OFFSET(CRONOPLE!$F$14,$M115,BN$13)="",10^12,OFFSET(CRONOPLE!$F$14,$M115,BN$13))))</f>
        <v>1000000000000</v>
      </c>
      <c r="BO115" s="181">
        <f ca="1">IF($D115&lt;&gt;"Serviço",0,IF(AND(AUTOEVENTO="Manual",$M115=1),0,IF(OFFSET(CRONOPLE!$F$14,$M115,BO$13)="",10^12,OFFSET(CRONOPLE!$F$14,$M115,BO$13))))</f>
        <v>1000000000000</v>
      </c>
      <c r="BP115" s="181">
        <f ca="1">IF($D115&lt;&gt;"Serviço",0,IF(AND(AUTOEVENTO="Manual",$M115=1),0,IF(OFFSET(CRONOPLE!$F$14,$M115,BP$13)="",10^12,OFFSET(CRONOPLE!$F$14,$M115,BP$13))))</f>
        <v>1000000000000</v>
      </c>
      <c r="BQ115" s="181">
        <f ca="1">IF($D115&lt;&gt;"Serviço",0,IF(AND(AUTOEVENTO="Manual",$M115=1),0,IF(OFFSET(CRONOPLE!$F$14,$M115,BQ$13)="",10^12,OFFSET(CRONOPLE!$F$14,$M115,BQ$13))))</f>
        <v>1000000000000</v>
      </c>
      <c r="BR115" s="181">
        <f ca="1">IF($D115&lt;&gt;"Serviço",0,IF(AND(AUTOEVENTO="Manual",$M115=1),0,IF(OFFSET(CRONOPLE!$F$14,$M115,BR$13)="",10^12,OFFSET(CRONOPLE!$F$14,$M115,BR$13))))</f>
        <v>1000000000000</v>
      </c>
      <c r="BS115" s="181">
        <f ca="1">IF($D115&lt;&gt;"Serviço",0,IF(AND(AUTOEVENTO="Manual",$M115=1),0,IF(OFFSET(CRONOPLE!$F$14,$M115,BS$13)="",10^12,OFFSET(CRONOPLE!$F$14,$M115,BS$13))))</f>
        <v>1000000000000</v>
      </c>
      <c r="BT115" s="181">
        <f ca="1">IF($D115&lt;&gt;"Serviço",0,IF(AND(AUTOEVENTO="Manual",$M115=1),0,IF(OFFSET(CRONOPLE!$F$14,$M115,BT$13)="",10^12,OFFSET(CRONOPLE!$F$14,$M115,BT$13))))</f>
        <v>1000000000000</v>
      </c>
      <c r="BV115" s="182">
        <f ca="1">IF($D115&lt;&gt;"Serviço",0,IF(OR(AND(AUTOEVENTO="Manual",$M115=1),$M115&gt;(ROW(PLE.lastrow)-ROW(PLE.firstrow))),0,IF(OFFSET(PLE!$G$14,$M115,BV$13)="",10^12,OFFSET(PLE!$G$14,$M115,BV$13))))</f>
        <v>1000000000000</v>
      </c>
      <c r="BW115" s="182">
        <f ca="1">IF($D115&lt;&gt;"Serviço",0,IF(OR(AND(AUTOEVENTO="Manual",$M115=1),$M115&gt;(ROW(PLE.lastrow)-ROW(PLE.firstrow))),0,IF(OFFSET(PLE!$G$14,$M115,BW$13)="",10^12,OFFSET(PLE!$G$14,$M115,BW$13))))</f>
        <v>1000000000000</v>
      </c>
      <c r="BX115" s="182">
        <f ca="1">IF($D115&lt;&gt;"Serviço",0,IF(OR(AND(AUTOEVENTO="Manual",$M115=1),$M115&gt;(ROW(PLE.lastrow)-ROW(PLE.firstrow))),0,IF(OFFSET(PLE!$G$14,$M115,BX$13)="",10^12,OFFSET(PLE!$G$14,$M115,BX$13))))</f>
        <v>1000000000000</v>
      </c>
      <c r="BY115" s="182">
        <f ca="1">IF($D115&lt;&gt;"Serviço",0,IF(OR(AND(AUTOEVENTO="Manual",$M115=1),$M115&gt;(ROW(PLE.lastrow)-ROW(PLE.firstrow))),0,IF(OFFSET(PLE!$G$14,$M115,BY$13)="",10^12,OFFSET(PLE!$G$14,$M115,BY$13))))</f>
        <v>1000000000000</v>
      </c>
      <c r="BZ115" s="182">
        <f ca="1">IF($D115&lt;&gt;"Serviço",0,IF(OR(AND(AUTOEVENTO="Manual",$M115=1),$M115&gt;(ROW(PLE.lastrow)-ROW(PLE.firstrow))),0,IF(OFFSET(PLE!$G$14,$M115,BZ$13)="",10^12,OFFSET(PLE!$G$14,$M115,BZ$13))))</f>
        <v>1000000000000</v>
      </c>
      <c r="CA115" s="182">
        <f ca="1">IF($D115&lt;&gt;"Serviço",0,IF(OR(AND(AUTOEVENTO="Manual",$M115=1),$M115&gt;(ROW(PLE.lastrow)-ROW(PLE.firstrow))),0,IF(OFFSET(PLE!$G$14,$M115,CA$13)="",10^12,OFFSET(PLE!$G$14,$M115,CA$13))))</f>
        <v>1000000000000</v>
      </c>
      <c r="CB115" s="182">
        <f ca="1">IF($D115&lt;&gt;"Serviço",0,IF(OR(AND(AUTOEVENTO="Manual",$M115=1),$M115&gt;(ROW(PLE.lastrow)-ROW(PLE.firstrow))),0,IF(OFFSET(PLE!$G$14,$M115,CB$13)="",10^12,OFFSET(PLE!$G$14,$M115,CB$13))))</f>
        <v>1000000000000</v>
      </c>
      <c r="CC115" s="182">
        <f ca="1">IF($D115&lt;&gt;"Serviço",0,IF(OR(AND(AUTOEVENTO="Manual",$M115=1),$M115&gt;(ROW(PLE.lastrow)-ROW(PLE.firstrow))),0,IF(OFFSET(PLE!$G$14,$M115,CC$13)="",10^12,OFFSET(PLE!$G$14,$M115,CC$13))))</f>
        <v>1000000000000</v>
      </c>
      <c r="CD115" s="182">
        <f ca="1">IF($D115&lt;&gt;"Serviço",0,IF(OR(AND(AUTOEVENTO="Manual",$M115=1),$M115&gt;(ROW(PLE.lastrow)-ROW(PLE.firstrow))),0,IF(OFFSET(PLE!$G$14,$M115,CD$13)="",10^12,OFFSET(PLE!$G$14,$M115,CD$13))))</f>
        <v>1000000000000</v>
      </c>
      <c r="CE115" s="182">
        <f ca="1">IF($D115&lt;&gt;"Serviço",0,IF(OR(AND(AUTOEVENTO="Manual",$M115=1),$M115&gt;(ROW(PLE.lastrow)-ROW(PLE.firstrow))),0,IF(OFFSET(PLE!$G$14,$M115,CE$13)="",10^12,OFFSET(PLE!$G$14,$M115,CE$13))))</f>
        <v>1000000000000</v>
      </c>
      <c r="CF115" s="182">
        <f ca="1">IF($D115&lt;&gt;"Serviço",0,IF(OR(AND(AUTOEVENTO="Manual",$M115=1),$M115&gt;(ROW(PLE.lastrow)-ROW(PLE.firstrow))),0,IF(OFFSET(PLE!$G$14,$M115,CF$13)="",10^12,OFFSET(PLE!$G$14,$M115,CF$13))))</f>
        <v>1000000000000</v>
      </c>
      <c r="CG115" s="182">
        <f ca="1">IF($D115&lt;&gt;"Serviço",0,IF(OR(AND(AUTOEVENTO="Manual",$M115=1),$M115&gt;(ROW(PLE.lastrow)-ROW(PLE.firstrow))),0,IF(OFFSET(PLE!$G$14,$M115,CG$13)="",10^12,OFFSET(PLE!$G$14,$M115,CG$13))))</f>
        <v>1000000000000</v>
      </c>
      <c r="CH115" s="182">
        <f ca="1">IF($D115&lt;&gt;"Serviço",0,IF(OR(AND(AUTOEVENTO="Manual",$M115=1),$M115&gt;(ROW(PLE.lastrow)-ROW(PLE.firstrow))),0,IF(OFFSET(PLE!$G$14,$M115,CH$13)="",10^12,OFFSET(PLE!$G$14,$M115,CH$13))))</f>
        <v>1000000000000</v>
      </c>
      <c r="CI115" s="182">
        <f ca="1">IF($D115&lt;&gt;"Serviço",0,IF(OR(AND(AUTOEVENTO="Manual",$M115=1),$M115&gt;(ROW(PLE.lastrow)-ROW(PLE.firstrow))),0,IF(OFFSET(PLE!$G$14,$M115,CI$13)="",10^12,OFFSET(PLE!$G$14,$M115,CI$13))))</f>
        <v>1000000000000</v>
      </c>
      <c r="CJ115" s="182">
        <f ca="1">IF($D115&lt;&gt;"Serviço",0,IF(OR(AND(AUTOEVENTO="Manual",$M115=1),$M115&gt;(ROW(PLE.lastrow)-ROW(PLE.firstrow))),0,IF(OFFSET(PLE!$G$14,$M115,CJ$13)="",10^12,OFFSET(PLE!$G$14,$M115,CJ$13))))</f>
        <v>1000000000000</v>
      </c>
      <c r="CK115" s="182">
        <f ca="1">IF($D115&lt;&gt;"Serviço",0,IF(OR(AND(AUTOEVENTO="Manual",$M115=1),$M115&gt;(ROW(PLE.lastrow)-ROW(PLE.firstrow))),0,IF(OFFSET(PLE!$G$14,$M115,CK$13)="",10^12,OFFSET(PLE!$G$14,$M115,CK$13))))</f>
        <v>1000000000000</v>
      </c>
      <c r="CL115" s="182">
        <f ca="1">IF($D115&lt;&gt;"Serviço",0,IF(OR(AND(AUTOEVENTO="Manual",$M115=1),$M115&gt;(ROW(PLE.lastrow)-ROW(PLE.firstrow))),0,IF(OFFSET(PLE!$G$14,$M115,CL$13)="",10^12,OFFSET(PLE!$G$14,$M115,CL$13))))</f>
        <v>1000000000000</v>
      </c>
      <c r="CM115" s="182">
        <f ca="1">IF($D115&lt;&gt;"Serviço",0,IF(OR(AND(AUTOEVENTO="Manual",$M115=1),$M115&gt;(ROW(PLE.lastrow)-ROW(PLE.firstrow))),0,IF(OFFSET(PLE!$G$14,$M115,CM$13)="",10^12,OFFSET(PLE!$G$14,$M115,CM$13))))</f>
        <v>1000000000000</v>
      </c>
    </row>
    <row r="116" spans="1:91" ht="51" x14ac:dyDescent="0.2">
      <c r="A116" s="7" t="str">
        <f t="shared" ca="1" si="10"/>
        <v>99</v>
      </c>
      <c r="B116" s="7" t="str">
        <f ca="1">OFFSET(ORÇAMENTO!C$15,ROW(B116)-ROW(B$15),0)</f>
        <v>S</v>
      </c>
      <c r="C116" s="7" t="str">
        <f ca="1">OFFSET(ORÇAMENTO!L$15,ROW(C116)-ROW(C$15),0)</f>
        <v/>
      </c>
      <c r="D116" s="118" t="str">
        <f ca="1">OFFSET(ORÇAMENTO!N$15,ROW(D116)-ROW(D$15),0)</f>
        <v>Serviço</v>
      </c>
      <c r="E116" s="119" t="str">
        <f ca="1">OFFSET(ORÇAMENTO!O$15,ROW(E116)-ROW(E$15),0)</f>
        <v>-</v>
      </c>
      <c r="F116" s="172" t="str">
        <f ca="1">OFFSET(ORÇAMENTO!R$15,ROW(F116)-ROW(F$15),0)</f>
        <v>(abra o arquivo 'Referência 06-2024.xlsm)</v>
      </c>
      <c r="G116" s="173" t="str">
        <f ca="1">IF($D116&lt;&gt;"Serviço","",OFFSET(ORÇAMENTO!S$15,ROW(G116)-ROW(G$15),0))</f>
        <v>-</v>
      </c>
      <c r="H116" s="124">
        <f ca="1">IF($D116&lt;&gt;"Serviço",0,IF(ACOMPANHAMENTO="BM",ROUND(OFFSET(ORÇAMENTO!AJ$15,ROW(H116)-ROW(H$15),0),15-13*ORÇAMENTO!$AF$7),SUMPRODUCT(($Q$12:$AI$12&lt;&gt;"")*ROUND($Q116:$AI116,15-13*ORÇAMENTO!$AF$7))))</f>
        <v>2</v>
      </c>
      <c r="I116" s="561" t="s">
        <v>1107</v>
      </c>
      <c r="K116" s="174"/>
      <c r="L116" s="175" t="s">
        <v>255</v>
      </c>
      <c r="M116" s="176">
        <f ca="1">IF($D116&lt;&gt;"Serviço","",IF(AUTOEVENTO="manual",$A116,IF(ISERROR(MATCH($A116,$A$15:OFFSET($A116,-1,0),0)),MAX($M$15:OFFSET(M116,-1,0))+1,INDEX($M$15:OFFSET(M116,-1,0),MATCH($A116,$A$15:OFFSET($A116,-1,0),0)))))</f>
        <v>19</v>
      </c>
      <c r="N116" s="177" t="str">
        <f ca="1">IF($D116&lt;&gt;"Serviço","",IF(AUTOEVENTO="Manual",IF($A116=0,"&lt;-- defina o número do agrupador",OFFSET(EVENTOS!$D$14,$A116,0)),OFFSET($F$15,$A116,0)))</f>
        <v>ESQUADRIAS - PORTAS DE MADEIRA</v>
      </c>
      <c r="O116" s="178"/>
      <c r="Q116" s="178">
        <v>2</v>
      </c>
      <c r="R116" s="179"/>
      <c r="S116" s="179"/>
      <c r="T116" s="179"/>
      <c r="U116" s="179"/>
      <c r="V116" s="179"/>
      <c r="W116" s="179"/>
      <c r="X116" s="179"/>
      <c r="Y116" s="179"/>
      <c r="Z116" s="180"/>
      <c r="AA116" s="179"/>
      <c r="AB116" s="179"/>
      <c r="AC116" s="179"/>
      <c r="AD116" s="179"/>
      <c r="AE116" s="179"/>
      <c r="AF116" s="179"/>
      <c r="AG116" s="179"/>
      <c r="AH116" s="180"/>
      <c r="AJ116" s="544">
        <f ca="1">IF(AND($D116="Serviço",AJ$12&lt;&gt;0,$H116&gt;0,OR(AUTOEVENTO&lt;&gt;"manual",$M116&lt;&gt;1)),
IF(Import.TipoArredondamento&lt;&gt;"TransfereGOV",
ROUND(OFFSET($P116,0,AJ$13),15-13*ORÇAMENTO!$AF$7)/$H116*OFFSET(ORÇAMENTO!$X$15,ROW(AJ116)-ROW(AJ$15),0),
ROUND(ROUND(OFFSET($P116,0,AJ$13),15-13*ORÇAMENTO!$AF$7)*OFFSET(ORÇAMENTO!$W$15,ROW(AJ116)-ROW(AJ$15),0),15-13*ORÇAMENTO!$AF$11)),0)</f>
        <v>0</v>
      </c>
      <c r="AK116" s="545">
        <f ca="1">IF(AND($D116="Serviço",AK$12&lt;&gt;0,$H116&gt;0,OR(AUTOEVENTO&lt;&gt;"manual",$M116&lt;&gt;1)),
IF(Import.TipoArredondamento&lt;&gt;"TransfereGOV",
ROUND(OFFSET($P116,0,AK$13),15-13*ORÇAMENTO!$AF$7)/$H116*OFFSET(ORÇAMENTO!$X$15,ROW(AK116)-ROW(AK$15),0),
ROUND(ROUND(OFFSET($P116,0,AK$13),15-13*ORÇAMENTO!$AF$7)*OFFSET(ORÇAMENTO!$W$15,ROW(AK116)-ROW(AK$15),0),15-13*ORÇAMENTO!$AF$11)),0)</f>
        <v>0</v>
      </c>
      <c r="AL116" s="545">
        <f ca="1">IF(AND($D116="Serviço",AL$12&lt;&gt;0,$H116&gt;0,OR(AUTOEVENTO&lt;&gt;"manual",$M116&lt;&gt;1)),
IF(Import.TipoArredondamento&lt;&gt;"TransfereGOV",
ROUND(OFFSET($P116,0,AL$13),15-13*ORÇAMENTO!$AF$7)/$H116*OFFSET(ORÇAMENTO!$X$15,ROW(AL116)-ROW(AL$15),0),
ROUND(ROUND(OFFSET($P116,0,AL$13),15-13*ORÇAMENTO!$AF$7)*OFFSET(ORÇAMENTO!$W$15,ROW(AL116)-ROW(AL$15),0),15-13*ORÇAMENTO!$AF$11)),0)</f>
        <v>0</v>
      </c>
      <c r="AM116" s="545">
        <f ca="1">IF(AND($D116="Serviço",AM$12&lt;&gt;0,$H116&gt;0,OR(AUTOEVENTO&lt;&gt;"manual",$M116&lt;&gt;1)),
IF(Import.TipoArredondamento&lt;&gt;"TransfereGOV",
ROUND(OFFSET($P116,0,AM$13),15-13*ORÇAMENTO!$AF$7)/$H116*OFFSET(ORÇAMENTO!$X$15,ROW(AM116)-ROW(AM$15),0),
ROUND(ROUND(OFFSET($P116,0,AM$13),15-13*ORÇAMENTO!$AF$7)*OFFSET(ORÇAMENTO!$W$15,ROW(AM116)-ROW(AM$15),0),15-13*ORÇAMENTO!$AF$11)),0)</f>
        <v>0</v>
      </c>
      <c r="AN116" s="545">
        <f ca="1">IF(AND($D116="Serviço",AN$12&lt;&gt;0,$H116&gt;0,OR(AUTOEVENTO&lt;&gt;"manual",$M116&lt;&gt;1)),
IF(Import.TipoArredondamento&lt;&gt;"TransfereGOV",
ROUND(OFFSET($P116,0,AN$13),15-13*ORÇAMENTO!$AF$7)/$H116*OFFSET(ORÇAMENTO!$X$15,ROW(AN116)-ROW(AN$15),0),
ROUND(ROUND(OFFSET($P116,0,AN$13),15-13*ORÇAMENTO!$AF$7)*OFFSET(ORÇAMENTO!$W$15,ROW(AN116)-ROW(AN$15),0),15-13*ORÇAMENTO!$AF$11)),0)</f>
        <v>0</v>
      </c>
      <c r="AO116" s="545">
        <f ca="1">IF(AND($D116="Serviço",AO$12&lt;&gt;0,$H116&gt;0,OR(AUTOEVENTO&lt;&gt;"manual",$M116&lt;&gt;1)),
IF(Import.TipoArredondamento&lt;&gt;"TransfereGOV",
ROUND(OFFSET($P116,0,AO$13),15-13*ORÇAMENTO!$AF$7)/$H116*OFFSET(ORÇAMENTO!$X$15,ROW(AO116)-ROW(AO$15),0),
ROUND(ROUND(OFFSET($P116,0,AO$13),15-13*ORÇAMENTO!$AF$7)*OFFSET(ORÇAMENTO!$W$15,ROW(AO116)-ROW(AO$15),0),15-13*ORÇAMENTO!$AF$11)),0)</f>
        <v>0</v>
      </c>
      <c r="AP116" s="545">
        <f ca="1">IF(AND($D116="Serviço",AP$12&lt;&gt;0,$H116&gt;0,OR(AUTOEVENTO&lt;&gt;"manual",$M116&lt;&gt;1)),
IF(Import.TipoArredondamento&lt;&gt;"TransfereGOV",
ROUND(OFFSET($P116,0,AP$13),15-13*ORÇAMENTO!$AF$7)/$H116*OFFSET(ORÇAMENTO!$X$15,ROW(AP116)-ROW(AP$15),0),
ROUND(ROUND(OFFSET($P116,0,AP$13),15-13*ORÇAMENTO!$AF$7)*OFFSET(ORÇAMENTO!$W$15,ROW(AP116)-ROW(AP$15),0),15-13*ORÇAMENTO!$AF$11)),0)</f>
        <v>0</v>
      </c>
      <c r="AQ116" s="545">
        <f ca="1">IF(AND($D116="Serviço",AQ$12&lt;&gt;0,$H116&gt;0,OR(AUTOEVENTO&lt;&gt;"manual",$M116&lt;&gt;1)),
IF(Import.TipoArredondamento&lt;&gt;"TransfereGOV",
ROUND(OFFSET($P116,0,AQ$13),15-13*ORÇAMENTO!$AF$7)/$H116*OFFSET(ORÇAMENTO!$X$15,ROW(AQ116)-ROW(AQ$15),0),
ROUND(ROUND(OFFSET($P116,0,AQ$13),15-13*ORÇAMENTO!$AF$7)*OFFSET(ORÇAMENTO!$W$15,ROW(AQ116)-ROW(AQ$15),0),15-13*ORÇAMENTO!$AF$11)),0)</f>
        <v>0</v>
      </c>
      <c r="AR116" s="545">
        <f ca="1">IF(AND($D116="Serviço",AR$12&lt;&gt;0,$H116&gt;0,OR(AUTOEVENTO&lt;&gt;"manual",$M116&lt;&gt;1)),
IF(Import.TipoArredondamento&lt;&gt;"TransfereGOV",
ROUND(OFFSET($P116,0,AR$13),15-13*ORÇAMENTO!$AF$7)/$H116*OFFSET(ORÇAMENTO!$X$15,ROW(AR116)-ROW(AR$15),0),
ROUND(ROUND(OFFSET($P116,0,AR$13),15-13*ORÇAMENTO!$AF$7)*OFFSET(ORÇAMENTO!$W$15,ROW(AR116)-ROW(AR$15),0),15-13*ORÇAMENTO!$AF$11)),0)</f>
        <v>0</v>
      </c>
      <c r="AS116" s="546">
        <f ca="1">IF(AND($D116="Serviço",AS$12&lt;&gt;0,$H116&gt;0,OR(AUTOEVENTO&lt;&gt;"manual",$M116&lt;&gt;1)),
IF(Import.TipoArredondamento&lt;&gt;"TransfereGOV",
ROUND(OFFSET($P116,0,AS$13),15-13*ORÇAMENTO!$AF$7)/$H116*OFFSET(ORÇAMENTO!$X$15,ROW(AS116)-ROW(AS$15),0),
ROUND(ROUND(OFFSET($P116,0,AS$13),15-13*ORÇAMENTO!$AF$7)*OFFSET(ORÇAMENTO!$W$15,ROW(AS116)-ROW(AS$15),0),15-13*ORÇAMENTO!$AF$11)),0)</f>
        <v>0</v>
      </c>
      <c r="AT116" s="545">
        <f ca="1">IF(AND($D116="Serviço",AT$12&lt;&gt;0,$H116&gt;0,OR(AUTOEVENTO&lt;&gt;"manual",$M116&lt;&gt;1)),
IF(Import.TipoArredondamento&lt;&gt;"TransfereGOV",
ROUND(OFFSET($P116,0,AT$13),15-13*ORÇAMENTO!$AF$7)/$H116*OFFSET(ORÇAMENTO!$X$15,ROW(AT116)-ROW(AT$15),0),
ROUND(ROUND(OFFSET($P116,0,AT$13),15-13*ORÇAMENTO!$AF$7)*OFFSET(ORÇAMENTO!$W$15,ROW(AT116)-ROW(AT$15),0),15-13*ORÇAMENTO!$AF$11)),0)</f>
        <v>0</v>
      </c>
      <c r="AU116" s="545">
        <f ca="1">IF(AND($D116="Serviço",AU$12&lt;&gt;0,$H116&gt;0,OR(AUTOEVENTO&lt;&gt;"manual",$M116&lt;&gt;1)),
IF(Import.TipoArredondamento&lt;&gt;"TransfereGOV",
ROUND(OFFSET($P116,0,AU$13),15-13*ORÇAMENTO!$AF$7)/$H116*OFFSET(ORÇAMENTO!$X$15,ROW(AU116)-ROW(AU$15),0),
ROUND(ROUND(OFFSET($P116,0,AU$13),15-13*ORÇAMENTO!$AF$7)*OFFSET(ORÇAMENTO!$W$15,ROW(AU116)-ROW(AU$15),0),15-13*ORÇAMENTO!$AF$11)),0)</f>
        <v>0</v>
      </c>
      <c r="AV116" s="545">
        <f ca="1">IF(AND($D116="Serviço",AV$12&lt;&gt;0,$H116&gt;0,OR(AUTOEVENTO&lt;&gt;"manual",$M116&lt;&gt;1)),
IF(Import.TipoArredondamento&lt;&gt;"TransfereGOV",
ROUND(OFFSET($P116,0,AV$13),15-13*ORÇAMENTO!$AF$7)/$H116*OFFSET(ORÇAMENTO!$X$15,ROW(AV116)-ROW(AV$15),0),
ROUND(ROUND(OFFSET($P116,0,AV$13),15-13*ORÇAMENTO!$AF$7)*OFFSET(ORÇAMENTO!$W$15,ROW(AV116)-ROW(AV$15),0),15-13*ORÇAMENTO!$AF$11)),0)</f>
        <v>0</v>
      </c>
      <c r="AW116" s="545">
        <f ca="1">IF(AND($D116="Serviço",AW$12&lt;&gt;0,$H116&gt;0,OR(AUTOEVENTO&lt;&gt;"manual",$M116&lt;&gt;1)),
IF(Import.TipoArredondamento&lt;&gt;"TransfereGOV",
ROUND(OFFSET($P116,0,AW$13),15-13*ORÇAMENTO!$AF$7)/$H116*OFFSET(ORÇAMENTO!$X$15,ROW(AW116)-ROW(AW$15),0),
ROUND(ROUND(OFFSET($P116,0,AW$13),15-13*ORÇAMENTO!$AF$7)*OFFSET(ORÇAMENTO!$W$15,ROW(AW116)-ROW(AW$15),0),15-13*ORÇAMENTO!$AF$11)),0)</f>
        <v>0</v>
      </c>
      <c r="AX116" s="545">
        <f ca="1">IF(AND($D116="Serviço",AX$12&lt;&gt;0,$H116&gt;0,OR(AUTOEVENTO&lt;&gt;"manual",$M116&lt;&gt;1)),
IF(Import.TipoArredondamento&lt;&gt;"TransfereGOV",
ROUND(OFFSET($P116,0,AX$13),15-13*ORÇAMENTO!$AF$7)/$H116*OFFSET(ORÇAMENTO!$X$15,ROW(AX116)-ROW(AX$15),0),
ROUND(ROUND(OFFSET($P116,0,AX$13),15-13*ORÇAMENTO!$AF$7)*OFFSET(ORÇAMENTO!$W$15,ROW(AX116)-ROW(AX$15),0),15-13*ORÇAMENTO!$AF$11)),0)</f>
        <v>0</v>
      </c>
      <c r="AY116" s="545">
        <f ca="1">IF(AND($D116="Serviço",AY$12&lt;&gt;0,$H116&gt;0,OR(AUTOEVENTO&lt;&gt;"manual",$M116&lt;&gt;1)),
IF(Import.TipoArredondamento&lt;&gt;"TransfereGOV",
ROUND(OFFSET($P116,0,AY$13),15-13*ORÇAMENTO!$AF$7)/$H116*OFFSET(ORÇAMENTO!$X$15,ROW(AY116)-ROW(AY$15),0),
ROUND(ROUND(OFFSET($P116,0,AY$13),15-13*ORÇAMENTO!$AF$7)*OFFSET(ORÇAMENTO!$W$15,ROW(AY116)-ROW(AY$15),0),15-13*ORÇAMENTO!$AF$11)),0)</f>
        <v>0</v>
      </c>
      <c r="AZ116" s="545">
        <f ca="1">IF(AND($D116="Serviço",AZ$12&lt;&gt;0,$H116&gt;0,OR(AUTOEVENTO&lt;&gt;"manual",$M116&lt;&gt;1)),
IF(Import.TipoArredondamento&lt;&gt;"TransfereGOV",
ROUND(OFFSET($P116,0,AZ$13),15-13*ORÇAMENTO!$AF$7)/$H116*OFFSET(ORÇAMENTO!$X$15,ROW(AZ116)-ROW(AZ$15),0),
ROUND(ROUND(OFFSET($P116,0,AZ$13),15-13*ORÇAMENTO!$AF$7)*OFFSET(ORÇAMENTO!$W$15,ROW(AZ116)-ROW(AZ$15),0),15-13*ORÇAMENTO!$AF$11)),0)</f>
        <v>0</v>
      </c>
      <c r="BA116" s="546">
        <f ca="1">IF(AND($D116="Serviço",BA$12&lt;&gt;0,$H116&gt;0,OR(AUTOEVENTO&lt;&gt;"manual",$M116&lt;&gt;1)),
IF(Import.TipoArredondamento&lt;&gt;"TransfereGOV",
ROUND(OFFSET($P116,0,BA$13),15-13*ORÇAMENTO!$AF$7)/$H116*OFFSET(ORÇAMENTO!$X$15,ROW(BA116)-ROW(BA$15),0),
ROUND(ROUND(OFFSET($P116,0,BA$13),15-13*ORÇAMENTO!$AF$7)*OFFSET(ORÇAMENTO!$W$15,ROW(BA116)-ROW(BA$15),0),15-13*ORÇAMENTO!$AF$11)),0)</f>
        <v>0</v>
      </c>
      <c r="BC116" s="181">
        <f ca="1">IF($D116&lt;&gt;"Serviço",0,IF(AND(AUTOEVENTO="Manual",$M116=1),0,IF(OFFSET(CRONOPLE!$F$14,$M116,BC$13)="",10^12,OFFSET(CRONOPLE!$F$14,$M116,BC$13))))</f>
        <v>5</v>
      </c>
      <c r="BD116" s="181">
        <f ca="1">IF($D116&lt;&gt;"Serviço",0,IF(AND(AUTOEVENTO="Manual",$M116=1),0,IF(OFFSET(CRONOPLE!$F$14,$M116,BD$13)="",10^12,OFFSET(CRONOPLE!$F$14,$M116,BD$13))))</f>
        <v>1000000000000</v>
      </c>
      <c r="BE116" s="181">
        <f ca="1">IF($D116&lt;&gt;"Serviço",0,IF(AND(AUTOEVENTO="Manual",$M116=1),0,IF(OFFSET(CRONOPLE!$F$14,$M116,BE$13)="",10^12,OFFSET(CRONOPLE!$F$14,$M116,BE$13))))</f>
        <v>1000000000000</v>
      </c>
      <c r="BF116" s="181">
        <f ca="1">IF($D116&lt;&gt;"Serviço",0,IF(AND(AUTOEVENTO="Manual",$M116=1),0,IF(OFFSET(CRONOPLE!$F$14,$M116,BF$13)="",10^12,OFFSET(CRONOPLE!$F$14,$M116,BF$13))))</f>
        <v>1000000000000</v>
      </c>
      <c r="BG116" s="181">
        <f ca="1">IF($D116&lt;&gt;"Serviço",0,IF(AND(AUTOEVENTO="Manual",$M116=1),0,IF(OFFSET(CRONOPLE!$F$14,$M116,BG$13)="",10^12,OFFSET(CRONOPLE!$F$14,$M116,BG$13))))</f>
        <v>1000000000000</v>
      </c>
      <c r="BH116" s="181">
        <f ca="1">IF($D116&lt;&gt;"Serviço",0,IF(AND(AUTOEVENTO="Manual",$M116=1),0,IF(OFFSET(CRONOPLE!$F$14,$M116,BH$13)="",10^12,OFFSET(CRONOPLE!$F$14,$M116,BH$13))))</f>
        <v>1000000000000</v>
      </c>
      <c r="BI116" s="181">
        <f ca="1">IF($D116&lt;&gt;"Serviço",0,IF(AND(AUTOEVENTO="Manual",$M116=1),0,IF(OFFSET(CRONOPLE!$F$14,$M116,BI$13)="",10^12,OFFSET(CRONOPLE!$F$14,$M116,BI$13))))</f>
        <v>1000000000000</v>
      </c>
      <c r="BJ116" s="181">
        <f ca="1">IF($D116&lt;&gt;"Serviço",0,IF(AND(AUTOEVENTO="Manual",$M116=1),0,IF(OFFSET(CRONOPLE!$F$14,$M116,BJ$13)="",10^12,OFFSET(CRONOPLE!$F$14,$M116,BJ$13))))</f>
        <v>1000000000000</v>
      </c>
      <c r="BK116" s="181">
        <f ca="1">IF($D116&lt;&gt;"Serviço",0,IF(AND(AUTOEVENTO="Manual",$M116=1),0,IF(OFFSET(CRONOPLE!$F$14,$M116,BK$13)="",10^12,OFFSET(CRONOPLE!$F$14,$M116,BK$13))))</f>
        <v>1000000000000</v>
      </c>
      <c r="BL116" s="181">
        <f ca="1">IF($D116&lt;&gt;"Serviço",0,IF(AND(AUTOEVENTO="Manual",$M116=1),0,IF(OFFSET(CRONOPLE!$F$14,$M116,BL$13)="",10^12,OFFSET(CRONOPLE!$F$14,$M116,BL$13))))</f>
        <v>1000000000000</v>
      </c>
      <c r="BM116" s="181">
        <f ca="1">IF($D116&lt;&gt;"Serviço",0,IF(AND(AUTOEVENTO="Manual",$M116=1),0,IF(OFFSET(CRONOPLE!$F$14,$M116,BM$13)="",10^12,OFFSET(CRONOPLE!$F$14,$M116,BM$13))))</f>
        <v>1000000000000</v>
      </c>
      <c r="BN116" s="181">
        <f ca="1">IF($D116&lt;&gt;"Serviço",0,IF(AND(AUTOEVENTO="Manual",$M116=1),0,IF(OFFSET(CRONOPLE!$F$14,$M116,BN$13)="",10^12,OFFSET(CRONOPLE!$F$14,$M116,BN$13))))</f>
        <v>1000000000000</v>
      </c>
      <c r="BO116" s="181">
        <f ca="1">IF($D116&lt;&gt;"Serviço",0,IF(AND(AUTOEVENTO="Manual",$M116=1),0,IF(OFFSET(CRONOPLE!$F$14,$M116,BO$13)="",10^12,OFFSET(CRONOPLE!$F$14,$M116,BO$13))))</f>
        <v>1000000000000</v>
      </c>
      <c r="BP116" s="181">
        <f ca="1">IF($D116&lt;&gt;"Serviço",0,IF(AND(AUTOEVENTO="Manual",$M116=1),0,IF(OFFSET(CRONOPLE!$F$14,$M116,BP$13)="",10^12,OFFSET(CRONOPLE!$F$14,$M116,BP$13))))</f>
        <v>1000000000000</v>
      </c>
      <c r="BQ116" s="181">
        <f ca="1">IF($D116&lt;&gt;"Serviço",0,IF(AND(AUTOEVENTO="Manual",$M116=1),0,IF(OFFSET(CRONOPLE!$F$14,$M116,BQ$13)="",10^12,OFFSET(CRONOPLE!$F$14,$M116,BQ$13))))</f>
        <v>1000000000000</v>
      </c>
      <c r="BR116" s="181">
        <f ca="1">IF($D116&lt;&gt;"Serviço",0,IF(AND(AUTOEVENTO="Manual",$M116=1),0,IF(OFFSET(CRONOPLE!$F$14,$M116,BR$13)="",10^12,OFFSET(CRONOPLE!$F$14,$M116,BR$13))))</f>
        <v>1000000000000</v>
      </c>
      <c r="BS116" s="181">
        <f ca="1">IF($D116&lt;&gt;"Serviço",0,IF(AND(AUTOEVENTO="Manual",$M116=1),0,IF(OFFSET(CRONOPLE!$F$14,$M116,BS$13)="",10^12,OFFSET(CRONOPLE!$F$14,$M116,BS$13))))</f>
        <v>1000000000000</v>
      </c>
      <c r="BT116" s="181">
        <f ca="1">IF($D116&lt;&gt;"Serviço",0,IF(AND(AUTOEVENTO="Manual",$M116=1),0,IF(OFFSET(CRONOPLE!$F$14,$M116,BT$13)="",10^12,OFFSET(CRONOPLE!$F$14,$M116,BT$13))))</f>
        <v>1000000000000</v>
      </c>
      <c r="BV116" s="182">
        <f ca="1">IF($D116&lt;&gt;"Serviço",0,IF(OR(AND(AUTOEVENTO="Manual",$M116=1),$M116&gt;(ROW(PLE.lastrow)-ROW(PLE.firstrow))),0,IF(OFFSET(PLE!$G$14,$M116,BV$13)="",10^12,OFFSET(PLE!$G$14,$M116,BV$13))))</f>
        <v>1000000000000</v>
      </c>
      <c r="BW116" s="182">
        <f ca="1">IF($D116&lt;&gt;"Serviço",0,IF(OR(AND(AUTOEVENTO="Manual",$M116=1),$M116&gt;(ROW(PLE.lastrow)-ROW(PLE.firstrow))),0,IF(OFFSET(PLE!$G$14,$M116,BW$13)="",10^12,OFFSET(PLE!$G$14,$M116,BW$13))))</f>
        <v>1000000000000</v>
      </c>
      <c r="BX116" s="182">
        <f ca="1">IF($D116&lt;&gt;"Serviço",0,IF(OR(AND(AUTOEVENTO="Manual",$M116=1),$M116&gt;(ROW(PLE.lastrow)-ROW(PLE.firstrow))),0,IF(OFFSET(PLE!$G$14,$M116,BX$13)="",10^12,OFFSET(PLE!$G$14,$M116,BX$13))))</f>
        <v>1000000000000</v>
      </c>
      <c r="BY116" s="182">
        <f ca="1">IF($D116&lt;&gt;"Serviço",0,IF(OR(AND(AUTOEVENTO="Manual",$M116=1),$M116&gt;(ROW(PLE.lastrow)-ROW(PLE.firstrow))),0,IF(OFFSET(PLE!$G$14,$M116,BY$13)="",10^12,OFFSET(PLE!$G$14,$M116,BY$13))))</f>
        <v>1000000000000</v>
      </c>
      <c r="BZ116" s="182">
        <f ca="1">IF($D116&lt;&gt;"Serviço",0,IF(OR(AND(AUTOEVENTO="Manual",$M116=1),$M116&gt;(ROW(PLE.lastrow)-ROW(PLE.firstrow))),0,IF(OFFSET(PLE!$G$14,$M116,BZ$13)="",10^12,OFFSET(PLE!$G$14,$M116,BZ$13))))</f>
        <v>1000000000000</v>
      </c>
      <c r="CA116" s="182">
        <f ca="1">IF($D116&lt;&gt;"Serviço",0,IF(OR(AND(AUTOEVENTO="Manual",$M116=1),$M116&gt;(ROW(PLE.lastrow)-ROW(PLE.firstrow))),0,IF(OFFSET(PLE!$G$14,$M116,CA$13)="",10^12,OFFSET(PLE!$G$14,$M116,CA$13))))</f>
        <v>1000000000000</v>
      </c>
      <c r="CB116" s="182">
        <f ca="1">IF($D116&lt;&gt;"Serviço",0,IF(OR(AND(AUTOEVENTO="Manual",$M116=1),$M116&gt;(ROW(PLE.lastrow)-ROW(PLE.firstrow))),0,IF(OFFSET(PLE!$G$14,$M116,CB$13)="",10^12,OFFSET(PLE!$G$14,$M116,CB$13))))</f>
        <v>1000000000000</v>
      </c>
      <c r="CC116" s="182">
        <f ca="1">IF($D116&lt;&gt;"Serviço",0,IF(OR(AND(AUTOEVENTO="Manual",$M116=1),$M116&gt;(ROW(PLE.lastrow)-ROW(PLE.firstrow))),0,IF(OFFSET(PLE!$G$14,$M116,CC$13)="",10^12,OFFSET(PLE!$G$14,$M116,CC$13))))</f>
        <v>1000000000000</v>
      </c>
      <c r="CD116" s="182">
        <f ca="1">IF($D116&lt;&gt;"Serviço",0,IF(OR(AND(AUTOEVENTO="Manual",$M116=1),$M116&gt;(ROW(PLE.lastrow)-ROW(PLE.firstrow))),0,IF(OFFSET(PLE!$G$14,$M116,CD$13)="",10^12,OFFSET(PLE!$G$14,$M116,CD$13))))</f>
        <v>1000000000000</v>
      </c>
      <c r="CE116" s="182">
        <f ca="1">IF($D116&lt;&gt;"Serviço",0,IF(OR(AND(AUTOEVENTO="Manual",$M116=1),$M116&gt;(ROW(PLE.lastrow)-ROW(PLE.firstrow))),0,IF(OFFSET(PLE!$G$14,$M116,CE$13)="",10^12,OFFSET(PLE!$G$14,$M116,CE$13))))</f>
        <v>1000000000000</v>
      </c>
      <c r="CF116" s="182">
        <f ca="1">IF($D116&lt;&gt;"Serviço",0,IF(OR(AND(AUTOEVENTO="Manual",$M116=1),$M116&gt;(ROW(PLE.lastrow)-ROW(PLE.firstrow))),0,IF(OFFSET(PLE!$G$14,$M116,CF$13)="",10^12,OFFSET(PLE!$G$14,$M116,CF$13))))</f>
        <v>1000000000000</v>
      </c>
      <c r="CG116" s="182">
        <f ca="1">IF($D116&lt;&gt;"Serviço",0,IF(OR(AND(AUTOEVENTO="Manual",$M116=1),$M116&gt;(ROW(PLE.lastrow)-ROW(PLE.firstrow))),0,IF(OFFSET(PLE!$G$14,$M116,CG$13)="",10^12,OFFSET(PLE!$G$14,$M116,CG$13))))</f>
        <v>1000000000000</v>
      </c>
      <c r="CH116" s="182">
        <f ca="1">IF($D116&lt;&gt;"Serviço",0,IF(OR(AND(AUTOEVENTO="Manual",$M116=1),$M116&gt;(ROW(PLE.lastrow)-ROW(PLE.firstrow))),0,IF(OFFSET(PLE!$G$14,$M116,CH$13)="",10^12,OFFSET(PLE!$G$14,$M116,CH$13))))</f>
        <v>1000000000000</v>
      </c>
      <c r="CI116" s="182">
        <f ca="1">IF($D116&lt;&gt;"Serviço",0,IF(OR(AND(AUTOEVENTO="Manual",$M116=1),$M116&gt;(ROW(PLE.lastrow)-ROW(PLE.firstrow))),0,IF(OFFSET(PLE!$G$14,$M116,CI$13)="",10^12,OFFSET(PLE!$G$14,$M116,CI$13))))</f>
        <v>1000000000000</v>
      </c>
      <c r="CJ116" s="182">
        <f ca="1">IF($D116&lt;&gt;"Serviço",0,IF(OR(AND(AUTOEVENTO="Manual",$M116=1),$M116&gt;(ROW(PLE.lastrow)-ROW(PLE.firstrow))),0,IF(OFFSET(PLE!$G$14,$M116,CJ$13)="",10^12,OFFSET(PLE!$G$14,$M116,CJ$13))))</f>
        <v>1000000000000</v>
      </c>
      <c r="CK116" s="182">
        <f ca="1">IF($D116&lt;&gt;"Serviço",0,IF(OR(AND(AUTOEVENTO="Manual",$M116=1),$M116&gt;(ROW(PLE.lastrow)-ROW(PLE.firstrow))),0,IF(OFFSET(PLE!$G$14,$M116,CK$13)="",10^12,OFFSET(PLE!$G$14,$M116,CK$13))))</f>
        <v>1000000000000</v>
      </c>
      <c r="CL116" s="182">
        <f ca="1">IF($D116&lt;&gt;"Serviço",0,IF(OR(AND(AUTOEVENTO="Manual",$M116=1),$M116&gt;(ROW(PLE.lastrow)-ROW(PLE.firstrow))),0,IF(OFFSET(PLE!$G$14,$M116,CL$13)="",10^12,OFFSET(PLE!$G$14,$M116,CL$13))))</f>
        <v>1000000000000</v>
      </c>
      <c r="CM116" s="182">
        <f ca="1">IF($D116&lt;&gt;"Serviço",0,IF(OR(AND(AUTOEVENTO="Manual",$M116=1),$M116&gt;(ROW(PLE.lastrow)-ROW(PLE.firstrow))),0,IF(OFFSET(PLE!$G$14,$M116,CM$13)="",10^12,OFFSET(PLE!$G$14,$M116,CM$13))))</f>
        <v>1000000000000</v>
      </c>
    </row>
    <row r="117" spans="1:91" ht="63.75" x14ac:dyDescent="0.2">
      <c r="A117" s="7" t="str">
        <f t="shared" ca="1" si="10"/>
        <v>99</v>
      </c>
      <c r="B117" s="7" t="str">
        <f ca="1">OFFSET(ORÇAMENTO!C$15,ROW(B117)-ROW(B$15),0)</f>
        <v>S</v>
      </c>
      <c r="C117" s="7" t="str">
        <f ca="1">OFFSET(ORÇAMENTO!L$15,ROW(C117)-ROW(C$15),0)</f>
        <v/>
      </c>
      <c r="D117" s="118" t="str">
        <f ca="1">OFFSET(ORÇAMENTO!N$15,ROW(D117)-ROW(D$15),0)</f>
        <v>Serviço</v>
      </c>
      <c r="E117" s="119" t="str">
        <f ca="1">OFFSET(ORÇAMENTO!O$15,ROW(E117)-ROW(E$15),0)</f>
        <v>-</v>
      </c>
      <c r="F117" s="172" t="str">
        <f ca="1">OFFSET(ORÇAMENTO!R$15,ROW(F117)-ROW(F$15),0)</f>
        <v>(abra o arquivo 'Referência 06-2024.xlsm)</v>
      </c>
      <c r="G117" s="173" t="str">
        <f ca="1">IF($D117&lt;&gt;"Serviço","",OFFSET(ORÇAMENTO!S$15,ROW(G117)-ROW(G$15),0))</f>
        <v>-</v>
      </c>
      <c r="H117" s="124">
        <f ca="1">IF($D117&lt;&gt;"Serviço",0,IF(ACOMPANHAMENTO="BM",ROUND(OFFSET(ORÇAMENTO!AJ$15,ROW(H117)-ROW(H$15),0),15-13*ORÇAMENTO!$AF$7),SUMPRODUCT(($Q$12:$AI$12&lt;&gt;"")*ROUND($Q117:$AI117,15-13*ORÇAMENTO!$AF$7))))</f>
        <v>4</v>
      </c>
      <c r="I117" s="561" t="s">
        <v>1107</v>
      </c>
      <c r="K117" s="174"/>
      <c r="L117" s="175" t="s">
        <v>255</v>
      </c>
      <c r="M117" s="176">
        <f ca="1">IF($D117&lt;&gt;"Serviço","",IF(AUTOEVENTO="manual",$A117,IF(ISERROR(MATCH($A117,$A$15:OFFSET($A117,-1,0),0)),MAX($M$15:OFFSET(M117,-1,0))+1,INDEX($M$15:OFFSET(M117,-1,0),MATCH($A117,$A$15:OFFSET($A117,-1,0),0)))))</f>
        <v>19</v>
      </c>
      <c r="N117" s="177" t="str">
        <f ca="1">IF($D117&lt;&gt;"Serviço","",IF(AUTOEVENTO="Manual",IF($A117=0,"&lt;-- defina o número do agrupador",OFFSET(EVENTOS!$D$14,$A117,0)),OFFSET($F$15,$A117,0)))</f>
        <v>ESQUADRIAS - PORTAS DE MADEIRA</v>
      </c>
      <c r="O117" s="178"/>
      <c r="Q117" s="178">
        <v>4</v>
      </c>
      <c r="R117" s="179"/>
      <c r="S117" s="179"/>
      <c r="T117" s="179"/>
      <c r="U117" s="179"/>
      <c r="V117" s="179"/>
      <c r="W117" s="179"/>
      <c r="X117" s="179"/>
      <c r="Y117" s="179"/>
      <c r="Z117" s="180"/>
      <c r="AA117" s="179"/>
      <c r="AB117" s="179"/>
      <c r="AC117" s="179"/>
      <c r="AD117" s="179"/>
      <c r="AE117" s="179"/>
      <c r="AF117" s="179"/>
      <c r="AG117" s="179"/>
      <c r="AH117" s="180"/>
      <c r="AJ117" s="544">
        <f ca="1">IF(AND($D117="Serviço",AJ$12&lt;&gt;0,$H117&gt;0,OR(AUTOEVENTO&lt;&gt;"manual",$M117&lt;&gt;1)),
IF(Import.TipoArredondamento&lt;&gt;"TransfereGOV",
ROUND(OFFSET($P117,0,AJ$13),15-13*ORÇAMENTO!$AF$7)/$H117*OFFSET(ORÇAMENTO!$X$15,ROW(AJ117)-ROW(AJ$15),0),
ROUND(ROUND(OFFSET($P117,0,AJ$13),15-13*ORÇAMENTO!$AF$7)*OFFSET(ORÇAMENTO!$W$15,ROW(AJ117)-ROW(AJ$15),0),15-13*ORÇAMENTO!$AF$11)),0)</f>
        <v>0</v>
      </c>
      <c r="AK117" s="545">
        <f ca="1">IF(AND($D117="Serviço",AK$12&lt;&gt;0,$H117&gt;0,OR(AUTOEVENTO&lt;&gt;"manual",$M117&lt;&gt;1)),
IF(Import.TipoArredondamento&lt;&gt;"TransfereGOV",
ROUND(OFFSET($P117,0,AK$13),15-13*ORÇAMENTO!$AF$7)/$H117*OFFSET(ORÇAMENTO!$X$15,ROW(AK117)-ROW(AK$15),0),
ROUND(ROUND(OFFSET($P117,0,AK$13),15-13*ORÇAMENTO!$AF$7)*OFFSET(ORÇAMENTO!$W$15,ROW(AK117)-ROW(AK$15),0),15-13*ORÇAMENTO!$AF$11)),0)</f>
        <v>0</v>
      </c>
      <c r="AL117" s="545">
        <f ca="1">IF(AND($D117="Serviço",AL$12&lt;&gt;0,$H117&gt;0,OR(AUTOEVENTO&lt;&gt;"manual",$M117&lt;&gt;1)),
IF(Import.TipoArredondamento&lt;&gt;"TransfereGOV",
ROUND(OFFSET($P117,0,AL$13),15-13*ORÇAMENTO!$AF$7)/$H117*OFFSET(ORÇAMENTO!$X$15,ROW(AL117)-ROW(AL$15),0),
ROUND(ROUND(OFFSET($P117,0,AL$13),15-13*ORÇAMENTO!$AF$7)*OFFSET(ORÇAMENTO!$W$15,ROW(AL117)-ROW(AL$15),0),15-13*ORÇAMENTO!$AF$11)),0)</f>
        <v>0</v>
      </c>
      <c r="AM117" s="545">
        <f ca="1">IF(AND($D117="Serviço",AM$12&lt;&gt;0,$H117&gt;0,OR(AUTOEVENTO&lt;&gt;"manual",$M117&lt;&gt;1)),
IF(Import.TipoArredondamento&lt;&gt;"TransfereGOV",
ROUND(OFFSET($P117,0,AM$13),15-13*ORÇAMENTO!$AF$7)/$H117*OFFSET(ORÇAMENTO!$X$15,ROW(AM117)-ROW(AM$15),0),
ROUND(ROUND(OFFSET($P117,0,AM$13),15-13*ORÇAMENTO!$AF$7)*OFFSET(ORÇAMENTO!$W$15,ROW(AM117)-ROW(AM$15),0),15-13*ORÇAMENTO!$AF$11)),0)</f>
        <v>0</v>
      </c>
      <c r="AN117" s="545">
        <f ca="1">IF(AND($D117="Serviço",AN$12&lt;&gt;0,$H117&gt;0,OR(AUTOEVENTO&lt;&gt;"manual",$M117&lt;&gt;1)),
IF(Import.TipoArredondamento&lt;&gt;"TransfereGOV",
ROUND(OFFSET($P117,0,AN$13),15-13*ORÇAMENTO!$AF$7)/$H117*OFFSET(ORÇAMENTO!$X$15,ROW(AN117)-ROW(AN$15),0),
ROUND(ROUND(OFFSET($P117,0,AN$13),15-13*ORÇAMENTO!$AF$7)*OFFSET(ORÇAMENTO!$W$15,ROW(AN117)-ROW(AN$15),0),15-13*ORÇAMENTO!$AF$11)),0)</f>
        <v>0</v>
      </c>
      <c r="AO117" s="545">
        <f ca="1">IF(AND($D117="Serviço",AO$12&lt;&gt;0,$H117&gt;0,OR(AUTOEVENTO&lt;&gt;"manual",$M117&lt;&gt;1)),
IF(Import.TipoArredondamento&lt;&gt;"TransfereGOV",
ROUND(OFFSET($P117,0,AO$13),15-13*ORÇAMENTO!$AF$7)/$H117*OFFSET(ORÇAMENTO!$X$15,ROW(AO117)-ROW(AO$15),0),
ROUND(ROUND(OFFSET($P117,0,AO$13),15-13*ORÇAMENTO!$AF$7)*OFFSET(ORÇAMENTO!$W$15,ROW(AO117)-ROW(AO$15),0),15-13*ORÇAMENTO!$AF$11)),0)</f>
        <v>0</v>
      </c>
      <c r="AP117" s="545">
        <f ca="1">IF(AND($D117="Serviço",AP$12&lt;&gt;0,$H117&gt;0,OR(AUTOEVENTO&lt;&gt;"manual",$M117&lt;&gt;1)),
IF(Import.TipoArredondamento&lt;&gt;"TransfereGOV",
ROUND(OFFSET($P117,0,AP$13),15-13*ORÇAMENTO!$AF$7)/$H117*OFFSET(ORÇAMENTO!$X$15,ROW(AP117)-ROW(AP$15),0),
ROUND(ROUND(OFFSET($P117,0,AP$13),15-13*ORÇAMENTO!$AF$7)*OFFSET(ORÇAMENTO!$W$15,ROW(AP117)-ROW(AP$15),0),15-13*ORÇAMENTO!$AF$11)),0)</f>
        <v>0</v>
      </c>
      <c r="AQ117" s="545">
        <f ca="1">IF(AND($D117="Serviço",AQ$12&lt;&gt;0,$H117&gt;0,OR(AUTOEVENTO&lt;&gt;"manual",$M117&lt;&gt;1)),
IF(Import.TipoArredondamento&lt;&gt;"TransfereGOV",
ROUND(OFFSET($P117,0,AQ$13),15-13*ORÇAMENTO!$AF$7)/$H117*OFFSET(ORÇAMENTO!$X$15,ROW(AQ117)-ROW(AQ$15),0),
ROUND(ROUND(OFFSET($P117,0,AQ$13),15-13*ORÇAMENTO!$AF$7)*OFFSET(ORÇAMENTO!$W$15,ROW(AQ117)-ROW(AQ$15),0),15-13*ORÇAMENTO!$AF$11)),0)</f>
        <v>0</v>
      </c>
      <c r="AR117" s="545">
        <f ca="1">IF(AND($D117="Serviço",AR$12&lt;&gt;0,$H117&gt;0,OR(AUTOEVENTO&lt;&gt;"manual",$M117&lt;&gt;1)),
IF(Import.TipoArredondamento&lt;&gt;"TransfereGOV",
ROUND(OFFSET($P117,0,AR$13),15-13*ORÇAMENTO!$AF$7)/$H117*OFFSET(ORÇAMENTO!$X$15,ROW(AR117)-ROW(AR$15),0),
ROUND(ROUND(OFFSET($P117,0,AR$13),15-13*ORÇAMENTO!$AF$7)*OFFSET(ORÇAMENTO!$W$15,ROW(AR117)-ROW(AR$15),0),15-13*ORÇAMENTO!$AF$11)),0)</f>
        <v>0</v>
      </c>
      <c r="AS117" s="546">
        <f ca="1">IF(AND($D117="Serviço",AS$12&lt;&gt;0,$H117&gt;0,OR(AUTOEVENTO&lt;&gt;"manual",$M117&lt;&gt;1)),
IF(Import.TipoArredondamento&lt;&gt;"TransfereGOV",
ROUND(OFFSET($P117,0,AS$13),15-13*ORÇAMENTO!$AF$7)/$H117*OFFSET(ORÇAMENTO!$X$15,ROW(AS117)-ROW(AS$15),0),
ROUND(ROUND(OFFSET($P117,0,AS$13),15-13*ORÇAMENTO!$AF$7)*OFFSET(ORÇAMENTO!$W$15,ROW(AS117)-ROW(AS$15),0),15-13*ORÇAMENTO!$AF$11)),0)</f>
        <v>0</v>
      </c>
      <c r="AT117" s="545">
        <f ca="1">IF(AND($D117="Serviço",AT$12&lt;&gt;0,$H117&gt;0,OR(AUTOEVENTO&lt;&gt;"manual",$M117&lt;&gt;1)),
IF(Import.TipoArredondamento&lt;&gt;"TransfereGOV",
ROUND(OFFSET($P117,0,AT$13),15-13*ORÇAMENTO!$AF$7)/$H117*OFFSET(ORÇAMENTO!$X$15,ROW(AT117)-ROW(AT$15),0),
ROUND(ROUND(OFFSET($P117,0,AT$13),15-13*ORÇAMENTO!$AF$7)*OFFSET(ORÇAMENTO!$W$15,ROW(AT117)-ROW(AT$15),0),15-13*ORÇAMENTO!$AF$11)),0)</f>
        <v>0</v>
      </c>
      <c r="AU117" s="545">
        <f ca="1">IF(AND($D117="Serviço",AU$12&lt;&gt;0,$H117&gt;0,OR(AUTOEVENTO&lt;&gt;"manual",$M117&lt;&gt;1)),
IF(Import.TipoArredondamento&lt;&gt;"TransfereGOV",
ROUND(OFFSET($P117,0,AU$13),15-13*ORÇAMENTO!$AF$7)/$H117*OFFSET(ORÇAMENTO!$X$15,ROW(AU117)-ROW(AU$15),0),
ROUND(ROUND(OFFSET($P117,0,AU$13),15-13*ORÇAMENTO!$AF$7)*OFFSET(ORÇAMENTO!$W$15,ROW(AU117)-ROW(AU$15),0),15-13*ORÇAMENTO!$AF$11)),0)</f>
        <v>0</v>
      </c>
      <c r="AV117" s="545">
        <f ca="1">IF(AND($D117="Serviço",AV$12&lt;&gt;0,$H117&gt;0,OR(AUTOEVENTO&lt;&gt;"manual",$M117&lt;&gt;1)),
IF(Import.TipoArredondamento&lt;&gt;"TransfereGOV",
ROUND(OFFSET($P117,0,AV$13),15-13*ORÇAMENTO!$AF$7)/$H117*OFFSET(ORÇAMENTO!$X$15,ROW(AV117)-ROW(AV$15),0),
ROUND(ROUND(OFFSET($P117,0,AV$13),15-13*ORÇAMENTO!$AF$7)*OFFSET(ORÇAMENTO!$W$15,ROW(AV117)-ROW(AV$15),0),15-13*ORÇAMENTO!$AF$11)),0)</f>
        <v>0</v>
      </c>
      <c r="AW117" s="545">
        <f ca="1">IF(AND($D117="Serviço",AW$12&lt;&gt;0,$H117&gt;0,OR(AUTOEVENTO&lt;&gt;"manual",$M117&lt;&gt;1)),
IF(Import.TipoArredondamento&lt;&gt;"TransfereGOV",
ROUND(OFFSET($P117,0,AW$13),15-13*ORÇAMENTO!$AF$7)/$H117*OFFSET(ORÇAMENTO!$X$15,ROW(AW117)-ROW(AW$15),0),
ROUND(ROUND(OFFSET($P117,0,AW$13),15-13*ORÇAMENTO!$AF$7)*OFFSET(ORÇAMENTO!$W$15,ROW(AW117)-ROW(AW$15),0),15-13*ORÇAMENTO!$AF$11)),0)</f>
        <v>0</v>
      </c>
      <c r="AX117" s="545">
        <f ca="1">IF(AND($D117="Serviço",AX$12&lt;&gt;0,$H117&gt;0,OR(AUTOEVENTO&lt;&gt;"manual",$M117&lt;&gt;1)),
IF(Import.TipoArredondamento&lt;&gt;"TransfereGOV",
ROUND(OFFSET($P117,0,AX$13),15-13*ORÇAMENTO!$AF$7)/$H117*OFFSET(ORÇAMENTO!$X$15,ROW(AX117)-ROW(AX$15),0),
ROUND(ROUND(OFFSET($P117,0,AX$13),15-13*ORÇAMENTO!$AF$7)*OFFSET(ORÇAMENTO!$W$15,ROW(AX117)-ROW(AX$15),0),15-13*ORÇAMENTO!$AF$11)),0)</f>
        <v>0</v>
      </c>
      <c r="AY117" s="545">
        <f ca="1">IF(AND($D117="Serviço",AY$12&lt;&gt;0,$H117&gt;0,OR(AUTOEVENTO&lt;&gt;"manual",$M117&lt;&gt;1)),
IF(Import.TipoArredondamento&lt;&gt;"TransfereGOV",
ROUND(OFFSET($P117,0,AY$13),15-13*ORÇAMENTO!$AF$7)/$H117*OFFSET(ORÇAMENTO!$X$15,ROW(AY117)-ROW(AY$15),0),
ROUND(ROUND(OFFSET($P117,0,AY$13),15-13*ORÇAMENTO!$AF$7)*OFFSET(ORÇAMENTO!$W$15,ROW(AY117)-ROW(AY$15),0),15-13*ORÇAMENTO!$AF$11)),0)</f>
        <v>0</v>
      </c>
      <c r="AZ117" s="545">
        <f ca="1">IF(AND($D117="Serviço",AZ$12&lt;&gt;0,$H117&gt;0,OR(AUTOEVENTO&lt;&gt;"manual",$M117&lt;&gt;1)),
IF(Import.TipoArredondamento&lt;&gt;"TransfereGOV",
ROUND(OFFSET($P117,0,AZ$13),15-13*ORÇAMENTO!$AF$7)/$H117*OFFSET(ORÇAMENTO!$X$15,ROW(AZ117)-ROW(AZ$15),0),
ROUND(ROUND(OFFSET($P117,0,AZ$13),15-13*ORÇAMENTO!$AF$7)*OFFSET(ORÇAMENTO!$W$15,ROW(AZ117)-ROW(AZ$15),0),15-13*ORÇAMENTO!$AF$11)),0)</f>
        <v>0</v>
      </c>
      <c r="BA117" s="546">
        <f ca="1">IF(AND($D117="Serviço",BA$12&lt;&gt;0,$H117&gt;0,OR(AUTOEVENTO&lt;&gt;"manual",$M117&lt;&gt;1)),
IF(Import.TipoArredondamento&lt;&gt;"TransfereGOV",
ROUND(OFFSET($P117,0,BA$13),15-13*ORÇAMENTO!$AF$7)/$H117*OFFSET(ORÇAMENTO!$X$15,ROW(BA117)-ROW(BA$15),0),
ROUND(ROUND(OFFSET($P117,0,BA$13),15-13*ORÇAMENTO!$AF$7)*OFFSET(ORÇAMENTO!$W$15,ROW(BA117)-ROW(BA$15),0),15-13*ORÇAMENTO!$AF$11)),0)</f>
        <v>0</v>
      </c>
      <c r="BC117" s="181">
        <f ca="1">IF($D117&lt;&gt;"Serviço",0,IF(AND(AUTOEVENTO="Manual",$M117=1),0,IF(OFFSET(CRONOPLE!$F$14,$M117,BC$13)="",10^12,OFFSET(CRONOPLE!$F$14,$M117,BC$13))))</f>
        <v>5</v>
      </c>
      <c r="BD117" s="181">
        <f ca="1">IF($D117&lt;&gt;"Serviço",0,IF(AND(AUTOEVENTO="Manual",$M117=1),0,IF(OFFSET(CRONOPLE!$F$14,$M117,BD$13)="",10^12,OFFSET(CRONOPLE!$F$14,$M117,BD$13))))</f>
        <v>1000000000000</v>
      </c>
      <c r="BE117" s="181">
        <f ca="1">IF($D117&lt;&gt;"Serviço",0,IF(AND(AUTOEVENTO="Manual",$M117=1),0,IF(OFFSET(CRONOPLE!$F$14,$M117,BE$13)="",10^12,OFFSET(CRONOPLE!$F$14,$M117,BE$13))))</f>
        <v>1000000000000</v>
      </c>
      <c r="BF117" s="181">
        <f ca="1">IF($D117&lt;&gt;"Serviço",0,IF(AND(AUTOEVENTO="Manual",$M117=1),0,IF(OFFSET(CRONOPLE!$F$14,$M117,BF$13)="",10^12,OFFSET(CRONOPLE!$F$14,$M117,BF$13))))</f>
        <v>1000000000000</v>
      </c>
      <c r="BG117" s="181">
        <f ca="1">IF($D117&lt;&gt;"Serviço",0,IF(AND(AUTOEVENTO="Manual",$M117=1),0,IF(OFFSET(CRONOPLE!$F$14,$M117,BG$13)="",10^12,OFFSET(CRONOPLE!$F$14,$M117,BG$13))))</f>
        <v>1000000000000</v>
      </c>
      <c r="BH117" s="181">
        <f ca="1">IF($D117&lt;&gt;"Serviço",0,IF(AND(AUTOEVENTO="Manual",$M117=1),0,IF(OFFSET(CRONOPLE!$F$14,$M117,BH$13)="",10^12,OFFSET(CRONOPLE!$F$14,$M117,BH$13))))</f>
        <v>1000000000000</v>
      </c>
      <c r="BI117" s="181">
        <f ca="1">IF($D117&lt;&gt;"Serviço",0,IF(AND(AUTOEVENTO="Manual",$M117=1),0,IF(OFFSET(CRONOPLE!$F$14,$M117,BI$13)="",10^12,OFFSET(CRONOPLE!$F$14,$M117,BI$13))))</f>
        <v>1000000000000</v>
      </c>
      <c r="BJ117" s="181">
        <f ca="1">IF($D117&lt;&gt;"Serviço",0,IF(AND(AUTOEVENTO="Manual",$M117=1),0,IF(OFFSET(CRONOPLE!$F$14,$M117,BJ$13)="",10^12,OFFSET(CRONOPLE!$F$14,$M117,BJ$13))))</f>
        <v>1000000000000</v>
      </c>
      <c r="BK117" s="181">
        <f ca="1">IF($D117&lt;&gt;"Serviço",0,IF(AND(AUTOEVENTO="Manual",$M117=1),0,IF(OFFSET(CRONOPLE!$F$14,$M117,BK$13)="",10^12,OFFSET(CRONOPLE!$F$14,$M117,BK$13))))</f>
        <v>1000000000000</v>
      </c>
      <c r="BL117" s="181">
        <f ca="1">IF($D117&lt;&gt;"Serviço",0,IF(AND(AUTOEVENTO="Manual",$M117=1),0,IF(OFFSET(CRONOPLE!$F$14,$M117,BL$13)="",10^12,OFFSET(CRONOPLE!$F$14,$M117,BL$13))))</f>
        <v>1000000000000</v>
      </c>
      <c r="BM117" s="181">
        <f ca="1">IF($D117&lt;&gt;"Serviço",0,IF(AND(AUTOEVENTO="Manual",$M117=1),0,IF(OFFSET(CRONOPLE!$F$14,$M117,BM$13)="",10^12,OFFSET(CRONOPLE!$F$14,$M117,BM$13))))</f>
        <v>1000000000000</v>
      </c>
      <c r="BN117" s="181">
        <f ca="1">IF($D117&lt;&gt;"Serviço",0,IF(AND(AUTOEVENTO="Manual",$M117=1),0,IF(OFFSET(CRONOPLE!$F$14,$M117,BN$13)="",10^12,OFFSET(CRONOPLE!$F$14,$M117,BN$13))))</f>
        <v>1000000000000</v>
      </c>
      <c r="BO117" s="181">
        <f ca="1">IF($D117&lt;&gt;"Serviço",0,IF(AND(AUTOEVENTO="Manual",$M117=1),0,IF(OFFSET(CRONOPLE!$F$14,$M117,BO$13)="",10^12,OFFSET(CRONOPLE!$F$14,$M117,BO$13))))</f>
        <v>1000000000000</v>
      </c>
      <c r="BP117" s="181">
        <f ca="1">IF($D117&lt;&gt;"Serviço",0,IF(AND(AUTOEVENTO="Manual",$M117=1),0,IF(OFFSET(CRONOPLE!$F$14,$M117,BP$13)="",10^12,OFFSET(CRONOPLE!$F$14,$M117,BP$13))))</f>
        <v>1000000000000</v>
      </c>
      <c r="BQ117" s="181">
        <f ca="1">IF($D117&lt;&gt;"Serviço",0,IF(AND(AUTOEVENTO="Manual",$M117=1),0,IF(OFFSET(CRONOPLE!$F$14,$M117,BQ$13)="",10^12,OFFSET(CRONOPLE!$F$14,$M117,BQ$13))))</f>
        <v>1000000000000</v>
      </c>
      <c r="BR117" s="181">
        <f ca="1">IF($D117&lt;&gt;"Serviço",0,IF(AND(AUTOEVENTO="Manual",$M117=1),0,IF(OFFSET(CRONOPLE!$F$14,$M117,BR$13)="",10^12,OFFSET(CRONOPLE!$F$14,$M117,BR$13))))</f>
        <v>1000000000000</v>
      </c>
      <c r="BS117" s="181">
        <f ca="1">IF($D117&lt;&gt;"Serviço",0,IF(AND(AUTOEVENTO="Manual",$M117=1),0,IF(OFFSET(CRONOPLE!$F$14,$M117,BS$13)="",10^12,OFFSET(CRONOPLE!$F$14,$M117,BS$13))))</f>
        <v>1000000000000</v>
      </c>
      <c r="BT117" s="181">
        <f ca="1">IF($D117&lt;&gt;"Serviço",0,IF(AND(AUTOEVENTO="Manual",$M117=1),0,IF(OFFSET(CRONOPLE!$F$14,$M117,BT$13)="",10^12,OFFSET(CRONOPLE!$F$14,$M117,BT$13))))</f>
        <v>1000000000000</v>
      </c>
      <c r="BV117" s="182">
        <f ca="1">IF($D117&lt;&gt;"Serviço",0,IF(OR(AND(AUTOEVENTO="Manual",$M117=1),$M117&gt;(ROW(PLE.lastrow)-ROW(PLE.firstrow))),0,IF(OFFSET(PLE!$G$14,$M117,BV$13)="",10^12,OFFSET(PLE!$G$14,$M117,BV$13))))</f>
        <v>1000000000000</v>
      </c>
      <c r="BW117" s="182">
        <f ca="1">IF($D117&lt;&gt;"Serviço",0,IF(OR(AND(AUTOEVENTO="Manual",$M117=1),$M117&gt;(ROW(PLE.lastrow)-ROW(PLE.firstrow))),0,IF(OFFSET(PLE!$G$14,$M117,BW$13)="",10^12,OFFSET(PLE!$G$14,$M117,BW$13))))</f>
        <v>1000000000000</v>
      </c>
      <c r="BX117" s="182">
        <f ca="1">IF($D117&lt;&gt;"Serviço",0,IF(OR(AND(AUTOEVENTO="Manual",$M117=1),$M117&gt;(ROW(PLE.lastrow)-ROW(PLE.firstrow))),0,IF(OFFSET(PLE!$G$14,$M117,BX$13)="",10^12,OFFSET(PLE!$G$14,$M117,BX$13))))</f>
        <v>1000000000000</v>
      </c>
      <c r="BY117" s="182">
        <f ca="1">IF($D117&lt;&gt;"Serviço",0,IF(OR(AND(AUTOEVENTO="Manual",$M117=1),$M117&gt;(ROW(PLE.lastrow)-ROW(PLE.firstrow))),0,IF(OFFSET(PLE!$G$14,$M117,BY$13)="",10^12,OFFSET(PLE!$G$14,$M117,BY$13))))</f>
        <v>1000000000000</v>
      </c>
      <c r="BZ117" s="182">
        <f ca="1">IF($D117&lt;&gt;"Serviço",0,IF(OR(AND(AUTOEVENTO="Manual",$M117=1),$M117&gt;(ROW(PLE.lastrow)-ROW(PLE.firstrow))),0,IF(OFFSET(PLE!$G$14,$M117,BZ$13)="",10^12,OFFSET(PLE!$G$14,$M117,BZ$13))))</f>
        <v>1000000000000</v>
      </c>
      <c r="CA117" s="182">
        <f ca="1">IF($D117&lt;&gt;"Serviço",0,IF(OR(AND(AUTOEVENTO="Manual",$M117=1),$M117&gt;(ROW(PLE.lastrow)-ROW(PLE.firstrow))),0,IF(OFFSET(PLE!$G$14,$M117,CA$13)="",10^12,OFFSET(PLE!$G$14,$M117,CA$13))))</f>
        <v>1000000000000</v>
      </c>
      <c r="CB117" s="182">
        <f ca="1">IF($D117&lt;&gt;"Serviço",0,IF(OR(AND(AUTOEVENTO="Manual",$M117=1),$M117&gt;(ROW(PLE.lastrow)-ROW(PLE.firstrow))),0,IF(OFFSET(PLE!$G$14,$M117,CB$13)="",10^12,OFFSET(PLE!$G$14,$M117,CB$13))))</f>
        <v>1000000000000</v>
      </c>
      <c r="CC117" s="182">
        <f ca="1">IF($D117&lt;&gt;"Serviço",0,IF(OR(AND(AUTOEVENTO="Manual",$M117=1),$M117&gt;(ROW(PLE.lastrow)-ROW(PLE.firstrow))),0,IF(OFFSET(PLE!$G$14,$M117,CC$13)="",10^12,OFFSET(PLE!$G$14,$M117,CC$13))))</f>
        <v>1000000000000</v>
      </c>
      <c r="CD117" s="182">
        <f ca="1">IF($D117&lt;&gt;"Serviço",0,IF(OR(AND(AUTOEVENTO="Manual",$M117=1),$M117&gt;(ROW(PLE.lastrow)-ROW(PLE.firstrow))),0,IF(OFFSET(PLE!$G$14,$M117,CD$13)="",10^12,OFFSET(PLE!$G$14,$M117,CD$13))))</f>
        <v>1000000000000</v>
      </c>
      <c r="CE117" s="182">
        <f ca="1">IF($D117&lt;&gt;"Serviço",0,IF(OR(AND(AUTOEVENTO="Manual",$M117=1),$M117&gt;(ROW(PLE.lastrow)-ROW(PLE.firstrow))),0,IF(OFFSET(PLE!$G$14,$M117,CE$13)="",10^12,OFFSET(PLE!$G$14,$M117,CE$13))))</f>
        <v>1000000000000</v>
      </c>
      <c r="CF117" s="182">
        <f ca="1">IF($D117&lt;&gt;"Serviço",0,IF(OR(AND(AUTOEVENTO="Manual",$M117=1),$M117&gt;(ROW(PLE.lastrow)-ROW(PLE.firstrow))),0,IF(OFFSET(PLE!$G$14,$M117,CF$13)="",10^12,OFFSET(PLE!$G$14,$M117,CF$13))))</f>
        <v>1000000000000</v>
      </c>
      <c r="CG117" s="182">
        <f ca="1">IF($D117&lt;&gt;"Serviço",0,IF(OR(AND(AUTOEVENTO="Manual",$M117=1),$M117&gt;(ROW(PLE.lastrow)-ROW(PLE.firstrow))),0,IF(OFFSET(PLE!$G$14,$M117,CG$13)="",10^12,OFFSET(PLE!$G$14,$M117,CG$13))))</f>
        <v>1000000000000</v>
      </c>
      <c r="CH117" s="182">
        <f ca="1">IF($D117&lt;&gt;"Serviço",0,IF(OR(AND(AUTOEVENTO="Manual",$M117=1),$M117&gt;(ROW(PLE.lastrow)-ROW(PLE.firstrow))),0,IF(OFFSET(PLE!$G$14,$M117,CH$13)="",10^12,OFFSET(PLE!$G$14,$M117,CH$13))))</f>
        <v>1000000000000</v>
      </c>
      <c r="CI117" s="182">
        <f ca="1">IF($D117&lt;&gt;"Serviço",0,IF(OR(AND(AUTOEVENTO="Manual",$M117=1),$M117&gt;(ROW(PLE.lastrow)-ROW(PLE.firstrow))),0,IF(OFFSET(PLE!$G$14,$M117,CI$13)="",10^12,OFFSET(PLE!$G$14,$M117,CI$13))))</f>
        <v>1000000000000</v>
      </c>
      <c r="CJ117" s="182">
        <f ca="1">IF($D117&lt;&gt;"Serviço",0,IF(OR(AND(AUTOEVENTO="Manual",$M117=1),$M117&gt;(ROW(PLE.lastrow)-ROW(PLE.firstrow))),0,IF(OFFSET(PLE!$G$14,$M117,CJ$13)="",10^12,OFFSET(PLE!$G$14,$M117,CJ$13))))</f>
        <v>1000000000000</v>
      </c>
      <c r="CK117" s="182">
        <f ca="1">IF($D117&lt;&gt;"Serviço",0,IF(OR(AND(AUTOEVENTO="Manual",$M117=1),$M117&gt;(ROW(PLE.lastrow)-ROW(PLE.firstrow))),0,IF(OFFSET(PLE!$G$14,$M117,CK$13)="",10^12,OFFSET(PLE!$G$14,$M117,CK$13))))</f>
        <v>1000000000000</v>
      </c>
      <c r="CL117" s="182">
        <f ca="1">IF($D117&lt;&gt;"Serviço",0,IF(OR(AND(AUTOEVENTO="Manual",$M117=1),$M117&gt;(ROW(PLE.lastrow)-ROW(PLE.firstrow))),0,IF(OFFSET(PLE!$G$14,$M117,CL$13)="",10^12,OFFSET(PLE!$G$14,$M117,CL$13))))</f>
        <v>1000000000000</v>
      </c>
      <c r="CM117" s="182">
        <f ca="1">IF($D117&lt;&gt;"Serviço",0,IF(OR(AND(AUTOEVENTO="Manual",$M117=1),$M117&gt;(ROW(PLE.lastrow)-ROW(PLE.firstrow))),0,IF(OFFSET(PLE!$G$14,$M117,CM$13)="",10^12,OFFSET(PLE!$G$14,$M117,CM$13))))</f>
        <v>1000000000000</v>
      </c>
    </row>
    <row r="118" spans="1:91" ht="63.75" x14ac:dyDescent="0.2">
      <c r="A118" s="7" t="str">
        <f t="shared" ref="A118:A175" ca="1" si="11">IF(AUTOEVENTO="Manual",IF(K118&lt;&gt;"",MIN(VALUE(LEFT(K118,FIND(".",K118)-1)),COUNTA(EVENTOS.Lista)),0),IF(OR($B118&gt;AUTOEVENTO,$B118="S",$B118=0),SUBSTITUTE(OFFSET($A118,-1,0),IF($D118="Serviço",".",""),""),ROW(A118)-ROW($A$15)&amp;"."))</f>
        <v>99</v>
      </c>
      <c r="B118" s="7" t="str">
        <f ca="1">OFFSET(ORÇAMENTO!C$15,ROW(B118)-ROW(B$15),0)</f>
        <v>S</v>
      </c>
      <c r="C118" s="7" t="str">
        <f ca="1">OFFSET(ORÇAMENTO!L$15,ROW(C118)-ROW(C$15),0)</f>
        <v/>
      </c>
      <c r="D118" s="118" t="str">
        <f ca="1">OFFSET(ORÇAMENTO!N$15,ROW(D118)-ROW(D$15),0)</f>
        <v>Serviço</v>
      </c>
      <c r="E118" s="119" t="str">
        <f ca="1">OFFSET(ORÇAMENTO!O$15,ROW(E118)-ROW(E$15),0)</f>
        <v>-</v>
      </c>
      <c r="F118" s="172" t="str">
        <f ca="1">OFFSET(ORÇAMENTO!R$15,ROW(F118)-ROW(F$15),0)</f>
        <v>(abra o arquivo 'Referência 06-2024.xlsm)</v>
      </c>
      <c r="G118" s="173" t="str">
        <f ca="1">IF($D118&lt;&gt;"Serviço","",OFFSET(ORÇAMENTO!S$15,ROW(G118)-ROW(G$15),0))</f>
        <v>-</v>
      </c>
      <c r="H118" s="124">
        <f ca="1">IF($D118&lt;&gt;"Serviço",0,IF(ACOMPANHAMENTO="BM",ROUND(OFFSET(ORÇAMENTO!AJ$15,ROW(H118)-ROW(H$15),0),15-13*ORÇAMENTO!$AF$7),SUMPRODUCT(($Q$12:$AI$12&lt;&gt;"")*ROUND($Q118:$AI118,15-13*ORÇAMENTO!$AF$7))))</f>
        <v>10</v>
      </c>
      <c r="I118" s="561" t="s">
        <v>1107</v>
      </c>
      <c r="K118" s="174"/>
      <c r="L118" s="175" t="s">
        <v>255</v>
      </c>
      <c r="M118" s="176">
        <f ca="1">IF($D118&lt;&gt;"Serviço","",IF(AUTOEVENTO="manual",$A118,IF(ISERROR(MATCH($A118,$A$15:OFFSET($A118,-1,0),0)),MAX($M$15:OFFSET(M118,-1,0))+1,INDEX($M$15:OFFSET(M118,-1,0),MATCH($A118,$A$15:OFFSET($A118,-1,0),0)))))</f>
        <v>19</v>
      </c>
      <c r="N118" s="177" t="str">
        <f ca="1">IF($D118&lt;&gt;"Serviço","",IF(AUTOEVENTO="Manual",IF($A118=0,"&lt;-- defina o número do agrupador",OFFSET(EVENTOS!$D$14,$A118,0)),OFFSET($F$15,$A118,0)))</f>
        <v>ESQUADRIAS - PORTAS DE MADEIRA</v>
      </c>
      <c r="O118" s="178"/>
      <c r="Q118" s="178">
        <v>10</v>
      </c>
      <c r="R118" s="179"/>
      <c r="S118" s="179"/>
      <c r="T118" s="179"/>
      <c r="U118" s="179"/>
      <c r="V118" s="179"/>
      <c r="W118" s="179"/>
      <c r="X118" s="179"/>
      <c r="Y118" s="179"/>
      <c r="Z118" s="180"/>
      <c r="AA118" s="179"/>
      <c r="AB118" s="179"/>
      <c r="AC118" s="179"/>
      <c r="AD118" s="179"/>
      <c r="AE118" s="179"/>
      <c r="AF118" s="179"/>
      <c r="AG118" s="179"/>
      <c r="AH118" s="180"/>
      <c r="AJ118" s="544">
        <f ca="1">IF(AND($D118="Serviço",AJ$12&lt;&gt;0,$H118&gt;0,OR(AUTOEVENTO&lt;&gt;"manual",$M118&lt;&gt;1)),
IF(Import.TipoArredondamento&lt;&gt;"TransfereGOV",
ROUND(OFFSET($P118,0,AJ$13),15-13*ORÇAMENTO!$AF$7)/$H118*OFFSET(ORÇAMENTO!$X$15,ROW(AJ118)-ROW(AJ$15),0),
ROUND(ROUND(OFFSET($P118,0,AJ$13),15-13*ORÇAMENTO!$AF$7)*OFFSET(ORÇAMENTO!$W$15,ROW(AJ118)-ROW(AJ$15),0),15-13*ORÇAMENTO!$AF$11)),0)</f>
        <v>0</v>
      </c>
      <c r="AK118" s="545">
        <f ca="1">IF(AND($D118="Serviço",AK$12&lt;&gt;0,$H118&gt;0,OR(AUTOEVENTO&lt;&gt;"manual",$M118&lt;&gt;1)),
IF(Import.TipoArredondamento&lt;&gt;"TransfereGOV",
ROUND(OFFSET($P118,0,AK$13),15-13*ORÇAMENTO!$AF$7)/$H118*OFFSET(ORÇAMENTO!$X$15,ROW(AK118)-ROW(AK$15),0),
ROUND(ROUND(OFFSET($P118,0,AK$13),15-13*ORÇAMENTO!$AF$7)*OFFSET(ORÇAMENTO!$W$15,ROW(AK118)-ROW(AK$15),0),15-13*ORÇAMENTO!$AF$11)),0)</f>
        <v>0</v>
      </c>
      <c r="AL118" s="545">
        <f ca="1">IF(AND($D118="Serviço",AL$12&lt;&gt;0,$H118&gt;0,OR(AUTOEVENTO&lt;&gt;"manual",$M118&lt;&gt;1)),
IF(Import.TipoArredondamento&lt;&gt;"TransfereGOV",
ROUND(OFFSET($P118,0,AL$13),15-13*ORÇAMENTO!$AF$7)/$H118*OFFSET(ORÇAMENTO!$X$15,ROW(AL118)-ROW(AL$15),0),
ROUND(ROUND(OFFSET($P118,0,AL$13),15-13*ORÇAMENTO!$AF$7)*OFFSET(ORÇAMENTO!$W$15,ROW(AL118)-ROW(AL$15),0),15-13*ORÇAMENTO!$AF$11)),0)</f>
        <v>0</v>
      </c>
      <c r="AM118" s="545">
        <f ca="1">IF(AND($D118="Serviço",AM$12&lt;&gt;0,$H118&gt;0,OR(AUTOEVENTO&lt;&gt;"manual",$M118&lt;&gt;1)),
IF(Import.TipoArredondamento&lt;&gt;"TransfereGOV",
ROUND(OFFSET($P118,0,AM$13),15-13*ORÇAMENTO!$AF$7)/$H118*OFFSET(ORÇAMENTO!$X$15,ROW(AM118)-ROW(AM$15),0),
ROUND(ROUND(OFFSET($P118,0,AM$13),15-13*ORÇAMENTO!$AF$7)*OFFSET(ORÇAMENTO!$W$15,ROW(AM118)-ROW(AM$15),0),15-13*ORÇAMENTO!$AF$11)),0)</f>
        <v>0</v>
      </c>
      <c r="AN118" s="545">
        <f ca="1">IF(AND($D118="Serviço",AN$12&lt;&gt;0,$H118&gt;0,OR(AUTOEVENTO&lt;&gt;"manual",$M118&lt;&gt;1)),
IF(Import.TipoArredondamento&lt;&gt;"TransfereGOV",
ROUND(OFFSET($P118,0,AN$13),15-13*ORÇAMENTO!$AF$7)/$H118*OFFSET(ORÇAMENTO!$X$15,ROW(AN118)-ROW(AN$15),0),
ROUND(ROUND(OFFSET($P118,0,AN$13),15-13*ORÇAMENTO!$AF$7)*OFFSET(ORÇAMENTO!$W$15,ROW(AN118)-ROW(AN$15),0),15-13*ORÇAMENTO!$AF$11)),0)</f>
        <v>0</v>
      </c>
      <c r="AO118" s="545">
        <f ca="1">IF(AND($D118="Serviço",AO$12&lt;&gt;0,$H118&gt;0,OR(AUTOEVENTO&lt;&gt;"manual",$M118&lt;&gt;1)),
IF(Import.TipoArredondamento&lt;&gt;"TransfereGOV",
ROUND(OFFSET($P118,0,AO$13),15-13*ORÇAMENTO!$AF$7)/$H118*OFFSET(ORÇAMENTO!$X$15,ROW(AO118)-ROW(AO$15),0),
ROUND(ROUND(OFFSET($P118,0,AO$13),15-13*ORÇAMENTO!$AF$7)*OFFSET(ORÇAMENTO!$W$15,ROW(AO118)-ROW(AO$15),0),15-13*ORÇAMENTO!$AF$11)),0)</f>
        <v>0</v>
      </c>
      <c r="AP118" s="545">
        <f ca="1">IF(AND($D118="Serviço",AP$12&lt;&gt;0,$H118&gt;0,OR(AUTOEVENTO&lt;&gt;"manual",$M118&lt;&gt;1)),
IF(Import.TipoArredondamento&lt;&gt;"TransfereGOV",
ROUND(OFFSET($P118,0,AP$13),15-13*ORÇAMENTO!$AF$7)/$H118*OFFSET(ORÇAMENTO!$X$15,ROW(AP118)-ROW(AP$15),0),
ROUND(ROUND(OFFSET($P118,0,AP$13),15-13*ORÇAMENTO!$AF$7)*OFFSET(ORÇAMENTO!$W$15,ROW(AP118)-ROW(AP$15),0),15-13*ORÇAMENTO!$AF$11)),0)</f>
        <v>0</v>
      </c>
      <c r="AQ118" s="545">
        <f ca="1">IF(AND($D118="Serviço",AQ$12&lt;&gt;0,$H118&gt;0,OR(AUTOEVENTO&lt;&gt;"manual",$M118&lt;&gt;1)),
IF(Import.TipoArredondamento&lt;&gt;"TransfereGOV",
ROUND(OFFSET($P118,0,AQ$13),15-13*ORÇAMENTO!$AF$7)/$H118*OFFSET(ORÇAMENTO!$X$15,ROW(AQ118)-ROW(AQ$15),0),
ROUND(ROUND(OFFSET($P118,0,AQ$13),15-13*ORÇAMENTO!$AF$7)*OFFSET(ORÇAMENTO!$W$15,ROW(AQ118)-ROW(AQ$15),0),15-13*ORÇAMENTO!$AF$11)),0)</f>
        <v>0</v>
      </c>
      <c r="AR118" s="545">
        <f ca="1">IF(AND($D118="Serviço",AR$12&lt;&gt;0,$H118&gt;0,OR(AUTOEVENTO&lt;&gt;"manual",$M118&lt;&gt;1)),
IF(Import.TipoArredondamento&lt;&gt;"TransfereGOV",
ROUND(OFFSET($P118,0,AR$13),15-13*ORÇAMENTO!$AF$7)/$H118*OFFSET(ORÇAMENTO!$X$15,ROW(AR118)-ROW(AR$15),0),
ROUND(ROUND(OFFSET($P118,0,AR$13),15-13*ORÇAMENTO!$AF$7)*OFFSET(ORÇAMENTO!$W$15,ROW(AR118)-ROW(AR$15),0),15-13*ORÇAMENTO!$AF$11)),0)</f>
        <v>0</v>
      </c>
      <c r="AS118" s="546">
        <f ca="1">IF(AND($D118="Serviço",AS$12&lt;&gt;0,$H118&gt;0,OR(AUTOEVENTO&lt;&gt;"manual",$M118&lt;&gt;1)),
IF(Import.TipoArredondamento&lt;&gt;"TransfereGOV",
ROUND(OFFSET($P118,0,AS$13),15-13*ORÇAMENTO!$AF$7)/$H118*OFFSET(ORÇAMENTO!$X$15,ROW(AS118)-ROW(AS$15),0),
ROUND(ROUND(OFFSET($P118,0,AS$13),15-13*ORÇAMENTO!$AF$7)*OFFSET(ORÇAMENTO!$W$15,ROW(AS118)-ROW(AS$15),0),15-13*ORÇAMENTO!$AF$11)),0)</f>
        <v>0</v>
      </c>
      <c r="AT118" s="545">
        <f ca="1">IF(AND($D118="Serviço",AT$12&lt;&gt;0,$H118&gt;0,OR(AUTOEVENTO&lt;&gt;"manual",$M118&lt;&gt;1)),
IF(Import.TipoArredondamento&lt;&gt;"TransfereGOV",
ROUND(OFFSET($P118,0,AT$13),15-13*ORÇAMENTO!$AF$7)/$H118*OFFSET(ORÇAMENTO!$X$15,ROW(AT118)-ROW(AT$15),0),
ROUND(ROUND(OFFSET($P118,0,AT$13),15-13*ORÇAMENTO!$AF$7)*OFFSET(ORÇAMENTO!$W$15,ROW(AT118)-ROW(AT$15),0),15-13*ORÇAMENTO!$AF$11)),0)</f>
        <v>0</v>
      </c>
      <c r="AU118" s="545">
        <f ca="1">IF(AND($D118="Serviço",AU$12&lt;&gt;0,$H118&gt;0,OR(AUTOEVENTO&lt;&gt;"manual",$M118&lt;&gt;1)),
IF(Import.TipoArredondamento&lt;&gt;"TransfereGOV",
ROUND(OFFSET($P118,0,AU$13),15-13*ORÇAMENTO!$AF$7)/$H118*OFFSET(ORÇAMENTO!$X$15,ROW(AU118)-ROW(AU$15),0),
ROUND(ROUND(OFFSET($P118,0,AU$13),15-13*ORÇAMENTO!$AF$7)*OFFSET(ORÇAMENTO!$W$15,ROW(AU118)-ROW(AU$15),0),15-13*ORÇAMENTO!$AF$11)),0)</f>
        <v>0</v>
      </c>
      <c r="AV118" s="545">
        <f ca="1">IF(AND($D118="Serviço",AV$12&lt;&gt;0,$H118&gt;0,OR(AUTOEVENTO&lt;&gt;"manual",$M118&lt;&gt;1)),
IF(Import.TipoArredondamento&lt;&gt;"TransfereGOV",
ROUND(OFFSET($P118,0,AV$13),15-13*ORÇAMENTO!$AF$7)/$H118*OFFSET(ORÇAMENTO!$X$15,ROW(AV118)-ROW(AV$15),0),
ROUND(ROUND(OFFSET($P118,0,AV$13),15-13*ORÇAMENTO!$AF$7)*OFFSET(ORÇAMENTO!$W$15,ROW(AV118)-ROW(AV$15),0),15-13*ORÇAMENTO!$AF$11)),0)</f>
        <v>0</v>
      </c>
      <c r="AW118" s="545">
        <f ca="1">IF(AND($D118="Serviço",AW$12&lt;&gt;0,$H118&gt;0,OR(AUTOEVENTO&lt;&gt;"manual",$M118&lt;&gt;1)),
IF(Import.TipoArredondamento&lt;&gt;"TransfereGOV",
ROUND(OFFSET($P118,0,AW$13),15-13*ORÇAMENTO!$AF$7)/$H118*OFFSET(ORÇAMENTO!$X$15,ROW(AW118)-ROW(AW$15),0),
ROUND(ROUND(OFFSET($P118,0,AW$13),15-13*ORÇAMENTO!$AF$7)*OFFSET(ORÇAMENTO!$W$15,ROW(AW118)-ROW(AW$15),0),15-13*ORÇAMENTO!$AF$11)),0)</f>
        <v>0</v>
      </c>
      <c r="AX118" s="545">
        <f ca="1">IF(AND($D118="Serviço",AX$12&lt;&gt;0,$H118&gt;0,OR(AUTOEVENTO&lt;&gt;"manual",$M118&lt;&gt;1)),
IF(Import.TipoArredondamento&lt;&gt;"TransfereGOV",
ROUND(OFFSET($P118,0,AX$13),15-13*ORÇAMENTO!$AF$7)/$H118*OFFSET(ORÇAMENTO!$X$15,ROW(AX118)-ROW(AX$15),0),
ROUND(ROUND(OFFSET($P118,0,AX$13),15-13*ORÇAMENTO!$AF$7)*OFFSET(ORÇAMENTO!$W$15,ROW(AX118)-ROW(AX$15),0),15-13*ORÇAMENTO!$AF$11)),0)</f>
        <v>0</v>
      </c>
      <c r="AY118" s="545">
        <f ca="1">IF(AND($D118="Serviço",AY$12&lt;&gt;0,$H118&gt;0,OR(AUTOEVENTO&lt;&gt;"manual",$M118&lt;&gt;1)),
IF(Import.TipoArredondamento&lt;&gt;"TransfereGOV",
ROUND(OFFSET($P118,0,AY$13),15-13*ORÇAMENTO!$AF$7)/$H118*OFFSET(ORÇAMENTO!$X$15,ROW(AY118)-ROW(AY$15),0),
ROUND(ROUND(OFFSET($P118,0,AY$13),15-13*ORÇAMENTO!$AF$7)*OFFSET(ORÇAMENTO!$W$15,ROW(AY118)-ROW(AY$15),0),15-13*ORÇAMENTO!$AF$11)),0)</f>
        <v>0</v>
      </c>
      <c r="AZ118" s="545">
        <f ca="1">IF(AND($D118="Serviço",AZ$12&lt;&gt;0,$H118&gt;0,OR(AUTOEVENTO&lt;&gt;"manual",$M118&lt;&gt;1)),
IF(Import.TipoArredondamento&lt;&gt;"TransfereGOV",
ROUND(OFFSET($P118,0,AZ$13),15-13*ORÇAMENTO!$AF$7)/$H118*OFFSET(ORÇAMENTO!$X$15,ROW(AZ118)-ROW(AZ$15),0),
ROUND(ROUND(OFFSET($P118,0,AZ$13),15-13*ORÇAMENTO!$AF$7)*OFFSET(ORÇAMENTO!$W$15,ROW(AZ118)-ROW(AZ$15),0),15-13*ORÇAMENTO!$AF$11)),0)</f>
        <v>0</v>
      </c>
      <c r="BA118" s="546">
        <f ca="1">IF(AND($D118="Serviço",BA$12&lt;&gt;0,$H118&gt;0,OR(AUTOEVENTO&lt;&gt;"manual",$M118&lt;&gt;1)),
IF(Import.TipoArredondamento&lt;&gt;"TransfereGOV",
ROUND(OFFSET($P118,0,BA$13),15-13*ORÇAMENTO!$AF$7)/$H118*OFFSET(ORÇAMENTO!$X$15,ROW(BA118)-ROW(BA$15),0),
ROUND(ROUND(OFFSET($P118,0,BA$13),15-13*ORÇAMENTO!$AF$7)*OFFSET(ORÇAMENTO!$W$15,ROW(BA118)-ROW(BA$15),0),15-13*ORÇAMENTO!$AF$11)),0)</f>
        <v>0</v>
      </c>
      <c r="BC118" s="181">
        <f ca="1">IF($D118&lt;&gt;"Serviço",0,IF(AND(AUTOEVENTO="Manual",$M118=1),0,IF(OFFSET(CRONOPLE!$F$14,$M118,BC$13)="",10^12,OFFSET(CRONOPLE!$F$14,$M118,BC$13))))</f>
        <v>5</v>
      </c>
      <c r="BD118" s="181">
        <f ca="1">IF($D118&lt;&gt;"Serviço",0,IF(AND(AUTOEVENTO="Manual",$M118=1),0,IF(OFFSET(CRONOPLE!$F$14,$M118,BD$13)="",10^12,OFFSET(CRONOPLE!$F$14,$M118,BD$13))))</f>
        <v>1000000000000</v>
      </c>
      <c r="BE118" s="181">
        <f ca="1">IF($D118&lt;&gt;"Serviço",0,IF(AND(AUTOEVENTO="Manual",$M118=1),0,IF(OFFSET(CRONOPLE!$F$14,$M118,BE$13)="",10^12,OFFSET(CRONOPLE!$F$14,$M118,BE$13))))</f>
        <v>1000000000000</v>
      </c>
      <c r="BF118" s="181">
        <f ca="1">IF($D118&lt;&gt;"Serviço",0,IF(AND(AUTOEVENTO="Manual",$M118=1),0,IF(OFFSET(CRONOPLE!$F$14,$M118,BF$13)="",10^12,OFFSET(CRONOPLE!$F$14,$M118,BF$13))))</f>
        <v>1000000000000</v>
      </c>
      <c r="BG118" s="181">
        <f ca="1">IF($D118&lt;&gt;"Serviço",0,IF(AND(AUTOEVENTO="Manual",$M118=1),0,IF(OFFSET(CRONOPLE!$F$14,$M118,BG$13)="",10^12,OFFSET(CRONOPLE!$F$14,$M118,BG$13))))</f>
        <v>1000000000000</v>
      </c>
      <c r="BH118" s="181">
        <f ca="1">IF($D118&lt;&gt;"Serviço",0,IF(AND(AUTOEVENTO="Manual",$M118=1),0,IF(OFFSET(CRONOPLE!$F$14,$M118,BH$13)="",10^12,OFFSET(CRONOPLE!$F$14,$M118,BH$13))))</f>
        <v>1000000000000</v>
      </c>
      <c r="BI118" s="181">
        <f ca="1">IF($D118&lt;&gt;"Serviço",0,IF(AND(AUTOEVENTO="Manual",$M118=1),0,IF(OFFSET(CRONOPLE!$F$14,$M118,BI$13)="",10^12,OFFSET(CRONOPLE!$F$14,$M118,BI$13))))</f>
        <v>1000000000000</v>
      </c>
      <c r="BJ118" s="181">
        <f ca="1">IF($D118&lt;&gt;"Serviço",0,IF(AND(AUTOEVENTO="Manual",$M118=1),0,IF(OFFSET(CRONOPLE!$F$14,$M118,BJ$13)="",10^12,OFFSET(CRONOPLE!$F$14,$M118,BJ$13))))</f>
        <v>1000000000000</v>
      </c>
      <c r="BK118" s="181">
        <f ca="1">IF($D118&lt;&gt;"Serviço",0,IF(AND(AUTOEVENTO="Manual",$M118=1),0,IF(OFFSET(CRONOPLE!$F$14,$M118,BK$13)="",10^12,OFFSET(CRONOPLE!$F$14,$M118,BK$13))))</f>
        <v>1000000000000</v>
      </c>
      <c r="BL118" s="181">
        <f ca="1">IF($D118&lt;&gt;"Serviço",0,IF(AND(AUTOEVENTO="Manual",$M118=1),0,IF(OFFSET(CRONOPLE!$F$14,$M118,BL$13)="",10^12,OFFSET(CRONOPLE!$F$14,$M118,BL$13))))</f>
        <v>1000000000000</v>
      </c>
      <c r="BM118" s="181">
        <f ca="1">IF($D118&lt;&gt;"Serviço",0,IF(AND(AUTOEVENTO="Manual",$M118=1),0,IF(OFFSET(CRONOPLE!$F$14,$M118,BM$13)="",10^12,OFFSET(CRONOPLE!$F$14,$M118,BM$13))))</f>
        <v>1000000000000</v>
      </c>
      <c r="BN118" s="181">
        <f ca="1">IF($D118&lt;&gt;"Serviço",0,IF(AND(AUTOEVENTO="Manual",$M118=1),0,IF(OFFSET(CRONOPLE!$F$14,$M118,BN$13)="",10^12,OFFSET(CRONOPLE!$F$14,$M118,BN$13))))</f>
        <v>1000000000000</v>
      </c>
      <c r="BO118" s="181">
        <f ca="1">IF($D118&lt;&gt;"Serviço",0,IF(AND(AUTOEVENTO="Manual",$M118=1),0,IF(OFFSET(CRONOPLE!$F$14,$M118,BO$13)="",10^12,OFFSET(CRONOPLE!$F$14,$M118,BO$13))))</f>
        <v>1000000000000</v>
      </c>
      <c r="BP118" s="181">
        <f ca="1">IF($D118&lt;&gt;"Serviço",0,IF(AND(AUTOEVENTO="Manual",$M118=1),0,IF(OFFSET(CRONOPLE!$F$14,$M118,BP$13)="",10^12,OFFSET(CRONOPLE!$F$14,$M118,BP$13))))</f>
        <v>1000000000000</v>
      </c>
      <c r="BQ118" s="181">
        <f ca="1">IF($D118&lt;&gt;"Serviço",0,IF(AND(AUTOEVENTO="Manual",$M118=1),0,IF(OFFSET(CRONOPLE!$F$14,$M118,BQ$13)="",10^12,OFFSET(CRONOPLE!$F$14,$M118,BQ$13))))</f>
        <v>1000000000000</v>
      </c>
      <c r="BR118" s="181">
        <f ca="1">IF($D118&lt;&gt;"Serviço",0,IF(AND(AUTOEVENTO="Manual",$M118=1),0,IF(OFFSET(CRONOPLE!$F$14,$M118,BR$13)="",10^12,OFFSET(CRONOPLE!$F$14,$M118,BR$13))))</f>
        <v>1000000000000</v>
      </c>
      <c r="BS118" s="181">
        <f ca="1">IF($D118&lt;&gt;"Serviço",0,IF(AND(AUTOEVENTO="Manual",$M118=1),0,IF(OFFSET(CRONOPLE!$F$14,$M118,BS$13)="",10^12,OFFSET(CRONOPLE!$F$14,$M118,BS$13))))</f>
        <v>1000000000000</v>
      </c>
      <c r="BT118" s="181">
        <f ca="1">IF($D118&lt;&gt;"Serviço",0,IF(AND(AUTOEVENTO="Manual",$M118=1),0,IF(OFFSET(CRONOPLE!$F$14,$M118,BT$13)="",10^12,OFFSET(CRONOPLE!$F$14,$M118,BT$13))))</f>
        <v>1000000000000</v>
      </c>
      <c r="BV118" s="182">
        <f ca="1">IF($D118&lt;&gt;"Serviço",0,IF(OR(AND(AUTOEVENTO="Manual",$M118=1),$M118&gt;(ROW(PLE.lastrow)-ROW(PLE.firstrow))),0,IF(OFFSET(PLE!$G$14,$M118,BV$13)="",10^12,OFFSET(PLE!$G$14,$M118,BV$13))))</f>
        <v>1000000000000</v>
      </c>
      <c r="BW118" s="182">
        <f ca="1">IF($D118&lt;&gt;"Serviço",0,IF(OR(AND(AUTOEVENTO="Manual",$M118=1),$M118&gt;(ROW(PLE.lastrow)-ROW(PLE.firstrow))),0,IF(OFFSET(PLE!$G$14,$M118,BW$13)="",10^12,OFFSET(PLE!$G$14,$M118,BW$13))))</f>
        <v>1000000000000</v>
      </c>
      <c r="BX118" s="182">
        <f ca="1">IF($D118&lt;&gt;"Serviço",0,IF(OR(AND(AUTOEVENTO="Manual",$M118=1),$M118&gt;(ROW(PLE.lastrow)-ROW(PLE.firstrow))),0,IF(OFFSET(PLE!$G$14,$M118,BX$13)="",10^12,OFFSET(PLE!$G$14,$M118,BX$13))))</f>
        <v>1000000000000</v>
      </c>
      <c r="BY118" s="182">
        <f ca="1">IF($D118&lt;&gt;"Serviço",0,IF(OR(AND(AUTOEVENTO="Manual",$M118=1),$M118&gt;(ROW(PLE.lastrow)-ROW(PLE.firstrow))),0,IF(OFFSET(PLE!$G$14,$M118,BY$13)="",10^12,OFFSET(PLE!$G$14,$M118,BY$13))))</f>
        <v>1000000000000</v>
      </c>
      <c r="BZ118" s="182">
        <f ca="1">IF($D118&lt;&gt;"Serviço",0,IF(OR(AND(AUTOEVENTO="Manual",$M118=1),$M118&gt;(ROW(PLE.lastrow)-ROW(PLE.firstrow))),0,IF(OFFSET(PLE!$G$14,$M118,BZ$13)="",10^12,OFFSET(PLE!$G$14,$M118,BZ$13))))</f>
        <v>1000000000000</v>
      </c>
      <c r="CA118" s="182">
        <f ca="1">IF($D118&lt;&gt;"Serviço",0,IF(OR(AND(AUTOEVENTO="Manual",$M118=1),$M118&gt;(ROW(PLE.lastrow)-ROW(PLE.firstrow))),0,IF(OFFSET(PLE!$G$14,$M118,CA$13)="",10^12,OFFSET(PLE!$G$14,$M118,CA$13))))</f>
        <v>1000000000000</v>
      </c>
      <c r="CB118" s="182">
        <f ca="1">IF($D118&lt;&gt;"Serviço",0,IF(OR(AND(AUTOEVENTO="Manual",$M118=1),$M118&gt;(ROW(PLE.lastrow)-ROW(PLE.firstrow))),0,IF(OFFSET(PLE!$G$14,$M118,CB$13)="",10^12,OFFSET(PLE!$G$14,$M118,CB$13))))</f>
        <v>1000000000000</v>
      </c>
      <c r="CC118" s="182">
        <f ca="1">IF($D118&lt;&gt;"Serviço",0,IF(OR(AND(AUTOEVENTO="Manual",$M118=1),$M118&gt;(ROW(PLE.lastrow)-ROW(PLE.firstrow))),0,IF(OFFSET(PLE!$G$14,$M118,CC$13)="",10^12,OFFSET(PLE!$G$14,$M118,CC$13))))</f>
        <v>1000000000000</v>
      </c>
      <c r="CD118" s="182">
        <f ca="1">IF($D118&lt;&gt;"Serviço",0,IF(OR(AND(AUTOEVENTO="Manual",$M118=1),$M118&gt;(ROW(PLE.lastrow)-ROW(PLE.firstrow))),0,IF(OFFSET(PLE!$G$14,$M118,CD$13)="",10^12,OFFSET(PLE!$G$14,$M118,CD$13))))</f>
        <v>1000000000000</v>
      </c>
      <c r="CE118" s="182">
        <f ca="1">IF($D118&lt;&gt;"Serviço",0,IF(OR(AND(AUTOEVENTO="Manual",$M118=1),$M118&gt;(ROW(PLE.lastrow)-ROW(PLE.firstrow))),0,IF(OFFSET(PLE!$G$14,$M118,CE$13)="",10^12,OFFSET(PLE!$G$14,$M118,CE$13))))</f>
        <v>1000000000000</v>
      </c>
      <c r="CF118" s="182">
        <f ca="1">IF($D118&lt;&gt;"Serviço",0,IF(OR(AND(AUTOEVENTO="Manual",$M118=1),$M118&gt;(ROW(PLE.lastrow)-ROW(PLE.firstrow))),0,IF(OFFSET(PLE!$G$14,$M118,CF$13)="",10^12,OFFSET(PLE!$G$14,$M118,CF$13))))</f>
        <v>1000000000000</v>
      </c>
      <c r="CG118" s="182">
        <f ca="1">IF($D118&lt;&gt;"Serviço",0,IF(OR(AND(AUTOEVENTO="Manual",$M118=1),$M118&gt;(ROW(PLE.lastrow)-ROW(PLE.firstrow))),0,IF(OFFSET(PLE!$G$14,$M118,CG$13)="",10^12,OFFSET(PLE!$G$14,$M118,CG$13))))</f>
        <v>1000000000000</v>
      </c>
      <c r="CH118" s="182">
        <f ca="1">IF($D118&lt;&gt;"Serviço",0,IF(OR(AND(AUTOEVENTO="Manual",$M118=1),$M118&gt;(ROW(PLE.lastrow)-ROW(PLE.firstrow))),0,IF(OFFSET(PLE!$G$14,$M118,CH$13)="",10^12,OFFSET(PLE!$G$14,$M118,CH$13))))</f>
        <v>1000000000000</v>
      </c>
      <c r="CI118" s="182">
        <f ca="1">IF($D118&lt;&gt;"Serviço",0,IF(OR(AND(AUTOEVENTO="Manual",$M118=1),$M118&gt;(ROW(PLE.lastrow)-ROW(PLE.firstrow))),0,IF(OFFSET(PLE!$G$14,$M118,CI$13)="",10^12,OFFSET(PLE!$G$14,$M118,CI$13))))</f>
        <v>1000000000000</v>
      </c>
      <c r="CJ118" s="182">
        <f ca="1">IF($D118&lt;&gt;"Serviço",0,IF(OR(AND(AUTOEVENTO="Manual",$M118=1),$M118&gt;(ROW(PLE.lastrow)-ROW(PLE.firstrow))),0,IF(OFFSET(PLE!$G$14,$M118,CJ$13)="",10^12,OFFSET(PLE!$G$14,$M118,CJ$13))))</f>
        <v>1000000000000</v>
      </c>
      <c r="CK118" s="182">
        <f ca="1">IF($D118&lt;&gt;"Serviço",0,IF(OR(AND(AUTOEVENTO="Manual",$M118=1),$M118&gt;(ROW(PLE.lastrow)-ROW(PLE.firstrow))),0,IF(OFFSET(PLE!$G$14,$M118,CK$13)="",10^12,OFFSET(PLE!$G$14,$M118,CK$13))))</f>
        <v>1000000000000</v>
      </c>
      <c r="CL118" s="182">
        <f ca="1">IF($D118&lt;&gt;"Serviço",0,IF(OR(AND(AUTOEVENTO="Manual",$M118=1),$M118&gt;(ROW(PLE.lastrow)-ROW(PLE.firstrow))),0,IF(OFFSET(PLE!$G$14,$M118,CL$13)="",10^12,OFFSET(PLE!$G$14,$M118,CL$13))))</f>
        <v>1000000000000</v>
      </c>
      <c r="CM118" s="182">
        <f ca="1">IF($D118&lt;&gt;"Serviço",0,IF(OR(AND(AUTOEVENTO="Manual",$M118=1),$M118&gt;(ROW(PLE.lastrow)-ROW(PLE.firstrow))),0,IF(OFFSET(PLE!$G$14,$M118,CM$13)="",10^12,OFFSET(PLE!$G$14,$M118,CM$13))))</f>
        <v>1000000000000</v>
      </c>
    </row>
    <row r="119" spans="1:91" ht="38.25" x14ac:dyDescent="0.2">
      <c r="A119" s="7" t="str">
        <f t="shared" ca="1" si="11"/>
        <v>99</v>
      </c>
      <c r="B119" s="7" t="str">
        <f ca="1">OFFSET(ORÇAMENTO!C$15,ROW(B119)-ROW(B$15),0)</f>
        <v>S</v>
      </c>
      <c r="C119" s="7" t="str">
        <f ca="1">OFFSET(ORÇAMENTO!L$15,ROW(C119)-ROW(C$15),0)</f>
        <v/>
      </c>
      <c r="D119" s="118" t="str">
        <f ca="1">OFFSET(ORÇAMENTO!N$15,ROW(D119)-ROW(D$15),0)</f>
        <v>Serviço</v>
      </c>
      <c r="E119" s="119" t="str">
        <f ca="1">OFFSET(ORÇAMENTO!O$15,ROW(E119)-ROW(E$15),0)</f>
        <v>-</v>
      </c>
      <c r="F119" s="172" t="str">
        <f ca="1">OFFSET(ORÇAMENTO!R$15,ROW(F119)-ROW(F$15),0)</f>
        <v>(abra o arquivo 'Referência 06-2024.xlsm)</v>
      </c>
      <c r="G119" s="173" t="str">
        <f ca="1">IF($D119&lt;&gt;"Serviço","",OFFSET(ORÇAMENTO!S$15,ROW(G119)-ROW(G$15),0))</f>
        <v>-</v>
      </c>
      <c r="H119" s="124">
        <f ca="1">IF($D119&lt;&gt;"Serviço",0,IF(ACOMPANHAMENTO="BM",ROUND(OFFSET(ORÇAMENTO!AJ$15,ROW(H119)-ROW(H$15),0),15-13*ORÇAMENTO!$AF$7),SUMPRODUCT(($Q$12:$AI$12&lt;&gt;"")*ROUND($Q119:$AI119,15-13*ORÇAMENTO!$AF$7))))</f>
        <v>8</v>
      </c>
      <c r="I119" s="561" t="s">
        <v>1107</v>
      </c>
      <c r="K119" s="174"/>
      <c r="L119" s="175" t="s">
        <v>255</v>
      </c>
      <c r="M119" s="176">
        <f ca="1">IF($D119&lt;&gt;"Serviço","",IF(AUTOEVENTO="manual",$A119,IF(ISERROR(MATCH($A119,$A$15:OFFSET($A119,-1,0),0)),MAX($M$15:OFFSET(M119,-1,0))+1,INDEX($M$15:OFFSET(M119,-1,0),MATCH($A119,$A$15:OFFSET($A119,-1,0),0)))))</f>
        <v>19</v>
      </c>
      <c r="N119" s="177" t="str">
        <f ca="1">IF($D119&lt;&gt;"Serviço","",IF(AUTOEVENTO="Manual",IF($A119=0,"&lt;-- defina o número do agrupador",OFFSET(EVENTOS!$D$14,$A119,0)),OFFSET($F$15,$A119,0)))</f>
        <v>ESQUADRIAS - PORTAS DE MADEIRA</v>
      </c>
      <c r="O119" s="178"/>
      <c r="Q119" s="178">
        <v>8</v>
      </c>
      <c r="R119" s="179"/>
      <c r="S119" s="179"/>
      <c r="T119" s="179"/>
      <c r="U119" s="179"/>
      <c r="V119" s="179"/>
      <c r="W119" s="179"/>
      <c r="X119" s="179"/>
      <c r="Y119" s="179"/>
      <c r="Z119" s="180"/>
      <c r="AA119" s="179"/>
      <c r="AB119" s="179"/>
      <c r="AC119" s="179"/>
      <c r="AD119" s="179"/>
      <c r="AE119" s="179"/>
      <c r="AF119" s="179"/>
      <c r="AG119" s="179"/>
      <c r="AH119" s="180"/>
      <c r="AJ119" s="544">
        <f ca="1">IF(AND($D119="Serviço",AJ$12&lt;&gt;0,$H119&gt;0,OR(AUTOEVENTO&lt;&gt;"manual",$M119&lt;&gt;1)),
IF(Import.TipoArredondamento&lt;&gt;"TransfereGOV",
ROUND(OFFSET($P119,0,AJ$13),15-13*ORÇAMENTO!$AF$7)/$H119*OFFSET(ORÇAMENTO!$X$15,ROW(AJ119)-ROW(AJ$15),0),
ROUND(ROUND(OFFSET($P119,0,AJ$13),15-13*ORÇAMENTO!$AF$7)*OFFSET(ORÇAMENTO!$W$15,ROW(AJ119)-ROW(AJ$15),0),15-13*ORÇAMENTO!$AF$11)),0)</f>
        <v>0</v>
      </c>
      <c r="AK119" s="545">
        <f ca="1">IF(AND($D119="Serviço",AK$12&lt;&gt;0,$H119&gt;0,OR(AUTOEVENTO&lt;&gt;"manual",$M119&lt;&gt;1)),
IF(Import.TipoArredondamento&lt;&gt;"TransfereGOV",
ROUND(OFFSET($P119,0,AK$13),15-13*ORÇAMENTO!$AF$7)/$H119*OFFSET(ORÇAMENTO!$X$15,ROW(AK119)-ROW(AK$15),0),
ROUND(ROUND(OFFSET($P119,0,AK$13),15-13*ORÇAMENTO!$AF$7)*OFFSET(ORÇAMENTO!$W$15,ROW(AK119)-ROW(AK$15),0),15-13*ORÇAMENTO!$AF$11)),0)</f>
        <v>0</v>
      </c>
      <c r="AL119" s="545">
        <f ca="1">IF(AND($D119="Serviço",AL$12&lt;&gt;0,$H119&gt;0,OR(AUTOEVENTO&lt;&gt;"manual",$M119&lt;&gt;1)),
IF(Import.TipoArredondamento&lt;&gt;"TransfereGOV",
ROUND(OFFSET($P119,0,AL$13),15-13*ORÇAMENTO!$AF$7)/$H119*OFFSET(ORÇAMENTO!$X$15,ROW(AL119)-ROW(AL$15),0),
ROUND(ROUND(OFFSET($P119,0,AL$13),15-13*ORÇAMENTO!$AF$7)*OFFSET(ORÇAMENTO!$W$15,ROW(AL119)-ROW(AL$15),0),15-13*ORÇAMENTO!$AF$11)),0)</f>
        <v>0</v>
      </c>
      <c r="AM119" s="545">
        <f ca="1">IF(AND($D119="Serviço",AM$12&lt;&gt;0,$H119&gt;0,OR(AUTOEVENTO&lt;&gt;"manual",$M119&lt;&gt;1)),
IF(Import.TipoArredondamento&lt;&gt;"TransfereGOV",
ROUND(OFFSET($P119,0,AM$13),15-13*ORÇAMENTO!$AF$7)/$H119*OFFSET(ORÇAMENTO!$X$15,ROW(AM119)-ROW(AM$15),0),
ROUND(ROUND(OFFSET($P119,0,AM$13),15-13*ORÇAMENTO!$AF$7)*OFFSET(ORÇAMENTO!$W$15,ROW(AM119)-ROW(AM$15),0),15-13*ORÇAMENTO!$AF$11)),0)</f>
        <v>0</v>
      </c>
      <c r="AN119" s="545">
        <f ca="1">IF(AND($D119="Serviço",AN$12&lt;&gt;0,$H119&gt;0,OR(AUTOEVENTO&lt;&gt;"manual",$M119&lt;&gt;1)),
IF(Import.TipoArredondamento&lt;&gt;"TransfereGOV",
ROUND(OFFSET($P119,0,AN$13),15-13*ORÇAMENTO!$AF$7)/$H119*OFFSET(ORÇAMENTO!$X$15,ROW(AN119)-ROW(AN$15),0),
ROUND(ROUND(OFFSET($P119,0,AN$13),15-13*ORÇAMENTO!$AF$7)*OFFSET(ORÇAMENTO!$W$15,ROW(AN119)-ROW(AN$15),0),15-13*ORÇAMENTO!$AF$11)),0)</f>
        <v>0</v>
      </c>
      <c r="AO119" s="545">
        <f ca="1">IF(AND($D119="Serviço",AO$12&lt;&gt;0,$H119&gt;0,OR(AUTOEVENTO&lt;&gt;"manual",$M119&lt;&gt;1)),
IF(Import.TipoArredondamento&lt;&gt;"TransfereGOV",
ROUND(OFFSET($P119,0,AO$13),15-13*ORÇAMENTO!$AF$7)/$H119*OFFSET(ORÇAMENTO!$X$15,ROW(AO119)-ROW(AO$15),0),
ROUND(ROUND(OFFSET($P119,0,AO$13),15-13*ORÇAMENTO!$AF$7)*OFFSET(ORÇAMENTO!$W$15,ROW(AO119)-ROW(AO$15),0),15-13*ORÇAMENTO!$AF$11)),0)</f>
        <v>0</v>
      </c>
      <c r="AP119" s="545">
        <f ca="1">IF(AND($D119="Serviço",AP$12&lt;&gt;0,$H119&gt;0,OR(AUTOEVENTO&lt;&gt;"manual",$M119&lt;&gt;1)),
IF(Import.TipoArredondamento&lt;&gt;"TransfereGOV",
ROUND(OFFSET($P119,0,AP$13),15-13*ORÇAMENTO!$AF$7)/$H119*OFFSET(ORÇAMENTO!$X$15,ROW(AP119)-ROW(AP$15),0),
ROUND(ROUND(OFFSET($P119,0,AP$13),15-13*ORÇAMENTO!$AF$7)*OFFSET(ORÇAMENTO!$W$15,ROW(AP119)-ROW(AP$15),0),15-13*ORÇAMENTO!$AF$11)),0)</f>
        <v>0</v>
      </c>
      <c r="AQ119" s="545">
        <f ca="1">IF(AND($D119="Serviço",AQ$12&lt;&gt;0,$H119&gt;0,OR(AUTOEVENTO&lt;&gt;"manual",$M119&lt;&gt;1)),
IF(Import.TipoArredondamento&lt;&gt;"TransfereGOV",
ROUND(OFFSET($P119,0,AQ$13),15-13*ORÇAMENTO!$AF$7)/$H119*OFFSET(ORÇAMENTO!$X$15,ROW(AQ119)-ROW(AQ$15),0),
ROUND(ROUND(OFFSET($P119,0,AQ$13),15-13*ORÇAMENTO!$AF$7)*OFFSET(ORÇAMENTO!$W$15,ROW(AQ119)-ROW(AQ$15),0),15-13*ORÇAMENTO!$AF$11)),0)</f>
        <v>0</v>
      </c>
      <c r="AR119" s="545">
        <f ca="1">IF(AND($D119="Serviço",AR$12&lt;&gt;0,$H119&gt;0,OR(AUTOEVENTO&lt;&gt;"manual",$M119&lt;&gt;1)),
IF(Import.TipoArredondamento&lt;&gt;"TransfereGOV",
ROUND(OFFSET($P119,0,AR$13),15-13*ORÇAMENTO!$AF$7)/$H119*OFFSET(ORÇAMENTO!$X$15,ROW(AR119)-ROW(AR$15),0),
ROUND(ROUND(OFFSET($P119,0,AR$13),15-13*ORÇAMENTO!$AF$7)*OFFSET(ORÇAMENTO!$W$15,ROW(AR119)-ROW(AR$15),0),15-13*ORÇAMENTO!$AF$11)),0)</f>
        <v>0</v>
      </c>
      <c r="AS119" s="546">
        <f ca="1">IF(AND($D119="Serviço",AS$12&lt;&gt;0,$H119&gt;0,OR(AUTOEVENTO&lt;&gt;"manual",$M119&lt;&gt;1)),
IF(Import.TipoArredondamento&lt;&gt;"TransfereGOV",
ROUND(OFFSET($P119,0,AS$13),15-13*ORÇAMENTO!$AF$7)/$H119*OFFSET(ORÇAMENTO!$X$15,ROW(AS119)-ROW(AS$15),0),
ROUND(ROUND(OFFSET($P119,0,AS$13),15-13*ORÇAMENTO!$AF$7)*OFFSET(ORÇAMENTO!$W$15,ROW(AS119)-ROW(AS$15),0),15-13*ORÇAMENTO!$AF$11)),0)</f>
        <v>0</v>
      </c>
      <c r="AT119" s="545">
        <f ca="1">IF(AND($D119="Serviço",AT$12&lt;&gt;0,$H119&gt;0,OR(AUTOEVENTO&lt;&gt;"manual",$M119&lt;&gt;1)),
IF(Import.TipoArredondamento&lt;&gt;"TransfereGOV",
ROUND(OFFSET($P119,0,AT$13),15-13*ORÇAMENTO!$AF$7)/$H119*OFFSET(ORÇAMENTO!$X$15,ROW(AT119)-ROW(AT$15),0),
ROUND(ROUND(OFFSET($P119,0,AT$13),15-13*ORÇAMENTO!$AF$7)*OFFSET(ORÇAMENTO!$W$15,ROW(AT119)-ROW(AT$15),0),15-13*ORÇAMENTO!$AF$11)),0)</f>
        <v>0</v>
      </c>
      <c r="AU119" s="545">
        <f ca="1">IF(AND($D119="Serviço",AU$12&lt;&gt;0,$H119&gt;0,OR(AUTOEVENTO&lt;&gt;"manual",$M119&lt;&gt;1)),
IF(Import.TipoArredondamento&lt;&gt;"TransfereGOV",
ROUND(OFFSET($P119,0,AU$13),15-13*ORÇAMENTO!$AF$7)/$H119*OFFSET(ORÇAMENTO!$X$15,ROW(AU119)-ROW(AU$15),0),
ROUND(ROUND(OFFSET($P119,0,AU$13),15-13*ORÇAMENTO!$AF$7)*OFFSET(ORÇAMENTO!$W$15,ROW(AU119)-ROW(AU$15),0),15-13*ORÇAMENTO!$AF$11)),0)</f>
        <v>0</v>
      </c>
      <c r="AV119" s="545">
        <f ca="1">IF(AND($D119="Serviço",AV$12&lt;&gt;0,$H119&gt;0,OR(AUTOEVENTO&lt;&gt;"manual",$M119&lt;&gt;1)),
IF(Import.TipoArredondamento&lt;&gt;"TransfereGOV",
ROUND(OFFSET($P119,0,AV$13),15-13*ORÇAMENTO!$AF$7)/$H119*OFFSET(ORÇAMENTO!$X$15,ROW(AV119)-ROW(AV$15),0),
ROUND(ROUND(OFFSET($P119,0,AV$13),15-13*ORÇAMENTO!$AF$7)*OFFSET(ORÇAMENTO!$W$15,ROW(AV119)-ROW(AV$15),0),15-13*ORÇAMENTO!$AF$11)),0)</f>
        <v>0</v>
      </c>
      <c r="AW119" s="545">
        <f ca="1">IF(AND($D119="Serviço",AW$12&lt;&gt;0,$H119&gt;0,OR(AUTOEVENTO&lt;&gt;"manual",$M119&lt;&gt;1)),
IF(Import.TipoArredondamento&lt;&gt;"TransfereGOV",
ROUND(OFFSET($P119,0,AW$13),15-13*ORÇAMENTO!$AF$7)/$H119*OFFSET(ORÇAMENTO!$X$15,ROW(AW119)-ROW(AW$15),0),
ROUND(ROUND(OFFSET($P119,0,AW$13),15-13*ORÇAMENTO!$AF$7)*OFFSET(ORÇAMENTO!$W$15,ROW(AW119)-ROW(AW$15),0),15-13*ORÇAMENTO!$AF$11)),0)</f>
        <v>0</v>
      </c>
      <c r="AX119" s="545">
        <f ca="1">IF(AND($D119="Serviço",AX$12&lt;&gt;0,$H119&gt;0,OR(AUTOEVENTO&lt;&gt;"manual",$M119&lt;&gt;1)),
IF(Import.TipoArredondamento&lt;&gt;"TransfereGOV",
ROUND(OFFSET($P119,0,AX$13),15-13*ORÇAMENTO!$AF$7)/$H119*OFFSET(ORÇAMENTO!$X$15,ROW(AX119)-ROW(AX$15),0),
ROUND(ROUND(OFFSET($P119,0,AX$13),15-13*ORÇAMENTO!$AF$7)*OFFSET(ORÇAMENTO!$W$15,ROW(AX119)-ROW(AX$15),0),15-13*ORÇAMENTO!$AF$11)),0)</f>
        <v>0</v>
      </c>
      <c r="AY119" s="545">
        <f ca="1">IF(AND($D119="Serviço",AY$12&lt;&gt;0,$H119&gt;0,OR(AUTOEVENTO&lt;&gt;"manual",$M119&lt;&gt;1)),
IF(Import.TipoArredondamento&lt;&gt;"TransfereGOV",
ROUND(OFFSET($P119,0,AY$13),15-13*ORÇAMENTO!$AF$7)/$H119*OFFSET(ORÇAMENTO!$X$15,ROW(AY119)-ROW(AY$15),0),
ROUND(ROUND(OFFSET($P119,0,AY$13),15-13*ORÇAMENTO!$AF$7)*OFFSET(ORÇAMENTO!$W$15,ROW(AY119)-ROW(AY$15),0),15-13*ORÇAMENTO!$AF$11)),0)</f>
        <v>0</v>
      </c>
      <c r="AZ119" s="545">
        <f ca="1">IF(AND($D119="Serviço",AZ$12&lt;&gt;0,$H119&gt;0,OR(AUTOEVENTO&lt;&gt;"manual",$M119&lt;&gt;1)),
IF(Import.TipoArredondamento&lt;&gt;"TransfereGOV",
ROUND(OFFSET($P119,0,AZ$13),15-13*ORÇAMENTO!$AF$7)/$H119*OFFSET(ORÇAMENTO!$X$15,ROW(AZ119)-ROW(AZ$15),0),
ROUND(ROUND(OFFSET($P119,0,AZ$13),15-13*ORÇAMENTO!$AF$7)*OFFSET(ORÇAMENTO!$W$15,ROW(AZ119)-ROW(AZ$15),0),15-13*ORÇAMENTO!$AF$11)),0)</f>
        <v>0</v>
      </c>
      <c r="BA119" s="546">
        <f ca="1">IF(AND($D119="Serviço",BA$12&lt;&gt;0,$H119&gt;0,OR(AUTOEVENTO&lt;&gt;"manual",$M119&lt;&gt;1)),
IF(Import.TipoArredondamento&lt;&gt;"TransfereGOV",
ROUND(OFFSET($P119,0,BA$13),15-13*ORÇAMENTO!$AF$7)/$H119*OFFSET(ORÇAMENTO!$X$15,ROW(BA119)-ROW(BA$15),0),
ROUND(ROUND(OFFSET($P119,0,BA$13),15-13*ORÇAMENTO!$AF$7)*OFFSET(ORÇAMENTO!$W$15,ROW(BA119)-ROW(BA$15),0),15-13*ORÇAMENTO!$AF$11)),0)</f>
        <v>0</v>
      </c>
      <c r="BC119" s="181">
        <f ca="1">IF($D119&lt;&gt;"Serviço",0,IF(AND(AUTOEVENTO="Manual",$M119=1),0,IF(OFFSET(CRONOPLE!$F$14,$M119,BC$13)="",10^12,OFFSET(CRONOPLE!$F$14,$M119,BC$13))))</f>
        <v>5</v>
      </c>
      <c r="BD119" s="181">
        <f ca="1">IF($D119&lt;&gt;"Serviço",0,IF(AND(AUTOEVENTO="Manual",$M119=1),0,IF(OFFSET(CRONOPLE!$F$14,$M119,BD$13)="",10^12,OFFSET(CRONOPLE!$F$14,$M119,BD$13))))</f>
        <v>1000000000000</v>
      </c>
      <c r="BE119" s="181">
        <f ca="1">IF($D119&lt;&gt;"Serviço",0,IF(AND(AUTOEVENTO="Manual",$M119=1),0,IF(OFFSET(CRONOPLE!$F$14,$M119,BE$13)="",10^12,OFFSET(CRONOPLE!$F$14,$M119,BE$13))))</f>
        <v>1000000000000</v>
      </c>
      <c r="BF119" s="181">
        <f ca="1">IF($D119&lt;&gt;"Serviço",0,IF(AND(AUTOEVENTO="Manual",$M119=1),0,IF(OFFSET(CRONOPLE!$F$14,$M119,BF$13)="",10^12,OFFSET(CRONOPLE!$F$14,$M119,BF$13))))</f>
        <v>1000000000000</v>
      </c>
      <c r="BG119" s="181">
        <f ca="1">IF($D119&lt;&gt;"Serviço",0,IF(AND(AUTOEVENTO="Manual",$M119=1),0,IF(OFFSET(CRONOPLE!$F$14,$M119,BG$13)="",10^12,OFFSET(CRONOPLE!$F$14,$M119,BG$13))))</f>
        <v>1000000000000</v>
      </c>
      <c r="BH119" s="181">
        <f ca="1">IF($D119&lt;&gt;"Serviço",0,IF(AND(AUTOEVENTO="Manual",$M119=1),0,IF(OFFSET(CRONOPLE!$F$14,$M119,BH$13)="",10^12,OFFSET(CRONOPLE!$F$14,$M119,BH$13))))</f>
        <v>1000000000000</v>
      </c>
      <c r="BI119" s="181">
        <f ca="1">IF($D119&lt;&gt;"Serviço",0,IF(AND(AUTOEVENTO="Manual",$M119=1),0,IF(OFFSET(CRONOPLE!$F$14,$M119,BI$13)="",10^12,OFFSET(CRONOPLE!$F$14,$M119,BI$13))))</f>
        <v>1000000000000</v>
      </c>
      <c r="BJ119" s="181">
        <f ca="1">IF($D119&lt;&gt;"Serviço",0,IF(AND(AUTOEVENTO="Manual",$M119=1),0,IF(OFFSET(CRONOPLE!$F$14,$M119,BJ$13)="",10^12,OFFSET(CRONOPLE!$F$14,$M119,BJ$13))))</f>
        <v>1000000000000</v>
      </c>
      <c r="BK119" s="181">
        <f ca="1">IF($D119&lt;&gt;"Serviço",0,IF(AND(AUTOEVENTO="Manual",$M119=1),0,IF(OFFSET(CRONOPLE!$F$14,$M119,BK$13)="",10^12,OFFSET(CRONOPLE!$F$14,$M119,BK$13))))</f>
        <v>1000000000000</v>
      </c>
      <c r="BL119" s="181">
        <f ca="1">IF($D119&lt;&gt;"Serviço",0,IF(AND(AUTOEVENTO="Manual",$M119=1),0,IF(OFFSET(CRONOPLE!$F$14,$M119,BL$13)="",10^12,OFFSET(CRONOPLE!$F$14,$M119,BL$13))))</f>
        <v>1000000000000</v>
      </c>
      <c r="BM119" s="181">
        <f ca="1">IF($D119&lt;&gt;"Serviço",0,IF(AND(AUTOEVENTO="Manual",$M119=1),0,IF(OFFSET(CRONOPLE!$F$14,$M119,BM$13)="",10^12,OFFSET(CRONOPLE!$F$14,$M119,BM$13))))</f>
        <v>1000000000000</v>
      </c>
      <c r="BN119" s="181">
        <f ca="1">IF($D119&lt;&gt;"Serviço",0,IF(AND(AUTOEVENTO="Manual",$M119=1),0,IF(OFFSET(CRONOPLE!$F$14,$M119,BN$13)="",10^12,OFFSET(CRONOPLE!$F$14,$M119,BN$13))))</f>
        <v>1000000000000</v>
      </c>
      <c r="BO119" s="181">
        <f ca="1">IF($D119&lt;&gt;"Serviço",0,IF(AND(AUTOEVENTO="Manual",$M119=1),0,IF(OFFSET(CRONOPLE!$F$14,$M119,BO$13)="",10^12,OFFSET(CRONOPLE!$F$14,$M119,BO$13))))</f>
        <v>1000000000000</v>
      </c>
      <c r="BP119" s="181">
        <f ca="1">IF($D119&lt;&gt;"Serviço",0,IF(AND(AUTOEVENTO="Manual",$M119=1),0,IF(OFFSET(CRONOPLE!$F$14,$M119,BP$13)="",10^12,OFFSET(CRONOPLE!$F$14,$M119,BP$13))))</f>
        <v>1000000000000</v>
      </c>
      <c r="BQ119" s="181">
        <f ca="1">IF($D119&lt;&gt;"Serviço",0,IF(AND(AUTOEVENTO="Manual",$M119=1),0,IF(OFFSET(CRONOPLE!$F$14,$M119,BQ$13)="",10^12,OFFSET(CRONOPLE!$F$14,$M119,BQ$13))))</f>
        <v>1000000000000</v>
      </c>
      <c r="BR119" s="181">
        <f ca="1">IF($D119&lt;&gt;"Serviço",0,IF(AND(AUTOEVENTO="Manual",$M119=1),0,IF(OFFSET(CRONOPLE!$F$14,$M119,BR$13)="",10^12,OFFSET(CRONOPLE!$F$14,$M119,BR$13))))</f>
        <v>1000000000000</v>
      </c>
      <c r="BS119" s="181">
        <f ca="1">IF($D119&lt;&gt;"Serviço",0,IF(AND(AUTOEVENTO="Manual",$M119=1),0,IF(OFFSET(CRONOPLE!$F$14,$M119,BS$13)="",10^12,OFFSET(CRONOPLE!$F$14,$M119,BS$13))))</f>
        <v>1000000000000</v>
      </c>
      <c r="BT119" s="181">
        <f ca="1">IF($D119&lt;&gt;"Serviço",0,IF(AND(AUTOEVENTO="Manual",$M119=1),0,IF(OFFSET(CRONOPLE!$F$14,$M119,BT$13)="",10^12,OFFSET(CRONOPLE!$F$14,$M119,BT$13))))</f>
        <v>1000000000000</v>
      </c>
      <c r="BV119" s="182">
        <f ca="1">IF($D119&lt;&gt;"Serviço",0,IF(OR(AND(AUTOEVENTO="Manual",$M119=1),$M119&gt;(ROW(PLE.lastrow)-ROW(PLE.firstrow))),0,IF(OFFSET(PLE!$G$14,$M119,BV$13)="",10^12,OFFSET(PLE!$G$14,$M119,BV$13))))</f>
        <v>1000000000000</v>
      </c>
      <c r="BW119" s="182">
        <f ca="1">IF($D119&lt;&gt;"Serviço",0,IF(OR(AND(AUTOEVENTO="Manual",$M119=1),$M119&gt;(ROW(PLE.lastrow)-ROW(PLE.firstrow))),0,IF(OFFSET(PLE!$G$14,$M119,BW$13)="",10^12,OFFSET(PLE!$G$14,$M119,BW$13))))</f>
        <v>1000000000000</v>
      </c>
      <c r="BX119" s="182">
        <f ca="1">IF($D119&lt;&gt;"Serviço",0,IF(OR(AND(AUTOEVENTO="Manual",$M119=1),$M119&gt;(ROW(PLE.lastrow)-ROW(PLE.firstrow))),0,IF(OFFSET(PLE!$G$14,$M119,BX$13)="",10^12,OFFSET(PLE!$G$14,$M119,BX$13))))</f>
        <v>1000000000000</v>
      </c>
      <c r="BY119" s="182">
        <f ca="1">IF($D119&lt;&gt;"Serviço",0,IF(OR(AND(AUTOEVENTO="Manual",$M119=1),$M119&gt;(ROW(PLE.lastrow)-ROW(PLE.firstrow))),0,IF(OFFSET(PLE!$G$14,$M119,BY$13)="",10^12,OFFSET(PLE!$G$14,$M119,BY$13))))</f>
        <v>1000000000000</v>
      </c>
      <c r="BZ119" s="182">
        <f ca="1">IF($D119&lt;&gt;"Serviço",0,IF(OR(AND(AUTOEVENTO="Manual",$M119=1),$M119&gt;(ROW(PLE.lastrow)-ROW(PLE.firstrow))),0,IF(OFFSET(PLE!$G$14,$M119,BZ$13)="",10^12,OFFSET(PLE!$G$14,$M119,BZ$13))))</f>
        <v>1000000000000</v>
      </c>
      <c r="CA119" s="182">
        <f ca="1">IF($D119&lt;&gt;"Serviço",0,IF(OR(AND(AUTOEVENTO="Manual",$M119=1),$M119&gt;(ROW(PLE.lastrow)-ROW(PLE.firstrow))),0,IF(OFFSET(PLE!$G$14,$M119,CA$13)="",10^12,OFFSET(PLE!$G$14,$M119,CA$13))))</f>
        <v>1000000000000</v>
      </c>
      <c r="CB119" s="182">
        <f ca="1">IF($D119&lt;&gt;"Serviço",0,IF(OR(AND(AUTOEVENTO="Manual",$M119=1),$M119&gt;(ROW(PLE.lastrow)-ROW(PLE.firstrow))),0,IF(OFFSET(PLE!$G$14,$M119,CB$13)="",10^12,OFFSET(PLE!$G$14,$M119,CB$13))))</f>
        <v>1000000000000</v>
      </c>
      <c r="CC119" s="182">
        <f ca="1">IF($D119&lt;&gt;"Serviço",0,IF(OR(AND(AUTOEVENTO="Manual",$M119=1),$M119&gt;(ROW(PLE.lastrow)-ROW(PLE.firstrow))),0,IF(OFFSET(PLE!$G$14,$M119,CC$13)="",10^12,OFFSET(PLE!$G$14,$M119,CC$13))))</f>
        <v>1000000000000</v>
      </c>
      <c r="CD119" s="182">
        <f ca="1">IF($D119&lt;&gt;"Serviço",0,IF(OR(AND(AUTOEVENTO="Manual",$M119=1),$M119&gt;(ROW(PLE.lastrow)-ROW(PLE.firstrow))),0,IF(OFFSET(PLE!$G$14,$M119,CD$13)="",10^12,OFFSET(PLE!$G$14,$M119,CD$13))))</f>
        <v>1000000000000</v>
      </c>
      <c r="CE119" s="182">
        <f ca="1">IF($D119&lt;&gt;"Serviço",0,IF(OR(AND(AUTOEVENTO="Manual",$M119=1),$M119&gt;(ROW(PLE.lastrow)-ROW(PLE.firstrow))),0,IF(OFFSET(PLE!$G$14,$M119,CE$13)="",10^12,OFFSET(PLE!$G$14,$M119,CE$13))))</f>
        <v>1000000000000</v>
      </c>
      <c r="CF119" s="182">
        <f ca="1">IF($D119&lt;&gt;"Serviço",0,IF(OR(AND(AUTOEVENTO="Manual",$M119=1),$M119&gt;(ROW(PLE.lastrow)-ROW(PLE.firstrow))),0,IF(OFFSET(PLE!$G$14,$M119,CF$13)="",10^12,OFFSET(PLE!$G$14,$M119,CF$13))))</f>
        <v>1000000000000</v>
      </c>
      <c r="CG119" s="182">
        <f ca="1">IF($D119&lt;&gt;"Serviço",0,IF(OR(AND(AUTOEVENTO="Manual",$M119=1),$M119&gt;(ROW(PLE.lastrow)-ROW(PLE.firstrow))),0,IF(OFFSET(PLE!$G$14,$M119,CG$13)="",10^12,OFFSET(PLE!$G$14,$M119,CG$13))))</f>
        <v>1000000000000</v>
      </c>
      <c r="CH119" s="182">
        <f ca="1">IF($D119&lt;&gt;"Serviço",0,IF(OR(AND(AUTOEVENTO="Manual",$M119=1),$M119&gt;(ROW(PLE.lastrow)-ROW(PLE.firstrow))),0,IF(OFFSET(PLE!$G$14,$M119,CH$13)="",10^12,OFFSET(PLE!$G$14,$M119,CH$13))))</f>
        <v>1000000000000</v>
      </c>
      <c r="CI119" s="182">
        <f ca="1">IF($D119&lt;&gt;"Serviço",0,IF(OR(AND(AUTOEVENTO="Manual",$M119=1),$M119&gt;(ROW(PLE.lastrow)-ROW(PLE.firstrow))),0,IF(OFFSET(PLE!$G$14,$M119,CI$13)="",10^12,OFFSET(PLE!$G$14,$M119,CI$13))))</f>
        <v>1000000000000</v>
      </c>
      <c r="CJ119" s="182">
        <f ca="1">IF($D119&lt;&gt;"Serviço",0,IF(OR(AND(AUTOEVENTO="Manual",$M119=1),$M119&gt;(ROW(PLE.lastrow)-ROW(PLE.firstrow))),0,IF(OFFSET(PLE!$G$14,$M119,CJ$13)="",10^12,OFFSET(PLE!$G$14,$M119,CJ$13))))</f>
        <v>1000000000000</v>
      </c>
      <c r="CK119" s="182">
        <f ca="1">IF($D119&lt;&gt;"Serviço",0,IF(OR(AND(AUTOEVENTO="Manual",$M119=1),$M119&gt;(ROW(PLE.lastrow)-ROW(PLE.firstrow))),0,IF(OFFSET(PLE!$G$14,$M119,CK$13)="",10^12,OFFSET(PLE!$G$14,$M119,CK$13))))</f>
        <v>1000000000000</v>
      </c>
      <c r="CL119" s="182">
        <f ca="1">IF($D119&lt;&gt;"Serviço",0,IF(OR(AND(AUTOEVENTO="Manual",$M119=1),$M119&gt;(ROW(PLE.lastrow)-ROW(PLE.firstrow))),0,IF(OFFSET(PLE!$G$14,$M119,CL$13)="",10^12,OFFSET(PLE!$G$14,$M119,CL$13))))</f>
        <v>1000000000000</v>
      </c>
      <c r="CM119" s="182">
        <f ca="1">IF($D119&lt;&gt;"Serviço",0,IF(OR(AND(AUTOEVENTO="Manual",$M119=1),$M119&gt;(ROW(PLE.lastrow)-ROW(PLE.firstrow))),0,IF(OFFSET(PLE!$G$14,$M119,CM$13)="",10^12,OFFSET(PLE!$G$14,$M119,CM$13))))</f>
        <v>1000000000000</v>
      </c>
    </row>
    <row r="120" spans="1:91" ht="25.5" x14ac:dyDescent="0.2">
      <c r="A120" s="7" t="str">
        <f t="shared" ca="1" si="11"/>
        <v>99</v>
      </c>
      <c r="B120" s="7" t="str">
        <f ca="1">OFFSET(ORÇAMENTO!C$15,ROW(B120)-ROW(B$15),0)</f>
        <v>S</v>
      </c>
      <c r="C120" s="7" t="str">
        <f ca="1">OFFSET(ORÇAMENTO!L$15,ROW(C120)-ROW(C$15),0)</f>
        <v/>
      </c>
      <c r="D120" s="118" t="str">
        <f ca="1">OFFSET(ORÇAMENTO!N$15,ROW(D120)-ROW(D$15),0)</f>
        <v>Serviço</v>
      </c>
      <c r="E120" s="119" t="str">
        <f ca="1">OFFSET(ORÇAMENTO!O$15,ROW(E120)-ROW(E$15),0)</f>
        <v>-</v>
      </c>
      <c r="F120" s="172" t="str">
        <f ca="1">OFFSET(ORÇAMENTO!R$15,ROW(F120)-ROW(F$15),0)</f>
        <v>(abra o arquivo 'Referência 06-2024.xlsm)</v>
      </c>
      <c r="G120" s="173" t="str">
        <f ca="1">IF($D120&lt;&gt;"Serviço","",OFFSET(ORÇAMENTO!S$15,ROW(G120)-ROW(G$15),0))</f>
        <v>-</v>
      </c>
      <c r="H120" s="124">
        <f ca="1">IF($D120&lt;&gt;"Serviço",0,IF(ACOMPANHAMENTO="BM",ROUND(OFFSET(ORÇAMENTO!AJ$15,ROW(H120)-ROW(H$15),0),15-13*ORÇAMENTO!$AF$7),SUMPRODUCT(($Q$12:$AI$12&lt;&gt;"")*ROUND($Q120:$AI120,15-13*ORÇAMENTO!$AF$7))))</f>
        <v>2.2999999999999998</v>
      </c>
      <c r="I120" s="561" t="s">
        <v>1107</v>
      </c>
      <c r="K120" s="174"/>
      <c r="L120" s="175" t="s">
        <v>255</v>
      </c>
      <c r="M120" s="176">
        <f ca="1">IF($D120&lt;&gt;"Serviço","",IF(AUTOEVENTO="manual",$A120,IF(ISERROR(MATCH($A120,$A$15:OFFSET($A120,-1,0),0)),MAX($M$15:OFFSET(M120,-1,0))+1,INDEX($M$15:OFFSET(M120,-1,0),MATCH($A120,$A$15:OFFSET($A120,-1,0),0)))))</f>
        <v>19</v>
      </c>
      <c r="N120" s="177" t="str">
        <f ca="1">IF($D120&lt;&gt;"Serviço","",IF(AUTOEVENTO="Manual",IF($A120=0,"&lt;-- defina o número do agrupador",OFFSET(EVENTOS!$D$14,$A120,0)),OFFSET($F$15,$A120,0)))</f>
        <v>ESQUADRIAS - PORTAS DE MADEIRA</v>
      </c>
      <c r="O120" s="178"/>
      <c r="Q120" s="178">
        <v>2.2999999999999998</v>
      </c>
      <c r="R120" s="179"/>
      <c r="S120" s="179"/>
      <c r="T120" s="179"/>
      <c r="U120" s="179"/>
      <c r="V120" s="179"/>
      <c r="W120" s="179"/>
      <c r="X120" s="179"/>
      <c r="Y120" s="179"/>
      <c r="Z120" s="180"/>
      <c r="AA120" s="179"/>
      <c r="AB120" s="179"/>
      <c r="AC120" s="179"/>
      <c r="AD120" s="179"/>
      <c r="AE120" s="179"/>
      <c r="AF120" s="179"/>
      <c r="AG120" s="179"/>
      <c r="AH120" s="180"/>
      <c r="AJ120" s="544">
        <f ca="1">IF(AND($D120="Serviço",AJ$12&lt;&gt;0,$H120&gt;0,OR(AUTOEVENTO&lt;&gt;"manual",$M120&lt;&gt;1)),
IF(Import.TipoArredondamento&lt;&gt;"TransfereGOV",
ROUND(OFFSET($P120,0,AJ$13),15-13*ORÇAMENTO!$AF$7)/$H120*OFFSET(ORÇAMENTO!$X$15,ROW(AJ120)-ROW(AJ$15),0),
ROUND(ROUND(OFFSET($P120,0,AJ$13),15-13*ORÇAMENTO!$AF$7)*OFFSET(ORÇAMENTO!$W$15,ROW(AJ120)-ROW(AJ$15),0),15-13*ORÇAMENTO!$AF$11)),0)</f>
        <v>0</v>
      </c>
      <c r="AK120" s="545">
        <f ca="1">IF(AND($D120="Serviço",AK$12&lt;&gt;0,$H120&gt;0,OR(AUTOEVENTO&lt;&gt;"manual",$M120&lt;&gt;1)),
IF(Import.TipoArredondamento&lt;&gt;"TransfereGOV",
ROUND(OFFSET($P120,0,AK$13),15-13*ORÇAMENTO!$AF$7)/$H120*OFFSET(ORÇAMENTO!$X$15,ROW(AK120)-ROW(AK$15),0),
ROUND(ROUND(OFFSET($P120,0,AK$13),15-13*ORÇAMENTO!$AF$7)*OFFSET(ORÇAMENTO!$W$15,ROW(AK120)-ROW(AK$15),0),15-13*ORÇAMENTO!$AF$11)),0)</f>
        <v>0</v>
      </c>
      <c r="AL120" s="545">
        <f ca="1">IF(AND($D120="Serviço",AL$12&lt;&gt;0,$H120&gt;0,OR(AUTOEVENTO&lt;&gt;"manual",$M120&lt;&gt;1)),
IF(Import.TipoArredondamento&lt;&gt;"TransfereGOV",
ROUND(OFFSET($P120,0,AL$13),15-13*ORÇAMENTO!$AF$7)/$H120*OFFSET(ORÇAMENTO!$X$15,ROW(AL120)-ROW(AL$15),0),
ROUND(ROUND(OFFSET($P120,0,AL$13),15-13*ORÇAMENTO!$AF$7)*OFFSET(ORÇAMENTO!$W$15,ROW(AL120)-ROW(AL$15),0),15-13*ORÇAMENTO!$AF$11)),0)</f>
        <v>0</v>
      </c>
      <c r="AM120" s="545">
        <f ca="1">IF(AND($D120="Serviço",AM$12&lt;&gt;0,$H120&gt;0,OR(AUTOEVENTO&lt;&gt;"manual",$M120&lt;&gt;1)),
IF(Import.TipoArredondamento&lt;&gt;"TransfereGOV",
ROUND(OFFSET($P120,0,AM$13),15-13*ORÇAMENTO!$AF$7)/$H120*OFFSET(ORÇAMENTO!$X$15,ROW(AM120)-ROW(AM$15),0),
ROUND(ROUND(OFFSET($P120,0,AM$13),15-13*ORÇAMENTO!$AF$7)*OFFSET(ORÇAMENTO!$W$15,ROW(AM120)-ROW(AM$15),0),15-13*ORÇAMENTO!$AF$11)),0)</f>
        <v>0</v>
      </c>
      <c r="AN120" s="545">
        <f ca="1">IF(AND($D120="Serviço",AN$12&lt;&gt;0,$H120&gt;0,OR(AUTOEVENTO&lt;&gt;"manual",$M120&lt;&gt;1)),
IF(Import.TipoArredondamento&lt;&gt;"TransfereGOV",
ROUND(OFFSET($P120,0,AN$13),15-13*ORÇAMENTO!$AF$7)/$H120*OFFSET(ORÇAMENTO!$X$15,ROW(AN120)-ROW(AN$15),0),
ROUND(ROUND(OFFSET($P120,0,AN$13),15-13*ORÇAMENTO!$AF$7)*OFFSET(ORÇAMENTO!$W$15,ROW(AN120)-ROW(AN$15),0),15-13*ORÇAMENTO!$AF$11)),0)</f>
        <v>0</v>
      </c>
      <c r="AO120" s="545">
        <f ca="1">IF(AND($D120="Serviço",AO$12&lt;&gt;0,$H120&gt;0,OR(AUTOEVENTO&lt;&gt;"manual",$M120&lt;&gt;1)),
IF(Import.TipoArredondamento&lt;&gt;"TransfereGOV",
ROUND(OFFSET($P120,0,AO$13),15-13*ORÇAMENTO!$AF$7)/$H120*OFFSET(ORÇAMENTO!$X$15,ROW(AO120)-ROW(AO$15),0),
ROUND(ROUND(OFFSET($P120,0,AO$13),15-13*ORÇAMENTO!$AF$7)*OFFSET(ORÇAMENTO!$W$15,ROW(AO120)-ROW(AO$15),0),15-13*ORÇAMENTO!$AF$11)),0)</f>
        <v>0</v>
      </c>
      <c r="AP120" s="545">
        <f ca="1">IF(AND($D120="Serviço",AP$12&lt;&gt;0,$H120&gt;0,OR(AUTOEVENTO&lt;&gt;"manual",$M120&lt;&gt;1)),
IF(Import.TipoArredondamento&lt;&gt;"TransfereGOV",
ROUND(OFFSET($P120,0,AP$13),15-13*ORÇAMENTO!$AF$7)/$H120*OFFSET(ORÇAMENTO!$X$15,ROW(AP120)-ROW(AP$15),0),
ROUND(ROUND(OFFSET($P120,0,AP$13),15-13*ORÇAMENTO!$AF$7)*OFFSET(ORÇAMENTO!$W$15,ROW(AP120)-ROW(AP$15),0),15-13*ORÇAMENTO!$AF$11)),0)</f>
        <v>0</v>
      </c>
      <c r="AQ120" s="545">
        <f ca="1">IF(AND($D120="Serviço",AQ$12&lt;&gt;0,$H120&gt;0,OR(AUTOEVENTO&lt;&gt;"manual",$M120&lt;&gt;1)),
IF(Import.TipoArredondamento&lt;&gt;"TransfereGOV",
ROUND(OFFSET($P120,0,AQ$13),15-13*ORÇAMENTO!$AF$7)/$H120*OFFSET(ORÇAMENTO!$X$15,ROW(AQ120)-ROW(AQ$15),0),
ROUND(ROUND(OFFSET($P120,0,AQ$13),15-13*ORÇAMENTO!$AF$7)*OFFSET(ORÇAMENTO!$W$15,ROW(AQ120)-ROW(AQ$15),0),15-13*ORÇAMENTO!$AF$11)),0)</f>
        <v>0</v>
      </c>
      <c r="AR120" s="545">
        <f ca="1">IF(AND($D120="Serviço",AR$12&lt;&gt;0,$H120&gt;0,OR(AUTOEVENTO&lt;&gt;"manual",$M120&lt;&gt;1)),
IF(Import.TipoArredondamento&lt;&gt;"TransfereGOV",
ROUND(OFFSET($P120,0,AR$13),15-13*ORÇAMENTO!$AF$7)/$H120*OFFSET(ORÇAMENTO!$X$15,ROW(AR120)-ROW(AR$15),0),
ROUND(ROUND(OFFSET($P120,0,AR$13),15-13*ORÇAMENTO!$AF$7)*OFFSET(ORÇAMENTO!$W$15,ROW(AR120)-ROW(AR$15),0),15-13*ORÇAMENTO!$AF$11)),0)</f>
        <v>0</v>
      </c>
      <c r="AS120" s="546">
        <f ca="1">IF(AND($D120="Serviço",AS$12&lt;&gt;0,$H120&gt;0,OR(AUTOEVENTO&lt;&gt;"manual",$M120&lt;&gt;1)),
IF(Import.TipoArredondamento&lt;&gt;"TransfereGOV",
ROUND(OFFSET($P120,0,AS$13),15-13*ORÇAMENTO!$AF$7)/$H120*OFFSET(ORÇAMENTO!$X$15,ROW(AS120)-ROW(AS$15),0),
ROUND(ROUND(OFFSET($P120,0,AS$13),15-13*ORÇAMENTO!$AF$7)*OFFSET(ORÇAMENTO!$W$15,ROW(AS120)-ROW(AS$15),0),15-13*ORÇAMENTO!$AF$11)),0)</f>
        <v>0</v>
      </c>
      <c r="AT120" s="545">
        <f ca="1">IF(AND($D120="Serviço",AT$12&lt;&gt;0,$H120&gt;0,OR(AUTOEVENTO&lt;&gt;"manual",$M120&lt;&gt;1)),
IF(Import.TipoArredondamento&lt;&gt;"TransfereGOV",
ROUND(OFFSET($P120,0,AT$13),15-13*ORÇAMENTO!$AF$7)/$H120*OFFSET(ORÇAMENTO!$X$15,ROW(AT120)-ROW(AT$15),0),
ROUND(ROUND(OFFSET($P120,0,AT$13),15-13*ORÇAMENTO!$AF$7)*OFFSET(ORÇAMENTO!$W$15,ROW(AT120)-ROW(AT$15),0),15-13*ORÇAMENTO!$AF$11)),0)</f>
        <v>0</v>
      </c>
      <c r="AU120" s="545">
        <f ca="1">IF(AND($D120="Serviço",AU$12&lt;&gt;0,$H120&gt;0,OR(AUTOEVENTO&lt;&gt;"manual",$M120&lt;&gt;1)),
IF(Import.TipoArredondamento&lt;&gt;"TransfereGOV",
ROUND(OFFSET($P120,0,AU$13),15-13*ORÇAMENTO!$AF$7)/$H120*OFFSET(ORÇAMENTO!$X$15,ROW(AU120)-ROW(AU$15),0),
ROUND(ROUND(OFFSET($P120,0,AU$13),15-13*ORÇAMENTO!$AF$7)*OFFSET(ORÇAMENTO!$W$15,ROW(AU120)-ROW(AU$15),0),15-13*ORÇAMENTO!$AF$11)),0)</f>
        <v>0</v>
      </c>
      <c r="AV120" s="545">
        <f ca="1">IF(AND($D120="Serviço",AV$12&lt;&gt;0,$H120&gt;0,OR(AUTOEVENTO&lt;&gt;"manual",$M120&lt;&gt;1)),
IF(Import.TipoArredondamento&lt;&gt;"TransfereGOV",
ROUND(OFFSET($P120,0,AV$13),15-13*ORÇAMENTO!$AF$7)/$H120*OFFSET(ORÇAMENTO!$X$15,ROW(AV120)-ROW(AV$15),0),
ROUND(ROUND(OFFSET($P120,0,AV$13),15-13*ORÇAMENTO!$AF$7)*OFFSET(ORÇAMENTO!$W$15,ROW(AV120)-ROW(AV$15),0),15-13*ORÇAMENTO!$AF$11)),0)</f>
        <v>0</v>
      </c>
      <c r="AW120" s="545">
        <f ca="1">IF(AND($D120="Serviço",AW$12&lt;&gt;0,$H120&gt;0,OR(AUTOEVENTO&lt;&gt;"manual",$M120&lt;&gt;1)),
IF(Import.TipoArredondamento&lt;&gt;"TransfereGOV",
ROUND(OFFSET($P120,0,AW$13),15-13*ORÇAMENTO!$AF$7)/$H120*OFFSET(ORÇAMENTO!$X$15,ROW(AW120)-ROW(AW$15),0),
ROUND(ROUND(OFFSET($P120,0,AW$13),15-13*ORÇAMENTO!$AF$7)*OFFSET(ORÇAMENTO!$W$15,ROW(AW120)-ROW(AW$15),0),15-13*ORÇAMENTO!$AF$11)),0)</f>
        <v>0</v>
      </c>
      <c r="AX120" s="545">
        <f ca="1">IF(AND($D120="Serviço",AX$12&lt;&gt;0,$H120&gt;0,OR(AUTOEVENTO&lt;&gt;"manual",$M120&lt;&gt;1)),
IF(Import.TipoArredondamento&lt;&gt;"TransfereGOV",
ROUND(OFFSET($P120,0,AX$13),15-13*ORÇAMENTO!$AF$7)/$H120*OFFSET(ORÇAMENTO!$X$15,ROW(AX120)-ROW(AX$15),0),
ROUND(ROUND(OFFSET($P120,0,AX$13),15-13*ORÇAMENTO!$AF$7)*OFFSET(ORÇAMENTO!$W$15,ROW(AX120)-ROW(AX$15),0),15-13*ORÇAMENTO!$AF$11)),0)</f>
        <v>0</v>
      </c>
      <c r="AY120" s="545">
        <f ca="1">IF(AND($D120="Serviço",AY$12&lt;&gt;0,$H120&gt;0,OR(AUTOEVENTO&lt;&gt;"manual",$M120&lt;&gt;1)),
IF(Import.TipoArredondamento&lt;&gt;"TransfereGOV",
ROUND(OFFSET($P120,0,AY$13),15-13*ORÇAMENTO!$AF$7)/$H120*OFFSET(ORÇAMENTO!$X$15,ROW(AY120)-ROW(AY$15),0),
ROUND(ROUND(OFFSET($P120,0,AY$13),15-13*ORÇAMENTO!$AF$7)*OFFSET(ORÇAMENTO!$W$15,ROW(AY120)-ROW(AY$15),0),15-13*ORÇAMENTO!$AF$11)),0)</f>
        <v>0</v>
      </c>
      <c r="AZ120" s="545">
        <f ca="1">IF(AND($D120="Serviço",AZ$12&lt;&gt;0,$H120&gt;0,OR(AUTOEVENTO&lt;&gt;"manual",$M120&lt;&gt;1)),
IF(Import.TipoArredondamento&lt;&gt;"TransfereGOV",
ROUND(OFFSET($P120,0,AZ$13),15-13*ORÇAMENTO!$AF$7)/$H120*OFFSET(ORÇAMENTO!$X$15,ROW(AZ120)-ROW(AZ$15),0),
ROUND(ROUND(OFFSET($P120,0,AZ$13),15-13*ORÇAMENTO!$AF$7)*OFFSET(ORÇAMENTO!$W$15,ROW(AZ120)-ROW(AZ$15),0),15-13*ORÇAMENTO!$AF$11)),0)</f>
        <v>0</v>
      </c>
      <c r="BA120" s="546">
        <f ca="1">IF(AND($D120="Serviço",BA$12&lt;&gt;0,$H120&gt;0,OR(AUTOEVENTO&lt;&gt;"manual",$M120&lt;&gt;1)),
IF(Import.TipoArredondamento&lt;&gt;"TransfereGOV",
ROUND(OFFSET($P120,0,BA$13),15-13*ORÇAMENTO!$AF$7)/$H120*OFFSET(ORÇAMENTO!$X$15,ROW(BA120)-ROW(BA$15),0),
ROUND(ROUND(OFFSET($P120,0,BA$13),15-13*ORÇAMENTO!$AF$7)*OFFSET(ORÇAMENTO!$W$15,ROW(BA120)-ROW(BA$15),0),15-13*ORÇAMENTO!$AF$11)),0)</f>
        <v>0</v>
      </c>
      <c r="BC120" s="181">
        <f ca="1">IF($D120&lt;&gt;"Serviço",0,IF(AND(AUTOEVENTO="Manual",$M120=1),0,IF(OFFSET(CRONOPLE!$F$14,$M120,BC$13)="",10^12,OFFSET(CRONOPLE!$F$14,$M120,BC$13))))</f>
        <v>5</v>
      </c>
      <c r="BD120" s="181">
        <f ca="1">IF($D120&lt;&gt;"Serviço",0,IF(AND(AUTOEVENTO="Manual",$M120=1),0,IF(OFFSET(CRONOPLE!$F$14,$M120,BD$13)="",10^12,OFFSET(CRONOPLE!$F$14,$M120,BD$13))))</f>
        <v>1000000000000</v>
      </c>
      <c r="BE120" s="181">
        <f ca="1">IF($D120&lt;&gt;"Serviço",0,IF(AND(AUTOEVENTO="Manual",$M120=1),0,IF(OFFSET(CRONOPLE!$F$14,$M120,BE$13)="",10^12,OFFSET(CRONOPLE!$F$14,$M120,BE$13))))</f>
        <v>1000000000000</v>
      </c>
      <c r="BF120" s="181">
        <f ca="1">IF($D120&lt;&gt;"Serviço",0,IF(AND(AUTOEVENTO="Manual",$M120=1),0,IF(OFFSET(CRONOPLE!$F$14,$M120,BF$13)="",10^12,OFFSET(CRONOPLE!$F$14,$M120,BF$13))))</f>
        <v>1000000000000</v>
      </c>
      <c r="BG120" s="181">
        <f ca="1">IF($D120&lt;&gt;"Serviço",0,IF(AND(AUTOEVENTO="Manual",$M120=1),0,IF(OFFSET(CRONOPLE!$F$14,$M120,BG$13)="",10^12,OFFSET(CRONOPLE!$F$14,$M120,BG$13))))</f>
        <v>1000000000000</v>
      </c>
      <c r="BH120" s="181">
        <f ca="1">IF($D120&lt;&gt;"Serviço",0,IF(AND(AUTOEVENTO="Manual",$M120=1),0,IF(OFFSET(CRONOPLE!$F$14,$M120,BH$13)="",10^12,OFFSET(CRONOPLE!$F$14,$M120,BH$13))))</f>
        <v>1000000000000</v>
      </c>
      <c r="BI120" s="181">
        <f ca="1">IF($D120&lt;&gt;"Serviço",0,IF(AND(AUTOEVENTO="Manual",$M120=1),0,IF(OFFSET(CRONOPLE!$F$14,$M120,BI$13)="",10^12,OFFSET(CRONOPLE!$F$14,$M120,BI$13))))</f>
        <v>1000000000000</v>
      </c>
      <c r="BJ120" s="181">
        <f ca="1">IF($D120&lt;&gt;"Serviço",0,IF(AND(AUTOEVENTO="Manual",$M120=1),0,IF(OFFSET(CRONOPLE!$F$14,$M120,BJ$13)="",10^12,OFFSET(CRONOPLE!$F$14,$M120,BJ$13))))</f>
        <v>1000000000000</v>
      </c>
      <c r="BK120" s="181">
        <f ca="1">IF($D120&lt;&gt;"Serviço",0,IF(AND(AUTOEVENTO="Manual",$M120=1),0,IF(OFFSET(CRONOPLE!$F$14,$M120,BK$13)="",10^12,OFFSET(CRONOPLE!$F$14,$M120,BK$13))))</f>
        <v>1000000000000</v>
      </c>
      <c r="BL120" s="181">
        <f ca="1">IF($D120&lt;&gt;"Serviço",0,IF(AND(AUTOEVENTO="Manual",$M120=1),0,IF(OFFSET(CRONOPLE!$F$14,$M120,BL$13)="",10^12,OFFSET(CRONOPLE!$F$14,$M120,BL$13))))</f>
        <v>1000000000000</v>
      </c>
      <c r="BM120" s="181">
        <f ca="1">IF($D120&lt;&gt;"Serviço",0,IF(AND(AUTOEVENTO="Manual",$M120=1),0,IF(OFFSET(CRONOPLE!$F$14,$M120,BM$13)="",10^12,OFFSET(CRONOPLE!$F$14,$M120,BM$13))))</f>
        <v>1000000000000</v>
      </c>
      <c r="BN120" s="181">
        <f ca="1">IF($D120&lt;&gt;"Serviço",0,IF(AND(AUTOEVENTO="Manual",$M120=1),0,IF(OFFSET(CRONOPLE!$F$14,$M120,BN$13)="",10^12,OFFSET(CRONOPLE!$F$14,$M120,BN$13))))</f>
        <v>1000000000000</v>
      </c>
      <c r="BO120" s="181">
        <f ca="1">IF($D120&lt;&gt;"Serviço",0,IF(AND(AUTOEVENTO="Manual",$M120=1),0,IF(OFFSET(CRONOPLE!$F$14,$M120,BO$13)="",10^12,OFFSET(CRONOPLE!$F$14,$M120,BO$13))))</f>
        <v>1000000000000</v>
      </c>
      <c r="BP120" s="181">
        <f ca="1">IF($D120&lt;&gt;"Serviço",0,IF(AND(AUTOEVENTO="Manual",$M120=1),0,IF(OFFSET(CRONOPLE!$F$14,$M120,BP$13)="",10^12,OFFSET(CRONOPLE!$F$14,$M120,BP$13))))</f>
        <v>1000000000000</v>
      </c>
      <c r="BQ120" s="181">
        <f ca="1">IF($D120&lt;&gt;"Serviço",0,IF(AND(AUTOEVENTO="Manual",$M120=1),0,IF(OFFSET(CRONOPLE!$F$14,$M120,BQ$13)="",10^12,OFFSET(CRONOPLE!$F$14,$M120,BQ$13))))</f>
        <v>1000000000000</v>
      </c>
      <c r="BR120" s="181">
        <f ca="1">IF($D120&lt;&gt;"Serviço",0,IF(AND(AUTOEVENTO="Manual",$M120=1),0,IF(OFFSET(CRONOPLE!$F$14,$M120,BR$13)="",10^12,OFFSET(CRONOPLE!$F$14,$M120,BR$13))))</f>
        <v>1000000000000</v>
      </c>
      <c r="BS120" s="181">
        <f ca="1">IF($D120&lt;&gt;"Serviço",0,IF(AND(AUTOEVENTO="Manual",$M120=1),0,IF(OFFSET(CRONOPLE!$F$14,$M120,BS$13)="",10^12,OFFSET(CRONOPLE!$F$14,$M120,BS$13))))</f>
        <v>1000000000000</v>
      </c>
      <c r="BT120" s="181">
        <f ca="1">IF($D120&lt;&gt;"Serviço",0,IF(AND(AUTOEVENTO="Manual",$M120=1),0,IF(OFFSET(CRONOPLE!$F$14,$M120,BT$13)="",10^12,OFFSET(CRONOPLE!$F$14,$M120,BT$13))))</f>
        <v>1000000000000</v>
      </c>
      <c r="BV120" s="182">
        <f ca="1">IF($D120&lt;&gt;"Serviço",0,IF(OR(AND(AUTOEVENTO="Manual",$M120=1),$M120&gt;(ROW(PLE.lastrow)-ROW(PLE.firstrow))),0,IF(OFFSET(PLE!$G$14,$M120,BV$13)="",10^12,OFFSET(PLE!$G$14,$M120,BV$13))))</f>
        <v>1000000000000</v>
      </c>
      <c r="BW120" s="182">
        <f ca="1">IF($D120&lt;&gt;"Serviço",0,IF(OR(AND(AUTOEVENTO="Manual",$M120=1),$M120&gt;(ROW(PLE.lastrow)-ROW(PLE.firstrow))),0,IF(OFFSET(PLE!$G$14,$M120,BW$13)="",10^12,OFFSET(PLE!$G$14,$M120,BW$13))))</f>
        <v>1000000000000</v>
      </c>
      <c r="BX120" s="182">
        <f ca="1">IF($D120&lt;&gt;"Serviço",0,IF(OR(AND(AUTOEVENTO="Manual",$M120=1),$M120&gt;(ROW(PLE.lastrow)-ROW(PLE.firstrow))),0,IF(OFFSET(PLE!$G$14,$M120,BX$13)="",10^12,OFFSET(PLE!$G$14,$M120,BX$13))))</f>
        <v>1000000000000</v>
      </c>
      <c r="BY120" s="182">
        <f ca="1">IF($D120&lt;&gt;"Serviço",0,IF(OR(AND(AUTOEVENTO="Manual",$M120=1),$M120&gt;(ROW(PLE.lastrow)-ROW(PLE.firstrow))),0,IF(OFFSET(PLE!$G$14,$M120,BY$13)="",10^12,OFFSET(PLE!$G$14,$M120,BY$13))))</f>
        <v>1000000000000</v>
      </c>
      <c r="BZ120" s="182">
        <f ca="1">IF($D120&lt;&gt;"Serviço",0,IF(OR(AND(AUTOEVENTO="Manual",$M120=1),$M120&gt;(ROW(PLE.lastrow)-ROW(PLE.firstrow))),0,IF(OFFSET(PLE!$G$14,$M120,BZ$13)="",10^12,OFFSET(PLE!$G$14,$M120,BZ$13))))</f>
        <v>1000000000000</v>
      </c>
      <c r="CA120" s="182">
        <f ca="1">IF($D120&lt;&gt;"Serviço",0,IF(OR(AND(AUTOEVENTO="Manual",$M120=1),$M120&gt;(ROW(PLE.lastrow)-ROW(PLE.firstrow))),0,IF(OFFSET(PLE!$G$14,$M120,CA$13)="",10^12,OFFSET(PLE!$G$14,$M120,CA$13))))</f>
        <v>1000000000000</v>
      </c>
      <c r="CB120" s="182">
        <f ca="1">IF($D120&lt;&gt;"Serviço",0,IF(OR(AND(AUTOEVENTO="Manual",$M120=1),$M120&gt;(ROW(PLE.lastrow)-ROW(PLE.firstrow))),0,IF(OFFSET(PLE!$G$14,$M120,CB$13)="",10^12,OFFSET(PLE!$G$14,$M120,CB$13))))</f>
        <v>1000000000000</v>
      </c>
      <c r="CC120" s="182">
        <f ca="1">IF($D120&lt;&gt;"Serviço",0,IF(OR(AND(AUTOEVENTO="Manual",$M120=1),$M120&gt;(ROW(PLE.lastrow)-ROW(PLE.firstrow))),0,IF(OFFSET(PLE!$G$14,$M120,CC$13)="",10^12,OFFSET(PLE!$G$14,$M120,CC$13))))</f>
        <v>1000000000000</v>
      </c>
      <c r="CD120" s="182">
        <f ca="1">IF($D120&lt;&gt;"Serviço",0,IF(OR(AND(AUTOEVENTO="Manual",$M120=1),$M120&gt;(ROW(PLE.lastrow)-ROW(PLE.firstrow))),0,IF(OFFSET(PLE!$G$14,$M120,CD$13)="",10^12,OFFSET(PLE!$G$14,$M120,CD$13))))</f>
        <v>1000000000000</v>
      </c>
      <c r="CE120" s="182">
        <f ca="1">IF($D120&lt;&gt;"Serviço",0,IF(OR(AND(AUTOEVENTO="Manual",$M120=1),$M120&gt;(ROW(PLE.lastrow)-ROW(PLE.firstrow))),0,IF(OFFSET(PLE!$G$14,$M120,CE$13)="",10^12,OFFSET(PLE!$G$14,$M120,CE$13))))</f>
        <v>1000000000000</v>
      </c>
      <c r="CF120" s="182">
        <f ca="1">IF($D120&lt;&gt;"Serviço",0,IF(OR(AND(AUTOEVENTO="Manual",$M120=1),$M120&gt;(ROW(PLE.lastrow)-ROW(PLE.firstrow))),0,IF(OFFSET(PLE!$G$14,$M120,CF$13)="",10^12,OFFSET(PLE!$G$14,$M120,CF$13))))</f>
        <v>1000000000000</v>
      </c>
      <c r="CG120" s="182">
        <f ca="1">IF($D120&lt;&gt;"Serviço",0,IF(OR(AND(AUTOEVENTO="Manual",$M120=1),$M120&gt;(ROW(PLE.lastrow)-ROW(PLE.firstrow))),0,IF(OFFSET(PLE!$G$14,$M120,CG$13)="",10^12,OFFSET(PLE!$G$14,$M120,CG$13))))</f>
        <v>1000000000000</v>
      </c>
      <c r="CH120" s="182">
        <f ca="1">IF($D120&lt;&gt;"Serviço",0,IF(OR(AND(AUTOEVENTO="Manual",$M120=1),$M120&gt;(ROW(PLE.lastrow)-ROW(PLE.firstrow))),0,IF(OFFSET(PLE!$G$14,$M120,CH$13)="",10^12,OFFSET(PLE!$G$14,$M120,CH$13))))</f>
        <v>1000000000000</v>
      </c>
      <c r="CI120" s="182">
        <f ca="1">IF($D120&lt;&gt;"Serviço",0,IF(OR(AND(AUTOEVENTO="Manual",$M120=1),$M120&gt;(ROW(PLE.lastrow)-ROW(PLE.firstrow))),0,IF(OFFSET(PLE!$G$14,$M120,CI$13)="",10^12,OFFSET(PLE!$G$14,$M120,CI$13))))</f>
        <v>1000000000000</v>
      </c>
      <c r="CJ120" s="182">
        <f ca="1">IF($D120&lt;&gt;"Serviço",0,IF(OR(AND(AUTOEVENTO="Manual",$M120=1),$M120&gt;(ROW(PLE.lastrow)-ROW(PLE.firstrow))),0,IF(OFFSET(PLE!$G$14,$M120,CJ$13)="",10^12,OFFSET(PLE!$G$14,$M120,CJ$13))))</f>
        <v>1000000000000</v>
      </c>
      <c r="CK120" s="182">
        <f ca="1">IF($D120&lt;&gt;"Serviço",0,IF(OR(AND(AUTOEVENTO="Manual",$M120=1),$M120&gt;(ROW(PLE.lastrow)-ROW(PLE.firstrow))),0,IF(OFFSET(PLE!$G$14,$M120,CK$13)="",10^12,OFFSET(PLE!$G$14,$M120,CK$13))))</f>
        <v>1000000000000</v>
      </c>
      <c r="CL120" s="182">
        <f ca="1">IF($D120&lt;&gt;"Serviço",0,IF(OR(AND(AUTOEVENTO="Manual",$M120=1),$M120&gt;(ROW(PLE.lastrow)-ROW(PLE.firstrow))),0,IF(OFFSET(PLE!$G$14,$M120,CL$13)="",10^12,OFFSET(PLE!$G$14,$M120,CL$13))))</f>
        <v>1000000000000</v>
      </c>
      <c r="CM120" s="182">
        <f ca="1">IF($D120&lt;&gt;"Serviço",0,IF(OR(AND(AUTOEVENTO="Manual",$M120=1),$M120&gt;(ROW(PLE.lastrow)-ROW(PLE.firstrow))),0,IF(OFFSET(PLE!$G$14,$M120,CM$13)="",10^12,OFFSET(PLE!$G$14,$M120,CM$13))))</f>
        <v>1000000000000</v>
      </c>
    </row>
    <row r="121" spans="1:91" ht="12.75" x14ac:dyDescent="0.2">
      <c r="A121" s="7" t="str">
        <f t="shared" ca="1" si="11"/>
        <v>106.</v>
      </c>
      <c r="B121" s="7">
        <f ca="1">OFFSET(ORÇAMENTO!C$15,ROW(B121)-ROW(B$15),0)</f>
        <v>2</v>
      </c>
      <c r="C121" s="7" t="str">
        <f ca="1">OFFSET(ORÇAMENTO!L$15,ROW(C121)-ROW(C$15),0)</f>
        <v>F</v>
      </c>
      <c r="D121" s="118" t="str">
        <f ca="1">OFFSET(ORÇAMENTO!N$15,ROW(D121)-ROW(D$15),0)</f>
        <v>Nível 2</v>
      </c>
      <c r="E121" s="119" t="str">
        <f ca="1">OFFSET(ORÇAMENTO!O$15,ROW(E121)-ROW(E$15),0)</f>
        <v>1.19.</v>
      </c>
      <c r="F121" s="172" t="str">
        <f ca="1">OFFSET(ORÇAMENTO!R$15,ROW(F121)-ROW(F$15),0)</f>
        <v>ESQUADRIAS - FERRAGENS E ACESSÓRIOS</v>
      </c>
      <c r="G121" s="173" t="str">
        <f ca="1">IF($D121&lt;&gt;"Serviço","",OFFSET(ORÇAMENTO!S$15,ROW(G121)-ROW(G$15),0))</f>
        <v/>
      </c>
      <c r="H121" s="124">
        <f ca="1">IF($D121&lt;&gt;"Serviço",0,IF(ACOMPANHAMENTO="BM",ROUND(OFFSET(ORÇAMENTO!AJ$15,ROW(H121)-ROW(H$15),0),15-13*ORÇAMENTO!$AF$7),SUMPRODUCT(($Q$12:$AI$12&lt;&gt;"")*ROUND($Q121:$AI121,15-13*ORÇAMENTO!$AF$7))))</f>
        <v>0</v>
      </c>
      <c r="I121" s="561"/>
      <c r="K121" s="174"/>
      <c r="L121" s="175" t="s">
        <v>255</v>
      </c>
      <c r="M121" s="176" t="str">
        <f ca="1">IF($D121&lt;&gt;"Serviço","",IF(AUTOEVENTO="manual",$A121,IF(ISERROR(MATCH($A121,$A$15:OFFSET($A121,-1,0),0)),MAX($M$15:OFFSET(M121,-1,0))+1,INDEX($M$15:OFFSET(M121,-1,0),MATCH($A121,$A$15:OFFSET($A121,-1,0),0)))))</f>
        <v/>
      </c>
      <c r="N121" s="177" t="str">
        <f ca="1">IF($D121&lt;&gt;"Serviço","",IF(AUTOEVENTO="Manual",IF($A121=0,"&lt;-- defina o número do agrupador",OFFSET(EVENTOS!$D$14,$A121,0)),OFFSET($F$15,$A121,0)))</f>
        <v/>
      </c>
      <c r="O121" s="178"/>
      <c r="Q121" s="178">
        <v>0</v>
      </c>
      <c r="R121" s="179"/>
      <c r="S121" s="179"/>
      <c r="T121" s="179"/>
      <c r="U121" s="179"/>
      <c r="V121" s="179"/>
      <c r="W121" s="179"/>
      <c r="X121" s="179"/>
      <c r="Y121" s="179"/>
      <c r="Z121" s="180"/>
      <c r="AA121" s="179"/>
      <c r="AB121" s="179"/>
      <c r="AC121" s="179"/>
      <c r="AD121" s="179"/>
      <c r="AE121" s="179"/>
      <c r="AF121" s="179"/>
      <c r="AG121" s="179"/>
      <c r="AH121" s="180"/>
      <c r="AJ121" s="544">
        <f ca="1">IF(AND($D121="Serviço",AJ$12&lt;&gt;0,$H121&gt;0,OR(AUTOEVENTO&lt;&gt;"manual",$M121&lt;&gt;1)),
IF(Import.TipoArredondamento&lt;&gt;"TransfereGOV",
ROUND(OFFSET($P121,0,AJ$13),15-13*ORÇAMENTO!$AF$7)/$H121*OFFSET(ORÇAMENTO!$X$15,ROW(AJ121)-ROW(AJ$15),0),
ROUND(ROUND(OFFSET($P121,0,AJ$13),15-13*ORÇAMENTO!$AF$7)*OFFSET(ORÇAMENTO!$W$15,ROW(AJ121)-ROW(AJ$15),0),15-13*ORÇAMENTO!$AF$11)),0)</f>
        <v>0</v>
      </c>
      <c r="AK121" s="545">
        <f ca="1">IF(AND($D121="Serviço",AK$12&lt;&gt;0,$H121&gt;0,OR(AUTOEVENTO&lt;&gt;"manual",$M121&lt;&gt;1)),
IF(Import.TipoArredondamento&lt;&gt;"TransfereGOV",
ROUND(OFFSET($P121,0,AK$13),15-13*ORÇAMENTO!$AF$7)/$H121*OFFSET(ORÇAMENTO!$X$15,ROW(AK121)-ROW(AK$15),0),
ROUND(ROUND(OFFSET($P121,0,AK$13),15-13*ORÇAMENTO!$AF$7)*OFFSET(ORÇAMENTO!$W$15,ROW(AK121)-ROW(AK$15),0),15-13*ORÇAMENTO!$AF$11)),0)</f>
        <v>0</v>
      </c>
      <c r="AL121" s="545">
        <f ca="1">IF(AND($D121="Serviço",AL$12&lt;&gt;0,$H121&gt;0,OR(AUTOEVENTO&lt;&gt;"manual",$M121&lt;&gt;1)),
IF(Import.TipoArredondamento&lt;&gt;"TransfereGOV",
ROUND(OFFSET($P121,0,AL$13),15-13*ORÇAMENTO!$AF$7)/$H121*OFFSET(ORÇAMENTO!$X$15,ROW(AL121)-ROW(AL$15),0),
ROUND(ROUND(OFFSET($P121,0,AL$13),15-13*ORÇAMENTO!$AF$7)*OFFSET(ORÇAMENTO!$W$15,ROW(AL121)-ROW(AL$15),0),15-13*ORÇAMENTO!$AF$11)),0)</f>
        <v>0</v>
      </c>
      <c r="AM121" s="545">
        <f ca="1">IF(AND($D121="Serviço",AM$12&lt;&gt;0,$H121&gt;0,OR(AUTOEVENTO&lt;&gt;"manual",$M121&lt;&gt;1)),
IF(Import.TipoArredondamento&lt;&gt;"TransfereGOV",
ROUND(OFFSET($P121,0,AM$13),15-13*ORÇAMENTO!$AF$7)/$H121*OFFSET(ORÇAMENTO!$X$15,ROW(AM121)-ROW(AM$15),0),
ROUND(ROUND(OFFSET($P121,0,AM$13),15-13*ORÇAMENTO!$AF$7)*OFFSET(ORÇAMENTO!$W$15,ROW(AM121)-ROW(AM$15),0),15-13*ORÇAMENTO!$AF$11)),0)</f>
        <v>0</v>
      </c>
      <c r="AN121" s="545">
        <f ca="1">IF(AND($D121="Serviço",AN$12&lt;&gt;0,$H121&gt;0,OR(AUTOEVENTO&lt;&gt;"manual",$M121&lt;&gt;1)),
IF(Import.TipoArredondamento&lt;&gt;"TransfereGOV",
ROUND(OFFSET($P121,0,AN$13),15-13*ORÇAMENTO!$AF$7)/$H121*OFFSET(ORÇAMENTO!$X$15,ROW(AN121)-ROW(AN$15),0),
ROUND(ROUND(OFFSET($P121,0,AN$13),15-13*ORÇAMENTO!$AF$7)*OFFSET(ORÇAMENTO!$W$15,ROW(AN121)-ROW(AN$15),0),15-13*ORÇAMENTO!$AF$11)),0)</f>
        <v>0</v>
      </c>
      <c r="AO121" s="545">
        <f ca="1">IF(AND($D121="Serviço",AO$12&lt;&gt;0,$H121&gt;0,OR(AUTOEVENTO&lt;&gt;"manual",$M121&lt;&gt;1)),
IF(Import.TipoArredondamento&lt;&gt;"TransfereGOV",
ROUND(OFFSET($P121,0,AO$13),15-13*ORÇAMENTO!$AF$7)/$H121*OFFSET(ORÇAMENTO!$X$15,ROW(AO121)-ROW(AO$15),0),
ROUND(ROUND(OFFSET($P121,0,AO$13),15-13*ORÇAMENTO!$AF$7)*OFFSET(ORÇAMENTO!$W$15,ROW(AO121)-ROW(AO$15),0),15-13*ORÇAMENTO!$AF$11)),0)</f>
        <v>0</v>
      </c>
      <c r="AP121" s="545">
        <f ca="1">IF(AND($D121="Serviço",AP$12&lt;&gt;0,$H121&gt;0,OR(AUTOEVENTO&lt;&gt;"manual",$M121&lt;&gt;1)),
IF(Import.TipoArredondamento&lt;&gt;"TransfereGOV",
ROUND(OFFSET($P121,0,AP$13),15-13*ORÇAMENTO!$AF$7)/$H121*OFFSET(ORÇAMENTO!$X$15,ROW(AP121)-ROW(AP$15),0),
ROUND(ROUND(OFFSET($P121,0,AP$13),15-13*ORÇAMENTO!$AF$7)*OFFSET(ORÇAMENTO!$W$15,ROW(AP121)-ROW(AP$15),0),15-13*ORÇAMENTO!$AF$11)),0)</f>
        <v>0</v>
      </c>
      <c r="AQ121" s="545">
        <f ca="1">IF(AND($D121="Serviço",AQ$12&lt;&gt;0,$H121&gt;0,OR(AUTOEVENTO&lt;&gt;"manual",$M121&lt;&gt;1)),
IF(Import.TipoArredondamento&lt;&gt;"TransfereGOV",
ROUND(OFFSET($P121,0,AQ$13),15-13*ORÇAMENTO!$AF$7)/$H121*OFFSET(ORÇAMENTO!$X$15,ROW(AQ121)-ROW(AQ$15),0),
ROUND(ROUND(OFFSET($P121,0,AQ$13),15-13*ORÇAMENTO!$AF$7)*OFFSET(ORÇAMENTO!$W$15,ROW(AQ121)-ROW(AQ$15),0),15-13*ORÇAMENTO!$AF$11)),0)</f>
        <v>0</v>
      </c>
      <c r="AR121" s="545">
        <f ca="1">IF(AND($D121="Serviço",AR$12&lt;&gt;0,$H121&gt;0,OR(AUTOEVENTO&lt;&gt;"manual",$M121&lt;&gt;1)),
IF(Import.TipoArredondamento&lt;&gt;"TransfereGOV",
ROUND(OFFSET($P121,0,AR$13),15-13*ORÇAMENTO!$AF$7)/$H121*OFFSET(ORÇAMENTO!$X$15,ROW(AR121)-ROW(AR$15),0),
ROUND(ROUND(OFFSET($P121,0,AR$13),15-13*ORÇAMENTO!$AF$7)*OFFSET(ORÇAMENTO!$W$15,ROW(AR121)-ROW(AR$15),0),15-13*ORÇAMENTO!$AF$11)),0)</f>
        <v>0</v>
      </c>
      <c r="AS121" s="546">
        <f ca="1">IF(AND($D121="Serviço",AS$12&lt;&gt;0,$H121&gt;0,OR(AUTOEVENTO&lt;&gt;"manual",$M121&lt;&gt;1)),
IF(Import.TipoArredondamento&lt;&gt;"TransfereGOV",
ROUND(OFFSET($P121,0,AS$13),15-13*ORÇAMENTO!$AF$7)/$H121*OFFSET(ORÇAMENTO!$X$15,ROW(AS121)-ROW(AS$15),0),
ROUND(ROUND(OFFSET($P121,0,AS$13),15-13*ORÇAMENTO!$AF$7)*OFFSET(ORÇAMENTO!$W$15,ROW(AS121)-ROW(AS$15),0),15-13*ORÇAMENTO!$AF$11)),0)</f>
        <v>0</v>
      </c>
      <c r="AT121" s="545">
        <f ca="1">IF(AND($D121="Serviço",AT$12&lt;&gt;0,$H121&gt;0,OR(AUTOEVENTO&lt;&gt;"manual",$M121&lt;&gt;1)),
IF(Import.TipoArredondamento&lt;&gt;"TransfereGOV",
ROUND(OFFSET($P121,0,AT$13),15-13*ORÇAMENTO!$AF$7)/$H121*OFFSET(ORÇAMENTO!$X$15,ROW(AT121)-ROW(AT$15),0),
ROUND(ROUND(OFFSET($P121,0,AT$13),15-13*ORÇAMENTO!$AF$7)*OFFSET(ORÇAMENTO!$W$15,ROW(AT121)-ROW(AT$15),0),15-13*ORÇAMENTO!$AF$11)),0)</f>
        <v>0</v>
      </c>
      <c r="AU121" s="545">
        <f ca="1">IF(AND($D121="Serviço",AU$12&lt;&gt;0,$H121&gt;0,OR(AUTOEVENTO&lt;&gt;"manual",$M121&lt;&gt;1)),
IF(Import.TipoArredondamento&lt;&gt;"TransfereGOV",
ROUND(OFFSET($P121,0,AU$13),15-13*ORÇAMENTO!$AF$7)/$H121*OFFSET(ORÇAMENTO!$X$15,ROW(AU121)-ROW(AU$15),0),
ROUND(ROUND(OFFSET($P121,0,AU$13),15-13*ORÇAMENTO!$AF$7)*OFFSET(ORÇAMENTO!$W$15,ROW(AU121)-ROW(AU$15),0),15-13*ORÇAMENTO!$AF$11)),0)</f>
        <v>0</v>
      </c>
      <c r="AV121" s="545">
        <f ca="1">IF(AND($D121="Serviço",AV$12&lt;&gt;0,$H121&gt;0,OR(AUTOEVENTO&lt;&gt;"manual",$M121&lt;&gt;1)),
IF(Import.TipoArredondamento&lt;&gt;"TransfereGOV",
ROUND(OFFSET($P121,0,AV$13),15-13*ORÇAMENTO!$AF$7)/$H121*OFFSET(ORÇAMENTO!$X$15,ROW(AV121)-ROW(AV$15),0),
ROUND(ROUND(OFFSET($P121,0,AV$13),15-13*ORÇAMENTO!$AF$7)*OFFSET(ORÇAMENTO!$W$15,ROW(AV121)-ROW(AV$15),0),15-13*ORÇAMENTO!$AF$11)),0)</f>
        <v>0</v>
      </c>
      <c r="AW121" s="545">
        <f ca="1">IF(AND($D121="Serviço",AW$12&lt;&gt;0,$H121&gt;0,OR(AUTOEVENTO&lt;&gt;"manual",$M121&lt;&gt;1)),
IF(Import.TipoArredondamento&lt;&gt;"TransfereGOV",
ROUND(OFFSET($P121,0,AW$13),15-13*ORÇAMENTO!$AF$7)/$H121*OFFSET(ORÇAMENTO!$X$15,ROW(AW121)-ROW(AW$15),0),
ROUND(ROUND(OFFSET($P121,0,AW$13),15-13*ORÇAMENTO!$AF$7)*OFFSET(ORÇAMENTO!$W$15,ROW(AW121)-ROW(AW$15),0),15-13*ORÇAMENTO!$AF$11)),0)</f>
        <v>0</v>
      </c>
      <c r="AX121" s="545">
        <f ca="1">IF(AND($D121="Serviço",AX$12&lt;&gt;0,$H121&gt;0,OR(AUTOEVENTO&lt;&gt;"manual",$M121&lt;&gt;1)),
IF(Import.TipoArredondamento&lt;&gt;"TransfereGOV",
ROUND(OFFSET($P121,0,AX$13),15-13*ORÇAMENTO!$AF$7)/$H121*OFFSET(ORÇAMENTO!$X$15,ROW(AX121)-ROW(AX$15),0),
ROUND(ROUND(OFFSET($P121,0,AX$13),15-13*ORÇAMENTO!$AF$7)*OFFSET(ORÇAMENTO!$W$15,ROW(AX121)-ROW(AX$15),0),15-13*ORÇAMENTO!$AF$11)),0)</f>
        <v>0</v>
      </c>
      <c r="AY121" s="545">
        <f ca="1">IF(AND($D121="Serviço",AY$12&lt;&gt;0,$H121&gt;0,OR(AUTOEVENTO&lt;&gt;"manual",$M121&lt;&gt;1)),
IF(Import.TipoArredondamento&lt;&gt;"TransfereGOV",
ROUND(OFFSET($P121,0,AY$13),15-13*ORÇAMENTO!$AF$7)/$H121*OFFSET(ORÇAMENTO!$X$15,ROW(AY121)-ROW(AY$15),0),
ROUND(ROUND(OFFSET($P121,0,AY$13),15-13*ORÇAMENTO!$AF$7)*OFFSET(ORÇAMENTO!$W$15,ROW(AY121)-ROW(AY$15),0),15-13*ORÇAMENTO!$AF$11)),0)</f>
        <v>0</v>
      </c>
      <c r="AZ121" s="545">
        <f ca="1">IF(AND($D121="Serviço",AZ$12&lt;&gt;0,$H121&gt;0,OR(AUTOEVENTO&lt;&gt;"manual",$M121&lt;&gt;1)),
IF(Import.TipoArredondamento&lt;&gt;"TransfereGOV",
ROUND(OFFSET($P121,0,AZ$13),15-13*ORÇAMENTO!$AF$7)/$H121*OFFSET(ORÇAMENTO!$X$15,ROW(AZ121)-ROW(AZ$15),0),
ROUND(ROUND(OFFSET($P121,0,AZ$13),15-13*ORÇAMENTO!$AF$7)*OFFSET(ORÇAMENTO!$W$15,ROW(AZ121)-ROW(AZ$15),0),15-13*ORÇAMENTO!$AF$11)),0)</f>
        <v>0</v>
      </c>
      <c r="BA121" s="546">
        <f ca="1">IF(AND($D121="Serviço",BA$12&lt;&gt;0,$H121&gt;0,OR(AUTOEVENTO&lt;&gt;"manual",$M121&lt;&gt;1)),
IF(Import.TipoArredondamento&lt;&gt;"TransfereGOV",
ROUND(OFFSET($P121,0,BA$13),15-13*ORÇAMENTO!$AF$7)/$H121*OFFSET(ORÇAMENTO!$X$15,ROW(BA121)-ROW(BA$15),0),
ROUND(ROUND(OFFSET($P121,0,BA$13),15-13*ORÇAMENTO!$AF$7)*OFFSET(ORÇAMENTO!$W$15,ROW(BA121)-ROW(BA$15),0),15-13*ORÇAMENTO!$AF$11)),0)</f>
        <v>0</v>
      </c>
      <c r="BC121" s="181">
        <f ca="1">IF($D121&lt;&gt;"Serviço",0,IF(AND(AUTOEVENTO="Manual",$M121=1),0,IF(OFFSET(CRONOPLE!$F$14,$M121,BC$13)="",10^12,OFFSET(CRONOPLE!$F$14,$M121,BC$13))))</f>
        <v>0</v>
      </c>
      <c r="BD121" s="181">
        <f ca="1">IF($D121&lt;&gt;"Serviço",0,IF(AND(AUTOEVENTO="Manual",$M121=1),0,IF(OFFSET(CRONOPLE!$F$14,$M121,BD$13)="",10^12,OFFSET(CRONOPLE!$F$14,$M121,BD$13))))</f>
        <v>0</v>
      </c>
      <c r="BE121" s="181">
        <f ca="1">IF($D121&lt;&gt;"Serviço",0,IF(AND(AUTOEVENTO="Manual",$M121=1),0,IF(OFFSET(CRONOPLE!$F$14,$M121,BE$13)="",10^12,OFFSET(CRONOPLE!$F$14,$M121,BE$13))))</f>
        <v>0</v>
      </c>
      <c r="BF121" s="181">
        <f ca="1">IF($D121&lt;&gt;"Serviço",0,IF(AND(AUTOEVENTO="Manual",$M121=1),0,IF(OFFSET(CRONOPLE!$F$14,$M121,BF$13)="",10^12,OFFSET(CRONOPLE!$F$14,$M121,BF$13))))</f>
        <v>0</v>
      </c>
      <c r="BG121" s="181">
        <f ca="1">IF($D121&lt;&gt;"Serviço",0,IF(AND(AUTOEVENTO="Manual",$M121=1),0,IF(OFFSET(CRONOPLE!$F$14,$M121,BG$13)="",10^12,OFFSET(CRONOPLE!$F$14,$M121,BG$13))))</f>
        <v>0</v>
      </c>
      <c r="BH121" s="181">
        <f ca="1">IF($D121&lt;&gt;"Serviço",0,IF(AND(AUTOEVENTO="Manual",$M121=1),0,IF(OFFSET(CRONOPLE!$F$14,$M121,BH$13)="",10^12,OFFSET(CRONOPLE!$F$14,$M121,BH$13))))</f>
        <v>0</v>
      </c>
      <c r="BI121" s="181">
        <f ca="1">IF($D121&lt;&gt;"Serviço",0,IF(AND(AUTOEVENTO="Manual",$M121=1),0,IF(OFFSET(CRONOPLE!$F$14,$M121,BI$13)="",10^12,OFFSET(CRONOPLE!$F$14,$M121,BI$13))))</f>
        <v>0</v>
      </c>
      <c r="BJ121" s="181">
        <f ca="1">IF($D121&lt;&gt;"Serviço",0,IF(AND(AUTOEVENTO="Manual",$M121=1),0,IF(OFFSET(CRONOPLE!$F$14,$M121,BJ$13)="",10^12,OFFSET(CRONOPLE!$F$14,$M121,BJ$13))))</f>
        <v>0</v>
      </c>
      <c r="BK121" s="181">
        <f ca="1">IF($D121&lt;&gt;"Serviço",0,IF(AND(AUTOEVENTO="Manual",$M121=1),0,IF(OFFSET(CRONOPLE!$F$14,$M121,BK$13)="",10^12,OFFSET(CRONOPLE!$F$14,$M121,BK$13))))</f>
        <v>0</v>
      </c>
      <c r="BL121" s="181">
        <f ca="1">IF($D121&lt;&gt;"Serviço",0,IF(AND(AUTOEVENTO="Manual",$M121=1),0,IF(OFFSET(CRONOPLE!$F$14,$M121,BL$13)="",10^12,OFFSET(CRONOPLE!$F$14,$M121,BL$13))))</f>
        <v>0</v>
      </c>
      <c r="BM121" s="181">
        <f ca="1">IF($D121&lt;&gt;"Serviço",0,IF(AND(AUTOEVENTO="Manual",$M121=1),0,IF(OFFSET(CRONOPLE!$F$14,$M121,BM$13)="",10^12,OFFSET(CRONOPLE!$F$14,$M121,BM$13))))</f>
        <v>0</v>
      </c>
      <c r="BN121" s="181">
        <f ca="1">IF($D121&lt;&gt;"Serviço",0,IF(AND(AUTOEVENTO="Manual",$M121=1),0,IF(OFFSET(CRONOPLE!$F$14,$M121,BN$13)="",10^12,OFFSET(CRONOPLE!$F$14,$M121,BN$13))))</f>
        <v>0</v>
      </c>
      <c r="BO121" s="181">
        <f ca="1">IF($D121&lt;&gt;"Serviço",0,IF(AND(AUTOEVENTO="Manual",$M121=1),0,IF(OFFSET(CRONOPLE!$F$14,$M121,BO$13)="",10^12,OFFSET(CRONOPLE!$F$14,$M121,BO$13))))</f>
        <v>0</v>
      </c>
      <c r="BP121" s="181">
        <f ca="1">IF($D121&lt;&gt;"Serviço",0,IF(AND(AUTOEVENTO="Manual",$M121=1),0,IF(OFFSET(CRONOPLE!$F$14,$M121,BP$13)="",10^12,OFFSET(CRONOPLE!$F$14,$M121,BP$13))))</f>
        <v>0</v>
      </c>
      <c r="BQ121" s="181">
        <f ca="1">IF($D121&lt;&gt;"Serviço",0,IF(AND(AUTOEVENTO="Manual",$M121=1),0,IF(OFFSET(CRONOPLE!$F$14,$M121,BQ$13)="",10^12,OFFSET(CRONOPLE!$F$14,$M121,BQ$13))))</f>
        <v>0</v>
      </c>
      <c r="BR121" s="181">
        <f ca="1">IF($D121&lt;&gt;"Serviço",0,IF(AND(AUTOEVENTO="Manual",$M121=1),0,IF(OFFSET(CRONOPLE!$F$14,$M121,BR$13)="",10^12,OFFSET(CRONOPLE!$F$14,$M121,BR$13))))</f>
        <v>0</v>
      </c>
      <c r="BS121" s="181">
        <f ca="1">IF($D121&lt;&gt;"Serviço",0,IF(AND(AUTOEVENTO="Manual",$M121=1),0,IF(OFFSET(CRONOPLE!$F$14,$M121,BS$13)="",10^12,OFFSET(CRONOPLE!$F$14,$M121,BS$13))))</f>
        <v>0</v>
      </c>
      <c r="BT121" s="181">
        <f ca="1">IF($D121&lt;&gt;"Serviço",0,IF(AND(AUTOEVENTO="Manual",$M121=1),0,IF(OFFSET(CRONOPLE!$F$14,$M121,BT$13)="",10^12,OFFSET(CRONOPLE!$F$14,$M121,BT$13))))</f>
        <v>0</v>
      </c>
      <c r="BV121" s="182">
        <f ca="1">IF($D121&lt;&gt;"Serviço",0,IF(OR(AND(AUTOEVENTO="Manual",$M121=1),$M121&gt;(ROW(PLE.lastrow)-ROW(PLE.firstrow))),0,IF(OFFSET(PLE!$G$14,$M121,BV$13)="",10^12,OFFSET(PLE!$G$14,$M121,BV$13))))</f>
        <v>0</v>
      </c>
      <c r="BW121" s="182">
        <f ca="1">IF($D121&lt;&gt;"Serviço",0,IF(OR(AND(AUTOEVENTO="Manual",$M121=1),$M121&gt;(ROW(PLE.lastrow)-ROW(PLE.firstrow))),0,IF(OFFSET(PLE!$G$14,$M121,BW$13)="",10^12,OFFSET(PLE!$G$14,$M121,BW$13))))</f>
        <v>0</v>
      </c>
      <c r="BX121" s="182">
        <f ca="1">IF($D121&lt;&gt;"Serviço",0,IF(OR(AND(AUTOEVENTO="Manual",$M121=1),$M121&gt;(ROW(PLE.lastrow)-ROW(PLE.firstrow))),0,IF(OFFSET(PLE!$G$14,$M121,BX$13)="",10^12,OFFSET(PLE!$G$14,$M121,BX$13))))</f>
        <v>0</v>
      </c>
      <c r="BY121" s="182">
        <f ca="1">IF($D121&lt;&gt;"Serviço",0,IF(OR(AND(AUTOEVENTO="Manual",$M121=1),$M121&gt;(ROW(PLE.lastrow)-ROW(PLE.firstrow))),0,IF(OFFSET(PLE!$G$14,$M121,BY$13)="",10^12,OFFSET(PLE!$G$14,$M121,BY$13))))</f>
        <v>0</v>
      </c>
      <c r="BZ121" s="182">
        <f ca="1">IF($D121&lt;&gt;"Serviço",0,IF(OR(AND(AUTOEVENTO="Manual",$M121=1),$M121&gt;(ROW(PLE.lastrow)-ROW(PLE.firstrow))),0,IF(OFFSET(PLE!$G$14,$M121,BZ$13)="",10^12,OFFSET(PLE!$G$14,$M121,BZ$13))))</f>
        <v>0</v>
      </c>
      <c r="CA121" s="182">
        <f ca="1">IF($D121&lt;&gt;"Serviço",0,IF(OR(AND(AUTOEVENTO="Manual",$M121=1),$M121&gt;(ROW(PLE.lastrow)-ROW(PLE.firstrow))),0,IF(OFFSET(PLE!$G$14,$M121,CA$13)="",10^12,OFFSET(PLE!$G$14,$M121,CA$13))))</f>
        <v>0</v>
      </c>
      <c r="CB121" s="182">
        <f ca="1">IF($D121&lt;&gt;"Serviço",0,IF(OR(AND(AUTOEVENTO="Manual",$M121=1),$M121&gt;(ROW(PLE.lastrow)-ROW(PLE.firstrow))),0,IF(OFFSET(PLE!$G$14,$M121,CB$13)="",10^12,OFFSET(PLE!$G$14,$M121,CB$13))))</f>
        <v>0</v>
      </c>
      <c r="CC121" s="182">
        <f ca="1">IF($D121&lt;&gt;"Serviço",0,IF(OR(AND(AUTOEVENTO="Manual",$M121=1),$M121&gt;(ROW(PLE.lastrow)-ROW(PLE.firstrow))),0,IF(OFFSET(PLE!$G$14,$M121,CC$13)="",10^12,OFFSET(PLE!$G$14,$M121,CC$13))))</f>
        <v>0</v>
      </c>
      <c r="CD121" s="182">
        <f ca="1">IF($D121&lt;&gt;"Serviço",0,IF(OR(AND(AUTOEVENTO="Manual",$M121=1),$M121&gt;(ROW(PLE.lastrow)-ROW(PLE.firstrow))),0,IF(OFFSET(PLE!$G$14,$M121,CD$13)="",10^12,OFFSET(PLE!$G$14,$M121,CD$13))))</f>
        <v>0</v>
      </c>
      <c r="CE121" s="182">
        <f ca="1">IF($D121&lt;&gt;"Serviço",0,IF(OR(AND(AUTOEVENTO="Manual",$M121=1),$M121&gt;(ROW(PLE.lastrow)-ROW(PLE.firstrow))),0,IF(OFFSET(PLE!$G$14,$M121,CE$13)="",10^12,OFFSET(PLE!$G$14,$M121,CE$13))))</f>
        <v>0</v>
      </c>
      <c r="CF121" s="182">
        <f ca="1">IF($D121&lt;&gt;"Serviço",0,IF(OR(AND(AUTOEVENTO="Manual",$M121=1),$M121&gt;(ROW(PLE.lastrow)-ROW(PLE.firstrow))),0,IF(OFFSET(PLE!$G$14,$M121,CF$13)="",10^12,OFFSET(PLE!$G$14,$M121,CF$13))))</f>
        <v>0</v>
      </c>
      <c r="CG121" s="182">
        <f ca="1">IF($D121&lt;&gt;"Serviço",0,IF(OR(AND(AUTOEVENTO="Manual",$M121=1),$M121&gt;(ROW(PLE.lastrow)-ROW(PLE.firstrow))),0,IF(OFFSET(PLE!$G$14,$M121,CG$13)="",10^12,OFFSET(PLE!$G$14,$M121,CG$13))))</f>
        <v>0</v>
      </c>
      <c r="CH121" s="182">
        <f ca="1">IF($D121&lt;&gt;"Serviço",0,IF(OR(AND(AUTOEVENTO="Manual",$M121=1),$M121&gt;(ROW(PLE.lastrow)-ROW(PLE.firstrow))),0,IF(OFFSET(PLE!$G$14,$M121,CH$13)="",10^12,OFFSET(PLE!$G$14,$M121,CH$13))))</f>
        <v>0</v>
      </c>
      <c r="CI121" s="182">
        <f ca="1">IF($D121&lt;&gt;"Serviço",0,IF(OR(AND(AUTOEVENTO="Manual",$M121=1),$M121&gt;(ROW(PLE.lastrow)-ROW(PLE.firstrow))),0,IF(OFFSET(PLE!$G$14,$M121,CI$13)="",10^12,OFFSET(PLE!$G$14,$M121,CI$13))))</f>
        <v>0</v>
      </c>
      <c r="CJ121" s="182">
        <f ca="1">IF($D121&lt;&gt;"Serviço",0,IF(OR(AND(AUTOEVENTO="Manual",$M121=1),$M121&gt;(ROW(PLE.lastrow)-ROW(PLE.firstrow))),0,IF(OFFSET(PLE!$G$14,$M121,CJ$13)="",10^12,OFFSET(PLE!$G$14,$M121,CJ$13))))</f>
        <v>0</v>
      </c>
      <c r="CK121" s="182">
        <f ca="1">IF($D121&lt;&gt;"Serviço",0,IF(OR(AND(AUTOEVENTO="Manual",$M121=1),$M121&gt;(ROW(PLE.lastrow)-ROW(PLE.firstrow))),0,IF(OFFSET(PLE!$G$14,$M121,CK$13)="",10^12,OFFSET(PLE!$G$14,$M121,CK$13))))</f>
        <v>0</v>
      </c>
      <c r="CL121" s="182">
        <f ca="1">IF($D121&lt;&gt;"Serviço",0,IF(OR(AND(AUTOEVENTO="Manual",$M121=1),$M121&gt;(ROW(PLE.lastrow)-ROW(PLE.firstrow))),0,IF(OFFSET(PLE!$G$14,$M121,CL$13)="",10^12,OFFSET(PLE!$G$14,$M121,CL$13))))</f>
        <v>0</v>
      </c>
      <c r="CM121" s="182">
        <f ca="1">IF($D121&lt;&gt;"Serviço",0,IF(OR(AND(AUTOEVENTO="Manual",$M121=1),$M121&gt;(ROW(PLE.lastrow)-ROW(PLE.firstrow))),0,IF(OFFSET(PLE!$G$14,$M121,CM$13)="",10^12,OFFSET(PLE!$G$14,$M121,CM$13))))</f>
        <v>0</v>
      </c>
    </row>
    <row r="122" spans="1:91" ht="25.5" x14ac:dyDescent="0.2">
      <c r="A122" s="7" t="str">
        <f t="shared" ca="1" si="11"/>
        <v>106</v>
      </c>
      <c r="B122" s="7" t="str">
        <f ca="1">OFFSET(ORÇAMENTO!C$15,ROW(B122)-ROW(B$15),0)</f>
        <v>S</v>
      </c>
      <c r="C122" s="7" t="str">
        <f ca="1">OFFSET(ORÇAMENTO!L$15,ROW(C122)-ROW(C$15),0)</f>
        <v/>
      </c>
      <c r="D122" s="118" t="str">
        <f ca="1">OFFSET(ORÇAMENTO!N$15,ROW(D122)-ROW(D$15),0)</f>
        <v>Serviço</v>
      </c>
      <c r="E122" s="119" t="str">
        <f ca="1">OFFSET(ORÇAMENTO!O$15,ROW(E122)-ROW(E$15),0)</f>
        <v>-</v>
      </c>
      <c r="F122" s="172" t="str">
        <f ca="1">OFFSET(ORÇAMENTO!R$15,ROW(F122)-ROW(F$15),0)</f>
        <v>(abra o arquivo 'Referência 06-2024.xlsm)</v>
      </c>
      <c r="G122" s="173" t="str">
        <f ca="1">IF($D122&lt;&gt;"Serviço","",OFFSET(ORÇAMENTO!S$15,ROW(G122)-ROW(G$15),0))</f>
        <v>-</v>
      </c>
      <c r="H122" s="124">
        <f ca="1">IF($D122&lt;&gt;"Serviço",0,IF(ACOMPANHAMENTO="BM",ROUND(OFFSET(ORÇAMENTO!AJ$15,ROW(H122)-ROW(H$15),0),15-13*ORÇAMENTO!$AF$7),SUMPRODUCT(($Q$12:$AI$12&lt;&gt;"")*ROUND($Q122:$AI122,15-13*ORÇAMENTO!$AF$7))))</f>
        <v>8</v>
      </c>
      <c r="I122" s="561" t="s">
        <v>1107</v>
      </c>
      <c r="K122" s="174"/>
      <c r="L122" s="175" t="s">
        <v>255</v>
      </c>
      <c r="M122" s="176">
        <f ca="1">IF($D122&lt;&gt;"Serviço","",IF(AUTOEVENTO="manual",$A122,IF(ISERROR(MATCH($A122,$A$15:OFFSET($A122,-1,0),0)),MAX($M$15:OFFSET(M122,-1,0))+1,INDEX($M$15:OFFSET(M122,-1,0),MATCH($A122,$A$15:OFFSET($A122,-1,0),0)))))</f>
        <v>20</v>
      </c>
      <c r="N122" s="177" t="str">
        <f ca="1">IF($D122&lt;&gt;"Serviço","",IF(AUTOEVENTO="Manual",IF($A122=0,"&lt;-- defina o número do agrupador",OFFSET(EVENTOS!$D$14,$A122,0)),OFFSET($F$15,$A122,0)))</f>
        <v>ESQUADRIAS - FERRAGENS E ACESSÓRIOS</v>
      </c>
      <c r="O122" s="178"/>
      <c r="Q122" s="178">
        <v>8</v>
      </c>
      <c r="R122" s="179"/>
      <c r="S122" s="179"/>
      <c r="T122" s="179"/>
      <c r="U122" s="179"/>
      <c r="V122" s="179"/>
      <c r="W122" s="179"/>
      <c r="X122" s="179"/>
      <c r="Y122" s="179"/>
      <c r="Z122" s="180"/>
      <c r="AA122" s="179"/>
      <c r="AB122" s="179"/>
      <c r="AC122" s="179"/>
      <c r="AD122" s="179"/>
      <c r="AE122" s="179"/>
      <c r="AF122" s="179"/>
      <c r="AG122" s="179"/>
      <c r="AH122" s="180"/>
      <c r="AJ122" s="544">
        <f ca="1">IF(AND($D122="Serviço",AJ$12&lt;&gt;0,$H122&gt;0,OR(AUTOEVENTO&lt;&gt;"manual",$M122&lt;&gt;1)),
IF(Import.TipoArredondamento&lt;&gt;"TransfereGOV",
ROUND(OFFSET($P122,0,AJ$13),15-13*ORÇAMENTO!$AF$7)/$H122*OFFSET(ORÇAMENTO!$X$15,ROW(AJ122)-ROW(AJ$15),0),
ROUND(ROUND(OFFSET($P122,0,AJ$13),15-13*ORÇAMENTO!$AF$7)*OFFSET(ORÇAMENTO!$W$15,ROW(AJ122)-ROW(AJ$15),0),15-13*ORÇAMENTO!$AF$11)),0)</f>
        <v>0</v>
      </c>
      <c r="AK122" s="545">
        <f ca="1">IF(AND($D122="Serviço",AK$12&lt;&gt;0,$H122&gt;0,OR(AUTOEVENTO&lt;&gt;"manual",$M122&lt;&gt;1)),
IF(Import.TipoArredondamento&lt;&gt;"TransfereGOV",
ROUND(OFFSET($P122,0,AK$13),15-13*ORÇAMENTO!$AF$7)/$H122*OFFSET(ORÇAMENTO!$X$15,ROW(AK122)-ROW(AK$15),0),
ROUND(ROUND(OFFSET($P122,0,AK$13),15-13*ORÇAMENTO!$AF$7)*OFFSET(ORÇAMENTO!$W$15,ROW(AK122)-ROW(AK$15),0),15-13*ORÇAMENTO!$AF$11)),0)</f>
        <v>0</v>
      </c>
      <c r="AL122" s="545">
        <f ca="1">IF(AND($D122="Serviço",AL$12&lt;&gt;0,$H122&gt;0,OR(AUTOEVENTO&lt;&gt;"manual",$M122&lt;&gt;1)),
IF(Import.TipoArredondamento&lt;&gt;"TransfereGOV",
ROUND(OFFSET($P122,0,AL$13),15-13*ORÇAMENTO!$AF$7)/$H122*OFFSET(ORÇAMENTO!$X$15,ROW(AL122)-ROW(AL$15),0),
ROUND(ROUND(OFFSET($P122,0,AL$13),15-13*ORÇAMENTO!$AF$7)*OFFSET(ORÇAMENTO!$W$15,ROW(AL122)-ROW(AL$15),0),15-13*ORÇAMENTO!$AF$11)),0)</f>
        <v>0</v>
      </c>
      <c r="AM122" s="545">
        <f ca="1">IF(AND($D122="Serviço",AM$12&lt;&gt;0,$H122&gt;0,OR(AUTOEVENTO&lt;&gt;"manual",$M122&lt;&gt;1)),
IF(Import.TipoArredondamento&lt;&gt;"TransfereGOV",
ROUND(OFFSET($P122,0,AM$13),15-13*ORÇAMENTO!$AF$7)/$H122*OFFSET(ORÇAMENTO!$X$15,ROW(AM122)-ROW(AM$15),0),
ROUND(ROUND(OFFSET($P122,0,AM$13),15-13*ORÇAMENTO!$AF$7)*OFFSET(ORÇAMENTO!$W$15,ROW(AM122)-ROW(AM$15),0),15-13*ORÇAMENTO!$AF$11)),0)</f>
        <v>0</v>
      </c>
      <c r="AN122" s="545">
        <f ca="1">IF(AND($D122="Serviço",AN$12&lt;&gt;0,$H122&gt;0,OR(AUTOEVENTO&lt;&gt;"manual",$M122&lt;&gt;1)),
IF(Import.TipoArredondamento&lt;&gt;"TransfereGOV",
ROUND(OFFSET($P122,0,AN$13),15-13*ORÇAMENTO!$AF$7)/$H122*OFFSET(ORÇAMENTO!$X$15,ROW(AN122)-ROW(AN$15),0),
ROUND(ROUND(OFFSET($P122,0,AN$13),15-13*ORÇAMENTO!$AF$7)*OFFSET(ORÇAMENTO!$W$15,ROW(AN122)-ROW(AN$15),0),15-13*ORÇAMENTO!$AF$11)),0)</f>
        <v>0</v>
      </c>
      <c r="AO122" s="545">
        <f ca="1">IF(AND($D122="Serviço",AO$12&lt;&gt;0,$H122&gt;0,OR(AUTOEVENTO&lt;&gt;"manual",$M122&lt;&gt;1)),
IF(Import.TipoArredondamento&lt;&gt;"TransfereGOV",
ROUND(OFFSET($P122,0,AO$13),15-13*ORÇAMENTO!$AF$7)/$H122*OFFSET(ORÇAMENTO!$X$15,ROW(AO122)-ROW(AO$15),0),
ROUND(ROUND(OFFSET($P122,0,AO$13),15-13*ORÇAMENTO!$AF$7)*OFFSET(ORÇAMENTO!$W$15,ROW(AO122)-ROW(AO$15),0),15-13*ORÇAMENTO!$AF$11)),0)</f>
        <v>0</v>
      </c>
      <c r="AP122" s="545">
        <f ca="1">IF(AND($D122="Serviço",AP$12&lt;&gt;0,$H122&gt;0,OR(AUTOEVENTO&lt;&gt;"manual",$M122&lt;&gt;1)),
IF(Import.TipoArredondamento&lt;&gt;"TransfereGOV",
ROUND(OFFSET($P122,0,AP$13),15-13*ORÇAMENTO!$AF$7)/$H122*OFFSET(ORÇAMENTO!$X$15,ROW(AP122)-ROW(AP$15),0),
ROUND(ROUND(OFFSET($P122,0,AP$13),15-13*ORÇAMENTO!$AF$7)*OFFSET(ORÇAMENTO!$W$15,ROW(AP122)-ROW(AP$15),0),15-13*ORÇAMENTO!$AF$11)),0)</f>
        <v>0</v>
      </c>
      <c r="AQ122" s="545">
        <f ca="1">IF(AND($D122="Serviço",AQ$12&lt;&gt;0,$H122&gt;0,OR(AUTOEVENTO&lt;&gt;"manual",$M122&lt;&gt;1)),
IF(Import.TipoArredondamento&lt;&gt;"TransfereGOV",
ROUND(OFFSET($P122,0,AQ$13),15-13*ORÇAMENTO!$AF$7)/$H122*OFFSET(ORÇAMENTO!$X$15,ROW(AQ122)-ROW(AQ$15),0),
ROUND(ROUND(OFFSET($P122,0,AQ$13),15-13*ORÇAMENTO!$AF$7)*OFFSET(ORÇAMENTO!$W$15,ROW(AQ122)-ROW(AQ$15),0),15-13*ORÇAMENTO!$AF$11)),0)</f>
        <v>0</v>
      </c>
      <c r="AR122" s="545">
        <f ca="1">IF(AND($D122="Serviço",AR$12&lt;&gt;0,$H122&gt;0,OR(AUTOEVENTO&lt;&gt;"manual",$M122&lt;&gt;1)),
IF(Import.TipoArredondamento&lt;&gt;"TransfereGOV",
ROUND(OFFSET($P122,0,AR$13),15-13*ORÇAMENTO!$AF$7)/$H122*OFFSET(ORÇAMENTO!$X$15,ROW(AR122)-ROW(AR$15),0),
ROUND(ROUND(OFFSET($P122,0,AR$13),15-13*ORÇAMENTO!$AF$7)*OFFSET(ORÇAMENTO!$W$15,ROW(AR122)-ROW(AR$15),0),15-13*ORÇAMENTO!$AF$11)),0)</f>
        <v>0</v>
      </c>
      <c r="AS122" s="546">
        <f ca="1">IF(AND($D122="Serviço",AS$12&lt;&gt;0,$H122&gt;0,OR(AUTOEVENTO&lt;&gt;"manual",$M122&lt;&gt;1)),
IF(Import.TipoArredondamento&lt;&gt;"TransfereGOV",
ROUND(OFFSET($P122,0,AS$13),15-13*ORÇAMENTO!$AF$7)/$H122*OFFSET(ORÇAMENTO!$X$15,ROW(AS122)-ROW(AS$15),0),
ROUND(ROUND(OFFSET($P122,0,AS$13),15-13*ORÇAMENTO!$AF$7)*OFFSET(ORÇAMENTO!$W$15,ROW(AS122)-ROW(AS$15),0),15-13*ORÇAMENTO!$AF$11)),0)</f>
        <v>0</v>
      </c>
      <c r="AT122" s="545">
        <f ca="1">IF(AND($D122="Serviço",AT$12&lt;&gt;0,$H122&gt;0,OR(AUTOEVENTO&lt;&gt;"manual",$M122&lt;&gt;1)),
IF(Import.TipoArredondamento&lt;&gt;"TransfereGOV",
ROUND(OFFSET($P122,0,AT$13),15-13*ORÇAMENTO!$AF$7)/$H122*OFFSET(ORÇAMENTO!$X$15,ROW(AT122)-ROW(AT$15),0),
ROUND(ROUND(OFFSET($P122,0,AT$13),15-13*ORÇAMENTO!$AF$7)*OFFSET(ORÇAMENTO!$W$15,ROW(AT122)-ROW(AT$15),0),15-13*ORÇAMENTO!$AF$11)),0)</f>
        <v>0</v>
      </c>
      <c r="AU122" s="545">
        <f ca="1">IF(AND($D122="Serviço",AU$12&lt;&gt;0,$H122&gt;0,OR(AUTOEVENTO&lt;&gt;"manual",$M122&lt;&gt;1)),
IF(Import.TipoArredondamento&lt;&gt;"TransfereGOV",
ROUND(OFFSET($P122,0,AU$13),15-13*ORÇAMENTO!$AF$7)/$H122*OFFSET(ORÇAMENTO!$X$15,ROW(AU122)-ROW(AU$15),0),
ROUND(ROUND(OFFSET($P122,0,AU$13),15-13*ORÇAMENTO!$AF$7)*OFFSET(ORÇAMENTO!$W$15,ROW(AU122)-ROW(AU$15),0),15-13*ORÇAMENTO!$AF$11)),0)</f>
        <v>0</v>
      </c>
      <c r="AV122" s="545">
        <f ca="1">IF(AND($D122="Serviço",AV$12&lt;&gt;0,$H122&gt;0,OR(AUTOEVENTO&lt;&gt;"manual",$M122&lt;&gt;1)),
IF(Import.TipoArredondamento&lt;&gt;"TransfereGOV",
ROUND(OFFSET($P122,0,AV$13),15-13*ORÇAMENTO!$AF$7)/$H122*OFFSET(ORÇAMENTO!$X$15,ROW(AV122)-ROW(AV$15),0),
ROUND(ROUND(OFFSET($P122,0,AV$13),15-13*ORÇAMENTO!$AF$7)*OFFSET(ORÇAMENTO!$W$15,ROW(AV122)-ROW(AV$15),0),15-13*ORÇAMENTO!$AF$11)),0)</f>
        <v>0</v>
      </c>
      <c r="AW122" s="545">
        <f ca="1">IF(AND($D122="Serviço",AW$12&lt;&gt;0,$H122&gt;0,OR(AUTOEVENTO&lt;&gt;"manual",$M122&lt;&gt;1)),
IF(Import.TipoArredondamento&lt;&gt;"TransfereGOV",
ROUND(OFFSET($P122,0,AW$13),15-13*ORÇAMENTO!$AF$7)/$H122*OFFSET(ORÇAMENTO!$X$15,ROW(AW122)-ROW(AW$15),0),
ROUND(ROUND(OFFSET($P122,0,AW$13),15-13*ORÇAMENTO!$AF$7)*OFFSET(ORÇAMENTO!$W$15,ROW(AW122)-ROW(AW$15),0),15-13*ORÇAMENTO!$AF$11)),0)</f>
        <v>0</v>
      </c>
      <c r="AX122" s="545">
        <f ca="1">IF(AND($D122="Serviço",AX$12&lt;&gt;0,$H122&gt;0,OR(AUTOEVENTO&lt;&gt;"manual",$M122&lt;&gt;1)),
IF(Import.TipoArredondamento&lt;&gt;"TransfereGOV",
ROUND(OFFSET($P122,0,AX$13),15-13*ORÇAMENTO!$AF$7)/$H122*OFFSET(ORÇAMENTO!$X$15,ROW(AX122)-ROW(AX$15),0),
ROUND(ROUND(OFFSET($P122,0,AX$13),15-13*ORÇAMENTO!$AF$7)*OFFSET(ORÇAMENTO!$W$15,ROW(AX122)-ROW(AX$15),0),15-13*ORÇAMENTO!$AF$11)),0)</f>
        <v>0</v>
      </c>
      <c r="AY122" s="545">
        <f ca="1">IF(AND($D122="Serviço",AY$12&lt;&gt;0,$H122&gt;0,OR(AUTOEVENTO&lt;&gt;"manual",$M122&lt;&gt;1)),
IF(Import.TipoArredondamento&lt;&gt;"TransfereGOV",
ROUND(OFFSET($P122,0,AY$13),15-13*ORÇAMENTO!$AF$7)/$H122*OFFSET(ORÇAMENTO!$X$15,ROW(AY122)-ROW(AY$15),0),
ROUND(ROUND(OFFSET($P122,0,AY$13),15-13*ORÇAMENTO!$AF$7)*OFFSET(ORÇAMENTO!$W$15,ROW(AY122)-ROW(AY$15),0),15-13*ORÇAMENTO!$AF$11)),0)</f>
        <v>0</v>
      </c>
      <c r="AZ122" s="545">
        <f ca="1">IF(AND($D122="Serviço",AZ$12&lt;&gt;0,$H122&gt;0,OR(AUTOEVENTO&lt;&gt;"manual",$M122&lt;&gt;1)),
IF(Import.TipoArredondamento&lt;&gt;"TransfereGOV",
ROUND(OFFSET($P122,0,AZ$13),15-13*ORÇAMENTO!$AF$7)/$H122*OFFSET(ORÇAMENTO!$X$15,ROW(AZ122)-ROW(AZ$15),0),
ROUND(ROUND(OFFSET($P122,0,AZ$13),15-13*ORÇAMENTO!$AF$7)*OFFSET(ORÇAMENTO!$W$15,ROW(AZ122)-ROW(AZ$15),0),15-13*ORÇAMENTO!$AF$11)),0)</f>
        <v>0</v>
      </c>
      <c r="BA122" s="546">
        <f ca="1">IF(AND($D122="Serviço",BA$12&lt;&gt;0,$H122&gt;0,OR(AUTOEVENTO&lt;&gt;"manual",$M122&lt;&gt;1)),
IF(Import.TipoArredondamento&lt;&gt;"TransfereGOV",
ROUND(OFFSET($P122,0,BA$13),15-13*ORÇAMENTO!$AF$7)/$H122*OFFSET(ORÇAMENTO!$X$15,ROW(BA122)-ROW(BA$15),0),
ROUND(ROUND(OFFSET($P122,0,BA$13),15-13*ORÇAMENTO!$AF$7)*OFFSET(ORÇAMENTO!$W$15,ROW(BA122)-ROW(BA$15),0),15-13*ORÇAMENTO!$AF$11)),0)</f>
        <v>0</v>
      </c>
      <c r="BC122" s="181">
        <f ca="1">IF($D122&lt;&gt;"Serviço",0,IF(AND(AUTOEVENTO="Manual",$M122=1),0,IF(OFFSET(CRONOPLE!$F$14,$M122,BC$13)="",10^12,OFFSET(CRONOPLE!$F$14,$M122,BC$13))))</f>
        <v>5</v>
      </c>
      <c r="BD122" s="181">
        <f ca="1">IF($D122&lt;&gt;"Serviço",0,IF(AND(AUTOEVENTO="Manual",$M122=1),0,IF(OFFSET(CRONOPLE!$F$14,$M122,BD$13)="",10^12,OFFSET(CRONOPLE!$F$14,$M122,BD$13))))</f>
        <v>1000000000000</v>
      </c>
      <c r="BE122" s="181">
        <f ca="1">IF($D122&lt;&gt;"Serviço",0,IF(AND(AUTOEVENTO="Manual",$M122=1),0,IF(OFFSET(CRONOPLE!$F$14,$M122,BE$13)="",10^12,OFFSET(CRONOPLE!$F$14,$M122,BE$13))))</f>
        <v>1000000000000</v>
      </c>
      <c r="BF122" s="181">
        <f ca="1">IF($D122&lt;&gt;"Serviço",0,IF(AND(AUTOEVENTO="Manual",$M122=1),0,IF(OFFSET(CRONOPLE!$F$14,$M122,BF$13)="",10^12,OFFSET(CRONOPLE!$F$14,$M122,BF$13))))</f>
        <v>1000000000000</v>
      </c>
      <c r="BG122" s="181">
        <f ca="1">IF($D122&lt;&gt;"Serviço",0,IF(AND(AUTOEVENTO="Manual",$M122=1),0,IF(OFFSET(CRONOPLE!$F$14,$M122,BG$13)="",10^12,OFFSET(CRONOPLE!$F$14,$M122,BG$13))))</f>
        <v>1000000000000</v>
      </c>
      <c r="BH122" s="181">
        <f ca="1">IF($D122&lt;&gt;"Serviço",0,IF(AND(AUTOEVENTO="Manual",$M122=1),0,IF(OFFSET(CRONOPLE!$F$14,$M122,BH$13)="",10^12,OFFSET(CRONOPLE!$F$14,$M122,BH$13))))</f>
        <v>1000000000000</v>
      </c>
      <c r="BI122" s="181">
        <f ca="1">IF($D122&lt;&gt;"Serviço",0,IF(AND(AUTOEVENTO="Manual",$M122=1),0,IF(OFFSET(CRONOPLE!$F$14,$M122,BI$13)="",10^12,OFFSET(CRONOPLE!$F$14,$M122,BI$13))))</f>
        <v>1000000000000</v>
      </c>
      <c r="BJ122" s="181">
        <f ca="1">IF($D122&lt;&gt;"Serviço",0,IF(AND(AUTOEVENTO="Manual",$M122=1),0,IF(OFFSET(CRONOPLE!$F$14,$M122,BJ$13)="",10^12,OFFSET(CRONOPLE!$F$14,$M122,BJ$13))))</f>
        <v>1000000000000</v>
      </c>
      <c r="BK122" s="181">
        <f ca="1">IF($D122&lt;&gt;"Serviço",0,IF(AND(AUTOEVENTO="Manual",$M122=1),0,IF(OFFSET(CRONOPLE!$F$14,$M122,BK$13)="",10^12,OFFSET(CRONOPLE!$F$14,$M122,BK$13))))</f>
        <v>1000000000000</v>
      </c>
      <c r="BL122" s="181">
        <f ca="1">IF($D122&lt;&gt;"Serviço",0,IF(AND(AUTOEVENTO="Manual",$M122=1),0,IF(OFFSET(CRONOPLE!$F$14,$M122,BL$13)="",10^12,OFFSET(CRONOPLE!$F$14,$M122,BL$13))))</f>
        <v>1000000000000</v>
      </c>
      <c r="BM122" s="181">
        <f ca="1">IF($D122&lt;&gt;"Serviço",0,IF(AND(AUTOEVENTO="Manual",$M122=1),0,IF(OFFSET(CRONOPLE!$F$14,$M122,BM$13)="",10^12,OFFSET(CRONOPLE!$F$14,$M122,BM$13))))</f>
        <v>1000000000000</v>
      </c>
      <c r="BN122" s="181">
        <f ca="1">IF($D122&lt;&gt;"Serviço",0,IF(AND(AUTOEVENTO="Manual",$M122=1),0,IF(OFFSET(CRONOPLE!$F$14,$M122,BN$13)="",10^12,OFFSET(CRONOPLE!$F$14,$M122,BN$13))))</f>
        <v>1000000000000</v>
      </c>
      <c r="BO122" s="181">
        <f ca="1">IF($D122&lt;&gt;"Serviço",0,IF(AND(AUTOEVENTO="Manual",$M122=1),0,IF(OFFSET(CRONOPLE!$F$14,$M122,BO$13)="",10^12,OFFSET(CRONOPLE!$F$14,$M122,BO$13))))</f>
        <v>1000000000000</v>
      </c>
      <c r="BP122" s="181">
        <f ca="1">IF($D122&lt;&gt;"Serviço",0,IF(AND(AUTOEVENTO="Manual",$M122=1),0,IF(OFFSET(CRONOPLE!$F$14,$M122,BP$13)="",10^12,OFFSET(CRONOPLE!$F$14,$M122,BP$13))))</f>
        <v>1000000000000</v>
      </c>
      <c r="BQ122" s="181">
        <f ca="1">IF($D122&lt;&gt;"Serviço",0,IF(AND(AUTOEVENTO="Manual",$M122=1),0,IF(OFFSET(CRONOPLE!$F$14,$M122,BQ$13)="",10^12,OFFSET(CRONOPLE!$F$14,$M122,BQ$13))))</f>
        <v>1000000000000</v>
      </c>
      <c r="BR122" s="181">
        <f ca="1">IF($D122&lt;&gt;"Serviço",0,IF(AND(AUTOEVENTO="Manual",$M122=1),0,IF(OFFSET(CRONOPLE!$F$14,$M122,BR$13)="",10^12,OFFSET(CRONOPLE!$F$14,$M122,BR$13))))</f>
        <v>1000000000000</v>
      </c>
      <c r="BS122" s="181">
        <f ca="1">IF($D122&lt;&gt;"Serviço",0,IF(AND(AUTOEVENTO="Manual",$M122=1),0,IF(OFFSET(CRONOPLE!$F$14,$M122,BS$13)="",10^12,OFFSET(CRONOPLE!$F$14,$M122,BS$13))))</f>
        <v>1000000000000</v>
      </c>
      <c r="BT122" s="181">
        <f ca="1">IF($D122&lt;&gt;"Serviço",0,IF(AND(AUTOEVENTO="Manual",$M122=1),0,IF(OFFSET(CRONOPLE!$F$14,$M122,BT$13)="",10^12,OFFSET(CRONOPLE!$F$14,$M122,BT$13))))</f>
        <v>1000000000000</v>
      </c>
      <c r="BV122" s="182">
        <f ca="1">IF($D122&lt;&gt;"Serviço",0,IF(OR(AND(AUTOEVENTO="Manual",$M122=1),$M122&gt;(ROW(PLE.lastrow)-ROW(PLE.firstrow))),0,IF(OFFSET(PLE!$G$14,$M122,BV$13)="",10^12,OFFSET(PLE!$G$14,$M122,BV$13))))</f>
        <v>1000000000000</v>
      </c>
      <c r="BW122" s="182">
        <f ca="1">IF($D122&lt;&gt;"Serviço",0,IF(OR(AND(AUTOEVENTO="Manual",$M122=1),$M122&gt;(ROW(PLE.lastrow)-ROW(PLE.firstrow))),0,IF(OFFSET(PLE!$G$14,$M122,BW$13)="",10^12,OFFSET(PLE!$G$14,$M122,BW$13))))</f>
        <v>1000000000000</v>
      </c>
      <c r="BX122" s="182">
        <f ca="1">IF($D122&lt;&gt;"Serviço",0,IF(OR(AND(AUTOEVENTO="Manual",$M122=1),$M122&gt;(ROW(PLE.lastrow)-ROW(PLE.firstrow))),0,IF(OFFSET(PLE!$G$14,$M122,BX$13)="",10^12,OFFSET(PLE!$G$14,$M122,BX$13))))</f>
        <v>1000000000000</v>
      </c>
      <c r="BY122" s="182">
        <f ca="1">IF($D122&lt;&gt;"Serviço",0,IF(OR(AND(AUTOEVENTO="Manual",$M122=1),$M122&gt;(ROW(PLE.lastrow)-ROW(PLE.firstrow))),0,IF(OFFSET(PLE!$G$14,$M122,BY$13)="",10^12,OFFSET(PLE!$G$14,$M122,BY$13))))</f>
        <v>1000000000000</v>
      </c>
      <c r="BZ122" s="182">
        <f ca="1">IF($D122&lt;&gt;"Serviço",0,IF(OR(AND(AUTOEVENTO="Manual",$M122=1),$M122&gt;(ROW(PLE.lastrow)-ROW(PLE.firstrow))),0,IF(OFFSET(PLE!$G$14,$M122,BZ$13)="",10^12,OFFSET(PLE!$G$14,$M122,BZ$13))))</f>
        <v>1000000000000</v>
      </c>
      <c r="CA122" s="182">
        <f ca="1">IF($D122&lt;&gt;"Serviço",0,IF(OR(AND(AUTOEVENTO="Manual",$M122=1),$M122&gt;(ROW(PLE.lastrow)-ROW(PLE.firstrow))),0,IF(OFFSET(PLE!$G$14,$M122,CA$13)="",10^12,OFFSET(PLE!$G$14,$M122,CA$13))))</f>
        <v>1000000000000</v>
      </c>
      <c r="CB122" s="182">
        <f ca="1">IF($D122&lt;&gt;"Serviço",0,IF(OR(AND(AUTOEVENTO="Manual",$M122=1),$M122&gt;(ROW(PLE.lastrow)-ROW(PLE.firstrow))),0,IF(OFFSET(PLE!$G$14,$M122,CB$13)="",10^12,OFFSET(PLE!$G$14,$M122,CB$13))))</f>
        <v>1000000000000</v>
      </c>
      <c r="CC122" s="182">
        <f ca="1">IF($D122&lt;&gt;"Serviço",0,IF(OR(AND(AUTOEVENTO="Manual",$M122=1),$M122&gt;(ROW(PLE.lastrow)-ROW(PLE.firstrow))),0,IF(OFFSET(PLE!$G$14,$M122,CC$13)="",10^12,OFFSET(PLE!$G$14,$M122,CC$13))))</f>
        <v>1000000000000</v>
      </c>
      <c r="CD122" s="182">
        <f ca="1">IF($D122&lt;&gt;"Serviço",0,IF(OR(AND(AUTOEVENTO="Manual",$M122=1),$M122&gt;(ROW(PLE.lastrow)-ROW(PLE.firstrow))),0,IF(OFFSET(PLE!$G$14,$M122,CD$13)="",10^12,OFFSET(PLE!$G$14,$M122,CD$13))))</f>
        <v>1000000000000</v>
      </c>
      <c r="CE122" s="182">
        <f ca="1">IF($D122&lt;&gt;"Serviço",0,IF(OR(AND(AUTOEVENTO="Manual",$M122=1),$M122&gt;(ROW(PLE.lastrow)-ROW(PLE.firstrow))),0,IF(OFFSET(PLE!$G$14,$M122,CE$13)="",10^12,OFFSET(PLE!$G$14,$M122,CE$13))))</f>
        <v>1000000000000</v>
      </c>
      <c r="CF122" s="182">
        <f ca="1">IF($D122&lt;&gt;"Serviço",0,IF(OR(AND(AUTOEVENTO="Manual",$M122=1),$M122&gt;(ROW(PLE.lastrow)-ROW(PLE.firstrow))),0,IF(OFFSET(PLE!$G$14,$M122,CF$13)="",10^12,OFFSET(PLE!$G$14,$M122,CF$13))))</f>
        <v>1000000000000</v>
      </c>
      <c r="CG122" s="182">
        <f ca="1">IF($D122&lt;&gt;"Serviço",0,IF(OR(AND(AUTOEVENTO="Manual",$M122=1),$M122&gt;(ROW(PLE.lastrow)-ROW(PLE.firstrow))),0,IF(OFFSET(PLE!$G$14,$M122,CG$13)="",10^12,OFFSET(PLE!$G$14,$M122,CG$13))))</f>
        <v>1000000000000</v>
      </c>
      <c r="CH122" s="182">
        <f ca="1">IF($D122&lt;&gt;"Serviço",0,IF(OR(AND(AUTOEVENTO="Manual",$M122=1),$M122&gt;(ROW(PLE.lastrow)-ROW(PLE.firstrow))),0,IF(OFFSET(PLE!$G$14,$M122,CH$13)="",10^12,OFFSET(PLE!$G$14,$M122,CH$13))))</f>
        <v>1000000000000</v>
      </c>
      <c r="CI122" s="182">
        <f ca="1">IF($D122&lt;&gt;"Serviço",0,IF(OR(AND(AUTOEVENTO="Manual",$M122=1),$M122&gt;(ROW(PLE.lastrow)-ROW(PLE.firstrow))),0,IF(OFFSET(PLE!$G$14,$M122,CI$13)="",10^12,OFFSET(PLE!$G$14,$M122,CI$13))))</f>
        <v>1000000000000</v>
      </c>
      <c r="CJ122" s="182">
        <f ca="1">IF($D122&lt;&gt;"Serviço",0,IF(OR(AND(AUTOEVENTO="Manual",$M122=1),$M122&gt;(ROW(PLE.lastrow)-ROW(PLE.firstrow))),0,IF(OFFSET(PLE!$G$14,$M122,CJ$13)="",10^12,OFFSET(PLE!$G$14,$M122,CJ$13))))</f>
        <v>1000000000000</v>
      </c>
      <c r="CK122" s="182">
        <f ca="1">IF($D122&lt;&gt;"Serviço",0,IF(OR(AND(AUTOEVENTO="Manual",$M122=1),$M122&gt;(ROW(PLE.lastrow)-ROW(PLE.firstrow))),0,IF(OFFSET(PLE!$G$14,$M122,CK$13)="",10^12,OFFSET(PLE!$G$14,$M122,CK$13))))</f>
        <v>1000000000000</v>
      </c>
      <c r="CL122" s="182">
        <f ca="1">IF($D122&lt;&gt;"Serviço",0,IF(OR(AND(AUTOEVENTO="Manual",$M122=1),$M122&gt;(ROW(PLE.lastrow)-ROW(PLE.firstrow))),0,IF(OFFSET(PLE!$G$14,$M122,CL$13)="",10^12,OFFSET(PLE!$G$14,$M122,CL$13))))</f>
        <v>1000000000000</v>
      </c>
      <c r="CM122" s="182">
        <f ca="1">IF($D122&lt;&gt;"Serviço",0,IF(OR(AND(AUTOEVENTO="Manual",$M122=1),$M122&gt;(ROW(PLE.lastrow)-ROW(PLE.firstrow))),0,IF(OFFSET(PLE!$G$14,$M122,CM$13)="",10^12,OFFSET(PLE!$G$14,$M122,CM$13))))</f>
        <v>1000000000000</v>
      </c>
    </row>
    <row r="123" spans="1:91" ht="38.25" x14ac:dyDescent="0.2">
      <c r="A123" s="7" t="str">
        <f t="shared" ca="1" si="11"/>
        <v>106</v>
      </c>
      <c r="B123" s="7" t="str">
        <f ca="1">OFFSET(ORÇAMENTO!C$15,ROW(B123)-ROW(B$15),0)</f>
        <v>S</v>
      </c>
      <c r="C123" s="7" t="str">
        <f ca="1">OFFSET(ORÇAMENTO!L$15,ROW(C123)-ROW(C$15),0)</f>
        <v/>
      </c>
      <c r="D123" s="118" t="str">
        <f ca="1">OFFSET(ORÇAMENTO!N$15,ROW(D123)-ROW(D$15),0)</f>
        <v>Serviço</v>
      </c>
      <c r="E123" s="119" t="str">
        <f ca="1">OFFSET(ORÇAMENTO!O$15,ROW(E123)-ROW(E$15),0)</f>
        <v>-</v>
      </c>
      <c r="F123" s="172" t="str">
        <f ca="1">OFFSET(ORÇAMENTO!R$15,ROW(F123)-ROW(F$15),0)</f>
        <v>(abra o arquivo 'Referência 06-2024.xlsm)</v>
      </c>
      <c r="G123" s="173" t="str">
        <f ca="1">IF($D123&lt;&gt;"Serviço","",OFFSET(ORÇAMENTO!S$15,ROW(G123)-ROW(G$15),0))</f>
        <v>-</v>
      </c>
      <c r="H123" s="124">
        <f ca="1">IF($D123&lt;&gt;"Serviço",0,IF(ACOMPANHAMENTO="BM",ROUND(OFFSET(ORÇAMENTO!AJ$15,ROW(H123)-ROW(H$15),0),15-13*ORÇAMENTO!$AF$7),SUMPRODUCT(($Q$12:$AI$12&lt;&gt;"")*ROUND($Q123:$AI123,15-13*ORÇAMENTO!$AF$7))))</f>
        <v>4</v>
      </c>
      <c r="I123" s="561" t="s">
        <v>1107</v>
      </c>
      <c r="K123" s="174"/>
      <c r="L123" s="175" t="s">
        <v>255</v>
      </c>
      <c r="M123" s="176">
        <f ca="1">IF($D123&lt;&gt;"Serviço","",IF(AUTOEVENTO="manual",$A123,IF(ISERROR(MATCH($A123,$A$15:OFFSET($A123,-1,0),0)),MAX($M$15:OFFSET(M123,-1,0))+1,INDEX($M$15:OFFSET(M123,-1,0),MATCH($A123,$A$15:OFFSET($A123,-1,0),0)))))</f>
        <v>20</v>
      </c>
      <c r="N123" s="177" t="str">
        <f ca="1">IF($D123&lt;&gt;"Serviço","",IF(AUTOEVENTO="Manual",IF($A123=0,"&lt;-- defina o número do agrupador",OFFSET(EVENTOS!$D$14,$A123,0)),OFFSET($F$15,$A123,0)))</f>
        <v>ESQUADRIAS - FERRAGENS E ACESSÓRIOS</v>
      </c>
      <c r="O123" s="178"/>
      <c r="Q123" s="178">
        <v>4</v>
      </c>
      <c r="R123" s="179"/>
      <c r="S123" s="179"/>
      <c r="T123" s="179"/>
      <c r="U123" s="179"/>
      <c r="V123" s="179"/>
      <c r="W123" s="179"/>
      <c r="X123" s="179"/>
      <c r="Y123" s="179"/>
      <c r="Z123" s="180"/>
      <c r="AA123" s="179"/>
      <c r="AB123" s="179"/>
      <c r="AC123" s="179"/>
      <c r="AD123" s="179"/>
      <c r="AE123" s="179"/>
      <c r="AF123" s="179"/>
      <c r="AG123" s="179"/>
      <c r="AH123" s="180"/>
      <c r="AJ123" s="544">
        <f ca="1">IF(AND($D123="Serviço",AJ$12&lt;&gt;0,$H123&gt;0,OR(AUTOEVENTO&lt;&gt;"manual",$M123&lt;&gt;1)),
IF(Import.TipoArredondamento&lt;&gt;"TransfereGOV",
ROUND(OFFSET($P123,0,AJ$13),15-13*ORÇAMENTO!$AF$7)/$H123*OFFSET(ORÇAMENTO!$X$15,ROW(AJ123)-ROW(AJ$15),0),
ROUND(ROUND(OFFSET($P123,0,AJ$13),15-13*ORÇAMENTO!$AF$7)*OFFSET(ORÇAMENTO!$W$15,ROW(AJ123)-ROW(AJ$15),0),15-13*ORÇAMENTO!$AF$11)),0)</f>
        <v>0</v>
      </c>
      <c r="AK123" s="545">
        <f ca="1">IF(AND($D123="Serviço",AK$12&lt;&gt;0,$H123&gt;0,OR(AUTOEVENTO&lt;&gt;"manual",$M123&lt;&gt;1)),
IF(Import.TipoArredondamento&lt;&gt;"TransfereGOV",
ROUND(OFFSET($P123,0,AK$13),15-13*ORÇAMENTO!$AF$7)/$H123*OFFSET(ORÇAMENTO!$X$15,ROW(AK123)-ROW(AK$15),0),
ROUND(ROUND(OFFSET($P123,0,AK$13),15-13*ORÇAMENTO!$AF$7)*OFFSET(ORÇAMENTO!$W$15,ROW(AK123)-ROW(AK$15),0),15-13*ORÇAMENTO!$AF$11)),0)</f>
        <v>0</v>
      </c>
      <c r="AL123" s="545">
        <f ca="1">IF(AND($D123="Serviço",AL$12&lt;&gt;0,$H123&gt;0,OR(AUTOEVENTO&lt;&gt;"manual",$M123&lt;&gt;1)),
IF(Import.TipoArredondamento&lt;&gt;"TransfereGOV",
ROUND(OFFSET($P123,0,AL$13),15-13*ORÇAMENTO!$AF$7)/$H123*OFFSET(ORÇAMENTO!$X$15,ROW(AL123)-ROW(AL$15),0),
ROUND(ROUND(OFFSET($P123,0,AL$13),15-13*ORÇAMENTO!$AF$7)*OFFSET(ORÇAMENTO!$W$15,ROW(AL123)-ROW(AL$15),0),15-13*ORÇAMENTO!$AF$11)),0)</f>
        <v>0</v>
      </c>
      <c r="AM123" s="545">
        <f ca="1">IF(AND($D123="Serviço",AM$12&lt;&gt;0,$H123&gt;0,OR(AUTOEVENTO&lt;&gt;"manual",$M123&lt;&gt;1)),
IF(Import.TipoArredondamento&lt;&gt;"TransfereGOV",
ROUND(OFFSET($P123,0,AM$13),15-13*ORÇAMENTO!$AF$7)/$H123*OFFSET(ORÇAMENTO!$X$15,ROW(AM123)-ROW(AM$15),0),
ROUND(ROUND(OFFSET($P123,0,AM$13),15-13*ORÇAMENTO!$AF$7)*OFFSET(ORÇAMENTO!$W$15,ROW(AM123)-ROW(AM$15),0),15-13*ORÇAMENTO!$AF$11)),0)</f>
        <v>0</v>
      </c>
      <c r="AN123" s="545">
        <f ca="1">IF(AND($D123="Serviço",AN$12&lt;&gt;0,$H123&gt;0,OR(AUTOEVENTO&lt;&gt;"manual",$M123&lt;&gt;1)),
IF(Import.TipoArredondamento&lt;&gt;"TransfereGOV",
ROUND(OFFSET($P123,0,AN$13),15-13*ORÇAMENTO!$AF$7)/$H123*OFFSET(ORÇAMENTO!$X$15,ROW(AN123)-ROW(AN$15),0),
ROUND(ROUND(OFFSET($P123,0,AN$13),15-13*ORÇAMENTO!$AF$7)*OFFSET(ORÇAMENTO!$W$15,ROW(AN123)-ROW(AN$15),0),15-13*ORÇAMENTO!$AF$11)),0)</f>
        <v>0</v>
      </c>
      <c r="AO123" s="545">
        <f ca="1">IF(AND($D123="Serviço",AO$12&lt;&gt;0,$H123&gt;0,OR(AUTOEVENTO&lt;&gt;"manual",$M123&lt;&gt;1)),
IF(Import.TipoArredondamento&lt;&gt;"TransfereGOV",
ROUND(OFFSET($P123,0,AO$13),15-13*ORÇAMENTO!$AF$7)/$H123*OFFSET(ORÇAMENTO!$X$15,ROW(AO123)-ROW(AO$15),0),
ROUND(ROUND(OFFSET($P123,0,AO$13),15-13*ORÇAMENTO!$AF$7)*OFFSET(ORÇAMENTO!$W$15,ROW(AO123)-ROW(AO$15),0),15-13*ORÇAMENTO!$AF$11)),0)</f>
        <v>0</v>
      </c>
      <c r="AP123" s="545">
        <f ca="1">IF(AND($D123="Serviço",AP$12&lt;&gt;0,$H123&gt;0,OR(AUTOEVENTO&lt;&gt;"manual",$M123&lt;&gt;1)),
IF(Import.TipoArredondamento&lt;&gt;"TransfereGOV",
ROUND(OFFSET($P123,0,AP$13),15-13*ORÇAMENTO!$AF$7)/$H123*OFFSET(ORÇAMENTO!$X$15,ROW(AP123)-ROW(AP$15),0),
ROUND(ROUND(OFFSET($P123,0,AP$13),15-13*ORÇAMENTO!$AF$7)*OFFSET(ORÇAMENTO!$W$15,ROW(AP123)-ROW(AP$15),0),15-13*ORÇAMENTO!$AF$11)),0)</f>
        <v>0</v>
      </c>
      <c r="AQ123" s="545">
        <f ca="1">IF(AND($D123="Serviço",AQ$12&lt;&gt;0,$H123&gt;0,OR(AUTOEVENTO&lt;&gt;"manual",$M123&lt;&gt;1)),
IF(Import.TipoArredondamento&lt;&gt;"TransfereGOV",
ROUND(OFFSET($P123,0,AQ$13),15-13*ORÇAMENTO!$AF$7)/$H123*OFFSET(ORÇAMENTO!$X$15,ROW(AQ123)-ROW(AQ$15),0),
ROUND(ROUND(OFFSET($P123,0,AQ$13),15-13*ORÇAMENTO!$AF$7)*OFFSET(ORÇAMENTO!$W$15,ROW(AQ123)-ROW(AQ$15),0),15-13*ORÇAMENTO!$AF$11)),0)</f>
        <v>0</v>
      </c>
      <c r="AR123" s="545">
        <f ca="1">IF(AND($D123="Serviço",AR$12&lt;&gt;0,$H123&gt;0,OR(AUTOEVENTO&lt;&gt;"manual",$M123&lt;&gt;1)),
IF(Import.TipoArredondamento&lt;&gt;"TransfereGOV",
ROUND(OFFSET($P123,0,AR$13),15-13*ORÇAMENTO!$AF$7)/$H123*OFFSET(ORÇAMENTO!$X$15,ROW(AR123)-ROW(AR$15),0),
ROUND(ROUND(OFFSET($P123,0,AR$13),15-13*ORÇAMENTO!$AF$7)*OFFSET(ORÇAMENTO!$W$15,ROW(AR123)-ROW(AR$15),0),15-13*ORÇAMENTO!$AF$11)),0)</f>
        <v>0</v>
      </c>
      <c r="AS123" s="546">
        <f ca="1">IF(AND($D123="Serviço",AS$12&lt;&gt;0,$H123&gt;0,OR(AUTOEVENTO&lt;&gt;"manual",$M123&lt;&gt;1)),
IF(Import.TipoArredondamento&lt;&gt;"TransfereGOV",
ROUND(OFFSET($P123,0,AS$13),15-13*ORÇAMENTO!$AF$7)/$H123*OFFSET(ORÇAMENTO!$X$15,ROW(AS123)-ROW(AS$15),0),
ROUND(ROUND(OFFSET($P123,0,AS$13),15-13*ORÇAMENTO!$AF$7)*OFFSET(ORÇAMENTO!$W$15,ROW(AS123)-ROW(AS$15),0),15-13*ORÇAMENTO!$AF$11)),0)</f>
        <v>0</v>
      </c>
      <c r="AT123" s="545">
        <f ca="1">IF(AND($D123="Serviço",AT$12&lt;&gt;0,$H123&gt;0,OR(AUTOEVENTO&lt;&gt;"manual",$M123&lt;&gt;1)),
IF(Import.TipoArredondamento&lt;&gt;"TransfereGOV",
ROUND(OFFSET($P123,0,AT$13),15-13*ORÇAMENTO!$AF$7)/$H123*OFFSET(ORÇAMENTO!$X$15,ROW(AT123)-ROW(AT$15),0),
ROUND(ROUND(OFFSET($P123,0,AT$13),15-13*ORÇAMENTO!$AF$7)*OFFSET(ORÇAMENTO!$W$15,ROW(AT123)-ROW(AT$15),0),15-13*ORÇAMENTO!$AF$11)),0)</f>
        <v>0</v>
      </c>
      <c r="AU123" s="545">
        <f ca="1">IF(AND($D123="Serviço",AU$12&lt;&gt;0,$H123&gt;0,OR(AUTOEVENTO&lt;&gt;"manual",$M123&lt;&gt;1)),
IF(Import.TipoArredondamento&lt;&gt;"TransfereGOV",
ROUND(OFFSET($P123,0,AU$13),15-13*ORÇAMENTO!$AF$7)/$H123*OFFSET(ORÇAMENTO!$X$15,ROW(AU123)-ROW(AU$15),0),
ROUND(ROUND(OFFSET($P123,0,AU$13),15-13*ORÇAMENTO!$AF$7)*OFFSET(ORÇAMENTO!$W$15,ROW(AU123)-ROW(AU$15),0),15-13*ORÇAMENTO!$AF$11)),0)</f>
        <v>0</v>
      </c>
      <c r="AV123" s="545">
        <f ca="1">IF(AND($D123="Serviço",AV$12&lt;&gt;0,$H123&gt;0,OR(AUTOEVENTO&lt;&gt;"manual",$M123&lt;&gt;1)),
IF(Import.TipoArredondamento&lt;&gt;"TransfereGOV",
ROUND(OFFSET($P123,0,AV$13),15-13*ORÇAMENTO!$AF$7)/$H123*OFFSET(ORÇAMENTO!$X$15,ROW(AV123)-ROW(AV$15),0),
ROUND(ROUND(OFFSET($P123,0,AV$13),15-13*ORÇAMENTO!$AF$7)*OFFSET(ORÇAMENTO!$W$15,ROW(AV123)-ROW(AV$15),0),15-13*ORÇAMENTO!$AF$11)),0)</f>
        <v>0</v>
      </c>
      <c r="AW123" s="545">
        <f ca="1">IF(AND($D123="Serviço",AW$12&lt;&gt;0,$H123&gt;0,OR(AUTOEVENTO&lt;&gt;"manual",$M123&lt;&gt;1)),
IF(Import.TipoArredondamento&lt;&gt;"TransfereGOV",
ROUND(OFFSET($P123,0,AW$13),15-13*ORÇAMENTO!$AF$7)/$H123*OFFSET(ORÇAMENTO!$X$15,ROW(AW123)-ROW(AW$15),0),
ROUND(ROUND(OFFSET($P123,0,AW$13),15-13*ORÇAMENTO!$AF$7)*OFFSET(ORÇAMENTO!$W$15,ROW(AW123)-ROW(AW$15),0),15-13*ORÇAMENTO!$AF$11)),0)</f>
        <v>0</v>
      </c>
      <c r="AX123" s="545">
        <f ca="1">IF(AND($D123="Serviço",AX$12&lt;&gt;0,$H123&gt;0,OR(AUTOEVENTO&lt;&gt;"manual",$M123&lt;&gt;1)),
IF(Import.TipoArredondamento&lt;&gt;"TransfereGOV",
ROUND(OFFSET($P123,0,AX$13),15-13*ORÇAMENTO!$AF$7)/$H123*OFFSET(ORÇAMENTO!$X$15,ROW(AX123)-ROW(AX$15),0),
ROUND(ROUND(OFFSET($P123,0,AX$13),15-13*ORÇAMENTO!$AF$7)*OFFSET(ORÇAMENTO!$W$15,ROW(AX123)-ROW(AX$15),0),15-13*ORÇAMENTO!$AF$11)),0)</f>
        <v>0</v>
      </c>
      <c r="AY123" s="545">
        <f ca="1">IF(AND($D123="Serviço",AY$12&lt;&gt;0,$H123&gt;0,OR(AUTOEVENTO&lt;&gt;"manual",$M123&lt;&gt;1)),
IF(Import.TipoArredondamento&lt;&gt;"TransfereGOV",
ROUND(OFFSET($P123,0,AY$13),15-13*ORÇAMENTO!$AF$7)/$H123*OFFSET(ORÇAMENTO!$X$15,ROW(AY123)-ROW(AY$15),0),
ROUND(ROUND(OFFSET($P123,0,AY$13),15-13*ORÇAMENTO!$AF$7)*OFFSET(ORÇAMENTO!$W$15,ROW(AY123)-ROW(AY$15),0),15-13*ORÇAMENTO!$AF$11)),0)</f>
        <v>0</v>
      </c>
      <c r="AZ123" s="545">
        <f ca="1">IF(AND($D123="Serviço",AZ$12&lt;&gt;0,$H123&gt;0,OR(AUTOEVENTO&lt;&gt;"manual",$M123&lt;&gt;1)),
IF(Import.TipoArredondamento&lt;&gt;"TransfereGOV",
ROUND(OFFSET($P123,0,AZ$13),15-13*ORÇAMENTO!$AF$7)/$H123*OFFSET(ORÇAMENTO!$X$15,ROW(AZ123)-ROW(AZ$15),0),
ROUND(ROUND(OFFSET($P123,0,AZ$13),15-13*ORÇAMENTO!$AF$7)*OFFSET(ORÇAMENTO!$W$15,ROW(AZ123)-ROW(AZ$15),0),15-13*ORÇAMENTO!$AF$11)),0)</f>
        <v>0</v>
      </c>
      <c r="BA123" s="546">
        <f ca="1">IF(AND($D123="Serviço",BA$12&lt;&gt;0,$H123&gt;0,OR(AUTOEVENTO&lt;&gt;"manual",$M123&lt;&gt;1)),
IF(Import.TipoArredondamento&lt;&gt;"TransfereGOV",
ROUND(OFFSET($P123,0,BA$13),15-13*ORÇAMENTO!$AF$7)/$H123*OFFSET(ORÇAMENTO!$X$15,ROW(BA123)-ROW(BA$15),0),
ROUND(ROUND(OFFSET($P123,0,BA$13),15-13*ORÇAMENTO!$AF$7)*OFFSET(ORÇAMENTO!$W$15,ROW(BA123)-ROW(BA$15),0),15-13*ORÇAMENTO!$AF$11)),0)</f>
        <v>0</v>
      </c>
      <c r="BC123" s="181">
        <f ca="1">IF($D123&lt;&gt;"Serviço",0,IF(AND(AUTOEVENTO="Manual",$M123=1),0,IF(OFFSET(CRONOPLE!$F$14,$M123,BC$13)="",10^12,OFFSET(CRONOPLE!$F$14,$M123,BC$13))))</f>
        <v>5</v>
      </c>
      <c r="BD123" s="181">
        <f ca="1">IF($D123&lt;&gt;"Serviço",0,IF(AND(AUTOEVENTO="Manual",$M123=1),0,IF(OFFSET(CRONOPLE!$F$14,$M123,BD$13)="",10^12,OFFSET(CRONOPLE!$F$14,$M123,BD$13))))</f>
        <v>1000000000000</v>
      </c>
      <c r="BE123" s="181">
        <f ca="1">IF($D123&lt;&gt;"Serviço",0,IF(AND(AUTOEVENTO="Manual",$M123=1),0,IF(OFFSET(CRONOPLE!$F$14,$M123,BE$13)="",10^12,OFFSET(CRONOPLE!$F$14,$M123,BE$13))))</f>
        <v>1000000000000</v>
      </c>
      <c r="BF123" s="181">
        <f ca="1">IF($D123&lt;&gt;"Serviço",0,IF(AND(AUTOEVENTO="Manual",$M123=1),0,IF(OFFSET(CRONOPLE!$F$14,$M123,BF$13)="",10^12,OFFSET(CRONOPLE!$F$14,$M123,BF$13))))</f>
        <v>1000000000000</v>
      </c>
      <c r="BG123" s="181">
        <f ca="1">IF($D123&lt;&gt;"Serviço",0,IF(AND(AUTOEVENTO="Manual",$M123=1),0,IF(OFFSET(CRONOPLE!$F$14,$M123,BG$13)="",10^12,OFFSET(CRONOPLE!$F$14,$M123,BG$13))))</f>
        <v>1000000000000</v>
      </c>
      <c r="BH123" s="181">
        <f ca="1">IF($D123&lt;&gt;"Serviço",0,IF(AND(AUTOEVENTO="Manual",$M123=1),0,IF(OFFSET(CRONOPLE!$F$14,$M123,BH$13)="",10^12,OFFSET(CRONOPLE!$F$14,$M123,BH$13))))</f>
        <v>1000000000000</v>
      </c>
      <c r="BI123" s="181">
        <f ca="1">IF($D123&lt;&gt;"Serviço",0,IF(AND(AUTOEVENTO="Manual",$M123=1),0,IF(OFFSET(CRONOPLE!$F$14,$M123,BI$13)="",10^12,OFFSET(CRONOPLE!$F$14,$M123,BI$13))))</f>
        <v>1000000000000</v>
      </c>
      <c r="BJ123" s="181">
        <f ca="1">IF($D123&lt;&gt;"Serviço",0,IF(AND(AUTOEVENTO="Manual",$M123=1),0,IF(OFFSET(CRONOPLE!$F$14,$M123,BJ$13)="",10^12,OFFSET(CRONOPLE!$F$14,$M123,BJ$13))))</f>
        <v>1000000000000</v>
      </c>
      <c r="BK123" s="181">
        <f ca="1">IF($D123&lt;&gt;"Serviço",0,IF(AND(AUTOEVENTO="Manual",$M123=1),0,IF(OFFSET(CRONOPLE!$F$14,$M123,BK$13)="",10^12,OFFSET(CRONOPLE!$F$14,$M123,BK$13))))</f>
        <v>1000000000000</v>
      </c>
      <c r="BL123" s="181">
        <f ca="1">IF($D123&lt;&gt;"Serviço",0,IF(AND(AUTOEVENTO="Manual",$M123=1),0,IF(OFFSET(CRONOPLE!$F$14,$M123,BL$13)="",10^12,OFFSET(CRONOPLE!$F$14,$M123,BL$13))))</f>
        <v>1000000000000</v>
      </c>
      <c r="BM123" s="181">
        <f ca="1">IF($D123&lt;&gt;"Serviço",0,IF(AND(AUTOEVENTO="Manual",$M123=1),0,IF(OFFSET(CRONOPLE!$F$14,$M123,BM$13)="",10^12,OFFSET(CRONOPLE!$F$14,$M123,BM$13))))</f>
        <v>1000000000000</v>
      </c>
      <c r="BN123" s="181">
        <f ca="1">IF($D123&lt;&gt;"Serviço",0,IF(AND(AUTOEVENTO="Manual",$M123=1),0,IF(OFFSET(CRONOPLE!$F$14,$M123,BN$13)="",10^12,OFFSET(CRONOPLE!$F$14,$M123,BN$13))))</f>
        <v>1000000000000</v>
      </c>
      <c r="BO123" s="181">
        <f ca="1">IF($D123&lt;&gt;"Serviço",0,IF(AND(AUTOEVENTO="Manual",$M123=1),0,IF(OFFSET(CRONOPLE!$F$14,$M123,BO$13)="",10^12,OFFSET(CRONOPLE!$F$14,$M123,BO$13))))</f>
        <v>1000000000000</v>
      </c>
      <c r="BP123" s="181">
        <f ca="1">IF($D123&lt;&gt;"Serviço",0,IF(AND(AUTOEVENTO="Manual",$M123=1),0,IF(OFFSET(CRONOPLE!$F$14,$M123,BP$13)="",10^12,OFFSET(CRONOPLE!$F$14,$M123,BP$13))))</f>
        <v>1000000000000</v>
      </c>
      <c r="BQ123" s="181">
        <f ca="1">IF($D123&lt;&gt;"Serviço",0,IF(AND(AUTOEVENTO="Manual",$M123=1),0,IF(OFFSET(CRONOPLE!$F$14,$M123,BQ$13)="",10^12,OFFSET(CRONOPLE!$F$14,$M123,BQ$13))))</f>
        <v>1000000000000</v>
      </c>
      <c r="BR123" s="181">
        <f ca="1">IF($D123&lt;&gt;"Serviço",0,IF(AND(AUTOEVENTO="Manual",$M123=1),0,IF(OFFSET(CRONOPLE!$F$14,$M123,BR$13)="",10^12,OFFSET(CRONOPLE!$F$14,$M123,BR$13))))</f>
        <v>1000000000000</v>
      </c>
      <c r="BS123" s="181">
        <f ca="1">IF($D123&lt;&gt;"Serviço",0,IF(AND(AUTOEVENTO="Manual",$M123=1),0,IF(OFFSET(CRONOPLE!$F$14,$M123,BS$13)="",10^12,OFFSET(CRONOPLE!$F$14,$M123,BS$13))))</f>
        <v>1000000000000</v>
      </c>
      <c r="BT123" s="181">
        <f ca="1">IF($D123&lt;&gt;"Serviço",0,IF(AND(AUTOEVENTO="Manual",$M123=1),0,IF(OFFSET(CRONOPLE!$F$14,$M123,BT$13)="",10^12,OFFSET(CRONOPLE!$F$14,$M123,BT$13))))</f>
        <v>1000000000000</v>
      </c>
      <c r="BV123" s="182">
        <f ca="1">IF($D123&lt;&gt;"Serviço",0,IF(OR(AND(AUTOEVENTO="Manual",$M123=1),$M123&gt;(ROW(PLE.lastrow)-ROW(PLE.firstrow))),0,IF(OFFSET(PLE!$G$14,$M123,BV$13)="",10^12,OFFSET(PLE!$G$14,$M123,BV$13))))</f>
        <v>1000000000000</v>
      </c>
      <c r="BW123" s="182">
        <f ca="1">IF($D123&lt;&gt;"Serviço",0,IF(OR(AND(AUTOEVENTO="Manual",$M123=1),$M123&gt;(ROW(PLE.lastrow)-ROW(PLE.firstrow))),0,IF(OFFSET(PLE!$G$14,$M123,BW$13)="",10^12,OFFSET(PLE!$G$14,$M123,BW$13))))</f>
        <v>1000000000000</v>
      </c>
      <c r="BX123" s="182">
        <f ca="1">IF($D123&lt;&gt;"Serviço",0,IF(OR(AND(AUTOEVENTO="Manual",$M123=1),$M123&gt;(ROW(PLE.lastrow)-ROW(PLE.firstrow))),0,IF(OFFSET(PLE!$G$14,$M123,BX$13)="",10^12,OFFSET(PLE!$G$14,$M123,BX$13))))</f>
        <v>1000000000000</v>
      </c>
      <c r="BY123" s="182">
        <f ca="1">IF($D123&lt;&gt;"Serviço",0,IF(OR(AND(AUTOEVENTO="Manual",$M123=1),$M123&gt;(ROW(PLE.lastrow)-ROW(PLE.firstrow))),0,IF(OFFSET(PLE!$G$14,$M123,BY$13)="",10^12,OFFSET(PLE!$G$14,$M123,BY$13))))</f>
        <v>1000000000000</v>
      </c>
      <c r="BZ123" s="182">
        <f ca="1">IF($D123&lt;&gt;"Serviço",0,IF(OR(AND(AUTOEVENTO="Manual",$M123=1),$M123&gt;(ROW(PLE.lastrow)-ROW(PLE.firstrow))),0,IF(OFFSET(PLE!$G$14,$M123,BZ$13)="",10^12,OFFSET(PLE!$G$14,$M123,BZ$13))))</f>
        <v>1000000000000</v>
      </c>
      <c r="CA123" s="182">
        <f ca="1">IF($D123&lt;&gt;"Serviço",0,IF(OR(AND(AUTOEVENTO="Manual",$M123=1),$M123&gt;(ROW(PLE.lastrow)-ROW(PLE.firstrow))),0,IF(OFFSET(PLE!$G$14,$M123,CA$13)="",10^12,OFFSET(PLE!$G$14,$M123,CA$13))))</f>
        <v>1000000000000</v>
      </c>
      <c r="CB123" s="182">
        <f ca="1">IF($D123&lt;&gt;"Serviço",0,IF(OR(AND(AUTOEVENTO="Manual",$M123=1),$M123&gt;(ROW(PLE.lastrow)-ROW(PLE.firstrow))),0,IF(OFFSET(PLE!$G$14,$M123,CB$13)="",10^12,OFFSET(PLE!$G$14,$M123,CB$13))))</f>
        <v>1000000000000</v>
      </c>
      <c r="CC123" s="182">
        <f ca="1">IF($D123&lt;&gt;"Serviço",0,IF(OR(AND(AUTOEVENTO="Manual",$M123=1),$M123&gt;(ROW(PLE.lastrow)-ROW(PLE.firstrow))),0,IF(OFFSET(PLE!$G$14,$M123,CC$13)="",10^12,OFFSET(PLE!$G$14,$M123,CC$13))))</f>
        <v>1000000000000</v>
      </c>
      <c r="CD123" s="182">
        <f ca="1">IF($D123&lt;&gt;"Serviço",0,IF(OR(AND(AUTOEVENTO="Manual",$M123=1),$M123&gt;(ROW(PLE.lastrow)-ROW(PLE.firstrow))),0,IF(OFFSET(PLE!$G$14,$M123,CD$13)="",10^12,OFFSET(PLE!$G$14,$M123,CD$13))))</f>
        <v>1000000000000</v>
      </c>
      <c r="CE123" s="182">
        <f ca="1">IF($D123&lt;&gt;"Serviço",0,IF(OR(AND(AUTOEVENTO="Manual",$M123=1),$M123&gt;(ROW(PLE.lastrow)-ROW(PLE.firstrow))),0,IF(OFFSET(PLE!$G$14,$M123,CE$13)="",10^12,OFFSET(PLE!$G$14,$M123,CE$13))))</f>
        <v>1000000000000</v>
      </c>
      <c r="CF123" s="182">
        <f ca="1">IF($D123&lt;&gt;"Serviço",0,IF(OR(AND(AUTOEVENTO="Manual",$M123=1),$M123&gt;(ROW(PLE.lastrow)-ROW(PLE.firstrow))),0,IF(OFFSET(PLE!$G$14,$M123,CF$13)="",10^12,OFFSET(PLE!$G$14,$M123,CF$13))))</f>
        <v>1000000000000</v>
      </c>
      <c r="CG123" s="182">
        <f ca="1">IF($D123&lt;&gt;"Serviço",0,IF(OR(AND(AUTOEVENTO="Manual",$M123=1),$M123&gt;(ROW(PLE.lastrow)-ROW(PLE.firstrow))),0,IF(OFFSET(PLE!$G$14,$M123,CG$13)="",10^12,OFFSET(PLE!$G$14,$M123,CG$13))))</f>
        <v>1000000000000</v>
      </c>
      <c r="CH123" s="182">
        <f ca="1">IF($D123&lt;&gt;"Serviço",0,IF(OR(AND(AUTOEVENTO="Manual",$M123=1),$M123&gt;(ROW(PLE.lastrow)-ROW(PLE.firstrow))),0,IF(OFFSET(PLE!$G$14,$M123,CH$13)="",10^12,OFFSET(PLE!$G$14,$M123,CH$13))))</f>
        <v>1000000000000</v>
      </c>
      <c r="CI123" s="182">
        <f ca="1">IF($D123&lt;&gt;"Serviço",0,IF(OR(AND(AUTOEVENTO="Manual",$M123=1),$M123&gt;(ROW(PLE.lastrow)-ROW(PLE.firstrow))),0,IF(OFFSET(PLE!$G$14,$M123,CI$13)="",10^12,OFFSET(PLE!$G$14,$M123,CI$13))))</f>
        <v>1000000000000</v>
      </c>
      <c r="CJ123" s="182">
        <f ca="1">IF($D123&lt;&gt;"Serviço",0,IF(OR(AND(AUTOEVENTO="Manual",$M123=1),$M123&gt;(ROW(PLE.lastrow)-ROW(PLE.firstrow))),0,IF(OFFSET(PLE!$G$14,$M123,CJ$13)="",10^12,OFFSET(PLE!$G$14,$M123,CJ$13))))</f>
        <v>1000000000000</v>
      </c>
      <c r="CK123" s="182">
        <f ca="1">IF($D123&lt;&gt;"Serviço",0,IF(OR(AND(AUTOEVENTO="Manual",$M123=1),$M123&gt;(ROW(PLE.lastrow)-ROW(PLE.firstrow))),0,IF(OFFSET(PLE!$G$14,$M123,CK$13)="",10^12,OFFSET(PLE!$G$14,$M123,CK$13))))</f>
        <v>1000000000000</v>
      </c>
      <c r="CL123" s="182">
        <f ca="1">IF($D123&lt;&gt;"Serviço",0,IF(OR(AND(AUTOEVENTO="Manual",$M123=1),$M123&gt;(ROW(PLE.lastrow)-ROW(PLE.firstrow))),0,IF(OFFSET(PLE!$G$14,$M123,CL$13)="",10^12,OFFSET(PLE!$G$14,$M123,CL$13))))</f>
        <v>1000000000000</v>
      </c>
      <c r="CM123" s="182">
        <f ca="1">IF($D123&lt;&gt;"Serviço",0,IF(OR(AND(AUTOEVENTO="Manual",$M123=1),$M123&gt;(ROW(PLE.lastrow)-ROW(PLE.firstrow))),0,IF(OFFSET(PLE!$G$14,$M123,CM$13)="",10^12,OFFSET(PLE!$G$14,$M123,CM$13))))</f>
        <v>1000000000000</v>
      </c>
    </row>
    <row r="124" spans="1:91" ht="25.5" x14ac:dyDescent="0.2">
      <c r="A124" s="7" t="str">
        <f t="shared" ca="1" si="11"/>
        <v>106</v>
      </c>
      <c r="B124" s="7" t="str">
        <f ca="1">OFFSET(ORÇAMENTO!C$15,ROW(B124)-ROW(B$15),0)</f>
        <v>S</v>
      </c>
      <c r="C124" s="7" t="str">
        <f ca="1">OFFSET(ORÇAMENTO!L$15,ROW(C124)-ROW(C$15),0)</f>
        <v/>
      </c>
      <c r="D124" s="118" t="str">
        <f ca="1">OFFSET(ORÇAMENTO!N$15,ROW(D124)-ROW(D$15),0)</f>
        <v>Serviço</v>
      </c>
      <c r="E124" s="119" t="str">
        <f ca="1">OFFSET(ORÇAMENTO!O$15,ROW(E124)-ROW(E$15),0)</f>
        <v>-</v>
      </c>
      <c r="F124" s="172" t="str">
        <f ca="1">OFFSET(ORÇAMENTO!R$15,ROW(F124)-ROW(F$15),0)</f>
        <v>(abra o arquivo 'Referência 06-2024.xlsm)</v>
      </c>
      <c r="G124" s="173" t="str">
        <f ca="1">IF($D124&lt;&gt;"Serviço","",OFFSET(ORÇAMENTO!S$15,ROW(G124)-ROW(G$15),0))</f>
        <v>-</v>
      </c>
      <c r="H124" s="124">
        <f ca="1">IF($D124&lt;&gt;"Serviço",0,IF(ACOMPANHAMENTO="BM",ROUND(OFFSET(ORÇAMENTO!AJ$15,ROW(H124)-ROW(H$15),0),15-13*ORÇAMENTO!$AF$7),SUMPRODUCT(($Q$12:$AI$12&lt;&gt;"")*ROUND($Q124:$AI124,15-13*ORÇAMENTO!$AF$7))))</f>
        <v>19.84</v>
      </c>
      <c r="I124" s="561" t="s">
        <v>1107</v>
      </c>
      <c r="K124" s="174"/>
      <c r="L124" s="175" t="s">
        <v>255</v>
      </c>
      <c r="M124" s="176">
        <f ca="1">IF($D124&lt;&gt;"Serviço","",IF(AUTOEVENTO="manual",$A124,IF(ISERROR(MATCH($A124,$A$15:OFFSET($A124,-1,0),0)),MAX($M$15:OFFSET(M124,-1,0))+1,INDEX($M$15:OFFSET(M124,-1,0),MATCH($A124,$A$15:OFFSET($A124,-1,0),0)))))</f>
        <v>20</v>
      </c>
      <c r="N124" s="177" t="str">
        <f ca="1">IF($D124&lt;&gt;"Serviço","",IF(AUTOEVENTO="Manual",IF($A124=0,"&lt;-- defina o número do agrupador",OFFSET(EVENTOS!$D$14,$A124,0)),OFFSET($F$15,$A124,0)))</f>
        <v>ESQUADRIAS - FERRAGENS E ACESSÓRIOS</v>
      </c>
      <c r="O124" s="178"/>
      <c r="Q124" s="178">
        <v>19.84</v>
      </c>
      <c r="R124" s="179"/>
      <c r="S124" s="179"/>
      <c r="T124" s="179"/>
      <c r="U124" s="179"/>
      <c r="V124" s="179"/>
      <c r="W124" s="179"/>
      <c r="X124" s="179"/>
      <c r="Y124" s="179"/>
      <c r="Z124" s="180"/>
      <c r="AA124" s="179"/>
      <c r="AB124" s="179"/>
      <c r="AC124" s="179"/>
      <c r="AD124" s="179"/>
      <c r="AE124" s="179"/>
      <c r="AF124" s="179"/>
      <c r="AG124" s="179"/>
      <c r="AH124" s="180"/>
      <c r="AJ124" s="544">
        <f ca="1">IF(AND($D124="Serviço",AJ$12&lt;&gt;0,$H124&gt;0,OR(AUTOEVENTO&lt;&gt;"manual",$M124&lt;&gt;1)),
IF(Import.TipoArredondamento&lt;&gt;"TransfereGOV",
ROUND(OFFSET($P124,0,AJ$13),15-13*ORÇAMENTO!$AF$7)/$H124*OFFSET(ORÇAMENTO!$X$15,ROW(AJ124)-ROW(AJ$15),0),
ROUND(ROUND(OFFSET($P124,0,AJ$13),15-13*ORÇAMENTO!$AF$7)*OFFSET(ORÇAMENTO!$W$15,ROW(AJ124)-ROW(AJ$15),0),15-13*ORÇAMENTO!$AF$11)),0)</f>
        <v>0</v>
      </c>
      <c r="AK124" s="545">
        <f ca="1">IF(AND($D124="Serviço",AK$12&lt;&gt;0,$H124&gt;0,OR(AUTOEVENTO&lt;&gt;"manual",$M124&lt;&gt;1)),
IF(Import.TipoArredondamento&lt;&gt;"TransfereGOV",
ROUND(OFFSET($P124,0,AK$13),15-13*ORÇAMENTO!$AF$7)/$H124*OFFSET(ORÇAMENTO!$X$15,ROW(AK124)-ROW(AK$15),0),
ROUND(ROUND(OFFSET($P124,0,AK$13),15-13*ORÇAMENTO!$AF$7)*OFFSET(ORÇAMENTO!$W$15,ROW(AK124)-ROW(AK$15),0),15-13*ORÇAMENTO!$AF$11)),0)</f>
        <v>0</v>
      </c>
      <c r="AL124" s="545">
        <f ca="1">IF(AND($D124="Serviço",AL$12&lt;&gt;0,$H124&gt;0,OR(AUTOEVENTO&lt;&gt;"manual",$M124&lt;&gt;1)),
IF(Import.TipoArredondamento&lt;&gt;"TransfereGOV",
ROUND(OFFSET($P124,0,AL$13),15-13*ORÇAMENTO!$AF$7)/$H124*OFFSET(ORÇAMENTO!$X$15,ROW(AL124)-ROW(AL$15),0),
ROUND(ROUND(OFFSET($P124,0,AL$13),15-13*ORÇAMENTO!$AF$7)*OFFSET(ORÇAMENTO!$W$15,ROW(AL124)-ROW(AL$15),0),15-13*ORÇAMENTO!$AF$11)),0)</f>
        <v>0</v>
      </c>
      <c r="AM124" s="545">
        <f ca="1">IF(AND($D124="Serviço",AM$12&lt;&gt;0,$H124&gt;0,OR(AUTOEVENTO&lt;&gt;"manual",$M124&lt;&gt;1)),
IF(Import.TipoArredondamento&lt;&gt;"TransfereGOV",
ROUND(OFFSET($P124,0,AM$13),15-13*ORÇAMENTO!$AF$7)/$H124*OFFSET(ORÇAMENTO!$X$15,ROW(AM124)-ROW(AM$15),0),
ROUND(ROUND(OFFSET($P124,0,AM$13),15-13*ORÇAMENTO!$AF$7)*OFFSET(ORÇAMENTO!$W$15,ROW(AM124)-ROW(AM$15),0),15-13*ORÇAMENTO!$AF$11)),0)</f>
        <v>0</v>
      </c>
      <c r="AN124" s="545">
        <f ca="1">IF(AND($D124="Serviço",AN$12&lt;&gt;0,$H124&gt;0,OR(AUTOEVENTO&lt;&gt;"manual",$M124&lt;&gt;1)),
IF(Import.TipoArredondamento&lt;&gt;"TransfereGOV",
ROUND(OFFSET($P124,0,AN$13),15-13*ORÇAMENTO!$AF$7)/$H124*OFFSET(ORÇAMENTO!$X$15,ROW(AN124)-ROW(AN$15),0),
ROUND(ROUND(OFFSET($P124,0,AN$13),15-13*ORÇAMENTO!$AF$7)*OFFSET(ORÇAMENTO!$W$15,ROW(AN124)-ROW(AN$15),0),15-13*ORÇAMENTO!$AF$11)),0)</f>
        <v>0</v>
      </c>
      <c r="AO124" s="545">
        <f ca="1">IF(AND($D124="Serviço",AO$12&lt;&gt;0,$H124&gt;0,OR(AUTOEVENTO&lt;&gt;"manual",$M124&lt;&gt;1)),
IF(Import.TipoArredondamento&lt;&gt;"TransfereGOV",
ROUND(OFFSET($P124,0,AO$13),15-13*ORÇAMENTO!$AF$7)/$H124*OFFSET(ORÇAMENTO!$X$15,ROW(AO124)-ROW(AO$15),0),
ROUND(ROUND(OFFSET($P124,0,AO$13),15-13*ORÇAMENTO!$AF$7)*OFFSET(ORÇAMENTO!$W$15,ROW(AO124)-ROW(AO$15),0),15-13*ORÇAMENTO!$AF$11)),0)</f>
        <v>0</v>
      </c>
      <c r="AP124" s="545">
        <f ca="1">IF(AND($D124="Serviço",AP$12&lt;&gt;0,$H124&gt;0,OR(AUTOEVENTO&lt;&gt;"manual",$M124&lt;&gt;1)),
IF(Import.TipoArredondamento&lt;&gt;"TransfereGOV",
ROUND(OFFSET($P124,0,AP$13),15-13*ORÇAMENTO!$AF$7)/$H124*OFFSET(ORÇAMENTO!$X$15,ROW(AP124)-ROW(AP$15),0),
ROUND(ROUND(OFFSET($P124,0,AP$13),15-13*ORÇAMENTO!$AF$7)*OFFSET(ORÇAMENTO!$W$15,ROW(AP124)-ROW(AP$15),0),15-13*ORÇAMENTO!$AF$11)),0)</f>
        <v>0</v>
      </c>
      <c r="AQ124" s="545">
        <f ca="1">IF(AND($D124="Serviço",AQ$12&lt;&gt;0,$H124&gt;0,OR(AUTOEVENTO&lt;&gt;"manual",$M124&lt;&gt;1)),
IF(Import.TipoArredondamento&lt;&gt;"TransfereGOV",
ROUND(OFFSET($P124,0,AQ$13),15-13*ORÇAMENTO!$AF$7)/$H124*OFFSET(ORÇAMENTO!$X$15,ROW(AQ124)-ROW(AQ$15),0),
ROUND(ROUND(OFFSET($P124,0,AQ$13),15-13*ORÇAMENTO!$AF$7)*OFFSET(ORÇAMENTO!$W$15,ROW(AQ124)-ROW(AQ$15),0),15-13*ORÇAMENTO!$AF$11)),0)</f>
        <v>0</v>
      </c>
      <c r="AR124" s="545">
        <f ca="1">IF(AND($D124="Serviço",AR$12&lt;&gt;0,$H124&gt;0,OR(AUTOEVENTO&lt;&gt;"manual",$M124&lt;&gt;1)),
IF(Import.TipoArredondamento&lt;&gt;"TransfereGOV",
ROUND(OFFSET($P124,0,AR$13),15-13*ORÇAMENTO!$AF$7)/$H124*OFFSET(ORÇAMENTO!$X$15,ROW(AR124)-ROW(AR$15),0),
ROUND(ROUND(OFFSET($P124,0,AR$13),15-13*ORÇAMENTO!$AF$7)*OFFSET(ORÇAMENTO!$W$15,ROW(AR124)-ROW(AR$15),0),15-13*ORÇAMENTO!$AF$11)),0)</f>
        <v>0</v>
      </c>
      <c r="AS124" s="546">
        <f ca="1">IF(AND($D124="Serviço",AS$12&lt;&gt;0,$H124&gt;0,OR(AUTOEVENTO&lt;&gt;"manual",$M124&lt;&gt;1)),
IF(Import.TipoArredondamento&lt;&gt;"TransfereGOV",
ROUND(OFFSET($P124,0,AS$13),15-13*ORÇAMENTO!$AF$7)/$H124*OFFSET(ORÇAMENTO!$X$15,ROW(AS124)-ROW(AS$15),0),
ROUND(ROUND(OFFSET($P124,0,AS$13),15-13*ORÇAMENTO!$AF$7)*OFFSET(ORÇAMENTO!$W$15,ROW(AS124)-ROW(AS$15),0),15-13*ORÇAMENTO!$AF$11)),0)</f>
        <v>0</v>
      </c>
      <c r="AT124" s="545">
        <f ca="1">IF(AND($D124="Serviço",AT$12&lt;&gt;0,$H124&gt;0,OR(AUTOEVENTO&lt;&gt;"manual",$M124&lt;&gt;1)),
IF(Import.TipoArredondamento&lt;&gt;"TransfereGOV",
ROUND(OFFSET($P124,0,AT$13),15-13*ORÇAMENTO!$AF$7)/$H124*OFFSET(ORÇAMENTO!$X$15,ROW(AT124)-ROW(AT$15),0),
ROUND(ROUND(OFFSET($P124,0,AT$13),15-13*ORÇAMENTO!$AF$7)*OFFSET(ORÇAMENTO!$W$15,ROW(AT124)-ROW(AT$15),0),15-13*ORÇAMENTO!$AF$11)),0)</f>
        <v>0</v>
      </c>
      <c r="AU124" s="545">
        <f ca="1">IF(AND($D124="Serviço",AU$12&lt;&gt;0,$H124&gt;0,OR(AUTOEVENTO&lt;&gt;"manual",$M124&lt;&gt;1)),
IF(Import.TipoArredondamento&lt;&gt;"TransfereGOV",
ROUND(OFFSET($P124,0,AU$13),15-13*ORÇAMENTO!$AF$7)/$H124*OFFSET(ORÇAMENTO!$X$15,ROW(AU124)-ROW(AU$15),0),
ROUND(ROUND(OFFSET($P124,0,AU$13),15-13*ORÇAMENTO!$AF$7)*OFFSET(ORÇAMENTO!$W$15,ROW(AU124)-ROW(AU$15),0),15-13*ORÇAMENTO!$AF$11)),0)</f>
        <v>0</v>
      </c>
      <c r="AV124" s="545">
        <f ca="1">IF(AND($D124="Serviço",AV$12&lt;&gt;0,$H124&gt;0,OR(AUTOEVENTO&lt;&gt;"manual",$M124&lt;&gt;1)),
IF(Import.TipoArredondamento&lt;&gt;"TransfereGOV",
ROUND(OFFSET($P124,0,AV$13),15-13*ORÇAMENTO!$AF$7)/$H124*OFFSET(ORÇAMENTO!$X$15,ROW(AV124)-ROW(AV$15),0),
ROUND(ROUND(OFFSET($P124,0,AV$13),15-13*ORÇAMENTO!$AF$7)*OFFSET(ORÇAMENTO!$W$15,ROW(AV124)-ROW(AV$15),0),15-13*ORÇAMENTO!$AF$11)),0)</f>
        <v>0</v>
      </c>
      <c r="AW124" s="545">
        <f ca="1">IF(AND($D124="Serviço",AW$12&lt;&gt;0,$H124&gt;0,OR(AUTOEVENTO&lt;&gt;"manual",$M124&lt;&gt;1)),
IF(Import.TipoArredondamento&lt;&gt;"TransfereGOV",
ROUND(OFFSET($P124,0,AW$13),15-13*ORÇAMENTO!$AF$7)/$H124*OFFSET(ORÇAMENTO!$X$15,ROW(AW124)-ROW(AW$15),0),
ROUND(ROUND(OFFSET($P124,0,AW$13),15-13*ORÇAMENTO!$AF$7)*OFFSET(ORÇAMENTO!$W$15,ROW(AW124)-ROW(AW$15),0),15-13*ORÇAMENTO!$AF$11)),0)</f>
        <v>0</v>
      </c>
      <c r="AX124" s="545">
        <f ca="1">IF(AND($D124="Serviço",AX$12&lt;&gt;0,$H124&gt;0,OR(AUTOEVENTO&lt;&gt;"manual",$M124&lt;&gt;1)),
IF(Import.TipoArredondamento&lt;&gt;"TransfereGOV",
ROUND(OFFSET($P124,0,AX$13),15-13*ORÇAMENTO!$AF$7)/$H124*OFFSET(ORÇAMENTO!$X$15,ROW(AX124)-ROW(AX$15),0),
ROUND(ROUND(OFFSET($P124,0,AX$13),15-13*ORÇAMENTO!$AF$7)*OFFSET(ORÇAMENTO!$W$15,ROW(AX124)-ROW(AX$15),0),15-13*ORÇAMENTO!$AF$11)),0)</f>
        <v>0</v>
      </c>
      <c r="AY124" s="545">
        <f ca="1">IF(AND($D124="Serviço",AY$12&lt;&gt;0,$H124&gt;0,OR(AUTOEVENTO&lt;&gt;"manual",$M124&lt;&gt;1)),
IF(Import.TipoArredondamento&lt;&gt;"TransfereGOV",
ROUND(OFFSET($P124,0,AY$13),15-13*ORÇAMENTO!$AF$7)/$H124*OFFSET(ORÇAMENTO!$X$15,ROW(AY124)-ROW(AY$15),0),
ROUND(ROUND(OFFSET($P124,0,AY$13),15-13*ORÇAMENTO!$AF$7)*OFFSET(ORÇAMENTO!$W$15,ROW(AY124)-ROW(AY$15),0),15-13*ORÇAMENTO!$AF$11)),0)</f>
        <v>0</v>
      </c>
      <c r="AZ124" s="545">
        <f ca="1">IF(AND($D124="Serviço",AZ$12&lt;&gt;0,$H124&gt;0,OR(AUTOEVENTO&lt;&gt;"manual",$M124&lt;&gt;1)),
IF(Import.TipoArredondamento&lt;&gt;"TransfereGOV",
ROUND(OFFSET($P124,0,AZ$13),15-13*ORÇAMENTO!$AF$7)/$H124*OFFSET(ORÇAMENTO!$X$15,ROW(AZ124)-ROW(AZ$15),0),
ROUND(ROUND(OFFSET($P124,0,AZ$13),15-13*ORÇAMENTO!$AF$7)*OFFSET(ORÇAMENTO!$W$15,ROW(AZ124)-ROW(AZ$15),0),15-13*ORÇAMENTO!$AF$11)),0)</f>
        <v>0</v>
      </c>
      <c r="BA124" s="546">
        <f ca="1">IF(AND($D124="Serviço",BA$12&lt;&gt;0,$H124&gt;0,OR(AUTOEVENTO&lt;&gt;"manual",$M124&lt;&gt;1)),
IF(Import.TipoArredondamento&lt;&gt;"TransfereGOV",
ROUND(OFFSET($P124,0,BA$13),15-13*ORÇAMENTO!$AF$7)/$H124*OFFSET(ORÇAMENTO!$X$15,ROW(BA124)-ROW(BA$15),0),
ROUND(ROUND(OFFSET($P124,0,BA$13),15-13*ORÇAMENTO!$AF$7)*OFFSET(ORÇAMENTO!$W$15,ROW(BA124)-ROW(BA$15),0),15-13*ORÇAMENTO!$AF$11)),0)</f>
        <v>0</v>
      </c>
      <c r="BC124" s="181">
        <f ca="1">IF($D124&lt;&gt;"Serviço",0,IF(AND(AUTOEVENTO="Manual",$M124=1),0,IF(OFFSET(CRONOPLE!$F$14,$M124,BC$13)="",10^12,OFFSET(CRONOPLE!$F$14,$M124,BC$13))))</f>
        <v>5</v>
      </c>
      <c r="BD124" s="181">
        <f ca="1">IF($D124&lt;&gt;"Serviço",0,IF(AND(AUTOEVENTO="Manual",$M124=1),0,IF(OFFSET(CRONOPLE!$F$14,$M124,BD$13)="",10^12,OFFSET(CRONOPLE!$F$14,$M124,BD$13))))</f>
        <v>1000000000000</v>
      </c>
      <c r="BE124" s="181">
        <f ca="1">IF($D124&lt;&gt;"Serviço",0,IF(AND(AUTOEVENTO="Manual",$M124=1),0,IF(OFFSET(CRONOPLE!$F$14,$M124,BE$13)="",10^12,OFFSET(CRONOPLE!$F$14,$M124,BE$13))))</f>
        <v>1000000000000</v>
      </c>
      <c r="BF124" s="181">
        <f ca="1">IF($D124&lt;&gt;"Serviço",0,IF(AND(AUTOEVENTO="Manual",$M124=1),0,IF(OFFSET(CRONOPLE!$F$14,$M124,BF$13)="",10^12,OFFSET(CRONOPLE!$F$14,$M124,BF$13))))</f>
        <v>1000000000000</v>
      </c>
      <c r="BG124" s="181">
        <f ca="1">IF($D124&lt;&gt;"Serviço",0,IF(AND(AUTOEVENTO="Manual",$M124=1),0,IF(OFFSET(CRONOPLE!$F$14,$M124,BG$13)="",10^12,OFFSET(CRONOPLE!$F$14,$M124,BG$13))))</f>
        <v>1000000000000</v>
      </c>
      <c r="BH124" s="181">
        <f ca="1">IF($D124&lt;&gt;"Serviço",0,IF(AND(AUTOEVENTO="Manual",$M124=1),0,IF(OFFSET(CRONOPLE!$F$14,$M124,BH$13)="",10^12,OFFSET(CRONOPLE!$F$14,$M124,BH$13))))</f>
        <v>1000000000000</v>
      </c>
      <c r="BI124" s="181">
        <f ca="1">IF($D124&lt;&gt;"Serviço",0,IF(AND(AUTOEVENTO="Manual",$M124=1),0,IF(OFFSET(CRONOPLE!$F$14,$M124,BI$13)="",10^12,OFFSET(CRONOPLE!$F$14,$M124,BI$13))))</f>
        <v>1000000000000</v>
      </c>
      <c r="BJ124" s="181">
        <f ca="1">IF($D124&lt;&gt;"Serviço",0,IF(AND(AUTOEVENTO="Manual",$M124=1),0,IF(OFFSET(CRONOPLE!$F$14,$M124,BJ$13)="",10^12,OFFSET(CRONOPLE!$F$14,$M124,BJ$13))))</f>
        <v>1000000000000</v>
      </c>
      <c r="BK124" s="181">
        <f ca="1">IF($D124&lt;&gt;"Serviço",0,IF(AND(AUTOEVENTO="Manual",$M124=1),0,IF(OFFSET(CRONOPLE!$F$14,$M124,BK$13)="",10^12,OFFSET(CRONOPLE!$F$14,$M124,BK$13))))</f>
        <v>1000000000000</v>
      </c>
      <c r="BL124" s="181">
        <f ca="1">IF($D124&lt;&gt;"Serviço",0,IF(AND(AUTOEVENTO="Manual",$M124=1),0,IF(OFFSET(CRONOPLE!$F$14,$M124,BL$13)="",10^12,OFFSET(CRONOPLE!$F$14,$M124,BL$13))))</f>
        <v>1000000000000</v>
      </c>
      <c r="BM124" s="181">
        <f ca="1">IF($D124&lt;&gt;"Serviço",0,IF(AND(AUTOEVENTO="Manual",$M124=1),0,IF(OFFSET(CRONOPLE!$F$14,$M124,BM$13)="",10^12,OFFSET(CRONOPLE!$F$14,$M124,BM$13))))</f>
        <v>1000000000000</v>
      </c>
      <c r="BN124" s="181">
        <f ca="1">IF($D124&lt;&gt;"Serviço",0,IF(AND(AUTOEVENTO="Manual",$M124=1),0,IF(OFFSET(CRONOPLE!$F$14,$M124,BN$13)="",10^12,OFFSET(CRONOPLE!$F$14,$M124,BN$13))))</f>
        <v>1000000000000</v>
      </c>
      <c r="BO124" s="181">
        <f ca="1">IF($D124&lt;&gt;"Serviço",0,IF(AND(AUTOEVENTO="Manual",$M124=1),0,IF(OFFSET(CRONOPLE!$F$14,$M124,BO$13)="",10^12,OFFSET(CRONOPLE!$F$14,$M124,BO$13))))</f>
        <v>1000000000000</v>
      </c>
      <c r="BP124" s="181">
        <f ca="1">IF($D124&lt;&gt;"Serviço",0,IF(AND(AUTOEVENTO="Manual",$M124=1),0,IF(OFFSET(CRONOPLE!$F$14,$M124,BP$13)="",10^12,OFFSET(CRONOPLE!$F$14,$M124,BP$13))))</f>
        <v>1000000000000</v>
      </c>
      <c r="BQ124" s="181">
        <f ca="1">IF($D124&lt;&gt;"Serviço",0,IF(AND(AUTOEVENTO="Manual",$M124=1),0,IF(OFFSET(CRONOPLE!$F$14,$M124,BQ$13)="",10^12,OFFSET(CRONOPLE!$F$14,$M124,BQ$13))))</f>
        <v>1000000000000</v>
      </c>
      <c r="BR124" s="181">
        <f ca="1">IF($D124&lt;&gt;"Serviço",0,IF(AND(AUTOEVENTO="Manual",$M124=1),0,IF(OFFSET(CRONOPLE!$F$14,$M124,BR$13)="",10^12,OFFSET(CRONOPLE!$F$14,$M124,BR$13))))</f>
        <v>1000000000000</v>
      </c>
      <c r="BS124" s="181">
        <f ca="1">IF($D124&lt;&gt;"Serviço",0,IF(AND(AUTOEVENTO="Manual",$M124=1),0,IF(OFFSET(CRONOPLE!$F$14,$M124,BS$13)="",10^12,OFFSET(CRONOPLE!$F$14,$M124,BS$13))))</f>
        <v>1000000000000</v>
      </c>
      <c r="BT124" s="181">
        <f ca="1">IF($D124&lt;&gt;"Serviço",0,IF(AND(AUTOEVENTO="Manual",$M124=1),0,IF(OFFSET(CRONOPLE!$F$14,$M124,BT$13)="",10^12,OFFSET(CRONOPLE!$F$14,$M124,BT$13))))</f>
        <v>1000000000000</v>
      </c>
      <c r="BV124" s="182">
        <f ca="1">IF($D124&lt;&gt;"Serviço",0,IF(OR(AND(AUTOEVENTO="Manual",$M124=1),$M124&gt;(ROW(PLE.lastrow)-ROW(PLE.firstrow))),0,IF(OFFSET(PLE!$G$14,$M124,BV$13)="",10^12,OFFSET(PLE!$G$14,$M124,BV$13))))</f>
        <v>1000000000000</v>
      </c>
      <c r="BW124" s="182">
        <f ca="1">IF($D124&lt;&gt;"Serviço",0,IF(OR(AND(AUTOEVENTO="Manual",$M124=1),$M124&gt;(ROW(PLE.lastrow)-ROW(PLE.firstrow))),0,IF(OFFSET(PLE!$G$14,$M124,BW$13)="",10^12,OFFSET(PLE!$G$14,$M124,BW$13))))</f>
        <v>1000000000000</v>
      </c>
      <c r="BX124" s="182">
        <f ca="1">IF($D124&lt;&gt;"Serviço",0,IF(OR(AND(AUTOEVENTO="Manual",$M124=1),$M124&gt;(ROW(PLE.lastrow)-ROW(PLE.firstrow))),0,IF(OFFSET(PLE!$G$14,$M124,BX$13)="",10^12,OFFSET(PLE!$G$14,$M124,BX$13))))</f>
        <v>1000000000000</v>
      </c>
      <c r="BY124" s="182">
        <f ca="1">IF($D124&lt;&gt;"Serviço",0,IF(OR(AND(AUTOEVENTO="Manual",$M124=1),$M124&gt;(ROW(PLE.lastrow)-ROW(PLE.firstrow))),0,IF(OFFSET(PLE!$G$14,$M124,BY$13)="",10^12,OFFSET(PLE!$G$14,$M124,BY$13))))</f>
        <v>1000000000000</v>
      </c>
      <c r="BZ124" s="182">
        <f ca="1">IF($D124&lt;&gt;"Serviço",0,IF(OR(AND(AUTOEVENTO="Manual",$M124=1),$M124&gt;(ROW(PLE.lastrow)-ROW(PLE.firstrow))),0,IF(OFFSET(PLE!$G$14,$M124,BZ$13)="",10^12,OFFSET(PLE!$G$14,$M124,BZ$13))))</f>
        <v>1000000000000</v>
      </c>
      <c r="CA124" s="182">
        <f ca="1">IF($D124&lt;&gt;"Serviço",0,IF(OR(AND(AUTOEVENTO="Manual",$M124=1),$M124&gt;(ROW(PLE.lastrow)-ROW(PLE.firstrow))),0,IF(OFFSET(PLE!$G$14,$M124,CA$13)="",10^12,OFFSET(PLE!$G$14,$M124,CA$13))))</f>
        <v>1000000000000</v>
      </c>
      <c r="CB124" s="182">
        <f ca="1">IF($D124&lt;&gt;"Serviço",0,IF(OR(AND(AUTOEVENTO="Manual",$M124=1),$M124&gt;(ROW(PLE.lastrow)-ROW(PLE.firstrow))),0,IF(OFFSET(PLE!$G$14,$M124,CB$13)="",10^12,OFFSET(PLE!$G$14,$M124,CB$13))))</f>
        <v>1000000000000</v>
      </c>
      <c r="CC124" s="182">
        <f ca="1">IF($D124&lt;&gt;"Serviço",0,IF(OR(AND(AUTOEVENTO="Manual",$M124=1),$M124&gt;(ROW(PLE.lastrow)-ROW(PLE.firstrow))),0,IF(OFFSET(PLE!$G$14,$M124,CC$13)="",10^12,OFFSET(PLE!$G$14,$M124,CC$13))))</f>
        <v>1000000000000</v>
      </c>
      <c r="CD124" s="182">
        <f ca="1">IF($D124&lt;&gt;"Serviço",0,IF(OR(AND(AUTOEVENTO="Manual",$M124=1),$M124&gt;(ROW(PLE.lastrow)-ROW(PLE.firstrow))),0,IF(OFFSET(PLE!$G$14,$M124,CD$13)="",10^12,OFFSET(PLE!$G$14,$M124,CD$13))))</f>
        <v>1000000000000</v>
      </c>
      <c r="CE124" s="182">
        <f ca="1">IF($D124&lt;&gt;"Serviço",0,IF(OR(AND(AUTOEVENTO="Manual",$M124=1),$M124&gt;(ROW(PLE.lastrow)-ROW(PLE.firstrow))),0,IF(OFFSET(PLE!$G$14,$M124,CE$13)="",10^12,OFFSET(PLE!$G$14,$M124,CE$13))))</f>
        <v>1000000000000</v>
      </c>
      <c r="CF124" s="182">
        <f ca="1">IF($D124&lt;&gt;"Serviço",0,IF(OR(AND(AUTOEVENTO="Manual",$M124=1),$M124&gt;(ROW(PLE.lastrow)-ROW(PLE.firstrow))),0,IF(OFFSET(PLE!$G$14,$M124,CF$13)="",10^12,OFFSET(PLE!$G$14,$M124,CF$13))))</f>
        <v>1000000000000</v>
      </c>
      <c r="CG124" s="182">
        <f ca="1">IF($D124&lt;&gt;"Serviço",0,IF(OR(AND(AUTOEVENTO="Manual",$M124=1),$M124&gt;(ROW(PLE.lastrow)-ROW(PLE.firstrow))),0,IF(OFFSET(PLE!$G$14,$M124,CG$13)="",10^12,OFFSET(PLE!$G$14,$M124,CG$13))))</f>
        <v>1000000000000</v>
      </c>
      <c r="CH124" s="182">
        <f ca="1">IF($D124&lt;&gt;"Serviço",0,IF(OR(AND(AUTOEVENTO="Manual",$M124=1),$M124&gt;(ROW(PLE.lastrow)-ROW(PLE.firstrow))),0,IF(OFFSET(PLE!$G$14,$M124,CH$13)="",10^12,OFFSET(PLE!$G$14,$M124,CH$13))))</f>
        <v>1000000000000</v>
      </c>
      <c r="CI124" s="182">
        <f ca="1">IF($D124&lt;&gt;"Serviço",0,IF(OR(AND(AUTOEVENTO="Manual",$M124=1),$M124&gt;(ROW(PLE.lastrow)-ROW(PLE.firstrow))),0,IF(OFFSET(PLE!$G$14,$M124,CI$13)="",10^12,OFFSET(PLE!$G$14,$M124,CI$13))))</f>
        <v>1000000000000</v>
      </c>
      <c r="CJ124" s="182">
        <f ca="1">IF($D124&lt;&gt;"Serviço",0,IF(OR(AND(AUTOEVENTO="Manual",$M124=1),$M124&gt;(ROW(PLE.lastrow)-ROW(PLE.firstrow))),0,IF(OFFSET(PLE!$G$14,$M124,CJ$13)="",10^12,OFFSET(PLE!$G$14,$M124,CJ$13))))</f>
        <v>1000000000000</v>
      </c>
      <c r="CK124" s="182">
        <f ca="1">IF($D124&lt;&gt;"Serviço",0,IF(OR(AND(AUTOEVENTO="Manual",$M124=1),$M124&gt;(ROW(PLE.lastrow)-ROW(PLE.firstrow))),0,IF(OFFSET(PLE!$G$14,$M124,CK$13)="",10^12,OFFSET(PLE!$G$14,$M124,CK$13))))</f>
        <v>1000000000000</v>
      </c>
      <c r="CL124" s="182">
        <f ca="1">IF($D124&lt;&gt;"Serviço",0,IF(OR(AND(AUTOEVENTO="Manual",$M124=1),$M124&gt;(ROW(PLE.lastrow)-ROW(PLE.firstrow))),0,IF(OFFSET(PLE!$G$14,$M124,CL$13)="",10^12,OFFSET(PLE!$G$14,$M124,CL$13))))</f>
        <v>1000000000000</v>
      </c>
      <c r="CM124" s="182">
        <f ca="1">IF($D124&lt;&gt;"Serviço",0,IF(OR(AND(AUTOEVENTO="Manual",$M124=1),$M124&gt;(ROW(PLE.lastrow)-ROW(PLE.firstrow))),0,IF(OFFSET(PLE!$G$14,$M124,CM$13)="",10^12,OFFSET(PLE!$G$14,$M124,CM$13))))</f>
        <v>1000000000000</v>
      </c>
    </row>
    <row r="125" spans="1:91" ht="25.5" x14ac:dyDescent="0.2">
      <c r="A125" s="7" t="str">
        <f t="shared" ca="1" si="11"/>
        <v>106</v>
      </c>
      <c r="B125" s="7" t="str">
        <f ca="1">OFFSET(ORÇAMENTO!C$15,ROW(B125)-ROW(B$15),0)</f>
        <v>S</v>
      </c>
      <c r="C125" s="7" t="str">
        <f ca="1">OFFSET(ORÇAMENTO!L$15,ROW(C125)-ROW(C$15),0)</f>
        <v/>
      </c>
      <c r="D125" s="118" t="str">
        <f ca="1">OFFSET(ORÇAMENTO!N$15,ROW(D125)-ROW(D$15),0)</f>
        <v>Serviço</v>
      </c>
      <c r="E125" s="119" t="str">
        <f ca="1">OFFSET(ORÇAMENTO!O$15,ROW(E125)-ROW(E$15),0)</f>
        <v>-</v>
      </c>
      <c r="F125" s="172" t="str">
        <f ca="1">OFFSET(ORÇAMENTO!R$15,ROW(F125)-ROW(F$15),0)</f>
        <v>(abra o arquivo 'Referência 06-2024.xlsm)</v>
      </c>
      <c r="G125" s="173" t="str">
        <f ca="1">IF($D125&lt;&gt;"Serviço","",OFFSET(ORÇAMENTO!S$15,ROW(G125)-ROW(G$15),0))</f>
        <v>-</v>
      </c>
      <c r="H125" s="124">
        <f ca="1">IF($D125&lt;&gt;"Serviço",0,IF(ACOMPANHAMENTO="BM",ROUND(OFFSET(ORÇAMENTO!AJ$15,ROW(H125)-ROW(H$15),0),15-13*ORÇAMENTO!$AF$7),SUMPRODUCT(($Q$12:$AI$12&lt;&gt;"")*ROUND($Q125:$AI125,15-13*ORÇAMENTO!$AF$7))))</f>
        <v>205.25</v>
      </c>
      <c r="I125" s="561" t="s">
        <v>1107</v>
      </c>
      <c r="K125" s="174"/>
      <c r="L125" s="175" t="s">
        <v>255</v>
      </c>
      <c r="M125" s="176">
        <f ca="1">IF($D125&lt;&gt;"Serviço","",IF(AUTOEVENTO="manual",$A125,IF(ISERROR(MATCH($A125,$A$15:OFFSET($A125,-1,0),0)),MAX($M$15:OFFSET(M125,-1,0))+1,INDEX($M$15:OFFSET(M125,-1,0),MATCH($A125,$A$15:OFFSET($A125,-1,0),0)))))</f>
        <v>20</v>
      </c>
      <c r="N125" s="177" t="str">
        <f ca="1">IF($D125&lt;&gt;"Serviço","",IF(AUTOEVENTO="Manual",IF($A125=0,"&lt;-- defina o número do agrupador",OFFSET(EVENTOS!$D$14,$A125,0)),OFFSET($F$15,$A125,0)))</f>
        <v>ESQUADRIAS - FERRAGENS E ACESSÓRIOS</v>
      </c>
      <c r="O125" s="178"/>
      <c r="Q125" s="178">
        <v>205.25</v>
      </c>
      <c r="R125" s="179"/>
      <c r="S125" s="179"/>
      <c r="T125" s="179"/>
      <c r="U125" s="179"/>
      <c r="V125" s="179"/>
      <c r="W125" s="179"/>
      <c r="X125" s="179"/>
      <c r="Y125" s="179"/>
      <c r="Z125" s="180"/>
      <c r="AA125" s="179"/>
      <c r="AB125" s="179"/>
      <c r="AC125" s="179"/>
      <c r="AD125" s="179"/>
      <c r="AE125" s="179"/>
      <c r="AF125" s="179"/>
      <c r="AG125" s="179"/>
      <c r="AH125" s="180"/>
      <c r="AJ125" s="544">
        <f ca="1">IF(AND($D125="Serviço",AJ$12&lt;&gt;0,$H125&gt;0,OR(AUTOEVENTO&lt;&gt;"manual",$M125&lt;&gt;1)),
IF(Import.TipoArredondamento&lt;&gt;"TransfereGOV",
ROUND(OFFSET($P125,0,AJ$13),15-13*ORÇAMENTO!$AF$7)/$H125*OFFSET(ORÇAMENTO!$X$15,ROW(AJ125)-ROW(AJ$15),0),
ROUND(ROUND(OFFSET($P125,0,AJ$13),15-13*ORÇAMENTO!$AF$7)*OFFSET(ORÇAMENTO!$W$15,ROW(AJ125)-ROW(AJ$15),0),15-13*ORÇAMENTO!$AF$11)),0)</f>
        <v>0</v>
      </c>
      <c r="AK125" s="545">
        <f ca="1">IF(AND($D125="Serviço",AK$12&lt;&gt;0,$H125&gt;0,OR(AUTOEVENTO&lt;&gt;"manual",$M125&lt;&gt;1)),
IF(Import.TipoArredondamento&lt;&gt;"TransfereGOV",
ROUND(OFFSET($P125,0,AK$13),15-13*ORÇAMENTO!$AF$7)/$H125*OFFSET(ORÇAMENTO!$X$15,ROW(AK125)-ROW(AK$15),0),
ROUND(ROUND(OFFSET($P125,0,AK$13),15-13*ORÇAMENTO!$AF$7)*OFFSET(ORÇAMENTO!$W$15,ROW(AK125)-ROW(AK$15),0),15-13*ORÇAMENTO!$AF$11)),0)</f>
        <v>0</v>
      </c>
      <c r="AL125" s="545">
        <f ca="1">IF(AND($D125="Serviço",AL$12&lt;&gt;0,$H125&gt;0,OR(AUTOEVENTO&lt;&gt;"manual",$M125&lt;&gt;1)),
IF(Import.TipoArredondamento&lt;&gt;"TransfereGOV",
ROUND(OFFSET($P125,0,AL$13),15-13*ORÇAMENTO!$AF$7)/$H125*OFFSET(ORÇAMENTO!$X$15,ROW(AL125)-ROW(AL$15),0),
ROUND(ROUND(OFFSET($P125,0,AL$13),15-13*ORÇAMENTO!$AF$7)*OFFSET(ORÇAMENTO!$W$15,ROW(AL125)-ROW(AL$15),0),15-13*ORÇAMENTO!$AF$11)),0)</f>
        <v>0</v>
      </c>
      <c r="AM125" s="545">
        <f ca="1">IF(AND($D125="Serviço",AM$12&lt;&gt;0,$H125&gt;0,OR(AUTOEVENTO&lt;&gt;"manual",$M125&lt;&gt;1)),
IF(Import.TipoArredondamento&lt;&gt;"TransfereGOV",
ROUND(OFFSET($P125,0,AM$13),15-13*ORÇAMENTO!$AF$7)/$H125*OFFSET(ORÇAMENTO!$X$15,ROW(AM125)-ROW(AM$15),0),
ROUND(ROUND(OFFSET($P125,0,AM$13),15-13*ORÇAMENTO!$AF$7)*OFFSET(ORÇAMENTO!$W$15,ROW(AM125)-ROW(AM$15),0),15-13*ORÇAMENTO!$AF$11)),0)</f>
        <v>0</v>
      </c>
      <c r="AN125" s="545">
        <f ca="1">IF(AND($D125="Serviço",AN$12&lt;&gt;0,$H125&gt;0,OR(AUTOEVENTO&lt;&gt;"manual",$M125&lt;&gt;1)),
IF(Import.TipoArredondamento&lt;&gt;"TransfereGOV",
ROUND(OFFSET($P125,0,AN$13),15-13*ORÇAMENTO!$AF$7)/$H125*OFFSET(ORÇAMENTO!$X$15,ROW(AN125)-ROW(AN$15),0),
ROUND(ROUND(OFFSET($P125,0,AN$13),15-13*ORÇAMENTO!$AF$7)*OFFSET(ORÇAMENTO!$W$15,ROW(AN125)-ROW(AN$15),0),15-13*ORÇAMENTO!$AF$11)),0)</f>
        <v>0</v>
      </c>
      <c r="AO125" s="545">
        <f ca="1">IF(AND($D125="Serviço",AO$12&lt;&gt;0,$H125&gt;0,OR(AUTOEVENTO&lt;&gt;"manual",$M125&lt;&gt;1)),
IF(Import.TipoArredondamento&lt;&gt;"TransfereGOV",
ROUND(OFFSET($P125,0,AO$13),15-13*ORÇAMENTO!$AF$7)/$H125*OFFSET(ORÇAMENTO!$X$15,ROW(AO125)-ROW(AO$15),0),
ROUND(ROUND(OFFSET($P125,0,AO$13),15-13*ORÇAMENTO!$AF$7)*OFFSET(ORÇAMENTO!$W$15,ROW(AO125)-ROW(AO$15),0),15-13*ORÇAMENTO!$AF$11)),0)</f>
        <v>0</v>
      </c>
      <c r="AP125" s="545">
        <f ca="1">IF(AND($D125="Serviço",AP$12&lt;&gt;0,$H125&gt;0,OR(AUTOEVENTO&lt;&gt;"manual",$M125&lt;&gt;1)),
IF(Import.TipoArredondamento&lt;&gt;"TransfereGOV",
ROUND(OFFSET($P125,0,AP$13),15-13*ORÇAMENTO!$AF$7)/$H125*OFFSET(ORÇAMENTO!$X$15,ROW(AP125)-ROW(AP$15),0),
ROUND(ROUND(OFFSET($P125,0,AP$13),15-13*ORÇAMENTO!$AF$7)*OFFSET(ORÇAMENTO!$W$15,ROW(AP125)-ROW(AP$15),0),15-13*ORÇAMENTO!$AF$11)),0)</f>
        <v>0</v>
      </c>
      <c r="AQ125" s="545">
        <f ca="1">IF(AND($D125="Serviço",AQ$12&lt;&gt;0,$H125&gt;0,OR(AUTOEVENTO&lt;&gt;"manual",$M125&lt;&gt;1)),
IF(Import.TipoArredondamento&lt;&gt;"TransfereGOV",
ROUND(OFFSET($P125,0,AQ$13),15-13*ORÇAMENTO!$AF$7)/$H125*OFFSET(ORÇAMENTO!$X$15,ROW(AQ125)-ROW(AQ$15),0),
ROUND(ROUND(OFFSET($P125,0,AQ$13),15-13*ORÇAMENTO!$AF$7)*OFFSET(ORÇAMENTO!$W$15,ROW(AQ125)-ROW(AQ$15),0),15-13*ORÇAMENTO!$AF$11)),0)</f>
        <v>0</v>
      </c>
      <c r="AR125" s="545">
        <f ca="1">IF(AND($D125="Serviço",AR$12&lt;&gt;0,$H125&gt;0,OR(AUTOEVENTO&lt;&gt;"manual",$M125&lt;&gt;1)),
IF(Import.TipoArredondamento&lt;&gt;"TransfereGOV",
ROUND(OFFSET($P125,0,AR$13),15-13*ORÇAMENTO!$AF$7)/$H125*OFFSET(ORÇAMENTO!$X$15,ROW(AR125)-ROW(AR$15),0),
ROUND(ROUND(OFFSET($P125,0,AR$13),15-13*ORÇAMENTO!$AF$7)*OFFSET(ORÇAMENTO!$W$15,ROW(AR125)-ROW(AR$15),0),15-13*ORÇAMENTO!$AF$11)),0)</f>
        <v>0</v>
      </c>
      <c r="AS125" s="546">
        <f ca="1">IF(AND($D125="Serviço",AS$12&lt;&gt;0,$H125&gt;0,OR(AUTOEVENTO&lt;&gt;"manual",$M125&lt;&gt;1)),
IF(Import.TipoArredondamento&lt;&gt;"TransfereGOV",
ROUND(OFFSET($P125,0,AS$13),15-13*ORÇAMENTO!$AF$7)/$H125*OFFSET(ORÇAMENTO!$X$15,ROW(AS125)-ROW(AS$15),0),
ROUND(ROUND(OFFSET($P125,0,AS$13),15-13*ORÇAMENTO!$AF$7)*OFFSET(ORÇAMENTO!$W$15,ROW(AS125)-ROW(AS$15),0),15-13*ORÇAMENTO!$AF$11)),0)</f>
        <v>0</v>
      </c>
      <c r="AT125" s="545">
        <f ca="1">IF(AND($D125="Serviço",AT$12&lt;&gt;0,$H125&gt;0,OR(AUTOEVENTO&lt;&gt;"manual",$M125&lt;&gt;1)),
IF(Import.TipoArredondamento&lt;&gt;"TransfereGOV",
ROUND(OFFSET($P125,0,AT$13),15-13*ORÇAMENTO!$AF$7)/$H125*OFFSET(ORÇAMENTO!$X$15,ROW(AT125)-ROW(AT$15),0),
ROUND(ROUND(OFFSET($P125,0,AT$13),15-13*ORÇAMENTO!$AF$7)*OFFSET(ORÇAMENTO!$W$15,ROW(AT125)-ROW(AT$15),0),15-13*ORÇAMENTO!$AF$11)),0)</f>
        <v>0</v>
      </c>
      <c r="AU125" s="545">
        <f ca="1">IF(AND($D125="Serviço",AU$12&lt;&gt;0,$H125&gt;0,OR(AUTOEVENTO&lt;&gt;"manual",$M125&lt;&gt;1)),
IF(Import.TipoArredondamento&lt;&gt;"TransfereGOV",
ROUND(OFFSET($P125,0,AU$13),15-13*ORÇAMENTO!$AF$7)/$H125*OFFSET(ORÇAMENTO!$X$15,ROW(AU125)-ROW(AU$15),0),
ROUND(ROUND(OFFSET($P125,0,AU$13),15-13*ORÇAMENTO!$AF$7)*OFFSET(ORÇAMENTO!$W$15,ROW(AU125)-ROW(AU$15),0),15-13*ORÇAMENTO!$AF$11)),0)</f>
        <v>0</v>
      </c>
      <c r="AV125" s="545">
        <f ca="1">IF(AND($D125="Serviço",AV$12&lt;&gt;0,$H125&gt;0,OR(AUTOEVENTO&lt;&gt;"manual",$M125&lt;&gt;1)),
IF(Import.TipoArredondamento&lt;&gt;"TransfereGOV",
ROUND(OFFSET($P125,0,AV$13),15-13*ORÇAMENTO!$AF$7)/$H125*OFFSET(ORÇAMENTO!$X$15,ROW(AV125)-ROW(AV$15),0),
ROUND(ROUND(OFFSET($P125,0,AV$13),15-13*ORÇAMENTO!$AF$7)*OFFSET(ORÇAMENTO!$W$15,ROW(AV125)-ROW(AV$15),0),15-13*ORÇAMENTO!$AF$11)),0)</f>
        <v>0</v>
      </c>
      <c r="AW125" s="545">
        <f ca="1">IF(AND($D125="Serviço",AW$12&lt;&gt;0,$H125&gt;0,OR(AUTOEVENTO&lt;&gt;"manual",$M125&lt;&gt;1)),
IF(Import.TipoArredondamento&lt;&gt;"TransfereGOV",
ROUND(OFFSET($P125,0,AW$13),15-13*ORÇAMENTO!$AF$7)/$H125*OFFSET(ORÇAMENTO!$X$15,ROW(AW125)-ROW(AW$15),0),
ROUND(ROUND(OFFSET($P125,0,AW$13),15-13*ORÇAMENTO!$AF$7)*OFFSET(ORÇAMENTO!$W$15,ROW(AW125)-ROW(AW$15),0),15-13*ORÇAMENTO!$AF$11)),0)</f>
        <v>0</v>
      </c>
      <c r="AX125" s="545">
        <f ca="1">IF(AND($D125="Serviço",AX$12&lt;&gt;0,$H125&gt;0,OR(AUTOEVENTO&lt;&gt;"manual",$M125&lt;&gt;1)),
IF(Import.TipoArredondamento&lt;&gt;"TransfereGOV",
ROUND(OFFSET($P125,0,AX$13),15-13*ORÇAMENTO!$AF$7)/$H125*OFFSET(ORÇAMENTO!$X$15,ROW(AX125)-ROW(AX$15),0),
ROUND(ROUND(OFFSET($P125,0,AX$13),15-13*ORÇAMENTO!$AF$7)*OFFSET(ORÇAMENTO!$W$15,ROW(AX125)-ROW(AX$15),0),15-13*ORÇAMENTO!$AF$11)),0)</f>
        <v>0</v>
      </c>
      <c r="AY125" s="545">
        <f ca="1">IF(AND($D125="Serviço",AY$12&lt;&gt;0,$H125&gt;0,OR(AUTOEVENTO&lt;&gt;"manual",$M125&lt;&gt;1)),
IF(Import.TipoArredondamento&lt;&gt;"TransfereGOV",
ROUND(OFFSET($P125,0,AY$13),15-13*ORÇAMENTO!$AF$7)/$H125*OFFSET(ORÇAMENTO!$X$15,ROW(AY125)-ROW(AY$15),0),
ROUND(ROUND(OFFSET($P125,0,AY$13),15-13*ORÇAMENTO!$AF$7)*OFFSET(ORÇAMENTO!$W$15,ROW(AY125)-ROW(AY$15),0),15-13*ORÇAMENTO!$AF$11)),0)</f>
        <v>0</v>
      </c>
      <c r="AZ125" s="545">
        <f ca="1">IF(AND($D125="Serviço",AZ$12&lt;&gt;0,$H125&gt;0,OR(AUTOEVENTO&lt;&gt;"manual",$M125&lt;&gt;1)),
IF(Import.TipoArredondamento&lt;&gt;"TransfereGOV",
ROUND(OFFSET($P125,0,AZ$13),15-13*ORÇAMENTO!$AF$7)/$H125*OFFSET(ORÇAMENTO!$X$15,ROW(AZ125)-ROW(AZ$15),0),
ROUND(ROUND(OFFSET($P125,0,AZ$13),15-13*ORÇAMENTO!$AF$7)*OFFSET(ORÇAMENTO!$W$15,ROW(AZ125)-ROW(AZ$15),0),15-13*ORÇAMENTO!$AF$11)),0)</f>
        <v>0</v>
      </c>
      <c r="BA125" s="546">
        <f ca="1">IF(AND($D125="Serviço",BA$12&lt;&gt;0,$H125&gt;0,OR(AUTOEVENTO&lt;&gt;"manual",$M125&lt;&gt;1)),
IF(Import.TipoArredondamento&lt;&gt;"TransfereGOV",
ROUND(OFFSET($P125,0,BA$13),15-13*ORÇAMENTO!$AF$7)/$H125*OFFSET(ORÇAMENTO!$X$15,ROW(BA125)-ROW(BA$15),0),
ROUND(ROUND(OFFSET($P125,0,BA$13),15-13*ORÇAMENTO!$AF$7)*OFFSET(ORÇAMENTO!$W$15,ROW(BA125)-ROW(BA$15),0),15-13*ORÇAMENTO!$AF$11)),0)</f>
        <v>0</v>
      </c>
      <c r="BC125" s="181">
        <f ca="1">IF($D125&lt;&gt;"Serviço",0,IF(AND(AUTOEVENTO="Manual",$M125=1),0,IF(OFFSET(CRONOPLE!$F$14,$M125,BC$13)="",10^12,OFFSET(CRONOPLE!$F$14,$M125,BC$13))))</f>
        <v>5</v>
      </c>
      <c r="BD125" s="181">
        <f ca="1">IF($D125&lt;&gt;"Serviço",0,IF(AND(AUTOEVENTO="Manual",$M125=1),0,IF(OFFSET(CRONOPLE!$F$14,$M125,BD$13)="",10^12,OFFSET(CRONOPLE!$F$14,$M125,BD$13))))</f>
        <v>1000000000000</v>
      </c>
      <c r="BE125" s="181">
        <f ca="1">IF($D125&lt;&gt;"Serviço",0,IF(AND(AUTOEVENTO="Manual",$M125=1),0,IF(OFFSET(CRONOPLE!$F$14,$M125,BE$13)="",10^12,OFFSET(CRONOPLE!$F$14,$M125,BE$13))))</f>
        <v>1000000000000</v>
      </c>
      <c r="BF125" s="181">
        <f ca="1">IF($D125&lt;&gt;"Serviço",0,IF(AND(AUTOEVENTO="Manual",$M125=1),0,IF(OFFSET(CRONOPLE!$F$14,$M125,BF$13)="",10^12,OFFSET(CRONOPLE!$F$14,$M125,BF$13))))</f>
        <v>1000000000000</v>
      </c>
      <c r="BG125" s="181">
        <f ca="1">IF($D125&lt;&gt;"Serviço",0,IF(AND(AUTOEVENTO="Manual",$M125=1),0,IF(OFFSET(CRONOPLE!$F$14,$M125,BG$13)="",10^12,OFFSET(CRONOPLE!$F$14,$M125,BG$13))))</f>
        <v>1000000000000</v>
      </c>
      <c r="BH125" s="181">
        <f ca="1">IF($D125&lt;&gt;"Serviço",0,IF(AND(AUTOEVENTO="Manual",$M125=1),0,IF(OFFSET(CRONOPLE!$F$14,$M125,BH$13)="",10^12,OFFSET(CRONOPLE!$F$14,$M125,BH$13))))</f>
        <v>1000000000000</v>
      </c>
      <c r="BI125" s="181">
        <f ca="1">IF($D125&lt;&gt;"Serviço",0,IF(AND(AUTOEVENTO="Manual",$M125=1),0,IF(OFFSET(CRONOPLE!$F$14,$M125,BI$13)="",10^12,OFFSET(CRONOPLE!$F$14,$M125,BI$13))))</f>
        <v>1000000000000</v>
      </c>
      <c r="BJ125" s="181">
        <f ca="1">IF($D125&lt;&gt;"Serviço",0,IF(AND(AUTOEVENTO="Manual",$M125=1),0,IF(OFFSET(CRONOPLE!$F$14,$M125,BJ$13)="",10^12,OFFSET(CRONOPLE!$F$14,$M125,BJ$13))))</f>
        <v>1000000000000</v>
      </c>
      <c r="BK125" s="181">
        <f ca="1">IF($D125&lt;&gt;"Serviço",0,IF(AND(AUTOEVENTO="Manual",$M125=1),0,IF(OFFSET(CRONOPLE!$F$14,$M125,BK$13)="",10^12,OFFSET(CRONOPLE!$F$14,$M125,BK$13))))</f>
        <v>1000000000000</v>
      </c>
      <c r="BL125" s="181">
        <f ca="1">IF($D125&lt;&gt;"Serviço",0,IF(AND(AUTOEVENTO="Manual",$M125=1),0,IF(OFFSET(CRONOPLE!$F$14,$M125,BL$13)="",10^12,OFFSET(CRONOPLE!$F$14,$M125,BL$13))))</f>
        <v>1000000000000</v>
      </c>
      <c r="BM125" s="181">
        <f ca="1">IF($D125&lt;&gt;"Serviço",0,IF(AND(AUTOEVENTO="Manual",$M125=1),0,IF(OFFSET(CRONOPLE!$F$14,$M125,BM$13)="",10^12,OFFSET(CRONOPLE!$F$14,$M125,BM$13))))</f>
        <v>1000000000000</v>
      </c>
      <c r="BN125" s="181">
        <f ca="1">IF($D125&lt;&gt;"Serviço",0,IF(AND(AUTOEVENTO="Manual",$M125=1),0,IF(OFFSET(CRONOPLE!$F$14,$M125,BN$13)="",10^12,OFFSET(CRONOPLE!$F$14,$M125,BN$13))))</f>
        <v>1000000000000</v>
      </c>
      <c r="BO125" s="181">
        <f ca="1">IF($D125&lt;&gt;"Serviço",0,IF(AND(AUTOEVENTO="Manual",$M125=1),0,IF(OFFSET(CRONOPLE!$F$14,$M125,BO$13)="",10^12,OFFSET(CRONOPLE!$F$14,$M125,BO$13))))</f>
        <v>1000000000000</v>
      </c>
      <c r="BP125" s="181">
        <f ca="1">IF($D125&lt;&gt;"Serviço",0,IF(AND(AUTOEVENTO="Manual",$M125=1),0,IF(OFFSET(CRONOPLE!$F$14,$M125,BP$13)="",10^12,OFFSET(CRONOPLE!$F$14,$M125,BP$13))))</f>
        <v>1000000000000</v>
      </c>
      <c r="BQ125" s="181">
        <f ca="1">IF($D125&lt;&gt;"Serviço",0,IF(AND(AUTOEVENTO="Manual",$M125=1),0,IF(OFFSET(CRONOPLE!$F$14,$M125,BQ$13)="",10^12,OFFSET(CRONOPLE!$F$14,$M125,BQ$13))))</f>
        <v>1000000000000</v>
      </c>
      <c r="BR125" s="181">
        <f ca="1">IF($D125&lt;&gt;"Serviço",0,IF(AND(AUTOEVENTO="Manual",$M125=1),0,IF(OFFSET(CRONOPLE!$F$14,$M125,BR$13)="",10^12,OFFSET(CRONOPLE!$F$14,$M125,BR$13))))</f>
        <v>1000000000000</v>
      </c>
      <c r="BS125" s="181">
        <f ca="1">IF($D125&lt;&gt;"Serviço",0,IF(AND(AUTOEVENTO="Manual",$M125=1),0,IF(OFFSET(CRONOPLE!$F$14,$M125,BS$13)="",10^12,OFFSET(CRONOPLE!$F$14,$M125,BS$13))))</f>
        <v>1000000000000</v>
      </c>
      <c r="BT125" s="181">
        <f ca="1">IF($D125&lt;&gt;"Serviço",0,IF(AND(AUTOEVENTO="Manual",$M125=1),0,IF(OFFSET(CRONOPLE!$F$14,$M125,BT$13)="",10^12,OFFSET(CRONOPLE!$F$14,$M125,BT$13))))</f>
        <v>1000000000000</v>
      </c>
      <c r="BV125" s="182">
        <f ca="1">IF($D125&lt;&gt;"Serviço",0,IF(OR(AND(AUTOEVENTO="Manual",$M125=1),$M125&gt;(ROW(PLE.lastrow)-ROW(PLE.firstrow))),0,IF(OFFSET(PLE!$G$14,$M125,BV$13)="",10^12,OFFSET(PLE!$G$14,$M125,BV$13))))</f>
        <v>1000000000000</v>
      </c>
      <c r="BW125" s="182">
        <f ca="1">IF($D125&lt;&gt;"Serviço",0,IF(OR(AND(AUTOEVENTO="Manual",$M125=1),$M125&gt;(ROW(PLE.lastrow)-ROW(PLE.firstrow))),0,IF(OFFSET(PLE!$G$14,$M125,BW$13)="",10^12,OFFSET(PLE!$G$14,$M125,BW$13))))</f>
        <v>1000000000000</v>
      </c>
      <c r="BX125" s="182">
        <f ca="1">IF($D125&lt;&gt;"Serviço",0,IF(OR(AND(AUTOEVENTO="Manual",$M125=1),$M125&gt;(ROW(PLE.lastrow)-ROW(PLE.firstrow))),0,IF(OFFSET(PLE!$G$14,$M125,BX$13)="",10^12,OFFSET(PLE!$G$14,$M125,BX$13))))</f>
        <v>1000000000000</v>
      </c>
      <c r="BY125" s="182">
        <f ca="1">IF($D125&lt;&gt;"Serviço",0,IF(OR(AND(AUTOEVENTO="Manual",$M125=1),$M125&gt;(ROW(PLE.lastrow)-ROW(PLE.firstrow))),0,IF(OFFSET(PLE!$G$14,$M125,BY$13)="",10^12,OFFSET(PLE!$G$14,$M125,BY$13))))</f>
        <v>1000000000000</v>
      </c>
      <c r="BZ125" s="182">
        <f ca="1">IF($D125&lt;&gt;"Serviço",0,IF(OR(AND(AUTOEVENTO="Manual",$M125=1),$M125&gt;(ROW(PLE.lastrow)-ROW(PLE.firstrow))),0,IF(OFFSET(PLE!$G$14,$M125,BZ$13)="",10^12,OFFSET(PLE!$G$14,$M125,BZ$13))))</f>
        <v>1000000000000</v>
      </c>
      <c r="CA125" s="182">
        <f ca="1">IF($D125&lt;&gt;"Serviço",0,IF(OR(AND(AUTOEVENTO="Manual",$M125=1),$M125&gt;(ROW(PLE.lastrow)-ROW(PLE.firstrow))),0,IF(OFFSET(PLE!$G$14,$M125,CA$13)="",10^12,OFFSET(PLE!$G$14,$M125,CA$13))))</f>
        <v>1000000000000</v>
      </c>
      <c r="CB125" s="182">
        <f ca="1">IF($D125&lt;&gt;"Serviço",0,IF(OR(AND(AUTOEVENTO="Manual",$M125=1),$M125&gt;(ROW(PLE.lastrow)-ROW(PLE.firstrow))),0,IF(OFFSET(PLE!$G$14,$M125,CB$13)="",10^12,OFFSET(PLE!$G$14,$M125,CB$13))))</f>
        <v>1000000000000</v>
      </c>
      <c r="CC125" s="182">
        <f ca="1">IF($D125&lt;&gt;"Serviço",0,IF(OR(AND(AUTOEVENTO="Manual",$M125=1),$M125&gt;(ROW(PLE.lastrow)-ROW(PLE.firstrow))),0,IF(OFFSET(PLE!$G$14,$M125,CC$13)="",10^12,OFFSET(PLE!$G$14,$M125,CC$13))))</f>
        <v>1000000000000</v>
      </c>
      <c r="CD125" s="182">
        <f ca="1">IF($D125&lt;&gt;"Serviço",0,IF(OR(AND(AUTOEVENTO="Manual",$M125=1),$M125&gt;(ROW(PLE.lastrow)-ROW(PLE.firstrow))),0,IF(OFFSET(PLE!$G$14,$M125,CD$13)="",10^12,OFFSET(PLE!$G$14,$M125,CD$13))))</f>
        <v>1000000000000</v>
      </c>
      <c r="CE125" s="182">
        <f ca="1">IF($D125&lt;&gt;"Serviço",0,IF(OR(AND(AUTOEVENTO="Manual",$M125=1),$M125&gt;(ROW(PLE.lastrow)-ROW(PLE.firstrow))),0,IF(OFFSET(PLE!$G$14,$M125,CE$13)="",10^12,OFFSET(PLE!$G$14,$M125,CE$13))))</f>
        <v>1000000000000</v>
      </c>
      <c r="CF125" s="182">
        <f ca="1">IF($D125&lt;&gt;"Serviço",0,IF(OR(AND(AUTOEVENTO="Manual",$M125=1),$M125&gt;(ROW(PLE.lastrow)-ROW(PLE.firstrow))),0,IF(OFFSET(PLE!$G$14,$M125,CF$13)="",10^12,OFFSET(PLE!$G$14,$M125,CF$13))))</f>
        <v>1000000000000</v>
      </c>
      <c r="CG125" s="182">
        <f ca="1">IF($D125&lt;&gt;"Serviço",0,IF(OR(AND(AUTOEVENTO="Manual",$M125=1),$M125&gt;(ROW(PLE.lastrow)-ROW(PLE.firstrow))),0,IF(OFFSET(PLE!$G$14,$M125,CG$13)="",10^12,OFFSET(PLE!$G$14,$M125,CG$13))))</f>
        <v>1000000000000</v>
      </c>
      <c r="CH125" s="182">
        <f ca="1">IF($D125&lt;&gt;"Serviço",0,IF(OR(AND(AUTOEVENTO="Manual",$M125=1),$M125&gt;(ROW(PLE.lastrow)-ROW(PLE.firstrow))),0,IF(OFFSET(PLE!$G$14,$M125,CH$13)="",10^12,OFFSET(PLE!$G$14,$M125,CH$13))))</f>
        <v>1000000000000</v>
      </c>
      <c r="CI125" s="182">
        <f ca="1">IF($D125&lt;&gt;"Serviço",0,IF(OR(AND(AUTOEVENTO="Manual",$M125=1),$M125&gt;(ROW(PLE.lastrow)-ROW(PLE.firstrow))),0,IF(OFFSET(PLE!$G$14,$M125,CI$13)="",10^12,OFFSET(PLE!$G$14,$M125,CI$13))))</f>
        <v>1000000000000</v>
      </c>
      <c r="CJ125" s="182">
        <f ca="1">IF($D125&lt;&gt;"Serviço",0,IF(OR(AND(AUTOEVENTO="Manual",$M125=1),$M125&gt;(ROW(PLE.lastrow)-ROW(PLE.firstrow))),0,IF(OFFSET(PLE!$G$14,$M125,CJ$13)="",10^12,OFFSET(PLE!$G$14,$M125,CJ$13))))</f>
        <v>1000000000000</v>
      </c>
      <c r="CK125" s="182">
        <f ca="1">IF($D125&lt;&gt;"Serviço",0,IF(OR(AND(AUTOEVENTO="Manual",$M125=1),$M125&gt;(ROW(PLE.lastrow)-ROW(PLE.firstrow))),0,IF(OFFSET(PLE!$G$14,$M125,CK$13)="",10^12,OFFSET(PLE!$G$14,$M125,CK$13))))</f>
        <v>1000000000000</v>
      </c>
      <c r="CL125" s="182">
        <f ca="1">IF($D125&lt;&gt;"Serviço",0,IF(OR(AND(AUTOEVENTO="Manual",$M125=1),$M125&gt;(ROW(PLE.lastrow)-ROW(PLE.firstrow))),0,IF(OFFSET(PLE!$G$14,$M125,CL$13)="",10^12,OFFSET(PLE!$G$14,$M125,CL$13))))</f>
        <v>1000000000000</v>
      </c>
      <c r="CM125" s="182">
        <f ca="1">IF($D125&lt;&gt;"Serviço",0,IF(OR(AND(AUTOEVENTO="Manual",$M125=1),$M125&gt;(ROW(PLE.lastrow)-ROW(PLE.firstrow))),0,IF(OFFSET(PLE!$G$14,$M125,CM$13)="",10^12,OFFSET(PLE!$G$14,$M125,CM$13))))</f>
        <v>1000000000000</v>
      </c>
    </row>
    <row r="126" spans="1:91" ht="12.75" x14ac:dyDescent="0.2">
      <c r="A126" s="7" t="str">
        <f t="shared" ca="1" si="11"/>
        <v>111.</v>
      </c>
      <c r="B126" s="7">
        <f ca="1">OFFSET(ORÇAMENTO!C$15,ROW(B126)-ROW(B$15),0)</f>
        <v>2</v>
      </c>
      <c r="C126" s="7" t="str">
        <f ca="1">OFFSET(ORÇAMENTO!L$15,ROW(C126)-ROW(C$15),0)</f>
        <v>F</v>
      </c>
      <c r="D126" s="118" t="str">
        <f ca="1">OFFSET(ORÇAMENTO!N$15,ROW(D126)-ROW(D$15),0)</f>
        <v>Nível 2</v>
      </c>
      <c r="E126" s="119" t="str">
        <f ca="1">OFFSET(ORÇAMENTO!O$15,ROW(E126)-ROW(E$15),0)</f>
        <v>1.20.</v>
      </c>
      <c r="F126" s="172" t="str">
        <f ca="1">OFFSET(ORÇAMENTO!R$15,ROW(F126)-ROW(F$15),0)</f>
        <v>ESQUADRIAS - PORTAS EM ALUMÍNIO</v>
      </c>
      <c r="G126" s="173" t="str">
        <f ca="1">IF($D126&lt;&gt;"Serviço","",OFFSET(ORÇAMENTO!S$15,ROW(G126)-ROW(G$15),0))</f>
        <v/>
      </c>
      <c r="H126" s="124">
        <f ca="1">IF($D126&lt;&gt;"Serviço",0,IF(ACOMPANHAMENTO="BM",ROUND(OFFSET(ORÇAMENTO!AJ$15,ROW(H126)-ROW(H$15),0),15-13*ORÇAMENTO!$AF$7),SUMPRODUCT(($Q$12:$AI$12&lt;&gt;"")*ROUND($Q126:$AI126,15-13*ORÇAMENTO!$AF$7))))</f>
        <v>0</v>
      </c>
      <c r="I126" s="561"/>
      <c r="K126" s="174"/>
      <c r="L126" s="175" t="s">
        <v>255</v>
      </c>
      <c r="M126" s="176" t="str">
        <f ca="1">IF($D126&lt;&gt;"Serviço","",IF(AUTOEVENTO="manual",$A126,IF(ISERROR(MATCH($A126,$A$15:OFFSET($A126,-1,0),0)),MAX($M$15:OFFSET(M126,-1,0))+1,INDEX($M$15:OFFSET(M126,-1,0),MATCH($A126,$A$15:OFFSET($A126,-1,0),0)))))</f>
        <v/>
      </c>
      <c r="N126" s="177" t="str">
        <f ca="1">IF($D126&lt;&gt;"Serviço","",IF(AUTOEVENTO="Manual",IF($A126=0,"&lt;-- defina o número do agrupador",OFFSET(EVENTOS!$D$14,$A126,0)),OFFSET($F$15,$A126,0)))</f>
        <v/>
      </c>
      <c r="O126" s="178"/>
      <c r="Q126" s="178"/>
      <c r="R126" s="179"/>
      <c r="S126" s="179"/>
      <c r="T126" s="179"/>
      <c r="U126" s="179"/>
      <c r="V126" s="179"/>
      <c r="W126" s="179"/>
      <c r="X126" s="179"/>
      <c r="Y126" s="179"/>
      <c r="Z126" s="180"/>
      <c r="AA126" s="179"/>
      <c r="AB126" s="179"/>
      <c r="AC126" s="179"/>
      <c r="AD126" s="179"/>
      <c r="AE126" s="179"/>
      <c r="AF126" s="179"/>
      <c r="AG126" s="179"/>
      <c r="AH126" s="180"/>
      <c r="AJ126" s="544">
        <f ca="1">IF(AND($D126="Serviço",AJ$12&lt;&gt;0,$H126&gt;0,OR(AUTOEVENTO&lt;&gt;"manual",$M126&lt;&gt;1)),
IF(Import.TipoArredondamento&lt;&gt;"TransfereGOV",
ROUND(OFFSET($P126,0,AJ$13),15-13*ORÇAMENTO!$AF$7)/$H126*OFFSET(ORÇAMENTO!$X$15,ROW(AJ126)-ROW(AJ$15),0),
ROUND(ROUND(OFFSET($P126,0,AJ$13),15-13*ORÇAMENTO!$AF$7)*OFFSET(ORÇAMENTO!$W$15,ROW(AJ126)-ROW(AJ$15),0),15-13*ORÇAMENTO!$AF$11)),0)</f>
        <v>0</v>
      </c>
      <c r="AK126" s="545">
        <f ca="1">IF(AND($D126="Serviço",AK$12&lt;&gt;0,$H126&gt;0,OR(AUTOEVENTO&lt;&gt;"manual",$M126&lt;&gt;1)),
IF(Import.TipoArredondamento&lt;&gt;"TransfereGOV",
ROUND(OFFSET($P126,0,AK$13),15-13*ORÇAMENTO!$AF$7)/$H126*OFFSET(ORÇAMENTO!$X$15,ROW(AK126)-ROW(AK$15),0),
ROUND(ROUND(OFFSET($P126,0,AK$13),15-13*ORÇAMENTO!$AF$7)*OFFSET(ORÇAMENTO!$W$15,ROW(AK126)-ROW(AK$15),0),15-13*ORÇAMENTO!$AF$11)),0)</f>
        <v>0</v>
      </c>
      <c r="AL126" s="545">
        <f ca="1">IF(AND($D126="Serviço",AL$12&lt;&gt;0,$H126&gt;0,OR(AUTOEVENTO&lt;&gt;"manual",$M126&lt;&gt;1)),
IF(Import.TipoArredondamento&lt;&gt;"TransfereGOV",
ROUND(OFFSET($P126,0,AL$13),15-13*ORÇAMENTO!$AF$7)/$H126*OFFSET(ORÇAMENTO!$X$15,ROW(AL126)-ROW(AL$15),0),
ROUND(ROUND(OFFSET($P126,0,AL$13),15-13*ORÇAMENTO!$AF$7)*OFFSET(ORÇAMENTO!$W$15,ROW(AL126)-ROW(AL$15),0),15-13*ORÇAMENTO!$AF$11)),0)</f>
        <v>0</v>
      </c>
      <c r="AM126" s="545">
        <f ca="1">IF(AND($D126="Serviço",AM$12&lt;&gt;0,$H126&gt;0,OR(AUTOEVENTO&lt;&gt;"manual",$M126&lt;&gt;1)),
IF(Import.TipoArredondamento&lt;&gt;"TransfereGOV",
ROUND(OFFSET($P126,0,AM$13),15-13*ORÇAMENTO!$AF$7)/$H126*OFFSET(ORÇAMENTO!$X$15,ROW(AM126)-ROW(AM$15),0),
ROUND(ROUND(OFFSET($P126,0,AM$13),15-13*ORÇAMENTO!$AF$7)*OFFSET(ORÇAMENTO!$W$15,ROW(AM126)-ROW(AM$15),0),15-13*ORÇAMENTO!$AF$11)),0)</f>
        <v>0</v>
      </c>
      <c r="AN126" s="545">
        <f ca="1">IF(AND($D126="Serviço",AN$12&lt;&gt;0,$H126&gt;0,OR(AUTOEVENTO&lt;&gt;"manual",$M126&lt;&gt;1)),
IF(Import.TipoArredondamento&lt;&gt;"TransfereGOV",
ROUND(OFFSET($P126,0,AN$13),15-13*ORÇAMENTO!$AF$7)/$H126*OFFSET(ORÇAMENTO!$X$15,ROW(AN126)-ROW(AN$15),0),
ROUND(ROUND(OFFSET($P126,0,AN$13),15-13*ORÇAMENTO!$AF$7)*OFFSET(ORÇAMENTO!$W$15,ROW(AN126)-ROW(AN$15),0),15-13*ORÇAMENTO!$AF$11)),0)</f>
        <v>0</v>
      </c>
      <c r="AO126" s="545">
        <f ca="1">IF(AND($D126="Serviço",AO$12&lt;&gt;0,$H126&gt;0,OR(AUTOEVENTO&lt;&gt;"manual",$M126&lt;&gt;1)),
IF(Import.TipoArredondamento&lt;&gt;"TransfereGOV",
ROUND(OFFSET($P126,0,AO$13),15-13*ORÇAMENTO!$AF$7)/$H126*OFFSET(ORÇAMENTO!$X$15,ROW(AO126)-ROW(AO$15),0),
ROUND(ROUND(OFFSET($P126,0,AO$13),15-13*ORÇAMENTO!$AF$7)*OFFSET(ORÇAMENTO!$W$15,ROW(AO126)-ROW(AO$15),0),15-13*ORÇAMENTO!$AF$11)),0)</f>
        <v>0</v>
      </c>
      <c r="AP126" s="545">
        <f ca="1">IF(AND($D126="Serviço",AP$12&lt;&gt;0,$H126&gt;0,OR(AUTOEVENTO&lt;&gt;"manual",$M126&lt;&gt;1)),
IF(Import.TipoArredondamento&lt;&gt;"TransfereGOV",
ROUND(OFFSET($P126,0,AP$13),15-13*ORÇAMENTO!$AF$7)/$H126*OFFSET(ORÇAMENTO!$X$15,ROW(AP126)-ROW(AP$15),0),
ROUND(ROUND(OFFSET($P126,0,AP$13),15-13*ORÇAMENTO!$AF$7)*OFFSET(ORÇAMENTO!$W$15,ROW(AP126)-ROW(AP$15),0),15-13*ORÇAMENTO!$AF$11)),0)</f>
        <v>0</v>
      </c>
      <c r="AQ126" s="545">
        <f ca="1">IF(AND($D126="Serviço",AQ$12&lt;&gt;0,$H126&gt;0,OR(AUTOEVENTO&lt;&gt;"manual",$M126&lt;&gt;1)),
IF(Import.TipoArredondamento&lt;&gt;"TransfereGOV",
ROUND(OFFSET($P126,0,AQ$13),15-13*ORÇAMENTO!$AF$7)/$H126*OFFSET(ORÇAMENTO!$X$15,ROW(AQ126)-ROW(AQ$15),0),
ROUND(ROUND(OFFSET($P126,0,AQ$13),15-13*ORÇAMENTO!$AF$7)*OFFSET(ORÇAMENTO!$W$15,ROW(AQ126)-ROW(AQ$15),0),15-13*ORÇAMENTO!$AF$11)),0)</f>
        <v>0</v>
      </c>
      <c r="AR126" s="545">
        <f ca="1">IF(AND($D126="Serviço",AR$12&lt;&gt;0,$H126&gt;0,OR(AUTOEVENTO&lt;&gt;"manual",$M126&lt;&gt;1)),
IF(Import.TipoArredondamento&lt;&gt;"TransfereGOV",
ROUND(OFFSET($P126,0,AR$13),15-13*ORÇAMENTO!$AF$7)/$H126*OFFSET(ORÇAMENTO!$X$15,ROW(AR126)-ROW(AR$15),0),
ROUND(ROUND(OFFSET($P126,0,AR$13),15-13*ORÇAMENTO!$AF$7)*OFFSET(ORÇAMENTO!$W$15,ROW(AR126)-ROW(AR$15),0),15-13*ORÇAMENTO!$AF$11)),0)</f>
        <v>0</v>
      </c>
      <c r="AS126" s="546">
        <f ca="1">IF(AND($D126="Serviço",AS$12&lt;&gt;0,$H126&gt;0,OR(AUTOEVENTO&lt;&gt;"manual",$M126&lt;&gt;1)),
IF(Import.TipoArredondamento&lt;&gt;"TransfereGOV",
ROUND(OFFSET($P126,0,AS$13),15-13*ORÇAMENTO!$AF$7)/$H126*OFFSET(ORÇAMENTO!$X$15,ROW(AS126)-ROW(AS$15),0),
ROUND(ROUND(OFFSET($P126,0,AS$13),15-13*ORÇAMENTO!$AF$7)*OFFSET(ORÇAMENTO!$W$15,ROW(AS126)-ROW(AS$15),0),15-13*ORÇAMENTO!$AF$11)),0)</f>
        <v>0</v>
      </c>
      <c r="AT126" s="545">
        <f ca="1">IF(AND($D126="Serviço",AT$12&lt;&gt;0,$H126&gt;0,OR(AUTOEVENTO&lt;&gt;"manual",$M126&lt;&gt;1)),
IF(Import.TipoArredondamento&lt;&gt;"TransfereGOV",
ROUND(OFFSET($P126,0,AT$13),15-13*ORÇAMENTO!$AF$7)/$H126*OFFSET(ORÇAMENTO!$X$15,ROW(AT126)-ROW(AT$15),0),
ROUND(ROUND(OFFSET($P126,0,AT$13),15-13*ORÇAMENTO!$AF$7)*OFFSET(ORÇAMENTO!$W$15,ROW(AT126)-ROW(AT$15),0),15-13*ORÇAMENTO!$AF$11)),0)</f>
        <v>0</v>
      </c>
      <c r="AU126" s="545">
        <f ca="1">IF(AND($D126="Serviço",AU$12&lt;&gt;0,$H126&gt;0,OR(AUTOEVENTO&lt;&gt;"manual",$M126&lt;&gt;1)),
IF(Import.TipoArredondamento&lt;&gt;"TransfereGOV",
ROUND(OFFSET($P126,0,AU$13),15-13*ORÇAMENTO!$AF$7)/$H126*OFFSET(ORÇAMENTO!$X$15,ROW(AU126)-ROW(AU$15),0),
ROUND(ROUND(OFFSET($P126,0,AU$13),15-13*ORÇAMENTO!$AF$7)*OFFSET(ORÇAMENTO!$W$15,ROW(AU126)-ROW(AU$15),0),15-13*ORÇAMENTO!$AF$11)),0)</f>
        <v>0</v>
      </c>
      <c r="AV126" s="545">
        <f ca="1">IF(AND($D126="Serviço",AV$12&lt;&gt;0,$H126&gt;0,OR(AUTOEVENTO&lt;&gt;"manual",$M126&lt;&gt;1)),
IF(Import.TipoArredondamento&lt;&gt;"TransfereGOV",
ROUND(OFFSET($P126,0,AV$13),15-13*ORÇAMENTO!$AF$7)/$H126*OFFSET(ORÇAMENTO!$X$15,ROW(AV126)-ROW(AV$15),0),
ROUND(ROUND(OFFSET($P126,0,AV$13),15-13*ORÇAMENTO!$AF$7)*OFFSET(ORÇAMENTO!$W$15,ROW(AV126)-ROW(AV$15),0),15-13*ORÇAMENTO!$AF$11)),0)</f>
        <v>0</v>
      </c>
      <c r="AW126" s="545">
        <f ca="1">IF(AND($D126="Serviço",AW$12&lt;&gt;0,$H126&gt;0,OR(AUTOEVENTO&lt;&gt;"manual",$M126&lt;&gt;1)),
IF(Import.TipoArredondamento&lt;&gt;"TransfereGOV",
ROUND(OFFSET($P126,0,AW$13),15-13*ORÇAMENTO!$AF$7)/$H126*OFFSET(ORÇAMENTO!$X$15,ROW(AW126)-ROW(AW$15),0),
ROUND(ROUND(OFFSET($P126,0,AW$13),15-13*ORÇAMENTO!$AF$7)*OFFSET(ORÇAMENTO!$W$15,ROW(AW126)-ROW(AW$15),0),15-13*ORÇAMENTO!$AF$11)),0)</f>
        <v>0</v>
      </c>
      <c r="AX126" s="545">
        <f ca="1">IF(AND($D126="Serviço",AX$12&lt;&gt;0,$H126&gt;0,OR(AUTOEVENTO&lt;&gt;"manual",$M126&lt;&gt;1)),
IF(Import.TipoArredondamento&lt;&gt;"TransfereGOV",
ROUND(OFFSET($P126,0,AX$13),15-13*ORÇAMENTO!$AF$7)/$H126*OFFSET(ORÇAMENTO!$X$15,ROW(AX126)-ROW(AX$15),0),
ROUND(ROUND(OFFSET($P126,0,AX$13),15-13*ORÇAMENTO!$AF$7)*OFFSET(ORÇAMENTO!$W$15,ROW(AX126)-ROW(AX$15),0),15-13*ORÇAMENTO!$AF$11)),0)</f>
        <v>0</v>
      </c>
      <c r="AY126" s="545">
        <f ca="1">IF(AND($D126="Serviço",AY$12&lt;&gt;0,$H126&gt;0,OR(AUTOEVENTO&lt;&gt;"manual",$M126&lt;&gt;1)),
IF(Import.TipoArredondamento&lt;&gt;"TransfereGOV",
ROUND(OFFSET($P126,0,AY$13),15-13*ORÇAMENTO!$AF$7)/$H126*OFFSET(ORÇAMENTO!$X$15,ROW(AY126)-ROW(AY$15),0),
ROUND(ROUND(OFFSET($P126,0,AY$13),15-13*ORÇAMENTO!$AF$7)*OFFSET(ORÇAMENTO!$W$15,ROW(AY126)-ROW(AY$15),0),15-13*ORÇAMENTO!$AF$11)),0)</f>
        <v>0</v>
      </c>
      <c r="AZ126" s="545">
        <f ca="1">IF(AND($D126="Serviço",AZ$12&lt;&gt;0,$H126&gt;0,OR(AUTOEVENTO&lt;&gt;"manual",$M126&lt;&gt;1)),
IF(Import.TipoArredondamento&lt;&gt;"TransfereGOV",
ROUND(OFFSET($P126,0,AZ$13),15-13*ORÇAMENTO!$AF$7)/$H126*OFFSET(ORÇAMENTO!$X$15,ROW(AZ126)-ROW(AZ$15),0),
ROUND(ROUND(OFFSET($P126,0,AZ$13),15-13*ORÇAMENTO!$AF$7)*OFFSET(ORÇAMENTO!$W$15,ROW(AZ126)-ROW(AZ$15),0),15-13*ORÇAMENTO!$AF$11)),0)</f>
        <v>0</v>
      </c>
      <c r="BA126" s="546">
        <f ca="1">IF(AND($D126="Serviço",BA$12&lt;&gt;0,$H126&gt;0,OR(AUTOEVENTO&lt;&gt;"manual",$M126&lt;&gt;1)),
IF(Import.TipoArredondamento&lt;&gt;"TransfereGOV",
ROUND(OFFSET($P126,0,BA$13),15-13*ORÇAMENTO!$AF$7)/$H126*OFFSET(ORÇAMENTO!$X$15,ROW(BA126)-ROW(BA$15),0),
ROUND(ROUND(OFFSET($P126,0,BA$13),15-13*ORÇAMENTO!$AF$7)*OFFSET(ORÇAMENTO!$W$15,ROW(BA126)-ROW(BA$15),0),15-13*ORÇAMENTO!$AF$11)),0)</f>
        <v>0</v>
      </c>
      <c r="BC126" s="181">
        <f ca="1">IF($D126&lt;&gt;"Serviço",0,IF(AND(AUTOEVENTO="Manual",$M126=1),0,IF(OFFSET(CRONOPLE!$F$14,$M126,BC$13)="",10^12,OFFSET(CRONOPLE!$F$14,$M126,BC$13))))</f>
        <v>0</v>
      </c>
      <c r="BD126" s="181">
        <f ca="1">IF($D126&lt;&gt;"Serviço",0,IF(AND(AUTOEVENTO="Manual",$M126=1),0,IF(OFFSET(CRONOPLE!$F$14,$M126,BD$13)="",10^12,OFFSET(CRONOPLE!$F$14,$M126,BD$13))))</f>
        <v>0</v>
      </c>
      <c r="BE126" s="181">
        <f ca="1">IF($D126&lt;&gt;"Serviço",0,IF(AND(AUTOEVENTO="Manual",$M126=1),0,IF(OFFSET(CRONOPLE!$F$14,$M126,BE$13)="",10^12,OFFSET(CRONOPLE!$F$14,$M126,BE$13))))</f>
        <v>0</v>
      </c>
      <c r="BF126" s="181">
        <f ca="1">IF($D126&lt;&gt;"Serviço",0,IF(AND(AUTOEVENTO="Manual",$M126=1),0,IF(OFFSET(CRONOPLE!$F$14,$M126,BF$13)="",10^12,OFFSET(CRONOPLE!$F$14,$M126,BF$13))))</f>
        <v>0</v>
      </c>
      <c r="BG126" s="181">
        <f ca="1">IF($D126&lt;&gt;"Serviço",0,IF(AND(AUTOEVENTO="Manual",$M126=1),0,IF(OFFSET(CRONOPLE!$F$14,$M126,BG$13)="",10^12,OFFSET(CRONOPLE!$F$14,$M126,BG$13))))</f>
        <v>0</v>
      </c>
      <c r="BH126" s="181">
        <f ca="1">IF($D126&lt;&gt;"Serviço",0,IF(AND(AUTOEVENTO="Manual",$M126=1),0,IF(OFFSET(CRONOPLE!$F$14,$M126,BH$13)="",10^12,OFFSET(CRONOPLE!$F$14,$M126,BH$13))))</f>
        <v>0</v>
      </c>
      <c r="BI126" s="181">
        <f ca="1">IF($D126&lt;&gt;"Serviço",0,IF(AND(AUTOEVENTO="Manual",$M126=1),0,IF(OFFSET(CRONOPLE!$F$14,$M126,BI$13)="",10^12,OFFSET(CRONOPLE!$F$14,$M126,BI$13))))</f>
        <v>0</v>
      </c>
      <c r="BJ126" s="181">
        <f ca="1">IF($D126&lt;&gt;"Serviço",0,IF(AND(AUTOEVENTO="Manual",$M126=1),0,IF(OFFSET(CRONOPLE!$F$14,$M126,BJ$13)="",10^12,OFFSET(CRONOPLE!$F$14,$M126,BJ$13))))</f>
        <v>0</v>
      </c>
      <c r="BK126" s="181">
        <f ca="1">IF($D126&lt;&gt;"Serviço",0,IF(AND(AUTOEVENTO="Manual",$M126=1),0,IF(OFFSET(CRONOPLE!$F$14,$M126,BK$13)="",10^12,OFFSET(CRONOPLE!$F$14,$M126,BK$13))))</f>
        <v>0</v>
      </c>
      <c r="BL126" s="181">
        <f ca="1">IF($D126&lt;&gt;"Serviço",0,IF(AND(AUTOEVENTO="Manual",$M126=1),0,IF(OFFSET(CRONOPLE!$F$14,$M126,BL$13)="",10^12,OFFSET(CRONOPLE!$F$14,$M126,BL$13))))</f>
        <v>0</v>
      </c>
      <c r="BM126" s="181">
        <f ca="1">IF($D126&lt;&gt;"Serviço",0,IF(AND(AUTOEVENTO="Manual",$M126=1),0,IF(OFFSET(CRONOPLE!$F$14,$M126,BM$13)="",10^12,OFFSET(CRONOPLE!$F$14,$M126,BM$13))))</f>
        <v>0</v>
      </c>
      <c r="BN126" s="181">
        <f ca="1">IF($D126&lt;&gt;"Serviço",0,IF(AND(AUTOEVENTO="Manual",$M126=1),0,IF(OFFSET(CRONOPLE!$F$14,$M126,BN$13)="",10^12,OFFSET(CRONOPLE!$F$14,$M126,BN$13))))</f>
        <v>0</v>
      </c>
      <c r="BO126" s="181">
        <f ca="1">IF($D126&lt;&gt;"Serviço",0,IF(AND(AUTOEVENTO="Manual",$M126=1),0,IF(OFFSET(CRONOPLE!$F$14,$M126,BO$13)="",10^12,OFFSET(CRONOPLE!$F$14,$M126,BO$13))))</f>
        <v>0</v>
      </c>
      <c r="BP126" s="181">
        <f ca="1">IF($D126&lt;&gt;"Serviço",0,IF(AND(AUTOEVENTO="Manual",$M126=1),0,IF(OFFSET(CRONOPLE!$F$14,$M126,BP$13)="",10^12,OFFSET(CRONOPLE!$F$14,$M126,BP$13))))</f>
        <v>0</v>
      </c>
      <c r="BQ126" s="181">
        <f ca="1">IF($D126&lt;&gt;"Serviço",0,IF(AND(AUTOEVENTO="Manual",$M126=1),0,IF(OFFSET(CRONOPLE!$F$14,$M126,BQ$13)="",10^12,OFFSET(CRONOPLE!$F$14,$M126,BQ$13))))</f>
        <v>0</v>
      </c>
      <c r="BR126" s="181">
        <f ca="1">IF($D126&lt;&gt;"Serviço",0,IF(AND(AUTOEVENTO="Manual",$M126=1),0,IF(OFFSET(CRONOPLE!$F$14,$M126,BR$13)="",10^12,OFFSET(CRONOPLE!$F$14,$M126,BR$13))))</f>
        <v>0</v>
      </c>
      <c r="BS126" s="181">
        <f ca="1">IF($D126&lt;&gt;"Serviço",0,IF(AND(AUTOEVENTO="Manual",$M126=1),0,IF(OFFSET(CRONOPLE!$F$14,$M126,BS$13)="",10^12,OFFSET(CRONOPLE!$F$14,$M126,BS$13))))</f>
        <v>0</v>
      </c>
      <c r="BT126" s="181">
        <f ca="1">IF($D126&lt;&gt;"Serviço",0,IF(AND(AUTOEVENTO="Manual",$M126=1),0,IF(OFFSET(CRONOPLE!$F$14,$M126,BT$13)="",10^12,OFFSET(CRONOPLE!$F$14,$M126,BT$13))))</f>
        <v>0</v>
      </c>
      <c r="BV126" s="182">
        <f ca="1">IF($D126&lt;&gt;"Serviço",0,IF(OR(AND(AUTOEVENTO="Manual",$M126=1),$M126&gt;(ROW(PLE.lastrow)-ROW(PLE.firstrow))),0,IF(OFFSET(PLE!$G$14,$M126,BV$13)="",10^12,OFFSET(PLE!$G$14,$M126,BV$13))))</f>
        <v>0</v>
      </c>
      <c r="BW126" s="182">
        <f ca="1">IF($D126&lt;&gt;"Serviço",0,IF(OR(AND(AUTOEVENTO="Manual",$M126=1),$M126&gt;(ROW(PLE.lastrow)-ROW(PLE.firstrow))),0,IF(OFFSET(PLE!$G$14,$M126,BW$13)="",10^12,OFFSET(PLE!$G$14,$M126,BW$13))))</f>
        <v>0</v>
      </c>
      <c r="BX126" s="182">
        <f ca="1">IF($D126&lt;&gt;"Serviço",0,IF(OR(AND(AUTOEVENTO="Manual",$M126=1),$M126&gt;(ROW(PLE.lastrow)-ROW(PLE.firstrow))),0,IF(OFFSET(PLE!$G$14,$M126,BX$13)="",10^12,OFFSET(PLE!$G$14,$M126,BX$13))))</f>
        <v>0</v>
      </c>
      <c r="BY126" s="182">
        <f ca="1">IF($D126&lt;&gt;"Serviço",0,IF(OR(AND(AUTOEVENTO="Manual",$M126=1),$M126&gt;(ROW(PLE.lastrow)-ROW(PLE.firstrow))),0,IF(OFFSET(PLE!$G$14,$M126,BY$13)="",10^12,OFFSET(PLE!$G$14,$M126,BY$13))))</f>
        <v>0</v>
      </c>
      <c r="BZ126" s="182">
        <f ca="1">IF($D126&lt;&gt;"Serviço",0,IF(OR(AND(AUTOEVENTO="Manual",$M126=1),$M126&gt;(ROW(PLE.lastrow)-ROW(PLE.firstrow))),0,IF(OFFSET(PLE!$G$14,$M126,BZ$13)="",10^12,OFFSET(PLE!$G$14,$M126,BZ$13))))</f>
        <v>0</v>
      </c>
      <c r="CA126" s="182">
        <f ca="1">IF($D126&lt;&gt;"Serviço",0,IF(OR(AND(AUTOEVENTO="Manual",$M126=1),$M126&gt;(ROW(PLE.lastrow)-ROW(PLE.firstrow))),0,IF(OFFSET(PLE!$G$14,$M126,CA$13)="",10^12,OFFSET(PLE!$G$14,$M126,CA$13))))</f>
        <v>0</v>
      </c>
      <c r="CB126" s="182">
        <f ca="1">IF($D126&lt;&gt;"Serviço",0,IF(OR(AND(AUTOEVENTO="Manual",$M126=1),$M126&gt;(ROW(PLE.lastrow)-ROW(PLE.firstrow))),0,IF(OFFSET(PLE!$G$14,$M126,CB$13)="",10^12,OFFSET(PLE!$G$14,$M126,CB$13))))</f>
        <v>0</v>
      </c>
      <c r="CC126" s="182">
        <f ca="1">IF($D126&lt;&gt;"Serviço",0,IF(OR(AND(AUTOEVENTO="Manual",$M126=1),$M126&gt;(ROW(PLE.lastrow)-ROW(PLE.firstrow))),0,IF(OFFSET(PLE!$G$14,$M126,CC$13)="",10^12,OFFSET(PLE!$G$14,$M126,CC$13))))</f>
        <v>0</v>
      </c>
      <c r="CD126" s="182">
        <f ca="1">IF($D126&lt;&gt;"Serviço",0,IF(OR(AND(AUTOEVENTO="Manual",$M126=1),$M126&gt;(ROW(PLE.lastrow)-ROW(PLE.firstrow))),0,IF(OFFSET(PLE!$G$14,$M126,CD$13)="",10^12,OFFSET(PLE!$G$14,$M126,CD$13))))</f>
        <v>0</v>
      </c>
      <c r="CE126" s="182">
        <f ca="1">IF($D126&lt;&gt;"Serviço",0,IF(OR(AND(AUTOEVENTO="Manual",$M126=1),$M126&gt;(ROW(PLE.lastrow)-ROW(PLE.firstrow))),0,IF(OFFSET(PLE!$G$14,$M126,CE$13)="",10^12,OFFSET(PLE!$G$14,$M126,CE$13))))</f>
        <v>0</v>
      </c>
      <c r="CF126" s="182">
        <f ca="1">IF($D126&lt;&gt;"Serviço",0,IF(OR(AND(AUTOEVENTO="Manual",$M126=1),$M126&gt;(ROW(PLE.lastrow)-ROW(PLE.firstrow))),0,IF(OFFSET(PLE!$G$14,$M126,CF$13)="",10^12,OFFSET(PLE!$G$14,$M126,CF$13))))</f>
        <v>0</v>
      </c>
      <c r="CG126" s="182">
        <f ca="1">IF($D126&lt;&gt;"Serviço",0,IF(OR(AND(AUTOEVENTO="Manual",$M126=1),$M126&gt;(ROW(PLE.lastrow)-ROW(PLE.firstrow))),0,IF(OFFSET(PLE!$G$14,$M126,CG$13)="",10^12,OFFSET(PLE!$G$14,$M126,CG$13))))</f>
        <v>0</v>
      </c>
      <c r="CH126" s="182">
        <f ca="1">IF($D126&lt;&gt;"Serviço",0,IF(OR(AND(AUTOEVENTO="Manual",$M126=1),$M126&gt;(ROW(PLE.lastrow)-ROW(PLE.firstrow))),0,IF(OFFSET(PLE!$G$14,$M126,CH$13)="",10^12,OFFSET(PLE!$G$14,$M126,CH$13))))</f>
        <v>0</v>
      </c>
      <c r="CI126" s="182">
        <f ca="1">IF($D126&lt;&gt;"Serviço",0,IF(OR(AND(AUTOEVENTO="Manual",$M126=1),$M126&gt;(ROW(PLE.lastrow)-ROW(PLE.firstrow))),0,IF(OFFSET(PLE!$G$14,$M126,CI$13)="",10^12,OFFSET(PLE!$G$14,$M126,CI$13))))</f>
        <v>0</v>
      </c>
      <c r="CJ126" s="182">
        <f ca="1">IF($D126&lt;&gt;"Serviço",0,IF(OR(AND(AUTOEVENTO="Manual",$M126=1),$M126&gt;(ROW(PLE.lastrow)-ROW(PLE.firstrow))),0,IF(OFFSET(PLE!$G$14,$M126,CJ$13)="",10^12,OFFSET(PLE!$G$14,$M126,CJ$13))))</f>
        <v>0</v>
      </c>
      <c r="CK126" s="182">
        <f ca="1">IF($D126&lt;&gt;"Serviço",0,IF(OR(AND(AUTOEVENTO="Manual",$M126=1),$M126&gt;(ROW(PLE.lastrow)-ROW(PLE.firstrow))),0,IF(OFFSET(PLE!$G$14,$M126,CK$13)="",10^12,OFFSET(PLE!$G$14,$M126,CK$13))))</f>
        <v>0</v>
      </c>
      <c r="CL126" s="182">
        <f ca="1">IF($D126&lt;&gt;"Serviço",0,IF(OR(AND(AUTOEVENTO="Manual",$M126=1),$M126&gt;(ROW(PLE.lastrow)-ROW(PLE.firstrow))),0,IF(OFFSET(PLE!$G$14,$M126,CL$13)="",10^12,OFFSET(PLE!$G$14,$M126,CL$13))))</f>
        <v>0</v>
      </c>
      <c r="CM126" s="182">
        <f ca="1">IF($D126&lt;&gt;"Serviço",0,IF(OR(AND(AUTOEVENTO="Manual",$M126=1),$M126&gt;(ROW(PLE.lastrow)-ROW(PLE.firstrow))),0,IF(OFFSET(PLE!$G$14,$M126,CM$13)="",10^12,OFFSET(PLE!$G$14,$M126,CM$13))))</f>
        <v>0</v>
      </c>
    </row>
    <row r="127" spans="1:91" ht="38.25" x14ac:dyDescent="0.2">
      <c r="A127" s="7" t="str">
        <f t="shared" ca="1" si="11"/>
        <v>111</v>
      </c>
      <c r="B127" s="7" t="str">
        <f ca="1">OFFSET(ORÇAMENTO!C$15,ROW(B127)-ROW(B$15),0)</f>
        <v>S</v>
      </c>
      <c r="C127" s="7" t="str">
        <f ca="1">OFFSET(ORÇAMENTO!L$15,ROW(C127)-ROW(C$15),0)</f>
        <v/>
      </c>
      <c r="D127" s="118" t="str">
        <f ca="1">OFFSET(ORÇAMENTO!N$15,ROW(D127)-ROW(D$15),0)</f>
        <v>Serviço</v>
      </c>
      <c r="E127" s="119" t="str">
        <f ca="1">OFFSET(ORÇAMENTO!O$15,ROW(E127)-ROW(E$15),0)</f>
        <v>-</v>
      </c>
      <c r="F127" s="172" t="str">
        <f ca="1">OFFSET(ORÇAMENTO!R$15,ROW(F127)-ROW(F$15),0)</f>
        <v>(abra o arquivo 'Referência 06-2024.xlsm)</v>
      </c>
      <c r="G127" s="173" t="str">
        <f ca="1">IF($D127&lt;&gt;"Serviço","",OFFSET(ORÇAMENTO!S$15,ROW(G127)-ROW(G$15),0))</f>
        <v>-</v>
      </c>
      <c r="H127" s="124">
        <f ca="1">IF($D127&lt;&gt;"Serviço",0,IF(ACOMPANHAMENTO="BM",ROUND(OFFSET(ORÇAMENTO!AJ$15,ROW(H127)-ROW(H$15),0),15-13*ORÇAMENTO!$AF$7),SUMPRODUCT(($Q$12:$AI$12&lt;&gt;"")*ROUND($Q127:$AI127,15-13*ORÇAMENTO!$AF$7))))</f>
        <v>1</v>
      </c>
      <c r="I127" s="561" t="s">
        <v>1107</v>
      </c>
      <c r="K127" s="174"/>
      <c r="L127" s="175" t="s">
        <v>255</v>
      </c>
      <c r="M127" s="176">
        <f ca="1">IF($D127&lt;&gt;"Serviço","",IF(AUTOEVENTO="manual",$A127,IF(ISERROR(MATCH($A127,$A$15:OFFSET($A127,-1,0),0)),MAX($M$15:OFFSET(M127,-1,0))+1,INDEX($M$15:OFFSET(M127,-1,0),MATCH($A127,$A$15:OFFSET($A127,-1,0),0)))))</f>
        <v>21</v>
      </c>
      <c r="N127" s="177" t="str">
        <f ca="1">IF($D127&lt;&gt;"Serviço","",IF(AUTOEVENTO="Manual",IF($A127=0,"&lt;-- defina o número do agrupador",OFFSET(EVENTOS!$D$14,$A127,0)),OFFSET($F$15,$A127,0)))</f>
        <v>ESQUADRIAS - PORTAS EM ALUMÍNIO</v>
      </c>
      <c r="O127" s="178"/>
      <c r="Q127" s="178">
        <v>1</v>
      </c>
      <c r="R127" s="179"/>
      <c r="S127" s="179"/>
      <c r="T127" s="179"/>
      <c r="U127" s="179"/>
      <c r="V127" s="179"/>
      <c r="W127" s="179"/>
      <c r="X127" s="179"/>
      <c r="Y127" s="179"/>
      <c r="Z127" s="180"/>
      <c r="AA127" s="179"/>
      <c r="AB127" s="179"/>
      <c r="AC127" s="179"/>
      <c r="AD127" s="179"/>
      <c r="AE127" s="179"/>
      <c r="AF127" s="179"/>
      <c r="AG127" s="179"/>
      <c r="AH127" s="180"/>
      <c r="AJ127" s="544">
        <f ca="1">IF(AND($D127="Serviço",AJ$12&lt;&gt;0,$H127&gt;0,OR(AUTOEVENTO&lt;&gt;"manual",$M127&lt;&gt;1)),
IF(Import.TipoArredondamento&lt;&gt;"TransfereGOV",
ROUND(OFFSET($P127,0,AJ$13),15-13*ORÇAMENTO!$AF$7)/$H127*OFFSET(ORÇAMENTO!$X$15,ROW(AJ127)-ROW(AJ$15),0),
ROUND(ROUND(OFFSET($P127,0,AJ$13),15-13*ORÇAMENTO!$AF$7)*OFFSET(ORÇAMENTO!$W$15,ROW(AJ127)-ROW(AJ$15),0),15-13*ORÇAMENTO!$AF$11)),0)</f>
        <v>0</v>
      </c>
      <c r="AK127" s="545">
        <f ca="1">IF(AND($D127="Serviço",AK$12&lt;&gt;0,$H127&gt;0,OR(AUTOEVENTO&lt;&gt;"manual",$M127&lt;&gt;1)),
IF(Import.TipoArredondamento&lt;&gt;"TransfereGOV",
ROUND(OFFSET($P127,0,AK$13),15-13*ORÇAMENTO!$AF$7)/$H127*OFFSET(ORÇAMENTO!$X$15,ROW(AK127)-ROW(AK$15),0),
ROUND(ROUND(OFFSET($P127,0,AK$13),15-13*ORÇAMENTO!$AF$7)*OFFSET(ORÇAMENTO!$W$15,ROW(AK127)-ROW(AK$15),0),15-13*ORÇAMENTO!$AF$11)),0)</f>
        <v>0</v>
      </c>
      <c r="AL127" s="545">
        <f ca="1">IF(AND($D127="Serviço",AL$12&lt;&gt;0,$H127&gt;0,OR(AUTOEVENTO&lt;&gt;"manual",$M127&lt;&gt;1)),
IF(Import.TipoArredondamento&lt;&gt;"TransfereGOV",
ROUND(OFFSET($P127,0,AL$13),15-13*ORÇAMENTO!$AF$7)/$H127*OFFSET(ORÇAMENTO!$X$15,ROW(AL127)-ROW(AL$15),0),
ROUND(ROUND(OFFSET($P127,0,AL$13),15-13*ORÇAMENTO!$AF$7)*OFFSET(ORÇAMENTO!$W$15,ROW(AL127)-ROW(AL$15),0),15-13*ORÇAMENTO!$AF$11)),0)</f>
        <v>0</v>
      </c>
      <c r="AM127" s="545">
        <f ca="1">IF(AND($D127="Serviço",AM$12&lt;&gt;0,$H127&gt;0,OR(AUTOEVENTO&lt;&gt;"manual",$M127&lt;&gt;1)),
IF(Import.TipoArredondamento&lt;&gt;"TransfereGOV",
ROUND(OFFSET($P127,0,AM$13),15-13*ORÇAMENTO!$AF$7)/$H127*OFFSET(ORÇAMENTO!$X$15,ROW(AM127)-ROW(AM$15),0),
ROUND(ROUND(OFFSET($P127,0,AM$13),15-13*ORÇAMENTO!$AF$7)*OFFSET(ORÇAMENTO!$W$15,ROW(AM127)-ROW(AM$15),0),15-13*ORÇAMENTO!$AF$11)),0)</f>
        <v>0</v>
      </c>
      <c r="AN127" s="545">
        <f ca="1">IF(AND($D127="Serviço",AN$12&lt;&gt;0,$H127&gt;0,OR(AUTOEVENTO&lt;&gt;"manual",$M127&lt;&gt;1)),
IF(Import.TipoArredondamento&lt;&gt;"TransfereGOV",
ROUND(OFFSET($P127,0,AN$13),15-13*ORÇAMENTO!$AF$7)/$H127*OFFSET(ORÇAMENTO!$X$15,ROW(AN127)-ROW(AN$15),0),
ROUND(ROUND(OFFSET($P127,0,AN$13),15-13*ORÇAMENTO!$AF$7)*OFFSET(ORÇAMENTO!$W$15,ROW(AN127)-ROW(AN$15),0),15-13*ORÇAMENTO!$AF$11)),0)</f>
        <v>0</v>
      </c>
      <c r="AO127" s="545">
        <f ca="1">IF(AND($D127="Serviço",AO$12&lt;&gt;0,$H127&gt;0,OR(AUTOEVENTO&lt;&gt;"manual",$M127&lt;&gt;1)),
IF(Import.TipoArredondamento&lt;&gt;"TransfereGOV",
ROUND(OFFSET($P127,0,AO$13),15-13*ORÇAMENTO!$AF$7)/$H127*OFFSET(ORÇAMENTO!$X$15,ROW(AO127)-ROW(AO$15),0),
ROUND(ROUND(OFFSET($P127,0,AO$13),15-13*ORÇAMENTO!$AF$7)*OFFSET(ORÇAMENTO!$W$15,ROW(AO127)-ROW(AO$15),0),15-13*ORÇAMENTO!$AF$11)),0)</f>
        <v>0</v>
      </c>
      <c r="AP127" s="545">
        <f ca="1">IF(AND($D127="Serviço",AP$12&lt;&gt;0,$H127&gt;0,OR(AUTOEVENTO&lt;&gt;"manual",$M127&lt;&gt;1)),
IF(Import.TipoArredondamento&lt;&gt;"TransfereGOV",
ROUND(OFFSET($P127,0,AP$13),15-13*ORÇAMENTO!$AF$7)/$H127*OFFSET(ORÇAMENTO!$X$15,ROW(AP127)-ROW(AP$15),0),
ROUND(ROUND(OFFSET($P127,0,AP$13),15-13*ORÇAMENTO!$AF$7)*OFFSET(ORÇAMENTO!$W$15,ROW(AP127)-ROW(AP$15),0),15-13*ORÇAMENTO!$AF$11)),0)</f>
        <v>0</v>
      </c>
      <c r="AQ127" s="545">
        <f ca="1">IF(AND($D127="Serviço",AQ$12&lt;&gt;0,$H127&gt;0,OR(AUTOEVENTO&lt;&gt;"manual",$M127&lt;&gt;1)),
IF(Import.TipoArredondamento&lt;&gt;"TransfereGOV",
ROUND(OFFSET($P127,0,AQ$13),15-13*ORÇAMENTO!$AF$7)/$H127*OFFSET(ORÇAMENTO!$X$15,ROW(AQ127)-ROW(AQ$15),0),
ROUND(ROUND(OFFSET($P127,0,AQ$13),15-13*ORÇAMENTO!$AF$7)*OFFSET(ORÇAMENTO!$W$15,ROW(AQ127)-ROW(AQ$15),0),15-13*ORÇAMENTO!$AF$11)),0)</f>
        <v>0</v>
      </c>
      <c r="AR127" s="545">
        <f ca="1">IF(AND($D127="Serviço",AR$12&lt;&gt;0,$H127&gt;0,OR(AUTOEVENTO&lt;&gt;"manual",$M127&lt;&gt;1)),
IF(Import.TipoArredondamento&lt;&gt;"TransfereGOV",
ROUND(OFFSET($P127,0,AR$13),15-13*ORÇAMENTO!$AF$7)/$H127*OFFSET(ORÇAMENTO!$X$15,ROW(AR127)-ROW(AR$15),0),
ROUND(ROUND(OFFSET($P127,0,AR$13),15-13*ORÇAMENTO!$AF$7)*OFFSET(ORÇAMENTO!$W$15,ROW(AR127)-ROW(AR$15),0),15-13*ORÇAMENTO!$AF$11)),0)</f>
        <v>0</v>
      </c>
      <c r="AS127" s="546">
        <f ca="1">IF(AND($D127="Serviço",AS$12&lt;&gt;0,$H127&gt;0,OR(AUTOEVENTO&lt;&gt;"manual",$M127&lt;&gt;1)),
IF(Import.TipoArredondamento&lt;&gt;"TransfereGOV",
ROUND(OFFSET($P127,0,AS$13),15-13*ORÇAMENTO!$AF$7)/$H127*OFFSET(ORÇAMENTO!$X$15,ROW(AS127)-ROW(AS$15),0),
ROUND(ROUND(OFFSET($P127,0,AS$13),15-13*ORÇAMENTO!$AF$7)*OFFSET(ORÇAMENTO!$W$15,ROW(AS127)-ROW(AS$15),0),15-13*ORÇAMENTO!$AF$11)),0)</f>
        <v>0</v>
      </c>
      <c r="AT127" s="545">
        <f ca="1">IF(AND($D127="Serviço",AT$12&lt;&gt;0,$H127&gt;0,OR(AUTOEVENTO&lt;&gt;"manual",$M127&lt;&gt;1)),
IF(Import.TipoArredondamento&lt;&gt;"TransfereGOV",
ROUND(OFFSET($P127,0,AT$13),15-13*ORÇAMENTO!$AF$7)/$H127*OFFSET(ORÇAMENTO!$X$15,ROW(AT127)-ROW(AT$15),0),
ROUND(ROUND(OFFSET($P127,0,AT$13),15-13*ORÇAMENTO!$AF$7)*OFFSET(ORÇAMENTO!$W$15,ROW(AT127)-ROW(AT$15),0),15-13*ORÇAMENTO!$AF$11)),0)</f>
        <v>0</v>
      </c>
      <c r="AU127" s="545">
        <f ca="1">IF(AND($D127="Serviço",AU$12&lt;&gt;0,$H127&gt;0,OR(AUTOEVENTO&lt;&gt;"manual",$M127&lt;&gt;1)),
IF(Import.TipoArredondamento&lt;&gt;"TransfereGOV",
ROUND(OFFSET($P127,0,AU$13),15-13*ORÇAMENTO!$AF$7)/$H127*OFFSET(ORÇAMENTO!$X$15,ROW(AU127)-ROW(AU$15),0),
ROUND(ROUND(OFFSET($P127,0,AU$13),15-13*ORÇAMENTO!$AF$7)*OFFSET(ORÇAMENTO!$W$15,ROW(AU127)-ROW(AU$15),0),15-13*ORÇAMENTO!$AF$11)),0)</f>
        <v>0</v>
      </c>
      <c r="AV127" s="545">
        <f ca="1">IF(AND($D127="Serviço",AV$12&lt;&gt;0,$H127&gt;0,OR(AUTOEVENTO&lt;&gt;"manual",$M127&lt;&gt;1)),
IF(Import.TipoArredondamento&lt;&gt;"TransfereGOV",
ROUND(OFFSET($P127,0,AV$13),15-13*ORÇAMENTO!$AF$7)/$H127*OFFSET(ORÇAMENTO!$X$15,ROW(AV127)-ROW(AV$15),0),
ROUND(ROUND(OFFSET($P127,0,AV$13),15-13*ORÇAMENTO!$AF$7)*OFFSET(ORÇAMENTO!$W$15,ROW(AV127)-ROW(AV$15),0),15-13*ORÇAMENTO!$AF$11)),0)</f>
        <v>0</v>
      </c>
      <c r="AW127" s="545">
        <f ca="1">IF(AND($D127="Serviço",AW$12&lt;&gt;0,$H127&gt;0,OR(AUTOEVENTO&lt;&gt;"manual",$M127&lt;&gt;1)),
IF(Import.TipoArredondamento&lt;&gt;"TransfereGOV",
ROUND(OFFSET($P127,0,AW$13),15-13*ORÇAMENTO!$AF$7)/$H127*OFFSET(ORÇAMENTO!$X$15,ROW(AW127)-ROW(AW$15),0),
ROUND(ROUND(OFFSET($P127,0,AW$13),15-13*ORÇAMENTO!$AF$7)*OFFSET(ORÇAMENTO!$W$15,ROW(AW127)-ROW(AW$15),0),15-13*ORÇAMENTO!$AF$11)),0)</f>
        <v>0</v>
      </c>
      <c r="AX127" s="545">
        <f ca="1">IF(AND($D127="Serviço",AX$12&lt;&gt;0,$H127&gt;0,OR(AUTOEVENTO&lt;&gt;"manual",$M127&lt;&gt;1)),
IF(Import.TipoArredondamento&lt;&gt;"TransfereGOV",
ROUND(OFFSET($P127,0,AX$13),15-13*ORÇAMENTO!$AF$7)/$H127*OFFSET(ORÇAMENTO!$X$15,ROW(AX127)-ROW(AX$15),0),
ROUND(ROUND(OFFSET($P127,0,AX$13),15-13*ORÇAMENTO!$AF$7)*OFFSET(ORÇAMENTO!$W$15,ROW(AX127)-ROW(AX$15),0),15-13*ORÇAMENTO!$AF$11)),0)</f>
        <v>0</v>
      </c>
      <c r="AY127" s="545">
        <f ca="1">IF(AND($D127="Serviço",AY$12&lt;&gt;0,$H127&gt;0,OR(AUTOEVENTO&lt;&gt;"manual",$M127&lt;&gt;1)),
IF(Import.TipoArredondamento&lt;&gt;"TransfereGOV",
ROUND(OFFSET($P127,0,AY$13),15-13*ORÇAMENTO!$AF$7)/$H127*OFFSET(ORÇAMENTO!$X$15,ROW(AY127)-ROW(AY$15),0),
ROUND(ROUND(OFFSET($P127,0,AY$13),15-13*ORÇAMENTO!$AF$7)*OFFSET(ORÇAMENTO!$W$15,ROW(AY127)-ROW(AY$15),0),15-13*ORÇAMENTO!$AF$11)),0)</f>
        <v>0</v>
      </c>
      <c r="AZ127" s="545">
        <f ca="1">IF(AND($D127="Serviço",AZ$12&lt;&gt;0,$H127&gt;0,OR(AUTOEVENTO&lt;&gt;"manual",$M127&lt;&gt;1)),
IF(Import.TipoArredondamento&lt;&gt;"TransfereGOV",
ROUND(OFFSET($P127,0,AZ$13),15-13*ORÇAMENTO!$AF$7)/$H127*OFFSET(ORÇAMENTO!$X$15,ROW(AZ127)-ROW(AZ$15),0),
ROUND(ROUND(OFFSET($P127,0,AZ$13),15-13*ORÇAMENTO!$AF$7)*OFFSET(ORÇAMENTO!$W$15,ROW(AZ127)-ROW(AZ$15),0),15-13*ORÇAMENTO!$AF$11)),0)</f>
        <v>0</v>
      </c>
      <c r="BA127" s="546">
        <f ca="1">IF(AND($D127="Serviço",BA$12&lt;&gt;0,$H127&gt;0,OR(AUTOEVENTO&lt;&gt;"manual",$M127&lt;&gt;1)),
IF(Import.TipoArredondamento&lt;&gt;"TransfereGOV",
ROUND(OFFSET($P127,0,BA$13),15-13*ORÇAMENTO!$AF$7)/$H127*OFFSET(ORÇAMENTO!$X$15,ROW(BA127)-ROW(BA$15),0),
ROUND(ROUND(OFFSET($P127,0,BA$13),15-13*ORÇAMENTO!$AF$7)*OFFSET(ORÇAMENTO!$W$15,ROW(BA127)-ROW(BA$15),0),15-13*ORÇAMENTO!$AF$11)),0)</f>
        <v>0</v>
      </c>
      <c r="BC127" s="181">
        <f ca="1">IF($D127&lt;&gt;"Serviço",0,IF(AND(AUTOEVENTO="Manual",$M127=1),0,IF(OFFSET(CRONOPLE!$F$14,$M127,BC$13)="",10^12,OFFSET(CRONOPLE!$F$14,$M127,BC$13))))</f>
        <v>5</v>
      </c>
      <c r="BD127" s="181">
        <f ca="1">IF($D127&lt;&gt;"Serviço",0,IF(AND(AUTOEVENTO="Manual",$M127=1),0,IF(OFFSET(CRONOPLE!$F$14,$M127,BD$13)="",10^12,OFFSET(CRONOPLE!$F$14,$M127,BD$13))))</f>
        <v>1000000000000</v>
      </c>
      <c r="BE127" s="181">
        <f ca="1">IF($D127&lt;&gt;"Serviço",0,IF(AND(AUTOEVENTO="Manual",$M127=1),0,IF(OFFSET(CRONOPLE!$F$14,$M127,BE$13)="",10^12,OFFSET(CRONOPLE!$F$14,$M127,BE$13))))</f>
        <v>1000000000000</v>
      </c>
      <c r="BF127" s="181">
        <f ca="1">IF($D127&lt;&gt;"Serviço",0,IF(AND(AUTOEVENTO="Manual",$M127=1),0,IF(OFFSET(CRONOPLE!$F$14,$M127,BF$13)="",10^12,OFFSET(CRONOPLE!$F$14,$M127,BF$13))))</f>
        <v>1000000000000</v>
      </c>
      <c r="BG127" s="181">
        <f ca="1">IF($D127&lt;&gt;"Serviço",0,IF(AND(AUTOEVENTO="Manual",$M127=1),0,IF(OFFSET(CRONOPLE!$F$14,$M127,BG$13)="",10^12,OFFSET(CRONOPLE!$F$14,$M127,BG$13))))</f>
        <v>1000000000000</v>
      </c>
      <c r="BH127" s="181">
        <f ca="1">IF($D127&lt;&gt;"Serviço",0,IF(AND(AUTOEVENTO="Manual",$M127=1),0,IF(OFFSET(CRONOPLE!$F$14,$M127,BH$13)="",10^12,OFFSET(CRONOPLE!$F$14,$M127,BH$13))))</f>
        <v>1000000000000</v>
      </c>
      <c r="BI127" s="181">
        <f ca="1">IF($D127&lt;&gt;"Serviço",0,IF(AND(AUTOEVENTO="Manual",$M127=1),0,IF(OFFSET(CRONOPLE!$F$14,$M127,BI$13)="",10^12,OFFSET(CRONOPLE!$F$14,$M127,BI$13))))</f>
        <v>1000000000000</v>
      </c>
      <c r="BJ127" s="181">
        <f ca="1">IF($D127&lt;&gt;"Serviço",0,IF(AND(AUTOEVENTO="Manual",$M127=1),0,IF(OFFSET(CRONOPLE!$F$14,$M127,BJ$13)="",10^12,OFFSET(CRONOPLE!$F$14,$M127,BJ$13))))</f>
        <v>1000000000000</v>
      </c>
      <c r="BK127" s="181">
        <f ca="1">IF($D127&lt;&gt;"Serviço",0,IF(AND(AUTOEVENTO="Manual",$M127=1),0,IF(OFFSET(CRONOPLE!$F$14,$M127,BK$13)="",10^12,OFFSET(CRONOPLE!$F$14,$M127,BK$13))))</f>
        <v>1000000000000</v>
      </c>
      <c r="BL127" s="181">
        <f ca="1">IF($D127&lt;&gt;"Serviço",0,IF(AND(AUTOEVENTO="Manual",$M127=1),0,IF(OFFSET(CRONOPLE!$F$14,$M127,BL$13)="",10^12,OFFSET(CRONOPLE!$F$14,$M127,BL$13))))</f>
        <v>1000000000000</v>
      </c>
      <c r="BM127" s="181">
        <f ca="1">IF($D127&lt;&gt;"Serviço",0,IF(AND(AUTOEVENTO="Manual",$M127=1),0,IF(OFFSET(CRONOPLE!$F$14,$M127,BM$13)="",10^12,OFFSET(CRONOPLE!$F$14,$M127,BM$13))))</f>
        <v>1000000000000</v>
      </c>
      <c r="BN127" s="181">
        <f ca="1">IF($D127&lt;&gt;"Serviço",0,IF(AND(AUTOEVENTO="Manual",$M127=1),0,IF(OFFSET(CRONOPLE!$F$14,$M127,BN$13)="",10^12,OFFSET(CRONOPLE!$F$14,$M127,BN$13))))</f>
        <v>1000000000000</v>
      </c>
      <c r="BO127" s="181">
        <f ca="1">IF($D127&lt;&gt;"Serviço",0,IF(AND(AUTOEVENTO="Manual",$M127=1),0,IF(OFFSET(CRONOPLE!$F$14,$M127,BO$13)="",10^12,OFFSET(CRONOPLE!$F$14,$M127,BO$13))))</f>
        <v>1000000000000</v>
      </c>
      <c r="BP127" s="181">
        <f ca="1">IF($D127&lt;&gt;"Serviço",0,IF(AND(AUTOEVENTO="Manual",$M127=1),0,IF(OFFSET(CRONOPLE!$F$14,$M127,BP$13)="",10^12,OFFSET(CRONOPLE!$F$14,$M127,BP$13))))</f>
        <v>1000000000000</v>
      </c>
      <c r="BQ127" s="181">
        <f ca="1">IF($D127&lt;&gt;"Serviço",0,IF(AND(AUTOEVENTO="Manual",$M127=1),0,IF(OFFSET(CRONOPLE!$F$14,$M127,BQ$13)="",10^12,OFFSET(CRONOPLE!$F$14,$M127,BQ$13))))</f>
        <v>1000000000000</v>
      </c>
      <c r="BR127" s="181">
        <f ca="1">IF($D127&lt;&gt;"Serviço",0,IF(AND(AUTOEVENTO="Manual",$M127=1),0,IF(OFFSET(CRONOPLE!$F$14,$M127,BR$13)="",10^12,OFFSET(CRONOPLE!$F$14,$M127,BR$13))))</f>
        <v>1000000000000</v>
      </c>
      <c r="BS127" s="181">
        <f ca="1">IF($D127&lt;&gt;"Serviço",0,IF(AND(AUTOEVENTO="Manual",$M127=1),0,IF(OFFSET(CRONOPLE!$F$14,$M127,BS$13)="",10^12,OFFSET(CRONOPLE!$F$14,$M127,BS$13))))</f>
        <v>1000000000000</v>
      </c>
      <c r="BT127" s="181">
        <f ca="1">IF($D127&lt;&gt;"Serviço",0,IF(AND(AUTOEVENTO="Manual",$M127=1),0,IF(OFFSET(CRONOPLE!$F$14,$M127,BT$13)="",10^12,OFFSET(CRONOPLE!$F$14,$M127,BT$13))))</f>
        <v>1000000000000</v>
      </c>
      <c r="BV127" s="182">
        <f ca="1">IF($D127&lt;&gt;"Serviço",0,IF(OR(AND(AUTOEVENTO="Manual",$M127=1),$M127&gt;(ROW(PLE.lastrow)-ROW(PLE.firstrow))),0,IF(OFFSET(PLE!$G$14,$M127,BV$13)="",10^12,OFFSET(PLE!$G$14,$M127,BV$13))))</f>
        <v>1000000000000</v>
      </c>
      <c r="BW127" s="182">
        <f ca="1">IF($D127&lt;&gt;"Serviço",0,IF(OR(AND(AUTOEVENTO="Manual",$M127=1),$M127&gt;(ROW(PLE.lastrow)-ROW(PLE.firstrow))),0,IF(OFFSET(PLE!$G$14,$M127,BW$13)="",10^12,OFFSET(PLE!$G$14,$M127,BW$13))))</f>
        <v>1000000000000</v>
      </c>
      <c r="BX127" s="182">
        <f ca="1">IF($D127&lt;&gt;"Serviço",0,IF(OR(AND(AUTOEVENTO="Manual",$M127=1),$M127&gt;(ROW(PLE.lastrow)-ROW(PLE.firstrow))),0,IF(OFFSET(PLE!$G$14,$M127,BX$13)="",10^12,OFFSET(PLE!$G$14,$M127,BX$13))))</f>
        <v>1000000000000</v>
      </c>
      <c r="BY127" s="182">
        <f ca="1">IF($D127&lt;&gt;"Serviço",0,IF(OR(AND(AUTOEVENTO="Manual",$M127=1),$M127&gt;(ROW(PLE.lastrow)-ROW(PLE.firstrow))),0,IF(OFFSET(PLE!$G$14,$M127,BY$13)="",10^12,OFFSET(PLE!$G$14,$M127,BY$13))))</f>
        <v>1000000000000</v>
      </c>
      <c r="BZ127" s="182">
        <f ca="1">IF($D127&lt;&gt;"Serviço",0,IF(OR(AND(AUTOEVENTO="Manual",$M127=1),$M127&gt;(ROW(PLE.lastrow)-ROW(PLE.firstrow))),0,IF(OFFSET(PLE!$G$14,$M127,BZ$13)="",10^12,OFFSET(PLE!$G$14,$M127,BZ$13))))</f>
        <v>1000000000000</v>
      </c>
      <c r="CA127" s="182">
        <f ca="1">IF($D127&lt;&gt;"Serviço",0,IF(OR(AND(AUTOEVENTO="Manual",$M127=1),$M127&gt;(ROW(PLE.lastrow)-ROW(PLE.firstrow))),0,IF(OFFSET(PLE!$G$14,$M127,CA$13)="",10^12,OFFSET(PLE!$G$14,$M127,CA$13))))</f>
        <v>1000000000000</v>
      </c>
      <c r="CB127" s="182">
        <f ca="1">IF($D127&lt;&gt;"Serviço",0,IF(OR(AND(AUTOEVENTO="Manual",$M127=1),$M127&gt;(ROW(PLE.lastrow)-ROW(PLE.firstrow))),0,IF(OFFSET(PLE!$G$14,$M127,CB$13)="",10^12,OFFSET(PLE!$G$14,$M127,CB$13))))</f>
        <v>1000000000000</v>
      </c>
      <c r="CC127" s="182">
        <f ca="1">IF($D127&lt;&gt;"Serviço",0,IF(OR(AND(AUTOEVENTO="Manual",$M127=1),$M127&gt;(ROW(PLE.lastrow)-ROW(PLE.firstrow))),0,IF(OFFSET(PLE!$G$14,$M127,CC$13)="",10^12,OFFSET(PLE!$G$14,$M127,CC$13))))</f>
        <v>1000000000000</v>
      </c>
      <c r="CD127" s="182">
        <f ca="1">IF($D127&lt;&gt;"Serviço",0,IF(OR(AND(AUTOEVENTO="Manual",$M127=1),$M127&gt;(ROW(PLE.lastrow)-ROW(PLE.firstrow))),0,IF(OFFSET(PLE!$G$14,$M127,CD$13)="",10^12,OFFSET(PLE!$G$14,$M127,CD$13))))</f>
        <v>1000000000000</v>
      </c>
      <c r="CE127" s="182">
        <f ca="1">IF($D127&lt;&gt;"Serviço",0,IF(OR(AND(AUTOEVENTO="Manual",$M127=1),$M127&gt;(ROW(PLE.lastrow)-ROW(PLE.firstrow))),0,IF(OFFSET(PLE!$G$14,$M127,CE$13)="",10^12,OFFSET(PLE!$G$14,$M127,CE$13))))</f>
        <v>1000000000000</v>
      </c>
      <c r="CF127" s="182">
        <f ca="1">IF($D127&lt;&gt;"Serviço",0,IF(OR(AND(AUTOEVENTO="Manual",$M127=1),$M127&gt;(ROW(PLE.lastrow)-ROW(PLE.firstrow))),0,IF(OFFSET(PLE!$G$14,$M127,CF$13)="",10^12,OFFSET(PLE!$G$14,$M127,CF$13))))</f>
        <v>1000000000000</v>
      </c>
      <c r="CG127" s="182">
        <f ca="1">IF($D127&lt;&gt;"Serviço",0,IF(OR(AND(AUTOEVENTO="Manual",$M127=1),$M127&gt;(ROW(PLE.lastrow)-ROW(PLE.firstrow))),0,IF(OFFSET(PLE!$G$14,$M127,CG$13)="",10^12,OFFSET(PLE!$G$14,$M127,CG$13))))</f>
        <v>1000000000000</v>
      </c>
      <c r="CH127" s="182">
        <f ca="1">IF($D127&lt;&gt;"Serviço",0,IF(OR(AND(AUTOEVENTO="Manual",$M127=1),$M127&gt;(ROW(PLE.lastrow)-ROW(PLE.firstrow))),0,IF(OFFSET(PLE!$G$14,$M127,CH$13)="",10^12,OFFSET(PLE!$G$14,$M127,CH$13))))</f>
        <v>1000000000000</v>
      </c>
      <c r="CI127" s="182">
        <f ca="1">IF($D127&lt;&gt;"Serviço",0,IF(OR(AND(AUTOEVENTO="Manual",$M127=1),$M127&gt;(ROW(PLE.lastrow)-ROW(PLE.firstrow))),0,IF(OFFSET(PLE!$G$14,$M127,CI$13)="",10^12,OFFSET(PLE!$G$14,$M127,CI$13))))</f>
        <v>1000000000000</v>
      </c>
      <c r="CJ127" s="182">
        <f ca="1">IF($D127&lt;&gt;"Serviço",0,IF(OR(AND(AUTOEVENTO="Manual",$M127=1),$M127&gt;(ROW(PLE.lastrow)-ROW(PLE.firstrow))),0,IF(OFFSET(PLE!$G$14,$M127,CJ$13)="",10^12,OFFSET(PLE!$G$14,$M127,CJ$13))))</f>
        <v>1000000000000</v>
      </c>
      <c r="CK127" s="182">
        <f ca="1">IF($D127&lt;&gt;"Serviço",0,IF(OR(AND(AUTOEVENTO="Manual",$M127=1),$M127&gt;(ROW(PLE.lastrow)-ROW(PLE.firstrow))),0,IF(OFFSET(PLE!$G$14,$M127,CK$13)="",10^12,OFFSET(PLE!$G$14,$M127,CK$13))))</f>
        <v>1000000000000</v>
      </c>
      <c r="CL127" s="182">
        <f ca="1">IF($D127&lt;&gt;"Serviço",0,IF(OR(AND(AUTOEVENTO="Manual",$M127=1),$M127&gt;(ROW(PLE.lastrow)-ROW(PLE.firstrow))),0,IF(OFFSET(PLE!$G$14,$M127,CL$13)="",10^12,OFFSET(PLE!$G$14,$M127,CL$13))))</f>
        <v>1000000000000</v>
      </c>
      <c r="CM127" s="182">
        <f ca="1">IF($D127&lt;&gt;"Serviço",0,IF(OR(AND(AUTOEVENTO="Manual",$M127=1),$M127&gt;(ROW(PLE.lastrow)-ROW(PLE.firstrow))),0,IF(OFFSET(PLE!$G$14,$M127,CM$13)="",10^12,OFFSET(PLE!$G$14,$M127,CM$13))))</f>
        <v>1000000000000</v>
      </c>
    </row>
    <row r="128" spans="1:91" ht="51" x14ac:dyDescent="0.2">
      <c r="A128" s="7" t="str">
        <f t="shared" ca="1" si="11"/>
        <v>111</v>
      </c>
      <c r="B128" s="7" t="str">
        <f ca="1">OFFSET(ORÇAMENTO!C$15,ROW(B128)-ROW(B$15),0)</f>
        <v>S</v>
      </c>
      <c r="C128" s="7" t="str">
        <f ca="1">OFFSET(ORÇAMENTO!L$15,ROW(C128)-ROW(C$15),0)</f>
        <v/>
      </c>
      <c r="D128" s="118" t="str">
        <f ca="1">OFFSET(ORÇAMENTO!N$15,ROW(D128)-ROW(D$15),0)</f>
        <v>Serviço</v>
      </c>
      <c r="E128" s="119" t="str">
        <f ca="1">OFFSET(ORÇAMENTO!O$15,ROW(E128)-ROW(E$15),0)</f>
        <v>-</v>
      </c>
      <c r="F128" s="172" t="str">
        <f ca="1">OFFSET(ORÇAMENTO!R$15,ROW(F128)-ROW(F$15),0)</f>
        <v>(abra o arquivo 'Referência 06-2024.xlsm)</v>
      </c>
      <c r="G128" s="173" t="str">
        <f ca="1">IF($D128&lt;&gt;"Serviço","",OFFSET(ORÇAMENTO!S$15,ROW(G128)-ROW(G$15),0))</f>
        <v>-</v>
      </c>
      <c r="H128" s="124">
        <f ca="1">IF($D128&lt;&gt;"Serviço",0,IF(ACOMPANHAMENTO="BM",ROUND(OFFSET(ORÇAMENTO!AJ$15,ROW(H128)-ROW(H$15),0),15-13*ORÇAMENTO!$AF$7),SUMPRODUCT(($Q$12:$AI$12&lt;&gt;"")*ROUND($Q128:$AI128,15-13*ORÇAMENTO!$AF$7))))</f>
        <v>1.68</v>
      </c>
      <c r="I128" s="561" t="s">
        <v>1107</v>
      </c>
      <c r="K128" s="174"/>
      <c r="L128" s="175" t="s">
        <v>255</v>
      </c>
      <c r="M128" s="176">
        <f ca="1">IF($D128&lt;&gt;"Serviço","",IF(AUTOEVENTO="manual",$A128,IF(ISERROR(MATCH($A128,$A$15:OFFSET($A128,-1,0),0)),MAX($M$15:OFFSET(M128,-1,0))+1,INDEX($M$15:OFFSET(M128,-1,0),MATCH($A128,$A$15:OFFSET($A128,-1,0),0)))))</f>
        <v>21</v>
      </c>
      <c r="N128" s="177" t="str">
        <f ca="1">IF($D128&lt;&gt;"Serviço","",IF(AUTOEVENTO="Manual",IF($A128=0,"&lt;-- defina o número do agrupador",OFFSET(EVENTOS!$D$14,$A128,0)),OFFSET($F$15,$A128,0)))</f>
        <v>ESQUADRIAS - PORTAS EM ALUMÍNIO</v>
      </c>
      <c r="O128" s="178"/>
      <c r="Q128" s="178">
        <v>1.68</v>
      </c>
      <c r="R128" s="179"/>
      <c r="S128" s="179"/>
      <c r="T128" s="179"/>
      <c r="U128" s="179"/>
      <c r="V128" s="179"/>
      <c r="W128" s="179"/>
      <c r="X128" s="179"/>
      <c r="Y128" s="179"/>
      <c r="Z128" s="180"/>
      <c r="AA128" s="179"/>
      <c r="AB128" s="179"/>
      <c r="AC128" s="179"/>
      <c r="AD128" s="179"/>
      <c r="AE128" s="179"/>
      <c r="AF128" s="179"/>
      <c r="AG128" s="179"/>
      <c r="AH128" s="180"/>
      <c r="AJ128" s="544">
        <f ca="1">IF(AND($D128="Serviço",AJ$12&lt;&gt;0,$H128&gt;0,OR(AUTOEVENTO&lt;&gt;"manual",$M128&lt;&gt;1)),
IF(Import.TipoArredondamento&lt;&gt;"TransfereGOV",
ROUND(OFFSET($P128,0,AJ$13),15-13*ORÇAMENTO!$AF$7)/$H128*OFFSET(ORÇAMENTO!$X$15,ROW(AJ128)-ROW(AJ$15),0),
ROUND(ROUND(OFFSET($P128,0,AJ$13),15-13*ORÇAMENTO!$AF$7)*OFFSET(ORÇAMENTO!$W$15,ROW(AJ128)-ROW(AJ$15),0),15-13*ORÇAMENTO!$AF$11)),0)</f>
        <v>0</v>
      </c>
      <c r="AK128" s="545">
        <f ca="1">IF(AND($D128="Serviço",AK$12&lt;&gt;0,$H128&gt;0,OR(AUTOEVENTO&lt;&gt;"manual",$M128&lt;&gt;1)),
IF(Import.TipoArredondamento&lt;&gt;"TransfereGOV",
ROUND(OFFSET($P128,0,AK$13),15-13*ORÇAMENTO!$AF$7)/$H128*OFFSET(ORÇAMENTO!$X$15,ROW(AK128)-ROW(AK$15),0),
ROUND(ROUND(OFFSET($P128,0,AK$13),15-13*ORÇAMENTO!$AF$7)*OFFSET(ORÇAMENTO!$W$15,ROW(AK128)-ROW(AK$15),0),15-13*ORÇAMENTO!$AF$11)),0)</f>
        <v>0</v>
      </c>
      <c r="AL128" s="545">
        <f ca="1">IF(AND($D128="Serviço",AL$12&lt;&gt;0,$H128&gt;0,OR(AUTOEVENTO&lt;&gt;"manual",$M128&lt;&gt;1)),
IF(Import.TipoArredondamento&lt;&gt;"TransfereGOV",
ROUND(OFFSET($P128,0,AL$13),15-13*ORÇAMENTO!$AF$7)/$H128*OFFSET(ORÇAMENTO!$X$15,ROW(AL128)-ROW(AL$15),0),
ROUND(ROUND(OFFSET($P128,0,AL$13),15-13*ORÇAMENTO!$AF$7)*OFFSET(ORÇAMENTO!$W$15,ROW(AL128)-ROW(AL$15),0),15-13*ORÇAMENTO!$AF$11)),0)</f>
        <v>0</v>
      </c>
      <c r="AM128" s="545">
        <f ca="1">IF(AND($D128="Serviço",AM$12&lt;&gt;0,$H128&gt;0,OR(AUTOEVENTO&lt;&gt;"manual",$M128&lt;&gt;1)),
IF(Import.TipoArredondamento&lt;&gt;"TransfereGOV",
ROUND(OFFSET($P128,0,AM$13),15-13*ORÇAMENTO!$AF$7)/$H128*OFFSET(ORÇAMENTO!$X$15,ROW(AM128)-ROW(AM$15),0),
ROUND(ROUND(OFFSET($P128,0,AM$13),15-13*ORÇAMENTO!$AF$7)*OFFSET(ORÇAMENTO!$W$15,ROW(AM128)-ROW(AM$15),0),15-13*ORÇAMENTO!$AF$11)),0)</f>
        <v>0</v>
      </c>
      <c r="AN128" s="545">
        <f ca="1">IF(AND($D128="Serviço",AN$12&lt;&gt;0,$H128&gt;0,OR(AUTOEVENTO&lt;&gt;"manual",$M128&lt;&gt;1)),
IF(Import.TipoArredondamento&lt;&gt;"TransfereGOV",
ROUND(OFFSET($P128,0,AN$13),15-13*ORÇAMENTO!$AF$7)/$H128*OFFSET(ORÇAMENTO!$X$15,ROW(AN128)-ROW(AN$15),0),
ROUND(ROUND(OFFSET($P128,0,AN$13),15-13*ORÇAMENTO!$AF$7)*OFFSET(ORÇAMENTO!$W$15,ROW(AN128)-ROW(AN$15),0),15-13*ORÇAMENTO!$AF$11)),0)</f>
        <v>0</v>
      </c>
      <c r="AO128" s="545">
        <f ca="1">IF(AND($D128="Serviço",AO$12&lt;&gt;0,$H128&gt;0,OR(AUTOEVENTO&lt;&gt;"manual",$M128&lt;&gt;1)),
IF(Import.TipoArredondamento&lt;&gt;"TransfereGOV",
ROUND(OFFSET($P128,0,AO$13),15-13*ORÇAMENTO!$AF$7)/$H128*OFFSET(ORÇAMENTO!$X$15,ROW(AO128)-ROW(AO$15),0),
ROUND(ROUND(OFFSET($P128,0,AO$13),15-13*ORÇAMENTO!$AF$7)*OFFSET(ORÇAMENTO!$W$15,ROW(AO128)-ROW(AO$15),0),15-13*ORÇAMENTO!$AF$11)),0)</f>
        <v>0</v>
      </c>
      <c r="AP128" s="545">
        <f ca="1">IF(AND($D128="Serviço",AP$12&lt;&gt;0,$H128&gt;0,OR(AUTOEVENTO&lt;&gt;"manual",$M128&lt;&gt;1)),
IF(Import.TipoArredondamento&lt;&gt;"TransfereGOV",
ROUND(OFFSET($P128,0,AP$13),15-13*ORÇAMENTO!$AF$7)/$H128*OFFSET(ORÇAMENTO!$X$15,ROW(AP128)-ROW(AP$15),0),
ROUND(ROUND(OFFSET($P128,0,AP$13),15-13*ORÇAMENTO!$AF$7)*OFFSET(ORÇAMENTO!$W$15,ROW(AP128)-ROW(AP$15),0),15-13*ORÇAMENTO!$AF$11)),0)</f>
        <v>0</v>
      </c>
      <c r="AQ128" s="545">
        <f ca="1">IF(AND($D128="Serviço",AQ$12&lt;&gt;0,$H128&gt;0,OR(AUTOEVENTO&lt;&gt;"manual",$M128&lt;&gt;1)),
IF(Import.TipoArredondamento&lt;&gt;"TransfereGOV",
ROUND(OFFSET($P128,0,AQ$13),15-13*ORÇAMENTO!$AF$7)/$H128*OFFSET(ORÇAMENTO!$X$15,ROW(AQ128)-ROW(AQ$15),0),
ROUND(ROUND(OFFSET($P128,0,AQ$13),15-13*ORÇAMENTO!$AF$7)*OFFSET(ORÇAMENTO!$W$15,ROW(AQ128)-ROW(AQ$15),0),15-13*ORÇAMENTO!$AF$11)),0)</f>
        <v>0</v>
      </c>
      <c r="AR128" s="545">
        <f ca="1">IF(AND($D128="Serviço",AR$12&lt;&gt;0,$H128&gt;0,OR(AUTOEVENTO&lt;&gt;"manual",$M128&lt;&gt;1)),
IF(Import.TipoArredondamento&lt;&gt;"TransfereGOV",
ROUND(OFFSET($P128,0,AR$13),15-13*ORÇAMENTO!$AF$7)/$H128*OFFSET(ORÇAMENTO!$X$15,ROW(AR128)-ROW(AR$15),0),
ROUND(ROUND(OFFSET($P128,0,AR$13),15-13*ORÇAMENTO!$AF$7)*OFFSET(ORÇAMENTO!$W$15,ROW(AR128)-ROW(AR$15),0),15-13*ORÇAMENTO!$AF$11)),0)</f>
        <v>0</v>
      </c>
      <c r="AS128" s="546">
        <f ca="1">IF(AND($D128="Serviço",AS$12&lt;&gt;0,$H128&gt;0,OR(AUTOEVENTO&lt;&gt;"manual",$M128&lt;&gt;1)),
IF(Import.TipoArredondamento&lt;&gt;"TransfereGOV",
ROUND(OFFSET($P128,0,AS$13),15-13*ORÇAMENTO!$AF$7)/$H128*OFFSET(ORÇAMENTO!$X$15,ROW(AS128)-ROW(AS$15),0),
ROUND(ROUND(OFFSET($P128,0,AS$13),15-13*ORÇAMENTO!$AF$7)*OFFSET(ORÇAMENTO!$W$15,ROW(AS128)-ROW(AS$15),0),15-13*ORÇAMENTO!$AF$11)),0)</f>
        <v>0</v>
      </c>
      <c r="AT128" s="545">
        <f ca="1">IF(AND($D128="Serviço",AT$12&lt;&gt;0,$H128&gt;0,OR(AUTOEVENTO&lt;&gt;"manual",$M128&lt;&gt;1)),
IF(Import.TipoArredondamento&lt;&gt;"TransfereGOV",
ROUND(OFFSET($P128,0,AT$13),15-13*ORÇAMENTO!$AF$7)/$H128*OFFSET(ORÇAMENTO!$X$15,ROW(AT128)-ROW(AT$15),0),
ROUND(ROUND(OFFSET($P128,0,AT$13),15-13*ORÇAMENTO!$AF$7)*OFFSET(ORÇAMENTO!$W$15,ROW(AT128)-ROW(AT$15),0),15-13*ORÇAMENTO!$AF$11)),0)</f>
        <v>0</v>
      </c>
      <c r="AU128" s="545">
        <f ca="1">IF(AND($D128="Serviço",AU$12&lt;&gt;0,$H128&gt;0,OR(AUTOEVENTO&lt;&gt;"manual",$M128&lt;&gt;1)),
IF(Import.TipoArredondamento&lt;&gt;"TransfereGOV",
ROUND(OFFSET($P128,0,AU$13),15-13*ORÇAMENTO!$AF$7)/$H128*OFFSET(ORÇAMENTO!$X$15,ROW(AU128)-ROW(AU$15),0),
ROUND(ROUND(OFFSET($P128,0,AU$13),15-13*ORÇAMENTO!$AF$7)*OFFSET(ORÇAMENTO!$W$15,ROW(AU128)-ROW(AU$15),0),15-13*ORÇAMENTO!$AF$11)),0)</f>
        <v>0</v>
      </c>
      <c r="AV128" s="545">
        <f ca="1">IF(AND($D128="Serviço",AV$12&lt;&gt;0,$H128&gt;0,OR(AUTOEVENTO&lt;&gt;"manual",$M128&lt;&gt;1)),
IF(Import.TipoArredondamento&lt;&gt;"TransfereGOV",
ROUND(OFFSET($P128,0,AV$13),15-13*ORÇAMENTO!$AF$7)/$H128*OFFSET(ORÇAMENTO!$X$15,ROW(AV128)-ROW(AV$15),0),
ROUND(ROUND(OFFSET($P128,0,AV$13),15-13*ORÇAMENTO!$AF$7)*OFFSET(ORÇAMENTO!$W$15,ROW(AV128)-ROW(AV$15),0),15-13*ORÇAMENTO!$AF$11)),0)</f>
        <v>0</v>
      </c>
      <c r="AW128" s="545">
        <f ca="1">IF(AND($D128="Serviço",AW$12&lt;&gt;0,$H128&gt;0,OR(AUTOEVENTO&lt;&gt;"manual",$M128&lt;&gt;1)),
IF(Import.TipoArredondamento&lt;&gt;"TransfereGOV",
ROUND(OFFSET($P128,0,AW$13),15-13*ORÇAMENTO!$AF$7)/$H128*OFFSET(ORÇAMENTO!$X$15,ROW(AW128)-ROW(AW$15),0),
ROUND(ROUND(OFFSET($P128,0,AW$13),15-13*ORÇAMENTO!$AF$7)*OFFSET(ORÇAMENTO!$W$15,ROW(AW128)-ROW(AW$15),0),15-13*ORÇAMENTO!$AF$11)),0)</f>
        <v>0</v>
      </c>
      <c r="AX128" s="545">
        <f ca="1">IF(AND($D128="Serviço",AX$12&lt;&gt;0,$H128&gt;0,OR(AUTOEVENTO&lt;&gt;"manual",$M128&lt;&gt;1)),
IF(Import.TipoArredondamento&lt;&gt;"TransfereGOV",
ROUND(OFFSET($P128,0,AX$13),15-13*ORÇAMENTO!$AF$7)/$H128*OFFSET(ORÇAMENTO!$X$15,ROW(AX128)-ROW(AX$15),0),
ROUND(ROUND(OFFSET($P128,0,AX$13),15-13*ORÇAMENTO!$AF$7)*OFFSET(ORÇAMENTO!$W$15,ROW(AX128)-ROW(AX$15),0),15-13*ORÇAMENTO!$AF$11)),0)</f>
        <v>0</v>
      </c>
      <c r="AY128" s="545">
        <f ca="1">IF(AND($D128="Serviço",AY$12&lt;&gt;0,$H128&gt;0,OR(AUTOEVENTO&lt;&gt;"manual",$M128&lt;&gt;1)),
IF(Import.TipoArredondamento&lt;&gt;"TransfereGOV",
ROUND(OFFSET($P128,0,AY$13),15-13*ORÇAMENTO!$AF$7)/$H128*OFFSET(ORÇAMENTO!$X$15,ROW(AY128)-ROW(AY$15),0),
ROUND(ROUND(OFFSET($P128,0,AY$13),15-13*ORÇAMENTO!$AF$7)*OFFSET(ORÇAMENTO!$W$15,ROW(AY128)-ROW(AY$15),0),15-13*ORÇAMENTO!$AF$11)),0)</f>
        <v>0</v>
      </c>
      <c r="AZ128" s="545">
        <f ca="1">IF(AND($D128="Serviço",AZ$12&lt;&gt;0,$H128&gt;0,OR(AUTOEVENTO&lt;&gt;"manual",$M128&lt;&gt;1)),
IF(Import.TipoArredondamento&lt;&gt;"TransfereGOV",
ROUND(OFFSET($P128,0,AZ$13),15-13*ORÇAMENTO!$AF$7)/$H128*OFFSET(ORÇAMENTO!$X$15,ROW(AZ128)-ROW(AZ$15),0),
ROUND(ROUND(OFFSET($P128,0,AZ$13),15-13*ORÇAMENTO!$AF$7)*OFFSET(ORÇAMENTO!$W$15,ROW(AZ128)-ROW(AZ$15),0),15-13*ORÇAMENTO!$AF$11)),0)</f>
        <v>0</v>
      </c>
      <c r="BA128" s="546">
        <f ca="1">IF(AND($D128="Serviço",BA$12&lt;&gt;0,$H128&gt;0,OR(AUTOEVENTO&lt;&gt;"manual",$M128&lt;&gt;1)),
IF(Import.TipoArredondamento&lt;&gt;"TransfereGOV",
ROUND(OFFSET($P128,0,BA$13),15-13*ORÇAMENTO!$AF$7)/$H128*OFFSET(ORÇAMENTO!$X$15,ROW(BA128)-ROW(BA$15),0),
ROUND(ROUND(OFFSET($P128,0,BA$13),15-13*ORÇAMENTO!$AF$7)*OFFSET(ORÇAMENTO!$W$15,ROW(BA128)-ROW(BA$15),0),15-13*ORÇAMENTO!$AF$11)),0)</f>
        <v>0</v>
      </c>
      <c r="BC128" s="181">
        <f ca="1">IF($D128&lt;&gt;"Serviço",0,IF(AND(AUTOEVENTO="Manual",$M128=1),0,IF(OFFSET(CRONOPLE!$F$14,$M128,BC$13)="",10^12,OFFSET(CRONOPLE!$F$14,$M128,BC$13))))</f>
        <v>5</v>
      </c>
      <c r="BD128" s="181">
        <f ca="1">IF($D128&lt;&gt;"Serviço",0,IF(AND(AUTOEVENTO="Manual",$M128=1),0,IF(OFFSET(CRONOPLE!$F$14,$M128,BD$13)="",10^12,OFFSET(CRONOPLE!$F$14,$M128,BD$13))))</f>
        <v>1000000000000</v>
      </c>
      <c r="BE128" s="181">
        <f ca="1">IF($D128&lt;&gt;"Serviço",0,IF(AND(AUTOEVENTO="Manual",$M128=1),0,IF(OFFSET(CRONOPLE!$F$14,$M128,BE$13)="",10^12,OFFSET(CRONOPLE!$F$14,$M128,BE$13))))</f>
        <v>1000000000000</v>
      </c>
      <c r="BF128" s="181">
        <f ca="1">IF($D128&lt;&gt;"Serviço",0,IF(AND(AUTOEVENTO="Manual",$M128=1),0,IF(OFFSET(CRONOPLE!$F$14,$M128,BF$13)="",10^12,OFFSET(CRONOPLE!$F$14,$M128,BF$13))))</f>
        <v>1000000000000</v>
      </c>
      <c r="BG128" s="181">
        <f ca="1">IF($D128&lt;&gt;"Serviço",0,IF(AND(AUTOEVENTO="Manual",$M128=1),0,IF(OFFSET(CRONOPLE!$F$14,$M128,BG$13)="",10^12,OFFSET(CRONOPLE!$F$14,$M128,BG$13))))</f>
        <v>1000000000000</v>
      </c>
      <c r="BH128" s="181">
        <f ca="1">IF($D128&lt;&gt;"Serviço",0,IF(AND(AUTOEVENTO="Manual",$M128=1),0,IF(OFFSET(CRONOPLE!$F$14,$M128,BH$13)="",10^12,OFFSET(CRONOPLE!$F$14,$M128,BH$13))))</f>
        <v>1000000000000</v>
      </c>
      <c r="BI128" s="181">
        <f ca="1">IF($D128&lt;&gt;"Serviço",0,IF(AND(AUTOEVENTO="Manual",$M128=1),0,IF(OFFSET(CRONOPLE!$F$14,$M128,BI$13)="",10^12,OFFSET(CRONOPLE!$F$14,$M128,BI$13))))</f>
        <v>1000000000000</v>
      </c>
      <c r="BJ128" s="181">
        <f ca="1">IF($D128&lt;&gt;"Serviço",0,IF(AND(AUTOEVENTO="Manual",$M128=1),0,IF(OFFSET(CRONOPLE!$F$14,$M128,BJ$13)="",10^12,OFFSET(CRONOPLE!$F$14,$M128,BJ$13))))</f>
        <v>1000000000000</v>
      </c>
      <c r="BK128" s="181">
        <f ca="1">IF($D128&lt;&gt;"Serviço",0,IF(AND(AUTOEVENTO="Manual",$M128=1),0,IF(OFFSET(CRONOPLE!$F$14,$M128,BK$13)="",10^12,OFFSET(CRONOPLE!$F$14,$M128,BK$13))))</f>
        <v>1000000000000</v>
      </c>
      <c r="BL128" s="181">
        <f ca="1">IF($D128&lt;&gt;"Serviço",0,IF(AND(AUTOEVENTO="Manual",$M128=1),0,IF(OFFSET(CRONOPLE!$F$14,$M128,BL$13)="",10^12,OFFSET(CRONOPLE!$F$14,$M128,BL$13))))</f>
        <v>1000000000000</v>
      </c>
      <c r="BM128" s="181">
        <f ca="1">IF($D128&lt;&gt;"Serviço",0,IF(AND(AUTOEVENTO="Manual",$M128=1),0,IF(OFFSET(CRONOPLE!$F$14,$M128,BM$13)="",10^12,OFFSET(CRONOPLE!$F$14,$M128,BM$13))))</f>
        <v>1000000000000</v>
      </c>
      <c r="BN128" s="181">
        <f ca="1">IF($D128&lt;&gt;"Serviço",0,IF(AND(AUTOEVENTO="Manual",$M128=1),0,IF(OFFSET(CRONOPLE!$F$14,$M128,BN$13)="",10^12,OFFSET(CRONOPLE!$F$14,$M128,BN$13))))</f>
        <v>1000000000000</v>
      </c>
      <c r="BO128" s="181">
        <f ca="1">IF($D128&lt;&gt;"Serviço",0,IF(AND(AUTOEVENTO="Manual",$M128=1),0,IF(OFFSET(CRONOPLE!$F$14,$M128,BO$13)="",10^12,OFFSET(CRONOPLE!$F$14,$M128,BO$13))))</f>
        <v>1000000000000</v>
      </c>
      <c r="BP128" s="181">
        <f ca="1">IF($D128&lt;&gt;"Serviço",0,IF(AND(AUTOEVENTO="Manual",$M128=1),0,IF(OFFSET(CRONOPLE!$F$14,$M128,BP$13)="",10^12,OFFSET(CRONOPLE!$F$14,$M128,BP$13))))</f>
        <v>1000000000000</v>
      </c>
      <c r="BQ128" s="181">
        <f ca="1">IF($D128&lt;&gt;"Serviço",0,IF(AND(AUTOEVENTO="Manual",$M128=1),0,IF(OFFSET(CRONOPLE!$F$14,$M128,BQ$13)="",10^12,OFFSET(CRONOPLE!$F$14,$M128,BQ$13))))</f>
        <v>1000000000000</v>
      </c>
      <c r="BR128" s="181">
        <f ca="1">IF($D128&lt;&gt;"Serviço",0,IF(AND(AUTOEVENTO="Manual",$M128=1),0,IF(OFFSET(CRONOPLE!$F$14,$M128,BR$13)="",10^12,OFFSET(CRONOPLE!$F$14,$M128,BR$13))))</f>
        <v>1000000000000</v>
      </c>
      <c r="BS128" s="181">
        <f ca="1">IF($D128&lt;&gt;"Serviço",0,IF(AND(AUTOEVENTO="Manual",$M128=1),0,IF(OFFSET(CRONOPLE!$F$14,$M128,BS$13)="",10^12,OFFSET(CRONOPLE!$F$14,$M128,BS$13))))</f>
        <v>1000000000000</v>
      </c>
      <c r="BT128" s="181">
        <f ca="1">IF($D128&lt;&gt;"Serviço",0,IF(AND(AUTOEVENTO="Manual",$M128=1),0,IF(OFFSET(CRONOPLE!$F$14,$M128,BT$13)="",10^12,OFFSET(CRONOPLE!$F$14,$M128,BT$13))))</f>
        <v>1000000000000</v>
      </c>
      <c r="BV128" s="182">
        <f ca="1">IF($D128&lt;&gt;"Serviço",0,IF(OR(AND(AUTOEVENTO="Manual",$M128=1),$M128&gt;(ROW(PLE.lastrow)-ROW(PLE.firstrow))),0,IF(OFFSET(PLE!$G$14,$M128,BV$13)="",10^12,OFFSET(PLE!$G$14,$M128,BV$13))))</f>
        <v>1000000000000</v>
      </c>
      <c r="BW128" s="182">
        <f ca="1">IF($D128&lt;&gt;"Serviço",0,IF(OR(AND(AUTOEVENTO="Manual",$M128=1),$M128&gt;(ROW(PLE.lastrow)-ROW(PLE.firstrow))),0,IF(OFFSET(PLE!$G$14,$M128,BW$13)="",10^12,OFFSET(PLE!$G$14,$M128,BW$13))))</f>
        <v>1000000000000</v>
      </c>
      <c r="BX128" s="182">
        <f ca="1">IF($D128&lt;&gt;"Serviço",0,IF(OR(AND(AUTOEVENTO="Manual",$M128=1),$M128&gt;(ROW(PLE.lastrow)-ROW(PLE.firstrow))),0,IF(OFFSET(PLE!$G$14,$M128,BX$13)="",10^12,OFFSET(PLE!$G$14,$M128,BX$13))))</f>
        <v>1000000000000</v>
      </c>
      <c r="BY128" s="182">
        <f ca="1">IF($D128&lt;&gt;"Serviço",0,IF(OR(AND(AUTOEVENTO="Manual",$M128=1),$M128&gt;(ROW(PLE.lastrow)-ROW(PLE.firstrow))),0,IF(OFFSET(PLE!$G$14,$M128,BY$13)="",10^12,OFFSET(PLE!$G$14,$M128,BY$13))))</f>
        <v>1000000000000</v>
      </c>
      <c r="BZ128" s="182">
        <f ca="1">IF($D128&lt;&gt;"Serviço",0,IF(OR(AND(AUTOEVENTO="Manual",$M128=1),$M128&gt;(ROW(PLE.lastrow)-ROW(PLE.firstrow))),0,IF(OFFSET(PLE!$G$14,$M128,BZ$13)="",10^12,OFFSET(PLE!$G$14,$M128,BZ$13))))</f>
        <v>1000000000000</v>
      </c>
      <c r="CA128" s="182">
        <f ca="1">IF($D128&lt;&gt;"Serviço",0,IF(OR(AND(AUTOEVENTO="Manual",$M128=1),$M128&gt;(ROW(PLE.lastrow)-ROW(PLE.firstrow))),0,IF(OFFSET(PLE!$G$14,$M128,CA$13)="",10^12,OFFSET(PLE!$G$14,$M128,CA$13))))</f>
        <v>1000000000000</v>
      </c>
      <c r="CB128" s="182">
        <f ca="1">IF($D128&lt;&gt;"Serviço",0,IF(OR(AND(AUTOEVENTO="Manual",$M128=1),$M128&gt;(ROW(PLE.lastrow)-ROW(PLE.firstrow))),0,IF(OFFSET(PLE!$G$14,$M128,CB$13)="",10^12,OFFSET(PLE!$G$14,$M128,CB$13))))</f>
        <v>1000000000000</v>
      </c>
      <c r="CC128" s="182">
        <f ca="1">IF($D128&lt;&gt;"Serviço",0,IF(OR(AND(AUTOEVENTO="Manual",$M128=1),$M128&gt;(ROW(PLE.lastrow)-ROW(PLE.firstrow))),0,IF(OFFSET(PLE!$G$14,$M128,CC$13)="",10^12,OFFSET(PLE!$G$14,$M128,CC$13))))</f>
        <v>1000000000000</v>
      </c>
      <c r="CD128" s="182">
        <f ca="1">IF($D128&lt;&gt;"Serviço",0,IF(OR(AND(AUTOEVENTO="Manual",$M128=1),$M128&gt;(ROW(PLE.lastrow)-ROW(PLE.firstrow))),0,IF(OFFSET(PLE!$G$14,$M128,CD$13)="",10^12,OFFSET(PLE!$G$14,$M128,CD$13))))</f>
        <v>1000000000000</v>
      </c>
      <c r="CE128" s="182">
        <f ca="1">IF($D128&lt;&gt;"Serviço",0,IF(OR(AND(AUTOEVENTO="Manual",$M128=1),$M128&gt;(ROW(PLE.lastrow)-ROW(PLE.firstrow))),0,IF(OFFSET(PLE!$G$14,$M128,CE$13)="",10^12,OFFSET(PLE!$G$14,$M128,CE$13))))</f>
        <v>1000000000000</v>
      </c>
      <c r="CF128" s="182">
        <f ca="1">IF($D128&lt;&gt;"Serviço",0,IF(OR(AND(AUTOEVENTO="Manual",$M128=1),$M128&gt;(ROW(PLE.lastrow)-ROW(PLE.firstrow))),0,IF(OFFSET(PLE!$G$14,$M128,CF$13)="",10^12,OFFSET(PLE!$G$14,$M128,CF$13))))</f>
        <v>1000000000000</v>
      </c>
      <c r="CG128" s="182">
        <f ca="1">IF($D128&lt;&gt;"Serviço",0,IF(OR(AND(AUTOEVENTO="Manual",$M128=1),$M128&gt;(ROW(PLE.lastrow)-ROW(PLE.firstrow))),0,IF(OFFSET(PLE!$G$14,$M128,CG$13)="",10^12,OFFSET(PLE!$G$14,$M128,CG$13))))</f>
        <v>1000000000000</v>
      </c>
      <c r="CH128" s="182">
        <f ca="1">IF($D128&lt;&gt;"Serviço",0,IF(OR(AND(AUTOEVENTO="Manual",$M128=1),$M128&gt;(ROW(PLE.lastrow)-ROW(PLE.firstrow))),0,IF(OFFSET(PLE!$G$14,$M128,CH$13)="",10^12,OFFSET(PLE!$G$14,$M128,CH$13))))</f>
        <v>1000000000000</v>
      </c>
      <c r="CI128" s="182">
        <f ca="1">IF($D128&lt;&gt;"Serviço",0,IF(OR(AND(AUTOEVENTO="Manual",$M128=1),$M128&gt;(ROW(PLE.lastrow)-ROW(PLE.firstrow))),0,IF(OFFSET(PLE!$G$14,$M128,CI$13)="",10^12,OFFSET(PLE!$G$14,$M128,CI$13))))</f>
        <v>1000000000000</v>
      </c>
      <c r="CJ128" s="182">
        <f ca="1">IF($D128&lt;&gt;"Serviço",0,IF(OR(AND(AUTOEVENTO="Manual",$M128=1),$M128&gt;(ROW(PLE.lastrow)-ROW(PLE.firstrow))),0,IF(OFFSET(PLE!$G$14,$M128,CJ$13)="",10^12,OFFSET(PLE!$G$14,$M128,CJ$13))))</f>
        <v>1000000000000</v>
      </c>
      <c r="CK128" s="182">
        <f ca="1">IF($D128&lt;&gt;"Serviço",0,IF(OR(AND(AUTOEVENTO="Manual",$M128=1),$M128&gt;(ROW(PLE.lastrow)-ROW(PLE.firstrow))),0,IF(OFFSET(PLE!$G$14,$M128,CK$13)="",10^12,OFFSET(PLE!$G$14,$M128,CK$13))))</f>
        <v>1000000000000</v>
      </c>
      <c r="CL128" s="182">
        <f ca="1">IF($D128&lt;&gt;"Serviço",0,IF(OR(AND(AUTOEVENTO="Manual",$M128=1),$M128&gt;(ROW(PLE.lastrow)-ROW(PLE.firstrow))),0,IF(OFFSET(PLE!$G$14,$M128,CL$13)="",10^12,OFFSET(PLE!$G$14,$M128,CL$13))))</f>
        <v>1000000000000</v>
      </c>
      <c r="CM128" s="182">
        <f ca="1">IF($D128&lt;&gt;"Serviço",0,IF(OR(AND(AUTOEVENTO="Manual",$M128=1),$M128&gt;(ROW(PLE.lastrow)-ROW(PLE.firstrow))),0,IF(OFFSET(PLE!$G$14,$M128,CM$13)="",10^12,OFFSET(PLE!$G$14,$M128,CM$13))))</f>
        <v>1000000000000</v>
      </c>
    </row>
    <row r="129" spans="1:91" ht="51" x14ac:dyDescent="0.2">
      <c r="A129" s="7" t="str">
        <f t="shared" ca="1" si="11"/>
        <v>111</v>
      </c>
      <c r="B129" s="7" t="str">
        <f ca="1">OFFSET(ORÇAMENTO!C$15,ROW(B129)-ROW(B$15),0)</f>
        <v>S</v>
      </c>
      <c r="C129" s="7" t="str">
        <f ca="1">OFFSET(ORÇAMENTO!L$15,ROW(C129)-ROW(C$15),0)</f>
        <v/>
      </c>
      <c r="D129" s="118" t="str">
        <f ca="1">OFFSET(ORÇAMENTO!N$15,ROW(D129)-ROW(D$15),0)</f>
        <v>Serviço</v>
      </c>
      <c r="E129" s="119" t="str">
        <f ca="1">OFFSET(ORÇAMENTO!O$15,ROW(E129)-ROW(E$15),0)</f>
        <v>-</v>
      </c>
      <c r="F129" s="172" t="str">
        <f ca="1">OFFSET(ORÇAMENTO!R$15,ROW(F129)-ROW(F$15),0)</f>
        <v>(abra o arquivo 'Referência 06-2024.xlsm)</v>
      </c>
      <c r="G129" s="173" t="str">
        <f ca="1">IF($D129&lt;&gt;"Serviço","",OFFSET(ORÇAMENTO!S$15,ROW(G129)-ROW(G$15),0))</f>
        <v>-</v>
      </c>
      <c r="H129" s="124">
        <f ca="1">IF($D129&lt;&gt;"Serviço",0,IF(ACOMPANHAMENTO="BM",ROUND(OFFSET(ORÇAMENTO!AJ$15,ROW(H129)-ROW(H$15),0),15-13*ORÇAMENTO!$AF$7),SUMPRODUCT(($Q$12:$AI$12&lt;&gt;"")*ROUND($Q129:$AI129,15-13*ORÇAMENTO!$AF$7))))</f>
        <v>6.72</v>
      </c>
      <c r="I129" s="561" t="s">
        <v>1107</v>
      </c>
      <c r="K129" s="174"/>
      <c r="L129" s="175" t="s">
        <v>255</v>
      </c>
      <c r="M129" s="176">
        <f ca="1">IF($D129&lt;&gt;"Serviço","",IF(AUTOEVENTO="manual",$A129,IF(ISERROR(MATCH($A129,$A$15:OFFSET($A129,-1,0),0)),MAX($M$15:OFFSET(M129,-1,0))+1,INDEX($M$15:OFFSET(M129,-1,0),MATCH($A129,$A$15:OFFSET($A129,-1,0),0)))))</f>
        <v>21</v>
      </c>
      <c r="N129" s="177" t="str">
        <f ca="1">IF($D129&lt;&gt;"Serviço","",IF(AUTOEVENTO="Manual",IF($A129=0,"&lt;-- defina o número do agrupador",OFFSET(EVENTOS!$D$14,$A129,0)),OFFSET($F$15,$A129,0)))</f>
        <v>ESQUADRIAS - PORTAS EM ALUMÍNIO</v>
      </c>
      <c r="O129" s="178"/>
      <c r="Q129" s="178">
        <v>6.72</v>
      </c>
      <c r="R129" s="179"/>
      <c r="S129" s="179"/>
      <c r="T129" s="179"/>
      <c r="U129" s="179"/>
      <c r="V129" s="179"/>
      <c r="W129" s="179"/>
      <c r="X129" s="179"/>
      <c r="Y129" s="179"/>
      <c r="Z129" s="180"/>
      <c r="AA129" s="179"/>
      <c r="AB129" s="179"/>
      <c r="AC129" s="179"/>
      <c r="AD129" s="179"/>
      <c r="AE129" s="179"/>
      <c r="AF129" s="179"/>
      <c r="AG129" s="179"/>
      <c r="AH129" s="180"/>
      <c r="AJ129" s="544">
        <f ca="1">IF(AND($D129="Serviço",AJ$12&lt;&gt;0,$H129&gt;0,OR(AUTOEVENTO&lt;&gt;"manual",$M129&lt;&gt;1)),
IF(Import.TipoArredondamento&lt;&gt;"TransfereGOV",
ROUND(OFFSET($P129,0,AJ$13),15-13*ORÇAMENTO!$AF$7)/$H129*OFFSET(ORÇAMENTO!$X$15,ROW(AJ129)-ROW(AJ$15),0),
ROUND(ROUND(OFFSET($P129,0,AJ$13),15-13*ORÇAMENTO!$AF$7)*OFFSET(ORÇAMENTO!$W$15,ROW(AJ129)-ROW(AJ$15),0),15-13*ORÇAMENTO!$AF$11)),0)</f>
        <v>0</v>
      </c>
      <c r="AK129" s="545">
        <f ca="1">IF(AND($D129="Serviço",AK$12&lt;&gt;0,$H129&gt;0,OR(AUTOEVENTO&lt;&gt;"manual",$M129&lt;&gt;1)),
IF(Import.TipoArredondamento&lt;&gt;"TransfereGOV",
ROUND(OFFSET($P129,0,AK$13),15-13*ORÇAMENTO!$AF$7)/$H129*OFFSET(ORÇAMENTO!$X$15,ROW(AK129)-ROW(AK$15),0),
ROUND(ROUND(OFFSET($P129,0,AK$13),15-13*ORÇAMENTO!$AF$7)*OFFSET(ORÇAMENTO!$W$15,ROW(AK129)-ROW(AK$15),0),15-13*ORÇAMENTO!$AF$11)),0)</f>
        <v>0</v>
      </c>
      <c r="AL129" s="545">
        <f ca="1">IF(AND($D129="Serviço",AL$12&lt;&gt;0,$H129&gt;0,OR(AUTOEVENTO&lt;&gt;"manual",$M129&lt;&gt;1)),
IF(Import.TipoArredondamento&lt;&gt;"TransfereGOV",
ROUND(OFFSET($P129,0,AL$13),15-13*ORÇAMENTO!$AF$7)/$H129*OFFSET(ORÇAMENTO!$X$15,ROW(AL129)-ROW(AL$15),0),
ROUND(ROUND(OFFSET($P129,0,AL$13),15-13*ORÇAMENTO!$AF$7)*OFFSET(ORÇAMENTO!$W$15,ROW(AL129)-ROW(AL$15),0),15-13*ORÇAMENTO!$AF$11)),0)</f>
        <v>0</v>
      </c>
      <c r="AM129" s="545">
        <f ca="1">IF(AND($D129="Serviço",AM$12&lt;&gt;0,$H129&gt;0,OR(AUTOEVENTO&lt;&gt;"manual",$M129&lt;&gt;1)),
IF(Import.TipoArredondamento&lt;&gt;"TransfereGOV",
ROUND(OFFSET($P129,0,AM$13),15-13*ORÇAMENTO!$AF$7)/$H129*OFFSET(ORÇAMENTO!$X$15,ROW(AM129)-ROW(AM$15),0),
ROUND(ROUND(OFFSET($P129,0,AM$13),15-13*ORÇAMENTO!$AF$7)*OFFSET(ORÇAMENTO!$W$15,ROW(AM129)-ROW(AM$15),0),15-13*ORÇAMENTO!$AF$11)),0)</f>
        <v>0</v>
      </c>
      <c r="AN129" s="545">
        <f ca="1">IF(AND($D129="Serviço",AN$12&lt;&gt;0,$H129&gt;0,OR(AUTOEVENTO&lt;&gt;"manual",$M129&lt;&gt;1)),
IF(Import.TipoArredondamento&lt;&gt;"TransfereGOV",
ROUND(OFFSET($P129,0,AN$13),15-13*ORÇAMENTO!$AF$7)/$H129*OFFSET(ORÇAMENTO!$X$15,ROW(AN129)-ROW(AN$15),0),
ROUND(ROUND(OFFSET($P129,0,AN$13),15-13*ORÇAMENTO!$AF$7)*OFFSET(ORÇAMENTO!$W$15,ROW(AN129)-ROW(AN$15),0),15-13*ORÇAMENTO!$AF$11)),0)</f>
        <v>0</v>
      </c>
      <c r="AO129" s="545">
        <f ca="1">IF(AND($D129="Serviço",AO$12&lt;&gt;0,$H129&gt;0,OR(AUTOEVENTO&lt;&gt;"manual",$M129&lt;&gt;1)),
IF(Import.TipoArredondamento&lt;&gt;"TransfereGOV",
ROUND(OFFSET($P129,0,AO$13),15-13*ORÇAMENTO!$AF$7)/$H129*OFFSET(ORÇAMENTO!$X$15,ROW(AO129)-ROW(AO$15),0),
ROUND(ROUND(OFFSET($P129,0,AO$13),15-13*ORÇAMENTO!$AF$7)*OFFSET(ORÇAMENTO!$W$15,ROW(AO129)-ROW(AO$15),0),15-13*ORÇAMENTO!$AF$11)),0)</f>
        <v>0</v>
      </c>
      <c r="AP129" s="545">
        <f ca="1">IF(AND($D129="Serviço",AP$12&lt;&gt;0,$H129&gt;0,OR(AUTOEVENTO&lt;&gt;"manual",$M129&lt;&gt;1)),
IF(Import.TipoArredondamento&lt;&gt;"TransfereGOV",
ROUND(OFFSET($P129,0,AP$13),15-13*ORÇAMENTO!$AF$7)/$H129*OFFSET(ORÇAMENTO!$X$15,ROW(AP129)-ROW(AP$15),0),
ROUND(ROUND(OFFSET($P129,0,AP$13),15-13*ORÇAMENTO!$AF$7)*OFFSET(ORÇAMENTO!$W$15,ROW(AP129)-ROW(AP$15),0),15-13*ORÇAMENTO!$AF$11)),0)</f>
        <v>0</v>
      </c>
      <c r="AQ129" s="545">
        <f ca="1">IF(AND($D129="Serviço",AQ$12&lt;&gt;0,$H129&gt;0,OR(AUTOEVENTO&lt;&gt;"manual",$M129&lt;&gt;1)),
IF(Import.TipoArredondamento&lt;&gt;"TransfereGOV",
ROUND(OFFSET($P129,0,AQ$13),15-13*ORÇAMENTO!$AF$7)/$H129*OFFSET(ORÇAMENTO!$X$15,ROW(AQ129)-ROW(AQ$15),0),
ROUND(ROUND(OFFSET($P129,0,AQ$13),15-13*ORÇAMENTO!$AF$7)*OFFSET(ORÇAMENTO!$W$15,ROW(AQ129)-ROW(AQ$15),0),15-13*ORÇAMENTO!$AF$11)),0)</f>
        <v>0</v>
      </c>
      <c r="AR129" s="545">
        <f ca="1">IF(AND($D129="Serviço",AR$12&lt;&gt;0,$H129&gt;0,OR(AUTOEVENTO&lt;&gt;"manual",$M129&lt;&gt;1)),
IF(Import.TipoArredondamento&lt;&gt;"TransfereGOV",
ROUND(OFFSET($P129,0,AR$13),15-13*ORÇAMENTO!$AF$7)/$H129*OFFSET(ORÇAMENTO!$X$15,ROW(AR129)-ROW(AR$15),0),
ROUND(ROUND(OFFSET($P129,0,AR$13),15-13*ORÇAMENTO!$AF$7)*OFFSET(ORÇAMENTO!$W$15,ROW(AR129)-ROW(AR$15),0),15-13*ORÇAMENTO!$AF$11)),0)</f>
        <v>0</v>
      </c>
      <c r="AS129" s="546">
        <f ca="1">IF(AND($D129="Serviço",AS$12&lt;&gt;0,$H129&gt;0,OR(AUTOEVENTO&lt;&gt;"manual",$M129&lt;&gt;1)),
IF(Import.TipoArredondamento&lt;&gt;"TransfereGOV",
ROUND(OFFSET($P129,0,AS$13),15-13*ORÇAMENTO!$AF$7)/$H129*OFFSET(ORÇAMENTO!$X$15,ROW(AS129)-ROW(AS$15),0),
ROUND(ROUND(OFFSET($P129,0,AS$13),15-13*ORÇAMENTO!$AF$7)*OFFSET(ORÇAMENTO!$W$15,ROW(AS129)-ROW(AS$15),0),15-13*ORÇAMENTO!$AF$11)),0)</f>
        <v>0</v>
      </c>
      <c r="AT129" s="545">
        <f ca="1">IF(AND($D129="Serviço",AT$12&lt;&gt;0,$H129&gt;0,OR(AUTOEVENTO&lt;&gt;"manual",$M129&lt;&gt;1)),
IF(Import.TipoArredondamento&lt;&gt;"TransfereGOV",
ROUND(OFFSET($P129,0,AT$13),15-13*ORÇAMENTO!$AF$7)/$H129*OFFSET(ORÇAMENTO!$X$15,ROW(AT129)-ROW(AT$15),0),
ROUND(ROUND(OFFSET($P129,0,AT$13),15-13*ORÇAMENTO!$AF$7)*OFFSET(ORÇAMENTO!$W$15,ROW(AT129)-ROW(AT$15),0),15-13*ORÇAMENTO!$AF$11)),0)</f>
        <v>0</v>
      </c>
      <c r="AU129" s="545">
        <f ca="1">IF(AND($D129="Serviço",AU$12&lt;&gt;0,$H129&gt;0,OR(AUTOEVENTO&lt;&gt;"manual",$M129&lt;&gt;1)),
IF(Import.TipoArredondamento&lt;&gt;"TransfereGOV",
ROUND(OFFSET($P129,0,AU$13),15-13*ORÇAMENTO!$AF$7)/$H129*OFFSET(ORÇAMENTO!$X$15,ROW(AU129)-ROW(AU$15),0),
ROUND(ROUND(OFFSET($P129,0,AU$13),15-13*ORÇAMENTO!$AF$7)*OFFSET(ORÇAMENTO!$W$15,ROW(AU129)-ROW(AU$15),0),15-13*ORÇAMENTO!$AF$11)),0)</f>
        <v>0</v>
      </c>
      <c r="AV129" s="545">
        <f ca="1">IF(AND($D129="Serviço",AV$12&lt;&gt;0,$H129&gt;0,OR(AUTOEVENTO&lt;&gt;"manual",$M129&lt;&gt;1)),
IF(Import.TipoArredondamento&lt;&gt;"TransfereGOV",
ROUND(OFFSET($P129,0,AV$13),15-13*ORÇAMENTO!$AF$7)/$H129*OFFSET(ORÇAMENTO!$X$15,ROW(AV129)-ROW(AV$15),0),
ROUND(ROUND(OFFSET($P129,0,AV$13),15-13*ORÇAMENTO!$AF$7)*OFFSET(ORÇAMENTO!$W$15,ROW(AV129)-ROW(AV$15),0),15-13*ORÇAMENTO!$AF$11)),0)</f>
        <v>0</v>
      </c>
      <c r="AW129" s="545">
        <f ca="1">IF(AND($D129="Serviço",AW$12&lt;&gt;0,$H129&gt;0,OR(AUTOEVENTO&lt;&gt;"manual",$M129&lt;&gt;1)),
IF(Import.TipoArredondamento&lt;&gt;"TransfereGOV",
ROUND(OFFSET($P129,0,AW$13),15-13*ORÇAMENTO!$AF$7)/$H129*OFFSET(ORÇAMENTO!$X$15,ROW(AW129)-ROW(AW$15),0),
ROUND(ROUND(OFFSET($P129,0,AW$13),15-13*ORÇAMENTO!$AF$7)*OFFSET(ORÇAMENTO!$W$15,ROW(AW129)-ROW(AW$15),0),15-13*ORÇAMENTO!$AF$11)),0)</f>
        <v>0</v>
      </c>
      <c r="AX129" s="545">
        <f ca="1">IF(AND($D129="Serviço",AX$12&lt;&gt;0,$H129&gt;0,OR(AUTOEVENTO&lt;&gt;"manual",$M129&lt;&gt;1)),
IF(Import.TipoArredondamento&lt;&gt;"TransfereGOV",
ROUND(OFFSET($P129,0,AX$13),15-13*ORÇAMENTO!$AF$7)/$H129*OFFSET(ORÇAMENTO!$X$15,ROW(AX129)-ROW(AX$15),0),
ROUND(ROUND(OFFSET($P129,0,AX$13),15-13*ORÇAMENTO!$AF$7)*OFFSET(ORÇAMENTO!$W$15,ROW(AX129)-ROW(AX$15),0),15-13*ORÇAMENTO!$AF$11)),0)</f>
        <v>0</v>
      </c>
      <c r="AY129" s="545">
        <f ca="1">IF(AND($D129="Serviço",AY$12&lt;&gt;0,$H129&gt;0,OR(AUTOEVENTO&lt;&gt;"manual",$M129&lt;&gt;1)),
IF(Import.TipoArredondamento&lt;&gt;"TransfereGOV",
ROUND(OFFSET($P129,0,AY$13),15-13*ORÇAMENTO!$AF$7)/$H129*OFFSET(ORÇAMENTO!$X$15,ROW(AY129)-ROW(AY$15),0),
ROUND(ROUND(OFFSET($P129,0,AY$13),15-13*ORÇAMENTO!$AF$7)*OFFSET(ORÇAMENTO!$W$15,ROW(AY129)-ROW(AY$15),0),15-13*ORÇAMENTO!$AF$11)),0)</f>
        <v>0</v>
      </c>
      <c r="AZ129" s="545">
        <f ca="1">IF(AND($D129="Serviço",AZ$12&lt;&gt;0,$H129&gt;0,OR(AUTOEVENTO&lt;&gt;"manual",$M129&lt;&gt;1)),
IF(Import.TipoArredondamento&lt;&gt;"TransfereGOV",
ROUND(OFFSET($P129,0,AZ$13),15-13*ORÇAMENTO!$AF$7)/$H129*OFFSET(ORÇAMENTO!$X$15,ROW(AZ129)-ROW(AZ$15),0),
ROUND(ROUND(OFFSET($P129,0,AZ$13),15-13*ORÇAMENTO!$AF$7)*OFFSET(ORÇAMENTO!$W$15,ROW(AZ129)-ROW(AZ$15),0),15-13*ORÇAMENTO!$AF$11)),0)</f>
        <v>0</v>
      </c>
      <c r="BA129" s="546">
        <f ca="1">IF(AND($D129="Serviço",BA$12&lt;&gt;0,$H129&gt;0,OR(AUTOEVENTO&lt;&gt;"manual",$M129&lt;&gt;1)),
IF(Import.TipoArredondamento&lt;&gt;"TransfereGOV",
ROUND(OFFSET($P129,0,BA$13),15-13*ORÇAMENTO!$AF$7)/$H129*OFFSET(ORÇAMENTO!$X$15,ROW(BA129)-ROW(BA$15),0),
ROUND(ROUND(OFFSET($P129,0,BA$13),15-13*ORÇAMENTO!$AF$7)*OFFSET(ORÇAMENTO!$W$15,ROW(BA129)-ROW(BA$15),0),15-13*ORÇAMENTO!$AF$11)),0)</f>
        <v>0</v>
      </c>
      <c r="BC129" s="181">
        <f ca="1">IF($D129&lt;&gt;"Serviço",0,IF(AND(AUTOEVENTO="Manual",$M129=1),0,IF(OFFSET(CRONOPLE!$F$14,$M129,BC$13)="",10^12,OFFSET(CRONOPLE!$F$14,$M129,BC$13))))</f>
        <v>5</v>
      </c>
      <c r="BD129" s="181">
        <f ca="1">IF($D129&lt;&gt;"Serviço",0,IF(AND(AUTOEVENTO="Manual",$M129=1),0,IF(OFFSET(CRONOPLE!$F$14,$M129,BD$13)="",10^12,OFFSET(CRONOPLE!$F$14,$M129,BD$13))))</f>
        <v>1000000000000</v>
      </c>
      <c r="BE129" s="181">
        <f ca="1">IF($D129&lt;&gt;"Serviço",0,IF(AND(AUTOEVENTO="Manual",$M129=1),0,IF(OFFSET(CRONOPLE!$F$14,$M129,BE$13)="",10^12,OFFSET(CRONOPLE!$F$14,$M129,BE$13))))</f>
        <v>1000000000000</v>
      </c>
      <c r="BF129" s="181">
        <f ca="1">IF($D129&lt;&gt;"Serviço",0,IF(AND(AUTOEVENTO="Manual",$M129=1),0,IF(OFFSET(CRONOPLE!$F$14,$M129,BF$13)="",10^12,OFFSET(CRONOPLE!$F$14,$M129,BF$13))))</f>
        <v>1000000000000</v>
      </c>
      <c r="BG129" s="181">
        <f ca="1">IF($D129&lt;&gt;"Serviço",0,IF(AND(AUTOEVENTO="Manual",$M129=1),0,IF(OFFSET(CRONOPLE!$F$14,$M129,BG$13)="",10^12,OFFSET(CRONOPLE!$F$14,$M129,BG$13))))</f>
        <v>1000000000000</v>
      </c>
      <c r="BH129" s="181">
        <f ca="1">IF($D129&lt;&gt;"Serviço",0,IF(AND(AUTOEVENTO="Manual",$M129=1),0,IF(OFFSET(CRONOPLE!$F$14,$M129,BH$13)="",10^12,OFFSET(CRONOPLE!$F$14,$M129,BH$13))))</f>
        <v>1000000000000</v>
      </c>
      <c r="BI129" s="181">
        <f ca="1">IF($D129&lt;&gt;"Serviço",0,IF(AND(AUTOEVENTO="Manual",$M129=1),0,IF(OFFSET(CRONOPLE!$F$14,$M129,BI$13)="",10^12,OFFSET(CRONOPLE!$F$14,$M129,BI$13))))</f>
        <v>1000000000000</v>
      </c>
      <c r="BJ129" s="181">
        <f ca="1">IF($D129&lt;&gt;"Serviço",0,IF(AND(AUTOEVENTO="Manual",$M129=1),0,IF(OFFSET(CRONOPLE!$F$14,$M129,BJ$13)="",10^12,OFFSET(CRONOPLE!$F$14,$M129,BJ$13))))</f>
        <v>1000000000000</v>
      </c>
      <c r="BK129" s="181">
        <f ca="1">IF($D129&lt;&gt;"Serviço",0,IF(AND(AUTOEVENTO="Manual",$M129=1),0,IF(OFFSET(CRONOPLE!$F$14,$M129,BK$13)="",10^12,OFFSET(CRONOPLE!$F$14,$M129,BK$13))))</f>
        <v>1000000000000</v>
      </c>
      <c r="BL129" s="181">
        <f ca="1">IF($D129&lt;&gt;"Serviço",0,IF(AND(AUTOEVENTO="Manual",$M129=1),0,IF(OFFSET(CRONOPLE!$F$14,$M129,BL$13)="",10^12,OFFSET(CRONOPLE!$F$14,$M129,BL$13))))</f>
        <v>1000000000000</v>
      </c>
      <c r="BM129" s="181">
        <f ca="1">IF($D129&lt;&gt;"Serviço",0,IF(AND(AUTOEVENTO="Manual",$M129=1),0,IF(OFFSET(CRONOPLE!$F$14,$M129,BM$13)="",10^12,OFFSET(CRONOPLE!$F$14,$M129,BM$13))))</f>
        <v>1000000000000</v>
      </c>
      <c r="BN129" s="181">
        <f ca="1">IF($D129&lt;&gt;"Serviço",0,IF(AND(AUTOEVENTO="Manual",$M129=1),0,IF(OFFSET(CRONOPLE!$F$14,$M129,BN$13)="",10^12,OFFSET(CRONOPLE!$F$14,$M129,BN$13))))</f>
        <v>1000000000000</v>
      </c>
      <c r="BO129" s="181">
        <f ca="1">IF($D129&lt;&gt;"Serviço",0,IF(AND(AUTOEVENTO="Manual",$M129=1),0,IF(OFFSET(CRONOPLE!$F$14,$M129,BO$13)="",10^12,OFFSET(CRONOPLE!$F$14,$M129,BO$13))))</f>
        <v>1000000000000</v>
      </c>
      <c r="BP129" s="181">
        <f ca="1">IF($D129&lt;&gt;"Serviço",0,IF(AND(AUTOEVENTO="Manual",$M129=1),0,IF(OFFSET(CRONOPLE!$F$14,$M129,BP$13)="",10^12,OFFSET(CRONOPLE!$F$14,$M129,BP$13))))</f>
        <v>1000000000000</v>
      </c>
      <c r="BQ129" s="181">
        <f ca="1">IF($D129&lt;&gt;"Serviço",0,IF(AND(AUTOEVENTO="Manual",$M129=1),0,IF(OFFSET(CRONOPLE!$F$14,$M129,BQ$13)="",10^12,OFFSET(CRONOPLE!$F$14,$M129,BQ$13))))</f>
        <v>1000000000000</v>
      </c>
      <c r="BR129" s="181">
        <f ca="1">IF($D129&lt;&gt;"Serviço",0,IF(AND(AUTOEVENTO="Manual",$M129=1),0,IF(OFFSET(CRONOPLE!$F$14,$M129,BR$13)="",10^12,OFFSET(CRONOPLE!$F$14,$M129,BR$13))))</f>
        <v>1000000000000</v>
      </c>
      <c r="BS129" s="181">
        <f ca="1">IF($D129&lt;&gt;"Serviço",0,IF(AND(AUTOEVENTO="Manual",$M129=1),0,IF(OFFSET(CRONOPLE!$F$14,$M129,BS$13)="",10^12,OFFSET(CRONOPLE!$F$14,$M129,BS$13))))</f>
        <v>1000000000000</v>
      </c>
      <c r="BT129" s="181">
        <f ca="1">IF($D129&lt;&gt;"Serviço",0,IF(AND(AUTOEVENTO="Manual",$M129=1),0,IF(OFFSET(CRONOPLE!$F$14,$M129,BT$13)="",10^12,OFFSET(CRONOPLE!$F$14,$M129,BT$13))))</f>
        <v>1000000000000</v>
      </c>
      <c r="BV129" s="182">
        <f ca="1">IF($D129&lt;&gt;"Serviço",0,IF(OR(AND(AUTOEVENTO="Manual",$M129=1),$M129&gt;(ROW(PLE.lastrow)-ROW(PLE.firstrow))),0,IF(OFFSET(PLE!$G$14,$M129,BV$13)="",10^12,OFFSET(PLE!$G$14,$M129,BV$13))))</f>
        <v>1000000000000</v>
      </c>
      <c r="BW129" s="182">
        <f ca="1">IF($D129&lt;&gt;"Serviço",0,IF(OR(AND(AUTOEVENTO="Manual",$M129=1),$M129&gt;(ROW(PLE.lastrow)-ROW(PLE.firstrow))),0,IF(OFFSET(PLE!$G$14,$M129,BW$13)="",10^12,OFFSET(PLE!$G$14,$M129,BW$13))))</f>
        <v>1000000000000</v>
      </c>
      <c r="BX129" s="182">
        <f ca="1">IF($D129&lt;&gt;"Serviço",0,IF(OR(AND(AUTOEVENTO="Manual",$M129=1),$M129&gt;(ROW(PLE.lastrow)-ROW(PLE.firstrow))),0,IF(OFFSET(PLE!$G$14,$M129,BX$13)="",10^12,OFFSET(PLE!$G$14,$M129,BX$13))))</f>
        <v>1000000000000</v>
      </c>
      <c r="BY129" s="182">
        <f ca="1">IF($D129&lt;&gt;"Serviço",0,IF(OR(AND(AUTOEVENTO="Manual",$M129=1),$M129&gt;(ROW(PLE.lastrow)-ROW(PLE.firstrow))),0,IF(OFFSET(PLE!$G$14,$M129,BY$13)="",10^12,OFFSET(PLE!$G$14,$M129,BY$13))))</f>
        <v>1000000000000</v>
      </c>
      <c r="BZ129" s="182">
        <f ca="1">IF($D129&lt;&gt;"Serviço",0,IF(OR(AND(AUTOEVENTO="Manual",$M129=1),$M129&gt;(ROW(PLE.lastrow)-ROW(PLE.firstrow))),0,IF(OFFSET(PLE!$G$14,$M129,BZ$13)="",10^12,OFFSET(PLE!$G$14,$M129,BZ$13))))</f>
        <v>1000000000000</v>
      </c>
      <c r="CA129" s="182">
        <f ca="1">IF($D129&lt;&gt;"Serviço",0,IF(OR(AND(AUTOEVENTO="Manual",$M129=1),$M129&gt;(ROW(PLE.lastrow)-ROW(PLE.firstrow))),0,IF(OFFSET(PLE!$G$14,$M129,CA$13)="",10^12,OFFSET(PLE!$G$14,$M129,CA$13))))</f>
        <v>1000000000000</v>
      </c>
      <c r="CB129" s="182">
        <f ca="1">IF($D129&lt;&gt;"Serviço",0,IF(OR(AND(AUTOEVENTO="Manual",$M129=1),$M129&gt;(ROW(PLE.lastrow)-ROW(PLE.firstrow))),0,IF(OFFSET(PLE!$G$14,$M129,CB$13)="",10^12,OFFSET(PLE!$G$14,$M129,CB$13))))</f>
        <v>1000000000000</v>
      </c>
      <c r="CC129" s="182">
        <f ca="1">IF($D129&lt;&gt;"Serviço",0,IF(OR(AND(AUTOEVENTO="Manual",$M129=1),$M129&gt;(ROW(PLE.lastrow)-ROW(PLE.firstrow))),0,IF(OFFSET(PLE!$G$14,$M129,CC$13)="",10^12,OFFSET(PLE!$G$14,$M129,CC$13))))</f>
        <v>1000000000000</v>
      </c>
      <c r="CD129" s="182">
        <f ca="1">IF($D129&lt;&gt;"Serviço",0,IF(OR(AND(AUTOEVENTO="Manual",$M129=1),$M129&gt;(ROW(PLE.lastrow)-ROW(PLE.firstrow))),0,IF(OFFSET(PLE!$G$14,$M129,CD$13)="",10^12,OFFSET(PLE!$G$14,$M129,CD$13))))</f>
        <v>1000000000000</v>
      </c>
      <c r="CE129" s="182">
        <f ca="1">IF($D129&lt;&gt;"Serviço",0,IF(OR(AND(AUTOEVENTO="Manual",$M129=1),$M129&gt;(ROW(PLE.lastrow)-ROW(PLE.firstrow))),0,IF(OFFSET(PLE!$G$14,$M129,CE$13)="",10^12,OFFSET(PLE!$G$14,$M129,CE$13))))</f>
        <v>1000000000000</v>
      </c>
      <c r="CF129" s="182">
        <f ca="1">IF($D129&lt;&gt;"Serviço",0,IF(OR(AND(AUTOEVENTO="Manual",$M129=1),$M129&gt;(ROW(PLE.lastrow)-ROW(PLE.firstrow))),0,IF(OFFSET(PLE!$G$14,$M129,CF$13)="",10^12,OFFSET(PLE!$G$14,$M129,CF$13))))</f>
        <v>1000000000000</v>
      </c>
      <c r="CG129" s="182">
        <f ca="1">IF($D129&lt;&gt;"Serviço",0,IF(OR(AND(AUTOEVENTO="Manual",$M129=1),$M129&gt;(ROW(PLE.lastrow)-ROW(PLE.firstrow))),0,IF(OFFSET(PLE!$G$14,$M129,CG$13)="",10^12,OFFSET(PLE!$G$14,$M129,CG$13))))</f>
        <v>1000000000000</v>
      </c>
      <c r="CH129" s="182">
        <f ca="1">IF($D129&lt;&gt;"Serviço",0,IF(OR(AND(AUTOEVENTO="Manual",$M129=1),$M129&gt;(ROW(PLE.lastrow)-ROW(PLE.firstrow))),0,IF(OFFSET(PLE!$G$14,$M129,CH$13)="",10^12,OFFSET(PLE!$G$14,$M129,CH$13))))</f>
        <v>1000000000000</v>
      </c>
      <c r="CI129" s="182">
        <f ca="1">IF($D129&lt;&gt;"Serviço",0,IF(OR(AND(AUTOEVENTO="Manual",$M129=1),$M129&gt;(ROW(PLE.lastrow)-ROW(PLE.firstrow))),0,IF(OFFSET(PLE!$G$14,$M129,CI$13)="",10^12,OFFSET(PLE!$G$14,$M129,CI$13))))</f>
        <v>1000000000000</v>
      </c>
      <c r="CJ129" s="182">
        <f ca="1">IF($D129&lt;&gt;"Serviço",0,IF(OR(AND(AUTOEVENTO="Manual",$M129=1),$M129&gt;(ROW(PLE.lastrow)-ROW(PLE.firstrow))),0,IF(OFFSET(PLE!$G$14,$M129,CJ$13)="",10^12,OFFSET(PLE!$G$14,$M129,CJ$13))))</f>
        <v>1000000000000</v>
      </c>
      <c r="CK129" s="182">
        <f ca="1">IF($D129&lt;&gt;"Serviço",0,IF(OR(AND(AUTOEVENTO="Manual",$M129=1),$M129&gt;(ROW(PLE.lastrow)-ROW(PLE.firstrow))),0,IF(OFFSET(PLE!$G$14,$M129,CK$13)="",10^12,OFFSET(PLE!$G$14,$M129,CK$13))))</f>
        <v>1000000000000</v>
      </c>
      <c r="CL129" s="182">
        <f ca="1">IF($D129&lt;&gt;"Serviço",0,IF(OR(AND(AUTOEVENTO="Manual",$M129=1),$M129&gt;(ROW(PLE.lastrow)-ROW(PLE.firstrow))),0,IF(OFFSET(PLE!$G$14,$M129,CL$13)="",10^12,OFFSET(PLE!$G$14,$M129,CL$13))))</f>
        <v>1000000000000</v>
      </c>
      <c r="CM129" s="182">
        <f ca="1">IF($D129&lt;&gt;"Serviço",0,IF(OR(AND(AUTOEVENTO="Manual",$M129=1),$M129&gt;(ROW(PLE.lastrow)-ROW(PLE.firstrow))),0,IF(OFFSET(PLE!$G$14,$M129,CM$13)="",10^12,OFFSET(PLE!$G$14,$M129,CM$13))))</f>
        <v>1000000000000</v>
      </c>
    </row>
    <row r="130" spans="1:91" ht="51" x14ac:dyDescent="0.2">
      <c r="A130" s="7" t="str">
        <f t="shared" ca="1" si="11"/>
        <v>111</v>
      </c>
      <c r="B130" s="7" t="str">
        <f ca="1">OFFSET(ORÇAMENTO!C$15,ROW(B130)-ROW(B$15),0)</f>
        <v>S</v>
      </c>
      <c r="C130" s="7" t="str">
        <f ca="1">OFFSET(ORÇAMENTO!L$15,ROW(C130)-ROW(C$15),0)</f>
        <v/>
      </c>
      <c r="D130" s="118" t="str">
        <f ca="1">OFFSET(ORÇAMENTO!N$15,ROW(D130)-ROW(D$15),0)</f>
        <v>Serviço</v>
      </c>
      <c r="E130" s="119" t="str">
        <f ca="1">OFFSET(ORÇAMENTO!O$15,ROW(E130)-ROW(E$15),0)</f>
        <v>-</v>
      </c>
      <c r="F130" s="172" t="str">
        <f ca="1">OFFSET(ORÇAMENTO!R$15,ROW(F130)-ROW(F$15),0)</f>
        <v>(abra o arquivo 'Referência 06-2024.xlsm)</v>
      </c>
      <c r="G130" s="173" t="str">
        <f ca="1">IF($D130&lt;&gt;"Serviço","",OFFSET(ORÇAMENTO!S$15,ROW(G130)-ROW(G$15),0))</f>
        <v>-</v>
      </c>
      <c r="H130" s="124">
        <f ca="1">IF($D130&lt;&gt;"Serviço",0,IF(ACOMPANHAMENTO="BM",ROUND(OFFSET(ORÇAMENTO!AJ$15,ROW(H130)-ROW(H$15),0),15-13*ORÇAMENTO!$AF$7),SUMPRODUCT(($Q$12:$AI$12&lt;&gt;"")*ROUND($Q130:$AI130,15-13*ORÇAMENTO!$AF$7))))</f>
        <v>143.1</v>
      </c>
      <c r="I130" s="561" t="s">
        <v>1107</v>
      </c>
      <c r="K130" s="174"/>
      <c r="L130" s="175" t="s">
        <v>255</v>
      </c>
      <c r="M130" s="176">
        <f ca="1">IF($D130&lt;&gt;"Serviço","",IF(AUTOEVENTO="manual",$A130,IF(ISERROR(MATCH($A130,$A$15:OFFSET($A130,-1,0),0)),MAX($M$15:OFFSET(M130,-1,0))+1,INDEX($M$15:OFFSET(M130,-1,0),MATCH($A130,$A$15:OFFSET($A130,-1,0),0)))))</f>
        <v>21</v>
      </c>
      <c r="N130" s="177" t="str">
        <f ca="1">IF($D130&lt;&gt;"Serviço","",IF(AUTOEVENTO="Manual",IF($A130=0,"&lt;-- defina o número do agrupador",OFFSET(EVENTOS!$D$14,$A130,0)),OFFSET($F$15,$A130,0)))</f>
        <v>ESQUADRIAS - PORTAS EM ALUMÍNIO</v>
      </c>
      <c r="O130" s="178"/>
      <c r="Q130" s="178">
        <v>143.1</v>
      </c>
      <c r="R130" s="179"/>
      <c r="S130" s="179"/>
      <c r="T130" s="179"/>
      <c r="U130" s="179"/>
      <c r="V130" s="179"/>
      <c r="W130" s="179"/>
      <c r="X130" s="179"/>
      <c r="Y130" s="179"/>
      <c r="Z130" s="180"/>
      <c r="AA130" s="179"/>
      <c r="AB130" s="179"/>
      <c r="AC130" s="179"/>
      <c r="AD130" s="179"/>
      <c r="AE130" s="179"/>
      <c r="AF130" s="179"/>
      <c r="AG130" s="179"/>
      <c r="AH130" s="180"/>
      <c r="AJ130" s="544">
        <f ca="1">IF(AND($D130="Serviço",AJ$12&lt;&gt;0,$H130&gt;0,OR(AUTOEVENTO&lt;&gt;"manual",$M130&lt;&gt;1)),
IF(Import.TipoArredondamento&lt;&gt;"TransfereGOV",
ROUND(OFFSET($P130,0,AJ$13),15-13*ORÇAMENTO!$AF$7)/$H130*OFFSET(ORÇAMENTO!$X$15,ROW(AJ130)-ROW(AJ$15),0),
ROUND(ROUND(OFFSET($P130,0,AJ$13),15-13*ORÇAMENTO!$AF$7)*OFFSET(ORÇAMENTO!$W$15,ROW(AJ130)-ROW(AJ$15),0),15-13*ORÇAMENTO!$AF$11)),0)</f>
        <v>0</v>
      </c>
      <c r="AK130" s="545">
        <f ca="1">IF(AND($D130="Serviço",AK$12&lt;&gt;0,$H130&gt;0,OR(AUTOEVENTO&lt;&gt;"manual",$M130&lt;&gt;1)),
IF(Import.TipoArredondamento&lt;&gt;"TransfereGOV",
ROUND(OFFSET($P130,0,AK$13),15-13*ORÇAMENTO!$AF$7)/$H130*OFFSET(ORÇAMENTO!$X$15,ROW(AK130)-ROW(AK$15),0),
ROUND(ROUND(OFFSET($P130,0,AK$13),15-13*ORÇAMENTO!$AF$7)*OFFSET(ORÇAMENTO!$W$15,ROW(AK130)-ROW(AK$15),0),15-13*ORÇAMENTO!$AF$11)),0)</f>
        <v>0</v>
      </c>
      <c r="AL130" s="545">
        <f ca="1">IF(AND($D130="Serviço",AL$12&lt;&gt;0,$H130&gt;0,OR(AUTOEVENTO&lt;&gt;"manual",$M130&lt;&gt;1)),
IF(Import.TipoArredondamento&lt;&gt;"TransfereGOV",
ROUND(OFFSET($P130,0,AL$13),15-13*ORÇAMENTO!$AF$7)/$H130*OFFSET(ORÇAMENTO!$X$15,ROW(AL130)-ROW(AL$15),0),
ROUND(ROUND(OFFSET($P130,0,AL$13),15-13*ORÇAMENTO!$AF$7)*OFFSET(ORÇAMENTO!$W$15,ROW(AL130)-ROW(AL$15),0),15-13*ORÇAMENTO!$AF$11)),0)</f>
        <v>0</v>
      </c>
      <c r="AM130" s="545">
        <f ca="1">IF(AND($D130="Serviço",AM$12&lt;&gt;0,$H130&gt;0,OR(AUTOEVENTO&lt;&gt;"manual",$M130&lt;&gt;1)),
IF(Import.TipoArredondamento&lt;&gt;"TransfereGOV",
ROUND(OFFSET($P130,0,AM$13),15-13*ORÇAMENTO!$AF$7)/$H130*OFFSET(ORÇAMENTO!$X$15,ROW(AM130)-ROW(AM$15),0),
ROUND(ROUND(OFFSET($P130,0,AM$13),15-13*ORÇAMENTO!$AF$7)*OFFSET(ORÇAMENTO!$W$15,ROW(AM130)-ROW(AM$15),0),15-13*ORÇAMENTO!$AF$11)),0)</f>
        <v>0</v>
      </c>
      <c r="AN130" s="545">
        <f ca="1">IF(AND($D130="Serviço",AN$12&lt;&gt;0,$H130&gt;0,OR(AUTOEVENTO&lt;&gt;"manual",$M130&lt;&gt;1)),
IF(Import.TipoArredondamento&lt;&gt;"TransfereGOV",
ROUND(OFFSET($P130,0,AN$13),15-13*ORÇAMENTO!$AF$7)/$H130*OFFSET(ORÇAMENTO!$X$15,ROW(AN130)-ROW(AN$15),0),
ROUND(ROUND(OFFSET($P130,0,AN$13),15-13*ORÇAMENTO!$AF$7)*OFFSET(ORÇAMENTO!$W$15,ROW(AN130)-ROW(AN$15),0),15-13*ORÇAMENTO!$AF$11)),0)</f>
        <v>0</v>
      </c>
      <c r="AO130" s="545">
        <f ca="1">IF(AND($D130="Serviço",AO$12&lt;&gt;0,$H130&gt;0,OR(AUTOEVENTO&lt;&gt;"manual",$M130&lt;&gt;1)),
IF(Import.TipoArredondamento&lt;&gt;"TransfereGOV",
ROUND(OFFSET($P130,0,AO$13),15-13*ORÇAMENTO!$AF$7)/$H130*OFFSET(ORÇAMENTO!$X$15,ROW(AO130)-ROW(AO$15),0),
ROUND(ROUND(OFFSET($P130,0,AO$13),15-13*ORÇAMENTO!$AF$7)*OFFSET(ORÇAMENTO!$W$15,ROW(AO130)-ROW(AO$15),0),15-13*ORÇAMENTO!$AF$11)),0)</f>
        <v>0</v>
      </c>
      <c r="AP130" s="545">
        <f ca="1">IF(AND($D130="Serviço",AP$12&lt;&gt;0,$H130&gt;0,OR(AUTOEVENTO&lt;&gt;"manual",$M130&lt;&gt;1)),
IF(Import.TipoArredondamento&lt;&gt;"TransfereGOV",
ROUND(OFFSET($P130,0,AP$13),15-13*ORÇAMENTO!$AF$7)/$H130*OFFSET(ORÇAMENTO!$X$15,ROW(AP130)-ROW(AP$15),0),
ROUND(ROUND(OFFSET($P130,0,AP$13),15-13*ORÇAMENTO!$AF$7)*OFFSET(ORÇAMENTO!$W$15,ROW(AP130)-ROW(AP$15),0),15-13*ORÇAMENTO!$AF$11)),0)</f>
        <v>0</v>
      </c>
      <c r="AQ130" s="545">
        <f ca="1">IF(AND($D130="Serviço",AQ$12&lt;&gt;0,$H130&gt;0,OR(AUTOEVENTO&lt;&gt;"manual",$M130&lt;&gt;1)),
IF(Import.TipoArredondamento&lt;&gt;"TransfereGOV",
ROUND(OFFSET($P130,0,AQ$13),15-13*ORÇAMENTO!$AF$7)/$H130*OFFSET(ORÇAMENTO!$X$15,ROW(AQ130)-ROW(AQ$15),0),
ROUND(ROUND(OFFSET($P130,0,AQ$13),15-13*ORÇAMENTO!$AF$7)*OFFSET(ORÇAMENTO!$W$15,ROW(AQ130)-ROW(AQ$15),0),15-13*ORÇAMENTO!$AF$11)),0)</f>
        <v>0</v>
      </c>
      <c r="AR130" s="545">
        <f ca="1">IF(AND($D130="Serviço",AR$12&lt;&gt;0,$H130&gt;0,OR(AUTOEVENTO&lt;&gt;"manual",$M130&lt;&gt;1)),
IF(Import.TipoArredondamento&lt;&gt;"TransfereGOV",
ROUND(OFFSET($P130,0,AR$13),15-13*ORÇAMENTO!$AF$7)/$H130*OFFSET(ORÇAMENTO!$X$15,ROW(AR130)-ROW(AR$15),0),
ROUND(ROUND(OFFSET($P130,0,AR$13),15-13*ORÇAMENTO!$AF$7)*OFFSET(ORÇAMENTO!$W$15,ROW(AR130)-ROW(AR$15),0),15-13*ORÇAMENTO!$AF$11)),0)</f>
        <v>0</v>
      </c>
      <c r="AS130" s="546">
        <f ca="1">IF(AND($D130="Serviço",AS$12&lt;&gt;0,$H130&gt;0,OR(AUTOEVENTO&lt;&gt;"manual",$M130&lt;&gt;1)),
IF(Import.TipoArredondamento&lt;&gt;"TransfereGOV",
ROUND(OFFSET($P130,0,AS$13),15-13*ORÇAMENTO!$AF$7)/$H130*OFFSET(ORÇAMENTO!$X$15,ROW(AS130)-ROW(AS$15),0),
ROUND(ROUND(OFFSET($P130,0,AS$13),15-13*ORÇAMENTO!$AF$7)*OFFSET(ORÇAMENTO!$W$15,ROW(AS130)-ROW(AS$15),0),15-13*ORÇAMENTO!$AF$11)),0)</f>
        <v>0</v>
      </c>
      <c r="AT130" s="545">
        <f ca="1">IF(AND($D130="Serviço",AT$12&lt;&gt;0,$H130&gt;0,OR(AUTOEVENTO&lt;&gt;"manual",$M130&lt;&gt;1)),
IF(Import.TipoArredondamento&lt;&gt;"TransfereGOV",
ROUND(OFFSET($P130,0,AT$13),15-13*ORÇAMENTO!$AF$7)/$H130*OFFSET(ORÇAMENTO!$X$15,ROW(AT130)-ROW(AT$15),0),
ROUND(ROUND(OFFSET($P130,0,AT$13),15-13*ORÇAMENTO!$AF$7)*OFFSET(ORÇAMENTO!$W$15,ROW(AT130)-ROW(AT$15),0),15-13*ORÇAMENTO!$AF$11)),0)</f>
        <v>0</v>
      </c>
      <c r="AU130" s="545">
        <f ca="1">IF(AND($D130="Serviço",AU$12&lt;&gt;0,$H130&gt;0,OR(AUTOEVENTO&lt;&gt;"manual",$M130&lt;&gt;1)),
IF(Import.TipoArredondamento&lt;&gt;"TransfereGOV",
ROUND(OFFSET($P130,0,AU$13),15-13*ORÇAMENTO!$AF$7)/$H130*OFFSET(ORÇAMENTO!$X$15,ROW(AU130)-ROW(AU$15),0),
ROUND(ROUND(OFFSET($P130,0,AU$13),15-13*ORÇAMENTO!$AF$7)*OFFSET(ORÇAMENTO!$W$15,ROW(AU130)-ROW(AU$15),0),15-13*ORÇAMENTO!$AF$11)),0)</f>
        <v>0</v>
      </c>
      <c r="AV130" s="545">
        <f ca="1">IF(AND($D130="Serviço",AV$12&lt;&gt;0,$H130&gt;0,OR(AUTOEVENTO&lt;&gt;"manual",$M130&lt;&gt;1)),
IF(Import.TipoArredondamento&lt;&gt;"TransfereGOV",
ROUND(OFFSET($P130,0,AV$13),15-13*ORÇAMENTO!$AF$7)/$H130*OFFSET(ORÇAMENTO!$X$15,ROW(AV130)-ROW(AV$15),0),
ROUND(ROUND(OFFSET($P130,0,AV$13),15-13*ORÇAMENTO!$AF$7)*OFFSET(ORÇAMENTO!$W$15,ROW(AV130)-ROW(AV$15),0),15-13*ORÇAMENTO!$AF$11)),0)</f>
        <v>0</v>
      </c>
      <c r="AW130" s="545">
        <f ca="1">IF(AND($D130="Serviço",AW$12&lt;&gt;0,$H130&gt;0,OR(AUTOEVENTO&lt;&gt;"manual",$M130&lt;&gt;1)),
IF(Import.TipoArredondamento&lt;&gt;"TransfereGOV",
ROUND(OFFSET($P130,0,AW$13),15-13*ORÇAMENTO!$AF$7)/$H130*OFFSET(ORÇAMENTO!$X$15,ROW(AW130)-ROW(AW$15),0),
ROUND(ROUND(OFFSET($P130,0,AW$13),15-13*ORÇAMENTO!$AF$7)*OFFSET(ORÇAMENTO!$W$15,ROW(AW130)-ROW(AW$15),0),15-13*ORÇAMENTO!$AF$11)),0)</f>
        <v>0</v>
      </c>
      <c r="AX130" s="545">
        <f ca="1">IF(AND($D130="Serviço",AX$12&lt;&gt;0,$H130&gt;0,OR(AUTOEVENTO&lt;&gt;"manual",$M130&lt;&gt;1)),
IF(Import.TipoArredondamento&lt;&gt;"TransfereGOV",
ROUND(OFFSET($P130,0,AX$13),15-13*ORÇAMENTO!$AF$7)/$H130*OFFSET(ORÇAMENTO!$X$15,ROW(AX130)-ROW(AX$15),0),
ROUND(ROUND(OFFSET($P130,0,AX$13),15-13*ORÇAMENTO!$AF$7)*OFFSET(ORÇAMENTO!$W$15,ROW(AX130)-ROW(AX$15),0),15-13*ORÇAMENTO!$AF$11)),0)</f>
        <v>0</v>
      </c>
      <c r="AY130" s="545">
        <f ca="1">IF(AND($D130="Serviço",AY$12&lt;&gt;0,$H130&gt;0,OR(AUTOEVENTO&lt;&gt;"manual",$M130&lt;&gt;1)),
IF(Import.TipoArredondamento&lt;&gt;"TransfereGOV",
ROUND(OFFSET($P130,0,AY$13),15-13*ORÇAMENTO!$AF$7)/$H130*OFFSET(ORÇAMENTO!$X$15,ROW(AY130)-ROW(AY$15),0),
ROUND(ROUND(OFFSET($P130,0,AY$13),15-13*ORÇAMENTO!$AF$7)*OFFSET(ORÇAMENTO!$W$15,ROW(AY130)-ROW(AY$15),0),15-13*ORÇAMENTO!$AF$11)),0)</f>
        <v>0</v>
      </c>
      <c r="AZ130" s="545">
        <f ca="1">IF(AND($D130="Serviço",AZ$12&lt;&gt;0,$H130&gt;0,OR(AUTOEVENTO&lt;&gt;"manual",$M130&lt;&gt;1)),
IF(Import.TipoArredondamento&lt;&gt;"TransfereGOV",
ROUND(OFFSET($P130,0,AZ$13),15-13*ORÇAMENTO!$AF$7)/$H130*OFFSET(ORÇAMENTO!$X$15,ROW(AZ130)-ROW(AZ$15),0),
ROUND(ROUND(OFFSET($P130,0,AZ$13),15-13*ORÇAMENTO!$AF$7)*OFFSET(ORÇAMENTO!$W$15,ROW(AZ130)-ROW(AZ$15),0),15-13*ORÇAMENTO!$AF$11)),0)</f>
        <v>0</v>
      </c>
      <c r="BA130" s="546">
        <f ca="1">IF(AND($D130="Serviço",BA$12&lt;&gt;0,$H130&gt;0,OR(AUTOEVENTO&lt;&gt;"manual",$M130&lt;&gt;1)),
IF(Import.TipoArredondamento&lt;&gt;"TransfereGOV",
ROUND(OFFSET($P130,0,BA$13),15-13*ORÇAMENTO!$AF$7)/$H130*OFFSET(ORÇAMENTO!$X$15,ROW(BA130)-ROW(BA$15),0),
ROUND(ROUND(OFFSET($P130,0,BA$13),15-13*ORÇAMENTO!$AF$7)*OFFSET(ORÇAMENTO!$W$15,ROW(BA130)-ROW(BA$15),0),15-13*ORÇAMENTO!$AF$11)),0)</f>
        <v>0</v>
      </c>
      <c r="BC130" s="181">
        <f ca="1">IF($D130&lt;&gt;"Serviço",0,IF(AND(AUTOEVENTO="Manual",$M130=1),0,IF(OFFSET(CRONOPLE!$F$14,$M130,BC$13)="",10^12,OFFSET(CRONOPLE!$F$14,$M130,BC$13))))</f>
        <v>5</v>
      </c>
      <c r="BD130" s="181">
        <f ca="1">IF($D130&lt;&gt;"Serviço",0,IF(AND(AUTOEVENTO="Manual",$M130=1),0,IF(OFFSET(CRONOPLE!$F$14,$M130,BD$13)="",10^12,OFFSET(CRONOPLE!$F$14,$M130,BD$13))))</f>
        <v>1000000000000</v>
      </c>
      <c r="BE130" s="181">
        <f ca="1">IF($D130&lt;&gt;"Serviço",0,IF(AND(AUTOEVENTO="Manual",$M130=1),0,IF(OFFSET(CRONOPLE!$F$14,$M130,BE$13)="",10^12,OFFSET(CRONOPLE!$F$14,$M130,BE$13))))</f>
        <v>1000000000000</v>
      </c>
      <c r="BF130" s="181">
        <f ca="1">IF($D130&lt;&gt;"Serviço",0,IF(AND(AUTOEVENTO="Manual",$M130=1),0,IF(OFFSET(CRONOPLE!$F$14,$M130,BF$13)="",10^12,OFFSET(CRONOPLE!$F$14,$M130,BF$13))))</f>
        <v>1000000000000</v>
      </c>
      <c r="BG130" s="181">
        <f ca="1">IF($D130&lt;&gt;"Serviço",0,IF(AND(AUTOEVENTO="Manual",$M130=1),0,IF(OFFSET(CRONOPLE!$F$14,$M130,BG$13)="",10^12,OFFSET(CRONOPLE!$F$14,$M130,BG$13))))</f>
        <v>1000000000000</v>
      </c>
      <c r="BH130" s="181">
        <f ca="1">IF($D130&lt;&gt;"Serviço",0,IF(AND(AUTOEVENTO="Manual",$M130=1),0,IF(OFFSET(CRONOPLE!$F$14,$M130,BH$13)="",10^12,OFFSET(CRONOPLE!$F$14,$M130,BH$13))))</f>
        <v>1000000000000</v>
      </c>
      <c r="BI130" s="181">
        <f ca="1">IF($D130&lt;&gt;"Serviço",0,IF(AND(AUTOEVENTO="Manual",$M130=1),0,IF(OFFSET(CRONOPLE!$F$14,$M130,BI$13)="",10^12,OFFSET(CRONOPLE!$F$14,$M130,BI$13))))</f>
        <v>1000000000000</v>
      </c>
      <c r="BJ130" s="181">
        <f ca="1">IF($D130&lt;&gt;"Serviço",0,IF(AND(AUTOEVENTO="Manual",$M130=1),0,IF(OFFSET(CRONOPLE!$F$14,$M130,BJ$13)="",10^12,OFFSET(CRONOPLE!$F$14,$M130,BJ$13))))</f>
        <v>1000000000000</v>
      </c>
      <c r="BK130" s="181">
        <f ca="1">IF($D130&lt;&gt;"Serviço",0,IF(AND(AUTOEVENTO="Manual",$M130=1),0,IF(OFFSET(CRONOPLE!$F$14,$M130,BK$13)="",10^12,OFFSET(CRONOPLE!$F$14,$M130,BK$13))))</f>
        <v>1000000000000</v>
      </c>
      <c r="BL130" s="181">
        <f ca="1">IF($D130&lt;&gt;"Serviço",0,IF(AND(AUTOEVENTO="Manual",$M130=1),0,IF(OFFSET(CRONOPLE!$F$14,$M130,BL$13)="",10^12,OFFSET(CRONOPLE!$F$14,$M130,BL$13))))</f>
        <v>1000000000000</v>
      </c>
      <c r="BM130" s="181">
        <f ca="1">IF($D130&lt;&gt;"Serviço",0,IF(AND(AUTOEVENTO="Manual",$M130=1),0,IF(OFFSET(CRONOPLE!$F$14,$M130,BM$13)="",10^12,OFFSET(CRONOPLE!$F$14,$M130,BM$13))))</f>
        <v>1000000000000</v>
      </c>
      <c r="BN130" s="181">
        <f ca="1">IF($D130&lt;&gt;"Serviço",0,IF(AND(AUTOEVENTO="Manual",$M130=1),0,IF(OFFSET(CRONOPLE!$F$14,$M130,BN$13)="",10^12,OFFSET(CRONOPLE!$F$14,$M130,BN$13))))</f>
        <v>1000000000000</v>
      </c>
      <c r="BO130" s="181">
        <f ca="1">IF($D130&lt;&gt;"Serviço",0,IF(AND(AUTOEVENTO="Manual",$M130=1),0,IF(OFFSET(CRONOPLE!$F$14,$M130,BO$13)="",10^12,OFFSET(CRONOPLE!$F$14,$M130,BO$13))))</f>
        <v>1000000000000</v>
      </c>
      <c r="BP130" s="181">
        <f ca="1">IF($D130&lt;&gt;"Serviço",0,IF(AND(AUTOEVENTO="Manual",$M130=1),0,IF(OFFSET(CRONOPLE!$F$14,$M130,BP$13)="",10^12,OFFSET(CRONOPLE!$F$14,$M130,BP$13))))</f>
        <v>1000000000000</v>
      </c>
      <c r="BQ130" s="181">
        <f ca="1">IF($D130&lt;&gt;"Serviço",0,IF(AND(AUTOEVENTO="Manual",$M130=1),0,IF(OFFSET(CRONOPLE!$F$14,$M130,BQ$13)="",10^12,OFFSET(CRONOPLE!$F$14,$M130,BQ$13))))</f>
        <v>1000000000000</v>
      </c>
      <c r="BR130" s="181">
        <f ca="1">IF($D130&lt;&gt;"Serviço",0,IF(AND(AUTOEVENTO="Manual",$M130=1),0,IF(OFFSET(CRONOPLE!$F$14,$M130,BR$13)="",10^12,OFFSET(CRONOPLE!$F$14,$M130,BR$13))))</f>
        <v>1000000000000</v>
      </c>
      <c r="BS130" s="181">
        <f ca="1">IF($D130&lt;&gt;"Serviço",0,IF(AND(AUTOEVENTO="Manual",$M130=1),0,IF(OFFSET(CRONOPLE!$F$14,$M130,BS$13)="",10^12,OFFSET(CRONOPLE!$F$14,$M130,BS$13))))</f>
        <v>1000000000000</v>
      </c>
      <c r="BT130" s="181">
        <f ca="1">IF($D130&lt;&gt;"Serviço",0,IF(AND(AUTOEVENTO="Manual",$M130=1),0,IF(OFFSET(CRONOPLE!$F$14,$M130,BT$13)="",10^12,OFFSET(CRONOPLE!$F$14,$M130,BT$13))))</f>
        <v>1000000000000</v>
      </c>
      <c r="BV130" s="182">
        <f ca="1">IF($D130&lt;&gt;"Serviço",0,IF(OR(AND(AUTOEVENTO="Manual",$M130=1),$M130&gt;(ROW(PLE.lastrow)-ROW(PLE.firstrow))),0,IF(OFFSET(PLE!$G$14,$M130,BV$13)="",10^12,OFFSET(PLE!$G$14,$M130,BV$13))))</f>
        <v>1000000000000</v>
      </c>
      <c r="BW130" s="182">
        <f ca="1">IF($D130&lt;&gt;"Serviço",0,IF(OR(AND(AUTOEVENTO="Manual",$M130=1),$M130&gt;(ROW(PLE.lastrow)-ROW(PLE.firstrow))),0,IF(OFFSET(PLE!$G$14,$M130,BW$13)="",10^12,OFFSET(PLE!$G$14,$M130,BW$13))))</f>
        <v>1000000000000</v>
      </c>
      <c r="BX130" s="182">
        <f ca="1">IF($D130&lt;&gt;"Serviço",0,IF(OR(AND(AUTOEVENTO="Manual",$M130=1),$M130&gt;(ROW(PLE.lastrow)-ROW(PLE.firstrow))),0,IF(OFFSET(PLE!$G$14,$M130,BX$13)="",10^12,OFFSET(PLE!$G$14,$M130,BX$13))))</f>
        <v>1000000000000</v>
      </c>
      <c r="BY130" s="182">
        <f ca="1">IF($D130&lt;&gt;"Serviço",0,IF(OR(AND(AUTOEVENTO="Manual",$M130=1),$M130&gt;(ROW(PLE.lastrow)-ROW(PLE.firstrow))),0,IF(OFFSET(PLE!$G$14,$M130,BY$13)="",10^12,OFFSET(PLE!$G$14,$M130,BY$13))))</f>
        <v>1000000000000</v>
      </c>
      <c r="BZ130" s="182">
        <f ca="1">IF($D130&lt;&gt;"Serviço",0,IF(OR(AND(AUTOEVENTO="Manual",$M130=1),$M130&gt;(ROW(PLE.lastrow)-ROW(PLE.firstrow))),0,IF(OFFSET(PLE!$G$14,$M130,BZ$13)="",10^12,OFFSET(PLE!$G$14,$M130,BZ$13))))</f>
        <v>1000000000000</v>
      </c>
      <c r="CA130" s="182">
        <f ca="1">IF($D130&lt;&gt;"Serviço",0,IF(OR(AND(AUTOEVENTO="Manual",$M130=1),$M130&gt;(ROW(PLE.lastrow)-ROW(PLE.firstrow))),0,IF(OFFSET(PLE!$G$14,$M130,CA$13)="",10^12,OFFSET(PLE!$G$14,$M130,CA$13))))</f>
        <v>1000000000000</v>
      </c>
      <c r="CB130" s="182">
        <f ca="1">IF($D130&lt;&gt;"Serviço",0,IF(OR(AND(AUTOEVENTO="Manual",$M130=1),$M130&gt;(ROW(PLE.lastrow)-ROW(PLE.firstrow))),0,IF(OFFSET(PLE!$G$14,$M130,CB$13)="",10^12,OFFSET(PLE!$G$14,$M130,CB$13))))</f>
        <v>1000000000000</v>
      </c>
      <c r="CC130" s="182">
        <f ca="1">IF($D130&lt;&gt;"Serviço",0,IF(OR(AND(AUTOEVENTO="Manual",$M130=1),$M130&gt;(ROW(PLE.lastrow)-ROW(PLE.firstrow))),0,IF(OFFSET(PLE!$G$14,$M130,CC$13)="",10^12,OFFSET(PLE!$G$14,$M130,CC$13))))</f>
        <v>1000000000000</v>
      </c>
      <c r="CD130" s="182">
        <f ca="1">IF($D130&lt;&gt;"Serviço",0,IF(OR(AND(AUTOEVENTO="Manual",$M130=1),$M130&gt;(ROW(PLE.lastrow)-ROW(PLE.firstrow))),0,IF(OFFSET(PLE!$G$14,$M130,CD$13)="",10^12,OFFSET(PLE!$G$14,$M130,CD$13))))</f>
        <v>1000000000000</v>
      </c>
      <c r="CE130" s="182">
        <f ca="1">IF($D130&lt;&gt;"Serviço",0,IF(OR(AND(AUTOEVENTO="Manual",$M130=1),$M130&gt;(ROW(PLE.lastrow)-ROW(PLE.firstrow))),0,IF(OFFSET(PLE!$G$14,$M130,CE$13)="",10^12,OFFSET(PLE!$G$14,$M130,CE$13))))</f>
        <v>1000000000000</v>
      </c>
      <c r="CF130" s="182">
        <f ca="1">IF($D130&lt;&gt;"Serviço",0,IF(OR(AND(AUTOEVENTO="Manual",$M130=1),$M130&gt;(ROW(PLE.lastrow)-ROW(PLE.firstrow))),0,IF(OFFSET(PLE!$G$14,$M130,CF$13)="",10^12,OFFSET(PLE!$G$14,$M130,CF$13))))</f>
        <v>1000000000000</v>
      </c>
      <c r="CG130" s="182">
        <f ca="1">IF($D130&lt;&gt;"Serviço",0,IF(OR(AND(AUTOEVENTO="Manual",$M130=1),$M130&gt;(ROW(PLE.lastrow)-ROW(PLE.firstrow))),0,IF(OFFSET(PLE!$G$14,$M130,CG$13)="",10^12,OFFSET(PLE!$G$14,$M130,CG$13))))</f>
        <v>1000000000000</v>
      </c>
      <c r="CH130" s="182">
        <f ca="1">IF($D130&lt;&gt;"Serviço",0,IF(OR(AND(AUTOEVENTO="Manual",$M130=1),$M130&gt;(ROW(PLE.lastrow)-ROW(PLE.firstrow))),0,IF(OFFSET(PLE!$G$14,$M130,CH$13)="",10^12,OFFSET(PLE!$G$14,$M130,CH$13))))</f>
        <v>1000000000000</v>
      </c>
      <c r="CI130" s="182">
        <f ca="1">IF($D130&lt;&gt;"Serviço",0,IF(OR(AND(AUTOEVENTO="Manual",$M130=1),$M130&gt;(ROW(PLE.lastrow)-ROW(PLE.firstrow))),0,IF(OFFSET(PLE!$G$14,$M130,CI$13)="",10^12,OFFSET(PLE!$G$14,$M130,CI$13))))</f>
        <v>1000000000000</v>
      </c>
      <c r="CJ130" s="182">
        <f ca="1">IF($D130&lt;&gt;"Serviço",0,IF(OR(AND(AUTOEVENTO="Manual",$M130=1),$M130&gt;(ROW(PLE.lastrow)-ROW(PLE.firstrow))),0,IF(OFFSET(PLE!$G$14,$M130,CJ$13)="",10^12,OFFSET(PLE!$G$14,$M130,CJ$13))))</f>
        <v>1000000000000</v>
      </c>
      <c r="CK130" s="182">
        <f ca="1">IF($D130&lt;&gt;"Serviço",0,IF(OR(AND(AUTOEVENTO="Manual",$M130=1),$M130&gt;(ROW(PLE.lastrow)-ROW(PLE.firstrow))),0,IF(OFFSET(PLE!$G$14,$M130,CK$13)="",10^12,OFFSET(PLE!$G$14,$M130,CK$13))))</f>
        <v>1000000000000</v>
      </c>
      <c r="CL130" s="182">
        <f ca="1">IF($D130&lt;&gt;"Serviço",0,IF(OR(AND(AUTOEVENTO="Manual",$M130=1),$M130&gt;(ROW(PLE.lastrow)-ROW(PLE.firstrow))),0,IF(OFFSET(PLE!$G$14,$M130,CL$13)="",10^12,OFFSET(PLE!$G$14,$M130,CL$13))))</f>
        <v>1000000000000</v>
      </c>
      <c r="CM130" s="182">
        <f ca="1">IF($D130&lt;&gt;"Serviço",0,IF(OR(AND(AUTOEVENTO="Manual",$M130=1),$M130&gt;(ROW(PLE.lastrow)-ROW(PLE.firstrow))),0,IF(OFFSET(PLE!$G$14,$M130,CM$13)="",10^12,OFFSET(PLE!$G$14,$M130,CM$13))))</f>
        <v>1000000000000</v>
      </c>
    </row>
    <row r="131" spans="1:91" ht="51" x14ac:dyDescent="0.2">
      <c r="A131" s="7" t="str">
        <f t="shared" ca="1" si="11"/>
        <v>111</v>
      </c>
      <c r="B131" s="7" t="str">
        <f ca="1">OFFSET(ORÇAMENTO!C$15,ROW(B131)-ROW(B$15),0)</f>
        <v>S</v>
      </c>
      <c r="C131" s="7" t="str">
        <f ca="1">OFFSET(ORÇAMENTO!L$15,ROW(C131)-ROW(C$15),0)</f>
        <v/>
      </c>
      <c r="D131" s="118" t="str">
        <f ca="1">OFFSET(ORÇAMENTO!N$15,ROW(D131)-ROW(D$15),0)</f>
        <v>Serviço</v>
      </c>
      <c r="E131" s="119" t="str">
        <f ca="1">OFFSET(ORÇAMENTO!O$15,ROW(E131)-ROW(E$15),0)</f>
        <v>-</v>
      </c>
      <c r="F131" s="172" t="str">
        <f ca="1">OFFSET(ORÇAMENTO!R$15,ROW(F131)-ROW(F$15),0)</f>
        <v>(abra o arquivo 'Referência 06-2024.xlsm)</v>
      </c>
      <c r="G131" s="173" t="str">
        <f ca="1">IF($D131&lt;&gt;"Serviço","",OFFSET(ORÇAMENTO!S$15,ROW(G131)-ROW(G$15),0))</f>
        <v>-</v>
      </c>
      <c r="H131" s="124">
        <f ca="1">IF($D131&lt;&gt;"Serviço",0,IF(ACOMPANHAMENTO="BM",ROUND(OFFSET(ORÇAMENTO!AJ$15,ROW(H131)-ROW(H$15),0),15-13*ORÇAMENTO!$AF$7),SUMPRODUCT(($Q$12:$AI$12&lt;&gt;"")*ROUND($Q131:$AI131,15-13*ORÇAMENTO!$AF$7))))</f>
        <v>5.04</v>
      </c>
      <c r="I131" s="561" t="s">
        <v>1107</v>
      </c>
      <c r="K131" s="174"/>
      <c r="L131" s="175" t="s">
        <v>255</v>
      </c>
      <c r="M131" s="176">
        <f ca="1">IF($D131&lt;&gt;"Serviço","",IF(AUTOEVENTO="manual",$A131,IF(ISERROR(MATCH($A131,$A$15:OFFSET($A131,-1,0),0)),MAX($M$15:OFFSET(M131,-1,0))+1,INDEX($M$15:OFFSET(M131,-1,0),MATCH($A131,$A$15:OFFSET($A131,-1,0),0)))))</f>
        <v>21</v>
      </c>
      <c r="N131" s="177" t="str">
        <f ca="1">IF($D131&lt;&gt;"Serviço","",IF(AUTOEVENTO="Manual",IF($A131=0,"&lt;-- defina o número do agrupador",OFFSET(EVENTOS!$D$14,$A131,0)),OFFSET($F$15,$A131,0)))</f>
        <v>ESQUADRIAS - PORTAS EM ALUMÍNIO</v>
      </c>
      <c r="O131" s="178"/>
      <c r="Q131" s="178">
        <v>5.04</v>
      </c>
      <c r="R131" s="179"/>
      <c r="S131" s="179"/>
      <c r="T131" s="179"/>
      <c r="U131" s="179"/>
      <c r="V131" s="179"/>
      <c r="W131" s="179"/>
      <c r="X131" s="179"/>
      <c r="Y131" s="179"/>
      <c r="Z131" s="180"/>
      <c r="AA131" s="179"/>
      <c r="AB131" s="179"/>
      <c r="AC131" s="179"/>
      <c r="AD131" s="179"/>
      <c r="AE131" s="179"/>
      <c r="AF131" s="179"/>
      <c r="AG131" s="179"/>
      <c r="AH131" s="180"/>
      <c r="AJ131" s="544">
        <f ca="1">IF(AND($D131="Serviço",AJ$12&lt;&gt;0,$H131&gt;0,OR(AUTOEVENTO&lt;&gt;"manual",$M131&lt;&gt;1)),
IF(Import.TipoArredondamento&lt;&gt;"TransfereGOV",
ROUND(OFFSET($P131,0,AJ$13),15-13*ORÇAMENTO!$AF$7)/$H131*OFFSET(ORÇAMENTO!$X$15,ROW(AJ131)-ROW(AJ$15),0),
ROUND(ROUND(OFFSET($P131,0,AJ$13),15-13*ORÇAMENTO!$AF$7)*OFFSET(ORÇAMENTO!$W$15,ROW(AJ131)-ROW(AJ$15),0),15-13*ORÇAMENTO!$AF$11)),0)</f>
        <v>0</v>
      </c>
      <c r="AK131" s="545">
        <f ca="1">IF(AND($D131="Serviço",AK$12&lt;&gt;0,$H131&gt;0,OR(AUTOEVENTO&lt;&gt;"manual",$M131&lt;&gt;1)),
IF(Import.TipoArredondamento&lt;&gt;"TransfereGOV",
ROUND(OFFSET($P131,0,AK$13),15-13*ORÇAMENTO!$AF$7)/$H131*OFFSET(ORÇAMENTO!$X$15,ROW(AK131)-ROW(AK$15),0),
ROUND(ROUND(OFFSET($P131,0,AK$13),15-13*ORÇAMENTO!$AF$7)*OFFSET(ORÇAMENTO!$W$15,ROW(AK131)-ROW(AK$15),0),15-13*ORÇAMENTO!$AF$11)),0)</f>
        <v>0</v>
      </c>
      <c r="AL131" s="545">
        <f ca="1">IF(AND($D131="Serviço",AL$12&lt;&gt;0,$H131&gt;0,OR(AUTOEVENTO&lt;&gt;"manual",$M131&lt;&gt;1)),
IF(Import.TipoArredondamento&lt;&gt;"TransfereGOV",
ROUND(OFFSET($P131,0,AL$13),15-13*ORÇAMENTO!$AF$7)/$H131*OFFSET(ORÇAMENTO!$X$15,ROW(AL131)-ROW(AL$15),0),
ROUND(ROUND(OFFSET($P131,0,AL$13),15-13*ORÇAMENTO!$AF$7)*OFFSET(ORÇAMENTO!$W$15,ROW(AL131)-ROW(AL$15),0),15-13*ORÇAMENTO!$AF$11)),0)</f>
        <v>0</v>
      </c>
      <c r="AM131" s="545">
        <f ca="1">IF(AND($D131="Serviço",AM$12&lt;&gt;0,$H131&gt;0,OR(AUTOEVENTO&lt;&gt;"manual",$M131&lt;&gt;1)),
IF(Import.TipoArredondamento&lt;&gt;"TransfereGOV",
ROUND(OFFSET($P131,0,AM$13),15-13*ORÇAMENTO!$AF$7)/$H131*OFFSET(ORÇAMENTO!$X$15,ROW(AM131)-ROW(AM$15),0),
ROUND(ROUND(OFFSET($P131,0,AM$13),15-13*ORÇAMENTO!$AF$7)*OFFSET(ORÇAMENTO!$W$15,ROW(AM131)-ROW(AM$15),0),15-13*ORÇAMENTO!$AF$11)),0)</f>
        <v>0</v>
      </c>
      <c r="AN131" s="545">
        <f ca="1">IF(AND($D131="Serviço",AN$12&lt;&gt;0,$H131&gt;0,OR(AUTOEVENTO&lt;&gt;"manual",$M131&lt;&gt;1)),
IF(Import.TipoArredondamento&lt;&gt;"TransfereGOV",
ROUND(OFFSET($P131,0,AN$13),15-13*ORÇAMENTO!$AF$7)/$H131*OFFSET(ORÇAMENTO!$X$15,ROW(AN131)-ROW(AN$15),0),
ROUND(ROUND(OFFSET($P131,0,AN$13),15-13*ORÇAMENTO!$AF$7)*OFFSET(ORÇAMENTO!$W$15,ROW(AN131)-ROW(AN$15),0),15-13*ORÇAMENTO!$AF$11)),0)</f>
        <v>0</v>
      </c>
      <c r="AO131" s="545">
        <f ca="1">IF(AND($D131="Serviço",AO$12&lt;&gt;0,$H131&gt;0,OR(AUTOEVENTO&lt;&gt;"manual",$M131&lt;&gt;1)),
IF(Import.TipoArredondamento&lt;&gt;"TransfereGOV",
ROUND(OFFSET($P131,0,AO$13),15-13*ORÇAMENTO!$AF$7)/$H131*OFFSET(ORÇAMENTO!$X$15,ROW(AO131)-ROW(AO$15),0),
ROUND(ROUND(OFFSET($P131,0,AO$13),15-13*ORÇAMENTO!$AF$7)*OFFSET(ORÇAMENTO!$W$15,ROW(AO131)-ROW(AO$15),0),15-13*ORÇAMENTO!$AF$11)),0)</f>
        <v>0</v>
      </c>
      <c r="AP131" s="545">
        <f ca="1">IF(AND($D131="Serviço",AP$12&lt;&gt;0,$H131&gt;0,OR(AUTOEVENTO&lt;&gt;"manual",$M131&lt;&gt;1)),
IF(Import.TipoArredondamento&lt;&gt;"TransfereGOV",
ROUND(OFFSET($P131,0,AP$13),15-13*ORÇAMENTO!$AF$7)/$H131*OFFSET(ORÇAMENTO!$X$15,ROW(AP131)-ROW(AP$15),0),
ROUND(ROUND(OFFSET($P131,0,AP$13),15-13*ORÇAMENTO!$AF$7)*OFFSET(ORÇAMENTO!$W$15,ROW(AP131)-ROW(AP$15),0),15-13*ORÇAMENTO!$AF$11)),0)</f>
        <v>0</v>
      </c>
      <c r="AQ131" s="545">
        <f ca="1">IF(AND($D131="Serviço",AQ$12&lt;&gt;0,$H131&gt;0,OR(AUTOEVENTO&lt;&gt;"manual",$M131&lt;&gt;1)),
IF(Import.TipoArredondamento&lt;&gt;"TransfereGOV",
ROUND(OFFSET($P131,0,AQ$13),15-13*ORÇAMENTO!$AF$7)/$H131*OFFSET(ORÇAMENTO!$X$15,ROW(AQ131)-ROW(AQ$15),0),
ROUND(ROUND(OFFSET($P131,0,AQ$13),15-13*ORÇAMENTO!$AF$7)*OFFSET(ORÇAMENTO!$W$15,ROW(AQ131)-ROW(AQ$15),0),15-13*ORÇAMENTO!$AF$11)),0)</f>
        <v>0</v>
      </c>
      <c r="AR131" s="545">
        <f ca="1">IF(AND($D131="Serviço",AR$12&lt;&gt;0,$H131&gt;0,OR(AUTOEVENTO&lt;&gt;"manual",$M131&lt;&gt;1)),
IF(Import.TipoArredondamento&lt;&gt;"TransfereGOV",
ROUND(OFFSET($P131,0,AR$13),15-13*ORÇAMENTO!$AF$7)/$H131*OFFSET(ORÇAMENTO!$X$15,ROW(AR131)-ROW(AR$15),0),
ROUND(ROUND(OFFSET($P131,0,AR$13),15-13*ORÇAMENTO!$AF$7)*OFFSET(ORÇAMENTO!$W$15,ROW(AR131)-ROW(AR$15),0),15-13*ORÇAMENTO!$AF$11)),0)</f>
        <v>0</v>
      </c>
      <c r="AS131" s="546">
        <f ca="1">IF(AND($D131="Serviço",AS$12&lt;&gt;0,$H131&gt;0,OR(AUTOEVENTO&lt;&gt;"manual",$M131&lt;&gt;1)),
IF(Import.TipoArredondamento&lt;&gt;"TransfereGOV",
ROUND(OFFSET($P131,0,AS$13),15-13*ORÇAMENTO!$AF$7)/$H131*OFFSET(ORÇAMENTO!$X$15,ROW(AS131)-ROW(AS$15),0),
ROUND(ROUND(OFFSET($P131,0,AS$13),15-13*ORÇAMENTO!$AF$7)*OFFSET(ORÇAMENTO!$W$15,ROW(AS131)-ROW(AS$15),0),15-13*ORÇAMENTO!$AF$11)),0)</f>
        <v>0</v>
      </c>
      <c r="AT131" s="545">
        <f ca="1">IF(AND($D131="Serviço",AT$12&lt;&gt;0,$H131&gt;0,OR(AUTOEVENTO&lt;&gt;"manual",$M131&lt;&gt;1)),
IF(Import.TipoArredondamento&lt;&gt;"TransfereGOV",
ROUND(OFFSET($P131,0,AT$13),15-13*ORÇAMENTO!$AF$7)/$H131*OFFSET(ORÇAMENTO!$X$15,ROW(AT131)-ROW(AT$15),0),
ROUND(ROUND(OFFSET($P131,0,AT$13),15-13*ORÇAMENTO!$AF$7)*OFFSET(ORÇAMENTO!$W$15,ROW(AT131)-ROW(AT$15),0),15-13*ORÇAMENTO!$AF$11)),0)</f>
        <v>0</v>
      </c>
      <c r="AU131" s="545">
        <f ca="1">IF(AND($D131="Serviço",AU$12&lt;&gt;0,$H131&gt;0,OR(AUTOEVENTO&lt;&gt;"manual",$M131&lt;&gt;1)),
IF(Import.TipoArredondamento&lt;&gt;"TransfereGOV",
ROUND(OFFSET($P131,0,AU$13),15-13*ORÇAMENTO!$AF$7)/$H131*OFFSET(ORÇAMENTO!$X$15,ROW(AU131)-ROW(AU$15),0),
ROUND(ROUND(OFFSET($P131,0,AU$13),15-13*ORÇAMENTO!$AF$7)*OFFSET(ORÇAMENTO!$W$15,ROW(AU131)-ROW(AU$15),0),15-13*ORÇAMENTO!$AF$11)),0)</f>
        <v>0</v>
      </c>
      <c r="AV131" s="545">
        <f ca="1">IF(AND($D131="Serviço",AV$12&lt;&gt;0,$H131&gt;0,OR(AUTOEVENTO&lt;&gt;"manual",$M131&lt;&gt;1)),
IF(Import.TipoArredondamento&lt;&gt;"TransfereGOV",
ROUND(OFFSET($P131,0,AV$13),15-13*ORÇAMENTO!$AF$7)/$H131*OFFSET(ORÇAMENTO!$X$15,ROW(AV131)-ROW(AV$15),0),
ROUND(ROUND(OFFSET($P131,0,AV$13),15-13*ORÇAMENTO!$AF$7)*OFFSET(ORÇAMENTO!$W$15,ROW(AV131)-ROW(AV$15),0),15-13*ORÇAMENTO!$AF$11)),0)</f>
        <v>0</v>
      </c>
      <c r="AW131" s="545">
        <f ca="1">IF(AND($D131="Serviço",AW$12&lt;&gt;0,$H131&gt;0,OR(AUTOEVENTO&lt;&gt;"manual",$M131&lt;&gt;1)),
IF(Import.TipoArredondamento&lt;&gt;"TransfereGOV",
ROUND(OFFSET($P131,0,AW$13),15-13*ORÇAMENTO!$AF$7)/$H131*OFFSET(ORÇAMENTO!$X$15,ROW(AW131)-ROW(AW$15),0),
ROUND(ROUND(OFFSET($P131,0,AW$13),15-13*ORÇAMENTO!$AF$7)*OFFSET(ORÇAMENTO!$W$15,ROW(AW131)-ROW(AW$15),0),15-13*ORÇAMENTO!$AF$11)),0)</f>
        <v>0</v>
      </c>
      <c r="AX131" s="545">
        <f ca="1">IF(AND($D131="Serviço",AX$12&lt;&gt;0,$H131&gt;0,OR(AUTOEVENTO&lt;&gt;"manual",$M131&lt;&gt;1)),
IF(Import.TipoArredondamento&lt;&gt;"TransfereGOV",
ROUND(OFFSET($P131,0,AX$13),15-13*ORÇAMENTO!$AF$7)/$H131*OFFSET(ORÇAMENTO!$X$15,ROW(AX131)-ROW(AX$15),0),
ROUND(ROUND(OFFSET($P131,0,AX$13),15-13*ORÇAMENTO!$AF$7)*OFFSET(ORÇAMENTO!$W$15,ROW(AX131)-ROW(AX$15),0),15-13*ORÇAMENTO!$AF$11)),0)</f>
        <v>0</v>
      </c>
      <c r="AY131" s="545">
        <f ca="1">IF(AND($D131="Serviço",AY$12&lt;&gt;0,$H131&gt;0,OR(AUTOEVENTO&lt;&gt;"manual",$M131&lt;&gt;1)),
IF(Import.TipoArredondamento&lt;&gt;"TransfereGOV",
ROUND(OFFSET($P131,0,AY$13),15-13*ORÇAMENTO!$AF$7)/$H131*OFFSET(ORÇAMENTO!$X$15,ROW(AY131)-ROW(AY$15),0),
ROUND(ROUND(OFFSET($P131,0,AY$13),15-13*ORÇAMENTO!$AF$7)*OFFSET(ORÇAMENTO!$W$15,ROW(AY131)-ROW(AY$15),0),15-13*ORÇAMENTO!$AF$11)),0)</f>
        <v>0</v>
      </c>
      <c r="AZ131" s="545">
        <f ca="1">IF(AND($D131="Serviço",AZ$12&lt;&gt;0,$H131&gt;0,OR(AUTOEVENTO&lt;&gt;"manual",$M131&lt;&gt;1)),
IF(Import.TipoArredondamento&lt;&gt;"TransfereGOV",
ROUND(OFFSET($P131,0,AZ$13),15-13*ORÇAMENTO!$AF$7)/$H131*OFFSET(ORÇAMENTO!$X$15,ROW(AZ131)-ROW(AZ$15),0),
ROUND(ROUND(OFFSET($P131,0,AZ$13),15-13*ORÇAMENTO!$AF$7)*OFFSET(ORÇAMENTO!$W$15,ROW(AZ131)-ROW(AZ$15),0),15-13*ORÇAMENTO!$AF$11)),0)</f>
        <v>0</v>
      </c>
      <c r="BA131" s="546">
        <f ca="1">IF(AND($D131="Serviço",BA$12&lt;&gt;0,$H131&gt;0,OR(AUTOEVENTO&lt;&gt;"manual",$M131&lt;&gt;1)),
IF(Import.TipoArredondamento&lt;&gt;"TransfereGOV",
ROUND(OFFSET($P131,0,BA$13),15-13*ORÇAMENTO!$AF$7)/$H131*OFFSET(ORÇAMENTO!$X$15,ROW(BA131)-ROW(BA$15),0),
ROUND(ROUND(OFFSET($P131,0,BA$13),15-13*ORÇAMENTO!$AF$7)*OFFSET(ORÇAMENTO!$W$15,ROW(BA131)-ROW(BA$15),0),15-13*ORÇAMENTO!$AF$11)),0)</f>
        <v>0</v>
      </c>
      <c r="BC131" s="181">
        <f ca="1">IF($D131&lt;&gt;"Serviço",0,IF(AND(AUTOEVENTO="Manual",$M131=1),0,IF(OFFSET(CRONOPLE!$F$14,$M131,BC$13)="",10^12,OFFSET(CRONOPLE!$F$14,$M131,BC$13))))</f>
        <v>5</v>
      </c>
      <c r="BD131" s="181">
        <f ca="1">IF($D131&lt;&gt;"Serviço",0,IF(AND(AUTOEVENTO="Manual",$M131=1),0,IF(OFFSET(CRONOPLE!$F$14,$M131,BD$13)="",10^12,OFFSET(CRONOPLE!$F$14,$M131,BD$13))))</f>
        <v>1000000000000</v>
      </c>
      <c r="BE131" s="181">
        <f ca="1">IF($D131&lt;&gt;"Serviço",0,IF(AND(AUTOEVENTO="Manual",$M131=1),0,IF(OFFSET(CRONOPLE!$F$14,$M131,BE$13)="",10^12,OFFSET(CRONOPLE!$F$14,$M131,BE$13))))</f>
        <v>1000000000000</v>
      </c>
      <c r="BF131" s="181">
        <f ca="1">IF($D131&lt;&gt;"Serviço",0,IF(AND(AUTOEVENTO="Manual",$M131=1),0,IF(OFFSET(CRONOPLE!$F$14,$M131,BF$13)="",10^12,OFFSET(CRONOPLE!$F$14,$M131,BF$13))))</f>
        <v>1000000000000</v>
      </c>
      <c r="BG131" s="181">
        <f ca="1">IF($D131&lt;&gt;"Serviço",0,IF(AND(AUTOEVENTO="Manual",$M131=1),0,IF(OFFSET(CRONOPLE!$F$14,$M131,BG$13)="",10^12,OFFSET(CRONOPLE!$F$14,$M131,BG$13))))</f>
        <v>1000000000000</v>
      </c>
      <c r="BH131" s="181">
        <f ca="1">IF($D131&lt;&gt;"Serviço",0,IF(AND(AUTOEVENTO="Manual",$M131=1),0,IF(OFFSET(CRONOPLE!$F$14,$M131,BH$13)="",10^12,OFFSET(CRONOPLE!$F$14,$M131,BH$13))))</f>
        <v>1000000000000</v>
      </c>
      <c r="BI131" s="181">
        <f ca="1">IF($D131&lt;&gt;"Serviço",0,IF(AND(AUTOEVENTO="Manual",$M131=1),0,IF(OFFSET(CRONOPLE!$F$14,$M131,BI$13)="",10^12,OFFSET(CRONOPLE!$F$14,$M131,BI$13))))</f>
        <v>1000000000000</v>
      </c>
      <c r="BJ131" s="181">
        <f ca="1">IF($D131&lt;&gt;"Serviço",0,IF(AND(AUTOEVENTO="Manual",$M131=1),0,IF(OFFSET(CRONOPLE!$F$14,$M131,BJ$13)="",10^12,OFFSET(CRONOPLE!$F$14,$M131,BJ$13))))</f>
        <v>1000000000000</v>
      </c>
      <c r="BK131" s="181">
        <f ca="1">IF($D131&lt;&gt;"Serviço",0,IF(AND(AUTOEVENTO="Manual",$M131=1),0,IF(OFFSET(CRONOPLE!$F$14,$M131,BK$13)="",10^12,OFFSET(CRONOPLE!$F$14,$M131,BK$13))))</f>
        <v>1000000000000</v>
      </c>
      <c r="BL131" s="181">
        <f ca="1">IF($D131&lt;&gt;"Serviço",0,IF(AND(AUTOEVENTO="Manual",$M131=1),0,IF(OFFSET(CRONOPLE!$F$14,$M131,BL$13)="",10^12,OFFSET(CRONOPLE!$F$14,$M131,BL$13))))</f>
        <v>1000000000000</v>
      </c>
      <c r="BM131" s="181">
        <f ca="1">IF($D131&lt;&gt;"Serviço",0,IF(AND(AUTOEVENTO="Manual",$M131=1),0,IF(OFFSET(CRONOPLE!$F$14,$M131,BM$13)="",10^12,OFFSET(CRONOPLE!$F$14,$M131,BM$13))))</f>
        <v>1000000000000</v>
      </c>
      <c r="BN131" s="181">
        <f ca="1">IF($D131&lt;&gt;"Serviço",0,IF(AND(AUTOEVENTO="Manual",$M131=1),0,IF(OFFSET(CRONOPLE!$F$14,$M131,BN$13)="",10^12,OFFSET(CRONOPLE!$F$14,$M131,BN$13))))</f>
        <v>1000000000000</v>
      </c>
      <c r="BO131" s="181">
        <f ca="1">IF($D131&lt;&gt;"Serviço",0,IF(AND(AUTOEVENTO="Manual",$M131=1),0,IF(OFFSET(CRONOPLE!$F$14,$M131,BO$13)="",10^12,OFFSET(CRONOPLE!$F$14,$M131,BO$13))))</f>
        <v>1000000000000</v>
      </c>
      <c r="BP131" s="181">
        <f ca="1">IF($D131&lt;&gt;"Serviço",0,IF(AND(AUTOEVENTO="Manual",$M131=1),0,IF(OFFSET(CRONOPLE!$F$14,$M131,BP$13)="",10^12,OFFSET(CRONOPLE!$F$14,$M131,BP$13))))</f>
        <v>1000000000000</v>
      </c>
      <c r="BQ131" s="181">
        <f ca="1">IF($D131&lt;&gt;"Serviço",0,IF(AND(AUTOEVENTO="Manual",$M131=1),0,IF(OFFSET(CRONOPLE!$F$14,$M131,BQ$13)="",10^12,OFFSET(CRONOPLE!$F$14,$M131,BQ$13))))</f>
        <v>1000000000000</v>
      </c>
      <c r="BR131" s="181">
        <f ca="1">IF($D131&lt;&gt;"Serviço",0,IF(AND(AUTOEVENTO="Manual",$M131=1),0,IF(OFFSET(CRONOPLE!$F$14,$M131,BR$13)="",10^12,OFFSET(CRONOPLE!$F$14,$M131,BR$13))))</f>
        <v>1000000000000</v>
      </c>
      <c r="BS131" s="181">
        <f ca="1">IF($D131&lt;&gt;"Serviço",0,IF(AND(AUTOEVENTO="Manual",$M131=1),0,IF(OFFSET(CRONOPLE!$F$14,$M131,BS$13)="",10^12,OFFSET(CRONOPLE!$F$14,$M131,BS$13))))</f>
        <v>1000000000000</v>
      </c>
      <c r="BT131" s="181">
        <f ca="1">IF($D131&lt;&gt;"Serviço",0,IF(AND(AUTOEVENTO="Manual",$M131=1),0,IF(OFFSET(CRONOPLE!$F$14,$M131,BT$13)="",10^12,OFFSET(CRONOPLE!$F$14,$M131,BT$13))))</f>
        <v>1000000000000</v>
      </c>
      <c r="BV131" s="182">
        <f ca="1">IF($D131&lt;&gt;"Serviço",0,IF(OR(AND(AUTOEVENTO="Manual",$M131=1),$M131&gt;(ROW(PLE.lastrow)-ROW(PLE.firstrow))),0,IF(OFFSET(PLE!$G$14,$M131,BV$13)="",10^12,OFFSET(PLE!$G$14,$M131,BV$13))))</f>
        <v>1000000000000</v>
      </c>
      <c r="BW131" s="182">
        <f ca="1">IF($D131&lt;&gt;"Serviço",0,IF(OR(AND(AUTOEVENTO="Manual",$M131=1),$M131&gt;(ROW(PLE.lastrow)-ROW(PLE.firstrow))),0,IF(OFFSET(PLE!$G$14,$M131,BW$13)="",10^12,OFFSET(PLE!$G$14,$M131,BW$13))))</f>
        <v>1000000000000</v>
      </c>
      <c r="BX131" s="182">
        <f ca="1">IF($D131&lt;&gt;"Serviço",0,IF(OR(AND(AUTOEVENTO="Manual",$M131=1),$M131&gt;(ROW(PLE.lastrow)-ROW(PLE.firstrow))),0,IF(OFFSET(PLE!$G$14,$M131,BX$13)="",10^12,OFFSET(PLE!$G$14,$M131,BX$13))))</f>
        <v>1000000000000</v>
      </c>
      <c r="BY131" s="182">
        <f ca="1">IF($D131&lt;&gt;"Serviço",0,IF(OR(AND(AUTOEVENTO="Manual",$M131=1),$M131&gt;(ROW(PLE.lastrow)-ROW(PLE.firstrow))),0,IF(OFFSET(PLE!$G$14,$M131,BY$13)="",10^12,OFFSET(PLE!$G$14,$M131,BY$13))))</f>
        <v>1000000000000</v>
      </c>
      <c r="BZ131" s="182">
        <f ca="1">IF($D131&lt;&gt;"Serviço",0,IF(OR(AND(AUTOEVENTO="Manual",$M131=1),$M131&gt;(ROW(PLE.lastrow)-ROW(PLE.firstrow))),0,IF(OFFSET(PLE!$G$14,$M131,BZ$13)="",10^12,OFFSET(PLE!$G$14,$M131,BZ$13))))</f>
        <v>1000000000000</v>
      </c>
      <c r="CA131" s="182">
        <f ca="1">IF($D131&lt;&gt;"Serviço",0,IF(OR(AND(AUTOEVENTO="Manual",$M131=1),$M131&gt;(ROW(PLE.lastrow)-ROW(PLE.firstrow))),0,IF(OFFSET(PLE!$G$14,$M131,CA$13)="",10^12,OFFSET(PLE!$G$14,$M131,CA$13))))</f>
        <v>1000000000000</v>
      </c>
      <c r="CB131" s="182">
        <f ca="1">IF($D131&lt;&gt;"Serviço",0,IF(OR(AND(AUTOEVENTO="Manual",$M131=1),$M131&gt;(ROW(PLE.lastrow)-ROW(PLE.firstrow))),0,IF(OFFSET(PLE!$G$14,$M131,CB$13)="",10^12,OFFSET(PLE!$G$14,$M131,CB$13))))</f>
        <v>1000000000000</v>
      </c>
      <c r="CC131" s="182">
        <f ca="1">IF($D131&lt;&gt;"Serviço",0,IF(OR(AND(AUTOEVENTO="Manual",$M131=1),$M131&gt;(ROW(PLE.lastrow)-ROW(PLE.firstrow))),0,IF(OFFSET(PLE!$G$14,$M131,CC$13)="",10^12,OFFSET(PLE!$G$14,$M131,CC$13))))</f>
        <v>1000000000000</v>
      </c>
      <c r="CD131" s="182">
        <f ca="1">IF($D131&lt;&gt;"Serviço",0,IF(OR(AND(AUTOEVENTO="Manual",$M131=1),$M131&gt;(ROW(PLE.lastrow)-ROW(PLE.firstrow))),0,IF(OFFSET(PLE!$G$14,$M131,CD$13)="",10^12,OFFSET(PLE!$G$14,$M131,CD$13))))</f>
        <v>1000000000000</v>
      </c>
      <c r="CE131" s="182">
        <f ca="1">IF($D131&lt;&gt;"Serviço",0,IF(OR(AND(AUTOEVENTO="Manual",$M131=1),$M131&gt;(ROW(PLE.lastrow)-ROW(PLE.firstrow))),0,IF(OFFSET(PLE!$G$14,$M131,CE$13)="",10^12,OFFSET(PLE!$G$14,$M131,CE$13))))</f>
        <v>1000000000000</v>
      </c>
      <c r="CF131" s="182">
        <f ca="1">IF($D131&lt;&gt;"Serviço",0,IF(OR(AND(AUTOEVENTO="Manual",$M131=1),$M131&gt;(ROW(PLE.lastrow)-ROW(PLE.firstrow))),0,IF(OFFSET(PLE!$G$14,$M131,CF$13)="",10^12,OFFSET(PLE!$G$14,$M131,CF$13))))</f>
        <v>1000000000000</v>
      </c>
      <c r="CG131" s="182">
        <f ca="1">IF($D131&lt;&gt;"Serviço",0,IF(OR(AND(AUTOEVENTO="Manual",$M131=1),$M131&gt;(ROW(PLE.lastrow)-ROW(PLE.firstrow))),0,IF(OFFSET(PLE!$G$14,$M131,CG$13)="",10^12,OFFSET(PLE!$G$14,$M131,CG$13))))</f>
        <v>1000000000000</v>
      </c>
      <c r="CH131" s="182">
        <f ca="1">IF($D131&lt;&gt;"Serviço",0,IF(OR(AND(AUTOEVENTO="Manual",$M131=1),$M131&gt;(ROW(PLE.lastrow)-ROW(PLE.firstrow))),0,IF(OFFSET(PLE!$G$14,$M131,CH$13)="",10^12,OFFSET(PLE!$G$14,$M131,CH$13))))</f>
        <v>1000000000000</v>
      </c>
      <c r="CI131" s="182">
        <f ca="1">IF($D131&lt;&gt;"Serviço",0,IF(OR(AND(AUTOEVENTO="Manual",$M131=1),$M131&gt;(ROW(PLE.lastrow)-ROW(PLE.firstrow))),0,IF(OFFSET(PLE!$G$14,$M131,CI$13)="",10^12,OFFSET(PLE!$G$14,$M131,CI$13))))</f>
        <v>1000000000000</v>
      </c>
      <c r="CJ131" s="182">
        <f ca="1">IF($D131&lt;&gt;"Serviço",0,IF(OR(AND(AUTOEVENTO="Manual",$M131=1),$M131&gt;(ROW(PLE.lastrow)-ROW(PLE.firstrow))),0,IF(OFFSET(PLE!$G$14,$M131,CJ$13)="",10^12,OFFSET(PLE!$G$14,$M131,CJ$13))))</f>
        <v>1000000000000</v>
      </c>
      <c r="CK131" s="182">
        <f ca="1">IF($D131&lt;&gt;"Serviço",0,IF(OR(AND(AUTOEVENTO="Manual",$M131=1),$M131&gt;(ROW(PLE.lastrow)-ROW(PLE.firstrow))),0,IF(OFFSET(PLE!$G$14,$M131,CK$13)="",10^12,OFFSET(PLE!$G$14,$M131,CK$13))))</f>
        <v>1000000000000</v>
      </c>
      <c r="CL131" s="182">
        <f ca="1">IF($D131&lt;&gt;"Serviço",0,IF(OR(AND(AUTOEVENTO="Manual",$M131=1),$M131&gt;(ROW(PLE.lastrow)-ROW(PLE.firstrow))),0,IF(OFFSET(PLE!$G$14,$M131,CL$13)="",10^12,OFFSET(PLE!$G$14,$M131,CL$13))))</f>
        <v>1000000000000</v>
      </c>
      <c r="CM131" s="182">
        <f ca="1">IF($D131&lt;&gt;"Serviço",0,IF(OR(AND(AUTOEVENTO="Manual",$M131=1),$M131&gt;(ROW(PLE.lastrow)-ROW(PLE.firstrow))),0,IF(OFFSET(PLE!$G$14,$M131,CM$13)="",10^12,OFFSET(PLE!$G$14,$M131,CM$13))))</f>
        <v>1000000000000</v>
      </c>
    </row>
    <row r="132" spans="1:91" ht="51" x14ac:dyDescent="0.2">
      <c r="A132" s="7" t="str">
        <f t="shared" ca="1" si="11"/>
        <v>111</v>
      </c>
      <c r="B132" s="7" t="str">
        <f ca="1">OFFSET(ORÇAMENTO!C$15,ROW(B132)-ROW(B$15),0)</f>
        <v>S</v>
      </c>
      <c r="C132" s="7" t="str">
        <f ca="1">OFFSET(ORÇAMENTO!L$15,ROW(C132)-ROW(C$15),0)</f>
        <v/>
      </c>
      <c r="D132" s="118" t="str">
        <f ca="1">OFFSET(ORÇAMENTO!N$15,ROW(D132)-ROW(D$15),0)</f>
        <v>Serviço</v>
      </c>
      <c r="E132" s="119" t="str">
        <f ca="1">OFFSET(ORÇAMENTO!O$15,ROW(E132)-ROW(E$15),0)</f>
        <v>-</v>
      </c>
      <c r="F132" s="172" t="str">
        <f ca="1">OFFSET(ORÇAMENTO!R$15,ROW(F132)-ROW(F$15),0)</f>
        <v>(abra o arquivo 'Referência 06-2024.xlsm)</v>
      </c>
      <c r="G132" s="173" t="str">
        <f ca="1">IF($D132&lt;&gt;"Serviço","",OFFSET(ORÇAMENTO!S$15,ROW(G132)-ROW(G$15),0))</f>
        <v>-</v>
      </c>
      <c r="H132" s="124">
        <f ca="1">IF($D132&lt;&gt;"Serviço",0,IF(ACOMPANHAMENTO="BM",ROUND(OFFSET(ORÇAMENTO!AJ$15,ROW(H132)-ROW(H$15),0),15-13*ORÇAMENTO!$AF$7),SUMPRODUCT(($Q$12:$AI$12&lt;&gt;"")*ROUND($Q132:$AI132,15-13*ORÇAMENTO!$AF$7))))</f>
        <v>7.48</v>
      </c>
      <c r="I132" s="561" t="s">
        <v>1107</v>
      </c>
      <c r="K132" s="174"/>
      <c r="L132" s="175" t="s">
        <v>255</v>
      </c>
      <c r="M132" s="176">
        <f ca="1">IF($D132&lt;&gt;"Serviço","",IF(AUTOEVENTO="manual",$A132,IF(ISERROR(MATCH($A132,$A$15:OFFSET($A132,-1,0),0)),MAX($M$15:OFFSET(M132,-1,0))+1,INDEX($M$15:OFFSET(M132,-1,0),MATCH($A132,$A$15:OFFSET($A132,-1,0),0)))))</f>
        <v>21</v>
      </c>
      <c r="N132" s="177" t="str">
        <f ca="1">IF($D132&lt;&gt;"Serviço","",IF(AUTOEVENTO="Manual",IF($A132=0,"&lt;-- defina o número do agrupador",OFFSET(EVENTOS!$D$14,$A132,0)),OFFSET($F$15,$A132,0)))</f>
        <v>ESQUADRIAS - PORTAS EM ALUMÍNIO</v>
      </c>
      <c r="O132" s="178"/>
      <c r="Q132" s="178">
        <v>7.48</v>
      </c>
      <c r="R132" s="179"/>
      <c r="S132" s="179"/>
      <c r="T132" s="179"/>
      <c r="U132" s="179"/>
      <c r="V132" s="179"/>
      <c r="W132" s="179"/>
      <c r="X132" s="179"/>
      <c r="Y132" s="179"/>
      <c r="Z132" s="180"/>
      <c r="AA132" s="179"/>
      <c r="AB132" s="179"/>
      <c r="AC132" s="179"/>
      <c r="AD132" s="179"/>
      <c r="AE132" s="179"/>
      <c r="AF132" s="179"/>
      <c r="AG132" s="179"/>
      <c r="AH132" s="180"/>
      <c r="AJ132" s="544">
        <f ca="1">IF(AND($D132="Serviço",AJ$12&lt;&gt;0,$H132&gt;0,OR(AUTOEVENTO&lt;&gt;"manual",$M132&lt;&gt;1)),
IF(Import.TipoArredondamento&lt;&gt;"TransfereGOV",
ROUND(OFFSET($P132,0,AJ$13),15-13*ORÇAMENTO!$AF$7)/$H132*OFFSET(ORÇAMENTO!$X$15,ROW(AJ132)-ROW(AJ$15),0),
ROUND(ROUND(OFFSET($P132,0,AJ$13),15-13*ORÇAMENTO!$AF$7)*OFFSET(ORÇAMENTO!$W$15,ROW(AJ132)-ROW(AJ$15),0),15-13*ORÇAMENTO!$AF$11)),0)</f>
        <v>0</v>
      </c>
      <c r="AK132" s="545">
        <f ca="1">IF(AND($D132="Serviço",AK$12&lt;&gt;0,$H132&gt;0,OR(AUTOEVENTO&lt;&gt;"manual",$M132&lt;&gt;1)),
IF(Import.TipoArredondamento&lt;&gt;"TransfereGOV",
ROUND(OFFSET($P132,0,AK$13),15-13*ORÇAMENTO!$AF$7)/$H132*OFFSET(ORÇAMENTO!$X$15,ROW(AK132)-ROW(AK$15),0),
ROUND(ROUND(OFFSET($P132,0,AK$13),15-13*ORÇAMENTO!$AF$7)*OFFSET(ORÇAMENTO!$W$15,ROW(AK132)-ROW(AK$15),0),15-13*ORÇAMENTO!$AF$11)),0)</f>
        <v>0</v>
      </c>
      <c r="AL132" s="545">
        <f ca="1">IF(AND($D132="Serviço",AL$12&lt;&gt;0,$H132&gt;0,OR(AUTOEVENTO&lt;&gt;"manual",$M132&lt;&gt;1)),
IF(Import.TipoArredondamento&lt;&gt;"TransfereGOV",
ROUND(OFFSET($P132,0,AL$13),15-13*ORÇAMENTO!$AF$7)/$H132*OFFSET(ORÇAMENTO!$X$15,ROW(AL132)-ROW(AL$15),0),
ROUND(ROUND(OFFSET($P132,0,AL$13),15-13*ORÇAMENTO!$AF$7)*OFFSET(ORÇAMENTO!$W$15,ROW(AL132)-ROW(AL$15),0),15-13*ORÇAMENTO!$AF$11)),0)</f>
        <v>0</v>
      </c>
      <c r="AM132" s="545">
        <f ca="1">IF(AND($D132="Serviço",AM$12&lt;&gt;0,$H132&gt;0,OR(AUTOEVENTO&lt;&gt;"manual",$M132&lt;&gt;1)),
IF(Import.TipoArredondamento&lt;&gt;"TransfereGOV",
ROUND(OFFSET($P132,0,AM$13),15-13*ORÇAMENTO!$AF$7)/$H132*OFFSET(ORÇAMENTO!$X$15,ROW(AM132)-ROW(AM$15),0),
ROUND(ROUND(OFFSET($P132,0,AM$13),15-13*ORÇAMENTO!$AF$7)*OFFSET(ORÇAMENTO!$W$15,ROW(AM132)-ROW(AM$15),0),15-13*ORÇAMENTO!$AF$11)),0)</f>
        <v>0</v>
      </c>
      <c r="AN132" s="545">
        <f ca="1">IF(AND($D132="Serviço",AN$12&lt;&gt;0,$H132&gt;0,OR(AUTOEVENTO&lt;&gt;"manual",$M132&lt;&gt;1)),
IF(Import.TipoArredondamento&lt;&gt;"TransfereGOV",
ROUND(OFFSET($P132,0,AN$13),15-13*ORÇAMENTO!$AF$7)/$H132*OFFSET(ORÇAMENTO!$X$15,ROW(AN132)-ROW(AN$15),0),
ROUND(ROUND(OFFSET($P132,0,AN$13),15-13*ORÇAMENTO!$AF$7)*OFFSET(ORÇAMENTO!$W$15,ROW(AN132)-ROW(AN$15),0),15-13*ORÇAMENTO!$AF$11)),0)</f>
        <v>0</v>
      </c>
      <c r="AO132" s="545">
        <f ca="1">IF(AND($D132="Serviço",AO$12&lt;&gt;0,$H132&gt;0,OR(AUTOEVENTO&lt;&gt;"manual",$M132&lt;&gt;1)),
IF(Import.TipoArredondamento&lt;&gt;"TransfereGOV",
ROUND(OFFSET($P132,0,AO$13),15-13*ORÇAMENTO!$AF$7)/$H132*OFFSET(ORÇAMENTO!$X$15,ROW(AO132)-ROW(AO$15),0),
ROUND(ROUND(OFFSET($P132,0,AO$13),15-13*ORÇAMENTO!$AF$7)*OFFSET(ORÇAMENTO!$W$15,ROW(AO132)-ROW(AO$15),0),15-13*ORÇAMENTO!$AF$11)),0)</f>
        <v>0</v>
      </c>
      <c r="AP132" s="545">
        <f ca="1">IF(AND($D132="Serviço",AP$12&lt;&gt;0,$H132&gt;0,OR(AUTOEVENTO&lt;&gt;"manual",$M132&lt;&gt;1)),
IF(Import.TipoArredondamento&lt;&gt;"TransfereGOV",
ROUND(OFFSET($P132,0,AP$13),15-13*ORÇAMENTO!$AF$7)/$H132*OFFSET(ORÇAMENTO!$X$15,ROW(AP132)-ROW(AP$15),0),
ROUND(ROUND(OFFSET($P132,0,AP$13),15-13*ORÇAMENTO!$AF$7)*OFFSET(ORÇAMENTO!$W$15,ROW(AP132)-ROW(AP$15),0),15-13*ORÇAMENTO!$AF$11)),0)</f>
        <v>0</v>
      </c>
      <c r="AQ132" s="545">
        <f ca="1">IF(AND($D132="Serviço",AQ$12&lt;&gt;0,$H132&gt;0,OR(AUTOEVENTO&lt;&gt;"manual",$M132&lt;&gt;1)),
IF(Import.TipoArredondamento&lt;&gt;"TransfereGOV",
ROUND(OFFSET($P132,0,AQ$13),15-13*ORÇAMENTO!$AF$7)/$H132*OFFSET(ORÇAMENTO!$X$15,ROW(AQ132)-ROW(AQ$15),0),
ROUND(ROUND(OFFSET($P132,0,AQ$13),15-13*ORÇAMENTO!$AF$7)*OFFSET(ORÇAMENTO!$W$15,ROW(AQ132)-ROW(AQ$15),0),15-13*ORÇAMENTO!$AF$11)),0)</f>
        <v>0</v>
      </c>
      <c r="AR132" s="545">
        <f ca="1">IF(AND($D132="Serviço",AR$12&lt;&gt;0,$H132&gt;0,OR(AUTOEVENTO&lt;&gt;"manual",$M132&lt;&gt;1)),
IF(Import.TipoArredondamento&lt;&gt;"TransfereGOV",
ROUND(OFFSET($P132,0,AR$13),15-13*ORÇAMENTO!$AF$7)/$H132*OFFSET(ORÇAMENTO!$X$15,ROW(AR132)-ROW(AR$15),0),
ROUND(ROUND(OFFSET($P132,0,AR$13),15-13*ORÇAMENTO!$AF$7)*OFFSET(ORÇAMENTO!$W$15,ROW(AR132)-ROW(AR$15),0),15-13*ORÇAMENTO!$AF$11)),0)</f>
        <v>0</v>
      </c>
      <c r="AS132" s="546">
        <f ca="1">IF(AND($D132="Serviço",AS$12&lt;&gt;0,$H132&gt;0,OR(AUTOEVENTO&lt;&gt;"manual",$M132&lt;&gt;1)),
IF(Import.TipoArredondamento&lt;&gt;"TransfereGOV",
ROUND(OFFSET($P132,0,AS$13),15-13*ORÇAMENTO!$AF$7)/$H132*OFFSET(ORÇAMENTO!$X$15,ROW(AS132)-ROW(AS$15),0),
ROUND(ROUND(OFFSET($P132,0,AS$13),15-13*ORÇAMENTO!$AF$7)*OFFSET(ORÇAMENTO!$W$15,ROW(AS132)-ROW(AS$15),0),15-13*ORÇAMENTO!$AF$11)),0)</f>
        <v>0</v>
      </c>
      <c r="AT132" s="545">
        <f ca="1">IF(AND($D132="Serviço",AT$12&lt;&gt;0,$H132&gt;0,OR(AUTOEVENTO&lt;&gt;"manual",$M132&lt;&gt;1)),
IF(Import.TipoArredondamento&lt;&gt;"TransfereGOV",
ROUND(OFFSET($P132,0,AT$13),15-13*ORÇAMENTO!$AF$7)/$H132*OFFSET(ORÇAMENTO!$X$15,ROW(AT132)-ROW(AT$15),0),
ROUND(ROUND(OFFSET($P132,0,AT$13),15-13*ORÇAMENTO!$AF$7)*OFFSET(ORÇAMENTO!$W$15,ROW(AT132)-ROW(AT$15),0),15-13*ORÇAMENTO!$AF$11)),0)</f>
        <v>0</v>
      </c>
      <c r="AU132" s="545">
        <f ca="1">IF(AND($D132="Serviço",AU$12&lt;&gt;0,$H132&gt;0,OR(AUTOEVENTO&lt;&gt;"manual",$M132&lt;&gt;1)),
IF(Import.TipoArredondamento&lt;&gt;"TransfereGOV",
ROUND(OFFSET($P132,0,AU$13),15-13*ORÇAMENTO!$AF$7)/$H132*OFFSET(ORÇAMENTO!$X$15,ROW(AU132)-ROW(AU$15),0),
ROUND(ROUND(OFFSET($P132,0,AU$13),15-13*ORÇAMENTO!$AF$7)*OFFSET(ORÇAMENTO!$W$15,ROW(AU132)-ROW(AU$15),0),15-13*ORÇAMENTO!$AF$11)),0)</f>
        <v>0</v>
      </c>
      <c r="AV132" s="545">
        <f ca="1">IF(AND($D132="Serviço",AV$12&lt;&gt;0,$H132&gt;0,OR(AUTOEVENTO&lt;&gt;"manual",$M132&lt;&gt;1)),
IF(Import.TipoArredondamento&lt;&gt;"TransfereGOV",
ROUND(OFFSET($P132,0,AV$13),15-13*ORÇAMENTO!$AF$7)/$H132*OFFSET(ORÇAMENTO!$X$15,ROW(AV132)-ROW(AV$15),0),
ROUND(ROUND(OFFSET($P132,0,AV$13),15-13*ORÇAMENTO!$AF$7)*OFFSET(ORÇAMENTO!$W$15,ROW(AV132)-ROW(AV$15),0),15-13*ORÇAMENTO!$AF$11)),0)</f>
        <v>0</v>
      </c>
      <c r="AW132" s="545">
        <f ca="1">IF(AND($D132="Serviço",AW$12&lt;&gt;0,$H132&gt;0,OR(AUTOEVENTO&lt;&gt;"manual",$M132&lt;&gt;1)),
IF(Import.TipoArredondamento&lt;&gt;"TransfereGOV",
ROUND(OFFSET($P132,0,AW$13),15-13*ORÇAMENTO!$AF$7)/$H132*OFFSET(ORÇAMENTO!$X$15,ROW(AW132)-ROW(AW$15),0),
ROUND(ROUND(OFFSET($P132,0,AW$13),15-13*ORÇAMENTO!$AF$7)*OFFSET(ORÇAMENTO!$W$15,ROW(AW132)-ROW(AW$15),0),15-13*ORÇAMENTO!$AF$11)),0)</f>
        <v>0</v>
      </c>
      <c r="AX132" s="545">
        <f ca="1">IF(AND($D132="Serviço",AX$12&lt;&gt;0,$H132&gt;0,OR(AUTOEVENTO&lt;&gt;"manual",$M132&lt;&gt;1)),
IF(Import.TipoArredondamento&lt;&gt;"TransfereGOV",
ROUND(OFFSET($P132,0,AX$13),15-13*ORÇAMENTO!$AF$7)/$H132*OFFSET(ORÇAMENTO!$X$15,ROW(AX132)-ROW(AX$15),0),
ROUND(ROUND(OFFSET($P132,0,AX$13),15-13*ORÇAMENTO!$AF$7)*OFFSET(ORÇAMENTO!$W$15,ROW(AX132)-ROW(AX$15),0),15-13*ORÇAMENTO!$AF$11)),0)</f>
        <v>0</v>
      </c>
      <c r="AY132" s="545">
        <f ca="1">IF(AND($D132="Serviço",AY$12&lt;&gt;0,$H132&gt;0,OR(AUTOEVENTO&lt;&gt;"manual",$M132&lt;&gt;1)),
IF(Import.TipoArredondamento&lt;&gt;"TransfereGOV",
ROUND(OFFSET($P132,0,AY$13),15-13*ORÇAMENTO!$AF$7)/$H132*OFFSET(ORÇAMENTO!$X$15,ROW(AY132)-ROW(AY$15),0),
ROUND(ROUND(OFFSET($P132,0,AY$13),15-13*ORÇAMENTO!$AF$7)*OFFSET(ORÇAMENTO!$W$15,ROW(AY132)-ROW(AY$15),0),15-13*ORÇAMENTO!$AF$11)),0)</f>
        <v>0</v>
      </c>
      <c r="AZ132" s="545">
        <f ca="1">IF(AND($D132="Serviço",AZ$12&lt;&gt;0,$H132&gt;0,OR(AUTOEVENTO&lt;&gt;"manual",$M132&lt;&gt;1)),
IF(Import.TipoArredondamento&lt;&gt;"TransfereGOV",
ROUND(OFFSET($P132,0,AZ$13),15-13*ORÇAMENTO!$AF$7)/$H132*OFFSET(ORÇAMENTO!$X$15,ROW(AZ132)-ROW(AZ$15),0),
ROUND(ROUND(OFFSET($P132,0,AZ$13),15-13*ORÇAMENTO!$AF$7)*OFFSET(ORÇAMENTO!$W$15,ROW(AZ132)-ROW(AZ$15),0),15-13*ORÇAMENTO!$AF$11)),0)</f>
        <v>0</v>
      </c>
      <c r="BA132" s="546">
        <f ca="1">IF(AND($D132="Serviço",BA$12&lt;&gt;0,$H132&gt;0,OR(AUTOEVENTO&lt;&gt;"manual",$M132&lt;&gt;1)),
IF(Import.TipoArredondamento&lt;&gt;"TransfereGOV",
ROUND(OFFSET($P132,0,BA$13),15-13*ORÇAMENTO!$AF$7)/$H132*OFFSET(ORÇAMENTO!$X$15,ROW(BA132)-ROW(BA$15),0),
ROUND(ROUND(OFFSET($P132,0,BA$13),15-13*ORÇAMENTO!$AF$7)*OFFSET(ORÇAMENTO!$W$15,ROW(BA132)-ROW(BA$15),0),15-13*ORÇAMENTO!$AF$11)),0)</f>
        <v>0</v>
      </c>
      <c r="BC132" s="181">
        <f ca="1">IF($D132&lt;&gt;"Serviço",0,IF(AND(AUTOEVENTO="Manual",$M132=1),0,IF(OFFSET(CRONOPLE!$F$14,$M132,BC$13)="",10^12,OFFSET(CRONOPLE!$F$14,$M132,BC$13))))</f>
        <v>5</v>
      </c>
      <c r="BD132" s="181">
        <f ca="1">IF($D132&lt;&gt;"Serviço",0,IF(AND(AUTOEVENTO="Manual",$M132=1),0,IF(OFFSET(CRONOPLE!$F$14,$M132,BD$13)="",10^12,OFFSET(CRONOPLE!$F$14,$M132,BD$13))))</f>
        <v>1000000000000</v>
      </c>
      <c r="BE132" s="181">
        <f ca="1">IF($D132&lt;&gt;"Serviço",0,IF(AND(AUTOEVENTO="Manual",$M132=1),0,IF(OFFSET(CRONOPLE!$F$14,$M132,BE$13)="",10^12,OFFSET(CRONOPLE!$F$14,$M132,BE$13))))</f>
        <v>1000000000000</v>
      </c>
      <c r="BF132" s="181">
        <f ca="1">IF($D132&lt;&gt;"Serviço",0,IF(AND(AUTOEVENTO="Manual",$M132=1),0,IF(OFFSET(CRONOPLE!$F$14,$M132,BF$13)="",10^12,OFFSET(CRONOPLE!$F$14,$M132,BF$13))))</f>
        <v>1000000000000</v>
      </c>
      <c r="BG132" s="181">
        <f ca="1">IF($D132&lt;&gt;"Serviço",0,IF(AND(AUTOEVENTO="Manual",$M132=1),0,IF(OFFSET(CRONOPLE!$F$14,$M132,BG$13)="",10^12,OFFSET(CRONOPLE!$F$14,$M132,BG$13))))</f>
        <v>1000000000000</v>
      </c>
      <c r="BH132" s="181">
        <f ca="1">IF($D132&lt;&gt;"Serviço",0,IF(AND(AUTOEVENTO="Manual",$M132=1),0,IF(OFFSET(CRONOPLE!$F$14,$M132,BH$13)="",10^12,OFFSET(CRONOPLE!$F$14,$M132,BH$13))))</f>
        <v>1000000000000</v>
      </c>
      <c r="BI132" s="181">
        <f ca="1">IF($D132&lt;&gt;"Serviço",0,IF(AND(AUTOEVENTO="Manual",$M132=1),0,IF(OFFSET(CRONOPLE!$F$14,$M132,BI$13)="",10^12,OFFSET(CRONOPLE!$F$14,$M132,BI$13))))</f>
        <v>1000000000000</v>
      </c>
      <c r="BJ132" s="181">
        <f ca="1">IF($D132&lt;&gt;"Serviço",0,IF(AND(AUTOEVENTO="Manual",$M132=1),0,IF(OFFSET(CRONOPLE!$F$14,$M132,BJ$13)="",10^12,OFFSET(CRONOPLE!$F$14,$M132,BJ$13))))</f>
        <v>1000000000000</v>
      </c>
      <c r="BK132" s="181">
        <f ca="1">IF($D132&lt;&gt;"Serviço",0,IF(AND(AUTOEVENTO="Manual",$M132=1),0,IF(OFFSET(CRONOPLE!$F$14,$M132,BK$13)="",10^12,OFFSET(CRONOPLE!$F$14,$M132,BK$13))))</f>
        <v>1000000000000</v>
      </c>
      <c r="BL132" s="181">
        <f ca="1">IF($D132&lt;&gt;"Serviço",0,IF(AND(AUTOEVENTO="Manual",$M132=1),0,IF(OFFSET(CRONOPLE!$F$14,$M132,BL$13)="",10^12,OFFSET(CRONOPLE!$F$14,$M132,BL$13))))</f>
        <v>1000000000000</v>
      </c>
      <c r="BM132" s="181">
        <f ca="1">IF($D132&lt;&gt;"Serviço",0,IF(AND(AUTOEVENTO="Manual",$M132=1),0,IF(OFFSET(CRONOPLE!$F$14,$M132,BM$13)="",10^12,OFFSET(CRONOPLE!$F$14,$M132,BM$13))))</f>
        <v>1000000000000</v>
      </c>
      <c r="BN132" s="181">
        <f ca="1">IF($D132&lt;&gt;"Serviço",0,IF(AND(AUTOEVENTO="Manual",$M132=1),0,IF(OFFSET(CRONOPLE!$F$14,$M132,BN$13)="",10^12,OFFSET(CRONOPLE!$F$14,$M132,BN$13))))</f>
        <v>1000000000000</v>
      </c>
      <c r="BO132" s="181">
        <f ca="1">IF($D132&lt;&gt;"Serviço",0,IF(AND(AUTOEVENTO="Manual",$M132=1),0,IF(OFFSET(CRONOPLE!$F$14,$M132,BO$13)="",10^12,OFFSET(CRONOPLE!$F$14,$M132,BO$13))))</f>
        <v>1000000000000</v>
      </c>
      <c r="BP132" s="181">
        <f ca="1">IF($D132&lt;&gt;"Serviço",0,IF(AND(AUTOEVENTO="Manual",$M132=1),0,IF(OFFSET(CRONOPLE!$F$14,$M132,BP$13)="",10^12,OFFSET(CRONOPLE!$F$14,$M132,BP$13))))</f>
        <v>1000000000000</v>
      </c>
      <c r="BQ132" s="181">
        <f ca="1">IF($D132&lt;&gt;"Serviço",0,IF(AND(AUTOEVENTO="Manual",$M132=1),0,IF(OFFSET(CRONOPLE!$F$14,$M132,BQ$13)="",10^12,OFFSET(CRONOPLE!$F$14,$M132,BQ$13))))</f>
        <v>1000000000000</v>
      </c>
      <c r="BR132" s="181">
        <f ca="1">IF($D132&lt;&gt;"Serviço",0,IF(AND(AUTOEVENTO="Manual",$M132=1),0,IF(OFFSET(CRONOPLE!$F$14,$M132,BR$13)="",10^12,OFFSET(CRONOPLE!$F$14,$M132,BR$13))))</f>
        <v>1000000000000</v>
      </c>
      <c r="BS132" s="181">
        <f ca="1">IF($D132&lt;&gt;"Serviço",0,IF(AND(AUTOEVENTO="Manual",$M132=1),0,IF(OFFSET(CRONOPLE!$F$14,$M132,BS$13)="",10^12,OFFSET(CRONOPLE!$F$14,$M132,BS$13))))</f>
        <v>1000000000000</v>
      </c>
      <c r="BT132" s="181">
        <f ca="1">IF($D132&lt;&gt;"Serviço",0,IF(AND(AUTOEVENTO="Manual",$M132=1),0,IF(OFFSET(CRONOPLE!$F$14,$M132,BT$13)="",10^12,OFFSET(CRONOPLE!$F$14,$M132,BT$13))))</f>
        <v>1000000000000</v>
      </c>
      <c r="BV132" s="182">
        <f ca="1">IF($D132&lt;&gt;"Serviço",0,IF(OR(AND(AUTOEVENTO="Manual",$M132=1),$M132&gt;(ROW(PLE.lastrow)-ROW(PLE.firstrow))),0,IF(OFFSET(PLE!$G$14,$M132,BV$13)="",10^12,OFFSET(PLE!$G$14,$M132,BV$13))))</f>
        <v>1000000000000</v>
      </c>
      <c r="BW132" s="182">
        <f ca="1">IF($D132&lt;&gt;"Serviço",0,IF(OR(AND(AUTOEVENTO="Manual",$M132=1),$M132&gt;(ROW(PLE.lastrow)-ROW(PLE.firstrow))),0,IF(OFFSET(PLE!$G$14,$M132,BW$13)="",10^12,OFFSET(PLE!$G$14,$M132,BW$13))))</f>
        <v>1000000000000</v>
      </c>
      <c r="BX132" s="182">
        <f ca="1">IF($D132&lt;&gt;"Serviço",0,IF(OR(AND(AUTOEVENTO="Manual",$M132=1),$M132&gt;(ROW(PLE.lastrow)-ROW(PLE.firstrow))),0,IF(OFFSET(PLE!$G$14,$M132,BX$13)="",10^12,OFFSET(PLE!$G$14,$M132,BX$13))))</f>
        <v>1000000000000</v>
      </c>
      <c r="BY132" s="182">
        <f ca="1">IF($D132&lt;&gt;"Serviço",0,IF(OR(AND(AUTOEVENTO="Manual",$M132=1),$M132&gt;(ROW(PLE.lastrow)-ROW(PLE.firstrow))),0,IF(OFFSET(PLE!$G$14,$M132,BY$13)="",10^12,OFFSET(PLE!$G$14,$M132,BY$13))))</f>
        <v>1000000000000</v>
      </c>
      <c r="BZ132" s="182">
        <f ca="1">IF($D132&lt;&gt;"Serviço",0,IF(OR(AND(AUTOEVENTO="Manual",$M132=1),$M132&gt;(ROW(PLE.lastrow)-ROW(PLE.firstrow))),0,IF(OFFSET(PLE!$G$14,$M132,BZ$13)="",10^12,OFFSET(PLE!$G$14,$M132,BZ$13))))</f>
        <v>1000000000000</v>
      </c>
      <c r="CA132" s="182">
        <f ca="1">IF($D132&lt;&gt;"Serviço",0,IF(OR(AND(AUTOEVENTO="Manual",$M132=1),$M132&gt;(ROW(PLE.lastrow)-ROW(PLE.firstrow))),0,IF(OFFSET(PLE!$G$14,$M132,CA$13)="",10^12,OFFSET(PLE!$G$14,$M132,CA$13))))</f>
        <v>1000000000000</v>
      </c>
      <c r="CB132" s="182">
        <f ca="1">IF($D132&lt;&gt;"Serviço",0,IF(OR(AND(AUTOEVENTO="Manual",$M132=1),$M132&gt;(ROW(PLE.lastrow)-ROW(PLE.firstrow))),0,IF(OFFSET(PLE!$G$14,$M132,CB$13)="",10^12,OFFSET(PLE!$G$14,$M132,CB$13))))</f>
        <v>1000000000000</v>
      </c>
      <c r="CC132" s="182">
        <f ca="1">IF($D132&lt;&gt;"Serviço",0,IF(OR(AND(AUTOEVENTO="Manual",$M132=1),$M132&gt;(ROW(PLE.lastrow)-ROW(PLE.firstrow))),0,IF(OFFSET(PLE!$G$14,$M132,CC$13)="",10^12,OFFSET(PLE!$G$14,$M132,CC$13))))</f>
        <v>1000000000000</v>
      </c>
      <c r="CD132" s="182">
        <f ca="1">IF($D132&lt;&gt;"Serviço",0,IF(OR(AND(AUTOEVENTO="Manual",$M132=1),$M132&gt;(ROW(PLE.lastrow)-ROW(PLE.firstrow))),0,IF(OFFSET(PLE!$G$14,$M132,CD$13)="",10^12,OFFSET(PLE!$G$14,$M132,CD$13))))</f>
        <v>1000000000000</v>
      </c>
      <c r="CE132" s="182">
        <f ca="1">IF($D132&lt;&gt;"Serviço",0,IF(OR(AND(AUTOEVENTO="Manual",$M132=1),$M132&gt;(ROW(PLE.lastrow)-ROW(PLE.firstrow))),0,IF(OFFSET(PLE!$G$14,$M132,CE$13)="",10^12,OFFSET(PLE!$G$14,$M132,CE$13))))</f>
        <v>1000000000000</v>
      </c>
      <c r="CF132" s="182">
        <f ca="1">IF($D132&lt;&gt;"Serviço",0,IF(OR(AND(AUTOEVENTO="Manual",$M132=1),$M132&gt;(ROW(PLE.lastrow)-ROW(PLE.firstrow))),0,IF(OFFSET(PLE!$G$14,$M132,CF$13)="",10^12,OFFSET(PLE!$G$14,$M132,CF$13))))</f>
        <v>1000000000000</v>
      </c>
      <c r="CG132" s="182">
        <f ca="1">IF($D132&lt;&gt;"Serviço",0,IF(OR(AND(AUTOEVENTO="Manual",$M132=1),$M132&gt;(ROW(PLE.lastrow)-ROW(PLE.firstrow))),0,IF(OFFSET(PLE!$G$14,$M132,CG$13)="",10^12,OFFSET(PLE!$G$14,$M132,CG$13))))</f>
        <v>1000000000000</v>
      </c>
      <c r="CH132" s="182">
        <f ca="1">IF($D132&lt;&gt;"Serviço",0,IF(OR(AND(AUTOEVENTO="Manual",$M132=1),$M132&gt;(ROW(PLE.lastrow)-ROW(PLE.firstrow))),0,IF(OFFSET(PLE!$G$14,$M132,CH$13)="",10^12,OFFSET(PLE!$G$14,$M132,CH$13))))</f>
        <v>1000000000000</v>
      </c>
      <c r="CI132" s="182">
        <f ca="1">IF($D132&lt;&gt;"Serviço",0,IF(OR(AND(AUTOEVENTO="Manual",$M132=1),$M132&gt;(ROW(PLE.lastrow)-ROW(PLE.firstrow))),0,IF(OFFSET(PLE!$G$14,$M132,CI$13)="",10^12,OFFSET(PLE!$G$14,$M132,CI$13))))</f>
        <v>1000000000000</v>
      </c>
      <c r="CJ132" s="182">
        <f ca="1">IF($D132&lt;&gt;"Serviço",0,IF(OR(AND(AUTOEVENTO="Manual",$M132=1),$M132&gt;(ROW(PLE.lastrow)-ROW(PLE.firstrow))),0,IF(OFFSET(PLE!$G$14,$M132,CJ$13)="",10^12,OFFSET(PLE!$G$14,$M132,CJ$13))))</f>
        <v>1000000000000</v>
      </c>
      <c r="CK132" s="182">
        <f ca="1">IF($D132&lt;&gt;"Serviço",0,IF(OR(AND(AUTOEVENTO="Manual",$M132=1),$M132&gt;(ROW(PLE.lastrow)-ROW(PLE.firstrow))),0,IF(OFFSET(PLE!$G$14,$M132,CK$13)="",10^12,OFFSET(PLE!$G$14,$M132,CK$13))))</f>
        <v>1000000000000</v>
      </c>
      <c r="CL132" s="182">
        <f ca="1">IF($D132&lt;&gt;"Serviço",0,IF(OR(AND(AUTOEVENTO="Manual",$M132=1),$M132&gt;(ROW(PLE.lastrow)-ROW(PLE.firstrow))),0,IF(OFFSET(PLE!$G$14,$M132,CL$13)="",10^12,OFFSET(PLE!$G$14,$M132,CL$13))))</f>
        <v>1000000000000</v>
      </c>
      <c r="CM132" s="182">
        <f ca="1">IF($D132&lt;&gt;"Serviço",0,IF(OR(AND(AUTOEVENTO="Manual",$M132=1),$M132&gt;(ROW(PLE.lastrow)-ROW(PLE.firstrow))),0,IF(OFFSET(PLE!$G$14,$M132,CM$13)="",10^12,OFFSET(PLE!$G$14,$M132,CM$13))))</f>
        <v>1000000000000</v>
      </c>
    </row>
    <row r="133" spans="1:91" ht="63.75" x14ac:dyDescent="0.2">
      <c r="A133" s="7" t="str">
        <f t="shared" ca="1" si="11"/>
        <v>111</v>
      </c>
      <c r="B133" s="7" t="str">
        <f ca="1">OFFSET(ORÇAMENTO!C$15,ROW(B133)-ROW(B$15),0)</f>
        <v>S</v>
      </c>
      <c r="C133" s="7" t="str">
        <f ca="1">OFFSET(ORÇAMENTO!L$15,ROW(C133)-ROW(C$15),0)</f>
        <v/>
      </c>
      <c r="D133" s="118" t="str">
        <f ca="1">OFFSET(ORÇAMENTO!N$15,ROW(D133)-ROW(D$15),0)</f>
        <v>Serviço</v>
      </c>
      <c r="E133" s="119" t="str">
        <f ca="1">OFFSET(ORÇAMENTO!O$15,ROW(E133)-ROW(E$15),0)</f>
        <v>-</v>
      </c>
      <c r="F133" s="172" t="str">
        <f ca="1">OFFSET(ORÇAMENTO!R$15,ROW(F133)-ROW(F$15),0)</f>
        <v>(abra o arquivo 'Referência 06-2024.xlsm)</v>
      </c>
      <c r="G133" s="173" t="str">
        <f ca="1">IF($D133&lt;&gt;"Serviço","",OFFSET(ORÇAMENTO!S$15,ROW(G133)-ROW(G$15),0))</f>
        <v>-</v>
      </c>
      <c r="H133" s="124">
        <f ca="1">IF($D133&lt;&gt;"Serviço",0,IF(ACOMPANHAMENTO="BM",ROUND(OFFSET(ORÇAMENTO!AJ$15,ROW(H133)-ROW(H$15),0),15-13*ORÇAMENTO!$AF$7),SUMPRODUCT(($Q$12:$AI$12&lt;&gt;"")*ROUND($Q133:$AI133,15-13*ORÇAMENTO!$AF$7))))</f>
        <v>5.25</v>
      </c>
      <c r="I133" s="561" t="s">
        <v>1107</v>
      </c>
      <c r="K133" s="174"/>
      <c r="L133" s="175" t="s">
        <v>255</v>
      </c>
      <c r="M133" s="176">
        <f ca="1">IF($D133&lt;&gt;"Serviço","",IF(AUTOEVENTO="manual",$A133,IF(ISERROR(MATCH($A133,$A$15:OFFSET($A133,-1,0),0)),MAX($M$15:OFFSET(M133,-1,0))+1,INDEX($M$15:OFFSET(M133,-1,0),MATCH($A133,$A$15:OFFSET($A133,-1,0),0)))))</f>
        <v>21</v>
      </c>
      <c r="N133" s="177" t="str">
        <f ca="1">IF($D133&lt;&gt;"Serviço","",IF(AUTOEVENTO="Manual",IF($A133=0,"&lt;-- defina o número do agrupador",OFFSET(EVENTOS!$D$14,$A133,0)),OFFSET($F$15,$A133,0)))</f>
        <v>ESQUADRIAS - PORTAS EM ALUMÍNIO</v>
      </c>
      <c r="O133" s="178"/>
      <c r="Q133" s="178">
        <v>5.25</v>
      </c>
      <c r="R133" s="179"/>
      <c r="S133" s="179"/>
      <c r="T133" s="179"/>
      <c r="U133" s="179"/>
      <c r="V133" s="179"/>
      <c r="W133" s="179"/>
      <c r="X133" s="179"/>
      <c r="Y133" s="179"/>
      <c r="Z133" s="180"/>
      <c r="AA133" s="179"/>
      <c r="AB133" s="179"/>
      <c r="AC133" s="179"/>
      <c r="AD133" s="179"/>
      <c r="AE133" s="179"/>
      <c r="AF133" s="179"/>
      <c r="AG133" s="179"/>
      <c r="AH133" s="180"/>
      <c r="AJ133" s="544">
        <f ca="1">IF(AND($D133="Serviço",AJ$12&lt;&gt;0,$H133&gt;0,OR(AUTOEVENTO&lt;&gt;"manual",$M133&lt;&gt;1)),
IF(Import.TipoArredondamento&lt;&gt;"TransfereGOV",
ROUND(OFFSET($P133,0,AJ$13),15-13*ORÇAMENTO!$AF$7)/$H133*OFFSET(ORÇAMENTO!$X$15,ROW(AJ133)-ROW(AJ$15),0),
ROUND(ROUND(OFFSET($P133,0,AJ$13),15-13*ORÇAMENTO!$AF$7)*OFFSET(ORÇAMENTO!$W$15,ROW(AJ133)-ROW(AJ$15),0),15-13*ORÇAMENTO!$AF$11)),0)</f>
        <v>0</v>
      </c>
      <c r="AK133" s="545">
        <f ca="1">IF(AND($D133="Serviço",AK$12&lt;&gt;0,$H133&gt;0,OR(AUTOEVENTO&lt;&gt;"manual",$M133&lt;&gt;1)),
IF(Import.TipoArredondamento&lt;&gt;"TransfereGOV",
ROUND(OFFSET($P133,0,AK$13),15-13*ORÇAMENTO!$AF$7)/$H133*OFFSET(ORÇAMENTO!$X$15,ROW(AK133)-ROW(AK$15),0),
ROUND(ROUND(OFFSET($P133,0,AK$13),15-13*ORÇAMENTO!$AF$7)*OFFSET(ORÇAMENTO!$W$15,ROW(AK133)-ROW(AK$15),0),15-13*ORÇAMENTO!$AF$11)),0)</f>
        <v>0</v>
      </c>
      <c r="AL133" s="545">
        <f ca="1">IF(AND($D133="Serviço",AL$12&lt;&gt;0,$H133&gt;0,OR(AUTOEVENTO&lt;&gt;"manual",$M133&lt;&gt;1)),
IF(Import.TipoArredondamento&lt;&gt;"TransfereGOV",
ROUND(OFFSET($P133,0,AL$13),15-13*ORÇAMENTO!$AF$7)/$H133*OFFSET(ORÇAMENTO!$X$15,ROW(AL133)-ROW(AL$15),0),
ROUND(ROUND(OFFSET($P133,0,AL$13),15-13*ORÇAMENTO!$AF$7)*OFFSET(ORÇAMENTO!$W$15,ROW(AL133)-ROW(AL$15),0),15-13*ORÇAMENTO!$AF$11)),0)</f>
        <v>0</v>
      </c>
      <c r="AM133" s="545">
        <f ca="1">IF(AND($D133="Serviço",AM$12&lt;&gt;0,$H133&gt;0,OR(AUTOEVENTO&lt;&gt;"manual",$M133&lt;&gt;1)),
IF(Import.TipoArredondamento&lt;&gt;"TransfereGOV",
ROUND(OFFSET($P133,0,AM$13),15-13*ORÇAMENTO!$AF$7)/$H133*OFFSET(ORÇAMENTO!$X$15,ROW(AM133)-ROW(AM$15),0),
ROUND(ROUND(OFFSET($P133,0,AM$13),15-13*ORÇAMENTO!$AF$7)*OFFSET(ORÇAMENTO!$W$15,ROW(AM133)-ROW(AM$15),0),15-13*ORÇAMENTO!$AF$11)),0)</f>
        <v>0</v>
      </c>
      <c r="AN133" s="545">
        <f ca="1">IF(AND($D133="Serviço",AN$12&lt;&gt;0,$H133&gt;0,OR(AUTOEVENTO&lt;&gt;"manual",$M133&lt;&gt;1)),
IF(Import.TipoArredondamento&lt;&gt;"TransfereGOV",
ROUND(OFFSET($P133,0,AN$13),15-13*ORÇAMENTO!$AF$7)/$H133*OFFSET(ORÇAMENTO!$X$15,ROW(AN133)-ROW(AN$15),0),
ROUND(ROUND(OFFSET($P133,0,AN$13),15-13*ORÇAMENTO!$AF$7)*OFFSET(ORÇAMENTO!$W$15,ROW(AN133)-ROW(AN$15),0),15-13*ORÇAMENTO!$AF$11)),0)</f>
        <v>0</v>
      </c>
      <c r="AO133" s="545">
        <f ca="1">IF(AND($D133="Serviço",AO$12&lt;&gt;0,$H133&gt;0,OR(AUTOEVENTO&lt;&gt;"manual",$M133&lt;&gt;1)),
IF(Import.TipoArredondamento&lt;&gt;"TransfereGOV",
ROUND(OFFSET($P133,0,AO$13),15-13*ORÇAMENTO!$AF$7)/$H133*OFFSET(ORÇAMENTO!$X$15,ROW(AO133)-ROW(AO$15),0),
ROUND(ROUND(OFFSET($P133,0,AO$13),15-13*ORÇAMENTO!$AF$7)*OFFSET(ORÇAMENTO!$W$15,ROW(AO133)-ROW(AO$15),0),15-13*ORÇAMENTO!$AF$11)),0)</f>
        <v>0</v>
      </c>
      <c r="AP133" s="545">
        <f ca="1">IF(AND($D133="Serviço",AP$12&lt;&gt;0,$H133&gt;0,OR(AUTOEVENTO&lt;&gt;"manual",$M133&lt;&gt;1)),
IF(Import.TipoArredondamento&lt;&gt;"TransfereGOV",
ROUND(OFFSET($P133,0,AP$13),15-13*ORÇAMENTO!$AF$7)/$H133*OFFSET(ORÇAMENTO!$X$15,ROW(AP133)-ROW(AP$15),0),
ROUND(ROUND(OFFSET($P133,0,AP$13),15-13*ORÇAMENTO!$AF$7)*OFFSET(ORÇAMENTO!$W$15,ROW(AP133)-ROW(AP$15),0),15-13*ORÇAMENTO!$AF$11)),0)</f>
        <v>0</v>
      </c>
      <c r="AQ133" s="545">
        <f ca="1">IF(AND($D133="Serviço",AQ$12&lt;&gt;0,$H133&gt;0,OR(AUTOEVENTO&lt;&gt;"manual",$M133&lt;&gt;1)),
IF(Import.TipoArredondamento&lt;&gt;"TransfereGOV",
ROUND(OFFSET($P133,0,AQ$13),15-13*ORÇAMENTO!$AF$7)/$H133*OFFSET(ORÇAMENTO!$X$15,ROW(AQ133)-ROW(AQ$15),0),
ROUND(ROUND(OFFSET($P133,0,AQ$13),15-13*ORÇAMENTO!$AF$7)*OFFSET(ORÇAMENTO!$W$15,ROW(AQ133)-ROW(AQ$15),0),15-13*ORÇAMENTO!$AF$11)),0)</f>
        <v>0</v>
      </c>
      <c r="AR133" s="545">
        <f ca="1">IF(AND($D133="Serviço",AR$12&lt;&gt;0,$H133&gt;0,OR(AUTOEVENTO&lt;&gt;"manual",$M133&lt;&gt;1)),
IF(Import.TipoArredondamento&lt;&gt;"TransfereGOV",
ROUND(OFFSET($P133,0,AR$13),15-13*ORÇAMENTO!$AF$7)/$H133*OFFSET(ORÇAMENTO!$X$15,ROW(AR133)-ROW(AR$15),0),
ROUND(ROUND(OFFSET($P133,0,AR$13),15-13*ORÇAMENTO!$AF$7)*OFFSET(ORÇAMENTO!$W$15,ROW(AR133)-ROW(AR$15),0),15-13*ORÇAMENTO!$AF$11)),0)</f>
        <v>0</v>
      </c>
      <c r="AS133" s="546">
        <f ca="1">IF(AND($D133="Serviço",AS$12&lt;&gt;0,$H133&gt;0,OR(AUTOEVENTO&lt;&gt;"manual",$M133&lt;&gt;1)),
IF(Import.TipoArredondamento&lt;&gt;"TransfereGOV",
ROUND(OFFSET($P133,0,AS$13),15-13*ORÇAMENTO!$AF$7)/$H133*OFFSET(ORÇAMENTO!$X$15,ROW(AS133)-ROW(AS$15),0),
ROUND(ROUND(OFFSET($P133,0,AS$13),15-13*ORÇAMENTO!$AF$7)*OFFSET(ORÇAMENTO!$W$15,ROW(AS133)-ROW(AS$15),0),15-13*ORÇAMENTO!$AF$11)),0)</f>
        <v>0</v>
      </c>
      <c r="AT133" s="545">
        <f ca="1">IF(AND($D133="Serviço",AT$12&lt;&gt;0,$H133&gt;0,OR(AUTOEVENTO&lt;&gt;"manual",$M133&lt;&gt;1)),
IF(Import.TipoArredondamento&lt;&gt;"TransfereGOV",
ROUND(OFFSET($P133,0,AT$13),15-13*ORÇAMENTO!$AF$7)/$H133*OFFSET(ORÇAMENTO!$X$15,ROW(AT133)-ROW(AT$15),0),
ROUND(ROUND(OFFSET($P133,0,AT$13),15-13*ORÇAMENTO!$AF$7)*OFFSET(ORÇAMENTO!$W$15,ROW(AT133)-ROW(AT$15),0),15-13*ORÇAMENTO!$AF$11)),0)</f>
        <v>0</v>
      </c>
      <c r="AU133" s="545">
        <f ca="1">IF(AND($D133="Serviço",AU$12&lt;&gt;0,$H133&gt;0,OR(AUTOEVENTO&lt;&gt;"manual",$M133&lt;&gt;1)),
IF(Import.TipoArredondamento&lt;&gt;"TransfereGOV",
ROUND(OFFSET($P133,0,AU$13),15-13*ORÇAMENTO!$AF$7)/$H133*OFFSET(ORÇAMENTO!$X$15,ROW(AU133)-ROW(AU$15),0),
ROUND(ROUND(OFFSET($P133,0,AU$13),15-13*ORÇAMENTO!$AF$7)*OFFSET(ORÇAMENTO!$W$15,ROW(AU133)-ROW(AU$15),0),15-13*ORÇAMENTO!$AF$11)),0)</f>
        <v>0</v>
      </c>
      <c r="AV133" s="545">
        <f ca="1">IF(AND($D133="Serviço",AV$12&lt;&gt;0,$H133&gt;0,OR(AUTOEVENTO&lt;&gt;"manual",$M133&lt;&gt;1)),
IF(Import.TipoArredondamento&lt;&gt;"TransfereGOV",
ROUND(OFFSET($P133,0,AV$13),15-13*ORÇAMENTO!$AF$7)/$H133*OFFSET(ORÇAMENTO!$X$15,ROW(AV133)-ROW(AV$15),0),
ROUND(ROUND(OFFSET($P133,0,AV$13),15-13*ORÇAMENTO!$AF$7)*OFFSET(ORÇAMENTO!$W$15,ROW(AV133)-ROW(AV$15),0),15-13*ORÇAMENTO!$AF$11)),0)</f>
        <v>0</v>
      </c>
      <c r="AW133" s="545">
        <f ca="1">IF(AND($D133="Serviço",AW$12&lt;&gt;0,$H133&gt;0,OR(AUTOEVENTO&lt;&gt;"manual",$M133&lt;&gt;1)),
IF(Import.TipoArredondamento&lt;&gt;"TransfereGOV",
ROUND(OFFSET($P133,0,AW$13),15-13*ORÇAMENTO!$AF$7)/$H133*OFFSET(ORÇAMENTO!$X$15,ROW(AW133)-ROW(AW$15),0),
ROUND(ROUND(OFFSET($P133,0,AW$13),15-13*ORÇAMENTO!$AF$7)*OFFSET(ORÇAMENTO!$W$15,ROW(AW133)-ROW(AW$15),0),15-13*ORÇAMENTO!$AF$11)),0)</f>
        <v>0</v>
      </c>
      <c r="AX133" s="545">
        <f ca="1">IF(AND($D133="Serviço",AX$12&lt;&gt;0,$H133&gt;0,OR(AUTOEVENTO&lt;&gt;"manual",$M133&lt;&gt;1)),
IF(Import.TipoArredondamento&lt;&gt;"TransfereGOV",
ROUND(OFFSET($P133,0,AX$13),15-13*ORÇAMENTO!$AF$7)/$H133*OFFSET(ORÇAMENTO!$X$15,ROW(AX133)-ROW(AX$15),0),
ROUND(ROUND(OFFSET($P133,0,AX$13),15-13*ORÇAMENTO!$AF$7)*OFFSET(ORÇAMENTO!$W$15,ROW(AX133)-ROW(AX$15),0),15-13*ORÇAMENTO!$AF$11)),0)</f>
        <v>0</v>
      </c>
      <c r="AY133" s="545">
        <f ca="1">IF(AND($D133="Serviço",AY$12&lt;&gt;0,$H133&gt;0,OR(AUTOEVENTO&lt;&gt;"manual",$M133&lt;&gt;1)),
IF(Import.TipoArredondamento&lt;&gt;"TransfereGOV",
ROUND(OFFSET($P133,0,AY$13),15-13*ORÇAMENTO!$AF$7)/$H133*OFFSET(ORÇAMENTO!$X$15,ROW(AY133)-ROW(AY$15),0),
ROUND(ROUND(OFFSET($P133,0,AY$13),15-13*ORÇAMENTO!$AF$7)*OFFSET(ORÇAMENTO!$W$15,ROW(AY133)-ROW(AY$15),0),15-13*ORÇAMENTO!$AF$11)),0)</f>
        <v>0</v>
      </c>
      <c r="AZ133" s="545">
        <f ca="1">IF(AND($D133="Serviço",AZ$12&lt;&gt;0,$H133&gt;0,OR(AUTOEVENTO&lt;&gt;"manual",$M133&lt;&gt;1)),
IF(Import.TipoArredondamento&lt;&gt;"TransfereGOV",
ROUND(OFFSET($P133,0,AZ$13),15-13*ORÇAMENTO!$AF$7)/$H133*OFFSET(ORÇAMENTO!$X$15,ROW(AZ133)-ROW(AZ$15),0),
ROUND(ROUND(OFFSET($P133,0,AZ$13),15-13*ORÇAMENTO!$AF$7)*OFFSET(ORÇAMENTO!$W$15,ROW(AZ133)-ROW(AZ$15),0),15-13*ORÇAMENTO!$AF$11)),0)</f>
        <v>0</v>
      </c>
      <c r="BA133" s="546">
        <f ca="1">IF(AND($D133="Serviço",BA$12&lt;&gt;0,$H133&gt;0,OR(AUTOEVENTO&lt;&gt;"manual",$M133&lt;&gt;1)),
IF(Import.TipoArredondamento&lt;&gt;"TransfereGOV",
ROUND(OFFSET($P133,0,BA$13),15-13*ORÇAMENTO!$AF$7)/$H133*OFFSET(ORÇAMENTO!$X$15,ROW(BA133)-ROW(BA$15),0),
ROUND(ROUND(OFFSET($P133,0,BA$13),15-13*ORÇAMENTO!$AF$7)*OFFSET(ORÇAMENTO!$W$15,ROW(BA133)-ROW(BA$15),0),15-13*ORÇAMENTO!$AF$11)),0)</f>
        <v>0</v>
      </c>
      <c r="BC133" s="181">
        <f ca="1">IF($D133&lt;&gt;"Serviço",0,IF(AND(AUTOEVENTO="Manual",$M133=1),0,IF(OFFSET(CRONOPLE!$F$14,$M133,BC$13)="",10^12,OFFSET(CRONOPLE!$F$14,$M133,BC$13))))</f>
        <v>5</v>
      </c>
      <c r="BD133" s="181">
        <f ca="1">IF($D133&lt;&gt;"Serviço",0,IF(AND(AUTOEVENTO="Manual",$M133=1),0,IF(OFFSET(CRONOPLE!$F$14,$M133,BD$13)="",10^12,OFFSET(CRONOPLE!$F$14,$M133,BD$13))))</f>
        <v>1000000000000</v>
      </c>
      <c r="BE133" s="181">
        <f ca="1">IF($D133&lt;&gt;"Serviço",0,IF(AND(AUTOEVENTO="Manual",$M133=1),0,IF(OFFSET(CRONOPLE!$F$14,$M133,BE$13)="",10^12,OFFSET(CRONOPLE!$F$14,$M133,BE$13))))</f>
        <v>1000000000000</v>
      </c>
      <c r="BF133" s="181">
        <f ca="1">IF($D133&lt;&gt;"Serviço",0,IF(AND(AUTOEVENTO="Manual",$M133=1),0,IF(OFFSET(CRONOPLE!$F$14,$M133,BF$13)="",10^12,OFFSET(CRONOPLE!$F$14,$M133,BF$13))))</f>
        <v>1000000000000</v>
      </c>
      <c r="BG133" s="181">
        <f ca="1">IF($D133&lt;&gt;"Serviço",0,IF(AND(AUTOEVENTO="Manual",$M133=1),0,IF(OFFSET(CRONOPLE!$F$14,$M133,BG$13)="",10^12,OFFSET(CRONOPLE!$F$14,$M133,BG$13))))</f>
        <v>1000000000000</v>
      </c>
      <c r="BH133" s="181">
        <f ca="1">IF($D133&lt;&gt;"Serviço",0,IF(AND(AUTOEVENTO="Manual",$M133=1),0,IF(OFFSET(CRONOPLE!$F$14,$M133,BH$13)="",10^12,OFFSET(CRONOPLE!$F$14,$M133,BH$13))))</f>
        <v>1000000000000</v>
      </c>
      <c r="BI133" s="181">
        <f ca="1">IF($D133&lt;&gt;"Serviço",0,IF(AND(AUTOEVENTO="Manual",$M133=1),0,IF(OFFSET(CRONOPLE!$F$14,$M133,BI$13)="",10^12,OFFSET(CRONOPLE!$F$14,$M133,BI$13))))</f>
        <v>1000000000000</v>
      </c>
      <c r="BJ133" s="181">
        <f ca="1">IF($D133&lt;&gt;"Serviço",0,IF(AND(AUTOEVENTO="Manual",$M133=1),0,IF(OFFSET(CRONOPLE!$F$14,$M133,BJ$13)="",10^12,OFFSET(CRONOPLE!$F$14,$M133,BJ$13))))</f>
        <v>1000000000000</v>
      </c>
      <c r="BK133" s="181">
        <f ca="1">IF($D133&lt;&gt;"Serviço",0,IF(AND(AUTOEVENTO="Manual",$M133=1),0,IF(OFFSET(CRONOPLE!$F$14,$M133,BK$13)="",10^12,OFFSET(CRONOPLE!$F$14,$M133,BK$13))))</f>
        <v>1000000000000</v>
      </c>
      <c r="BL133" s="181">
        <f ca="1">IF($D133&lt;&gt;"Serviço",0,IF(AND(AUTOEVENTO="Manual",$M133=1),0,IF(OFFSET(CRONOPLE!$F$14,$M133,BL$13)="",10^12,OFFSET(CRONOPLE!$F$14,$M133,BL$13))))</f>
        <v>1000000000000</v>
      </c>
      <c r="BM133" s="181">
        <f ca="1">IF($D133&lt;&gt;"Serviço",0,IF(AND(AUTOEVENTO="Manual",$M133=1),0,IF(OFFSET(CRONOPLE!$F$14,$M133,BM$13)="",10^12,OFFSET(CRONOPLE!$F$14,$M133,BM$13))))</f>
        <v>1000000000000</v>
      </c>
      <c r="BN133" s="181">
        <f ca="1">IF($D133&lt;&gt;"Serviço",0,IF(AND(AUTOEVENTO="Manual",$M133=1),0,IF(OFFSET(CRONOPLE!$F$14,$M133,BN$13)="",10^12,OFFSET(CRONOPLE!$F$14,$M133,BN$13))))</f>
        <v>1000000000000</v>
      </c>
      <c r="BO133" s="181">
        <f ca="1">IF($D133&lt;&gt;"Serviço",0,IF(AND(AUTOEVENTO="Manual",$M133=1),0,IF(OFFSET(CRONOPLE!$F$14,$M133,BO$13)="",10^12,OFFSET(CRONOPLE!$F$14,$M133,BO$13))))</f>
        <v>1000000000000</v>
      </c>
      <c r="BP133" s="181">
        <f ca="1">IF($D133&lt;&gt;"Serviço",0,IF(AND(AUTOEVENTO="Manual",$M133=1),0,IF(OFFSET(CRONOPLE!$F$14,$M133,BP$13)="",10^12,OFFSET(CRONOPLE!$F$14,$M133,BP$13))))</f>
        <v>1000000000000</v>
      </c>
      <c r="BQ133" s="181">
        <f ca="1">IF($D133&lt;&gt;"Serviço",0,IF(AND(AUTOEVENTO="Manual",$M133=1),0,IF(OFFSET(CRONOPLE!$F$14,$M133,BQ$13)="",10^12,OFFSET(CRONOPLE!$F$14,$M133,BQ$13))))</f>
        <v>1000000000000</v>
      </c>
      <c r="BR133" s="181">
        <f ca="1">IF($D133&lt;&gt;"Serviço",0,IF(AND(AUTOEVENTO="Manual",$M133=1),0,IF(OFFSET(CRONOPLE!$F$14,$M133,BR$13)="",10^12,OFFSET(CRONOPLE!$F$14,$M133,BR$13))))</f>
        <v>1000000000000</v>
      </c>
      <c r="BS133" s="181">
        <f ca="1">IF($D133&lt;&gt;"Serviço",0,IF(AND(AUTOEVENTO="Manual",$M133=1),0,IF(OFFSET(CRONOPLE!$F$14,$M133,BS$13)="",10^12,OFFSET(CRONOPLE!$F$14,$M133,BS$13))))</f>
        <v>1000000000000</v>
      </c>
      <c r="BT133" s="181">
        <f ca="1">IF($D133&lt;&gt;"Serviço",0,IF(AND(AUTOEVENTO="Manual",$M133=1),0,IF(OFFSET(CRONOPLE!$F$14,$M133,BT$13)="",10^12,OFFSET(CRONOPLE!$F$14,$M133,BT$13))))</f>
        <v>1000000000000</v>
      </c>
      <c r="BV133" s="182">
        <f ca="1">IF($D133&lt;&gt;"Serviço",0,IF(OR(AND(AUTOEVENTO="Manual",$M133=1),$M133&gt;(ROW(PLE.lastrow)-ROW(PLE.firstrow))),0,IF(OFFSET(PLE!$G$14,$M133,BV$13)="",10^12,OFFSET(PLE!$G$14,$M133,BV$13))))</f>
        <v>1000000000000</v>
      </c>
      <c r="BW133" s="182">
        <f ca="1">IF($D133&lt;&gt;"Serviço",0,IF(OR(AND(AUTOEVENTO="Manual",$M133=1),$M133&gt;(ROW(PLE.lastrow)-ROW(PLE.firstrow))),0,IF(OFFSET(PLE!$G$14,$M133,BW$13)="",10^12,OFFSET(PLE!$G$14,$M133,BW$13))))</f>
        <v>1000000000000</v>
      </c>
      <c r="BX133" s="182">
        <f ca="1">IF($D133&lt;&gt;"Serviço",0,IF(OR(AND(AUTOEVENTO="Manual",$M133=1),$M133&gt;(ROW(PLE.lastrow)-ROW(PLE.firstrow))),0,IF(OFFSET(PLE!$G$14,$M133,BX$13)="",10^12,OFFSET(PLE!$G$14,$M133,BX$13))))</f>
        <v>1000000000000</v>
      </c>
      <c r="BY133" s="182">
        <f ca="1">IF($D133&lt;&gt;"Serviço",0,IF(OR(AND(AUTOEVENTO="Manual",$M133=1),$M133&gt;(ROW(PLE.lastrow)-ROW(PLE.firstrow))),0,IF(OFFSET(PLE!$G$14,$M133,BY$13)="",10^12,OFFSET(PLE!$G$14,$M133,BY$13))))</f>
        <v>1000000000000</v>
      </c>
      <c r="BZ133" s="182">
        <f ca="1">IF($D133&lt;&gt;"Serviço",0,IF(OR(AND(AUTOEVENTO="Manual",$M133=1),$M133&gt;(ROW(PLE.lastrow)-ROW(PLE.firstrow))),0,IF(OFFSET(PLE!$G$14,$M133,BZ$13)="",10^12,OFFSET(PLE!$G$14,$M133,BZ$13))))</f>
        <v>1000000000000</v>
      </c>
      <c r="CA133" s="182">
        <f ca="1">IF($D133&lt;&gt;"Serviço",0,IF(OR(AND(AUTOEVENTO="Manual",$M133=1),$M133&gt;(ROW(PLE.lastrow)-ROW(PLE.firstrow))),0,IF(OFFSET(PLE!$G$14,$M133,CA$13)="",10^12,OFFSET(PLE!$G$14,$M133,CA$13))))</f>
        <v>1000000000000</v>
      </c>
      <c r="CB133" s="182">
        <f ca="1">IF($D133&lt;&gt;"Serviço",0,IF(OR(AND(AUTOEVENTO="Manual",$M133=1),$M133&gt;(ROW(PLE.lastrow)-ROW(PLE.firstrow))),0,IF(OFFSET(PLE!$G$14,$M133,CB$13)="",10^12,OFFSET(PLE!$G$14,$M133,CB$13))))</f>
        <v>1000000000000</v>
      </c>
      <c r="CC133" s="182">
        <f ca="1">IF($D133&lt;&gt;"Serviço",0,IF(OR(AND(AUTOEVENTO="Manual",$M133=1),$M133&gt;(ROW(PLE.lastrow)-ROW(PLE.firstrow))),0,IF(OFFSET(PLE!$G$14,$M133,CC$13)="",10^12,OFFSET(PLE!$G$14,$M133,CC$13))))</f>
        <v>1000000000000</v>
      </c>
      <c r="CD133" s="182">
        <f ca="1">IF($D133&lt;&gt;"Serviço",0,IF(OR(AND(AUTOEVENTO="Manual",$M133=1),$M133&gt;(ROW(PLE.lastrow)-ROW(PLE.firstrow))),0,IF(OFFSET(PLE!$G$14,$M133,CD$13)="",10^12,OFFSET(PLE!$G$14,$M133,CD$13))))</f>
        <v>1000000000000</v>
      </c>
      <c r="CE133" s="182">
        <f ca="1">IF($D133&lt;&gt;"Serviço",0,IF(OR(AND(AUTOEVENTO="Manual",$M133=1),$M133&gt;(ROW(PLE.lastrow)-ROW(PLE.firstrow))),0,IF(OFFSET(PLE!$G$14,$M133,CE$13)="",10^12,OFFSET(PLE!$G$14,$M133,CE$13))))</f>
        <v>1000000000000</v>
      </c>
      <c r="CF133" s="182">
        <f ca="1">IF($D133&lt;&gt;"Serviço",0,IF(OR(AND(AUTOEVENTO="Manual",$M133=1),$M133&gt;(ROW(PLE.lastrow)-ROW(PLE.firstrow))),0,IF(OFFSET(PLE!$G$14,$M133,CF$13)="",10^12,OFFSET(PLE!$G$14,$M133,CF$13))))</f>
        <v>1000000000000</v>
      </c>
      <c r="CG133" s="182">
        <f ca="1">IF($D133&lt;&gt;"Serviço",0,IF(OR(AND(AUTOEVENTO="Manual",$M133=1),$M133&gt;(ROW(PLE.lastrow)-ROW(PLE.firstrow))),0,IF(OFFSET(PLE!$G$14,$M133,CG$13)="",10^12,OFFSET(PLE!$G$14,$M133,CG$13))))</f>
        <v>1000000000000</v>
      </c>
      <c r="CH133" s="182">
        <f ca="1">IF($D133&lt;&gt;"Serviço",0,IF(OR(AND(AUTOEVENTO="Manual",$M133=1),$M133&gt;(ROW(PLE.lastrow)-ROW(PLE.firstrow))),0,IF(OFFSET(PLE!$G$14,$M133,CH$13)="",10^12,OFFSET(PLE!$G$14,$M133,CH$13))))</f>
        <v>1000000000000</v>
      </c>
      <c r="CI133" s="182">
        <f ca="1">IF($D133&lt;&gt;"Serviço",0,IF(OR(AND(AUTOEVENTO="Manual",$M133=1),$M133&gt;(ROW(PLE.lastrow)-ROW(PLE.firstrow))),0,IF(OFFSET(PLE!$G$14,$M133,CI$13)="",10^12,OFFSET(PLE!$G$14,$M133,CI$13))))</f>
        <v>1000000000000</v>
      </c>
      <c r="CJ133" s="182">
        <f ca="1">IF($D133&lt;&gt;"Serviço",0,IF(OR(AND(AUTOEVENTO="Manual",$M133=1),$M133&gt;(ROW(PLE.lastrow)-ROW(PLE.firstrow))),0,IF(OFFSET(PLE!$G$14,$M133,CJ$13)="",10^12,OFFSET(PLE!$G$14,$M133,CJ$13))))</f>
        <v>1000000000000</v>
      </c>
      <c r="CK133" s="182">
        <f ca="1">IF($D133&lt;&gt;"Serviço",0,IF(OR(AND(AUTOEVENTO="Manual",$M133=1),$M133&gt;(ROW(PLE.lastrow)-ROW(PLE.firstrow))),0,IF(OFFSET(PLE!$G$14,$M133,CK$13)="",10^12,OFFSET(PLE!$G$14,$M133,CK$13))))</f>
        <v>1000000000000</v>
      </c>
      <c r="CL133" s="182">
        <f ca="1">IF($D133&lt;&gt;"Serviço",0,IF(OR(AND(AUTOEVENTO="Manual",$M133=1),$M133&gt;(ROW(PLE.lastrow)-ROW(PLE.firstrow))),0,IF(OFFSET(PLE!$G$14,$M133,CL$13)="",10^12,OFFSET(PLE!$G$14,$M133,CL$13))))</f>
        <v>1000000000000</v>
      </c>
      <c r="CM133" s="182">
        <f ca="1">IF($D133&lt;&gt;"Serviço",0,IF(OR(AND(AUTOEVENTO="Manual",$M133=1),$M133&gt;(ROW(PLE.lastrow)-ROW(PLE.firstrow))),0,IF(OFFSET(PLE!$G$14,$M133,CM$13)="",10^12,OFFSET(PLE!$G$14,$M133,CM$13))))</f>
        <v>1000000000000</v>
      </c>
    </row>
    <row r="134" spans="1:91" ht="12.75" x14ac:dyDescent="0.2">
      <c r="A134" s="7" t="str">
        <f t="shared" ca="1" si="11"/>
        <v>119.</v>
      </c>
      <c r="B134" s="7">
        <f ca="1">OFFSET(ORÇAMENTO!C$15,ROW(B134)-ROW(B$15),0)</f>
        <v>2</v>
      </c>
      <c r="C134" s="7" t="str">
        <f ca="1">OFFSET(ORÇAMENTO!L$15,ROW(C134)-ROW(C$15),0)</f>
        <v>F</v>
      </c>
      <c r="D134" s="118" t="str">
        <f ca="1">OFFSET(ORÇAMENTO!N$15,ROW(D134)-ROW(D$15),0)</f>
        <v>Nível 2</v>
      </c>
      <c r="E134" s="119" t="str">
        <f ca="1">OFFSET(ORÇAMENTO!O$15,ROW(E134)-ROW(E$15),0)</f>
        <v>1.21.</v>
      </c>
      <c r="F134" s="172" t="str">
        <f ca="1">OFFSET(ORÇAMENTO!R$15,ROW(F134)-ROW(F$15),0)</f>
        <v>ESQUADRIAS - JANELAS EM ALUMÍNIO</v>
      </c>
      <c r="G134" s="173" t="str">
        <f ca="1">IF($D134&lt;&gt;"Serviço","",OFFSET(ORÇAMENTO!S$15,ROW(G134)-ROW(G$15),0))</f>
        <v/>
      </c>
      <c r="H134" s="124">
        <f ca="1">IF($D134&lt;&gt;"Serviço",0,IF(ACOMPANHAMENTO="BM",ROUND(OFFSET(ORÇAMENTO!AJ$15,ROW(H134)-ROW(H$15),0),15-13*ORÇAMENTO!$AF$7),SUMPRODUCT(($Q$12:$AI$12&lt;&gt;"")*ROUND($Q134:$AI134,15-13*ORÇAMENTO!$AF$7))))</f>
        <v>0</v>
      </c>
      <c r="I134" s="561"/>
      <c r="K134" s="174"/>
      <c r="L134" s="175" t="s">
        <v>255</v>
      </c>
      <c r="M134" s="176" t="str">
        <f ca="1">IF($D134&lt;&gt;"Serviço","",IF(AUTOEVENTO="manual",$A134,IF(ISERROR(MATCH($A134,$A$15:OFFSET($A134,-1,0),0)),MAX($M$15:OFFSET(M134,-1,0))+1,INDEX($M$15:OFFSET(M134,-1,0),MATCH($A134,$A$15:OFFSET($A134,-1,0),0)))))</f>
        <v/>
      </c>
      <c r="N134" s="177" t="str">
        <f ca="1">IF($D134&lt;&gt;"Serviço","",IF(AUTOEVENTO="Manual",IF($A134=0,"&lt;-- defina o número do agrupador",OFFSET(EVENTOS!$D$14,$A134,0)),OFFSET($F$15,$A134,0)))</f>
        <v/>
      </c>
      <c r="O134" s="178"/>
      <c r="Q134" s="178"/>
      <c r="R134" s="179"/>
      <c r="S134" s="179"/>
      <c r="T134" s="179"/>
      <c r="U134" s="179"/>
      <c r="V134" s="179"/>
      <c r="W134" s="179"/>
      <c r="X134" s="179"/>
      <c r="Y134" s="179"/>
      <c r="Z134" s="180"/>
      <c r="AA134" s="179"/>
      <c r="AB134" s="179"/>
      <c r="AC134" s="179"/>
      <c r="AD134" s="179"/>
      <c r="AE134" s="179"/>
      <c r="AF134" s="179"/>
      <c r="AG134" s="179"/>
      <c r="AH134" s="180"/>
      <c r="AJ134" s="544">
        <f ca="1">IF(AND($D134="Serviço",AJ$12&lt;&gt;0,$H134&gt;0,OR(AUTOEVENTO&lt;&gt;"manual",$M134&lt;&gt;1)),
IF(Import.TipoArredondamento&lt;&gt;"TransfereGOV",
ROUND(OFFSET($P134,0,AJ$13),15-13*ORÇAMENTO!$AF$7)/$H134*OFFSET(ORÇAMENTO!$X$15,ROW(AJ134)-ROW(AJ$15),0),
ROUND(ROUND(OFFSET($P134,0,AJ$13),15-13*ORÇAMENTO!$AF$7)*OFFSET(ORÇAMENTO!$W$15,ROW(AJ134)-ROW(AJ$15),0),15-13*ORÇAMENTO!$AF$11)),0)</f>
        <v>0</v>
      </c>
      <c r="AK134" s="545">
        <f ca="1">IF(AND($D134="Serviço",AK$12&lt;&gt;0,$H134&gt;0,OR(AUTOEVENTO&lt;&gt;"manual",$M134&lt;&gt;1)),
IF(Import.TipoArredondamento&lt;&gt;"TransfereGOV",
ROUND(OFFSET($P134,0,AK$13),15-13*ORÇAMENTO!$AF$7)/$H134*OFFSET(ORÇAMENTO!$X$15,ROW(AK134)-ROW(AK$15),0),
ROUND(ROUND(OFFSET($P134,0,AK$13),15-13*ORÇAMENTO!$AF$7)*OFFSET(ORÇAMENTO!$W$15,ROW(AK134)-ROW(AK$15),0),15-13*ORÇAMENTO!$AF$11)),0)</f>
        <v>0</v>
      </c>
      <c r="AL134" s="545">
        <f ca="1">IF(AND($D134="Serviço",AL$12&lt;&gt;0,$H134&gt;0,OR(AUTOEVENTO&lt;&gt;"manual",$M134&lt;&gt;1)),
IF(Import.TipoArredondamento&lt;&gt;"TransfereGOV",
ROUND(OFFSET($P134,0,AL$13),15-13*ORÇAMENTO!$AF$7)/$H134*OFFSET(ORÇAMENTO!$X$15,ROW(AL134)-ROW(AL$15),0),
ROUND(ROUND(OFFSET($P134,0,AL$13),15-13*ORÇAMENTO!$AF$7)*OFFSET(ORÇAMENTO!$W$15,ROW(AL134)-ROW(AL$15),0),15-13*ORÇAMENTO!$AF$11)),0)</f>
        <v>0</v>
      </c>
      <c r="AM134" s="545">
        <f ca="1">IF(AND($D134="Serviço",AM$12&lt;&gt;0,$H134&gt;0,OR(AUTOEVENTO&lt;&gt;"manual",$M134&lt;&gt;1)),
IF(Import.TipoArredondamento&lt;&gt;"TransfereGOV",
ROUND(OFFSET($P134,0,AM$13),15-13*ORÇAMENTO!$AF$7)/$H134*OFFSET(ORÇAMENTO!$X$15,ROW(AM134)-ROW(AM$15),0),
ROUND(ROUND(OFFSET($P134,0,AM$13),15-13*ORÇAMENTO!$AF$7)*OFFSET(ORÇAMENTO!$W$15,ROW(AM134)-ROW(AM$15),0),15-13*ORÇAMENTO!$AF$11)),0)</f>
        <v>0</v>
      </c>
      <c r="AN134" s="545">
        <f ca="1">IF(AND($D134="Serviço",AN$12&lt;&gt;0,$H134&gt;0,OR(AUTOEVENTO&lt;&gt;"manual",$M134&lt;&gt;1)),
IF(Import.TipoArredondamento&lt;&gt;"TransfereGOV",
ROUND(OFFSET($P134,0,AN$13),15-13*ORÇAMENTO!$AF$7)/$H134*OFFSET(ORÇAMENTO!$X$15,ROW(AN134)-ROW(AN$15),0),
ROUND(ROUND(OFFSET($P134,0,AN$13),15-13*ORÇAMENTO!$AF$7)*OFFSET(ORÇAMENTO!$W$15,ROW(AN134)-ROW(AN$15),0),15-13*ORÇAMENTO!$AF$11)),0)</f>
        <v>0</v>
      </c>
      <c r="AO134" s="545">
        <f ca="1">IF(AND($D134="Serviço",AO$12&lt;&gt;0,$H134&gt;0,OR(AUTOEVENTO&lt;&gt;"manual",$M134&lt;&gt;1)),
IF(Import.TipoArredondamento&lt;&gt;"TransfereGOV",
ROUND(OFFSET($P134,0,AO$13),15-13*ORÇAMENTO!$AF$7)/$H134*OFFSET(ORÇAMENTO!$X$15,ROW(AO134)-ROW(AO$15),0),
ROUND(ROUND(OFFSET($P134,0,AO$13),15-13*ORÇAMENTO!$AF$7)*OFFSET(ORÇAMENTO!$W$15,ROW(AO134)-ROW(AO$15),0),15-13*ORÇAMENTO!$AF$11)),0)</f>
        <v>0</v>
      </c>
      <c r="AP134" s="545">
        <f ca="1">IF(AND($D134="Serviço",AP$12&lt;&gt;0,$H134&gt;0,OR(AUTOEVENTO&lt;&gt;"manual",$M134&lt;&gt;1)),
IF(Import.TipoArredondamento&lt;&gt;"TransfereGOV",
ROUND(OFFSET($P134,0,AP$13),15-13*ORÇAMENTO!$AF$7)/$H134*OFFSET(ORÇAMENTO!$X$15,ROW(AP134)-ROW(AP$15),0),
ROUND(ROUND(OFFSET($P134,0,AP$13),15-13*ORÇAMENTO!$AF$7)*OFFSET(ORÇAMENTO!$W$15,ROW(AP134)-ROW(AP$15),0),15-13*ORÇAMENTO!$AF$11)),0)</f>
        <v>0</v>
      </c>
      <c r="AQ134" s="545">
        <f ca="1">IF(AND($D134="Serviço",AQ$12&lt;&gt;0,$H134&gt;0,OR(AUTOEVENTO&lt;&gt;"manual",$M134&lt;&gt;1)),
IF(Import.TipoArredondamento&lt;&gt;"TransfereGOV",
ROUND(OFFSET($P134,0,AQ$13),15-13*ORÇAMENTO!$AF$7)/$H134*OFFSET(ORÇAMENTO!$X$15,ROW(AQ134)-ROW(AQ$15),0),
ROUND(ROUND(OFFSET($P134,0,AQ$13),15-13*ORÇAMENTO!$AF$7)*OFFSET(ORÇAMENTO!$W$15,ROW(AQ134)-ROW(AQ$15),0),15-13*ORÇAMENTO!$AF$11)),0)</f>
        <v>0</v>
      </c>
      <c r="AR134" s="545">
        <f ca="1">IF(AND($D134="Serviço",AR$12&lt;&gt;0,$H134&gt;0,OR(AUTOEVENTO&lt;&gt;"manual",$M134&lt;&gt;1)),
IF(Import.TipoArredondamento&lt;&gt;"TransfereGOV",
ROUND(OFFSET($P134,0,AR$13),15-13*ORÇAMENTO!$AF$7)/$H134*OFFSET(ORÇAMENTO!$X$15,ROW(AR134)-ROW(AR$15),0),
ROUND(ROUND(OFFSET($P134,0,AR$13),15-13*ORÇAMENTO!$AF$7)*OFFSET(ORÇAMENTO!$W$15,ROW(AR134)-ROW(AR$15),0),15-13*ORÇAMENTO!$AF$11)),0)</f>
        <v>0</v>
      </c>
      <c r="AS134" s="546">
        <f ca="1">IF(AND($D134="Serviço",AS$12&lt;&gt;0,$H134&gt;0,OR(AUTOEVENTO&lt;&gt;"manual",$M134&lt;&gt;1)),
IF(Import.TipoArredondamento&lt;&gt;"TransfereGOV",
ROUND(OFFSET($P134,0,AS$13),15-13*ORÇAMENTO!$AF$7)/$H134*OFFSET(ORÇAMENTO!$X$15,ROW(AS134)-ROW(AS$15),0),
ROUND(ROUND(OFFSET($P134,0,AS$13),15-13*ORÇAMENTO!$AF$7)*OFFSET(ORÇAMENTO!$W$15,ROW(AS134)-ROW(AS$15),0),15-13*ORÇAMENTO!$AF$11)),0)</f>
        <v>0</v>
      </c>
      <c r="AT134" s="545">
        <f ca="1">IF(AND($D134="Serviço",AT$12&lt;&gt;0,$H134&gt;0,OR(AUTOEVENTO&lt;&gt;"manual",$M134&lt;&gt;1)),
IF(Import.TipoArredondamento&lt;&gt;"TransfereGOV",
ROUND(OFFSET($P134,0,AT$13),15-13*ORÇAMENTO!$AF$7)/$H134*OFFSET(ORÇAMENTO!$X$15,ROW(AT134)-ROW(AT$15),0),
ROUND(ROUND(OFFSET($P134,0,AT$13),15-13*ORÇAMENTO!$AF$7)*OFFSET(ORÇAMENTO!$W$15,ROW(AT134)-ROW(AT$15),0),15-13*ORÇAMENTO!$AF$11)),0)</f>
        <v>0</v>
      </c>
      <c r="AU134" s="545">
        <f ca="1">IF(AND($D134="Serviço",AU$12&lt;&gt;0,$H134&gt;0,OR(AUTOEVENTO&lt;&gt;"manual",$M134&lt;&gt;1)),
IF(Import.TipoArredondamento&lt;&gt;"TransfereGOV",
ROUND(OFFSET($P134,0,AU$13),15-13*ORÇAMENTO!$AF$7)/$H134*OFFSET(ORÇAMENTO!$X$15,ROW(AU134)-ROW(AU$15),0),
ROUND(ROUND(OFFSET($P134,0,AU$13),15-13*ORÇAMENTO!$AF$7)*OFFSET(ORÇAMENTO!$W$15,ROW(AU134)-ROW(AU$15),0),15-13*ORÇAMENTO!$AF$11)),0)</f>
        <v>0</v>
      </c>
      <c r="AV134" s="545">
        <f ca="1">IF(AND($D134="Serviço",AV$12&lt;&gt;0,$H134&gt;0,OR(AUTOEVENTO&lt;&gt;"manual",$M134&lt;&gt;1)),
IF(Import.TipoArredondamento&lt;&gt;"TransfereGOV",
ROUND(OFFSET($P134,0,AV$13),15-13*ORÇAMENTO!$AF$7)/$H134*OFFSET(ORÇAMENTO!$X$15,ROW(AV134)-ROW(AV$15),0),
ROUND(ROUND(OFFSET($P134,0,AV$13),15-13*ORÇAMENTO!$AF$7)*OFFSET(ORÇAMENTO!$W$15,ROW(AV134)-ROW(AV$15),0),15-13*ORÇAMENTO!$AF$11)),0)</f>
        <v>0</v>
      </c>
      <c r="AW134" s="545">
        <f ca="1">IF(AND($D134="Serviço",AW$12&lt;&gt;0,$H134&gt;0,OR(AUTOEVENTO&lt;&gt;"manual",$M134&lt;&gt;1)),
IF(Import.TipoArredondamento&lt;&gt;"TransfereGOV",
ROUND(OFFSET($P134,0,AW$13),15-13*ORÇAMENTO!$AF$7)/$H134*OFFSET(ORÇAMENTO!$X$15,ROW(AW134)-ROW(AW$15),0),
ROUND(ROUND(OFFSET($P134,0,AW$13),15-13*ORÇAMENTO!$AF$7)*OFFSET(ORÇAMENTO!$W$15,ROW(AW134)-ROW(AW$15),0),15-13*ORÇAMENTO!$AF$11)),0)</f>
        <v>0</v>
      </c>
      <c r="AX134" s="545">
        <f ca="1">IF(AND($D134="Serviço",AX$12&lt;&gt;0,$H134&gt;0,OR(AUTOEVENTO&lt;&gt;"manual",$M134&lt;&gt;1)),
IF(Import.TipoArredondamento&lt;&gt;"TransfereGOV",
ROUND(OFFSET($P134,0,AX$13),15-13*ORÇAMENTO!$AF$7)/$H134*OFFSET(ORÇAMENTO!$X$15,ROW(AX134)-ROW(AX$15),0),
ROUND(ROUND(OFFSET($P134,0,AX$13),15-13*ORÇAMENTO!$AF$7)*OFFSET(ORÇAMENTO!$W$15,ROW(AX134)-ROW(AX$15),0),15-13*ORÇAMENTO!$AF$11)),0)</f>
        <v>0</v>
      </c>
      <c r="AY134" s="545">
        <f ca="1">IF(AND($D134="Serviço",AY$12&lt;&gt;0,$H134&gt;0,OR(AUTOEVENTO&lt;&gt;"manual",$M134&lt;&gt;1)),
IF(Import.TipoArredondamento&lt;&gt;"TransfereGOV",
ROUND(OFFSET($P134,0,AY$13),15-13*ORÇAMENTO!$AF$7)/$H134*OFFSET(ORÇAMENTO!$X$15,ROW(AY134)-ROW(AY$15),0),
ROUND(ROUND(OFFSET($P134,0,AY$13),15-13*ORÇAMENTO!$AF$7)*OFFSET(ORÇAMENTO!$W$15,ROW(AY134)-ROW(AY$15),0),15-13*ORÇAMENTO!$AF$11)),0)</f>
        <v>0</v>
      </c>
      <c r="AZ134" s="545">
        <f ca="1">IF(AND($D134="Serviço",AZ$12&lt;&gt;0,$H134&gt;0,OR(AUTOEVENTO&lt;&gt;"manual",$M134&lt;&gt;1)),
IF(Import.TipoArredondamento&lt;&gt;"TransfereGOV",
ROUND(OFFSET($P134,0,AZ$13),15-13*ORÇAMENTO!$AF$7)/$H134*OFFSET(ORÇAMENTO!$X$15,ROW(AZ134)-ROW(AZ$15),0),
ROUND(ROUND(OFFSET($P134,0,AZ$13),15-13*ORÇAMENTO!$AF$7)*OFFSET(ORÇAMENTO!$W$15,ROW(AZ134)-ROW(AZ$15),0),15-13*ORÇAMENTO!$AF$11)),0)</f>
        <v>0</v>
      </c>
      <c r="BA134" s="546">
        <f ca="1">IF(AND($D134="Serviço",BA$12&lt;&gt;0,$H134&gt;0,OR(AUTOEVENTO&lt;&gt;"manual",$M134&lt;&gt;1)),
IF(Import.TipoArredondamento&lt;&gt;"TransfereGOV",
ROUND(OFFSET($P134,0,BA$13),15-13*ORÇAMENTO!$AF$7)/$H134*OFFSET(ORÇAMENTO!$X$15,ROW(BA134)-ROW(BA$15),0),
ROUND(ROUND(OFFSET($P134,0,BA$13),15-13*ORÇAMENTO!$AF$7)*OFFSET(ORÇAMENTO!$W$15,ROW(BA134)-ROW(BA$15),0),15-13*ORÇAMENTO!$AF$11)),0)</f>
        <v>0</v>
      </c>
      <c r="BC134" s="181">
        <f ca="1">IF($D134&lt;&gt;"Serviço",0,IF(AND(AUTOEVENTO="Manual",$M134=1),0,IF(OFFSET(CRONOPLE!$F$14,$M134,BC$13)="",10^12,OFFSET(CRONOPLE!$F$14,$M134,BC$13))))</f>
        <v>0</v>
      </c>
      <c r="BD134" s="181">
        <f ca="1">IF($D134&lt;&gt;"Serviço",0,IF(AND(AUTOEVENTO="Manual",$M134=1),0,IF(OFFSET(CRONOPLE!$F$14,$M134,BD$13)="",10^12,OFFSET(CRONOPLE!$F$14,$M134,BD$13))))</f>
        <v>0</v>
      </c>
      <c r="BE134" s="181">
        <f ca="1">IF($D134&lt;&gt;"Serviço",0,IF(AND(AUTOEVENTO="Manual",$M134=1),0,IF(OFFSET(CRONOPLE!$F$14,$M134,BE$13)="",10^12,OFFSET(CRONOPLE!$F$14,$M134,BE$13))))</f>
        <v>0</v>
      </c>
      <c r="BF134" s="181">
        <f ca="1">IF($D134&lt;&gt;"Serviço",0,IF(AND(AUTOEVENTO="Manual",$M134=1),0,IF(OFFSET(CRONOPLE!$F$14,$M134,BF$13)="",10^12,OFFSET(CRONOPLE!$F$14,$M134,BF$13))))</f>
        <v>0</v>
      </c>
      <c r="BG134" s="181">
        <f ca="1">IF($D134&lt;&gt;"Serviço",0,IF(AND(AUTOEVENTO="Manual",$M134=1),0,IF(OFFSET(CRONOPLE!$F$14,$M134,BG$13)="",10^12,OFFSET(CRONOPLE!$F$14,$M134,BG$13))))</f>
        <v>0</v>
      </c>
      <c r="BH134" s="181">
        <f ca="1">IF($D134&lt;&gt;"Serviço",0,IF(AND(AUTOEVENTO="Manual",$M134=1),0,IF(OFFSET(CRONOPLE!$F$14,$M134,BH$13)="",10^12,OFFSET(CRONOPLE!$F$14,$M134,BH$13))))</f>
        <v>0</v>
      </c>
      <c r="BI134" s="181">
        <f ca="1">IF($D134&lt;&gt;"Serviço",0,IF(AND(AUTOEVENTO="Manual",$M134=1),0,IF(OFFSET(CRONOPLE!$F$14,$M134,BI$13)="",10^12,OFFSET(CRONOPLE!$F$14,$M134,BI$13))))</f>
        <v>0</v>
      </c>
      <c r="BJ134" s="181">
        <f ca="1">IF($D134&lt;&gt;"Serviço",0,IF(AND(AUTOEVENTO="Manual",$M134=1),0,IF(OFFSET(CRONOPLE!$F$14,$M134,BJ$13)="",10^12,OFFSET(CRONOPLE!$F$14,$M134,BJ$13))))</f>
        <v>0</v>
      </c>
      <c r="BK134" s="181">
        <f ca="1">IF($D134&lt;&gt;"Serviço",0,IF(AND(AUTOEVENTO="Manual",$M134=1),0,IF(OFFSET(CRONOPLE!$F$14,$M134,BK$13)="",10^12,OFFSET(CRONOPLE!$F$14,$M134,BK$13))))</f>
        <v>0</v>
      </c>
      <c r="BL134" s="181">
        <f ca="1">IF($D134&lt;&gt;"Serviço",0,IF(AND(AUTOEVENTO="Manual",$M134=1),0,IF(OFFSET(CRONOPLE!$F$14,$M134,BL$13)="",10^12,OFFSET(CRONOPLE!$F$14,$M134,BL$13))))</f>
        <v>0</v>
      </c>
      <c r="BM134" s="181">
        <f ca="1">IF($D134&lt;&gt;"Serviço",0,IF(AND(AUTOEVENTO="Manual",$M134=1),0,IF(OFFSET(CRONOPLE!$F$14,$M134,BM$13)="",10^12,OFFSET(CRONOPLE!$F$14,$M134,BM$13))))</f>
        <v>0</v>
      </c>
      <c r="BN134" s="181">
        <f ca="1">IF($D134&lt;&gt;"Serviço",0,IF(AND(AUTOEVENTO="Manual",$M134=1),0,IF(OFFSET(CRONOPLE!$F$14,$M134,BN$13)="",10^12,OFFSET(CRONOPLE!$F$14,$M134,BN$13))))</f>
        <v>0</v>
      </c>
      <c r="BO134" s="181">
        <f ca="1">IF($D134&lt;&gt;"Serviço",0,IF(AND(AUTOEVENTO="Manual",$M134=1),0,IF(OFFSET(CRONOPLE!$F$14,$M134,BO$13)="",10^12,OFFSET(CRONOPLE!$F$14,$M134,BO$13))))</f>
        <v>0</v>
      </c>
      <c r="BP134" s="181">
        <f ca="1">IF($D134&lt;&gt;"Serviço",0,IF(AND(AUTOEVENTO="Manual",$M134=1),0,IF(OFFSET(CRONOPLE!$F$14,$M134,BP$13)="",10^12,OFFSET(CRONOPLE!$F$14,$M134,BP$13))))</f>
        <v>0</v>
      </c>
      <c r="BQ134" s="181">
        <f ca="1">IF($D134&lt;&gt;"Serviço",0,IF(AND(AUTOEVENTO="Manual",$M134=1),0,IF(OFFSET(CRONOPLE!$F$14,$M134,BQ$13)="",10^12,OFFSET(CRONOPLE!$F$14,$M134,BQ$13))))</f>
        <v>0</v>
      </c>
      <c r="BR134" s="181">
        <f ca="1">IF($D134&lt;&gt;"Serviço",0,IF(AND(AUTOEVENTO="Manual",$M134=1),0,IF(OFFSET(CRONOPLE!$F$14,$M134,BR$13)="",10^12,OFFSET(CRONOPLE!$F$14,$M134,BR$13))))</f>
        <v>0</v>
      </c>
      <c r="BS134" s="181">
        <f ca="1">IF($D134&lt;&gt;"Serviço",0,IF(AND(AUTOEVENTO="Manual",$M134=1),0,IF(OFFSET(CRONOPLE!$F$14,$M134,BS$13)="",10^12,OFFSET(CRONOPLE!$F$14,$M134,BS$13))))</f>
        <v>0</v>
      </c>
      <c r="BT134" s="181">
        <f ca="1">IF($D134&lt;&gt;"Serviço",0,IF(AND(AUTOEVENTO="Manual",$M134=1),0,IF(OFFSET(CRONOPLE!$F$14,$M134,BT$13)="",10^12,OFFSET(CRONOPLE!$F$14,$M134,BT$13))))</f>
        <v>0</v>
      </c>
      <c r="BV134" s="182">
        <f ca="1">IF($D134&lt;&gt;"Serviço",0,IF(OR(AND(AUTOEVENTO="Manual",$M134=1),$M134&gt;(ROW(PLE.lastrow)-ROW(PLE.firstrow))),0,IF(OFFSET(PLE!$G$14,$M134,BV$13)="",10^12,OFFSET(PLE!$G$14,$M134,BV$13))))</f>
        <v>0</v>
      </c>
      <c r="BW134" s="182">
        <f ca="1">IF($D134&lt;&gt;"Serviço",0,IF(OR(AND(AUTOEVENTO="Manual",$M134=1),$M134&gt;(ROW(PLE.lastrow)-ROW(PLE.firstrow))),0,IF(OFFSET(PLE!$G$14,$M134,BW$13)="",10^12,OFFSET(PLE!$G$14,$M134,BW$13))))</f>
        <v>0</v>
      </c>
      <c r="BX134" s="182">
        <f ca="1">IF($D134&lt;&gt;"Serviço",0,IF(OR(AND(AUTOEVENTO="Manual",$M134=1),$M134&gt;(ROW(PLE.lastrow)-ROW(PLE.firstrow))),0,IF(OFFSET(PLE!$G$14,$M134,BX$13)="",10^12,OFFSET(PLE!$G$14,$M134,BX$13))))</f>
        <v>0</v>
      </c>
      <c r="BY134" s="182">
        <f ca="1">IF($D134&lt;&gt;"Serviço",0,IF(OR(AND(AUTOEVENTO="Manual",$M134=1),$M134&gt;(ROW(PLE.lastrow)-ROW(PLE.firstrow))),0,IF(OFFSET(PLE!$G$14,$M134,BY$13)="",10^12,OFFSET(PLE!$G$14,$M134,BY$13))))</f>
        <v>0</v>
      </c>
      <c r="BZ134" s="182">
        <f ca="1">IF($D134&lt;&gt;"Serviço",0,IF(OR(AND(AUTOEVENTO="Manual",$M134=1),$M134&gt;(ROW(PLE.lastrow)-ROW(PLE.firstrow))),0,IF(OFFSET(PLE!$G$14,$M134,BZ$13)="",10^12,OFFSET(PLE!$G$14,$M134,BZ$13))))</f>
        <v>0</v>
      </c>
      <c r="CA134" s="182">
        <f ca="1">IF($D134&lt;&gt;"Serviço",0,IF(OR(AND(AUTOEVENTO="Manual",$M134=1),$M134&gt;(ROW(PLE.lastrow)-ROW(PLE.firstrow))),0,IF(OFFSET(PLE!$G$14,$M134,CA$13)="",10^12,OFFSET(PLE!$G$14,$M134,CA$13))))</f>
        <v>0</v>
      </c>
      <c r="CB134" s="182">
        <f ca="1">IF($D134&lt;&gt;"Serviço",0,IF(OR(AND(AUTOEVENTO="Manual",$M134=1),$M134&gt;(ROW(PLE.lastrow)-ROW(PLE.firstrow))),0,IF(OFFSET(PLE!$G$14,$M134,CB$13)="",10^12,OFFSET(PLE!$G$14,$M134,CB$13))))</f>
        <v>0</v>
      </c>
      <c r="CC134" s="182">
        <f ca="1">IF($D134&lt;&gt;"Serviço",0,IF(OR(AND(AUTOEVENTO="Manual",$M134=1),$M134&gt;(ROW(PLE.lastrow)-ROW(PLE.firstrow))),0,IF(OFFSET(PLE!$G$14,$M134,CC$13)="",10^12,OFFSET(PLE!$G$14,$M134,CC$13))))</f>
        <v>0</v>
      </c>
      <c r="CD134" s="182">
        <f ca="1">IF($D134&lt;&gt;"Serviço",0,IF(OR(AND(AUTOEVENTO="Manual",$M134=1),$M134&gt;(ROW(PLE.lastrow)-ROW(PLE.firstrow))),0,IF(OFFSET(PLE!$G$14,$M134,CD$13)="",10^12,OFFSET(PLE!$G$14,$M134,CD$13))))</f>
        <v>0</v>
      </c>
      <c r="CE134" s="182">
        <f ca="1">IF($D134&lt;&gt;"Serviço",0,IF(OR(AND(AUTOEVENTO="Manual",$M134=1),$M134&gt;(ROW(PLE.lastrow)-ROW(PLE.firstrow))),0,IF(OFFSET(PLE!$G$14,$M134,CE$13)="",10^12,OFFSET(PLE!$G$14,$M134,CE$13))))</f>
        <v>0</v>
      </c>
      <c r="CF134" s="182">
        <f ca="1">IF($D134&lt;&gt;"Serviço",0,IF(OR(AND(AUTOEVENTO="Manual",$M134=1),$M134&gt;(ROW(PLE.lastrow)-ROW(PLE.firstrow))),0,IF(OFFSET(PLE!$G$14,$M134,CF$13)="",10^12,OFFSET(PLE!$G$14,$M134,CF$13))))</f>
        <v>0</v>
      </c>
      <c r="CG134" s="182">
        <f ca="1">IF($D134&lt;&gt;"Serviço",0,IF(OR(AND(AUTOEVENTO="Manual",$M134=1),$M134&gt;(ROW(PLE.lastrow)-ROW(PLE.firstrow))),0,IF(OFFSET(PLE!$G$14,$M134,CG$13)="",10^12,OFFSET(PLE!$G$14,$M134,CG$13))))</f>
        <v>0</v>
      </c>
      <c r="CH134" s="182">
        <f ca="1">IF($D134&lt;&gt;"Serviço",0,IF(OR(AND(AUTOEVENTO="Manual",$M134=1),$M134&gt;(ROW(PLE.lastrow)-ROW(PLE.firstrow))),0,IF(OFFSET(PLE!$G$14,$M134,CH$13)="",10^12,OFFSET(PLE!$G$14,$M134,CH$13))))</f>
        <v>0</v>
      </c>
      <c r="CI134" s="182">
        <f ca="1">IF($D134&lt;&gt;"Serviço",0,IF(OR(AND(AUTOEVENTO="Manual",$M134=1),$M134&gt;(ROW(PLE.lastrow)-ROW(PLE.firstrow))),0,IF(OFFSET(PLE!$G$14,$M134,CI$13)="",10^12,OFFSET(PLE!$G$14,$M134,CI$13))))</f>
        <v>0</v>
      </c>
      <c r="CJ134" s="182">
        <f ca="1">IF($D134&lt;&gt;"Serviço",0,IF(OR(AND(AUTOEVENTO="Manual",$M134=1),$M134&gt;(ROW(PLE.lastrow)-ROW(PLE.firstrow))),0,IF(OFFSET(PLE!$G$14,$M134,CJ$13)="",10^12,OFFSET(PLE!$G$14,$M134,CJ$13))))</f>
        <v>0</v>
      </c>
      <c r="CK134" s="182">
        <f ca="1">IF($D134&lt;&gt;"Serviço",0,IF(OR(AND(AUTOEVENTO="Manual",$M134=1),$M134&gt;(ROW(PLE.lastrow)-ROW(PLE.firstrow))),0,IF(OFFSET(PLE!$G$14,$M134,CK$13)="",10^12,OFFSET(PLE!$G$14,$M134,CK$13))))</f>
        <v>0</v>
      </c>
      <c r="CL134" s="182">
        <f ca="1">IF($D134&lt;&gt;"Serviço",0,IF(OR(AND(AUTOEVENTO="Manual",$M134=1),$M134&gt;(ROW(PLE.lastrow)-ROW(PLE.firstrow))),0,IF(OFFSET(PLE!$G$14,$M134,CL$13)="",10^12,OFFSET(PLE!$G$14,$M134,CL$13))))</f>
        <v>0</v>
      </c>
      <c r="CM134" s="182">
        <f ca="1">IF($D134&lt;&gt;"Serviço",0,IF(OR(AND(AUTOEVENTO="Manual",$M134=1),$M134&gt;(ROW(PLE.lastrow)-ROW(PLE.firstrow))),0,IF(OFFSET(PLE!$G$14,$M134,CM$13)="",10^12,OFFSET(PLE!$G$14,$M134,CM$13))))</f>
        <v>0</v>
      </c>
    </row>
    <row r="135" spans="1:91" ht="51" x14ac:dyDescent="0.2">
      <c r="A135" s="7" t="str">
        <f t="shared" ca="1" si="11"/>
        <v>119</v>
      </c>
      <c r="B135" s="7" t="str">
        <f ca="1">OFFSET(ORÇAMENTO!C$15,ROW(B135)-ROW(B$15),0)</f>
        <v>S</v>
      </c>
      <c r="C135" s="7" t="str">
        <f ca="1">OFFSET(ORÇAMENTO!L$15,ROW(C135)-ROW(C$15),0)</f>
        <v/>
      </c>
      <c r="D135" s="118" t="str">
        <f ca="1">OFFSET(ORÇAMENTO!N$15,ROW(D135)-ROW(D$15),0)</f>
        <v>Serviço</v>
      </c>
      <c r="E135" s="119" t="str">
        <f ca="1">OFFSET(ORÇAMENTO!O$15,ROW(E135)-ROW(E$15),0)</f>
        <v>-</v>
      </c>
      <c r="F135" s="172" t="str">
        <f ca="1">OFFSET(ORÇAMENTO!R$15,ROW(F135)-ROW(F$15),0)</f>
        <v>(abra o arquivo 'Referência 06-2024.xlsm)</v>
      </c>
      <c r="G135" s="173" t="str">
        <f ca="1">IF($D135&lt;&gt;"Serviço","",OFFSET(ORÇAMENTO!S$15,ROW(G135)-ROW(G$15),0))</f>
        <v>-</v>
      </c>
      <c r="H135" s="124">
        <f ca="1">IF($D135&lt;&gt;"Serviço",0,IF(ACOMPANHAMENTO="BM",ROUND(OFFSET(ORÇAMENTO!AJ$15,ROW(H135)-ROW(H$15),0),15-13*ORÇAMENTO!$AF$7),SUMPRODUCT(($Q$12:$AI$12&lt;&gt;"")*ROUND($Q135:$AI135,15-13*ORÇAMENTO!$AF$7))))</f>
        <v>0.88</v>
      </c>
      <c r="I135" s="561" t="s">
        <v>1107</v>
      </c>
      <c r="K135" s="174"/>
      <c r="L135" s="175" t="s">
        <v>255</v>
      </c>
      <c r="M135" s="176">
        <f ca="1">IF($D135&lt;&gt;"Serviço","",IF(AUTOEVENTO="manual",$A135,IF(ISERROR(MATCH($A135,$A$15:OFFSET($A135,-1,0),0)),MAX($M$15:OFFSET(M135,-1,0))+1,INDEX($M$15:OFFSET(M135,-1,0),MATCH($A135,$A$15:OFFSET($A135,-1,0),0)))))</f>
        <v>22</v>
      </c>
      <c r="N135" s="177" t="str">
        <f ca="1">IF($D135&lt;&gt;"Serviço","",IF(AUTOEVENTO="Manual",IF($A135=0,"&lt;-- defina o número do agrupador",OFFSET(EVENTOS!$D$14,$A135,0)),OFFSET($F$15,$A135,0)))</f>
        <v>ESQUADRIAS - JANELAS EM ALUMÍNIO</v>
      </c>
      <c r="O135" s="178"/>
      <c r="Q135" s="178">
        <v>0.88</v>
      </c>
      <c r="R135" s="179"/>
      <c r="S135" s="179"/>
      <c r="T135" s="179"/>
      <c r="U135" s="179"/>
      <c r="V135" s="179"/>
      <c r="W135" s="179"/>
      <c r="X135" s="179"/>
      <c r="Y135" s="179"/>
      <c r="Z135" s="180"/>
      <c r="AA135" s="179"/>
      <c r="AB135" s="179"/>
      <c r="AC135" s="179"/>
      <c r="AD135" s="179"/>
      <c r="AE135" s="179"/>
      <c r="AF135" s="179"/>
      <c r="AG135" s="179"/>
      <c r="AH135" s="180"/>
      <c r="AJ135" s="544">
        <f ca="1">IF(AND($D135="Serviço",AJ$12&lt;&gt;0,$H135&gt;0,OR(AUTOEVENTO&lt;&gt;"manual",$M135&lt;&gt;1)),
IF(Import.TipoArredondamento&lt;&gt;"TransfereGOV",
ROUND(OFFSET($P135,0,AJ$13),15-13*ORÇAMENTO!$AF$7)/$H135*OFFSET(ORÇAMENTO!$X$15,ROW(AJ135)-ROW(AJ$15),0),
ROUND(ROUND(OFFSET($P135,0,AJ$13),15-13*ORÇAMENTO!$AF$7)*OFFSET(ORÇAMENTO!$W$15,ROW(AJ135)-ROW(AJ$15),0),15-13*ORÇAMENTO!$AF$11)),0)</f>
        <v>0</v>
      </c>
      <c r="AK135" s="545">
        <f ca="1">IF(AND($D135="Serviço",AK$12&lt;&gt;0,$H135&gt;0,OR(AUTOEVENTO&lt;&gt;"manual",$M135&lt;&gt;1)),
IF(Import.TipoArredondamento&lt;&gt;"TransfereGOV",
ROUND(OFFSET($P135,0,AK$13),15-13*ORÇAMENTO!$AF$7)/$H135*OFFSET(ORÇAMENTO!$X$15,ROW(AK135)-ROW(AK$15),0),
ROUND(ROUND(OFFSET($P135,0,AK$13),15-13*ORÇAMENTO!$AF$7)*OFFSET(ORÇAMENTO!$W$15,ROW(AK135)-ROW(AK$15),0),15-13*ORÇAMENTO!$AF$11)),0)</f>
        <v>0</v>
      </c>
      <c r="AL135" s="545">
        <f ca="1">IF(AND($D135="Serviço",AL$12&lt;&gt;0,$H135&gt;0,OR(AUTOEVENTO&lt;&gt;"manual",$M135&lt;&gt;1)),
IF(Import.TipoArredondamento&lt;&gt;"TransfereGOV",
ROUND(OFFSET($P135,0,AL$13),15-13*ORÇAMENTO!$AF$7)/$H135*OFFSET(ORÇAMENTO!$X$15,ROW(AL135)-ROW(AL$15),0),
ROUND(ROUND(OFFSET($P135,0,AL$13),15-13*ORÇAMENTO!$AF$7)*OFFSET(ORÇAMENTO!$W$15,ROW(AL135)-ROW(AL$15),0),15-13*ORÇAMENTO!$AF$11)),0)</f>
        <v>0</v>
      </c>
      <c r="AM135" s="545">
        <f ca="1">IF(AND($D135="Serviço",AM$12&lt;&gt;0,$H135&gt;0,OR(AUTOEVENTO&lt;&gt;"manual",$M135&lt;&gt;1)),
IF(Import.TipoArredondamento&lt;&gt;"TransfereGOV",
ROUND(OFFSET($P135,0,AM$13),15-13*ORÇAMENTO!$AF$7)/$H135*OFFSET(ORÇAMENTO!$X$15,ROW(AM135)-ROW(AM$15),0),
ROUND(ROUND(OFFSET($P135,0,AM$13),15-13*ORÇAMENTO!$AF$7)*OFFSET(ORÇAMENTO!$W$15,ROW(AM135)-ROW(AM$15),0),15-13*ORÇAMENTO!$AF$11)),0)</f>
        <v>0</v>
      </c>
      <c r="AN135" s="545">
        <f ca="1">IF(AND($D135="Serviço",AN$12&lt;&gt;0,$H135&gt;0,OR(AUTOEVENTO&lt;&gt;"manual",$M135&lt;&gt;1)),
IF(Import.TipoArredondamento&lt;&gt;"TransfereGOV",
ROUND(OFFSET($P135,0,AN$13),15-13*ORÇAMENTO!$AF$7)/$H135*OFFSET(ORÇAMENTO!$X$15,ROW(AN135)-ROW(AN$15),0),
ROUND(ROUND(OFFSET($P135,0,AN$13),15-13*ORÇAMENTO!$AF$7)*OFFSET(ORÇAMENTO!$W$15,ROW(AN135)-ROW(AN$15),0),15-13*ORÇAMENTO!$AF$11)),0)</f>
        <v>0</v>
      </c>
      <c r="AO135" s="545">
        <f ca="1">IF(AND($D135="Serviço",AO$12&lt;&gt;0,$H135&gt;0,OR(AUTOEVENTO&lt;&gt;"manual",$M135&lt;&gt;1)),
IF(Import.TipoArredondamento&lt;&gt;"TransfereGOV",
ROUND(OFFSET($P135,0,AO$13),15-13*ORÇAMENTO!$AF$7)/$H135*OFFSET(ORÇAMENTO!$X$15,ROW(AO135)-ROW(AO$15),0),
ROUND(ROUND(OFFSET($P135,0,AO$13),15-13*ORÇAMENTO!$AF$7)*OFFSET(ORÇAMENTO!$W$15,ROW(AO135)-ROW(AO$15),0),15-13*ORÇAMENTO!$AF$11)),0)</f>
        <v>0</v>
      </c>
      <c r="AP135" s="545">
        <f ca="1">IF(AND($D135="Serviço",AP$12&lt;&gt;0,$H135&gt;0,OR(AUTOEVENTO&lt;&gt;"manual",$M135&lt;&gt;1)),
IF(Import.TipoArredondamento&lt;&gt;"TransfereGOV",
ROUND(OFFSET($P135,0,AP$13),15-13*ORÇAMENTO!$AF$7)/$H135*OFFSET(ORÇAMENTO!$X$15,ROW(AP135)-ROW(AP$15),0),
ROUND(ROUND(OFFSET($P135,0,AP$13),15-13*ORÇAMENTO!$AF$7)*OFFSET(ORÇAMENTO!$W$15,ROW(AP135)-ROW(AP$15),0),15-13*ORÇAMENTO!$AF$11)),0)</f>
        <v>0</v>
      </c>
      <c r="AQ135" s="545">
        <f ca="1">IF(AND($D135="Serviço",AQ$12&lt;&gt;0,$H135&gt;0,OR(AUTOEVENTO&lt;&gt;"manual",$M135&lt;&gt;1)),
IF(Import.TipoArredondamento&lt;&gt;"TransfereGOV",
ROUND(OFFSET($P135,0,AQ$13),15-13*ORÇAMENTO!$AF$7)/$H135*OFFSET(ORÇAMENTO!$X$15,ROW(AQ135)-ROW(AQ$15),0),
ROUND(ROUND(OFFSET($P135,0,AQ$13),15-13*ORÇAMENTO!$AF$7)*OFFSET(ORÇAMENTO!$W$15,ROW(AQ135)-ROW(AQ$15),0),15-13*ORÇAMENTO!$AF$11)),0)</f>
        <v>0</v>
      </c>
      <c r="AR135" s="545">
        <f ca="1">IF(AND($D135="Serviço",AR$12&lt;&gt;0,$H135&gt;0,OR(AUTOEVENTO&lt;&gt;"manual",$M135&lt;&gt;1)),
IF(Import.TipoArredondamento&lt;&gt;"TransfereGOV",
ROUND(OFFSET($P135,0,AR$13),15-13*ORÇAMENTO!$AF$7)/$H135*OFFSET(ORÇAMENTO!$X$15,ROW(AR135)-ROW(AR$15),0),
ROUND(ROUND(OFFSET($P135,0,AR$13),15-13*ORÇAMENTO!$AF$7)*OFFSET(ORÇAMENTO!$W$15,ROW(AR135)-ROW(AR$15),0),15-13*ORÇAMENTO!$AF$11)),0)</f>
        <v>0</v>
      </c>
      <c r="AS135" s="546">
        <f ca="1">IF(AND($D135="Serviço",AS$12&lt;&gt;0,$H135&gt;0,OR(AUTOEVENTO&lt;&gt;"manual",$M135&lt;&gt;1)),
IF(Import.TipoArredondamento&lt;&gt;"TransfereGOV",
ROUND(OFFSET($P135,0,AS$13),15-13*ORÇAMENTO!$AF$7)/$H135*OFFSET(ORÇAMENTO!$X$15,ROW(AS135)-ROW(AS$15),0),
ROUND(ROUND(OFFSET($P135,0,AS$13),15-13*ORÇAMENTO!$AF$7)*OFFSET(ORÇAMENTO!$W$15,ROW(AS135)-ROW(AS$15),0),15-13*ORÇAMENTO!$AF$11)),0)</f>
        <v>0</v>
      </c>
      <c r="AT135" s="545">
        <f ca="1">IF(AND($D135="Serviço",AT$12&lt;&gt;0,$H135&gt;0,OR(AUTOEVENTO&lt;&gt;"manual",$M135&lt;&gt;1)),
IF(Import.TipoArredondamento&lt;&gt;"TransfereGOV",
ROUND(OFFSET($P135,0,AT$13),15-13*ORÇAMENTO!$AF$7)/$H135*OFFSET(ORÇAMENTO!$X$15,ROW(AT135)-ROW(AT$15),0),
ROUND(ROUND(OFFSET($P135,0,AT$13),15-13*ORÇAMENTO!$AF$7)*OFFSET(ORÇAMENTO!$W$15,ROW(AT135)-ROW(AT$15),0),15-13*ORÇAMENTO!$AF$11)),0)</f>
        <v>0</v>
      </c>
      <c r="AU135" s="545">
        <f ca="1">IF(AND($D135="Serviço",AU$12&lt;&gt;0,$H135&gt;0,OR(AUTOEVENTO&lt;&gt;"manual",$M135&lt;&gt;1)),
IF(Import.TipoArredondamento&lt;&gt;"TransfereGOV",
ROUND(OFFSET($P135,0,AU$13),15-13*ORÇAMENTO!$AF$7)/$H135*OFFSET(ORÇAMENTO!$X$15,ROW(AU135)-ROW(AU$15),0),
ROUND(ROUND(OFFSET($P135,0,AU$13),15-13*ORÇAMENTO!$AF$7)*OFFSET(ORÇAMENTO!$W$15,ROW(AU135)-ROW(AU$15),0),15-13*ORÇAMENTO!$AF$11)),0)</f>
        <v>0</v>
      </c>
      <c r="AV135" s="545">
        <f ca="1">IF(AND($D135="Serviço",AV$12&lt;&gt;0,$H135&gt;0,OR(AUTOEVENTO&lt;&gt;"manual",$M135&lt;&gt;1)),
IF(Import.TipoArredondamento&lt;&gt;"TransfereGOV",
ROUND(OFFSET($P135,0,AV$13),15-13*ORÇAMENTO!$AF$7)/$H135*OFFSET(ORÇAMENTO!$X$15,ROW(AV135)-ROW(AV$15),0),
ROUND(ROUND(OFFSET($P135,0,AV$13),15-13*ORÇAMENTO!$AF$7)*OFFSET(ORÇAMENTO!$W$15,ROW(AV135)-ROW(AV$15),0),15-13*ORÇAMENTO!$AF$11)),0)</f>
        <v>0</v>
      </c>
      <c r="AW135" s="545">
        <f ca="1">IF(AND($D135="Serviço",AW$12&lt;&gt;0,$H135&gt;0,OR(AUTOEVENTO&lt;&gt;"manual",$M135&lt;&gt;1)),
IF(Import.TipoArredondamento&lt;&gt;"TransfereGOV",
ROUND(OFFSET($P135,0,AW$13),15-13*ORÇAMENTO!$AF$7)/$H135*OFFSET(ORÇAMENTO!$X$15,ROW(AW135)-ROW(AW$15),0),
ROUND(ROUND(OFFSET($P135,0,AW$13),15-13*ORÇAMENTO!$AF$7)*OFFSET(ORÇAMENTO!$W$15,ROW(AW135)-ROW(AW$15),0),15-13*ORÇAMENTO!$AF$11)),0)</f>
        <v>0</v>
      </c>
      <c r="AX135" s="545">
        <f ca="1">IF(AND($D135="Serviço",AX$12&lt;&gt;0,$H135&gt;0,OR(AUTOEVENTO&lt;&gt;"manual",$M135&lt;&gt;1)),
IF(Import.TipoArredondamento&lt;&gt;"TransfereGOV",
ROUND(OFFSET($P135,0,AX$13),15-13*ORÇAMENTO!$AF$7)/$H135*OFFSET(ORÇAMENTO!$X$15,ROW(AX135)-ROW(AX$15),0),
ROUND(ROUND(OFFSET($P135,0,AX$13),15-13*ORÇAMENTO!$AF$7)*OFFSET(ORÇAMENTO!$W$15,ROW(AX135)-ROW(AX$15),0),15-13*ORÇAMENTO!$AF$11)),0)</f>
        <v>0</v>
      </c>
      <c r="AY135" s="545">
        <f ca="1">IF(AND($D135="Serviço",AY$12&lt;&gt;0,$H135&gt;0,OR(AUTOEVENTO&lt;&gt;"manual",$M135&lt;&gt;1)),
IF(Import.TipoArredondamento&lt;&gt;"TransfereGOV",
ROUND(OFFSET($P135,0,AY$13),15-13*ORÇAMENTO!$AF$7)/$H135*OFFSET(ORÇAMENTO!$X$15,ROW(AY135)-ROW(AY$15),0),
ROUND(ROUND(OFFSET($P135,0,AY$13),15-13*ORÇAMENTO!$AF$7)*OFFSET(ORÇAMENTO!$W$15,ROW(AY135)-ROW(AY$15),0),15-13*ORÇAMENTO!$AF$11)),0)</f>
        <v>0</v>
      </c>
      <c r="AZ135" s="545">
        <f ca="1">IF(AND($D135="Serviço",AZ$12&lt;&gt;0,$H135&gt;0,OR(AUTOEVENTO&lt;&gt;"manual",$M135&lt;&gt;1)),
IF(Import.TipoArredondamento&lt;&gt;"TransfereGOV",
ROUND(OFFSET($P135,0,AZ$13),15-13*ORÇAMENTO!$AF$7)/$H135*OFFSET(ORÇAMENTO!$X$15,ROW(AZ135)-ROW(AZ$15),0),
ROUND(ROUND(OFFSET($P135,0,AZ$13),15-13*ORÇAMENTO!$AF$7)*OFFSET(ORÇAMENTO!$W$15,ROW(AZ135)-ROW(AZ$15),0),15-13*ORÇAMENTO!$AF$11)),0)</f>
        <v>0</v>
      </c>
      <c r="BA135" s="546">
        <f ca="1">IF(AND($D135="Serviço",BA$12&lt;&gt;0,$H135&gt;0,OR(AUTOEVENTO&lt;&gt;"manual",$M135&lt;&gt;1)),
IF(Import.TipoArredondamento&lt;&gt;"TransfereGOV",
ROUND(OFFSET($P135,0,BA$13),15-13*ORÇAMENTO!$AF$7)/$H135*OFFSET(ORÇAMENTO!$X$15,ROW(BA135)-ROW(BA$15),0),
ROUND(ROUND(OFFSET($P135,0,BA$13),15-13*ORÇAMENTO!$AF$7)*OFFSET(ORÇAMENTO!$W$15,ROW(BA135)-ROW(BA$15),0),15-13*ORÇAMENTO!$AF$11)),0)</f>
        <v>0</v>
      </c>
      <c r="BC135" s="181">
        <f ca="1">IF($D135&lt;&gt;"Serviço",0,IF(AND(AUTOEVENTO="Manual",$M135=1),0,IF(OFFSET(CRONOPLE!$F$14,$M135,BC$13)="",10^12,OFFSET(CRONOPLE!$F$14,$M135,BC$13))))</f>
        <v>5</v>
      </c>
      <c r="BD135" s="181">
        <f ca="1">IF($D135&lt;&gt;"Serviço",0,IF(AND(AUTOEVENTO="Manual",$M135=1),0,IF(OFFSET(CRONOPLE!$F$14,$M135,BD$13)="",10^12,OFFSET(CRONOPLE!$F$14,$M135,BD$13))))</f>
        <v>1000000000000</v>
      </c>
      <c r="BE135" s="181">
        <f ca="1">IF($D135&lt;&gt;"Serviço",0,IF(AND(AUTOEVENTO="Manual",$M135=1),0,IF(OFFSET(CRONOPLE!$F$14,$M135,BE$13)="",10^12,OFFSET(CRONOPLE!$F$14,$M135,BE$13))))</f>
        <v>1000000000000</v>
      </c>
      <c r="BF135" s="181">
        <f ca="1">IF($D135&lt;&gt;"Serviço",0,IF(AND(AUTOEVENTO="Manual",$M135=1),0,IF(OFFSET(CRONOPLE!$F$14,$M135,BF$13)="",10^12,OFFSET(CRONOPLE!$F$14,$M135,BF$13))))</f>
        <v>1000000000000</v>
      </c>
      <c r="BG135" s="181">
        <f ca="1">IF($D135&lt;&gt;"Serviço",0,IF(AND(AUTOEVENTO="Manual",$M135=1),0,IF(OFFSET(CRONOPLE!$F$14,$M135,BG$13)="",10^12,OFFSET(CRONOPLE!$F$14,$M135,BG$13))))</f>
        <v>1000000000000</v>
      </c>
      <c r="BH135" s="181">
        <f ca="1">IF($D135&lt;&gt;"Serviço",0,IF(AND(AUTOEVENTO="Manual",$M135=1),0,IF(OFFSET(CRONOPLE!$F$14,$M135,BH$13)="",10^12,OFFSET(CRONOPLE!$F$14,$M135,BH$13))))</f>
        <v>1000000000000</v>
      </c>
      <c r="BI135" s="181">
        <f ca="1">IF($D135&lt;&gt;"Serviço",0,IF(AND(AUTOEVENTO="Manual",$M135=1),0,IF(OFFSET(CRONOPLE!$F$14,$M135,BI$13)="",10^12,OFFSET(CRONOPLE!$F$14,$M135,BI$13))))</f>
        <v>1000000000000</v>
      </c>
      <c r="BJ135" s="181">
        <f ca="1">IF($D135&lt;&gt;"Serviço",0,IF(AND(AUTOEVENTO="Manual",$M135=1),0,IF(OFFSET(CRONOPLE!$F$14,$M135,BJ$13)="",10^12,OFFSET(CRONOPLE!$F$14,$M135,BJ$13))))</f>
        <v>1000000000000</v>
      </c>
      <c r="BK135" s="181">
        <f ca="1">IF($D135&lt;&gt;"Serviço",0,IF(AND(AUTOEVENTO="Manual",$M135=1),0,IF(OFFSET(CRONOPLE!$F$14,$M135,BK$13)="",10^12,OFFSET(CRONOPLE!$F$14,$M135,BK$13))))</f>
        <v>1000000000000</v>
      </c>
      <c r="BL135" s="181">
        <f ca="1">IF($D135&lt;&gt;"Serviço",0,IF(AND(AUTOEVENTO="Manual",$M135=1),0,IF(OFFSET(CRONOPLE!$F$14,$M135,BL$13)="",10^12,OFFSET(CRONOPLE!$F$14,$M135,BL$13))))</f>
        <v>1000000000000</v>
      </c>
      <c r="BM135" s="181">
        <f ca="1">IF($D135&lt;&gt;"Serviço",0,IF(AND(AUTOEVENTO="Manual",$M135=1),0,IF(OFFSET(CRONOPLE!$F$14,$M135,BM$13)="",10^12,OFFSET(CRONOPLE!$F$14,$M135,BM$13))))</f>
        <v>1000000000000</v>
      </c>
      <c r="BN135" s="181">
        <f ca="1">IF($D135&lt;&gt;"Serviço",0,IF(AND(AUTOEVENTO="Manual",$M135=1),0,IF(OFFSET(CRONOPLE!$F$14,$M135,BN$13)="",10^12,OFFSET(CRONOPLE!$F$14,$M135,BN$13))))</f>
        <v>1000000000000</v>
      </c>
      <c r="BO135" s="181">
        <f ca="1">IF($D135&lt;&gt;"Serviço",0,IF(AND(AUTOEVENTO="Manual",$M135=1),0,IF(OFFSET(CRONOPLE!$F$14,$M135,BO$13)="",10^12,OFFSET(CRONOPLE!$F$14,$M135,BO$13))))</f>
        <v>1000000000000</v>
      </c>
      <c r="BP135" s="181">
        <f ca="1">IF($D135&lt;&gt;"Serviço",0,IF(AND(AUTOEVENTO="Manual",$M135=1),0,IF(OFFSET(CRONOPLE!$F$14,$M135,BP$13)="",10^12,OFFSET(CRONOPLE!$F$14,$M135,BP$13))))</f>
        <v>1000000000000</v>
      </c>
      <c r="BQ135" s="181">
        <f ca="1">IF($D135&lt;&gt;"Serviço",0,IF(AND(AUTOEVENTO="Manual",$M135=1),0,IF(OFFSET(CRONOPLE!$F$14,$M135,BQ$13)="",10^12,OFFSET(CRONOPLE!$F$14,$M135,BQ$13))))</f>
        <v>1000000000000</v>
      </c>
      <c r="BR135" s="181">
        <f ca="1">IF($D135&lt;&gt;"Serviço",0,IF(AND(AUTOEVENTO="Manual",$M135=1),0,IF(OFFSET(CRONOPLE!$F$14,$M135,BR$13)="",10^12,OFFSET(CRONOPLE!$F$14,$M135,BR$13))))</f>
        <v>1000000000000</v>
      </c>
      <c r="BS135" s="181">
        <f ca="1">IF($D135&lt;&gt;"Serviço",0,IF(AND(AUTOEVENTO="Manual",$M135=1),0,IF(OFFSET(CRONOPLE!$F$14,$M135,BS$13)="",10^12,OFFSET(CRONOPLE!$F$14,$M135,BS$13))))</f>
        <v>1000000000000</v>
      </c>
      <c r="BT135" s="181">
        <f ca="1">IF($D135&lt;&gt;"Serviço",0,IF(AND(AUTOEVENTO="Manual",$M135=1),0,IF(OFFSET(CRONOPLE!$F$14,$M135,BT$13)="",10^12,OFFSET(CRONOPLE!$F$14,$M135,BT$13))))</f>
        <v>1000000000000</v>
      </c>
      <c r="BV135" s="182">
        <f ca="1">IF($D135&lt;&gt;"Serviço",0,IF(OR(AND(AUTOEVENTO="Manual",$M135=1),$M135&gt;(ROW(PLE.lastrow)-ROW(PLE.firstrow))),0,IF(OFFSET(PLE!$G$14,$M135,BV$13)="",10^12,OFFSET(PLE!$G$14,$M135,BV$13))))</f>
        <v>1000000000000</v>
      </c>
      <c r="BW135" s="182">
        <f ca="1">IF($D135&lt;&gt;"Serviço",0,IF(OR(AND(AUTOEVENTO="Manual",$M135=1),$M135&gt;(ROW(PLE.lastrow)-ROW(PLE.firstrow))),0,IF(OFFSET(PLE!$G$14,$M135,BW$13)="",10^12,OFFSET(PLE!$G$14,$M135,BW$13))))</f>
        <v>1000000000000</v>
      </c>
      <c r="BX135" s="182">
        <f ca="1">IF($D135&lt;&gt;"Serviço",0,IF(OR(AND(AUTOEVENTO="Manual",$M135=1),$M135&gt;(ROW(PLE.lastrow)-ROW(PLE.firstrow))),0,IF(OFFSET(PLE!$G$14,$M135,BX$13)="",10^12,OFFSET(PLE!$G$14,$M135,BX$13))))</f>
        <v>1000000000000</v>
      </c>
      <c r="BY135" s="182">
        <f ca="1">IF($D135&lt;&gt;"Serviço",0,IF(OR(AND(AUTOEVENTO="Manual",$M135=1),$M135&gt;(ROW(PLE.lastrow)-ROW(PLE.firstrow))),0,IF(OFFSET(PLE!$G$14,$M135,BY$13)="",10^12,OFFSET(PLE!$G$14,$M135,BY$13))))</f>
        <v>1000000000000</v>
      </c>
      <c r="BZ135" s="182">
        <f ca="1">IF($D135&lt;&gt;"Serviço",0,IF(OR(AND(AUTOEVENTO="Manual",$M135=1),$M135&gt;(ROW(PLE.lastrow)-ROW(PLE.firstrow))),0,IF(OFFSET(PLE!$G$14,$M135,BZ$13)="",10^12,OFFSET(PLE!$G$14,$M135,BZ$13))))</f>
        <v>1000000000000</v>
      </c>
      <c r="CA135" s="182">
        <f ca="1">IF($D135&lt;&gt;"Serviço",0,IF(OR(AND(AUTOEVENTO="Manual",$M135=1),$M135&gt;(ROW(PLE.lastrow)-ROW(PLE.firstrow))),0,IF(OFFSET(PLE!$G$14,$M135,CA$13)="",10^12,OFFSET(PLE!$G$14,$M135,CA$13))))</f>
        <v>1000000000000</v>
      </c>
      <c r="CB135" s="182">
        <f ca="1">IF($D135&lt;&gt;"Serviço",0,IF(OR(AND(AUTOEVENTO="Manual",$M135=1),$M135&gt;(ROW(PLE.lastrow)-ROW(PLE.firstrow))),0,IF(OFFSET(PLE!$G$14,$M135,CB$13)="",10^12,OFFSET(PLE!$G$14,$M135,CB$13))))</f>
        <v>1000000000000</v>
      </c>
      <c r="CC135" s="182">
        <f ca="1">IF($D135&lt;&gt;"Serviço",0,IF(OR(AND(AUTOEVENTO="Manual",$M135=1),$M135&gt;(ROW(PLE.lastrow)-ROW(PLE.firstrow))),0,IF(OFFSET(PLE!$G$14,$M135,CC$13)="",10^12,OFFSET(PLE!$G$14,$M135,CC$13))))</f>
        <v>1000000000000</v>
      </c>
      <c r="CD135" s="182">
        <f ca="1">IF($D135&lt;&gt;"Serviço",0,IF(OR(AND(AUTOEVENTO="Manual",$M135=1),$M135&gt;(ROW(PLE.lastrow)-ROW(PLE.firstrow))),0,IF(OFFSET(PLE!$G$14,$M135,CD$13)="",10^12,OFFSET(PLE!$G$14,$M135,CD$13))))</f>
        <v>1000000000000</v>
      </c>
      <c r="CE135" s="182">
        <f ca="1">IF($D135&lt;&gt;"Serviço",0,IF(OR(AND(AUTOEVENTO="Manual",$M135=1),$M135&gt;(ROW(PLE.lastrow)-ROW(PLE.firstrow))),0,IF(OFFSET(PLE!$G$14,$M135,CE$13)="",10^12,OFFSET(PLE!$G$14,$M135,CE$13))))</f>
        <v>1000000000000</v>
      </c>
      <c r="CF135" s="182">
        <f ca="1">IF($D135&lt;&gt;"Serviço",0,IF(OR(AND(AUTOEVENTO="Manual",$M135=1),$M135&gt;(ROW(PLE.lastrow)-ROW(PLE.firstrow))),0,IF(OFFSET(PLE!$G$14,$M135,CF$13)="",10^12,OFFSET(PLE!$G$14,$M135,CF$13))))</f>
        <v>1000000000000</v>
      </c>
      <c r="CG135" s="182">
        <f ca="1">IF($D135&lt;&gt;"Serviço",0,IF(OR(AND(AUTOEVENTO="Manual",$M135=1),$M135&gt;(ROW(PLE.lastrow)-ROW(PLE.firstrow))),0,IF(OFFSET(PLE!$G$14,$M135,CG$13)="",10^12,OFFSET(PLE!$G$14,$M135,CG$13))))</f>
        <v>1000000000000</v>
      </c>
      <c r="CH135" s="182">
        <f ca="1">IF($D135&lt;&gt;"Serviço",0,IF(OR(AND(AUTOEVENTO="Manual",$M135=1),$M135&gt;(ROW(PLE.lastrow)-ROW(PLE.firstrow))),0,IF(OFFSET(PLE!$G$14,$M135,CH$13)="",10^12,OFFSET(PLE!$G$14,$M135,CH$13))))</f>
        <v>1000000000000</v>
      </c>
      <c r="CI135" s="182">
        <f ca="1">IF($D135&lt;&gt;"Serviço",0,IF(OR(AND(AUTOEVENTO="Manual",$M135=1),$M135&gt;(ROW(PLE.lastrow)-ROW(PLE.firstrow))),0,IF(OFFSET(PLE!$G$14,$M135,CI$13)="",10^12,OFFSET(PLE!$G$14,$M135,CI$13))))</f>
        <v>1000000000000</v>
      </c>
      <c r="CJ135" s="182">
        <f ca="1">IF($D135&lt;&gt;"Serviço",0,IF(OR(AND(AUTOEVENTO="Manual",$M135=1),$M135&gt;(ROW(PLE.lastrow)-ROW(PLE.firstrow))),0,IF(OFFSET(PLE!$G$14,$M135,CJ$13)="",10^12,OFFSET(PLE!$G$14,$M135,CJ$13))))</f>
        <v>1000000000000</v>
      </c>
      <c r="CK135" s="182">
        <f ca="1">IF($D135&lt;&gt;"Serviço",0,IF(OR(AND(AUTOEVENTO="Manual",$M135=1),$M135&gt;(ROW(PLE.lastrow)-ROW(PLE.firstrow))),0,IF(OFFSET(PLE!$G$14,$M135,CK$13)="",10^12,OFFSET(PLE!$G$14,$M135,CK$13))))</f>
        <v>1000000000000</v>
      </c>
      <c r="CL135" s="182">
        <f ca="1">IF($D135&lt;&gt;"Serviço",0,IF(OR(AND(AUTOEVENTO="Manual",$M135=1),$M135&gt;(ROW(PLE.lastrow)-ROW(PLE.firstrow))),0,IF(OFFSET(PLE!$G$14,$M135,CL$13)="",10^12,OFFSET(PLE!$G$14,$M135,CL$13))))</f>
        <v>1000000000000</v>
      </c>
      <c r="CM135" s="182">
        <f ca="1">IF($D135&lt;&gt;"Serviço",0,IF(OR(AND(AUTOEVENTO="Manual",$M135=1),$M135&gt;(ROW(PLE.lastrow)-ROW(PLE.firstrow))),0,IF(OFFSET(PLE!$G$14,$M135,CM$13)="",10^12,OFFSET(PLE!$G$14,$M135,CM$13))))</f>
        <v>1000000000000</v>
      </c>
    </row>
    <row r="136" spans="1:91" ht="51" x14ac:dyDescent="0.2">
      <c r="A136" s="7" t="str">
        <f t="shared" ca="1" si="11"/>
        <v>119</v>
      </c>
      <c r="B136" s="7" t="str">
        <f ca="1">OFFSET(ORÇAMENTO!C$15,ROW(B136)-ROW(B$15),0)</f>
        <v>S</v>
      </c>
      <c r="C136" s="7" t="str">
        <f ca="1">OFFSET(ORÇAMENTO!L$15,ROW(C136)-ROW(C$15),0)</f>
        <v/>
      </c>
      <c r="D136" s="118" t="str">
        <f ca="1">OFFSET(ORÇAMENTO!N$15,ROW(D136)-ROW(D$15),0)</f>
        <v>Serviço</v>
      </c>
      <c r="E136" s="119" t="str">
        <f ca="1">OFFSET(ORÇAMENTO!O$15,ROW(E136)-ROW(E$15),0)</f>
        <v>-</v>
      </c>
      <c r="F136" s="172" t="str">
        <f ca="1">OFFSET(ORÇAMENTO!R$15,ROW(F136)-ROW(F$15),0)</f>
        <v>(abra o arquivo 'Referência 06-2024.xlsm)</v>
      </c>
      <c r="G136" s="173" t="str">
        <f ca="1">IF($D136&lt;&gt;"Serviço","",OFFSET(ORÇAMENTO!S$15,ROW(G136)-ROW(G$15),0))</f>
        <v>-</v>
      </c>
      <c r="H136" s="124">
        <f ca="1">IF($D136&lt;&gt;"Serviço",0,IF(ACOMPANHAMENTO="BM",ROUND(OFFSET(ORÇAMENTO!AJ$15,ROW(H136)-ROW(H$15),0),15-13*ORÇAMENTO!$AF$7),SUMPRODUCT(($Q$12:$AI$12&lt;&gt;"")*ROUND($Q136:$AI136,15-13*ORÇAMENTO!$AF$7))))</f>
        <v>1.6</v>
      </c>
      <c r="I136" s="561" t="s">
        <v>1107</v>
      </c>
      <c r="K136" s="174"/>
      <c r="L136" s="175" t="s">
        <v>255</v>
      </c>
      <c r="M136" s="176">
        <f ca="1">IF($D136&lt;&gt;"Serviço","",IF(AUTOEVENTO="manual",$A136,IF(ISERROR(MATCH($A136,$A$15:OFFSET($A136,-1,0),0)),MAX($M$15:OFFSET(M136,-1,0))+1,INDEX($M$15:OFFSET(M136,-1,0),MATCH($A136,$A$15:OFFSET($A136,-1,0),0)))))</f>
        <v>22</v>
      </c>
      <c r="N136" s="177" t="str">
        <f ca="1">IF($D136&lt;&gt;"Serviço","",IF(AUTOEVENTO="Manual",IF($A136=0,"&lt;-- defina o número do agrupador",OFFSET(EVENTOS!$D$14,$A136,0)),OFFSET($F$15,$A136,0)))</f>
        <v>ESQUADRIAS - JANELAS EM ALUMÍNIO</v>
      </c>
      <c r="O136" s="178"/>
      <c r="Q136" s="178">
        <v>1.6</v>
      </c>
      <c r="R136" s="179"/>
      <c r="S136" s="179"/>
      <c r="T136" s="179"/>
      <c r="U136" s="179"/>
      <c r="V136" s="179"/>
      <c r="W136" s="179"/>
      <c r="X136" s="179"/>
      <c r="Y136" s="179"/>
      <c r="Z136" s="180"/>
      <c r="AA136" s="179"/>
      <c r="AB136" s="179"/>
      <c r="AC136" s="179"/>
      <c r="AD136" s="179"/>
      <c r="AE136" s="179"/>
      <c r="AF136" s="179"/>
      <c r="AG136" s="179"/>
      <c r="AH136" s="180"/>
      <c r="AJ136" s="544">
        <f ca="1">IF(AND($D136="Serviço",AJ$12&lt;&gt;0,$H136&gt;0,OR(AUTOEVENTO&lt;&gt;"manual",$M136&lt;&gt;1)),
IF(Import.TipoArredondamento&lt;&gt;"TransfereGOV",
ROUND(OFFSET($P136,0,AJ$13),15-13*ORÇAMENTO!$AF$7)/$H136*OFFSET(ORÇAMENTO!$X$15,ROW(AJ136)-ROW(AJ$15),0),
ROUND(ROUND(OFFSET($P136,0,AJ$13),15-13*ORÇAMENTO!$AF$7)*OFFSET(ORÇAMENTO!$W$15,ROW(AJ136)-ROW(AJ$15),0),15-13*ORÇAMENTO!$AF$11)),0)</f>
        <v>0</v>
      </c>
      <c r="AK136" s="545">
        <f ca="1">IF(AND($D136="Serviço",AK$12&lt;&gt;0,$H136&gt;0,OR(AUTOEVENTO&lt;&gt;"manual",$M136&lt;&gt;1)),
IF(Import.TipoArredondamento&lt;&gt;"TransfereGOV",
ROUND(OFFSET($P136,0,AK$13),15-13*ORÇAMENTO!$AF$7)/$H136*OFFSET(ORÇAMENTO!$X$15,ROW(AK136)-ROW(AK$15),0),
ROUND(ROUND(OFFSET($P136,0,AK$13),15-13*ORÇAMENTO!$AF$7)*OFFSET(ORÇAMENTO!$W$15,ROW(AK136)-ROW(AK$15),0),15-13*ORÇAMENTO!$AF$11)),0)</f>
        <v>0</v>
      </c>
      <c r="AL136" s="545">
        <f ca="1">IF(AND($D136="Serviço",AL$12&lt;&gt;0,$H136&gt;0,OR(AUTOEVENTO&lt;&gt;"manual",$M136&lt;&gt;1)),
IF(Import.TipoArredondamento&lt;&gt;"TransfereGOV",
ROUND(OFFSET($P136,0,AL$13),15-13*ORÇAMENTO!$AF$7)/$H136*OFFSET(ORÇAMENTO!$X$15,ROW(AL136)-ROW(AL$15),0),
ROUND(ROUND(OFFSET($P136,0,AL$13),15-13*ORÇAMENTO!$AF$7)*OFFSET(ORÇAMENTO!$W$15,ROW(AL136)-ROW(AL$15),0),15-13*ORÇAMENTO!$AF$11)),0)</f>
        <v>0</v>
      </c>
      <c r="AM136" s="545">
        <f ca="1">IF(AND($D136="Serviço",AM$12&lt;&gt;0,$H136&gt;0,OR(AUTOEVENTO&lt;&gt;"manual",$M136&lt;&gt;1)),
IF(Import.TipoArredondamento&lt;&gt;"TransfereGOV",
ROUND(OFFSET($P136,0,AM$13),15-13*ORÇAMENTO!$AF$7)/$H136*OFFSET(ORÇAMENTO!$X$15,ROW(AM136)-ROW(AM$15),0),
ROUND(ROUND(OFFSET($P136,0,AM$13),15-13*ORÇAMENTO!$AF$7)*OFFSET(ORÇAMENTO!$W$15,ROW(AM136)-ROW(AM$15),0),15-13*ORÇAMENTO!$AF$11)),0)</f>
        <v>0</v>
      </c>
      <c r="AN136" s="545">
        <f ca="1">IF(AND($D136="Serviço",AN$12&lt;&gt;0,$H136&gt;0,OR(AUTOEVENTO&lt;&gt;"manual",$M136&lt;&gt;1)),
IF(Import.TipoArredondamento&lt;&gt;"TransfereGOV",
ROUND(OFFSET($P136,0,AN$13),15-13*ORÇAMENTO!$AF$7)/$H136*OFFSET(ORÇAMENTO!$X$15,ROW(AN136)-ROW(AN$15),0),
ROUND(ROUND(OFFSET($P136,0,AN$13),15-13*ORÇAMENTO!$AF$7)*OFFSET(ORÇAMENTO!$W$15,ROW(AN136)-ROW(AN$15),0),15-13*ORÇAMENTO!$AF$11)),0)</f>
        <v>0</v>
      </c>
      <c r="AO136" s="545">
        <f ca="1">IF(AND($D136="Serviço",AO$12&lt;&gt;0,$H136&gt;0,OR(AUTOEVENTO&lt;&gt;"manual",$M136&lt;&gt;1)),
IF(Import.TipoArredondamento&lt;&gt;"TransfereGOV",
ROUND(OFFSET($P136,0,AO$13),15-13*ORÇAMENTO!$AF$7)/$H136*OFFSET(ORÇAMENTO!$X$15,ROW(AO136)-ROW(AO$15),0),
ROUND(ROUND(OFFSET($P136,0,AO$13),15-13*ORÇAMENTO!$AF$7)*OFFSET(ORÇAMENTO!$W$15,ROW(AO136)-ROW(AO$15),0),15-13*ORÇAMENTO!$AF$11)),0)</f>
        <v>0</v>
      </c>
      <c r="AP136" s="545">
        <f ca="1">IF(AND($D136="Serviço",AP$12&lt;&gt;0,$H136&gt;0,OR(AUTOEVENTO&lt;&gt;"manual",$M136&lt;&gt;1)),
IF(Import.TipoArredondamento&lt;&gt;"TransfereGOV",
ROUND(OFFSET($P136,0,AP$13),15-13*ORÇAMENTO!$AF$7)/$H136*OFFSET(ORÇAMENTO!$X$15,ROW(AP136)-ROW(AP$15),0),
ROUND(ROUND(OFFSET($P136,0,AP$13),15-13*ORÇAMENTO!$AF$7)*OFFSET(ORÇAMENTO!$W$15,ROW(AP136)-ROW(AP$15),0),15-13*ORÇAMENTO!$AF$11)),0)</f>
        <v>0</v>
      </c>
      <c r="AQ136" s="545">
        <f ca="1">IF(AND($D136="Serviço",AQ$12&lt;&gt;0,$H136&gt;0,OR(AUTOEVENTO&lt;&gt;"manual",$M136&lt;&gt;1)),
IF(Import.TipoArredondamento&lt;&gt;"TransfereGOV",
ROUND(OFFSET($P136,0,AQ$13),15-13*ORÇAMENTO!$AF$7)/$H136*OFFSET(ORÇAMENTO!$X$15,ROW(AQ136)-ROW(AQ$15),0),
ROUND(ROUND(OFFSET($P136,0,AQ$13),15-13*ORÇAMENTO!$AF$7)*OFFSET(ORÇAMENTO!$W$15,ROW(AQ136)-ROW(AQ$15),0),15-13*ORÇAMENTO!$AF$11)),0)</f>
        <v>0</v>
      </c>
      <c r="AR136" s="545">
        <f ca="1">IF(AND($D136="Serviço",AR$12&lt;&gt;0,$H136&gt;0,OR(AUTOEVENTO&lt;&gt;"manual",$M136&lt;&gt;1)),
IF(Import.TipoArredondamento&lt;&gt;"TransfereGOV",
ROUND(OFFSET($P136,0,AR$13),15-13*ORÇAMENTO!$AF$7)/$H136*OFFSET(ORÇAMENTO!$X$15,ROW(AR136)-ROW(AR$15),0),
ROUND(ROUND(OFFSET($P136,0,AR$13),15-13*ORÇAMENTO!$AF$7)*OFFSET(ORÇAMENTO!$W$15,ROW(AR136)-ROW(AR$15),0),15-13*ORÇAMENTO!$AF$11)),0)</f>
        <v>0</v>
      </c>
      <c r="AS136" s="546">
        <f ca="1">IF(AND($D136="Serviço",AS$12&lt;&gt;0,$H136&gt;0,OR(AUTOEVENTO&lt;&gt;"manual",$M136&lt;&gt;1)),
IF(Import.TipoArredondamento&lt;&gt;"TransfereGOV",
ROUND(OFFSET($P136,0,AS$13),15-13*ORÇAMENTO!$AF$7)/$H136*OFFSET(ORÇAMENTO!$X$15,ROW(AS136)-ROW(AS$15),0),
ROUND(ROUND(OFFSET($P136,0,AS$13),15-13*ORÇAMENTO!$AF$7)*OFFSET(ORÇAMENTO!$W$15,ROW(AS136)-ROW(AS$15),0),15-13*ORÇAMENTO!$AF$11)),0)</f>
        <v>0</v>
      </c>
      <c r="AT136" s="545">
        <f ca="1">IF(AND($D136="Serviço",AT$12&lt;&gt;0,$H136&gt;0,OR(AUTOEVENTO&lt;&gt;"manual",$M136&lt;&gt;1)),
IF(Import.TipoArredondamento&lt;&gt;"TransfereGOV",
ROUND(OFFSET($P136,0,AT$13),15-13*ORÇAMENTO!$AF$7)/$H136*OFFSET(ORÇAMENTO!$X$15,ROW(AT136)-ROW(AT$15),0),
ROUND(ROUND(OFFSET($P136,0,AT$13),15-13*ORÇAMENTO!$AF$7)*OFFSET(ORÇAMENTO!$W$15,ROW(AT136)-ROW(AT$15),0),15-13*ORÇAMENTO!$AF$11)),0)</f>
        <v>0</v>
      </c>
      <c r="AU136" s="545">
        <f ca="1">IF(AND($D136="Serviço",AU$12&lt;&gt;0,$H136&gt;0,OR(AUTOEVENTO&lt;&gt;"manual",$M136&lt;&gt;1)),
IF(Import.TipoArredondamento&lt;&gt;"TransfereGOV",
ROUND(OFFSET($P136,0,AU$13),15-13*ORÇAMENTO!$AF$7)/$H136*OFFSET(ORÇAMENTO!$X$15,ROW(AU136)-ROW(AU$15),0),
ROUND(ROUND(OFFSET($P136,0,AU$13),15-13*ORÇAMENTO!$AF$7)*OFFSET(ORÇAMENTO!$W$15,ROW(AU136)-ROW(AU$15),0),15-13*ORÇAMENTO!$AF$11)),0)</f>
        <v>0</v>
      </c>
      <c r="AV136" s="545">
        <f ca="1">IF(AND($D136="Serviço",AV$12&lt;&gt;0,$H136&gt;0,OR(AUTOEVENTO&lt;&gt;"manual",$M136&lt;&gt;1)),
IF(Import.TipoArredondamento&lt;&gt;"TransfereGOV",
ROUND(OFFSET($P136,0,AV$13),15-13*ORÇAMENTO!$AF$7)/$H136*OFFSET(ORÇAMENTO!$X$15,ROW(AV136)-ROW(AV$15),0),
ROUND(ROUND(OFFSET($P136,0,AV$13),15-13*ORÇAMENTO!$AF$7)*OFFSET(ORÇAMENTO!$W$15,ROW(AV136)-ROW(AV$15),0),15-13*ORÇAMENTO!$AF$11)),0)</f>
        <v>0</v>
      </c>
      <c r="AW136" s="545">
        <f ca="1">IF(AND($D136="Serviço",AW$12&lt;&gt;0,$H136&gt;0,OR(AUTOEVENTO&lt;&gt;"manual",$M136&lt;&gt;1)),
IF(Import.TipoArredondamento&lt;&gt;"TransfereGOV",
ROUND(OFFSET($P136,0,AW$13),15-13*ORÇAMENTO!$AF$7)/$H136*OFFSET(ORÇAMENTO!$X$15,ROW(AW136)-ROW(AW$15),0),
ROUND(ROUND(OFFSET($P136,0,AW$13),15-13*ORÇAMENTO!$AF$7)*OFFSET(ORÇAMENTO!$W$15,ROW(AW136)-ROW(AW$15),0),15-13*ORÇAMENTO!$AF$11)),0)</f>
        <v>0</v>
      </c>
      <c r="AX136" s="545">
        <f ca="1">IF(AND($D136="Serviço",AX$12&lt;&gt;0,$H136&gt;0,OR(AUTOEVENTO&lt;&gt;"manual",$M136&lt;&gt;1)),
IF(Import.TipoArredondamento&lt;&gt;"TransfereGOV",
ROUND(OFFSET($P136,0,AX$13),15-13*ORÇAMENTO!$AF$7)/$H136*OFFSET(ORÇAMENTO!$X$15,ROW(AX136)-ROW(AX$15),0),
ROUND(ROUND(OFFSET($P136,0,AX$13),15-13*ORÇAMENTO!$AF$7)*OFFSET(ORÇAMENTO!$W$15,ROW(AX136)-ROW(AX$15),0),15-13*ORÇAMENTO!$AF$11)),0)</f>
        <v>0</v>
      </c>
      <c r="AY136" s="545">
        <f ca="1">IF(AND($D136="Serviço",AY$12&lt;&gt;0,$H136&gt;0,OR(AUTOEVENTO&lt;&gt;"manual",$M136&lt;&gt;1)),
IF(Import.TipoArredondamento&lt;&gt;"TransfereGOV",
ROUND(OFFSET($P136,0,AY$13),15-13*ORÇAMENTO!$AF$7)/$H136*OFFSET(ORÇAMENTO!$X$15,ROW(AY136)-ROW(AY$15),0),
ROUND(ROUND(OFFSET($P136,0,AY$13),15-13*ORÇAMENTO!$AF$7)*OFFSET(ORÇAMENTO!$W$15,ROW(AY136)-ROW(AY$15),0),15-13*ORÇAMENTO!$AF$11)),0)</f>
        <v>0</v>
      </c>
      <c r="AZ136" s="545">
        <f ca="1">IF(AND($D136="Serviço",AZ$12&lt;&gt;0,$H136&gt;0,OR(AUTOEVENTO&lt;&gt;"manual",$M136&lt;&gt;1)),
IF(Import.TipoArredondamento&lt;&gt;"TransfereGOV",
ROUND(OFFSET($P136,0,AZ$13),15-13*ORÇAMENTO!$AF$7)/$H136*OFFSET(ORÇAMENTO!$X$15,ROW(AZ136)-ROW(AZ$15),0),
ROUND(ROUND(OFFSET($P136,0,AZ$13),15-13*ORÇAMENTO!$AF$7)*OFFSET(ORÇAMENTO!$W$15,ROW(AZ136)-ROW(AZ$15),0),15-13*ORÇAMENTO!$AF$11)),0)</f>
        <v>0</v>
      </c>
      <c r="BA136" s="546">
        <f ca="1">IF(AND($D136="Serviço",BA$12&lt;&gt;0,$H136&gt;0,OR(AUTOEVENTO&lt;&gt;"manual",$M136&lt;&gt;1)),
IF(Import.TipoArredondamento&lt;&gt;"TransfereGOV",
ROUND(OFFSET($P136,0,BA$13),15-13*ORÇAMENTO!$AF$7)/$H136*OFFSET(ORÇAMENTO!$X$15,ROW(BA136)-ROW(BA$15),0),
ROUND(ROUND(OFFSET($P136,0,BA$13),15-13*ORÇAMENTO!$AF$7)*OFFSET(ORÇAMENTO!$W$15,ROW(BA136)-ROW(BA$15),0),15-13*ORÇAMENTO!$AF$11)),0)</f>
        <v>0</v>
      </c>
      <c r="BC136" s="181">
        <f ca="1">IF($D136&lt;&gt;"Serviço",0,IF(AND(AUTOEVENTO="Manual",$M136=1),0,IF(OFFSET(CRONOPLE!$F$14,$M136,BC$13)="",10^12,OFFSET(CRONOPLE!$F$14,$M136,BC$13))))</f>
        <v>5</v>
      </c>
      <c r="BD136" s="181">
        <f ca="1">IF($D136&lt;&gt;"Serviço",0,IF(AND(AUTOEVENTO="Manual",$M136=1),0,IF(OFFSET(CRONOPLE!$F$14,$M136,BD$13)="",10^12,OFFSET(CRONOPLE!$F$14,$M136,BD$13))))</f>
        <v>1000000000000</v>
      </c>
      <c r="BE136" s="181">
        <f ca="1">IF($D136&lt;&gt;"Serviço",0,IF(AND(AUTOEVENTO="Manual",$M136=1),0,IF(OFFSET(CRONOPLE!$F$14,$M136,BE$13)="",10^12,OFFSET(CRONOPLE!$F$14,$M136,BE$13))))</f>
        <v>1000000000000</v>
      </c>
      <c r="BF136" s="181">
        <f ca="1">IF($D136&lt;&gt;"Serviço",0,IF(AND(AUTOEVENTO="Manual",$M136=1),0,IF(OFFSET(CRONOPLE!$F$14,$M136,BF$13)="",10^12,OFFSET(CRONOPLE!$F$14,$M136,BF$13))))</f>
        <v>1000000000000</v>
      </c>
      <c r="BG136" s="181">
        <f ca="1">IF($D136&lt;&gt;"Serviço",0,IF(AND(AUTOEVENTO="Manual",$M136=1),0,IF(OFFSET(CRONOPLE!$F$14,$M136,BG$13)="",10^12,OFFSET(CRONOPLE!$F$14,$M136,BG$13))))</f>
        <v>1000000000000</v>
      </c>
      <c r="BH136" s="181">
        <f ca="1">IF($D136&lt;&gt;"Serviço",0,IF(AND(AUTOEVENTO="Manual",$M136=1),0,IF(OFFSET(CRONOPLE!$F$14,$M136,BH$13)="",10^12,OFFSET(CRONOPLE!$F$14,$M136,BH$13))))</f>
        <v>1000000000000</v>
      </c>
      <c r="BI136" s="181">
        <f ca="1">IF($D136&lt;&gt;"Serviço",0,IF(AND(AUTOEVENTO="Manual",$M136=1),0,IF(OFFSET(CRONOPLE!$F$14,$M136,BI$13)="",10^12,OFFSET(CRONOPLE!$F$14,$M136,BI$13))))</f>
        <v>1000000000000</v>
      </c>
      <c r="BJ136" s="181">
        <f ca="1">IF($D136&lt;&gt;"Serviço",0,IF(AND(AUTOEVENTO="Manual",$M136=1),0,IF(OFFSET(CRONOPLE!$F$14,$M136,BJ$13)="",10^12,OFFSET(CRONOPLE!$F$14,$M136,BJ$13))))</f>
        <v>1000000000000</v>
      </c>
      <c r="BK136" s="181">
        <f ca="1">IF($D136&lt;&gt;"Serviço",0,IF(AND(AUTOEVENTO="Manual",$M136=1),0,IF(OFFSET(CRONOPLE!$F$14,$M136,BK$13)="",10^12,OFFSET(CRONOPLE!$F$14,$M136,BK$13))))</f>
        <v>1000000000000</v>
      </c>
      <c r="BL136" s="181">
        <f ca="1">IF($D136&lt;&gt;"Serviço",0,IF(AND(AUTOEVENTO="Manual",$M136=1),0,IF(OFFSET(CRONOPLE!$F$14,$M136,BL$13)="",10^12,OFFSET(CRONOPLE!$F$14,$M136,BL$13))))</f>
        <v>1000000000000</v>
      </c>
      <c r="BM136" s="181">
        <f ca="1">IF($D136&lt;&gt;"Serviço",0,IF(AND(AUTOEVENTO="Manual",$M136=1),0,IF(OFFSET(CRONOPLE!$F$14,$M136,BM$13)="",10^12,OFFSET(CRONOPLE!$F$14,$M136,BM$13))))</f>
        <v>1000000000000</v>
      </c>
      <c r="BN136" s="181">
        <f ca="1">IF($D136&lt;&gt;"Serviço",0,IF(AND(AUTOEVENTO="Manual",$M136=1),0,IF(OFFSET(CRONOPLE!$F$14,$M136,BN$13)="",10^12,OFFSET(CRONOPLE!$F$14,$M136,BN$13))))</f>
        <v>1000000000000</v>
      </c>
      <c r="BO136" s="181">
        <f ca="1">IF($D136&lt;&gt;"Serviço",0,IF(AND(AUTOEVENTO="Manual",$M136=1),0,IF(OFFSET(CRONOPLE!$F$14,$M136,BO$13)="",10^12,OFFSET(CRONOPLE!$F$14,$M136,BO$13))))</f>
        <v>1000000000000</v>
      </c>
      <c r="BP136" s="181">
        <f ca="1">IF($D136&lt;&gt;"Serviço",0,IF(AND(AUTOEVENTO="Manual",$M136=1),0,IF(OFFSET(CRONOPLE!$F$14,$M136,BP$13)="",10^12,OFFSET(CRONOPLE!$F$14,$M136,BP$13))))</f>
        <v>1000000000000</v>
      </c>
      <c r="BQ136" s="181">
        <f ca="1">IF($D136&lt;&gt;"Serviço",0,IF(AND(AUTOEVENTO="Manual",$M136=1),0,IF(OFFSET(CRONOPLE!$F$14,$M136,BQ$13)="",10^12,OFFSET(CRONOPLE!$F$14,$M136,BQ$13))))</f>
        <v>1000000000000</v>
      </c>
      <c r="BR136" s="181">
        <f ca="1">IF($D136&lt;&gt;"Serviço",0,IF(AND(AUTOEVENTO="Manual",$M136=1),0,IF(OFFSET(CRONOPLE!$F$14,$M136,BR$13)="",10^12,OFFSET(CRONOPLE!$F$14,$M136,BR$13))))</f>
        <v>1000000000000</v>
      </c>
      <c r="BS136" s="181">
        <f ca="1">IF($D136&lt;&gt;"Serviço",0,IF(AND(AUTOEVENTO="Manual",$M136=1),0,IF(OFFSET(CRONOPLE!$F$14,$M136,BS$13)="",10^12,OFFSET(CRONOPLE!$F$14,$M136,BS$13))))</f>
        <v>1000000000000</v>
      </c>
      <c r="BT136" s="181">
        <f ca="1">IF($D136&lt;&gt;"Serviço",0,IF(AND(AUTOEVENTO="Manual",$M136=1),0,IF(OFFSET(CRONOPLE!$F$14,$M136,BT$13)="",10^12,OFFSET(CRONOPLE!$F$14,$M136,BT$13))))</f>
        <v>1000000000000</v>
      </c>
      <c r="BV136" s="182">
        <f ca="1">IF($D136&lt;&gt;"Serviço",0,IF(OR(AND(AUTOEVENTO="Manual",$M136=1),$M136&gt;(ROW(PLE.lastrow)-ROW(PLE.firstrow))),0,IF(OFFSET(PLE!$G$14,$M136,BV$13)="",10^12,OFFSET(PLE!$G$14,$M136,BV$13))))</f>
        <v>1000000000000</v>
      </c>
      <c r="BW136" s="182">
        <f ca="1">IF($D136&lt;&gt;"Serviço",0,IF(OR(AND(AUTOEVENTO="Manual",$M136=1),$M136&gt;(ROW(PLE.lastrow)-ROW(PLE.firstrow))),0,IF(OFFSET(PLE!$G$14,$M136,BW$13)="",10^12,OFFSET(PLE!$G$14,$M136,BW$13))))</f>
        <v>1000000000000</v>
      </c>
      <c r="BX136" s="182">
        <f ca="1">IF($D136&lt;&gt;"Serviço",0,IF(OR(AND(AUTOEVENTO="Manual",$M136=1),$M136&gt;(ROW(PLE.lastrow)-ROW(PLE.firstrow))),0,IF(OFFSET(PLE!$G$14,$M136,BX$13)="",10^12,OFFSET(PLE!$G$14,$M136,BX$13))))</f>
        <v>1000000000000</v>
      </c>
      <c r="BY136" s="182">
        <f ca="1">IF($D136&lt;&gt;"Serviço",0,IF(OR(AND(AUTOEVENTO="Manual",$M136=1),$M136&gt;(ROW(PLE.lastrow)-ROW(PLE.firstrow))),0,IF(OFFSET(PLE!$G$14,$M136,BY$13)="",10^12,OFFSET(PLE!$G$14,$M136,BY$13))))</f>
        <v>1000000000000</v>
      </c>
      <c r="BZ136" s="182">
        <f ca="1">IF($D136&lt;&gt;"Serviço",0,IF(OR(AND(AUTOEVENTO="Manual",$M136=1),$M136&gt;(ROW(PLE.lastrow)-ROW(PLE.firstrow))),0,IF(OFFSET(PLE!$G$14,$M136,BZ$13)="",10^12,OFFSET(PLE!$G$14,$M136,BZ$13))))</f>
        <v>1000000000000</v>
      </c>
      <c r="CA136" s="182">
        <f ca="1">IF($D136&lt;&gt;"Serviço",0,IF(OR(AND(AUTOEVENTO="Manual",$M136=1),$M136&gt;(ROW(PLE.lastrow)-ROW(PLE.firstrow))),0,IF(OFFSET(PLE!$G$14,$M136,CA$13)="",10^12,OFFSET(PLE!$G$14,$M136,CA$13))))</f>
        <v>1000000000000</v>
      </c>
      <c r="CB136" s="182">
        <f ca="1">IF($D136&lt;&gt;"Serviço",0,IF(OR(AND(AUTOEVENTO="Manual",$M136=1),$M136&gt;(ROW(PLE.lastrow)-ROW(PLE.firstrow))),0,IF(OFFSET(PLE!$G$14,$M136,CB$13)="",10^12,OFFSET(PLE!$G$14,$M136,CB$13))))</f>
        <v>1000000000000</v>
      </c>
      <c r="CC136" s="182">
        <f ca="1">IF($D136&lt;&gt;"Serviço",0,IF(OR(AND(AUTOEVENTO="Manual",$M136=1),$M136&gt;(ROW(PLE.lastrow)-ROW(PLE.firstrow))),0,IF(OFFSET(PLE!$G$14,$M136,CC$13)="",10^12,OFFSET(PLE!$G$14,$M136,CC$13))))</f>
        <v>1000000000000</v>
      </c>
      <c r="CD136" s="182">
        <f ca="1">IF($D136&lt;&gt;"Serviço",0,IF(OR(AND(AUTOEVENTO="Manual",$M136=1),$M136&gt;(ROW(PLE.lastrow)-ROW(PLE.firstrow))),0,IF(OFFSET(PLE!$G$14,$M136,CD$13)="",10^12,OFFSET(PLE!$G$14,$M136,CD$13))))</f>
        <v>1000000000000</v>
      </c>
      <c r="CE136" s="182">
        <f ca="1">IF($D136&lt;&gt;"Serviço",0,IF(OR(AND(AUTOEVENTO="Manual",$M136=1),$M136&gt;(ROW(PLE.lastrow)-ROW(PLE.firstrow))),0,IF(OFFSET(PLE!$G$14,$M136,CE$13)="",10^12,OFFSET(PLE!$G$14,$M136,CE$13))))</f>
        <v>1000000000000</v>
      </c>
      <c r="CF136" s="182">
        <f ca="1">IF($D136&lt;&gt;"Serviço",0,IF(OR(AND(AUTOEVENTO="Manual",$M136=1),$M136&gt;(ROW(PLE.lastrow)-ROW(PLE.firstrow))),0,IF(OFFSET(PLE!$G$14,$M136,CF$13)="",10^12,OFFSET(PLE!$G$14,$M136,CF$13))))</f>
        <v>1000000000000</v>
      </c>
      <c r="CG136" s="182">
        <f ca="1">IF($D136&lt;&gt;"Serviço",0,IF(OR(AND(AUTOEVENTO="Manual",$M136=1),$M136&gt;(ROW(PLE.lastrow)-ROW(PLE.firstrow))),0,IF(OFFSET(PLE!$G$14,$M136,CG$13)="",10^12,OFFSET(PLE!$G$14,$M136,CG$13))))</f>
        <v>1000000000000</v>
      </c>
      <c r="CH136" s="182">
        <f ca="1">IF($D136&lt;&gt;"Serviço",0,IF(OR(AND(AUTOEVENTO="Manual",$M136=1),$M136&gt;(ROW(PLE.lastrow)-ROW(PLE.firstrow))),0,IF(OFFSET(PLE!$G$14,$M136,CH$13)="",10^12,OFFSET(PLE!$G$14,$M136,CH$13))))</f>
        <v>1000000000000</v>
      </c>
      <c r="CI136" s="182">
        <f ca="1">IF($D136&lt;&gt;"Serviço",0,IF(OR(AND(AUTOEVENTO="Manual",$M136=1),$M136&gt;(ROW(PLE.lastrow)-ROW(PLE.firstrow))),0,IF(OFFSET(PLE!$G$14,$M136,CI$13)="",10^12,OFFSET(PLE!$G$14,$M136,CI$13))))</f>
        <v>1000000000000</v>
      </c>
      <c r="CJ136" s="182">
        <f ca="1">IF($D136&lt;&gt;"Serviço",0,IF(OR(AND(AUTOEVENTO="Manual",$M136=1),$M136&gt;(ROW(PLE.lastrow)-ROW(PLE.firstrow))),0,IF(OFFSET(PLE!$G$14,$M136,CJ$13)="",10^12,OFFSET(PLE!$G$14,$M136,CJ$13))))</f>
        <v>1000000000000</v>
      </c>
      <c r="CK136" s="182">
        <f ca="1">IF($D136&lt;&gt;"Serviço",0,IF(OR(AND(AUTOEVENTO="Manual",$M136=1),$M136&gt;(ROW(PLE.lastrow)-ROW(PLE.firstrow))),0,IF(OFFSET(PLE!$G$14,$M136,CK$13)="",10^12,OFFSET(PLE!$G$14,$M136,CK$13))))</f>
        <v>1000000000000</v>
      </c>
      <c r="CL136" s="182">
        <f ca="1">IF($D136&lt;&gt;"Serviço",0,IF(OR(AND(AUTOEVENTO="Manual",$M136=1),$M136&gt;(ROW(PLE.lastrow)-ROW(PLE.firstrow))),0,IF(OFFSET(PLE!$G$14,$M136,CL$13)="",10^12,OFFSET(PLE!$G$14,$M136,CL$13))))</f>
        <v>1000000000000</v>
      </c>
      <c r="CM136" s="182">
        <f ca="1">IF($D136&lt;&gt;"Serviço",0,IF(OR(AND(AUTOEVENTO="Manual",$M136=1),$M136&gt;(ROW(PLE.lastrow)-ROW(PLE.firstrow))),0,IF(OFFSET(PLE!$G$14,$M136,CM$13)="",10^12,OFFSET(PLE!$G$14,$M136,CM$13))))</f>
        <v>1000000000000</v>
      </c>
    </row>
    <row r="137" spans="1:91" ht="38.25" x14ac:dyDescent="0.2">
      <c r="A137" s="7" t="str">
        <f t="shared" ca="1" si="11"/>
        <v>119</v>
      </c>
      <c r="B137" s="7" t="str">
        <f ca="1">OFFSET(ORÇAMENTO!C$15,ROW(B137)-ROW(B$15),0)</f>
        <v>S</v>
      </c>
      <c r="C137" s="7" t="str">
        <f ca="1">OFFSET(ORÇAMENTO!L$15,ROW(C137)-ROW(C$15),0)</f>
        <v/>
      </c>
      <c r="D137" s="118" t="str">
        <f ca="1">OFFSET(ORÇAMENTO!N$15,ROW(D137)-ROW(D$15),0)</f>
        <v>Serviço</v>
      </c>
      <c r="E137" s="119" t="str">
        <f ca="1">OFFSET(ORÇAMENTO!O$15,ROW(E137)-ROW(E$15),0)</f>
        <v>-</v>
      </c>
      <c r="F137" s="172" t="str">
        <f ca="1">OFFSET(ORÇAMENTO!R$15,ROW(F137)-ROW(F$15),0)</f>
        <v>(abra o arquivo 'Referência 06-2024.xlsm)</v>
      </c>
      <c r="G137" s="173" t="str">
        <f ca="1">IF($D137&lt;&gt;"Serviço","",OFFSET(ORÇAMENTO!S$15,ROW(G137)-ROW(G$15),0))</f>
        <v>-</v>
      </c>
      <c r="H137" s="124">
        <f ca="1">IF($D137&lt;&gt;"Serviço",0,IF(ACOMPANHAMENTO="BM",ROUND(OFFSET(ORÇAMENTO!AJ$15,ROW(H137)-ROW(H$15),0),15-13*ORÇAMENTO!$AF$7),SUMPRODUCT(($Q$12:$AI$12&lt;&gt;"")*ROUND($Q137:$AI137,15-13*ORÇAMENTO!$AF$7))))</f>
        <v>3.22</v>
      </c>
      <c r="I137" s="561" t="s">
        <v>1107</v>
      </c>
      <c r="K137" s="174"/>
      <c r="L137" s="175" t="s">
        <v>255</v>
      </c>
      <c r="M137" s="176">
        <f ca="1">IF($D137&lt;&gt;"Serviço","",IF(AUTOEVENTO="manual",$A137,IF(ISERROR(MATCH($A137,$A$15:OFFSET($A137,-1,0),0)),MAX($M$15:OFFSET(M137,-1,0))+1,INDEX($M$15:OFFSET(M137,-1,0),MATCH($A137,$A$15:OFFSET($A137,-1,0),0)))))</f>
        <v>22</v>
      </c>
      <c r="N137" s="177" t="str">
        <f ca="1">IF($D137&lt;&gt;"Serviço","",IF(AUTOEVENTO="Manual",IF($A137=0,"&lt;-- defina o número do agrupador",OFFSET(EVENTOS!$D$14,$A137,0)),OFFSET($F$15,$A137,0)))</f>
        <v>ESQUADRIAS - JANELAS EM ALUMÍNIO</v>
      </c>
      <c r="O137" s="178"/>
      <c r="Q137" s="178">
        <v>3.22</v>
      </c>
      <c r="R137" s="179"/>
      <c r="S137" s="179"/>
      <c r="T137" s="179"/>
      <c r="U137" s="179"/>
      <c r="V137" s="179"/>
      <c r="W137" s="179"/>
      <c r="X137" s="179"/>
      <c r="Y137" s="179"/>
      <c r="Z137" s="180"/>
      <c r="AA137" s="179"/>
      <c r="AB137" s="179"/>
      <c r="AC137" s="179"/>
      <c r="AD137" s="179"/>
      <c r="AE137" s="179"/>
      <c r="AF137" s="179"/>
      <c r="AG137" s="179"/>
      <c r="AH137" s="180"/>
      <c r="AJ137" s="544">
        <f ca="1">IF(AND($D137="Serviço",AJ$12&lt;&gt;0,$H137&gt;0,OR(AUTOEVENTO&lt;&gt;"manual",$M137&lt;&gt;1)),
IF(Import.TipoArredondamento&lt;&gt;"TransfereGOV",
ROUND(OFFSET($P137,0,AJ$13),15-13*ORÇAMENTO!$AF$7)/$H137*OFFSET(ORÇAMENTO!$X$15,ROW(AJ137)-ROW(AJ$15),0),
ROUND(ROUND(OFFSET($P137,0,AJ$13),15-13*ORÇAMENTO!$AF$7)*OFFSET(ORÇAMENTO!$W$15,ROW(AJ137)-ROW(AJ$15),0),15-13*ORÇAMENTO!$AF$11)),0)</f>
        <v>0</v>
      </c>
      <c r="AK137" s="545">
        <f ca="1">IF(AND($D137="Serviço",AK$12&lt;&gt;0,$H137&gt;0,OR(AUTOEVENTO&lt;&gt;"manual",$M137&lt;&gt;1)),
IF(Import.TipoArredondamento&lt;&gt;"TransfereGOV",
ROUND(OFFSET($P137,0,AK$13),15-13*ORÇAMENTO!$AF$7)/$H137*OFFSET(ORÇAMENTO!$X$15,ROW(AK137)-ROW(AK$15),0),
ROUND(ROUND(OFFSET($P137,0,AK$13),15-13*ORÇAMENTO!$AF$7)*OFFSET(ORÇAMENTO!$W$15,ROW(AK137)-ROW(AK$15),0),15-13*ORÇAMENTO!$AF$11)),0)</f>
        <v>0</v>
      </c>
      <c r="AL137" s="545">
        <f ca="1">IF(AND($D137="Serviço",AL$12&lt;&gt;0,$H137&gt;0,OR(AUTOEVENTO&lt;&gt;"manual",$M137&lt;&gt;1)),
IF(Import.TipoArredondamento&lt;&gt;"TransfereGOV",
ROUND(OFFSET($P137,0,AL$13),15-13*ORÇAMENTO!$AF$7)/$H137*OFFSET(ORÇAMENTO!$X$15,ROW(AL137)-ROW(AL$15),0),
ROUND(ROUND(OFFSET($P137,0,AL$13),15-13*ORÇAMENTO!$AF$7)*OFFSET(ORÇAMENTO!$W$15,ROW(AL137)-ROW(AL$15),0),15-13*ORÇAMENTO!$AF$11)),0)</f>
        <v>0</v>
      </c>
      <c r="AM137" s="545">
        <f ca="1">IF(AND($D137="Serviço",AM$12&lt;&gt;0,$H137&gt;0,OR(AUTOEVENTO&lt;&gt;"manual",$M137&lt;&gt;1)),
IF(Import.TipoArredondamento&lt;&gt;"TransfereGOV",
ROUND(OFFSET($P137,0,AM$13),15-13*ORÇAMENTO!$AF$7)/$H137*OFFSET(ORÇAMENTO!$X$15,ROW(AM137)-ROW(AM$15),0),
ROUND(ROUND(OFFSET($P137,0,AM$13),15-13*ORÇAMENTO!$AF$7)*OFFSET(ORÇAMENTO!$W$15,ROW(AM137)-ROW(AM$15),0),15-13*ORÇAMENTO!$AF$11)),0)</f>
        <v>0</v>
      </c>
      <c r="AN137" s="545">
        <f ca="1">IF(AND($D137="Serviço",AN$12&lt;&gt;0,$H137&gt;0,OR(AUTOEVENTO&lt;&gt;"manual",$M137&lt;&gt;1)),
IF(Import.TipoArredondamento&lt;&gt;"TransfereGOV",
ROUND(OFFSET($P137,0,AN$13),15-13*ORÇAMENTO!$AF$7)/$H137*OFFSET(ORÇAMENTO!$X$15,ROW(AN137)-ROW(AN$15),0),
ROUND(ROUND(OFFSET($P137,0,AN$13),15-13*ORÇAMENTO!$AF$7)*OFFSET(ORÇAMENTO!$W$15,ROW(AN137)-ROW(AN$15),0),15-13*ORÇAMENTO!$AF$11)),0)</f>
        <v>0</v>
      </c>
      <c r="AO137" s="545">
        <f ca="1">IF(AND($D137="Serviço",AO$12&lt;&gt;0,$H137&gt;0,OR(AUTOEVENTO&lt;&gt;"manual",$M137&lt;&gt;1)),
IF(Import.TipoArredondamento&lt;&gt;"TransfereGOV",
ROUND(OFFSET($P137,0,AO$13),15-13*ORÇAMENTO!$AF$7)/$H137*OFFSET(ORÇAMENTO!$X$15,ROW(AO137)-ROW(AO$15),0),
ROUND(ROUND(OFFSET($P137,0,AO$13),15-13*ORÇAMENTO!$AF$7)*OFFSET(ORÇAMENTO!$W$15,ROW(AO137)-ROW(AO$15),0),15-13*ORÇAMENTO!$AF$11)),0)</f>
        <v>0</v>
      </c>
      <c r="AP137" s="545">
        <f ca="1">IF(AND($D137="Serviço",AP$12&lt;&gt;0,$H137&gt;0,OR(AUTOEVENTO&lt;&gt;"manual",$M137&lt;&gt;1)),
IF(Import.TipoArredondamento&lt;&gt;"TransfereGOV",
ROUND(OFFSET($P137,0,AP$13),15-13*ORÇAMENTO!$AF$7)/$H137*OFFSET(ORÇAMENTO!$X$15,ROW(AP137)-ROW(AP$15),0),
ROUND(ROUND(OFFSET($P137,0,AP$13),15-13*ORÇAMENTO!$AF$7)*OFFSET(ORÇAMENTO!$W$15,ROW(AP137)-ROW(AP$15),0),15-13*ORÇAMENTO!$AF$11)),0)</f>
        <v>0</v>
      </c>
      <c r="AQ137" s="545">
        <f ca="1">IF(AND($D137="Serviço",AQ$12&lt;&gt;0,$H137&gt;0,OR(AUTOEVENTO&lt;&gt;"manual",$M137&lt;&gt;1)),
IF(Import.TipoArredondamento&lt;&gt;"TransfereGOV",
ROUND(OFFSET($P137,0,AQ$13),15-13*ORÇAMENTO!$AF$7)/$H137*OFFSET(ORÇAMENTO!$X$15,ROW(AQ137)-ROW(AQ$15),0),
ROUND(ROUND(OFFSET($P137,0,AQ$13),15-13*ORÇAMENTO!$AF$7)*OFFSET(ORÇAMENTO!$W$15,ROW(AQ137)-ROW(AQ$15),0),15-13*ORÇAMENTO!$AF$11)),0)</f>
        <v>0</v>
      </c>
      <c r="AR137" s="545">
        <f ca="1">IF(AND($D137="Serviço",AR$12&lt;&gt;0,$H137&gt;0,OR(AUTOEVENTO&lt;&gt;"manual",$M137&lt;&gt;1)),
IF(Import.TipoArredondamento&lt;&gt;"TransfereGOV",
ROUND(OFFSET($P137,0,AR$13),15-13*ORÇAMENTO!$AF$7)/$H137*OFFSET(ORÇAMENTO!$X$15,ROW(AR137)-ROW(AR$15),0),
ROUND(ROUND(OFFSET($P137,0,AR$13),15-13*ORÇAMENTO!$AF$7)*OFFSET(ORÇAMENTO!$W$15,ROW(AR137)-ROW(AR$15),0),15-13*ORÇAMENTO!$AF$11)),0)</f>
        <v>0</v>
      </c>
      <c r="AS137" s="546">
        <f ca="1">IF(AND($D137="Serviço",AS$12&lt;&gt;0,$H137&gt;0,OR(AUTOEVENTO&lt;&gt;"manual",$M137&lt;&gt;1)),
IF(Import.TipoArredondamento&lt;&gt;"TransfereGOV",
ROUND(OFFSET($P137,0,AS$13),15-13*ORÇAMENTO!$AF$7)/$H137*OFFSET(ORÇAMENTO!$X$15,ROW(AS137)-ROW(AS$15),0),
ROUND(ROUND(OFFSET($P137,0,AS$13),15-13*ORÇAMENTO!$AF$7)*OFFSET(ORÇAMENTO!$W$15,ROW(AS137)-ROW(AS$15),0),15-13*ORÇAMENTO!$AF$11)),0)</f>
        <v>0</v>
      </c>
      <c r="AT137" s="545">
        <f ca="1">IF(AND($D137="Serviço",AT$12&lt;&gt;0,$H137&gt;0,OR(AUTOEVENTO&lt;&gt;"manual",$M137&lt;&gt;1)),
IF(Import.TipoArredondamento&lt;&gt;"TransfereGOV",
ROUND(OFFSET($P137,0,AT$13),15-13*ORÇAMENTO!$AF$7)/$H137*OFFSET(ORÇAMENTO!$X$15,ROW(AT137)-ROW(AT$15),0),
ROUND(ROUND(OFFSET($P137,0,AT$13),15-13*ORÇAMENTO!$AF$7)*OFFSET(ORÇAMENTO!$W$15,ROW(AT137)-ROW(AT$15),0),15-13*ORÇAMENTO!$AF$11)),0)</f>
        <v>0</v>
      </c>
      <c r="AU137" s="545">
        <f ca="1">IF(AND($D137="Serviço",AU$12&lt;&gt;0,$H137&gt;0,OR(AUTOEVENTO&lt;&gt;"manual",$M137&lt;&gt;1)),
IF(Import.TipoArredondamento&lt;&gt;"TransfereGOV",
ROUND(OFFSET($P137,0,AU$13),15-13*ORÇAMENTO!$AF$7)/$H137*OFFSET(ORÇAMENTO!$X$15,ROW(AU137)-ROW(AU$15),0),
ROUND(ROUND(OFFSET($P137,0,AU$13),15-13*ORÇAMENTO!$AF$7)*OFFSET(ORÇAMENTO!$W$15,ROW(AU137)-ROW(AU$15),0),15-13*ORÇAMENTO!$AF$11)),0)</f>
        <v>0</v>
      </c>
      <c r="AV137" s="545">
        <f ca="1">IF(AND($D137="Serviço",AV$12&lt;&gt;0,$H137&gt;0,OR(AUTOEVENTO&lt;&gt;"manual",$M137&lt;&gt;1)),
IF(Import.TipoArredondamento&lt;&gt;"TransfereGOV",
ROUND(OFFSET($P137,0,AV$13),15-13*ORÇAMENTO!$AF$7)/$H137*OFFSET(ORÇAMENTO!$X$15,ROW(AV137)-ROW(AV$15),0),
ROUND(ROUND(OFFSET($P137,0,AV$13),15-13*ORÇAMENTO!$AF$7)*OFFSET(ORÇAMENTO!$W$15,ROW(AV137)-ROW(AV$15),0),15-13*ORÇAMENTO!$AF$11)),0)</f>
        <v>0</v>
      </c>
      <c r="AW137" s="545">
        <f ca="1">IF(AND($D137="Serviço",AW$12&lt;&gt;0,$H137&gt;0,OR(AUTOEVENTO&lt;&gt;"manual",$M137&lt;&gt;1)),
IF(Import.TipoArredondamento&lt;&gt;"TransfereGOV",
ROUND(OFFSET($P137,0,AW$13),15-13*ORÇAMENTO!$AF$7)/$H137*OFFSET(ORÇAMENTO!$X$15,ROW(AW137)-ROW(AW$15),0),
ROUND(ROUND(OFFSET($P137,0,AW$13),15-13*ORÇAMENTO!$AF$7)*OFFSET(ORÇAMENTO!$W$15,ROW(AW137)-ROW(AW$15),0),15-13*ORÇAMENTO!$AF$11)),0)</f>
        <v>0</v>
      </c>
      <c r="AX137" s="545">
        <f ca="1">IF(AND($D137="Serviço",AX$12&lt;&gt;0,$H137&gt;0,OR(AUTOEVENTO&lt;&gt;"manual",$M137&lt;&gt;1)),
IF(Import.TipoArredondamento&lt;&gt;"TransfereGOV",
ROUND(OFFSET($P137,0,AX$13),15-13*ORÇAMENTO!$AF$7)/$H137*OFFSET(ORÇAMENTO!$X$15,ROW(AX137)-ROW(AX$15),0),
ROUND(ROUND(OFFSET($P137,0,AX$13),15-13*ORÇAMENTO!$AF$7)*OFFSET(ORÇAMENTO!$W$15,ROW(AX137)-ROW(AX$15),0),15-13*ORÇAMENTO!$AF$11)),0)</f>
        <v>0</v>
      </c>
      <c r="AY137" s="545">
        <f ca="1">IF(AND($D137="Serviço",AY$12&lt;&gt;0,$H137&gt;0,OR(AUTOEVENTO&lt;&gt;"manual",$M137&lt;&gt;1)),
IF(Import.TipoArredondamento&lt;&gt;"TransfereGOV",
ROUND(OFFSET($P137,0,AY$13),15-13*ORÇAMENTO!$AF$7)/$H137*OFFSET(ORÇAMENTO!$X$15,ROW(AY137)-ROW(AY$15),0),
ROUND(ROUND(OFFSET($P137,0,AY$13),15-13*ORÇAMENTO!$AF$7)*OFFSET(ORÇAMENTO!$W$15,ROW(AY137)-ROW(AY$15),0),15-13*ORÇAMENTO!$AF$11)),0)</f>
        <v>0</v>
      </c>
      <c r="AZ137" s="545">
        <f ca="1">IF(AND($D137="Serviço",AZ$12&lt;&gt;0,$H137&gt;0,OR(AUTOEVENTO&lt;&gt;"manual",$M137&lt;&gt;1)),
IF(Import.TipoArredondamento&lt;&gt;"TransfereGOV",
ROUND(OFFSET($P137,0,AZ$13),15-13*ORÇAMENTO!$AF$7)/$H137*OFFSET(ORÇAMENTO!$X$15,ROW(AZ137)-ROW(AZ$15),0),
ROUND(ROUND(OFFSET($P137,0,AZ$13),15-13*ORÇAMENTO!$AF$7)*OFFSET(ORÇAMENTO!$W$15,ROW(AZ137)-ROW(AZ$15),0),15-13*ORÇAMENTO!$AF$11)),0)</f>
        <v>0</v>
      </c>
      <c r="BA137" s="546">
        <f ca="1">IF(AND($D137="Serviço",BA$12&lt;&gt;0,$H137&gt;0,OR(AUTOEVENTO&lt;&gt;"manual",$M137&lt;&gt;1)),
IF(Import.TipoArredondamento&lt;&gt;"TransfereGOV",
ROUND(OFFSET($P137,0,BA$13),15-13*ORÇAMENTO!$AF$7)/$H137*OFFSET(ORÇAMENTO!$X$15,ROW(BA137)-ROW(BA$15),0),
ROUND(ROUND(OFFSET($P137,0,BA$13),15-13*ORÇAMENTO!$AF$7)*OFFSET(ORÇAMENTO!$W$15,ROW(BA137)-ROW(BA$15),0),15-13*ORÇAMENTO!$AF$11)),0)</f>
        <v>0</v>
      </c>
      <c r="BC137" s="181">
        <f ca="1">IF($D137&lt;&gt;"Serviço",0,IF(AND(AUTOEVENTO="Manual",$M137=1),0,IF(OFFSET(CRONOPLE!$F$14,$M137,BC$13)="",10^12,OFFSET(CRONOPLE!$F$14,$M137,BC$13))))</f>
        <v>5</v>
      </c>
      <c r="BD137" s="181">
        <f ca="1">IF($D137&lt;&gt;"Serviço",0,IF(AND(AUTOEVENTO="Manual",$M137=1),0,IF(OFFSET(CRONOPLE!$F$14,$M137,BD$13)="",10^12,OFFSET(CRONOPLE!$F$14,$M137,BD$13))))</f>
        <v>1000000000000</v>
      </c>
      <c r="BE137" s="181">
        <f ca="1">IF($D137&lt;&gt;"Serviço",0,IF(AND(AUTOEVENTO="Manual",$M137=1),0,IF(OFFSET(CRONOPLE!$F$14,$M137,BE$13)="",10^12,OFFSET(CRONOPLE!$F$14,$M137,BE$13))))</f>
        <v>1000000000000</v>
      </c>
      <c r="BF137" s="181">
        <f ca="1">IF($D137&lt;&gt;"Serviço",0,IF(AND(AUTOEVENTO="Manual",$M137=1),0,IF(OFFSET(CRONOPLE!$F$14,$M137,BF$13)="",10^12,OFFSET(CRONOPLE!$F$14,$M137,BF$13))))</f>
        <v>1000000000000</v>
      </c>
      <c r="BG137" s="181">
        <f ca="1">IF($D137&lt;&gt;"Serviço",0,IF(AND(AUTOEVENTO="Manual",$M137=1),0,IF(OFFSET(CRONOPLE!$F$14,$M137,BG$13)="",10^12,OFFSET(CRONOPLE!$F$14,$M137,BG$13))))</f>
        <v>1000000000000</v>
      </c>
      <c r="BH137" s="181">
        <f ca="1">IF($D137&lt;&gt;"Serviço",0,IF(AND(AUTOEVENTO="Manual",$M137=1),0,IF(OFFSET(CRONOPLE!$F$14,$M137,BH$13)="",10^12,OFFSET(CRONOPLE!$F$14,$M137,BH$13))))</f>
        <v>1000000000000</v>
      </c>
      <c r="BI137" s="181">
        <f ca="1">IF($D137&lt;&gt;"Serviço",0,IF(AND(AUTOEVENTO="Manual",$M137=1),0,IF(OFFSET(CRONOPLE!$F$14,$M137,BI$13)="",10^12,OFFSET(CRONOPLE!$F$14,$M137,BI$13))))</f>
        <v>1000000000000</v>
      </c>
      <c r="BJ137" s="181">
        <f ca="1">IF($D137&lt;&gt;"Serviço",0,IF(AND(AUTOEVENTO="Manual",$M137=1),0,IF(OFFSET(CRONOPLE!$F$14,$M137,BJ$13)="",10^12,OFFSET(CRONOPLE!$F$14,$M137,BJ$13))))</f>
        <v>1000000000000</v>
      </c>
      <c r="BK137" s="181">
        <f ca="1">IF($D137&lt;&gt;"Serviço",0,IF(AND(AUTOEVENTO="Manual",$M137=1),0,IF(OFFSET(CRONOPLE!$F$14,$M137,BK$13)="",10^12,OFFSET(CRONOPLE!$F$14,$M137,BK$13))))</f>
        <v>1000000000000</v>
      </c>
      <c r="BL137" s="181">
        <f ca="1">IF($D137&lt;&gt;"Serviço",0,IF(AND(AUTOEVENTO="Manual",$M137=1),0,IF(OFFSET(CRONOPLE!$F$14,$M137,BL$13)="",10^12,OFFSET(CRONOPLE!$F$14,$M137,BL$13))))</f>
        <v>1000000000000</v>
      </c>
      <c r="BM137" s="181">
        <f ca="1">IF($D137&lt;&gt;"Serviço",0,IF(AND(AUTOEVENTO="Manual",$M137=1),0,IF(OFFSET(CRONOPLE!$F$14,$M137,BM$13)="",10^12,OFFSET(CRONOPLE!$F$14,$M137,BM$13))))</f>
        <v>1000000000000</v>
      </c>
      <c r="BN137" s="181">
        <f ca="1">IF($D137&lt;&gt;"Serviço",0,IF(AND(AUTOEVENTO="Manual",$M137=1),0,IF(OFFSET(CRONOPLE!$F$14,$M137,BN$13)="",10^12,OFFSET(CRONOPLE!$F$14,$M137,BN$13))))</f>
        <v>1000000000000</v>
      </c>
      <c r="BO137" s="181">
        <f ca="1">IF($D137&lt;&gt;"Serviço",0,IF(AND(AUTOEVENTO="Manual",$M137=1),0,IF(OFFSET(CRONOPLE!$F$14,$M137,BO$13)="",10^12,OFFSET(CRONOPLE!$F$14,$M137,BO$13))))</f>
        <v>1000000000000</v>
      </c>
      <c r="BP137" s="181">
        <f ca="1">IF($D137&lt;&gt;"Serviço",0,IF(AND(AUTOEVENTO="Manual",$M137=1),0,IF(OFFSET(CRONOPLE!$F$14,$M137,BP$13)="",10^12,OFFSET(CRONOPLE!$F$14,$M137,BP$13))))</f>
        <v>1000000000000</v>
      </c>
      <c r="BQ137" s="181">
        <f ca="1">IF($D137&lt;&gt;"Serviço",0,IF(AND(AUTOEVENTO="Manual",$M137=1),0,IF(OFFSET(CRONOPLE!$F$14,$M137,BQ$13)="",10^12,OFFSET(CRONOPLE!$F$14,$M137,BQ$13))))</f>
        <v>1000000000000</v>
      </c>
      <c r="BR137" s="181">
        <f ca="1">IF($D137&lt;&gt;"Serviço",0,IF(AND(AUTOEVENTO="Manual",$M137=1),0,IF(OFFSET(CRONOPLE!$F$14,$M137,BR$13)="",10^12,OFFSET(CRONOPLE!$F$14,$M137,BR$13))))</f>
        <v>1000000000000</v>
      </c>
      <c r="BS137" s="181">
        <f ca="1">IF($D137&lt;&gt;"Serviço",0,IF(AND(AUTOEVENTO="Manual",$M137=1),0,IF(OFFSET(CRONOPLE!$F$14,$M137,BS$13)="",10^12,OFFSET(CRONOPLE!$F$14,$M137,BS$13))))</f>
        <v>1000000000000</v>
      </c>
      <c r="BT137" s="181">
        <f ca="1">IF($D137&lt;&gt;"Serviço",0,IF(AND(AUTOEVENTO="Manual",$M137=1),0,IF(OFFSET(CRONOPLE!$F$14,$M137,BT$13)="",10^12,OFFSET(CRONOPLE!$F$14,$M137,BT$13))))</f>
        <v>1000000000000</v>
      </c>
      <c r="BV137" s="182">
        <f ca="1">IF($D137&lt;&gt;"Serviço",0,IF(OR(AND(AUTOEVENTO="Manual",$M137=1),$M137&gt;(ROW(PLE.lastrow)-ROW(PLE.firstrow))),0,IF(OFFSET(PLE!$G$14,$M137,BV$13)="",10^12,OFFSET(PLE!$G$14,$M137,BV$13))))</f>
        <v>1000000000000</v>
      </c>
      <c r="BW137" s="182">
        <f ca="1">IF($D137&lt;&gt;"Serviço",0,IF(OR(AND(AUTOEVENTO="Manual",$M137=1),$M137&gt;(ROW(PLE.lastrow)-ROW(PLE.firstrow))),0,IF(OFFSET(PLE!$G$14,$M137,BW$13)="",10^12,OFFSET(PLE!$G$14,$M137,BW$13))))</f>
        <v>1000000000000</v>
      </c>
      <c r="BX137" s="182">
        <f ca="1">IF($D137&lt;&gt;"Serviço",0,IF(OR(AND(AUTOEVENTO="Manual",$M137=1),$M137&gt;(ROW(PLE.lastrow)-ROW(PLE.firstrow))),0,IF(OFFSET(PLE!$G$14,$M137,BX$13)="",10^12,OFFSET(PLE!$G$14,$M137,BX$13))))</f>
        <v>1000000000000</v>
      </c>
      <c r="BY137" s="182">
        <f ca="1">IF($D137&lt;&gt;"Serviço",0,IF(OR(AND(AUTOEVENTO="Manual",$M137=1),$M137&gt;(ROW(PLE.lastrow)-ROW(PLE.firstrow))),0,IF(OFFSET(PLE!$G$14,$M137,BY$13)="",10^12,OFFSET(PLE!$G$14,$M137,BY$13))))</f>
        <v>1000000000000</v>
      </c>
      <c r="BZ137" s="182">
        <f ca="1">IF($D137&lt;&gt;"Serviço",0,IF(OR(AND(AUTOEVENTO="Manual",$M137=1),$M137&gt;(ROW(PLE.lastrow)-ROW(PLE.firstrow))),0,IF(OFFSET(PLE!$G$14,$M137,BZ$13)="",10^12,OFFSET(PLE!$G$14,$M137,BZ$13))))</f>
        <v>1000000000000</v>
      </c>
      <c r="CA137" s="182">
        <f ca="1">IF($D137&lt;&gt;"Serviço",0,IF(OR(AND(AUTOEVENTO="Manual",$M137=1),$M137&gt;(ROW(PLE.lastrow)-ROW(PLE.firstrow))),0,IF(OFFSET(PLE!$G$14,$M137,CA$13)="",10^12,OFFSET(PLE!$G$14,$M137,CA$13))))</f>
        <v>1000000000000</v>
      </c>
      <c r="CB137" s="182">
        <f ca="1">IF($D137&lt;&gt;"Serviço",0,IF(OR(AND(AUTOEVENTO="Manual",$M137=1),$M137&gt;(ROW(PLE.lastrow)-ROW(PLE.firstrow))),0,IF(OFFSET(PLE!$G$14,$M137,CB$13)="",10^12,OFFSET(PLE!$G$14,$M137,CB$13))))</f>
        <v>1000000000000</v>
      </c>
      <c r="CC137" s="182">
        <f ca="1">IF($D137&lt;&gt;"Serviço",0,IF(OR(AND(AUTOEVENTO="Manual",$M137=1),$M137&gt;(ROW(PLE.lastrow)-ROW(PLE.firstrow))),0,IF(OFFSET(PLE!$G$14,$M137,CC$13)="",10^12,OFFSET(PLE!$G$14,$M137,CC$13))))</f>
        <v>1000000000000</v>
      </c>
      <c r="CD137" s="182">
        <f ca="1">IF($D137&lt;&gt;"Serviço",0,IF(OR(AND(AUTOEVENTO="Manual",$M137=1),$M137&gt;(ROW(PLE.lastrow)-ROW(PLE.firstrow))),0,IF(OFFSET(PLE!$G$14,$M137,CD$13)="",10^12,OFFSET(PLE!$G$14,$M137,CD$13))))</f>
        <v>1000000000000</v>
      </c>
      <c r="CE137" s="182">
        <f ca="1">IF($D137&lt;&gt;"Serviço",0,IF(OR(AND(AUTOEVENTO="Manual",$M137=1),$M137&gt;(ROW(PLE.lastrow)-ROW(PLE.firstrow))),0,IF(OFFSET(PLE!$G$14,$M137,CE$13)="",10^12,OFFSET(PLE!$G$14,$M137,CE$13))))</f>
        <v>1000000000000</v>
      </c>
      <c r="CF137" s="182">
        <f ca="1">IF($D137&lt;&gt;"Serviço",0,IF(OR(AND(AUTOEVENTO="Manual",$M137=1),$M137&gt;(ROW(PLE.lastrow)-ROW(PLE.firstrow))),0,IF(OFFSET(PLE!$G$14,$M137,CF$13)="",10^12,OFFSET(PLE!$G$14,$M137,CF$13))))</f>
        <v>1000000000000</v>
      </c>
      <c r="CG137" s="182">
        <f ca="1">IF($D137&lt;&gt;"Serviço",0,IF(OR(AND(AUTOEVENTO="Manual",$M137=1),$M137&gt;(ROW(PLE.lastrow)-ROW(PLE.firstrow))),0,IF(OFFSET(PLE!$G$14,$M137,CG$13)="",10^12,OFFSET(PLE!$G$14,$M137,CG$13))))</f>
        <v>1000000000000</v>
      </c>
      <c r="CH137" s="182">
        <f ca="1">IF($D137&lt;&gt;"Serviço",0,IF(OR(AND(AUTOEVENTO="Manual",$M137=1),$M137&gt;(ROW(PLE.lastrow)-ROW(PLE.firstrow))),0,IF(OFFSET(PLE!$G$14,$M137,CH$13)="",10^12,OFFSET(PLE!$G$14,$M137,CH$13))))</f>
        <v>1000000000000</v>
      </c>
      <c r="CI137" s="182">
        <f ca="1">IF($D137&lt;&gt;"Serviço",0,IF(OR(AND(AUTOEVENTO="Manual",$M137=1),$M137&gt;(ROW(PLE.lastrow)-ROW(PLE.firstrow))),0,IF(OFFSET(PLE!$G$14,$M137,CI$13)="",10^12,OFFSET(PLE!$G$14,$M137,CI$13))))</f>
        <v>1000000000000</v>
      </c>
      <c r="CJ137" s="182">
        <f ca="1">IF($D137&lt;&gt;"Serviço",0,IF(OR(AND(AUTOEVENTO="Manual",$M137=1),$M137&gt;(ROW(PLE.lastrow)-ROW(PLE.firstrow))),0,IF(OFFSET(PLE!$G$14,$M137,CJ$13)="",10^12,OFFSET(PLE!$G$14,$M137,CJ$13))))</f>
        <v>1000000000000</v>
      </c>
      <c r="CK137" s="182">
        <f ca="1">IF($D137&lt;&gt;"Serviço",0,IF(OR(AND(AUTOEVENTO="Manual",$M137=1),$M137&gt;(ROW(PLE.lastrow)-ROW(PLE.firstrow))),0,IF(OFFSET(PLE!$G$14,$M137,CK$13)="",10^12,OFFSET(PLE!$G$14,$M137,CK$13))))</f>
        <v>1000000000000</v>
      </c>
      <c r="CL137" s="182">
        <f ca="1">IF($D137&lt;&gt;"Serviço",0,IF(OR(AND(AUTOEVENTO="Manual",$M137=1),$M137&gt;(ROW(PLE.lastrow)-ROW(PLE.firstrow))),0,IF(OFFSET(PLE!$G$14,$M137,CL$13)="",10^12,OFFSET(PLE!$G$14,$M137,CL$13))))</f>
        <v>1000000000000</v>
      </c>
      <c r="CM137" s="182">
        <f ca="1">IF($D137&lt;&gt;"Serviço",0,IF(OR(AND(AUTOEVENTO="Manual",$M137=1),$M137&gt;(ROW(PLE.lastrow)-ROW(PLE.firstrow))),0,IF(OFFSET(PLE!$G$14,$M137,CM$13)="",10^12,OFFSET(PLE!$G$14,$M137,CM$13))))</f>
        <v>1000000000000</v>
      </c>
    </row>
    <row r="138" spans="1:91" ht="51" x14ac:dyDescent="0.2">
      <c r="A138" s="7" t="str">
        <f t="shared" ca="1" si="11"/>
        <v>119</v>
      </c>
      <c r="B138" s="7" t="str">
        <f ca="1">OFFSET(ORÇAMENTO!C$15,ROW(B138)-ROW(B$15),0)</f>
        <v>S</v>
      </c>
      <c r="C138" s="7" t="str">
        <f ca="1">OFFSET(ORÇAMENTO!L$15,ROW(C138)-ROW(C$15),0)</f>
        <v/>
      </c>
      <c r="D138" s="118" t="str">
        <f ca="1">OFFSET(ORÇAMENTO!N$15,ROW(D138)-ROW(D$15),0)</f>
        <v>Serviço</v>
      </c>
      <c r="E138" s="119" t="str">
        <f ca="1">OFFSET(ORÇAMENTO!O$15,ROW(E138)-ROW(E$15),0)</f>
        <v>-</v>
      </c>
      <c r="F138" s="172" t="str">
        <f ca="1">OFFSET(ORÇAMENTO!R$15,ROW(F138)-ROW(F$15),0)</f>
        <v>(abra o arquivo 'Referência 06-2024.xlsm)</v>
      </c>
      <c r="G138" s="173" t="str">
        <f ca="1">IF($D138&lt;&gt;"Serviço","",OFFSET(ORÇAMENTO!S$15,ROW(G138)-ROW(G$15),0))</f>
        <v>-</v>
      </c>
      <c r="H138" s="124">
        <f ca="1">IF($D138&lt;&gt;"Serviço",0,IF(ACOMPANHAMENTO="BM",ROUND(OFFSET(ORÇAMENTO!AJ$15,ROW(H138)-ROW(H$15),0),15-13*ORÇAMENTO!$AF$7),SUMPRODUCT(($Q$12:$AI$12&lt;&gt;"")*ROUND($Q138:$AI138,15-13*ORÇAMENTO!$AF$7))))</f>
        <v>2.0299999999999998</v>
      </c>
      <c r="I138" s="561" t="s">
        <v>1107</v>
      </c>
      <c r="K138" s="174"/>
      <c r="L138" s="175" t="s">
        <v>255</v>
      </c>
      <c r="M138" s="176">
        <f ca="1">IF($D138&lt;&gt;"Serviço","",IF(AUTOEVENTO="manual",$A138,IF(ISERROR(MATCH($A138,$A$15:OFFSET($A138,-1,0),0)),MAX($M$15:OFFSET(M138,-1,0))+1,INDEX($M$15:OFFSET(M138,-1,0),MATCH($A138,$A$15:OFFSET($A138,-1,0),0)))))</f>
        <v>22</v>
      </c>
      <c r="N138" s="177" t="str">
        <f ca="1">IF($D138&lt;&gt;"Serviço","",IF(AUTOEVENTO="Manual",IF($A138=0,"&lt;-- defina o número do agrupador",OFFSET(EVENTOS!$D$14,$A138,0)),OFFSET($F$15,$A138,0)))</f>
        <v>ESQUADRIAS - JANELAS EM ALUMÍNIO</v>
      </c>
      <c r="O138" s="178"/>
      <c r="Q138" s="178">
        <v>2.0299999999999998</v>
      </c>
      <c r="R138" s="179"/>
      <c r="S138" s="179"/>
      <c r="T138" s="179"/>
      <c r="U138" s="179"/>
      <c r="V138" s="179"/>
      <c r="W138" s="179"/>
      <c r="X138" s="179"/>
      <c r="Y138" s="179"/>
      <c r="Z138" s="180"/>
      <c r="AA138" s="179"/>
      <c r="AB138" s="179"/>
      <c r="AC138" s="179"/>
      <c r="AD138" s="179"/>
      <c r="AE138" s="179"/>
      <c r="AF138" s="179"/>
      <c r="AG138" s="179"/>
      <c r="AH138" s="180"/>
      <c r="AJ138" s="544">
        <f ca="1">IF(AND($D138="Serviço",AJ$12&lt;&gt;0,$H138&gt;0,OR(AUTOEVENTO&lt;&gt;"manual",$M138&lt;&gt;1)),
IF(Import.TipoArredondamento&lt;&gt;"TransfereGOV",
ROUND(OFFSET($P138,0,AJ$13),15-13*ORÇAMENTO!$AF$7)/$H138*OFFSET(ORÇAMENTO!$X$15,ROW(AJ138)-ROW(AJ$15),0),
ROUND(ROUND(OFFSET($P138,0,AJ$13),15-13*ORÇAMENTO!$AF$7)*OFFSET(ORÇAMENTO!$W$15,ROW(AJ138)-ROW(AJ$15),0),15-13*ORÇAMENTO!$AF$11)),0)</f>
        <v>0</v>
      </c>
      <c r="AK138" s="545">
        <f ca="1">IF(AND($D138="Serviço",AK$12&lt;&gt;0,$H138&gt;0,OR(AUTOEVENTO&lt;&gt;"manual",$M138&lt;&gt;1)),
IF(Import.TipoArredondamento&lt;&gt;"TransfereGOV",
ROUND(OFFSET($P138,0,AK$13),15-13*ORÇAMENTO!$AF$7)/$H138*OFFSET(ORÇAMENTO!$X$15,ROW(AK138)-ROW(AK$15),0),
ROUND(ROUND(OFFSET($P138,0,AK$13),15-13*ORÇAMENTO!$AF$7)*OFFSET(ORÇAMENTO!$W$15,ROW(AK138)-ROW(AK$15),0),15-13*ORÇAMENTO!$AF$11)),0)</f>
        <v>0</v>
      </c>
      <c r="AL138" s="545">
        <f ca="1">IF(AND($D138="Serviço",AL$12&lt;&gt;0,$H138&gt;0,OR(AUTOEVENTO&lt;&gt;"manual",$M138&lt;&gt;1)),
IF(Import.TipoArredondamento&lt;&gt;"TransfereGOV",
ROUND(OFFSET($P138,0,AL$13),15-13*ORÇAMENTO!$AF$7)/$H138*OFFSET(ORÇAMENTO!$X$15,ROW(AL138)-ROW(AL$15),0),
ROUND(ROUND(OFFSET($P138,0,AL$13),15-13*ORÇAMENTO!$AF$7)*OFFSET(ORÇAMENTO!$W$15,ROW(AL138)-ROW(AL$15),0),15-13*ORÇAMENTO!$AF$11)),0)</f>
        <v>0</v>
      </c>
      <c r="AM138" s="545">
        <f ca="1">IF(AND($D138="Serviço",AM$12&lt;&gt;0,$H138&gt;0,OR(AUTOEVENTO&lt;&gt;"manual",$M138&lt;&gt;1)),
IF(Import.TipoArredondamento&lt;&gt;"TransfereGOV",
ROUND(OFFSET($P138,0,AM$13),15-13*ORÇAMENTO!$AF$7)/$H138*OFFSET(ORÇAMENTO!$X$15,ROW(AM138)-ROW(AM$15),0),
ROUND(ROUND(OFFSET($P138,0,AM$13),15-13*ORÇAMENTO!$AF$7)*OFFSET(ORÇAMENTO!$W$15,ROW(AM138)-ROW(AM$15),0),15-13*ORÇAMENTO!$AF$11)),0)</f>
        <v>0</v>
      </c>
      <c r="AN138" s="545">
        <f ca="1">IF(AND($D138="Serviço",AN$12&lt;&gt;0,$H138&gt;0,OR(AUTOEVENTO&lt;&gt;"manual",$M138&lt;&gt;1)),
IF(Import.TipoArredondamento&lt;&gt;"TransfereGOV",
ROUND(OFFSET($P138,0,AN$13),15-13*ORÇAMENTO!$AF$7)/$H138*OFFSET(ORÇAMENTO!$X$15,ROW(AN138)-ROW(AN$15),0),
ROUND(ROUND(OFFSET($P138,0,AN$13),15-13*ORÇAMENTO!$AF$7)*OFFSET(ORÇAMENTO!$W$15,ROW(AN138)-ROW(AN$15),0),15-13*ORÇAMENTO!$AF$11)),0)</f>
        <v>0</v>
      </c>
      <c r="AO138" s="545">
        <f ca="1">IF(AND($D138="Serviço",AO$12&lt;&gt;0,$H138&gt;0,OR(AUTOEVENTO&lt;&gt;"manual",$M138&lt;&gt;1)),
IF(Import.TipoArredondamento&lt;&gt;"TransfereGOV",
ROUND(OFFSET($P138,0,AO$13),15-13*ORÇAMENTO!$AF$7)/$H138*OFFSET(ORÇAMENTO!$X$15,ROW(AO138)-ROW(AO$15),0),
ROUND(ROUND(OFFSET($P138,0,AO$13),15-13*ORÇAMENTO!$AF$7)*OFFSET(ORÇAMENTO!$W$15,ROW(AO138)-ROW(AO$15),0),15-13*ORÇAMENTO!$AF$11)),0)</f>
        <v>0</v>
      </c>
      <c r="AP138" s="545">
        <f ca="1">IF(AND($D138="Serviço",AP$12&lt;&gt;0,$H138&gt;0,OR(AUTOEVENTO&lt;&gt;"manual",$M138&lt;&gt;1)),
IF(Import.TipoArredondamento&lt;&gt;"TransfereGOV",
ROUND(OFFSET($P138,0,AP$13),15-13*ORÇAMENTO!$AF$7)/$H138*OFFSET(ORÇAMENTO!$X$15,ROW(AP138)-ROW(AP$15),0),
ROUND(ROUND(OFFSET($P138,0,AP$13),15-13*ORÇAMENTO!$AF$7)*OFFSET(ORÇAMENTO!$W$15,ROW(AP138)-ROW(AP$15),0),15-13*ORÇAMENTO!$AF$11)),0)</f>
        <v>0</v>
      </c>
      <c r="AQ138" s="545">
        <f ca="1">IF(AND($D138="Serviço",AQ$12&lt;&gt;0,$H138&gt;0,OR(AUTOEVENTO&lt;&gt;"manual",$M138&lt;&gt;1)),
IF(Import.TipoArredondamento&lt;&gt;"TransfereGOV",
ROUND(OFFSET($P138,0,AQ$13),15-13*ORÇAMENTO!$AF$7)/$H138*OFFSET(ORÇAMENTO!$X$15,ROW(AQ138)-ROW(AQ$15),0),
ROUND(ROUND(OFFSET($P138,0,AQ$13),15-13*ORÇAMENTO!$AF$7)*OFFSET(ORÇAMENTO!$W$15,ROW(AQ138)-ROW(AQ$15),0),15-13*ORÇAMENTO!$AF$11)),0)</f>
        <v>0</v>
      </c>
      <c r="AR138" s="545">
        <f ca="1">IF(AND($D138="Serviço",AR$12&lt;&gt;0,$H138&gt;0,OR(AUTOEVENTO&lt;&gt;"manual",$M138&lt;&gt;1)),
IF(Import.TipoArredondamento&lt;&gt;"TransfereGOV",
ROUND(OFFSET($P138,0,AR$13),15-13*ORÇAMENTO!$AF$7)/$H138*OFFSET(ORÇAMENTO!$X$15,ROW(AR138)-ROW(AR$15),0),
ROUND(ROUND(OFFSET($P138,0,AR$13),15-13*ORÇAMENTO!$AF$7)*OFFSET(ORÇAMENTO!$W$15,ROW(AR138)-ROW(AR$15),0),15-13*ORÇAMENTO!$AF$11)),0)</f>
        <v>0</v>
      </c>
      <c r="AS138" s="546">
        <f ca="1">IF(AND($D138="Serviço",AS$12&lt;&gt;0,$H138&gt;0,OR(AUTOEVENTO&lt;&gt;"manual",$M138&lt;&gt;1)),
IF(Import.TipoArredondamento&lt;&gt;"TransfereGOV",
ROUND(OFFSET($P138,0,AS$13),15-13*ORÇAMENTO!$AF$7)/$H138*OFFSET(ORÇAMENTO!$X$15,ROW(AS138)-ROW(AS$15),0),
ROUND(ROUND(OFFSET($P138,0,AS$13),15-13*ORÇAMENTO!$AF$7)*OFFSET(ORÇAMENTO!$W$15,ROW(AS138)-ROW(AS$15),0),15-13*ORÇAMENTO!$AF$11)),0)</f>
        <v>0</v>
      </c>
      <c r="AT138" s="545">
        <f ca="1">IF(AND($D138="Serviço",AT$12&lt;&gt;0,$H138&gt;0,OR(AUTOEVENTO&lt;&gt;"manual",$M138&lt;&gt;1)),
IF(Import.TipoArredondamento&lt;&gt;"TransfereGOV",
ROUND(OFFSET($P138,0,AT$13),15-13*ORÇAMENTO!$AF$7)/$H138*OFFSET(ORÇAMENTO!$X$15,ROW(AT138)-ROW(AT$15),0),
ROUND(ROUND(OFFSET($P138,0,AT$13),15-13*ORÇAMENTO!$AF$7)*OFFSET(ORÇAMENTO!$W$15,ROW(AT138)-ROW(AT$15),0),15-13*ORÇAMENTO!$AF$11)),0)</f>
        <v>0</v>
      </c>
      <c r="AU138" s="545">
        <f ca="1">IF(AND($D138="Serviço",AU$12&lt;&gt;0,$H138&gt;0,OR(AUTOEVENTO&lt;&gt;"manual",$M138&lt;&gt;1)),
IF(Import.TipoArredondamento&lt;&gt;"TransfereGOV",
ROUND(OFFSET($P138,0,AU$13),15-13*ORÇAMENTO!$AF$7)/$H138*OFFSET(ORÇAMENTO!$X$15,ROW(AU138)-ROW(AU$15),0),
ROUND(ROUND(OFFSET($P138,0,AU$13),15-13*ORÇAMENTO!$AF$7)*OFFSET(ORÇAMENTO!$W$15,ROW(AU138)-ROW(AU$15),0),15-13*ORÇAMENTO!$AF$11)),0)</f>
        <v>0</v>
      </c>
      <c r="AV138" s="545">
        <f ca="1">IF(AND($D138="Serviço",AV$12&lt;&gt;0,$H138&gt;0,OR(AUTOEVENTO&lt;&gt;"manual",$M138&lt;&gt;1)),
IF(Import.TipoArredondamento&lt;&gt;"TransfereGOV",
ROUND(OFFSET($P138,0,AV$13),15-13*ORÇAMENTO!$AF$7)/$H138*OFFSET(ORÇAMENTO!$X$15,ROW(AV138)-ROW(AV$15),0),
ROUND(ROUND(OFFSET($P138,0,AV$13),15-13*ORÇAMENTO!$AF$7)*OFFSET(ORÇAMENTO!$W$15,ROW(AV138)-ROW(AV$15),0),15-13*ORÇAMENTO!$AF$11)),0)</f>
        <v>0</v>
      </c>
      <c r="AW138" s="545">
        <f ca="1">IF(AND($D138="Serviço",AW$12&lt;&gt;0,$H138&gt;0,OR(AUTOEVENTO&lt;&gt;"manual",$M138&lt;&gt;1)),
IF(Import.TipoArredondamento&lt;&gt;"TransfereGOV",
ROUND(OFFSET($P138,0,AW$13),15-13*ORÇAMENTO!$AF$7)/$H138*OFFSET(ORÇAMENTO!$X$15,ROW(AW138)-ROW(AW$15),0),
ROUND(ROUND(OFFSET($P138,0,AW$13),15-13*ORÇAMENTO!$AF$7)*OFFSET(ORÇAMENTO!$W$15,ROW(AW138)-ROW(AW$15),0),15-13*ORÇAMENTO!$AF$11)),0)</f>
        <v>0</v>
      </c>
      <c r="AX138" s="545">
        <f ca="1">IF(AND($D138="Serviço",AX$12&lt;&gt;0,$H138&gt;0,OR(AUTOEVENTO&lt;&gt;"manual",$M138&lt;&gt;1)),
IF(Import.TipoArredondamento&lt;&gt;"TransfereGOV",
ROUND(OFFSET($P138,0,AX$13),15-13*ORÇAMENTO!$AF$7)/$H138*OFFSET(ORÇAMENTO!$X$15,ROW(AX138)-ROW(AX$15),0),
ROUND(ROUND(OFFSET($P138,0,AX$13),15-13*ORÇAMENTO!$AF$7)*OFFSET(ORÇAMENTO!$W$15,ROW(AX138)-ROW(AX$15),0),15-13*ORÇAMENTO!$AF$11)),0)</f>
        <v>0</v>
      </c>
      <c r="AY138" s="545">
        <f ca="1">IF(AND($D138="Serviço",AY$12&lt;&gt;0,$H138&gt;0,OR(AUTOEVENTO&lt;&gt;"manual",$M138&lt;&gt;1)),
IF(Import.TipoArredondamento&lt;&gt;"TransfereGOV",
ROUND(OFFSET($P138,0,AY$13),15-13*ORÇAMENTO!$AF$7)/$H138*OFFSET(ORÇAMENTO!$X$15,ROW(AY138)-ROW(AY$15),0),
ROUND(ROUND(OFFSET($P138,0,AY$13),15-13*ORÇAMENTO!$AF$7)*OFFSET(ORÇAMENTO!$W$15,ROW(AY138)-ROW(AY$15),0),15-13*ORÇAMENTO!$AF$11)),0)</f>
        <v>0</v>
      </c>
      <c r="AZ138" s="545">
        <f ca="1">IF(AND($D138="Serviço",AZ$12&lt;&gt;0,$H138&gt;0,OR(AUTOEVENTO&lt;&gt;"manual",$M138&lt;&gt;1)),
IF(Import.TipoArredondamento&lt;&gt;"TransfereGOV",
ROUND(OFFSET($P138,0,AZ$13),15-13*ORÇAMENTO!$AF$7)/$H138*OFFSET(ORÇAMENTO!$X$15,ROW(AZ138)-ROW(AZ$15),0),
ROUND(ROUND(OFFSET($P138,0,AZ$13),15-13*ORÇAMENTO!$AF$7)*OFFSET(ORÇAMENTO!$W$15,ROW(AZ138)-ROW(AZ$15),0),15-13*ORÇAMENTO!$AF$11)),0)</f>
        <v>0</v>
      </c>
      <c r="BA138" s="546">
        <f ca="1">IF(AND($D138="Serviço",BA$12&lt;&gt;0,$H138&gt;0,OR(AUTOEVENTO&lt;&gt;"manual",$M138&lt;&gt;1)),
IF(Import.TipoArredondamento&lt;&gt;"TransfereGOV",
ROUND(OFFSET($P138,0,BA$13),15-13*ORÇAMENTO!$AF$7)/$H138*OFFSET(ORÇAMENTO!$X$15,ROW(BA138)-ROW(BA$15),0),
ROUND(ROUND(OFFSET($P138,0,BA$13),15-13*ORÇAMENTO!$AF$7)*OFFSET(ORÇAMENTO!$W$15,ROW(BA138)-ROW(BA$15),0),15-13*ORÇAMENTO!$AF$11)),0)</f>
        <v>0</v>
      </c>
      <c r="BC138" s="181">
        <f ca="1">IF($D138&lt;&gt;"Serviço",0,IF(AND(AUTOEVENTO="Manual",$M138=1),0,IF(OFFSET(CRONOPLE!$F$14,$M138,BC$13)="",10^12,OFFSET(CRONOPLE!$F$14,$M138,BC$13))))</f>
        <v>5</v>
      </c>
      <c r="BD138" s="181">
        <f ca="1">IF($D138&lt;&gt;"Serviço",0,IF(AND(AUTOEVENTO="Manual",$M138=1),0,IF(OFFSET(CRONOPLE!$F$14,$M138,BD$13)="",10^12,OFFSET(CRONOPLE!$F$14,$M138,BD$13))))</f>
        <v>1000000000000</v>
      </c>
      <c r="BE138" s="181">
        <f ca="1">IF($D138&lt;&gt;"Serviço",0,IF(AND(AUTOEVENTO="Manual",$M138=1),0,IF(OFFSET(CRONOPLE!$F$14,$M138,BE$13)="",10^12,OFFSET(CRONOPLE!$F$14,$M138,BE$13))))</f>
        <v>1000000000000</v>
      </c>
      <c r="BF138" s="181">
        <f ca="1">IF($D138&lt;&gt;"Serviço",0,IF(AND(AUTOEVENTO="Manual",$M138=1),0,IF(OFFSET(CRONOPLE!$F$14,$M138,BF$13)="",10^12,OFFSET(CRONOPLE!$F$14,$M138,BF$13))))</f>
        <v>1000000000000</v>
      </c>
      <c r="BG138" s="181">
        <f ca="1">IF($D138&lt;&gt;"Serviço",0,IF(AND(AUTOEVENTO="Manual",$M138=1),0,IF(OFFSET(CRONOPLE!$F$14,$M138,BG$13)="",10^12,OFFSET(CRONOPLE!$F$14,$M138,BG$13))))</f>
        <v>1000000000000</v>
      </c>
      <c r="BH138" s="181">
        <f ca="1">IF($D138&lt;&gt;"Serviço",0,IF(AND(AUTOEVENTO="Manual",$M138=1),0,IF(OFFSET(CRONOPLE!$F$14,$M138,BH$13)="",10^12,OFFSET(CRONOPLE!$F$14,$M138,BH$13))))</f>
        <v>1000000000000</v>
      </c>
      <c r="BI138" s="181">
        <f ca="1">IF($D138&lt;&gt;"Serviço",0,IF(AND(AUTOEVENTO="Manual",$M138=1),0,IF(OFFSET(CRONOPLE!$F$14,$M138,BI$13)="",10^12,OFFSET(CRONOPLE!$F$14,$M138,BI$13))))</f>
        <v>1000000000000</v>
      </c>
      <c r="BJ138" s="181">
        <f ca="1">IF($D138&lt;&gt;"Serviço",0,IF(AND(AUTOEVENTO="Manual",$M138=1),0,IF(OFFSET(CRONOPLE!$F$14,$M138,BJ$13)="",10^12,OFFSET(CRONOPLE!$F$14,$M138,BJ$13))))</f>
        <v>1000000000000</v>
      </c>
      <c r="BK138" s="181">
        <f ca="1">IF($D138&lt;&gt;"Serviço",0,IF(AND(AUTOEVENTO="Manual",$M138=1),0,IF(OFFSET(CRONOPLE!$F$14,$M138,BK$13)="",10^12,OFFSET(CRONOPLE!$F$14,$M138,BK$13))))</f>
        <v>1000000000000</v>
      </c>
      <c r="BL138" s="181">
        <f ca="1">IF($D138&lt;&gt;"Serviço",0,IF(AND(AUTOEVENTO="Manual",$M138=1),0,IF(OFFSET(CRONOPLE!$F$14,$M138,BL$13)="",10^12,OFFSET(CRONOPLE!$F$14,$M138,BL$13))))</f>
        <v>1000000000000</v>
      </c>
      <c r="BM138" s="181">
        <f ca="1">IF($D138&lt;&gt;"Serviço",0,IF(AND(AUTOEVENTO="Manual",$M138=1),0,IF(OFFSET(CRONOPLE!$F$14,$M138,BM$13)="",10^12,OFFSET(CRONOPLE!$F$14,$M138,BM$13))))</f>
        <v>1000000000000</v>
      </c>
      <c r="BN138" s="181">
        <f ca="1">IF($D138&lt;&gt;"Serviço",0,IF(AND(AUTOEVENTO="Manual",$M138=1),0,IF(OFFSET(CRONOPLE!$F$14,$M138,BN$13)="",10^12,OFFSET(CRONOPLE!$F$14,$M138,BN$13))))</f>
        <v>1000000000000</v>
      </c>
      <c r="BO138" s="181">
        <f ca="1">IF($D138&lt;&gt;"Serviço",0,IF(AND(AUTOEVENTO="Manual",$M138=1),0,IF(OFFSET(CRONOPLE!$F$14,$M138,BO$13)="",10^12,OFFSET(CRONOPLE!$F$14,$M138,BO$13))))</f>
        <v>1000000000000</v>
      </c>
      <c r="BP138" s="181">
        <f ca="1">IF($D138&lt;&gt;"Serviço",0,IF(AND(AUTOEVENTO="Manual",$M138=1),0,IF(OFFSET(CRONOPLE!$F$14,$M138,BP$13)="",10^12,OFFSET(CRONOPLE!$F$14,$M138,BP$13))))</f>
        <v>1000000000000</v>
      </c>
      <c r="BQ138" s="181">
        <f ca="1">IF($D138&lt;&gt;"Serviço",0,IF(AND(AUTOEVENTO="Manual",$M138=1),0,IF(OFFSET(CRONOPLE!$F$14,$M138,BQ$13)="",10^12,OFFSET(CRONOPLE!$F$14,$M138,BQ$13))))</f>
        <v>1000000000000</v>
      </c>
      <c r="BR138" s="181">
        <f ca="1">IF($D138&lt;&gt;"Serviço",0,IF(AND(AUTOEVENTO="Manual",$M138=1),0,IF(OFFSET(CRONOPLE!$F$14,$M138,BR$13)="",10^12,OFFSET(CRONOPLE!$F$14,$M138,BR$13))))</f>
        <v>1000000000000</v>
      </c>
      <c r="BS138" s="181">
        <f ca="1">IF($D138&lt;&gt;"Serviço",0,IF(AND(AUTOEVENTO="Manual",$M138=1),0,IF(OFFSET(CRONOPLE!$F$14,$M138,BS$13)="",10^12,OFFSET(CRONOPLE!$F$14,$M138,BS$13))))</f>
        <v>1000000000000</v>
      </c>
      <c r="BT138" s="181">
        <f ca="1">IF($D138&lt;&gt;"Serviço",0,IF(AND(AUTOEVENTO="Manual",$M138=1),0,IF(OFFSET(CRONOPLE!$F$14,$M138,BT$13)="",10^12,OFFSET(CRONOPLE!$F$14,$M138,BT$13))))</f>
        <v>1000000000000</v>
      </c>
      <c r="BV138" s="182">
        <f ca="1">IF($D138&lt;&gt;"Serviço",0,IF(OR(AND(AUTOEVENTO="Manual",$M138=1),$M138&gt;(ROW(PLE.lastrow)-ROW(PLE.firstrow))),0,IF(OFFSET(PLE!$G$14,$M138,BV$13)="",10^12,OFFSET(PLE!$G$14,$M138,BV$13))))</f>
        <v>1000000000000</v>
      </c>
      <c r="BW138" s="182">
        <f ca="1">IF($D138&lt;&gt;"Serviço",0,IF(OR(AND(AUTOEVENTO="Manual",$M138=1),$M138&gt;(ROW(PLE.lastrow)-ROW(PLE.firstrow))),0,IF(OFFSET(PLE!$G$14,$M138,BW$13)="",10^12,OFFSET(PLE!$G$14,$M138,BW$13))))</f>
        <v>1000000000000</v>
      </c>
      <c r="BX138" s="182">
        <f ca="1">IF($D138&lt;&gt;"Serviço",0,IF(OR(AND(AUTOEVENTO="Manual",$M138=1),$M138&gt;(ROW(PLE.lastrow)-ROW(PLE.firstrow))),0,IF(OFFSET(PLE!$G$14,$M138,BX$13)="",10^12,OFFSET(PLE!$G$14,$M138,BX$13))))</f>
        <v>1000000000000</v>
      </c>
      <c r="BY138" s="182">
        <f ca="1">IF($D138&lt;&gt;"Serviço",0,IF(OR(AND(AUTOEVENTO="Manual",$M138=1),$M138&gt;(ROW(PLE.lastrow)-ROW(PLE.firstrow))),0,IF(OFFSET(PLE!$G$14,$M138,BY$13)="",10^12,OFFSET(PLE!$G$14,$M138,BY$13))))</f>
        <v>1000000000000</v>
      </c>
      <c r="BZ138" s="182">
        <f ca="1">IF($D138&lt;&gt;"Serviço",0,IF(OR(AND(AUTOEVENTO="Manual",$M138=1),$M138&gt;(ROW(PLE.lastrow)-ROW(PLE.firstrow))),0,IF(OFFSET(PLE!$G$14,$M138,BZ$13)="",10^12,OFFSET(PLE!$G$14,$M138,BZ$13))))</f>
        <v>1000000000000</v>
      </c>
      <c r="CA138" s="182">
        <f ca="1">IF($D138&lt;&gt;"Serviço",0,IF(OR(AND(AUTOEVENTO="Manual",$M138=1),$M138&gt;(ROW(PLE.lastrow)-ROW(PLE.firstrow))),0,IF(OFFSET(PLE!$G$14,$M138,CA$13)="",10^12,OFFSET(PLE!$G$14,$M138,CA$13))))</f>
        <v>1000000000000</v>
      </c>
      <c r="CB138" s="182">
        <f ca="1">IF($D138&lt;&gt;"Serviço",0,IF(OR(AND(AUTOEVENTO="Manual",$M138=1),$M138&gt;(ROW(PLE.lastrow)-ROW(PLE.firstrow))),0,IF(OFFSET(PLE!$G$14,$M138,CB$13)="",10^12,OFFSET(PLE!$G$14,$M138,CB$13))))</f>
        <v>1000000000000</v>
      </c>
      <c r="CC138" s="182">
        <f ca="1">IF($D138&lt;&gt;"Serviço",0,IF(OR(AND(AUTOEVENTO="Manual",$M138=1),$M138&gt;(ROW(PLE.lastrow)-ROW(PLE.firstrow))),0,IF(OFFSET(PLE!$G$14,$M138,CC$13)="",10^12,OFFSET(PLE!$G$14,$M138,CC$13))))</f>
        <v>1000000000000</v>
      </c>
      <c r="CD138" s="182">
        <f ca="1">IF($D138&lt;&gt;"Serviço",0,IF(OR(AND(AUTOEVENTO="Manual",$M138=1),$M138&gt;(ROW(PLE.lastrow)-ROW(PLE.firstrow))),0,IF(OFFSET(PLE!$G$14,$M138,CD$13)="",10^12,OFFSET(PLE!$G$14,$M138,CD$13))))</f>
        <v>1000000000000</v>
      </c>
      <c r="CE138" s="182">
        <f ca="1">IF($D138&lt;&gt;"Serviço",0,IF(OR(AND(AUTOEVENTO="Manual",$M138=1),$M138&gt;(ROW(PLE.lastrow)-ROW(PLE.firstrow))),0,IF(OFFSET(PLE!$G$14,$M138,CE$13)="",10^12,OFFSET(PLE!$G$14,$M138,CE$13))))</f>
        <v>1000000000000</v>
      </c>
      <c r="CF138" s="182">
        <f ca="1">IF($D138&lt;&gt;"Serviço",0,IF(OR(AND(AUTOEVENTO="Manual",$M138=1),$M138&gt;(ROW(PLE.lastrow)-ROW(PLE.firstrow))),0,IF(OFFSET(PLE!$G$14,$M138,CF$13)="",10^12,OFFSET(PLE!$G$14,$M138,CF$13))))</f>
        <v>1000000000000</v>
      </c>
      <c r="CG138" s="182">
        <f ca="1">IF($D138&lt;&gt;"Serviço",0,IF(OR(AND(AUTOEVENTO="Manual",$M138=1),$M138&gt;(ROW(PLE.lastrow)-ROW(PLE.firstrow))),0,IF(OFFSET(PLE!$G$14,$M138,CG$13)="",10^12,OFFSET(PLE!$G$14,$M138,CG$13))))</f>
        <v>1000000000000</v>
      </c>
      <c r="CH138" s="182">
        <f ca="1">IF($D138&lt;&gt;"Serviço",0,IF(OR(AND(AUTOEVENTO="Manual",$M138=1),$M138&gt;(ROW(PLE.lastrow)-ROW(PLE.firstrow))),0,IF(OFFSET(PLE!$G$14,$M138,CH$13)="",10^12,OFFSET(PLE!$G$14,$M138,CH$13))))</f>
        <v>1000000000000</v>
      </c>
      <c r="CI138" s="182">
        <f ca="1">IF($D138&lt;&gt;"Serviço",0,IF(OR(AND(AUTOEVENTO="Manual",$M138=1),$M138&gt;(ROW(PLE.lastrow)-ROW(PLE.firstrow))),0,IF(OFFSET(PLE!$G$14,$M138,CI$13)="",10^12,OFFSET(PLE!$G$14,$M138,CI$13))))</f>
        <v>1000000000000</v>
      </c>
      <c r="CJ138" s="182">
        <f ca="1">IF($D138&lt;&gt;"Serviço",0,IF(OR(AND(AUTOEVENTO="Manual",$M138=1),$M138&gt;(ROW(PLE.lastrow)-ROW(PLE.firstrow))),0,IF(OFFSET(PLE!$G$14,$M138,CJ$13)="",10^12,OFFSET(PLE!$G$14,$M138,CJ$13))))</f>
        <v>1000000000000</v>
      </c>
      <c r="CK138" s="182">
        <f ca="1">IF($D138&lt;&gt;"Serviço",0,IF(OR(AND(AUTOEVENTO="Manual",$M138=1),$M138&gt;(ROW(PLE.lastrow)-ROW(PLE.firstrow))),0,IF(OFFSET(PLE!$G$14,$M138,CK$13)="",10^12,OFFSET(PLE!$G$14,$M138,CK$13))))</f>
        <v>1000000000000</v>
      </c>
      <c r="CL138" s="182">
        <f ca="1">IF($D138&lt;&gt;"Serviço",0,IF(OR(AND(AUTOEVENTO="Manual",$M138=1),$M138&gt;(ROW(PLE.lastrow)-ROW(PLE.firstrow))),0,IF(OFFSET(PLE!$G$14,$M138,CL$13)="",10^12,OFFSET(PLE!$G$14,$M138,CL$13))))</f>
        <v>1000000000000</v>
      </c>
      <c r="CM138" s="182">
        <f ca="1">IF($D138&lt;&gt;"Serviço",0,IF(OR(AND(AUTOEVENTO="Manual",$M138=1),$M138&gt;(ROW(PLE.lastrow)-ROW(PLE.firstrow))),0,IF(OFFSET(PLE!$G$14,$M138,CM$13)="",10^12,OFFSET(PLE!$G$14,$M138,CM$13))))</f>
        <v>1000000000000</v>
      </c>
    </row>
    <row r="139" spans="1:91" ht="38.25" x14ac:dyDescent="0.2">
      <c r="A139" s="7" t="str">
        <f t="shared" ca="1" si="11"/>
        <v>119</v>
      </c>
      <c r="B139" s="7" t="str">
        <f ca="1">OFFSET(ORÇAMENTO!C$15,ROW(B139)-ROW(B$15),0)</f>
        <v>S</v>
      </c>
      <c r="C139" s="7" t="str">
        <f ca="1">OFFSET(ORÇAMENTO!L$15,ROW(C139)-ROW(C$15),0)</f>
        <v/>
      </c>
      <c r="D139" s="118" t="str">
        <f ca="1">OFFSET(ORÇAMENTO!N$15,ROW(D139)-ROW(D$15),0)</f>
        <v>Serviço</v>
      </c>
      <c r="E139" s="119" t="str">
        <f ca="1">OFFSET(ORÇAMENTO!O$15,ROW(E139)-ROW(E$15),0)</f>
        <v>-</v>
      </c>
      <c r="F139" s="172" t="str">
        <f ca="1">OFFSET(ORÇAMENTO!R$15,ROW(F139)-ROW(F$15),0)</f>
        <v>(abra o arquivo 'Referência 06-2024.xlsm)</v>
      </c>
      <c r="G139" s="173" t="str">
        <f ca="1">IF($D139&lt;&gt;"Serviço","",OFFSET(ORÇAMENTO!S$15,ROW(G139)-ROW(G$15),0))</f>
        <v>-</v>
      </c>
      <c r="H139" s="124">
        <f ca="1">IF($D139&lt;&gt;"Serviço",0,IF(ACOMPANHAMENTO="BM",ROUND(OFFSET(ORÇAMENTO!AJ$15,ROW(H139)-ROW(H$15),0),15-13*ORÇAMENTO!$AF$7),SUMPRODUCT(($Q$12:$AI$12&lt;&gt;"")*ROUND($Q139:$AI139,15-13*ORÇAMENTO!$AF$7))))</f>
        <v>2.56</v>
      </c>
      <c r="I139" s="561" t="s">
        <v>1107</v>
      </c>
      <c r="K139" s="174"/>
      <c r="L139" s="175" t="s">
        <v>255</v>
      </c>
      <c r="M139" s="176">
        <f ca="1">IF($D139&lt;&gt;"Serviço","",IF(AUTOEVENTO="manual",$A139,IF(ISERROR(MATCH($A139,$A$15:OFFSET($A139,-1,0),0)),MAX($M$15:OFFSET(M139,-1,0))+1,INDEX($M$15:OFFSET(M139,-1,0),MATCH($A139,$A$15:OFFSET($A139,-1,0),0)))))</f>
        <v>22</v>
      </c>
      <c r="N139" s="177" t="str">
        <f ca="1">IF($D139&lt;&gt;"Serviço","",IF(AUTOEVENTO="Manual",IF($A139=0,"&lt;-- defina o número do agrupador",OFFSET(EVENTOS!$D$14,$A139,0)),OFFSET($F$15,$A139,0)))</f>
        <v>ESQUADRIAS - JANELAS EM ALUMÍNIO</v>
      </c>
      <c r="O139" s="178"/>
      <c r="Q139" s="178">
        <v>2.56</v>
      </c>
      <c r="R139" s="179"/>
      <c r="S139" s="179"/>
      <c r="T139" s="179"/>
      <c r="U139" s="179"/>
      <c r="V139" s="179"/>
      <c r="W139" s="179"/>
      <c r="X139" s="179"/>
      <c r="Y139" s="179"/>
      <c r="Z139" s="180"/>
      <c r="AA139" s="179"/>
      <c r="AB139" s="179"/>
      <c r="AC139" s="179"/>
      <c r="AD139" s="179"/>
      <c r="AE139" s="179"/>
      <c r="AF139" s="179"/>
      <c r="AG139" s="179"/>
      <c r="AH139" s="180"/>
      <c r="AJ139" s="544">
        <f ca="1">IF(AND($D139="Serviço",AJ$12&lt;&gt;0,$H139&gt;0,OR(AUTOEVENTO&lt;&gt;"manual",$M139&lt;&gt;1)),
IF(Import.TipoArredondamento&lt;&gt;"TransfereGOV",
ROUND(OFFSET($P139,0,AJ$13),15-13*ORÇAMENTO!$AF$7)/$H139*OFFSET(ORÇAMENTO!$X$15,ROW(AJ139)-ROW(AJ$15),0),
ROUND(ROUND(OFFSET($P139,0,AJ$13),15-13*ORÇAMENTO!$AF$7)*OFFSET(ORÇAMENTO!$W$15,ROW(AJ139)-ROW(AJ$15),0),15-13*ORÇAMENTO!$AF$11)),0)</f>
        <v>0</v>
      </c>
      <c r="AK139" s="545">
        <f ca="1">IF(AND($D139="Serviço",AK$12&lt;&gt;0,$H139&gt;0,OR(AUTOEVENTO&lt;&gt;"manual",$M139&lt;&gt;1)),
IF(Import.TipoArredondamento&lt;&gt;"TransfereGOV",
ROUND(OFFSET($P139,0,AK$13),15-13*ORÇAMENTO!$AF$7)/$H139*OFFSET(ORÇAMENTO!$X$15,ROW(AK139)-ROW(AK$15),0),
ROUND(ROUND(OFFSET($P139,0,AK$13),15-13*ORÇAMENTO!$AF$7)*OFFSET(ORÇAMENTO!$W$15,ROW(AK139)-ROW(AK$15),0),15-13*ORÇAMENTO!$AF$11)),0)</f>
        <v>0</v>
      </c>
      <c r="AL139" s="545">
        <f ca="1">IF(AND($D139="Serviço",AL$12&lt;&gt;0,$H139&gt;0,OR(AUTOEVENTO&lt;&gt;"manual",$M139&lt;&gt;1)),
IF(Import.TipoArredondamento&lt;&gt;"TransfereGOV",
ROUND(OFFSET($P139,0,AL$13),15-13*ORÇAMENTO!$AF$7)/$H139*OFFSET(ORÇAMENTO!$X$15,ROW(AL139)-ROW(AL$15),0),
ROUND(ROUND(OFFSET($P139,0,AL$13),15-13*ORÇAMENTO!$AF$7)*OFFSET(ORÇAMENTO!$W$15,ROW(AL139)-ROW(AL$15),0),15-13*ORÇAMENTO!$AF$11)),0)</f>
        <v>0</v>
      </c>
      <c r="AM139" s="545">
        <f ca="1">IF(AND($D139="Serviço",AM$12&lt;&gt;0,$H139&gt;0,OR(AUTOEVENTO&lt;&gt;"manual",$M139&lt;&gt;1)),
IF(Import.TipoArredondamento&lt;&gt;"TransfereGOV",
ROUND(OFFSET($P139,0,AM$13),15-13*ORÇAMENTO!$AF$7)/$H139*OFFSET(ORÇAMENTO!$X$15,ROW(AM139)-ROW(AM$15),0),
ROUND(ROUND(OFFSET($P139,0,AM$13),15-13*ORÇAMENTO!$AF$7)*OFFSET(ORÇAMENTO!$W$15,ROW(AM139)-ROW(AM$15),0),15-13*ORÇAMENTO!$AF$11)),0)</f>
        <v>0</v>
      </c>
      <c r="AN139" s="545">
        <f ca="1">IF(AND($D139="Serviço",AN$12&lt;&gt;0,$H139&gt;0,OR(AUTOEVENTO&lt;&gt;"manual",$M139&lt;&gt;1)),
IF(Import.TipoArredondamento&lt;&gt;"TransfereGOV",
ROUND(OFFSET($P139,0,AN$13),15-13*ORÇAMENTO!$AF$7)/$H139*OFFSET(ORÇAMENTO!$X$15,ROW(AN139)-ROW(AN$15),0),
ROUND(ROUND(OFFSET($P139,0,AN$13),15-13*ORÇAMENTO!$AF$7)*OFFSET(ORÇAMENTO!$W$15,ROW(AN139)-ROW(AN$15),0),15-13*ORÇAMENTO!$AF$11)),0)</f>
        <v>0</v>
      </c>
      <c r="AO139" s="545">
        <f ca="1">IF(AND($D139="Serviço",AO$12&lt;&gt;0,$H139&gt;0,OR(AUTOEVENTO&lt;&gt;"manual",$M139&lt;&gt;1)),
IF(Import.TipoArredondamento&lt;&gt;"TransfereGOV",
ROUND(OFFSET($P139,0,AO$13),15-13*ORÇAMENTO!$AF$7)/$H139*OFFSET(ORÇAMENTO!$X$15,ROW(AO139)-ROW(AO$15),0),
ROUND(ROUND(OFFSET($P139,0,AO$13),15-13*ORÇAMENTO!$AF$7)*OFFSET(ORÇAMENTO!$W$15,ROW(AO139)-ROW(AO$15),0),15-13*ORÇAMENTO!$AF$11)),0)</f>
        <v>0</v>
      </c>
      <c r="AP139" s="545">
        <f ca="1">IF(AND($D139="Serviço",AP$12&lt;&gt;0,$H139&gt;0,OR(AUTOEVENTO&lt;&gt;"manual",$M139&lt;&gt;1)),
IF(Import.TipoArredondamento&lt;&gt;"TransfereGOV",
ROUND(OFFSET($P139,0,AP$13),15-13*ORÇAMENTO!$AF$7)/$H139*OFFSET(ORÇAMENTO!$X$15,ROW(AP139)-ROW(AP$15),0),
ROUND(ROUND(OFFSET($P139,0,AP$13),15-13*ORÇAMENTO!$AF$7)*OFFSET(ORÇAMENTO!$W$15,ROW(AP139)-ROW(AP$15),0),15-13*ORÇAMENTO!$AF$11)),0)</f>
        <v>0</v>
      </c>
      <c r="AQ139" s="545">
        <f ca="1">IF(AND($D139="Serviço",AQ$12&lt;&gt;0,$H139&gt;0,OR(AUTOEVENTO&lt;&gt;"manual",$M139&lt;&gt;1)),
IF(Import.TipoArredondamento&lt;&gt;"TransfereGOV",
ROUND(OFFSET($P139,0,AQ$13),15-13*ORÇAMENTO!$AF$7)/$H139*OFFSET(ORÇAMENTO!$X$15,ROW(AQ139)-ROW(AQ$15),0),
ROUND(ROUND(OFFSET($P139,0,AQ$13),15-13*ORÇAMENTO!$AF$7)*OFFSET(ORÇAMENTO!$W$15,ROW(AQ139)-ROW(AQ$15),0),15-13*ORÇAMENTO!$AF$11)),0)</f>
        <v>0</v>
      </c>
      <c r="AR139" s="545">
        <f ca="1">IF(AND($D139="Serviço",AR$12&lt;&gt;0,$H139&gt;0,OR(AUTOEVENTO&lt;&gt;"manual",$M139&lt;&gt;1)),
IF(Import.TipoArredondamento&lt;&gt;"TransfereGOV",
ROUND(OFFSET($P139,0,AR$13),15-13*ORÇAMENTO!$AF$7)/$H139*OFFSET(ORÇAMENTO!$X$15,ROW(AR139)-ROW(AR$15),0),
ROUND(ROUND(OFFSET($P139,0,AR$13),15-13*ORÇAMENTO!$AF$7)*OFFSET(ORÇAMENTO!$W$15,ROW(AR139)-ROW(AR$15),0),15-13*ORÇAMENTO!$AF$11)),0)</f>
        <v>0</v>
      </c>
      <c r="AS139" s="546">
        <f ca="1">IF(AND($D139="Serviço",AS$12&lt;&gt;0,$H139&gt;0,OR(AUTOEVENTO&lt;&gt;"manual",$M139&lt;&gt;1)),
IF(Import.TipoArredondamento&lt;&gt;"TransfereGOV",
ROUND(OFFSET($P139,0,AS$13),15-13*ORÇAMENTO!$AF$7)/$H139*OFFSET(ORÇAMENTO!$X$15,ROW(AS139)-ROW(AS$15),0),
ROUND(ROUND(OFFSET($P139,0,AS$13),15-13*ORÇAMENTO!$AF$7)*OFFSET(ORÇAMENTO!$W$15,ROW(AS139)-ROW(AS$15),0),15-13*ORÇAMENTO!$AF$11)),0)</f>
        <v>0</v>
      </c>
      <c r="AT139" s="545">
        <f ca="1">IF(AND($D139="Serviço",AT$12&lt;&gt;0,$H139&gt;0,OR(AUTOEVENTO&lt;&gt;"manual",$M139&lt;&gt;1)),
IF(Import.TipoArredondamento&lt;&gt;"TransfereGOV",
ROUND(OFFSET($P139,0,AT$13),15-13*ORÇAMENTO!$AF$7)/$H139*OFFSET(ORÇAMENTO!$X$15,ROW(AT139)-ROW(AT$15),0),
ROUND(ROUND(OFFSET($P139,0,AT$13),15-13*ORÇAMENTO!$AF$7)*OFFSET(ORÇAMENTO!$W$15,ROW(AT139)-ROW(AT$15),0),15-13*ORÇAMENTO!$AF$11)),0)</f>
        <v>0</v>
      </c>
      <c r="AU139" s="545">
        <f ca="1">IF(AND($D139="Serviço",AU$12&lt;&gt;0,$H139&gt;0,OR(AUTOEVENTO&lt;&gt;"manual",$M139&lt;&gt;1)),
IF(Import.TipoArredondamento&lt;&gt;"TransfereGOV",
ROUND(OFFSET($P139,0,AU$13),15-13*ORÇAMENTO!$AF$7)/$H139*OFFSET(ORÇAMENTO!$X$15,ROW(AU139)-ROW(AU$15),0),
ROUND(ROUND(OFFSET($P139,0,AU$13),15-13*ORÇAMENTO!$AF$7)*OFFSET(ORÇAMENTO!$W$15,ROW(AU139)-ROW(AU$15),0),15-13*ORÇAMENTO!$AF$11)),0)</f>
        <v>0</v>
      </c>
      <c r="AV139" s="545">
        <f ca="1">IF(AND($D139="Serviço",AV$12&lt;&gt;0,$H139&gt;0,OR(AUTOEVENTO&lt;&gt;"manual",$M139&lt;&gt;1)),
IF(Import.TipoArredondamento&lt;&gt;"TransfereGOV",
ROUND(OFFSET($P139,0,AV$13),15-13*ORÇAMENTO!$AF$7)/$H139*OFFSET(ORÇAMENTO!$X$15,ROW(AV139)-ROW(AV$15),0),
ROUND(ROUND(OFFSET($P139,0,AV$13),15-13*ORÇAMENTO!$AF$7)*OFFSET(ORÇAMENTO!$W$15,ROW(AV139)-ROW(AV$15),0),15-13*ORÇAMENTO!$AF$11)),0)</f>
        <v>0</v>
      </c>
      <c r="AW139" s="545">
        <f ca="1">IF(AND($D139="Serviço",AW$12&lt;&gt;0,$H139&gt;0,OR(AUTOEVENTO&lt;&gt;"manual",$M139&lt;&gt;1)),
IF(Import.TipoArredondamento&lt;&gt;"TransfereGOV",
ROUND(OFFSET($P139,0,AW$13),15-13*ORÇAMENTO!$AF$7)/$H139*OFFSET(ORÇAMENTO!$X$15,ROW(AW139)-ROW(AW$15),0),
ROUND(ROUND(OFFSET($P139,0,AW$13),15-13*ORÇAMENTO!$AF$7)*OFFSET(ORÇAMENTO!$W$15,ROW(AW139)-ROW(AW$15),0),15-13*ORÇAMENTO!$AF$11)),0)</f>
        <v>0</v>
      </c>
      <c r="AX139" s="545">
        <f ca="1">IF(AND($D139="Serviço",AX$12&lt;&gt;0,$H139&gt;0,OR(AUTOEVENTO&lt;&gt;"manual",$M139&lt;&gt;1)),
IF(Import.TipoArredondamento&lt;&gt;"TransfereGOV",
ROUND(OFFSET($P139,0,AX$13),15-13*ORÇAMENTO!$AF$7)/$H139*OFFSET(ORÇAMENTO!$X$15,ROW(AX139)-ROW(AX$15),0),
ROUND(ROUND(OFFSET($P139,0,AX$13),15-13*ORÇAMENTO!$AF$7)*OFFSET(ORÇAMENTO!$W$15,ROW(AX139)-ROW(AX$15),0),15-13*ORÇAMENTO!$AF$11)),0)</f>
        <v>0</v>
      </c>
      <c r="AY139" s="545">
        <f ca="1">IF(AND($D139="Serviço",AY$12&lt;&gt;0,$H139&gt;0,OR(AUTOEVENTO&lt;&gt;"manual",$M139&lt;&gt;1)),
IF(Import.TipoArredondamento&lt;&gt;"TransfereGOV",
ROUND(OFFSET($P139,0,AY$13),15-13*ORÇAMENTO!$AF$7)/$H139*OFFSET(ORÇAMENTO!$X$15,ROW(AY139)-ROW(AY$15),0),
ROUND(ROUND(OFFSET($P139,0,AY$13),15-13*ORÇAMENTO!$AF$7)*OFFSET(ORÇAMENTO!$W$15,ROW(AY139)-ROW(AY$15),0),15-13*ORÇAMENTO!$AF$11)),0)</f>
        <v>0</v>
      </c>
      <c r="AZ139" s="545">
        <f ca="1">IF(AND($D139="Serviço",AZ$12&lt;&gt;0,$H139&gt;0,OR(AUTOEVENTO&lt;&gt;"manual",$M139&lt;&gt;1)),
IF(Import.TipoArredondamento&lt;&gt;"TransfereGOV",
ROUND(OFFSET($P139,0,AZ$13),15-13*ORÇAMENTO!$AF$7)/$H139*OFFSET(ORÇAMENTO!$X$15,ROW(AZ139)-ROW(AZ$15),0),
ROUND(ROUND(OFFSET($P139,0,AZ$13),15-13*ORÇAMENTO!$AF$7)*OFFSET(ORÇAMENTO!$W$15,ROW(AZ139)-ROW(AZ$15),0),15-13*ORÇAMENTO!$AF$11)),0)</f>
        <v>0</v>
      </c>
      <c r="BA139" s="546">
        <f ca="1">IF(AND($D139="Serviço",BA$12&lt;&gt;0,$H139&gt;0,OR(AUTOEVENTO&lt;&gt;"manual",$M139&lt;&gt;1)),
IF(Import.TipoArredondamento&lt;&gt;"TransfereGOV",
ROUND(OFFSET($P139,0,BA$13),15-13*ORÇAMENTO!$AF$7)/$H139*OFFSET(ORÇAMENTO!$X$15,ROW(BA139)-ROW(BA$15),0),
ROUND(ROUND(OFFSET($P139,0,BA$13),15-13*ORÇAMENTO!$AF$7)*OFFSET(ORÇAMENTO!$W$15,ROW(BA139)-ROW(BA$15),0),15-13*ORÇAMENTO!$AF$11)),0)</f>
        <v>0</v>
      </c>
      <c r="BC139" s="181">
        <f ca="1">IF($D139&lt;&gt;"Serviço",0,IF(AND(AUTOEVENTO="Manual",$M139=1),0,IF(OFFSET(CRONOPLE!$F$14,$M139,BC$13)="",10^12,OFFSET(CRONOPLE!$F$14,$M139,BC$13))))</f>
        <v>5</v>
      </c>
      <c r="BD139" s="181">
        <f ca="1">IF($D139&lt;&gt;"Serviço",0,IF(AND(AUTOEVENTO="Manual",$M139=1),0,IF(OFFSET(CRONOPLE!$F$14,$M139,BD$13)="",10^12,OFFSET(CRONOPLE!$F$14,$M139,BD$13))))</f>
        <v>1000000000000</v>
      </c>
      <c r="BE139" s="181">
        <f ca="1">IF($D139&lt;&gt;"Serviço",0,IF(AND(AUTOEVENTO="Manual",$M139=1),0,IF(OFFSET(CRONOPLE!$F$14,$M139,BE$13)="",10^12,OFFSET(CRONOPLE!$F$14,$M139,BE$13))))</f>
        <v>1000000000000</v>
      </c>
      <c r="BF139" s="181">
        <f ca="1">IF($D139&lt;&gt;"Serviço",0,IF(AND(AUTOEVENTO="Manual",$M139=1),0,IF(OFFSET(CRONOPLE!$F$14,$M139,BF$13)="",10^12,OFFSET(CRONOPLE!$F$14,$M139,BF$13))))</f>
        <v>1000000000000</v>
      </c>
      <c r="BG139" s="181">
        <f ca="1">IF($D139&lt;&gt;"Serviço",0,IF(AND(AUTOEVENTO="Manual",$M139=1),0,IF(OFFSET(CRONOPLE!$F$14,$M139,BG$13)="",10^12,OFFSET(CRONOPLE!$F$14,$M139,BG$13))))</f>
        <v>1000000000000</v>
      </c>
      <c r="BH139" s="181">
        <f ca="1">IF($D139&lt;&gt;"Serviço",0,IF(AND(AUTOEVENTO="Manual",$M139=1),0,IF(OFFSET(CRONOPLE!$F$14,$M139,BH$13)="",10^12,OFFSET(CRONOPLE!$F$14,$M139,BH$13))))</f>
        <v>1000000000000</v>
      </c>
      <c r="BI139" s="181">
        <f ca="1">IF($D139&lt;&gt;"Serviço",0,IF(AND(AUTOEVENTO="Manual",$M139=1),0,IF(OFFSET(CRONOPLE!$F$14,$M139,BI$13)="",10^12,OFFSET(CRONOPLE!$F$14,$M139,BI$13))))</f>
        <v>1000000000000</v>
      </c>
      <c r="BJ139" s="181">
        <f ca="1">IF($D139&lt;&gt;"Serviço",0,IF(AND(AUTOEVENTO="Manual",$M139=1),0,IF(OFFSET(CRONOPLE!$F$14,$M139,BJ$13)="",10^12,OFFSET(CRONOPLE!$F$14,$M139,BJ$13))))</f>
        <v>1000000000000</v>
      </c>
      <c r="BK139" s="181">
        <f ca="1">IF($D139&lt;&gt;"Serviço",0,IF(AND(AUTOEVENTO="Manual",$M139=1),0,IF(OFFSET(CRONOPLE!$F$14,$M139,BK$13)="",10^12,OFFSET(CRONOPLE!$F$14,$M139,BK$13))))</f>
        <v>1000000000000</v>
      </c>
      <c r="BL139" s="181">
        <f ca="1">IF($D139&lt;&gt;"Serviço",0,IF(AND(AUTOEVENTO="Manual",$M139=1),0,IF(OFFSET(CRONOPLE!$F$14,$M139,BL$13)="",10^12,OFFSET(CRONOPLE!$F$14,$M139,BL$13))))</f>
        <v>1000000000000</v>
      </c>
      <c r="BM139" s="181">
        <f ca="1">IF($D139&lt;&gt;"Serviço",0,IF(AND(AUTOEVENTO="Manual",$M139=1),0,IF(OFFSET(CRONOPLE!$F$14,$M139,BM$13)="",10^12,OFFSET(CRONOPLE!$F$14,$M139,BM$13))))</f>
        <v>1000000000000</v>
      </c>
      <c r="BN139" s="181">
        <f ca="1">IF($D139&lt;&gt;"Serviço",0,IF(AND(AUTOEVENTO="Manual",$M139=1),0,IF(OFFSET(CRONOPLE!$F$14,$M139,BN$13)="",10^12,OFFSET(CRONOPLE!$F$14,$M139,BN$13))))</f>
        <v>1000000000000</v>
      </c>
      <c r="BO139" s="181">
        <f ca="1">IF($D139&lt;&gt;"Serviço",0,IF(AND(AUTOEVENTO="Manual",$M139=1),0,IF(OFFSET(CRONOPLE!$F$14,$M139,BO$13)="",10^12,OFFSET(CRONOPLE!$F$14,$M139,BO$13))))</f>
        <v>1000000000000</v>
      </c>
      <c r="BP139" s="181">
        <f ca="1">IF($D139&lt;&gt;"Serviço",0,IF(AND(AUTOEVENTO="Manual",$M139=1),0,IF(OFFSET(CRONOPLE!$F$14,$M139,BP$13)="",10^12,OFFSET(CRONOPLE!$F$14,$M139,BP$13))))</f>
        <v>1000000000000</v>
      </c>
      <c r="BQ139" s="181">
        <f ca="1">IF($D139&lt;&gt;"Serviço",0,IF(AND(AUTOEVENTO="Manual",$M139=1),0,IF(OFFSET(CRONOPLE!$F$14,$M139,BQ$13)="",10^12,OFFSET(CRONOPLE!$F$14,$M139,BQ$13))))</f>
        <v>1000000000000</v>
      </c>
      <c r="BR139" s="181">
        <f ca="1">IF($D139&lt;&gt;"Serviço",0,IF(AND(AUTOEVENTO="Manual",$M139=1),0,IF(OFFSET(CRONOPLE!$F$14,$M139,BR$13)="",10^12,OFFSET(CRONOPLE!$F$14,$M139,BR$13))))</f>
        <v>1000000000000</v>
      </c>
      <c r="BS139" s="181">
        <f ca="1">IF($D139&lt;&gt;"Serviço",0,IF(AND(AUTOEVENTO="Manual",$M139=1),0,IF(OFFSET(CRONOPLE!$F$14,$M139,BS$13)="",10^12,OFFSET(CRONOPLE!$F$14,$M139,BS$13))))</f>
        <v>1000000000000</v>
      </c>
      <c r="BT139" s="181">
        <f ca="1">IF($D139&lt;&gt;"Serviço",0,IF(AND(AUTOEVENTO="Manual",$M139=1),0,IF(OFFSET(CRONOPLE!$F$14,$M139,BT$13)="",10^12,OFFSET(CRONOPLE!$F$14,$M139,BT$13))))</f>
        <v>1000000000000</v>
      </c>
      <c r="BV139" s="182">
        <f ca="1">IF($D139&lt;&gt;"Serviço",0,IF(OR(AND(AUTOEVENTO="Manual",$M139=1),$M139&gt;(ROW(PLE.lastrow)-ROW(PLE.firstrow))),0,IF(OFFSET(PLE!$G$14,$M139,BV$13)="",10^12,OFFSET(PLE!$G$14,$M139,BV$13))))</f>
        <v>1000000000000</v>
      </c>
      <c r="BW139" s="182">
        <f ca="1">IF($D139&lt;&gt;"Serviço",0,IF(OR(AND(AUTOEVENTO="Manual",$M139=1),$M139&gt;(ROW(PLE.lastrow)-ROW(PLE.firstrow))),0,IF(OFFSET(PLE!$G$14,$M139,BW$13)="",10^12,OFFSET(PLE!$G$14,$M139,BW$13))))</f>
        <v>1000000000000</v>
      </c>
      <c r="BX139" s="182">
        <f ca="1">IF($D139&lt;&gt;"Serviço",0,IF(OR(AND(AUTOEVENTO="Manual",$M139=1),$M139&gt;(ROW(PLE.lastrow)-ROW(PLE.firstrow))),0,IF(OFFSET(PLE!$G$14,$M139,BX$13)="",10^12,OFFSET(PLE!$G$14,$M139,BX$13))))</f>
        <v>1000000000000</v>
      </c>
      <c r="BY139" s="182">
        <f ca="1">IF($D139&lt;&gt;"Serviço",0,IF(OR(AND(AUTOEVENTO="Manual",$M139=1),$M139&gt;(ROW(PLE.lastrow)-ROW(PLE.firstrow))),0,IF(OFFSET(PLE!$G$14,$M139,BY$13)="",10^12,OFFSET(PLE!$G$14,$M139,BY$13))))</f>
        <v>1000000000000</v>
      </c>
      <c r="BZ139" s="182">
        <f ca="1">IF($D139&lt;&gt;"Serviço",0,IF(OR(AND(AUTOEVENTO="Manual",$M139=1),$M139&gt;(ROW(PLE.lastrow)-ROW(PLE.firstrow))),0,IF(OFFSET(PLE!$G$14,$M139,BZ$13)="",10^12,OFFSET(PLE!$G$14,$M139,BZ$13))))</f>
        <v>1000000000000</v>
      </c>
      <c r="CA139" s="182">
        <f ca="1">IF($D139&lt;&gt;"Serviço",0,IF(OR(AND(AUTOEVENTO="Manual",$M139=1),$M139&gt;(ROW(PLE.lastrow)-ROW(PLE.firstrow))),0,IF(OFFSET(PLE!$G$14,$M139,CA$13)="",10^12,OFFSET(PLE!$G$14,$M139,CA$13))))</f>
        <v>1000000000000</v>
      </c>
      <c r="CB139" s="182">
        <f ca="1">IF($D139&lt;&gt;"Serviço",0,IF(OR(AND(AUTOEVENTO="Manual",$M139=1),$M139&gt;(ROW(PLE.lastrow)-ROW(PLE.firstrow))),0,IF(OFFSET(PLE!$G$14,$M139,CB$13)="",10^12,OFFSET(PLE!$G$14,$M139,CB$13))))</f>
        <v>1000000000000</v>
      </c>
      <c r="CC139" s="182">
        <f ca="1">IF($D139&lt;&gt;"Serviço",0,IF(OR(AND(AUTOEVENTO="Manual",$M139=1),$M139&gt;(ROW(PLE.lastrow)-ROW(PLE.firstrow))),0,IF(OFFSET(PLE!$G$14,$M139,CC$13)="",10^12,OFFSET(PLE!$G$14,$M139,CC$13))))</f>
        <v>1000000000000</v>
      </c>
      <c r="CD139" s="182">
        <f ca="1">IF($D139&lt;&gt;"Serviço",0,IF(OR(AND(AUTOEVENTO="Manual",$M139=1),$M139&gt;(ROW(PLE.lastrow)-ROW(PLE.firstrow))),0,IF(OFFSET(PLE!$G$14,$M139,CD$13)="",10^12,OFFSET(PLE!$G$14,$M139,CD$13))))</f>
        <v>1000000000000</v>
      </c>
      <c r="CE139" s="182">
        <f ca="1">IF($D139&lt;&gt;"Serviço",0,IF(OR(AND(AUTOEVENTO="Manual",$M139=1),$M139&gt;(ROW(PLE.lastrow)-ROW(PLE.firstrow))),0,IF(OFFSET(PLE!$G$14,$M139,CE$13)="",10^12,OFFSET(PLE!$G$14,$M139,CE$13))))</f>
        <v>1000000000000</v>
      </c>
      <c r="CF139" s="182">
        <f ca="1">IF($D139&lt;&gt;"Serviço",0,IF(OR(AND(AUTOEVENTO="Manual",$M139=1),$M139&gt;(ROW(PLE.lastrow)-ROW(PLE.firstrow))),0,IF(OFFSET(PLE!$G$14,$M139,CF$13)="",10^12,OFFSET(PLE!$G$14,$M139,CF$13))))</f>
        <v>1000000000000</v>
      </c>
      <c r="CG139" s="182">
        <f ca="1">IF($D139&lt;&gt;"Serviço",0,IF(OR(AND(AUTOEVENTO="Manual",$M139=1),$M139&gt;(ROW(PLE.lastrow)-ROW(PLE.firstrow))),0,IF(OFFSET(PLE!$G$14,$M139,CG$13)="",10^12,OFFSET(PLE!$G$14,$M139,CG$13))))</f>
        <v>1000000000000</v>
      </c>
      <c r="CH139" s="182">
        <f ca="1">IF($D139&lt;&gt;"Serviço",0,IF(OR(AND(AUTOEVENTO="Manual",$M139=1),$M139&gt;(ROW(PLE.lastrow)-ROW(PLE.firstrow))),0,IF(OFFSET(PLE!$G$14,$M139,CH$13)="",10^12,OFFSET(PLE!$G$14,$M139,CH$13))))</f>
        <v>1000000000000</v>
      </c>
      <c r="CI139" s="182">
        <f ca="1">IF($D139&lt;&gt;"Serviço",0,IF(OR(AND(AUTOEVENTO="Manual",$M139=1),$M139&gt;(ROW(PLE.lastrow)-ROW(PLE.firstrow))),0,IF(OFFSET(PLE!$G$14,$M139,CI$13)="",10^12,OFFSET(PLE!$G$14,$M139,CI$13))))</f>
        <v>1000000000000</v>
      </c>
      <c r="CJ139" s="182">
        <f ca="1">IF($D139&lt;&gt;"Serviço",0,IF(OR(AND(AUTOEVENTO="Manual",$M139=1),$M139&gt;(ROW(PLE.lastrow)-ROW(PLE.firstrow))),0,IF(OFFSET(PLE!$G$14,$M139,CJ$13)="",10^12,OFFSET(PLE!$G$14,$M139,CJ$13))))</f>
        <v>1000000000000</v>
      </c>
      <c r="CK139" s="182">
        <f ca="1">IF($D139&lt;&gt;"Serviço",0,IF(OR(AND(AUTOEVENTO="Manual",$M139=1),$M139&gt;(ROW(PLE.lastrow)-ROW(PLE.firstrow))),0,IF(OFFSET(PLE!$G$14,$M139,CK$13)="",10^12,OFFSET(PLE!$G$14,$M139,CK$13))))</f>
        <v>1000000000000</v>
      </c>
      <c r="CL139" s="182">
        <f ca="1">IF($D139&lt;&gt;"Serviço",0,IF(OR(AND(AUTOEVENTO="Manual",$M139=1),$M139&gt;(ROW(PLE.lastrow)-ROW(PLE.firstrow))),0,IF(OFFSET(PLE!$G$14,$M139,CL$13)="",10^12,OFFSET(PLE!$G$14,$M139,CL$13))))</f>
        <v>1000000000000</v>
      </c>
      <c r="CM139" s="182">
        <f ca="1">IF($D139&lt;&gt;"Serviço",0,IF(OR(AND(AUTOEVENTO="Manual",$M139=1),$M139&gt;(ROW(PLE.lastrow)-ROW(PLE.firstrow))),0,IF(OFFSET(PLE!$G$14,$M139,CM$13)="",10^12,OFFSET(PLE!$G$14,$M139,CM$13))))</f>
        <v>1000000000000</v>
      </c>
    </row>
    <row r="140" spans="1:91" ht="38.25" x14ac:dyDescent="0.2">
      <c r="A140" s="7" t="str">
        <f t="shared" ca="1" si="11"/>
        <v>119</v>
      </c>
      <c r="B140" s="7" t="str">
        <f ca="1">OFFSET(ORÇAMENTO!C$15,ROW(B140)-ROW(B$15),0)</f>
        <v>S</v>
      </c>
      <c r="C140" s="7" t="str">
        <f ca="1">OFFSET(ORÇAMENTO!L$15,ROW(C140)-ROW(C$15),0)</f>
        <v/>
      </c>
      <c r="D140" s="118" t="str">
        <f ca="1">OFFSET(ORÇAMENTO!N$15,ROW(D140)-ROW(D$15),0)</f>
        <v>Serviço</v>
      </c>
      <c r="E140" s="119" t="str">
        <f ca="1">OFFSET(ORÇAMENTO!O$15,ROW(E140)-ROW(E$15),0)</f>
        <v>-</v>
      </c>
      <c r="F140" s="172" t="str">
        <f ca="1">OFFSET(ORÇAMENTO!R$15,ROW(F140)-ROW(F$15),0)</f>
        <v>(abra o arquivo 'Referência 06-2024.xlsm)</v>
      </c>
      <c r="G140" s="173" t="str">
        <f ca="1">IF($D140&lt;&gt;"Serviço","",OFFSET(ORÇAMENTO!S$15,ROW(G140)-ROW(G$15),0))</f>
        <v>-</v>
      </c>
      <c r="H140" s="124">
        <f ca="1">IF($D140&lt;&gt;"Serviço",0,IF(ACOMPANHAMENTO="BM",ROUND(OFFSET(ORÇAMENTO!AJ$15,ROW(H140)-ROW(H$15),0),15-13*ORÇAMENTO!$AF$7),SUMPRODUCT(($Q$12:$AI$12&lt;&gt;"")*ROUND($Q140:$AI140,15-13*ORÇAMENTO!$AF$7))))</f>
        <v>2.1</v>
      </c>
      <c r="I140" s="561" t="s">
        <v>1107</v>
      </c>
      <c r="K140" s="174"/>
      <c r="L140" s="175" t="s">
        <v>255</v>
      </c>
      <c r="M140" s="176">
        <f ca="1">IF($D140&lt;&gt;"Serviço","",IF(AUTOEVENTO="manual",$A140,IF(ISERROR(MATCH($A140,$A$15:OFFSET($A140,-1,0),0)),MAX($M$15:OFFSET(M140,-1,0))+1,INDEX($M$15:OFFSET(M140,-1,0),MATCH($A140,$A$15:OFFSET($A140,-1,0),0)))))</f>
        <v>22</v>
      </c>
      <c r="N140" s="177" t="str">
        <f ca="1">IF($D140&lt;&gt;"Serviço","",IF(AUTOEVENTO="Manual",IF($A140=0,"&lt;-- defina o número do agrupador",OFFSET(EVENTOS!$D$14,$A140,0)),OFFSET($F$15,$A140,0)))</f>
        <v>ESQUADRIAS - JANELAS EM ALUMÍNIO</v>
      </c>
      <c r="O140" s="178"/>
      <c r="Q140" s="178">
        <v>2.1</v>
      </c>
      <c r="R140" s="179"/>
      <c r="S140" s="179"/>
      <c r="T140" s="179"/>
      <c r="U140" s="179"/>
      <c r="V140" s="179"/>
      <c r="W140" s="179"/>
      <c r="X140" s="179"/>
      <c r="Y140" s="179"/>
      <c r="Z140" s="180"/>
      <c r="AA140" s="179"/>
      <c r="AB140" s="179"/>
      <c r="AC140" s="179"/>
      <c r="AD140" s="179"/>
      <c r="AE140" s="179"/>
      <c r="AF140" s="179"/>
      <c r="AG140" s="179"/>
      <c r="AH140" s="180"/>
      <c r="AJ140" s="544">
        <f ca="1">IF(AND($D140="Serviço",AJ$12&lt;&gt;0,$H140&gt;0,OR(AUTOEVENTO&lt;&gt;"manual",$M140&lt;&gt;1)),
IF(Import.TipoArredondamento&lt;&gt;"TransfereGOV",
ROUND(OFFSET($P140,0,AJ$13),15-13*ORÇAMENTO!$AF$7)/$H140*OFFSET(ORÇAMENTO!$X$15,ROW(AJ140)-ROW(AJ$15),0),
ROUND(ROUND(OFFSET($P140,0,AJ$13),15-13*ORÇAMENTO!$AF$7)*OFFSET(ORÇAMENTO!$W$15,ROW(AJ140)-ROW(AJ$15),0),15-13*ORÇAMENTO!$AF$11)),0)</f>
        <v>0</v>
      </c>
      <c r="AK140" s="545">
        <f ca="1">IF(AND($D140="Serviço",AK$12&lt;&gt;0,$H140&gt;0,OR(AUTOEVENTO&lt;&gt;"manual",$M140&lt;&gt;1)),
IF(Import.TipoArredondamento&lt;&gt;"TransfereGOV",
ROUND(OFFSET($P140,0,AK$13),15-13*ORÇAMENTO!$AF$7)/$H140*OFFSET(ORÇAMENTO!$X$15,ROW(AK140)-ROW(AK$15),0),
ROUND(ROUND(OFFSET($P140,0,AK$13),15-13*ORÇAMENTO!$AF$7)*OFFSET(ORÇAMENTO!$W$15,ROW(AK140)-ROW(AK$15),0),15-13*ORÇAMENTO!$AF$11)),0)</f>
        <v>0</v>
      </c>
      <c r="AL140" s="545">
        <f ca="1">IF(AND($D140="Serviço",AL$12&lt;&gt;0,$H140&gt;0,OR(AUTOEVENTO&lt;&gt;"manual",$M140&lt;&gt;1)),
IF(Import.TipoArredondamento&lt;&gt;"TransfereGOV",
ROUND(OFFSET($P140,0,AL$13),15-13*ORÇAMENTO!$AF$7)/$H140*OFFSET(ORÇAMENTO!$X$15,ROW(AL140)-ROW(AL$15),0),
ROUND(ROUND(OFFSET($P140,0,AL$13),15-13*ORÇAMENTO!$AF$7)*OFFSET(ORÇAMENTO!$W$15,ROW(AL140)-ROW(AL$15),0),15-13*ORÇAMENTO!$AF$11)),0)</f>
        <v>0</v>
      </c>
      <c r="AM140" s="545">
        <f ca="1">IF(AND($D140="Serviço",AM$12&lt;&gt;0,$H140&gt;0,OR(AUTOEVENTO&lt;&gt;"manual",$M140&lt;&gt;1)),
IF(Import.TipoArredondamento&lt;&gt;"TransfereGOV",
ROUND(OFFSET($P140,0,AM$13),15-13*ORÇAMENTO!$AF$7)/$H140*OFFSET(ORÇAMENTO!$X$15,ROW(AM140)-ROW(AM$15),0),
ROUND(ROUND(OFFSET($P140,0,AM$13),15-13*ORÇAMENTO!$AF$7)*OFFSET(ORÇAMENTO!$W$15,ROW(AM140)-ROW(AM$15),0),15-13*ORÇAMENTO!$AF$11)),0)</f>
        <v>0</v>
      </c>
      <c r="AN140" s="545">
        <f ca="1">IF(AND($D140="Serviço",AN$12&lt;&gt;0,$H140&gt;0,OR(AUTOEVENTO&lt;&gt;"manual",$M140&lt;&gt;1)),
IF(Import.TipoArredondamento&lt;&gt;"TransfereGOV",
ROUND(OFFSET($P140,0,AN$13),15-13*ORÇAMENTO!$AF$7)/$H140*OFFSET(ORÇAMENTO!$X$15,ROW(AN140)-ROW(AN$15),0),
ROUND(ROUND(OFFSET($P140,0,AN$13),15-13*ORÇAMENTO!$AF$7)*OFFSET(ORÇAMENTO!$W$15,ROW(AN140)-ROW(AN$15),0),15-13*ORÇAMENTO!$AF$11)),0)</f>
        <v>0</v>
      </c>
      <c r="AO140" s="545">
        <f ca="1">IF(AND($D140="Serviço",AO$12&lt;&gt;0,$H140&gt;0,OR(AUTOEVENTO&lt;&gt;"manual",$M140&lt;&gt;1)),
IF(Import.TipoArredondamento&lt;&gt;"TransfereGOV",
ROUND(OFFSET($P140,0,AO$13),15-13*ORÇAMENTO!$AF$7)/$H140*OFFSET(ORÇAMENTO!$X$15,ROW(AO140)-ROW(AO$15),0),
ROUND(ROUND(OFFSET($P140,0,AO$13),15-13*ORÇAMENTO!$AF$7)*OFFSET(ORÇAMENTO!$W$15,ROW(AO140)-ROW(AO$15),0),15-13*ORÇAMENTO!$AF$11)),0)</f>
        <v>0</v>
      </c>
      <c r="AP140" s="545">
        <f ca="1">IF(AND($D140="Serviço",AP$12&lt;&gt;0,$H140&gt;0,OR(AUTOEVENTO&lt;&gt;"manual",$M140&lt;&gt;1)),
IF(Import.TipoArredondamento&lt;&gt;"TransfereGOV",
ROUND(OFFSET($P140,0,AP$13),15-13*ORÇAMENTO!$AF$7)/$H140*OFFSET(ORÇAMENTO!$X$15,ROW(AP140)-ROW(AP$15),0),
ROUND(ROUND(OFFSET($P140,0,AP$13),15-13*ORÇAMENTO!$AF$7)*OFFSET(ORÇAMENTO!$W$15,ROW(AP140)-ROW(AP$15),0),15-13*ORÇAMENTO!$AF$11)),0)</f>
        <v>0</v>
      </c>
      <c r="AQ140" s="545">
        <f ca="1">IF(AND($D140="Serviço",AQ$12&lt;&gt;0,$H140&gt;0,OR(AUTOEVENTO&lt;&gt;"manual",$M140&lt;&gt;1)),
IF(Import.TipoArredondamento&lt;&gt;"TransfereGOV",
ROUND(OFFSET($P140,0,AQ$13),15-13*ORÇAMENTO!$AF$7)/$H140*OFFSET(ORÇAMENTO!$X$15,ROW(AQ140)-ROW(AQ$15),0),
ROUND(ROUND(OFFSET($P140,0,AQ$13),15-13*ORÇAMENTO!$AF$7)*OFFSET(ORÇAMENTO!$W$15,ROW(AQ140)-ROW(AQ$15),0),15-13*ORÇAMENTO!$AF$11)),0)</f>
        <v>0</v>
      </c>
      <c r="AR140" s="545">
        <f ca="1">IF(AND($D140="Serviço",AR$12&lt;&gt;0,$H140&gt;0,OR(AUTOEVENTO&lt;&gt;"manual",$M140&lt;&gt;1)),
IF(Import.TipoArredondamento&lt;&gt;"TransfereGOV",
ROUND(OFFSET($P140,0,AR$13),15-13*ORÇAMENTO!$AF$7)/$H140*OFFSET(ORÇAMENTO!$X$15,ROW(AR140)-ROW(AR$15),0),
ROUND(ROUND(OFFSET($P140,0,AR$13),15-13*ORÇAMENTO!$AF$7)*OFFSET(ORÇAMENTO!$W$15,ROW(AR140)-ROW(AR$15),0),15-13*ORÇAMENTO!$AF$11)),0)</f>
        <v>0</v>
      </c>
      <c r="AS140" s="546">
        <f ca="1">IF(AND($D140="Serviço",AS$12&lt;&gt;0,$H140&gt;0,OR(AUTOEVENTO&lt;&gt;"manual",$M140&lt;&gt;1)),
IF(Import.TipoArredondamento&lt;&gt;"TransfereGOV",
ROUND(OFFSET($P140,0,AS$13),15-13*ORÇAMENTO!$AF$7)/$H140*OFFSET(ORÇAMENTO!$X$15,ROW(AS140)-ROW(AS$15),0),
ROUND(ROUND(OFFSET($P140,0,AS$13),15-13*ORÇAMENTO!$AF$7)*OFFSET(ORÇAMENTO!$W$15,ROW(AS140)-ROW(AS$15),0),15-13*ORÇAMENTO!$AF$11)),0)</f>
        <v>0</v>
      </c>
      <c r="AT140" s="545">
        <f ca="1">IF(AND($D140="Serviço",AT$12&lt;&gt;0,$H140&gt;0,OR(AUTOEVENTO&lt;&gt;"manual",$M140&lt;&gt;1)),
IF(Import.TipoArredondamento&lt;&gt;"TransfereGOV",
ROUND(OFFSET($P140,0,AT$13),15-13*ORÇAMENTO!$AF$7)/$H140*OFFSET(ORÇAMENTO!$X$15,ROW(AT140)-ROW(AT$15),0),
ROUND(ROUND(OFFSET($P140,0,AT$13),15-13*ORÇAMENTO!$AF$7)*OFFSET(ORÇAMENTO!$W$15,ROW(AT140)-ROW(AT$15),0),15-13*ORÇAMENTO!$AF$11)),0)</f>
        <v>0</v>
      </c>
      <c r="AU140" s="545">
        <f ca="1">IF(AND($D140="Serviço",AU$12&lt;&gt;0,$H140&gt;0,OR(AUTOEVENTO&lt;&gt;"manual",$M140&lt;&gt;1)),
IF(Import.TipoArredondamento&lt;&gt;"TransfereGOV",
ROUND(OFFSET($P140,0,AU$13),15-13*ORÇAMENTO!$AF$7)/$H140*OFFSET(ORÇAMENTO!$X$15,ROW(AU140)-ROW(AU$15),0),
ROUND(ROUND(OFFSET($P140,0,AU$13),15-13*ORÇAMENTO!$AF$7)*OFFSET(ORÇAMENTO!$W$15,ROW(AU140)-ROW(AU$15),0),15-13*ORÇAMENTO!$AF$11)),0)</f>
        <v>0</v>
      </c>
      <c r="AV140" s="545">
        <f ca="1">IF(AND($D140="Serviço",AV$12&lt;&gt;0,$H140&gt;0,OR(AUTOEVENTO&lt;&gt;"manual",$M140&lt;&gt;1)),
IF(Import.TipoArredondamento&lt;&gt;"TransfereGOV",
ROUND(OFFSET($P140,0,AV$13),15-13*ORÇAMENTO!$AF$7)/$H140*OFFSET(ORÇAMENTO!$X$15,ROW(AV140)-ROW(AV$15),0),
ROUND(ROUND(OFFSET($P140,0,AV$13),15-13*ORÇAMENTO!$AF$7)*OFFSET(ORÇAMENTO!$W$15,ROW(AV140)-ROW(AV$15),0),15-13*ORÇAMENTO!$AF$11)),0)</f>
        <v>0</v>
      </c>
      <c r="AW140" s="545">
        <f ca="1">IF(AND($D140="Serviço",AW$12&lt;&gt;0,$H140&gt;0,OR(AUTOEVENTO&lt;&gt;"manual",$M140&lt;&gt;1)),
IF(Import.TipoArredondamento&lt;&gt;"TransfereGOV",
ROUND(OFFSET($P140,0,AW$13),15-13*ORÇAMENTO!$AF$7)/$H140*OFFSET(ORÇAMENTO!$X$15,ROW(AW140)-ROW(AW$15),0),
ROUND(ROUND(OFFSET($P140,0,AW$13),15-13*ORÇAMENTO!$AF$7)*OFFSET(ORÇAMENTO!$W$15,ROW(AW140)-ROW(AW$15),0),15-13*ORÇAMENTO!$AF$11)),0)</f>
        <v>0</v>
      </c>
      <c r="AX140" s="545">
        <f ca="1">IF(AND($D140="Serviço",AX$12&lt;&gt;0,$H140&gt;0,OR(AUTOEVENTO&lt;&gt;"manual",$M140&lt;&gt;1)),
IF(Import.TipoArredondamento&lt;&gt;"TransfereGOV",
ROUND(OFFSET($P140,0,AX$13),15-13*ORÇAMENTO!$AF$7)/$H140*OFFSET(ORÇAMENTO!$X$15,ROW(AX140)-ROW(AX$15),0),
ROUND(ROUND(OFFSET($P140,0,AX$13),15-13*ORÇAMENTO!$AF$7)*OFFSET(ORÇAMENTO!$W$15,ROW(AX140)-ROW(AX$15),0),15-13*ORÇAMENTO!$AF$11)),0)</f>
        <v>0</v>
      </c>
      <c r="AY140" s="545">
        <f ca="1">IF(AND($D140="Serviço",AY$12&lt;&gt;0,$H140&gt;0,OR(AUTOEVENTO&lt;&gt;"manual",$M140&lt;&gt;1)),
IF(Import.TipoArredondamento&lt;&gt;"TransfereGOV",
ROUND(OFFSET($P140,0,AY$13),15-13*ORÇAMENTO!$AF$7)/$H140*OFFSET(ORÇAMENTO!$X$15,ROW(AY140)-ROW(AY$15),0),
ROUND(ROUND(OFFSET($P140,0,AY$13),15-13*ORÇAMENTO!$AF$7)*OFFSET(ORÇAMENTO!$W$15,ROW(AY140)-ROW(AY$15),0),15-13*ORÇAMENTO!$AF$11)),0)</f>
        <v>0</v>
      </c>
      <c r="AZ140" s="545">
        <f ca="1">IF(AND($D140="Serviço",AZ$12&lt;&gt;0,$H140&gt;0,OR(AUTOEVENTO&lt;&gt;"manual",$M140&lt;&gt;1)),
IF(Import.TipoArredondamento&lt;&gt;"TransfereGOV",
ROUND(OFFSET($P140,0,AZ$13),15-13*ORÇAMENTO!$AF$7)/$H140*OFFSET(ORÇAMENTO!$X$15,ROW(AZ140)-ROW(AZ$15),0),
ROUND(ROUND(OFFSET($P140,0,AZ$13),15-13*ORÇAMENTO!$AF$7)*OFFSET(ORÇAMENTO!$W$15,ROW(AZ140)-ROW(AZ$15),0),15-13*ORÇAMENTO!$AF$11)),0)</f>
        <v>0</v>
      </c>
      <c r="BA140" s="546">
        <f ca="1">IF(AND($D140="Serviço",BA$12&lt;&gt;0,$H140&gt;0,OR(AUTOEVENTO&lt;&gt;"manual",$M140&lt;&gt;1)),
IF(Import.TipoArredondamento&lt;&gt;"TransfereGOV",
ROUND(OFFSET($P140,0,BA$13),15-13*ORÇAMENTO!$AF$7)/$H140*OFFSET(ORÇAMENTO!$X$15,ROW(BA140)-ROW(BA$15),0),
ROUND(ROUND(OFFSET($P140,0,BA$13),15-13*ORÇAMENTO!$AF$7)*OFFSET(ORÇAMENTO!$W$15,ROW(BA140)-ROW(BA$15),0),15-13*ORÇAMENTO!$AF$11)),0)</f>
        <v>0</v>
      </c>
      <c r="BC140" s="181">
        <f ca="1">IF($D140&lt;&gt;"Serviço",0,IF(AND(AUTOEVENTO="Manual",$M140=1),0,IF(OFFSET(CRONOPLE!$F$14,$M140,BC$13)="",10^12,OFFSET(CRONOPLE!$F$14,$M140,BC$13))))</f>
        <v>5</v>
      </c>
      <c r="BD140" s="181">
        <f ca="1">IF($D140&lt;&gt;"Serviço",0,IF(AND(AUTOEVENTO="Manual",$M140=1),0,IF(OFFSET(CRONOPLE!$F$14,$M140,BD$13)="",10^12,OFFSET(CRONOPLE!$F$14,$M140,BD$13))))</f>
        <v>1000000000000</v>
      </c>
      <c r="BE140" s="181">
        <f ca="1">IF($D140&lt;&gt;"Serviço",0,IF(AND(AUTOEVENTO="Manual",$M140=1),0,IF(OFFSET(CRONOPLE!$F$14,$M140,BE$13)="",10^12,OFFSET(CRONOPLE!$F$14,$M140,BE$13))))</f>
        <v>1000000000000</v>
      </c>
      <c r="BF140" s="181">
        <f ca="1">IF($D140&lt;&gt;"Serviço",0,IF(AND(AUTOEVENTO="Manual",$M140=1),0,IF(OFFSET(CRONOPLE!$F$14,$M140,BF$13)="",10^12,OFFSET(CRONOPLE!$F$14,$M140,BF$13))))</f>
        <v>1000000000000</v>
      </c>
      <c r="BG140" s="181">
        <f ca="1">IF($D140&lt;&gt;"Serviço",0,IF(AND(AUTOEVENTO="Manual",$M140=1),0,IF(OFFSET(CRONOPLE!$F$14,$M140,BG$13)="",10^12,OFFSET(CRONOPLE!$F$14,$M140,BG$13))))</f>
        <v>1000000000000</v>
      </c>
      <c r="BH140" s="181">
        <f ca="1">IF($D140&lt;&gt;"Serviço",0,IF(AND(AUTOEVENTO="Manual",$M140=1),0,IF(OFFSET(CRONOPLE!$F$14,$M140,BH$13)="",10^12,OFFSET(CRONOPLE!$F$14,$M140,BH$13))))</f>
        <v>1000000000000</v>
      </c>
      <c r="BI140" s="181">
        <f ca="1">IF($D140&lt;&gt;"Serviço",0,IF(AND(AUTOEVENTO="Manual",$M140=1),0,IF(OFFSET(CRONOPLE!$F$14,$M140,BI$13)="",10^12,OFFSET(CRONOPLE!$F$14,$M140,BI$13))))</f>
        <v>1000000000000</v>
      </c>
      <c r="BJ140" s="181">
        <f ca="1">IF($D140&lt;&gt;"Serviço",0,IF(AND(AUTOEVENTO="Manual",$M140=1),0,IF(OFFSET(CRONOPLE!$F$14,$M140,BJ$13)="",10^12,OFFSET(CRONOPLE!$F$14,$M140,BJ$13))))</f>
        <v>1000000000000</v>
      </c>
      <c r="BK140" s="181">
        <f ca="1">IF($D140&lt;&gt;"Serviço",0,IF(AND(AUTOEVENTO="Manual",$M140=1),0,IF(OFFSET(CRONOPLE!$F$14,$M140,BK$13)="",10^12,OFFSET(CRONOPLE!$F$14,$M140,BK$13))))</f>
        <v>1000000000000</v>
      </c>
      <c r="BL140" s="181">
        <f ca="1">IF($D140&lt;&gt;"Serviço",0,IF(AND(AUTOEVENTO="Manual",$M140=1),0,IF(OFFSET(CRONOPLE!$F$14,$M140,BL$13)="",10^12,OFFSET(CRONOPLE!$F$14,$M140,BL$13))))</f>
        <v>1000000000000</v>
      </c>
      <c r="BM140" s="181">
        <f ca="1">IF($D140&lt;&gt;"Serviço",0,IF(AND(AUTOEVENTO="Manual",$M140=1),0,IF(OFFSET(CRONOPLE!$F$14,$M140,BM$13)="",10^12,OFFSET(CRONOPLE!$F$14,$M140,BM$13))))</f>
        <v>1000000000000</v>
      </c>
      <c r="BN140" s="181">
        <f ca="1">IF($D140&lt;&gt;"Serviço",0,IF(AND(AUTOEVENTO="Manual",$M140=1),0,IF(OFFSET(CRONOPLE!$F$14,$M140,BN$13)="",10^12,OFFSET(CRONOPLE!$F$14,$M140,BN$13))))</f>
        <v>1000000000000</v>
      </c>
      <c r="BO140" s="181">
        <f ca="1">IF($D140&lt;&gt;"Serviço",0,IF(AND(AUTOEVENTO="Manual",$M140=1),0,IF(OFFSET(CRONOPLE!$F$14,$M140,BO$13)="",10^12,OFFSET(CRONOPLE!$F$14,$M140,BO$13))))</f>
        <v>1000000000000</v>
      </c>
      <c r="BP140" s="181">
        <f ca="1">IF($D140&lt;&gt;"Serviço",0,IF(AND(AUTOEVENTO="Manual",$M140=1),0,IF(OFFSET(CRONOPLE!$F$14,$M140,BP$13)="",10^12,OFFSET(CRONOPLE!$F$14,$M140,BP$13))))</f>
        <v>1000000000000</v>
      </c>
      <c r="BQ140" s="181">
        <f ca="1">IF($D140&lt;&gt;"Serviço",0,IF(AND(AUTOEVENTO="Manual",$M140=1),0,IF(OFFSET(CRONOPLE!$F$14,$M140,BQ$13)="",10^12,OFFSET(CRONOPLE!$F$14,$M140,BQ$13))))</f>
        <v>1000000000000</v>
      </c>
      <c r="BR140" s="181">
        <f ca="1">IF($D140&lt;&gt;"Serviço",0,IF(AND(AUTOEVENTO="Manual",$M140=1),0,IF(OFFSET(CRONOPLE!$F$14,$M140,BR$13)="",10^12,OFFSET(CRONOPLE!$F$14,$M140,BR$13))))</f>
        <v>1000000000000</v>
      </c>
      <c r="BS140" s="181">
        <f ca="1">IF($D140&lt;&gt;"Serviço",0,IF(AND(AUTOEVENTO="Manual",$M140=1),0,IF(OFFSET(CRONOPLE!$F$14,$M140,BS$13)="",10^12,OFFSET(CRONOPLE!$F$14,$M140,BS$13))))</f>
        <v>1000000000000</v>
      </c>
      <c r="BT140" s="181">
        <f ca="1">IF($D140&lt;&gt;"Serviço",0,IF(AND(AUTOEVENTO="Manual",$M140=1),0,IF(OFFSET(CRONOPLE!$F$14,$M140,BT$13)="",10^12,OFFSET(CRONOPLE!$F$14,$M140,BT$13))))</f>
        <v>1000000000000</v>
      </c>
      <c r="BV140" s="182">
        <f ca="1">IF($D140&lt;&gt;"Serviço",0,IF(OR(AND(AUTOEVENTO="Manual",$M140=1),$M140&gt;(ROW(PLE.lastrow)-ROW(PLE.firstrow))),0,IF(OFFSET(PLE!$G$14,$M140,BV$13)="",10^12,OFFSET(PLE!$G$14,$M140,BV$13))))</f>
        <v>1000000000000</v>
      </c>
      <c r="BW140" s="182">
        <f ca="1">IF($D140&lt;&gt;"Serviço",0,IF(OR(AND(AUTOEVENTO="Manual",$M140=1),$M140&gt;(ROW(PLE.lastrow)-ROW(PLE.firstrow))),0,IF(OFFSET(PLE!$G$14,$M140,BW$13)="",10^12,OFFSET(PLE!$G$14,$M140,BW$13))))</f>
        <v>1000000000000</v>
      </c>
      <c r="BX140" s="182">
        <f ca="1">IF($D140&lt;&gt;"Serviço",0,IF(OR(AND(AUTOEVENTO="Manual",$M140=1),$M140&gt;(ROW(PLE.lastrow)-ROW(PLE.firstrow))),0,IF(OFFSET(PLE!$G$14,$M140,BX$13)="",10^12,OFFSET(PLE!$G$14,$M140,BX$13))))</f>
        <v>1000000000000</v>
      </c>
      <c r="BY140" s="182">
        <f ca="1">IF($D140&lt;&gt;"Serviço",0,IF(OR(AND(AUTOEVENTO="Manual",$M140=1),$M140&gt;(ROW(PLE.lastrow)-ROW(PLE.firstrow))),0,IF(OFFSET(PLE!$G$14,$M140,BY$13)="",10^12,OFFSET(PLE!$G$14,$M140,BY$13))))</f>
        <v>1000000000000</v>
      </c>
      <c r="BZ140" s="182">
        <f ca="1">IF($D140&lt;&gt;"Serviço",0,IF(OR(AND(AUTOEVENTO="Manual",$M140=1),$M140&gt;(ROW(PLE.lastrow)-ROW(PLE.firstrow))),0,IF(OFFSET(PLE!$G$14,$M140,BZ$13)="",10^12,OFFSET(PLE!$G$14,$M140,BZ$13))))</f>
        <v>1000000000000</v>
      </c>
      <c r="CA140" s="182">
        <f ca="1">IF($D140&lt;&gt;"Serviço",0,IF(OR(AND(AUTOEVENTO="Manual",$M140=1),$M140&gt;(ROW(PLE.lastrow)-ROW(PLE.firstrow))),0,IF(OFFSET(PLE!$G$14,$M140,CA$13)="",10^12,OFFSET(PLE!$G$14,$M140,CA$13))))</f>
        <v>1000000000000</v>
      </c>
      <c r="CB140" s="182">
        <f ca="1">IF($D140&lt;&gt;"Serviço",0,IF(OR(AND(AUTOEVENTO="Manual",$M140=1),$M140&gt;(ROW(PLE.lastrow)-ROW(PLE.firstrow))),0,IF(OFFSET(PLE!$G$14,$M140,CB$13)="",10^12,OFFSET(PLE!$G$14,$M140,CB$13))))</f>
        <v>1000000000000</v>
      </c>
      <c r="CC140" s="182">
        <f ca="1">IF($D140&lt;&gt;"Serviço",0,IF(OR(AND(AUTOEVENTO="Manual",$M140=1),$M140&gt;(ROW(PLE.lastrow)-ROW(PLE.firstrow))),0,IF(OFFSET(PLE!$G$14,$M140,CC$13)="",10^12,OFFSET(PLE!$G$14,$M140,CC$13))))</f>
        <v>1000000000000</v>
      </c>
      <c r="CD140" s="182">
        <f ca="1">IF($D140&lt;&gt;"Serviço",0,IF(OR(AND(AUTOEVENTO="Manual",$M140=1),$M140&gt;(ROW(PLE.lastrow)-ROW(PLE.firstrow))),0,IF(OFFSET(PLE!$G$14,$M140,CD$13)="",10^12,OFFSET(PLE!$G$14,$M140,CD$13))))</f>
        <v>1000000000000</v>
      </c>
      <c r="CE140" s="182">
        <f ca="1">IF($D140&lt;&gt;"Serviço",0,IF(OR(AND(AUTOEVENTO="Manual",$M140=1),$M140&gt;(ROW(PLE.lastrow)-ROW(PLE.firstrow))),0,IF(OFFSET(PLE!$G$14,$M140,CE$13)="",10^12,OFFSET(PLE!$G$14,$M140,CE$13))))</f>
        <v>1000000000000</v>
      </c>
      <c r="CF140" s="182">
        <f ca="1">IF($D140&lt;&gt;"Serviço",0,IF(OR(AND(AUTOEVENTO="Manual",$M140=1),$M140&gt;(ROW(PLE.lastrow)-ROW(PLE.firstrow))),0,IF(OFFSET(PLE!$G$14,$M140,CF$13)="",10^12,OFFSET(PLE!$G$14,$M140,CF$13))))</f>
        <v>1000000000000</v>
      </c>
      <c r="CG140" s="182">
        <f ca="1">IF($D140&lt;&gt;"Serviço",0,IF(OR(AND(AUTOEVENTO="Manual",$M140=1),$M140&gt;(ROW(PLE.lastrow)-ROW(PLE.firstrow))),0,IF(OFFSET(PLE!$G$14,$M140,CG$13)="",10^12,OFFSET(PLE!$G$14,$M140,CG$13))))</f>
        <v>1000000000000</v>
      </c>
      <c r="CH140" s="182">
        <f ca="1">IF($D140&lt;&gt;"Serviço",0,IF(OR(AND(AUTOEVENTO="Manual",$M140=1),$M140&gt;(ROW(PLE.lastrow)-ROW(PLE.firstrow))),0,IF(OFFSET(PLE!$G$14,$M140,CH$13)="",10^12,OFFSET(PLE!$G$14,$M140,CH$13))))</f>
        <v>1000000000000</v>
      </c>
      <c r="CI140" s="182">
        <f ca="1">IF($D140&lt;&gt;"Serviço",0,IF(OR(AND(AUTOEVENTO="Manual",$M140=1),$M140&gt;(ROW(PLE.lastrow)-ROW(PLE.firstrow))),0,IF(OFFSET(PLE!$G$14,$M140,CI$13)="",10^12,OFFSET(PLE!$G$14,$M140,CI$13))))</f>
        <v>1000000000000</v>
      </c>
      <c r="CJ140" s="182">
        <f ca="1">IF($D140&lt;&gt;"Serviço",0,IF(OR(AND(AUTOEVENTO="Manual",$M140=1),$M140&gt;(ROW(PLE.lastrow)-ROW(PLE.firstrow))),0,IF(OFFSET(PLE!$G$14,$M140,CJ$13)="",10^12,OFFSET(PLE!$G$14,$M140,CJ$13))))</f>
        <v>1000000000000</v>
      </c>
      <c r="CK140" s="182">
        <f ca="1">IF($D140&lt;&gt;"Serviço",0,IF(OR(AND(AUTOEVENTO="Manual",$M140=1),$M140&gt;(ROW(PLE.lastrow)-ROW(PLE.firstrow))),0,IF(OFFSET(PLE!$G$14,$M140,CK$13)="",10^12,OFFSET(PLE!$G$14,$M140,CK$13))))</f>
        <v>1000000000000</v>
      </c>
      <c r="CL140" s="182">
        <f ca="1">IF($D140&lt;&gt;"Serviço",0,IF(OR(AND(AUTOEVENTO="Manual",$M140=1),$M140&gt;(ROW(PLE.lastrow)-ROW(PLE.firstrow))),0,IF(OFFSET(PLE!$G$14,$M140,CL$13)="",10^12,OFFSET(PLE!$G$14,$M140,CL$13))))</f>
        <v>1000000000000</v>
      </c>
      <c r="CM140" s="182">
        <f ca="1">IF($D140&lt;&gt;"Serviço",0,IF(OR(AND(AUTOEVENTO="Manual",$M140=1),$M140&gt;(ROW(PLE.lastrow)-ROW(PLE.firstrow))),0,IF(OFFSET(PLE!$G$14,$M140,CM$13)="",10^12,OFFSET(PLE!$G$14,$M140,CM$13))))</f>
        <v>1000000000000</v>
      </c>
    </row>
    <row r="141" spans="1:91" ht="38.25" x14ac:dyDescent="0.2">
      <c r="A141" s="7" t="str">
        <f t="shared" ca="1" si="11"/>
        <v>119</v>
      </c>
      <c r="B141" s="7" t="str">
        <f ca="1">OFFSET(ORÇAMENTO!C$15,ROW(B141)-ROW(B$15),0)</f>
        <v>S</v>
      </c>
      <c r="C141" s="7" t="str">
        <f ca="1">OFFSET(ORÇAMENTO!L$15,ROW(C141)-ROW(C$15),0)</f>
        <v/>
      </c>
      <c r="D141" s="118" t="str">
        <f ca="1">OFFSET(ORÇAMENTO!N$15,ROW(D141)-ROW(D$15),0)</f>
        <v>Serviço</v>
      </c>
      <c r="E141" s="119" t="str">
        <f ca="1">OFFSET(ORÇAMENTO!O$15,ROW(E141)-ROW(E$15),0)</f>
        <v>-</v>
      </c>
      <c r="F141" s="172" t="str">
        <f ca="1">OFFSET(ORÇAMENTO!R$15,ROW(F141)-ROW(F$15),0)</f>
        <v>(abra o arquivo 'Referência 06-2024.xlsm)</v>
      </c>
      <c r="G141" s="173" t="str">
        <f ca="1">IF($D141&lt;&gt;"Serviço","",OFFSET(ORÇAMENTO!S$15,ROW(G141)-ROW(G$15),0))</f>
        <v>-</v>
      </c>
      <c r="H141" s="124">
        <f ca="1">IF($D141&lt;&gt;"Serviço",0,IF(ACOMPANHAMENTO="BM",ROUND(OFFSET(ORÇAMENTO!AJ$15,ROW(H141)-ROW(H$15),0),15-13*ORÇAMENTO!$AF$7),SUMPRODUCT(($Q$12:$AI$12&lt;&gt;"")*ROUND($Q141:$AI141,15-13*ORÇAMENTO!$AF$7))))</f>
        <v>11.03</v>
      </c>
      <c r="I141" s="561" t="s">
        <v>1107</v>
      </c>
      <c r="K141" s="174"/>
      <c r="L141" s="175" t="s">
        <v>255</v>
      </c>
      <c r="M141" s="176">
        <f ca="1">IF($D141&lt;&gt;"Serviço","",IF(AUTOEVENTO="manual",$A141,IF(ISERROR(MATCH($A141,$A$15:OFFSET($A141,-1,0),0)),MAX($M$15:OFFSET(M141,-1,0))+1,INDEX($M$15:OFFSET(M141,-1,0),MATCH($A141,$A$15:OFFSET($A141,-1,0),0)))))</f>
        <v>22</v>
      </c>
      <c r="N141" s="177" t="str">
        <f ca="1">IF($D141&lt;&gt;"Serviço","",IF(AUTOEVENTO="Manual",IF($A141=0,"&lt;-- defina o número do agrupador",OFFSET(EVENTOS!$D$14,$A141,0)),OFFSET($F$15,$A141,0)))</f>
        <v>ESQUADRIAS - JANELAS EM ALUMÍNIO</v>
      </c>
      <c r="O141" s="178"/>
      <c r="Q141" s="178">
        <v>11.03</v>
      </c>
      <c r="R141" s="179"/>
      <c r="S141" s="179"/>
      <c r="T141" s="179"/>
      <c r="U141" s="179"/>
      <c r="V141" s="179"/>
      <c r="W141" s="179"/>
      <c r="X141" s="179"/>
      <c r="Y141" s="179"/>
      <c r="Z141" s="180"/>
      <c r="AA141" s="179"/>
      <c r="AB141" s="179"/>
      <c r="AC141" s="179"/>
      <c r="AD141" s="179"/>
      <c r="AE141" s="179"/>
      <c r="AF141" s="179"/>
      <c r="AG141" s="179"/>
      <c r="AH141" s="180"/>
      <c r="AJ141" s="544">
        <f ca="1">IF(AND($D141="Serviço",AJ$12&lt;&gt;0,$H141&gt;0,OR(AUTOEVENTO&lt;&gt;"manual",$M141&lt;&gt;1)),
IF(Import.TipoArredondamento&lt;&gt;"TransfereGOV",
ROUND(OFFSET($P141,0,AJ$13),15-13*ORÇAMENTO!$AF$7)/$H141*OFFSET(ORÇAMENTO!$X$15,ROW(AJ141)-ROW(AJ$15),0),
ROUND(ROUND(OFFSET($P141,0,AJ$13),15-13*ORÇAMENTO!$AF$7)*OFFSET(ORÇAMENTO!$W$15,ROW(AJ141)-ROW(AJ$15),0),15-13*ORÇAMENTO!$AF$11)),0)</f>
        <v>0</v>
      </c>
      <c r="AK141" s="545">
        <f ca="1">IF(AND($D141="Serviço",AK$12&lt;&gt;0,$H141&gt;0,OR(AUTOEVENTO&lt;&gt;"manual",$M141&lt;&gt;1)),
IF(Import.TipoArredondamento&lt;&gt;"TransfereGOV",
ROUND(OFFSET($P141,0,AK$13),15-13*ORÇAMENTO!$AF$7)/$H141*OFFSET(ORÇAMENTO!$X$15,ROW(AK141)-ROW(AK$15),0),
ROUND(ROUND(OFFSET($P141,0,AK$13),15-13*ORÇAMENTO!$AF$7)*OFFSET(ORÇAMENTO!$W$15,ROW(AK141)-ROW(AK$15),0),15-13*ORÇAMENTO!$AF$11)),0)</f>
        <v>0</v>
      </c>
      <c r="AL141" s="545">
        <f ca="1">IF(AND($D141="Serviço",AL$12&lt;&gt;0,$H141&gt;0,OR(AUTOEVENTO&lt;&gt;"manual",$M141&lt;&gt;1)),
IF(Import.TipoArredondamento&lt;&gt;"TransfereGOV",
ROUND(OFFSET($P141,0,AL$13),15-13*ORÇAMENTO!$AF$7)/$H141*OFFSET(ORÇAMENTO!$X$15,ROW(AL141)-ROW(AL$15),0),
ROUND(ROUND(OFFSET($P141,0,AL$13),15-13*ORÇAMENTO!$AF$7)*OFFSET(ORÇAMENTO!$W$15,ROW(AL141)-ROW(AL$15),0),15-13*ORÇAMENTO!$AF$11)),0)</f>
        <v>0</v>
      </c>
      <c r="AM141" s="545">
        <f ca="1">IF(AND($D141="Serviço",AM$12&lt;&gt;0,$H141&gt;0,OR(AUTOEVENTO&lt;&gt;"manual",$M141&lt;&gt;1)),
IF(Import.TipoArredondamento&lt;&gt;"TransfereGOV",
ROUND(OFFSET($P141,0,AM$13),15-13*ORÇAMENTO!$AF$7)/$H141*OFFSET(ORÇAMENTO!$X$15,ROW(AM141)-ROW(AM$15),0),
ROUND(ROUND(OFFSET($P141,0,AM$13),15-13*ORÇAMENTO!$AF$7)*OFFSET(ORÇAMENTO!$W$15,ROW(AM141)-ROW(AM$15),0),15-13*ORÇAMENTO!$AF$11)),0)</f>
        <v>0</v>
      </c>
      <c r="AN141" s="545">
        <f ca="1">IF(AND($D141="Serviço",AN$12&lt;&gt;0,$H141&gt;0,OR(AUTOEVENTO&lt;&gt;"manual",$M141&lt;&gt;1)),
IF(Import.TipoArredondamento&lt;&gt;"TransfereGOV",
ROUND(OFFSET($P141,0,AN$13),15-13*ORÇAMENTO!$AF$7)/$H141*OFFSET(ORÇAMENTO!$X$15,ROW(AN141)-ROW(AN$15),0),
ROUND(ROUND(OFFSET($P141,0,AN$13),15-13*ORÇAMENTO!$AF$7)*OFFSET(ORÇAMENTO!$W$15,ROW(AN141)-ROW(AN$15),0),15-13*ORÇAMENTO!$AF$11)),0)</f>
        <v>0</v>
      </c>
      <c r="AO141" s="545">
        <f ca="1">IF(AND($D141="Serviço",AO$12&lt;&gt;0,$H141&gt;0,OR(AUTOEVENTO&lt;&gt;"manual",$M141&lt;&gt;1)),
IF(Import.TipoArredondamento&lt;&gt;"TransfereGOV",
ROUND(OFFSET($P141,0,AO$13),15-13*ORÇAMENTO!$AF$7)/$H141*OFFSET(ORÇAMENTO!$X$15,ROW(AO141)-ROW(AO$15),0),
ROUND(ROUND(OFFSET($P141,0,AO$13),15-13*ORÇAMENTO!$AF$7)*OFFSET(ORÇAMENTO!$W$15,ROW(AO141)-ROW(AO$15),0),15-13*ORÇAMENTO!$AF$11)),0)</f>
        <v>0</v>
      </c>
      <c r="AP141" s="545">
        <f ca="1">IF(AND($D141="Serviço",AP$12&lt;&gt;0,$H141&gt;0,OR(AUTOEVENTO&lt;&gt;"manual",$M141&lt;&gt;1)),
IF(Import.TipoArredondamento&lt;&gt;"TransfereGOV",
ROUND(OFFSET($P141,0,AP$13),15-13*ORÇAMENTO!$AF$7)/$H141*OFFSET(ORÇAMENTO!$X$15,ROW(AP141)-ROW(AP$15),0),
ROUND(ROUND(OFFSET($P141,0,AP$13),15-13*ORÇAMENTO!$AF$7)*OFFSET(ORÇAMENTO!$W$15,ROW(AP141)-ROW(AP$15),0),15-13*ORÇAMENTO!$AF$11)),0)</f>
        <v>0</v>
      </c>
      <c r="AQ141" s="545">
        <f ca="1">IF(AND($D141="Serviço",AQ$12&lt;&gt;0,$H141&gt;0,OR(AUTOEVENTO&lt;&gt;"manual",$M141&lt;&gt;1)),
IF(Import.TipoArredondamento&lt;&gt;"TransfereGOV",
ROUND(OFFSET($P141,0,AQ$13),15-13*ORÇAMENTO!$AF$7)/$H141*OFFSET(ORÇAMENTO!$X$15,ROW(AQ141)-ROW(AQ$15),0),
ROUND(ROUND(OFFSET($P141,0,AQ$13),15-13*ORÇAMENTO!$AF$7)*OFFSET(ORÇAMENTO!$W$15,ROW(AQ141)-ROW(AQ$15),0),15-13*ORÇAMENTO!$AF$11)),0)</f>
        <v>0</v>
      </c>
      <c r="AR141" s="545">
        <f ca="1">IF(AND($D141="Serviço",AR$12&lt;&gt;0,$H141&gt;0,OR(AUTOEVENTO&lt;&gt;"manual",$M141&lt;&gt;1)),
IF(Import.TipoArredondamento&lt;&gt;"TransfereGOV",
ROUND(OFFSET($P141,0,AR$13),15-13*ORÇAMENTO!$AF$7)/$H141*OFFSET(ORÇAMENTO!$X$15,ROW(AR141)-ROW(AR$15),0),
ROUND(ROUND(OFFSET($P141,0,AR$13),15-13*ORÇAMENTO!$AF$7)*OFFSET(ORÇAMENTO!$W$15,ROW(AR141)-ROW(AR$15),0),15-13*ORÇAMENTO!$AF$11)),0)</f>
        <v>0</v>
      </c>
      <c r="AS141" s="546">
        <f ca="1">IF(AND($D141="Serviço",AS$12&lt;&gt;0,$H141&gt;0,OR(AUTOEVENTO&lt;&gt;"manual",$M141&lt;&gt;1)),
IF(Import.TipoArredondamento&lt;&gt;"TransfereGOV",
ROUND(OFFSET($P141,0,AS$13),15-13*ORÇAMENTO!$AF$7)/$H141*OFFSET(ORÇAMENTO!$X$15,ROW(AS141)-ROW(AS$15),0),
ROUND(ROUND(OFFSET($P141,0,AS$13),15-13*ORÇAMENTO!$AF$7)*OFFSET(ORÇAMENTO!$W$15,ROW(AS141)-ROW(AS$15),0),15-13*ORÇAMENTO!$AF$11)),0)</f>
        <v>0</v>
      </c>
      <c r="AT141" s="545">
        <f ca="1">IF(AND($D141="Serviço",AT$12&lt;&gt;0,$H141&gt;0,OR(AUTOEVENTO&lt;&gt;"manual",$M141&lt;&gt;1)),
IF(Import.TipoArredondamento&lt;&gt;"TransfereGOV",
ROUND(OFFSET($P141,0,AT$13),15-13*ORÇAMENTO!$AF$7)/$H141*OFFSET(ORÇAMENTO!$X$15,ROW(AT141)-ROW(AT$15),0),
ROUND(ROUND(OFFSET($P141,0,AT$13),15-13*ORÇAMENTO!$AF$7)*OFFSET(ORÇAMENTO!$W$15,ROW(AT141)-ROW(AT$15),0),15-13*ORÇAMENTO!$AF$11)),0)</f>
        <v>0</v>
      </c>
      <c r="AU141" s="545">
        <f ca="1">IF(AND($D141="Serviço",AU$12&lt;&gt;0,$H141&gt;0,OR(AUTOEVENTO&lt;&gt;"manual",$M141&lt;&gt;1)),
IF(Import.TipoArredondamento&lt;&gt;"TransfereGOV",
ROUND(OFFSET($P141,0,AU$13),15-13*ORÇAMENTO!$AF$7)/$H141*OFFSET(ORÇAMENTO!$X$15,ROW(AU141)-ROW(AU$15),0),
ROUND(ROUND(OFFSET($P141,0,AU$13),15-13*ORÇAMENTO!$AF$7)*OFFSET(ORÇAMENTO!$W$15,ROW(AU141)-ROW(AU$15),0),15-13*ORÇAMENTO!$AF$11)),0)</f>
        <v>0</v>
      </c>
      <c r="AV141" s="545">
        <f ca="1">IF(AND($D141="Serviço",AV$12&lt;&gt;0,$H141&gt;0,OR(AUTOEVENTO&lt;&gt;"manual",$M141&lt;&gt;1)),
IF(Import.TipoArredondamento&lt;&gt;"TransfereGOV",
ROUND(OFFSET($P141,0,AV$13),15-13*ORÇAMENTO!$AF$7)/$H141*OFFSET(ORÇAMENTO!$X$15,ROW(AV141)-ROW(AV$15),0),
ROUND(ROUND(OFFSET($P141,0,AV$13),15-13*ORÇAMENTO!$AF$7)*OFFSET(ORÇAMENTO!$W$15,ROW(AV141)-ROW(AV$15),0),15-13*ORÇAMENTO!$AF$11)),0)</f>
        <v>0</v>
      </c>
      <c r="AW141" s="545">
        <f ca="1">IF(AND($D141="Serviço",AW$12&lt;&gt;0,$H141&gt;0,OR(AUTOEVENTO&lt;&gt;"manual",$M141&lt;&gt;1)),
IF(Import.TipoArredondamento&lt;&gt;"TransfereGOV",
ROUND(OFFSET($P141,0,AW$13),15-13*ORÇAMENTO!$AF$7)/$H141*OFFSET(ORÇAMENTO!$X$15,ROW(AW141)-ROW(AW$15),0),
ROUND(ROUND(OFFSET($P141,0,AW$13),15-13*ORÇAMENTO!$AF$7)*OFFSET(ORÇAMENTO!$W$15,ROW(AW141)-ROW(AW$15),0),15-13*ORÇAMENTO!$AF$11)),0)</f>
        <v>0</v>
      </c>
      <c r="AX141" s="545">
        <f ca="1">IF(AND($D141="Serviço",AX$12&lt;&gt;0,$H141&gt;0,OR(AUTOEVENTO&lt;&gt;"manual",$M141&lt;&gt;1)),
IF(Import.TipoArredondamento&lt;&gt;"TransfereGOV",
ROUND(OFFSET($P141,0,AX$13),15-13*ORÇAMENTO!$AF$7)/$H141*OFFSET(ORÇAMENTO!$X$15,ROW(AX141)-ROW(AX$15),0),
ROUND(ROUND(OFFSET($P141,0,AX$13),15-13*ORÇAMENTO!$AF$7)*OFFSET(ORÇAMENTO!$W$15,ROW(AX141)-ROW(AX$15),0),15-13*ORÇAMENTO!$AF$11)),0)</f>
        <v>0</v>
      </c>
      <c r="AY141" s="545">
        <f ca="1">IF(AND($D141="Serviço",AY$12&lt;&gt;0,$H141&gt;0,OR(AUTOEVENTO&lt;&gt;"manual",$M141&lt;&gt;1)),
IF(Import.TipoArredondamento&lt;&gt;"TransfereGOV",
ROUND(OFFSET($P141,0,AY$13),15-13*ORÇAMENTO!$AF$7)/$H141*OFFSET(ORÇAMENTO!$X$15,ROW(AY141)-ROW(AY$15),0),
ROUND(ROUND(OFFSET($P141,0,AY$13),15-13*ORÇAMENTO!$AF$7)*OFFSET(ORÇAMENTO!$W$15,ROW(AY141)-ROW(AY$15),0),15-13*ORÇAMENTO!$AF$11)),0)</f>
        <v>0</v>
      </c>
      <c r="AZ141" s="545">
        <f ca="1">IF(AND($D141="Serviço",AZ$12&lt;&gt;0,$H141&gt;0,OR(AUTOEVENTO&lt;&gt;"manual",$M141&lt;&gt;1)),
IF(Import.TipoArredondamento&lt;&gt;"TransfereGOV",
ROUND(OFFSET($P141,0,AZ$13),15-13*ORÇAMENTO!$AF$7)/$H141*OFFSET(ORÇAMENTO!$X$15,ROW(AZ141)-ROW(AZ$15),0),
ROUND(ROUND(OFFSET($P141,0,AZ$13),15-13*ORÇAMENTO!$AF$7)*OFFSET(ORÇAMENTO!$W$15,ROW(AZ141)-ROW(AZ$15),0),15-13*ORÇAMENTO!$AF$11)),0)</f>
        <v>0</v>
      </c>
      <c r="BA141" s="546">
        <f ca="1">IF(AND($D141="Serviço",BA$12&lt;&gt;0,$H141&gt;0,OR(AUTOEVENTO&lt;&gt;"manual",$M141&lt;&gt;1)),
IF(Import.TipoArredondamento&lt;&gt;"TransfereGOV",
ROUND(OFFSET($P141,0,BA$13),15-13*ORÇAMENTO!$AF$7)/$H141*OFFSET(ORÇAMENTO!$X$15,ROW(BA141)-ROW(BA$15),0),
ROUND(ROUND(OFFSET($P141,0,BA$13),15-13*ORÇAMENTO!$AF$7)*OFFSET(ORÇAMENTO!$W$15,ROW(BA141)-ROW(BA$15),0),15-13*ORÇAMENTO!$AF$11)),0)</f>
        <v>0</v>
      </c>
      <c r="BC141" s="181">
        <f ca="1">IF($D141&lt;&gt;"Serviço",0,IF(AND(AUTOEVENTO="Manual",$M141=1),0,IF(OFFSET(CRONOPLE!$F$14,$M141,BC$13)="",10^12,OFFSET(CRONOPLE!$F$14,$M141,BC$13))))</f>
        <v>5</v>
      </c>
      <c r="BD141" s="181">
        <f ca="1">IF($D141&lt;&gt;"Serviço",0,IF(AND(AUTOEVENTO="Manual",$M141=1),0,IF(OFFSET(CRONOPLE!$F$14,$M141,BD$13)="",10^12,OFFSET(CRONOPLE!$F$14,$M141,BD$13))))</f>
        <v>1000000000000</v>
      </c>
      <c r="BE141" s="181">
        <f ca="1">IF($D141&lt;&gt;"Serviço",0,IF(AND(AUTOEVENTO="Manual",$M141=1),0,IF(OFFSET(CRONOPLE!$F$14,$M141,BE$13)="",10^12,OFFSET(CRONOPLE!$F$14,$M141,BE$13))))</f>
        <v>1000000000000</v>
      </c>
      <c r="BF141" s="181">
        <f ca="1">IF($D141&lt;&gt;"Serviço",0,IF(AND(AUTOEVENTO="Manual",$M141=1),0,IF(OFFSET(CRONOPLE!$F$14,$M141,BF$13)="",10^12,OFFSET(CRONOPLE!$F$14,$M141,BF$13))))</f>
        <v>1000000000000</v>
      </c>
      <c r="BG141" s="181">
        <f ca="1">IF($D141&lt;&gt;"Serviço",0,IF(AND(AUTOEVENTO="Manual",$M141=1),0,IF(OFFSET(CRONOPLE!$F$14,$M141,BG$13)="",10^12,OFFSET(CRONOPLE!$F$14,$M141,BG$13))))</f>
        <v>1000000000000</v>
      </c>
      <c r="BH141" s="181">
        <f ca="1">IF($D141&lt;&gt;"Serviço",0,IF(AND(AUTOEVENTO="Manual",$M141=1),0,IF(OFFSET(CRONOPLE!$F$14,$M141,BH$13)="",10^12,OFFSET(CRONOPLE!$F$14,$M141,BH$13))))</f>
        <v>1000000000000</v>
      </c>
      <c r="BI141" s="181">
        <f ca="1">IF($D141&lt;&gt;"Serviço",0,IF(AND(AUTOEVENTO="Manual",$M141=1),0,IF(OFFSET(CRONOPLE!$F$14,$M141,BI$13)="",10^12,OFFSET(CRONOPLE!$F$14,$M141,BI$13))))</f>
        <v>1000000000000</v>
      </c>
      <c r="BJ141" s="181">
        <f ca="1">IF($D141&lt;&gt;"Serviço",0,IF(AND(AUTOEVENTO="Manual",$M141=1),0,IF(OFFSET(CRONOPLE!$F$14,$M141,BJ$13)="",10^12,OFFSET(CRONOPLE!$F$14,$M141,BJ$13))))</f>
        <v>1000000000000</v>
      </c>
      <c r="BK141" s="181">
        <f ca="1">IF($D141&lt;&gt;"Serviço",0,IF(AND(AUTOEVENTO="Manual",$M141=1),0,IF(OFFSET(CRONOPLE!$F$14,$M141,BK$13)="",10^12,OFFSET(CRONOPLE!$F$14,$M141,BK$13))))</f>
        <v>1000000000000</v>
      </c>
      <c r="BL141" s="181">
        <f ca="1">IF($D141&lt;&gt;"Serviço",0,IF(AND(AUTOEVENTO="Manual",$M141=1),0,IF(OFFSET(CRONOPLE!$F$14,$M141,BL$13)="",10^12,OFFSET(CRONOPLE!$F$14,$M141,BL$13))))</f>
        <v>1000000000000</v>
      </c>
      <c r="BM141" s="181">
        <f ca="1">IF($D141&lt;&gt;"Serviço",0,IF(AND(AUTOEVENTO="Manual",$M141=1),0,IF(OFFSET(CRONOPLE!$F$14,$M141,BM$13)="",10^12,OFFSET(CRONOPLE!$F$14,$M141,BM$13))))</f>
        <v>1000000000000</v>
      </c>
      <c r="BN141" s="181">
        <f ca="1">IF($D141&lt;&gt;"Serviço",0,IF(AND(AUTOEVENTO="Manual",$M141=1),0,IF(OFFSET(CRONOPLE!$F$14,$M141,BN$13)="",10^12,OFFSET(CRONOPLE!$F$14,$M141,BN$13))))</f>
        <v>1000000000000</v>
      </c>
      <c r="BO141" s="181">
        <f ca="1">IF($D141&lt;&gt;"Serviço",0,IF(AND(AUTOEVENTO="Manual",$M141=1),0,IF(OFFSET(CRONOPLE!$F$14,$M141,BO$13)="",10^12,OFFSET(CRONOPLE!$F$14,$M141,BO$13))))</f>
        <v>1000000000000</v>
      </c>
      <c r="BP141" s="181">
        <f ca="1">IF($D141&lt;&gt;"Serviço",0,IF(AND(AUTOEVENTO="Manual",$M141=1),0,IF(OFFSET(CRONOPLE!$F$14,$M141,BP$13)="",10^12,OFFSET(CRONOPLE!$F$14,$M141,BP$13))))</f>
        <v>1000000000000</v>
      </c>
      <c r="BQ141" s="181">
        <f ca="1">IF($D141&lt;&gt;"Serviço",0,IF(AND(AUTOEVENTO="Manual",$M141=1),0,IF(OFFSET(CRONOPLE!$F$14,$M141,BQ$13)="",10^12,OFFSET(CRONOPLE!$F$14,$M141,BQ$13))))</f>
        <v>1000000000000</v>
      </c>
      <c r="BR141" s="181">
        <f ca="1">IF($D141&lt;&gt;"Serviço",0,IF(AND(AUTOEVENTO="Manual",$M141=1),0,IF(OFFSET(CRONOPLE!$F$14,$M141,BR$13)="",10^12,OFFSET(CRONOPLE!$F$14,$M141,BR$13))))</f>
        <v>1000000000000</v>
      </c>
      <c r="BS141" s="181">
        <f ca="1">IF($D141&lt;&gt;"Serviço",0,IF(AND(AUTOEVENTO="Manual",$M141=1),0,IF(OFFSET(CRONOPLE!$F$14,$M141,BS$13)="",10^12,OFFSET(CRONOPLE!$F$14,$M141,BS$13))))</f>
        <v>1000000000000</v>
      </c>
      <c r="BT141" s="181">
        <f ca="1">IF($D141&lt;&gt;"Serviço",0,IF(AND(AUTOEVENTO="Manual",$M141=1),0,IF(OFFSET(CRONOPLE!$F$14,$M141,BT$13)="",10^12,OFFSET(CRONOPLE!$F$14,$M141,BT$13))))</f>
        <v>1000000000000</v>
      </c>
      <c r="BV141" s="182">
        <f ca="1">IF($D141&lt;&gt;"Serviço",0,IF(OR(AND(AUTOEVENTO="Manual",$M141=1),$M141&gt;(ROW(PLE.lastrow)-ROW(PLE.firstrow))),0,IF(OFFSET(PLE!$G$14,$M141,BV$13)="",10^12,OFFSET(PLE!$G$14,$M141,BV$13))))</f>
        <v>1000000000000</v>
      </c>
      <c r="BW141" s="182">
        <f ca="1">IF($D141&lt;&gt;"Serviço",0,IF(OR(AND(AUTOEVENTO="Manual",$M141=1),$M141&gt;(ROW(PLE.lastrow)-ROW(PLE.firstrow))),0,IF(OFFSET(PLE!$G$14,$M141,BW$13)="",10^12,OFFSET(PLE!$G$14,$M141,BW$13))))</f>
        <v>1000000000000</v>
      </c>
      <c r="BX141" s="182">
        <f ca="1">IF($D141&lt;&gt;"Serviço",0,IF(OR(AND(AUTOEVENTO="Manual",$M141=1),$M141&gt;(ROW(PLE.lastrow)-ROW(PLE.firstrow))),0,IF(OFFSET(PLE!$G$14,$M141,BX$13)="",10^12,OFFSET(PLE!$G$14,$M141,BX$13))))</f>
        <v>1000000000000</v>
      </c>
      <c r="BY141" s="182">
        <f ca="1">IF($D141&lt;&gt;"Serviço",0,IF(OR(AND(AUTOEVENTO="Manual",$M141=1),$M141&gt;(ROW(PLE.lastrow)-ROW(PLE.firstrow))),0,IF(OFFSET(PLE!$G$14,$M141,BY$13)="",10^12,OFFSET(PLE!$G$14,$M141,BY$13))))</f>
        <v>1000000000000</v>
      </c>
      <c r="BZ141" s="182">
        <f ca="1">IF($D141&lt;&gt;"Serviço",0,IF(OR(AND(AUTOEVENTO="Manual",$M141=1),$M141&gt;(ROW(PLE.lastrow)-ROW(PLE.firstrow))),0,IF(OFFSET(PLE!$G$14,$M141,BZ$13)="",10^12,OFFSET(PLE!$G$14,$M141,BZ$13))))</f>
        <v>1000000000000</v>
      </c>
      <c r="CA141" s="182">
        <f ca="1">IF($D141&lt;&gt;"Serviço",0,IF(OR(AND(AUTOEVENTO="Manual",$M141=1),$M141&gt;(ROW(PLE.lastrow)-ROW(PLE.firstrow))),0,IF(OFFSET(PLE!$G$14,$M141,CA$13)="",10^12,OFFSET(PLE!$G$14,$M141,CA$13))))</f>
        <v>1000000000000</v>
      </c>
      <c r="CB141" s="182">
        <f ca="1">IF($D141&lt;&gt;"Serviço",0,IF(OR(AND(AUTOEVENTO="Manual",$M141=1),$M141&gt;(ROW(PLE.lastrow)-ROW(PLE.firstrow))),0,IF(OFFSET(PLE!$G$14,$M141,CB$13)="",10^12,OFFSET(PLE!$G$14,$M141,CB$13))))</f>
        <v>1000000000000</v>
      </c>
      <c r="CC141" s="182">
        <f ca="1">IF($D141&lt;&gt;"Serviço",0,IF(OR(AND(AUTOEVENTO="Manual",$M141=1),$M141&gt;(ROW(PLE.lastrow)-ROW(PLE.firstrow))),0,IF(OFFSET(PLE!$G$14,$M141,CC$13)="",10^12,OFFSET(PLE!$G$14,$M141,CC$13))))</f>
        <v>1000000000000</v>
      </c>
      <c r="CD141" s="182">
        <f ca="1">IF($D141&lt;&gt;"Serviço",0,IF(OR(AND(AUTOEVENTO="Manual",$M141=1),$M141&gt;(ROW(PLE.lastrow)-ROW(PLE.firstrow))),0,IF(OFFSET(PLE!$G$14,$M141,CD$13)="",10^12,OFFSET(PLE!$G$14,$M141,CD$13))))</f>
        <v>1000000000000</v>
      </c>
      <c r="CE141" s="182">
        <f ca="1">IF($D141&lt;&gt;"Serviço",0,IF(OR(AND(AUTOEVENTO="Manual",$M141=1),$M141&gt;(ROW(PLE.lastrow)-ROW(PLE.firstrow))),0,IF(OFFSET(PLE!$G$14,$M141,CE$13)="",10^12,OFFSET(PLE!$G$14,$M141,CE$13))))</f>
        <v>1000000000000</v>
      </c>
      <c r="CF141" s="182">
        <f ca="1">IF($D141&lt;&gt;"Serviço",0,IF(OR(AND(AUTOEVENTO="Manual",$M141=1),$M141&gt;(ROW(PLE.lastrow)-ROW(PLE.firstrow))),0,IF(OFFSET(PLE!$G$14,$M141,CF$13)="",10^12,OFFSET(PLE!$G$14,$M141,CF$13))))</f>
        <v>1000000000000</v>
      </c>
      <c r="CG141" s="182">
        <f ca="1">IF($D141&lt;&gt;"Serviço",0,IF(OR(AND(AUTOEVENTO="Manual",$M141=1),$M141&gt;(ROW(PLE.lastrow)-ROW(PLE.firstrow))),0,IF(OFFSET(PLE!$G$14,$M141,CG$13)="",10^12,OFFSET(PLE!$G$14,$M141,CG$13))))</f>
        <v>1000000000000</v>
      </c>
      <c r="CH141" s="182">
        <f ca="1">IF($D141&lt;&gt;"Serviço",0,IF(OR(AND(AUTOEVENTO="Manual",$M141=1),$M141&gt;(ROW(PLE.lastrow)-ROW(PLE.firstrow))),0,IF(OFFSET(PLE!$G$14,$M141,CH$13)="",10^12,OFFSET(PLE!$G$14,$M141,CH$13))))</f>
        <v>1000000000000</v>
      </c>
      <c r="CI141" s="182">
        <f ca="1">IF($D141&lt;&gt;"Serviço",0,IF(OR(AND(AUTOEVENTO="Manual",$M141=1),$M141&gt;(ROW(PLE.lastrow)-ROW(PLE.firstrow))),0,IF(OFFSET(PLE!$G$14,$M141,CI$13)="",10^12,OFFSET(PLE!$G$14,$M141,CI$13))))</f>
        <v>1000000000000</v>
      </c>
      <c r="CJ141" s="182">
        <f ca="1">IF($D141&lt;&gt;"Serviço",0,IF(OR(AND(AUTOEVENTO="Manual",$M141=1),$M141&gt;(ROW(PLE.lastrow)-ROW(PLE.firstrow))),0,IF(OFFSET(PLE!$G$14,$M141,CJ$13)="",10^12,OFFSET(PLE!$G$14,$M141,CJ$13))))</f>
        <v>1000000000000</v>
      </c>
      <c r="CK141" s="182">
        <f ca="1">IF($D141&lt;&gt;"Serviço",0,IF(OR(AND(AUTOEVENTO="Manual",$M141=1),$M141&gt;(ROW(PLE.lastrow)-ROW(PLE.firstrow))),0,IF(OFFSET(PLE!$G$14,$M141,CK$13)="",10^12,OFFSET(PLE!$G$14,$M141,CK$13))))</f>
        <v>1000000000000</v>
      </c>
      <c r="CL141" s="182">
        <f ca="1">IF($D141&lt;&gt;"Serviço",0,IF(OR(AND(AUTOEVENTO="Manual",$M141=1),$M141&gt;(ROW(PLE.lastrow)-ROW(PLE.firstrow))),0,IF(OFFSET(PLE!$G$14,$M141,CL$13)="",10^12,OFFSET(PLE!$G$14,$M141,CL$13))))</f>
        <v>1000000000000</v>
      </c>
      <c r="CM141" s="182">
        <f ca="1">IF($D141&lt;&gt;"Serviço",0,IF(OR(AND(AUTOEVENTO="Manual",$M141=1),$M141&gt;(ROW(PLE.lastrow)-ROW(PLE.firstrow))),0,IF(OFFSET(PLE!$G$14,$M141,CM$13)="",10^12,OFFSET(PLE!$G$14,$M141,CM$13))))</f>
        <v>1000000000000</v>
      </c>
    </row>
    <row r="142" spans="1:91" ht="38.25" x14ac:dyDescent="0.2">
      <c r="A142" s="7" t="str">
        <f t="shared" ca="1" si="11"/>
        <v>119</v>
      </c>
      <c r="B142" s="7" t="str">
        <f ca="1">OFFSET(ORÇAMENTO!C$15,ROW(B142)-ROW(B$15),0)</f>
        <v>S</v>
      </c>
      <c r="C142" s="7" t="str">
        <f ca="1">OFFSET(ORÇAMENTO!L$15,ROW(C142)-ROW(C$15),0)</f>
        <v/>
      </c>
      <c r="D142" s="118" t="str">
        <f ca="1">OFFSET(ORÇAMENTO!N$15,ROW(D142)-ROW(D$15),0)</f>
        <v>Serviço</v>
      </c>
      <c r="E142" s="119" t="str">
        <f ca="1">OFFSET(ORÇAMENTO!O$15,ROW(E142)-ROW(E$15),0)</f>
        <v>-</v>
      </c>
      <c r="F142" s="172" t="str">
        <f ca="1">OFFSET(ORÇAMENTO!R$15,ROW(F142)-ROW(F$15),0)</f>
        <v>(abra o arquivo 'Referência 06-2024.xlsm)</v>
      </c>
      <c r="G142" s="173" t="str">
        <f ca="1">IF($D142&lt;&gt;"Serviço","",OFFSET(ORÇAMENTO!S$15,ROW(G142)-ROW(G$15),0))</f>
        <v>-</v>
      </c>
      <c r="H142" s="124">
        <f ca="1">IF($D142&lt;&gt;"Serviço",0,IF(ACOMPANHAMENTO="BM",ROUND(OFFSET(ORÇAMENTO!AJ$15,ROW(H142)-ROW(H$15),0),15-13*ORÇAMENTO!$AF$7),SUMPRODUCT(($Q$12:$AI$12&lt;&gt;"")*ROUND($Q142:$AI142,15-13*ORÇAMENTO!$AF$7))))</f>
        <v>6.3</v>
      </c>
      <c r="I142" s="561" t="s">
        <v>1107</v>
      </c>
      <c r="K142" s="174"/>
      <c r="L142" s="175" t="s">
        <v>255</v>
      </c>
      <c r="M142" s="176">
        <f ca="1">IF($D142&lt;&gt;"Serviço","",IF(AUTOEVENTO="manual",$A142,IF(ISERROR(MATCH($A142,$A$15:OFFSET($A142,-1,0),0)),MAX($M$15:OFFSET(M142,-1,0))+1,INDEX($M$15:OFFSET(M142,-1,0),MATCH($A142,$A$15:OFFSET($A142,-1,0),0)))))</f>
        <v>22</v>
      </c>
      <c r="N142" s="177" t="str">
        <f ca="1">IF($D142&lt;&gt;"Serviço","",IF(AUTOEVENTO="Manual",IF($A142=0,"&lt;-- defina o número do agrupador",OFFSET(EVENTOS!$D$14,$A142,0)),OFFSET($F$15,$A142,0)))</f>
        <v>ESQUADRIAS - JANELAS EM ALUMÍNIO</v>
      </c>
      <c r="O142" s="178"/>
      <c r="Q142" s="178">
        <v>6.3</v>
      </c>
      <c r="R142" s="179"/>
      <c r="S142" s="179"/>
      <c r="T142" s="179"/>
      <c r="U142" s="179"/>
      <c r="V142" s="179"/>
      <c r="W142" s="179"/>
      <c r="X142" s="179"/>
      <c r="Y142" s="179"/>
      <c r="Z142" s="180"/>
      <c r="AA142" s="179"/>
      <c r="AB142" s="179"/>
      <c r="AC142" s="179"/>
      <c r="AD142" s="179"/>
      <c r="AE142" s="179"/>
      <c r="AF142" s="179"/>
      <c r="AG142" s="179"/>
      <c r="AH142" s="180"/>
      <c r="AJ142" s="544">
        <f ca="1">IF(AND($D142="Serviço",AJ$12&lt;&gt;0,$H142&gt;0,OR(AUTOEVENTO&lt;&gt;"manual",$M142&lt;&gt;1)),
IF(Import.TipoArredondamento&lt;&gt;"TransfereGOV",
ROUND(OFFSET($P142,0,AJ$13),15-13*ORÇAMENTO!$AF$7)/$H142*OFFSET(ORÇAMENTO!$X$15,ROW(AJ142)-ROW(AJ$15),0),
ROUND(ROUND(OFFSET($P142,0,AJ$13),15-13*ORÇAMENTO!$AF$7)*OFFSET(ORÇAMENTO!$W$15,ROW(AJ142)-ROW(AJ$15),0),15-13*ORÇAMENTO!$AF$11)),0)</f>
        <v>0</v>
      </c>
      <c r="AK142" s="545">
        <f ca="1">IF(AND($D142="Serviço",AK$12&lt;&gt;0,$H142&gt;0,OR(AUTOEVENTO&lt;&gt;"manual",$M142&lt;&gt;1)),
IF(Import.TipoArredondamento&lt;&gt;"TransfereGOV",
ROUND(OFFSET($P142,0,AK$13),15-13*ORÇAMENTO!$AF$7)/$H142*OFFSET(ORÇAMENTO!$X$15,ROW(AK142)-ROW(AK$15),0),
ROUND(ROUND(OFFSET($P142,0,AK$13),15-13*ORÇAMENTO!$AF$7)*OFFSET(ORÇAMENTO!$W$15,ROW(AK142)-ROW(AK$15),0),15-13*ORÇAMENTO!$AF$11)),0)</f>
        <v>0</v>
      </c>
      <c r="AL142" s="545">
        <f ca="1">IF(AND($D142="Serviço",AL$12&lt;&gt;0,$H142&gt;0,OR(AUTOEVENTO&lt;&gt;"manual",$M142&lt;&gt;1)),
IF(Import.TipoArredondamento&lt;&gt;"TransfereGOV",
ROUND(OFFSET($P142,0,AL$13),15-13*ORÇAMENTO!$AF$7)/$H142*OFFSET(ORÇAMENTO!$X$15,ROW(AL142)-ROW(AL$15),0),
ROUND(ROUND(OFFSET($P142,0,AL$13),15-13*ORÇAMENTO!$AF$7)*OFFSET(ORÇAMENTO!$W$15,ROW(AL142)-ROW(AL$15),0),15-13*ORÇAMENTO!$AF$11)),0)</f>
        <v>0</v>
      </c>
      <c r="AM142" s="545">
        <f ca="1">IF(AND($D142="Serviço",AM$12&lt;&gt;0,$H142&gt;0,OR(AUTOEVENTO&lt;&gt;"manual",$M142&lt;&gt;1)),
IF(Import.TipoArredondamento&lt;&gt;"TransfereGOV",
ROUND(OFFSET($P142,0,AM$13),15-13*ORÇAMENTO!$AF$7)/$H142*OFFSET(ORÇAMENTO!$X$15,ROW(AM142)-ROW(AM$15),0),
ROUND(ROUND(OFFSET($P142,0,AM$13),15-13*ORÇAMENTO!$AF$7)*OFFSET(ORÇAMENTO!$W$15,ROW(AM142)-ROW(AM$15),0),15-13*ORÇAMENTO!$AF$11)),0)</f>
        <v>0</v>
      </c>
      <c r="AN142" s="545">
        <f ca="1">IF(AND($D142="Serviço",AN$12&lt;&gt;0,$H142&gt;0,OR(AUTOEVENTO&lt;&gt;"manual",$M142&lt;&gt;1)),
IF(Import.TipoArredondamento&lt;&gt;"TransfereGOV",
ROUND(OFFSET($P142,0,AN$13),15-13*ORÇAMENTO!$AF$7)/$H142*OFFSET(ORÇAMENTO!$X$15,ROW(AN142)-ROW(AN$15),0),
ROUND(ROUND(OFFSET($P142,0,AN$13),15-13*ORÇAMENTO!$AF$7)*OFFSET(ORÇAMENTO!$W$15,ROW(AN142)-ROW(AN$15),0),15-13*ORÇAMENTO!$AF$11)),0)</f>
        <v>0</v>
      </c>
      <c r="AO142" s="545">
        <f ca="1">IF(AND($D142="Serviço",AO$12&lt;&gt;0,$H142&gt;0,OR(AUTOEVENTO&lt;&gt;"manual",$M142&lt;&gt;1)),
IF(Import.TipoArredondamento&lt;&gt;"TransfereGOV",
ROUND(OFFSET($P142,0,AO$13),15-13*ORÇAMENTO!$AF$7)/$H142*OFFSET(ORÇAMENTO!$X$15,ROW(AO142)-ROW(AO$15),0),
ROUND(ROUND(OFFSET($P142,0,AO$13),15-13*ORÇAMENTO!$AF$7)*OFFSET(ORÇAMENTO!$W$15,ROW(AO142)-ROW(AO$15),0),15-13*ORÇAMENTO!$AF$11)),0)</f>
        <v>0</v>
      </c>
      <c r="AP142" s="545">
        <f ca="1">IF(AND($D142="Serviço",AP$12&lt;&gt;0,$H142&gt;0,OR(AUTOEVENTO&lt;&gt;"manual",$M142&lt;&gt;1)),
IF(Import.TipoArredondamento&lt;&gt;"TransfereGOV",
ROUND(OFFSET($P142,0,AP$13),15-13*ORÇAMENTO!$AF$7)/$H142*OFFSET(ORÇAMENTO!$X$15,ROW(AP142)-ROW(AP$15),0),
ROUND(ROUND(OFFSET($P142,0,AP$13),15-13*ORÇAMENTO!$AF$7)*OFFSET(ORÇAMENTO!$W$15,ROW(AP142)-ROW(AP$15),0),15-13*ORÇAMENTO!$AF$11)),0)</f>
        <v>0</v>
      </c>
      <c r="AQ142" s="545">
        <f ca="1">IF(AND($D142="Serviço",AQ$12&lt;&gt;0,$H142&gt;0,OR(AUTOEVENTO&lt;&gt;"manual",$M142&lt;&gt;1)),
IF(Import.TipoArredondamento&lt;&gt;"TransfereGOV",
ROUND(OFFSET($P142,0,AQ$13),15-13*ORÇAMENTO!$AF$7)/$H142*OFFSET(ORÇAMENTO!$X$15,ROW(AQ142)-ROW(AQ$15),0),
ROUND(ROUND(OFFSET($P142,0,AQ$13),15-13*ORÇAMENTO!$AF$7)*OFFSET(ORÇAMENTO!$W$15,ROW(AQ142)-ROW(AQ$15),0),15-13*ORÇAMENTO!$AF$11)),0)</f>
        <v>0</v>
      </c>
      <c r="AR142" s="545">
        <f ca="1">IF(AND($D142="Serviço",AR$12&lt;&gt;0,$H142&gt;0,OR(AUTOEVENTO&lt;&gt;"manual",$M142&lt;&gt;1)),
IF(Import.TipoArredondamento&lt;&gt;"TransfereGOV",
ROUND(OFFSET($P142,0,AR$13),15-13*ORÇAMENTO!$AF$7)/$H142*OFFSET(ORÇAMENTO!$X$15,ROW(AR142)-ROW(AR$15),0),
ROUND(ROUND(OFFSET($P142,0,AR$13),15-13*ORÇAMENTO!$AF$7)*OFFSET(ORÇAMENTO!$W$15,ROW(AR142)-ROW(AR$15),0),15-13*ORÇAMENTO!$AF$11)),0)</f>
        <v>0</v>
      </c>
      <c r="AS142" s="546">
        <f ca="1">IF(AND($D142="Serviço",AS$12&lt;&gt;0,$H142&gt;0,OR(AUTOEVENTO&lt;&gt;"manual",$M142&lt;&gt;1)),
IF(Import.TipoArredondamento&lt;&gt;"TransfereGOV",
ROUND(OFFSET($P142,0,AS$13),15-13*ORÇAMENTO!$AF$7)/$H142*OFFSET(ORÇAMENTO!$X$15,ROW(AS142)-ROW(AS$15),0),
ROUND(ROUND(OFFSET($P142,0,AS$13),15-13*ORÇAMENTO!$AF$7)*OFFSET(ORÇAMENTO!$W$15,ROW(AS142)-ROW(AS$15),0),15-13*ORÇAMENTO!$AF$11)),0)</f>
        <v>0</v>
      </c>
      <c r="AT142" s="545">
        <f ca="1">IF(AND($D142="Serviço",AT$12&lt;&gt;0,$H142&gt;0,OR(AUTOEVENTO&lt;&gt;"manual",$M142&lt;&gt;1)),
IF(Import.TipoArredondamento&lt;&gt;"TransfereGOV",
ROUND(OFFSET($P142,0,AT$13),15-13*ORÇAMENTO!$AF$7)/$H142*OFFSET(ORÇAMENTO!$X$15,ROW(AT142)-ROW(AT$15),0),
ROUND(ROUND(OFFSET($P142,0,AT$13),15-13*ORÇAMENTO!$AF$7)*OFFSET(ORÇAMENTO!$W$15,ROW(AT142)-ROW(AT$15),0),15-13*ORÇAMENTO!$AF$11)),0)</f>
        <v>0</v>
      </c>
      <c r="AU142" s="545">
        <f ca="1">IF(AND($D142="Serviço",AU$12&lt;&gt;0,$H142&gt;0,OR(AUTOEVENTO&lt;&gt;"manual",$M142&lt;&gt;1)),
IF(Import.TipoArredondamento&lt;&gt;"TransfereGOV",
ROUND(OFFSET($P142,0,AU$13),15-13*ORÇAMENTO!$AF$7)/$H142*OFFSET(ORÇAMENTO!$X$15,ROW(AU142)-ROW(AU$15),0),
ROUND(ROUND(OFFSET($P142,0,AU$13),15-13*ORÇAMENTO!$AF$7)*OFFSET(ORÇAMENTO!$W$15,ROW(AU142)-ROW(AU$15),0),15-13*ORÇAMENTO!$AF$11)),0)</f>
        <v>0</v>
      </c>
      <c r="AV142" s="545">
        <f ca="1">IF(AND($D142="Serviço",AV$12&lt;&gt;0,$H142&gt;0,OR(AUTOEVENTO&lt;&gt;"manual",$M142&lt;&gt;1)),
IF(Import.TipoArredondamento&lt;&gt;"TransfereGOV",
ROUND(OFFSET($P142,0,AV$13),15-13*ORÇAMENTO!$AF$7)/$H142*OFFSET(ORÇAMENTO!$X$15,ROW(AV142)-ROW(AV$15),0),
ROUND(ROUND(OFFSET($P142,0,AV$13),15-13*ORÇAMENTO!$AF$7)*OFFSET(ORÇAMENTO!$W$15,ROW(AV142)-ROW(AV$15),0),15-13*ORÇAMENTO!$AF$11)),0)</f>
        <v>0</v>
      </c>
      <c r="AW142" s="545">
        <f ca="1">IF(AND($D142="Serviço",AW$12&lt;&gt;0,$H142&gt;0,OR(AUTOEVENTO&lt;&gt;"manual",$M142&lt;&gt;1)),
IF(Import.TipoArredondamento&lt;&gt;"TransfereGOV",
ROUND(OFFSET($P142,0,AW$13),15-13*ORÇAMENTO!$AF$7)/$H142*OFFSET(ORÇAMENTO!$X$15,ROW(AW142)-ROW(AW$15),0),
ROUND(ROUND(OFFSET($P142,0,AW$13),15-13*ORÇAMENTO!$AF$7)*OFFSET(ORÇAMENTO!$W$15,ROW(AW142)-ROW(AW$15),0),15-13*ORÇAMENTO!$AF$11)),0)</f>
        <v>0</v>
      </c>
      <c r="AX142" s="545">
        <f ca="1">IF(AND($D142="Serviço",AX$12&lt;&gt;0,$H142&gt;0,OR(AUTOEVENTO&lt;&gt;"manual",$M142&lt;&gt;1)),
IF(Import.TipoArredondamento&lt;&gt;"TransfereGOV",
ROUND(OFFSET($P142,0,AX$13),15-13*ORÇAMENTO!$AF$7)/$H142*OFFSET(ORÇAMENTO!$X$15,ROW(AX142)-ROW(AX$15),0),
ROUND(ROUND(OFFSET($P142,0,AX$13),15-13*ORÇAMENTO!$AF$7)*OFFSET(ORÇAMENTO!$W$15,ROW(AX142)-ROW(AX$15),0),15-13*ORÇAMENTO!$AF$11)),0)</f>
        <v>0</v>
      </c>
      <c r="AY142" s="545">
        <f ca="1">IF(AND($D142="Serviço",AY$12&lt;&gt;0,$H142&gt;0,OR(AUTOEVENTO&lt;&gt;"manual",$M142&lt;&gt;1)),
IF(Import.TipoArredondamento&lt;&gt;"TransfereGOV",
ROUND(OFFSET($P142,0,AY$13),15-13*ORÇAMENTO!$AF$7)/$H142*OFFSET(ORÇAMENTO!$X$15,ROW(AY142)-ROW(AY$15),0),
ROUND(ROUND(OFFSET($P142,0,AY$13),15-13*ORÇAMENTO!$AF$7)*OFFSET(ORÇAMENTO!$W$15,ROW(AY142)-ROW(AY$15),0),15-13*ORÇAMENTO!$AF$11)),0)</f>
        <v>0</v>
      </c>
      <c r="AZ142" s="545">
        <f ca="1">IF(AND($D142="Serviço",AZ$12&lt;&gt;0,$H142&gt;0,OR(AUTOEVENTO&lt;&gt;"manual",$M142&lt;&gt;1)),
IF(Import.TipoArredondamento&lt;&gt;"TransfereGOV",
ROUND(OFFSET($P142,0,AZ$13),15-13*ORÇAMENTO!$AF$7)/$H142*OFFSET(ORÇAMENTO!$X$15,ROW(AZ142)-ROW(AZ$15),0),
ROUND(ROUND(OFFSET($P142,0,AZ$13),15-13*ORÇAMENTO!$AF$7)*OFFSET(ORÇAMENTO!$W$15,ROW(AZ142)-ROW(AZ$15),0),15-13*ORÇAMENTO!$AF$11)),0)</f>
        <v>0</v>
      </c>
      <c r="BA142" s="546">
        <f ca="1">IF(AND($D142="Serviço",BA$12&lt;&gt;0,$H142&gt;0,OR(AUTOEVENTO&lt;&gt;"manual",$M142&lt;&gt;1)),
IF(Import.TipoArredondamento&lt;&gt;"TransfereGOV",
ROUND(OFFSET($P142,0,BA$13),15-13*ORÇAMENTO!$AF$7)/$H142*OFFSET(ORÇAMENTO!$X$15,ROW(BA142)-ROW(BA$15),0),
ROUND(ROUND(OFFSET($P142,0,BA$13),15-13*ORÇAMENTO!$AF$7)*OFFSET(ORÇAMENTO!$W$15,ROW(BA142)-ROW(BA$15),0),15-13*ORÇAMENTO!$AF$11)),0)</f>
        <v>0</v>
      </c>
      <c r="BC142" s="181">
        <f ca="1">IF($D142&lt;&gt;"Serviço",0,IF(AND(AUTOEVENTO="Manual",$M142=1),0,IF(OFFSET(CRONOPLE!$F$14,$M142,BC$13)="",10^12,OFFSET(CRONOPLE!$F$14,$M142,BC$13))))</f>
        <v>5</v>
      </c>
      <c r="BD142" s="181">
        <f ca="1">IF($D142&lt;&gt;"Serviço",0,IF(AND(AUTOEVENTO="Manual",$M142=1),0,IF(OFFSET(CRONOPLE!$F$14,$M142,BD$13)="",10^12,OFFSET(CRONOPLE!$F$14,$M142,BD$13))))</f>
        <v>1000000000000</v>
      </c>
      <c r="BE142" s="181">
        <f ca="1">IF($D142&lt;&gt;"Serviço",0,IF(AND(AUTOEVENTO="Manual",$M142=1),0,IF(OFFSET(CRONOPLE!$F$14,$M142,BE$13)="",10^12,OFFSET(CRONOPLE!$F$14,$M142,BE$13))))</f>
        <v>1000000000000</v>
      </c>
      <c r="BF142" s="181">
        <f ca="1">IF($D142&lt;&gt;"Serviço",0,IF(AND(AUTOEVENTO="Manual",$M142=1),0,IF(OFFSET(CRONOPLE!$F$14,$M142,BF$13)="",10^12,OFFSET(CRONOPLE!$F$14,$M142,BF$13))))</f>
        <v>1000000000000</v>
      </c>
      <c r="BG142" s="181">
        <f ca="1">IF($D142&lt;&gt;"Serviço",0,IF(AND(AUTOEVENTO="Manual",$M142=1),0,IF(OFFSET(CRONOPLE!$F$14,$M142,BG$13)="",10^12,OFFSET(CRONOPLE!$F$14,$M142,BG$13))))</f>
        <v>1000000000000</v>
      </c>
      <c r="BH142" s="181">
        <f ca="1">IF($D142&lt;&gt;"Serviço",0,IF(AND(AUTOEVENTO="Manual",$M142=1),0,IF(OFFSET(CRONOPLE!$F$14,$M142,BH$13)="",10^12,OFFSET(CRONOPLE!$F$14,$M142,BH$13))))</f>
        <v>1000000000000</v>
      </c>
      <c r="BI142" s="181">
        <f ca="1">IF($D142&lt;&gt;"Serviço",0,IF(AND(AUTOEVENTO="Manual",$M142=1),0,IF(OFFSET(CRONOPLE!$F$14,$M142,BI$13)="",10^12,OFFSET(CRONOPLE!$F$14,$M142,BI$13))))</f>
        <v>1000000000000</v>
      </c>
      <c r="BJ142" s="181">
        <f ca="1">IF($D142&lt;&gt;"Serviço",0,IF(AND(AUTOEVENTO="Manual",$M142=1),0,IF(OFFSET(CRONOPLE!$F$14,$M142,BJ$13)="",10^12,OFFSET(CRONOPLE!$F$14,$M142,BJ$13))))</f>
        <v>1000000000000</v>
      </c>
      <c r="BK142" s="181">
        <f ca="1">IF($D142&lt;&gt;"Serviço",0,IF(AND(AUTOEVENTO="Manual",$M142=1),0,IF(OFFSET(CRONOPLE!$F$14,$M142,BK$13)="",10^12,OFFSET(CRONOPLE!$F$14,$M142,BK$13))))</f>
        <v>1000000000000</v>
      </c>
      <c r="BL142" s="181">
        <f ca="1">IF($D142&lt;&gt;"Serviço",0,IF(AND(AUTOEVENTO="Manual",$M142=1),0,IF(OFFSET(CRONOPLE!$F$14,$M142,BL$13)="",10^12,OFFSET(CRONOPLE!$F$14,$M142,BL$13))))</f>
        <v>1000000000000</v>
      </c>
      <c r="BM142" s="181">
        <f ca="1">IF($D142&lt;&gt;"Serviço",0,IF(AND(AUTOEVENTO="Manual",$M142=1),0,IF(OFFSET(CRONOPLE!$F$14,$M142,BM$13)="",10^12,OFFSET(CRONOPLE!$F$14,$M142,BM$13))))</f>
        <v>1000000000000</v>
      </c>
      <c r="BN142" s="181">
        <f ca="1">IF($D142&lt;&gt;"Serviço",0,IF(AND(AUTOEVENTO="Manual",$M142=1),0,IF(OFFSET(CRONOPLE!$F$14,$M142,BN$13)="",10^12,OFFSET(CRONOPLE!$F$14,$M142,BN$13))))</f>
        <v>1000000000000</v>
      </c>
      <c r="BO142" s="181">
        <f ca="1">IF($D142&lt;&gt;"Serviço",0,IF(AND(AUTOEVENTO="Manual",$M142=1),0,IF(OFFSET(CRONOPLE!$F$14,$M142,BO$13)="",10^12,OFFSET(CRONOPLE!$F$14,$M142,BO$13))))</f>
        <v>1000000000000</v>
      </c>
      <c r="BP142" s="181">
        <f ca="1">IF($D142&lt;&gt;"Serviço",0,IF(AND(AUTOEVENTO="Manual",$M142=1),0,IF(OFFSET(CRONOPLE!$F$14,$M142,BP$13)="",10^12,OFFSET(CRONOPLE!$F$14,$M142,BP$13))))</f>
        <v>1000000000000</v>
      </c>
      <c r="BQ142" s="181">
        <f ca="1">IF($D142&lt;&gt;"Serviço",0,IF(AND(AUTOEVENTO="Manual",$M142=1),0,IF(OFFSET(CRONOPLE!$F$14,$M142,BQ$13)="",10^12,OFFSET(CRONOPLE!$F$14,$M142,BQ$13))))</f>
        <v>1000000000000</v>
      </c>
      <c r="BR142" s="181">
        <f ca="1">IF($D142&lt;&gt;"Serviço",0,IF(AND(AUTOEVENTO="Manual",$M142=1),0,IF(OFFSET(CRONOPLE!$F$14,$M142,BR$13)="",10^12,OFFSET(CRONOPLE!$F$14,$M142,BR$13))))</f>
        <v>1000000000000</v>
      </c>
      <c r="BS142" s="181">
        <f ca="1">IF($D142&lt;&gt;"Serviço",0,IF(AND(AUTOEVENTO="Manual",$M142=1),0,IF(OFFSET(CRONOPLE!$F$14,$M142,BS$13)="",10^12,OFFSET(CRONOPLE!$F$14,$M142,BS$13))))</f>
        <v>1000000000000</v>
      </c>
      <c r="BT142" s="181">
        <f ca="1">IF($D142&lt;&gt;"Serviço",0,IF(AND(AUTOEVENTO="Manual",$M142=1),0,IF(OFFSET(CRONOPLE!$F$14,$M142,BT$13)="",10^12,OFFSET(CRONOPLE!$F$14,$M142,BT$13))))</f>
        <v>1000000000000</v>
      </c>
      <c r="BV142" s="182">
        <f ca="1">IF($D142&lt;&gt;"Serviço",0,IF(OR(AND(AUTOEVENTO="Manual",$M142=1),$M142&gt;(ROW(PLE.lastrow)-ROW(PLE.firstrow))),0,IF(OFFSET(PLE!$G$14,$M142,BV$13)="",10^12,OFFSET(PLE!$G$14,$M142,BV$13))))</f>
        <v>1000000000000</v>
      </c>
      <c r="BW142" s="182">
        <f ca="1">IF($D142&lt;&gt;"Serviço",0,IF(OR(AND(AUTOEVENTO="Manual",$M142=1),$M142&gt;(ROW(PLE.lastrow)-ROW(PLE.firstrow))),0,IF(OFFSET(PLE!$G$14,$M142,BW$13)="",10^12,OFFSET(PLE!$G$14,$M142,BW$13))))</f>
        <v>1000000000000</v>
      </c>
      <c r="BX142" s="182">
        <f ca="1">IF($D142&lt;&gt;"Serviço",0,IF(OR(AND(AUTOEVENTO="Manual",$M142=1),$M142&gt;(ROW(PLE.lastrow)-ROW(PLE.firstrow))),0,IF(OFFSET(PLE!$G$14,$M142,BX$13)="",10^12,OFFSET(PLE!$G$14,$M142,BX$13))))</f>
        <v>1000000000000</v>
      </c>
      <c r="BY142" s="182">
        <f ca="1">IF($D142&lt;&gt;"Serviço",0,IF(OR(AND(AUTOEVENTO="Manual",$M142=1),$M142&gt;(ROW(PLE.lastrow)-ROW(PLE.firstrow))),0,IF(OFFSET(PLE!$G$14,$M142,BY$13)="",10^12,OFFSET(PLE!$G$14,$M142,BY$13))))</f>
        <v>1000000000000</v>
      </c>
      <c r="BZ142" s="182">
        <f ca="1">IF($D142&lt;&gt;"Serviço",0,IF(OR(AND(AUTOEVENTO="Manual",$M142=1),$M142&gt;(ROW(PLE.lastrow)-ROW(PLE.firstrow))),0,IF(OFFSET(PLE!$G$14,$M142,BZ$13)="",10^12,OFFSET(PLE!$G$14,$M142,BZ$13))))</f>
        <v>1000000000000</v>
      </c>
      <c r="CA142" s="182">
        <f ca="1">IF($D142&lt;&gt;"Serviço",0,IF(OR(AND(AUTOEVENTO="Manual",$M142=1),$M142&gt;(ROW(PLE.lastrow)-ROW(PLE.firstrow))),0,IF(OFFSET(PLE!$G$14,$M142,CA$13)="",10^12,OFFSET(PLE!$G$14,$M142,CA$13))))</f>
        <v>1000000000000</v>
      </c>
      <c r="CB142" s="182">
        <f ca="1">IF($D142&lt;&gt;"Serviço",0,IF(OR(AND(AUTOEVENTO="Manual",$M142=1),$M142&gt;(ROW(PLE.lastrow)-ROW(PLE.firstrow))),0,IF(OFFSET(PLE!$G$14,$M142,CB$13)="",10^12,OFFSET(PLE!$G$14,$M142,CB$13))))</f>
        <v>1000000000000</v>
      </c>
      <c r="CC142" s="182">
        <f ca="1">IF($D142&lt;&gt;"Serviço",0,IF(OR(AND(AUTOEVENTO="Manual",$M142=1),$M142&gt;(ROW(PLE.lastrow)-ROW(PLE.firstrow))),0,IF(OFFSET(PLE!$G$14,$M142,CC$13)="",10^12,OFFSET(PLE!$G$14,$M142,CC$13))))</f>
        <v>1000000000000</v>
      </c>
      <c r="CD142" s="182">
        <f ca="1">IF($D142&lt;&gt;"Serviço",0,IF(OR(AND(AUTOEVENTO="Manual",$M142=1),$M142&gt;(ROW(PLE.lastrow)-ROW(PLE.firstrow))),0,IF(OFFSET(PLE!$G$14,$M142,CD$13)="",10^12,OFFSET(PLE!$G$14,$M142,CD$13))))</f>
        <v>1000000000000</v>
      </c>
      <c r="CE142" s="182">
        <f ca="1">IF($D142&lt;&gt;"Serviço",0,IF(OR(AND(AUTOEVENTO="Manual",$M142=1),$M142&gt;(ROW(PLE.lastrow)-ROW(PLE.firstrow))),0,IF(OFFSET(PLE!$G$14,$M142,CE$13)="",10^12,OFFSET(PLE!$G$14,$M142,CE$13))))</f>
        <v>1000000000000</v>
      </c>
      <c r="CF142" s="182">
        <f ca="1">IF($D142&lt;&gt;"Serviço",0,IF(OR(AND(AUTOEVENTO="Manual",$M142=1),$M142&gt;(ROW(PLE.lastrow)-ROW(PLE.firstrow))),0,IF(OFFSET(PLE!$G$14,$M142,CF$13)="",10^12,OFFSET(PLE!$G$14,$M142,CF$13))))</f>
        <v>1000000000000</v>
      </c>
      <c r="CG142" s="182">
        <f ca="1">IF($D142&lt;&gt;"Serviço",0,IF(OR(AND(AUTOEVENTO="Manual",$M142=1),$M142&gt;(ROW(PLE.lastrow)-ROW(PLE.firstrow))),0,IF(OFFSET(PLE!$G$14,$M142,CG$13)="",10^12,OFFSET(PLE!$G$14,$M142,CG$13))))</f>
        <v>1000000000000</v>
      </c>
      <c r="CH142" s="182">
        <f ca="1">IF($D142&lt;&gt;"Serviço",0,IF(OR(AND(AUTOEVENTO="Manual",$M142=1),$M142&gt;(ROW(PLE.lastrow)-ROW(PLE.firstrow))),0,IF(OFFSET(PLE!$G$14,$M142,CH$13)="",10^12,OFFSET(PLE!$G$14,$M142,CH$13))))</f>
        <v>1000000000000</v>
      </c>
      <c r="CI142" s="182">
        <f ca="1">IF($D142&lt;&gt;"Serviço",0,IF(OR(AND(AUTOEVENTO="Manual",$M142=1),$M142&gt;(ROW(PLE.lastrow)-ROW(PLE.firstrow))),0,IF(OFFSET(PLE!$G$14,$M142,CI$13)="",10^12,OFFSET(PLE!$G$14,$M142,CI$13))))</f>
        <v>1000000000000</v>
      </c>
      <c r="CJ142" s="182">
        <f ca="1">IF($D142&lt;&gt;"Serviço",0,IF(OR(AND(AUTOEVENTO="Manual",$M142=1),$M142&gt;(ROW(PLE.lastrow)-ROW(PLE.firstrow))),0,IF(OFFSET(PLE!$G$14,$M142,CJ$13)="",10^12,OFFSET(PLE!$G$14,$M142,CJ$13))))</f>
        <v>1000000000000</v>
      </c>
      <c r="CK142" s="182">
        <f ca="1">IF($D142&lt;&gt;"Serviço",0,IF(OR(AND(AUTOEVENTO="Manual",$M142=1),$M142&gt;(ROW(PLE.lastrow)-ROW(PLE.firstrow))),0,IF(OFFSET(PLE!$G$14,$M142,CK$13)="",10^12,OFFSET(PLE!$G$14,$M142,CK$13))))</f>
        <v>1000000000000</v>
      </c>
      <c r="CL142" s="182">
        <f ca="1">IF($D142&lt;&gt;"Serviço",0,IF(OR(AND(AUTOEVENTO="Manual",$M142=1),$M142&gt;(ROW(PLE.lastrow)-ROW(PLE.firstrow))),0,IF(OFFSET(PLE!$G$14,$M142,CL$13)="",10^12,OFFSET(PLE!$G$14,$M142,CL$13))))</f>
        <v>1000000000000</v>
      </c>
      <c r="CM142" s="182">
        <f ca="1">IF($D142&lt;&gt;"Serviço",0,IF(OR(AND(AUTOEVENTO="Manual",$M142=1),$M142&gt;(ROW(PLE.lastrow)-ROW(PLE.firstrow))),0,IF(OFFSET(PLE!$G$14,$M142,CM$13)="",10^12,OFFSET(PLE!$G$14,$M142,CM$13))))</f>
        <v>1000000000000</v>
      </c>
    </row>
    <row r="143" spans="1:91" ht="38.25" x14ac:dyDescent="0.2">
      <c r="A143" s="7" t="str">
        <f t="shared" ca="1" si="11"/>
        <v>119</v>
      </c>
      <c r="B143" s="7" t="str">
        <f ca="1">OFFSET(ORÇAMENTO!C$15,ROW(B143)-ROW(B$15),0)</f>
        <v>S</v>
      </c>
      <c r="C143" s="7" t="str">
        <f ca="1">OFFSET(ORÇAMENTO!L$15,ROW(C143)-ROW(C$15),0)</f>
        <v/>
      </c>
      <c r="D143" s="118" t="str">
        <f ca="1">OFFSET(ORÇAMENTO!N$15,ROW(D143)-ROW(D$15),0)</f>
        <v>Serviço</v>
      </c>
      <c r="E143" s="119" t="str">
        <f ca="1">OFFSET(ORÇAMENTO!O$15,ROW(E143)-ROW(E$15),0)</f>
        <v>-</v>
      </c>
      <c r="F143" s="172" t="str">
        <f ca="1">OFFSET(ORÇAMENTO!R$15,ROW(F143)-ROW(F$15),0)</f>
        <v>(abra o arquivo 'Referência 06-2024.xlsm)</v>
      </c>
      <c r="G143" s="173" t="str">
        <f ca="1">IF($D143&lt;&gt;"Serviço","",OFFSET(ORÇAMENTO!S$15,ROW(G143)-ROW(G$15),0))</f>
        <v>-</v>
      </c>
      <c r="H143" s="124">
        <f ca="1">IF($D143&lt;&gt;"Serviço",0,IF(ACOMPANHAMENTO="BM",ROUND(OFFSET(ORÇAMENTO!AJ$15,ROW(H143)-ROW(H$15),0),15-13*ORÇAMENTO!$AF$7),SUMPRODUCT(($Q$12:$AI$12&lt;&gt;"")*ROUND($Q143:$AI143,15-13*ORÇAMENTO!$AF$7))))</f>
        <v>18.899999999999999</v>
      </c>
      <c r="I143" s="561" t="s">
        <v>1107</v>
      </c>
      <c r="K143" s="174"/>
      <c r="L143" s="175" t="s">
        <v>255</v>
      </c>
      <c r="M143" s="176">
        <f ca="1">IF($D143&lt;&gt;"Serviço","",IF(AUTOEVENTO="manual",$A143,IF(ISERROR(MATCH($A143,$A$15:OFFSET($A143,-1,0),0)),MAX($M$15:OFFSET(M143,-1,0))+1,INDEX($M$15:OFFSET(M143,-1,0),MATCH($A143,$A$15:OFFSET($A143,-1,0),0)))))</f>
        <v>22</v>
      </c>
      <c r="N143" s="177" t="str">
        <f ca="1">IF($D143&lt;&gt;"Serviço","",IF(AUTOEVENTO="Manual",IF($A143=0,"&lt;-- defina o número do agrupador",OFFSET(EVENTOS!$D$14,$A143,0)),OFFSET($F$15,$A143,0)))</f>
        <v>ESQUADRIAS - JANELAS EM ALUMÍNIO</v>
      </c>
      <c r="O143" s="178"/>
      <c r="Q143" s="178">
        <v>18.899999999999999</v>
      </c>
      <c r="R143" s="179"/>
      <c r="S143" s="179"/>
      <c r="T143" s="179"/>
      <c r="U143" s="179"/>
      <c r="V143" s="179"/>
      <c r="W143" s="179"/>
      <c r="X143" s="179"/>
      <c r="Y143" s="179"/>
      <c r="Z143" s="180"/>
      <c r="AA143" s="179"/>
      <c r="AB143" s="179"/>
      <c r="AC143" s="179"/>
      <c r="AD143" s="179"/>
      <c r="AE143" s="179"/>
      <c r="AF143" s="179"/>
      <c r="AG143" s="179"/>
      <c r="AH143" s="180"/>
      <c r="AJ143" s="544">
        <f ca="1">IF(AND($D143="Serviço",AJ$12&lt;&gt;0,$H143&gt;0,OR(AUTOEVENTO&lt;&gt;"manual",$M143&lt;&gt;1)),
IF(Import.TipoArredondamento&lt;&gt;"TransfereGOV",
ROUND(OFFSET($P143,0,AJ$13),15-13*ORÇAMENTO!$AF$7)/$H143*OFFSET(ORÇAMENTO!$X$15,ROW(AJ143)-ROW(AJ$15),0),
ROUND(ROUND(OFFSET($P143,0,AJ$13),15-13*ORÇAMENTO!$AF$7)*OFFSET(ORÇAMENTO!$W$15,ROW(AJ143)-ROW(AJ$15),0),15-13*ORÇAMENTO!$AF$11)),0)</f>
        <v>0</v>
      </c>
      <c r="AK143" s="545">
        <f ca="1">IF(AND($D143="Serviço",AK$12&lt;&gt;0,$H143&gt;0,OR(AUTOEVENTO&lt;&gt;"manual",$M143&lt;&gt;1)),
IF(Import.TipoArredondamento&lt;&gt;"TransfereGOV",
ROUND(OFFSET($P143,0,AK$13),15-13*ORÇAMENTO!$AF$7)/$H143*OFFSET(ORÇAMENTO!$X$15,ROW(AK143)-ROW(AK$15),0),
ROUND(ROUND(OFFSET($P143,0,AK$13),15-13*ORÇAMENTO!$AF$7)*OFFSET(ORÇAMENTO!$W$15,ROW(AK143)-ROW(AK$15),0),15-13*ORÇAMENTO!$AF$11)),0)</f>
        <v>0</v>
      </c>
      <c r="AL143" s="545">
        <f ca="1">IF(AND($D143="Serviço",AL$12&lt;&gt;0,$H143&gt;0,OR(AUTOEVENTO&lt;&gt;"manual",$M143&lt;&gt;1)),
IF(Import.TipoArredondamento&lt;&gt;"TransfereGOV",
ROUND(OFFSET($P143,0,AL$13),15-13*ORÇAMENTO!$AF$7)/$H143*OFFSET(ORÇAMENTO!$X$15,ROW(AL143)-ROW(AL$15),0),
ROUND(ROUND(OFFSET($P143,0,AL$13),15-13*ORÇAMENTO!$AF$7)*OFFSET(ORÇAMENTO!$W$15,ROW(AL143)-ROW(AL$15),0),15-13*ORÇAMENTO!$AF$11)),0)</f>
        <v>0</v>
      </c>
      <c r="AM143" s="545">
        <f ca="1">IF(AND($D143="Serviço",AM$12&lt;&gt;0,$H143&gt;0,OR(AUTOEVENTO&lt;&gt;"manual",$M143&lt;&gt;1)),
IF(Import.TipoArredondamento&lt;&gt;"TransfereGOV",
ROUND(OFFSET($P143,0,AM$13),15-13*ORÇAMENTO!$AF$7)/$H143*OFFSET(ORÇAMENTO!$X$15,ROW(AM143)-ROW(AM$15),0),
ROUND(ROUND(OFFSET($P143,0,AM$13),15-13*ORÇAMENTO!$AF$7)*OFFSET(ORÇAMENTO!$W$15,ROW(AM143)-ROW(AM$15),0),15-13*ORÇAMENTO!$AF$11)),0)</f>
        <v>0</v>
      </c>
      <c r="AN143" s="545">
        <f ca="1">IF(AND($D143="Serviço",AN$12&lt;&gt;0,$H143&gt;0,OR(AUTOEVENTO&lt;&gt;"manual",$M143&lt;&gt;1)),
IF(Import.TipoArredondamento&lt;&gt;"TransfereGOV",
ROUND(OFFSET($P143,0,AN$13),15-13*ORÇAMENTO!$AF$7)/$H143*OFFSET(ORÇAMENTO!$X$15,ROW(AN143)-ROW(AN$15),0),
ROUND(ROUND(OFFSET($P143,0,AN$13),15-13*ORÇAMENTO!$AF$7)*OFFSET(ORÇAMENTO!$W$15,ROW(AN143)-ROW(AN$15),0),15-13*ORÇAMENTO!$AF$11)),0)</f>
        <v>0</v>
      </c>
      <c r="AO143" s="545">
        <f ca="1">IF(AND($D143="Serviço",AO$12&lt;&gt;0,$H143&gt;0,OR(AUTOEVENTO&lt;&gt;"manual",$M143&lt;&gt;1)),
IF(Import.TipoArredondamento&lt;&gt;"TransfereGOV",
ROUND(OFFSET($P143,0,AO$13),15-13*ORÇAMENTO!$AF$7)/$H143*OFFSET(ORÇAMENTO!$X$15,ROW(AO143)-ROW(AO$15),0),
ROUND(ROUND(OFFSET($P143,0,AO$13),15-13*ORÇAMENTO!$AF$7)*OFFSET(ORÇAMENTO!$W$15,ROW(AO143)-ROW(AO$15),0),15-13*ORÇAMENTO!$AF$11)),0)</f>
        <v>0</v>
      </c>
      <c r="AP143" s="545">
        <f ca="1">IF(AND($D143="Serviço",AP$12&lt;&gt;0,$H143&gt;0,OR(AUTOEVENTO&lt;&gt;"manual",$M143&lt;&gt;1)),
IF(Import.TipoArredondamento&lt;&gt;"TransfereGOV",
ROUND(OFFSET($P143,0,AP$13),15-13*ORÇAMENTO!$AF$7)/$H143*OFFSET(ORÇAMENTO!$X$15,ROW(AP143)-ROW(AP$15),0),
ROUND(ROUND(OFFSET($P143,0,AP$13),15-13*ORÇAMENTO!$AF$7)*OFFSET(ORÇAMENTO!$W$15,ROW(AP143)-ROW(AP$15),0),15-13*ORÇAMENTO!$AF$11)),0)</f>
        <v>0</v>
      </c>
      <c r="AQ143" s="545">
        <f ca="1">IF(AND($D143="Serviço",AQ$12&lt;&gt;0,$H143&gt;0,OR(AUTOEVENTO&lt;&gt;"manual",$M143&lt;&gt;1)),
IF(Import.TipoArredondamento&lt;&gt;"TransfereGOV",
ROUND(OFFSET($P143,0,AQ$13),15-13*ORÇAMENTO!$AF$7)/$H143*OFFSET(ORÇAMENTO!$X$15,ROW(AQ143)-ROW(AQ$15),0),
ROUND(ROUND(OFFSET($P143,0,AQ$13),15-13*ORÇAMENTO!$AF$7)*OFFSET(ORÇAMENTO!$W$15,ROW(AQ143)-ROW(AQ$15),0),15-13*ORÇAMENTO!$AF$11)),0)</f>
        <v>0</v>
      </c>
      <c r="AR143" s="545">
        <f ca="1">IF(AND($D143="Serviço",AR$12&lt;&gt;0,$H143&gt;0,OR(AUTOEVENTO&lt;&gt;"manual",$M143&lt;&gt;1)),
IF(Import.TipoArredondamento&lt;&gt;"TransfereGOV",
ROUND(OFFSET($P143,0,AR$13),15-13*ORÇAMENTO!$AF$7)/$H143*OFFSET(ORÇAMENTO!$X$15,ROW(AR143)-ROW(AR$15),0),
ROUND(ROUND(OFFSET($P143,0,AR$13),15-13*ORÇAMENTO!$AF$7)*OFFSET(ORÇAMENTO!$W$15,ROW(AR143)-ROW(AR$15),0),15-13*ORÇAMENTO!$AF$11)),0)</f>
        <v>0</v>
      </c>
      <c r="AS143" s="546">
        <f ca="1">IF(AND($D143="Serviço",AS$12&lt;&gt;0,$H143&gt;0,OR(AUTOEVENTO&lt;&gt;"manual",$M143&lt;&gt;1)),
IF(Import.TipoArredondamento&lt;&gt;"TransfereGOV",
ROUND(OFFSET($P143,0,AS$13),15-13*ORÇAMENTO!$AF$7)/$H143*OFFSET(ORÇAMENTO!$X$15,ROW(AS143)-ROW(AS$15),0),
ROUND(ROUND(OFFSET($P143,0,AS$13),15-13*ORÇAMENTO!$AF$7)*OFFSET(ORÇAMENTO!$W$15,ROW(AS143)-ROW(AS$15),0),15-13*ORÇAMENTO!$AF$11)),0)</f>
        <v>0</v>
      </c>
      <c r="AT143" s="545">
        <f ca="1">IF(AND($D143="Serviço",AT$12&lt;&gt;0,$H143&gt;0,OR(AUTOEVENTO&lt;&gt;"manual",$M143&lt;&gt;1)),
IF(Import.TipoArredondamento&lt;&gt;"TransfereGOV",
ROUND(OFFSET($P143,0,AT$13),15-13*ORÇAMENTO!$AF$7)/$H143*OFFSET(ORÇAMENTO!$X$15,ROW(AT143)-ROW(AT$15),0),
ROUND(ROUND(OFFSET($P143,0,AT$13),15-13*ORÇAMENTO!$AF$7)*OFFSET(ORÇAMENTO!$W$15,ROW(AT143)-ROW(AT$15),0),15-13*ORÇAMENTO!$AF$11)),0)</f>
        <v>0</v>
      </c>
      <c r="AU143" s="545">
        <f ca="1">IF(AND($D143="Serviço",AU$12&lt;&gt;0,$H143&gt;0,OR(AUTOEVENTO&lt;&gt;"manual",$M143&lt;&gt;1)),
IF(Import.TipoArredondamento&lt;&gt;"TransfereGOV",
ROUND(OFFSET($P143,0,AU$13),15-13*ORÇAMENTO!$AF$7)/$H143*OFFSET(ORÇAMENTO!$X$15,ROW(AU143)-ROW(AU$15),0),
ROUND(ROUND(OFFSET($P143,0,AU$13),15-13*ORÇAMENTO!$AF$7)*OFFSET(ORÇAMENTO!$W$15,ROW(AU143)-ROW(AU$15),0),15-13*ORÇAMENTO!$AF$11)),0)</f>
        <v>0</v>
      </c>
      <c r="AV143" s="545">
        <f ca="1">IF(AND($D143="Serviço",AV$12&lt;&gt;0,$H143&gt;0,OR(AUTOEVENTO&lt;&gt;"manual",$M143&lt;&gt;1)),
IF(Import.TipoArredondamento&lt;&gt;"TransfereGOV",
ROUND(OFFSET($P143,0,AV$13),15-13*ORÇAMENTO!$AF$7)/$H143*OFFSET(ORÇAMENTO!$X$15,ROW(AV143)-ROW(AV$15),0),
ROUND(ROUND(OFFSET($P143,0,AV$13),15-13*ORÇAMENTO!$AF$7)*OFFSET(ORÇAMENTO!$W$15,ROW(AV143)-ROW(AV$15),0),15-13*ORÇAMENTO!$AF$11)),0)</f>
        <v>0</v>
      </c>
      <c r="AW143" s="545">
        <f ca="1">IF(AND($D143="Serviço",AW$12&lt;&gt;0,$H143&gt;0,OR(AUTOEVENTO&lt;&gt;"manual",$M143&lt;&gt;1)),
IF(Import.TipoArredondamento&lt;&gt;"TransfereGOV",
ROUND(OFFSET($P143,0,AW$13),15-13*ORÇAMENTO!$AF$7)/$H143*OFFSET(ORÇAMENTO!$X$15,ROW(AW143)-ROW(AW$15),0),
ROUND(ROUND(OFFSET($P143,0,AW$13),15-13*ORÇAMENTO!$AF$7)*OFFSET(ORÇAMENTO!$W$15,ROW(AW143)-ROW(AW$15),0),15-13*ORÇAMENTO!$AF$11)),0)</f>
        <v>0</v>
      </c>
      <c r="AX143" s="545">
        <f ca="1">IF(AND($D143="Serviço",AX$12&lt;&gt;0,$H143&gt;0,OR(AUTOEVENTO&lt;&gt;"manual",$M143&lt;&gt;1)),
IF(Import.TipoArredondamento&lt;&gt;"TransfereGOV",
ROUND(OFFSET($P143,0,AX$13),15-13*ORÇAMENTO!$AF$7)/$H143*OFFSET(ORÇAMENTO!$X$15,ROW(AX143)-ROW(AX$15),0),
ROUND(ROUND(OFFSET($P143,0,AX$13),15-13*ORÇAMENTO!$AF$7)*OFFSET(ORÇAMENTO!$W$15,ROW(AX143)-ROW(AX$15),0),15-13*ORÇAMENTO!$AF$11)),0)</f>
        <v>0</v>
      </c>
      <c r="AY143" s="545">
        <f ca="1">IF(AND($D143="Serviço",AY$12&lt;&gt;0,$H143&gt;0,OR(AUTOEVENTO&lt;&gt;"manual",$M143&lt;&gt;1)),
IF(Import.TipoArredondamento&lt;&gt;"TransfereGOV",
ROUND(OFFSET($P143,0,AY$13),15-13*ORÇAMENTO!$AF$7)/$H143*OFFSET(ORÇAMENTO!$X$15,ROW(AY143)-ROW(AY$15),0),
ROUND(ROUND(OFFSET($P143,0,AY$13),15-13*ORÇAMENTO!$AF$7)*OFFSET(ORÇAMENTO!$W$15,ROW(AY143)-ROW(AY$15),0),15-13*ORÇAMENTO!$AF$11)),0)</f>
        <v>0</v>
      </c>
      <c r="AZ143" s="545">
        <f ca="1">IF(AND($D143="Serviço",AZ$12&lt;&gt;0,$H143&gt;0,OR(AUTOEVENTO&lt;&gt;"manual",$M143&lt;&gt;1)),
IF(Import.TipoArredondamento&lt;&gt;"TransfereGOV",
ROUND(OFFSET($P143,0,AZ$13),15-13*ORÇAMENTO!$AF$7)/$H143*OFFSET(ORÇAMENTO!$X$15,ROW(AZ143)-ROW(AZ$15),0),
ROUND(ROUND(OFFSET($P143,0,AZ$13),15-13*ORÇAMENTO!$AF$7)*OFFSET(ORÇAMENTO!$W$15,ROW(AZ143)-ROW(AZ$15),0),15-13*ORÇAMENTO!$AF$11)),0)</f>
        <v>0</v>
      </c>
      <c r="BA143" s="546">
        <f ca="1">IF(AND($D143="Serviço",BA$12&lt;&gt;0,$H143&gt;0,OR(AUTOEVENTO&lt;&gt;"manual",$M143&lt;&gt;1)),
IF(Import.TipoArredondamento&lt;&gt;"TransfereGOV",
ROUND(OFFSET($P143,0,BA$13),15-13*ORÇAMENTO!$AF$7)/$H143*OFFSET(ORÇAMENTO!$X$15,ROW(BA143)-ROW(BA$15),0),
ROUND(ROUND(OFFSET($P143,0,BA$13),15-13*ORÇAMENTO!$AF$7)*OFFSET(ORÇAMENTO!$W$15,ROW(BA143)-ROW(BA$15),0),15-13*ORÇAMENTO!$AF$11)),0)</f>
        <v>0</v>
      </c>
      <c r="BC143" s="181">
        <f ca="1">IF($D143&lt;&gt;"Serviço",0,IF(AND(AUTOEVENTO="Manual",$M143=1),0,IF(OFFSET(CRONOPLE!$F$14,$M143,BC$13)="",10^12,OFFSET(CRONOPLE!$F$14,$M143,BC$13))))</f>
        <v>5</v>
      </c>
      <c r="BD143" s="181">
        <f ca="1">IF($D143&lt;&gt;"Serviço",0,IF(AND(AUTOEVENTO="Manual",$M143=1),0,IF(OFFSET(CRONOPLE!$F$14,$M143,BD$13)="",10^12,OFFSET(CRONOPLE!$F$14,$M143,BD$13))))</f>
        <v>1000000000000</v>
      </c>
      <c r="BE143" s="181">
        <f ca="1">IF($D143&lt;&gt;"Serviço",0,IF(AND(AUTOEVENTO="Manual",$M143=1),0,IF(OFFSET(CRONOPLE!$F$14,$M143,BE$13)="",10^12,OFFSET(CRONOPLE!$F$14,$M143,BE$13))))</f>
        <v>1000000000000</v>
      </c>
      <c r="BF143" s="181">
        <f ca="1">IF($D143&lt;&gt;"Serviço",0,IF(AND(AUTOEVENTO="Manual",$M143=1),0,IF(OFFSET(CRONOPLE!$F$14,$M143,BF$13)="",10^12,OFFSET(CRONOPLE!$F$14,$M143,BF$13))))</f>
        <v>1000000000000</v>
      </c>
      <c r="BG143" s="181">
        <f ca="1">IF($D143&lt;&gt;"Serviço",0,IF(AND(AUTOEVENTO="Manual",$M143=1),0,IF(OFFSET(CRONOPLE!$F$14,$M143,BG$13)="",10^12,OFFSET(CRONOPLE!$F$14,$M143,BG$13))))</f>
        <v>1000000000000</v>
      </c>
      <c r="BH143" s="181">
        <f ca="1">IF($D143&lt;&gt;"Serviço",0,IF(AND(AUTOEVENTO="Manual",$M143=1),0,IF(OFFSET(CRONOPLE!$F$14,$M143,BH$13)="",10^12,OFFSET(CRONOPLE!$F$14,$M143,BH$13))))</f>
        <v>1000000000000</v>
      </c>
      <c r="BI143" s="181">
        <f ca="1">IF($D143&lt;&gt;"Serviço",0,IF(AND(AUTOEVENTO="Manual",$M143=1),0,IF(OFFSET(CRONOPLE!$F$14,$M143,BI$13)="",10^12,OFFSET(CRONOPLE!$F$14,$M143,BI$13))))</f>
        <v>1000000000000</v>
      </c>
      <c r="BJ143" s="181">
        <f ca="1">IF($D143&lt;&gt;"Serviço",0,IF(AND(AUTOEVENTO="Manual",$M143=1),0,IF(OFFSET(CRONOPLE!$F$14,$M143,BJ$13)="",10^12,OFFSET(CRONOPLE!$F$14,$M143,BJ$13))))</f>
        <v>1000000000000</v>
      </c>
      <c r="BK143" s="181">
        <f ca="1">IF($D143&lt;&gt;"Serviço",0,IF(AND(AUTOEVENTO="Manual",$M143=1),0,IF(OFFSET(CRONOPLE!$F$14,$M143,BK$13)="",10^12,OFFSET(CRONOPLE!$F$14,$M143,BK$13))))</f>
        <v>1000000000000</v>
      </c>
      <c r="BL143" s="181">
        <f ca="1">IF($D143&lt;&gt;"Serviço",0,IF(AND(AUTOEVENTO="Manual",$M143=1),0,IF(OFFSET(CRONOPLE!$F$14,$M143,BL$13)="",10^12,OFFSET(CRONOPLE!$F$14,$M143,BL$13))))</f>
        <v>1000000000000</v>
      </c>
      <c r="BM143" s="181">
        <f ca="1">IF($D143&lt;&gt;"Serviço",0,IF(AND(AUTOEVENTO="Manual",$M143=1),0,IF(OFFSET(CRONOPLE!$F$14,$M143,BM$13)="",10^12,OFFSET(CRONOPLE!$F$14,$M143,BM$13))))</f>
        <v>1000000000000</v>
      </c>
      <c r="BN143" s="181">
        <f ca="1">IF($D143&lt;&gt;"Serviço",0,IF(AND(AUTOEVENTO="Manual",$M143=1),0,IF(OFFSET(CRONOPLE!$F$14,$M143,BN$13)="",10^12,OFFSET(CRONOPLE!$F$14,$M143,BN$13))))</f>
        <v>1000000000000</v>
      </c>
      <c r="BO143" s="181">
        <f ca="1">IF($D143&lt;&gt;"Serviço",0,IF(AND(AUTOEVENTO="Manual",$M143=1),0,IF(OFFSET(CRONOPLE!$F$14,$M143,BO$13)="",10^12,OFFSET(CRONOPLE!$F$14,$M143,BO$13))))</f>
        <v>1000000000000</v>
      </c>
      <c r="BP143" s="181">
        <f ca="1">IF($D143&lt;&gt;"Serviço",0,IF(AND(AUTOEVENTO="Manual",$M143=1),0,IF(OFFSET(CRONOPLE!$F$14,$M143,BP$13)="",10^12,OFFSET(CRONOPLE!$F$14,$M143,BP$13))))</f>
        <v>1000000000000</v>
      </c>
      <c r="BQ143" s="181">
        <f ca="1">IF($D143&lt;&gt;"Serviço",0,IF(AND(AUTOEVENTO="Manual",$M143=1),0,IF(OFFSET(CRONOPLE!$F$14,$M143,BQ$13)="",10^12,OFFSET(CRONOPLE!$F$14,$M143,BQ$13))))</f>
        <v>1000000000000</v>
      </c>
      <c r="BR143" s="181">
        <f ca="1">IF($D143&lt;&gt;"Serviço",0,IF(AND(AUTOEVENTO="Manual",$M143=1),0,IF(OFFSET(CRONOPLE!$F$14,$M143,BR$13)="",10^12,OFFSET(CRONOPLE!$F$14,$M143,BR$13))))</f>
        <v>1000000000000</v>
      </c>
      <c r="BS143" s="181">
        <f ca="1">IF($D143&lt;&gt;"Serviço",0,IF(AND(AUTOEVENTO="Manual",$M143=1),0,IF(OFFSET(CRONOPLE!$F$14,$M143,BS$13)="",10^12,OFFSET(CRONOPLE!$F$14,$M143,BS$13))))</f>
        <v>1000000000000</v>
      </c>
      <c r="BT143" s="181">
        <f ca="1">IF($D143&lt;&gt;"Serviço",0,IF(AND(AUTOEVENTO="Manual",$M143=1),0,IF(OFFSET(CRONOPLE!$F$14,$M143,BT$13)="",10^12,OFFSET(CRONOPLE!$F$14,$M143,BT$13))))</f>
        <v>1000000000000</v>
      </c>
      <c r="BV143" s="182">
        <f ca="1">IF($D143&lt;&gt;"Serviço",0,IF(OR(AND(AUTOEVENTO="Manual",$M143=1),$M143&gt;(ROW(PLE.lastrow)-ROW(PLE.firstrow))),0,IF(OFFSET(PLE!$G$14,$M143,BV$13)="",10^12,OFFSET(PLE!$G$14,$M143,BV$13))))</f>
        <v>1000000000000</v>
      </c>
      <c r="BW143" s="182">
        <f ca="1">IF($D143&lt;&gt;"Serviço",0,IF(OR(AND(AUTOEVENTO="Manual",$M143=1),$M143&gt;(ROW(PLE.lastrow)-ROW(PLE.firstrow))),0,IF(OFFSET(PLE!$G$14,$M143,BW$13)="",10^12,OFFSET(PLE!$G$14,$M143,BW$13))))</f>
        <v>1000000000000</v>
      </c>
      <c r="BX143" s="182">
        <f ca="1">IF($D143&lt;&gt;"Serviço",0,IF(OR(AND(AUTOEVENTO="Manual",$M143=1),$M143&gt;(ROW(PLE.lastrow)-ROW(PLE.firstrow))),0,IF(OFFSET(PLE!$G$14,$M143,BX$13)="",10^12,OFFSET(PLE!$G$14,$M143,BX$13))))</f>
        <v>1000000000000</v>
      </c>
      <c r="BY143" s="182">
        <f ca="1">IF($D143&lt;&gt;"Serviço",0,IF(OR(AND(AUTOEVENTO="Manual",$M143=1),$M143&gt;(ROW(PLE.lastrow)-ROW(PLE.firstrow))),0,IF(OFFSET(PLE!$G$14,$M143,BY$13)="",10^12,OFFSET(PLE!$G$14,$M143,BY$13))))</f>
        <v>1000000000000</v>
      </c>
      <c r="BZ143" s="182">
        <f ca="1">IF($D143&lt;&gt;"Serviço",0,IF(OR(AND(AUTOEVENTO="Manual",$M143=1),$M143&gt;(ROW(PLE.lastrow)-ROW(PLE.firstrow))),0,IF(OFFSET(PLE!$G$14,$M143,BZ$13)="",10^12,OFFSET(PLE!$G$14,$M143,BZ$13))))</f>
        <v>1000000000000</v>
      </c>
      <c r="CA143" s="182">
        <f ca="1">IF($D143&lt;&gt;"Serviço",0,IF(OR(AND(AUTOEVENTO="Manual",$M143=1),$M143&gt;(ROW(PLE.lastrow)-ROW(PLE.firstrow))),0,IF(OFFSET(PLE!$G$14,$M143,CA$13)="",10^12,OFFSET(PLE!$G$14,$M143,CA$13))))</f>
        <v>1000000000000</v>
      </c>
      <c r="CB143" s="182">
        <f ca="1">IF($D143&lt;&gt;"Serviço",0,IF(OR(AND(AUTOEVENTO="Manual",$M143=1),$M143&gt;(ROW(PLE.lastrow)-ROW(PLE.firstrow))),0,IF(OFFSET(PLE!$G$14,$M143,CB$13)="",10^12,OFFSET(PLE!$G$14,$M143,CB$13))))</f>
        <v>1000000000000</v>
      </c>
      <c r="CC143" s="182">
        <f ca="1">IF($D143&lt;&gt;"Serviço",0,IF(OR(AND(AUTOEVENTO="Manual",$M143=1),$M143&gt;(ROW(PLE.lastrow)-ROW(PLE.firstrow))),0,IF(OFFSET(PLE!$G$14,$M143,CC$13)="",10^12,OFFSET(PLE!$G$14,$M143,CC$13))))</f>
        <v>1000000000000</v>
      </c>
      <c r="CD143" s="182">
        <f ca="1">IF($D143&lt;&gt;"Serviço",0,IF(OR(AND(AUTOEVENTO="Manual",$M143=1),$M143&gt;(ROW(PLE.lastrow)-ROW(PLE.firstrow))),0,IF(OFFSET(PLE!$G$14,$M143,CD$13)="",10^12,OFFSET(PLE!$G$14,$M143,CD$13))))</f>
        <v>1000000000000</v>
      </c>
      <c r="CE143" s="182">
        <f ca="1">IF($D143&lt;&gt;"Serviço",0,IF(OR(AND(AUTOEVENTO="Manual",$M143=1),$M143&gt;(ROW(PLE.lastrow)-ROW(PLE.firstrow))),0,IF(OFFSET(PLE!$G$14,$M143,CE$13)="",10^12,OFFSET(PLE!$G$14,$M143,CE$13))))</f>
        <v>1000000000000</v>
      </c>
      <c r="CF143" s="182">
        <f ca="1">IF($D143&lt;&gt;"Serviço",0,IF(OR(AND(AUTOEVENTO="Manual",$M143=1),$M143&gt;(ROW(PLE.lastrow)-ROW(PLE.firstrow))),0,IF(OFFSET(PLE!$G$14,$M143,CF$13)="",10^12,OFFSET(PLE!$G$14,$M143,CF$13))))</f>
        <v>1000000000000</v>
      </c>
      <c r="CG143" s="182">
        <f ca="1">IF($D143&lt;&gt;"Serviço",0,IF(OR(AND(AUTOEVENTO="Manual",$M143=1),$M143&gt;(ROW(PLE.lastrow)-ROW(PLE.firstrow))),0,IF(OFFSET(PLE!$G$14,$M143,CG$13)="",10^12,OFFSET(PLE!$G$14,$M143,CG$13))))</f>
        <v>1000000000000</v>
      </c>
      <c r="CH143" s="182">
        <f ca="1">IF($D143&lt;&gt;"Serviço",0,IF(OR(AND(AUTOEVENTO="Manual",$M143=1),$M143&gt;(ROW(PLE.lastrow)-ROW(PLE.firstrow))),0,IF(OFFSET(PLE!$G$14,$M143,CH$13)="",10^12,OFFSET(PLE!$G$14,$M143,CH$13))))</f>
        <v>1000000000000</v>
      </c>
      <c r="CI143" s="182">
        <f ca="1">IF($D143&lt;&gt;"Serviço",0,IF(OR(AND(AUTOEVENTO="Manual",$M143=1),$M143&gt;(ROW(PLE.lastrow)-ROW(PLE.firstrow))),0,IF(OFFSET(PLE!$G$14,$M143,CI$13)="",10^12,OFFSET(PLE!$G$14,$M143,CI$13))))</f>
        <v>1000000000000</v>
      </c>
      <c r="CJ143" s="182">
        <f ca="1">IF($D143&lt;&gt;"Serviço",0,IF(OR(AND(AUTOEVENTO="Manual",$M143=1),$M143&gt;(ROW(PLE.lastrow)-ROW(PLE.firstrow))),0,IF(OFFSET(PLE!$G$14,$M143,CJ$13)="",10^12,OFFSET(PLE!$G$14,$M143,CJ$13))))</f>
        <v>1000000000000</v>
      </c>
      <c r="CK143" s="182">
        <f ca="1">IF($D143&lt;&gt;"Serviço",0,IF(OR(AND(AUTOEVENTO="Manual",$M143=1),$M143&gt;(ROW(PLE.lastrow)-ROW(PLE.firstrow))),0,IF(OFFSET(PLE!$G$14,$M143,CK$13)="",10^12,OFFSET(PLE!$G$14,$M143,CK$13))))</f>
        <v>1000000000000</v>
      </c>
      <c r="CL143" s="182">
        <f ca="1">IF($D143&lt;&gt;"Serviço",0,IF(OR(AND(AUTOEVENTO="Manual",$M143=1),$M143&gt;(ROW(PLE.lastrow)-ROW(PLE.firstrow))),0,IF(OFFSET(PLE!$G$14,$M143,CL$13)="",10^12,OFFSET(PLE!$G$14,$M143,CL$13))))</f>
        <v>1000000000000</v>
      </c>
      <c r="CM143" s="182">
        <f ca="1">IF($D143&lt;&gt;"Serviço",0,IF(OR(AND(AUTOEVENTO="Manual",$M143=1),$M143&gt;(ROW(PLE.lastrow)-ROW(PLE.firstrow))),0,IF(OFFSET(PLE!$G$14,$M143,CM$13)="",10^12,OFFSET(PLE!$G$14,$M143,CM$13))))</f>
        <v>1000000000000</v>
      </c>
    </row>
    <row r="144" spans="1:91" ht="38.25" x14ac:dyDescent="0.2">
      <c r="A144" s="7" t="str">
        <f t="shared" ca="1" si="11"/>
        <v>119</v>
      </c>
      <c r="B144" s="7" t="str">
        <f ca="1">OFFSET(ORÇAMENTO!C$15,ROW(B144)-ROW(B$15),0)</f>
        <v>S</v>
      </c>
      <c r="C144" s="7" t="str">
        <f ca="1">OFFSET(ORÇAMENTO!L$15,ROW(C144)-ROW(C$15),0)</f>
        <v/>
      </c>
      <c r="D144" s="118" t="str">
        <f ca="1">OFFSET(ORÇAMENTO!N$15,ROW(D144)-ROW(D$15),0)</f>
        <v>Serviço</v>
      </c>
      <c r="E144" s="119" t="str">
        <f ca="1">OFFSET(ORÇAMENTO!O$15,ROW(E144)-ROW(E$15),0)</f>
        <v>-</v>
      </c>
      <c r="F144" s="172" t="str">
        <f ca="1">OFFSET(ORÇAMENTO!R$15,ROW(F144)-ROW(F$15),0)</f>
        <v>(abra o arquivo 'Referência 06-2024.xlsm)</v>
      </c>
      <c r="G144" s="173" t="str">
        <f ca="1">IF($D144&lt;&gt;"Serviço","",OFFSET(ORÇAMENTO!S$15,ROW(G144)-ROW(G$15),0))</f>
        <v>-</v>
      </c>
      <c r="H144" s="124">
        <f ca="1">IF($D144&lt;&gt;"Serviço",0,IF(ACOMPANHAMENTO="BM",ROUND(OFFSET(ORÇAMENTO!AJ$15,ROW(H144)-ROW(H$15),0),15-13*ORÇAMENTO!$AF$7),SUMPRODUCT(($Q$12:$AI$12&lt;&gt;"")*ROUND($Q144:$AI144,15-13*ORÇAMENTO!$AF$7))))</f>
        <v>2.1</v>
      </c>
      <c r="I144" s="561" t="s">
        <v>1107</v>
      </c>
      <c r="K144" s="174"/>
      <c r="L144" s="175" t="s">
        <v>255</v>
      </c>
      <c r="M144" s="176">
        <f ca="1">IF($D144&lt;&gt;"Serviço","",IF(AUTOEVENTO="manual",$A144,IF(ISERROR(MATCH($A144,$A$15:OFFSET($A144,-1,0),0)),MAX($M$15:OFFSET(M144,-1,0))+1,INDEX($M$15:OFFSET(M144,-1,0),MATCH($A144,$A$15:OFFSET($A144,-1,0),0)))))</f>
        <v>22</v>
      </c>
      <c r="N144" s="177" t="str">
        <f ca="1">IF($D144&lt;&gt;"Serviço","",IF(AUTOEVENTO="Manual",IF($A144=0,"&lt;-- defina o número do agrupador",OFFSET(EVENTOS!$D$14,$A144,0)),OFFSET($F$15,$A144,0)))</f>
        <v>ESQUADRIAS - JANELAS EM ALUMÍNIO</v>
      </c>
      <c r="O144" s="178"/>
      <c r="Q144" s="178">
        <v>2.1</v>
      </c>
      <c r="R144" s="179"/>
      <c r="S144" s="179"/>
      <c r="T144" s="179"/>
      <c r="U144" s="179"/>
      <c r="V144" s="179"/>
      <c r="W144" s="179"/>
      <c r="X144" s="179"/>
      <c r="Y144" s="179"/>
      <c r="Z144" s="180"/>
      <c r="AA144" s="179"/>
      <c r="AB144" s="179"/>
      <c r="AC144" s="179"/>
      <c r="AD144" s="179"/>
      <c r="AE144" s="179"/>
      <c r="AF144" s="179"/>
      <c r="AG144" s="179"/>
      <c r="AH144" s="180"/>
      <c r="AJ144" s="544">
        <f ca="1">IF(AND($D144="Serviço",AJ$12&lt;&gt;0,$H144&gt;0,OR(AUTOEVENTO&lt;&gt;"manual",$M144&lt;&gt;1)),
IF(Import.TipoArredondamento&lt;&gt;"TransfereGOV",
ROUND(OFFSET($P144,0,AJ$13),15-13*ORÇAMENTO!$AF$7)/$H144*OFFSET(ORÇAMENTO!$X$15,ROW(AJ144)-ROW(AJ$15),0),
ROUND(ROUND(OFFSET($P144,0,AJ$13),15-13*ORÇAMENTO!$AF$7)*OFFSET(ORÇAMENTO!$W$15,ROW(AJ144)-ROW(AJ$15),0),15-13*ORÇAMENTO!$AF$11)),0)</f>
        <v>0</v>
      </c>
      <c r="AK144" s="545">
        <f ca="1">IF(AND($D144="Serviço",AK$12&lt;&gt;0,$H144&gt;0,OR(AUTOEVENTO&lt;&gt;"manual",$M144&lt;&gt;1)),
IF(Import.TipoArredondamento&lt;&gt;"TransfereGOV",
ROUND(OFFSET($P144,0,AK$13),15-13*ORÇAMENTO!$AF$7)/$H144*OFFSET(ORÇAMENTO!$X$15,ROW(AK144)-ROW(AK$15),0),
ROUND(ROUND(OFFSET($P144,0,AK$13),15-13*ORÇAMENTO!$AF$7)*OFFSET(ORÇAMENTO!$W$15,ROW(AK144)-ROW(AK$15),0),15-13*ORÇAMENTO!$AF$11)),0)</f>
        <v>0</v>
      </c>
      <c r="AL144" s="545">
        <f ca="1">IF(AND($D144="Serviço",AL$12&lt;&gt;0,$H144&gt;0,OR(AUTOEVENTO&lt;&gt;"manual",$M144&lt;&gt;1)),
IF(Import.TipoArredondamento&lt;&gt;"TransfereGOV",
ROUND(OFFSET($P144,0,AL$13),15-13*ORÇAMENTO!$AF$7)/$H144*OFFSET(ORÇAMENTO!$X$15,ROW(AL144)-ROW(AL$15),0),
ROUND(ROUND(OFFSET($P144,0,AL$13),15-13*ORÇAMENTO!$AF$7)*OFFSET(ORÇAMENTO!$W$15,ROW(AL144)-ROW(AL$15),0),15-13*ORÇAMENTO!$AF$11)),0)</f>
        <v>0</v>
      </c>
      <c r="AM144" s="545">
        <f ca="1">IF(AND($D144="Serviço",AM$12&lt;&gt;0,$H144&gt;0,OR(AUTOEVENTO&lt;&gt;"manual",$M144&lt;&gt;1)),
IF(Import.TipoArredondamento&lt;&gt;"TransfereGOV",
ROUND(OFFSET($P144,0,AM$13),15-13*ORÇAMENTO!$AF$7)/$H144*OFFSET(ORÇAMENTO!$X$15,ROW(AM144)-ROW(AM$15),0),
ROUND(ROUND(OFFSET($P144,0,AM$13),15-13*ORÇAMENTO!$AF$7)*OFFSET(ORÇAMENTO!$W$15,ROW(AM144)-ROW(AM$15),0),15-13*ORÇAMENTO!$AF$11)),0)</f>
        <v>0</v>
      </c>
      <c r="AN144" s="545">
        <f ca="1">IF(AND($D144="Serviço",AN$12&lt;&gt;0,$H144&gt;0,OR(AUTOEVENTO&lt;&gt;"manual",$M144&lt;&gt;1)),
IF(Import.TipoArredondamento&lt;&gt;"TransfereGOV",
ROUND(OFFSET($P144,0,AN$13),15-13*ORÇAMENTO!$AF$7)/$H144*OFFSET(ORÇAMENTO!$X$15,ROW(AN144)-ROW(AN$15),0),
ROUND(ROUND(OFFSET($P144,0,AN$13),15-13*ORÇAMENTO!$AF$7)*OFFSET(ORÇAMENTO!$W$15,ROW(AN144)-ROW(AN$15),0),15-13*ORÇAMENTO!$AF$11)),0)</f>
        <v>0</v>
      </c>
      <c r="AO144" s="545">
        <f ca="1">IF(AND($D144="Serviço",AO$12&lt;&gt;0,$H144&gt;0,OR(AUTOEVENTO&lt;&gt;"manual",$M144&lt;&gt;1)),
IF(Import.TipoArredondamento&lt;&gt;"TransfereGOV",
ROUND(OFFSET($P144,0,AO$13),15-13*ORÇAMENTO!$AF$7)/$H144*OFFSET(ORÇAMENTO!$X$15,ROW(AO144)-ROW(AO$15),0),
ROUND(ROUND(OFFSET($P144,0,AO$13),15-13*ORÇAMENTO!$AF$7)*OFFSET(ORÇAMENTO!$W$15,ROW(AO144)-ROW(AO$15),0),15-13*ORÇAMENTO!$AF$11)),0)</f>
        <v>0</v>
      </c>
      <c r="AP144" s="545">
        <f ca="1">IF(AND($D144="Serviço",AP$12&lt;&gt;0,$H144&gt;0,OR(AUTOEVENTO&lt;&gt;"manual",$M144&lt;&gt;1)),
IF(Import.TipoArredondamento&lt;&gt;"TransfereGOV",
ROUND(OFFSET($P144,0,AP$13),15-13*ORÇAMENTO!$AF$7)/$H144*OFFSET(ORÇAMENTO!$X$15,ROW(AP144)-ROW(AP$15),0),
ROUND(ROUND(OFFSET($P144,0,AP$13),15-13*ORÇAMENTO!$AF$7)*OFFSET(ORÇAMENTO!$W$15,ROW(AP144)-ROW(AP$15),0),15-13*ORÇAMENTO!$AF$11)),0)</f>
        <v>0</v>
      </c>
      <c r="AQ144" s="545">
        <f ca="1">IF(AND($D144="Serviço",AQ$12&lt;&gt;0,$H144&gt;0,OR(AUTOEVENTO&lt;&gt;"manual",$M144&lt;&gt;1)),
IF(Import.TipoArredondamento&lt;&gt;"TransfereGOV",
ROUND(OFFSET($P144,0,AQ$13),15-13*ORÇAMENTO!$AF$7)/$H144*OFFSET(ORÇAMENTO!$X$15,ROW(AQ144)-ROW(AQ$15),0),
ROUND(ROUND(OFFSET($P144,0,AQ$13),15-13*ORÇAMENTO!$AF$7)*OFFSET(ORÇAMENTO!$W$15,ROW(AQ144)-ROW(AQ$15),0),15-13*ORÇAMENTO!$AF$11)),0)</f>
        <v>0</v>
      </c>
      <c r="AR144" s="545">
        <f ca="1">IF(AND($D144="Serviço",AR$12&lt;&gt;0,$H144&gt;0,OR(AUTOEVENTO&lt;&gt;"manual",$M144&lt;&gt;1)),
IF(Import.TipoArredondamento&lt;&gt;"TransfereGOV",
ROUND(OFFSET($P144,0,AR$13),15-13*ORÇAMENTO!$AF$7)/$H144*OFFSET(ORÇAMENTO!$X$15,ROW(AR144)-ROW(AR$15),0),
ROUND(ROUND(OFFSET($P144,0,AR$13),15-13*ORÇAMENTO!$AF$7)*OFFSET(ORÇAMENTO!$W$15,ROW(AR144)-ROW(AR$15),0),15-13*ORÇAMENTO!$AF$11)),0)</f>
        <v>0</v>
      </c>
      <c r="AS144" s="546">
        <f ca="1">IF(AND($D144="Serviço",AS$12&lt;&gt;0,$H144&gt;0,OR(AUTOEVENTO&lt;&gt;"manual",$M144&lt;&gt;1)),
IF(Import.TipoArredondamento&lt;&gt;"TransfereGOV",
ROUND(OFFSET($P144,0,AS$13),15-13*ORÇAMENTO!$AF$7)/$H144*OFFSET(ORÇAMENTO!$X$15,ROW(AS144)-ROW(AS$15),0),
ROUND(ROUND(OFFSET($P144,0,AS$13),15-13*ORÇAMENTO!$AF$7)*OFFSET(ORÇAMENTO!$W$15,ROW(AS144)-ROW(AS$15),0),15-13*ORÇAMENTO!$AF$11)),0)</f>
        <v>0</v>
      </c>
      <c r="AT144" s="545">
        <f ca="1">IF(AND($D144="Serviço",AT$12&lt;&gt;0,$H144&gt;0,OR(AUTOEVENTO&lt;&gt;"manual",$M144&lt;&gt;1)),
IF(Import.TipoArredondamento&lt;&gt;"TransfereGOV",
ROUND(OFFSET($P144,0,AT$13),15-13*ORÇAMENTO!$AF$7)/$H144*OFFSET(ORÇAMENTO!$X$15,ROW(AT144)-ROW(AT$15),0),
ROUND(ROUND(OFFSET($P144,0,AT$13),15-13*ORÇAMENTO!$AF$7)*OFFSET(ORÇAMENTO!$W$15,ROW(AT144)-ROW(AT$15),0),15-13*ORÇAMENTO!$AF$11)),0)</f>
        <v>0</v>
      </c>
      <c r="AU144" s="545">
        <f ca="1">IF(AND($D144="Serviço",AU$12&lt;&gt;0,$H144&gt;0,OR(AUTOEVENTO&lt;&gt;"manual",$M144&lt;&gt;1)),
IF(Import.TipoArredondamento&lt;&gt;"TransfereGOV",
ROUND(OFFSET($P144,0,AU$13),15-13*ORÇAMENTO!$AF$7)/$H144*OFFSET(ORÇAMENTO!$X$15,ROW(AU144)-ROW(AU$15),0),
ROUND(ROUND(OFFSET($P144,0,AU$13),15-13*ORÇAMENTO!$AF$7)*OFFSET(ORÇAMENTO!$W$15,ROW(AU144)-ROW(AU$15),0),15-13*ORÇAMENTO!$AF$11)),0)</f>
        <v>0</v>
      </c>
      <c r="AV144" s="545">
        <f ca="1">IF(AND($D144="Serviço",AV$12&lt;&gt;0,$H144&gt;0,OR(AUTOEVENTO&lt;&gt;"manual",$M144&lt;&gt;1)),
IF(Import.TipoArredondamento&lt;&gt;"TransfereGOV",
ROUND(OFFSET($P144,0,AV$13),15-13*ORÇAMENTO!$AF$7)/$H144*OFFSET(ORÇAMENTO!$X$15,ROW(AV144)-ROW(AV$15),0),
ROUND(ROUND(OFFSET($P144,0,AV$13),15-13*ORÇAMENTO!$AF$7)*OFFSET(ORÇAMENTO!$W$15,ROW(AV144)-ROW(AV$15),0),15-13*ORÇAMENTO!$AF$11)),0)</f>
        <v>0</v>
      </c>
      <c r="AW144" s="545">
        <f ca="1">IF(AND($D144="Serviço",AW$12&lt;&gt;0,$H144&gt;0,OR(AUTOEVENTO&lt;&gt;"manual",$M144&lt;&gt;1)),
IF(Import.TipoArredondamento&lt;&gt;"TransfereGOV",
ROUND(OFFSET($P144,0,AW$13),15-13*ORÇAMENTO!$AF$7)/$H144*OFFSET(ORÇAMENTO!$X$15,ROW(AW144)-ROW(AW$15),0),
ROUND(ROUND(OFFSET($P144,0,AW$13),15-13*ORÇAMENTO!$AF$7)*OFFSET(ORÇAMENTO!$W$15,ROW(AW144)-ROW(AW$15),0),15-13*ORÇAMENTO!$AF$11)),0)</f>
        <v>0</v>
      </c>
      <c r="AX144" s="545">
        <f ca="1">IF(AND($D144="Serviço",AX$12&lt;&gt;0,$H144&gt;0,OR(AUTOEVENTO&lt;&gt;"manual",$M144&lt;&gt;1)),
IF(Import.TipoArredondamento&lt;&gt;"TransfereGOV",
ROUND(OFFSET($P144,0,AX$13),15-13*ORÇAMENTO!$AF$7)/$H144*OFFSET(ORÇAMENTO!$X$15,ROW(AX144)-ROW(AX$15),0),
ROUND(ROUND(OFFSET($P144,0,AX$13),15-13*ORÇAMENTO!$AF$7)*OFFSET(ORÇAMENTO!$W$15,ROW(AX144)-ROW(AX$15),0),15-13*ORÇAMENTO!$AF$11)),0)</f>
        <v>0</v>
      </c>
      <c r="AY144" s="545">
        <f ca="1">IF(AND($D144="Serviço",AY$12&lt;&gt;0,$H144&gt;0,OR(AUTOEVENTO&lt;&gt;"manual",$M144&lt;&gt;1)),
IF(Import.TipoArredondamento&lt;&gt;"TransfereGOV",
ROUND(OFFSET($P144,0,AY$13),15-13*ORÇAMENTO!$AF$7)/$H144*OFFSET(ORÇAMENTO!$X$15,ROW(AY144)-ROW(AY$15),0),
ROUND(ROUND(OFFSET($P144,0,AY$13),15-13*ORÇAMENTO!$AF$7)*OFFSET(ORÇAMENTO!$W$15,ROW(AY144)-ROW(AY$15),0),15-13*ORÇAMENTO!$AF$11)),0)</f>
        <v>0</v>
      </c>
      <c r="AZ144" s="545">
        <f ca="1">IF(AND($D144="Serviço",AZ$12&lt;&gt;0,$H144&gt;0,OR(AUTOEVENTO&lt;&gt;"manual",$M144&lt;&gt;1)),
IF(Import.TipoArredondamento&lt;&gt;"TransfereGOV",
ROUND(OFFSET($P144,0,AZ$13),15-13*ORÇAMENTO!$AF$7)/$H144*OFFSET(ORÇAMENTO!$X$15,ROW(AZ144)-ROW(AZ$15),0),
ROUND(ROUND(OFFSET($P144,0,AZ$13),15-13*ORÇAMENTO!$AF$7)*OFFSET(ORÇAMENTO!$W$15,ROW(AZ144)-ROW(AZ$15),0),15-13*ORÇAMENTO!$AF$11)),0)</f>
        <v>0</v>
      </c>
      <c r="BA144" s="546">
        <f ca="1">IF(AND($D144="Serviço",BA$12&lt;&gt;0,$H144&gt;0,OR(AUTOEVENTO&lt;&gt;"manual",$M144&lt;&gt;1)),
IF(Import.TipoArredondamento&lt;&gt;"TransfereGOV",
ROUND(OFFSET($P144,0,BA$13),15-13*ORÇAMENTO!$AF$7)/$H144*OFFSET(ORÇAMENTO!$X$15,ROW(BA144)-ROW(BA$15),0),
ROUND(ROUND(OFFSET($P144,0,BA$13),15-13*ORÇAMENTO!$AF$7)*OFFSET(ORÇAMENTO!$W$15,ROW(BA144)-ROW(BA$15),0),15-13*ORÇAMENTO!$AF$11)),0)</f>
        <v>0</v>
      </c>
      <c r="BC144" s="181">
        <f ca="1">IF($D144&lt;&gt;"Serviço",0,IF(AND(AUTOEVENTO="Manual",$M144=1),0,IF(OFFSET(CRONOPLE!$F$14,$M144,BC$13)="",10^12,OFFSET(CRONOPLE!$F$14,$M144,BC$13))))</f>
        <v>5</v>
      </c>
      <c r="BD144" s="181">
        <f ca="1">IF($D144&lt;&gt;"Serviço",0,IF(AND(AUTOEVENTO="Manual",$M144=1),0,IF(OFFSET(CRONOPLE!$F$14,$M144,BD$13)="",10^12,OFFSET(CRONOPLE!$F$14,$M144,BD$13))))</f>
        <v>1000000000000</v>
      </c>
      <c r="BE144" s="181">
        <f ca="1">IF($D144&lt;&gt;"Serviço",0,IF(AND(AUTOEVENTO="Manual",$M144=1),0,IF(OFFSET(CRONOPLE!$F$14,$M144,BE$13)="",10^12,OFFSET(CRONOPLE!$F$14,$M144,BE$13))))</f>
        <v>1000000000000</v>
      </c>
      <c r="BF144" s="181">
        <f ca="1">IF($D144&lt;&gt;"Serviço",0,IF(AND(AUTOEVENTO="Manual",$M144=1),0,IF(OFFSET(CRONOPLE!$F$14,$M144,BF$13)="",10^12,OFFSET(CRONOPLE!$F$14,$M144,BF$13))))</f>
        <v>1000000000000</v>
      </c>
      <c r="BG144" s="181">
        <f ca="1">IF($D144&lt;&gt;"Serviço",0,IF(AND(AUTOEVENTO="Manual",$M144=1),0,IF(OFFSET(CRONOPLE!$F$14,$M144,BG$13)="",10^12,OFFSET(CRONOPLE!$F$14,$M144,BG$13))))</f>
        <v>1000000000000</v>
      </c>
      <c r="BH144" s="181">
        <f ca="1">IF($D144&lt;&gt;"Serviço",0,IF(AND(AUTOEVENTO="Manual",$M144=1),0,IF(OFFSET(CRONOPLE!$F$14,$M144,BH$13)="",10^12,OFFSET(CRONOPLE!$F$14,$M144,BH$13))))</f>
        <v>1000000000000</v>
      </c>
      <c r="BI144" s="181">
        <f ca="1">IF($D144&lt;&gt;"Serviço",0,IF(AND(AUTOEVENTO="Manual",$M144=1),0,IF(OFFSET(CRONOPLE!$F$14,$M144,BI$13)="",10^12,OFFSET(CRONOPLE!$F$14,$M144,BI$13))))</f>
        <v>1000000000000</v>
      </c>
      <c r="BJ144" s="181">
        <f ca="1">IF($D144&lt;&gt;"Serviço",0,IF(AND(AUTOEVENTO="Manual",$M144=1),0,IF(OFFSET(CRONOPLE!$F$14,$M144,BJ$13)="",10^12,OFFSET(CRONOPLE!$F$14,$M144,BJ$13))))</f>
        <v>1000000000000</v>
      </c>
      <c r="BK144" s="181">
        <f ca="1">IF($D144&lt;&gt;"Serviço",0,IF(AND(AUTOEVENTO="Manual",$M144=1),0,IF(OFFSET(CRONOPLE!$F$14,$M144,BK$13)="",10^12,OFFSET(CRONOPLE!$F$14,$M144,BK$13))))</f>
        <v>1000000000000</v>
      </c>
      <c r="BL144" s="181">
        <f ca="1">IF($D144&lt;&gt;"Serviço",0,IF(AND(AUTOEVENTO="Manual",$M144=1),0,IF(OFFSET(CRONOPLE!$F$14,$M144,BL$13)="",10^12,OFFSET(CRONOPLE!$F$14,$M144,BL$13))))</f>
        <v>1000000000000</v>
      </c>
      <c r="BM144" s="181">
        <f ca="1">IF($D144&lt;&gt;"Serviço",0,IF(AND(AUTOEVENTO="Manual",$M144=1),0,IF(OFFSET(CRONOPLE!$F$14,$M144,BM$13)="",10^12,OFFSET(CRONOPLE!$F$14,$M144,BM$13))))</f>
        <v>1000000000000</v>
      </c>
      <c r="BN144" s="181">
        <f ca="1">IF($D144&lt;&gt;"Serviço",0,IF(AND(AUTOEVENTO="Manual",$M144=1),0,IF(OFFSET(CRONOPLE!$F$14,$M144,BN$13)="",10^12,OFFSET(CRONOPLE!$F$14,$M144,BN$13))))</f>
        <v>1000000000000</v>
      </c>
      <c r="BO144" s="181">
        <f ca="1">IF($D144&lt;&gt;"Serviço",0,IF(AND(AUTOEVENTO="Manual",$M144=1),0,IF(OFFSET(CRONOPLE!$F$14,$M144,BO$13)="",10^12,OFFSET(CRONOPLE!$F$14,$M144,BO$13))))</f>
        <v>1000000000000</v>
      </c>
      <c r="BP144" s="181">
        <f ca="1">IF($D144&lt;&gt;"Serviço",0,IF(AND(AUTOEVENTO="Manual",$M144=1),0,IF(OFFSET(CRONOPLE!$F$14,$M144,BP$13)="",10^12,OFFSET(CRONOPLE!$F$14,$M144,BP$13))))</f>
        <v>1000000000000</v>
      </c>
      <c r="BQ144" s="181">
        <f ca="1">IF($D144&lt;&gt;"Serviço",0,IF(AND(AUTOEVENTO="Manual",$M144=1),0,IF(OFFSET(CRONOPLE!$F$14,$M144,BQ$13)="",10^12,OFFSET(CRONOPLE!$F$14,$M144,BQ$13))))</f>
        <v>1000000000000</v>
      </c>
      <c r="BR144" s="181">
        <f ca="1">IF($D144&lt;&gt;"Serviço",0,IF(AND(AUTOEVENTO="Manual",$M144=1),0,IF(OFFSET(CRONOPLE!$F$14,$M144,BR$13)="",10^12,OFFSET(CRONOPLE!$F$14,$M144,BR$13))))</f>
        <v>1000000000000</v>
      </c>
      <c r="BS144" s="181">
        <f ca="1">IF($D144&lt;&gt;"Serviço",0,IF(AND(AUTOEVENTO="Manual",$M144=1),0,IF(OFFSET(CRONOPLE!$F$14,$M144,BS$13)="",10^12,OFFSET(CRONOPLE!$F$14,$M144,BS$13))))</f>
        <v>1000000000000</v>
      </c>
      <c r="BT144" s="181">
        <f ca="1">IF($D144&lt;&gt;"Serviço",0,IF(AND(AUTOEVENTO="Manual",$M144=1),0,IF(OFFSET(CRONOPLE!$F$14,$M144,BT$13)="",10^12,OFFSET(CRONOPLE!$F$14,$M144,BT$13))))</f>
        <v>1000000000000</v>
      </c>
      <c r="BV144" s="182">
        <f ca="1">IF($D144&lt;&gt;"Serviço",0,IF(OR(AND(AUTOEVENTO="Manual",$M144=1),$M144&gt;(ROW(PLE.lastrow)-ROW(PLE.firstrow))),0,IF(OFFSET(PLE!$G$14,$M144,BV$13)="",10^12,OFFSET(PLE!$G$14,$M144,BV$13))))</f>
        <v>1000000000000</v>
      </c>
      <c r="BW144" s="182">
        <f ca="1">IF($D144&lt;&gt;"Serviço",0,IF(OR(AND(AUTOEVENTO="Manual",$M144=1),$M144&gt;(ROW(PLE.lastrow)-ROW(PLE.firstrow))),0,IF(OFFSET(PLE!$G$14,$M144,BW$13)="",10^12,OFFSET(PLE!$G$14,$M144,BW$13))))</f>
        <v>1000000000000</v>
      </c>
      <c r="BX144" s="182">
        <f ca="1">IF($D144&lt;&gt;"Serviço",0,IF(OR(AND(AUTOEVENTO="Manual",$M144=1),$M144&gt;(ROW(PLE.lastrow)-ROW(PLE.firstrow))),0,IF(OFFSET(PLE!$G$14,$M144,BX$13)="",10^12,OFFSET(PLE!$G$14,$M144,BX$13))))</f>
        <v>1000000000000</v>
      </c>
      <c r="BY144" s="182">
        <f ca="1">IF($D144&lt;&gt;"Serviço",0,IF(OR(AND(AUTOEVENTO="Manual",$M144=1),$M144&gt;(ROW(PLE.lastrow)-ROW(PLE.firstrow))),0,IF(OFFSET(PLE!$G$14,$M144,BY$13)="",10^12,OFFSET(PLE!$G$14,$M144,BY$13))))</f>
        <v>1000000000000</v>
      </c>
      <c r="BZ144" s="182">
        <f ca="1">IF($D144&lt;&gt;"Serviço",0,IF(OR(AND(AUTOEVENTO="Manual",$M144=1),$M144&gt;(ROW(PLE.lastrow)-ROW(PLE.firstrow))),0,IF(OFFSET(PLE!$G$14,$M144,BZ$13)="",10^12,OFFSET(PLE!$G$14,$M144,BZ$13))))</f>
        <v>1000000000000</v>
      </c>
      <c r="CA144" s="182">
        <f ca="1">IF($D144&lt;&gt;"Serviço",0,IF(OR(AND(AUTOEVENTO="Manual",$M144=1),$M144&gt;(ROW(PLE.lastrow)-ROW(PLE.firstrow))),0,IF(OFFSET(PLE!$G$14,$M144,CA$13)="",10^12,OFFSET(PLE!$G$14,$M144,CA$13))))</f>
        <v>1000000000000</v>
      </c>
      <c r="CB144" s="182">
        <f ca="1">IF($D144&lt;&gt;"Serviço",0,IF(OR(AND(AUTOEVENTO="Manual",$M144=1),$M144&gt;(ROW(PLE.lastrow)-ROW(PLE.firstrow))),0,IF(OFFSET(PLE!$G$14,$M144,CB$13)="",10^12,OFFSET(PLE!$G$14,$M144,CB$13))))</f>
        <v>1000000000000</v>
      </c>
      <c r="CC144" s="182">
        <f ca="1">IF($D144&lt;&gt;"Serviço",0,IF(OR(AND(AUTOEVENTO="Manual",$M144=1),$M144&gt;(ROW(PLE.lastrow)-ROW(PLE.firstrow))),0,IF(OFFSET(PLE!$G$14,$M144,CC$13)="",10^12,OFFSET(PLE!$G$14,$M144,CC$13))))</f>
        <v>1000000000000</v>
      </c>
      <c r="CD144" s="182">
        <f ca="1">IF($D144&lt;&gt;"Serviço",0,IF(OR(AND(AUTOEVENTO="Manual",$M144=1),$M144&gt;(ROW(PLE.lastrow)-ROW(PLE.firstrow))),0,IF(OFFSET(PLE!$G$14,$M144,CD$13)="",10^12,OFFSET(PLE!$G$14,$M144,CD$13))))</f>
        <v>1000000000000</v>
      </c>
      <c r="CE144" s="182">
        <f ca="1">IF($D144&lt;&gt;"Serviço",0,IF(OR(AND(AUTOEVENTO="Manual",$M144=1),$M144&gt;(ROW(PLE.lastrow)-ROW(PLE.firstrow))),0,IF(OFFSET(PLE!$G$14,$M144,CE$13)="",10^12,OFFSET(PLE!$G$14,$M144,CE$13))))</f>
        <v>1000000000000</v>
      </c>
      <c r="CF144" s="182">
        <f ca="1">IF($D144&lt;&gt;"Serviço",0,IF(OR(AND(AUTOEVENTO="Manual",$M144=1),$M144&gt;(ROW(PLE.lastrow)-ROW(PLE.firstrow))),0,IF(OFFSET(PLE!$G$14,$M144,CF$13)="",10^12,OFFSET(PLE!$G$14,$M144,CF$13))))</f>
        <v>1000000000000</v>
      </c>
      <c r="CG144" s="182">
        <f ca="1">IF($D144&lt;&gt;"Serviço",0,IF(OR(AND(AUTOEVENTO="Manual",$M144=1),$M144&gt;(ROW(PLE.lastrow)-ROW(PLE.firstrow))),0,IF(OFFSET(PLE!$G$14,$M144,CG$13)="",10^12,OFFSET(PLE!$G$14,$M144,CG$13))))</f>
        <v>1000000000000</v>
      </c>
      <c r="CH144" s="182">
        <f ca="1">IF($D144&lt;&gt;"Serviço",0,IF(OR(AND(AUTOEVENTO="Manual",$M144=1),$M144&gt;(ROW(PLE.lastrow)-ROW(PLE.firstrow))),0,IF(OFFSET(PLE!$G$14,$M144,CH$13)="",10^12,OFFSET(PLE!$G$14,$M144,CH$13))))</f>
        <v>1000000000000</v>
      </c>
      <c r="CI144" s="182">
        <f ca="1">IF($D144&lt;&gt;"Serviço",0,IF(OR(AND(AUTOEVENTO="Manual",$M144=1),$M144&gt;(ROW(PLE.lastrow)-ROW(PLE.firstrow))),0,IF(OFFSET(PLE!$G$14,$M144,CI$13)="",10^12,OFFSET(PLE!$G$14,$M144,CI$13))))</f>
        <v>1000000000000</v>
      </c>
      <c r="CJ144" s="182">
        <f ca="1">IF($D144&lt;&gt;"Serviço",0,IF(OR(AND(AUTOEVENTO="Manual",$M144=1),$M144&gt;(ROW(PLE.lastrow)-ROW(PLE.firstrow))),0,IF(OFFSET(PLE!$G$14,$M144,CJ$13)="",10^12,OFFSET(PLE!$G$14,$M144,CJ$13))))</f>
        <v>1000000000000</v>
      </c>
      <c r="CK144" s="182">
        <f ca="1">IF($D144&lt;&gt;"Serviço",0,IF(OR(AND(AUTOEVENTO="Manual",$M144=1),$M144&gt;(ROW(PLE.lastrow)-ROW(PLE.firstrow))),0,IF(OFFSET(PLE!$G$14,$M144,CK$13)="",10^12,OFFSET(PLE!$G$14,$M144,CK$13))))</f>
        <v>1000000000000</v>
      </c>
      <c r="CL144" s="182">
        <f ca="1">IF($D144&lt;&gt;"Serviço",0,IF(OR(AND(AUTOEVENTO="Manual",$M144=1),$M144&gt;(ROW(PLE.lastrow)-ROW(PLE.firstrow))),0,IF(OFFSET(PLE!$G$14,$M144,CL$13)="",10^12,OFFSET(PLE!$G$14,$M144,CL$13))))</f>
        <v>1000000000000</v>
      </c>
      <c r="CM144" s="182">
        <f ca="1">IF($D144&lt;&gt;"Serviço",0,IF(OR(AND(AUTOEVENTO="Manual",$M144=1),$M144&gt;(ROW(PLE.lastrow)-ROW(PLE.firstrow))),0,IF(OFFSET(PLE!$G$14,$M144,CM$13)="",10^12,OFFSET(PLE!$G$14,$M144,CM$13))))</f>
        <v>1000000000000</v>
      </c>
    </row>
    <row r="145" spans="1:91" ht="38.25" x14ac:dyDescent="0.2">
      <c r="A145" s="7" t="str">
        <f t="shared" ca="1" si="11"/>
        <v>119</v>
      </c>
      <c r="B145" s="7" t="str">
        <f ca="1">OFFSET(ORÇAMENTO!C$15,ROW(B145)-ROW(B$15),0)</f>
        <v>S</v>
      </c>
      <c r="C145" s="7" t="str">
        <f ca="1">OFFSET(ORÇAMENTO!L$15,ROW(C145)-ROW(C$15),0)</f>
        <v/>
      </c>
      <c r="D145" s="118" t="str">
        <f ca="1">OFFSET(ORÇAMENTO!N$15,ROW(D145)-ROW(D$15),0)</f>
        <v>Serviço</v>
      </c>
      <c r="E145" s="119" t="str">
        <f ca="1">OFFSET(ORÇAMENTO!O$15,ROW(E145)-ROW(E$15),0)</f>
        <v>-</v>
      </c>
      <c r="F145" s="172" t="str">
        <f ca="1">OFFSET(ORÇAMENTO!R$15,ROW(F145)-ROW(F$15),0)</f>
        <v>(abra o arquivo 'Referência 06-2024.xlsm)</v>
      </c>
      <c r="G145" s="173" t="str">
        <f ca="1">IF($D145&lt;&gt;"Serviço","",OFFSET(ORÇAMENTO!S$15,ROW(G145)-ROW(G$15),0))</f>
        <v>-</v>
      </c>
      <c r="H145" s="124">
        <f ca="1">IF($D145&lt;&gt;"Serviço",0,IF(ACOMPANHAMENTO="BM",ROUND(OFFSET(ORÇAMENTO!AJ$15,ROW(H145)-ROW(H$15),0),15-13*ORÇAMENTO!$AF$7),SUMPRODUCT(($Q$12:$AI$12&lt;&gt;"")*ROUND($Q145:$AI145,15-13*ORÇAMENTO!$AF$7))))</f>
        <v>6.3</v>
      </c>
      <c r="I145" s="561" t="s">
        <v>1107</v>
      </c>
      <c r="K145" s="174"/>
      <c r="L145" s="175" t="s">
        <v>255</v>
      </c>
      <c r="M145" s="176">
        <f ca="1">IF($D145&lt;&gt;"Serviço","",IF(AUTOEVENTO="manual",$A145,IF(ISERROR(MATCH($A145,$A$15:OFFSET($A145,-1,0),0)),MAX($M$15:OFFSET(M145,-1,0))+1,INDEX($M$15:OFFSET(M145,-1,0),MATCH($A145,$A$15:OFFSET($A145,-1,0),0)))))</f>
        <v>22</v>
      </c>
      <c r="N145" s="177" t="str">
        <f ca="1">IF($D145&lt;&gt;"Serviço","",IF(AUTOEVENTO="Manual",IF($A145=0,"&lt;-- defina o número do agrupador",OFFSET(EVENTOS!$D$14,$A145,0)),OFFSET($F$15,$A145,0)))</f>
        <v>ESQUADRIAS - JANELAS EM ALUMÍNIO</v>
      </c>
      <c r="O145" s="178"/>
      <c r="Q145" s="178">
        <v>6.3</v>
      </c>
      <c r="R145" s="179"/>
      <c r="S145" s="179"/>
      <c r="T145" s="179"/>
      <c r="U145" s="179"/>
      <c r="V145" s="179"/>
      <c r="W145" s="179"/>
      <c r="X145" s="179"/>
      <c r="Y145" s="179"/>
      <c r="Z145" s="180"/>
      <c r="AA145" s="179"/>
      <c r="AB145" s="179"/>
      <c r="AC145" s="179"/>
      <c r="AD145" s="179"/>
      <c r="AE145" s="179"/>
      <c r="AF145" s="179"/>
      <c r="AG145" s="179"/>
      <c r="AH145" s="180"/>
      <c r="AJ145" s="544">
        <f ca="1">IF(AND($D145="Serviço",AJ$12&lt;&gt;0,$H145&gt;0,OR(AUTOEVENTO&lt;&gt;"manual",$M145&lt;&gt;1)),
IF(Import.TipoArredondamento&lt;&gt;"TransfereGOV",
ROUND(OFFSET($P145,0,AJ$13),15-13*ORÇAMENTO!$AF$7)/$H145*OFFSET(ORÇAMENTO!$X$15,ROW(AJ145)-ROW(AJ$15),0),
ROUND(ROUND(OFFSET($P145,0,AJ$13),15-13*ORÇAMENTO!$AF$7)*OFFSET(ORÇAMENTO!$W$15,ROW(AJ145)-ROW(AJ$15),0),15-13*ORÇAMENTO!$AF$11)),0)</f>
        <v>0</v>
      </c>
      <c r="AK145" s="545">
        <f ca="1">IF(AND($D145="Serviço",AK$12&lt;&gt;0,$H145&gt;0,OR(AUTOEVENTO&lt;&gt;"manual",$M145&lt;&gt;1)),
IF(Import.TipoArredondamento&lt;&gt;"TransfereGOV",
ROUND(OFFSET($P145,0,AK$13),15-13*ORÇAMENTO!$AF$7)/$H145*OFFSET(ORÇAMENTO!$X$15,ROW(AK145)-ROW(AK$15),0),
ROUND(ROUND(OFFSET($P145,0,AK$13),15-13*ORÇAMENTO!$AF$7)*OFFSET(ORÇAMENTO!$W$15,ROW(AK145)-ROW(AK$15),0),15-13*ORÇAMENTO!$AF$11)),0)</f>
        <v>0</v>
      </c>
      <c r="AL145" s="545">
        <f ca="1">IF(AND($D145="Serviço",AL$12&lt;&gt;0,$H145&gt;0,OR(AUTOEVENTO&lt;&gt;"manual",$M145&lt;&gt;1)),
IF(Import.TipoArredondamento&lt;&gt;"TransfereGOV",
ROUND(OFFSET($P145,0,AL$13),15-13*ORÇAMENTO!$AF$7)/$H145*OFFSET(ORÇAMENTO!$X$15,ROW(AL145)-ROW(AL$15),0),
ROUND(ROUND(OFFSET($P145,0,AL$13),15-13*ORÇAMENTO!$AF$7)*OFFSET(ORÇAMENTO!$W$15,ROW(AL145)-ROW(AL$15),0),15-13*ORÇAMENTO!$AF$11)),0)</f>
        <v>0</v>
      </c>
      <c r="AM145" s="545">
        <f ca="1">IF(AND($D145="Serviço",AM$12&lt;&gt;0,$H145&gt;0,OR(AUTOEVENTO&lt;&gt;"manual",$M145&lt;&gt;1)),
IF(Import.TipoArredondamento&lt;&gt;"TransfereGOV",
ROUND(OFFSET($P145,0,AM$13),15-13*ORÇAMENTO!$AF$7)/$H145*OFFSET(ORÇAMENTO!$X$15,ROW(AM145)-ROW(AM$15),0),
ROUND(ROUND(OFFSET($P145,0,AM$13),15-13*ORÇAMENTO!$AF$7)*OFFSET(ORÇAMENTO!$W$15,ROW(AM145)-ROW(AM$15),0),15-13*ORÇAMENTO!$AF$11)),0)</f>
        <v>0</v>
      </c>
      <c r="AN145" s="545">
        <f ca="1">IF(AND($D145="Serviço",AN$12&lt;&gt;0,$H145&gt;0,OR(AUTOEVENTO&lt;&gt;"manual",$M145&lt;&gt;1)),
IF(Import.TipoArredondamento&lt;&gt;"TransfereGOV",
ROUND(OFFSET($P145,0,AN$13),15-13*ORÇAMENTO!$AF$7)/$H145*OFFSET(ORÇAMENTO!$X$15,ROW(AN145)-ROW(AN$15),0),
ROUND(ROUND(OFFSET($P145,0,AN$13),15-13*ORÇAMENTO!$AF$7)*OFFSET(ORÇAMENTO!$W$15,ROW(AN145)-ROW(AN$15),0),15-13*ORÇAMENTO!$AF$11)),0)</f>
        <v>0</v>
      </c>
      <c r="AO145" s="545">
        <f ca="1">IF(AND($D145="Serviço",AO$12&lt;&gt;0,$H145&gt;0,OR(AUTOEVENTO&lt;&gt;"manual",$M145&lt;&gt;1)),
IF(Import.TipoArredondamento&lt;&gt;"TransfereGOV",
ROUND(OFFSET($P145,0,AO$13),15-13*ORÇAMENTO!$AF$7)/$H145*OFFSET(ORÇAMENTO!$X$15,ROW(AO145)-ROW(AO$15),0),
ROUND(ROUND(OFFSET($P145,0,AO$13),15-13*ORÇAMENTO!$AF$7)*OFFSET(ORÇAMENTO!$W$15,ROW(AO145)-ROW(AO$15),0),15-13*ORÇAMENTO!$AF$11)),0)</f>
        <v>0</v>
      </c>
      <c r="AP145" s="545">
        <f ca="1">IF(AND($D145="Serviço",AP$12&lt;&gt;0,$H145&gt;0,OR(AUTOEVENTO&lt;&gt;"manual",$M145&lt;&gt;1)),
IF(Import.TipoArredondamento&lt;&gt;"TransfereGOV",
ROUND(OFFSET($P145,0,AP$13),15-13*ORÇAMENTO!$AF$7)/$H145*OFFSET(ORÇAMENTO!$X$15,ROW(AP145)-ROW(AP$15),0),
ROUND(ROUND(OFFSET($P145,0,AP$13),15-13*ORÇAMENTO!$AF$7)*OFFSET(ORÇAMENTO!$W$15,ROW(AP145)-ROW(AP$15),0),15-13*ORÇAMENTO!$AF$11)),0)</f>
        <v>0</v>
      </c>
      <c r="AQ145" s="545">
        <f ca="1">IF(AND($D145="Serviço",AQ$12&lt;&gt;0,$H145&gt;0,OR(AUTOEVENTO&lt;&gt;"manual",$M145&lt;&gt;1)),
IF(Import.TipoArredondamento&lt;&gt;"TransfereGOV",
ROUND(OFFSET($P145,0,AQ$13),15-13*ORÇAMENTO!$AF$7)/$H145*OFFSET(ORÇAMENTO!$X$15,ROW(AQ145)-ROW(AQ$15),0),
ROUND(ROUND(OFFSET($P145,0,AQ$13),15-13*ORÇAMENTO!$AF$7)*OFFSET(ORÇAMENTO!$W$15,ROW(AQ145)-ROW(AQ$15),0),15-13*ORÇAMENTO!$AF$11)),0)</f>
        <v>0</v>
      </c>
      <c r="AR145" s="545">
        <f ca="1">IF(AND($D145="Serviço",AR$12&lt;&gt;0,$H145&gt;0,OR(AUTOEVENTO&lt;&gt;"manual",$M145&lt;&gt;1)),
IF(Import.TipoArredondamento&lt;&gt;"TransfereGOV",
ROUND(OFFSET($P145,0,AR$13),15-13*ORÇAMENTO!$AF$7)/$H145*OFFSET(ORÇAMENTO!$X$15,ROW(AR145)-ROW(AR$15),0),
ROUND(ROUND(OFFSET($P145,0,AR$13),15-13*ORÇAMENTO!$AF$7)*OFFSET(ORÇAMENTO!$W$15,ROW(AR145)-ROW(AR$15),0),15-13*ORÇAMENTO!$AF$11)),0)</f>
        <v>0</v>
      </c>
      <c r="AS145" s="546">
        <f ca="1">IF(AND($D145="Serviço",AS$12&lt;&gt;0,$H145&gt;0,OR(AUTOEVENTO&lt;&gt;"manual",$M145&lt;&gt;1)),
IF(Import.TipoArredondamento&lt;&gt;"TransfereGOV",
ROUND(OFFSET($P145,0,AS$13),15-13*ORÇAMENTO!$AF$7)/$H145*OFFSET(ORÇAMENTO!$X$15,ROW(AS145)-ROW(AS$15),0),
ROUND(ROUND(OFFSET($P145,0,AS$13),15-13*ORÇAMENTO!$AF$7)*OFFSET(ORÇAMENTO!$W$15,ROW(AS145)-ROW(AS$15),0),15-13*ORÇAMENTO!$AF$11)),0)</f>
        <v>0</v>
      </c>
      <c r="AT145" s="545">
        <f ca="1">IF(AND($D145="Serviço",AT$12&lt;&gt;0,$H145&gt;0,OR(AUTOEVENTO&lt;&gt;"manual",$M145&lt;&gt;1)),
IF(Import.TipoArredondamento&lt;&gt;"TransfereGOV",
ROUND(OFFSET($P145,0,AT$13),15-13*ORÇAMENTO!$AF$7)/$H145*OFFSET(ORÇAMENTO!$X$15,ROW(AT145)-ROW(AT$15),0),
ROUND(ROUND(OFFSET($P145,0,AT$13),15-13*ORÇAMENTO!$AF$7)*OFFSET(ORÇAMENTO!$W$15,ROW(AT145)-ROW(AT$15),0),15-13*ORÇAMENTO!$AF$11)),0)</f>
        <v>0</v>
      </c>
      <c r="AU145" s="545">
        <f ca="1">IF(AND($D145="Serviço",AU$12&lt;&gt;0,$H145&gt;0,OR(AUTOEVENTO&lt;&gt;"manual",$M145&lt;&gt;1)),
IF(Import.TipoArredondamento&lt;&gt;"TransfereGOV",
ROUND(OFFSET($P145,0,AU$13),15-13*ORÇAMENTO!$AF$7)/$H145*OFFSET(ORÇAMENTO!$X$15,ROW(AU145)-ROW(AU$15),0),
ROUND(ROUND(OFFSET($P145,0,AU$13),15-13*ORÇAMENTO!$AF$7)*OFFSET(ORÇAMENTO!$W$15,ROW(AU145)-ROW(AU$15),0),15-13*ORÇAMENTO!$AF$11)),0)</f>
        <v>0</v>
      </c>
      <c r="AV145" s="545">
        <f ca="1">IF(AND($D145="Serviço",AV$12&lt;&gt;0,$H145&gt;0,OR(AUTOEVENTO&lt;&gt;"manual",$M145&lt;&gt;1)),
IF(Import.TipoArredondamento&lt;&gt;"TransfereGOV",
ROUND(OFFSET($P145,0,AV$13),15-13*ORÇAMENTO!$AF$7)/$H145*OFFSET(ORÇAMENTO!$X$15,ROW(AV145)-ROW(AV$15),0),
ROUND(ROUND(OFFSET($P145,0,AV$13),15-13*ORÇAMENTO!$AF$7)*OFFSET(ORÇAMENTO!$W$15,ROW(AV145)-ROW(AV$15),0),15-13*ORÇAMENTO!$AF$11)),0)</f>
        <v>0</v>
      </c>
      <c r="AW145" s="545">
        <f ca="1">IF(AND($D145="Serviço",AW$12&lt;&gt;0,$H145&gt;0,OR(AUTOEVENTO&lt;&gt;"manual",$M145&lt;&gt;1)),
IF(Import.TipoArredondamento&lt;&gt;"TransfereGOV",
ROUND(OFFSET($P145,0,AW$13),15-13*ORÇAMENTO!$AF$7)/$H145*OFFSET(ORÇAMENTO!$X$15,ROW(AW145)-ROW(AW$15),0),
ROUND(ROUND(OFFSET($P145,0,AW$13),15-13*ORÇAMENTO!$AF$7)*OFFSET(ORÇAMENTO!$W$15,ROW(AW145)-ROW(AW$15),0),15-13*ORÇAMENTO!$AF$11)),0)</f>
        <v>0</v>
      </c>
      <c r="AX145" s="545">
        <f ca="1">IF(AND($D145="Serviço",AX$12&lt;&gt;0,$H145&gt;0,OR(AUTOEVENTO&lt;&gt;"manual",$M145&lt;&gt;1)),
IF(Import.TipoArredondamento&lt;&gt;"TransfereGOV",
ROUND(OFFSET($P145,0,AX$13),15-13*ORÇAMENTO!$AF$7)/$H145*OFFSET(ORÇAMENTO!$X$15,ROW(AX145)-ROW(AX$15),0),
ROUND(ROUND(OFFSET($P145,0,AX$13),15-13*ORÇAMENTO!$AF$7)*OFFSET(ORÇAMENTO!$W$15,ROW(AX145)-ROW(AX$15),0),15-13*ORÇAMENTO!$AF$11)),0)</f>
        <v>0</v>
      </c>
      <c r="AY145" s="545">
        <f ca="1">IF(AND($D145="Serviço",AY$12&lt;&gt;0,$H145&gt;0,OR(AUTOEVENTO&lt;&gt;"manual",$M145&lt;&gt;1)),
IF(Import.TipoArredondamento&lt;&gt;"TransfereGOV",
ROUND(OFFSET($P145,0,AY$13),15-13*ORÇAMENTO!$AF$7)/$H145*OFFSET(ORÇAMENTO!$X$15,ROW(AY145)-ROW(AY$15),0),
ROUND(ROUND(OFFSET($P145,0,AY$13),15-13*ORÇAMENTO!$AF$7)*OFFSET(ORÇAMENTO!$W$15,ROW(AY145)-ROW(AY$15),0),15-13*ORÇAMENTO!$AF$11)),0)</f>
        <v>0</v>
      </c>
      <c r="AZ145" s="545">
        <f ca="1">IF(AND($D145="Serviço",AZ$12&lt;&gt;0,$H145&gt;0,OR(AUTOEVENTO&lt;&gt;"manual",$M145&lt;&gt;1)),
IF(Import.TipoArredondamento&lt;&gt;"TransfereGOV",
ROUND(OFFSET($P145,0,AZ$13),15-13*ORÇAMENTO!$AF$7)/$H145*OFFSET(ORÇAMENTO!$X$15,ROW(AZ145)-ROW(AZ$15),0),
ROUND(ROUND(OFFSET($P145,0,AZ$13),15-13*ORÇAMENTO!$AF$7)*OFFSET(ORÇAMENTO!$W$15,ROW(AZ145)-ROW(AZ$15),0),15-13*ORÇAMENTO!$AF$11)),0)</f>
        <v>0</v>
      </c>
      <c r="BA145" s="546">
        <f ca="1">IF(AND($D145="Serviço",BA$12&lt;&gt;0,$H145&gt;0,OR(AUTOEVENTO&lt;&gt;"manual",$M145&lt;&gt;1)),
IF(Import.TipoArredondamento&lt;&gt;"TransfereGOV",
ROUND(OFFSET($P145,0,BA$13),15-13*ORÇAMENTO!$AF$7)/$H145*OFFSET(ORÇAMENTO!$X$15,ROW(BA145)-ROW(BA$15),0),
ROUND(ROUND(OFFSET($P145,0,BA$13),15-13*ORÇAMENTO!$AF$7)*OFFSET(ORÇAMENTO!$W$15,ROW(BA145)-ROW(BA$15),0),15-13*ORÇAMENTO!$AF$11)),0)</f>
        <v>0</v>
      </c>
      <c r="BC145" s="181">
        <f ca="1">IF($D145&lt;&gt;"Serviço",0,IF(AND(AUTOEVENTO="Manual",$M145=1),0,IF(OFFSET(CRONOPLE!$F$14,$M145,BC$13)="",10^12,OFFSET(CRONOPLE!$F$14,$M145,BC$13))))</f>
        <v>5</v>
      </c>
      <c r="BD145" s="181">
        <f ca="1">IF($D145&lt;&gt;"Serviço",0,IF(AND(AUTOEVENTO="Manual",$M145=1),0,IF(OFFSET(CRONOPLE!$F$14,$M145,BD$13)="",10^12,OFFSET(CRONOPLE!$F$14,$M145,BD$13))))</f>
        <v>1000000000000</v>
      </c>
      <c r="BE145" s="181">
        <f ca="1">IF($D145&lt;&gt;"Serviço",0,IF(AND(AUTOEVENTO="Manual",$M145=1),0,IF(OFFSET(CRONOPLE!$F$14,$M145,BE$13)="",10^12,OFFSET(CRONOPLE!$F$14,$M145,BE$13))))</f>
        <v>1000000000000</v>
      </c>
      <c r="BF145" s="181">
        <f ca="1">IF($D145&lt;&gt;"Serviço",0,IF(AND(AUTOEVENTO="Manual",$M145=1),0,IF(OFFSET(CRONOPLE!$F$14,$M145,BF$13)="",10^12,OFFSET(CRONOPLE!$F$14,$M145,BF$13))))</f>
        <v>1000000000000</v>
      </c>
      <c r="BG145" s="181">
        <f ca="1">IF($D145&lt;&gt;"Serviço",0,IF(AND(AUTOEVENTO="Manual",$M145=1),0,IF(OFFSET(CRONOPLE!$F$14,$M145,BG$13)="",10^12,OFFSET(CRONOPLE!$F$14,$M145,BG$13))))</f>
        <v>1000000000000</v>
      </c>
      <c r="BH145" s="181">
        <f ca="1">IF($D145&lt;&gt;"Serviço",0,IF(AND(AUTOEVENTO="Manual",$M145=1),0,IF(OFFSET(CRONOPLE!$F$14,$M145,BH$13)="",10^12,OFFSET(CRONOPLE!$F$14,$M145,BH$13))))</f>
        <v>1000000000000</v>
      </c>
      <c r="BI145" s="181">
        <f ca="1">IF($D145&lt;&gt;"Serviço",0,IF(AND(AUTOEVENTO="Manual",$M145=1),0,IF(OFFSET(CRONOPLE!$F$14,$M145,BI$13)="",10^12,OFFSET(CRONOPLE!$F$14,$M145,BI$13))))</f>
        <v>1000000000000</v>
      </c>
      <c r="BJ145" s="181">
        <f ca="1">IF($D145&lt;&gt;"Serviço",0,IF(AND(AUTOEVENTO="Manual",$M145=1),0,IF(OFFSET(CRONOPLE!$F$14,$M145,BJ$13)="",10^12,OFFSET(CRONOPLE!$F$14,$M145,BJ$13))))</f>
        <v>1000000000000</v>
      </c>
      <c r="BK145" s="181">
        <f ca="1">IF($D145&lt;&gt;"Serviço",0,IF(AND(AUTOEVENTO="Manual",$M145=1),0,IF(OFFSET(CRONOPLE!$F$14,$M145,BK$13)="",10^12,OFFSET(CRONOPLE!$F$14,$M145,BK$13))))</f>
        <v>1000000000000</v>
      </c>
      <c r="BL145" s="181">
        <f ca="1">IF($D145&lt;&gt;"Serviço",0,IF(AND(AUTOEVENTO="Manual",$M145=1),0,IF(OFFSET(CRONOPLE!$F$14,$M145,BL$13)="",10^12,OFFSET(CRONOPLE!$F$14,$M145,BL$13))))</f>
        <v>1000000000000</v>
      </c>
      <c r="BM145" s="181">
        <f ca="1">IF($D145&lt;&gt;"Serviço",0,IF(AND(AUTOEVENTO="Manual",$M145=1),0,IF(OFFSET(CRONOPLE!$F$14,$M145,BM$13)="",10^12,OFFSET(CRONOPLE!$F$14,$M145,BM$13))))</f>
        <v>1000000000000</v>
      </c>
      <c r="BN145" s="181">
        <f ca="1">IF($D145&lt;&gt;"Serviço",0,IF(AND(AUTOEVENTO="Manual",$M145=1),0,IF(OFFSET(CRONOPLE!$F$14,$M145,BN$13)="",10^12,OFFSET(CRONOPLE!$F$14,$M145,BN$13))))</f>
        <v>1000000000000</v>
      </c>
      <c r="BO145" s="181">
        <f ca="1">IF($D145&lt;&gt;"Serviço",0,IF(AND(AUTOEVENTO="Manual",$M145=1),0,IF(OFFSET(CRONOPLE!$F$14,$M145,BO$13)="",10^12,OFFSET(CRONOPLE!$F$14,$M145,BO$13))))</f>
        <v>1000000000000</v>
      </c>
      <c r="BP145" s="181">
        <f ca="1">IF($D145&lt;&gt;"Serviço",0,IF(AND(AUTOEVENTO="Manual",$M145=1),0,IF(OFFSET(CRONOPLE!$F$14,$M145,BP$13)="",10^12,OFFSET(CRONOPLE!$F$14,$M145,BP$13))))</f>
        <v>1000000000000</v>
      </c>
      <c r="BQ145" s="181">
        <f ca="1">IF($D145&lt;&gt;"Serviço",0,IF(AND(AUTOEVENTO="Manual",$M145=1),0,IF(OFFSET(CRONOPLE!$F$14,$M145,BQ$13)="",10^12,OFFSET(CRONOPLE!$F$14,$M145,BQ$13))))</f>
        <v>1000000000000</v>
      </c>
      <c r="BR145" s="181">
        <f ca="1">IF($D145&lt;&gt;"Serviço",0,IF(AND(AUTOEVENTO="Manual",$M145=1),0,IF(OFFSET(CRONOPLE!$F$14,$M145,BR$13)="",10^12,OFFSET(CRONOPLE!$F$14,$M145,BR$13))))</f>
        <v>1000000000000</v>
      </c>
      <c r="BS145" s="181">
        <f ca="1">IF($D145&lt;&gt;"Serviço",0,IF(AND(AUTOEVENTO="Manual",$M145=1),0,IF(OFFSET(CRONOPLE!$F$14,$M145,BS$13)="",10^12,OFFSET(CRONOPLE!$F$14,$M145,BS$13))))</f>
        <v>1000000000000</v>
      </c>
      <c r="BT145" s="181">
        <f ca="1">IF($D145&lt;&gt;"Serviço",0,IF(AND(AUTOEVENTO="Manual",$M145=1),0,IF(OFFSET(CRONOPLE!$F$14,$M145,BT$13)="",10^12,OFFSET(CRONOPLE!$F$14,$M145,BT$13))))</f>
        <v>1000000000000</v>
      </c>
      <c r="BV145" s="182">
        <f ca="1">IF($D145&lt;&gt;"Serviço",0,IF(OR(AND(AUTOEVENTO="Manual",$M145=1),$M145&gt;(ROW(PLE.lastrow)-ROW(PLE.firstrow))),0,IF(OFFSET(PLE!$G$14,$M145,BV$13)="",10^12,OFFSET(PLE!$G$14,$M145,BV$13))))</f>
        <v>1000000000000</v>
      </c>
      <c r="BW145" s="182">
        <f ca="1">IF($D145&lt;&gt;"Serviço",0,IF(OR(AND(AUTOEVENTO="Manual",$M145=1),$M145&gt;(ROW(PLE.lastrow)-ROW(PLE.firstrow))),0,IF(OFFSET(PLE!$G$14,$M145,BW$13)="",10^12,OFFSET(PLE!$G$14,$M145,BW$13))))</f>
        <v>1000000000000</v>
      </c>
      <c r="BX145" s="182">
        <f ca="1">IF($D145&lt;&gt;"Serviço",0,IF(OR(AND(AUTOEVENTO="Manual",$M145=1),$M145&gt;(ROW(PLE.lastrow)-ROW(PLE.firstrow))),0,IF(OFFSET(PLE!$G$14,$M145,BX$13)="",10^12,OFFSET(PLE!$G$14,$M145,BX$13))))</f>
        <v>1000000000000</v>
      </c>
      <c r="BY145" s="182">
        <f ca="1">IF($D145&lt;&gt;"Serviço",0,IF(OR(AND(AUTOEVENTO="Manual",$M145=1),$M145&gt;(ROW(PLE.lastrow)-ROW(PLE.firstrow))),0,IF(OFFSET(PLE!$G$14,$M145,BY$13)="",10^12,OFFSET(PLE!$G$14,$M145,BY$13))))</f>
        <v>1000000000000</v>
      </c>
      <c r="BZ145" s="182">
        <f ca="1">IF($D145&lt;&gt;"Serviço",0,IF(OR(AND(AUTOEVENTO="Manual",$M145=1),$M145&gt;(ROW(PLE.lastrow)-ROW(PLE.firstrow))),0,IF(OFFSET(PLE!$G$14,$M145,BZ$13)="",10^12,OFFSET(PLE!$G$14,$M145,BZ$13))))</f>
        <v>1000000000000</v>
      </c>
      <c r="CA145" s="182">
        <f ca="1">IF($D145&lt;&gt;"Serviço",0,IF(OR(AND(AUTOEVENTO="Manual",$M145=1),$M145&gt;(ROW(PLE.lastrow)-ROW(PLE.firstrow))),0,IF(OFFSET(PLE!$G$14,$M145,CA$13)="",10^12,OFFSET(PLE!$G$14,$M145,CA$13))))</f>
        <v>1000000000000</v>
      </c>
      <c r="CB145" s="182">
        <f ca="1">IF($D145&lt;&gt;"Serviço",0,IF(OR(AND(AUTOEVENTO="Manual",$M145=1),$M145&gt;(ROW(PLE.lastrow)-ROW(PLE.firstrow))),0,IF(OFFSET(PLE!$G$14,$M145,CB$13)="",10^12,OFFSET(PLE!$G$14,$M145,CB$13))))</f>
        <v>1000000000000</v>
      </c>
      <c r="CC145" s="182">
        <f ca="1">IF($D145&lt;&gt;"Serviço",0,IF(OR(AND(AUTOEVENTO="Manual",$M145=1),$M145&gt;(ROW(PLE.lastrow)-ROW(PLE.firstrow))),0,IF(OFFSET(PLE!$G$14,$M145,CC$13)="",10^12,OFFSET(PLE!$G$14,$M145,CC$13))))</f>
        <v>1000000000000</v>
      </c>
      <c r="CD145" s="182">
        <f ca="1">IF($D145&lt;&gt;"Serviço",0,IF(OR(AND(AUTOEVENTO="Manual",$M145=1),$M145&gt;(ROW(PLE.lastrow)-ROW(PLE.firstrow))),0,IF(OFFSET(PLE!$G$14,$M145,CD$13)="",10^12,OFFSET(PLE!$G$14,$M145,CD$13))))</f>
        <v>1000000000000</v>
      </c>
      <c r="CE145" s="182">
        <f ca="1">IF($D145&lt;&gt;"Serviço",0,IF(OR(AND(AUTOEVENTO="Manual",$M145=1),$M145&gt;(ROW(PLE.lastrow)-ROW(PLE.firstrow))),0,IF(OFFSET(PLE!$G$14,$M145,CE$13)="",10^12,OFFSET(PLE!$G$14,$M145,CE$13))))</f>
        <v>1000000000000</v>
      </c>
      <c r="CF145" s="182">
        <f ca="1">IF($D145&lt;&gt;"Serviço",0,IF(OR(AND(AUTOEVENTO="Manual",$M145=1),$M145&gt;(ROW(PLE.lastrow)-ROW(PLE.firstrow))),0,IF(OFFSET(PLE!$G$14,$M145,CF$13)="",10^12,OFFSET(PLE!$G$14,$M145,CF$13))))</f>
        <v>1000000000000</v>
      </c>
      <c r="CG145" s="182">
        <f ca="1">IF($D145&lt;&gt;"Serviço",0,IF(OR(AND(AUTOEVENTO="Manual",$M145=1),$M145&gt;(ROW(PLE.lastrow)-ROW(PLE.firstrow))),0,IF(OFFSET(PLE!$G$14,$M145,CG$13)="",10^12,OFFSET(PLE!$G$14,$M145,CG$13))))</f>
        <v>1000000000000</v>
      </c>
      <c r="CH145" s="182">
        <f ca="1">IF($D145&lt;&gt;"Serviço",0,IF(OR(AND(AUTOEVENTO="Manual",$M145=1),$M145&gt;(ROW(PLE.lastrow)-ROW(PLE.firstrow))),0,IF(OFFSET(PLE!$G$14,$M145,CH$13)="",10^12,OFFSET(PLE!$G$14,$M145,CH$13))))</f>
        <v>1000000000000</v>
      </c>
      <c r="CI145" s="182">
        <f ca="1">IF($D145&lt;&gt;"Serviço",0,IF(OR(AND(AUTOEVENTO="Manual",$M145=1),$M145&gt;(ROW(PLE.lastrow)-ROW(PLE.firstrow))),0,IF(OFFSET(PLE!$G$14,$M145,CI$13)="",10^12,OFFSET(PLE!$G$14,$M145,CI$13))))</f>
        <v>1000000000000</v>
      </c>
      <c r="CJ145" s="182">
        <f ca="1">IF($D145&lt;&gt;"Serviço",0,IF(OR(AND(AUTOEVENTO="Manual",$M145=1),$M145&gt;(ROW(PLE.lastrow)-ROW(PLE.firstrow))),0,IF(OFFSET(PLE!$G$14,$M145,CJ$13)="",10^12,OFFSET(PLE!$G$14,$M145,CJ$13))))</f>
        <v>1000000000000</v>
      </c>
      <c r="CK145" s="182">
        <f ca="1">IF($D145&lt;&gt;"Serviço",0,IF(OR(AND(AUTOEVENTO="Manual",$M145=1),$M145&gt;(ROW(PLE.lastrow)-ROW(PLE.firstrow))),0,IF(OFFSET(PLE!$G$14,$M145,CK$13)="",10^12,OFFSET(PLE!$G$14,$M145,CK$13))))</f>
        <v>1000000000000</v>
      </c>
      <c r="CL145" s="182">
        <f ca="1">IF($D145&lt;&gt;"Serviço",0,IF(OR(AND(AUTOEVENTO="Manual",$M145=1),$M145&gt;(ROW(PLE.lastrow)-ROW(PLE.firstrow))),0,IF(OFFSET(PLE!$G$14,$M145,CL$13)="",10^12,OFFSET(PLE!$G$14,$M145,CL$13))))</f>
        <v>1000000000000</v>
      </c>
      <c r="CM145" s="182">
        <f ca="1">IF($D145&lt;&gt;"Serviço",0,IF(OR(AND(AUTOEVENTO="Manual",$M145=1),$M145&gt;(ROW(PLE.lastrow)-ROW(PLE.firstrow))),0,IF(OFFSET(PLE!$G$14,$M145,CM$13)="",10^12,OFFSET(PLE!$G$14,$M145,CM$13))))</f>
        <v>1000000000000</v>
      </c>
    </row>
    <row r="146" spans="1:91" ht="38.25" x14ac:dyDescent="0.2">
      <c r="A146" s="7" t="str">
        <f t="shared" ca="1" si="11"/>
        <v>119</v>
      </c>
      <c r="B146" s="7" t="str">
        <f ca="1">OFFSET(ORÇAMENTO!C$15,ROW(B146)-ROW(B$15),0)</f>
        <v>S</v>
      </c>
      <c r="C146" s="7" t="str">
        <f ca="1">OFFSET(ORÇAMENTO!L$15,ROW(C146)-ROW(C$15),0)</f>
        <v/>
      </c>
      <c r="D146" s="118" t="str">
        <f ca="1">OFFSET(ORÇAMENTO!N$15,ROW(D146)-ROW(D$15),0)</f>
        <v>Serviço</v>
      </c>
      <c r="E146" s="119" t="str">
        <f ca="1">OFFSET(ORÇAMENTO!O$15,ROW(E146)-ROW(E$15),0)</f>
        <v>-</v>
      </c>
      <c r="F146" s="172" t="str">
        <f ca="1">OFFSET(ORÇAMENTO!R$15,ROW(F146)-ROW(F$15),0)</f>
        <v>(abra o arquivo 'Referência 06-2024.xlsm)</v>
      </c>
      <c r="G146" s="173" t="str">
        <f ca="1">IF($D146&lt;&gt;"Serviço","",OFFSET(ORÇAMENTO!S$15,ROW(G146)-ROW(G$15),0))</f>
        <v>-</v>
      </c>
      <c r="H146" s="124">
        <f ca="1">IF($D146&lt;&gt;"Serviço",0,IF(ACOMPANHAMENTO="BM",ROUND(OFFSET(ORÇAMENTO!AJ$15,ROW(H146)-ROW(H$15),0),15-13*ORÇAMENTO!$AF$7),SUMPRODUCT(($Q$12:$AI$12&lt;&gt;"")*ROUND($Q146:$AI146,15-13*ORÇAMENTO!$AF$7))))</f>
        <v>8.4</v>
      </c>
      <c r="I146" s="561" t="s">
        <v>1107</v>
      </c>
      <c r="K146" s="174"/>
      <c r="L146" s="175" t="s">
        <v>255</v>
      </c>
      <c r="M146" s="176">
        <f ca="1">IF($D146&lt;&gt;"Serviço","",IF(AUTOEVENTO="manual",$A146,IF(ISERROR(MATCH($A146,$A$15:OFFSET($A146,-1,0),0)),MAX($M$15:OFFSET(M146,-1,0))+1,INDEX($M$15:OFFSET(M146,-1,0),MATCH($A146,$A$15:OFFSET($A146,-1,0),0)))))</f>
        <v>22</v>
      </c>
      <c r="N146" s="177" t="str">
        <f ca="1">IF($D146&lt;&gt;"Serviço","",IF(AUTOEVENTO="Manual",IF($A146=0,"&lt;-- defina o número do agrupador",OFFSET(EVENTOS!$D$14,$A146,0)),OFFSET($F$15,$A146,0)))</f>
        <v>ESQUADRIAS - JANELAS EM ALUMÍNIO</v>
      </c>
      <c r="O146" s="178"/>
      <c r="Q146" s="178">
        <v>8.4</v>
      </c>
      <c r="R146" s="179"/>
      <c r="S146" s="179"/>
      <c r="T146" s="179"/>
      <c r="U146" s="179"/>
      <c r="V146" s="179"/>
      <c r="W146" s="179"/>
      <c r="X146" s="179"/>
      <c r="Y146" s="179"/>
      <c r="Z146" s="180"/>
      <c r="AA146" s="179"/>
      <c r="AB146" s="179"/>
      <c r="AC146" s="179"/>
      <c r="AD146" s="179"/>
      <c r="AE146" s="179"/>
      <c r="AF146" s="179"/>
      <c r="AG146" s="179"/>
      <c r="AH146" s="180"/>
      <c r="AJ146" s="544">
        <f ca="1">IF(AND($D146="Serviço",AJ$12&lt;&gt;0,$H146&gt;0,OR(AUTOEVENTO&lt;&gt;"manual",$M146&lt;&gt;1)),
IF(Import.TipoArredondamento&lt;&gt;"TransfereGOV",
ROUND(OFFSET($P146,0,AJ$13),15-13*ORÇAMENTO!$AF$7)/$H146*OFFSET(ORÇAMENTO!$X$15,ROW(AJ146)-ROW(AJ$15),0),
ROUND(ROUND(OFFSET($P146,0,AJ$13),15-13*ORÇAMENTO!$AF$7)*OFFSET(ORÇAMENTO!$W$15,ROW(AJ146)-ROW(AJ$15),0),15-13*ORÇAMENTO!$AF$11)),0)</f>
        <v>0</v>
      </c>
      <c r="AK146" s="545">
        <f ca="1">IF(AND($D146="Serviço",AK$12&lt;&gt;0,$H146&gt;0,OR(AUTOEVENTO&lt;&gt;"manual",$M146&lt;&gt;1)),
IF(Import.TipoArredondamento&lt;&gt;"TransfereGOV",
ROUND(OFFSET($P146,0,AK$13),15-13*ORÇAMENTO!$AF$7)/$H146*OFFSET(ORÇAMENTO!$X$15,ROW(AK146)-ROW(AK$15),0),
ROUND(ROUND(OFFSET($P146,0,AK$13),15-13*ORÇAMENTO!$AF$7)*OFFSET(ORÇAMENTO!$W$15,ROW(AK146)-ROW(AK$15),0),15-13*ORÇAMENTO!$AF$11)),0)</f>
        <v>0</v>
      </c>
      <c r="AL146" s="545">
        <f ca="1">IF(AND($D146="Serviço",AL$12&lt;&gt;0,$H146&gt;0,OR(AUTOEVENTO&lt;&gt;"manual",$M146&lt;&gt;1)),
IF(Import.TipoArredondamento&lt;&gt;"TransfereGOV",
ROUND(OFFSET($P146,0,AL$13),15-13*ORÇAMENTO!$AF$7)/$H146*OFFSET(ORÇAMENTO!$X$15,ROW(AL146)-ROW(AL$15),0),
ROUND(ROUND(OFFSET($P146,0,AL$13),15-13*ORÇAMENTO!$AF$7)*OFFSET(ORÇAMENTO!$W$15,ROW(AL146)-ROW(AL$15),0),15-13*ORÇAMENTO!$AF$11)),0)</f>
        <v>0</v>
      </c>
      <c r="AM146" s="545">
        <f ca="1">IF(AND($D146="Serviço",AM$12&lt;&gt;0,$H146&gt;0,OR(AUTOEVENTO&lt;&gt;"manual",$M146&lt;&gt;1)),
IF(Import.TipoArredondamento&lt;&gt;"TransfereGOV",
ROUND(OFFSET($P146,0,AM$13),15-13*ORÇAMENTO!$AF$7)/$H146*OFFSET(ORÇAMENTO!$X$15,ROW(AM146)-ROW(AM$15),0),
ROUND(ROUND(OFFSET($P146,0,AM$13),15-13*ORÇAMENTO!$AF$7)*OFFSET(ORÇAMENTO!$W$15,ROW(AM146)-ROW(AM$15),0),15-13*ORÇAMENTO!$AF$11)),0)</f>
        <v>0</v>
      </c>
      <c r="AN146" s="545">
        <f ca="1">IF(AND($D146="Serviço",AN$12&lt;&gt;0,$H146&gt;0,OR(AUTOEVENTO&lt;&gt;"manual",$M146&lt;&gt;1)),
IF(Import.TipoArredondamento&lt;&gt;"TransfereGOV",
ROUND(OFFSET($P146,0,AN$13),15-13*ORÇAMENTO!$AF$7)/$H146*OFFSET(ORÇAMENTO!$X$15,ROW(AN146)-ROW(AN$15),0),
ROUND(ROUND(OFFSET($P146,0,AN$13),15-13*ORÇAMENTO!$AF$7)*OFFSET(ORÇAMENTO!$W$15,ROW(AN146)-ROW(AN$15),0),15-13*ORÇAMENTO!$AF$11)),0)</f>
        <v>0</v>
      </c>
      <c r="AO146" s="545">
        <f ca="1">IF(AND($D146="Serviço",AO$12&lt;&gt;0,$H146&gt;0,OR(AUTOEVENTO&lt;&gt;"manual",$M146&lt;&gt;1)),
IF(Import.TipoArredondamento&lt;&gt;"TransfereGOV",
ROUND(OFFSET($P146,0,AO$13),15-13*ORÇAMENTO!$AF$7)/$H146*OFFSET(ORÇAMENTO!$X$15,ROW(AO146)-ROW(AO$15),0),
ROUND(ROUND(OFFSET($P146,0,AO$13),15-13*ORÇAMENTO!$AF$7)*OFFSET(ORÇAMENTO!$W$15,ROW(AO146)-ROW(AO$15),0),15-13*ORÇAMENTO!$AF$11)),0)</f>
        <v>0</v>
      </c>
      <c r="AP146" s="545">
        <f ca="1">IF(AND($D146="Serviço",AP$12&lt;&gt;0,$H146&gt;0,OR(AUTOEVENTO&lt;&gt;"manual",$M146&lt;&gt;1)),
IF(Import.TipoArredondamento&lt;&gt;"TransfereGOV",
ROUND(OFFSET($P146,0,AP$13),15-13*ORÇAMENTO!$AF$7)/$H146*OFFSET(ORÇAMENTO!$X$15,ROW(AP146)-ROW(AP$15),0),
ROUND(ROUND(OFFSET($P146,0,AP$13),15-13*ORÇAMENTO!$AF$7)*OFFSET(ORÇAMENTO!$W$15,ROW(AP146)-ROW(AP$15),0),15-13*ORÇAMENTO!$AF$11)),0)</f>
        <v>0</v>
      </c>
      <c r="AQ146" s="545">
        <f ca="1">IF(AND($D146="Serviço",AQ$12&lt;&gt;0,$H146&gt;0,OR(AUTOEVENTO&lt;&gt;"manual",$M146&lt;&gt;1)),
IF(Import.TipoArredondamento&lt;&gt;"TransfereGOV",
ROUND(OFFSET($P146,0,AQ$13),15-13*ORÇAMENTO!$AF$7)/$H146*OFFSET(ORÇAMENTO!$X$15,ROW(AQ146)-ROW(AQ$15),0),
ROUND(ROUND(OFFSET($P146,0,AQ$13),15-13*ORÇAMENTO!$AF$7)*OFFSET(ORÇAMENTO!$W$15,ROW(AQ146)-ROW(AQ$15),0),15-13*ORÇAMENTO!$AF$11)),0)</f>
        <v>0</v>
      </c>
      <c r="AR146" s="545">
        <f ca="1">IF(AND($D146="Serviço",AR$12&lt;&gt;0,$H146&gt;0,OR(AUTOEVENTO&lt;&gt;"manual",$M146&lt;&gt;1)),
IF(Import.TipoArredondamento&lt;&gt;"TransfereGOV",
ROUND(OFFSET($P146,0,AR$13),15-13*ORÇAMENTO!$AF$7)/$H146*OFFSET(ORÇAMENTO!$X$15,ROW(AR146)-ROW(AR$15),0),
ROUND(ROUND(OFFSET($P146,0,AR$13),15-13*ORÇAMENTO!$AF$7)*OFFSET(ORÇAMENTO!$W$15,ROW(AR146)-ROW(AR$15),0),15-13*ORÇAMENTO!$AF$11)),0)</f>
        <v>0</v>
      </c>
      <c r="AS146" s="546">
        <f ca="1">IF(AND($D146="Serviço",AS$12&lt;&gt;0,$H146&gt;0,OR(AUTOEVENTO&lt;&gt;"manual",$M146&lt;&gt;1)),
IF(Import.TipoArredondamento&lt;&gt;"TransfereGOV",
ROUND(OFFSET($P146,0,AS$13),15-13*ORÇAMENTO!$AF$7)/$H146*OFFSET(ORÇAMENTO!$X$15,ROW(AS146)-ROW(AS$15),0),
ROUND(ROUND(OFFSET($P146,0,AS$13),15-13*ORÇAMENTO!$AF$7)*OFFSET(ORÇAMENTO!$W$15,ROW(AS146)-ROW(AS$15),0),15-13*ORÇAMENTO!$AF$11)),0)</f>
        <v>0</v>
      </c>
      <c r="AT146" s="545">
        <f ca="1">IF(AND($D146="Serviço",AT$12&lt;&gt;0,$H146&gt;0,OR(AUTOEVENTO&lt;&gt;"manual",$M146&lt;&gt;1)),
IF(Import.TipoArredondamento&lt;&gt;"TransfereGOV",
ROUND(OFFSET($P146,0,AT$13),15-13*ORÇAMENTO!$AF$7)/$H146*OFFSET(ORÇAMENTO!$X$15,ROW(AT146)-ROW(AT$15),0),
ROUND(ROUND(OFFSET($P146,0,AT$13),15-13*ORÇAMENTO!$AF$7)*OFFSET(ORÇAMENTO!$W$15,ROW(AT146)-ROW(AT$15),0),15-13*ORÇAMENTO!$AF$11)),0)</f>
        <v>0</v>
      </c>
      <c r="AU146" s="545">
        <f ca="1">IF(AND($D146="Serviço",AU$12&lt;&gt;0,$H146&gt;0,OR(AUTOEVENTO&lt;&gt;"manual",$M146&lt;&gt;1)),
IF(Import.TipoArredondamento&lt;&gt;"TransfereGOV",
ROUND(OFFSET($P146,0,AU$13),15-13*ORÇAMENTO!$AF$7)/$H146*OFFSET(ORÇAMENTO!$X$15,ROW(AU146)-ROW(AU$15),0),
ROUND(ROUND(OFFSET($P146,0,AU$13),15-13*ORÇAMENTO!$AF$7)*OFFSET(ORÇAMENTO!$W$15,ROW(AU146)-ROW(AU$15),0),15-13*ORÇAMENTO!$AF$11)),0)</f>
        <v>0</v>
      </c>
      <c r="AV146" s="545">
        <f ca="1">IF(AND($D146="Serviço",AV$12&lt;&gt;0,$H146&gt;0,OR(AUTOEVENTO&lt;&gt;"manual",$M146&lt;&gt;1)),
IF(Import.TipoArredondamento&lt;&gt;"TransfereGOV",
ROUND(OFFSET($P146,0,AV$13),15-13*ORÇAMENTO!$AF$7)/$H146*OFFSET(ORÇAMENTO!$X$15,ROW(AV146)-ROW(AV$15),0),
ROUND(ROUND(OFFSET($P146,0,AV$13),15-13*ORÇAMENTO!$AF$7)*OFFSET(ORÇAMENTO!$W$15,ROW(AV146)-ROW(AV$15),0),15-13*ORÇAMENTO!$AF$11)),0)</f>
        <v>0</v>
      </c>
      <c r="AW146" s="545">
        <f ca="1">IF(AND($D146="Serviço",AW$12&lt;&gt;0,$H146&gt;0,OR(AUTOEVENTO&lt;&gt;"manual",$M146&lt;&gt;1)),
IF(Import.TipoArredondamento&lt;&gt;"TransfereGOV",
ROUND(OFFSET($P146,0,AW$13),15-13*ORÇAMENTO!$AF$7)/$H146*OFFSET(ORÇAMENTO!$X$15,ROW(AW146)-ROW(AW$15),0),
ROUND(ROUND(OFFSET($P146,0,AW$13),15-13*ORÇAMENTO!$AF$7)*OFFSET(ORÇAMENTO!$W$15,ROW(AW146)-ROW(AW$15),0),15-13*ORÇAMENTO!$AF$11)),0)</f>
        <v>0</v>
      </c>
      <c r="AX146" s="545">
        <f ca="1">IF(AND($D146="Serviço",AX$12&lt;&gt;0,$H146&gt;0,OR(AUTOEVENTO&lt;&gt;"manual",$M146&lt;&gt;1)),
IF(Import.TipoArredondamento&lt;&gt;"TransfereGOV",
ROUND(OFFSET($P146,0,AX$13),15-13*ORÇAMENTO!$AF$7)/$H146*OFFSET(ORÇAMENTO!$X$15,ROW(AX146)-ROW(AX$15),0),
ROUND(ROUND(OFFSET($P146,0,AX$13),15-13*ORÇAMENTO!$AF$7)*OFFSET(ORÇAMENTO!$W$15,ROW(AX146)-ROW(AX$15),0),15-13*ORÇAMENTO!$AF$11)),0)</f>
        <v>0</v>
      </c>
      <c r="AY146" s="545">
        <f ca="1">IF(AND($D146="Serviço",AY$12&lt;&gt;0,$H146&gt;0,OR(AUTOEVENTO&lt;&gt;"manual",$M146&lt;&gt;1)),
IF(Import.TipoArredondamento&lt;&gt;"TransfereGOV",
ROUND(OFFSET($P146,0,AY$13),15-13*ORÇAMENTO!$AF$7)/$H146*OFFSET(ORÇAMENTO!$X$15,ROW(AY146)-ROW(AY$15),0),
ROUND(ROUND(OFFSET($P146,0,AY$13),15-13*ORÇAMENTO!$AF$7)*OFFSET(ORÇAMENTO!$W$15,ROW(AY146)-ROW(AY$15),0),15-13*ORÇAMENTO!$AF$11)),0)</f>
        <v>0</v>
      </c>
      <c r="AZ146" s="545">
        <f ca="1">IF(AND($D146="Serviço",AZ$12&lt;&gt;0,$H146&gt;0,OR(AUTOEVENTO&lt;&gt;"manual",$M146&lt;&gt;1)),
IF(Import.TipoArredondamento&lt;&gt;"TransfereGOV",
ROUND(OFFSET($P146,0,AZ$13),15-13*ORÇAMENTO!$AF$7)/$H146*OFFSET(ORÇAMENTO!$X$15,ROW(AZ146)-ROW(AZ$15),0),
ROUND(ROUND(OFFSET($P146,0,AZ$13),15-13*ORÇAMENTO!$AF$7)*OFFSET(ORÇAMENTO!$W$15,ROW(AZ146)-ROW(AZ$15),0),15-13*ORÇAMENTO!$AF$11)),0)</f>
        <v>0</v>
      </c>
      <c r="BA146" s="546">
        <f ca="1">IF(AND($D146="Serviço",BA$12&lt;&gt;0,$H146&gt;0,OR(AUTOEVENTO&lt;&gt;"manual",$M146&lt;&gt;1)),
IF(Import.TipoArredondamento&lt;&gt;"TransfereGOV",
ROUND(OFFSET($P146,0,BA$13),15-13*ORÇAMENTO!$AF$7)/$H146*OFFSET(ORÇAMENTO!$X$15,ROW(BA146)-ROW(BA$15),0),
ROUND(ROUND(OFFSET($P146,0,BA$13),15-13*ORÇAMENTO!$AF$7)*OFFSET(ORÇAMENTO!$W$15,ROW(BA146)-ROW(BA$15),0),15-13*ORÇAMENTO!$AF$11)),0)</f>
        <v>0</v>
      </c>
      <c r="BC146" s="181">
        <f ca="1">IF($D146&lt;&gt;"Serviço",0,IF(AND(AUTOEVENTO="Manual",$M146=1),0,IF(OFFSET(CRONOPLE!$F$14,$M146,BC$13)="",10^12,OFFSET(CRONOPLE!$F$14,$M146,BC$13))))</f>
        <v>5</v>
      </c>
      <c r="BD146" s="181">
        <f ca="1">IF($D146&lt;&gt;"Serviço",0,IF(AND(AUTOEVENTO="Manual",$M146=1),0,IF(OFFSET(CRONOPLE!$F$14,$M146,BD$13)="",10^12,OFFSET(CRONOPLE!$F$14,$M146,BD$13))))</f>
        <v>1000000000000</v>
      </c>
      <c r="BE146" s="181">
        <f ca="1">IF($D146&lt;&gt;"Serviço",0,IF(AND(AUTOEVENTO="Manual",$M146=1),0,IF(OFFSET(CRONOPLE!$F$14,$M146,BE$13)="",10^12,OFFSET(CRONOPLE!$F$14,$M146,BE$13))))</f>
        <v>1000000000000</v>
      </c>
      <c r="BF146" s="181">
        <f ca="1">IF($D146&lt;&gt;"Serviço",0,IF(AND(AUTOEVENTO="Manual",$M146=1),0,IF(OFFSET(CRONOPLE!$F$14,$M146,BF$13)="",10^12,OFFSET(CRONOPLE!$F$14,$M146,BF$13))))</f>
        <v>1000000000000</v>
      </c>
      <c r="BG146" s="181">
        <f ca="1">IF($D146&lt;&gt;"Serviço",0,IF(AND(AUTOEVENTO="Manual",$M146=1),0,IF(OFFSET(CRONOPLE!$F$14,$M146,BG$13)="",10^12,OFFSET(CRONOPLE!$F$14,$M146,BG$13))))</f>
        <v>1000000000000</v>
      </c>
      <c r="BH146" s="181">
        <f ca="1">IF($D146&lt;&gt;"Serviço",0,IF(AND(AUTOEVENTO="Manual",$M146=1),0,IF(OFFSET(CRONOPLE!$F$14,$M146,BH$13)="",10^12,OFFSET(CRONOPLE!$F$14,$M146,BH$13))))</f>
        <v>1000000000000</v>
      </c>
      <c r="BI146" s="181">
        <f ca="1">IF($D146&lt;&gt;"Serviço",0,IF(AND(AUTOEVENTO="Manual",$M146=1),0,IF(OFFSET(CRONOPLE!$F$14,$M146,BI$13)="",10^12,OFFSET(CRONOPLE!$F$14,$M146,BI$13))))</f>
        <v>1000000000000</v>
      </c>
      <c r="BJ146" s="181">
        <f ca="1">IF($D146&lt;&gt;"Serviço",0,IF(AND(AUTOEVENTO="Manual",$M146=1),0,IF(OFFSET(CRONOPLE!$F$14,$M146,BJ$13)="",10^12,OFFSET(CRONOPLE!$F$14,$M146,BJ$13))))</f>
        <v>1000000000000</v>
      </c>
      <c r="BK146" s="181">
        <f ca="1">IF($D146&lt;&gt;"Serviço",0,IF(AND(AUTOEVENTO="Manual",$M146=1),0,IF(OFFSET(CRONOPLE!$F$14,$M146,BK$13)="",10^12,OFFSET(CRONOPLE!$F$14,$M146,BK$13))))</f>
        <v>1000000000000</v>
      </c>
      <c r="BL146" s="181">
        <f ca="1">IF($D146&lt;&gt;"Serviço",0,IF(AND(AUTOEVENTO="Manual",$M146=1),0,IF(OFFSET(CRONOPLE!$F$14,$M146,BL$13)="",10^12,OFFSET(CRONOPLE!$F$14,$M146,BL$13))))</f>
        <v>1000000000000</v>
      </c>
      <c r="BM146" s="181">
        <f ca="1">IF($D146&lt;&gt;"Serviço",0,IF(AND(AUTOEVENTO="Manual",$M146=1),0,IF(OFFSET(CRONOPLE!$F$14,$M146,BM$13)="",10^12,OFFSET(CRONOPLE!$F$14,$M146,BM$13))))</f>
        <v>1000000000000</v>
      </c>
      <c r="BN146" s="181">
        <f ca="1">IF($D146&lt;&gt;"Serviço",0,IF(AND(AUTOEVENTO="Manual",$M146=1),0,IF(OFFSET(CRONOPLE!$F$14,$M146,BN$13)="",10^12,OFFSET(CRONOPLE!$F$14,$M146,BN$13))))</f>
        <v>1000000000000</v>
      </c>
      <c r="BO146" s="181">
        <f ca="1">IF($D146&lt;&gt;"Serviço",0,IF(AND(AUTOEVENTO="Manual",$M146=1),0,IF(OFFSET(CRONOPLE!$F$14,$M146,BO$13)="",10^12,OFFSET(CRONOPLE!$F$14,$M146,BO$13))))</f>
        <v>1000000000000</v>
      </c>
      <c r="BP146" s="181">
        <f ca="1">IF($D146&lt;&gt;"Serviço",0,IF(AND(AUTOEVENTO="Manual",$M146=1),0,IF(OFFSET(CRONOPLE!$F$14,$M146,BP$13)="",10^12,OFFSET(CRONOPLE!$F$14,$M146,BP$13))))</f>
        <v>1000000000000</v>
      </c>
      <c r="BQ146" s="181">
        <f ca="1">IF($D146&lt;&gt;"Serviço",0,IF(AND(AUTOEVENTO="Manual",$M146=1),0,IF(OFFSET(CRONOPLE!$F$14,$M146,BQ$13)="",10^12,OFFSET(CRONOPLE!$F$14,$M146,BQ$13))))</f>
        <v>1000000000000</v>
      </c>
      <c r="BR146" s="181">
        <f ca="1">IF($D146&lt;&gt;"Serviço",0,IF(AND(AUTOEVENTO="Manual",$M146=1),0,IF(OFFSET(CRONOPLE!$F$14,$M146,BR$13)="",10^12,OFFSET(CRONOPLE!$F$14,$M146,BR$13))))</f>
        <v>1000000000000</v>
      </c>
      <c r="BS146" s="181">
        <f ca="1">IF($D146&lt;&gt;"Serviço",0,IF(AND(AUTOEVENTO="Manual",$M146=1),0,IF(OFFSET(CRONOPLE!$F$14,$M146,BS$13)="",10^12,OFFSET(CRONOPLE!$F$14,$M146,BS$13))))</f>
        <v>1000000000000</v>
      </c>
      <c r="BT146" s="181">
        <f ca="1">IF($D146&lt;&gt;"Serviço",0,IF(AND(AUTOEVENTO="Manual",$M146=1),0,IF(OFFSET(CRONOPLE!$F$14,$M146,BT$13)="",10^12,OFFSET(CRONOPLE!$F$14,$M146,BT$13))))</f>
        <v>1000000000000</v>
      </c>
      <c r="BV146" s="182">
        <f ca="1">IF($D146&lt;&gt;"Serviço",0,IF(OR(AND(AUTOEVENTO="Manual",$M146=1),$M146&gt;(ROW(PLE.lastrow)-ROW(PLE.firstrow))),0,IF(OFFSET(PLE!$G$14,$M146,BV$13)="",10^12,OFFSET(PLE!$G$14,$M146,BV$13))))</f>
        <v>1000000000000</v>
      </c>
      <c r="BW146" s="182">
        <f ca="1">IF($D146&lt;&gt;"Serviço",0,IF(OR(AND(AUTOEVENTO="Manual",$M146=1),$M146&gt;(ROW(PLE.lastrow)-ROW(PLE.firstrow))),0,IF(OFFSET(PLE!$G$14,$M146,BW$13)="",10^12,OFFSET(PLE!$G$14,$M146,BW$13))))</f>
        <v>1000000000000</v>
      </c>
      <c r="BX146" s="182">
        <f ca="1">IF($D146&lt;&gt;"Serviço",0,IF(OR(AND(AUTOEVENTO="Manual",$M146=1),$M146&gt;(ROW(PLE.lastrow)-ROW(PLE.firstrow))),0,IF(OFFSET(PLE!$G$14,$M146,BX$13)="",10^12,OFFSET(PLE!$G$14,$M146,BX$13))))</f>
        <v>1000000000000</v>
      </c>
      <c r="BY146" s="182">
        <f ca="1">IF($D146&lt;&gt;"Serviço",0,IF(OR(AND(AUTOEVENTO="Manual",$M146=1),$M146&gt;(ROW(PLE.lastrow)-ROW(PLE.firstrow))),0,IF(OFFSET(PLE!$G$14,$M146,BY$13)="",10^12,OFFSET(PLE!$G$14,$M146,BY$13))))</f>
        <v>1000000000000</v>
      </c>
      <c r="BZ146" s="182">
        <f ca="1">IF($D146&lt;&gt;"Serviço",0,IF(OR(AND(AUTOEVENTO="Manual",$M146=1),$M146&gt;(ROW(PLE.lastrow)-ROW(PLE.firstrow))),0,IF(OFFSET(PLE!$G$14,$M146,BZ$13)="",10^12,OFFSET(PLE!$G$14,$M146,BZ$13))))</f>
        <v>1000000000000</v>
      </c>
      <c r="CA146" s="182">
        <f ca="1">IF($D146&lt;&gt;"Serviço",0,IF(OR(AND(AUTOEVENTO="Manual",$M146=1),$M146&gt;(ROW(PLE.lastrow)-ROW(PLE.firstrow))),0,IF(OFFSET(PLE!$G$14,$M146,CA$13)="",10^12,OFFSET(PLE!$G$14,$M146,CA$13))))</f>
        <v>1000000000000</v>
      </c>
      <c r="CB146" s="182">
        <f ca="1">IF($D146&lt;&gt;"Serviço",0,IF(OR(AND(AUTOEVENTO="Manual",$M146=1),$M146&gt;(ROW(PLE.lastrow)-ROW(PLE.firstrow))),0,IF(OFFSET(PLE!$G$14,$M146,CB$13)="",10^12,OFFSET(PLE!$G$14,$M146,CB$13))))</f>
        <v>1000000000000</v>
      </c>
      <c r="CC146" s="182">
        <f ca="1">IF($D146&lt;&gt;"Serviço",0,IF(OR(AND(AUTOEVENTO="Manual",$M146=1),$M146&gt;(ROW(PLE.lastrow)-ROW(PLE.firstrow))),0,IF(OFFSET(PLE!$G$14,$M146,CC$13)="",10^12,OFFSET(PLE!$G$14,$M146,CC$13))))</f>
        <v>1000000000000</v>
      </c>
      <c r="CD146" s="182">
        <f ca="1">IF($D146&lt;&gt;"Serviço",0,IF(OR(AND(AUTOEVENTO="Manual",$M146=1),$M146&gt;(ROW(PLE.lastrow)-ROW(PLE.firstrow))),0,IF(OFFSET(PLE!$G$14,$M146,CD$13)="",10^12,OFFSET(PLE!$G$14,$M146,CD$13))))</f>
        <v>1000000000000</v>
      </c>
      <c r="CE146" s="182">
        <f ca="1">IF($D146&lt;&gt;"Serviço",0,IF(OR(AND(AUTOEVENTO="Manual",$M146=1),$M146&gt;(ROW(PLE.lastrow)-ROW(PLE.firstrow))),0,IF(OFFSET(PLE!$G$14,$M146,CE$13)="",10^12,OFFSET(PLE!$G$14,$M146,CE$13))))</f>
        <v>1000000000000</v>
      </c>
      <c r="CF146" s="182">
        <f ca="1">IF($D146&lt;&gt;"Serviço",0,IF(OR(AND(AUTOEVENTO="Manual",$M146=1),$M146&gt;(ROW(PLE.lastrow)-ROW(PLE.firstrow))),0,IF(OFFSET(PLE!$G$14,$M146,CF$13)="",10^12,OFFSET(PLE!$G$14,$M146,CF$13))))</f>
        <v>1000000000000</v>
      </c>
      <c r="CG146" s="182">
        <f ca="1">IF($D146&lt;&gt;"Serviço",0,IF(OR(AND(AUTOEVENTO="Manual",$M146=1),$M146&gt;(ROW(PLE.lastrow)-ROW(PLE.firstrow))),0,IF(OFFSET(PLE!$G$14,$M146,CG$13)="",10^12,OFFSET(PLE!$G$14,$M146,CG$13))))</f>
        <v>1000000000000</v>
      </c>
      <c r="CH146" s="182">
        <f ca="1">IF($D146&lt;&gt;"Serviço",0,IF(OR(AND(AUTOEVENTO="Manual",$M146=1),$M146&gt;(ROW(PLE.lastrow)-ROW(PLE.firstrow))),0,IF(OFFSET(PLE!$G$14,$M146,CH$13)="",10^12,OFFSET(PLE!$G$14,$M146,CH$13))))</f>
        <v>1000000000000</v>
      </c>
      <c r="CI146" s="182">
        <f ca="1">IF($D146&lt;&gt;"Serviço",0,IF(OR(AND(AUTOEVENTO="Manual",$M146=1),$M146&gt;(ROW(PLE.lastrow)-ROW(PLE.firstrow))),0,IF(OFFSET(PLE!$G$14,$M146,CI$13)="",10^12,OFFSET(PLE!$G$14,$M146,CI$13))))</f>
        <v>1000000000000</v>
      </c>
      <c r="CJ146" s="182">
        <f ca="1">IF($D146&lt;&gt;"Serviço",0,IF(OR(AND(AUTOEVENTO="Manual",$M146=1),$M146&gt;(ROW(PLE.lastrow)-ROW(PLE.firstrow))),0,IF(OFFSET(PLE!$G$14,$M146,CJ$13)="",10^12,OFFSET(PLE!$G$14,$M146,CJ$13))))</f>
        <v>1000000000000</v>
      </c>
      <c r="CK146" s="182">
        <f ca="1">IF($D146&lt;&gt;"Serviço",0,IF(OR(AND(AUTOEVENTO="Manual",$M146=1),$M146&gt;(ROW(PLE.lastrow)-ROW(PLE.firstrow))),0,IF(OFFSET(PLE!$G$14,$M146,CK$13)="",10^12,OFFSET(PLE!$G$14,$M146,CK$13))))</f>
        <v>1000000000000</v>
      </c>
      <c r="CL146" s="182">
        <f ca="1">IF($D146&lt;&gt;"Serviço",0,IF(OR(AND(AUTOEVENTO="Manual",$M146=1),$M146&gt;(ROW(PLE.lastrow)-ROW(PLE.firstrow))),0,IF(OFFSET(PLE!$G$14,$M146,CL$13)="",10^12,OFFSET(PLE!$G$14,$M146,CL$13))))</f>
        <v>1000000000000</v>
      </c>
      <c r="CM146" s="182">
        <f ca="1">IF($D146&lt;&gt;"Serviço",0,IF(OR(AND(AUTOEVENTO="Manual",$M146=1),$M146&gt;(ROW(PLE.lastrow)-ROW(PLE.firstrow))),0,IF(OFFSET(PLE!$G$14,$M146,CM$13)="",10^12,OFFSET(PLE!$G$14,$M146,CM$13))))</f>
        <v>1000000000000</v>
      </c>
    </row>
    <row r="147" spans="1:91" ht="38.25" x14ac:dyDescent="0.2">
      <c r="A147" s="7" t="str">
        <f t="shared" ca="1" si="11"/>
        <v>119</v>
      </c>
      <c r="B147" s="7" t="str">
        <f ca="1">OFFSET(ORÇAMENTO!C$15,ROW(B147)-ROW(B$15),0)</f>
        <v>S</v>
      </c>
      <c r="C147" s="7" t="str">
        <f ca="1">OFFSET(ORÇAMENTO!L$15,ROW(C147)-ROW(C$15),0)</f>
        <v/>
      </c>
      <c r="D147" s="118" t="str">
        <f ca="1">OFFSET(ORÇAMENTO!N$15,ROW(D147)-ROW(D$15),0)</f>
        <v>Serviço</v>
      </c>
      <c r="E147" s="119" t="str">
        <f ca="1">OFFSET(ORÇAMENTO!O$15,ROW(E147)-ROW(E$15),0)</f>
        <v>-</v>
      </c>
      <c r="F147" s="172" t="str">
        <f ca="1">OFFSET(ORÇAMENTO!R$15,ROW(F147)-ROW(F$15),0)</f>
        <v>(abra o arquivo 'Referência 06-2024.xlsm)</v>
      </c>
      <c r="G147" s="173" t="str">
        <f ca="1">IF($D147&lt;&gt;"Serviço","",OFFSET(ORÇAMENTO!S$15,ROW(G147)-ROW(G$15),0))</f>
        <v>-</v>
      </c>
      <c r="H147" s="124">
        <f ca="1">IF($D147&lt;&gt;"Serviço",0,IF(ACOMPANHAMENTO="BM",ROUND(OFFSET(ORÇAMENTO!AJ$15,ROW(H147)-ROW(H$15),0),15-13*ORÇAMENTO!$AF$7),SUMPRODUCT(($Q$12:$AI$12&lt;&gt;"")*ROUND($Q147:$AI147,15-13*ORÇAMENTO!$AF$7))))</f>
        <v>12.6</v>
      </c>
      <c r="I147" s="561" t="s">
        <v>1107</v>
      </c>
      <c r="K147" s="174"/>
      <c r="L147" s="175" t="s">
        <v>255</v>
      </c>
      <c r="M147" s="176">
        <f ca="1">IF($D147&lt;&gt;"Serviço","",IF(AUTOEVENTO="manual",$A147,IF(ISERROR(MATCH($A147,$A$15:OFFSET($A147,-1,0),0)),MAX($M$15:OFFSET(M147,-1,0))+1,INDEX($M$15:OFFSET(M147,-1,0),MATCH($A147,$A$15:OFFSET($A147,-1,0),0)))))</f>
        <v>22</v>
      </c>
      <c r="N147" s="177" t="str">
        <f ca="1">IF($D147&lt;&gt;"Serviço","",IF(AUTOEVENTO="Manual",IF($A147=0,"&lt;-- defina o número do agrupador",OFFSET(EVENTOS!$D$14,$A147,0)),OFFSET($F$15,$A147,0)))</f>
        <v>ESQUADRIAS - JANELAS EM ALUMÍNIO</v>
      </c>
      <c r="O147" s="178"/>
      <c r="Q147" s="178">
        <v>12.6</v>
      </c>
      <c r="R147" s="179"/>
      <c r="S147" s="179"/>
      <c r="T147" s="179"/>
      <c r="U147" s="179"/>
      <c r="V147" s="179"/>
      <c r="W147" s="179"/>
      <c r="X147" s="179"/>
      <c r="Y147" s="179"/>
      <c r="Z147" s="180"/>
      <c r="AA147" s="179"/>
      <c r="AB147" s="179"/>
      <c r="AC147" s="179"/>
      <c r="AD147" s="179"/>
      <c r="AE147" s="179"/>
      <c r="AF147" s="179"/>
      <c r="AG147" s="179"/>
      <c r="AH147" s="180"/>
      <c r="AJ147" s="544">
        <f ca="1">IF(AND($D147="Serviço",AJ$12&lt;&gt;0,$H147&gt;0,OR(AUTOEVENTO&lt;&gt;"manual",$M147&lt;&gt;1)),
IF(Import.TipoArredondamento&lt;&gt;"TransfereGOV",
ROUND(OFFSET($P147,0,AJ$13),15-13*ORÇAMENTO!$AF$7)/$H147*OFFSET(ORÇAMENTO!$X$15,ROW(AJ147)-ROW(AJ$15),0),
ROUND(ROUND(OFFSET($P147,0,AJ$13),15-13*ORÇAMENTO!$AF$7)*OFFSET(ORÇAMENTO!$W$15,ROW(AJ147)-ROW(AJ$15),0),15-13*ORÇAMENTO!$AF$11)),0)</f>
        <v>0</v>
      </c>
      <c r="AK147" s="545">
        <f ca="1">IF(AND($D147="Serviço",AK$12&lt;&gt;0,$H147&gt;0,OR(AUTOEVENTO&lt;&gt;"manual",$M147&lt;&gt;1)),
IF(Import.TipoArredondamento&lt;&gt;"TransfereGOV",
ROUND(OFFSET($P147,0,AK$13),15-13*ORÇAMENTO!$AF$7)/$H147*OFFSET(ORÇAMENTO!$X$15,ROW(AK147)-ROW(AK$15),0),
ROUND(ROUND(OFFSET($P147,0,AK$13),15-13*ORÇAMENTO!$AF$7)*OFFSET(ORÇAMENTO!$W$15,ROW(AK147)-ROW(AK$15),0),15-13*ORÇAMENTO!$AF$11)),0)</f>
        <v>0</v>
      </c>
      <c r="AL147" s="545">
        <f ca="1">IF(AND($D147="Serviço",AL$12&lt;&gt;0,$H147&gt;0,OR(AUTOEVENTO&lt;&gt;"manual",$M147&lt;&gt;1)),
IF(Import.TipoArredondamento&lt;&gt;"TransfereGOV",
ROUND(OFFSET($P147,0,AL$13),15-13*ORÇAMENTO!$AF$7)/$H147*OFFSET(ORÇAMENTO!$X$15,ROW(AL147)-ROW(AL$15),0),
ROUND(ROUND(OFFSET($P147,0,AL$13),15-13*ORÇAMENTO!$AF$7)*OFFSET(ORÇAMENTO!$W$15,ROW(AL147)-ROW(AL$15),0),15-13*ORÇAMENTO!$AF$11)),0)</f>
        <v>0</v>
      </c>
      <c r="AM147" s="545">
        <f ca="1">IF(AND($D147="Serviço",AM$12&lt;&gt;0,$H147&gt;0,OR(AUTOEVENTO&lt;&gt;"manual",$M147&lt;&gt;1)),
IF(Import.TipoArredondamento&lt;&gt;"TransfereGOV",
ROUND(OFFSET($P147,0,AM$13),15-13*ORÇAMENTO!$AF$7)/$H147*OFFSET(ORÇAMENTO!$X$15,ROW(AM147)-ROW(AM$15),0),
ROUND(ROUND(OFFSET($P147,0,AM$13),15-13*ORÇAMENTO!$AF$7)*OFFSET(ORÇAMENTO!$W$15,ROW(AM147)-ROW(AM$15),0),15-13*ORÇAMENTO!$AF$11)),0)</f>
        <v>0</v>
      </c>
      <c r="AN147" s="545">
        <f ca="1">IF(AND($D147="Serviço",AN$12&lt;&gt;0,$H147&gt;0,OR(AUTOEVENTO&lt;&gt;"manual",$M147&lt;&gt;1)),
IF(Import.TipoArredondamento&lt;&gt;"TransfereGOV",
ROUND(OFFSET($P147,0,AN$13),15-13*ORÇAMENTO!$AF$7)/$H147*OFFSET(ORÇAMENTO!$X$15,ROW(AN147)-ROW(AN$15),0),
ROUND(ROUND(OFFSET($P147,0,AN$13),15-13*ORÇAMENTO!$AF$7)*OFFSET(ORÇAMENTO!$W$15,ROW(AN147)-ROW(AN$15),0),15-13*ORÇAMENTO!$AF$11)),0)</f>
        <v>0</v>
      </c>
      <c r="AO147" s="545">
        <f ca="1">IF(AND($D147="Serviço",AO$12&lt;&gt;0,$H147&gt;0,OR(AUTOEVENTO&lt;&gt;"manual",$M147&lt;&gt;1)),
IF(Import.TipoArredondamento&lt;&gt;"TransfereGOV",
ROUND(OFFSET($P147,0,AO$13),15-13*ORÇAMENTO!$AF$7)/$H147*OFFSET(ORÇAMENTO!$X$15,ROW(AO147)-ROW(AO$15),0),
ROUND(ROUND(OFFSET($P147,0,AO$13),15-13*ORÇAMENTO!$AF$7)*OFFSET(ORÇAMENTO!$W$15,ROW(AO147)-ROW(AO$15),0),15-13*ORÇAMENTO!$AF$11)),0)</f>
        <v>0</v>
      </c>
      <c r="AP147" s="545">
        <f ca="1">IF(AND($D147="Serviço",AP$12&lt;&gt;0,$H147&gt;0,OR(AUTOEVENTO&lt;&gt;"manual",$M147&lt;&gt;1)),
IF(Import.TipoArredondamento&lt;&gt;"TransfereGOV",
ROUND(OFFSET($P147,0,AP$13),15-13*ORÇAMENTO!$AF$7)/$H147*OFFSET(ORÇAMENTO!$X$15,ROW(AP147)-ROW(AP$15),0),
ROUND(ROUND(OFFSET($P147,0,AP$13),15-13*ORÇAMENTO!$AF$7)*OFFSET(ORÇAMENTO!$W$15,ROW(AP147)-ROW(AP$15),0),15-13*ORÇAMENTO!$AF$11)),0)</f>
        <v>0</v>
      </c>
      <c r="AQ147" s="545">
        <f ca="1">IF(AND($D147="Serviço",AQ$12&lt;&gt;0,$H147&gt;0,OR(AUTOEVENTO&lt;&gt;"manual",$M147&lt;&gt;1)),
IF(Import.TipoArredondamento&lt;&gt;"TransfereGOV",
ROUND(OFFSET($P147,0,AQ$13),15-13*ORÇAMENTO!$AF$7)/$H147*OFFSET(ORÇAMENTO!$X$15,ROW(AQ147)-ROW(AQ$15),0),
ROUND(ROUND(OFFSET($P147,0,AQ$13),15-13*ORÇAMENTO!$AF$7)*OFFSET(ORÇAMENTO!$W$15,ROW(AQ147)-ROW(AQ$15),0),15-13*ORÇAMENTO!$AF$11)),0)</f>
        <v>0</v>
      </c>
      <c r="AR147" s="545">
        <f ca="1">IF(AND($D147="Serviço",AR$12&lt;&gt;0,$H147&gt;0,OR(AUTOEVENTO&lt;&gt;"manual",$M147&lt;&gt;1)),
IF(Import.TipoArredondamento&lt;&gt;"TransfereGOV",
ROUND(OFFSET($P147,0,AR$13),15-13*ORÇAMENTO!$AF$7)/$H147*OFFSET(ORÇAMENTO!$X$15,ROW(AR147)-ROW(AR$15),0),
ROUND(ROUND(OFFSET($P147,0,AR$13),15-13*ORÇAMENTO!$AF$7)*OFFSET(ORÇAMENTO!$W$15,ROW(AR147)-ROW(AR$15),0),15-13*ORÇAMENTO!$AF$11)),0)</f>
        <v>0</v>
      </c>
      <c r="AS147" s="546">
        <f ca="1">IF(AND($D147="Serviço",AS$12&lt;&gt;0,$H147&gt;0,OR(AUTOEVENTO&lt;&gt;"manual",$M147&lt;&gt;1)),
IF(Import.TipoArredondamento&lt;&gt;"TransfereGOV",
ROUND(OFFSET($P147,0,AS$13),15-13*ORÇAMENTO!$AF$7)/$H147*OFFSET(ORÇAMENTO!$X$15,ROW(AS147)-ROW(AS$15),0),
ROUND(ROUND(OFFSET($P147,0,AS$13),15-13*ORÇAMENTO!$AF$7)*OFFSET(ORÇAMENTO!$W$15,ROW(AS147)-ROW(AS$15),0),15-13*ORÇAMENTO!$AF$11)),0)</f>
        <v>0</v>
      </c>
      <c r="AT147" s="545">
        <f ca="1">IF(AND($D147="Serviço",AT$12&lt;&gt;0,$H147&gt;0,OR(AUTOEVENTO&lt;&gt;"manual",$M147&lt;&gt;1)),
IF(Import.TipoArredondamento&lt;&gt;"TransfereGOV",
ROUND(OFFSET($P147,0,AT$13),15-13*ORÇAMENTO!$AF$7)/$H147*OFFSET(ORÇAMENTO!$X$15,ROW(AT147)-ROW(AT$15),0),
ROUND(ROUND(OFFSET($P147,0,AT$13),15-13*ORÇAMENTO!$AF$7)*OFFSET(ORÇAMENTO!$W$15,ROW(AT147)-ROW(AT$15),0),15-13*ORÇAMENTO!$AF$11)),0)</f>
        <v>0</v>
      </c>
      <c r="AU147" s="545">
        <f ca="1">IF(AND($D147="Serviço",AU$12&lt;&gt;0,$H147&gt;0,OR(AUTOEVENTO&lt;&gt;"manual",$M147&lt;&gt;1)),
IF(Import.TipoArredondamento&lt;&gt;"TransfereGOV",
ROUND(OFFSET($P147,0,AU$13),15-13*ORÇAMENTO!$AF$7)/$H147*OFFSET(ORÇAMENTO!$X$15,ROW(AU147)-ROW(AU$15),0),
ROUND(ROUND(OFFSET($P147,0,AU$13),15-13*ORÇAMENTO!$AF$7)*OFFSET(ORÇAMENTO!$W$15,ROW(AU147)-ROW(AU$15),0),15-13*ORÇAMENTO!$AF$11)),0)</f>
        <v>0</v>
      </c>
      <c r="AV147" s="545">
        <f ca="1">IF(AND($D147="Serviço",AV$12&lt;&gt;0,$H147&gt;0,OR(AUTOEVENTO&lt;&gt;"manual",$M147&lt;&gt;1)),
IF(Import.TipoArredondamento&lt;&gt;"TransfereGOV",
ROUND(OFFSET($P147,0,AV$13),15-13*ORÇAMENTO!$AF$7)/$H147*OFFSET(ORÇAMENTO!$X$15,ROW(AV147)-ROW(AV$15),0),
ROUND(ROUND(OFFSET($P147,0,AV$13),15-13*ORÇAMENTO!$AF$7)*OFFSET(ORÇAMENTO!$W$15,ROW(AV147)-ROW(AV$15),0),15-13*ORÇAMENTO!$AF$11)),0)</f>
        <v>0</v>
      </c>
      <c r="AW147" s="545">
        <f ca="1">IF(AND($D147="Serviço",AW$12&lt;&gt;0,$H147&gt;0,OR(AUTOEVENTO&lt;&gt;"manual",$M147&lt;&gt;1)),
IF(Import.TipoArredondamento&lt;&gt;"TransfereGOV",
ROUND(OFFSET($P147,0,AW$13),15-13*ORÇAMENTO!$AF$7)/$H147*OFFSET(ORÇAMENTO!$X$15,ROW(AW147)-ROW(AW$15),0),
ROUND(ROUND(OFFSET($P147,0,AW$13),15-13*ORÇAMENTO!$AF$7)*OFFSET(ORÇAMENTO!$W$15,ROW(AW147)-ROW(AW$15),0),15-13*ORÇAMENTO!$AF$11)),0)</f>
        <v>0</v>
      </c>
      <c r="AX147" s="545">
        <f ca="1">IF(AND($D147="Serviço",AX$12&lt;&gt;0,$H147&gt;0,OR(AUTOEVENTO&lt;&gt;"manual",$M147&lt;&gt;1)),
IF(Import.TipoArredondamento&lt;&gt;"TransfereGOV",
ROUND(OFFSET($P147,0,AX$13),15-13*ORÇAMENTO!$AF$7)/$H147*OFFSET(ORÇAMENTO!$X$15,ROW(AX147)-ROW(AX$15),0),
ROUND(ROUND(OFFSET($P147,0,AX$13),15-13*ORÇAMENTO!$AF$7)*OFFSET(ORÇAMENTO!$W$15,ROW(AX147)-ROW(AX$15),0),15-13*ORÇAMENTO!$AF$11)),0)</f>
        <v>0</v>
      </c>
      <c r="AY147" s="545">
        <f ca="1">IF(AND($D147="Serviço",AY$12&lt;&gt;0,$H147&gt;0,OR(AUTOEVENTO&lt;&gt;"manual",$M147&lt;&gt;1)),
IF(Import.TipoArredondamento&lt;&gt;"TransfereGOV",
ROUND(OFFSET($P147,0,AY$13),15-13*ORÇAMENTO!$AF$7)/$H147*OFFSET(ORÇAMENTO!$X$15,ROW(AY147)-ROW(AY$15),0),
ROUND(ROUND(OFFSET($P147,0,AY$13),15-13*ORÇAMENTO!$AF$7)*OFFSET(ORÇAMENTO!$W$15,ROW(AY147)-ROW(AY$15),0),15-13*ORÇAMENTO!$AF$11)),0)</f>
        <v>0</v>
      </c>
      <c r="AZ147" s="545">
        <f ca="1">IF(AND($D147="Serviço",AZ$12&lt;&gt;0,$H147&gt;0,OR(AUTOEVENTO&lt;&gt;"manual",$M147&lt;&gt;1)),
IF(Import.TipoArredondamento&lt;&gt;"TransfereGOV",
ROUND(OFFSET($P147,0,AZ$13),15-13*ORÇAMENTO!$AF$7)/$H147*OFFSET(ORÇAMENTO!$X$15,ROW(AZ147)-ROW(AZ$15),0),
ROUND(ROUND(OFFSET($P147,0,AZ$13),15-13*ORÇAMENTO!$AF$7)*OFFSET(ORÇAMENTO!$W$15,ROW(AZ147)-ROW(AZ$15),0),15-13*ORÇAMENTO!$AF$11)),0)</f>
        <v>0</v>
      </c>
      <c r="BA147" s="546">
        <f ca="1">IF(AND($D147="Serviço",BA$12&lt;&gt;0,$H147&gt;0,OR(AUTOEVENTO&lt;&gt;"manual",$M147&lt;&gt;1)),
IF(Import.TipoArredondamento&lt;&gt;"TransfereGOV",
ROUND(OFFSET($P147,0,BA$13),15-13*ORÇAMENTO!$AF$7)/$H147*OFFSET(ORÇAMENTO!$X$15,ROW(BA147)-ROW(BA$15),0),
ROUND(ROUND(OFFSET($P147,0,BA$13),15-13*ORÇAMENTO!$AF$7)*OFFSET(ORÇAMENTO!$W$15,ROW(BA147)-ROW(BA$15),0),15-13*ORÇAMENTO!$AF$11)),0)</f>
        <v>0</v>
      </c>
      <c r="BC147" s="181">
        <f ca="1">IF($D147&lt;&gt;"Serviço",0,IF(AND(AUTOEVENTO="Manual",$M147=1),0,IF(OFFSET(CRONOPLE!$F$14,$M147,BC$13)="",10^12,OFFSET(CRONOPLE!$F$14,$M147,BC$13))))</f>
        <v>5</v>
      </c>
      <c r="BD147" s="181">
        <f ca="1">IF($D147&lt;&gt;"Serviço",0,IF(AND(AUTOEVENTO="Manual",$M147=1),0,IF(OFFSET(CRONOPLE!$F$14,$M147,BD$13)="",10^12,OFFSET(CRONOPLE!$F$14,$M147,BD$13))))</f>
        <v>1000000000000</v>
      </c>
      <c r="BE147" s="181">
        <f ca="1">IF($D147&lt;&gt;"Serviço",0,IF(AND(AUTOEVENTO="Manual",$M147=1),0,IF(OFFSET(CRONOPLE!$F$14,$M147,BE$13)="",10^12,OFFSET(CRONOPLE!$F$14,$M147,BE$13))))</f>
        <v>1000000000000</v>
      </c>
      <c r="BF147" s="181">
        <f ca="1">IF($D147&lt;&gt;"Serviço",0,IF(AND(AUTOEVENTO="Manual",$M147=1),0,IF(OFFSET(CRONOPLE!$F$14,$M147,BF$13)="",10^12,OFFSET(CRONOPLE!$F$14,$M147,BF$13))))</f>
        <v>1000000000000</v>
      </c>
      <c r="BG147" s="181">
        <f ca="1">IF($D147&lt;&gt;"Serviço",0,IF(AND(AUTOEVENTO="Manual",$M147=1),0,IF(OFFSET(CRONOPLE!$F$14,$M147,BG$13)="",10^12,OFFSET(CRONOPLE!$F$14,$M147,BG$13))))</f>
        <v>1000000000000</v>
      </c>
      <c r="BH147" s="181">
        <f ca="1">IF($D147&lt;&gt;"Serviço",0,IF(AND(AUTOEVENTO="Manual",$M147=1),0,IF(OFFSET(CRONOPLE!$F$14,$M147,BH$13)="",10^12,OFFSET(CRONOPLE!$F$14,$M147,BH$13))))</f>
        <v>1000000000000</v>
      </c>
      <c r="BI147" s="181">
        <f ca="1">IF($D147&lt;&gt;"Serviço",0,IF(AND(AUTOEVENTO="Manual",$M147=1),0,IF(OFFSET(CRONOPLE!$F$14,$M147,BI$13)="",10^12,OFFSET(CRONOPLE!$F$14,$M147,BI$13))))</f>
        <v>1000000000000</v>
      </c>
      <c r="BJ147" s="181">
        <f ca="1">IF($D147&lt;&gt;"Serviço",0,IF(AND(AUTOEVENTO="Manual",$M147=1),0,IF(OFFSET(CRONOPLE!$F$14,$M147,BJ$13)="",10^12,OFFSET(CRONOPLE!$F$14,$M147,BJ$13))))</f>
        <v>1000000000000</v>
      </c>
      <c r="BK147" s="181">
        <f ca="1">IF($D147&lt;&gt;"Serviço",0,IF(AND(AUTOEVENTO="Manual",$M147=1),0,IF(OFFSET(CRONOPLE!$F$14,$M147,BK$13)="",10^12,OFFSET(CRONOPLE!$F$14,$M147,BK$13))))</f>
        <v>1000000000000</v>
      </c>
      <c r="BL147" s="181">
        <f ca="1">IF($D147&lt;&gt;"Serviço",0,IF(AND(AUTOEVENTO="Manual",$M147=1),0,IF(OFFSET(CRONOPLE!$F$14,$M147,BL$13)="",10^12,OFFSET(CRONOPLE!$F$14,$M147,BL$13))))</f>
        <v>1000000000000</v>
      </c>
      <c r="BM147" s="181">
        <f ca="1">IF($D147&lt;&gt;"Serviço",0,IF(AND(AUTOEVENTO="Manual",$M147=1),0,IF(OFFSET(CRONOPLE!$F$14,$M147,BM$13)="",10^12,OFFSET(CRONOPLE!$F$14,$M147,BM$13))))</f>
        <v>1000000000000</v>
      </c>
      <c r="BN147" s="181">
        <f ca="1">IF($D147&lt;&gt;"Serviço",0,IF(AND(AUTOEVENTO="Manual",$M147=1),0,IF(OFFSET(CRONOPLE!$F$14,$M147,BN$13)="",10^12,OFFSET(CRONOPLE!$F$14,$M147,BN$13))))</f>
        <v>1000000000000</v>
      </c>
      <c r="BO147" s="181">
        <f ca="1">IF($D147&lt;&gt;"Serviço",0,IF(AND(AUTOEVENTO="Manual",$M147=1),0,IF(OFFSET(CRONOPLE!$F$14,$M147,BO$13)="",10^12,OFFSET(CRONOPLE!$F$14,$M147,BO$13))))</f>
        <v>1000000000000</v>
      </c>
      <c r="BP147" s="181">
        <f ca="1">IF($D147&lt;&gt;"Serviço",0,IF(AND(AUTOEVENTO="Manual",$M147=1),0,IF(OFFSET(CRONOPLE!$F$14,$M147,BP$13)="",10^12,OFFSET(CRONOPLE!$F$14,$M147,BP$13))))</f>
        <v>1000000000000</v>
      </c>
      <c r="BQ147" s="181">
        <f ca="1">IF($D147&lt;&gt;"Serviço",0,IF(AND(AUTOEVENTO="Manual",$M147=1),0,IF(OFFSET(CRONOPLE!$F$14,$M147,BQ$13)="",10^12,OFFSET(CRONOPLE!$F$14,$M147,BQ$13))))</f>
        <v>1000000000000</v>
      </c>
      <c r="BR147" s="181">
        <f ca="1">IF($D147&lt;&gt;"Serviço",0,IF(AND(AUTOEVENTO="Manual",$M147=1),0,IF(OFFSET(CRONOPLE!$F$14,$M147,BR$13)="",10^12,OFFSET(CRONOPLE!$F$14,$M147,BR$13))))</f>
        <v>1000000000000</v>
      </c>
      <c r="BS147" s="181">
        <f ca="1">IF($D147&lt;&gt;"Serviço",0,IF(AND(AUTOEVENTO="Manual",$M147=1),0,IF(OFFSET(CRONOPLE!$F$14,$M147,BS$13)="",10^12,OFFSET(CRONOPLE!$F$14,$M147,BS$13))))</f>
        <v>1000000000000</v>
      </c>
      <c r="BT147" s="181">
        <f ca="1">IF($D147&lt;&gt;"Serviço",0,IF(AND(AUTOEVENTO="Manual",$M147=1),0,IF(OFFSET(CRONOPLE!$F$14,$M147,BT$13)="",10^12,OFFSET(CRONOPLE!$F$14,$M147,BT$13))))</f>
        <v>1000000000000</v>
      </c>
      <c r="BV147" s="182">
        <f ca="1">IF($D147&lt;&gt;"Serviço",0,IF(OR(AND(AUTOEVENTO="Manual",$M147=1),$M147&gt;(ROW(PLE.lastrow)-ROW(PLE.firstrow))),0,IF(OFFSET(PLE!$G$14,$M147,BV$13)="",10^12,OFFSET(PLE!$G$14,$M147,BV$13))))</f>
        <v>1000000000000</v>
      </c>
      <c r="BW147" s="182">
        <f ca="1">IF($D147&lt;&gt;"Serviço",0,IF(OR(AND(AUTOEVENTO="Manual",$M147=1),$M147&gt;(ROW(PLE.lastrow)-ROW(PLE.firstrow))),0,IF(OFFSET(PLE!$G$14,$M147,BW$13)="",10^12,OFFSET(PLE!$G$14,$M147,BW$13))))</f>
        <v>1000000000000</v>
      </c>
      <c r="BX147" s="182">
        <f ca="1">IF($D147&lt;&gt;"Serviço",0,IF(OR(AND(AUTOEVENTO="Manual",$M147=1),$M147&gt;(ROW(PLE.lastrow)-ROW(PLE.firstrow))),0,IF(OFFSET(PLE!$G$14,$M147,BX$13)="",10^12,OFFSET(PLE!$G$14,$M147,BX$13))))</f>
        <v>1000000000000</v>
      </c>
      <c r="BY147" s="182">
        <f ca="1">IF($D147&lt;&gt;"Serviço",0,IF(OR(AND(AUTOEVENTO="Manual",$M147=1),$M147&gt;(ROW(PLE.lastrow)-ROW(PLE.firstrow))),0,IF(OFFSET(PLE!$G$14,$M147,BY$13)="",10^12,OFFSET(PLE!$G$14,$M147,BY$13))))</f>
        <v>1000000000000</v>
      </c>
      <c r="BZ147" s="182">
        <f ca="1">IF($D147&lt;&gt;"Serviço",0,IF(OR(AND(AUTOEVENTO="Manual",$M147=1),$M147&gt;(ROW(PLE.lastrow)-ROW(PLE.firstrow))),0,IF(OFFSET(PLE!$G$14,$M147,BZ$13)="",10^12,OFFSET(PLE!$G$14,$M147,BZ$13))))</f>
        <v>1000000000000</v>
      </c>
      <c r="CA147" s="182">
        <f ca="1">IF($D147&lt;&gt;"Serviço",0,IF(OR(AND(AUTOEVENTO="Manual",$M147=1),$M147&gt;(ROW(PLE.lastrow)-ROW(PLE.firstrow))),0,IF(OFFSET(PLE!$G$14,$M147,CA$13)="",10^12,OFFSET(PLE!$G$14,$M147,CA$13))))</f>
        <v>1000000000000</v>
      </c>
      <c r="CB147" s="182">
        <f ca="1">IF($D147&lt;&gt;"Serviço",0,IF(OR(AND(AUTOEVENTO="Manual",$M147=1),$M147&gt;(ROW(PLE.lastrow)-ROW(PLE.firstrow))),0,IF(OFFSET(PLE!$G$14,$M147,CB$13)="",10^12,OFFSET(PLE!$G$14,$M147,CB$13))))</f>
        <v>1000000000000</v>
      </c>
      <c r="CC147" s="182">
        <f ca="1">IF($D147&lt;&gt;"Serviço",0,IF(OR(AND(AUTOEVENTO="Manual",$M147=1),$M147&gt;(ROW(PLE.lastrow)-ROW(PLE.firstrow))),0,IF(OFFSET(PLE!$G$14,$M147,CC$13)="",10^12,OFFSET(PLE!$G$14,$M147,CC$13))))</f>
        <v>1000000000000</v>
      </c>
      <c r="CD147" s="182">
        <f ca="1">IF($D147&lt;&gt;"Serviço",0,IF(OR(AND(AUTOEVENTO="Manual",$M147=1),$M147&gt;(ROW(PLE.lastrow)-ROW(PLE.firstrow))),0,IF(OFFSET(PLE!$G$14,$M147,CD$13)="",10^12,OFFSET(PLE!$G$14,$M147,CD$13))))</f>
        <v>1000000000000</v>
      </c>
      <c r="CE147" s="182">
        <f ca="1">IF($D147&lt;&gt;"Serviço",0,IF(OR(AND(AUTOEVENTO="Manual",$M147=1),$M147&gt;(ROW(PLE.lastrow)-ROW(PLE.firstrow))),0,IF(OFFSET(PLE!$G$14,$M147,CE$13)="",10^12,OFFSET(PLE!$G$14,$M147,CE$13))))</f>
        <v>1000000000000</v>
      </c>
      <c r="CF147" s="182">
        <f ca="1">IF($D147&lt;&gt;"Serviço",0,IF(OR(AND(AUTOEVENTO="Manual",$M147=1),$M147&gt;(ROW(PLE.lastrow)-ROW(PLE.firstrow))),0,IF(OFFSET(PLE!$G$14,$M147,CF$13)="",10^12,OFFSET(PLE!$G$14,$M147,CF$13))))</f>
        <v>1000000000000</v>
      </c>
      <c r="CG147" s="182">
        <f ca="1">IF($D147&lt;&gt;"Serviço",0,IF(OR(AND(AUTOEVENTO="Manual",$M147=1),$M147&gt;(ROW(PLE.lastrow)-ROW(PLE.firstrow))),0,IF(OFFSET(PLE!$G$14,$M147,CG$13)="",10^12,OFFSET(PLE!$G$14,$M147,CG$13))))</f>
        <v>1000000000000</v>
      </c>
      <c r="CH147" s="182">
        <f ca="1">IF($D147&lt;&gt;"Serviço",0,IF(OR(AND(AUTOEVENTO="Manual",$M147=1),$M147&gt;(ROW(PLE.lastrow)-ROW(PLE.firstrow))),0,IF(OFFSET(PLE!$G$14,$M147,CH$13)="",10^12,OFFSET(PLE!$G$14,$M147,CH$13))))</f>
        <v>1000000000000</v>
      </c>
      <c r="CI147" s="182">
        <f ca="1">IF($D147&lt;&gt;"Serviço",0,IF(OR(AND(AUTOEVENTO="Manual",$M147=1),$M147&gt;(ROW(PLE.lastrow)-ROW(PLE.firstrow))),0,IF(OFFSET(PLE!$G$14,$M147,CI$13)="",10^12,OFFSET(PLE!$G$14,$M147,CI$13))))</f>
        <v>1000000000000</v>
      </c>
      <c r="CJ147" s="182">
        <f ca="1">IF($D147&lt;&gt;"Serviço",0,IF(OR(AND(AUTOEVENTO="Manual",$M147=1),$M147&gt;(ROW(PLE.lastrow)-ROW(PLE.firstrow))),0,IF(OFFSET(PLE!$G$14,$M147,CJ$13)="",10^12,OFFSET(PLE!$G$14,$M147,CJ$13))))</f>
        <v>1000000000000</v>
      </c>
      <c r="CK147" s="182">
        <f ca="1">IF($D147&lt;&gt;"Serviço",0,IF(OR(AND(AUTOEVENTO="Manual",$M147=1),$M147&gt;(ROW(PLE.lastrow)-ROW(PLE.firstrow))),0,IF(OFFSET(PLE!$G$14,$M147,CK$13)="",10^12,OFFSET(PLE!$G$14,$M147,CK$13))))</f>
        <v>1000000000000</v>
      </c>
      <c r="CL147" s="182">
        <f ca="1">IF($D147&lt;&gt;"Serviço",0,IF(OR(AND(AUTOEVENTO="Manual",$M147=1),$M147&gt;(ROW(PLE.lastrow)-ROW(PLE.firstrow))),0,IF(OFFSET(PLE!$G$14,$M147,CL$13)="",10^12,OFFSET(PLE!$G$14,$M147,CL$13))))</f>
        <v>1000000000000</v>
      </c>
      <c r="CM147" s="182">
        <f ca="1">IF($D147&lt;&gt;"Serviço",0,IF(OR(AND(AUTOEVENTO="Manual",$M147=1),$M147&gt;(ROW(PLE.lastrow)-ROW(PLE.firstrow))),0,IF(OFFSET(PLE!$G$14,$M147,CM$13)="",10^12,OFFSET(PLE!$G$14,$M147,CM$13))))</f>
        <v>1000000000000</v>
      </c>
    </row>
    <row r="148" spans="1:91" ht="38.25" x14ac:dyDescent="0.2">
      <c r="A148" s="7" t="str">
        <f t="shared" ca="1" si="11"/>
        <v>119</v>
      </c>
      <c r="B148" s="7" t="str">
        <f ca="1">OFFSET(ORÇAMENTO!C$15,ROW(B148)-ROW(B$15),0)</f>
        <v>S</v>
      </c>
      <c r="C148" s="7" t="str">
        <f ca="1">OFFSET(ORÇAMENTO!L$15,ROW(C148)-ROW(C$15),0)</f>
        <v/>
      </c>
      <c r="D148" s="118" t="str">
        <f ca="1">OFFSET(ORÇAMENTO!N$15,ROW(D148)-ROW(D$15),0)</f>
        <v>Serviço</v>
      </c>
      <c r="E148" s="119" t="str">
        <f ca="1">OFFSET(ORÇAMENTO!O$15,ROW(E148)-ROW(E$15),0)</f>
        <v>-</v>
      </c>
      <c r="F148" s="172" t="str">
        <f ca="1">OFFSET(ORÇAMENTO!R$15,ROW(F148)-ROW(F$15),0)</f>
        <v>(abra o arquivo 'Referência 06-2024.xlsm)</v>
      </c>
      <c r="G148" s="173" t="str">
        <f ca="1">IF($D148&lt;&gt;"Serviço","",OFFSET(ORÇAMENTO!S$15,ROW(G148)-ROW(G$15),0))</f>
        <v>-</v>
      </c>
      <c r="H148" s="124">
        <f ca="1">IF($D148&lt;&gt;"Serviço",0,IF(ACOMPANHAMENTO="BM",ROUND(OFFSET(ORÇAMENTO!AJ$15,ROW(H148)-ROW(H$15),0),15-13*ORÇAMENTO!$AF$7),SUMPRODUCT(($Q$12:$AI$12&lt;&gt;"")*ROUND($Q148:$AI148,15-13*ORÇAMENTO!$AF$7))))</f>
        <v>33.6</v>
      </c>
      <c r="I148" s="561" t="s">
        <v>1107</v>
      </c>
      <c r="K148" s="174"/>
      <c r="L148" s="175" t="s">
        <v>255</v>
      </c>
      <c r="M148" s="176">
        <f ca="1">IF($D148&lt;&gt;"Serviço","",IF(AUTOEVENTO="manual",$A148,IF(ISERROR(MATCH($A148,$A$15:OFFSET($A148,-1,0),0)),MAX($M$15:OFFSET(M148,-1,0))+1,INDEX($M$15:OFFSET(M148,-1,0),MATCH($A148,$A$15:OFFSET($A148,-1,0),0)))))</f>
        <v>22</v>
      </c>
      <c r="N148" s="177" t="str">
        <f ca="1">IF($D148&lt;&gt;"Serviço","",IF(AUTOEVENTO="Manual",IF($A148=0,"&lt;-- defina o número do agrupador",OFFSET(EVENTOS!$D$14,$A148,0)),OFFSET($F$15,$A148,0)))</f>
        <v>ESQUADRIAS - JANELAS EM ALUMÍNIO</v>
      </c>
      <c r="O148" s="178"/>
      <c r="Q148" s="178">
        <v>33.6</v>
      </c>
      <c r="R148" s="179"/>
      <c r="S148" s="179"/>
      <c r="T148" s="179"/>
      <c r="U148" s="179"/>
      <c r="V148" s="179"/>
      <c r="W148" s="179"/>
      <c r="X148" s="179"/>
      <c r="Y148" s="179"/>
      <c r="Z148" s="180"/>
      <c r="AA148" s="179"/>
      <c r="AB148" s="179"/>
      <c r="AC148" s="179"/>
      <c r="AD148" s="179"/>
      <c r="AE148" s="179"/>
      <c r="AF148" s="179"/>
      <c r="AG148" s="179"/>
      <c r="AH148" s="180"/>
      <c r="AJ148" s="544">
        <f ca="1">IF(AND($D148="Serviço",AJ$12&lt;&gt;0,$H148&gt;0,OR(AUTOEVENTO&lt;&gt;"manual",$M148&lt;&gt;1)),
IF(Import.TipoArredondamento&lt;&gt;"TransfereGOV",
ROUND(OFFSET($P148,0,AJ$13),15-13*ORÇAMENTO!$AF$7)/$H148*OFFSET(ORÇAMENTO!$X$15,ROW(AJ148)-ROW(AJ$15),0),
ROUND(ROUND(OFFSET($P148,0,AJ$13),15-13*ORÇAMENTO!$AF$7)*OFFSET(ORÇAMENTO!$W$15,ROW(AJ148)-ROW(AJ$15),0),15-13*ORÇAMENTO!$AF$11)),0)</f>
        <v>0</v>
      </c>
      <c r="AK148" s="545">
        <f ca="1">IF(AND($D148="Serviço",AK$12&lt;&gt;0,$H148&gt;0,OR(AUTOEVENTO&lt;&gt;"manual",$M148&lt;&gt;1)),
IF(Import.TipoArredondamento&lt;&gt;"TransfereGOV",
ROUND(OFFSET($P148,0,AK$13),15-13*ORÇAMENTO!$AF$7)/$H148*OFFSET(ORÇAMENTO!$X$15,ROW(AK148)-ROW(AK$15),0),
ROUND(ROUND(OFFSET($P148,0,AK$13),15-13*ORÇAMENTO!$AF$7)*OFFSET(ORÇAMENTO!$W$15,ROW(AK148)-ROW(AK$15),0),15-13*ORÇAMENTO!$AF$11)),0)</f>
        <v>0</v>
      </c>
      <c r="AL148" s="545">
        <f ca="1">IF(AND($D148="Serviço",AL$12&lt;&gt;0,$H148&gt;0,OR(AUTOEVENTO&lt;&gt;"manual",$M148&lt;&gt;1)),
IF(Import.TipoArredondamento&lt;&gt;"TransfereGOV",
ROUND(OFFSET($P148,0,AL$13),15-13*ORÇAMENTO!$AF$7)/$H148*OFFSET(ORÇAMENTO!$X$15,ROW(AL148)-ROW(AL$15),0),
ROUND(ROUND(OFFSET($P148,0,AL$13),15-13*ORÇAMENTO!$AF$7)*OFFSET(ORÇAMENTO!$W$15,ROW(AL148)-ROW(AL$15),0),15-13*ORÇAMENTO!$AF$11)),0)</f>
        <v>0</v>
      </c>
      <c r="AM148" s="545">
        <f ca="1">IF(AND($D148="Serviço",AM$12&lt;&gt;0,$H148&gt;0,OR(AUTOEVENTO&lt;&gt;"manual",$M148&lt;&gt;1)),
IF(Import.TipoArredondamento&lt;&gt;"TransfereGOV",
ROUND(OFFSET($P148,0,AM$13),15-13*ORÇAMENTO!$AF$7)/$H148*OFFSET(ORÇAMENTO!$X$15,ROW(AM148)-ROW(AM$15),0),
ROUND(ROUND(OFFSET($P148,0,AM$13),15-13*ORÇAMENTO!$AF$7)*OFFSET(ORÇAMENTO!$W$15,ROW(AM148)-ROW(AM$15),0),15-13*ORÇAMENTO!$AF$11)),0)</f>
        <v>0</v>
      </c>
      <c r="AN148" s="545">
        <f ca="1">IF(AND($D148="Serviço",AN$12&lt;&gt;0,$H148&gt;0,OR(AUTOEVENTO&lt;&gt;"manual",$M148&lt;&gt;1)),
IF(Import.TipoArredondamento&lt;&gt;"TransfereGOV",
ROUND(OFFSET($P148,0,AN$13),15-13*ORÇAMENTO!$AF$7)/$H148*OFFSET(ORÇAMENTO!$X$15,ROW(AN148)-ROW(AN$15),0),
ROUND(ROUND(OFFSET($P148,0,AN$13),15-13*ORÇAMENTO!$AF$7)*OFFSET(ORÇAMENTO!$W$15,ROW(AN148)-ROW(AN$15),0),15-13*ORÇAMENTO!$AF$11)),0)</f>
        <v>0</v>
      </c>
      <c r="AO148" s="545">
        <f ca="1">IF(AND($D148="Serviço",AO$12&lt;&gt;0,$H148&gt;0,OR(AUTOEVENTO&lt;&gt;"manual",$M148&lt;&gt;1)),
IF(Import.TipoArredondamento&lt;&gt;"TransfereGOV",
ROUND(OFFSET($P148,0,AO$13),15-13*ORÇAMENTO!$AF$7)/$H148*OFFSET(ORÇAMENTO!$X$15,ROW(AO148)-ROW(AO$15),0),
ROUND(ROUND(OFFSET($P148,0,AO$13),15-13*ORÇAMENTO!$AF$7)*OFFSET(ORÇAMENTO!$W$15,ROW(AO148)-ROW(AO$15),0),15-13*ORÇAMENTO!$AF$11)),0)</f>
        <v>0</v>
      </c>
      <c r="AP148" s="545">
        <f ca="1">IF(AND($D148="Serviço",AP$12&lt;&gt;0,$H148&gt;0,OR(AUTOEVENTO&lt;&gt;"manual",$M148&lt;&gt;1)),
IF(Import.TipoArredondamento&lt;&gt;"TransfereGOV",
ROUND(OFFSET($P148,0,AP$13),15-13*ORÇAMENTO!$AF$7)/$H148*OFFSET(ORÇAMENTO!$X$15,ROW(AP148)-ROW(AP$15),0),
ROUND(ROUND(OFFSET($P148,0,AP$13),15-13*ORÇAMENTO!$AF$7)*OFFSET(ORÇAMENTO!$W$15,ROW(AP148)-ROW(AP$15),0),15-13*ORÇAMENTO!$AF$11)),0)</f>
        <v>0</v>
      </c>
      <c r="AQ148" s="545">
        <f ca="1">IF(AND($D148="Serviço",AQ$12&lt;&gt;0,$H148&gt;0,OR(AUTOEVENTO&lt;&gt;"manual",$M148&lt;&gt;1)),
IF(Import.TipoArredondamento&lt;&gt;"TransfereGOV",
ROUND(OFFSET($P148,0,AQ$13),15-13*ORÇAMENTO!$AF$7)/$H148*OFFSET(ORÇAMENTO!$X$15,ROW(AQ148)-ROW(AQ$15),0),
ROUND(ROUND(OFFSET($P148,0,AQ$13),15-13*ORÇAMENTO!$AF$7)*OFFSET(ORÇAMENTO!$W$15,ROW(AQ148)-ROW(AQ$15),0),15-13*ORÇAMENTO!$AF$11)),0)</f>
        <v>0</v>
      </c>
      <c r="AR148" s="545">
        <f ca="1">IF(AND($D148="Serviço",AR$12&lt;&gt;0,$H148&gt;0,OR(AUTOEVENTO&lt;&gt;"manual",$M148&lt;&gt;1)),
IF(Import.TipoArredondamento&lt;&gt;"TransfereGOV",
ROUND(OFFSET($P148,0,AR$13),15-13*ORÇAMENTO!$AF$7)/$H148*OFFSET(ORÇAMENTO!$X$15,ROW(AR148)-ROW(AR$15),0),
ROUND(ROUND(OFFSET($P148,0,AR$13),15-13*ORÇAMENTO!$AF$7)*OFFSET(ORÇAMENTO!$W$15,ROW(AR148)-ROW(AR$15),0),15-13*ORÇAMENTO!$AF$11)),0)</f>
        <v>0</v>
      </c>
      <c r="AS148" s="546">
        <f ca="1">IF(AND($D148="Serviço",AS$12&lt;&gt;0,$H148&gt;0,OR(AUTOEVENTO&lt;&gt;"manual",$M148&lt;&gt;1)),
IF(Import.TipoArredondamento&lt;&gt;"TransfereGOV",
ROUND(OFFSET($P148,0,AS$13),15-13*ORÇAMENTO!$AF$7)/$H148*OFFSET(ORÇAMENTO!$X$15,ROW(AS148)-ROW(AS$15),0),
ROUND(ROUND(OFFSET($P148,0,AS$13),15-13*ORÇAMENTO!$AF$7)*OFFSET(ORÇAMENTO!$W$15,ROW(AS148)-ROW(AS$15),0),15-13*ORÇAMENTO!$AF$11)),0)</f>
        <v>0</v>
      </c>
      <c r="AT148" s="545">
        <f ca="1">IF(AND($D148="Serviço",AT$12&lt;&gt;0,$H148&gt;0,OR(AUTOEVENTO&lt;&gt;"manual",$M148&lt;&gt;1)),
IF(Import.TipoArredondamento&lt;&gt;"TransfereGOV",
ROUND(OFFSET($P148,0,AT$13),15-13*ORÇAMENTO!$AF$7)/$H148*OFFSET(ORÇAMENTO!$X$15,ROW(AT148)-ROW(AT$15),0),
ROUND(ROUND(OFFSET($P148,0,AT$13),15-13*ORÇAMENTO!$AF$7)*OFFSET(ORÇAMENTO!$W$15,ROW(AT148)-ROW(AT$15),0),15-13*ORÇAMENTO!$AF$11)),0)</f>
        <v>0</v>
      </c>
      <c r="AU148" s="545">
        <f ca="1">IF(AND($D148="Serviço",AU$12&lt;&gt;0,$H148&gt;0,OR(AUTOEVENTO&lt;&gt;"manual",$M148&lt;&gt;1)),
IF(Import.TipoArredondamento&lt;&gt;"TransfereGOV",
ROUND(OFFSET($P148,0,AU$13),15-13*ORÇAMENTO!$AF$7)/$H148*OFFSET(ORÇAMENTO!$X$15,ROW(AU148)-ROW(AU$15),0),
ROUND(ROUND(OFFSET($P148,0,AU$13),15-13*ORÇAMENTO!$AF$7)*OFFSET(ORÇAMENTO!$W$15,ROW(AU148)-ROW(AU$15),0),15-13*ORÇAMENTO!$AF$11)),0)</f>
        <v>0</v>
      </c>
      <c r="AV148" s="545">
        <f ca="1">IF(AND($D148="Serviço",AV$12&lt;&gt;0,$H148&gt;0,OR(AUTOEVENTO&lt;&gt;"manual",$M148&lt;&gt;1)),
IF(Import.TipoArredondamento&lt;&gt;"TransfereGOV",
ROUND(OFFSET($P148,0,AV$13),15-13*ORÇAMENTO!$AF$7)/$H148*OFFSET(ORÇAMENTO!$X$15,ROW(AV148)-ROW(AV$15),0),
ROUND(ROUND(OFFSET($P148,0,AV$13),15-13*ORÇAMENTO!$AF$7)*OFFSET(ORÇAMENTO!$W$15,ROW(AV148)-ROW(AV$15),0),15-13*ORÇAMENTO!$AF$11)),0)</f>
        <v>0</v>
      </c>
      <c r="AW148" s="545">
        <f ca="1">IF(AND($D148="Serviço",AW$12&lt;&gt;0,$H148&gt;0,OR(AUTOEVENTO&lt;&gt;"manual",$M148&lt;&gt;1)),
IF(Import.TipoArredondamento&lt;&gt;"TransfereGOV",
ROUND(OFFSET($P148,0,AW$13),15-13*ORÇAMENTO!$AF$7)/$H148*OFFSET(ORÇAMENTO!$X$15,ROW(AW148)-ROW(AW$15),0),
ROUND(ROUND(OFFSET($P148,0,AW$13),15-13*ORÇAMENTO!$AF$7)*OFFSET(ORÇAMENTO!$W$15,ROW(AW148)-ROW(AW$15),0),15-13*ORÇAMENTO!$AF$11)),0)</f>
        <v>0</v>
      </c>
      <c r="AX148" s="545">
        <f ca="1">IF(AND($D148="Serviço",AX$12&lt;&gt;0,$H148&gt;0,OR(AUTOEVENTO&lt;&gt;"manual",$M148&lt;&gt;1)),
IF(Import.TipoArredondamento&lt;&gt;"TransfereGOV",
ROUND(OFFSET($P148,0,AX$13),15-13*ORÇAMENTO!$AF$7)/$H148*OFFSET(ORÇAMENTO!$X$15,ROW(AX148)-ROW(AX$15),0),
ROUND(ROUND(OFFSET($P148,0,AX$13),15-13*ORÇAMENTO!$AF$7)*OFFSET(ORÇAMENTO!$W$15,ROW(AX148)-ROW(AX$15),0),15-13*ORÇAMENTO!$AF$11)),0)</f>
        <v>0</v>
      </c>
      <c r="AY148" s="545">
        <f ca="1">IF(AND($D148="Serviço",AY$12&lt;&gt;0,$H148&gt;0,OR(AUTOEVENTO&lt;&gt;"manual",$M148&lt;&gt;1)),
IF(Import.TipoArredondamento&lt;&gt;"TransfereGOV",
ROUND(OFFSET($P148,0,AY$13),15-13*ORÇAMENTO!$AF$7)/$H148*OFFSET(ORÇAMENTO!$X$15,ROW(AY148)-ROW(AY$15),0),
ROUND(ROUND(OFFSET($P148,0,AY$13),15-13*ORÇAMENTO!$AF$7)*OFFSET(ORÇAMENTO!$W$15,ROW(AY148)-ROW(AY$15),0),15-13*ORÇAMENTO!$AF$11)),0)</f>
        <v>0</v>
      </c>
      <c r="AZ148" s="545">
        <f ca="1">IF(AND($D148="Serviço",AZ$12&lt;&gt;0,$H148&gt;0,OR(AUTOEVENTO&lt;&gt;"manual",$M148&lt;&gt;1)),
IF(Import.TipoArredondamento&lt;&gt;"TransfereGOV",
ROUND(OFFSET($P148,0,AZ$13),15-13*ORÇAMENTO!$AF$7)/$H148*OFFSET(ORÇAMENTO!$X$15,ROW(AZ148)-ROW(AZ$15),0),
ROUND(ROUND(OFFSET($P148,0,AZ$13),15-13*ORÇAMENTO!$AF$7)*OFFSET(ORÇAMENTO!$W$15,ROW(AZ148)-ROW(AZ$15),0),15-13*ORÇAMENTO!$AF$11)),0)</f>
        <v>0</v>
      </c>
      <c r="BA148" s="546">
        <f ca="1">IF(AND($D148="Serviço",BA$12&lt;&gt;0,$H148&gt;0,OR(AUTOEVENTO&lt;&gt;"manual",$M148&lt;&gt;1)),
IF(Import.TipoArredondamento&lt;&gt;"TransfereGOV",
ROUND(OFFSET($P148,0,BA$13),15-13*ORÇAMENTO!$AF$7)/$H148*OFFSET(ORÇAMENTO!$X$15,ROW(BA148)-ROW(BA$15),0),
ROUND(ROUND(OFFSET($P148,0,BA$13),15-13*ORÇAMENTO!$AF$7)*OFFSET(ORÇAMENTO!$W$15,ROW(BA148)-ROW(BA$15),0),15-13*ORÇAMENTO!$AF$11)),0)</f>
        <v>0</v>
      </c>
      <c r="BC148" s="181">
        <f ca="1">IF($D148&lt;&gt;"Serviço",0,IF(AND(AUTOEVENTO="Manual",$M148=1),0,IF(OFFSET(CRONOPLE!$F$14,$M148,BC$13)="",10^12,OFFSET(CRONOPLE!$F$14,$M148,BC$13))))</f>
        <v>5</v>
      </c>
      <c r="BD148" s="181">
        <f ca="1">IF($D148&lt;&gt;"Serviço",0,IF(AND(AUTOEVENTO="Manual",$M148=1),0,IF(OFFSET(CRONOPLE!$F$14,$M148,BD$13)="",10^12,OFFSET(CRONOPLE!$F$14,$M148,BD$13))))</f>
        <v>1000000000000</v>
      </c>
      <c r="BE148" s="181">
        <f ca="1">IF($D148&lt;&gt;"Serviço",0,IF(AND(AUTOEVENTO="Manual",$M148=1),0,IF(OFFSET(CRONOPLE!$F$14,$M148,BE$13)="",10^12,OFFSET(CRONOPLE!$F$14,$M148,BE$13))))</f>
        <v>1000000000000</v>
      </c>
      <c r="BF148" s="181">
        <f ca="1">IF($D148&lt;&gt;"Serviço",0,IF(AND(AUTOEVENTO="Manual",$M148=1),0,IF(OFFSET(CRONOPLE!$F$14,$M148,BF$13)="",10^12,OFFSET(CRONOPLE!$F$14,$M148,BF$13))))</f>
        <v>1000000000000</v>
      </c>
      <c r="BG148" s="181">
        <f ca="1">IF($D148&lt;&gt;"Serviço",0,IF(AND(AUTOEVENTO="Manual",$M148=1),0,IF(OFFSET(CRONOPLE!$F$14,$M148,BG$13)="",10^12,OFFSET(CRONOPLE!$F$14,$M148,BG$13))))</f>
        <v>1000000000000</v>
      </c>
      <c r="BH148" s="181">
        <f ca="1">IF($D148&lt;&gt;"Serviço",0,IF(AND(AUTOEVENTO="Manual",$M148=1),0,IF(OFFSET(CRONOPLE!$F$14,$M148,BH$13)="",10^12,OFFSET(CRONOPLE!$F$14,$M148,BH$13))))</f>
        <v>1000000000000</v>
      </c>
      <c r="BI148" s="181">
        <f ca="1">IF($D148&lt;&gt;"Serviço",0,IF(AND(AUTOEVENTO="Manual",$M148=1),0,IF(OFFSET(CRONOPLE!$F$14,$M148,BI$13)="",10^12,OFFSET(CRONOPLE!$F$14,$M148,BI$13))))</f>
        <v>1000000000000</v>
      </c>
      <c r="BJ148" s="181">
        <f ca="1">IF($D148&lt;&gt;"Serviço",0,IF(AND(AUTOEVENTO="Manual",$M148=1),0,IF(OFFSET(CRONOPLE!$F$14,$M148,BJ$13)="",10^12,OFFSET(CRONOPLE!$F$14,$M148,BJ$13))))</f>
        <v>1000000000000</v>
      </c>
      <c r="BK148" s="181">
        <f ca="1">IF($D148&lt;&gt;"Serviço",0,IF(AND(AUTOEVENTO="Manual",$M148=1),0,IF(OFFSET(CRONOPLE!$F$14,$M148,BK$13)="",10^12,OFFSET(CRONOPLE!$F$14,$M148,BK$13))))</f>
        <v>1000000000000</v>
      </c>
      <c r="BL148" s="181">
        <f ca="1">IF($D148&lt;&gt;"Serviço",0,IF(AND(AUTOEVENTO="Manual",$M148=1),0,IF(OFFSET(CRONOPLE!$F$14,$M148,BL$13)="",10^12,OFFSET(CRONOPLE!$F$14,$M148,BL$13))))</f>
        <v>1000000000000</v>
      </c>
      <c r="BM148" s="181">
        <f ca="1">IF($D148&lt;&gt;"Serviço",0,IF(AND(AUTOEVENTO="Manual",$M148=1),0,IF(OFFSET(CRONOPLE!$F$14,$M148,BM$13)="",10^12,OFFSET(CRONOPLE!$F$14,$M148,BM$13))))</f>
        <v>1000000000000</v>
      </c>
      <c r="BN148" s="181">
        <f ca="1">IF($D148&lt;&gt;"Serviço",0,IF(AND(AUTOEVENTO="Manual",$M148=1),0,IF(OFFSET(CRONOPLE!$F$14,$M148,BN$13)="",10^12,OFFSET(CRONOPLE!$F$14,$M148,BN$13))))</f>
        <v>1000000000000</v>
      </c>
      <c r="BO148" s="181">
        <f ca="1">IF($D148&lt;&gt;"Serviço",0,IF(AND(AUTOEVENTO="Manual",$M148=1),0,IF(OFFSET(CRONOPLE!$F$14,$M148,BO$13)="",10^12,OFFSET(CRONOPLE!$F$14,$M148,BO$13))))</f>
        <v>1000000000000</v>
      </c>
      <c r="BP148" s="181">
        <f ca="1">IF($D148&lt;&gt;"Serviço",0,IF(AND(AUTOEVENTO="Manual",$M148=1),0,IF(OFFSET(CRONOPLE!$F$14,$M148,BP$13)="",10^12,OFFSET(CRONOPLE!$F$14,$M148,BP$13))))</f>
        <v>1000000000000</v>
      </c>
      <c r="BQ148" s="181">
        <f ca="1">IF($D148&lt;&gt;"Serviço",0,IF(AND(AUTOEVENTO="Manual",$M148=1),0,IF(OFFSET(CRONOPLE!$F$14,$M148,BQ$13)="",10^12,OFFSET(CRONOPLE!$F$14,$M148,BQ$13))))</f>
        <v>1000000000000</v>
      </c>
      <c r="BR148" s="181">
        <f ca="1">IF($D148&lt;&gt;"Serviço",0,IF(AND(AUTOEVENTO="Manual",$M148=1),0,IF(OFFSET(CRONOPLE!$F$14,$M148,BR$13)="",10^12,OFFSET(CRONOPLE!$F$14,$M148,BR$13))))</f>
        <v>1000000000000</v>
      </c>
      <c r="BS148" s="181">
        <f ca="1">IF($D148&lt;&gt;"Serviço",0,IF(AND(AUTOEVENTO="Manual",$M148=1),0,IF(OFFSET(CRONOPLE!$F$14,$M148,BS$13)="",10^12,OFFSET(CRONOPLE!$F$14,$M148,BS$13))))</f>
        <v>1000000000000</v>
      </c>
      <c r="BT148" s="181">
        <f ca="1">IF($D148&lt;&gt;"Serviço",0,IF(AND(AUTOEVENTO="Manual",$M148=1),0,IF(OFFSET(CRONOPLE!$F$14,$M148,BT$13)="",10^12,OFFSET(CRONOPLE!$F$14,$M148,BT$13))))</f>
        <v>1000000000000</v>
      </c>
      <c r="BV148" s="182">
        <f ca="1">IF($D148&lt;&gt;"Serviço",0,IF(OR(AND(AUTOEVENTO="Manual",$M148=1),$M148&gt;(ROW(PLE.lastrow)-ROW(PLE.firstrow))),0,IF(OFFSET(PLE!$G$14,$M148,BV$13)="",10^12,OFFSET(PLE!$G$14,$M148,BV$13))))</f>
        <v>1000000000000</v>
      </c>
      <c r="BW148" s="182">
        <f ca="1">IF($D148&lt;&gt;"Serviço",0,IF(OR(AND(AUTOEVENTO="Manual",$M148=1),$M148&gt;(ROW(PLE.lastrow)-ROW(PLE.firstrow))),0,IF(OFFSET(PLE!$G$14,$M148,BW$13)="",10^12,OFFSET(PLE!$G$14,$M148,BW$13))))</f>
        <v>1000000000000</v>
      </c>
      <c r="BX148" s="182">
        <f ca="1">IF($D148&lt;&gt;"Serviço",0,IF(OR(AND(AUTOEVENTO="Manual",$M148=1),$M148&gt;(ROW(PLE.lastrow)-ROW(PLE.firstrow))),0,IF(OFFSET(PLE!$G$14,$M148,BX$13)="",10^12,OFFSET(PLE!$G$14,$M148,BX$13))))</f>
        <v>1000000000000</v>
      </c>
      <c r="BY148" s="182">
        <f ca="1">IF($D148&lt;&gt;"Serviço",0,IF(OR(AND(AUTOEVENTO="Manual",$M148=1),$M148&gt;(ROW(PLE.lastrow)-ROW(PLE.firstrow))),0,IF(OFFSET(PLE!$G$14,$M148,BY$13)="",10^12,OFFSET(PLE!$G$14,$M148,BY$13))))</f>
        <v>1000000000000</v>
      </c>
      <c r="BZ148" s="182">
        <f ca="1">IF($D148&lt;&gt;"Serviço",0,IF(OR(AND(AUTOEVENTO="Manual",$M148=1),$M148&gt;(ROW(PLE.lastrow)-ROW(PLE.firstrow))),0,IF(OFFSET(PLE!$G$14,$M148,BZ$13)="",10^12,OFFSET(PLE!$G$14,$M148,BZ$13))))</f>
        <v>1000000000000</v>
      </c>
      <c r="CA148" s="182">
        <f ca="1">IF($D148&lt;&gt;"Serviço",0,IF(OR(AND(AUTOEVENTO="Manual",$M148=1),$M148&gt;(ROW(PLE.lastrow)-ROW(PLE.firstrow))),0,IF(OFFSET(PLE!$G$14,$M148,CA$13)="",10^12,OFFSET(PLE!$G$14,$M148,CA$13))))</f>
        <v>1000000000000</v>
      </c>
      <c r="CB148" s="182">
        <f ca="1">IF($D148&lt;&gt;"Serviço",0,IF(OR(AND(AUTOEVENTO="Manual",$M148=1),$M148&gt;(ROW(PLE.lastrow)-ROW(PLE.firstrow))),0,IF(OFFSET(PLE!$G$14,$M148,CB$13)="",10^12,OFFSET(PLE!$G$14,$M148,CB$13))))</f>
        <v>1000000000000</v>
      </c>
      <c r="CC148" s="182">
        <f ca="1">IF($D148&lt;&gt;"Serviço",0,IF(OR(AND(AUTOEVENTO="Manual",$M148=1),$M148&gt;(ROW(PLE.lastrow)-ROW(PLE.firstrow))),0,IF(OFFSET(PLE!$G$14,$M148,CC$13)="",10^12,OFFSET(PLE!$G$14,$M148,CC$13))))</f>
        <v>1000000000000</v>
      </c>
      <c r="CD148" s="182">
        <f ca="1">IF($D148&lt;&gt;"Serviço",0,IF(OR(AND(AUTOEVENTO="Manual",$M148=1),$M148&gt;(ROW(PLE.lastrow)-ROW(PLE.firstrow))),0,IF(OFFSET(PLE!$G$14,$M148,CD$13)="",10^12,OFFSET(PLE!$G$14,$M148,CD$13))))</f>
        <v>1000000000000</v>
      </c>
      <c r="CE148" s="182">
        <f ca="1">IF($D148&lt;&gt;"Serviço",0,IF(OR(AND(AUTOEVENTO="Manual",$M148=1),$M148&gt;(ROW(PLE.lastrow)-ROW(PLE.firstrow))),0,IF(OFFSET(PLE!$G$14,$M148,CE$13)="",10^12,OFFSET(PLE!$G$14,$M148,CE$13))))</f>
        <v>1000000000000</v>
      </c>
      <c r="CF148" s="182">
        <f ca="1">IF($D148&lt;&gt;"Serviço",0,IF(OR(AND(AUTOEVENTO="Manual",$M148=1),$M148&gt;(ROW(PLE.lastrow)-ROW(PLE.firstrow))),0,IF(OFFSET(PLE!$G$14,$M148,CF$13)="",10^12,OFFSET(PLE!$G$14,$M148,CF$13))))</f>
        <v>1000000000000</v>
      </c>
      <c r="CG148" s="182">
        <f ca="1">IF($D148&lt;&gt;"Serviço",0,IF(OR(AND(AUTOEVENTO="Manual",$M148=1),$M148&gt;(ROW(PLE.lastrow)-ROW(PLE.firstrow))),0,IF(OFFSET(PLE!$G$14,$M148,CG$13)="",10^12,OFFSET(PLE!$G$14,$M148,CG$13))))</f>
        <v>1000000000000</v>
      </c>
      <c r="CH148" s="182">
        <f ca="1">IF($D148&lt;&gt;"Serviço",0,IF(OR(AND(AUTOEVENTO="Manual",$M148=1),$M148&gt;(ROW(PLE.lastrow)-ROW(PLE.firstrow))),0,IF(OFFSET(PLE!$G$14,$M148,CH$13)="",10^12,OFFSET(PLE!$G$14,$M148,CH$13))))</f>
        <v>1000000000000</v>
      </c>
      <c r="CI148" s="182">
        <f ca="1">IF($D148&lt;&gt;"Serviço",0,IF(OR(AND(AUTOEVENTO="Manual",$M148=1),$M148&gt;(ROW(PLE.lastrow)-ROW(PLE.firstrow))),0,IF(OFFSET(PLE!$G$14,$M148,CI$13)="",10^12,OFFSET(PLE!$G$14,$M148,CI$13))))</f>
        <v>1000000000000</v>
      </c>
      <c r="CJ148" s="182">
        <f ca="1">IF($D148&lt;&gt;"Serviço",0,IF(OR(AND(AUTOEVENTO="Manual",$M148=1),$M148&gt;(ROW(PLE.lastrow)-ROW(PLE.firstrow))),0,IF(OFFSET(PLE!$G$14,$M148,CJ$13)="",10^12,OFFSET(PLE!$G$14,$M148,CJ$13))))</f>
        <v>1000000000000</v>
      </c>
      <c r="CK148" s="182">
        <f ca="1">IF($D148&lt;&gt;"Serviço",0,IF(OR(AND(AUTOEVENTO="Manual",$M148=1),$M148&gt;(ROW(PLE.lastrow)-ROW(PLE.firstrow))),0,IF(OFFSET(PLE!$G$14,$M148,CK$13)="",10^12,OFFSET(PLE!$G$14,$M148,CK$13))))</f>
        <v>1000000000000</v>
      </c>
      <c r="CL148" s="182">
        <f ca="1">IF($D148&lt;&gt;"Serviço",0,IF(OR(AND(AUTOEVENTO="Manual",$M148=1),$M148&gt;(ROW(PLE.lastrow)-ROW(PLE.firstrow))),0,IF(OFFSET(PLE!$G$14,$M148,CL$13)="",10^12,OFFSET(PLE!$G$14,$M148,CL$13))))</f>
        <v>1000000000000</v>
      </c>
      <c r="CM148" s="182">
        <f ca="1">IF($D148&lt;&gt;"Serviço",0,IF(OR(AND(AUTOEVENTO="Manual",$M148=1),$M148&gt;(ROW(PLE.lastrow)-ROW(PLE.firstrow))),0,IF(OFFSET(PLE!$G$14,$M148,CM$13)="",10^12,OFFSET(PLE!$G$14,$M148,CM$13))))</f>
        <v>1000000000000</v>
      </c>
    </row>
    <row r="149" spans="1:91" ht="38.25" x14ac:dyDescent="0.2">
      <c r="A149" s="7" t="str">
        <f t="shared" ca="1" si="11"/>
        <v>119</v>
      </c>
      <c r="B149" s="7" t="str">
        <f ca="1">OFFSET(ORÇAMENTO!C$15,ROW(B149)-ROW(B$15),0)</f>
        <v>S</v>
      </c>
      <c r="C149" s="7" t="str">
        <f ca="1">OFFSET(ORÇAMENTO!L$15,ROW(C149)-ROW(C$15),0)</f>
        <v/>
      </c>
      <c r="D149" s="118" t="str">
        <f ca="1">OFFSET(ORÇAMENTO!N$15,ROW(D149)-ROW(D$15),0)</f>
        <v>Serviço</v>
      </c>
      <c r="E149" s="119" t="str">
        <f ca="1">OFFSET(ORÇAMENTO!O$15,ROW(E149)-ROW(E$15),0)</f>
        <v>-</v>
      </c>
      <c r="F149" s="172" t="str">
        <f ca="1">OFFSET(ORÇAMENTO!R$15,ROW(F149)-ROW(F$15),0)</f>
        <v>(abra o arquivo 'Referência 06-2024.xlsm)</v>
      </c>
      <c r="G149" s="173" t="str">
        <f ca="1">IF($D149&lt;&gt;"Serviço","",OFFSET(ORÇAMENTO!S$15,ROW(G149)-ROW(G$15),0))</f>
        <v>-</v>
      </c>
      <c r="H149" s="124">
        <f ca="1">IF($D149&lt;&gt;"Serviço",0,IF(ACOMPANHAMENTO="BM",ROUND(OFFSET(ORÇAMENTO!AJ$15,ROW(H149)-ROW(H$15),0),15-13*ORÇAMENTO!$AF$7),SUMPRODUCT(($Q$12:$AI$12&lt;&gt;"")*ROUND($Q149:$AI149,15-13*ORÇAMENTO!$AF$7))))</f>
        <v>16.8</v>
      </c>
      <c r="I149" s="561" t="s">
        <v>1107</v>
      </c>
      <c r="K149" s="174"/>
      <c r="L149" s="175" t="s">
        <v>255</v>
      </c>
      <c r="M149" s="176">
        <f ca="1">IF($D149&lt;&gt;"Serviço","",IF(AUTOEVENTO="manual",$A149,IF(ISERROR(MATCH($A149,$A$15:OFFSET($A149,-1,0),0)),MAX($M$15:OFFSET(M149,-1,0))+1,INDEX($M$15:OFFSET(M149,-1,0),MATCH($A149,$A$15:OFFSET($A149,-1,0),0)))))</f>
        <v>22</v>
      </c>
      <c r="N149" s="177" t="str">
        <f ca="1">IF($D149&lt;&gt;"Serviço","",IF(AUTOEVENTO="Manual",IF($A149=0,"&lt;-- defina o número do agrupador",OFFSET(EVENTOS!$D$14,$A149,0)),OFFSET($F$15,$A149,0)))</f>
        <v>ESQUADRIAS - JANELAS EM ALUMÍNIO</v>
      </c>
      <c r="O149" s="178"/>
      <c r="Q149" s="178">
        <v>16.8</v>
      </c>
      <c r="R149" s="179"/>
      <c r="S149" s="179"/>
      <c r="T149" s="179"/>
      <c r="U149" s="179"/>
      <c r="V149" s="179"/>
      <c r="W149" s="179"/>
      <c r="X149" s="179"/>
      <c r="Y149" s="179"/>
      <c r="Z149" s="180"/>
      <c r="AA149" s="179"/>
      <c r="AB149" s="179"/>
      <c r="AC149" s="179"/>
      <c r="AD149" s="179"/>
      <c r="AE149" s="179"/>
      <c r="AF149" s="179"/>
      <c r="AG149" s="179"/>
      <c r="AH149" s="180"/>
      <c r="AJ149" s="544">
        <f ca="1">IF(AND($D149="Serviço",AJ$12&lt;&gt;0,$H149&gt;0,OR(AUTOEVENTO&lt;&gt;"manual",$M149&lt;&gt;1)),
IF(Import.TipoArredondamento&lt;&gt;"TransfereGOV",
ROUND(OFFSET($P149,0,AJ$13),15-13*ORÇAMENTO!$AF$7)/$H149*OFFSET(ORÇAMENTO!$X$15,ROW(AJ149)-ROW(AJ$15),0),
ROUND(ROUND(OFFSET($P149,0,AJ$13),15-13*ORÇAMENTO!$AF$7)*OFFSET(ORÇAMENTO!$W$15,ROW(AJ149)-ROW(AJ$15),0),15-13*ORÇAMENTO!$AF$11)),0)</f>
        <v>0</v>
      </c>
      <c r="AK149" s="545">
        <f ca="1">IF(AND($D149="Serviço",AK$12&lt;&gt;0,$H149&gt;0,OR(AUTOEVENTO&lt;&gt;"manual",$M149&lt;&gt;1)),
IF(Import.TipoArredondamento&lt;&gt;"TransfereGOV",
ROUND(OFFSET($P149,0,AK$13),15-13*ORÇAMENTO!$AF$7)/$H149*OFFSET(ORÇAMENTO!$X$15,ROW(AK149)-ROW(AK$15),0),
ROUND(ROUND(OFFSET($P149,0,AK$13),15-13*ORÇAMENTO!$AF$7)*OFFSET(ORÇAMENTO!$W$15,ROW(AK149)-ROW(AK$15),0),15-13*ORÇAMENTO!$AF$11)),0)</f>
        <v>0</v>
      </c>
      <c r="AL149" s="545">
        <f ca="1">IF(AND($D149="Serviço",AL$12&lt;&gt;0,$H149&gt;0,OR(AUTOEVENTO&lt;&gt;"manual",$M149&lt;&gt;1)),
IF(Import.TipoArredondamento&lt;&gt;"TransfereGOV",
ROUND(OFFSET($P149,0,AL$13),15-13*ORÇAMENTO!$AF$7)/$H149*OFFSET(ORÇAMENTO!$X$15,ROW(AL149)-ROW(AL$15),0),
ROUND(ROUND(OFFSET($P149,0,AL$13),15-13*ORÇAMENTO!$AF$7)*OFFSET(ORÇAMENTO!$W$15,ROW(AL149)-ROW(AL$15),0),15-13*ORÇAMENTO!$AF$11)),0)</f>
        <v>0</v>
      </c>
      <c r="AM149" s="545">
        <f ca="1">IF(AND($D149="Serviço",AM$12&lt;&gt;0,$H149&gt;0,OR(AUTOEVENTO&lt;&gt;"manual",$M149&lt;&gt;1)),
IF(Import.TipoArredondamento&lt;&gt;"TransfereGOV",
ROUND(OFFSET($P149,0,AM$13),15-13*ORÇAMENTO!$AF$7)/$H149*OFFSET(ORÇAMENTO!$X$15,ROW(AM149)-ROW(AM$15),0),
ROUND(ROUND(OFFSET($P149,0,AM$13),15-13*ORÇAMENTO!$AF$7)*OFFSET(ORÇAMENTO!$W$15,ROW(AM149)-ROW(AM$15),0),15-13*ORÇAMENTO!$AF$11)),0)</f>
        <v>0</v>
      </c>
      <c r="AN149" s="545">
        <f ca="1">IF(AND($D149="Serviço",AN$12&lt;&gt;0,$H149&gt;0,OR(AUTOEVENTO&lt;&gt;"manual",$M149&lt;&gt;1)),
IF(Import.TipoArredondamento&lt;&gt;"TransfereGOV",
ROUND(OFFSET($P149,0,AN$13),15-13*ORÇAMENTO!$AF$7)/$H149*OFFSET(ORÇAMENTO!$X$15,ROW(AN149)-ROW(AN$15),0),
ROUND(ROUND(OFFSET($P149,0,AN$13),15-13*ORÇAMENTO!$AF$7)*OFFSET(ORÇAMENTO!$W$15,ROW(AN149)-ROW(AN$15),0),15-13*ORÇAMENTO!$AF$11)),0)</f>
        <v>0</v>
      </c>
      <c r="AO149" s="545">
        <f ca="1">IF(AND($D149="Serviço",AO$12&lt;&gt;0,$H149&gt;0,OR(AUTOEVENTO&lt;&gt;"manual",$M149&lt;&gt;1)),
IF(Import.TipoArredondamento&lt;&gt;"TransfereGOV",
ROUND(OFFSET($P149,0,AO$13),15-13*ORÇAMENTO!$AF$7)/$H149*OFFSET(ORÇAMENTO!$X$15,ROW(AO149)-ROW(AO$15),0),
ROUND(ROUND(OFFSET($P149,0,AO$13),15-13*ORÇAMENTO!$AF$7)*OFFSET(ORÇAMENTO!$W$15,ROW(AO149)-ROW(AO$15),0),15-13*ORÇAMENTO!$AF$11)),0)</f>
        <v>0</v>
      </c>
      <c r="AP149" s="545">
        <f ca="1">IF(AND($D149="Serviço",AP$12&lt;&gt;0,$H149&gt;0,OR(AUTOEVENTO&lt;&gt;"manual",$M149&lt;&gt;1)),
IF(Import.TipoArredondamento&lt;&gt;"TransfereGOV",
ROUND(OFFSET($P149,0,AP$13),15-13*ORÇAMENTO!$AF$7)/$H149*OFFSET(ORÇAMENTO!$X$15,ROW(AP149)-ROW(AP$15),0),
ROUND(ROUND(OFFSET($P149,0,AP$13),15-13*ORÇAMENTO!$AF$7)*OFFSET(ORÇAMENTO!$W$15,ROW(AP149)-ROW(AP$15),0),15-13*ORÇAMENTO!$AF$11)),0)</f>
        <v>0</v>
      </c>
      <c r="AQ149" s="545">
        <f ca="1">IF(AND($D149="Serviço",AQ$12&lt;&gt;0,$H149&gt;0,OR(AUTOEVENTO&lt;&gt;"manual",$M149&lt;&gt;1)),
IF(Import.TipoArredondamento&lt;&gt;"TransfereGOV",
ROUND(OFFSET($P149,0,AQ$13),15-13*ORÇAMENTO!$AF$7)/$H149*OFFSET(ORÇAMENTO!$X$15,ROW(AQ149)-ROW(AQ$15),0),
ROUND(ROUND(OFFSET($P149,0,AQ$13),15-13*ORÇAMENTO!$AF$7)*OFFSET(ORÇAMENTO!$W$15,ROW(AQ149)-ROW(AQ$15),0),15-13*ORÇAMENTO!$AF$11)),0)</f>
        <v>0</v>
      </c>
      <c r="AR149" s="545">
        <f ca="1">IF(AND($D149="Serviço",AR$12&lt;&gt;0,$H149&gt;0,OR(AUTOEVENTO&lt;&gt;"manual",$M149&lt;&gt;1)),
IF(Import.TipoArredondamento&lt;&gt;"TransfereGOV",
ROUND(OFFSET($P149,0,AR$13),15-13*ORÇAMENTO!$AF$7)/$H149*OFFSET(ORÇAMENTO!$X$15,ROW(AR149)-ROW(AR$15),0),
ROUND(ROUND(OFFSET($P149,0,AR$13),15-13*ORÇAMENTO!$AF$7)*OFFSET(ORÇAMENTO!$W$15,ROW(AR149)-ROW(AR$15),0),15-13*ORÇAMENTO!$AF$11)),0)</f>
        <v>0</v>
      </c>
      <c r="AS149" s="546">
        <f ca="1">IF(AND($D149="Serviço",AS$12&lt;&gt;0,$H149&gt;0,OR(AUTOEVENTO&lt;&gt;"manual",$M149&lt;&gt;1)),
IF(Import.TipoArredondamento&lt;&gt;"TransfereGOV",
ROUND(OFFSET($P149,0,AS$13),15-13*ORÇAMENTO!$AF$7)/$H149*OFFSET(ORÇAMENTO!$X$15,ROW(AS149)-ROW(AS$15),0),
ROUND(ROUND(OFFSET($P149,0,AS$13),15-13*ORÇAMENTO!$AF$7)*OFFSET(ORÇAMENTO!$W$15,ROW(AS149)-ROW(AS$15),0),15-13*ORÇAMENTO!$AF$11)),0)</f>
        <v>0</v>
      </c>
      <c r="AT149" s="545">
        <f ca="1">IF(AND($D149="Serviço",AT$12&lt;&gt;0,$H149&gt;0,OR(AUTOEVENTO&lt;&gt;"manual",$M149&lt;&gt;1)),
IF(Import.TipoArredondamento&lt;&gt;"TransfereGOV",
ROUND(OFFSET($P149,0,AT$13),15-13*ORÇAMENTO!$AF$7)/$H149*OFFSET(ORÇAMENTO!$X$15,ROW(AT149)-ROW(AT$15),0),
ROUND(ROUND(OFFSET($P149,0,AT$13),15-13*ORÇAMENTO!$AF$7)*OFFSET(ORÇAMENTO!$W$15,ROW(AT149)-ROW(AT$15),0),15-13*ORÇAMENTO!$AF$11)),0)</f>
        <v>0</v>
      </c>
      <c r="AU149" s="545">
        <f ca="1">IF(AND($D149="Serviço",AU$12&lt;&gt;0,$H149&gt;0,OR(AUTOEVENTO&lt;&gt;"manual",$M149&lt;&gt;1)),
IF(Import.TipoArredondamento&lt;&gt;"TransfereGOV",
ROUND(OFFSET($P149,0,AU$13),15-13*ORÇAMENTO!$AF$7)/$H149*OFFSET(ORÇAMENTO!$X$15,ROW(AU149)-ROW(AU$15),0),
ROUND(ROUND(OFFSET($P149,0,AU$13),15-13*ORÇAMENTO!$AF$7)*OFFSET(ORÇAMENTO!$W$15,ROW(AU149)-ROW(AU$15),0),15-13*ORÇAMENTO!$AF$11)),0)</f>
        <v>0</v>
      </c>
      <c r="AV149" s="545">
        <f ca="1">IF(AND($D149="Serviço",AV$12&lt;&gt;0,$H149&gt;0,OR(AUTOEVENTO&lt;&gt;"manual",$M149&lt;&gt;1)),
IF(Import.TipoArredondamento&lt;&gt;"TransfereGOV",
ROUND(OFFSET($P149,0,AV$13),15-13*ORÇAMENTO!$AF$7)/$H149*OFFSET(ORÇAMENTO!$X$15,ROW(AV149)-ROW(AV$15),0),
ROUND(ROUND(OFFSET($P149,0,AV$13),15-13*ORÇAMENTO!$AF$7)*OFFSET(ORÇAMENTO!$W$15,ROW(AV149)-ROW(AV$15),0),15-13*ORÇAMENTO!$AF$11)),0)</f>
        <v>0</v>
      </c>
      <c r="AW149" s="545">
        <f ca="1">IF(AND($D149="Serviço",AW$12&lt;&gt;0,$H149&gt;0,OR(AUTOEVENTO&lt;&gt;"manual",$M149&lt;&gt;1)),
IF(Import.TipoArredondamento&lt;&gt;"TransfereGOV",
ROUND(OFFSET($P149,0,AW$13),15-13*ORÇAMENTO!$AF$7)/$H149*OFFSET(ORÇAMENTO!$X$15,ROW(AW149)-ROW(AW$15),0),
ROUND(ROUND(OFFSET($P149,0,AW$13),15-13*ORÇAMENTO!$AF$7)*OFFSET(ORÇAMENTO!$W$15,ROW(AW149)-ROW(AW$15),0),15-13*ORÇAMENTO!$AF$11)),0)</f>
        <v>0</v>
      </c>
      <c r="AX149" s="545">
        <f ca="1">IF(AND($D149="Serviço",AX$12&lt;&gt;0,$H149&gt;0,OR(AUTOEVENTO&lt;&gt;"manual",$M149&lt;&gt;1)),
IF(Import.TipoArredondamento&lt;&gt;"TransfereGOV",
ROUND(OFFSET($P149,0,AX$13),15-13*ORÇAMENTO!$AF$7)/$H149*OFFSET(ORÇAMENTO!$X$15,ROW(AX149)-ROW(AX$15),0),
ROUND(ROUND(OFFSET($P149,0,AX$13),15-13*ORÇAMENTO!$AF$7)*OFFSET(ORÇAMENTO!$W$15,ROW(AX149)-ROW(AX$15),0),15-13*ORÇAMENTO!$AF$11)),0)</f>
        <v>0</v>
      </c>
      <c r="AY149" s="545">
        <f ca="1">IF(AND($D149="Serviço",AY$12&lt;&gt;0,$H149&gt;0,OR(AUTOEVENTO&lt;&gt;"manual",$M149&lt;&gt;1)),
IF(Import.TipoArredondamento&lt;&gt;"TransfereGOV",
ROUND(OFFSET($P149,0,AY$13),15-13*ORÇAMENTO!$AF$7)/$H149*OFFSET(ORÇAMENTO!$X$15,ROW(AY149)-ROW(AY$15),0),
ROUND(ROUND(OFFSET($P149,0,AY$13),15-13*ORÇAMENTO!$AF$7)*OFFSET(ORÇAMENTO!$W$15,ROW(AY149)-ROW(AY$15),0),15-13*ORÇAMENTO!$AF$11)),0)</f>
        <v>0</v>
      </c>
      <c r="AZ149" s="545">
        <f ca="1">IF(AND($D149="Serviço",AZ$12&lt;&gt;0,$H149&gt;0,OR(AUTOEVENTO&lt;&gt;"manual",$M149&lt;&gt;1)),
IF(Import.TipoArredondamento&lt;&gt;"TransfereGOV",
ROUND(OFFSET($P149,0,AZ$13),15-13*ORÇAMENTO!$AF$7)/$H149*OFFSET(ORÇAMENTO!$X$15,ROW(AZ149)-ROW(AZ$15),0),
ROUND(ROUND(OFFSET($P149,0,AZ$13),15-13*ORÇAMENTO!$AF$7)*OFFSET(ORÇAMENTO!$W$15,ROW(AZ149)-ROW(AZ$15),0),15-13*ORÇAMENTO!$AF$11)),0)</f>
        <v>0</v>
      </c>
      <c r="BA149" s="546">
        <f ca="1">IF(AND($D149="Serviço",BA$12&lt;&gt;0,$H149&gt;0,OR(AUTOEVENTO&lt;&gt;"manual",$M149&lt;&gt;1)),
IF(Import.TipoArredondamento&lt;&gt;"TransfereGOV",
ROUND(OFFSET($P149,0,BA$13),15-13*ORÇAMENTO!$AF$7)/$H149*OFFSET(ORÇAMENTO!$X$15,ROW(BA149)-ROW(BA$15),0),
ROUND(ROUND(OFFSET($P149,0,BA$13),15-13*ORÇAMENTO!$AF$7)*OFFSET(ORÇAMENTO!$W$15,ROW(BA149)-ROW(BA$15),0),15-13*ORÇAMENTO!$AF$11)),0)</f>
        <v>0</v>
      </c>
      <c r="BC149" s="181">
        <f ca="1">IF($D149&lt;&gt;"Serviço",0,IF(AND(AUTOEVENTO="Manual",$M149=1),0,IF(OFFSET(CRONOPLE!$F$14,$M149,BC$13)="",10^12,OFFSET(CRONOPLE!$F$14,$M149,BC$13))))</f>
        <v>5</v>
      </c>
      <c r="BD149" s="181">
        <f ca="1">IF($D149&lt;&gt;"Serviço",0,IF(AND(AUTOEVENTO="Manual",$M149=1),0,IF(OFFSET(CRONOPLE!$F$14,$M149,BD$13)="",10^12,OFFSET(CRONOPLE!$F$14,$M149,BD$13))))</f>
        <v>1000000000000</v>
      </c>
      <c r="BE149" s="181">
        <f ca="1">IF($D149&lt;&gt;"Serviço",0,IF(AND(AUTOEVENTO="Manual",$M149=1),0,IF(OFFSET(CRONOPLE!$F$14,$M149,BE$13)="",10^12,OFFSET(CRONOPLE!$F$14,$M149,BE$13))))</f>
        <v>1000000000000</v>
      </c>
      <c r="BF149" s="181">
        <f ca="1">IF($D149&lt;&gt;"Serviço",0,IF(AND(AUTOEVENTO="Manual",$M149=1),0,IF(OFFSET(CRONOPLE!$F$14,$M149,BF$13)="",10^12,OFFSET(CRONOPLE!$F$14,$M149,BF$13))))</f>
        <v>1000000000000</v>
      </c>
      <c r="BG149" s="181">
        <f ca="1">IF($D149&lt;&gt;"Serviço",0,IF(AND(AUTOEVENTO="Manual",$M149=1),0,IF(OFFSET(CRONOPLE!$F$14,$M149,BG$13)="",10^12,OFFSET(CRONOPLE!$F$14,$M149,BG$13))))</f>
        <v>1000000000000</v>
      </c>
      <c r="BH149" s="181">
        <f ca="1">IF($D149&lt;&gt;"Serviço",0,IF(AND(AUTOEVENTO="Manual",$M149=1),0,IF(OFFSET(CRONOPLE!$F$14,$M149,BH$13)="",10^12,OFFSET(CRONOPLE!$F$14,$M149,BH$13))))</f>
        <v>1000000000000</v>
      </c>
      <c r="BI149" s="181">
        <f ca="1">IF($D149&lt;&gt;"Serviço",0,IF(AND(AUTOEVENTO="Manual",$M149=1),0,IF(OFFSET(CRONOPLE!$F$14,$M149,BI$13)="",10^12,OFFSET(CRONOPLE!$F$14,$M149,BI$13))))</f>
        <v>1000000000000</v>
      </c>
      <c r="BJ149" s="181">
        <f ca="1">IF($D149&lt;&gt;"Serviço",0,IF(AND(AUTOEVENTO="Manual",$M149=1),0,IF(OFFSET(CRONOPLE!$F$14,$M149,BJ$13)="",10^12,OFFSET(CRONOPLE!$F$14,$M149,BJ$13))))</f>
        <v>1000000000000</v>
      </c>
      <c r="BK149" s="181">
        <f ca="1">IF($D149&lt;&gt;"Serviço",0,IF(AND(AUTOEVENTO="Manual",$M149=1),0,IF(OFFSET(CRONOPLE!$F$14,$M149,BK$13)="",10^12,OFFSET(CRONOPLE!$F$14,$M149,BK$13))))</f>
        <v>1000000000000</v>
      </c>
      <c r="BL149" s="181">
        <f ca="1">IF($D149&lt;&gt;"Serviço",0,IF(AND(AUTOEVENTO="Manual",$M149=1),0,IF(OFFSET(CRONOPLE!$F$14,$M149,BL$13)="",10^12,OFFSET(CRONOPLE!$F$14,$M149,BL$13))))</f>
        <v>1000000000000</v>
      </c>
      <c r="BM149" s="181">
        <f ca="1">IF($D149&lt;&gt;"Serviço",0,IF(AND(AUTOEVENTO="Manual",$M149=1),0,IF(OFFSET(CRONOPLE!$F$14,$M149,BM$13)="",10^12,OFFSET(CRONOPLE!$F$14,$M149,BM$13))))</f>
        <v>1000000000000</v>
      </c>
      <c r="BN149" s="181">
        <f ca="1">IF($D149&lt;&gt;"Serviço",0,IF(AND(AUTOEVENTO="Manual",$M149=1),0,IF(OFFSET(CRONOPLE!$F$14,$M149,BN$13)="",10^12,OFFSET(CRONOPLE!$F$14,$M149,BN$13))))</f>
        <v>1000000000000</v>
      </c>
      <c r="BO149" s="181">
        <f ca="1">IF($D149&lt;&gt;"Serviço",0,IF(AND(AUTOEVENTO="Manual",$M149=1),0,IF(OFFSET(CRONOPLE!$F$14,$M149,BO$13)="",10^12,OFFSET(CRONOPLE!$F$14,$M149,BO$13))))</f>
        <v>1000000000000</v>
      </c>
      <c r="BP149" s="181">
        <f ca="1">IF($D149&lt;&gt;"Serviço",0,IF(AND(AUTOEVENTO="Manual",$M149=1),0,IF(OFFSET(CRONOPLE!$F$14,$M149,BP$13)="",10^12,OFFSET(CRONOPLE!$F$14,$M149,BP$13))))</f>
        <v>1000000000000</v>
      </c>
      <c r="BQ149" s="181">
        <f ca="1">IF($D149&lt;&gt;"Serviço",0,IF(AND(AUTOEVENTO="Manual",$M149=1),0,IF(OFFSET(CRONOPLE!$F$14,$M149,BQ$13)="",10^12,OFFSET(CRONOPLE!$F$14,$M149,BQ$13))))</f>
        <v>1000000000000</v>
      </c>
      <c r="BR149" s="181">
        <f ca="1">IF($D149&lt;&gt;"Serviço",0,IF(AND(AUTOEVENTO="Manual",$M149=1),0,IF(OFFSET(CRONOPLE!$F$14,$M149,BR$13)="",10^12,OFFSET(CRONOPLE!$F$14,$M149,BR$13))))</f>
        <v>1000000000000</v>
      </c>
      <c r="BS149" s="181">
        <f ca="1">IF($D149&lt;&gt;"Serviço",0,IF(AND(AUTOEVENTO="Manual",$M149=1),0,IF(OFFSET(CRONOPLE!$F$14,$M149,BS$13)="",10^12,OFFSET(CRONOPLE!$F$14,$M149,BS$13))))</f>
        <v>1000000000000</v>
      </c>
      <c r="BT149" s="181">
        <f ca="1">IF($D149&lt;&gt;"Serviço",0,IF(AND(AUTOEVENTO="Manual",$M149=1),0,IF(OFFSET(CRONOPLE!$F$14,$M149,BT$13)="",10^12,OFFSET(CRONOPLE!$F$14,$M149,BT$13))))</f>
        <v>1000000000000</v>
      </c>
      <c r="BV149" s="182">
        <f ca="1">IF($D149&lt;&gt;"Serviço",0,IF(OR(AND(AUTOEVENTO="Manual",$M149=1),$M149&gt;(ROW(PLE.lastrow)-ROW(PLE.firstrow))),0,IF(OFFSET(PLE!$G$14,$M149,BV$13)="",10^12,OFFSET(PLE!$G$14,$M149,BV$13))))</f>
        <v>1000000000000</v>
      </c>
      <c r="BW149" s="182">
        <f ca="1">IF($D149&lt;&gt;"Serviço",0,IF(OR(AND(AUTOEVENTO="Manual",$M149=1),$M149&gt;(ROW(PLE.lastrow)-ROW(PLE.firstrow))),0,IF(OFFSET(PLE!$G$14,$M149,BW$13)="",10^12,OFFSET(PLE!$G$14,$M149,BW$13))))</f>
        <v>1000000000000</v>
      </c>
      <c r="BX149" s="182">
        <f ca="1">IF($D149&lt;&gt;"Serviço",0,IF(OR(AND(AUTOEVENTO="Manual",$M149=1),$M149&gt;(ROW(PLE.lastrow)-ROW(PLE.firstrow))),0,IF(OFFSET(PLE!$G$14,$M149,BX$13)="",10^12,OFFSET(PLE!$G$14,$M149,BX$13))))</f>
        <v>1000000000000</v>
      </c>
      <c r="BY149" s="182">
        <f ca="1">IF($D149&lt;&gt;"Serviço",0,IF(OR(AND(AUTOEVENTO="Manual",$M149=1),$M149&gt;(ROW(PLE.lastrow)-ROW(PLE.firstrow))),0,IF(OFFSET(PLE!$G$14,$M149,BY$13)="",10^12,OFFSET(PLE!$G$14,$M149,BY$13))))</f>
        <v>1000000000000</v>
      </c>
      <c r="BZ149" s="182">
        <f ca="1">IF($D149&lt;&gt;"Serviço",0,IF(OR(AND(AUTOEVENTO="Manual",$M149=1),$M149&gt;(ROW(PLE.lastrow)-ROW(PLE.firstrow))),0,IF(OFFSET(PLE!$G$14,$M149,BZ$13)="",10^12,OFFSET(PLE!$G$14,$M149,BZ$13))))</f>
        <v>1000000000000</v>
      </c>
      <c r="CA149" s="182">
        <f ca="1">IF($D149&lt;&gt;"Serviço",0,IF(OR(AND(AUTOEVENTO="Manual",$M149=1),$M149&gt;(ROW(PLE.lastrow)-ROW(PLE.firstrow))),0,IF(OFFSET(PLE!$G$14,$M149,CA$13)="",10^12,OFFSET(PLE!$G$14,$M149,CA$13))))</f>
        <v>1000000000000</v>
      </c>
      <c r="CB149" s="182">
        <f ca="1">IF($D149&lt;&gt;"Serviço",0,IF(OR(AND(AUTOEVENTO="Manual",$M149=1),$M149&gt;(ROW(PLE.lastrow)-ROW(PLE.firstrow))),0,IF(OFFSET(PLE!$G$14,$M149,CB$13)="",10^12,OFFSET(PLE!$G$14,$M149,CB$13))))</f>
        <v>1000000000000</v>
      </c>
      <c r="CC149" s="182">
        <f ca="1">IF($D149&lt;&gt;"Serviço",0,IF(OR(AND(AUTOEVENTO="Manual",$M149=1),$M149&gt;(ROW(PLE.lastrow)-ROW(PLE.firstrow))),0,IF(OFFSET(PLE!$G$14,$M149,CC$13)="",10^12,OFFSET(PLE!$G$14,$M149,CC$13))))</f>
        <v>1000000000000</v>
      </c>
      <c r="CD149" s="182">
        <f ca="1">IF($D149&lt;&gt;"Serviço",0,IF(OR(AND(AUTOEVENTO="Manual",$M149=1),$M149&gt;(ROW(PLE.lastrow)-ROW(PLE.firstrow))),0,IF(OFFSET(PLE!$G$14,$M149,CD$13)="",10^12,OFFSET(PLE!$G$14,$M149,CD$13))))</f>
        <v>1000000000000</v>
      </c>
      <c r="CE149" s="182">
        <f ca="1">IF($D149&lt;&gt;"Serviço",0,IF(OR(AND(AUTOEVENTO="Manual",$M149=1),$M149&gt;(ROW(PLE.lastrow)-ROW(PLE.firstrow))),0,IF(OFFSET(PLE!$G$14,$M149,CE$13)="",10^12,OFFSET(PLE!$G$14,$M149,CE$13))))</f>
        <v>1000000000000</v>
      </c>
      <c r="CF149" s="182">
        <f ca="1">IF($D149&lt;&gt;"Serviço",0,IF(OR(AND(AUTOEVENTO="Manual",$M149=1),$M149&gt;(ROW(PLE.lastrow)-ROW(PLE.firstrow))),0,IF(OFFSET(PLE!$G$14,$M149,CF$13)="",10^12,OFFSET(PLE!$G$14,$M149,CF$13))))</f>
        <v>1000000000000</v>
      </c>
      <c r="CG149" s="182">
        <f ca="1">IF($D149&lt;&gt;"Serviço",0,IF(OR(AND(AUTOEVENTO="Manual",$M149=1),$M149&gt;(ROW(PLE.lastrow)-ROW(PLE.firstrow))),0,IF(OFFSET(PLE!$G$14,$M149,CG$13)="",10^12,OFFSET(PLE!$G$14,$M149,CG$13))))</f>
        <v>1000000000000</v>
      </c>
      <c r="CH149" s="182">
        <f ca="1">IF($D149&lt;&gt;"Serviço",0,IF(OR(AND(AUTOEVENTO="Manual",$M149=1),$M149&gt;(ROW(PLE.lastrow)-ROW(PLE.firstrow))),0,IF(OFFSET(PLE!$G$14,$M149,CH$13)="",10^12,OFFSET(PLE!$G$14,$M149,CH$13))))</f>
        <v>1000000000000</v>
      </c>
      <c r="CI149" s="182">
        <f ca="1">IF($D149&lt;&gt;"Serviço",0,IF(OR(AND(AUTOEVENTO="Manual",$M149=1),$M149&gt;(ROW(PLE.lastrow)-ROW(PLE.firstrow))),0,IF(OFFSET(PLE!$G$14,$M149,CI$13)="",10^12,OFFSET(PLE!$G$14,$M149,CI$13))))</f>
        <v>1000000000000</v>
      </c>
      <c r="CJ149" s="182">
        <f ca="1">IF($D149&lt;&gt;"Serviço",0,IF(OR(AND(AUTOEVENTO="Manual",$M149=1),$M149&gt;(ROW(PLE.lastrow)-ROW(PLE.firstrow))),0,IF(OFFSET(PLE!$G$14,$M149,CJ$13)="",10^12,OFFSET(PLE!$G$14,$M149,CJ$13))))</f>
        <v>1000000000000</v>
      </c>
      <c r="CK149" s="182">
        <f ca="1">IF($D149&lt;&gt;"Serviço",0,IF(OR(AND(AUTOEVENTO="Manual",$M149=1),$M149&gt;(ROW(PLE.lastrow)-ROW(PLE.firstrow))),0,IF(OFFSET(PLE!$G$14,$M149,CK$13)="",10^12,OFFSET(PLE!$G$14,$M149,CK$13))))</f>
        <v>1000000000000</v>
      </c>
      <c r="CL149" s="182">
        <f ca="1">IF($D149&lt;&gt;"Serviço",0,IF(OR(AND(AUTOEVENTO="Manual",$M149=1),$M149&gt;(ROW(PLE.lastrow)-ROW(PLE.firstrow))),0,IF(OFFSET(PLE!$G$14,$M149,CL$13)="",10^12,OFFSET(PLE!$G$14,$M149,CL$13))))</f>
        <v>1000000000000</v>
      </c>
      <c r="CM149" s="182">
        <f ca="1">IF($D149&lt;&gt;"Serviço",0,IF(OR(AND(AUTOEVENTO="Manual",$M149=1),$M149&gt;(ROW(PLE.lastrow)-ROW(PLE.firstrow))),0,IF(OFFSET(PLE!$G$14,$M149,CM$13)="",10^12,OFFSET(PLE!$G$14,$M149,CM$13))))</f>
        <v>1000000000000</v>
      </c>
    </row>
    <row r="150" spans="1:91" ht="38.25" x14ac:dyDescent="0.2">
      <c r="A150" s="7" t="str">
        <f t="shared" ca="1" si="11"/>
        <v>119</v>
      </c>
      <c r="B150" s="7" t="str">
        <f ca="1">OFFSET(ORÇAMENTO!C$15,ROW(B150)-ROW(B$15),0)</f>
        <v>S</v>
      </c>
      <c r="C150" s="7" t="str">
        <f ca="1">OFFSET(ORÇAMENTO!L$15,ROW(C150)-ROW(C$15),0)</f>
        <v/>
      </c>
      <c r="D150" s="118" t="str">
        <f ca="1">OFFSET(ORÇAMENTO!N$15,ROW(D150)-ROW(D$15),0)</f>
        <v>Serviço</v>
      </c>
      <c r="E150" s="119" t="str">
        <f ca="1">OFFSET(ORÇAMENTO!O$15,ROW(E150)-ROW(E$15),0)</f>
        <v>-</v>
      </c>
      <c r="F150" s="172" t="str">
        <f ca="1">OFFSET(ORÇAMENTO!R$15,ROW(F150)-ROW(F$15),0)</f>
        <v>(abra o arquivo 'Referência 06-2024.xlsm)</v>
      </c>
      <c r="G150" s="173" t="str">
        <f ca="1">IF($D150&lt;&gt;"Serviço","",OFFSET(ORÇAMENTO!S$15,ROW(G150)-ROW(G$15),0))</f>
        <v>-</v>
      </c>
      <c r="H150" s="124">
        <f ca="1">IF($D150&lt;&gt;"Serviço",0,IF(ACOMPANHAMENTO="BM",ROUND(OFFSET(ORÇAMENTO!AJ$15,ROW(H150)-ROW(H$15),0),15-13*ORÇAMENTO!$AF$7),SUMPRODUCT(($Q$12:$AI$12&lt;&gt;"")*ROUND($Q150:$AI150,15-13*ORÇAMENTO!$AF$7))))</f>
        <v>5.44</v>
      </c>
      <c r="I150" s="561" t="s">
        <v>1107</v>
      </c>
      <c r="K150" s="174"/>
      <c r="L150" s="175" t="s">
        <v>255</v>
      </c>
      <c r="M150" s="176">
        <f ca="1">IF($D150&lt;&gt;"Serviço","",IF(AUTOEVENTO="manual",$A150,IF(ISERROR(MATCH($A150,$A$15:OFFSET($A150,-1,0),0)),MAX($M$15:OFFSET(M150,-1,0))+1,INDEX($M$15:OFFSET(M150,-1,0),MATCH($A150,$A$15:OFFSET($A150,-1,0),0)))))</f>
        <v>22</v>
      </c>
      <c r="N150" s="177" t="str">
        <f ca="1">IF($D150&lt;&gt;"Serviço","",IF(AUTOEVENTO="Manual",IF($A150=0,"&lt;-- defina o número do agrupador",OFFSET(EVENTOS!$D$14,$A150,0)),OFFSET($F$15,$A150,0)))</f>
        <v>ESQUADRIAS - JANELAS EM ALUMÍNIO</v>
      </c>
      <c r="O150" s="178"/>
      <c r="Q150" s="178">
        <v>5.44</v>
      </c>
      <c r="R150" s="179"/>
      <c r="S150" s="179"/>
      <c r="T150" s="179"/>
      <c r="U150" s="179"/>
      <c r="V150" s="179"/>
      <c r="W150" s="179"/>
      <c r="X150" s="179"/>
      <c r="Y150" s="179"/>
      <c r="Z150" s="180"/>
      <c r="AA150" s="179"/>
      <c r="AB150" s="179"/>
      <c r="AC150" s="179"/>
      <c r="AD150" s="179"/>
      <c r="AE150" s="179"/>
      <c r="AF150" s="179"/>
      <c r="AG150" s="179"/>
      <c r="AH150" s="180"/>
      <c r="AJ150" s="544">
        <f ca="1">IF(AND($D150="Serviço",AJ$12&lt;&gt;0,$H150&gt;0,OR(AUTOEVENTO&lt;&gt;"manual",$M150&lt;&gt;1)),
IF(Import.TipoArredondamento&lt;&gt;"TransfereGOV",
ROUND(OFFSET($P150,0,AJ$13),15-13*ORÇAMENTO!$AF$7)/$H150*OFFSET(ORÇAMENTO!$X$15,ROW(AJ150)-ROW(AJ$15),0),
ROUND(ROUND(OFFSET($P150,0,AJ$13),15-13*ORÇAMENTO!$AF$7)*OFFSET(ORÇAMENTO!$W$15,ROW(AJ150)-ROW(AJ$15),0),15-13*ORÇAMENTO!$AF$11)),0)</f>
        <v>0</v>
      </c>
      <c r="AK150" s="545">
        <f ca="1">IF(AND($D150="Serviço",AK$12&lt;&gt;0,$H150&gt;0,OR(AUTOEVENTO&lt;&gt;"manual",$M150&lt;&gt;1)),
IF(Import.TipoArredondamento&lt;&gt;"TransfereGOV",
ROUND(OFFSET($P150,0,AK$13),15-13*ORÇAMENTO!$AF$7)/$H150*OFFSET(ORÇAMENTO!$X$15,ROW(AK150)-ROW(AK$15),0),
ROUND(ROUND(OFFSET($P150,0,AK$13),15-13*ORÇAMENTO!$AF$7)*OFFSET(ORÇAMENTO!$W$15,ROW(AK150)-ROW(AK$15),0),15-13*ORÇAMENTO!$AF$11)),0)</f>
        <v>0</v>
      </c>
      <c r="AL150" s="545">
        <f ca="1">IF(AND($D150="Serviço",AL$12&lt;&gt;0,$H150&gt;0,OR(AUTOEVENTO&lt;&gt;"manual",$M150&lt;&gt;1)),
IF(Import.TipoArredondamento&lt;&gt;"TransfereGOV",
ROUND(OFFSET($P150,0,AL$13),15-13*ORÇAMENTO!$AF$7)/$H150*OFFSET(ORÇAMENTO!$X$15,ROW(AL150)-ROW(AL$15),0),
ROUND(ROUND(OFFSET($P150,0,AL$13),15-13*ORÇAMENTO!$AF$7)*OFFSET(ORÇAMENTO!$W$15,ROW(AL150)-ROW(AL$15),0),15-13*ORÇAMENTO!$AF$11)),0)</f>
        <v>0</v>
      </c>
      <c r="AM150" s="545">
        <f ca="1">IF(AND($D150="Serviço",AM$12&lt;&gt;0,$H150&gt;0,OR(AUTOEVENTO&lt;&gt;"manual",$M150&lt;&gt;1)),
IF(Import.TipoArredondamento&lt;&gt;"TransfereGOV",
ROUND(OFFSET($P150,0,AM$13),15-13*ORÇAMENTO!$AF$7)/$H150*OFFSET(ORÇAMENTO!$X$15,ROW(AM150)-ROW(AM$15),0),
ROUND(ROUND(OFFSET($P150,0,AM$13),15-13*ORÇAMENTO!$AF$7)*OFFSET(ORÇAMENTO!$W$15,ROW(AM150)-ROW(AM$15),0),15-13*ORÇAMENTO!$AF$11)),0)</f>
        <v>0</v>
      </c>
      <c r="AN150" s="545">
        <f ca="1">IF(AND($D150="Serviço",AN$12&lt;&gt;0,$H150&gt;0,OR(AUTOEVENTO&lt;&gt;"manual",$M150&lt;&gt;1)),
IF(Import.TipoArredondamento&lt;&gt;"TransfereGOV",
ROUND(OFFSET($P150,0,AN$13),15-13*ORÇAMENTO!$AF$7)/$H150*OFFSET(ORÇAMENTO!$X$15,ROW(AN150)-ROW(AN$15),0),
ROUND(ROUND(OFFSET($P150,0,AN$13),15-13*ORÇAMENTO!$AF$7)*OFFSET(ORÇAMENTO!$W$15,ROW(AN150)-ROW(AN$15),0),15-13*ORÇAMENTO!$AF$11)),0)</f>
        <v>0</v>
      </c>
      <c r="AO150" s="545">
        <f ca="1">IF(AND($D150="Serviço",AO$12&lt;&gt;0,$H150&gt;0,OR(AUTOEVENTO&lt;&gt;"manual",$M150&lt;&gt;1)),
IF(Import.TipoArredondamento&lt;&gt;"TransfereGOV",
ROUND(OFFSET($P150,0,AO$13),15-13*ORÇAMENTO!$AF$7)/$H150*OFFSET(ORÇAMENTO!$X$15,ROW(AO150)-ROW(AO$15),0),
ROUND(ROUND(OFFSET($P150,0,AO$13),15-13*ORÇAMENTO!$AF$7)*OFFSET(ORÇAMENTO!$W$15,ROW(AO150)-ROW(AO$15),0),15-13*ORÇAMENTO!$AF$11)),0)</f>
        <v>0</v>
      </c>
      <c r="AP150" s="545">
        <f ca="1">IF(AND($D150="Serviço",AP$12&lt;&gt;0,$H150&gt;0,OR(AUTOEVENTO&lt;&gt;"manual",$M150&lt;&gt;1)),
IF(Import.TipoArredondamento&lt;&gt;"TransfereGOV",
ROUND(OFFSET($P150,0,AP$13),15-13*ORÇAMENTO!$AF$7)/$H150*OFFSET(ORÇAMENTO!$X$15,ROW(AP150)-ROW(AP$15),0),
ROUND(ROUND(OFFSET($P150,0,AP$13),15-13*ORÇAMENTO!$AF$7)*OFFSET(ORÇAMENTO!$W$15,ROW(AP150)-ROW(AP$15),0),15-13*ORÇAMENTO!$AF$11)),0)</f>
        <v>0</v>
      </c>
      <c r="AQ150" s="545">
        <f ca="1">IF(AND($D150="Serviço",AQ$12&lt;&gt;0,$H150&gt;0,OR(AUTOEVENTO&lt;&gt;"manual",$M150&lt;&gt;1)),
IF(Import.TipoArredondamento&lt;&gt;"TransfereGOV",
ROUND(OFFSET($P150,0,AQ$13),15-13*ORÇAMENTO!$AF$7)/$H150*OFFSET(ORÇAMENTO!$X$15,ROW(AQ150)-ROW(AQ$15),0),
ROUND(ROUND(OFFSET($P150,0,AQ$13),15-13*ORÇAMENTO!$AF$7)*OFFSET(ORÇAMENTO!$W$15,ROW(AQ150)-ROW(AQ$15),0),15-13*ORÇAMENTO!$AF$11)),0)</f>
        <v>0</v>
      </c>
      <c r="AR150" s="545">
        <f ca="1">IF(AND($D150="Serviço",AR$12&lt;&gt;0,$H150&gt;0,OR(AUTOEVENTO&lt;&gt;"manual",$M150&lt;&gt;1)),
IF(Import.TipoArredondamento&lt;&gt;"TransfereGOV",
ROUND(OFFSET($P150,0,AR$13),15-13*ORÇAMENTO!$AF$7)/$H150*OFFSET(ORÇAMENTO!$X$15,ROW(AR150)-ROW(AR$15),0),
ROUND(ROUND(OFFSET($P150,0,AR$13),15-13*ORÇAMENTO!$AF$7)*OFFSET(ORÇAMENTO!$W$15,ROW(AR150)-ROW(AR$15),0),15-13*ORÇAMENTO!$AF$11)),0)</f>
        <v>0</v>
      </c>
      <c r="AS150" s="546">
        <f ca="1">IF(AND($D150="Serviço",AS$12&lt;&gt;0,$H150&gt;0,OR(AUTOEVENTO&lt;&gt;"manual",$M150&lt;&gt;1)),
IF(Import.TipoArredondamento&lt;&gt;"TransfereGOV",
ROUND(OFFSET($P150,0,AS$13),15-13*ORÇAMENTO!$AF$7)/$H150*OFFSET(ORÇAMENTO!$X$15,ROW(AS150)-ROW(AS$15),0),
ROUND(ROUND(OFFSET($P150,0,AS$13),15-13*ORÇAMENTO!$AF$7)*OFFSET(ORÇAMENTO!$W$15,ROW(AS150)-ROW(AS$15),0),15-13*ORÇAMENTO!$AF$11)),0)</f>
        <v>0</v>
      </c>
      <c r="AT150" s="545">
        <f ca="1">IF(AND($D150="Serviço",AT$12&lt;&gt;0,$H150&gt;0,OR(AUTOEVENTO&lt;&gt;"manual",$M150&lt;&gt;1)),
IF(Import.TipoArredondamento&lt;&gt;"TransfereGOV",
ROUND(OFFSET($P150,0,AT$13),15-13*ORÇAMENTO!$AF$7)/$H150*OFFSET(ORÇAMENTO!$X$15,ROW(AT150)-ROW(AT$15),0),
ROUND(ROUND(OFFSET($P150,0,AT$13),15-13*ORÇAMENTO!$AF$7)*OFFSET(ORÇAMENTO!$W$15,ROW(AT150)-ROW(AT$15),0),15-13*ORÇAMENTO!$AF$11)),0)</f>
        <v>0</v>
      </c>
      <c r="AU150" s="545">
        <f ca="1">IF(AND($D150="Serviço",AU$12&lt;&gt;0,$H150&gt;0,OR(AUTOEVENTO&lt;&gt;"manual",$M150&lt;&gt;1)),
IF(Import.TipoArredondamento&lt;&gt;"TransfereGOV",
ROUND(OFFSET($P150,0,AU$13),15-13*ORÇAMENTO!$AF$7)/$H150*OFFSET(ORÇAMENTO!$X$15,ROW(AU150)-ROW(AU$15),0),
ROUND(ROUND(OFFSET($P150,0,AU$13),15-13*ORÇAMENTO!$AF$7)*OFFSET(ORÇAMENTO!$W$15,ROW(AU150)-ROW(AU$15),0),15-13*ORÇAMENTO!$AF$11)),0)</f>
        <v>0</v>
      </c>
      <c r="AV150" s="545">
        <f ca="1">IF(AND($D150="Serviço",AV$12&lt;&gt;0,$H150&gt;0,OR(AUTOEVENTO&lt;&gt;"manual",$M150&lt;&gt;1)),
IF(Import.TipoArredondamento&lt;&gt;"TransfereGOV",
ROUND(OFFSET($P150,0,AV$13),15-13*ORÇAMENTO!$AF$7)/$H150*OFFSET(ORÇAMENTO!$X$15,ROW(AV150)-ROW(AV$15),0),
ROUND(ROUND(OFFSET($P150,0,AV$13),15-13*ORÇAMENTO!$AF$7)*OFFSET(ORÇAMENTO!$W$15,ROW(AV150)-ROW(AV$15),0),15-13*ORÇAMENTO!$AF$11)),0)</f>
        <v>0</v>
      </c>
      <c r="AW150" s="545">
        <f ca="1">IF(AND($D150="Serviço",AW$12&lt;&gt;0,$H150&gt;0,OR(AUTOEVENTO&lt;&gt;"manual",$M150&lt;&gt;1)),
IF(Import.TipoArredondamento&lt;&gt;"TransfereGOV",
ROUND(OFFSET($P150,0,AW$13),15-13*ORÇAMENTO!$AF$7)/$H150*OFFSET(ORÇAMENTO!$X$15,ROW(AW150)-ROW(AW$15),0),
ROUND(ROUND(OFFSET($P150,0,AW$13),15-13*ORÇAMENTO!$AF$7)*OFFSET(ORÇAMENTO!$W$15,ROW(AW150)-ROW(AW$15),0),15-13*ORÇAMENTO!$AF$11)),0)</f>
        <v>0</v>
      </c>
      <c r="AX150" s="545">
        <f ca="1">IF(AND($D150="Serviço",AX$12&lt;&gt;0,$H150&gt;0,OR(AUTOEVENTO&lt;&gt;"manual",$M150&lt;&gt;1)),
IF(Import.TipoArredondamento&lt;&gt;"TransfereGOV",
ROUND(OFFSET($P150,0,AX$13),15-13*ORÇAMENTO!$AF$7)/$H150*OFFSET(ORÇAMENTO!$X$15,ROW(AX150)-ROW(AX$15),0),
ROUND(ROUND(OFFSET($P150,0,AX$13),15-13*ORÇAMENTO!$AF$7)*OFFSET(ORÇAMENTO!$W$15,ROW(AX150)-ROW(AX$15),0),15-13*ORÇAMENTO!$AF$11)),0)</f>
        <v>0</v>
      </c>
      <c r="AY150" s="545">
        <f ca="1">IF(AND($D150="Serviço",AY$12&lt;&gt;0,$H150&gt;0,OR(AUTOEVENTO&lt;&gt;"manual",$M150&lt;&gt;1)),
IF(Import.TipoArredondamento&lt;&gt;"TransfereGOV",
ROUND(OFFSET($P150,0,AY$13),15-13*ORÇAMENTO!$AF$7)/$H150*OFFSET(ORÇAMENTO!$X$15,ROW(AY150)-ROW(AY$15),0),
ROUND(ROUND(OFFSET($P150,0,AY$13),15-13*ORÇAMENTO!$AF$7)*OFFSET(ORÇAMENTO!$W$15,ROW(AY150)-ROW(AY$15),0),15-13*ORÇAMENTO!$AF$11)),0)</f>
        <v>0</v>
      </c>
      <c r="AZ150" s="545">
        <f ca="1">IF(AND($D150="Serviço",AZ$12&lt;&gt;0,$H150&gt;0,OR(AUTOEVENTO&lt;&gt;"manual",$M150&lt;&gt;1)),
IF(Import.TipoArredondamento&lt;&gt;"TransfereGOV",
ROUND(OFFSET($P150,0,AZ$13),15-13*ORÇAMENTO!$AF$7)/$H150*OFFSET(ORÇAMENTO!$X$15,ROW(AZ150)-ROW(AZ$15),0),
ROUND(ROUND(OFFSET($P150,0,AZ$13),15-13*ORÇAMENTO!$AF$7)*OFFSET(ORÇAMENTO!$W$15,ROW(AZ150)-ROW(AZ$15),0),15-13*ORÇAMENTO!$AF$11)),0)</f>
        <v>0</v>
      </c>
      <c r="BA150" s="546">
        <f ca="1">IF(AND($D150="Serviço",BA$12&lt;&gt;0,$H150&gt;0,OR(AUTOEVENTO&lt;&gt;"manual",$M150&lt;&gt;1)),
IF(Import.TipoArredondamento&lt;&gt;"TransfereGOV",
ROUND(OFFSET($P150,0,BA$13),15-13*ORÇAMENTO!$AF$7)/$H150*OFFSET(ORÇAMENTO!$X$15,ROW(BA150)-ROW(BA$15),0),
ROUND(ROUND(OFFSET($P150,0,BA$13),15-13*ORÇAMENTO!$AF$7)*OFFSET(ORÇAMENTO!$W$15,ROW(BA150)-ROW(BA$15),0),15-13*ORÇAMENTO!$AF$11)),0)</f>
        <v>0</v>
      </c>
      <c r="BC150" s="181">
        <f ca="1">IF($D150&lt;&gt;"Serviço",0,IF(AND(AUTOEVENTO="Manual",$M150=1),0,IF(OFFSET(CRONOPLE!$F$14,$M150,BC$13)="",10^12,OFFSET(CRONOPLE!$F$14,$M150,BC$13))))</f>
        <v>5</v>
      </c>
      <c r="BD150" s="181">
        <f ca="1">IF($D150&lt;&gt;"Serviço",0,IF(AND(AUTOEVENTO="Manual",$M150=1),0,IF(OFFSET(CRONOPLE!$F$14,$M150,BD$13)="",10^12,OFFSET(CRONOPLE!$F$14,$M150,BD$13))))</f>
        <v>1000000000000</v>
      </c>
      <c r="BE150" s="181">
        <f ca="1">IF($D150&lt;&gt;"Serviço",0,IF(AND(AUTOEVENTO="Manual",$M150=1),0,IF(OFFSET(CRONOPLE!$F$14,$M150,BE$13)="",10^12,OFFSET(CRONOPLE!$F$14,$M150,BE$13))))</f>
        <v>1000000000000</v>
      </c>
      <c r="BF150" s="181">
        <f ca="1">IF($D150&lt;&gt;"Serviço",0,IF(AND(AUTOEVENTO="Manual",$M150=1),0,IF(OFFSET(CRONOPLE!$F$14,$M150,BF$13)="",10^12,OFFSET(CRONOPLE!$F$14,$M150,BF$13))))</f>
        <v>1000000000000</v>
      </c>
      <c r="BG150" s="181">
        <f ca="1">IF($D150&lt;&gt;"Serviço",0,IF(AND(AUTOEVENTO="Manual",$M150=1),0,IF(OFFSET(CRONOPLE!$F$14,$M150,BG$13)="",10^12,OFFSET(CRONOPLE!$F$14,$M150,BG$13))))</f>
        <v>1000000000000</v>
      </c>
      <c r="BH150" s="181">
        <f ca="1">IF($D150&lt;&gt;"Serviço",0,IF(AND(AUTOEVENTO="Manual",$M150=1),0,IF(OFFSET(CRONOPLE!$F$14,$M150,BH$13)="",10^12,OFFSET(CRONOPLE!$F$14,$M150,BH$13))))</f>
        <v>1000000000000</v>
      </c>
      <c r="BI150" s="181">
        <f ca="1">IF($D150&lt;&gt;"Serviço",0,IF(AND(AUTOEVENTO="Manual",$M150=1),0,IF(OFFSET(CRONOPLE!$F$14,$M150,BI$13)="",10^12,OFFSET(CRONOPLE!$F$14,$M150,BI$13))))</f>
        <v>1000000000000</v>
      </c>
      <c r="BJ150" s="181">
        <f ca="1">IF($D150&lt;&gt;"Serviço",0,IF(AND(AUTOEVENTO="Manual",$M150=1),0,IF(OFFSET(CRONOPLE!$F$14,$M150,BJ$13)="",10^12,OFFSET(CRONOPLE!$F$14,$M150,BJ$13))))</f>
        <v>1000000000000</v>
      </c>
      <c r="BK150" s="181">
        <f ca="1">IF($D150&lt;&gt;"Serviço",0,IF(AND(AUTOEVENTO="Manual",$M150=1),0,IF(OFFSET(CRONOPLE!$F$14,$M150,BK$13)="",10^12,OFFSET(CRONOPLE!$F$14,$M150,BK$13))))</f>
        <v>1000000000000</v>
      </c>
      <c r="BL150" s="181">
        <f ca="1">IF($D150&lt;&gt;"Serviço",0,IF(AND(AUTOEVENTO="Manual",$M150=1),0,IF(OFFSET(CRONOPLE!$F$14,$M150,BL$13)="",10^12,OFFSET(CRONOPLE!$F$14,$M150,BL$13))))</f>
        <v>1000000000000</v>
      </c>
      <c r="BM150" s="181">
        <f ca="1">IF($D150&lt;&gt;"Serviço",0,IF(AND(AUTOEVENTO="Manual",$M150=1),0,IF(OFFSET(CRONOPLE!$F$14,$M150,BM$13)="",10^12,OFFSET(CRONOPLE!$F$14,$M150,BM$13))))</f>
        <v>1000000000000</v>
      </c>
      <c r="BN150" s="181">
        <f ca="1">IF($D150&lt;&gt;"Serviço",0,IF(AND(AUTOEVENTO="Manual",$M150=1),0,IF(OFFSET(CRONOPLE!$F$14,$M150,BN$13)="",10^12,OFFSET(CRONOPLE!$F$14,$M150,BN$13))))</f>
        <v>1000000000000</v>
      </c>
      <c r="BO150" s="181">
        <f ca="1">IF($D150&lt;&gt;"Serviço",0,IF(AND(AUTOEVENTO="Manual",$M150=1),0,IF(OFFSET(CRONOPLE!$F$14,$M150,BO$13)="",10^12,OFFSET(CRONOPLE!$F$14,$M150,BO$13))))</f>
        <v>1000000000000</v>
      </c>
      <c r="BP150" s="181">
        <f ca="1">IF($D150&lt;&gt;"Serviço",0,IF(AND(AUTOEVENTO="Manual",$M150=1),0,IF(OFFSET(CRONOPLE!$F$14,$M150,BP$13)="",10^12,OFFSET(CRONOPLE!$F$14,$M150,BP$13))))</f>
        <v>1000000000000</v>
      </c>
      <c r="BQ150" s="181">
        <f ca="1">IF($D150&lt;&gt;"Serviço",0,IF(AND(AUTOEVENTO="Manual",$M150=1),0,IF(OFFSET(CRONOPLE!$F$14,$M150,BQ$13)="",10^12,OFFSET(CRONOPLE!$F$14,$M150,BQ$13))))</f>
        <v>1000000000000</v>
      </c>
      <c r="BR150" s="181">
        <f ca="1">IF($D150&lt;&gt;"Serviço",0,IF(AND(AUTOEVENTO="Manual",$M150=1),0,IF(OFFSET(CRONOPLE!$F$14,$M150,BR$13)="",10^12,OFFSET(CRONOPLE!$F$14,$M150,BR$13))))</f>
        <v>1000000000000</v>
      </c>
      <c r="BS150" s="181">
        <f ca="1">IF($D150&lt;&gt;"Serviço",0,IF(AND(AUTOEVENTO="Manual",$M150=1),0,IF(OFFSET(CRONOPLE!$F$14,$M150,BS$13)="",10^12,OFFSET(CRONOPLE!$F$14,$M150,BS$13))))</f>
        <v>1000000000000</v>
      </c>
      <c r="BT150" s="181">
        <f ca="1">IF($D150&lt;&gt;"Serviço",0,IF(AND(AUTOEVENTO="Manual",$M150=1),0,IF(OFFSET(CRONOPLE!$F$14,$M150,BT$13)="",10^12,OFFSET(CRONOPLE!$F$14,$M150,BT$13))))</f>
        <v>1000000000000</v>
      </c>
      <c r="BV150" s="182">
        <f ca="1">IF($D150&lt;&gt;"Serviço",0,IF(OR(AND(AUTOEVENTO="Manual",$M150=1),$M150&gt;(ROW(PLE.lastrow)-ROW(PLE.firstrow))),0,IF(OFFSET(PLE!$G$14,$M150,BV$13)="",10^12,OFFSET(PLE!$G$14,$M150,BV$13))))</f>
        <v>1000000000000</v>
      </c>
      <c r="BW150" s="182">
        <f ca="1">IF($D150&lt;&gt;"Serviço",0,IF(OR(AND(AUTOEVENTO="Manual",$M150=1),$M150&gt;(ROW(PLE.lastrow)-ROW(PLE.firstrow))),0,IF(OFFSET(PLE!$G$14,$M150,BW$13)="",10^12,OFFSET(PLE!$G$14,$M150,BW$13))))</f>
        <v>1000000000000</v>
      </c>
      <c r="BX150" s="182">
        <f ca="1">IF($D150&lt;&gt;"Serviço",0,IF(OR(AND(AUTOEVENTO="Manual",$M150=1),$M150&gt;(ROW(PLE.lastrow)-ROW(PLE.firstrow))),0,IF(OFFSET(PLE!$G$14,$M150,BX$13)="",10^12,OFFSET(PLE!$G$14,$M150,BX$13))))</f>
        <v>1000000000000</v>
      </c>
      <c r="BY150" s="182">
        <f ca="1">IF($D150&lt;&gt;"Serviço",0,IF(OR(AND(AUTOEVENTO="Manual",$M150=1),$M150&gt;(ROW(PLE.lastrow)-ROW(PLE.firstrow))),0,IF(OFFSET(PLE!$G$14,$M150,BY$13)="",10^12,OFFSET(PLE!$G$14,$M150,BY$13))))</f>
        <v>1000000000000</v>
      </c>
      <c r="BZ150" s="182">
        <f ca="1">IF($D150&lt;&gt;"Serviço",0,IF(OR(AND(AUTOEVENTO="Manual",$M150=1),$M150&gt;(ROW(PLE.lastrow)-ROW(PLE.firstrow))),0,IF(OFFSET(PLE!$G$14,$M150,BZ$13)="",10^12,OFFSET(PLE!$G$14,$M150,BZ$13))))</f>
        <v>1000000000000</v>
      </c>
      <c r="CA150" s="182">
        <f ca="1">IF($D150&lt;&gt;"Serviço",0,IF(OR(AND(AUTOEVENTO="Manual",$M150=1),$M150&gt;(ROW(PLE.lastrow)-ROW(PLE.firstrow))),0,IF(OFFSET(PLE!$G$14,$M150,CA$13)="",10^12,OFFSET(PLE!$G$14,$M150,CA$13))))</f>
        <v>1000000000000</v>
      </c>
      <c r="CB150" s="182">
        <f ca="1">IF($D150&lt;&gt;"Serviço",0,IF(OR(AND(AUTOEVENTO="Manual",$M150=1),$M150&gt;(ROW(PLE.lastrow)-ROW(PLE.firstrow))),0,IF(OFFSET(PLE!$G$14,$M150,CB$13)="",10^12,OFFSET(PLE!$G$14,$M150,CB$13))))</f>
        <v>1000000000000</v>
      </c>
      <c r="CC150" s="182">
        <f ca="1">IF($D150&lt;&gt;"Serviço",0,IF(OR(AND(AUTOEVENTO="Manual",$M150=1),$M150&gt;(ROW(PLE.lastrow)-ROW(PLE.firstrow))),0,IF(OFFSET(PLE!$G$14,$M150,CC$13)="",10^12,OFFSET(PLE!$G$14,$M150,CC$13))))</f>
        <v>1000000000000</v>
      </c>
      <c r="CD150" s="182">
        <f ca="1">IF($D150&lt;&gt;"Serviço",0,IF(OR(AND(AUTOEVENTO="Manual",$M150=1),$M150&gt;(ROW(PLE.lastrow)-ROW(PLE.firstrow))),0,IF(OFFSET(PLE!$G$14,$M150,CD$13)="",10^12,OFFSET(PLE!$G$14,$M150,CD$13))))</f>
        <v>1000000000000</v>
      </c>
      <c r="CE150" s="182">
        <f ca="1">IF($D150&lt;&gt;"Serviço",0,IF(OR(AND(AUTOEVENTO="Manual",$M150=1),$M150&gt;(ROW(PLE.lastrow)-ROW(PLE.firstrow))),0,IF(OFFSET(PLE!$G$14,$M150,CE$13)="",10^12,OFFSET(PLE!$G$14,$M150,CE$13))))</f>
        <v>1000000000000</v>
      </c>
      <c r="CF150" s="182">
        <f ca="1">IF($D150&lt;&gt;"Serviço",0,IF(OR(AND(AUTOEVENTO="Manual",$M150=1),$M150&gt;(ROW(PLE.lastrow)-ROW(PLE.firstrow))),0,IF(OFFSET(PLE!$G$14,$M150,CF$13)="",10^12,OFFSET(PLE!$G$14,$M150,CF$13))))</f>
        <v>1000000000000</v>
      </c>
      <c r="CG150" s="182">
        <f ca="1">IF($D150&lt;&gt;"Serviço",0,IF(OR(AND(AUTOEVENTO="Manual",$M150=1),$M150&gt;(ROW(PLE.lastrow)-ROW(PLE.firstrow))),0,IF(OFFSET(PLE!$G$14,$M150,CG$13)="",10^12,OFFSET(PLE!$G$14,$M150,CG$13))))</f>
        <v>1000000000000</v>
      </c>
      <c r="CH150" s="182">
        <f ca="1">IF($D150&lt;&gt;"Serviço",0,IF(OR(AND(AUTOEVENTO="Manual",$M150=1),$M150&gt;(ROW(PLE.lastrow)-ROW(PLE.firstrow))),0,IF(OFFSET(PLE!$G$14,$M150,CH$13)="",10^12,OFFSET(PLE!$G$14,$M150,CH$13))))</f>
        <v>1000000000000</v>
      </c>
      <c r="CI150" s="182">
        <f ca="1">IF($D150&lt;&gt;"Serviço",0,IF(OR(AND(AUTOEVENTO="Manual",$M150=1),$M150&gt;(ROW(PLE.lastrow)-ROW(PLE.firstrow))),0,IF(OFFSET(PLE!$G$14,$M150,CI$13)="",10^12,OFFSET(PLE!$G$14,$M150,CI$13))))</f>
        <v>1000000000000</v>
      </c>
      <c r="CJ150" s="182">
        <f ca="1">IF($D150&lt;&gt;"Serviço",0,IF(OR(AND(AUTOEVENTO="Manual",$M150=1),$M150&gt;(ROW(PLE.lastrow)-ROW(PLE.firstrow))),0,IF(OFFSET(PLE!$G$14,$M150,CJ$13)="",10^12,OFFSET(PLE!$G$14,$M150,CJ$13))))</f>
        <v>1000000000000</v>
      </c>
      <c r="CK150" s="182">
        <f ca="1">IF($D150&lt;&gt;"Serviço",0,IF(OR(AND(AUTOEVENTO="Manual",$M150=1),$M150&gt;(ROW(PLE.lastrow)-ROW(PLE.firstrow))),0,IF(OFFSET(PLE!$G$14,$M150,CK$13)="",10^12,OFFSET(PLE!$G$14,$M150,CK$13))))</f>
        <v>1000000000000</v>
      </c>
      <c r="CL150" s="182">
        <f ca="1">IF($D150&lt;&gt;"Serviço",0,IF(OR(AND(AUTOEVENTO="Manual",$M150=1),$M150&gt;(ROW(PLE.lastrow)-ROW(PLE.firstrow))),0,IF(OFFSET(PLE!$G$14,$M150,CL$13)="",10^12,OFFSET(PLE!$G$14,$M150,CL$13))))</f>
        <v>1000000000000</v>
      </c>
      <c r="CM150" s="182">
        <f ca="1">IF($D150&lt;&gt;"Serviço",0,IF(OR(AND(AUTOEVENTO="Manual",$M150=1),$M150&gt;(ROW(PLE.lastrow)-ROW(PLE.firstrow))),0,IF(OFFSET(PLE!$G$14,$M150,CM$13)="",10^12,OFFSET(PLE!$G$14,$M150,CM$13))))</f>
        <v>1000000000000</v>
      </c>
    </row>
    <row r="151" spans="1:91" ht="25.5" x14ac:dyDescent="0.2">
      <c r="A151" s="7" t="str">
        <f t="shared" ca="1" si="11"/>
        <v>119</v>
      </c>
      <c r="B151" s="7" t="str">
        <f ca="1">OFFSET(ORÇAMENTO!C$15,ROW(B151)-ROW(B$15),0)</f>
        <v>S</v>
      </c>
      <c r="C151" s="7" t="str">
        <f ca="1">OFFSET(ORÇAMENTO!L$15,ROW(C151)-ROW(C$15),0)</f>
        <v/>
      </c>
      <c r="D151" s="118" t="str">
        <f ca="1">OFFSET(ORÇAMENTO!N$15,ROW(D151)-ROW(D$15),0)</f>
        <v>Serviço</v>
      </c>
      <c r="E151" s="119" t="str">
        <f ca="1">OFFSET(ORÇAMENTO!O$15,ROW(E151)-ROW(E$15),0)</f>
        <v>-</v>
      </c>
      <c r="F151" s="172" t="str">
        <f ca="1">OFFSET(ORÇAMENTO!R$15,ROW(F151)-ROW(F$15),0)</f>
        <v>(abra o arquivo 'Referência 06-2024.xlsm)</v>
      </c>
      <c r="G151" s="173" t="str">
        <f ca="1">IF($D151&lt;&gt;"Serviço","",OFFSET(ORÇAMENTO!S$15,ROW(G151)-ROW(G$15),0))</f>
        <v>-</v>
      </c>
      <c r="H151" s="124">
        <f ca="1">IF($D151&lt;&gt;"Serviço",0,IF(ACOMPANHAMENTO="BM",ROUND(OFFSET(ORÇAMENTO!AJ$15,ROW(H151)-ROW(H$15),0),15-13*ORÇAMENTO!$AF$7),SUMPRODUCT(($Q$12:$AI$12&lt;&gt;"")*ROUND($Q151:$AI151,15-13*ORÇAMENTO!$AF$7))))</f>
        <v>28.24</v>
      </c>
      <c r="I151" s="561" t="s">
        <v>1107</v>
      </c>
      <c r="K151" s="174"/>
      <c r="L151" s="175" t="s">
        <v>255</v>
      </c>
      <c r="M151" s="176">
        <f ca="1">IF($D151&lt;&gt;"Serviço","",IF(AUTOEVENTO="manual",$A151,IF(ISERROR(MATCH($A151,$A$15:OFFSET($A151,-1,0),0)),MAX($M$15:OFFSET(M151,-1,0))+1,INDEX($M$15:OFFSET(M151,-1,0),MATCH($A151,$A$15:OFFSET($A151,-1,0),0)))))</f>
        <v>22</v>
      </c>
      <c r="N151" s="177" t="str">
        <f ca="1">IF($D151&lt;&gt;"Serviço","",IF(AUTOEVENTO="Manual",IF($A151=0,"&lt;-- defina o número do agrupador",OFFSET(EVENTOS!$D$14,$A151,0)),OFFSET($F$15,$A151,0)))</f>
        <v>ESQUADRIAS - JANELAS EM ALUMÍNIO</v>
      </c>
      <c r="O151" s="178"/>
      <c r="Q151" s="178">
        <v>28.24</v>
      </c>
      <c r="R151" s="179"/>
      <c r="S151" s="179"/>
      <c r="T151" s="179"/>
      <c r="U151" s="179"/>
      <c r="V151" s="179"/>
      <c r="W151" s="179"/>
      <c r="X151" s="179"/>
      <c r="Y151" s="179"/>
      <c r="Z151" s="180"/>
      <c r="AA151" s="179"/>
      <c r="AB151" s="179"/>
      <c r="AC151" s="179"/>
      <c r="AD151" s="179"/>
      <c r="AE151" s="179"/>
      <c r="AF151" s="179"/>
      <c r="AG151" s="179"/>
      <c r="AH151" s="180"/>
      <c r="AJ151" s="544">
        <f ca="1">IF(AND($D151="Serviço",AJ$12&lt;&gt;0,$H151&gt;0,OR(AUTOEVENTO&lt;&gt;"manual",$M151&lt;&gt;1)),
IF(Import.TipoArredondamento&lt;&gt;"TransfereGOV",
ROUND(OFFSET($P151,0,AJ$13),15-13*ORÇAMENTO!$AF$7)/$H151*OFFSET(ORÇAMENTO!$X$15,ROW(AJ151)-ROW(AJ$15),0),
ROUND(ROUND(OFFSET($P151,0,AJ$13),15-13*ORÇAMENTO!$AF$7)*OFFSET(ORÇAMENTO!$W$15,ROW(AJ151)-ROW(AJ$15),0),15-13*ORÇAMENTO!$AF$11)),0)</f>
        <v>0</v>
      </c>
      <c r="AK151" s="545">
        <f ca="1">IF(AND($D151="Serviço",AK$12&lt;&gt;0,$H151&gt;0,OR(AUTOEVENTO&lt;&gt;"manual",$M151&lt;&gt;1)),
IF(Import.TipoArredondamento&lt;&gt;"TransfereGOV",
ROUND(OFFSET($P151,0,AK$13),15-13*ORÇAMENTO!$AF$7)/$H151*OFFSET(ORÇAMENTO!$X$15,ROW(AK151)-ROW(AK$15),0),
ROUND(ROUND(OFFSET($P151,0,AK$13),15-13*ORÇAMENTO!$AF$7)*OFFSET(ORÇAMENTO!$W$15,ROW(AK151)-ROW(AK$15),0),15-13*ORÇAMENTO!$AF$11)),0)</f>
        <v>0</v>
      </c>
      <c r="AL151" s="545">
        <f ca="1">IF(AND($D151="Serviço",AL$12&lt;&gt;0,$H151&gt;0,OR(AUTOEVENTO&lt;&gt;"manual",$M151&lt;&gt;1)),
IF(Import.TipoArredondamento&lt;&gt;"TransfereGOV",
ROUND(OFFSET($P151,0,AL$13),15-13*ORÇAMENTO!$AF$7)/$H151*OFFSET(ORÇAMENTO!$X$15,ROW(AL151)-ROW(AL$15),0),
ROUND(ROUND(OFFSET($P151,0,AL$13),15-13*ORÇAMENTO!$AF$7)*OFFSET(ORÇAMENTO!$W$15,ROW(AL151)-ROW(AL$15),0),15-13*ORÇAMENTO!$AF$11)),0)</f>
        <v>0</v>
      </c>
      <c r="AM151" s="545">
        <f ca="1">IF(AND($D151="Serviço",AM$12&lt;&gt;0,$H151&gt;0,OR(AUTOEVENTO&lt;&gt;"manual",$M151&lt;&gt;1)),
IF(Import.TipoArredondamento&lt;&gt;"TransfereGOV",
ROUND(OFFSET($P151,0,AM$13),15-13*ORÇAMENTO!$AF$7)/$H151*OFFSET(ORÇAMENTO!$X$15,ROW(AM151)-ROW(AM$15),0),
ROUND(ROUND(OFFSET($P151,0,AM$13),15-13*ORÇAMENTO!$AF$7)*OFFSET(ORÇAMENTO!$W$15,ROW(AM151)-ROW(AM$15),0),15-13*ORÇAMENTO!$AF$11)),0)</f>
        <v>0</v>
      </c>
      <c r="AN151" s="545">
        <f ca="1">IF(AND($D151="Serviço",AN$12&lt;&gt;0,$H151&gt;0,OR(AUTOEVENTO&lt;&gt;"manual",$M151&lt;&gt;1)),
IF(Import.TipoArredondamento&lt;&gt;"TransfereGOV",
ROUND(OFFSET($P151,0,AN$13),15-13*ORÇAMENTO!$AF$7)/$H151*OFFSET(ORÇAMENTO!$X$15,ROW(AN151)-ROW(AN$15),0),
ROUND(ROUND(OFFSET($P151,0,AN$13),15-13*ORÇAMENTO!$AF$7)*OFFSET(ORÇAMENTO!$W$15,ROW(AN151)-ROW(AN$15),0),15-13*ORÇAMENTO!$AF$11)),0)</f>
        <v>0</v>
      </c>
      <c r="AO151" s="545">
        <f ca="1">IF(AND($D151="Serviço",AO$12&lt;&gt;0,$H151&gt;0,OR(AUTOEVENTO&lt;&gt;"manual",$M151&lt;&gt;1)),
IF(Import.TipoArredondamento&lt;&gt;"TransfereGOV",
ROUND(OFFSET($P151,0,AO$13),15-13*ORÇAMENTO!$AF$7)/$H151*OFFSET(ORÇAMENTO!$X$15,ROW(AO151)-ROW(AO$15),0),
ROUND(ROUND(OFFSET($P151,0,AO$13),15-13*ORÇAMENTO!$AF$7)*OFFSET(ORÇAMENTO!$W$15,ROW(AO151)-ROW(AO$15),0),15-13*ORÇAMENTO!$AF$11)),0)</f>
        <v>0</v>
      </c>
      <c r="AP151" s="545">
        <f ca="1">IF(AND($D151="Serviço",AP$12&lt;&gt;0,$H151&gt;0,OR(AUTOEVENTO&lt;&gt;"manual",$M151&lt;&gt;1)),
IF(Import.TipoArredondamento&lt;&gt;"TransfereGOV",
ROUND(OFFSET($P151,0,AP$13),15-13*ORÇAMENTO!$AF$7)/$H151*OFFSET(ORÇAMENTO!$X$15,ROW(AP151)-ROW(AP$15),0),
ROUND(ROUND(OFFSET($P151,0,AP$13),15-13*ORÇAMENTO!$AF$7)*OFFSET(ORÇAMENTO!$W$15,ROW(AP151)-ROW(AP$15),0),15-13*ORÇAMENTO!$AF$11)),0)</f>
        <v>0</v>
      </c>
      <c r="AQ151" s="545">
        <f ca="1">IF(AND($D151="Serviço",AQ$12&lt;&gt;0,$H151&gt;0,OR(AUTOEVENTO&lt;&gt;"manual",$M151&lt;&gt;1)),
IF(Import.TipoArredondamento&lt;&gt;"TransfereGOV",
ROUND(OFFSET($P151,0,AQ$13),15-13*ORÇAMENTO!$AF$7)/$H151*OFFSET(ORÇAMENTO!$X$15,ROW(AQ151)-ROW(AQ$15),0),
ROUND(ROUND(OFFSET($P151,0,AQ$13),15-13*ORÇAMENTO!$AF$7)*OFFSET(ORÇAMENTO!$W$15,ROW(AQ151)-ROW(AQ$15),0),15-13*ORÇAMENTO!$AF$11)),0)</f>
        <v>0</v>
      </c>
      <c r="AR151" s="545">
        <f ca="1">IF(AND($D151="Serviço",AR$12&lt;&gt;0,$H151&gt;0,OR(AUTOEVENTO&lt;&gt;"manual",$M151&lt;&gt;1)),
IF(Import.TipoArredondamento&lt;&gt;"TransfereGOV",
ROUND(OFFSET($P151,0,AR$13),15-13*ORÇAMENTO!$AF$7)/$H151*OFFSET(ORÇAMENTO!$X$15,ROW(AR151)-ROW(AR$15),0),
ROUND(ROUND(OFFSET($P151,0,AR$13),15-13*ORÇAMENTO!$AF$7)*OFFSET(ORÇAMENTO!$W$15,ROW(AR151)-ROW(AR$15),0),15-13*ORÇAMENTO!$AF$11)),0)</f>
        <v>0</v>
      </c>
      <c r="AS151" s="546">
        <f ca="1">IF(AND($D151="Serviço",AS$12&lt;&gt;0,$H151&gt;0,OR(AUTOEVENTO&lt;&gt;"manual",$M151&lt;&gt;1)),
IF(Import.TipoArredondamento&lt;&gt;"TransfereGOV",
ROUND(OFFSET($P151,0,AS$13),15-13*ORÇAMENTO!$AF$7)/$H151*OFFSET(ORÇAMENTO!$X$15,ROW(AS151)-ROW(AS$15),0),
ROUND(ROUND(OFFSET($P151,0,AS$13),15-13*ORÇAMENTO!$AF$7)*OFFSET(ORÇAMENTO!$W$15,ROW(AS151)-ROW(AS$15),0),15-13*ORÇAMENTO!$AF$11)),0)</f>
        <v>0</v>
      </c>
      <c r="AT151" s="545">
        <f ca="1">IF(AND($D151="Serviço",AT$12&lt;&gt;0,$H151&gt;0,OR(AUTOEVENTO&lt;&gt;"manual",$M151&lt;&gt;1)),
IF(Import.TipoArredondamento&lt;&gt;"TransfereGOV",
ROUND(OFFSET($P151,0,AT$13),15-13*ORÇAMENTO!$AF$7)/$H151*OFFSET(ORÇAMENTO!$X$15,ROW(AT151)-ROW(AT$15),0),
ROUND(ROUND(OFFSET($P151,0,AT$13),15-13*ORÇAMENTO!$AF$7)*OFFSET(ORÇAMENTO!$W$15,ROW(AT151)-ROW(AT$15),0),15-13*ORÇAMENTO!$AF$11)),0)</f>
        <v>0</v>
      </c>
      <c r="AU151" s="545">
        <f ca="1">IF(AND($D151="Serviço",AU$12&lt;&gt;0,$H151&gt;0,OR(AUTOEVENTO&lt;&gt;"manual",$M151&lt;&gt;1)),
IF(Import.TipoArredondamento&lt;&gt;"TransfereGOV",
ROUND(OFFSET($P151,0,AU$13),15-13*ORÇAMENTO!$AF$7)/$H151*OFFSET(ORÇAMENTO!$X$15,ROW(AU151)-ROW(AU$15),0),
ROUND(ROUND(OFFSET($P151,0,AU$13),15-13*ORÇAMENTO!$AF$7)*OFFSET(ORÇAMENTO!$W$15,ROW(AU151)-ROW(AU$15),0),15-13*ORÇAMENTO!$AF$11)),0)</f>
        <v>0</v>
      </c>
      <c r="AV151" s="545">
        <f ca="1">IF(AND($D151="Serviço",AV$12&lt;&gt;0,$H151&gt;0,OR(AUTOEVENTO&lt;&gt;"manual",$M151&lt;&gt;1)),
IF(Import.TipoArredondamento&lt;&gt;"TransfereGOV",
ROUND(OFFSET($P151,0,AV$13),15-13*ORÇAMENTO!$AF$7)/$H151*OFFSET(ORÇAMENTO!$X$15,ROW(AV151)-ROW(AV$15),0),
ROUND(ROUND(OFFSET($P151,0,AV$13),15-13*ORÇAMENTO!$AF$7)*OFFSET(ORÇAMENTO!$W$15,ROW(AV151)-ROW(AV$15),0),15-13*ORÇAMENTO!$AF$11)),0)</f>
        <v>0</v>
      </c>
      <c r="AW151" s="545">
        <f ca="1">IF(AND($D151="Serviço",AW$12&lt;&gt;0,$H151&gt;0,OR(AUTOEVENTO&lt;&gt;"manual",$M151&lt;&gt;1)),
IF(Import.TipoArredondamento&lt;&gt;"TransfereGOV",
ROUND(OFFSET($P151,0,AW$13),15-13*ORÇAMENTO!$AF$7)/$H151*OFFSET(ORÇAMENTO!$X$15,ROW(AW151)-ROW(AW$15),0),
ROUND(ROUND(OFFSET($P151,0,AW$13),15-13*ORÇAMENTO!$AF$7)*OFFSET(ORÇAMENTO!$W$15,ROW(AW151)-ROW(AW$15),0),15-13*ORÇAMENTO!$AF$11)),0)</f>
        <v>0</v>
      </c>
      <c r="AX151" s="545">
        <f ca="1">IF(AND($D151="Serviço",AX$12&lt;&gt;0,$H151&gt;0,OR(AUTOEVENTO&lt;&gt;"manual",$M151&lt;&gt;1)),
IF(Import.TipoArredondamento&lt;&gt;"TransfereGOV",
ROUND(OFFSET($P151,0,AX$13),15-13*ORÇAMENTO!$AF$7)/$H151*OFFSET(ORÇAMENTO!$X$15,ROW(AX151)-ROW(AX$15),0),
ROUND(ROUND(OFFSET($P151,0,AX$13),15-13*ORÇAMENTO!$AF$7)*OFFSET(ORÇAMENTO!$W$15,ROW(AX151)-ROW(AX$15),0),15-13*ORÇAMENTO!$AF$11)),0)</f>
        <v>0</v>
      </c>
      <c r="AY151" s="545">
        <f ca="1">IF(AND($D151="Serviço",AY$12&lt;&gt;0,$H151&gt;0,OR(AUTOEVENTO&lt;&gt;"manual",$M151&lt;&gt;1)),
IF(Import.TipoArredondamento&lt;&gt;"TransfereGOV",
ROUND(OFFSET($P151,0,AY$13),15-13*ORÇAMENTO!$AF$7)/$H151*OFFSET(ORÇAMENTO!$X$15,ROW(AY151)-ROW(AY$15),0),
ROUND(ROUND(OFFSET($P151,0,AY$13),15-13*ORÇAMENTO!$AF$7)*OFFSET(ORÇAMENTO!$W$15,ROW(AY151)-ROW(AY$15),0),15-13*ORÇAMENTO!$AF$11)),0)</f>
        <v>0</v>
      </c>
      <c r="AZ151" s="545">
        <f ca="1">IF(AND($D151="Serviço",AZ$12&lt;&gt;0,$H151&gt;0,OR(AUTOEVENTO&lt;&gt;"manual",$M151&lt;&gt;1)),
IF(Import.TipoArredondamento&lt;&gt;"TransfereGOV",
ROUND(OFFSET($P151,0,AZ$13),15-13*ORÇAMENTO!$AF$7)/$H151*OFFSET(ORÇAMENTO!$X$15,ROW(AZ151)-ROW(AZ$15),0),
ROUND(ROUND(OFFSET($P151,0,AZ$13),15-13*ORÇAMENTO!$AF$7)*OFFSET(ORÇAMENTO!$W$15,ROW(AZ151)-ROW(AZ$15),0),15-13*ORÇAMENTO!$AF$11)),0)</f>
        <v>0</v>
      </c>
      <c r="BA151" s="546">
        <f ca="1">IF(AND($D151="Serviço",BA$12&lt;&gt;0,$H151&gt;0,OR(AUTOEVENTO&lt;&gt;"manual",$M151&lt;&gt;1)),
IF(Import.TipoArredondamento&lt;&gt;"TransfereGOV",
ROUND(OFFSET($P151,0,BA$13),15-13*ORÇAMENTO!$AF$7)/$H151*OFFSET(ORÇAMENTO!$X$15,ROW(BA151)-ROW(BA$15),0),
ROUND(ROUND(OFFSET($P151,0,BA$13),15-13*ORÇAMENTO!$AF$7)*OFFSET(ORÇAMENTO!$W$15,ROW(BA151)-ROW(BA$15),0),15-13*ORÇAMENTO!$AF$11)),0)</f>
        <v>0</v>
      </c>
      <c r="BC151" s="181">
        <f ca="1">IF($D151&lt;&gt;"Serviço",0,IF(AND(AUTOEVENTO="Manual",$M151=1),0,IF(OFFSET(CRONOPLE!$F$14,$M151,BC$13)="",10^12,OFFSET(CRONOPLE!$F$14,$M151,BC$13))))</f>
        <v>5</v>
      </c>
      <c r="BD151" s="181">
        <f ca="1">IF($D151&lt;&gt;"Serviço",0,IF(AND(AUTOEVENTO="Manual",$M151=1),0,IF(OFFSET(CRONOPLE!$F$14,$M151,BD$13)="",10^12,OFFSET(CRONOPLE!$F$14,$M151,BD$13))))</f>
        <v>1000000000000</v>
      </c>
      <c r="BE151" s="181">
        <f ca="1">IF($D151&lt;&gt;"Serviço",0,IF(AND(AUTOEVENTO="Manual",$M151=1),0,IF(OFFSET(CRONOPLE!$F$14,$M151,BE$13)="",10^12,OFFSET(CRONOPLE!$F$14,$M151,BE$13))))</f>
        <v>1000000000000</v>
      </c>
      <c r="BF151" s="181">
        <f ca="1">IF($D151&lt;&gt;"Serviço",0,IF(AND(AUTOEVENTO="Manual",$M151=1),0,IF(OFFSET(CRONOPLE!$F$14,$M151,BF$13)="",10^12,OFFSET(CRONOPLE!$F$14,$M151,BF$13))))</f>
        <v>1000000000000</v>
      </c>
      <c r="BG151" s="181">
        <f ca="1">IF($D151&lt;&gt;"Serviço",0,IF(AND(AUTOEVENTO="Manual",$M151=1),0,IF(OFFSET(CRONOPLE!$F$14,$M151,BG$13)="",10^12,OFFSET(CRONOPLE!$F$14,$M151,BG$13))))</f>
        <v>1000000000000</v>
      </c>
      <c r="BH151" s="181">
        <f ca="1">IF($D151&lt;&gt;"Serviço",0,IF(AND(AUTOEVENTO="Manual",$M151=1),0,IF(OFFSET(CRONOPLE!$F$14,$M151,BH$13)="",10^12,OFFSET(CRONOPLE!$F$14,$M151,BH$13))))</f>
        <v>1000000000000</v>
      </c>
      <c r="BI151" s="181">
        <f ca="1">IF($D151&lt;&gt;"Serviço",0,IF(AND(AUTOEVENTO="Manual",$M151=1),0,IF(OFFSET(CRONOPLE!$F$14,$M151,BI$13)="",10^12,OFFSET(CRONOPLE!$F$14,$M151,BI$13))))</f>
        <v>1000000000000</v>
      </c>
      <c r="BJ151" s="181">
        <f ca="1">IF($D151&lt;&gt;"Serviço",0,IF(AND(AUTOEVENTO="Manual",$M151=1),0,IF(OFFSET(CRONOPLE!$F$14,$M151,BJ$13)="",10^12,OFFSET(CRONOPLE!$F$14,$M151,BJ$13))))</f>
        <v>1000000000000</v>
      </c>
      <c r="BK151" s="181">
        <f ca="1">IF($D151&lt;&gt;"Serviço",0,IF(AND(AUTOEVENTO="Manual",$M151=1),0,IF(OFFSET(CRONOPLE!$F$14,$M151,BK$13)="",10^12,OFFSET(CRONOPLE!$F$14,$M151,BK$13))))</f>
        <v>1000000000000</v>
      </c>
      <c r="BL151" s="181">
        <f ca="1">IF($D151&lt;&gt;"Serviço",0,IF(AND(AUTOEVENTO="Manual",$M151=1),0,IF(OFFSET(CRONOPLE!$F$14,$M151,BL$13)="",10^12,OFFSET(CRONOPLE!$F$14,$M151,BL$13))))</f>
        <v>1000000000000</v>
      </c>
      <c r="BM151" s="181">
        <f ca="1">IF($D151&lt;&gt;"Serviço",0,IF(AND(AUTOEVENTO="Manual",$M151=1),0,IF(OFFSET(CRONOPLE!$F$14,$M151,BM$13)="",10^12,OFFSET(CRONOPLE!$F$14,$M151,BM$13))))</f>
        <v>1000000000000</v>
      </c>
      <c r="BN151" s="181">
        <f ca="1">IF($D151&lt;&gt;"Serviço",0,IF(AND(AUTOEVENTO="Manual",$M151=1),0,IF(OFFSET(CRONOPLE!$F$14,$M151,BN$13)="",10^12,OFFSET(CRONOPLE!$F$14,$M151,BN$13))))</f>
        <v>1000000000000</v>
      </c>
      <c r="BO151" s="181">
        <f ca="1">IF($D151&lt;&gt;"Serviço",0,IF(AND(AUTOEVENTO="Manual",$M151=1),0,IF(OFFSET(CRONOPLE!$F$14,$M151,BO$13)="",10^12,OFFSET(CRONOPLE!$F$14,$M151,BO$13))))</f>
        <v>1000000000000</v>
      </c>
      <c r="BP151" s="181">
        <f ca="1">IF($D151&lt;&gt;"Serviço",0,IF(AND(AUTOEVENTO="Manual",$M151=1),0,IF(OFFSET(CRONOPLE!$F$14,$M151,BP$13)="",10^12,OFFSET(CRONOPLE!$F$14,$M151,BP$13))))</f>
        <v>1000000000000</v>
      </c>
      <c r="BQ151" s="181">
        <f ca="1">IF($D151&lt;&gt;"Serviço",0,IF(AND(AUTOEVENTO="Manual",$M151=1),0,IF(OFFSET(CRONOPLE!$F$14,$M151,BQ$13)="",10^12,OFFSET(CRONOPLE!$F$14,$M151,BQ$13))))</f>
        <v>1000000000000</v>
      </c>
      <c r="BR151" s="181">
        <f ca="1">IF($D151&lt;&gt;"Serviço",0,IF(AND(AUTOEVENTO="Manual",$M151=1),0,IF(OFFSET(CRONOPLE!$F$14,$M151,BR$13)="",10^12,OFFSET(CRONOPLE!$F$14,$M151,BR$13))))</f>
        <v>1000000000000</v>
      </c>
      <c r="BS151" s="181">
        <f ca="1">IF($D151&lt;&gt;"Serviço",0,IF(AND(AUTOEVENTO="Manual",$M151=1),0,IF(OFFSET(CRONOPLE!$F$14,$M151,BS$13)="",10^12,OFFSET(CRONOPLE!$F$14,$M151,BS$13))))</f>
        <v>1000000000000</v>
      </c>
      <c r="BT151" s="181">
        <f ca="1">IF($D151&lt;&gt;"Serviço",0,IF(AND(AUTOEVENTO="Manual",$M151=1),0,IF(OFFSET(CRONOPLE!$F$14,$M151,BT$13)="",10^12,OFFSET(CRONOPLE!$F$14,$M151,BT$13))))</f>
        <v>1000000000000</v>
      </c>
      <c r="BV151" s="182">
        <f ca="1">IF($D151&lt;&gt;"Serviço",0,IF(OR(AND(AUTOEVENTO="Manual",$M151=1),$M151&gt;(ROW(PLE.lastrow)-ROW(PLE.firstrow))),0,IF(OFFSET(PLE!$G$14,$M151,BV$13)="",10^12,OFFSET(PLE!$G$14,$M151,BV$13))))</f>
        <v>1000000000000</v>
      </c>
      <c r="BW151" s="182">
        <f ca="1">IF($D151&lt;&gt;"Serviço",0,IF(OR(AND(AUTOEVENTO="Manual",$M151=1),$M151&gt;(ROW(PLE.lastrow)-ROW(PLE.firstrow))),0,IF(OFFSET(PLE!$G$14,$M151,BW$13)="",10^12,OFFSET(PLE!$G$14,$M151,BW$13))))</f>
        <v>1000000000000</v>
      </c>
      <c r="BX151" s="182">
        <f ca="1">IF($D151&lt;&gt;"Serviço",0,IF(OR(AND(AUTOEVENTO="Manual",$M151=1),$M151&gt;(ROW(PLE.lastrow)-ROW(PLE.firstrow))),0,IF(OFFSET(PLE!$G$14,$M151,BX$13)="",10^12,OFFSET(PLE!$G$14,$M151,BX$13))))</f>
        <v>1000000000000</v>
      </c>
      <c r="BY151" s="182">
        <f ca="1">IF($D151&lt;&gt;"Serviço",0,IF(OR(AND(AUTOEVENTO="Manual",$M151=1),$M151&gt;(ROW(PLE.lastrow)-ROW(PLE.firstrow))),0,IF(OFFSET(PLE!$G$14,$M151,BY$13)="",10^12,OFFSET(PLE!$G$14,$M151,BY$13))))</f>
        <v>1000000000000</v>
      </c>
      <c r="BZ151" s="182">
        <f ca="1">IF($D151&lt;&gt;"Serviço",0,IF(OR(AND(AUTOEVENTO="Manual",$M151=1),$M151&gt;(ROW(PLE.lastrow)-ROW(PLE.firstrow))),0,IF(OFFSET(PLE!$G$14,$M151,BZ$13)="",10^12,OFFSET(PLE!$G$14,$M151,BZ$13))))</f>
        <v>1000000000000</v>
      </c>
      <c r="CA151" s="182">
        <f ca="1">IF($D151&lt;&gt;"Serviço",0,IF(OR(AND(AUTOEVENTO="Manual",$M151=1),$M151&gt;(ROW(PLE.lastrow)-ROW(PLE.firstrow))),0,IF(OFFSET(PLE!$G$14,$M151,CA$13)="",10^12,OFFSET(PLE!$G$14,$M151,CA$13))))</f>
        <v>1000000000000</v>
      </c>
      <c r="CB151" s="182">
        <f ca="1">IF($D151&lt;&gt;"Serviço",0,IF(OR(AND(AUTOEVENTO="Manual",$M151=1),$M151&gt;(ROW(PLE.lastrow)-ROW(PLE.firstrow))),0,IF(OFFSET(PLE!$G$14,$M151,CB$13)="",10^12,OFFSET(PLE!$G$14,$M151,CB$13))))</f>
        <v>1000000000000</v>
      </c>
      <c r="CC151" s="182">
        <f ca="1">IF($D151&lt;&gt;"Serviço",0,IF(OR(AND(AUTOEVENTO="Manual",$M151=1),$M151&gt;(ROW(PLE.lastrow)-ROW(PLE.firstrow))),0,IF(OFFSET(PLE!$G$14,$M151,CC$13)="",10^12,OFFSET(PLE!$G$14,$M151,CC$13))))</f>
        <v>1000000000000</v>
      </c>
      <c r="CD151" s="182">
        <f ca="1">IF($D151&lt;&gt;"Serviço",0,IF(OR(AND(AUTOEVENTO="Manual",$M151=1),$M151&gt;(ROW(PLE.lastrow)-ROW(PLE.firstrow))),0,IF(OFFSET(PLE!$G$14,$M151,CD$13)="",10^12,OFFSET(PLE!$G$14,$M151,CD$13))))</f>
        <v>1000000000000</v>
      </c>
      <c r="CE151" s="182">
        <f ca="1">IF($D151&lt;&gt;"Serviço",0,IF(OR(AND(AUTOEVENTO="Manual",$M151=1),$M151&gt;(ROW(PLE.lastrow)-ROW(PLE.firstrow))),0,IF(OFFSET(PLE!$G$14,$M151,CE$13)="",10^12,OFFSET(PLE!$G$14,$M151,CE$13))))</f>
        <v>1000000000000</v>
      </c>
      <c r="CF151" s="182">
        <f ca="1">IF($D151&lt;&gt;"Serviço",0,IF(OR(AND(AUTOEVENTO="Manual",$M151=1),$M151&gt;(ROW(PLE.lastrow)-ROW(PLE.firstrow))),0,IF(OFFSET(PLE!$G$14,$M151,CF$13)="",10^12,OFFSET(PLE!$G$14,$M151,CF$13))))</f>
        <v>1000000000000</v>
      </c>
      <c r="CG151" s="182">
        <f ca="1">IF($D151&lt;&gt;"Serviço",0,IF(OR(AND(AUTOEVENTO="Manual",$M151=1),$M151&gt;(ROW(PLE.lastrow)-ROW(PLE.firstrow))),0,IF(OFFSET(PLE!$G$14,$M151,CG$13)="",10^12,OFFSET(PLE!$G$14,$M151,CG$13))))</f>
        <v>1000000000000</v>
      </c>
      <c r="CH151" s="182">
        <f ca="1">IF($D151&lt;&gt;"Serviço",0,IF(OR(AND(AUTOEVENTO="Manual",$M151=1),$M151&gt;(ROW(PLE.lastrow)-ROW(PLE.firstrow))),0,IF(OFFSET(PLE!$G$14,$M151,CH$13)="",10^12,OFFSET(PLE!$G$14,$M151,CH$13))))</f>
        <v>1000000000000</v>
      </c>
      <c r="CI151" s="182">
        <f ca="1">IF($D151&lt;&gt;"Serviço",0,IF(OR(AND(AUTOEVENTO="Manual",$M151=1),$M151&gt;(ROW(PLE.lastrow)-ROW(PLE.firstrow))),0,IF(OFFSET(PLE!$G$14,$M151,CI$13)="",10^12,OFFSET(PLE!$G$14,$M151,CI$13))))</f>
        <v>1000000000000</v>
      </c>
      <c r="CJ151" s="182">
        <f ca="1">IF($D151&lt;&gt;"Serviço",0,IF(OR(AND(AUTOEVENTO="Manual",$M151=1),$M151&gt;(ROW(PLE.lastrow)-ROW(PLE.firstrow))),0,IF(OFFSET(PLE!$G$14,$M151,CJ$13)="",10^12,OFFSET(PLE!$G$14,$M151,CJ$13))))</f>
        <v>1000000000000</v>
      </c>
      <c r="CK151" s="182">
        <f ca="1">IF($D151&lt;&gt;"Serviço",0,IF(OR(AND(AUTOEVENTO="Manual",$M151=1),$M151&gt;(ROW(PLE.lastrow)-ROW(PLE.firstrow))),0,IF(OFFSET(PLE!$G$14,$M151,CK$13)="",10^12,OFFSET(PLE!$G$14,$M151,CK$13))))</f>
        <v>1000000000000</v>
      </c>
      <c r="CL151" s="182">
        <f ca="1">IF($D151&lt;&gt;"Serviço",0,IF(OR(AND(AUTOEVENTO="Manual",$M151=1),$M151&gt;(ROW(PLE.lastrow)-ROW(PLE.firstrow))),0,IF(OFFSET(PLE!$G$14,$M151,CL$13)="",10^12,OFFSET(PLE!$G$14,$M151,CL$13))))</f>
        <v>1000000000000</v>
      </c>
      <c r="CM151" s="182">
        <f ca="1">IF($D151&lt;&gt;"Serviço",0,IF(OR(AND(AUTOEVENTO="Manual",$M151=1),$M151&gt;(ROW(PLE.lastrow)-ROW(PLE.firstrow))),0,IF(OFFSET(PLE!$G$14,$M151,CM$13)="",10^12,OFFSET(PLE!$G$14,$M151,CM$13))))</f>
        <v>1000000000000</v>
      </c>
    </row>
    <row r="152" spans="1:91" ht="12.75" x14ac:dyDescent="0.2">
      <c r="A152" s="7" t="str">
        <f t="shared" ca="1" si="11"/>
        <v>137.</v>
      </c>
      <c r="B152" s="7">
        <f ca="1">OFFSET(ORÇAMENTO!C$15,ROW(B152)-ROW(B$15),0)</f>
        <v>2</v>
      </c>
      <c r="C152" s="7" t="str">
        <f ca="1">OFFSET(ORÇAMENTO!L$15,ROW(C152)-ROW(C$15),0)</f>
        <v>F</v>
      </c>
      <c r="D152" s="118" t="str">
        <f ca="1">OFFSET(ORÇAMENTO!N$15,ROW(D152)-ROW(D$15),0)</f>
        <v>Nível 2</v>
      </c>
      <c r="E152" s="119" t="str">
        <f ca="1">OFFSET(ORÇAMENTO!O$15,ROW(E152)-ROW(E$15),0)</f>
        <v>1.22.</v>
      </c>
      <c r="F152" s="172" t="str">
        <f ca="1">OFFSET(ORÇAMENTO!R$15,ROW(F152)-ROW(F$15),0)</f>
        <v>ESQUADRIAS - PORTAS DE VIDRO</v>
      </c>
      <c r="G152" s="173" t="str">
        <f ca="1">IF($D152&lt;&gt;"Serviço","",OFFSET(ORÇAMENTO!S$15,ROW(G152)-ROW(G$15),0))</f>
        <v/>
      </c>
      <c r="H152" s="124">
        <f ca="1">IF($D152&lt;&gt;"Serviço",0,IF(ACOMPANHAMENTO="BM",ROUND(OFFSET(ORÇAMENTO!AJ$15,ROW(H152)-ROW(H$15),0),15-13*ORÇAMENTO!$AF$7),SUMPRODUCT(($Q$12:$AI$12&lt;&gt;"")*ROUND($Q152:$AI152,15-13*ORÇAMENTO!$AF$7))))</f>
        <v>0</v>
      </c>
      <c r="I152" s="561"/>
      <c r="K152" s="174"/>
      <c r="L152" s="175" t="s">
        <v>255</v>
      </c>
      <c r="M152" s="176" t="str">
        <f ca="1">IF($D152&lt;&gt;"Serviço","",IF(AUTOEVENTO="manual",$A152,IF(ISERROR(MATCH($A152,$A$15:OFFSET($A152,-1,0),0)),MAX($M$15:OFFSET(M152,-1,0))+1,INDEX($M$15:OFFSET(M152,-1,0),MATCH($A152,$A$15:OFFSET($A152,-1,0),0)))))</f>
        <v/>
      </c>
      <c r="N152" s="177" t="str">
        <f ca="1">IF($D152&lt;&gt;"Serviço","",IF(AUTOEVENTO="Manual",IF($A152=0,"&lt;-- defina o número do agrupador",OFFSET(EVENTOS!$D$14,$A152,0)),OFFSET($F$15,$A152,0)))</f>
        <v/>
      </c>
      <c r="O152" s="178"/>
      <c r="Q152" s="178">
        <v>0</v>
      </c>
      <c r="R152" s="179"/>
      <c r="S152" s="179"/>
      <c r="T152" s="179"/>
      <c r="U152" s="179"/>
      <c r="V152" s="179"/>
      <c r="W152" s="179"/>
      <c r="X152" s="179"/>
      <c r="Y152" s="179"/>
      <c r="Z152" s="180"/>
      <c r="AA152" s="179"/>
      <c r="AB152" s="179"/>
      <c r="AC152" s="179"/>
      <c r="AD152" s="179"/>
      <c r="AE152" s="179"/>
      <c r="AF152" s="179"/>
      <c r="AG152" s="179"/>
      <c r="AH152" s="180"/>
      <c r="AJ152" s="544">
        <f ca="1">IF(AND($D152="Serviço",AJ$12&lt;&gt;0,$H152&gt;0,OR(AUTOEVENTO&lt;&gt;"manual",$M152&lt;&gt;1)),
IF(Import.TipoArredondamento&lt;&gt;"TransfereGOV",
ROUND(OFFSET($P152,0,AJ$13),15-13*ORÇAMENTO!$AF$7)/$H152*OFFSET(ORÇAMENTO!$X$15,ROW(AJ152)-ROW(AJ$15),0),
ROUND(ROUND(OFFSET($P152,0,AJ$13),15-13*ORÇAMENTO!$AF$7)*OFFSET(ORÇAMENTO!$W$15,ROW(AJ152)-ROW(AJ$15),0),15-13*ORÇAMENTO!$AF$11)),0)</f>
        <v>0</v>
      </c>
      <c r="AK152" s="545">
        <f ca="1">IF(AND($D152="Serviço",AK$12&lt;&gt;0,$H152&gt;0,OR(AUTOEVENTO&lt;&gt;"manual",$M152&lt;&gt;1)),
IF(Import.TipoArredondamento&lt;&gt;"TransfereGOV",
ROUND(OFFSET($P152,0,AK$13),15-13*ORÇAMENTO!$AF$7)/$H152*OFFSET(ORÇAMENTO!$X$15,ROW(AK152)-ROW(AK$15),0),
ROUND(ROUND(OFFSET($P152,0,AK$13),15-13*ORÇAMENTO!$AF$7)*OFFSET(ORÇAMENTO!$W$15,ROW(AK152)-ROW(AK$15),0),15-13*ORÇAMENTO!$AF$11)),0)</f>
        <v>0</v>
      </c>
      <c r="AL152" s="545">
        <f ca="1">IF(AND($D152="Serviço",AL$12&lt;&gt;0,$H152&gt;0,OR(AUTOEVENTO&lt;&gt;"manual",$M152&lt;&gt;1)),
IF(Import.TipoArredondamento&lt;&gt;"TransfereGOV",
ROUND(OFFSET($P152,0,AL$13),15-13*ORÇAMENTO!$AF$7)/$H152*OFFSET(ORÇAMENTO!$X$15,ROW(AL152)-ROW(AL$15),0),
ROUND(ROUND(OFFSET($P152,0,AL$13),15-13*ORÇAMENTO!$AF$7)*OFFSET(ORÇAMENTO!$W$15,ROW(AL152)-ROW(AL$15),0),15-13*ORÇAMENTO!$AF$11)),0)</f>
        <v>0</v>
      </c>
      <c r="AM152" s="545">
        <f ca="1">IF(AND($D152="Serviço",AM$12&lt;&gt;0,$H152&gt;0,OR(AUTOEVENTO&lt;&gt;"manual",$M152&lt;&gt;1)),
IF(Import.TipoArredondamento&lt;&gt;"TransfereGOV",
ROUND(OFFSET($P152,0,AM$13),15-13*ORÇAMENTO!$AF$7)/$H152*OFFSET(ORÇAMENTO!$X$15,ROW(AM152)-ROW(AM$15),0),
ROUND(ROUND(OFFSET($P152,0,AM$13),15-13*ORÇAMENTO!$AF$7)*OFFSET(ORÇAMENTO!$W$15,ROW(AM152)-ROW(AM$15),0),15-13*ORÇAMENTO!$AF$11)),0)</f>
        <v>0</v>
      </c>
      <c r="AN152" s="545">
        <f ca="1">IF(AND($D152="Serviço",AN$12&lt;&gt;0,$H152&gt;0,OR(AUTOEVENTO&lt;&gt;"manual",$M152&lt;&gt;1)),
IF(Import.TipoArredondamento&lt;&gt;"TransfereGOV",
ROUND(OFFSET($P152,0,AN$13),15-13*ORÇAMENTO!$AF$7)/$H152*OFFSET(ORÇAMENTO!$X$15,ROW(AN152)-ROW(AN$15),0),
ROUND(ROUND(OFFSET($P152,0,AN$13),15-13*ORÇAMENTO!$AF$7)*OFFSET(ORÇAMENTO!$W$15,ROW(AN152)-ROW(AN$15),0),15-13*ORÇAMENTO!$AF$11)),0)</f>
        <v>0</v>
      </c>
      <c r="AO152" s="545">
        <f ca="1">IF(AND($D152="Serviço",AO$12&lt;&gt;0,$H152&gt;0,OR(AUTOEVENTO&lt;&gt;"manual",$M152&lt;&gt;1)),
IF(Import.TipoArredondamento&lt;&gt;"TransfereGOV",
ROUND(OFFSET($P152,0,AO$13),15-13*ORÇAMENTO!$AF$7)/$H152*OFFSET(ORÇAMENTO!$X$15,ROW(AO152)-ROW(AO$15),0),
ROUND(ROUND(OFFSET($P152,0,AO$13),15-13*ORÇAMENTO!$AF$7)*OFFSET(ORÇAMENTO!$W$15,ROW(AO152)-ROW(AO$15),0),15-13*ORÇAMENTO!$AF$11)),0)</f>
        <v>0</v>
      </c>
      <c r="AP152" s="545">
        <f ca="1">IF(AND($D152="Serviço",AP$12&lt;&gt;0,$H152&gt;0,OR(AUTOEVENTO&lt;&gt;"manual",$M152&lt;&gt;1)),
IF(Import.TipoArredondamento&lt;&gt;"TransfereGOV",
ROUND(OFFSET($P152,0,AP$13),15-13*ORÇAMENTO!$AF$7)/$H152*OFFSET(ORÇAMENTO!$X$15,ROW(AP152)-ROW(AP$15),0),
ROUND(ROUND(OFFSET($P152,0,AP$13),15-13*ORÇAMENTO!$AF$7)*OFFSET(ORÇAMENTO!$W$15,ROW(AP152)-ROW(AP$15),0),15-13*ORÇAMENTO!$AF$11)),0)</f>
        <v>0</v>
      </c>
      <c r="AQ152" s="545">
        <f ca="1">IF(AND($D152="Serviço",AQ$12&lt;&gt;0,$H152&gt;0,OR(AUTOEVENTO&lt;&gt;"manual",$M152&lt;&gt;1)),
IF(Import.TipoArredondamento&lt;&gt;"TransfereGOV",
ROUND(OFFSET($P152,0,AQ$13),15-13*ORÇAMENTO!$AF$7)/$H152*OFFSET(ORÇAMENTO!$X$15,ROW(AQ152)-ROW(AQ$15),0),
ROUND(ROUND(OFFSET($P152,0,AQ$13),15-13*ORÇAMENTO!$AF$7)*OFFSET(ORÇAMENTO!$W$15,ROW(AQ152)-ROW(AQ$15),0),15-13*ORÇAMENTO!$AF$11)),0)</f>
        <v>0</v>
      </c>
      <c r="AR152" s="545">
        <f ca="1">IF(AND($D152="Serviço",AR$12&lt;&gt;0,$H152&gt;0,OR(AUTOEVENTO&lt;&gt;"manual",$M152&lt;&gt;1)),
IF(Import.TipoArredondamento&lt;&gt;"TransfereGOV",
ROUND(OFFSET($P152,0,AR$13),15-13*ORÇAMENTO!$AF$7)/$H152*OFFSET(ORÇAMENTO!$X$15,ROW(AR152)-ROW(AR$15),0),
ROUND(ROUND(OFFSET($P152,0,AR$13),15-13*ORÇAMENTO!$AF$7)*OFFSET(ORÇAMENTO!$W$15,ROW(AR152)-ROW(AR$15),0),15-13*ORÇAMENTO!$AF$11)),0)</f>
        <v>0</v>
      </c>
      <c r="AS152" s="546">
        <f ca="1">IF(AND($D152="Serviço",AS$12&lt;&gt;0,$H152&gt;0,OR(AUTOEVENTO&lt;&gt;"manual",$M152&lt;&gt;1)),
IF(Import.TipoArredondamento&lt;&gt;"TransfereGOV",
ROUND(OFFSET($P152,0,AS$13),15-13*ORÇAMENTO!$AF$7)/$H152*OFFSET(ORÇAMENTO!$X$15,ROW(AS152)-ROW(AS$15),0),
ROUND(ROUND(OFFSET($P152,0,AS$13),15-13*ORÇAMENTO!$AF$7)*OFFSET(ORÇAMENTO!$W$15,ROW(AS152)-ROW(AS$15),0),15-13*ORÇAMENTO!$AF$11)),0)</f>
        <v>0</v>
      </c>
      <c r="AT152" s="545">
        <f ca="1">IF(AND($D152="Serviço",AT$12&lt;&gt;0,$H152&gt;0,OR(AUTOEVENTO&lt;&gt;"manual",$M152&lt;&gt;1)),
IF(Import.TipoArredondamento&lt;&gt;"TransfereGOV",
ROUND(OFFSET($P152,0,AT$13),15-13*ORÇAMENTO!$AF$7)/$H152*OFFSET(ORÇAMENTO!$X$15,ROW(AT152)-ROW(AT$15),0),
ROUND(ROUND(OFFSET($P152,0,AT$13),15-13*ORÇAMENTO!$AF$7)*OFFSET(ORÇAMENTO!$W$15,ROW(AT152)-ROW(AT$15),0),15-13*ORÇAMENTO!$AF$11)),0)</f>
        <v>0</v>
      </c>
      <c r="AU152" s="545">
        <f ca="1">IF(AND($D152="Serviço",AU$12&lt;&gt;0,$H152&gt;0,OR(AUTOEVENTO&lt;&gt;"manual",$M152&lt;&gt;1)),
IF(Import.TipoArredondamento&lt;&gt;"TransfereGOV",
ROUND(OFFSET($P152,0,AU$13),15-13*ORÇAMENTO!$AF$7)/$H152*OFFSET(ORÇAMENTO!$X$15,ROW(AU152)-ROW(AU$15),0),
ROUND(ROUND(OFFSET($P152,0,AU$13),15-13*ORÇAMENTO!$AF$7)*OFFSET(ORÇAMENTO!$W$15,ROW(AU152)-ROW(AU$15),0),15-13*ORÇAMENTO!$AF$11)),0)</f>
        <v>0</v>
      </c>
      <c r="AV152" s="545">
        <f ca="1">IF(AND($D152="Serviço",AV$12&lt;&gt;0,$H152&gt;0,OR(AUTOEVENTO&lt;&gt;"manual",$M152&lt;&gt;1)),
IF(Import.TipoArredondamento&lt;&gt;"TransfereGOV",
ROUND(OFFSET($P152,0,AV$13),15-13*ORÇAMENTO!$AF$7)/$H152*OFFSET(ORÇAMENTO!$X$15,ROW(AV152)-ROW(AV$15),0),
ROUND(ROUND(OFFSET($P152,0,AV$13),15-13*ORÇAMENTO!$AF$7)*OFFSET(ORÇAMENTO!$W$15,ROW(AV152)-ROW(AV$15),0),15-13*ORÇAMENTO!$AF$11)),0)</f>
        <v>0</v>
      </c>
      <c r="AW152" s="545">
        <f ca="1">IF(AND($D152="Serviço",AW$12&lt;&gt;0,$H152&gt;0,OR(AUTOEVENTO&lt;&gt;"manual",$M152&lt;&gt;1)),
IF(Import.TipoArredondamento&lt;&gt;"TransfereGOV",
ROUND(OFFSET($P152,0,AW$13),15-13*ORÇAMENTO!$AF$7)/$H152*OFFSET(ORÇAMENTO!$X$15,ROW(AW152)-ROW(AW$15),0),
ROUND(ROUND(OFFSET($P152,0,AW$13),15-13*ORÇAMENTO!$AF$7)*OFFSET(ORÇAMENTO!$W$15,ROW(AW152)-ROW(AW$15),0),15-13*ORÇAMENTO!$AF$11)),0)</f>
        <v>0</v>
      </c>
      <c r="AX152" s="545">
        <f ca="1">IF(AND($D152="Serviço",AX$12&lt;&gt;0,$H152&gt;0,OR(AUTOEVENTO&lt;&gt;"manual",$M152&lt;&gt;1)),
IF(Import.TipoArredondamento&lt;&gt;"TransfereGOV",
ROUND(OFFSET($P152,0,AX$13),15-13*ORÇAMENTO!$AF$7)/$H152*OFFSET(ORÇAMENTO!$X$15,ROW(AX152)-ROW(AX$15),0),
ROUND(ROUND(OFFSET($P152,0,AX$13),15-13*ORÇAMENTO!$AF$7)*OFFSET(ORÇAMENTO!$W$15,ROW(AX152)-ROW(AX$15),0),15-13*ORÇAMENTO!$AF$11)),0)</f>
        <v>0</v>
      </c>
      <c r="AY152" s="545">
        <f ca="1">IF(AND($D152="Serviço",AY$12&lt;&gt;0,$H152&gt;0,OR(AUTOEVENTO&lt;&gt;"manual",$M152&lt;&gt;1)),
IF(Import.TipoArredondamento&lt;&gt;"TransfereGOV",
ROUND(OFFSET($P152,0,AY$13),15-13*ORÇAMENTO!$AF$7)/$H152*OFFSET(ORÇAMENTO!$X$15,ROW(AY152)-ROW(AY$15),0),
ROUND(ROUND(OFFSET($P152,0,AY$13),15-13*ORÇAMENTO!$AF$7)*OFFSET(ORÇAMENTO!$W$15,ROW(AY152)-ROW(AY$15),0),15-13*ORÇAMENTO!$AF$11)),0)</f>
        <v>0</v>
      </c>
      <c r="AZ152" s="545">
        <f ca="1">IF(AND($D152="Serviço",AZ$12&lt;&gt;0,$H152&gt;0,OR(AUTOEVENTO&lt;&gt;"manual",$M152&lt;&gt;1)),
IF(Import.TipoArredondamento&lt;&gt;"TransfereGOV",
ROUND(OFFSET($P152,0,AZ$13),15-13*ORÇAMENTO!$AF$7)/$H152*OFFSET(ORÇAMENTO!$X$15,ROW(AZ152)-ROW(AZ$15),0),
ROUND(ROUND(OFFSET($P152,0,AZ$13),15-13*ORÇAMENTO!$AF$7)*OFFSET(ORÇAMENTO!$W$15,ROW(AZ152)-ROW(AZ$15),0),15-13*ORÇAMENTO!$AF$11)),0)</f>
        <v>0</v>
      </c>
      <c r="BA152" s="546">
        <f ca="1">IF(AND($D152="Serviço",BA$12&lt;&gt;0,$H152&gt;0,OR(AUTOEVENTO&lt;&gt;"manual",$M152&lt;&gt;1)),
IF(Import.TipoArredondamento&lt;&gt;"TransfereGOV",
ROUND(OFFSET($P152,0,BA$13),15-13*ORÇAMENTO!$AF$7)/$H152*OFFSET(ORÇAMENTO!$X$15,ROW(BA152)-ROW(BA$15),0),
ROUND(ROUND(OFFSET($P152,0,BA$13),15-13*ORÇAMENTO!$AF$7)*OFFSET(ORÇAMENTO!$W$15,ROW(BA152)-ROW(BA$15),0),15-13*ORÇAMENTO!$AF$11)),0)</f>
        <v>0</v>
      </c>
      <c r="BC152" s="181">
        <f ca="1">IF($D152&lt;&gt;"Serviço",0,IF(AND(AUTOEVENTO="Manual",$M152=1),0,IF(OFFSET(CRONOPLE!$F$14,$M152,BC$13)="",10^12,OFFSET(CRONOPLE!$F$14,$M152,BC$13))))</f>
        <v>0</v>
      </c>
      <c r="BD152" s="181">
        <f ca="1">IF($D152&lt;&gt;"Serviço",0,IF(AND(AUTOEVENTO="Manual",$M152=1),0,IF(OFFSET(CRONOPLE!$F$14,$M152,BD$13)="",10^12,OFFSET(CRONOPLE!$F$14,$M152,BD$13))))</f>
        <v>0</v>
      </c>
      <c r="BE152" s="181">
        <f ca="1">IF($D152&lt;&gt;"Serviço",0,IF(AND(AUTOEVENTO="Manual",$M152=1),0,IF(OFFSET(CRONOPLE!$F$14,$M152,BE$13)="",10^12,OFFSET(CRONOPLE!$F$14,$M152,BE$13))))</f>
        <v>0</v>
      </c>
      <c r="BF152" s="181">
        <f ca="1">IF($D152&lt;&gt;"Serviço",0,IF(AND(AUTOEVENTO="Manual",$M152=1),0,IF(OFFSET(CRONOPLE!$F$14,$M152,BF$13)="",10^12,OFFSET(CRONOPLE!$F$14,$M152,BF$13))))</f>
        <v>0</v>
      </c>
      <c r="BG152" s="181">
        <f ca="1">IF($D152&lt;&gt;"Serviço",0,IF(AND(AUTOEVENTO="Manual",$M152=1),0,IF(OFFSET(CRONOPLE!$F$14,$M152,BG$13)="",10^12,OFFSET(CRONOPLE!$F$14,$M152,BG$13))))</f>
        <v>0</v>
      </c>
      <c r="BH152" s="181">
        <f ca="1">IF($D152&lt;&gt;"Serviço",0,IF(AND(AUTOEVENTO="Manual",$M152=1),0,IF(OFFSET(CRONOPLE!$F$14,$M152,BH$13)="",10^12,OFFSET(CRONOPLE!$F$14,$M152,BH$13))))</f>
        <v>0</v>
      </c>
      <c r="BI152" s="181">
        <f ca="1">IF($D152&lt;&gt;"Serviço",0,IF(AND(AUTOEVENTO="Manual",$M152=1),0,IF(OFFSET(CRONOPLE!$F$14,$M152,BI$13)="",10^12,OFFSET(CRONOPLE!$F$14,$M152,BI$13))))</f>
        <v>0</v>
      </c>
      <c r="BJ152" s="181">
        <f ca="1">IF($D152&lt;&gt;"Serviço",0,IF(AND(AUTOEVENTO="Manual",$M152=1),0,IF(OFFSET(CRONOPLE!$F$14,$M152,BJ$13)="",10^12,OFFSET(CRONOPLE!$F$14,$M152,BJ$13))))</f>
        <v>0</v>
      </c>
      <c r="BK152" s="181">
        <f ca="1">IF($D152&lt;&gt;"Serviço",0,IF(AND(AUTOEVENTO="Manual",$M152=1),0,IF(OFFSET(CRONOPLE!$F$14,$M152,BK$13)="",10^12,OFFSET(CRONOPLE!$F$14,$M152,BK$13))))</f>
        <v>0</v>
      </c>
      <c r="BL152" s="181">
        <f ca="1">IF($D152&lt;&gt;"Serviço",0,IF(AND(AUTOEVENTO="Manual",$M152=1),0,IF(OFFSET(CRONOPLE!$F$14,$M152,BL$13)="",10^12,OFFSET(CRONOPLE!$F$14,$M152,BL$13))))</f>
        <v>0</v>
      </c>
      <c r="BM152" s="181">
        <f ca="1">IF($D152&lt;&gt;"Serviço",0,IF(AND(AUTOEVENTO="Manual",$M152=1),0,IF(OFFSET(CRONOPLE!$F$14,$M152,BM$13)="",10^12,OFFSET(CRONOPLE!$F$14,$M152,BM$13))))</f>
        <v>0</v>
      </c>
      <c r="BN152" s="181">
        <f ca="1">IF($D152&lt;&gt;"Serviço",0,IF(AND(AUTOEVENTO="Manual",$M152=1),0,IF(OFFSET(CRONOPLE!$F$14,$M152,BN$13)="",10^12,OFFSET(CRONOPLE!$F$14,$M152,BN$13))))</f>
        <v>0</v>
      </c>
      <c r="BO152" s="181">
        <f ca="1">IF($D152&lt;&gt;"Serviço",0,IF(AND(AUTOEVENTO="Manual",$M152=1),0,IF(OFFSET(CRONOPLE!$F$14,$M152,BO$13)="",10^12,OFFSET(CRONOPLE!$F$14,$M152,BO$13))))</f>
        <v>0</v>
      </c>
      <c r="BP152" s="181">
        <f ca="1">IF($D152&lt;&gt;"Serviço",0,IF(AND(AUTOEVENTO="Manual",$M152=1),0,IF(OFFSET(CRONOPLE!$F$14,$M152,BP$13)="",10^12,OFFSET(CRONOPLE!$F$14,$M152,BP$13))))</f>
        <v>0</v>
      </c>
      <c r="BQ152" s="181">
        <f ca="1">IF($D152&lt;&gt;"Serviço",0,IF(AND(AUTOEVENTO="Manual",$M152=1),0,IF(OFFSET(CRONOPLE!$F$14,$M152,BQ$13)="",10^12,OFFSET(CRONOPLE!$F$14,$M152,BQ$13))))</f>
        <v>0</v>
      </c>
      <c r="BR152" s="181">
        <f ca="1">IF($D152&lt;&gt;"Serviço",0,IF(AND(AUTOEVENTO="Manual",$M152=1),0,IF(OFFSET(CRONOPLE!$F$14,$M152,BR$13)="",10^12,OFFSET(CRONOPLE!$F$14,$M152,BR$13))))</f>
        <v>0</v>
      </c>
      <c r="BS152" s="181">
        <f ca="1">IF($D152&lt;&gt;"Serviço",0,IF(AND(AUTOEVENTO="Manual",$M152=1),0,IF(OFFSET(CRONOPLE!$F$14,$M152,BS$13)="",10^12,OFFSET(CRONOPLE!$F$14,$M152,BS$13))))</f>
        <v>0</v>
      </c>
      <c r="BT152" s="181">
        <f ca="1">IF($D152&lt;&gt;"Serviço",0,IF(AND(AUTOEVENTO="Manual",$M152=1),0,IF(OFFSET(CRONOPLE!$F$14,$M152,BT$13)="",10^12,OFFSET(CRONOPLE!$F$14,$M152,BT$13))))</f>
        <v>0</v>
      </c>
      <c r="BV152" s="182">
        <f ca="1">IF($D152&lt;&gt;"Serviço",0,IF(OR(AND(AUTOEVENTO="Manual",$M152=1),$M152&gt;(ROW(PLE.lastrow)-ROW(PLE.firstrow))),0,IF(OFFSET(PLE!$G$14,$M152,BV$13)="",10^12,OFFSET(PLE!$G$14,$M152,BV$13))))</f>
        <v>0</v>
      </c>
      <c r="BW152" s="182">
        <f ca="1">IF($D152&lt;&gt;"Serviço",0,IF(OR(AND(AUTOEVENTO="Manual",$M152=1),$M152&gt;(ROW(PLE.lastrow)-ROW(PLE.firstrow))),0,IF(OFFSET(PLE!$G$14,$M152,BW$13)="",10^12,OFFSET(PLE!$G$14,$M152,BW$13))))</f>
        <v>0</v>
      </c>
      <c r="BX152" s="182">
        <f ca="1">IF($D152&lt;&gt;"Serviço",0,IF(OR(AND(AUTOEVENTO="Manual",$M152=1),$M152&gt;(ROW(PLE.lastrow)-ROW(PLE.firstrow))),0,IF(OFFSET(PLE!$G$14,$M152,BX$13)="",10^12,OFFSET(PLE!$G$14,$M152,BX$13))))</f>
        <v>0</v>
      </c>
      <c r="BY152" s="182">
        <f ca="1">IF($D152&lt;&gt;"Serviço",0,IF(OR(AND(AUTOEVENTO="Manual",$M152=1),$M152&gt;(ROW(PLE.lastrow)-ROW(PLE.firstrow))),0,IF(OFFSET(PLE!$G$14,$M152,BY$13)="",10^12,OFFSET(PLE!$G$14,$M152,BY$13))))</f>
        <v>0</v>
      </c>
      <c r="BZ152" s="182">
        <f ca="1">IF($D152&lt;&gt;"Serviço",0,IF(OR(AND(AUTOEVENTO="Manual",$M152=1),$M152&gt;(ROW(PLE.lastrow)-ROW(PLE.firstrow))),0,IF(OFFSET(PLE!$G$14,$M152,BZ$13)="",10^12,OFFSET(PLE!$G$14,$M152,BZ$13))))</f>
        <v>0</v>
      </c>
      <c r="CA152" s="182">
        <f ca="1">IF($D152&lt;&gt;"Serviço",0,IF(OR(AND(AUTOEVENTO="Manual",$M152=1),$M152&gt;(ROW(PLE.lastrow)-ROW(PLE.firstrow))),0,IF(OFFSET(PLE!$G$14,$M152,CA$13)="",10^12,OFFSET(PLE!$G$14,$M152,CA$13))))</f>
        <v>0</v>
      </c>
      <c r="CB152" s="182">
        <f ca="1">IF($D152&lt;&gt;"Serviço",0,IF(OR(AND(AUTOEVENTO="Manual",$M152=1),$M152&gt;(ROW(PLE.lastrow)-ROW(PLE.firstrow))),0,IF(OFFSET(PLE!$G$14,$M152,CB$13)="",10^12,OFFSET(PLE!$G$14,$M152,CB$13))))</f>
        <v>0</v>
      </c>
      <c r="CC152" s="182">
        <f ca="1">IF($D152&lt;&gt;"Serviço",0,IF(OR(AND(AUTOEVENTO="Manual",$M152=1),$M152&gt;(ROW(PLE.lastrow)-ROW(PLE.firstrow))),0,IF(OFFSET(PLE!$G$14,$M152,CC$13)="",10^12,OFFSET(PLE!$G$14,$M152,CC$13))))</f>
        <v>0</v>
      </c>
      <c r="CD152" s="182">
        <f ca="1">IF($D152&lt;&gt;"Serviço",0,IF(OR(AND(AUTOEVENTO="Manual",$M152=1),$M152&gt;(ROW(PLE.lastrow)-ROW(PLE.firstrow))),0,IF(OFFSET(PLE!$G$14,$M152,CD$13)="",10^12,OFFSET(PLE!$G$14,$M152,CD$13))))</f>
        <v>0</v>
      </c>
      <c r="CE152" s="182">
        <f ca="1">IF($D152&lt;&gt;"Serviço",0,IF(OR(AND(AUTOEVENTO="Manual",$M152=1),$M152&gt;(ROW(PLE.lastrow)-ROW(PLE.firstrow))),0,IF(OFFSET(PLE!$G$14,$M152,CE$13)="",10^12,OFFSET(PLE!$G$14,$M152,CE$13))))</f>
        <v>0</v>
      </c>
      <c r="CF152" s="182">
        <f ca="1">IF($D152&lt;&gt;"Serviço",0,IF(OR(AND(AUTOEVENTO="Manual",$M152=1),$M152&gt;(ROW(PLE.lastrow)-ROW(PLE.firstrow))),0,IF(OFFSET(PLE!$G$14,$M152,CF$13)="",10^12,OFFSET(PLE!$G$14,$M152,CF$13))))</f>
        <v>0</v>
      </c>
      <c r="CG152" s="182">
        <f ca="1">IF($D152&lt;&gt;"Serviço",0,IF(OR(AND(AUTOEVENTO="Manual",$M152=1),$M152&gt;(ROW(PLE.lastrow)-ROW(PLE.firstrow))),0,IF(OFFSET(PLE!$G$14,$M152,CG$13)="",10^12,OFFSET(PLE!$G$14,$M152,CG$13))))</f>
        <v>0</v>
      </c>
      <c r="CH152" s="182">
        <f ca="1">IF($D152&lt;&gt;"Serviço",0,IF(OR(AND(AUTOEVENTO="Manual",$M152=1),$M152&gt;(ROW(PLE.lastrow)-ROW(PLE.firstrow))),0,IF(OFFSET(PLE!$G$14,$M152,CH$13)="",10^12,OFFSET(PLE!$G$14,$M152,CH$13))))</f>
        <v>0</v>
      </c>
      <c r="CI152" s="182">
        <f ca="1">IF($D152&lt;&gt;"Serviço",0,IF(OR(AND(AUTOEVENTO="Manual",$M152=1),$M152&gt;(ROW(PLE.lastrow)-ROW(PLE.firstrow))),0,IF(OFFSET(PLE!$G$14,$M152,CI$13)="",10^12,OFFSET(PLE!$G$14,$M152,CI$13))))</f>
        <v>0</v>
      </c>
      <c r="CJ152" s="182">
        <f ca="1">IF($D152&lt;&gt;"Serviço",0,IF(OR(AND(AUTOEVENTO="Manual",$M152=1),$M152&gt;(ROW(PLE.lastrow)-ROW(PLE.firstrow))),0,IF(OFFSET(PLE!$G$14,$M152,CJ$13)="",10^12,OFFSET(PLE!$G$14,$M152,CJ$13))))</f>
        <v>0</v>
      </c>
      <c r="CK152" s="182">
        <f ca="1">IF($D152&lt;&gt;"Serviço",0,IF(OR(AND(AUTOEVENTO="Manual",$M152=1),$M152&gt;(ROW(PLE.lastrow)-ROW(PLE.firstrow))),0,IF(OFFSET(PLE!$G$14,$M152,CK$13)="",10^12,OFFSET(PLE!$G$14,$M152,CK$13))))</f>
        <v>0</v>
      </c>
      <c r="CL152" s="182">
        <f ca="1">IF($D152&lt;&gt;"Serviço",0,IF(OR(AND(AUTOEVENTO="Manual",$M152=1),$M152&gt;(ROW(PLE.lastrow)-ROW(PLE.firstrow))),0,IF(OFFSET(PLE!$G$14,$M152,CL$13)="",10^12,OFFSET(PLE!$G$14,$M152,CL$13))))</f>
        <v>0</v>
      </c>
      <c r="CM152" s="182">
        <f ca="1">IF($D152&lt;&gt;"Serviço",0,IF(OR(AND(AUTOEVENTO="Manual",$M152=1),$M152&gt;(ROW(PLE.lastrow)-ROW(PLE.firstrow))),0,IF(OFFSET(PLE!$G$14,$M152,CM$13)="",10^12,OFFSET(PLE!$G$14,$M152,CM$13))))</f>
        <v>0</v>
      </c>
    </row>
    <row r="153" spans="1:91" ht="25.5" x14ac:dyDescent="0.2">
      <c r="A153" s="7" t="str">
        <f t="shared" ca="1" si="11"/>
        <v>137</v>
      </c>
      <c r="B153" s="7" t="str">
        <f ca="1">OFFSET(ORÇAMENTO!C$15,ROW(B153)-ROW(B$15),0)</f>
        <v>S</v>
      </c>
      <c r="C153" s="7" t="str">
        <f ca="1">OFFSET(ORÇAMENTO!L$15,ROW(C153)-ROW(C$15),0)</f>
        <v/>
      </c>
      <c r="D153" s="118" t="str">
        <f ca="1">OFFSET(ORÇAMENTO!N$15,ROW(D153)-ROW(D$15),0)</f>
        <v>Serviço</v>
      </c>
      <c r="E153" s="119" t="str">
        <f ca="1">OFFSET(ORÇAMENTO!O$15,ROW(E153)-ROW(E$15),0)</f>
        <v>-</v>
      </c>
      <c r="F153" s="172" t="str">
        <f ca="1">OFFSET(ORÇAMENTO!R$15,ROW(F153)-ROW(F$15),0)</f>
        <v>(abra o arquivo 'Referência 06-2024.xlsm)</v>
      </c>
      <c r="G153" s="173" t="str">
        <f ca="1">IF($D153&lt;&gt;"Serviço","",OFFSET(ORÇAMENTO!S$15,ROW(G153)-ROW(G$15),0))</f>
        <v>-</v>
      </c>
      <c r="H153" s="124">
        <f ca="1">IF($D153&lt;&gt;"Serviço",0,IF(ACOMPANHAMENTO="BM",ROUND(OFFSET(ORÇAMENTO!AJ$15,ROW(H153)-ROW(H$15),0),15-13*ORÇAMENTO!$AF$7),SUMPRODUCT(($Q$12:$AI$12&lt;&gt;"")*ROUND($Q153:$AI153,15-13*ORÇAMENTO!$AF$7))))</f>
        <v>8.51</v>
      </c>
      <c r="I153" s="561" t="s">
        <v>1107</v>
      </c>
      <c r="K153" s="174"/>
      <c r="L153" s="175" t="s">
        <v>255</v>
      </c>
      <c r="M153" s="176">
        <f ca="1">IF($D153&lt;&gt;"Serviço","",IF(AUTOEVENTO="manual",$A153,IF(ISERROR(MATCH($A153,$A$15:OFFSET($A153,-1,0),0)),MAX($M$15:OFFSET(M153,-1,0))+1,INDEX($M$15:OFFSET(M153,-1,0),MATCH($A153,$A$15:OFFSET($A153,-1,0),0)))))</f>
        <v>23</v>
      </c>
      <c r="N153" s="177" t="str">
        <f ca="1">IF($D153&lt;&gt;"Serviço","",IF(AUTOEVENTO="Manual",IF($A153=0,"&lt;-- defina o número do agrupador",OFFSET(EVENTOS!$D$14,$A153,0)),OFFSET($F$15,$A153,0)))</f>
        <v>ESQUADRIAS - PORTAS DE VIDRO</v>
      </c>
      <c r="O153" s="178"/>
      <c r="Q153" s="178">
        <v>8.51</v>
      </c>
      <c r="R153" s="179"/>
      <c r="S153" s="179"/>
      <c r="T153" s="179"/>
      <c r="U153" s="179"/>
      <c r="V153" s="179"/>
      <c r="W153" s="179"/>
      <c r="X153" s="179"/>
      <c r="Y153" s="179"/>
      <c r="Z153" s="180"/>
      <c r="AA153" s="179"/>
      <c r="AB153" s="179"/>
      <c r="AC153" s="179"/>
      <c r="AD153" s="179"/>
      <c r="AE153" s="179"/>
      <c r="AF153" s="179"/>
      <c r="AG153" s="179"/>
      <c r="AH153" s="180"/>
      <c r="AJ153" s="544">
        <f ca="1">IF(AND($D153="Serviço",AJ$12&lt;&gt;0,$H153&gt;0,OR(AUTOEVENTO&lt;&gt;"manual",$M153&lt;&gt;1)),
IF(Import.TipoArredondamento&lt;&gt;"TransfereGOV",
ROUND(OFFSET($P153,0,AJ$13),15-13*ORÇAMENTO!$AF$7)/$H153*OFFSET(ORÇAMENTO!$X$15,ROW(AJ153)-ROW(AJ$15),0),
ROUND(ROUND(OFFSET($P153,0,AJ$13),15-13*ORÇAMENTO!$AF$7)*OFFSET(ORÇAMENTO!$W$15,ROW(AJ153)-ROW(AJ$15),0),15-13*ORÇAMENTO!$AF$11)),0)</f>
        <v>0</v>
      </c>
      <c r="AK153" s="545">
        <f ca="1">IF(AND($D153="Serviço",AK$12&lt;&gt;0,$H153&gt;0,OR(AUTOEVENTO&lt;&gt;"manual",$M153&lt;&gt;1)),
IF(Import.TipoArredondamento&lt;&gt;"TransfereGOV",
ROUND(OFFSET($P153,0,AK$13),15-13*ORÇAMENTO!$AF$7)/$H153*OFFSET(ORÇAMENTO!$X$15,ROW(AK153)-ROW(AK$15),0),
ROUND(ROUND(OFFSET($P153,0,AK$13),15-13*ORÇAMENTO!$AF$7)*OFFSET(ORÇAMENTO!$W$15,ROW(AK153)-ROW(AK$15),0),15-13*ORÇAMENTO!$AF$11)),0)</f>
        <v>0</v>
      </c>
      <c r="AL153" s="545">
        <f ca="1">IF(AND($D153="Serviço",AL$12&lt;&gt;0,$H153&gt;0,OR(AUTOEVENTO&lt;&gt;"manual",$M153&lt;&gt;1)),
IF(Import.TipoArredondamento&lt;&gt;"TransfereGOV",
ROUND(OFFSET($P153,0,AL$13),15-13*ORÇAMENTO!$AF$7)/$H153*OFFSET(ORÇAMENTO!$X$15,ROW(AL153)-ROW(AL$15),0),
ROUND(ROUND(OFFSET($P153,0,AL$13),15-13*ORÇAMENTO!$AF$7)*OFFSET(ORÇAMENTO!$W$15,ROW(AL153)-ROW(AL$15),0),15-13*ORÇAMENTO!$AF$11)),0)</f>
        <v>0</v>
      </c>
      <c r="AM153" s="545">
        <f ca="1">IF(AND($D153="Serviço",AM$12&lt;&gt;0,$H153&gt;0,OR(AUTOEVENTO&lt;&gt;"manual",$M153&lt;&gt;1)),
IF(Import.TipoArredondamento&lt;&gt;"TransfereGOV",
ROUND(OFFSET($P153,0,AM$13),15-13*ORÇAMENTO!$AF$7)/$H153*OFFSET(ORÇAMENTO!$X$15,ROW(AM153)-ROW(AM$15),0),
ROUND(ROUND(OFFSET($P153,0,AM$13),15-13*ORÇAMENTO!$AF$7)*OFFSET(ORÇAMENTO!$W$15,ROW(AM153)-ROW(AM$15),0),15-13*ORÇAMENTO!$AF$11)),0)</f>
        <v>0</v>
      </c>
      <c r="AN153" s="545">
        <f ca="1">IF(AND($D153="Serviço",AN$12&lt;&gt;0,$H153&gt;0,OR(AUTOEVENTO&lt;&gt;"manual",$M153&lt;&gt;1)),
IF(Import.TipoArredondamento&lt;&gt;"TransfereGOV",
ROUND(OFFSET($P153,0,AN$13),15-13*ORÇAMENTO!$AF$7)/$H153*OFFSET(ORÇAMENTO!$X$15,ROW(AN153)-ROW(AN$15),0),
ROUND(ROUND(OFFSET($P153,0,AN$13),15-13*ORÇAMENTO!$AF$7)*OFFSET(ORÇAMENTO!$W$15,ROW(AN153)-ROW(AN$15),0),15-13*ORÇAMENTO!$AF$11)),0)</f>
        <v>0</v>
      </c>
      <c r="AO153" s="545">
        <f ca="1">IF(AND($D153="Serviço",AO$12&lt;&gt;0,$H153&gt;0,OR(AUTOEVENTO&lt;&gt;"manual",$M153&lt;&gt;1)),
IF(Import.TipoArredondamento&lt;&gt;"TransfereGOV",
ROUND(OFFSET($P153,0,AO$13),15-13*ORÇAMENTO!$AF$7)/$H153*OFFSET(ORÇAMENTO!$X$15,ROW(AO153)-ROW(AO$15),0),
ROUND(ROUND(OFFSET($P153,0,AO$13),15-13*ORÇAMENTO!$AF$7)*OFFSET(ORÇAMENTO!$W$15,ROW(AO153)-ROW(AO$15),0),15-13*ORÇAMENTO!$AF$11)),0)</f>
        <v>0</v>
      </c>
      <c r="AP153" s="545">
        <f ca="1">IF(AND($D153="Serviço",AP$12&lt;&gt;0,$H153&gt;0,OR(AUTOEVENTO&lt;&gt;"manual",$M153&lt;&gt;1)),
IF(Import.TipoArredondamento&lt;&gt;"TransfereGOV",
ROUND(OFFSET($P153,0,AP$13),15-13*ORÇAMENTO!$AF$7)/$H153*OFFSET(ORÇAMENTO!$X$15,ROW(AP153)-ROW(AP$15),0),
ROUND(ROUND(OFFSET($P153,0,AP$13),15-13*ORÇAMENTO!$AF$7)*OFFSET(ORÇAMENTO!$W$15,ROW(AP153)-ROW(AP$15),0),15-13*ORÇAMENTO!$AF$11)),0)</f>
        <v>0</v>
      </c>
      <c r="AQ153" s="545">
        <f ca="1">IF(AND($D153="Serviço",AQ$12&lt;&gt;0,$H153&gt;0,OR(AUTOEVENTO&lt;&gt;"manual",$M153&lt;&gt;1)),
IF(Import.TipoArredondamento&lt;&gt;"TransfereGOV",
ROUND(OFFSET($P153,0,AQ$13),15-13*ORÇAMENTO!$AF$7)/$H153*OFFSET(ORÇAMENTO!$X$15,ROW(AQ153)-ROW(AQ$15),0),
ROUND(ROUND(OFFSET($P153,0,AQ$13),15-13*ORÇAMENTO!$AF$7)*OFFSET(ORÇAMENTO!$W$15,ROW(AQ153)-ROW(AQ$15),0),15-13*ORÇAMENTO!$AF$11)),0)</f>
        <v>0</v>
      </c>
      <c r="AR153" s="545">
        <f ca="1">IF(AND($D153="Serviço",AR$12&lt;&gt;0,$H153&gt;0,OR(AUTOEVENTO&lt;&gt;"manual",$M153&lt;&gt;1)),
IF(Import.TipoArredondamento&lt;&gt;"TransfereGOV",
ROUND(OFFSET($P153,0,AR$13),15-13*ORÇAMENTO!$AF$7)/$H153*OFFSET(ORÇAMENTO!$X$15,ROW(AR153)-ROW(AR$15),0),
ROUND(ROUND(OFFSET($P153,0,AR$13),15-13*ORÇAMENTO!$AF$7)*OFFSET(ORÇAMENTO!$W$15,ROW(AR153)-ROW(AR$15),0),15-13*ORÇAMENTO!$AF$11)),0)</f>
        <v>0</v>
      </c>
      <c r="AS153" s="546">
        <f ca="1">IF(AND($D153="Serviço",AS$12&lt;&gt;0,$H153&gt;0,OR(AUTOEVENTO&lt;&gt;"manual",$M153&lt;&gt;1)),
IF(Import.TipoArredondamento&lt;&gt;"TransfereGOV",
ROUND(OFFSET($P153,0,AS$13),15-13*ORÇAMENTO!$AF$7)/$H153*OFFSET(ORÇAMENTO!$X$15,ROW(AS153)-ROW(AS$15),0),
ROUND(ROUND(OFFSET($P153,0,AS$13),15-13*ORÇAMENTO!$AF$7)*OFFSET(ORÇAMENTO!$W$15,ROW(AS153)-ROW(AS$15),0),15-13*ORÇAMENTO!$AF$11)),0)</f>
        <v>0</v>
      </c>
      <c r="AT153" s="545">
        <f ca="1">IF(AND($D153="Serviço",AT$12&lt;&gt;0,$H153&gt;0,OR(AUTOEVENTO&lt;&gt;"manual",$M153&lt;&gt;1)),
IF(Import.TipoArredondamento&lt;&gt;"TransfereGOV",
ROUND(OFFSET($P153,0,AT$13),15-13*ORÇAMENTO!$AF$7)/$H153*OFFSET(ORÇAMENTO!$X$15,ROW(AT153)-ROW(AT$15),0),
ROUND(ROUND(OFFSET($P153,0,AT$13),15-13*ORÇAMENTO!$AF$7)*OFFSET(ORÇAMENTO!$W$15,ROW(AT153)-ROW(AT$15),0),15-13*ORÇAMENTO!$AF$11)),0)</f>
        <v>0</v>
      </c>
      <c r="AU153" s="545">
        <f ca="1">IF(AND($D153="Serviço",AU$12&lt;&gt;0,$H153&gt;0,OR(AUTOEVENTO&lt;&gt;"manual",$M153&lt;&gt;1)),
IF(Import.TipoArredondamento&lt;&gt;"TransfereGOV",
ROUND(OFFSET($P153,0,AU$13),15-13*ORÇAMENTO!$AF$7)/$H153*OFFSET(ORÇAMENTO!$X$15,ROW(AU153)-ROW(AU$15),0),
ROUND(ROUND(OFFSET($P153,0,AU$13),15-13*ORÇAMENTO!$AF$7)*OFFSET(ORÇAMENTO!$W$15,ROW(AU153)-ROW(AU$15),0),15-13*ORÇAMENTO!$AF$11)),0)</f>
        <v>0</v>
      </c>
      <c r="AV153" s="545">
        <f ca="1">IF(AND($D153="Serviço",AV$12&lt;&gt;0,$H153&gt;0,OR(AUTOEVENTO&lt;&gt;"manual",$M153&lt;&gt;1)),
IF(Import.TipoArredondamento&lt;&gt;"TransfereGOV",
ROUND(OFFSET($P153,0,AV$13),15-13*ORÇAMENTO!$AF$7)/$H153*OFFSET(ORÇAMENTO!$X$15,ROW(AV153)-ROW(AV$15),0),
ROUND(ROUND(OFFSET($P153,0,AV$13),15-13*ORÇAMENTO!$AF$7)*OFFSET(ORÇAMENTO!$W$15,ROW(AV153)-ROW(AV$15),0),15-13*ORÇAMENTO!$AF$11)),0)</f>
        <v>0</v>
      </c>
      <c r="AW153" s="545">
        <f ca="1">IF(AND($D153="Serviço",AW$12&lt;&gt;0,$H153&gt;0,OR(AUTOEVENTO&lt;&gt;"manual",$M153&lt;&gt;1)),
IF(Import.TipoArredondamento&lt;&gt;"TransfereGOV",
ROUND(OFFSET($P153,0,AW$13),15-13*ORÇAMENTO!$AF$7)/$H153*OFFSET(ORÇAMENTO!$X$15,ROW(AW153)-ROW(AW$15),0),
ROUND(ROUND(OFFSET($P153,0,AW$13),15-13*ORÇAMENTO!$AF$7)*OFFSET(ORÇAMENTO!$W$15,ROW(AW153)-ROW(AW$15),0),15-13*ORÇAMENTO!$AF$11)),0)</f>
        <v>0</v>
      </c>
      <c r="AX153" s="545">
        <f ca="1">IF(AND($D153="Serviço",AX$12&lt;&gt;0,$H153&gt;0,OR(AUTOEVENTO&lt;&gt;"manual",$M153&lt;&gt;1)),
IF(Import.TipoArredondamento&lt;&gt;"TransfereGOV",
ROUND(OFFSET($P153,0,AX$13),15-13*ORÇAMENTO!$AF$7)/$H153*OFFSET(ORÇAMENTO!$X$15,ROW(AX153)-ROW(AX$15),0),
ROUND(ROUND(OFFSET($P153,0,AX$13),15-13*ORÇAMENTO!$AF$7)*OFFSET(ORÇAMENTO!$W$15,ROW(AX153)-ROW(AX$15),0),15-13*ORÇAMENTO!$AF$11)),0)</f>
        <v>0</v>
      </c>
      <c r="AY153" s="545">
        <f ca="1">IF(AND($D153="Serviço",AY$12&lt;&gt;0,$H153&gt;0,OR(AUTOEVENTO&lt;&gt;"manual",$M153&lt;&gt;1)),
IF(Import.TipoArredondamento&lt;&gt;"TransfereGOV",
ROUND(OFFSET($P153,0,AY$13),15-13*ORÇAMENTO!$AF$7)/$H153*OFFSET(ORÇAMENTO!$X$15,ROW(AY153)-ROW(AY$15),0),
ROUND(ROUND(OFFSET($P153,0,AY$13),15-13*ORÇAMENTO!$AF$7)*OFFSET(ORÇAMENTO!$W$15,ROW(AY153)-ROW(AY$15),0),15-13*ORÇAMENTO!$AF$11)),0)</f>
        <v>0</v>
      </c>
      <c r="AZ153" s="545">
        <f ca="1">IF(AND($D153="Serviço",AZ$12&lt;&gt;0,$H153&gt;0,OR(AUTOEVENTO&lt;&gt;"manual",$M153&lt;&gt;1)),
IF(Import.TipoArredondamento&lt;&gt;"TransfereGOV",
ROUND(OFFSET($P153,0,AZ$13),15-13*ORÇAMENTO!$AF$7)/$H153*OFFSET(ORÇAMENTO!$X$15,ROW(AZ153)-ROW(AZ$15),0),
ROUND(ROUND(OFFSET($P153,0,AZ$13),15-13*ORÇAMENTO!$AF$7)*OFFSET(ORÇAMENTO!$W$15,ROW(AZ153)-ROW(AZ$15),0),15-13*ORÇAMENTO!$AF$11)),0)</f>
        <v>0</v>
      </c>
      <c r="BA153" s="546">
        <f ca="1">IF(AND($D153="Serviço",BA$12&lt;&gt;0,$H153&gt;0,OR(AUTOEVENTO&lt;&gt;"manual",$M153&lt;&gt;1)),
IF(Import.TipoArredondamento&lt;&gt;"TransfereGOV",
ROUND(OFFSET($P153,0,BA$13),15-13*ORÇAMENTO!$AF$7)/$H153*OFFSET(ORÇAMENTO!$X$15,ROW(BA153)-ROW(BA$15),0),
ROUND(ROUND(OFFSET($P153,0,BA$13),15-13*ORÇAMENTO!$AF$7)*OFFSET(ORÇAMENTO!$W$15,ROW(BA153)-ROW(BA$15),0),15-13*ORÇAMENTO!$AF$11)),0)</f>
        <v>0</v>
      </c>
      <c r="BC153" s="181">
        <f ca="1">IF($D153&lt;&gt;"Serviço",0,IF(AND(AUTOEVENTO="Manual",$M153=1),0,IF(OFFSET(CRONOPLE!$F$14,$M153,BC$13)="",10^12,OFFSET(CRONOPLE!$F$14,$M153,BC$13))))</f>
        <v>5</v>
      </c>
      <c r="BD153" s="181">
        <f ca="1">IF($D153&lt;&gt;"Serviço",0,IF(AND(AUTOEVENTO="Manual",$M153=1),0,IF(OFFSET(CRONOPLE!$F$14,$M153,BD$13)="",10^12,OFFSET(CRONOPLE!$F$14,$M153,BD$13))))</f>
        <v>1000000000000</v>
      </c>
      <c r="BE153" s="181">
        <f ca="1">IF($D153&lt;&gt;"Serviço",0,IF(AND(AUTOEVENTO="Manual",$M153=1),0,IF(OFFSET(CRONOPLE!$F$14,$M153,BE$13)="",10^12,OFFSET(CRONOPLE!$F$14,$M153,BE$13))))</f>
        <v>1000000000000</v>
      </c>
      <c r="BF153" s="181">
        <f ca="1">IF($D153&lt;&gt;"Serviço",0,IF(AND(AUTOEVENTO="Manual",$M153=1),0,IF(OFFSET(CRONOPLE!$F$14,$M153,BF$13)="",10^12,OFFSET(CRONOPLE!$F$14,$M153,BF$13))))</f>
        <v>1000000000000</v>
      </c>
      <c r="BG153" s="181">
        <f ca="1">IF($D153&lt;&gt;"Serviço",0,IF(AND(AUTOEVENTO="Manual",$M153=1),0,IF(OFFSET(CRONOPLE!$F$14,$M153,BG$13)="",10^12,OFFSET(CRONOPLE!$F$14,$M153,BG$13))))</f>
        <v>1000000000000</v>
      </c>
      <c r="BH153" s="181">
        <f ca="1">IF($D153&lt;&gt;"Serviço",0,IF(AND(AUTOEVENTO="Manual",$M153=1),0,IF(OFFSET(CRONOPLE!$F$14,$M153,BH$13)="",10^12,OFFSET(CRONOPLE!$F$14,$M153,BH$13))))</f>
        <v>1000000000000</v>
      </c>
      <c r="BI153" s="181">
        <f ca="1">IF($D153&lt;&gt;"Serviço",0,IF(AND(AUTOEVENTO="Manual",$M153=1),0,IF(OFFSET(CRONOPLE!$F$14,$M153,BI$13)="",10^12,OFFSET(CRONOPLE!$F$14,$M153,BI$13))))</f>
        <v>1000000000000</v>
      </c>
      <c r="BJ153" s="181">
        <f ca="1">IF($D153&lt;&gt;"Serviço",0,IF(AND(AUTOEVENTO="Manual",$M153=1),0,IF(OFFSET(CRONOPLE!$F$14,$M153,BJ$13)="",10^12,OFFSET(CRONOPLE!$F$14,$M153,BJ$13))))</f>
        <v>1000000000000</v>
      </c>
      <c r="BK153" s="181">
        <f ca="1">IF($D153&lt;&gt;"Serviço",0,IF(AND(AUTOEVENTO="Manual",$M153=1),0,IF(OFFSET(CRONOPLE!$F$14,$M153,BK$13)="",10^12,OFFSET(CRONOPLE!$F$14,$M153,BK$13))))</f>
        <v>1000000000000</v>
      </c>
      <c r="BL153" s="181">
        <f ca="1">IF($D153&lt;&gt;"Serviço",0,IF(AND(AUTOEVENTO="Manual",$M153=1),0,IF(OFFSET(CRONOPLE!$F$14,$M153,BL$13)="",10^12,OFFSET(CRONOPLE!$F$14,$M153,BL$13))))</f>
        <v>1000000000000</v>
      </c>
      <c r="BM153" s="181">
        <f ca="1">IF($D153&lt;&gt;"Serviço",0,IF(AND(AUTOEVENTO="Manual",$M153=1),0,IF(OFFSET(CRONOPLE!$F$14,$M153,BM$13)="",10^12,OFFSET(CRONOPLE!$F$14,$M153,BM$13))))</f>
        <v>1000000000000</v>
      </c>
      <c r="BN153" s="181">
        <f ca="1">IF($D153&lt;&gt;"Serviço",0,IF(AND(AUTOEVENTO="Manual",$M153=1),0,IF(OFFSET(CRONOPLE!$F$14,$M153,BN$13)="",10^12,OFFSET(CRONOPLE!$F$14,$M153,BN$13))))</f>
        <v>1000000000000</v>
      </c>
      <c r="BO153" s="181">
        <f ca="1">IF($D153&lt;&gt;"Serviço",0,IF(AND(AUTOEVENTO="Manual",$M153=1),0,IF(OFFSET(CRONOPLE!$F$14,$M153,BO$13)="",10^12,OFFSET(CRONOPLE!$F$14,$M153,BO$13))))</f>
        <v>1000000000000</v>
      </c>
      <c r="BP153" s="181">
        <f ca="1">IF($D153&lt;&gt;"Serviço",0,IF(AND(AUTOEVENTO="Manual",$M153=1),0,IF(OFFSET(CRONOPLE!$F$14,$M153,BP$13)="",10^12,OFFSET(CRONOPLE!$F$14,$M153,BP$13))))</f>
        <v>1000000000000</v>
      </c>
      <c r="BQ153" s="181">
        <f ca="1">IF($D153&lt;&gt;"Serviço",0,IF(AND(AUTOEVENTO="Manual",$M153=1),0,IF(OFFSET(CRONOPLE!$F$14,$M153,BQ$13)="",10^12,OFFSET(CRONOPLE!$F$14,$M153,BQ$13))))</f>
        <v>1000000000000</v>
      </c>
      <c r="BR153" s="181">
        <f ca="1">IF($D153&lt;&gt;"Serviço",0,IF(AND(AUTOEVENTO="Manual",$M153=1),0,IF(OFFSET(CRONOPLE!$F$14,$M153,BR$13)="",10^12,OFFSET(CRONOPLE!$F$14,$M153,BR$13))))</f>
        <v>1000000000000</v>
      </c>
      <c r="BS153" s="181">
        <f ca="1">IF($D153&lt;&gt;"Serviço",0,IF(AND(AUTOEVENTO="Manual",$M153=1),0,IF(OFFSET(CRONOPLE!$F$14,$M153,BS$13)="",10^12,OFFSET(CRONOPLE!$F$14,$M153,BS$13))))</f>
        <v>1000000000000</v>
      </c>
      <c r="BT153" s="181">
        <f ca="1">IF($D153&lt;&gt;"Serviço",0,IF(AND(AUTOEVENTO="Manual",$M153=1),0,IF(OFFSET(CRONOPLE!$F$14,$M153,BT$13)="",10^12,OFFSET(CRONOPLE!$F$14,$M153,BT$13))))</f>
        <v>1000000000000</v>
      </c>
      <c r="BV153" s="182">
        <f ca="1">IF($D153&lt;&gt;"Serviço",0,IF(OR(AND(AUTOEVENTO="Manual",$M153=1),$M153&gt;(ROW(PLE.lastrow)-ROW(PLE.firstrow))),0,IF(OFFSET(PLE!$G$14,$M153,BV$13)="",10^12,OFFSET(PLE!$G$14,$M153,BV$13))))</f>
        <v>1000000000000</v>
      </c>
      <c r="BW153" s="182">
        <f ca="1">IF($D153&lt;&gt;"Serviço",0,IF(OR(AND(AUTOEVENTO="Manual",$M153=1),$M153&gt;(ROW(PLE.lastrow)-ROW(PLE.firstrow))),0,IF(OFFSET(PLE!$G$14,$M153,BW$13)="",10^12,OFFSET(PLE!$G$14,$M153,BW$13))))</f>
        <v>1000000000000</v>
      </c>
      <c r="BX153" s="182">
        <f ca="1">IF($D153&lt;&gt;"Serviço",0,IF(OR(AND(AUTOEVENTO="Manual",$M153=1),$M153&gt;(ROW(PLE.lastrow)-ROW(PLE.firstrow))),0,IF(OFFSET(PLE!$G$14,$M153,BX$13)="",10^12,OFFSET(PLE!$G$14,$M153,BX$13))))</f>
        <v>1000000000000</v>
      </c>
      <c r="BY153" s="182">
        <f ca="1">IF($D153&lt;&gt;"Serviço",0,IF(OR(AND(AUTOEVENTO="Manual",$M153=1),$M153&gt;(ROW(PLE.lastrow)-ROW(PLE.firstrow))),0,IF(OFFSET(PLE!$G$14,$M153,BY$13)="",10^12,OFFSET(PLE!$G$14,$M153,BY$13))))</f>
        <v>1000000000000</v>
      </c>
      <c r="BZ153" s="182">
        <f ca="1">IF($D153&lt;&gt;"Serviço",0,IF(OR(AND(AUTOEVENTO="Manual",$M153=1),$M153&gt;(ROW(PLE.lastrow)-ROW(PLE.firstrow))),0,IF(OFFSET(PLE!$G$14,$M153,BZ$13)="",10^12,OFFSET(PLE!$G$14,$M153,BZ$13))))</f>
        <v>1000000000000</v>
      </c>
      <c r="CA153" s="182">
        <f ca="1">IF($D153&lt;&gt;"Serviço",0,IF(OR(AND(AUTOEVENTO="Manual",$M153=1),$M153&gt;(ROW(PLE.lastrow)-ROW(PLE.firstrow))),0,IF(OFFSET(PLE!$G$14,$M153,CA$13)="",10^12,OFFSET(PLE!$G$14,$M153,CA$13))))</f>
        <v>1000000000000</v>
      </c>
      <c r="CB153" s="182">
        <f ca="1">IF($D153&lt;&gt;"Serviço",0,IF(OR(AND(AUTOEVENTO="Manual",$M153=1),$M153&gt;(ROW(PLE.lastrow)-ROW(PLE.firstrow))),0,IF(OFFSET(PLE!$G$14,$M153,CB$13)="",10^12,OFFSET(PLE!$G$14,$M153,CB$13))))</f>
        <v>1000000000000</v>
      </c>
      <c r="CC153" s="182">
        <f ca="1">IF($D153&lt;&gt;"Serviço",0,IF(OR(AND(AUTOEVENTO="Manual",$M153=1),$M153&gt;(ROW(PLE.lastrow)-ROW(PLE.firstrow))),0,IF(OFFSET(PLE!$G$14,$M153,CC$13)="",10^12,OFFSET(PLE!$G$14,$M153,CC$13))))</f>
        <v>1000000000000</v>
      </c>
      <c r="CD153" s="182">
        <f ca="1">IF($D153&lt;&gt;"Serviço",0,IF(OR(AND(AUTOEVENTO="Manual",$M153=1),$M153&gt;(ROW(PLE.lastrow)-ROW(PLE.firstrow))),0,IF(OFFSET(PLE!$G$14,$M153,CD$13)="",10^12,OFFSET(PLE!$G$14,$M153,CD$13))))</f>
        <v>1000000000000</v>
      </c>
      <c r="CE153" s="182">
        <f ca="1">IF($D153&lt;&gt;"Serviço",0,IF(OR(AND(AUTOEVENTO="Manual",$M153=1),$M153&gt;(ROW(PLE.lastrow)-ROW(PLE.firstrow))),0,IF(OFFSET(PLE!$G$14,$M153,CE$13)="",10^12,OFFSET(PLE!$G$14,$M153,CE$13))))</f>
        <v>1000000000000</v>
      </c>
      <c r="CF153" s="182">
        <f ca="1">IF($D153&lt;&gt;"Serviço",0,IF(OR(AND(AUTOEVENTO="Manual",$M153=1),$M153&gt;(ROW(PLE.lastrow)-ROW(PLE.firstrow))),0,IF(OFFSET(PLE!$G$14,$M153,CF$13)="",10^12,OFFSET(PLE!$G$14,$M153,CF$13))))</f>
        <v>1000000000000</v>
      </c>
      <c r="CG153" s="182">
        <f ca="1">IF($D153&lt;&gt;"Serviço",0,IF(OR(AND(AUTOEVENTO="Manual",$M153=1),$M153&gt;(ROW(PLE.lastrow)-ROW(PLE.firstrow))),0,IF(OFFSET(PLE!$G$14,$M153,CG$13)="",10^12,OFFSET(PLE!$G$14,$M153,CG$13))))</f>
        <v>1000000000000</v>
      </c>
      <c r="CH153" s="182">
        <f ca="1">IF($D153&lt;&gt;"Serviço",0,IF(OR(AND(AUTOEVENTO="Manual",$M153=1),$M153&gt;(ROW(PLE.lastrow)-ROW(PLE.firstrow))),0,IF(OFFSET(PLE!$G$14,$M153,CH$13)="",10^12,OFFSET(PLE!$G$14,$M153,CH$13))))</f>
        <v>1000000000000</v>
      </c>
      <c r="CI153" s="182">
        <f ca="1">IF($D153&lt;&gt;"Serviço",0,IF(OR(AND(AUTOEVENTO="Manual",$M153=1),$M153&gt;(ROW(PLE.lastrow)-ROW(PLE.firstrow))),0,IF(OFFSET(PLE!$G$14,$M153,CI$13)="",10^12,OFFSET(PLE!$G$14,$M153,CI$13))))</f>
        <v>1000000000000</v>
      </c>
      <c r="CJ153" s="182">
        <f ca="1">IF($D153&lt;&gt;"Serviço",0,IF(OR(AND(AUTOEVENTO="Manual",$M153=1),$M153&gt;(ROW(PLE.lastrow)-ROW(PLE.firstrow))),0,IF(OFFSET(PLE!$G$14,$M153,CJ$13)="",10^12,OFFSET(PLE!$G$14,$M153,CJ$13))))</f>
        <v>1000000000000</v>
      </c>
      <c r="CK153" s="182">
        <f ca="1">IF($D153&lt;&gt;"Serviço",0,IF(OR(AND(AUTOEVENTO="Manual",$M153=1),$M153&gt;(ROW(PLE.lastrow)-ROW(PLE.firstrow))),0,IF(OFFSET(PLE!$G$14,$M153,CK$13)="",10^12,OFFSET(PLE!$G$14,$M153,CK$13))))</f>
        <v>1000000000000</v>
      </c>
      <c r="CL153" s="182">
        <f ca="1">IF($D153&lt;&gt;"Serviço",0,IF(OR(AND(AUTOEVENTO="Manual",$M153=1),$M153&gt;(ROW(PLE.lastrow)-ROW(PLE.firstrow))),0,IF(OFFSET(PLE!$G$14,$M153,CL$13)="",10^12,OFFSET(PLE!$G$14,$M153,CL$13))))</f>
        <v>1000000000000</v>
      </c>
      <c r="CM153" s="182">
        <f ca="1">IF($D153&lt;&gt;"Serviço",0,IF(OR(AND(AUTOEVENTO="Manual",$M153=1),$M153&gt;(ROW(PLE.lastrow)-ROW(PLE.firstrow))),0,IF(OFFSET(PLE!$G$14,$M153,CM$13)="",10^12,OFFSET(PLE!$G$14,$M153,CM$13))))</f>
        <v>1000000000000</v>
      </c>
    </row>
    <row r="154" spans="1:91" ht="38.25" x14ac:dyDescent="0.2">
      <c r="A154" s="7" t="str">
        <f t="shared" ca="1" si="11"/>
        <v>137</v>
      </c>
      <c r="B154" s="7" t="str">
        <f ca="1">OFFSET(ORÇAMENTO!C$15,ROW(B154)-ROW(B$15),0)</f>
        <v>S</v>
      </c>
      <c r="C154" s="7" t="str">
        <f ca="1">OFFSET(ORÇAMENTO!L$15,ROW(C154)-ROW(C$15),0)</f>
        <v/>
      </c>
      <c r="D154" s="118" t="str">
        <f ca="1">OFFSET(ORÇAMENTO!N$15,ROW(D154)-ROW(D$15),0)</f>
        <v>Serviço</v>
      </c>
      <c r="E154" s="119" t="str">
        <f ca="1">OFFSET(ORÇAMENTO!O$15,ROW(E154)-ROW(E$15),0)</f>
        <v>-</v>
      </c>
      <c r="F154" s="172" t="str">
        <f ca="1">OFFSET(ORÇAMENTO!R$15,ROW(F154)-ROW(F$15),0)</f>
        <v>(abra o arquivo 'Referência 06-2024.xlsm)</v>
      </c>
      <c r="G154" s="173" t="str">
        <f ca="1">IF($D154&lt;&gt;"Serviço","",OFFSET(ORÇAMENTO!S$15,ROW(G154)-ROW(G$15),0))</f>
        <v>-</v>
      </c>
      <c r="H154" s="124">
        <f ca="1">IF($D154&lt;&gt;"Serviço",0,IF(ACOMPANHAMENTO="BM",ROUND(OFFSET(ORÇAMENTO!AJ$15,ROW(H154)-ROW(H$15),0),15-13*ORÇAMENTO!$AF$7),SUMPRODUCT(($Q$12:$AI$12&lt;&gt;"")*ROUND($Q154:$AI154,15-13*ORÇAMENTO!$AF$7))))</f>
        <v>7.55</v>
      </c>
      <c r="I154" s="561" t="s">
        <v>1107</v>
      </c>
      <c r="K154" s="174"/>
      <c r="L154" s="175" t="s">
        <v>255</v>
      </c>
      <c r="M154" s="176">
        <f ca="1">IF($D154&lt;&gt;"Serviço","",IF(AUTOEVENTO="manual",$A154,IF(ISERROR(MATCH($A154,$A$15:OFFSET($A154,-1,0),0)),MAX($M$15:OFFSET(M154,-1,0))+1,INDEX($M$15:OFFSET(M154,-1,0),MATCH($A154,$A$15:OFFSET($A154,-1,0),0)))))</f>
        <v>23</v>
      </c>
      <c r="N154" s="177" t="str">
        <f ca="1">IF($D154&lt;&gt;"Serviço","",IF(AUTOEVENTO="Manual",IF($A154=0,"&lt;-- defina o número do agrupador",OFFSET(EVENTOS!$D$14,$A154,0)),OFFSET($F$15,$A154,0)))</f>
        <v>ESQUADRIAS - PORTAS DE VIDRO</v>
      </c>
      <c r="O154" s="178"/>
      <c r="Q154" s="178">
        <v>7.55</v>
      </c>
      <c r="R154" s="179"/>
      <c r="S154" s="179"/>
      <c r="T154" s="179"/>
      <c r="U154" s="179"/>
      <c r="V154" s="179"/>
      <c r="W154" s="179"/>
      <c r="X154" s="179"/>
      <c r="Y154" s="179"/>
      <c r="Z154" s="180"/>
      <c r="AA154" s="179"/>
      <c r="AB154" s="179"/>
      <c r="AC154" s="179"/>
      <c r="AD154" s="179"/>
      <c r="AE154" s="179"/>
      <c r="AF154" s="179"/>
      <c r="AG154" s="179"/>
      <c r="AH154" s="180"/>
      <c r="AJ154" s="544">
        <f ca="1">IF(AND($D154="Serviço",AJ$12&lt;&gt;0,$H154&gt;0,OR(AUTOEVENTO&lt;&gt;"manual",$M154&lt;&gt;1)),
IF(Import.TipoArredondamento&lt;&gt;"TransfereGOV",
ROUND(OFFSET($P154,0,AJ$13),15-13*ORÇAMENTO!$AF$7)/$H154*OFFSET(ORÇAMENTO!$X$15,ROW(AJ154)-ROW(AJ$15),0),
ROUND(ROUND(OFFSET($P154,0,AJ$13),15-13*ORÇAMENTO!$AF$7)*OFFSET(ORÇAMENTO!$W$15,ROW(AJ154)-ROW(AJ$15),0),15-13*ORÇAMENTO!$AF$11)),0)</f>
        <v>0</v>
      </c>
      <c r="AK154" s="545">
        <f ca="1">IF(AND($D154="Serviço",AK$12&lt;&gt;0,$H154&gt;0,OR(AUTOEVENTO&lt;&gt;"manual",$M154&lt;&gt;1)),
IF(Import.TipoArredondamento&lt;&gt;"TransfereGOV",
ROUND(OFFSET($P154,0,AK$13),15-13*ORÇAMENTO!$AF$7)/$H154*OFFSET(ORÇAMENTO!$X$15,ROW(AK154)-ROW(AK$15),0),
ROUND(ROUND(OFFSET($P154,0,AK$13),15-13*ORÇAMENTO!$AF$7)*OFFSET(ORÇAMENTO!$W$15,ROW(AK154)-ROW(AK$15),0),15-13*ORÇAMENTO!$AF$11)),0)</f>
        <v>0</v>
      </c>
      <c r="AL154" s="545">
        <f ca="1">IF(AND($D154="Serviço",AL$12&lt;&gt;0,$H154&gt;0,OR(AUTOEVENTO&lt;&gt;"manual",$M154&lt;&gt;1)),
IF(Import.TipoArredondamento&lt;&gt;"TransfereGOV",
ROUND(OFFSET($P154,0,AL$13),15-13*ORÇAMENTO!$AF$7)/$H154*OFFSET(ORÇAMENTO!$X$15,ROW(AL154)-ROW(AL$15),0),
ROUND(ROUND(OFFSET($P154,0,AL$13),15-13*ORÇAMENTO!$AF$7)*OFFSET(ORÇAMENTO!$W$15,ROW(AL154)-ROW(AL$15),0),15-13*ORÇAMENTO!$AF$11)),0)</f>
        <v>0</v>
      </c>
      <c r="AM154" s="545">
        <f ca="1">IF(AND($D154="Serviço",AM$12&lt;&gt;0,$H154&gt;0,OR(AUTOEVENTO&lt;&gt;"manual",$M154&lt;&gt;1)),
IF(Import.TipoArredondamento&lt;&gt;"TransfereGOV",
ROUND(OFFSET($P154,0,AM$13),15-13*ORÇAMENTO!$AF$7)/$H154*OFFSET(ORÇAMENTO!$X$15,ROW(AM154)-ROW(AM$15),0),
ROUND(ROUND(OFFSET($P154,0,AM$13),15-13*ORÇAMENTO!$AF$7)*OFFSET(ORÇAMENTO!$W$15,ROW(AM154)-ROW(AM$15),0),15-13*ORÇAMENTO!$AF$11)),0)</f>
        <v>0</v>
      </c>
      <c r="AN154" s="545">
        <f ca="1">IF(AND($D154="Serviço",AN$12&lt;&gt;0,$H154&gt;0,OR(AUTOEVENTO&lt;&gt;"manual",$M154&lt;&gt;1)),
IF(Import.TipoArredondamento&lt;&gt;"TransfereGOV",
ROUND(OFFSET($P154,0,AN$13),15-13*ORÇAMENTO!$AF$7)/$H154*OFFSET(ORÇAMENTO!$X$15,ROW(AN154)-ROW(AN$15),0),
ROUND(ROUND(OFFSET($P154,0,AN$13),15-13*ORÇAMENTO!$AF$7)*OFFSET(ORÇAMENTO!$W$15,ROW(AN154)-ROW(AN$15),0),15-13*ORÇAMENTO!$AF$11)),0)</f>
        <v>0</v>
      </c>
      <c r="AO154" s="545">
        <f ca="1">IF(AND($D154="Serviço",AO$12&lt;&gt;0,$H154&gt;0,OR(AUTOEVENTO&lt;&gt;"manual",$M154&lt;&gt;1)),
IF(Import.TipoArredondamento&lt;&gt;"TransfereGOV",
ROUND(OFFSET($P154,0,AO$13),15-13*ORÇAMENTO!$AF$7)/$H154*OFFSET(ORÇAMENTO!$X$15,ROW(AO154)-ROW(AO$15),0),
ROUND(ROUND(OFFSET($P154,0,AO$13),15-13*ORÇAMENTO!$AF$7)*OFFSET(ORÇAMENTO!$W$15,ROW(AO154)-ROW(AO$15),0),15-13*ORÇAMENTO!$AF$11)),0)</f>
        <v>0</v>
      </c>
      <c r="AP154" s="545">
        <f ca="1">IF(AND($D154="Serviço",AP$12&lt;&gt;0,$H154&gt;0,OR(AUTOEVENTO&lt;&gt;"manual",$M154&lt;&gt;1)),
IF(Import.TipoArredondamento&lt;&gt;"TransfereGOV",
ROUND(OFFSET($P154,0,AP$13),15-13*ORÇAMENTO!$AF$7)/$H154*OFFSET(ORÇAMENTO!$X$15,ROW(AP154)-ROW(AP$15),0),
ROUND(ROUND(OFFSET($P154,0,AP$13),15-13*ORÇAMENTO!$AF$7)*OFFSET(ORÇAMENTO!$W$15,ROW(AP154)-ROW(AP$15),0),15-13*ORÇAMENTO!$AF$11)),0)</f>
        <v>0</v>
      </c>
      <c r="AQ154" s="545">
        <f ca="1">IF(AND($D154="Serviço",AQ$12&lt;&gt;0,$H154&gt;0,OR(AUTOEVENTO&lt;&gt;"manual",$M154&lt;&gt;1)),
IF(Import.TipoArredondamento&lt;&gt;"TransfereGOV",
ROUND(OFFSET($P154,0,AQ$13),15-13*ORÇAMENTO!$AF$7)/$H154*OFFSET(ORÇAMENTO!$X$15,ROW(AQ154)-ROW(AQ$15),0),
ROUND(ROUND(OFFSET($P154,0,AQ$13),15-13*ORÇAMENTO!$AF$7)*OFFSET(ORÇAMENTO!$W$15,ROW(AQ154)-ROW(AQ$15),0),15-13*ORÇAMENTO!$AF$11)),0)</f>
        <v>0</v>
      </c>
      <c r="AR154" s="545">
        <f ca="1">IF(AND($D154="Serviço",AR$12&lt;&gt;0,$H154&gt;0,OR(AUTOEVENTO&lt;&gt;"manual",$M154&lt;&gt;1)),
IF(Import.TipoArredondamento&lt;&gt;"TransfereGOV",
ROUND(OFFSET($P154,0,AR$13),15-13*ORÇAMENTO!$AF$7)/$H154*OFFSET(ORÇAMENTO!$X$15,ROW(AR154)-ROW(AR$15),0),
ROUND(ROUND(OFFSET($P154,0,AR$13),15-13*ORÇAMENTO!$AF$7)*OFFSET(ORÇAMENTO!$W$15,ROW(AR154)-ROW(AR$15),0),15-13*ORÇAMENTO!$AF$11)),0)</f>
        <v>0</v>
      </c>
      <c r="AS154" s="546">
        <f ca="1">IF(AND($D154="Serviço",AS$12&lt;&gt;0,$H154&gt;0,OR(AUTOEVENTO&lt;&gt;"manual",$M154&lt;&gt;1)),
IF(Import.TipoArredondamento&lt;&gt;"TransfereGOV",
ROUND(OFFSET($P154,0,AS$13),15-13*ORÇAMENTO!$AF$7)/$H154*OFFSET(ORÇAMENTO!$X$15,ROW(AS154)-ROW(AS$15),0),
ROUND(ROUND(OFFSET($P154,0,AS$13),15-13*ORÇAMENTO!$AF$7)*OFFSET(ORÇAMENTO!$W$15,ROW(AS154)-ROW(AS$15),0),15-13*ORÇAMENTO!$AF$11)),0)</f>
        <v>0</v>
      </c>
      <c r="AT154" s="545">
        <f ca="1">IF(AND($D154="Serviço",AT$12&lt;&gt;0,$H154&gt;0,OR(AUTOEVENTO&lt;&gt;"manual",$M154&lt;&gt;1)),
IF(Import.TipoArredondamento&lt;&gt;"TransfereGOV",
ROUND(OFFSET($P154,0,AT$13),15-13*ORÇAMENTO!$AF$7)/$H154*OFFSET(ORÇAMENTO!$X$15,ROW(AT154)-ROW(AT$15),0),
ROUND(ROUND(OFFSET($P154,0,AT$13),15-13*ORÇAMENTO!$AF$7)*OFFSET(ORÇAMENTO!$W$15,ROW(AT154)-ROW(AT$15),0),15-13*ORÇAMENTO!$AF$11)),0)</f>
        <v>0</v>
      </c>
      <c r="AU154" s="545">
        <f ca="1">IF(AND($D154="Serviço",AU$12&lt;&gt;0,$H154&gt;0,OR(AUTOEVENTO&lt;&gt;"manual",$M154&lt;&gt;1)),
IF(Import.TipoArredondamento&lt;&gt;"TransfereGOV",
ROUND(OFFSET($P154,0,AU$13),15-13*ORÇAMENTO!$AF$7)/$H154*OFFSET(ORÇAMENTO!$X$15,ROW(AU154)-ROW(AU$15),0),
ROUND(ROUND(OFFSET($P154,0,AU$13),15-13*ORÇAMENTO!$AF$7)*OFFSET(ORÇAMENTO!$W$15,ROW(AU154)-ROW(AU$15),0),15-13*ORÇAMENTO!$AF$11)),0)</f>
        <v>0</v>
      </c>
      <c r="AV154" s="545">
        <f ca="1">IF(AND($D154="Serviço",AV$12&lt;&gt;0,$H154&gt;0,OR(AUTOEVENTO&lt;&gt;"manual",$M154&lt;&gt;1)),
IF(Import.TipoArredondamento&lt;&gt;"TransfereGOV",
ROUND(OFFSET($P154,0,AV$13),15-13*ORÇAMENTO!$AF$7)/$H154*OFFSET(ORÇAMENTO!$X$15,ROW(AV154)-ROW(AV$15),0),
ROUND(ROUND(OFFSET($P154,0,AV$13),15-13*ORÇAMENTO!$AF$7)*OFFSET(ORÇAMENTO!$W$15,ROW(AV154)-ROW(AV$15),0),15-13*ORÇAMENTO!$AF$11)),0)</f>
        <v>0</v>
      </c>
      <c r="AW154" s="545">
        <f ca="1">IF(AND($D154="Serviço",AW$12&lt;&gt;0,$H154&gt;0,OR(AUTOEVENTO&lt;&gt;"manual",$M154&lt;&gt;1)),
IF(Import.TipoArredondamento&lt;&gt;"TransfereGOV",
ROUND(OFFSET($P154,0,AW$13),15-13*ORÇAMENTO!$AF$7)/$H154*OFFSET(ORÇAMENTO!$X$15,ROW(AW154)-ROW(AW$15),0),
ROUND(ROUND(OFFSET($P154,0,AW$13),15-13*ORÇAMENTO!$AF$7)*OFFSET(ORÇAMENTO!$W$15,ROW(AW154)-ROW(AW$15),0),15-13*ORÇAMENTO!$AF$11)),0)</f>
        <v>0</v>
      </c>
      <c r="AX154" s="545">
        <f ca="1">IF(AND($D154="Serviço",AX$12&lt;&gt;0,$H154&gt;0,OR(AUTOEVENTO&lt;&gt;"manual",$M154&lt;&gt;1)),
IF(Import.TipoArredondamento&lt;&gt;"TransfereGOV",
ROUND(OFFSET($P154,0,AX$13),15-13*ORÇAMENTO!$AF$7)/$H154*OFFSET(ORÇAMENTO!$X$15,ROW(AX154)-ROW(AX$15),0),
ROUND(ROUND(OFFSET($P154,0,AX$13),15-13*ORÇAMENTO!$AF$7)*OFFSET(ORÇAMENTO!$W$15,ROW(AX154)-ROW(AX$15),0),15-13*ORÇAMENTO!$AF$11)),0)</f>
        <v>0</v>
      </c>
      <c r="AY154" s="545">
        <f ca="1">IF(AND($D154="Serviço",AY$12&lt;&gt;0,$H154&gt;0,OR(AUTOEVENTO&lt;&gt;"manual",$M154&lt;&gt;1)),
IF(Import.TipoArredondamento&lt;&gt;"TransfereGOV",
ROUND(OFFSET($P154,0,AY$13),15-13*ORÇAMENTO!$AF$7)/$H154*OFFSET(ORÇAMENTO!$X$15,ROW(AY154)-ROW(AY$15),0),
ROUND(ROUND(OFFSET($P154,0,AY$13),15-13*ORÇAMENTO!$AF$7)*OFFSET(ORÇAMENTO!$W$15,ROW(AY154)-ROW(AY$15),0),15-13*ORÇAMENTO!$AF$11)),0)</f>
        <v>0</v>
      </c>
      <c r="AZ154" s="545">
        <f ca="1">IF(AND($D154="Serviço",AZ$12&lt;&gt;0,$H154&gt;0,OR(AUTOEVENTO&lt;&gt;"manual",$M154&lt;&gt;1)),
IF(Import.TipoArredondamento&lt;&gt;"TransfereGOV",
ROUND(OFFSET($P154,0,AZ$13),15-13*ORÇAMENTO!$AF$7)/$H154*OFFSET(ORÇAMENTO!$X$15,ROW(AZ154)-ROW(AZ$15),0),
ROUND(ROUND(OFFSET($P154,0,AZ$13),15-13*ORÇAMENTO!$AF$7)*OFFSET(ORÇAMENTO!$W$15,ROW(AZ154)-ROW(AZ$15),0),15-13*ORÇAMENTO!$AF$11)),0)</f>
        <v>0</v>
      </c>
      <c r="BA154" s="546">
        <f ca="1">IF(AND($D154="Serviço",BA$12&lt;&gt;0,$H154&gt;0,OR(AUTOEVENTO&lt;&gt;"manual",$M154&lt;&gt;1)),
IF(Import.TipoArredondamento&lt;&gt;"TransfereGOV",
ROUND(OFFSET($P154,0,BA$13),15-13*ORÇAMENTO!$AF$7)/$H154*OFFSET(ORÇAMENTO!$X$15,ROW(BA154)-ROW(BA$15),0),
ROUND(ROUND(OFFSET($P154,0,BA$13),15-13*ORÇAMENTO!$AF$7)*OFFSET(ORÇAMENTO!$W$15,ROW(BA154)-ROW(BA$15),0),15-13*ORÇAMENTO!$AF$11)),0)</f>
        <v>0</v>
      </c>
      <c r="BC154" s="181">
        <f ca="1">IF($D154&lt;&gt;"Serviço",0,IF(AND(AUTOEVENTO="Manual",$M154=1),0,IF(OFFSET(CRONOPLE!$F$14,$M154,BC$13)="",10^12,OFFSET(CRONOPLE!$F$14,$M154,BC$13))))</f>
        <v>5</v>
      </c>
      <c r="BD154" s="181">
        <f ca="1">IF($D154&lt;&gt;"Serviço",0,IF(AND(AUTOEVENTO="Manual",$M154=1),0,IF(OFFSET(CRONOPLE!$F$14,$M154,BD$13)="",10^12,OFFSET(CRONOPLE!$F$14,$M154,BD$13))))</f>
        <v>1000000000000</v>
      </c>
      <c r="BE154" s="181">
        <f ca="1">IF($D154&lt;&gt;"Serviço",0,IF(AND(AUTOEVENTO="Manual",$M154=1),0,IF(OFFSET(CRONOPLE!$F$14,$M154,BE$13)="",10^12,OFFSET(CRONOPLE!$F$14,$M154,BE$13))))</f>
        <v>1000000000000</v>
      </c>
      <c r="BF154" s="181">
        <f ca="1">IF($D154&lt;&gt;"Serviço",0,IF(AND(AUTOEVENTO="Manual",$M154=1),0,IF(OFFSET(CRONOPLE!$F$14,$M154,BF$13)="",10^12,OFFSET(CRONOPLE!$F$14,$M154,BF$13))))</f>
        <v>1000000000000</v>
      </c>
      <c r="BG154" s="181">
        <f ca="1">IF($D154&lt;&gt;"Serviço",0,IF(AND(AUTOEVENTO="Manual",$M154=1),0,IF(OFFSET(CRONOPLE!$F$14,$M154,BG$13)="",10^12,OFFSET(CRONOPLE!$F$14,$M154,BG$13))))</f>
        <v>1000000000000</v>
      </c>
      <c r="BH154" s="181">
        <f ca="1">IF($D154&lt;&gt;"Serviço",0,IF(AND(AUTOEVENTO="Manual",$M154=1),0,IF(OFFSET(CRONOPLE!$F$14,$M154,BH$13)="",10^12,OFFSET(CRONOPLE!$F$14,$M154,BH$13))))</f>
        <v>1000000000000</v>
      </c>
      <c r="BI154" s="181">
        <f ca="1">IF($D154&lt;&gt;"Serviço",0,IF(AND(AUTOEVENTO="Manual",$M154=1),0,IF(OFFSET(CRONOPLE!$F$14,$M154,BI$13)="",10^12,OFFSET(CRONOPLE!$F$14,$M154,BI$13))))</f>
        <v>1000000000000</v>
      </c>
      <c r="BJ154" s="181">
        <f ca="1">IF($D154&lt;&gt;"Serviço",0,IF(AND(AUTOEVENTO="Manual",$M154=1),0,IF(OFFSET(CRONOPLE!$F$14,$M154,BJ$13)="",10^12,OFFSET(CRONOPLE!$F$14,$M154,BJ$13))))</f>
        <v>1000000000000</v>
      </c>
      <c r="BK154" s="181">
        <f ca="1">IF($D154&lt;&gt;"Serviço",0,IF(AND(AUTOEVENTO="Manual",$M154=1),0,IF(OFFSET(CRONOPLE!$F$14,$M154,BK$13)="",10^12,OFFSET(CRONOPLE!$F$14,$M154,BK$13))))</f>
        <v>1000000000000</v>
      </c>
      <c r="BL154" s="181">
        <f ca="1">IF($D154&lt;&gt;"Serviço",0,IF(AND(AUTOEVENTO="Manual",$M154=1),0,IF(OFFSET(CRONOPLE!$F$14,$M154,BL$13)="",10^12,OFFSET(CRONOPLE!$F$14,$M154,BL$13))))</f>
        <v>1000000000000</v>
      </c>
      <c r="BM154" s="181">
        <f ca="1">IF($D154&lt;&gt;"Serviço",0,IF(AND(AUTOEVENTO="Manual",$M154=1),0,IF(OFFSET(CRONOPLE!$F$14,$M154,BM$13)="",10^12,OFFSET(CRONOPLE!$F$14,$M154,BM$13))))</f>
        <v>1000000000000</v>
      </c>
      <c r="BN154" s="181">
        <f ca="1">IF($D154&lt;&gt;"Serviço",0,IF(AND(AUTOEVENTO="Manual",$M154=1),0,IF(OFFSET(CRONOPLE!$F$14,$M154,BN$13)="",10^12,OFFSET(CRONOPLE!$F$14,$M154,BN$13))))</f>
        <v>1000000000000</v>
      </c>
      <c r="BO154" s="181">
        <f ca="1">IF($D154&lt;&gt;"Serviço",0,IF(AND(AUTOEVENTO="Manual",$M154=1),0,IF(OFFSET(CRONOPLE!$F$14,$M154,BO$13)="",10^12,OFFSET(CRONOPLE!$F$14,$M154,BO$13))))</f>
        <v>1000000000000</v>
      </c>
      <c r="BP154" s="181">
        <f ca="1">IF($D154&lt;&gt;"Serviço",0,IF(AND(AUTOEVENTO="Manual",$M154=1),0,IF(OFFSET(CRONOPLE!$F$14,$M154,BP$13)="",10^12,OFFSET(CRONOPLE!$F$14,$M154,BP$13))))</f>
        <v>1000000000000</v>
      </c>
      <c r="BQ154" s="181">
        <f ca="1">IF($D154&lt;&gt;"Serviço",0,IF(AND(AUTOEVENTO="Manual",$M154=1),0,IF(OFFSET(CRONOPLE!$F$14,$M154,BQ$13)="",10^12,OFFSET(CRONOPLE!$F$14,$M154,BQ$13))))</f>
        <v>1000000000000</v>
      </c>
      <c r="BR154" s="181">
        <f ca="1">IF($D154&lt;&gt;"Serviço",0,IF(AND(AUTOEVENTO="Manual",$M154=1),0,IF(OFFSET(CRONOPLE!$F$14,$M154,BR$13)="",10^12,OFFSET(CRONOPLE!$F$14,$M154,BR$13))))</f>
        <v>1000000000000</v>
      </c>
      <c r="BS154" s="181">
        <f ca="1">IF($D154&lt;&gt;"Serviço",0,IF(AND(AUTOEVENTO="Manual",$M154=1),0,IF(OFFSET(CRONOPLE!$F$14,$M154,BS$13)="",10^12,OFFSET(CRONOPLE!$F$14,$M154,BS$13))))</f>
        <v>1000000000000</v>
      </c>
      <c r="BT154" s="181">
        <f ca="1">IF($D154&lt;&gt;"Serviço",0,IF(AND(AUTOEVENTO="Manual",$M154=1),0,IF(OFFSET(CRONOPLE!$F$14,$M154,BT$13)="",10^12,OFFSET(CRONOPLE!$F$14,$M154,BT$13))))</f>
        <v>1000000000000</v>
      </c>
      <c r="BV154" s="182">
        <f ca="1">IF($D154&lt;&gt;"Serviço",0,IF(OR(AND(AUTOEVENTO="Manual",$M154=1),$M154&gt;(ROW(PLE.lastrow)-ROW(PLE.firstrow))),0,IF(OFFSET(PLE!$G$14,$M154,BV$13)="",10^12,OFFSET(PLE!$G$14,$M154,BV$13))))</f>
        <v>1000000000000</v>
      </c>
      <c r="BW154" s="182">
        <f ca="1">IF($D154&lt;&gt;"Serviço",0,IF(OR(AND(AUTOEVENTO="Manual",$M154=1),$M154&gt;(ROW(PLE.lastrow)-ROW(PLE.firstrow))),0,IF(OFFSET(PLE!$G$14,$M154,BW$13)="",10^12,OFFSET(PLE!$G$14,$M154,BW$13))))</f>
        <v>1000000000000</v>
      </c>
      <c r="BX154" s="182">
        <f ca="1">IF($D154&lt;&gt;"Serviço",0,IF(OR(AND(AUTOEVENTO="Manual",$M154=1),$M154&gt;(ROW(PLE.lastrow)-ROW(PLE.firstrow))),0,IF(OFFSET(PLE!$G$14,$M154,BX$13)="",10^12,OFFSET(PLE!$G$14,$M154,BX$13))))</f>
        <v>1000000000000</v>
      </c>
      <c r="BY154" s="182">
        <f ca="1">IF($D154&lt;&gt;"Serviço",0,IF(OR(AND(AUTOEVENTO="Manual",$M154=1),$M154&gt;(ROW(PLE.lastrow)-ROW(PLE.firstrow))),0,IF(OFFSET(PLE!$G$14,$M154,BY$13)="",10^12,OFFSET(PLE!$G$14,$M154,BY$13))))</f>
        <v>1000000000000</v>
      </c>
      <c r="BZ154" s="182">
        <f ca="1">IF($D154&lt;&gt;"Serviço",0,IF(OR(AND(AUTOEVENTO="Manual",$M154=1),$M154&gt;(ROW(PLE.lastrow)-ROW(PLE.firstrow))),0,IF(OFFSET(PLE!$G$14,$M154,BZ$13)="",10^12,OFFSET(PLE!$G$14,$M154,BZ$13))))</f>
        <v>1000000000000</v>
      </c>
      <c r="CA154" s="182">
        <f ca="1">IF($D154&lt;&gt;"Serviço",0,IF(OR(AND(AUTOEVENTO="Manual",$M154=1),$M154&gt;(ROW(PLE.lastrow)-ROW(PLE.firstrow))),0,IF(OFFSET(PLE!$G$14,$M154,CA$13)="",10^12,OFFSET(PLE!$G$14,$M154,CA$13))))</f>
        <v>1000000000000</v>
      </c>
      <c r="CB154" s="182">
        <f ca="1">IF($D154&lt;&gt;"Serviço",0,IF(OR(AND(AUTOEVENTO="Manual",$M154=1),$M154&gt;(ROW(PLE.lastrow)-ROW(PLE.firstrow))),0,IF(OFFSET(PLE!$G$14,$M154,CB$13)="",10^12,OFFSET(PLE!$G$14,$M154,CB$13))))</f>
        <v>1000000000000</v>
      </c>
      <c r="CC154" s="182">
        <f ca="1">IF($D154&lt;&gt;"Serviço",0,IF(OR(AND(AUTOEVENTO="Manual",$M154=1),$M154&gt;(ROW(PLE.lastrow)-ROW(PLE.firstrow))),0,IF(OFFSET(PLE!$G$14,$M154,CC$13)="",10^12,OFFSET(PLE!$G$14,$M154,CC$13))))</f>
        <v>1000000000000</v>
      </c>
      <c r="CD154" s="182">
        <f ca="1">IF($D154&lt;&gt;"Serviço",0,IF(OR(AND(AUTOEVENTO="Manual",$M154=1),$M154&gt;(ROW(PLE.lastrow)-ROW(PLE.firstrow))),0,IF(OFFSET(PLE!$G$14,$M154,CD$13)="",10^12,OFFSET(PLE!$G$14,$M154,CD$13))))</f>
        <v>1000000000000</v>
      </c>
      <c r="CE154" s="182">
        <f ca="1">IF($D154&lt;&gt;"Serviço",0,IF(OR(AND(AUTOEVENTO="Manual",$M154=1),$M154&gt;(ROW(PLE.lastrow)-ROW(PLE.firstrow))),0,IF(OFFSET(PLE!$G$14,$M154,CE$13)="",10^12,OFFSET(PLE!$G$14,$M154,CE$13))))</f>
        <v>1000000000000</v>
      </c>
      <c r="CF154" s="182">
        <f ca="1">IF($D154&lt;&gt;"Serviço",0,IF(OR(AND(AUTOEVENTO="Manual",$M154=1),$M154&gt;(ROW(PLE.lastrow)-ROW(PLE.firstrow))),0,IF(OFFSET(PLE!$G$14,$M154,CF$13)="",10^12,OFFSET(PLE!$G$14,$M154,CF$13))))</f>
        <v>1000000000000</v>
      </c>
      <c r="CG154" s="182">
        <f ca="1">IF($D154&lt;&gt;"Serviço",0,IF(OR(AND(AUTOEVENTO="Manual",$M154=1),$M154&gt;(ROW(PLE.lastrow)-ROW(PLE.firstrow))),0,IF(OFFSET(PLE!$G$14,$M154,CG$13)="",10^12,OFFSET(PLE!$G$14,$M154,CG$13))))</f>
        <v>1000000000000</v>
      </c>
      <c r="CH154" s="182">
        <f ca="1">IF($D154&lt;&gt;"Serviço",0,IF(OR(AND(AUTOEVENTO="Manual",$M154=1),$M154&gt;(ROW(PLE.lastrow)-ROW(PLE.firstrow))),0,IF(OFFSET(PLE!$G$14,$M154,CH$13)="",10^12,OFFSET(PLE!$G$14,$M154,CH$13))))</f>
        <v>1000000000000</v>
      </c>
      <c r="CI154" s="182">
        <f ca="1">IF($D154&lt;&gt;"Serviço",0,IF(OR(AND(AUTOEVENTO="Manual",$M154=1),$M154&gt;(ROW(PLE.lastrow)-ROW(PLE.firstrow))),0,IF(OFFSET(PLE!$G$14,$M154,CI$13)="",10^12,OFFSET(PLE!$G$14,$M154,CI$13))))</f>
        <v>1000000000000</v>
      </c>
      <c r="CJ154" s="182">
        <f ca="1">IF($D154&lt;&gt;"Serviço",0,IF(OR(AND(AUTOEVENTO="Manual",$M154=1),$M154&gt;(ROW(PLE.lastrow)-ROW(PLE.firstrow))),0,IF(OFFSET(PLE!$G$14,$M154,CJ$13)="",10^12,OFFSET(PLE!$G$14,$M154,CJ$13))))</f>
        <v>1000000000000</v>
      </c>
      <c r="CK154" s="182">
        <f ca="1">IF($D154&lt;&gt;"Serviço",0,IF(OR(AND(AUTOEVENTO="Manual",$M154=1),$M154&gt;(ROW(PLE.lastrow)-ROW(PLE.firstrow))),0,IF(OFFSET(PLE!$G$14,$M154,CK$13)="",10^12,OFFSET(PLE!$G$14,$M154,CK$13))))</f>
        <v>1000000000000</v>
      </c>
      <c r="CL154" s="182">
        <f ca="1">IF($D154&lt;&gt;"Serviço",0,IF(OR(AND(AUTOEVENTO="Manual",$M154=1),$M154&gt;(ROW(PLE.lastrow)-ROW(PLE.firstrow))),0,IF(OFFSET(PLE!$G$14,$M154,CL$13)="",10^12,OFFSET(PLE!$G$14,$M154,CL$13))))</f>
        <v>1000000000000</v>
      </c>
      <c r="CM154" s="182">
        <f ca="1">IF($D154&lt;&gt;"Serviço",0,IF(OR(AND(AUTOEVENTO="Manual",$M154=1),$M154&gt;(ROW(PLE.lastrow)-ROW(PLE.firstrow))),0,IF(OFFSET(PLE!$G$14,$M154,CM$13)="",10^12,OFFSET(PLE!$G$14,$M154,CM$13))))</f>
        <v>1000000000000</v>
      </c>
    </row>
    <row r="155" spans="1:91" ht="12.75" x14ac:dyDescent="0.2">
      <c r="A155" s="7" t="str">
        <f t="shared" ca="1" si="11"/>
        <v>140.</v>
      </c>
      <c r="B155" s="7">
        <f ca="1">OFFSET(ORÇAMENTO!C$15,ROW(B155)-ROW(B$15),0)</f>
        <v>2</v>
      </c>
      <c r="C155" s="7" t="str">
        <f ca="1">OFFSET(ORÇAMENTO!L$15,ROW(C155)-ROW(C$15),0)</f>
        <v>F</v>
      </c>
      <c r="D155" s="118" t="str">
        <f ca="1">OFFSET(ORÇAMENTO!N$15,ROW(D155)-ROW(D$15),0)</f>
        <v>Nível 2</v>
      </c>
      <c r="E155" s="119" t="str">
        <f ca="1">OFFSET(ORÇAMENTO!O$15,ROW(E155)-ROW(E$15),0)</f>
        <v>1.23.</v>
      </c>
      <c r="F155" s="172" t="str">
        <f ca="1">OFFSET(ORÇAMENTO!R$15,ROW(F155)-ROW(F$15),0)</f>
        <v>ESQUADRIAS - GERAL</v>
      </c>
      <c r="G155" s="173" t="str">
        <f ca="1">IF($D155&lt;&gt;"Serviço","",OFFSET(ORÇAMENTO!S$15,ROW(G155)-ROW(G$15),0))</f>
        <v/>
      </c>
      <c r="H155" s="124">
        <f ca="1">IF($D155&lt;&gt;"Serviço",0,IF(ACOMPANHAMENTO="BM",ROUND(OFFSET(ORÇAMENTO!AJ$15,ROW(H155)-ROW(H$15),0),15-13*ORÇAMENTO!$AF$7),SUMPRODUCT(($Q$12:$AI$12&lt;&gt;"")*ROUND($Q155:$AI155,15-13*ORÇAMENTO!$AF$7))))</f>
        <v>0</v>
      </c>
      <c r="I155" s="561"/>
      <c r="K155" s="174"/>
      <c r="L155" s="175" t="s">
        <v>255</v>
      </c>
      <c r="M155" s="176" t="str">
        <f ca="1">IF($D155&lt;&gt;"Serviço","",IF(AUTOEVENTO="manual",$A155,IF(ISERROR(MATCH($A155,$A$15:OFFSET($A155,-1,0),0)),MAX($M$15:OFFSET(M155,-1,0))+1,INDEX($M$15:OFFSET(M155,-1,0),MATCH($A155,$A$15:OFFSET($A155,-1,0),0)))))</f>
        <v/>
      </c>
      <c r="N155" s="177" t="str">
        <f ca="1">IF($D155&lt;&gt;"Serviço","",IF(AUTOEVENTO="Manual",IF($A155=0,"&lt;-- defina o número do agrupador",OFFSET(EVENTOS!$D$14,$A155,0)),OFFSET($F$15,$A155,0)))</f>
        <v/>
      </c>
      <c r="O155" s="178"/>
      <c r="Q155" s="178"/>
      <c r="R155" s="179"/>
      <c r="S155" s="179"/>
      <c r="T155" s="179"/>
      <c r="U155" s="179"/>
      <c r="V155" s="179"/>
      <c r="W155" s="179"/>
      <c r="X155" s="179"/>
      <c r="Y155" s="179"/>
      <c r="Z155" s="180"/>
      <c r="AA155" s="179"/>
      <c r="AB155" s="179"/>
      <c r="AC155" s="179"/>
      <c r="AD155" s="179"/>
      <c r="AE155" s="179"/>
      <c r="AF155" s="179"/>
      <c r="AG155" s="179"/>
      <c r="AH155" s="180"/>
      <c r="AJ155" s="544">
        <f ca="1">IF(AND($D155="Serviço",AJ$12&lt;&gt;0,$H155&gt;0,OR(AUTOEVENTO&lt;&gt;"manual",$M155&lt;&gt;1)),
IF(Import.TipoArredondamento&lt;&gt;"TransfereGOV",
ROUND(OFFSET($P155,0,AJ$13),15-13*ORÇAMENTO!$AF$7)/$H155*OFFSET(ORÇAMENTO!$X$15,ROW(AJ155)-ROW(AJ$15),0),
ROUND(ROUND(OFFSET($P155,0,AJ$13),15-13*ORÇAMENTO!$AF$7)*OFFSET(ORÇAMENTO!$W$15,ROW(AJ155)-ROW(AJ$15),0),15-13*ORÇAMENTO!$AF$11)),0)</f>
        <v>0</v>
      </c>
      <c r="AK155" s="545">
        <f ca="1">IF(AND($D155="Serviço",AK$12&lt;&gt;0,$H155&gt;0,OR(AUTOEVENTO&lt;&gt;"manual",$M155&lt;&gt;1)),
IF(Import.TipoArredondamento&lt;&gt;"TransfereGOV",
ROUND(OFFSET($P155,0,AK$13),15-13*ORÇAMENTO!$AF$7)/$H155*OFFSET(ORÇAMENTO!$X$15,ROW(AK155)-ROW(AK$15),0),
ROUND(ROUND(OFFSET($P155,0,AK$13),15-13*ORÇAMENTO!$AF$7)*OFFSET(ORÇAMENTO!$W$15,ROW(AK155)-ROW(AK$15),0),15-13*ORÇAMENTO!$AF$11)),0)</f>
        <v>0</v>
      </c>
      <c r="AL155" s="545">
        <f ca="1">IF(AND($D155="Serviço",AL$12&lt;&gt;0,$H155&gt;0,OR(AUTOEVENTO&lt;&gt;"manual",$M155&lt;&gt;1)),
IF(Import.TipoArredondamento&lt;&gt;"TransfereGOV",
ROUND(OFFSET($P155,0,AL$13),15-13*ORÇAMENTO!$AF$7)/$H155*OFFSET(ORÇAMENTO!$X$15,ROW(AL155)-ROW(AL$15),0),
ROUND(ROUND(OFFSET($P155,0,AL$13),15-13*ORÇAMENTO!$AF$7)*OFFSET(ORÇAMENTO!$W$15,ROW(AL155)-ROW(AL$15),0),15-13*ORÇAMENTO!$AF$11)),0)</f>
        <v>0</v>
      </c>
      <c r="AM155" s="545">
        <f ca="1">IF(AND($D155="Serviço",AM$12&lt;&gt;0,$H155&gt;0,OR(AUTOEVENTO&lt;&gt;"manual",$M155&lt;&gt;1)),
IF(Import.TipoArredondamento&lt;&gt;"TransfereGOV",
ROUND(OFFSET($P155,0,AM$13),15-13*ORÇAMENTO!$AF$7)/$H155*OFFSET(ORÇAMENTO!$X$15,ROW(AM155)-ROW(AM$15),0),
ROUND(ROUND(OFFSET($P155,0,AM$13),15-13*ORÇAMENTO!$AF$7)*OFFSET(ORÇAMENTO!$W$15,ROW(AM155)-ROW(AM$15),0),15-13*ORÇAMENTO!$AF$11)),0)</f>
        <v>0</v>
      </c>
      <c r="AN155" s="545">
        <f ca="1">IF(AND($D155="Serviço",AN$12&lt;&gt;0,$H155&gt;0,OR(AUTOEVENTO&lt;&gt;"manual",$M155&lt;&gt;1)),
IF(Import.TipoArredondamento&lt;&gt;"TransfereGOV",
ROUND(OFFSET($P155,0,AN$13),15-13*ORÇAMENTO!$AF$7)/$H155*OFFSET(ORÇAMENTO!$X$15,ROW(AN155)-ROW(AN$15),0),
ROUND(ROUND(OFFSET($P155,0,AN$13),15-13*ORÇAMENTO!$AF$7)*OFFSET(ORÇAMENTO!$W$15,ROW(AN155)-ROW(AN$15),0),15-13*ORÇAMENTO!$AF$11)),0)</f>
        <v>0</v>
      </c>
      <c r="AO155" s="545">
        <f ca="1">IF(AND($D155="Serviço",AO$12&lt;&gt;0,$H155&gt;0,OR(AUTOEVENTO&lt;&gt;"manual",$M155&lt;&gt;1)),
IF(Import.TipoArredondamento&lt;&gt;"TransfereGOV",
ROUND(OFFSET($P155,0,AO$13),15-13*ORÇAMENTO!$AF$7)/$H155*OFFSET(ORÇAMENTO!$X$15,ROW(AO155)-ROW(AO$15),0),
ROUND(ROUND(OFFSET($P155,0,AO$13),15-13*ORÇAMENTO!$AF$7)*OFFSET(ORÇAMENTO!$W$15,ROW(AO155)-ROW(AO$15),0),15-13*ORÇAMENTO!$AF$11)),0)</f>
        <v>0</v>
      </c>
      <c r="AP155" s="545">
        <f ca="1">IF(AND($D155="Serviço",AP$12&lt;&gt;0,$H155&gt;0,OR(AUTOEVENTO&lt;&gt;"manual",$M155&lt;&gt;1)),
IF(Import.TipoArredondamento&lt;&gt;"TransfereGOV",
ROUND(OFFSET($P155,0,AP$13),15-13*ORÇAMENTO!$AF$7)/$H155*OFFSET(ORÇAMENTO!$X$15,ROW(AP155)-ROW(AP$15),0),
ROUND(ROUND(OFFSET($P155,0,AP$13),15-13*ORÇAMENTO!$AF$7)*OFFSET(ORÇAMENTO!$W$15,ROW(AP155)-ROW(AP$15),0),15-13*ORÇAMENTO!$AF$11)),0)</f>
        <v>0</v>
      </c>
      <c r="AQ155" s="545">
        <f ca="1">IF(AND($D155="Serviço",AQ$12&lt;&gt;0,$H155&gt;0,OR(AUTOEVENTO&lt;&gt;"manual",$M155&lt;&gt;1)),
IF(Import.TipoArredondamento&lt;&gt;"TransfereGOV",
ROUND(OFFSET($P155,0,AQ$13),15-13*ORÇAMENTO!$AF$7)/$H155*OFFSET(ORÇAMENTO!$X$15,ROW(AQ155)-ROW(AQ$15),0),
ROUND(ROUND(OFFSET($P155,0,AQ$13),15-13*ORÇAMENTO!$AF$7)*OFFSET(ORÇAMENTO!$W$15,ROW(AQ155)-ROW(AQ$15),0),15-13*ORÇAMENTO!$AF$11)),0)</f>
        <v>0</v>
      </c>
      <c r="AR155" s="545">
        <f ca="1">IF(AND($D155="Serviço",AR$12&lt;&gt;0,$H155&gt;0,OR(AUTOEVENTO&lt;&gt;"manual",$M155&lt;&gt;1)),
IF(Import.TipoArredondamento&lt;&gt;"TransfereGOV",
ROUND(OFFSET($P155,0,AR$13),15-13*ORÇAMENTO!$AF$7)/$H155*OFFSET(ORÇAMENTO!$X$15,ROW(AR155)-ROW(AR$15),0),
ROUND(ROUND(OFFSET($P155,0,AR$13),15-13*ORÇAMENTO!$AF$7)*OFFSET(ORÇAMENTO!$W$15,ROW(AR155)-ROW(AR$15),0),15-13*ORÇAMENTO!$AF$11)),0)</f>
        <v>0</v>
      </c>
      <c r="AS155" s="546">
        <f ca="1">IF(AND($D155="Serviço",AS$12&lt;&gt;0,$H155&gt;0,OR(AUTOEVENTO&lt;&gt;"manual",$M155&lt;&gt;1)),
IF(Import.TipoArredondamento&lt;&gt;"TransfereGOV",
ROUND(OFFSET($P155,0,AS$13),15-13*ORÇAMENTO!$AF$7)/$H155*OFFSET(ORÇAMENTO!$X$15,ROW(AS155)-ROW(AS$15),0),
ROUND(ROUND(OFFSET($P155,0,AS$13),15-13*ORÇAMENTO!$AF$7)*OFFSET(ORÇAMENTO!$W$15,ROW(AS155)-ROW(AS$15),0),15-13*ORÇAMENTO!$AF$11)),0)</f>
        <v>0</v>
      </c>
      <c r="AT155" s="545">
        <f ca="1">IF(AND($D155="Serviço",AT$12&lt;&gt;0,$H155&gt;0,OR(AUTOEVENTO&lt;&gt;"manual",$M155&lt;&gt;1)),
IF(Import.TipoArredondamento&lt;&gt;"TransfereGOV",
ROUND(OFFSET($P155,0,AT$13),15-13*ORÇAMENTO!$AF$7)/$H155*OFFSET(ORÇAMENTO!$X$15,ROW(AT155)-ROW(AT$15),0),
ROUND(ROUND(OFFSET($P155,0,AT$13),15-13*ORÇAMENTO!$AF$7)*OFFSET(ORÇAMENTO!$W$15,ROW(AT155)-ROW(AT$15),0),15-13*ORÇAMENTO!$AF$11)),0)</f>
        <v>0</v>
      </c>
      <c r="AU155" s="545">
        <f ca="1">IF(AND($D155="Serviço",AU$12&lt;&gt;0,$H155&gt;0,OR(AUTOEVENTO&lt;&gt;"manual",$M155&lt;&gt;1)),
IF(Import.TipoArredondamento&lt;&gt;"TransfereGOV",
ROUND(OFFSET($P155,0,AU$13),15-13*ORÇAMENTO!$AF$7)/$H155*OFFSET(ORÇAMENTO!$X$15,ROW(AU155)-ROW(AU$15),0),
ROUND(ROUND(OFFSET($P155,0,AU$13),15-13*ORÇAMENTO!$AF$7)*OFFSET(ORÇAMENTO!$W$15,ROW(AU155)-ROW(AU$15),0),15-13*ORÇAMENTO!$AF$11)),0)</f>
        <v>0</v>
      </c>
      <c r="AV155" s="545">
        <f ca="1">IF(AND($D155="Serviço",AV$12&lt;&gt;0,$H155&gt;0,OR(AUTOEVENTO&lt;&gt;"manual",$M155&lt;&gt;1)),
IF(Import.TipoArredondamento&lt;&gt;"TransfereGOV",
ROUND(OFFSET($P155,0,AV$13),15-13*ORÇAMENTO!$AF$7)/$H155*OFFSET(ORÇAMENTO!$X$15,ROW(AV155)-ROW(AV$15),0),
ROUND(ROUND(OFFSET($P155,0,AV$13),15-13*ORÇAMENTO!$AF$7)*OFFSET(ORÇAMENTO!$W$15,ROW(AV155)-ROW(AV$15),0),15-13*ORÇAMENTO!$AF$11)),0)</f>
        <v>0</v>
      </c>
      <c r="AW155" s="545">
        <f ca="1">IF(AND($D155="Serviço",AW$12&lt;&gt;0,$H155&gt;0,OR(AUTOEVENTO&lt;&gt;"manual",$M155&lt;&gt;1)),
IF(Import.TipoArredondamento&lt;&gt;"TransfereGOV",
ROUND(OFFSET($P155,0,AW$13),15-13*ORÇAMENTO!$AF$7)/$H155*OFFSET(ORÇAMENTO!$X$15,ROW(AW155)-ROW(AW$15),0),
ROUND(ROUND(OFFSET($P155,0,AW$13),15-13*ORÇAMENTO!$AF$7)*OFFSET(ORÇAMENTO!$W$15,ROW(AW155)-ROW(AW$15),0),15-13*ORÇAMENTO!$AF$11)),0)</f>
        <v>0</v>
      </c>
      <c r="AX155" s="545">
        <f ca="1">IF(AND($D155="Serviço",AX$12&lt;&gt;0,$H155&gt;0,OR(AUTOEVENTO&lt;&gt;"manual",$M155&lt;&gt;1)),
IF(Import.TipoArredondamento&lt;&gt;"TransfereGOV",
ROUND(OFFSET($P155,0,AX$13),15-13*ORÇAMENTO!$AF$7)/$H155*OFFSET(ORÇAMENTO!$X$15,ROW(AX155)-ROW(AX$15),0),
ROUND(ROUND(OFFSET($P155,0,AX$13),15-13*ORÇAMENTO!$AF$7)*OFFSET(ORÇAMENTO!$W$15,ROW(AX155)-ROW(AX$15),0),15-13*ORÇAMENTO!$AF$11)),0)</f>
        <v>0</v>
      </c>
      <c r="AY155" s="545">
        <f ca="1">IF(AND($D155="Serviço",AY$12&lt;&gt;0,$H155&gt;0,OR(AUTOEVENTO&lt;&gt;"manual",$M155&lt;&gt;1)),
IF(Import.TipoArredondamento&lt;&gt;"TransfereGOV",
ROUND(OFFSET($P155,0,AY$13),15-13*ORÇAMENTO!$AF$7)/$H155*OFFSET(ORÇAMENTO!$X$15,ROW(AY155)-ROW(AY$15),0),
ROUND(ROUND(OFFSET($P155,0,AY$13),15-13*ORÇAMENTO!$AF$7)*OFFSET(ORÇAMENTO!$W$15,ROW(AY155)-ROW(AY$15),0),15-13*ORÇAMENTO!$AF$11)),0)</f>
        <v>0</v>
      </c>
      <c r="AZ155" s="545">
        <f ca="1">IF(AND($D155="Serviço",AZ$12&lt;&gt;0,$H155&gt;0,OR(AUTOEVENTO&lt;&gt;"manual",$M155&lt;&gt;1)),
IF(Import.TipoArredondamento&lt;&gt;"TransfereGOV",
ROUND(OFFSET($P155,0,AZ$13),15-13*ORÇAMENTO!$AF$7)/$H155*OFFSET(ORÇAMENTO!$X$15,ROW(AZ155)-ROW(AZ$15),0),
ROUND(ROUND(OFFSET($P155,0,AZ$13),15-13*ORÇAMENTO!$AF$7)*OFFSET(ORÇAMENTO!$W$15,ROW(AZ155)-ROW(AZ$15),0),15-13*ORÇAMENTO!$AF$11)),0)</f>
        <v>0</v>
      </c>
      <c r="BA155" s="546">
        <f ca="1">IF(AND($D155="Serviço",BA$12&lt;&gt;0,$H155&gt;0,OR(AUTOEVENTO&lt;&gt;"manual",$M155&lt;&gt;1)),
IF(Import.TipoArredondamento&lt;&gt;"TransfereGOV",
ROUND(OFFSET($P155,0,BA$13),15-13*ORÇAMENTO!$AF$7)/$H155*OFFSET(ORÇAMENTO!$X$15,ROW(BA155)-ROW(BA$15),0),
ROUND(ROUND(OFFSET($P155,0,BA$13),15-13*ORÇAMENTO!$AF$7)*OFFSET(ORÇAMENTO!$W$15,ROW(BA155)-ROW(BA$15),0),15-13*ORÇAMENTO!$AF$11)),0)</f>
        <v>0</v>
      </c>
      <c r="BC155" s="181">
        <f ca="1">IF($D155&lt;&gt;"Serviço",0,IF(AND(AUTOEVENTO="Manual",$M155=1),0,IF(OFFSET(CRONOPLE!$F$14,$M155,BC$13)="",10^12,OFFSET(CRONOPLE!$F$14,$M155,BC$13))))</f>
        <v>0</v>
      </c>
      <c r="BD155" s="181">
        <f ca="1">IF($D155&lt;&gt;"Serviço",0,IF(AND(AUTOEVENTO="Manual",$M155=1),0,IF(OFFSET(CRONOPLE!$F$14,$M155,BD$13)="",10^12,OFFSET(CRONOPLE!$F$14,$M155,BD$13))))</f>
        <v>0</v>
      </c>
      <c r="BE155" s="181">
        <f ca="1">IF($D155&lt;&gt;"Serviço",0,IF(AND(AUTOEVENTO="Manual",$M155=1),0,IF(OFFSET(CRONOPLE!$F$14,$M155,BE$13)="",10^12,OFFSET(CRONOPLE!$F$14,$M155,BE$13))))</f>
        <v>0</v>
      </c>
      <c r="BF155" s="181">
        <f ca="1">IF($D155&lt;&gt;"Serviço",0,IF(AND(AUTOEVENTO="Manual",$M155=1),0,IF(OFFSET(CRONOPLE!$F$14,$M155,BF$13)="",10^12,OFFSET(CRONOPLE!$F$14,$M155,BF$13))))</f>
        <v>0</v>
      </c>
      <c r="BG155" s="181">
        <f ca="1">IF($D155&lt;&gt;"Serviço",0,IF(AND(AUTOEVENTO="Manual",$M155=1),0,IF(OFFSET(CRONOPLE!$F$14,$M155,BG$13)="",10^12,OFFSET(CRONOPLE!$F$14,$M155,BG$13))))</f>
        <v>0</v>
      </c>
      <c r="BH155" s="181">
        <f ca="1">IF($D155&lt;&gt;"Serviço",0,IF(AND(AUTOEVENTO="Manual",$M155=1),0,IF(OFFSET(CRONOPLE!$F$14,$M155,BH$13)="",10^12,OFFSET(CRONOPLE!$F$14,$M155,BH$13))))</f>
        <v>0</v>
      </c>
      <c r="BI155" s="181">
        <f ca="1">IF($D155&lt;&gt;"Serviço",0,IF(AND(AUTOEVENTO="Manual",$M155=1),0,IF(OFFSET(CRONOPLE!$F$14,$M155,BI$13)="",10^12,OFFSET(CRONOPLE!$F$14,$M155,BI$13))))</f>
        <v>0</v>
      </c>
      <c r="BJ155" s="181">
        <f ca="1">IF($D155&lt;&gt;"Serviço",0,IF(AND(AUTOEVENTO="Manual",$M155=1),0,IF(OFFSET(CRONOPLE!$F$14,$M155,BJ$13)="",10^12,OFFSET(CRONOPLE!$F$14,$M155,BJ$13))))</f>
        <v>0</v>
      </c>
      <c r="BK155" s="181">
        <f ca="1">IF($D155&lt;&gt;"Serviço",0,IF(AND(AUTOEVENTO="Manual",$M155=1),0,IF(OFFSET(CRONOPLE!$F$14,$M155,BK$13)="",10^12,OFFSET(CRONOPLE!$F$14,$M155,BK$13))))</f>
        <v>0</v>
      </c>
      <c r="BL155" s="181">
        <f ca="1">IF($D155&lt;&gt;"Serviço",0,IF(AND(AUTOEVENTO="Manual",$M155=1),0,IF(OFFSET(CRONOPLE!$F$14,$M155,BL$13)="",10^12,OFFSET(CRONOPLE!$F$14,$M155,BL$13))))</f>
        <v>0</v>
      </c>
      <c r="BM155" s="181">
        <f ca="1">IF($D155&lt;&gt;"Serviço",0,IF(AND(AUTOEVENTO="Manual",$M155=1),0,IF(OFFSET(CRONOPLE!$F$14,$M155,BM$13)="",10^12,OFFSET(CRONOPLE!$F$14,$M155,BM$13))))</f>
        <v>0</v>
      </c>
      <c r="BN155" s="181">
        <f ca="1">IF($D155&lt;&gt;"Serviço",0,IF(AND(AUTOEVENTO="Manual",$M155=1),0,IF(OFFSET(CRONOPLE!$F$14,$M155,BN$13)="",10^12,OFFSET(CRONOPLE!$F$14,$M155,BN$13))))</f>
        <v>0</v>
      </c>
      <c r="BO155" s="181">
        <f ca="1">IF($D155&lt;&gt;"Serviço",0,IF(AND(AUTOEVENTO="Manual",$M155=1),0,IF(OFFSET(CRONOPLE!$F$14,$M155,BO$13)="",10^12,OFFSET(CRONOPLE!$F$14,$M155,BO$13))))</f>
        <v>0</v>
      </c>
      <c r="BP155" s="181">
        <f ca="1">IF($D155&lt;&gt;"Serviço",0,IF(AND(AUTOEVENTO="Manual",$M155=1),0,IF(OFFSET(CRONOPLE!$F$14,$M155,BP$13)="",10^12,OFFSET(CRONOPLE!$F$14,$M155,BP$13))))</f>
        <v>0</v>
      </c>
      <c r="BQ155" s="181">
        <f ca="1">IF($D155&lt;&gt;"Serviço",0,IF(AND(AUTOEVENTO="Manual",$M155=1),0,IF(OFFSET(CRONOPLE!$F$14,$M155,BQ$13)="",10^12,OFFSET(CRONOPLE!$F$14,$M155,BQ$13))))</f>
        <v>0</v>
      </c>
      <c r="BR155" s="181">
        <f ca="1">IF($D155&lt;&gt;"Serviço",0,IF(AND(AUTOEVENTO="Manual",$M155=1),0,IF(OFFSET(CRONOPLE!$F$14,$M155,BR$13)="",10^12,OFFSET(CRONOPLE!$F$14,$M155,BR$13))))</f>
        <v>0</v>
      </c>
      <c r="BS155" s="181">
        <f ca="1">IF($D155&lt;&gt;"Serviço",0,IF(AND(AUTOEVENTO="Manual",$M155=1),0,IF(OFFSET(CRONOPLE!$F$14,$M155,BS$13)="",10^12,OFFSET(CRONOPLE!$F$14,$M155,BS$13))))</f>
        <v>0</v>
      </c>
      <c r="BT155" s="181">
        <f ca="1">IF($D155&lt;&gt;"Serviço",0,IF(AND(AUTOEVENTO="Manual",$M155=1),0,IF(OFFSET(CRONOPLE!$F$14,$M155,BT$13)="",10^12,OFFSET(CRONOPLE!$F$14,$M155,BT$13))))</f>
        <v>0</v>
      </c>
      <c r="BV155" s="182">
        <f ca="1">IF($D155&lt;&gt;"Serviço",0,IF(OR(AND(AUTOEVENTO="Manual",$M155=1),$M155&gt;(ROW(PLE.lastrow)-ROW(PLE.firstrow))),0,IF(OFFSET(PLE!$G$14,$M155,BV$13)="",10^12,OFFSET(PLE!$G$14,$M155,BV$13))))</f>
        <v>0</v>
      </c>
      <c r="BW155" s="182">
        <f ca="1">IF($D155&lt;&gt;"Serviço",0,IF(OR(AND(AUTOEVENTO="Manual",$M155=1),$M155&gt;(ROW(PLE.lastrow)-ROW(PLE.firstrow))),0,IF(OFFSET(PLE!$G$14,$M155,BW$13)="",10^12,OFFSET(PLE!$G$14,$M155,BW$13))))</f>
        <v>0</v>
      </c>
      <c r="BX155" s="182">
        <f ca="1">IF($D155&lt;&gt;"Serviço",0,IF(OR(AND(AUTOEVENTO="Manual",$M155=1),$M155&gt;(ROW(PLE.lastrow)-ROW(PLE.firstrow))),0,IF(OFFSET(PLE!$G$14,$M155,BX$13)="",10^12,OFFSET(PLE!$G$14,$M155,BX$13))))</f>
        <v>0</v>
      </c>
      <c r="BY155" s="182">
        <f ca="1">IF($D155&lt;&gt;"Serviço",0,IF(OR(AND(AUTOEVENTO="Manual",$M155=1),$M155&gt;(ROW(PLE.lastrow)-ROW(PLE.firstrow))),0,IF(OFFSET(PLE!$G$14,$M155,BY$13)="",10^12,OFFSET(PLE!$G$14,$M155,BY$13))))</f>
        <v>0</v>
      </c>
      <c r="BZ155" s="182">
        <f ca="1">IF($D155&lt;&gt;"Serviço",0,IF(OR(AND(AUTOEVENTO="Manual",$M155=1),$M155&gt;(ROW(PLE.lastrow)-ROW(PLE.firstrow))),0,IF(OFFSET(PLE!$G$14,$M155,BZ$13)="",10^12,OFFSET(PLE!$G$14,$M155,BZ$13))))</f>
        <v>0</v>
      </c>
      <c r="CA155" s="182">
        <f ca="1">IF($D155&lt;&gt;"Serviço",0,IF(OR(AND(AUTOEVENTO="Manual",$M155=1),$M155&gt;(ROW(PLE.lastrow)-ROW(PLE.firstrow))),0,IF(OFFSET(PLE!$G$14,$M155,CA$13)="",10^12,OFFSET(PLE!$G$14,$M155,CA$13))))</f>
        <v>0</v>
      </c>
      <c r="CB155" s="182">
        <f ca="1">IF($D155&lt;&gt;"Serviço",0,IF(OR(AND(AUTOEVENTO="Manual",$M155=1),$M155&gt;(ROW(PLE.lastrow)-ROW(PLE.firstrow))),0,IF(OFFSET(PLE!$G$14,$M155,CB$13)="",10^12,OFFSET(PLE!$G$14,$M155,CB$13))))</f>
        <v>0</v>
      </c>
      <c r="CC155" s="182">
        <f ca="1">IF($D155&lt;&gt;"Serviço",0,IF(OR(AND(AUTOEVENTO="Manual",$M155=1),$M155&gt;(ROW(PLE.lastrow)-ROW(PLE.firstrow))),0,IF(OFFSET(PLE!$G$14,$M155,CC$13)="",10^12,OFFSET(PLE!$G$14,$M155,CC$13))))</f>
        <v>0</v>
      </c>
      <c r="CD155" s="182">
        <f ca="1">IF($D155&lt;&gt;"Serviço",0,IF(OR(AND(AUTOEVENTO="Manual",$M155=1),$M155&gt;(ROW(PLE.lastrow)-ROW(PLE.firstrow))),0,IF(OFFSET(PLE!$G$14,$M155,CD$13)="",10^12,OFFSET(PLE!$G$14,$M155,CD$13))))</f>
        <v>0</v>
      </c>
      <c r="CE155" s="182">
        <f ca="1">IF($D155&lt;&gt;"Serviço",0,IF(OR(AND(AUTOEVENTO="Manual",$M155=1),$M155&gt;(ROW(PLE.lastrow)-ROW(PLE.firstrow))),0,IF(OFFSET(PLE!$G$14,$M155,CE$13)="",10^12,OFFSET(PLE!$G$14,$M155,CE$13))))</f>
        <v>0</v>
      </c>
      <c r="CF155" s="182">
        <f ca="1">IF($D155&lt;&gt;"Serviço",0,IF(OR(AND(AUTOEVENTO="Manual",$M155=1),$M155&gt;(ROW(PLE.lastrow)-ROW(PLE.firstrow))),0,IF(OFFSET(PLE!$G$14,$M155,CF$13)="",10^12,OFFSET(PLE!$G$14,$M155,CF$13))))</f>
        <v>0</v>
      </c>
      <c r="CG155" s="182">
        <f ca="1">IF($D155&lt;&gt;"Serviço",0,IF(OR(AND(AUTOEVENTO="Manual",$M155=1),$M155&gt;(ROW(PLE.lastrow)-ROW(PLE.firstrow))),0,IF(OFFSET(PLE!$G$14,$M155,CG$13)="",10^12,OFFSET(PLE!$G$14,$M155,CG$13))))</f>
        <v>0</v>
      </c>
      <c r="CH155" s="182">
        <f ca="1">IF($D155&lt;&gt;"Serviço",0,IF(OR(AND(AUTOEVENTO="Manual",$M155=1),$M155&gt;(ROW(PLE.lastrow)-ROW(PLE.firstrow))),0,IF(OFFSET(PLE!$G$14,$M155,CH$13)="",10^12,OFFSET(PLE!$G$14,$M155,CH$13))))</f>
        <v>0</v>
      </c>
      <c r="CI155" s="182">
        <f ca="1">IF($D155&lt;&gt;"Serviço",0,IF(OR(AND(AUTOEVENTO="Manual",$M155=1),$M155&gt;(ROW(PLE.lastrow)-ROW(PLE.firstrow))),0,IF(OFFSET(PLE!$G$14,$M155,CI$13)="",10^12,OFFSET(PLE!$G$14,$M155,CI$13))))</f>
        <v>0</v>
      </c>
      <c r="CJ155" s="182">
        <f ca="1">IF($D155&lt;&gt;"Serviço",0,IF(OR(AND(AUTOEVENTO="Manual",$M155=1),$M155&gt;(ROW(PLE.lastrow)-ROW(PLE.firstrow))),0,IF(OFFSET(PLE!$G$14,$M155,CJ$13)="",10^12,OFFSET(PLE!$G$14,$M155,CJ$13))))</f>
        <v>0</v>
      </c>
      <c r="CK155" s="182">
        <f ca="1">IF($D155&lt;&gt;"Serviço",0,IF(OR(AND(AUTOEVENTO="Manual",$M155=1),$M155&gt;(ROW(PLE.lastrow)-ROW(PLE.firstrow))),0,IF(OFFSET(PLE!$G$14,$M155,CK$13)="",10^12,OFFSET(PLE!$G$14,$M155,CK$13))))</f>
        <v>0</v>
      </c>
      <c r="CL155" s="182">
        <f ca="1">IF($D155&lt;&gt;"Serviço",0,IF(OR(AND(AUTOEVENTO="Manual",$M155=1),$M155&gt;(ROW(PLE.lastrow)-ROW(PLE.firstrow))),0,IF(OFFSET(PLE!$G$14,$M155,CL$13)="",10^12,OFFSET(PLE!$G$14,$M155,CL$13))))</f>
        <v>0</v>
      </c>
      <c r="CM155" s="182">
        <f ca="1">IF($D155&lt;&gt;"Serviço",0,IF(OR(AND(AUTOEVENTO="Manual",$M155=1),$M155&gt;(ROW(PLE.lastrow)-ROW(PLE.firstrow))),0,IF(OFFSET(PLE!$G$14,$M155,CM$13)="",10^12,OFFSET(PLE!$G$14,$M155,CM$13))))</f>
        <v>0</v>
      </c>
    </row>
    <row r="156" spans="1:91" ht="38.25" x14ac:dyDescent="0.2">
      <c r="A156" s="7" t="str">
        <f t="shared" ca="1" si="11"/>
        <v>140</v>
      </c>
      <c r="B156" s="7" t="str">
        <f ca="1">OFFSET(ORÇAMENTO!C$15,ROW(B156)-ROW(B$15),0)</f>
        <v>S</v>
      </c>
      <c r="C156" s="7" t="str">
        <f ca="1">OFFSET(ORÇAMENTO!L$15,ROW(C156)-ROW(C$15),0)</f>
        <v/>
      </c>
      <c r="D156" s="118" t="str">
        <f ca="1">OFFSET(ORÇAMENTO!N$15,ROW(D156)-ROW(D$15),0)</f>
        <v>Serviço</v>
      </c>
      <c r="E156" s="119" t="str">
        <f ca="1">OFFSET(ORÇAMENTO!O$15,ROW(E156)-ROW(E$15),0)</f>
        <v>-</v>
      </c>
      <c r="F156" s="172" t="str">
        <f ca="1">OFFSET(ORÇAMENTO!R$15,ROW(F156)-ROW(F$15),0)</f>
        <v>(abra o arquivo 'Referência 06-2024.xlsm)</v>
      </c>
      <c r="G156" s="173" t="str">
        <f ca="1">IF($D156&lt;&gt;"Serviço","",OFFSET(ORÇAMENTO!S$15,ROW(G156)-ROW(G$15),0))</f>
        <v>-</v>
      </c>
      <c r="H156" s="124">
        <f ca="1">IF($D156&lt;&gt;"Serviço",0,IF(ACOMPANHAMENTO="BM",ROUND(OFFSET(ORÇAMENTO!AJ$15,ROW(H156)-ROW(H$15),0),15-13*ORÇAMENTO!$AF$7),SUMPRODUCT(($Q$12:$AI$12&lt;&gt;"")*ROUND($Q156:$AI156,15-13*ORÇAMENTO!$AF$7))))</f>
        <v>3.08</v>
      </c>
      <c r="I156" s="561" t="s">
        <v>1107</v>
      </c>
      <c r="K156" s="174"/>
      <c r="L156" s="175" t="s">
        <v>255</v>
      </c>
      <c r="M156" s="176">
        <f ca="1">IF($D156&lt;&gt;"Serviço","",IF(AUTOEVENTO="manual",$A156,IF(ISERROR(MATCH($A156,$A$15:OFFSET($A156,-1,0),0)),MAX($M$15:OFFSET(M156,-1,0))+1,INDEX($M$15:OFFSET(M156,-1,0),MATCH($A156,$A$15:OFFSET($A156,-1,0),0)))))</f>
        <v>24</v>
      </c>
      <c r="N156" s="177" t="str">
        <f ca="1">IF($D156&lt;&gt;"Serviço","",IF(AUTOEVENTO="Manual",IF($A156=0,"&lt;-- defina o número do agrupador",OFFSET(EVENTOS!$D$14,$A156,0)),OFFSET($F$15,$A156,0)))</f>
        <v>ESQUADRIAS - GERAL</v>
      </c>
      <c r="O156" s="178"/>
      <c r="Q156" s="178">
        <v>3.08</v>
      </c>
      <c r="R156" s="179"/>
      <c r="S156" s="179"/>
      <c r="T156" s="179"/>
      <c r="U156" s="179"/>
      <c r="V156" s="179"/>
      <c r="W156" s="179"/>
      <c r="X156" s="179"/>
      <c r="Y156" s="179"/>
      <c r="Z156" s="180"/>
      <c r="AA156" s="179"/>
      <c r="AB156" s="179"/>
      <c r="AC156" s="179"/>
      <c r="AD156" s="179"/>
      <c r="AE156" s="179"/>
      <c r="AF156" s="179"/>
      <c r="AG156" s="179"/>
      <c r="AH156" s="180"/>
      <c r="AJ156" s="544">
        <f ca="1">IF(AND($D156="Serviço",AJ$12&lt;&gt;0,$H156&gt;0,OR(AUTOEVENTO&lt;&gt;"manual",$M156&lt;&gt;1)),
IF(Import.TipoArredondamento&lt;&gt;"TransfereGOV",
ROUND(OFFSET($P156,0,AJ$13),15-13*ORÇAMENTO!$AF$7)/$H156*OFFSET(ORÇAMENTO!$X$15,ROW(AJ156)-ROW(AJ$15),0),
ROUND(ROUND(OFFSET($P156,0,AJ$13),15-13*ORÇAMENTO!$AF$7)*OFFSET(ORÇAMENTO!$W$15,ROW(AJ156)-ROW(AJ$15),0),15-13*ORÇAMENTO!$AF$11)),0)</f>
        <v>0</v>
      </c>
      <c r="AK156" s="545">
        <f ca="1">IF(AND($D156="Serviço",AK$12&lt;&gt;0,$H156&gt;0,OR(AUTOEVENTO&lt;&gt;"manual",$M156&lt;&gt;1)),
IF(Import.TipoArredondamento&lt;&gt;"TransfereGOV",
ROUND(OFFSET($P156,0,AK$13),15-13*ORÇAMENTO!$AF$7)/$H156*OFFSET(ORÇAMENTO!$X$15,ROW(AK156)-ROW(AK$15),0),
ROUND(ROUND(OFFSET($P156,0,AK$13),15-13*ORÇAMENTO!$AF$7)*OFFSET(ORÇAMENTO!$W$15,ROW(AK156)-ROW(AK$15),0),15-13*ORÇAMENTO!$AF$11)),0)</f>
        <v>0</v>
      </c>
      <c r="AL156" s="545">
        <f ca="1">IF(AND($D156="Serviço",AL$12&lt;&gt;0,$H156&gt;0,OR(AUTOEVENTO&lt;&gt;"manual",$M156&lt;&gt;1)),
IF(Import.TipoArredondamento&lt;&gt;"TransfereGOV",
ROUND(OFFSET($P156,0,AL$13),15-13*ORÇAMENTO!$AF$7)/$H156*OFFSET(ORÇAMENTO!$X$15,ROW(AL156)-ROW(AL$15),0),
ROUND(ROUND(OFFSET($P156,0,AL$13),15-13*ORÇAMENTO!$AF$7)*OFFSET(ORÇAMENTO!$W$15,ROW(AL156)-ROW(AL$15),0),15-13*ORÇAMENTO!$AF$11)),0)</f>
        <v>0</v>
      </c>
      <c r="AM156" s="545">
        <f ca="1">IF(AND($D156="Serviço",AM$12&lt;&gt;0,$H156&gt;0,OR(AUTOEVENTO&lt;&gt;"manual",$M156&lt;&gt;1)),
IF(Import.TipoArredondamento&lt;&gt;"TransfereGOV",
ROUND(OFFSET($P156,0,AM$13),15-13*ORÇAMENTO!$AF$7)/$H156*OFFSET(ORÇAMENTO!$X$15,ROW(AM156)-ROW(AM$15),0),
ROUND(ROUND(OFFSET($P156,0,AM$13),15-13*ORÇAMENTO!$AF$7)*OFFSET(ORÇAMENTO!$W$15,ROW(AM156)-ROW(AM$15),0),15-13*ORÇAMENTO!$AF$11)),0)</f>
        <v>0</v>
      </c>
      <c r="AN156" s="545">
        <f ca="1">IF(AND($D156="Serviço",AN$12&lt;&gt;0,$H156&gt;0,OR(AUTOEVENTO&lt;&gt;"manual",$M156&lt;&gt;1)),
IF(Import.TipoArredondamento&lt;&gt;"TransfereGOV",
ROUND(OFFSET($P156,0,AN$13),15-13*ORÇAMENTO!$AF$7)/$H156*OFFSET(ORÇAMENTO!$X$15,ROW(AN156)-ROW(AN$15),0),
ROUND(ROUND(OFFSET($P156,0,AN$13),15-13*ORÇAMENTO!$AF$7)*OFFSET(ORÇAMENTO!$W$15,ROW(AN156)-ROW(AN$15),0),15-13*ORÇAMENTO!$AF$11)),0)</f>
        <v>0</v>
      </c>
      <c r="AO156" s="545">
        <f ca="1">IF(AND($D156="Serviço",AO$12&lt;&gt;0,$H156&gt;0,OR(AUTOEVENTO&lt;&gt;"manual",$M156&lt;&gt;1)),
IF(Import.TipoArredondamento&lt;&gt;"TransfereGOV",
ROUND(OFFSET($P156,0,AO$13),15-13*ORÇAMENTO!$AF$7)/$H156*OFFSET(ORÇAMENTO!$X$15,ROW(AO156)-ROW(AO$15),0),
ROUND(ROUND(OFFSET($P156,0,AO$13),15-13*ORÇAMENTO!$AF$7)*OFFSET(ORÇAMENTO!$W$15,ROW(AO156)-ROW(AO$15),0),15-13*ORÇAMENTO!$AF$11)),0)</f>
        <v>0</v>
      </c>
      <c r="AP156" s="545">
        <f ca="1">IF(AND($D156="Serviço",AP$12&lt;&gt;0,$H156&gt;0,OR(AUTOEVENTO&lt;&gt;"manual",$M156&lt;&gt;1)),
IF(Import.TipoArredondamento&lt;&gt;"TransfereGOV",
ROUND(OFFSET($P156,0,AP$13),15-13*ORÇAMENTO!$AF$7)/$H156*OFFSET(ORÇAMENTO!$X$15,ROW(AP156)-ROW(AP$15),0),
ROUND(ROUND(OFFSET($P156,0,AP$13),15-13*ORÇAMENTO!$AF$7)*OFFSET(ORÇAMENTO!$W$15,ROW(AP156)-ROW(AP$15),0),15-13*ORÇAMENTO!$AF$11)),0)</f>
        <v>0</v>
      </c>
      <c r="AQ156" s="545">
        <f ca="1">IF(AND($D156="Serviço",AQ$12&lt;&gt;0,$H156&gt;0,OR(AUTOEVENTO&lt;&gt;"manual",$M156&lt;&gt;1)),
IF(Import.TipoArredondamento&lt;&gt;"TransfereGOV",
ROUND(OFFSET($P156,0,AQ$13),15-13*ORÇAMENTO!$AF$7)/$H156*OFFSET(ORÇAMENTO!$X$15,ROW(AQ156)-ROW(AQ$15),0),
ROUND(ROUND(OFFSET($P156,0,AQ$13),15-13*ORÇAMENTO!$AF$7)*OFFSET(ORÇAMENTO!$W$15,ROW(AQ156)-ROW(AQ$15),0),15-13*ORÇAMENTO!$AF$11)),0)</f>
        <v>0</v>
      </c>
      <c r="AR156" s="545">
        <f ca="1">IF(AND($D156="Serviço",AR$12&lt;&gt;0,$H156&gt;0,OR(AUTOEVENTO&lt;&gt;"manual",$M156&lt;&gt;1)),
IF(Import.TipoArredondamento&lt;&gt;"TransfereGOV",
ROUND(OFFSET($P156,0,AR$13),15-13*ORÇAMENTO!$AF$7)/$H156*OFFSET(ORÇAMENTO!$X$15,ROW(AR156)-ROW(AR$15),0),
ROUND(ROUND(OFFSET($P156,0,AR$13),15-13*ORÇAMENTO!$AF$7)*OFFSET(ORÇAMENTO!$W$15,ROW(AR156)-ROW(AR$15),0),15-13*ORÇAMENTO!$AF$11)),0)</f>
        <v>0</v>
      </c>
      <c r="AS156" s="546">
        <f ca="1">IF(AND($D156="Serviço",AS$12&lt;&gt;0,$H156&gt;0,OR(AUTOEVENTO&lt;&gt;"manual",$M156&lt;&gt;1)),
IF(Import.TipoArredondamento&lt;&gt;"TransfereGOV",
ROUND(OFFSET($P156,0,AS$13),15-13*ORÇAMENTO!$AF$7)/$H156*OFFSET(ORÇAMENTO!$X$15,ROW(AS156)-ROW(AS$15),0),
ROUND(ROUND(OFFSET($P156,0,AS$13),15-13*ORÇAMENTO!$AF$7)*OFFSET(ORÇAMENTO!$W$15,ROW(AS156)-ROW(AS$15),0),15-13*ORÇAMENTO!$AF$11)),0)</f>
        <v>0</v>
      </c>
      <c r="AT156" s="545">
        <f ca="1">IF(AND($D156="Serviço",AT$12&lt;&gt;0,$H156&gt;0,OR(AUTOEVENTO&lt;&gt;"manual",$M156&lt;&gt;1)),
IF(Import.TipoArredondamento&lt;&gt;"TransfereGOV",
ROUND(OFFSET($P156,0,AT$13),15-13*ORÇAMENTO!$AF$7)/$H156*OFFSET(ORÇAMENTO!$X$15,ROW(AT156)-ROW(AT$15),0),
ROUND(ROUND(OFFSET($P156,0,AT$13),15-13*ORÇAMENTO!$AF$7)*OFFSET(ORÇAMENTO!$W$15,ROW(AT156)-ROW(AT$15),0),15-13*ORÇAMENTO!$AF$11)),0)</f>
        <v>0</v>
      </c>
      <c r="AU156" s="545">
        <f ca="1">IF(AND($D156="Serviço",AU$12&lt;&gt;0,$H156&gt;0,OR(AUTOEVENTO&lt;&gt;"manual",$M156&lt;&gt;1)),
IF(Import.TipoArredondamento&lt;&gt;"TransfereGOV",
ROUND(OFFSET($P156,0,AU$13),15-13*ORÇAMENTO!$AF$7)/$H156*OFFSET(ORÇAMENTO!$X$15,ROW(AU156)-ROW(AU$15),0),
ROUND(ROUND(OFFSET($P156,0,AU$13),15-13*ORÇAMENTO!$AF$7)*OFFSET(ORÇAMENTO!$W$15,ROW(AU156)-ROW(AU$15),0),15-13*ORÇAMENTO!$AF$11)),0)</f>
        <v>0</v>
      </c>
      <c r="AV156" s="545">
        <f ca="1">IF(AND($D156="Serviço",AV$12&lt;&gt;0,$H156&gt;0,OR(AUTOEVENTO&lt;&gt;"manual",$M156&lt;&gt;1)),
IF(Import.TipoArredondamento&lt;&gt;"TransfereGOV",
ROUND(OFFSET($P156,0,AV$13),15-13*ORÇAMENTO!$AF$7)/$H156*OFFSET(ORÇAMENTO!$X$15,ROW(AV156)-ROW(AV$15),0),
ROUND(ROUND(OFFSET($P156,0,AV$13),15-13*ORÇAMENTO!$AF$7)*OFFSET(ORÇAMENTO!$W$15,ROW(AV156)-ROW(AV$15),0),15-13*ORÇAMENTO!$AF$11)),0)</f>
        <v>0</v>
      </c>
      <c r="AW156" s="545">
        <f ca="1">IF(AND($D156="Serviço",AW$12&lt;&gt;0,$H156&gt;0,OR(AUTOEVENTO&lt;&gt;"manual",$M156&lt;&gt;1)),
IF(Import.TipoArredondamento&lt;&gt;"TransfereGOV",
ROUND(OFFSET($P156,0,AW$13),15-13*ORÇAMENTO!$AF$7)/$H156*OFFSET(ORÇAMENTO!$X$15,ROW(AW156)-ROW(AW$15),0),
ROUND(ROUND(OFFSET($P156,0,AW$13),15-13*ORÇAMENTO!$AF$7)*OFFSET(ORÇAMENTO!$W$15,ROW(AW156)-ROW(AW$15),0),15-13*ORÇAMENTO!$AF$11)),0)</f>
        <v>0</v>
      </c>
      <c r="AX156" s="545">
        <f ca="1">IF(AND($D156="Serviço",AX$12&lt;&gt;0,$H156&gt;0,OR(AUTOEVENTO&lt;&gt;"manual",$M156&lt;&gt;1)),
IF(Import.TipoArredondamento&lt;&gt;"TransfereGOV",
ROUND(OFFSET($P156,0,AX$13),15-13*ORÇAMENTO!$AF$7)/$H156*OFFSET(ORÇAMENTO!$X$15,ROW(AX156)-ROW(AX$15),0),
ROUND(ROUND(OFFSET($P156,0,AX$13),15-13*ORÇAMENTO!$AF$7)*OFFSET(ORÇAMENTO!$W$15,ROW(AX156)-ROW(AX$15),0),15-13*ORÇAMENTO!$AF$11)),0)</f>
        <v>0</v>
      </c>
      <c r="AY156" s="545">
        <f ca="1">IF(AND($D156="Serviço",AY$12&lt;&gt;0,$H156&gt;0,OR(AUTOEVENTO&lt;&gt;"manual",$M156&lt;&gt;1)),
IF(Import.TipoArredondamento&lt;&gt;"TransfereGOV",
ROUND(OFFSET($P156,0,AY$13),15-13*ORÇAMENTO!$AF$7)/$H156*OFFSET(ORÇAMENTO!$X$15,ROW(AY156)-ROW(AY$15),0),
ROUND(ROUND(OFFSET($P156,0,AY$13),15-13*ORÇAMENTO!$AF$7)*OFFSET(ORÇAMENTO!$W$15,ROW(AY156)-ROW(AY$15),0),15-13*ORÇAMENTO!$AF$11)),0)</f>
        <v>0</v>
      </c>
      <c r="AZ156" s="545">
        <f ca="1">IF(AND($D156="Serviço",AZ$12&lt;&gt;0,$H156&gt;0,OR(AUTOEVENTO&lt;&gt;"manual",$M156&lt;&gt;1)),
IF(Import.TipoArredondamento&lt;&gt;"TransfereGOV",
ROUND(OFFSET($P156,0,AZ$13),15-13*ORÇAMENTO!$AF$7)/$H156*OFFSET(ORÇAMENTO!$X$15,ROW(AZ156)-ROW(AZ$15),0),
ROUND(ROUND(OFFSET($P156,0,AZ$13),15-13*ORÇAMENTO!$AF$7)*OFFSET(ORÇAMENTO!$W$15,ROW(AZ156)-ROW(AZ$15),0),15-13*ORÇAMENTO!$AF$11)),0)</f>
        <v>0</v>
      </c>
      <c r="BA156" s="546">
        <f ca="1">IF(AND($D156="Serviço",BA$12&lt;&gt;0,$H156&gt;0,OR(AUTOEVENTO&lt;&gt;"manual",$M156&lt;&gt;1)),
IF(Import.TipoArredondamento&lt;&gt;"TransfereGOV",
ROUND(OFFSET($P156,0,BA$13),15-13*ORÇAMENTO!$AF$7)/$H156*OFFSET(ORÇAMENTO!$X$15,ROW(BA156)-ROW(BA$15),0),
ROUND(ROUND(OFFSET($P156,0,BA$13),15-13*ORÇAMENTO!$AF$7)*OFFSET(ORÇAMENTO!$W$15,ROW(BA156)-ROW(BA$15),0),15-13*ORÇAMENTO!$AF$11)),0)</f>
        <v>0</v>
      </c>
      <c r="BC156" s="181">
        <f ca="1">IF($D156&lt;&gt;"Serviço",0,IF(AND(AUTOEVENTO="Manual",$M156=1),0,IF(OFFSET(CRONOPLE!$F$14,$M156,BC$13)="",10^12,OFFSET(CRONOPLE!$F$14,$M156,BC$13))))</f>
        <v>6</v>
      </c>
      <c r="BD156" s="181">
        <f ca="1">IF($D156&lt;&gt;"Serviço",0,IF(AND(AUTOEVENTO="Manual",$M156=1),0,IF(OFFSET(CRONOPLE!$F$14,$M156,BD$13)="",10^12,OFFSET(CRONOPLE!$F$14,$M156,BD$13))))</f>
        <v>1000000000000</v>
      </c>
      <c r="BE156" s="181">
        <f ca="1">IF($D156&lt;&gt;"Serviço",0,IF(AND(AUTOEVENTO="Manual",$M156=1),0,IF(OFFSET(CRONOPLE!$F$14,$M156,BE$13)="",10^12,OFFSET(CRONOPLE!$F$14,$M156,BE$13))))</f>
        <v>1000000000000</v>
      </c>
      <c r="BF156" s="181">
        <f ca="1">IF($D156&lt;&gt;"Serviço",0,IF(AND(AUTOEVENTO="Manual",$M156=1),0,IF(OFFSET(CRONOPLE!$F$14,$M156,BF$13)="",10^12,OFFSET(CRONOPLE!$F$14,$M156,BF$13))))</f>
        <v>1000000000000</v>
      </c>
      <c r="BG156" s="181">
        <f ca="1">IF($D156&lt;&gt;"Serviço",0,IF(AND(AUTOEVENTO="Manual",$M156=1),0,IF(OFFSET(CRONOPLE!$F$14,$M156,BG$13)="",10^12,OFFSET(CRONOPLE!$F$14,$M156,BG$13))))</f>
        <v>1000000000000</v>
      </c>
      <c r="BH156" s="181">
        <f ca="1">IF($D156&lt;&gt;"Serviço",0,IF(AND(AUTOEVENTO="Manual",$M156=1),0,IF(OFFSET(CRONOPLE!$F$14,$M156,BH$13)="",10^12,OFFSET(CRONOPLE!$F$14,$M156,BH$13))))</f>
        <v>1000000000000</v>
      </c>
      <c r="BI156" s="181">
        <f ca="1">IF($D156&lt;&gt;"Serviço",0,IF(AND(AUTOEVENTO="Manual",$M156=1),0,IF(OFFSET(CRONOPLE!$F$14,$M156,BI$13)="",10^12,OFFSET(CRONOPLE!$F$14,$M156,BI$13))))</f>
        <v>1000000000000</v>
      </c>
      <c r="BJ156" s="181">
        <f ca="1">IF($D156&lt;&gt;"Serviço",0,IF(AND(AUTOEVENTO="Manual",$M156=1),0,IF(OFFSET(CRONOPLE!$F$14,$M156,BJ$13)="",10^12,OFFSET(CRONOPLE!$F$14,$M156,BJ$13))))</f>
        <v>1000000000000</v>
      </c>
      <c r="BK156" s="181">
        <f ca="1">IF($D156&lt;&gt;"Serviço",0,IF(AND(AUTOEVENTO="Manual",$M156=1),0,IF(OFFSET(CRONOPLE!$F$14,$M156,BK$13)="",10^12,OFFSET(CRONOPLE!$F$14,$M156,BK$13))))</f>
        <v>1000000000000</v>
      </c>
      <c r="BL156" s="181">
        <f ca="1">IF($D156&lt;&gt;"Serviço",0,IF(AND(AUTOEVENTO="Manual",$M156=1),0,IF(OFFSET(CRONOPLE!$F$14,$M156,BL$13)="",10^12,OFFSET(CRONOPLE!$F$14,$M156,BL$13))))</f>
        <v>1000000000000</v>
      </c>
      <c r="BM156" s="181">
        <f ca="1">IF($D156&lt;&gt;"Serviço",0,IF(AND(AUTOEVENTO="Manual",$M156=1),0,IF(OFFSET(CRONOPLE!$F$14,$M156,BM$13)="",10^12,OFFSET(CRONOPLE!$F$14,$M156,BM$13))))</f>
        <v>1000000000000</v>
      </c>
      <c r="BN156" s="181">
        <f ca="1">IF($D156&lt;&gt;"Serviço",0,IF(AND(AUTOEVENTO="Manual",$M156=1),0,IF(OFFSET(CRONOPLE!$F$14,$M156,BN$13)="",10^12,OFFSET(CRONOPLE!$F$14,$M156,BN$13))))</f>
        <v>1000000000000</v>
      </c>
      <c r="BO156" s="181">
        <f ca="1">IF($D156&lt;&gt;"Serviço",0,IF(AND(AUTOEVENTO="Manual",$M156=1),0,IF(OFFSET(CRONOPLE!$F$14,$M156,BO$13)="",10^12,OFFSET(CRONOPLE!$F$14,$M156,BO$13))))</f>
        <v>1000000000000</v>
      </c>
      <c r="BP156" s="181">
        <f ca="1">IF($D156&lt;&gt;"Serviço",0,IF(AND(AUTOEVENTO="Manual",$M156=1),0,IF(OFFSET(CRONOPLE!$F$14,$M156,BP$13)="",10^12,OFFSET(CRONOPLE!$F$14,$M156,BP$13))))</f>
        <v>1000000000000</v>
      </c>
      <c r="BQ156" s="181">
        <f ca="1">IF($D156&lt;&gt;"Serviço",0,IF(AND(AUTOEVENTO="Manual",$M156=1),0,IF(OFFSET(CRONOPLE!$F$14,$M156,BQ$13)="",10^12,OFFSET(CRONOPLE!$F$14,$M156,BQ$13))))</f>
        <v>1000000000000</v>
      </c>
      <c r="BR156" s="181">
        <f ca="1">IF($D156&lt;&gt;"Serviço",0,IF(AND(AUTOEVENTO="Manual",$M156=1),0,IF(OFFSET(CRONOPLE!$F$14,$M156,BR$13)="",10^12,OFFSET(CRONOPLE!$F$14,$M156,BR$13))))</f>
        <v>1000000000000</v>
      </c>
      <c r="BS156" s="181">
        <f ca="1">IF($D156&lt;&gt;"Serviço",0,IF(AND(AUTOEVENTO="Manual",$M156=1),0,IF(OFFSET(CRONOPLE!$F$14,$M156,BS$13)="",10^12,OFFSET(CRONOPLE!$F$14,$M156,BS$13))))</f>
        <v>1000000000000</v>
      </c>
      <c r="BT156" s="181">
        <f ca="1">IF($D156&lt;&gt;"Serviço",0,IF(AND(AUTOEVENTO="Manual",$M156=1),0,IF(OFFSET(CRONOPLE!$F$14,$M156,BT$13)="",10^12,OFFSET(CRONOPLE!$F$14,$M156,BT$13))))</f>
        <v>1000000000000</v>
      </c>
      <c r="BV156" s="182">
        <f ca="1">IF($D156&lt;&gt;"Serviço",0,IF(OR(AND(AUTOEVENTO="Manual",$M156=1),$M156&gt;(ROW(PLE.lastrow)-ROW(PLE.firstrow))),0,IF(OFFSET(PLE!$G$14,$M156,BV$13)="",10^12,OFFSET(PLE!$G$14,$M156,BV$13))))</f>
        <v>1000000000000</v>
      </c>
      <c r="BW156" s="182">
        <f ca="1">IF($D156&lt;&gt;"Serviço",0,IF(OR(AND(AUTOEVENTO="Manual",$M156=1),$M156&gt;(ROW(PLE.lastrow)-ROW(PLE.firstrow))),0,IF(OFFSET(PLE!$G$14,$M156,BW$13)="",10^12,OFFSET(PLE!$G$14,$M156,BW$13))))</f>
        <v>1000000000000</v>
      </c>
      <c r="BX156" s="182">
        <f ca="1">IF($D156&lt;&gt;"Serviço",0,IF(OR(AND(AUTOEVENTO="Manual",$M156=1),$M156&gt;(ROW(PLE.lastrow)-ROW(PLE.firstrow))),0,IF(OFFSET(PLE!$G$14,$M156,BX$13)="",10^12,OFFSET(PLE!$G$14,$M156,BX$13))))</f>
        <v>1000000000000</v>
      </c>
      <c r="BY156" s="182">
        <f ca="1">IF($D156&lt;&gt;"Serviço",0,IF(OR(AND(AUTOEVENTO="Manual",$M156=1),$M156&gt;(ROW(PLE.lastrow)-ROW(PLE.firstrow))),0,IF(OFFSET(PLE!$G$14,$M156,BY$13)="",10^12,OFFSET(PLE!$G$14,$M156,BY$13))))</f>
        <v>1000000000000</v>
      </c>
      <c r="BZ156" s="182">
        <f ca="1">IF($D156&lt;&gt;"Serviço",0,IF(OR(AND(AUTOEVENTO="Manual",$M156=1),$M156&gt;(ROW(PLE.lastrow)-ROW(PLE.firstrow))),0,IF(OFFSET(PLE!$G$14,$M156,BZ$13)="",10^12,OFFSET(PLE!$G$14,$M156,BZ$13))))</f>
        <v>1000000000000</v>
      </c>
      <c r="CA156" s="182">
        <f ca="1">IF($D156&lt;&gt;"Serviço",0,IF(OR(AND(AUTOEVENTO="Manual",$M156=1),$M156&gt;(ROW(PLE.lastrow)-ROW(PLE.firstrow))),0,IF(OFFSET(PLE!$G$14,$M156,CA$13)="",10^12,OFFSET(PLE!$G$14,$M156,CA$13))))</f>
        <v>1000000000000</v>
      </c>
      <c r="CB156" s="182">
        <f ca="1">IF($D156&lt;&gt;"Serviço",0,IF(OR(AND(AUTOEVENTO="Manual",$M156=1),$M156&gt;(ROW(PLE.lastrow)-ROW(PLE.firstrow))),0,IF(OFFSET(PLE!$G$14,$M156,CB$13)="",10^12,OFFSET(PLE!$G$14,$M156,CB$13))))</f>
        <v>1000000000000</v>
      </c>
      <c r="CC156" s="182">
        <f ca="1">IF($D156&lt;&gt;"Serviço",0,IF(OR(AND(AUTOEVENTO="Manual",$M156=1),$M156&gt;(ROW(PLE.lastrow)-ROW(PLE.firstrow))),0,IF(OFFSET(PLE!$G$14,$M156,CC$13)="",10^12,OFFSET(PLE!$G$14,$M156,CC$13))))</f>
        <v>1000000000000</v>
      </c>
      <c r="CD156" s="182">
        <f ca="1">IF($D156&lt;&gt;"Serviço",0,IF(OR(AND(AUTOEVENTO="Manual",$M156=1),$M156&gt;(ROW(PLE.lastrow)-ROW(PLE.firstrow))),0,IF(OFFSET(PLE!$G$14,$M156,CD$13)="",10^12,OFFSET(PLE!$G$14,$M156,CD$13))))</f>
        <v>1000000000000</v>
      </c>
      <c r="CE156" s="182">
        <f ca="1">IF($D156&lt;&gt;"Serviço",0,IF(OR(AND(AUTOEVENTO="Manual",$M156=1),$M156&gt;(ROW(PLE.lastrow)-ROW(PLE.firstrow))),0,IF(OFFSET(PLE!$G$14,$M156,CE$13)="",10^12,OFFSET(PLE!$G$14,$M156,CE$13))))</f>
        <v>1000000000000</v>
      </c>
      <c r="CF156" s="182">
        <f ca="1">IF($D156&lt;&gt;"Serviço",0,IF(OR(AND(AUTOEVENTO="Manual",$M156=1),$M156&gt;(ROW(PLE.lastrow)-ROW(PLE.firstrow))),0,IF(OFFSET(PLE!$G$14,$M156,CF$13)="",10^12,OFFSET(PLE!$G$14,$M156,CF$13))))</f>
        <v>1000000000000</v>
      </c>
      <c r="CG156" s="182">
        <f ca="1">IF($D156&lt;&gt;"Serviço",0,IF(OR(AND(AUTOEVENTO="Manual",$M156=1),$M156&gt;(ROW(PLE.lastrow)-ROW(PLE.firstrow))),0,IF(OFFSET(PLE!$G$14,$M156,CG$13)="",10^12,OFFSET(PLE!$G$14,$M156,CG$13))))</f>
        <v>1000000000000</v>
      </c>
      <c r="CH156" s="182">
        <f ca="1">IF($D156&lt;&gt;"Serviço",0,IF(OR(AND(AUTOEVENTO="Manual",$M156=1),$M156&gt;(ROW(PLE.lastrow)-ROW(PLE.firstrow))),0,IF(OFFSET(PLE!$G$14,$M156,CH$13)="",10^12,OFFSET(PLE!$G$14,$M156,CH$13))))</f>
        <v>1000000000000</v>
      </c>
      <c r="CI156" s="182">
        <f ca="1">IF($D156&lt;&gt;"Serviço",0,IF(OR(AND(AUTOEVENTO="Manual",$M156=1),$M156&gt;(ROW(PLE.lastrow)-ROW(PLE.firstrow))),0,IF(OFFSET(PLE!$G$14,$M156,CI$13)="",10^12,OFFSET(PLE!$G$14,$M156,CI$13))))</f>
        <v>1000000000000</v>
      </c>
      <c r="CJ156" s="182">
        <f ca="1">IF($D156&lt;&gt;"Serviço",0,IF(OR(AND(AUTOEVENTO="Manual",$M156=1),$M156&gt;(ROW(PLE.lastrow)-ROW(PLE.firstrow))),0,IF(OFFSET(PLE!$G$14,$M156,CJ$13)="",10^12,OFFSET(PLE!$G$14,$M156,CJ$13))))</f>
        <v>1000000000000</v>
      </c>
      <c r="CK156" s="182">
        <f ca="1">IF($D156&lt;&gt;"Serviço",0,IF(OR(AND(AUTOEVENTO="Manual",$M156=1),$M156&gt;(ROW(PLE.lastrow)-ROW(PLE.firstrow))),0,IF(OFFSET(PLE!$G$14,$M156,CK$13)="",10^12,OFFSET(PLE!$G$14,$M156,CK$13))))</f>
        <v>1000000000000</v>
      </c>
      <c r="CL156" s="182">
        <f ca="1">IF($D156&lt;&gt;"Serviço",0,IF(OR(AND(AUTOEVENTO="Manual",$M156=1),$M156&gt;(ROW(PLE.lastrow)-ROW(PLE.firstrow))),0,IF(OFFSET(PLE!$G$14,$M156,CL$13)="",10^12,OFFSET(PLE!$G$14,$M156,CL$13))))</f>
        <v>1000000000000</v>
      </c>
      <c r="CM156" s="182">
        <f ca="1">IF($D156&lt;&gt;"Serviço",0,IF(OR(AND(AUTOEVENTO="Manual",$M156=1),$M156&gt;(ROW(PLE.lastrow)-ROW(PLE.firstrow))),0,IF(OFFSET(PLE!$G$14,$M156,CM$13)="",10^12,OFFSET(PLE!$G$14,$M156,CM$13))))</f>
        <v>1000000000000</v>
      </c>
    </row>
    <row r="157" spans="1:91" ht="38.25" x14ac:dyDescent="0.2">
      <c r="A157" s="7" t="str">
        <f t="shared" ca="1" si="11"/>
        <v>140</v>
      </c>
      <c r="B157" s="7" t="str">
        <f ca="1">OFFSET(ORÇAMENTO!C$15,ROW(B157)-ROW(B$15),0)</f>
        <v>S</v>
      </c>
      <c r="C157" s="7" t="str">
        <f ca="1">OFFSET(ORÇAMENTO!L$15,ROW(C157)-ROW(C$15),0)</f>
        <v/>
      </c>
      <c r="D157" s="118" t="str">
        <f ca="1">OFFSET(ORÇAMENTO!N$15,ROW(D157)-ROW(D$15),0)</f>
        <v>Serviço</v>
      </c>
      <c r="E157" s="119" t="str">
        <f ca="1">OFFSET(ORÇAMENTO!O$15,ROW(E157)-ROW(E$15),0)</f>
        <v>-</v>
      </c>
      <c r="F157" s="172" t="str">
        <f ca="1">OFFSET(ORÇAMENTO!R$15,ROW(F157)-ROW(F$15),0)</f>
        <v>(abra o arquivo 'Referência 06-2024.xlsm)</v>
      </c>
      <c r="G157" s="173" t="str">
        <f ca="1">IF($D157&lt;&gt;"Serviço","",OFFSET(ORÇAMENTO!S$15,ROW(G157)-ROW(G$15),0))</f>
        <v>-</v>
      </c>
      <c r="H157" s="124">
        <f ca="1">IF($D157&lt;&gt;"Serviço",0,IF(ACOMPANHAMENTO="BM",ROUND(OFFSET(ORÇAMENTO!AJ$15,ROW(H157)-ROW(H$15),0),15-13*ORÇAMENTO!$AF$7),SUMPRODUCT(($Q$12:$AI$12&lt;&gt;"")*ROUND($Q157:$AI157,15-13*ORÇAMENTO!$AF$7))))</f>
        <v>7.35</v>
      </c>
      <c r="I157" s="561" t="s">
        <v>1107</v>
      </c>
      <c r="K157" s="174"/>
      <c r="L157" s="175" t="s">
        <v>255</v>
      </c>
      <c r="M157" s="176">
        <f ca="1">IF($D157&lt;&gt;"Serviço","",IF(AUTOEVENTO="manual",$A157,IF(ISERROR(MATCH($A157,$A$15:OFFSET($A157,-1,0),0)),MAX($M$15:OFFSET(M157,-1,0))+1,INDEX($M$15:OFFSET(M157,-1,0),MATCH($A157,$A$15:OFFSET($A157,-1,0),0)))))</f>
        <v>24</v>
      </c>
      <c r="N157" s="177" t="str">
        <f ca="1">IF($D157&lt;&gt;"Serviço","",IF(AUTOEVENTO="Manual",IF($A157=0,"&lt;-- defina o número do agrupador",OFFSET(EVENTOS!$D$14,$A157,0)),OFFSET($F$15,$A157,0)))</f>
        <v>ESQUADRIAS - GERAL</v>
      </c>
      <c r="O157" s="178"/>
      <c r="Q157" s="178">
        <v>7.35</v>
      </c>
      <c r="R157" s="179"/>
      <c r="S157" s="179"/>
      <c r="T157" s="179"/>
      <c r="U157" s="179"/>
      <c r="V157" s="179"/>
      <c r="W157" s="179"/>
      <c r="X157" s="179"/>
      <c r="Y157" s="179"/>
      <c r="Z157" s="180"/>
      <c r="AA157" s="179"/>
      <c r="AB157" s="179"/>
      <c r="AC157" s="179"/>
      <c r="AD157" s="179"/>
      <c r="AE157" s="179"/>
      <c r="AF157" s="179"/>
      <c r="AG157" s="179"/>
      <c r="AH157" s="180"/>
      <c r="AJ157" s="544">
        <f ca="1">IF(AND($D157="Serviço",AJ$12&lt;&gt;0,$H157&gt;0,OR(AUTOEVENTO&lt;&gt;"manual",$M157&lt;&gt;1)),
IF(Import.TipoArredondamento&lt;&gt;"TransfereGOV",
ROUND(OFFSET($P157,0,AJ$13),15-13*ORÇAMENTO!$AF$7)/$H157*OFFSET(ORÇAMENTO!$X$15,ROW(AJ157)-ROW(AJ$15),0),
ROUND(ROUND(OFFSET($P157,0,AJ$13),15-13*ORÇAMENTO!$AF$7)*OFFSET(ORÇAMENTO!$W$15,ROW(AJ157)-ROW(AJ$15),0),15-13*ORÇAMENTO!$AF$11)),0)</f>
        <v>0</v>
      </c>
      <c r="AK157" s="545">
        <f ca="1">IF(AND($D157="Serviço",AK$12&lt;&gt;0,$H157&gt;0,OR(AUTOEVENTO&lt;&gt;"manual",$M157&lt;&gt;1)),
IF(Import.TipoArredondamento&lt;&gt;"TransfereGOV",
ROUND(OFFSET($P157,0,AK$13),15-13*ORÇAMENTO!$AF$7)/$H157*OFFSET(ORÇAMENTO!$X$15,ROW(AK157)-ROW(AK$15),0),
ROUND(ROUND(OFFSET($P157,0,AK$13),15-13*ORÇAMENTO!$AF$7)*OFFSET(ORÇAMENTO!$W$15,ROW(AK157)-ROW(AK$15),0),15-13*ORÇAMENTO!$AF$11)),0)</f>
        <v>0</v>
      </c>
      <c r="AL157" s="545">
        <f ca="1">IF(AND($D157="Serviço",AL$12&lt;&gt;0,$H157&gt;0,OR(AUTOEVENTO&lt;&gt;"manual",$M157&lt;&gt;1)),
IF(Import.TipoArredondamento&lt;&gt;"TransfereGOV",
ROUND(OFFSET($P157,0,AL$13),15-13*ORÇAMENTO!$AF$7)/$H157*OFFSET(ORÇAMENTO!$X$15,ROW(AL157)-ROW(AL$15),0),
ROUND(ROUND(OFFSET($P157,0,AL$13),15-13*ORÇAMENTO!$AF$7)*OFFSET(ORÇAMENTO!$W$15,ROW(AL157)-ROW(AL$15),0),15-13*ORÇAMENTO!$AF$11)),0)</f>
        <v>0</v>
      </c>
      <c r="AM157" s="545">
        <f ca="1">IF(AND($D157="Serviço",AM$12&lt;&gt;0,$H157&gt;0,OR(AUTOEVENTO&lt;&gt;"manual",$M157&lt;&gt;1)),
IF(Import.TipoArredondamento&lt;&gt;"TransfereGOV",
ROUND(OFFSET($P157,0,AM$13),15-13*ORÇAMENTO!$AF$7)/$H157*OFFSET(ORÇAMENTO!$X$15,ROW(AM157)-ROW(AM$15),0),
ROUND(ROUND(OFFSET($P157,0,AM$13),15-13*ORÇAMENTO!$AF$7)*OFFSET(ORÇAMENTO!$W$15,ROW(AM157)-ROW(AM$15),0),15-13*ORÇAMENTO!$AF$11)),0)</f>
        <v>0</v>
      </c>
      <c r="AN157" s="545">
        <f ca="1">IF(AND($D157="Serviço",AN$12&lt;&gt;0,$H157&gt;0,OR(AUTOEVENTO&lt;&gt;"manual",$M157&lt;&gt;1)),
IF(Import.TipoArredondamento&lt;&gt;"TransfereGOV",
ROUND(OFFSET($P157,0,AN$13),15-13*ORÇAMENTO!$AF$7)/$H157*OFFSET(ORÇAMENTO!$X$15,ROW(AN157)-ROW(AN$15),0),
ROUND(ROUND(OFFSET($P157,0,AN$13),15-13*ORÇAMENTO!$AF$7)*OFFSET(ORÇAMENTO!$W$15,ROW(AN157)-ROW(AN$15),0),15-13*ORÇAMENTO!$AF$11)),0)</f>
        <v>0</v>
      </c>
      <c r="AO157" s="545">
        <f ca="1">IF(AND($D157="Serviço",AO$12&lt;&gt;0,$H157&gt;0,OR(AUTOEVENTO&lt;&gt;"manual",$M157&lt;&gt;1)),
IF(Import.TipoArredondamento&lt;&gt;"TransfereGOV",
ROUND(OFFSET($P157,0,AO$13),15-13*ORÇAMENTO!$AF$7)/$H157*OFFSET(ORÇAMENTO!$X$15,ROW(AO157)-ROW(AO$15),0),
ROUND(ROUND(OFFSET($P157,0,AO$13),15-13*ORÇAMENTO!$AF$7)*OFFSET(ORÇAMENTO!$W$15,ROW(AO157)-ROW(AO$15),0),15-13*ORÇAMENTO!$AF$11)),0)</f>
        <v>0</v>
      </c>
      <c r="AP157" s="545">
        <f ca="1">IF(AND($D157="Serviço",AP$12&lt;&gt;0,$H157&gt;0,OR(AUTOEVENTO&lt;&gt;"manual",$M157&lt;&gt;1)),
IF(Import.TipoArredondamento&lt;&gt;"TransfereGOV",
ROUND(OFFSET($P157,0,AP$13),15-13*ORÇAMENTO!$AF$7)/$H157*OFFSET(ORÇAMENTO!$X$15,ROW(AP157)-ROW(AP$15),0),
ROUND(ROUND(OFFSET($P157,0,AP$13),15-13*ORÇAMENTO!$AF$7)*OFFSET(ORÇAMENTO!$W$15,ROW(AP157)-ROW(AP$15),0),15-13*ORÇAMENTO!$AF$11)),0)</f>
        <v>0</v>
      </c>
      <c r="AQ157" s="545">
        <f ca="1">IF(AND($D157="Serviço",AQ$12&lt;&gt;0,$H157&gt;0,OR(AUTOEVENTO&lt;&gt;"manual",$M157&lt;&gt;1)),
IF(Import.TipoArredondamento&lt;&gt;"TransfereGOV",
ROUND(OFFSET($P157,0,AQ$13),15-13*ORÇAMENTO!$AF$7)/$H157*OFFSET(ORÇAMENTO!$X$15,ROW(AQ157)-ROW(AQ$15),0),
ROUND(ROUND(OFFSET($P157,0,AQ$13),15-13*ORÇAMENTO!$AF$7)*OFFSET(ORÇAMENTO!$W$15,ROW(AQ157)-ROW(AQ$15),0),15-13*ORÇAMENTO!$AF$11)),0)</f>
        <v>0</v>
      </c>
      <c r="AR157" s="545">
        <f ca="1">IF(AND($D157="Serviço",AR$12&lt;&gt;0,$H157&gt;0,OR(AUTOEVENTO&lt;&gt;"manual",$M157&lt;&gt;1)),
IF(Import.TipoArredondamento&lt;&gt;"TransfereGOV",
ROUND(OFFSET($P157,0,AR$13),15-13*ORÇAMENTO!$AF$7)/$H157*OFFSET(ORÇAMENTO!$X$15,ROW(AR157)-ROW(AR$15),0),
ROUND(ROUND(OFFSET($P157,0,AR$13),15-13*ORÇAMENTO!$AF$7)*OFFSET(ORÇAMENTO!$W$15,ROW(AR157)-ROW(AR$15),0),15-13*ORÇAMENTO!$AF$11)),0)</f>
        <v>0</v>
      </c>
      <c r="AS157" s="546">
        <f ca="1">IF(AND($D157="Serviço",AS$12&lt;&gt;0,$H157&gt;0,OR(AUTOEVENTO&lt;&gt;"manual",$M157&lt;&gt;1)),
IF(Import.TipoArredondamento&lt;&gt;"TransfereGOV",
ROUND(OFFSET($P157,0,AS$13),15-13*ORÇAMENTO!$AF$7)/$H157*OFFSET(ORÇAMENTO!$X$15,ROW(AS157)-ROW(AS$15),0),
ROUND(ROUND(OFFSET($P157,0,AS$13),15-13*ORÇAMENTO!$AF$7)*OFFSET(ORÇAMENTO!$W$15,ROW(AS157)-ROW(AS$15),0),15-13*ORÇAMENTO!$AF$11)),0)</f>
        <v>0</v>
      </c>
      <c r="AT157" s="545">
        <f ca="1">IF(AND($D157="Serviço",AT$12&lt;&gt;0,$H157&gt;0,OR(AUTOEVENTO&lt;&gt;"manual",$M157&lt;&gt;1)),
IF(Import.TipoArredondamento&lt;&gt;"TransfereGOV",
ROUND(OFFSET($P157,0,AT$13),15-13*ORÇAMENTO!$AF$7)/$H157*OFFSET(ORÇAMENTO!$X$15,ROW(AT157)-ROW(AT$15),0),
ROUND(ROUND(OFFSET($P157,0,AT$13),15-13*ORÇAMENTO!$AF$7)*OFFSET(ORÇAMENTO!$W$15,ROW(AT157)-ROW(AT$15),0),15-13*ORÇAMENTO!$AF$11)),0)</f>
        <v>0</v>
      </c>
      <c r="AU157" s="545">
        <f ca="1">IF(AND($D157="Serviço",AU$12&lt;&gt;0,$H157&gt;0,OR(AUTOEVENTO&lt;&gt;"manual",$M157&lt;&gt;1)),
IF(Import.TipoArredondamento&lt;&gt;"TransfereGOV",
ROUND(OFFSET($P157,0,AU$13),15-13*ORÇAMENTO!$AF$7)/$H157*OFFSET(ORÇAMENTO!$X$15,ROW(AU157)-ROW(AU$15),0),
ROUND(ROUND(OFFSET($P157,0,AU$13),15-13*ORÇAMENTO!$AF$7)*OFFSET(ORÇAMENTO!$W$15,ROW(AU157)-ROW(AU$15),0),15-13*ORÇAMENTO!$AF$11)),0)</f>
        <v>0</v>
      </c>
      <c r="AV157" s="545">
        <f ca="1">IF(AND($D157="Serviço",AV$12&lt;&gt;0,$H157&gt;0,OR(AUTOEVENTO&lt;&gt;"manual",$M157&lt;&gt;1)),
IF(Import.TipoArredondamento&lt;&gt;"TransfereGOV",
ROUND(OFFSET($P157,0,AV$13),15-13*ORÇAMENTO!$AF$7)/$H157*OFFSET(ORÇAMENTO!$X$15,ROW(AV157)-ROW(AV$15),0),
ROUND(ROUND(OFFSET($P157,0,AV$13),15-13*ORÇAMENTO!$AF$7)*OFFSET(ORÇAMENTO!$W$15,ROW(AV157)-ROW(AV$15),0),15-13*ORÇAMENTO!$AF$11)),0)</f>
        <v>0</v>
      </c>
      <c r="AW157" s="545">
        <f ca="1">IF(AND($D157="Serviço",AW$12&lt;&gt;0,$H157&gt;0,OR(AUTOEVENTO&lt;&gt;"manual",$M157&lt;&gt;1)),
IF(Import.TipoArredondamento&lt;&gt;"TransfereGOV",
ROUND(OFFSET($P157,0,AW$13),15-13*ORÇAMENTO!$AF$7)/$H157*OFFSET(ORÇAMENTO!$X$15,ROW(AW157)-ROW(AW$15),0),
ROUND(ROUND(OFFSET($P157,0,AW$13),15-13*ORÇAMENTO!$AF$7)*OFFSET(ORÇAMENTO!$W$15,ROW(AW157)-ROW(AW$15),0),15-13*ORÇAMENTO!$AF$11)),0)</f>
        <v>0</v>
      </c>
      <c r="AX157" s="545">
        <f ca="1">IF(AND($D157="Serviço",AX$12&lt;&gt;0,$H157&gt;0,OR(AUTOEVENTO&lt;&gt;"manual",$M157&lt;&gt;1)),
IF(Import.TipoArredondamento&lt;&gt;"TransfereGOV",
ROUND(OFFSET($P157,0,AX$13),15-13*ORÇAMENTO!$AF$7)/$H157*OFFSET(ORÇAMENTO!$X$15,ROW(AX157)-ROW(AX$15),0),
ROUND(ROUND(OFFSET($P157,0,AX$13),15-13*ORÇAMENTO!$AF$7)*OFFSET(ORÇAMENTO!$W$15,ROW(AX157)-ROW(AX$15),0),15-13*ORÇAMENTO!$AF$11)),0)</f>
        <v>0</v>
      </c>
      <c r="AY157" s="545">
        <f ca="1">IF(AND($D157="Serviço",AY$12&lt;&gt;0,$H157&gt;0,OR(AUTOEVENTO&lt;&gt;"manual",$M157&lt;&gt;1)),
IF(Import.TipoArredondamento&lt;&gt;"TransfereGOV",
ROUND(OFFSET($P157,0,AY$13),15-13*ORÇAMENTO!$AF$7)/$H157*OFFSET(ORÇAMENTO!$X$15,ROW(AY157)-ROW(AY$15),0),
ROUND(ROUND(OFFSET($P157,0,AY$13),15-13*ORÇAMENTO!$AF$7)*OFFSET(ORÇAMENTO!$W$15,ROW(AY157)-ROW(AY$15),0),15-13*ORÇAMENTO!$AF$11)),0)</f>
        <v>0</v>
      </c>
      <c r="AZ157" s="545">
        <f ca="1">IF(AND($D157="Serviço",AZ$12&lt;&gt;0,$H157&gt;0,OR(AUTOEVENTO&lt;&gt;"manual",$M157&lt;&gt;1)),
IF(Import.TipoArredondamento&lt;&gt;"TransfereGOV",
ROUND(OFFSET($P157,0,AZ$13),15-13*ORÇAMENTO!$AF$7)/$H157*OFFSET(ORÇAMENTO!$X$15,ROW(AZ157)-ROW(AZ$15),0),
ROUND(ROUND(OFFSET($P157,0,AZ$13),15-13*ORÇAMENTO!$AF$7)*OFFSET(ORÇAMENTO!$W$15,ROW(AZ157)-ROW(AZ$15),0),15-13*ORÇAMENTO!$AF$11)),0)</f>
        <v>0</v>
      </c>
      <c r="BA157" s="546">
        <f ca="1">IF(AND($D157="Serviço",BA$12&lt;&gt;0,$H157&gt;0,OR(AUTOEVENTO&lt;&gt;"manual",$M157&lt;&gt;1)),
IF(Import.TipoArredondamento&lt;&gt;"TransfereGOV",
ROUND(OFFSET($P157,0,BA$13),15-13*ORÇAMENTO!$AF$7)/$H157*OFFSET(ORÇAMENTO!$X$15,ROW(BA157)-ROW(BA$15),0),
ROUND(ROUND(OFFSET($P157,0,BA$13),15-13*ORÇAMENTO!$AF$7)*OFFSET(ORÇAMENTO!$W$15,ROW(BA157)-ROW(BA$15),0),15-13*ORÇAMENTO!$AF$11)),0)</f>
        <v>0</v>
      </c>
      <c r="BC157" s="181">
        <f ca="1">IF($D157&lt;&gt;"Serviço",0,IF(AND(AUTOEVENTO="Manual",$M157=1),0,IF(OFFSET(CRONOPLE!$F$14,$M157,BC$13)="",10^12,OFFSET(CRONOPLE!$F$14,$M157,BC$13))))</f>
        <v>6</v>
      </c>
      <c r="BD157" s="181">
        <f ca="1">IF($D157&lt;&gt;"Serviço",0,IF(AND(AUTOEVENTO="Manual",$M157=1),0,IF(OFFSET(CRONOPLE!$F$14,$M157,BD$13)="",10^12,OFFSET(CRONOPLE!$F$14,$M157,BD$13))))</f>
        <v>1000000000000</v>
      </c>
      <c r="BE157" s="181">
        <f ca="1">IF($D157&lt;&gt;"Serviço",0,IF(AND(AUTOEVENTO="Manual",$M157=1),0,IF(OFFSET(CRONOPLE!$F$14,$M157,BE$13)="",10^12,OFFSET(CRONOPLE!$F$14,$M157,BE$13))))</f>
        <v>1000000000000</v>
      </c>
      <c r="BF157" s="181">
        <f ca="1">IF($D157&lt;&gt;"Serviço",0,IF(AND(AUTOEVENTO="Manual",$M157=1),0,IF(OFFSET(CRONOPLE!$F$14,$M157,BF$13)="",10^12,OFFSET(CRONOPLE!$F$14,$M157,BF$13))))</f>
        <v>1000000000000</v>
      </c>
      <c r="BG157" s="181">
        <f ca="1">IF($D157&lt;&gt;"Serviço",0,IF(AND(AUTOEVENTO="Manual",$M157=1),0,IF(OFFSET(CRONOPLE!$F$14,$M157,BG$13)="",10^12,OFFSET(CRONOPLE!$F$14,$M157,BG$13))))</f>
        <v>1000000000000</v>
      </c>
      <c r="BH157" s="181">
        <f ca="1">IF($D157&lt;&gt;"Serviço",0,IF(AND(AUTOEVENTO="Manual",$M157=1),0,IF(OFFSET(CRONOPLE!$F$14,$M157,BH$13)="",10^12,OFFSET(CRONOPLE!$F$14,$M157,BH$13))))</f>
        <v>1000000000000</v>
      </c>
      <c r="BI157" s="181">
        <f ca="1">IF($D157&lt;&gt;"Serviço",0,IF(AND(AUTOEVENTO="Manual",$M157=1),0,IF(OFFSET(CRONOPLE!$F$14,$M157,BI$13)="",10^12,OFFSET(CRONOPLE!$F$14,$M157,BI$13))))</f>
        <v>1000000000000</v>
      </c>
      <c r="BJ157" s="181">
        <f ca="1">IF($D157&lt;&gt;"Serviço",0,IF(AND(AUTOEVENTO="Manual",$M157=1),0,IF(OFFSET(CRONOPLE!$F$14,$M157,BJ$13)="",10^12,OFFSET(CRONOPLE!$F$14,$M157,BJ$13))))</f>
        <v>1000000000000</v>
      </c>
      <c r="BK157" s="181">
        <f ca="1">IF($D157&lt;&gt;"Serviço",0,IF(AND(AUTOEVENTO="Manual",$M157=1),0,IF(OFFSET(CRONOPLE!$F$14,$M157,BK$13)="",10^12,OFFSET(CRONOPLE!$F$14,$M157,BK$13))))</f>
        <v>1000000000000</v>
      </c>
      <c r="BL157" s="181">
        <f ca="1">IF($D157&lt;&gt;"Serviço",0,IF(AND(AUTOEVENTO="Manual",$M157=1),0,IF(OFFSET(CRONOPLE!$F$14,$M157,BL$13)="",10^12,OFFSET(CRONOPLE!$F$14,$M157,BL$13))))</f>
        <v>1000000000000</v>
      </c>
      <c r="BM157" s="181">
        <f ca="1">IF($D157&lt;&gt;"Serviço",0,IF(AND(AUTOEVENTO="Manual",$M157=1),0,IF(OFFSET(CRONOPLE!$F$14,$M157,BM$13)="",10^12,OFFSET(CRONOPLE!$F$14,$M157,BM$13))))</f>
        <v>1000000000000</v>
      </c>
      <c r="BN157" s="181">
        <f ca="1">IF($D157&lt;&gt;"Serviço",0,IF(AND(AUTOEVENTO="Manual",$M157=1),0,IF(OFFSET(CRONOPLE!$F$14,$M157,BN$13)="",10^12,OFFSET(CRONOPLE!$F$14,$M157,BN$13))))</f>
        <v>1000000000000</v>
      </c>
      <c r="BO157" s="181">
        <f ca="1">IF($D157&lt;&gt;"Serviço",0,IF(AND(AUTOEVENTO="Manual",$M157=1),0,IF(OFFSET(CRONOPLE!$F$14,$M157,BO$13)="",10^12,OFFSET(CRONOPLE!$F$14,$M157,BO$13))))</f>
        <v>1000000000000</v>
      </c>
      <c r="BP157" s="181">
        <f ca="1">IF($D157&lt;&gt;"Serviço",0,IF(AND(AUTOEVENTO="Manual",$M157=1),0,IF(OFFSET(CRONOPLE!$F$14,$M157,BP$13)="",10^12,OFFSET(CRONOPLE!$F$14,$M157,BP$13))))</f>
        <v>1000000000000</v>
      </c>
      <c r="BQ157" s="181">
        <f ca="1">IF($D157&lt;&gt;"Serviço",0,IF(AND(AUTOEVENTO="Manual",$M157=1),0,IF(OFFSET(CRONOPLE!$F$14,$M157,BQ$13)="",10^12,OFFSET(CRONOPLE!$F$14,$M157,BQ$13))))</f>
        <v>1000000000000</v>
      </c>
      <c r="BR157" s="181">
        <f ca="1">IF($D157&lt;&gt;"Serviço",0,IF(AND(AUTOEVENTO="Manual",$M157=1),0,IF(OFFSET(CRONOPLE!$F$14,$M157,BR$13)="",10^12,OFFSET(CRONOPLE!$F$14,$M157,BR$13))))</f>
        <v>1000000000000</v>
      </c>
      <c r="BS157" s="181">
        <f ca="1">IF($D157&lt;&gt;"Serviço",0,IF(AND(AUTOEVENTO="Manual",$M157=1),0,IF(OFFSET(CRONOPLE!$F$14,$M157,BS$13)="",10^12,OFFSET(CRONOPLE!$F$14,$M157,BS$13))))</f>
        <v>1000000000000</v>
      </c>
      <c r="BT157" s="181">
        <f ca="1">IF($D157&lt;&gt;"Serviço",0,IF(AND(AUTOEVENTO="Manual",$M157=1),0,IF(OFFSET(CRONOPLE!$F$14,$M157,BT$13)="",10^12,OFFSET(CRONOPLE!$F$14,$M157,BT$13))))</f>
        <v>1000000000000</v>
      </c>
      <c r="BV157" s="182">
        <f ca="1">IF($D157&lt;&gt;"Serviço",0,IF(OR(AND(AUTOEVENTO="Manual",$M157=1),$M157&gt;(ROW(PLE.lastrow)-ROW(PLE.firstrow))),0,IF(OFFSET(PLE!$G$14,$M157,BV$13)="",10^12,OFFSET(PLE!$G$14,$M157,BV$13))))</f>
        <v>1000000000000</v>
      </c>
      <c r="BW157" s="182">
        <f ca="1">IF($D157&lt;&gt;"Serviço",0,IF(OR(AND(AUTOEVENTO="Manual",$M157=1),$M157&gt;(ROW(PLE.lastrow)-ROW(PLE.firstrow))),0,IF(OFFSET(PLE!$G$14,$M157,BW$13)="",10^12,OFFSET(PLE!$G$14,$M157,BW$13))))</f>
        <v>1000000000000</v>
      </c>
      <c r="BX157" s="182">
        <f ca="1">IF($D157&lt;&gt;"Serviço",0,IF(OR(AND(AUTOEVENTO="Manual",$M157=1),$M157&gt;(ROW(PLE.lastrow)-ROW(PLE.firstrow))),0,IF(OFFSET(PLE!$G$14,$M157,BX$13)="",10^12,OFFSET(PLE!$G$14,$M157,BX$13))))</f>
        <v>1000000000000</v>
      </c>
      <c r="BY157" s="182">
        <f ca="1">IF($D157&lt;&gt;"Serviço",0,IF(OR(AND(AUTOEVENTO="Manual",$M157=1),$M157&gt;(ROW(PLE.lastrow)-ROW(PLE.firstrow))),0,IF(OFFSET(PLE!$G$14,$M157,BY$13)="",10^12,OFFSET(PLE!$G$14,$M157,BY$13))))</f>
        <v>1000000000000</v>
      </c>
      <c r="BZ157" s="182">
        <f ca="1">IF($D157&lt;&gt;"Serviço",0,IF(OR(AND(AUTOEVENTO="Manual",$M157=1),$M157&gt;(ROW(PLE.lastrow)-ROW(PLE.firstrow))),0,IF(OFFSET(PLE!$G$14,$M157,BZ$13)="",10^12,OFFSET(PLE!$G$14,$M157,BZ$13))))</f>
        <v>1000000000000</v>
      </c>
      <c r="CA157" s="182">
        <f ca="1">IF($D157&lt;&gt;"Serviço",0,IF(OR(AND(AUTOEVENTO="Manual",$M157=1),$M157&gt;(ROW(PLE.lastrow)-ROW(PLE.firstrow))),0,IF(OFFSET(PLE!$G$14,$M157,CA$13)="",10^12,OFFSET(PLE!$G$14,$M157,CA$13))))</f>
        <v>1000000000000</v>
      </c>
      <c r="CB157" s="182">
        <f ca="1">IF($D157&lt;&gt;"Serviço",0,IF(OR(AND(AUTOEVENTO="Manual",$M157=1),$M157&gt;(ROW(PLE.lastrow)-ROW(PLE.firstrow))),0,IF(OFFSET(PLE!$G$14,$M157,CB$13)="",10^12,OFFSET(PLE!$G$14,$M157,CB$13))))</f>
        <v>1000000000000</v>
      </c>
      <c r="CC157" s="182">
        <f ca="1">IF($D157&lt;&gt;"Serviço",0,IF(OR(AND(AUTOEVENTO="Manual",$M157=1),$M157&gt;(ROW(PLE.lastrow)-ROW(PLE.firstrow))),0,IF(OFFSET(PLE!$G$14,$M157,CC$13)="",10^12,OFFSET(PLE!$G$14,$M157,CC$13))))</f>
        <v>1000000000000</v>
      </c>
      <c r="CD157" s="182">
        <f ca="1">IF($D157&lt;&gt;"Serviço",0,IF(OR(AND(AUTOEVENTO="Manual",$M157=1),$M157&gt;(ROW(PLE.lastrow)-ROW(PLE.firstrow))),0,IF(OFFSET(PLE!$G$14,$M157,CD$13)="",10^12,OFFSET(PLE!$G$14,$M157,CD$13))))</f>
        <v>1000000000000</v>
      </c>
      <c r="CE157" s="182">
        <f ca="1">IF($D157&lt;&gt;"Serviço",0,IF(OR(AND(AUTOEVENTO="Manual",$M157=1),$M157&gt;(ROW(PLE.lastrow)-ROW(PLE.firstrow))),0,IF(OFFSET(PLE!$G$14,$M157,CE$13)="",10^12,OFFSET(PLE!$G$14,$M157,CE$13))))</f>
        <v>1000000000000</v>
      </c>
      <c r="CF157" s="182">
        <f ca="1">IF($D157&lt;&gt;"Serviço",0,IF(OR(AND(AUTOEVENTO="Manual",$M157=1),$M157&gt;(ROW(PLE.lastrow)-ROW(PLE.firstrow))),0,IF(OFFSET(PLE!$G$14,$M157,CF$13)="",10^12,OFFSET(PLE!$G$14,$M157,CF$13))))</f>
        <v>1000000000000</v>
      </c>
      <c r="CG157" s="182">
        <f ca="1">IF($D157&lt;&gt;"Serviço",0,IF(OR(AND(AUTOEVENTO="Manual",$M157=1),$M157&gt;(ROW(PLE.lastrow)-ROW(PLE.firstrow))),0,IF(OFFSET(PLE!$G$14,$M157,CG$13)="",10^12,OFFSET(PLE!$G$14,$M157,CG$13))))</f>
        <v>1000000000000</v>
      </c>
      <c r="CH157" s="182">
        <f ca="1">IF($D157&lt;&gt;"Serviço",0,IF(OR(AND(AUTOEVENTO="Manual",$M157=1),$M157&gt;(ROW(PLE.lastrow)-ROW(PLE.firstrow))),0,IF(OFFSET(PLE!$G$14,$M157,CH$13)="",10^12,OFFSET(PLE!$G$14,$M157,CH$13))))</f>
        <v>1000000000000</v>
      </c>
      <c r="CI157" s="182">
        <f ca="1">IF($D157&lt;&gt;"Serviço",0,IF(OR(AND(AUTOEVENTO="Manual",$M157=1),$M157&gt;(ROW(PLE.lastrow)-ROW(PLE.firstrow))),0,IF(OFFSET(PLE!$G$14,$M157,CI$13)="",10^12,OFFSET(PLE!$G$14,$M157,CI$13))))</f>
        <v>1000000000000</v>
      </c>
      <c r="CJ157" s="182">
        <f ca="1">IF($D157&lt;&gt;"Serviço",0,IF(OR(AND(AUTOEVENTO="Manual",$M157=1),$M157&gt;(ROW(PLE.lastrow)-ROW(PLE.firstrow))),0,IF(OFFSET(PLE!$G$14,$M157,CJ$13)="",10^12,OFFSET(PLE!$G$14,$M157,CJ$13))))</f>
        <v>1000000000000</v>
      </c>
      <c r="CK157" s="182">
        <f ca="1">IF($D157&lt;&gt;"Serviço",0,IF(OR(AND(AUTOEVENTO="Manual",$M157=1),$M157&gt;(ROW(PLE.lastrow)-ROW(PLE.firstrow))),0,IF(OFFSET(PLE!$G$14,$M157,CK$13)="",10^12,OFFSET(PLE!$G$14,$M157,CK$13))))</f>
        <v>1000000000000</v>
      </c>
      <c r="CL157" s="182">
        <f ca="1">IF($D157&lt;&gt;"Serviço",0,IF(OR(AND(AUTOEVENTO="Manual",$M157=1),$M157&gt;(ROW(PLE.lastrow)-ROW(PLE.firstrow))),0,IF(OFFSET(PLE!$G$14,$M157,CL$13)="",10^12,OFFSET(PLE!$G$14,$M157,CL$13))))</f>
        <v>1000000000000</v>
      </c>
      <c r="CM157" s="182">
        <f ca="1">IF($D157&lt;&gt;"Serviço",0,IF(OR(AND(AUTOEVENTO="Manual",$M157=1),$M157&gt;(ROW(PLE.lastrow)-ROW(PLE.firstrow))),0,IF(OFFSET(PLE!$G$14,$M157,CM$13)="",10^12,OFFSET(PLE!$G$14,$M157,CM$13))))</f>
        <v>1000000000000</v>
      </c>
    </row>
    <row r="158" spans="1:91" ht="25.5" x14ac:dyDescent="0.2">
      <c r="A158" s="7" t="str">
        <f t="shared" ca="1" si="11"/>
        <v>140</v>
      </c>
      <c r="B158" s="7" t="str">
        <f ca="1">OFFSET(ORÇAMENTO!C$15,ROW(B158)-ROW(B$15),0)</f>
        <v>S</v>
      </c>
      <c r="C158" s="7" t="str">
        <f ca="1">OFFSET(ORÇAMENTO!L$15,ROW(C158)-ROW(C$15),0)</f>
        <v/>
      </c>
      <c r="D158" s="118" t="str">
        <f ca="1">OFFSET(ORÇAMENTO!N$15,ROW(D158)-ROW(D$15),0)</f>
        <v>Serviço</v>
      </c>
      <c r="E158" s="119" t="str">
        <f ca="1">OFFSET(ORÇAMENTO!O$15,ROW(E158)-ROW(E$15),0)</f>
        <v>-</v>
      </c>
      <c r="F158" s="172" t="str">
        <f ca="1">OFFSET(ORÇAMENTO!R$15,ROW(F158)-ROW(F$15),0)</f>
        <v>(abra o arquivo 'Referência 06-2024.xlsm)</v>
      </c>
      <c r="G158" s="173" t="str">
        <f ca="1">IF($D158&lt;&gt;"Serviço","",OFFSET(ORÇAMENTO!S$15,ROW(G158)-ROW(G$15),0))</f>
        <v>-</v>
      </c>
      <c r="H158" s="124">
        <f ca="1">IF($D158&lt;&gt;"Serviço",0,IF(ACOMPANHAMENTO="BM",ROUND(OFFSET(ORÇAMENTO!AJ$15,ROW(H158)-ROW(H$15),0),15-13*ORÇAMENTO!$AF$7),SUMPRODUCT(($Q$12:$AI$12&lt;&gt;"")*ROUND($Q158:$AI158,15-13*ORÇAMENTO!$AF$7))))</f>
        <v>73.25</v>
      </c>
      <c r="I158" s="561" t="s">
        <v>1107</v>
      </c>
      <c r="K158" s="174"/>
      <c r="L158" s="175" t="s">
        <v>255</v>
      </c>
      <c r="M158" s="176">
        <f ca="1">IF($D158&lt;&gt;"Serviço","",IF(AUTOEVENTO="manual",$A158,IF(ISERROR(MATCH($A158,$A$15:OFFSET($A158,-1,0),0)),MAX($M$15:OFFSET(M158,-1,0))+1,INDEX($M$15:OFFSET(M158,-1,0),MATCH($A158,$A$15:OFFSET($A158,-1,0),0)))))</f>
        <v>24</v>
      </c>
      <c r="N158" s="177" t="str">
        <f ca="1">IF($D158&lt;&gt;"Serviço","",IF(AUTOEVENTO="Manual",IF($A158=0,"&lt;-- defina o número do agrupador",OFFSET(EVENTOS!$D$14,$A158,0)),OFFSET($F$15,$A158,0)))</f>
        <v>ESQUADRIAS - GERAL</v>
      </c>
      <c r="O158" s="178"/>
      <c r="Q158" s="178">
        <v>73.25</v>
      </c>
      <c r="R158" s="179"/>
      <c r="S158" s="179"/>
      <c r="T158" s="179"/>
      <c r="U158" s="179"/>
      <c r="V158" s="179"/>
      <c r="W158" s="179"/>
      <c r="X158" s="179"/>
      <c r="Y158" s="179"/>
      <c r="Z158" s="180"/>
      <c r="AA158" s="179"/>
      <c r="AB158" s="179"/>
      <c r="AC158" s="179"/>
      <c r="AD158" s="179"/>
      <c r="AE158" s="179"/>
      <c r="AF158" s="179"/>
      <c r="AG158" s="179"/>
      <c r="AH158" s="180"/>
      <c r="AJ158" s="544">
        <f ca="1">IF(AND($D158="Serviço",AJ$12&lt;&gt;0,$H158&gt;0,OR(AUTOEVENTO&lt;&gt;"manual",$M158&lt;&gt;1)),
IF(Import.TipoArredondamento&lt;&gt;"TransfereGOV",
ROUND(OFFSET($P158,0,AJ$13),15-13*ORÇAMENTO!$AF$7)/$H158*OFFSET(ORÇAMENTO!$X$15,ROW(AJ158)-ROW(AJ$15),0),
ROUND(ROUND(OFFSET($P158,0,AJ$13),15-13*ORÇAMENTO!$AF$7)*OFFSET(ORÇAMENTO!$W$15,ROW(AJ158)-ROW(AJ$15),0),15-13*ORÇAMENTO!$AF$11)),0)</f>
        <v>0</v>
      </c>
      <c r="AK158" s="545">
        <f ca="1">IF(AND($D158="Serviço",AK$12&lt;&gt;0,$H158&gt;0,OR(AUTOEVENTO&lt;&gt;"manual",$M158&lt;&gt;1)),
IF(Import.TipoArredondamento&lt;&gt;"TransfereGOV",
ROUND(OFFSET($P158,0,AK$13),15-13*ORÇAMENTO!$AF$7)/$H158*OFFSET(ORÇAMENTO!$X$15,ROW(AK158)-ROW(AK$15),0),
ROUND(ROUND(OFFSET($P158,0,AK$13),15-13*ORÇAMENTO!$AF$7)*OFFSET(ORÇAMENTO!$W$15,ROW(AK158)-ROW(AK$15),0),15-13*ORÇAMENTO!$AF$11)),0)</f>
        <v>0</v>
      </c>
      <c r="AL158" s="545">
        <f ca="1">IF(AND($D158="Serviço",AL$12&lt;&gt;0,$H158&gt;0,OR(AUTOEVENTO&lt;&gt;"manual",$M158&lt;&gt;1)),
IF(Import.TipoArredondamento&lt;&gt;"TransfereGOV",
ROUND(OFFSET($P158,0,AL$13),15-13*ORÇAMENTO!$AF$7)/$H158*OFFSET(ORÇAMENTO!$X$15,ROW(AL158)-ROW(AL$15),0),
ROUND(ROUND(OFFSET($P158,0,AL$13),15-13*ORÇAMENTO!$AF$7)*OFFSET(ORÇAMENTO!$W$15,ROW(AL158)-ROW(AL$15),0),15-13*ORÇAMENTO!$AF$11)),0)</f>
        <v>0</v>
      </c>
      <c r="AM158" s="545">
        <f ca="1">IF(AND($D158="Serviço",AM$12&lt;&gt;0,$H158&gt;0,OR(AUTOEVENTO&lt;&gt;"manual",$M158&lt;&gt;1)),
IF(Import.TipoArredondamento&lt;&gt;"TransfereGOV",
ROUND(OFFSET($P158,0,AM$13),15-13*ORÇAMENTO!$AF$7)/$H158*OFFSET(ORÇAMENTO!$X$15,ROW(AM158)-ROW(AM$15),0),
ROUND(ROUND(OFFSET($P158,0,AM$13),15-13*ORÇAMENTO!$AF$7)*OFFSET(ORÇAMENTO!$W$15,ROW(AM158)-ROW(AM$15),0),15-13*ORÇAMENTO!$AF$11)),0)</f>
        <v>0</v>
      </c>
      <c r="AN158" s="545">
        <f ca="1">IF(AND($D158="Serviço",AN$12&lt;&gt;0,$H158&gt;0,OR(AUTOEVENTO&lt;&gt;"manual",$M158&lt;&gt;1)),
IF(Import.TipoArredondamento&lt;&gt;"TransfereGOV",
ROUND(OFFSET($P158,0,AN$13),15-13*ORÇAMENTO!$AF$7)/$H158*OFFSET(ORÇAMENTO!$X$15,ROW(AN158)-ROW(AN$15),0),
ROUND(ROUND(OFFSET($P158,0,AN$13),15-13*ORÇAMENTO!$AF$7)*OFFSET(ORÇAMENTO!$W$15,ROW(AN158)-ROW(AN$15),0),15-13*ORÇAMENTO!$AF$11)),0)</f>
        <v>0</v>
      </c>
      <c r="AO158" s="545">
        <f ca="1">IF(AND($D158="Serviço",AO$12&lt;&gt;0,$H158&gt;0,OR(AUTOEVENTO&lt;&gt;"manual",$M158&lt;&gt;1)),
IF(Import.TipoArredondamento&lt;&gt;"TransfereGOV",
ROUND(OFFSET($P158,0,AO$13),15-13*ORÇAMENTO!$AF$7)/$H158*OFFSET(ORÇAMENTO!$X$15,ROW(AO158)-ROW(AO$15),0),
ROUND(ROUND(OFFSET($P158,0,AO$13),15-13*ORÇAMENTO!$AF$7)*OFFSET(ORÇAMENTO!$W$15,ROW(AO158)-ROW(AO$15),0),15-13*ORÇAMENTO!$AF$11)),0)</f>
        <v>0</v>
      </c>
      <c r="AP158" s="545">
        <f ca="1">IF(AND($D158="Serviço",AP$12&lt;&gt;0,$H158&gt;0,OR(AUTOEVENTO&lt;&gt;"manual",$M158&lt;&gt;1)),
IF(Import.TipoArredondamento&lt;&gt;"TransfereGOV",
ROUND(OFFSET($P158,0,AP$13),15-13*ORÇAMENTO!$AF$7)/$H158*OFFSET(ORÇAMENTO!$X$15,ROW(AP158)-ROW(AP$15),0),
ROUND(ROUND(OFFSET($P158,0,AP$13),15-13*ORÇAMENTO!$AF$7)*OFFSET(ORÇAMENTO!$W$15,ROW(AP158)-ROW(AP$15),0),15-13*ORÇAMENTO!$AF$11)),0)</f>
        <v>0</v>
      </c>
      <c r="AQ158" s="545">
        <f ca="1">IF(AND($D158="Serviço",AQ$12&lt;&gt;0,$H158&gt;0,OR(AUTOEVENTO&lt;&gt;"manual",$M158&lt;&gt;1)),
IF(Import.TipoArredondamento&lt;&gt;"TransfereGOV",
ROUND(OFFSET($P158,0,AQ$13),15-13*ORÇAMENTO!$AF$7)/$H158*OFFSET(ORÇAMENTO!$X$15,ROW(AQ158)-ROW(AQ$15),0),
ROUND(ROUND(OFFSET($P158,0,AQ$13),15-13*ORÇAMENTO!$AF$7)*OFFSET(ORÇAMENTO!$W$15,ROW(AQ158)-ROW(AQ$15),0),15-13*ORÇAMENTO!$AF$11)),0)</f>
        <v>0</v>
      </c>
      <c r="AR158" s="545">
        <f ca="1">IF(AND($D158="Serviço",AR$12&lt;&gt;0,$H158&gt;0,OR(AUTOEVENTO&lt;&gt;"manual",$M158&lt;&gt;1)),
IF(Import.TipoArredondamento&lt;&gt;"TransfereGOV",
ROUND(OFFSET($P158,0,AR$13),15-13*ORÇAMENTO!$AF$7)/$H158*OFFSET(ORÇAMENTO!$X$15,ROW(AR158)-ROW(AR$15),0),
ROUND(ROUND(OFFSET($P158,0,AR$13),15-13*ORÇAMENTO!$AF$7)*OFFSET(ORÇAMENTO!$W$15,ROW(AR158)-ROW(AR$15),0),15-13*ORÇAMENTO!$AF$11)),0)</f>
        <v>0</v>
      </c>
      <c r="AS158" s="546">
        <f ca="1">IF(AND($D158="Serviço",AS$12&lt;&gt;0,$H158&gt;0,OR(AUTOEVENTO&lt;&gt;"manual",$M158&lt;&gt;1)),
IF(Import.TipoArredondamento&lt;&gt;"TransfereGOV",
ROUND(OFFSET($P158,0,AS$13),15-13*ORÇAMENTO!$AF$7)/$H158*OFFSET(ORÇAMENTO!$X$15,ROW(AS158)-ROW(AS$15),0),
ROUND(ROUND(OFFSET($P158,0,AS$13),15-13*ORÇAMENTO!$AF$7)*OFFSET(ORÇAMENTO!$W$15,ROW(AS158)-ROW(AS$15),0),15-13*ORÇAMENTO!$AF$11)),0)</f>
        <v>0</v>
      </c>
      <c r="AT158" s="545">
        <f ca="1">IF(AND($D158="Serviço",AT$12&lt;&gt;0,$H158&gt;0,OR(AUTOEVENTO&lt;&gt;"manual",$M158&lt;&gt;1)),
IF(Import.TipoArredondamento&lt;&gt;"TransfereGOV",
ROUND(OFFSET($P158,0,AT$13),15-13*ORÇAMENTO!$AF$7)/$H158*OFFSET(ORÇAMENTO!$X$15,ROW(AT158)-ROW(AT$15),0),
ROUND(ROUND(OFFSET($P158,0,AT$13),15-13*ORÇAMENTO!$AF$7)*OFFSET(ORÇAMENTO!$W$15,ROW(AT158)-ROW(AT$15),0),15-13*ORÇAMENTO!$AF$11)),0)</f>
        <v>0</v>
      </c>
      <c r="AU158" s="545">
        <f ca="1">IF(AND($D158="Serviço",AU$12&lt;&gt;0,$H158&gt;0,OR(AUTOEVENTO&lt;&gt;"manual",$M158&lt;&gt;1)),
IF(Import.TipoArredondamento&lt;&gt;"TransfereGOV",
ROUND(OFFSET($P158,0,AU$13),15-13*ORÇAMENTO!$AF$7)/$H158*OFFSET(ORÇAMENTO!$X$15,ROW(AU158)-ROW(AU$15),0),
ROUND(ROUND(OFFSET($P158,0,AU$13),15-13*ORÇAMENTO!$AF$7)*OFFSET(ORÇAMENTO!$W$15,ROW(AU158)-ROW(AU$15),0),15-13*ORÇAMENTO!$AF$11)),0)</f>
        <v>0</v>
      </c>
      <c r="AV158" s="545">
        <f ca="1">IF(AND($D158="Serviço",AV$12&lt;&gt;0,$H158&gt;0,OR(AUTOEVENTO&lt;&gt;"manual",$M158&lt;&gt;1)),
IF(Import.TipoArredondamento&lt;&gt;"TransfereGOV",
ROUND(OFFSET($P158,0,AV$13),15-13*ORÇAMENTO!$AF$7)/$H158*OFFSET(ORÇAMENTO!$X$15,ROW(AV158)-ROW(AV$15),0),
ROUND(ROUND(OFFSET($P158,0,AV$13),15-13*ORÇAMENTO!$AF$7)*OFFSET(ORÇAMENTO!$W$15,ROW(AV158)-ROW(AV$15),0),15-13*ORÇAMENTO!$AF$11)),0)</f>
        <v>0</v>
      </c>
      <c r="AW158" s="545">
        <f ca="1">IF(AND($D158="Serviço",AW$12&lt;&gt;0,$H158&gt;0,OR(AUTOEVENTO&lt;&gt;"manual",$M158&lt;&gt;1)),
IF(Import.TipoArredondamento&lt;&gt;"TransfereGOV",
ROUND(OFFSET($P158,0,AW$13),15-13*ORÇAMENTO!$AF$7)/$H158*OFFSET(ORÇAMENTO!$X$15,ROW(AW158)-ROW(AW$15),0),
ROUND(ROUND(OFFSET($P158,0,AW$13),15-13*ORÇAMENTO!$AF$7)*OFFSET(ORÇAMENTO!$W$15,ROW(AW158)-ROW(AW$15),0),15-13*ORÇAMENTO!$AF$11)),0)</f>
        <v>0</v>
      </c>
      <c r="AX158" s="545">
        <f ca="1">IF(AND($D158="Serviço",AX$12&lt;&gt;0,$H158&gt;0,OR(AUTOEVENTO&lt;&gt;"manual",$M158&lt;&gt;1)),
IF(Import.TipoArredondamento&lt;&gt;"TransfereGOV",
ROUND(OFFSET($P158,0,AX$13),15-13*ORÇAMENTO!$AF$7)/$H158*OFFSET(ORÇAMENTO!$X$15,ROW(AX158)-ROW(AX$15),0),
ROUND(ROUND(OFFSET($P158,0,AX$13),15-13*ORÇAMENTO!$AF$7)*OFFSET(ORÇAMENTO!$W$15,ROW(AX158)-ROW(AX$15),0),15-13*ORÇAMENTO!$AF$11)),0)</f>
        <v>0</v>
      </c>
      <c r="AY158" s="545">
        <f ca="1">IF(AND($D158="Serviço",AY$12&lt;&gt;0,$H158&gt;0,OR(AUTOEVENTO&lt;&gt;"manual",$M158&lt;&gt;1)),
IF(Import.TipoArredondamento&lt;&gt;"TransfereGOV",
ROUND(OFFSET($P158,0,AY$13),15-13*ORÇAMENTO!$AF$7)/$H158*OFFSET(ORÇAMENTO!$X$15,ROW(AY158)-ROW(AY$15),0),
ROUND(ROUND(OFFSET($P158,0,AY$13),15-13*ORÇAMENTO!$AF$7)*OFFSET(ORÇAMENTO!$W$15,ROW(AY158)-ROW(AY$15),0),15-13*ORÇAMENTO!$AF$11)),0)</f>
        <v>0</v>
      </c>
      <c r="AZ158" s="545">
        <f ca="1">IF(AND($D158="Serviço",AZ$12&lt;&gt;0,$H158&gt;0,OR(AUTOEVENTO&lt;&gt;"manual",$M158&lt;&gt;1)),
IF(Import.TipoArredondamento&lt;&gt;"TransfereGOV",
ROUND(OFFSET($P158,0,AZ$13),15-13*ORÇAMENTO!$AF$7)/$H158*OFFSET(ORÇAMENTO!$X$15,ROW(AZ158)-ROW(AZ$15),0),
ROUND(ROUND(OFFSET($P158,0,AZ$13),15-13*ORÇAMENTO!$AF$7)*OFFSET(ORÇAMENTO!$W$15,ROW(AZ158)-ROW(AZ$15),0),15-13*ORÇAMENTO!$AF$11)),0)</f>
        <v>0</v>
      </c>
      <c r="BA158" s="546">
        <f ca="1">IF(AND($D158="Serviço",BA$12&lt;&gt;0,$H158&gt;0,OR(AUTOEVENTO&lt;&gt;"manual",$M158&lt;&gt;1)),
IF(Import.TipoArredondamento&lt;&gt;"TransfereGOV",
ROUND(OFFSET($P158,0,BA$13),15-13*ORÇAMENTO!$AF$7)/$H158*OFFSET(ORÇAMENTO!$X$15,ROW(BA158)-ROW(BA$15),0),
ROUND(ROUND(OFFSET($P158,0,BA$13),15-13*ORÇAMENTO!$AF$7)*OFFSET(ORÇAMENTO!$W$15,ROW(BA158)-ROW(BA$15),0),15-13*ORÇAMENTO!$AF$11)),0)</f>
        <v>0</v>
      </c>
      <c r="BC158" s="181">
        <f ca="1">IF($D158&lt;&gt;"Serviço",0,IF(AND(AUTOEVENTO="Manual",$M158=1),0,IF(OFFSET(CRONOPLE!$F$14,$M158,BC$13)="",10^12,OFFSET(CRONOPLE!$F$14,$M158,BC$13))))</f>
        <v>6</v>
      </c>
      <c r="BD158" s="181">
        <f ca="1">IF($D158&lt;&gt;"Serviço",0,IF(AND(AUTOEVENTO="Manual",$M158=1),0,IF(OFFSET(CRONOPLE!$F$14,$M158,BD$13)="",10^12,OFFSET(CRONOPLE!$F$14,$M158,BD$13))))</f>
        <v>1000000000000</v>
      </c>
      <c r="BE158" s="181">
        <f ca="1">IF($D158&lt;&gt;"Serviço",0,IF(AND(AUTOEVENTO="Manual",$M158=1),0,IF(OFFSET(CRONOPLE!$F$14,$M158,BE$13)="",10^12,OFFSET(CRONOPLE!$F$14,$M158,BE$13))))</f>
        <v>1000000000000</v>
      </c>
      <c r="BF158" s="181">
        <f ca="1">IF($D158&lt;&gt;"Serviço",0,IF(AND(AUTOEVENTO="Manual",$M158=1),0,IF(OFFSET(CRONOPLE!$F$14,$M158,BF$13)="",10^12,OFFSET(CRONOPLE!$F$14,$M158,BF$13))))</f>
        <v>1000000000000</v>
      </c>
      <c r="BG158" s="181">
        <f ca="1">IF($D158&lt;&gt;"Serviço",0,IF(AND(AUTOEVENTO="Manual",$M158=1),0,IF(OFFSET(CRONOPLE!$F$14,$M158,BG$13)="",10^12,OFFSET(CRONOPLE!$F$14,$M158,BG$13))))</f>
        <v>1000000000000</v>
      </c>
      <c r="BH158" s="181">
        <f ca="1">IF($D158&lt;&gt;"Serviço",0,IF(AND(AUTOEVENTO="Manual",$M158=1),0,IF(OFFSET(CRONOPLE!$F$14,$M158,BH$13)="",10^12,OFFSET(CRONOPLE!$F$14,$M158,BH$13))))</f>
        <v>1000000000000</v>
      </c>
      <c r="BI158" s="181">
        <f ca="1">IF($D158&lt;&gt;"Serviço",0,IF(AND(AUTOEVENTO="Manual",$M158=1),0,IF(OFFSET(CRONOPLE!$F$14,$M158,BI$13)="",10^12,OFFSET(CRONOPLE!$F$14,$M158,BI$13))))</f>
        <v>1000000000000</v>
      </c>
      <c r="BJ158" s="181">
        <f ca="1">IF($D158&lt;&gt;"Serviço",0,IF(AND(AUTOEVENTO="Manual",$M158=1),0,IF(OFFSET(CRONOPLE!$F$14,$M158,BJ$13)="",10^12,OFFSET(CRONOPLE!$F$14,$M158,BJ$13))))</f>
        <v>1000000000000</v>
      </c>
      <c r="BK158" s="181">
        <f ca="1">IF($D158&lt;&gt;"Serviço",0,IF(AND(AUTOEVENTO="Manual",$M158=1),0,IF(OFFSET(CRONOPLE!$F$14,$M158,BK$13)="",10^12,OFFSET(CRONOPLE!$F$14,$M158,BK$13))))</f>
        <v>1000000000000</v>
      </c>
      <c r="BL158" s="181">
        <f ca="1">IF($D158&lt;&gt;"Serviço",0,IF(AND(AUTOEVENTO="Manual",$M158=1),0,IF(OFFSET(CRONOPLE!$F$14,$M158,BL$13)="",10^12,OFFSET(CRONOPLE!$F$14,$M158,BL$13))))</f>
        <v>1000000000000</v>
      </c>
      <c r="BM158" s="181">
        <f ca="1">IF($D158&lt;&gt;"Serviço",0,IF(AND(AUTOEVENTO="Manual",$M158=1),0,IF(OFFSET(CRONOPLE!$F$14,$M158,BM$13)="",10^12,OFFSET(CRONOPLE!$F$14,$M158,BM$13))))</f>
        <v>1000000000000</v>
      </c>
      <c r="BN158" s="181">
        <f ca="1">IF($D158&lt;&gt;"Serviço",0,IF(AND(AUTOEVENTO="Manual",$M158=1),0,IF(OFFSET(CRONOPLE!$F$14,$M158,BN$13)="",10^12,OFFSET(CRONOPLE!$F$14,$M158,BN$13))))</f>
        <v>1000000000000</v>
      </c>
      <c r="BO158" s="181">
        <f ca="1">IF($D158&lt;&gt;"Serviço",0,IF(AND(AUTOEVENTO="Manual",$M158=1),0,IF(OFFSET(CRONOPLE!$F$14,$M158,BO$13)="",10^12,OFFSET(CRONOPLE!$F$14,$M158,BO$13))))</f>
        <v>1000000000000</v>
      </c>
      <c r="BP158" s="181">
        <f ca="1">IF($D158&lt;&gt;"Serviço",0,IF(AND(AUTOEVENTO="Manual",$M158=1),0,IF(OFFSET(CRONOPLE!$F$14,$M158,BP$13)="",10^12,OFFSET(CRONOPLE!$F$14,$M158,BP$13))))</f>
        <v>1000000000000</v>
      </c>
      <c r="BQ158" s="181">
        <f ca="1">IF($D158&lt;&gt;"Serviço",0,IF(AND(AUTOEVENTO="Manual",$M158=1),0,IF(OFFSET(CRONOPLE!$F$14,$M158,BQ$13)="",10^12,OFFSET(CRONOPLE!$F$14,$M158,BQ$13))))</f>
        <v>1000000000000</v>
      </c>
      <c r="BR158" s="181">
        <f ca="1">IF($D158&lt;&gt;"Serviço",0,IF(AND(AUTOEVENTO="Manual",$M158=1),0,IF(OFFSET(CRONOPLE!$F$14,$M158,BR$13)="",10^12,OFFSET(CRONOPLE!$F$14,$M158,BR$13))))</f>
        <v>1000000000000</v>
      </c>
      <c r="BS158" s="181">
        <f ca="1">IF($D158&lt;&gt;"Serviço",0,IF(AND(AUTOEVENTO="Manual",$M158=1),0,IF(OFFSET(CRONOPLE!$F$14,$M158,BS$13)="",10^12,OFFSET(CRONOPLE!$F$14,$M158,BS$13))))</f>
        <v>1000000000000</v>
      </c>
      <c r="BT158" s="181">
        <f ca="1">IF($D158&lt;&gt;"Serviço",0,IF(AND(AUTOEVENTO="Manual",$M158=1),0,IF(OFFSET(CRONOPLE!$F$14,$M158,BT$13)="",10^12,OFFSET(CRONOPLE!$F$14,$M158,BT$13))))</f>
        <v>1000000000000</v>
      </c>
      <c r="BV158" s="182">
        <f ca="1">IF($D158&lt;&gt;"Serviço",0,IF(OR(AND(AUTOEVENTO="Manual",$M158=1),$M158&gt;(ROW(PLE.lastrow)-ROW(PLE.firstrow))),0,IF(OFFSET(PLE!$G$14,$M158,BV$13)="",10^12,OFFSET(PLE!$G$14,$M158,BV$13))))</f>
        <v>1000000000000</v>
      </c>
      <c r="BW158" s="182">
        <f ca="1">IF($D158&lt;&gt;"Serviço",0,IF(OR(AND(AUTOEVENTO="Manual",$M158=1),$M158&gt;(ROW(PLE.lastrow)-ROW(PLE.firstrow))),0,IF(OFFSET(PLE!$G$14,$M158,BW$13)="",10^12,OFFSET(PLE!$G$14,$M158,BW$13))))</f>
        <v>1000000000000</v>
      </c>
      <c r="BX158" s="182">
        <f ca="1">IF($D158&lt;&gt;"Serviço",0,IF(OR(AND(AUTOEVENTO="Manual",$M158=1),$M158&gt;(ROW(PLE.lastrow)-ROW(PLE.firstrow))),0,IF(OFFSET(PLE!$G$14,$M158,BX$13)="",10^12,OFFSET(PLE!$G$14,$M158,BX$13))))</f>
        <v>1000000000000</v>
      </c>
      <c r="BY158" s="182">
        <f ca="1">IF($D158&lt;&gt;"Serviço",0,IF(OR(AND(AUTOEVENTO="Manual",$M158=1),$M158&gt;(ROW(PLE.lastrow)-ROW(PLE.firstrow))),0,IF(OFFSET(PLE!$G$14,$M158,BY$13)="",10^12,OFFSET(PLE!$G$14,$M158,BY$13))))</f>
        <v>1000000000000</v>
      </c>
      <c r="BZ158" s="182">
        <f ca="1">IF($D158&lt;&gt;"Serviço",0,IF(OR(AND(AUTOEVENTO="Manual",$M158=1),$M158&gt;(ROW(PLE.lastrow)-ROW(PLE.firstrow))),0,IF(OFFSET(PLE!$G$14,$M158,BZ$13)="",10^12,OFFSET(PLE!$G$14,$M158,BZ$13))))</f>
        <v>1000000000000</v>
      </c>
      <c r="CA158" s="182">
        <f ca="1">IF($D158&lt;&gt;"Serviço",0,IF(OR(AND(AUTOEVENTO="Manual",$M158=1),$M158&gt;(ROW(PLE.lastrow)-ROW(PLE.firstrow))),0,IF(OFFSET(PLE!$G$14,$M158,CA$13)="",10^12,OFFSET(PLE!$G$14,$M158,CA$13))))</f>
        <v>1000000000000</v>
      </c>
      <c r="CB158" s="182">
        <f ca="1">IF($D158&lt;&gt;"Serviço",0,IF(OR(AND(AUTOEVENTO="Manual",$M158=1),$M158&gt;(ROW(PLE.lastrow)-ROW(PLE.firstrow))),0,IF(OFFSET(PLE!$G$14,$M158,CB$13)="",10^12,OFFSET(PLE!$G$14,$M158,CB$13))))</f>
        <v>1000000000000</v>
      </c>
      <c r="CC158" s="182">
        <f ca="1">IF($D158&lt;&gt;"Serviço",0,IF(OR(AND(AUTOEVENTO="Manual",$M158=1),$M158&gt;(ROW(PLE.lastrow)-ROW(PLE.firstrow))),0,IF(OFFSET(PLE!$G$14,$M158,CC$13)="",10^12,OFFSET(PLE!$G$14,$M158,CC$13))))</f>
        <v>1000000000000</v>
      </c>
      <c r="CD158" s="182">
        <f ca="1">IF($D158&lt;&gt;"Serviço",0,IF(OR(AND(AUTOEVENTO="Manual",$M158=1),$M158&gt;(ROW(PLE.lastrow)-ROW(PLE.firstrow))),0,IF(OFFSET(PLE!$G$14,$M158,CD$13)="",10^12,OFFSET(PLE!$G$14,$M158,CD$13))))</f>
        <v>1000000000000</v>
      </c>
      <c r="CE158" s="182">
        <f ca="1">IF($D158&lt;&gt;"Serviço",0,IF(OR(AND(AUTOEVENTO="Manual",$M158=1),$M158&gt;(ROW(PLE.lastrow)-ROW(PLE.firstrow))),0,IF(OFFSET(PLE!$G$14,$M158,CE$13)="",10^12,OFFSET(PLE!$G$14,$M158,CE$13))))</f>
        <v>1000000000000</v>
      </c>
      <c r="CF158" s="182">
        <f ca="1">IF($D158&lt;&gt;"Serviço",0,IF(OR(AND(AUTOEVENTO="Manual",$M158=1),$M158&gt;(ROW(PLE.lastrow)-ROW(PLE.firstrow))),0,IF(OFFSET(PLE!$G$14,$M158,CF$13)="",10^12,OFFSET(PLE!$G$14,$M158,CF$13))))</f>
        <v>1000000000000</v>
      </c>
      <c r="CG158" s="182">
        <f ca="1">IF($D158&lt;&gt;"Serviço",0,IF(OR(AND(AUTOEVENTO="Manual",$M158=1),$M158&gt;(ROW(PLE.lastrow)-ROW(PLE.firstrow))),0,IF(OFFSET(PLE!$G$14,$M158,CG$13)="",10^12,OFFSET(PLE!$G$14,$M158,CG$13))))</f>
        <v>1000000000000</v>
      </c>
      <c r="CH158" s="182">
        <f ca="1">IF($D158&lt;&gt;"Serviço",0,IF(OR(AND(AUTOEVENTO="Manual",$M158=1),$M158&gt;(ROW(PLE.lastrow)-ROW(PLE.firstrow))),0,IF(OFFSET(PLE!$G$14,$M158,CH$13)="",10^12,OFFSET(PLE!$G$14,$M158,CH$13))))</f>
        <v>1000000000000</v>
      </c>
      <c r="CI158" s="182">
        <f ca="1">IF($D158&lt;&gt;"Serviço",0,IF(OR(AND(AUTOEVENTO="Manual",$M158=1),$M158&gt;(ROW(PLE.lastrow)-ROW(PLE.firstrow))),0,IF(OFFSET(PLE!$G$14,$M158,CI$13)="",10^12,OFFSET(PLE!$G$14,$M158,CI$13))))</f>
        <v>1000000000000</v>
      </c>
      <c r="CJ158" s="182">
        <f ca="1">IF($D158&lt;&gt;"Serviço",0,IF(OR(AND(AUTOEVENTO="Manual",$M158=1),$M158&gt;(ROW(PLE.lastrow)-ROW(PLE.firstrow))),0,IF(OFFSET(PLE!$G$14,$M158,CJ$13)="",10^12,OFFSET(PLE!$G$14,$M158,CJ$13))))</f>
        <v>1000000000000</v>
      </c>
      <c r="CK158" s="182">
        <f ca="1">IF($D158&lt;&gt;"Serviço",0,IF(OR(AND(AUTOEVENTO="Manual",$M158=1),$M158&gt;(ROW(PLE.lastrow)-ROW(PLE.firstrow))),0,IF(OFFSET(PLE!$G$14,$M158,CK$13)="",10^12,OFFSET(PLE!$G$14,$M158,CK$13))))</f>
        <v>1000000000000</v>
      </c>
      <c r="CL158" s="182">
        <f ca="1">IF($D158&lt;&gt;"Serviço",0,IF(OR(AND(AUTOEVENTO="Manual",$M158=1),$M158&gt;(ROW(PLE.lastrow)-ROW(PLE.firstrow))),0,IF(OFFSET(PLE!$G$14,$M158,CL$13)="",10^12,OFFSET(PLE!$G$14,$M158,CL$13))))</f>
        <v>1000000000000</v>
      </c>
      <c r="CM158" s="182">
        <f ca="1">IF($D158&lt;&gt;"Serviço",0,IF(OR(AND(AUTOEVENTO="Manual",$M158=1),$M158&gt;(ROW(PLE.lastrow)-ROW(PLE.firstrow))),0,IF(OFFSET(PLE!$G$14,$M158,CM$13)="",10^12,OFFSET(PLE!$G$14,$M158,CM$13))))</f>
        <v>1000000000000</v>
      </c>
    </row>
    <row r="159" spans="1:91" ht="25.5" x14ac:dyDescent="0.2">
      <c r="A159" s="7" t="str">
        <f t="shared" ca="1" si="11"/>
        <v>140</v>
      </c>
      <c r="B159" s="7" t="str">
        <f ca="1">OFFSET(ORÇAMENTO!C$15,ROW(B159)-ROW(B$15),0)</f>
        <v>S</v>
      </c>
      <c r="C159" s="7" t="str">
        <f ca="1">OFFSET(ORÇAMENTO!L$15,ROW(C159)-ROW(C$15),0)</f>
        <v/>
      </c>
      <c r="D159" s="118" t="str">
        <f ca="1">OFFSET(ORÇAMENTO!N$15,ROW(D159)-ROW(D$15),0)</f>
        <v>Serviço</v>
      </c>
      <c r="E159" s="119" t="str">
        <f ca="1">OFFSET(ORÇAMENTO!O$15,ROW(E159)-ROW(E$15),0)</f>
        <v>-</v>
      </c>
      <c r="F159" s="172" t="str">
        <f ca="1">OFFSET(ORÇAMENTO!R$15,ROW(F159)-ROW(F$15),0)</f>
        <v>(abra o arquivo 'Referência 06-2024.xlsm)</v>
      </c>
      <c r="G159" s="173" t="str">
        <f ca="1">IF($D159&lt;&gt;"Serviço","",OFFSET(ORÇAMENTO!S$15,ROW(G159)-ROW(G$15),0))</f>
        <v>-</v>
      </c>
      <c r="H159" s="124">
        <f ca="1">IF($D159&lt;&gt;"Serviço",0,IF(ACOMPANHAMENTO="BM",ROUND(OFFSET(ORÇAMENTO!AJ$15,ROW(H159)-ROW(H$15),0),15-13*ORÇAMENTO!$AF$7),SUMPRODUCT(($Q$12:$AI$12&lt;&gt;"")*ROUND($Q159:$AI159,15-13*ORÇAMENTO!$AF$7))))</f>
        <v>66.83</v>
      </c>
      <c r="I159" s="561" t="s">
        <v>1107</v>
      </c>
      <c r="K159" s="174"/>
      <c r="L159" s="175" t="s">
        <v>255</v>
      </c>
      <c r="M159" s="176">
        <f ca="1">IF($D159&lt;&gt;"Serviço","",IF(AUTOEVENTO="manual",$A159,IF(ISERROR(MATCH($A159,$A$15:OFFSET($A159,-1,0),0)),MAX($M$15:OFFSET(M159,-1,0))+1,INDEX($M$15:OFFSET(M159,-1,0),MATCH($A159,$A$15:OFFSET($A159,-1,0),0)))))</f>
        <v>24</v>
      </c>
      <c r="N159" s="177" t="str">
        <f ca="1">IF($D159&lt;&gt;"Serviço","",IF(AUTOEVENTO="Manual",IF($A159=0,"&lt;-- defina o número do agrupador",OFFSET(EVENTOS!$D$14,$A159,0)),OFFSET($F$15,$A159,0)))</f>
        <v>ESQUADRIAS - GERAL</v>
      </c>
      <c r="O159" s="178"/>
      <c r="Q159" s="178">
        <v>66.83</v>
      </c>
      <c r="R159" s="179"/>
      <c r="S159" s="179"/>
      <c r="T159" s="179"/>
      <c r="U159" s="179"/>
      <c r="V159" s="179"/>
      <c r="W159" s="179"/>
      <c r="X159" s="179"/>
      <c r="Y159" s="179"/>
      <c r="Z159" s="180"/>
      <c r="AA159" s="179"/>
      <c r="AB159" s="179"/>
      <c r="AC159" s="179"/>
      <c r="AD159" s="179"/>
      <c r="AE159" s="179"/>
      <c r="AF159" s="179"/>
      <c r="AG159" s="179"/>
      <c r="AH159" s="180"/>
      <c r="AJ159" s="544">
        <f ca="1">IF(AND($D159="Serviço",AJ$12&lt;&gt;0,$H159&gt;0,OR(AUTOEVENTO&lt;&gt;"manual",$M159&lt;&gt;1)),
IF(Import.TipoArredondamento&lt;&gt;"TransfereGOV",
ROUND(OFFSET($P159,0,AJ$13),15-13*ORÇAMENTO!$AF$7)/$H159*OFFSET(ORÇAMENTO!$X$15,ROW(AJ159)-ROW(AJ$15),0),
ROUND(ROUND(OFFSET($P159,0,AJ$13),15-13*ORÇAMENTO!$AF$7)*OFFSET(ORÇAMENTO!$W$15,ROW(AJ159)-ROW(AJ$15),0),15-13*ORÇAMENTO!$AF$11)),0)</f>
        <v>0</v>
      </c>
      <c r="AK159" s="545">
        <f ca="1">IF(AND($D159="Serviço",AK$12&lt;&gt;0,$H159&gt;0,OR(AUTOEVENTO&lt;&gt;"manual",$M159&lt;&gt;1)),
IF(Import.TipoArredondamento&lt;&gt;"TransfereGOV",
ROUND(OFFSET($P159,0,AK$13),15-13*ORÇAMENTO!$AF$7)/$H159*OFFSET(ORÇAMENTO!$X$15,ROW(AK159)-ROW(AK$15),0),
ROUND(ROUND(OFFSET($P159,0,AK$13),15-13*ORÇAMENTO!$AF$7)*OFFSET(ORÇAMENTO!$W$15,ROW(AK159)-ROW(AK$15),0),15-13*ORÇAMENTO!$AF$11)),0)</f>
        <v>0</v>
      </c>
      <c r="AL159" s="545">
        <f ca="1">IF(AND($D159="Serviço",AL$12&lt;&gt;0,$H159&gt;0,OR(AUTOEVENTO&lt;&gt;"manual",$M159&lt;&gt;1)),
IF(Import.TipoArredondamento&lt;&gt;"TransfereGOV",
ROUND(OFFSET($P159,0,AL$13),15-13*ORÇAMENTO!$AF$7)/$H159*OFFSET(ORÇAMENTO!$X$15,ROW(AL159)-ROW(AL$15),0),
ROUND(ROUND(OFFSET($P159,0,AL$13),15-13*ORÇAMENTO!$AF$7)*OFFSET(ORÇAMENTO!$W$15,ROW(AL159)-ROW(AL$15),0),15-13*ORÇAMENTO!$AF$11)),0)</f>
        <v>0</v>
      </c>
      <c r="AM159" s="545">
        <f ca="1">IF(AND($D159="Serviço",AM$12&lt;&gt;0,$H159&gt;0,OR(AUTOEVENTO&lt;&gt;"manual",$M159&lt;&gt;1)),
IF(Import.TipoArredondamento&lt;&gt;"TransfereGOV",
ROUND(OFFSET($P159,0,AM$13),15-13*ORÇAMENTO!$AF$7)/$H159*OFFSET(ORÇAMENTO!$X$15,ROW(AM159)-ROW(AM$15),0),
ROUND(ROUND(OFFSET($P159,0,AM$13),15-13*ORÇAMENTO!$AF$7)*OFFSET(ORÇAMENTO!$W$15,ROW(AM159)-ROW(AM$15),0),15-13*ORÇAMENTO!$AF$11)),0)</f>
        <v>0</v>
      </c>
      <c r="AN159" s="545">
        <f ca="1">IF(AND($D159="Serviço",AN$12&lt;&gt;0,$H159&gt;0,OR(AUTOEVENTO&lt;&gt;"manual",$M159&lt;&gt;1)),
IF(Import.TipoArredondamento&lt;&gt;"TransfereGOV",
ROUND(OFFSET($P159,0,AN$13),15-13*ORÇAMENTO!$AF$7)/$H159*OFFSET(ORÇAMENTO!$X$15,ROW(AN159)-ROW(AN$15),0),
ROUND(ROUND(OFFSET($P159,0,AN$13),15-13*ORÇAMENTO!$AF$7)*OFFSET(ORÇAMENTO!$W$15,ROW(AN159)-ROW(AN$15),0),15-13*ORÇAMENTO!$AF$11)),0)</f>
        <v>0</v>
      </c>
      <c r="AO159" s="545">
        <f ca="1">IF(AND($D159="Serviço",AO$12&lt;&gt;0,$H159&gt;0,OR(AUTOEVENTO&lt;&gt;"manual",$M159&lt;&gt;1)),
IF(Import.TipoArredondamento&lt;&gt;"TransfereGOV",
ROUND(OFFSET($P159,0,AO$13),15-13*ORÇAMENTO!$AF$7)/$H159*OFFSET(ORÇAMENTO!$X$15,ROW(AO159)-ROW(AO$15),0),
ROUND(ROUND(OFFSET($P159,0,AO$13),15-13*ORÇAMENTO!$AF$7)*OFFSET(ORÇAMENTO!$W$15,ROW(AO159)-ROW(AO$15),0),15-13*ORÇAMENTO!$AF$11)),0)</f>
        <v>0</v>
      </c>
      <c r="AP159" s="545">
        <f ca="1">IF(AND($D159="Serviço",AP$12&lt;&gt;0,$H159&gt;0,OR(AUTOEVENTO&lt;&gt;"manual",$M159&lt;&gt;1)),
IF(Import.TipoArredondamento&lt;&gt;"TransfereGOV",
ROUND(OFFSET($P159,0,AP$13),15-13*ORÇAMENTO!$AF$7)/$H159*OFFSET(ORÇAMENTO!$X$15,ROW(AP159)-ROW(AP$15),0),
ROUND(ROUND(OFFSET($P159,0,AP$13),15-13*ORÇAMENTO!$AF$7)*OFFSET(ORÇAMENTO!$W$15,ROW(AP159)-ROW(AP$15),0),15-13*ORÇAMENTO!$AF$11)),0)</f>
        <v>0</v>
      </c>
      <c r="AQ159" s="545">
        <f ca="1">IF(AND($D159="Serviço",AQ$12&lt;&gt;0,$H159&gt;0,OR(AUTOEVENTO&lt;&gt;"manual",$M159&lt;&gt;1)),
IF(Import.TipoArredondamento&lt;&gt;"TransfereGOV",
ROUND(OFFSET($P159,0,AQ$13),15-13*ORÇAMENTO!$AF$7)/$H159*OFFSET(ORÇAMENTO!$X$15,ROW(AQ159)-ROW(AQ$15),0),
ROUND(ROUND(OFFSET($P159,0,AQ$13),15-13*ORÇAMENTO!$AF$7)*OFFSET(ORÇAMENTO!$W$15,ROW(AQ159)-ROW(AQ$15),0),15-13*ORÇAMENTO!$AF$11)),0)</f>
        <v>0</v>
      </c>
      <c r="AR159" s="545">
        <f ca="1">IF(AND($D159="Serviço",AR$12&lt;&gt;0,$H159&gt;0,OR(AUTOEVENTO&lt;&gt;"manual",$M159&lt;&gt;1)),
IF(Import.TipoArredondamento&lt;&gt;"TransfereGOV",
ROUND(OFFSET($P159,0,AR$13),15-13*ORÇAMENTO!$AF$7)/$H159*OFFSET(ORÇAMENTO!$X$15,ROW(AR159)-ROW(AR$15),0),
ROUND(ROUND(OFFSET($P159,0,AR$13),15-13*ORÇAMENTO!$AF$7)*OFFSET(ORÇAMENTO!$W$15,ROW(AR159)-ROW(AR$15),0),15-13*ORÇAMENTO!$AF$11)),0)</f>
        <v>0</v>
      </c>
      <c r="AS159" s="546">
        <f ca="1">IF(AND($D159="Serviço",AS$12&lt;&gt;0,$H159&gt;0,OR(AUTOEVENTO&lt;&gt;"manual",$M159&lt;&gt;1)),
IF(Import.TipoArredondamento&lt;&gt;"TransfereGOV",
ROUND(OFFSET($P159,0,AS$13),15-13*ORÇAMENTO!$AF$7)/$H159*OFFSET(ORÇAMENTO!$X$15,ROW(AS159)-ROW(AS$15),0),
ROUND(ROUND(OFFSET($P159,0,AS$13),15-13*ORÇAMENTO!$AF$7)*OFFSET(ORÇAMENTO!$W$15,ROW(AS159)-ROW(AS$15),0),15-13*ORÇAMENTO!$AF$11)),0)</f>
        <v>0</v>
      </c>
      <c r="AT159" s="545">
        <f ca="1">IF(AND($D159="Serviço",AT$12&lt;&gt;0,$H159&gt;0,OR(AUTOEVENTO&lt;&gt;"manual",$M159&lt;&gt;1)),
IF(Import.TipoArredondamento&lt;&gt;"TransfereGOV",
ROUND(OFFSET($P159,0,AT$13),15-13*ORÇAMENTO!$AF$7)/$H159*OFFSET(ORÇAMENTO!$X$15,ROW(AT159)-ROW(AT$15),0),
ROUND(ROUND(OFFSET($P159,0,AT$13),15-13*ORÇAMENTO!$AF$7)*OFFSET(ORÇAMENTO!$W$15,ROW(AT159)-ROW(AT$15),0),15-13*ORÇAMENTO!$AF$11)),0)</f>
        <v>0</v>
      </c>
      <c r="AU159" s="545">
        <f ca="1">IF(AND($D159="Serviço",AU$12&lt;&gt;0,$H159&gt;0,OR(AUTOEVENTO&lt;&gt;"manual",$M159&lt;&gt;1)),
IF(Import.TipoArredondamento&lt;&gt;"TransfereGOV",
ROUND(OFFSET($P159,0,AU$13),15-13*ORÇAMENTO!$AF$7)/$H159*OFFSET(ORÇAMENTO!$X$15,ROW(AU159)-ROW(AU$15),0),
ROUND(ROUND(OFFSET($P159,0,AU$13),15-13*ORÇAMENTO!$AF$7)*OFFSET(ORÇAMENTO!$W$15,ROW(AU159)-ROW(AU$15),0),15-13*ORÇAMENTO!$AF$11)),0)</f>
        <v>0</v>
      </c>
      <c r="AV159" s="545">
        <f ca="1">IF(AND($D159="Serviço",AV$12&lt;&gt;0,$H159&gt;0,OR(AUTOEVENTO&lt;&gt;"manual",$M159&lt;&gt;1)),
IF(Import.TipoArredondamento&lt;&gt;"TransfereGOV",
ROUND(OFFSET($P159,0,AV$13),15-13*ORÇAMENTO!$AF$7)/$H159*OFFSET(ORÇAMENTO!$X$15,ROW(AV159)-ROW(AV$15),0),
ROUND(ROUND(OFFSET($P159,0,AV$13),15-13*ORÇAMENTO!$AF$7)*OFFSET(ORÇAMENTO!$W$15,ROW(AV159)-ROW(AV$15),0),15-13*ORÇAMENTO!$AF$11)),0)</f>
        <v>0</v>
      </c>
      <c r="AW159" s="545">
        <f ca="1">IF(AND($D159="Serviço",AW$12&lt;&gt;0,$H159&gt;0,OR(AUTOEVENTO&lt;&gt;"manual",$M159&lt;&gt;1)),
IF(Import.TipoArredondamento&lt;&gt;"TransfereGOV",
ROUND(OFFSET($P159,0,AW$13),15-13*ORÇAMENTO!$AF$7)/$H159*OFFSET(ORÇAMENTO!$X$15,ROW(AW159)-ROW(AW$15),0),
ROUND(ROUND(OFFSET($P159,0,AW$13),15-13*ORÇAMENTO!$AF$7)*OFFSET(ORÇAMENTO!$W$15,ROW(AW159)-ROW(AW$15),0),15-13*ORÇAMENTO!$AF$11)),0)</f>
        <v>0</v>
      </c>
      <c r="AX159" s="545">
        <f ca="1">IF(AND($D159="Serviço",AX$12&lt;&gt;0,$H159&gt;0,OR(AUTOEVENTO&lt;&gt;"manual",$M159&lt;&gt;1)),
IF(Import.TipoArredondamento&lt;&gt;"TransfereGOV",
ROUND(OFFSET($P159,0,AX$13),15-13*ORÇAMENTO!$AF$7)/$H159*OFFSET(ORÇAMENTO!$X$15,ROW(AX159)-ROW(AX$15),0),
ROUND(ROUND(OFFSET($P159,0,AX$13),15-13*ORÇAMENTO!$AF$7)*OFFSET(ORÇAMENTO!$W$15,ROW(AX159)-ROW(AX$15),0),15-13*ORÇAMENTO!$AF$11)),0)</f>
        <v>0</v>
      </c>
      <c r="AY159" s="545">
        <f ca="1">IF(AND($D159="Serviço",AY$12&lt;&gt;0,$H159&gt;0,OR(AUTOEVENTO&lt;&gt;"manual",$M159&lt;&gt;1)),
IF(Import.TipoArredondamento&lt;&gt;"TransfereGOV",
ROUND(OFFSET($P159,0,AY$13),15-13*ORÇAMENTO!$AF$7)/$H159*OFFSET(ORÇAMENTO!$X$15,ROW(AY159)-ROW(AY$15),0),
ROUND(ROUND(OFFSET($P159,0,AY$13),15-13*ORÇAMENTO!$AF$7)*OFFSET(ORÇAMENTO!$W$15,ROW(AY159)-ROW(AY$15),0),15-13*ORÇAMENTO!$AF$11)),0)</f>
        <v>0</v>
      </c>
      <c r="AZ159" s="545">
        <f ca="1">IF(AND($D159="Serviço",AZ$12&lt;&gt;0,$H159&gt;0,OR(AUTOEVENTO&lt;&gt;"manual",$M159&lt;&gt;1)),
IF(Import.TipoArredondamento&lt;&gt;"TransfereGOV",
ROUND(OFFSET($P159,0,AZ$13),15-13*ORÇAMENTO!$AF$7)/$H159*OFFSET(ORÇAMENTO!$X$15,ROW(AZ159)-ROW(AZ$15),0),
ROUND(ROUND(OFFSET($P159,0,AZ$13),15-13*ORÇAMENTO!$AF$7)*OFFSET(ORÇAMENTO!$W$15,ROW(AZ159)-ROW(AZ$15),0),15-13*ORÇAMENTO!$AF$11)),0)</f>
        <v>0</v>
      </c>
      <c r="BA159" s="546">
        <f ca="1">IF(AND($D159="Serviço",BA$12&lt;&gt;0,$H159&gt;0,OR(AUTOEVENTO&lt;&gt;"manual",$M159&lt;&gt;1)),
IF(Import.TipoArredondamento&lt;&gt;"TransfereGOV",
ROUND(OFFSET($P159,0,BA$13),15-13*ORÇAMENTO!$AF$7)/$H159*OFFSET(ORÇAMENTO!$X$15,ROW(BA159)-ROW(BA$15),0),
ROUND(ROUND(OFFSET($P159,0,BA$13),15-13*ORÇAMENTO!$AF$7)*OFFSET(ORÇAMENTO!$W$15,ROW(BA159)-ROW(BA$15),0),15-13*ORÇAMENTO!$AF$11)),0)</f>
        <v>0</v>
      </c>
      <c r="BC159" s="181">
        <f ca="1">IF($D159&lt;&gt;"Serviço",0,IF(AND(AUTOEVENTO="Manual",$M159=1),0,IF(OFFSET(CRONOPLE!$F$14,$M159,BC$13)="",10^12,OFFSET(CRONOPLE!$F$14,$M159,BC$13))))</f>
        <v>6</v>
      </c>
      <c r="BD159" s="181">
        <f ca="1">IF($D159&lt;&gt;"Serviço",0,IF(AND(AUTOEVENTO="Manual",$M159=1),0,IF(OFFSET(CRONOPLE!$F$14,$M159,BD$13)="",10^12,OFFSET(CRONOPLE!$F$14,$M159,BD$13))))</f>
        <v>1000000000000</v>
      </c>
      <c r="BE159" s="181">
        <f ca="1">IF($D159&lt;&gt;"Serviço",0,IF(AND(AUTOEVENTO="Manual",$M159=1),0,IF(OFFSET(CRONOPLE!$F$14,$M159,BE$13)="",10^12,OFFSET(CRONOPLE!$F$14,$M159,BE$13))))</f>
        <v>1000000000000</v>
      </c>
      <c r="BF159" s="181">
        <f ca="1">IF($D159&lt;&gt;"Serviço",0,IF(AND(AUTOEVENTO="Manual",$M159=1),0,IF(OFFSET(CRONOPLE!$F$14,$M159,BF$13)="",10^12,OFFSET(CRONOPLE!$F$14,$M159,BF$13))))</f>
        <v>1000000000000</v>
      </c>
      <c r="BG159" s="181">
        <f ca="1">IF($D159&lt;&gt;"Serviço",0,IF(AND(AUTOEVENTO="Manual",$M159=1),0,IF(OFFSET(CRONOPLE!$F$14,$M159,BG$13)="",10^12,OFFSET(CRONOPLE!$F$14,$M159,BG$13))))</f>
        <v>1000000000000</v>
      </c>
      <c r="BH159" s="181">
        <f ca="1">IF($D159&lt;&gt;"Serviço",0,IF(AND(AUTOEVENTO="Manual",$M159=1),0,IF(OFFSET(CRONOPLE!$F$14,$M159,BH$13)="",10^12,OFFSET(CRONOPLE!$F$14,$M159,BH$13))))</f>
        <v>1000000000000</v>
      </c>
      <c r="BI159" s="181">
        <f ca="1">IF($D159&lt;&gt;"Serviço",0,IF(AND(AUTOEVENTO="Manual",$M159=1),0,IF(OFFSET(CRONOPLE!$F$14,$M159,BI$13)="",10^12,OFFSET(CRONOPLE!$F$14,$M159,BI$13))))</f>
        <v>1000000000000</v>
      </c>
      <c r="BJ159" s="181">
        <f ca="1">IF($D159&lt;&gt;"Serviço",0,IF(AND(AUTOEVENTO="Manual",$M159=1),0,IF(OFFSET(CRONOPLE!$F$14,$M159,BJ$13)="",10^12,OFFSET(CRONOPLE!$F$14,$M159,BJ$13))))</f>
        <v>1000000000000</v>
      </c>
      <c r="BK159" s="181">
        <f ca="1">IF($D159&lt;&gt;"Serviço",0,IF(AND(AUTOEVENTO="Manual",$M159=1),0,IF(OFFSET(CRONOPLE!$F$14,$M159,BK$13)="",10^12,OFFSET(CRONOPLE!$F$14,$M159,BK$13))))</f>
        <v>1000000000000</v>
      </c>
      <c r="BL159" s="181">
        <f ca="1">IF($D159&lt;&gt;"Serviço",0,IF(AND(AUTOEVENTO="Manual",$M159=1),0,IF(OFFSET(CRONOPLE!$F$14,$M159,BL$13)="",10^12,OFFSET(CRONOPLE!$F$14,$M159,BL$13))))</f>
        <v>1000000000000</v>
      </c>
      <c r="BM159" s="181">
        <f ca="1">IF($D159&lt;&gt;"Serviço",0,IF(AND(AUTOEVENTO="Manual",$M159=1),0,IF(OFFSET(CRONOPLE!$F$14,$M159,BM$13)="",10^12,OFFSET(CRONOPLE!$F$14,$M159,BM$13))))</f>
        <v>1000000000000</v>
      </c>
      <c r="BN159" s="181">
        <f ca="1">IF($D159&lt;&gt;"Serviço",0,IF(AND(AUTOEVENTO="Manual",$M159=1),0,IF(OFFSET(CRONOPLE!$F$14,$M159,BN$13)="",10^12,OFFSET(CRONOPLE!$F$14,$M159,BN$13))))</f>
        <v>1000000000000</v>
      </c>
      <c r="BO159" s="181">
        <f ca="1">IF($D159&lt;&gt;"Serviço",0,IF(AND(AUTOEVENTO="Manual",$M159=1),0,IF(OFFSET(CRONOPLE!$F$14,$M159,BO$13)="",10^12,OFFSET(CRONOPLE!$F$14,$M159,BO$13))))</f>
        <v>1000000000000</v>
      </c>
      <c r="BP159" s="181">
        <f ca="1">IF($D159&lt;&gt;"Serviço",0,IF(AND(AUTOEVENTO="Manual",$M159=1),0,IF(OFFSET(CRONOPLE!$F$14,$M159,BP$13)="",10^12,OFFSET(CRONOPLE!$F$14,$M159,BP$13))))</f>
        <v>1000000000000</v>
      </c>
      <c r="BQ159" s="181">
        <f ca="1">IF($D159&lt;&gt;"Serviço",0,IF(AND(AUTOEVENTO="Manual",$M159=1),0,IF(OFFSET(CRONOPLE!$F$14,$M159,BQ$13)="",10^12,OFFSET(CRONOPLE!$F$14,$M159,BQ$13))))</f>
        <v>1000000000000</v>
      </c>
      <c r="BR159" s="181">
        <f ca="1">IF($D159&lt;&gt;"Serviço",0,IF(AND(AUTOEVENTO="Manual",$M159=1),0,IF(OFFSET(CRONOPLE!$F$14,$M159,BR$13)="",10^12,OFFSET(CRONOPLE!$F$14,$M159,BR$13))))</f>
        <v>1000000000000</v>
      </c>
      <c r="BS159" s="181">
        <f ca="1">IF($D159&lt;&gt;"Serviço",0,IF(AND(AUTOEVENTO="Manual",$M159=1),0,IF(OFFSET(CRONOPLE!$F$14,$M159,BS$13)="",10^12,OFFSET(CRONOPLE!$F$14,$M159,BS$13))))</f>
        <v>1000000000000</v>
      </c>
      <c r="BT159" s="181">
        <f ca="1">IF($D159&lt;&gt;"Serviço",0,IF(AND(AUTOEVENTO="Manual",$M159=1),0,IF(OFFSET(CRONOPLE!$F$14,$M159,BT$13)="",10^12,OFFSET(CRONOPLE!$F$14,$M159,BT$13))))</f>
        <v>1000000000000</v>
      </c>
      <c r="BV159" s="182">
        <f ca="1">IF($D159&lt;&gt;"Serviço",0,IF(OR(AND(AUTOEVENTO="Manual",$M159=1),$M159&gt;(ROW(PLE.lastrow)-ROW(PLE.firstrow))),0,IF(OFFSET(PLE!$G$14,$M159,BV$13)="",10^12,OFFSET(PLE!$G$14,$M159,BV$13))))</f>
        <v>1000000000000</v>
      </c>
      <c r="BW159" s="182">
        <f ca="1">IF($D159&lt;&gt;"Serviço",0,IF(OR(AND(AUTOEVENTO="Manual",$M159=1),$M159&gt;(ROW(PLE.lastrow)-ROW(PLE.firstrow))),0,IF(OFFSET(PLE!$G$14,$M159,BW$13)="",10^12,OFFSET(PLE!$G$14,$M159,BW$13))))</f>
        <v>1000000000000</v>
      </c>
      <c r="BX159" s="182">
        <f ca="1">IF($D159&lt;&gt;"Serviço",0,IF(OR(AND(AUTOEVENTO="Manual",$M159=1),$M159&gt;(ROW(PLE.lastrow)-ROW(PLE.firstrow))),0,IF(OFFSET(PLE!$G$14,$M159,BX$13)="",10^12,OFFSET(PLE!$G$14,$M159,BX$13))))</f>
        <v>1000000000000</v>
      </c>
      <c r="BY159" s="182">
        <f ca="1">IF($D159&lt;&gt;"Serviço",0,IF(OR(AND(AUTOEVENTO="Manual",$M159=1),$M159&gt;(ROW(PLE.lastrow)-ROW(PLE.firstrow))),0,IF(OFFSET(PLE!$G$14,$M159,BY$13)="",10^12,OFFSET(PLE!$G$14,$M159,BY$13))))</f>
        <v>1000000000000</v>
      </c>
      <c r="BZ159" s="182">
        <f ca="1">IF($D159&lt;&gt;"Serviço",0,IF(OR(AND(AUTOEVENTO="Manual",$M159=1),$M159&gt;(ROW(PLE.lastrow)-ROW(PLE.firstrow))),0,IF(OFFSET(PLE!$G$14,$M159,BZ$13)="",10^12,OFFSET(PLE!$G$14,$M159,BZ$13))))</f>
        <v>1000000000000</v>
      </c>
      <c r="CA159" s="182">
        <f ca="1">IF($D159&lt;&gt;"Serviço",0,IF(OR(AND(AUTOEVENTO="Manual",$M159=1),$M159&gt;(ROW(PLE.lastrow)-ROW(PLE.firstrow))),0,IF(OFFSET(PLE!$G$14,$M159,CA$13)="",10^12,OFFSET(PLE!$G$14,$M159,CA$13))))</f>
        <v>1000000000000</v>
      </c>
      <c r="CB159" s="182">
        <f ca="1">IF($D159&lt;&gt;"Serviço",0,IF(OR(AND(AUTOEVENTO="Manual",$M159=1),$M159&gt;(ROW(PLE.lastrow)-ROW(PLE.firstrow))),0,IF(OFFSET(PLE!$G$14,$M159,CB$13)="",10^12,OFFSET(PLE!$G$14,$M159,CB$13))))</f>
        <v>1000000000000</v>
      </c>
      <c r="CC159" s="182">
        <f ca="1">IF($D159&lt;&gt;"Serviço",0,IF(OR(AND(AUTOEVENTO="Manual",$M159=1),$M159&gt;(ROW(PLE.lastrow)-ROW(PLE.firstrow))),0,IF(OFFSET(PLE!$G$14,$M159,CC$13)="",10^12,OFFSET(PLE!$G$14,$M159,CC$13))))</f>
        <v>1000000000000</v>
      </c>
      <c r="CD159" s="182">
        <f ca="1">IF($D159&lt;&gt;"Serviço",0,IF(OR(AND(AUTOEVENTO="Manual",$M159=1),$M159&gt;(ROW(PLE.lastrow)-ROW(PLE.firstrow))),0,IF(OFFSET(PLE!$G$14,$M159,CD$13)="",10^12,OFFSET(PLE!$G$14,$M159,CD$13))))</f>
        <v>1000000000000</v>
      </c>
      <c r="CE159" s="182">
        <f ca="1">IF($D159&lt;&gt;"Serviço",0,IF(OR(AND(AUTOEVENTO="Manual",$M159=1),$M159&gt;(ROW(PLE.lastrow)-ROW(PLE.firstrow))),0,IF(OFFSET(PLE!$G$14,$M159,CE$13)="",10^12,OFFSET(PLE!$G$14,$M159,CE$13))))</f>
        <v>1000000000000</v>
      </c>
      <c r="CF159" s="182">
        <f ca="1">IF($D159&lt;&gt;"Serviço",0,IF(OR(AND(AUTOEVENTO="Manual",$M159=1),$M159&gt;(ROW(PLE.lastrow)-ROW(PLE.firstrow))),0,IF(OFFSET(PLE!$G$14,$M159,CF$13)="",10^12,OFFSET(PLE!$G$14,$M159,CF$13))))</f>
        <v>1000000000000</v>
      </c>
      <c r="CG159" s="182">
        <f ca="1">IF($D159&lt;&gt;"Serviço",0,IF(OR(AND(AUTOEVENTO="Manual",$M159=1),$M159&gt;(ROW(PLE.lastrow)-ROW(PLE.firstrow))),0,IF(OFFSET(PLE!$G$14,$M159,CG$13)="",10^12,OFFSET(PLE!$G$14,$M159,CG$13))))</f>
        <v>1000000000000</v>
      </c>
      <c r="CH159" s="182">
        <f ca="1">IF($D159&lt;&gt;"Serviço",0,IF(OR(AND(AUTOEVENTO="Manual",$M159=1),$M159&gt;(ROW(PLE.lastrow)-ROW(PLE.firstrow))),0,IF(OFFSET(PLE!$G$14,$M159,CH$13)="",10^12,OFFSET(PLE!$G$14,$M159,CH$13))))</f>
        <v>1000000000000</v>
      </c>
      <c r="CI159" s="182">
        <f ca="1">IF($D159&lt;&gt;"Serviço",0,IF(OR(AND(AUTOEVENTO="Manual",$M159=1),$M159&gt;(ROW(PLE.lastrow)-ROW(PLE.firstrow))),0,IF(OFFSET(PLE!$G$14,$M159,CI$13)="",10^12,OFFSET(PLE!$G$14,$M159,CI$13))))</f>
        <v>1000000000000</v>
      </c>
      <c r="CJ159" s="182">
        <f ca="1">IF($D159&lt;&gt;"Serviço",0,IF(OR(AND(AUTOEVENTO="Manual",$M159=1),$M159&gt;(ROW(PLE.lastrow)-ROW(PLE.firstrow))),0,IF(OFFSET(PLE!$G$14,$M159,CJ$13)="",10^12,OFFSET(PLE!$G$14,$M159,CJ$13))))</f>
        <v>1000000000000</v>
      </c>
      <c r="CK159" s="182">
        <f ca="1">IF($D159&lt;&gt;"Serviço",0,IF(OR(AND(AUTOEVENTO="Manual",$M159=1),$M159&gt;(ROW(PLE.lastrow)-ROW(PLE.firstrow))),0,IF(OFFSET(PLE!$G$14,$M159,CK$13)="",10^12,OFFSET(PLE!$G$14,$M159,CK$13))))</f>
        <v>1000000000000</v>
      </c>
      <c r="CL159" s="182">
        <f ca="1">IF($D159&lt;&gt;"Serviço",0,IF(OR(AND(AUTOEVENTO="Manual",$M159=1),$M159&gt;(ROW(PLE.lastrow)-ROW(PLE.firstrow))),0,IF(OFFSET(PLE!$G$14,$M159,CL$13)="",10^12,OFFSET(PLE!$G$14,$M159,CL$13))))</f>
        <v>1000000000000</v>
      </c>
      <c r="CM159" s="182">
        <f ca="1">IF($D159&lt;&gt;"Serviço",0,IF(OR(AND(AUTOEVENTO="Manual",$M159=1),$M159&gt;(ROW(PLE.lastrow)-ROW(PLE.firstrow))),0,IF(OFFSET(PLE!$G$14,$M159,CM$13)="",10^12,OFFSET(PLE!$G$14,$M159,CM$13))))</f>
        <v>1000000000000</v>
      </c>
    </row>
    <row r="160" spans="1:91" ht="25.5" x14ac:dyDescent="0.2">
      <c r="A160" s="7" t="str">
        <f t="shared" ca="1" si="11"/>
        <v>140</v>
      </c>
      <c r="B160" s="7" t="str">
        <f ca="1">OFFSET(ORÇAMENTO!C$15,ROW(B160)-ROW(B$15),0)</f>
        <v>S</v>
      </c>
      <c r="C160" s="7" t="str">
        <f ca="1">OFFSET(ORÇAMENTO!L$15,ROW(C160)-ROW(C$15),0)</f>
        <v/>
      </c>
      <c r="D160" s="118" t="str">
        <f ca="1">OFFSET(ORÇAMENTO!N$15,ROW(D160)-ROW(D$15),0)</f>
        <v>Serviço</v>
      </c>
      <c r="E160" s="119" t="str">
        <f ca="1">OFFSET(ORÇAMENTO!O$15,ROW(E160)-ROW(E$15),0)</f>
        <v>-</v>
      </c>
      <c r="F160" s="172" t="str">
        <f ca="1">OFFSET(ORÇAMENTO!R$15,ROW(F160)-ROW(F$15),0)</f>
        <v>(abra o arquivo 'Referência 06-2024.xlsm)</v>
      </c>
      <c r="G160" s="173" t="str">
        <f ca="1">IF($D160&lt;&gt;"Serviço","",OFFSET(ORÇAMENTO!S$15,ROW(G160)-ROW(G$15),0))</f>
        <v>-</v>
      </c>
      <c r="H160" s="124">
        <f ca="1">IF($D160&lt;&gt;"Serviço",0,IF(ACOMPANHAMENTO="BM",ROUND(OFFSET(ORÇAMENTO!AJ$15,ROW(H160)-ROW(H$15),0),15-13*ORÇAMENTO!$AF$7),SUMPRODUCT(($Q$12:$AI$12&lt;&gt;"")*ROUND($Q160:$AI160,15-13*ORÇAMENTO!$AF$7))))</f>
        <v>33.96</v>
      </c>
      <c r="I160" s="561" t="s">
        <v>1107</v>
      </c>
      <c r="K160" s="174"/>
      <c r="L160" s="175" t="s">
        <v>255</v>
      </c>
      <c r="M160" s="176">
        <f ca="1">IF($D160&lt;&gt;"Serviço","",IF(AUTOEVENTO="manual",$A160,IF(ISERROR(MATCH($A160,$A$15:OFFSET($A160,-1,0),0)),MAX($M$15:OFFSET(M160,-1,0))+1,INDEX($M$15:OFFSET(M160,-1,0),MATCH($A160,$A$15:OFFSET($A160,-1,0),0)))))</f>
        <v>24</v>
      </c>
      <c r="N160" s="177" t="str">
        <f ca="1">IF($D160&lt;&gt;"Serviço","",IF(AUTOEVENTO="Manual",IF($A160=0,"&lt;-- defina o número do agrupador",OFFSET(EVENTOS!$D$14,$A160,0)),OFFSET($F$15,$A160,0)))</f>
        <v>ESQUADRIAS - GERAL</v>
      </c>
      <c r="O160" s="178"/>
      <c r="Q160" s="178">
        <v>33.96</v>
      </c>
      <c r="R160" s="179"/>
      <c r="S160" s="179"/>
      <c r="T160" s="179"/>
      <c r="U160" s="179"/>
      <c r="V160" s="179"/>
      <c r="W160" s="179"/>
      <c r="X160" s="179"/>
      <c r="Y160" s="179"/>
      <c r="Z160" s="180"/>
      <c r="AA160" s="179"/>
      <c r="AB160" s="179"/>
      <c r="AC160" s="179"/>
      <c r="AD160" s="179"/>
      <c r="AE160" s="179"/>
      <c r="AF160" s="179"/>
      <c r="AG160" s="179"/>
      <c r="AH160" s="180"/>
      <c r="AJ160" s="544">
        <f ca="1">IF(AND($D160="Serviço",AJ$12&lt;&gt;0,$H160&gt;0,OR(AUTOEVENTO&lt;&gt;"manual",$M160&lt;&gt;1)),
IF(Import.TipoArredondamento&lt;&gt;"TransfereGOV",
ROUND(OFFSET($P160,0,AJ$13),15-13*ORÇAMENTO!$AF$7)/$H160*OFFSET(ORÇAMENTO!$X$15,ROW(AJ160)-ROW(AJ$15),0),
ROUND(ROUND(OFFSET($P160,0,AJ$13),15-13*ORÇAMENTO!$AF$7)*OFFSET(ORÇAMENTO!$W$15,ROW(AJ160)-ROW(AJ$15),0),15-13*ORÇAMENTO!$AF$11)),0)</f>
        <v>0</v>
      </c>
      <c r="AK160" s="545">
        <f ca="1">IF(AND($D160="Serviço",AK$12&lt;&gt;0,$H160&gt;0,OR(AUTOEVENTO&lt;&gt;"manual",$M160&lt;&gt;1)),
IF(Import.TipoArredondamento&lt;&gt;"TransfereGOV",
ROUND(OFFSET($P160,0,AK$13),15-13*ORÇAMENTO!$AF$7)/$H160*OFFSET(ORÇAMENTO!$X$15,ROW(AK160)-ROW(AK$15),0),
ROUND(ROUND(OFFSET($P160,0,AK$13),15-13*ORÇAMENTO!$AF$7)*OFFSET(ORÇAMENTO!$W$15,ROW(AK160)-ROW(AK$15),0),15-13*ORÇAMENTO!$AF$11)),0)</f>
        <v>0</v>
      </c>
      <c r="AL160" s="545">
        <f ca="1">IF(AND($D160="Serviço",AL$12&lt;&gt;0,$H160&gt;0,OR(AUTOEVENTO&lt;&gt;"manual",$M160&lt;&gt;1)),
IF(Import.TipoArredondamento&lt;&gt;"TransfereGOV",
ROUND(OFFSET($P160,0,AL$13),15-13*ORÇAMENTO!$AF$7)/$H160*OFFSET(ORÇAMENTO!$X$15,ROW(AL160)-ROW(AL$15),0),
ROUND(ROUND(OFFSET($P160,0,AL$13),15-13*ORÇAMENTO!$AF$7)*OFFSET(ORÇAMENTO!$W$15,ROW(AL160)-ROW(AL$15),0),15-13*ORÇAMENTO!$AF$11)),0)</f>
        <v>0</v>
      </c>
      <c r="AM160" s="545">
        <f ca="1">IF(AND($D160="Serviço",AM$12&lt;&gt;0,$H160&gt;0,OR(AUTOEVENTO&lt;&gt;"manual",$M160&lt;&gt;1)),
IF(Import.TipoArredondamento&lt;&gt;"TransfereGOV",
ROUND(OFFSET($P160,0,AM$13),15-13*ORÇAMENTO!$AF$7)/$H160*OFFSET(ORÇAMENTO!$X$15,ROW(AM160)-ROW(AM$15),0),
ROUND(ROUND(OFFSET($P160,0,AM$13),15-13*ORÇAMENTO!$AF$7)*OFFSET(ORÇAMENTO!$W$15,ROW(AM160)-ROW(AM$15),0),15-13*ORÇAMENTO!$AF$11)),0)</f>
        <v>0</v>
      </c>
      <c r="AN160" s="545">
        <f ca="1">IF(AND($D160="Serviço",AN$12&lt;&gt;0,$H160&gt;0,OR(AUTOEVENTO&lt;&gt;"manual",$M160&lt;&gt;1)),
IF(Import.TipoArredondamento&lt;&gt;"TransfereGOV",
ROUND(OFFSET($P160,0,AN$13),15-13*ORÇAMENTO!$AF$7)/$H160*OFFSET(ORÇAMENTO!$X$15,ROW(AN160)-ROW(AN$15),0),
ROUND(ROUND(OFFSET($P160,0,AN$13),15-13*ORÇAMENTO!$AF$7)*OFFSET(ORÇAMENTO!$W$15,ROW(AN160)-ROW(AN$15),0),15-13*ORÇAMENTO!$AF$11)),0)</f>
        <v>0</v>
      </c>
      <c r="AO160" s="545">
        <f ca="1">IF(AND($D160="Serviço",AO$12&lt;&gt;0,$H160&gt;0,OR(AUTOEVENTO&lt;&gt;"manual",$M160&lt;&gt;1)),
IF(Import.TipoArredondamento&lt;&gt;"TransfereGOV",
ROUND(OFFSET($P160,0,AO$13),15-13*ORÇAMENTO!$AF$7)/$H160*OFFSET(ORÇAMENTO!$X$15,ROW(AO160)-ROW(AO$15),0),
ROUND(ROUND(OFFSET($P160,0,AO$13),15-13*ORÇAMENTO!$AF$7)*OFFSET(ORÇAMENTO!$W$15,ROW(AO160)-ROW(AO$15),0),15-13*ORÇAMENTO!$AF$11)),0)</f>
        <v>0</v>
      </c>
      <c r="AP160" s="545">
        <f ca="1">IF(AND($D160="Serviço",AP$12&lt;&gt;0,$H160&gt;0,OR(AUTOEVENTO&lt;&gt;"manual",$M160&lt;&gt;1)),
IF(Import.TipoArredondamento&lt;&gt;"TransfereGOV",
ROUND(OFFSET($P160,0,AP$13),15-13*ORÇAMENTO!$AF$7)/$H160*OFFSET(ORÇAMENTO!$X$15,ROW(AP160)-ROW(AP$15),0),
ROUND(ROUND(OFFSET($P160,0,AP$13),15-13*ORÇAMENTO!$AF$7)*OFFSET(ORÇAMENTO!$W$15,ROW(AP160)-ROW(AP$15),0),15-13*ORÇAMENTO!$AF$11)),0)</f>
        <v>0</v>
      </c>
      <c r="AQ160" s="545">
        <f ca="1">IF(AND($D160="Serviço",AQ$12&lt;&gt;0,$H160&gt;0,OR(AUTOEVENTO&lt;&gt;"manual",$M160&lt;&gt;1)),
IF(Import.TipoArredondamento&lt;&gt;"TransfereGOV",
ROUND(OFFSET($P160,0,AQ$13),15-13*ORÇAMENTO!$AF$7)/$H160*OFFSET(ORÇAMENTO!$X$15,ROW(AQ160)-ROW(AQ$15),0),
ROUND(ROUND(OFFSET($P160,0,AQ$13),15-13*ORÇAMENTO!$AF$7)*OFFSET(ORÇAMENTO!$W$15,ROW(AQ160)-ROW(AQ$15),0),15-13*ORÇAMENTO!$AF$11)),0)</f>
        <v>0</v>
      </c>
      <c r="AR160" s="545">
        <f ca="1">IF(AND($D160="Serviço",AR$12&lt;&gt;0,$H160&gt;0,OR(AUTOEVENTO&lt;&gt;"manual",$M160&lt;&gt;1)),
IF(Import.TipoArredondamento&lt;&gt;"TransfereGOV",
ROUND(OFFSET($P160,0,AR$13),15-13*ORÇAMENTO!$AF$7)/$H160*OFFSET(ORÇAMENTO!$X$15,ROW(AR160)-ROW(AR$15),0),
ROUND(ROUND(OFFSET($P160,0,AR$13),15-13*ORÇAMENTO!$AF$7)*OFFSET(ORÇAMENTO!$W$15,ROW(AR160)-ROW(AR$15),0),15-13*ORÇAMENTO!$AF$11)),0)</f>
        <v>0</v>
      </c>
      <c r="AS160" s="546">
        <f ca="1">IF(AND($D160="Serviço",AS$12&lt;&gt;0,$H160&gt;0,OR(AUTOEVENTO&lt;&gt;"manual",$M160&lt;&gt;1)),
IF(Import.TipoArredondamento&lt;&gt;"TransfereGOV",
ROUND(OFFSET($P160,0,AS$13),15-13*ORÇAMENTO!$AF$7)/$H160*OFFSET(ORÇAMENTO!$X$15,ROW(AS160)-ROW(AS$15),0),
ROUND(ROUND(OFFSET($P160,0,AS$13),15-13*ORÇAMENTO!$AF$7)*OFFSET(ORÇAMENTO!$W$15,ROW(AS160)-ROW(AS$15),0),15-13*ORÇAMENTO!$AF$11)),0)</f>
        <v>0</v>
      </c>
      <c r="AT160" s="545">
        <f ca="1">IF(AND($D160="Serviço",AT$12&lt;&gt;0,$H160&gt;0,OR(AUTOEVENTO&lt;&gt;"manual",$M160&lt;&gt;1)),
IF(Import.TipoArredondamento&lt;&gt;"TransfereGOV",
ROUND(OFFSET($P160,0,AT$13),15-13*ORÇAMENTO!$AF$7)/$H160*OFFSET(ORÇAMENTO!$X$15,ROW(AT160)-ROW(AT$15),0),
ROUND(ROUND(OFFSET($P160,0,AT$13),15-13*ORÇAMENTO!$AF$7)*OFFSET(ORÇAMENTO!$W$15,ROW(AT160)-ROW(AT$15),0),15-13*ORÇAMENTO!$AF$11)),0)</f>
        <v>0</v>
      </c>
      <c r="AU160" s="545">
        <f ca="1">IF(AND($D160="Serviço",AU$12&lt;&gt;0,$H160&gt;0,OR(AUTOEVENTO&lt;&gt;"manual",$M160&lt;&gt;1)),
IF(Import.TipoArredondamento&lt;&gt;"TransfereGOV",
ROUND(OFFSET($P160,0,AU$13),15-13*ORÇAMENTO!$AF$7)/$H160*OFFSET(ORÇAMENTO!$X$15,ROW(AU160)-ROW(AU$15),0),
ROUND(ROUND(OFFSET($P160,0,AU$13),15-13*ORÇAMENTO!$AF$7)*OFFSET(ORÇAMENTO!$W$15,ROW(AU160)-ROW(AU$15),0),15-13*ORÇAMENTO!$AF$11)),0)</f>
        <v>0</v>
      </c>
      <c r="AV160" s="545">
        <f ca="1">IF(AND($D160="Serviço",AV$12&lt;&gt;0,$H160&gt;0,OR(AUTOEVENTO&lt;&gt;"manual",$M160&lt;&gt;1)),
IF(Import.TipoArredondamento&lt;&gt;"TransfereGOV",
ROUND(OFFSET($P160,0,AV$13),15-13*ORÇAMENTO!$AF$7)/$H160*OFFSET(ORÇAMENTO!$X$15,ROW(AV160)-ROW(AV$15),0),
ROUND(ROUND(OFFSET($P160,0,AV$13),15-13*ORÇAMENTO!$AF$7)*OFFSET(ORÇAMENTO!$W$15,ROW(AV160)-ROW(AV$15),0),15-13*ORÇAMENTO!$AF$11)),0)</f>
        <v>0</v>
      </c>
      <c r="AW160" s="545">
        <f ca="1">IF(AND($D160="Serviço",AW$12&lt;&gt;0,$H160&gt;0,OR(AUTOEVENTO&lt;&gt;"manual",$M160&lt;&gt;1)),
IF(Import.TipoArredondamento&lt;&gt;"TransfereGOV",
ROUND(OFFSET($P160,0,AW$13),15-13*ORÇAMENTO!$AF$7)/$H160*OFFSET(ORÇAMENTO!$X$15,ROW(AW160)-ROW(AW$15),0),
ROUND(ROUND(OFFSET($P160,0,AW$13),15-13*ORÇAMENTO!$AF$7)*OFFSET(ORÇAMENTO!$W$15,ROW(AW160)-ROW(AW$15),0),15-13*ORÇAMENTO!$AF$11)),0)</f>
        <v>0</v>
      </c>
      <c r="AX160" s="545">
        <f ca="1">IF(AND($D160="Serviço",AX$12&lt;&gt;0,$H160&gt;0,OR(AUTOEVENTO&lt;&gt;"manual",$M160&lt;&gt;1)),
IF(Import.TipoArredondamento&lt;&gt;"TransfereGOV",
ROUND(OFFSET($P160,0,AX$13),15-13*ORÇAMENTO!$AF$7)/$H160*OFFSET(ORÇAMENTO!$X$15,ROW(AX160)-ROW(AX$15),0),
ROUND(ROUND(OFFSET($P160,0,AX$13),15-13*ORÇAMENTO!$AF$7)*OFFSET(ORÇAMENTO!$W$15,ROW(AX160)-ROW(AX$15),0),15-13*ORÇAMENTO!$AF$11)),0)</f>
        <v>0</v>
      </c>
      <c r="AY160" s="545">
        <f ca="1">IF(AND($D160="Serviço",AY$12&lt;&gt;0,$H160&gt;0,OR(AUTOEVENTO&lt;&gt;"manual",$M160&lt;&gt;1)),
IF(Import.TipoArredondamento&lt;&gt;"TransfereGOV",
ROUND(OFFSET($P160,0,AY$13),15-13*ORÇAMENTO!$AF$7)/$H160*OFFSET(ORÇAMENTO!$X$15,ROW(AY160)-ROW(AY$15),0),
ROUND(ROUND(OFFSET($P160,0,AY$13),15-13*ORÇAMENTO!$AF$7)*OFFSET(ORÇAMENTO!$W$15,ROW(AY160)-ROW(AY$15),0),15-13*ORÇAMENTO!$AF$11)),0)</f>
        <v>0</v>
      </c>
      <c r="AZ160" s="545">
        <f ca="1">IF(AND($D160="Serviço",AZ$12&lt;&gt;0,$H160&gt;0,OR(AUTOEVENTO&lt;&gt;"manual",$M160&lt;&gt;1)),
IF(Import.TipoArredondamento&lt;&gt;"TransfereGOV",
ROUND(OFFSET($P160,0,AZ$13),15-13*ORÇAMENTO!$AF$7)/$H160*OFFSET(ORÇAMENTO!$X$15,ROW(AZ160)-ROW(AZ$15),0),
ROUND(ROUND(OFFSET($P160,0,AZ$13),15-13*ORÇAMENTO!$AF$7)*OFFSET(ORÇAMENTO!$W$15,ROW(AZ160)-ROW(AZ$15),0),15-13*ORÇAMENTO!$AF$11)),0)</f>
        <v>0</v>
      </c>
      <c r="BA160" s="546">
        <f ca="1">IF(AND($D160="Serviço",BA$12&lt;&gt;0,$H160&gt;0,OR(AUTOEVENTO&lt;&gt;"manual",$M160&lt;&gt;1)),
IF(Import.TipoArredondamento&lt;&gt;"TransfereGOV",
ROUND(OFFSET($P160,0,BA$13),15-13*ORÇAMENTO!$AF$7)/$H160*OFFSET(ORÇAMENTO!$X$15,ROW(BA160)-ROW(BA$15),0),
ROUND(ROUND(OFFSET($P160,0,BA$13),15-13*ORÇAMENTO!$AF$7)*OFFSET(ORÇAMENTO!$W$15,ROW(BA160)-ROW(BA$15),0),15-13*ORÇAMENTO!$AF$11)),0)</f>
        <v>0</v>
      </c>
      <c r="BC160" s="181">
        <f ca="1">IF($D160&lt;&gt;"Serviço",0,IF(AND(AUTOEVENTO="Manual",$M160=1),0,IF(OFFSET(CRONOPLE!$F$14,$M160,BC$13)="",10^12,OFFSET(CRONOPLE!$F$14,$M160,BC$13))))</f>
        <v>6</v>
      </c>
      <c r="BD160" s="181">
        <f ca="1">IF($D160&lt;&gt;"Serviço",0,IF(AND(AUTOEVENTO="Manual",$M160=1),0,IF(OFFSET(CRONOPLE!$F$14,$M160,BD$13)="",10^12,OFFSET(CRONOPLE!$F$14,$M160,BD$13))))</f>
        <v>1000000000000</v>
      </c>
      <c r="BE160" s="181">
        <f ca="1">IF($D160&lt;&gt;"Serviço",0,IF(AND(AUTOEVENTO="Manual",$M160=1),0,IF(OFFSET(CRONOPLE!$F$14,$M160,BE$13)="",10^12,OFFSET(CRONOPLE!$F$14,$M160,BE$13))))</f>
        <v>1000000000000</v>
      </c>
      <c r="BF160" s="181">
        <f ca="1">IF($D160&lt;&gt;"Serviço",0,IF(AND(AUTOEVENTO="Manual",$M160=1),0,IF(OFFSET(CRONOPLE!$F$14,$M160,BF$13)="",10^12,OFFSET(CRONOPLE!$F$14,$M160,BF$13))))</f>
        <v>1000000000000</v>
      </c>
      <c r="BG160" s="181">
        <f ca="1">IF($D160&lt;&gt;"Serviço",0,IF(AND(AUTOEVENTO="Manual",$M160=1),0,IF(OFFSET(CRONOPLE!$F$14,$M160,BG$13)="",10^12,OFFSET(CRONOPLE!$F$14,$M160,BG$13))))</f>
        <v>1000000000000</v>
      </c>
      <c r="BH160" s="181">
        <f ca="1">IF($D160&lt;&gt;"Serviço",0,IF(AND(AUTOEVENTO="Manual",$M160=1),0,IF(OFFSET(CRONOPLE!$F$14,$M160,BH$13)="",10^12,OFFSET(CRONOPLE!$F$14,$M160,BH$13))))</f>
        <v>1000000000000</v>
      </c>
      <c r="BI160" s="181">
        <f ca="1">IF($D160&lt;&gt;"Serviço",0,IF(AND(AUTOEVENTO="Manual",$M160=1),0,IF(OFFSET(CRONOPLE!$F$14,$M160,BI$13)="",10^12,OFFSET(CRONOPLE!$F$14,$M160,BI$13))))</f>
        <v>1000000000000</v>
      </c>
      <c r="BJ160" s="181">
        <f ca="1">IF($D160&lt;&gt;"Serviço",0,IF(AND(AUTOEVENTO="Manual",$M160=1),0,IF(OFFSET(CRONOPLE!$F$14,$M160,BJ$13)="",10^12,OFFSET(CRONOPLE!$F$14,$M160,BJ$13))))</f>
        <v>1000000000000</v>
      </c>
      <c r="BK160" s="181">
        <f ca="1">IF($D160&lt;&gt;"Serviço",0,IF(AND(AUTOEVENTO="Manual",$M160=1),0,IF(OFFSET(CRONOPLE!$F$14,$M160,BK$13)="",10^12,OFFSET(CRONOPLE!$F$14,$M160,BK$13))))</f>
        <v>1000000000000</v>
      </c>
      <c r="BL160" s="181">
        <f ca="1">IF($D160&lt;&gt;"Serviço",0,IF(AND(AUTOEVENTO="Manual",$M160=1),0,IF(OFFSET(CRONOPLE!$F$14,$M160,BL$13)="",10^12,OFFSET(CRONOPLE!$F$14,$M160,BL$13))))</f>
        <v>1000000000000</v>
      </c>
      <c r="BM160" s="181">
        <f ca="1">IF($D160&lt;&gt;"Serviço",0,IF(AND(AUTOEVENTO="Manual",$M160=1),0,IF(OFFSET(CRONOPLE!$F$14,$M160,BM$13)="",10^12,OFFSET(CRONOPLE!$F$14,$M160,BM$13))))</f>
        <v>1000000000000</v>
      </c>
      <c r="BN160" s="181">
        <f ca="1">IF($D160&lt;&gt;"Serviço",0,IF(AND(AUTOEVENTO="Manual",$M160=1),0,IF(OFFSET(CRONOPLE!$F$14,$M160,BN$13)="",10^12,OFFSET(CRONOPLE!$F$14,$M160,BN$13))))</f>
        <v>1000000000000</v>
      </c>
      <c r="BO160" s="181">
        <f ca="1">IF($D160&lt;&gt;"Serviço",0,IF(AND(AUTOEVENTO="Manual",$M160=1),0,IF(OFFSET(CRONOPLE!$F$14,$M160,BO$13)="",10^12,OFFSET(CRONOPLE!$F$14,$M160,BO$13))))</f>
        <v>1000000000000</v>
      </c>
      <c r="BP160" s="181">
        <f ca="1">IF($D160&lt;&gt;"Serviço",0,IF(AND(AUTOEVENTO="Manual",$M160=1),0,IF(OFFSET(CRONOPLE!$F$14,$M160,BP$13)="",10^12,OFFSET(CRONOPLE!$F$14,$M160,BP$13))))</f>
        <v>1000000000000</v>
      </c>
      <c r="BQ160" s="181">
        <f ca="1">IF($D160&lt;&gt;"Serviço",0,IF(AND(AUTOEVENTO="Manual",$M160=1),0,IF(OFFSET(CRONOPLE!$F$14,$M160,BQ$13)="",10^12,OFFSET(CRONOPLE!$F$14,$M160,BQ$13))))</f>
        <v>1000000000000</v>
      </c>
      <c r="BR160" s="181">
        <f ca="1">IF($D160&lt;&gt;"Serviço",0,IF(AND(AUTOEVENTO="Manual",$M160=1),0,IF(OFFSET(CRONOPLE!$F$14,$M160,BR$13)="",10^12,OFFSET(CRONOPLE!$F$14,$M160,BR$13))))</f>
        <v>1000000000000</v>
      </c>
      <c r="BS160" s="181">
        <f ca="1">IF($D160&lt;&gt;"Serviço",0,IF(AND(AUTOEVENTO="Manual",$M160=1),0,IF(OFFSET(CRONOPLE!$F$14,$M160,BS$13)="",10^12,OFFSET(CRONOPLE!$F$14,$M160,BS$13))))</f>
        <v>1000000000000</v>
      </c>
      <c r="BT160" s="181">
        <f ca="1">IF($D160&lt;&gt;"Serviço",0,IF(AND(AUTOEVENTO="Manual",$M160=1),0,IF(OFFSET(CRONOPLE!$F$14,$M160,BT$13)="",10^12,OFFSET(CRONOPLE!$F$14,$M160,BT$13))))</f>
        <v>1000000000000</v>
      </c>
      <c r="BV160" s="182">
        <f ca="1">IF($D160&lt;&gt;"Serviço",0,IF(OR(AND(AUTOEVENTO="Manual",$M160=1),$M160&gt;(ROW(PLE.lastrow)-ROW(PLE.firstrow))),0,IF(OFFSET(PLE!$G$14,$M160,BV$13)="",10^12,OFFSET(PLE!$G$14,$M160,BV$13))))</f>
        <v>1000000000000</v>
      </c>
      <c r="BW160" s="182">
        <f ca="1">IF($D160&lt;&gt;"Serviço",0,IF(OR(AND(AUTOEVENTO="Manual",$M160=1),$M160&gt;(ROW(PLE.lastrow)-ROW(PLE.firstrow))),0,IF(OFFSET(PLE!$G$14,$M160,BW$13)="",10^12,OFFSET(PLE!$G$14,$M160,BW$13))))</f>
        <v>1000000000000</v>
      </c>
      <c r="BX160" s="182">
        <f ca="1">IF($D160&lt;&gt;"Serviço",0,IF(OR(AND(AUTOEVENTO="Manual",$M160=1),$M160&gt;(ROW(PLE.lastrow)-ROW(PLE.firstrow))),0,IF(OFFSET(PLE!$G$14,$M160,BX$13)="",10^12,OFFSET(PLE!$G$14,$M160,BX$13))))</f>
        <v>1000000000000</v>
      </c>
      <c r="BY160" s="182">
        <f ca="1">IF($D160&lt;&gt;"Serviço",0,IF(OR(AND(AUTOEVENTO="Manual",$M160=1),$M160&gt;(ROW(PLE.lastrow)-ROW(PLE.firstrow))),0,IF(OFFSET(PLE!$G$14,$M160,BY$13)="",10^12,OFFSET(PLE!$G$14,$M160,BY$13))))</f>
        <v>1000000000000</v>
      </c>
      <c r="BZ160" s="182">
        <f ca="1">IF($D160&lt;&gt;"Serviço",0,IF(OR(AND(AUTOEVENTO="Manual",$M160=1),$M160&gt;(ROW(PLE.lastrow)-ROW(PLE.firstrow))),0,IF(OFFSET(PLE!$G$14,$M160,BZ$13)="",10^12,OFFSET(PLE!$G$14,$M160,BZ$13))))</f>
        <v>1000000000000</v>
      </c>
      <c r="CA160" s="182">
        <f ca="1">IF($D160&lt;&gt;"Serviço",0,IF(OR(AND(AUTOEVENTO="Manual",$M160=1),$M160&gt;(ROW(PLE.lastrow)-ROW(PLE.firstrow))),0,IF(OFFSET(PLE!$G$14,$M160,CA$13)="",10^12,OFFSET(PLE!$G$14,$M160,CA$13))))</f>
        <v>1000000000000</v>
      </c>
      <c r="CB160" s="182">
        <f ca="1">IF($D160&lt;&gt;"Serviço",0,IF(OR(AND(AUTOEVENTO="Manual",$M160=1),$M160&gt;(ROW(PLE.lastrow)-ROW(PLE.firstrow))),0,IF(OFFSET(PLE!$G$14,$M160,CB$13)="",10^12,OFFSET(PLE!$G$14,$M160,CB$13))))</f>
        <v>1000000000000</v>
      </c>
      <c r="CC160" s="182">
        <f ca="1">IF($D160&lt;&gt;"Serviço",0,IF(OR(AND(AUTOEVENTO="Manual",$M160=1),$M160&gt;(ROW(PLE.lastrow)-ROW(PLE.firstrow))),0,IF(OFFSET(PLE!$G$14,$M160,CC$13)="",10^12,OFFSET(PLE!$G$14,$M160,CC$13))))</f>
        <v>1000000000000</v>
      </c>
      <c r="CD160" s="182">
        <f ca="1">IF($D160&lt;&gt;"Serviço",0,IF(OR(AND(AUTOEVENTO="Manual",$M160=1),$M160&gt;(ROW(PLE.lastrow)-ROW(PLE.firstrow))),0,IF(OFFSET(PLE!$G$14,$M160,CD$13)="",10^12,OFFSET(PLE!$G$14,$M160,CD$13))))</f>
        <v>1000000000000</v>
      </c>
      <c r="CE160" s="182">
        <f ca="1">IF($D160&lt;&gt;"Serviço",0,IF(OR(AND(AUTOEVENTO="Manual",$M160=1),$M160&gt;(ROW(PLE.lastrow)-ROW(PLE.firstrow))),0,IF(OFFSET(PLE!$G$14,$M160,CE$13)="",10^12,OFFSET(PLE!$G$14,$M160,CE$13))))</f>
        <v>1000000000000</v>
      </c>
      <c r="CF160" s="182">
        <f ca="1">IF($D160&lt;&gt;"Serviço",0,IF(OR(AND(AUTOEVENTO="Manual",$M160=1),$M160&gt;(ROW(PLE.lastrow)-ROW(PLE.firstrow))),0,IF(OFFSET(PLE!$G$14,$M160,CF$13)="",10^12,OFFSET(PLE!$G$14,$M160,CF$13))))</f>
        <v>1000000000000</v>
      </c>
      <c r="CG160" s="182">
        <f ca="1">IF($D160&lt;&gt;"Serviço",0,IF(OR(AND(AUTOEVENTO="Manual",$M160=1),$M160&gt;(ROW(PLE.lastrow)-ROW(PLE.firstrow))),0,IF(OFFSET(PLE!$G$14,$M160,CG$13)="",10^12,OFFSET(PLE!$G$14,$M160,CG$13))))</f>
        <v>1000000000000</v>
      </c>
      <c r="CH160" s="182">
        <f ca="1">IF($D160&lt;&gt;"Serviço",0,IF(OR(AND(AUTOEVENTO="Manual",$M160=1),$M160&gt;(ROW(PLE.lastrow)-ROW(PLE.firstrow))),0,IF(OFFSET(PLE!$G$14,$M160,CH$13)="",10^12,OFFSET(PLE!$G$14,$M160,CH$13))))</f>
        <v>1000000000000</v>
      </c>
      <c r="CI160" s="182">
        <f ca="1">IF($D160&lt;&gt;"Serviço",0,IF(OR(AND(AUTOEVENTO="Manual",$M160=1),$M160&gt;(ROW(PLE.lastrow)-ROW(PLE.firstrow))),0,IF(OFFSET(PLE!$G$14,$M160,CI$13)="",10^12,OFFSET(PLE!$G$14,$M160,CI$13))))</f>
        <v>1000000000000</v>
      </c>
      <c r="CJ160" s="182">
        <f ca="1">IF($D160&lt;&gt;"Serviço",0,IF(OR(AND(AUTOEVENTO="Manual",$M160=1),$M160&gt;(ROW(PLE.lastrow)-ROW(PLE.firstrow))),0,IF(OFFSET(PLE!$G$14,$M160,CJ$13)="",10^12,OFFSET(PLE!$G$14,$M160,CJ$13))))</f>
        <v>1000000000000</v>
      </c>
      <c r="CK160" s="182">
        <f ca="1">IF($D160&lt;&gt;"Serviço",0,IF(OR(AND(AUTOEVENTO="Manual",$M160=1),$M160&gt;(ROW(PLE.lastrow)-ROW(PLE.firstrow))),0,IF(OFFSET(PLE!$G$14,$M160,CK$13)="",10^12,OFFSET(PLE!$G$14,$M160,CK$13))))</f>
        <v>1000000000000</v>
      </c>
      <c r="CL160" s="182">
        <f ca="1">IF($D160&lt;&gt;"Serviço",0,IF(OR(AND(AUTOEVENTO="Manual",$M160=1),$M160&gt;(ROW(PLE.lastrow)-ROW(PLE.firstrow))),0,IF(OFFSET(PLE!$G$14,$M160,CL$13)="",10^12,OFFSET(PLE!$G$14,$M160,CL$13))))</f>
        <v>1000000000000</v>
      </c>
      <c r="CM160" s="182">
        <f ca="1">IF($D160&lt;&gt;"Serviço",0,IF(OR(AND(AUTOEVENTO="Manual",$M160=1),$M160&gt;(ROW(PLE.lastrow)-ROW(PLE.firstrow))),0,IF(OFFSET(PLE!$G$14,$M160,CM$13)="",10^12,OFFSET(PLE!$G$14,$M160,CM$13))))</f>
        <v>1000000000000</v>
      </c>
    </row>
    <row r="161" spans="1:91" ht="25.5" x14ac:dyDescent="0.2">
      <c r="A161" s="7" t="str">
        <f t="shared" ca="1" si="11"/>
        <v>140</v>
      </c>
      <c r="B161" s="7" t="str">
        <f ca="1">OFFSET(ORÇAMENTO!C$15,ROW(B161)-ROW(B$15),0)</f>
        <v>S</v>
      </c>
      <c r="C161" s="7" t="str">
        <f ca="1">OFFSET(ORÇAMENTO!L$15,ROW(C161)-ROW(C$15),0)</f>
        <v/>
      </c>
      <c r="D161" s="118" t="str">
        <f ca="1">OFFSET(ORÇAMENTO!N$15,ROW(D161)-ROW(D$15),0)</f>
        <v>Serviço</v>
      </c>
      <c r="E161" s="119" t="str">
        <f ca="1">OFFSET(ORÇAMENTO!O$15,ROW(E161)-ROW(E$15),0)</f>
        <v>-</v>
      </c>
      <c r="F161" s="172" t="str">
        <f ca="1">OFFSET(ORÇAMENTO!R$15,ROW(F161)-ROW(F$15),0)</f>
        <v>(abra o arquivo 'Referência 06-2024.xlsm)</v>
      </c>
      <c r="G161" s="173" t="str">
        <f ca="1">IF($D161&lt;&gt;"Serviço","",OFFSET(ORÇAMENTO!S$15,ROW(G161)-ROW(G$15),0))</f>
        <v>-</v>
      </c>
      <c r="H161" s="124">
        <f ca="1">IF($D161&lt;&gt;"Serviço",0,IF(ACOMPANHAMENTO="BM",ROUND(OFFSET(ORÇAMENTO!AJ$15,ROW(H161)-ROW(H$15),0),15-13*ORÇAMENTO!$AF$7),SUMPRODUCT(($Q$12:$AI$12&lt;&gt;"")*ROUND($Q161:$AI161,15-13*ORÇAMENTO!$AF$7))))</f>
        <v>81.37</v>
      </c>
      <c r="I161" s="561" t="s">
        <v>1107</v>
      </c>
      <c r="K161" s="174"/>
      <c r="L161" s="175" t="s">
        <v>255</v>
      </c>
      <c r="M161" s="176">
        <f ca="1">IF($D161&lt;&gt;"Serviço","",IF(AUTOEVENTO="manual",$A161,IF(ISERROR(MATCH($A161,$A$15:OFFSET($A161,-1,0),0)),MAX($M$15:OFFSET(M161,-1,0))+1,INDEX($M$15:OFFSET(M161,-1,0),MATCH($A161,$A$15:OFFSET($A161,-1,0),0)))))</f>
        <v>24</v>
      </c>
      <c r="N161" s="177" t="str">
        <f ca="1">IF($D161&lt;&gt;"Serviço","",IF(AUTOEVENTO="Manual",IF($A161=0,"&lt;-- defina o número do agrupador",OFFSET(EVENTOS!$D$14,$A161,0)),OFFSET($F$15,$A161,0)))</f>
        <v>ESQUADRIAS - GERAL</v>
      </c>
      <c r="O161" s="178"/>
      <c r="Q161" s="178">
        <v>81.37</v>
      </c>
      <c r="R161" s="179"/>
      <c r="S161" s="179"/>
      <c r="T161" s="179"/>
      <c r="U161" s="179"/>
      <c r="V161" s="179"/>
      <c r="W161" s="179"/>
      <c r="X161" s="179"/>
      <c r="Y161" s="179"/>
      <c r="Z161" s="180"/>
      <c r="AA161" s="179"/>
      <c r="AB161" s="179"/>
      <c r="AC161" s="179"/>
      <c r="AD161" s="179"/>
      <c r="AE161" s="179"/>
      <c r="AF161" s="179"/>
      <c r="AG161" s="179"/>
      <c r="AH161" s="180"/>
      <c r="AJ161" s="544">
        <f ca="1">IF(AND($D161="Serviço",AJ$12&lt;&gt;0,$H161&gt;0,OR(AUTOEVENTO&lt;&gt;"manual",$M161&lt;&gt;1)),
IF(Import.TipoArredondamento&lt;&gt;"TransfereGOV",
ROUND(OFFSET($P161,0,AJ$13),15-13*ORÇAMENTO!$AF$7)/$H161*OFFSET(ORÇAMENTO!$X$15,ROW(AJ161)-ROW(AJ$15),0),
ROUND(ROUND(OFFSET($P161,0,AJ$13),15-13*ORÇAMENTO!$AF$7)*OFFSET(ORÇAMENTO!$W$15,ROW(AJ161)-ROW(AJ$15),0),15-13*ORÇAMENTO!$AF$11)),0)</f>
        <v>0</v>
      </c>
      <c r="AK161" s="545">
        <f ca="1">IF(AND($D161="Serviço",AK$12&lt;&gt;0,$H161&gt;0,OR(AUTOEVENTO&lt;&gt;"manual",$M161&lt;&gt;1)),
IF(Import.TipoArredondamento&lt;&gt;"TransfereGOV",
ROUND(OFFSET($P161,0,AK$13),15-13*ORÇAMENTO!$AF$7)/$H161*OFFSET(ORÇAMENTO!$X$15,ROW(AK161)-ROW(AK$15),0),
ROUND(ROUND(OFFSET($P161,0,AK$13),15-13*ORÇAMENTO!$AF$7)*OFFSET(ORÇAMENTO!$W$15,ROW(AK161)-ROW(AK$15),0),15-13*ORÇAMENTO!$AF$11)),0)</f>
        <v>0</v>
      </c>
      <c r="AL161" s="545">
        <f ca="1">IF(AND($D161="Serviço",AL$12&lt;&gt;0,$H161&gt;0,OR(AUTOEVENTO&lt;&gt;"manual",$M161&lt;&gt;1)),
IF(Import.TipoArredondamento&lt;&gt;"TransfereGOV",
ROUND(OFFSET($P161,0,AL$13),15-13*ORÇAMENTO!$AF$7)/$H161*OFFSET(ORÇAMENTO!$X$15,ROW(AL161)-ROW(AL$15),0),
ROUND(ROUND(OFFSET($P161,0,AL$13),15-13*ORÇAMENTO!$AF$7)*OFFSET(ORÇAMENTO!$W$15,ROW(AL161)-ROW(AL$15),0),15-13*ORÇAMENTO!$AF$11)),0)</f>
        <v>0</v>
      </c>
      <c r="AM161" s="545">
        <f ca="1">IF(AND($D161="Serviço",AM$12&lt;&gt;0,$H161&gt;0,OR(AUTOEVENTO&lt;&gt;"manual",$M161&lt;&gt;1)),
IF(Import.TipoArredondamento&lt;&gt;"TransfereGOV",
ROUND(OFFSET($P161,0,AM$13),15-13*ORÇAMENTO!$AF$7)/$H161*OFFSET(ORÇAMENTO!$X$15,ROW(AM161)-ROW(AM$15),0),
ROUND(ROUND(OFFSET($P161,0,AM$13),15-13*ORÇAMENTO!$AF$7)*OFFSET(ORÇAMENTO!$W$15,ROW(AM161)-ROW(AM$15),0),15-13*ORÇAMENTO!$AF$11)),0)</f>
        <v>0</v>
      </c>
      <c r="AN161" s="545">
        <f ca="1">IF(AND($D161="Serviço",AN$12&lt;&gt;0,$H161&gt;0,OR(AUTOEVENTO&lt;&gt;"manual",$M161&lt;&gt;1)),
IF(Import.TipoArredondamento&lt;&gt;"TransfereGOV",
ROUND(OFFSET($P161,0,AN$13),15-13*ORÇAMENTO!$AF$7)/$H161*OFFSET(ORÇAMENTO!$X$15,ROW(AN161)-ROW(AN$15),0),
ROUND(ROUND(OFFSET($P161,0,AN$13),15-13*ORÇAMENTO!$AF$7)*OFFSET(ORÇAMENTO!$W$15,ROW(AN161)-ROW(AN$15),0),15-13*ORÇAMENTO!$AF$11)),0)</f>
        <v>0</v>
      </c>
      <c r="AO161" s="545">
        <f ca="1">IF(AND($D161="Serviço",AO$12&lt;&gt;0,$H161&gt;0,OR(AUTOEVENTO&lt;&gt;"manual",$M161&lt;&gt;1)),
IF(Import.TipoArredondamento&lt;&gt;"TransfereGOV",
ROUND(OFFSET($P161,0,AO$13),15-13*ORÇAMENTO!$AF$7)/$H161*OFFSET(ORÇAMENTO!$X$15,ROW(AO161)-ROW(AO$15),0),
ROUND(ROUND(OFFSET($P161,0,AO$13),15-13*ORÇAMENTO!$AF$7)*OFFSET(ORÇAMENTO!$W$15,ROW(AO161)-ROW(AO$15),0),15-13*ORÇAMENTO!$AF$11)),0)</f>
        <v>0</v>
      </c>
      <c r="AP161" s="545">
        <f ca="1">IF(AND($D161="Serviço",AP$12&lt;&gt;0,$H161&gt;0,OR(AUTOEVENTO&lt;&gt;"manual",$M161&lt;&gt;1)),
IF(Import.TipoArredondamento&lt;&gt;"TransfereGOV",
ROUND(OFFSET($P161,0,AP$13),15-13*ORÇAMENTO!$AF$7)/$H161*OFFSET(ORÇAMENTO!$X$15,ROW(AP161)-ROW(AP$15),0),
ROUND(ROUND(OFFSET($P161,0,AP$13),15-13*ORÇAMENTO!$AF$7)*OFFSET(ORÇAMENTO!$W$15,ROW(AP161)-ROW(AP$15),0),15-13*ORÇAMENTO!$AF$11)),0)</f>
        <v>0</v>
      </c>
      <c r="AQ161" s="545">
        <f ca="1">IF(AND($D161="Serviço",AQ$12&lt;&gt;0,$H161&gt;0,OR(AUTOEVENTO&lt;&gt;"manual",$M161&lt;&gt;1)),
IF(Import.TipoArredondamento&lt;&gt;"TransfereGOV",
ROUND(OFFSET($P161,0,AQ$13),15-13*ORÇAMENTO!$AF$7)/$H161*OFFSET(ORÇAMENTO!$X$15,ROW(AQ161)-ROW(AQ$15),0),
ROUND(ROUND(OFFSET($P161,0,AQ$13),15-13*ORÇAMENTO!$AF$7)*OFFSET(ORÇAMENTO!$W$15,ROW(AQ161)-ROW(AQ$15),0),15-13*ORÇAMENTO!$AF$11)),0)</f>
        <v>0</v>
      </c>
      <c r="AR161" s="545">
        <f ca="1">IF(AND($D161="Serviço",AR$12&lt;&gt;0,$H161&gt;0,OR(AUTOEVENTO&lt;&gt;"manual",$M161&lt;&gt;1)),
IF(Import.TipoArredondamento&lt;&gt;"TransfereGOV",
ROUND(OFFSET($P161,0,AR$13),15-13*ORÇAMENTO!$AF$7)/$H161*OFFSET(ORÇAMENTO!$X$15,ROW(AR161)-ROW(AR$15),0),
ROUND(ROUND(OFFSET($P161,0,AR$13),15-13*ORÇAMENTO!$AF$7)*OFFSET(ORÇAMENTO!$W$15,ROW(AR161)-ROW(AR$15),0),15-13*ORÇAMENTO!$AF$11)),0)</f>
        <v>0</v>
      </c>
      <c r="AS161" s="546">
        <f ca="1">IF(AND($D161="Serviço",AS$12&lt;&gt;0,$H161&gt;0,OR(AUTOEVENTO&lt;&gt;"manual",$M161&lt;&gt;1)),
IF(Import.TipoArredondamento&lt;&gt;"TransfereGOV",
ROUND(OFFSET($P161,0,AS$13),15-13*ORÇAMENTO!$AF$7)/$H161*OFFSET(ORÇAMENTO!$X$15,ROW(AS161)-ROW(AS$15),0),
ROUND(ROUND(OFFSET($P161,0,AS$13),15-13*ORÇAMENTO!$AF$7)*OFFSET(ORÇAMENTO!$W$15,ROW(AS161)-ROW(AS$15),0),15-13*ORÇAMENTO!$AF$11)),0)</f>
        <v>0</v>
      </c>
      <c r="AT161" s="545">
        <f ca="1">IF(AND($D161="Serviço",AT$12&lt;&gt;0,$H161&gt;0,OR(AUTOEVENTO&lt;&gt;"manual",$M161&lt;&gt;1)),
IF(Import.TipoArredondamento&lt;&gt;"TransfereGOV",
ROUND(OFFSET($P161,0,AT$13),15-13*ORÇAMENTO!$AF$7)/$H161*OFFSET(ORÇAMENTO!$X$15,ROW(AT161)-ROW(AT$15),0),
ROUND(ROUND(OFFSET($P161,0,AT$13),15-13*ORÇAMENTO!$AF$7)*OFFSET(ORÇAMENTO!$W$15,ROW(AT161)-ROW(AT$15),0),15-13*ORÇAMENTO!$AF$11)),0)</f>
        <v>0</v>
      </c>
      <c r="AU161" s="545">
        <f ca="1">IF(AND($D161="Serviço",AU$12&lt;&gt;0,$H161&gt;0,OR(AUTOEVENTO&lt;&gt;"manual",$M161&lt;&gt;1)),
IF(Import.TipoArredondamento&lt;&gt;"TransfereGOV",
ROUND(OFFSET($P161,0,AU$13),15-13*ORÇAMENTO!$AF$7)/$H161*OFFSET(ORÇAMENTO!$X$15,ROW(AU161)-ROW(AU$15),0),
ROUND(ROUND(OFFSET($P161,0,AU$13),15-13*ORÇAMENTO!$AF$7)*OFFSET(ORÇAMENTO!$W$15,ROW(AU161)-ROW(AU$15),0),15-13*ORÇAMENTO!$AF$11)),0)</f>
        <v>0</v>
      </c>
      <c r="AV161" s="545">
        <f ca="1">IF(AND($D161="Serviço",AV$12&lt;&gt;0,$H161&gt;0,OR(AUTOEVENTO&lt;&gt;"manual",$M161&lt;&gt;1)),
IF(Import.TipoArredondamento&lt;&gt;"TransfereGOV",
ROUND(OFFSET($P161,0,AV$13),15-13*ORÇAMENTO!$AF$7)/$H161*OFFSET(ORÇAMENTO!$X$15,ROW(AV161)-ROW(AV$15),0),
ROUND(ROUND(OFFSET($P161,0,AV$13),15-13*ORÇAMENTO!$AF$7)*OFFSET(ORÇAMENTO!$W$15,ROW(AV161)-ROW(AV$15),0),15-13*ORÇAMENTO!$AF$11)),0)</f>
        <v>0</v>
      </c>
      <c r="AW161" s="545">
        <f ca="1">IF(AND($D161="Serviço",AW$12&lt;&gt;0,$H161&gt;0,OR(AUTOEVENTO&lt;&gt;"manual",$M161&lt;&gt;1)),
IF(Import.TipoArredondamento&lt;&gt;"TransfereGOV",
ROUND(OFFSET($P161,0,AW$13),15-13*ORÇAMENTO!$AF$7)/$H161*OFFSET(ORÇAMENTO!$X$15,ROW(AW161)-ROW(AW$15),0),
ROUND(ROUND(OFFSET($P161,0,AW$13),15-13*ORÇAMENTO!$AF$7)*OFFSET(ORÇAMENTO!$W$15,ROW(AW161)-ROW(AW$15),0),15-13*ORÇAMENTO!$AF$11)),0)</f>
        <v>0</v>
      </c>
      <c r="AX161" s="545">
        <f ca="1">IF(AND($D161="Serviço",AX$12&lt;&gt;0,$H161&gt;0,OR(AUTOEVENTO&lt;&gt;"manual",$M161&lt;&gt;1)),
IF(Import.TipoArredondamento&lt;&gt;"TransfereGOV",
ROUND(OFFSET($P161,0,AX$13),15-13*ORÇAMENTO!$AF$7)/$H161*OFFSET(ORÇAMENTO!$X$15,ROW(AX161)-ROW(AX$15),0),
ROUND(ROUND(OFFSET($P161,0,AX$13),15-13*ORÇAMENTO!$AF$7)*OFFSET(ORÇAMENTO!$W$15,ROW(AX161)-ROW(AX$15),0),15-13*ORÇAMENTO!$AF$11)),0)</f>
        <v>0</v>
      </c>
      <c r="AY161" s="545">
        <f ca="1">IF(AND($D161="Serviço",AY$12&lt;&gt;0,$H161&gt;0,OR(AUTOEVENTO&lt;&gt;"manual",$M161&lt;&gt;1)),
IF(Import.TipoArredondamento&lt;&gt;"TransfereGOV",
ROUND(OFFSET($P161,0,AY$13),15-13*ORÇAMENTO!$AF$7)/$H161*OFFSET(ORÇAMENTO!$X$15,ROW(AY161)-ROW(AY$15),0),
ROUND(ROUND(OFFSET($P161,0,AY$13),15-13*ORÇAMENTO!$AF$7)*OFFSET(ORÇAMENTO!$W$15,ROW(AY161)-ROW(AY$15),0),15-13*ORÇAMENTO!$AF$11)),0)</f>
        <v>0</v>
      </c>
      <c r="AZ161" s="545">
        <f ca="1">IF(AND($D161="Serviço",AZ$12&lt;&gt;0,$H161&gt;0,OR(AUTOEVENTO&lt;&gt;"manual",$M161&lt;&gt;1)),
IF(Import.TipoArredondamento&lt;&gt;"TransfereGOV",
ROUND(OFFSET($P161,0,AZ$13),15-13*ORÇAMENTO!$AF$7)/$H161*OFFSET(ORÇAMENTO!$X$15,ROW(AZ161)-ROW(AZ$15),0),
ROUND(ROUND(OFFSET($P161,0,AZ$13),15-13*ORÇAMENTO!$AF$7)*OFFSET(ORÇAMENTO!$W$15,ROW(AZ161)-ROW(AZ$15),0),15-13*ORÇAMENTO!$AF$11)),0)</f>
        <v>0</v>
      </c>
      <c r="BA161" s="546">
        <f ca="1">IF(AND($D161="Serviço",BA$12&lt;&gt;0,$H161&gt;0,OR(AUTOEVENTO&lt;&gt;"manual",$M161&lt;&gt;1)),
IF(Import.TipoArredondamento&lt;&gt;"TransfereGOV",
ROUND(OFFSET($P161,0,BA$13),15-13*ORÇAMENTO!$AF$7)/$H161*OFFSET(ORÇAMENTO!$X$15,ROW(BA161)-ROW(BA$15),0),
ROUND(ROUND(OFFSET($P161,0,BA$13),15-13*ORÇAMENTO!$AF$7)*OFFSET(ORÇAMENTO!$W$15,ROW(BA161)-ROW(BA$15),0),15-13*ORÇAMENTO!$AF$11)),0)</f>
        <v>0</v>
      </c>
      <c r="BC161" s="181">
        <f ca="1">IF($D161&lt;&gt;"Serviço",0,IF(AND(AUTOEVENTO="Manual",$M161=1),0,IF(OFFSET(CRONOPLE!$F$14,$M161,BC$13)="",10^12,OFFSET(CRONOPLE!$F$14,$M161,BC$13))))</f>
        <v>6</v>
      </c>
      <c r="BD161" s="181">
        <f ca="1">IF($D161&lt;&gt;"Serviço",0,IF(AND(AUTOEVENTO="Manual",$M161=1),0,IF(OFFSET(CRONOPLE!$F$14,$M161,BD$13)="",10^12,OFFSET(CRONOPLE!$F$14,$M161,BD$13))))</f>
        <v>1000000000000</v>
      </c>
      <c r="BE161" s="181">
        <f ca="1">IF($D161&lt;&gt;"Serviço",0,IF(AND(AUTOEVENTO="Manual",$M161=1),0,IF(OFFSET(CRONOPLE!$F$14,$M161,BE$13)="",10^12,OFFSET(CRONOPLE!$F$14,$M161,BE$13))))</f>
        <v>1000000000000</v>
      </c>
      <c r="BF161" s="181">
        <f ca="1">IF($D161&lt;&gt;"Serviço",0,IF(AND(AUTOEVENTO="Manual",$M161=1),0,IF(OFFSET(CRONOPLE!$F$14,$M161,BF$13)="",10^12,OFFSET(CRONOPLE!$F$14,$M161,BF$13))))</f>
        <v>1000000000000</v>
      </c>
      <c r="BG161" s="181">
        <f ca="1">IF($D161&lt;&gt;"Serviço",0,IF(AND(AUTOEVENTO="Manual",$M161=1),0,IF(OFFSET(CRONOPLE!$F$14,$M161,BG$13)="",10^12,OFFSET(CRONOPLE!$F$14,$M161,BG$13))))</f>
        <v>1000000000000</v>
      </c>
      <c r="BH161" s="181">
        <f ca="1">IF($D161&lt;&gt;"Serviço",0,IF(AND(AUTOEVENTO="Manual",$M161=1),0,IF(OFFSET(CRONOPLE!$F$14,$M161,BH$13)="",10^12,OFFSET(CRONOPLE!$F$14,$M161,BH$13))))</f>
        <v>1000000000000</v>
      </c>
      <c r="BI161" s="181">
        <f ca="1">IF($D161&lt;&gt;"Serviço",0,IF(AND(AUTOEVENTO="Manual",$M161=1),0,IF(OFFSET(CRONOPLE!$F$14,$M161,BI$13)="",10^12,OFFSET(CRONOPLE!$F$14,$M161,BI$13))))</f>
        <v>1000000000000</v>
      </c>
      <c r="BJ161" s="181">
        <f ca="1">IF($D161&lt;&gt;"Serviço",0,IF(AND(AUTOEVENTO="Manual",$M161=1),0,IF(OFFSET(CRONOPLE!$F$14,$M161,BJ$13)="",10^12,OFFSET(CRONOPLE!$F$14,$M161,BJ$13))))</f>
        <v>1000000000000</v>
      </c>
      <c r="BK161" s="181">
        <f ca="1">IF($D161&lt;&gt;"Serviço",0,IF(AND(AUTOEVENTO="Manual",$M161=1),0,IF(OFFSET(CRONOPLE!$F$14,$M161,BK$13)="",10^12,OFFSET(CRONOPLE!$F$14,$M161,BK$13))))</f>
        <v>1000000000000</v>
      </c>
      <c r="BL161" s="181">
        <f ca="1">IF($D161&lt;&gt;"Serviço",0,IF(AND(AUTOEVENTO="Manual",$M161=1),0,IF(OFFSET(CRONOPLE!$F$14,$M161,BL$13)="",10^12,OFFSET(CRONOPLE!$F$14,$M161,BL$13))))</f>
        <v>1000000000000</v>
      </c>
      <c r="BM161" s="181">
        <f ca="1">IF($D161&lt;&gt;"Serviço",0,IF(AND(AUTOEVENTO="Manual",$M161=1),0,IF(OFFSET(CRONOPLE!$F$14,$M161,BM$13)="",10^12,OFFSET(CRONOPLE!$F$14,$M161,BM$13))))</f>
        <v>1000000000000</v>
      </c>
      <c r="BN161" s="181">
        <f ca="1">IF($D161&lt;&gt;"Serviço",0,IF(AND(AUTOEVENTO="Manual",$M161=1),0,IF(OFFSET(CRONOPLE!$F$14,$M161,BN$13)="",10^12,OFFSET(CRONOPLE!$F$14,$M161,BN$13))))</f>
        <v>1000000000000</v>
      </c>
      <c r="BO161" s="181">
        <f ca="1">IF($D161&lt;&gt;"Serviço",0,IF(AND(AUTOEVENTO="Manual",$M161=1),0,IF(OFFSET(CRONOPLE!$F$14,$M161,BO$13)="",10^12,OFFSET(CRONOPLE!$F$14,$M161,BO$13))))</f>
        <v>1000000000000</v>
      </c>
      <c r="BP161" s="181">
        <f ca="1">IF($D161&lt;&gt;"Serviço",0,IF(AND(AUTOEVENTO="Manual",$M161=1),0,IF(OFFSET(CRONOPLE!$F$14,$M161,BP$13)="",10^12,OFFSET(CRONOPLE!$F$14,$M161,BP$13))))</f>
        <v>1000000000000</v>
      </c>
      <c r="BQ161" s="181">
        <f ca="1">IF($D161&lt;&gt;"Serviço",0,IF(AND(AUTOEVENTO="Manual",$M161=1),0,IF(OFFSET(CRONOPLE!$F$14,$M161,BQ$13)="",10^12,OFFSET(CRONOPLE!$F$14,$M161,BQ$13))))</f>
        <v>1000000000000</v>
      </c>
      <c r="BR161" s="181">
        <f ca="1">IF($D161&lt;&gt;"Serviço",0,IF(AND(AUTOEVENTO="Manual",$M161=1),0,IF(OFFSET(CRONOPLE!$F$14,$M161,BR$13)="",10^12,OFFSET(CRONOPLE!$F$14,$M161,BR$13))))</f>
        <v>1000000000000</v>
      </c>
      <c r="BS161" s="181">
        <f ca="1">IF($D161&lt;&gt;"Serviço",0,IF(AND(AUTOEVENTO="Manual",$M161=1),0,IF(OFFSET(CRONOPLE!$F$14,$M161,BS$13)="",10^12,OFFSET(CRONOPLE!$F$14,$M161,BS$13))))</f>
        <v>1000000000000</v>
      </c>
      <c r="BT161" s="181">
        <f ca="1">IF($D161&lt;&gt;"Serviço",0,IF(AND(AUTOEVENTO="Manual",$M161=1),0,IF(OFFSET(CRONOPLE!$F$14,$M161,BT$13)="",10^12,OFFSET(CRONOPLE!$F$14,$M161,BT$13))))</f>
        <v>1000000000000</v>
      </c>
      <c r="BV161" s="182">
        <f ca="1">IF($D161&lt;&gt;"Serviço",0,IF(OR(AND(AUTOEVENTO="Manual",$M161=1),$M161&gt;(ROW(PLE.lastrow)-ROW(PLE.firstrow))),0,IF(OFFSET(PLE!$G$14,$M161,BV$13)="",10^12,OFFSET(PLE!$G$14,$M161,BV$13))))</f>
        <v>1000000000000</v>
      </c>
      <c r="BW161" s="182">
        <f ca="1">IF($D161&lt;&gt;"Serviço",0,IF(OR(AND(AUTOEVENTO="Manual",$M161=1),$M161&gt;(ROW(PLE.lastrow)-ROW(PLE.firstrow))),0,IF(OFFSET(PLE!$G$14,$M161,BW$13)="",10^12,OFFSET(PLE!$G$14,$M161,BW$13))))</f>
        <v>1000000000000</v>
      </c>
      <c r="BX161" s="182">
        <f ca="1">IF($D161&lt;&gt;"Serviço",0,IF(OR(AND(AUTOEVENTO="Manual",$M161=1),$M161&gt;(ROW(PLE.lastrow)-ROW(PLE.firstrow))),0,IF(OFFSET(PLE!$G$14,$M161,BX$13)="",10^12,OFFSET(PLE!$G$14,$M161,BX$13))))</f>
        <v>1000000000000</v>
      </c>
      <c r="BY161" s="182">
        <f ca="1">IF($D161&lt;&gt;"Serviço",0,IF(OR(AND(AUTOEVENTO="Manual",$M161=1),$M161&gt;(ROW(PLE.lastrow)-ROW(PLE.firstrow))),0,IF(OFFSET(PLE!$G$14,$M161,BY$13)="",10^12,OFFSET(PLE!$G$14,$M161,BY$13))))</f>
        <v>1000000000000</v>
      </c>
      <c r="BZ161" s="182">
        <f ca="1">IF($D161&lt;&gt;"Serviço",0,IF(OR(AND(AUTOEVENTO="Manual",$M161=1),$M161&gt;(ROW(PLE.lastrow)-ROW(PLE.firstrow))),0,IF(OFFSET(PLE!$G$14,$M161,BZ$13)="",10^12,OFFSET(PLE!$G$14,$M161,BZ$13))))</f>
        <v>1000000000000</v>
      </c>
      <c r="CA161" s="182">
        <f ca="1">IF($D161&lt;&gt;"Serviço",0,IF(OR(AND(AUTOEVENTO="Manual",$M161=1),$M161&gt;(ROW(PLE.lastrow)-ROW(PLE.firstrow))),0,IF(OFFSET(PLE!$G$14,$M161,CA$13)="",10^12,OFFSET(PLE!$G$14,$M161,CA$13))))</f>
        <v>1000000000000</v>
      </c>
      <c r="CB161" s="182">
        <f ca="1">IF($D161&lt;&gt;"Serviço",0,IF(OR(AND(AUTOEVENTO="Manual",$M161=1),$M161&gt;(ROW(PLE.lastrow)-ROW(PLE.firstrow))),0,IF(OFFSET(PLE!$G$14,$M161,CB$13)="",10^12,OFFSET(PLE!$G$14,$M161,CB$13))))</f>
        <v>1000000000000</v>
      </c>
      <c r="CC161" s="182">
        <f ca="1">IF($D161&lt;&gt;"Serviço",0,IF(OR(AND(AUTOEVENTO="Manual",$M161=1),$M161&gt;(ROW(PLE.lastrow)-ROW(PLE.firstrow))),0,IF(OFFSET(PLE!$G$14,$M161,CC$13)="",10^12,OFFSET(PLE!$G$14,$M161,CC$13))))</f>
        <v>1000000000000</v>
      </c>
      <c r="CD161" s="182">
        <f ca="1">IF($D161&lt;&gt;"Serviço",0,IF(OR(AND(AUTOEVENTO="Manual",$M161=1),$M161&gt;(ROW(PLE.lastrow)-ROW(PLE.firstrow))),0,IF(OFFSET(PLE!$G$14,$M161,CD$13)="",10^12,OFFSET(PLE!$G$14,$M161,CD$13))))</f>
        <v>1000000000000</v>
      </c>
      <c r="CE161" s="182">
        <f ca="1">IF($D161&lt;&gt;"Serviço",0,IF(OR(AND(AUTOEVENTO="Manual",$M161=1),$M161&gt;(ROW(PLE.lastrow)-ROW(PLE.firstrow))),0,IF(OFFSET(PLE!$G$14,$M161,CE$13)="",10^12,OFFSET(PLE!$G$14,$M161,CE$13))))</f>
        <v>1000000000000</v>
      </c>
      <c r="CF161" s="182">
        <f ca="1">IF($D161&lt;&gt;"Serviço",0,IF(OR(AND(AUTOEVENTO="Manual",$M161=1),$M161&gt;(ROW(PLE.lastrow)-ROW(PLE.firstrow))),0,IF(OFFSET(PLE!$G$14,$M161,CF$13)="",10^12,OFFSET(PLE!$G$14,$M161,CF$13))))</f>
        <v>1000000000000</v>
      </c>
      <c r="CG161" s="182">
        <f ca="1">IF($D161&lt;&gt;"Serviço",0,IF(OR(AND(AUTOEVENTO="Manual",$M161=1),$M161&gt;(ROW(PLE.lastrow)-ROW(PLE.firstrow))),0,IF(OFFSET(PLE!$G$14,$M161,CG$13)="",10^12,OFFSET(PLE!$G$14,$M161,CG$13))))</f>
        <v>1000000000000</v>
      </c>
      <c r="CH161" s="182">
        <f ca="1">IF($D161&lt;&gt;"Serviço",0,IF(OR(AND(AUTOEVENTO="Manual",$M161=1),$M161&gt;(ROW(PLE.lastrow)-ROW(PLE.firstrow))),0,IF(OFFSET(PLE!$G$14,$M161,CH$13)="",10^12,OFFSET(PLE!$G$14,$M161,CH$13))))</f>
        <v>1000000000000</v>
      </c>
      <c r="CI161" s="182">
        <f ca="1">IF($D161&lt;&gt;"Serviço",0,IF(OR(AND(AUTOEVENTO="Manual",$M161=1),$M161&gt;(ROW(PLE.lastrow)-ROW(PLE.firstrow))),0,IF(OFFSET(PLE!$G$14,$M161,CI$13)="",10^12,OFFSET(PLE!$G$14,$M161,CI$13))))</f>
        <v>1000000000000</v>
      </c>
      <c r="CJ161" s="182">
        <f ca="1">IF($D161&lt;&gt;"Serviço",0,IF(OR(AND(AUTOEVENTO="Manual",$M161=1),$M161&gt;(ROW(PLE.lastrow)-ROW(PLE.firstrow))),0,IF(OFFSET(PLE!$G$14,$M161,CJ$13)="",10^12,OFFSET(PLE!$G$14,$M161,CJ$13))))</f>
        <v>1000000000000</v>
      </c>
      <c r="CK161" s="182">
        <f ca="1">IF($D161&lt;&gt;"Serviço",0,IF(OR(AND(AUTOEVENTO="Manual",$M161=1),$M161&gt;(ROW(PLE.lastrow)-ROW(PLE.firstrow))),0,IF(OFFSET(PLE!$G$14,$M161,CK$13)="",10^12,OFFSET(PLE!$G$14,$M161,CK$13))))</f>
        <v>1000000000000</v>
      </c>
      <c r="CL161" s="182">
        <f ca="1">IF($D161&lt;&gt;"Serviço",0,IF(OR(AND(AUTOEVENTO="Manual",$M161=1),$M161&gt;(ROW(PLE.lastrow)-ROW(PLE.firstrow))),0,IF(OFFSET(PLE!$G$14,$M161,CL$13)="",10^12,OFFSET(PLE!$G$14,$M161,CL$13))))</f>
        <v>1000000000000</v>
      </c>
      <c r="CM161" s="182">
        <f ca="1">IF($D161&lt;&gt;"Serviço",0,IF(OR(AND(AUTOEVENTO="Manual",$M161=1),$M161&gt;(ROW(PLE.lastrow)-ROW(PLE.firstrow))),0,IF(OFFSET(PLE!$G$14,$M161,CM$13)="",10^12,OFFSET(PLE!$G$14,$M161,CM$13))))</f>
        <v>1000000000000</v>
      </c>
    </row>
    <row r="162" spans="1:91" ht="51" x14ac:dyDescent="0.2">
      <c r="A162" s="7" t="str">
        <f t="shared" ca="1" si="11"/>
        <v>140</v>
      </c>
      <c r="B162" s="7" t="str">
        <f ca="1">OFFSET(ORÇAMENTO!C$15,ROW(B162)-ROW(B$15),0)</f>
        <v>S</v>
      </c>
      <c r="C162" s="7" t="str">
        <f ca="1">OFFSET(ORÇAMENTO!L$15,ROW(C162)-ROW(C$15),0)</f>
        <v/>
      </c>
      <c r="D162" s="118" t="str">
        <f ca="1">OFFSET(ORÇAMENTO!N$15,ROW(D162)-ROW(D$15),0)</f>
        <v>Serviço</v>
      </c>
      <c r="E162" s="119" t="str">
        <f ca="1">OFFSET(ORÇAMENTO!O$15,ROW(E162)-ROW(E$15),0)</f>
        <v>-</v>
      </c>
      <c r="F162" s="172" t="str">
        <f ca="1">OFFSET(ORÇAMENTO!R$15,ROW(F162)-ROW(F$15),0)</f>
        <v>(abra o arquivo 'Referência 06-2024.xlsm)</v>
      </c>
      <c r="G162" s="173" t="str">
        <f ca="1">IF($D162&lt;&gt;"Serviço","",OFFSET(ORÇAMENTO!S$15,ROW(G162)-ROW(G$15),0))</f>
        <v>-</v>
      </c>
      <c r="H162" s="124">
        <f ca="1">IF($D162&lt;&gt;"Serviço",0,IF(ACOMPANHAMENTO="BM",ROUND(OFFSET(ORÇAMENTO!AJ$15,ROW(H162)-ROW(H$15),0),15-13*ORÇAMENTO!$AF$7),SUMPRODUCT(($Q$12:$AI$12&lt;&gt;"")*ROUND($Q162:$AI162,15-13*ORÇAMENTO!$AF$7))))</f>
        <v>7.7</v>
      </c>
      <c r="I162" s="561" t="s">
        <v>1107</v>
      </c>
      <c r="K162" s="174"/>
      <c r="L162" s="175" t="s">
        <v>255</v>
      </c>
      <c r="M162" s="176">
        <f ca="1">IF($D162&lt;&gt;"Serviço","",IF(AUTOEVENTO="manual",$A162,IF(ISERROR(MATCH($A162,$A$15:OFFSET($A162,-1,0),0)),MAX($M$15:OFFSET(M162,-1,0))+1,INDEX($M$15:OFFSET(M162,-1,0),MATCH($A162,$A$15:OFFSET($A162,-1,0),0)))))</f>
        <v>24</v>
      </c>
      <c r="N162" s="177" t="str">
        <f ca="1">IF($D162&lt;&gt;"Serviço","",IF(AUTOEVENTO="Manual",IF($A162=0,"&lt;-- defina o número do agrupador",OFFSET(EVENTOS!$D$14,$A162,0)),OFFSET($F$15,$A162,0)))</f>
        <v>ESQUADRIAS - GERAL</v>
      </c>
      <c r="O162" s="178"/>
      <c r="Q162" s="178">
        <v>7.7</v>
      </c>
      <c r="R162" s="179"/>
      <c r="S162" s="179"/>
      <c r="T162" s="179"/>
      <c r="U162" s="179"/>
      <c r="V162" s="179"/>
      <c r="W162" s="179"/>
      <c r="X162" s="179"/>
      <c r="Y162" s="179"/>
      <c r="Z162" s="180"/>
      <c r="AA162" s="179"/>
      <c r="AB162" s="179"/>
      <c r="AC162" s="179"/>
      <c r="AD162" s="179"/>
      <c r="AE162" s="179"/>
      <c r="AF162" s="179"/>
      <c r="AG162" s="179"/>
      <c r="AH162" s="180"/>
      <c r="AJ162" s="544">
        <f ca="1">IF(AND($D162="Serviço",AJ$12&lt;&gt;0,$H162&gt;0,OR(AUTOEVENTO&lt;&gt;"manual",$M162&lt;&gt;1)),
IF(Import.TipoArredondamento&lt;&gt;"TransfereGOV",
ROUND(OFFSET($P162,0,AJ$13),15-13*ORÇAMENTO!$AF$7)/$H162*OFFSET(ORÇAMENTO!$X$15,ROW(AJ162)-ROW(AJ$15),0),
ROUND(ROUND(OFFSET($P162,0,AJ$13),15-13*ORÇAMENTO!$AF$7)*OFFSET(ORÇAMENTO!$W$15,ROW(AJ162)-ROW(AJ$15),0),15-13*ORÇAMENTO!$AF$11)),0)</f>
        <v>0</v>
      </c>
      <c r="AK162" s="545">
        <f ca="1">IF(AND($D162="Serviço",AK$12&lt;&gt;0,$H162&gt;0,OR(AUTOEVENTO&lt;&gt;"manual",$M162&lt;&gt;1)),
IF(Import.TipoArredondamento&lt;&gt;"TransfereGOV",
ROUND(OFFSET($P162,0,AK$13),15-13*ORÇAMENTO!$AF$7)/$H162*OFFSET(ORÇAMENTO!$X$15,ROW(AK162)-ROW(AK$15),0),
ROUND(ROUND(OFFSET($P162,0,AK$13),15-13*ORÇAMENTO!$AF$7)*OFFSET(ORÇAMENTO!$W$15,ROW(AK162)-ROW(AK$15),0),15-13*ORÇAMENTO!$AF$11)),0)</f>
        <v>0</v>
      </c>
      <c r="AL162" s="545">
        <f ca="1">IF(AND($D162="Serviço",AL$12&lt;&gt;0,$H162&gt;0,OR(AUTOEVENTO&lt;&gt;"manual",$M162&lt;&gt;1)),
IF(Import.TipoArredondamento&lt;&gt;"TransfereGOV",
ROUND(OFFSET($P162,0,AL$13),15-13*ORÇAMENTO!$AF$7)/$H162*OFFSET(ORÇAMENTO!$X$15,ROW(AL162)-ROW(AL$15),0),
ROUND(ROUND(OFFSET($P162,0,AL$13),15-13*ORÇAMENTO!$AF$7)*OFFSET(ORÇAMENTO!$W$15,ROW(AL162)-ROW(AL$15),0),15-13*ORÇAMENTO!$AF$11)),0)</f>
        <v>0</v>
      </c>
      <c r="AM162" s="545">
        <f ca="1">IF(AND($D162="Serviço",AM$12&lt;&gt;0,$H162&gt;0,OR(AUTOEVENTO&lt;&gt;"manual",$M162&lt;&gt;1)),
IF(Import.TipoArredondamento&lt;&gt;"TransfereGOV",
ROUND(OFFSET($P162,0,AM$13),15-13*ORÇAMENTO!$AF$7)/$H162*OFFSET(ORÇAMENTO!$X$15,ROW(AM162)-ROW(AM$15),0),
ROUND(ROUND(OFFSET($P162,0,AM$13),15-13*ORÇAMENTO!$AF$7)*OFFSET(ORÇAMENTO!$W$15,ROW(AM162)-ROW(AM$15),0),15-13*ORÇAMENTO!$AF$11)),0)</f>
        <v>0</v>
      </c>
      <c r="AN162" s="545">
        <f ca="1">IF(AND($D162="Serviço",AN$12&lt;&gt;0,$H162&gt;0,OR(AUTOEVENTO&lt;&gt;"manual",$M162&lt;&gt;1)),
IF(Import.TipoArredondamento&lt;&gt;"TransfereGOV",
ROUND(OFFSET($P162,0,AN$13),15-13*ORÇAMENTO!$AF$7)/$H162*OFFSET(ORÇAMENTO!$X$15,ROW(AN162)-ROW(AN$15),0),
ROUND(ROUND(OFFSET($P162,0,AN$13),15-13*ORÇAMENTO!$AF$7)*OFFSET(ORÇAMENTO!$W$15,ROW(AN162)-ROW(AN$15),0),15-13*ORÇAMENTO!$AF$11)),0)</f>
        <v>0</v>
      </c>
      <c r="AO162" s="545">
        <f ca="1">IF(AND($D162="Serviço",AO$12&lt;&gt;0,$H162&gt;0,OR(AUTOEVENTO&lt;&gt;"manual",$M162&lt;&gt;1)),
IF(Import.TipoArredondamento&lt;&gt;"TransfereGOV",
ROUND(OFFSET($P162,0,AO$13),15-13*ORÇAMENTO!$AF$7)/$H162*OFFSET(ORÇAMENTO!$X$15,ROW(AO162)-ROW(AO$15),0),
ROUND(ROUND(OFFSET($P162,0,AO$13),15-13*ORÇAMENTO!$AF$7)*OFFSET(ORÇAMENTO!$W$15,ROW(AO162)-ROW(AO$15),0),15-13*ORÇAMENTO!$AF$11)),0)</f>
        <v>0</v>
      </c>
      <c r="AP162" s="545">
        <f ca="1">IF(AND($D162="Serviço",AP$12&lt;&gt;0,$H162&gt;0,OR(AUTOEVENTO&lt;&gt;"manual",$M162&lt;&gt;1)),
IF(Import.TipoArredondamento&lt;&gt;"TransfereGOV",
ROUND(OFFSET($P162,0,AP$13),15-13*ORÇAMENTO!$AF$7)/$H162*OFFSET(ORÇAMENTO!$X$15,ROW(AP162)-ROW(AP$15),0),
ROUND(ROUND(OFFSET($P162,0,AP$13),15-13*ORÇAMENTO!$AF$7)*OFFSET(ORÇAMENTO!$W$15,ROW(AP162)-ROW(AP$15),0),15-13*ORÇAMENTO!$AF$11)),0)</f>
        <v>0</v>
      </c>
      <c r="AQ162" s="545">
        <f ca="1">IF(AND($D162="Serviço",AQ$12&lt;&gt;0,$H162&gt;0,OR(AUTOEVENTO&lt;&gt;"manual",$M162&lt;&gt;1)),
IF(Import.TipoArredondamento&lt;&gt;"TransfereGOV",
ROUND(OFFSET($P162,0,AQ$13),15-13*ORÇAMENTO!$AF$7)/$H162*OFFSET(ORÇAMENTO!$X$15,ROW(AQ162)-ROW(AQ$15),0),
ROUND(ROUND(OFFSET($P162,0,AQ$13),15-13*ORÇAMENTO!$AF$7)*OFFSET(ORÇAMENTO!$W$15,ROW(AQ162)-ROW(AQ$15),0),15-13*ORÇAMENTO!$AF$11)),0)</f>
        <v>0</v>
      </c>
      <c r="AR162" s="545">
        <f ca="1">IF(AND($D162="Serviço",AR$12&lt;&gt;0,$H162&gt;0,OR(AUTOEVENTO&lt;&gt;"manual",$M162&lt;&gt;1)),
IF(Import.TipoArredondamento&lt;&gt;"TransfereGOV",
ROUND(OFFSET($P162,0,AR$13),15-13*ORÇAMENTO!$AF$7)/$H162*OFFSET(ORÇAMENTO!$X$15,ROW(AR162)-ROW(AR$15),0),
ROUND(ROUND(OFFSET($P162,0,AR$13),15-13*ORÇAMENTO!$AF$7)*OFFSET(ORÇAMENTO!$W$15,ROW(AR162)-ROW(AR$15),0),15-13*ORÇAMENTO!$AF$11)),0)</f>
        <v>0</v>
      </c>
      <c r="AS162" s="546">
        <f ca="1">IF(AND($D162="Serviço",AS$12&lt;&gt;0,$H162&gt;0,OR(AUTOEVENTO&lt;&gt;"manual",$M162&lt;&gt;1)),
IF(Import.TipoArredondamento&lt;&gt;"TransfereGOV",
ROUND(OFFSET($P162,0,AS$13),15-13*ORÇAMENTO!$AF$7)/$H162*OFFSET(ORÇAMENTO!$X$15,ROW(AS162)-ROW(AS$15),0),
ROUND(ROUND(OFFSET($P162,0,AS$13),15-13*ORÇAMENTO!$AF$7)*OFFSET(ORÇAMENTO!$W$15,ROW(AS162)-ROW(AS$15),0),15-13*ORÇAMENTO!$AF$11)),0)</f>
        <v>0</v>
      </c>
      <c r="AT162" s="545">
        <f ca="1">IF(AND($D162="Serviço",AT$12&lt;&gt;0,$H162&gt;0,OR(AUTOEVENTO&lt;&gt;"manual",$M162&lt;&gt;1)),
IF(Import.TipoArredondamento&lt;&gt;"TransfereGOV",
ROUND(OFFSET($P162,0,AT$13),15-13*ORÇAMENTO!$AF$7)/$H162*OFFSET(ORÇAMENTO!$X$15,ROW(AT162)-ROW(AT$15),0),
ROUND(ROUND(OFFSET($P162,0,AT$13),15-13*ORÇAMENTO!$AF$7)*OFFSET(ORÇAMENTO!$W$15,ROW(AT162)-ROW(AT$15),0),15-13*ORÇAMENTO!$AF$11)),0)</f>
        <v>0</v>
      </c>
      <c r="AU162" s="545">
        <f ca="1">IF(AND($D162="Serviço",AU$12&lt;&gt;0,$H162&gt;0,OR(AUTOEVENTO&lt;&gt;"manual",$M162&lt;&gt;1)),
IF(Import.TipoArredondamento&lt;&gt;"TransfereGOV",
ROUND(OFFSET($P162,0,AU$13),15-13*ORÇAMENTO!$AF$7)/$H162*OFFSET(ORÇAMENTO!$X$15,ROW(AU162)-ROW(AU$15),0),
ROUND(ROUND(OFFSET($P162,0,AU$13),15-13*ORÇAMENTO!$AF$7)*OFFSET(ORÇAMENTO!$W$15,ROW(AU162)-ROW(AU$15),0),15-13*ORÇAMENTO!$AF$11)),0)</f>
        <v>0</v>
      </c>
      <c r="AV162" s="545">
        <f ca="1">IF(AND($D162="Serviço",AV$12&lt;&gt;0,$H162&gt;0,OR(AUTOEVENTO&lt;&gt;"manual",$M162&lt;&gt;1)),
IF(Import.TipoArredondamento&lt;&gt;"TransfereGOV",
ROUND(OFFSET($P162,0,AV$13),15-13*ORÇAMENTO!$AF$7)/$H162*OFFSET(ORÇAMENTO!$X$15,ROW(AV162)-ROW(AV$15),0),
ROUND(ROUND(OFFSET($P162,0,AV$13),15-13*ORÇAMENTO!$AF$7)*OFFSET(ORÇAMENTO!$W$15,ROW(AV162)-ROW(AV$15),0),15-13*ORÇAMENTO!$AF$11)),0)</f>
        <v>0</v>
      </c>
      <c r="AW162" s="545">
        <f ca="1">IF(AND($D162="Serviço",AW$12&lt;&gt;0,$H162&gt;0,OR(AUTOEVENTO&lt;&gt;"manual",$M162&lt;&gt;1)),
IF(Import.TipoArredondamento&lt;&gt;"TransfereGOV",
ROUND(OFFSET($P162,0,AW$13),15-13*ORÇAMENTO!$AF$7)/$H162*OFFSET(ORÇAMENTO!$X$15,ROW(AW162)-ROW(AW$15),0),
ROUND(ROUND(OFFSET($P162,0,AW$13),15-13*ORÇAMENTO!$AF$7)*OFFSET(ORÇAMENTO!$W$15,ROW(AW162)-ROW(AW$15),0),15-13*ORÇAMENTO!$AF$11)),0)</f>
        <v>0</v>
      </c>
      <c r="AX162" s="545">
        <f ca="1">IF(AND($D162="Serviço",AX$12&lt;&gt;0,$H162&gt;0,OR(AUTOEVENTO&lt;&gt;"manual",$M162&lt;&gt;1)),
IF(Import.TipoArredondamento&lt;&gt;"TransfereGOV",
ROUND(OFFSET($P162,0,AX$13),15-13*ORÇAMENTO!$AF$7)/$H162*OFFSET(ORÇAMENTO!$X$15,ROW(AX162)-ROW(AX$15),0),
ROUND(ROUND(OFFSET($P162,0,AX$13),15-13*ORÇAMENTO!$AF$7)*OFFSET(ORÇAMENTO!$W$15,ROW(AX162)-ROW(AX$15),0),15-13*ORÇAMENTO!$AF$11)),0)</f>
        <v>0</v>
      </c>
      <c r="AY162" s="545">
        <f ca="1">IF(AND($D162="Serviço",AY$12&lt;&gt;0,$H162&gt;0,OR(AUTOEVENTO&lt;&gt;"manual",$M162&lt;&gt;1)),
IF(Import.TipoArredondamento&lt;&gt;"TransfereGOV",
ROUND(OFFSET($P162,0,AY$13),15-13*ORÇAMENTO!$AF$7)/$H162*OFFSET(ORÇAMENTO!$X$15,ROW(AY162)-ROW(AY$15),0),
ROUND(ROUND(OFFSET($P162,0,AY$13),15-13*ORÇAMENTO!$AF$7)*OFFSET(ORÇAMENTO!$W$15,ROW(AY162)-ROW(AY$15),0),15-13*ORÇAMENTO!$AF$11)),0)</f>
        <v>0</v>
      </c>
      <c r="AZ162" s="545">
        <f ca="1">IF(AND($D162="Serviço",AZ$12&lt;&gt;0,$H162&gt;0,OR(AUTOEVENTO&lt;&gt;"manual",$M162&lt;&gt;1)),
IF(Import.TipoArredondamento&lt;&gt;"TransfereGOV",
ROUND(OFFSET($P162,0,AZ$13),15-13*ORÇAMENTO!$AF$7)/$H162*OFFSET(ORÇAMENTO!$X$15,ROW(AZ162)-ROW(AZ$15),0),
ROUND(ROUND(OFFSET($P162,0,AZ$13),15-13*ORÇAMENTO!$AF$7)*OFFSET(ORÇAMENTO!$W$15,ROW(AZ162)-ROW(AZ$15),0),15-13*ORÇAMENTO!$AF$11)),0)</f>
        <v>0</v>
      </c>
      <c r="BA162" s="546">
        <f ca="1">IF(AND($D162="Serviço",BA$12&lt;&gt;0,$H162&gt;0,OR(AUTOEVENTO&lt;&gt;"manual",$M162&lt;&gt;1)),
IF(Import.TipoArredondamento&lt;&gt;"TransfereGOV",
ROUND(OFFSET($P162,0,BA$13),15-13*ORÇAMENTO!$AF$7)/$H162*OFFSET(ORÇAMENTO!$X$15,ROW(BA162)-ROW(BA$15),0),
ROUND(ROUND(OFFSET($P162,0,BA$13),15-13*ORÇAMENTO!$AF$7)*OFFSET(ORÇAMENTO!$W$15,ROW(BA162)-ROW(BA$15),0),15-13*ORÇAMENTO!$AF$11)),0)</f>
        <v>0</v>
      </c>
      <c r="BC162" s="181">
        <f ca="1">IF($D162&lt;&gt;"Serviço",0,IF(AND(AUTOEVENTO="Manual",$M162=1),0,IF(OFFSET(CRONOPLE!$F$14,$M162,BC$13)="",10^12,OFFSET(CRONOPLE!$F$14,$M162,BC$13))))</f>
        <v>6</v>
      </c>
      <c r="BD162" s="181">
        <f ca="1">IF($D162&lt;&gt;"Serviço",0,IF(AND(AUTOEVENTO="Manual",$M162=1),0,IF(OFFSET(CRONOPLE!$F$14,$M162,BD$13)="",10^12,OFFSET(CRONOPLE!$F$14,$M162,BD$13))))</f>
        <v>1000000000000</v>
      </c>
      <c r="BE162" s="181">
        <f ca="1">IF($D162&lt;&gt;"Serviço",0,IF(AND(AUTOEVENTO="Manual",$M162=1),0,IF(OFFSET(CRONOPLE!$F$14,$M162,BE$13)="",10^12,OFFSET(CRONOPLE!$F$14,$M162,BE$13))))</f>
        <v>1000000000000</v>
      </c>
      <c r="BF162" s="181">
        <f ca="1">IF($D162&lt;&gt;"Serviço",0,IF(AND(AUTOEVENTO="Manual",$M162=1),0,IF(OFFSET(CRONOPLE!$F$14,$M162,BF$13)="",10^12,OFFSET(CRONOPLE!$F$14,$M162,BF$13))))</f>
        <v>1000000000000</v>
      </c>
      <c r="BG162" s="181">
        <f ca="1">IF($D162&lt;&gt;"Serviço",0,IF(AND(AUTOEVENTO="Manual",$M162=1),0,IF(OFFSET(CRONOPLE!$F$14,$M162,BG$13)="",10^12,OFFSET(CRONOPLE!$F$14,$M162,BG$13))))</f>
        <v>1000000000000</v>
      </c>
      <c r="BH162" s="181">
        <f ca="1">IF($D162&lt;&gt;"Serviço",0,IF(AND(AUTOEVENTO="Manual",$M162=1),0,IF(OFFSET(CRONOPLE!$F$14,$M162,BH$13)="",10^12,OFFSET(CRONOPLE!$F$14,$M162,BH$13))))</f>
        <v>1000000000000</v>
      </c>
      <c r="BI162" s="181">
        <f ca="1">IF($D162&lt;&gt;"Serviço",0,IF(AND(AUTOEVENTO="Manual",$M162=1),0,IF(OFFSET(CRONOPLE!$F$14,$M162,BI$13)="",10^12,OFFSET(CRONOPLE!$F$14,$M162,BI$13))))</f>
        <v>1000000000000</v>
      </c>
      <c r="BJ162" s="181">
        <f ca="1">IF($D162&lt;&gt;"Serviço",0,IF(AND(AUTOEVENTO="Manual",$M162=1),0,IF(OFFSET(CRONOPLE!$F$14,$M162,BJ$13)="",10^12,OFFSET(CRONOPLE!$F$14,$M162,BJ$13))))</f>
        <v>1000000000000</v>
      </c>
      <c r="BK162" s="181">
        <f ca="1">IF($D162&lt;&gt;"Serviço",0,IF(AND(AUTOEVENTO="Manual",$M162=1),0,IF(OFFSET(CRONOPLE!$F$14,$M162,BK$13)="",10^12,OFFSET(CRONOPLE!$F$14,$M162,BK$13))))</f>
        <v>1000000000000</v>
      </c>
      <c r="BL162" s="181">
        <f ca="1">IF($D162&lt;&gt;"Serviço",0,IF(AND(AUTOEVENTO="Manual",$M162=1),0,IF(OFFSET(CRONOPLE!$F$14,$M162,BL$13)="",10^12,OFFSET(CRONOPLE!$F$14,$M162,BL$13))))</f>
        <v>1000000000000</v>
      </c>
      <c r="BM162" s="181">
        <f ca="1">IF($D162&lt;&gt;"Serviço",0,IF(AND(AUTOEVENTO="Manual",$M162=1),0,IF(OFFSET(CRONOPLE!$F$14,$M162,BM$13)="",10^12,OFFSET(CRONOPLE!$F$14,$M162,BM$13))))</f>
        <v>1000000000000</v>
      </c>
      <c r="BN162" s="181">
        <f ca="1">IF($D162&lt;&gt;"Serviço",0,IF(AND(AUTOEVENTO="Manual",$M162=1),0,IF(OFFSET(CRONOPLE!$F$14,$M162,BN$13)="",10^12,OFFSET(CRONOPLE!$F$14,$M162,BN$13))))</f>
        <v>1000000000000</v>
      </c>
      <c r="BO162" s="181">
        <f ca="1">IF($D162&lt;&gt;"Serviço",0,IF(AND(AUTOEVENTO="Manual",$M162=1),0,IF(OFFSET(CRONOPLE!$F$14,$M162,BO$13)="",10^12,OFFSET(CRONOPLE!$F$14,$M162,BO$13))))</f>
        <v>1000000000000</v>
      </c>
      <c r="BP162" s="181">
        <f ca="1">IF($D162&lt;&gt;"Serviço",0,IF(AND(AUTOEVENTO="Manual",$M162=1),0,IF(OFFSET(CRONOPLE!$F$14,$M162,BP$13)="",10^12,OFFSET(CRONOPLE!$F$14,$M162,BP$13))))</f>
        <v>1000000000000</v>
      </c>
      <c r="BQ162" s="181">
        <f ca="1">IF($D162&lt;&gt;"Serviço",0,IF(AND(AUTOEVENTO="Manual",$M162=1),0,IF(OFFSET(CRONOPLE!$F$14,$M162,BQ$13)="",10^12,OFFSET(CRONOPLE!$F$14,$M162,BQ$13))))</f>
        <v>1000000000000</v>
      </c>
      <c r="BR162" s="181">
        <f ca="1">IF($D162&lt;&gt;"Serviço",0,IF(AND(AUTOEVENTO="Manual",$M162=1),0,IF(OFFSET(CRONOPLE!$F$14,$M162,BR$13)="",10^12,OFFSET(CRONOPLE!$F$14,$M162,BR$13))))</f>
        <v>1000000000000</v>
      </c>
      <c r="BS162" s="181">
        <f ca="1">IF($D162&lt;&gt;"Serviço",0,IF(AND(AUTOEVENTO="Manual",$M162=1),0,IF(OFFSET(CRONOPLE!$F$14,$M162,BS$13)="",10^12,OFFSET(CRONOPLE!$F$14,$M162,BS$13))))</f>
        <v>1000000000000</v>
      </c>
      <c r="BT162" s="181">
        <f ca="1">IF($D162&lt;&gt;"Serviço",0,IF(AND(AUTOEVENTO="Manual",$M162=1),0,IF(OFFSET(CRONOPLE!$F$14,$M162,BT$13)="",10^12,OFFSET(CRONOPLE!$F$14,$M162,BT$13))))</f>
        <v>1000000000000</v>
      </c>
      <c r="BV162" s="182">
        <f ca="1">IF($D162&lt;&gt;"Serviço",0,IF(OR(AND(AUTOEVENTO="Manual",$M162=1),$M162&gt;(ROW(PLE.lastrow)-ROW(PLE.firstrow))),0,IF(OFFSET(PLE!$G$14,$M162,BV$13)="",10^12,OFFSET(PLE!$G$14,$M162,BV$13))))</f>
        <v>1000000000000</v>
      </c>
      <c r="BW162" s="182">
        <f ca="1">IF($D162&lt;&gt;"Serviço",0,IF(OR(AND(AUTOEVENTO="Manual",$M162=1),$M162&gt;(ROW(PLE.lastrow)-ROW(PLE.firstrow))),0,IF(OFFSET(PLE!$G$14,$M162,BW$13)="",10^12,OFFSET(PLE!$G$14,$M162,BW$13))))</f>
        <v>1000000000000</v>
      </c>
      <c r="BX162" s="182">
        <f ca="1">IF($D162&lt;&gt;"Serviço",0,IF(OR(AND(AUTOEVENTO="Manual",$M162=1),$M162&gt;(ROW(PLE.lastrow)-ROW(PLE.firstrow))),0,IF(OFFSET(PLE!$G$14,$M162,BX$13)="",10^12,OFFSET(PLE!$G$14,$M162,BX$13))))</f>
        <v>1000000000000</v>
      </c>
      <c r="BY162" s="182">
        <f ca="1">IF($D162&lt;&gt;"Serviço",0,IF(OR(AND(AUTOEVENTO="Manual",$M162=1),$M162&gt;(ROW(PLE.lastrow)-ROW(PLE.firstrow))),0,IF(OFFSET(PLE!$G$14,$M162,BY$13)="",10^12,OFFSET(PLE!$G$14,$M162,BY$13))))</f>
        <v>1000000000000</v>
      </c>
      <c r="BZ162" s="182">
        <f ca="1">IF($D162&lt;&gt;"Serviço",0,IF(OR(AND(AUTOEVENTO="Manual",$M162=1),$M162&gt;(ROW(PLE.lastrow)-ROW(PLE.firstrow))),0,IF(OFFSET(PLE!$G$14,$M162,BZ$13)="",10^12,OFFSET(PLE!$G$14,$M162,BZ$13))))</f>
        <v>1000000000000</v>
      </c>
      <c r="CA162" s="182">
        <f ca="1">IF($D162&lt;&gt;"Serviço",0,IF(OR(AND(AUTOEVENTO="Manual",$M162=1),$M162&gt;(ROW(PLE.lastrow)-ROW(PLE.firstrow))),0,IF(OFFSET(PLE!$G$14,$M162,CA$13)="",10^12,OFFSET(PLE!$G$14,$M162,CA$13))))</f>
        <v>1000000000000</v>
      </c>
      <c r="CB162" s="182">
        <f ca="1">IF($D162&lt;&gt;"Serviço",0,IF(OR(AND(AUTOEVENTO="Manual",$M162=1),$M162&gt;(ROW(PLE.lastrow)-ROW(PLE.firstrow))),0,IF(OFFSET(PLE!$G$14,$M162,CB$13)="",10^12,OFFSET(PLE!$G$14,$M162,CB$13))))</f>
        <v>1000000000000</v>
      </c>
      <c r="CC162" s="182">
        <f ca="1">IF($D162&lt;&gt;"Serviço",0,IF(OR(AND(AUTOEVENTO="Manual",$M162=1),$M162&gt;(ROW(PLE.lastrow)-ROW(PLE.firstrow))),0,IF(OFFSET(PLE!$G$14,$M162,CC$13)="",10^12,OFFSET(PLE!$G$14,$M162,CC$13))))</f>
        <v>1000000000000</v>
      </c>
      <c r="CD162" s="182">
        <f ca="1">IF($D162&lt;&gt;"Serviço",0,IF(OR(AND(AUTOEVENTO="Manual",$M162=1),$M162&gt;(ROW(PLE.lastrow)-ROW(PLE.firstrow))),0,IF(OFFSET(PLE!$G$14,$M162,CD$13)="",10^12,OFFSET(PLE!$G$14,$M162,CD$13))))</f>
        <v>1000000000000</v>
      </c>
      <c r="CE162" s="182">
        <f ca="1">IF($D162&lt;&gt;"Serviço",0,IF(OR(AND(AUTOEVENTO="Manual",$M162=1),$M162&gt;(ROW(PLE.lastrow)-ROW(PLE.firstrow))),0,IF(OFFSET(PLE!$G$14,$M162,CE$13)="",10^12,OFFSET(PLE!$G$14,$M162,CE$13))))</f>
        <v>1000000000000</v>
      </c>
      <c r="CF162" s="182">
        <f ca="1">IF($D162&lt;&gt;"Serviço",0,IF(OR(AND(AUTOEVENTO="Manual",$M162=1),$M162&gt;(ROW(PLE.lastrow)-ROW(PLE.firstrow))),0,IF(OFFSET(PLE!$G$14,$M162,CF$13)="",10^12,OFFSET(PLE!$G$14,$M162,CF$13))))</f>
        <v>1000000000000</v>
      </c>
      <c r="CG162" s="182">
        <f ca="1">IF($D162&lt;&gt;"Serviço",0,IF(OR(AND(AUTOEVENTO="Manual",$M162=1),$M162&gt;(ROW(PLE.lastrow)-ROW(PLE.firstrow))),0,IF(OFFSET(PLE!$G$14,$M162,CG$13)="",10^12,OFFSET(PLE!$G$14,$M162,CG$13))))</f>
        <v>1000000000000</v>
      </c>
      <c r="CH162" s="182">
        <f ca="1">IF($D162&lt;&gt;"Serviço",0,IF(OR(AND(AUTOEVENTO="Manual",$M162=1),$M162&gt;(ROW(PLE.lastrow)-ROW(PLE.firstrow))),0,IF(OFFSET(PLE!$G$14,$M162,CH$13)="",10^12,OFFSET(PLE!$G$14,$M162,CH$13))))</f>
        <v>1000000000000</v>
      </c>
      <c r="CI162" s="182">
        <f ca="1">IF($D162&lt;&gt;"Serviço",0,IF(OR(AND(AUTOEVENTO="Manual",$M162=1),$M162&gt;(ROW(PLE.lastrow)-ROW(PLE.firstrow))),0,IF(OFFSET(PLE!$G$14,$M162,CI$13)="",10^12,OFFSET(PLE!$G$14,$M162,CI$13))))</f>
        <v>1000000000000</v>
      </c>
      <c r="CJ162" s="182">
        <f ca="1">IF($D162&lt;&gt;"Serviço",0,IF(OR(AND(AUTOEVENTO="Manual",$M162=1),$M162&gt;(ROW(PLE.lastrow)-ROW(PLE.firstrow))),0,IF(OFFSET(PLE!$G$14,$M162,CJ$13)="",10^12,OFFSET(PLE!$G$14,$M162,CJ$13))))</f>
        <v>1000000000000</v>
      </c>
      <c r="CK162" s="182">
        <f ca="1">IF($D162&lt;&gt;"Serviço",0,IF(OR(AND(AUTOEVENTO="Manual",$M162=1),$M162&gt;(ROW(PLE.lastrow)-ROW(PLE.firstrow))),0,IF(OFFSET(PLE!$G$14,$M162,CK$13)="",10^12,OFFSET(PLE!$G$14,$M162,CK$13))))</f>
        <v>1000000000000</v>
      </c>
      <c r="CL162" s="182">
        <f ca="1">IF($D162&lt;&gt;"Serviço",0,IF(OR(AND(AUTOEVENTO="Manual",$M162=1),$M162&gt;(ROW(PLE.lastrow)-ROW(PLE.firstrow))),0,IF(OFFSET(PLE!$G$14,$M162,CL$13)="",10^12,OFFSET(PLE!$G$14,$M162,CL$13))))</f>
        <v>1000000000000</v>
      </c>
      <c r="CM162" s="182">
        <f ca="1">IF($D162&lt;&gt;"Serviço",0,IF(OR(AND(AUTOEVENTO="Manual",$M162=1),$M162&gt;(ROW(PLE.lastrow)-ROW(PLE.firstrow))),0,IF(OFFSET(PLE!$G$14,$M162,CM$13)="",10^12,OFFSET(PLE!$G$14,$M162,CM$13))))</f>
        <v>1000000000000</v>
      </c>
    </row>
    <row r="163" spans="1:91" ht="51" x14ac:dyDescent="0.2">
      <c r="A163" s="7" t="str">
        <f t="shared" ca="1" si="11"/>
        <v>140</v>
      </c>
      <c r="B163" s="7" t="str">
        <f ca="1">OFFSET(ORÇAMENTO!C$15,ROW(B163)-ROW(B$15),0)</f>
        <v>S</v>
      </c>
      <c r="C163" s="7" t="str">
        <f ca="1">OFFSET(ORÇAMENTO!L$15,ROW(C163)-ROW(C$15),0)</f>
        <v/>
      </c>
      <c r="D163" s="118" t="str">
        <f ca="1">OFFSET(ORÇAMENTO!N$15,ROW(D163)-ROW(D$15),0)</f>
        <v>Serviço</v>
      </c>
      <c r="E163" s="119" t="str">
        <f ca="1">OFFSET(ORÇAMENTO!O$15,ROW(E163)-ROW(E$15),0)</f>
        <v>-</v>
      </c>
      <c r="F163" s="172" t="str">
        <f ca="1">OFFSET(ORÇAMENTO!R$15,ROW(F163)-ROW(F$15),0)</f>
        <v>(abra o arquivo 'Referência 06-2024.xlsm)</v>
      </c>
      <c r="G163" s="173" t="str">
        <f ca="1">IF($D163&lt;&gt;"Serviço","",OFFSET(ORÇAMENTO!S$15,ROW(G163)-ROW(G$15),0))</f>
        <v>-</v>
      </c>
      <c r="H163" s="124">
        <f ca="1">IF($D163&lt;&gt;"Serviço",0,IF(ACOMPANHAMENTO="BM",ROUND(OFFSET(ORÇAMENTO!AJ$15,ROW(H163)-ROW(H$15),0),15-13*ORÇAMENTO!$AF$7),SUMPRODUCT(($Q$12:$AI$12&lt;&gt;"")*ROUND($Q163:$AI163,15-13*ORÇAMENTO!$AF$7))))</f>
        <v>5.6</v>
      </c>
      <c r="I163" s="561" t="s">
        <v>1107</v>
      </c>
      <c r="K163" s="174"/>
      <c r="L163" s="175" t="s">
        <v>255</v>
      </c>
      <c r="M163" s="176">
        <f ca="1">IF($D163&lt;&gt;"Serviço","",IF(AUTOEVENTO="manual",$A163,IF(ISERROR(MATCH($A163,$A$15:OFFSET($A163,-1,0),0)),MAX($M$15:OFFSET(M163,-1,0))+1,INDEX($M$15:OFFSET(M163,-1,0),MATCH($A163,$A$15:OFFSET($A163,-1,0),0)))))</f>
        <v>24</v>
      </c>
      <c r="N163" s="177" t="str">
        <f ca="1">IF($D163&lt;&gt;"Serviço","",IF(AUTOEVENTO="Manual",IF($A163=0,"&lt;-- defina o número do agrupador",OFFSET(EVENTOS!$D$14,$A163,0)),OFFSET($F$15,$A163,0)))</f>
        <v>ESQUADRIAS - GERAL</v>
      </c>
      <c r="O163" s="178"/>
      <c r="Q163" s="178">
        <v>5.6</v>
      </c>
      <c r="R163" s="179"/>
      <c r="S163" s="179"/>
      <c r="T163" s="179"/>
      <c r="U163" s="179"/>
      <c r="V163" s="179"/>
      <c r="W163" s="179"/>
      <c r="X163" s="179"/>
      <c r="Y163" s="179"/>
      <c r="Z163" s="180"/>
      <c r="AA163" s="179"/>
      <c r="AB163" s="179"/>
      <c r="AC163" s="179"/>
      <c r="AD163" s="179"/>
      <c r="AE163" s="179"/>
      <c r="AF163" s="179"/>
      <c r="AG163" s="179"/>
      <c r="AH163" s="180"/>
      <c r="AJ163" s="544">
        <f ca="1">IF(AND($D163="Serviço",AJ$12&lt;&gt;0,$H163&gt;0,OR(AUTOEVENTO&lt;&gt;"manual",$M163&lt;&gt;1)),
IF(Import.TipoArredondamento&lt;&gt;"TransfereGOV",
ROUND(OFFSET($P163,0,AJ$13),15-13*ORÇAMENTO!$AF$7)/$H163*OFFSET(ORÇAMENTO!$X$15,ROW(AJ163)-ROW(AJ$15),0),
ROUND(ROUND(OFFSET($P163,0,AJ$13),15-13*ORÇAMENTO!$AF$7)*OFFSET(ORÇAMENTO!$W$15,ROW(AJ163)-ROW(AJ$15),0),15-13*ORÇAMENTO!$AF$11)),0)</f>
        <v>0</v>
      </c>
      <c r="AK163" s="545">
        <f ca="1">IF(AND($D163="Serviço",AK$12&lt;&gt;0,$H163&gt;0,OR(AUTOEVENTO&lt;&gt;"manual",$M163&lt;&gt;1)),
IF(Import.TipoArredondamento&lt;&gt;"TransfereGOV",
ROUND(OFFSET($P163,0,AK$13),15-13*ORÇAMENTO!$AF$7)/$H163*OFFSET(ORÇAMENTO!$X$15,ROW(AK163)-ROW(AK$15),0),
ROUND(ROUND(OFFSET($P163,0,AK$13),15-13*ORÇAMENTO!$AF$7)*OFFSET(ORÇAMENTO!$W$15,ROW(AK163)-ROW(AK$15),0),15-13*ORÇAMENTO!$AF$11)),0)</f>
        <v>0</v>
      </c>
      <c r="AL163" s="545">
        <f ca="1">IF(AND($D163="Serviço",AL$12&lt;&gt;0,$H163&gt;0,OR(AUTOEVENTO&lt;&gt;"manual",$M163&lt;&gt;1)),
IF(Import.TipoArredondamento&lt;&gt;"TransfereGOV",
ROUND(OFFSET($P163,0,AL$13),15-13*ORÇAMENTO!$AF$7)/$H163*OFFSET(ORÇAMENTO!$X$15,ROW(AL163)-ROW(AL$15),0),
ROUND(ROUND(OFFSET($P163,0,AL$13),15-13*ORÇAMENTO!$AF$7)*OFFSET(ORÇAMENTO!$W$15,ROW(AL163)-ROW(AL$15),0),15-13*ORÇAMENTO!$AF$11)),0)</f>
        <v>0</v>
      </c>
      <c r="AM163" s="545">
        <f ca="1">IF(AND($D163="Serviço",AM$12&lt;&gt;0,$H163&gt;0,OR(AUTOEVENTO&lt;&gt;"manual",$M163&lt;&gt;1)),
IF(Import.TipoArredondamento&lt;&gt;"TransfereGOV",
ROUND(OFFSET($P163,0,AM$13),15-13*ORÇAMENTO!$AF$7)/$H163*OFFSET(ORÇAMENTO!$X$15,ROW(AM163)-ROW(AM$15),0),
ROUND(ROUND(OFFSET($P163,0,AM$13),15-13*ORÇAMENTO!$AF$7)*OFFSET(ORÇAMENTO!$W$15,ROW(AM163)-ROW(AM$15),0),15-13*ORÇAMENTO!$AF$11)),0)</f>
        <v>0</v>
      </c>
      <c r="AN163" s="545">
        <f ca="1">IF(AND($D163="Serviço",AN$12&lt;&gt;0,$H163&gt;0,OR(AUTOEVENTO&lt;&gt;"manual",$M163&lt;&gt;1)),
IF(Import.TipoArredondamento&lt;&gt;"TransfereGOV",
ROUND(OFFSET($P163,0,AN$13),15-13*ORÇAMENTO!$AF$7)/$H163*OFFSET(ORÇAMENTO!$X$15,ROW(AN163)-ROW(AN$15),0),
ROUND(ROUND(OFFSET($P163,0,AN$13),15-13*ORÇAMENTO!$AF$7)*OFFSET(ORÇAMENTO!$W$15,ROW(AN163)-ROW(AN$15),0),15-13*ORÇAMENTO!$AF$11)),0)</f>
        <v>0</v>
      </c>
      <c r="AO163" s="545">
        <f ca="1">IF(AND($D163="Serviço",AO$12&lt;&gt;0,$H163&gt;0,OR(AUTOEVENTO&lt;&gt;"manual",$M163&lt;&gt;1)),
IF(Import.TipoArredondamento&lt;&gt;"TransfereGOV",
ROUND(OFFSET($P163,0,AO$13),15-13*ORÇAMENTO!$AF$7)/$H163*OFFSET(ORÇAMENTO!$X$15,ROW(AO163)-ROW(AO$15),0),
ROUND(ROUND(OFFSET($P163,0,AO$13),15-13*ORÇAMENTO!$AF$7)*OFFSET(ORÇAMENTO!$W$15,ROW(AO163)-ROW(AO$15),0),15-13*ORÇAMENTO!$AF$11)),0)</f>
        <v>0</v>
      </c>
      <c r="AP163" s="545">
        <f ca="1">IF(AND($D163="Serviço",AP$12&lt;&gt;0,$H163&gt;0,OR(AUTOEVENTO&lt;&gt;"manual",$M163&lt;&gt;1)),
IF(Import.TipoArredondamento&lt;&gt;"TransfereGOV",
ROUND(OFFSET($P163,0,AP$13),15-13*ORÇAMENTO!$AF$7)/$H163*OFFSET(ORÇAMENTO!$X$15,ROW(AP163)-ROW(AP$15),0),
ROUND(ROUND(OFFSET($P163,0,AP$13),15-13*ORÇAMENTO!$AF$7)*OFFSET(ORÇAMENTO!$W$15,ROW(AP163)-ROW(AP$15),0),15-13*ORÇAMENTO!$AF$11)),0)</f>
        <v>0</v>
      </c>
      <c r="AQ163" s="545">
        <f ca="1">IF(AND($D163="Serviço",AQ$12&lt;&gt;0,$H163&gt;0,OR(AUTOEVENTO&lt;&gt;"manual",$M163&lt;&gt;1)),
IF(Import.TipoArredondamento&lt;&gt;"TransfereGOV",
ROUND(OFFSET($P163,0,AQ$13),15-13*ORÇAMENTO!$AF$7)/$H163*OFFSET(ORÇAMENTO!$X$15,ROW(AQ163)-ROW(AQ$15),0),
ROUND(ROUND(OFFSET($P163,0,AQ$13),15-13*ORÇAMENTO!$AF$7)*OFFSET(ORÇAMENTO!$W$15,ROW(AQ163)-ROW(AQ$15),0),15-13*ORÇAMENTO!$AF$11)),0)</f>
        <v>0</v>
      </c>
      <c r="AR163" s="545">
        <f ca="1">IF(AND($D163="Serviço",AR$12&lt;&gt;0,$H163&gt;0,OR(AUTOEVENTO&lt;&gt;"manual",$M163&lt;&gt;1)),
IF(Import.TipoArredondamento&lt;&gt;"TransfereGOV",
ROUND(OFFSET($P163,0,AR$13),15-13*ORÇAMENTO!$AF$7)/$H163*OFFSET(ORÇAMENTO!$X$15,ROW(AR163)-ROW(AR$15),0),
ROUND(ROUND(OFFSET($P163,0,AR$13),15-13*ORÇAMENTO!$AF$7)*OFFSET(ORÇAMENTO!$W$15,ROW(AR163)-ROW(AR$15),0),15-13*ORÇAMENTO!$AF$11)),0)</f>
        <v>0</v>
      </c>
      <c r="AS163" s="546">
        <f ca="1">IF(AND($D163="Serviço",AS$12&lt;&gt;0,$H163&gt;0,OR(AUTOEVENTO&lt;&gt;"manual",$M163&lt;&gt;1)),
IF(Import.TipoArredondamento&lt;&gt;"TransfereGOV",
ROUND(OFFSET($P163,0,AS$13),15-13*ORÇAMENTO!$AF$7)/$H163*OFFSET(ORÇAMENTO!$X$15,ROW(AS163)-ROW(AS$15),0),
ROUND(ROUND(OFFSET($P163,0,AS$13),15-13*ORÇAMENTO!$AF$7)*OFFSET(ORÇAMENTO!$W$15,ROW(AS163)-ROW(AS$15),0),15-13*ORÇAMENTO!$AF$11)),0)</f>
        <v>0</v>
      </c>
      <c r="AT163" s="545">
        <f ca="1">IF(AND($D163="Serviço",AT$12&lt;&gt;0,$H163&gt;0,OR(AUTOEVENTO&lt;&gt;"manual",$M163&lt;&gt;1)),
IF(Import.TipoArredondamento&lt;&gt;"TransfereGOV",
ROUND(OFFSET($P163,0,AT$13),15-13*ORÇAMENTO!$AF$7)/$H163*OFFSET(ORÇAMENTO!$X$15,ROW(AT163)-ROW(AT$15),0),
ROUND(ROUND(OFFSET($P163,0,AT$13),15-13*ORÇAMENTO!$AF$7)*OFFSET(ORÇAMENTO!$W$15,ROW(AT163)-ROW(AT$15),0),15-13*ORÇAMENTO!$AF$11)),0)</f>
        <v>0</v>
      </c>
      <c r="AU163" s="545">
        <f ca="1">IF(AND($D163="Serviço",AU$12&lt;&gt;0,$H163&gt;0,OR(AUTOEVENTO&lt;&gt;"manual",$M163&lt;&gt;1)),
IF(Import.TipoArredondamento&lt;&gt;"TransfereGOV",
ROUND(OFFSET($P163,0,AU$13),15-13*ORÇAMENTO!$AF$7)/$H163*OFFSET(ORÇAMENTO!$X$15,ROW(AU163)-ROW(AU$15),0),
ROUND(ROUND(OFFSET($P163,0,AU$13),15-13*ORÇAMENTO!$AF$7)*OFFSET(ORÇAMENTO!$W$15,ROW(AU163)-ROW(AU$15),0),15-13*ORÇAMENTO!$AF$11)),0)</f>
        <v>0</v>
      </c>
      <c r="AV163" s="545">
        <f ca="1">IF(AND($D163="Serviço",AV$12&lt;&gt;0,$H163&gt;0,OR(AUTOEVENTO&lt;&gt;"manual",$M163&lt;&gt;1)),
IF(Import.TipoArredondamento&lt;&gt;"TransfereGOV",
ROUND(OFFSET($P163,0,AV$13),15-13*ORÇAMENTO!$AF$7)/$H163*OFFSET(ORÇAMENTO!$X$15,ROW(AV163)-ROW(AV$15),0),
ROUND(ROUND(OFFSET($P163,0,AV$13),15-13*ORÇAMENTO!$AF$7)*OFFSET(ORÇAMENTO!$W$15,ROW(AV163)-ROW(AV$15),0),15-13*ORÇAMENTO!$AF$11)),0)</f>
        <v>0</v>
      </c>
      <c r="AW163" s="545">
        <f ca="1">IF(AND($D163="Serviço",AW$12&lt;&gt;0,$H163&gt;0,OR(AUTOEVENTO&lt;&gt;"manual",$M163&lt;&gt;1)),
IF(Import.TipoArredondamento&lt;&gt;"TransfereGOV",
ROUND(OFFSET($P163,0,AW$13),15-13*ORÇAMENTO!$AF$7)/$H163*OFFSET(ORÇAMENTO!$X$15,ROW(AW163)-ROW(AW$15),0),
ROUND(ROUND(OFFSET($P163,0,AW$13),15-13*ORÇAMENTO!$AF$7)*OFFSET(ORÇAMENTO!$W$15,ROW(AW163)-ROW(AW$15),0),15-13*ORÇAMENTO!$AF$11)),0)</f>
        <v>0</v>
      </c>
      <c r="AX163" s="545">
        <f ca="1">IF(AND($D163="Serviço",AX$12&lt;&gt;0,$H163&gt;0,OR(AUTOEVENTO&lt;&gt;"manual",$M163&lt;&gt;1)),
IF(Import.TipoArredondamento&lt;&gt;"TransfereGOV",
ROUND(OFFSET($P163,0,AX$13),15-13*ORÇAMENTO!$AF$7)/$H163*OFFSET(ORÇAMENTO!$X$15,ROW(AX163)-ROW(AX$15),0),
ROUND(ROUND(OFFSET($P163,0,AX$13),15-13*ORÇAMENTO!$AF$7)*OFFSET(ORÇAMENTO!$W$15,ROW(AX163)-ROW(AX$15),0),15-13*ORÇAMENTO!$AF$11)),0)</f>
        <v>0</v>
      </c>
      <c r="AY163" s="545">
        <f ca="1">IF(AND($D163="Serviço",AY$12&lt;&gt;0,$H163&gt;0,OR(AUTOEVENTO&lt;&gt;"manual",$M163&lt;&gt;1)),
IF(Import.TipoArredondamento&lt;&gt;"TransfereGOV",
ROUND(OFFSET($P163,0,AY$13),15-13*ORÇAMENTO!$AF$7)/$H163*OFFSET(ORÇAMENTO!$X$15,ROW(AY163)-ROW(AY$15),0),
ROUND(ROUND(OFFSET($P163,0,AY$13),15-13*ORÇAMENTO!$AF$7)*OFFSET(ORÇAMENTO!$W$15,ROW(AY163)-ROW(AY$15),0),15-13*ORÇAMENTO!$AF$11)),0)</f>
        <v>0</v>
      </c>
      <c r="AZ163" s="545">
        <f ca="1">IF(AND($D163="Serviço",AZ$12&lt;&gt;0,$H163&gt;0,OR(AUTOEVENTO&lt;&gt;"manual",$M163&lt;&gt;1)),
IF(Import.TipoArredondamento&lt;&gt;"TransfereGOV",
ROUND(OFFSET($P163,0,AZ$13),15-13*ORÇAMENTO!$AF$7)/$H163*OFFSET(ORÇAMENTO!$X$15,ROW(AZ163)-ROW(AZ$15),0),
ROUND(ROUND(OFFSET($P163,0,AZ$13),15-13*ORÇAMENTO!$AF$7)*OFFSET(ORÇAMENTO!$W$15,ROW(AZ163)-ROW(AZ$15),0),15-13*ORÇAMENTO!$AF$11)),0)</f>
        <v>0</v>
      </c>
      <c r="BA163" s="546">
        <f ca="1">IF(AND($D163="Serviço",BA$12&lt;&gt;0,$H163&gt;0,OR(AUTOEVENTO&lt;&gt;"manual",$M163&lt;&gt;1)),
IF(Import.TipoArredondamento&lt;&gt;"TransfereGOV",
ROUND(OFFSET($P163,0,BA$13),15-13*ORÇAMENTO!$AF$7)/$H163*OFFSET(ORÇAMENTO!$X$15,ROW(BA163)-ROW(BA$15),0),
ROUND(ROUND(OFFSET($P163,0,BA$13),15-13*ORÇAMENTO!$AF$7)*OFFSET(ORÇAMENTO!$W$15,ROW(BA163)-ROW(BA$15),0),15-13*ORÇAMENTO!$AF$11)),0)</f>
        <v>0</v>
      </c>
      <c r="BC163" s="181">
        <f ca="1">IF($D163&lt;&gt;"Serviço",0,IF(AND(AUTOEVENTO="Manual",$M163=1),0,IF(OFFSET(CRONOPLE!$F$14,$M163,BC$13)="",10^12,OFFSET(CRONOPLE!$F$14,$M163,BC$13))))</f>
        <v>6</v>
      </c>
      <c r="BD163" s="181">
        <f ca="1">IF($D163&lt;&gt;"Serviço",0,IF(AND(AUTOEVENTO="Manual",$M163=1),0,IF(OFFSET(CRONOPLE!$F$14,$M163,BD$13)="",10^12,OFFSET(CRONOPLE!$F$14,$M163,BD$13))))</f>
        <v>1000000000000</v>
      </c>
      <c r="BE163" s="181">
        <f ca="1">IF($D163&lt;&gt;"Serviço",0,IF(AND(AUTOEVENTO="Manual",$M163=1),0,IF(OFFSET(CRONOPLE!$F$14,$M163,BE$13)="",10^12,OFFSET(CRONOPLE!$F$14,$M163,BE$13))))</f>
        <v>1000000000000</v>
      </c>
      <c r="BF163" s="181">
        <f ca="1">IF($D163&lt;&gt;"Serviço",0,IF(AND(AUTOEVENTO="Manual",$M163=1),0,IF(OFFSET(CRONOPLE!$F$14,$M163,BF$13)="",10^12,OFFSET(CRONOPLE!$F$14,$M163,BF$13))))</f>
        <v>1000000000000</v>
      </c>
      <c r="BG163" s="181">
        <f ca="1">IF($D163&lt;&gt;"Serviço",0,IF(AND(AUTOEVENTO="Manual",$M163=1),0,IF(OFFSET(CRONOPLE!$F$14,$M163,BG$13)="",10^12,OFFSET(CRONOPLE!$F$14,$M163,BG$13))))</f>
        <v>1000000000000</v>
      </c>
      <c r="BH163" s="181">
        <f ca="1">IF($D163&lt;&gt;"Serviço",0,IF(AND(AUTOEVENTO="Manual",$M163=1),0,IF(OFFSET(CRONOPLE!$F$14,$M163,BH$13)="",10^12,OFFSET(CRONOPLE!$F$14,$M163,BH$13))))</f>
        <v>1000000000000</v>
      </c>
      <c r="BI163" s="181">
        <f ca="1">IF($D163&lt;&gt;"Serviço",0,IF(AND(AUTOEVENTO="Manual",$M163=1),0,IF(OFFSET(CRONOPLE!$F$14,$M163,BI$13)="",10^12,OFFSET(CRONOPLE!$F$14,$M163,BI$13))))</f>
        <v>1000000000000</v>
      </c>
      <c r="BJ163" s="181">
        <f ca="1">IF($D163&lt;&gt;"Serviço",0,IF(AND(AUTOEVENTO="Manual",$M163=1),0,IF(OFFSET(CRONOPLE!$F$14,$M163,BJ$13)="",10^12,OFFSET(CRONOPLE!$F$14,$M163,BJ$13))))</f>
        <v>1000000000000</v>
      </c>
      <c r="BK163" s="181">
        <f ca="1">IF($D163&lt;&gt;"Serviço",0,IF(AND(AUTOEVENTO="Manual",$M163=1),0,IF(OFFSET(CRONOPLE!$F$14,$M163,BK$13)="",10^12,OFFSET(CRONOPLE!$F$14,$M163,BK$13))))</f>
        <v>1000000000000</v>
      </c>
      <c r="BL163" s="181">
        <f ca="1">IF($D163&lt;&gt;"Serviço",0,IF(AND(AUTOEVENTO="Manual",$M163=1),0,IF(OFFSET(CRONOPLE!$F$14,$M163,BL$13)="",10^12,OFFSET(CRONOPLE!$F$14,$M163,BL$13))))</f>
        <v>1000000000000</v>
      </c>
      <c r="BM163" s="181">
        <f ca="1">IF($D163&lt;&gt;"Serviço",0,IF(AND(AUTOEVENTO="Manual",$M163=1),0,IF(OFFSET(CRONOPLE!$F$14,$M163,BM$13)="",10^12,OFFSET(CRONOPLE!$F$14,$M163,BM$13))))</f>
        <v>1000000000000</v>
      </c>
      <c r="BN163" s="181">
        <f ca="1">IF($D163&lt;&gt;"Serviço",0,IF(AND(AUTOEVENTO="Manual",$M163=1),0,IF(OFFSET(CRONOPLE!$F$14,$M163,BN$13)="",10^12,OFFSET(CRONOPLE!$F$14,$M163,BN$13))))</f>
        <v>1000000000000</v>
      </c>
      <c r="BO163" s="181">
        <f ca="1">IF($D163&lt;&gt;"Serviço",0,IF(AND(AUTOEVENTO="Manual",$M163=1),0,IF(OFFSET(CRONOPLE!$F$14,$M163,BO$13)="",10^12,OFFSET(CRONOPLE!$F$14,$M163,BO$13))))</f>
        <v>1000000000000</v>
      </c>
      <c r="BP163" s="181">
        <f ca="1">IF($D163&lt;&gt;"Serviço",0,IF(AND(AUTOEVENTO="Manual",$M163=1),0,IF(OFFSET(CRONOPLE!$F$14,$M163,BP$13)="",10^12,OFFSET(CRONOPLE!$F$14,$M163,BP$13))))</f>
        <v>1000000000000</v>
      </c>
      <c r="BQ163" s="181">
        <f ca="1">IF($D163&lt;&gt;"Serviço",0,IF(AND(AUTOEVENTO="Manual",$M163=1),0,IF(OFFSET(CRONOPLE!$F$14,$M163,BQ$13)="",10^12,OFFSET(CRONOPLE!$F$14,$M163,BQ$13))))</f>
        <v>1000000000000</v>
      </c>
      <c r="BR163" s="181">
        <f ca="1">IF($D163&lt;&gt;"Serviço",0,IF(AND(AUTOEVENTO="Manual",$M163=1),0,IF(OFFSET(CRONOPLE!$F$14,$M163,BR$13)="",10^12,OFFSET(CRONOPLE!$F$14,$M163,BR$13))))</f>
        <v>1000000000000</v>
      </c>
      <c r="BS163" s="181">
        <f ca="1">IF($D163&lt;&gt;"Serviço",0,IF(AND(AUTOEVENTO="Manual",$M163=1),0,IF(OFFSET(CRONOPLE!$F$14,$M163,BS$13)="",10^12,OFFSET(CRONOPLE!$F$14,$M163,BS$13))))</f>
        <v>1000000000000</v>
      </c>
      <c r="BT163" s="181">
        <f ca="1">IF($D163&lt;&gt;"Serviço",0,IF(AND(AUTOEVENTO="Manual",$M163=1),0,IF(OFFSET(CRONOPLE!$F$14,$M163,BT$13)="",10^12,OFFSET(CRONOPLE!$F$14,$M163,BT$13))))</f>
        <v>1000000000000</v>
      </c>
      <c r="BV163" s="182">
        <f ca="1">IF($D163&lt;&gt;"Serviço",0,IF(OR(AND(AUTOEVENTO="Manual",$M163=1),$M163&gt;(ROW(PLE.lastrow)-ROW(PLE.firstrow))),0,IF(OFFSET(PLE!$G$14,$M163,BV$13)="",10^12,OFFSET(PLE!$G$14,$M163,BV$13))))</f>
        <v>1000000000000</v>
      </c>
      <c r="BW163" s="182">
        <f ca="1">IF($D163&lt;&gt;"Serviço",0,IF(OR(AND(AUTOEVENTO="Manual",$M163=1),$M163&gt;(ROW(PLE.lastrow)-ROW(PLE.firstrow))),0,IF(OFFSET(PLE!$G$14,$M163,BW$13)="",10^12,OFFSET(PLE!$G$14,$M163,BW$13))))</f>
        <v>1000000000000</v>
      </c>
      <c r="BX163" s="182">
        <f ca="1">IF($D163&lt;&gt;"Serviço",0,IF(OR(AND(AUTOEVENTO="Manual",$M163=1),$M163&gt;(ROW(PLE.lastrow)-ROW(PLE.firstrow))),0,IF(OFFSET(PLE!$G$14,$M163,BX$13)="",10^12,OFFSET(PLE!$G$14,$M163,BX$13))))</f>
        <v>1000000000000</v>
      </c>
      <c r="BY163" s="182">
        <f ca="1">IF($D163&lt;&gt;"Serviço",0,IF(OR(AND(AUTOEVENTO="Manual",$M163=1),$M163&gt;(ROW(PLE.lastrow)-ROW(PLE.firstrow))),0,IF(OFFSET(PLE!$G$14,$M163,BY$13)="",10^12,OFFSET(PLE!$G$14,$M163,BY$13))))</f>
        <v>1000000000000</v>
      </c>
      <c r="BZ163" s="182">
        <f ca="1">IF($D163&lt;&gt;"Serviço",0,IF(OR(AND(AUTOEVENTO="Manual",$M163=1),$M163&gt;(ROW(PLE.lastrow)-ROW(PLE.firstrow))),0,IF(OFFSET(PLE!$G$14,$M163,BZ$13)="",10^12,OFFSET(PLE!$G$14,$M163,BZ$13))))</f>
        <v>1000000000000</v>
      </c>
      <c r="CA163" s="182">
        <f ca="1">IF($D163&lt;&gt;"Serviço",0,IF(OR(AND(AUTOEVENTO="Manual",$M163=1),$M163&gt;(ROW(PLE.lastrow)-ROW(PLE.firstrow))),0,IF(OFFSET(PLE!$G$14,$M163,CA$13)="",10^12,OFFSET(PLE!$G$14,$M163,CA$13))))</f>
        <v>1000000000000</v>
      </c>
      <c r="CB163" s="182">
        <f ca="1">IF($D163&lt;&gt;"Serviço",0,IF(OR(AND(AUTOEVENTO="Manual",$M163=1),$M163&gt;(ROW(PLE.lastrow)-ROW(PLE.firstrow))),0,IF(OFFSET(PLE!$G$14,$M163,CB$13)="",10^12,OFFSET(PLE!$G$14,$M163,CB$13))))</f>
        <v>1000000000000</v>
      </c>
      <c r="CC163" s="182">
        <f ca="1">IF($D163&lt;&gt;"Serviço",0,IF(OR(AND(AUTOEVENTO="Manual",$M163=1),$M163&gt;(ROW(PLE.lastrow)-ROW(PLE.firstrow))),0,IF(OFFSET(PLE!$G$14,$M163,CC$13)="",10^12,OFFSET(PLE!$G$14,$M163,CC$13))))</f>
        <v>1000000000000</v>
      </c>
      <c r="CD163" s="182">
        <f ca="1">IF($D163&lt;&gt;"Serviço",0,IF(OR(AND(AUTOEVENTO="Manual",$M163=1),$M163&gt;(ROW(PLE.lastrow)-ROW(PLE.firstrow))),0,IF(OFFSET(PLE!$G$14,$M163,CD$13)="",10^12,OFFSET(PLE!$G$14,$M163,CD$13))))</f>
        <v>1000000000000</v>
      </c>
      <c r="CE163" s="182">
        <f ca="1">IF($D163&lt;&gt;"Serviço",0,IF(OR(AND(AUTOEVENTO="Manual",$M163=1),$M163&gt;(ROW(PLE.lastrow)-ROW(PLE.firstrow))),0,IF(OFFSET(PLE!$G$14,$M163,CE$13)="",10^12,OFFSET(PLE!$G$14,$M163,CE$13))))</f>
        <v>1000000000000</v>
      </c>
      <c r="CF163" s="182">
        <f ca="1">IF($D163&lt;&gt;"Serviço",0,IF(OR(AND(AUTOEVENTO="Manual",$M163=1),$M163&gt;(ROW(PLE.lastrow)-ROW(PLE.firstrow))),0,IF(OFFSET(PLE!$G$14,$M163,CF$13)="",10^12,OFFSET(PLE!$G$14,$M163,CF$13))))</f>
        <v>1000000000000</v>
      </c>
      <c r="CG163" s="182">
        <f ca="1">IF($D163&lt;&gt;"Serviço",0,IF(OR(AND(AUTOEVENTO="Manual",$M163=1),$M163&gt;(ROW(PLE.lastrow)-ROW(PLE.firstrow))),0,IF(OFFSET(PLE!$G$14,$M163,CG$13)="",10^12,OFFSET(PLE!$G$14,$M163,CG$13))))</f>
        <v>1000000000000</v>
      </c>
      <c r="CH163" s="182">
        <f ca="1">IF($D163&lt;&gt;"Serviço",0,IF(OR(AND(AUTOEVENTO="Manual",$M163=1),$M163&gt;(ROW(PLE.lastrow)-ROW(PLE.firstrow))),0,IF(OFFSET(PLE!$G$14,$M163,CH$13)="",10^12,OFFSET(PLE!$G$14,$M163,CH$13))))</f>
        <v>1000000000000</v>
      </c>
      <c r="CI163" s="182">
        <f ca="1">IF($D163&lt;&gt;"Serviço",0,IF(OR(AND(AUTOEVENTO="Manual",$M163=1),$M163&gt;(ROW(PLE.lastrow)-ROW(PLE.firstrow))),0,IF(OFFSET(PLE!$G$14,$M163,CI$13)="",10^12,OFFSET(PLE!$G$14,$M163,CI$13))))</f>
        <v>1000000000000</v>
      </c>
      <c r="CJ163" s="182">
        <f ca="1">IF($D163&lt;&gt;"Serviço",0,IF(OR(AND(AUTOEVENTO="Manual",$M163=1),$M163&gt;(ROW(PLE.lastrow)-ROW(PLE.firstrow))),0,IF(OFFSET(PLE!$G$14,$M163,CJ$13)="",10^12,OFFSET(PLE!$G$14,$M163,CJ$13))))</f>
        <v>1000000000000</v>
      </c>
      <c r="CK163" s="182">
        <f ca="1">IF($D163&lt;&gt;"Serviço",0,IF(OR(AND(AUTOEVENTO="Manual",$M163=1),$M163&gt;(ROW(PLE.lastrow)-ROW(PLE.firstrow))),0,IF(OFFSET(PLE!$G$14,$M163,CK$13)="",10^12,OFFSET(PLE!$G$14,$M163,CK$13))))</f>
        <v>1000000000000</v>
      </c>
      <c r="CL163" s="182">
        <f ca="1">IF($D163&lt;&gt;"Serviço",0,IF(OR(AND(AUTOEVENTO="Manual",$M163=1),$M163&gt;(ROW(PLE.lastrow)-ROW(PLE.firstrow))),0,IF(OFFSET(PLE!$G$14,$M163,CL$13)="",10^12,OFFSET(PLE!$G$14,$M163,CL$13))))</f>
        <v>1000000000000</v>
      </c>
      <c r="CM163" s="182">
        <f ca="1">IF($D163&lt;&gt;"Serviço",0,IF(OR(AND(AUTOEVENTO="Manual",$M163=1),$M163&gt;(ROW(PLE.lastrow)-ROW(PLE.firstrow))),0,IF(OFFSET(PLE!$G$14,$M163,CM$13)="",10^12,OFFSET(PLE!$G$14,$M163,CM$13))))</f>
        <v>1000000000000</v>
      </c>
    </row>
    <row r="164" spans="1:91" ht="51" x14ac:dyDescent="0.2">
      <c r="A164" s="7" t="str">
        <f t="shared" ca="1" si="11"/>
        <v>140</v>
      </c>
      <c r="B164" s="7" t="str">
        <f ca="1">OFFSET(ORÇAMENTO!C$15,ROW(B164)-ROW(B$15),0)</f>
        <v>S</v>
      </c>
      <c r="C164" s="7" t="str">
        <f ca="1">OFFSET(ORÇAMENTO!L$15,ROW(C164)-ROW(C$15),0)</f>
        <v/>
      </c>
      <c r="D164" s="118" t="str">
        <f ca="1">OFFSET(ORÇAMENTO!N$15,ROW(D164)-ROW(D$15),0)</f>
        <v>Serviço</v>
      </c>
      <c r="E164" s="119" t="str">
        <f ca="1">OFFSET(ORÇAMENTO!O$15,ROW(E164)-ROW(E$15),0)</f>
        <v>-</v>
      </c>
      <c r="F164" s="172" t="str">
        <f ca="1">OFFSET(ORÇAMENTO!R$15,ROW(F164)-ROW(F$15),0)</f>
        <v>(abra o arquivo 'Referência 06-2024.xlsm)</v>
      </c>
      <c r="G164" s="173" t="str">
        <f ca="1">IF($D164&lt;&gt;"Serviço","",OFFSET(ORÇAMENTO!S$15,ROW(G164)-ROW(G$15),0))</f>
        <v>-</v>
      </c>
      <c r="H164" s="124">
        <f ca="1">IF($D164&lt;&gt;"Serviço",0,IF(ACOMPANHAMENTO="BM",ROUND(OFFSET(ORÇAMENTO!AJ$15,ROW(H164)-ROW(H$15),0),15-13*ORÇAMENTO!$AF$7),SUMPRODUCT(($Q$12:$AI$12&lt;&gt;"")*ROUND($Q164:$AI164,15-13*ORÇAMENTO!$AF$7))))</f>
        <v>2.4</v>
      </c>
      <c r="I164" s="561" t="s">
        <v>1107</v>
      </c>
      <c r="K164" s="174"/>
      <c r="L164" s="175" t="s">
        <v>255</v>
      </c>
      <c r="M164" s="176">
        <f ca="1">IF($D164&lt;&gt;"Serviço","",IF(AUTOEVENTO="manual",$A164,IF(ISERROR(MATCH($A164,$A$15:OFFSET($A164,-1,0),0)),MAX($M$15:OFFSET(M164,-1,0))+1,INDEX($M$15:OFFSET(M164,-1,0),MATCH($A164,$A$15:OFFSET($A164,-1,0),0)))))</f>
        <v>24</v>
      </c>
      <c r="N164" s="177" t="str">
        <f ca="1">IF($D164&lt;&gt;"Serviço","",IF(AUTOEVENTO="Manual",IF($A164=0,"&lt;-- defina o número do agrupador",OFFSET(EVENTOS!$D$14,$A164,0)),OFFSET($F$15,$A164,0)))</f>
        <v>ESQUADRIAS - GERAL</v>
      </c>
      <c r="O164" s="178"/>
      <c r="Q164" s="178">
        <v>2.4</v>
      </c>
      <c r="R164" s="179"/>
      <c r="S164" s="179"/>
      <c r="T164" s="179"/>
      <c r="U164" s="179"/>
      <c r="V164" s="179"/>
      <c r="W164" s="179"/>
      <c r="X164" s="179"/>
      <c r="Y164" s="179"/>
      <c r="Z164" s="180"/>
      <c r="AA164" s="179"/>
      <c r="AB164" s="179"/>
      <c r="AC164" s="179"/>
      <c r="AD164" s="179"/>
      <c r="AE164" s="179"/>
      <c r="AF164" s="179"/>
      <c r="AG164" s="179"/>
      <c r="AH164" s="180"/>
      <c r="AJ164" s="544">
        <f ca="1">IF(AND($D164="Serviço",AJ$12&lt;&gt;0,$H164&gt;0,OR(AUTOEVENTO&lt;&gt;"manual",$M164&lt;&gt;1)),
IF(Import.TipoArredondamento&lt;&gt;"TransfereGOV",
ROUND(OFFSET($P164,0,AJ$13),15-13*ORÇAMENTO!$AF$7)/$H164*OFFSET(ORÇAMENTO!$X$15,ROW(AJ164)-ROW(AJ$15),0),
ROUND(ROUND(OFFSET($P164,0,AJ$13),15-13*ORÇAMENTO!$AF$7)*OFFSET(ORÇAMENTO!$W$15,ROW(AJ164)-ROW(AJ$15),0),15-13*ORÇAMENTO!$AF$11)),0)</f>
        <v>0</v>
      </c>
      <c r="AK164" s="545">
        <f ca="1">IF(AND($D164="Serviço",AK$12&lt;&gt;0,$H164&gt;0,OR(AUTOEVENTO&lt;&gt;"manual",$M164&lt;&gt;1)),
IF(Import.TipoArredondamento&lt;&gt;"TransfereGOV",
ROUND(OFFSET($P164,0,AK$13),15-13*ORÇAMENTO!$AF$7)/$H164*OFFSET(ORÇAMENTO!$X$15,ROW(AK164)-ROW(AK$15),0),
ROUND(ROUND(OFFSET($P164,0,AK$13),15-13*ORÇAMENTO!$AF$7)*OFFSET(ORÇAMENTO!$W$15,ROW(AK164)-ROW(AK$15),0),15-13*ORÇAMENTO!$AF$11)),0)</f>
        <v>0</v>
      </c>
      <c r="AL164" s="545">
        <f ca="1">IF(AND($D164="Serviço",AL$12&lt;&gt;0,$H164&gt;0,OR(AUTOEVENTO&lt;&gt;"manual",$M164&lt;&gt;1)),
IF(Import.TipoArredondamento&lt;&gt;"TransfereGOV",
ROUND(OFFSET($P164,0,AL$13),15-13*ORÇAMENTO!$AF$7)/$H164*OFFSET(ORÇAMENTO!$X$15,ROW(AL164)-ROW(AL$15),0),
ROUND(ROUND(OFFSET($P164,0,AL$13),15-13*ORÇAMENTO!$AF$7)*OFFSET(ORÇAMENTO!$W$15,ROW(AL164)-ROW(AL$15),0),15-13*ORÇAMENTO!$AF$11)),0)</f>
        <v>0</v>
      </c>
      <c r="AM164" s="545">
        <f ca="1">IF(AND($D164="Serviço",AM$12&lt;&gt;0,$H164&gt;0,OR(AUTOEVENTO&lt;&gt;"manual",$M164&lt;&gt;1)),
IF(Import.TipoArredondamento&lt;&gt;"TransfereGOV",
ROUND(OFFSET($P164,0,AM$13),15-13*ORÇAMENTO!$AF$7)/$H164*OFFSET(ORÇAMENTO!$X$15,ROW(AM164)-ROW(AM$15),0),
ROUND(ROUND(OFFSET($P164,0,AM$13),15-13*ORÇAMENTO!$AF$7)*OFFSET(ORÇAMENTO!$W$15,ROW(AM164)-ROW(AM$15),0),15-13*ORÇAMENTO!$AF$11)),0)</f>
        <v>0</v>
      </c>
      <c r="AN164" s="545">
        <f ca="1">IF(AND($D164="Serviço",AN$12&lt;&gt;0,$H164&gt;0,OR(AUTOEVENTO&lt;&gt;"manual",$M164&lt;&gt;1)),
IF(Import.TipoArredondamento&lt;&gt;"TransfereGOV",
ROUND(OFFSET($P164,0,AN$13),15-13*ORÇAMENTO!$AF$7)/$H164*OFFSET(ORÇAMENTO!$X$15,ROW(AN164)-ROW(AN$15),0),
ROUND(ROUND(OFFSET($P164,0,AN$13),15-13*ORÇAMENTO!$AF$7)*OFFSET(ORÇAMENTO!$W$15,ROW(AN164)-ROW(AN$15),0),15-13*ORÇAMENTO!$AF$11)),0)</f>
        <v>0</v>
      </c>
      <c r="AO164" s="545">
        <f ca="1">IF(AND($D164="Serviço",AO$12&lt;&gt;0,$H164&gt;0,OR(AUTOEVENTO&lt;&gt;"manual",$M164&lt;&gt;1)),
IF(Import.TipoArredondamento&lt;&gt;"TransfereGOV",
ROUND(OFFSET($P164,0,AO$13),15-13*ORÇAMENTO!$AF$7)/$H164*OFFSET(ORÇAMENTO!$X$15,ROW(AO164)-ROW(AO$15),0),
ROUND(ROUND(OFFSET($P164,0,AO$13),15-13*ORÇAMENTO!$AF$7)*OFFSET(ORÇAMENTO!$W$15,ROW(AO164)-ROW(AO$15),0),15-13*ORÇAMENTO!$AF$11)),0)</f>
        <v>0</v>
      </c>
      <c r="AP164" s="545">
        <f ca="1">IF(AND($D164="Serviço",AP$12&lt;&gt;0,$H164&gt;0,OR(AUTOEVENTO&lt;&gt;"manual",$M164&lt;&gt;1)),
IF(Import.TipoArredondamento&lt;&gt;"TransfereGOV",
ROUND(OFFSET($P164,0,AP$13),15-13*ORÇAMENTO!$AF$7)/$H164*OFFSET(ORÇAMENTO!$X$15,ROW(AP164)-ROW(AP$15),0),
ROUND(ROUND(OFFSET($P164,0,AP$13),15-13*ORÇAMENTO!$AF$7)*OFFSET(ORÇAMENTO!$W$15,ROW(AP164)-ROW(AP$15),0),15-13*ORÇAMENTO!$AF$11)),0)</f>
        <v>0</v>
      </c>
      <c r="AQ164" s="545">
        <f ca="1">IF(AND($D164="Serviço",AQ$12&lt;&gt;0,$H164&gt;0,OR(AUTOEVENTO&lt;&gt;"manual",$M164&lt;&gt;1)),
IF(Import.TipoArredondamento&lt;&gt;"TransfereGOV",
ROUND(OFFSET($P164,0,AQ$13),15-13*ORÇAMENTO!$AF$7)/$H164*OFFSET(ORÇAMENTO!$X$15,ROW(AQ164)-ROW(AQ$15),0),
ROUND(ROUND(OFFSET($P164,0,AQ$13),15-13*ORÇAMENTO!$AF$7)*OFFSET(ORÇAMENTO!$W$15,ROW(AQ164)-ROW(AQ$15),0),15-13*ORÇAMENTO!$AF$11)),0)</f>
        <v>0</v>
      </c>
      <c r="AR164" s="545">
        <f ca="1">IF(AND($D164="Serviço",AR$12&lt;&gt;0,$H164&gt;0,OR(AUTOEVENTO&lt;&gt;"manual",$M164&lt;&gt;1)),
IF(Import.TipoArredondamento&lt;&gt;"TransfereGOV",
ROUND(OFFSET($P164,0,AR$13),15-13*ORÇAMENTO!$AF$7)/$H164*OFFSET(ORÇAMENTO!$X$15,ROW(AR164)-ROW(AR$15),0),
ROUND(ROUND(OFFSET($P164,0,AR$13),15-13*ORÇAMENTO!$AF$7)*OFFSET(ORÇAMENTO!$W$15,ROW(AR164)-ROW(AR$15),0),15-13*ORÇAMENTO!$AF$11)),0)</f>
        <v>0</v>
      </c>
      <c r="AS164" s="546">
        <f ca="1">IF(AND($D164="Serviço",AS$12&lt;&gt;0,$H164&gt;0,OR(AUTOEVENTO&lt;&gt;"manual",$M164&lt;&gt;1)),
IF(Import.TipoArredondamento&lt;&gt;"TransfereGOV",
ROUND(OFFSET($P164,0,AS$13),15-13*ORÇAMENTO!$AF$7)/$H164*OFFSET(ORÇAMENTO!$X$15,ROW(AS164)-ROW(AS$15),0),
ROUND(ROUND(OFFSET($P164,0,AS$13),15-13*ORÇAMENTO!$AF$7)*OFFSET(ORÇAMENTO!$W$15,ROW(AS164)-ROW(AS$15),0),15-13*ORÇAMENTO!$AF$11)),0)</f>
        <v>0</v>
      </c>
      <c r="AT164" s="545">
        <f ca="1">IF(AND($D164="Serviço",AT$12&lt;&gt;0,$H164&gt;0,OR(AUTOEVENTO&lt;&gt;"manual",$M164&lt;&gt;1)),
IF(Import.TipoArredondamento&lt;&gt;"TransfereGOV",
ROUND(OFFSET($P164,0,AT$13),15-13*ORÇAMENTO!$AF$7)/$H164*OFFSET(ORÇAMENTO!$X$15,ROW(AT164)-ROW(AT$15),0),
ROUND(ROUND(OFFSET($P164,0,AT$13),15-13*ORÇAMENTO!$AF$7)*OFFSET(ORÇAMENTO!$W$15,ROW(AT164)-ROW(AT$15),0),15-13*ORÇAMENTO!$AF$11)),0)</f>
        <v>0</v>
      </c>
      <c r="AU164" s="545">
        <f ca="1">IF(AND($D164="Serviço",AU$12&lt;&gt;0,$H164&gt;0,OR(AUTOEVENTO&lt;&gt;"manual",$M164&lt;&gt;1)),
IF(Import.TipoArredondamento&lt;&gt;"TransfereGOV",
ROUND(OFFSET($P164,0,AU$13),15-13*ORÇAMENTO!$AF$7)/$H164*OFFSET(ORÇAMENTO!$X$15,ROW(AU164)-ROW(AU$15),0),
ROUND(ROUND(OFFSET($P164,0,AU$13),15-13*ORÇAMENTO!$AF$7)*OFFSET(ORÇAMENTO!$W$15,ROW(AU164)-ROW(AU$15),0),15-13*ORÇAMENTO!$AF$11)),0)</f>
        <v>0</v>
      </c>
      <c r="AV164" s="545">
        <f ca="1">IF(AND($D164="Serviço",AV$12&lt;&gt;0,$H164&gt;0,OR(AUTOEVENTO&lt;&gt;"manual",$M164&lt;&gt;1)),
IF(Import.TipoArredondamento&lt;&gt;"TransfereGOV",
ROUND(OFFSET($P164,0,AV$13),15-13*ORÇAMENTO!$AF$7)/$H164*OFFSET(ORÇAMENTO!$X$15,ROW(AV164)-ROW(AV$15),0),
ROUND(ROUND(OFFSET($P164,0,AV$13),15-13*ORÇAMENTO!$AF$7)*OFFSET(ORÇAMENTO!$W$15,ROW(AV164)-ROW(AV$15),0),15-13*ORÇAMENTO!$AF$11)),0)</f>
        <v>0</v>
      </c>
      <c r="AW164" s="545">
        <f ca="1">IF(AND($D164="Serviço",AW$12&lt;&gt;0,$H164&gt;0,OR(AUTOEVENTO&lt;&gt;"manual",$M164&lt;&gt;1)),
IF(Import.TipoArredondamento&lt;&gt;"TransfereGOV",
ROUND(OFFSET($P164,0,AW$13),15-13*ORÇAMENTO!$AF$7)/$H164*OFFSET(ORÇAMENTO!$X$15,ROW(AW164)-ROW(AW$15),0),
ROUND(ROUND(OFFSET($P164,0,AW$13),15-13*ORÇAMENTO!$AF$7)*OFFSET(ORÇAMENTO!$W$15,ROW(AW164)-ROW(AW$15),0),15-13*ORÇAMENTO!$AF$11)),0)</f>
        <v>0</v>
      </c>
      <c r="AX164" s="545">
        <f ca="1">IF(AND($D164="Serviço",AX$12&lt;&gt;0,$H164&gt;0,OR(AUTOEVENTO&lt;&gt;"manual",$M164&lt;&gt;1)),
IF(Import.TipoArredondamento&lt;&gt;"TransfereGOV",
ROUND(OFFSET($P164,0,AX$13),15-13*ORÇAMENTO!$AF$7)/$H164*OFFSET(ORÇAMENTO!$X$15,ROW(AX164)-ROW(AX$15),0),
ROUND(ROUND(OFFSET($P164,0,AX$13),15-13*ORÇAMENTO!$AF$7)*OFFSET(ORÇAMENTO!$W$15,ROW(AX164)-ROW(AX$15),0),15-13*ORÇAMENTO!$AF$11)),0)</f>
        <v>0</v>
      </c>
      <c r="AY164" s="545">
        <f ca="1">IF(AND($D164="Serviço",AY$12&lt;&gt;0,$H164&gt;0,OR(AUTOEVENTO&lt;&gt;"manual",$M164&lt;&gt;1)),
IF(Import.TipoArredondamento&lt;&gt;"TransfereGOV",
ROUND(OFFSET($P164,0,AY$13),15-13*ORÇAMENTO!$AF$7)/$H164*OFFSET(ORÇAMENTO!$X$15,ROW(AY164)-ROW(AY$15),0),
ROUND(ROUND(OFFSET($P164,0,AY$13),15-13*ORÇAMENTO!$AF$7)*OFFSET(ORÇAMENTO!$W$15,ROW(AY164)-ROW(AY$15),0),15-13*ORÇAMENTO!$AF$11)),0)</f>
        <v>0</v>
      </c>
      <c r="AZ164" s="545">
        <f ca="1">IF(AND($D164="Serviço",AZ$12&lt;&gt;0,$H164&gt;0,OR(AUTOEVENTO&lt;&gt;"manual",$M164&lt;&gt;1)),
IF(Import.TipoArredondamento&lt;&gt;"TransfereGOV",
ROUND(OFFSET($P164,0,AZ$13),15-13*ORÇAMENTO!$AF$7)/$H164*OFFSET(ORÇAMENTO!$X$15,ROW(AZ164)-ROW(AZ$15),0),
ROUND(ROUND(OFFSET($P164,0,AZ$13),15-13*ORÇAMENTO!$AF$7)*OFFSET(ORÇAMENTO!$W$15,ROW(AZ164)-ROW(AZ$15),0),15-13*ORÇAMENTO!$AF$11)),0)</f>
        <v>0</v>
      </c>
      <c r="BA164" s="546">
        <f ca="1">IF(AND($D164="Serviço",BA$12&lt;&gt;0,$H164&gt;0,OR(AUTOEVENTO&lt;&gt;"manual",$M164&lt;&gt;1)),
IF(Import.TipoArredondamento&lt;&gt;"TransfereGOV",
ROUND(OFFSET($P164,0,BA$13),15-13*ORÇAMENTO!$AF$7)/$H164*OFFSET(ORÇAMENTO!$X$15,ROW(BA164)-ROW(BA$15),0),
ROUND(ROUND(OFFSET($P164,0,BA$13),15-13*ORÇAMENTO!$AF$7)*OFFSET(ORÇAMENTO!$W$15,ROW(BA164)-ROW(BA$15),0),15-13*ORÇAMENTO!$AF$11)),0)</f>
        <v>0</v>
      </c>
      <c r="BC164" s="181">
        <f ca="1">IF($D164&lt;&gt;"Serviço",0,IF(AND(AUTOEVENTO="Manual",$M164=1),0,IF(OFFSET(CRONOPLE!$F$14,$M164,BC$13)="",10^12,OFFSET(CRONOPLE!$F$14,$M164,BC$13))))</f>
        <v>6</v>
      </c>
      <c r="BD164" s="181">
        <f ca="1">IF($D164&lt;&gt;"Serviço",0,IF(AND(AUTOEVENTO="Manual",$M164=1),0,IF(OFFSET(CRONOPLE!$F$14,$M164,BD$13)="",10^12,OFFSET(CRONOPLE!$F$14,$M164,BD$13))))</f>
        <v>1000000000000</v>
      </c>
      <c r="BE164" s="181">
        <f ca="1">IF($D164&lt;&gt;"Serviço",0,IF(AND(AUTOEVENTO="Manual",$M164=1),0,IF(OFFSET(CRONOPLE!$F$14,$M164,BE$13)="",10^12,OFFSET(CRONOPLE!$F$14,$M164,BE$13))))</f>
        <v>1000000000000</v>
      </c>
      <c r="BF164" s="181">
        <f ca="1">IF($D164&lt;&gt;"Serviço",0,IF(AND(AUTOEVENTO="Manual",$M164=1),0,IF(OFFSET(CRONOPLE!$F$14,$M164,BF$13)="",10^12,OFFSET(CRONOPLE!$F$14,$M164,BF$13))))</f>
        <v>1000000000000</v>
      </c>
      <c r="BG164" s="181">
        <f ca="1">IF($D164&lt;&gt;"Serviço",0,IF(AND(AUTOEVENTO="Manual",$M164=1),0,IF(OFFSET(CRONOPLE!$F$14,$M164,BG$13)="",10^12,OFFSET(CRONOPLE!$F$14,$M164,BG$13))))</f>
        <v>1000000000000</v>
      </c>
      <c r="BH164" s="181">
        <f ca="1">IF($D164&lt;&gt;"Serviço",0,IF(AND(AUTOEVENTO="Manual",$M164=1),0,IF(OFFSET(CRONOPLE!$F$14,$M164,BH$13)="",10^12,OFFSET(CRONOPLE!$F$14,$M164,BH$13))))</f>
        <v>1000000000000</v>
      </c>
      <c r="BI164" s="181">
        <f ca="1">IF($D164&lt;&gt;"Serviço",0,IF(AND(AUTOEVENTO="Manual",$M164=1),0,IF(OFFSET(CRONOPLE!$F$14,$M164,BI$13)="",10^12,OFFSET(CRONOPLE!$F$14,$M164,BI$13))))</f>
        <v>1000000000000</v>
      </c>
      <c r="BJ164" s="181">
        <f ca="1">IF($D164&lt;&gt;"Serviço",0,IF(AND(AUTOEVENTO="Manual",$M164=1),0,IF(OFFSET(CRONOPLE!$F$14,$M164,BJ$13)="",10^12,OFFSET(CRONOPLE!$F$14,$M164,BJ$13))))</f>
        <v>1000000000000</v>
      </c>
      <c r="BK164" s="181">
        <f ca="1">IF($D164&lt;&gt;"Serviço",0,IF(AND(AUTOEVENTO="Manual",$M164=1),0,IF(OFFSET(CRONOPLE!$F$14,$M164,BK$13)="",10^12,OFFSET(CRONOPLE!$F$14,$M164,BK$13))))</f>
        <v>1000000000000</v>
      </c>
      <c r="BL164" s="181">
        <f ca="1">IF($D164&lt;&gt;"Serviço",0,IF(AND(AUTOEVENTO="Manual",$M164=1),0,IF(OFFSET(CRONOPLE!$F$14,$M164,BL$13)="",10^12,OFFSET(CRONOPLE!$F$14,$M164,BL$13))))</f>
        <v>1000000000000</v>
      </c>
      <c r="BM164" s="181">
        <f ca="1">IF($D164&lt;&gt;"Serviço",0,IF(AND(AUTOEVENTO="Manual",$M164=1),0,IF(OFFSET(CRONOPLE!$F$14,$M164,BM$13)="",10^12,OFFSET(CRONOPLE!$F$14,$M164,BM$13))))</f>
        <v>1000000000000</v>
      </c>
      <c r="BN164" s="181">
        <f ca="1">IF($D164&lt;&gt;"Serviço",0,IF(AND(AUTOEVENTO="Manual",$M164=1),0,IF(OFFSET(CRONOPLE!$F$14,$M164,BN$13)="",10^12,OFFSET(CRONOPLE!$F$14,$M164,BN$13))))</f>
        <v>1000000000000</v>
      </c>
      <c r="BO164" s="181">
        <f ca="1">IF($D164&lt;&gt;"Serviço",0,IF(AND(AUTOEVENTO="Manual",$M164=1),0,IF(OFFSET(CRONOPLE!$F$14,$M164,BO$13)="",10^12,OFFSET(CRONOPLE!$F$14,$M164,BO$13))))</f>
        <v>1000000000000</v>
      </c>
      <c r="BP164" s="181">
        <f ca="1">IF($D164&lt;&gt;"Serviço",0,IF(AND(AUTOEVENTO="Manual",$M164=1),0,IF(OFFSET(CRONOPLE!$F$14,$M164,BP$13)="",10^12,OFFSET(CRONOPLE!$F$14,$M164,BP$13))))</f>
        <v>1000000000000</v>
      </c>
      <c r="BQ164" s="181">
        <f ca="1">IF($D164&lt;&gt;"Serviço",0,IF(AND(AUTOEVENTO="Manual",$M164=1),0,IF(OFFSET(CRONOPLE!$F$14,$M164,BQ$13)="",10^12,OFFSET(CRONOPLE!$F$14,$M164,BQ$13))))</f>
        <v>1000000000000</v>
      </c>
      <c r="BR164" s="181">
        <f ca="1">IF($D164&lt;&gt;"Serviço",0,IF(AND(AUTOEVENTO="Manual",$M164=1),0,IF(OFFSET(CRONOPLE!$F$14,$M164,BR$13)="",10^12,OFFSET(CRONOPLE!$F$14,$M164,BR$13))))</f>
        <v>1000000000000</v>
      </c>
      <c r="BS164" s="181">
        <f ca="1">IF($D164&lt;&gt;"Serviço",0,IF(AND(AUTOEVENTO="Manual",$M164=1),0,IF(OFFSET(CRONOPLE!$F$14,$M164,BS$13)="",10^12,OFFSET(CRONOPLE!$F$14,$M164,BS$13))))</f>
        <v>1000000000000</v>
      </c>
      <c r="BT164" s="181">
        <f ca="1">IF($D164&lt;&gt;"Serviço",0,IF(AND(AUTOEVENTO="Manual",$M164=1),0,IF(OFFSET(CRONOPLE!$F$14,$M164,BT$13)="",10^12,OFFSET(CRONOPLE!$F$14,$M164,BT$13))))</f>
        <v>1000000000000</v>
      </c>
      <c r="BV164" s="182">
        <f ca="1">IF($D164&lt;&gt;"Serviço",0,IF(OR(AND(AUTOEVENTO="Manual",$M164=1),$M164&gt;(ROW(PLE.lastrow)-ROW(PLE.firstrow))),0,IF(OFFSET(PLE!$G$14,$M164,BV$13)="",10^12,OFFSET(PLE!$G$14,$M164,BV$13))))</f>
        <v>1000000000000</v>
      </c>
      <c r="BW164" s="182">
        <f ca="1">IF($D164&lt;&gt;"Serviço",0,IF(OR(AND(AUTOEVENTO="Manual",$M164=1),$M164&gt;(ROW(PLE.lastrow)-ROW(PLE.firstrow))),0,IF(OFFSET(PLE!$G$14,$M164,BW$13)="",10^12,OFFSET(PLE!$G$14,$M164,BW$13))))</f>
        <v>1000000000000</v>
      </c>
      <c r="BX164" s="182">
        <f ca="1">IF($D164&lt;&gt;"Serviço",0,IF(OR(AND(AUTOEVENTO="Manual",$M164=1),$M164&gt;(ROW(PLE.lastrow)-ROW(PLE.firstrow))),0,IF(OFFSET(PLE!$G$14,$M164,BX$13)="",10^12,OFFSET(PLE!$G$14,$M164,BX$13))))</f>
        <v>1000000000000</v>
      </c>
      <c r="BY164" s="182">
        <f ca="1">IF($D164&lt;&gt;"Serviço",0,IF(OR(AND(AUTOEVENTO="Manual",$M164=1),$M164&gt;(ROW(PLE.lastrow)-ROW(PLE.firstrow))),0,IF(OFFSET(PLE!$G$14,$M164,BY$13)="",10^12,OFFSET(PLE!$G$14,$M164,BY$13))))</f>
        <v>1000000000000</v>
      </c>
      <c r="BZ164" s="182">
        <f ca="1">IF($D164&lt;&gt;"Serviço",0,IF(OR(AND(AUTOEVENTO="Manual",$M164=1),$M164&gt;(ROW(PLE.lastrow)-ROW(PLE.firstrow))),0,IF(OFFSET(PLE!$G$14,$M164,BZ$13)="",10^12,OFFSET(PLE!$G$14,$M164,BZ$13))))</f>
        <v>1000000000000</v>
      </c>
      <c r="CA164" s="182">
        <f ca="1">IF($D164&lt;&gt;"Serviço",0,IF(OR(AND(AUTOEVENTO="Manual",$M164=1),$M164&gt;(ROW(PLE.lastrow)-ROW(PLE.firstrow))),0,IF(OFFSET(PLE!$G$14,$M164,CA$13)="",10^12,OFFSET(PLE!$G$14,$M164,CA$13))))</f>
        <v>1000000000000</v>
      </c>
      <c r="CB164" s="182">
        <f ca="1">IF($D164&lt;&gt;"Serviço",0,IF(OR(AND(AUTOEVENTO="Manual",$M164=1),$M164&gt;(ROW(PLE.lastrow)-ROW(PLE.firstrow))),0,IF(OFFSET(PLE!$G$14,$M164,CB$13)="",10^12,OFFSET(PLE!$G$14,$M164,CB$13))))</f>
        <v>1000000000000</v>
      </c>
      <c r="CC164" s="182">
        <f ca="1">IF($D164&lt;&gt;"Serviço",0,IF(OR(AND(AUTOEVENTO="Manual",$M164=1),$M164&gt;(ROW(PLE.lastrow)-ROW(PLE.firstrow))),0,IF(OFFSET(PLE!$G$14,$M164,CC$13)="",10^12,OFFSET(PLE!$G$14,$M164,CC$13))))</f>
        <v>1000000000000</v>
      </c>
      <c r="CD164" s="182">
        <f ca="1">IF($D164&lt;&gt;"Serviço",0,IF(OR(AND(AUTOEVENTO="Manual",$M164=1),$M164&gt;(ROW(PLE.lastrow)-ROW(PLE.firstrow))),0,IF(OFFSET(PLE!$G$14,$M164,CD$13)="",10^12,OFFSET(PLE!$G$14,$M164,CD$13))))</f>
        <v>1000000000000</v>
      </c>
      <c r="CE164" s="182">
        <f ca="1">IF($D164&lt;&gt;"Serviço",0,IF(OR(AND(AUTOEVENTO="Manual",$M164=1),$M164&gt;(ROW(PLE.lastrow)-ROW(PLE.firstrow))),0,IF(OFFSET(PLE!$G$14,$M164,CE$13)="",10^12,OFFSET(PLE!$G$14,$M164,CE$13))))</f>
        <v>1000000000000</v>
      </c>
      <c r="CF164" s="182">
        <f ca="1">IF($D164&lt;&gt;"Serviço",0,IF(OR(AND(AUTOEVENTO="Manual",$M164=1),$M164&gt;(ROW(PLE.lastrow)-ROW(PLE.firstrow))),0,IF(OFFSET(PLE!$G$14,$M164,CF$13)="",10^12,OFFSET(PLE!$G$14,$M164,CF$13))))</f>
        <v>1000000000000</v>
      </c>
      <c r="CG164" s="182">
        <f ca="1">IF($D164&lt;&gt;"Serviço",0,IF(OR(AND(AUTOEVENTO="Manual",$M164=1),$M164&gt;(ROW(PLE.lastrow)-ROW(PLE.firstrow))),0,IF(OFFSET(PLE!$G$14,$M164,CG$13)="",10^12,OFFSET(PLE!$G$14,$M164,CG$13))))</f>
        <v>1000000000000</v>
      </c>
      <c r="CH164" s="182">
        <f ca="1">IF($D164&lt;&gt;"Serviço",0,IF(OR(AND(AUTOEVENTO="Manual",$M164=1),$M164&gt;(ROW(PLE.lastrow)-ROW(PLE.firstrow))),0,IF(OFFSET(PLE!$G$14,$M164,CH$13)="",10^12,OFFSET(PLE!$G$14,$M164,CH$13))))</f>
        <v>1000000000000</v>
      </c>
      <c r="CI164" s="182">
        <f ca="1">IF($D164&lt;&gt;"Serviço",0,IF(OR(AND(AUTOEVENTO="Manual",$M164=1),$M164&gt;(ROW(PLE.lastrow)-ROW(PLE.firstrow))),0,IF(OFFSET(PLE!$G$14,$M164,CI$13)="",10^12,OFFSET(PLE!$G$14,$M164,CI$13))))</f>
        <v>1000000000000</v>
      </c>
      <c r="CJ164" s="182">
        <f ca="1">IF($D164&lt;&gt;"Serviço",0,IF(OR(AND(AUTOEVENTO="Manual",$M164=1),$M164&gt;(ROW(PLE.lastrow)-ROW(PLE.firstrow))),0,IF(OFFSET(PLE!$G$14,$M164,CJ$13)="",10^12,OFFSET(PLE!$G$14,$M164,CJ$13))))</f>
        <v>1000000000000</v>
      </c>
      <c r="CK164" s="182">
        <f ca="1">IF($D164&lt;&gt;"Serviço",0,IF(OR(AND(AUTOEVENTO="Manual",$M164=1),$M164&gt;(ROW(PLE.lastrow)-ROW(PLE.firstrow))),0,IF(OFFSET(PLE!$G$14,$M164,CK$13)="",10^12,OFFSET(PLE!$G$14,$M164,CK$13))))</f>
        <v>1000000000000</v>
      </c>
      <c r="CL164" s="182">
        <f ca="1">IF($D164&lt;&gt;"Serviço",0,IF(OR(AND(AUTOEVENTO="Manual",$M164=1),$M164&gt;(ROW(PLE.lastrow)-ROW(PLE.firstrow))),0,IF(OFFSET(PLE!$G$14,$M164,CL$13)="",10^12,OFFSET(PLE!$G$14,$M164,CL$13))))</f>
        <v>1000000000000</v>
      </c>
      <c r="CM164" s="182">
        <f ca="1">IF($D164&lt;&gt;"Serviço",0,IF(OR(AND(AUTOEVENTO="Manual",$M164=1),$M164&gt;(ROW(PLE.lastrow)-ROW(PLE.firstrow))),0,IF(OFFSET(PLE!$G$14,$M164,CM$13)="",10^12,OFFSET(PLE!$G$14,$M164,CM$13))))</f>
        <v>1000000000000</v>
      </c>
    </row>
    <row r="165" spans="1:91" ht="51" x14ac:dyDescent="0.2">
      <c r="A165" s="7" t="str">
        <f t="shared" ca="1" si="11"/>
        <v>140</v>
      </c>
      <c r="B165" s="7" t="str">
        <f ca="1">OFFSET(ORÇAMENTO!C$15,ROW(B165)-ROW(B$15),0)</f>
        <v>S</v>
      </c>
      <c r="C165" s="7" t="str">
        <f ca="1">OFFSET(ORÇAMENTO!L$15,ROW(C165)-ROW(C$15),0)</f>
        <v/>
      </c>
      <c r="D165" s="118" t="str">
        <f ca="1">OFFSET(ORÇAMENTO!N$15,ROW(D165)-ROW(D$15),0)</f>
        <v>Serviço</v>
      </c>
      <c r="E165" s="119" t="str">
        <f ca="1">OFFSET(ORÇAMENTO!O$15,ROW(E165)-ROW(E$15),0)</f>
        <v>-</v>
      </c>
      <c r="F165" s="172" t="str">
        <f ca="1">OFFSET(ORÇAMENTO!R$15,ROW(F165)-ROW(F$15),0)</f>
        <v>(abra o arquivo 'Referência 06-2024.xlsm)</v>
      </c>
      <c r="G165" s="173" t="str">
        <f ca="1">IF($D165&lt;&gt;"Serviço","",OFFSET(ORÇAMENTO!S$15,ROW(G165)-ROW(G$15),0))</f>
        <v>-</v>
      </c>
      <c r="H165" s="124">
        <f ca="1">IF($D165&lt;&gt;"Serviço",0,IF(ACOMPANHAMENTO="BM",ROUND(OFFSET(ORÇAMENTO!AJ$15,ROW(H165)-ROW(H$15),0),15-13*ORÇAMENTO!$AF$7),SUMPRODUCT(($Q$12:$AI$12&lt;&gt;"")*ROUND($Q165:$AI165,15-13*ORÇAMENTO!$AF$7))))</f>
        <v>2</v>
      </c>
      <c r="I165" s="561" t="s">
        <v>1107</v>
      </c>
      <c r="K165" s="174"/>
      <c r="L165" s="175" t="s">
        <v>255</v>
      </c>
      <c r="M165" s="176">
        <f ca="1">IF($D165&lt;&gt;"Serviço","",IF(AUTOEVENTO="manual",$A165,IF(ISERROR(MATCH($A165,$A$15:OFFSET($A165,-1,0),0)),MAX($M$15:OFFSET(M165,-1,0))+1,INDEX($M$15:OFFSET(M165,-1,0),MATCH($A165,$A$15:OFFSET($A165,-1,0),0)))))</f>
        <v>24</v>
      </c>
      <c r="N165" s="177" t="str">
        <f ca="1">IF($D165&lt;&gt;"Serviço","",IF(AUTOEVENTO="Manual",IF($A165=0,"&lt;-- defina o número do agrupador",OFFSET(EVENTOS!$D$14,$A165,0)),OFFSET($F$15,$A165,0)))</f>
        <v>ESQUADRIAS - GERAL</v>
      </c>
      <c r="O165" s="178"/>
      <c r="Q165" s="178">
        <v>2</v>
      </c>
      <c r="R165" s="179"/>
      <c r="S165" s="179"/>
      <c r="T165" s="179"/>
      <c r="U165" s="179"/>
      <c r="V165" s="179"/>
      <c r="W165" s="179"/>
      <c r="X165" s="179"/>
      <c r="Y165" s="179"/>
      <c r="Z165" s="180"/>
      <c r="AA165" s="179"/>
      <c r="AB165" s="179"/>
      <c r="AC165" s="179"/>
      <c r="AD165" s="179"/>
      <c r="AE165" s="179"/>
      <c r="AF165" s="179"/>
      <c r="AG165" s="179"/>
      <c r="AH165" s="180"/>
      <c r="AJ165" s="544">
        <f ca="1">IF(AND($D165="Serviço",AJ$12&lt;&gt;0,$H165&gt;0,OR(AUTOEVENTO&lt;&gt;"manual",$M165&lt;&gt;1)),
IF(Import.TipoArredondamento&lt;&gt;"TransfereGOV",
ROUND(OFFSET($P165,0,AJ$13),15-13*ORÇAMENTO!$AF$7)/$H165*OFFSET(ORÇAMENTO!$X$15,ROW(AJ165)-ROW(AJ$15),0),
ROUND(ROUND(OFFSET($P165,0,AJ$13),15-13*ORÇAMENTO!$AF$7)*OFFSET(ORÇAMENTO!$W$15,ROW(AJ165)-ROW(AJ$15),0),15-13*ORÇAMENTO!$AF$11)),0)</f>
        <v>0</v>
      </c>
      <c r="AK165" s="545">
        <f ca="1">IF(AND($D165="Serviço",AK$12&lt;&gt;0,$H165&gt;0,OR(AUTOEVENTO&lt;&gt;"manual",$M165&lt;&gt;1)),
IF(Import.TipoArredondamento&lt;&gt;"TransfereGOV",
ROUND(OFFSET($P165,0,AK$13),15-13*ORÇAMENTO!$AF$7)/$H165*OFFSET(ORÇAMENTO!$X$15,ROW(AK165)-ROW(AK$15),0),
ROUND(ROUND(OFFSET($P165,0,AK$13),15-13*ORÇAMENTO!$AF$7)*OFFSET(ORÇAMENTO!$W$15,ROW(AK165)-ROW(AK$15),0),15-13*ORÇAMENTO!$AF$11)),0)</f>
        <v>0</v>
      </c>
      <c r="AL165" s="545">
        <f ca="1">IF(AND($D165="Serviço",AL$12&lt;&gt;0,$H165&gt;0,OR(AUTOEVENTO&lt;&gt;"manual",$M165&lt;&gt;1)),
IF(Import.TipoArredondamento&lt;&gt;"TransfereGOV",
ROUND(OFFSET($P165,0,AL$13),15-13*ORÇAMENTO!$AF$7)/$H165*OFFSET(ORÇAMENTO!$X$15,ROW(AL165)-ROW(AL$15),0),
ROUND(ROUND(OFFSET($P165,0,AL$13),15-13*ORÇAMENTO!$AF$7)*OFFSET(ORÇAMENTO!$W$15,ROW(AL165)-ROW(AL$15),0),15-13*ORÇAMENTO!$AF$11)),0)</f>
        <v>0</v>
      </c>
      <c r="AM165" s="545">
        <f ca="1">IF(AND($D165="Serviço",AM$12&lt;&gt;0,$H165&gt;0,OR(AUTOEVENTO&lt;&gt;"manual",$M165&lt;&gt;1)),
IF(Import.TipoArredondamento&lt;&gt;"TransfereGOV",
ROUND(OFFSET($P165,0,AM$13),15-13*ORÇAMENTO!$AF$7)/$H165*OFFSET(ORÇAMENTO!$X$15,ROW(AM165)-ROW(AM$15),0),
ROUND(ROUND(OFFSET($P165,0,AM$13),15-13*ORÇAMENTO!$AF$7)*OFFSET(ORÇAMENTO!$W$15,ROW(AM165)-ROW(AM$15),0),15-13*ORÇAMENTO!$AF$11)),0)</f>
        <v>0</v>
      </c>
      <c r="AN165" s="545">
        <f ca="1">IF(AND($D165="Serviço",AN$12&lt;&gt;0,$H165&gt;0,OR(AUTOEVENTO&lt;&gt;"manual",$M165&lt;&gt;1)),
IF(Import.TipoArredondamento&lt;&gt;"TransfereGOV",
ROUND(OFFSET($P165,0,AN$13),15-13*ORÇAMENTO!$AF$7)/$H165*OFFSET(ORÇAMENTO!$X$15,ROW(AN165)-ROW(AN$15),0),
ROUND(ROUND(OFFSET($P165,0,AN$13),15-13*ORÇAMENTO!$AF$7)*OFFSET(ORÇAMENTO!$W$15,ROW(AN165)-ROW(AN$15),0),15-13*ORÇAMENTO!$AF$11)),0)</f>
        <v>0</v>
      </c>
      <c r="AO165" s="545">
        <f ca="1">IF(AND($D165="Serviço",AO$12&lt;&gt;0,$H165&gt;0,OR(AUTOEVENTO&lt;&gt;"manual",$M165&lt;&gt;1)),
IF(Import.TipoArredondamento&lt;&gt;"TransfereGOV",
ROUND(OFFSET($P165,0,AO$13),15-13*ORÇAMENTO!$AF$7)/$H165*OFFSET(ORÇAMENTO!$X$15,ROW(AO165)-ROW(AO$15),0),
ROUND(ROUND(OFFSET($P165,0,AO$13),15-13*ORÇAMENTO!$AF$7)*OFFSET(ORÇAMENTO!$W$15,ROW(AO165)-ROW(AO$15),0),15-13*ORÇAMENTO!$AF$11)),0)</f>
        <v>0</v>
      </c>
      <c r="AP165" s="545">
        <f ca="1">IF(AND($D165="Serviço",AP$12&lt;&gt;0,$H165&gt;0,OR(AUTOEVENTO&lt;&gt;"manual",$M165&lt;&gt;1)),
IF(Import.TipoArredondamento&lt;&gt;"TransfereGOV",
ROUND(OFFSET($P165,0,AP$13),15-13*ORÇAMENTO!$AF$7)/$H165*OFFSET(ORÇAMENTO!$X$15,ROW(AP165)-ROW(AP$15),0),
ROUND(ROUND(OFFSET($P165,0,AP$13),15-13*ORÇAMENTO!$AF$7)*OFFSET(ORÇAMENTO!$W$15,ROW(AP165)-ROW(AP$15),0),15-13*ORÇAMENTO!$AF$11)),0)</f>
        <v>0</v>
      </c>
      <c r="AQ165" s="545">
        <f ca="1">IF(AND($D165="Serviço",AQ$12&lt;&gt;0,$H165&gt;0,OR(AUTOEVENTO&lt;&gt;"manual",$M165&lt;&gt;1)),
IF(Import.TipoArredondamento&lt;&gt;"TransfereGOV",
ROUND(OFFSET($P165,0,AQ$13),15-13*ORÇAMENTO!$AF$7)/$H165*OFFSET(ORÇAMENTO!$X$15,ROW(AQ165)-ROW(AQ$15),0),
ROUND(ROUND(OFFSET($P165,0,AQ$13),15-13*ORÇAMENTO!$AF$7)*OFFSET(ORÇAMENTO!$W$15,ROW(AQ165)-ROW(AQ$15),0),15-13*ORÇAMENTO!$AF$11)),0)</f>
        <v>0</v>
      </c>
      <c r="AR165" s="545">
        <f ca="1">IF(AND($D165="Serviço",AR$12&lt;&gt;0,$H165&gt;0,OR(AUTOEVENTO&lt;&gt;"manual",$M165&lt;&gt;1)),
IF(Import.TipoArredondamento&lt;&gt;"TransfereGOV",
ROUND(OFFSET($P165,0,AR$13),15-13*ORÇAMENTO!$AF$7)/$H165*OFFSET(ORÇAMENTO!$X$15,ROW(AR165)-ROW(AR$15),0),
ROUND(ROUND(OFFSET($P165,0,AR$13),15-13*ORÇAMENTO!$AF$7)*OFFSET(ORÇAMENTO!$W$15,ROW(AR165)-ROW(AR$15),0),15-13*ORÇAMENTO!$AF$11)),0)</f>
        <v>0</v>
      </c>
      <c r="AS165" s="546">
        <f ca="1">IF(AND($D165="Serviço",AS$12&lt;&gt;0,$H165&gt;0,OR(AUTOEVENTO&lt;&gt;"manual",$M165&lt;&gt;1)),
IF(Import.TipoArredondamento&lt;&gt;"TransfereGOV",
ROUND(OFFSET($P165,0,AS$13),15-13*ORÇAMENTO!$AF$7)/$H165*OFFSET(ORÇAMENTO!$X$15,ROW(AS165)-ROW(AS$15),0),
ROUND(ROUND(OFFSET($P165,0,AS$13),15-13*ORÇAMENTO!$AF$7)*OFFSET(ORÇAMENTO!$W$15,ROW(AS165)-ROW(AS$15),0),15-13*ORÇAMENTO!$AF$11)),0)</f>
        <v>0</v>
      </c>
      <c r="AT165" s="545">
        <f ca="1">IF(AND($D165="Serviço",AT$12&lt;&gt;0,$H165&gt;0,OR(AUTOEVENTO&lt;&gt;"manual",$M165&lt;&gt;1)),
IF(Import.TipoArredondamento&lt;&gt;"TransfereGOV",
ROUND(OFFSET($P165,0,AT$13),15-13*ORÇAMENTO!$AF$7)/$H165*OFFSET(ORÇAMENTO!$X$15,ROW(AT165)-ROW(AT$15),0),
ROUND(ROUND(OFFSET($P165,0,AT$13),15-13*ORÇAMENTO!$AF$7)*OFFSET(ORÇAMENTO!$W$15,ROW(AT165)-ROW(AT$15),0),15-13*ORÇAMENTO!$AF$11)),0)</f>
        <v>0</v>
      </c>
      <c r="AU165" s="545">
        <f ca="1">IF(AND($D165="Serviço",AU$12&lt;&gt;0,$H165&gt;0,OR(AUTOEVENTO&lt;&gt;"manual",$M165&lt;&gt;1)),
IF(Import.TipoArredondamento&lt;&gt;"TransfereGOV",
ROUND(OFFSET($P165,0,AU$13),15-13*ORÇAMENTO!$AF$7)/$H165*OFFSET(ORÇAMENTO!$X$15,ROW(AU165)-ROW(AU$15),0),
ROUND(ROUND(OFFSET($P165,0,AU$13),15-13*ORÇAMENTO!$AF$7)*OFFSET(ORÇAMENTO!$W$15,ROW(AU165)-ROW(AU$15),0),15-13*ORÇAMENTO!$AF$11)),0)</f>
        <v>0</v>
      </c>
      <c r="AV165" s="545">
        <f ca="1">IF(AND($D165="Serviço",AV$12&lt;&gt;0,$H165&gt;0,OR(AUTOEVENTO&lt;&gt;"manual",$M165&lt;&gt;1)),
IF(Import.TipoArredondamento&lt;&gt;"TransfereGOV",
ROUND(OFFSET($P165,0,AV$13),15-13*ORÇAMENTO!$AF$7)/$H165*OFFSET(ORÇAMENTO!$X$15,ROW(AV165)-ROW(AV$15),0),
ROUND(ROUND(OFFSET($P165,0,AV$13),15-13*ORÇAMENTO!$AF$7)*OFFSET(ORÇAMENTO!$W$15,ROW(AV165)-ROW(AV$15),0),15-13*ORÇAMENTO!$AF$11)),0)</f>
        <v>0</v>
      </c>
      <c r="AW165" s="545">
        <f ca="1">IF(AND($D165="Serviço",AW$12&lt;&gt;0,$H165&gt;0,OR(AUTOEVENTO&lt;&gt;"manual",$M165&lt;&gt;1)),
IF(Import.TipoArredondamento&lt;&gt;"TransfereGOV",
ROUND(OFFSET($P165,0,AW$13),15-13*ORÇAMENTO!$AF$7)/$H165*OFFSET(ORÇAMENTO!$X$15,ROW(AW165)-ROW(AW$15),0),
ROUND(ROUND(OFFSET($P165,0,AW$13),15-13*ORÇAMENTO!$AF$7)*OFFSET(ORÇAMENTO!$W$15,ROW(AW165)-ROW(AW$15),0),15-13*ORÇAMENTO!$AF$11)),0)</f>
        <v>0</v>
      </c>
      <c r="AX165" s="545">
        <f ca="1">IF(AND($D165="Serviço",AX$12&lt;&gt;0,$H165&gt;0,OR(AUTOEVENTO&lt;&gt;"manual",$M165&lt;&gt;1)),
IF(Import.TipoArredondamento&lt;&gt;"TransfereGOV",
ROUND(OFFSET($P165,0,AX$13),15-13*ORÇAMENTO!$AF$7)/$H165*OFFSET(ORÇAMENTO!$X$15,ROW(AX165)-ROW(AX$15),0),
ROUND(ROUND(OFFSET($P165,0,AX$13),15-13*ORÇAMENTO!$AF$7)*OFFSET(ORÇAMENTO!$W$15,ROW(AX165)-ROW(AX$15),0),15-13*ORÇAMENTO!$AF$11)),0)</f>
        <v>0</v>
      </c>
      <c r="AY165" s="545">
        <f ca="1">IF(AND($D165="Serviço",AY$12&lt;&gt;0,$H165&gt;0,OR(AUTOEVENTO&lt;&gt;"manual",$M165&lt;&gt;1)),
IF(Import.TipoArredondamento&lt;&gt;"TransfereGOV",
ROUND(OFFSET($P165,0,AY$13),15-13*ORÇAMENTO!$AF$7)/$H165*OFFSET(ORÇAMENTO!$X$15,ROW(AY165)-ROW(AY$15),0),
ROUND(ROUND(OFFSET($P165,0,AY$13),15-13*ORÇAMENTO!$AF$7)*OFFSET(ORÇAMENTO!$W$15,ROW(AY165)-ROW(AY$15),0),15-13*ORÇAMENTO!$AF$11)),0)</f>
        <v>0</v>
      </c>
      <c r="AZ165" s="545">
        <f ca="1">IF(AND($D165="Serviço",AZ$12&lt;&gt;0,$H165&gt;0,OR(AUTOEVENTO&lt;&gt;"manual",$M165&lt;&gt;1)),
IF(Import.TipoArredondamento&lt;&gt;"TransfereGOV",
ROUND(OFFSET($P165,0,AZ$13),15-13*ORÇAMENTO!$AF$7)/$H165*OFFSET(ORÇAMENTO!$X$15,ROW(AZ165)-ROW(AZ$15),0),
ROUND(ROUND(OFFSET($P165,0,AZ$13),15-13*ORÇAMENTO!$AF$7)*OFFSET(ORÇAMENTO!$W$15,ROW(AZ165)-ROW(AZ$15),0),15-13*ORÇAMENTO!$AF$11)),0)</f>
        <v>0</v>
      </c>
      <c r="BA165" s="546">
        <f ca="1">IF(AND($D165="Serviço",BA$12&lt;&gt;0,$H165&gt;0,OR(AUTOEVENTO&lt;&gt;"manual",$M165&lt;&gt;1)),
IF(Import.TipoArredondamento&lt;&gt;"TransfereGOV",
ROUND(OFFSET($P165,0,BA$13),15-13*ORÇAMENTO!$AF$7)/$H165*OFFSET(ORÇAMENTO!$X$15,ROW(BA165)-ROW(BA$15),0),
ROUND(ROUND(OFFSET($P165,0,BA$13),15-13*ORÇAMENTO!$AF$7)*OFFSET(ORÇAMENTO!$W$15,ROW(BA165)-ROW(BA$15),0),15-13*ORÇAMENTO!$AF$11)),0)</f>
        <v>0</v>
      </c>
      <c r="BC165" s="181">
        <f ca="1">IF($D165&lt;&gt;"Serviço",0,IF(AND(AUTOEVENTO="Manual",$M165=1),0,IF(OFFSET(CRONOPLE!$F$14,$M165,BC$13)="",10^12,OFFSET(CRONOPLE!$F$14,$M165,BC$13))))</f>
        <v>6</v>
      </c>
      <c r="BD165" s="181">
        <f ca="1">IF($D165&lt;&gt;"Serviço",0,IF(AND(AUTOEVENTO="Manual",$M165=1),0,IF(OFFSET(CRONOPLE!$F$14,$M165,BD$13)="",10^12,OFFSET(CRONOPLE!$F$14,$M165,BD$13))))</f>
        <v>1000000000000</v>
      </c>
      <c r="BE165" s="181">
        <f ca="1">IF($D165&lt;&gt;"Serviço",0,IF(AND(AUTOEVENTO="Manual",$M165=1),0,IF(OFFSET(CRONOPLE!$F$14,$M165,BE$13)="",10^12,OFFSET(CRONOPLE!$F$14,$M165,BE$13))))</f>
        <v>1000000000000</v>
      </c>
      <c r="BF165" s="181">
        <f ca="1">IF($D165&lt;&gt;"Serviço",0,IF(AND(AUTOEVENTO="Manual",$M165=1),0,IF(OFFSET(CRONOPLE!$F$14,$M165,BF$13)="",10^12,OFFSET(CRONOPLE!$F$14,$M165,BF$13))))</f>
        <v>1000000000000</v>
      </c>
      <c r="BG165" s="181">
        <f ca="1">IF($D165&lt;&gt;"Serviço",0,IF(AND(AUTOEVENTO="Manual",$M165=1),0,IF(OFFSET(CRONOPLE!$F$14,$M165,BG$13)="",10^12,OFFSET(CRONOPLE!$F$14,$M165,BG$13))))</f>
        <v>1000000000000</v>
      </c>
      <c r="BH165" s="181">
        <f ca="1">IF($D165&lt;&gt;"Serviço",0,IF(AND(AUTOEVENTO="Manual",$M165=1),0,IF(OFFSET(CRONOPLE!$F$14,$M165,BH$13)="",10^12,OFFSET(CRONOPLE!$F$14,$M165,BH$13))))</f>
        <v>1000000000000</v>
      </c>
      <c r="BI165" s="181">
        <f ca="1">IF($D165&lt;&gt;"Serviço",0,IF(AND(AUTOEVENTO="Manual",$M165=1),0,IF(OFFSET(CRONOPLE!$F$14,$M165,BI$13)="",10^12,OFFSET(CRONOPLE!$F$14,$M165,BI$13))))</f>
        <v>1000000000000</v>
      </c>
      <c r="BJ165" s="181">
        <f ca="1">IF($D165&lt;&gt;"Serviço",0,IF(AND(AUTOEVENTO="Manual",$M165=1),0,IF(OFFSET(CRONOPLE!$F$14,$M165,BJ$13)="",10^12,OFFSET(CRONOPLE!$F$14,$M165,BJ$13))))</f>
        <v>1000000000000</v>
      </c>
      <c r="BK165" s="181">
        <f ca="1">IF($D165&lt;&gt;"Serviço",0,IF(AND(AUTOEVENTO="Manual",$M165=1),0,IF(OFFSET(CRONOPLE!$F$14,$M165,BK$13)="",10^12,OFFSET(CRONOPLE!$F$14,$M165,BK$13))))</f>
        <v>1000000000000</v>
      </c>
      <c r="BL165" s="181">
        <f ca="1">IF($D165&lt;&gt;"Serviço",0,IF(AND(AUTOEVENTO="Manual",$M165=1),0,IF(OFFSET(CRONOPLE!$F$14,$M165,BL$13)="",10^12,OFFSET(CRONOPLE!$F$14,$M165,BL$13))))</f>
        <v>1000000000000</v>
      </c>
      <c r="BM165" s="181">
        <f ca="1">IF($D165&lt;&gt;"Serviço",0,IF(AND(AUTOEVENTO="Manual",$M165=1),0,IF(OFFSET(CRONOPLE!$F$14,$M165,BM$13)="",10^12,OFFSET(CRONOPLE!$F$14,$M165,BM$13))))</f>
        <v>1000000000000</v>
      </c>
      <c r="BN165" s="181">
        <f ca="1">IF($D165&lt;&gt;"Serviço",0,IF(AND(AUTOEVENTO="Manual",$M165=1),0,IF(OFFSET(CRONOPLE!$F$14,$M165,BN$13)="",10^12,OFFSET(CRONOPLE!$F$14,$M165,BN$13))))</f>
        <v>1000000000000</v>
      </c>
      <c r="BO165" s="181">
        <f ca="1">IF($D165&lt;&gt;"Serviço",0,IF(AND(AUTOEVENTO="Manual",$M165=1),0,IF(OFFSET(CRONOPLE!$F$14,$M165,BO$13)="",10^12,OFFSET(CRONOPLE!$F$14,$M165,BO$13))))</f>
        <v>1000000000000</v>
      </c>
      <c r="BP165" s="181">
        <f ca="1">IF($D165&lt;&gt;"Serviço",0,IF(AND(AUTOEVENTO="Manual",$M165=1),0,IF(OFFSET(CRONOPLE!$F$14,$M165,BP$13)="",10^12,OFFSET(CRONOPLE!$F$14,$M165,BP$13))))</f>
        <v>1000000000000</v>
      </c>
      <c r="BQ165" s="181">
        <f ca="1">IF($D165&lt;&gt;"Serviço",0,IF(AND(AUTOEVENTO="Manual",$M165=1),0,IF(OFFSET(CRONOPLE!$F$14,$M165,BQ$13)="",10^12,OFFSET(CRONOPLE!$F$14,$M165,BQ$13))))</f>
        <v>1000000000000</v>
      </c>
      <c r="BR165" s="181">
        <f ca="1">IF($D165&lt;&gt;"Serviço",0,IF(AND(AUTOEVENTO="Manual",$M165=1),0,IF(OFFSET(CRONOPLE!$F$14,$M165,BR$13)="",10^12,OFFSET(CRONOPLE!$F$14,$M165,BR$13))))</f>
        <v>1000000000000</v>
      </c>
      <c r="BS165" s="181">
        <f ca="1">IF($D165&lt;&gt;"Serviço",0,IF(AND(AUTOEVENTO="Manual",$M165=1),0,IF(OFFSET(CRONOPLE!$F$14,$M165,BS$13)="",10^12,OFFSET(CRONOPLE!$F$14,$M165,BS$13))))</f>
        <v>1000000000000</v>
      </c>
      <c r="BT165" s="181">
        <f ca="1">IF($D165&lt;&gt;"Serviço",0,IF(AND(AUTOEVENTO="Manual",$M165=1),0,IF(OFFSET(CRONOPLE!$F$14,$M165,BT$13)="",10^12,OFFSET(CRONOPLE!$F$14,$M165,BT$13))))</f>
        <v>1000000000000</v>
      </c>
      <c r="BV165" s="182">
        <f ca="1">IF($D165&lt;&gt;"Serviço",0,IF(OR(AND(AUTOEVENTO="Manual",$M165=1),$M165&gt;(ROW(PLE.lastrow)-ROW(PLE.firstrow))),0,IF(OFFSET(PLE!$G$14,$M165,BV$13)="",10^12,OFFSET(PLE!$G$14,$M165,BV$13))))</f>
        <v>1000000000000</v>
      </c>
      <c r="BW165" s="182">
        <f ca="1">IF($D165&lt;&gt;"Serviço",0,IF(OR(AND(AUTOEVENTO="Manual",$M165=1),$M165&gt;(ROW(PLE.lastrow)-ROW(PLE.firstrow))),0,IF(OFFSET(PLE!$G$14,$M165,BW$13)="",10^12,OFFSET(PLE!$G$14,$M165,BW$13))))</f>
        <v>1000000000000</v>
      </c>
      <c r="BX165" s="182">
        <f ca="1">IF($D165&lt;&gt;"Serviço",0,IF(OR(AND(AUTOEVENTO="Manual",$M165=1),$M165&gt;(ROW(PLE.lastrow)-ROW(PLE.firstrow))),0,IF(OFFSET(PLE!$G$14,$M165,BX$13)="",10^12,OFFSET(PLE!$G$14,$M165,BX$13))))</f>
        <v>1000000000000</v>
      </c>
      <c r="BY165" s="182">
        <f ca="1">IF($D165&lt;&gt;"Serviço",0,IF(OR(AND(AUTOEVENTO="Manual",$M165=1),$M165&gt;(ROW(PLE.lastrow)-ROW(PLE.firstrow))),0,IF(OFFSET(PLE!$G$14,$M165,BY$13)="",10^12,OFFSET(PLE!$G$14,$M165,BY$13))))</f>
        <v>1000000000000</v>
      </c>
      <c r="BZ165" s="182">
        <f ca="1">IF($D165&lt;&gt;"Serviço",0,IF(OR(AND(AUTOEVENTO="Manual",$M165=1),$M165&gt;(ROW(PLE.lastrow)-ROW(PLE.firstrow))),0,IF(OFFSET(PLE!$G$14,$M165,BZ$13)="",10^12,OFFSET(PLE!$G$14,$M165,BZ$13))))</f>
        <v>1000000000000</v>
      </c>
      <c r="CA165" s="182">
        <f ca="1">IF($D165&lt;&gt;"Serviço",0,IF(OR(AND(AUTOEVENTO="Manual",$M165=1),$M165&gt;(ROW(PLE.lastrow)-ROW(PLE.firstrow))),0,IF(OFFSET(PLE!$G$14,$M165,CA$13)="",10^12,OFFSET(PLE!$G$14,$M165,CA$13))))</f>
        <v>1000000000000</v>
      </c>
      <c r="CB165" s="182">
        <f ca="1">IF($D165&lt;&gt;"Serviço",0,IF(OR(AND(AUTOEVENTO="Manual",$M165=1),$M165&gt;(ROW(PLE.lastrow)-ROW(PLE.firstrow))),0,IF(OFFSET(PLE!$G$14,$M165,CB$13)="",10^12,OFFSET(PLE!$G$14,$M165,CB$13))))</f>
        <v>1000000000000</v>
      </c>
      <c r="CC165" s="182">
        <f ca="1">IF($D165&lt;&gt;"Serviço",0,IF(OR(AND(AUTOEVENTO="Manual",$M165=1),$M165&gt;(ROW(PLE.lastrow)-ROW(PLE.firstrow))),0,IF(OFFSET(PLE!$G$14,$M165,CC$13)="",10^12,OFFSET(PLE!$G$14,$M165,CC$13))))</f>
        <v>1000000000000</v>
      </c>
      <c r="CD165" s="182">
        <f ca="1">IF($D165&lt;&gt;"Serviço",0,IF(OR(AND(AUTOEVENTO="Manual",$M165=1),$M165&gt;(ROW(PLE.lastrow)-ROW(PLE.firstrow))),0,IF(OFFSET(PLE!$G$14,$M165,CD$13)="",10^12,OFFSET(PLE!$G$14,$M165,CD$13))))</f>
        <v>1000000000000</v>
      </c>
      <c r="CE165" s="182">
        <f ca="1">IF($D165&lt;&gt;"Serviço",0,IF(OR(AND(AUTOEVENTO="Manual",$M165=1),$M165&gt;(ROW(PLE.lastrow)-ROW(PLE.firstrow))),0,IF(OFFSET(PLE!$G$14,$M165,CE$13)="",10^12,OFFSET(PLE!$G$14,$M165,CE$13))))</f>
        <v>1000000000000</v>
      </c>
      <c r="CF165" s="182">
        <f ca="1">IF($D165&lt;&gt;"Serviço",0,IF(OR(AND(AUTOEVENTO="Manual",$M165=1),$M165&gt;(ROW(PLE.lastrow)-ROW(PLE.firstrow))),0,IF(OFFSET(PLE!$G$14,$M165,CF$13)="",10^12,OFFSET(PLE!$G$14,$M165,CF$13))))</f>
        <v>1000000000000</v>
      </c>
      <c r="CG165" s="182">
        <f ca="1">IF($D165&lt;&gt;"Serviço",0,IF(OR(AND(AUTOEVENTO="Manual",$M165=1),$M165&gt;(ROW(PLE.lastrow)-ROW(PLE.firstrow))),0,IF(OFFSET(PLE!$G$14,$M165,CG$13)="",10^12,OFFSET(PLE!$G$14,$M165,CG$13))))</f>
        <v>1000000000000</v>
      </c>
      <c r="CH165" s="182">
        <f ca="1">IF($D165&lt;&gt;"Serviço",0,IF(OR(AND(AUTOEVENTO="Manual",$M165=1),$M165&gt;(ROW(PLE.lastrow)-ROW(PLE.firstrow))),0,IF(OFFSET(PLE!$G$14,$M165,CH$13)="",10^12,OFFSET(PLE!$G$14,$M165,CH$13))))</f>
        <v>1000000000000</v>
      </c>
      <c r="CI165" s="182">
        <f ca="1">IF($D165&lt;&gt;"Serviço",0,IF(OR(AND(AUTOEVENTO="Manual",$M165=1),$M165&gt;(ROW(PLE.lastrow)-ROW(PLE.firstrow))),0,IF(OFFSET(PLE!$G$14,$M165,CI$13)="",10^12,OFFSET(PLE!$G$14,$M165,CI$13))))</f>
        <v>1000000000000</v>
      </c>
      <c r="CJ165" s="182">
        <f ca="1">IF($D165&lt;&gt;"Serviço",0,IF(OR(AND(AUTOEVENTO="Manual",$M165=1),$M165&gt;(ROW(PLE.lastrow)-ROW(PLE.firstrow))),0,IF(OFFSET(PLE!$G$14,$M165,CJ$13)="",10^12,OFFSET(PLE!$G$14,$M165,CJ$13))))</f>
        <v>1000000000000</v>
      </c>
      <c r="CK165" s="182">
        <f ca="1">IF($D165&lt;&gt;"Serviço",0,IF(OR(AND(AUTOEVENTO="Manual",$M165=1),$M165&gt;(ROW(PLE.lastrow)-ROW(PLE.firstrow))),0,IF(OFFSET(PLE!$G$14,$M165,CK$13)="",10^12,OFFSET(PLE!$G$14,$M165,CK$13))))</f>
        <v>1000000000000</v>
      </c>
      <c r="CL165" s="182">
        <f ca="1">IF($D165&lt;&gt;"Serviço",0,IF(OR(AND(AUTOEVENTO="Manual",$M165=1),$M165&gt;(ROW(PLE.lastrow)-ROW(PLE.firstrow))),0,IF(OFFSET(PLE!$G$14,$M165,CL$13)="",10^12,OFFSET(PLE!$G$14,$M165,CL$13))))</f>
        <v>1000000000000</v>
      </c>
      <c r="CM165" s="182">
        <f ca="1">IF($D165&lt;&gt;"Serviço",0,IF(OR(AND(AUTOEVENTO="Manual",$M165=1),$M165&gt;(ROW(PLE.lastrow)-ROW(PLE.firstrow))),0,IF(OFFSET(PLE!$G$14,$M165,CM$13)="",10^12,OFFSET(PLE!$G$14,$M165,CM$13))))</f>
        <v>1000000000000</v>
      </c>
    </row>
    <row r="166" spans="1:91" ht="25.5" x14ac:dyDescent="0.2">
      <c r="A166" s="7" t="str">
        <f t="shared" ca="1" si="11"/>
        <v>140</v>
      </c>
      <c r="B166" s="7" t="str">
        <f ca="1">OFFSET(ORÇAMENTO!C$15,ROW(B166)-ROW(B$15),0)</f>
        <v>S</v>
      </c>
      <c r="C166" s="7" t="str">
        <f ca="1">OFFSET(ORÇAMENTO!L$15,ROW(C166)-ROW(C$15),0)</f>
        <v/>
      </c>
      <c r="D166" s="118" t="str">
        <f ca="1">OFFSET(ORÇAMENTO!N$15,ROW(D166)-ROW(D$15),0)</f>
        <v>Serviço</v>
      </c>
      <c r="E166" s="119" t="str">
        <f ca="1">OFFSET(ORÇAMENTO!O$15,ROW(E166)-ROW(E$15),0)</f>
        <v>-</v>
      </c>
      <c r="F166" s="172" t="str">
        <f ca="1">OFFSET(ORÇAMENTO!R$15,ROW(F166)-ROW(F$15),0)</f>
        <v>(abra o arquivo 'Referência 06-2024.xlsm)</v>
      </c>
      <c r="G166" s="173" t="str">
        <f ca="1">IF($D166&lt;&gt;"Serviço","",OFFSET(ORÇAMENTO!S$15,ROW(G166)-ROW(G$15),0))</f>
        <v>-</v>
      </c>
      <c r="H166" s="124">
        <f ca="1">IF($D166&lt;&gt;"Serviço",0,IF(ACOMPANHAMENTO="BM",ROUND(OFFSET(ORÇAMENTO!AJ$15,ROW(H166)-ROW(H$15),0),15-13*ORÇAMENTO!$AF$7),SUMPRODUCT(($Q$12:$AI$12&lt;&gt;"")*ROUND($Q166:$AI166,15-13*ORÇAMENTO!$AF$7))))</f>
        <v>0.24</v>
      </c>
      <c r="I166" s="561" t="s">
        <v>1107</v>
      </c>
      <c r="K166" s="174"/>
      <c r="L166" s="175" t="s">
        <v>255</v>
      </c>
      <c r="M166" s="176">
        <f ca="1">IF($D166&lt;&gt;"Serviço","",IF(AUTOEVENTO="manual",$A166,IF(ISERROR(MATCH($A166,$A$15:OFFSET($A166,-1,0),0)),MAX($M$15:OFFSET(M166,-1,0))+1,INDEX($M$15:OFFSET(M166,-1,0),MATCH($A166,$A$15:OFFSET($A166,-1,0),0)))))</f>
        <v>24</v>
      </c>
      <c r="N166" s="177" t="str">
        <f ca="1">IF($D166&lt;&gt;"Serviço","",IF(AUTOEVENTO="Manual",IF($A166=0,"&lt;-- defina o número do agrupador",OFFSET(EVENTOS!$D$14,$A166,0)),OFFSET($F$15,$A166,0)))</f>
        <v>ESQUADRIAS - GERAL</v>
      </c>
      <c r="O166" s="178"/>
      <c r="Q166" s="178">
        <v>0.24</v>
      </c>
      <c r="R166" s="179"/>
      <c r="S166" s="179"/>
      <c r="T166" s="179"/>
      <c r="U166" s="179"/>
      <c r="V166" s="179"/>
      <c r="W166" s="179"/>
      <c r="X166" s="179"/>
      <c r="Y166" s="179"/>
      <c r="Z166" s="180"/>
      <c r="AA166" s="179"/>
      <c r="AB166" s="179"/>
      <c r="AC166" s="179"/>
      <c r="AD166" s="179"/>
      <c r="AE166" s="179"/>
      <c r="AF166" s="179"/>
      <c r="AG166" s="179"/>
      <c r="AH166" s="180"/>
      <c r="AJ166" s="544">
        <f ca="1">IF(AND($D166="Serviço",AJ$12&lt;&gt;0,$H166&gt;0,OR(AUTOEVENTO&lt;&gt;"manual",$M166&lt;&gt;1)),
IF(Import.TipoArredondamento&lt;&gt;"TransfereGOV",
ROUND(OFFSET($P166,0,AJ$13),15-13*ORÇAMENTO!$AF$7)/$H166*OFFSET(ORÇAMENTO!$X$15,ROW(AJ166)-ROW(AJ$15),0),
ROUND(ROUND(OFFSET($P166,0,AJ$13),15-13*ORÇAMENTO!$AF$7)*OFFSET(ORÇAMENTO!$W$15,ROW(AJ166)-ROW(AJ$15),0),15-13*ORÇAMENTO!$AF$11)),0)</f>
        <v>0</v>
      </c>
      <c r="AK166" s="545">
        <f ca="1">IF(AND($D166="Serviço",AK$12&lt;&gt;0,$H166&gt;0,OR(AUTOEVENTO&lt;&gt;"manual",$M166&lt;&gt;1)),
IF(Import.TipoArredondamento&lt;&gt;"TransfereGOV",
ROUND(OFFSET($P166,0,AK$13),15-13*ORÇAMENTO!$AF$7)/$H166*OFFSET(ORÇAMENTO!$X$15,ROW(AK166)-ROW(AK$15),0),
ROUND(ROUND(OFFSET($P166,0,AK$13),15-13*ORÇAMENTO!$AF$7)*OFFSET(ORÇAMENTO!$W$15,ROW(AK166)-ROW(AK$15),0),15-13*ORÇAMENTO!$AF$11)),0)</f>
        <v>0</v>
      </c>
      <c r="AL166" s="545">
        <f ca="1">IF(AND($D166="Serviço",AL$12&lt;&gt;0,$H166&gt;0,OR(AUTOEVENTO&lt;&gt;"manual",$M166&lt;&gt;1)),
IF(Import.TipoArredondamento&lt;&gt;"TransfereGOV",
ROUND(OFFSET($P166,0,AL$13),15-13*ORÇAMENTO!$AF$7)/$H166*OFFSET(ORÇAMENTO!$X$15,ROW(AL166)-ROW(AL$15),0),
ROUND(ROUND(OFFSET($P166,0,AL$13),15-13*ORÇAMENTO!$AF$7)*OFFSET(ORÇAMENTO!$W$15,ROW(AL166)-ROW(AL$15),0),15-13*ORÇAMENTO!$AF$11)),0)</f>
        <v>0</v>
      </c>
      <c r="AM166" s="545">
        <f ca="1">IF(AND($D166="Serviço",AM$12&lt;&gt;0,$H166&gt;0,OR(AUTOEVENTO&lt;&gt;"manual",$M166&lt;&gt;1)),
IF(Import.TipoArredondamento&lt;&gt;"TransfereGOV",
ROUND(OFFSET($P166,0,AM$13),15-13*ORÇAMENTO!$AF$7)/$H166*OFFSET(ORÇAMENTO!$X$15,ROW(AM166)-ROW(AM$15),0),
ROUND(ROUND(OFFSET($P166,0,AM$13),15-13*ORÇAMENTO!$AF$7)*OFFSET(ORÇAMENTO!$W$15,ROW(AM166)-ROW(AM$15),0),15-13*ORÇAMENTO!$AF$11)),0)</f>
        <v>0</v>
      </c>
      <c r="AN166" s="545">
        <f ca="1">IF(AND($D166="Serviço",AN$12&lt;&gt;0,$H166&gt;0,OR(AUTOEVENTO&lt;&gt;"manual",$M166&lt;&gt;1)),
IF(Import.TipoArredondamento&lt;&gt;"TransfereGOV",
ROUND(OFFSET($P166,0,AN$13),15-13*ORÇAMENTO!$AF$7)/$H166*OFFSET(ORÇAMENTO!$X$15,ROW(AN166)-ROW(AN$15),0),
ROUND(ROUND(OFFSET($P166,0,AN$13),15-13*ORÇAMENTO!$AF$7)*OFFSET(ORÇAMENTO!$W$15,ROW(AN166)-ROW(AN$15),0),15-13*ORÇAMENTO!$AF$11)),0)</f>
        <v>0</v>
      </c>
      <c r="AO166" s="545">
        <f ca="1">IF(AND($D166="Serviço",AO$12&lt;&gt;0,$H166&gt;0,OR(AUTOEVENTO&lt;&gt;"manual",$M166&lt;&gt;1)),
IF(Import.TipoArredondamento&lt;&gt;"TransfereGOV",
ROUND(OFFSET($P166,0,AO$13),15-13*ORÇAMENTO!$AF$7)/$H166*OFFSET(ORÇAMENTO!$X$15,ROW(AO166)-ROW(AO$15),0),
ROUND(ROUND(OFFSET($P166,0,AO$13),15-13*ORÇAMENTO!$AF$7)*OFFSET(ORÇAMENTO!$W$15,ROW(AO166)-ROW(AO$15),0),15-13*ORÇAMENTO!$AF$11)),0)</f>
        <v>0</v>
      </c>
      <c r="AP166" s="545">
        <f ca="1">IF(AND($D166="Serviço",AP$12&lt;&gt;0,$H166&gt;0,OR(AUTOEVENTO&lt;&gt;"manual",$M166&lt;&gt;1)),
IF(Import.TipoArredondamento&lt;&gt;"TransfereGOV",
ROUND(OFFSET($P166,0,AP$13),15-13*ORÇAMENTO!$AF$7)/$H166*OFFSET(ORÇAMENTO!$X$15,ROW(AP166)-ROW(AP$15),0),
ROUND(ROUND(OFFSET($P166,0,AP$13),15-13*ORÇAMENTO!$AF$7)*OFFSET(ORÇAMENTO!$W$15,ROW(AP166)-ROW(AP$15),0),15-13*ORÇAMENTO!$AF$11)),0)</f>
        <v>0</v>
      </c>
      <c r="AQ166" s="545">
        <f ca="1">IF(AND($D166="Serviço",AQ$12&lt;&gt;0,$H166&gt;0,OR(AUTOEVENTO&lt;&gt;"manual",$M166&lt;&gt;1)),
IF(Import.TipoArredondamento&lt;&gt;"TransfereGOV",
ROUND(OFFSET($P166,0,AQ$13),15-13*ORÇAMENTO!$AF$7)/$H166*OFFSET(ORÇAMENTO!$X$15,ROW(AQ166)-ROW(AQ$15),0),
ROUND(ROUND(OFFSET($P166,0,AQ$13),15-13*ORÇAMENTO!$AF$7)*OFFSET(ORÇAMENTO!$W$15,ROW(AQ166)-ROW(AQ$15),0),15-13*ORÇAMENTO!$AF$11)),0)</f>
        <v>0</v>
      </c>
      <c r="AR166" s="545">
        <f ca="1">IF(AND($D166="Serviço",AR$12&lt;&gt;0,$H166&gt;0,OR(AUTOEVENTO&lt;&gt;"manual",$M166&lt;&gt;1)),
IF(Import.TipoArredondamento&lt;&gt;"TransfereGOV",
ROUND(OFFSET($P166,0,AR$13),15-13*ORÇAMENTO!$AF$7)/$H166*OFFSET(ORÇAMENTO!$X$15,ROW(AR166)-ROW(AR$15),0),
ROUND(ROUND(OFFSET($P166,0,AR$13),15-13*ORÇAMENTO!$AF$7)*OFFSET(ORÇAMENTO!$W$15,ROW(AR166)-ROW(AR$15),0),15-13*ORÇAMENTO!$AF$11)),0)</f>
        <v>0</v>
      </c>
      <c r="AS166" s="546">
        <f ca="1">IF(AND($D166="Serviço",AS$12&lt;&gt;0,$H166&gt;0,OR(AUTOEVENTO&lt;&gt;"manual",$M166&lt;&gt;1)),
IF(Import.TipoArredondamento&lt;&gt;"TransfereGOV",
ROUND(OFFSET($P166,0,AS$13),15-13*ORÇAMENTO!$AF$7)/$H166*OFFSET(ORÇAMENTO!$X$15,ROW(AS166)-ROW(AS$15),0),
ROUND(ROUND(OFFSET($P166,0,AS$13),15-13*ORÇAMENTO!$AF$7)*OFFSET(ORÇAMENTO!$W$15,ROW(AS166)-ROW(AS$15),0),15-13*ORÇAMENTO!$AF$11)),0)</f>
        <v>0</v>
      </c>
      <c r="AT166" s="545">
        <f ca="1">IF(AND($D166="Serviço",AT$12&lt;&gt;0,$H166&gt;0,OR(AUTOEVENTO&lt;&gt;"manual",$M166&lt;&gt;1)),
IF(Import.TipoArredondamento&lt;&gt;"TransfereGOV",
ROUND(OFFSET($P166,0,AT$13),15-13*ORÇAMENTO!$AF$7)/$H166*OFFSET(ORÇAMENTO!$X$15,ROW(AT166)-ROW(AT$15),0),
ROUND(ROUND(OFFSET($P166,0,AT$13),15-13*ORÇAMENTO!$AF$7)*OFFSET(ORÇAMENTO!$W$15,ROW(AT166)-ROW(AT$15),0),15-13*ORÇAMENTO!$AF$11)),0)</f>
        <v>0</v>
      </c>
      <c r="AU166" s="545">
        <f ca="1">IF(AND($D166="Serviço",AU$12&lt;&gt;0,$H166&gt;0,OR(AUTOEVENTO&lt;&gt;"manual",$M166&lt;&gt;1)),
IF(Import.TipoArredondamento&lt;&gt;"TransfereGOV",
ROUND(OFFSET($P166,0,AU$13),15-13*ORÇAMENTO!$AF$7)/$H166*OFFSET(ORÇAMENTO!$X$15,ROW(AU166)-ROW(AU$15),0),
ROUND(ROUND(OFFSET($P166,0,AU$13),15-13*ORÇAMENTO!$AF$7)*OFFSET(ORÇAMENTO!$W$15,ROW(AU166)-ROW(AU$15),0),15-13*ORÇAMENTO!$AF$11)),0)</f>
        <v>0</v>
      </c>
      <c r="AV166" s="545">
        <f ca="1">IF(AND($D166="Serviço",AV$12&lt;&gt;0,$H166&gt;0,OR(AUTOEVENTO&lt;&gt;"manual",$M166&lt;&gt;1)),
IF(Import.TipoArredondamento&lt;&gt;"TransfereGOV",
ROUND(OFFSET($P166,0,AV$13),15-13*ORÇAMENTO!$AF$7)/$H166*OFFSET(ORÇAMENTO!$X$15,ROW(AV166)-ROW(AV$15),0),
ROUND(ROUND(OFFSET($P166,0,AV$13),15-13*ORÇAMENTO!$AF$7)*OFFSET(ORÇAMENTO!$W$15,ROW(AV166)-ROW(AV$15),0),15-13*ORÇAMENTO!$AF$11)),0)</f>
        <v>0</v>
      </c>
      <c r="AW166" s="545">
        <f ca="1">IF(AND($D166="Serviço",AW$12&lt;&gt;0,$H166&gt;0,OR(AUTOEVENTO&lt;&gt;"manual",$M166&lt;&gt;1)),
IF(Import.TipoArredondamento&lt;&gt;"TransfereGOV",
ROUND(OFFSET($P166,0,AW$13),15-13*ORÇAMENTO!$AF$7)/$H166*OFFSET(ORÇAMENTO!$X$15,ROW(AW166)-ROW(AW$15),0),
ROUND(ROUND(OFFSET($P166,0,AW$13),15-13*ORÇAMENTO!$AF$7)*OFFSET(ORÇAMENTO!$W$15,ROW(AW166)-ROW(AW$15),0),15-13*ORÇAMENTO!$AF$11)),0)</f>
        <v>0</v>
      </c>
      <c r="AX166" s="545">
        <f ca="1">IF(AND($D166="Serviço",AX$12&lt;&gt;0,$H166&gt;0,OR(AUTOEVENTO&lt;&gt;"manual",$M166&lt;&gt;1)),
IF(Import.TipoArredondamento&lt;&gt;"TransfereGOV",
ROUND(OFFSET($P166,0,AX$13),15-13*ORÇAMENTO!$AF$7)/$H166*OFFSET(ORÇAMENTO!$X$15,ROW(AX166)-ROW(AX$15),0),
ROUND(ROUND(OFFSET($P166,0,AX$13),15-13*ORÇAMENTO!$AF$7)*OFFSET(ORÇAMENTO!$W$15,ROW(AX166)-ROW(AX$15),0),15-13*ORÇAMENTO!$AF$11)),0)</f>
        <v>0</v>
      </c>
      <c r="AY166" s="545">
        <f ca="1">IF(AND($D166="Serviço",AY$12&lt;&gt;0,$H166&gt;0,OR(AUTOEVENTO&lt;&gt;"manual",$M166&lt;&gt;1)),
IF(Import.TipoArredondamento&lt;&gt;"TransfereGOV",
ROUND(OFFSET($P166,0,AY$13),15-13*ORÇAMENTO!$AF$7)/$H166*OFFSET(ORÇAMENTO!$X$15,ROW(AY166)-ROW(AY$15),0),
ROUND(ROUND(OFFSET($P166,0,AY$13),15-13*ORÇAMENTO!$AF$7)*OFFSET(ORÇAMENTO!$W$15,ROW(AY166)-ROW(AY$15),0),15-13*ORÇAMENTO!$AF$11)),0)</f>
        <v>0</v>
      </c>
      <c r="AZ166" s="545">
        <f ca="1">IF(AND($D166="Serviço",AZ$12&lt;&gt;0,$H166&gt;0,OR(AUTOEVENTO&lt;&gt;"manual",$M166&lt;&gt;1)),
IF(Import.TipoArredondamento&lt;&gt;"TransfereGOV",
ROUND(OFFSET($P166,0,AZ$13),15-13*ORÇAMENTO!$AF$7)/$H166*OFFSET(ORÇAMENTO!$X$15,ROW(AZ166)-ROW(AZ$15),0),
ROUND(ROUND(OFFSET($P166,0,AZ$13),15-13*ORÇAMENTO!$AF$7)*OFFSET(ORÇAMENTO!$W$15,ROW(AZ166)-ROW(AZ$15),0),15-13*ORÇAMENTO!$AF$11)),0)</f>
        <v>0</v>
      </c>
      <c r="BA166" s="546">
        <f ca="1">IF(AND($D166="Serviço",BA$12&lt;&gt;0,$H166&gt;0,OR(AUTOEVENTO&lt;&gt;"manual",$M166&lt;&gt;1)),
IF(Import.TipoArredondamento&lt;&gt;"TransfereGOV",
ROUND(OFFSET($P166,0,BA$13),15-13*ORÇAMENTO!$AF$7)/$H166*OFFSET(ORÇAMENTO!$X$15,ROW(BA166)-ROW(BA$15),0),
ROUND(ROUND(OFFSET($P166,0,BA$13),15-13*ORÇAMENTO!$AF$7)*OFFSET(ORÇAMENTO!$W$15,ROW(BA166)-ROW(BA$15),0),15-13*ORÇAMENTO!$AF$11)),0)</f>
        <v>0</v>
      </c>
      <c r="BC166" s="181">
        <f ca="1">IF($D166&lt;&gt;"Serviço",0,IF(AND(AUTOEVENTO="Manual",$M166=1),0,IF(OFFSET(CRONOPLE!$F$14,$M166,BC$13)="",10^12,OFFSET(CRONOPLE!$F$14,$M166,BC$13))))</f>
        <v>6</v>
      </c>
      <c r="BD166" s="181">
        <f ca="1">IF($D166&lt;&gt;"Serviço",0,IF(AND(AUTOEVENTO="Manual",$M166=1),0,IF(OFFSET(CRONOPLE!$F$14,$M166,BD$13)="",10^12,OFFSET(CRONOPLE!$F$14,$M166,BD$13))))</f>
        <v>1000000000000</v>
      </c>
      <c r="BE166" s="181">
        <f ca="1">IF($D166&lt;&gt;"Serviço",0,IF(AND(AUTOEVENTO="Manual",$M166=1),0,IF(OFFSET(CRONOPLE!$F$14,$M166,BE$13)="",10^12,OFFSET(CRONOPLE!$F$14,$M166,BE$13))))</f>
        <v>1000000000000</v>
      </c>
      <c r="BF166" s="181">
        <f ca="1">IF($D166&lt;&gt;"Serviço",0,IF(AND(AUTOEVENTO="Manual",$M166=1),0,IF(OFFSET(CRONOPLE!$F$14,$M166,BF$13)="",10^12,OFFSET(CRONOPLE!$F$14,$M166,BF$13))))</f>
        <v>1000000000000</v>
      </c>
      <c r="BG166" s="181">
        <f ca="1">IF($D166&lt;&gt;"Serviço",0,IF(AND(AUTOEVENTO="Manual",$M166=1),0,IF(OFFSET(CRONOPLE!$F$14,$M166,BG$13)="",10^12,OFFSET(CRONOPLE!$F$14,$M166,BG$13))))</f>
        <v>1000000000000</v>
      </c>
      <c r="BH166" s="181">
        <f ca="1">IF($D166&lt;&gt;"Serviço",0,IF(AND(AUTOEVENTO="Manual",$M166=1),0,IF(OFFSET(CRONOPLE!$F$14,$M166,BH$13)="",10^12,OFFSET(CRONOPLE!$F$14,$M166,BH$13))))</f>
        <v>1000000000000</v>
      </c>
      <c r="BI166" s="181">
        <f ca="1">IF($D166&lt;&gt;"Serviço",0,IF(AND(AUTOEVENTO="Manual",$M166=1),0,IF(OFFSET(CRONOPLE!$F$14,$M166,BI$13)="",10^12,OFFSET(CRONOPLE!$F$14,$M166,BI$13))))</f>
        <v>1000000000000</v>
      </c>
      <c r="BJ166" s="181">
        <f ca="1">IF($D166&lt;&gt;"Serviço",0,IF(AND(AUTOEVENTO="Manual",$M166=1),0,IF(OFFSET(CRONOPLE!$F$14,$M166,BJ$13)="",10^12,OFFSET(CRONOPLE!$F$14,$M166,BJ$13))))</f>
        <v>1000000000000</v>
      </c>
      <c r="BK166" s="181">
        <f ca="1">IF($D166&lt;&gt;"Serviço",0,IF(AND(AUTOEVENTO="Manual",$M166=1),0,IF(OFFSET(CRONOPLE!$F$14,$M166,BK$13)="",10^12,OFFSET(CRONOPLE!$F$14,$M166,BK$13))))</f>
        <v>1000000000000</v>
      </c>
      <c r="BL166" s="181">
        <f ca="1">IF($D166&lt;&gt;"Serviço",0,IF(AND(AUTOEVENTO="Manual",$M166=1),0,IF(OFFSET(CRONOPLE!$F$14,$M166,BL$13)="",10^12,OFFSET(CRONOPLE!$F$14,$M166,BL$13))))</f>
        <v>1000000000000</v>
      </c>
      <c r="BM166" s="181">
        <f ca="1">IF($D166&lt;&gt;"Serviço",0,IF(AND(AUTOEVENTO="Manual",$M166=1),0,IF(OFFSET(CRONOPLE!$F$14,$M166,BM$13)="",10^12,OFFSET(CRONOPLE!$F$14,$M166,BM$13))))</f>
        <v>1000000000000</v>
      </c>
      <c r="BN166" s="181">
        <f ca="1">IF($D166&lt;&gt;"Serviço",0,IF(AND(AUTOEVENTO="Manual",$M166=1),0,IF(OFFSET(CRONOPLE!$F$14,$M166,BN$13)="",10^12,OFFSET(CRONOPLE!$F$14,$M166,BN$13))))</f>
        <v>1000000000000</v>
      </c>
      <c r="BO166" s="181">
        <f ca="1">IF($D166&lt;&gt;"Serviço",0,IF(AND(AUTOEVENTO="Manual",$M166=1),0,IF(OFFSET(CRONOPLE!$F$14,$M166,BO$13)="",10^12,OFFSET(CRONOPLE!$F$14,$M166,BO$13))))</f>
        <v>1000000000000</v>
      </c>
      <c r="BP166" s="181">
        <f ca="1">IF($D166&lt;&gt;"Serviço",0,IF(AND(AUTOEVENTO="Manual",$M166=1),0,IF(OFFSET(CRONOPLE!$F$14,$M166,BP$13)="",10^12,OFFSET(CRONOPLE!$F$14,$M166,BP$13))))</f>
        <v>1000000000000</v>
      </c>
      <c r="BQ166" s="181">
        <f ca="1">IF($D166&lt;&gt;"Serviço",0,IF(AND(AUTOEVENTO="Manual",$M166=1),0,IF(OFFSET(CRONOPLE!$F$14,$M166,BQ$13)="",10^12,OFFSET(CRONOPLE!$F$14,$M166,BQ$13))))</f>
        <v>1000000000000</v>
      </c>
      <c r="BR166" s="181">
        <f ca="1">IF($D166&lt;&gt;"Serviço",0,IF(AND(AUTOEVENTO="Manual",$M166=1),0,IF(OFFSET(CRONOPLE!$F$14,$M166,BR$13)="",10^12,OFFSET(CRONOPLE!$F$14,$M166,BR$13))))</f>
        <v>1000000000000</v>
      </c>
      <c r="BS166" s="181">
        <f ca="1">IF($D166&lt;&gt;"Serviço",0,IF(AND(AUTOEVENTO="Manual",$M166=1),0,IF(OFFSET(CRONOPLE!$F$14,$M166,BS$13)="",10^12,OFFSET(CRONOPLE!$F$14,$M166,BS$13))))</f>
        <v>1000000000000</v>
      </c>
      <c r="BT166" s="181">
        <f ca="1">IF($D166&lt;&gt;"Serviço",0,IF(AND(AUTOEVENTO="Manual",$M166=1),0,IF(OFFSET(CRONOPLE!$F$14,$M166,BT$13)="",10^12,OFFSET(CRONOPLE!$F$14,$M166,BT$13))))</f>
        <v>1000000000000</v>
      </c>
      <c r="BV166" s="182">
        <f ca="1">IF($D166&lt;&gt;"Serviço",0,IF(OR(AND(AUTOEVENTO="Manual",$M166=1),$M166&gt;(ROW(PLE.lastrow)-ROW(PLE.firstrow))),0,IF(OFFSET(PLE!$G$14,$M166,BV$13)="",10^12,OFFSET(PLE!$G$14,$M166,BV$13))))</f>
        <v>1000000000000</v>
      </c>
      <c r="BW166" s="182">
        <f ca="1">IF($D166&lt;&gt;"Serviço",0,IF(OR(AND(AUTOEVENTO="Manual",$M166=1),$M166&gt;(ROW(PLE.lastrow)-ROW(PLE.firstrow))),0,IF(OFFSET(PLE!$G$14,$M166,BW$13)="",10^12,OFFSET(PLE!$G$14,$M166,BW$13))))</f>
        <v>1000000000000</v>
      </c>
      <c r="BX166" s="182">
        <f ca="1">IF($D166&lt;&gt;"Serviço",0,IF(OR(AND(AUTOEVENTO="Manual",$M166=1),$M166&gt;(ROW(PLE.lastrow)-ROW(PLE.firstrow))),0,IF(OFFSET(PLE!$G$14,$M166,BX$13)="",10^12,OFFSET(PLE!$G$14,$M166,BX$13))))</f>
        <v>1000000000000</v>
      </c>
      <c r="BY166" s="182">
        <f ca="1">IF($D166&lt;&gt;"Serviço",0,IF(OR(AND(AUTOEVENTO="Manual",$M166=1),$M166&gt;(ROW(PLE.lastrow)-ROW(PLE.firstrow))),0,IF(OFFSET(PLE!$G$14,$M166,BY$13)="",10^12,OFFSET(PLE!$G$14,$M166,BY$13))))</f>
        <v>1000000000000</v>
      </c>
      <c r="BZ166" s="182">
        <f ca="1">IF($D166&lt;&gt;"Serviço",0,IF(OR(AND(AUTOEVENTO="Manual",$M166=1),$M166&gt;(ROW(PLE.lastrow)-ROW(PLE.firstrow))),0,IF(OFFSET(PLE!$G$14,$M166,BZ$13)="",10^12,OFFSET(PLE!$G$14,$M166,BZ$13))))</f>
        <v>1000000000000</v>
      </c>
      <c r="CA166" s="182">
        <f ca="1">IF($D166&lt;&gt;"Serviço",0,IF(OR(AND(AUTOEVENTO="Manual",$M166=1),$M166&gt;(ROW(PLE.lastrow)-ROW(PLE.firstrow))),0,IF(OFFSET(PLE!$G$14,$M166,CA$13)="",10^12,OFFSET(PLE!$G$14,$M166,CA$13))))</f>
        <v>1000000000000</v>
      </c>
      <c r="CB166" s="182">
        <f ca="1">IF($D166&lt;&gt;"Serviço",0,IF(OR(AND(AUTOEVENTO="Manual",$M166=1),$M166&gt;(ROW(PLE.lastrow)-ROW(PLE.firstrow))),0,IF(OFFSET(PLE!$G$14,$M166,CB$13)="",10^12,OFFSET(PLE!$G$14,$M166,CB$13))))</f>
        <v>1000000000000</v>
      </c>
      <c r="CC166" s="182">
        <f ca="1">IF($D166&lt;&gt;"Serviço",0,IF(OR(AND(AUTOEVENTO="Manual",$M166=1),$M166&gt;(ROW(PLE.lastrow)-ROW(PLE.firstrow))),0,IF(OFFSET(PLE!$G$14,$M166,CC$13)="",10^12,OFFSET(PLE!$G$14,$M166,CC$13))))</f>
        <v>1000000000000</v>
      </c>
      <c r="CD166" s="182">
        <f ca="1">IF($D166&lt;&gt;"Serviço",0,IF(OR(AND(AUTOEVENTO="Manual",$M166=1),$M166&gt;(ROW(PLE.lastrow)-ROW(PLE.firstrow))),0,IF(OFFSET(PLE!$G$14,$M166,CD$13)="",10^12,OFFSET(PLE!$G$14,$M166,CD$13))))</f>
        <v>1000000000000</v>
      </c>
      <c r="CE166" s="182">
        <f ca="1">IF($D166&lt;&gt;"Serviço",0,IF(OR(AND(AUTOEVENTO="Manual",$M166=1),$M166&gt;(ROW(PLE.lastrow)-ROW(PLE.firstrow))),0,IF(OFFSET(PLE!$G$14,$M166,CE$13)="",10^12,OFFSET(PLE!$G$14,$M166,CE$13))))</f>
        <v>1000000000000</v>
      </c>
      <c r="CF166" s="182">
        <f ca="1">IF($D166&lt;&gt;"Serviço",0,IF(OR(AND(AUTOEVENTO="Manual",$M166=1),$M166&gt;(ROW(PLE.lastrow)-ROW(PLE.firstrow))),0,IF(OFFSET(PLE!$G$14,$M166,CF$13)="",10^12,OFFSET(PLE!$G$14,$M166,CF$13))))</f>
        <v>1000000000000</v>
      </c>
      <c r="CG166" s="182">
        <f ca="1">IF($D166&lt;&gt;"Serviço",0,IF(OR(AND(AUTOEVENTO="Manual",$M166=1),$M166&gt;(ROW(PLE.lastrow)-ROW(PLE.firstrow))),0,IF(OFFSET(PLE!$G$14,$M166,CG$13)="",10^12,OFFSET(PLE!$G$14,$M166,CG$13))))</f>
        <v>1000000000000</v>
      </c>
      <c r="CH166" s="182">
        <f ca="1">IF($D166&lt;&gt;"Serviço",0,IF(OR(AND(AUTOEVENTO="Manual",$M166=1),$M166&gt;(ROW(PLE.lastrow)-ROW(PLE.firstrow))),0,IF(OFFSET(PLE!$G$14,$M166,CH$13)="",10^12,OFFSET(PLE!$G$14,$M166,CH$13))))</f>
        <v>1000000000000</v>
      </c>
      <c r="CI166" s="182">
        <f ca="1">IF($D166&lt;&gt;"Serviço",0,IF(OR(AND(AUTOEVENTO="Manual",$M166=1),$M166&gt;(ROW(PLE.lastrow)-ROW(PLE.firstrow))),0,IF(OFFSET(PLE!$G$14,$M166,CI$13)="",10^12,OFFSET(PLE!$G$14,$M166,CI$13))))</f>
        <v>1000000000000</v>
      </c>
      <c r="CJ166" s="182">
        <f ca="1">IF($D166&lt;&gt;"Serviço",0,IF(OR(AND(AUTOEVENTO="Manual",$M166=1),$M166&gt;(ROW(PLE.lastrow)-ROW(PLE.firstrow))),0,IF(OFFSET(PLE!$G$14,$M166,CJ$13)="",10^12,OFFSET(PLE!$G$14,$M166,CJ$13))))</f>
        <v>1000000000000</v>
      </c>
      <c r="CK166" s="182">
        <f ca="1">IF($D166&lt;&gt;"Serviço",0,IF(OR(AND(AUTOEVENTO="Manual",$M166=1),$M166&gt;(ROW(PLE.lastrow)-ROW(PLE.firstrow))),0,IF(OFFSET(PLE!$G$14,$M166,CK$13)="",10^12,OFFSET(PLE!$G$14,$M166,CK$13))))</f>
        <v>1000000000000</v>
      </c>
      <c r="CL166" s="182">
        <f ca="1">IF($D166&lt;&gt;"Serviço",0,IF(OR(AND(AUTOEVENTO="Manual",$M166=1),$M166&gt;(ROW(PLE.lastrow)-ROW(PLE.firstrow))),0,IF(OFFSET(PLE!$G$14,$M166,CL$13)="",10^12,OFFSET(PLE!$G$14,$M166,CL$13))))</f>
        <v>1000000000000</v>
      </c>
      <c r="CM166" s="182">
        <f ca="1">IF($D166&lt;&gt;"Serviço",0,IF(OR(AND(AUTOEVENTO="Manual",$M166=1),$M166&gt;(ROW(PLE.lastrow)-ROW(PLE.firstrow))),0,IF(OFFSET(PLE!$G$14,$M166,CM$13)="",10^12,OFFSET(PLE!$G$14,$M166,CM$13))))</f>
        <v>1000000000000</v>
      </c>
    </row>
    <row r="167" spans="1:91" ht="25.5" x14ac:dyDescent="0.2">
      <c r="A167" s="7" t="str">
        <f t="shared" ca="1" si="11"/>
        <v>140</v>
      </c>
      <c r="B167" s="7" t="str">
        <f ca="1">OFFSET(ORÇAMENTO!C$15,ROW(B167)-ROW(B$15),0)</f>
        <v>S</v>
      </c>
      <c r="C167" s="7" t="str">
        <f ca="1">OFFSET(ORÇAMENTO!L$15,ROW(C167)-ROW(C$15),0)</f>
        <v/>
      </c>
      <c r="D167" s="118" t="str">
        <f ca="1">OFFSET(ORÇAMENTO!N$15,ROW(D167)-ROW(D$15),0)</f>
        <v>Serviço</v>
      </c>
      <c r="E167" s="119" t="str">
        <f ca="1">OFFSET(ORÇAMENTO!O$15,ROW(E167)-ROW(E$15),0)</f>
        <v>-</v>
      </c>
      <c r="F167" s="172" t="str">
        <f ca="1">OFFSET(ORÇAMENTO!R$15,ROW(F167)-ROW(F$15),0)</f>
        <v>(abra o arquivo 'Referência 06-2024.xlsm)</v>
      </c>
      <c r="G167" s="173" t="str">
        <f ca="1">IF($D167&lt;&gt;"Serviço","",OFFSET(ORÇAMENTO!S$15,ROW(G167)-ROW(G$15),0))</f>
        <v>-</v>
      </c>
      <c r="H167" s="124">
        <f ca="1">IF($D167&lt;&gt;"Serviço",0,IF(ACOMPANHAMENTO="BM",ROUND(OFFSET(ORÇAMENTO!AJ$15,ROW(H167)-ROW(H$15),0),15-13*ORÇAMENTO!$AF$7),SUMPRODUCT(($Q$12:$AI$12&lt;&gt;"")*ROUND($Q167:$AI167,15-13*ORÇAMENTO!$AF$7))))</f>
        <v>0.24</v>
      </c>
      <c r="I167" s="561" t="s">
        <v>1107</v>
      </c>
      <c r="K167" s="174"/>
      <c r="L167" s="175" t="s">
        <v>255</v>
      </c>
      <c r="M167" s="176">
        <f ca="1">IF($D167&lt;&gt;"Serviço","",IF(AUTOEVENTO="manual",$A167,IF(ISERROR(MATCH($A167,$A$15:OFFSET($A167,-1,0),0)),MAX($M$15:OFFSET(M167,-1,0))+1,INDEX($M$15:OFFSET(M167,-1,0),MATCH($A167,$A$15:OFFSET($A167,-1,0),0)))))</f>
        <v>24</v>
      </c>
      <c r="N167" s="177" t="str">
        <f ca="1">IF($D167&lt;&gt;"Serviço","",IF(AUTOEVENTO="Manual",IF($A167=0,"&lt;-- defina o número do agrupador",OFFSET(EVENTOS!$D$14,$A167,0)),OFFSET($F$15,$A167,0)))</f>
        <v>ESQUADRIAS - GERAL</v>
      </c>
      <c r="O167" s="178"/>
      <c r="Q167" s="178">
        <v>0.24</v>
      </c>
      <c r="R167" s="179"/>
      <c r="S167" s="179"/>
      <c r="T167" s="179"/>
      <c r="U167" s="179"/>
      <c r="V167" s="179"/>
      <c r="W167" s="179"/>
      <c r="X167" s="179"/>
      <c r="Y167" s="179"/>
      <c r="Z167" s="180"/>
      <c r="AA167" s="179"/>
      <c r="AB167" s="179"/>
      <c r="AC167" s="179"/>
      <c r="AD167" s="179"/>
      <c r="AE167" s="179"/>
      <c r="AF167" s="179"/>
      <c r="AG167" s="179"/>
      <c r="AH167" s="180"/>
      <c r="AJ167" s="544">
        <f ca="1">IF(AND($D167="Serviço",AJ$12&lt;&gt;0,$H167&gt;0,OR(AUTOEVENTO&lt;&gt;"manual",$M167&lt;&gt;1)),
IF(Import.TipoArredondamento&lt;&gt;"TransfereGOV",
ROUND(OFFSET($P167,0,AJ$13),15-13*ORÇAMENTO!$AF$7)/$H167*OFFSET(ORÇAMENTO!$X$15,ROW(AJ167)-ROW(AJ$15),0),
ROUND(ROUND(OFFSET($P167,0,AJ$13),15-13*ORÇAMENTO!$AF$7)*OFFSET(ORÇAMENTO!$W$15,ROW(AJ167)-ROW(AJ$15),0),15-13*ORÇAMENTO!$AF$11)),0)</f>
        <v>0</v>
      </c>
      <c r="AK167" s="545">
        <f ca="1">IF(AND($D167="Serviço",AK$12&lt;&gt;0,$H167&gt;0,OR(AUTOEVENTO&lt;&gt;"manual",$M167&lt;&gt;1)),
IF(Import.TipoArredondamento&lt;&gt;"TransfereGOV",
ROUND(OFFSET($P167,0,AK$13),15-13*ORÇAMENTO!$AF$7)/$H167*OFFSET(ORÇAMENTO!$X$15,ROW(AK167)-ROW(AK$15),0),
ROUND(ROUND(OFFSET($P167,0,AK$13),15-13*ORÇAMENTO!$AF$7)*OFFSET(ORÇAMENTO!$W$15,ROW(AK167)-ROW(AK$15),0),15-13*ORÇAMENTO!$AF$11)),0)</f>
        <v>0</v>
      </c>
      <c r="AL167" s="545">
        <f ca="1">IF(AND($D167="Serviço",AL$12&lt;&gt;0,$H167&gt;0,OR(AUTOEVENTO&lt;&gt;"manual",$M167&lt;&gt;1)),
IF(Import.TipoArredondamento&lt;&gt;"TransfereGOV",
ROUND(OFFSET($P167,0,AL$13),15-13*ORÇAMENTO!$AF$7)/$H167*OFFSET(ORÇAMENTO!$X$15,ROW(AL167)-ROW(AL$15),0),
ROUND(ROUND(OFFSET($P167,0,AL$13),15-13*ORÇAMENTO!$AF$7)*OFFSET(ORÇAMENTO!$W$15,ROW(AL167)-ROW(AL$15),0),15-13*ORÇAMENTO!$AF$11)),0)</f>
        <v>0</v>
      </c>
      <c r="AM167" s="545">
        <f ca="1">IF(AND($D167="Serviço",AM$12&lt;&gt;0,$H167&gt;0,OR(AUTOEVENTO&lt;&gt;"manual",$M167&lt;&gt;1)),
IF(Import.TipoArredondamento&lt;&gt;"TransfereGOV",
ROUND(OFFSET($P167,0,AM$13),15-13*ORÇAMENTO!$AF$7)/$H167*OFFSET(ORÇAMENTO!$X$15,ROW(AM167)-ROW(AM$15),0),
ROUND(ROUND(OFFSET($P167,0,AM$13),15-13*ORÇAMENTO!$AF$7)*OFFSET(ORÇAMENTO!$W$15,ROW(AM167)-ROW(AM$15),0),15-13*ORÇAMENTO!$AF$11)),0)</f>
        <v>0</v>
      </c>
      <c r="AN167" s="545">
        <f ca="1">IF(AND($D167="Serviço",AN$12&lt;&gt;0,$H167&gt;0,OR(AUTOEVENTO&lt;&gt;"manual",$M167&lt;&gt;1)),
IF(Import.TipoArredondamento&lt;&gt;"TransfereGOV",
ROUND(OFFSET($P167,0,AN$13),15-13*ORÇAMENTO!$AF$7)/$H167*OFFSET(ORÇAMENTO!$X$15,ROW(AN167)-ROW(AN$15),0),
ROUND(ROUND(OFFSET($P167,0,AN$13),15-13*ORÇAMENTO!$AF$7)*OFFSET(ORÇAMENTO!$W$15,ROW(AN167)-ROW(AN$15),0),15-13*ORÇAMENTO!$AF$11)),0)</f>
        <v>0</v>
      </c>
      <c r="AO167" s="545">
        <f ca="1">IF(AND($D167="Serviço",AO$12&lt;&gt;0,$H167&gt;0,OR(AUTOEVENTO&lt;&gt;"manual",$M167&lt;&gt;1)),
IF(Import.TipoArredondamento&lt;&gt;"TransfereGOV",
ROUND(OFFSET($P167,0,AO$13),15-13*ORÇAMENTO!$AF$7)/$H167*OFFSET(ORÇAMENTO!$X$15,ROW(AO167)-ROW(AO$15),0),
ROUND(ROUND(OFFSET($P167,0,AO$13),15-13*ORÇAMENTO!$AF$7)*OFFSET(ORÇAMENTO!$W$15,ROW(AO167)-ROW(AO$15),0),15-13*ORÇAMENTO!$AF$11)),0)</f>
        <v>0</v>
      </c>
      <c r="AP167" s="545">
        <f ca="1">IF(AND($D167="Serviço",AP$12&lt;&gt;0,$H167&gt;0,OR(AUTOEVENTO&lt;&gt;"manual",$M167&lt;&gt;1)),
IF(Import.TipoArredondamento&lt;&gt;"TransfereGOV",
ROUND(OFFSET($P167,0,AP$13),15-13*ORÇAMENTO!$AF$7)/$H167*OFFSET(ORÇAMENTO!$X$15,ROW(AP167)-ROW(AP$15),0),
ROUND(ROUND(OFFSET($P167,0,AP$13),15-13*ORÇAMENTO!$AF$7)*OFFSET(ORÇAMENTO!$W$15,ROW(AP167)-ROW(AP$15),0),15-13*ORÇAMENTO!$AF$11)),0)</f>
        <v>0</v>
      </c>
      <c r="AQ167" s="545">
        <f ca="1">IF(AND($D167="Serviço",AQ$12&lt;&gt;0,$H167&gt;0,OR(AUTOEVENTO&lt;&gt;"manual",$M167&lt;&gt;1)),
IF(Import.TipoArredondamento&lt;&gt;"TransfereGOV",
ROUND(OFFSET($P167,0,AQ$13),15-13*ORÇAMENTO!$AF$7)/$H167*OFFSET(ORÇAMENTO!$X$15,ROW(AQ167)-ROW(AQ$15),0),
ROUND(ROUND(OFFSET($P167,0,AQ$13),15-13*ORÇAMENTO!$AF$7)*OFFSET(ORÇAMENTO!$W$15,ROW(AQ167)-ROW(AQ$15),0),15-13*ORÇAMENTO!$AF$11)),0)</f>
        <v>0</v>
      </c>
      <c r="AR167" s="545">
        <f ca="1">IF(AND($D167="Serviço",AR$12&lt;&gt;0,$H167&gt;0,OR(AUTOEVENTO&lt;&gt;"manual",$M167&lt;&gt;1)),
IF(Import.TipoArredondamento&lt;&gt;"TransfereGOV",
ROUND(OFFSET($P167,0,AR$13),15-13*ORÇAMENTO!$AF$7)/$H167*OFFSET(ORÇAMENTO!$X$15,ROW(AR167)-ROW(AR$15),0),
ROUND(ROUND(OFFSET($P167,0,AR$13),15-13*ORÇAMENTO!$AF$7)*OFFSET(ORÇAMENTO!$W$15,ROW(AR167)-ROW(AR$15),0),15-13*ORÇAMENTO!$AF$11)),0)</f>
        <v>0</v>
      </c>
      <c r="AS167" s="546">
        <f ca="1">IF(AND($D167="Serviço",AS$12&lt;&gt;0,$H167&gt;0,OR(AUTOEVENTO&lt;&gt;"manual",$M167&lt;&gt;1)),
IF(Import.TipoArredondamento&lt;&gt;"TransfereGOV",
ROUND(OFFSET($P167,0,AS$13),15-13*ORÇAMENTO!$AF$7)/$H167*OFFSET(ORÇAMENTO!$X$15,ROW(AS167)-ROW(AS$15),0),
ROUND(ROUND(OFFSET($P167,0,AS$13),15-13*ORÇAMENTO!$AF$7)*OFFSET(ORÇAMENTO!$W$15,ROW(AS167)-ROW(AS$15),0),15-13*ORÇAMENTO!$AF$11)),0)</f>
        <v>0</v>
      </c>
      <c r="AT167" s="545">
        <f ca="1">IF(AND($D167="Serviço",AT$12&lt;&gt;0,$H167&gt;0,OR(AUTOEVENTO&lt;&gt;"manual",$M167&lt;&gt;1)),
IF(Import.TipoArredondamento&lt;&gt;"TransfereGOV",
ROUND(OFFSET($P167,0,AT$13),15-13*ORÇAMENTO!$AF$7)/$H167*OFFSET(ORÇAMENTO!$X$15,ROW(AT167)-ROW(AT$15),0),
ROUND(ROUND(OFFSET($P167,0,AT$13),15-13*ORÇAMENTO!$AF$7)*OFFSET(ORÇAMENTO!$W$15,ROW(AT167)-ROW(AT$15),0),15-13*ORÇAMENTO!$AF$11)),0)</f>
        <v>0</v>
      </c>
      <c r="AU167" s="545">
        <f ca="1">IF(AND($D167="Serviço",AU$12&lt;&gt;0,$H167&gt;0,OR(AUTOEVENTO&lt;&gt;"manual",$M167&lt;&gt;1)),
IF(Import.TipoArredondamento&lt;&gt;"TransfereGOV",
ROUND(OFFSET($P167,0,AU$13),15-13*ORÇAMENTO!$AF$7)/$H167*OFFSET(ORÇAMENTO!$X$15,ROW(AU167)-ROW(AU$15),0),
ROUND(ROUND(OFFSET($P167,0,AU$13),15-13*ORÇAMENTO!$AF$7)*OFFSET(ORÇAMENTO!$W$15,ROW(AU167)-ROW(AU$15),0),15-13*ORÇAMENTO!$AF$11)),0)</f>
        <v>0</v>
      </c>
      <c r="AV167" s="545">
        <f ca="1">IF(AND($D167="Serviço",AV$12&lt;&gt;0,$H167&gt;0,OR(AUTOEVENTO&lt;&gt;"manual",$M167&lt;&gt;1)),
IF(Import.TipoArredondamento&lt;&gt;"TransfereGOV",
ROUND(OFFSET($P167,0,AV$13),15-13*ORÇAMENTO!$AF$7)/$H167*OFFSET(ORÇAMENTO!$X$15,ROW(AV167)-ROW(AV$15),0),
ROUND(ROUND(OFFSET($P167,0,AV$13),15-13*ORÇAMENTO!$AF$7)*OFFSET(ORÇAMENTO!$W$15,ROW(AV167)-ROW(AV$15),0),15-13*ORÇAMENTO!$AF$11)),0)</f>
        <v>0</v>
      </c>
      <c r="AW167" s="545">
        <f ca="1">IF(AND($D167="Serviço",AW$12&lt;&gt;0,$H167&gt;0,OR(AUTOEVENTO&lt;&gt;"manual",$M167&lt;&gt;1)),
IF(Import.TipoArredondamento&lt;&gt;"TransfereGOV",
ROUND(OFFSET($P167,0,AW$13),15-13*ORÇAMENTO!$AF$7)/$H167*OFFSET(ORÇAMENTO!$X$15,ROW(AW167)-ROW(AW$15),0),
ROUND(ROUND(OFFSET($P167,0,AW$13),15-13*ORÇAMENTO!$AF$7)*OFFSET(ORÇAMENTO!$W$15,ROW(AW167)-ROW(AW$15),0),15-13*ORÇAMENTO!$AF$11)),0)</f>
        <v>0</v>
      </c>
      <c r="AX167" s="545">
        <f ca="1">IF(AND($D167="Serviço",AX$12&lt;&gt;0,$H167&gt;0,OR(AUTOEVENTO&lt;&gt;"manual",$M167&lt;&gt;1)),
IF(Import.TipoArredondamento&lt;&gt;"TransfereGOV",
ROUND(OFFSET($P167,0,AX$13),15-13*ORÇAMENTO!$AF$7)/$H167*OFFSET(ORÇAMENTO!$X$15,ROW(AX167)-ROW(AX$15),0),
ROUND(ROUND(OFFSET($P167,0,AX$13),15-13*ORÇAMENTO!$AF$7)*OFFSET(ORÇAMENTO!$W$15,ROW(AX167)-ROW(AX$15),0),15-13*ORÇAMENTO!$AF$11)),0)</f>
        <v>0</v>
      </c>
      <c r="AY167" s="545">
        <f ca="1">IF(AND($D167="Serviço",AY$12&lt;&gt;0,$H167&gt;0,OR(AUTOEVENTO&lt;&gt;"manual",$M167&lt;&gt;1)),
IF(Import.TipoArredondamento&lt;&gt;"TransfereGOV",
ROUND(OFFSET($P167,0,AY$13),15-13*ORÇAMENTO!$AF$7)/$H167*OFFSET(ORÇAMENTO!$X$15,ROW(AY167)-ROW(AY$15),0),
ROUND(ROUND(OFFSET($P167,0,AY$13),15-13*ORÇAMENTO!$AF$7)*OFFSET(ORÇAMENTO!$W$15,ROW(AY167)-ROW(AY$15),0),15-13*ORÇAMENTO!$AF$11)),0)</f>
        <v>0</v>
      </c>
      <c r="AZ167" s="545">
        <f ca="1">IF(AND($D167="Serviço",AZ$12&lt;&gt;0,$H167&gt;0,OR(AUTOEVENTO&lt;&gt;"manual",$M167&lt;&gt;1)),
IF(Import.TipoArredondamento&lt;&gt;"TransfereGOV",
ROUND(OFFSET($P167,0,AZ$13),15-13*ORÇAMENTO!$AF$7)/$H167*OFFSET(ORÇAMENTO!$X$15,ROW(AZ167)-ROW(AZ$15),0),
ROUND(ROUND(OFFSET($P167,0,AZ$13),15-13*ORÇAMENTO!$AF$7)*OFFSET(ORÇAMENTO!$W$15,ROW(AZ167)-ROW(AZ$15),0),15-13*ORÇAMENTO!$AF$11)),0)</f>
        <v>0</v>
      </c>
      <c r="BA167" s="546">
        <f ca="1">IF(AND($D167="Serviço",BA$12&lt;&gt;0,$H167&gt;0,OR(AUTOEVENTO&lt;&gt;"manual",$M167&lt;&gt;1)),
IF(Import.TipoArredondamento&lt;&gt;"TransfereGOV",
ROUND(OFFSET($P167,0,BA$13),15-13*ORÇAMENTO!$AF$7)/$H167*OFFSET(ORÇAMENTO!$X$15,ROW(BA167)-ROW(BA$15),0),
ROUND(ROUND(OFFSET($P167,0,BA$13),15-13*ORÇAMENTO!$AF$7)*OFFSET(ORÇAMENTO!$W$15,ROW(BA167)-ROW(BA$15),0),15-13*ORÇAMENTO!$AF$11)),0)</f>
        <v>0</v>
      </c>
      <c r="BC167" s="181">
        <f ca="1">IF($D167&lt;&gt;"Serviço",0,IF(AND(AUTOEVENTO="Manual",$M167=1),0,IF(OFFSET(CRONOPLE!$F$14,$M167,BC$13)="",10^12,OFFSET(CRONOPLE!$F$14,$M167,BC$13))))</f>
        <v>6</v>
      </c>
      <c r="BD167" s="181">
        <f ca="1">IF($D167&lt;&gt;"Serviço",0,IF(AND(AUTOEVENTO="Manual",$M167=1),0,IF(OFFSET(CRONOPLE!$F$14,$M167,BD$13)="",10^12,OFFSET(CRONOPLE!$F$14,$M167,BD$13))))</f>
        <v>1000000000000</v>
      </c>
      <c r="BE167" s="181">
        <f ca="1">IF($D167&lt;&gt;"Serviço",0,IF(AND(AUTOEVENTO="Manual",$M167=1),0,IF(OFFSET(CRONOPLE!$F$14,$M167,BE$13)="",10^12,OFFSET(CRONOPLE!$F$14,$M167,BE$13))))</f>
        <v>1000000000000</v>
      </c>
      <c r="BF167" s="181">
        <f ca="1">IF($D167&lt;&gt;"Serviço",0,IF(AND(AUTOEVENTO="Manual",$M167=1),0,IF(OFFSET(CRONOPLE!$F$14,$M167,BF$13)="",10^12,OFFSET(CRONOPLE!$F$14,$M167,BF$13))))</f>
        <v>1000000000000</v>
      </c>
      <c r="BG167" s="181">
        <f ca="1">IF($D167&lt;&gt;"Serviço",0,IF(AND(AUTOEVENTO="Manual",$M167=1),0,IF(OFFSET(CRONOPLE!$F$14,$M167,BG$13)="",10^12,OFFSET(CRONOPLE!$F$14,$M167,BG$13))))</f>
        <v>1000000000000</v>
      </c>
      <c r="BH167" s="181">
        <f ca="1">IF($D167&lt;&gt;"Serviço",0,IF(AND(AUTOEVENTO="Manual",$M167=1),0,IF(OFFSET(CRONOPLE!$F$14,$M167,BH$13)="",10^12,OFFSET(CRONOPLE!$F$14,$M167,BH$13))))</f>
        <v>1000000000000</v>
      </c>
      <c r="BI167" s="181">
        <f ca="1">IF($D167&lt;&gt;"Serviço",0,IF(AND(AUTOEVENTO="Manual",$M167=1),0,IF(OFFSET(CRONOPLE!$F$14,$M167,BI$13)="",10^12,OFFSET(CRONOPLE!$F$14,$M167,BI$13))))</f>
        <v>1000000000000</v>
      </c>
      <c r="BJ167" s="181">
        <f ca="1">IF($D167&lt;&gt;"Serviço",0,IF(AND(AUTOEVENTO="Manual",$M167=1),0,IF(OFFSET(CRONOPLE!$F$14,$M167,BJ$13)="",10^12,OFFSET(CRONOPLE!$F$14,$M167,BJ$13))))</f>
        <v>1000000000000</v>
      </c>
      <c r="BK167" s="181">
        <f ca="1">IF($D167&lt;&gt;"Serviço",0,IF(AND(AUTOEVENTO="Manual",$M167=1),0,IF(OFFSET(CRONOPLE!$F$14,$M167,BK$13)="",10^12,OFFSET(CRONOPLE!$F$14,$M167,BK$13))))</f>
        <v>1000000000000</v>
      </c>
      <c r="BL167" s="181">
        <f ca="1">IF($D167&lt;&gt;"Serviço",0,IF(AND(AUTOEVENTO="Manual",$M167=1),0,IF(OFFSET(CRONOPLE!$F$14,$M167,BL$13)="",10^12,OFFSET(CRONOPLE!$F$14,$M167,BL$13))))</f>
        <v>1000000000000</v>
      </c>
      <c r="BM167" s="181">
        <f ca="1">IF($D167&lt;&gt;"Serviço",0,IF(AND(AUTOEVENTO="Manual",$M167=1),0,IF(OFFSET(CRONOPLE!$F$14,$M167,BM$13)="",10^12,OFFSET(CRONOPLE!$F$14,$M167,BM$13))))</f>
        <v>1000000000000</v>
      </c>
      <c r="BN167" s="181">
        <f ca="1">IF($D167&lt;&gt;"Serviço",0,IF(AND(AUTOEVENTO="Manual",$M167=1),0,IF(OFFSET(CRONOPLE!$F$14,$M167,BN$13)="",10^12,OFFSET(CRONOPLE!$F$14,$M167,BN$13))))</f>
        <v>1000000000000</v>
      </c>
      <c r="BO167" s="181">
        <f ca="1">IF($D167&lt;&gt;"Serviço",0,IF(AND(AUTOEVENTO="Manual",$M167=1),0,IF(OFFSET(CRONOPLE!$F$14,$M167,BO$13)="",10^12,OFFSET(CRONOPLE!$F$14,$M167,BO$13))))</f>
        <v>1000000000000</v>
      </c>
      <c r="BP167" s="181">
        <f ca="1">IF($D167&lt;&gt;"Serviço",0,IF(AND(AUTOEVENTO="Manual",$M167=1),0,IF(OFFSET(CRONOPLE!$F$14,$M167,BP$13)="",10^12,OFFSET(CRONOPLE!$F$14,$M167,BP$13))))</f>
        <v>1000000000000</v>
      </c>
      <c r="BQ167" s="181">
        <f ca="1">IF($D167&lt;&gt;"Serviço",0,IF(AND(AUTOEVENTO="Manual",$M167=1),0,IF(OFFSET(CRONOPLE!$F$14,$M167,BQ$13)="",10^12,OFFSET(CRONOPLE!$F$14,$M167,BQ$13))))</f>
        <v>1000000000000</v>
      </c>
      <c r="BR167" s="181">
        <f ca="1">IF($D167&lt;&gt;"Serviço",0,IF(AND(AUTOEVENTO="Manual",$M167=1),0,IF(OFFSET(CRONOPLE!$F$14,$M167,BR$13)="",10^12,OFFSET(CRONOPLE!$F$14,$M167,BR$13))))</f>
        <v>1000000000000</v>
      </c>
      <c r="BS167" s="181">
        <f ca="1">IF($D167&lt;&gt;"Serviço",0,IF(AND(AUTOEVENTO="Manual",$M167=1),0,IF(OFFSET(CRONOPLE!$F$14,$M167,BS$13)="",10^12,OFFSET(CRONOPLE!$F$14,$M167,BS$13))))</f>
        <v>1000000000000</v>
      </c>
      <c r="BT167" s="181">
        <f ca="1">IF($D167&lt;&gt;"Serviço",0,IF(AND(AUTOEVENTO="Manual",$M167=1),0,IF(OFFSET(CRONOPLE!$F$14,$M167,BT$13)="",10^12,OFFSET(CRONOPLE!$F$14,$M167,BT$13))))</f>
        <v>1000000000000</v>
      </c>
      <c r="BV167" s="182">
        <f ca="1">IF($D167&lt;&gt;"Serviço",0,IF(OR(AND(AUTOEVENTO="Manual",$M167=1),$M167&gt;(ROW(PLE.lastrow)-ROW(PLE.firstrow))),0,IF(OFFSET(PLE!$G$14,$M167,BV$13)="",10^12,OFFSET(PLE!$G$14,$M167,BV$13))))</f>
        <v>1000000000000</v>
      </c>
      <c r="BW167" s="182">
        <f ca="1">IF($D167&lt;&gt;"Serviço",0,IF(OR(AND(AUTOEVENTO="Manual",$M167=1),$M167&gt;(ROW(PLE.lastrow)-ROW(PLE.firstrow))),0,IF(OFFSET(PLE!$G$14,$M167,BW$13)="",10^12,OFFSET(PLE!$G$14,$M167,BW$13))))</f>
        <v>1000000000000</v>
      </c>
      <c r="BX167" s="182">
        <f ca="1">IF($D167&lt;&gt;"Serviço",0,IF(OR(AND(AUTOEVENTO="Manual",$M167=1),$M167&gt;(ROW(PLE.lastrow)-ROW(PLE.firstrow))),0,IF(OFFSET(PLE!$G$14,$M167,BX$13)="",10^12,OFFSET(PLE!$G$14,$M167,BX$13))))</f>
        <v>1000000000000</v>
      </c>
      <c r="BY167" s="182">
        <f ca="1">IF($D167&lt;&gt;"Serviço",0,IF(OR(AND(AUTOEVENTO="Manual",$M167=1),$M167&gt;(ROW(PLE.lastrow)-ROW(PLE.firstrow))),0,IF(OFFSET(PLE!$G$14,$M167,BY$13)="",10^12,OFFSET(PLE!$G$14,$M167,BY$13))))</f>
        <v>1000000000000</v>
      </c>
      <c r="BZ167" s="182">
        <f ca="1">IF($D167&lt;&gt;"Serviço",0,IF(OR(AND(AUTOEVENTO="Manual",$M167=1),$M167&gt;(ROW(PLE.lastrow)-ROW(PLE.firstrow))),0,IF(OFFSET(PLE!$G$14,$M167,BZ$13)="",10^12,OFFSET(PLE!$G$14,$M167,BZ$13))))</f>
        <v>1000000000000</v>
      </c>
      <c r="CA167" s="182">
        <f ca="1">IF($D167&lt;&gt;"Serviço",0,IF(OR(AND(AUTOEVENTO="Manual",$M167=1),$M167&gt;(ROW(PLE.lastrow)-ROW(PLE.firstrow))),0,IF(OFFSET(PLE!$G$14,$M167,CA$13)="",10^12,OFFSET(PLE!$G$14,$M167,CA$13))))</f>
        <v>1000000000000</v>
      </c>
      <c r="CB167" s="182">
        <f ca="1">IF($D167&lt;&gt;"Serviço",0,IF(OR(AND(AUTOEVENTO="Manual",$M167=1),$M167&gt;(ROW(PLE.lastrow)-ROW(PLE.firstrow))),0,IF(OFFSET(PLE!$G$14,$M167,CB$13)="",10^12,OFFSET(PLE!$G$14,$M167,CB$13))))</f>
        <v>1000000000000</v>
      </c>
      <c r="CC167" s="182">
        <f ca="1">IF($D167&lt;&gt;"Serviço",0,IF(OR(AND(AUTOEVENTO="Manual",$M167=1),$M167&gt;(ROW(PLE.lastrow)-ROW(PLE.firstrow))),0,IF(OFFSET(PLE!$G$14,$M167,CC$13)="",10^12,OFFSET(PLE!$G$14,$M167,CC$13))))</f>
        <v>1000000000000</v>
      </c>
      <c r="CD167" s="182">
        <f ca="1">IF($D167&lt;&gt;"Serviço",0,IF(OR(AND(AUTOEVENTO="Manual",$M167=1),$M167&gt;(ROW(PLE.lastrow)-ROW(PLE.firstrow))),0,IF(OFFSET(PLE!$G$14,$M167,CD$13)="",10^12,OFFSET(PLE!$G$14,$M167,CD$13))))</f>
        <v>1000000000000</v>
      </c>
      <c r="CE167" s="182">
        <f ca="1">IF($D167&lt;&gt;"Serviço",0,IF(OR(AND(AUTOEVENTO="Manual",$M167=1),$M167&gt;(ROW(PLE.lastrow)-ROW(PLE.firstrow))),0,IF(OFFSET(PLE!$G$14,$M167,CE$13)="",10^12,OFFSET(PLE!$G$14,$M167,CE$13))))</f>
        <v>1000000000000</v>
      </c>
      <c r="CF167" s="182">
        <f ca="1">IF($D167&lt;&gt;"Serviço",0,IF(OR(AND(AUTOEVENTO="Manual",$M167=1),$M167&gt;(ROW(PLE.lastrow)-ROW(PLE.firstrow))),0,IF(OFFSET(PLE!$G$14,$M167,CF$13)="",10^12,OFFSET(PLE!$G$14,$M167,CF$13))))</f>
        <v>1000000000000</v>
      </c>
      <c r="CG167" s="182">
        <f ca="1">IF($D167&lt;&gt;"Serviço",0,IF(OR(AND(AUTOEVENTO="Manual",$M167=1),$M167&gt;(ROW(PLE.lastrow)-ROW(PLE.firstrow))),0,IF(OFFSET(PLE!$G$14,$M167,CG$13)="",10^12,OFFSET(PLE!$G$14,$M167,CG$13))))</f>
        <v>1000000000000</v>
      </c>
      <c r="CH167" s="182">
        <f ca="1">IF($D167&lt;&gt;"Serviço",0,IF(OR(AND(AUTOEVENTO="Manual",$M167=1),$M167&gt;(ROW(PLE.lastrow)-ROW(PLE.firstrow))),0,IF(OFFSET(PLE!$G$14,$M167,CH$13)="",10^12,OFFSET(PLE!$G$14,$M167,CH$13))))</f>
        <v>1000000000000</v>
      </c>
      <c r="CI167" s="182">
        <f ca="1">IF($D167&lt;&gt;"Serviço",0,IF(OR(AND(AUTOEVENTO="Manual",$M167=1),$M167&gt;(ROW(PLE.lastrow)-ROW(PLE.firstrow))),0,IF(OFFSET(PLE!$G$14,$M167,CI$13)="",10^12,OFFSET(PLE!$G$14,$M167,CI$13))))</f>
        <v>1000000000000</v>
      </c>
      <c r="CJ167" s="182">
        <f ca="1">IF($D167&lt;&gt;"Serviço",0,IF(OR(AND(AUTOEVENTO="Manual",$M167=1),$M167&gt;(ROW(PLE.lastrow)-ROW(PLE.firstrow))),0,IF(OFFSET(PLE!$G$14,$M167,CJ$13)="",10^12,OFFSET(PLE!$G$14,$M167,CJ$13))))</f>
        <v>1000000000000</v>
      </c>
      <c r="CK167" s="182">
        <f ca="1">IF($D167&lt;&gt;"Serviço",0,IF(OR(AND(AUTOEVENTO="Manual",$M167=1),$M167&gt;(ROW(PLE.lastrow)-ROW(PLE.firstrow))),0,IF(OFFSET(PLE!$G$14,$M167,CK$13)="",10^12,OFFSET(PLE!$G$14,$M167,CK$13))))</f>
        <v>1000000000000</v>
      </c>
      <c r="CL167" s="182">
        <f ca="1">IF($D167&lt;&gt;"Serviço",0,IF(OR(AND(AUTOEVENTO="Manual",$M167=1),$M167&gt;(ROW(PLE.lastrow)-ROW(PLE.firstrow))),0,IF(OFFSET(PLE!$G$14,$M167,CL$13)="",10^12,OFFSET(PLE!$G$14,$M167,CL$13))))</f>
        <v>1000000000000</v>
      </c>
      <c r="CM167" s="182">
        <f ca="1">IF($D167&lt;&gt;"Serviço",0,IF(OR(AND(AUTOEVENTO="Manual",$M167=1),$M167&gt;(ROW(PLE.lastrow)-ROW(PLE.firstrow))),0,IF(OFFSET(PLE!$G$14,$M167,CM$13)="",10^12,OFFSET(PLE!$G$14,$M167,CM$13))))</f>
        <v>1000000000000</v>
      </c>
    </row>
    <row r="168" spans="1:91" ht="38.25" x14ac:dyDescent="0.2">
      <c r="A168" s="7" t="str">
        <f t="shared" ca="1" si="11"/>
        <v>140</v>
      </c>
      <c r="B168" s="7" t="str">
        <f ca="1">OFFSET(ORÇAMENTO!C$15,ROW(B168)-ROW(B$15),0)</f>
        <v>S</v>
      </c>
      <c r="C168" s="7" t="str">
        <f ca="1">OFFSET(ORÇAMENTO!L$15,ROW(C168)-ROW(C$15),0)</f>
        <v/>
      </c>
      <c r="D168" s="118" t="str">
        <f ca="1">OFFSET(ORÇAMENTO!N$15,ROW(D168)-ROW(D$15),0)</f>
        <v>Serviço</v>
      </c>
      <c r="E168" s="119" t="str">
        <f ca="1">OFFSET(ORÇAMENTO!O$15,ROW(E168)-ROW(E$15),0)</f>
        <v>-</v>
      </c>
      <c r="F168" s="172" t="str">
        <f ca="1">OFFSET(ORÇAMENTO!R$15,ROW(F168)-ROW(F$15),0)</f>
        <v>(abra o arquivo 'Referência 06-2024.xlsm)</v>
      </c>
      <c r="G168" s="173" t="str">
        <f ca="1">IF($D168&lt;&gt;"Serviço","",OFFSET(ORÇAMENTO!S$15,ROW(G168)-ROW(G$15),0))</f>
        <v>-</v>
      </c>
      <c r="H168" s="124">
        <f ca="1">IF($D168&lt;&gt;"Serviço",0,IF(ACOMPANHAMENTO="BM",ROUND(OFFSET(ORÇAMENTO!AJ$15,ROW(H168)-ROW(H$15),0),15-13*ORÇAMENTO!$AF$7),SUMPRODUCT(($Q$12:$AI$12&lt;&gt;"")*ROUND($Q168:$AI168,15-13*ORÇAMENTO!$AF$7))))</f>
        <v>16.12</v>
      </c>
      <c r="I168" s="561" t="s">
        <v>1107</v>
      </c>
      <c r="K168" s="174"/>
      <c r="L168" s="175" t="s">
        <v>255</v>
      </c>
      <c r="M168" s="176">
        <f ca="1">IF($D168&lt;&gt;"Serviço","",IF(AUTOEVENTO="manual",$A168,IF(ISERROR(MATCH($A168,$A$15:OFFSET($A168,-1,0),0)),MAX($M$15:OFFSET(M168,-1,0))+1,INDEX($M$15:OFFSET(M168,-1,0),MATCH($A168,$A$15:OFFSET($A168,-1,0),0)))))</f>
        <v>24</v>
      </c>
      <c r="N168" s="177" t="str">
        <f ca="1">IF($D168&lt;&gt;"Serviço","",IF(AUTOEVENTO="Manual",IF($A168=0,"&lt;-- defina o número do agrupador",OFFSET(EVENTOS!$D$14,$A168,0)),OFFSET($F$15,$A168,0)))</f>
        <v>ESQUADRIAS - GERAL</v>
      </c>
      <c r="O168" s="178"/>
      <c r="Q168" s="178">
        <v>16.12</v>
      </c>
      <c r="R168" s="179"/>
      <c r="S168" s="179"/>
      <c r="T168" s="179"/>
      <c r="U168" s="179"/>
      <c r="V168" s="179"/>
      <c r="W168" s="179"/>
      <c r="X168" s="179"/>
      <c r="Y168" s="179"/>
      <c r="Z168" s="180"/>
      <c r="AA168" s="179"/>
      <c r="AB168" s="179"/>
      <c r="AC168" s="179"/>
      <c r="AD168" s="179"/>
      <c r="AE168" s="179"/>
      <c r="AF168" s="179"/>
      <c r="AG168" s="179"/>
      <c r="AH168" s="180"/>
      <c r="AJ168" s="544">
        <f ca="1">IF(AND($D168="Serviço",AJ$12&lt;&gt;0,$H168&gt;0,OR(AUTOEVENTO&lt;&gt;"manual",$M168&lt;&gt;1)),
IF(Import.TipoArredondamento&lt;&gt;"TransfereGOV",
ROUND(OFFSET($P168,0,AJ$13),15-13*ORÇAMENTO!$AF$7)/$H168*OFFSET(ORÇAMENTO!$X$15,ROW(AJ168)-ROW(AJ$15),0),
ROUND(ROUND(OFFSET($P168,0,AJ$13),15-13*ORÇAMENTO!$AF$7)*OFFSET(ORÇAMENTO!$W$15,ROW(AJ168)-ROW(AJ$15),0),15-13*ORÇAMENTO!$AF$11)),0)</f>
        <v>0</v>
      </c>
      <c r="AK168" s="545">
        <f ca="1">IF(AND($D168="Serviço",AK$12&lt;&gt;0,$H168&gt;0,OR(AUTOEVENTO&lt;&gt;"manual",$M168&lt;&gt;1)),
IF(Import.TipoArredondamento&lt;&gt;"TransfereGOV",
ROUND(OFFSET($P168,0,AK$13),15-13*ORÇAMENTO!$AF$7)/$H168*OFFSET(ORÇAMENTO!$X$15,ROW(AK168)-ROW(AK$15),0),
ROUND(ROUND(OFFSET($P168,0,AK$13),15-13*ORÇAMENTO!$AF$7)*OFFSET(ORÇAMENTO!$W$15,ROW(AK168)-ROW(AK$15),0),15-13*ORÇAMENTO!$AF$11)),0)</f>
        <v>0</v>
      </c>
      <c r="AL168" s="545">
        <f ca="1">IF(AND($D168="Serviço",AL$12&lt;&gt;0,$H168&gt;0,OR(AUTOEVENTO&lt;&gt;"manual",$M168&lt;&gt;1)),
IF(Import.TipoArredondamento&lt;&gt;"TransfereGOV",
ROUND(OFFSET($P168,0,AL$13),15-13*ORÇAMENTO!$AF$7)/$H168*OFFSET(ORÇAMENTO!$X$15,ROW(AL168)-ROW(AL$15),0),
ROUND(ROUND(OFFSET($P168,0,AL$13),15-13*ORÇAMENTO!$AF$7)*OFFSET(ORÇAMENTO!$W$15,ROW(AL168)-ROW(AL$15),0),15-13*ORÇAMENTO!$AF$11)),0)</f>
        <v>0</v>
      </c>
      <c r="AM168" s="545">
        <f ca="1">IF(AND($D168="Serviço",AM$12&lt;&gt;0,$H168&gt;0,OR(AUTOEVENTO&lt;&gt;"manual",$M168&lt;&gt;1)),
IF(Import.TipoArredondamento&lt;&gt;"TransfereGOV",
ROUND(OFFSET($P168,0,AM$13),15-13*ORÇAMENTO!$AF$7)/$H168*OFFSET(ORÇAMENTO!$X$15,ROW(AM168)-ROW(AM$15),0),
ROUND(ROUND(OFFSET($P168,0,AM$13),15-13*ORÇAMENTO!$AF$7)*OFFSET(ORÇAMENTO!$W$15,ROW(AM168)-ROW(AM$15),0),15-13*ORÇAMENTO!$AF$11)),0)</f>
        <v>0</v>
      </c>
      <c r="AN168" s="545">
        <f ca="1">IF(AND($D168="Serviço",AN$12&lt;&gt;0,$H168&gt;0,OR(AUTOEVENTO&lt;&gt;"manual",$M168&lt;&gt;1)),
IF(Import.TipoArredondamento&lt;&gt;"TransfereGOV",
ROUND(OFFSET($P168,0,AN$13),15-13*ORÇAMENTO!$AF$7)/$H168*OFFSET(ORÇAMENTO!$X$15,ROW(AN168)-ROW(AN$15),0),
ROUND(ROUND(OFFSET($P168,0,AN$13),15-13*ORÇAMENTO!$AF$7)*OFFSET(ORÇAMENTO!$W$15,ROW(AN168)-ROW(AN$15),0),15-13*ORÇAMENTO!$AF$11)),0)</f>
        <v>0</v>
      </c>
      <c r="AO168" s="545">
        <f ca="1">IF(AND($D168="Serviço",AO$12&lt;&gt;0,$H168&gt;0,OR(AUTOEVENTO&lt;&gt;"manual",$M168&lt;&gt;1)),
IF(Import.TipoArredondamento&lt;&gt;"TransfereGOV",
ROUND(OFFSET($P168,0,AO$13),15-13*ORÇAMENTO!$AF$7)/$H168*OFFSET(ORÇAMENTO!$X$15,ROW(AO168)-ROW(AO$15),0),
ROUND(ROUND(OFFSET($P168,0,AO$13),15-13*ORÇAMENTO!$AF$7)*OFFSET(ORÇAMENTO!$W$15,ROW(AO168)-ROW(AO$15),0),15-13*ORÇAMENTO!$AF$11)),0)</f>
        <v>0</v>
      </c>
      <c r="AP168" s="545">
        <f ca="1">IF(AND($D168="Serviço",AP$12&lt;&gt;0,$H168&gt;0,OR(AUTOEVENTO&lt;&gt;"manual",$M168&lt;&gt;1)),
IF(Import.TipoArredondamento&lt;&gt;"TransfereGOV",
ROUND(OFFSET($P168,0,AP$13),15-13*ORÇAMENTO!$AF$7)/$H168*OFFSET(ORÇAMENTO!$X$15,ROW(AP168)-ROW(AP$15),0),
ROUND(ROUND(OFFSET($P168,0,AP$13),15-13*ORÇAMENTO!$AF$7)*OFFSET(ORÇAMENTO!$W$15,ROW(AP168)-ROW(AP$15),0),15-13*ORÇAMENTO!$AF$11)),0)</f>
        <v>0</v>
      </c>
      <c r="AQ168" s="545">
        <f ca="1">IF(AND($D168="Serviço",AQ$12&lt;&gt;0,$H168&gt;0,OR(AUTOEVENTO&lt;&gt;"manual",$M168&lt;&gt;1)),
IF(Import.TipoArredondamento&lt;&gt;"TransfereGOV",
ROUND(OFFSET($P168,0,AQ$13),15-13*ORÇAMENTO!$AF$7)/$H168*OFFSET(ORÇAMENTO!$X$15,ROW(AQ168)-ROW(AQ$15),0),
ROUND(ROUND(OFFSET($P168,0,AQ$13),15-13*ORÇAMENTO!$AF$7)*OFFSET(ORÇAMENTO!$W$15,ROW(AQ168)-ROW(AQ$15),0),15-13*ORÇAMENTO!$AF$11)),0)</f>
        <v>0</v>
      </c>
      <c r="AR168" s="545">
        <f ca="1">IF(AND($D168="Serviço",AR$12&lt;&gt;0,$H168&gt;0,OR(AUTOEVENTO&lt;&gt;"manual",$M168&lt;&gt;1)),
IF(Import.TipoArredondamento&lt;&gt;"TransfereGOV",
ROUND(OFFSET($P168,0,AR$13),15-13*ORÇAMENTO!$AF$7)/$H168*OFFSET(ORÇAMENTO!$X$15,ROW(AR168)-ROW(AR$15),0),
ROUND(ROUND(OFFSET($P168,0,AR$13),15-13*ORÇAMENTO!$AF$7)*OFFSET(ORÇAMENTO!$W$15,ROW(AR168)-ROW(AR$15),0),15-13*ORÇAMENTO!$AF$11)),0)</f>
        <v>0</v>
      </c>
      <c r="AS168" s="546">
        <f ca="1">IF(AND($D168="Serviço",AS$12&lt;&gt;0,$H168&gt;0,OR(AUTOEVENTO&lt;&gt;"manual",$M168&lt;&gt;1)),
IF(Import.TipoArredondamento&lt;&gt;"TransfereGOV",
ROUND(OFFSET($P168,0,AS$13),15-13*ORÇAMENTO!$AF$7)/$H168*OFFSET(ORÇAMENTO!$X$15,ROW(AS168)-ROW(AS$15),0),
ROUND(ROUND(OFFSET($P168,0,AS$13),15-13*ORÇAMENTO!$AF$7)*OFFSET(ORÇAMENTO!$W$15,ROW(AS168)-ROW(AS$15),0),15-13*ORÇAMENTO!$AF$11)),0)</f>
        <v>0</v>
      </c>
      <c r="AT168" s="545">
        <f ca="1">IF(AND($D168="Serviço",AT$12&lt;&gt;0,$H168&gt;0,OR(AUTOEVENTO&lt;&gt;"manual",$M168&lt;&gt;1)),
IF(Import.TipoArredondamento&lt;&gt;"TransfereGOV",
ROUND(OFFSET($P168,0,AT$13),15-13*ORÇAMENTO!$AF$7)/$H168*OFFSET(ORÇAMENTO!$X$15,ROW(AT168)-ROW(AT$15),0),
ROUND(ROUND(OFFSET($P168,0,AT$13),15-13*ORÇAMENTO!$AF$7)*OFFSET(ORÇAMENTO!$W$15,ROW(AT168)-ROW(AT$15),0),15-13*ORÇAMENTO!$AF$11)),0)</f>
        <v>0</v>
      </c>
      <c r="AU168" s="545">
        <f ca="1">IF(AND($D168="Serviço",AU$12&lt;&gt;0,$H168&gt;0,OR(AUTOEVENTO&lt;&gt;"manual",$M168&lt;&gt;1)),
IF(Import.TipoArredondamento&lt;&gt;"TransfereGOV",
ROUND(OFFSET($P168,0,AU$13),15-13*ORÇAMENTO!$AF$7)/$H168*OFFSET(ORÇAMENTO!$X$15,ROW(AU168)-ROW(AU$15),0),
ROUND(ROUND(OFFSET($P168,0,AU$13),15-13*ORÇAMENTO!$AF$7)*OFFSET(ORÇAMENTO!$W$15,ROW(AU168)-ROW(AU$15),0),15-13*ORÇAMENTO!$AF$11)),0)</f>
        <v>0</v>
      </c>
      <c r="AV168" s="545">
        <f ca="1">IF(AND($D168="Serviço",AV$12&lt;&gt;0,$H168&gt;0,OR(AUTOEVENTO&lt;&gt;"manual",$M168&lt;&gt;1)),
IF(Import.TipoArredondamento&lt;&gt;"TransfereGOV",
ROUND(OFFSET($P168,0,AV$13),15-13*ORÇAMENTO!$AF$7)/$H168*OFFSET(ORÇAMENTO!$X$15,ROW(AV168)-ROW(AV$15),0),
ROUND(ROUND(OFFSET($P168,0,AV$13),15-13*ORÇAMENTO!$AF$7)*OFFSET(ORÇAMENTO!$W$15,ROW(AV168)-ROW(AV$15),0),15-13*ORÇAMENTO!$AF$11)),0)</f>
        <v>0</v>
      </c>
      <c r="AW168" s="545">
        <f ca="1">IF(AND($D168="Serviço",AW$12&lt;&gt;0,$H168&gt;0,OR(AUTOEVENTO&lt;&gt;"manual",$M168&lt;&gt;1)),
IF(Import.TipoArredondamento&lt;&gt;"TransfereGOV",
ROUND(OFFSET($P168,0,AW$13),15-13*ORÇAMENTO!$AF$7)/$H168*OFFSET(ORÇAMENTO!$X$15,ROW(AW168)-ROW(AW$15),0),
ROUND(ROUND(OFFSET($P168,0,AW$13),15-13*ORÇAMENTO!$AF$7)*OFFSET(ORÇAMENTO!$W$15,ROW(AW168)-ROW(AW$15),0),15-13*ORÇAMENTO!$AF$11)),0)</f>
        <v>0</v>
      </c>
      <c r="AX168" s="545">
        <f ca="1">IF(AND($D168="Serviço",AX$12&lt;&gt;0,$H168&gt;0,OR(AUTOEVENTO&lt;&gt;"manual",$M168&lt;&gt;1)),
IF(Import.TipoArredondamento&lt;&gt;"TransfereGOV",
ROUND(OFFSET($P168,0,AX$13),15-13*ORÇAMENTO!$AF$7)/$H168*OFFSET(ORÇAMENTO!$X$15,ROW(AX168)-ROW(AX$15),0),
ROUND(ROUND(OFFSET($P168,0,AX$13),15-13*ORÇAMENTO!$AF$7)*OFFSET(ORÇAMENTO!$W$15,ROW(AX168)-ROW(AX$15),0),15-13*ORÇAMENTO!$AF$11)),0)</f>
        <v>0</v>
      </c>
      <c r="AY168" s="545">
        <f ca="1">IF(AND($D168="Serviço",AY$12&lt;&gt;0,$H168&gt;0,OR(AUTOEVENTO&lt;&gt;"manual",$M168&lt;&gt;1)),
IF(Import.TipoArredondamento&lt;&gt;"TransfereGOV",
ROUND(OFFSET($P168,0,AY$13),15-13*ORÇAMENTO!$AF$7)/$H168*OFFSET(ORÇAMENTO!$X$15,ROW(AY168)-ROW(AY$15),0),
ROUND(ROUND(OFFSET($P168,0,AY$13),15-13*ORÇAMENTO!$AF$7)*OFFSET(ORÇAMENTO!$W$15,ROW(AY168)-ROW(AY$15),0),15-13*ORÇAMENTO!$AF$11)),0)</f>
        <v>0</v>
      </c>
      <c r="AZ168" s="545">
        <f ca="1">IF(AND($D168="Serviço",AZ$12&lt;&gt;0,$H168&gt;0,OR(AUTOEVENTO&lt;&gt;"manual",$M168&lt;&gt;1)),
IF(Import.TipoArredondamento&lt;&gt;"TransfereGOV",
ROUND(OFFSET($P168,0,AZ$13),15-13*ORÇAMENTO!$AF$7)/$H168*OFFSET(ORÇAMENTO!$X$15,ROW(AZ168)-ROW(AZ$15),0),
ROUND(ROUND(OFFSET($P168,0,AZ$13),15-13*ORÇAMENTO!$AF$7)*OFFSET(ORÇAMENTO!$W$15,ROW(AZ168)-ROW(AZ$15),0),15-13*ORÇAMENTO!$AF$11)),0)</f>
        <v>0</v>
      </c>
      <c r="BA168" s="546">
        <f ca="1">IF(AND($D168="Serviço",BA$12&lt;&gt;0,$H168&gt;0,OR(AUTOEVENTO&lt;&gt;"manual",$M168&lt;&gt;1)),
IF(Import.TipoArredondamento&lt;&gt;"TransfereGOV",
ROUND(OFFSET($P168,0,BA$13),15-13*ORÇAMENTO!$AF$7)/$H168*OFFSET(ORÇAMENTO!$X$15,ROW(BA168)-ROW(BA$15),0),
ROUND(ROUND(OFFSET($P168,0,BA$13),15-13*ORÇAMENTO!$AF$7)*OFFSET(ORÇAMENTO!$W$15,ROW(BA168)-ROW(BA$15),0),15-13*ORÇAMENTO!$AF$11)),0)</f>
        <v>0</v>
      </c>
      <c r="BC168" s="181">
        <f ca="1">IF($D168&lt;&gt;"Serviço",0,IF(AND(AUTOEVENTO="Manual",$M168=1),0,IF(OFFSET(CRONOPLE!$F$14,$M168,BC$13)="",10^12,OFFSET(CRONOPLE!$F$14,$M168,BC$13))))</f>
        <v>6</v>
      </c>
      <c r="BD168" s="181">
        <f ca="1">IF($D168&lt;&gt;"Serviço",0,IF(AND(AUTOEVENTO="Manual",$M168=1),0,IF(OFFSET(CRONOPLE!$F$14,$M168,BD$13)="",10^12,OFFSET(CRONOPLE!$F$14,$M168,BD$13))))</f>
        <v>1000000000000</v>
      </c>
      <c r="BE168" s="181">
        <f ca="1">IF($D168&lt;&gt;"Serviço",0,IF(AND(AUTOEVENTO="Manual",$M168=1),0,IF(OFFSET(CRONOPLE!$F$14,$M168,BE$13)="",10^12,OFFSET(CRONOPLE!$F$14,$M168,BE$13))))</f>
        <v>1000000000000</v>
      </c>
      <c r="BF168" s="181">
        <f ca="1">IF($D168&lt;&gt;"Serviço",0,IF(AND(AUTOEVENTO="Manual",$M168=1),0,IF(OFFSET(CRONOPLE!$F$14,$M168,BF$13)="",10^12,OFFSET(CRONOPLE!$F$14,$M168,BF$13))))</f>
        <v>1000000000000</v>
      </c>
      <c r="BG168" s="181">
        <f ca="1">IF($D168&lt;&gt;"Serviço",0,IF(AND(AUTOEVENTO="Manual",$M168=1),0,IF(OFFSET(CRONOPLE!$F$14,$M168,BG$13)="",10^12,OFFSET(CRONOPLE!$F$14,$M168,BG$13))))</f>
        <v>1000000000000</v>
      </c>
      <c r="BH168" s="181">
        <f ca="1">IF($D168&lt;&gt;"Serviço",0,IF(AND(AUTOEVENTO="Manual",$M168=1),0,IF(OFFSET(CRONOPLE!$F$14,$M168,BH$13)="",10^12,OFFSET(CRONOPLE!$F$14,$M168,BH$13))))</f>
        <v>1000000000000</v>
      </c>
      <c r="BI168" s="181">
        <f ca="1">IF($D168&lt;&gt;"Serviço",0,IF(AND(AUTOEVENTO="Manual",$M168=1),0,IF(OFFSET(CRONOPLE!$F$14,$M168,BI$13)="",10^12,OFFSET(CRONOPLE!$F$14,$M168,BI$13))))</f>
        <v>1000000000000</v>
      </c>
      <c r="BJ168" s="181">
        <f ca="1">IF($D168&lt;&gt;"Serviço",0,IF(AND(AUTOEVENTO="Manual",$M168=1),0,IF(OFFSET(CRONOPLE!$F$14,$M168,BJ$13)="",10^12,OFFSET(CRONOPLE!$F$14,$M168,BJ$13))))</f>
        <v>1000000000000</v>
      </c>
      <c r="BK168" s="181">
        <f ca="1">IF($D168&lt;&gt;"Serviço",0,IF(AND(AUTOEVENTO="Manual",$M168=1),0,IF(OFFSET(CRONOPLE!$F$14,$M168,BK$13)="",10^12,OFFSET(CRONOPLE!$F$14,$M168,BK$13))))</f>
        <v>1000000000000</v>
      </c>
      <c r="BL168" s="181">
        <f ca="1">IF($D168&lt;&gt;"Serviço",0,IF(AND(AUTOEVENTO="Manual",$M168=1),0,IF(OFFSET(CRONOPLE!$F$14,$M168,BL$13)="",10^12,OFFSET(CRONOPLE!$F$14,$M168,BL$13))))</f>
        <v>1000000000000</v>
      </c>
      <c r="BM168" s="181">
        <f ca="1">IF($D168&lt;&gt;"Serviço",0,IF(AND(AUTOEVENTO="Manual",$M168=1),0,IF(OFFSET(CRONOPLE!$F$14,$M168,BM$13)="",10^12,OFFSET(CRONOPLE!$F$14,$M168,BM$13))))</f>
        <v>1000000000000</v>
      </c>
      <c r="BN168" s="181">
        <f ca="1">IF($D168&lt;&gt;"Serviço",0,IF(AND(AUTOEVENTO="Manual",$M168=1),0,IF(OFFSET(CRONOPLE!$F$14,$M168,BN$13)="",10^12,OFFSET(CRONOPLE!$F$14,$M168,BN$13))))</f>
        <v>1000000000000</v>
      </c>
      <c r="BO168" s="181">
        <f ca="1">IF($D168&lt;&gt;"Serviço",0,IF(AND(AUTOEVENTO="Manual",$M168=1),0,IF(OFFSET(CRONOPLE!$F$14,$M168,BO$13)="",10^12,OFFSET(CRONOPLE!$F$14,$M168,BO$13))))</f>
        <v>1000000000000</v>
      </c>
      <c r="BP168" s="181">
        <f ca="1">IF($D168&lt;&gt;"Serviço",0,IF(AND(AUTOEVENTO="Manual",$M168=1),0,IF(OFFSET(CRONOPLE!$F$14,$M168,BP$13)="",10^12,OFFSET(CRONOPLE!$F$14,$M168,BP$13))))</f>
        <v>1000000000000</v>
      </c>
      <c r="BQ168" s="181">
        <f ca="1">IF($D168&lt;&gt;"Serviço",0,IF(AND(AUTOEVENTO="Manual",$M168=1),0,IF(OFFSET(CRONOPLE!$F$14,$M168,BQ$13)="",10^12,OFFSET(CRONOPLE!$F$14,$M168,BQ$13))))</f>
        <v>1000000000000</v>
      </c>
      <c r="BR168" s="181">
        <f ca="1">IF($D168&lt;&gt;"Serviço",0,IF(AND(AUTOEVENTO="Manual",$M168=1),0,IF(OFFSET(CRONOPLE!$F$14,$M168,BR$13)="",10^12,OFFSET(CRONOPLE!$F$14,$M168,BR$13))))</f>
        <v>1000000000000</v>
      </c>
      <c r="BS168" s="181">
        <f ca="1">IF($D168&lt;&gt;"Serviço",0,IF(AND(AUTOEVENTO="Manual",$M168=1),0,IF(OFFSET(CRONOPLE!$F$14,$M168,BS$13)="",10^12,OFFSET(CRONOPLE!$F$14,$M168,BS$13))))</f>
        <v>1000000000000</v>
      </c>
      <c r="BT168" s="181">
        <f ca="1">IF($D168&lt;&gt;"Serviço",0,IF(AND(AUTOEVENTO="Manual",$M168=1),0,IF(OFFSET(CRONOPLE!$F$14,$M168,BT$13)="",10^12,OFFSET(CRONOPLE!$F$14,$M168,BT$13))))</f>
        <v>1000000000000</v>
      </c>
      <c r="BV168" s="182">
        <f ca="1">IF($D168&lt;&gt;"Serviço",0,IF(OR(AND(AUTOEVENTO="Manual",$M168=1),$M168&gt;(ROW(PLE.lastrow)-ROW(PLE.firstrow))),0,IF(OFFSET(PLE!$G$14,$M168,BV$13)="",10^12,OFFSET(PLE!$G$14,$M168,BV$13))))</f>
        <v>1000000000000</v>
      </c>
      <c r="BW168" s="182">
        <f ca="1">IF($D168&lt;&gt;"Serviço",0,IF(OR(AND(AUTOEVENTO="Manual",$M168=1),$M168&gt;(ROW(PLE.lastrow)-ROW(PLE.firstrow))),0,IF(OFFSET(PLE!$G$14,$M168,BW$13)="",10^12,OFFSET(PLE!$G$14,$M168,BW$13))))</f>
        <v>1000000000000</v>
      </c>
      <c r="BX168" s="182">
        <f ca="1">IF($D168&lt;&gt;"Serviço",0,IF(OR(AND(AUTOEVENTO="Manual",$M168=1),$M168&gt;(ROW(PLE.lastrow)-ROW(PLE.firstrow))),0,IF(OFFSET(PLE!$G$14,$M168,BX$13)="",10^12,OFFSET(PLE!$G$14,$M168,BX$13))))</f>
        <v>1000000000000</v>
      </c>
      <c r="BY168" s="182">
        <f ca="1">IF($D168&lt;&gt;"Serviço",0,IF(OR(AND(AUTOEVENTO="Manual",$M168=1),$M168&gt;(ROW(PLE.lastrow)-ROW(PLE.firstrow))),0,IF(OFFSET(PLE!$G$14,$M168,BY$13)="",10^12,OFFSET(PLE!$G$14,$M168,BY$13))))</f>
        <v>1000000000000</v>
      </c>
      <c r="BZ168" s="182">
        <f ca="1">IF($D168&lt;&gt;"Serviço",0,IF(OR(AND(AUTOEVENTO="Manual",$M168=1),$M168&gt;(ROW(PLE.lastrow)-ROW(PLE.firstrow))),0,IF(OFFSET(PLE!$G$14,$M168,BZ$13)="",10^12,OFFSET(PLE!$G$14,$M168,BZ$13))))</f>
        <v>1000000000000</v>
      </c>
      <c r="CA168" s="182">
        <f ca="1">IF($D168&lt;&gt;"Serviço",0,IF(OR(AND(AUTOEVENTO="Manual",$M168=1),$M168&gt;(ROW(PLE.lastrow)-ROW(PLE.firstrow))),0,IF(OFFSET(PLE!$G$14,$M168,CA$13)="",10^12,OFFSET(PLE!$G$14,$M168,CA$13))))</f>
        <v>1000000000000</v>
      </c>
      <c r="CB168" s="182">
        <f ca="1">IF($D168&lt;&gt;"Serviço",0,IF(OR(AND(AUTOEVENTO="Manual",$M168=1),$M168&gt;(ROW(PLE.lastrow)-ROW(PLE.firstrow))),0,IF(OFFSET(PLE!$G$14,$M168,CB$13)="",10^12,OFFSET(PLE!$G$14,$M168,CB$13))))</f>
        <v>1000000000000</v>
      </c>
      <c r="CC168" s="182">
        <f ca="1">IF($D168&lt;&gt;"Serviço",0,IF(OR(AND(AUTOEVENTO="Manual",$M168=1),$M168&gt;(ROW(PLE.lastrow)-ROW(PLE.firstrow))),0,IF(OFFSET(PLE!$G$14,$M168,CC$13)="",10^12,OFFSET(PLE!$G$14,$M168,CC$13))))</f>
        <v>1000000000000</v>
      </c>
      <c r="CD168" s="182">
        <f ca="1">IF($D168&lt;&gt;"Serviço",0,IF(OR(AND(AUTOEVENTO="Manual",$M168=1),$M168&gt;(ROW(PLE.lastrow)-ROW(PLE.firstrow))),0,IF(OFFSET(PLE!$G$14,$M168,CD$13)="",10^12,OFFSET(PLE!$G$14,$M168,CD$13))))</f>
        <v>1000000000000</v>
      </c>
      <c r="CE168" s="182">
        <f ca="1">IF($D168&lt;&gt;"Serviço",0,IF(OR(AND(AUTOEVENTO="Manual",$M168=1),$M168&gt;(ROW(PLE.lastrow)-ROW(PLE.firstrow))),0,IF(OFFSET(PLE!$G$14,$M168,CE$13)="",10^12,OFFSET(PLE!$G$14,$M168,CE$13))))</f>
        <v>1000000000000</v>
      </c>
      <c r="CF168" s="182">
        <f ca="1">IF($D168&lt;&gt;"Serviço",0,IF(OR(AND(AUTOEVENTO="Manual",$M168=1),$M168&gt;(ROW(PLE.lastrow)-ROW(PLE.firstrow))),0,IF(OFFSET(PLE!$G$14,$M168,CF$13)="",10^12,OFFSET(PLE!$G$14,$M168,CF$13))))</f>
        <v>1000000000000</v>
      </c>
      <c r="CG168" s="182">
        <f ca="1">IF($D168&lt;&gt;"Serviço",0,IF(OR(AND(AUTOEVENTO="Manual",$M168=1),$M168&gt;(ROW(PLE.lastrow)-ROW(PLE.firstrow))),0,IF(OFFSET(PLE!$G$14,$M168,CG$13)="",10^12,OFFSET(PLE!$G$14,$M168,CG$13))))</f>
        <v>1000000000000</v>
      </c>
      <c r="CH168" s="182">
        <f ca="1">IF($D168&lt;&gt;"Serviço",0,IF(OR(AND(AUTOEVENTO="Manual",$M168=1),$M168&gt;(ROW(PLE.lastrow)-ROW(PLE.firstrow))),0,IF(OFFSET(PLE!$G$14,$M168,CH$13)="",10^12,OFFSET(PLE!$G$14,$M168,CH$13))))</f>
        <v>1000000000000</v>
      </c>
      <c r="CI168" s="182">
        <f ca="1">IF($D168&lt;&gt;"Serviço",0,IF(OR(AND(AUTOEVENTO="Manual",$M168=1),$M168&gt;(ROW(PLE.lastrow)-ROW(PLE.firstrow))),0,IF(OFFSET(PLE!$G$14,$M168,CI$13)="",10^12,OFFSET(PLE!$G$14,$M168,CI$13))))</f>
        <v>1000000000000</v>
      </c>
      <c r="CJ168" s="182">
        <f ca="1">IF($D168&lt;&gt;"Serviço",0,IF(OR(AND(AUTOEVENTO="Manual",$M168=1),$M168&gt;(ROW(PLE.lastrow)-ROW(PLE.firstrow))),0,IF(OFFSET(PLE!$G$14,$M168,CJ$13)="",10^12,OFFSET(PLE!$G$14,$M168,CJ$13))))</f>
        <v>1000000000000</v>
      </c>
      <c r="CK168" s="182">
        <f ca="1">IF($D168&lt;&gt;"Serviço",0,IF(OR(AND(AUTOEVENTO="Manual",$M168=1),$M168&gt;(ROW(PLE.lastrow)-ROW(PLE.firstrow))),0,IF(OFFSET(PLE!$G$14,$M168,CK$13)="",10^12,OFFSET(PLE!$G$14,$M168,CK$13))))</f>
        <v>1000000000000</v>
      </c>
      <c r="CL168" s="182">
        <f ca="1">IF($D168&lt;&gt;"Serviço",0,IF(OR(AND(AUTOEVENTO="Manual",$M168=1),$M168&gt;(ROW(PLE.lastrow)-ROW(PLE.firstrow))),0,IF(OFFSET(PLE!$G$14,$M168,CL$13)="",10^12,OFFSET(PLE!$G$14,$M168,CL$13))))</f>
        <v>1000000000000</v>
      </c>
      <c r="CM168" s="182">
        <f ca="1">IF($D168&lt;&gt;"Serviço",0,IF(OR(AND(AUTOEVENTO="Manual",$M168=1),$M168&gt;(ROW(PLE.lastrow)-ROW(PLE.firstrow))),0,IF(OFFSET(PLE!$G$14,$M168,CM$13)="",10^12,OFFSET(PLE!$G$14,$M168,CM$13))))</f>
        <v>1000000000000</v>
      </c>
    </row>
    <row r="169" spans="1:91" ht="12.75" x14ac:dyDescent="0.2">
      <c r="A169" s="7" t="str">
        <f t="shared" ca="1" si="11"/>
        <v>154.</v>
      </c>
      <c r="B169" s="7">
        <f ca="1">OFFSET(ORÇAMENTO!C$15,ROW(B169)-ROW(B$15),0)</f>
        <v>2</v>
      </c>
      <c r="C169" s="7" t="str">
        <f ca="1">OFFSET(ORÇAMENTO!L$15,ROW(C169)-ROW(C$15),0)</f>
        <v>F</v>
      </c>
      <c r="D169" s="118" t="str">
        <f ca="1">OFFSET(ORÇAMENTO!N$15,ROW(D169)-ROW(D$15),0)</f>
        <v>Nível 2</v>
      </c>
      <c r="E169" s="119" t="str">
        <f ca="1">OFFSET(ORÇAMENTO!O$15,ROW(E169)-ROW(E$15),0)</f>
        <v>1.24.</v>
      </c>
      <c r="F169" s="172" t="str">
        <f ca="1">OFFSET(ORÇAMENTO!R$15,ROW(F169)-ROW(F$15),0)</f>
        <v>SISTEMAS DE COBERTURA</v>
      </c>
      <c r="G169" s="173" t="str">
        <f ca="1">IF($D169&lt;&gt;"Serviço","",OFFSET(ORÇAMENTO!S$15,ROW(G169)-ROW(G$15),0))</f>
        <v/>
      </c>
      <c r="H169" s="124">
        <f ca="1">IF($D169&lt;&gt;"Serviço",0,IF(ACOMPANHAMENTO="BM",ROUND(OFFSET(ORÇAMENTO!AJ$15,ROW(H169)-ROW(H$15),0),15-13*ORÇAMENTO!$AF$7),SUMPRODUCT(($Q$12:$AI$12&lt;&gt;"")*ROUND($Q169:$AI169,15-13*ORÇAMENTO!$AF$7))))</f>
        <v>0</v>
      </c>
      <c r="I169" s="561"/>
      <c r="K169" s="174"/>
      <c r="L169" s="175" t="s">
        <v>255</v>
      </c>
      <c r="M169" s="176" t="str">
        <f ca="1">IF($D169&lt;&gt;"Serviço","",IF(AUTOEVENTO="manual",$A169,IF(ISERROR(MATCH($A169,$A$15:OFFSET($A169,-1,0),0)),MAX($M$15:OFFSET(M169,-1,0))+1,INDEX($M$15:OFFSET(M169,-1,0),MATCH($A169,$A$15:OFFSET($A169,-1,0),0)))))</f>
        <v/>
      </c>
      <c r="N169" s="177" t="str">
        <f ca="1">IF($D169&lt;&gt;"Serviço","",IF(AUTOEVENTO="Manual",IF($A169=0,"&lt;-- defina o número do agrupador",OFFSET(EVENTOS!$D$14,$A169,0)),OFFSET($F$15,$A169,0)))</f>
        <v/>
      </c>
      <c r="O169" s="178"/>
      <c r="Q169" s="178">
        <v>0</v>
      </c>
      <c r="R169" s="179"/>
      <c r="S169" s="179"/>
      <c r="T169" s="179"/>
      <c r="U169" s="179"/>
      <c r="V169" s="179"/>
      <c r="W169" s="179"/>
      <c r="X169" s="179"/>
      <c r="Y169" s="179"/>
      <c r="Z169" s="180"/>
      <c r="AA169" s="179"/>
      <c r="AB169" s="179"/>
      <c r="AC169" s="179"/>
      <c r="AD169" s="179"/>
      <c r="AE169" s="179"/>
      <c r="AF169" s="179"/>
      <c r="AG169" s="179"/>
      <c r="AH169" s="180"/>
      <c r="AJ169" s="544">
        <f ca="1">IF(AND($D169="Serviço",AJ$12&lt;&gt;0,$H169&gt;0,OR(AUTOEVENTO&lt;&gt;"manual",$M169&lt;&gt;1)),
IF(Import.TipoArredondamento&lt;&gt;"TransfereGOV",
ROUND(OFFSET($P169,0,AJ$13),15-13*ORÇAMENTO!$AF$7)/$H169*OFFSET(ORÇAMENTO!$X$15,ROW(AJ169)-ROW(AJ$15),0),
ROUND(ROUND(OFFSET($P169,0,AJ$13),15-13*ORÇAMENTO!$AF$7)*OFFSET(ORÇAMENTO!$W$15,ROW(AJ169)-ROW(AJ$15),0),15-13*ORÇAMENTO!$AF$11)),0)</f>
        <v>0</v>
      </c>
      <c r="AK169" s="545">
        <f ca="1">IF(AND($D169="Serviço",AK$12&lt;&gt;0,$H169&gt;0,OR(AUTOEVENTO&lt;&gt;"manual",$M169&lt;&gt;1)),
IF(Import.TipoArredondamento&lt;&gt;"TransfereGOV",
ROUND(OFFSET($P169,0,AK$13),15-13*ORÇAMENTO!$AF$7)/$H169*OFFSET(ORÇAMENTO!$X$15,ROW(AK169)-ROW(AK$15),0),
ROUND(ROUND(OFFSET($P169,0,AK$13),15-13*ORÇAMENTO!$AF$7)*OFFSET(ORÇAMENTO!$W$15,ROW(AK169)-ROW(AK$15),0),15-13*ORÇAMENTO!$AF$11)),0)</f>
        <v>0</v>
      </c>
      <c r="AL169" s="545">
        <f ca="1">IF(AND($D169="Serviço",AL$12&lt;&gt;0,$H169&gt;0,OR(AUTOEVENTO&lt;&gt;"manual",$M169&lt;&gt;1)),
IF(Import.TipoArredondamento&lt;&gt;"TransfereGOV",
ROUND(OFFSET($P169,0,AL$13),15-13*ORÇAMENTO!$AF$7)/$H169*OFFSET(ORÇAMENTO!$X$15,ROW(AL169)-ROW(AL$15),0),
ROUND(ROUND(OFFSET($P169,0,AL$13),15-13*ORÇAMENTO!$AF$7)*OFFSET(ORÇAMENTO!$W$15,ROW(AL169)-ROW(AL$15),0),15-13*ORÇAMENTO!$AF$11)),0)</f>
        <v>0</v>
      </c>
      <c r="AM169" s="545">
        <f ca="1">IF(AND($D169="Serviço",AM$12&lt;&gt;0,$H169&gt;0,OR(AUTOEVENTO&lt;&gt;"manual",$M169&lt;&gt;1)),
IF(Import.TipoArredondamento&lt;&gt;"TransfereGOV",
ROUND(OFFSET($P169,0,AM$13),15-13*ORÇAMENTO!$AF$7)/$H169*OFFSET(ORÇAMENTO!$X$15,ROW(AM169)-ROW(AM$15),0),
ROUND(ROUND(OFFSET($P169,0,AM$13),15-13*ORÇAMENTO!$AF$7)*OFFSET(ORÇAMENTO!$W$15,ROW(AM169)-ROW(AM$15),0),15-13*ORÇAMENTO!$AF$11)),0)</f>
        <v>0</v>
      </c>
      <c r="AN169" s="545">
        <f ca="1">IF(AND($D169="Serviço",AN$12&lt;&gt;0,$H169&gt;0,OR(AUTOEVENTO&lt;&gt;"manual",$M169&lt;&gt;1)),
IF(Import.TipoArredondamento&lt;&gt;"TransfereGOV",
ROUND(OFFSET($P169,0,AN$13),15-13*ORÇAMENTO!$AF$7)/$H169*OFFSET(ORÇAMENTO!$X$15,ROW(AN169)-ROW(AN$15),0),
ROUND(ROUND(OFFSET($P169,0,AN$13),15-13*ORÇAMENTO!$AF$7)*OFFSET(ORÇAMENTO!$W$15,ROW(AN169)-ROW(AN$15),0),15-13*ORÇAMENTO!$AF$11)),0)</f>
        <v>0</v>
      </c>
      <c r="AO169" s="545">
        <f ca="1">IF(AND($D169="Serviço",AO$12&lt;&gt;0,$H169&gt;0,OR(AUTOEVENTO&lt;&gt;"manual",$M169&lt;&gt;1)),
IF(Import.TipoArredondamento&lt;&gt;"TransfereGOV",
ROUND(OFFSET($P169,0,AO$13),15-13*ORÇAMENTO!$AF$7)/$H169*OFFSET(ORÇAMENTO!$X$15,ROW(AO169)-ROW(AO$15),0),
ROUND(ROUND(OFFSET($P169,0,AO$13),15-13*ORÇAMENTO!$AF$7)*OFFSET(ORÇAMENTO!$W$15,ROW(AO169)-ROW(AO$15),0),15-13*ORÇAMENTO!$AF$11)),0)</f>
        <v>0</v>
      </c>
      <c r="AP169" s="545">
        <f ca="1">IF(AND($D169="Serviço",AP$12&lt;&gt;0,$H169&gt;0,OR(AUTOEVENTO&lt;&gt;"manual",$M169&lt;&gt;1)),
IF(Import.TipoArredondamento&lt;&gt;"TransfereGOV",
ROUND(OFFSET($P169,0,AP$13),15-13*ORÇAMENTO!$AF$7)/$H169*OFFSET(ORÇAMENTO!$X$15,ROW(AP169)-ROW(AP$15),0),
ROUND(ROUND(OFFSET($P169,0,AP$13),15-13*ORÇAMENTO!$AF$7)*OFFSET(ORÇAMENTO!$W$15,ROW(AP169)-ROW(AP$15),0),15-13*ORÇAMENTO!$AF$11)),0)</f>
        <v>0</v>
      </c>
      <c r="AQ169" s="545">
        <f ca="1">IF(AND($D169="Serviço",AQ$12&lt;&gt;0,$H169&gt;0,OR(AUTOEVENTO&lt;&gt;"manual",$M169&lt;&gt;1)),
IF(Import.TipoArredondamento&lt;&gt;"TransfereGOV",
ROUND(OFFSET($P169,0,AQ$13),15-13*ORÇAMENTO!$AF$7)/$H169*OFFSET(ORÇAMENTO!$X$15,ROW(AQ169)-ROW(AQ$15),0),
ROUND(ROUND(OFFSET($P169,0,AQ$13),15-13*ORÇAMENTO!$AF$7)*OFFSET(ORÇAMENTO!$W$15,ROW(AQ169)-ROW(AQ$15),0),15-13*ORÇAMENTO!$AF$11)),0)</f>
        <v>0</v>
      </c>
      <c r="AR169" s="545">
        <f ca="1">IF(AND($D169="Serviço",AR$12&lt;&gt;0,$H169&gt;0,OR(AUTOEVENTO&lt;&gt;"manual",$M169&lt;&gt;1)),
IF(Import.TipoArredondamento&lt;&gt;"TransfereGOV",
ROUND(OFFSET($P169,0,AR$13),15-13*ORÇAMENTO!$AF$7)/$H169*OFFSET(ORÇAMENTO!$X$15,ROW(AR169)-ROW(AR$15),0),
ROUND(ROUND(OFFSET($P169,0,AR$13),15-13*ORÇAMENTO!$AF$7)*OFFSET(ORÇAMENTO!$W$15,ROW(AR169)-ROW(AR$15),0),15-13*ORÇAMENTO!$AF$11)),0)</f>
        <v>0</v>
      </c>
      <c r="AS169" s="546">
        <f ca="1">IF(AND($D169="Serviço",AS$12&lt;&gt;0,$H169&gt;0,OR(AUTOEVENTO&lt;&gt;"manual",$M169&lt;&gt;1)),
IF(Import.TipoArredondamento&lt;&gt;"TransfereGOV",
ROUND(OFFSET($P169,0,AS$13),15-13*ORÇAMENTO!$AF$7)/$H169*OFFSET(ORÇAMENTO!$X$15,ROW(AS169)-ROW(AS$15),0),
ROUND(ROUND(OFFSET($P169,0,AS$13),15-13*ORÇAMENTO!$AF$7)*OFFSET(ORÇAMENTO!$W$15,ROW(AS169)-ROW(AS$15),0),15-13*ORÇAMENTO!$AF$11)),0)</f>
        <v>0</v>
      </c>
      <c r="AT169" s="545">
        <f ca="1">IF(AND($D169="Serviço",AT$12&lt;&gt;0,$H169&gt;0,OR(AUTOEVENTO&lt;&gt;"manual",$M169&lt;&gt;1)),
IF(Import.TipoArredondamento&lt;&gt;"TransfereGOV",
ROUND(OFFSET($P169,0,AT$13),15-13*ORÇAMENTO!$AF$7)/$H169*OFFSET(ORÇAMENTO!$X$15,ROW(AT169)-ROW(AT$15),0),
ROUND(ROUND(OFFSET($P169,0,AT$13),15-13*ORÇAMENTO!$AF$7)*OFFSET(ORÇAMENTO!$W$15,ROW(AT169)-ROW(AT$15),0),15-13*ORÇAMENTO!$AF$11)),0)</f>
        <v>0</v>
      </c>
      <c r="AU169" s="545">
        <f ca="1">IF(AND($D169="Serviço",AU$12&lt;&gt;0,$H169&gt;0,OR(AUTOEVENTO&lt;&gt;"manual",$M169&lt;&gt;1)),
IF(Import.TipoArredondamento&lt;&gt;"TransfereGOV",
ROUND(OFFSET($P169,0,AU$13),15-13*ORÇAMENTO!$AF$7)/$H169*OFFSET(ORÇAMENTO!$X$15,ROW(AU169)-ROW(AU$15),0),
ROUND(ROUND(OFFSET($P169,0,AU$13),15-13*ORÇAMENTO!$AF$7)*OFFSET(ORÇAMENTO!$W$15,ROW(AU169)-ROW(AU$15),0),15-13*ORÇAMENTO!$AF$11)),0)</f>
        <v>0</v>
      </c>
      <c r="AV169" s="545">
        <f ca="1">IF(AND($D169="Serviço",AV$12&lt;&gt;0,$H169&gt;0,OR(AUTOEVENTO&lt;&gt;"manual",$M169&lt;&gt;1)),
IF(Import.TipoArredondamento&lt;&gt;"TransfereGOV",
ROUND(OFFSET($P169,0,AV$13),15-13*ORÇAMENTO!$AF$7)/$H169*OFFSET(ORÇAMENTO!$X$15,ROW(AV169)-ROW(AV$15),0),
ROUND(ROUND(OFFSET($P169,0,AV$13),15-13*ORÇAMENTO!$AF$7)*OFFSET(ORÇAMENTO!$W$15,ROW(AV169)-ROW(AV$15),0),15-13*ORÇAMENTO!$AF$11)),0)</f>
        <v>0</v>
      </c>
      <c r="AW169" s="545">
        <f ca="1">IF(AND($D169="Serviço",AW$12&lt;&gt;0,$H169&gt;0,OR(AUTOEVENTO&lt;&gt;"manual",$M169&lt;&gt;1)),
IF(Import.TipoArredondamento&lt;&gt;"TransfereGOV",
ROUND(OFFSET($P169,0,AW$13),15-13*ORÇAMENTO!$AF$7)/$H169*OFFSET(ORÇAMENTO!$X$15,ROW(AW169)-ROW(AW$15),0),
ROUND(ROUND(OFFSET($P169,0,AW$13),15-13*ORÇAMENTO!$AF$7)*OFFSET(ORÇAMENTO!$W$15,ROW(AW169)-ROW(AW$15),0),15-13*ORÇAMENTO!$AF$11)),0)</f>
        <v>0</v>
      </c>
      <c r="AX169" s="545">
        <f ca="1">IF(AND($D169="Serviço",AX$12&lt;&gt;0,$H169&gt;0,OR(AUTOEVENTO&lt;&gt;"manual",$M169&lt;&gt;1)),
IF(Import.TipoArredondamento&lt;&gt;"TransfereGOV",
ROUND(OFFSET($P169,0,AX$13),15-13*ORÇAMENTO!$AF$7)/$H169*OFFSET(ORÇAMENTO!$X$15,ROW(AX169)-ROW(AX$15),0),
ROUND(ROUND(OFFSET($P169,0,AX$13),15-13*ORÇAMENTO!$AF$7)*OFFSET(ORÇAMENTO!$W$15,ROW(AX169)-ROW(AX$15),0),15-13*ORÇAMENTO!$AF$11)),0)</f>
        <v>0</v>
      </c>
      <c r="AY169" s="545">
        <f ca="1">IF(AND($D169="Serviço",AY$12&lt;&gt;0,$H169&gt;0,OR(AUTOEVENTO&lt;&gt;"manual",$M169&lt;&gt;1)),
IF(Import.TipoArredondamento&lt;&gt;"TransfereGOV",
ROUND(OFFSET($P169,0,AY$13),15-13*ORÇAMENTO!$AF$7)/$H169*OFFSET(ORÇAMENTO!$X$15,ROW(AY169)-ROW(AY$15),0),
ROUND(ROUND(OFFSET($P169,0,AY$13),15-13*ORÇAMENTO!$AF$7)*OFFSET(ORÇAMENTO!$W$15,ROW(AY169)-ROW(AY$15),0),15-13*ORÇAMENTO!$AF$11)),0)</f>
        <v>0</v>
      </c>
      <c r="AZ169" s="545">
        <f ca="1">IF(AND($D169="Serviço",AZ$12&lt;&gt;0,$H169&gt;0,OR(AUTOEVENTO&lt;&gt;"manual",$M169&lt;&gt;1)),
IF(Import.TipoArredondamento&lt;&gt;"TransfereGOV",
ROUND(OFFSET($P169,0,AZ$13),15-13*ORÇAMENTO!$AF$7)/$H169*OFFSET(ORÇAMENTO!$X$15,ROW(AZ169)-ROW(AZ$15),0),
ROUND(ROUND(OFFSET($P169,0,AZ$13),15-13*ORÇAMENTO!$AF$7)*OFFSET(ORÇAMENTO!$W$15,ROW(AZ169)-ROW(AZ$15),0),15-13*ORÇAMENTO!$AF$11)),0)</f>
        <v>0</v>
      </c>
      <c r="BA169" s="546">
        <f ca="1">IF(AND($D169="Serviço",BA$12&lt;&gt;0,$H169&gt;0,OR(AUTOEVENTO&lt;&gt;"manual",$M169&lt;&gt;1)),
IF(Import.TipoArredondamento&lt;&gt;"TransfereGOV",
ROUND(OFFSET($P169,0,BA$13),15-13*ORÇAMENTO!$AF$7)/$H169*OFFSET(ORÇAMENTO!$X$15,ROW(BA169)-ROW(BA$15),0),
ROUND(ROUND(OFFSET($P169,0,BA$13),15-13*ORÇAMENTO!$AF$7)*OFFSET(ORÇAMENTO!$W$15,ROW(BA169)-ROW(BA$15),0),15-13*ORÇAMENTO!$AF$11)),0)</f>
        <v>0</v>
      </c>
      <c r="BC169" s="181">
        <f ca="1">IF($D169&lt;&gt;"Serviço",0,IF(AND(AUTOEVENTO="Manual",$M169=1),0,IF(OFFSET(CRONOPLE!$F$14,$M169,BC$13)="",10^12,OFFSET(CRONOPLE!$F$14,$M169,BC$13))))</f>
        <v>0</v>
      </c>
      <c r="BD169" s="181">
        <f ca="1">IF($D169&lt;&gt;"Serviço",0,IF(AND(AUTOEVENTO="Manual",$M169=1),0,IF(OFFSET(CRONOPLE!$F$14,$M169,BD$13)="",10^12,OFFSET(CRONOPLE!$F$14,$M169,BD$13))))</f>
        <v>0</v>
      </c>
      <c r="BE169" s="181">
        <f ca="1">IF($D169&lt;&gt;"Serviço",0,IF(AND(AUTOEVENTO="Manual",$M169=1),0,IF(OFFSET(CRONOPLE!$F$14,$M169,BE$13)="",10^12,OFFSET(CRONOPLE!$F$14,$M169,BE$13))))</f>
        <v>0</v>
      </c>
      <c r="BF169" s="181">
        <f ca="1">IF($D169&lt;&gt;"Serviço",0,IF(AND(AUTOEVENTO="Manual",$M169=1),0,IF(OFFSET(CRONOPLE!$F$14,$M169,BF$13)="",10^12,OFFSET(CRONOPLE!$F$14,$M169,BF$13))))</f>
        <v>0</v>
      </c>
      <c r="BG169" s="181">
        <f ca="1">IF($D169&lt;&gt;"Serviço",0,IF(AND(AUTOEVENTO="Manual",$M169=1),0,IF(OFFSET(CRONOPLE!$F$14,$M169,BG$13)="",10^12,OFFSET(CRONOPLE!$F$14,$M169,BG$13))))</f>
        <v>0</v>
      </c>
      <c r="BH169" s="181">
        <f ca="1">IF($D169&lt;&gt;"Serviço",0,IF(AND(AUTOEVENTO="Manual",$M169=1),0,IF(OFFSET(CRONOPLE!$F$14,$M169,BH$13)="",10^12,OFFSET(CRONOPLE!$F$14,$M169,BH$13))))</f>
        <v>0</v>
      </c>
      <c r="BI169" s="181">
        <f ca="1">IF($D169&lt;&gt;"Serviço",0,IF(AND(AUTOEVENTO="Manual",$M169=1),0,IF(OFFSET(CRONOPLE!$F$14,$M169,BI$13)="",10^12,OFFSET(CRONOPLE!$F$14,$M169,BI$13))))</f>
        <v>0</v>
      </c>
      <c r="BJ169" s="181">
        <f ca="1">IF($D169&lt;&gt;"Serviço",0,IF(AND(AUTOEVENTO="Manual",$M169=1),0,IF(OFFSET(CRONOPLE!$F$14,$M169,BJ$13)="",10^12,OFFSET(CRONOPLE!$F$14,$M169,BJ$13))))</f>
        <v>0</v>
      </c>
      <c r="BK169" s="181">
        <f ca="1">IF($D169&lt;&gt;"Serviço",0,IF(AND(AUTOEVENTO="Manual",$M169=1),0,IF(OFFSET(CRONOPLE!$F$14,$M169,BK$13)="",10^12,OFFSET(CRONOPLE!$F$14,$M169,BK$13))))</f>
        <v>0</v>
      </c>
      <c r="BL169" s="181">
        <f ca="1">IF($D169&lt;&gt;"Serviço",0,IF(AND(AUTOEVENTO="Manual",$M169=1),0,IF(OFFSET(CRONOPLE!$F$14,$M169,BL$13)="",10^12,OFFSET(CRONOPLE!$F$14,$M169,BL$13))))</f>
        <v>0</v>
      </c>
      <c r="BM169" s="181">
        <f ca="1">IF($D169&lt;&gt;"Serviço",0,IF(AND(AUTOEVENTO="Manual",$M169=1),0,IF(OFFSET(CRONOPLE!$F$14,$M169,BM$13)="",10^12,OFFSET(CRONOPLE!$F$14,$M169,BM$13))))</f>
        <v>0</v>
      </c>
      <c r="BN169" s="181">
        <f ca="1">IF($D169&lt;&gt;"Serviço",0,IF(AND(AUTOEVENTO="Manual",$M169=1),0,IF(OFFSET(CRONOPLE!$F$14,$M169,BN$13)="",10^12,OFFSET(CRONOPLE!$F$14,$M169,BN$13))))</f>
        <v>0</v>
      </c>
      <c r="BO169" s="181">
        <f ca="1">IF($D169&lt;&gt;"Serviço",0,IF(AND(AUTOEVENTO="Manual",$M169=1),0,IF(OFFSET(CRONOPLE!$F$14,$M169,BO$13)="",10^12,OFFSET(CRONOPLE!$F$14,$M169,BO$13))))</f>
        <v>0</v>
      </c>
      <c r="BP169" s="181">
        <f ca="1">IF($D169&lt;&gt;"Serviço",0,IF(AND(AUTOEVENTO="Manual",$M169=1),0,IF(OFFSET(CRONOPLE!$F$14,$M169,BP$13)="",10^12,OFFSET(CRONOPLE!$F$14,$M169,BP$13))))</f>
        <v>0</v>
      </c>
      <c r="BQ169" s="181">
        <f ca="1">IF($D169&lt;&gt;"Serviço",0,IF(AND(AUTOEVENTO="Manual",$M169=1),0,IF(OFFSET(CRONOPLE!$F$14,$M169,BQ$13)="",10^12,OFFSET(CRONOPLE!$F$14,$M169,BQ$13))))</f>
        <v>0</v>
      </c>
      <c r="BR169" s="181">
        <f ca="1">IF($D169&lt;&gt;"Serviço",0,IF(AND(AUTOEVENTO="Manual",$M169=1),0,IF(OFFSET(CRONOPLE!$F$14,$M169,BR$13)="",10^12,OFFSET(CRONOPLE!$F$14,$M169,BR$13))))</f>
        <v>0</v>
      </c>
      <c r="BS169" s="181">
        <f ca="1">IF($D169&lt;&gt;"Serviço",0,IF(AND(AUTOEVENTO="Manual",$M169=1),0,IF(OFFSET(CRONOPLE!$F$14,$M169,BS$13)="",10^12,OFFSET(CRONOPLE!$F$14,$M169,BS$13))))</f>
        <v>0</v>
      </c>
      <c r="BT169" s="181">
        <f ca="1">IF($D169&lt;&gt;"Serviço",0,IF(AND(AUTOEVENTO="Manual",$M169=1),0,IF(OFFSET(CRONOPLE!$F$14,$M169,BT$13)="",10^12,OFFSET(CRONOPLE!$F$14,$M169,BT$13))))</f>
        <v>0</v>
      </c>
      <c r="BV169" s="182">
        <f ca="1">IF($D169&lt;&gt;"Serviço",0,IF(OR(AND(AUTOEVENTO="Manual",$M169=1),$M169&gt;(ROW(PLE.lastrow)-ROW(PLE.firstrow))),0,IF(OFFSET(PLE!$G$14,$M169,BV$13)="",10^12,OFFSET(PLE!$G$14,$M169,BV$13))))</f>
        <v>0</v>
      </c>
      <c r="BW169" s="182">
        <f ca="1">IF($D169&lt;&gt;"Serviço",0,IF(OR(AND(AUTOEVENTO="Manual",$M169=1),$M169&gt;(ROW(PLE.lastrow)-ROW(PLE.firstrow))),0,IF(OFFSET(PLE!$G$14,$M169,BW$13)="",10^12,OFFSET(PLE!$G$14,$M169,BW$13))))</f>
        <v>0</v>
      </c>
      <c r="BX169" s="182">
        <f ca="1">IF($D169&lt;&gt;"Serviço",0,IF(OR(AND(AUTOEVENTO="Manual",$M169=1),$M169&gt;(ROW(PLE.lastrow)-ROW(PLE.firstrow))),0,IF(OFFSET(PLE!$G$14,$M169,BX$13)="",10^12,OFFSET(PLE!$G$14,$M169,BX$13))))</f>
        <v>0</v>
      </c>
      <c r="BY169" s="182">
        <f ca="1">IF($D169&lt;&gt;"Serviço",0,IF(OR(AND(AUTOEVENTO="Manual",$M169=1),$M169&gt;(ROW(PLE.lastrow)-ROW(PLE.firstrow))),0,IF(OFFSET(PLE!$G$14,$M169,BY$13)="",10^12,OFFSET(PLE!$G$14,$M169,BY$13))))</f>
        <v>0</v>
      </c>
      <c r="BZ169" s="182">
        <f ca="1">IF($D169&lt;&gt;"Serviço",0,IF(OR(AND(AUTOEVENTO="Manual",$M169=1),$M169&gt;(ROW(PLE.lastrow)-ROW(PLE.firstrow))),0,IF(OFFSET(PLE!$G$14,$M169,BZ$13)="",10^12,OFFSET(PLE!$G$14,$M169,BZ$13))))</f>
        <v>0</v>
      </c>
      <c r="CA169" s="182">
        <f ca="1">IF($D169&lt;&gt;"Serviço",0,IF(OR(AND(AUTOEVENTO="Manual",$M169=1),$M169&gt;(ROW(PLE.lastrow)-ROW(PLE.firstrow))),0,IF(OFFSET(PLE!$G$14,$M169,CA$13)="",10^12,OFFSET(PLE!$G$14,$M169,CA$13))))</f>
        <v>0</v>
      </c>
      <c r="CB169" s="182">
        <f ca="1">IF($D169&lt;&gt;"Serviço",0,IF(OR(AND(AUTOEVENTO="Manual",$M169=1),$M169&gt;(ROW(PLE.lastrow)-ROW(PLE.firstrow))),0,IF(OFFSET(PLE!$G$14,$M169,CB$13)="",10^12,OFFSET(PLE!$G$14,$M169,CB$13))))</f>
        <v>0</v>
      </c>
      <c r="CC169" s="182">
        <f ca="1">IF($D169&lt;&gt;"Serviço",0,IF(OR(AND(AUTOEVENTO="Manual",$M169=1),$M169&gt;(ROW(PLE.lastrow)-ROW(PLE.firstrow))),0,IF(OFFSET(PLE!$G$14,$M169,CC$13)="",10^12,OFFSET(PLE!$G$14,$M169,CC$13))))</f>
        <v>0</v>
      </c>
      <c r="CD169" s="182">
        <f ca="1">IF($D169&lt;&gt;"Serviço",0,IF(OR(AND(AUTOEVENTO="Manual",$M169=1),$M169&gt;(ROW(PLE.lastrow)-ROW(PLE.firstrow))),0,IF(OFFSET(PLE!$G$14,$M169,CD$13)="",10^12,OFFSET(PLE!$G$14,$M169,CD$13))))</f>
        <v>0</v>
      </c>
      <c r="CE169" s="182">
        <f ca="1">IF($D169&lt;&gt;"Serviço",0,IF(OR(AND(AUTOEVENTO="Manual",$M169=1),$M169&gt;(ROW(PLE.lastrow)-ROW(PLE.firstrow))),0,IF(OFFSET(PLE!$G$14,$M169,CE$13)="",10^12,OFFSET(PLE!$G$14,$M169,CE$13))))</f>
        <v>0</v>
      </c>
      <c r="CF169" s="182">
        <f ca="1">IF($D169&lt;&gt;"Serviço",0,IF(OR(AND(AUTOEVENTO="Manual",$M169=1),$M169&gt;(ROW(PLE.lastrow)-ROW(PLE.firstrow))),0,IF(OFFSET(PLE!$G$14,$M169,CF$13)="",10^12,OFFSET(PLE!$G$14,$M169,CF$13))))</f>
        <v>0</v>
      </c>
      <c r="CG169" s="182">
        <f ca="1">IF($D169&lt;&gt;"Serviço",0,IF(OR(AND(AUTOEVENTO="Manual",$M169=1),$M169&gt;(ROW(PLE.lastrow)-ROW(PLE.firstrow))),0,IF(OFFSET(PLE!$G$14,$M169,CG$13)="",10^12,OFFSET(PLE!$G$14,$M169,CG$13))))</f>
        <v>0</v>
      </c>
      <c r="CH169" s="182">
        <f ca="1">IF($D169&lt;&gt;"Serviço",0,IF(OR(AND(AUTOEVENTO="Manual",$M169=1),$M169&gt;(ROW(PLE.lastrow)-ROW(PLE.firstrow))),0,IF(OFFSET(PLE!$G$14,$M169,CH$13)="",10^12,OFFSET(PLE!$G$14,$M169,CH$13))))</f>
        <v>0</v>
      </c>
      <c r="CI169" s="182">
        <f ca="1">IF($D169&lt;&gt;"Serviço",0,IF(OR(AND(AUTOEVENTO="Manual",$M169=1),$M169&gt;(ROW(PLE.lastrow)-ROW(PLE.firstrow))),0,IF(OFFSET(PLE!$G$14,$M169,CI$13)="",10^12,OFFSET(PLE!$G$14,$M169,CI$13))))</f>
        <v>0</v>
      </c>
      <c r="CJ169" s="182">
        <f ca="1">IF($D169&lt;&gt;"Serviço",0,IF(OR(AND(AUTOEVENTO="Manual",$M169=1),$M169&gt;(ROW(PLE.lastrow)-ROW(PLE.firstrow))),0,IF(OFFSET(PLE!$G$14,$M169,CJ$13)="",10^12,OFFSET(PLE!$G$14,$M169,CJ$13))))</f>
        <v>0</v>
      </c>
      <c r="CK169" s="182">
        <f ca="1">IF($D169&lt;&gt;"Serviço",0,IF(OR(AND(AUTOEVENTO="Manual",$M169=1),$M169&gt;(ROW(PLE.lastrow)-ROW(PLE.firstrow))),0,IF(OFFSET(PLE!$G$14,$M169,CK$13)="",10^12,OFFSET(PLE!$G$14,$M169,CK$13))))</f>
        <v>0</v>
      </c>
      <c r="CL169" s="182">
        <f ca="1">IF($D169&lt;&gt;"Serviço",0,IF(OR(AND(AUTOEVENTO="Manual",$M169=1),$M169&gt;(ROW(PLE.lastrow)-ROW(PLE.firstrow))),0,IF(OFFSET(PLE!$G$14,$M169,CL$13)="",10^12,OFFSET(PLE!$G$14,$M169,CL$13))))</f>
        <v>0</v>
      </c>
      <c r="CM169" s="182">
        <f ca="1">IF($D169&lt;&gt;"Serviço",0,IF(OR(AND(AUTOEVENTO="Manual",$M169=1),$M169&gt;(ROW(PLE.lastrow)-ROW(PLE.firstrow))),0,IF(OFFSET(PLE!$G$14,$M169,CM$13)="",10^12,OFFSET(PLE!$G$14,$M169,CM$13))))</f>
        <v>0</v>
      </c>
    </row>
    <row r="170" spans="1:91" ht="63.75" x14ac:dyDescent="0.2">
      <c r="A170" s="7" t="str">
        <f t="shared" ca="1" si="11"/>
        <v>154</v>
      </c>
      <c r="B170" s="7" t="str">
        <f ca="1">OFFSET(ORÇAMENTO!C$15,ROW(B170)-ROW(B$15),0)</f>
        <v>S</v>
      </c>
      <c r="C170" s="7" t="str">
        <f ca="1">OFFSET(ORÇAMENTO!L$15,ROW(C170)-ROW(C$15),0)</f>
        <v/>
      </c>
      <c r="D170" s="118" t="str">
        <f ca="1">OFFSET(ORÇAMENTO!N$15,ROW(D170)-ROW(D$15),0)</f>
        <v>Serviço</v>
      </c>
      <c r="E170" s="119" t="str">
        <f ca="1">OFFSET(ORÇAMENTO!O$15,ROW(E170)-ROW(E$15),0)</f>
        <v>-</v>
      </c>
      <c r="F170" s="172" t="str">
        <f ca="1">OFFSET(ORÇAMENTO!R$15,ROW(F170)-ROW(F$15),0)</f>
        <v>(abra o arquivo 'Referência 06-2024.xlsm)</v>
      </c>
      <c r="G170" s="173" t="str">
        <f ca="1">IF($D170&lt;&gt;"Serviço","",OFFSET(ORÇAMENTO!S$15,ROW(G170)-ROW(G$15),0))</f>
        <v>-</v>
      </c>
      <c r="H170" s="124">
        <f ca="1">IF($D170&lt;&gt;"Serviço",0,IF(ACOMPANHAMENTO="BM",ROUND(OFFSET(ORÇAMENTO!AJ$15,ROW(H170)-ROW(H$15),0),15-13*ORÇAMENTO!$AF$7),SUMPRODUCT(($Q$12:$AI$12&lt;&gt;"")*ROUND($Q170:$AI170,15-13*ORÇAMENTO!$AF$7))))</f>
        <v>1441</v>
      </c>
      <c r="I170" s="561" t="s">
        <v>1107</v>
      </c>
      <c r="K170" s="174"/>
      <c r="L170" s="175" t="s">
        <v>255</v>
      </c>
      <c r="M170" s="176">
        <f ca="1">IF($D170&lt;&gt;"Serviço","",IF(AUTOEVENTO="manual",$A170,IF(ISERROR(MATCH($A170,$A$15:OFFSET($A170,-1,0),0)),MAX($M$15:OFFSET(M170,-1,0))+1,INDEX($M$15:OFFSET(M170,-1,0),MATCH($A170,$A$15:OFFSET($A170,-1,0),0)))))</f>
        <v>25</v>
      </c>
      <c r="N170" s="177" t="str">
        <f ca="1">IF($D170&lt;&gt;"Serviço","",IF(AUTOEVENTO="Manual",IF($A170=0,"&lt;-- defina o número do agrupador",OFFSET(EVENTOS!$D$14,$A170,0)),OFFSET($F$15,$A170,0)))</f>
        <v>SISTEMAS DE COBERTURA</v>
      </c>
      <c r="O170" s="178"/>
      <c r="Q170" s="178">
        <v>1441</v>
      </c>
      <c r="R170" s="179"/>
      <c r="S170" s="179"/>
      <c r="T170" s="179"/>
      <c r="U170" s="179"/>
      <c r="V170" s="179"/>
      <c r="W170" s="179"/>
      <c r="X170" s="179"/>
      <c r="Y170" s="179"/>
      <c r="Z170" s="180"/>
      <c r="AA170" s="179"/>
      <c r="AB170" s="179"/>
      <c r="AC170" s="179"/>
      <c r="AD170" s="179"/>
      <c r="AE170" s="179"/>
      <c r="AF170" s="179"/>
      <c r="AG170" s="179"/>
      <c r="AH170" s="180"/>
      <c r="AJ170" s="544">
        <f ca="1">IF(AND($D170="Serviço",AJ$12&lt;&gt;0,$H170&gt;0,OR(AUTOEVENTO&lt;&gt;"manual",$M170&lt;&gt;1)),
IF(Import.TipoArredondamento&lt;&gt;"TransfereGOV",
ROUND(OFFSET($P170,0,AJ$13),15-13*ORÇAMENTO!$AF$7)/$H170*OFFSET(ORÇAMENTO!$X$15,ROW(AJ170)-ROW(AJ$15),0),
ROUND(ROUND(OFFSET($P170,0,AJ$13),15-13*ORÇAMENTO!$AF$7)*OFFSET(ORÇAMENTO!$W$15,ROW(AJ170)-ROW(AJ$15),0),15-13*ORÇAMENTO!$AF$11)),0)</f>
        <v>0</v>
      </c>
      <c r="AK170" s="545">
        <f ca="1">IF(AND($D170="Serviço",AK$12&lt;&gt;0,$H170&gt;0,OR(AUTOEVENTO&lt;&gt;"manual",$M170&lt;&gt;1)),
IF(Import.TipoArredondamento&lt;&gt;"TransfereGOV",
ROUND(OFFSET($P170,0,AK$13),15-13*ORÇAMENTO!$AF$7)/$H170*OFFSET(ORÇAMENTO!$X$15,ROW(AK170)-ROW(AK$15),0),
ROUND(ROUND(OFFSET($P170,0,AK$13),15-13*ORÇAMENTO!$AF$7)*OFFSET(ORÇAMENTO!$W$15,ROW(AK170)-ROW(AK$15),0),15-13*ORÇAMENTO!$AF$11)),0)</f>
        <v>0</v>
      </c>
      <c r="AL170" s="545">
        <f ca="1">IF(AND($D170="Serviço",AL$12&lt;&gt;0,$H170&gt;0,OR(AUTOEVENTO&lt;&gt;"manual",$M170&lt;&gt;1)),
IF(Import.TipoArredondamento&lt;&gt;"TransfereGOV",
ROUND(OFFSET($P170,0,AL$13),15-13*ORÇAMENTO!$AF$7)/$H170*OFFSET(ORÇAMENTO!$X$15,ROW(AL170)-ROW(AL$15),0),
ROUND(ROUND(OFFSET($P170,0,AL$13),15-13*ORÇAMENTO!$AF$7)*OFFSET(ORÇAMENTO!$W$15,ROW(AL170)-ROW(AL$15),0),15-13*ORÇAMENTO!$AF$11)),0)</f>
        <v>0</v>
      </c>
      <c r="AM170" s="545">
        <f ca="1">IF(AND($D170="Serviço",AM$12&lt;&gt;0,$H170&gt;0,OR(AUTOEVENTO&lt;&gt;"manual",$M170&lt;&gt;1)),
IF(Import.TipoArredondamento&lt;&gt;"TransfereGOV",
ROUND(OFFSET($P170,0,AM$13),15-13*ORÇAMENTO!$AF$7)/$H170*OFFSET(ORÇAMENTO!$X$15,ROW(AM170)-ROW(AM$15),0),
ROUND(ROUND(OFFSET($P170,0,AM$13),15-13*ORÇAMENTO!$AF$7)*OFFSET(ORÇAMENTO!$W$15,ROW(AM170)-ROW(AM$15),0),15-13*ORÇAMENTO!$AF$11)),0)</f>
        <v>0</v>
      </c>
      <c r="AN170" s="545">
        <f ca="1">IF(AND($D170="Serviço",AN$12&lt;&gt;0,$H170&gt;0,OR(AUTOEVENTO&lt;&gt;"manual",$M170&lt;&gt;1)),
IF(Import.TipoArredondamento&lt;&gt;"TransfereGOV",
ROUND(OFFSET($P170,0,AN$13),15-13*ORÇAMENTO!$AF$7)/$H170*OFFSET(ORÇAMENTO!$X$15,ROW(AN170)-ROW(AN$15),0),
ROUND(ROUND(OFFSET($P170,0,AN$13),15-13*ORÇAMENTO!$AF$7)*OFFSET(ORÇAMENTO!$W$15,ROW(AN170)-ROW(AN$15),0),15-13*ORÇAMENTO!$AF$11)),0)</f>
        <v>0</v>
      </c>
      <c r="AO170" s="545">
        <f ca="1">IF(AND($D170="Serviço",AO$12&lt;&gt;0,$H170&gt;0,OR(AUTOEVENTO&lt;&gt;"manual",$M170&lt;&gt;1)),
IF(Import.TipoArredondamento&lt;&gt;"TransfereGOV",
ROUND(OFFSET($P170,0,AO$13),15-13*ORÇAMENTO!$AF$7)/$H170*OFFSET(ORÇAMENTO!$X$15,ROW(AO170)-ROW(AO$15),0),
ROUND(ROUND(OFFSET($P170,0,AO$13),15-13*ORÇAMENTO!$AF$7)*OFFSET(ORÇAMENTO!$W$15,ROW(AO170)-ROW(AO$15),0),15-13*ORÇAMENTO!$AF$11)),0)</f>
        <v>0</v>
      </c>
      <c r="AP170" s="545">
        <f ca="1">IF(AND($D170="Serviço",AP$12&lt;&gt;0,$H170&gt;0,OR(AUTOEVENTO&lt;&gt;"manual",$M170&lt;&gt;1)),
IF(Import.TipoArredondamento&lt;&gt;"TransfereGOV",
ROUND(OFFSET($P170,0,AP$13),15-13*ORÇAMENTO!$AF$7)/$H170*OFFSET(ORÇAMENTO!$X$15,ROW(AP170)-ROW(AP$15),0),
ROUND(ROUND(OFFSET($P170,0,AP$13),15-13*ORÇAMENTO!$AF$7)*OFFSET(ORÇAMENTO!$W$15,ROW(AP170)-ROW(AP$15),0),15-13*ORÇAMENTO!$AF$11)),0)</f>
        <v>0</v>
      </c>
      <c r="AQ170" s="545">
        <f ca="1">IF(AND($D170="Serviço",AQ$12&lt;&gt;0,$H170&gt;0,OR(AUTOEVENTO&lt;&gt;"manual",$M170&lt;&gt;1)),
IF(Import.TipoArredondamento&lt;&gt;"TransfereGOV",
ROUND(OFFSET($P170,0,AQ$13),15-13*ORÇAMENTO!$AF$7)/$H170*OFFSET(ORÇAMENTO!$X$15,ROW(AQ170)-ROW(AQ$15),0),
ROUND(ROUND(OFFSET($P170,0,AQ$13),15-13*ORÇAMENTO!$AF$7)*OFFSET(ORÇAMENTO!$W$15,ROW(AQ170)-ROW(AQ$15),0),15-13*ORÇAMENTO!$AF$11)),0)</f>
        <v>0</v>
      </c>
      <c r="AR170" s="545">
        <f ca="1">IF(AND($D170="Serviço",AR$12&lt;&gt;0,$H170&gt;0,OR(AUTOEVENTO&lt;&gt;"manual",$M170&lt;&gt;1)),
IF(Import.TipoArredondamento&lt;&gt;"TransfereGOV",
ROUND(OFFSET($P170,0,AR$13),15-13*ORÇAMENTO!$AF$7)/$H170*OFFSET(ORÇAMENTO!$X$15,ROW(AR170)-ROW(AR$15),0),
ROUND(ROUND(OFFSET($P170,0,AR$13),15-13*ORÇAMENTO!$AF$7)*OFFSET(ORÇAMENTO!$W$15,ROW(AR170)-ROW(AR$15),0),15-13*ORÇAMENTO!$AF$11)),0)</f>
        <v>0</v>
      </c>
      <c r="AS170" s="546">
        <f ca="1">IF(AND($D170="Serviço",AS$12&lt;&gt;0,$H170&gt;0,OR(AUTOEVENTO&lt;&gt;"manual",$M170&lt;&gt;1)),
IF(Import.TipoArredondamento&lt;&gt;"TransfereGOV",
ROUND(OFFSET($P170,0,AS$13),15-13*ORÇAMENTO!$AF$7)/$H170*OFFSET(ORÇAMENTO!$X$15,ROW(AS170)-ROW(AS$15),0),
ROUND(ROUND(OFFSET($P170,0,AS$13),15-13*ORÇAMENTO!$AF$7)*OFFSET(ORÇAMENTO!$W$15,ROW(AS170)-ROW(AS$15),0),15-13*ORÇAMENTO!$AF$11)),0)</f>
        <v>0</v>
      </c>
      <c r="AT170" s="545">
        <f ca="1">IF(AND($D170="Serviço",AT$12&lt;&gt;0,$H170&gt;0,OR(AUTOEVENTO&lt;&gt;"manual",$M170&lt;&gt;1)),
IF(Import.TipoArredondamento&lt;&gt;"TransfereGOV",
ROUND(OFFSET($P170,0,AT$13),15-13*ORÇAMENTO!$AF$7)/$H170*OFFSET(ORÇAMENTO!$X$15,ROW(AT170)-ROW(AT$15),0),
ROUND(ROUND(OFFSET($P170,0,AT$13),15-13*ORÇAMENTO!$AF$7)*OFFSET(ORÇAMENTO!$W$15,ROW(AT170)-ROW(AT$15),0),15-13*ORÇAMENTO!$AF$11)),0)</f>
        <v>0</v>
      </c>
      <c r="AU170" s="545">
        <f ca="1">IF(AND($D170="Serviço",AU$12&lt;&gt;0,$H170&gt;0,OR(AUTOEVENTO&lt;&gt;"manual",$M170&lt;&gt;1)),
IF(Import.TipoArredondamento&lt;&gt;"TransfereGOV",
ROUND(OFFSET($P170,0,AU$13),15-13*ORÇAMENTO!$AF$7)/$H170*OFFSET(ORÇAMENTO!$X$15,ROW(AU170)-ROW(AU$15),0),
ROUND(ROUND(OFFSET($P170,0,AU$13),15-13*ORÇAMENTO!$AF$7)*OFFSET(ORÇAMENTO!$W$15,ROW(AU170)-ROW(AU$15),0),15-13*ORÇAMENTO!$AF$11)),0)</f>
        <v>0</v>
      </c>
      <c r="AV170" s="545">
        <f ca="1">IF(AND($D170="Serviço",AV$12&lt;&gt;0,$H170&gt;0,OR(AUTOEVENTO&lt;&gt;"manual",$M170&lt;&gt;1)),
IF(Import.TipoArredondamento&lt;&gt;"TransfereGOV",
ROUND(OFFSET($P170,0,AV$13),15-13*ORÇAMENTO!$AF$7)/$H170*OFFSET(ORÇAMENTO!$X$15,ROW(AV170)-ROW(AV$15),0),
ROUND(ROUND(OFFSET($P170,0,AV$13),15-13*ORÇAMENTO!$AF$7)*OFFSET(ORÇAMENTO!$W$15,ROW(AV170)-ROW(AV$15),0),15-13*ORÇAMENTO!$AF$11)),0)</f>
        <v>0</v>
      </c>
      <c r="AW170" s="545">
        <f ca="1">IF(AND($D170="Serviço",AW$12&lt;&gt;0,$H170&gt;0,OR(AUTOEVENTO&lt;&gt;"manual",$M170&lt;&gt;1)),
IF(Import.TipoArredondamento&lt;&gt;"TransfereGOV",
ROUND(OFFSET($P170,0,AW$13),15-13*ORÇAMENTO!$AF$7)/$H170*OFFSET(ORÇAMENTO!$X$15,ROW(AW170)-ROW(AW$15),0),
ROUND(ROUND(OFFSET($P170,0,AW$13),15-13*ORÇAMENTO!$AF$7)*OFFSET(ORÇAMENTO!$W$15,ROW(AW170)-ROW(AW$15),0),15-13*ORÇAMENTO!$AF$11)),0)</f>
        <v>0</v>
      </c>
      <c r="AX170" s="545">
        <f ca="1">IF(AND($D170="Serviço",AX$12&lt;&gt;0,$H170&gt;0,OR(AUTOEVENTO&lt;&gt;"manual",$M170&lt;&gt;1)),
IF(Import.TipoArredondamento&lt;&gt;"TransfereGOV",
ROUND(OFFSET($P170,0,AX$13),15-13*ORÇAMENTO!$AF$7)/$H170*OFFSET(ORÇAMENTO!$X$15,ROW(AX170)-ROW(AX$15),0),
ROUND(ROUND(OFFSET($P170,0,AX$13),15-13*ORÇAMENTO!$AF$7)*OFFSET(ORÇAMENTO!$W$15,ROW(AX170)-ROW(AX$15),0),15-13*ORÇAMENTO!$AF$11)),0)</f>
        <v>0</v>
      </c>
      <c r="AY170" s="545">
        <f ca="1">IF(AND($D170="Serviço",AY$12&lt;&gt;0,$H170&gt;0,OR(AUTOEVENTO&lt;&gt;"manual",$M170&lt;&gt;1)),
IF(Import.TipoArredondamento&lt;&gt;"TransfereGOV",
ROUND(OFFSET($P170,0,AY$13),15-13*ORÇAMENTO!$AF$7)/$H170*OFFSET(ORÇAMENTO!$X$15,ROW(AY170)-ROW(AY$15),0),
ROUND(ROUND(OFFSET($P170,0,AY$13),15-13*ORÇAMENTO!$AF$7)*OFFSET(ORÇAMENTO!$W$15,ROW(AY170)-ROW(AY$15),0),15-13*ORÇAMENTO!$AF$11)),0)</f>
        <v>0</v>
      </c>
      <c r="AZ170" s="545">
        <f ca="1">IF(AND($D170="Serviço",AZ$12&lt;&gt;0,$H170&gt;0,OR(AUTOEVENTO&lt;&gt;"manual",$M170&lt;&gt;1)),
IF(Import.TipoArredondamento&lt;&gt;"TransfereGOV",
ROUND(OFFSET($P170,0,AZ$13),15-13*ORÇAMENTO!$AF$7)/$H170*OFFSET(ORÇAMENTO!$X$15,ROW(AZ170)-ROW(AZ$15),0),
ROUND(ROUND(OFFSET($P170,0,AZ$13),15-13*ORÇAMENTO!$AF$7)*OFFSET(ORÇAMENTO!$W$15,ROW(AZ170)-ROW(AZ$15),0),15-13*ORÇAMENTO!$AF$11)),0)</f>
        <v>0</v>
      </c>
      <c r="BA170" s="546">
        <f ca="1">IF(AND($D170="Serviço",BA$12&lt;&gt;0,$H170&gt;0,OR(AUTOEVENTO&lt;&gt;"manual",$M170&lt;&gt;1)),
IF(Import.TipoArredondamento&lt;&gt;"TransfereGOV",
ROUND(OFFSET($P170,0,BA$13),15-13*ORÇAMENTO!$AF$7)/$H170*OFFSET(ORÇAMENTO!$X$15,ROW(BA170)-ROW(BA$15),0),
ROUND(ROUND(OFFSET($P170,0,BA$13),15-13*ORÇAMENTO!$AF$7)*OFFSET(ORÇAMENTO!$W$15,ROW(BA170)-ROW(BA$15),0),15-13*ORÇAMENTO!$AF$11)),0)</f>
        <v>0</v>
      </c>
      <c r="BC170" s="181">
        <f ca="1">IF($D170&lt;&gt;"Serviço",0,IF(AND(AUTOEVENTO="Manual",$M170=1),0,IF(OFFSET(CRONOPLE!$F$14,$M170,BC$13)="",10^12,OFFSET(CRONOPLE!$F$14,$M170,BC$13))))</f>
        <v>6</v>
      </c>
      <c r="BD170" s="181">
        <f ca="1">IF($D170&lt;&gt;"Serviço",0,IF(AND(AUTOEVENTO="Manual",$M170=1),0,IF(OFFSET(CRONOPLE!$F$14,$M170,BD$13)="",10^12,OFFSET(CRONOPLE!$F$14,$M170,BD$13))))</f>
        <v>1000000000000</v>
      </c>
      <c r="BE170" s="181">
        <f ca="1">IF($D170&lt;&gt;"Serviço",0,IF(AND(AUTOEVENTO="Manual",$M170=1),0,IF(OFFSET(CRONOPLE!$F$14,$M170,BE$13)="",10^12,OFFSET(CRONOPLE!$F$14,$M170,BE$13))))</f>
        <v>1000000000000</v>
      </c>
      <c r="BF170" s="181">
        <f ca="1">IF($D170&lt;&gt;"Serviço",0,IF(AND(AUTOEVENTO="Manual",$M170=1),0,IF(OFFSET(CRONOPLE!$F$14,$M170,BF$13)="",10^12,OFFSET(CRONOPLE!$F$14,$M170,BF$13))))</f>
        <v>1000000000000</v>
      </c>
      <c r="BG170" s="181">
        <f ca="1">IF($D170&lt;&gt;"Serviço",0,IF(AND(AUTOEVENTO="Manual",$M170=1),0,IF(OFFSET(CRONOPLE!$F$14,$M170,BG$13)="",10^12,OFFSET(CRONOPLE!$F$14,$M170,BG$13))))</f>
        <v>1000000000000</v>
      </c>
      <c r="BH170" s="181">
        <f ca="1">IF($D170&lt;&gt;"Serviço",0,IF(AND(AUTOEVENTO="Manual",$M170=1),0,IF(OFFSET(CRONOPLE!$F$14,$M170,BH$13)="",10^12,OFFSET(CRONOPLE!$F$14,$M170,BH$13))))</f>
        <v>1000000000000</v>
      </c>
      <c r="BI170" s="181">
        <f ca="1">IF($D170&lt;&gt;"Serviço",0,IF(AND(AUTOEVENTO="Manual",$M170=1),0,IF(OFFSET(CRONOPLE!$F$14,$M170,BI$13)="",10^12,OFFSET(CRONOPLE!$F$14,$M170,BI$13))))</f>
        <v>1000000000000</v>
      </c>
      <c r="BJ170" s="181">
        <f ca="1">IF($D170&lt;&gt;"Serviço",0,IF(AND(AUTOEVENTO="Manual",$M170=1),0,IF(OFFSET(CRONOPLE!$F$14,$M170,BJ$13)="",10^12,OFFSET(CRONOPLE!$F$14,$M170,BJ$13))))</f>
        <v>1000000000000</v>
      </c>
      <c r="BK170" s="181">
        <f ca="1">IF($D170&lt;&gt;"Serviço",0,IF(AND(AUTOEVENTO="Manual",$M170=1),0,IF(OFFSET(CRONOPLE!$F$14,$M170,BK$13)="",10^12,OFFSET(CRONOPLE!$F$14,$M170,BK$13))))</f>
        <v>1000000000000</v>
      </c>
      <c r="BL170" s="181">
        <f ca="1">IF($D170&lt;&gt;"Serviço",0,IF(AND(AUTOEVENTO="Manual",$M170=1),0,IF(OFFSET(CRONOPLE!$F$14,$M170,BL$13)="",10^12,OFFSET(CRONOPLE!$F$14,$M170,BL$13))))</f>
        <v>1000000000000</v>
      </c>
      <c r="BM170" s="181">
        <f ca="1">IF($D170&lt;&gt;"Serviço",0,IF(AND(AUTOEVENTO="Manual",$M170=1),0,IF(OFFSET(CRONOPLE!$F$14,$M170,BM$13)="",10^12,OFFSET(CRONOPLE!$F$14,$M170,BM$13))))</f>
        <v>1000000000000</v>
      </c>
      <c r="BN170" s="181">
        <f ca="1">IF($D170&lt;&gt;"Serviço",0,IF(AND(AUTOEVENTO="Manual",$M170=1),0,IF(OFFSET(CRONOPLE!$F$14,$M170,BN$13)="",10^12,OFFSET(CRONOPLE!$F$14,$M170,BN$13))))</f>
        <v>1000000000000</v>
      </c>
      <c r="BO170" s="181">
        <f ca="1">IF($D170&lt;&gt;"Serviço",0,IF(AND(AUTOEVENTO="Manual",$M170=1),0,IF(OFFSET(CRONOPLE!$F$14,$M170,BO$13)="",10^12,OFFSET(CRONOPLE!$F$14,$M170,BO$13))))</f>
        <v>1000000000000</v>
      </c>
      <c r="BP170" s="181">
        <f ca="1">IF($D170&lt;&gt;"Serviço",0,IF(AND(AUTOEVENTO="Manual",$M170=1),0,IF(OFFSET(CRONOPLE!$F$14,$M170,BP$13)="",10^12,OFFSET(CRONOPLE!$F$14,$M170,BP$13))))</f>
        <v>1000000000000</v>
      </c>
      <c r="BQ170" s="181">
        <f ca="1">IF($D170&lt;&gt;"Serviço",0,IF(AND(AUTOEVENTO="Manual",$M170=1),0,IF(OFFSET(CRONOPLE!$F$14,$M170,BQ$13)="",10^12,OFFSET(CRONOPLE!$F$14,$M170,BQ$13))))</f>
        <v>1000000000000</v>
      </c>
      <c r="BR170" s="181">
        <f ca="1">IF($D170&lt;&gt;"Serviço",0,IF(AND(AUTOEVENTO="Manual",$M170=1),0,IF(OFFSET(CRONOPLE!$F$14,$M170,BR$13)="",10^12,OFFSET(CRONOPLE!$F$14,$M170,BR$13))))</f>
        <v>1000000000000</v>
      </c>
      <c r="BS170" s="181">
        <f ca="1">IF($D170&lt;&gt;"Serviço",0,IF(AND(AUTOEVENTO="Manual",$M170=1),0,IF(OFFSET(CRONOPLE!$F$14,$M170,BS$13)="",10^12,OFFSET(CRONOPLE!$F$14,$M170,BS$13))))</f>
        <v>1000000000000</v>
      </c>
      <c r="BT170" s="181">
        <f ca="1">IF($D170&lt;&gt;"Serviço",0,IF(AND(AUTOEVENTO="Manual",$M170=1),0,IF(OFFSET(CRONOPLE!$F$14,$M170,BT$13)="",10^12,OFFSET(CRONOPLE!$F$14,$M170,BT$13))))</f>
        <v>1000000000000</v>
      </c>
      <c r="BV170" s="182">
        <f ca="1">IF($D170&lt;&gt;"Serviço",0,IF(OR(AND(AUTOEVENTO="Manual",$M170=1),$M170&gt;(ROW(PLE.lastrow)-ROW(PLE.firstrow))),0,IF(OFFSET(PLE!$G$14,$M170,BV$13)="",10^12,OFFSET(PLE!$G$14,$M170,BV$13))))</f>
        <v>1000000000000</v>
      </c>
      <c r="BW170" s="182">
        <f ca="1">IF($D170&lt;&gt;"Serviço",0,IF(OR(AND(AUTOEVENTO="Manual",$M170=1),$M170&gt;(ROW(PLE.lastrow)-ROW(PLE.firstrow))),0,IF(OFFSET(PLE!$G$14,$M170,BW$13)="",10^12,OFFSET(PLE!$G$14,$M170,BW$13))))</f>
        <v>1000000000000</v>
      </c>
      <c r="BX170" s="182">
        <f ca="1">IF($D170&lt;&gt;"Serviço",0,IF(OR(AND(AUTOEVENTO="Manual",$M170=1),$M170&gt;(ROW(PLE.lastrow)-ROW(PLE.firstrow))),0,IF(OFFSET(PLE!$G$14,$M170,BX$13)="",10^12,OFFSET(PLE!$G$14,$M170,BX$13))))</f>
        <v>1000000000000</v>
      </c>
      <c r="BY170" s="182">
        <f ca="1">IF($D170&lt;&gt;"Serviço",0,IF(OR(AND(AUTOEVENTO="Manual",$M170=1),$M170&gt;(ROW(PLE.lastrow)-ROW(PLE.firstrow))),0,IF(OFFSET(PLE!$G$14,$M170,BY$13)="",10^12,OFFSET(PLE!$G$14,$M170,BY$13))))</f>
        <v>1000000000000</v>
      </c>
      <c r="BZ170" s="182">
        <f ca="1">IF($D170&lt;&gt;"Serviço",0,IF(OR(AND(AUTOEVENTO="Manual",$M170=1),$M170&gt;(ROW(PLE.lastrow)-ROW(PLE.firstrow))),0,IF(OFFSET(PLE!$G$14,$M170,BZ$13)="",10^12,OFFSET(PLE!$G$14,$M170,BZ$13))))</f>
        <v>1000000000000</v>
      </c>
      <c r="CA170" s="182">
        <f ca="1">IF($D170&lt;&gt;"Serviço",0,IF(OR(AND(AUTOEVENTO="Manual",$M170=1),$M170&gt;(ROW(PLE.lastrow)-ROW(PLE.firstrow))),0,IF(OFFSET(PLE!$G$14,$M170,CA$13)="",10^12,OFFSET(PLE!$G$14,$M170,CA$13))))</f>
        <v>1000000000000</v>
      </c>
      <c r="CB170" s="182">
        <f ca="1">IF($D170&lt;&gt;"Serviço",0,IF(OR(AND(AUTOEVENTO="Manual",$M170=1),$M170&gt;(ROW(PLE.lastrow)-ROW(PLE.firstrow))),0,IF(OFFSET(PLE!$G$14,$M170,CB$13)="",10^12,OFFSET(PLE!$G$14,$M170,CB$13))))</f>
        <v>1000000000000</v>
      </c>
      <c r="CC170" s="182">
        <f ca="1">IF($D170&lt;&gt;"Serviço",0,IF(OR(AND(AUTOEVENTO="Manual",$M170=1),$M170&gt;(ROW(PLE.lastrow)-ROW(PLE.firstrow))),0,IF(OFFSET(PLE!$G$14,$M170,CC$13)="",10^12,OFFSET(PLE!$G$14,$M170,CC$13))))</f>
        <v>1000000000000</v>
      </c>
      <c r="CD170" s="182">
        <f ca="1">IF($D170&lt;&gt;"Serviço",0,IF(OR(AND(AUTOEVENTO="Manual",$M170=1),$M170&gt;(ROW(PLE.lastrow)-ROW(PLE.firstrow))),0,IF(OFFSET(PLE!$G$14,$M170,CD$13)="",10^12,OFFSET(PLE!$G$14,$M170,CD$13))))</f>
        <v>1000000000000</v>
      </c>
      <c r="CE170" s="182">
        <f ca="1">IF($D170&lt;&gt;"Serviço",0,IF(OR(AND(AUTOEVENTO="Manual",$M170=1),$M170&gt;(ROW(PLE.lastrow)-ROW(PLE.firstrow))),0,IF(OFFSET(PLE!$G$14,$M170,CE$13)="",10^12,OFFSET(PLE!$G$14,$M170,CE$13))))</f>
        <v>1000000000000</v>
      </c>
      <c r="CF170" s="182">
        <f ca="1">IF($D170&lt;&gt;"Serviço",0,IF(OR(AND(AUTOEVENTO="Manual",$M170=1),$M170&gt;(ROW(PLE.lastrow)-ROW(PLE.firstrow))),0,IF(OFFSET(PLE!$G$14,$M170,CF$13)="",10^12,OFFSET(PLE!$G$14,$M170,CF$13))))</f>
        <v>1000000000000</v>
      </c>
      <c r="CG170" s="182">
        <f ca="1">IF($D170&lt;&gt;"Serviço",0,IF(OR(AND(AUTOEVENTO="Manual",$M170=1),$M170&gt;(ROW(PLE.lastrow)-ROW(PLE.firstrow))),0,IF(OFFSET(PLE!$G$14,$M170,CG$13)="",10^12,OFFSET(PLE!$G$14,$M170,CG$13))))</f>
        <v>1000000000000</v>
      </c>
      <c r="CH170" s="182">
        <f ca="1">IF($D170&lt;&gt;"Serviço",0,IF(OR(AND(AUTOEVENTO="Manual",$M170=1),$M170&gt;(ROW(PLE.lastrow)-ROW(PLE.firstrow))),0,IF(OFFSET(PLE!$G$14,$M170,CH$13)="",10^12,OFFSET(PLE!$G$14,$M170,CH$13))))</f>
        <v>1000000000000</v>
      </c>
      <c r="CI170" s="182">
        <f ca="1">IF($D170&lt;&gt;"Serviço",0,IF(OR(AND(AUTOEVENTO="Manual",$M170=1),$M170&gt;(ROW(PLE.lastrow)-ROW(PLE.firstrow))),0,IF(OFFSET(PLE!$G$14,$M170,CI$13)="",10^12,OFFSET(PLE!$G$14,$M170,CI$13))))</f>
        <v>1000000000000</v>
      </c>
      <c r="CJ170" s="182">
        <f ca="1">IF($D170&lt;&gt;"Serviço",0,IF(OR(AND(AUTOEVENTO="Manual",$M170=1),$M170&gt;(ROW(PLE.lastrow)-ROW(PLE.firstrow))),0,IF(OFFSET(PLE!$G$14,$M170,CJ$13)="",10^12,OFFSET(PLE!$G$14,$M170,CJ$13))))</f>
        <v>1000000000000</v>
      </c>
      <c r="CK170" s="182">
        <f ca="1">IF($D170&lt;&gt;"Serviço",0,IF(OR(AND(AUTOEVENTO="Manual",$M170=1),$M170&gt;(ROW(PLE.lastrow)-ROW(PLE.firstrow))),0,IF(OFFSET(PLE!$G$14,$M170,CK$13)="",10^12,OFFSET(PLE!$G$14,$M170,CK$13))))</f>
        <v>1000000000000</v>
      </c>
      <c r="CL170" s="182">
        <f ca="1">IF($D170&lt;&gt;"Serviço",0,IF(OR(AND(AUTOEVENTO="Manual",$M170=1),$M170&gt;(ROW(PLE.lastrow)-ROW(PLE.firstrow))),0,IF(OFFSET(PLE!$G$14,$M170,CL$13)="",10^12,OFFSET(PLE!$G$14,$M170,CL$13))))</f>
        <v>1000000000000</v>
      </c>
      <c r="CM170" s="182">
        <f ca="1">IF($D170&lt;&gt;"Serviço",0,IF(OR(AND(AUTOEVENTO="Manual",$M170=1),$M170&gt;(ROW(PLE.lastrow)-ROW(PLE.firstrow))),0,IF(OFFSET(PLE!$G$14,$M170,CM$13)="",10^12,OFFSET(PLE!$G$14,$M170,CM$13))))</f>
        <v>1000000000000</v>
      </c>
    </row>
    <row r="171" spans="1:91" ht="38.25" x14ac:dyDescent="0.2">
      <c r="A171" s="7" t="str">
        <f t="shared" ca="1" si="11"/>
        <v>154</v>
      </c>
      <c r="B171" s="7" t="str">
        <f ca="1">OFFSET(ORÇAMENTO!C$15,ROW(B171)-ROW(B$15),0)</f>
        <v>S</v>
      </c>
      <c r="C171" s="7" t="str">
        <f ca="1">OFFSET(ORÇAMENTO!L$15,ROW(C171)-ROW(C$15),0)</f>
        <v/>
      </c>
      <c r="D171" s="118" t="str">
        <f ca="1">OFFSET(ORÇAMENTO!N$15,ROW(D171)-ROW(D$15),0)</f>
        <v>Serviço</v>
      </c>
      <c r="E171" s="119" t="str">
        <f ca="1">OFFSET(ORÇAMENTO!O$15,ROW(E171)-ROW(E$15),0)</f>
        <v>-</v>
      </c>
      <c r="F171" s="172" t="str">
        <f ca="1">OFFSET(ORÇAMENTO!R$15,ROW(F171)-ROW(F$15),0)</f>
        <v>(abra o arquivo 'Referência 06-2024.xlsm)</v>
      </c>
      <c r="G171" s="173" t="str">
        <f ca="1">IF($D171&lt;&gt;"Serviço","",OFFSET(ORÇAMENTO!S$15,ROW(G171)-ROW(G$15),0))</f>
        <v>-</v>
      </c>
      <c r="H171" s="124">
        <f ca="1">IF($D171&lt;&gt;"Serviço",0,IF(ACOMPANHAMENTO="BM",ROUND(OFFSET(ORÇAMENTO!AJ$15,ROW(H171)-ROW(H$15),0),15-13*ORÇAMENTO!$AF$7),SUMPRODUCT(($Q$12:$AI$12&lt;&gt;"")*ROUND($Q171:$AI171,15-13*ORÇAMENTO!$AF$7))))</f>
        <v>33.700000000000003</v>
      </c>
      <c r="I171" s="561" t="s">
        <v>1107</v>
      </c>
      <c r="K171" s="174"/>
      <c r="L171" s="175" t="s">
        <v>255</v>
      </c>
      <c r="M171" s="176">
        <f ca="1">IF($D171&lt;&gt;"Serviço","",IF(AUTOEVENTO="manual",$A171,IF(ISERROR(MATCH($A171,$A$15:OFFSET($A171,-1,0),0)),MAX($M$15:OFFSET(M171,-1,0))+1,INDEX($M$15:OFFSET(M171,-1,0),MATCH($A171,$A$15:OFFSET($A171,-1,0),0)))))</f>
        <v>25</v>
      </c>
      <c r="N171" s="177" t="str">
        <f ca="1">IF($D171&lt;&gt;"Serviço","",IF(AUTOEVENTO="Manual",IF($A171=0,"&lt;-- defina o número do agrupador",OFFSET(EVENTOS!$D$14,$A171,0)),OFFSET($F$15,$A171,0)))</f>
        <v>SISTEMAS DE COBERTURA</v>
      </c>
      <c r="O171" s="178"/>
      <c r="Q171" s="178">
        <v>33.700000000000003</v>
      </c>
      <c r="R171" s="179"/>
      <c r="S171" s="179"/>
      <c r="T171" s="179"/>
      <c r="U171" s="179"/>
      <c r="V171" s="179"/>
      <c r="W171" s="179"/>
      <c r="X171" s="179"/>
      <c r="Y171" s="179"/>
      <c r="Z171" s="180"/>
      <c r="AA171" s="179"/>
      <c r="AB171" s="179"/>
      <c r="AC171" s="179"/>
      <c r="AD171" s="179"/>
      <c r="AE171" s="179"/>
      <c r="AF171" s="179"/>
      <c r="AG171" s="179"/>
      <c r="AH171" s="180"/>
      <c r="AJ171" s="544">
        <f ca="1">IF(AND($D171="Serviço",AJ$12&lt;&gt;0,$H171&gt;0,OR(AUTOEVENTO&lt;&gt;"manual",$M171&lt;&gt;1)),
IF(Import.TipoArredondamento&lt;&gt;"TransfereGOV",
ROUND(OFFSET($P171,0,AJ$13),15-13*ORÇAMENTO!$AF$7)/$H171*OFFSET(ORÇAMENTO!$X$15,ROW(AJ171)-ROW(AJ$15),0),
ROUND(ROUND(OFFSET($P171,0,AJ$13),15-13*ORÇAMENTO!$AF$7)*OFFSET(ORÇAMENTO!$W$15,ROW(AJ171)-ROW(AJ$15),0),15-13*ORÇAMENTO!$AF$11)),0)</f>
        <v>0</v>
      </c>
      <c r="AK171" s="545">
        <f ca="1">IF(AND($D171="Serviço",AK$12&lt;&gt;0,$H171&gt;0,OR(AUTOEVENTO&lt;&gt;"manual",$M171&lt;&gt;1)),
IF(Import.TipoArredondamento&lt;&gt;"TransfereGOV",
ROUND(OFFSET($P171,0,AK$13),15-13*ORÇAMENTO!$AF$7)/$H171*OFFSET(ORÇAMENTO!$X$15,ROW(AK171)-ROW(AK$15),0),
ROUND(ROUND(OFFSET($P171,0,AK$13),15-13*ORÇAMENTO!$AF$7)*OFFSET(ORÇAMENTO!$W$15,ROW(AK171)-ROW(AK$15),0),15-13*ORÇAMENTO!$AF$11)),0)</f>
        <v>0</v>
      </c>
      <c r="AL171" s="545">
        <f ca="1">IF(AND($D171="Serviço",AL$12&lt;&gt;0,$H171&gt;0,OR(AUTOEVENTO&lt;&gt;"manual",$M171&lt;&gt;1)),
IF(Import.TipoArredondamento&lt;&gt;"TransfereGOV",
ROUND(OFFSET($P171,0,AL$13),15-13*ORÇAMENTO!$AF$7)/$H171*OFFSET(ORÇAMENTO!$X$15,ROW(AL171)-ROW(AL$15),0),
ROUND(ROUND(OFFSET($P171,0,AL$13),15-13*ORÇAMENTO!$AF$7)*OFFSET(ORÇAMENTO!$W$15,ROW(AL171)-ROW(AL$15),0),15-13*ORÇAMENTO!$AF$11)),0)</f>
        <v>0</v>
      </c>
      <c r="AM171" s="545">
        <f ca="1">IF(AND($D171="Serviço",AM$12&lt;&gt;0,$H171&gt;0,OR(AUTOEVENTO&lt;&gt;"manual",$M171&lt;&gt;1)),
IF(Import.TipoArredondamento&lt;&gt;"TransfereGOV",
ROUND(OFFSET($P171,0,AM$13),15-13*ORÇAMENTO!$AF$7)/$H171*OFFSET(ORÇAMENTO!$X$15,ROW(AM171)-ROW(AM$15),0),
ROUND(ROUND(OFFSET($P171,0,AM$13),15-13*ORÇAMENTO!$AF$7)*OFFSET(ORÇAMENTO!$W$15,ROW(AM171)-ROW(AM$15),0),15-13*ORÇAMENTO!$AF$11)),0)</f>
        <v>0</v>
      </c>
      <c r="AN171" s="545">
        <f ca="1">IF(AND($D171="Serviço",AN$12&lt;&gt;0,$H171&gt;0,OR(AUTOEVENTO&lt;&gt;"manual",$M171&lt;&gt;1)),
IF(Import.TipoArredondamento&lt;&gt;"TransfereGOV",
ROUND(OFFSET($P171,0,AN$13),15-13*ORÇAMENTO!$AF$7)/$H171*OFFSET(ORÇAMENTO!$X$15,ROW(AN171)-ROW(AN$15),0),
ROUND(ROUND(OFFSET($P171,0,AN$13),15-13*ORÇAMENTO!$AF$7)*OFFSET(ORÇAMENTO!$W$15,ROW(AN171)-ROW(AN$15),0),15-13*ORÇAMENTO!$AF$11)),0)</f>
        <v>0</v>
      </c>
      <c r="AO171" s="545">
        <f ca="1">IF(AND($D171="Serviço",AO$12&lt;&gt;0,$H171&gt;0,OR(AUTOEVENTO&lt;&gt;"manual",$M171&lt;&gt;1)),
IF(Import.TipoArredondamento&lt;&gt;"TransfereGOV",
ROUND(OFFSET($P171,0,AO$13),15-13*ORÇAMENTO!$AF$7)/$H171*OFFSET(ORÇAMENTO!$X$15,ROW(AO171)-ROW(AO$15),0),
ROUND(ROUND(OFFSET($P171,0,AO$13),15-13*ORÇAMENTO!$AF$7)*OFFSET(ORÇAMENTO!$W$15,ROW(AO171)-ROW(AO$15),0),15-13*ORÇAMENTO!$AF$11)),0)</f>
        <v>0</v>
      </c>
      <c r="AP171" s="545">
        <f ca="1">IF(AND($D171="Serviço",AP$12&lt;&gt;0,$H171&gt;0,OR(AUTOEVENTO&lt;&gt;"manual",$M171&lt;&gt;1)),
IF(Import.TipoArredondamento&lt;&gt;"TransfereGOV",
ROUND(OFFSET($P171,0,AP$13),15-13*ORÇAMENTO!$AF$7)/$H171*OFFSET(ORÇAMENTO!$X$15,ROW(AP171)-ROW(AP$15),0),
ROUND(ROUND(OFFSET($P171,0,AP$13),15-13*ORÇAMENTO!$AF$7)*OFFSET(ORÇAMENTO!$W$15,ROW(AP171)-ROW(AP$15),0),15-13*ORÇAMENTO!$AF$11)),0)</f>
        <v>0</v>
      </c>
      <c r="AQ171" s="545">
        <f ca="1">IF(AND($D171="Serviço",AQ$12&lt;&gt;0,$H171&gt;0,OR(AUTOEVENTO&lt;&gt;"manual",$M171&lt;&gt;1)),
IF(Import.TipoArredondamento&lt;&gt;"TransfereGOV",
ROUND(OFFSET($P171,0,AQ$13),15-13*ORÇAMENTO!$AF$7)/$H171*OFFSET(ORÇAMENTO!$X$15,ROW(AQ171)-ROW(AQ$15),0),
ROUND(ROUND(OFFSET($P171,0,AQ$13),15-13*ORÇAMENTO!$AF$7)*OFFSET(ORÇAMENTO!$W$15,ROW(AQ171)-ROW(AQ$15),0),15-13*ORÇAMENTO!$AF$11)),0)</f>
        <v>0</v>
      </c>
      <c r="AR171" s="545">
        <f ca="1">IF(AND($D171="Serviço",AR$12&lt;&gt;0,$H171&gt;0,OR(AUTOEVENTO&lt;&gt;"manual",$M171&lt;&gt;1)),
IF(Import.TipoArredondamento&lt;&gt;"TransfereGOV",
ROUND(OFFSET($P171,0,AR$13),15-13*ORÇAMENTO!$AF$7)/$H171*OFFSET(ORÇAMENTO!$X$15,ROW(AR171)-ROW(AR$15),0),
ROUND(ROUND(OFFSET($P171,0,AR$13),15-13*ORÇAMENTO!$AF$7)*OFFSET(ORÇAMENTO!$W$15,ROW(AR171)-ROW(AR$15),0),15-13*ORÇAMENTO!$AF$11)),0)</f>
        <v>0</v>
      </c>
      <c r="AS171" s="546">
        <f ca="1">IF(AND($D171="Serviço",AS$12&lt;&gt;0,$H171&gt;0,OR(AUTOEVENTO&lt;&gt;"manual",$M171&lt;&gt;1)),
IF(Import.TipoArredondamento&lt;&gt;"TransfereGOV",
ROUND(OFFSET($P171,0,AS$13),15-13*ORÇAMENTO!$AF$7)/$H171*OFFSET(ORÇAMENTO!$X$15,ROW(AS171)-ROW(AS$15),0),
ROUND(ROUND(OFFSET($P171,0,AS$13),15-13*ORÇAMENTO!$AF$7)*OFFSET(ORÇAMENTO!$W$15,ROW(AS171)-ROW(AS$15),0),15-13*ORÇAMENTO!$AF$11)),0)</f>
        <v>0</v>
      </c>
      <c r="AT171" s="545">
        <f ca="1">IF(AND($D171="Serviço",AT$12&lt;&gt;0,$H171&gt;0,OR(AUTOEVENTO&lt;&gt;"manual",$M171&lt;&gt;1)),
IF(Import.TipoArredondamento&lt;&gt;"TransfereGOV",
ROUND(OFFSET($P171,0,AT$13),15-13*ORÇAMENTO!$AF$7)/$H171*OFFSET(ORÇAMENTO!$X$15,ROW(AT171)-ROW(AT$15),0),
ROUND(ROUND(OFFSET($P171,0,AT$13),15-13*ORÇAMENTO!$AF$7)*OFFSET(ORÇAMENTO!$W$15,ROW(AT171)-ROW(AT$15),0),15-13*ORÇAMENTO!$AF$11)),0)</f>
        <v>0</v>
      </c>
      <c r="AU171" s="545">
        <f ca="1">IF(AND($D171="Serviço",AU$12&lt;&gt;0,$H171&gt;0,OR(AUTOEVENTO&lt;&gt;"manual",$M171&lt;&gt;1)),
IF(Import.TipoArredondamento&lt;&gt;"TransfereGOV",
ROUND(OFFSET($P171,0,AU$13),15-13*ORÇAMENTO!$AF$7)/$H171*OFFSET(ORÇAMENTO!$X$15,ROW(AU171)-ROW(AU$15),0),
ROUND(ROUND(OFFSET($P171,0,AU$13),15-13*ORÇAMENTO!$AF$7)*OFFSET(ORÇAMENTO!$W$15,ROW(AU171)-ROW(AU$15),0),15-13*ORÇAMENTO!$AF$11)),0)</f>
        <v>0</v>
      </c>
      <c r="AV171" s="545">
        <f ca="1">IF(AND($D171="Serviço",AV$12&lt;&gt;0,$H171&gt;0,OR(AUTOEVENTO&lt;&gt;"manual",$M171&lt;&gt;1)),
IF(Import.TipoArredondamento&lt;&gt;"TransfereGOV",
ROUND(OFFSET($P171,0,AV$13),15-13*ORÇAMENTO!$AF$7)/$H171*OFFSET(ORÇAMENTO!$X$15,ROW(AV171)-ROW(AV$15),0),
ROUND(ROUND(OFFSET($P171,0,AV$13),15-13*ORÇAMENTO!$AF$7)*OFFSET(ORÇAMENTO!$W$15,ROW(AV171)-ROW(AV$15),0),15-13*ORÇAMENTO!$AF$11)),0)</f>
        <v>0</v>
      </c>
      <c r="AW171" s="545">
        <f ca="1">IF(AND($D171="Serviço",AW$12&lt;&gt;0,$H171&gt;0,OR(AUTOEVENTO&lt;&gt;"manual",$M171&lt;&gt;1)),
IF(Import.TipoArredondamento&lt;&gt;"TransfereGOV",
ROUND(OFFSET($P171,0,AW$13),15-13*ORÇAMENTO!$AF$7)/$H171*OFFSET(ORÇAMENTO!$X$15,ROW(AW171)-ROW(AW$15),0),
ROUND(ROUND(OFFSET($P171,0,AW$13),15-13*ORÇAMENTO!$AF$7)*OFFSET(ORÇAMENTO!$W$15,ROW(AW171)-ROW(AW$15),0),15-13*ORÇAMENTO!$AF$11)),0)</f>
        <v>0</v>
      </c>
      <c r="AX171" s="545">
        <f ca="1">IF(AND($D171="Serviço",AX$12&lt;&gt;0,$H171&gt;0,OR(AUTOEVENTO&lt;&gt;"manual",$M171&lt;&gt;1)),
IF(Import.TipoArredondamento&lt;&gt;"TransfereGOV",
ROUND(OFFSET($P171,0,AX$13),15-13*ORÇAMENTO!$AF$7)/$H171*OFFSET(ORÇAMENTO!$X$15,ROW(AX171)-ROW(AX$15),0),
ROUND(ROUND(OFFSET($P171,0,AX$13),15-13*ORÇAMENTO!$AF$7)*OFFSET(ORÇAMENTO!$W$15,ROW(AX171)-ROW(AX$15),0),15-13*ORÇAMENTO!$AF$11)),0)</f>
        <v>0</v>
      </c>
      <c r="AY171" s="545">
        <f ca="1">IF(AND($D171="Serviço",AY$12&lt;&gt;0,$H171&gt;0,OR(AUTOEVENTO&lt;&gt;"manual",$M171&lt;&gt;1)),
IF(Import.TipoArredondamento&lt;&gt;"TransfereGOV",
ROUND(OFFSET($P171,0,AY$13),15-13*ORÇAMENTO!$AF$7)/$H171*OFFSET(ORÇAMENTO!$X$15,ROW(AY171)-ROW(AY$15),0),
ROUND(ROUND(OFFSET($P171,0,AY$13),15-13*ORÇAMENTO!$AF$7)*OFFSET(ORÇAMENTO!$W$15,ROW(AY171)-ROW(AY$15),0),15-13*ORÇAMENTO!$AF$11)),0)</f>
        <v>0</v>
      </c>
      <c r="AZ171" s="545">
        <f ca="1">IF(AND($D171="Serviço",AZ$12&lt;&gt;0,$H171&gt;0,OR(AUTOEVENTO&lt;&gt;"manual",$M171&lt;&gt;1)),
IF(Import.TipoArredondamento&lt;&gt;"TransfereGOV",
ROUND(OFFSET($P171,0,AZ$13),15-13*ORÇAMENTO!$AF$7)/$H171*OFFSET(ORÇAMENTO!$X$15,ROW(AZ171)-ROW(AZ$15),0),
ROUND(ROUND(OFFSET($P171,0,AZ$13),15-13*ORÇAMENTO!$AF$7)*OFFSET(ORÇAMENTO!$W$15,ROW(AZ171)-ROW(AZ$15),0),15-13*ORÇAMENTO!$AF$11)),0)</f>
        <v>0</v>
      </c>
      <c r="BA171" s="546">
        <f ca="1">IF(AND($D171="Serviço",BA$12&lt;&gt;0,$H171&gt;0,OR(AUTOEVENTO&lt;&gt;"manual",$M171&lt;&gt;1)),
IF(Import.TipoArredondamento&lt;&gt;"TransfereGOV",
ROUND(OFFSET($P171,0,BA$13),15-13*ORÇAMENTO!$AF$7)/$H171*OFFSET(ORÇAMENTO!$X$15,ROW(BA171)-ROW(BA$15),0),
ROUND(ROUND(OFFSET($P171,0,BA$13),15-13*ORÇAMENTO!$AF$7)*OFFSET(ORÇAMENTO!$W$15,ROW(BA171)-ROW(BA$15),0),15-13*ORÇAMENTO!$AF$11)),0)</f>
        <v>0</v>
      </c>
      <c r="BC171" s="181">
        <f ca="1">IF($D171&lt;&gt;"Serviço",0,IF(AND(AUTOEVENTO="Manual",$M171=1),0,IF(OFFSET(CRONOPLE!$F$14,$M171,BC$13)="",10^12,OFFSET(CRONOPLE!$F$14,$M171,BC$13))))</f>
        <v>6</v>
      </c>
      <c r="BD171" s="181">
        <f ca="1">IF($D171&lt;&gt;"Serviço",0,IF(AND(AUTOEVENTO="Manual",$M171=1),0,IF(OFFSET(CRONOPLE!$F$14,$M171,BD$13)="",10^12,OFFSET(CRONOPLE!$F$14,$M171,BD$13))))</f>
        <v>1000000000000</v>
      </c>
      <c r="BE171" s="181">
        <f ca="1">IF($D171&lt;&gt;"Serviço",0,IF(AND(AUTOEVENTO="Manual",$M171=1),0,IF(OFFSET(CRONOPLE!$F$14,$M171,BE$13)="",10^12,OFFSET(CRONOPLE!$F$14,$M171,BE$13))))</f>
        <v>1000000000000</v>
      </c>
      <c r="BF171" s="181">
        <f ca="1">IF($D171&lt;&gt;"Serviço",0,IF(AND(AUTOEVENTO="Manual",$M171=1),0,IF(OFFSET(CRONOPLE!$F$14,$M171,BF$13)="",10^12,OFFSET(CRONOPLE!$F$14,$M171,BF$13))))</f>
        <v>1000000000000</v>
      </c>
      <c r="BG171" s="181">
        <f ca="1">IF($D171&lt;&gt;"Serviço",0,IF(AND(AUTOEVENTO="Manual",$M171=1),0,IF(OFFSET(CRONOPLE!$F$14,$M171,BG$13)="",10^12,OFFSET(CRONOPLE!$F$14,$M171,BG$13))))</f>
        <v>1000000000000</v>
      </c>
      <c r="BH171" s="181">
        <f ca="1">IF($D171&lt;&gt;"Serviço",0,IF(AND(AUTOEVENTO="Manual",$M171=1),0,IF(OFFSET(CRONOPLE!$F$14,$M171,BH$13)="",10^12,OFFSET(CRONOPLE!$F$14,$M171,BH$13))))</f>
        <v>1000000000000</v>
      </c>
      <c r="BI171" s="181">
        <f ca="1">IF($D171&lt;&gt;"Serviço",0,IF(AND(AUTOEVENTO="Manual",$M171=1),0,IF(OFFSET(CRONOPLE!$F$14,$M171,BI$13)="",10^12,OFFSET(CRONOPLE!$F$14,$M171,BI$13))))</f>
        <v>1000000000000</v>
      </c>
      <c r="BJ171" s="181">
        <f ca="1">IF($D171&lt;&gt;"Serviço",0,IF(AND(AUTOEVENTO="Manual",$M171=1),0,IF(OFFSET(CRONOPLE!$F$14,$M171,BJ$13)="",10^12,OFFSET(CRONOPLE!$F$14,$M171,BJ$13))))</f>
        <v>1000000000000</v>
      </c>
      <c r="BK171" s="181">
        <f ca="1">IF($D171&lt;&gt;"Serviço",0,IF(AND(AUTOEVENTO="Manual",$M171=1),0,IF(OFFSET(CRONOPLE!$F$14,$M171,BK$13)="",10^12,OFFSET(CRONOPLE!$F$14,$M171,BK$13))))</f>
        <v>1000000000000</v>
      </c>
      <c r="BL171" s="181">
        <f ca="1">IF($D171&lt;&gt;"Serviço",0,IF(AND(AUTOEVENTO="Manual",$M171=1),0,IF(OFFSET(CRONOPLE!$F$14,$M171,BL$13)="",10^12,OFFSET(CRONOPLE!$F$14,$M171,BL$13))))</f>
        <v>1000000000000</v>
      </c>
      <c r="BM171" s="181">
        <f ca="1">IF($D171&lt;&gt;"Serviço",0,IF(AND(AUTOEVENTO="Manual",$M171=1),0,IF(OFFSET(CRONOPLE!$F$14,$M171,BM$13)="",10^12,OFFSET(CRONOPLE!$F$14,$M171,BM$13))))</f>
        <v>1000000000000</v>
      </c>
      <c r="BN171" s="181">
        <f ca="1">IF($D171&lt;&gt;"Serviço",0,IF(AND(AUTOEVENTO="Manual",$M171=1),0,IF(OFFSET(CRONOPLE!$F$14,$M171,BN$13)="",10^12,OFFSET(CRONOPLE!$F$14,$M171,BN$13))))</f>
        <v>1000000000000</v>
      </c>
      <c r="BO171" s="181">
        <f ca="1">IF($D171&lt;&gt;"Serviço",0,IF(AND(AUTOEVENTO="Manual",$M171=1),0,IF(OFFSET(CRONOPLE!$F$14,$M171,BO$13)="",10^12,OFFSET(CRONOPLE!$F$14,$M171,BO$13))))</f>
        <v>1000000000000</v>
      </c>
      <c r="BP171" s="181">
        <f ca="1">IF($D171&lt;&gt;"Serviço",0,IF(AND(AUTOEVENTO="Manual",$M171=1),0,IF(OFFSET(CRONOPLE!$F$14,$M171,BP$13)="",10^12,OFFSET(CRONOPLE!$F$14,$M171,BP$13))))</f>
        <v>1000000000000</v>
      </c>
      <c r="BQ171" s="181">
        <f ca="1">IF($D171&lt;&gt;"Serviço",0,IF(AND(AUTOEVENTO="Manual",$M171=1),0,IF(OFFSET(CRONOPLE!$F$14,$M171,BQ$13)="",10^12,OFFSET(CRONOPLE!$F$14,$M171,BQ$13))))</f>
        <v>1000000000000</v>
      </c>
      <c r="BR171" s="181">
        <f ca="1">IF($D171&lt;&gt;"Serviço",0,IF(AND(AUTOEVENTO="Manual",$M171=1),0,IF(OFFSET(CRONOPLE!$F$14,$M171,BR$13)="",10^12,OFFSET(CRONOPLE!$F$14,$M171,BR$13))))</f>
        <v>1000000000000</v>
      </c>
      <c r="BS171" s="181">
        <f ca="1">IF($D171&lt;&gt;"Serviço",0,IF(AND(AUTOEVENTO="Manual",$M171=1),0,IF(OFFSET(CRONOPLE!$F$14,$M171,BS$13)="",10^12,OFFSET(CRONOPLE!$F$14,$M171,BS$13))))</f>
        <v>1000000000000</v>
      </c>
      <c r="BT171" s="181">
        <f ca="1">IF($D171&lt;&gt;"Serviço",0,IF(AND(AUTOEVENTO="Manual",$M171=1),0,IF(OFFSET(CRONOPLE!$F$14,$M171,BT$13)="",10^12,OFFSET(CRONOPLE!$F$14,$M171,BT$13))))</f>
        <v>1000000000000</v>
      </c>
      <c r="BV171" s="182">
        <f ca="1">IF($D171&lt;&gt;"Serviço",0,IF(OR(AND(AUTOEVENTO="Manual",$M171=1),$M171&gt;(ROW(PLE.lastrow)-ROW(PLE.firstrow))),0,IF(OFFSET(PLE!$G$14,$M171,BV$13)="",10^12,OFFSET(PLE!$G$14,$M171,BV$13))))</f>
        <v>1000000000000</v>
      </c>
      <c r="BW171" s="182">
        <f ca="1">IF($D171&lt;&gt;"Serviço",0,IF(OR(AND(AUTOEVENTO="Manual",$M171=1),$M171&gt;(ROW(PLE.lastrow)-ROW(PLE.firstrow))),0,IF(OFFSET(PLE!$G$14,$M171,BW$13)="",10^12,OFFSET(PLE!$G$14,$M171,BW$13))))</f>
        <v>1000000000000</v>
      </c>
      <c r="BX171" s="182">
        <f ca="1">IF($D171&lt;&gt;"Serviço",0,IF(OR(AND(AUTOEVENTO="Manual",$M171=1),$M171&gt;(ROW(PLE.lastrow)-ROW(PLE.firstrow))),0,IF(OFFSET(PLE!$G$14,$M171,BX$13)="",10^12,OFFSET(PLE!$G$14,$M171,BX$13))))</f>
        <v>1000000000000</v>
      </c>
      <c r="BY171" s="182">
        <f ca="1">IF($D171&lt;&gt;"Serviço",0,IF(OR(AND(AUTOEVENTO="Manual",$M171=1),$M171&gt;(ROW(PLE.lastrow)-ROW(PLE.firstrow))),0,IF(OFFSET(PLE!$G$14,$M171,BY$13)="",10^12,OFFSET(PLE!$G$14,$M171,BY$13))))</f>
        <v>1000000000000</v>
      </c>
      <c r="BZ171" s="182">
        <f ca="1">IF($D171&lt;&gt;"Serviço",0,IF(OR(AND(AUTOEVENTO="Manual",$M171=1),$M171&gt;(ROW(PLE.lastrow)-ROW(PLE.firstrow))),0,IF(OFFSET(PLE!$G$14,$M171,BZ$13)="",10^12,OFFSET(PLE!$G$14,$M171,BZ$13))))</f>
        <v>1000000000000</v>
      </c>
      <c r="CA171" s="182">
        <f ca="1">IF($D171&lt;&gt;"Serviço",0,IF(OR(AND(AUTOEVENTO="Manual",$M171=1),$M171&gt;(ROW(PLE.lastrow)-ROW(PLE.firstrow))),0,IF(OFFSET(PLE!$G$14,$M171,CA$13)="",10^12,OFFSET(PLE!$G$14,$M171,CA$13))))</f>
        <v>1000000000000</v>
      </c>
      <c r="CB171" s="182">
        <f ca="1">IF($D171&lt;&gt;"Serviço",0,IF(OR(AND(AUTOEVENTO="Manual",$M171=1),$M171&gt;(ROW(PLE.lastrow)-ROW(PLE.firstrow))),0,IF(OFFSET(PLE!$G$14,$M171,CB$13)="",10^12,OFFSET(PLE!$G$14,$M171,CB$13))))</f>
        <v>1000000000000</v>
      </c>
      <c r="CC171" s="182">
        <f ca="1">IF($D171&lt;&gt;"Serviço",0,IF(OR(AND(AUTOEVENTO="Manual",$M171=1),$M171&gt;(ROW(PLE.lastrow)-ROW(PLE.firstrow))),0,IF(OFFSET(PLE!$G$14,$M171,CC$13)="",10^12,OFFSET(PLE!$G$14,$M171,CC$13))))</f>
        <v>1000000000000</v>
      </c>
      <c r="CD171" s="182">
        <f ca="1">IF($D171&lt;&gt;"Serviço",0,IF(OR(AND(AUTOEVENTO="Manual",$M171=1),$M171&gt;(ROW(PLE.lastrow)-ROW(PLE.firstrow))),0,IF(OFFSET(PLE!$G$14,$M171,CD$13)="",10^12,OFFSET(PLE!$G$14,$M171,CD$13))))</f>
        <v>1000000000000</v>
      </c>
      <c r="CE171" s="182">
        <f ca="1">IF($D171&lt;&gt;"Serviço",0,IF(OR(AND(AUTOEVENTO="Manual",$M171=1),$M171&gt;(ROW(PLE.lastrow)-ROW(PLE.firstrow))),0,IF(OFFSET(PLE!$G$14,$M171,CE$13)="",10^12,OFFSET(PLE!$G$14,$M171,CE$13))))</f>
        <v>1000000000000</v>
      </c>
      <c r="CF171" s="182">
        <f ca="1">IF($D171&lt;&gt;"Serviço",0,IF(OR(AND(AUTOEVENTO="Manual",$M171=1),$M171&gt;(ROW(PLE.lastrow)-ROW(PLE.firstrow))),0,IF(OFFSET(PLE!$G$14,$M171,CF$13)="",10^12,OFFSET(PLE!$G$14,$M171,CF$13))))</f>
        <v>1000000000000</v>
      </c>
      <c r="CG171" s="182">
        <f ca="1">IF($D171&lt;&gt;"Serviço",0,IF(OR(AND(AUTOEVENTO="Manual",$M171=1),$M171&gt;(ROW(PLE.lastrow)-ROW(PLE.firstrow))),0,IF(OFFSET(PLE!$G$14,$M171,CG$13)="",10^12,OFFSET(PLE!$G$14,$M171,CG$13))))</f>
        <v>1000000000000</v>
      </c>
      <c r="CH171" s="182">
        <f ca="1">IF($D171&lt;&gt;"Serviço",0,IF(OR(AND(AUTOEVENTO="Manual",$M171=1),$M171&gt;(ROW(PLE.lastrow)-ROW(PLE.firstrow))),0,IF(OFFSET(PLE!$G$14,$M171,CH$13)="",10^12,OFFSET(PLE!$G$14,$M171,CH$13))))</f>
        <v>1000000000000</v>
      </c>
      <c r="CI171" s="182">
        <f ca="1">IF($D171&lt;&gt;"Serviço",0,IF(OR(AND(AUTOEVENTO="Manual",$M171=1),$M171&gt;(ROW(PLE.lastrow)-ROW(PLE.firstrow))),0,IF(OFFSET(PLE!$G$14,$M171,CI$13)="",10^12,OFFSET(PLE!$G$14,$M171,CI$13))))</f>
        <v>1000000000000</v>
      </c>
      <c r="CJ171" s="182">
        <f ca="1">IF($D171&lt;&gt;"Serviço",0,IF(OR(AND(AUTOEVENTO="Manual",$M171=1),$M171&gt;(ROW(PLE.lastrow)-ROW(PLE.firstrow))),0,IF(OFFSET(PLE!$G$14,$M171,CJ$13)="",10^12,OFFSET(PLE!$G$14,$M171,CJ$13))))</f>
        <v>1000000000000</v>
      </c>
      <c r="CK171" s="182">
        <f ca="1">IF($D171&lt;&gt;"Serviço",0,IF(OR(AND(AUTOEVENTO="Manual",$M171=1),$M171&gt;(ROW(PLE.lastrow)-ROW(PLE.firstrow))),0,IF(OFFSET(PLE!$G$14,$M171,CK$13)="",10^12,OFFSET(PLE!$G$14,$M171,CK$13))))</f>
        <v>1000000000000</v>
      </c>
      <c r="CL171" s="182">
        <f ca="1">IF($D171&lt;&gt;"Serviço",0,IF(OR(AND(AUTOEVENTO="Manual",$M171=1),$M171&gt;(ROW(PLE.lastrow)-ROW(PLE.firstrow))),0,IF(OFFSET(PLE!$G$14,$M171,CL$13)="",10^12,OFFSET(PLE!$G$14,$M171,CL$13))))</f>
        <v>1000000000000</v>
      </c>
      <c r="CM171" s="182">
        <f ca="1">IF($D171&lt;&gt;"Serviço",0,IF(OR(AND(AUTOEVENTO="Manual",$M171=1),$M171&gt;(ROW(PLE.lastrow)-ROW(PLE.firstrow))),0,IF(OFFSET(PLE!$G$14,$M171,CM$13)="",10^12,OFFSET(PLE!$G$14,$M171,CM$13))))</f>
        <v>1000000000000</v>
      </c>
    </row>
    <row r="172" spans="1:91" ht="38.25" x14ac:dyDescent="0.2">
      <c r="A172" s="7" t="str">
        <f t="shared" ca="1" si="11"/>
        <v>154</v>
      </c>
      <c r="B172" s="7" t="str">
        <f ca="1">OFFSET(ORÇAMENTO!C$15,ROW(B172)-ROW(B$15),0)</f>
        <v>S</v>
      </c>
      <c r="C172" s="7" t="str">
        <f ca="1">OFFSET(ORÇAMENTO!L$15,ROW(C172)-ROW(C$15),0)</f>
        <v/>
      </c>
      <c r="D172" s="118" t="str">
        <f ca="1">OFFSET(ORÇAMENTO!N$15,ROW(D172)-ROW(D$15),0)</f>
        <v>Serviço</v>
      </c>
      <c r="E172" s="119" t="str">
        <f ca="1">OFFSET(ORÇAMENTO!O$15,ROW(E172)-ROW(E$15),0)</f>
        <v>-</v>
      </c>
      <c r="F172" s="172" t="str">
        <f ca="1">OFFSET(ORÇAMENTO!R$15,ROW(F172)-ROW(F$15),0)</f>
        <v>(abra o arquivo 'Referência 06-2024.xlsm)</v>
      </c>
      <c r="G172" s="173" t="str">
        <f ca="1">IF($D172&lt;&gt;"Serviço","",OFFSET(ORÇAMENTO!S$15,ROW(G172)-ROW(G$15),0))</f>
        <v>-</v>
      </c>
      <c r="H172" s="124">
        <f ca="1">IF($D172&lt;&gt;"Serviço",0,IF(ACOMPANHAMENTO="BM",ROUND(OFFSET(ORÇAMENTO!AJ$15,ROW(H172)-ROW(H$15),0),15-13*ORÇAMENTO!$AF$7),SUMPRODUCT(($Q$12:$AI$12&lt;&gt;"")*ROUND($Q172:$AI172,15-13*ORÇAMENTO!$AF$7))))</f>
        <v>153.1</v>
      </c>
      <c r="I172" s="561" t="s">
        <v>1107</v>
      </c>
      <c r="K172" s="174"/>
      <c r="L172" s="175" t="s">
        <v>255</v>
      </c>
      <c r="M172" s="176">
        <f ca="1">IF($D172&lt;&gt;"Serviço","",IF(AUTOEVENTO="manual",$A172,IF(ISERROR(MATCH($A172,$A$15:OFFSET($A172,-1,0),0)),MAX($M$15:OFFSET(M172,-1,0))+1,INDEX($M$15:OFFSET(M172,-1,0),MATCH($A172,$A$15:OFFSET($A172,-1,0),0)))))</f>
        <v>25</v>
      </c>
      <c r="N172" s="177" t="str">
        <f ca="1">IF($D172&lt;&gt;"Serviço","",IF(AUTOEVENTO="Manual",IF($A172=0,"&lt;-- defina o número do agrupador",OFFSET(EVENTOS!$D$14,$A172,0)),OFFSET($F$15,$A172,0)))</f>
        <v>SISTEMAS DE COBERTURA</v>
      </c>
      <c r="O172" s="178"/>
      <c r="Q172" s="178">
        <v>153.1</v>
      </c>
      <c r="R172" s="179"/>
      <c r="S172" s="179"/>
      <c r="T172" s="179"/>
      <c r="U172" s="179"/>
      <c r="V172" s="179"/>
      <c r="W172" s="179"/>
      <c r="X172" s="179"/>
      <c r="Y172" s="179"/>
      <c r="Z172" s="180"/>
      <c r="AA172" s="179"/>
      <c r="AB172" s="179"/>
      <c r="AC172" s="179"/>
      <c r="AD172" s="179"/>
      <c r="AE172" s="179"/>
      <c r="AF172" s="179"/>
      <c r="AG172" s="179"/>
      <c r="AH172" s="180"/>
      <c r="AJ172" s="544">
        <f ca="1">IF(AND($D172="Serviço",AJ$12&lt;&gt;0,$H172&gt;0,OR(AUTOEVENTO&lt;&gt;"manual",$M172&lt;&gt;1)),
IF(Import.TipoArredondamento&lt;&gt;"TransfereGOV",
ROUND(OFFSET($P172,0,AJ$13),15-13*ORÇAMENTO!$AF$7)/$H172*OFFSET(ORÇAMENTO!$X$15,ROW(AJ172)-ROW(AJ$15),0),
ROUND(ROUND(OFFSET($P172,0,AJ$13),15-13*ORÇAMENTO!$AF$7)*OFFSET(ORÇAMENTO!$W$15,ROW(AJ172)-ROW(AJ$15),0),15-13*ORÇAMENTO!$AF$11)),0)</f>
        <v>0</v>
      </c>
      <c r="AK172" s="545">
        <f ca="1">IF(AND($D172="Serviço",AK$12&lt;&gt;0,$H172&gt;0,OR(AUTOEVENTO&lt;&gt;"manual",$M172&lt;&gt;1)),
IF(Import.TipoArredondamento&lt;&gt;"TransfereGOV",
ROUND(OFFSET($P172,0,AK$13),15-13*ORÇAMENTO!$AF$7)/$H172*OFFSET(ORÇAMENTO!$X$15,ROW(AK172)-ROW(AK$15),0),
ROUND(ROUND(OFFSET($P172,0,AK$13),15-13*ORÇAMENTO!$AF$7)*OFFSET(ORÇAMENTO!$W$15,ROW(AK172)-ROW(AK$15),0),15-13*ORÇAMENTO!$AF$11)),0)</f>
        <v>0</v>
      </c>
      <c r="AL172" s="545">
        <f ca="1">IF(AND($D172="Serviço",AL$12&lt;&gt;0,$H172&gt;0,OR(AUTOEVENTO&lt;&gt;"manual",$M172&lt;&gt;1)),
IF(Import.TipoArredondamento&lt;&gt;"TransfereGOV",
ROUND(OFFSET($P172,0,AL$13),15-13*ORÇAMENTO!$AF$7)/$H172*OFFSET(ORÇAMENTO!$X$15,ROW(AL172)-ROW(AL$15),0),
ROUND(ROUND(OFFSET($P172,0,AL$13),15-13*ORÇAMENTO!$AF$7)*OFFSET(ORÇAMENTO!$W$15,ROW(AL172)-ROW(AL$15),0),15-13*ORÇAMENTO!$AF$11)),0)</f>
        <v>0</v>
      </c>
      <c r="AM172" s="545">
        <f ca="1">IF(AND($D172="Serviço",AM$12&lt;&gt;0,$H172&gt;0,OR(AUTOEVENTO&lt;&gt;"manual",$M172&lt;&gt;1)),
IF(Import.TipoArredondamento&lt;&gt;"TransfereGOV",
ROUND(OFFSET($P172,0,AM$13),15-13*ORÇAMENTO!$AF$7)/$H172*OFFSET(ORÇAMENTO!$X$15,ROW(AM172)-ROW(AM$15),0),
ROUND(ROUND(OFFSET($P172,0,AM$13),15-13*ORÇAMENTO!$AF$7)*OFFSET(ORÇAMENTO!$W$15,ROW(AM172)-ROW(AM$15),0),15-13*ORÇAMENTO!$AF$11)),0)</f>
        <v>0</v>
      </c>
      <c r="AN172" s="545">
        <f ca="1">IF(AND($D172="Serviço",AN$12&lt;&gt;0,$H172&gt;0,OR(AUTOEVENTO&lt;&gt;"manual",$M172&lt;&gt;1)),
IF(Import.TipoArredondamento&lt;&gt;"TransfereGOV",
ROUND(OFFSET($P172,0,AN$13),15-13*ORÇAMENTO!$AF$7)/$H172*OFFSET(ORÇAMENTO!$X$15,ROW(AN172)-ROW(AN$15),0),
ROUND(ROUND(OFFSET($P172,0,AN$13),15-13*ORÇAMENTO!$AF$7)*OFFSET(ORÇAMENTO!$W$15,ROW(AN172)-ROW(AN$15),0),15-13*ORÇAMENTO!$AF$11)),0)</f>
        <v>0</v>
      </c>
      <c r="AO172" s="545">
        <f ca="1">IF(AND($D172="Serviço",AO$12&lt;&gt;0,$H172&gt;0,OR(AUTOEVENTO&lt;&gt;"manual",$M172&lt;&gt;1)),
IF(Import.TipoArredondamento&lt;&gt;"TransfereGOV",
ROUND(OFFSET($P172,0,AO$13),15-13*ORÇAMENTO!$AF$7)/$H172*OFFSET(ORÇAMENTO!$X$15,ROW(AO172)-ROW(AO$15),0),
ROUND(ROUND(OFFSET($P172,0,AO$13),15-13*ORÇAMENTO!$AF$7)*OFFSET(ORÇAMENTO!$W$15,ROW(AO172)-ROW(AO$15),0),15-13*ORÇAMENTO!$AF$11)),0)</f>
        <v>0</v>
      </c>
      <c r="AP172" s="545">
        <f ca="1">IF(AND($D172="Serviço",AP$12&lt;&gt;0,$H172&gt;0,OR(AUTOEVENTO&lt;&gt;"manual",$M172&lt;&gt;1)),
IF(Import.TipoArredondamento&lt;&gt;"TransfereGOV",
ROUND(OFFSET($P172,0,AP$13),15-13*ORÇAMENTO!$AF$7)/$H172*OFFSET(ORÇAMENTO!$X$15,ROW(AP172)-ROW(AP$15),0),
ROUND(ROUND(OFFSET($P172,0,AP$13),15-13*ORÇAMENTO!$AF$7)*OFFSET(ORÇAMENTO!$W$15,ROW(AP172)-ROW(AP$15),0),15-13*ORÇAMENTO!$AF$11)),0)</f>
        <v>0</v>
      </c>
      <c r="AQ172" s="545">
        <f ca="1">IF(AND($D172="Serviço",AQ$12&lt;&gt;0,$H172&gt;0,OR(AUTOEVENTO&lt;&gt;"manual",$M172&lt;&gt;1)),
IF(Import.TipoArredondamento&lt;&gt;"TransfereGOV",
ROUND(OFFSET($P172,0,AQ$13),15-13*ORÇAMENTO!$AF$7)/$H172*OFFSET(ORÇAMENTO!$X$15,ROW(AQ172)-ROW(AQ$15),0),
ROUND(ROUND(OFFSET($P172,0,AQ$13),15-13*ORÇAMENTO!$AF$7)*OFFSET(ORÇAMENTO!$W$15,ROW(AQ172)-ROW(AQ$15),0),15-13*ORÇAMENTO!$AF$11)),0)</f>
        <v>0</v>
      </c>
      <c r="AR172" s="545">
        <f ca="1">IF(AND($D172="Serviço",AR$12&lt;&gt;0,$H172&gt;0,OR(AUTOEVENTO&lt;&gt;"manual",$M172&lt;&gt;1)),
IF(Import.TipoArredondamento&lt;&gt;"TransfereGOV",
ROUND(OFFSET($P172,0,AR$13),15-13*ORÇAMENTO!$AF$7)/$H172*OFFSET(ORÇAMENTO!$X$15,ROW(AR172)-ROW(AR$15),0),
ROUND(ROUND(OFFSET($P172,0,AR$13),15-13*ORÇAMENTO!$AF$7)*OFFSET(ORÇAMENTO!$W$15,ROW(AR172)-ROW(AR$15),0),15-13*ORÇAMENTO!$AF$11)),0)</f>
        <v>0</v>
      </c>
      <c r="AS172" s="546">
        <f ca="1">IF(AND($D172="Serviço",AS$12&lt;&gt;0,$H172&gt;0,OR(AUTOEVENTO&lt;&gt;"manual",$M172&lt;&gt;1)),
IF(Import.TipoArredondamento&lt;&gt;"TransfereGOV",
ROUND(OFFSET($P172,0,AS$13),15-13*ORÇAMENTO!$AF$7)/$H172*OFFSET(ORÇAMENTO!$X$15,ROW(AS172)-ROW(AS$15),0),
ROUND(ROUND(OFFSET($P172,0,AS$13),15-13*ORÇAMENTO!$AF$7)*OFFSET(ORÇAMENTO!$W$15,ROW(AS172)-ROW(AS$15),0),15-13*ORÇAMENTO!$AF$11)),0)</f>
        <v>0</v>
      </c>
      <c r="AT172" s="545">
        <f ca="1">IF(AND($D172="Serviço",AT$12&lt;&gt;0,$H172&gt;0,OR(AUTOEVENTO&lt;&gt;"manual",$M172&lt;&gt;1)),
IF(Import.TipoArredondamento&lt;&gt;"TransfereGOV",
ROUND(OFFSET($P172,0,AT$13),15-13*ORÇAMENTO!$AF$7)/$H172*OFFSET(ORÇAMENTO!$X$15,ROW(AT172)-ROW(AT$15),0),
ROUND(ROUND(OFFSET($P172,0,AT$13),15-13*ORÇAMENTO!$AF$7)*OFFSET(ORÇAMENTO!$W$15,ROW(AT172)-ROW(AT$15),0),15-13*ORÇAMENTO!$AF$11)),0)</f>
        <v>0</v>
      </c>
      <c r="AU172" s="545">
        <f ca="1">IF(AND($D172="Serviço",AU$12&lt;&gt;0,$H172&gt;0,OR(AUTOEVENTO&lt;&gt;"manual",$M172&lt;&gt;1)),
IF(Import.TipoArredondamento&lt;&gt;"TransfereGOV",
ROUND(OFFSET($P172,0,AU$13),15-13*ORÇAMENTO!$AF$7)/$H172*OFFSET(ORÇAMENTO!$X$15,ROW(AU172)-ROW(AU$15),0),
ROUND(ROUND(OFFSET($P172,0,AU$13),15-13*ORÇAMENTO!$AF$7)*OFFSET(ORÇAMENTO!$W$15,ROW(AU172)-ROW(AU$15),0),15-13*ORÇAMENTO!$AF$11)),0)</f>
        <v>0</v>
      </c>
      <c r="AV172" s="545">
        <f ca="1">IF(AND($D172="Serviço",AV$12&lt;&gt;0,$H172&gt;0,OR(AUTOEVENTO&lt;&gt;"manual",$M172&lt;&gt;1)),
IF(Import.TipoArredondamento&lt;&gt;"TransfereGOV",
ROUND(OFFSET($P172,0,AV$13),15-13*ORÇAMENTO!$AF$7)/$H172*OFFSET(ORÇAMENTO!$X$15,ROW(AV172)-ROW(AV$15),0),
ROUND(ROUND(OFFSET($P172,0,AV$13),15-13*ORÇAMENTO!$AF$7)*OFFSET(ORÇAMENTO!$W$15,ROW(AV172)-ROW(AV$15),0),15-13*ORÇAMENTO!$AF$11)),0)</f>
        <v>0</v>
      </c>
      <c r="AW172" s="545">
        <f ca="1">IF(AND($D172="Serviço",AW$12&lt;&gt;0,$H172&gt;0,OR(AUTOEVENTO&lt;&gt;"manual",$M172&lt;&gt;1)),
IF(Import.TipoArredondamento&lt;&gt;"TransfereGOV",
ROUND(OFFSET($P172,0,AW$13),15-13*ORÇAMENTO!$AF$7)/$H172*OFFSET(ORÇAMENTO!$X$15,ROW(AW172)-ROW(AW$15),0),
ROUND(ROUND(OFFSET($P172,0,AW$13),15-13*ORÇAMENTO!$AF$7)*OFFSET(ORÇAMENTO!$W$15,ROW(AW172)-ROW(AW$15),0),15-13*ORÇAMENTO!$AF$11)),0)</f>
        <v>0</v>
      </c>
      <c r="AX172" s="545">
        <f ca="1">IF(AND($D172="Serviço",AX$12&lt;&gt;0,$H172&gt;0,OR(AUTOEVENTO&lt;&gt;"manual",$M172&lt;&gt;1)),
IF(Import.TipoArredondamento&lt;&gt;"TransfereGOV",
ROUND(OFFSET($P172,0,AX$13),15-13*ORÇAMENTO!$AF$7)/$H172*OFFSET(ORÇAMENTO!$X$15,ROW(AX172)-ROW(AX$15),0),
ROUND(ROUND(OFFSET($P172,0,AX$13),15-13*ORÇAMENTO!$AF$7)*OFFSET(ORÇAMENTO!$W$15,ROW(AX172)-ROW(AX$15),0),15-13*ORÇAMENTO!$AF$11)),0)</f>
        <v>0</v>
      </c>
      <c r="AY172" s="545">
        <f ca="1">IF(AND($D172="Serviço",AY$12&lt;&gt;0,$H172&gt;0,OR(AUTOEVENTO&lt;&gt;"manual",$M172&lt;&gt;1)),
IF(Import.TipoArredondamento&lt;&gt;"TransfereGOV",
ROUND(OFFSET($P172,0,AY$13),15-13*ORÇAMENTO!$AF$7)/$H172*OFFSET(ORÇAMENTO!$X$15,ROW(AY172)-ROW(AY$15),0),
ROUND(ROUND(OFFSET($P172,0,AY$13),15-13*ORÇAMENTO!$AF$7)*OFFSET(ORÇAMENTO!$W$15,ROW(AY172)-ROW(AY$15),0),15-13*ORÇAMENTO!$AF$11)),0)</f>
        <v>0</v>
      </c>
      <c r="AZ172" s="545">
        <f ca="1">IF(AND($D172="Serviço",AZ$12&lt;&gt;0,$H172&gt;0,OR(AUTOEVENTO&lt;&gt;"manual",$M172&lt;&gt;1)),
IF(Import.TipoArredondamento&lt;&gt;"TransfereGOV",
ROUND(OFFSET($P172,0,AZ$13),15-13*ORÇAMENTO!$AF$7)/$H172*OFFSET(ORÇAMENTO!$X$15,ROW(AZ172)-ROW(AZ$15),0),
ROUND(ROUND(OFFSET($P172,0,AZ$13),15-13*ORÇAMENTO!$AF$7)*OFFSET(ORÇAMENTO!$W$15,ROW(AZ172)-ROW(AZ$15),0),15-13*ORÇAMENTO!$AF$11)),0)</f>
        <v>0</v>
      </c>
      <c r="BA172" s="546">
        <f ca="1">IF(AND($D172="Serviço",BA$12&lt;&gt;0,$H172&gt;0,OR(AUTOEVENTO&lt;&gt;"manual",$M172&lt;&gt;1)),
IF(Import.TipoArredondamento&lt;&gt;"TransfereGOV",
ROUND(OFFSET($P172,0,BA$13),15-13*ORÇAMENTO!$AF$7)/$H172*OFFSET(ORÇAMENTO!$X$15,ROW(BA172)-ROW(BA$15),0),
ROUND(ROUND(OFFSET($P172,0,BA$13),15-13*ORÇAMENTO!$AF$7)*OFFSET(ORÇAMENTO!$W$15,ROW(BA172)-ROW(BA$15),0),15-13*ORÇAMENTO!$AF$11)),0)</f>
        <v>0</v>
      </c>
      <c r="BC172" s="181">
        <f ca="1">IF($D172&lt;&gt;"Serviço",0,IF(AND(AUTOEVENTO="Manual",$M172=1),0,IF(OFFSET(CRONOPLE!$F$14,$M172,BC$13)="",10^12,OFFSET(CRONOPLE!$F$14,$M172,BC$13))))</f>
        <v>6</v>
      </c>
      <c r="BD172" s="181">
        <f ca="1">IF($D172&lt;&gt;"Serviço",0,IF(AND(AUTOEVENTO="Manual",$M172=1),0,IF(OFFSET(CRONOPLE!$F$14,$M172,BD$13)="",10^12,OFFSET(CRONOPLE!$F$14,$M172,BD$13))))</f>
        <v>1000000000000</v>
      </c>
      <c r="BE172" s="181">
        <f ca="1">IF($D172&lt;&gt;"Serviço",0,IF(AND(AUTOEVENTO="Manual",$M172=1),0,IF(OFFSET(CRONOPLE!$F$14,$M172,BE$13)="",10^12,OFFSET(CRONOPLE!$F$14,$M172,BE$13))))</f>
        <v>1000000000000</v>
      </c>
      <c r="BF172" s="181">
        <f ca="1">IF($D172&lt;&gt;"Serviço",0,IF(AND(AUTOEVENTO="Manual",$M172=1),0,IF(OFFSET(CRONOPLE!$F$14,$M172,BF$13)="",10^12,OFFSET(CRONOPLE!$F$14,$M172,BF$13))))</f>
        <v>1000000000000</v>
      </c>
      <c r="BG172" s="181">
        <f ca="1">IF($D172&lt;&gt;"Serviço",0,IF(AND(AUTOEVENTO="Manual",$M172=1),0,IF(OFFSET(CRONOPLE!$F$14,$M172,BG$13)="",10^12,OFFSET(CRONOPLE!$F$14,$M172,BG$13))))</f>
        <v>1000000000000</v>
      </c>
      <c r="BH172" s="181">
        <f ca="1">IF($D172&lt;&gt;"Serviço",0,IF(AND(AUTOEVENTO="Manual",$M172=1),0,IF(OFFSET(CRONOPLE!$F$14,$M172,BH$13)="",10^12,OFFSET(CRONOPLE!$F$14,$M172,BH$13))))</f>
        <v>1000000000000</v>
      </c>
      <c r="BI172" s="181">
        <f ca="1">IF($D172&lt;&gt;"Serviço",0,IF(AND(AUTOEVENTO="Manual",$M172=1),0,IF(OFFSET(CRONOPLE!$F$14,$M172,BI$13)="",10^12,OFFSET(CRONOPLE!$F$14,$M172,BI$13))))</f>
        <v>1000000000000</v>
      </c>
      <c r="BJ172" s="181">
        <f ca="1">IF($D172&lt;&gt;"Serviço",0,IF(AND(AUTOEVENTO="Manual",$M172=1),0,IF(OFFSET(CRONOPLE!$F$14,$M172,BJ$13)="",10^12,OFFSET(CRONOPLE!$F$14,$M172,BJ$13))))</f>
        <v>1000000000000</v>
      </c>
      <c r="BK172" s="181">
        <f ca="1">IF($D172&lt;&gt;"Serviço",0,IF(AND(AUTOEVENTO="Manual",$M172=1),0,IF(OFFSET(CRONOPLE!$F$14,$M172,BK$13)="",10^12,OFFSET(CRONOPLE!$F$14,$M172,BK$13))))</f>
        <v>1000000000000</v>
      </c>
      <c r="BL172" s="181">
        <f ca="1">IF($D172&lt;&gt;"Serviço",0,IF(AND(AUTOEVENTO="Manual",$M172=1),0,IF(OFFSET(CRONOPLE!$F$14,$M172,BL$13)="",10^12,OFFSET(CRONOPLE!$F$14,$M172,BL$13))))</f>
        <v>1000000000000</v>
      </c>
      <c r="BM172" s="181">
        <f ca="1">IF($D172&lt;&gt;"Serviço",0,IF(AND(AUTOEVENTO="Manual",$M172=1),0,IF(OFFSET(CRONOPLE!$F$14,$M172,BM$13)="",10^12,OFFSET(CRONOPLE!$F$14,$M172,BM$13))))</f>
        <v>1000000000000</v>
      </c>
      <c r="BN172" s="181">
        <f ca="1">IF($D172&lt;&gt;"Serviço",0,IF(AND(AUTOEVENTO="Manual",$M172=1),0,IF(OFFSET(CRONOPLE!$F$14,$M172,BN$13)="",10^12,OFFSET(CRONOPLE!$F$14,$M172,BN$13))))</f>
        <v>1000000000000</v>
      </c>
      <c r="BO172" s="181">
        <f ca="1">IF($D172&lt;&gt;"Serviço",0,IF(AND(AUTOEVENTO="Manual",$M172=1),0,IF(OFFSET(CRONOPLE!$F$14,$M172,BO$13)="",10^12,OFFSET(CRONOPLE!$F$14,$M172,BO$13))))</f>
        <v>1000000000000</v>
      </c>
      <c r="BP172" s="181">
        <f ca="1">IF($D172&lt;&gt;"Serviço",0,IF(AND(AUTOEVENTO="Manual",$M172=1),0,IF(OFFSET(CRONOPLE!$F$14,$M172,BP$13)="",10^12,OFFSET(CRONOPLE!$F$14,$M172,BP$13))))</f>
        <v>1000000000000</v>
      </c>
      <c r="BQ172" s="181">
        <f ca="1">IF($D172&lt;&gt;"Serviço",0,IF(AND(AUTOEVENTO="Manual",$M172=1),0,IF(OFFSET(CRONOPLE!$F$14,$M172,BQ$13)="",10^12,OFFSET(CRONOPLE!$F$14,$M172,BQ$13))))</f>
        <v>1000000000000</v>
      </c>
      <c r="BR172" s="181">
        <f ca="1">IF($D172&lt;&gt;"Serviço",0,IF(AND(AUTOEVENTO="Manual",$M172=1),0,IF(OFFSET(CRONOPLE!$F$14,$M172,BR$13)="",10^12,OFFSET(CRONOPLE!$F$14,$M172,BR$13))))</f>
        <v>1000000000000</v>
      </c>
      <c r="BS172" s="181">
        <f ca="1">IF($D172&lt;&gt;"Serviço",0,IF(AND(AUTOEVENTO="Manual",$M172=1),0,IF(OFFSET(CRONOPLE!$F$14,$M172,BS$13)="",10^12,OFFSET(CRONOPLE!$F$14,$M172,BS$13))))</f>
        <v>1000000000000</v>
      </c>
      <c r="BT172" s="181">
        <f ca="1">IF($D172&lt;&gt;"Serviço",0,IF(AND(AUTOEVENTO="Manual",$M172=1),0,IF(OFFSET(CRONOPLE!$F$14,$M172,BT$13)="",10^12,OFFSET(CRONOPLE!$F$14,$M172,BT$13))))</f>
        <v>1000000000000</v>
      </c>
      <c r="BV172" s="182">
        <f ca="1">IF($D172&lt;&gt;"Serviço",0,IF(OR(AND(AUTOEVENTO="Manual",$M172=1),$M172&gt;(ROW(PLE.lastrow)-ROW(PLE.firstrow))),0,IF(OFFSET(PLE!$G$14,$M172,BV$13)="",10^12,OFFSET(PLE!$G$14,$M172,BV$13))))</f>
        <v>1000000000000</v>
      </c>
      <c r="BW172" s="182">
        <f ca="1">IF($D172&lt;&gt;"Serviço",0,IF(OR(AND(AUTOEVENTO="Manual",$M172=1),$M172&gt;(ROW(PLE.lastrow)-ROW(PLE.firstrow))),0,IF(OFFSET(PLE!$G$14,$M172,BW$13)="",10^12,OFFSET(PLE!$G$14,$M172,BW$13))))</f>
        <v>1000000000000</v>
      </c>
      <c r="BX172" s="182">
        <f ca="1">IF($D172&lt;&gt;"Serviço",0,IF(OR(AND(AUTOEVENTO="Manual",$M172=1),$M172&gt;(ROW(PLE.lastrow)-ROW(PLE.firstrow))),0,IF(OFFSET(PLE!$G$14,$M172,BX$13)="",10^12,OFFSET(PLE!$G$14,$M172,BX$13))))</f>
        <v>1000000000000</v>
      </c>
      <c r="BY172" s="182">
        <f ca="1">IF($D172&lt;&gt;"Serviço",0,IF(OR(AND(AUTOEVENTO="Manual",$M172=1),$M172&gt;(ROW(PLE.lastrow)-ROW(PLE.firstrow))),0,IF(OFFSET(PLE!$G$14,$M172,BY$13)="",10^12,OFFSET(PLE!$G$14,$M172,BY$13))))</f>
        <v>1000000000000</v>
      </c>
      <c r="BZ172" s="182">
        <f ca="1">IF($D172&lt;&gt;"Serviço",0,IF(OR(AND(AUTOEVENTO="Manual",$M172=1),$M172&gt;(ROW(PLE.lastrow)-ROW(PLE.firstrow))),0,IF(OFFSET(PLE!$G$14,$M172,BZ$13)="",10^12,OFFSET(PLE!$G$14,$M172,BZ$13))))</f>
        <v>1000000000000</v>
      </c>
      <c r="CA172" s="182">
        <f ca="1">IF($D172&lt;&gt;"Serviço",0,IF(OR(AND(AUTOEVENTO="Manual",$M172=1),$M172&gt;(ROW(PLE.lastrow)-ROW(PLE.firstrow))),0,IF(OFFSET(PLE!$G$14,$M172,CA$13)="",10^12,OFFSET(PLE!$G$14,$M172,CA$13))))</f>
        <v>1000000000000</v>
      </c>
      <c r="CB172" s="182">
        <f ca="1">IF($D172&lt;&gt;"Serviço",0,IF(OR(AND(AUTOEVENTO="Manual",$M172=1),$M172&gt;(ROW(PLE.lastrow)-ROW(PLE.firstrow))),0,IF(OFFSET(PLE!$G$14,$M172,CB$13)="",10^12,OFFSET(PLE!$G$14,$M172,CB$13))))</f>
        <v>1000000000000</v>
      </c>
      <c r="CC172" s="182">
        <f ca="1">IF($D172&lt;&gt;"Serviço",0,IF(OR(AND(AUTOEVENTO="Manual",$M172=1),$M172&gt;(ROW(PLE.lastrow)-ROW(PLE.firstrow))),0,IF(OFFSET(PLE!$G$14,$M172,CC$13)="",10^12,OFFSET(PLE!$G$14,$M172,CC$13))))</f>
        <v>1000000000000</v>
      </c>
      <c r="CD172" s="182">
        <f ca="1">IF($D172&lt;&gt;"Serviço",0,IF(OR(AND(AUTOEVENTO="Manual",$M172=1),$M172&gt;(ROW(PLE.lastrow)-ROW(PLE.firstrow))),0,IF(OFFSET(PLE!$G$14,$M172,CD$13)="",10^12,OFFSET(PLE!$G$14,$M172,CD$13))))</f>
        <v>1000000000000</v>
      </c>
      <c r="CE172" s="182">
        <f ca="1">IF($D172&lt;&gt;"Serviço",0,IF(OR(AND(AUTOEVENTO="Manual",$M172=1),$M172&gt;(ROW(PLE.lastrow)-ROW(PLE.firstrow))),0,IF(OFFSET(PLE!$G$14,$M172,CE$13)="",10^12,OFFSET(PLE!$G$14,$M172,CE$13))))</f>
        <v>1000000000000</v>
      </c>
      <c r="CF172" s="182">
        <f ca="1">IF($D172&lt;&gt;"Serviço",0,IF(OR(AND(AUTOEVENTO="Manual",$M172=1),$M172&gt;(ROW(PLE.lastrow)-ROW(PLE.firstrow))),0,IF(OFFSET(PLE!$G$14,$M172,CF$13)="",10^12,OFFSET(PLE!$G$14,$M172,CF$13))))</f>
        <v>1000000000000</v>
      </c>
      <c r="CG172" s="182">
        <f ca="1">IF($D172&lt;&gt;"Serviço",0,IF(OR(AND(AUTOEVENTO="Manual",$M172=1),$M172&gt;(ROW(PLE.lastrow)-ROW(PLE.firstrow))),0,IF(OFFSET(PLE!$G$14,$M172,CG$13)="",10^12,OFFSET(PLE!$G$14,$M172,CG$13))))</f>
        <v>1000000000000</v>
      </c>
      <c r="CH172" s="182">
        <f ca="1">IF($D172&lt;&gt;"Serviço",0,IF(OR(AND(AUTOEVENTO="Manual",$M172=1),$M172&gt;(ROW(PLE.lastrow)-ROW(PLE.firstrow))),0,IF(OFFSET(PLE!$G$14,$M172,CH$13)="",10^12,OFFSET(PLE!$G$14,$M172,CH$13))))</f>
        <v>1000000000000</v>
      </c>
      <c r="CI172" s="182">
        <f ca="1">IF($D172&lt;&gt;"Serviço",0,IF(OR(AND(AUTOEVENTO="Manual",$M172=1),$M172&gt;(ROW(PLE.lastrow)-ROW(PLE.firstrow))),0,IF(OFFSET(PLE!$G$14,$M172,CI$13)="",10^12,OFFSET(PLE!$G$14,$M172,CI$13))))</f>
        <v>1000000000000</v>
      </c>
      <c r="CJ172" s="182">
        <f ca="1">IF($D172&lt;&gt;"Serviço",0,IF(OR(AND(AUTOEVENTO="Manual",$M172=1),$M172&gt;(ROW(PLE.lastrow)-ROW(PLE.firstrow))),0,IF(OFFSET(PLE!$G$14,$M172,CJ$13)="",10^12,OFFSET(PLE!$G$14,$M172,CJ$13))))</f>
        <v>1000000000000</v>
      </c>
      <c r="CK172" s="182">
        <f ca="1">IF($D172&lt;&gt;"Serviço",0,IF(OR(AND(AUTOEVENTO="Manual",$M172=1),$M172&gt;(ROW(PLE.lastrow)-ROW(PLE.firstrow))),0,IF(OFFSET(PLE!$G$14,$M172,CK$13)="",10^12,OFFSET(PLE!$G$14,$M172,CK$13))))</f>
        <v>1000000000000</v>
      </c>
      <c r="CL172" s="182">
        <f ca="1">IF($D172&lt;&gt;"Serviço",0,IF(OR(AND(AUTOEVENTO="Manual",$M172=1),$M172&gt;(ROW(PLE.lastrow)-ROW(PLE.firstrow))),0,IF(OFFSET(PLE!$G$14,$M172,CL$13)="",10^12,OFFSET(PLE!$G$14,$M172,CL$13))))</f>
        <v>1000000000000</v>
      </c>
      <c r="CM172" s="182">
        <f ca="1">IF($D172&lt;&gt;"Serviço",0,IF(OR(AND(AUTOEVENTO="Manual",$M172=1),$M172&gt;(ROW(PLE.lastrow)-ROW(PLE.firstrow))),0,IF(OFFSET(PLE!$G$14,$M172,CM$13)="",10^12,OFFSET(PLE!$G$14,$M172,CM$13))))</f>
        <v>1000000000000</v>
      </c>
    </row>
    <row r="173" spans="1:91" ht="25.5" x14ac:dyDescent="0.2">
      <c r="A173" s="7" t="str">
        <f t="shared" ca="1" si="11"/>
        <v>154</v>
      </c>
      <c r="B173" s="7" t="str">
        <f ca="1">OFFSET(ORÇAMENTO!C$15,ROW(B173)-ROW(B$15),0)</f>
        <v>S</v>
      </c>
      <c r="C173" s="7" t="str">
        <f ca="1">OFFSET(ORÇAMENTO!L$15,ROW(C173)-ROW(C$15),0)</f>
        <v/>
      </c>
      <c r="D173" s="118" t="str">
        <f ca="1">OFFSET(ORÇAMENTO!N$15,ROW(D173)-ROW(D$15),0)</f>
        <v>Serviço</v>
      </c>
      <c r="E173" s="119" t="str">
        <f ca="1">OFFSET(ORÇAMENTO!O$15,ROW(E173)-ROW(E$15),0)</f>
        <v>-</v>
      </c>
      <c r="F173" s="172" t="str">
        <f ca="1">OFFSET(ORÇAMENTO!R$15,ROW(F173)-ROW(F$15),0)</f>
        <v>(abra o arquivo 'Referência 06-2024.xlsm)</v>
      </c>
      <c r="G173" s="173" t="str">
        <f ca="1">IF($D173&lt;&gt;"Serviço","",OFFSET(ORÇAMENTO!S$15,ROW(G173)-ROW(G$15),0))</f>
        <v>-</v>
      </c>
      <c r="H173" s="124">
        <f ca="1">IF($D173&lt;&gt;"Serviço",0,IF(ACOMPANHAMENTO="BM",ROUND(OFFSET(ORÇAMENTO!AJ$15,ROW(H173)-ROW(H$15),0),15-13*ORÇAMENTO!$AF$7),SUMPRODUCT(($Q$12:$AI$12&lt;&gt;"")*ROUND($Q173:$AI173,15-13*ORÇAMENTO!$AF$7))))</f>
        <v>86.02</v>
      </c>
      <c r="I173" s="561" t="s">
        <v>1107</v>
      </c>
      <c r="K173" s="174"/>
      <c r="L173" s="175" t="s">
        <v>255</v>
      </c>
      <c r="M173" s="176">
        <f ca="1">IF($D173&lt;&gt;"Serviço","",IF(AUTOEVENTO="manual",$A173,IF(ISERROR(MATCH($A173,$A$15:OFFSET($A173,-1,0),0)),MAX($M$15:OFFSET(M173,-1,0))+1,INDEX($M$15:OFFSET(M173,-1,0),MATCH($A173,$A$15:OFFSET($A173,-1,0),0)))))</f>
        <v>25</v>
      </c>
      <c r="N173" s="177" t="str">
        <f ca="1">IF($D173&lt;&gt;"Serviço","",IF(AUTOEVENTO="Manual",IF($A173=0,"&lt;-- defina o número do agrupador",OFFSET(EVENTOS!$D$14,$A173,0)),OFFSET($F$15,$A173,0)))</f>
        <v>SISTEMAS DE COBERTURA</v>
      </c>
      <c r="O173" s="178"/>
      <c r="Q173" s="178">
        <v>86.02</v>
      </c>
      <c r="R173" s="179"/>
      <c r="S173" s="179"/>
      <c r="T173" s="179"/>
      <c r="U173" s="179"/>
      <c r="V173" s="179"/>
      <c r="W173" s="179"/>
      <c r="X173" s="179"/>
      <c r="Y173" s="179"/>
      <c r="Z173" s="180"/>
      <c r="AA173" s="179"/>
      <c r="AB173" s="179"/>
      <c r="AC173" s="179"/>
      <c r="AD173" s="179"/>
      <c r="AE173" s="179"/>
      <c r="AF173" s="179"/>
      <c r="AG173" s="179"/>
      <c r="AH173" s="180"/>
      <c r="AJ173" s="544">
        <f ca="1">IF(AND($D173="Serviço",AJ$12&lt;&gt;0,$H173&gt;0,OR(AUTOEVENTO&lt;&gt;"manual",$M173&lt;&gt;1)),
IF(Import.TipoArredondamento&lt;&gt;"TransfereGOV",
ROUND(OFFSET($P173,0,AJ$13),15-13*ORÇAMENTO!$AF$7)/$H173*OFFSET(ORÇAMENTO!$X$15,ROW(AJ173)-ROW(AJ$15),0),
ROUND(ROUND(OFFSET($P173,0,AJ$13),15-13*ORÇAMENTO!$AF$7)*OFFSET(ORÇAMENTO!$W$15,ROW(AJ173)-ROW(AJ$15),0),15-13*ORÇAMENTO!$AF$11)),0)</f>
        <v>0</v>
      </c>
      <c r="AK173" s="545">
        <f ca="1">IF(AND($D173="Serviço",AK$12&lt;&gt;0,$H173&gt;0,OR(AUTOEVENTO&lt;&gt;"manual",$M173&lt;&gt;1)),
IF(Import.TipoArredondamento&lt;&gt;"TransfereGOV",
ROUND(OFFSET($P173,0,AK$13),15-13*ORÇAMENTO!$AF$7)/$H173*OFFSET(ORÇAMENTO!$X$15,ROW(AK173)-ROW(AK$15),0),
ROUND(ROUND(OFFSET($P173,0,AK$13),15-13*ORÇAMENTO!$AF$7)*OFFSET(ORÇAMENTO!$W$15,ROW(AK173)-ROW(AK$15),0),15-13*ORÇAMENTO!$AF$11)),0)</f>
        <v>0</v>
      </c>
      <c r="AL173" s="545">
        <f ca="1">IF(AND($D173="Serviço",AL$12&lt;&gt;0,$H173&gt;0,OR(AUTOEVENTO&lt;&gt;"manual",$M173&lt;&gt;1)),
IF(Import.TipoArredondamento&lt;&gt;"TransfereGOV",
ROUND(OFFSET($P173,0,AL$13),15-13*ORÇAMENTO!$AF$7)/$H173*OFFSET(ORÇAMENTO!$X$15,ROW(AL173)-ROW(AL$15),0),
ROUND(ROUND(OFFSET($P173,0,AL$13),15-13*ORÇAMENTO!$AF$7)*OFFSET(ORÇAMENTO!$W$15,ROW(AL173)-ROW(AL$15),0),15-13*ORÇAMENTO!$AF$11)),0)</f>
        <v>0</v>
      </c>
      <c r="AM173" s="545">
        <f ca="1">IF(AND($D173="Serviço",AM$12&lt;&gt;0,$H173&gt;0,OR(AUTOEVENTO&lt;&gt;"manual",$M173&lt;&gt;1)),
IF(Import.TipoArredondamento&lt;&gt;"TransfereGOV",
ROUND(OFFSET($P173,0,AM$13),15-13*ORÇAMENTO!$AF$7)/$H173*OFFSET(ORÇAMENTO!$X$15,ROW(AM173)-ROW(AM$15),0),
ROUND(ROUND(OFFSET($P173,0,AM$13),15-13*ORÇAMENTO!$AF$7)*OFFSET(ORÇAMENTO!$W$15,ROW(AM173)-ROW(AM$15),0),15-13*ORÇAMENTO!$AF$11)),0)</f>
        <v>0</v>
      </c>
      <c r="AN173" s="545">
        <f ca="1">IF(AND($D173="Serviço",AN$12&lt;&gt;0,$H173&gt;0,OR(AUTOEVENTO&lt;&gt;"manual",$M173&lt;&gt;1)),
IF(Import.TipoArredondamento&lt;&gt;"TransfereGOV",
ROUND(OFFSET($P173,0,AN$13),15-13*ORÇAMENTO!$AF$7)/$H173*OFFSET(ORÇAMENTO!$X$15,ROW(AN173)-ROW(AN$15),0),
ROUND(ROUND(OFFSET($P173,0,AN$13),15-13*ORÇAMENTO!$AF$7)*OFFSET(ORÇAMENTO!$W$15,ROW(AN173)-ROW(AN$15),0),15-13*ORÇAMENTO!$AF$11)),0)</f>
        <v>0</v>
      </c>
      <c r="AO173" s="545">
        <f ca="1">IF(AND($D173="Serviço",AO$12&lt;&gt;0,$H173&gt;0,OR(AUTOEVENTO&lt;&gt;"manual",$M173&lt;&gt;1)),
IF(Import.TipoArredondamento&lt;&gt;"TransfereGOV",
ROUND(OFFSET($P173,0,AO$13),15-13*ORÇAMENTO!$AF$7)/$H173*OFFSET(ORÇAMENTO!$X$15,ROW(AO173)-ROW(AO$15),0),
ROUND(ROUND(OFFSET($P173,0,AO$13),15-13*ORÇAMENTO!$AF$7)*OFFSET(ORÇAMENTO!$W$15,ROW(AO173)-ROW(AO$15),0),15-13*ORÇAMENTO!$AF$11)),0)</f>
        <v>0</v>
      </c>
      <c r="AP173" s="545">
        <f ca="1">IF(AND($D173="Serviço",AP$12&lt;&gt;0,$H173&gt;0,OR(AUTOEVENTO&lt;&gt;"manual",$M173&lt;&gt;1)),
IF(Import.TipoArredondamento&lt;&gt;"TransfereGOV",
ROUND(OFFSET($P173,0,AP$13),15-13*ORÇAMENTO!$AF$7)/$H173*OFFSET(ORÇAMENTO!$X$15,ROW(AP173)-ROW(AP$15),0),
ROUND(ROUND(OFFSET($P173,0,AP$13),15-13*ORÇAMENTO!$AF$7)*OFFSET(ORÇAMENTO!$W$15,ROW(AP173)-ROW(AP$15),0),15-13*ORÇAMENTO!$AF$11)),0)</f>
        <v>0</v>
      </c>
      <c r="AQ173" s="545">
        <f ca="1">IF(AND($D173="Serviço",AQ$12&lt;&gt;0,$H173&gt;0,OR(AUTOEVENTO&lt;&gt;"manual",$M173&lt;&gt;1)),
IF(Import.TipoArredondamento&lt;&gt;"TransfereGOV",
ROUND(OFFSET($P173,0,AQ$13),15-13*ORÇAMENTO!$AF$7)/$H173*OFFSET(ORÇAMENTO!$X$15,ROW(AQ173)-ROW(AQ$15),0),
ROUND(ROUND(OFFSET($P173,0,AQ$13),15-13*ORÇAMENTO!$AF$7)*OFFSET(ORÇAMENTO!$W$15,ROW(AQ173)-ROW(AQ$15),0),15-13*ORÇAMENTO!$AF$11)),0)</f>
        <v>0</v>
      </c>
      <c r="AR173" s="545">
        <f ca="1">IF(AND($D173="Serviço",AR$12&lt;&gt;0,$H173&gt;0,OR(AUTOEVENTO&lt;&gt;"manual",$M173&lt;&gt;1)),
IF(Import.TipoArredondamento&lt;&gt;"TransfereGOV",
ROUND(OFFSET($P173,0,AR$13),15-13*ORÇAMENTO!$AF$7)/$H173*OFFSET(ORÇAMENTO!$X$15,ROW(AR173)-ROW(AR$15),0),
ROUND(ROUND(OFFSET($P173,0,AR$13),15-13*ORÇAMENTO!$AF$7)*OFFSET(ORÇAMENTO!$W$15,ROW(AR173)-ROW(AR$15),0),15-13*ORÇAMENTO!$AF$11)),0)</f>
        <v>0</v>
      </c>
      <c r="AS173" s="546">
        <f ca="1">IF(AND($D173="Serviço",AS$12&lt;&gt;0,$H173&gt;0,OR(AUTOEVENTO&lt;&gt;"manual",$M173&lt;&gt;1)),
IF(Import.TipoArredondamento&lt;&gt;"TransfereGOV",
ROUND(OFFSET($P173,0,AS$13),15-13*ORÇAMENTO!$AF$7)/$H173*OFFSET(ORÇAMENTO!$X$15,ROW(AS173)-ROW(AS$15),0),
ROUND(ROUND(OFFSET($P173,0,AS$13),15-13*ORÇAMENTO!$AF$7)*OFFSET(ORÇAMENTO!$W$15,ROW(AS173)-ROW(AS$15),0),15-13*ORÇAMENTO!$AF$11)),0)</f>
        <v>0</v>
      </c>
      <c r="AT173" s="545">
        <f ca="1">IF(AND($D173="Serviço",AT$12&lt;&gt;0,$H173&gt;0,OR(AUTOEVENTO&lt;&gt;"manual",$M173&lt;&gt;1)),
IF(Import.TipoArredondamento&lt;&gt;"TransfereGOV",
ROUND(OFFSET($P173,0,AT$13),15-13*ORÇAMENTO!$AF$7)/$H173*OFFSET(ORÇAMENTO!$X$15,ROW(AT173)-ROW(AT$15),0),
ROUND(ROUND(OFFSET($P173,0,AT$13),15-13*ORÇAMENTO!$AF$7)*OFFSET(ORÇAMENTO!$W$15,ROW(AT173)-ROW(AT$15),0),15-13*ORÇAMENTO!$AF$11)),0)</f>
        <v>0</v>
      </c>
      <c r="AU173" s="545">
        <f ca="1">IF(AND($D173="Serviço",AU$12&lt;&gt;0,$H173&gt;0,OR(AUTOEVENTO&lt;&gt;"manual",$M173&lt;&gt;1)),
IF(Import.TipoArredondamento&lt;&gt;"TransfereGOV",
ROUND(OFFSET($P173,0,AU$13),15-13*ORÇAMENTO!$AF$7)/$H173*OFFSET(ORÇAMENTO!$X$15,ROW(AU173)-ROW(AU$15),0),
ROUND(ROUND(OFFSET($P173,0,AU$13),15-13*ORÇAMENTO!$AF$7)*OFFSET(ORÇAMENTO!$W$15,ROW(AU173)-ROW(AU$15),0),15-13*ORÇAMENTO!$AF$11)),0)</f>
        <v>0</v>
      </c>
      <c r="AV173" s="545">
        <f ca="1">IF(AND($D173="Serviço",AV$12&lt;&gt;0,$H173&gt;0,OR(AUTOEVENTO&lt;&gt;"manual",$M173&lt;&gt;1)),
IF(Import.TipoArredondamento&lt;&gt;"TransfereGOV",
ROUND(OFFSET($P173,0,AV$13),15-13*ORÇAMENTO!$AF$7)/$H173*OFFSET(ORÇAMENTO!$X$15,ROW(AV173)-ROW(AV$15),0),
ROUND(ROUND(OFFSET($P173,0,AV$13),15-13*ORÇAMENTO!$AF$7)*OFFSET(ORÇAMENTO!$W$15,ROW(AV173)-ROW(AV$15),0),15-13*ORÇAMENTO!$AF$11)),0)</f>
        <v>0</v>
      </c>
      <c r="AW173" s="545">
        <f ca="1">IF(AND($D173="Serviço",AW$12&lt;&gt;0,$H173&gt;0,OR(AUTOEVENTO&lt;&gt;"manual",$M173&lt;&gt;1)),
IF(Import.TipoArredondamento&lt;&gt;"TransfereGOV",
ROUND(OFFSET($P173,0,AW$13),15-13*ORÇAMENTO!$AF$7)/$H173*OFFSET(ORÇAMENTO!$X$15,ROW(AW173)-ROW(AW$15),0),
ROUND(ROUND(OFFSET($P173,0,AW$13),15-13*ORÇAMENTO!$AF$7)*OFFSET(ORÇAMENTO!$W$15,ROW(AW173)-ROW(AW$15),0),15-13*ORÇAMENTO!$AF$11)),0)</f>
        <v>0</v>
      </c>
      <c r="AX173" s="545">
        <f ca="1">IF(AND($D173="Serviço",AX$12&lt;&gt;0,$H173&gt;0,OR(AUTOEVENTO&lt;&gt;"manual",$M173&lt;&gt;1)),
IF(Import.TipoArredondamento&lt;&gt;"TransfereGOV",
ROUND(OFFSET($P173,0,AX$13),15-13*ORÇAMENTO!$AF$7)/$H173*OFFSET(ORÇAMENTO!$X$15,ROW(AX173)-ROW(AX$15),0),
ROUND(ROUND(OFFSET($P173,0,AX$13),15-13*ORÇAMENTO!$AF$7)*OFFSET(ORÇAMENTO!$W$15,ROW(AX173)-ROW(AX$15),0),15-13*ORÇAMENTO!$AF$11)),0)</f>
        <v>0</v>
      </c>
      <c r="AY173" s="545">
        <f ca="1">IF(AND($D173="Serviço",AY$12&lt;&gt;0,$H173&gt;0,OR(AUTOEVENTO&lt;&gt;"manual",$M173&lt;&gt;1)),
IF(Import.TipoArredondamento&lt;&gt;"TransfereGOV",
ROUND(OFFSET($P173,0,AY$13),15-13*ORÇAMENTO!$AF$7)/$H173*OFFSET(ORÇAMENTO!$X$15,ROW(AY173)-ROW(AY$15),0),
ROUND(ROUND(OFFSET($P173,0,AY$13),15-13*ORÇAMENTO!$AF$7)*OFFSET(ORÇAMENTO!$W$15,ROW(AY173)-ROW(AY$15),0),15-13*ORÇAMENTO!$AF$11)),0)</f>
        <v>0</v>
      </c>
      <c r="AZ173" s="545">
        <f ca="1">IF(AND($D173="Serviço",AZ$12&lt;&gt;0,$H173&gt;0,OR(AUTOEVENTO&lt;&gt;"manual",$M173&lt;&gt;1)),
IF(Import.TipoArredondamento&lt;&gt;"TransfereGOV",
ROUND(OFFSET($P173,0,AZ$13),15-13*ORÇAMENTO!$AF$7)/$H173*OFFSET(ORÇAMENTO!$X$15,ROW(AZ173)-ROW(AZ$15),0),
ROUND(ROUND(OFFSET($P173,0,AZ$13),15-13*ORÇAMENTO!$AF$7)*OFFSET(ORÇAMENTO!$W$15,ROW(AZ173)-ROW(AZ$15),0),15-13*ORÇAMENTO!$AF$11)),0)</f>
        <v>0</v>
      </c>
      <c r="BA173" s="546">
        <f ca="1">IF(AND($D173="Serviço",BA$12&lt;&gt;0,$H173&gt;0,OR(AUTOEVENTO&lt;&gt;"manual",$M173&lt;&gt;1)),
IF(Import.TipoArredondamento&lt;&gt;"TransfereGOV",
ROUND(OFFSET($P173,0,BA$13),15-13*ORÇAMENTO!$AF$7)/$H173*OFFSET(ORÇAMENTO!$X$15,ROW(BA173)-ROW(BA$15),0),
ROUND(ROUND(OFFSET($P173,0,BA$13),15-13*ORÇAMENTO!$AF$7)*OFFSET(ORÇAMENTO!$W$15,ROW(BA173)-ROW(BA$15),0),15-13*ORÇAMENTO!$AF$11)),0)</f>
        <v>0</v>
      </c>
      <c r="BC173" s="181">
        <f ca="1">IF($D173&lt;&gt;"Serviço",0,IF(AND(AUTOEVENTO="Manual",$M173=1),0,IF(OFFSET(CRONOPLE!$F$14,$M173,BC$13)="",10^12,OFFSET(CRONOPLE!$F$14,$M173,BC$13))))</f>
        <v>6</v>
      </c>
      <c r="BD173" s="181">
        <f ca="1">IF($D173&lt;&gt;"Serviço",0,IF(AND(AUTOEVENTO="Manual",$M173=1),0,IF(OFFSET(CRONOPLE!$F$14,$M173,BD$13)="",10^12,OFFSET(CRONOPLE!$F$14,$M173,BD$13))))</f>
        <v>1000000000000</v>
      </c>
      <c r="BE173" s="181">
        <f ca="1">IF($D173&lt;&gt;"Serviço",0,IF(AND(AUTOEVENTO="Manual",$M173=1),0,IF(OFFSET(CRONOPLE!$F$14,$M173,BE$13)="",10^12,OFFSET(CRONOPLE!$F$14,$M173,BE$13))))</f>
        <v>1000000000000</v>
      </c>
      <c r="BF173" s="181">
        <f ca="1">IF($D173&lt;&gt;"Serviço",0,IF(AND(AUTOEVENTO="Manual",$M173=1),0,IF(OFFSET(CRONOPLE!$F$14,$M173,BF$13)="",10^12,OFFSET(CRONOPLE!$F$14,$M173,BF$13))))</f>
        <v>1000000000000</v>
      </c>
      <c r="BG173" s="181">
        <f ca="1">IF($D173&lt;&gt;"Serviço",0,IF(AND(AUTOEVENTO="Manual",$M173=1),0,IF(OFFSET(CRONOPLE!$F$14,$M173,BG$13)="",10^12,OFFSET(CRONOPLE!$F$14,$M173,BG$13))))</f>
        <v>1000000000000</v>
      </c>
      <c r="BH173" s="181">
        <f ca="1">IF($D173&lt;&gt;"Serviço",0,IF(AND(AUTOEVENTO="Manual",$M173=1),0,IF(OFFSET(CRONOPLE!$F$14,$M173,BH$13)="",10^12,OFFSET(CRONOPLE!$F$14,$M173,BH$13))))</f>
        <v>1000000000000</v>
      </c>
      <c r="BI173" s="181">
        <f ca="1">IF($D173&lt;&gt;"Serviço",0,IF(AND(AUTOEVENTO="Manual",$M173=1),0,IF(OFFSET(CRONOPLE!$F$14,$M173,BI$13)="",10^12,OFFSET(CRONOPLE!$F$14,$M173,BI$13))))</f>
        <v>1000000000000</v>
      </c>
      <c r="BJ173" s="181">
        <f ca="1">IF($D173&lt;&gt;"Serviço",0,IF(AND(AUTOEVENTO="Manual",$M173=1),0,IF(OFFSET(CRONOPLE!$F$14,$M173,BJ$13)="",10^12,OFFSET(CRONOPLE!$F$14,$M173,BJ$13))))</f>
        <v>1000000000000</v>
      </c>
      <c r="BK173" s="181">
        <f ca="1">IF($D173&lt;&gt;"Serviço",0,IF(AND(AUTOEVENTO="Manual",$M173=1),0,IF(OFFSET(CRONOPLE!$F$14,$M173,BK$13)="",10^12,OFFSET(CRONOPLE!$F$14,$M173,BK$13))))</f>
        <v>1000000000000</v>
      </c>
      <c r="BL173" s="181">
        <f ca="1">IF($D173&lt;&gt;"Serviço",0,IF(AND(AUTOEVENTO="Manual",$M173=1),0,IF(OFFSET(CRONOPLE!$F$14,$M173,BL$13)="",10^12,OFFSET(CRONOPLE!$F$14,$M173,BL$13))))</f>
        <v>1000000000000</v>
      </c>
      <c r="BM173" s="181">
        <f ca="1">IF($D173&lt;&gt;"Serviço",0,IF(AND(AUTOEVENTO="Manual",$M173=1),0,IF(OFFSET(CRONOPLE!$F$14,$M173,BM$13)="",10^12,OFFSET(CRONOPLE!$F$14,$M173,BM$13))))</f>
        <v>1000000000000</v>
      </c>
      <c r="BN173" s="181">
        <f ca="1">IF($D173&lt;&gt;"Serviço",0,IF(AND(AUTOEVENTO="Manual",$M173=1),0,IF(OFFSET(CRONOPLE!$F$14,$M173,BN$13)="",10^12,OFFSET(CRONOPLE!$F$14,$M173,BN$13))))</f>
        <v>1000000000000</v>
      </c>
      <c r="BO173" s="181">
        <f ca="1">IF($D173&lt;&gt;"Serviço",0,IF(AND(AUTOEVENTO="Manual",$M173=1),0,IF(OFFSET(CRONOPLE!$F$14,$M173,BO$13)="",10^12,OFFSET(CRONOPLE!$F$14,$M173,BO$13))))</f>
        <v>1000000000000</v>
      </c>
      <c r="BP173" s="181">
        <f ca="1">IF($D173&lt;&gt;"Serviço",0,IF(AND(AUTOEVENTO="Manual",$M173=1),0,IF(OFFSET(CRONOPLE!$F$14,$M173,BP$13)="",10^12,OFFSET(CRONOPLE!$F$14,$M173,BP$13))))</f>
        <v>1000000000000</v>
      </c>
      <c r="BQ173" s="181">
        <f ca="1">IF($D173&lt;&gt;"Serviço",0,IF(AND(AUTOEVENTO="Manual",$M173=1),0,IF(OFFSET(CRONOPLE!$F$14,$M173,BQ$13)="",10^12,OFFSET(CRONOPLE!$F$14,$M173,BQ$13))))</f>
        <v>1000000000000</v>
      </c>
      <c r="BR173" s="181">
        <f ca="1">IF($D173&lt;&gt;"Serviço",0,IF(AND(AUTOEVENTO="Manual",$M173=1),0,IF(OFFSET(CRONOPLE!$F$14,$M173,BR$13)="",10^12,OFFSET(CRONOPLE!$F$14,$M173,BR$13))))</f>
        <v>1000000000000</v>
      </c>
      <c r="BS173" s="181">
        <f ca="1">IF($D173&lt;&gt;"Serviço",0,IF(AND(AUTOEVENTO="Manual",$M173=1),0,IF(OFFSET(CRONOPLE!$F$14,$M173,BS$13)="",10^12,OFFSET(CRONOPLE!$F$14,$M173,BS$13))))</f>
        <v>1000000000000</v>
      </c>
      <c r="BT173" s="181">
        <f ca="1">IF($D173&lt;&gt;"Serviço",0,IF(AND(AUTOEVENTO="Manual",$M173=1),0,IF(OFFSET(CRONOPLE!$F$14,$M173,BT$13)="",10^12,OFFSET(CRONOPLE!$F$14,$M173,BT$13))))</f>
        <v>1000000000000</v>
      </c>
      <c r="BV173" s="182">
        <f ca="1">IF($D173&lt;&gt;"Serviço",0,IF(OR(AND(AUTOEVENTO="Manual",$M173=1),$M173&gt;(ROW(PLE.lastrow)-ROW(PLE.firstrow))),0,IF(OFFSET(PLE!$G$14,$M173,BV$13)="",10^12,OFFSET(PLE!$G$14,$M173,BV$13))))</f>
        <v>1000000000000</v>
      </c>
      <c r="BW173" s="182">
        <f ca="1">IF($D173&lt;&gt;"Serviço",0,IF(OR(AND(AUTOEVENTO="Manual",$M173=1),$M173&gt;(ROW(PLE.lastrow)-ROW(PLE.firstrow))),0,IF(OFFSET(PLE!$G$14,$M173,BW$13)="",10^12,OFFSET(PLE!$G$14,$M173,BW$13))))</f>
        <v>1000000000000</v>
      </c>
      <c r="BX173" s="182">
        <f ca="1">IF($D173&lt;&gt;"Serviço",0,IF(OR(AND(AUTOEVENTO="Manual",$M173=1),$M173&gt;(ROW(PLE.lastrow)-ROW(PLE.firstrow))),0,IF(OFFSET(PLE!$G$14,$M173,BX$13)="",10^12,OFFSET(PLE!$G$14,$M173,BX$13))))</f>
        <v>1000000000000</v>
      </c>
      <c r="BY173" s="182">
        <f ca="1">IF($D173&lt;&gt;"Serviço",0,IF(OR(AND(AUTOEVENTO="Manual",$M173=1),$M173&gt;(ROW(PLE.lastrow)-ROW(PLE.firstrow))),0,IF(OFFSET(PLE!$G$14,$M173,BY$13)="",10^12,OFFSET(PLE!$G$14,$M173,BY$13))))</f>
        <v>1000000000000</v>
      </c>
      <c r="BZ173" s="182">
        <f ca="1">IF($D173&lt;&gt;"Serviço",0,IF(OR(AND(AUTOEVENTO="Manual",$M173=1),$M173&gt;(ROW(PLE.lastrow)-ROW(PLE.firstrow))),0,IF(OFFSET(PLE!$G$14,$M173,BZ$13)="",10^12,OFFSET(PLE!$G$14,$M173,BZ$13))))</f>
        <v>1000000000000</v>
      </c>
      <c r="CA173" s="182">
        <f ca="1">IF($D173&lt;&gt;"Serviço",0,IF(OR(AND(AUTOEVENTO="Manual",$M173=1),$M173&gt;(ROW(PLE.lastrow)-ROW(PLE.firstrow))),0,IF(OFFSET(PLE!$G$14,$M173,CA$13)="",10^12,OFFSET(PLE!$G$14,$M173,CA$13))))</f>
        <v>1000000000000</v>
      </c>
      <c r="CB173" s="182">
        <f ca="1">IF($D173&lt;&gt;"Serviço",0,IF(OR(AND(AUTOEVENTO="Manual",$M173=1),$M173&gt;(ROW(PLE.lastrow)-ROW(PLE.firstrow))),0,IF(OFFSET(PLE!$G$14,$M173,CB$13)="",10^12,OFFSET(PLE!$G$14,$M173,CB$13))))</f>
        <v>1000000000000</v>
      </c>
      <c r="CC173" s="182">
        <f ca="1">IF($D173&lt;&gt;"Serviço",0,IF(OR(AND(AUTOEVENTO="Manual",$M173=1),$M173&gt;(ROW(PLE.lastrow)-ROW(PLE.firstrow))),0,IF(OFFSET(PLE!$G$14,$M173,CC$13)="",10^12,OFFSET(PLE!$G$14,$M173,CC$13))))</f>
        <v>1000000000000</v>
      </c>
      <c r="CD173" s="182">
        <f ca="1">IF($D173&lt;&gt;"Serviço",0,IF(OR(AND(AUTOEVENTO="Manual",$M173=1),$M173&gt;(ROW(PLE.lastrow)-ROW(PLE.firstrow))),0,IF(OFFSET(PLE!$G$14,$M173,CD$13)="",10^12,OFFSET(PLE!$G$14,$M173,CD$13))))</f>
        <v>1000000000000</v>
      </c>
      <c r="CE173" s="182">
        <f ca="1">IF($D173&lt;&gt;"Serviço",0,IF(OR(AND(AUTOEVENTO="Manual",$M173=1),$M173&gt;(ROW(PLE.lastrow)-ROW(PLE.firstrow))),0,IF(OFFSET(PLE!$G$14,$M173,CE$13)="",10^12,OFFSET(PLE!$G$14,$M173,CE$13))))</f>
        <v>1000000000000</v>
      </c>
      <c r="CF173" s="182">
        <f ca="1">IF($D173&lt;&gt;"Serviço",0,IF(OR(AND(AUTOEVENTO="Manual",$M173=1),$M173&gt;(ROW(PLE.lastrow)-ROW(PLE.firstrow))),0,IF(OFFSET(PLE!$G$14,$M173,CF$13)="",10^12,OFFSET(PLE!$G$14,$M173,CF$13))))</f>
        <v>1000000000000</v>
      </c>
      <c r="CG173" s="182">
        <f ca="1">IF($D173&lt;&gt;"Serviço",0,IF(OR(AND(AUTOEVENTO="Manual",$M173=1),$M173&gt;(ROW(PLE.lastrow)-ROW(PLE.firstrow))),0,IF(OFFSET(PLE!$G$14,$M173,CG$13)="",10^12,OFFSET(PLE!$G$14,$M173,CG$13))))</f>
        <v>1000000000000</v>
      </c>
      <c r="CH173" s="182">
        <f ca="1">IF($D173&lt;&gt;"Serviço",0,IF(OR(AND(AUTOEVENTO="Manual",$M173=1),$M173&gt;(ROW(PLE.lastrow)-ROW(PLE.firstrow))),0,IF(OFFSET(PLE!$G$14,$M173,CH$13)="",10^12,OFFSET(PLE!$G$14,$M173,CH$13))))</f>
        <v>1000000000000</v>
      </c>
      <c r="CI173" s="182">
        <f ca="1">IF($D173&lt;&gt;"Serviço",0,IF(OR(AND(AUTOEVENTO="Manual",$M173=1),$M173&gt;(ROW(PLE.lastrow)-ROW(PLE.firstrow))),0,IF(OFFSET(PLE!$G$14,$M173,CI$13)="",10^12,OFFSET(PLE!$G$14,$M173,CI$13))))</f>
        <v>1000000000000</v>
      </c>
      <c r="CJ173" s="182">
        <f ca="1">IF($D173&lt;&gt;"Serviço",0,IF(OR(AND(AUTOEVENTO="Manual",$M173=1),$M173&gt;(ROW(PLE.lastrow)-ROW(PLE.firstrow))),0,IF(OFFSET(PLE!$G$14,$M173,CJ$13)="",10^12,OFFSET(PLE!$G$14,$M173,CJ$13))))</f>
        <v>1000000000000</v>
      </c>
      <c r="CK173" s="182">
        <f ca="1">IF($D173&lt;&gt;"Serviço",0,IF(OR(AND(AUTOEVENTO="Manual",$M173=1),$M173&gt;(ROW(PLE.lastrow)-ROW(PLE.firstrow))),0,IF(OFFSET(PLE!$G$14,$M173,CK$13)="",10^12,OFFSET(PLE!$G$14,$M173,CK$13))))</f>
        <v>1000000000000</v>
      </c>
      <c r="CL173" s="182">
        <f ca="1">IF($D173&lt;&gt;"Serviço",0,IF(OR(AND(AUTOEVENTO="Manual",$M173=1),$M173&gt;(ROW(PLE.lastrow)-ROW(PLE.firstrow))),0,IF(OFFSET(PLE!$G$14,$M173,CL$13)="",10^12,OFFSET(PLE!$G$14,$M173,CL$13))))</f>
        <v>1000000000000</v>
      </c>
      <c r="CM173" s="182">
        <f ca="1">IF($D173&lt;&gt;"Serviço",0,IF(OR(AND(AUTOEVENTO="Manual",$M173=1),$M173&gt;(ROW(PLE.lastrow)-ROW(PLE.firstrow))),0,IF(OFFSET(PLE!$G$14,$M173,CM$13)="",10^12,OFFSET(PLE!$G$14,$M173,CM$13))))</f>
        <v>1000000000000</v>
      </c>
    </row>
    <row r="174" spans="1:91" ht="25.5" x14ac:dyDescent="0.2">
      <c r="A174" s="7" t="str">
        <f t="shared" ca="1" si="11"/>
        <v>154</v>
      </c>
      <c r="B174" s="7" t="str">
        <f ca="1">OFFSET(ORÇAMENTO!C$15,ROW(B174)-ROW(B$15),0)</f>
        <v>S</v>
      </c>
      <c r="C174" s="7" t="str">
        <f ca="1">OFFSET(ORÇAMENTO!L$15,ROW(C174)-ROW(C$15),0)</f>
        <v/>
      </c>
      <c r="D174" s="118" t="str">
        <f ca="1">OFFSET(ORÇAMENTO!N$15,ROW(D174)-ROW(D$15),0)</f>
        <v>Serviço</v>
      </c>
      <c r="E174" s="119" t="str">
        <f ca="1">OFFSET(ORÇAMENTO!O$15,ROW(E174)-ROW(E$15),0)</f>
        <v>-</v>
      </c>
      <c r="F174" s="172" t="str">
        <f ca="1">OFFSET(ORÇAMENTO!R$15,ROW(F174)-ROW(F$15),0)</f>
        <v>(abra o arquivo 'Referência 06-2024.xlsm)</v>
      </c>
      <c r="G174" s="173" t="str">
        <f ca="1">IF($D174&lt;&gt;"Serviço","",OFFSET(ORÇAMENTO!S$15,ROW(G174)-ROW(G$15),0))</f>
        <v>-</v>
      </c>
      <c r="H174" s="124">
        <f ca="1">IF($D174&lt;&gt;"Serviço",0,IF(ACOMPANHAMENTO="BM",ROUND(OFFSET(ORÇAMENTO!AJ$15,ROW(H174)-ROW(H$15),0),15-13*ORÇAMENTO!$AF$7),SUMPRODUCT(($Q$12:$AI$12&lt;&gt;"")*ROUND($Q174:$AI174,15-13*ORÇAMENTO!$AF$7))))</f>
        <v>311.35000000000002</v>
      </c>
      <c r="I174" s="561" t="s">
        <v>1107</v>
      </c>
      <c r="K174" s="174"/>
      <c r="L174" s="175" t="s">
        <v>255</v>
      </c>
      <c r="M174" s="176">
        <f ca="1">IF($D174&lt;&gt;"Serviço","",IF(AUTOEVENTO="manual",$A174,IF(ISERROR(MATCH($A174,$A$15:OFFSET($A174,-1,0),0)),MAX($M$15:OFFSET(M174,-1,0))+1,INDEX($M$15:OFFSET(M174,-1,0),MATCH($A174,$A$15:OFFSET($A174,-1,0),0)))))</f>
        <v>25</v>
      </c>
      <c r="N174" s="177" t="str">
        <f ca="1">IF($D174&lt;&gt;"Serviço","",IF(AUTOEVENTO="Manual",IF($A174=0,"&lt;-- defina o número do agrupador",OFFSET(EVENTOS!$D$14,$A174,0)),OFFSET($F$15,$A174,0)))</f>
        <v>SISTEMAS DE COBERTURA</v>
      </c>
      <c r="O174" s="178"/>
      <c r="Q174" s="178">
        <v>311.35000000000002</v>
      </c>
      <c r="R174" s="179"/>
      <c r="S174" s="179"/>
      <c r="T174" s="179"/>
      <c r="U174" s="179"/>
      <c r="V174" s="179"/>
      <c r="W174" s="179"/>
      <c r="X174" s="179"/>
      <c r="Y174" s="179"/>
      <c r="Z174" s="180"/>
      <c r="AA174" s="179"/>
      <c r="AB174" s="179"/>
      <c r="AC174" s="179"/>
      <c r="AD174" s="179"/>
      <c r="AE174" s="179"/>
      <c r="AF174" s="179"/>
      <c r="AG174" s="179"/>
      <c r="AH174" s="180"/>
      <c r="AJ174" s="544">
        <f ca="1">IF(AND($D174="Serviço",AJ$12&lt;&gt;0,$H174&gt;0,OR(AUTOEVENTO&lt;&gt;"manual",$M174&lt;&gt;1)),
IF(Import.TipoArredondamento&lt;&gt;"TransfereGOV",
ROUND(OFFSET($P174,0,AJ$13),15-13*ORÇAMENTO!$AF$7)/$H174*OFFSET(ORÇAMENTO!$X$15,ROW(AJ174)-ROW(AJ$15),0),
ROUND(ROUND(OFFSET($P174,0,AJ$13),15-13*ORÇAMENTO!$AF$7)*OFFSET(ORÇAMENTO!$W$15,ROW(AJ174)-ROW(AJ$15),0),15-13*ORÇAMENTO!$AF$11)),0)</f>
        <v>0</v>
      </c>
      <c r="AK174" s="545">
        <f ca="1">IF(AND($D174="Serviço",AK$12&lt;&gt;0,$H174&gt;0,OR(AUTOEVENTO&lt;&gt;"manual",$M174&lt;&gt;1)),
IF(Import.TipoArredondamento&lt;&gt;"TransfereGOV",
ROUND(OFFSET($P174,0,AK$13),15-13*ORÇAMENTO!$AF$7)/$H174*OFFSET(ORÇAMENTO!$X$15,ROW(AK174)-ROW(AK$15),0),
ROUND(ROUND(OFFSET($P174,0,AK$13),15-13*ORÇAMENTO!$AF$7)*OFFSET(ORÇAMENTO!$W$15,ROW(AK174)-ROW(AK$15),0),15-13*ORÇAMENTO!$AF$11)),0)</f>
        <v>0</v>
      </c>
      <c r="AL174" s="545">
        <f ca="1">IF(AND($D174="Serviço",AL$12&lt;&gt;0,$H174&gt;0,OR(AUTOEVENTO&lt;&gt;"manual",$M174&lt;&gt;1)),
IF(Import.TipoArredondamento&lt;&gt;"TransfereGOV",
ROUND(OFFSET($P174,0,AL$13),15-13*ORÇAMENTO!$AF$7)/$H174*OFFSET(ORÇAMENTO!$X$15,ROW(AL174)-ROW(AL$15),0),
ROUND(ROUND(OFFSET($P174,0,AL$13),15-13*ORÇAMENTO!$AF$7)*OFFSET(ORÇAMENTO!$W$15,ROW(AL174)-ROW(AL$15),0),15-13*ORÇAMENTO!$AF$11)),0)</f>
        <v>0</v>
      </c>
      <c r="AM174" s="545">
        <f ca="1">IF(AND($D174="Serviço",AM$12&lt;&gt;0,$H174&gt;0,OR(AUTOEVENTO&lt;&gt;"manual",$M174&lt;&gt;1)),
IF(Import.TipoArredondamento&lt;&gt;"TransfereGOV",
ROUND(OFFSET($P174,0,AM$13),15-13*ORÇAMENTO!$AF$7)/$H174*OFFSET(ORÇAMENTO!$X$15,ROW(AM174)-ROW(AM$15),0),
ROUND(ROUND(OFFSET($P174,0,AM$13),15-13*ORÇAMENTO!$AF$7)*OFFSET(ORÇAMENTO!$W$15,ROW(AM174)-ROW(AM$15),0),15-13*ORÇAMENTO!$AF$11)),0)</f>
        <v>0</v>
      </c>
      <c r="AN174" s="545">
        <f ca="1">IF(AND($D174="Serviço",AN$12&lt;&gt;0,$H174&gt;0,OR(AUTOEVENTO&lt;&gt;"manual",$M174&lt;&gt;1)),
IF(Import.TipoArredondamento&lt;&gt;"TransfereGOV",
ROUND(OFFSET($P174,0,AN$13),15-13*ORÇAMENTO!$AF$7)/$H174*OFFSET(ORÇAMENTO!$X$15,ROW(AN174)-ROW(AN$15),0),
ROUND(ROUND(OFFSET($P174,0,AN$13),15-13*ORÇAMENTO!$AF$7)*OFFSET(ORÇAMENTO!$W$15,ROW(AN174)-ROW(AN$15),0),15-13*ORÇAMENTO!$AF$11)),0)</f>
        <v>0</v>
      </c>
      <c r="AO174" s="545">
        <f ca="1">IF(AND($D174="Serviço",AO$12&lt;&gt;0,$H174&gt;0,OR(AUTOEVENTO&lt;&gt;"manual",$M174&lt;&gt;1)),
IF(Import.TipoArredondamento&lt;&gt;"TransfereGOV",
ROUND(OFFSET($P174,0,AO$13),15-13*ORÇAMENTO!$AF$7)/$H174*OFFSET(ORÇAMENTO!$X$15,ROW(AO174)-ROW(AO$15),0),
ROUND(ROUND(OFFSET($P174,0,AO$13),15-13*ORÇAMENTO!$AF$7)*OFFSET(ORÇAMENTO!$W$15,ROW(AO174)-ROW(AO$15),0),15-13*ORÇAMENTO!$AF$11)),0)</f>
        <v>0</v>
      </c>
      <c r="AP174" s="545">
        <f ca="1">IF(AND($D174="Serviço",AP$12&lt;&gt;0,$H174&gt;0,OR(AUTOEVENTO&lt;&gt;"manual",$M174&lt;&gt;1)),
IF(Import.TipoArredondamento&lt;&gt;"TransfereGOV",
ROUND(OFFSET($P174,0,AP$13),15-13*ORÇAMENTO!$AF$7)/$H174*OFFSET(ORÇAMENTO!$X$15,ROW(AP174)-ROW(AP$15),0),
ROUND(ROUND(OFFSET($P174,0,AP$13),15-13*ORÇAMENTO!$AF$7)*OFFSET(ORÇAMENTO!$W$15,ROW(AP174)-ROW(AP$15),0),15-13*ORÇAMENTO!$AF$11)),0)</f>
        <v>0</v>
      </c>
      <c r="AQ174" s="545">
        <f ca="1">IF(AND($D174="Serviço",AQ$12&lt;&gt;0,$H174&gt;0,OR(AUTOEVENTO&lt;&gt;"manual",$M174&lt;&gt;1)),
IF(Import.TipoArredondamento&lt;&gt;"TransfereGOV",
ROUND(OFFSET($P174,0,AQ$13),15-13*ORÇAMENTO!$AF$7)/$H174*OFFSET(ORÇAMENTO!$X$15,ROW(AQ174)-ROW(AQ$15),0),
ROUND(ROUND(OFFSET($P174,0,AQ$13),15-13*ORÇAMENTO!$AF$7)*OFFSET(ORÇAMENTO!$W$15,ROW(AQ174)-ROW(AQ$15),0),15-13*ORÇAMENTO!$AF$11)),0)</f>
        <v>0</v>
      </c>
      <c r="AR174" s="545">
        <f ca="1">IF(AND($D174="Serviço",AR$12&lt;&gt;0,$H174&gt;0,OR(AUTOEVENTO&lt;&gt;"manual",$M174&lt;&gt;1)),
IF(Import.TipoArredondamento&lt;&gt;"TransfereGOV",
ROUND(OFFSET($P174,0,AR$13),15-13*ORÇAMENTO!$AF$7)/$H174*OFFSET(ORÇAMENTO!$X$15,ROW(AR174)-ROW(AR$15),0),
ROUND(ROUND(OFFSET($P174,0,AR$13),15-13*ORÇAMENTO!$AF$7)*OFFSET(ORÇAMENTO!$W$15,ROW(AR174)-ROW(AR$15),0),15-13*ORÇAMENTO!$AF$11)),0)</f>
        <v>0</v>
      </c>
      <c r="AS174" s="546">
        <f ca="1">IF(AND($D174="Serviço",AS$12&lt;&gt;0,$H174&gt;0,OR(AUTOEVENTO&lt;&gt;"manual",$M174&lt;&gt;1)),
IF(Import.TipoArredondamento&lt;&gt;"TransfereGOV",
ROUND(OFFSET($P174,0,AS$13),15-13*ORÇAMENTO!$AF$7)/$H174*OFFSET(ORÇAMENTO!$X$15,ROW(AS174)-ROW(AS$15),0),
ROUND(ROUND(OFFSET($P174,0,AS$13),15-13*ORÇAMENTO!$AF$7)*OFFSET(ORÇAMENTO!$W$15,ROW(AS174)-ROW(AS$15),0),15-13*ORÇAMENTO!$AF$11)),0)</f>
        <v>0</v>
      </c>
      <c r="AT174" s="545">
        <f ca="1">IF(AND($D174="Serviço",AT$12&lt;&gt;0,$H174&gt;0,OR(AUTOEVENTO&lt;&gt;"manual",$M174&lt;&gt;1)),
IF(Import.TipoArredondamento&lt;&gt;"TransfereGOV",
ROUND(OFFSET($P174,0,AT$13),15-13*ORÇAMENTO!$AF$7)/$H174*OFFSET(ORÇAMENTO!$X$15,ROW(AT174)-ROW(AT$15),0),
ROUND(ROUND(OFFSET($P174,0,AT$13),15-13*ORÇAMENTO!$AF$7)*OFFSET(ORÇAMENTO!$W$15,ROW(AT174)-ROW(AT$15),0),15-13*ORÇAMENTO!$AF$11)),0)</f>
        <v>0</v>
      </c>
      <c r="AU174" s="545">
        <f ca="1">IF(AND($D174="Serviço",AU$12&lt;&gt;0,$H174&gt;0,OR(AUTOEVENTO&lt;&gt;"manual",$M174&lt;&gt;1)),
IF(Import.TipoArredondamento&lt;&gt;"TransfereGOV",
ROUND(OFFSET($P174,0,AU$13),15-13*ORÇAMENTO!$AF$7)/$H174*OFFSET(ORÇAMENTO!$X$15,ROW(AU174)-ROW(AU$15),0),
ROUND(ROUND(OFFSET($P174,0,AU$13),15-13*ORÇAMENTO!$AF$7)*OFFSET(ORÇAMENTO!$W$15,ROW(AU174)-ROW(AU$15),0),15-13*ORÇAMENTO!$AF$11)),0)</f>
        <v>0</v>
      </c>
      <c r="AV174" s="545">
        <f ca="1">IF(AND($D174="Serviço",AV$12&lt;&gt;0,$H174&gt;0,OR(AUTOEVENTO&lt;&gt;"manual",$M174&lt;&gt;1)),
IF(Import.TipoArredondamento&lt;&gt;"TransfereGOV",
ROUND(OFFSET($P174,0,AV$13),15-13*ORÇAMENTO!$AF$7)/$H174*OFFSET(ORÇAMENTO!$X$15,ROW(AV174)-ROW(AV$15),0),
ROUND(ROUND(OFFSET($P174,0,AV$13),15-13*ORÇAMENTO!$AF$7)*OFFSET(ORÇAMENTO!$W$15,ROW(AV174)-ROW(AV$15),0),15-13*ORÇAMENTO!$AF$11)),0)</f>
        <v>0</v>
      </c>
      <c r="AW174" s="545">
        <f ca="1">IF(AND($D174="Serviço",AW$12&lt;&gt;0,$H174&gt;0,OR(AUTOEVENTO&lt;&gt;"manual",$M174&lt;&gt;1)),
IF(Import.TipoArredondamento&lt;&gt;"TransfereGOV",
ROUND(OFFSET($P174,0,AW$13),15-13*ORÇAMENTO!$AF$7)/$H174*OFFSET(ORÇAMENTO!$X$15,ROW(AW174)-ROW(AW$15),0),
ROUND(ROUND(OFFSET($P174,0,AW$13),15-13*ORÇAMENTO!$AF$7)*OFFSET(ORÇAMENTO!$W$15,ROW(AW174)-ROW(AW$15),0),15-13*ORÇAMENTO!$AF$11)),0)</f>
        <v>0</v>
      </c>
      <c r="AX174" s="545">
        <f ca="1">IF(AND($D174="Serviço",AX$12&lt;&gt;0,$H174&gt;0,OR(AUTOEVENTO&lt;&gt;"manual",$M174&lt;&gt;1)),
IF(Import.TipoArredondamento&lt;&gt;"TransfereGOV",
ROUND(OFFSET($P174,0,AX$13),15-13*ORÇAMENTO!$AF$7)/$H174*OFFSET(ORÇAMENTO!$X$15,ROW(AX174)-ROW(AX$15),0),
ROUND(ROUND(OFFSET($P174,0,AX$13),15-13*ORÇAMENTO!$AF$7)*OFFSET(ORÇAMENTO!$W$15,ROW(AX174)-ROW(AX$15),0),15-13*ORÇAMENTO!$AF$11)),0)</f>
        <v>0</v>
      </c>
      <c r="AY174" s="545">
        <f ca="1">IF(AND($D174="Serviço",AY$12&lt;&gt;0,$H174&gt;0,OR(AUTOEVENTO&lt;&gt;"manual",$M174&lt;&gt;1)),
IF(Import.TipoArredondamento&lt;&gt;"TransfereGOV",
ROUND(OFFSET($P174,0,AY$13),15-13*ORÇAMENTO!$AF$7)/$H174*OFFSET(ORÇAMENTO!$X$15,ROW(AY174)-ROW(AY$15),0),
ROUND(ROUND(OFFSET($P174,0,AY$13),15-13*ORÇAMENTO!$AF$7)*OFFSET(ORÇAMENTO!$W$15,ROW(AY174)-ROW(AY$15),0),15-13*ORÇAMENTO!$AF$11)),0)</f>
        <v>0</v>
      </c>
      <c r="AZ174" s="545">
        <f ca="1">IF(AND($D174="Serviço",AZ$12&lt;&gt;0,$H174&gt;0,OR(AUTOEVENTO&lt;&gt;"manual",$M174&lt;&gt;1)),
IF(Import.TipoArredondamento&lt;&gt;"TransfereGOV",
ROUND(OFFSET($P174,0,AZ$13),15-13*ORÇAMENTO!$AF$7)/$H174*OFFSET(ORÇAMENTO!$X$15,ROW(AZ174)-ROW(AZ$15),0),
ROUND(ROUND(OFFSET($P174,0,AZ$13),15-13*ORÇAMENTO!$AF$7)*OFFSET(ORÇAMENTO!$W$15,ROW(AZ174)-ROW(AZ$15),0),15-13*ORÇAMENTO!$AF$11)),0)</f>
        <v>0</v>
      </c>
      <c r="BA174" s="546">
        <f ca="1">IF(AND($D174="Serviço",BA$12&lt;&gt;0,$H174&gt;0,OR(AUTOEVENTO&lt;&gt;"manual",$M174&lt;&gt;1)),
IF(Import.TipoArredondamento&lt;&gt;"TransfereGOV",
ROUND(OFFSET($P174,0,BA$13),15-13*ORÇAMENTO!$AF$7)/$H174*OFFSET(ORÇAMENTO!$X$15,ROW(BA174)-ROW(BA$15),0),
ROUND(ROUND(OFFSET($P174,0,BA$13),15-13*ORÇAMENTO!$AF$7)*OFFSET(ORÇAMENTO!$W$15,ROW(BA174)-ROW(BA$15),0),15-13*ORÇAMENTO!$AF$11)),0)</f>
        <v>0</v>
      </c>
      <c r="BC174" s="181">
        <f ca="1">IF($D174&lt;&gt;"Serviço",0,IF(AND(AUTOEVENTO="Manual",$M174=1),0,IF(OFFSET(CRONOPLE!$F$14,$M174,BC$13)="",10^12,OFFSET(CRONOPLE!$F$14,$M174,BC$13))))</f>
        <v>6</v>
      </c>
      <c r="BD174" s="181">
        <f ca="1">IF($D174&lt;&gt;"Serviço",0,IF(AND(AUTOEVENTO="Manual",$M174=1),0,IF(OFFSET(CRONOPLE!$F$14,$M174,BD$13)="",10^12,OFFSET(CRONOPLE!$F$14,$M174,BD$13))))</f>
        <v>1000000000000</v>
      </c>
      <c r="BE174" s="181">
        <f ca="1">IF($D174&lt;&gt;"Serviço",0,IF(AND(AUTOEVENTO="Manual",$M174=1),0,IF(OFFSET(CRONOPLE!$F$14,$M174,BE$13)="",10^12,OFFSET(CRONOPLE!$F$14,$M174,BE$13))))</f>
        <v>1000000000000</v>
      </c>
      <c r="BF174" s="181">
        <f ca="1">IF($D174&lt;&gt;"Serviço",0,IF(AND(AUTOEVENTO="Manual",$M174=1),0,IF(OFFSET(CRONOPLE!$F$14,$M174,BF$13)="",10^12,OFFSET(CRONOPLE!$F$14,$M174,BF$13))))</f>
        <v>1000000000000</v>
      </c>
      <c r="BG174" s="181">
        <f ca="1">IF($D174&lt;&gt;"Serviço",0,IF(AND(AUTOEVENTO="Manual",$M174=1),0,IF(OFFSET(CRONOPLE!$F$14,$M174,BG$13)="",10^12,OFFSET(CRONOPLE!$F$14,$M174,BG$13))))</f>
        <v>1000000000000</v>
      </c>
      <c r="BH174" s="181">
        <f ca="1">IF($D174&lt;&gt;"Serviço",0,IF(AND(AUTOEVENTO="Manual",$M174=1),0,IF(OFFSET(CRONOPLE!$F$14,$M174,BH$13)="",10^12,OFFSET(CRONOPLE!$F$14,$M174,BH$13))))</f>
        <v>1000000000000</v>
      </c>
      <c r="BI174" s="181">
        <f ca="1">IF($D174&lt;&gt;"Serviço",0,IF(AND(AUTOEVENTO="Manual",$M174=1),0,IF(OFFSET(CRONOPLE!$F$14,$M174,BI$13)="",10^12,OFFSET(CRONOPLE!$F$14,$M174,BI$13))))</f>
        <v>1000000000000</v>
      </c>
      <c r="BJ174" s="181">
        <f ca="1">IF($D174&lt;&gt;"Serviço",0,IF(AND(AUTOEVENTO="Manual",$M174=1),0,IF(OFFSET(CRONOPLE!$F$14,$M174,BJ$13)="",10^12,OFFSET(CRONOPLE!$F$14,$M174,BJ$13))))</f>
        <v>1000000000000</v>
      </c>
      <c r="BK174" s="181">
        <f ca="1">IF($D174&lt;&gt;"Serviço",0,IF(AND(AUTOEVENTO="Manual",$M174=1),0,IF(OFFSET(CRONOPLE!$F$14,$M174,BK$13)="",10^12,OFFSET(CRONOPLE!$F$14,$M174,BK$13))))</f>
        <v>1000000000000</v>
      </c>
      <c r="BL174" s="181">
        <f ca="1">IF($D174&lt;&gt;"Serviço",0,IF(AND(AUTOEVENTO="Manual",$M174=1),0,IF(OFFSET(CRONOPLE!$F$14,$M174,BL$13)="",10^12,OFFSET(CRONOPLE!$F$14,$M174,BL$13))))</f>
        <v>1000000000000</v>
      </c>
      <c r="BM174" s="181">
        <f ca="1">IF($D174&lt;&gt;"Serviço",0,IF(AND(AUTOEVENTO="Manual",$M174=1),0,IF(OFFSET(CRONOPLE!$F$14,$M174,BM$13)="",10^12,OFFSET(CRONOPLE!$F$14,$M174,BM$13))))</f>
        <v>1000000000000</v>
      </c>
      <c r="BN174" s="181">
        <f ca="1">IF($D174&lt;&gt;"Serviço",0,IF(AND(AUTOEVENTO="Manual",$M174=1),0,IF(OFFSET(CRONOPLE!$F$14,$M174,BN$13)="",10^12,OFFSET(CRONOPLE!$F$14,$M174,BN$13))))</f>
        <v>1000000000000</v>
      </c>
      <c r="BO174" s="181">
        <f ca="1">IF($D174&lt;&gt;"Serviço",0,IF(AND(AUTOEVENTO="Manual",$M174=1),0,IF(OFFSET(CRONOPLE!$F$14,$M174,BO$13)="",10^12,OFFSET(CRONOPLE!$F$14,$M174,BO$13))))</f>
        <v>1000000000000</v>
      </c>
      <c r="BP174" s="181">
        <f ca="1">IF($D174&lt;&gt;"Serviço",0,IF(AND(AUTOEVENTO="Manual",$M174=1),0,IF(OFFSET(CRONOPLE!$F$14,$M174,BP$13)="",10^12,OFFSET(CRONOPLE!$F$14,$M174,BP$13))))</f>
        <v>1000000000000</v>
      </c>
      <c r="BQ174" s="181">
        <f ca="1">IF($D174&lt;&gt;"Serviço",0,IF(AND(AUTOEVENTO="Manual",$M174=1),0,IF(OFFSET(CRONOPLE!$F$14,$M174,BQ$13)="",10^12,OFFSET(CRONOPLE!$F$14,$M174,BQ$13))))</f>
        <v>1000000000000</v>
      </c>
      <c r="BR174" s="181">
        <f ca="1">IF($D174&lt;&gt;"Serviço",0,IF(AND(AUTOEVENTO="Manual",$M174=1),0,IF(OFFSET(CRONOPLE!$F$14,$M174,BR$13)="",10^12,OFFSET(CRONOPLE!$F$14,$M174,BR$13))))</f>
        <v>1000000000000</v>
      </c>
      <c r="BS174" s="181">
        <f ca="1">IF($D174&lt;&gt;"Serviço",0,IF(AND(AUTOEVENTO="Manual",$M174=1),0,IF(OFFSET(CRONOPLE!$F$14,$M174,BS$13)="",10^12,OFFSET(CRONOPLE!$F$14,$M174,BS$13))))</f>
        <v>1000000000000</v>
      </c>
      <c r="BT174" s="181">
        <f ca="1">IF($D174&lt;&gt;"Serviço",0,IF(AND(AUTOEVENTO="Manual",$M174=1),0,IF(OFFSET(CRONOPLE!$F$14,$M174,BT$13)="",10^12,OFFSET(CRONOPLE!$F$14,$M174,BT$13))))</f>
        <v>1000000000000</v>
      </c>
      <c r="BV174" s="182">
        <f ca="1">IF($D174&lt;&gt;"Serviço",0,IF(OR(AND(AUTOEVENTO="Manual",$M174=1),$M174&gt;(ROW(PLE.lastrow)-ROW(PLE.firstrow))),0,IF(OFFSET(PLE!$G$14,$M174,BV$13)="",10^12,OFFSET(PLE!$G$14,$M174,BV$13))))</f>
        <v>1000000000000</v>
      </c>
      <c r="BW174" s="182">
        <f ca="1">IF($D174&lt;&gt;"Serviço",0,IF(OR(AND(AUTOEVENTO="Manual",$M174=1),$M174&gt;(ROW(PLE.lastrow)-ROW(PLE.firstrow))),0,IF(OFFSET(PLE!$G$14,$M174,BW$13)="",10^12,OFFSET(PLE!$G$14,$M174,BW$13))))</f>
        <v>1000000000000</v>
      </c>
      <c r="BX174" s="182">
        <f ca="1">IF($D174&lt;&gt;"Serviço",0,IF(OR(AND(AUTOEVENTO="Manual",$M174=1),$M174&gt;(ROW(PLE.lastrow)-ROW(PLE.firstrow))),0,IF(OFFSET(PLE!$G$14,$M174,BX$13)="",10^12,OFFSET(PLE!$G$14,$M174,BX$13))))</f>
        <v>1000000000000</v>
      </c>
      <c r="BY174" s="182">
        <f ca="1">IF($D174&lt;&gt;"Serviço",0,IF(OR(AND(AUTOEVENTO="Manual",$M174=1),$M174&gt;(ROW(PLE.lastrow)-ROW(PLE.firstrow))),0,IF(OFFSET(PLE!$G$14,$M174,BY$13)="",10^12,OFFSET(PLE!$G$14,$M174,BY$13))))</f>
        <v>1000000000000</v>
      </c>
      <c r="BZ174" s="182">
        <f ca="1">IF($D174&lt;&gt;"Serviço",0,IF(OR(AND(AUTOEVENTO="Manual",$M174=1),$M174&gt;(ROW(PLE.lastrow)-ROW(PLE.firstrow))),0,IF(OFFSET(PLE!$G$14,$M174,BZ$13)="",10^12,OFFSET(PLE!$G$14,$M174,BZ$13))))</f>
        <v>1000000000000</v>
      </c>
      <c r="CA174" s="182">
        <f ca="1">IF($D174&lt;&gt;"Serviço",0,IF(OR(AND(AUTOEVENTO="Manual",$M174=1),$M174&gt;(ROW(PLE.lastrow)-ROW(PLE.firstrow))),0,IF(OFFSET(PLE!$G$14,$M174,CA$13)="",10^12,OFFSET(PLE!$G$14,$M174,CA$13))))</f>
        <v>1000000000000</v>
      </c>
      <c r="CB174" s="182">
        <f ca="1">IF($D174&lt;&gt;"Serviço",0,IF(OR(AND(AUTOEVENTO="Manual",$M174=1),$M174&gt;(ROW(PLE.lastrow)-ROW(PLE.firstrow))),0,IF(OFFSET(PLE!$G$14,$M174,CB$13)="",10^12,OFFSET(PLE!$G$14,$M174,CB$13))))</f>
        <v>1000000000000</v>
      </c>
      <c r="CC174" s="182">
        <f ca="1">IF($D174&lt;&gt;"Serviço",0,IF(OR(AND(AUTOEVENTO="Manual",$M174=1),$M174&gt;(ROW(PLE.lastrow)-ROW(PLE.firstrow))),0,IF(OFFSET(PLE!$G$14,$M174,CC$13)="",10^12,OFFSET(PLE!$G$14,$M174,CC$13))))</f>
        <v>1000000000000</v>
      </c>
      <c r="CD174" s="182">
        <f ca="1">IF($D174&lt;&gt;"Serviço",0,IF(OR(AND(AUTOEVENTO="Manual",$M174=1),$M174&gt;(ROW(PLE.lastrow)-ROW(PLE.firstrow))),0,IF(OFFSET(PLE!$G$14,$M174,CD$13)="",10^12,OFFSET(PLE!$G$14,$M174,CD$13))))</f>
        <v>1000000000000</v>
      </c>
      <c r="CE174" s="182">
        <f ca="1">IF($D174&lt;&gt;"Serviço",0,IF(OR(AND(AUTOEVENTO="Manual",$M174=1),$M174&gt;(ROW(PLE.lastrow)-ROW(PLE.firstrow))),0,IF(OFFSET(PLE!$G$14,$M174,CE$13)="",10^12,OFFSET(PLE!$G$14,$M174,CE$13))))</f>
        <v>1000000000000</v>
      </c>
      <c r="CF174" s="182">
        <f ca="1">IF($D174&lt;&gt;"Serviço",0,IF(OR(AND(AUTOEVENTO="Manual",$M174=1),$M174&gt;(ROW(PLE.lastrow)-ROW(PLE.firstrow))),0,IF(OFFSET(PLE!$G$14,$M174,CF$13)="",10^12,OFFSET(PLE!$G$14,$M174,CF$13))))</f>
        <v>1000000000000</v>
      </c>
      <c r="CG174" s="182">
        <f ca="1">IF($D174&lt;&gt;"Serviço",0,IF(OR(AND(AUTOEVENTO="Manual",$M174=1),$M174&gt;(ROW(PLE.lastrow)-ROW(PLE.firstrow))),0,IF(OFFSET(PLE!$G$14,$M174,CG$13)="",10^12,OFFSET(PLE!$G$14,$M174,CG$13))))</f>
        <v>1000000000000</v>
      </c>
      <c r="CH174" s="182">
        <f ca="1">IF($D174&lt;&gt;"Serviço",0,IF(OR(AND(AUTOEVENTO="Manual",$M174=1),$M174&gt;(ROW(PLE.lastrow)-ROW(PLE.firstrow))),0,IF(OFFSET(PLE!$G$14,$M174,CH$13)="",10^12,OFFSET(PLE!$G$14,$M174,CH$13))))</f>
        <v>1000000000000</v>
      </c>
      <c r="CI174" s="182">
        <f ca="1">IF($D174&lt;&gt;"Serviço",0,IF(OR(AND(AUTOEVENTO="Manual",$M174=1),$M174&gt;(ROW(PLE.lastrow)-ROW(PLE.firstrow))),0,IF(OFFSET(PLE!$G$14,$M174,CI$13)="",10^12,OFFSET(PLE!$G$14,$M174,CI$13))))</f>
        <v>1000000000000</v>
      </c>
      <c r="CJ174" s="182">
        <f ca="1">IF($D174&lt;&gt;"Serviço",0,IF(OR(AND(AUTOEVENTO="Manual",$M174=1),$M174&gt;(ROW(PLE.lastrow)-ROW(PLE.firstrow))),0,IF(OFFSET(PLE!$G$14,$M174,CJ$13)="",10^12,OFFSET(PLE!$G$14,$M174,CJ$13))))</f>
        <v>1000000000000</v>
      </c>
      <c r="CK174" s="182">
        <f ca="1">IF($D174&lt;&gt;"Serviço",0,IF(OR(AND(AUTOEVENTO="Manual",$M174=1),$M174&gt;(ROW(PLE.lastrow)-ROW(PLE.firstrow))),0,IF(OFFSET(PLE!$G$14,$M174,CK$13)="",10^12,OFFSET(PLE!$G$14,$M174,CK$13))))</f>
        <v>1000000000000</v>
      </c>
      <c r="CL174" s="182">
        <f ca="1">IF($D174&lt;&gt;"Serviço",0,IF(OR(AND(AUTOEVENTO="Manual",$M174=1),$M174&gt;(ROW(PLE.lastrow)-ROW(PLE.firstrow))),0,IF(OFFSET(PLE!$G$14,$M174,CL$13)="",10^12,OFFSET(PLE!$G$14,$M174,CL$13))))</f>
        <v>1000000000000</v>
      </c>
      <c r="CM174" s="182">
        <f ca="1">IF($D174&lt;&gt;"Serviço",0,IF(OR(AND(AUTOEVENTO="Manual",$M174=1),$M174&gt;(ROW(PLE.lastrow)-ROW(PLE.firstrow))),0,IF(OFFSET(PLE!$G$14,$M174,CM$13)="",10^12,OFFSET(PLE!$G$14,$M174,CM$13))))</f>
        <v>1000000000000</v>
      </c>
    </row>
    <row r="175" spans="1:91" ht="25.5" x14ac:dyDescent="0.2">
      <c r="A175" s="7" t="str">
        <f t="shared" ca="1" si="11"/>
        <v>154</v>
      </c>
      <c r="B175" s="7" t="str">
        <f ca="1">OFFSET(ORÇAMENTO!C$15,ROW(B175)-ROW(B$15),0)</f>
        <v>S</v>
      </c>
      <c r="C175" s="7" t="str">
        <f ca="1">OFFSET(ORÇAMENTO!L$15,ROW(C175)-ROW(C$15),0)</f>
        <v/>
      </c>
      <c r="D175" s="118" t="str">
        <f ca="1">OFFSET(ORÇAMENTO!N$15,ROW(D175)-ROW(D$15),0)</f>
        <v>Serviço</v>
      </c>
      <c r="E175" s="119" t="str">
        <f ca="1">OFFSET(ORÇAMENTO!O$15,ROW(E175)-ROW(E$15),0)</f>
        <v>-</v>
      </c>
      <c r="F175" s="172" t="str">
        <f ca="1">OFFSET(ORÇAMENTO!R$15,ROW(F175)-ROW(F$15),0)</f>
        <v>(abra o arquivo 'Referência 06-2024.xlsm)</v>
      </c>
      <c r="G175" s="173" t="str">
        <f ca="1">IF($D175&lt;&gt;"Serviço","",OFFSET(ORÇAMENTO!S$15,ROW(G175)-ROW(G$15),0))</f>
        <v>-</v>
      </c>
      <c r="H175" s="124">
        <f ca="1">IF($D175&lt;&gt;"Serviço",0,IF(ACOMPANHAMENTO="BM",ROUND(OFFSET(ORÇAMENTO!AJ$15,ROW(H175)-ROW(H$15),0),15-13*ORÇAMENTO!$AF$7),SUMPRODUCT(($Q$12:$AI$12&lt;&gt;"")*ROUND($Q175:$AI175,15-13*ORÇAMENTO!$AF$7))))</f>
        <v>266.39999999999998</v>
      </c>
      <c r="I175" s="561" t="s">
        <v>1107</v>
      </c>
      <c r="K175" s="174"/>
      <c r="L175" s="175" t="s">
        <v>255</v>
      </c>
      <c r="M175" s="176">
        <f ca="1">IF($D175&lt;&gt;"Serviço","",IF(AUTOEVENTO="manual",$A175,IF(ISERROR(MATCH($A175,$A$15:OFFSET($A175,-1,0),0)),MAX($M$15:OFFSET(M175,-1,0))+1,INDEX($M$15:OFFSET(M175,-1,0),MATCH($A175,$A$15:OFFSET($A175,-1,0),0)))))</f>
        <v>25</v>
      </c>
      <c r="N175" s="177" t="str">
        <f ca="1">IF($D175&lt;&gt;"Serviço","",IF(AUTOEVENTO="Manual",IF($A175=0,"&lt;-- defina o número do agrupador",OFFSET(EVENTOS!$D$14,$A175,0)),OFFSET($F$15,$A175,0)))</f>
        <v>SISTEMAS DE COBERTURA</v>
      </c>
      <c r="O175" s="178"/>
      <c r="Q175" s="178">
        <v>266.39999999999998</v>
      </c>
      <c r="R175" s="179"/>
      <c r="S175" s="179"/>
      <c r="T175" s="179"/>
      <c r="U175" s="179"/>
      <c r="V175" s="179"/>
      <c r="W175" s="179"/>
      <c r="X175" s="179"/>
      <c r="Y175" s="179"/>
      <c r="Z175" s="180"/>
      <c r="AA175" s="179"/>
      <c r="AB175" s="179"/>
      <c r="AC175" s="179"/>
      <c r="AD175" s="179"/>
      <c r="AE175" s="179"/>
      <c r="AF175" s="179"/>
      <c r="AG175" s="179"/>
      <c r="AH175" s="180"/>
      <c r="AJ175" s="544">
        <f ca="1">IF(AND($D175="Serviço",AJ$12&lt;&gt;0,$H175&gt;0,OR(AUTOEVENTO&lt;&gt;"manual",$M175&lt;&gt;1)),
IF(Import.TipoArredondamento&lt;&gt;"TransfereGOV",
ROUND(OFFSET($P175,0,AJ$13),15-13*ORÇAMENTO!$AF$7)/$H175*OFFSET(ORÇAMENTO!$X$15,ROW(AJ175)-ROW(AJ$15),0),
ROUND(ROUND(OFFSET($P175,0,AJ$13),15-13*ORÇAMENTO!$AF$7)*OFFSET(ORÇAMENTO!$W$15,ROW(AJ175)-ROW(AJ$15),0),15-13*ORÇAMENTO!$AF$11)),0)</f>
        <v>0</v>
      </c>
      <c r="AK175" s="545">
        <f ca="1">IF(AND($D175="Serviço",AK$12&lt;&gt;0,$H175&gt;0,OR(AUTOEVENTO&lt;&gt;"manual",$M175&lt;&gt;1)),
IF(Import.TipoArredondamento&lt;&gt;"TransfereGOV",
ROUND(OFFSET($P175,0,AK$13),15-13*ORÇAMENTO!$AF$7)/$H175*OFFSET(ORÇAMENTO!$X$15,ROW(AK175)-ROW(AK$15),0),
ROUND(ROUND(OFFSET($P175,0,AK$13),15-13*ORÇAMENTO!$AF$7)*OFFSET(ORÇAMENTO!$W$15,ROW(AK175)-ROW(AK$15),0),15-13*ORÇAMENTO!$AF$11)),0)</f>
        <v>0</v>
      </c>
      <c r="AL175" s="545">
        <f ca="1">IF(AND($D175="Serviço",AL$12&lt;&gt;0,$H175&gt;0,OR(AUTOEVENTO&lt;&gt;"manual",$M175&lt;&gt;1)),
IF(Import.TipoArredondamento&lt;&gt;"TransfereGOV",
ROUND(OFFSET($P175,0,AL$13),15-13*ORÇAMENTO!$AF$7)/$H175*OFFSET(ORÇAMENTO!$X$15,ROW(AL175)-ROW(AL$15),0),
ROUND(ROUND(OFFSET($P175,0,AL$13),15-13*ORÇAMENTO!$AF$7)*OFFSET(ORÇAMENTO!$W$15,ROW(AL175)-ROW(AL$15),0),15-13*ORÇAMENTO!$AF$11)),0)</f>
        <v>0</v>
      </c>
      <c r="AM175" s="545">
        <f ca="1">IF(AND($D175="Serviço",AM$12&lt;&gt;0,$H175&gt;0,OR(AUTOEVENTO&lt;&gt;"manual",$M175&lt;&gt;1)),
IF(Import.TipoArredondamento&lt;&gt;"TransfereGOV",
ROUND(OFFSET($P175,0,AM$13),15-13*ORÇAMENTO!$AF$7)/$H175*OFFSET(ORÇAMENTO!$X$15,ROW(AM175)-ROW(AM$15),0),
ROUND(ROUND(OFFSET($P175,0,AM$13),15-13*ORÇAMENTO!$AF$7)*OFFSET(ORÇAMENTO!$W$15,ROW(AM175)-ROW(AM$15),0),15-13*ORÇAMENTO!$AF$11)),0)</f>
        <v>0</v>
      </c>
      <c r="AN175" s="545">
        <f ca="1">IF(AND($D175="Serviço",AN$12&lt;&gt;0,$H175&gt;0,OR(AUTOEVENTO&lt;&gt;"manual",$M175&lt;&gt;1)),
IF(Import.TipoArredondamento&lt;&gt;"TransfereGOV",
ROUND(OFFSET($P175,0,AN$13),15-13*ORÇAMENTO!$AF$7)/$H175*OFFSET(ORÇAMENTO!$X$15,ROW(AN175)-ROW(AN$15),0),
ROUND(ROUND(OFFSET($P175,0,AN$13),15-13*ORÇAMENTO!$AF$7)*OFFSET(ORÇAMENTO!$W$15,ROW(AN175)-ROW(AN$15),0),15-13*ORÇAMENTO!$AF$11)),0)</f>
        <v>0</v>
      </c>
      <c r="AO175" s="545">
        <f ca="1">IF(AND($D175="Serviço",AO$12&lt;&gt;0,$H175&gt;0,OR(AUTOEVENTO&lt;&gt;"manual",$M175&lt;&gt;1)),
IF(Import.TipoArredondamento&lt;&gt;"TransfereGOV",
ROUND(OFFSET($P175,0,AO$13),15-13*ORÇAMENTO!$AF$7)/$H175*OFFSET(ORÇAMENTO!$X$15,ROW(AO175)-ROW(AO$15),0),
ROUND(ROUND(OFFSET($P175,0,AO$13),15-13*ORÇAMENTO!$AF$7)*OFFSET(ORÇAMENTO!$W$15,ROW(AO175)-ROW(AO$15),0),15-13*ORÇAMENTO!$AF$11)),0)</f>
        <v>0</v>
      </c>
      <c r="AP175" s="545">
        <f ca="1">IF(AND($D175="Serviço",AP$12&lt;&gt;0,$H175&gt;0,OR(AUTOEVENTO&lt;&gt;"manual",$M175&lt;&gt;1)),
IF(Import.TipoArredondamento&lt;&gt;"TransfereGOV",
ROUND(OFFSET($P175,0,AP$13),15-13*ORÇAMENTO!$AF$7)/$H175*OFFSET(ORÇAMENTO!$X$15,ROW(AP175)-ROW(AP$15),0),
ROUND(ROUND(OFFSET($P175,0,AP$13),15-13*ORÇAMENTO!$AF$7)*OFFSET(ORÇAMENTO!$W$15,ROW(AP175)-ROW(AP$15),0),15-13*ORÇAMENTO!$AF$11)),0)</f>
        <v>0</v>
      </c>
      <c r="AQ175" s="545">
        <f ca="1">IF(AND($D175="Serviço",AQ$12&lt;&gt;0,$H175&gt;0,OR(AUTOEVENTO&lt;&gt;"manual",$M175&lt;&gt;1)),
IF(Import.TipoArredondamento&lt;&gt;"TransfereGOV",
ROUND(OFFSET($P175,0,AQ$13),15-13*ORÇAMENTO!$AF$7)/$H175*OFFSET(ORÇAMENTO!$X$15,ROW(AQ175)-ROW(AQ$15),0),
ROUND(ROUND(OFFSET($P175,0,AQ$13),15-13*ORÇAMENTO!$AF$7)*OFFSET(ORÇAMENTO!$W$15,ROW(AQ175)-ROW(AQ$15),0),15-13*ORÇAMENTO!$AF$11)),0)</f>
        <v>0</v>
      </c>
      <c r="AR175" s="545">
        <f ca="1">IF(AND($D175="Serviço",AR$12&lt;&gt;0,$H175&gt;0,OR(AUTOEVENTO&lt;&gt;"manual",$M175&lt;&gt;1)),
IF(Import.TipoArredondamento&lt;&gt;"TransfereGOV",
ROUND(OFFSET($P175,0,AR$13),15-13*ORÇAMENTO!$AF$7)/$H175*OFFSET(ORÇAMENTO!$X$15,ROW(AR175)-ROW(AR$15),0),
ROUND(ROUND(OFFSET($P175,0,AR$13),15-13*ORÇAMENTO!$AF$7)*OFFSET(ORÇAMENTO!$W$15,ROW(AR175)-ROW(AR$15),0),15-13*ORÇAMENTO!$AF$11)),0)</f>
        <v>0</v>
      </c>
      <c r="AS175" s="546">
        <f ca="1">IF(AND($D175="Serviço",AS$12&lt;&gt;0,$H175&gt;0,OR(AUTOEVENTO&lt;&gt;"manual",$M175&lt;&gt;1)),
IF(Import.TipoArredondamento&lt;&gt;"TransfereGOV",
ROUND(OFFSET($P175,0,AS$13),15-13*ORÇAMENTO!$AF$7)/$H175*OFFSET(ORÇAMENTO!$X$15,ROW(AS175)-ROW(AS$15),0),
ROUND(ROUND(OFFSET($P175,0,AS$13),15-13*ORÇAMENTO!$AF$7)*OFFSET(ORÇAMENTO!$W$15,ROW(AS175)-ROW(AS$15),0),15-13*ORÇAMENTO!$AF$11)),0)</f>
        <v>0</v>
      </c>
      <c r="AT175" s="545">
        <f ca="1">IF(AND($D175="Serviço",AT$12&lt;&gt;0,$H175&gt;0,OR(AUTOEVENTO&lt;&gt;"manual",$M175&lt;&gt;1)),
IF(Import.TipoArredondamento&lt;&gt;"TransfereGOV",
ROUND(OFFSET($P175,0,AT$13),15-13*ORÇAMENTO!$AF$7)/$H175*OFFSET(ORÇAMENTO!$X$15,ROW(AT175)-ROW(AT$15),0),
ROUND(ROUND(OFFSET($P175,0,AT$13),15-13*ORÇAMENTO!$AF$7)*OFFSET(ORÇAMENTO!$W$15,ROW(AT175)-ROW(AT$15),0),15-13*ORÇAMENTO!$AF$11)),0)</f>
        <v>0</v>
      </c>
      <c r="AU175" s="545">
        <f ca="1">IF(AND($D175="Serviço",AU$12&lt;&gt;0,$H175&gt;0,OR(AUTOEVENTO&lt;&gt;"manual",$M175&lt;&gt;1)),
IF(Import.TipoArredondamento&lt;&gt;"TransfereGOV",
ROUND(OFFSET($P175,0,AU$13),15-13*ORÇAMENTO!$AF$7)/$H175*OFFSET(ORÇAMENTO!$X$15,ROW(AU175)-ROW(AU$15),0),
ROUND(ROUND(OFFSET($P175,0,AU$13),15-13*ORÇAMENTO!$AF$7)*OFFSET(ORÇAMENTO!$W$15,ROW(AU175)-ROW(AU$15),0),15-13*ORÇAMENTO!$AF$11)),0)</f>
        <v>0</v>
      </c>
      <c r="AV175" s="545">
        <f ca="1">IF(AND($D175="Serviço",AV$12&lt;&gt;0,$H175&gt;0,OR(AUTOEVENTO&lt;&gt;"manual",$M175&lt;&gt;1)),
IF(Import.TipoArredondamento&lt;&gt;"TransfereGOV",
ROUND(OFFSET($P175,0,AV$13),15-13*ORÇAMENTO!$AF$7)/$H175*OFFSET(ORÇAMENTO!$X$15,ROW(AV175)-ROW(AV$15),0),
ROUND(ROUND(OFFSET($P175,0,AV$13),15-13*ORÇAMENTO!$AF$7)*OFFSET(ORÇAMENTO!$W$15,ROW(AV175)-ROW(AV$15),0),15-13*ORÇAMENTO!$AF$11)),0)</f>
        <v>0</v>
      </c>
      <c r="AW175" s="545">
        <f ca="1">IF(AND($D175="Serviço",AW$12&lt;&gt;0,$H175&gt;0,OR(AUTOEVENTO&lt;&gt;"manual",$M175&lt;&gt;1)),
IF(Import.TipoArredondamento&lt;&gt;"TransfereGOV",
ROUND(OFFSET($P175,0,AW$13),15-13*ORÇAMENTO!$AF$7)/$H175*OFFSET(ORÇAMENTO!$X$15,ROW(AW175)-ROW(AW$15),0),
ROUND(ROUND(OFFSET($P175,0,AW$13),15-13*ORÇAMENTO!$AF$7)*OFFSET(ORÇAMENTO!$W$15,ROW(AW175)-ROW(AW$15),0),15-13*ORÇAMENTO!$AF$11)),0)</f>
        <v>0</v>
      </c>
      <c r="AX175" s="545">
        <f ca="1">IF(AND($D175="Serviço",AX$12&lt;&gt;0,$H175&gt;0,OR(AUTOEVENTO&lt;&gt;"manual",$M175&lt;&gt;1)),
IF(Import.TipoArredondamento&lt;&gt;"TransfereGOV",
ROUND(OFFSET($P175,0,AX$13),15-13*ORÇAMENTO!$AF$7)/$H175*OFFSET(ORÇAMENTO!$X$15,ROW(AX175)-ROW(AX$15),0),
ROUND(ROUND(OFFSET($P175,0,AX$13),15-13*ORÇAMENTO!$AF$7)*OFFSET(ORÇAMENTO!$W$15,ROW(AX175)-ROW(AX$15),0),15-13*ORÇAMENTO!$AF$11)),0)</f>
        <v>0</v>
      </c>
      <c r="AY175" s="545">
        <f ca="1">IF(AND($D175="Serviço",AY$12&lt;&gt;0,$H175&gt;0,OR(AUTOEVENTO&lt;&gt;"manual",$M175&lt;&gt;1)),
IF(Import.TipoArredondamento&lt;&gt;"TransfereGOV",
ROUND(OFFSET($P175,0,AY$13),15-13*ORÇAMENTO!$AF$7)/$H175*OFFSET(ORÇAMENTO!$X$15,ROW(AY175)-ROW(AY$15),0),
ROUND(ROUND(OFFSET($P175,0,AY$13),15-13*ORÇAMENTO!$AF$7)*OFFSET(ORÇAMENTO!$W$15,ROW(AY175)-ROW(AY$15),0),15-13*ORÇAMENTO!$AF$11)),0)</f>
        <v>0</v>
      </c>
      <c r="AZ175" s="545">
        <f ca="1">IF(AND($D175="Serviço",AZ$12&lt;&gt;0,$H175&gt;0,OR(AUTOEVENTO&lt;&gt;"manual",$M175&lt;&gt;1)),
IF(Import.TipoArredondamento&lt;&gt;"TransfereGOV",
ROUND(OFFSET($P175,0,AZ$13),15-13*ORÇAMENTO!$AF$7)/$H175*OFFSET(ORÇAMENTO!$X$15,ROW(AZ175)-ROW(AZ$15),0),
ROUND(ROUND(OFFSET($P175,0,AZ$13),15-13*ORÇAMENTO!$AF$7)*OFFSET(ORÇAMENTO!$W$15,ROW(AZ175)-ROW(AZ$15),0),15-13*ORÇAMENTO!$AF$11)),0)</f>
        <v>0</v>
      </c>
      <c r="BA175" s="546">
        <f ca="1">IF(AND($D175="Serviço",BA$12&lt;&gt;0,$H175&gt;0,OR(AUTOEVENTO&lt;&gt;"manual",$M175&lt;&gt;1)),
IF(Import.TipoArredondamento&lt;&gt;"TransfereGOV",
ROUND(OFFSET($P175,0,BA$13),15-13*ORÇAMENTO!$AF$7)/$H175*OFFSET(ORÇAMENTO!$X$15,ROW(BA175)-ROW(BA$15),0),
ROUND(ROUND(OFFSET($P175,0,BA$13),15-13*ORÇAMENTO!$AF$7)*OFFSET(ORÇAMENTO!$W$15,ROW(BA175)-ROW(BA$15),0),15-13*ORÇAMENTO!$AF$11)),0)</f>
        <v>0</v>
      </c>
      <c r="BC175" s="181">
        <f ca="1">IF($D175&lt;&gt;"Serviço",0,IF(AND(AUTOEVENTO="Manual",$M175=1),0,IF(OFFSET(CRONOPLE!$F$14,$M175,BC$13)="",10^12,OFFSET(CRONOPLE!$F$14,$M175,BC$13))))</f>
        <v>6</v>
      </c>
      <c r="BD175" s="181">
        <f ca="1">IF($D175&lt;&gt;"Serviço",0,IF(AND(AUTOEVENTO="Manual",$M175=1),0,IF(OFFSET(CRONOPLE!$F$14,$M175,BD$13)="",10^12,OFFSET(CRONOPLE!$F$14,$M175,BD$13))))</f>
        <v>1000000000000</v>
      </c>
      <c r="BE175" s="181">
        <f ca="1">IF($D175&lt;&gt;"Serviço",0,IF(AND(AUTOEVENTO="Manual",$M175=1),0,IF(OFFSET(CRONOPLE!$F$14,$M175,BE$13)="",10^12,OFFSET(CRONOPLE!$F$14,$M175,BE$13))))</f>
        <v>1000000000000</v>
      </c>
      <c r="BF175" s="181">
        <f ca="1">IF($D175&lt;&gt;"Serviço",0,IF(AND(AUTOEVENTO="Manual",$M175=1),0,IF(OFFSET(CRONOPLE!$F$14,$M175,BF$13)="",10^12,OFFSET(CRONOPLE!$F$14,$M175,BF$13))))</f>
        <v>1000000000000</v>
      </c>
      <c r="BG175" s="181">
        <f ca="1">IF($D175&lt;&gt;"Serviço",0,IF(AND(AUTOEVENTO="Manual",$M175=1),0,IF(OFFSET(CRONOPLE!$F$14,$M175,BG$13)="",10^12,OFFSET(CRONOPLE!$F$14,$M175,BG$13))))</f>
        <v>1000000000000</v>
      </c>
      <c r="BH175" s="181">
        <f ca="1">IF($D175&lt;&gt;"Serviço",0,IF(AND(AUTOEVENTO="Manual",$M175=1),0,IF(OFFSET(CRONOPLE!$F$14,$M175,BH$13)="",10^12,OFFSET(CRONOPLE!$F$14,$M175,BH$13))))</f>
        <v>1000000000000</v>
      </c>
      <c r="BI175" s="181">
        <f ca="1">IF($D175&lt;&gt;"Serviço",0,IF(AND(AUTOEVENTO="Manual",$M175=1),0,IF(OFFSET(CRONOPLE!$F$14,$M175,BI$13)="",10^12,OFFSET(CRONOPLE!$F$14,$M175,BI$13))))</f>
        <v>1000000000000</v>
      </c>
      <c r="BJ175" s="181">
        <f ca="1">IF($D175&lt;&gt;"Serviço",0,IF(AND(AUTOEVENTO="Manual",$M175=1),0,IF(OFFSET(CRONOPLE!$F$14,$M175,BJ$13)="",10^12,OFFSET(CRONOPLE!$F$14,$M175,BJ$13))))</f>
        <v>1000000000000</v>
      </c>
      <c r="BK175" s="181">
        <f ca="1">IF($D175&lt;&gt;"Serviço",0,IF(AND(AUTOEVENTO="Manual",$M175=1),0,IF(OFFSET(CRONOPLE!$F$14,$M175,BK$13)="",10^12,OFFSET(CRONOPLE!$F$14,$M175,BK$13))))</f>
        <v>1000000000000</v>
      </c>
      <c r="BL175" s="181">
        <f ca="1">IF($D175&lt;&gt;"Serviço",0,IF(AND(AUTOEVENTO="Manual",$M175=1),0,IF(OFFSET(CRONOPLE!$F$14,$M175,BL$13)="",10^12,OFFSET(CRONOPLE!$F$14,$M175,BL$13))))</f>
        <v>1000000000000</v>
      </c>
      <c r="BM175" s="181">
        <f ca="1">IF($D175&lt;&gt;"Serviço",0,IF(AND(AUTOEVENTO="Manual",$M175=1),0,IF(OFFSET(CRONOPLE!$F$14,$M175,BM$13)="",10^12,OFFSET(CRONOPLE!$F$14,$M175,BM$13))))</f>
        <v>1000000000000</v>
      </c>
      <c r="BN175" s="181">
        <f ca="1">IF($D175&lt;&gt;"Serviço",0,IF(AND(AUTOEVENTO="Manual",$M175=1),0,IF(OFFSET(CRONOPLE!$F$14,$M175,BN$13)="",10^12,OFFSET(CRONOPLE!$F$14,$M175,BN$13))))</f>
        <v>1000000000000</v>
      </c>
      <c r="BO175" s="181">
        <f ca="1">IF($D175&lt;&gt;"Serviço",0,IF(AND(AUTOEVENTO="Manual",$M175=1),0,IF(OFFSET(CRONOPLE!$F$14,$M175,BO$13)="",10^12,OFFSET(CRONOPLE!$F$14,$M175,BO$13))))</f>
        <v>1000000000000</v>
      </c>
      <c r="BP175" s="181">
        <f ca="1">IF($D175&lt;&gt;"Serviço",0,IF(AND(AUTOEVENTO="Manual",$M175=1),0,IF(OFFSET(CRONOPLE!$F$14,$M175,BP$13)="",10^12,OFFSET(CRONOPLE!$F$14,$M175,BP$13))))</f>
        <v>1000000000000</v>
      </c>
      <c r="BQ175" s="181">
        <f ca="1">IF($D175&lt;&gt;"Serviço",0,IF(AND(AUTOEVENTO="Manual",$M175=1),0,IF(OFFSET(CRONOPLE!$F$14,$M175,BQ$13)="",10^12,OFFSET(CRONOPLE!$F$14,$M175,BQ$13))))</f>
        <v>1000000000000</v>
      </c>
      <c r="BR175" s="181">
        <f ca="1">IF($D175&lt;&gt;"Serviço",0,IF(AND(AUTOEVENTO="Manual",$M175=1),0,IF(OFFSET(CRONOPLE!$F$14,$M175,BR$13)="",10^12,OFFSET(CRONOPLE!$F$14,$M175,BR$13))))</f>
        <v>1000000000000</v>
      </c>
      <c r="BS175" s="181">
        <f ca="1">IF($D175&lt;&gt;"Serviço",0,IF(AND(AUTOEVENTO="Manual",$M175=1),0,IF(OFFSET(CRONOPLE!$F$14,$M175,BS$13)="",10^12,OFFSET(CRONOPLE!$F$14,$M175,BS$13))))</f>
        <v>1000000000000</v>
      </c>
      <c r="BT175" s="181">
        <f ca="1">IF($D175&lt;&gt;"Serviço",0,IF(AND(AUTOEVENTO="Manual",$M175=1),0,IF(OFFSET(CRONOPLE!$F$14,$M175,BT$13)="",10^12,OFFSET(CRONOPLE!$F$14,$M175,BT$13))))</f>
        <v>1000000000000</v>
      </c>
      <c r="BV175" s="182">
        <f ca="1">IF($D175&lt;&gt;"Serviço",0,IF(OR(AND(AUTOEVENTO="Manual",$M175=1),$M175&gt;(ROW(PLE.lastrow)-ROW(PLE.firstrow))),0,IF(OFFSET(PLE!$G$14,$M175,BV$13)="",10^12,OFFSET(PLE!$G$14,$M175,BV$13))))</f>
        <v>1000000000000</v>
      </c>
      <c r="BW175" s="182">
        <f ca="1">IF($D175&lt;&gt;"Serviço",0,IF(OR(AND(AUTOEVENTO="Manual",$M175=1),$M175&gt;(ROW(PLE.lastrow)-ROW(PLE.firstrow))),0,IF(OFFSET(PLE!$G$14,$M175,BW$13)="",10^12,OFFSET(PLE!$G$14,$M175,BW$13))))</f>
        <v>1000000000000</v>
      </c>
      <c r="BX175" s="182">
        <f ca="1">IF($D175&lt;&gt;"Serviço",0,IF(OR(AND(AUTOEVENTO="Manual",$M175=1),$M175&gt;(ROW(PLE.lastrow)-ROW(PLE.firstrow))),0,IF(OFFSET(PLE!$G$14,$M175,BX$13)="",10^12,OFFSET(PLE!$G$14,$M175,BX$13))))</f>
        <v>1000000000000</v>
      </c>
      <c r="BY175" s="182">
        <f ca="1">IF($D175&lt;&gt;"Serviço",0,IF(OR(AND(AUTOEVENTO="Manual",$M175=1),$M175&gt;(ROW(PLE.lastrow)-ROW(PLE.firstrow))),0,IF(OFFSET(PLE!$G$14,$M175,BY$13)="",10^12,OFFSET(PLE!$G$14,$M175,BY$13))))</f>
        <v>1000000000000</v>
      </c>
      <c r="BZ175" s="182">
        <f ca="1">IF($D175&lt;&gt;"Serviço",0,IF(OR(AND(AUTOEVENTO="Manual",$M175=1),$M175&gt;(ROW(PLE.lastrow)-ROW(PLE.firstrow))),0,IF(OFFSET(PLE!$G$14,$M175,BZ$13)="",10^12,OFFSET(PLE!$G$14,$M175,BZ$13))))</f>
        <v>1000000000000</v>
      </c>
      <c r="CA175" s="182">
        <f ca="1">IF($D175&lt;&gt;"Serviço",0,IF(OR(AND(AUTOEVENTO="Manual",$M175=1),$M175&gt;(ROW(PLE.lastrow)-ROW(PLE.firstrow))),0,IF(OFFSET(PLE!$G$14,$M175,CA$13)="",10^12,OFFSET(PLE!$G$14,$M175,CA$13))))</f>
        <v>1000000000000</v>
      </c>
      <c r="CB175" s="182">
        <f ca="1">IF($D175&lt;&gt;"Serviço",0,IF(OR(AND(AUTOEVENTO="Manual",$M175=1),$M175&gt;(ROW(PLE.lastrow)-ROW(PLE.firstrow))),0,IF(OFFSET(PLE!$G$14,$M175,CB$13)="",10^12,OFFSET(PLE!$G$14,$M175,CB$13))))</f>
        <v>1000000000000</v>
      </c>
      <c r="CC175" s="182">
        <f ca="1">IF($D175&lt;&gt;"Serviço",0,IF(OR(AND(AUTOEVENTO="Manual",$M175=1),$M175&gt;(ROW(PLE.lastrow)-ROW(PLE.firstrow))),0,IF(OFFSET(PLE!$G$14,$M175,CC$13)="",10^12,OFFSET(PLE!$G$14,$M175,CC$13))))</f>
        <v>1000000000000</v>
      </c>
      <c r="CD175" s="182">
        <f ca="1">IF($D175&lt;&gt;"Serviço",0,IF(OR(AND(AUTOEVENTO="Manual",$M175=1),$M175&gt;(ROW(PLE.lastrow)-ROW(PLE.firstrow))),0,IF(OFFSET(PLE!$G$14,$M175,CD$13)="",10^12,OFFSET(PLE!$G$14,$M175,CD$13))))</f>
        <v>1000000000000</v>
      </c>
      <c r="CE175" s="182">
        <f ca="1">IF($D175&lt;&gt;"Serviço",0,IF(OR(AND(AUTOEVENTO="Manual",$M175=1),$M175&gt;(ROW(PLE.lastrow)-ROW(PLE.firstrow))),0,IF(OFFSET(PLE!$G$14,$M175,CE$13)="",10^12,OFFSET(PLE!$G$14,$M175,CE$13))))</f>
        <v>1000000000000</v>
      </c>
      <c r="CF175" s="182">
        <f ca="1">IF($D175&lt;&gt;"Serviço",0,IF(OR(AND(AUTOEVENTO="Manual",$M175=1),$M175&gt;(ROW(PLE.lastrow)-ROW(PLE.firstrow))),0,IF(OFFSET(PLE!$G$14,$M175,CF$13)="",10^12,OFFSET(PLE!$G$14,$M175,CF$13))))</f>
        <v>1000000000000</v>
      </c>
      <c r="CG175" s="182">
        <f ca="1">IF($D175&lt;&gt;"Serviço",0,IF(OR(AND(AUTOEVENTO="Manual",$M175=1),$M175&gt;(ROW(PLE.lastrow)-ROW(PLE.firstrow))),0,IF(OFFSET(PLE!$G$14,$M175,CG$13)="",10^12,OFFSET(PLE!$G$14,$M175,CG$13))))</f>
        <v>1000000000000</v>
      </c>
      <c r="CH175" s="182">
        <f ca="1">IF($D175&lt;&gt;"Serviço",0,IF(OR(AND(AUTOEVENTO="Manual",$M175=1),$M175&gt;(ROW(PLE.lastrow)-ROW(PLE.firstrow))),0,IF(OFFSET(PLE!$G$14,$M175,CH$13)="",10^12,OFFSET(PLE!$G$14,$M175,CH$13))))</f>
        <v>1000000000000</v>
      </c>
      <c r="CI175" s="182">
        <f ca="1">IF($D175&lt;&gt;"Serviço",0,IF(OR(AND(AUTOEVENTO="Manual",$M175=1),$M175&gt;(ROW(PLE.lastrow)-ROW(PLE.firstrow))),0,IF(OFFSET(PLE!$G$14,$M175,CI$13)="",10^12,OFFSET(PLE!$G$14,$M175,CI$13))))</f>
        <v>1000000000000</v>
      </c>
      <c r="CJ175" s="182">
        <f ca="1">IF($D175&lt;&gt;"Serviço",0,IF(OR(AND(AUTOEVENTO="Manual",$M175=1),$M175&gt;(ROW(PLE.lastrow)-ROW(PLE.firstrow))),0,IF(OFFSET(PLE!$G$14,$M175,CJ$13)="",10^12,OFFSET(PLE!$G$14,$M175,CJ$13))))</f>
        <v>1000000000000</v>
      </c>
      <c r="CK175" s="182">
        <f ca="1">IF($D175&lt;&gt;"Serviço",0,IF(OR(AND(AUTOEVENTO="Manual",$M175=1),$M175&gt;(ROW(PLE.lastrow)-ROW(PLE.firstrow))),0,IF(OFFSET(PLE!$G$14,$M175,CK$13)="",10^12,OFFSET(PLE!$G$14,$M175,CK$13))))</f>
        <v>1000000000000</v>
      </c>
      <c r="CL175" s="182">
        <f ca="1">IF($D175&lt;&gt;"Serviço",0,IF(OR(AND(AUTOEVENTO="Manual",$M175=1),$M175&gt;(ROW(PLE.lastrow)-ROW(PLE.firstrow))),0,IF(OFFSET(PLE!$G$14,$M175,CL$13)="",10^12,OFFSET(PLE!$G$14,$M175,CL$13))))</f>
        <v>1000000000000</v>
      </c>
      <c r="CM175" s="182">
        <f ca="1">IF($D175&lt;&gt;"Serviço",0,IF(OR(AND(AUTOEVENTO="Manual",$M175=1),$M175&gt;(ROW(PLE.lastrow)-ROW(PLE.firstrow))),0,IF(OFFSET(PLE!$G$14,$M175,CM$13)="",10^12,OFFSET(PLE!$G$14,$M175,CM$13))))</f>
        <v>1000000000000</v>
      </c>
    </row>
    <row r="176" spans="1:91" ht="12.75" x14ac:dyDescent="0.2">
      <c r="A176" s="7" t="str">
        <f t="shared" ref="A176:A471" ca="1" si="12">IF(AUTOEVENTO="Manual",IF(K176&lt;&gt;"",MIN(VALUE(LEFT(K176,FIND(".",K176)-1)),COUNTA(EVENTOS.Lista)),0),IF(OR($B176&gt;AUTOEVENTO,$B176="S",$B176=0),SUBSTITUTE(OFFSET($A176,-1,0),IF($D176="Serviço",".",""),""),ROW(A176)-ROW($A$15)&amp;"."))</f>
        <v>161.</v>
      </c>
      <c r="B176" s="7">
        <f ca="1">OFFSET(ORÇAMENTO!C$15,ROW(B176)-ROW(B$15),0)</f>
        <v>2</v>
      </c>
      <c r="C176" s="7" t="str">
        <f ca="1">OFFSET(ORÇAMENTO!L$15,ROW(C176)-ROW(C$15),0)</f>
        <v>F</v>
      </c>
      <c r="D176" s="118" t="str">
        <f ca="1">OFFSET(ORÇAMENTO!N$15,ROW(D176)-ROW(D$15),0)</f>
        <v>Nível 2</v>
      </c>
      <c r="E176" s="119" t="str">
        <f ca="1">OFFSET(ORÇAMENTO!O$15,ROW(E176)-ROW(E$15),0)</f>
        <v>1.25.</v>
      </c>
      <c r="F176" s="172" t="str">
        <f ca="1">OFFSET(ORÇAMENTO!R$15,ROW(F176)-ROW(F$15),0)</f>
        <v>IMPERMEABILIZAÇÃO</v>
      </c>
      <c r="G176" s="173" t="str">
        <f ca="1">IF($D176&lt;&gt;"Serviço","",OFFSET(ORÇAMENTO!S$15,ROW(G176)-ROW(G$15),0))</f>
        <v/>
      </c>
      <c r="H176" s="124">
        <f ca="1">IF($D176&lt;&gt;"Serviço",0,IF(ACOMPANHAMENTO="BM",ROUND(OFFSET(ORÇAMENTO!AJ$15,ROW(H176)-ROW(H$15),0),15-13*ORÇAMENTO!$AF$7),SUMPRODUCT(($Q$12:$AI$12&lt;&gt;"")*ROUND($Q176:$AI176,15-13*ORÇAMENTO!$AF$7))))</f>
        <v>0</v>
      </c>
      <c r="I176" s="561"/>
      <c r="K176" s="174"/>
      <c r="L176" s="175" t="s">
        <v>255</v>
      </c>
      <c r="M176" s="176" t="str">
        <f ca="1">IF($D176&lt;&gt;"Serviço","",IF(AUTOEVENTO="manual",$A176,IF(ISERROR(MATCH($A176,$A$15:OFFSET($A176,-1,0),0)),MAX($M$15:OFFSET(M176,-1,0))+1,INDEX($M$15:OFFSET(M176,-1,0),MATCH($A176,$A$15:OFFSET($A176,-1,0),0)))))</f>
        <v/>
      </c>
      <c r="N176" s="177" t="str">
        <f ca="1">IF($D176&lt;&gt;"Serviço","",IF(AUTOEVENTO="Manual",IF($A176=0,"&lt;-- defina o número do agrupador",OFFSET(EVENTOS!$D$14,$A176,0)),OFFSET($F$15,$A176,0)))</f>
        <v/>
      </c>
      <c r="O176" s="178"/>
      <c r="Q176" s="178">
        <v>0</v>
      </c>
      <c r="R176" s="179"/>
      <c r="S176" s="179"/>
      <c r="T176" s="179"/>
      <c r="U176" s="179"/>
      <c r="V176" s="179"/>
      <c r="W176" s="179"/>
      <c r="X176" s="179"/>
      <c r="Y176" s="179"/>
      <c r="Z176" s="180"/>
      <c r="AA176" s="179"/>
      <c r="AB176" s="179"/>
      <c r="AC176" s="179"/>
      <c r="AD176" s="179"/>
      <c r="AE176" s="179"/>
      <c r="AF176" s="179"/>
      <c r="AG176" s="179"/>
      <c r="AH176" s="180"/>
      <c r="AJ176" s="544">
        <f ca="1">IF(AND($D176="Serviço",AJ$12&lt;&gt;0,$H176&gt;0,OR(AUTOEVENTO&lt;&gt;"manual",$M176&lt;&gt;1)),
IF(Import.TipoArredondamento&lt;&gt;"TransfereGOV",
ROUND(OFFSET($P176,0,AJ$13),15-13*ORÇAMENTO!$AF$7)/$H176*OFFSET(ORÇAMENTO!$X$15,ROW(AJ176)-ROW(AJ$15),0),
ROUND(ROUND(OFFSET($P176,0,AJ$13),15-13*ORÇAMENTO!$AF$7)*OFFSET(ORÇAMENTO!$W$15,ROW(AJ176)-ROW(AJ$15),0),15-13*ORÇAMENTO!$AF$11)),0)</f>
        <v>0</v>
      </c>
      <c r="AK176" s="545">
        <f ca="1">IF(AND($D176="Serviço",AK$12&lt;&gt;0,$H176&gt;0,OR(AUTOEVENTO&lt;&gt;"manual",$M176&lt;&gt;1)),
IF(Import.TipoArredondamento&lt;&gt;"TransfereGOV",
ROUND(OFFSET($P176,0,AK$13),15-13*ORÇAMENTO!$AF$7)/$H176*OFFSET(ORÇAMENTO!$X$15,ROW(AK176)-ROW(AK$15),0),
ROUND(ROUND(OFFSET($P176,0,AK$13),15-13*ORÇAMENTO!$AF$7)*OFFSET(ORÇAMENTO!$W$15,ROW(AK176)-ROW(AK$15),0),15-13*ORÇAMENTO!$AF$11)),0)</f>
        <v>0</v>
      </c>
      <c r="AL176" s="545">
        <f ca="1">IF(AND($D176="Serviço",AL$12&lt;&gt;0,$H176&gt;0,OR(AUTOEVENTO&lt;&gt;"manual",$M176&lt;&gt;1)),
IF(Import.TipoArredondamento&lt;&gt;"TransfereGOV",
ROUND(OFFSET($P176,0,AL$13),15-13*ORÇAMENTO!$AF$7)/$H176*OFFSET(ORÇAMENTO!$X$15,ROW(AL176)-ROW(AL$15),0),
ROUND(ROUND(OFFSET($P176,0,AL$13),15-13*ORÇAMENTO!$AF$7)*OFFSET(ORÇAMENTO!$W$15,ROW(AL176)-ROW(AL$15),0),15-13*ORÇAMENTO!$AF$11)),0)</f>
        <v>0</v>
      </c>
      <c r="AM176" s="545">
        <f ca="1">IF(AND($D176="Serviço",AM$12&lt;&gt;0,$H176&gt;0,OR(AUTOEVENTO&lt;&gt;"manual",$M176&lt;&gt;1)),
IF(Import.TipoArredondamento&lt;&gt;"TransfereGOV",
ROUND(OFFSET($P176,0,AM$13),15-13*ORÇAMENTO!$AF$7)/$H176*OFFSET(ORÇAMENTO!$X$15,ROW(AM176)-ROW(AM$15),0),
ROUND(ROUND(OFFSET($P176,0,AM$13),15-13*ORÇAMENTO!$AF$7)*OFFSET(ORÇAMENTO!$W$15,ROW(AM176)-ROW(AM$15),0),15-13*ORÇAMENTO!$AF$11)),0)</f>
        <v>0</v>
      </c>
      <c r="AN176" s="545">
        <f ca="1">IF(AND($D176="Serviço",AN$12&lt;&gt;0,$H176&gt;0,OR(AUTOEVENTO&lt;&gt;"manual",$M176&lt;&gt;1)),
IF(Import.TipoArredondamento&lt;&gt;"TransfereGOV",
ROUND(OFFSET($P176,0,AN$13),15-13*ORÇAMENTO!$AF$7)/$H176*OFFSET(ORÇAMENTO!$X$15,ROW(AN176)-ROW(AN$15),0),
ROUND(ROUND(OFFSET($P176,0,AN$13),15-13*ORÇAMENTO!$AF$7)*OFFSET(ORÇAMENTO!$W$15,ROW(AN176)-ROW(AN$15),0),15-13*ORÇAMENTO!$AF$11)),0)</f>
        <v>0</v>
      </c>
      <c r="AO176" s="545">
        <f ca="1">IF(AND($D176="Serviço",AO$12&lt;&gt;0,$H176&gt;0,OR(AUTOEVENTO&lt;&gt;"manual",$M176&lt;&gt;1)),
IF(Import.TipoArredondamento&lt;&gt;"TransfereGOV",
ROUND(OFFSET($P176,0,AO$13),15-13*ORÇAMENTO!$AF$7)/$H176*OFFSET(ORÇAMENTO!$X$15,ROW(AO176)-ROW(AO$15),0),
ROUND(ROUND(OFFSET($P176,0,AO$13),15-13*ORÇAMENTO!$AF$7)*OFFSET(ORÇAMENTO!$W$15,ROW(AO176)-ROW(AO$15),0),15-13*ORÇAMENTO!$AF$11)),0)</f>
        <v>0</v>
      </c>
      <c r="AP176" s="545">
        <f ca="1">IF(AND($D176="Serviço",AP$12&lt;&gt;0,$H176&gt;0,OR(AUTOEVENTO&lt;&gt;"manual",$M176&lt;&gt;1)),
IF(Import.TipoArredondamento&lt;&gt;"TransfereGOV",
ROUND(OFFSET($P176,0,AP$13),15-13*ORÇAMENTO!$AF$7)/$H176*OFFSET(ORÇAMENTO!$X$15,ROW(AP176)-ROW(AP$15),0),
ROUND(ROUND(OFFSET($P176,0,AP$13),15-13*ORÇAMENTO!$AF$7)*OFFSET(ORÇAMENTO!$W$15,ROW(AP176)-ROW(AP$15),0),15-13*ORÇAMENTO!$AF$11)),0)</f>
        <v>0</v>
      </c>
      <c r="AQ176" s="545">
        <f ca="1">IF(AND($D176="Serviço",AQ$12&lt;&gt;0,$H176&gt;0,OR(AUTOEVENTO&lt;&gt;"manual",$M176&lt;&gt;1)),
IF(Import.TipoArredondamento&lt;&gt;"TransfereGOV",
ROUND(OFFSET($P176,0,AQ$13),15-13*ORÇAMENTO!$AF$7)/$H176*OFFSET(ORÇAMENTO!$X$15,ROW(AQ176)-ROW(AQ$15),0),
ROUND(ROUND(OFFSET($P176,0,AQ$13),15-13*ORÇAMENTO!$AF$7)*OFFSET(ORÇAMENTO!$W$15,ROW(AQ176)-ROW(AQ$15),0),15-13*ORÇAMENTO!$AF$11)),0)</f>
        <v>0</v>
      </c>
      <c r="AR176" s="545">
        <f ca="1">IF(AND($D176="Serviço",AR$12&lt;&gt;0,$H176&gt;0,OR(AUTOEVENTO&lt;&gt;"manual",$M176&lt;&gt;1)),
IF(Import.TipoArredondamento&lt;&gt;"TransfereGOV",
ROUND(OFFSET($P176,0,AR$13),15-13*ORÇAMENTO!$AF$7)/$H176*OFFSET(ORÇAMENTO!$X$15,ROW(AR176)-ROW(AR$15),0),
ROUND(ROUND(OFFSET($P176,0,AR$13),15-13*ORÇAMENTO!$AF$7)*OFFSET(ORÇAMENTO!$W$15,ROW(AR176)-ROW(AR$15),0),15-13*ORÇAMENTO!$AF$11)),0)</f>
        <v>0</v>
      </c>
      <c r="AS176" s="546">
        <f ca="1">IF(AND($D176="Serviço",AS$12&lt;&gt;0,$H176&gt;0,OR(AUTOEVENTO&lt;&gt;"manual",$M176&lt;&gt;1)),
IF(Import.TipoArredondamento&lt;&gt;"TransfereGOV",
ROUND(OFFSET($P176,0,AS$13),15-13*ORÇAMENTO!$AF$7)/$H176*OFFSET(ORÇAMENTO!$X$15,ROW(AS176)-ROW(AS$15),0),
ROUND(ROUND(OFFSET($P176,0,AS$13),15-13*ORÇAMENTO!$AF$7)*OFFSET(ORÇAMENTO!$W$15,ROW(AS176)-ROW(AS$15),0),15-13*ORÇAMENTO!$AF$11)),0)</f>
        <v>0</v>
      </c>
      <c r="AT176" s="545">
        <f ca="1">IF(AND($D176="Serviço",AT$12&lt;&gt;0,$H176&gt;0,OR(AUTOEVENTO&lt;&gt;"manual",$M176&lt;&gt;1)),
IF(Import.TipoArredondamento&lt;&gt;"TransfereGOV",
ROUND(OFFSET($P176,0,AT$13),15-13*ORÇAMENTO!$AF$7)/$H176*OFFSET(ORÇAMENTO!$X$15,ROW(AT176)-ROW(AT$15),0),
ROUND(ROUND(OFFSET($P176,0,AT$13),15-13*ORÇAMENTO!$AF$7)*OFFSET(ORÇAMENTO!$W$15,ROW(AT176)-ROW(AT$15),0),15-13*ORÇAMENTO!$AF$11)),0)</f>
        <v>0</v>
      </c>
      <c r="AU176" s="545">
        <f ca="1">IF(AND($D176="Serviço",AU$12&lt;&gt;0,$H176&gt;0,OR(AUTOEVENTO&lt;&gt;"manual",$M176&lt;&gt;1)),
IF(Import.TipoArredondamento&lt;&gt;"TransfereGOV",
ROUND(OFFSET($P176,0,AU$13),15-13*ORÇAMENTO!$AF$7)/$H176*OFFSET(ORÇAMENTO!$X$15,ROW(AU176)-ROW(AU$15),0),
ROUND(ROUND(OFFSET($P176,0,AU$13),15-13*ORÇAMENTO!$AF$7)*OFFSET(ORÇAMENTO!$W$15,ROW(AU176)-ROW(AU$15),0),15-13*ORÇAMENTO!$AF$11)),0)</f>
        <v>0</v>
      </c>
      <c r="AV176" s="545">
        <f ca="1">IF(AND($D176="Serviço",AV$12&lt;&gt;0,$H176&gt;0,OR(AUTOEVENTO&lt;&gt;"manual",$M176&lt;&gt;1)),
IF(Import.TipoArredondamento&lt;&gt;"TransfereGOV",
ROUND(OFFSET($P176,0,AV$13),15-13*ORÇAMENTO!$AF$7)/$H176*OFFSET(ORÇAMENTO!$X$15,ROW(AV176)-ROW(AV$15),0),
ROUND(ROUND(OFFSET($P176,0,AV$13),15-13*ORÇAMENTO!$AF$7)*OFFSET(ORÇAMENTO!$W$15,ROW(AV176)-ROW(AV$15),0),15-13*ORÇAMENTO!$AF$11)),0)</f>
        <v>0</v>
      </c>
      <c r="AW176" s="545">
        <f ca="1">IF(AND($D176="Serviço",AW$12&lt;&gt;0,$H176&gt;0,OR(AUTOEVENTO&lt;&gt;"manual",$M176&lt;&gt;1)),
IF(Import.TipoArredondamento&lt;&gt;"TransfereGOV",
ROUND(OFFSET($P176,0,AW$13),15-13*ORÇAMENTO!$AF$7)/$H176*OFFSET(ORÇAMENTO!$X$15,ROW(AW176)-ROW(AW$15),0),
ROUND(ROUND(OFFSET($P176,0,AW$13),15-13*ORÇAMENTO!$AF$7)*OFFSET(ORÇAMENTO!$W$15,ROW(AW176)-ROW(AW$15),0),15-13*ORÇAMENTO!$AF$11)),0)</f>
        <v>0</v>
      </c>
      <c r="AX176" s="545">
        <f ca="1">IF(AND($D176="Serviço",AX$12&lt;&gt;0,$H176&gt;0,OR(AUTOEVENTO&lt;&gt;"manual",$M176&lt;&gt;1)),
IF(Import.TipoArredondamento&lt;&gt;"TransfereGOV",
ROUND(OFFSET($P176,0,AX$13),15-13*ORÇAMENTO!$AF$7)/$H176*OFFSET(ORÇAMENTO!$X$15,ROW(AX176)-ROW(AX$15),0),
ROUND(ROUND(OFFSET($P176,0,AX$13),15-13*ORÇAMENTO!$AF$7)*OFFSET(ORÇAMENTO!$W$15,ROW(AX176)-ROW(AX$15),0),15-13*ORÇAMENTO!$AF$11)),0)</f>
        <v>0</v>
      </c>
      <c r="AY176" s="545">
        <f ca="1">IF(AND($D176="Serviço",AY$12&lt;&gt;0,$H176&gt;0,OR(AUTOEVENTO&lt;&gt;"manual",$M176&lt;&gt;1)),
IF(Import.TipoArredondamento&lt;&gt;"TransfereGOV",
ROUND(OFFSET($P176,0,AY$13),15-13*ORÇAMENTO!$AF$7)/$H176*OFFSET(ORÇAMENTO!$X$15,ROW(AY176)-ROW(AY$15),0),
ROUND(ROUND(OFFSET($P176,0,AY$13),15-13*ORÇAMENTO!$AF$7)*OFFSET(ORÇAMENTO!$W$15,ROW(AY176)-ROW(AY$15),0),15-13*ORÇAMENTO!$AF$11)),0)</f>
        <v>0</v>
      </c>
      <c r="AZ176" s="545">
        <f ca="1">IF(AND($D176="Serviço",AZ$12&lt;&gt;0,$H176&gt;0,OR(AUTOEVENTO&lt;&gt;"manual",$M176&lt;&gt;1)),
IF(Import.TipoArredondamento&lt;&gt;"TransfereGOV",
ROUND(OFFSET($P176,0,AZ$13),15-13*ORÇAMENTO!$AF$7)/$H176*OFFSET(ORÇAMENTO!$X$15,ROW(AZ176)-ROW(AZ$15),0),
ROUND(ROUND(OFFSET($P176,0,AZ$13),15-13*ORÇAMENTO!$AF$7)*OFFSET(ORÇAMENTO!$W$15,ROW(AZ176)-ROW(AZ$15),0),15-13*ORÇAMENTO!$AF$11)),0)</f>
        <v>0</v>
      </c>
      <c r="BA176" s="546">
        <f ca="1">IF(AND($D176="Serviço",BA$12&lt;&gt;0,$H176&gt;0,OR(AUTOEVENTO&lt;&gt;"manual",$M176&lt;&gt;1)),
IF(Import.TipoArredondamento&lt;&gt;"TransfereGOV",
ROUND(OFFSET($P176,0,BA$13),15-13*ORÇAMENTO!$AF$7)/$H176*OFFSET(ORÇAMENTO!$X$15,ROW(BA176)-ROW(BA$15),0),
ROUND(ROUND(OFFSET($P176,0,BA$13),15-13*ORÇAMENTO!$AF$7)*OFFSET(ORÇAMENTO!$W$15,ROW(BA176)-ROW(BA$15),0),15-13*ORÇAMENTO!$AF$11)),0)</f>
        <v>0</v>
      </c>
      <c r="BC176" s="181">
        <f ca="1">IF($D176&lt;&gt;"Serviço",0,IF(AND(AUTOEVENTO="Manual",$M176=1),0,IF(OFFSET(CRONOPLE!$F$14,$M176,BC$13)="",10^12,OFFSET(CRONOPLE!$F$14,$M176,BC$13))))</f>
        <v>0</v>
      </c>
      <c r="BD176" s="181">
        <f ca="1">IF($D176&lt;&gt;"Serviço",0,IF(AND(AUTOEVENTO="Manual",$M176=1),0,IF(OFFSET(CRONOPLE!$F$14,$M176,BD$13)="",10^12,OFFSET(CRONOPLE!$F$14,$M176,BD$13))))</f>
        <v>0</v>
      </c>
      <c r="BE176" s="181">
        <f ca="1">IF($D176&lt;&gt;"Serviço",0,IF(AND(AUTOEVENTO="Manual",$M176=1),0,IF(OFFSET(CRONOPLE!$F$14,$M176,BE$13)="",10^12,OFFSET(CRONOPLE!$F$14,$M176,BE$13))))</f>
        <v>0</v>
      </c>
      <c r="BF176" s="181">
        <f ca="1">IF($D176&lt;&gt;"Serviço",0,IF(AND(AUTOEVENTO="Manual",$M176=1),0,IF(OFFSET(CRONOPLE!$F$14,$M176,BF$13)="",10^12,OFFSET(CRONOPLE!$F$14,$M176,BF$13))))</f>
        <v>0</v>
      </c>
      <c r="BG176" s="181">
        <f ca="1">IF($D176&lt;&gt;"Serviço",0,IF(AND(AUTOEVENTO="Manual",$M176=1),0,IF(OFFSET(CRONOPLE!$F$14,$M176,BG$13)="",10^12,OFFSET(CRONOPLE!$F$14,$M176,BG$13))))</f>
        <v>0</v>
      </c>
      <c r="BH176" s="181">
        <f ca="1">IF($D176&lt;&gt;"Serviço",0,IF(AND(AUTOEVENTO="Manual",$M176=1),0,IF(OFFSET(CRONOPLE!$F$14,$M176,BH$13)="",10^12,OFFSET(CRONOPLE!$F$14,$M176,BH$13))))</f>
        <v>0</v>
      </c>
      <c r="BI176" s="181">
        <f ca="1">IF($D176&lt;&gt;"Serviço",0,IF(AND(AUTOEVENTO="Manual",$M176=1),0,IF(OFFSET(CRONOPLE!$F$14,$M176,BI$13)="",10^12,OFFSET(CRONOPLE!$F$14,$M176,BI$13))))</f>
        <v>0</v>
      </c>
      <c r="BJ176" s="181">
        <f ca="1">IF($D176&lt;&gt;"Serviço",0,IF(AND(AUTOEVENTO="Manual",$M176=1),0,IF(OFFSET(CRONOPLE!$F$14,$M176,BJ$13)="",10^12,OFFSET(CRONOPLE!$F$14,$M176,BJ$13))))</f>
        <v>0</v>
      </c>
      <c r="BK176" s="181">
        <f ca="1">IF($D176&lt;&gt;"Serviço",0,IF(AND(AUTOEVENTO="Manual",$M176=1),0,IF(OFFSET(CRONOPLE!$F$14,$M176,BK$13)="",10^12,OFFSET(CRONOPLE!$F$14,$M176,BK$13))))</f>
        <v>0</v>
      </c>
      <c r="BL176" s="181">
        <f ca="1">IF($D176&lt;&gt;"Serviço",0,IF(AND(AUTOEVENTO="Manual",$M176=1),0,IF(OFFSET(CRONOPLE!$F$14,$M176,BL$13)="",10^12,OFFSET(CRONOPLE!$F$14,$M176,BL$13))))</f>
        <v>0</v>
      </c>
      <c r="BM176" s="181">
        <f ca="1">IF($D176&lt;&gt;"Serviço",0,IF(AND(AUTOEVENTO="Manual",$M176=1),0,IF(OFFSET(CRONOPLE!$F$14,$M176,BM$13)="",10^12,OFFSET(CRONOPLE!$F$14,$M176,BM$13))))</f>
        <v>0</v>
      </c>
      <c r="BN176" s="181">
        <f ca="1">IF($D176&lt;&gt;"Serviço",0,IF(AND(AUTOEVENTO="Manual",$M176=1),0,IF(OFFSET(CRONOPLE!$F$14,$M176,BN$13)="",10^12,OFFSET(CRONOPLE!$F$14,$M176,BN$13))))</f>
        <v>0</v>
      </c>
      <c r="BO176" s="181">
        <f ca="1">IF($D176&lt;&gt;"Serviço",0,IF(AND(AUTOEVENTO="Manual",$M176=1),0,IF(OFFSET(CRONOPLE!$F$14,$M176,BO$13)="",10^12,OFFSET(CRONOPLE!$F$14,$M176,BO$13))))</f>
        <v>0</v>
      </c>
      <c r="BP176" s="181">
        <f ca="1">IF($D176&lt;&gt;"Serviço",0,IF(AND(AUTOEVENTO="Manual",$M176=1),0,IF(OFFSET(CRONOPLE!$F$14,$M176,BP$13)="",10^12,OFFSET(CRONOPLE!$F$14,$M176,BP$13))))</f>
        <v>0</v>
      </c>
      <c r="BQ176" s="181">
        <f ca="1">IF($D176&lt;&gt;"Serviço",0,IF(AND(AUTOEVENTO="Manual",$M176=1),0,IF(OFFSET(CRONOPLE!$F$14,$M176,BQ$13)="",10^12,OFFSET(CRONOPLE!$F$14,$M176,BQ$13))))</f>
        <v>0</v>
      </c>
      <c r="BR176" s="181">
        <f ca="1">IF($D176&lt;&gt;"Serviço",0,IF(AND(AUTOEVENTO="Manual",$M176=1),0,IF(OFFSET(CRONOPLE!$F$14,$M176,BR$13)="",10^12,OFFSET(CRONOPLE!$F$14,$M176,BR$13))))</f>
        <v>0</v>
      </c>
      <c r="BS176" s="181">
        <f ca="1">IF($D176&lt;&gt;"Serviço",0,IF(AND(AUTOEVENTO="Manual",$M176=1),0,IF(OFFSET(CRONOPLE!$F$14,$M176,BS$13)="",10^12,OFFSET(CRONOPLE!$F$14,$M176,BS$13))))</f>
        <v>0</v>
      </c>
      <c r="BT176" s="181">
        <f ca="1">IF($D176&lt;&gt;"Serviço",0,IF(AND(AUTOEVENTO="Manual",$M176=1),0,IF(OFFSET(CRONOPLE!$F$14,$M176,BT$13)="",10^12,OFFSET(CRONOPLE!$F$14,$M176,BT$13))))</f>
        <v>0</v>
      </c>
      <c r="BV176" s="182">
        <f ca="1">IF($D176&lt;&gt;"Serviço",0,IF(OR(AND(AUTOEVENTO="Manual",$M176=1),$M176&gt;(ROW(PLE.lastrow)-ROW(PLE.firstrow))),0,IF(OFFSET(PLE!$G$14,$M176,BV$13)="",10^12,OFFSET(PLE!$G$14,$M176,BV$13))))</f>
        <v>0</v>
      </c>
      <c r="BW176" s="182">
        <f ca="1">IF($D176&lt;&gt;"Serviço",0,IF(OR(AND(AUTOEVENTO="Manual",$M176=1),$M176&gt;(ROW(PLE.lastrow)-ROW(PLE.firstrow))),0,IF(OFFSET(PLE!$G$14,$M176,BW$13)="",10^12,OFFSET(PLE!$G$14,$M176,BW$13))))</f>
        <v>0</v>
      </c>
      <c r="BX176" s="182">
        <f ca="1">IF($D176&lt;&gt;"Serviço",0,IF(OR(AND(AUTOEVENTO="Manual",$M176=1),$M176&gt;(ROW(PLE.lastrow)-ROW(PLE.firstrow))),0,IF(OFFSET(PLE!$G$14,$M176,BX$13)="",10^12,OFFSET(PLE!$G$14,$M176,BX$13))))</f>
        <v>0</v>
      </c>
      <c r="BY176" s="182">
        <f ca="1">IF($D176&lt;&gt;"Serviço",0,IF(OR(AND(AUTOEVENTO="Manual",$M176=1),$M176&gt;(ROW(PLE.lastrow)-ROW(PLE.firstrow))),0,IF(OFFSET(PLE!$G$14,$M176,BY$13)="",10^12,OFFSET(PLE!$G$14,$M176,BY$13))))</f>
        <v>0</v>
      </c>
      <c r="BZ176" s="182">
        <f ca="1">IF($D176&lt;&gt;"Serviço",0,IF(OR(AND(AUTOEVENTO="Manual",$M176=1),$M176&gt;(ROW(PLE.lastrow)-ROW(PLE.firstrow))),0,IF(OFFSET(PLE!$G$14,$M176,BZ$13)="",10^12,OFFSET(PLE!$G$14,$M176,BZ$13))))</f>
        <v>0</v>
      </c>
      <c r="CA176" s="182">
        <f ca="1">IF($D176&lt;&gt;"Serviço",0,IF(OR(AND(AUTOEVENTO="Manual",$M176=1),$M176&gt;(ROW(PLE.lastrow)-ROW(PLE.firstrow))),0,IF(OFFSET(PLE!$G$14,$M176,CA$13)="",10^12,OFFSET(PLE!$G$14,$M176,CA$13))))</f>
        <v>0</v>
      </c>
      <c r="CB176" s="182">
        <f ca="1">IF($D176&lt;&gt;"Serviço",0,IF(OR(AND(AUTOEVENTO="Manual",$M176=1),$M176&gt;(ROW(PLE.lastrow)-ROW(PLE.firstrow))),0,IF(OFFSET(PLE!$G$14,$M176,CB$13)="",10^12,OFFSET(PLE!$G$14,$M176,CB$13))))</f>
        <v>0</v>
      </c>
      <c r="CC176" s="182">
        <f ca="1">IF($D176&lt;&gt;"Serviço",0,IF(OR(AND(AUTOEVENTO="Manual",$M176=1),$M176&gt;(ROW(PLE.lastrow)-ROW(PLE.firstrow))),0,IF(OFFSET(PLE!$G$14,$M176,CC$13)="",10^12,OFFSET(PLE!$G$14,$M176,CC$13))))</f>
        <v>0</v>
      </c>
      <c r="CD176" s="182">
        <f ca="1">IF($D176&lt;&gt;"Serviço",0,IF(OR(AND(AUTOEVENTO="Manual",$M176=1),$M176&gt;(ROW(PLE.lastrow)-ROW(PLE.firstrow))),0,IF(OFFSET(PLE!$G$14,$M176,CD$13)="",10^12,OFFSET(PLE!$G$14,$M176,CD$13))))</f>
        <v>0</v>
      </c>
      <c r="CE176" s="182">
        <f ca="1">IF($D176&lt;&gt;"Serviço",0,IF(OR(AND(AUTOEVENTO="Manual",$M176=1),$M176&gt;(ROW(PLE.lastrow)-ROW(PLE.firstrow))),0,IF(OFFSET(PLE!$G$14,$M176,CE$13)="",10^12,OFFSET(PLE!$G$14,$M176,CE$13))))</f>
        <v>0</v>
      </c>
      <c r="CF176" s="182">
        <f ca="1">IF($D176&lt;&gt;"Serviço",0,IF(OR(AND(AUTOEVENTO="Manual",$M176=1),$M176&gt;(ROW(PLE.lastrow)-ROW(PLE.firstrow))),0,IF(OFFSET(PLE!$G$14,$M176,CF$13)="",10^12,OFFSET(PLE!$G$14,$M176,CF$13))))</f>
        <v>0</v>
      </c>
      <c r="CG176" s="182">
        <f ca="1">IF($D176&lt;&gt;"Serviço",0,IF(OR(AND(AUTOEVENTO="Manual",$M176=1),$M176&gt;(ROW(PLE.lastrow)-ROW(PLE.firstrow))),0,IF(OFFSET(PLE!$G$14,$M176,CG$13)="",10^12,OFFSET(PLE!$G$14,$M176,CG$13))))</f>
        <v>0</v>
      </c>
      <c r="CH176" s="182">
        <f ca="1">IF($D176&lt;&gt;"Serviço",0,IF(OR(AND(AUTOEVENTO="Manual",$M176=1),$M176&gt;(ROW(PLE.lastrow)-ROW(PLE.firstrow))),0,IF(OFFSET(PLE!$G$14,$M176,CH$13)="",10^12,OFFSET(PLE!$G$14,$M176,CH$13))))</f>
        <v>0</v>
      </c>
      <c r="CI176" s="182">
        <f ca="1">IF($D176&lt;&gt;"Serviço",0,IF(OR(AND(AUTOEVENTO="Manual",$M176=1),$M176&gt;(ROW(PLE.lastrow)-ROW(PLE.firstrow))),0,IF(OFFSET(PLE!$G$14,$M176,CI$13)="",10^12,OFFSET(PLE!$G$14,$M176,CI$13))))</f>
        <v>0</v>
      </c>
      <c r="CJ176" s="182">
        <f ca="1">IF($D176&lt;&gt;"Serviço",0,IF(OR(AND(AUTOEVENTO="Manual",$M176=1),$M176&gt;(ROW(PLE.lastrow)-ROW(PLE.firstrow))),0,IF(OFFSET(PLE!$G$14,$M176,CJ$13)="",10^12,OFFSET(PLE!$G$14,$M176,CJ$13))))</f>
        <v>0</v>
      </c>
      <c r="CK176" s="182">
        <f ca="1">IF($D176&lt;&gt;"Serviço",0,IF(OR(AND(AUTOEVENTO="Manual",$M176=1),$M176&gt;(ROW(PLE.lastrow)-ROW(PLE.firstrow))),0,IF(OFFSET(PLE!$G$14,$M176,CK$13)="",10^12,OFFSET(PLE!$G$14,$M176,CK$13))))</f>
        <v>0</v>
      </c>
      <c r="CL176" s="182">
        <f ca="1">IF($D176&lt;&gt;"Serviço",0,IF(OR(AND(AUTOEVENTO="Manual",$M176=1),$M176&gt;(ROW(PLE.lastrow)-ROW(PLE.firstrow))),0,IF(OFFSET(PLE!$G$14,$M176,CL$13)="",10^12,OFFSET(PLE!$G$14,$M176,CL$13))))</f>
        <v>0</v>
      </c>
      <c r="CM176" s="182">
        <f ca="1">IF($D176&lt;&gt;"Serviço",0,IF(OR(AND(AUTOEVENTO="Manual",$M176=1),$M176&gt;(ROW(PLE.lastrow)-ROW(PLE.firstrow))),0,IF(OFFSET(PLE!$G$14,$M176,CM$13)="",10^12,OFFSET(PLE!$G$14,$M176,CM$13))))</f>
        <v>0</v>
      </c>
    </row>
    <row r="177" spans="1:91" ht="25.5" x14ac:dyDescent="0.2">
      <c r="A177" s="7" t="str">
        <f t="shared" ca="1" si="12"/>
        <v>161</v>
      </c>
      <c r="B177" s="7" t="str">
        <f ca="1">OFFSET(ORÇAMENTO!C$15,ROW(B177)-ROW(B$15),0)</f>
        <v>S</v>
      </c>
      <c r="C177" s="7" t="str">
        <f ca="1">OFFSET(ORÇAMENTO!L$15,ROW(C177)-ROW(C$15),0)</f>
        <v/>
      </c>
      <c r="D177" s="118" t="str">
        <f ca="1">OFFSET(ORÇAMENTO!N$15,ROW(D177)-ROW(D$15),0)</f>
        <v>Serviço</v>
      </c>
      <c r="E177" s="119" t="str">
        <f ca="1">OFFSET(ORÇAMENTO!O$15,ROW(E177)-ROW(E$15),0)</f>
        <v>-</v>
      </c>
      <c r="F177" s="172" t="str">
        <f ca="1">OFFSET(ORÇAMENTO!R$15,ROW(F177)-ROW(F$15),0)</f>
        <v>(abra o arquivo 'Referência 06-2024.xlsm)</v>
      </c>
      <c r="G177" s="173" t="str">
        <f ca="1">IF($D177&lt;&gt;"Serviço","",OFFSET(ORÇAMENTO!S$15,ROW(G177)-ROW(G$15),0))</f>
        <v>-</v>
      </c>
      <c r="H177" s="124">
        <f ca="1">IF($D177&lt;&gt;"Serviço",0,IF(ACOMPANHAMENTO="BM",ROUND(OFFSET(ORÇAMENTO!AJ$15,ROW(H177)-ROW(H$15),0),15-13*ORÇAMENTO!$AF$7),SUMPRODUCT(($Q$12:$AI$12&lt;&gt;"")*ROUND($Q177:$AI177,15-13*ORÇAMENTO!$AF$7))))</f>
        <v>1084.7</v>
      </c>
      <c r="I177" s="561" t="s">
        <v>1107</v>
      </c>
      <c r="K177" s="174"/>
      <c r="L177" s="175" t="s">
        <v>255</v>
      </c>
      <c r="M177" s="176">
        <f ca="1">IF($D177&lt;&gt;"Serviço","",IF(AUTOEVENTO="manual",$A177,IF(ISERROR(MATCH($A177,$A$15:OFFSET($A177,-1,0),0)),MAX($M$15:OFFSET(M177,-1,0))+1,INDEX($M$15:OFFSET(M177,-1,0),MATCH($A177,$A$15:OFFSET($A177,-1,0),0)))))</f>
        <v>26</v>
      </c>
      <c r="N177" s="177" t="str">
        <f ca="1">IF($D177&lt;&gt;"Serviço","",IF(AUTOEVENTO="Manual",IF($A177=0,"&lt;-- defina o número do agrupador",OFFSET(EVENTOS!$D$14,$A177,0)),OFFSET($F$15,$A177,0)))</f>
        <v>IMPERMEABILIZAÇÃO</v>
      </c>
      <c r="O177" s="178"/>
      <c r="Q177" s="178">
        <v>1084.7</v>
      </c>
      <c r="R177" s="179"/>
      <c r="S177" s="179"/>
      <c r="T177" s="179"/>
      <c r="U177" s="179"/>
      <c r="V177" s="179"/>
      <c r="W177" s="179"/>
      <c r="X177" s="179"/>
      <c r="Y177" s="179"/>
      <c r="Z177" s="180"/>
      <c r="AA177" s="179"/>
      <c r="AB177" s="179"/>
      <c r="AC177" s="179"/>
      <c r="AD177" s="179"/>
      <c r="AE177" s="179"/>
      <c r="AF177" s="179"/>
      <c r="AG177" s="179"/>
      <c r="AH177" s="180"/>
      <c r="AJ177" s="544">
        <f ca="1">IF(AND($D177="Serviço",AJ$12&lt;&gt;0,$H177&gt;0,OR(AUTOEVENTO&lt;&gt;"manual",$M177&lt;&gt;1)),
IF(Import.TipoArredondamento&lt;&gt;"TransfereGOV",
ROUND(OFFSET($P177,0,AJ$13),15-13*ORÇAMENTO!$AF$7)/$H177*OFFSET(ORÇAMENTO!$X$15,ROW(AJ177)-ROW(AJ$15),0),
ROUND(ROUND(OFFSET($P177,0,AJ$13),15-13*ORÇAMENTO!$AF$7)*OFFSET(ORÇAMENTO!$W$15,ROW(AJ177)-ROW(AJ$15),0),15-13*ORÇAMENTO!$AF$11)),0)</f>
        <v>0</v>
      </c>
      <c r="AK177" s="545">
        <f ca="1">IF(AND($D177="Serviço",AK$12&lt;&gt;0,$H177&gt;0,OR(AUTOEVENTO&lt;&gt;"manual",$M177&lt;&gt;1)),
IF(Import.TipoArredondamento&lt;&gt;"TransfereGOV",
ROUND(OFFSET($P177,0,AK$13),15-13*ORÇAMENTO!$AF$7)/$H177*OFFSET(ORÇAMENTO!$X$15,ROW(AK177)-ROW(AK$15),0),
ROUND(ROUND(OFFSET($P177,0,AK$13),15-13*ORÇAMENTO!$AF$7)*OFFSET(ORÇAMENTO!$W$15,ROW(AK177)-ROW(AK$15),0),15-13*ORÇAMENTO!$AF$11)),0)</f>
        <v>0</v>
      </c>
      <c r="AL177" s="545">
        <f ca="1">IF(AND($D177="Serviço",AL$12&lt;&gt;0,$H177&gt;0,OR(AUTOEVENTO&lt;&gt;"manual",$M177&lt;&gt;1)),
IF(Import.TipoArredondamento&lt;&gt;"TransfereGOV",
ROUND(OFFSET($P177,0,AL$13),15-13*ORÇAMENTO!$AF$7)/$H177*OFFSET(ORÇAMENTO!$X$15,ROW(AL177)-ROW(AL$15),0),
ROUND(ROUND(OFFSET($P177,0,AL$13),15-13*ORÇAMENTO!$AF$7)*OFFSET(ORÇAMENTO!$W$15,ROW(AL177)-ROW(AL$15),0),15-13*ORÇAMENTO!$AF$11)),0)</f>
        <v>0</v>
      </c>
      <c r="AM177" s="545">
        <f ca="1">IF(AND($D177="Serviço",AM$12&lt;&gt;0,$H177&gt;0,OR(AUTOEVENTO&lt;&gt;"manual",$M177&lt;&gt;1)),
IF(Import.TipoArredondamento&lt;&gt;"TransfereGOV",
ROUND(OFFSET($P177,0,AM$13),15-13*ORÇAMENTO!$AF$7)/$H177*OFFSET(ORÇAMENTO!$X$15,ROW(AM177)-ROW(AM$15),0),
ROUND(ROUND(OFFSET($P177,0,AM$13),15-13*ORÇAMENTO!$AF$7)*OFFSET(ORÇAMENTO!$W$15,ROW(AM177)-ROW(AM$15),0),15-13*ORÇAMENTO!$AF$11)),0)</f>
        <v>0</v>
      </c>
      <c r="AN177" s="545">
        <f ca="1">IF(AND($D177="Serviço",AN$12&lt;&gt;0,$H177&gt;0,OR(AUTOEVENTO&lt;&gt;"manual",$M177&lt;&gt;1)),
IF(Import.TipoArredondamento&lt;&gt;"TransfereGOV",
ROUND(OFFSET($P177,0,AN$13),15-13*ORÇAMENTO!$AF$7)/$H177*OFFSET(ORÇAMENTO!$X$15,ROW(AN177)-ROW(AN$15),0),
ROUND(ROUND(OFFSET($P177,0,AN$13),15-13*ORÇAMENTO!$AF$7)*OFFSET(ORÇAMENTO!$W$15,ROW(AN177)-ROW(AN$15),0),15-13*ORÇAMENTO!$AF$11)),0)</f>
        <v>0</v>
      </c>
      <c r="AO177" s="545">
        <f ca="1">IF(AND($D177="Serviço",AO$12&lt;&gt;0,$H177&gt;0,OR(AUTOEVENTO&lt;&gt;"manual",$M177&lt;&gt;1)),
IF(Import.TipoArredondamento&lt;&gt;"TransfereGOV",
ROUND(OFFSET($P177,0,AO$13),15-13*ORÇAMENTO!$AF$7)/$H177*OFFSET(ORÇAMENTO!$X$15,ROW(AO177)-ROW(AO$15),0),
ROUND(ROUND(OFFSET($P177,0,AO$13),15-13*ORÇAMENTO!$AF$7)*OFFSET(ORÇAMENTO!$W$15,ROW(AO177)-ROW(AO$15),0),15-13*ORÇAMENTO!$AF$11)),0)</f>
        <v>0</v>
      </c>
      <c r="AP177" s="545">
        <f ca="1">IF(AND($D177="Serviço",AP$12&lt;&gt;0,$H177&gt;0,OR(AUTOEVENTO&lt;&gt;"manual",$M177&lt;&gt;1)),
IF(Import.TipoArredondamento&lt;&gt;"TransfereGOV",
ROUND(OFFSET($P177,0,AP$13),15-13*ORÇAMENTO!$AF$7)/$H177*OFFSET(ORÇAMENTO!$X$15,ROW(AP177)-ROW(AP$15),0),
ROUND(ROUND(OFFSET($P177,0,AP$13),15-13*ORÇAMENTO!$AF$7)*OFFSET(ORÇAMENTO!$W$15,ROW(AP177)-ROW(AP$15),0),15-13*ORÇAMENTO!$AF$11)),0)</f>
        <v>0</v>
      </c>
      <c r="AQ177" s="545">
        <f ca="1">IF(AND($D177="Serviço",AQ$12&lt;&gt;0,$H177&gt;0,OR(AUTOEVENTO&lt;&gt;"manual",$M177&lt;&gt;1)),
IF(Import.TipoArredondamento&lt;&gt;"TransfereGOV",
ROUND(OFFSET($P177,0,AQ$13),15-13*ORÇAMENTO!$AF$7)/$H177*OFFSET(ORÇAMENTO!$X$15,ROW(AQ177)-ROW(AQ$15),0),
ROUND(ROUND(OFFSET($P177,0,AQ$13),15-13*ORÇAMENTO!$AF$7)*OFFSET(ORÇAMENTO!$W$15,ROW(AQ177)-ROW(AQ$15),0),15-13*ORÇAMENTO!$AF$11)),0)</f>
        <v>0</v>
      </c>
      <c r="AR177" s="545">
        <f ca="1">IF(AND($D177="Serviço",AR$12&lt;&gt;0,$H177&gt;0,OR(AUTOEVENTO&lt;&gt;"manual",$M177&lt;&gt;1)),
IF(Import.TipoArredondamento&lt;&gt;"TransfereGOV",
ROUND(OFFSET($P177,0,AR$13),15-13*ORÇAMENTO!$AF$7)/$H177*OFFSET(ORÇAMENTO!$X$15,ROW(AR177)-ROW(AR$15),0),
ROUND(ROUND(OFFSET($P177,0,AR$13),15-13*ORÇAMENTO!$AF$7)*OFFSET(ORÇAMENTO!$W$15,ROW(AR177)-ROW(AR$15),0),15-13*ORÇAMENTO!$AF$11)),0)</f>
        <v>0</v>
      </c>
      <c r="AS177" s="546">
        <f ca="1">IF(AND($D177="Serviço",AS$12&lt;&gt;0,$H177&gt;0,OR(AUTOEVENTO&lt;&gt;"manual",$M177&lt;&gt;1)),
IF(Import.TipoArredondamento&lt;&gt;"TransfereGOV",
ROUND(OFFSET($P177,0,AS$13),15-13*ORÇAMENTO!$AF$7)/$H177*OFFSET(ORÇAMENTO!$X$15,ROW(AS177)-ROW(AS$15),0),
ROUND(ROUND(OFFSET($P177,0,AS$13),15-13*ORÇAMENTO!$AF$7)*OFFSET(ORÇAMENTO!$W$15,ROW(AS177)-ROW(AS$15),0),15-13*ORÇAMENTO!$AF$11)),0)</f>
        <v>0</v>
      </c>
      <c r="AT177" s="545">
        <f ca="1">IF(AND($D177="Serviço",AT$12&lt;&gt;0,$H177&gt;0,OR(AUTOEVENTO&lt;&gt;"manual",$M177&lt;&gt;1)),
IF(Import.TipoArredondamento&lt;&gt;"TransfereGOV",
ROUND(OFFSET($P177,0,AT$13),15-13*ORÇAMENTO!$AF$7)/$H177*OFFSET(ORÇAMENTO!$X$15,ROW(AT177)-ROW(AT$15),0),
ROUND(ROUND(OFFSET($P177,0,AT$13),15-13*ORÇAMENTO!$AF$7)*OFFSET(ORÇAMENTO!$W$15,ROW(AT177)-ROW(AT$15),0),15-13*ORÇAMENTO!$AF$11)),0)</f>
        <v>0</v>
      </c>
      <c r="AU177" s="545">
        <f ca="1">IF(AND($D177="Serviço",AU$12&lt;&gt;0,$H177&gt;0,OR(AUTOEVENTO&lt;&gt;"manual",$M177&lt;&gt;1)),
IF(Import.TipoArredondamento&lt;&gt;"TransfereGOV",
ROUND(OFFSET($P177,0,AU$13),15-13*ORÇAMENTO!$AF$7)/$H177*OFFSET(ORÇAMENTO!$X$15,ROW(AU177)-ROW(AU$15),0),
ROUND(ROUND(OFFSET($P177,0,AU$13),15-13*ORÇAMENTO!$AF$7)*OFFSET(ORÇAMENTO!$W$15,ROW(AU177)-ROW(AU$15),0),15-13*ORÇAMENTO!$AF$11)),0)</f>
        <v>0</v>
      </c>
      <c r="AV177" s="545">
        <f ca="1">IF(AND($D177="Serviço",AV$12&lt;&gt;0,$H177&gt;0,OR(AUTOEVENTO&lt;&gt;"manual",$M177&lt;&gt;1)),
IF(Import.TipoArredondamento&lt;&gt;"TransfereGOV",
ROUND(OFFSET($P177,0,AV$13),15-13*ORÇAMENTO!$AF$7)/$H177*OFFSET(ORÇAMENTO!$X$15,ROW(AV177)-ROW(AV$15),0),
ROUND(ROUND(OFFSET($P177,0,AV$13),15-13*ORÇAMENTO!$AF$7)*OFFSET(ORÇAMENTO!$W$15,ROW(AV177)-ROW(AV$15),0),15-13*ORÇAMENTO!$AF$11)),0)</f>
        <v>0</v>
      </c>
      <c r="AW177" s="545">
        <f ca="1">IF(AND($D177="Serviço",AW$12&lt;&gt;0,$H177&gt;0,OR(AUTOEVENTO&lt;&gt;"manual",$M177&lt;&gt;1)),
IF(Import.TipoArredondamento&lt;&gt;"TransfereGOV",
ROUND(OFFSET($P177,0,AW$13),15-13*ORÇAMENTO!$AF$7)/$H177*OFFSET(ORÇAMENTO!$X$15,ROW(AW177)-ROW(AW$15),0),
ROUND(ROUND(OFFSET($P177,0,AW$13),15-13*ORÇAMENTO!$AF$7)*OFFSET(ORÇAMENTO!$W$15,ROW(AW177)-ROW(AW$15),0),15-13*ORÇAMENTO!$AF$11)),0)</f>
        <v>0</v>
      </c>
      <c r="AX177" s="545">
        <f ca="1">IF(AND($D177="Serviço",AX$12&lt;&gt;0,$H177&gt;0,OR(AUTOEVENTO&lt;&gt;"manual",$M177&lt;&gt;1)),
IF(Import.TipoArredondamento&lt;&gt;"TransfereGOV",
ROUND(OFFSET($P177,0,AX$13),15-13*ORÇAMENTO!$AF$7)/$H177*OFFSET(ORÇAMENTO!$X$15,ROW(AX177)-ROW(AX$15),0),
ROUND(ROUND(OFFSET($P177,0,AX$13),15-13*ORÇAMENTO!$AF$7)*OFFSET(ORÇAMENTO!$W$15,ROW(AX177)-ROW(AX$15),0),15-13*ORÇAMENTO!$AF$11)),0)</f>
        <v>0</v>
      </c>
      <c r="AY177" s="545">
        <f ca="1">IF(AND($D177="Serviço",AY$12&lt;&gt;0,$H177&gt;0,OR(AUTOEVENTO&lt;&gt;"manual",$M177&lt;&gt;1)),
IF(Import.TipoArredondamento&lt;&gt;"TransfereGOV",
ROUND(OFFSET($P177,0,AY$13),15-13*ORÇAMENTO!$AF$7)/$H177*OFFSET(ORÇAMENTO!$X$15,ROW(AY177)-ROW(AY$15),0),
ROUND(ROUND(OFFSET($P177,0,AY$13),15-13*ORÇAMENTO!$AF$7)*OFFSET(ORÇAMENTO!$W$15,ROW(AY177)-ROW(AY$15),0),15-13*ORÇAMENTO!$AF$11)),0)</f>
        <v>0</v>
      </c>
      <c r="AZ177" s="545">
        <f ca="1">IF(AND($D177="Serviço",AZ$12&lt;&gt;0,$H177&gt;0,OR(AUTOEVENTO&lt;&gt;"manual",$M177&lt;&gt;1)),
IF(Import.TipoArredondamento&lt;&gt;"TransfereGOV",
ROUND(OFFSET($P177,0,AZ$13),15-13*ORÇAMENTO!$AF$7)/$H177*OFFSET(ORÇAMENTO!$X$15,ROW(AZ177)-ROW(AZ$15),0),
ROUND(ROUND(OFFSET($P177,0,AZ$13),15-13*ORÇAMENTO!$AF$7)*OFFSET(ORÇAMENTO!$W$15,ROW(AZ177)-ROW(AZ$15),0),15-13*ORÇAMENTO!$AF$11)),0)</f>
        <v>0</v>
      </c>
      <c r="BA177" s="546">
        <f ca="1">IF(AND($D177="Serviço",BA$12&lt;&gt;0,$H177&gt;0,OR(AUTOEVENTO&lt;&gt;"manual",$M177&lt;&gt;1)),
IF(Import.TipoArredondamento&lt;&gt;"TransfereGOV",
ROUND(OFFSET($P177,0,BA$13),15-13*ORÇAMENTO!$AF$7)/$H177*OFFSET(ORÇAMENTO!$X$15,ROW(BA177)-ROW(BA$15),0),
ROUND(ROUND(OFFSET($P177,0,BA$13),15-13*ORÇAMENTO!$AF$7)*OFFSET(ORÇAMENTO!$W$15,ROW(BA177)-ROW(BA$15),0),15-13*ORÇAMENTO!$AF$11)),0)</f>
        <v>0</v>
      </c>
      <c r="BC177" s="181">
        <f ca="1">IF($D177&lt;&gt;"Serviço",0,IF(AND(AUTOEVENTO="Manual",$M177=1),0,IF(OFFSET(CRONOPLE!$F$14,$M177,BC$13)="",10^12,OFFSET(CRONOPLE!$F$14,$M177,BC$13))))</f>
        <v>7</v>
      </c>
      <c r="BD177" s="181">
        <f ca="1">IF($D177&lt;&gt;"Serviço",0,IF(AND(AUTOEVENTO="Manual",$M177=1),0,IF(OFFSET(CRONOPLE!$F$14,$M177,BD$13)="",10^12,OFFSET(CRONOPLE!$F$14,$M177,BD$13))))</f>
        <v>1000000000000</v>
      </c>
      <c r="BE177" s="181">
        <f ca="1">IF($D177&lt;&gt;"Serviço",0,IF(AND(AUTOEVENTO="Manual",$M177=1),0,IF(OFFSET(CRONOPLE!$F$14,$M177,BE$13)="",10^12,OFFSET(CRONOPLE!$F$14,$M177,BE$13))))</f>
        <v>1000000000000</v>
      </c>
      <c r="BF177" s="181">
        <f ca="1">IF($D177&lt;&gt;"Serviço",0,IF(AND(AUTOEVENTO="Manual",$M177=1),0,IF(OFFSET(CRONOPLE!$F$14,$M177,BF$13)="",10^12,OFFSET(CRONOPLE!$F$14,$M177,BF$13))))</f>
        <v>1000000000000</v>
      </c>
      <c r="BG177" s="181">
        <f ca="1">IF($D177&lt;&gt;"Serviço",0,IF(AND(AUTOEVENTO="Manual",$M177=1),0,IF(OFFSET(CRONOPLE!$F$14,$M177,BG$13)="",10^12,OFFSET(CRONOPLE!$F$14,$M177,BG$13))))</f>
        <v>1000000000000</v>
      </c>
      <c r="BH177" s="181">
        <f ca="1">IF($D177&lt;&gt;"Serviço",0,IF(AND(AUTOEVENTO="Manual",$M177=1),0,IF(OFFSET(CRONOPLE!$F$14,$M177,BH$13)="",10^12,OFFSET(CRONOPLE!$F$14,$M177,BH$13))))</f>
        <v>1000000000000</v>
      </c>
      <c r="BI177" s="181">
        <f ca="1">IF($D177&lt;&gt;"Serviço",0,IF(AND(AUTOEVENTO="Manual",$M177=1),0,IF(OFFSET(CRONOPLE!$F$14,$M177,BI$13)="",10^12,OFFSET(CRONOPLE!$F$14,$M177,BI$13))))</f>
        <v>1000000000000</v>
      </c>
      <c r="BJ177" s="181">
        <f ca="1">IF($D177&lt;&gt;"Serviço",0,IF(AND(AUTOEVENTO="Manual",$M177=1),0,IF(OFFSET(CRONOPLE!$F$14,$M177,BJ$13)="",10^12,OFFSET(CRONOPLE!$F$14,$M177,BJ$13))))</f>
        <v>1000000000000</v>
      </c>
      <c r="BK177" s="181">
        <f ca="1">IF($D177&lt;&gt;"Serviço",0,IF(AND(AUTOEVENTO="Manual",$M177=1),0,IF(OFFSET(CRONOPLE!$F$14,$M177,BK$13)="",10^12,OFFSET(CRONOPLE!$F$14,$M177,BK$13))))</f>
        <v>1000000000000</v>
      </c>
      <c r="BL177" s="181">
        <f ca="1">IF($D177&lt;&gt;"Serviço",0,IF(AND(AUTOEVENTO="Manual",$M177=1),0,IF(OFFSET(CRONOPLE!$F$14,$M177,BL$13)="",10^12,OFFSET(CRONOPLE!$F$14,$M177,BL$13))))</f>
        <v>1000000000000</v>
      </c>
      <c r="BM177" s="181">
        <f ca="1">IF($D177&lt;&gt;"Serviço",0,IF(AND(AUTOEVENTO="Manual",$M177=1),0,IF(OFFSET(CRONOPLE!$F$14,$M177,BM$13)="",10^12,OFFSET(CRONOPLE!$F$14,$M177,BM$13))))</f>
        <v>1000000000000</v>
      </c>
      <c r="BN177" s="181">
        <f ca="1">IF($D177&lt;&gt;"Serviço",0,IF(AND(AUTOEVENTO="Manual",$M177=1),0,IF(OFFSET(CRONOPLE!$F$14,$M177,BN$13)="",10^12,OFFSET(CRONOPLE!$F$14,$M177,BN$13))))</f>
        <v>1000000000000</v>
      </c>
      <c r="BO177" s="181">
        <f ca="1">IF($D177&lt;&gt;"Serviço",0,IF(AND(AUTOEVENTO="Manual",$M177=1),0,IF(OFFSET(CRONOPLE!$F$14,$M177,BO$13)="",10^12,OFFSET(CRONOPLE!$F$14,$M177,BO$13))))</f>
        <v>1000000000000</v>
      </c>
      <c r="BP177" s="181">
        <f ca="1">IF($D177&lt;&gt;"Serviço",0,IF(AND(AUTOEVENTO="Manual",$M177=1),0,IF(OFFSET(CRONOPLE!$F$14,$M177,BP$13)="",10^12,OFFSET(CRONOPLE!$F$14,$M177,BP$13))))</f>
        <v>1000000000000</v>
      </c>
      <c r="BQ177" s="181">
        <f ca="1">IF($D177&lt;&gt;"Serviço",0,IF(AND(AUTOEVENTO="Manual",$M177=1),0,IF(OFFSET(CRONOPLE!$F$14,$M177,BQ$13)="",10^12,OFFSET(CRONOPLE!$F$14,$M177,BQ$13))))</f>
        <v>1000000000000</v>
      </c>
      <c r="BR177" s="181">
        <f ca="1">IF($D177&lt;&gt;"Serviço",0,IF(AND(AUTOEVENTO="Manual",$M177=1),0,IF(OFFSET(CRONOPLE!$F$14,$M177,BR$13)="",10^12,OFFSET(CRONOPLE!$F$14,$M177,BR$13))))</f>
        <v>1000000000000</v>
      </c>
      <c r="BS177" s="181">
        <f ca="1">IF($D177&lt;&gt;"Serviço",0,IF(AND(AUTOEVENTO="Manual",$M177=1),0,IF(OFFSET(CRONOPLE!$F$14,$M177,BS$13)="",10^12,OFFSET(CRONOPLE!$F$14,$M177,BS$13))))</f>
        <v>1000000000000</v>
      </c>
      <c r="BT177" s="181">
        <f ca="1">IF($D177&lt;&gt;"Serviço",0,IF(AND(AUTOEVENTO="Manual",$M177=1),0,IF(OFFSET(CRONOPLE!$F$14,$M177,BT$13)="",10^12,OFFSET(CRONOPLE!$F$14,$M177,BT$13))))</f>
        <v>1000000000000</v>
      </c>
      <c r="BV177" s="182">
        <f ca="1">IF($D177&lt;&gt;"Serviço",0,IF(OR(AND(AUTOEVENTO="Manual",$M177=1),$M177&gt;(ROW(PLE.lastrow)-ROW(PLE.firstrow))),0,IF(OFFSET(PLE!$G$14,$M177,BV$13)="",10^12,OFFSET(PLE!$G$14,$M177,BV$13))))</f>
        <v>1000000000000</v>
      </c>
      <c r="BW177" s="182">
        <f ca="1">IF($D177&lt;&gt;"Serviço",0,IF(OR(AND(AUTOEVENTO="Manual",$M177=1),$M177&gt;(ROW(PLE.lastrow)-ROW(PLE.firstrow))),0,IF(OFFSET(PLE!$G$14,$M177,BW$13)="",10^12,OFFSET(PLE!$G$14,$M177,BW$13))))</f>
        <v>1000000000000</v>
      </c>
      <c r="BX177" s="182">
        <f ca="1">IF($D177&lt;&gt;"Serviço",0,IF(OR(AND(AUTOEVENTO="Manual",$M177=1),$M177&gt;(ROW(PLE.lastrow)-ROW(PLE.firstrow))),0,IF(OFFSET(PLE!$G$14,$M177,BX$13)="",10^12,OFFSET(PLE!$G$14,$M177,BX$13))))</f>
        <v>1000000000000</v>
      </c>
      <c r="BY177" s="182">
        <f ca="1">IF($D177&lt;&gt;"Serviço",0,IF(OR(AND(AUTOEVENTO="Manual",$M177=1),$M177&gt;(ROW(PLE.lastrow)-ROW(PLE.firstrow))),0,IF(OFFSET(PLE!$G$14,$M177,BY$13)="",10^12,OFFSET(PLE!$G$14,$M177,BY$13))))</f>
        <v>1000000000000</v>
      </c>
      <c r="BZ177" s="182">
        <f ca="1">IF($D177&lt;&gt;"Serviço",0,IF(OR(AND(AUTOEVENTO="Manual",$M177=1),$M177&gt;(ROW(PLE.lastrow)-ROW(PLE.firstrow))),0,IF(OFFSET(PLE!$G$14,$M177,BZ$13)="",10^12,OFFSET(PLE!$G$14,$M177,BZ$13))))</f>
        <v>1000000000000</v>
      </c>
      <c r="CA177" s="182">
        <f ca="1">IF($D177&lt;&gt;"Serviço",0,IF(OR(AND(AUTOEVENTO="Manual",$M177=1),$M177&gt;(ROW(PLE.lastrow)-ROW(PLE.firstrow))),0,IF(OFFSET(PLE!$G$14,$M177,CA$13)="",10^12,OFFSET(PLE!$G$14,$M177,CA$13))))</f>
        <v>1000000000000</v>
      </c>
      <c r="CB177" s="182">
        <f ca="1">IF($D177&lt;&gt;"Serviço",0,IF(OR(AND(AUTOEVENTO="Manual",$M177=1),$M177&gt;(ROW(PLE.lastrow)-ROW(PLE.firstrow))),0,IF(OFFSET(PLE!$G$14,$M177,CB$13)="",10^12,OFFSET(PLE!$G$14,$M177,CB$13))))</f>
        <v>1000000000000</v>
      </c>
      <c r="CC177" s="182">
        <f ca="1">IF($D177&lt;&gt;"Serviço",0,IF(OR(AND(AUTOEVENTO="Manual",$M177=1),$M177&gt;(ROW(PLE.lastrow)-ROW(PLE.firstrow))),0,IF(OFFSET(PLE!$G$14,$M177,CC$13)="",10^12,OFFSET(PLE!$G$14,$M177,CC$13))))</f>
        <v>1000000000000</v>
      </c>
      <c r="CD177" s="182">
        <f ca="1">IF($D177&lt;&gt;"Serviço",0,IF(OR(AND(AUTOEVENTO="Manual",$M177=1),$M177&gt;(ROW(PLE.lastrow)-ROW(PLE.firstrow))),0,IF(OFFSET(PLE!$G$14,$M177,CD$13)="",10^12,OFFSET(PLE!$G$14,$M177,CD$13))))</f>
        <v>1000000000000</v>
      </c>
      <c r="CE177" s="182">
        <f ca="1">IF($D177&lt;&gt;"Serviço",0,IF(OR(AND(AUTOEVENTO="Manual",$M177=1),$M177&gt;(ROW(PLE.lastrow)-ROW(PLE.firstrow))),0,IF(OFFSET(PLE!$G$14,$M177,CE$13)="",10^12,OFFSET(PLE!$G$14,$M177,CE$13))))</f>
        <v>1000000000000</v>
      </c>
      <c r="CF177" s="182">
        <f ca="1">IF($D177&lt;&gt;"Serviço",0,IF(OR(AND(AUTOEVENTO="Manual",$M177=1),$M177&gt;(ROW(PLE.lastrow)-ROW(PLE.firstrow))),0,IF(OFFSET(PLE!$G$14,$M177,CF$13)="",10^12,OFFSET(PLE!$G$14,$M177,CF$13))))</f>
        <v>1000000000000</v>
      </c>
      <c r="CG177" s="182">
        <f ca="1">IF($D177&lt;&gt;"Serviço",0,IF(OR(AND(AUTOEVENTO="Manual",$M177=1),$M177&gt;(ROW(PLE.lastrow)-ROW(PLE.firstrow))),0,IF(OFFSET(PLE!$G$14,$M177,CG$13)="",10^12,OFFSET(PLE!$G$14,$M177,CG$13))))</f>
        <v>1000000000000</v>
      </c>
      <c r="CH177" s="182">
        <f ca="1">IF($D177&lt;&gt;"Serviço",0,IF(OR(AND(AUTOEVENTO="Manual",$M177=1),$M177&gt;(ROW(PLE.lastrow)-ROW(PLE.firstrow))),0,IF(OFFSET(PLE!$G$14,$M177,CH$13)="",10^12,OFFSET(PLE!$G$14,$M177,CH$13))))</f>
        <v>1000000000000</v>
      </c>
      <c r="CI177" s="182">
        <f ca="1">IF($D177&lt;&gt;"Serviço",0,IF(OR(AND(AUTOEVENTO="Manual",$M177=1),$M177&gt;(ROW(PLE.lastrow)-ROW(PLE.firstrow))),0,IF(OFFSET(PLE!$G$14,$M177,CI$13)="",10^12,OFFSET(PLE!$G$14,$M177,CI$13))))</f>
        <v>1000000000000</v>
      </c>
      <c r="CJ177" s="182">
        <f ca="1">IF($D177&lt;&gt;"Serviço",0,IF(OR(AND(AUTOEVENTO="Manual",$M177=1),$M177&gt;(ROW(PLE.lastrow)-ROW(PLE.firstrow))),0,IF(OFFSET(PLE!$G$14,$M177,CJ$13)="",10^12,OFFSET(PLE!$G$14,$M177,CJ$13))))</f>
        <v>1000000000000</v>
      </c>
      <c r="CK177" s="182">
        <f ca="1">IF($D177&lt;&gt;"Serviço",0,IF(OR(AND(AUTOEVENTO="Manual",$M177=1),$M177&gt;(ROW(PLE.lastrow)-ROW(PLE.firstrow))),0,IF(OFFSET(PLE!$G$14,$M177,CK$13)="",10^12,OFFSET(PLE!$G$14,$M177,CK$13))))</f>
        <v>1000000000000</v>
      </c>
      <c r="CL177" s="182">
        <f ca="1">IF($D177&lt;&gt;"Serviço",0,IF(OR(AND(AUTOEVENTO="Manual",$M177=1),$M177&gt;(ROW(PLE.lastrow)-ROW(PLE.firstrow))),0,IF(OFFSET(PLE!$G$14,$M177,CL$13)="",10^12,OFFSET(PLE!$G$14,$M177,CL$13))))</f>
        <v>1000000000000</v>
      </c>
      <c r="CM177" s="182">
        <f ca="1">IF($D177&lt;&gt;"Serviço",0,IF(OR(AND(AUTOEVENTO="Manual",$M177=1),$M177&gt;(ROW(PLE.lastrow)-ROW(PLE.firstrow))),0,IF(OFFSET(PLE!$G$14,$M177,CM$13)="",10^12,OFFSET(PLE!$G$14,$M177,CM$13))))</f>
        <v>1000000000000</v>
      </c>
    </row>
    <row r="178" spans="1:91" ht="25.5" x14ac:dyDescent="0.2">
      <c r="A178" s="7" t="str">
        <f t="shared" ca="1" si="12"/>
        <v>161</v>
      </c>
      <c r="B178" s="7" t="str">
        <f ca="1">OFFSET(ORÇAMENTO!C$15,ROW(B178)-ROW(B$15),0)</f>
        <v>S</v>
      </c>
      <c r="C178" s="7" t="str">
        <f ca="1">OFFSET(ORÇAMENTO!L$15,ROW(C178)-ROW(C$15),0)</f>
        <v/>
      </c>
      <c r="D178" s="118" t="str">
        <f ca="1">OFFSET(ORÇAMENTO!N$15,ROW(D178)-ROW(D$15),0)</f>
        <v>Serviço</v>
      </c>
      <c r="E178" s="119" t="str">
        <f ca="1">OFFSET(ORÇAMENTO!O$15,ROW(E178)-ROW(E$15),0)</f>
        <v>-</v>
      </c>
      <c r="F178" s="172" t="str">
        <f ca="1">OFFSET(ORÇAMENTO!R$15,ROW(F178)-ROW(F$15),0)</f>
        <v>(abra o arquivo 'Referência 06-2024.xlsm)</v>
      </c>
      <c r="G178" s="173" t="str">
        <f ca="1">IF($D178&lt;&gt;"Serviço","",OFFSET(ORÇAMENTO!S$15,ROW(G178)-ROW(G$15),0))</f>
        <v>-</v>
      </c>
      <c r="H178" s="124">
        <f ca="1">IF($D178&lt;&gt;"Serviço",0,IF(ACOMPANHAMENTO="BM",ROUND(OFFSET(ORÇAMENTO!AJ$15,ROW(H178)-ROW(H$15),0),15-13*ORÇAMENTO!$AF$7),SUMPRODUCT(($Q$12:$AI$12&lt;&gt;"")*ROUND($Q178:$AI178,15-13*ORÇAMENTO!$AF$7))))</f>
        <v>41.56</v>
      </c>
      <c r="I178" s="561" t="s">
        <v>1107</v>
      </c>
      <c r="K178" s="174"/>
      <c r="L178" s="175" t="s">
        <v>255</v>
      </c>
      <c r="M178" s="176">
        <f ca="1">IF($D178&lt;&gt;"Serviço","",IF(AUTOEVENTO="manual",$A178,IF(ISERROR(MATCH($A178,$A$15:OFFSET($A178,-1,0),0)),MAX($M$15:OFFSET(M178,-1,0))+1,INDEX($M$15:OFFSET(M178,-1,0),MATCH($A178,$A$15:OFFSET($A178,-1,0),0)))))</f>
        <v>26</v>
      </c>
      <c r="N178" s="177" t="str">
        <f ca="1">IF($D178&lt;&gt;"Serviço","",IF(AUTOEVENTO="Manual",IF($A178=0,"&lt;-- defina o número do agrupador",OFFSET(EVENTOS!$D$14,$A178,0)),OFFSET($F$15,$A178,0)))</f>
        <v>IMPERMEABILIZAÇÃO</v>
      </c>
      <c r="O178" s="178"/>
      <c r="Q178" s="178">
        <v>41.56</v>
      </c>
      <c r="R178" s="179"/>
      <c r="S178" s="179"/>
      <c r="T178" s="179"/>
      <c r="U178" s="179"/>
      <c r="V178" s="179"/>
      <c r="W178" s="179"/>
      <c r="X178" s="179"/>
      <c r="Y178" s="179"/>
      <c r="Z178" s="180"/>
      <c r="AA178" s="179"/>
      <c r="AB178" s="179"/>
      <c r="AC178" s="179"/>
      <c r="AD178" s="179"/>
      <c r="AE178" s="179"/>
      <c r="AF178" s="179"/>
      <c r="AG178" s="179"/>
      <c r="AH178" s="180"/>
      <c r="AJ178" s="544">
        <f ca="1">IF(AND($D178="Serviço",AJ$12&lt;&gt;0,$H178&gt;0,OR(AUTOEVENTO&lt;&gt;"manual",$M178&lt;&gt;1)),
IF(Import.TipoArredondamento&lt;&gt;"TransfereGOV",
ROUND(OFFSET($P178,0,AJ$13),15-13*ORÇAMENTO!$AF$7)/$H178*OFFSET(ORÇAMENTO!$X$15,ROW(AJ178)-ROW(AJ$15),0),
ROUND(ROUND(OFFSET($P178,0,AJ$13),15-13*ORÇAMENTO!$AF$7)*OFFSET(ORÇAMENTO!$W$15,ROW(AJ178)-ROW(AJ$15),0),15-13*ORÇAMENTO!$AF$11)),0)</f>
        <v>0</v>
      </c>
      <c r="AK178" s="545">
        <f ca="1">IF(AND($D178="Serviço",AK$12&lt;&gt;0,$H178&gt;0,OR(AUTOEVENTO&lt;&gt;"manual",$M178&lt;&gt;1)),
IF(Import.TipoArredondamento&lt;&gt;"TransfereGOV",
ROUND(OFFSET($P178,0,AK$13),15-13*ORÇAMENTO!$AF$7)/$H178*OFFSET(ORÇAMENTO!$X$15,ROW(AK178)-ROW(AK$15),0),
ROUND(ROUND(OFFSET($P178,0,AK$13),15-13*ORÇAMENTO!$AF$7)*OFFSET(ORÇAMENTO!$W$15,ROW(AK178)-ROW(AK$15),0),15-13*ORÇAMENTO!$AF$11)),0)</f>
        <v>0</v>
      </c>
      <c r="AL178" s="545">
        <f ca="1">IF(AND($D178="Serviço",AL$12&lt;&gt;0,$H178&gt;0,OR(AUTOEVENTO&lt;&gt;"manual",$M178&lt;&gt;1)),
IF(Import.TipoArredondamento&lt;&gt;"TransfereGOV",
ROUND(OFFSET($P178,0,AL$13),15-13*ORÇAMENTO!$AF$7)/$H178*OFFSET(ORÇAMENTO!$X$15,ROW(AL178)-ROW(AL$15),0),
ROUND(ROUND(OFFSET($P178,0,AL$13),15-13*ORÇAMENTO!$AF$7)*OFFSET(ORÇAMENTO!$W$15,ROW(AL178)-ROW(AL$15),0),15-13*ORÇAMENTO!$AF$11)),0)</f>
        <v>0</v>
      </c>
      <c r="AM178" s="545">
        <f ca="1">IF(AND($D178="Serviço",AM$12&lt;&gt;0,$H178&gt;0,OR(AUTOEVENTO&lt;&gt;"manual",$M178&lt;&gt;1)),
IF(Import.TipoArredondamento&lt;&gt;"TransfereGOV",
ROUND(OFFSET($P178,0,AM$13),15-13*ORÇAMENTO!$AF$7)/$H178*OFFSET(ORÇAMENTO!$X$15,ROW(AM178)-ROW(AM$15),0),
ROUND(ROUND(OFFSET($P178,0,AM$13),15-13*ORÇAMENTO!$AF$7)*OFFSET(ORÇAMENTO!$W$15,ROW(AM178)-ROW(AM$15),0),15-13*ORÇAMENTO!$AF$11)),0)</f>
        <v>0</v>
      </c>
      <c r="AN178" s="545">
        <f ca="1">IF(AND($D178="Serviço",AN$12&lt;&gt;0,$H178&gt;0,OR(AUTOEVENTO&lt;&gt;"manual",$M178&lt;&gt;1)),
IF(Import.TipoArredondamento&lt;&gt;"TransfereGOV",
ROUND(OFFSET($P178,0,AN$13),15-13*ORÇAMENTO!$AF$7)/$H178*OFFSET(ORÇAMENTO!$X$15,ROW(AN178)-ROW(AN$15),0),
ROUND(ROUND(OFFSET($P178,0,AN$13),15-13*ORÇAMENTO!$AF$7)*OFFSET(ORÇAMENTO!$W$15,ROW(AN178)-ROW(AN$15),0),15-13*ORÇAMENTO!$AF$11)),0)</f>
        <v>0</v>
      </c>
      <c r="AO178" s="545">
        <f ca="1">IF(AND($D178="Serviço",AO$12&lt;&gt;0,$H178&gt;0,OR(AUTOEVENTO&lt;&gt;"manual",$M178&lt;&gt;1)),
IF(Import.TipoArredondamento&lt;&gt;"TransfereGOV",
ROUND(OFFSET($P178,0,AO$13),15-13*ORÇAMENTO!$AF$7)/$H178*OFFSET(ORÇAMENTO!$X$15,ROW(AO178)-ROW(AO$15),0),
ROUND(ROUND(OFFSET($P178,0,AO$13),15-13*ORÇAMENTO!$AF$7)*OFFSET(ORÇAMENTO!$W$15,ROW(AO178)-ROW(AO$15),0),15-13*ORÇAMENTO!$AF$11)),0)</f>
        <v>0</v>
      </c>
      <c r="AP178" s="545">
        <f ca="1">IF(AND($D178="Serviço",AP$12&lt;&gt;0,$H178&gt;0,OR(AUTOEVENTO&lt;&gt;"manual",$M178&lt;&gt;1)),
IF(Import.TipoArredondamento&lt;&gt;"TransfereGOV",
ROUND(OFFSET($P178,0,AP$13),15-13*ORÇAMENTO!$AF$7)/$H178*OFFSET(ORÇAMENTO!$X$15,ROW(AP178)-ROW(AP$15),0),
ROUND(ROUND(OFFSET($P178,0,AP$13),15-13*ORÇAMENTO!$AF$7)*OFFSET(ORÇAMENTO!$W$15,ROW(AP178)-ROW(AP$15),0),15-13*ORÇAMENTO!$AF$11)),0)</f>
        <v>0</v>
      </c>
      <c r="AQ178" s="545">
        <f ca="1">IF(AND($D178="Serviço",AQ$12&lt;&gt;0,$H178&gt;0,OR(AUTOEVENTO&lt;&gt;"manual",$M178&lt;&gt;1)),
IF(Import.TipoArredondamento&lt;&gt;"TransfereGOV",
ROUND(OFFSET($P178,0,AQ$13),15-13*ORÇAMENTO!$AF$7)/$H178*OFFSET(ORÇAMENTO!$X$15,ROW(AQ178)-ROW(AQ$15),0),
ROUND(ROUND(OFFSET($P178,0,AQ$13),15-13*ORÇAMENTO!$AF$7)*OFFSET(ORÇAMENTO!$W$15,ROW(AQ178)-ROW(AQ$15),0),15-13*ORÇAMENTO!$AF$11)),0)</f>
        <v>0</v>
      </c>
      <c r="AR178" s="545">
        <f ca="1">IF(AND($D178="Serviço",AR$12&lt;&gt;0,$H178&gt;0,OR(AUTOEVENTO&lt;&gt;"manual",$M178&lt;&gt;1)),
IF(Import.TipoArredondamento&lt;&gt;"TransfereGOV",
ROUND(OFFSET($P178,0,AR$13),15-13*ORÇAMENTO!$AF$7)/$H178*OFFSET(ORÇAMENTO!$X$15,ROW(AR178)-ROW(AR$15),0),
ROUND(ROUND(OFFSET($P178,0,AR$13),15-13*ORÇAMENTO!$AF$7)*OFFSET(ORÇAMENTO!$W$15,ROW(AR178)-ROW(AR$15),0),15-13*ORÇAMENTO!$AF$11)),0)</f>
        <v>0</v>
      </c>
      <c r="AS178" s="546">
        <f ca="1">IF(AND($D178="Serviço",AS$12&lt;&gt;0,$H178&gt;0,OR(AUTOEVENTO&lt;&gt;"manual",$M178&lt;&gt;1)),
IF(Import.TipoArredondamento&lt;&gt;"TransfereGOV",
ROUND(OFFSET($P178,0,AS$13),15-13*ORÇAMENTO!$AF$7)/$H178*OFFSET(ORÇAMENTO!$X$15,ROW(AS178)-ROW(AS$15),0),
ROUND(ROUND(OFFSET($P178,0,AS$13),15-13*ORÇAMENTO!$AF$7)*OFFSET(ORÇAMENTO!$W$15,ROW(AS178)-ROW(AS$15),0),15-13*ORÇAMENTO!$AF$11)),0)</f>
        <v>0</v>
      </c>
      <c r="AT178" s="545">
        <f ca="1">IF(AND($D178="Serviço",AT$12&lt;&gt;0,$H178&gt;0,OR(AUTOEVENTO&lt;&gt;"manual",$M178&lt;&gt;1)),
IF(Import.TipoArredondamento&lt;&gt;"TransfereGOV",
ROUND(OFFSET($P178,0,AT$13),15-13*ORÇAMENTO!$AF$7)/$H178*OFFSET(ORÇAMENTO!$X$15,ROW(AT178)-ROW(AT$15),0),
ROUND(ROUND(OFFSET($P178,0,AT$13),15-13*ORÇAMENTO!$AF$7)*OFFSET(ORÇAMENTO!$W$15,ROW(AT178)-ROW(AT$15),0),15-13*ORÇAMENTO!$AF$11)),0)</f>
        <v>0</v>
      </c>
      <c r="AU178" s="545">
        <f ca="1">IF(AND($D178="Serviço",AU$12&lt;&gt;0,$H178&gt;0,OR(AUTOEVENTO&lt;&gt;"manual",$M178&lt;&gt;1)),
IF(Import.TipoArredondamento&lt;&gt;"TransfereGOV",
ROUND(OFFSET($P178,0,AU$13),15-13*ORÇAMENTO!$AF$7)/$H178*OFFSET(ORÇAMENTO!$X$15,ROW(AU178)-ROW(AU$15),0),
ROUND(ROUND(OFFSET($P178,0,AU$13),15-13*ORÇAMENTO!$AF$7)*OFFSET(ORÇAMENTO!$W$15,ROW(AU178)-ROW(AU$15),0),15-13*ORÇAMENTO!$AF$11)),0)</f>
        <v>0</v>
      </c>
      <c r="AV178" s="545">
        <f ca="1">IF(AND($D178="Serviço",AV$12&lt;&gt;0,$H178&gt;0,OR(AUTOEVENTO&lt;&gt;"manual",$M178&lt;&gt;1)),
IF(Import.TipoArredondamento&lt;&gt;"TransfereGOV",
ROUND(OFFSET($P178,0,AV$13),15-13*ORÇAMENTO!$AF$7)/$H178*OFFSET(ORÇAMENTO!$X$15,ROW(AV178)-ROW(AV$15),0),
ROUND(ROUND(OFFSET($P178,0,AV$13),15-13*ORÇAMENTO!$AF$7)*OFFSET(ORÇAMENTO!$W$15,ROW(AV178)-ROW(AV$15),0),15-13*ORÇAMENTO!$AF$11)),0)</f>
        <v>0</v>
      </c>
      <c r="AW178" s="545">
        <f ca="1">IF(AND($D178="Serviço",AW$12&lt;&gt;0,$H178&gt;0,OR(AUTOEVENTO&lt;&gt;"manual",$M178&lt;&gt;1)),
IF(Import.TipoArredondamento&lt;&gt;"TransfereGOV",
ROUND(OFFSET($P178,0,AW$13),15-13*ORÇAMENTO!$AF$7)/$H178*OFFSET(ORÇAMENTO!$X$15,ROW(AW178)-ROW(AW$15),0),
ROUND(ROUND(OFFSET($P178,0,AW$13),15-13*ORÇAMENTO!$AF$7)*OFFSET(ORÇAMENTO!$W$15,ROW(AW178)-ROW(AW$15),0),15-13*ORÇAMENTO!$AF$11)),0)</f>
        <v>0</v>
      </c>
      <c r="AX178" s="545">
        <f ca="1">IF(AND($D178="Serviço",AX$12&lt;&gt;0,$H178&gt;0,OR(AUTOEVENTO&lt;&gt;"manual",$M178&lt;&gt;1)),
IF(Import.TipoArredondamento&lt;&gt;"TransfereGOV",
ROUND(OFFSET($P178,0,AX$13),15-13*ORÇAMENTO!$AF$7)/$H178*OFFSET(ORÇAMENTO!$X$15,ROW(AX178)-ROW(AX$15),0),
ROUND(ROUND(OFFSET($P178,0,AX$13),15-13*ORÇAMENTO!$AF$7)*OFFSET(ORÇAMENTO!$W$15,ROW(AX178)-ROW(AX$15),0),15-13*ORÇAMENTO!$AF$11)),0)</f>
        <v>0</v>
      </c>
      <c r="AY178" s="545">
        <f ca="1">IF(AND($D178="Serviço",AY$12&lt;&gt;0,$H178&gt;0,OR(AUTOEVENTO&lt;&gt;"manual",$M178&lt;&gt;1)),
IF(Import.TipoArredondamento&lt;&gt;"TransfereGOV",
ROUND(OFFSET($P178,0,AY$13),15-13*ORÇAMENTO!$AF$7)/$H178*OFFSET(ORÇAMENTO!$X$15,ROW(AY178)-ROW(AY$15),0),
ROUND(ROUND(OFFSET($P178,0,AY$13),15-13*ORÇAMENTO!$AF$7)*OFFSET(ORÇAMENTO!$W$15,ROW(AY178)-ROW(AY$15),0),15-13*ORÇAMENTO!$AF$11)),0)</f>
        <v>0</v>
      </c>
      <c r="AZ178" s="545">
        <f ca="1">IF(AND($D178="Serviço",AZ$12&lt;&gt;0,$H178&gt;0,OR(AUTOEVENTO&lt;&gt;"manual",$M178&lt;&gt;1)),
IF(Import.TipoArredondamento&lt;&gt;"TransfereGOV",
ROUND(OFFSET($P178,0,AZ$13),15-13*ORÇAMENTO!$AF$7)/$H178*OFFSET(ORÇAMENTO!$X$15,ROW(AZ178)-ROW(AZ$15),0),
ROUND(ROUND(OFFSET($P178,0,AZ$13),15-13*ORÇAMENTO!$AF$7)*OFFSET(ORÇAMENTO!$W$15,ROW(AZ178)-ROW(AZ$15),0),15-13*ORÇAMENTO!$AF$11)),0)</f>
        <v>0</v>
      </c>
      <c r="BA178" s="546">
        <f ca="1">IF(AND($D178="Serviço",BA$12&lt;&gt;0,$H178&gt;0,OR(AUTOEVENTO&lt;&gt;"manual",$M178&lt;&gt;1)),
IF(Import.TipoArredondamento&lt;&gt;"TransfereGOV",
ROUND(OFFSET($P178,0,BA$13),15-13*ORÇAMENTO!$AF$7)/$H178*OFFSET(ORÇAMENTO!$X$15,ROW(BA178)-ROW(BA$15),0),
ROUND(ROUND(OFFSET($P178,0,BA$13),15-13*ORÇAMENTO!$AF$7)*OFFSET(ORÇAMENTO!$W$15,ROW(BA178)-ROW(BA$15),0),15-13*ORÇAMENTO!$AF$11)),0)</f>
        <v>0</v>
      </c>
      <c r="BC178" s="181">
        <f ca="1">IF($D178&lt;&gt;"Serviço",0,IF(AND(AUTOEVENTO="Manual",$M178=1),0,IF(OFFSET(CRONOPLE!$F$14,$M178,BC$13)="",10^12,OFFSET(CRONOPLE!$F$14,$M178,BC$13))))</f>
        <v>7</v>
      </c>
      <c r="BD178" s="181">
        <f ca="1">IF($D178&lt;&gt;"Serviço",0,IF(AND(AUTOEVENTO="Manual",$M178=1),0,IF(OFFSET(CRONOPLE!$F$14,$M178,BD$13)="",10^12,OFFSET(CRONOPLE!$F$14,$M178,BD$13))))</f>
        <v>1000000000000</v>
      </c>
      <c r="BE178" s="181">
        <f ca="1">IF($D178&lt;&gt;"Serviço",0,IF(AND(AUTOEVENTO="Manual",$M178=1),0,IF(OFFSET(CRONOPLE!$F$14,$M178,BE$13)="",10^12,OFFSET(CRONOPLE!$F$14,$M178,BE$13))))</f>
        <v>1000000000000</v>
      </c>
      <c r="BF178" s="181">
        <f ca="1">IF($D178&lt;&gt;"Serviço",0,IF(AND(AUTOEVENTO="Manual",$M178=1),0,IF(OFFSET(CRONOPLE!$F$14,$M178,BF$13)="",10^12,OFFSET(CRONOPLE!$F$14,$M178,BF$13))))</f>
        <v>1000000000000</v>
      </c>
      <c r="BG178" s="181">
        <f ca="1">IF($D178&lt;&gt;"Serviço",0,IF(AND(AUTOEVENTO="Manual",$M178=1),0,IF(OFFSET(CRONOPLE!$F$14,$M178,BG$13)="",10^12,OFFSET(CRONOPLE!$F$14,$M178,BG$13))))</f>
        <v>1000000000000</v>
      </c>
      <c r="BH178" s="181">
        <f ca="1">IF($D178&lt;&gt;"Serviço",0,IF(AND(AUTOEVENTO="Manual",$M178=1),0,IF(OFFSET(CRONOPLE!$F$14,$M178,BH$13)="",10^12,OFFSET(CRONOPLE!$F$14,$M178,BH$13))))</f>
        <v>1000000000000</v>
      </c>
      <c r="BI178" s="181">
        <f ca="1">IF($D178&lt;&gt;"Serviço",0,IF(AND(AUTOEVENTO="Manual",$M178=1),0,IF(OFFSET(CRONOPLE!$F$14,$M178,BI$13)="",10^12,OFFSET(CRONOPLE!$F$14,$M178,BI$13))))</f>
        <v>1000000000000</v>
      </c>
      <c r="BJ178" s="181">
        <f ca="1">IF($D178&lt;&gt;"Serviço",0,IF(AND(AUTOEVENTO="Manual",$M178=1),0,IF(OFFSET(CRONOPLE!$F$14,$M178,BJ$13)="",10^12,OFFSET(CRONOPLE!$F$14,$M178,BJ$13))))</f>
        <v>1000000000000</v>
      </c>
      <c r="BK178" s="181">
        <f ca="1">IF($D178&lt;&gt;"Serviço",0,IF(AND(AUTOEVENTO="Manual",$M178=1),0,IF(OFFSET(CRONOPLE!$F$14,$M178,BK$13)="",10^12,OFFSET(CRONOPLE!$F$14,$M178,BK$13))))</f>
        <v>1000000000000</v>
      </c>
      <c r="BL178" s="181">
        <f ca="1">IF($D178&lt;&gt;"Serviço",0,IF(AND(AUTOEVENTO="Manual",$M178=1),0,IF(OFFSET(CRONOPLE!$F$14,$M178,BL$13)="",10^12,OFFSET(CRONOPLE!$F$14,$M178,BL$13))))</f>
        <v>1000000000000</v>
      </c>
      <c r="BM178" s="181">
        <f ca="1">IF($D178&lt;&gt;"Serviço",0,IF(AND(AUTOEVENTO="Manual",$M178=1),0,IF(OFFSET(CRONOPLE!$F$14,$M178,BM$13)="",10^12,OFFSET(CRONOPLE!$F$14,$M178,BM$13))))</f>
        <v>1000000000000</v>
      </c>
      <c r="BN178" s="181">
        <f ca="1">IF($D178&lt;&gt;"Serviço",0,IF(AND(AUTOEVENTO="Manual",$M178=1),0,IF(OFFSET(CRONOPLE!$F$14,$M178,BN$13)="",10^12,OFFSET(CRONOPLE!$F$14,$M178,BN$13))))</f>
        <v>1000000000000</v>
      </c>
      <c r="BO178" s="181">
        <f ca="1">IF($D178&lt;&gt;"Serviço",0,IF(AND(AUTOEVENTO="Manual",$M178=1),0,IF(OFFSET(CRONOPLE!$F$14,$M178,BO$13)="",10^12,OFFSET(CRONOPLE!$F$14,$M178,BO$13))))</f>
        <v>1000000000000</v>
      </c>
      <c r="BP178" s="181">
        <f ca="1">IF($D178&lt;&gt;"Serviço",0,IF(AND(AUTOEVENTO="Manual",$M178=1),0,IF(OFFSET(CRONOPLE!$F$14,$M178,BP$13)="",10^12,OFFSET(CRONOPLE!$F$14,$M178,BP$13))))</f>
        <v>1000000000000</v>
      </c>
      <c r="BQ178" s="181">
        <f ca="1">IF($D178&lt;&gt;"Serviço",0,IF(AND(AUTOEVENTO="Manual",$M178=1),0,IF(OFFSET(CRONOPLE!$F$14,$M178,BQ$13)="",10^12,OFFSET(CRONOPLE!$F$14,$M178,BQ$13))))</f>
        <v>1000000000000</v>
      </c>
      <c r="BR178" s="181">
        <f ca="1">IF($D178&lt;&gt;"Serviço",0,IF(AND(AUTOEVENTO="Manual",$M178=1),0,IF(OFFSET(CRONOPLE!$F$14,$M178,BR$13)="",10^12,OFFSET(CRONOPLE!$F$14,$M178,BR$13))))</f>
        <v>1000000000000</v>
      </c>
      <c r="BS178" s="181">
        <f ca="1">IF($D178&lt;&gt;"Serviço",0,IF(AND(AUTOEVENTO="Manual",$M178=1),0,IF(OFFSET(CRONOPLE!$F$14,$M178,BS$13)="",10^12,OFFSET(CRONOPLE!$F$14,$M178,BS$13))))</f>
        <v>1000000000000</v>
      </c>
      <c r="BT178" s="181">
        <f ca="1">IF($D178&lt;&gt;"Serviço",0,IF(AND(AUTOEVENTO="Manual",$M178=1),0,IF(OFFSET(CRONOPLE!$F$14,$M178,BT$13)="",10^12,OFFSET(CRONOPLE!$F$14,$M178,BT$13))))</f>
        <v>1000000000000</v>
      </c>
      <c r="BV178" s="182">
        <f ca="1">IF($D178&lt;&gt;"Serviço",0,IF(OR(AND(AUTOEVENTO="Manual",$M178=1),$M178&gt;(ROW(PLE.lastrow)-ROW(PLE.firstrow))),0,IF(OFFSET(PLE!$G$14,$M178,BV$13)="",10^12,OFFSET(PLE!$G$14,$M178,BV$13))))</f>
        <v>1000000000000</v>
      </c>
      <c r="BW178" s="182">
        <f ca="1">IF($D178&lt;&gt;"Serviço",0,IF(OR(AND(AUTOEVENTO="Manual",$M178=1),$M178&gt;(ROW(PLE.lastrow)-ROW(PLE.firstrow))),0,IF(OFFSET(PLE!$G$14,$M178,BW$13)="",10^12,OFFSET(PLE!$G$14,$M178,BW$13))))</f>
        <v>1000000000000</v>
      </c>
      <c r="BX178" s="182">
        <f ca="1">IF($D178&lt;&gt;"Serviço",0,IF(OR(AND(AUTOEVENTO="Manual",$M178=1),$M178&gt;(ROW(PLE.lastrow)-ROW(PLE.firstrow))),0,IF(OFFSET(PLE!$G$14,$M178,BX$13)="",10^12,OFFSET(PLE!$G$14,$M178,BX$13))))</f>
        <v>1000000000000</v>
      </c>
      <c r="BY178" s="182">
        <f ca="1">IF($D178&lt;&gt;"Serviço",0,IF(OR(AND(AUTOEVENTO="Manual",$M178=1),$M178&gt;(ROW(PLE.lastrow)-ROW(PLE.firstrow))),0,IF(OFFSET(PLE!$G$14,$M178,BY$13)="",10^12,OFFSET(PLE!$G$14,$M178,BY$13))))</f>
        <v>1000000000000</v>
      </c>
      <c r="BZ178" s="182">
        <f ca="1">IF($D178&lt;&gt;"Serviço",0,IF(OR(AND(AUTOEVENTO="Manual",$M178=1),$M178&gt;(ROW(PLE.lastrow)-ROW(PLE.firstrow))),0,IF(OFFSET(PLE!$G$14,$M178,BZ$13)="",10^12,OFFSET(PLE!$G$14,$M178,BZ$13))))</f>
        <v>1000000000000</v>
      </c>
      <c r="CA178" s="182">
        <f ca="1">IF($D178&lt;&gt;"Serviço",0,IF(OR(AND(AUTOEVENTO="Manual",$M178=1),$M178&gt;(ROW(PLE.lastrow)-ROW(PLE.firstrow))),0,IF(OFFSET(PLE!$G$14,$M178,CA$13)="",10^12,OFFSET(PLE!$G$14,$M178,CA$13))))</f>
        <v>1000000000000</v>
      </c>
      <c r="CB178" s="182">
        <f ca="1">IF($D178&lt;&gt;"Serviço",0,IF(OR(AND(AUTOEVENTO="Manual",$M178=1),$M178&gt;(ROW(PLE.lastrow)-ROW(PLE.firstrow))),0,IF(OFFSET(PLE!$G$14,$M178,CB$13)="",10^12,OFFSET(PLE!$G$14,$M178,CB$13))))</f>
        <v>1000000000000</v>
      </c>
      <c r="CC178" s="182">
        <f ca="1">IF($D178&lt;&gt;"Serviço",0,IF(OR(AND(AUTOEVENTO="Manual",$M178=1),$M178&gt;(ROW(PLE.lastrow)-ROW(PLE.firstrow))),0,IF(OFFSET(PLE!$G$14,$M178,CC$13)="",10^12,OFFSET(PLE!$G$14,$M178,CC$13))))</f>
        <v>1000000000000</v>
      </c>
      <c r="CD178" s="182">
        <f ca="1">IF($D178&lt;&gt;"Serviço",0,IF(OR(AND(AUTOEVENTO="Manual",$M178=1),$M178&gt;(ROW(PLE.lastrow)-ROW(PLE.firstrow))),0,IF(OFFSET(PLE!$G$14,$M178,CD$13)="",10^12,OFFSET(PLE!$G$14,$M178,CD$13))))</f>
        <v>1000000000000</v>
      </c>
      <c r="CE178" s="182">
        <f ca="1">IF($D178&lt;&gt;"Serviço",0,IF(OR(AND(AUTOEVENTO="Manual",$M178=1),$M178&gt;(ROW(PLE.lastrow)-ROW(PLE.firstrow))),0,IF(OFFSET(PLE!$G$14,$M178,CE$13)="",10^12,OFFSET(PLE!$G$14,$M178,CE$13))))</f>
        <v>1000000000000</v>
      </c>
      <c r="CF178" s="182">
        <f ca="1">IF($D178&lt;&gt;"Serviço",0,IF(OR(AND(AUTOEVENTO="Manual",$M178=1),$M178&gt;(ROW(PLE.lastrow)-ROW(PLE.firstrow))),0,IF(OFFSET(PLE!$G$14,$M178,CF$13)="",10^12,OFFSET(PLE!$G$14,$M178,CF$13))))</f>
        <v>1000000000000</v>
      </c>
      <c r="CG178" s="182">
        <f ca="1">IF($D178&lt;&gt;"Serviço",0,IF(OR(AND(AUTOEVENTO="Manual",$M178=1),$M178&gt;(ROW(PLE.lastrow)-ROW(PLE.firstrow))),0,IF(OFFSET(PLE!$G$14,$M178,CG$13)="",10^12,OFFSET(PLE!$G$14,$M178,CG$13))))</f>
        <v>1000000000000</v>
      </c>
      <c r="CH178" s="182">
        <f ca="1">IF($D178&lt;&gt;"Serviço",0,IF(OR(AND(AUTOEVENTO="Manual",$M178=1),$M178&gt;(ROW(PLE.lastrow)-ROW(PLE.firstrow))),0,IF(OFFSET(PLE!$G$14,$M178,CH$13)="",10^12,OFFSET(PLE!$G$14,$M178,CH$13))))</f>
        <v>1000000000000</v>
      </c>
      <c r="CI178" s="182">
        <f ca="1">IF($D178&lt;&gt;"Serviço",0,IF(OR(AND(AUTOEVENTO="Manual",$M178=1),$M178&gt;(ROW(PLE.lastrow)-ROW(PLE.firstrow))),0,IF(OFFSET(PLE!$G$14,$M178,CI$13)="",10^12,OFFSET(PLE!$G$14,$M178,CI$13))))</f>
        <v>1000000000000</v>
      </c>
      <c r="CJ178" s="182">
        <f ca="1">IF($D178&lt;&gt;"Serviço",0,IF(OR(AND(AUTOEVENTO="Manual",$M178=1),$M178&gt;(ROW(PLE.lastrow)-ROW(PLE.firstrow))),0,IF(OFFSET(PLE!$G$14,$M178,CJ$13)="",10^12,OFFSET(PLE!$G$14,$M178,CJ$13))))</f>
        <v>1000000000000</v>
      </c>
      <c r="CK178" s="182">
        <f ca="1">IF($D178&lt;&gt;"Serviço",0,IF(OR(AND(AUTOEVENTO="Manual",$M178=1),$M178&gt;(ROW(PLE.lastrow)-ROW(PLE.firstrow))),0,IF(OFFSET(PLE!$G$14,$M178,CK$13)="",10^12,OFFSET(PLE!$G$14,$M178,CK$13))))</f>
        <v>1000000000000</v>
      </c>
      <c r="CL178" s="182">
        <f ca="1">IF($D178&lt;&gt;"Serviço",0,IF(OR(AND(AUTOEVENTO="Manual",$M178=1),$M178&gt;(ROW(PLE.lastrow)-ROW(PLE.firstrow))),0,IF(OFFSET(PLE!$G$14,$M178,CL$13)="",10^12,OFFSET(PLE!$G$14,$M178,CL$13))))</f>
        <v>1000000000000</v>
      </c>
      <c r="CM178" s="182">
        <f ca="1">IF($D178&lt;&gt;"Serviço",0,IF(OR(AND(AUTOEVENTO="Manual",$M178=1),$M178&gt;(ROW(PLE.lastrow)-ROW(PLE.firstrow))),0,IF(OFFSET(PLE!$G$14,$M178,CM$13)="",10^12,OFFSET(PLE!$G$14,$M178,CM$13))))</f>
        <v>1000000000000</v>
      </c>
    </row>
    <row r="179" spans="1:91" ht="25.5" x14ac:dyDescent="0.2">
      <c r="A179" s="7" t="str">
        <f t="shared" ca="1" si="12"/>
        <v>161</v>
      </c>
      <c r="B179" s="7" t="str">
        <f ca="1">OFFSET(ORÇAMENTO!C$15,ROW(B179)-ROW(B$15),0)</f>
        <v>S</v>
      </c>
      <c r="C179" s="7" t="str">
        <f ca="1">OFFSET(ORÇAMENTO!L$15,ROW(C179)-ROW(C$15),0)</f>
        <v/>
      </c>
      <c r="D179" s="118" t="str">
        <f ca="1">OFFSET(ORÇAMENTO!N$15,ROW(D179)-ROW(D$15),0)</f>
        <v>Serviço</v>
      </c>
      <c r="E179" s="119" t="str">
        <f ca="1">OFFSET(ORÇAMENTO!O$15,ROW(E179)-ROW(E$15),0)</f>
        <v>-</v>
      </c>
      <c r="F179" s="172" t="str">
        <f ca="1">OFFSET(ORÇAMENTO!R$15,ROW(F179)-ROW(F$15),0)</f>
        <v>(abra o arquivo 'Referência 06-2024.xlsm)</v>
      </c>
      <c r="G179" s="173" t="str">
        <f ca="1">IF($D179&lt;&gt;"Serviço","",OFFSET(ORÇAMENTO!S$15,ROW(G179)-ROW(G$15),0))</f>
        <v>-</v>
      </c>
      <c r="H179" s="124">
        <f ca="1">IF($D179&lt;&gt;"Serviço",0,IF(ACOMPANHAMENTO="BM",ROUND(OFFSET(ORÇAMENTO!AJ$15,ROW(H179)-ROW(H$15),0),15-13*ORÇAMENTO!$AF$7),SUMPRODUCT(($Q$12:$AI$12&lt;&gt;"")*ROUND($Q179:$AI179,15-13*ORÇAMENTO!$AF$7))))</f>
        <v>179.11</v>
      </c>
      <c r="I179" s="561" t="s">
        <v>1107</v>
      </c>
      <c r="K179" s="174"/>
      <c r="L179" s="175" t="s">
        <v>255</v>
      </c>
      <c r="M179" s="176">
        <f ca="1">IF($D179&lt;&gt;"Serviço","",IF(AUTOEVENTO="manual",$A179,IF(ISERROR(MATCH($A179,$A$15:OFFSET($A179,-1,0),0)),MAX($M$15:OFFSET(M179,-1,0))+1,INDEX($M$15:OFFSET(M179,-1,0),MATCH($A179,$A$15:OFFSET($A179,-1,0),0)))))</f>
        <v>26</v>
      </c>
      <c r="N179" s="177" t="str">
        <f ca="1">IF($D179&lt;&gt;"Serviço","",IF(AUTOEVENTO="Manual",IF($A179=0,"&lt;-- defina o número do agrupador",OFFSET(EVENTOS!$D$14,$A179,0)),OFFSET($F$15,$A179,0)))</f>
        <v>IMPERMEABILIZAÇÃO</v>
      </c>
      <c r="O179" s="178"/>
      <c r="Q179" s="178">
        <v>179.11</v>
      </c>
      <c r="R179" s="179"/>
      <c r="S179" s="179"/>
      <c r="T179" s="179"/>
      <c r="U179" s="179"/>
      <c r="V179" s="179"/>
      <c r="W179" s="179"/>
      <c r="X179" s="179"/>
      <c r="Y179" s="179"/>
      <c r="Z179" s="180"/>
      <c r="AA179" s="179"/>
      <c r="AB179" s="179"/>
      <c r="AC179" s="179"/>
      <c r="AD179" s="179"/>
      <c r="AE179" s="179"/>
      <c r="AF179" s="179"/>
      <c r="AG179" s="179"/>
      <c r="AH179" s="180"/>
      <c r="AJ179" s="544">
        <f ca="1">IF(AND($D179="Serviço",AJ$12&lt;&gt;0,$H179&gt;0,OR(AUTOEVENTO&lt;&gt;"manual",$M179&lt;&gt;1)),
IF(Import.TipoArredondamento&lt;&gt;"TransfereGOV",
ROUND(OFFSET($P179,0,AJ$13),15-13*ORÇAMENTO!$AF$7)/$H179*OFFSET(ORÇAMENTO!$X$15,ROW(AJ179)-ROW(AJ$15),0),
ROUND(ROUND(OFFSET($P179,0,AJ$13),15-13*ORÇAMENTO!$AF$7)*OFFSET(ORÇAMENTO!$W$15,ROW(AJ179)-ROW(AJ$15),0),15-13*ORÇAMENTO!$AF$11)),0)</f>
        <v>0</v>
      </c>
      <c r="AK179" s="545">
        <f ca="1">IF(AND($D179="Serviço",AK$12&lt;&gt;0,$H179&gt;0,OR(AUTOEVENTO&lt;&gt;"manual",$M179&lt;&gt;1)),
IF(Import.TipoArredondamento&lt;&gt;"TransfereGOV",
ROUND(OFFSET($P179,0,AK$13),15-13*ORÇAMENTO!$AF$7)/$H179*OFFSET(ORÇAMENTO!$X$15,ROW(AK179)-ROW(AK$15),0),
ROUND(ROUND(OFFSET($P179,0,AK$13),15-13*ORÇAMENTO!$AF$7)*OFFSET(ORÇAMENTO!$W$15,ROW(AK179)-ROW(AK$15),0),15-13*ORÇAMENTO!$AF$11)),0)</f>
        <v>0</v>
      </c>
      <c r="AL179" s="545">
        <f ca="1">IF(AND($D179="Serviço",AL$12&lt;&gt;0,$H179&gt;0,OR(AUTOEVENTO&lt;&gt;"manual",$M179&lt;&gt;1)),
IF(Import.TipoArredondamento&lt;&gt;"TransfereGOV",
ROUND(OFFSET($P179,0,AL$13),15-13*ORÇAMENTO!$AF$7)/$H179*OFFSET(ORÇAMENTO!$X$15,ROW(AL179)-ROW(AL$15),0),
ROUND(ROUND(OFFSET($P179,0,AL$13),15-13*ORÇAMENTO!$AF$7)*OFFSET(ORÇAMENTO!$W$15,ROW(AL179)-ROW(AL$15),0),15-13*ORÇAMENTO!$AF$11)),0)</f>
        <v>0</v>
      </c>
      <c r="AM179" s="545">
        <f ca="1">IF(AND($D179="Serviço",AM$12&lt;&gt;0,$H179&gt;0,OR(AUTOEVENTO&lt;&gt;"manual",$M179&lt;&gt;1)),
IF(Import.TipoArredondamento&lt;&gt;"TransfereGOV",
ROUND(OFFSET($P179,0,AM$13),15-13*ORÇAMENTO!$AF$7)/$H179*OFFSET(ORÇAMENTO!$X$15,ROW(AM179)-ROW(AM$15),0),
ROUND(ROUND(OFFSET($P179,0,AM$13),15-13*ORÇAMENTO!$AF$7)*OFFSET(ORÇAMENTO!$W$15,ROW(AM179)-ROW(AM$15),0),15-13*ORÇAMENTO!$AF$11)),0)</f>
        <v>0</v>
      </c>
      <c r="AN179" s="545">
        <f ca="1">IF(AND($D179="Serviço",AN$12&lt;&gt;0,$H179&gt;0,OR(AUTOEVENTO&lt;&gt;"manual",$M179&lt;&gt;1)),
IF(Import.TipoArredondamento&lt;&gt;"TransfereGOV",
ROUND(OFFSET($P179,0,AN$13),15-13*ORÇAMENTO!$AF$7)/$H179*OFFSET(ORÇAMENTO!$X$15,ROW(AN179)-ROW(AN$15),0),
ROUND(ROUND(OFFSET($P179,0,AN$13),15-13*ORÇAMENTO!$AF$7)*OFFSET(ORÇAMENTO!$W$15,ROW(AN179)-ROW(AN$15),0),15-13*ORÇAMENTO!$AF$11)),0)</f>
        <v>0</v>
      </c>
      <c r="AO179" s="545">
        <f ca="1">IF(AND($D179="Serviço",AO$12&lt;&gt;0,$H179&gt;0,OR(AUTOEVENTO&lt;&gt;"manual",$M179&lt;&gt;1)),
IF(Import.TipoArredondamento&lt;&gt;"TransfereGOV",
ROUND(OFFSET($P179,0,AO$13),15-13*ORÇAMENTO!$AF$7)/$H179*OFFSET(ORÇAMENTO!$X$15,ROW(AO179)-ROW(AO$15),0),
ROUND(ROUND(OFFSET($P179,0,AO$13),15-13*ORÇAMENTO!$AF$7)*OFFSET(ORÇAMENTO!$W$15,ROW(AO179)-ROW(AO$15),0),15-13*ORÇAMENTO!$AF$11)),0)</f>
        <v>0</v>
      </c>
      <c r="AP179" s="545">
        <f ca="1">IF(AND($D179="Serviço",AP$12&lt;&gt;0,$H179&gt;0,OR(AUTOEVENTO&lt;&gt;"manual",$M179&lt;&gt;1)),
IF(Import.TipoArredondamento&lt;&gt;"TransfereGOV",
ROUND(OFFSET($P179,0,AP$13),15-13*ORÇAMENTO!$AF$7)/$H179*OFFSET(ORÇAMENTO!$X$15,ROW(AP179)-ROW(AP$15),0),
ROUND(ROUND(OFFSET($P179,0,AP$13),15-13*ORÇAMENTO!$AF$7)*OFFSET(ORÇAMENTO!$W$15,ROW(AP179)-ROW(AP$15),0),15-13*ORÇAMENTO!$AF$11)),0)</f>
        <v>0</v>
      </c>
      <c r="AQ179" s="545">
        <f ca="1">IF(AND($D179="Serviço",AQ$12&lt;&gt;0,$H179&gt;0,OR(AUTOEVENTO&lt;&gt;"manual",$M179&lt;&gt;1)),
IF(Import.TipoArredondamento&lt;&gt;"TransfereGOV",
ROUND(OFFSET($P179,0,AQ$13),15-13*ORÇAMENTO!$AF$7)/$H179*OFFSET(ORÇAMENTO!$X$15,ROW(AQ179)-ROW(AQ$15),0),
ROUND(ROUND(OFFSET($P179,0,AQ$13),15-13*ORÇAMENTO!$AF$7)*OFFSET(ORÇAMENTO!$W$15,ROW(AQ179)-ROW(AQ$15),0),15-13*ORÇAMENTO!$AF$11)),0)</f>
        <v>0</v>
      </c>
      <c r="AR179" s="545">
        <f ca="1">IF(AND($D179="Serviço",AR$12&lt;&gt;0,$H179&gt;0,OR(AUTOEVENTO&lt;&gt;"manual",$M179&lt;&gt;1)),
IF(Import.TipoArredondamento&lt;&gt;"TransfereGOV",
ROUND(OFFSET($P179,0,AR$13),15-13*ORÇAMENTO!$AF$7)/$H179*OFFSET(ORÇAMENTO!$X$15,ROW(AR179)-ROW(AR$15),0),
ROUND(ROUND(OFFSET($P179,0,AR$13),15-13*ORÇAMENTO!$AF$7)*OFFSET(ORÇAMENTO!$W$15,ROW(AR179)-ROW(AR$15),0),15-13*ORÇAMENTO!$AF$11)),0)</f>
        <v>0</v>
      </c>
      <c r="AS179" s="546">
        <f ca="1">IF(AND($D179="Serviço",AS$12&lt;&gt;0,$H179&gt;0,OR(AUTOEVENTO&lt;&gt;"manual",$M179&lt;&gt;1)),
IF(Import.TipoArredondamento&lt;&gt;"TransfereGOV",
ROUND(OFFSET($P179,0,AS$13),15-13*ORÇAMENTO!$AF$7)/$H179*OFFSET(ORÇAMENTO!$X$15,ROW(AS179)-ROW(AS$15),0),
ROUND(ROUND(OFFSET($P179,0,AS$13),15-13*ORÇAMENTO!$AF$7)*OFFSET(ORÇAMENTO!$W$15,ROW(AS179)-ROW(AS$15),0),15-13*ORÇAMENTO!$AF$11)),0)</f>
        <v>0</v>
      </c>
      <c r="AT179" s="545">
        <f ca="1">IF(AND($D179="Serviço",AT$12&lt;&gt;0,$H179&gt;0,OR(AUTOEVENTO&lt;&gt;"manual",$M179&lt;&gt;1)),
IF(Import.TipoArredondamento&lt;&gt;"TransfereGOV",
ROUND(OFFSET($P179,0,AT$13),15-13*ORÇAMENTO!$AF$7)/$H179*OFFSET(ORÇAMENTO!$X$15,ROW(AT179)-ROW(AT$15),0),
ROUND(ROUND(OFFSET($P179,0,AT$13),15-13*ORÇAMENTO!$AF$7)*OFFSET(ORÇAMENTO!$W$15,ROW(AT179)-ROW(AT$15),0),15-13*ORÇAMENTO!$AF$11)),0)</f>
        <v>0</v>
      </c>
      <c r="AU179" s="545">
        <f ca="1">IF(AND($D179="Serviço",AU$12&lt;&gt;0,$H179&gt;0,OR(AUTOEVENTO&lt;&gt;"manual",$M179&lt;&gt;1)),
IF(Import.TipoArredondamento&lt;&gt;"TransfereGOV",
ROUND(OFFSET($P179,0,AU$13),15-13*ORÇAMENTO!$AF$7)/$H179*OFFSET(ORÇAMENTO!$X$15,ROW(AU179)-ROW(AU$15),0),
ROUND(ROUND(OFFSET($P179,0,AU$13),15-13*ORÇAMENTO!$AF$7)*OFFSET(ORÇAMENTO!$W$15,ROW(AU179)-ROW(AU$15),0),15-13*ORÇAMENTO!$AF$11)),0)</f>
        <v>0</v>
      </c>
      <c r="AV179" s="545">
        <f ca="1">IF(AND($D179="Serviço",AV$12&lt;&gt;0,$H179&gt;0,OR(AUTOEVENTO&lt;&gt;"manual",$M179&lt;&gt;1)),
IF(Import.TipoArredondamento&lt;&gt;"TransfereGOV",
ROUND(OFFSET($P179,0,AV$13),15-13*ORÇAMENTO!$AF$7)/$H179*OFFSET(ORÇAMENTO!$X$15,ROW(AV179)-ROW(AV$15),0),
ROUND(ROUND(OFFSET($P179,0,AV$13),15-13*ORÇAMENTO!$AF$7)*OFFSET(ORÇAMENTO!$W$15,ROW(AV179)-ROW(AV$15),0),15-13*ORÇAMENTO!$AF$11)),0)</f>
        <v>0</v>
      </c>
      <c r="AW179" s="545">
        <f ca="1">IF(AND($D179="Serviço",AW$12&lt;&gt;0,$H179&gt;0,OR(AUTOEVENTO&lt;&gt;"manual",$M179&lt;&gt;1)),
IF(Import.TipoArredondamento&lt;&gt;"TransfereGOV",
ROUND(OFFSET($P179,0,AW$13),15-13*ORÇAMENTO!$AF$7)/$H179*OFFSET(ORÇAMENTO!$X$15,ROW(AW179)-ROW(AW$15),0),
ROUND(ROUND(OFFSET($P179,0,AW$13),15-13*ORÇAMENTO!$AF$7)*OFFSET(ORÇAMENTO!$W$15,ROW(AW179)-ROW(AW$15),0),15-13*ORÇAMENTO!$AF$11)),0)</f>
        <v>0</v>
      </c>
      <c r="AX179" s="545">
        <f ca="1">IF(AND($D179="Serviço",AX$12&lt;&gt;0,$H179&gt;0,OR(AUTOEVENTO&lt;&gt;"manual",$M179&lt;&gt;1)),
IF(Import.TipoArredondamento&lt;&gt;"TransfereGOV",
ROUND(OFFSET($P179,0,AX$13),15-13*ORÇAMENTO!$AF$7)/$H179*OFFSET(ORÇAMENTO!$X$15,ROW(AX179)-ROW(AX$15),0),
ROUND(ROUND(OFFSET($P179,0,AX$13),15-13*ORÇAMENTO!$AF$7)*OFFSET(ORÇAMENTO!$W$15,ROW(AX179)-ROW(AX$15),0),15-13*ORÇAMENTO!$AF$11)),0)</f>
        <v>0</v>
      </c>
      <c r="AY179" s="545">
        <f ca="1">IF(AND($D179="Serviço",AY$12&lt;&gt;0,$H179&gt;0,OR(AUTOEVENTO&lt;&gt;"manual",$M179&lt;&gt;1)),
IF(Import.TipoArredondamento&lt;&gt;"TransfereGOV",
ROUND(OFFSET($P179,0,AY$13),15-13*ORÇAMENTO!$AF$7)/$H179*OFFSET(ORÇAMENTO!$X$15,ROW(AY179)-ROW(AY$15),0),
ROUND(ROUND(OFFSET($P179,0,AY$13),15-13*ORÇAMENTO!$AF$7)*OFFSET(ORÇAMENTO!$W$15,ROW(AY179)-ROW(AY$15),0),15-13*ORÇAMENTO!$AF$11)),0)</f>
        <v>0</v>
      </c>
      <c r="AZ179" s="545">
        <f ca="1">IF(AND($D179="Serviço",AZ$12&lt;&gt;0,$H179&gt;0,OR(AUTOEVENTO&lt;&gt;"manual",$M179&lt;&gt;1)),
IF(Import.TipoArredondamento&lt;&gt;"TransfereGOV",
ROUND(OFFSET($P179,0,AZ$13),15-13*ORÇAMENTO!$AF$7)/$H179*OFFSET(ORÇAMENTO!$X$15,ROW(AZ179)-ROW(AZ$15),0),
ROUND(ROUND(OFFSET($P179,0,AZ$13),15-13*ORÇAMENTO!$AF$7)*OFFSET(ORÇAMENTO!$W$15,ROW(AZ179)-ROW(AZ$15),0),15-13*ORÇAMENTO!$AF$11)),0)</f>
        <v>0</v>
      </c>
      <c r="BA179" s="546">
        <f ca="1">IF(AND($D179="Serviço",BA$12&lt;&gt;0,$H179&gt;0,OR(AUTOEVENTO&lt;&gt;"manual",$M179&lt;&gt;1)),
IF(Import.TipoArredondamento&lt;&gt;"TransfereGOV",
ROUND(OFFSET($P179,0,BA$13),15-13*ORÇAMENTO!$AF$7)/$H179*OFFSET(ORÇAMENTO!$X$15,ROW(BA179)-ROW(BA$15),0),
ROUND(ROUND(OFFSET($P179,0,BA$13),15-13*ORÇAMENTO!$AF$7)*OFFSET(ORÇAMENTO!$W$15,ROW(BA179)-ROW(BA$15),0),15-13*ORÇAMENTO!$AF$11)),0)</f>
        <v>0</v>
      </c>
      <c r="BC179" s="181">
        <f ca="1">IF($D179&lt;&gt;"Serviço",0,IF(AND(AUTOEVENTO="Manual",$M179=1),0,IF(OFFSET(CRONOPLE!$F$14,$M179,BC$13)="",10^12,OFFSET(CRONOPLE!$F$14,$M179,BC$13))))</f>
        <v>7</v>
      </c>
      <c r="BD179" s="181">
        <f ca="1">IF($D179&lt;&gt;"Serviço",0,IF(AND(AUTOEVENTO="Manual",$M179=1),0,IF(OFFSET(CRONOPLE!$F$14,$M179,BD$13)="",10^12,OFFSET(CRONOPLE!$F$14,$M179,BD$13))))</f>
        <v>1000000000000</v>
      </c>
      <c r="BE179" s="181">
        <f ca="1">IF($D179&lt;&gt;"Serviço",0,IF(AND(AUTOEVENTO="Manual",$M179=1),0,IF(OFFSET(CRONOPLE!$F$14,$M179,BE$13)="",10^12,OFFSET(CRONOPLE!$F$14,$M179,BE$13))))</f>
        <v>1000000000000</v>
      </c>
      <c r="BF179" s="181">
        <f ca="1">IF($D179&lt;&gt;"Serviço",0,IF(AND(AUTOEVENTO="Manual",$M179=1),0,IF(OFFSET(CRONOPLE!$F$14,$M179,BF$13)="",10^12,OFFSET(CRONOPLE!$F$14,$M179,BF$13))))</f>
        <v>1000000000000</v>
      </c>
      <c r="BG179" s="181">
        <f ca="1">IF($D179&lt;&gt;"Serviço",0,IF(AND(AUTOEVENTO="Manual",$M179=1),0,IF(OFFSET(CRONOPLE!$F$14,$M179,BG$13)="",10^12,OFFSET(CRONOPLE!$F$14,$M179,BG$13))))</f>
        <v>1000000000000</v>
      </c>
      <c r="BH179" s="181">
        <f ca="1">IF($D179&lt;&gt;"Serviço",0,IF(AND(AUTOEVENTO="Manual",$M179=1),0,IF(OFFSET(CRONOPLE!$F$14,$M179,BH$13)="",10^12,OFFSET(CRONOPLE!$F$14,$M179,BH$13))))</f>
        <v>1000000000000</v>
      </c>
      <c r="BI179" s="181">
        <f ca="1">IF($D179&lt;&gt;"Serviço",0,IF(AND(AUTOEVENTO="Manual",$M179=1),0,IF(OFFSET(CRONOPLE!$F$14,$M179,BI$13)="",10^12,OFFSET(CRONOPLE!$F$14,$M179,BI$13))))</f>
        <v>1000000000000</v>
      </c>
      <c r="BJ179" s="181">
        <f ca="1">IF($D179&lt;&gt;"Serviço",0,IF(AND(AUTOEVENTO="Manual",$M179=1),0,IF(OFFSET(CRONOPLE!$F$14,$M179,BJ$13)="",10^12,OFFSET(CRONOPLE!$F$14,$M179,BJ$13))))</f>
        <v>1000000000000</v>
      </c>
      <c r="BK179" s="181">
        <f ca="1">IF($D179&lt;&gt;"Serviço",0,IF(AND(AUTOEVENTO="Manual",$M179=1),0,IF(OFFSET(CRONOPLE!$F$14,$M179,BK$13)="",10^12,OFFSET(CRONOPLE!$F$14,$M179,BK$13))))</f>
        <v>1000000000000</v>
      </c>
      <c r="BL179" s="181">
        <f ca="1">IF($D179&lt;&gt;"Serviço",0,IF(AND(AUTOEVENTO="Manual",$M179=1),0,IF(OFFSET(CRONOPLE!$F$14,$M179,BL$13)="",10^12,OFFSET(CRONOPLE!$F$14,$M179,BL$13))))</f>
        <v>1000000000000</v>
      </c>
      <c r="BM179" s="181">
        <f ca="1">IF($D179&lt;&gt;"Serviço",0,IF(AND(AUTOEVENTO="Manual",$M179=1),0,IF(OFFSET(CRONOPLE!$F$14,$M179,BM$13)="",10^12,OFFSET(CRONOPLE!$F$14,$M179,BM$13))))</f>
        <v>1000000000000</v>
      </c>
      <c r="BN179" s="181">
        <f ca="1">IF($D179&lt;&gt;"Serviço",0,IF(AND(AUTOEVENTO="Manual",$M179=1),0,IF(OFFSET(CRONOPLE!$F$14,$M179,BN$13)="",10^12,OFFSET(CRONOPLE!$F$14,$M179,BN$13))))</f>
        <v>1000000000000</v>
      </c>
      <c r="BO179" s="181">
        <f ca="1">IF($D179&lt;&gt;"Serviço",0,IF(AND(AUTOEVENTO="Manual",$M179=1),0,IF(OFFSET(CRONOPLE!$F$14,$M179,BO$13)="",10^12,OFFSET(CRONOPLE!$F$14,$M179,BO$13))))</f>
        <v>1000000000000</v>
      </c>
      <c r="BP179" s="181">
        <f ca="1">IF($D179&lt;&gt;"Serviço",0,IF(AND(AUTOEVENTO="Manual",$M179=1),0,IF(OFFSET(CRONOPLE!$F$14,$M179,BP$13)="",10^12,OFFSET(CRONOPLE!$F$14,$M179,BP$13))))</f>
        <v>1000000000000</v>
      </c>
      <c r="BQ179" s="181">
        <f ca="1">IF($D179&lt;&gt;"Serviço",0,IF(AND(AUTOEVENTO="Manual",$M179=1),0,IF(OFFSET(CRONOPLE!$F$14,$M179,BQ$13)="",10^12,OFFSET(CRONOPLE!$F$14,$M179,BQ$13))))</f>
        <v>1000000000000</v>
      </c>
      <c r="BR179" s="181">
        <f ca="1">IF($D179&lt;&gt;"Serviço",0,IF(AND(AUTOEVENTO="Manual",$M179=1),0,IF(OFFSET(CRONOPLE!$F$14,$M179,BR$13)="",10^12,OFFSET(CRONOPLE!$F$14,$M179,BR$13))))</f>
        <v>1000000000000</v>
      </c>
      <c r="BS179" s="181">
        <f ca="1">IF($D179&lt;&gt;"Serviço",0,IF(AND(AUTOEVENTO="Manual",$M179=1),0,IF(OFFSET(CRONOPLE!$F$14,$M179,BS$13)="",10^12,OFFSET(CRONOPLE!$F$14,$M179,BS$13))))</f>
        <v>1000000000000</v>
      </c>
      <c r="BT179" s="181">
        <f ca="1">IF($D179&lt;&gt;"Serviço",0,IF(AND(AUTOEVENTO="Manual",$M179=1),0,IF(OFFSET(CRONOPLE!$F$14,$M179,BT$13)="",10^12,OFFSET(CRONOPLE!$F$14,$M179,BT$13))))</f>
        <v>1000000000000</v>
      </c>
      <c r="BV179" s="182">
        <f ca="1">IF($D179&lt;&gt;"Serviço",0,IF(OR(AND(AUTOEVENTO="Manual",$M179=1),$M179&gt;(ROW(PLE.lastrow)-ROW(PLE.firstrow))),0,IF(OFFSET(PLE!$G$14,$M179,BV$13)="",10^12,OFFSET(PLE!$G$14,$M179,BV$13))))</f>
        <v>1000000000000</v>
      </c>
      <c r="BW179" s="182">
        <f ca="1">IF($D179&lt;&gt;"Serviço",0,IF(OR(AND(AUTOEVENTO="Manual",$M179=1),$M179&gt;(ROW(PLE.lastrow)-ROW(PLE.firstrow))),0,IF(OFFSET(PLE!$G$14,$M179,BW$13)="",10^12,OFFSET(PLE!$G$14,$M179,BW$13))))</f>
        <v>1000000000000</v>
      </c>
      <c r="BX179" s="182">
        <f ca="1">IF($D179&lt;&gt;"Serviço",0,IF(OR(AND(AUTOEVENTO="Manual",$M179=1),$M179&gt;(ROW(PLE.lastrow)-ROW(PLE.firstrow))),0,IF(OFFSET(PLE!$G$14,$M179,BX$13)="",10^12,OFFSET(PLE!$G$14,$M179,BX$13))))</f>
        <v>1000000000000</v>
      </c>
      <c r="BY179" s="182">
        <f ca="1">IF($D179&lt;&gt;"Serviço",0,IF(OR(AND(AUTOEVENTO="Manual",$M179=1),$M179&gt;(ROW(PLE.lastrow)-ROW(PLE.firstrow))),0,IF(OFFSET(PLE!$G$14,$M179,BY$13)="",10^12,OFFSET(PLE!$G$14,$M179,BY$13))))</f>
        <v>1000000000000</v>
      </c>
      <c r="BZ179" s="182">
        <f ca="1">IF($D179&lt;&gt;"Serviço",0,IF(OR(AND(AUTOEVENTO="Manual",$M179=1),$M179&gt;(ROW(PLE.lastrow)-ROW(PLE.firstrow))),0,IF(OFFSET(PLE!$G$14,$M179,BZ$13)="",10^12,OFFSET(PLE!$G$14,$M179,BZ$13))))</f>
        <v>1000000000000</v>
      </c>
      <c r="CA179" s="182">
        <f ca="1">IF($D179&lt;&gt;"Serviço",0,IF(OR(AND(AUTOEVENTO="Manual",$M179=1),$M179&gt;(ROW(PLE.lastrow)-ROW(PLE.firstrow))),0,IF(OFFSET(PLE!$G$14,$M179,CA$13)="",10^12,OFFSET(PLE!$G$14,$M179,CA$13))))</f>
        <v>1000000000000</v>
      </c>
      <c r="CB179" s="182">
        <f ca="1">IF($D179&lt;&gt;"Serviço",0,IF(OR(AND(AUTOEVENTO="Manual",$M179=1),$M179&gt;(ROW(PLE.lastrow)-ROW(PLE.firstrow))),0,IF(OFFSET(PLE!$G$14,$M179,CB$13)="",10^12,OFFSET(PLE!$G$14,$M179,CB$13))))</f>
        <v>1000000000000</v>
      </c>
      <c r="CC179" s="182">
        <f ca="1">IF($D179&lt;&gt;"Serviço",0,IF(OR(AND(AUTOEVENTO="Manual",$M179=1),$M179&gt;(ROW(PLE.lastrow)-ROW(PLE.firstrow))),0,IF(OFFSET(PLE!$G$14,$M179,CC$13)="",10^12,OFFSET(PLE!$G$14,$M179,CC$13))))</f>
        <v>1000000000000</v>
      </c>
      <c r="CD179" s="182">
        <f ca="1">IF($D179&lt;&gt;"Serviço",0,IF(OR(AND(AUTOEVENTO="Manual",$M179=1),$M179&gt;(ROW(PLE.lastrow)-ROW(PLE.firstrow))),0,IF(OFFSET(PLE!$G$14,$M179,CD$13)="",10^12,OFFSET(PLE!$G$14,$M179,CD$13))))</f>
        <v>1000000000000</v>
      </c>
      <c r="CE179" s="182">
        <f ca="1">IF($D179&lt;&gt;"Serviço",0,IF(OR(AND(AUTOEVENTO="Manual",$M179=1),$M179&gt;(ROW(PLE.lastrow)-ROW(PLE.firstrow))),0,IF(OFFSET(PLE!$G$14,$M179,CE$13)="",10^12,OFFSET(PLE!$G$14,$M179,CE$13))))</f>
        <v>1000000000000</v>
      </c>
      <c r="CF179" s="182">
        <f ca="1">IF($D179&lt;&gt;"Serviço",0,IF(OR(AND(AUTOEVENTO="Manual",$M179=1),$M179&gt;(ROW(PLE.lastrow)-ROW(PLE.firstrow))),0,IF(OFFSET(PLE!$G$14,$M179,CF$13)="",10^12,OFFSET(PLE!$G$14,$M179,CF$13))))</f>
        <v>1000000000000</v>
      </c>
      <c r="CG179" s="182">
        <f ca="1">IF($D179&lt;&gt;"Serviço",0,IF(OR(AND(AUTOEVENTO="Manual",$M179=1),$M179&gt;(ROW(PLE.lastrow)-ROW(PLE.firstrow))),0,IF(OFFSET(PLE!$G$14,$M179,CG$13)="",10^12,OFFSET(PLE!$G$14,$M179,CG$13))))</f>
        <v>1000000000000</v>
      </c>
      <c r="CH179" s="182">
        <f ca="1">IF($D179&lt;&gt;"Serviço",0,IF(OR(AND(AUTOEVENTO="Manual",$M179=1),$M179&gt;(ROW(PLE.lastrow)-ROW(PLE.firstrow))),0,IF(OFFSET(PLE!$G$14,$M179,CH$13)="",10^12,OFFSET(PLE!$G$14,$M179,CH$13))))</f>
        <v>1000000000000</v>
      </c>
      <c r="CI179" s="182">
        <f ca="1">IF($D179&lt;&gt;"Serviço",0,IF(OR(AND(AUTOEVENTO="Manual",$M179=1),$M179&gt;(ROW(PLE.lastrow)-ROW(PLE.firstrow))),0,IF(OFFSET(PLE!$G$14,$M179,CI$13)="",10^12,OFFSET(PLE!$G$14,$M179,CI$13))))</f>
        <v>1000000000000</v>
      </c>
      <c r="CJ179" s="182">
        <f ca="1">IF($D179&lt;&gt;"Serviço",0,IF(OR(AND(AUTOEVENTO="Manual",$M179=1),$M179&gt;(ROW(PLE.lastrow)-ROW(PLE.firstrow))),0,IF(OFFSET(PLE!$G$14,$M179,CJ$13)="",10^12,OFFSET(PLE!$G$14,$M179,CJ$13))))</f>
        <v>1000000000000</v>
      </c>
      <c r="CK179" s="182">
        <f ca="1">IF($D179&lt;&gt;"Serviço",0,IF(OR(AND(AUTOEVENTO="Manual",$M179=1),$M179&gt;(ROW(PLE.lastrow)-ROW(PLE.firstrow))),0,IF(OFFSET(PLE!$G$14,$M179,CK$13)="",10^12,OFFSET(PLE!$G$14,$M179,CK$13))))</f>
        <v>1000000000000</v>
      </c>
      <c r="CL179" s="182">
        <f ca="1">IF($D179&lt;&gt;"Serviço",0,IF(OR(AND(AUTOEVENTO="Manual",$M179=1),$M179&gt;(ROW(PLE.lastrow)-ROW(PLE.firstrow))),0,IF(OFFSET(PLE!$G$14,$M179,CL$13)="",10^12,OFFSET(PLE!$G$14,$M179,CL$13))))</f>
        <v>1000000000000</v>
      </c>
      <c r="CM179" s="182">
        <f ca="1">IF($D179&lt;&gt;"Serviço",0,IF(OR(AND(AUTOEVENTO="Manual",$M179=1),$M179&gt;(ROW(PLE.lastrow)-ROW(PLE.firstrow))),0,IF(OFFSET(PLE!$G$14,$M179,CM$13)="",10^12,OFFSET(PLE!$G$14,$M179,CM$13))))</f>
        <v>1000000000000</v>
      </c>
    </row>
    <row r="180" spans="1:91" ht="25.5" x14ac:dyDescent="0.2">
      <c r="A180" s="7" t="str">
        <f t="shared" ca="1" si="12"/>
        <v>161</v>
      </c>
      <c r="B180" s="7" t="str">
        <f ca="1">OFFSET(ORÇAMENTO!C$15,ROW(B180)-ROW(B$15),0)</f>
        <v>S</v>
      </c>
      <c r="C180" s="7" t="str">
        <f ca="1">OFFSET(ORÇAMENTO!L$15,ROW(C180)-ROW(C$15),0)</f>
        <v/>
      </c>
      <c r="D180" s="118" t="str">
        <f ca="1">OFFSET(ORÇAMENTO!N$15,ROW(D180)-ROW(D$15),0)</f>
        <v>Serviço</v>
      </c>
      <c r="E180" s="119" t="str">
        <f ca="1">OFFSET(ORÇAMENTO!O$15,ROW(E180)-ROW(E$15),0)</f>
        <v>-</v>
      </c>
      <c r="F180" s="172" t="str">
        <f ca="1">OFFSET(ORÇAMENTO!R$15,ROW(F180)-ROW(F$15),0)</f>
        <v>(abra o arquivo 'Referência 06-2024.xlsm)</v>
      </c>
      <c r="G180" s="173" t="str">
        <f ca="1">IF($D180&lt;&gt;"Serviço","",OFFSET(ORÇAMENTO!S$15,ROW(G180)-ROW(G$15),0))</f>
        <v>-</v>
      </c>
      <c r="H180" s="124">
        <f ca="1">IF($D180&lt;&gt;"Serviço",0,IF(ACOMPANHAMENTO="BM",ROUND(OFFSET(ORÇAMENTO!AJ$15,ROW(H180)-ROW(H$15),0),15-13*ORÇAMENTO!$AF$7),SUMPRODUCT(($Q$12:$AI$12&lt;&gt;"")*ROUND($Q180:$AI180,15-13*ORÇAMENTO!$AF$7))))</f>
        <v>50.17</v>
      </c>
      <c r="I180" s="561" t="s">
        <v>1107</v>
      </c>
      <c r="K180" s="174"/>
      <c r="L180" s="175" t="s">
        <v>255</v>
      </c>
      <c r="M180" s="176">
        <f ca="1">IF($D180&lt;&gt;"Serviço","",IF(AUTOEVENTO="manual",$A180,IF(ISERROR(MATCH($A180,$A$15:OFFSET($A180,-1,0),0)),MAX($M$15:OFFSET(M180,-1,0))+1,INDEX($M$15:OFFSET(M180,-1,0),MATCH($A180,$A$15:OFFSET($A180,-1,0),0)))))</f>
        <v>26</v>
      </c>
      <c r="N180" s="177" t="str">
        <f ca="1">IF($D180&lt;&gt;"Serviço","",IF(AUTOEVENTO="Manual",IF($A180=0,"&lt;-- defina o número do agrupador",OFFSET(EVENTOS!$D$14,$A180,0)),OFFSET($F$15,$A180,0)))</f>
        <v>IMPERMEABILIZAÇÃO</v>
      </c>
      <c r="O180" s="178"/>
      <c r="Q180" s="178">
        <v>50.17</v>
      </c>
      <c r="R180" s="179"/>
      <c r="S180" s="179"/>
      <c r="T180" s="179"/>
      <c r="U180" s="179"/>
      <c r="V180" s="179"/>
      <c r="W180" s="179"/>
      <c r="X180" s="179"/>
      <c r="Y180" s="179"/>
      <c r="Z180" s="180"/>
      <c r="AA180" s="179"/>
      <c r="AB180" s="179"/>
      <c r="AC180" s="179"/>
      <c r="AD180" s="179"/>
      <c r="AE180" s="179"/>
      <c r="AF180" s="179"/>
      <c r="AG180" s="179"/>
      <c r="AH180" s="180"/>
      <c r="AJ180" s="544">
        <f ca="1">IF(AND($D180="Serviço",AJ$12&lt;&gt;0,$H180&gt;0,OR(AUTOEVENTO&lt;&gt;"manual",$M180&lt;&gt;1)),
IF(Import.TipoArredondamento&lt;&gt;"TransfereGOV",
ROUND(OFFSET($P180,0,AJ$13),15-13*ORÇAMENTO!$AF$7)/$H180*OFFSET(ORÇAMENTO!$X$15,ROW(AJ180)-ROW(AJ$15),0),
ROUND(ROUND(OFFSET($P180,0,AJ$13),15-13*ORÇAMENTO!$AF$7)*OFFSET(ORÇAMENTO!$W$15,ROW(AJ180)-ROW(AJ$15),0),15-13*ORÇAMENTO!$AF$11)),0)</f>
        <v>0</v>
      </c>
      <c r="AK180" s="545">
        <f ca="1">IF(AND($D180="Serviço",AK$12&lt;&gt;0,$H180&gt;0,OR(AUTOEVENTO&lt;&gt;"manual",$M180&lt;&gt;1)),
IF(Import.TipoArredondamento&lt;&gt;"TransfereGOV",
ROUND(OFFSET($P180,0,AK$13),15-13*ORÇAMENTO!$AF$7)/$H180*OFFSET(ORÇAMENTO!$X$15,ROW(AK180)-ROW(AK$15),0),
ROUND(ROUND(OFFSET($P180,0,AK$13),15-13*ORÇAMENTO!$AF$7)*OFFSET(ORÇAMENTO!$W$15,ROW(AK180)-ROW(AK$15),0),15-13*ORÇAMENTO!$AF$11)),0)</f>
        <v>0</v>
      </c>
      <c r="AL180" s="545">
        <f ca="1">IF(AND($D180="Serviço",AL$12&lt;&gt;0,$H180&gt;0,OR(AUTOEVENTO&lt;&gt;"manual",$M180&lt;&gt;1)),
IF(Import.TipoArredondamento&lt;&gt;"TransfereGOV",
ROUND(OFFSET($P180,0,AL$13),15-13*ORÇAMENTO!$AF$7)/$H180*OFFSET(ORÇAMENTO!$X$15,ROW(AL180)-ROW(AL$15),0),
ROUND(ROUND(OFFSET($P180,0,AL$13),15-13*ORÇAMENTO!$AF$7)*OFFSET(ORÇAMENTO!$W$15,ROW(AL180)-ROW(AL$15),0),15-13*ORÇAMENTO!$AF$11)),0)</f>
        <v>0</v>
      </c>
      <c r="AM180" s="545">
        <f ca="1">IF(AND($D180="Serviço",AM$12&lt;&gt;0,$H180&gt;0,OR(AUTOEVENTO&lt;&gt;"manual",$M180&lt;&gt;1)),
IF(Import.TipoArredondamento&lt;&gt;"TransfereGOV",
ROUND(OFFSET($P180,0,AM$13),15-13*ORÇAMENTO!$AF$7)/$H180*OFFSET(ORÇAMENTO!$X$15,ROW(AM180)-ROW(AM$15),0),
ROUND(ROUND(OFFSET($P180,0,AM$13),15-13*ORÇAMENTO!$AF$7)*OFFSET(ORÇAMENTO!$W$15,ROW(AM180)-ROW(AM$15),0),15-13*ORÇAMENTO!$AF$11)),0)</f>
        <v>0</v>
      </c>
      <c r="AN180" s="545">
        <f ca="1">IF(AND($D180="Serviço",AN$12&lt;&gt;0,$H180&gt;0,OR(AUTOEVENTO&lt;&gt;"manual",$M180&lt;&gt;1)),
IF(Import.TipoArredondamento&lt;&gt;"TransfereGOV",
ROUND(OFFSET($P180,0,AN$13),15-13*ORÇAMENTO!$AF$7)/$H180*OFFSET(ORÇAMENTO!$X$15,ROW(AN180)-ROW(AN$15),0),
ROUND(ROUND(OFFSET($P180,0,AN$13),15-13*ORÇAMENTO!$AF$7)*OFFSET(ORÇAMENTO!$W$15,ROW(AN180)-ROW(AN$15),0),15-13*ORÇAMENTO!$AF$11)),0)</f>
        <v>0</v>
      </c>
      <c r="AO180" s="545">
        <f ca="1">IF(AND($D180="Serviço",AO$12&lt;&gt;0,$H180&gt;0,OR(AUTOEVENTO&lt;&gt;"manual",$M180&lt;&gt;1)),
IF(Import.TipoArredondamento&lt;&gt;"TransfereGOV",
ROUND(OFFSET($P180,0,AO$13),15-13*ORÇAMENTO!$AF$7)/$H180*OFFSET(ORÇAMENTO!$X$15,ROW(AO180)-ROW(AO$15),0),
ROUND(ROUND(OFFSET($P180,0,AO$13),15-13*ORÇAMENTO!$AF$7)*OFFSET(ORÇAMENTO!$W$15,ROW(AO180)-ROW(AO$15),0),15-13*ORÇAMENTO!$AF$11)),0)</f>
        <v>0</v>
      </c>
      <c r="AP180" s="545">
        <f ca="1">IF(AND($D180="Serviço",AP$12&lt;&gt;0,$H180&gt;0,OR(AUTOEVENTO&lt;&gt;"manual",$M180&lt;&gt;1)),
IF(Import.TipoArredondamento&lt;&gt;"TransfereGOV",
ROUND(OFFSET($P180,0,AP$13),15-13*ORÇAMENTO!$AF$7)/$H180*OFFSET(ORÇAMENTO!$X$15,ROW(AP180)-ROW(AP$15),0),
ROUND(ROUND(OFFSET($P180,0,AP$13),15-13*ORÇAMENTO!$AF$7)*OFFSET(ORÇAMENTO!$W$15,ROW(AP180)-ROW(AP$15),0),15-13*ORÇAMENTO!$AF$11)),0)</f>
        <v>0</v>
      </c>
      <c r="AQ180" s="545">
        <f ca="1">IF(AND($D180="Serviço",AQ$12&lt;&gt;0,$H180&gt;0,OR(AUTOEVENTO&lt;&gt;"manual",$M180&lt;&gt;1)),
IF(Import.TipoArredondamento&lt;&gt;"TransfereGOV",
ROUND(OFFSET($P180,0,AQ$13),15-13*ORÇAMENTO!$AF$7)/$H180*OFFSET(ORÇAMENTO!$X$15,ROW(AQ180)-ROW(AQ$15),0),
ROUND(ROUND(OFFSET($P180,0,AQ$13),15-13*ORÇAMENTO!$AF$7)*OFFSET(ORÇAMENTO!$W$15,ROW(AQ180)-ROW(AQ$15),0),15-13*ORÇAMENTO!$AF$11)),0)</f>
        <v>0</v>
      </c>
      <c r="AR180" s="545">
        <f ca="1">IF(AND($D180="Serviço",AR$12&lt;&gt;0,$H180&gt;0,OR(AUTOEVENTO&lt;&gt;"manual",$M180&lt;&gt;1)),
IF(Import.TipoArredondamento&lt;&gt;"TransfereGOV",
ROUND(OFFSET($P180,0,AR$13),15-13*ORÇAMENTO!$AF$7)/$H180*OFFSET(ORÇAMENTO!$X$15,ROW(AR180)-ROW(AR$15),0),
ROUND(ROUND(OFFSET($P180,0,AR$13),15-13*ORÇAMENTO!$AF$7)*OFFSET(ORÇAMENTO!$W$15,ROW(AR180)-ROW(AR$15),0),15-13*ORÇAMENTO!$AF$11)),0)</f>
        <v>0</v>
      </c>
      <c r="AS180" s="546">
        <f ca="1">IF(AND($D180="Serviço",AS$12&lt;&gt;0,$H180&gt;0,OR(AUTOEVENTO&lt;&gt;"manual",$M180&lt;&gt;1)),
IF(Import.TipoArredondamento&lt;&gt;"TransfereGOV",
ROUND(OFFSET($P180,0,AS$13),15-13*ORÇAMENTO!$AF$7)/$H180*OFFSET(ORÇAMENTO!$X$15,ROW(AS180)-ROW(AS$15),0),
ROUND(ROUND(OFFSET($P180,0,AS$13),15-13*ORÇAMENTO!$AF$7)*OFFSET(ORÇAMENTO!$W$15,ROW(AS180)-ROW(AS$15),0),15-13*ORÇAMENTO!$AF$11)),0)</f>
        <v>0</v>
      </c>
      <c r="AT180" s="545">
        <f ca="1">IF(AND($D180="Serviço",AT$12&lt;&gt;0,$H180&gt;0,OR(AUTOEVENTO&lt;&gt;"manual",$M180&lt;&gt;1)),
IF(Import.TipoArredondamento&lt;&gt;"TransfereGOV",
ROUND(OFFSET($P180,0,AT$13),15-13*ORÇAMENTO!$AF$7)/$H180*OFFSET(ORÇAMENTO!$X$15,ROW(AT180)-ROW(AT$15),0),
ROUND(ROUND(OFFSET($P180,0,AT$13),15-13*ORÇAMENTO!$AF$7)*OFFSET(ORÇAMENTO!$W$15,ROW(AT180)-ROW(AT$15),0),15-13*ORÇAMENTO!$AF$11)),0)</f>
        <v>0</v>
      </c>
      <c r="AU180" s="545">
        <f ca="1">IF(AND($D180="Serviço",AU$12&lt;&gt;0,$H180&gt;0,OR(AUTOEVENTO&lt;&gt;"manual",$M180&lt;&gt;1)),
IF(Import.TipoArredondamento&lt;&gt;"TransfereGOV",
ROUND(OFFSET($P180,0,AU$13),15-13*ORÇAMENTO!$AF$7)/$H180*OFFSET(ORÇAMENTO!$X$15,ROW(AU180)-ROW(AU$15),0),
ROUND(ROUND(OFFSET($P180,0,AU$13),15-13*ORÇAMENTO!$AF$7)*OFFSET(ORÇAMENTO!$W$15,ROW(AU180)-ROW(AU$15),0),15-13*ORÇAMENTO!$AF$11)),0)</f>
        <v>0</v>
      </c>
      <c r="AV180" s="545">
        <f ca="1">IF(AND($D180="Serviço",AV$12&lt;&gt;0,$H180&gt;0,OR(AUTOEVENTO&lt;&gt;"manual",$M180&lt;&gt;1)),
IF(Import.TipoArredondamento&lt;&gt;"TransfereGOV",
ROUND(OFFSET($P180,0,AV$13),15-13*ORÇAMENTO!$AF$7)/$H180*OFFSET(ORÇAMENTO!$X$15,ROW(AV180)-ROW(AV$15),0),
ROUND(ROUND(OFFSET($P180,0,AV$13),15-13*ORÇAMENTO!$AF$7)*OFFSET(ORÇAMENTO!$W$15,ROW(AV180)-ROW(AV$15),0),15-13*ORÇAMENTO!$AF$11)),0)</f>
        <v>0</v>
      </c>
      <c r="AW180" s="545">
        <f ca="1">IF(AND($D180="Serviço",AW$12&lt;&gt;0,$H180&gt;0,OR(AUTOEVENTO&lt;&gt;"manual",$M180&lt;&gt;1)),
IF(Import.TipoArredondamento&lt;&gt;"TransfereGOV",
ROUND(OFFSET($P180,0,AW$13),15-13*ORÇAMENTO!$AF$7)/$H180*OFFSET(ORÇAMENTO!$X$15,ROW(AW180)-ROW(AW$15),0),
ROUND(ROUND(OFFSET($P180,0,AW$13),15-13*ORÇAMENTO!$AF$7)*OFFSET(ORÇAMENTO!$W$15,ROW(AW180)-ROW(AW$15),0),15-13*ORÇAMENTO!$AF$11)),0)</f>
        <v>0</v>
      </c>
      <c r="AX180" s="545">
        <f ca="1">IF(AND($D180="Serviço",AX$12&lt;&gt;0,$H180&gt;0,OR(AUTOEVENTO&lt;&gt;"manual",$M180&lt;&gt;1)),
IF(Import.TipoArredondamento&lt;&gt;"TransfereGOV",
ROUND(OFFSET($P180,0,AX$13),15-13*ORÇAMENTO!$AF$7)/$H180*OFFSET(ORÇAMENTO!$X$15,ROW(AX180)-ROW(AX$15),0),
ROUND(ROUND(OFFSET($P180,0,AX$13),15-13*ORÇAMENTO!$AF$7)*OFFSET(ORÇAMENTO!$W$15,ROW(AX180)-ROW(AX$15),0),15-13*ORÇAMENTO!$AF$11)),0)</f>
        <v>0</v>
      </c>
      <c r="AY180" s="545">
        <f ca="1">IF(AND($D180="Serviço",AY$12&lt;&gt;0,$H180&gt;0,OR(AUTOEVENTO&lt;&gt;"manual",$M180&lt;&gt;1)),
IF(Import.TipoArredondamento&lt;&gt;"TransfereGOV",
ROUND(OFFSET($P180,0,AY$13),15-13*ORÇAMENTO!$AF$7)/$H180*OFFSET(ORÇAMENTO!$X$15,ROW(AY180)-ROW(AY$15),0),
ROUND(ROUND(OFFSET($P180,0,AY$13),15-13*ORÇAMENTO!$AF$7)*OFFSET(ORÇAMENTO!$W$15,ROW(AY180)-ROW(AY$15),0),15-13*ORÇAMENTO!$AF$11)),0)</f>
        <v>0</v>
      </c>
      <c r="AZ180" s="545">
        <f ca="1">IF(AND($D180="Serviço",AZ$12&lt;&gt;0,$H180&gt;0,OR(AUTOEVENTO&lt;&gt;"manual",$M180&lt;&gt;1)),
IF(Import.TipoArredondamento&lt;&gt;"TransfereGOV",
ROUND(OFFSET($P180,0,AZ$13),15-13*ORÇAMENTO!$AF$7)/$H180*OFFSET(ORÇAMENTO!$X$15,ROW(AZ180)-ROW(AZ$15),0),
ROUND(ROUND(OFFSET($P180,0,AZ$13),15-13*ORÇAMENTO!$AF$7)*OFFSET(ORÇAMENTO!$W$15,ROW(AZ180)-ROW(AZ$15),0),15-13*ORÇAMENTO!$AF$11)),0)</f>
        <v>0</v>
      </c>
      <c r="BA180" s="546">
        <f ca="1">IF(AND($D180="Serviço",BA$12&lt;&gt;0,$H180&gt;0,OR(AUTOEVENTO&lt;&gt;"manual",$M180&lt;&gt;1)),
IF(Import.TipoArredondamento&lt;&gt;"TransfereGOV",
ROUND(OFFSET($P180,0,BA$13),15-13*ORÇAMENTO!$AF$7)/$H180*OFFSET(ORÇAMENTO!$X$15,ROW(BA180)-ROW(BA$15),0),
ROUND(ROUND(OFFSET($P180,0,BA$13),15-13*ORÇAMENTO!$AF$7)*OFFSET(ORÇAMENTO!$W$15,ROW(BA180)-ROW(BA$15),0),15-13*ORÇAMENTO!$AF$11)),0)</f>
        <v>0</v>
      </c>
      <c r="BC180" s="181">
        <f ca="1">IF($D180&lt;&gt;"Serviço",0,IF(AND(AUTOEVENTO="Manual",$M180=1),0,IF(OFFSET(CRONOPLE!$F$14,$M180,BC$13)="",10^12,OFFSET(CRONOPLE!$F$14,$M180,BC$13))))</f>
        <v>7</v>
      </c>
      <c r="BD180" s="181">
        <f ca="1">IF($D180&lt;&gt;"Serviço",0,IF(AND(AUTOEVENTO="Manual",$M180=1),0,IF(OFFSET(CRONOPLE!$F$14,$M180,BD$13)="",10^12,OFFSET(CRONOPLE!$F$14,$M180,BD$13))))</f>
        <v>1000000000000</v>
      </c>
      <c r="BE180" s="181">
        <f ca="1">IF($D180&lt;&gt;"Serviço",0,IF(AND(AUTOEVENTO="Manual",$M180=1),0,IF(OFFSET(CRONOPLE!$F$14,$M180,BE$13)="",10^12,OFFSET(CRONOPLE!$F$14,$M180,BE$13))))</f>
        <v>1000000000000</v>
      </c>
      <c r="BF180" s="181">
        <f ca="1">IF($D180&lt;&gt;"Serviço",0,IF(AND(AUTOEVENTO="Manual",$M180=1),0,IF(OFFSET(CRONOPLE!$F$14,$M180,BF$13)="",10^12,OFFSET(CRONOPLE!$F$14,$M180,BF$13))))</f>
        <v>1000000000000</v>
      </c>
      <c r="BG180" s="181">
        <f ca="1">IF($D180&lt;&gt;"Serviço",0,IF(AND(AUTOEVENTO="Manual",$M180=1),0,IF(OFFSET(CRONOPLE!$F$14,$M180,BG$13)="",10^12,OFFSET(CRONOPLE!$F$14,$M180,BG$13))))</f>
        <v>1000000000000</v>
      </c>
      <c r="BH180" s="181">
        <f ca="1">IF($D180&lt;&gt;"Serviço",0,IF(AND(AUTOEVENTO="Manual",$M180=1),0,IF(OFFSET(CRONOPLE!$F$14,$M180,BH$13)="",10^12,OFFSET(CRONOPLE!$F$14,$M180,BH$13))))</f>
        <v>1000000000000</v>
      </c>
      <c r="BI180" s="181">
        <f ca="1">IF($D180&lt;&gt;"Serviço",0,IF(AND(AUTOEVENTO="Manual",$M180=1),0,IF(OFFSET(CRONOPLE!$F$14,$M180,BI$13)="",10^12,OFFSET(CRONOPLE!$F$14,$M180,BI$13))))</f>
        <v>1000000000000</v>
      </c>
      <c r="BJ180" s="181">
        <f ca="1">IF($D180&lt;&gt;"Serviço",0,IF(AND(AUTOEVENTO="Manual",$M180=1),0,IF(OFFSET(CRONOPLE!$F$14,$M180,BJ$13)="",10^12,OFFSET(CRONOPLE!$F$14,$M180,BJ$13))))</f>
        <v>1000000000000</v>
      </c>
      <c r="BK180" s="181">
        <f ca="1">IF($D180&lt;&gt;"Serviço",0,IF(AND(AUTOEVENTO="Manual",$M180=1),0,IF(OFFSET(CRONOPLE!$F$14,$M180,BK$13)="",10^12,OFFSET(CRONOPLE!$F$14,$M180,BK$13))))</f>
        <v>1000000000000</v>
      </c>
      <c r="BL180" s="181">
        <f ca="1">IF($D180&lt;&gt;"Serviço",0,IF(AND(AUTOEVENTO="Manual",$M180=1),0,IF(OFFSET(CRONOPLE!$F$14,$M180,BL$13)="",10^12,OFFSET(CRONOPLE!$F$14,$M180,BL$13))))</f>
        <v>1000000000000</v>
      </c>
      <c r="BM180" s="181">
        <f ca="1">IF($D180&lt;&gt;"Serviço",0,IF(AND(AUTOEVENTO="Manual",$M180=1),0,IF(OFFSET(CRONOPLE!$F$14,$M180,BM$13)="",10^12,OFFSET(CRONOPLE!$F$14,$M180,BM$13))))</f>
        <v>1000000000000</v>
      </c>
      <c r="BN180" s="181">
        <f ca="1">IF($D180&lt;&gt;"Serviço",0,IF(AND(AUTOEVENTO="Manual",$M180=1),0,IF(OFFSET(CRONOPLE!$F$14,$M180,BN$13)="",10^12,OFFSET(CRONOPLE!$F$14,$M180,BN$13))))</f>
        <v>1000000000000</v>
      </c>
      <c r="BO180" s="181">
        <f ca="1">IF($D180&lt;&gt;"Serviço",0,IF(AND(AUTOEVENTO="Manual",$M180=1),0,IF(OFFSET(CRONOPLE!$F$14,$M180,BO$13)="",10^12,OFFSET(CRONOPLE!$F$14,$M180,BO$13))))</f>
        <v>1000000000000</v>
      </c>
      <c r="BP180" s="181">
        <f ca="1">IF($D180&lt;&gt;"Serviço",0,IF(AND(AUTOEVENTO="Manual",$M180=1),0,IF(OFFSET(CRONOPLE!$F$14,$M180,BP$13)="",10^12,OFFSET(CRONOPLE!$F$14,$M180,BP$13))))</f>
        <v>1000000000000</v>
      </c>
      <c r="BQ180" s="181">
        <f ca="1">IF($D180&lt;&gt;"Serviço",0,IF(AND(AUTOEVENTO="Manual",$M180=1),0,IF(OFFSET(CRONOPLE!$F$14,$M180,BQ$13)="",10^12,OFFSET(CRONOPLE!$F$14,$M180,BQ$13))))</f>
        <v>1000000000000</v>
      </c>
      <c r="BR180" s="181">
        <f ca="1">IF($D180&lt;&gt;"Serviço",0,IF(AND(AUTOEVENTO="Manual",$M180=1),0,IF(OFFSET(CRONOPLE!$F$14,$M180,BR$13)="",10^12,OFFSET(CRONOPLE!$F$14,$M180,BR$13))))</f>
        <v>1000000000000</v>
      </c>
      <c r="BS180" s="181">
        <f ca="1">IF($D180&lt;&gt;"Serviço",0,IF(AND(AUTOEVENTO="Manual",$M180=1),0,IF(OFFSET(CRONOPLE!$F$14,$M180,BS$13)="",10^12,OFFSET(CRONOPLE!$F$14,$M180,BS$13))))</f>
        <v>1000000000000</v>
      </c>
      <c r="BT180" s="181">
        <f ca="1">IF($D180&lt;&gt;"Serviço",0,IF(AND(AUTOEVENTO="Manual",$M180=1),0,IF(OFFSET(CRONOPLE!$F$14,$M180,BT$13)="",10^12,OFFSET(CRONOPLE!$F$14,$M180,BT$13))))</f>
        <v>1000000000000</v>
      </c>
      <c r="BV180" s="182">
        <f ca="1">IF($D180&lt;&gt;"Serviço",0,IF(OR(AND(AUTOEVENTO="Manual",$M180=1),$M180&gt;(ROW(PLE.lastrow)-ROW(PLE.firstrow))),0,IF(OFFSET(PLE!$G$14,$M180,BV$13)="",10^12,OFFSET(PLE!$G$14,$M180,BV$13))))</f>
        <v>1000000000000</v>
      </c>
      <c r="BW180" s="182">
        <f ca="1">IF($D180&lt;&gt;"Serviço",0,IF(OR(AND(AUTOEVENTO="Manual",$M180=1),$M180&gt;(ROW(PLE.lastrow)-ROW(PLE.firstrow))),0,IF(OFFSET(PLE!$G$14,$M180,BW$13)="",10^12,OFFSET(PLE!$G$14,$M180,BW$13))))</f>
        <v>1000000000000</v>
      </c>
      <c r="BX180" s="182">
        <f ca="1">IF($D180&lt;&gt;"Serviço",0,IF(OR(AND(AUTOEVENTO="Manual",$M180=1),$M180&gt;(ROW(PLE.lastrow)-ROW(PLE.firstrow))),0,IF(OFFSET(PLE!$G$14,$M180,BX$13)="",10^12,OFFSET(PLE!$G$14,$M180,BX$13))))</f>
        <v>1000000000000</v>
      </c>
      <c r="BY180" s="182">
        <f ca="1">IF($D180&lt;&gt;"Serviço",0,IF(OR(AND(AUTOEVENTO="Manual",$M180=1),$M180&gt;(ROW(PLE.lastrow)-ROW(PLE.firstrow))),0,IF(OFFSET(PLE!$G$14,$M180,BY$13)="",10^12,OFFSET(PLE!$G$14,$M180,BY$13))))</f>
        <v>1000000000000</v>
      </c>
      <c r="BZ180" s="182">
        <f ca="1">IF($D180&lt;&gt;"Serviço",0,IF(OR(AND(AUTOEVENTO="Manual",$M180=1),$M180&gt;(ROW(PLE.lastrow)-ROW(PLE.firstrow))),0,IF(OFFSET(PLE!$G$14,$M180,BZ$13)="",10^12,OFFSET(PLE!$G$14,$M180,BZ$13))))</f>
        <v>1000000000000</v>
      </c>
      <c r="CA180" s="182">
        <f ca="1">IF($D180&lt;&gt;"Serviço",0,IF(OR(AND(AUTOEVENTO="Manual",$M180=1),$M180&gt;(ROW(PLE.lastrow)-ROW(PLE.firstrow))),0,IF(OFFSET(PLE!$G$14,$M180,CA$13)="",10^12,OFFSET(PLE!$G$14,$M180,CA$13))))</f>
        <v>1000000000000</v>
      </c>
      <c r="CB180" s="182">
        <f ca="1">IF($D180&lt;&gt;"Serviço",0,IF(OR(AND(AUTOEVENTO="Manual",$M180=1),$M180&gt;(ROW(PLE.lastrow)-ROW(PLE.firstrow))),0,IF(OFFSET(PLE!$G$14,$M180,CB$13)="",10^12,OFFSET(PLE!$G$14,$M180,CB$13))))</f>
        <v>1000000000000</v>
      </c>
      <c r="CC180" s="182">
        <f ca="1">IF($D180&lt;&gt;"Serviço",0,IF(OR(AND(AUTOEVENTO="Manual",$M180=1),$M180&gt;(ROW(PLE.lastrow)-ROW(PLE.firstrow))),0,IF(OFFSET(PLE!$G$14,$M180,CC$13)="",10^12,OFFSET(PLE!$G$14,$M180,CC$13))))</f>
        <v>1000000000000</v>
      </c>
      <c r="CD180" s="182">
        <f ca="1">IF($D180&lt;&gt;"Serviço",0,IF(OR(AND(AUTOEVENTO="Manual",$M180=1),$M180&gt;(ROW(PLE.lastrow)-ROW(PLE.firstrow))),0,IF(OFFSET(PLE!$G$14,$M180,CD$13)="",10^12,OFFSET(PLE!$G$14,$M180,CD$13))))</f>
        <v>1000000000000</v>
      </c>
      <c r="CE180" s="182">
        <f ca="1">IF($D180&lt;&gt;"Serviço",0,IF(OR(AND(AUTOEVENTO="Manual",$M180=1),$M180&gt;(ROW(PLE.lastrow)-ROW(PLE.firstrow))),0,IF(OFFSET(PLE!$G$14,$M180,CE$13)="",10^12,OFFSET(PLE!$G$14,$M180,CE$13))))</f>
        <v>1000000000000</v>
      </c>
      <c r="CF180" s="182">
        <f ca="1">IF($D180&lt;&gt;"Serviço",0,IF(OR(AND(AUTOEVENTO="Manual",$M180=1),$M180&gt;(ROW(PLE.lastrow)-ROW(PLE.firstrow))),0,IF(OFFSET(PLE!$G$14,$M180,CF$13)="",10^12,OFFSET(PLE!$G$14,$M180,CF$13))))</f>
        <v>1000000000000</v>
      </c>
      <c r="CG180" s="182">
        <f ca="1">IF($D180&lt;&gt;"Serviço",0,IF(OR(AND(AUTOEVENTO="Manual",$M180=1),$M180&gt;(ROW(PLE.lastrow)-ROW(PLE.firstrow))),0,IF(OFFSET(PLE!$G$14,$M180,CG$13)="",10^12,OFFSET(PLE!$G$14,$M180,CG$13))))</f>
        <v>1000000000000</v>
      </c>
      <c r="CH180" s="182">
        <f ca="1">IF($D180&lt;&gt;"Serviço",0,IF(OR(AND(AUTOEVENTO="Manual",$M180=1),$M180&gt;(ROW(PLE.lastrow)-ROW(PLE.firstrow))),0,IF(OFFSET(PLE!$G$14,$M180,CH$13)="",10^12,OFFSET(PLE!$G$14,$M180,CH$13))))</f>
        <v>1000000000000</v>
      </c>
      <c r="CI180" s="182">
        <f ca="1">IF($D180&lt;&gt;"Serviço",0,IF(OR(AND(AUTOEVENTO="Manual",$M180=1),$M180&gt;(ROW(PLE.lastrow)-ROW(PLE.firstrow))),0,IF(OFFSET(PLE!$G$14,$M180,CI$13)="",10^12,OFFSET(PLE!$G$14,$M180,CI$13))))</f>
        <v>1000000000000</v>
      </c>
      <c r="CJ180" s="182">
        <f ca="1">IF($D180&lt;&gt;"Serviço",0,IF(OR(AND(AUTOEVENTO="Manual",$M180=1),$M180&gt;(ROW(PLE.lastrow)-ROW(PLE.firstrow))),0,IF(OFFSET(PLE!$G$14,$M180,CJ$13)="",10^12,OFFSET(PLE!$G$14,$M180,CJ$13))))</f>
        <v>1000000000000</v>
      </c>
      <c r="CK180" s="182">
        <f ca="1">IF($D180&lt;&gt;"Serviço",0,IF(OR(AND(AUTOEVENTO="Manual",$M180=1),$M180&gt;(ROW(PLE.lastrow)-ROW(PLE.firstrow))),0,IF(OFFSET(PLE!$G$14,$M180,CK$13)="",10^12,OFFSET(PLE!$G$14,$M180,CK$13))))</f>
        <v>1000000000000</v>
      </c>
      <c r="CL180" s="182">
        <f ca="1">IF($D180&lt;&gt;"Serviço",0,IF(OR(AND(AUTOEVENTO="Manual",$M180=1),$M180&gt;(ROW(PLE.lastrow)-ROW(PLE.firstrow))),0,IF(OFFSET(PLE!$G$14,$M180,CL$13)="",10^12,OFFSET(PLE!$G$14,$M180,CL$13))))</f>
        <v>1000000000000</v>
      </c>
      <c r="CM180" s="182">
        <f ca="1">IF($D180&lt;&gt;"Serviço",0,IF(OR(AND(AUTOEVENTO="Manual",$M180=1),$M180&gt;(ROW(PLE.lastrow)-ROW(PLE.firstrow))),0,IF(OFFSET(PLE!$G$14,$M180,CM$13)="",10^12,OFFSET(PLE!$G$14,$M180,CM$13))))</f>
        <v>1000000000000</v>
      </c>
    </row>
    <row r="181" spans="1:91" ht="51" x14ac:dyDescent="0.2">
      <c r="A181" s="7" t="str">
        <f t="shared" ca="1" si="12"/>
        <v>161</v>
      </c>
      <c r="B181" s="7" t="str">
        <f ca="1">OFFSET(ORÇAMENTO!C$15,ROW(B181)-ROW(B$15),0)</f>
        <v>S</v>
      </c>
      <c r="C181" s="7" t="str">
        <f ca="1">OFFSET(ORÇAMENTO!L$15,ROW(C181)-ROW(C$15),0)</f>
        <v/>
      </c>
      <c r="D181" s="118" t="str">
        <f ca="1">OFFSET(ORÇAMENTO!N$15,ROW(D181)-ROW(D$15),0)</f>
        <v>Serviço</v>
      </c>
      <c r="E181" s="119" t="str">
        <f ca="1">OFFSET(ORÇAMENTO!O$15,ROW(E181)-ROW(E$15),0)</f>
        <v>-</v>
      </c>
      <c r="F181" s="172" t="str">
        <f ca="1">OFFSET(ORÇAMENTO!R$15,ROW(F181)-ROW(F$15),0)</f>
        <v>(abra o arquivo 'Referência 06-2024.xlsm)</v>
      </c>
      <c r="G181" s="173" t="str">
        <f ca="1">IF($D181&lt;&gt;"Serviço","",OFFSET(ORÇAMENTO!S$15,ROW(G181)-ROW(G$15),0))</f>
        <v>-</v>
      </c>
      <c r="H181" s="124">
        <f ca="1">IF($D181&lt;&gt;"Serviço",0,IF(ACOMPANHAMENTO="BM",ROUND(OFFSET(ORÇAMENTO!AJ$15,ROW(H181)-ROW(H$15),0),15-13*ORÇAMENTO!$AF$7),SUMPRODUCT(($Q$12:$AI$12&lt;&gt;"")*ROUND($Q181:$AI181,15-13*ORÇAMENTO!$AF$7))))</f>
        <v>41.56</v>
      </c>
      <c r="I181" s="561" t="s">
        <v>1107</v>
      </c>
      <c r="K181" s="174"/>
      <c r="L181" s="175" t="s">
        <v>255</v>
      </c>
      <c r="M181" s="176">
        <f ca="1">IF($D181&lt;&gt;"Serviço","",IF(AUTOEVENTO="manual",$A181,IF(ISERROR(MATCH($A181,$A$15:OFFSET($A181,-1,0),0)),MAX($M$15:OFFSET(M181,-1,0))+1,INDEX($M$15:OFFSET(M181,-1,0),MATCH($A181,$A$15:OFFSET($A181,-1,0),0)))))</f>
        <v>26</v>
      </c>
      <c r="N181" s="177" t="str">
        <f ca="1">IF($D181&lt;&gt;"Serviço","",IF(AUTOEVENTO="Manual",IF($A181=0,"&lt;-- defina o número do agrupador",OFFSET(EVENTOS!$D$14,$A181,0)),OFFSET($F$15,$A181,0)))</f>
        <v>IMPERMEABILIZAÇÃO</v>
      </c>
      <c r="O181" s="178"/>
      <c r="Q181" s="178">
        <v>41.56</v>
      </c>
      <c r="R181" s="179"/>
      <c r="S181" s="179"/>
      <c r="T181" s="179"/>
      <c r="U181" s="179"/>
      <c r="V181" s="179"/>
      <c r="W181" s="179"/>
      <c r="X181" s="179"/>
      <c r="Y181" s="179"/>
      <c r="Z181" s="180"/>
      <c r="AA181" s="179"/>
      <c r="AB181" s="179"/>
      <c r="AC181" s="179"/>
      <c r="AD181" s="179"/>
      <c r="AE181" s="179"/>
      <c r="AF181" s="179"/>
      <c r="AG181" s="179"/>
      <c r="AH181" s="180"/>
      <c r="AJ181" s="544">
        <f ca="1">IF(AND($D181="Serviço",AJ$12&lt;&gt;0,$H181&gt;0,OR(AUTOEVENTO&lt;&gt;"manual",$M181&lt;&gt;1)),
IF(Import.TipoArredondamento&lt;&gt;"TransfereGOV",
ROUND(OFFSET($P181,0,AJ$13),15-13*ORÇAMENTO!$AF$7)/$H181*OFFSET(ORÇAMENTO!$X$15,ROW(AJ181)-ROW(AJ$15),0),
ROUND(ROUND(OFFSET($P181,0,AJ$13),15-13*ORÇAMENTO!$AF$7)*OFFSET(ORÇAMENTO!$W$15,ROW(AJ181)-ROW(AJ$15),0),15-13*ORÇAMENTO!$AF$11)),0)</f>
        <v>0</v>
      </c>
      <c r="AK181" s="545">
        <f ca="1">IF(AND($D181="Serviço",AK$12&lt;&gt;0,$H181&gt;0,OR(AUTOEVENTO&lt;&gt;"manual",$M181&lt;&gt;1)),
IF(Import.TipoArredondamento&lt;&gt;"TransfereGOV",
ROUND(OFFSET($P181,0,AK$13),15-13*ORÇAMENTO!$AF$7)/$H181*OFFSET(ORÇAMENTO!$X$15,ROW(AK181)-ROW(AK$15),0),
ROUND(ROUND(OFFSET($P181,0,AK$13),15-13*ORÇAMENTO!$AF$7)*OFFSET(ORÇAMENTO!$W$15,ROW(AK181)-ROW(AK$15),0),15-13*ORÇAMENTO!$AF$11)),0)</f>
        <v>0</v>
      </c>
      <c r="AL181" s="545">
        <f ca="1">IF(AND($D181="Serviço",AL$12&lt;&gt;0,$H181&gt;0,OR(AUTOEVENTO&lt;&gt;"manual",$M181&lt;&gt;1)),
IF(Import.TipoArredondamento&lt;&gt;"TransfereGOV",
ROUND(OFFSET($P181,0,AL$13),15-13*ORÇAMENTO!$AF$7)/$H181*OFFSET(ORÇAMENTO!$X$15,ROW(AL181)-ROW(AL$15),0),
ROUND(ROUND(OFFSET($P181,0,AL$13),15-13*ORÇAMENTO!$AF$7)*OFFSET(ORÇAMENTO!$W$15,ROW(AL181)-ROW(AL$15),0),15-13*ORÇAMENTO!$AF$11)),0)</f>
        <v>0</v>
      </c>
      <c r="AM181" s="545">
        <f ca="1">IF(AND($D181="Serviço",AM$12&lt;&gt;0,$H181&gt;0,OR(AUTOEVENTO&lt;&gt;"manual",$M181&lt;&gt;1)),
IF(Import.TipoArredondamento&lt;&gt;"TransfereGOV",
ROUND(OFFSET($P181,0,AM$13),15-13*ORÇAMENTO!$AF$7)/$H181*OFFSET(ORÇAMENTO!$X$15,ROW(AM181)-ROW(AM$15),0),
ROUND(ROUND(OFFSET($P181,0,AM$13),15-13*ORÇAMENTO!$AF$7)*OFFSET(ORÇAMENTO!$W$15,ROW(AM181)-ROW(AM$15),0),15-13*ORÇAMENTO!$AF$11)),0)</f>
        <v>0</v>
      </c>
      <c r="AN181" s="545">
        <f ca="1">IF(AND($D181="Serviço",AN$12&lt;&gt;0,$H181&gt;0,OR(AUTOEVENTO&lt;&gt;"manual",$M181&lt;&gt;1)),
IF(Import.TipoArredondamento&lt;&gt;"TransfereGOV",
ROUND(OFFSET($P181,0,AN$13),15-13*ORÇAMENTO!$AF$7)/$H181*OFFSET(ORÇAMENTO!$X$15,ROW(AN181)-ROW(AN$15),0),
ROUND(ROUND(OFFSET($P181,0,AN$13),15-13*ORÇAMENTO!$AF$7)*OFFSET(ORÇAMENTO!$W$15,ROW(AN181)-ROW(AN$15),0),15-13*ORÇAMENTO!$AF$11)),0)</f>
        <v>0</v>
      </c>
      <c r="AO181" s="545">
        <f ca="1">IF(AND($D181="Serviço",AO$12&lt;&gt;0,$H181&gt;0,OR(AUTOEVENTO&lt;&gt;"manual",$M181&lt;&gt;1)),
IF(Import.TipoArredondamento&lt;&gt;"TransfereGOV",
ROUND(OFFSET($P181,0,AO$13),15-13*ORÇAMENTO!$AF$7)/$H181*OFFSET(ORÇAMENTO!$X$15,ROW(AO181)-ROW(AO$15),0),
ROUND(ROUND(OFFSET($P181,0,AO$13),15-13*ORÇAMENTO!$AF$7)*OFFSET(ORÇAMENTO!$W$15,ROW(AO181)-ROW(AO$15),0),15-13*ORÇAMENTO!$AF$11)),0)</f>
        <v>0</v>
      </c>
      <c r="AP181" s="545">
        <f ca="1">IF(AND($D181="Serviço",AP$12&lt;&gt;0,$H181&gt;0,OR(AUTOEVENTO&lt;&gt;"manual",$M181&lt;&gt;1)),
IF(Import.TipoArredondamento&lt;&gt;"TransfereGOV",
ROUND(OFFSET($P181,0,AP$13),15-13*ORÇAMENTO!$AF$7)/$H181*OFFSET(ORÇAMENTO!$X$15,ROW(AP181)-ROW(AP$15),0),
ROUND(ROUND(OFFSET($P181,0,AP$13),15-13*ORÇAMENTO!$AF$7)*OFFSET(ORÇAMENTO!$W$15,ROW(AP181)-ROW(AP$15),0),15-13*ORÇAMENTO!$AF$11)),0)</f>
        <v>0</v>
      </c>
      <c r="AQ181" s="545">
        <f ca="1">IF(AND($D181="Serviço",AQ$12&lt;&gt;0,$H181&gt;0,OR(AUTOEVENTO&lt;&gt;"manual",$M181&lt;&gt;1)),
IF(Import.TipoArredondamento&lt;&gt;"TransfereGOV",
ROUND(OFFSET($P181,0,AQ$13),15-13*ORÇAMENTO!$AF$7)/$H181*OFFSET(ORÇAMENTO!$X$15,ROW(AQ181)-ROW(AQ$15),0),
ROUND(ROUND(OFFSET($P181,0,AQ$13),15-13*ORÇAMENTO!$AF$7)*OFFSET(ORÇAMENTO!$W$15,ROW(AQ181)-ROW(AQ$15),0),15-13*ORÇAMENTO!$AF$11)),0)</f>
        <v>0</v>
      </c>
      <c r="AR181" s="545">
        <f ca="1">IF(AND($D181="Serviço",AR$12&lt;&gt;0,$H181&gt;0,OR(AUTOEVENTO&lt;&gt;"manual",$M181&lt;&gt;1)),
IF(Import.TipoArredondamento&lt;&gt;"TransfereGOV",
ROUND(OFFSET($P181,0,AR$13),15-13*ORÇAMENTO!$AF$7)/$H181*OFFSET(ORÇAMENTO!$X$15,ROW(AR181)-ROW(AR$15),0),
ROUND(ROUND(OFFSET($P181,0,AR$13),15-13*ORÇAMENTO!$AF$7)*OFFSET(ORÇAMENTO!$W$15,ROW(AR181)-ROW(AR$15),0),15-13*ORÇAMENTO!$AF$11)),0)</f>
        <v>0</v>
      </c>
      <c r="AS181" s="546">
        <f ca="1">IF(AND($D181="Serviço",AS$12&lt;&gt;0,$H181&gt;0,OR(AUTOEVENTO&lt;&gt;"manual",$M181&lt;&gt;1)),
IF(Import.TipoArredondamento&lt;&gt;"TransfereGOV",
ROUND(OFFSET($P181,0,AS$13),15-13*ORÇAMENTO!$AF$7)/$H181*OFFSET(ORÇAMENTO!$X$15,ROW(AS181)-ROW(AS$15),0),
ROUND(ROUND(OFFSET($P181,0,AS$13),15-13*ORÇAMENTO!$AF$7)*OFFSET(ORÇAMENTO!$W$15,ROW(AS181)-ROW(AS$15),0),15-13*ORÇAMENTO!$AF$11)),0)</f>
        <v>0</v>
      </c>
      <c r="AT181" s="545">
        <f ca="1">IF(AND($D181="Serviço",AT$12&lt;&gt;0,$H181&gt;0,OR(AUTOEVENTO&lt;&gt;"manual",$M181&lt;&gt;1)),
IF(Import.TipoArredondamento&lt;&gt;"TransfereGOV",
ROUND(OFFSET($P181,0,AT$13),15-13*ORÇAMENTO!$AF$7)/$H181*OFFSET(ORÇAMENTO!$X$15,ROW(AT181)-ROW(AT$15),0),
ROUND(ROUND(OFFSET($P181,0,AT$13),15-13*ORÇAMENTO!$AF$7)*OFFSET(ORÇAMENTO!$W$15,ROW(AT181)-ROW(AT$15),0),15-13*ORÇAMENTO!$AF$11)),0)</f>
        <v>0</v>
      </c>
      <c r="AU181" s="545">
        <f ca="1">IF(AND($D181="Serviço",AU$12&lt;&gt;0,$H181&gt;0,OR(AUTOEVENTO&lt;&gt;"manual",$M181&lt;&gt;1)),
IF(Import.TipoArredondamento&lt;&gt;"TransfereGOV",
ROUND(OFFSET($P181,0,AU$13),15-13*ORÇAMENTO!$AF$7)/$H181*OFFSET(ORÇAMENTO!$X$15,ROW(AU181)-ROW(AU$15),0),
ROUND(ROUND(OFFSET($P181,0,AU$13),15-13*ORÇAMENTO!$AF$7)*OFFSET(ORÇAMENTO!$W$15,ROW(AU181)-ROW(AU$15),0),15-13*ORÇAMENTO!$AF$11)),0)</f>
        <v>0</v>
      </c>
      <c r="AV181" s="545">
        <f ca="1">IF(AND($D181="Serviço",AV$12&lt;&gt;0,$H181&gt;0,OR(AUTOEVENTO&lt;&gt;"manual",$M181&lt;&gt;1)),
IF(Import.TipoArredondamento&lt;&gt;"TransfereGOV",
ROUND(OFFSET($P181,0,AV$13),15-13*ORÇAMENTO!$AF$7)/$H181*OFFSET(ORÇAMENTO!$X$15,ROW(AV181)-ROW(AV$15),0),
ROUND(ROUND(OFFSET($P181,0,AV$13),15-13*ORÇAMENTO!$AF$7)*OFFSET(ORÇAMENTO!$W$15,ROW(AV181)-ROW(AV$15),0),15-13*ORÇAMENTO!$AF$11)),0)</f>
        <v>0</v>
      </c>
      <c r="AW181" s="545">
        <f ca="1">IF(AND($D181="Serviço",AW$12&lt;&gt;0,$H181&gt;0,OR(AUTOEVENTO&lt;&gt;"manual",$M181&lt;&gt;1)),
IF(Import.TipoArredondamento&lt;&gt;"TransfereGOV",
ROUND(OFFSET($P181,0,AW$13),15-13*ORÇAMENTO!$AF$7)/$H181*OFFSET(ORÇAMENTO!$X$15,ROW(AW181)-ROW(AW$15),0),
ROUND(ROUND(OFFSET($P181,0,AW$13),15-13*ORÇAMENTO!$AF$7)*OFFSET(ORÇAMENTO!$W$15,ROW(AW181)-ROW(AW$15),0),15-13*ORÇAMENTO!$AF$11)),0)</f>
        <v>0</v>
      </c>
      <c r="AX181" s="545">
        <f ca="1">IF(AND($D181="Serviço",AX$12&lt;&gt;0,$H181&gt;0,OR(AUTOEVENTO&lt;&gt;"manual",$M181&lt;&gt;1)),
IF(Import.TipoArredondamento&lt;&gt;"TransfereGOV",
ROUND(OFFSET($P181,0,AX$13),15-13*ORÇAMENTO!$AF$7)/$H181*OFFSET(ORÇAMENTO!$X$15,ROW(AX181)-ROW(AX$15),0),
ROUND(ROUND(OFFSET($P181,0,AX$13),15-13*ORÇAMENTO!$AF$7)*OFFSET(ORÇAMENTO!$W$15,ROW(AX181)-ROW(AX$15),0),15-13*ORÇAMENTO!$AF$11)),0)</f>
        <v>0</v>
      </c>
      <c r="AY181" s="545">
        <f ca="1">IF(AND($D181="Serviço",AY$12&lt;&gt;0,$H181&gt;0,OR(AUTOEVENTO&lt;&gt;"manual",$M181&lt;&gt;1)),
IF(Import.TipoArredondamento&lt;&gt;"TransfereGOV",
ROUND(OFFSET($P181,0,AY$13),15-13*ORÇAMENTO!$AF$7)/$H181*OFFSET(ORÇAMENTO!$X$15,ROW(AY181)-ROW(AY$15),0),
ROUND(ROUND(OFFSET($P181,0,AY$13),15-13*ORÇAMENTO!$AF$7)*OFFSET(ORÇAMENTO!$W$15,ROW(AY181)-ROW(AY$15),0),15-13*ORÇAMENTO!$AF$11)),0)</f>
        <v>0</v>
      </c>
      <c r="AZ181" s="545">
        <f ca="1">IF(AND($D181="Serviço",AZ$12&lt;&gt;0,$H181&gt;0,OR(AUTOEVENTO&lt;&gt;"manual",$M181&lt;&gt;1)),
IF(Import.TipoArredondamento&lt;&gt;"TransfereGOV",
ROUND(OFFSET($P181,0,AZ$13),15-13*ORÇAMENTO!$AF$7)/$H181*OFFSET(ORÇAMENTO!$X$15,ROW(AZ181)-ROW(AZ$15),0),
ROUND(ROUND(OFFSET($P181,0,AZ$13),15-13*ORÇAMENTO!$AF$7)*OFFSET(ORÇAMENTO!$W$15,ROW(AZ181)-ROW(AZ$15),0),15-13*ORÇAMENTO!$AF$11)),0)</f>
        <v>0</v>
      </c>
      <c r="BA181" s="546">
        <f ca="1">IF(AND($D181="Serviço",BA$12&lt;&gt;0,$H181&gt;0,OR(AUTOEVENTO&lt;&gt;"manual",$M181&lt;&gt;1)),
IF(Import.TipoArredondamento&lt;&gt;"TransfereGOV",
ROUND(OFFSET($P181,0,BA$13),15-13*ORÇAMENTO!$AF$7)/$H181*OFFSET(ORÇAMENTO!$X$15,ROW(BA181)-ROW(BA$15),0),
ROUND(ROUND(OFFSET($P181,0,BA$13),15-13*ORÇAMENTO!$AF$7)*OFFSET(ORÇAMENTO!$W$15,ROW(BA181)-ROW(BA$15),0),15-13*ORÇAMENTO!$AF$11)),0)</f>
        <v>0</v>
      </c>
      <c r="BC181" s="181">
        <f ca="1">IF($D181&lt;&gt;"Serviço",0,IF(AND(AUTOEVENTO="Manual",$M181=1),0,IF(OFFSET(CRONOPLE!$F$14,$M181,BC$13)="",10^12,OFFSET(CRONOPLE!$F$14,$M181,BC$13))))</f>
        <v>7</v>
      </c>
      <c r="BD181" s="181">
        <f ca="1">IF($D181&lt;&gt;"Serviço",0,IF(AND(AUTOEVENTO="Manual",$M181=1),0,IF(OFFSET(CRONOPLE!$F$14,$M181,BD$13)="",10^12,OFFSET(CRONOPLE!$F$14,$M181,BD$13))))</f>
        <v>1000000000000</v>
      </c>
      <c r="BE181" s="181">
        <f ca="1">IF($D181&lt;&gt;"Serviço",0,IF(AND(AUTOEVENTO="Manual",$M181=1),0,IF(OFFSET(CRONOPLE!$F$14,$M181,BE$13)="",10^12,OFFSET(CRONOPLE!$F$14,$M181,BE$13))))</f>
        <v>1000000000000</v>
      </c>
      <c r="BF181" s="181">
        <f ca="1">IF($D181&lt;&gt;"Serviço",0,IF(AND(AUTOEVENTO="Manual",$M181=1),0,IF(OFFSET(CRONOPLE!$F$14,$M181,BF$13)="",10^12,OFFSET(CRONOPLE!$F$14,$M181,BF$13))))</f>
        <v>1000000000000</v>
      </c>
      <c r="BG181" s="181">
        <f ca="1">IF($D181&lt;&gt;"Serviço",0,IF(AND(AUTOEVENTO="Manual",$M181=1),0,IF(OFFSET(CRONOPLE!$F$14,$M181,BG$13)="",10^12,OFFSET(CRONOPLE!$F$14,$M181,BG$13))))</f>
        <v>1000000000000</v>
      </c>
      <c r="BH181" s="181">
        <f ca="1">IF($D181&lt;&gt;"Serviço",0,IF(AND(AUTOEVENTO="Manual",$M181=1),0,IF(OFFSET(CRONOPLE!$F$14,$M181,BH$13)="",10^12,OFFSET(CRONOPLE!$F$14,$M181,BH$13))))</f>
        <v>1000000000000</v>
      </c>
      <c r="BI181" s="181">
        <f ca="1">IF($D181&lt;&gt;"Serviço",0,IF(AND(AUTOEVENTO="Manual",$M181=1),0,IF(OFFSET(CRONOPLE!$F$14,$M181,BI$13)="",10^12,OFFSET(CRONOPLE!$F$14,$M181,BI$13))))</f>
        <v>1000000000000</v>
      </c>
      <c r="BJ181" s="181">
        <f ca="1">IF($D181&lt;&gt;"Serviço",0,IF(AND(AUTOEVENTO="Manual",$M181=1),0,IF(OFFSET(CRONOPLE!$F$14,$M181,BJ$13)="",10^12,OFFSET(CRONOPLE!$F$14,$M181,BJ$13))))</f>
        <v>1000000000000</v>
      </c>
      <c r="BK181" s="181">
        <f ca="1">IF($D181&lt;&gt;"Serviço",0,IF(AND(AUTOEVENTO="Manual",$M181=1),0,IF(OFFSET(CRONOPLE!$F$14,$M181,BK$13)="",10^12,OFFSET(CRONOPLE!$F$14,$M181,BK$13))))</f>
        <v>1000000000000</v>
      </c>
      <c r="BL181" s="181">
        <f ca="1">IF($D181&lt;&gt;"Serviço",0,IF(AND(AUTOEVENTO="Manual",$M181=1),0,IF(OFFSET(CRONOPLE!$F$14,$M181,BL$13)="",10^12,OFFSET(CRONOPLE!$F$14,$M181,BL$13))))</f>
        <v>1000000000000</v>
      </c>
      <c r="BM181" s="181">
        <f ca="1">IF($D181&lt;&gt;"Serviço",0,IF(AND(AUTOEVENTO="Manual",$M181=1),0,IF(OFFSET(CRONOPLE!$F$14,$M181,BM$13)="",10^12,OFFSET(CRONOPLE!$F$14,$M181,BM$13))))</f>
        <v>1000000000000</v>
      </c>
      <c r="BN181" s="181">
        <f ca="1">IF($D181&lt;&gt;"Serviço",0,IF(AND(AUTOEVENTO="Manual",$M181=1),0,IF(OFFSET(CRONOPLE!$F$14,$M181,BN$13)="",10^12,OFFSET(CRONOPLE!$F$14,$M181,BN$13))))</f>
        <v>1000000000000</v>
      </c>
      <c r="BO181" s="181">
        <f ca="1">IF($D181&lt;&gt;"Serviço",0,IF(AND(AUTOEVENTO="Manual",$M181=1),0,IF(OFFSET(CRONOPLE!$F$14,$M181,BO$13)="",10^12,OFFSET(CRONOPLE!$F$14,$M181,BO$13))))</f>
        <v>1000000000000</v>
      </c>
      <c r="BP181" s="181">
        <f ca="1">IF($D181&lt;&gt;"Serviço",0,IF(AND(AUTOEVENTO="Manual",$M181=1),0,IF(OFFSET(CRONOPLE!$F$14,$M181,BP$13)="",10^12,OFFSET(CRONOPLE!$F$14,$M181,BP$13))))</f>
        <v>1000000000000</v>
      </c>
      <c r="BQ181" s="181">
        <f ca="1">IF($D181&lt;&gt;"Serviço",0,IF(AND(AUTOEVENTO="Manual",$M181=1),0,IF(OFFSET(CRONOPLE!$F$14,$M181,BQ$13)="",10^12,OFFSET(CRONOPLE!$F$14,$M181,BQ$13))))</f>
        <v>1000000000000</v>
      </c>
      <c r="BR181" s="181">
        <f ca="1">IF($D181&lt;&gt;"Serviço",0,IF(AND(AUTOEVENTO="Manual",$M181=1),0,IF(OFFSET(CRONOPLE!$F$14,$M181,BR$13)="",10^12,OFFSET(CRONOPLE!$F$14,$M181,BR$13))))</f>
        <v>1000000000000</v>
      </c>
      <c r="BS181" s="181">
        <f ca="1">IF($D181&lt;&gt;"Serviço",0,IF(AND(AUTOEVENTO="Manual",$M181=1),0,IF(OFFSET(CRONOPLE!$F$14,$M181,BS$13)="",10^12,OFFSET(CRONOPLE!$F$14,$M181,BS$13))))</f>
        <v>1000000000000</v>
      </c>
      <c r="BT181" s="181">
        <f ca="1">IF($D181&lt;&gt;"Serviço",0,IF(AND(AUTOEVENTO="Manual",$M181=1),0,IF(OFFSET(CRONOPLE!$F$14,$M181,BT$13)="",10^12,OFFSET(CRONOPLE!$F$14,$M181,BT$13))))</f>
        <v>1000000000000</v>
      </c>
      <c r="BV181" s="182">
        <f ca="1">IF($D181&lt;&gt;"Serviço",0,IF(OR(AND(AUTOEVENTO="Manual",$M181=1),$M181&gt;(ROW(PLE.lastrow)-ROW(PLE.firstrow))),0,IF(OFFSET(PLE!$G$14,$M181,BV$13)="",10^12,OFFSET(PLE!$G$14,$M181,BV$13))))</f>
        <v>1000000000000</v>
      </c>
      <c r="BW181" s="182">
        <f ca="1">IF($D181&lt;&gt;"Serviço",0,IF(OR(AND(AUTOEVENTO="Manual",$M181=1),$M181&gt;(ROW(PLE.lastrow)-ROW(PLE.firstrow))),0,IF(OFFSET(PLE!$G$14,$M181,BW$13)="",10^12,OFFSET(PLE!$G$14,$M181,BW$13))))</f>
        <v>1000000000000</v>
      </c>
      <c r="BX181" s="182">
        <f ca="1">IF($D181&lt;&gt;"Serviço",0,IF(OR(AND(AUTOEVENTO="Manual",$M181=1),$M181&gt;(ROW(PLE.lastrow)-ROW(PLE.firstrow))),0,IF(OFFSET(PLE!$G$14,$M181,BX$13)="",10^12,OFFSET(PLE!$G$14,$M181,BX$13))))</f>
        <v>1000000000000</v>
      </c>
      <c r="BY181" s="182">
        <f ca="1">IF($D181&lt;&gt;"Serviço",0,IF(OR(AND(AUTOEVENTO="Manual",$M181=1),$M181&gt;(ROW(PLE.lastrow)-ROW(PLE.firstrow))),0,IF(OFFSET(PLE!$G$14,$M181,BY$13)="",10^12,OFFSET(PLE!$G$14,$M181,BY$13))))</f>
        <v>1000000000000</v>
      </c>
      <c r="BZ181" s="182">
        <f ca="1">IF($D181&lt;&gt;"Serviço",0,IF(OR(AND(AUTOEVENTO="Manual",$M181=1),$M181&gt;(ROW(PLE.lastrow)-ROW(PLE.firstrow))),0,IF(OFFSET(PLE!$G$14,$M181,BZ$13)="",10^12,OFFSET(PLE!$G$14,$M181,BZ$13))))</f>
        <v>1000000000000</v>
      </c>
      <c r="CA181" s="182">
        <f ca="1">IF($D181&lt;&gt;"Serviço",0,IF(OR(AND(AUTOEVENTO="Manual",$M181=1),$M181&gt;(ROW(PLE.lastrow)-ROW(PLE.firstrow))),0,IF(OFFSET(PLE!$G$14,$M181,CA$13)="",10^12,OFFSET(PLE!$G$14,$M181,CA$13))))</f>
        <v>1000000000000</v>
      </c>
      <c r="CB181" s="182">
        <f ca="1">IF($D181&lt;&gt;"Serviço",0,IF(OR(AND(AUTOEVENTO="Manual",$M181=1),$M181&gt;(ROW(PLE.lastrow)-ROW(PLE.firstrow))),0,IF(OFFSET(PLE!$G$14,$M181,CB$13)="",10^12,OFFSET(PLE!$G$14,$M181,CB$13))))</f>
        <v>1000000000000</v>
      </c>
      <c r="CC181" s="182">
        <f ca="1">IF($D181&lt;&gt;"Serviço",0,IF(OR(AND(AUTOEVENTO="Manual",$M181=1),$M181&gt;(ROW(PLE.lastrow)-ROW(PLE.firstrow))),0,IF(OFFSET(PLE!$G$14,$M181,CC$13)="",10^12,OFFSET(PLE!$G$14,$M181,CC$13))))</f>
        <v>1000000000000</v>
      </c>
      <c r="CD181" s="182">
        <f ca="1">IF($D181&lt;&gt;"Serviço",0,IF(OR(AND(AUTOEVENTO="Manual",$M181=1),$M181&gt;(ROW(PLE.lastrow)-ROW(PLE.firstrow))),0,IF(OFFSET(PLE!$G$14,$M181,CD$13)="",10^12,OFFSET(PLE!$G$14,$M181,CD$13))))</f>
        <v>1000000000000</v>
      </c>
      <c r="CE181" s="182">
        <f ca="1">IF($D181&lt;&gt;"Serviço",0,IF(OR(AND(AUTOEVENTO="Manual",$M181=1),$M181&gt;(ROW(PLE.lastrow)-ROW(PLE.firstrow))),0,IF(OFFSET(PLE!$G$14,$M181,CE$13)="",10^12,OFFSET(PLE!$G$14,$M181,CE$13))))</f>
        <v>1000000000000</v>
      </c>
      <c r="CF181" s="182">
        <f ca="1">IF($D181&lt;&gt;"Serviço",0,IF(OR(AND(AUTOEVENTO="Manual",$M181=1),$M181&gt;(ROW(PLE.lastrow)-ROW(PLE.firstrow))),0,IF(OFFSET(PLE!$G$14,$M181,CF$13)="",10^12,OFFSET(PLE!$G$14,$M181,CF$13))))</f>
        <v>1000000000000</v>
      </c>
      <c r="CG181" s="182">
        <f ca="1">IF($D181&lt;&gt;"Serviço",0,IF(OR(AND(AUTOEVENTO="Manual",$M181=1),$M181&gt;(ROW(PLE.lastrow)-ROW(PLE.firstrow))),0,IF(OFFSET(PLE!$G$14,$M181,CG$13)="",10^12,OFFSET(PLE!$G$14,$M181,CG$13))))</f>
        <v>1000000000000</v>
      </c>
      <c r="CH181" s="182">
        <f ca="1">IF($D181&lt;&gt;"Serviço",0,IF(OR(AND(AUTOEVENTO="Manual",$M181=1),$M181&gt;(ROW(PLE.lastrow)-ROW(PLE.firstrow))),0,IF(OFFSET(PLE!$G$14,$M181,CH$13)="",10^12,OFFSET(PLE!$G$14,$M181,CH$13))))</f>
        <v>1000000000000</v>
      </c>
      <c r="CI181" s="182">
        <f ca="1">IF($D181&lt;&gt;"Serviço",0,IF(OR(AND(AUTOEVENTO="Manual",$M181=1),$M181&gt;(ROW(PLE.lastrow)-ROW(PLE.firstrow))),0,IF(OFFSET(PLE!$G$14,$M181,CI$13)="",10^12,OFFSET(PLE!$G$14,$M181,CI$13))))</f>
        <v>1000000000000</v>
      </c>
      <c r="CJ181" s="182">
        <f ca="1">IF($D181&lt;&gt;"Serviço",0,IF(OR(AND(AUTOEVENTO="Manual",$M181=1),$M181&gt;(ROW(PLE.lastrow)-ROW(PLE.firstrow))),0,IF(OFFSET(PLE!$G$14,$M181,CJ$13)="",10^12,OFFSET(PLE!$G$14,$M181,CJ$13))))</f>
        <v>1000000000000</v>
      </c>
      <c r="CK181" s="182">
        <f ca="1">IF($D181&lt;&gt;"Serviço",0,IF(OR(AND(AUTOEVENTO="Manual",$M181=1),$M181&gt;(ROW(PLE.lastrow)-ROW(PLE.firstrow))),0,IF(OFFSET(PLE!$G$14,$M181,CK$13)="",10^12,OFFSET(PLE!$G$14,$M181,CK$13))))</f>
        <v>1000000000000</v>
      </c>
      <c r="CL181" s="182">
        <f ca="1">IF($D181&lt;&gt;"Serviço",0,IF(OR(AND(AUTOEVENTO="Manual",$M181=1),$M181&gt;(ROW(PLE.lastrow)-ROW(PLE.firstrow))),0,IF(OFFSET(PLE!$G$14,$M181,CL$13)="",10^12,OFFSET(PLE!$G$14,$M181,CL$13))))</f>
        <v>1000000000000</v>
      </c>
      <c r="CM181" s="182">
        <f ca="1">IF($D181&lt;&gt;"Serviço",0,IF(OR(AND(AUTOEVENTO="Manual",$M181=1),$M181&gt;(ROW(PLE.lastrow)-ROW(PLE.firstrow))),0,IF(OFFSET(PLE!$G$14,$M181,CM$13)="",10^12,OFFSET(PLE!$G$14,$M181,CM$13))))</f>
        <v>1000000000000</v>
      </c>
    </row>
    <row r="182" spans="1:91" ht="25.5" x14ac:dyDescent="0.2">
      <c r="A182" s="7" t="str">
        <f t="shared" ca="1" si="12"/>
        <v>161</v>
      </c>
      <c r="B182" s="7" t="str">
        <f ca="1">OFFSET(ORÇAMENTO!C$15,ROW(B182)-ROW(B$15),0)</f>
        <v>S</v>
      </c>
      <c r="C182" s="7" t="str">
        <f ca="1">OFFSET(ORÇAMENTO!L$15,ROW(C182)-ROW(C$15),0)</f>
        <v/>
      </c>
      <c r="D182" s="118" t="str">
        <f ca="1">OFFSET(ORÇAMENTO!N$15,ROW(D182)-ROW(D$15),0)</f>
        <v>Serviço</v>
      </c>
      <c r="E182" s="119" t="str">
        <f ca="1">OFFSET(ORÇAMENTO!O$15,ROW(E182)-ROW(E$15),0)</f>
        <v>-</v>
      </c>
      <c r="F182" s="172" t="str">
        <f ca="1">OFFSET(ORÇAMENTO!R$15,ROW(F182)-ROW(F$15),0)</f>
        <v>(abra o arquivo 'Referência 06-2024.xlsm)</v>
      </c>
      <c r="G182" s="173" t="str">
        <f ca="1">IF($D182&lt;&gt;"Serviço","",OFFSET(ORÇAMENTO!S$15,ROW(G182)-ROW(G$15),0))</f>
        <v>-</v>
      </c>
      <c r="H182" s="124">
        <f ca="1">IF($D182&lt;&gt;"Serviço",0,IF(ACOMPANHAMENTO="BM",ROUND(OFFSET(ORÇAMENTO!AJ$15,ROW(H182)-ROW(H$15),0),15-13*ORÇAMENTO!$AF$7),SUMPRODUCT(($Q$12:$AI$12&lt;&gt;"")*ROUND($Q182:$AI182,15-13*ORÇAMENTO!$AF$7))))</f>
        <v>41.56</v>
      </c>
      <c r="I182" s="561" t="s">
        <v>1107</v>
      </c>
      <c r="K182" s="174"/>
      <c r="L182" s="175" t="s">
        <v>255</v>
      </c>
      <c r="M182" s="176">
        <f ca="1">IF($D182&lt;&gt;"Serviço","",IF(AUTOEVENTO="manual",$A182,IF(ISERROR(MATCH($A182,$A$15:OFFSET($A182,-1,0),0)),MAX($M$15:OFFSET(M182,-1,0))+1,INDEX($M$15:OFFSET(M182,-1,0),MATCH($A182,$A$15:OFFSET($A182,-1,0),0)))))</f>
        <v>26</v>
      </c>
      <c r="N182" s="177" t="str">
        <f ca="1">IF($D182&lt;&gt;"Serviço","",IF(AUTOEVENTO="Manual",IF($A182=0,"&lt;-- defina o número do agrupador",OFFSET(EVENTOS!$D$14,$A182,0)),OFFSET($F$15,$A182,0)))</f>
        <v>IMPERMEABILIZAÇÃO</v>
      </c>
      <c r="O182" s="178"/>
      <c r="Q182" s="178">
        <v>41.56</v>
      </c>
      <c r="R182" s="179"/>
      <c r="S182" s="179"/>
      <c r="T182" s="179"/>
      <c r="U182" s="179"/>
      <c r="V182" s="179"/>
      <c r="W182" s="179"/>
      <c r="X182" s="179"/>
      <c r="Y182" s="179"/>
      <c r="Z182" s="180"/>
      <c r="AA182" s="179"/>
      <c r="AB182" s="179"/>
      <c r="AC182" s="179"/>
      <c r="AD182" s="179"/>
      <c r="AE182" s="179"/>
      <c r="AF182" s="179"/>
      <c r="AG182" s="179"/>
      <c r="AH182" s="180"/>
      <c r="AJ182" s="544">
        <f ca="1">IF(AND($D182="Serviço",AJ$12&lt;&gt;0,$H182&gt;0,OR(AUTOEVENTO&lt;&gt;"manual",$M182&lt;&gt;1)),
IF(Import.TipoArredondamento&lt;&gt;"TransfereGOV",
ROUND(OFFSET($P182,0,AJ$13),15-13*ORÇAMENTO!$AF$7)/$H182*OFFSET(ORÇAMENTO!$X$15,ROW(AJ182)-ROW(AJ$15),0),
ROUND(ROUND(OFFSET($P182,0,AJ$13),15-13*ORÇAMENTO!$AF$7)*OFFSET(ORÇAMENTO!$W$15,ROW(AJ182)-ROW(AJ$15),0),15-13*ORÇAMENTO!$AF$11)),0)</f>
        <v>0</v>
      </c>
      <c r="AK182" s="545">
        <f ca="1">IF(AND($D182="Serviço",AK$12&lt;&gt;0,$H182&gt;0,OR(AUTOEVENTO&lt;&gt;"manual",$M182&lt;&gt;1)),
IF(Import.TipoArredondamento&lt;&gt;"TransfereGOV",
ROUND(OFFSET($P182,0,AK$13),15-13*ORÇAMENTO!$AF$7)/$H182*OFFSET(ORÇAMENTO!$X$15,ROW(AK182)-ROW(AK$15),0),
ROUND(ROUND(OFFSET($P182,0,AK$13),15-13*ORÇAMENTO!$AF$7)*OFFSET(ORÇAMENTO!$W$15,ROW(AK182)-ROW(AK$15),0),15-13*ORÇAMENTO!$AF$11)),0)</f>
        <v>0</v>
      </c>
      <c r="AL182" s="545">
        <f ca="1">IF(AND($D182="Serviço",AL$12&lt;&gt;0,$H182&gt;0,OR(AUTOEVENTO&lt;&gt;"manual",$M182&lt;&gt;1)),
IF(Import.TipoArredondamento&lt;&gt;"TransfereGOV",
ROUND(OFFSET($P182,0,AL$13),15-13*ORÇAMENTO!$AF$7)/$H182*OFFSET(ORÇAMENTO!$X$15,ROW(AL182)-ROW(AL$15),0),
ROUND(ROUND(OFFSET($P182,0,AL$13),15-13*ORÇAMENTO!$AF$7)*OFFSET(ORÇAMENTO!$W$15,ROW(AL182)-ROW(AL$15),0),15-13*ORÇAMENTO!$AF$11)),0)</f>
        <v>0</v>
      </c>
      <c r="AM182" s="545">
        <f ca="1">IF(AND($D182="Serviço",AM$12&lt;&gt;0,$H182&gt;0,OR(AUTOEVENTO&lt;&gt;"manual",$M182&lt;&gt;1)),
IF(Import.TipoArredondamento&lt;&gt;"TransfereGOV",
ROUND(OFFSET($P182,0,AM$13),15-13*ORÇAMENTO!$AF$7)/$H182*OFFSET(ORÇAMENTO!$X$15,ROW(AM182)-ROW(AM$15),0),
ROUND(ROUND(OFFSET($P182,0,AM$13),15-13*ORÇAMENTO!$AF$7)*OFFSET(ORÇAMENTO!$W$15,ROW(AM182)-ROW(AM$15),0),15-13*ORÇAMENTO!$AF$11)),0)</f>
        <v>0</v>
      </c>
      <c r="AN182" s="545">
        <f ca="1">IF(AND($D182="Serviço",AN$12&lt;&gt;0,$H182&gt;0,OR(AUTOEVENTO&lt;&gt;"manual",$M182&lt;&gt;1)),
IF(Import.TipoArredondamento&lt;&gt;"TransfereGOV",
ROUND(OFFSET($P182,0,AN$13),15-13*ORÇAMENTO!$AF$7)/$H182*OFFSET(ORÇAMENTO!$X$15,ROW(AN182)-ROW(AN$15),0),
ROUND(ROUND(OFFSET($P182,0,AN$13),15-13*ORÇAMENTO!$AF$7)*OFFSET(ORÇAMENTO!$W$15,ROW(AN182)-ROW(AN$15),0),15-13*ORÇAMENTO!$AF$11)),0)</f>
        <v>0</v>
      </c>
      <c r="AO182" s="545">
        <f ca="1">IF(AND($D182="Serviço",AO$12&lt;&gt;0,$H182&gt;0,OR(AUTOEVENTO&lt;&gt;"manual",$M182&lt;&gt;1)),
IF(Import.TipoArredondamento&lt;&gt;"TransfereGOV",
ROUND(OFFSET($P182,0,AO$13),15-13*ORÇAMENTO!$AF$7)/$H182*OFFSET(ORÇAMENTO!$X$15,ROW(AO182)-ROW(AO$15),0),
ROUND(ROUND(OFFSET($P182,0,AO$13),15-13*ORÇAMENTO!$AF$7)*OFFSET(ORÇAMENTO!$W$15,ROW(AO182)-ROW(AO$15),0),15-13*ORÇAMENTO!$AF$11)),0)</f>
        <v>0</v>
      </c>
      <c r="AP182" s="545">
        <f ca="1">IF(AND($D182="Serviço",AP$12&lt;&gt;0,$H182&gt;0,OR(AUTOEVENTO&lt;&gt;"manual",$M182&lt;&gt;1)),
IF(Import.TipoArredondamento&lt;&gt;"TransfereGOV",
ROUND(OFFSET($P182,0,AP$13),15-13*ORÇAMENTO!$AF$7)/$H182*OFFSET(ORÇAMENTO!$X$15,ROW(AP182)-ROW(AP$15),0),
ROUND(ROUND(OFFSET($P182,0,AP$13),15-13*ORÇAMENTO!$AF$7)*OFFSET(ORÇAMENTO!$W$15,ROW(AP182)-ROW(AP$15),0),15-13*ORÇAMENTO!$AF$11)),0)</f>
        <v>0</v>
      </c>
      <c r="AQ182" s="545">
        <f ca="1">IF(AND($D182="Serviço",AQ$12&lt;&gt;0,$H182&gt;0,OR(AUTOEVENTO&lt;&gt;"manual",$M182&lt;&gt;1)),
IF(Import.TipoArredondamento&lt;&gt;"TransfereGOV",
ROUND(OFFSET($P182,0,AQ$13),15-13*ORÇAMENTO!$AF$7)/$H182*OFFSET(ORÇAMENTO!$X$15,ROW(AQ182)-ROW(AQ$15),0),
ROUND(ROUND(OFFSET($P182,0,AQ$13),15-13*ORÇAMENTO!$AF$7)*OFFSET(ORÇAMENTO!$W$15,ROW(AQ182)-ROW(AQ$15),0),15-13*ORÇAMENTO!$AF$11)),0)</f>
        <v>0</v>
      </c>
      <c r="AR182" s="545">
        <f ca="1">IF(AND($D182="Serviço",AR$12&lt;&gt;0,$H182&gt;0,OR(AUTOEVENTO&lt;&gt;"manual",$M182&lt;&gt;1)),
IF(Import.TipoArredondamento&lt;&gt;"TransfereGOV",
ROUND(OFFSET($P182,0,AR$13),15-13*ORÇAMENTO!$AF$7)/$H182*OFFSET(ORÇAMENTO!$X$15,ROW(AR182)-ROW(AR$15),0),
ROUND(ROUND(OFFSET($P182,0,AR$13),15-13*ORÇAMENTO!$AF$7)*OFFSET(ORÇAMENTO!$W$15,ROW(AR182)-ROW(AR$15),0),15-13*ORÇAMENTO!$AF$11)),0)</f>
        <v>0</v>
      </c>
      <c r="AS182" s="546">
        <f ca="1">IF(AND($D182="Serviço",AS$12&lt;&gt;0,$H182&gt;0,OR(AUTOEVENTO&lt;&gt;"manual",$M182&lt;&gt;1)),
IF(Import.TipoArredondamento&lt;&gt;"TransfereGOV",
ROUND(OFFSET($P182,0,AS$13),15-13*ORÇAMENTO!$AF$7)/$H182*OFFSET(ORÇAMENTO!$X$15,ROW(AS182)-ROW(AS$15),0),
ROUND(ROUND(OFFSET($P182,0,AS$13),15-13*ORÇAMENTO!$AF$7)*OFFSET(ORÇAMENTO!$W$15,ROW(AS182)-ROW(AS$15),0),15-13*ORÇAMENTO!$AF$11)),0)</f>
        <v>0</v>
      </c>
      <c r="AT182" s="545">
        <f ca="1">IF(AND($D182="Serviço",AT$12&lt;&gt;0,$H182&gt;0,OR(AUTOEVENTO&lt;&gt;"manual",$M182&lt;&gt;1)),
IF(Import.TipoArredondamento&lt;&gt;"TransfereGOV",
ROUND(OFFSET($P182,0,AT$13),15-13*ORÇAMENTO!$AF$7)/$H182*OFFSET(ORÇAMENTO!$X$15,ROW(AT182)-ROW(AT$15),0),
ROUND(ROUND(OFFSET($P182,0,AT$13),15-13*ORÇAMENTO!$AF$7)*OFFSET(ORÇAMENTO!$W$15,ROW(AT182)-ROW(AT$15),0),15-13*ORÇAMENTO!$AF$11)),0)</f>
        <v>0</v>
      </c>
      <c r="AU182" s="545">
        <f ca="1">IF(AND($D182="Serviço",AU$12&lt;&gt;0,$H182&gt;0,OR(AUTOEVENTO&lt;&gt;"manual",$M182&lt;&gt;1)),
IF(Import.TipoArredondamento&lt;&gt;"TransfereGOV",
ROUND(OFFSET($P182,0,AU$13),15-13*ORÇAMENTO!$AF$7)/$H182*OFFSET(ORÇAMENTO!$X$15,ROW(AU182)-ROW(AU$15),0),
ROUND(ROUND(OFFSET($P182,0,AU$13),15-13*ORÇAMENTO!$AF$7)*OFFSET(ORÇAMENTO!$W$15,ROW(AU182)-ROW(AU$15),0),15-13*ORÇAMENTO!$AF$11)),0)</f>
        <v>0</v>
      </c>
      <c r="AV182" s="545">
        <f ca="1">IF(AND($D182="Serviço",AV$12&lt;&gt;0,$H182&gt;0,OR(AUTOEVENTO&lt;&gt;"manual",$M182&lt;&gt;1)),
IF(Import.TipoArredondamento&lt;&gt;"TransfereGOV",
ROUND(OFFSET($P182,0,AV$13),15-13*ORÇAMENTO!$AF$7)/$H182*OFFSET(ORÇAMENTO!$X$15,ROW(AV182)-ROW(AV$15),0),
ROUND(ROUND(OFFSET($P182,0,AV$13),15-13*ORÇAMENTO!$AF$7)*OFFSET(ORÇAMENTO!$W$15,ROW(AV182)-ROW(AV$15),0),15-13*ORÇAMENTO!$AF$11)),0)</f>
        <v>0</v>
      </c>
      <c r="AW182" s="545">
        <f ca="1">IF(AND($D182="Serviço",AW$12&lt;&gt;0,$H182&gt;0,OR(AUTOEVENTO&lt;&gt;"manual",$M182&lt;&gt;1)),
IF(Import.TipoArredondamento&lt;&gt;"TransfereGOV",
ROUND(OFFSET($P182,0,AW$13),15-13*ORÇAMENTO!$AF$7)/$H182*OFFSET(ORÇAMENTO!$X$15,ROW(AW182)-ROW(AW$15),0),
ROUND(ROUND(OFFSET($P182,0,AW$13),15-13*ORÇAMENTO!$AF$7)*OFFSET(ORÇAMENTO!$W$15,ROW(AW182)-ROW(AW$15),0),15-13*ORÇAMENTO!$AF$11)),0)</f>
        <v>0</v>
      </c>
      <c r="AX182" s="545">
        <f ca="1">IF(AND($D182="Serviço",AX$12&lt;&gt;0,$H182&gt;0,OR(AUTOEVENTO&lt;&gt;"manual",$M182&lt;&gt;1)),
IF(Import.TipoArredondamento&lt;&gt;"TransfereGOV",
ROUND(OFFSET($P182,0,AX$13),15-13*ORÇAMENTO!$AF$7)/$H182*OFFSET(ORÇAMENTO!$X$15,ROW(AX182)-ROW(AX$15),0),
ROUND(ROUND(OFFSET($P182,0,AX$13),15-13*ORÇAMENTO!$AF$7)*OFFSET(ORÇAMENTO!$W$15,ROW(AX182)-ROW(AX$15),0),15-13*ORÇAMENTO!$AF$11)),0)</f>
        <v>0</v>
      </c>
      <c r="AY182" s="545">
        <f ca="1">IF(AND($D182="Serviço",AY$12&lt;&gt;0,$H182&gt;0,OR(AUTOEVENTO&lt;&gt;"manual",$M182&lt;&gt;1)),
IF(Import.TipoArredondamento&lt;&gt;"TransfereGOV",
ROUND(OFFSET($P182,0,AY$13),15-13*ORÇAMENTO!$AF$7)/$H182*OFFSET(ORÇAMENTO!$X$15,ROW(AY182)-ROW(AY$15),0),
ROUND(ROUND(OFFSET($P182,0,AY$13),15-13*ORÇAMENTO!$AF$7)*OFFSET(ORÇAMENTO!$W$15,ROW(AY182)-ROW(AY$15),0),15-13*ORÇAMENTO!$AF$11)),0)</f>
        <v>0</v>
      </c>
      <c r="AZ182" s="545">
        <f ca="1">IF(AND($D182="Serviço",AZ$12&lt;&gt;0,$H182&gt;0,OR(AUTOEVENTO&lt;&gt;"manual",$M182&lt;&gt;1)),
IF(Import.TipoArredondamento&lt;&gt;"TransfereGOV",
ROUND(OFFSET($P182,0,AZ$13),15-13*ORÇAMENTO!$AF$7)/$H182*OFFSET(ORÇAMENTO!$X$15,ROW(AZ182)-ROW(AZ$15),0),
ROUND(ROUND(OFFSET($P182,0,AZ$13),15-13*ORÇAMENTO!$AF$7)*OFFSET(ORÇAMENTO!$W$15,ROW(AZ182)-ROW(AZ$15),0),15-13*ORÇAMENTO!$AF$11)),0)</f>
        <v>0</v>
      </c>
      <c r="BA182" s="546">
        <f ca="1">IF(AND($D182="Serviço",BA$12&lt;&gt;0,$H182&gt;0,OR(AUTOEVENTO&lt;&gt;"manual",$M182&lt;&gt;1)),
IF(Import.TipoArredondamento&lt;&gt;"TransfereGOV",
ROUND(OFFSET($P182,0,BA$13),15-13*ORÇAMENTO!$AF$7)/$H182*OFFSET(ORÇAMENTO!$X$15,ROW(BA182)-ROW(BA$15),0),
ROUND(ROUND(OFFSET($P182,0,BA$13),15-13*ORÇAMENTO!$AF$7)*OFFSET(ORÇAMENTO!$W$15,ROW(BA182)-ROW(BA$15),0),15-13*ORÇAMENTO!$AF$11)),0)</f>
        <v>0</v>
      </c>
      <c r="BC182" s="181">
        <f ca="1">IF($D182&lt;&gt;"Serviço",0,IF(AND(AUTOEVENTO="Manual",$M182=1),0,IF(OFFSET(CRONOPLE!$F$14,$M182,BC$13)="",10^12,OFFSET(CRONOPLE!$F$14,$M182,BC$13))))</f>
        <v>7</v>
      </c>
      <c r="BD182" s="181">
        <f ca="1">IF($D182&lt;&gt;"Serviço",0,IF(AND(AUTOEVENTO="Manual",$M182=1),0,IF(OFFSET(CRONOPLE!$F$14,$M182,BD$13)="",10^12,OFFSET(CRONOPLE!$F$14,$M182,BD$13))))</f>
        <v>1000000000000</v>
      </c>
      <c r="BE182" s="181">
        <f ca="1">IF($D182&lt;&gt;"Serviço",0,IF(AND(AUTOEVENTO="Manual",$M182=1),0,IF(OFFSET(CRONOPLE!$F$14,$M182,BE$13)="",10^12,OFFSET(CRONOPLE!$F$14,$M182,BE$13))))</f>
        <v>1000000000000</v>
      </c>
      <c r="BF182" s="181">
        <f ca="1">IF($D182&lt;&gt;"Serviço",0,IF(AND(AUTOEVENTO="Manual",$M182=1),0,IF(OFFSET(CRONOPLE!$F$14,$M182,BF$13)="",10^12,OFFSET(CRONOPLE!$F$14,$M182,BF$13))))</f>
        <v>1000000000000</v>
      </c>
      <c r="BG182" s="181">
        <f ca="1">IF($D182&lt;&gt;"Serviço",0,IF(AND(AUTOEVENTO="Manual",$M182=1),0,IF(OFFSET(CRONOPLE!$F$14,$M182,BG$13)="",10^12,OFFSET(CRONOPLE!$F$14,$M182,BG$13))))</f>
        <v>1000000000000</v>
      </c>
      <c r="BH182" s="181">
        <f ca="1">IF($D182&lt;&gt;"Serviço",0,IF(AND(AUTOEVENTO="Manual",$M182=1),0,IF(OFFSET(CRONOPLE!$F$14,$M182,BH$13)="",10^12,OFFSET(CRONOPLE!$F$14,$M182,BH$13))))</f>
        <v>1000000000000</v>
      </c>
      <c r="BI182" s="181">
        <f ca="1">IF($D182&lt;&gt;"Serviço",0,IF(AND(AUTOEVENTO="Manual",$M182=1),0,IF(OFFSET(CRONOPLE!$F$14,$M182,BI$13)="",10^12,OFFSET(CRONOPLE!$F$14,$M182,BI$13))))</f>
        <v>1000000000000</v>
      </c>
      <c r="BJ182" s="181">
        <f ca="1">IF($D182&lt;&gt;"Serviço",0,IF(AND(AUTOEVENTO="Manual",$M182=1),0,IF(OFFSET(CRONOPLE!$F$14,$M182,BJ$13)="",10^12,OFFSET(CRONOPLE!$F$14,$M182,BJ$13))))</f>
        <v>1000000000000</v>
      </c>
      <c r="BK182" s="181">
        <f ca="1">IF($D182&lt;&gt;"Serviço",0,IF(AND(AUTOEVENTO="Manual",$M182=1),0,IF(OFFSET(CRONOPLE!$F$14,$M182,BK$13)="",10^12,OFFSET(CRONOPLE!$F$14,$M182,BK$13))))</f>
        <v>1000000000000</v>
      </c>
      <c r="BL182" s="181">
        <f ca="1">IF($D182&lt;&gt;"Serviço",0,IF(AND(AUTOEVENTO="Manual",$M182=1),0,IF(OFFSET(CRONOPLE!$F$14,$M182,BL$13)="",10^12,OFFSET(CRONOPLE!$F$14,$M182,BL$13))))</f>
        <v>1000000000000</v>
      </c>
      <c r="BM182" s="181">
        <f ca="1">IF($D182&lt;&gt;"Serviço",0,IF(AND(AUTOEVENTO="Manual",$M182=1),0,IF(OFFSET(CRONOPLE!$F$14,$M182,BM$13)="",10^12,OFFSET(CRONOPLE!$F$14,$M182,BM$13))))</f>
        <v>1000000000000</v>
      </c>
      <c r="BN182" s="181">
        <f ca="1">IF($D182&lt;&gt;"Serviço",0,IF(AND(AUTOEVENTO="Manual",$M182=1),0,IF(OFFSET(CRONOPLE!$F$14,$M182,BN$13)="",10^12,OFFSET(CRONOPLE!$F$14,$M182,BN$13))))</f>
        <v>1000000000000</v>
      </c>
      <c r="BO182" s="181">
        <f ca="1">IF($D182&lt;&gt;"Serviço",0,IF(AND(AUTOEVENTO="Manual",$M182=1),0,IF(OFFSET(CRONOPLE!$F$14,$M182,BO$13)="",10^12,OFFSET(CRONOPLE!$F$14,$M182,BO$13))))</f>
        <v>1000000000000</v>
      </c>
      <c r="BP182" s="181">
        <f ca="1">IF($D182&lt;&gt;"Serviço",0,IF(AND(AUTOEVENTO="Manual",$M182=1),0,IF(OFFSET(CRONOPLE!$F$14,$M182,BP$13)="",10^12,OFFSET(CRONOPLE!$F$14,$M182,BP$13))))</f>
        <v>1000000000000</v>
      </c>
      <c r="BQ182" s="181">
        <f ca="1">IF($D182&lt;&gt;"Serviço",0,IF(AND(AUTOEVENTO="Manual",$M182=1),0,IF(OFFSET(CRONOPLE!$F$14,$M182,BQ$13)="",10^12,OFFSET(CRONOPLE!$F$14,$M182,BQ$13))))</f>
        <v>1000000000000</v>
      </c>
      <c r="BR182" s="181">
        <f ca="1">IF($D182&lt;&gt;"Serviço",0,IF(AND(AUTOEVENTO="Manual",$M182=1),0,IF(OFFSET(CRONOPLE!$F$14,$M182,BR$13)="",10^12,OFFSET(CRONOPLE!$F$14,$M182,BR$13))))</f>
        <v>1000000000000</v>
      </c>
      <c r="BS182" s="181">
        <f ca="1">IF($D182&lt;&gt;"Serviço",0,IF(AND(AUTOEVENTO="Manual",$M182=1),0,IF(OFFSET(CRONOPLE!$F$14,$M182,BS$13)="",10^12,OFFSET(CRONOPLE!$F$14,$M182,BS$13))))</f>
        <v>1000000000000</v>
      </c>
      <c r="BT182" s="181">
        <f ca="1">IF($D182&lt;&gt;"Serviço",0,IF(AND(AUTOEVENTO="Manual",$M182=1),0,IF(OFFSET(CRONOPLE!$F$14,$M182,BT$13)="",10^12,OFFSET(CRONOPLE!$F$14,$M182,BT$13))))</f>
        <v>1000000000000</v>
      </c>
      <c r="BV182" s="182">
        <f ca="1">IF($D182&lt;&gt;"Serviço",0,IF(OR(AND(AUTOEVENTO="Manual",$M182=1),$M182&gt;(ROW(PLE.lastrow)-ROW(PLE.firstrow))),0,IF(OFFSET(PLE!$G$14,$M182,BV$13)="",10^12,OFFSET(PLE!$G$14,$M182,BV$13))))</f>
        <v>1000000000000</v>
      </c>
      <c r="BW182" s="182">
        <f ca="1">IF($D182&lt;&gt;"Serviço",0,IF(OR(AND(AUTOEVENTO="Manual",$M182=1),$M182&gt;(ROW(PLE.lastrow)-ROW(PLE.firstrow))),0,IF(OFFSET(PLE!$G$14,$M182,BW$13)="",10^12,OFFSET(PLE!$G$14,$M182,BW$13))))</f>
        <v>1000000000000</v>
      </c>
      <c r="BX182" s="182">
        <f ca="1">IF($D182&lt;&gt;"Serviço",0,IF(OR(AND(AUTOEVENTO="Manual",$M182=1),$M182&gt;(ROW(PLE.lastrow)-ROW(PLE.firstrow))),0,IF(OFFSET(PLE!$G$14,$M182,BX$13)="",10^12,OFFSET(PLE!$G$14,$M182,BX$13))))</f>
        <v>1000000000000</v>
      </c>
      <c r="BY182" s="182">
        <f ca="1">IF($D182&lt;&gt;"Serviço",0,IF(OR(AND(AUTOEVENTO="Manual",$M182=1),$M182&gt;(ROW(PLE.lastrow)-ROW(PLE.firstrow))),0,IF(OFFSET(PLE!$G$14,$M182,BY$13)="",10^12,OFFSET(PLE!$G$14,$M182,BY$13))))</f>
        <v>1000000000000</v>
      </c>
      <c r="BZ182" s="182">
        <f ca="1">IF($D182&lt;&gt;"Serviço",0,IF(OR(AND(AUTOEVENTO="Manual",$M182=1),$M182&gt;(ROW(PLE.lastrow)-ROW(PLE.firstrow))),0,IF(OFFSET(PLE!$G$14,$M182,BZ$13)="",10^12,OFFSET(PLE!$G$14,$M182,BZ$13))))</f>
        <v>1000000000000</v>
      </c>
      <c r="CA182" s="182">
        <f ca="1">IF($D182&lt;&gt;"Serviço",0,IF(OR(AND(AUTOEVENTO="Manual",$M182=1),$M182&gt;(ROW(PLE.lastrow)-ROW(PLE.firstrow))),0,IF(OFFSET(PLE!$G$14,$M182,CA$13)="",10^12,OFFSET(PLE!$G$14,$M182,CA$13))))</f>
        <v>1000000000000</v>
      </c>
      <c r="CB182" s="182">
        <f ca="1">IF($D182&lt;&gt;"Serviço",0,IF(OR(AND(AUTOEVENTO="Manual",$M182=1),$M182&gt;(ROW(PLE.lastrow)-ROW(PLE.firstrow))),0,IF(OFFSET(PLE!$G$14,$M182,CB$13)="",10^12,OFFSET(PLE!$G$14,$M182,CB$13))))</f>
        <v>1000000000000</v>
      </c>
      <c r="CC182" s="182">
        <f ca="1">IF($D182&lt;&gt;"Serviço",0,IF(OR(AND(AUTOEVENTO="Manual",$M182=1),$M182&gt;(ROW(PLE.lastrow)-ROW(PLE.firstrow))),0,IF(OFFSET(PLE!$G$14,$M182,CC$13)="",10^12,OFFSET(PLE!$G$14,$M182,CC$13))))</f>
        <v>1000000000000</v>
      </c>
      <c r="CD182" s="182">
        <f ca="1">IF($D182&lt;&gt;"Serviço",0,IF(OR(AND(AUTOEVENTO="Manual",$M182=1),$M182&gt;(ROW(PLE.lastrow)-ROW(PLE.firstrow))),0,IF(OFFSET(PLE!$G$14,$M182,CD$13)="",10^12,OFFSET(PLE!$G$14,$M182,CD$13))))</f>
        <v>1000000000000</v>
      </c>
      <c r="CE182" s="182">
        <f ca="1">IF($D182&lt;&gt;"Serviço",0,IF(OR(AND(AUTOEVENTO="Manual",$M182=1),$M182&gt;(ROW(PLE.lastrow)-ROW(PLE.firstrow))),0,IF(OFFSET(PLE!$G$14,$M182,CE$13)="",10^12,OFFSET(PLE!$G$14,$M182,CE$13))))</f>
        <v>1000000000000</v>
      </c>
      <c r="CF182" s="182">
        <f ca="1">IF($D182&lt;&gt;"Serviço",0,IF(OR(AND(AUTOEVENTO="Manual",$M182=1),$M182&gt;(ROW(PLE.lastrow)-ROW(PLE.firstrow))),0,IF(OFFSET(PLE!$G$14,$M182,CF$13)="",10^12,OFFSET(PLE!$G$14,$M182,CF$13))))</f>
        <v>1000000000000</v>
      </c>
      <c r="CG182" s="182">
        <f ca="1">IF($D182&lt;&gt;"Serviço",0,IF(OR(AND(AUTOEVENTO="Manual",$M182=1),$M182&gt;(ROW(PLE.lastrow)-ROW(PLE.firstrow))),0,IF(OFFSET(PLE!$G$14,$M182,CG$13)="",10^12,OFFSET(PLE!$G$14,$M182,CG$13))))</f>
        <v>1000000000000</v>
      </c>
      <c r="CH182" s="182">
        <f ca="1">IF($D182&lt;&gt;"Serviço",0,IF(OR(AND(AUTOEVENTO="Manual",$M182=1),$M182&gt;(ROW(PLE.lastrow)-ROW(PLE.firstrow))),0,IF(OFFSET(PLE!$G$14,$M182,CH$13)="",10^12,OFFSET(PLE!$G$14,$M182,CH$13))))</f>
        <v>1000000000000</v>
      </c>
      <c r="CI182" s="182">
        <f ca="1">IF($D182&lt;&gt;"Serviço",0,IF(OR(AND(AUTOEVENTO="Manual",$M182=1),$M182&gt;(ROW(PLE.lastrow)-ROW(PLE.firstrow))),0,IF(OFFSET(PLE!$G$14,$M182,CI$13)="",10^12,OFFSET(PLE!$G$14,$M182,CI$13))))</f>
        <v>1000000000000</v>
      </c>
      <c r="CJ182" s="182">
        <f ca="1">IF($D182&lt;&gt;"Serviço",0,IF(OR(AND(AUTOEVENTO="Manual",$M182=1),$M182&gt;(ROW(PLE.lastrow)-ROW(PLE.firstrow))),0,IF(OFFSET(PLE!$G$14,$M182,CJ$13)="",10^12,OFFSET(PLE!$G$14,$M182,CJ$13))))</f>
        <v>1000000000000</v>
      </c>
      <c r="CK182" s="182">
        <f ca="1">IF($D182&lt;&gt;"Serviço",0,IF(OR(AND(AUTOEVENTO="Manual",$M182=1),$M182&gt;(ROW(PLE.lastrow)-ROW(PLE.firstrow))),0,IF(OFFSET(PLE!$G$14,$M182,CK$13)="",10^12,OFFSET(PLE!$G$14,$M182,CK$13))))</f>
        <v>1000000000000</v>
      </c>
      <c r="CL182" s="182">
        <f ca="1">IF($D182&lt;&gt;"Serviço",0,IF(OR(AND(AUTOEVENTO="Manual",$M182=1),$M182&gt;(ROW(PLE.lastrow)-ROW(PLE.firstrow))),0,IF(OFFSET(PLE!$G$14,$M182,CL$13)="",10^12,OFFSET(PLE!$G$14,$M182,CL$13))))</f>
        <v>1000000000000</v>
      </c>
      <c r="CM182" s="182">
        <f ca="1">IF($D182&lt;&gt;"Serviço",0,IF(OR(AND(AUTOEVENTO="Manual",$M182=1),$M182&gt;(ROW(PLE.lastrow)-ROW(PLE.firstrow))),0,IF(OFFSET(PLE!$G$14,$M182,CM$13)="",10^12,OFFSET(PLE!$G$14,$M182,CM$13))))</f>
        <v>1000000000000</v>
      </c>
    </row>
    <row r="183" spans="1:91" ht="12.75" x14ac:dyDescent="0.2">
      <c r="A183" s="7" t="str">
        <f t="shared" ca="1" si="12"/>
        <v>161</v>
      </c>
      <c r="B183" s="7" t="str">
        <f ca="1">OFFSET(ORÇAMENTO!C$15,ROW(B183)-ROW(B$15),0)</f>
        <v>S</v>
      </c>
      <c r="C183" s="7" t="str">
        <f ca="1">OFFSET(ORÇAMENTO!L$15,ROW(C183)-ROW(C$15),0)</f>
        <v/>
      </c>
      <c r="D183" s="118" t="str">
        <f ca="1">OFFSET(ORÇAMENTO!N$15,ROW(D183)-ROW(D$15),0)</f>
        <v>Serviço</v>
      </c>
      <c r="E183" s="119" t="str">
        <f ca="1">OFFSET(ORÇAMENTO!O$15,ROW(E183)-ROW(E$15),0)</f>
        <v>-</v>
      </c>
      <c r="F183" s="172" t="str">
        <f ca="1">OFFSET(ORÇAMENTO!R$15,ROW(F183)-ROW(F$15),0)</f>
        <v>(abra o arquivo 'Referência 06-2024.xlsm)</v>
      </c>
      <c r="G183" s="173" t="str">
        <f ca="1">IF($D183&lt;&gt;"Serviço","",OFFSET(ORÇAMENTO!S$15,ROW(G183)-ROW(G$15),0))</f>
        <v>-</v>
      </c>
      <c r="H183" s="124">
        <f ca="1">IF($D183&lt;&gt;"Serviço",0,IF(ACOMPANHAMENTO="BM",ROUND(OFFSET(ORÇAMENTO!AJ$15,ROW(H183)-ROW(H$15),0),15-13*ORÇAMENTO!$AF$7),SUMPRODUCT(($Q$12:$AI$12&lt;&gt;"")*ROUND($Q183:$AI183,15-13*ORÇAMENTO!$AF$7))))</f>
        <v>0</v>
      </c>
      <c r="I183" s="561"/>
      <c r="K183" s="174"/>
      <c r="L183" s="175" t="s">
        <v>255</v>
      </c>
      <c r="M183" s="176">
        <f ca="1">IF($D183&lt;&gt;"Serviço","",IF(AUTOEVENTO="manual",$A183,IF(ISERROR(MATCH($A183,$A$15:OFFSET($A183,-1,0),0)),MAX($M$15:OFFSET(M183,-1,0))+1,INDEX($M$15:OFFSET(M183,-1,0),MATCH($A183,$A$15:OFFSET($A183,-1,0),0)))))</f>
        <v>26</v>
      </c>
      <c r="N183" s="177" t="str">
        <f ca="1">IF($D183&lt;&gt;"Serviço","",IF(AUTOEVENTO="Manual",IF($A183=0,"&lt;-- defina o número do agrupador",OFFSET(EVENTOS!$D$14,$A183,0)),OFFSET($F$15,$A183,0)))</f>
        <v>IMPERMEABILIZAÇÃO</v>
      </c>
      <c r="O183" s="178"/>
      <c r="Q183" s="178">
        <v>0</v>
      </c>
      <c r="R183" s="179"/>
      <c r="S183" s="179"/>
      <c r="T183" s="179"/>
      <c r="U183" s="179"/>
      <c r="V183" s="179"/>
      <c r="W183" s="179"/>
      <c r="X183" s="179"/>
      <c r="Y183" s="179"/>
      <c r="Z183" s="180"/>
      <c r="AA183" s="179"/>
      <c r="AB183" s="179"/>
      <c r="AC183" s="179"/>
      <c r="AD183" s="179"/>
      <c r="AE183" s="179"/>
      <c r="AF183" s="179"/>
      <c r="AG183" s="179"/>
      <c r="AH183" s="180"/>
      <c r="AJ183" s="544">
        <f ca="1">IF(AND($D183="Serviço",AJ$12&lt;&gt;0,$H183&gt;0,OR(AUTOEVENTO&lt;&gt;"manual",$M183&lt;&gt;1)),
IF(Import.TipoArredondamento&lt;&gt;"TransfereGOV",
ROUND(OFFSET($P183,0,AJ$13),15-13*ORÇAMENTO!$AF$7)/$H183*OFFSET(ORÇAMENTO!$X$15,ROW(AJ183)-ROW(AJ$15),0),
ROUND(ROUND(OFFSET($P183,0,AJ$13),15-13*ORÇAMENTO!$AF$7)*OFFSET(ORÇAMENTO!$W$15,ROW(AJ183)-ROW(AJ$15),0),15-13*ORÇAMENTO!$AF$11)),0)</f>
        <v>0</v>
      </c>
      <c r="AK183" s="545">
        <f ca="1">IF(AND($D183="Serviço",AK$12&lt;&gt;0,$H183&gt;0,OR(AUTOEVENTO&lt;&gt;"manual",$M183&lt;&gt;1)),
IF(Import.TipoArredondamento&lt;&gt;"TransfereGOV",
ROUND(OFFSET($P183,0,AK$13),15-13*ORÇAMENTO!$AF$7)/$H183*OFFSET(ORÇAMENTO!$X$15,ROW(AK183)-ROW(AK$15),0),
ROUND(ROUND(OFFSET($P183,0,AK$13),15-13*ORÇAMENTO!$AF$7)*OFFSET(ORÇAMENTO!$W$15,ROW(AK183)-ROW(AK$15),0),15-13*ORÇAMENTO!$AF$11)),0)</f>
        <v>0</v>
      </c>
      <c r="AL183" s="545">
        <f ca="1">IF(AND($D183="Serviço",AL$12&lt;&gt;0,$H183&gt;0,OR(AUTOEVENTO&lt;&gt;"manual",$M183&lt;&gt;1)),
IF(Import.TipoArredondamento&lt;&gt;"TransfereGOV",
ROUND(OFFSET($P183,0,AL$13),15-13*ORÇAMENTO!$AF$7)/$H183*OFFSET(ORÇAMENTO!$X$15,ROW(AL183)-ROW(AL$15),0),
ROUND(ROUND(OFFSET($P183,0,AL$13),15-13*ORÇAMENTO!$AF$7)*OFFSET(ORÇAMENTO!$W$15,ROW(AL183)-ROW(AL$15),0),15-13*ORÇAMENTO!$AF$11)),0)</f>
        <v>0</v>
      </c>
      <c r="AM183" s="545">
        <f ca="1">IF(AND($D183="Serviço",AM$12&lt;&gt;0,$H183&gt;0,OR(AUTOEVENTO&lt;&gt;"manual",$M183&lt;&gt;1)),
IF(Import.TipoArredondamento&lt;&gt;"TransfereGOV",
ROUND(OFFSET($P183,0,AM$13),15-13*ORÇAMENTO!$AF$7)/$H183*OFFSET(ORÇAMENTO!$X$15,ROW(AM183)-ROW(AM$15),0),
ROUND(ROUND(OFFSET($P183,0,AM$13),15-13*ORÇAMENTO!$AF$7)*OFFSET(ORÇAMENTO!$W$15,ROW(AM183)-ROW(AM$15),0),15-13*ORÇAMENTO!$AF$11)),0)</f>
        <v>0</v>
      </c>
      <c r="AN183" s="545">
        <f ca="1">IF(AND($D183="Serviço",AN$12&lt;&gt;0,$H183&gt;0,OR(AUTOEVENTO&lt;&gt;"manual",$M183&lt;&gt;1)),
IF(Import.TipoArredondamento&lt;&gt;"TransfereGOV",
ROUND(OFFSET($P183,0,AN$13),15-13*ORÇAMENTO!$AF$7)/$H183*OFFSET(ORÇAMENTO!$X$15,ROW(AN183)-ROW(AN$15),0),
ROUND(ROUND(OFFSET($P183,0,AN$13),15-13*ORÇAMENTO!$AF$7)*OFFSET(ORÇAMENTO!$W$15,ROW(AN183)-ROW(AN$15),0),15-13*ORÇAMENTO!$AF$11)),0)</f>
        <v>0</v>
      </c>
      <c r="AO183" s="545">
        <f ca="1">IF(AND($D183="Serviço",AO$12&lt;&gt;0,$H183&gt;0,OR(AUTOEVENTO&lt;&gt;"manual",$M183&lt;&gt;1)),
IF(Import.TipoArredondamento&lt;&gt;"TransfereGOV",
ROUND(OFFSET($P183,0,AO$13),15-13*ORÇAMENTO!$AF$7)/$H183*OFFSET(ORÇAMENTO!$X$15,ROW(AO183)-ROW(AO$15),0),
ROUND(ROUND(OFFSET($P183,0,AO$13),15-13*ORÇAMENTO!$AF$7)*OFFSET(ORÇAMENTO!$W$15,ROW(AO183)-ROW(AO$15),0),15-13*ORÇAMENTO!$AF$11)),0)</f>
        <v>0</v>
      </c>
      <c r="AP183" s="545">
        <f ca="1">IF(AND($D183="Serviço",AP$12&lt;&gt;0,$H183&gt;0,OR(AUTOEVENTO&lt;&gt;"manual",$M183&lt;&gt;1)),
IF(Import.TipoArredondamento&lt;&gt;"TransfereGOV",
ROUND(OFFSET($P183,0,AP$13),15-13*ORÇAMENTO!$AF$7)/$H183*OFFSET(ORÇAMENTO!$X$15,ROW(AP183)-ROW(AP$15),0),
ROUND(ROUND(OFFSET($P183,0,AP$13),15-13*ORÇAMENTO!$AF$7)*OFFSET(ORÇAMENTO!$W$15,ROW(AP183)-ROW(AP$15),0),15-13*ORÇAMENTO!$AF$11)),0)</f>
        <v>0</v>
      </c>
      <c r="AQ183" s="545">
        <f ca="1">IF(AND($D183="Serviço",AQ$12&lt;&gt;0,$H183&gt;0,OR(AUTOEVENTO&lt;&gt;"manual",$M183&lt;&gt;1)),
IF(Import.TipoArredondamento&lt;&gt;"TransfereGOV",
ROUND(OFFSET($P183,0,AQ$13),15-13*ORÇAMENTO!$AF$7)/$H183*OFFSET(ORÇAMENTO!$X$15,ROW(AQ183)-ROW(AQ$15),0),
ROUND(ROUND(OFFSET($P183,0,AQ$13),15-13*ORÇAMENTO!$AF$7)*OFFSET(ORÇAMENTO!$W$15,ROW(AQ183)-ROW(AQ$15),0),15-13*ORÇAMENTO!$AF$11)),0)</f>
        <v>0</v>
      </c>
      <c r="AR183" s="545">
        <f ca="1">IF(AND($D183="Serviço",AR$12&lt;&gt;0,$H183&gt;0,OR(AUTOEVENTO&lt;&gt;"manual",$M183&lt;&gt;1)),
IF(Import.TipoArredondamento&lt;&gt;"TransfereGOV",
ROUND(OFFSET($P183,0,AR$13),15-13*ORÇAMENTO!$AF$7)/$H183*OFFSET(ORÇAMENTO!$X$15,ROW(AR183)-ROW(AR$15),0),
ROUND(ROUND(OFFSET($P183,0,AR$13),15-13*ORÇAMENTO!$AF$7)*OFFSET(ORÇAMENTO!$W$15,ROW(AR183)-ROW(AR$15),0),15-13*ORÇAMENTO!$AF$11)),0)</f>
        <v>0</v>
      </c>
      <c r="AS183" s="546">
        <f ca="1">IF(AND($D183="Serviço",AS$12&lt;&gt;0,$H183&gt;0,OR(AUTOEVENTO&lt;&gt;"manual",$M183&lt;&gt;1)),
IF(Import.TipoArredondamento&lt;&gt;"TransfereGOV",
ROUND(OFFSET($P183,0,AS$13),15-13*ORÇAMENTO!$AF$7)/$H183*OFFSET(ORÇAMENTO!$X$15,ROW(AS183)-ROW(AS$15),0),
ROUND(ROUND(OFFSET($P183,0,AS$13),15-13*ORÇAMENTO!$AF$7)*OFFSET(ORÇAMENTO!$W$15,ROW(AS183)-ROW(AS$15),0),15-13*ORÇAMENTO!$AF$11)),0)</f>
        <v>0</v>
      </c>
      <c r="AT183" s="545">
        <f ca="1">IF(AND($D183="Serviço",AT$12&lt;&gt;0,$H183&gt;0,OR(AUTOEVENTO&lt;&gt;"manual",$M183&lt;&gt;1)),
IF(Import.TipoArredondamento&lt;&gt;"TransfereGOV",
ROUND(OFFSET($P183,0,AT$13),15-13*ORÇAMENTO!$AF$7)/$H183*OFFSET(ORÇAMENTO!$X$15,ROW(AT183)-ROW(AT$15),0),
ROUND(ROUND(OFFSET($P183,0,AT$13),15-13*ORÇAMENTO!$AF$7)*OFFSET(ORÇAMENTO!$W$15,ROW(AT183)-ROW(AT$15),0),15-13*ORÇAMENTO!$AF$11)),0)</f>
        <v>0</v>
      </c>
      <c r="AU183" s="545">
        <f ca="1">IF(AND($D183="Serviço",AU$12&lt;&gt;0,$H183&gt;0,OR(AUTOEVENTO&lt;&gt;"manual",$M183&lt;&gt;1)),
IF(Import.TipoArredondamento&lt;&gt;"TransfereGOV",
ROUND(OFFSET($P183,0,AU$13),15-13*ORÇAMENTO!$AF$7)/$H183*OFFSET(ORÇAMENTO!$X$15,ROW(AU183)-ROW(AU$15),0),
ROUND(ROUND(OFFSET($P183,0,AU$13),15-13*ORÇAMENTO!$AF$7)*OFFSET(ORÇAMENTO!$W$15,ROW(AU183)-ROW(AU$15),0),15-13*ORÇAMENTO!$AF$11)),0)</f>
        <v>0</v>
      </c>
      <c r="AV183" s="545">
        <f ca="1">IF(AND($D183="Serviço",AV$12&lt;&gt;0,$H183&gt;0,OR(AUTOEVENTO&lt;&gt;"manual",$M183&lt;&gt;1)),
IF(Import.TipoArredondamento&lt;&gt;"TransfereGOV",
ROUND(OFFSET($P183,0,AV$13),15-13*ORÇAMENTO!$AF$7)/$H183*OFFSET(ORÇAMENTO!$X$15,ROW(AV183)-ROW(AV$15),0),
ROUND(ROUND(OFFSET($P183,0,AV$13),15-13*ORÇAMENTO!$AF$7)*OFFSET(ORÇAMENTO!$W$15,ROW(AV183)-ROW(AV$15),0),15-13*ORÇAMENTO!$AF$11)),0)</f>
        <v>0</v>
      </c>
      <c r="AW183" s="545">
        <f ca="1">IF(AND($D183="Serviço",AW$12&lt;&gt;0,$H183&gt;0,OR(AUTOEVENTO&lt;&gt;"manual",$M183&lt;&gt;1)),
IF(Import.TipoArredondamento&lt;&gt;"TransfereGOV",
ROUND(OFFSET($P183,0,AW$13),15-13*ORÇAMENTO!$AF$7)/$H183*OFFSET(ORÇAMENTO!$X$15,ROW(AW183)-ROW(AW$15),0),
ROUND(ROUND(OFFSET($P183,0,AW$13),15-13*ORÇAMENTO!$AF$7)*OFFSET(ORÇAMENTO!$W$15,ROW(AW183)-ROW(AW$15),0),15-13*ORÇAMENTO!$AF$11)),0)</f>
        <v>0</v>
      </c>
      <c r="AX183" s="545">
        <f ca="1">IF(AND($D183="Serviço",AX$12&lt;&gt;0,$H183&gt;0,OR(AUTOEVENTO&lt;&gt;"manual",$M183&lt;&gt;1)),
IF(Import.TipoArredondamento&lt;&gt;"TransfereGOV",
ROUND(OFFSET($P183,0,AX$13),15-13*ORÇAMENTO!$AF$7)/$H183*OFFSET(ORÇAMENTO!$X$15,ROW(AX183)-ROW(AX$15),0),
ROUND(ROUND(OFFSET($P183,0,AX$13),15-13*ORÇAMENTO!$AF$7)*OFFSET(ORÇAMENTO!$W$15,ROW(AX183)-ROW(AX$15),0),15-13*ORÇAMENTO!$AF$11)),0)</f>
        <v>0</v>
      </c>
      <c r="AY183" s="545">
        <f ca="1">IF(AND($D183="Serviço",AY$12&lt;&gt;0,$H183&gt;0,OR(AUTOEVENTO&lt;&gt;"manual",$M183&lt;&gt;1)),
IF(Import.TipoArredondamento&lt;&gt;"TransfereGOV",
ROUND(OFFSET($P183,0,AY$13),15-13*ORÇAMENTO!$AF$7)/$H183*OFFSET(ORÇAMENTO!$X$15,ROW(AY183)-ROW(AY$15),0),
ROUND(ROUND(OFFSET($P183,0,AY$13),15-13*ORÇAMENTO!$AF$7)*OFFSET(ORÇAMENTO!$W$15,ROW(AY183)-ROW(AY$15),0),15-13*ORÇAMENTO!$AF$11)),0)</f>
        <v>0</v>
      </c>
      <c r="AZ183" s="545">
        <f ca="1">IF(AND($D183="Serviço",AZ$12&lt;&gt;0,$H183&gt;0,OR(AUTOEVENTO&lt;&gt;"manual",$M183&lt;&gt;1)),
IF(Import.TipoArredondamento&lt;&gt;"TransfereGOV",
ROUND(OFFSET($P183,0,AZ$13),15-13*ORÇAMENTO!$AF$7)/$H183*OFFSET(ORÇAMENTO!$X$15,ROW(AZ183)-ROW(AZ$15),0),
ROUND(ROUND(OFFSET($P183,0,AZ$13),15-13*ORÇAMENTO!$AF$7)*OFFSET(ORÇAMENTO!$W$15,ROW(AZ183)-ROW(AZ$15),0),15-13*ORÇAMENTO!$AF$11)),0)</f>
        <v>0</v>
      </c>
      <c r="BA183" s="546">
        <f ca="1">IF(AND($D183="Serviço",BA$12&lt;&gt;0,$H183&gt;0,OR(AUTOEVENTO&lt;&gt;"manual",$M183&lt;&gt;1)),
IF(Import.TipoArredondamento&lt;&gt;"TransfereGOV",
ROUND(OFFSET($P183,0,BA$13),15-13*ORÇAMENTO!$AF$7)/$H183*OFFSET(ORÇAMENTO!$X$15,ROW(BA183)-ROW(BA$15),0),
ROUND(ROUND(OFFSET($P183,0,BA$13),15-13*ORÇAMENTO!$AF$7)*OFFSET(ORÇAMENTO!$W$15,ROW(BA183)-ROW(BA$15),0),15-13*ORÇAMENTO!$AF$11)),0)</f>
        <v>0</v>
      </c>
      <c r="BC183" s="181">
        <f ca="1">IF($D183&lt;&gt;"Serviço",0,IF(AND(AUTOEVENTO="Manual",$M183=1),0,IF(OFFSET(CRONOPLE!$F$14,$M183,BC$13)="",10^12,OFFSET(CRONOPLE!$F$14,$M183,BC$13))))</f>
        <v>7</v>
      </c>
      <c r="BD183" s="181">
        <f ca="1">IF($D183&lt;&gt;"Serviço",0,IF(AND(AUTOEVENTO="Manual",$M183=1),0,IF(OFFSET(CRONOPLE!$F$14,$M183,BD$13)="",10^12,OFFSET(CRONOPLE!$F$14,$M183,BD$13))))</f>
        <v>1000000000000</v>
      </c>
      <c r="BE183" s="181">
        <f ca="1">IF($D183&lt;&gt;"Serviço",0,IF(AND(AUTOEVENTO="Manual",$M183=1),0,IF(OFFSET(CRONOPLE!$F$14,$M183,BE$13)="",10^12,OFFSET(CRONOPLE!$F$14,$M183,BE$13))))</f>
        <v>1000000000000</v>
      </c>
      <c r="BF183" s="181">
        <f ca="1">IF($D183&lt;&gt;"Serviço",0,IF(AND(AUTOEVENTO="Manual",$M183=1),0,IF(OFFSET(CRONOPLE!$F$14,$M183,BF$13)="",10^12,OFFSET(CRONOPLE!$F$14,$M183,BF$13))))</f>
        <v>1000000000000</v>
      </c>
      <c r="BG183" s="181">
        <f ca="1">IF($D183&lt;&gt;"Serviço",0,IF(AND(AUTOEVENTO="Manual",$M183=1),0,IF(OFFSET(CRONOPLE!$F$14,$M183,BG$13)="",10^12,OFFSET(CRONOPLE!$F$14,$M183,BG$13))))</f>
        <v>1000000000000</v>
      </c>
      <c r="BH183" s="181">
        <f ca="1">IF($D183&lt;&gt;"Serviço",0,IF(AND(AUTOEVENTO="Manual",$M183=1),0,IF(OFFSET(CRONOPLE!$F$14,$M183,BH$13)="",10^12,OFFSET(CRONOPLE!$F$14,$M183,BH$13))))</f>
        <v>1000000000000</v>
      </c>
      <c r="BI183" s="181">
        <f ca="1">IF($D183&lt;&gt;"Serviço",0,IF(AND(AUTOEVENTO="Manual",$M183=1),0,IF(OFFSET(CRONOPLE!$F$14,$M183,BI$13)="",10^12,OFFSET(CRONOPLE!$F$14,$M183,BI$13))))</f>
        <v>1000000000000</v>
      </c>
      <c r="BJ183" s="181">
        <f ca="1">IF($D183&lt;&gt;"Serviço",0,IF(AND(AUTOEVENTO="Manual",$M183=1),0,IF(OFFSET(CRONOPLE!$F$14,$M183,BJ$13)="",10^12,OFFSET(CRONOPLE!$F$14,$M183,BJ$13))))</f>
        <v>1000000000000</v>
      </c>
      <c r="BK183" s="181">
        <f ca="1">IF($D183&lt;&gt;"Serviço",0,IF(AND(AUTOEVENTO="Manual",$M183=1),0,IF(OFFSET(CRONOPLE!$F$14,$M183,BK$13)="",10^12,OFFSET(CRONOPLE!$F$14,$M183,BK$13))))</f>
        <v>1000000000000</v>
      </c>
      <c r="BL183" s="181">
        <f ca="1">IF($D183&lt;&gt;"Serviço",0,IF(AND(AUTOEVENTO="Manual",$M183=1),0,IF(OFFSET(CRONOPLE!$F$14,$M183,BL$13)="",10^12,OFFSET(CRONOPLE!$F$14,$M183,BL$13))))</f>
        <v>1000000000000</v>
      </c>
      <c r="BM183" s="181">
        <f ca="1">IF($D183&lt;&gt;"Serviço",0,IF(AND(AUTOEVENTO="Manual",$M183=1),0,IF(OFFSET(CRONOPLE!$F$14,$M183,BM$13)="",10^12,OFFSET(CRONOPLE!$F$14,$M183,BM$13))))</f>
        <v>1000000000000</v>
      </c>
      <c r="BN183" s="181">
        <f ca="1">IF($D183&lt;&gt;"Serviço",0,IF(AND(AUTOEVENTO="Manual",$M183=1),0,IF(OFFSET(CRONOPLE!$F$14,$M183,BN$13)="",10^12,OFFSET(CRONOPLE!$F$14,$M183,BN$13))))</f>
        <v>1000000000000</v>
      </c>
      <c r="BO183" s="181">
        <f ca="1">IF($D183&lt;&gt;"Serviço",0,IF(AND(AUTOEVENTO="Manual",$M183=1),0,IF(OFFSET(CRONOPLE!$F$14,$M183,BO$13)="",10^12,OFFSET(CRONOPLE!$F$14,$M183,BO$13))))</f>
        <v>1000000000000</v>
      </c>
      <c r="BP183" s="181">
        <f ca="1">IF($D183&lt;&gt;"Serviço",0,IF(AND(AUTOEVENTO="Manual",$M183=1),0,IF(OFFSET(CRONOPLE!$F$14,$M183,BP$13)="",10^12,OFFSET(CRONOPLE!$F$14,$M183,BP$13))))</f>
        <v>1000000000000</v>
      </c>
      <c r="BQ183" s="181">
        <f ca="1">IF($D183&lt;&gt;"Serviço",0,IF(AND(AUTOEVENTO="Manual",$M183=1),0,IF(OFFSET(CRONOPLE!$F$14,$M183,BQ$13)="",10^12,OFFSET(CRONOPLE!$F$14,$M183,BQ$13))))</f>
        <v>1000000000000</v>
      </c>
      <c r="BR183" s="181">
        <f ca="1">IF($D183&lt;&gt;"Serviço",0,IF(AND(AUTOEVENTO="Manual",$M183=1),0,IF(OFFSET(CRONOPLE!$F$14,$M183,BR$13)="",10^12,OFFSET(CRONOPLE!$F$14,$M183,BR$13))))</f>
        <v>1000000000000</v>
      </c>
      <c r="BS183" s="181">
        <f ca="1">IF($D183&lt;&gt;"Serviço",0,IF(AND(AUTOEVENTO="Manual",$M183=1),0,IF(OFFSET(CRONOPLE!$F$14,$M183,BS$13)="",10^12,OFFSET(CRONOPLE!$F$14,$M183,BS$13))))</f>
        <v>1000000000000</v>
      </c>
      <c r="BT183" s="181">
        <f ca="1">IF($D183&lt;&gt;"Serviço",0,IF(AND(AUTOEVENTO="Manual",$M183=1),0,IF(OFFSET(CRONOPLE!$F$14,$M183,BT$13)="",10^12,OFFSET(CRONOPLE!$F$14,$M183,BT$13))))</f>
        <v>1000000000000</v>
      </c>
      <c r="BV183" s="182">
        <f ca="1">IF($D183&lt;&gt;"Serviço",0,IF(OR(AND(AUTOEVENTO="Manual",$M183=1),$M183&gt;(ROW(PLE.lastrow)-ROW(PLE.firstrow))),0,IF(OFFSET(PLE!$G$14,$M183,BV$13)="",10^12,OFFSET(PLE!$G$14,$M183,BV$13))))</f>
        <v>1000000000000</v>
      </c>
      <c r="BW183" s="182">
        <f ca="1">IF($D183&lt;&gt;"Serviço",0,IF(OR(AND(AUTOEVENTO="Manual",$M183=1),$M183&gt;(ROW(PLE.lastrow)-ROW(PLE.firstrow))),0,IF(OFFSET(PLE!$G$14,$M183,BW$13)="",10^12,OFFSET(PLE!$G$14,$M183,BW$13))))</f>
        <v>1000000000000</v>
      </c>
      <c r="BX183" s="182">
        <f ca="1">IF($D183&lt;&gt;"Serviço",0,IF(OR(AND(AUTOEVENTO="Manual",$M183=1),$M183&gt;(ROW(PLE.lastrow)-ROW(PLE.firstrow))),0,IF(OFFSET(PLE!$G$14,$M183,BX$13)="",10^12,OFFSET(PLE!$G$14,$M183,BX$13))))</f>
        <v>1000000000000</v>
      </c>
      <c r="BY183" s="182">
        <f ca="1">IF($D183&lt;&gt;"Serviço",0,IF(OR(AND(AUTOEVENTO="Manual",$M183=1),$M183&gt;(ROW(PLE.lastrow)-ROW(PLE.firstrow))),0,IF(OFFSET(PLE!$G$14,$M183,BY$13)="",10^12,OFFSET(PLE!$G$14,$M183,BY$13))))</f>
        <v>1000000000000</v>
      </c>
      <c r="BZ183" s="182">
        <f ca="1">IF($D183&lt;&gt;"Serviço",0,IF(OR(AND(AUTOEVENTO="Manual",$M183=1),$M183&gt;(ROW(PLE.lastrow)-ROW(PLE.firstrow))),0,IF(OFFSET(PLE!$G$14,$M183,BZ$13)="",10^12,OFFSET(PLE!$G$14,$M183,BZ$13))))</f>
        <v>1000000000000</v>
      </c>
      <c r="CA183" s="182">
        <f ca="1">IF($D183&lt;&gt;"Serviço",0,IF(OR(AND(AUTOEVENTO="Manual",$M183=1),$M183&gt;(ROW(PLE.lastrow)-ROW(PLE.firstrow))),0,IF(OFFSET(PLE!$G$14,$M183,CA$13)="",10^12,OFFSET(PLE!$G$14,$M183,CA$13))))</f>
        <v>1000000000000</v>
      </c>
      <c r="CB183" s="182">
        <f ca="1">IF($D183&lt;&gt;"Serviço",0,IF(OR(AND(AUTOEVENTO="Manual",$M183=1),$M183&gt;(ROW(PLE.lastrow)-ROW(PLE.firstrow))),0,IF(OFFSET(PLE!$G$14,$M183,CB$13)="",10^12,OFFSET(PLE!$G$14,$M183,CB$13))))</f>
        <v>1000000000000</v>
      </c>
      <c r="CC183" s="182">
        <f ca="1">IF($D183&lt;&gt;"Serviço",0,IF(OR(AND(AUTOEVENTO="Manual",$M183=1),$M183&gt;(ROW(PLE.lastrow)-ROW(PLE.firstrow))),0,IF(OFFSET(PLE!$G$14,$M183,CC$13)="",10^12,OFFSET(PLE!$G$14,$M183,CC$13))))</f>
        <v>1000000000000</v>
      </c>
      <c r="CD183" s="182">
        <f ca="1">IF($D183&lt;&gt;"Serviço",0,IF(OR(AND(AUTOEVENTO="Manual",$M183=1),$M183&gt;(ROW(PLE.lastrow)-ROW(PLE.firstrow))),0,IF(OFFSET(PLE!$G$14,$M183,CD$13)="",10^12,OFFSET(PLE!$G$14,$M183,CD$13))))</f>
        <v>1000000000000</v>
      </c>
      <c r="CE183" s="182">
        <f ca="1">IF($D183&lt;&gt;"Serviço",0,IF(OR(AND(AUTOEVENTO="Manual",$M183=1),$M183&gt;(ROW(PLE.lastrow)-ROW(PLE.firstrow))),0,IF(OFFSET(PLE!$G$14,$M183,CE$13)="",10^12,OFFSET(PLE!$G$14,$M183,CE$13))))</f>
        <v>1000000000000</v>
      </c>
      <c r="CF183" s="182">
        <f ca="1">IF($D183&lt;&gt;"Serviço",0,IF(OR(AND(AUTOEVENTO="Manual",$M183=1),$M183&gt;(ROW(PLE.lastrow)-ROW(PLE.firstrow))),0,IF(OFFSET(PLE!$G$14,$M183,CF$13)="",10^12,OFFSET(PLE!$G$14,$M183,CF$13))))</f>
        <v>1000000000000</v>
      </c>
      <c r="CG183" s="182">
        <f ca="1">IF($D183&lt;&gt;"Serviço",0,IF(OR(AND(AUTOEVENTO="Manual",$M183=1),$M183&gt;(ROW(PLE.lastrow)-ROW(PLE.firstrow))),0,IF(OFFSET(PLE!$G$14,$M183,CG$13)="",10^12,OFFSET(PLE!$G$14,$M183,CG$13))))</f>
        <v>1000000000000</v>
      </c>
      <c r="CH183" s="182">
        <f ca="1">IF($D183&lt;&gt;"Serviço",0,IF(OR(AND(AUTOEVENTO="Manual",$M183=1),$M183&gt;(ROW(PLE.lastrow)-ROW(PLE.firstrow))),0,IF(OFFSET(PLE!$G$14,$M183,CH$13)="",10^12,OFFSET(PLE!$G$14,$M183,CH$13))))</f>
        <v>1000000000000</v>
      </c>
      <c r="CI183" s="182">
        <f ca="1">IF($D183&lt;&gt;"Serviço",0,IF(OR(AND(AUTOEVENTO="Manual",$M183=1),$M183&gt;(ROW(PLE.lastrow)-ROW(PLE.firstrow))),0,IF(OFFSET(PLE!$G$14,$M183,CI$13)="",10^12,OFFSET(PLE!$G$14,$M183,CI$13))))</f>
        <v>1000000000000</v>
      </c>
      <c r="CJ183" s="182">
        <f ca="1">IF($D183&lt;&gt;"Serviço",0,IF(OR(AND(AUTOEVENTO="Manual",$M183=1),$M183&gt;(ROW(PLE.lastrow)-ROW(PLE.firstrow))),0,IF(OFFSET(PLE!$G$14,$M183,CJ$13)="",10^12,OFFSET(PLE!$G$14,$M183,CJ$13))))</f>
        <v>1000000000000</v>
      </c>
      <c r="CK183" s="182">
        <f ca="1">IF($D183&lt;&gt;"Serviço",0,IF(OR(AND(AUTOEVENTO="Manual",$M183=1),$M183&gt;(ROW(PLE.lastrow)-ROW(PLE.firstrow))),0,IF(OFFSET(PLE!$G$14,$M183,CK$13)="",10^12,OFFSET(PLE!$G$14,$M183,CK$13))))</f>
        <v>1000000000000</v>
      </c>
      <c r="CL183" s="182">
        <f ca="1">IF($D183&lt;&gt;"Serviço",0,IF(OR(AND(AUTOEVENTO="Manual",$M183=1),$M183&gt;(ROW(PLE.lastrow)-ROW(PLE.firstrow))),0,IF(OFFSET(PLE!$G$14,$M183,CL$13)="",10^12,OFFSET(PLE!$G$14,$M183,CL$13))))</f>
        <v>1000000000000</v>
      </c>
      <c r="CM183" s="182">
        <f ca="1">IF($D183&lt;&gt;"Serviço",0,IF(OR(AND(AUTOEVENTO="Manual",$M183=1),$M183&gt;(ROW(PLE.lastrow)-ROW(PLE.firstrow))),0,IF(OFFSET(PLE!$G$14,$M183,CM$13)="",10^12,OFFSET(PLE!$G$14,$M183,CM$13))))</f>
        <v>1000000000000</v>
      </c>
    </row>
    <row r="184" spans="1:91" ht="12.75" x14ac:dyDescent="0.2">
      <c r="A184" s="7" t="str">
        <f t="shared" ca="1" si="12"/>
        <v>169.</v>
      </c>
      <c r="B184" s="7">
        <f ca="1">OFFSET(ORÇAMENTO!C$15,ROW(B184)-ROW(B$15),0)</f>
        <v>2</v>
      </c>
      <c r="C184" s="7" t="str">
        <f ca="1">OFFSET(ORÇAMENTO!L$15,ROW(C184)-ROW(C$15),0)</f>
        <v>F</v>
      </c>
      <c r="D184" s="118" t="str">
        <f ca="1">OFFSET(ORÇAMENTO!N$15,ROW(D184)-ROW(D$15),0)</f>
        <v>Nível 2</v>
      </c>
      <c r="E184" s="119" t="str">
        <f ca="1">OFFSET(ORÇAMENTO!O$15,ROW(E184)-ROW(E$15),0)</f>
        <v>1.26.</v>
      </c>
      <c r="F184" s="172" t="str">
        <f ca="1">OFFSET(ORÇAMENTO!R$15,ROW(F184)-ROW(F$15),0)</f>
        <v>REVESTIMENTOS INTERNO E EXTERNO - EDIFICAÇÃO</v>
      </c>
      <c r="G184" s="173" t="str">
        <f ca="1">IF($D184&lt;&gt;"Serviço","",OFFSET(ORÇAMENTO!S$15,ROW(G184)-ROW(G$15),0))</f>
        <v/>
      </c>
      <c r="H184" s="124">
        <f ca="1">IF($D184&lt;&gt;"Serviço",0,IF(ACOMPANHAMENTO="BM",ROUND(OFFSET(ORÇAMENTO!AJ$15,ROW(H184)-ROW(H$15),0),15-13*ORÇAMENTO!$AF$7),SUMPRODUCT(($Q$12:$AI$12&lt;&gt;"")*ROUND($Q184:$AI184,15-13*ORÇAMENTO!$AF$7))))</f>
        <v>0</v>
      </c>
      <c r="I184" s="561"/>
      <c r="K184" s="174"/>
      <c r="L184" s="175" t="s">
        <v>255</v>
      </c>
      <c r="M184" s="176" t="str">
        <f ca="1">IF($D184&lt;&gt;"Serviço","",IF(AUTOEVENTO="manual",$A184,IF(ISERROR(MATCH($A184,$A$15:OFFSET($A184,-1,0),0)),MAX($M$15:OFFSET(M184,-1,0))+1,INDEX($M$15:OFFSET(M184,-1,0),MATCH($A184,$A$15:OFFSET($A184,-1,0),0)))))</f>
        <v/>
      </c>
      <c r="N184" s="177" t="str">
        <f ca="1">IF($D184&lt;&gt;"Serviço","",IF(AUTOEVENTO="Manual",IF($A184=0,"&lt;-- defina o número do agrupador",OFFSET(EVENTOS!$D$14,$A184,0)),OFFSET($F$15,$A184,0)))</f>
        <v/>
      </c>
      <c r="O184" s="178"/>
      <c r="Q184" s="178">
        <v>0</v>
      </c>
      <c r="R184" s="179"/>
      <c r="S184" s="179"/>
      <c r="T184" s="179"/>
      <c r="U184" s="179"/>
      <c r="V184" s="179"/>
      <c r="W184" s="179"/>
      <c r="X184" s="179"/>
      <c r="Y184" s="179"/>
      <c r="Z184" s="180"/>
      <c r="AA184" s="179"/>
      <c r="AB184" s="179"/>
      <c r="AC184" s="179"/>
      <c r="AD184" s="179"/>
      <c r="AE184" s="179"/>
      <c r="AF184" s="179"/>
      <c r="AG184" s="179"/>
      <c r="AH184" s="180"/>
      <c r="AJ184" s="544">
        <f ca="1">IF(AND($D184="Serviço",AJ$12&lt;&gt;0,$H184&gt;0,OR(AUTOEVENTO&lt;&gt;"manual",$M184&lt;&gt;1)),
IF(Import.TipoArredondamento&lt;&gt;"TransfereGOV",
ROUND(OFFSET($P184,0,AJ$13),15-13*ORÇAMENTO!$AF$7)/$H184*OFFSET(ORÇAMENTO!$X$15,ROW(AJ184)-ROW(AJ$15),0),
ROUND(ROUND(OFFSET($P184,0,AJ$13),15-13*ORÇAMENTO!$AF$7)*OFFSET(ORÇAMENTO!$W$15,ROW(AJ184)-ROW(AJ$15),0),15-13*ORÇAMENTO!$AF$11)),0)</f>
        <v>0</v>
      </c>
      <c r="AK184" s="545">
        <f ca="1">IF(AND($D184="Serviço",AK$12&lt;&gt;0,$H184&gt;0,OR(AUTOEVENTO&lt;&gt;"manual",$M184&lt;&gt;1)),
IF(Import.TipoArredondamento&lt;&gt;"TransfereGOV",
ROUND(OFFSET($P184,0,AK$13),15-13*ORÇAMENTO!$AF$7)/$H184*OFFSET(ORÇAMENTO!$X$15,ROW(AK184)-ROW(AK$15),0),
ROUND(ROUND(OFFSET($P184,0,AK$13),15-13*ORÇAMENTO!$AF$7)*OFFSET(ORÇAMENTO!$W$15,ROW(AK184)-ROW(AK$15),0),15-13*ORÇAMENTO!$AF$11)),0)</f>
        <v>0</v>
      </c>
      <c r="AL184" s="545">
        <f ca="1">IF(AND($D184="Serviço",AL$12&lt;&gt;0,$H184&gt;0,OR(AUTOEVENTO&lt;&gt;"manual",$M184&lt;&gt;1)),
IF(Import.TipoArredondamento&lt;&gt;"TransfereGOV",
ROUND(OFFSET($P184,0,AL$13),15-13*ORÇAMENTO!$AF$7)/$H184*OFFSET(ORÇAMENTO!$X$15,ROW(AL184)-ROW(AL$15),0),
ROUND(ROUND(OFFSET($P184,0,AL$13),15-13*ORÇAMENTO!$AF$7)*OFFSET(ORÇAMENTO!$W$15,ROW(AL184)-ROW(AL$15),0),15-13*ORÇAMENTO!$AF$11)),0)</f>
        <v>0</v>
      </c>
      <c r="AM184" s="545">
        <f ca="1">IF(AND($D184="Serviço",AM$12&lt;&gt;0,$H184&gt;0,OR(AUTOEVENTO&lt;&gt;"manual",$M184&lt;&gt;1)),
IF(Import.TipoArredondamento&lt;&gt;"TransfereGOV",
ROUND(OFFSET($P184,0,AM$13),15-13*ORÇAMENTO!$AF$7)/$H184*OFFSET(ORÇAMENTO!$X$15,ROW(AM184)-ROW(AM$15),0),
ROUND(ROUND(OFFSET($P184,0,AM$13),15-13*ORÇAMENTO!$AF$7)*OFFSET(ORÇAMENTO!$W$15,ROW(AM184)-ROW(AM$15),0),15-13*ORÇAMENTO!$AF$11)),0)</f>
        <v>0</v>
      </c>
      <c r="AN184" s="545">
        <f ca="1">IF(AND($D184="Serviço",AN$12&lt;&gt;0,$H184&gt;0,OR(AUTOEVENTO&lt;&gt;"manual",$M184&lt;&gt;1)),
IF(Import.TipoArredondamento&lt;&gt;"TransfereGOV",
ROUND(OFFSET($P184,0,AN$13),15-13*ORÇAMENTO!$AF$7)/$H184*OFFSET(ORÇAMENTO!$X$15,ROW(AN184)-ROW(AN$15),0),
ROUND(ROUND(OFFSET($P184,0,AN$13),15-13*ORÇAMENTO!$AF$7)*OFFSET(ORÇAMENTO!$W$15,ROW(AN184)-ROW(AN$15),0),15-13*ORÇAMENTO!$AF$11)),0)</f>
        <v>0</v>
      </c>
      <c r="AO184" s="545">
        <f ca="1">IF(AND($D184="Serviço",AO$12&lt;&gt;0,$H184&gt;0,OR(AUTOEVENTO&lt;&gt;"manual",$M184&lt;&gt;1)),
IF(Import.TipoArredondamento&lt;&gt;"TransfereGOV",
ROUND(OFFSET($P184,0,AO$13),15-13*ORÇAMENTO!$AF$7)/$H184*OFFSET(ORÇAMENTO!$X$15,ROW(AO184)-ROW(AO$15),0),
ROUND(ROUND(OFFSET($P184,0,AO$13),15-13*ORÇAMENTO!$AF$7)*OFFSET(ORÇAMENTO!$W$15,ROW(AO184)-ROW(AO$15),0),15-13*ORÇAMENTO!$AF$11)),0)</f>
        <v>0</v>
      </c>
      <c r="AP184" s="545">
        <f ca="1">IF(AND($D184="Serviço",AP$12&lt;&gt;0,$H184&gt;0,OR(AUTOEVENTO&lt;&gt;"manual",$M184&lt;&gt;1)),
IF(Import.TipoArredondamento&lt;&gt;"TransfereGOV",
ROUND(OFFSET($P184,0,AP$13),15-13*ORÇAMENTO!$AF$7)/$H184*OFFSET(ORÇAMENTO!$X$15,ROW(AP184)-ROW(AP$15),0),
ROUND(ROUND(OFFSET($P184,0,AP$13),15-13*ORÇAMENTO!$AF$7)*OFFSET(ORÇAMENTO!$W$15,ROW(AP184)-ROW(AP$15),0),15-13*ORÇAMENTO!$AF$11)),0)</f>
        <v>0</v>
      </c>
      <c r="AQ184" s="545">
        <f ca="1">IF(AND($D184="Serviço",AQ$12&lt;&gt;0,$H184&gt;0,OR(AUTOEVENTO&lt;&gt;"manual",$M184&lt;&gt;1)),
IF(Import.TipoArredondamento&lt;&gt;"TransfereGOV",
ROUND(OFFSET($P184,0,AQ$13),15-13*ORÇAMENTO!$AF$7)/$H184*OFFSET(ORÇAMENTO!$X$15,ROW(AQ184)-ROW(AQ$15),0),
ROUND(ROUND(OFFSET($P184,0,AQ$13),15-13*ORÇAMENTO!$AF$7)*OFFSET(ORÇAMENTO!$W$15,ROW(AQ184)-ROW(AQ$15),0),15-13*ORÇAMENTO!$AF$11)),0)</f>
        <v>0</v>
      </c>
      <c r="AR184" s="545">
        <f ca="1">IF(AND($D184="Serviço",AR$12&lt;&gt;0,$H184&gt;0,OR(AUTOEVENTO&lt;&gt;"manual",$M184&lt;&gt;1)),
IF(Import.TipoArredondamento&lt;&gt;"TransfereGOV",
ROUND(OFFSET($P184,0,AR$13),15-13*ORÇAMENTO!$AF$7)/$H184*OFFSET(ORÇAMENTO!$X$15,ROW(AR184)-ROW(AR$15),0),
ROUND(ROUND(OFFSET($P184,0,AR$13),15-13*ORÇAMENTO!$AF$7)*OFFSET(ORÇAMENTO!$W$15,ROW(AR184)-ROW(AR$15),0),15-13*ORÇAMENTO!$AF$11)),0)</f>
        <v>0</v>
      </c>
      <c r="AS184" s="546">
        <f ca="1">IF(AND($D184="Serviço",AS$12&lt;&gt;0,$H184&gt;0,OR(AUTOEVENTO&lt;&gt;"manual",$M184&lt;&gt;1)),
IF(Import.TipoArredondamento&lt;&gt;"TransfereGOV",
ROUND(OFFSET($P184,0,AS$13),15-13*ORÇAMENTO!$AF$7)/$H184*OFFSET(ORÇAMENTO!$X$15,ROW(AS184)-ROW(AS$15),0),
ROUND(ROUND(OFFSET($P184,0,AS$13),15-13*ORÇAMENTO!$AF$7)*OFFSET(ORÇAMENTO!$W$15,ROW(AS184)-ROW(AS$15),0),15-13*ORÇAMENTO!$AF$11)),0)</f>
        <v>0</v>
      </c>
      <c r="AT184" s="545">
        <f ca="1">IF(AND($D184="Serviço",AT$12&lt;&gt;0,$H184&gt;0,OR(AUTOEVENTO&lt;&gt;"manual",$M184&lt;&gt;1)),
IF(Import.TipoArredondamento&lt;&gt;"TransfereGOV",
ROUND(OFFSET($P184,0,AT$13),15-13*ORÇAMENTO!$AF$7)/$H184*OFFSET(ORÇAMENTO!$X$15,ROW(AT184)-ROW(AT$15),0),
ROUND(ROUND(OFFSET($P184,0,AT$13),15-13*ORÇAMENTO!$AF$7)*OFFSET(ORÇAMENTO!$W$15,ROW(AT184)-ROW(AT$15),0),15-13*ORÇAMENTO!$AF$11)),0)</f>
        <v>0</v>
      </c>
      <c r="AU184" s="545">
        <f ca="1">IF(AND($D184="Serviço",AU$12&lt;&gt;0,$H184&gt;0,OR(AUTOEVENTO&lt;&gt;"manual",$M184&lt;&gt;1)),
IF(Import.TipoArredondamento&lt;&gt;"TransfereGOV",
ROUND(OFFSET($P184,0,AU$13),15-13*ORÇAMENTO!$AF$7)/$H184*OFFSET(ORÇAMENTO!$X$15,ROW(AU184)-ROW(AU$15),0),
ROUND(ROUND(OFFSET($P184,0,AU$13),15-13*ORÇAMENTO!$AF$7)*OFFSET(ORÇAMENTO!$W$15,ROW(AU184)-ROW(AU$15),0),15-13*ORÇAMENTO!$AF$11)),0)</f>
        <v>0</v>
      </c>
      <c r="AV184" s="545">
        <f ca="1">IF(AND($D184="Serviço",AV$12&lt;&gt;0,$H184&gt;0,OR(AUTOEVENTO&lt;&gt;"manual",$M184&lt;&gt;1)),
IF(Import.TipoArredondamento&lt;&gt;"TransfereGOV",
ROUND(OFFSET($P184,0,AV$13),15-13*ORÇAMENTO!$AF$7)/$H184*OFFSET(ORÇAMENTO!$X$15,ROW(AV184)-ROW(AV$15),0),
ROUND(ROUND(OFFSET($P184,0,AV$13),15-13*ORÇAMENTO!$AF$7)*OFFSET(ORÇAMENTO!$W$15,ROW(AV184)-ROW(AV$15),0),15-13*ORÇAMENTO!$AF$11)),0)</f>
        <v>0</v>
      </c>
      <c r="AW184" s="545">
        <f ca="1">IF(AND($D184="Serviço",AW$12&lt;&gt;0,$H184&gt;0,OR(AUTOEVENTO&lt;&gt;"manual",$M184&lt;&gt;1)),
IF(Import.TipoArredondamento&lt;&gt;"TransfereGOV",
ROUND(OFFSET($P184,0,AW$13),15-13*ORÇAMENTO!$AF$7)/$H184*OFFSET(ORÇAMENTO!$X$15,ROW(AW184)-ROW(AW$15),0),
ROUND(ROUND(OFFSET($P184,0,AW$13),15-13*ORÇAMENTO!$AF$7)*OFFSET(ORÇAMENTO!$W$15,ROW(AW184)-ROW(AW$15),0),15-13*ORÇAMENTO!$AF$11)),0)</f>
        <v>0</v>
      </c>
      <c r="AX184" s="545">
        <f ca="1">IF(AND($D184="Serviço",AX$12&lt;&gt;0,$H184&gt;0,OR(AUTOEVENTO&lt;&gt;"manual",$M184&lt;&gt;1)),
IF(Import.TipoArredondamento&lt;&gt;"TransfereGOV",
ROUND(OFFSET($P184,0,AX$13),15-13*ORÇAMENTO!$AF$7)/$H184*OFFSET(ORÇAMENTO!$X$15,ROW(AX184)-ROW(AX$15),0),
ROUND(ROUND(OFFSET($P184,0,AX$13),15-13*ORÇAMENTO!$AF$7)*OFFSET(ORÇAMENTO!$W$15,ROW(AX184)-ROW(AX$15),0),15-13*ORÇAMENTO!$AF$11)),0)</f>
        <v>0</v>
      </c>
      <c r="AY184" s="545">
        <f ca="1">IF(AND($D184="Serviço",AY$12&lt;&gt;0,$H184&gt;0,OR(AUTOEVENTO&lt;&gt;"manual",$M184&lt;&gt;1)),
IF(Import.TipoArredondamento&lt;&gt;"TransfereGOV",
ROUND(OFFSET($P184,0,AY$13),15-13*ORÇAMENTO!$AF$7)/$H184*OFFSET(ORÇAMENTO!$X$15,ROW(AY184)-ROW(AY$15),0),
ROUND(ROUND(OFFSET($P184,0,AY$13),15-13*ORÇAMENTO!$AF$7)*OFFSET(ORÇAMENTO!$W$15,ROW(AY184)-ROW(AY$15),0),15-13*ORÇAMENTO!$AF$11)),0)</f>
        <v>0</v>
      </c>
      <c r="AZ184" s="545">
        <f ca="1">IF(AND($D184="Serviço",AZ$12&lt;&gt;0,$H184&gt;0,OR(AUTOEVENTO&lt;&gt;"manual",$M184&lt;&gt;1)),
IF(Import.TipoArredondamento&lt;&gt;"TransfereGOV",
ROUND(OFFSET($P184,0,AZ$13),15-13*ORÇAMENTO!$AF$7)/$H184*OFFSET(ORÇAMENTO!$X$15,ROW(AZ184)-ROW(AZ$15),0),
ROUND(ROUND(OFFSET($P184,0,AZ$13),15-13*ORÇAMENTO!$AF$7)*OFFSET(ORÇAMENTO!$W$15,ROW(AZ184)-ROW(AZ$15),0),15-13*ORÇAMENTO!$AF$11)),0)</f>
        <v>0</v>
      </c>
      <c r="BA184" s="546">
        <f ca="1">IF(AND($D184="Serviço",BA$12&lt;&gt;0,$H184&gt;0,OR(AUTOEVENTO&lt;&gt;"manual",$M184&lt;&gt;1)),
IF(Import.TipoArredondamento&lt;&gt;"TransfereGOV",
ROUND(OFFSET($P184,0,BA$13),15-13*ORÇAMENTO!$AF$7)/$H184*OFFSET(ORÇAMENTO!$X$15,ROW(BA184)-ROW(BA$15),0),
ROUND(ROUND(OFFSET($P184,0,BA$13),15-13*ORÇAMENTO!$AF$7)*OFFSET(ORÇAMENTO!$W$15,ROW(BA184)-ROW(BA$15),0),15-13*ORÇAMENTO!$AF$11)),0)</f>
        <v>0</v>
      </c>
      <c r="BC184" s="181">
        <f ca="1">IF($D184&lt;&gt;"Serviço",0,IF(AND(AUTOEVENTO="Manual",$M184=1),0,IF(OFFSET(CRONOPLE!$F$14,$M184,BC$13)="",10^12,OFFSET(CRONOPLE!$F$14,$M184,BC$13))))</f>
        <v>0</v>
      </c>
      <c r="BD184" s="181">
        <f ca="1">IF($D184&lt;&gt;"Serviço",0,IF(AND(AUTOEVENTO="Manual",$M184=1),0,IF(OFFSET(CRONOPLE!$F$14,$M184,BD$13)="",10^12,OFFSET(CRONOPLE!$F$14,$M184,BD$13))))</f>
        <v>0</v>
      </c>
      <c r="BE184" s="181">
        <f ca="1">IF($D184&lt;&gt;"Serviço",0,IF(AND(AUTOEVENTO="Manual",$M184=1),0,IF(OFFSET(CRONOPLE!$F$14,$M184,BE$13)="",10^12,OFFSET(CRONOPLE!$F$14,$M184,BE$13))))</f>
        <v>0</v>
      </c>
      <c r="BF184" s="181">
        <f ca="1">IF($D184&lt;&gt;"Serviço",0,IF(AND(AUTOEVENTO="Manual",$M184=1),0,IF(OFFSET(CRONOPLE!$F$14,$M184,BF$13)="",10^12,OFFSET(CRONOPLE!$F$14,$M184,BF$13))))</f>
        <v>0</v>
      </c>
      <c r="BG184" s="181">
        <f ca="1">IF($D184&lt;&gt;"Serviço",0,IF(AND(AUTOEVENTO="Manual",$M184=1),0,IF(OFFSET(CRONOPLE!$F$14,$M184,BG$13)="",10^12,OFFSET(CRONOPLE!$F$14,$M184,BG$13))))</f>
        <v>0</v>
      </c>
      <c r="BH184" s="181">
        <f ca="1">IF($D184&lt;&gt;"Serviço",0,IF(AND(AUTOEVENTO="Manual",$M184=1),0,IF(OFFSET(CRONOPLE!$F$14,$M184,BH$13)="",10^12,OFFSET(CRONOPLE!$F$14,$M184,BH$13))))</f>
        <v>0</v>
      </c>
      <c r="BI184" s="181">
        <f ca="1">IF($D184&lt;&gt;"Serviço",0,IF(AND(AUTOEVENTO="Manual",$M184=1),0,IF(OFFSET(CRONOPLE!$F$14,$M184,BI$13)="",10^12,OFFSET(CRONOPLE!$F$14,$M184,BI$13))))</f>
        <v>0</v>
      </c>
      <c r="BJ184" s="181">
        <f ca="1">IF($D184&lt;&gt;"Serviço",0,IF(AND(AUTOEVENTO="Manual",$M184=1),0,IF(OFFSET(CRONOPLE!$F$14,$M184,BJ$13)="",10^12,OFFSET(CRONOPLE!$F$14,$M184,BJ$13))))</f>
        <v>0</v>
      </c>
      <c r="BK184" s="181">
        <f ca="1">IF($D184&lt;&gt;"Serviço",0,IF(AND(AUTOEVENTO="Manual",$M184=1),0,IF(OFFSET(CRONOPLE!$F$14,$M184,BK$13)="",10^12,OFFSET(CRONOPLE!$F$14,$M184,BK$13))))</f>
        <v>0</v>
      </c>
      <c r="BL184" s="181">
        <f ca="1">IF($D184&lt;&gt;"Serviço",0,IF(AND(AUTOEVENTO="Manual",$M184=1),0,IF(OFFSET(CRONOPLE!$F$14,$M184,BL$13)="",10^12,OFFSET(CRONOPLE!$F$14,$M184,BL$13))))</f>
        <v>0</v>
      </c>
      <c r="BM184" s="181">
        <f ca="1">IF($D184&lt;&gt;"Serviço",0,IF(AND(AUTOEVENTO="Manual",$M184=1),0,IF(OFFSET(CRONOPLE!$F$14,$M184,BM$13)="",10^12,OFFSET(CRONOPLE!$F$14,$M184,BM$13))))</f>
        <v>0</v>
      </c>
      <c r="BN184" s="181">
        <f ca="1">IF($D184&lt;&gt;"Serviço",0,IF(AND(AUTOEVENTO="Manual",$M184=1),0,IF(OFFSET(CRONOPLE!$F$14,$M184,BN$13)="",10^12,OFFSET(CRONOPLE!$F$14,$M184,BN$13))))</f>
        <v>0</v>
      </c>
      <c r="BO184" s="181">
        <f ca="1">IF($D184&lt;&gt;"Serviço",0,IF(AND(AUTOEVENTO="Manual",$M184=1),0,IF(OFFSET(CRONOPLE!$F$14,$M184,BO$13)="",10^12,OFFSET(CRONOPLE!$F$14,$M184,BO$13))))</f>
        <v>0</v>
      </c>
      <c r="BP184" s="181">
        <f ca="1">IF($D184&lt;&gt;"Serviço",0,IF(AND(AUTOEVENTO="Manual",$M184=1),0,IF(OFFSET(CRONOPLE!$F$14,$M184,BP$13)="",10^12,OFFSET(CRONOPLE!$F$14,$M184,BP$13))))</f>
        <v>0</v>
      </c>
      <c r="BQ184" s="181">
        <f ca="1">IF($D184&lt;&gt;"Serviço",0,IF(AND(AUTOEVENTO="Manual",$M184=1),0,IF(OFFSET(CRONOPLE!$F$14,$M184,BQ$13)="",10^12,OFFSET(CRONOPLE!$F$14,$M184,BQ$13))))</f>
        <v>0</v>
      </c>
      <c r="BR184" s="181">
        <f ca="1">IF($D184&lt;&gt;"Serviço",0,IF(AND(AUTOEVENTO="Manual",$M184=1),0,IF(OFFSET(CRONOPLE!$F$14,$M184,BR$13)="",10^12,OFFSET(CRONOPLE!$F$14,$M184,BR$13))))</f>
        <v>0</v>
      </c>
      <c r="BS184" s="181">
        <f ca="1">IF($D184&lt;&gt;"Serviço",0,IF(AND(AUTOEVENTO="Manual",$M184=1),0,IF(OFFSET(CRONOPLE!$F$14,$M184,BS$13)="",10^12,OFFSET(CRONOPLE!$F$14,$M184,BS$13))))</f>
        <v>0</v>
      </c>
      <c r="BT184" s="181">
        <f ca="1">IF($D184&lt;&gt;"Serviço",0,IF(AND(AUTOEVENTO="Manual",$M184=1),0,IF(OFFSET(CRONOPLE!$F$14,$M184,BT$13)="",10^12,OFFSET(CRONOPLE!$F$14,$M184,BT$13))))</f>
        <v>0</v>
      </c>
      <c r="BV184" s="182">
        <f ca="1">IF($D184&lt;&gt;"Serviço",0,IF(OR(AND(AUTOEVENTO="Manual",$M184=1),$M184&gt;(ROW(PLE.lastrow)-ROW(PLE.firstrow))),0,IF(OFFSET(PLE!$G$14,$M184,BV$13)="",10^12,OFFSET(PLE!$G$14,$M184,BV$13))))</f>
        <v>0</v>
      </c>
      <c r="BW184" s="182">
        <f ca="1">IF($D184&lt;&gt;"Serviço",0,IF(OR(AND(AUTOEVENTO="Manual",$M184=1),$M184&gt;(ROW(PLE.lastrow)-ROW(PLE.firstrow))),0,IF(OFFSET(PLE!$G$14,$M184,BW$13)="",10^12,OFFSET(PLE!$G$14,$M184,BW$13))))</f>
        <v>0</v>
      </c>
      <c r="BX184" s="182">
        <f ca="1">IF($D184&lt;&gt;"Serviço",0,IF(OR(AND(AUTOEVENTO="Manual",$M184=1),$M184&gt;(ROW(PLE.lastrow)-ROW(PLE.firstrow))),0,IF(OFFSET(PLE!$G$14,$M184,BX$13)="",10^12,OFFSET(PLE!$G$14,$M184,BX$13))))</f>
        <v>0</v>
      </c>
      <c r="BY184" s="182">
        <f ca="1">IF($D184&lt;&gt;"Serviço",0,IF(OR(AND(AUTOEVENTO="Manual",$M184=1),$M184&gt;(ROW(PLE.lastrow)-ROW(PLE.firstrow))),0,IF(OFFSET(PLE!$G$14,$M184,BY$13)="",10^12,OFFSET(PLE!$G$14,$M184,BY$13))))</f>
        <v>0</v>
      </c>
      <c r="BZ184" s="182">
        <f ca="1">IF($D184&lt;&gt;"Serviço",0,IF(OR(AND(AUTOEVENTO="Manual",$M184=1),$M184&gt;(ROW(PLE.lastrow)-ROW(PLE.firstrow))),0,IF(OFFSET(PLE!$G$14,$M184,BZ$13)="",10^12,OFFSET(PLE!$G$14,$M184,BZ$13))))</f>
        <v>0</v>
      </c>
      <c r="CA184" s="182">
        <f ca="1">IF($D184&lt;&gt;"Serviço",0,IF(OR(AND(AUTOEVENTO="Manual",$M184=1),$M184&gt;(ROW(PLE.lastrow)-ROW(PLE.firstrow))),0,IF(OFFSET(PLE!$G$14,$M184,CA$13)="",10^12,OFFSET(PLE!$G$14,$M184,CA$13))))</f>
        <v>0</v>
      </c>
      <c r="CB184" s="182">
        <f ca="1">IF($D184&lt;&gt;"Serviço",0,IF(OR(AND(AUTOEVENTO="Manual",$M184=1),$M184&gt;(ROW(PLE.lastrow)-ROW(PLE.firstrow))),0,IF(OFFSET(PLE!$G$14,$M184,CB$13)="",10^12,OFFSET(PLE!$G$14,$M184,CB$13))))</f>
        <v>0</v>
      </c>
      <c r="CC184" s="182">
        <f ca="1">IF($D184&lt;&gt;"Serviço",0,IF(OR(AND(AUTOEVENTO="Manual",$M184=1),$M184&gt;(ROW(PLE.lastrow)-ROW(PLE.firstrow))),0,IF(OFFSET(PLE!$G$14,$M184,CC$13)="",10^12,OFFSET(PLE!$G$14,$M184,CC$13))))</f>
        <v>0</v>
      </c>
      <c r="CD184" s="182">
        <f ca="1">IF($D184&lt;&gt;"Serviço",0,IF(OR(AND(AUTOEVENTO="Manual",$M184=1),$M184&gt;(ROW(PLE.lastrow)-ROW(PLE.firstrow))),0,IF(OFFSET(PLE!$G$14,$M184,CD$13)="",10^12,OFFSET(PLE!$G$14,$M184,CD$13))))</f>
        <v>0</v>
      </c>
      <c r="CE184" s="182">
        <f ca="1">IF($D184&lt;&gt;"Serviço",0,IF(OR(AND(AUTOEVENTO="Manual",$M184=1),$M184&gt;(ROW(PLE.lastrow)-ROW(PLE.firstrow))),0,IF(OFFSET(PLE!$G$14,$M184,CE$13)="",10^12,OFFSET(PLE!$G$14,$M184,CE$13))))</f>
        <v>0</v>
      </c>
      <c r="CF184" s="182">
        <f ca="1">IF($D184&lt;&gt;"Serviço",0,IF(OR(AND(AUTOEVENTO="Manual",$M184=1),$M184&gt;(ROW(PLE.lastrow)-ROW(PLE.firstrow))),0,IF(OFFSET(PLE!$G$14,$M184,CF$13)="",10^12,OFFSET(PLE!$G$14,$M184,CF$13))))</f>
        <v>0</v>
      </c>
      <c r="CG184" s="182">
        <f ca="1">IF($D184&lt;&gt;"Serviço",0,IF(OR(AND(AUTOEVENTO="Manual",$M184=1),$M184&gt;(ROW(PLE.lastrow)-ROW(PLE.firstrow))),0,IF(OFFSET(PLE!$G$14,$M184,CG$13)="",10^12,OFFSET(PLE!$G$14,$M184,CG$13))))</f>
        <v>0</v>
      </c>
      <c r="CH184" s="182">
        <f ca="1">IF($D184&lt;&gt;"Serviço",0,IF(OR(AND(AUTOEVENTO="Manual",$M184=1),$M184&gt;(ROW(PLE.lastrow)-ROW(PLE.firstrow))),0,IF(OFFSET(PLE!$G$14,$M184,CH$13)="",10^12,OFFSET(PLE!$G$14,$M184,CH$13))))</f>
        <v>0</v>
      </c>
      <c r="CI184" s="182">
        <f ca="1">IF($D184&lt;&gt;"Serviço",0,IF(OR(AND(AUTOEVENTO="Manual",$M184=1),$M184&gt;(ROW(PLE.lastrow)-ROW(PLE.firstrow))),0,IF(OFFSET(PLE!$G$14,$M184,CI$13)="",10^12,OFFSET(PLE!$G$14,$M184,CI$13))))</f>
        <v>0</v>
      </c>
      <c r="CJ184" s="182">
        <f ca="1">IF($D184&lt;&gt;"Serviço",0,IF(OR(AND(AUTOEVENTO="Manual",$M184=1),$M184&gt;(ROW(PLE.lastrow)-ROW(PLE.firstrow))),0,IF(OFFSET(PLE!$G$14,$M184,CJ$13)="",10^12,OFFSET(PLE!$G$14,$M184,CJ$13))))</f>
        <v>0</v>
      </c>
      <c r="CK184" s="182">
        <f ca="1">IF($D184&lt;&gt;"Serviço",0,IF(OR(AND(AUTOEVENTO="Manual",$M184=1),$M184&gt;(ROW(PLE.lastrow)-ROW(PLE.firstrow))),0,IF(OFFSET(PLE!$G$14,$M184,CK$13)="",10^12,OFFSET(PLE!$G$14,$M184,CK$13))))</f>
        <v>0</v>
      </c>
      <c r="CL184" s="182">
        <f ca="1">IF($D184&lt;&gt;"Serviço",0,IF(OR(AND(AUTOEVENTO="Manual",$M184=1),$M184&gt;(ROW(PLE.lastrow)-ROW(PLE.firstrow))),0,IF(OFFSET(PLE!$G$14,$M184,CL$13)="",10^12,OFFSET(PLE!$G$14,$M184,CL$13))))</f>
        <v>0</v>
      </c>
      <c r="CM184" s="182">
        <f ca="1">IF($D184&lt;&gt;"Serviço",0,IF(OR(AND(AUTOEVENTO="Manual",$M184=1),$M184&gt;(ROW(PLE.lastrow)-ROW(PLE.firstrow))),0,IF(OFFSET(PLE!$G$14,$M184,CM$13)="",10^12,OFFSET(PLE!$G$14,$M184,CM$13))))</f>
        <v>0</v>
      </c>
    </row>
    <row r="185" spans="1:91" ht="38.25" x14ac:dyDescent="0.2">
      <c r="A185" s="7" t="str">
        <f t="shared" ca="1" si="12"/>
        <v>169</v>
      </c>
      <c r="B185" s="7" t="str">
        <f ca="1">OFFSET(ORÇAMENTO!C$15,ROW(B185)-ROW(B$15),0)</f>
        <v>S</v>
      </c>
      <c r="C185" s="7" t="str">
        <f ca="1">OFFSET(ORÇAMENTO!L$15,ROW(C185)-ROW(C$15),0)</f>
        <v/>
      </c>
      <c r="D185" s="118" t="str">
        <f ca="1">OFFSET(ORÇAMENTO!N$15,ROW(D185)-ROW(D$15),0)</f>
        <v>Serviço</v>
      </c>
      <c r="E185" s="119" t="str">
        <f ca="1">OFFSET(ORÇAMENTO!O$15,ROW(E185)-ROW(E$15),0)</f>
        <v>-</v>
      </c>
      <c r="F185" s="172" t="str">
        <f ca="1">OFFSET(ORÇAMENTO!R$15,ROW(F185)-ROW(F$15),0)</f>
        <v>(abra o arquivo 'Referência 06-2024.xlsm)</v>
      </c>
      <c r="G185" s="173" t="str">
        <f ca="1">IF($D185&lt;&gt;"Serviço","",OFFSET(ORÇAMENTO!S$15,ROW(G185)-ROW(G$15),0))</f>
        <v>-</v>
      </c>
      <c r="H185" s="124">
        <f ca="1">IF($D185&lt;&gt;"Serviço",0,IF(ACOMPANHAMENTO="BM",ROUND(OFFSET(ORÇAMENTO!AJ$15,ROW(H185)-ROW(H$15),0),15-13*ORÇAMENTO!$AF$7),SUMPRODUCT(($Q$12:$AI$12&lt;&gt;"")*ROUND($Q185:$AI185,15-13*ORÇAMENTO!$AF$7))))</f>
        <v>2001.17</v>
      </c>
      <c r="I185" s="561" t="s">
        <v>1107</v>
      </c>
      <c r="K185" s="174"/>
      <c r="L185" s="175" t="s">
        <v>255</v>
      </c>
      <c r="M185" s="176">
        <f ca="1">IF($D185&lt;&gt;"Serviço","",IF(AUTOEVENTO="manual",$A185,IF(ISERROR(MATCH($A185,$A$15:OFFSET($A185,-1,0),0)),MAX($M$15:OFFSET(M185,-1,0))+1,INDEX($M$15:OFFSET(M185,-1,0),MATCH($A185,$A$15:OFFSET($A185,-1,0),0)))))</f>
        <v>27</v>
      </c>
      <c r="N185" s="177" t="str">
        <f ca="1">IF($D185&lt;&gt;"Serviço","",IF(AUTOEVENTO="Manual",IF($A185=0,"&lt;-- defina o número do agrupador",OFFSET(EVENTOS!$D$14,$A185,0)),OFFSET($F$15,$A185,0)))</f>
        <v>REVESTIMENTOS INTERNO E EXTERNO - EDIFICAÇÃO</v>
      </c>
      <c r="O185" s="178"/>
      <c r="Q185" s="178">
        <v>2001.17</v>
      </c>
      <c r="R185" s="179"/>
      <c r="S185" s="179"/>
      <c r="T185" s="179"/>
      <c r="U185" s="179"/>
      <c r="V185" s="179"/>
      <c r="W185" s="179"/>
      <c r="X185" s="179"/>
      <c r="Y185" s="179"/>
      <c r="Z185" s="180"/>
      <c r="AA185" s="179"/>
      <c r="AB185" s="179"/>
      <c r="AC185" s="179"/>
      <c r="AD185" s="179"/>
      <c r="AE185" s="179"/>
      <c r="AF185" s="179"/>
      <c r="AG185" s="179"/>
      <c r="AH185" s="180"/>
      <c r="AJ185" s="544">
        <f ca="1">IF(AND($D185="Serviço",AJ$12&lt;&gt;0,$H185&gt;0,OR(AUTOEVENTO&lt;&gt;"manual",$M185&lt;&gt;1)),
IF(Import.TipoArredondamento&lt;&gt;"TransfereGOV",
ROUND(OFFSET($P185,0,AJ$13),15-13*ORÇAMENTO!$AF$7)/$H185*OFFSET(ORÇAMENTO!$X$15,ROW(AJ185)-ROW(AJ$15),0),
ROUND(ROUND(OFFSET($P185,0,AJ$13),15-13*ORÇAMENTO!$AF$7)*OFFSET(ORÇAMENTO!$W$15,ROW(AJ185)-ROW(AJ$15),0),15-13*ORÇAMENTO!$AF$11)),0)</f>
        <v>0</v>
      </c>
      <c r="AK185" s="545">
        <f ca="1">IF(AND($D185="Serviço",AK$12&lt;&gt;0,$H185&gt;0,OR(AUTOEVENTO&lt;&gt;"manual",$M185&lt;&gt;1)),
IF(Import.TipoArredondamento&lt;&gt;"TransfereGOV",
ROUND(OFFSET($P185,0,AK$13),15-13*ORÇAMENTO!$AF$7)/$H185*OFFSET(ORÇAMENTO!$X$15,ROW(AK185)-ROW(AK$15),0),
ROUND(ROUND(OFFSET($P185,0,AK$13),15-13*ORÇAMENTO!$AF$7)*OFFSET(ORÇAMENTO!$W$15,ROW(AK185)-ROW(AK$15),0),15-13*ORÇAMENTO!$AF$11)),0)</f>
        <v>0</v>
      </c>
      <c r="AL185" s="545">
        <f ca="1">IF(AND($D185="Serviço",AL$12&lt;&gt;0,$H185&gt;0,OR(AUTOEVENTO&lt;&gt;"manual",$M185&lt;&gt;1)),
IF(Import.TipoArredondamento&lt;&gt;"TransfereGOV",
ROUND(OFFSET($P185,0,AL$13),15-13*ORÇAMENTO!$AF$7)/$H185*OFFSET(ORÇAMENTO!$X$15,ROW(AL185)-ROW(AL$15),0),
ROUND(ROUND(OFFSET($P185,0,AL$13),15-13*ORÇAMENTO!$AF$7)*OFFSET(ORÇAMENTO!$W$15,ROW(AL185)-ROW(AL$15),0),15-13*ORÇAMENTO!$AF$11)),0)</f>
        <v>0</v>
      </c>
      <c r="AM185" s="545">
        <f ca="1">IF(AND($D185="Serviço",AM$12&lt;&gt;0,$H185&gt;0,OR(AUTOEVENTO&lt;&gt;"manual",$M185&lt;&gt;1)),
IF(Import.TipoArredondamento&lt;&gt;"TransfereGOV",
ROUND(OFFSET($P185,0,AM$13),15-13*ORÇAMENTO!$AF$7)/$H185*OFFSET(ORÇAMENTO!$X$15,ROW(AM185)-ROW(AM$15),0),
ROUND(ROUND(OFFSET($P185,0,AM$13),15-13*ORÇAMENTO!$AF$7)*OFFSET(ORÇAMENTO!$W$15,ROW(AM185)-ROW(AM$15),0),15-13*ORÇAMENTO!$AF$11)),0)</f>
        <v>0</v>
      </c>
      <c r="AN185" s="545">
        <f ca="1">IF(AND($D185="Serviço",AN$12&lt;&gt;0,$H185&gt;0,OR(AUTOEVENTO&lt;&gt;"manual",$M185&lt;&gt;1)),
IF(Import.TipoArredondamento&lt;&gt;"TransfereGOV",
ROUND(OFFSET($P185,0,AN$13),15-13*ORÇAMENTO!$AF$7)/$H185*OFFSET(ORÇAMENTO!$X$15,ROW(AN185)-ROW(AN$15),0),
ROUND(ROUND(OFFSET($P185,0,AN$13),15-13*ORÇAMENTO!$AF$7)*OFFSET(ORÇAMENTO!$W$15,ROW(AN185)-ROW(AN$15),0),15-13*ORÇAMENTO!$AF$11)),0)</f>
        <v>0</v>
      </c>
      <c r="AO185" s="545">
        <f ca="1">IF(AND($D185="Serviço",AO$12&lt;&gt;0,$H185&gt;0,OR(AUTOEVENTO&lt;&gt;"manual",$M185&lt;&gt;1)),
IF(Import.TipoArredondamento&lt;&gt;"TransfereGOV",
ROUND(OFFSET($P185,0,AO$13),15-13*ORÇAMENTO!$AF$7)/$H185*OFFSET(ORÇAMENTO!$X$15,ROW(AO185)-ROW(AO$15),0),
ROUND(ROUND(OFFSET($P185,0,AO$13),15-13*ORÇAMENTO!$AF$7)*OFFSET(ORÇAMENTO!$W$15,ROW(AO185)-ROW(AO$15),0),15-13*ORÇAMENTO!$AF$11)),0)</f>
        <v>0</v>
      </c>
      <c r="AP185" s="545">
        <f ca="1">IF(AND($D185="Serviço",AP$12&lt;&gt;0,$H185&gt;0,OR(AUTOEVENTO&lt;&gt;"manual",$M185&lt;&gt;1)),
IF(Import.TipoArredondamento&lt;&gt;"TransfereGOV",
ROUND(OFFSET($P185,0,AP$13),15-13*ORÇAMENTO!$AF$7)/$H185*OFFSET(ORÇAMENTO!$X$15,ROW(AP185)-ROW(AP$15),0),
ROUND(ROUND(OFFSET($P185,0,AP$13),15-13*ORÇAMENTO!$AF$7)*OFFSET(ORÇAMENTO!$W$15,ROW(AP185)-ROW(AP$15),0),15-13*ORÇAMENTO!$AF$11)),0)</f>
        <v>0</v>
      </c>
      <c r="AQ185" s="545">
        <f ca="1">IF(AND($D185="Serviço",AQ$12&lt;&gt;0,$H185&gt;0,OR(AUTOEVENTO&lt;&gt;"manual",$M185&lt;&gt;1)),
IF(Import.TipoArredondamento&lt;&gt;"TransfereGOV",
ROUND(OFFSET($P185,0,AQ$13),15-13*ORÇAMENTO!$AF$7)/$H185*OFFSET(ORÇAMENTO!$X$15,ROW(AQ185)-ROW(AQ$15),0),
ROUND(ROUND(OFFSET($P185,0,AQ$13),15-13*ORÇAMENTO!$AF$7)*OFFSET(ORÇAMENTO!$W$15,ROW(AQ185)-ROW(AQ$15),0),15-13*ORÇAMENTO!$AF$11)),0)</f>
        <v>0</v>
      </c>
      <c r="AR185" s="545">
        <f ca="1">IF(AND($D185="Serviço",AR$12&lt;&gt;0,$H185&gt;0,OR(AUTOEVENTO&lt;&gt;"manual",$M185&lt;&gt;1)),
IF(Import.TipoArredondamento&lt;&gt;"TransfereGOV",
ROUND(OFFSET($P185,0,AR$13),15-13*ORÇAMENTO!$AF$7)/$H185*OFFSET(ORÇAMENTO!$X$15,ROW(AR185)-ROW(AR$15),0),
ROUND(ROUND(OFFSET($P185,0,AR$13),15-13*ORÇAMENTO!$AF$7)*OFFSET(ORÇAMENTO!$W$15,ROW(AR185)-ROW(AR$15),0),15-13*ORÇAMENTO!$AF$11)),0)</f>
        <v>0</v>
      </c>
      <c r="AS185" s="546">
        <f ca="1">IF(AND($D185="Serviço",AS$12&lt;&gt;0,$H185&gt;0,OR(AUTOEVENTO&lt;&gt;"manual",$M185&lt;&gt;1)),
IF(Import.TipoArredondamento&lt;&gt;"TransfereGOV",
ROUND(OFFSET($P185,0,AS$13),15-13*ORÇAMENTO!$AF$7)/$H185*OFFSET(ORÇAMENTO!$X$15,ROW(AS185)-ROW(AS$15),0),
ROUND(ROUND(OFFSET($P185,0,AS$13),15-13*ORÇAMENTO!$AF$7)*OFFSET(ORÇAMENTO!$W$15,ROW(AS185)-ROW(AS$15),0),15-13*ORÇAMENTO!$AF$11)),0)</f>
        <v>0</v>
      </c>
      <c r="AT185" s="545">
        <f ca="1">IF(AND($D185="Serviço",AT$12&lt;&gt;0,$H185&gt;0,OR(AUTOEVENTO&lt;&gt;"manual",$M185&lt;&gt;1)),
IF(Import.TipoArredondamento&lt;&gt;"TransfereGOV",
ROUND(OFFSET($P185,0,AT$13),15-13*ORÇAMENTO!$AF$7)/$H185*OFFSET(ORÇAMENTO!$X$15,ROW(AT185)-ROW(AT$15),0),
ROUND(ROUND(OFFSET($P185,0,AT$13),15-13*ORÇAMENTO!$AF$7)*OFFSET(ORÇAMENTO!$W$15,ROW(AT185)-ROW(AT$15),0),15-13*ORÇAMENTO!$AF$11)),0)</f>
        <v>0</v>
      </c>
      <c r="AU185" s="545">
        <f ca="1">IF(AND($D185="Serviço",AU$12&lt;&gt;0,$H185&gt;0,OR(AUTOEVENTO&lt;&gt;"manual",$M185&lt;&gt;1)),
IF(Import.TipoArredondamento&lt;&gt;"TransfereGOV",
ROUND(OFFSET($P185,0,AU$13),15-13*ORÇAMENTO!$AF$7)/$H185*OFFSET(ORÇAMENTO!$X$15,ROW(AU185)-ROW(AU$15),0),
ROUND(ROUND(OFFSET($P185,0,AU$13),15-13*ORÇAMENTO!$AF$7)*OFFSET(ORÇAMENTO!$W$15,ROW(AU185)-ROW(AU$15),0),15-13*ORÇAMENTO!$AF$11)),0)</f>
        <v>0</v>
      </c>
      <c r="AV185" s="545">
        <f ca="1">IF(AND($D185="Serviço",AV$12&lt;&gt;0,$H185&gt;0,OR(AUTOEVENTO&lt;&gt;"manual",$M185&lt;&gt;1)),
IF(Import.TipoArredondamento&lt;&gt;"TransfereGOV",
ROUND(OFFSET($P185,0,AV$13),15-13*ORÇAMENTO!$AF$7)/$H185*OFFSET(ORÇAMENTO!$X$15,ROW(AV185)-ROW(AV$15),0),
ROUND(ROUND(OFFSET($P185,0,AV$13),15-13*ORÇAMENTO!$AF$7)*OFFSET(ORÇAMENTO!$W$15,ROW(AV185)-ROW(AV$15),0),15-13*ORÇAMENTO!$AF$11)),0)</f>
        <v>0</v>
      </c>
      <c r="AW185" s="545">
        <f ca="1">IF(AND($D185="Serviço",AW$12&lt;&gt;0,$H185&gt;0,OR(AUTOEVENTO&lt;&gt;"manual",$M185&lt;&gt;1)),
IF(Import.TipoArredondamento&lt;&gt;"TransfereGOV",
ROUND(OFFSET($P185,0,AW$13),15-13*ORÇAMENTO!$AF$7)/$H185*OFFSET(ORÇAMENTO!$X$15,ROW(AW185)-ROW(AW$15),0),
ROUND(ROUND(OFFSET($P185,0,AW$13),15-13*ORÇAMENTO!$AF$7)*OFFSET(ORÇAMENTO!$W$15,ROW(AW185)-ROW(AW$15),0),15-13*ORÇAMENTO!$AF$11)),0)</f>
        <v>0</v>
      </c>
      <c r="AX185" s="545">
        <f ca="1">IF(AND($D185="Serviço",AX$12&lt;&gt;0,$H185&gt;0,OR(AUTOEVENTO&lt;&gt;"manual",$M185&lt;&gt;1)),
IF(Import.TipoArredondamento&lt;&gt;"TransfereGOV",
ROUND(OFFSET($P185,0,AX$13),15-13*ORÇAMENTO!$AF$7)/$H185*OFFSET(ORÇAMENTO!$X$15,ROW(AX185)-ROW(AX$15),0),
ROUND(ROUND(OFFSET($P185,0,AX$13),15-13*ORÇAMENTO!$AF$7)*OFFSET(ORÇAMENTO!$W$15,ROW(AX185)-ROW(AX$15),0),15-13*ORÇAMENTO!$AF$11)),0)</f>
        <v>0</v>
      </c>
      <c r="AY185" s="545">
        <f ca="1">IF(AND($D185="Serviço",AY$12&lt;&gt;0,$H185&gt;0,OR(AUTOEVENTO&lt;&gt;"manual",$M185&lt;&gt;1)),
IF(Import.TipoArredondamento&lt;&gt;"TransfereGOV",
ROUND(OFFSET($P185,0,AY$13),15-13*ORÇAMENTO!$AF$7)/$H185*OFFSET(ORÇAMENTO!$X$15,ROW(AY185)-ROW(AY$15),0),
ROUND(ROUND(OFFSET($P185,0,AY$13),15-13*ORÇAMENTO!$AF$7)*OFFSET(ORÇAMENTO!$W$15,ROW(AY185)-ROW(AY$15),0),15-13*ORÇAMENTO!$AF$11)),0)</f>
        <v>0</v>
      </c>
      <c r="AZ185" s="545">
        <f ca="1">IF(AND($D185="Serviço",AZ$12&lt;&gt;0,$H185&gt;0,OR(AUTOEVENTO&lt;&gt;"manual",$M185&lt;&gt;1)),
IF(Import.TipoArredondamento&lt;&gt;"TransfereGOV",
ROUND(OFFSET($P185,0,AZ$13),15-13*ORÇAMENTO!$AF$7)/$H185*OFFSET(ORÇAMENTO!$X$15,ROW(AZ185)-ROW(AZ$15),0),
ROUND(ROUND(OFFSET($P185,0,AZ$13),15-13*ORÇAMENTO!$AF$7)*OFFSET(ORÇAMENTO!$W$15,ROW(AZ185)-ROW(AZ$15),0),15-13*ORÇAMENTO!$AF$11)),0)</f>
        <v>0</v>
      </c>
      <c r="BA185" s="546">
        <f ca="1">IF(AND($D185="Serviço",BA$12&lt;&gt;0,$H185&gt;0,OR(AUTOEVENTO&lt;&gt;"manual",$M185&lt;&gt;1)),
IF(Import.TipoArredondamento&lt;&gt;"TransfereGOV",
ROUND(OFFSET($P185,0,BA$13),15-13*ORÇAMENTO!$AF$7)/$H185*OFFSET(ORÇAMENTO!$X$15,ROW(BA185)-ROW(BA$15),0),
ROUND(ROUND(OFFSET($P185,0,BA$13),15-13*ORÇAMENTO!$AF$7)*OFFSET(ORÇAMENTO!$W$15,ROW(BA185)-ROW(BA$15),0),15-13*ORÇAMENTO!$AF$11)),0)</f>
        <v>0</v>
      </c>
      <c r="BC185" s="181">
        <f ca="1">IF($D185&lt;&gt;"Serviço",0,IF(AND(AUTOEVENTO="Manual",$M185=1),0,IF(OFFSET(CRONOPLE!$F$14,$M185,BC$13)="",10^12,OFFSET(CRONOPLE!$F$14,$M185,BC$13))))</f>
        <v>7</v>
      </c>
      <c r="BD185" s="181">
        <f ca="1">IF($D185&lt;&gt;"Serviço",0,IF(AND(AUTOEVENTO="Manual",$M185=1),0,IF(OFFSET(CRONOPLE!$F$14,$M185,BD$13)="",10^12,OFFSET(CRONOPLE!$F$14,$M185,BD$13))))</f>
        <v>1000000000000</v>
      </c>
      <c r="BE185" s="181">
        <f ca="1">IF($D185&lt;&gt;"Serviço",0,IF(AND(AUTOEVENTO="Manual",$M185=1),0,IF(OFFSET(CRONOPLE!$F$14,$M185,BE$13)="",10^12,OFFSET(CRONOPLE!$F$14,$M185,BE$13))))</f>
        <v>1000000000000</v>
      </c>
      <c r="BF185" s="181">
        <f ca="1">IF($D185&lt;&gt;"Serviço",0,IF(AND(AUTOEVENTO="Manual",$M185=1),0,IF(OFFSET(CRONOPLE!$F$14,$M185,BF$13)="",10^12,OFFSET(CRONOPLE!$F$14,$M185,BF$13))))</f>
        <v>1000000000000</v>
      </c>
      <c r="BG185" s="181">
        <f ca="1">IF($D185&lt;&gt;"Serviço",0,IF(AND(AUTOEVENTO="Manual",$M185=1),0,IF(OFFSET(CRONOPLE!$F$14,$M185,BG$13)="",10^12,OFFSET(CRONOPLE!$F$14,$M185,BG$13))))</f>
        <v>1000000000000</v>
      </c>
      <c r="BH185" s="181">
        <f ca="1">IF($D185&lt;&gt;"Serviço",0,IF(AND(AUTOEVENTO="Manual",$M185=1),0,IF(OFFSET(CRONOPLE!$F$14,$M185,BH$13)="",10^12,OFFSET(CRONOPLE!$F$14,$M185,BH$13))))</f>
        <v>1000000000000</v>
      </c>
      <c r="BI185" s="181">
        <f ca="1">IF($D185&lt;&gt;"Serviço",0,IF(AND(AUTOEVENTO="Manual",$M185=1),0,IF(OFFSET(CRONOPLE!$F$14,$M185,BI$13)="",10^12,OFFSET(CRONOPLE!$F$14,$M185,BI$13))))</f>
        <v>1000000000000</v>
      </c>
      <c r="BJ185" s="181">
        <f ca="1">IF($D185&lt;&gt;"Serviço",0,IF(AND(AUTOEVENTO="Manual",$M185=1),0,IF(OFFSET(CRONOPLE!$F$14,$M185,BJ$13)="",10^12,OFFSET(CRONOPLE!$F$14,$M185,BJ$13))))</f>
        <v>1000000000000</v>
      </c>
      <c r="BK185" s="181">
        <f ca="1">IF($D185&lt;&gt;"Serviço",0,IF(AND(AUTOEVENTO="Manual",$M185=1),0,IF(OFFSET(CRONOPLE!$F$14,$M185,BK$13)="",10^12,OFFSET(CRONOPLE!$F$14,$M185,BK$13))))</f>
        <v>1000000000000</v>
      </c>
      <c r="BL185" s="181">
        <f ca="1">IF($D185&lt;&gt;"Serviço",0,IF(AND(AUTOEVENTO="Manual",$M185=1),0,IF(OFFSET(CRONOPLE!$F$14,$M185,BL$13)="",10^12,OFFSET(CRONOPLE!$F$14,$M185,BL$13))))</f>
        <v>1000000000000</v>
      </c>
      <c r="BM185" s="181">
        <f ca="1">IF($D185&lt;&gt;"Serviço",0,IF(AND(AUTOEVENTO="Manual",$M185=1),0,IF(OFFSET(CRONOPLE!$F$14,$M185,BM$13)="",10^12,OFFSET(CRONOPLE!$F$14,$M185,BM$13))))</f>
        <v>1000000000000</v>
      </c>
      <c r="BN185" s="181">
        <f ca="1">IF($D185&lt;&gt;"Serviço",0,IF(AND(AUTOEVENTO="Manual",$M185=1),0,IF(OFFSET(CRONOPLE!$F$14,$M185,BN$13)="",10^12,OFFSET(CRONOPLE!$F$14,$M185,BN$13))))</f>
        <v>1000000000000</v>
      </c>
      <c r="BO185" s="181">
        <f ca="1">IF($D185&lt;&gt;"Serviço",0,IF(AND(AUTOEVENTO="Manual",$M185=1),0,IF(OFFSET(CRONOPLE!$F$14,$M185,BO$13)="",10^12,OFFSET(CRONOPLE!$F$14,$M185,BO$13))))</f>
        <v>1000000000000</v>
      </c>
      <c r="BP185" s="181">
        <f ca="1">IF($D185&lt;&gt;"Serviço",0,IF(AND(AUTOEVENTO="Manual",$M185=1),0,IF(OFFSET(CRONOPLE!$F$14,$M185,BP$13)="",10^12,OFFSET(CRONOPLE!$F$14,$M185,BP$13))))</f>
        <v>1000000000000</v>
      </c>
      <c r="BQ185" s="181">
        <f ca="1">IF($D185&lt;&gt;"Serviço",0,IF(AND(AUTOEVENTO="Manual",$M185=1),0,IF(OFFSET(CRONOPLE!$F$14,$M185,BQ$13)="",10^12,OFFSET(CRONOPLE!$F$14,$M185,BQ$13))))</f>
        <v>1000000000000</v>
      </c>
      <c r="BR185" s="181">
        <f ca="1">IF($D185&lt;&gt;"Serviço",0,IF(AND(AUTOEVENTO="Manual",$M185=1),0,IF(OFFSET(CRONOPLE!$F$14,$M185,BR$13)="",10^12,OFFSET(CRONOPLE!$F$14,$M185,BR$13))))</f>
        <v>1000000000000</v>
      </c>
      <c r="BS185" s="181">
        <f ca="1">IF($D185&lt;&gt;"Serviço",0,IF(AND(AUTOEVENTO="Manual",$M185=1),0,IF(OFFSET(CRONOPLE!$F$14,$M185,BS$13)="",10^12,OFFSET(CRONOPLE!$F$14,$M185,BS$13))))</f>
        <v>1000000000000</v>
      </c>
      <c r="BT185" s="181">
        <f ca="1">IF($D185&lt;&gt;"Serviço",0,IF(AND(AUTOEVENTO="Manual",$M185=1),0,IF(OFFSET(CRONOPLE!$F$14,$M185,BT$13)="",10^12,OFFSET(CRONOPLE!$F$14,$M185,BT$13))))</f>
        <v>1000000000000</v>
      </c>
      <c r="BV185" s="182">
        <f ca="1">IF($D185&lt;&gt;"Serviço",0,IF(OR(AND(AUTOEVENTO="Manual",$M185=1),$M185&gt;(ROW(PLE.lastrow)-ROW(PLE.firstrow))),0,IF(OFFSET(PLE!$G$14,$M185,BV$13)="",10^12,OFFSET(PLE!$G$14,$M185,BV$13))))</f>
        <v>1000000000000</v>
      </c>
      <c r="BW185" s="182">
        <f ca="1">IF($D185&lt;&gt;"Serviço",0,IF(OR(AND(AUTOEVENTO="Manual",$M185=1),$M185&gt;(ROW(PLE.lastrow)-ROW(PLE.firstrow))),0,IF(OFFSET(PLE!$G$14,$M185,BW$13)="",10^12,OFFSET(PLE!$G$14,$M185,BW$13))))</f>
        <v>1000000000000</v>
      </c>
      <c r="BX185" s="182">
        <f ca="1">IF($D185&lt;&gt;"Serviço",0,IF(OR(AND(AUTOEVENTO="Manual",$M185=1),$M185&gt;(ROW(PLE.lastrow)-ROW(PLE.firstrow))),0,IF(OFFSET(PLE!$G$14,$M185,BX$13)="",10^12,OFFSET(PLE!$G$14,$M185,BX$13))))</f>
        <v>1000000000000</v>
      </c>
      <c r="BY185" s="182">
        <f ca="1">IF($D185&lt;&gt;"Serviço",0,IF(OR(AND(AUTOEVENTO="Manual",$M185=1),$M185&gt;(ROW(PLE.lastrow)-ROW(PLE.firstrow))),0,IF(OFFSET(PLE!$G$14,$M185,BY$13)="",10^12,OFFSET(PLE!$G$14,$M185,BY$13))))</f>
        <v>1000000000000</v>
      </c>
      <c r="BZ185" s="182">
        <f ca="1">IF($D185&lt;&gt;"Serviço",0,IF(OR(AND(AUTOEVENTO="Manual",$M185=1),$M185&gt;(ROW(PLE.lastrow)-ROW(PLE.firstrow))),0,IF(OFFSET(PLE!$G$14,$M185,BZ$13)="",10^12,OFFSET(PLE!$G$14,$M185,BZ$13))))</f>
        <v>1000000000000</v>
      </c>
      <c r="CA185" s="182">
        <f ca="1">IF($D185&lt;&gt;"Serviço",0,IF(OR(AND(AUTOEVENTO="Manual",$M185=1),$M185&gt;(ROW(PLE.lastrow)-ROW(PLE.firstrow))),0,IF(OFFSET(PLE!$G$14,$M185,CA$13)="",10^12,OFFSET(PLE!$G$14,$M185,CA$13))))</f>
        <v>1000000000000</v>
      </c>
      <c r="CB185" s="182">
        <f ca="1">IF($D185&lt;&gt;"Serviço",0,IF(OR(AND(AUTOEVENTO="Manual",$M185=1),$M185&gt;(ROW(PLE.lastrow)-ROW(PLE.firstrow))),0,IF(OFFSET(PLE!$G$14,$M185,CB$13)="",10^12,OFFSET(PLE!$G$14,$M185,CB$13))))</f>
        <v>1000000000000</v>
      </c>
      <c r="CC185" s="182">
        <f ca="1">IF($D185&lt;&gt;"Serviço",0,IF(OR(AND(AUTOEVENTO="Manual",$M185=1),$M185&gt;(ROW(PLE.lastrow)-ROW(PLE.firstrow))),0,IF(OFFSET(PLE!$G$14,$M185,CC$13)="",10^12,OFFSET(PLE!$G$14,$M185,CC$13))))</f>
        <v>1000000000000</v>
      </c>
      <c r="CD185" s="182">
        <f ca="1">IF($D185&lt;&gt;"Serviço",0,IF(OR(AND(AUTOEVENTO="Manual",$M185=1),$M185&gt;(ROW(PLE.lastrow)-ROW(PLE.firstrow))),0,IF(OFFSET(PLE!$G$14,$M185,CD$13)="",10^12,OFFSET(PLE!$G$14,$M185,CD$13))))</f>
        <v>1000000000000</v>
      </c>
      <c r="CE185" s="182">
        <f ca="1">IF($D185&lt;&gt;"Serviço",0,IF(OR(AND(AUTOEVENTO="Manual",$M185=1),$M185&gt;(ROW(PLE.lastrow)-ROW(PLE.firstrow))),0,IF(OFFSET(PLE!$G$14,$M185,CE$13)="",10^12,OFFSET(PLE!$G$14,$M185,CE$13))))</f>
        <v>1000000000000</v>
      </c>
      <c r="CF185" s="182">
        <f ca="1">IF($D185&lt;&gt;"Serviço",0,IF(OR(AND(AUTOEVENTO="Manual",$M185=1),$M185&gt;(ROW(PLE.lastrow)-ROW(PLE.firstrow))),0,IF(OFFSET(PLE!$G$14,$M185,CF$13)="",10^12,OFFSET(PLE!$G$14,$M185,CF$13))))</f>
        <v>1000000000000</v>
      </c>
      <c r="CG185" s="182">
        <f ca="1">IF($D185&lt;&gt;"Serviço",0,IF(OR(AND(AUTOEVENTO="Manual",$M185=1),$M185&gt;(ROW(PLE.lastrow)-ROW(PLE.firstrow))),0,IF(OFFSET(PLE!$G$14,$M185,CG$13)="",10^12,OFFSET(PLE!$G$14,$M185,CG$13))))</f>
        <v>1000000000000</v>
      </c>
      <c r="CH185" s="182">
        <f ca="1">IF($D185&lt;&gt;"Serviço",0,IF(OR(AND(AUTOEVENTO="Manual",$M185=1),$M185&gt;(ROW(PLE.lastrow)-ROW(PLE.firstrow))),0,IF(OFFSET(PLE!$G$14,$M185,CH$13)="",10^12,OFFSET(PLE!$G$14,$M185,CH$13))))</f>
        <v>1000000000000</v>
      </c>
      <c r="CI185" s="182">
        <f ca="1">IF($D185&lt;&gt;"Serviço",0,IF(OR(AND(AUTOEVENTO="Manual",$M185=1),$M185&gt;(ROW(PLE.lastrow)-ROW(PLE.firstrow))),0,IF(OFFSET(PLE!$G$14,$M185,CI$13)="",10^12,OFFSET(PLE!$G$14,$M185,CI$13))))</f>
        <v>1000000000000</v>
      </c>
      <c r="CJ185" s="182">
        <f ca="1">IF($D185&lt;&gt;"Serviço",0,IF(OR(AND(AUTOEVENTO="Manual",$M185=1),$M185&gt;(ROW(PLE.lastrow)-ROW(PLE.firstrow))),0,IF(OFFSET(PLE!$G$14,$M185,CJ$13)="",10^12,OFFSET(PLE!$G$14,$M185,CJ$13))))</f>
        <v>1000000000000</v>
      </c>
      <c r="CK185" s="182">
        <f ca="1">IF($D185&lt;&gt;"Serviço",0,IF(OR(AND(AUTOEVENTO="Manual",$M185=1),$M185&gt;(ROW(PLE.lastrow)-ROW(PLE.firstrow))),0,IF(OFFSET(PLE!$G$14,$M185,CK$13)="",10^12,OFFSET(PLE!$G$14,$M185,CK$13))))</f>
        <v>1000000000000</v>
      </c>
      <c r="CL185" s="182">
        <f ca="1">IF($D185&lt;&gt;"Serviço",0,IF(OR(AND(AUTOEVENTO="Manual",$M185=1),$M185&gt;(ROW(PLE.lastrow)-ROW(PLE.firstrow))),0,IF(OFFSET(PLE!$G$14,$M185,CL$13)="",10^12,OFFSET(PLE!$G$14,$M185,CL$13))))</f>
        <v>1000000000000</v>
      </c>
      <c r="CM185" s="182">
        <f ca="1">IF($D185&lt;&gt;"Serviço",0,IF(OR(AND(AUTOEVENTO="Manual",$M185=1),$M185&gt;(ROW(PLE.lastrow)-ROW(PLE.firstrow))),0,IF(OFFSET(PLE!$G$14,$M185,CM$13)="",10^12,OFFSET(PLE!$G$14,$M185,CM$13))))</f>
        <v>1000000000000</v>
      </c>
    </row>
    <row r="186" spans="1:91" ht="38.25" x14ac:dyDescent="0.2">
      <c r="A186" s="7" t="str">
        <f t="shared" ca="1" si="12"/>
        <v>169</v>
      </c>
      <c r="B186" s="7" t="str">
        <f ca="1">OFFSET(ORÇAMENTO!C$15,ROW(B186)-ROW(B$15),0)</f>
        <v>S</v>
      </c>
      <c r="C186" s="7" t="str">
        <f ca="1">OFFSET(ORÇAMENTO!L$15,ROW(C186)-ROW(C$15),0)</f>
        <v/>
      </c>
      <c r="D186" s="118" t="str">
        <f ca="1">OFFSET(ORÇAMENTO!N$15,ROW(D186)-ROW(D$15),0)</f>
        <v>Serviço</v>
      </c>
      <c r="E186" s="119" t="str">
        <f ca="1">OFFSET(ORÇAMENTO!O$15,ROW(E186)-ROW(E$15),0)</f>
        <v>-</v>
      </c>
      <c r="F186" s="172" t="str">
        <f ca="1">OFFSET(ORÇAMENTO!R$15,ROW(F186)-ROW(F$15),0)</f>
        <v>(abra o arquivo 'Referência 06-2024.xlsm)</v>
      </c>
      <c r="G186" s="173" t="str">
        <f ca="1">IF($D186&lt;&gt;"Serviço","",OFFSET(ORÇAMENTO!S$15,ROW(G186)-ROW(G$15),0))</f>
        <v>-</v>
      </c>
      <c r="H186" s="124">
        <f ca="1">IF($D186&lt;&gt;"Serviço",0,IF(ACOMPANHAMENTO="BM",ROUND(OFFSET(ORÇAMENTO!AJ$15,ROW(H186)-ROW(H$15),0),15-13*ORÇAMENTO!$AF$7),SUMPRODUCT(($Q$12:$AI$12&lt;&gt;"")*ROUND($Q186:$AI186,15-13*ORÇAMENTO!$AF$7))))</f>
        <v>1906.28</v>
      </c>
      <c r="I186" s="561" t="s">
        <v>1107</v>
      </c>
      <c r="K186" s="174"/>
      <c r="L186" s="175" t="s">
        <v>255</v>
      </c>
      <c r="M186" s="176">
        <f ca="1">IF($D186&lt;&gt;"Serviço","",IF(AUTOEVENTO="manual",$A186,IF(ISERROR(MATCH($A186,$A$15:OFFSET($A186,-1,0),0)),MAX($M$15:OFFSET(M186,-1,0))+1,INDEX($M$15:OFFSET(M186,-1,0),MATCH($A186,$A$15:OFFSET($A186,-1,0),0)))))</f>
        <v>27</v>
      </c>
      <c r="N186" s="177" t="str">
        <f ca="1">IF($D186&lt;&gt;"Serviço","",IF(AUTOEVENTO="Manual",IF($A186=0,"&lt;-- defina o número do agrupador",OFFSET(EVENTOS!$D$14,$A186,0)),OFFSET($F$15,$A186,0)))</f>
        <v>REVESTIMENTOS INTERNO E EXTERNO - EDIFICAÇÃO</v>
      </c>
      <c r="O186" s="178"/>
      <c r="Q186" s="178">
        <v>1906.28</v>
      </c>
      <c r="R186" s="179"/>
      <c r="S186" s="179"/>
      <c r="T186" s="179"/>
      <c r="U186" s="179"/>
      <c r="V186" s="179"/>
      <c r="W186" s="179"/>
      <c r="X186" s="179"/>
      <c r="Y186" s="179"/>
      <c r="Z186" s="180"/>
      <c r="AA186" s="179"/>
      <c r="AB186" s="179"/>
      <c r="AC186" s="179"/>
      <c r="AD186" s="179"/>
      <c r="AE186" s="179"/>
      <c r="AF186" s="179"/>
      <c r="AG186" s="179"/>
      <c r="AH186" s="180"/>
      <c r="AJ186" s="544">
        <f ca="1">IF(AND($D186="Serviço",AJ$12&lt;&gt;0,$H186&gt;0,OR(AUTOEVENTO&lt;&gt;"manual",$M186&lt;&gt;1)),
IF(Import.TipoArredondamento&lt;&gt;"TransfereGOV",
ROUND(OFFSET($P186,0,AJ$13),15-13*ORÇAMENTO!$AF$7)/$H186*OFFSET(ORÇAMENTO!$X$15,ROW(AJ186)-ROW(AJ$15),0),
ROUND(ROUND(OFFSET($P186,0,AJ$13),15-13*ORÇAMENTO!$AF$7)*OFFSET(ORÇAMENTO!$W$15,ROW(AJ186)-ROW(AJ$15),0),15-13*ORÇAMENTO!$AF$11)),0)</f>
        <v>0</v>
      </c>
      <c r="AK186" s="545">
        <f ca="1">IF(AND($D186="Serviço",AK$12&lt;&gt;0,$H186&gt;0,OR(AUTOEVENTO&lt;&gt;"manual",$M186&lt;&gt;1)),
IF(Import.TipoArredondamento&lt;&gt;"TransfereGOV",
ROUND(OFFSET($P186,0,AK$13),15-13*ORÇAMENTO!$AF$7)/$H186*OFFSET(ORÇAMENTO!$X$15,ROW(AK186)-ROW(AK$15),0),
ROUND(ROUND(OFFSET($P186,0,AK$13),15-13*ORÇAMENTO!$AF$7)*OFFSET(ORÇAMENTO!$W$15,ROW(AK186)-ROW(AK$15),0),15-13*ORÇAMENTO!$AF$11)),0)</f>
        <v>0</v>
      </c>
      <c r="AL186" s="545">
        <f ca="1">IF(AND($D186="Serviço",AL$12&lt;&gt;0,$H186&gt;0,OR(AUTOEVENTO&lt;&gt;"manual",$M186&lt;&gt;1)),
IF(Import.TipoArredondamento&lt;&gt;"TransfereGOV",
ROUND(OFFSET($P186,0,AL$13),15-13*ORÇAMENTO!$AF$7)/$H186*OFFSET(ORÇAMENTO!$X$15,ROW(AL186)-ROW(AL$15),0),
ROUND(ROUND(OFFSET($P186,0,AL$13),15-13*ORÇAMENTO!$AF$7)*OFFSET(ORÇAMENTO!$W$15,ROW(AL186)-ROW(AL$15),0),15-13*ORÇAMENTO!$AF$11)),0)</f>
        <v>0</v>
      </c>
      <c r="AM186" s="545">
        <f ca="1">IF(AND($D186="Serviço",AM$12&lt;&gt;0,$H186&gt;0,OR(AUTOEVENTO&lt;&gt;"manual",$M186&lt;&gt;1)),
IF(Import.TipoArredondamento&lt;&gt;"TransfereGOV",
ROUND(OFFSET($P186,0,AM$13),15-13*ORÇAMENTO!$AF$7)/$H186*OFFSET(ORÇAMENTO!$X$15,ROW(AM186)-ROW(AM$15),0),
ROUND(ROUND(OFFSET($P186,0,AM$13),15-13*ORÇAMENTO!$AF$7)*OFFSET(ORÇAMENTO!$W$15,ROW(AM186)-ROW(AM$15),0),15-13*ORÇAMENTO!$AF$11)),0)</f>
        <v>0</v>
      </c>
      <c r="AN186" s="545">
        <f ca="1">IF(AND($D186="Serviço",AN$12&lt;&gt;0,$H186&gt;0,OR(AUTOEVENTO&lt;&gt;"manual",$M186&lt;&gt;1)),
IF(Import.TipoArredondamento&lt;&gt;"TransfereGOV",
ROUND(OFFSET($P186,0,AN$13),15-13*ORÇAMENTO!$AF$7)/$H186*OFFSET(ORÇAMENTO!$X$15,ROW(AN186)-ROW(AN$15),0),
ROUND(ROUND(OFFSET($P186,0,AN$13),15-13*ORÇAMENTO!$AF$7)*OFFSET(ORÇAMENTO!$W$15,ROW(AN186)-ROW(AN$15),0),15-13*ORÇAMENTO!$AF$11)),0)</f>
        <v>0</v>
      </c>
      <c r="AO186" s="545">
        <f ca="1">IF(AND($D186="Serviço",AO$12&lt;&gt;0,$H186&gt;0,OR(AUTOEVENTO&lt;&gt;"manual",$M186&lt;&gt;1)),
IF(Import.TipoArredondamento&lt;&gt;"TransfereGOV",
ROUND(OFFSET($P186,0,AO$13),15-13*ORÇAMENTO!$AF$7)/$H186*OFFSET(ORÇAMENTO!$X$15,ROW(AO186)-ROW(AO$15),0),
ROUND(ROUND(OFFSET($P186,0,AO$13),15-13*ORÇAMENTO!$AF$7)*OFFSET(ORÇAMENTO!$W$15,ROW(AO186)-ROW(AO$15),0),15-13*ORÇAMENTO!$AF$11)),0)</f>
        <v>0</v>
      </c>
      <c r="AP186" s="545">
        <f ca="1">IF(AND($D186="Serviço",AP$12&lt;&gt;0,$H186&gt;0,OR(AUTOEVENTO&lt;&gt;"manual",$M186&lt;&gt;1)),
IF(Import.TipoArredondamento&lt;&gt;"TransfereGOV",
ROUND(OFFSET($P186,0,AP$13),15-13*ORÇAMENTO!$AF$7)/$H186*OFFSET(ORÇAMENTO!$X$15,ROW(AP186)-ROW(AP$15),0),
ROUND(ROUND(OFFSET($P186,0,AP$13),15-13*ORÇAMENTO!$AF$7)*OFFSET(ORÇAMENTO!$W$15,ROW(AP186)-ROW(AP$15),0),15-13*ORÇAMENTO!$AF$11)),0)</f>
        <v>0</v>
      </c>
      <c r="AQ186" s="545">
        <f ca="1">IF(AND($D186="Serviço",AQ$12&lt;&gt;0,$H186&gt;0,OR(AUTOEVENTO&lt;&gt;"manual",$M186&lt;&gt;1)),
IF(Import.TipoArredondamento&lt;&gt;"TransfereGOV",
ROUND(OFFSET($P186,0,AQ$13),15-13*ORÇAMENTO!$AF$7)/$H186*OFFSET(ORÇAMENTO!$X$15,ROW(AQ186)-ROW(AQ$15),0),
ROUND(ROUND(OFFSET($P186,0,AQ$13),15-13*ORÇAMENTO!$AF$7)*OFFSET(ORÇAMENTO!$W$15,ROW(AQ186)-ROW(AQ$15),0),15-13*ORÇAMENTO!$AF$11)),0)</f>
        <v>0</v>
      </c>
      <c r="AR186" s="545">
        <f ca="1">IF(AND($D186="Serviço",AR$12&lt;&gt;0,$H186&gt;0,OR(AUTOEVENTO&lt;&gt;"manual",$M186&lt;&gt;1)),
IF(Import.TipoArredondamento&lt;&gt;"TransfereGOV",
ROUND(OFFSET($P186,0,AR$13),15-13*ORÇAMENTO!$AF$7)/$H186*OFFSET(ORÇAMENTO!$X$15,ROW(AR186)-ROW(AR$15),0),
ROUND(ROUND(OFFSET($P186,0,AR$13),15-13*ORÇAMENTO!$AF$7)*OFFSET(ORÇAMENTO!$W$15,ROW(AR186)-ROW(AR$15),0),15-13*ORÇAMENTO!$AF$11)),0)</f>
        <v>0</v>
      </c>
      <c r="AS186" s="546">
        <f ca="1">IF(AND($D186="Serviço",AS$12&lt;&gt;0,$H186&gt;0,OR(AUTOEVENTO&lt;&gt;"manual",$M186&lt;&gt;1)),
IF(Import.TipoArredondamento&lt;&gt;"TransfereGOV",
ROUND(OFFSET($P186,0,AS$13),15-13*ORÇAMENTO!$AF$7)/$H186*OFFSET(ORÇAMENTO!$X$15,ROW(AS186)-ROW(AS$15),0),
ROUND(ROUND(OFFSET($P186,0,AS$13),15-13*ORÇAMENTO!$AF$7)*OFFSET(ORÇAMENTO!$W$15,ROW(AS186)-ROW(AS$15),0),15-13*ORÇAMENTO!$AF$11)),0)</f>
        <v>0</v>
      </c>
      <c r="AT186" s="545">
        <f ca="1">IF(AND($D186="Serviço",AT$12&lt;&gt;0,$H186&gt;0,OR(AUTOEVENTO&lt;&gt;"manual",$M186&lt;&gt;1)),
IF(Import.TipoArredondamento&lt;&gt;"TransfereGOV",
ROUND(OFFSET($P186,0,AT$13),15-13*ORÇAMENTO!$AF$7)/$H186*OFFSET(ORÇAMENTO!$X$15,ROW(AT186)-ROW(AT$15),0),
ROUND(ROUND(OFFSET($P186,0,AT$13),15-13*ORÇAMENTO!$AF$7)*OFFSET(ORÇAMENTO!$W$15,ROW(AT186)-ROW(AT$15),0),15-13*ORÇAMENTO!$AF$11)),0)</f>
        <v>0</v>
      </c>
      <c r="AU186" s="545">
        <f ca="1">IF(AND($D186="Serviço",AU$12&lt;&gt;0,$H186&gt;0,OR(AUTOEVENTO&lt;&gt;"manual",$M186&lt;&gt;1)),
IF(Import.TipoArredondamento&lt;&gt;"TransfereGOV",
ROUND(OFFSET($P186,0,AU$13),15-13*ORÇAMENTO!$AF$7)/$H186*OFFSET(ORÇAMENTO!$X$15,ROW(AU186)-ROW(AU$15),0),
ROUND(ROUND(OFFSET($P186,0,AU$13),15-13*ORÇAMENTO!$AF$7)*OFFSET(ORÇAMENTO!$W$15,ROW(AU186)-ROW(AU$15),0),15-13*ORÇAMENTO!$AF$11)),0)</f>
        <v>0</v>
      </c>
      <c r="AV186" s="545">
        <f ca="1">IF(AND($D186="Serviço",AV$12&lt;&gt;0,$H186&gt;0,OR(AUTOEVENTO&lt;&gt;"manual",$M186&lt;&gt;1)),
IF(Import.TipoArredondamento&lt;&gt;"TransfereGOV",
ROUND(OFFSET($P186,0,AV$13),15-13*ORÇAMENTO!$AF$7)/$H186*OFFSET(ORÇAMENTO!$X$15,ROW(AV186)-ROW(AV$15),0),
ROUND(ROUND(OFFSET($P186,0,AV$13),15-13*ORÇAMENTO!$AF$7)*OFFSET(ORÇAMENTO!$W$15,ROW(AV186)-ROW(AV$15),0),15-13*ORÇAMENTO!$AF$11)),0)</f>
        <v>0</v>
      </c>
      <c r="AW186" s="545">
        <f ca="1">IF(AND($D186="Serviço",AW$12&lt;&gt;0,$H186&gt;0,OR(AUTOEVENTO&lt;&gt;"manual",$M186&lt;&gt;1)),
IF(Import.TipoArredondamento&lt;&gt;"TransfereGOV",
ROUND(OFFSET($P186,0,AW$13),15-13*ORÇAMENTO!$AF$7)/$H186*OFFSET(ORÇAMENTO!$X$15,ROW(AW186)-ROW(AW$15),0),
ROUND(ROUND(OFFSET($P186,0,AW$13),15-13*ORÇAMENTO!$AF$7)*OFFSET(ORÇAMENTO!$W$15,ROW(AW186)-ROW(AW$15),0),15-13*ORÇAMENTO!$AF$11)),0)</f>
        <v>0</v>
      </c>
      <c r="AX186" s="545">
        <f ca="1">IF(AND($D186="Serviço",AX$12&lt;&gt;0,$H186&gt;0,OR(AUTOEVENTO&lt;&gt;"manual",$M186&lt;&gt;1)),
IF(Import.TipoArredondamento&lt;&gt;"TransfereGOV",
ROUND(OFFSET($P186,0,AX$13),15-13*ORÇAMENTO!$AF$7)/$H186*OFFSET(ORÇAMENTO!$X$15,ROW(AX186)-ROW(AX$15),0),
ROUND(ROUND(OFFSET($P186,0,AX$13),15-13*ORÇAMENTO!$AF$7)*OFFSET(ORÇAMENTO!$W$15,ROW(AX186)-ROW(AX$15),0),15-13*ORÇAMENTO!$AF$11)),0)</f>
        <v>0</v>
      </c>
      <c r="AY186" s="545">
        <f ca="1">IF(AND($D186="Serviço",AY$12&lt;&gt;0,$H186&gt;0,OR(AUTOEVENTO&lt;&gt;"manual",$M186&lt;&gt;1)),
IF(Import.TipoArredondamento&lt;&gt;"TransfereGOV",
ROUND(OFFSET($P186,0,AY$13),15-13*ORÇAMENTO!$AF$7)/$H186*OFFSET(ORÇAMENTO!$X$15,ROW(AY186)-ROW(AY$15),0),
ROUND(ROUND(OFFSET($P186,0,AY$13),15-13*ORÇAMENTO!$AF$7)*OFFSET(ORÇAMENTO!$W$15,ROW(AY186)-ROW(AY$15),0),15-13*ORÇAMENTO!$AF$11)),0)</f>
        <v>0</v>
      </c>
      <c r="AZ186" s="545">
        <f ca="1">IF(AND($D186="Serviço",AZ$12&lt;&gt;0,$H186&gt;0,OR(AUTOEVENTO&lt;&gt;"manual",$M186&lt;&gt;1)),
IF(Import.TipoArredondamento&lt;&gt;"TransfereGOV",
ROUND(OFFSET($P186,0,AZ$13),15-13*ORÇAMENTO!$AF$7)/$H186*OFFSET(ORÇAMENTO!$X$15,ROW(AZ186)-ROW(AZ$15),0),
ROUND(ROUND(OFFSET($P186,0,AZ$13),15-13*ORÇAMENTO!$AF$7)*OFFSET(ORÇAMENTO!$W$15,ROW(AZ186)-ROW(AZ$15),0),15-13*ORÇAMENTO!$AF$11)),0)</f>
        <v>0</v>
      </c>
      <c r="BA186" s="546">
        <f ca="1">IF(AND($D186="Serviço",BA$12&lt;&gt;0,$H186&gt;0,OR(AUTOEVENTO&lt;&gt;"manual",$M186&lt;&gt;1)),
IF(Import.TipoArredondamento&lt;&gt;"TransfereGOV",
ROUND(OFFSET($P186,0,BA$13),15-13*ORÇAMENTO!$AF$7)/$H186*OFFSET(ORÇAMENTO!$X$15,ROW(BA186)-ROW(BA$15),0),
ROUND(ROUND(OFFSET($P186,0,BA$13),15-13*ORÇAMENTO!$AF$7)*OFFSET(ORÇAMENTO!$W$15,ROW(BA186)-ROW(BA$15),0),15-13*ORÇAMENTO!$AF$11)),0)</f>
        <v>0</v>
      </c>
      <c r="BC186" s="181">
        <f ca="1">IF($D186&lt;&gt;"Serviço",0,IF(AND(AUTOEVENTO="Manual",$M186=1),0,IF(OFFSET(CRONOPLE!$F$14,$M186,BC$13)="",10^12,OFFSET(CRONOPLE!$F$14,$M186,BC$13))))</f>
        <v>7</v>
      </c>
      <c r="BD186" s="181">
        <f ca="1">IF($D186&lt;&gt;"Serviço",0,IF(AND(AUTOEVENTO="Manual",$M186=1),0,IF(OFFSET(CRONOPLE!$F$14,$M186,BD$13)="",10^12,OFFSET(CRONOPLE!$F$14,$M186,BD$13))))</f>
        <v>1000000000000</v>
      </c>
      <c r="BE186" s="181">
        <f ca="1">IF($D186&lt;&gt;"Serviço",0,IF(AND(AUTOEVENTO="Manual",$M186=1),0,IF(OFFSET(CRONOPLE!$F$14,$M186,BE$13)="",10^12,OFFSET(CRONOPLE!$F$14,$M186,BE$13))))</f>
        <v>1000000000000</v>
      </c>
      <c r="BF186" s="181">
        <f ca="1">IF($D186&lt;&gt;"Serviço",0,IF(AND(AUTOEVENTO="Manual",$M186=1),0,IF(OFFSET(CRONOPLE!$F$14,$M186,BF$13)="",10^12,OFFSET(CRONOPLE!$F$14,$M186,BF$13))))</f>
        <v>1000000000000</v>
      </c>
      <c r="BG186" s="181">
        <f ca="1">IF($D186&lt;&gt;"Serviço",0,IF(AND(AUTOEVENTO="Manual",$M186=1),0,IF(OFFSET(CRONOPLE!$F$14,$M186,BG$13)="",10^12,OFFSET(CRONOPLE!$F$14,$M186,BG$13))))</f>
        <v>1000000000000</v>
      </c>
      <c r="BH186" s="181">
        <f ca="1">IF($D186&lt;&gt;"Serviço",0,IF(AND(AUTOEVENTO="Manual",$M186=1),0,IF(OFFSET(CRONOPLE!$F$14,$M186,BH$13)="",10^12,OFFSET(CRONOPLE!$F$14,$M186,BH$13))))</f>
        <v>1000000000000</v>
      </c>
      <c r="BI186" s="181">
        <f ca="1">IF($D186&lt;&gt;"Serviço",0,IF(AND(AUTOEVENTO="Manual",$M186=1),0,IF(OFFSET(CRONOPLE!$F$14,$M186,BI$13)="",10^12,OFFSET(CRONOPLE!$F$14,$M186,BI$13))))</f>
        <v>1000000000000</v>
      </c>
      <c r="BJ186" s="181">
        <f ca="1">IF($D186&lt;&gt;"Serviço",0,IF(AND(AUTOEVENTO="Manual",$M186=1),0,IF(OFFSET(CRONOPLE!$F$14,$M186,BJ$13)="",10^12,OFFSET(CRONOPLE!$F$14,$M186,BJ$13))))</f>
        <v>1000000000000</v>
      </c>
      <c r="BK186" s="181">
        <f ca="1">IF($D186&lt;&gt;"Serviço",0,IF(AND(AUTOEVENTO="Manual",$M186=1),0,IF(OFFSET(CRONOPLE!$F$14,$M186,BK$13)="",10^12,OFFSET(CRONOPLE!$F$14,$M186,BK$13))))</f>
        <v>1000000000000</v>
      </c>
      <c r="BL186" s="181">
        <f ca="1">IF($D186&lt;&gt;"Serviço",0,IF(AND(AUTOEVENTO="Manual",$M186=1),0,IF(OFFSET(CRONOPLE!$F$14,$M186,BL$13)="",10^12,OFFSET(CRONOPLE!$F$14,$M186,BL$13))))</f>
        <v>1000000000000</v>
      </c>
      <c r="BM186" s="181">
        <f ca="1">IF($D186&lt;&gt;"Serviço",0,IF(AND(AUTOEVENTO="Manual",$M186=1),0,IF(OFFSET(CRONOPLE!$F$14,$M186,BM$13)="",10^12,OFFSET(CRONOPLE!$F$14,$M186,BM$13))))</f>
        <v>1000000000000</v>
      </c>
      <c r="BN186" s="181">
        <f ca="1">IF($D186&lt;&gt;"Serviço",0,IF(AND(AUTOEVENTO="Manual",$M186=1),0,IF(OFFSET(CRONOPLE!$F$14,$M186,BN$13)="",10^12,OFFSET(CRONOPLE!$F$14,$M186,BN$13))))</f>
        <v>1000000000000</v>
      </c>
      <c r="BO186" s="181">
        <f ca="1">IF($D186&lt;&gt;"Serviço",0,IF(AND(AUTOEVENTO="Manual",$M186=1),0,IF(OFFSET(CRONOPLE!$F$14,$M186,BO$13)="",10^12,OFFSET(CRONOPLE!$F$14,$M186,BO$13))))</f>
        <v>1000000000000</v>
      </c>
      <c r="BP186" s="181">
        <f ca="1">IF($D186&lt;&gt;"Serviço",0,IF(AND(AUTOEVENTO="Manual",$M186=1),0,IF(OFFSET(CRONOPLE!$F$14,$M186,BP$13)="",10^12,OFFSET(CRONOPLE!$F$14,$M186,BP$13))))</f>
        <v>1000000000000</v>
      </c>
      <c r="BQ186" s="181">
        <f ca="1">IF($D186&lt;&gt;"Serviço",0,IF(AND(AUTOEVENTO="Manual",$M186=1),0,IF(OFFSET(CRONOPLE!$F$14,$M186,BQ$13)="",10^12,OFFSET(CRONOPLE!$F$14,$M186,BQ$13))))</f>
        <v>1000000000000</v>
      </c>
      <c r="BR186" s="181">
        <f ca="1">IF($D186&lt;&gt;"Serviço",0,IF(AND(AUTOEVENTO="Manual",$M186=1),0,IF(OFFSET(CRONOPLE!$F$14,$M186,BR$13)="",10^12,OFFSET(CRONOPLE!$F$14,$M186,BR$13))))</f>
        <v>1000000000000</v>
      </c>
      <c r="BS186" s="181">
        <f ca="1">IF($D186&lt;&gt;"Serviço",0,IF(AND(AUTOEVENTO="Manual",$M186=1),0,IF(OFFSET(CRONOPLE!$F$14,$M186,BS$13)="",10^12,OFFSET(CRONOPLE!$F$14,$M186,BS$13))))</f>
        <v>1000000000000</v>
      </c>
      <c r="BT186" s="181">
        <f ca="1">IF($D186&lt;&gt;"Serviço",0,IF(AND(AUTOEVENTO="Manual",$M186=1),0,IF(OFFSET(CRONOPLE!$F$14,$M186,BT$13)="",10^12,OFFSET(CRONOPLE!$F$14,$M186,BT$13))))</f>
        <v>1000000000000</v>
      </c>
      <c r="BV186" s="182">
        <f ca="1">IF($D186&lt;&gt;"Serviço",0,IF(OR(AND(AUTOEVENTO="Manual",$M186=1),$M186&gt;(ROW(PLE.lastrow)-ROW(PLE.firstrow))),0,IF(OFFSET(PLE!$G$14,$M186,BV$13)="",10^12,OFFSET(PLE!$G$14,$M186,BV$13))))</f>
        <v>1000000000000</v>
      </c>
      <c r="BW186" s="182">
        <f ca="1">IF($D186&lt;&gt;"Serviço",0,IF(OR(AND(AUTOEVENTO="Manual",$M186=1),$M186&gt;(ROW(PLE.lastrow)-ROW(PLE.firstrow))),0,IF(OFFSET(PLE!$G$14,$M186,BW$13)="",10^12,OFFSET(PLE!$G$14,$M186,BW$13))))</f>
        <v>1000000000000</v>
      </c>
      <c r="BX186" s="182">
        <f ca="1">IF($D186&lt;&gt;"Serviço",0,IF(OR(AND(AUTOEVENTO="Manual",$M186=1),$M186&gt;(ROW(PLE.lastrow)-ROW(PLE.firstrow))),0,IF(OFFSET(PLE!$G$14,$M186,BX$13)="",10^12,OFFSET(PLE!$G$14,$M186,BX$13))))</f>
        <v>1000000000000</v>
      </c>
      <c r="BY186" s="182">
        <f ca="1">IF($D186&lt;&gt;"Serviço",0,IF(OR(AND(AUTOEVENTO="Manual",$M186=1),$M186&gt;(ROW(PLE.lastrow)-ROW(PLE.firstrow))),0,IF(OFFSET(PLE!$G$14,$M186,BY$13)="",10^12,OFFSET(PLE!$G$14,$M186,BY$13))))</f>
        <v>1000000000000</v>
      </c>
      <c r="BZ186" s="182">
        <f ca="1">IF($D186&lt;&gt;"Serviço",0,IF(OR(AND(AUTOEVENTO="Manual",$M186=1),$M186&gt;(ROW(PLE.lastrow)-ROW(PLE.firstrow))),0,IF(OFFSET(PLE!$G$14,$M186,BZ$13)="",10^12,OFFSET(PLE!$G$14,$M186,BZ$13))))</f>
        <v>1000000000000</v>
      </c>
      <c r="CA186" s="182">
        <f ca="1">IF($D186&lt;&gt;"Serviço",0,IF(OR(AND(AUTOEVENTO="Manual",$M186=1),$M186&gt;(ROW(PLE.lastrow)-ROW(PLE.firstrow))),0,IF(OFFSET(PLE!$G$14,$M186,CA$13)="",10^12,OFFSET(PLE!$G$14,$M186,CA$13))))</f>
        <v>1000000000000</v>
      </c>
      <c r="CB186" s="182">
        <f ca="1">IF($D186&lt;&gt;"Serviço",0,IF(OR(AND(AUTOEVENTO="Manual",$M186=1),$M186&gt;(ROW(PLE.lastrow)-ROW(PLE.firstrow))),0,IF(OFFSET(PLE!$G$14,$M186,CB$13)="",10^12,OFFSET(PLE!$G$14,$M186,CB$13))))</f>
        <v>1000000000000</v>
      </c>
      <c r="CC186" s="182">
        <f ca="1">IF($D186&lt;&gt;"Serviço",0,IF(OR(AND(AUTOEVENTO="Manual",$M186=1),$M186&gt;(ROW(PLE.lastrow)-ROW(PLE.firstrow))),0,IF(OFFSET(PLE!$G$14,$M186,CC$13)="",10^12,OFFSET(PLE!$G$14,$M186,CC$13))))</f>
        <v>1000000000000</v>
      </c>
      <c r="CD186" s="182">
        <f ca="1">IF($D186&lt;&gt;"Serviço",0,IF(OR(AND(AUTOEVENTO="Manual",$M186=1),$M186&gt;(ROW(PLE.lastrow)-ROW(PLE.firstrow))),0,IF(OFFSET(PLE!$G$14,$M186,CD$13)="",10^12,OFFSET(PLE!$G$14,$M186,CD$13))))</f>
        <v>1000000000000</v>
      </c>
      <c r="CE186" s="182">
        <f ca="1">IF($D186&lt;&gt;"Serviço",0,IF(OR(AND(AUTOEVENTO="Manual",$M186=1),$M186&gt;(ROW(PLE.lastrow)-ROW(PLE.firstrow))),0,IF(OFFSET(PLE!$G$14,$M186,CE$13)="",10^12,OFFSET(PLE!$G$14,$M186,CE$13))))</f>
        <v>1000000000000</v>
      </c>
      <c r="CF186" s="182">
        <f ca="1">IF($D186&lt;&gt;"Serviço",0,IF(OR(AND(AUTOEVENTO="Manual",$M186=1),$M186&gt;(ROW(PLE.lastrow)-ROW(PLE.firstrow))),0,IF(OFFSET(PLE!$G$14,$M186,CF$13)="",10^12,OFFSET(PLE!$G$14,$M186,CF$13))))</f>
        <v>1000000000000</v>
      </c>
      <c r="CG186" s="182">
        <f ca="1">IF($D186&lt;&gt;"Serviço",0,IF(OR(AND(AUTOEVENTO="Manual",$M186=1),$M186&gt;(ROW(PLE.lastrow)-ROW(PLE.firstrow))),0,IF(OFFSET(PLE!$G$14,$M186,CG$13)="",10^12,OFFSET(PLE!$G$14,$M186,CG$13))))</f>
        <v>1000000000000</v>
      </c>
      <c r="CH186" s="182">
        <f ca="1">IF($D186&lt;&gt;"Serviço",0,IF(OR(AND(AUTOEVENTO="Manual",$M186=1),$M186&gt;(ROW(PLE.lastrow)-ROW(PLE.firstrow))),0,IF(OFFSET(PLE!$G$14,$M186,CH$13)="",10^12,OFFSET(PLE!$G$14,$M186,CH$13))))</f>
        <v>1000000000000</v>
      </c>
      <c r="CI186" s="182">
        <f ca="1">IF($D186&lt;&gt;"Serviço",0,IF(OR(AND(AUTOEVENTO="Manual",$M186=1),$M186&gt;(ROW(PLE.lastrow)-ROW(PLE.firstrow))),0,IF(OFFSET(PLE!$G$14,$M186,CI$13)="",10^12,OFFSET(PLE!$G$14,$M186,CI$13))))</f>
        <v>1000000000000</v>
      </c>
      <c r="CJ186" s="182">
        <f ca="1">IF($D186&lt;&gt;"Serviço",0,IF(OR(AND(AUTOEVENTO="Manual",$M186=1),$M186&gt;(ROW(PLE.lastrow)-ROW(PLE.firstrow))),0,IF(OFFSET(PLE!$G$14,$M186,CJ$13)="",10^12,OFFSET(PLE!$G$14,$M186,CJ$13))))</f>
        <v>1000000000000</v>
      </c>
      <c r="CK186" s="182">
        <f ca="1">IF($D186&lt;&gt;"Serviço",0,IF(OR(AND(AUTOEVENTO="Manual",$M186=1),$M186&gt;(ROW(PLE.lastrow)-ROW(PLE.firstrow))),0,IF(OFFSET(PLE!$G$14,$M186,CK$13)="",10^12,OFFSET(PLE!$G$14,$M186,CK$13))))</f>
        <v>1000000000000</v>
      </c>
      <c r="CL186" s="182">
        <f ca="1">IF($D186&lt;&gt;"Serviço",0,IF(OR(AND(AUTOEVENTO="Manual",$M186=1),$M186&gt;(ROW(PLE.lastrow)-ROW(PLE.firstrow))),0,IF(OFFSET(PLE!$G$14,$M186,CL$13)="",10^12,OFFSET(PLE!$G$14,$M186,CL$13))))</f>
        <v>1000000000000</v>
      </c>
      <c r="CM186" s="182">
        <f ca="1">IF($D186&lt;&gt;"Serviço",0,IF(OR(AND(AUTOEVENTO="Manual",$M186=1),$M186&gt;(ROW(PLE.lastrow)-ROW(PLE.firstrow))),0,IF(OFFSET(PLE!$G$14,$M186,CM$13)="",10^12,OFFSET(PLE!$G$14,$M186,CM$13))))</f>
        <v>1000000000000</v>
      </c>
    </row>
    <row r="187" spans="1:91" ht="51" x14ac:dyDescent="0.2">
      <c r="A187" s="7" t="str">
        <f t="shared" ca="1" si="12"/>
        <v>169</v>
      </c>
      <c r="B187" s="7" t="str">
        <f ca="1">OFFSET(ORÇAMENTO!C$15,ROW(B187)-ROW(B$15),0)</f>
        <v>S</v>
      </c>
      <c r="C187" s="7" t="str">
        <f ca="1">OFFSET(ORÇAMENTO!L$15,ROW(C187)-ROW(C$15),0)</f>
        <v/>
      </c>
      <c r="D187" s="118" t="str">
        <f ca="1">OFFSET(ORÇAMENTO!N$15,ROW(D187)-ROW(D$15),0)</f>
        <v>Serviço</v>
      </c>
      <c r="E187" s="119" t="str">
        <f ca="1">OFFSET(ORÇAMENTO!O$15,ROW(E187)-ROW(E$15),0)</f>
        <v>-</v>
      </c>
      <c r="F187" s="172" t="str">
        <f ca="1">OFFSET(ORÇAMENTO!R$15,ROW(F187)-ROW(F$15),0)</f>
        <v>(abra o arquivo 'Referência 06-2024.xlsm)</v>
      </c>
      <c r="G187" s="173" t="str">
        <f ca="1">IF($D187&lt;&gt;"Serviço","",OFFSET(ORÇAMENTO!S$15,ROW(G187)-ROW(G$15),0))</f>
        <v>-</v>
      </c>
      <c r="H187" s="124">
        <f ca="1">IF($D187&lt;&gt;"Serviço",0,IF(ACOMPANHAMENTO="BM",ROUND(OFFSET(ORÇAMENTO!AJ$15,ROW(H187)-ROW(H$15),0),15-13*ORÇAMENTO!$AF$7),SUMPRODUCT(($Q$12:$AI$12&lt;&gt;"")*ROUND($Q187:$AI187,15-13*ORÇAMENTO!$AF$7))))</f>
        <v>1478.38</v>
      </c>
      <c r="I187" s="561" t="s">
        <v>1107</v>
      </c>
      <c r="K187" s="174"/>
      <c r="L187" s="175" t="s">
        <v>255</v>
      </c>
      <c r="M187" s="176">
        <f ca="1">IF($D187&lt;&gt;"Serviço","",IF(AUTOEVENTO="manual",$A187,IF(ISERROR(MATCH($A187,$A$15:OFFSET($A187,-1,0),0)),MAX($M$15:OFFSET(M187,-1,0))+1,INDEX($M$15:OFFSET(M187,-1,0),MATCH($A187,$A$15:OFFSET($A187,-1,0),0)))))</f>
        <v>27</v>
      </c>
      <c r="N187" s="177" t="str">
        <f ca="1">IF($D187&lt;&gt;"Serviço","",IF(AUTOEVENTO="Manual",IF($A187=0,"&lt;-- defina o número do agrupador",OFFSET(EVENTOS!$D$14,$A187,0)),OFFSET($F$15,$A187,0)))</f>
        <v>REVESTIMENTOS INTERNO E EXTERNO - EDIFICAÇÃO</v>
      </c>
      <c r="O187" s="178"/>
      <c r="Q187" s="178">
        <v>1478.38</v>
      </c>
      <c r="R187" s="179"/>
      <c r="S187" s="179"/>
      <c r="T187" s="179"/>
      <c r="U187" s="179"/>
      <c r="V187" s="179"/>
      <c r="W187" s="179"/>
      <c r="X187" s="179"/>
      <c r="Y187" s="179"/>
      <c r="Z187" s="180"/>
      <c r="AA187" s="179"/>
      <c r="AB187" s="179"/>
      <c r="AC187" s="179"/>
      <c r="AD187" s="179"/>
      <c r="AE187" s="179"/>
      <c r="AF187" s="179"/>
      <c r="AG187" s="179"/>
      <c r="AH187" s="180"/>
      <c r="AJ187" s="544">
        <f ca="1">IF(AND($D187="Serviço",AJ$12&lt;&gt;0,$H187&gt;0,OR(AUTOEVENTO&lt;&gt;"manual",$M187&lt;&gt;1)),
IF(Import.TipoArredondamento&lt;&gt;"TransfereGOV",
ROUND(OFFSET($P187,0,AJ$13),15-13*ORÇAMENTO!$AF$7)/$H187*OFFSET(ORÇAMENTO!$X$15,ROW(AJ187)-ROW(AJ$15),0),
ROUND(ROUND(OFFSET($P187,0,AJ$13),15-13*ORÇAMENTO!$AF$7)*OFFSET(ORÇAMENTO!$W$15,ROW(AJ187)-ROW(AJ$15),0),15-13*ORÇAMENTO!$AF$11)),0)</f>
        <v>0</v>
      </c>
      <c r="AK187" s="545">
        <f ca="1">IF(AND($D187="Serviço",AK$12&lt;&gt;0,$H187&gt;0,OR(AUTOEVENTO&lt;&gt;"manual",$M187&lt;&gt;1)),
IF(Import.TipoArredondamento&lt;&gt;"TransfereGOV",
ROUND(OFFSET($P187,0,AK$13),15-13*ORÇAMENTO!$AF$7)/$H187*OFFSET(ORÇAMENTO!$X$15,ROW(AK187)-ROW(AK$15),0),
ROUND(ROUND(OFFSET($P187,0,AK$13),15-13*ORÇAMENTO!$AF$7)*OFFSET(ORÇAMENTO!$W$15,ROW(AK187)-ROW(AK$15),0),15-13*ORÇAMENTO!$AF$11)),0)</f>
        <v>0</v>
      </c>
      <c r="AL187" s="545">
        <f ca="1">IF(AND($D187="Serviço",AL$12&lt;&gt;0,$H187&gt;0,OR(AUTOEVENTO&lt;&gt;"manual",$M187&lt;&gt;1)),
IF(Import.TipoArredondamento&lt;&gt;"TransfereGOV",
ROUND(OFFSET($P187,0,AL$13),15-13*ORÇAMENTO!$AF$7)/$H187*OFFSET(ORÇAMENTO!$X$15,ROW(AL187)-ROW(AL$15),0),
ROUND(ROUND(OFFSET($P187,0,AL$13),15-13*ORÇAMENTO!$AF$7)*OFFSET(ORÇAMENTO!$W$15,ROW(AL187)-ROW(AL$15),0),15-13*ORÇAMENTO!$AF$11)),0)</f>
        <v>0</v>
      </c>
      <c r="AM187" s="545">
        <f ca="1">IF(AND($D187="Serviço",AM$12&lt;&gt;0,$H187&gt;0,OR(AUTOEVENTO&lt;&gt;"manual",$M187&lt;&gt;1)),
IF(Import.TipoArredondamento&lt;&gt;"TransfereGOV",
ROUND(OFFSET($P187,0,AM$13),15-13*ORÇAMENTO!$AF$7)/$H187*OFFSET(ORÇAMENTO!$X$15,ROW(AM187)-ROW(AM$15),0),
ROUND(ROUND(OFFSET($P187,0,AM$13),15-13*ORÇAMENTO!$AF$7)*OFFSET(ORÇAMENTO!$W$15,ROW(AM187)-ROW(AM$15),0),15-13*ORÇAMENTO!$AF$11)),0)</f>
        <v>0</v>
      </c>
      <c r="AN187" s="545">
        <f ca="1">IF(AND($D187="Serviço",AN$12&lt;&gt;0,$H187&gt;0,OR(AUTOEVENTO&lt;&gt;"manual",$M187&lt;&gt;1)),
IF(Import.TipoArredondamento&lt;&gt;"TransfereGOV",
ROUND(OFFSET($P187,0,AN$13),15-13*ORÇAMENTO!$AF$7)/$H187*OFFSET(ORÇAMENTO!$X$15,ROW(AN187)-ROW(AN$15),0),
ROUND(ROUND(OFFSET($P187,0,AN$13),15-13*ORÇAMENTO!$AF$7)*OFFSET(ORÇAMENTO!$W$15,ROW(AN187)-ROW(AN$15),0),15-13*ORÇAMENTO!$AF$11)),0)</f>
        <v>0</v>
      </c>
      <c r="AO187" s="545">
        <f ca="1">IF(AND($D187="Serviço",AO$12&lt;&gt;0,$H187&gt;0,OR(AUTOEVENTO&lt;&gt;"manual",$M187&lt;&gt;1)),
IF(Import.TipoArredondamento&lt;&gt;"TransfereGOV",
ROUND(OFFSET($P187,0,AO$13),15-13*ORÇAMENTO!$AF$7)/$H187*OFFSET(ORÇAMENTO!$X$15,ROW(AO187)-ROW(AO$15),0),
ROUND(ROUND(OFFSET($P187,0,AO$13),15-13*ORÇAMENTO!$AF$7)*OFFSET(ORÇAMENTO!$W$15,ROW(AO187)-ROW(AO$15),0),15-13*ORÇAMENTO!$AF$11)),0)</f>
        <v>0</v>
      </c>
      <c r="AP187" s="545">
        <f ca="1">IF(AND($D187="Serviço",AP$12&lt;&gt;0,$H187&gt;0,OR(AUTOEVENTO&lt;&gt;"manual",$M187&lt;&gt;1)),
IF(Import.TipoArredondamento&lt;&gt;"TransfereGOV",
ROUND(OFFSET($P187,0,AP$13),15-13*ORÇAMENTO!$AF$7)/$H187*OFFSET(ORÇAMENTO!$X$15,ROW(AP187)-ROW(AP$15),0),
ROUND(ROUND(OFFSET($P187,0,AP$13),15-13*ORÇAMENTO!$AF$7)*OFFSET(ORÇAMENTO!$W$15,ROW(AP187)-ROW(AP$15),0),15-13*ORÇAMENTO!$AF$11)),0)</f>
        <v>0</v>
      </c>
      <c r="AQ187" s="545">
        <f ca="1">IF(AND($D187="Serviço",AQ$12&lt;&gt;0,$H187&gt;0,OR(AUTOEVENTO&lt;&gt;"manual",$M187&lt;&gt;1)),
IF(Import.TipoArredondamento&lt;&gt;"TransfereGOV",
ROUND(OFFSET($P187,0,AQ$13),15-13*ORÇAMENTO!$AF$7)/$H187*OFFSET(ORÇAMENTO!$X$15,ROW(AQ187)-ROW(AQ$15),0),
ROUND(ROUND(OFFSET($P187,0,AQ$13),15-13*ORÇAMENTO!$AF$7)*OFFSET(ORÇAMENTO!$W$15,ROW(AQ187)-ROW(AQ$15),0),15-13*ORÇAMENTO!$AF$11)),0)</f>
        <v>0</v>
      </c>
      <c r="AR187" s="545">
        <f ca="1">IF(AND($D187="Serviço",AR$12&lt;&gt;0,$H187&gt;0,OR(AUTOEVENTO&lt;&gt;"manual",$M187&lt;&gt;1)),
IF(Import.TipoArredondamento&lt;&gt;"TransfereGOV",
ROUND(OFFSET($P187,0,AR$13),15-13*ORÇAMENTO!$AF$7)/$H187*OFFSET(ORÇAMENTO!$X$15,ROW(AR187)-ROW(AR$15),0),
ROUND(ROUND(OFFSET($P187,0,AR$13),15-13*ORÇAMENTO!$AF$7)*OFFSET(ORÇAMENTO!$W$15,ROW(AR187)-ROW(AR$15),0),15-13*ORÇAMENTO!$AF$11)),0)</f>
        <v>0</v>
      </c>
      <c r="AS187" s="546">
        <f ca="1">IF(AND($D187="Serviço",AS$12&lt;&gt;0,$H187&gt;0,OR(AUTOEVENTO&lt;&gt;"manual",$M187&lt;&gt;1)),
IF(Import.TipoArredondamento&lt;&gt;"TransfereGOV",
ROUND(OFFSET($P187,0,AS$13),15-13*ORÇAMENTO!$AF$7)/$H187*OFFSET(ORÇAMENTO!$X$15,ROW(AS187)-ROW(AS$15),0),
ROUND(ROUND(OFFSET($P187,0,AS$13),15-13*ORÇAMENTO!$AF$7)*OFFSET(ORÇAMENTO!$W$15,ROW(AS187)-ROW(AS$15),0),15-13*ORÇAMENTO!$AF$11)),0)</f>
        <v>0</v>
      </c>
      <c r="AT187" s="545">
        <f ca="1">IF(AND($D187="Serviço",AT$12&lt;&gt;0,$H187&gt;0,OR(AUTOEVENTO&lt;&gt;"manual",$M187&lt;&gt;1)),
IF(Import.TipoArredondamento&lt;&gt;"TransfereGOV",
ROUND(OFFSET($P187,0,AT$13),15-13*ORÇAMENTO!$AF$7)/$H187*OFFSET(ORÇAMENTO!$X$15,ROW(AT187)-ROW(AT$15),0),
ROUND(ROUND(OFFSET($P187,0,AT$13),15-13*ORÇAMENTO!$AF$7)*OFFSET(ORÇAMENTO!$W$15,ROW(AT187)-ROW(AT$15),0),15-13*ORÇAMENTO!$AF$11)),0)</f>
        <v>0</v>
      </c>
      <c r="AU187" s="545">
        <f ca="1">IF(AND($D187="Serviço",AU$12&lt;&gt;0,$H187&gt;0,OR(AUTOEVENTO&lt;&gt;"manual",$M187&lt;&gt;1)),
IF(Import.TipoArredondamento&lt;&gt;"TransfereGOV",
ROUND(OFFSET($P187,0,AU$13),15-13*ORÇAMENTO!$AF$7)/$H187*OFFSET(ORÇAMENTO!$X$15,ROW(AU187)-ROW(AU$15),0),
ROUND(ROUND(OFFSET($P187,0,AU$13),15-13*ORÇAMENTO!$AF$7)*OFFSET(ORÇAMENTO!$W$15,ROW(AU187)-ROW(AU$15),0),15-13*ORÇAMENTO!$AF$11)),0)</f>
        <v>0</v>
      </c>
      <c r="AV187" s="545">
        <f ca="1">IF(AND($D187="Serviço",AV$12&lt;&gt;0,$H187&gt;0,OR(AUTOEVENTO&lt;&gt;"manual",$M187&lt;&gt;1)),
IF(Import.TipoArredondamento&lt;&gt;"TransfereGOV",
ROUND(OFFSET($P187,0,AV$13),15-13*ORÇAMENTO!$AF$7)/$H187*OFFSET(ORÇAMENTO!$X$15,ROW(AV187)-ROW(AV$15),0),
ROUND(ROUND(OFFSET($P187,0,AV$13),15-13*ORÇAMENTO!$AF$7)*OFFSET(ORÇAMENTO!$W$15,ROW(AV187)-ROW(AV$15),0),15-13*ORÇAMENTO!$AF$11)),0)</f>
        <v>0</v>
      </c>
      <c r="AW187" s="545">
        <f ca="1">IF(AND($D187="Serviço",AW$12&lt;&gt;0,$H187&gt;0,OR(AUTOEVENTO&lt;&gt;"manual",$M187&lt;&gt;1)),
IF(Import.TipoArredondamento&lt;&gt;"TransfereGOV",
ROUND(OFFSET($P187,0,AW$13),15-13*ORÇAMENTO!$AF$7)/$H187*OFFSET(ORÇAMENTO!$X$15,ROW(AW187)-ROW(AW$15),0),
ROUND(ROUND(OFFSET($P187,0,AW$13),15-13*ORÇAMENTO!$AF$7)*OFFSET(ORÇAMENTO!$W$15,ROW(AW187)-ROW(AW$15),0),15-13*ORÇAMENTO!$AF$11)),0)</f>
        <v>0</v>
      </c>
      <c r="AX187" s="545">
        <f ca="1">IF(AND($D187="Serviço",AX$12&lt;&gt;0,$H187&gt;0,OR(AUTOEVENTO&lt;&gt;"manual",$M187&lt;&gt;1)),
IF(Import.TipoArredondamento&lt;&gt;"TransfereGOV",
ROUND(OFFSET($P187,0,AX$13),15-13*ORÇAMENTO!$AF$7)/$H187*OFFSET(ORÇAMENTO!$X$15,ROW(AX187)-ROW(AX$15),0),
ROUND(ROUND(OFFSET($P187,0,AX$13),15-13*ORÇAMENTO!$AF$7)*OFFSET(ORÇAMENTO!$W$15,ROW(AX187)-ROW(AX$15),0),15-13*ORÇAMENTO!$AF$11)),0)</f>
        <v>0</v>
      </c>
      <c r="AY187" s="545">
        <f ca="1">IF(AND($D187="Serviço",AY$12&lt;&gt;0,$H187&gt;0,OR(AUTOEVENTO&lt;&gt;"manual",$M187&lt;&gt;1)),
IF(Import.TipoArredondamento&lt;&gt;"TransfereGOV",
ROUND(OFFSET($P187,0,AY$13),15-13*ORÇAMENTO!$AF$7)/$H187*OFFSET(ORÇAMENTO!$X$15,ROW(AY187)-ROW(AY$15),0),
ROUND(ROUND(OFFSET($P187,0,AY$13),15-13*ORÇAMENTO!$AF$7)*OFFSET(ORÇAMENTO!$W$15,ROW(AY187)-ROW(AY$15),0),15-13*ORÇAMENTO!$AF$11)),0)</f>
        <v>0</v>
      </c>
      <c r="AZ187" s="545">
        <f ca="1">IF(AND($D187="Serviço",AZ$12&lt;&gt;0,$H187&gt;0,OR(AUTOEVENTO&lt;&gt;"manual",$M187&lt;&gt;1)),
IF(Import.TipoArredondamento&lt;&gt;"TransfereGOV",
ROUND(OFFSET($P187,0,AZ$13),15-13*ORÇAMENTO!$AF$7)/$H187*OFFSET(ORÇAMENTO!$X$15,ROW(AZ187)-ROW(AZ$15),0),
ROUND(ROUND(OFFSET($P187,0,AZ$13),15-13*ORÇAMENTO!$AF$7)*OFFSET(ORÇAMENTO!$W$15,ROW(AZ187)-ROW(AZ$15),0),15-13*ORÇAMENTO!$AF$11)),0)</f>
        <v>0</v>
      </c>
      <c r="BA187" s="546">
        <f ca="1">IF(AND($D187="Serviço",BA$12&lt;&gt;0,$H187&gt;0,OR(AUTOEVENTO&lt;&gt;"manual",$M187&lt;&gt;1)),
IF(Import.TipoArredondamento&lt;&gt;"TransfereGOV",
ROUND(OFFSET($P187,0,BA$13),15-13*ORÇAMENTO!$AF$7)/$H187*OFFSET(ORÇAMENTO!$X$15,ROW(BA187)-ROW(BA$15),0),
ROUND(ROUND(OFFSET($P187,0,BA$13),15-13*ORÇAMENTO!$AF$7)*OFFSET(ORÇAMENTO!$W$15,ROW(BA187)-ROW(BA$15),0),15-13*ORÇAMENTO!$AF$11)),0)</f>
        <v>0</v>
      </c>
      <c r="BC187" s="181">
        <f ca="1">IF($D187&lt;&gt;"Serviço",0,IF(AND(AUTOEVENTO="Manual",$M187=1),0,IF(OFFSET(CRONOPLE!$F$14,$M187,BC$13)="",10^12,OFFSET(CRONOPLE!$F$14,$M187,BC$13))))</f>
        <v>7</v>
      </c>
      <c r="BD187" s="181">
        <f ca="1">IF($D187&lt;&gt;"Serviço",0,IF(AND(AUTOEVENTO="Manual",$M187=1),0,IF(OFFSET(CRONOPLE!$F$14,$M187,BD$13)="",10^12,OFFSET(CRONOPLE!$F$14,$M187,BD$13))))</f>
        <v>1000000000000</v>
      </c>
      <c r="BE187" s="181">
        <f ca="1">IF($D187&lt;&gt;"Serviço",0,IF(AND(AUTOEVENTO="Manual",$M187=1),0,IF(OFFSET(CRONOPLE!$F$14,$M187,BE$13)="",10^12,OFFSET(CRONOPLE!$F$14,$M187,BE$13))))</f>
        <v>1000000000000</v>
      </c>
      <c r="BF187" s="181">
        <f ca="1">IF($D187&lt;&gt;"Serviço",0,IF(AND(AUTOEVENTO="Manual",$M187=1),0,IF(OFFSET(CRONOPLE!$F$14,$M187,BF$13)="",10^12,OFFSET(CRONOPLE!$F$14,$M187,BF$13))))</f>
        <v>1000000000000</v>
      </c>
      <c r="BG187" s="181">
        <f ca="1">IF($D187&lt;&gt;"Serviço",0,IF(AND(AUTOEVENTO="Manual",$M187=1),0,IF(OFFSET(CRONOPLE!$F$14,$M187,BG$13)="",10^12,OFFSET(CRONOPLE!$F$14,$M187,BG$13))))</f>
        <v>1000000000000</v>
      </c>
      <c r="BH187" s="181">
        <f ca="1">IF($D187&lt;&gt;"Serviço",0,IF(AND(AUTOEVENTO="Manual",$M187=1),0,IF(OFFSET(CRONOPLE!$F$14,$M187,BH$13)="",10^12,OFFSET(CRONOPLE!$F$14,$M187,BH$13))))</f>
        <v>1000000000000</v>
      </c>
      <c r="BI187" s="181">
        <f ca="1">IF($D187&lt;&gt;"Serviço",0,IF(AND(AUTOEVENTO="Manual",$M187=1),0,IF(OFFSET(CRONOPLE!$F$14,$M187,BI$13)="",10^12,OFFSET(CRONOPLE!$F$14,$M187,BI$13))))</f>
        <v>1000000000000</v>
      </c>
      <c r="BJ187" s="181">
        <f ca="1">IF($D187&lt;&gt;"Serviço",0,IF(AND(AUTOEVENTO="Manual",$M187=1),0,IF(OFFSET(CRONOPLE!$F$14,$M187,BJ$13)="",10^12,OFFSET(CRONOPLE!$F$14,$M187,BJ$13))))</f>
        <v>1000000000000</v>
      </c>
      <c r="BK187" s="181">
        <f ca="1">IF($D187&lt;&gt;"Serviço",0,IF(AND(AUTOEVENTO="Manual",$M187=1),0,IF(OFFSET(CRONOPLE!$F$14,$M187,BK$13)="",10^12,OFFSET(CRONOPLE!$F$14,$M187,BK$13))))</f>
        <v>1000000000000</v>
      </c>
      <c r="BL187" s="181">
        <f ca="1">IF($D187&lt;&gt;"Serviço",0,IF(AND(AUTOEVENTO="Manual",$M187=1),0,IF(OFFSET(CRONOPLE!$F$14,$M187,BL$13)="",10^12,OFFSET(CRONOPLE!$F$14,$M187,BL$13))))</f>
        <v>1000000000000</v>
      </c>
      <c r="BM187" s="181">
        <f ca="1">IF($D187&lt;&gt;"Serviço",0,IF(AND(AUTOEVENTO="Manual",$M187=1),0,IF(OFFSET(CRONOPLE!$F$14,$M187,BM$13)="",10^12,OFFSET(CRONOPLE!$F$14,$M187,BM$13))))</f>
        <v>1000000000000</v>
      </c>
      <c r="BN187" s="181">
        <f ca="1">IF($D187&lt;&gt;"Serviço",0,IF(AND(AUTOEVENTO="Manual",$M187=1),0,IF(OFFSET(CRONOPLE!$F$14,$M187,BN$13)="",10^12,OFFSET(CRONOPLE!$F$14,$M187,BN$13))))</f>
        <v>1000000000000</v>
      </c>
      <c r="BO187" s="181">
        <f ca="1">IF($D187&lt;&gt;"Serviço",0,IF(AND(AUTOEVENTO="Manual",$M187=1),0,IF(OFFSET(CRONOPLE!$F$14,$M187,BO$13)="",10^12,OFFSET(CRONOPLE!$F$14,$M187,BO$13))))</f>
        <v>1000000000000</v>
      </c>
      <c r="BP187" s="181">
        <f ca="1">IF($D187&lt;&gt;"Serviço",0,IF(AND(AUTOEVENTO="Manual",$M187=1),0,IF(OFFSET(CRONOPLE!$F$14,$M187,BP$13)="",10^12,OFFSET(CRONOPLE!$F$14,$M187,BP$13))))</f>
        <v>1000000000000</v>
      </c>
      <c r="BQ187" s="181">
        <f ca="1">IF($D187&lt;&gt;"Serviço",0,IF(AND(AUTOEVENTO="Manual",$M187=1),0,IF(OFFSET(CRONOPLE!$F$14,$M187,BQ$13)="",10^12,OFFSET(CRONOPLE!$F$14,$M187,BQ$13))))</f>
        <v>1000000000000</v>
      </c>
      <c r="BR187" s="181">
        <f ca="1">IF($D187&lt;&gt;"Serviço",0,IF(AND(AUTOEVENTO="Manual",$M187=1),0,IF(OFFSET(CRONOPLE!$F$14,$M187,BR$13)="",10^12,OFFSET(CRONOPLE!$F$14,$M187,BR$13))))</f>
        <v>1000000000000</v>
      </c>
      <c r="BS187" s="181">
        <f ca="1">IF($D187&lt;&gt;"Serviço",0,IF(AND(AUTOEVENTO="Manual",$M187=1),0,IF(OFFSET(CRONOPLE!$F$14,$M187,BS$13)="",10^12,OFFSET(CRONOPLE!$F$14,$M187,BS$13))))</f>
        <v>1000000000000</v>
      </c>
      <c r="BT187" s="181">
        <f ca="1">IF($D187&lt;&gt;"Serviço",0,IF(AND(AUTOEVENTO="Manual",$M187=1),0,IF(OFFSET(CRONOPLE!$F$14,$M187,BT$13)="",10^12,OFFSET(CRONOPLE!$F$14,$M187,BT$13))))</f>
        <v>1000000000000</v>
      </c>
      <c r="BV187" s="182">
        <f ca="1">IF($D187&lt;&gt;"Serviço",0,IF(OR(AND(AUTOEVENTO="Manual",$M187=1),$M187&gt;(ROW(PLE.lastrow)-ROW(PLE.firstrow))),0,IF(OFFSET(PLE!$G$14,$M187,BV$13)="",10^12,OFFSET(PLE!$G$14,$M187,BV$13))))</f>
        <v>1000000000000</v>
      </c>
      <c r="BW187" s="182">
        <f ca="1">IF($D187&lt;&gt;"Serviço",0,IF(OR(AND(AUTOEVENTO="Manual",$M187=1),$M187&gt;(ROW(PLE.lastrow)-ROW(PLE.firstrow))),0,IF(OFFSET(PLE!$G$14,$M187,BW$13)="",10^12,OFFSET(PLE!$G$14,$M187,BW$13))))</f>
        <v>1000000000000</v>
      </c>
      <c r="BX187" s="182">
        <f ca="1">IF($D187&lt;&gt;"Serviço",0,IF(OR(AND(AUTOEVENTO="Manual",$M187=1),$M187&gt;(ROW(PLE.lastrow)-ROW(PLE.firstrow))),0,IF(OFFSET(PLE!$G$14,$M187,BX$13)="",10^12,OFFSET(PLE!$G$14,$M187,BX$13))))</f>
        <v>1000000000000</v>
      </c>
      <c r="BY187" s="182">
        <f ca="1">IF($D187&lt;&gt;"Serviço",0,IF(OR(AND(AUTOEVENTO="Manual",$M187=1),$M187&gt;(ROW(PLE.lastrow)-ROW(PLE.firstrow))),0,IF(OFFSET(PLE!$G$14,$M187,BY$13)="",10^12,OFFSET(PLE!$G$14,$M187,BY$13))))</f>
        <v>1000000000000</v>
      </c>
      <c r="BZ187" s="182">
        <f ca="1">IF($D187&lt;&gt;"Serviço",0,IF(OR(AND(AUTOEVENTO="Manual",$M187=1),$M187&gt;(ROW(PLE.lastrow)-ROW(PLE.firstrow))),0,IF(OFFSET(PLE!$G$14,$M187,BZ$13)="",10^12,OFFSET(PLE!$G$14,$M187,BZ$13))))</f>
        <v>1000000000000</v>
      </c>
      <c r="CA187" s="182">
        <f ca="1">IF($D187&lt;&gt;"Serviço",0,IF(OR(AND(AUTOEVENTO="Manual",$M187=1),$M187&gt;(ROW(PLE.lastrow)-ROW(PLE.firstrow))),0,IF(OFFSET(PLE!$G$14,$M187,CA$13)="",10^12,OFFSET(PLE!$G$14,$M187,CA$13))))</f>
        <v>1000000000000</v>
      </c>
      <c r="CB187" s="182">
        <f ca="1">IF($D187&lt;&gt;"Serviço",0,IF(OR(AND(AUTOEVENTO="Manual",$M187=1),$M187&gt;(ROW(PLE.lastrow)-ROW(PLE.firstrow))),0,IF(OFFSET(PLE!$G$14,$M187,CB$13)="",10^12,OFFSET(PLE!$G$14,$M187,CB$13))))</f>
        <v>1000000000000</v>
      </c>
      <c r="CC187" s="182">
        <f ca="1">IF($D187&lt;&gt;"Serviço",0,IF(OR(AND(AUTOEVENTO="Manual",$M187=1),$M187&gt;(ROW(PLE.lastrow)-ROW(PLE.firstrow))),0,IF(OFFSET(PLE!$G$14,$M187,CC$13)="",10^12,OFFSET(PLE!$G$14,$M187,CC$13))))</f>
        <v>1000000000000</v>
      </c>
      <c r="CD187" s="182">
        <f ca="1">IF($D187&lt;&gt;"Serviço",0,IF(OR(AND(AUTOEVENTO="Manual",$M187=1),$M187&gt;(ROW(PLE.lastrow)-ROW(PLE.firstrow))),0,IF(OFFSET(PLE!$G$14,$M187,CD$13)="",10^12,OFFSET(PLE!$G$14,$M187,CD$13))))</f>
        <v>1000000000000</v>
      </c>
      <c r="CE187" s="182">
        <f ca="1">IF($D187&lt;&gt;"Serviço",0,IF(OR(AND(AUTOEVENTO="Manual",$M187=1),$M187&gt;(ROW(PLE.lastrow)-ROW(PLE.firstrow))),0,IF(OFFSET(PLE!$G$14,$M187,CE$13)="",10^12,OFFSET(PLE!$G$14,$M187,CE$13))))</f>
        <v>1000000000000</v>
      </c>
      <c r="CF187" s="182">
        <f ca="1">IF($D187&lt;&gt;"Serviço",0,IF(OR(AND(AUTOEVENTO="Manual",$M187=1),$M187&gt;(ROW(PLE.lastrow)-ROW(PLE.firstrow))),0,IF(OFFSET(PLE!$G$14,$M187,CF$13)="",10^12,OFFSET(PLE!$G$14,$M187,CF$13))))</f>
        <v>1000000000000</v>
      </c>
      <c r="CG187" s="182">
        <f ca="1">IF($D187&lt;&gt;"Serviço",0,IF(OR(AND(AUTOEVENTO="Manual",$M187=1),$M187&gt;(ROW(PLE.lastrow)-ROW(PLE.firstrow))),0,IF(OFFSET(PLE!$G$14,$M187,CG$13)="",10^12,OFFSET(PLE!$G$14,$M187,CG$13))))</f>
        <v>1000000000000</v>
      </c>
      <c r="CH187" s="182">
        <f ca="1">IF($D187&lt;&gt;"Serviço",0,IF(OR(AND(AUTOEVENTO="Manual",$M187=1),$M187&gt;(ROW(PLE.lastrow)-ROW(PLE.firstrow))),0,IF(OFFSET(PLE!$G$14,$M187,CH$13)="",10^12,OFFSET(PLE!$G$14,$M187,CH$13))))</f>
        <v>1000000000000</v>
      </c>
      <c r="CI187" s="182">
        <f ca="1">IF($D187&lt;&gt;"Serviço",0,IF(OR(AND(AUTOEVENTO="Manual",$M187=1),$M187&gt;(ROW(PLE.lastrow)-ROW(PLE.firstrow))),0,IF(OFFSET(PLE!$G$14,$M187,CI$13)="",10^12,OFFSET(PLE!$G$14,$M187,CI$13))))</f>
        <v>1000000000000</v>
      </c>
      <c r="CJ187" s="182">
        <f ca="1">IF($D187&lt;&gt;"Serviço",0,IF(OR(AND(AUTOEVENTO="Manual",$M187=1),$M187&gt;(ROW(PLE.lastrow)-ROW(PLE.firstrow))),0,IF(OFFSET(PLE!$G$14,$M187,CJ$13)="",10^12,OFFSET(PLE!$G$14,$M187,CJ$13))))</f>
        <v>1000000000000</v>
      </c>
      <c r="CK187" s="182">
        <f ca="1">IF($D187&lt;&gt;"Serviço",0,IF(OR(AND(AUTOEVENTO="Manual",$M187=1),$M187&gt;(ROW(PLE.lastrow)-ROW(PLE.firstrow))),0,IF(OFFSET(PLE!$G$14,$M187,CK$13)="",10^12,OFFSET(PLE!$G$14,$M187,CK$13))))</f>
        <v>1000000000000</v>
      </c>
      <c r="CL187" s="182">
        <f ca="1">IF($D187&lt;&gt;"Serviço",0,IF(OR(AND(AUTOEVENTO="Manual",$M187=1),$M187&gt;(ROW(PLE.lastrow)-ROW(PLE.firstrow))),0,IF(OFFSET(PLE!$G$14,$M187,CL$13)="",10^12,OFFSET(PLE!$G$14,$M187,CL$13))))</f>
        <v>1000000000000</v>
      </c>
      <c r="CM187" s="182">
        <f ca="1">IF($D187&lt;&gt;"Serviço",0,IF(OR(AND(AUTOEVENTO="Manual",$M187=1),$M187&gt;(ROW(PLE.lastrow)-ROW(PLE.firstrow))),0,IF(OFFSET(PLE!$G$14,$M187,CM$13)="",10^12,OFFSET(PLE!$G$14,$M187,CM$13))))</f>
        <v>1000000000000</v>
      </c>
    </row>
    <row r="188" spans="1:91" ht="51" x14ac:dyDescent="0.2">
      <c r="A188" s="7" t="str">
        <f t="shared" ca="1" si="12"/>
        <v>169</v>
      </c>
      <c r="B188" s="7" t="str">
        <f ca="1">OFFSET(ORÇAMENTO!C$15,ROW(B188)-ROW(B$15),0)</f>
        <v>S</v>
      </c>
      <c r="C188" s="7" t="str">
        <f ca="1">OFFSET(ORÇAMENTO!L$15,ROW(C188)-ROW(C$15),0)</f>
        <v/>
      </c>
      <c r="D188" s="118" t="str">
        <f ca="1">OFFSET(ORÇAMENTO!N$15,ROW(D188)-ROW(D$15),0)</f>
        <v>Serviço</v>
      </c>
      <c r="E188" s="119" t="str">
        <f ca="1">OFFSET(ORÇAMENTO!O$15,ROW(E188)-ROW(E$15),0)</f>
        <v>-</v>
      </c>
      <c r="F188" s="172" t="str">
        <f ca="1">OFFSET(ORÇAMENTO!R$15,ROW(F188)-ROW(F$15),0)</f>
        <v>(abra o arquivo 'Referência 06-2024.xlsm)</v>
      </c>
      <c r="G188" s="173" t="str">
        <f ca="1">IF($D188&lt;&gt;"Serviço","",OFFSET(ORÇAMENTO!S$15,ROW(G188)-ROW(G$15),0))</f>
        <v>-</v>
      </c>
      <c r="H188" s="124">
        <f ca="1">IF($D188&lt;&gt;"Serviço",0,IF(ACOMPANHAMENTO="BM",ROUND(OFFSET(ORÇAMENTO!AJ$15,ROW(H188)-ROW(H$15),0),15-13*ORÇAMENTO!$AF$7),SUMPRODUCT(($Q$12:$AI$12&lt;&gt;"")*ROUND($Q188:$AI188,15-13*ORÇAMENTO!$AF$7))))</f>
        <v>2420.0300000000002</v>
      </c>
      <c r="I188" s="561" t="s">
        <v>1107</v>
      </c>
      <c r="K188" s="174"/>
      <c r="L188" s="175" t="s">
        <v>255</v>
      </c>
      <c r="M188" s="176">
        <f ca="1">IF($D188&lt;&gt;"Serviço","",IF(AUTOEVENTO="manual",$A188,IF(ISERROR(MATCH($A188,$A$15:OFFSET($A188,-1,0),0)),MAX($M$15:OFFSET(M188,-1,0))+1,INDEX($M$15:OFFSET(M188,-1,0),MATCH($A188,$A$15:OFFSET($A188,-1,0),0)))))</f>
        <v>27</v>
      </c>
      <c r="N188" s="177" t="str">
        <f ca="1">IF($D188&lt;&gt;"Serviço","",IF(AUTOEVENTO="Manual",IF($A188=0,"&lt;-- defina o número do agrupador",OFFSET(EVENTOS!$D$14,$A188,0)),OFFSET($F$15,$A188,0)))</f>
        <v>REVESTIMENTOS INTERNO E EXTERNO - EDIFICAÇÃO</v>
      </c>
      <c r="O188" s="178"/>
      <c r="Q188" s="178">
        <v>2420.0299999999997</v>
      </c>
      <c r="R188" s="179"/>
      <c r="S188" s="179"/>
      <c r="T188" s="179"/>
      <c r="U188" s="179"/>
      <c r="V188" s="179"/>
      <c r="W188" s="179"/>
      <c r="X188" s="179"/>
      <c r="Y188" s="179"/>
      <c r="Z188" s="180"/>
      <c r="AA188" s="179"/>
      <c r="AB188" s="179"/>
      <c r="AC188" s="179"/>
      <c r="AD188" s="179"/>
      <c r="AE188" s="179"/>
      <c r="AF188" s="179"/>
      <c r="AG188" s="179"/>
      <c r="AH188" s="180"/>
      <c r="AJ188" s="544">
        <f ca="1">IF(AND($D188="Serviço",AJ$12&lt;&gt;0,$H188&gt;0,OR(AUTOEVENTO&lt;&gt;"manual",$M188&lt;&gt;1)),
IF(Import.TipoArredondamento&lt;&gt;"TransfereGOV",
ROUND(OFFSET($P188,0,AJ$13),15-13*ORÇAMENTO!$AF$7)/$H188*OFFSET(ORÇAMENTO!$X$15,ROW(AJ188)-ROW(AJ$15),0),
ROUND(ROUND(OFFSET($P188,0,AJ$13),15-13*ORÇAMENTO!$AF$7)*OFFSET(ORÇAMENTO!$W$15,ROW(AJ188)-ROW(AJ$15),0),15-13*ORÇAMENTO!$AF$11)),0)</f>
        <v>0</v>
      </c>
      <c r="AK188" s="545">
        <f ca="1">IF(AND($D188="Serviço",AK$12&lt;&gt;0,$H188&gt;0,OR(AUTOEVENTO&lt;&gt;"manual",$M188&lt;&gt;1)),
IF(Import.TipoArredondamento&lt;&gt;"TransfereGOV",
ROUND(OFFSET($P188,0,AK$13),15-13*ORÇAMENTO!$AF$7)/$H188*OFFSET(ORÇAMENTO!$X$15,ROW(AK188)-ROW(AK$15),0),
ROUND(ROUND(OFFSET($P188,0,AK$13),15-13*ORÇAMENTO!$AF$7)*OFFSET(ORÇAMENTO!$W$15,ROW(AK188)-ROW(AK$15),0),15-13*ORÇAMENTO!$AF$11)),0)</f>
        <v>0</v>
      </c>
      <c r="AL188" s="545">
        <f ca="1">IF(AND($D188="Serviço",AL$12&lt;&gt;0,$H188&gt;0,OR(AUTOEVENTO&lt;&gt;"manual",$M188&lt;&gt;1)),
IF(Import.TipoArredondamento&lt;&gt;"TransfereGOV",
ROUND(OFFSET($P188,0,AL$13),15-13*ORÇAMENTO!$AF$7)/$H188*OFFSET(ORÇAMENTO!$X$15,ROW(AL188)-ROW(AL$15),0),
ROUND(ROUND(OFFSET($P188,0,AL$13),15-13*ORÇAMENTO!$AF$7)*OFFSET(ORÇAMENTO!$W$15,ROW(AL188)-ROW(AL$15),0),15-13*ORÇAMENTO!$AF$11)),0)</f>
        <v>0</v>
      </c>
      <c r="AM188" s="545">
        <f ca="1">IF(AND($D188="Serviço",AM$12&lt;&gt;0,$H188&gt;0,OR(AUTOEVENTO&lt;&gt;"manual",$M188&lt;&gt;1)),
IF(Import.TipoArredondamento&lt;&gt;"TransfereGOV",
ROUND(OFFSET($P188,0,AM$13),15-13*ORÇAMENTO!$AF$7)/$H188*OFFSET(ORÇAMENTO!$X$15,ROW(AM188)-ROW(AM$15),0),
ROUND(ROUND(OFFSET($P188,0,AM$13),15-13*ORÇAMENTO!$AF$7)*OFFSET(ORÇAMENTO!$W$15,ROW(AM188)-ROW(AM$15),0),15-13*ORÇAMENTO!$AF$11)),0)</f>
        <v>0</v>
      </c>
      <c r="AN188" s="545">
        <f ca="1">IF(AND($D188="Serviço",AN$12&lt;&gt;0,$H188&gt;0,OR(AUTOEVENTO&lt;&gt;"manual",$M188&lt;&gt;1)),
IF(Import.TipoArredondamento&lt;&gt;"TransfereGOV",
ROUND(OFFSET($P188,0,AN$13),15-13*ORÇAMENTO!$AF$7)/$H188*OFFSET(ORÇAMENTO!$X$15,ROW(AN188)-ROW(AN$15),0),
ROUND(ROUND(OFFSET($P188,0,AN$13),15-13*ORÇAMENTO!$AF$7)*OFFSET(ORÇAMENTO!$W$15,ROW(AN188)-ROW(AN$15),0),15-13*ORÇAMENTO!$AF$11)),0)</f>
        <v>0</v>
      </c>
      <c r="AO188" s="545">
        <f ca="1">IF(AND($D188="Serviço",AO$12&lt;&gt;0,$H188&gt;0,OR(AUTOEVENTO&lt;&gt;"manual",$M188&lt;&gt;1)),
IF(Import.TipoArredondamento&lt;&gt;"TransfereGOV",
ROUND(OFFSET($P188,0,AO$13),15-13*ORÇAMENTO!$AF$7)/$H188*OFFSET(ORÇAMENTO!$X$15,ROW(AO188)-ROW(AO$15),0),
ROUND(ROUND(OFFSET($P188,0,AO$13),15-13*ORÇAMENTO!$AF$7)*OFFSET(ORÇAMENTO!$W$15,ROW(AO188)-ROW(AO$15),0),15-13*ORÇAMENTO!$AF$11)),0)</f>
        <v>0</v>
      </c>
      <c r="AP188" s="545">
        <f ca="1">IF(AND($D188="Serviço",AP$12&lt;&gt;0,$H188&gt;0,OR(AUTOEVENTO&lt;&gt;"manual",$M188&lt;&gt;1)),
IF(Import.TipoArredondamento&lt;&gt;"TransfereGOV",
ROUND(OFFSET($P188,0,AP$13),15-13*ORÇAMENTO!$AF$7)/$H188*OFFSET(ORÇAMENTO!$X$15,ROW(AP188)-ROW(AP$15),0),
ROUND(ROUND(OFFSET($P188,0,AP$13),15-13*ORÇAMENTO!$AF$7)*OFFSET(ORÇAMENTO!$W$15,ROW(AP188)-ROW(AP$15),0),15-13*ORÇAMENTO!$AF$11)),0)</f>
        <v>0</v>
      </c>
      <c r="AQ188" s="545">
        <f ca="1">IF(AND($D188="Serviço",AQ$12&lt;&gt;0,$H188&gt;0,OR(AUTOEVENTO&lt;&gt;"manual",$M188&lt;&gt;1)),
IF(Import.TipoArredondamento&lt;&gt;"TransfereGOV",
ROUND(OFFSET($P188,0,AQ$13),15-13*ORÇAMENTO!$AF$7)/$H188*OFFSET(ORÇAMENTO!$X$15,ROW(AQ188)-ROW(AQ$15),0),
ROUND(ROUND(OFFSET($P188,0,AQ$13),15-13*ORÇAMENTO!$AF$7)*OFFSET(ORÇAMENTO!$W$15,ROW(AQ188)-ROW(AQ$15),0),15-13*ORÇAMENTO!$AF$11)),0)</f>
        <v>0</v>
      </c>
      <c r="AR188" s="545">
        <f ca="1">IF(AND($D188="Serviço",AR$12&lt;&gt;0,$H188&gt;0,OR(AUTOEVENTO&lt;&gt;"manual",$M188&lt;&gt;1)),
IF(Import.TipoArredondamento&lt;&gt;"TransfereGOV",
ROUND(OFFSET($P188,0,AR$13),15-13*ORÇAMENTO!$AF$7)/$H188*OFFSET(ORÇAMENTO!$X$15,ROW(AR188)-ROW(AR$15),0),
ROUND(ROUND(OFFSET($P188,0,AR$13),15-13*ORÇAMENTO!$AF$7)*OFFSET(ORÇAMENTO!$W$15,ROW(AR188)-ROW(AR$15),0),15-13*ORÇAMENTO!$AF$11)),0)</f>
        <v>0</v>
      </c>
      <c r="AS188" s="546">
        <f ca="1">IF(AND($D188="Serviço",AS$12&lt;&gt;0,$H188&gt;0,OR(AUTOEVENTO&lt;&gt;"manual",$M188&lt;&gt;1)),
IF(Import.TipoArredondamento&lt;&gt;"TransfereGOV",
ROUND(OFFSET($P188,0,AS$13),15-13*ORÇAMENTO!$AF$7)/$H188*OFFSET(ORÇAMENTO!$X$15,ROW(AS188)-ROW(AS$15),0),
ROUND(ROUND(OFFSET($P188,0,AS$13),15-13*ORÇAMENTO!$AF$7)*OFFSET(ORÇAMENTO!$W$15,ROW(AS188)-ROW(AS$15),0),15-13*ORÇAMENTO!$AF$11)),0)</f>
        <v>0</v>
      </c>
      <c r="AT188" s="545">
        <f ca="1">IF(AND($D188="Serviço",AT$12&lt;&gt;0,$H188&gt;0,OR(AUTOEVENTO&lt;&gt;"manual",$M188&lt;&gt;1)),
IF(Import.TipoArredondamento&lt;&gt;"TransfereGOV",
ROUND(OFFSET($P188,0,AT$13),15-13*ORÇAMENTO!$AF$7)/$H188*OFFSET(ORÇAMENTO!$X$15,ROW(AT188)-ROW(AT$15),0),
ROUND(ROUND(OFFSET($P188,0,AT$13),15-13*ORÇAMENTO!$AF$7)*OFFSET(ORÇAMENTO!$W$15,ROW(AT188)-ROW(AT$15),0),15-13*ORÇAMENTO!$AF$11)),0)</f>
        <v>0</v>
      </c>
      <c r="AU188" s="545">
        <f ca="1">IF(AND($D188="Serviço",AU$12&lt;&gt;0,$H188&gt;0,OR(AUTOEVENTO&lt;&gt;"manual",$M188&lt;&gt;1)),
IF(Import.TipoArredondamento&lt;&gt;"TransfereGOV",
ROUND(OFFSET($P188,0,AU$13),15-13*ORÇAMENTO!$AF$7)/$H188*OFFSET(ORÇAMENTO!$X$15,ROW(AU188)-ROW(AU$15),0),
ROUND(ROUND(OFFSET($P188,0,AU$13),15-13*ORÇAMENTO!$AF$7)*OFFSET(ORÇAMENTO!$W$15,ROW(AU188)-ROW(AU$15),0),15-13*ORÇAMENTO!$AF$11)),0)</f>
        <v>0</v>
      </c>
      <c r="AV188" s="545">
        <f ca="1">IF(AND($D188="Serviço",AV$12&lt;&gt;0,$H188&gt;0,OR(AUTOEVENTO&lt;&gt;"manual",$M188&lt;&gt;1)),
IF(Import.TipoArredondamento&lt;&gt;"TransfereGOV",
ROUND(OFFSET($P188,0,AV$13),15-13*ORÇAMENTO!$AF$7)/$H188*OFFSET(ORÇAMENTO!$X$15,ROW(AV188)-ROW(AV$15),0),
ROUND(ROUND(OFFSET($P188,0,AV$13),15-13*ORÇAMENTO!$AF$7)*OFFSET(ORÇAMENTO!$W$15,ROW(AV188)-ROW(AV$15),0),15-13*ORÇAMENTO!$AF$11)),0)</f>
        <v>0</v>
      </c>
      <c r="AW188" s="545">
        <f ca="1">IF(AND($D188="Serviço",AW$12&lt;&gt;0,$H188&gt;0,OR(AUTOEVENTO&lt;&gt;"manual",$M188&lt;&gt;1)),
IF(Import.TipoArredondamento&lt;&gt;"TransfereGOV",
ROUND(OFFSET($P188,0,AW$13),15-13*ORÇAMENTO!$AF$7)/$H188*OFFSET(ORÇAMENTO!$X$15,ROW(AW188)-ROW(AW$15),0),
ROUND(ROUND(OFFSET($P188,0,AW$13),15-13*ORÇAMENTO!$AF$7)*OFFSET(ORÇAMENTO!$W$15,ROW(AW188)-ROW(AW$15),0),15-13*ORÇAMENTO!$AF$11)),0)</f>
        <v>0</v>
      </c>
      <c r="AX188" s="545">
        <f ca="1">IF(AND($D188="Serviço",AX$12&lt;&gt;0,$H188&gt;0,OR(AUTOEVENTO&lt;&gt;"manual",$M188&lt;&gt;1)),
IF(Import.TipoArredondamento&lt;&gt;"TransfereGOV",
ROUND(OFFSET($P188,0,AX$13),15-13*ORÇAMENTO!$AF$7)/$H188*OFFSET(ORÇAMENTO!$X$15,ROW(AX188)-ROW(AX$15),0),
ROUND(ROUND(OFFSET($P188,0,AX$13),15-13*ORÇAMENTO!$AF$7)*OFFSET(ORÇAMENTO!$W$15,ROW(AX188)-ROW(AX$15),0),15-13*ORÇAMENTO!$AF$11)),0)</f>
        <v>0</v>
      </c>
      <c r="AY188" s="545">
        <f ca="1">IF(AND($D188="Serviço",AY$12&lt;&gt;0,$H188&gt;0,OR(AUTOEVENTO&lt;&gt;"manual",$M188&lt;&gt;1)),
IF(Import.TipoArredondamento&lt;&gt;"TransfereGOV",
ROUND(OFFSET($P188,0,AY$13),15-13*ORÇAMENTO!$AF$7)/$H188*OFFSET(ORÇAMENTO!$X$15,ROW(AY188)-ROW(AY$15),0),
ROUND(ROUND(OFFSET($P188,0,AY$13),15-13*ORÇAMENTO!$AF$7)*OFFSET(ORÇAMENTO!$W$15,ROW(AY188)-ROW(AY$15),0),15-13*ORÇAMENTO!$AF$11)),0)</f>
        <v>0</v>
      </c>
      <c r="AZ188" s="545">
        <f ca="1">IF(AND($D188="Serviço",AZ$12&lt;&gt;0,$H188&gt;0,OR(AUTOEVENTO&lt;&gt;"manual",$M188&lt;&gt;1)),
IF(Import.TipoArredondamento&lt;&gt;"TransfereGOV",
ROUND(OFFSET($P188,0,AZ$13),15-13*ORÇAMENTO!$AF$7)/$H188*OFFSET(ORÇAMENTO!$X$15,ROW(AZ188)-ROW(AZ$15),0),
ROUND(ROUND(OFFSET($P188,0,AZ$13),15-13*ORÇAMENTO!$AF$7)*OFFSET(ORÇAMENTO!$W$15,ROW(AZ188)-ROW(AZ$15),0),15-13*ORÇAMENTO!$AF$11)),0)</f>
        <v>0</v>
      </c>
      <c r="BA188" s="546">
        <f ca="1">IF(AND($D188="Serviço",BA$12&lt;&gt;0,$H188&gt;0,OR(AUTOEVENTO&lt;&gt;"manual",$M188&lt;&gt;1)),
IF(Import.TipoArredondamento&lt;&gt;"TransfereGOV",
ROUND(OFFSET($P188,0,BA$13),15-13*ORÇAMENTO!$AF$7)/$H188*OFFSET(ORÇAMENTO!$X$15,ROW(BA188)-ROW(BA$15),0),
ROUND(ROUND(OFFSET($P188,0,BA$13),15-13*ORÇAMENTO!$AF$7)*OFFSET(ORÇAMENTO!$W$15,ROW(BA188)-ROW(BA$15),0),15-13*ORÇAMENTO!$AF$11)),0)</f>
        <v>0</v>
      </c>
      <c r="BC188" s="181">
        <f ca="1">IF($D188&lt;&gt;"Serviço",0,IF(AND(AUTOEVENTO="Manual",$M188=1),0,IF(OFFSET(CRONOPLE!$F$14,$M188,BC$13)="",10^12,OFFSET(CRONOPLE!$F$14,$M188,BC$13))))</f>
        <v>7</v>
      </c>
      <c r="BD188" s="181">
        <f ca="1">IF($D188&lt;&gt;"Serviço",0,IF(AND(AUTOEVENTO="Manual",$M188=1),0,IF(OFFSET(CRONOPLE!$F$14,$M188,BD$13)="",10^12,OFFSET(CRONOPLE!$F$14,$M188,BD$13))))</f>
        <v>1000000000000</v>
      </c>
      <c r="BE188" s="181">
        <f ca="1">IF($D188&lt;&gt;"Serviço",0,IF(AND(AUTOEVENTO="Manual",$M188=1),0,IF(OFFSET(CRONOPLE!$F$14,$M188,BE$13)="",10^12,OFFSET(CRONOPLE!$F$14,$M188,BE$13))))</f>
        <v>1000000000000</v>
      </c>
      <c r="BF188" s="181">
        <f ca="1">IF($D188&lt;&gt;"Serviço",0,IF(AND(AUTOEVENTO="Manual",$M188=1),0,IF(OFFSET(CRONOPLE!$F$14,$M188,BF$13)="",10^12,OFFSET(CRONOPLE!$F$14,$M188,BF$13))))</f>
        <v>1000000000000</v>
      </c>
      <c r="BG188" s="181">
        <f ca="1">IF($D188&lt;&gt;"Serviço",0,IF(AND(AUTOEVENTO="Manual",$M188=1),0,IF(OFFSET(CRONOPLE!$F$14,$M188,BG$13)="",10^12,OFFSET(CRONOPLE!$F$14,$M188,BG$13))))</f>
        <v>1000000000000</v>
      </c>
      <c r="BH188" s="181">
        <f ca="1">IF($D188&lt;&gt;"Serviço",0,IF(AND(AUTOEVENTO="Manual",$M188=1),0,IF(OFFSET(CRONOPLE!$F$14,$M188,BH$13)="",10^12,OFFSET(CRONOPLE!$F$14,$M188,BH$13))))</f>
        <v>1000000000000</v>
      </c>
      <c r="BI188" s="181">
        <f ca="1">IF($D188&lt;&gt;"Serviço",0,IF(AND(AUTOEVENTO="Manual",$M188=1),0,IF(OFFSET(CRONOPLE!$F$14,$M188,BI$13)="",10^12,OFFSET(CRONOPLE!$F$14,$M188,BI$13))))</f>
        <v>1000000000000</v>
      </c>
      <c r="BJ188" s="181">
        <f ca="1">IF($D188&lt;&gt;"Serviço",0,IF(AND(AUTOEVENTO="Manual",$M188=1),0,IF(OFFSET(CRONOPLE!$F$14,$M188,BJ$13)="",10^12,OFFSET(CRONOPLE!$F$14,$M188,BJ$13))))</f>
        <v>1000000000000</v>
      </c>
      <c r="BK188" s="181">
        <f ca="1">IF($D188&lt;&gt;"Serviço",0,IF(AND(AUTOEVENTO="Manual",$M188=1),0,IF(OFFSET(CRONOPLE!$F$14,$M188,BK$13)="",10^12,OFFSET(CRONOPLE!$F$14,$M188,BK$13))))</f>
        <v>1000000000000</v>
      </c>
      <c r="BL188" s="181">
        <f ca="1">IF($D188&lt;&gt;"Serviço",0,IF(AND(AUTOEVENTO="Manual",$M188=1),0,IF(OFFSET(CRONOPLE!$F$14,$M188,BL$13)="",10^12,OFFSET(CRONOPLE!$F$14,$M188,BL$13))))</f>
        <v>1000000000000</v>
      </c>
      <c r="BM188" s="181">
        <f ca="1">IF($D188&lt;&gt;"Serviço",0,IF(AND(AUTOEVENTO="Manual",$M188=1),0,IF(OFFSET(CRONOPLE!$F$14,$M188,BM$13)="",10^12,OFFSET(CRONOPLE!$F$14,$M188,BM$13))))</f>
        <v>1000000000000</v>
      </c>
      <c r="BN188" s="181">
        <f ca="1">IF($D188&lt;&gt;"Serviço",0,IF(AND(AUTOEVENTO="Manual",$M188=1),0,IF(OFFSET(CRONOPLE!$F$14,$M188,BN$13)="",10^12,OFFSET(CRONOPLE!$F$14,$M188,BN$13))))</f>
        <v>1000000000000</v>
      </c>
      <c r="BO188" s="181">
        <f ca="1">IF($D188&lt;&gt;"Serviço",0,IF(AND(AUTOEVENTO="Manual",$M188=1),0,IF(OFFSET(CRONOPLE!$F$14,$M188,BO$13)="",10^12,OFFSET(CRONOPLE!$F$14,$M188,BO$13))))</f>
        <v>1000000000000</v>
      </c>
      <c r="BP188" s="181">
        <f ca="1">IF($D188&lt;&gt;"Serviço",0,IF(AND(AUTOEVENTO="Manual",$M188=1),0,IF(OFFSET(CRONOPLE!$F$14,$M188,BP$13)="",10^12,OFFSET(CRONOPLE!$F$14,$M188,BP$13))))</f>
        <v>1000000000000</v>
      </c>
      <c r="BQ188" s="181">
        <f ca="1">IF($D188&lt;&gt;"Serviço",0,IF(AND(AUTOEVENTO="Manual",$M188=1),0,IF(OFFSET(CRONOPLE!$F$14,$M188,BQ$13)="",10^12,OFFSET(CRONOPLE!$F$14,$M188,BQ$13))))</f>
        <v>1000000000000</v>
      </c>
      <c r="BR188" s="181">
        <f ca="1">IF($D188&lt;&gt;"Serviço",0,IF(AND(AUTOEVENTO="Manual",$M188=1),0,IF(OFFSET(CRONOPLE!$F$14,$M188,BR$13)="",10^12,OFFSET(CRONOPLE!$F$14,$M188,BR$13))))</f>
        <v>1000000000000</v>
      </c>
      <c r="BS188" s="181">
        <f ca="1">IF($D188&lt;&gt;"Serviço",0,IF(AND(AUTOEVENTO="Manual",$M188=1),0,IF(OFFSET(CRONOPLE!$F$14,$M188,BS$13)="",10^12,OFFSET(CRONOPLE!$F$14,$M188,BS$13))))</f>
        <v>1000000000000</v>
      </c>
      <c r="BT188" s="181">
        <f ca="1">IF($D188&lt;&gt;"Serviço",0,IF(AND(AUTOEVENTO="Manual",$M188=1),0,IF(OFFSET(CRONOPLE!$F$14,$M188,BT$13)="",10^12,OFFSET(CRONOPLE!$F$14,$M188,BT$13))))</f>
        <v>1000000000000</v>
      </c>
      <c r="BV188" s="182">
        <f ca="1">IF($D188&lt;&gt;"Serviço",0,IF(OR(AND(AUTOEVENTO="Manual",$M188=1),$M188&gt;(ROW(PLE.lastrow)-ROW(PLE.firstrow))),0,IF(OFFSET(PLE!$G$14,$M188,BV$13)="",10^12,OFFSET(PLE!$G$14,$M188,BV$13))))</f>
        <v>1000000000000</v>
      </c>
      <c r="BW188" s="182">
        <f ca="1">IF($D188&lt;&gt;"Serviço",0,IF(OR(AND(AUTOEVENTO="Manual",$M188=1),$M188&gt;(ROW(PLE.lastrow)-ROW(PLE.firstrow))),0,IF(OFFSET(PLE!$G$14,$M188,BW$13)="",10^12,OFFSET(PLE!$G$14,$M188,BW$13))))</f>
        <v>1000000000000</v>
      </c>
      <c r="BX188" s="182">
        <f ca="1">IF($D188&lt;&gt;"Serviço",0,IF(OR(AND(AUTOEVENTO="Manual",$M188=1),$M188&gt;(ROW(PLE.lastrow)-ROW(PLE.firstrow))),0,IF(OFFSET(PLE!$G$14,$M188,BX$13)="",10^12,OFFSET(PLE!$G$14,$M188,BX$13))))</f>
        <v>1000000000000</v>
      </c>
      <c r="BY188" s="182">
        <f ca="1">IF($D188&lt;&gt;"Serviço",0,IF(OR(AND(AUTOEVENTO="Manual",$M188=1),$M188&gt;(ROW(PLE.lastrow)-ROW(PLE.firstrow))),0,IF(OFFSET(PLE!$G$14,$M188,BY$13)="",10^12,OFFSET(PLE!$G$14,$M188,BY$13))))</f>
        <v>1000000000000</v>
      </c>
      <c r="BZ188" s="182">
        <f ca="1">IF($D188&lt;&gt;"Serviço",0,IF(OR(AND(AUTOEVENTO="Manual",$M188=1),$M188&gt;(ROW(PLE.lastrow)-ROW(PLE.firstrow))),0,IF(OFFSET(PLE!$G$14,$M188,BZ$13)="",10^12,OFFSET(PLE!$G$14,$M188,BZ$13))))</f>
        <v>1000000000000</v>
      </c>
      <c r="CA188" s="182">
        <f ca="1">IF($D188&lt;&gt;"Serviço",0,IF(OR(AND(AUTOEVENTO="Manual",$M188=1),$M188&gt;(ROW(PLE.lastrow)-ROW(PLE.firstrow))),0,IF(OFFSET(PLE!$G$14,$M188,CA$13)="",10^12,OFFSET(PLE!$G$14,$M188,CA$13))))</f>
        <v>1000000000000</v>
      </c>
      <c r="CB188" s="182">
        <f ca="1">IF($D188&lt;&gt;"Serviço",0,IF(OR(AND(AUTOEVENTO="Manual",$M188=1),$M188&gt;(ROW(PLE.lastrow)-ROW(PLE.firstrow))),0,IF(OFFSET(PLE!$G$14,$M188,CB$13)="",10^12,OFFSET(PLE!$G$14,$M188,CB$13))))</f>
        <v>1000000000000</v>
      </c>
      <c r="CC188" s="182">
        <f ca="1">IF($D188&lt;&gt;"Serviço",0,IF(OR(AND(AUTOEVENTO="Manual",$M188=1),$M188&gt;(ROW(PLE.lastrow)-ROW(PLE.firstrow))),0,IF(OFFSET(PLE!$G$14,$M188,CC$13)="",10^12,OFFSET(PLE!$G$14,$M188,CC$13))))</f>
        <v>1000000000000</v>
      </c>
      <c r="CD188" s="182">
        <f ca="1">IF($D188&lt;&gt;"Serviço",0,IF(OR(AND(AUTOEVENTO="Manual",$M188=1),$M188&gt;(ROW(PLE.lastrow)-ROW(PLE.firstrow))),0,IF(OFFSET(PLE!$G$14,$M188,CD$13)="",10^12,OFFSET(PLE!$G$14,$M188,CD$13))))</f>
        <v>1000000000000</v>
      </c>
      <c r="CE188" s="182">
        <f ca="1">IF($D188&lt;&gt;"Serviço",0,IF(OR(AND(AUTOEVENTO="Manual",$M188=1),$M188&gt;(ROW(PLE.lastrow)-ROW(PLE.firstrow))),0,IF(OFFSET(PLE!$G$14,$M188,CE$13)="",10^12,OFFSET(PLE!$G$14,$M188,CE$13))))</f>
        <v>1000000000000</v>
      </c>
      <c r="CF188" s="182">
        <f ca="1">IF($D188&lt;&gt;"Serviço",0,IF(OR(AND(AUTOEVENTO="Manual",$M188=1),$M188&gt;(ROW(PLE.lastrow)-ROW(PLE.firstrow))),0,IF(OFFSET(PLE!$G$14,$M188,CF$13)="",10^12,OFFSET(PLE!$G$14,$M188,CF$13))))</f>
        <v>1000000000000</v>
      </c>
      <c r="CG188" s="182">
        <f ca="1">IF($D188&lt;&gt;"Serviço",0,IF(OR(AND(AUTOEVENTO="Manual",$M188=1),$M188&gt;(ROW(PLE.lastrow)-ROW(PLE.firstrow))),0,IF(OFFSET(PLE!$G$14,$M188,CG$13)="",10^12,OFFSET(PLE!$G$14,$M188,CG$13))))</f>
        <v>1000000000000</v>
      </c>
      <c r="CH188" s="182">
        <f ca="1">IF($D188&lt;&gt;"Serviço",0,IF(OR(AND(AUTOEVENTO="Manual",$M188=1),$M188&gt;(ROW(PLE.lastrow)-ROW(PLE.firstrow))),0,IF(OFFSET(PLE!$G$14,$M188,CH$13)="",10^12,OFFSET(PLE!$G$14,$M188,CH$13))))</f>
        <v>1000000000000</v>
      </c>
      <c r="CI188" s="182">
        <f ca="1">IF($D188&lt;&gt;"Serviço",0,IF(OR(AND(AUTOEVENTO="Manual",$M188=1),$M188&gt;(ROW(PLE.lastrow)-ROW(PLE.firstrow))),0,IF(OFFSET(PLE!$G$14,$M188,CI$13)="",10^12,OFFSET(PLE!$G$14,$M188,CI$13))))</f>
        <v>1000000000000</v>
      </c>
      <c r="CJ188" s="182">
        <f ca="1">IF($D188&lt;&gt;"Serviço",0,IF(OR(AND(AUTOEVENTO="Manual",$M188=1),$M188&gt;(ROW(PLE.lastrow)-ROW(PLE.firstrow))),0,IF(OFFSET(PLE!$G$14,$M188,CJ$13)="",10^12,OFFSET(PLE!$G$14,$M188,CJ$13))))</f>
        <v>1000000000000</v>
      </c>
      <c r="CK188" s="182">
        <f ca="1">IF($D188&lt;&gt;"Serviço",0,IF(OR(AND(AUTOEVENTO="Manual",$M188=1),$M188&gt;(ROW(PLE.lastrow)-ROW(PLE.firstrow))),0,IF(OFFSET(PLE!$G$14,$M188,CK$13)="",10^12,OFFSET(PLE!$G$14,$M188,CK$13))))</f>
        <v>1000000000000</v>
      </c>
      <c r="CL188" s="182">
        <f ca="1">IF($D188&lt;&gt;"Serviço",0,IF(OR(AND(AUTOEVENTO="Manual",$M188=1),$M188&gt;(ROW(PLE.lastrow)-ROW(PLE.firstrow))),0,IF(OFFSET(PLE!$G$14,$M188,CL$13)="",10^12,OFFSET(PLE!$G$14,$M188,CL$13))))</f>
        <v>1000000000000</v>
      </c>
      <c r="CM188" s="182">
        <f ca="1">IF($D188&lt;&gt;"Serviço",0,IF(OR(AND(AUTOEVENTO="Manual",$M188=1),$M188&gt;(ROW(PLE.lastrow)-ROW(PLE.firstrow))),0,IF(OFFSET(PLE!$G$14,$M188,CM$13)="",10^12,OFFSET(PLE!$G$14,$M188,CM$13))))</f>
        <v>1000000000000</v>
      </c>
    </row>
    <row r="189" spans="1:91" ht="51" x14ac:dyDescent="0.2">
      <c r="A189" s="7" t="str">
        <f t="shared" ca="1" si="12"/>
        <v>169</v>
      </c>
      <c r="B189" s="7" t="str">
        <f ca="1">OFFSET(ORÇAMENTO!C$15,ROW(B189)-ROW(B$15),0)</f>
        <v>S</v>
      </c>
      <c r="C189" s="7" t="str">
        <f ca="1">OFFSET(ORÇAMENTO!L$15,ROW(C189)-ROW(C$15),0)</f>
        <v/>
      </c>
      <c r="D189" s="118" t="str">
        <f ca="1">OFFSET(ORÇAMENTO!N$15,ROW(D189)-ROW(D$15),0)</f>
        <v>Serviço</v>
      </c>
      <c r="E189" s="119" t="str">
        <f ca="1">OFFSET(ORÇAMENTO!O$15,ROW(E189)-ROW(E$15),0)</f>
        <v>-</v>
      </c>
      <c r="F189" s="172" t="str">
        <f ca="1">OFFSET(ORÇAMENTO!R$15,ROW(F189)-ROW(F$15),0)</f>
        <v>(abra o arquivo 'Referência 06-2024.xlsm)</v>
      </c>
      <c r="G189" s="173" t="str">
        <f ca="1">IF($D189&lt;&gt;"Serviço","",OFFSET(ORÇAMENTO!S$15,ROW(G189)-ROW(G$15),0))</f>
        <v>-</v>
      </c>
      <c r="H189" s="124">
        <f ca="1">IF($D189&lt;&gt;"Serviço",0,IF(ACOMPANHAMENTO="BM",ROUND(OFFSET(ORÇAMENTO!AJ$15,ROW(H189)-ROW(H$15),0),15-13*ORÇAMENTO!$AF$7),SUMPRODUCT(($Q$12:$AI$12&lt;&gt;"")*ROUND($Q189:$AI189,15-13*ORÇAMENTO!$AF$7))))</f>
        <v>1354.58</v>
      </c>
      <c r="I189" s="561" t="s">
        <v>1107</v>
      </c>
      <c r="K189" s="174"/>
      <c r="L189" s="175" t="s">
        <v>255</v>
      </c>
      <c r="M189" s="176">
        <f ca="1">IF($D189&lt;&gt;"Serviço","",IF(AUTOEVENTO="manual",$A189,IF(ISERROR(MATCH($A189,$A$15:OFFSET($A189,-1,0),0)),MAX($M$15:OFFSET(M189,-1,0))+1,INDEX($M$15:OFFSET(M189,-1,0),MATCH($A189,$A$15:OFFSET($A189,-1,0),0)))))</f>
        <v>27</v>
      </c>
      <c r="N189" s="177" t="str">
        <f ca="1">IF($D189&lt;&gt;"Serviço","",IF(AUTOEVENTO="Manual",IF($A189=0,"&lt;-- defina o número do agrupador",OFFSET(EVENTOS!$D$14,$A189,0)),OFFSET($F$15,$A189,0)))</f>
        <v>REVESTIMENTOS INTERNO E EXTERNO - EDIFICAÇÃO</v>
      </c>
      <c r="O189" s="178"/>
      <c r="Q189" s="178">
        <v>1354.58</v>
      </c>
      <c r="R189" s="179"/>
      <c r="S189" s="179"/>
      <c r="T189" s="179"/>
      <c r="U189" s="179"/>
      <c r="V189" s="179"/>
      <c r="W189" s="179"/>
      <c r="X189" s="179"/>
      <c r="Y189" s="179"/>
      <c r="Z189" s="180"/>
      <c r="AA189" s="179"/>
      <c r="AB189" s="179"/>
      <c r="AC189" s="179"/>
      <c r="AD189" s="179"/>
      <c r="AE189" s="179"/>
      <c r="AF189" s="179"/>
      <c r="AG189" s="179"/>
      <c r="AH189" s="180"/>
      <c r="AJ189" s="544">
        <f ca="1">IF(AND($D189="Serviço",AJ$12&lt;&gt;0,$H189&gt;0,OR(AUTOEVENTO&lt;&gt;"manual",$M189&lt;&gt;1)),
IF(Import.TipoArredondamento&lt;&gt;"TransfereGOV",
ROUND(OFFSET($P189,0,AJ$13),15-13*ORÇAMENTO!$AF$7)/$H189*OFFSET(ORÇAMENTO!$X$15,ROW(AJ189)-ROW(AJ$15),0),
ROUND(ROUND(OFFSET($P189,0,AJ$13),15-13*ORÇAMENTO!$AF$7)*OFFSET(ORÇAMENTO!$W$15,ROW(AJ189)-ROW(AJ$15),0),15-13*ORÇAMENTO!$AF$11)),0)</f>
        <v>0</v>
      </c>
      <c r="AK189" s="545">
        <f ca="1">IF(AND($D189="Serviço",AK$12&lt;&gt;0,$H189&gt;0,OR(AUTOEVENTO&lt;&gt;"manual",$M189&lt;&gt;1)),
IF(Import.TipoArredondamento&lt;&gt;"TransfereGOV",
ROUND(OFFSET($P189,0,AK$13),15-13*ORÇAMENTO!$AF$7)/$H189*OFFSET(ORÇAMENTO!$X$15,ROW(AK189)-ROW(AK$15),0),
ROUND(ROUND(OFFSET($P189,0,AK$13),15-13*ORÇAMENTO!$AF$7)*OFFSET(ORÇAMENTO!$W$15,ROW(AK189)-ROW(AK$15),0),15-13*ORÇAMENTO!$AF$11)),0)</f>
        <v>0</v>
      </c>
      <c r="AL189" s="545">
        <f ca="1">IF(AND($D189="Serviço",AL$12&lt;&gt;0,$H189&gt;0,OR(AUTOEVENTO&lt;&gt;"manual",$M189&lt;&gt;1)),
IF(Import.TipoArredondamento&lt;&gt;"TransfereGOV",
ROUND(OFFSET($P189,0,AL$13),15-13*ORÇAMENTO!$AF$7)/$H189*OFFSET(ORÇAMENTO!$X$15,ROW(AL189)-ROW(AL$15),0),
ROUND(ROUND(OFFSET($P189,0,AL$13),15-13*ORÇAMENTO!$AF$7)*OFFSET(ORÇAMENTO!$W$15,ROW(AL189)-ROW(AL$15),0),15-13*ORÇAMENTO!$AF$11)),0)</f>
        <v>0</v>
      </c>
      <c r="AM189" s="545">
        <f ca="1">IF(AND($D189="Serviço",AM$12&lt;&gt;0,$H189&gt;0,OR(AUTOEVENTO&lt;&gt;"manual",$M189&lt;&gt;1)),
IF(Import.TipoArredondamento&lt;&gt;"TransfereGOV",
ROUND(OFFSET($P189,0,AM$13),15-13*ORÇAMENTO!$AF$7)/$H189*OFFSET(ORÇAMENTO!$X$15,ROW(AM189)-ROW(AM$15),0),
ROUND(ROUND(OFFSET($P189,0,AM$13),15-13*ORÇAMENTO!$AF$7)*OFFSET(ORÇAMENTO!$W$15,ROW(AM189)-ROW(AM$15),0),15-13*ORÇAMENTO!$AF$11)),0)</f>
        <v>0</v>
      </c>
      <c r="AN189" s="545">
        <f ca="1">IF(AND($D189="Serviço",AN$12&lt;&gt;0,$H189&gt;0,OR(AUTOEVENTO&lt;&gt;"manual",$M189&lt;&gt;1)),
IF(Import.TipoArredondamento&lt;&gt;"TransfereGOV",
ROUND(OFFSET($P189,0,AN$13),15-13*ORÇAMENTO!$AF$7)/$H189*OFFSET(ORÇAMENTO!$X$15,ROW(AN189)-ROW(AN$15),0),
ROUND(ROUND(OFFSET($P189,0,AN$13),15-13*ORÇAMENTO!$AF$7)*OFFSET(ORÇAMENTO!$W$15,ROW(AN189)-ROW(AN$15),0),15-13*ORÇAMENTO!$AF$11)),0)</f>
        <v>0</v>
      </c>
      <c r="AO189" s="545">
        <f ca="1">IF(AND($D189="Serviço",AO$12&lt;&gt;0,$H189&gt;0,OR(AUTOEVENTO&lt;&gt;"manual",$M189&lt;&gt;1)),
IF(Import.TipoArredondamento&lt;&gt;"TransfereGOV",
ROUND(OFFSET($P189,0,AO$13),15-13*ORÇAMENTO!$AF$7)/$H189*OFFSET(ORÇAMENTO!$X$15,ROW(AO189)-ROW(AO$15),0),
ROUND(ROUND(OFFSET($P189,0,AO$13),15-13*ORÇAMENTO!$AF$7)*OFFSET(ORÇAMENTO!$W$15,ROW(AO189)-ROW(AO$15),0),15-13*ORÇAMENTO!$AF$11)),0)</f>
        <v>0</v>
      </c>
      <c r="AP189" s="545">
        <f ca="1">IF(AND($D189="Serviço",AP$12&lt;&gt;0,$H189&gt;0,OR(AUTOEVENTO&lt;&gt;"manual",$M189&lt;&gt;1)),
IF(Import.TipoArredondamento&lt;&gt;"TransfereGOV",
ROUND(OFFSET($P189,0,AP$13),15-13*ORÇAMENTO!$AF$7)/$H189*OFFSET(ORÇAMENTO!$X$15,ROW(AP189)-ROW(AP$15),0),
ROUND(ROUND(OFFSET($P189,0,AP$13),15-13*ORÇAMENTO!$AF$7)*OFFSET(ORÇAMENTO!$W$15,ROW(AP189)-ROW(AP$15),0),15-13*ORÇAMENTO!$AF$11)),0)</f>
        <v>0</v>
      </c>
      <c r="AQ189" s="545">
        <f ca="1">IF(AND($D189="Serviço",AQ$12&lt;&gt;0,$H189&gt;0,OR(AUTOEVENTO&lt;&gt;"manual",$M189&lt;&gt;1)),
IF(Import.TipoArredondamento&lt;&gt;"TransfereGOV",
ROUND(OFFSET($P189,0,AQ$13),15-13*ORÇAMENTO!$AF$7)/$H189*OFFSET(ORÇAMENTO!$X$15,ROW(AQ189)-ROW(AQ$15),0),
ROUND(ROUND(OFFSET($P189,0,AQ$13),15-13*ORÇAMENTO!$AF$7)*OFFSET(ORÇAMENTO!$W$15,ROW(AQ189)-ROW(AQ$15),0),15-13*ORÇAMENTO!$AF$11)),0)</f>
        <v>0</v>
      </c>
      <c r="AR189" s="545">
        <f ca="1">IF(AND($D189="Serviço",AR$12&lt;&gt;0,$H189&gt;0,OR(AUTOEVENTO&lt;&gt;"manual",$M189&lt;&gt;1)),
IF(Import.TipoArredondamento&lt;&gt;"TransfereGOV",
ROUND(OFFSET($P189,0,AR$13),15-13*ORÇAMENTO!$AF$7)/$H189*OFFSET(ORÇAMENTO!$X$15,ROW(AR189)-ROW(AR$15),0),
ROUND(ROUND(OFFSET($P189,0,AR$13),15-13*ORÇAMENTO!$AF$7)*OFFSET(ORÇAMENTO!$W$15,ROW(AR189)-ROW(AR$15),0),15-13*ORÇAMENTO!$AF$11)),0)</f>
        <v>0</v>
      </c>
      <c r="AS189" s="546">
        <f ca="1">IF(AND($D189="Serviço",AS$12&lt;&gt;0,$H189&gt;0,OR(AUTOEVENTO&lt;&gt;"manual",$M189&lt;&gt;1)),
IF(Import.TipoArredondamento&lt;&gt;"TransfereGOV",
ROUND(OFFSET($P189,0,AS$13),15-13*ORÇAMENTO!$AF$7)/$H189*OFFSET(ORÇAMENTO!$X$15,ROW(AS189)-ROW(AS$15),0),
ROUND(ROUND(OFFSET($P189,0,AS$13),15-13*ORÇAMENTO!$AF$7)*OFFSET(ORÇAMENTO!$W$15,ROW(AS189)-ROW(AS$15),0),15-13*ORÇAMENTO!$AF$11)),0)</f>
        <v>0</v>
      </c>
      <c r="AT189" s="545">
        <f ca="1">IF(AND($D189="Serviço",AT$12&lt;&gt;0,$H189&gt;0,OR(AUTOEVENTO&lt;&gt;"manual",$M189&lt;&gt;1)),
IF(Import.TipoArredondamento&lt;&gt;"TransfereGOV",
ROUND(OFFSET($P189,0,AT$13),15-13*ORÇAMENTO!$AF$7)/$H189*OFFSET(ORÇAMENTO!$X$15,ROW(AT189)-ROW(AT$15),0),
ROUND(ROUND(OFFSET($P189,0,AT$13),15-13*ORÇAMENTO!$AF$7)*OFFSET(ORÇAMENTO!$W$15,ROW(AT189)-ROW(AT$15),0),15-13*ORÇAMENTO!$AF$11)),0)</f>
        <v>0</v>
      </c>
      <c r="AU189" s="545">
        <f ca="1">IF(AND($D189="Serviço",AU$12&lt;&gt;0,$H189&gt;0,OR(AUTOEVENTO&lt;&gt;"manual",$M189&lt;&gt;1)),
IF(Import.TipoArredondamento&lt;&gt;"TransfereGOV",
ROUND(OFFSET($P189,0,AU$13),15-13*ORÇAMENTO!$AF$7)/$H189*OFFSET(ORÇAMENTO!$X$15,ROW(AU189)-ROW(AU$15),0),
ROUND(ROUND(OFFSET($P189,0,AU$13),15-13*ORÇAMENTO!$AF$7)*OFFSET(ORÇAMENTO!$W$15,ROW(AU189)-ROW(AU$15),0),15-13*ORÇAMENTO!$AF$11)),0)</f>
        <v>0</v>
      </c>
      <c r="AV189" s="545">
        <f ca="1">IF(AND($D189="Serviço",AV$12&lt;&gt;0,$H189&gt;0,OR(AUTOEVENTO&lt;&gt;"manual",$M189&lt;&gt;1)),
IF(Import.TipoArredondamento&lt;&gt;"TransfereGOV",
ROUND(OFFSET($P189,0,AV$13),15-13*ORÇAMENTO!$AF$7)/$H189*OFFSET(ORÇAMENTO!$X$15,ROW(AV189)-ROW(AV$15),0),
ROUND(ROUND(OFFSET($P189,0,AV$13),15-13*ORÇAMENTO!$AF$7)*OFFSET(ORÇAMENTO!$W$15,ROW(AV189)-ROW(AV$15),0),15-13*ORÇAMENTO!$AF$11)),0)</f>
        <v>0</v>
      </c>
      <c r="AW189" s="545">
        <f ca="1">IF(AND($D189="Serviço",AW$12&lt;&gt;0,$H189&gt;0,OR(AUTOEVENTO&lt;&gt;"manual",$M189&lt;&gt;1)),
IF(Import.TipoArredondamento&lt;&gt;"TransfereGOV",
ROUND(OFFSET($P189,0,AW$13),15-13*ORÇAMENTO!$AF$7)/$H189*OFFSET(ORÇAMENTO!$X$15,ROW(AW189)-ROW(AW$15),0),
ROUND(ROUND(OFFSET($P189,0,AW$13),15-13*ORÇAMENTO!$AF$7)*OFFSET(ORÇAMENTO!$W$15,ROW(AW189)-ROW(AW$15),0),15-13*ORÇAMENTO!$AF$11)),0)</f>
        <v>0</v>
      </c>
      <c r="AX189" s="545">
        <f ca="1">IF(AND($D189="Serviço",AX$12&lt;&gt;0,$H189&gt;0,OR(AUTOEVENTO&lt;&gt;"manual",$M189&lt;&gt;1)),
IF(Import.TipoArredondamento&lt;&gt;"TransfereGOV",
ROUND(OFFSET($P189,0,AX$13),15-13*ORÇAMENTO!$AF$7)/$H189*OFFSET(ORÇAMENTO!$X$15,ROW(AX189)-ROW(AX$15),0),
ROUND(ROUND(OFFSET($P189,0,AX$13),15-13*ORÇAMENTO!$AF$7)*OFFSET(ORÇAMENTO!$W$15,ROW(AX189)-ROW(AX$15),0),15-13*ORÇAMENTO!$AF$11)),0)</f>
        <v>0</v>
      </c>
      <c r="AY189" s="545">
        <f ca="1">IF(AND($D189="Serviço",AY$12&lt;&gt;0,$H189&gt;0,OR(AUTOEVENTO&lt;&gt;"manual",$M189&lt;&gt;1)),
IF(Import.TipoArredondamento&lt;&gt;"TransfereGOV",
ROUND(OFFSET($P189,0,AY$13),15-13*ORÇAMENTO!$AF$7)/$H189*OFFSET(ORÇAMENTO!$X$15,ROW(AY189)-ROW(AY$15),0),
ROUND(ROUND(OFFSET($P189,0,AY$13),15-13*ORÇAMENTO!$AF$7)*OFFSET(ORÇAMENTO!$W$15,ROW(AY189)-ROW(AY$15),0),15-13*ORÇAMENTO!$AF$11)),0)</f>
        <v>0</v>
      </c>
      <c r="AZ189" s="545">
        <f ca="1">IF(AND($D189="Serviço",AZ$12&lt;&gt;0,$H189&gt;0,OR(AUTOEVENTO&lt;&gt;"manual",$M189&lt;&gt;1)),
IF(Import.TipoArredondamento&lt;&gt;"TransfereGOV",
ROUND(OFFSET($P189,0,AZ$13),15-13*ORÇAMENTO!$AF$7)/$H189*OFFSET(ORÇAMENTO!$X$15,ROW(AZ189)-ROW(AZ$15),0),
ROUND(ROUND(OFFSET($P189,0,AZ$13),15-13*ORÇAMENTO!$AF$7)*OFFSET(ORÇAMENTO!$W$15,ROW(AZ189)-ROW(AZ$15),0),15-13*ORÇAMENTO!$AF$11)),0)</f>
        <v>0</v>
      </c>
      <c r="BA189" s="546">
        <f ca="1">IF(AND($D189="Serviço",BA$12&lt;&gt;0,$H189&gt;0,OR(AUTOEVENTO&lt;&gt;"manual",$M189&lt;&gt;1)),
IF(Import.TipoArredondamento&lt;&gt;"TransfereGOV",
ROUND(OFFSET($P189,0,BA$13),15-13*ORÇAMENTO!$AF$7)/$H189*OFFSET(ORÇAMENTO!$X$15,ROW(BA189)-ROW(BA$15),0),
ROUND(ROUND(OFFSET($P189,0,BA$13),15-13*ORÇAMENTO!$AF$7)*OFFSET(ORÇAMENTO!$W$15,ROW(BA189)-ROW(BA$15),0),15-13*ORÇAMENTO!$AF$11)),0)</f>
        <v>0</v>
      </c>
      <c r="BC189" s="181">
        <f ca="1">IF($D189&lt;&gt;"Serviço",0,IF(AND(AUTOEVENTO="Manual",$M189=1),0,IF(OFFSET(CRONOPLE!$F$14,$M189,BC$13)="",10^12,OFFSET(CRONOPLE!$F$14,$M189,BC$13))))</f>
        <v>7</v>
      </c>
      <c r="BD189" s="181">
        <f ca="1">IF($D189&lt;&gt;"Serviço",0,IF(AND(AUTOEVENTO="Manual",$M189=1),0,IF(OFFSET(CRONOPLE!$F$14,$M189,BD$13)="",10^12,OFFSET(CRONOPLE!$F$14,$M189,BD$13))))</f>
        <v>1000000000000</v>
      </c>
      <c r="BE189" s="181">
        <f ca="1">IF($D189&lt;&gt;"Serviço",0,IF(AND(AUTOEVENTO="Manual",$M189=1),0,IF(OFFSET(CRONOPLE!$F$14,$M189,BE$13)="",10^12,OFFSET(CRONOPLE!$F$14,$M189,BE$13))))</f>
        <v>1000000000000</v>
      </c>
      <c r="BF189" s="181">
        <f ca="1">IF($D189&lt;&gt;"Serviço",0,IF(AND(AUTOEVENTO="Manual",$M189=1),0,IF(OFFSET(CRONOPLE!$F$14,$M189,BF$13)="",10^12,OFFSET(CRONOPLE!$F$14,$M189,BF$13))))</f>
        <v>1000000000000</v>
      </c>
      <c r="BG189" s="181">
        <f ca="1">IF($D189&lt;&gt;"Serviço",0,IF(AND(AUTOEVENTO="Manual",$M189=1),0,IF(OFFSET(CRONOPLE!$F$14,$M189,BG$13)="",10^12,OFFSET(CRONOPLE!$F$14,$M189,BG$13))))</f>
        <v>1000000000000</v>
      </c>
      <c r="BH189" s="181">
        <f ca="1">IF($D189&lt;&gt;"Serviço",0,IF(AND(AUTOEVENTO="Manual",$M189=1),0,IF(OFFSET(CRONOPLE!$F$14,$M189,BH$13)="",10^12,OFFSET(CRONOPLE!$F$14,$M189,BH$13))))</f>
        <v>1000000000000</v>
      </c>
      <c r="BI189" s="181">
        <f ca="1">IF($D189&lt;&gt;"Serviço",0,IF(AND(AUTOEVENTO="Manual",$M189=1),0,IF(OFFSET(CRONOPLE!$F$14,$M189,BI$13)="",10^12,OFFSET(CRONOPLE!$F$14,$M189,BI$13))))</f>
        <v>1000000000000</v>
      </c>
      <c r="BJ189" s="181">
        <f ca="1">IF($D189&lt;&gt;"Serviço",0,IF(AND(AUTOEVENTO="Manual",$M189=1),0,IF(OFFSET(CRONOPLE!$F$14,$M189,BJ$13)="",10^12,OFFSET(CRONOPLE!$F$14,$M189,BJ$13))))</f>
        <v>1000000000000</v>
      </c>
      <c r="BK189" s="181">
        <f ca="1">IF($D189&lt;&gt;"Serviço",0,IF(AND(AUTOEVENTO="Manual",$M189=1),0,IF(OFFSET(CRONOPLE!$F$14,$M189,BK$13)="",10^12,OFFSET(CRONOPLE!$F$14,$M189,BK$13))))</f>
        <v>1000000000000</v>
      </c>
      <c r="BL189" s="181">
        <f ca="1">IF($D189&lt;&gt;"Serviço",0,IF(AND(AUTOEVENTO="Manual",$M189=1),0,IF(OFFSET(CRONOPLE!$F$14,$M189,BL$13)="",10^12,OFFSET(CRONOPLE!$F$14,$M189,BL$13))))</f>
        <v>1000000000000</v>
      </c>
      <c r="BM189" s="181">
        <f ca="1">IF($D189&lt;&gt;"Serviço",0,IF(AND(AUTOEVENTO="Manual",$M189=1),0,IF(OFFSET(CRONOPLE!$F$14,$M189,BM$13)="",10^12,OFFSET(CRONOPLE!$F$14,$M189,BM$13))))</f>
        <v>1000000000000</v>
      </c>
      <c r="BN189" s="181">
        <f ca="1">IF($D189&lt;&gt;"Serviço",0,IF(AND(AUTOEVENTO="Manual",$M189=1),0,IF(OFFSET(CRONOPLE!$F$14,$M189,BN$13)="",10^12,OFFSET(CRONOPLE!$F$14,$M189,BN$13))))</f>
        <v>1000000000000</v>
      </c>
      <c r="BO189" s="181">
        <f ca="1">IF($D189&lt;&gt;"Serviço",0,IF(AND(AUTOEVENTO="Manual",$M189=1),0,IF(OFFSET(CRONOPLE!$F$14,$M189,BO$13)="",10^12,OFFSET(CRONOPLE!$F$14,$M189,BO$13))))</f>
        <v>1000000000000</v>
      </c>
      <c r="BP189" s="181">
        <f ca="1">IF($D189&lt;&gt;"Serviço",0,IF(AND(AUTOEVENTO="Manual",$M189=1),0,IF(OFFSET(CRONOPLE!$F$14,$M189,BP$13)="",10^12,OFFSET(CRONOPLE!$F$14,$M189,BP$13))))</f>
        <v>1000000000000</v>
      </c>
      <c r="BQ189" s="181">
        <f ca="1">IF($D189&lt;&gt;"Serviço",0,IF(AND(AUTOEVENTO="Manual",$M189=1),0,IF(OFFSET(CRONOPLE!$F$14,$M189,BQ$13)="",10^12,OFFSET(CRONOPLE!$F$14,$M189,BQ$13))))</f>
        <v>1000000000000</v>
      </c>
      <c r="BR189" s="181">
        <f ca="1">IF($D189&lt;&gt;"Serviço",0,IF(AND(AUTOEVENTO="Manual",$M189=1),0,IF(OFFSET(CRONOPLE!$F$14,$M189,BR$13)="",10^12,OFFSET(CRONOPLE!$F$14,$M189,BR$13))))</f>
        <v>1000000000000</v>
      </c>
      <c r="BS189" s="181">
        <f ca="1">IF($D189&lt;&gt;"Serviço",0,IF(AND(AUTOEVENTO="Manual",$M189=1),0,IF(OFFSET(CRONOPLE!$F$14,$M189,BS$13)="",10^12,OFFSET(CRONOPLE!$F$14,$M189,BS$13))))</f>
        <v>1000000000000</v>
      </c>
      <c r="BT189" s="181">
        <f ca="1">IF($D189&lt;&gt;"Serviço",0,IF(AND(AUTOEVENTO="Manual",$M189=1),0,IF(OFFSET(CRONOPLE!$F$14,$M189,BT$13)="",10^12,OFFSET(CRONOPLE!$F$14,$M189,BT$13))))</f>
        <v>1000000000000</v>
      </c>
      <c r="BV189" s="182">
        <f ca="1">IF($D189&lt;&gt;"Serviço",0,IF(OR(AND(AUTOEVENTO="Manual",$M189=1),$M189&gt;(ROW(PLE.lastrow)-ROW(PLE.firstrow))),0,IF(OFFSET(PLE!$G$14,$M189,BV$13)="",10^12,OFFSET(PLE!$G$14,$M189,BV$13))))</f>
        <v>1000000000000</v>
      </c>
      <c r="BW189" s="182">
        <f ca="1">IF($D189&lt;&gt;"Serviço",0,IF(OR(AND(AUTOEVENTO="Manual",$M189=1),$M189&gt;(ROW(PLE.lastrow)-ROW(PLE.firstrow))),0,IF(OFFSET(PLE!$G$14,$M189,BW$13)="",10^12,OFFSET(PLE!$G$14,$M189,BW$13))))</f>
        <v>1000000000000</v>
      </c>
      <c r="BX189" s="182">
        <f ca="1">IF($D189&lt;&gt;"Serviço",0,IF(OR(AND(AUTOEVENTO="Manual",$M189=1),$M189&gt;(ROW(PLE.lastrow)-ROW(PLE.firstrow))),0,IF(OFFSET(PLE!$G$14,$M189,BX$13)="",10^12,OFFSET(PLE!$G$14,$M189,BX$13))))</f>
        <v>1000000000000</v>
      </c>
      <c r="BY189" s="182">
        <f ca="1">IF($D189&lt;&gt;"Serviço",0,IF(OR(AND(AUTOEVENTO="Manual",$M189=1),$M189&gt;(ROW(PLE.lastrow)-ROW(PLE.firstrow))),0,IF(OFFSET(PLE!$G$14,$M189,BY$13)="",10^12,OFFSET(PLE!$G$14,$M189,BY$13))))</f>
        <v>1000000000000</v>
      </c>
      <c r="BZ189" s="182">
        <f ca="1">IF($D189&lt;&gt;"Serviço",0,IF(OR(AND(AUTOEVENTO="Manual",$M189=1),$M189&gt;(ROW(PLE.lastrow)-ROW(PLE.firstrow))),0,IF(OFFSET(PLE!$G$14,$M189,BZ$13)="",10^12,OFFSET(PLE!$G$14,$M189,BZ$13))))</f>
        <v>1000000000000</v>
      </c>
      <c r="CA189" s="182">
        <f ca="1">IF($D189&lt;&gt;"Serviço",0,IF(OR(AND(AUTOEVENTO="Manual",$M189=1),$M189&gt;(ROW(PLE.lastrow)-ROW(PLE.firstrow))),0,IF(OFFSET(PLE!$G$14,$M189,CA$13)="",10^12,OFFSET(PLE!$G$14,$M189,CA$13))))</f>
        <v>1000000000000</v>
      </c>
      <c r="CB189" s="182">
        <f ca="1">IF($D189&lt;&gt;"Serviço",0,IF(OR(AND(AUTOEVENTO="Manual",$M189=1),$M189&gt;(ROW(PLE.lastrow)-ROW(PLE.firstrow))),0,IF(OFFSET(PLE!$G$14,$M189,CB$13)="",10^12,OFFSET(PLE!$G$14,$M189,CB$13))))</f>
        <v>1000000000000</v>
      </c>
      <c r="CC189" s="182">
        <f ca="1">IF($D189&lt;&gt;"Serviço",0,IF(OR(AND(AUTOEVENTO="Manual",$M189=1),$M189&gt;(ROW(PLE.lastrow)-ROW(PLE.firstrow))),0,IF(OFFSET(PLE!$G$14,$M189,CC$13)="",10^12,OFFSET(PLE!$G$14,$M189,CC$13))))</f>
        <v>1000000000000</v>
      </c>
      <c r="CD189" s="182">
        <f ca="1">IF($D189&lt;&gt;"Serviço",0,IF(OR(AND(AUTOEVENTO="Manual",$M189=1),$M189&gt;(ROW(PLE.lastrow)-ROW(PLE.firstrow))),0,IF(OFFSET(PLE!$G$14,$M189,CD$13)="",10^12,OFFSET(PLE!$G$14,$M189,CD$13))))</f>
        <v>1000000000000</v>
      </c>
      <c r="CE189" s="182">
        <f ca="1">IF($D189&lt;&gt;"Serviço",0,IF(OR(AND(AUTOEVENTO="Manual",$M189=1),$M189&gt;(ROW(PLE.lastrow)-ROW(PLE.firstrow))),0,IF(OFFSET(PLE!$G$14,$M189,CE$13)="",10^12,OFFSET(PLE!$G$14,$M189,CE$13))))</f>
        <v>1000000000000</v>
      </c>
      <c r="CF189" s="182">
        <f ca="1">IF($D189&lt;&gt;"Serviço",0,IF(OR(AND(AUTOEVENTO="Manual",$M189=1),$M189&gt;(ROW(PLE.lastrow)-ROW(PLE.firstrow))),0,IF(OFFSET(PLE!$G$14,$M189,CF$13)="",10^12,OFFSET(PLE!$G$14,$M189,CF$13))))</f>
        <v>1000000000000</v>
      </c>
      <c r="CG189" s="182">
        <f ca="1">IF($D189&lt;&gt;"Serviço",0,IF(OR(AND(AUTOEVENTO="Manual",$M189=1),$M189&gt;(ROW(PLE.lastrow)-ROW(PLE.firstrow))),0,IF(OFFSET(PLE!$G$14,$M189,CG$13)="",10^12,OFFSET(PLE!$G$14,$M189,CG$13))))</f>
        <v>1000000000000</v>
      </c>
      <c r="CH189" s="182">
        <f ca="1">IF($D189&lt;&gt;"Serviço",0,IF(OR(AND(AUTOEVENTO="Manual",$M189=1),$M189&gt;(ROW(PLE.lastrow)-ROW(PLE.firstrow))),0,IF(OFFSET(PLE!$G$14,$M189,CH$13)="",10^12,OFFSET(PLE!$G$14,$M189,CH$13))))</f>
        <v>1000000000000</v>
      </c>
      <c r="CI189" s="182">
        <f ca="1">IF($D189&lt;&gt;"Serviço",0,IF(OR(AND(AUTOEVENTO="Manual",$M189=1),$M189&gt;(ROW(PLE.lastrow)-ROW(PLE.firstrow))),0,IF(OFFSET(PLE!$G$14,$M189,CI$13)="",10^12,OFFSET(PLE!$G$14,$M189,CI$13))))</f>
        <v>1000000000000</v>
      </c>
      <c r="CJ189" s="182">
        <f ca="1">IF($D189&lt;&gt;"Serviço",0,IF(OR(AND(AUTOEVENTO="Manual",$M189=1),$M189&gt;(ROW(PLE.lastrow)-ROW(PLE.firstrow))),0,IF(OFFSET(PLE!$G$14,$M189,CJ$13)="",10^12,OFFSET(PLE!$G$14,$M189,CJ$13))))</f>
        <v>1000000000000</v>
      </c>
      <c r="CK189" s="182">
        <f ca="1">IF($D189&lt;&gt;"Serviço",0,IF(OR(AND(AUTOEVENTO="Manual",$M189=1),$M189&gt;(ROW(PLE.lastrow)-ROW(PLE.firstrow))),0,IF(OFFSET(PLE!$G$14,$M189,CK$13)="",10^12,OFFSET(PLE!$G$14,$M189,CK$13))))</f>
        <v>1000000000000</v>
      </c>
      <c r="CL189" s="182">
        <f ca="1">IF($D189&lt;&gt;"Serviço",0,IF(OR(AND(AUTOEVENTO="Manual",$M189=1),$M189&gt;(ROW(PLE.lastrow)-ROW(PLE.firstrow))),0,IF(OFFSET(PLE!$G$14,$M189,CL$13)="",10^12,OFFSET(PLE!$G$14,$M189,CL$13))))</f>
        <v>1000000000000</v>
      </c>
      <c r="CM189" s="182">
        <f ca="1">IF($D189&lt;&gt;"Serviço",0,IF(OR(AND(AUTOEVENTO="Manual",$M189=1),$M189&gt;(ROW(PLE.lastrow)-ROW(PLE.firstrow))),0,IF(OFFSET(PLE!$G$14,$M189,CM$13)="",10^12,OFFSET(PLE!$G$14,$M189,CM$13))))</f>
        <v>1000000000000</v>
      </c>
    </row>
    <row r="190" spans="1:91" ht="38.25" x14ac:dyDescent="0.2">
      <c r="A190" s="7" t="str">
        <f t="shared" ca="1" si="12"/>
        <v>169</v>
      </c>
      <c r="B190" s="7" t="str">
        <f ca="1">OFFSET(ORÇAMENTO!C$15,ROW(B190)-ROW(B$15),0)</f>
        <v>S</v>
      </c>
      <c r="C190" s="7" t="str">
        <f ca="1">OFFSET(ORÇAMENTO!L$15,ROW(C190)-ROW(C$15),0)</f>
        <v/>
      </c>
      <c r="D190" s="118" t="str">
        <f ca="1">OFFSET(ORÇAMENTO!N$15,ROW(D190)-ROW(D$15),0)</f>
        <v>Serviço</v>
      </c>
      <c r="E190" s="119" t="str">
        <f ca="1">OFFSET(ORÇAMENTO!O$15,ROW(E190)-ROW(E$15),0)</f>
        <v>-</v>
      </c>
      <c r="F190" s="172" t="str">
        <f ca="1">OFFSET(ORÇAMENTO!R$15,ROW(F190)-ROW(F$15),0)</f>
        <v>(abra o arquivo 'Referência 06-2024.xlsm)</v>
      </c>
      <c r="G190" s="173" t="str">
        <f ca="1">IF($D190&lt;&gt;"Serviço","",OFFSET(ORÇAMENTO!S$15,ROW(G190)-ROW(G$15),0))</f>
        <v>-</v>
      </c>
      <c r="H190" s="124">
        <f ca="1">IF($D190&lt;&gt;"Serviço",0,IF(ACOMPANHAMENTO="BM",ROUND(OFFSET(ORÇAMENTO!AJ$15,ROW(H190)-ROW(H$15),0),15-13*ORÇAMENTO!$AF$7),SUMPRODUCT(($Q$12:$AI$12&lt;&gt;"")*ROUND($Q190:$AI190,15-13*ORÇAMENTO!$AF$7))))</f>
        <v>660.81</v>
      </c>
      <c r="I190" s="561" t="s">
        <v>1107</v>
      </c>
      <c r="K190" s="174"/>
      <c r="L190" s="175" t="s">
        <v>255</v>
      </c>
      <c r="M190" s="176">
        <f ca="1">IF($D190&lt;&gt;"Serviço","",IF(AUTOEVENTO="manual",$A190,IF(ISERROR(MATCH($A190,$A$15:OFFSET($A190,-1,0),0)),MAX($M$15:OFFSET(M190,-1,0))+1,INDEX($M$15:OFFSET(M190,-1,0),MATCH($A190,$A$15:OFFSET($A190,-1,0),0)))))</f>
        <v>27</v>
      </c>
      <c r="N190" s="177" t="str">
        <f ca="1">IF($D190&lt;&gt;"Serviço","",IF(AUTOEVENTO="Manual",IF($A190=0,"&lt;-- defina o número do agrupador",OFFSET(EVENTOS!$D$14,$A190,0)),OFFSET($F$15,$A190,0)))</f>
        <v>REVESTIMENTOS INTERNO E EXTERNO - EDIFICAÇÃO</v>
      </c>
      <c r="O190" s="178"/>
      <c r="Q190" s="178">
        <v>660.81</v>
      </c>
      <c r="R190" s="179"/>
      <c r="S190" s="179"/>
      <c r="T190" s="179"/>
      <c r="U190" s="179"/>
      <c r="V190" s="179"/>
      <c r="W190" s="179"/>
      <c r="X190" s="179"/>
      <c r="Y190" s="179"/>
      <c r="Z190" s="180"/>
      <c r="AA190" s="179"/>
      <c r="AB190" s="179"/>
      <c r="AC190" s="179"/>
      <c r="AD190" s="179"/>
      <c r="AE190" s="179"/>
      <c r="AF190" s="179"/>
      <c r="AG190" s="179"/>
      <c r="AH190" s="180"/>
      <c r="AJ190" s="544">
        <f ca="1">IF(AND($D190="Serviço",AJ$12&lt;&gt;0,$H190&gt;0,OR(AUTOEVENTO&lt;&gt;"manual",$M190&lt;&gt;1)),
IF(Import.TipoArredondamento&lt;&gt;"TransfereGOV",
ROUND(OFFSET($P190,0,AJ$13),15-13*ORÇAMENTO!$AF$7)/$H190*OFFSET(ORÇAMENTO!$X$15,ROW(AJ190)-ROW(AJ$15),0),
ROUND(ROUND(OFFSET($P190,0,AJ$13),15-13*ORÇAMENTO!$AF$7)*OFFSET(ORÇAMENTO!$W$15,ROW(AJ190)-ROW(AJ$15),0),15-13*ORÇAMENTO!$AF$11)),0)</f>
        <v>0</v>
      </c>
      <c r="AK190" s="545">
        <f ca="1">IF(AND($D190="Serviço",AK$12&lt;&gt;0,$H190&gt;0,OR(AUTOEVENTO&lt;&gt;"manual",$M190&lt;&gt;1)),
IF(Import.TipoArredondamento&lt;&gt;"TransfereGOV",
ROUND(OFFSET($P190,0,AK$13),15-13*ORÇAMENTO!$AF$7)/$H190*OFFSET(ORÇAMENTO!$X$15,ROW(AK190)-ROW(AK$15),0),
ROUND(ROUND(OFFSET($P190,0,AK$13),15-13*ORÇAMENTO!$AF$7)*OFFSET(ORÇAMENTO!$W$15,ROW(AK190)-ROW(AK$15),0),15-13*ORÇAMENTO!$AF$11)),0)</f>
        <v>0</v>
      </c>
      <c r="AL190" s="545">
        <f ca="1">IF(AND($D190="Serviço",AL$12&lt;&gt;0,$H190&gt;0,OR(AUTOEVENTO&lt;&gt;"manual",$M190&lt;&gt;1)),
IF(Import.TipoArredondamento&lt;&gt;"TransfereGOV",
ROUND(OFFSET($P190,0,AL$13),15-13*ORÇAMENTO!$AF$7)/$H190*OFFSET(ORÇAMENTO!$X$15,ROW(AL190)-ROW(AL$15),0),
ROUND(ROUND(OFFSET($P190,0,AL$13),15-13*ORÇAMENTO!$AF$7)*OFFSET(ORÇAMENTO!$W$15,ROW(AL190)-ROW(AL$15),0),15-13*ORÇAMENTO!$AF$11)),0)</f>
        <v>0</v>
      </c>
      <c r="AM190" s="545">
        <f ca="1">IF(AND($D190="Serviço",AM$12&lt;&gt;0,$H190&gt;0,OR(AUTOEVENTO&lt;&gt;"manual",$M190&lt;&gt;1)),
IF(Import.TipoArredondamento&lt;&gt;"TransfereGOV",
ROUND(OFFSET($P190,0,AM$13),15-13*ORÇAMENTO!$AF$7)/$H190*OFFSET(ORÇAMENTO!$X$15,ROW(AM190)-ROW(AM$15),0),
ROUND(ROUND(OFFSET($P190,0,AM$13),15-13*ORÇAMENTO!$AF$7)*OFFSET(ORÇAMENTO!$W$15,ROW(AM190)-ROW(AM$15),0),15-13*ORÇAMENTO!$AF$11)),0)</f>
        <v>0</v>
      </c>
      <c r="AN190" s="545">
        <f ca="1">IF(AND($D190="Serviço",AN$12&lt;&gt;0,$H190&gt;0,OR(AUTOEVENTO&lt;&gt;"manual",$M190&lt;&gt;1)),
IF(Import.TipoArredondamento&lt;&gt;"TransfereGOV",
ROUND(OFFSET($P190,0,AN$13),15-13*ORÇAMENTO!$AF$7)/$H190*OFFSET(ORÇAMENTO!$X$15,ROW(AN190)-ROW(AN$15),0),
ROUND(ROUND(OFFSET($P190,0,AN$13),15-13*ORÇAMENTO!$AF$7)*OFFSET(ORÇAMENTO!$W$15,ROW(AN190)-ROW(AN$15),0),15-13*ORÇAMENTO!$AF$11)),0)</f>
        <v>0</v>
      </c>
      <c r="AO190" s="545">
        <f ca="1">IF(AND($D190="Serviço",AO$12&lt;&gt;0,$H190&gt;0,OR(AUTOEVENTO&lt;&gt;"manual",$M190&lt;&gt;1)),
IF(Import.TipoArredondamento&lt;&gt;"TransfereGOV",
ROUND(OFFSET($P190,0,AO$13),15-13*ORÇAMENTO!$AF$7)/$H190*OFFSET(ORÇAMENTO!$X$15,ROW(AO190)-ROW(AO$15),0),
ROUND(ROUND(OFFSET($P190,0,AO$13),15-13*ORÇAMENTO!$AF$7)*OFFSET(ORÇAMENTO!$W$15,ROW(AO190)-ROW(AO$15),0),15-13*ORÇAMENTO!$AF$11)),0)</f>
        <v>0</v>
      </c>
      <c r="AP190" s="545">
        <f ca="1">IF(AND($D190="Serviço",AP$12&lt;&gt;0,$H190&gt;0,OR(AUTOEVENTO&lt;&gt;"manual",$M190&lt;&gt;1)),
IF(Import.TipoArredondamento&lt;&gt;"TransfereGOV",
ROUND(OFFSET($P190,0,AP$13),15-13*ORÇAMENTO!$AF$7)/$H190*OFFSET(ORÇAMENTO!$X$15,ROW(AP190)-ROW(AP$15),0),
ROUND(ROUND(OFFSET($P190,0,AP$13),15-13*ORÇAMENTO!$AF$7)*OFFSET(ORÇAMENTO!$W$15,ROW(AP190)-ROW(AP$15),0),15-13*ORÇAMENTO!$AF$11)),0)</f>
        <v>0</v>
      </c>
      <c r="AQ190" s="545">
        <f ca="1">IF(AND($D190="Serviço",AQ$12&lt;&gt;0,$H190&gt;0,OR(AUTOEVENTO&lt;&gt;"manual",$M190&lt;&gt;1)),
IF(Import.TipoArredondamento&lt;&gt;"TransfereGOV",
ROUND(OFFSET($P190,0,AQ$13),15-13*ORÇAMENTO!$AF$7)/$H190*OFFSET(ORÇAMENTO!$X$15,ROW(AQ190)-ROW(AQ$15),0),
ROUND(ROUND(OFFSET($P190,0,AQ$13),15-13*ORÇAMENTO!$AF$7)*OFFSET(ORÇAMENTO!$W$15,ROW(AQ190)-ROW(AQ$15),0),15-13*ORÇAMENTO!$AF$11)),0)</f>
        <v>0</v>
      </c>
      <c r="AR190" s="545">
        <f ca="1">IF(AND($D190="Serviço",AR$12&lt;&gt;0,$H190&gt;0,OR(AUTOEVENTO&lt;&gt;"manual",$M190&lt;&gt;1)),
IF(Import.TipoArredondamento&lt;&gt;"TransfereGOV",
ROUND(OFFSET($P190,0,AR$13),15-13*ORÇAMENTO!$AF$7)/$H190*OFFSET(ORÇAMENTO!$X$15,ROW(AR190)-ROW(AR$15),0),
ROUND(ROUND(OFFSET($P190,0,AR$13),15-13*ORÇAMENTO!$AF$7)*OFFSET(ORÇAMENTO!$W$15,ROW(AR190)-ROW(AR$15),0),15-13*ORÇAMENTO!$AF$11)),0)</f>
        <v>0</v>
      </c>
      <c r="AS190" s="546">
        <f ca="1">IF(AND($D190="Serviço",AS$12&lt;&gt;0,$H190&gt;0,OR(AUTOEVENTO&lt;&gt;"manual",$M190&lt;&gt;1)),
IF(Import.TipoArredondamento&lt;&gt;"TransfereGOV",
ROUND(OFFSET($P190,0,AS$13),15-13*ORÇAMENTO!$AF$7)/$H190*OFFSET(ORÇAMENTO!$X$15,ROW(AS190)-ROW(AS$15),0),
ROUND(ROUND(OFFSET($P190,0,AS$13),15-13*ORÇAMENTO!$AF$7)*OFFSET(ORÇAMENTO!$W$15,ROW(AS190)-ROW(AS$15),0),15-13*ORÇAMENTO!$AF$11)),0)</f>
        <v>0</v>
      </c>
      <c r="AT190" s="545">
        <f ca="1">IF(AND($D190="Serviço",AT$12&lt;&gt;0,$H190&gt;0,OR(AUTOEVENTO&lt;&gt;"manual",$M190&lt;&gt;1)),
IF(Import.TipoArredondamento&lt;&gt;"TransfereGOV",
ROUND(OFFSET($P190,0,AT$13),15-13*ORÇAMENTO!$AF$7)/$H190*OFFSET(ORÇAMENTO!$X$15,ROW(AT190)-ROW(AT$15),0),
ROUND(ROUND(OFFSET($P190,0,AT$13),15-13*ORÇAMENTO!$AF$7)*OFFSET(ORÇAMENTO!$W$15,ROW(AT190)-ROW(AT$15),0),15-13*ORÇAMENTO!$AF$11)),0)</f>
        <v>0</v>
      </c>
      <c r="AU190" s="545">
        <f ca="1">IF(AND($D190="Serviço",AU$12&lt;&gt;0,$H190&gt;0,OR(AUTOEVENTO&lt;&gt;"manual",$M190&lt;&gt;1)),
IF(Import.TipoArredondamento&lt;&gt;"TransfereGOV",
ROUND(OFFSET($P190,0,AU$13),15-13*ORÇAMENTO!$AF$7)/$H190*OFFSET(ORÇAMENTO!$X$15,ROW(AU190)-ROW(AU$15),0),
ROUND(ROUND(OFFSET($P190,0,AU$13),15-13*ORÇAMENTO!$AF$7)*OFFSET(ORÇAMENTO!$W$15,ROW(AU190)-ROW(AU$15),0),15-13*ORÇAMENTO!$AF$11)),0)</f>
        <v>0</v>
      </c>
      <c r="AV190" s="545">
        <f ca="1">IF(AND($D190="Serviço",AV$12&lt;&gt;0,$H190&gt;0,OR(AUTOEVENTO&lt;&gt;"manual",$M190&lt;&gt;1)),
IF(Import.TipoArredondamento&lt;&gt;"TransfereGOV",
ROUND(OFFSET($P190,0,AV$13),15-13*ORÇAMENTO!$AF$7)/$H190*OFFSET(ORÇAMENTO!$X$15,ROW(AV190)-ROW(AV$15),0),
ROUND(ROUND(OFFSET($P190,0,AV$13),15-13*ORÇAMENTO!$AF$7)*OFFSET(ORÇAMENTO!$W$15,ROW(AV190)-ROW(AV$15),0),15-13*ORÇAMENTO!$AF$11)),0)</f>
        <v>0</v>
      </c>
      <c r="AW190" s="545">
        <f ca="1">IF(AND($D190="Serviço",AW$12&lt;&gt;0,$H190&gt;0,OR(AUTOEVENTO&lt;&gt;"manual",$M190&lt;&gt;1)),
IF(Import.TipoArredondamento&lt;&gt;"TransfereGOV",
ROUND(OFFSET($P190,0,AW$13),15-13*ORÇAMENTO!$AF$7)/$H190*OFFSET(ORÇAMENTO!$X$15,ROW(AW190)-ROW(AW$15),0),
ROUND(ROUND(OFFSET($P190,0,AW$13),15-13*ORÇAMENTO!$AF$7)*OFFSET(ORÇAMENTO!$W$15,ROW(AW190)-ROW(AW$15),0),15-13*ORÇAMENTO!$AF$11)),0)</f>
        <v>0</v>
      </c>
      <c r="AX190" s="545">
        <f ca="1">IF(AND($D190="Serviço",AX$12&lt;&gt;0,$H190&gt;0,OR(AUTOEVENTO&lt;&gt;"manual",$M190&lt;&gt;1)),
IF(Import.TipoArredondamento&lt;&gt;"TransfereGOV",
ROUND(OFFSET($P190,0,AX$13),15-13*ORÇAMENTO!$AF$7)/$H190*OFFSET(ORÇAMENTO!$X$15,ROW(AX190)-ROW(AX$15),0),
ROUND(ROUND(OFFSET($P190,0,AX$13),15-13*ORÇAMENTO!$AF$7)*OFFSET(ORÇAMENTO!$W$15,ROW(AX190)-ROW(AX$15),0),15-13*ORÇAMENTO!$AF$11)),0)</f>
        <v>0</v>
      </c>
      <c r="AY190" s="545">
        <f ca="1">IF(AND($D190="Serviço",AY$12&lt;&gt;0,$H190&gt;0,OR(AUTOEVENTO&lt;&gt;"manual",$M190&lt;&gt;1)),
IF(Import.TipoArredondamento&lt;&gt;"TransfereGOV",
ROUND(OFFSET($P190,0,AY$13),15-13*ORÇAMENTO!$AF$7)/$H190*OFFSET(ORÇAMENTO!$X$15,ROW(AY190)-ROW(AY$15),0),
ROUND(ROUND(OFFSET($P190,0,AY$13),15-13*ORÇAMENTO!$AF$7)*OFFSET(ORÇAMENTO!$W$15,ROW(AY190)-ROW(AY$15),0),15-13*ORÇAMENTO!$AF$11)),0)</f>
        <v>0</v>
      </c>
      <c r="AZ190" s="545">
        <f ca="1">IF(AND($D190="Serviço",AZ$12&lt;&gt;0,$H190&gt;0,OR(AUTOEVENTO&lt;&gt;"manual",$M190&lt;&gt;1)),
IF(Import.TipoArredondamento&lt;&gt;"TransfereGOV",
ROUND(OFFSET($P190,0,AZ$13),15-13*ORÇAMENTO!$AF$7)/$H190*OFFSET(ORÇAMENTO!$X$15,ROW(AZ190)-ROW(AZ$15),0),
ROUND(ROUND(OFFSET($P190,0,AZ$13),15-13*ORÇAMENTO!$AF$7)*OFFSET(ORÇAMENTO!$W$15,ROW(AZ190)-ROW(AZ$15),0),15-13*ORÇAMENTO!$AF$11)),0)</f>
        <v>0</v>
      </c>
      <c r="BA190" s="546">
        <f ca="1">IF(AND($D190="Serviço",BA$12&lt;&gt;0,$H190&gt;0,OR(AUTOEVENTO&lt;&gt;"manual",$M190&lt;&gt;1)),
IF(Import.TipoArredondamento&lt;&gt;"TransfereGOV",
ROUND(OFFSET($P190,0,BA$13),15-13*ORÇAMENTO!$AF$7)/$H190*OFFSET(ORÇAMENTO!$X$15,ROW(BA190)-ROW(BA$15),0),
ROUND(ROUND(OFFSET($P190,0,BA$13),15-13*ORÇAMENTO!$AF$7)*OFFSET(ORÇAMENTO!$W$15,ROW(BA190)-ROW(BA$15),0),15-13*ORÇAMENTO!$AF$11)),0)</f>
        <v>0</v>
      </c>
      <c r="BC190" s="181">
        <f ca="1">IF($D190&lt;&gt;"Serviço",0,IF(AND(AUTOEVENTO="Manual",$M190=1),0,IF(OFFSET(CRONOPLE!$F$14,$M190,BC$13)="",10^12,OFFSET(CRONOPLE!$F$14,$M190,BC$13))))</f>
        <v>7</v>
      </c>
      <c r="BD190" s="181">
        <f ca="1">IF($D190&lt;&gt;"Serviço",0,IF(AND(AUTOEVENTO="Manual",$M190=1),0,IF(OFFSET(CRONOPLE!$F$14,$M190,BD$13)="",10^12,OFFSET(CRONOPLE!$F$14,$M190,BD$13))))</f>
        <v>1000000000000</v>
      </c>
      <c r="BE190" s="181">
        <f ca="1">IF($D190&lt;&gt;"Serviço",0,IF(AND(AUTOEVENTO="Manual",$M190=1),0,IF(OFFSET(CRONOPLE!$F$14,$M190,BE$13)="",10^12,OFFSET(CRONOPLE!$F$14,$M190,BE$13))))</f>
        <v>1000000000000</v>
      </c>
      <c r="BF190" s="181">
        <f ca="1">IF($D190&lt;&gt;"Serviço",0,IF(AND(AUTOEVENTO="Manual",$M190=1),0,IF(OFFSET(CRONOPLE!$F$14,$M190,BF$13)="",10^12,OFFSET(CRONOPLE!$F$14,$M190,BF$13))))</f>
        <v>1000000000000</v>
      </c>
      <c r="BG190" s="181">
        <f ca="1">IF($D190&lt;&gt;"Serviço",0,IF(AND(AUTOEVENTO="Manual",$M190=1),0,IF(OFFSET(CRONOPLE!$F$14,$M190,BG$13)="",10^12,OFFSET(CRONOPLE!$F$14,$M190,BG$13))))</f>
        <v>1000000000000</v>
      </c>
      <c r="BH190" s="181">
        <f ca="1">IF($D190&lt;&gt;"Serviço",0,IF(AND(AUTOEVENTO="Manual",$M190=1),0,IF(OFFSET(CRONOPLE!$F$14,$M190,BH$13)="",10^12,OFFSET(CRONOPLE!$F$14,$M190,BH$13))))</f>
        <v>1000000000000</v>
      </c>
      <c r="BI190" s="181">
        <f ca="1">IF($D190&lt;&gt;"Serviço",0,IF(AND(AUTOEVENTO="Manual",$M190=1),0,IF(OFFSET(CRONOPLE!$F$14,$M190,BI$13)="",10^12,OFFSET(CRONOPLE!$F$14,$M190,BI$13))))</f>
        <v>1000000000000</v>
      </c>
      <c r="BJ190" s="181">
        <f ca="1">IF($D190&lt;&gt;"Serviço",0,IF(AND(AUTOEVENTO="Manual",$M190=1),0,IF(OFFSET(CRONOPLE!$F$14,$M190,BJ$13)="",10^12,OFFSET(CRONOPLE!$F$14,$M190,BJ$13))))</f>
        <v>1000000000000</v>
      </c>
      <c r="BK190" s="181">
        <f ca="1">IF($D190&lt;&gt;"Serviço",0,IF(AND(AUTOEVENTO="Manual",$M190=1),0,IF(OFFSET(CRONOPLE!$F$14,$M190,BK$13)="",10^12,OFFSET(CRONOPLE!$F$14,$M190,BK$13))))</f>
        <v>1000000000000</v>
      </c>
      <c r="BL190" s="181">
        <f ca="1">IF($D190&lt;&gt;"Serviço",0,IF(AND(AUTOEVENTO="Manual",$M190=1),0,IF(OFFSET(CRONOPLE!$F$14,$M190,BL$13)="",10^12,OFFSET(CRONOPLE!$F$14,$M190,BL$13))))</f>
        <v>1000000000000</v>
      </c>
      <c r="BM190" s="181">
        <f ca="1">IF($D190&lt;&gt;"Serviço",0,IF(AND(AUTOEVENTO="Manual",$M190=1),0,IF(OFFSET(CRONOPLE!$F$14,$M190,BM$13)="",10^12,OFFSET(CRONOPLE!$F$14,$M190,BM$13))))</f>
        <v>1000000000000</v>
      </c>
      <c r="BN190" s="181">
        <f ca="1">IF($D190&lt;&gt;"Serviço",0,IF(AND(AUTOEVENTO="Manual",$M190=1),0,IF(OFFSET(CRONOPLE!$F$14,$M190,BN$13)="",10^12,OFFSET(CRONOPLE!$F$14,$M190,BN$13))))</f>
        <v>1000000000000</v>
      </c>
      <c r="BO190" s="181">
        <f ca="1">IF($D190&lt;&gt;"Serviço",0,IF(AND(AUTOEVENTO="Manual",$M190=1),0,IF(OFFSET(CRONOPLE!$F$14,$M190,BO$13)="",10^12,OFFSET(CRONOPLE!$F$14,$M190,BO$13))))</f>
        <v>1000000000000</v>
      </c>
      <c r="BP190" s="181">
        <f ca="1">IF($D190&lt;&gt;"Serviço",0,IF(AND(AUTOEVENTO="Manual",$M190=1),0,IF(OFFSET(CRONOPLE!$F$14,$M190,BP$13)="",10^12,OFFSET(CRONOPLE!$F$14,$M190,BP$13))))</f>
        <v>1000000000000</v>
      </c>
      <c r="BQ190" s="181">
        <f ca="1">IF($D190&lt;&gt;"Serviço",0,IF(AND(AUTOEVENTO="Manual",$M190=1),0,IF(OFFSET(CRONOPLE!$F$14,$M190,BQ$13)="",10^12,OFFSET(CRONOPLE!$F$14,$M190,BQ$13))))</f>
        <v>1000000000000</v>
      </c>
      <c r="BR190" s="181">
        <f ca="1">IF($D190&lt;&gt;"Serviço",0,IF(AND(AUTOEVENTO="Manual",$M190=1),0,IF(OFFSET(CRONOPLE!$F$14,$M190,BR$13)="",10^12,OFFSET(CRONOPLE!$F$14,$M190,BR$13))))</f>
        <v>1000000000000</v>
      </c>
      <c r="BS190" s="181">
        <f ca="1">IF($D190&lt;&gt;"Serviço",0,IF(AND(AUTOEVENTO="Manual",$M190=1),0,IF(OFFSET(CRONOPLE!$F$14,$M190,BS$13)="",10^12,OFFSET(CRONOPLE!$F$14,$M190,BS$13))))</f>
        <v>1000000000000</v>
      </c>
      <c r="BT190" s="181">
        <f ca="1">IF($D190&lt;&gt;"Serviço",0,IF(AND(AUTOEVENTO="Manual",$M190=1),0,IF(OFFSET(CRONOPLE!$F$14,$M190,BT$13)="",10^12,OFFSET(CRONOPLE!$F$14,$M190,BT$13))))</f>
        <v>1000000000000</v>
      </c>
      <c r="BV190" s="182">
        <f ca="1">IF($D190&lt;&gt;"Serviço",0,IF(OR(AND(AUTOEVENTO="Manual",$M190=1),$M190&gt;(ROW(PLE.lastrow)-ROW(PLE.firstrow))),0,IF(OFFSET(PLE!$G$14,$M190,BV$13)="",10^12,OFFSET(PLE!$G$14,$M190,BV$13))))</f>
        <v>1000000000000</v>
      </c>
      <c r="BW190" s="182">
        <f ca="1">IF($D190&lt;&gt;"Serviço",0,IF(OR(AND(AUTOEVENTO="Manual",$M190=1),$M190&gt;(ROW(PLE.lastrow)-ROW(PLE.firstrow))),0,IF(OFFSET(PLE!$G$14,$M190,BW$13)="",10^12,OFFSET(PLE!$G$14,$M190,BW$13))))</f>
        <v>1000000000000</v>
      </c>
      <c r="BX190" s="182">
        <f ca="1">IF($D190&lt;&gt;"Serviço",0,IF(OR(AND(AUTOEVENTO="Manual",$M190=1),$M190&gt;(ROW(PLE.lastrow)-ROW(PLE.firstrow))),0,IF(OFFSET(PLE!$G$14,$M190,BX$13)="",10^12,OFFSET(PLE!$G$14,$M190,BX$13))))</f>
        <v>1000000000000</v>
      </c>
      <c r="BY190" s="182">
        <f ca="1">IF($D190&lt;&gt;"Serviço",0,IF(OR(AND(AUTOEVENTO="Manual",$M190=1),$M190&gt;(ROW(PLE.lastrow)-ROW(PLE.firstrow))),0,IF(OFFSET(PLE!$G$14,$M190,BY$13)="",10^12,OFFSET(PLE!$G$14,$M190,BY$13))))</f>
        <v>1000000000000</v>
      </c>
      <c r="BZ190" s="182">
        <f ca="1">IF($D190&lt;&gt;"Serviço",0,IF(OR(AND(AUTOEVENTO="Manual",$M190=1),$M190&gt;(ROW(PLE.lastrow)-ROW(PLE.firstrow))),0,IF(OFFSET(PLE!$G$14,$M190,BZ$13)="",10^12,OFFSET(PLE!$G$14,$M190,BZ$13))))</f>
        <v>1000000000000</v>
      </c>
      <c r="CA190" s="182">
        <f ca="1">IF($D190&lt;&gt;"Serviço",0,IF(OR(AND(AUTOEVENTO="Manual",$M190=1),$M190&gt;(ROW(PLE.lastrow)-ROW(PLE.firstrow))),0,IF(OFFSET(PLE!$G$14,$M190,CA$13)="",10^12,OFFSET(PLE!$G$14,$M190,CA$13))))</f>
        <v>1000000000000</v>
      </c>
      <c r="CB190" s="182">
        <f ca="1">IF($D190&lt;&gt;"Serviço",0,IF(OR(AND(AUTOEVENTO="Manual",$M190=1),$M190&gt;(ROW(PLE.lastrow)-ROW(PLE.firstrow))),0,IF(OFFSET(PLE!$G$14,$M190,CB$13)="",10^12,OFFSET(PLE!$G$14,$M190,CB$13))))</f>
        <v>1000000000000</v>
      </c>
      <c r="CC190" s="182">
        <f ca="1">IF($D190&lt;&gt;"Serviço",0,IF(OR(AND(AUTOEVENTO="Manual",$M190=1),$M190&gt;(ROW(PLE.lastrow)-ROW(PLE.firstrow))),0,IF(OFFSET(PLE!$G$14,$M190,CC$13)="",10^12,OFFSET(PLE!$G$14,$M190,CC$13))))</f>
        <v>1000000000000</v>
      </c>
      <c r="CD190" s="182">
        <f ca="1">IF($D190&lt;&gt;"Serviço",0,IF(OR(AND(AUTOEVENTO="Manual",$M190=1),$M190&gt;(ROW(PLE.lastrow)-ROW(PLE.firstrow))),0,IF(OFFSET(PLE!$G$14,$M190,CD$13)="",10^12,OFFSET(PLE!$G$14,$M190,CD$13))))</f>
        <v>1000000000000</v>
      </c>
      <c r="CE190" s="182">
        <f ca="1">IF($D190&lt;&gt;"Serviço",0,IF(OR(AND(AUTOEVENTO="Manual",$M190=1),$M190&gt;(ROW(PLE.lastrow)-ROW(PLE.firstrow))),0,IF(OFFSET(PLE!$G$14,$M190,CE$13)="",10^12,OFFSET(PLE!$G$14,$M190,CE$13))))</f>
        <v>1000000000000</v>
      </c>
      <c r="CF190" s="182">
        <f ca="1">IF($D190&lt;&gt;"Serviço",0,IF(OR(AND(AUTOEVENTO="Manual",$M190=1),$M190&gt;(ROW(PLE.lastrow)-ROW(PLE.firstrow))),0,IF(OFFSET(PLE!$G$14,$M190,CF$13)="",10^12,OFFSET(PLE!$G$14,$M190,CF$13))))</f>
        <v>1000000000000</v>
      </c>
      <c r="CG190" s="182">
        <f ca="1">IF($D190&lt;&gt;"Serviço",0,IF(OR(AND(AUTOEVENTO="Manual",$M190=1),$M190&gt;(ROW(PLE.lastrow)-ROW(PLE.firstrow))),0,IF(OFFSET(PLE!$G$14,$M190,CG$13)="",10^12,OFFSET(PLE!$G$14,$M190,CG$13))))</f>
        <v>1000000000000</v>
      </c>
      <c r="CH190" s="182">
        <f ca="1">IF($D190&lt;&gt;"Serviço",0,IF(OR(AND(AUTOEVENTO="Manual",$M190=1),$M190&gt;(ROW(PLE.lastrow)-ROW(PLE.firstrow))),0,IF(OFFSET(PLE!$G$14,$M190,CH$13)="",10^12,OFFSET(PLE!$G$14,$M190,CH$13))))</f>
        <v>1000000000000</v>
      </c>
      <c r="CI190" s="182">
        <f ca="1">IF($D190&lt;&gt;"Serviço",0,IF(OR(AND(AUTOEVENTO="Manual",$M190=1),$M190&gt;(ROW(PLE.lastrow)-ROW(PLE.firstrow))),0,IF(OFFSET(PLE!$G$14,$M190,CI$13)="",10^12,OFFSET(PLE!$G$14,$M190,CI$13))))</f>
        <v>1000000000000</v>
      </c>
      <c r="CJ190" s="182">
        <f ca="1">IF($D190&lt;&gt;"Serviço",0,IF(OR(AND(AUTOEVENTO="Manual",$M190=1),$M190&gt;(ROW(PLE.lastrow)-ROW(PLE.firstrow))),0,IF(OFFSET(PLE!$G$14,$M190,CJ$13)="",10^12,OFFSET(PLE!$G$14,$M190,CJ$13))))</f>
        <v>1000000000000</v>
      </c>
      <c r="CK190" s="182">
        <f ca="1">IF($D190&lt;&gt;"Serviço",0,IF(OR(AND(AUTOEVENTO="Manual",$M190=1),$M190&gt;(ROW(PLE.lastrow)-ROW(PLE.firstrow))),0,IF(OFFSET(PLE!$G$14,$M190,CK$13)="",10^12,OFFSET(PLE!$G$14,$M190,CK$13))))</f>
        <v>1000000000000</v>
      </c>
      <c r="CL190" s="182">
        <f ca="1">IF($D190&lt;&gt;"Serviço",0,IF(OR(AND(AUTOEVENTO="Manual",$M190=1),$M190&gt;(ROW(PLE.lastrow)-ROW(PLE.firstrow))),0,IF(OFFSET(PLE!$G$14,$M190,CL$13)="",10^12,OFFSET(PLE!$G$14,$M190,CL$13))))</f>
        <v>1000000000000</v>
      </c>
      <c r="CM190" s="182">
        <f ca="1">IF($D190&lt;&gt;"Serviço",0,IF(OR(AND(AUTOEVENTO="Manual",$M190=1),$M190&gt;(ROW(PLE.lastrow)-ROW(PLE.firstrow))),0,IF(OFFSET(PLE!$G$14,$M190,CM$13)="",10^12,OFFSET(PLE!$G$14,$M190,CM$13))))</f>
        <v>1000000000000</v>
      </c>
    </row>
    <row r="191" spans="1:91" ht="38.25" x14ac:dyDescent="0.2">
      <c r="A191" s="7" t="str">
        <f t="shared" ca="1" si="12"/>
        <v>169</v>
      </c>
      <c r="B191" s="7" t="str">
        <f ca="1">OFFSET(ORÇAMENTO!C$15,ROW(B191)-ROW(B$15),0)</f>
        <v>S</v>
      </c>
      <c r="C191" s="7" t="str">
        <f ca="1">OFFSET(ORÇAMENTO!L$15,ROW(C191)-ROW(C$15),0)</f>
        <v/>
      </c>
      <c r="D191" s="118" t="str">
        <f ca="1">OFFSET(ORÇAMENTO!N$15,ROW(D191)-ROW(D$15),0)</f>
        <v>Serviço</v>
      </c>
      <c r="E191" s="119" t="str">
        <f ca="1">OFFSET(ORÇAMENTO!O$15,ROW(E191)-ROW(E$15),0)</f>
        <v>-</v>
      </c>
      <c r="F191" s="172" t="str">
        <f ca="1">OFFSET(ORÇAMENTO!R$15,ROW(F191)-ROW(F$15),0)</f>
        <v>(abra o arquivo 'Referência 06-2024.xlsm)</v>
      </c>
      <c r="G191" s="173" t="str">
        <f ca="1">IF($D191&lt;&gt;"Serviço","",OFFSET(ORÇAMENTO!S$15,ROW(G191)-ROW(G$15),0))</f>
        <v>-</v>
      </c>
      <c r="H191" s="124">
        <f ca="1">IF($D191&lt;&gt;"Serviço",0,IF(ACOMPANHAMENTO="BM",ROUND(OFFSET(ORÇAMENTO!AJ$15,ROW(H191)-ROW(H$15),0),15-13*ORÇAMENTO!$AF$7),SUMPRODUCT(($Q$12:$AI$12&lt;&gt;"")*ROUND($Q191:$AI191,15-13*ORÇAMENTO!$AF$7))))</f>
        <v>139.66999999999999</v>
      </c>
      <c r="I191" s="561" t="s">
        <v>1107</v>
      </c>
      <c r="K191" s="174"/>
      <c r="L191" s="175" t="s">
        <v>255</v>
      </c>
      <c r="M191" s="176">
        <f ca="1">IF($D191&lt;&gt;"Serviço","",IF(AUTOEVENTO="manual",$A191,IF(ISERROR(MATCH($A191,$A$15:OFFSET($A191,-1,0),0)),MAX($M$15:OFFSET(M191,-1,0))+1,INDEX($M$15:OFFSET(M191,-1,0),MATCH($A191,$A$15:OFFSET($A191,-1,0),0)))))</f>
        <v>27</v>
      </c>
      <c r="N191" s="177" t="str">
        <f ca="1">IF($D191&lt;&gt;"Serviço","",IF(AUTOEVENTO="Manual",IF($A191=0,"&lt;-- defina o número do agrupador",OFFSET(EVENTOS!$D$14,$A191,0)),OFFSET($F$15,$A191,0)))</f>
        <v>REVESTIMENTOS INTERNO E EXTERNO - EDIFICAÇÃO</v>
      </c>
      <c r="O191" s="178"/>
      <c r="Q191" s="178">
        <v>139.66999999999999</v>
      </c>
      <c r="R191" s="179"/>
      <c r="S191" s="179"/>
      <c r="T191" s="179"/>
      <c r="U191" s="179"/>
      <c r="V191" s="179"/>
      <c r="W191" s="179"/>
      <c r="X191" s="179"/>
      <c r="Y191" s="179"/>
      <c r="Z191" s="180"/>
      <c r="AA191" s="179"/>
      <c r="AB191" s="179"/>
      <c r="AC191" s="179"/>
      <c r="AD191" s="179"/>
      <c r="AE191" s="179"/>
      <c r="AF191" s="179"/>
      <c r="AG191" s="179"/>
      <c r="AH191" s="180"/>
      <c r="AJ191" s="544">
        <f ca="1">IF(AND($D191="Serviço",AJ$12&lt;&gt;0,$H191&gt;0,OR(AUTOEVENTO&lt;&gt;"manual",$M191&lt;&gt;1)),
IF(Import.TipoArredondamento&lt;&gt;"TransfereGOV",
ROUND(OFFSET($P191,0,AJ$13),15-13*ORÇAMENTO!$AF$7)/$H191*OFFSET(ORÇAMENTO!$X$15,ROW(AJ191)-ROW(AJ$15),0),
ROUND(ROUND(OFFSET($P191,0,AJ$13),15-13*ORÇAMENTO!$AF$7)*OFFSET(ORÇAMENTO!$W$15,ROW(AJ191)-ROW(AJ$15),0),15-13*ORÇAMENTO!$AF$11)),0)</f>
        <v>0</v>
      </c>
      <c r="AK191" s="545">
        <f ca="1">IF(AND($D191="Serviço",AK$12&lt;&gt;0,$H191&gt;0,OR(AUTOEVENTO&lt;&gt;"manual",$M191&lt;&gt;1)),
IF(Import.TipoArredondamento&lt;&gt;"TransfereGOV",
ROUND(OFFSET($P191,0,AK$13),15-13*ORÇAMENTO!$AF$7)/$H191*OFFSET(ORÇAMENTO!$X$15,ROW(AK191)-ROW(AK$15),0),
ROUND(ROUND(OFFSET($P191,0,AK$13),15-13*ORÇAMENTO!$AF$7)*OFFSET(ORÇAMENTO!$W$15,ROW(AK191)-ROW(AK$15),0),15-13*ORÇAMENTO!$AF$11)),0)</f>
        <v>0</v>
      </c>
      <c r="AL191" s="545">
        <f ca="1">IF(AND($D191="Serviço",AL$12&lt;&gt;0,$H191&gt;0,OR(AUTOEVENTO&lt;&gt;"manual",$M191&lt;&gt;1)),
IF(Import.TipoArredondamento&lt;&gt;"TransfereGOV",
ROUND(OFFSET($P191,0,AL$13),15-13*ORÇAMENTO!$AF$7)/$H191*OFFSET(ORÇAMENTO!$X$15,ROW(AL191)-ROW(AL$15),0),
ROUND(ROUND(OFFSET($P191,0,AL$13),15-13*ORÇAMENTO!$AF$7)*OFFSET(ORÇAMENTO!$W$15,ROW(AL191)-ROW(AL$15),0),15-13*ORÇAMENTO!$AF$11)),0)</f>
        <v>0</v>
      </c>
      <c r="AM191" s="545">
        <f ca="1">IF(AND($D191="Serviço",AM$12&lt;&gt;0,$H191&gt;0,OR(AUTOEVENTO&lt;&gt;"manual",$M191&lt;&gt;1)),
IF(Import.TipoArredondamento&lt;&gt;"TransfereGOV",
ROUND(OFFSET($P191,0,AM$13),15-13*ORÇAMENTO!$AF$7)/$H191*OFFSET(ORÇAMENTO!$X$15,ROW(AM191)-ROW(AM$15),0),
ROUND(ROUND(OFFSET($P191,0,AM$13),15-13*ORÇAMENTO!$AF$7)*OFFSET(ORÇAMENTO!$W$15,ROW(AM191)-ROW(AM$15),0),15-13*ORÇAMENTO!$AF$11)),0)</f>
        <v>0</v>
      </c>
      <c r="AN191" s="545">
        <f ca="1">IF(AND($D191="Serviço",AN$12&lt;&gt;0,$H191&gt;0,OR(AUTOEVENTO&lt;&gt;"manual",$M191&lt;&gt;1)),
IF(Import.TipoArredondamento&lt;&gt;"TransfereGOV",
ROUND(OFFSET($P191,0,AN$13),15-13*ORÇAMENTO!$AF$7)/$H191*OFFSET(ORÇAMENTO!$X$15,ROW(AN191)-ROW(AN$15),0),
ROUND(ROUND(OFFSET($P191,0,AN$13),15-13*ORÇAMENTO!$AF$7)*OFFSET(ORÇAMENTO!$W$15,ROW(AN191)-ROW(AN$15),0),15-13*ORÇAMENTO!$AF$11)),0)</f>
        <v>0</v>
      </c>
      <c r="AO191" s="545">
        <f ca="1">IF(AND($D191="Serviço",AO$12&lt;&gt;0,$H191&gt;0,OR(AUTOEVENTO&lt;&gt;"manual",$M191&lt;&gt;1)),
IF(Import.TipoArredondamento&lt;&gt;"TransfereGOV",
ROUND(OFFSET($P191,0,AO$13),15-13*ORÇAMENTO!$AF$7)/$H191*OFFSET(ORÇAMENTO!$X$15,ROW(AO191)-ROW(AO$15),0),
ROUND(ROUND(OFFSET($P191,0,AO$13),15-13*ORÇAMENTO!$AF$7)*OFFSET(ORÇAMENTO!$W$15,ROW(AO191)-ROW(AO$15),0),15-13*ORÇAMENTO!$AF$11)),0)</f>
        <v>0</v>
      </c>
      <c r="AP191" s="545">
        <f ca="1">IF(AND($D191="Serviço",AP$12&lt;&gt;0,$H191&gt;0,OR(AUTOEVENTO&lt;&gt;"manual",$M191&lt;&gt;1)),
IF(Import.TipoArredondamento&lt;&gt;"TransfereGOV",
ROUND(OFFSET($P191,0,AP$13),15-13*ORÇAMENTO!$AF$7)/$H191*OFFSET(ORÇAMENTO!$X$15,ROW(AP191)-ROW(AP$15),0),
ROUND(ROUND(OFFSET($P191,0,AP$13),15-13*ORÇAMENTO!$AF$7)*OFFSET(ORÇAMENTO!$W$15,ROW(AP191)-ROW(AP$15),0),15-13*ORÇAMENTO!$AF$11)),0)</f>
        <v>0</v>
      </c>
      <c r="AQ191" s="545">
        <f ca="1">IF(AND($D191="Serviço",AQ$12&lt;&gt;0,$H191&gt;0,OR(AUTOEVENTO&lt;&gt;"manual",$M191&lt;&gt;1)),
IF(Import.TipoArredondamento&lt;&gt;"TransfereGOV",
ROUND(OFFSET($P191,0,AQ$13),15-13*ORÇAMENTO!$AF$7)/$H191*OFFSET(ORÇAMENTO!$X$15,ROW(AQ191)-ROW(AQ$15),0),
ROUND(ROUND(OFFSET($P191,0,AQ$13),15-13*ORÇAMENTO!$AF$7)*OFFSET(ORÇAMENTO!$W$15,ROW(AQ191)-ROW(AQ$15),0),15-13*ORÇAMENTO!$AF$11)),0)</f>
        <v>0</v>
      </c>
      <c r="AR191" s="545">
        <f ca="1">IF(AND($D191="Serviço",AR$12&lt;&gt;0,$H191&gt;0,OR(AUTOEVENTO&lt;&gt;"manual",$M191&lt;&gt;1)),
IF(Import.TipoArredondamento&lt;&gt;"TransfereGOV",
ROUND(OFFSET($P191,0,AR$13),15-13*ORÇAMENTO!$AF$7)/$H191*OFFSET(ORÇAMENTO!$X$15,ROW(AR191)-ROW(AR$15),0),
ROUND(ROUND(OFFSET($P191,0,AR$13),15-13*ORÇAMENTO!$AF$7)*OFFSET(ORÇAMENTO!$W$15,ROW(AR191)-ROW(AR$15),0),15-13*ORÇAMENTO!$AF$11)),0)</f>
        <v>0</v>
      </c>
      <c r="AS191" s="546">
        <f ca="1">IF(AND($D191="Serviço",AS$12&lt;&gt;0,$H191&gt;0,OR(AUTOEVENTO&lt;&gt;"manual",$M191&lt;&gt;1)),
IF(Import.TipoArredondamento&lt;&gt;"TransfereGOV",
ROUND(OFFSET($P191,0,AS$13),15-13*ORÇAMENTO!$AF$7)/$H191*OFFSET(ORÇAMENTO!$X$15,ROW(AS191)-ROW(AS$15),0),
ROUND(ROUND(OFFSET($P191,0,AS$13),15-13*ORÇAMENTO!$AF$7)*OFFSET(ORÇAMENTO!$W$15,ROW(AS191)-ROW(AS$15),0),15-13*ORÇAMENTO!$AF$11)),0)</f>
        <v>0</v>
      </c>
      <c r="AT191" s="545">
        <f ca="1">IF(AND($D191="Serviço",AT$12&lt;&gt;0,$H191&gt;0,OR(AUTOEVENTO&lt;&gt;"manual",$M191&lt;&gt;1)),
IF(Import.TipoArredondamento&lt;&gt;"TransfereGOV",
ROUND(OFFSET($P191,0,AT$13),15-13*ORÇAMENTO!$AF$7)/$H191*OFFSET(ORÇAMENTO!$X$15,ROW(AT191)-ROW(AT$15),0),
ROUND(ROUND(OFFSET($P191,0,AT$13),15-13*ORÇAMENTO!$AF$7)*OFFSET(ORÇAMENTO!$W$15,ROW(AT191)-ROW(AT$15),0),15-13*ORÇAMENTO!$AF$11)),0)</f>
        <v>0</v>
      </c>
      <c r="AU191" s="545">
        <f ca="1">IF(AND($D191="Serviço",AU$12&lt;&gt;0,$H191&gt;0,OR(AUTOEVENTO&lt;&gt;"manual",$M191&lt;&gt;1)),
IF(Import.TipoArredondamento&lt;&gt;"TransfereGOV",
ROUND(OFFSET($P191,0,AU$13),15-13*ORÇAMENTO!$AF$7)/$H191*OFFSET(ORÇAMENTO!$X$15,ROW(AU191)-ROW(AU$15),0),
ROUND(ROUND(OFFSET($P191,0,AU$13),15-13*ORÇAMENTO!$AF$7)*OFFSET(ORÇAMENTO!$W$15,ROW(AU191)-ROW(AU$15),0),15-13*ORÇAMENTO!$AF$11)),0)</f>
        <v>0</v>
      </c>
      <c r="AV191" s="545">
        <f ca="1">IF(AND($D191="Serviço",AV$12&lt;&gt;0,$H191&gt;0,OR(AUTOEVENTO&lt;&gt;"manual",$M191&lt;&gt;1)),
IF(Import.TipoArredondamento&lt;&gt;"TransfereGOV",
ROUND(OFFSET($P191,0,AV$13),15-13*ORÇAMENTO!$AF$7)/$H191*OFFSET(ORÇAMENTO!$X$15,ROW(AV191)-ROW(AV$15),0),
ROUND(ROUND(OFFSET($P191,0,AV$13),15-13*ORÇAMENTO!$AF$7)*OFFSET(ORÇAMENTO!$W$15,ROW(AV191)-ROW(AV$15),0),15-13*ORÇAMENTO!$AF$11)),0)</f>
        <v>0</v>
      </c>
      <c r="AW191" s="545">
        <f ca="1">IF(AND($D191="Serviço",AW$12&lt;&gt;0,$H191&gt;0,OR(AUTOEVENTO&lt;&gt;"manual",$M191&lt;&gt;1)),
IF(Import.TipoArredondamento&lt;&gt;"TransfereGOV",
ROUND(OFFSET($P191,0,AW$13),15-13*ORÇAMENTO!$AF$7)/$H191*OFFSET(ORÇAMENTO!$X$15,ROW(AW191)-ROW(AW$15),0),
ROUND(ROUND(OFFSET($P191,0,AW$13),15-13*ORÇAMENTO!$AF$7)*OFFSET(ORÇAMENTO!$W$15,ROW(AW191)-ROW(AW$15),0),15-13*ORÇAMENTO!$AF$11)),0)</f>
        <v>0</v>
      </c>
      <c r="AX191" s="545">
        <f ca="1">IF(AND($D191="Serviço",AX$12&lt;&gt;0,$H191&gt;0,OR(AUTOEVENTO&lt;&gt;"manual",$M191&lt;&gt;1)),
IF(Import.TipoArredondamento&lt;&gt;"TransfereGOV",
ROUND(OFFSET($P191,0,AX$13),15-13*ORÇAMENTO!$AF$7)/$H191*OFFSET(ORÇAMENTO!$X$15,ROW(AX191)-ROW(AX$15),0),
ROUND(ROUND(OFFSET($P191,0,AX$13),15-13*ORÇAMENTO!$AF$7)*OFFSET(ORÇAMENTO!$W$15,ROW(AX191)-ROW(AX$15),0),15-13*ORÇAMENTO!$AF$11)),0)</f>
        <v>0</v>
      </c>
      <c r="AY191" s="545">
        <f ca="1">IF(AND($D191="Serviço",AY$12&lt;&gt;0,$H191&gt;0,OR(AUTOEVENTO&lt;&gt;"manual",$M191&lt;&gt;1)),
IF(Import.TipoArredondamento&lt;&gt;"TransfereGOV",
ROUND(OFFSET($P191,0,AY$13),15-13*ORÇAMENTO!$AF$7)/$H191*OFFSET(ORÇAMENTO!$X$15,ROW(AY191)-ROW(AY$15),0),
ROUND(ROUND(OFFSET($P191,0,AY$13),15-13*ORÇAMENTO!$AF$7)*OFFSET(ORÇAMENTO!$W$15,ROW(AY191)-ROW(AY$15),0),15-13*ORÇAMENTO!$AF$11)),0)</f>
        <v>0</v>
      </c>
      <c r="AZ191" s="545">
        <f ca="1">IF(AND($D191="Serviço",AZ$12&lt;&gt;0,$H191&gt;0,OR(AUTOEVENTO&lt;&gt;"manual",$M191&lt;&gt;1)),
IF(Import.TipoArredondamento&lt;&gt;"TransfereGOV",
ROUND(OFFSET($P191,0,AZ$13),15-13*ORÇAMENTO!$AF$7)/$H191*OFFSET(ORÇAMENTO!$X$15,ROW(AZ191)-ROW(AZ$15),0),
ROUND(ROUND(OFFSET($P191,0,AZ$13),15-13*ORÇAMENTO!$AF$7)*OFFSET(ORÇAMENTO!$W$15,ROW(AZ191)-ROW(AZ$15),0),15-13*ORÇAMENTO!$AF$11)),0)</f>
        <v>0</v>
      </c>
      <c r="BA191" s="546">
        <f ca="1">IF(AND($D191="Serviço",BA$12&lt;&gt;0,$H191&gt;0,OR(AUTOEVENTO&lt;&gt;"manual",$M191&lt;&gt;1)),
IF(Import.TipoArredondamento&lt;&gt;"TransfereGOV",
ROUND(OFFSET($P191,0,BA$13),15-13*ORÇAMENTO!$AF$7)/$H191*OFFSET(ORÇAMENTO!$X$15,ROW(BA191)-ROW(BA$15),0),
ROUND(ROUND(OFFSET($P191,0,BA$13),15-13*ORÇAMENTO!$AF$7)*OFFSET(ORÇAMENTO!$W$15,ROW(BA191)-ROW(BA$15),0),15-13*ORÇAMENTO!$AF$11)),0)</f>
        <v>0</v>
      </c>
      <c r="BC191" s="181">
        <f ca="1">IF($D191&lt;&gt;"Serviço",0,IF(AND(AUTOEVENTO="Manual",$M191=1),0,IF(OFFSET(CRONOPLE!$F$14,$M191,BC$13)="",10^12,OFFSET(CRONOPLE!$F$14,$M191,BC$13))))</f>
        <v>7</v>
      </c>
      <c r="BD191" s="181">
        <f ca="1">IF($D191&lt;&gt;"Serviço",0,IF(AND(AUTOEVENTO="Manual",$M191=1),0,IF(OFFSET(CRONOPLE!$F$14,$M191,BD$13)="",10^12,OFFSET(CRONOPLE!$F$14,$M191,BD$13))))</f>
        <v>1000000000000</v>
      </c>
      <c r="BE191" s="181">
        <f ca="1">IF($D191&lt;&gt;"Serviço",0,IF(AND(AUTOEVENTO="Manual",$M191=1),0,IF(OFFSET(CRONOPLE!$F$14,$M191,BE$13)="",10^12,OFFSET(CRONOPLE!$F$14,$M191,BE$13))))</f>
        <v>1000000000000</v>
      </c>
      <c r="BF191" s="181">
        <f ca="1">IF($D191&lt;&gt;"Serviço",0,IF(AND(AUTOEVENTO="Manual",$M191=1),0,IF(OFFSET(CRONOPLE!$F$14,$M191,BF$13)="",10^12,OFFSET(CRONOPLE!$F$14,$M191,BF$13))))</f>
        <v>1000000000000</v>
      </c>
      <c r="BG191" s="181">
        <f ca="1">IF($D191&lt;&gt;"Serviço",0,IF(AND(AUTOEVENTO="Manual",$M191=1),0,IF(OFFSET(CRONOPLE!$F$14,$M191,BG$13)="",10^12,OFFSET(CRONOPLE!$F$14,$M191,BG$13))))</f>
        <v>1000000000000</v>
      </c>
      <c r="BH191" s="181">
        <f ca="1">IF($D191&lt;&gt;"Serviço",0,IF(AND(AUTOEVENTO="Manual",$M191=1),0,IF(OFFSET(CRONOPLE!$F$14,$M191,BH$13)="",10^12,OFFSET(CRONOPLE!$F$14,$M191,BH$13))))</f>
        <v>1000000000000</v>
      </c>
      <c r="BI191" s="181">
        <f ca="1">IF($D191&lt;&gt;"Serviço",0,IF(AND(AUTOEVENTO="Manual",$M191=1),0,IF(OFFSET(CRONOPLE!$F$14,$M191,BI$13)="",10^12,OFFSET(CRONOPLE!$F$14,$M191,BI$13))))</f>
        <v>1000000000000</v>
      </c>
      <c r="BJ191" s="181">
        <f ca="1">IF($D191&lt;&gt;"Serviço",0,IF(AND(AUTOEVENTO="Manual",$M191=1),0,IF(OFFSET(CRONOPLE!$F$14,$M191,BJ$13)="",10^12,OFFSET(CRONOPLE!$F$14,$M191,BJ$13))))</f>
        <v>1000000000000</v>
      </c>
      <c r="BK191" s="181">
        <f ca="1">IF($D191&lt;&gt;"Serviço",0,IF(AND(AUTOEVENTO="Manual",$M191=1),0,IF(OFFSET(CRONOPLE!$F$14,$M191,BK$13)="",10^12,OFFSET(CRONOPLE!$F$14,$M191,BK$13))))</f>
        <v>1000000000000</v>
      </c>
      <c r="BL191" s="181">
        <f ca="1">IF($D191&lt;&gt;"Serviço",0,IF(AND(AUTOEVENTO="Manual",$M191=1),0,IF(OFFSET(CRONOPLE!$F$14,$M191,BL$13)="",10^12,OFFSET(CRONOPLE!$F$14,$M191,BL$13))))</f>
        <v>1000000000000</v>
      </c>
      <c r="BM191" s="181">
        <f ca="1">IF($D191&lt;&gt;"Serviço",0,IF(AND(AUTOEVENTO="Manual",$M191=1),0,IF(OFFSET(CRONOPLE!$F$14,$M191,BM$13)="",10^12,OFFSET(CRONOPLE!$F$14,$M191,BM$13))))</f>
        <v>1000000000000</v>
      </c>
      <c r="BN191" s="181">
        <f ca="1">IF($D191&lt;&gt;"Serviço",0,IF(AND(AUTOEVENTO="Manual",$M191=1),0,IF(OFFSET(CRONOPLE!$F$14,$M191,BN$13)="",10^12,OFFSET(CRONOPLE!$F$14,$M191,BN$13))))</f>
        <v>1000000000000</v>
      </c>
      <c r="BO191" s="181">
        <f ca="1">IF($D191&lt;&gt;"Serviço",0,IF(AND(AUTOEVENTO="Manual",$M191=1),0,IF(OFFSET(CRONOPLE!$F$14,$M191,BO$13)="",10^12,OFFSET(CRONOPLE!$F$14,$M191,BO$13))))</f>
        <v>1000000000000</v>
      </c>
      <c r="BP191" s="181">
        <f ca="1">IF($D191&lt;&gt;"Serviço",0,IF(AND(AUTOEVENTO="Manual",$M191=1),0,IF(OFFSET(CRONOPLE!$F$14,$M191,BP$13)="",10^12,OFFSET(CRONOPLE!$F$14,$M191,BP$13))))</f>
        <v>1000000000000</v>
      </c>
      <c r="BQ191" s="181">
        <f ca="1">IF($D191&lt;&gt;"Serviço",0,IF(AND(AUTOEVENTO="Manual",$M191=1),0,IF(OFFSET(CRONOPLE!$F$14,$M191,BQ$13)="",10^12,OFFSET(CRONOPLE!$F$14,$M191,BQ$13))))</f>
        <v>1000000000000</v>
      </c>
      <c r="BR191" s="181">
        <f ca="1">IF($D191&lt;&gt;"Serviço",0,IF(AND(AUTOEVENTO="Manual",$M191=1),0,IF(OFFSET(CRONOPLE!$F$14,$M191,BR$13)="",10^12,OFFSET(CRONOPLE!$F$14,$M191,BR$13))))</f>
        <v>1000000000000</v>
      </c>
      <c r="BS191" s="181">
        <f ca="1">IF($D191&lt;&gt;"Serviço",0,IF(AND(AUTOEVENTO="Manual",$M191=1),0,IF(OFFSET(CRONOPLE!$F$14,$M191,BS$13)="",10^12,OFFSET(CRONOPLE!$F$14,$M191,BS$13))))</f>
        <v>1000000000000</v>
      </c>
      <c r="BT191" s="181">
        <f ca="1">IF($D191&lt;&gt;"Serviço",0,IF(AND(AUTOEVENTO="Manual",$M191=1),0,IF(OFFSET(CRONOPLE!$F$14,$M191,BT$13)="",10^12,OFFSET(CRONOPLE!$F$14,$M191,BT$13))))</f>
        <v>1000000000000</v>
      </c>
      <c r="BV191" s="182">
        <f ca="1">IF($D191&lt;&gt;"Serviço",0,IF(OR(AND(AUTOEVENTO="Manual",$M191=1),$M191&gt;(ROW(PLE.lastrow)-ROW(PLE.firstrow))),0,IF(OFFSET(PLE!$G$14,$M191,BV$13)="",10^12,OFFSET(PLE!$G$14,$M191,BV$13))))</f>
        <v>1000000000000</v>
      </c>
      <c r="BW191" s="182">
        <f ca="1">IF($D191&lt;&gt;"Serviço",0,IF(OR(AND(AUTOEVENTO="Manual",$M191=1),$M191&gt;(ROW(PLE.lastrow)-ROW(PLE.firstrow))),0,IF(OFFSET(PLE!$G$14,$M191,BW$13)="",10^12,OFFSET(PLE!$G$14,$M191,BW$13))))</f>
        <v>1000000000000</v>
      </c>
      <c r="BX191" s="182">
        <f ca="1">IF($D191&lt;&gt;"Serviço",0,IF(OR(AND(AUTOEVENTO="Manual",$M191=1),$M191&gt;(ROW(PLE.lastrow)-ROW(PLE.firstrow))),0,IF(OFFSET(PLE!$G$14,$M191,BX$13)="",10^12,OFFSET(PLE!$G$14,$M191,BX$13))))</f>
        <v>1000000000000</v>
      </c>
      <c r="BY191" s="182">
        <f ca="1">IF($D191&lt;&gt;"Serviço",0,IF(OR(AND(AUTOEVENTO="Manual",$M191=1),$M191&gt;(ROW(PLE.lastrow)-ROW(PLE.firstrow))),0,IF(OFFSET(PLE!$G$14,$M191,BY$13)="",10^12,OFFSET(PLE!$G$14,$M191,BY$13))))</f>
        <v>1000000000000</v>
      </c>
      <c r="BZ191" s="182">
        <f ca="1">IF($D191&lt;&gt;"Serviço",0,IF(OR(AND(AUTOEVENTO="Manual",$M191=1),$M191&gt;(ROW(PLE.lastrow)-ROW(PLE.firstrow))),0,IF(OFFSET(PLE!$G$14,$M191,BZ$13)="",10^12,OFFSET(PLE!$G$14,$M191,BZ$13))))</f>
        <v>1000000000000</v>
      </c>
      <c r="CA191" s="182">
        <f ca="1">IF($D191&lt;&gt;"Serviço",0,IF(OR(AND(AUTOEVENTO="Manual",$M191=1),$M191&gt;(ROW(PLE.lastrow)-ROW(PLE.firstrow))),0,IF(OFFSET(PLE!$G$14,$M191,CA$13)="",10^12,OFFSET(PLE!$G$14,$M191,CA$13))))</f>
        <v>1000000000000</v>
      </c>
      <c r="CB191" s="182">
        <f ca="1">IF($D191&lt;&gt;"Serviço",0,IF(OR(AND(AUTOEVENTO="Manual",$M191=1),$M191&gt;(ROW(PLE.lastrow)-ROW(PLE.firstrow))),0,IF(OFFSET(PLE!$G$14,$M191,CB$13)="",10^12,OFFSET(PLE!$G$14,$M191,CB$13))))</f>
        <v>1000000000000</v>
      </c>
      <c r="CC191" s="182">
        <f ca="1">IF($D191&lt;&gt;"Serviço",0,IF(OR(AND(AUTOEVENTO="Manual",$M191=1),$M191&gt;(ROW(PLE.lastrow)-ROW(PLE.firstrow))),0,IF(OFFSET(PLE!$G$14,$M191,CC$13)="",10^12,OFFSET(PLE!$G$14,$M191,CC$13))))</f>
        <v>1000000000000</v>
      </c>
      <c r="CD191" s="182">
        <f ca="1">IF($D191&lt;&gt;"Serviço",0,IF(OR(AND(AUTOEVENTO="Manual",$M191=1),$M191&gt;(ROW(PLE.lastrow)-ROW(PLE.firstrow))),0,IF(OFFSET(PLE!$G$14,$M191,CD$13)="",10^12,OFFSET(PLE!$G$14,$M191,CD$13))))</f>
        <v>1000000000000</v>
      </c>
      <c r="CE191" s="182">
        <f ca="1">IF($D191&lt;&gt;"Serviço",0,IF(OR(AND(AUTOEVENTO="Manual",$M191=1),$M191&gt;(ROW(PLE.lastrow)-ROW(PLE.firstrow))),0,IF(OFFSET(PLE!$G$14,$M191,CE$13)="",10^12,OFFSET(PLE!$G$14,$M191,CE$13))))</f>
        <v>1000000000000</v>
      </c>
      <c r="CF191" s="182">
        <f ca="1">IF($D191&lt;&gt;"Serviço",0,IF(OR(AND(AUTOEVENTO="Manual",$M191=1),$M191&gt;(ROW(PLE.lastrow)-ROW(PLE.firstrow))),0,IF(OFFSET(PLE!$G$14,$M191,CF$13)="",10^12,OFFSET(PLE!$G$14,$M191,CF$13))))</f>
        <v>1000000000000</v>
      </c>
      <c r="CG191" s="182">
        <f ca="1">IF($D191&lt;&gt;"Serviço",0,IF(OR(AND(AUTOEVENTO="Manual",$M191=1),$M191&gt;(ROW(PLE.lastrow)-ROW(PLE.firstrow))),0,IF(OFFSET(PLE!$G$14,$M191,CG$13)="",10^12,OFFSET(PLE!$G$14,$M191,CG$13))))</f>
        <v>1000000000000</v>
      </c>
      <c r="CH191" s="182">
        <f ca="1">IF($D191&lt;&gt;"Serviço",0,IF(OR(AND(AUTOEVENTO="Manual",$M191=1),$M191&gt;(ROW(PLE.lastrow)-ROW(PLE.firstrow))),0,IF(OFFSET(PLE!$G$14,$M191,CH$13)="",10^12,OFFSET(PLE!$G$14,$M191,CH$13))))</f>
        <v>1000000000000</v>
      </c>
      <c r="CI191" s="182">
        <f ca="1">IF($D191&lt;&gt;"Serviço",0,IF(OR(AND(AUTOEVENTO="Manual",$M191=1),$M191&gt;(ROW(PLE.lastrow)-ROW(PLE.firstrow))),0,IF(OFFSET(PLE!$G$14,$M191,CI$13)="",10^12,OFFSET(PLE!$G$14,$M191,CI$13))))</f>
        <v>1000000000000</v>
      </c>
      <c r="CJ191" s="182">
        <f ca="1">IF($D191&lt;&gt;"Serviço",0,IF(OR(AND(AUTOEVENTO="Manual",$M191=1),$M191&gt;(ROW(PLE.lastrow)-ROW(PLE.firstrow))),0,IF(OFFSET(PLE!$G$14,$M191,CJ$13)="",10^12,OFFSET(PLE!$G$14,$M191,CJ$13))))</f>
        <v>1000000000000</v>
      </c>
      <c r="CK191" s="182">
        <f ca="1">IF($D191&lt;&gt;"Serviço",0,IF(OR(AND(AUTOEVENTO="Manual",$M191=1),$M191&gt;(ROW(PLE.lastrow)-ROW(PLE.firstrow))),0,IF(OFFSET(PLE!$G$14,$M191,CK$13)="",10^12,OFFSET(PLE!$G$14,$M191,CK$13))))</f>
        <v>1000000000000</v>
      </c>
      <c r="CL191" s="182">
        <f ca="1">IF($D191&lt;&gt;"Serviço",0,IF(OR(AND(AUTOEVENTO="Manual",$M191=1),$M191&gt;(ROW(PLE.lastrow)-ROW(PLE.firstrow))),0,IF(OFFSET(PLE!$G$14,$M191,CL$13)="",10^12,OFFSET(PLE!$G$14,$M191,CL$13))))</f>
        <v>1000000000000</v>
      </c>
      <c r="CM191" s="182">
        <f ca="1">IF($D191&lt;&gt;"Serviço",0,IF(OR(AND(AUTOEVENTO="Manual",$M191=1),$M191&gt;(ROW(PLE.lastrow)-ROW(PLE.firstrow))),0,IF(OFFSET(PLE!$G$14,$M191,CM$13)="",10^12,OFFSET(PLE!$G$14,$M191,CM$13))))</f>
        <v>1000000000000</v>
      </c>
    </row>
    <row r="192" spans="1:91" ht="38.25" x14ac:dyDescent="0.2">
      <c r="A192" s="7" t="str">
        <f t="shared" ca="1" si="12"/>
        <v>169</v>
      </c>
      <c r="B192" s="7" t="str">
        <f ca="1">OFFSET(ORÇAMENTO!C$15,ROW(B192)-ROW(B$15),0)</f>
        <v>S</v>
      </c>
      <c r="C192" s="7" t="str">
        <f ca="1">OFFSET(ORÇAMENTO!L$15,ROW(C192)-ROW(C$15),0)</f>
        <v/>
      </c>
      <c r="D192" s="118" t="str">
        <f ca="1">OFFSET(ORÇAMENTO!N$15,ROW(D192)-ROW(D$15),0)</f>
        <v>Serviço</v>
      </c>
      <c r="E192" s="119" t="str">
        <f ca="1">OFFSET(ORÇAMENTO!O$15,ROW(E192)-ROW(E$15),0)</f>
        <v>-</v>
      </c>
      <c r="F192" s="172" t="str">
        <f ca="1">OFFSET(ORÇAMENTO!R$15,ROW(F192)-ROW(F$15),0)</f>
        <v>(abra o arquivo 'Referência 06-2024.xlsm)</v>
      </c>
      <c r="G192" s="173" t="str">
        <f ca="1">IF($D192&lt;&gt;"Serviço","",OFFSET(ORÇAMENTO!S$15,ROW(G192)-ROW(G$15),0))</f>
        <v>-</v>
      </c>
      <c r="H192" s="124">
        <f ca="1">IF($D192&lt;&gt;"Serviço",0,IF(ACOMPANHAMENTO="BM",ROUND(OFFSET(ORÇAMENTO!AJ$15,ROW(H192)-ROW(H$15),0),15-13*ORÇAMENTO!$AF$7),SUMPRODUCT(($Q$12:$AI$12&lt;&gt;"")*ROUND($Q192:$AI192,15-13*ORÇAMENTO!$AF$7))))</f>
        <v>8.4600000000000009</v>
      </c>
      <c r="I192" s="561" t="s">
        <v>1107</v>
      </c>
      <c r="K192" s="174"/>
      <c r="L192" s="175" t="s">
        <v>255</v>
      </c>
      <c r="M192" s="176">
        <f ca="1">IF($D192&lt;&gt;"Serviço","",IF(AUTOEVENTO="manual",$A192,IF(ISERROR(MATCH($A192,$A$15:OFFSET($A192,-1,0),0)),MAX($M$15:OFFSET(M192,-1,0))+1,INDEX($M$15:OFFSET(M192,-1,0),MATCH($A192,$A$15:OFFSET($A192,-1,0),0)))))</f>
        <v>27</v>
      </c>
      <c r="N192" s="177" t="str">
        <f ca="1">IF($D192&lt;&gt;"Serviço","",IF(AUTOEVENTO="Manual",IF($A192=0,"&lt;-- defina o número do agrupador",OFFSET(EVENTOS!$D$14,$A192,0)),OFFSET($F$15,$A192,0)))</f>
        <v>REVESTIMENTOS INTERNO E EXTERNO - EDIFICAÇÃO</v>
      </c>
      <c r="O192" s="178"/>
      <c r="Q192" s="178">
        <v>8.4600000000000009</v>
      </c>
      <c r="R192" s="179"/>
      <c r="S192" s="179"/>
      <c r="T192" s="179"/>
      <c r="U192" s="179"/>
      <c r="V192" s="179"/>
      <c r="W192" s="179"/>
      <c r="X192" s="179"/>
      <c r="Y192" s="179"/>
      <c r="Z192" s="180"/>
      <c r="AA192" s="179"/>
      <c r="AB192" s="179"/>
      <c r="AC192" s="179"/>
      <c r="AD192" s="179"/>
      <c r="AE192" s="179"/>
      <c r="AF192" s="179"/>
      <c r="AG192" s="179"/>
      <c r="AH192" s="180"/>
      <c r="AJ192" s="544">
        <f ca="1">IF(AND($D192="Serviço",AJ$12&lt;&gt;0,$H192&gt;0,OR(AUTOEVENTO&lt;&gt;"manual",$M192&lt;&gt;1)),
IF(Import.TipoArredondamento&lt;&gt;"TransfereGOV",
ROUND(OFFSET($P192,0,AJ$13),15-13*ORÇAMENTO!$AF$7)/$H192*OFFSET(ORÇAMENTO!$X$15,ROW(AJ192)-ROW(AJ$15),0),
ROUND(ROUND(OFFSET($P192,0,AJ$13),15-13*ORÇAMENTO!$AF$7)*OFFSET(ORÇAMENTO!$W$15,ROW(AJ192)-ROW(AJ$15),0),15-13*ORÇAMENTO!$AF$11)),0)</f>
        <v>0</v>
      </c>
      <c r="AK192" s="545">
        <f ca="1">IF(AND($D192="Serviço",AK$12&lt;&gt;0,$H192&gt;0,OR(AUTOEVENTO&lt;&gt;"manual",$M192&lt;&gt;1)),
IF(Import.TipoArredondamento&lt;&gt;"TransfereGOV",
ROUND(OFFSET($P192,0,AK$13),15-13*ORÇAMENTO!$AF$7)/$H192*OFFSET(ORÇAMENTO!$X$15,ROW(AK192)-ROW(AK$15),0),
ROUND(ROUND(OFFSET($P192,0,AK$13),15-13*ORÇAMENTO!$AF$7)*OFFSET(ORÇAMENTO!$W$15,ROW(AK192)-ROW(AK$15),0),15-13*ORÇAMENTO!$AF$11)),0)</f>
        <v>0</v>
      </c>
      <c r="AL192" s="545">
        <f ca="1">IF(AND($D192="Serviço",AL$12&lt;&gt;0,$H192&gt;0,OR(AUTOEVENTO&lt;&gt;"manual",$M192&lt;&gt;1)),
IF(Import.TipoArredondamento&lt;&gt;"TransfereGOV",
ROUND(OFFSET($P192,0,AL$13),15-13*ORÇAMENTO!$AF$7)/$H192*OFFSET(ORÇAMENTO!$X$15,ROW(AL192)-ROW(AL$15),0),
ROUND(ROUND(OFFSET($P192,0,AL$13),15-13*ORÇAMENTO!$AF$7)*OFFSET(ORÇAMENTO!$W$15,ROW(AL192)-ROW(AL$15),0),15-13*ORÇAMENTO!$AF$11)),0)</f>
        <v>0</v>
      </c>
      <c r="AM192" s="545">
        <f ca="1">IF(AND($D192="Serviço",AM$12&lt;&gt;0,$H192&gt;0,OR(AUTOEVENTO&lt;&gt;"manual",$M192&lt;&gt;1)),
IF(Import.TipoArredondamento&lt;&gt;"TransfereGOV",
ROUND(OFFSET($P192,0,AM$13),15-13*ORÇAMENTO!$AF$7)/$H192*OFFSET(ORÇAMENTO!$X$15,ROW(AM192)-ROW(AM$15),0),
ROUND(ROUND(OFFSET($P192,0,AM$13),15-13*ORÇAMENTO!$AF$7)*OFFSET(ORÇAMENTO!$W$15,ROW(AM192)-ROW(AM$15),0),15-13*ORÇAMENTO!$AF$11)),0)</f>
        <v>0</v>
      </c>
      <c r="AN192" s="545">
        <f ca="1">IF(AND($D192="Serviço",AN$12&lt;&gt;0,$H192&gt;0,OR(AUTOEVENTO&lt;&gt;"manual",$M192&lt;&gt;1)),
IF(Import.TipoArredondamento&lt;&gt;"TransfereGOV",
ROUND(OFFSET($P192,0,AN$13),15-13*ORÇAMENTO!$AF$7)/$H192*OFFSET(ORÇAMENTO!$X$15,ROW(AN192)-ROW(AN$15),0),
ROUND(ROUND(OFFSET($P192,0,AN$13),15-13*ORÇAMENTO!$AF$7)*OFFSET(ORÇAMENTO!$W$15,ROW(AN192)-ROW(AN$15),0),15-13*ORÇAMENTO!$AF$11)),0)</f>
        <v>0</v>
      </c>
      <c r="AO192" s="545">
        <f ca="1">IF(AND($D192="Serviço",AO$12&lt;&gt;0,$H192&gt;0,OR(AUTOEVENTO&lt;&gt;"manual",$M192&lt;&gt;1)),
IF(Import.TipoArredondamento&lt;&gt;"TransfereGOV",
ROUND(OFFSET($P192,0,AO$13),15-13*ORÇAMENTO!$AF$7)/$H192*OFFSET(ORÇAMENTO!$X$15,ROW(AO192)-ROW(AO$15),0),
ROUND(ROUND(OFFSET($P192,0,AO$13),15-13*ORÇAMENTO!$AF$7)*OFFSET(ORÇAMENTO!$W$15,ROW(AO192)-ROW(AO$15),0),15-13*ORÇAMENTO!$AF$11)),0)</f>
        <v>0</v>
      </c>
      <c r="AP192" s="545">
        <f ca="1">IF(AND($D192="Serviço",AP$12&lt;&gt;0,$H192&gt;0,OR(AUTOEVENTO&lt;&gt;"manual",$M192&lt;&gt;1)),
IF(Import.TipoArredondamento&lt;&gt;"TransfereGOV",
ROUND(OFFSET($P192,0,AP$13),15-13*ORÇAMENTO!$AF$7)/$H192*OFFSET(ORÇAMENTO!$X$15,ROW(AP192)-ROW(AP$15),0),
ROUND(ROUND(OFFSET($P192,0,AP$13),15-13*ORÇAMENTO!$AF$7)*OFFSET(ORÇAMENTO!$W$15,ROW(AP192)-ROW(AP$15),0),15-13*ORÇAMENTO!$AF$11)),0)</f>
        <v>0</v>
      </c>
      <c r="AQ192" s="545">
        <f ca="1">IF(AND($D192="Serviço",AQ$12&lt;&gt;0,$H192&gt;0,OR(AUTOEVENTO&lt;&gt;"manual",$M192&lt;&gt;1)),
IF(Import.TipoArredondamento&lt;&gt;"TransfereGOV",
ROUND(OFFSET($P192,0,AQ$13),15-13*ORÇAMENTO!$AF$7)/$H192*OFFSET(ORÇAMENTO!$X$15,ROW(AQ192)-ROW(AQ$15),0),
ROUND(ROUND(OFFSET($P192,0,AQ$13),15-13*ORÇAMENTO!$AF$7)*OFFSET(ORÇAMENTO!$W$15,ROW(AQ192)-ROW(AQ$15),0),15-13*ORÇAMENTO!$AF$11)),0)</f>
        <v>0</v>
      </c>
      <c r="AR192" s="545">
        <f ca="1">IF(AND($D192="Serviço",AR$12&lt;&gt;0,$H192&gt;0,OR(AUTOEVENTO&lt;&gt;"manual",$M192&lt;&gt;1)),
IF(Import.TipoArredondamento&lt;&gt;"TransfereGOV",
ROUND(OFFSET($P192,0,AR$13),15-13*ORÇAMENTO!$AF$7)/$H192*OFFSET(ORÇAMENTO!$X$15,ROW(AR192)-ROW(AR$15),0),
ROUND(ROUND(OFFSET($P192,0,AR$13),15-13*ORÇAMENTO!$AF$7)*OFFSET(ORÇAMENTO!$W$15,ROW(AR192)-ROW(AR$15),0),15-13*ORÇAMENTO!$AF$11)),0)</f>
        <v>0</v>
      </c>
      <c r="AS192" s="546">
        <f ca="1">IF(AND($D192="Serviço",AS$12&lt;&gt;0,$H192&gt;0,OR(AUTOEVENTO&lt;&gt;"manual",$M192&lt;&gt;1)),
IF(Import.TipoArredondamento&lt;&gt;"TransfereGOV",
ROUND(OFFSET($P192,0,AS$13),15-13*ORÇAMENTO!$AF$7)/$H192*OFFSET(ORÇAMENTO!$X$15,ROW(AS192)-ROW(AS$15),0),
ROUND(ROUND(OFFSET($P192,0,AS$13),15-13*ORÇAMENTO!$AF$7)*OFFSET(ORÇAMENTO!$W$15,ROW(AS192)-ROW(AS$15),0),15-13*ORÇAMENTO!$AF$11)),0)</f>
        <v>0</v>
      </c>
      <c r="AT192" s="545">
        <f ca="1">IF(AND($D192="Serviço",AT$12&lt;&gt;0,$H192&gt;0,OR(AUTOEVENTO&lt;&gt;"manual",$M192&lt;&gt;1)),
IF(Import.TipoArredondamento&lt;&gt;"TransfereGOV",
ROUND(OFFSET($P192,0,AT$13),15-13*ORÇAMENTO!$AF$7)/$H192*OFFSET(ORÇAMENTO!$X$15,ROW(AT192)-ROW(AT$15),0),
ROUND(ROUND(OFFSET($P192,0,AT$13),15-13*ORÇAMENTO!$AF$7)*OFFSET(ORÇAMENTO!$W$15,ROW(AT192)-ROW(AT$15),0),15-13*ORÇAMENTO!$AF$11)),0)</f>
        <v>0</v>
      </c>
      <c r="AU192" s="545">
        <f ca="1">IF(AND($D192="Serviço",AU$12&lt;&gt;0,$H192&gt;0,OR(AUTOEVENTO&lt;&gt;"manual",$M192&lt;&gt;1)),
IF(Import.TipoArredondamento&lt;&gt;"TransfereGOV",
ROUND(OFFSET($P192,0,AU$13),15-13*ORÇAMENTO!$AF$7)/$H192*OFFSET(ORÇAMENTO!$X$15,ROW(AU192)-ROW(AU$15),0),
ROUND(ROUND(OFFSET($P192,0,AU$13),15-13*ORÇAMENTO!$AF$7)*OFFSET(ORÇAMENTO!$W$15,ROW(AU192)-ROW(AU$15),0),15-13*ORÇAMENTO!$AF$11)),0)</f>
        <v>0</v>
      </c>
      <c r="AV192" s="545">
        <f ca="1">IF(AND($D192="Serviço",AV$12&lt;&gt;0,$H192&gt;0,OR(AUTOEVENTO&lt;&gt;"manual",$M192&lt;&gt;1)),
IF(Import.TipoArredondamento&lt;&gt;"TransfereGOV",
ROUND(OFFSET($P192,0,AV$13),15-13*ORÇAMENTO!$AF$7)/$H192*OFFSET(ORÇAMENTO!$X$15,ROW(AV192)-ROW(AV$15),0),
ROUND(ROUND(OFFSET($P192,0,AV$13),15-13*ORÇAMENTO!$AF$7)*OFFSET(ORÇAMENTO!$W$15,ROW(AV192)-ROW(AV$15),0),15-13*ORÇAMENTO!$AF$11)),0)</f>
        <v>0</v>
      </c>
      <c r="AW192" s="545">
        <f ca="1">IF(AND($D192="Serviço",AW$12&lt;&gt;0,$H192&gt;0,OR(AUTOEVENTO&lt;&gt;"manual",$M192&lt;&gt;1)),
IF(Import.TipoArredondamento&lt;&gt;"TransfereGOV",
ROUND(OFFSET($P192,0,AW$13),15-13*ORÇAMENTO!$AF$7)/$H192*OFFSET(ORÇAMENTO!$X$15,ROW(AW192)-ROW(AW$15),0),
ROUND(ROUND(OFFSET($P192,0,AW$13),15-13*ORÇAMENTO!$AF$7)*OFFSET(ORÇAMENTO!$W$15,ROW(AW192)-ROW(AW$15),0),15-13*ORÇAMENTO!$AF$11)),0)</f>
        <v>0</v>
      </c>
      <c r="AX192" s="545">
        <f ca="1">IF(AND($D192="Serviço",AX$12&lt;&gt;0,$H192&gt;0,OR(AUTOEVENTO&lt;&gt;"manual",$M192&lt;&gt;1)),
IF(Import.TipoArredondamento&lt;&gt;"TransfereGOV",
ROUND(OFFSET($P192,0,AX$13),15-13*ORÇAMENTO!$AF$7)/$H192*OFFSET(ORÇAMENTO!$X$15,ROW(AX192)-ROW(AX$15),0),
ROUND(ROUND(OFFSET($P192,0,AX$13),15-13*ORÇAMENTO!$AF$7)*OFFSET(ORÇAMENTO!$W$15,ROW(AX192)-ROW(AX$15),0),15-13*ORÇAMENTO!$AF$11)),0)</f>
        <v>0</v>
      </c>
      <c r="AY192" s="545">
        <f ca="1">IF(AND($D192="Serviço",AY$12&lt;&gt;0,$H192&gt;0,OR(AUTOEVENTO&lt;&gt;"manual",$M192&lt;&gt;1)),
IF(Import.TipoArredondamento&lt;&gt;"TransfereGOV",
ROUND(OFFSET($P192,0,AY$13),15-13*ORÇAMENTO!$AF$7)/$H192*OFFSET(ORÇAMENTO!$X$15,ROW(AY192)-ROW(AY$15),0),
ROUND(ROUND(OFFSET($P192,0,AY$13),15-13*ORÇAMENTO!$AF$7)*OFFSET(ORÇAMENTO!$W$15,ROW(AY192)-ROW(AY$15),0),15-13*ORÇAMENTO!$AF$11)),0)</f>
        <v>0</v>
      </c>
      <c r="AZ192" s="545">
        <f ca="1">IF(AND($D192="Serviço",AZ$12&lt;&gt;0,$H192&gt;0,OR(AUTOEVENTO&lt;&gt;"manual",$M192&lt;&gt;1)),
IF(Import.TipoArredondamento&lt;&gt;"TransfereGOV",
ROUND(OFFSET($P192,0,AZ$13),15-13*ORÇAMENTO!$AF$7)/$H192*OFFSET(ORÇAMENTO!$X$15,ROW(AZ192)-ROW(AZ$15),0),
ROUND(ROUND(OFFSET($P192,0,AZ$13),15-13*ORÇAMENTO!$AF$7)*OFFSET(ORÇAMENTO!$W$15,ROW(AZ192)-ROW(AZ$15),0),15-13*ORÇAMENTO!$AF$11)),0)</f>
        <v>0</v>
      </c>
      <c r="BA192" s="546">
        <f ca="1">IF(AND($D192="Serviço",BA$12&lt;&gt;0,$H192&gt;0,OR(AUTOEVENTO&lt;&gt;"manual",$M192&lt;&gt;1)),
IF(Import.TipoArredondamento&lt;&gt;"TransfereGOV",
ROUND(OFFSET($P192,0,BA$13),15-13*ORÇAMENTO!$AF$7)/$H192*OFFSET(ORÇAMENTO!$X$15,ROW(BA192)-ROW(BA$15),0),
ROUND(ROUND(OFFSET($P192,0,BA$13),15-13*ORÇAMENTO!$AF$7)*OFFSET(ORÇAMENTO!$W$15,ROW(BA192)-ROW(BA$15),0),15-13*ORÇAMENTO!$AF$11)),0)</f>
        <v>0</v>
      </c>
      <c r="BC192" s="181">
        <f ca="1">IF($D192&lt;&gt;"Serviço",0,IF(AND(AUTOEVENTO="Manual",$M192=1),0,IF(OFFSET(CRONOPLE!$F$14,$M192,BC$13)="",10^12,OFFSET(CRONOPLE!$F$14,$M192,BC$13))))</f>
        <v>7</v>
      </c>
      <c r="BD192" s="181">
        <f ca="1">IF($D192&lt;&gt;"Serviço",0,IF(AND(AUTOEVENTO="Manual",$M192=1),0,IF(OFFSET(CRONOPLE!$F$14,$M192,BD$13)="",10^12,OFFSET(CRONOPLE!$F$14,$M192,BD$13))))</f>
        <v>1000000000000</v>
      </c>
      <c r="BE192" s="181">
        <f ca="1">IF($D192&lt;&gt;"Serviço",0,IF(AND(AUTOEVENTO="Manual",$M192=1),0,IF(OFFSET(CRONOPLE!$F$14,$M192,BE$13)="",10^12,OFFSET(CRONOPLE!$F$14,$M192,BE$13))))</f>
        <v>1000000000000</v>
      </c>
      <c r="BF192" s="181">
        <f ca="1">IF($D192&lt;&gt;"Serviço",0,IF(AND(AUTOEVENTO="Manual",$M192=1),0,IF(OFFSET(CRONOPLE!$F$14,$M192,BF$13)="",10^12,OFFSET(CRONOPLE!$F$14,$M192,BF$13))))</f>
        <v>1000000000000</v>
      </c>
      <c r="BG192" s="181">
        <f ca="1">IF($D192&lt;&gt;"Serviço",0,IF(AND(AUTOEVENTO="Manual",$M192=1),0,IF(OFFSET(CRONOPLE!$F$14,$M192,BG$13)="",10^12,OFFSET(CRONOPLE!$F$14,$M192,BG$13))))</f>
        <v>1000000000000</v>
      </c>
      <c r="BH192" s="181">
        <f ca="1">IF($D192&lt;&gt;"Serviço",0,IF(AND(AUTOEVENTO="Manual",$M192=1),0,IF(OFFSET(CRONOPLE!$F$14,$M192,BH$13)="",10^12,OFFSET(CRONOPLE!$F$14,$M192,BH$13))))</f>
        <v>1000000000000</v>
      </c>
      <c r="BI192" s="181">
        <f ca="1">IF($D192&lt;&gt;"Serviço",0,IF(AND(AUTOEVENTO="Manual",$M192=1),0,IF(OFFSET(CRONOPLE!$F$14,$M192,BI$13)="",10^12,OFFSET(CRONOPLE!$F$14,$M192,BI$13))))</f>
        <v>1000000000000</v>
      </c>
      <c r="BJ192" s="181">
        <f ca="1">IF($D192&lt;&gt;"Serviço",0,IF(AND(AUTOEVENTO="Manual",$M192=1),0,IF(OFFSET(CRONOPLE!$F$14,$M192,BJ$13)="",10^12,OFFSET(CRONOPLE!$F$14,$M192,BJ$13))))</f>
        <v>1000000000000</v>
      </c>
      <c r="BK192" s="181">
        <f ca="1">IF($D192&lt;&gt;"Serviço",0,IF(AND(AUTOEVENTO="Manual",$M192=1),0,IF(OFFSET(CRONOPLE!$F$14,$M192,BK$13)="",10^12,OFFSET(CRONOPLE!$F$14,$M192,BK$13))))</f>
        <v>1000000000000</v>
      </c>
      <c r="BL192" s="181">
        <f ca="1">IF($D192&lt;&gt;"Serviço",0,IF(AND(AUTOEVENTO="Manual",$M192=1),0,IF(OFFSET(CRONOPLE!$F$14,$M192,BL$13)="",10^12,OFFSET(CRONOPLE!$F$14,$M192,BL$13))))</f>
        <v>1000000000000</v>
      </c>
      <c r="BM192" s="181">
        <f ca="1">IF($D192&lt;&gt;"Serviço",0,IF(AND(AUTOEVENTO="Manual",$M192=1),0,IF(OFFSET(CRONOPLE!$F$14,$M192,BM$13)="",10^12,OFFSET(CRONOPLE!$F$14,$M192,BM$13))))</f>
        <v>1000000000000</v>
      </c>
      <c r="BN192" s="181">
        <f ca="1">IF($D192&lt;&gt;"Serviço",0,IF(AND(AUTOEVENTO="Manual",$M192=1),0,IF(OFFSET(CRONOPLE!$F$14,$M192,BN$13)="",10^12,OFFSET(CRONOPLE!$F$14,$M192,BN$13))))</f>
        <v>1000000000000</v>
      </c>
      <c r="BO192" s="181">
        <f ca="1">IF($D192&lt;&gt;"Serviço",0,IF(AND(AUTOEVENTO="Manual",$M192=1),0,IF(OFFSET(CRONOPLE!$F$14,$M192,BO$13)="",10^12,OFFSET(CRONOPLE!$F$14,$M192,BO$13))))</f>
        <v>1000000000000</v>
      </c>
      <c r="BP192" s="181">
        <f ca="1">IF($D192&lt;&gt;"Serviço",0,IF(AND(AUTOEVENTO="Manual",$M192=1),0,IF(OFFSET(CRONOPLE!$F$14,$M192,BP$13)="",10^12,OFFSET(CRONOPLE!$F$14,$M192,BP$13))))</f>
        <v>1000000000000</v>
      </c>
      <c r="BQ192" s="181">
        <f ca="1">IF($D192&lt;&gt;"Serviço",0,IF(AND(AUTOEVENTO="Manual",$M192=1),0,IF(OFFSET(CRONOPLE!$F$14,$M192,BQ$13)="",10^12,OFFSET(CRONOPLE!$F$14,$M192,BQ$13))))</f>
        <v>1000000000000</v>
      </c>
      <c r="BR192" s="181">
        <f ca="1">IF($D192&lt;&gt;"Serviço",0,IF(AND(AUTOEVENTO="Manual",$M192=1),0,IF(OFFSET(CRONOPLE!$F$14,$M192,BR$13)="",10^12,OFFSET(CRONOPLE!$F$14,$M192,BR$13))))</f>
        <v>1000000000000</v>
      </c>
      <c r="BS192" s="181">
        <f ca="1">IF($D192&lt;&gt;"Serviço",0,IF(AND(AUTOEVENTO="Manual",$M192=1),0,IF(OFFSET(CRONOPLE!$F$14,$M192,BS$13)="",10^12,OFFSET(CRONOPLE!$F$14,$M192,BS$13))))</f>
        <v>1000000000000</v>
      </c>
      <c r="BT192" s="181">
        <f ca="1">IF($D192&lt;&gt;"Serviço",0,IF(AND(AUTOEVENTO="Manual",$M192=1),0,IF(OFFSET(CRONOPLE!$F$14,$M192,BT$13)="",10^12,OFFSET(CRONOPLE!$F$14,$M192,BT$13))))</f>
        <v>1000000000000</v>
      </c>
      <c r="BV192" s="182">
        <f ca="1">IF($D192&lt;&gt;"Serviço",0,IF(OR(AND(AUTOEVENTO="Manual",$M192=1),$M192&gt;(ROW(PLE.lastrow)-ROW(PLE.firstrow))),0,IF(OFFSET(PLE!$G$14,$M192,BV$13)="",10^12,OFFSET(PLE!$G$14,$M192,BV$13))))</f>
        <v>1000000000000</v>
      </c>
      <c r="BW192" s="182">
        <f ca="1">IF($D192&lt;&gt;"Serviço",0,IF(OR(AND(AUTOEVENTO="Manual",$M192=1),$M192&gt;(ROW(PLE.lastrow)-ROW(PLE.firstrow))),0,IF(OFFSET(PLE!$G$14,$M192,BW$13)="",10^12,OFFSET(PLE!$G$14,$M192,BW$13))))</f>
        <v>1000000000000</v>
      </c>
      <c r="BX192" s="182">
        <f ca="1">IF($D192&lt;&gt;"Serviço",0,IF(OR(AND(AUTOEVENTO="Manual",$M192=1),$M192&gt;(ROW(PLE.lastrow)-ROW(PLE.firstrow))),0,IF(OFFSET(PLE!$G$14,$M192,BX$13)="",10^12,OFFSET(PLE!$G$14,$M192,BX$13))))</f>
        <v>1000000000000</v>
      </c>
      <c r="BY192" s="182">
        <f ca="1">IF($D192&lt;&gt;"Serviço",0,IF(OR(AND(AUTOEVENTO="Manual",$M192=1),$M192&gt;(ROW(PLE.lastrow)-ROW(PLE.firstrow))),0,IF(OFFSET(PLE!$G$14,$M192,BY$13)="",10^12,OFFSET(PLE!$G$14,$M192,BY$13))))</f>
        <v>1000000000000</v>
      </c>
      <c r="BZ192" s="182">
        <f ca="1">IF($D192&lt;&gt;"Serviço",0,IF(OR(AND(AUTOEVENTO="Manual",$M192=1),$M192&gt;(ROW(PLE.lastrow)-ROW(PLE.firstrow))),0,IF(OFFSET(PLE!$G$14,$M192,BZ$13)="",10^12,OFFSET(PLE!$G$14,$M192,BZ$13))))</f>
        <v>1000000000000</v>
      </c>
      <c r="CA192" s="182">
        <f ca="1">IF($D192&lt;&gt;"Serviço",0,IF(OR(AND(AUTOEVENTO="Manual",$M192=1),$M192&gt;(ROW(PLE.lastrow)-ROW(PLE.firstrow))),0,IF(OFFSET(PLE!$G$14,$M192,CA$13)="",10^12,OFFSET(PLE!$G$14,$M192,CA$13))))</f>
        <v>1000000000000</v>
      </c>
      <c r="CB192" s="182">
        <f ca="1">IF($D192&lt;&gt;"Serviço",0,IF(OR(AND(AUTOEVENTO="Manual",$M192=1),$M192&gt;(ROW(PLE.lastrow)-ROW(PLE.firstrow))),0,IF(OFFSET(PLE!$G$14,$M192,CB$13)="",10^12,OFFSET(PLE!$G$14,$M192,CB$13))))</f>
        <v>1000000000000</v>
      </c>
      <c r="CC192" s="182">
        <f ca="1">IF($D192&lt;&gt;"Serviço",0,IF(OR(AND(AUTOEVENTO="Manual",$M192=1),$M192&gt;(ROW(PLE.lastrow)-ROW(PLE.firstrow))),0,IF(OFFSET(PLE!$G$14,$M192,CC$13)="",10^12,OFFSET(PLE!$G$14,$M192,CC$13))))</f>
        <v>1000000000000</v>
      </c>
      <c r="CD192" s="182">
        <f ca="1">IF($D192&lt;&gt;"Serviço",0,IF(OR(AND(AUTOEVENTO="Manual",$M192=1),$M192&gt;(ROW(PLE.lastrow)-ROW(PLE.firstrow))),0,IF(OFFSET(PLE!$G$14,$M192,CD$13)="",10^12,OFFSET(PLE!$G$14,$M192,CD$13))))</f>
        <v>1000000000000</v>
      </c>
      <c r="CE192" s="182">
        <f ca="1">IF($D192&lt;&gt;"Serviço",0,IF(OR(AND(AUTOEVENTO="Manual",$M192=1),$M192&gt;(ROW(PLE.lastrow)-ROW(PLE.firstrow))),0,IF(OFFSET(PLE!$G$14,$M192,CE$13)="",10^12,OFFSET(PLE!$G$14,$M192,CE$13))))</f>
        <v>1000000000000</v>
      </c>
      <c r="CF192" s="182">
        <f ca="1">IF($D192&lt;&gt;"Serviço",0,IF(OR(AND(AUTOEVENTO="Manual",$M192=1),$M192&gt;(ROW(PLE.lastrow)-ROW(PLE.firstrow))),0,IF(OFFSET(PLE!$G$14,$M192,CF$13)="",10^12,OFFSET(PLE!$G$14,$M192,CF$13))))</f>
        <v>1000000000000</v>
      </c>
      <c r="CG192" s="182">
        <f ca="1">IF($D192&lt;&gt;"Serviço",0,IF(OR(AND(AUTOEVENTO="Manual",$M192=1),$M192&gt;(ROW(PLE.lastrow)-ROW(PLE.firstrow))),0,IF(OFFSET(PLE!$G$14,$M192,CG$13)="",10^12,OFFSET(PLE!$G$14,$M192,CG$13))))</f>
        <v>1000000000000</v>
      </c>
      <c r="CH192" s="182">
        <f ca="1">IF($D192&lt;&gt;"Serviço",0,IF(OR(AND(AUTOEVENTO="Manual",$M192=1),$M192&gt;(ROW(PLE.lastrow)-ROW(PLE.firstrow))),0,IF(OFFSET(PLE!$G$14,$M192,CH$13)="",10^12,OFFSET(PLE!$G$14,$M192,CH$13))))</f>
        <v>1000000000000</v>
      </c>
      <c r="CI192" s="182">
        <f ca="1">IF($D192&lt;&gt;"Serviço",0,IF(OR(AND(AUTOEVENTO="Manual",$M192=1),$M192&gt;(ROW(PLE.lastrow)-ROW(PLE.firstrow))),0,IF(OFFSET(PLE!$G$14,$M192,CI$13)="",10^12,OFFSET(PLE!$G$14,$M192,CI$13))))</f>
        <v>1000000000000</v>
      </c>
      <c r="CJ192" s="182">
        <f ca="1">IF($D192&lt;&gt;"Serviço",0,IF(OR(AND(AUTOEVENTO="Manual",$M192=1),$M192&gt;(ROW(PLE.lastrow)-ROW(PLE.firstrow))),0,IF(OFFSET(PLE!$G$14,$M192,CJ$13)="",10^12,OFFSET(PLE!$G$14,$M192,CJ$13))))</f>
        <v>1000000000000</v>
      </c>
      <c r="CK192" s="182">
        <f ca="1">IF($D192&lt;&gt;"Serviço",0,IF(OR(AND(AUTOEVENTO="Manual",$M192=1),$M192&gt;(ROW(PLE.lastrow)-ROW(PLE.firstrow))),0,IF(OFFSET(PLE!$G$14,$M192,CK$13)="",10^12,OFFSET(PLE!$G$14,$M192,CK$13))))</f>
        <v>1000000000000</v>
      </c>
      <c r="CL192" s="182">
        <f ca="1">IF($D192&lt;&gt;"Serviço",0,IF(OR(AND(AUTOEVENTO="Manual",$M192=1),$M192&gt;(ROW(PLE.lastrow)-ROW(PLE.firstrow))),0,IF(OFFSET(PLE!$G$14,$M192,CL$13)="",10^12,OFFSET(PLE!$G$14,$M192,CL$13))))</f>
        <v>1000000000000</v>
      </c>
      <c r="CM192" s="182">
        <f ca="1">IF($D192&lt;&gt;"Serviço",0,IF(OR(AND(AUTOEVENTO="Manual",$M192=1),$M192&gt;(ROW(PLE.lastrow)-ROW(PLE.firstrow))),0,IF(OFFSET(PLE!$G$14,$M192,CM$13)="",10^12,OFFSET(PLE!$G$14,$M192,CM$13))))</f>
        <v>1000000000000</v>
      </c>
    </row>
    <row r="193" spans="1:91" ht="38.25" x14ac:dyDescent="0.2">
      <c r="A193" s="7" t="str">
        <f t="shared" ca="1" si="12"/>
        <v>169</v>
      </c>
      <c r="B193" s="7" t="str">
        <f ca="1">OFFSET(ORÇAMENTO!C$15,ROW(B193)-ROW(B$15),0)</f>
        <v>S</v>
      </c>
      <c r="C193" s="7" t="str">
        <f ca="1">OFFSET(ORÇAMENTO!L$15,ROW(C193)-ROW(C$15),0)</f>
        <v/>
      </c>
      <c r="D193" s="118" t="str">
        <f ca="1">OFFSET(ORÇAMENTO!N$15,ROW(D193)-ROW(D$15),0)</f>
        <v>Serviço</v>
      </c>
      <c r="E193" s="119" t="str">
        <f ca="1">OFFSET(ORÇAMENTO!O$15,ROW(E193)-ROW(E$15),0)</f>
        <v>-</v>
      </c>
      <c r="F193" s="172" t="str">
        <f ca="1">OFFSET(ORÇAMENTO!R$15,ROW(F193)-ROW(F$15),0)</f>
        <v>(abra o arquivo 'Referência 06-2024.xlsm)</v>
      </c>
      <c r="G193" s="173" t="str">
        <f ca="1">IF($D193&lt;&gt;"Serviço","",OFFSET(ORÇAMENTO!S$15,ROW(G193)-ROW(G$15),0))</f>
        <v>-</v>
      </c>
      <c r="H193" s="124">
        <f ca="1">IF($D193&lt;&gt;"Serviço",0,IF(ACOMPANHAMENTO="BM",ROUND(OFFSET(ORÇAMENTO!AJ$15,ROW(H193)-ROW(H$15),0),15-13*ORÇAMENTO!$AF$7),SUMPRODUCT(($Q$12:$AI$12&lt;&gt;"")*ROUND($Q193:$AI193,15-13*ORÇAMENTO!$AF$7))))</f>
        <v>15.01</v>
      </c>
      <c r="I193" s="561" t="s">
        <v>1107</v>
      </c>
      <c r="K193" s="174"/>
      <c r="L193" s="175" t="s">
        <v>255</v>
      </c>
      <c r="M193" s="176">
        <f ca="1">IF($D193&lt;&gt;"Serviço","",IF(AUTOEVENTO="manual",$A193,IF(ISERROR(MATCH($A193,$A$15:OFFSET($A193,-1,0),0)),MAX($M$15:OFFSET(M193,-1,0))+1,INDEX($M$15:OFFSET(M193,-1,0),MATCH($A193,$A$15:OFFSET($A193,-1,0),0)))))</f>
        <v>27</v>
      </c>
      <c r="N193" s="177" t="str">
        <f ca="1">IF($D193&lt;&gt;"Serviço","",IF(AUTOEVENTO="Manual",IF($A193=0,"&lt;-- defina o número do agrupador",OFFSET(EVENTOS!$D$14,$A193,0)),OFFSET($F$15,$A193,0)))</f>
        <v>REVESTIMENTOS INTERNO E EXTERNO - EDIFICAÇÃO</v>
      </c>
      <c r="O193" s="178"/>
      <c r="Q193" s="178">
        <v>15.01</v>
      </c>
      <c r="R193" s="179"/>
      <c r="S193" s="179"/>
      <c r="T193" s="179"/>
      <c r="U193" s="179"/>
      <c r="V193" s="179"/>
      <c r="W193" s="179"/>
      <c r="X193" s="179"/>
      <c r="Y193" s="179"/>
      <c r="Z193" s="180"/>
      <c r="AA193" s="179"/>
      <c r="AB193" s="179"/>
      <c r="AC193" s="179"/>
      <c r="AD193" s="179"/>
      <c r="AE193" s="179"/>
      <c r="AF193" s="179"/>
      <c r="AG193" s="179"/>
      <c r="AH193" s="180"/>
      <c r="AJ193" s="544">
        <f ca="1">IF(AND($D193="Serviço",AJ$12&lt;&gt;0,$H193&gt;0,OR(AUTOEVENTO&lt;&gt;"manual",$M193&lt;&gt;1)),
IF(Import.TipoArredondamento&lt;&gt;"TransfereGOV",
ROUND(OFFSET($P193,0,AJ$13),15-13*ORÇAMENTO!$AF$7)/$H193*OFFSET(ORÇAMENTO!$X$15,ROW(AJ193)-ROW(AJ$15),0),
ROUND(ROUND(OFFSET($P193,0,AJ$13),15-13*ORÇAMENTO!$AF$7)*OFFSET(ORÇAMENTO!$W$15,ROW(AJ193)-ROW(AJ$15),0),15-13*ORÇAMENTO!$AF$11)),0)</f>
        <v>0</v>
      </c>
      <c r="AK193" s="545">
        <f ca="1">IF(AND($D193="Serviço",AK$12&lt;&gt;0,$H193&gt;0,OR(AUTOEVENTO&lt;&gt;"manual",$M193&lt;&gt;1)),
IF(Import.TipoArredondamento&lt;&gt;"TransfereGOV",
ROUND(OFFSET($P193,0,AK$13),15-13*ORÇAMENTO!$AF$7)/$H193*OFFSET(ORÇAMENTO!$X$15,ROW(AK193)-ROW(AK$15),0),
ROUND(ROUND(OFFSET($P193,0,AK$13),15-13*ORÇAMENTO!$AF$7)*OFFSET(ORÇAMENTO!$W$15,ROW(AK193)-ROW(AK$15),0),15-13*ORÇAMENTO!$AF$11)),0)</f>
        <v>0</v>
      </c>
      <c r="AL193" s="545">
        <f ca="1">IF(AND($D193="Serviço",AL$12&lt;&gt;0,$H193&gt;0,OR(AUTOEVENTO&lt;&gt;"manual",$M193&lt;&gt;1)),
IF(Import.TipoArredondamento&lt;&gt;"TransfereGOV",
ROUND(OFFSET($P193,0,AL$13),15-13*ORÇAMENTO!$AF$7)/$H193*OFFSET(ORÇAMENTO!$X$15,ROW(AL193)-ROW(AL$15),0),
ROUND(ROUND(OFFSET($P193,0,AL$13),15-13*ORÇAMENTO!$AF$7)*OFFSET(ORÇAMENTO!$W$15,ROW(AL193)-ROW(AL$15),0),15-13*ORÇAMENTO!$AF$11)),0)</f>
        <v>0</v>
      </c>
      <c r="AM193" s="545">
        <f ca="1">IF(AND($D193="Serviço",AM$12&lt;&gt;0,$H193&gt;0,OR(AUTOEVENTO&lt;&gt;"manual",$M193&lt;&gt;1)),
IF(Import.TipoArredondamento&lt;&gt;"TransfereGOV",
ROUND(OFFSET($P193,0,AM$13),15-13*ORÇAMENTO!$AF$7)/$H193*OFFSET(ORÇAMENTO!$X$15,ROW(AM193)-ROW(AM$15),0),
ROUND(ROUND(OFFSET($P193,0,AM$13),15-13*ORÇAMENTO!$AF$7)*OFFSET(ORÇAMENTO!$W$15,ROW(AM193)-ROW(AM$15),0),15-13*ORÇAMENTO!$AF$11)),0)</f>
        <v>0</v>
      </c>
      <c r="AN193" s="545">
        <f ca="1">IF(AND($D193="Serviço",AN$12&lt;&gt;0,$H193&gt;0,OR(AUTOEVENTO&lt;&gt;"manual",$M193&lt;&gt;1)),
IF(Import.TipoArredondamento&lt;&gt;"TransfereGOV",
ROUND(OFFSET($P193,0,AN$13),15-13*ORÇAMENTO!$AF$7)/$H193*OFFSET(ORÇAMENTO!$X$15,ROW(AN193)-ROW(AN$15),0),
ROUND(ROUND(OFFSET($P193,0,AN$13),15-13*ORÇAMENTO!$AF$7)*OFFSET(ORÇAMENTO!$W$15,ROW(AN193)-ROW(AN$15),0),15-13*ORÇAMENTO!$AF$11)),0)</f>
        <v>0</v>
      </c>
      <c r="AO193" s="545">
        <f ca="1">IF(AND($D193="Serviço",AO$12&lt;&gt;0,$H193&gt;0,OR(AUTOEVENTO&lt;&gt;"manual",$M193&lt;&gt;1)),
IF(Import.TipoArredondamento&lt;&gt;"TransfereGOV",
ROUND(OFFSET($P193,0,AO$13),15-13*ORÇAMENTO!$AF$7)/$H193*OFFSET(ORÇAMENTO!$X$15,ROW(AO193)-ROW(AO$15),0),
ROUND(ROUND(OFFSET($P193,0,AO$13),15-13*ORÇAMENTO!$AF$7)*OFFSET(ORÇAMENTO!$W$15,ROW(AO193)-ROW(AO$15),0),15-13*ORÇAMENTO!$AF$11)),0)</f>
        <v>0</v>
      </c>
      <c r="AP193" s="545">
        <f ca="1">IF(AND($D193="Serviço",AP$12&lt;&gt;0,$H193&gt;0,OR(AUTOEVENTO&lt;&gt;"manual",$M193&lt;&gt;1)),
IF(Import.TipoArredondamento&lt;&gt;"TransfereGOV",
ROUND(OFFSET($P193,0,AP$13),15-13*ORÇAMENTO!$AF$7)/$H193*OFFSET(ORÇAMENTO!$X$15,ROW(AP193)-ROW(AP$15),0),
ROUND(ROUND(OFFSET($P193,0,AP$13),15-13*ORÇAMENTO!$AF$7)*OFFSET(ORÇAMENTO!$W$15,ROW(AP193)-ROW(AP$15),0),15-13*ORÇAMENTO!$AF$11)),0)</f>
        <v>0</v>
      </c>
      <c r="AQ193" s="545">
        <f ca="1">IF(AND($D193="Serviço",AQ$12&lt;&gt;0,$H193&gt;0,OR(AUTOEVENTO&lt;&gt;"manual",$M193&lt;&gt;1)),
IF(Import.TipoArredondamento&lt;&gt;"TransfereGOV",
ROUND(OFFSET($P193,0,AQ$13),15-13*ORÇAMENTO!$AF$7)/$H193*OFFSET(ORÇAMENTO!$X$15,ROW(AQ193)-ROW(AQ$15),0),
ROUND(ROUND(OFFSET($P193,0,AQ$13),15-13*ORÇAMENTO!$AF$7)*OFFSET(ORÇAMENTO!$W$15,ROW(AQ193)-ROW(AQ$15),0),15-13*ORÇAMENTO!$AF$11)),0)</f>
        <v>0</v>
      </c>
      <c r="AR193" s="545">
        <f ca="1">IF(AND($D193="Serviço",AR$12&lt;&gt;0,$H193&gt;0,OR(AUTOEVENTO&lt;&gt;"manual",$M193&lt;&gt;1)),
IF(Import.TipoArredondamento&lt;&gt;"TransfereGOV",
ROUND(OFFSET($P193,0,AR$13),15-13*ORÇAMENTO!$AF$7)/$H193*OFFSET(ORÇAMENTO!$X$15,ROW(AR193)-ROW(AR$15),0),
ROUND(ROUND(OFFSET($P193,0,AR$13),15-13*ORÇAMENTO!$AF$7)*OFFSET(ORÇAMENTO!$W$15,ROW(AR193)-ROW(AR$15),0),15-13*ORÇAMENTO!$AF$11)),0)</f>
        <v>0</v>
      </c>
      <c r="AS193" s="546">
        <f ca="1">IF(AND($D193="Serviço",AS$12&lt;&gt;0,$H193&gt;0,OR(AUTOEVENTO&lt;&gt;"manual",$M193&lt;&gt;1)),
IF(Import.TipoArredondamento&lt;&gt;"TransfereGOV",
ROUND(OFFSET($P193,0,AS$13),15-13*ORÇAMENTO!$AF$7)/$H193*OFFSET(ORÇAMENTO!$X$15,ROW(AS193)-ROW(AS$15),0),
ROUND(ROUND(OFFSET($P193,0,AS$13),15-13*ORÇAMENTO!$AF$7)*OFFSET(ORÇAMENTO!$W$15,ROW(AS193)-ROW(AS$15),0),15-13*ORÇAMENTO!$AF$11)),0)</f>
        <v>0</v>
      </c>
      <c r="AT193" s="545">
        <f ca="1">IF(AND($D193="Serviço",AT$12&lt;&gt;0,$H193&gt;0,OR(AUTOEVENTO&lt;&gt;"manual",$M193&lt;&gt;1)),
IF(Import.TipoArredondamento&lt;&gt;"TransfereGOV",
ROUND(OFFSET($P193,0,AT$13),15-13*ORÇAMENTO!$AF$7)/$H193*OFFSET(ORÇAMENTO!$X$15,ROW(AT193)-ROW(AT$15),0),
ROUND(ROUND(OFFSET($P193,0,AT$13),15-13*ORÇAMENTO!$AF$7)*OFFSET(ORÇAMENTO!$W$15,ROW(AT193)-ROW(AT$15),0),15-13*ORÇAMENTO!$AF$11)),0)</f>
        <v>0</v>
      </c>
      <c r="AU193" s="545">
        <f ca="1">IF(AND($D193="Serviço",AU$12&lt;&gt;0,$H193&gt;0,OR(AUTOEVENTO&lt;&gt;"manual",$M193&lt;&gt;1)),
IF(Import.TipoArredondamento&lt;&gt;"TransfereGOV",
ROUND(OFFSET($P193,0,AU$13),15-13*ORÇAMENTO!$AF$7)/$H193*OFFSET(ORÇAMENTO!$X$15,ROW(AU193)-ROW(AU$15),0),
ROUND(ROUND(OFFSET($P193,0,AU$13),15-13*ORÇAMENTO!$AF$7)*OFFSET(ORÇAMENTO!$W$15,ROW(AU193)-ROW(AU$15),0),15-13*ORÇAMENTO!$AF$11)),0)</f>
        <v>0</v>
      </c>
      <c r="AV193" s="545">
        <f ca="1">IF(AND($D193="Serviço",AV$12&lt;&gt;0,$H193&gt;0,OR(AUTOEVENTO&lt;&gt;"manual",$M193&lt;&gt;1)),
IF(Import.TipoArredondamento&lt;&gt;"TransfereGOV",
ROUND(OFFSET($P193,0,AV$13),15-13*ORÇAMENTO!$AF$7)/$H193*OFFSET(ORÇAMENTO!$X$15,ROW(AV193)-ROW(AV$15),0),
ROUND(ROUND(OFFSET($P193,0,AV$13),15-13*ORÇAMENTO!$AF$7)*OFFSET(ORÇAMENTO!$W$15,ROW(AV193)-ROW(AV$15),0),15-13*ORÇAMENTO!$AF$11)),0)</f>
        <v>0</v>
      </c>
      <c r="AW193" s="545">
        <f ca="1">IF(AND($D193="Serviço",AW$12&lt;&gt;0,$H193&gt;0,OR(AUTOEVENTO&lt;&gt;"manual",$M193&lt;&gt;1)),
IF(Import.TipoArredondamento&lt;&gt;"TransfereGOV",
ROUND(OFFSET($P193,0,AW$13),15-13*ORÇAMENTO!$AF$7)/$H193*OFFSET(ORÇAMENTO!$X$15,ROW(AW193)-ROW(AW$15),0),
ROUND(ROUND(OFFSET($P193,0,AW$13),15-13*ORÇAMENTO!$AF$7)*OFFSET(ORÇAMENTO!$W$15,ROW(AW193)-ROW(AW$15),0),15-13*ORÇAMENTO!$AF$11)),0)</f>
        <v>0</v>
      </c>
      <c r="AX193" s="545">
        <f ca="1">IF(AND($D193="Serviço",AX$12&lt;&gt;0,$H193&gt;0,OR(AUTOEVENTO&lt;&gt;"manual",$M193&lt;&gt;1)),
IF(Import.TipoArredondamento&lt;&gt;"TransfereGOV",
ROUND(OFFSET($P193,0,AX$13),15-13*ORÇAMENTO!$AF$7)/$H193*OFFSET(ORÇAMENTO!$X$15,ROW(AX193)-ROW(AX$15),0),
ROUND(ROUND(OFFSET($P193,0,AX$13),15-13*ORÇAMENTO!$AF$7)*OFFSET(ORÇAMENTO!$W$15,ROW(AX193)-ROW(AX$15),0),15-13*ORÇAMENTO!$AF$11)),0)</f>
        <v>0</v>
      </c>
      <c r="AY193" s="545">
        <f ca="1">IF(AND($D193="Serviço",AY$12&lt;&gt;0,$H193&gt;0,OR(AUTOEVENTO&lt;&gt;"manual",$M193&lt;&gt;1)),
IF(Import.TipoArredondamento&lt;&gt;"TransfereGOV",
ROUND(OFFSET($P193,0,AY$13),15-13*ORÇAMENTO!$AF$7)/$H193*OFFSET(ORÇAMENTO!$X$15,ROW(AY193)-ROW(AY$15),0),
ROUND(ROUND(OFFSET($P193,0,AY$13),15-13*ORÇAMENTO!$AF$7)*OFFSET(ORÇAMENTO!$W$15,ROW(AY193)-ROW(AY$15),0),15-13*ORÇAMENTO!$AF$11)),0)</f>
        <v>0</v>
      </c>
      <c r="AZ193" s="545">
        <f ca="1">IF(AND($D193="Serviço",AZ$12&lt;&gt;0,$H193&gt;0,OR(AUTOEVENTO&lt;&gt;"manual",$M193&lt;&gt;1)),
IF(Import.TipoArredondamento&lt;&gt;"TransfereGOV",
ROUND(OFFSET($P193,0,AZ$13),15-13*ORÇAMENTO!$AF$7)/$H193*OFFSET(ORÇAMENTO!$X$15,ROW(AZ193)-ROW(AZ$15),0),
ROUND(ROUND(OFFSET($P193,0,AZ$13),15-13*ORÇAMENTO!$AF$7)*OFFSET(ORÇAMENTO!$W$15,ROW(AZ193)-ROW(AZ$15),0),15-13*ORÇAMENTO!$AF$11)),0)</f>
        <v>0</v>
      </c>
      <c r="BA193" s="546">
        <f ca="1">IF(AND($D193="Serviço",BA$12&lt;&gt;0,$H193&gt;0,OR(AUTOEVENTO&lt;&gt;"manual",$M193&lt;&gt;1)),
IF(Import.TipoArredondamento&lt;&gt;"TransfereGOV",
ROUND(OFFSET($P193,0,BA$13),15-13*ORÇAMENTO!$AF$7)/$H193*OFFSET(ORÇAMENTO!$X$15,ROW(BA193)-ROW(BA$15),0),
ROUND(ROUND(OFFSET($P193,0,BA$13),15-13*ORÇAMENTO!$AF$7)*OFFSET(ORÇAMENTO!$W$15,ROW(BA193)-ROW(BA$15),0),15-13*ORÇAMENTO!$AF$11)),0)</f>
        <v>0</v>
      </c>
      <c r="BC193" s="181">
        <f ca="1">IF($D193&lt;&gt;"Serviço",0,IF(AND(AUTOEVENTO="Manual",$M193=1),0,IF(OFFSET(CRONOPLE!$F$14,$M193,BC$13)="",10^12,OFFSET(CRONOPLE!$F$14,$M193,BC$13))))</f>
        <v>7</v>
      </c>
      <c r="BD193" s="181">
        <f ca="1">IF($D193&lt;&gt;"Serviço",0,IF(AND(AUTOEVENTO="Manual",$M193=1),0,IF(OFFSET(CRONOPLE!$F$14,$M193,BD$13)="",10^12,OFFSET(CRONOPLE!$F$14,$M193,BD$13))))</f>
        <v>1000000000000</v>
      </c>
      <c r="BE193" s="181">
        <f ca="1">IF($D193&lt;&gt;"Serviço",0,IF(AND(AUTOEVENTO="Manual",$M193=1),0,IF(OFFSET(CRONOPLE!$F$14,$M193,BE$13)="",10^12,OFFSET(CRONOPLE!$F$14,$M193,BE$13))))</f>
        <v>1000000000000</v>
      </c>
      <c r="BF193" s="181">
        <f ca="1">IF($D193&lt;&gt;"Serviço",0,IF(AND(AUTOEVENTO="Manual",$M193=1),0,IF(OFFSET(CRONOPLE!$F$14,$M193,BF$13)="",10^12,OFFSET(CRONOPLE!$F$14,$M193,BF$13))))</f>
        <v>1000000000000</v>
      </c>
      <c r="BG193" s="181">
        <f ca="1">IF($D193&lt;&gt;"Serviço",0,IF(AND(AUTOEVENTO="Manual",$M193=1),0,IF(OFFSET(CRONOPLE!$F$14,$M193,BG$13)="",10^12,OFFSET(CRONOPLE!$F$14,$M193,BG$13))))</f>
        <v>1000000000000</v>
      </c>
      <c r="BH193" s="181">
        <f ca="1">IF($D193&lt;&gt;"Serviço",0,IF(AND(AUTOEVENTO="Manual",$M193=1),0,IF(OFFSET(CRONOPLE!$F$14,$M193,BH$13)="",10^12,OFFSET(CRONOPLE!$F$14,$M193,BH$13))))</f>
        <v>1000000000000</v>
      </c>
      <c r="BI193" s="181">
        <f ca="1">IF($D193&lt;&gt;"Serviço",0,IF(AND(AUTOEVENTO="Manual",$M193=1),0,IF(OFFSET(CRONOPLE!$F$14,$M193,BI$13)="",10^12,OFFSET(CRONOPLE!$F$14,$M193,BI$13))))</f>
        <v>1000000000000</v>
      </c>
      <c r="BJ193" s="181">
        <f ca="1">IF($D193&lt;&gt;"Serviço",0,IF(AND(AUTOEVENTO="Manual",$M193=1),0,IF(OFFSET(CRONOPLE!$F$14,$M193,BJ$13)="",10^12,OFFSET(CRONOPLE!$F$14,$M193,BJ$13))))</f>
        <v>1000000000000</v>
      </c>
      <c r="BK193" s="181">
        <f ca="1">IF($D193&lt;&gt;"Serviço",0,IF(AND(AUTOEVENTO="Manual",$M193=1),0,IF(OFFSET(CRONOPLE!$F$14,$M193,BK$13)="",10^12,OFFSET(CRONOPLE!$F$14,$M193,BK$13))))</f>
        <v>1000000000000</v>
      </c>
      <c r="BL193" s="181">
        <f ca="1">IF($D193&lt;&gt;"Serviço",0,IF(AND(AUTOEVENTO="Manual",$M193=1),0,IF(OFFSET(CRONOPLE!$F$14,$M193,BL$13)="",10^12,OFFSET(CRONOPLE!$F$14,$M193,BL$13))))</f>
        <v>1000000000000</v>
      </c>
      <c r="BM193" s="181">
        <f ca="1">IF($D193&lt;&gt;"Serviço",0,IF(AND(AUTOEVENTO="Manual",$M193=1),0,IF(OFFSET(CRONOPLE!$F$14,$M193,BM$13)="",10^12,OFFSET(CRONOPLE!$F$14,$M193,BM$13))))</f>
        <v>1000000000000</v>
      </c>
      <c r="BN193" s="181">
        <f ca="1">IF($D193&lt;&gt;"Serviço",0,IF(AND(AUTOEVENTO="Manual",$M193=1),0,IF(OFFSET(CRONOPLE!$F$14,$M193,BN$13)="",10^12,OFFSET(CRONOPLE!$F$14,$M193,BN$13))))</f>
        <v>1000000000000</v>
      </c>
      <c r="BO193" s="181">
        <f ca="1">IF($D193&lt;&gt;"Serviço",0,IF(AND(AUTOEVENTO="Manual",$M193=1),0,IF(OFFSET(CRONOPLE!$F$14,$M193,BO$13)="",10^12,OFFSET(CRONOPLE!$F$14,$M193,BO$13))))</f>
        <v>1000000000000</v>
      </c>
      <c r="BP193" s="181">
        <f ca="1">IF($D193&lt;&gt;"Serviço",0,IF(AND(AUTOEVENTO="Manual",$M193=1),0,IF(OFFSET(CRONOPLE!$F$14,$M193,BP$13)="",10^12,OFFSET(CRONOPLE!$F$14,$M193,BP$13))))</f>
        <v>1000000000000</v>
      </c>
      <c r="BQ193" s="181">
        <f ca="1">IF($D193&lt;&gt;"Serviço",0,IF(AND(AUTOEVENTO="Manual",$M193=1),0,IF(OFFSET(CRONOPLE!$F$14,$M193,BQ$13)="",10^12,OFFSET(CRONOPLE!$F$14,$M193,BQ$13))))</f>
        <v>1000000000000</v>
      </c>
      <c r="BR193" s="181">
        <f ca="1">IF($D193&lt;&gt;"Serviço",0,IF(AND(AUTOEVENTO="Manual",$M193=1),0,IF(OFFSET(CRONOPLE!$F$14,$M193,BR$13)="",10^12,OFFSET(CRONOPLE!$F$14,$M193,BR$13))))</f>
        <v>1000000000000</v>
      </c>
      <c r="BS193" s="181">
        <f ca="1">IF($D193&lt;&gt;"Serviço",0,IF(AND(AUTOEVENTO="Manual",$M193=1),0,IF(OFFSET(CRONOPLE!$F$14,$M193,BS$13)="",10^12,OFFSET(CRONOPLE!$F$14,$M193,BS$13))))</f>
        <v>1000000000000</v>
      </c>
      <c r="BT193" s="181">
        <f ca="1">IF($D193&lt;&gt;"Serviço",0,IF(AND(AUTOEVENTO="Manual",$M193=1),0,IF(OFFSET(CRONOPLE!$F$14,$M193,BT$13)="",10^12,OFFSET(CRONOPLE!$F$14,$M193,BT$13))))</f>
        <v>1000000000000</v>
      </c>
      <c r="BV193" s="182">
        <f ca="1">IF($D193&lt;&gt;"Serviço",0,IF(OR(AND(AUTOEVENTO="Manual",$M193=1),$M193&gt;(ROW(PLE.lastrow)-ROW(PLE.firstrow))),0,IF(OFFSET(PLE!$G$14,$M193,BV$13)="",10^12,OFFSET(PLE!$G$14,$M193,BV$13))))</f>
        <v>1000000000000</v>
      </c>
      <c r="BW193" s="182">
        <f ca="1">IF($D193&lt;&gt;"Serviço",0,IF(OR(AND(AUTOEVENTO="Manual",$M193=1),$M193&gt;(ROW(PLE.lastrow)-ROW(PLE.firstrow))),0,IF(OFFSET(PLE!$G$14,$M193,BW$13)="",10^12,OFFSET(PLE!$G$14,$M193,BW$13))))</f>
        <v>1000000000000</v>
      </c>
      <c r="BX193" s="182">
        <f ca="1">IF($D193&lt;&gt;"Serviço",0,IF(OR(AND(AUTOEVENTO="Manual",$M193=1),$M193&gt;(ROW(PLE.lastrow)-ROW(PLE.firstrow))),0,IF(OFFSET(PLE!$G$14,$M193,BX$13)="",10^12,OFFSET(PLE!$G$14,$M193,BX$13))))</f>
        <v>1000000000000</v>
      </c>
      <c r="BY193" s="182">
        <f ca="1">IF($D193&lt;&gt;"Serviço",0,IF(OR(AND(AUTOEVENTO="Manual",$M193=1),$M193&gt;(ROW(PLE.lastrow)-ROW(PLE.firstrow))),0,IF(OFFSET(PLE!$G$14,$M193,BY$13)="",10^12,OFFSET(PLE!$G$14,$M193,BY$13))))</f>
        <v>1000000000000</v>
      </c>
      <c r="BZ193" s="182">
        <f ca="1">IF($D193&lt;&gt;"Serviço",0,IF(OR(AND(AUTOEVENTO="Manual",$M193=1),$M193&gt;(ROW(PLE.lastrow)-ROW(PLE.firstrow))),0,IF(OFFSET(PLE!$G$14,$M193,BZ$13)="",10^12,OFFSET(PLE!$G$14,$M193,BZ$13))))</f>
        <v>1000000000000</v>
      </c>
      <c r="CA193" s="182">
        <f ca="1">IF($D193&lt;&gt;"Serviço",0,IF(OR(AND(AUTOEVENTO="Manual",$M193=1),$M193&gt;(ROW(PLE.lastrow)-ROW(PLE.firstrow))),0,IF(OFFSET(PLE!$G$14,$M193,CA$13)="",10^12,OFFSET(PLE!$G$14,$M193,CA$13))))</f>
        <v>1000000000000</v>
      </c>
      <c r="CB193" s="182">
        <f ca="1">IF($D193&lt;&gt;"Serviço",0,IF(OR(AND(AUTOEVENTO="Manual",$M193=1),$M193&gt;(ROW(PLE.lastrow)-ROW(PLE.firstrow))),0,IF(OFFSET(PLE!$G$14,$M193,CB$13)="",10^12,OFFSET(PLE!$G$14,$M193,CB$13))))</f>
        <v>1000000000000</v>
      </c>
      <c r="CC193" s="182">
        <f ca="1">IF($D193&lt;&gt;"Serviço",0,IF(OR(AND(AUTOEVENTO="Manual",$M193=1),$M193&gt;(ROW(PLE.lastrow)-ROW(PLE.firstrow))),0,IF(OFFSET(PLE!$G$14,$M193,CC$13)="",10^12,OFFSET(PLE!$G$14,$M193,CC$13))))</f>
        <v>1000000000000</v>
      </c>
      <c r="CD193" s="182">
        <f ca="1">IF($D193&lt;&gt;"Serviço",0,IF(OR(AND(AUTOEVENTO="Manual",$M193=1),$M193&gt;(ROW(PLE.lastrow)-ROW(PLE.firstrow))),0,IF(OFFSET(PLE!$G$14,$M193,CD$13)="",10^12,OFFSET(PLE!$G$14,$M193,CD$13))))</f>
        <v>1000000000000</v>
      </c>
      <c r="CE193" s="182">
        <f ca="1">IF($D193&lt;&gt;"Serviço",0,IF(OR(AND(AUTOEVENTO="Manual",$M193=1),$M193&gt;(ROW(PLE.lastrow)-ROW(PLE.firstrow))),0,IF(OFFSET(PLE!$G$14,$M193,CE$13)="",10^12,OFFSET(PLE!$G$14,$M193,CE$13))))</f>
        <v>1000000000000</v>
      </c>
      <c r="CF193" s="182">
        <f ca="1">IF($D193&lt;&gt;"Serviço",0,IF(OR(AND(AUTOEVENTO="Manual",$M193=1),$M193&gt;(ROW(PLE.lastrow)-ROW(PLE.firstrow))),0,IF(OFFSET(PLE!$G$14,$M193,CF$13)="",10^12,OFFSET(PLE!$G$14,$M193,CF$13))))</f>
        <v>1000000000000</v>
      </c>
      <c r="CG193" s="182">
        <f ca="1">IF($D193&lt;&gt;"Serviço",0,IF(OR(AND(AUTOEVENTO="Manual",$M193=1),$M193&gt;(ROW(PLE.lastrow)-ROW(PLE.firstrow))),0,IF(OFFSET(PLE!$G$14,$M193,CG$13)="",10^12,OFFSET(PLE!$G$14,$M193,CG$13))))</f>
        <v>1000000000000</v>
      </c>
      <c r="CH193" s="182">
        <f ca="1">IF($D193&lt;&gt;"Serviço",0,IF(OR(AND(AUTOEVENTO="Manual",$M193=1),$M193&gt;(ROW(PLE.lastrow)-ROW(PLE.firstrow))),0,IF(OFFSET(PLE!$G$14,$M193,CH$13)="",10^12,OFFSET(PLE!$G$14,$M193,CH$13))))</f>
        <v>1000000000000</v>
      </c>
      <c r="CI193" s="182">
        <f ca="1">IF($D193&lt;&gt;"Serviço",0,IF(OR(AND(AUTOEVENTO="Manual",$M193=1),$M193&gt;(ROW(PLE.lastrow)-ROW(PLE.firstrow))),0,IF(OFFSET(PLE!$G$14,$M193,CI$13)="",10^12,OFFSET(PLE!$G$14,$M193,CI$13))))</f>
        <v>1000000000000</v>
      </c>
      <c r="CJ193" s="182">
        <f ca="1">IF($D193&lt;&gt;"Serviço",0,IF(OR(AND(AUTOEVENTO="Manual",$M193=1),$M193&gt;(ROW(PLE.lastrow)-ROW(PLE.firstrow))),0,IF(OFFSET(PLE!$G$14,$M193,CJ$13)="",10^12,OFFSET(PLE!$G$14,$M193,CJ$13))))</f>
        <v>1000000000000</v>
      </c>
      <c r="CK193" s="182">
        <f ca="1">IF($D193&lt;&gt;"Serviço",0,IF(OR(AND(AUTOEVENTO="Manual",$M193=1),$M193&gt;(ROW(PLE.lastrow)-ROW(PLE.firstrow))),0,IF(OFFSET(PLE!$G$14,$M193,CK$13)="",10^12,OFFSET(PLE!$G$14,$M193,CK$13))))</f>
        <v>1000000000000</v>
      </c>
      <c r="CL193" s="182">
        <f ca="1">IF($D193&lt;&gt;"Serviço",0,IF(OR(AND(AUTOEVENTO="Manual",$M193=1),$M193&gt;(ROW(PLE.lastrow)-ROW(PLE.firstrow))),0,IF(OFFSET(PLE!$G$14,$M193,CL$13)="",10^12,OFFSET(PLE!$G$14,$M193,CL$13))))</f>
        <v>1000000000000</v>
      </c>
      <c r="CM193" s="182">
        <f ca="1">IF($D193&lt;&gt;"Serviço",0,IF(OR(AND(AUTOEVENTO="Manual",$M193=1),$M193&gt;(ROW(PLE.lastrow)-ROW(PLE.firstrow))),0,IF(OFFSET(PLE!$G$14,$M193,CM$13)="",10^12,OFFSET(PLE!$G$14,$M193,CM$13))))</f>
        <v>1000000000000</v>
      </c>
    </row>
    <row r="194" spans="1:91" ht="38.25" x14ac:dyDescent="0.2">
      <c r="A194" s="7" t="str">
        <f t="shared" ca="1" si="12"/>
        <v>169</v>
      </c>
      <c r="B194" s="7" t="str">
        <f ca="1">OFFSET(ORÇAMENTO!C$15,ROW(B194)-ROW(B$15),0)</f>
        <v>S</v>
      </c>
      <c r="C194" s="7" t="str">
        <f ca="1">OFFSET(ORÇAMENTO!L$15,ROW(C194)-ROW(C$15),0)</f>
        <v/>
      </c>
      <c r="D194" s="118" t="str">
        <f ca="1">OFFSET(ORÇAMENTO!N$15,ROW(D194)-ROW(D$15),0)</f>
        <v>Serviço</v>
      </c>
      <c r="E194" s="119" t="str">
        <f ca="1">OFFSET(ORÇAMENTO!O$15,ROW(E194)-ROW(E$15),0)</f>
        <v>-</v>
      </c>
      <c r="F194" s="172" t="str">
        <f ca="1">OFFSET(ORÇAMENTO!R$15,ROW(F194)-ROW(F$15),0)</f>
        <v>(abra o arquivo 'Referência 06-2024.xlsm)</v>
      </c>
      <c r="G194" s="173" t="str">
        <f ca="1">IF($D194&lt;&gt;"Serviço","",OFFSET(ORÇAMENTO!S$15,ROW(G194)-ROW(G$15),0))</f>
        <v>-</v>
      </c>
      <c r="H194" s="124">
        <f ca="1">IF($D194&lt;&gt;"Serviço",0,IF(ACOMPANHAMENTO="BM",ROUND(OFFSET(ORÇAMENTO!AJ$15,ROW(H194)-ROW(H$15),0),15-13*ORÇAMENTO!$AF$7),SUMPRODUCT(($Q$12:$AI$12&lt;&gt;"")*ROUND($Q194:$AI194,15-13*ORÇAMENTO!$AF$7))))</f>
        <v>8.75</v>
      </c>
      <c r="I194" s="561" t="s">
        <v>1107</v>
      </c>
      <c r="K194" s="174"/>
      <c r="L194" s="175" t="s">
        <v>255</v>
      </c>
      <c r="M194" s="176">
        <f ca="1">IF($D194&lt;&gt;"Serviço","",IF(AUTOEVENTO="manual",$A194,IF(ISERROR(MATCH($A194,$A$15:OFFSET($A194,-1,0),0)),MAX($M$15:OFFSET(M194,-1,0))+1,INDEX($M$15:OFFSET(M194,-1,0),MATCH($A194,$A$15:OFFSET($A194,-1,0),0)))))</f>
        <v>27</v>
      </c>
      <c r="N194" s="177" t="str">
        <f ca="1">IF($D194&lt;&gt;"Serviço","",IF(AUTOEVENTO="Manual",IF($A194=0,"&lt;-- defina o número do agrupador",OFFSET(EVENTOS!$D$14,$A194,0)),OFFSET($F$15,$A194,0)))</f>
        <v>REVESTIMENTOS INTERNO E EXTERNO - EDIFICAÇÃO</v>
      </c>
      <c r="O194" s="178"/>
      <c r="Q194" s="178">
        <v>8.75</v>
      </c>
      <c r="R194" s="179"/>
      <c r="S194" s="179"/>
      <c r="T194" s="179"/>
      <c r="U194" s="179"/>
      <c r="V194" s="179"/>
      <c r="W194" s="179"/>
      <c r="X194" s="179"/>
      <c r="Y194" s="179"/>
      <c r="Z194" s="180"/>
      <c r="AA194" s="179"/>
      <c r="AB194" s="179"/>
      <c r="AC194" s="179"/>
      <c r="AD194" s="179"/>
      <c r="AE194" s="179"/>
      <c r="AF194" s="179"/>
      <c r="AG194" s="179"/>
      <c r="AH194" s="180"/>
      <c r="AJ194" s="544">
        <f ca="1">IF(AND($D194="Serviço",AJ$12&lt;&gt;0,$H194&gt;0,OR(AUTOEVENTO&lt;&gt;"manual",$M194&lt;&gt;1)),
IF(Import.TipoArredondamento&lt;&gt;"TransfereGOV",
ROUND(OFFSET($P194,0,AJ$13),15-13*ORÇAMENTO!$AF$7)/$H194*OFFSET(ORÇAMENTO!$X$15,ROW(AJ194)-ROW(AJ$15),0),
ROUND(ROUND(OFFSET($P194,0,AJ$13),15-13*ORÇAMENTO!$AF$7)*OFFSET(ORÇAMENTO!$W$15,ROW(AJ194)-ROW(AJ$15),0),15-13*ORÇAMENTO!$AF$11)),0)</f>
        <v>0</v>
      </c>
      <c r="AK194" s="545">
        <f ca="1">IF(AND($D194="Serviço",AK$12&lt;&gt;0,$H194&gt;0,OR(AUTOEVENTO&lt;&gt;"manual",$M194&lt;&gt;1)),
IF(Import.TipoArredondamento&lt;&gt;"TransfereGOV",
ROUND(OFFSET($P194,0,AK$13),15-13*ORÇAMENTO!$AF$7)/$H194*OFFSET(ORÇAMENTO!$X$15,ROW(AK194)-ROW(AK$15),0),
ROUND(ROUND(OFFSET($P194,0,AK$13),15-13*ORÇAMENTO!$AF$7)*OFFSET(ORÇAMENTO!$W$15,ROW(AK194)-ROW(AK$15),0),15-13*ORÇAMENTO!$AF$11)),0)</f>
        <v>0</v>
      </c>
      <c r="AL194" s="545">
        <f ca="1">IF(AND($D194="Serviço",AL$12&lt;&gt;0,$H194&gt;0,OR(AUTOEVENTO&lt;&gt;"manual",$M194&lt;&gt;1)),
IF(Import.TipoArredondamento&lt;&gt;"TransfereGOV",
ROUND(OFFSET($P194,0,AL$13),15-13*ORÇAMENTO!$AF$7)/$H194*OFFSET(ORÇAMENTO!$X$15,ROW(AL194)-ROW(AL$15),0),
ROUND(ROUND(OFFSET($P194,0,AL$13),15-13*ORÇAMENTO!$AF$7)*OFFSET(ORÇAMENTO!$W$15,ROW(AL194)-ROW(AL$15),0),15-13*ORÇAMENTO!$AF$11)),0)</f>
        <v>0</v>
      </c>
      <c r="AM194" s="545">
        <f ca="1">IF(AND($D194="Serviço",AM$12&lt;&gt;0,$H194&gt;0,OR(AUTOEVENTO&lt;&gt;"manual",$M194&lt;&gt;1)),
IF(Import.TipoArredondamento&lt;&gt;"TransfereGOV",
ROUND(OFFSET($P194,0,AM$13),15-13*ORÇAMENTO!$AF$7)/$H194*OFFSET(ORÇAMENTO!$X$15,ROW(AM194)-ROW(AM$15),0),
ROUND(ROUND(OFFSET($P194,0,AM$13),15-13*ORÇAMENTO!$AF$7)*OFFSET(ORÇAMENTO!$W$15,ROW(AM194)-ROW(AM$15),0),15-13*ORÇAMENTO!$AF$11)),0)</f>
        <v>0</v>
      </c>
      <c r="AN194" s="545">
        <f ca="1">IF(AND($D194="Serviço",AN$12&lt;&gt;0,$H194&gt;0,OR(AUTOEVENTO&lt;&gt;"manual",$M194&lt;&gt;1)),
IF(Import.TipoArredondamento&lt;&gt;"TransfereGOV",
ROUND(OFFSET($P194,0,AN$13),15-13*ORÇAMENTO!$AF$7)/$H194*OFFSET(ORÇAMENTO!$X$15,ROW(AN194)-ROW(AN$15),0),
ROUND(ROUND(OFFSET($P194,0,AN$13),15-13*ORÇAMENTO!$AF$7)*OFFSET(ORÇAMENTO!$W$15,ROW(AN194)-ROW(AN$15),0),15-13*ORÇAMENTO!$AF$11)),0)</f>
        <v>0</v>
      </c>
      <c r="AO194" s="545">
        <f ca="1">IF(AND($D194="Serviço",AO$12&lt;&gt;0,$H194&gt;0,OR(AUTOEVENTO&lt;&gt;"manual",$M194&lt;&gt;1)),
IF(Import.TipoArredondamento&lt;&gt;"TransfereGOV",
ROUND(OFFSET($P194,0,AO$13),15-13*ORÇAMENTO!$AF$7)/$H194*OFFSET(ORÇAMENTO!$X$15,ROW(AO194)-ROW(AO$15),0),
ROUND(ROUND(OFFSET($P194,0,AO$13),15-13*ORÇAMENTO!$AF$7)*OFFSET(ORÇAMENTO!$W$15,ROW(AO194)-ROW(AO$15),0),15-13*ORÇAMENTO!$AF$11)),0)</f>
        <v>0</v>
      </c>
      <c r="AP194" s="545">
        <f ca="1">IF(AND($D194="Serviço",AP$12&lt;&gt;0,$H194&gt;0,OR(AUTOEVENTO&lt;&gt;"manual",$M194&lt;&gt;1)),
IF(Import.TipoArredondamento&lt;&gt;"TransfereGOV",
ROUND(OFFSET($P194,0,AP$13),15-13*ORÇAMENTO!$AF$7)/$H194*OFFSET(ORÇAMENTO!$X$15,ROW(AP194)-ROW(AP$15),0),
ROUND(ROUND(OFFSET($P194,0,AP$13),15-13*ORÇAMENTO!$AF$7)*OFFSET(ORÇAMENTO!$W$15,ROW(AP194)-ROW(AP$15),0),15-13*ORÇAMENTO!$AF$11)),0)</f>
        <v>0</v>
      </c>
      <c r="AQ194" s="545">
        <f ca="1">IF(AND($D194="Serviço",AQ$12&lt;&gt;0,$H194&gt;0,OR(AUTOEVENTO&lt;&gt;"manual",$M194&lt;&gt;1)),
IF(Import.TipoArredondamento&lt;&gt;"TransfereGOV",
ROUND(OFFSET($P194,0,AQ$13),15-13*ORÇAMENTO!$AF$7)/$H194*OFFSET(ORÇAMENTO!$X$15,ROW(AQ194)-ROW(AQ$15),0),
ROUND(ROUND(OFFSET($P194,0,AQ$13),15-13*ORÇAMENTO!$AF$7)*OFFSET(ORÇAMENTO!$W$15,ROW(AQ194)-ROW(AQ$15),0),15-13*ORÇAMENTO!$AF$11)),0)</f>
        <v>0</v>
      </c>
      <c r="AR194" s="545">
        <f ca="1">IF(AND($D194="Serviço",AR$12&lt;&gt;0,$H194&gt;0,OR(AUTOEVENTO&lt;&gt;"manual",$M194&lt;&gt;1)),
IF(Import.TipoArredondamento&lt;&gt;"TransfereGOV",
ROUND(OFFSET($P194,0,AR$13),15-13*ORÇAMENTO!$AF$7)/$H194*OFFSET(ORÇAMENTO!$X$15,ROW(AR194)-ROW(AR$15),0),
ROUND(ROUND(OFFSET($P194,0,AR$13),15-13*ORÇAMENTO!$AF$7)*OFFSET(ORÇAMENTO!$W$15,ROW(AR194)-ROW(AR$15),0),15-13*ORÇAMENTO!$AF$11)),0)</f>
        <v>0</v>
      </c>
      <c r="AS194" s="546">
        <f ca="1">IF(AND($D194="Serviço",AS$12&lt;&gt;0,$H194&gt;0,OR(AUTOEVENTO&lt;&gt;"manual",$M194&lt;&gt;1)),
IF(Import.TipoArredondamento&lt;&gt;"TransfereGOV",
ROUND(OFFSET($P194,0,AS$13),15-13*ORÇAMENTO!$AF$7)/$H194*OFFSET(ORÇAMENTO!$X$15,ROW(AS194)-ROW(AS$15),0),
ROUND(ROUND(OFFSET($P194,0,AS$13),15-13*ORÇAMENTO!$AF$7)*OFFSET(ORÇAMENTO!$W$15,ROW(AS194)-ROW(AS$15),0),15-13*ORÇAMENTO!$AF$11)),0)</f>
        <v>0</v>
      </c>
      <c r="AT194" s="545">
        <f ca="1">IF(AND($D194="Serviço",AT$12&lt;&gt;0,$H194&gt;0,OR(AUTOEVENTO&lt;&gt;"manual",$M194&lt;&gt;1)),
IF(Import.TipoArredondamento&lt;&gt;"TransfereGOV",
ROUND(OFFSET($P194,0,AT$13),15-13*ORÇAMENTO!$AF$7)/$H194*OFFSET(ORÇAMENTO!$X$15,ROW(AT194)-ROW(AT$15),0),
ROUND(ROUND(OFFSET($P194,0,AT$13),15-13*ORÇAMENTO!$AF$7)*OFFSET(ORÇAMENTO!$W$15,ROW(AT194)-ROW(AT$15),0),15-13*ORÇAMENTO!$AF$11)),0)</f>
        <v>0</v>
      </c>
      <c r="AU194" s="545">
        <f ca="1">IF(AND($D194="Serviço",AU$12&lt;&gt;0,$H194&gt;0,OR(AUTOEVENTO&lt;&gt;"manual",$M194&lt;&gt;1)),
IF(Import.TipoArredondamento&lt;&gt;"TransfereGOV",
ROUND(OFFSET($P194,0,AU$13),15-13*ORÇAMENTO!$AF$7)/$H194*OFFSET(ORÇAMENTO!$X$15,ROW(AU194)-ROW(AU$15),0),
ROUND(ROUND(OFFSET($P194,0,AU$13),15-13*ORÇAMENTO!$AF$7)*OFFSET(ORÇAMENTO!$W$15,ROW(AU194)-ROW(AU$15),0),15-13*ORÇAMENTO!$AF$11)),0)</f>
        <v>0</v>
      </c>
      <c r="AV194" s="545">
        <f ca="1">IF(AND($D194="Serviço",AV$12&lt;&gt;0,$H194&gt;0,OR(AUTOEVENTO&lt;&gt;"manual",$M194&lt;&gt;1)),
IF(Import.TipoArredondamento&lt;&gt;"TransfereGOV",
ROUND(OFFSET($P194,0,AV$13),15-13*ORÇAMENTO!$AF$7)/$H194*OFFSET(ORÇAMENTO!$X$15,ROW(AV194)-ROW(AV$15),0),
ROUND(ROUND(OFFSET($P194,0,AV$13),15-13*ORÇAMENTO!$AF$7)*OFFSET(ORÇAMENTO!$W$15,ROW(AV194)-ROW(AV$15),0),15-13*ORÇAMENTO!$AF$11)),0)</f>
        <v>0</v>
      </c>
      <c r="AW194" s="545">
        <f ca="1">IF(AND($D194="Serviço",AW$12&lt;&gt;0,$H194&gt;0,OR(AUTOEVENTO&lt;&gt;"manual",$M194&lt;&gt;1)),
IF(Import.TipoArredondamento&lt;&gt;"TransfereGOV",
ROUND(OFFSET($P194,0,AW$13),15-13*ORÇAMENTO!$AF$7)/$H194*OFFSET(ORÇAMENTO!$X$15,ROW(AW194)-ROW(AW$15),0),
ROUND(ROUND(OFFSET($P194,0,AW$13),15-13*ORÇAMENTO!$AF$7)*OFFSET(ORÇAMENTO!$W$15,ROW(AW194)-ROW(AW$15),0),15-13*ORÇAMENTO!$AF$11)),0)</f>
        <v>0</v>
      </c>
      <c r="AX194" s="545">
        <f ca="1">IF(AND($D194="Serviço",AX$12&lt;&gt;0,$H194&gt;0,OR(AUTOEVENTO&lt;&gt;"manual",$M194&lt;&gt;1)),
IF(Import.TipoArredondamento&lt;&gt;"TransfereGOV",
ROUND(OFFSET($P194,0,AX$13),15-13*ORÇAMENTO!$AF$7)/$H194*OFFSET(ORÇAMENTO!$X$15,ROW(AX194)-ROW(AX$15),0),
ROUND(ROUND(OFFSET($P194,0,AX$13),15-13*ORÇAMENTO!$AF$7)*OFFSET(ORÇAMENTO!$W$15,ROW(AX194)-ROW(AX$15),0),15-13*ORÇAMENTO!$AF$11)),0)</f>
        <v>0</v>
      </c>
      <c r="AY194" s="545">
        <f ca="1">IF(AND($D194="Serviço",AY$12&lt;&gt;0,$H194&gt;0,OR(AUTOEVENTO&lt;&gt;"manual",$M194&lt;&gt;1)),
IF(Import.TipoArredondamento&lt;&gt;"TransfereGOV",
ROUND(OFFSET($P194,0,AY$13),15-13*ORÇAMENTO!$AF$7)/$H194*OFFSET(ORÇAMENTO!$X$15,ROW(AY194)-ROW(AY$15),0),
ROUND(ROUND(OFFSET($P194,0,AY$13),15-13*ORÇAMENTO!$AF$7)*OFFSET(ORÇAMENTO!$W$15,ROW(AY194)-ROW(AY$15),0),15-13*ORÇAMENTO!$AF$11)),0)</f>
        <v>0</v>
      </c>
      <c r="AZ194" s="545">
        <f ca="1">IF(AND($D194="Serviço",AZ$12&lt;&gt;0,$H194&gt;0,OR(AUTOEVENTO&lt;&gt;"manual",$M194&lt;&gt;1)),
IF(Import.TipoArredondamento&lt;&gt;"TransfereGOV",
ROUND(OFFSET($P194,0,AZ$13),15-13*ORÇAMENTO!$AF$7)/$H194*OFFSET(ORÇAMENTO!$X$15,ROW(AZ194)-ROW(AZ$15),0),
ROUND(ROUND(OFFSET($P194,0,AZ$13),15-13*ORÇAMENTO!$AF$7)*OFFSET(ORÇAMENTO!$W$15,ROW(AZ194)-ROW(AZ$15),0),15-13*ORÇAMENTO!$AF$11)),0)</f>
        <v>0</v>
      </c>
      <c r="BA194" s="546">
        <f ca="1">IF(AND($D194="Serviço",BA$12&lt;&gt;0,$H194&gt;0,OR(AUTOEVENTO&lt;&gt;"manual",$M194&lt;&gt;1)),
IF(Import.TipoArredondamento&lt;&gt;"TransfereGOV",
ROUND(OFFSET($P194,0,BA$13),15-13*ORÇAMENTO!$AF$7)/$H194*OFFSET(ORÇAMENTO!$X$15,ROW(BA194)-ROW(BA$15),0),
ROUND(ROUND(OFFSET($P194,0,BA$13),15-13*ORÇAMENTO!$AF$7)*OFFSET(ORÇAMENTO!$W$15,ROW(BA194)-ROW(BA$15),0),15-13*ORÇAMENTO!$AF$11)),0)</f>
        <v>0</v>
      </c>
      <c r="BC194" s="181">
        <f ca="1">IF($D194&lt;&gt;"Serviço",0,IF(AND(AUTOEVENTO="Manual",$M194=1),0,IF(OFFSET(CRONOPLE!$F$14,$M194,BC$13)="",10^12,OFFSET(CRONOPLE!$F$14,$M194,BC$13))))</f>
        <v>7</v>
      </c>
      <c r="BD194" s="181">
        <f ca="1">IF($D194&lt;&gt;"Serviço",0,IF(AND(AUTOEVENTO="Manual",$M194=1),0,IF(OFFSET(CRONOPLE!$F$14,$M194,BD$13)="",10^12,OFFSET(CRONOPLE!$F$14,$M194,BD$13))))</f>
        <v>1000000000000</v>
      </c>
      <c r="BE194" s="181">
        <f ca="1">IF($D194&lt;&gt;"Serviço",0,IF(AND(AUTOEVENTO="Manual",$M194=1),0,IF(OFFSET(CRONOPLE!$F$14,$M194,BE$13)="",10^12,OFFSET(CRONOPLE!$F$14,$M194,BE$13))))</f>
        <v>1000000000000</v>
      </c>
      <c r="BF194" s="181">
        <f ca="1">IF($D194&lt;&gt;"Serviço",0,IF(AND(AUTOEVENTO="Manual",$M194=1),0,IF(OFFSET(CRONOPLE!$F$14,$M194,BF$13)="",10^12,OFFSET(CRONOPLE!$F$14,$M194,BF$13))))</f>
        <v>1000000000000</v>
      </c>
      <c r="BG194" s="181">
        <f ca="1">IF($D194&lt;&gt;"Serviço",0,IF(AND(AUTOEVENTO="Manual",$M194=1),0,IF(OFFSET(CRONOPLE!$F$14,$M194,BG$13)="",10^12,OFFSET(CRONOPLE!$F$14,$M194,BG$13))))</f>
        <v>1000000000000</v>
      </c>
      <c r="BH194" s="181">
        <f ca="1">IF($D194&lt;&gt;"Serviço",0,IF(AND(AUTOEVENTO="Manual",$M194=1),0,IF(OFFSET(CRONOPLE!$F$14,$M194,BH$13)="",10^12,OFFSET(CRONOPLE!$F$14,$M194,BH$13))))</f>
        <v>1000000000000</v>
      </c>
      <c r="BI194" s="181">
        <f ca="1">IF($D194&lt;&gt;"Serviço",0,IF(AND(AUTOEVENTO="Manual",$M194=1),0,IF(OFFSET(CRONOPLE!$F$14,$M194,BI$13)="",10^12,OFFSET(CRONOPLE!$F$14,$M194,BI$13))))</f>
        <v>1000000000000</v>
      </c>
      <c r="BJ194" s="181">
        <f ca="1">IF($D194&lt;&gt;"Serviço",0,IF(AND(AUTOEVENTO="Manual",$M194=1),0,IF(OFFSET(CRONOPLE!$F$14,$M194,BJ$13)="",10^12,OFFSET(CRONOPLE!$F$14,$M194,BJ$13))))</f>
        <v>1000000000000</v>
      </c>
      <c r="BK194" s="181">
        <f ca="1">IF($D194&lt;&gt;"Serviço",0,IF(AND(AUTOEVENTO="Manual",$M194=1),0,IF(OFFSET(CRONOPLE!$F$14,$M194,BK$13)="",10^12,OFFSET(CRONOPLE!$F$14,$M194,BK$13))))</f>
        <v>1000000000000</v>
      </c>
      <c r="BL194" s="181">
        <f ca="1">IF($D194&lt;&gt;"Serviço",0,IF(AND(AUTOEVENTO="Manual",$M194=1),0,IF(OFFSET(CRONOPLE!$F$14,$M194,BL$13)="",10^12,OFFSET(CRONOPLE!$F$14,$M194,BL$13))))</f>
        <v>1000000000000</v>
      </c>
      <c r="BM194" s="181">
        <f ca="1">IF($D194&lt;&gt;"Serviço",0,IF(AND(AUTOEVENTO="Manual",$M194=1),0,IF(OFFSET(CRONOPLE!$F$14,$M194,BM$13)="",10^12,OFFSET(CRONOPLE!$F$14,$M194,BM$13))))</f>
        <v>1000000000000</v>
      </c>
      <c r="BN194" s="181">
        <f ca="1">IF($D194&lt;&gt;"Serviço",0,IF(AND(AUTOEVENTO="Manual",$M194=1),0,IF(OFFSET(CRONOPLE!$F$14,$M194,BN$13)="",10^12,OFFSET(CRONOPLE!$F$14,$M194,BN$13))))</f>
        <v>1000000000000</v>
      </c>
      <c r="BO194" s="181">
        <f ca="1">IF($D194&lt;&gt;"Serviço",0,IF(AND(AUTOEVENTO="Manual",$M194=1),0,IF(OFFSET(CRONOPLE!$F$14,$M194,BO$13)="",10^12,OFFSET(CRONOPLE!$F$14,$M194,BO$13))))</f>
        <v>1000000000000</v>
      </c>
      <c r="BP194" s="181">
        <f ca="1">IF($D194&lt;&gt;"Serviço",0,IF(AND(AUTOEVENTO="Manual",$M194=1),0,IF(OFFSET(CRONOPLE!$F$14,$M194,BP$13)="",10^12,OFFSET(CRONOPLE!$F$14,$M194,BP$13))))</f>
        <v>1000000000000</v>
      </c>
      <c r="BQ194" s="181">
        <f ca="1">IF($D194&lt;&gt;"Serviço",0,IF(AND(AUTOEVENTO="Manual",$M194=1),0,IF(OFFSET(CRONOPLE!$F$14,$M194,BQ$13)="",10^12,OFFSET(CRONOPLE!$F$14,$M194,BQ$13))))</f>
        <v>1000000000000</v>
      </c>
      <c r="BR194" s="181">
        <f ca="1">IF($D194&lt;&gt;"Serviço",0,IF(AND(AUTOEVENTO="Manual",$M194=1),0,IF(OFFSET(CRONOPLE!$F$14,$M194,BR$13)="",10^12,OFFSET(CRONOPLE!$F$14,$M194,BR$13))))</f>
        <v>1000000000000</v>
      </c>
      <c r="BS194" s="181">
        <f ca="1">IF($D194&lt;&gt;"Serviço",0,IF(AND(AUTOEVENTO="Manual",$M194=1),0,IF(OFFSET(CRONOPLE!$F$14,$M194,BS$13)="",10^12,OFFSET(CRONOPLE!$F$14,$M194,BS$13))))</f>
        <v>1000000000000</v>
      </c>
      <c r="BT194" s="181">
        <f ca="1">IF($D194&lt;&gt;"Serviço",0,IF(AND(AUTOEVENTO="Manual",$M194=1),0,IF(OFFSET(CRONOPLE!$F$14,$M194,BT$13)="",10^12,OFFSET(CRONOPLE!$F$14,$M194,BT$13))))</f>
        <v>1000000000000</v>
      </c>
      <c r="BV194" s="182">
        <f ca="1">IF($D194&lt;&gt;"Serviço",0,IF(OR(AND(AUTOEVENTO="Manual",$M194=1),$M194&gt;(ROW(PLE.lastrow)-ROW(PLE.firstrow))),0,IF(OFFSET(PLE!$G$14,$M194,BV$13)="",10^12,OFFSET(PLE!$G$14,$M194,BV$13))))</f>
        <v>1000000000000</v>
      </c>
      <c r="BW194" s="182">
        <f ca="1">IF($D194&lt;&gt;"Serviço",0,IF(OR(AND(AUTOEVENTO="Manual",$M194=1),$M194&gt;(ROW(PLE.lastrow)-ROW(PLE.firstrow))),0,IF(OFFSET(PLE!$G$14,$M194,BW$13)="",10^12,OFFSET(PLE!$G$14,$M194,BW$13))))</f>
        <v>1000000000000</v>
      </c>
      <c r="BX194" s="182">
        <f ca="1">IF($D194&lt;&gt;"Serviço",0,IF(OR(AND(AUTOEVENTO="Manual",$M194=1),$M194&gt;(ROW(PLE.lastrow)-ROW(PLE.firstrow))),0,IF(OFFSET(PLE!$G$14,$M194,BX$13)="",10^12,OFFSET(PLE!$G$14,$M194,BX$13))))</f>
        <v>1000000000000</v>
      </c>
      <c r="BY194" s="182">
        <f ca="1">IF($D194&lt;&gt;"Serviço",0,IF(OR(AND(AUTOEVENTO="Manual",$M194=1),$M194&gt;(ROW(PLE.lastrow)-ROW(PLE.firstrow))),0,IF(OFFSET(PLE!$G$14,$M194,BY$13)="",10^12,OFFSET(PLE!$G$14,$M194,BY$13))))</f>
        <v>1000000000000</v>
      </c>
      <c r="BZ194" s="182">
        <f ca="1">IF($D194&lt;&gt;"Serviço",0,IF(OR(AND(AUTOEVENTO="Manual",$M194=1),$M194&gt;(ROW(PLE.lastrow)-ROW(PLE.firstrow))),0,IF(OFFSET(PLE!$G$14,$M194,BZ$13)="",10^12,OFFSET(PLE!$G$14,$M194,BZ$13))))</f>
        <v>1000000000000</v>
      </c>
      <c r="CA194" s="182">
        <f ca="1">IF($D194&lt;&gt;"Serviço",0,IF(OR(AND(AUTOEVENTO="Manual",$M194=1),$M194&gt;(ROW(PLE.lastrow)-ROW(PLE.firstrow))),0,IF(OFFSET(PLE!$G$14,$M194,CA$13)="",10^12,OFFSET(PLE!$G$14,$M194,CA$13))))</f>
        <v>1000000000000</v>
      </c>
      <c r="CB194" s="182">
        <f ca="1">IF($D194&lt;&gt;"Serviço",0,IF(OR(AND(AUTOEVENTO="Manual",$M194=1),$M194&gt;(ROW(PLE.lastrow)-ROW(PLE.firstrow))),0,IF(OFFSET(PLE!$G$14,$M194,CB$13)="",10^12,OFFSET(PLE!$G$14,$M194,CB$13))))</f>
        <v>1000000000000</v>
      </c>
      <c r="CC194" s="182">
        <f ca="1">IF($D194&lt;&gt;"Serviço",0,IF(OR(AND(AUTOEVENTO="Manual",$M194=1),$M194&gt;(ROW(PLE.lastrow)-ROW(PLE.firstrow))),0,IF(OFFSET(PLE!$G$14,$M194,CC$13)="",10^12,OFFSET(PLE!$G$14,$M194,CC$13))))</f>
        <v>1000000000000</v>
      </c>
      <c r="CD194" s="182">
        <f ca="1">IF($D194&lt;&gt;"Serviço",0,IF(OR(AND(AUTOEVENTO="Manual",$M194=1),$M194&gt;(ROW(PLE.lastrow)-ROW(PLE.firstrow))),0,IF(OFFSET(PLE!$G$14,$M194,CD$13)="",10^12,OFFSET(PLE!$G$14,$M194,CD$13))))</f>
        <v>1000000000000</v>
      </c>
      <c r="CE194" s="182">
        <f ca="1">IF($D194&lt;&gt;"Serviço",0,IF(OR(AND(AUTOEVENTO="Manual",$M194=1),$M194&gt;(ROW(PLE.lastrow)-ROW(PLE.firstrow))),0,IF(OFFSET(PLE!$G$14,$M194,CE$13)="",10^12,OFFSET(PLE!$G$14,$M194,CE$13))))</f>
        <v>1000000000000</v>
      </c>
      <c r="CF194" s="182">
        <f ca="1">IF($D194&lt;&gt;"Serviço",0,IF(OR(AND(AUTOEVENTO="Manual",$M194=1),$M194&gt;(ROW(PLE.lastrow)-ROW(PLE.firstrow))),0,IF(OFFSET(PLE!$G$14,$M194,CF$13)="",10^12,OFFSET(PLE!$G$14,$M194,CF$13))))</f>
        <v>1000000000000</v>
      </c>
      <c r="CG194" s="182">
        <f ca="1">IF($D194&lt;&gt;"Serviço",0,IF(OR(AND(AUTOEVENTO="Manual",$M194=1),$M194&gt;(ROW(PLE.lastrow)-ROW(PLE.firstrow))),0,IF(OFFSET(PLE!$G$14,$M194,CG$13)="",10^12,OFFSET(PLE!$G$14,$M194,CG$13))))</f>
        <v>1000000000000</v>
      </c>
      <c r="CH194" s="182">
        <f ca="1">IF($D194&lt;&gt;"Serviço",0,IF(OR(AND(AUTOEVENTO="Manual",$M194=1),$M194&gt;(ROW(PLE.lastrow)-ROW(PLE.firstrow))),0,IF(OFFSET(PLE!$G$14,$M194,CH$13)="",10^12,OFFSET(PLE!$G$14,$M194,CH$13))))</f>
        <v>1000000000000</v>
      </c>
      <c r="CI194" s="182">
        <f ca="1">IF($D194&lt;&gt;"Serviço",0,IF(OR(AND(AUTOEVENTO="Manual",$M194=1),$M194&gt;(ROW(PLE.lastrow)-ROW(PLE.firstrow))),0,IF(OFFSET(PLE!$G$14,$M194,CI$13)="",10^12,OFFSET(PLE!$G$14,$M194,CI$13))))</f>
        <v>1000000000000</v>
      </c>
      <c r="CJ194" s="182">
        <f ca="1">IF($D194&lt;&gt;"Serviço",0,IF(OR(AND(AUTOEVENTO="Manual",$M194=1),$M194&gt;(ROW(PLE.lastrow)-ROW(PLE.firstrow))),0,IF(OFFSET(PLE!$G$14,$M194,CJ$13)="",10^12,OFFSET(PLE!$G$14,$M194,CJ$13))))</f>
        <v>1000000000000</v>
      </c>
      <c r="CK194" s="182">
        <f ca="1">IF($D194&lt;&gt;"Serviço",0,IF(OR(AND(AUTOEVENTO="Manual",$M194=1),$M194&gt;(ROW(PLE.lastrow)-ROW(PLE.firstrow))),0,IF(OFFSET(PLE!$G$14,$M194,CK$13)="",10^12,OFFSET(PLE!$G$14,$M194,CK$13))))</f>
        <v>1000000000000</v>
      </c>
      <c r="CL194" s="182">
        <f ca="1">IF($D194&lt;&gt;"Serviço",0,IF(OR(AND(AUTOEVENTO="Manual",$M194=1),$M194&gt;(ROW(PLE.lastrow)-ROW(PLE.firstrow))),0,IF(OFFSET(PLE!$G$14,$M194,CL$13)="",10^12,OFFSET(PLE!$G$14,$M194,CL$13))))</f>
        <v>1000000000000</v>
      </c>
      <c r="CM194" s="182">
        <f ca="1">IF($D194&lt;&gt;"Serviço",0,IF(OR(AND(AUTOEVENTO="Manual",$M194=1),$M194&gt;(ROW(PLE.lastrow)-ROW(PLE.firstrow))),0,IF(OFFSET(PLE!$G$14,$M194,CM$13)="",10^12,OFFSET(PLE!$G$14,$M194,CM$13))))</f>
        <v>1000000000000</v>
      </c>
    </row>
    <row r="195" spans="1:91" ht="25.5" x14ac:dyDescent="0.2">
      <c r="A195" s="7" t="str">
        <f t="shared" ca="1" si="12"/>
        <v>169</v>
      </c>
      <c r="B195" s="7" t="str">
        <f ca="1">OFFSET(ORÇAMENTO!C$15,ROW(B195)-ROW(B$15),0)</f>
        <v>S</v>
      </c>
      <c r="C195" s="7" t="str">
        <f ca="1">OFFSET(ORÇAMENTO!L$15,ROW(C195)-ROW(C$15),0)</f>
        <v/>
      </c>
      <c r="D195" s="118" t="str">
        <f ca="1">OFFSET(ORÇAMENTO!N$15,ROW(D195)-ROW(D$15),0)</f>
        <v>Serviço</v>
      </c>
      <c r="E195" s="119" t="str">
        <f ca="1">OFFSET(ORÇAMENTO!O$15,ROW(E195)-ROW(E$15),0)</f>
        <v>-</v>
      </c>
      <c r="F195" s="172" t="str">
        <f ca="1">OFFSET(ORÇAMENTO!R$15,ROW(F195)-ROW(F$15),0)</f>
        <v>(abra o arquivo 'Referência 06-2024.xlsm)</v>
      </c>
      <c r="G195" s="173" t="str">
        <f ca="1">IF($D195&lt;&gt;"Serviço","",OFFSET(ORÇAMENTO!S$15,ROW(G195)-ROW(G$15),0))</f>
        <v>-</v>
      </c>
      <c r="H195" s="124">
        <f ca="1">IF($D195&lt;&gt;"Serviço",0,IF(ACOMPANHAMENTO="BM",ROUND(OFFSET(ORÇAMENTO!AJ$15,ROW(H195)-ROW(H$15),0),15-13*ORÇAMENTO!$AF$7),SUMPRODUCT(($Q$12:$AI$12&lt;&gt;"")*ROUND($Q195:$AI195,15-13*ORÇAMENTO!$AF$7))))</f>
        <v>217.5</v>
      </c>
      <c r="I195" s="561" t="s">
        <v>1107</v>
      </c>
      <c r="K195" s="174"/>
      <c r="L195" s="175" t="s">
        <v>255</v>
      </c>
      <c r="M195" s="176">
        <f ca="1">IF($D195&lt;&gt;"Serviço","",IF(AUTOEVENTO="manual",$A195,IF(ISERROR(MATCH($A195,$A$15:OFFSET($A195,-1,0),0)),MAX($M$15:OFFSET(M195,-1,0))+1,INDEX($M$15:OFFSET(M195,-1,0),MATCH($A195,$A$15:OFFSET($A195,-1,0),0)))))</f>
        <v>27</v>
      </c>
      <c r="N195" s="177" t="str">
        <f ca="1">IF($D195&lt;&gt;"Serviço","",IF(AUTOEVENTO="Manual",IF($A195=0,"&lt;-- defina o número do agrupador",OFFSET(EVENTOS!$D$14,$A195,0)),OFFSET($F$15,$A195,0)))</f>
        <v>REVESTIMENTOS INTERNO E EXTERNO - EDIFICAÇÃO</v>
      </c>
      <c r="O195" s="178"/>
      <c r="Q195" s="178">
        <v>217.5</v>
      </c>
      <c r="R195" s="179"/>
      <c r="S195" s="179"/>
      <c r="T195" s="179"/>
      <c r="U195" s="179"/>
      <c r="V195" s="179"/>
      <c r="W195" s="179"/>
      <c r="X195" s="179"/>
      <c r="Y195" s="179"/>
      <c r="Z195" s="180"/>
      <c r="AA195" s="179"/>
      <c r="AB195" s="179"/>
      <c r="AC195" s="179"/>
      <c r="AD195" s="179"/>
      <c r="AE195" s="179"/>
      <c r="AF195" s="179"/>
      <c r="AG195" s="179"/>
      <c r="AH195" s="180"/>
      <c r="AJ195" s="544">
        <f ca="1">IF(AND($D195="Serviço",AJ$12&lt;&gt;0,$H195&gt;0,OR(AUTOEVENTO&lt;&gt;"manual",$M195&lt;&gt;1)),
IF(Import.TipoArredondamento&lt;&gt;"TransfereGOV",
ROUND(OFFSET($P195,0,AJ$13),15-13*ORÇAMENTO!$AF$7)/$H195*OFFSET(ORÇAMENTO!$X$15,ROW(AJ195)-ROW(AJ$15),0),
ROUND(ROUND(OFFSET($P195,0,AJ$13),15-13*ORÇAMENTO!$AF$7)*OFFSET(ORÇAMENTO!$W$15,ROW(AJ195)-ROW(AJ$15),0),15-13*ORÇAMENTO!$AF$11)),0)</f>
        <v>0</v>
      </c>
      <c r="AK195" s="545">
        <f ca="1">IF(AND($D195="Serviço",AK$12&lt;&gt;0,$H195&gt;0,OR(AUTOEVENTO&lt;&gt;"manual",$M195&lt;&gt;1)),
IF(Import.TipoArredondamento&lt;&gt;"TransfereGOV",
ROUND(OFFSET($P195,0,AK$13),15-13*ORÇAMENTO!$AF$7)/$H195*OFFSET(ORÇAMENTO!$X$15,ROW(AK195)-ROW(AK$15),0),
ROUND(ROUND(OFFSET($P195,0,AK$13),15-13*ORÇAMENTO!$AF$7)*OFFSET(ORÇAMENTO!$W$15,ROW(AK195)-ROW(AK$15),0),15-13*ORÇAMENTO!$AF$11)),0)</f>
        <v>0</v>
      </c>
      <c r="AL195" s="545">
        <f ca="1">IF(AND($D195="Serviço",AL$12&lt;&gt;0,$H195&gt;0,OR(AUTOEVENTO&lt;&gt;"manual",$M195&lt;&gt;1)),
IF(Import.TipoArredondamento&lt;&gt;"TransfereGOV",
ROUND(OFFSET($P195,0,AL$13),15-13*ORÇAMENTO!$AF$7)/$H195*OFFSET(ORÇAMENTO!$X$15,ROW(AL195)-ROW(AL$15),0),
ROUND(ROUND(OFFSET($P195,0,AL$13),15-13*ORÇAMENTO!$AF$7)*OFFSET(ORÇAMENTO!$W$15,ROW(AL195)-ROW(AL$15),0),15-13*ORÇAMENTO!$AF$11)),0)</f>
        <v>0</v>
      </c>
      <c r="AM195" s="545">
        <f ca="1">IF(AND($D195="Serviço",AM$12&lt;&gt;0,$H195&gt;0,OR(AUTOEVENTO&lt;&gt;"manual",$M195&lt;&gt;1)),
IF(Import.TipoArredondamento&lt;&gt;"TransfereGOV",
ROUND(OFFSET($P195,0,AM$13),15-13*ORÇAMENTO!$AF$7)/$H195*OFFSET(ORÇAMENTO!$X$15,ROW(AM195)-ROW(AM$15),0),
ROUND(ROUND(OFFSET($P195,0,AM$13),15-13*ORÇAMENTO!$AF$7)*OFFSET(ORÇAMENTO!$W$15,ROW(AM195)-ROW(AM$15),0),15-13*ORÇAMENTO!$AF$11)),0)</f>
        <v>0</v>
      </c>
      <c r="AN195" s="545">
        <f ca="1">IF(AND($D195="Serviço",AN$12&lt;&gt;0,$H195&gt;0,OR(AUTOEVENTO&lt;&gt;"manual",$M195&lt;&gt;1)),
IF(Import.TipoArredondamento&lt;&gt;"TransfereGOV",
ROUND(OFFSET($P195,0,AN$13),15-13*ORÇAMENTO!$AF$7)/$H195*OFFSET(ORÇAMENTO!$X$15,ROW(AN195)-ROW(AN$15),0),
ROUND(ROUND(OFFSET($P195,0,AN$13),15-13*ORÇAMENTO!$AF$7)*OFFSET(ORÇAMENTO!$W$15,ROW(AN195)-ROW(AN$15),0),15-13*ORÇAMENTO!$AF$11)),0)</f>
        <v>0</v>
      </c>
      <c r="AO195" s="545">
        <f ca="1">IF(AND($D195="Serviço",AO$12&lt;&gt;0,$H195&gt;0,OR(AUTOEVENTO&lt;&gt;"manual",$M195&lt;&gt;1)),
IF(Import.TipoArredondamento&lt;&gt;"TransfereGOV",
ROUND(OFFSET($P195,0,AO$13),15-13*ORÇAMENTO!$AF$7)/$H195*OFFSET(ORÇAMENTO!$X$15,ROW(AO195)-ROW(AO$15),0),
ROUND(ROUND(OFFSET($P195,0,AO$13),15-13*ORÇAMENTO!$AF$7)*OFFSET(ORÇAMENTO!$W$15,ROW(AO195)-ROW(AO$15),0),15-13*ORÇAMENTO!$AF$11)),0)</f>
        <v>0</v>
      </c>
      <c r="AP195" s="545">
        <f ca="1">IF(AND($D195="Serviço",AP$12&lt;&gt;0,$H195&gt;0,OR(AUTOEVENTO&lt;&gt;"manual",$M195&lt;&gt;1)),
IF(Import.TipoArredondamento&lt;&gt;"TransfereGOV",
ROUND(OFFSET($P195,0,AP$13),15-13*ORÇAMENTO!$AF$7)/$H195*OFFSET(ORÇAMENTO!$X$15,ROW(AP195)-ROW(AP$15),0),
ROUND(ROUND(OFFSET($P195,0,AP$13),15-13*ORÇAMENTO!$AF$7)*OFFSET(ORÇAMENTO!$W$15,ROW(AP195)-ROW(AP$15),0),15-13*ORÇAMENTO!$AF$11)),0)</f>
        <v>0</v>
      </c>
      <c r="AQ195" s="545">
        <f ca="1">IF(AND($D195="Serviço",AQ$12&lt;&gt;0,$H195&gt;0,OR(AUTOEVENTO&lt;&gt;"manual",$M195&lt;&gt;1)),
IF(Import.TipoArredondamento&lt;&gt;"TransfereGOV",
ROUND(OFFSET($P195,0,AQ$13),15-13*ORÇAMENTO!$AF$7)/$H195*OFFSET(ORÇAMENTO!$X$15,ROW(AQ195)-ROW(AQ$15),0),
ROUND(ROUND(OFFSET($P195,0,AQ$13),15-13*ORÇAMENTO!$AF$7)*OFFSET(ORÇAMENTO!$W$15,ROW(AQ195)-ROW(AQ$15),0),15-13*ORÇAMENTO!$AF$11)),0)</f>
        <v>0</v>
      </c>
      <c r="AR195" s="545">
        <f ca="1">IF(AND($D195="Serviço",AR$12&lt;&gt;0,$H195&gt;0,OR(AUTOEVENTO&lt;&gt;"manual",$M195&lt;&gt;1)),
IF(Import.TipoArredondamento&lt;&gt;"TransfereGOV",
ROUND(OFFSET($P195,0,AR$13),15-13*ORÇAMENTO!$AF$7)/$H195*OFFSET(ORÇAMENTO!$X$15,ROW(AR195)-ROW(AR$15),0),
ROUND(ROUND(OFFSET($P195,0,AR$13),15-13*ORÇAMENTO!$AF$7)*OFFSET(ORÇAMENTO!$W$15,ROW(AR195)-ROW(AR$15),0),15-13*ORÇAMENTO!$AF$11)),0)</f>
        <v>0</v>
      </c>
      <c r="AS195" s="546">
        <f ca="1">IF(AND($D195="Serviço",AS$12&lt;&gt;0,$H195&gt;0,OR(AUTOEVENTO&lt;&gt;"manual",$M195&lt;&gt;1)),
IF(Import.TipoArredondamento&lt;&gt;"TransfereGOV",
ROUND(OFFSET($P195,0,AS$13),15-13*ORÇAMENTO!$AF$7)/$H195*OFFSET(ORÇAMENTO!$X$15,ROW(AS195)-ROW(AS$15),0),
ROUND(ROUND(OFFSET($P195,0,AS$13),15-13*ORÇAMENTO!$AF$7)*OFFSET(ORÇAMENTO!$W$15,ROW(AS195)-ROW(AS$15),0),15-13*ORÇAMENTO!$AF$11)),0)</f>
        <v>0</v>
      </c>
      <c r="AT195" s="545">
        <f ca="1">IF(AND($D195="Serviço",AT$12&lt;&gt;0,$H195&gt;0,OR(AUTOEVENTO&lt;&gt;"manual",$M195&lt;&gt;1)),
IF(Import.TipoArredondamento&lt;&gt;"TransfereGOV",
ROUND(OFFSET($P195,0,AT$13),15-13*ORÇAMENTO!$AF$7)/$H195*OFFSET(ORÇAMENTO!$X$15,ROW(AT195)-ROW(AT$15),0),
ROUND(ROUND(OFFSET($P195,0,AT$13),15-13*ORÇAMENTO!$AF$7)*OFFSET(ORÇAMENTO!$W$15,ROW(AT195)-ROW(AT$15),0),15-13*ORÇAMENTO!$AF$11)),0)</f>
        <v>0</v>
      </c>
      <c r="AU195" s="545">
        <f ca="1">IF(AND($D195="Serviço",AU$12&lt;&gt;0,$H195&gt;0,OR(AUTOEVENTO&lt;&gt;"manual",$M195&lt;&gt;1)),
IF(Import.TipoArredondamento&lt;&gt;"TransfereGOV",
ROUND(OFFSET($P195,0,AU$13),15-13*ORÇAMENTO!$AF$7)/$H195*OFFSET(ORÇAMENTO!$X$15,ROW(AU195)-ROW(AU$15),0),
ROUND(ROUND(OFFSET($P195,0,AU$13),15-13*ORÇAMENTO!$AF$7)*OFFSET(ORÇAMENTO!$W$15,ROW(AU195)-ROW(AU$15),0),15-13*ORÇAMENTO!$AF$11)),0)</f>
        <v>0</v>
      </c>
      <c r="AV195" s="545">
        <f ca="1">IF(AND($D195="Serviço",AV$12&lt;&gt;0,$H195&gt;0,OR(AUTOEVENTO&lt;&gt;"manual",$M195&lt;&gt;1)),
IF(Import.TipoArredondamento&lt;&gt;"TransfereGOV",
ROUND(OFFSET($P195,0,AV$13),15-13*ORÇAMENTO!$AF$7)/$H195*OFFSET(ORÇAMENTO!$X$15,ROW(AV195)-ROW(AV$15),0),
ROUND(ROUND(OFFSET($P195,0,AV$13),15-13*ORÇAMENTO!$AF$7)*OFFSET(ORÇAMENTO!$W$15,ROW(AV195)-ROW(AV$15),0),15-13*ORÇAMENTO!$AF$11)),0)</f>
        <v>0</v>
      </c>
      <c r="AW195" s="545">
        <f ca="1">IF(AND($D195="Serviço",AW$12&lt;&gt;0,$H195&gt;0,OR(AUTOEVENTO&lt;&gt;"manual",$M195&lt;&gt;1)),
IF(Import.TipoArredondamento&lt;&gt;"TransfereGOV",
ROUND(OFFSET($P195,0,AW$13),15-13*ORÇAMENTO!$AF$7)/$H195*OFFSET(ORÇAMENTO!$X$15,ROW(AW195)-ROW(AW$15),0),
ROUND(ROUND(OFFSET($P195,0,AW$13),15-13*ORÇAMENTO!$AF$7)*OFFSET(ORÇAMENTO!$W$15,ROW(AW195)-ROW(AW$15),0),15-13*ORÇAMENTO!$AF$11)),0)</f>
        <v>0</v>
      </c>
      <c r="AX195" s="545">
        <f ca="1">IF(AND($D195="Serviço",AX$12&lt;&gt;0,$H195&gt;0,OR(AUTOEVENTO&lt;&gt;"manual",$M195&lt;&gt;1)),
IF(Import.TipoArredondamento&lt;&gt;"TransfereGOV",
ROUND(OFFSET($P195,0,AX$13),15-13*ORÇAMENTO!$AF$7)/$H195*OFFSET(ORÇAMENTO!$X$15,ROW(AX195)-ROW(AX$15),0),
ROUND(ROUND(OFFSET($P195,0,AX$13),15-13*ORÇAMENTO!$AF$7)*OFFSET(ORÇAMENTO!$W$15,ROW(AX195)-ROW(AX$15),0),15-13*ORÇAMENTO!$AF$11)),0)</f>
        <v>0</v>
      </c>
      <c r="AY195" s="545">
        <f ca="1">IF(AND($D195="Serviço",AY$12&lt;&gt;0,$H195&gt;0,OR(AUTOEVENTO&lt;&gt;"manual",$M195&lt;&gt;1)),
IF(Import.TipoArredondamento&lt;&gt;"TransfereGOV",
ROUND(OFFSET($P195,0,AY$13),15-13*ORÇAMENTO!$AF$7)/$H195*OFFSET(ORÇAMENTO!$X$15,ROW(AY195)-ROW(AY$15),0),
ROUND(ROUND(OFFSET($P195,0,AY$13),15-13*ORÇAMENTO!$AF$7)*OFFSET(ORÇAMENTO!$W$15,ROW(AY195)-ROW(AY$15),0),15-13*ORÇAMENTO!$AF$11)),0)</f>
        <v>0</v>
      </c>
      <c r="AZ195" s="545">
        <f ca="1">IF(AND($D195="Serviço",AZ$12&lt;&gt;0,$H195&gt;0,OR(AUTOEVENTO&lt;&gt;"manual",$M195&lt;&gt;1)),
IF(Import.TipoArredondamento&lt;&gt;"TransfereGOV",
ROUND(OFFSET($P195,0,AZ$13),15-13*ORÇAMENTO!$AF$7)/$H195*OFFSET(ORÇAMENTO!$X$15,ROW(AZ195)-ROW(AZ$15),0),
ROUND(ROUND(OFFSET($P195,0,AZ$13),15-13*ORÇAMENTO!$AF$7)*OFFSET(ORÇAMENTO!$W$15,ROW(AZ195)-ROW(AZ$15),0),15-13*ORÇAMENTO!$AF$11)),0)</f>
        <v>0</v>
      </c>
      <c r="BA195" s="546">
        <f ca="1">IF(AND($D195="Serviço",BA$12&lt;&gt;0,$H195&gt;0,OR(AUTOEVENTO&lt;&gt;"manual",$M195&lt;&gt;1)),
IF(Import.TipoArredondamento&lt;&gt;"TransfereGOV",
ROUND(OFFSET($P195,0,BA$13),15-13*ORÇAMENTO!$AF$7)/$H195*OFFSET(ORÇAMENTO!$X$15,ROW(BA195)-ROW(BA$15),0),
ROUND(ROUND(OFFSET($P195,0,BA$13),15-13*ORÇAMENTO!$AF$7)*OFFSET(ORÇAMENTO!$W$15,ROW(BA195)-ROW(BA$15),0),15-13*ORÇAMENTO!$AF$11)),0)</f>
        <v>0</v>
      </c>
      <c r="BC195" s="181">
        <f ca="1">IF($D195&lt;&gt;"Serviço",0,IF(AND(AUTOEVENTO="Manual",$M195=1),0,IF(OFFSET(CRONOPLE!$F$14,$M195,BC$13)="",10^12,OFFSET(CRONOPLE!$F$14,$M195,BC$13))))</f>
        <v>7</v>
      </c>
      <c r="BD195" s="181">
        <f ca="1">IF($D195&lt;&gt;"Serviço",0,IF(AND(AUTOEVENTO="Manual",$M195=1),0,IF(OFFSET(CRONOPLE!$F$14,$M195,BD$13)="",10^12,OFFSET(CRONOPLE!$F$14,$M195,BD$13))))</f>
        <v>1000000000000</v>
      </c>
      <c r="BE195" s="181">
        <f ca="1">IF($D195&lt;&gt;"Serviço",0,IF(AND(AUTOEVENTO="Manual",$M195=1),0,IF(OFFSET(CRONOPLE!$F$14,$M195,BE$13)="",10^12,OFFSET(CRONOPLE!$F$14,$M195,BE$13))))</f>
        <v>1000000000000</v>
      </c>
      <c r="BF195" s="181">
        <f ca="1">IF($D195&lt;&gt;"Serviço",0,IF(AND(AUTOEVENTO="Manual",$M195=1),0,IF(OFFSET(CRONOPLE!$F$14,$M195,BF$13)="",10^12,OFFSET(CRONOPLE!$F$14,$M195,BF$13))))</f>
        <v>1000000000000</v>
      </c>
      <c r="BG195" s="181">
        <f ca="1">IF($D195&lt;&gt;"Serviço",0,IF(AND(AUTOEVENTO="Manual",$M195=1),0,IF(OFFSET(CRONOPLE!$F$14,$M195,BG$13)="",10^12,OFFSET(CRONOPLE!$F$14,$M195,BG$13))))</f>
        <v>1000000000000</v>
      </c>
      <c r="BH195" s="181">
        <f ca="1">IF($D195&lt;&gt;"Serviço",0,IF(AND(AUTOEVENTO="Manual",$M195=1),0,IF(OFFSET(CRONOPLE!$F$14,$M195,BH$13)="",10^12,OFFSET(CRONOPLE!$F$14,$M195,BH$13))))</f>
        <v>1000000000000</v>
      </c>
      <c r="BI195" s="181">
        <f ca="1">IF($D195&lt;&gt;"Serviço",0,IF(AND(AUTOEVENTO="Manual",$M195=1),0,IF(OFFSET(CRONOPLE!$F$14,$M195,BI$13)="",10^12,OFFSET(CRONOPLE!$F$14,$M195,BI$13))))</f>
        <v>1000000000000</v>
      </c>
      <c r="BJ195" s="181">
        <f ca="1">IF($D195&lt;&gt;"Serviço",0,IF(AND(AUTOEVENTO="Manual",$M195=1),0,IF(OFFSET(CRONOPLE!$F$14,$M195,BJ$13)="",10^12,OFFSET(CRONOPLE!$F$14,$M195,BJ$13))))</f>
        <v>1000000000000</v>
      </c>
      <c r="BK195" s="181">
        <f ca="1">IF($D195&lt;&gt;"Serviço",0,IF(AND(AUTOEVENTO="Manual",$M195=1),0,IF(OFFSET(CRONOPLE!$F$14,$M195,BK$13)="",10^12,OFFSET(CRONOPLE!$F$14,$M195,BK$13))))</f>
        <v>1000000000000</v>
      </c>
      <c r="BL195" s="181">
        <f ca="1">IF($D195&lt;&gt;"Serviço",0,IF(AND(AUTOEVENTO="Manual",$M195=1),0,IF(OFFSET(CRONOPLE!$F$14,$M195,BL$13)="",10^12,OFFSET(CRONOPLE!$F$14,$M195,BL$13))))</f>
        <v>1000000000000</v>
      </c>
      <c r="BM195" s="181">
        <f ca="1">IF($D195&lt;&gt;"Serviço",0,IF(AND(AUTOEVENTO="Manual",$M195=1),0,IF(OFFSET(CRONOPLE!$F$14,$M195,BM$13)="",10^12,OFFSET(CRONOPLE!$F$14,$M195,BM$13))))</f>
        <v>1000000000000</v>
      </c>
      <c r="BN195" s="181">
        <f ca="1">IF($D195&lt;&gt;"Serviço",0,IF(AND(AUTOEVENTO="Manual",$M195=1),0,IF(OFFSET(CRONOPLE!$F$14,$M195,BN$13)="",10^12,OFFSET(CRONOPLE!$F$14,$M195,BN$13))))</f>
        <v>1000000000000</v>
      </c>
      <c r="BO195" s="181">
        <f ca="1">IF($D195&lt;&gt;"Serviço",0,IF(AND(AUTOEVENTO="Manual",$M195=1),0,IF(OFFSET(CRONOPLE!$F$14,$M195,BO$13)="",10^12,OFFSET(CRONOPLE!$F$14,$M195,BO$13))))</f>
        <v>1000000000000</v>
      </c>
      <c r="BP195" s="181">
        <f ca="1">IF($D195&lt;&gt;"Serviço",0,IF(AND(AUTOEVENTO="Manual",$M195=1),0,IF(OFFSET(CRONOPLE!$F$14,$M195,BP$13)="",10^12,OFFSET(CRONOPLE!$F$14,$M195,BP$13))))</f>
        <v>1000000000000</v>
      </c>
      <c r="BQ195" s="181">
        <f ca="1">IF($D195&lt;&gt;"Serviço",0,IF(AND(AUTOEVENTO="Manual",$M195=1),0,IF(OFFSET(CRONOPLE!$F$14,$M195,BQ$13)="",10^12,OFFSET(CRONOPLE!$F$14,$M195,BQ$13))))</f>
        <v>1000000000000</v>
      </c>
      <c r="BR195" s="181">
        <f ca="1">IF($D195&lt;&gt;"Serviço",0,IF(AND(AUTOEVENTO="Manual",$M195=1),0,IF(OFFSET(CRONOPLE!$F$14,$M195,BR$13)="",10^12,OFFSET(CRONOPLE!$F$14,$M195,BR$13))))</f>
        <v>1000000000000</v>
      </c>
      <c r="BS195" s="181">
        <f ca="1">IF($D195&lt;&gt;"Serviço",0,IF(AND(AUTOEVENTO="Manual",$M195=1),0,IF(OFFSET(CRONOPLE!$F$14,$M195,BS$13)="",10^12,OFFSET(CRONOPLE!$F$14,$M195,BS$13))))</f>
        <v>1000000000000</v>
      </c>
      <c r="BT195" s="181">
        <f ca="1">IF($D195&lt;&gt;"Serviço",0,IF(AND(AUTOEVENTO="Manual",$M195=1),0,IF(OFFSET(CRONOPLE!$F$14,$M195,BT$13)="",10^12,OFFSET(CRONOPLE!$F$14,$M195,BT$13))))</f>
        <v>1000000000000</v>
      </c>
      <c r="BV195" s="182">
        <f ca="1">IF($D195&lt;&gt;"Serviço",0,IF(OR(AND(AUTOEVENTO="Manual",$M195=1),$M195&gt;(ROW(PLE.lastrow)-ROW(PLE.firstrow))),0,IF(OFFSET(PLE!$G$14,$M195,BV$13)="",10^12,OFFSET(PLE!$G$14,$M195,BV$13))))</f>
        <v>1000000000000</v>
      </c>
      <c r="BW195" s="182">
        <f ca="1">IF($D195&lt;&gt;"Serviço",0,IF(OR(AND(AUTOEVENTO="Manual",$M195=1),$M195&gt;(ROW(PLE.lastrow)-ROW(PLE.firstrow))),0,IF(OFFSET(PLE!$G$14,$M195,BW$13)="",10^12,OFFSET(PLE!$G$14,$M195,BW$13))))</f>
        <v>1000000000000</v>
      </c>
      <c r="BX195" s="182">
        <f ca="1">IF($D195&lt;&gt;"Serviço",0,IF(OR(AND(AUTOEVENTO="Manual",$M195=1),$M195&gt;(ROW(PLE.lastrow)-ROW(PLE.firstrow))),0,IF(OFFSET(PLE!$G$14,$M195,BX$13)="",10^12,OFFSET(PLE!$G$14,$M195,BX$13))))</f>
        <v>1000000000000</v>
      </c>
      <c r="BY195" s="182">
        <f ca="1">IF($D195&lt;&gt;"Serviço",0,IF(OR(AND(AUTOEVENTO="Manual",$M195=1),$M195&gt;(ROW(PLE.lastrow)-ROW(PLE.firstrow))),0,IF(OFFSET(PLE!$G$14,$M195,BY$13)="",10^12,OFFSET(PLE!$G$14,$M195,BY$13))))</f>
        <v>1000000000000</v>
      </c>
      <c r="BZ195" s="182">
        <f ca="1">IF($D195&lt;&gt;"Serviço",0,IF(OR(AND(AUTOEVENTO="Manual",$M195=1),$M195&gt;(ROW(PLE.lastrow)-ROW(PLE.firstrow))),0,IF(OFFSET(PLE!$G$14,$M195,BZ$13)="",10^12,OFFSET(PLE!$G$14,$M195,BZ$13))))</f>
        <v>1000000000000</v>
      </c>
      <c r="CA195" s="182">
        <f ca="1">IF($D195&lt;&gt;"Serviço",0,IF(OR(AND(AUTOEVENTO="Manual",$M195=1),$M195&gt;(ROW(PLE.lastrow)-ROW(PLE.firstrow))),0,IF(OFFSET(PLE!$G$14,$M195,CA$13)="",10^12,OFFSET(PLE!$G$14,$M195,CA$13))))</f>
        <v>1000000000000</v>
      </c>
      <c r="CB195" s="182">
        <f ca="1">IF($D195&lt;&gt;"Serviço",0,IF(OR(AND(AUTOEVENTO="Manual",$M195=1),$M195&gt;(ROW(PLE.lastrow)-ROW(PLE.firstrow))),0,IF(OFFSET(PLE!$G$14,$M195,CB$13)="",10^12,OFFSET(PLE!$G$14,$M195,CB$13))))</f>
        <v>1000000000000</v>
      </c>
      <c r="CC195" s="182">
        <f ca="1">IF($D195&lt;&gt;"Serviço",0,IF(OR(AND(AUTOEVENTO="Manual",$M195=1),$M195&gt;(ROW(PLE.lastrow)-ROW(PLE.firstrow))),0,IF(OFFSET(PLE!$G$14,$M195,CC$13)="",10^12,OFFSET(PLE!$G$14,$M195,CC$13))))</f>
        <v>1000000000000</v>
      </c>
      <c r="CD195" s="182">
        <f ca="1">IF($D195&lt;&gt;"Serviço",0,IF(OR(AND(AUTOEVENTO="Manual",$M195=1),$M195&gt;(ROW(PLE.lastrow)-ROW(PLE.firstrow))),0,IF(OFFSET(PLE!$G$14,$M195,CD$13)="",10^12,OFFSET(PLE!$G$14,$M195,CD$13))))</f>
        <v>1000000000000</v>
      </c>
      <c r="CE195" s="182">
        <f ca="1">IF($D195&lt;&gt;"Serviço",0,IF(OR(AND(AUTOEVENTO="Manual",$M195=1),$M195&gt;(ROW(PLE.lastrow)-ROW(PLE.firstrow))),0,IF(OFFSET(PLE!$G$14,$M195,CE$13)="",10^12,OFFSET(PLE!$G$14,$M195,CE$13))))</f>
        <v>1000000000000</v>
      </c>
      <c r="CF195" s="182">
        <f ca="1">IF($D195&lt;&gt;"Serviço",0,IF(OR(AND(AUTOEVENTO="Manual",$M195=1),$M195&gt;(ROW(PLE.lastrow)-ROW(PLE.firstrow))),0,IF(OFFSET(PLE!$G$14,$M195,CF$13)="",10^12,OFFSET(PLE!$G$14,$M195,CF$13))))</f>
        <v>1000000000000</v>
      </c>
      <c r="CG195" s="182">
        <f ca="1">IF($D195&lt;&gt;"Serviço",0,IF(OR(AND(AUTOEVENTO="Manual",$M195=1),$M195&gt;(ROW(PLE.lastrow)-ROW(PLE.firstrow))),0,IF(OFFSET(PLE!$G$14,$M195,CG$13)="",10^12,OFFSET(PLE!$G$14,$M195,CG$13))))</f>
        <v>1000000000000</v>
      </c>
      <c r="CH195" s="182">
        <f ca="1">IF($D195&lt;&gt;"Serviço",0,IF(OR(AND(AUTOEVENTO="Manual",$M195=1),$M195&gt;(ROW(PLE.lastrow)-ROW(PLE.firstrow))),0,IF(OFFSET(PLE!$G$14,$M195,CH$13)="",10^12,OFFSET(PLE!$G$14,$M195,CH$13))))</f>
        <v>1000000000000</v>
      </c>
      <c r="CI195" s="182">
        <f ca="1">IF($D195&lt;&gt;"Serviço",0,IF(OR(AND(AUTOEVENTO="Manual",$M195=1),$M195&gt;(ROW(PLE.lastrow)-ROW(PLE.firstrow))),0,IF(OFFSET(PLE!$G$14,$M195,CI$13)="",10^12,OFFSET(PLE!$G$14,$M195,CI$13))))</f>
        <v>1000000000000</v>
      </c>
      <c r="CJ195" s="182">
        <f ca="1">IF($D195&lt;&gt;"Serviço",0,IF(OR(AND(AUTOEVENTO="Manual",$M195=1),$M195&gt;(ROW(PLE.lastrow)-ROW(PLE.firstrow))),0,IF(OFFSET(PLE!$G$14,$M195,CJ$13)="",10^12,OFFSET(PLE!$G$14,$M195,CJ$13))))</f>
        <v>1000000000000</v>
      </c>
      <c r="CK195" s="182">
        <f ca="1">IF($D195&lt;&gt;"Serviço",0,IF(OR(AND(AUTOEVENTO="Manual",$M195=1),$M195&gt;(ROW(PLE.lastrow)-ROW(PLE.firstrow))),0,IF(OFFSET(PLE!$G$14,$M195,CK$13)="",10^12,OFFSET(PLE!$G$14,$M195,CK$13))))</f>
        <v>1000000000000</v>
      </c>
      <c r="CL195" s="182">
        <f ca="1">IF($D195&lt;&gt;"Serviço",0,IF(OR(AND(AUTOEVENTO="Manual",$M195=1),$M195&gt;(ROW(PLE.lastrow)-ROW(PLE.firstrow))),0,IF(OFFSET(PLE!$G$14,$M195,CL$13)="",10^12,OFFSET(PLE!$G$14,$M195,CL$13))))</f>
        <v>1000000000000</v>
      </c>
      <c r="CM195" s="182">
        <f ca="1">IF($D195&lt;&gt;"Serviço",0,IF(OR(AND(AUTOEVENTO="Manual",$M195=1),$M195&gt;(ROW(PLE.lastrow)-ROW(PLE.firstrow))),0,IF(OFFSET(PLE!$G$14,$M195,CM$13)="",10^12,OFFSET(PLE!$G$14,$M195,CM$13))))</f>
        <v>1000000000000</v>
      </c>
    </row>
    <row r="196" spans="1:91" ht="25.5" x14ac:dyDescent="0.2">
      <c r="A196" s="7" t="str">
        <f t="shared" ca="1" si="12"/>
        <v>169</v>
      </c>
      <c r="B196" s="7" t="str">
        <f ca="1">OFFSET(ORÇAMENTO!C$15,ROW(B196)-ROW(B$15),0)</f>
        <v>S</v>
      </c>
      <c r="C196" s="7" t="str">
        <f ca="1">OFFSET(ORÇAMENTO!L$15,ROW(C196)-ROW(C$15),0)</f>
        <v/>
      </c>
      <c r="D196" s="118" t="str">
        <f ca="1">OFFSET(ORÇAMENTO!N$15,ROW(D196)-ROW(D$15),0)</f>
        <v>Serviço</v>
      </c>
      <c r="E196" s="119" t="str">
        <f ca="1">OFFSET(ORÇAMENTO!O$15,ROW(E196)-ROW(E$15),0)</f>
        <v>-</v>
      </c>
      <c r="F196" s="172" t="str">
        <f ca="1">OFFSET(ORÇAMENTO!R$15,ROW(F196)-ROW(F$15),0)</f>
        <v>(abra o arquivo 'Referência 06-2024.xlsm)</v>
      </c>
      <c r="G196" s="173" t="str">
        <f ca="1">IF($D196&lt;&gt;"Serviço","",OFFSET(ORÇAMENTO!S$15,ROW(G196)-ROW(G$15),0))</f>
        <v>-</v>
      </c>
      <c r="H196" s="124">
        <f ca="1">IF($D196&lt;&gt;"Serviço",0,IF(ACOMPANHAMENTO="BM",ROUND(OFFSET(ORÇAMENTO!AJ$15,ROW(H196)-ROW(H$15),0),15-13*ORÇAMENTO!$AF$7),SUMPRODUCT(($Q$12:$AI$12&lt;&gt;"")*ROUND($Q196:$AI196,15-13*ORÇAMENTO!$AF$7))))</f>
        <v>69.45</v>
      </c>
      <c r="I196" s="561" t="s">
        <v>1107</v>
      </c>
      <c r="K196" s="174"/>
      <c r="L196" s="175" t="s">
        <v>255</v>
      </c>
      <c r="M196" s="176">
        <f ca="1">IF($D196&lt;&gt;"Serviço","",IF(AUTOEVENTO="manual",$A196,IF(ISERROR(MATCH($A196,$A$15:OFFSET($A196,-1,0),0)),MAX($M$15:OFFSET(M196,-1,0))+1,INDEX($M$15:OFFSET(M196,-1,0),MATCH($A196,$A$15:OFFSET($A196,-1,0),0)))))</f>
        <v>27</v>
      </c>
      <c r="N196" s="177" t="str">
        <f ca="1">IF($D196&lt;&gt;"Serviço","",IF(AUTOEVENTO="Manual",IF($A196=0,"&lt;-- defina o número do agrupador",OFFSET(EVENTOS!$D$14,$A196,0)),OFFSET($F$15,$A196,0)))</f>
        <v>REVESTIMENTOS INTERNO E EXTERNO - EDIFICAÇÃO</v>
      </c>
      <c r="O196" s="178"/>
      <c r="Q196" s="178">
        <v>69.45</v>
      </c>
      <c r="R196" s="179"/>
      <c r="S196" s="179"/>
      <c r="T196" s="179"/>
      <c r="U196" s="179"/>
      <c r="V196" s="179"/>
      <c r="W196" s="179"/>
      <c r="X196" s="179"/>
      <c r="Y196" s="179"/>
      <c r="Z196" s="180"/>
      <c r="AA196" s="179"/>
      <c r="AB196" s="179"/>
      <c r="AC196" s="179"/>
      <c r="AD196" s="179"/>
      <c r="AE196" s="179"/>
      <c r="AF196" s="179"/>
      <c r="AG196" s="179"/>
      <c r="AH196" s="180"/>
      <c r="AJ196" s="544">
        <f ca="1">IF(AND($D196="Serviço",AJ$12&lt;&gt;0,$H196&gt;0,OR(AUTOEVENTO&lt;&gt;"manual",$M196&lt;&gt;1)),
IF(Import.TipoArredondamento&lt;&gt;"TransfereGOV",
ROUND(OFFSET($P196,0,AJ$13),15-13*ORÇAMENTO!$AF$7)/$H196*OFFSET(ORÇAMENTO!$X$15,ROW(AJ196)-ROW(AJ$15),0),
ROUND(ROUND(OFFSET($P196,0,AJ$13),15-13*ORÇAMENTO!$AF$7)*OFFSET(ORÇAMENTO!$W$15,ROW(AJ196)-ROW(AJ$15),0),15-13*ORÇAMENTO!$AF$11)),0)</f>
        <v>0</v>
      </c>
      <c r="AK196" s="545">
        <f ca="1">IF(AND($D196="Serviço",AK$12&lt;&gt;0,$H196&gt;0,OR(AUTOEVENTO&lt;&gt;"manual",$M196&lt;&gt;1)),
IF(Import.TipoArredondamento&lt;&gt;"TransfereGOV",
ROUND(OFFSET($P196,0,AK$13),15-13*ORÇAMENTO!$AF$7)/$H196*OFFSET(ORÇAMENTO!$X$15,ROW(AK196)-ROW(AK$15),0),
ROUND(ROUND(OFFSET($P196,0,AK$13),15-13*ORÇAMENTO!$AF$7)*OFFSET(ORÇAMENTO!$W$15,ROW(AK196)-ROW(AK$15),0),15-13*ORÇAMENTO!$AF$11)),0)</f>
        <v>0</v>
      </c>
      <c r="AL196" s="545">
        <f ca="1">IF(AND($D196="Serviço",AL$12&lt;&gt;0,$H196&gt;0,OR(AUTOEVENTO&lt;&gt;"manual",$M196&lt;&gt;1)),
IF(Import.TipoArredondamento&lt;&gt;"TransfereGOV",
ROUND(OFFSET($P196,0,AL$13),15-13*ORÇAMENTO!$AF$7)/$H196*OFFSET(ORÇAMENTO!$X$15,ROW(AL196)-ROW(AL$15),0),
ROUND(ROUND(OFFSET($P196,0,AL$13),15-13*ORÇAMENTO!$AF$7)*OFFSET(ORÇAMENTO!$W$15,ROW(AL196)-ROW(AL$15),0),15-13*ORÇAMENTO!$AF$11)),0)</f>
        <v>0</v>
      </c>
      <c r="AM196" s="545">
        <f ca="1">IF(AND($D196="Serviço",AM$12&lt;&gt;0,$H196&gt;0,OR(AUTOEVENTO&lt;&gt;"manual",$M196&lt;&gt;1)),
IF(Import.TipoArredondamento&lt;&gt;"TransfereGOV",
ROUND(OFFSET($P196,0,AM$13),15-13*ORÇAMENTO!$AF$7)/$H196*OFFSET(ORÇAMENTO!$X$15,ROW(AM196)-ROW(AM$15),0),
ROUND(ROUND(OFFSET($P196,0,AM$13),15-13*ORÇAMENTO!$AF$7)*OFFSET(ORÇAMENTO!$W$15,ROW(AM196)-ROW(AM$15),0),15-13*ORÇAMENTO!$AF$11)),0)</f>
        <v>0</v>
      </c>
      <c r="AN196" s="545">
        <f ca="1">IF(AND($D196="Serviço",AN$12&lt;&gt;0,$H196&gt;0,OR(AUTOEVENTO&lt;&gt;"manual",$M196&lt;&gt;1)),
IF(Import.TipoArredondamento&lt;&gt;"TransfereGOV",
ROUND(OFFSET($P196,0,AN$13),15-13*ORÇAMENTO!$AF$7)/$H196*OFFSET(ORÇAMENTO!$X$15,ROW(AN196)-ROW(AN$15),0),
ROUND(ROUND(OFFSET($P196,0,AN$13),15-13*ORÇAMENTO!$AF$7)*OFFSET(ORÇAMENTO!$W$15,ROW(AN196)-ROW(AN$15),0),15-13*ORÇAMENTO!$AF$11)),0)</f>
        <v>0</v>
      </c>
      <c r="AO196" s="545">
        <f ca="1">IF(AND($D196="Serviço",AO$12&lt;&gt;0,$H196&gt;0,OR(AUTOEVENTO&lt;&gt;"manual",$M196&lt;&gt;1)),
IF(Import.TipoArredondamento&lt;&gt;"TransfereGOV",
ROUND(OFFSET($P196,0,AO$13),15-13*ORÇAMENTO!$AF$7)/$H196*OFFSET(ORÇAMENTO!$X$15,ROW(AO196)-ROW(AO$15),0),
ROUND(ROUND(OFFSET($P196,0,AO$13),15-13*ORÇAMENTO!$AF$7)*OFFSET(ORÇAMENTO!$W$15,ROW(AO196)-ROW(AO$15),0),15-13*ORÇAMENTO!$AF$11)),0)</f>
        <v>0</v>
      </c>
      <c r="AP196" s="545">
        <f ca="1">IF(AND($D196="Serviço",AP$12&lt;&gt;0,$H196&gt;0,OR(AUTOEVENTO&lt;&gt;"manual",$M196&lt;&gt;1)),
IF(Import.TipoArredondamento&lt;&gt;"TransfereGOV",
ROUND(OFFSET($P196,0,AP$13),15-13*ORÇAMENTO!$AF$7)/$H196*OFFSET(ORÇAMENTO!$X$15,ROW(AP196)-ROW(AP$15),0),
ROUND(ROUND(OFFSET($P196,0,AP$13),15-13*ORÇAMENTO!$AF$7)*OFFSET(ORÇAMENTO!$W$15,ROW(AP196)-ROW(AP$15),0),15-13*ORÇAMENTO!$AF$11)),0)</f>
        <v>0</v>
      </c>
      <c r="AQ196" s="545">
        <f ca="1">IF(AND($D196="Serviço",AQ$12&lt;&gt;0,$H196&gt;0,OR(AUTOEVENTO&lt;&gt;"manual",$M196&lt;&gt;1)),
IF(Import.TipoArredondamento&lt;&gt;"TransfereGOV",
ROUND(OFFSET($P196,0,AQ$13),15-13*ORÇAMENTO!$AF$7)/$H196*OFFSET(ORÇAMENTO!$X$15,ROW(AQ196)-ROW(AQ$15),0),
ROUND(ROUND(OFFSET($P196,0,AQ$13),15-13*ORÇAMENTO!$AF$7)*OFFSET(ORÇAMENTO!$W$15,ROW(AQ196)-ROW(AQ$15),0),15-13*ORÇAMENTO!$AF$11)),0)</f>
        <v>0</v>
      </c>
      <c r="AR196" s="545">
        <f ca="1">IF(AND($D196="Serviço",AR$12&lt;&gt;0,$H196&gt;0,OR(AUTOEVENTO&lt;&gt;"manual",$M196&lt;&gt;1)),
IF(Import.TipoArredondamento&lt;&gt;"TransfereGOV",
ROUND(OFFSET($P196,0,AR$13),15-13*ORÇAMENTO!$AF$7)/$H196*OFFSET(ORÇAMENTO!$X$15,ROW(AR196)-ROW(AR$15),0),
ROUND(ROUND(OFFSET($P196,0,AR$13),15-13*ORÇAMENTO!$AF$7)*OFFSET(ORÇAMENTO!$W$15,ROW(AR196)-ROW(AR$15),0),15-13*ORÇAMENTO!$AF$11)),0)</f>
        <v>0</v>
      </c>
      <c r="AS196" s="546">
        <f ca="1">IF(AND($D196="Serviço",AS$12&lt;&gt;0,$H196&gt;0,OR(AUTOEVENTO&lt;&gt;"manual",$M196&lt;&gt;1)),
IF(Import.TipoArredondamento&lt;&gt;"TransfereGOV",
ROUND(OFFSET($P196,0,AS$13),15-13*ORÇAMENTO!$AF$7)/$H196*OFFSET(ORÇAMENTO!$X$15,ROW(AS196)-ROW(AS$15),0),
ROUND(ROUND(OFFSET($P196,0,AS$13),15-13*ORÇAMENTO!$AF$7)*OFFSET(ORÇAMENTO!$W$15,ROW(AS196)-ROW(AS$15),0),15-13*ORÇAMENTO!$AF$11)),0)</f>
        <v>0</v>
      </c>
      <c r="AT196" s="545">
        <f ca="1">IF(AND($D196="Serviço",AT$12&lt;&gt;0,$H196&gt;0,OR(AUTOEVENTO&lt;&gt;"manual",$M196&lt;&gt;1)),
IF(Import.TipoArredondamento&lt;&gt;"TransfereGOV",
ROUND(OFFSET($P196,0,AT$13),15-13*ORÇAMENTO!$AF$7)/$H196*OFFSET(ORÇAMENTO!$X$15,ROW(AT196)-ROW(AT$15),0),
ROUND(ROUND(OFFSET($P196,0,AT$13),15-13*ORÇAMENTO!$AF$7)*OFFSET(ORÇAMENTO!$W$15,ROW(AT196)-ROW(AT$15),0),15-13*ORÇAMENTO!$AF$11)),0)</f>
        <v>0</v>
      </c>
      <c r="AU196" s="545">
        <f ca="1">IF(AND($D196="Serviço",AU$12&lt;&gt;0,$H196&gt;0,OR(AUTOEVENTO&lt;&gt;"manual",$M196&lt;&gt;1)),
IF(Import.TipoArredondamento&lt;&gt;"TransfereGOV",
ROUND(OFFSET($P196,0,AU$13),15-13*ORÇAMENTO!$AF$7)/$H196*OFFSET(ORÇAMENTO!$X$15,ROW(AU196)-ROW(AU$15),0),
ROUND(ROUND(OFFSET($P196,0,AU$13),15-13*ORÇAMENTO!$AF$7)*OFFSET(ORÇAMENTO!$W$15,ROW(AU196)-ROW(AU$15),0),15-13*ORÇAMENTO!$AF$11)),0)</f>
        <v>0</v>
      </c>
      <c r="AV196" s="545">
        <f ca="1">IF(AND($D196="Serviço",AV$12&lt;&gt;0,$H196&gt;0,OR(AUTOEVENTO&lt;&gt;"manual",$M196&lt;&gt;1)),
IF(Import.TipoArredondamento&lt;&gt;"TransfereGOV",
ROUND(OFFSET($P196,0,AV$13),15-13*ORÇAMENTO!$AF$7)/$H196*OFFSET(ORÇAMENTO!$X$15,ROW(AV196)-ROW(AV$15),0),
ROUND(ROUND(OFFSET($P196,0,AV$13),15-13*ORÇAMENTO!$AF$7)*OFFSET(ORÇAMENTO!$W$15,ROW(AV196)-ROW(AV$15),0),15-13*ORÇAMENTO!$AF$11)),0)</f>
        <v>0</v>
      </c>
      <c r="AW196" s="545">
        <f ca="1">IF(AND($D196="Serviço",AW$12&lt;&gt;0,$H196&gt;0,OR(AUTOEVENTO&lt;&gt;"manual",$M196&lt;&gt;1)),
IF(Import.TipoArredondamento&lt;&gt;"TransfereGOV",
ROUND(OFFSET($P196,0,AW$13),15-13*ORÇAMENTO!$AF$7)/$H196*OFFSET(ORÇAMENTO!$X$15,ROW(AW196)-ROW(AW$15),0),
ROUND(ROUND(OFFSET($P196,0,AW$13),15-13*ORÇAMENTO!$AF$7)*OFFSET(ORÇAMENTO!$W$15,ROW(AW196)-ROW(AW$15),0),15-13*ORÇAMENTO!$AF$11)),0)</f>
        <v>0</v>
      </c>
      <c r="AX196" s="545">
        <f ca="1">IF(AND($D196="Serviço",AX$12&lt;&gt;0,$H196&gt;0,OR(AUTOEVENTO&lt;&gt;"manual",$M196&lt;&gt;1)),
IF(Import.TipoArredondamento&lt;&gt;"TransfereGOV",
ROUND(OFFSET($P196,0,AX$13),15-13*ORÇAMENTO!$AF$7)/$H196*OFFSET(ORÇAMENTO!$X$15,ROW(AX196)-ROW(AX$15),0),
ROUND(ROUND(OFFSET($P196,0,AX$13),15-13*ORÇAMENTO!$AF$7)*OFFSET(ORÇAMENTO!$W$15,ROW(AX196)-ROW(AX$15),0),15-13*ORÇAMENTO!$AF$11)),0)</f>
        <v>0</v>
      </c>
      <c r="AY196" s="545">
        <f ca="1">IF(AND($D196="Serviço",AY$12&lt;&gt;0,$H196&gt;0,OR(AUTOEVENTO&lt;&gt;"manual",$M196&lt;&gt;1)),
IF(Import.TipoArredondamento&lt;&gt;"TransfereGOV",
ROUND(OFFSET($P196,0,AY$13),15-13*ORÇAMENTO!$AF$7)/$H196*OFFSET(ORÇAMENTO!$X$15,ROW(AY196)-ROW(AY$15),0),
ROUND(ROUND(OFFSET($P196,0,AY$13),15-13*ORÇAMENTO!$AF$7)*OFFSET(ORÇAMENTO!$W$15,ROW(AY196)-ROW(AY$15),0),15-13*ORÇAMENTO!$AF$11)),0)</f>
        <v>0</v>
      </c>
      <c r="AZ196" s="545">
        <f ca="1">IF(AND($D196="Serviço",AZ$12&lt;&gt;0,$H196&gt;0,OR(AUTOEVENTO&lt;&gt;"manual",$M196&lt;&gt;1)),
IF(Import.TipoArredondamento&lt;&gt;"TransfereGOV",
ROUND(OFFSET($P196,0,AZ$13),15-13*ORÇAMENTO!$AF$7)/$H196*OFFSET(ORÇAMENTO!$X$15,ROW(AZ196)-ROW(AZ$15),0),
ROUND(ROUND(OFFSET($P196,0,AZ$13),15-13*ORÇAMENTO!$AF$7)*OFFSET(ORÇAMENTO!$W$15,ROW(AZ196)-ROW(AZ$15),0),15-13*ORÇAMENTO!$AF$11)),0)</f>
        <v>0</v>
      </c>
      <c r="BA196" s="546">
        <f ca="1">IF(AND($D196="Serviço",BA$12&lt;&gt;0,$H196&gt;0,OR(AUTOEVENTO&lt;&gt;"manual",$M196&lt;&gt;1)),
IF(Import.TipoArredondamento&lt;&gt;"TransfereGOV",
ROUND(OFFSET($P196,0,BA$13),15-13*ORÇAMENTO!$AF$7)/$H196*OFFSET(ORÇAMENTO!$X$15,ROW(BA196)-ROW(BA$15),0),
ROUND(ROUND(OFFSET($P196,0,BA$13),15-13*ORÇAMENTO!$AF$7)*OFFSET(ORÇAMENTO!$W$15,ROW(BA196)-ROW(BA$15),0),15-13*ORÇAMENTO!$AF$11)),0)</f>
        <v>0</v>
      </c>
      <c r="BC196" s="181">
        <f ca="1">IF($D196&lt;&gt;"Serviço",0,IF(AND(AUTOEVENTO="Manual",$M196=1),0,IF(OFFSET(CRONOPLE!$F$14,$M196,BC$13)="",10^12,OFFSET(CRONOPLE!$F$14,$M196,BC$13))))</f>
        <v>7</v>
      </c>
      <c r="BD196" s="181">
        <f ca="1">IF($D196&lt;&gt;"Serviço",0,IF(AND(AUTOEVENTO="Manual",$M196=1),0,IF(OFFSET(CRONOPLE!$F$14,$M196,BD$13)="",10^12,OFFSET(CRONOPLE!$F$14,$M196,BD$13))))</f>
        <v>1000000000000</v>
      </c>
      <c r="BE196" s="181">
        <f ca="1">IF($D196&lt;&gt;"Serviço",0,IF(AND(AUTOEVENTO="Manual",$M196=1),0,IF(OFFSET(CRONOPLE!$F$14,$M196,BE$13)="",10^12,OFFSET(CRONOPLE!$F$14,$M196,BE$13))))</f>
        <v>1000000000000</v>
      </c>
      <c r="BF196" s="181">
        <f ca="1">IF($D196&lt;&gt;"Serviço",0,IF(AND(AUTOEVENTO="Manual",$M196=1),0,IF(OFFSET(CRONOPLE!$F$14,$M196,BF$13)="",10^12,OFFSET(CRONOPLE!$F$14,$M196,BF$13))))</f>
        <v>1000000000000</v>
      </c>
      <c r="BG196" s="181">
        <f ca="1">IF($D196&lt;&gt;"Serviço",0,IF(AND(AUTOEVENTO="Manual",$M196=1),0,IF(OFFSET(CRONOPLE!$F$14,$M196,BG$13)="",10^12,OFFSET(CRONOPLE!$F$14,$M196,BG$13))))</f>
        <v>1000000000000</v>
      </c>
      <c r="BH196" s="181">
        <f ca="1">IF($D196&lt;&gt;"Serviço",0,IF(AND(AUTOEVENTO="Manual",$M196=1),0,IF(OFFSET(CRONOPLE!$F$14,$M196,BH$13)="",10^12,OFFSET(CRONOPLE!$F$14,$M196,BH$13))))</f>
        <v>1000000000000</v>
      </c>
      <c r="BI196" s="181">
        <f ca="1">IF($D196&lt;&gt;"Serviço",0,IF(AND(AUTOEVENTO="Manual",$M196=1),0,IF(OFFSET(CRONOPLE!$F$14,$M196,BI$13)="",10^12,OFFSET(CRONOPLE!$F$14,$M196,BI$13))))</f>
        <v>1000000000000</v>
      </c>
      <c r="BJ196" s="181">
        <f ca="1">IF($D196&lt;&gt;"Serviço",0,IF(AND(AUTOEVENTO="Manual",$M196=1),0,IF(OFFSET(CRONOPLE!$F$14,$M196,BJ$13)="",10^12,OFFSET(CRONOPLE!$F$14,$M196,BJ$13))))</f>
        <v>1000000000000</v>
      </c>
      <c r="BK196" s="181">
        <f ca="1">IF($D196&lt;&gt;"Serviço",0,IF(AND(AUTOEVENTO="Manual",$M196=1),0,IF(OFFSET(CRONOPLE!$F$14,$M196,BK$13)="",10^12,OFFSET(CRONOPLE!$F$14,$M196,BK$13))))</f>
        <v>1000000000000</v>
      </c>
      <c r="BL196" s="181">
        <f ca="1">IF($D196&lt;&gt;"Serviço",0,IF(AND(AUTOEVENTO="Manual",$M196=1),0,IF(OFFSET(CRONOPLE!$F$14,$M196,BL$13)="",10^12,OFFSET(CRONOPLE!$F$14,$M196,BL$13))))</f>
        <v>1000000000000</v>
      </c>
      <c r="BM196" s="181">
        <f ca="1">IF($D196&lt;&gt;"Serviço",0,IF(AND(AUTOEVENTO="Manual",$M196=1),0,IF(OFFSET(CRONOPLE!$F$14,$M196,BM$13)="",10^12,OFFSET(CRONOPLE!$F$14,$M196,BM$13))))</f>
        <v>1000000000000</v>
      </c>
      <c r="BN196" s="181">
        <f ca="1">IF($D196&lt;&gt;"Serviço",0,IF(AND(AUTOEVENTO="Manual",$M196=1),0,IF(OFFSET(CRONOPLE!$F$14,$M196,BN$13)="",10^12,OFFSET(CRONOPLE!$F$14,$M196,BN$13))))</f>
        <v>1000000000000</v>
      </c>
      <c r="BO196" s="181">
        <f ca="1">IF($D196&lt;&gt;"Serviço",0,IF(AND(AUTOEVENTO="Manual",$M196=1),0,IF(OFFSET(CRONOPLE!$F$14,$M196,BO$13)="",10^12,OFFSET(CRONOPLE!$F$14,$M196,BO$13))))</f>
        <v>1000000000000</v>
      </c>
      <c r="BP196" s="181">
        <f ca="1">IF($D196&lt;&gt;"Serviço",0,IF(AND(AUTOEVENTO="Manual",$M196=1),0,IF(OFFSET(CRONOPLE!$F$14,$M196,BP$13)="",10^12,OFFSET(CRONOPLE!$F$14,$M196,BP$13))))</f>
        <v>1000000000000</v>
      </c>
      <c r="BQ196" s="181">
        <f ca="1">IF($D196&lt;&gt;"Serviço",0,IF(AND(AUTOEVENTO="Manual",$M196=1),0,IF(OFFSET(CRONOPLE!$F$14,$M196,BQ$13)="",10^12,OFFSET(CRONOPLE!$F$14,$M196,BQ$13))))</f>
        <v>1000000000000</v>
      </c>
      <c r="BR196" s="181">
        <f ca="1">IF($D196&lt;&gt;"Serviço",0,IF(AND(AUTOEVENTO="Manual",$M196=1),0,IF(OFFSET(CRONOPLE!$F$14,$M196,BR$13)="",10^12,OFFSET(CRONOPLE!$F$14,$M196,BR$13))))</f>
        <v>1000000000000</v>
      </c>
      <c r="BS196" s="181">
        <f ca="1">IF($D196&lt;&gt;"Serviço",0,IF(AND(AUTOEVENTO="Manual",$M196=1),0,IF(OFFSET(CRONOPLE!$F$14,$M196,BS$13)="",10^12,OFFSET(CRONOPLE!$F$14,$M196,BS$13))))</f>
        <v>1000000000000</v>
      </c>
      <c r="BT196" s="181">
        <f ca="1">IF($D196&lt;&gt;"Serviço",0,IF(AND(AUTOEVENTO="Manual",$M196=1),0,IF(OFFSET(CRONOPLE!$F$14,$M196,BT$13)="",10^12,OFFSET(CRONOPLE!$F$14,$M196,BT$13))))</f>
        <v>1000000000000</v>
      </c>
      <c r="BV196" s="182">
        <f ca="1">IF($D196&lt;&gt;"Serviço",0,IF(OR(AND(AUTOEVENTO="Manual",$M196=1),$M196&gt;(ROW(PLE.lastrow)-ROW(PLE.firstrow))),0,IF(OFFSET(PLE!$G$14,$M196,BV$13)="",10^12,OFFSET(PLE!$G$14,$M196,BV$13))))</f>
        <v>1000000000000</v>
      </c>
      <c r="BW196" s="182">
        <f ca="1">IF($D196&lt;&gt;"Serviço",0,IF(OR(AND(AUTOEVENTO="Manual",$M196=1),$M196&gt;(ROW(PLE.lastrow)-ROW(PLE.firstrow))),0,IF(OFFSET(PLE!$G$14,$M196,BW$13)="",10^12,OFFSET(PLE!$G$14,$M196,BW$13))))</f>
        <v>1000000000000</v>
      </c>
      <c r="BX196" s="182">
        <f ca="1">IF($D196&lt;&gt;"Serviço",0,IF(OR(AND(AUTOEVENTO="Manual",$M196=1),$M196&gt;(ROW(PLE.lastrow)-ROW(PLE.firstrow))),0,IF(OFFSET(PLE!$G$14,$M196,BX$13)="",10^12,OFFSET(PLE!$G$14,$M196,BX$13))))</f>
        <v>1000000000000</v>
      </c>
      <c r="BY196" s="182">
        <f ca="1">IF($D196&lt;&gt;"Serviço",0,IF(OR(AND(AUTOEVENTO="Manual",$M196=1),$M196&gt;(ROW(PLE.lastrow)-ROW(PLE.firstrow))),0,IF(OFFSET(PLE!$G$14,$M196,BY$13)="",10^12,OFFSET(PLE!$G$14,$M196,BY$13))))</f>
        <v>1000000000000</v>
      </c>
      <c r="BZ196" s="182">
        <f ca="1">IF($D196&lt;&gt;"Serviço",0,IF(OR(AND(AUTOEVENTO="Manual",$M196=1),$M196&gt;(ROW(PLE.lastrow)-ROW(PLE.firstrow))),0,IF(OFFSET(PLE!$G$14,$M196,BZ$13)="",10^12,OFFSET(PLE!$G$14,$M196,BZ$13))))</f>
        <v>1000000000000</v>
      </c>
      <c r="CA196" s="182">
        <f ca="1">IF($D196&lt;&gt;"Serviço",0,IF(OR(AND(AUTOEVENTO="Manual",$M196=1),$M196&gt;(ROW(PLE.lastrow)-ROW(PLE.firstrow))),0,IF(OFFSET(PLE!$G$14,$M196,CA$13)="",10^12,OFFSET(PLE!$G$14,$M196,CA$13))))</f>
        <v>1000000000000</v>
      </c>
      <c r="CB196" s="182">
        <f ca="1">IF($D196&lt;&gt;"Serviço",0,IF(OR(AND(AUTOEVENTO="Manual",$M196=1),$M196&gt;(ROW(PLE.lastrow)-ROW(PLE.firstrow))),0,IF(OFFSET(PLE!$G$14,$M196,CB$13)="",10^12,OFFSET(PLE!$G$14,$M196,CB$13))))</f>
        <v>1000000000000</v>
      </c>
      <c r="CC196" s="182">
        <f ca="1">IF($D196&lt;&gt;"Serviço",0,IF(OR(AND(AUTOEVENTO="Manual",$M196=1),$M196&gt;(ROW(PLE.lastrow)-ROW(PLE.firstrow))),0,IF(OFFSET(PLE!$G$14,$M196,CC$13)="",10^12,OFFSET(PLE!$G$14,$M196,CC$13))))</f>
        <v>1000000000000</v>
      </c>
      <c r="CD196" s="182">
        <f ca="1">IF($D196&lt;&gt;"Serviço",0,IF(OR(AND(AUTOEVENTO="Manual",$M196=1),$M196&gt;(ROW(PLE.lastrow)-ROW(PLE.firstrow))),0,IF(OFFSET(PLE!$G$14,$M196,CD$13)="",10^12,OFFSET(PLE!$G$14,$M196,CD$13))))</f>
        <v>1000000000000</v>
      </c>
      <c r="CE196" s="182">
        <f ca="1">IF($D196&lt;&gt;"Serviço",0,IF(OR(AND(AUTOEVENTO="Manual",$M196=1),$M196&gt;(ROW(PLE.lastrow)-ROW(PLE.firstrow))),0,IF(OFFSET(PLE!$G$14,$M196,CE$13)="",10^12,OFFSET(PLE!$G$14,$M196,CE$13))))</f>
        <v>1000000000000</v>
      </c>
      <c r="CF196" s="182">
        <f ca="1">IF($D196&lt;&gt;"Serviço",0,IF(OR(AND(AUTOEVENTO="Manual",$M196=1),$M196&gt;(ROW(PLE.lastrow)-ROW(PLE.firstrow))),0,IF(OFFSET(PLE!$G$14,$M196,CF$13)="",10^12,OFFSET(PLE!$G$14,$M196,CF$13))))</f>
        <v>1000000000000</v>
      </c>
      <c r="CG196" s="182">
        <f ca="1">IF($D196&lt;&gt;"Serviço",0,IF(OR(AND(AUTOEVENTO="Manual",$M196=1),$M196&gt;(ROW(PLE.lastrow)-ROW(PLE.firstrow))),0,IF(OFFSET(PLE!$G$14,$M196,CG$13)="",10^12,OFFSET(PLE!$G$14,$M196,CG$13))))</f>
        <v>1000000000000</v>
      </c>
      <c r="CH196" s="182">
        <f ca="1">IF($D196&lt;&gt;"Serviço",0,IF(OR(AND(AUTOEVENTO="Manual",$M196=1),$M196&gt;(ROW(PLE.lastrow)-ROW(PLE.firstrow))),0,IF(OFFSET(PLE!$G$14,$M196,CH$13)="",10^12,OFFSET(PLE!$G$14,$M196,CH$13))))</f>
        <v>1000000000000</v>
      </c>
      <c r="CI196" s="182">
        <f ca="1">IF($D196&lt;&gt;"Serviço",0,IF(OR(AND(AUTOEVENTO="Manual",$M196=1),$M196&gt;(ROW(PLE.lastrow)-ROW(PLE.firstrow))),0,IF(OFFSET(PLE!$G$14,$M196,CI$13)="",10^12,OFFSET(PLE!$G$14,$M196,CI$13))))</f>
        <v>1000000000000</v>
      </c>
      <c r="CJ196" s="182">
        <f ca="1">IF($D196&lt;&gt;"Serviço",0,IF(OR(AND(AUTOEVENTO="Manual",$M196=1),$M196&gt;(ROW(PLE.lastrow)-ROW(PLE.firstrow))),0,IF(OFFSET(PLE!$G$14,$M196,CJ$13)="",10^12,OFFSET(PLE!$G$14,$M196,CJ$13))))</f>
        <v>1000000000000</v>
      </c>
      <c r="CK196" s="182">
        <f ca="1">IF($D196&lt;&gt;"Serviço",0,IF(OR(AND(AUTOEVENTO="Manual",$M196=1),$M196&gt;(ROW(PLE.lastrow)-ROW(PLE.firstrow))),0,IF(OFFSET(PLE!$G$14,$M196,CK$13)="",10^12,OFFSET(PLE!$G$14,$M196,CK$13))))</f>
        <v>1000000000000</v>
      </c>
      <c r="CL196" s="182">
        <f ca="1">IF($D196&lt;&gt;"Serviço",0,IF(OR(AND(AUTOEVENTO="Manual",$M196=1),$M196&gt;(ROW(PLE.lastrow)-ROW(PLE.firstrow))),0,IF(OFFSET(PLE!$G$14,$M196,CL$13)="",10^12,OFFSET(PLE!$G$14,$M196,CL$13))))</f>
        <v>1000000000000</v>
      </c>
      <c r="CM196" s="182">
        <f ca="1">IF($D196&lt;&gt;"Serviço",0,IF(OR(AND(AUTOEVENTO="Manual",$M196=1),$M196&gt;(ROW(PLE.lastrow)-ROW(PLE.firstrow))),0,IF(OFFSET(PLE!$G$14,$M196,CM$13)="",10^12,OFFSET(PLE!$G$14,$M196,CM$13))))</f>
        <v>1000000000000</v>
      </c>
    </row>
    <row r="197" spans="1:91" ht="25.5" x14ac:dyDescent="0.2">
      <c r="A197" s="7" t="str">
        <f t="shared" ca="1" si="12"/>
        <v>169</v>
      </c>
      <c r="B197" s="7" t="str">
        <f ca="1">OFFSET(ORÇAMENTO!C$15,ROW(B197)-ROW(B$15),0)</f>
        <v>S</v>
      </c>
      <c r="C197" s="7" t="str">
        <f ca="1">OFFSET(ORÇAMENTO!L$15,ROW(C197)-ROW(C$15),0)</f>
        <v/>
      </c>
      <c r="D197" s="118" t="str">
        <f ca="1">OFFSET(ORÇAMENTO!N$15,ROW(D197)-ROW(D$15),0)</f>
        <v>Serviço</v>
      </c>
      <c r="E197" s="119" t="str">
        <f ca="1">OFFSET(ORÇAMENTO!O$15,ROW(E197)-ROW(E$15),0)</f>
        <v>-</v>
      </c>
      <c r="F197" s="172" t="str">
        <f ca="1">OFFSET(ORÇAMENTO!R$15,ROW(F197)-ROW(F$15),0)</f>
        <v>(abra o arquivo 'Referência 06-2024.xlsm)</v>
      </c>
      <c r="G197" s="173" t="str">
        <f ca="1">IF($D197&lt;&gt;"Serviço","",OFFSET(ORÇAMENTO!S$15,ROW(G197)-ROW(G$15),0))</f>
        <v>-</v>
      </c>
      <c r="H197" s="124">
        <f ca="1">IF($D197&lt;&gt;"Serviço",0,IF(ACOMPANHAMENTO="BM",ROUND(OFFSET(ORÇAMENTO!AJ$15,ROW(H197)-ROW(H$15),0),15-13*ORÇAMENTO!$AF$7),SUMPRODUCT(($Q$12:$AI$12&lt;&gt;"")*ROUND($Q197:$AI197,15-13*ORÇAMENTO!$AF$7))))</f>
        <v>472.22</v>
      </c>
      <c r="I197" s="561" t="s">
        <v>1107</v>
      </c>
      <c r="K197" s="174"/>
      <c r="L197" s="175" t="s">
        <v>255</v>
      </c>
      <c r="M197" s="176">
        <f ca="1">IF($D197&lt;&gt;"Serviço","",IF(AUTOEVENTO="manual",$A197,IF(ISERROR(MATCH($A197,$A$15:OFFSET($A197,-1,0),0)),MAX($M$15:OFFSET(M197,-1,0))+1,INDEX($M$15:OFFSET(M197,-1,0),MATCH($A197,$A$15:OFFSET($A197,-1,0),0)))))</f>
        <v>27</v>
      </c>
      <c r="N197" s="177" t="str">
        <f ca="1">IF($D197&lt;&gt;"Serviço","",IF(AUTOEVENTO="Manual",IF($A197=0,"&lt;-- defina o número do agrupador",OFFSET(EVENTOS!$D$14,$A197,0)),OFFSET($F$15,$A197,0)))</f>
        <v>REVESTIMENTOS INTERNO E EXTERNO - EDIFICAÇÃO</v>
      </c>
      <c r="O197" s="178"/>
      <c r="Q197" s="178">
        <v>472.22</v>
      </c>
      <c r="R197" s="179"/>
      <c r="S197" s="179"/>
      <c r="T197" s="179"/>
      <c r="U197" s="179"/>
      <c r="V197" s="179"/>
      <c r="W197" s="179"/>
      <c r="X197" s="179"/>
      <c r="Y197" s="179"/>
      <c r="Z197" s="180"/>
      <c r="AA197" s="179"/>
      <c r="AB197" s="179"/>
      <c r="AC197" s="179"/>
      <c r="AD197" s="179"/>
      <c r="AE197" s="179"/>
      <c r="AF197" s="179"/>
      <c r="AG197" s="179"/>
      <c r="AH197" s="180"/>
      <c r="AJ197" s="544">
        <f ca="1">IF(AND($D197="Serviço",AJ$12&lt;&gt;0,$H197&gt;0,OR(AUTOEVENTO&lt;&gt;"manual",$M197&lt;&gt;1)),
IF(Import.TipoArredondamento&lt;&gt;"TransfereGOV",
ROUND(OFFSET($P197,0,AJ$13),15-13*ORÇAMENTO!$AF$7)/$H197*OFFSET(ORÇAMENTO!$X$15,ROW(AJ197)-ROW(AJ$15),0),
ROUND(ROUND(OFFSET($P197,0,AJ$13),15-13*ORÇAMENTO!$AF$7)*OFFSET(ORÇAMENTO!$W$15,ROW(AJ197)-ROW(AJ$15),0),15-13*ORÇAMENTO!$AF$11)),0)</f>
        <v>0</v>
      </c>
      <c r="AK197" s="545">
        <f ca="1">IF(AND($D197="Serviço",AK$12&lt;&gt;0,$H197&gt;0,OR(AUTOEVENTO&lt;&gt;"manual",$M197&lt;&gt;1)),
IF(Import.TipoArredondamento&lt;&gt;"TransfereGOV",
ROUND(OFFSET($P197,0,AK$13),15-13*ORÇAMENTO!$AF$7)/$H197*OFFSET(ORÇAMENTO!$X$15,ROW(AK197)-ROW(AK$15),0),
ROUND(ROUND(OFFSET($P197,0,AK$13),15-13*ORÇAMENTO!$AF$7)*OFFSET(ORÇAMENTO!$W$15,ROW(AK197)-ROW(AK$15),0),15-13*ORÇAMENTO!$AF$11)),0)</f>
        <v>0</v>
      </c>
      <c r="AL197" s="545">
        <f ca="1">IF(AND($D197="Serviço",AL$12&lt;&gt;0,$H197&gt;0,OR(AUTOEVENTO&lt;&gt;"manual",$M197&lt;&gt;1)),
IF(Import.TipoArredondamento&lt;&gt;"TransfereGOV",
ROUND(OFFSET($P197,0,AL$13),15-13*ORÇAMENTO!$AF$7)/$H197*OFFSET(ORÇAMENTO!$X$15,ROW(AL197)-ROW(AL$15),0),
ROUND(ROUND(OFFSET($P197,0,AL$13),15-13*ORÇAMENTO!$AF$7)*OFFSET(ORÇAMENTO!$W$15,ROW(AL197)-ROW(AL$15),0),15-13*ORÇAMENTO!$AF$11)),0)</f>
        <v>0</v>
      </c>
      <c r="AM197" s="545">
        <f ca="1">IF(AND($D197="Serviço",AM$12&lt;&gt;0,$H197&gt;0,OR(AUTOEVENTO&lt;&gt;"manual",$M197&lt;&gt;1)),
IF(Import.TipoArredondamento&lt;&gt;"TransfereGOV",
ROUND(OFFSET($P197,0,AM$13),15-13*ORÇAMENTO!$AF$7)/$H197*OFFSET(ORÇAMENTO!$X$15,ROW(AM197)-ROW(AM$15),0),
ROUND(ROUND(OFFSET($P197,0,AM$13),15-13*ORÇAMENTO!$AF$7)*OFFSET(ORÇAMENTO!$W$15,ROW(AM197)-ROW(AM$15),0),15-13*ORÇAMENTO!$AF$11)),0)</f>
        <v>0</v>
      </c>
      <c r="AN197" s="545">
        <f ca="1">IF(AND($D197="Serviço",AN$12&lt;&gt;0,$H197&gt;0,OR(AUTOEVENTO&lt;&gt;"manual",$M197&lt;&gt;1)),
IF(Import.TipoArredondamento&lt;&gt;"TransfereGOV",
ROUND(OFFSET($P197,0,AN$13),15-13*ORÇAMENTO!$AF$7)/$H197*OFFSET(ORÇAMENTO!$X$15,ROW(AN197)-ROW(AN$15),0),
ROUND(ROUND(OFFSET($P197,0,AN$13),15-13*ORÇAMENTO!$AF$7)*OFFSET(ORÇAMENTO!$W$15,ROW(AN197)-ROW(AN$15),0),15-13*ORÇAMENTO!$AF$11)),0)</f>
        <v>0</v>
      </c>
      <c r="AO197" s="545">
        <f ca="1">IF(AND($D197="Serviço",AO$12&lt;&gt;0,$H197&gt;0,OR(AUTOEVENTO&lt;&gt;"manual",$M197&lt;&gt;1)),
IF(Import.TipoArredondamento&lt;&gt;"TransfereGOV",
ROUND(OFFSET($P197,0,AO$13),15-13*ORÇAMENTO!$AF$7)/$H197*OFFSET(ORÇAMENTO!$X$15,ROW(AO197)-ROW(AO$15),0),
ROUND(ROUND(OFFSET($P197,0,AO$13),15-13*ORÇAMENTO!$AF$7)*OFFSET(ORÇAMENTO!$W$15,ROW(AO197)-ROW(AO$15),0),15-13*ORÇAMENTO!$AF$11)),0)</f>
        <v>0</v>
      </c>
      <c r="AP197" s="545">
        <f ca="1">IF(AND($D197="Serviço",AP$12&lt;&gt;0,$H197&gt;0,OR(AUTOEVENTO&lt;&gt;"manual",$M197&lt;&gt;1)),
IF(Import.TipoArredondamento&lt;&gt;"TransfereGOV",
ROUND(OFFSET($P197,0,AP$13),15-13*ORÇAMENTO!$AF$7)/$H197*OFFSET(ORÇAMENTO!$X$15,ROW(AP197)-ROW(AP$15),0),
ROUND(ROUND(OFFSET($P197,0,AP$13),15-13*ORÇAMENTO!$AF$7)*OFFSET(ORÇAMENTO!$W$15,ROW(AP197)-ROW(AP$15),0),15-13*ORÇAMENTO!$AF$11)),0)</f>
        <v>0</v>
      </c>
      <c r="AQ197" s="545">
        <f ca="1">IF(AND($D197="Serviço",AQ$12&lt;&gt;0,$H197&gt;0,OR(AUTOEVENTO&lt;&gt;"manual",$M197&lt;&gt;1)),
IF(Import.TipoArredondamento&lt;&gt;"TransfereGOV",
ROUND(OFFSET($P197,0,AQ$13),15-13*ORÇAMENTO!$AF$7)/$H197*OFFSET(ORÇAMENTO!$X$15,ROW(AQ197)-ROW(AQ$15),0),
ROUND(ROUND(OFFSET($P197,0,AQ$13),15-13*ORÇAMENTO!$AF$7)*OFFSET(ORÇAMENTO!$W$15,ROW(AQ197)-ROW(AQ$15),0),15-13*ORÇAMENTO!$AF$11)),0)</f>
        <v>0</v>
      </c>
      <c r="AR197" s="545">
        <f ca="1">IF(AND($D197="Serviço",AR$12&lt;&gt;0,$H197&gt;0,OR(AUTOEVENTO&lt;&gt;"manual",$M197&lt;&gt;1)),
IF(Import.TipoArredondamento&lt;&gt;"TransfereGOV",
ROUND(OFFSET($P197,0,AR$13),15-13*ORÇAMENTO!$AF$7)/$H197*OFFSET(ORÇAMENTO!$X$15,ROW(AR197)-ROW(AR$15),0),
ROUND(ROUND(OFFSET($P197,0,AR$13),15-13*ORÇAMENTO!$AF$7)*OFFSET(ORÇAMENTO!$W$15,ROW(AR197)-ROW(AR$15),0),15-13*ORÇAMENTO!$AF$11)),0)</f>
        <v>0</v>
      </c>
      <c r="AS197" s="546">
        <f ca="1">IF(AND($D197="Serviço",AS$12&lt;&gt;0,$H197&gt;0,OR(AUTOEVENTO&lt;&gt;"manual",$M197&lt;&gt;1)),
IF(Import.TipoArredondamento&lt;&gt;"TransfereGOV",
ROUND(OFFSET($P197,0,AS$13),15-13*ORÇAMENTO!$AF$7)/$H197*OFFSET(ORÇAMENTO!$X$15,ROW(AS197)-ROW(AS$15),0),
ROUND(ROUND(OFFSET($P197,0,AS$13),15-13*ORÇAMENTO!$AF$7)*OFFSET(ORÇAMENTO!$W$15,ROW(AS197)-ROW(AS$15),0),15-13*ORÇAMENTO!$AF$11)),0)</f>
        <v>0</v>
      </c>
      <c r="AT197" s="545">
        <f ca="1">IF(AND($D197="Serviço",AT$12&lt;&gt;0,$H197&gt;0,OR(AUTOEVENTO&lt;&gt;"manual",$M197&lt;&gt;1)),
IF(Import.TipoArredondamento&lt;&gt;"TransfereGOV",
ROUND(OFFSET($P197,0,AT$13),15-13*ORÇAMENTO!$AF$7)/$H197*OFFSET(ORÇAMENTO!$X$15,ROW(AT197)-ROW(AT$15),0),
ROUND(ROUND(OFFSET($P197,0,AT$13),15-13*ORÇAMENTO!$AF$7)*OFFSET(ORÇAMENTO!$W$15,ROW(AT197)-ROW(AT$15),0),15-13*ORÇAMENTO!$AF$11)),0)</f>
        <v>0</v>
      </c>
      <c r="AU197" s="545">
        <f ca="1">IF(AND($D197="Serviço",AU$12&lt;&gt;0,$H197&gt;0,OR(AUTOEVENTO&lt;&gt;"manual",$M197&lt;&gt;1)),
IF(Import.TipoArredondamento&lt;&gt;"TransfereGOV",
ROUND(OFFSET($P197,0,AU$13),15-13*ORÇAMENTO!$AF$7)/$H197*OFFSET(ORÇAMENTO!$X$15,ROW(AU197)-ROW(AU$15),0),
ROUND(ROUND(OFFSET($P197,0,AU$13),15-13*ORÇAMENTO!$AF$7)*OFFSET(ORÇAMENTO!$W$15,ROW(AU197)-ROW(AU$15),0),15-13*ORÇAMENTO!$AF$11)),0)</f>
        <v>0</v>
      </c>
      <c r="AV197" s="545">
        <f ca="1">IF(AND($D197="Serviço",AV$12&lt;&gt;0,$H197&gt;0,OR(AUTOEVENTO&lt;&gt;"manual",$M197&lt;&gt;1)),
IF(Import.TipoArredondamento&lt;&gt;"TransfereGOV",
ROUND(OFFSET($P197,0,AV$13),15-13*ORÇAMENTO!$AF$7)/$H197*OFFSET(ORÇAMENTO!$X$15,ROW(AV197)-ROW(AV$15),0),
ROUND(ROUND(OFFSET($P197,0,AV$13),15-13*ORÇAMENTO!$AF$7)*OFFSET(ORÇAMENTO!$W$15,ROW(AV197)-ROW(AV$15),0),15-13*ORÇAMENTO!$AF$11)),0)</f>
        <v>0</v>
      </c>
      <c r="AW197" s="545">
        <f ca="1">IF(AND($D197="Serviço",AW$12&lt;&gt;0,$H197&gt;0,OR(AUTOEVENTO&lt;&gt;"manual",$M197&lt;&gt;1)),
IF(Import.TipoArredondamento&lt;&gt;"TransfereGOV",
ROUND(OFFSET($P197,0,AW$13),15-13*ORÇAMENTO!$AF$7)/$H197*OFFSET(ORÇAMENTO!$X$15,ROW(AW197)-ROW(AW$15),0),
ROUND(ROUND(OFFSET($P197,0,AW$13),15-13*ORÇAMENTO!$AF$7)*OFFSET(ORÇAMENTO!$W$15,ROW(AW197)-ROW(AW$15),0),15-13*ORÇAMENTO!$AF$11)),0)</f>
        <v>0</v>
      </c>
      <c r="AX197" s="545">
        <f ca="1">IF(AND($D197="Serviço",AX$12&lt;&gt;0,$H197&gt;0,OR(AUTOEVENTO&lt;&gt;"manual",$M197&lt;&gt;1)),
IF(Import.TipoArredondamento&lt;&gt;"TransfereGOV",
ROUND(OFFSET($P197,0,AX$13),15-13*ORÇAMENTO!$AF$7)/$H197*OFFSET(ORÇAMENTO!$X$15,ROW(AX197)-ROW(AX$15),0),
ROUND(ROUND(OFFSET($P197,0,AX$13),15-13*ORÇAMENTO!$AF$7)*OFFSET(ORÇAMENTO!$W$15,ROW(AX197)-ROW(AX$15),0),15-13*ORÇAMENTO!$AF$11)),0)</f>
        <v>0</v>
      </c>
      <c r="AY197" s="545">
        <f ca="1">IF(AND($D197="Serviço",AY$12&lt;&gt;0,$H197&gt;0,OR(AUTOEVENTO&lt;&gt;"manual",$M197&lt;&gt;1)),
IF(Import.TipoArredondamento&lt;&gt;"TransfereGOV",
ROUND(OFFSET($P197,0,AY$13),15-13*ORÇAMENTO!$AF$7)/$H197*OFFSET(ORÇAMENTO!$X$15,ROW(AY197)-ROW(AY$15),0),
ROUND(ROUND(OFFSET($P197,0,AY$13),15-13*ORÇAMENTO!$AF$7)*OFFSET(ORÇAMENTO!$W$15,ROW(AY197)-ROW(AY$15),0),15-13*ORÇAMENTO!$AF$11)),0)</f>
        <v>0</v>
      </c>
      <c r="AZ197" s="545">
        <f ca="1">IF(AND($D197="Serviço",AZ$12&lt;&gt;0,$H197&gt;0,OR(AUTOEVENTO&lt;&gt;"manual",$M197&lt;&gt;1)),
IF(Import.TipoArredondamento&lt;&gt;"TransfereGOV",
ROUND(OFFSET($P197,0,AZ$13),15-13*ORÇAMENTO!$AF$7)/$H197*OFFSET(ORÇAMENTO!$X$15,ROW(AZ197)-ROW(AZ$15),0),
ROUND(ROUND(OFFSET($P197,0,AZ$13),15-13*ORÇAMENTO!$AF$7)*OFFSET(ORÇAMENTO!$W$15,ROW(AZ197)-ROW(AZ$15),0),15-13*ORÇAMENTO!$AF$11)),0)</f>
        <v>0</v>
      </c>
      <c r="BA197" s="546">
        <f ca="1">IF(AND($D197="Serviço",BA$12&lt;&gt;0,$H197&gt;0,OR(AUTOEVENTO&lt;&gt;"manual",$M197&lt;&gt;1)),
IF(Import.TipoArredondamento&lt;&gt;"TransfereGOV",
ROUND(OFFSET($P197,0,BA$13),15-13*ORÇAMENTO!$AF$7)/$H197*OFFSET(ORÇAMENTO!$X$15,ROW(BA197)-ROW(BA$15),0),
ROUND(ROUND(OFFSET($P197,0,BA$13),15-13*ORÇAMENTO!$AF$7)*OFFSET(ORÇAMENTO!$W$15,ROW(BA197)-ROW(BA$15),0),15-13*ORÇAMENTO!$AF$11)),0)</f>
        <v>0</v>
      </c>
      <c r="BC197" s="181">
        <f ca="1">IF($D197&lt;&gt;"Serviço",0,IF(AND(AUTOEVENTO="Manual",$M197=1),0,IF(OFFSET(CRONOPLE!$F$14,$M197,BC$13)="",10^12,OFFSET(CRONOPLE!$F$14,$M197,BC$13))))</f>
        <v>7</v>
      </c>
      <c r="BD197" s="181">
        <f ca="1">IF($D197&lt;&gt;"Serviço",0,IF(AND(AUTOEVENTO="Manual",$M197=1),0,IF(OFFSET(CRONOPLE!$F$14,$M197,BD$13)="",10^12,OFFSET(CRONOPLE!$F$14,$M197,BD$13))))</f>
        <v>1000000000000</v>
      </c>
      <c r="BE197" s="181">
        <f ca="1">IF($D197&lt;&gt;"Serviço",0,IF(AND(AUTOEVENTO="Manual",$M197=1),0,IF(OFFSET(CRONOPLE!$F$14,$M197,BE$13)="",10^12,OFFSET(CRONOPLE!$F$14,$M197,BE$13))))</f>
        <v>1000000000000</v>
      </c>
      <c r="BF197" s="181">
        <f ca="1">IF($D197&lt;&gt;"Serviço",0,IF(AND(AUTOEVENTO="Manual",$M197=1),0,IF(OFFSET(CRONOPLE!$F$14,$M197,BF$13)="",10^12,OFFSET(CRONOPLE!$F$14,$M197,BF$13))))</f>
        <v>1000000000000</v>
      </c>
      <c r="BG197" s="181">
        <f ca="1">IF($D197&lt;&gt;"Serviço",0,IF(AND(AUTOEVENTO="Manual",$M197=1),0,IF(OFFSET(CRONOPLE!$F$14,$M197,BG$13)="",10^12,OFFSET(CRONOPLE!$F$14,$M197,BG$13))))</f>
        <v>1000000000000</v>
      </c>
      <c r="BH197" s="181">
        <f ca="1">IF($D197&lt;&gt;"Serviço",0,IF(AND(AUTOEVENTO="Manual",$M197=1),0,IF(OFFSET(CRONOPLE!$F$14,$M197,BH$13)="",10^12,OFFSET(CRONOPLE!$F$14,$M197,BH$13))))</f>
        <v>1000000000000</v>
      </c>
      <c r="BI197" s="181">
        <f ca="1">IF($D197&lt;&gt;"Serviço",0,IF(AND(AUTOEVENTO="Manual",$M197=1),0,IF(OFFSET(CRONOPLE!$F$14,$M197,BI$13)="",10^12,OFFSET(CRONOPLE!$F$14,$M197,BI$13))))</f>
        <v>1000000000000</v>
      </c>
      <c r="BJ197" s="181">
        <f ca="1">IF($D197&lt;&gt;"Serviço",0,IF(AND(AUTOEVENTO="Manual",$M197=1),0,IF(OFFSET(CRONOPLE!$F$14,$M197,BJ$13)="",10^12,OFFSET(CRONOPLE!$F$14,$M197,BJ$13))))</f>
        <v>1000000000000</v>
      </c>
      <c r="BK197" s="181">
        <f ca="1">IF($D197&lt;&gt;"Serviço",0,IF(AND(AUTOEVENTO="Manual",$M197=1),0,IF(OFFSET(CRONOPLE!$F$14,$M197,BK$13)="",10^12,OFFSET(CRONOPLE!$F$14,$M197,BK$13))))</f>
        <v>1000000000000</v>
      </c>
      <c r="BL197" s="181">
        <f ca="1">IF($D197&lt;&gt;"Serviço",0,IF(AND(AUTOEVENTO="Manual",$M197=1),0,IF(OFFSET(CRONOPLE!$F$14,$M197,BL$13)="",10^12,OFFSET(CRONOPLE!$F$14,$M197,BL$13))))</f>
        <v>1000000000000</v>
      </c>
      <c r="BM197" s="181">
        <f ca="1">IF($D197&lt;&gt;"Serviço",0,IF(AND(AUTOEVENTO="Manual",$M197=1),0,IF(OFFSET(CRONOPLE!$F$14,$M197,BM$13)="",10^12,OFFSET(CRONOPLE!$F$14,$M197,BM$13))))</f>
        <v>1000000000000</v>
      </c>
      <c r="BN197" s="181">
        <f ca="1">IF($D197&lt;&gt;"Serviço",0,IF(AND(AUTOEVENTO="Manual",$M197=1),0,IF(OFFSET(CRONOPLE!$F$14,$M197,BN$13)="",10^12,OFFSET(CRONOPLE!$F$14,$M197,BN$13))))</f>
        <v>1000000000000</v>
      </c>
      <c r="BO197" s="181">
        <f ca="1">IF($D197&lt;&gt;"Serviço",0,IF(AND(AUTOEVENTO="Manual",$M197=1),0,IF(OFFSET(CRONOPLE!$F$14,$M197,BO$13)="",10^12,OFFSET(CRONOPLE!$F$14,$M197,BO$13))))</f>
        <v>1000000000000</v>
      </c>
      <c r="BP197" s="181">
        <f ca="1">IF($D197&lt;&gt;"Serviço",0,IF(AND(AUTOEVENTO="Manual",$M197=1),0,IF(OFFSET(CRONOPLE!$F$14,$M197,BP$13)="",10^12,OFFSET(CRONOPLE!$F$14,$M197,BP$13))))</f>
        <v>1000000000000</v>
      </c>
      <c r="BQ197" s="181">
        <f ca="1">IF($D197&lt;&gt;"Serviço",0,IF(AND(AUTOEVENTO="Manual",$M197=1),0,IF(OFFSET(CRONOPLE!$F$14,$M197,BQ$13)="",10^12,OFFSET(CRONOPLE!$F$14,$M197,BQ$13))))</f>
        <v>1000000000000</v>
      </c>
      <c r="BR197" s="181">
        <f ca="1">IF($D197&lt;&gt;"Serviço",0,IF(AND(AUTOEVENTO="Manual",$M197=1),0,IF(OFFSET(CRONOPLE!$F$14,$M197,BR$13)="",10^12,OFFSET(CRONOPLE!$F$14,$M197,BR$13))))</f>
        <v>1000000000000</v>
      </c>
      <c r="BS197" s="181">
        <f ca="1">IF($D197&lt;&gt;"Serviço",0,IF(AND(AUTOEVENTO="Manual",$M197=1),0,IF(OFFSET(CRONOPLE!$F$14,$M197,BS$13)="",10^12,OFFSET(CRONOPLE!$F$14,$M197,BS$13))))</f>
        <v>1000000000000</v>
      </c>
      <c r="BT197" s="181">
        <f ca="1">IF($D197&lt;&gt;"Serviço",0,IF(AND(AUTOEVENTO="Manual",$M197=1),0,IF(OFFSET(CRONOPLE!$F$14,$M197,BT$13)="",10^12,OFFSET(CRONOPLE!$F$14,$M197,BT$13))))</f>
        <v>1000000000000</v>
      </c>
      <c r="BV197" s="182">
        <f ca="1">IF($D197&lt;&gt;"Serviço",0,IF(OR(AND(AUTOEVENTO="Manual",$M197=1),$M197&gt;(ROW(PLE.lastrow)-ROW(PLE.firstrow))),0,IF(OFFSET(PLE!$G$14,$M197,BV$13)="",10^12,OFFSET(PLE!$G$14,$M197,BV$13))))</f>
        <v>1000000000000</v>
      </c>
      <c r="BW197" s="182">
        <f ca="1">IF($D197&lt;&gt;"Serviço",0,IF(OR(AND(AUTOEVENTO="Manual",$M197=1),$M197&gt;(ROW(PLE.lastrow)-ROW(PLE.firstrow))),0,IF(OFFSET(PLE!$G$14,$M197,BW$13)="",10^12,OFFSET(PLE!$G$14,$M197,BW$13))))</f>
        <v>1000000000000</v>
      </c>
      <c r="BX197" s="182">
        <f ca="1">IF($D197&lt;&gt;"Serviço",0,IF(OR(AND(AUTOEVENTO="Manual",$M197=1),$M197&gt;(ROW(PLE.lastrow)-ROW(PLE.firstrow))),0,IF(OFFSET(PLE!$G$14,$M197,BX$13)="",10^12,OFFSET(PLE!$G$14,$M197,BX$13))))</f>
        <v>1000000000000</v>
      </c>
      <c r="BY197" s="182">
        <f ca="1">IF($D197&lt;&gt;"Serviço",0,IF(OR(AND(AUTOEVENTO="Manual",$M197=1),$M197&gt;(ROW(PLE.lastrow)-ROW(PLE.firstrow))),0,IF(OFFSET(PLE!$G$14,$M197,BY$13)="",10^12,OFFSET(PLE!$G$14,$M197,BY$13))))</f>
        <v>1000000000000</v>
      </c>
      <c r="BZ197" s="182">
        <f ca="1">IF($D197&lt;&gt;"Serviço",0,IF(OR(AND(AUTOEVENTO="Manual",$M197=1),$M197&gt;(ROW(PLE.lastrow)-ROW(PLE.firstrow))),0,IF(OFFSET(PLE!$G$14,$M197,BZ$13)="",10^12,OFFSET(PLE!$G$14,$M197,BZ$13))))</f>
        <v>1000000000000</v>
      </c>
      <c r="CA197" s="182">
        <f ca="1">IF($D197&lt;&gt;"Serviço",0,IF(OR(AND(AUTOEVENTO="Manual",$M197=1),$M197&gt;(ROW(PLE.lastrow)-ROW(PLE.firstrow))),0,IF(OFFSET(PLE!$G$14,$M197,CA$13)="",10^12,OFFSET(PLE!$G$14,$M197,CA$13))))</f>
        <v>1000000000000</v>
      </c>
      <c r="CB197" s="182">
        <f ca="1">IF($D197&lt;&gt;"Serviço",0,IF(OR(AND(AUTOEVENTO="Manual",$M197=1),$M197&gt;(ROW(PLE.lastrow)-ROW(PLE.firstrow))),0,IF(OFFSET(PLE!$G$14,$M197,CB$13)="",10^12,OFFSET(PLE!$G$14,$M197,CB$13))))</f>
        <v>1000000000000</v>
      </c>
      <c r="CC197" s="182">
        <f ca="1">IF($D197&lt;&gt;"Serviço",0,IF(OR(AND(AUTOEVENTO="Manual",$M197=1),$M197&gt;(ROW(PLE.lastrow)-ROW(PLE.firstrow))),0,IF(OFFSET(PLE!$G$14,$M197,CC$13)="",10^12,OFFSET(PLE!$G$14,$M197,CC$13))))</f>
        <v>1000000000000</v>
      </c>
      <c r="CD197" s="182">
        <f ca="1">IF($D197&lt;&gt;"Serviço",0,IF(OR(AND(AUTOEVENTO="Manual",$M197=1),$M197&gt;(ROW(PLE.lastrow)-ROW(PLE.firstrow))),0,IF(OFFSET(PLE!$G$14,$M197,CD$13)="",10^12,OFFSET(PLE!$G$14,$M197,CD$13))))</f>
        <v>1000000000000</v>
      </c>
      <c r="CE197" s="182">
        <f ca="1">IF($D197&lt;&gt;"Serviço",0,IF(OR(AND(AUTOEVENTO="Manual",$M197=1),$M197&gt;(ROW(PLE.lastrow)-ROW(PLE.firstrow))),0,IF(OFFSET(PLE!$G$14,$M197,CE$13)="",10^12,OFFSET(PLE!$G$14,$M197,CE$13))))</f>
        <v>1000000000000</v>
      </c>
      <c r="CF197" s="182">
        <f ca="1">IF($D197&lt;&gt;"Serviço",0,IF(OR(AND(AUTOEVENTO="Manual",$M197=1),$M197&gt;(ROW(PLE.lastrow)-ROW(PLE.firstrow))),0,IF(OFFSET(PLE!$G$14,$M197,CF$13)="",10^12,OFFSET(PLE!$G$14,$M197,CF$13))))</f>
        <v>1000000000000</v>
      </c>
      <c r="CG197" s="182">
        <f ca="1">IF($D197&lt;&gt;"Serviço",0,IF(OR(AND(AUTOEVENTO="Manual",$M197=1),$M197&gt;(ROW(PLE.lastrow)-ROW(PLE.firstrow))),0,IF(OFFSET(PLE!$G$14,$M197,CG$13)="",10^12,OFFSET(PLE!$G$14,$M197,CG$13))))</f>
        <v>1000000000000</v>
      </c>
      <c r="CH197" s="182">
        <f ca="1">IF($D197&lt;&gt;"Serviço",0,IF(OR(AND(AUTOEVENTO="Manual",$M197=1),$M197&gt;(ROW(PLE.lastrow)-ROW(PLE.firstrow))),0,IF(OFFSET(PLE!$G$14,$M197,CH$13)="",10^12,OFFSET(PLE!$G$14,$M197,CH$13))))</f>
        <v>1000000000000</v>
      </c>
      <c r="CI197" s="182">
        <f ca="1">IF($D197&lt;&gt;"Serviço",0,IF(OR(AND(AUTOEVENTO="Manual",$M197=1),$M197&gt;(ROW(PLE.lastrow)-ROW(PLE.firstrow))),0,IF(OFFSET(PLE!$G$14,$M197,CI$13)="",10^12,OFFSET(PLE!$G$14,$M197,CI$13))))</f>
        <v>1000000000000</v>
      </c>
      <c r="CJ197" s="182">
        <f ca="1">IF($D197&lt;&gt;"Serviço",0,IF(OR(AND(AUTOEVENTO="Manual",$M197=1),$M197&gt;(ROW(PLE.lastrow)-ROW(PLE.firstrow))),0,IF(OFFSET(PLE!$G$14,$M197,CJ$13)="",10^12,OFFSET(PLE!$G$14,$M197,CJ$13))))</f>
        <v>1000000000000</v>
      </c>
      <c r="CK197" s="182">
        <f ca="1">IF($D197&lt;&gt;"Serviço",0,IF(OR(AND(AUTOEVENTO="Manual",$M197=1),$M197&gt;(ROW(PLE.lastrow)-ROW(PLE.firstrow))),0,IF(OFFSET(PLE!$G$14,$M197,CK$13)="",10^12,OFFSET(PLE!$G$14,$M197,CK$13))))</f>
        <v>1000000000000</v>
      </c>
      <c r="CL197" s="182">
        <f ca="1">IF($D197&lt;&gt;"Serviço",0,IF(OR(AND(AUTOEVENTO="Manual",$M197=1),$M197&gt;(ROW(PLE.lastrow)-ROW(PLE.firstrow))),0,IF(OFFSET(PLE!$G$14,$M197,CL$13)="",10^12,OFFSET(PLE!$G$14,$M197,CL$13))))</f>
        <v>1000000000000</v>
      </c>
      <c r="CM197" s="182">
        <f ca="1">IF($D197&lt;&gt;"Serviço",0,IF(OR(AND(AUTOEVENTO="Manual",$M197=1),$M197&gt;(ROW(PLE.lastrow)-ROW(PLE.firstrow))),0,IF(OFFSET(PLE!$G$14,$M197,CM$13)="",10^12,OFFSET(PLE!$G$14,$M197,CM$13))))</f>
        <v>1000000000000</v>
      </c>
    </row>
    <row r="198" spans="1:91" ht="38.25" x14ac:dyDescent="0.2">
      <c r="A198" s="7" t="str">
        <f t="shared" ca="1" si="12"/>
        <v>169</v>
      </c>
      <c r="B198" s="7" t="str">
        <f ca="1">OFFSET(ORÇAMENTO!C$15,ROW(B198)-ROW(B$15),0)</f>
        <v>S</v>
      </c>
      <c r="C198" s="7" t="str">
        <f ca="1">OFFSET(ORÇAMENTO!L$15,ROW(C198)-ROW(C$15),0)</f>
        <v/>
      </c>
      <c r="D198" s="118" t="str">
        <f ca="1">OFFSET(ORÇAMENTO!N$15,ROW(D198)-ROW(D$15),0)</f>
        <v>Serviço</v>
      </c>
      <c r="E198" s="119" t="str">
        <f ca="1">OFFSET(ORÇAMENTO!O$15,ROW(E198)-ROW(E$15),0)</f>
        <v>-</v>
      </c>
      <c r="F198" s="172" t="str">
        <f ca="1">OFFSET(ORÇAMENTO!R$15,ROW(F198)-ROW(F$15),0)</f>
        <v>(abra o arquivo 'Referência 06-2024.xlsm)</v>
      </c>
      <c r="G198" s="173" t="str">
        <f ca="1">IF($D198&lt;&gt;"Serviço","",OFFSET(ORÇAMENTO!S$15,ROW(G198)-ROW(G$15),0))</f>
        <v>-</v>
      </c>
      <c r="H198" s="124">
        <f ca="1">IF($D198&lt;&gt;"Serviço",0,IF(ACOMPANHAMENTO="BM",ROUND(OFFSET(ORÇAMENTO!AJ$15,ROW(H198)-ROW(H$15),0),15-13*ORÇAMENTO!$AF$7),SUMPRODUCT(($Q$12:$AI$12&lt;&gt;"")*ROUND($Q198:$AI198,15-13*ORÇAMENTO!$AF$7))))</f>
        <v>736.37</v>
      </c>
      <c r="I198" s="561" t="s">
        <v>1107</v>
      </c>
      <c r="K198" s="174"/>
      <c r="L198" s="175" t="s">
        <v>255</v>
      </c>
      <c r="M198" s="176">
        <f ca="1">IF($D198&lt;&gt;"Serviço","",IF(AUTOEVENTO="manual",$A198,IF(ISERROR(MATCH($A198,$A$15:OFFSET($A198,-1,0),0)),MAX($M$15:OFFSET(M198,-1,0))+1,INDEX($M$15:OFFSET(M198,-1,0),MATCH($A198,$A$15:OFFSET($A198,-1,0),0)))))</f>
        <v>27</v>
      </c>
      <c r="N198" s="177" t="str">
        <f ca="1">IF($D198&lt;&gt;"Serviço","",IF(AUTOEVENTO="Manual",IF($A198=0,"&lt;-- defina o número do agrupador",OFFSET(EVENTOS!$D$14,$A198,0)),OFFSET($F$15,$A198,0)))</f>
        <v>REVESTIMENTOS INTERNO E EXTERNO - EDIFICAÇÃO</v>
      </c>
      <c r="O198" s="178"/>
      <c r="Q198" s="178">
        <v>736.37</v>
      </c>
      <c r="R198" s="179"/>
      <c r="S198" s="179"/>
      <c r="T198" s="179"/>
      <c r="U198" s="179"/>
      <c r="V198" s="179"/>
      <c r="W198" s="179"/>
      <c r="X198" s="179"/>
      <c r="Y198" s="179"/>
      <c r="Z198" s="180"/>
      <c r="AA198" s="179"/>
      <c r="AB198" s="179"/>
      <c r="AC198" s="179"/>
      <c r="AD198" s="179"/>
      <c r="AE198" s="179"/>
      <c r="AF198" s="179"/>
      <c r="AG198" s="179"/>
      <c r="AH198" s="180"/>
      <c r="AJ198" s="544">
        <f ca="1">IF(AND($D198="Serviço",AJ$12&lt;&gt;0,$H198&gt;0,OR(AUTOEVENTO&lt;&gt;"manual",$M198&lt;&gt;1)),
IF(Import.TipoArredondamento&lt;&gt;"TransfereGOV",
ROUND(OFFSET($P198,0,AJ$13),15-13*ORÇAMENTO!$AF$7)/$H198*OFFSET(ORÇAMENTO!$X$15,ROW(AJ198)-ROW(AJ$15),0),
ROUND(ROUND(OFFSET($P198,0,AJ$13),15-13*ORÇAMENTO!$AF$7)*OFFSET(ORÇAMENTO!$W$15,ROW(AJ198)-ROW(AJ$15),0),15-13*ORÇAMENTO!$AF$11)),0)</f>
        <v>0</v>
      </c>
      <c r="AK198" s="545">
        <f ca="1">IF(AND($D198="Serviço",AK$12&lt;&gt;0,$H198&gt;0,OR(AUTOEVENTO&lt;&gt;"manual",$M198&lt;&gt;1)),
IF(Import.TipoArredondamento&lt;&gt;"TransfereGOV",
ROUND(OFFSET($P198,0,AK$13),15-13*ORÇAMENTO!$AF$7)/$H198*OFFSET(ORÇAMENTO!$X$15,ROW(AK198)-ROW(AK$15),0),
ROUND(ROUND(OFFSET($P198,0,AK$13),15-13*ORÇAMENTO!$AF$7)*OFFSET(ORÇAMENTO!$W$15,ROW(AK198)-ROW(AK$15),0),15-13*ORÇAMENTO!$AF$11)),0)</f>
        <v>0</v>
      </c>
      <c r="AL198" s="545">
        <f ca="1">IF(AND($D198="Serviço",AL$12&lt;&gt;0,$H198&gt;0,OR(AUTOEVENTO&lt;&gt;"manual",$M198&lt;&gt;1)),
IF(Import.TipoArredondamento&lt;&gt;"TransfereGOV",
ROUND(OFFSET($P198,0,AL$13),15-13*ORÇAMENTO!$AF$7)/$H198*OFFSET(ORÇAMENTO!$X$15,ROW(AL198)-ROW(AL$15),0),
ROUND(ROUND(OFFSET($P198,0,AL$13),15-13*ORÇAMENTO!$AF$7)*OFFSET(ORÇAMENTO!$W$15,ROW(AL198)-ROW(AL$15),0),15-13*ORÇAMENTO!$AF$11)),0)</f>
        <v>0</v>
      </c>
      <c r="AM198" s="545">
        <f ca="1">IF(AND($D198="Serviço",AM$12&lt;&gt;0,$H198&gt;0,OR(AUTOEVENTO&lt;&gt;"manual",$M198&lt;&gt;1)),
IF(Import.TipoArredondamento&lt;&gt;"TransfereGOV",
ROUND(OFFSET($P198,0,AM$13),15-13*ORÇAMENTO!$AF$7)/$H198*OFFSET(ORÇAMENTO!$X$15,ROW(AM198)-ROW(AM$15),0),
ROUND(ROUND(OFFSET($P198,0,AM$13),15-13*ORÇAMENTO!$AF$7)*OFFSET(ORÇAMENTO!$W$15,ROW(AM198)-ROW(AM$15),0),15-13*ORÇAMENTO!$AF$11)),0)</f>
        <v>0</v>
      </c>
      <c r="AN198" s="545">
        <f ca="1">IF(AND($D198="Serviço",AN$12&lt;&gt;0,$H198&gt;0,OR(AUTOEVENTO&lt;&gt;"manual",$M198&lt;&gt;1)),
IF(Import.TipoArredondamento&lt;&gt;"TransfereGOV",
ROUND(OFFSET($P198,0,AN$13),15-13*ORÇAMENTO!$AF$7)/$H198*OFFSET(ORÇAMENTO!$X$15,ROW(AN198)-ROW(AN$15),0),
ROUND(ROUND(OFFSET($P198,0,AN$13),15-13*ORÇAMENTO!$AF$7)*OFFSET(ORÇAMENTO!$W$15,ROW(AN198)-ROW(AN$15),0),15-13*ORÇAMENTO!$AF$11)),0)</f>
        <v>0</v>
      </c>
      <c r="AO198" s="545">
        <f ca="1">IF(AND($D198="Serviço",AO$12&lt;&gt;0,$H198&gt;0,OR(AUTOEVENTO&lt;&gt;"manual",$M198&lt;&gt;1)),
IF(Import.TipoArredondamento&lt;&gt;"TransfereGOV",
ROUND(OFFSET($P198,0,AO$13),15-13*ORÇAMENTO!$AF$7)/$H198*OFFSET(ORÇAMENTO!$X$15,ROW(AO198)-ROW(AO$15),0),
ROUND(ROUND(OFFSET($P198,0,AO$13),15-13*ORÇAMENTO!$AF$7)*OFFSET(ORÇAMENTO!$W$15,ROW(AO198)-ROW(AO$15),0),15-13*ORÇAMENTO!$AF$11)),0)</f>
        <v>0</v>
      </c>
      <c r="AP198" s="545">
        <f ca="1">IF(AND($D198="Serviço",AP$12&lt;&gt;0,$H198&gt;0,OR(AUTOEVENTO&lt;&gt;"manual",$M198&lt;&gt;1)),
IF(Import.TipoArredondamento&lt;&gt;"TransfereGOV",
ROUND(OFFSET($P198,0,AP$13),15-13*ORÇAMENTO!$AF$7)/$H198*OFFSET(ORÇAMENTO!$X$15,ROW(AP198)-ROW(AP$15),0),
ROUND(ROUND(OFFSET($P198,0,AP$13),15-13*ORÇAMENTO!$AF$7)*OFFSET(ORÇAMENTO!$W$15,ROW(AP198)-ROW(AP$15),0),15-13*ORÇAMENTO!$AF$11)),0)</f>
        <v>0</v>
      </c>
      <c r="AQ198" s="545">
        <f ca="1">IF(AND($D198="Serviço",AQ$12&lt;&gt;0,$H198&gt;0,OR(AUTOEVENTO&lt;&gt;"manual",$M198&lt;&gt;1)),
IF(Import.TipoArredondamento&lt;&gt;"TransfereGOV",
ROUND(OFFSET($P198,0,AQ$13),15-13*ORÇAMENTO!$AF$7)/$H198*OFFSET(ORÇAMENTO!$X$15,ROW(AQ198)-ROW(AQ$15),0),
ROUND(ROUND(OFFSET($P198,0,AQ$13),15-13*ORÇAMENTO!$AF$7)*OFFSET(ORÇAMENTO!$W$15,ROW(AQ198)-ROW(AQ$15),0),15-13*ORÇAMENTO!$AF$11)),0)</f>
        <v>0</v>
      </c>
      <c r="AR198" s="545">
        <f ca="1">IF(AND($D198="Serviço",AR$12&lt;&gt;0,$H198&gt;0,OR(AUTOEVENTO&lt;&gt;"manual",$M198&lt;&gt;1)),
IF(Import.TipoArredondamento&lt;&gt;"TransfereGOV",
ROUND(OFFSET($P198,0,AR$13),15-13*ORÇAMENTO!$AF$7)/$H198*OFFSET(ORÇAMENTO!$X$15,ROW(AR198)-ROW(AR$15),0),
ROUND(ROUND(OFFSET($P198,0,AR$13),15-13*ORÇAMENTO!$AF$7)*OFFSET(ORÇAMENTO!$W$15,ROW(AR198)-ROW(AR$15),0),15-13*ORÇAMENTO!$AF$11)),0)</f>
        <v>0</v>
      </c>
      <c r="AS198" s="546">
        <f ca="1">IF(AND($D198="Serviço",AS$12&lt;&gt;0,$H198&gt;0,OR(AUTOEVENTO&lt;&gt;"manual",$M198&lt;&gt;1)),
IF(Import.TipoArredondamento&lt;&gt;"TransfereGOV",
ROUND(OFFSET($P198,0,AS$13),15-13*ORÇAMENTO!$AF$7)/$H198*OFFSET(ORÇAMENTO!$X$15,ROW(AS198)-ROW(AS$15),0),
ROUND(ROUND(OFFSET($P198,0,AS$13),15-13*ORÇAMENTO!$AF$7)*OFFSET(ORÇAMENTO!$W$15,ROW(AS198)-ROW(AS$15),0),15-13*ORÇAMENTO!$AF$11)),0)</f>
        <v>0</v>
      </c>
      <c r="AT198" s="545">
        <f ca="1">IF(AND($D198="Serviço",AT$12&lt;&gt;0,$H198&gt;0,OR(AUTOEVENTO&lt;&gt;"manual",$M198&lt;&gt;1)),
IF(Import.TipoArredondamento&lt;&gt;"TransfereGOV",
ROUND(OFFSET($P198,0,AT$13),15-13*ORÇAMENTO!$AF$7)/$H198*OFFSET(ORÇAMENTO!$X$15,ROW(AT198)-ROW(AT$15),0),
ROUND(ROUND(OFFSET($P198,0,AT$13),15-13*ORÇAMENTO!$AF$7)*OFFSET(ORÇAMENTO!$W$15,ROW(AT198)-ROW(AT$15),0),15-13*ORÇAMENTO!$AF$11)),0)</f>
        <v>0</v>
      </c>
      <c r="AU198" s="545">
        <f ca="1">IF(AND($D198="Serviço",AU$12&lt;&gt;0,$H198&gt;0,OR(AUTOEVENTO&lt;&gt;"manual",$M198&lt;&gt;1)),
IF(Import.TipoArredondamento&lt;&gt;"TransfereGOV",
ROUND(OFFSET($P198,0,AU$13),15-13*ORÇAMENTO!$AF$7)/$H198*OFFSET(ORÇAMENTO!$X$15,ROW(AU198)-ROW(AU$15),0),
ROUND(ROUND(OFFSET($P198,0,AU$13),15-13*ORÇAMENTO!$AF$7)*OFFSET(ORÇAMENTO!$W$15,ROW(AU198)-ROW(AU$15),0),15-13*ORÇAMENTO!$AF$11)),0)</f>
        <v>0</v>
      </c>
      <c r="AV198" s="545">
        <f ca="1">IF(AND($D198="Serviço",AV$12&lt;&gt;0,$H198&gt;0,OR(AUTOEVENTO&lt;&gt;"manual",$M198&lt;&gt;1)),
IF(Import.TipoArredondamento&lt;&gt;"TransfereGOV",
ROUND(OFFSET($P198,0,AV$13),15-13*ORÇAMENTO!$AF$7)/$H198*OFFSET(ORÇAMENTO!$X$15,ROW(AV198)-ROW(AV$15),0),
ROUND(ROUND(OFFSET($P198,0,AV$13),15-13*ORÇAMENTO!$AF$7)*OFFSET(ORÇAMENTO!$W$15,ROW(AV198)-ROW(AV$15),0),15-13*ORÇAMENTO!$AF$11)),0)</f>
        <v>0</v>
      </c>
      <c r="AW198" s="545">
        <f ca="1">IF(AND($D198="Serviço",AW$12&lt;&gt;0,$H198&gt;0,OR(AUTOEVENTO&lt;&gt;"manual",$M198&lt;&gt;1)),
IF(Import.TipoArredondamento&lt;&gt;"TransfereGOV",
ROUND(OFFSET($P198,0,AW$13),15-13*ORÇAMENTO!$AF$7)/$H198*OFFSET(ORÇAMENTO!$X$15,ROW(AW198)-ROW(AW$15),0),
ROUND(ROUND(OFFSET($P198,0,AW$13),15-13*ORÇAMENTO!$AF$7)*OFFSET(ORÇAMENTO!$W$15,ROW(AW198)-ROW(AW$15),0),15-13*ORÇAMENTO!$AF$11)),0)</f>
        <v>0</v>
      </c>
      <c r="AX198" s="545">
        <f ca="1">IF(AND($D198="Serviço",AX$12&lt;&gt;0,$H198&gt;0,OR(AUTOEVENTO&lt;&gt;"manual",$M198&lt;&gt;1)),
IF(Import.TipoArredondamento&lt;&gt;"TransfereGOV",
ROUND(OFFSET($P198,0,AX$13),15-13*ORÇAMENTO!$AF$7)/$H198*OFFSET(ORÇAMENTO!$X$15,ROW(AX198)-ROW(AX$15),0),
ROUND(ROUND(OFFSET($P198,0,AX$13),15-13*ORÇAMENTO!$AF$7)*OFFSET(ORÇAMENTO!$W$15,ROW(AX198)-ROW(AX$15),0),15-13*ORÇAMENTO!$AF$11)),0)</f>
        <v>0</v>
      </c>
      <c r="AY198" s="545">
        <f ca="1">IF(AND($D198="Serviço",AY$12&lt;&gt;0,$H198&gt;0,OR(AUTOEVENTO&lt;&gt;"manual",$M198&lt;&gt;1)),
IF(Import.TipoArredondamento&lt;&gt;"TransfereGOV",
ROUND(OFFSET($P198,0,AY$13),15-13*ORÇAMENTO!$AF$7)/$H198*OFFSET(ORÇAMENTO!$X$15,ROW(AY198)-ROW(AY$15),0),
ROUND(ROUND(OFFSET($P198,0,AY$13),15-13*ORÇAMENTO!$AF$7)*OFFSET(ORÇAMENTO!$W$15,ROW(AY198)-ROW(AY$15),0),15-13*ORÇAMENTO!$AF$11)),0)</f>
        <v>0</v>
      </c>
      <c r="AZ198" s="545">
        <f ca="1">IF(AND($D198="Serviço",AZ$12&lt;&gt;0,$H198&gt;0,OR(AUTOEVENTO&lt;&gt;"manual",$M198&lt;&gt;1)),
IF(Import.TipoArredondamento&lt;&gt;"TransfereGOV",
ROUND(OFFSET($P198,0,AZ$13),15-13*ORÇAMENTO!$AF$7)/$H198*OFFSET(ORÇAMENTO!$X$15,ROW(AZ198)-ROW(AZ$15),0),
ROUND(ROUND(OFFSET($P198,0,AZ$13),15-13*ORÇAMENTO!$AF$7)*OFFSET(ORÇAMENTO!$W$15,ROW(AZ198)-ROW(AZ$15),0),15-13*ORÇAMENTO!$AF$11)),0)</f>
        <v>0</v>
      </c>
      <c r="BA198" s="546">
        <f ca="1">IF(AND($D198="Serviço",BA$12&lt;&gt;0,$H198&gt;0,OR(AUTOEVENTO&lt;&gt;"manual",$M198&lt;&gt;1)),
IF(Import.TipoArredondamento&lt;&gt;"TransfereGOV",
ROUND(OFFSET($P198,0,BA$13),15-13*ORÇAMENTO!$AF$7)/$H198*OFFSET(ORÇAMENTO!$X$15,ROW(BA198)-ROW(BA$15),0),
ROUND(ROUND(OFFSET($P198,0,BA$13),15-13*ORÇAMENTO!$AF$7)*OFFSET(ORÇAMENTO!$W$15,ROW(BA198)-ROW(BA$15),0),15-13*ORÇAMENTO!$AF$11)),0)</f>
        <v>0</v>
      </c>
      <c r="BC198" s="181">
        <f ca="1">IF($D198&lt;&gt;"Serviço",0,IF(AND(AUTOEVENTO="Manual",$M198=1),0,IF(OFFSET(CRONOPLE!$F$14,$M198,BC$13)="",10^12,OFFSET(CRONOPLE!$F$14,$M198,BC$13))))</f>
        <v>7</v>
      </c>
      <c r="BD198" s="181">
        <f ca="1">IF($D198&lt;&gt;"Serviço",0,IF(AND(AUTOEVENTO="Manual",$M198=1),0,IF(OFFSET(CRONOPLE!$F$14,$M198,BD$13)="",10^12,OFFSET(CRONOPLE!$F$14,$M198,BD$13))))</f>
        <v>1000000000000</v>
      </c>
      <c r="BE198" s="181">
        <f ca="1">IF($D198&lt;&gt;"Serviço",0,IF(AND(AUTOEVENTO="Manual",$M198=1),0,IF(OFFSET(CRONOPLE!$F$14,$M198,BE$13)="",10^12,OFFSET(CRONOPLE!$F$14,$M198,BE$13))))</f>
        <v>1000000000000</v>
      </c>
      <c r="BF198" s="181">
        <f ca="1">IF($D198&lt;&gt;"Serviço",0,IF(AND(AUTOEVENTO="Manual",$M198=1),0,IF(OFFSET(CRONOPLE!$F$14,$M198,BF$13)="",10^12,OFFSET(CRONOPLE!$F$14,$M198,BF$13))))</f>
        <v>1000000000000</v>
      </c>
      <c r="BG198" s="181">
        <f ca="1">IF($D198&lt;&gt;"Serviço",0,IF(AND(AUTOEVENTO="Manual",$M198=1),0,IF(OFFSET(CRONOPLE!$F$14,$M198,BG$13)="",10^12,OFFSET(CRONOPLE!$F$14,$M198,BG$13))))</f>
        <v>1000000000000</v>
      </c>
      <c r="BH198" s="181">
        <f ca="1">IF($D198&lt;&gt;"Serviço",0,IF(AND(AUTOEVENTO="Manual",$M198=1),0,IF(OFFSET(CRONOPLE!$F$14,$M198,BH$13)="",10^12,OFFSET(CRONOPLE!$F$14,$M198,BH$13))))</f>
        <v>1000000000000</v>
      </c>
      <c r="BI198" s="181">
        <f ca="1">IF($D198&lt;&gt;"Serviço",0,IF(AND(AUTOEVENTO="Manual",$M198=1),0,IF(OFFSET(CRONOPLE!$F$14,$M198,BI$13)="",10^12,OFFSET(CRONOPLE!$F$14,$M198,BI$13))))</f>
        <v>1000000000000</v>
      </c>
      <c r="BJ198" s="181">
        <f ca="1">IF($D198&lt;&gt;"Serviço",0,IF(AND(AUTOEVENTO="Manual",$M198=1),0,IF(OFFSET(CRONOPLE!$F$14,$M198,BJ$13)="",10^12,OFFSET(CRONOPLE!$F$14,$M198,BJ$13))))</f>
        <v>1000000000000</v>
      </c>
      <c r="BK198" s="181">
        <f ca="1">IF($D198&lt;&gt;"Serviço",0,IF(AND(AUTOEVENTO="Manual",$M198=1),0,IF(OFFSET(CRONOPLE!$F$14,$M198,BK$13)="",10^12,OFFSET(CRONOPLE!$F$14,$M198,BK$13))))</f>
        <v>1000000000000</v>
      </c>
      <c r="BL198" s="181">
        <f ca="1">IF($D198&lt;&gt;"Serviço",0,IF(AND(AUTOEVENTO="Manual",$M198=1),0,IF(OFFSET(CRONOPLE!$F$14,$M198,BL$13)="",10^12,OFFSET(CRONOPLE!$F$14,$M198,BL$13))))</f>
        <v>1000000000000</v>
      </c>
      <c r="BM198" s="181">
        <f ca="1">IF($D198&lt;&gt;"Serviço",0,IF(AND(AUTOEVENTO="Manual",$M198=1),0,IF(OFFSET(CRONOPLE!$F$14,$M198,BM$13)="",10^12,OFFSET(CRONOPLE!$F$14,$M198,BM$13))))</f>
        <v>1000000000000</v>
      </c>
      <c r="BN198" s="181">
        <f ca="1">IF($D198&lt;&gt;"Serviço",0,IF(AND(AUTOEVENTO="Manual",$M198=1),0,IF(OFFSET(CRONOPLE!$F$14,$M198,BN$13)="",10^12,OFFSET(CRONOPLE!$F$14,$M198,BN$13))))</f>
        <v>1000000000000</v>
      </c>
      <c r="BO198" s="181">
        <f ca="1">IF($D198&lt;&gt;"Serviço",0,IF(AND(AUTOEVENTO="Manual",$M198=1),0,IF(OFFSET(CRONOPLE!$F$14,$M198,BO$13)="",10^12,OFFSET(CRONOPLE!$F$14,$M198,BO$13))))</f>
        <v>1000000000000</v>
      </c>
      <c r="BP198" s="181">
        <f ca="1">IF($D198&lt;&gt;"Serviço",0,IF(AND(AUTOEVENTO="Manual",$M198=1),0,IF(OFFSET(CRONOPLE!$F$14,$M198,BP$13)="",10^12,OFFSET(CRONOPLE!$F$14,$M198,BP$13))))</f>
        <v>1000000000000</v>
      </c>
      <c r="BQ198" s="181">
        <f ca="1">IF($D198&lt;&gt;"Serviço",0,IF(AND(AUTOEVENTO="Manual",$M198=1),0,IF(OFFSET(CRONOPLE!$F$14,$M198,BQ$13)="",10^12,OFFSET(CRONOPLE!$F$14,$M198,BQ$13))))</f>
        <v>1000000000000</v>
      </c>
      <c r="BR198" s="181">
        <f ca="1">IF($D198&lt;&gt;"Serviço",0,IF(AND(AUTOEVENTO="Manual",$M198=1),0,IF(OFFSET(CRONOPLE!$F$14,$M198,BR$13)="",10^12,OFFSET(CRONOPLE!$F$14,$M198,BR$13))))</f>
        <v>1000000000000</v>
      </c>
      <c r="BS198" s="181">
        <f ca="1">IF($D198&lt;&gt;"Serviço",0,IF(AND(AUTOEVENTO="Manual",$M198=1),0,IF(OFFSET(CRONOPLE!$F$14,$M198,BS$13)="",10^12,OFFSET(CRONOPLE!$F$14,$M198,BS$13))))</f>
        <v>1000000000000</v>
      </c>
      <c r="BT198" s="181">
        <f ca="1">IF($D198&lt;&gt;"Serviço",0,IF(AND(AUTOEVENTO="Manual",$M198=1),0,IF(OFFSET(CRONOPLE!$F$14,$M198,BT$13)="",10^12,OFFSET(CRONOPLE!$F$14,$M198,BT$13))))</f>
        <v>1000000000000</v>
      </c>
      <c r="BV198" s="182">
        <f ca="1">IF($D198&lt;&gt;"Serviço",0,IF(OR(AND(AUTOEVENTO="Manual",$M198=1),$M198&gt;(ROW(PLE.lastrow)-ROW(PLE.firstrow))),0,IF(OFFSET(PLE!$G$14,$M198,BV$13)="",10^12,OFFSET(PLE!$G$14,$M198,BV$13))))</f>
        <v>1000000000000</v>
      </c>
      <c r="BW198" s="182">
        <f ca="1">IF($D198&lt;&gt;"Serviço",0,IF(OR(AND(AUTOEVENTO="Manual",$M198=1),$M198&gt;(ROW(PLE.lastrow)-ROW(PLE.firstrow))),0,IF(OFFSET(PLE!$G$14,$M198,BW$13)="",10^12,OFFSET(PLE!$G$14,$M198,BW$13))))</f>
        <v>1000000000000</v>
      </c>
      <c r="BX198" s="182">
        <f ca="1">IF($D198&lt;&gt;"Serviço",0,IF(OR(AND(AUTOEVENTO="Manual",$M198=1),$M198&gt;(ROW(PLE.lastrow)-ROW(PLE.firstrow))),0,IF(OFFSET(PLE!$G$14,$M198,BX$13)="",10^12,OFFSET(PLE!$G$14,$M198,BX$13))))</f>
        <v>1000000000000</v>
      </c>
      <c r="BY198" s="182">
        <f ca="1">IF($D198&lt;&gt;"Serviço",0,IF(OR(AND(AUTOEVENTO="Manual",$M198=1),$M198&gt;(ROW(PLE.lastrow)-ROW(PLE.firstrow))),0,IF(OFFSET(PLE!$G$14,$M198,BY$13)="",10^12,OFFSET(PLE!$G$14,$M198,BY$13))))</f>
        <v>1000000000000</v>
      </c>
      <c r="BZ198" s="182">
        <f ca="1">IF($D198&lt;&gt;"Serviço",0,IF(OR(AND(AUTOEVENTO="Manual",$M198=1),$M198&gt;(ROW(PLE.lastrow)-ROW(PLE.firstrow))),0,IF(OFFSET(PLE!$G$14,$M198,BZ$13)="",10^12,OFFSET(PLE!$G$14,$M198,BZ$13))))</f>
        <v>1000000000000</v>
      </c>
      <c r="CA198" s="182">
        <f ca="1">IF($D198&lt;&gt;"Serviço",0,IF(OR(AND(AUTOEVENTO="Manual",$M198=1),$M198&gt;(ROW(PLE.lastrow)-ROW(PLE.firstrow))),0,IF(OFFSET(PLE!$G$14,$M198,CA$13)="",10^12,OFFSET(PLE!$G$14,$M198,CA$13))))</f>
        <v>1000000000000</v>
      </c>
      <c r="CB198" s="182">
        <f ca="1">IF($D198&lt;&gt;"Serviço",0,IF(OR(AND(AUTOEVENTO="Manual",$M198=1),$M198&gt;(ROW(PLE.lastrow)-ROW(PLE.firstrow))),0,IF(OFFSET(PLE!$G$14,$M198,CB$13)="",10^12,OFFSET(PLE!$G$14,$M198,CB$13))))</f>
        <v>1000000000000</v>
      </c>
      <c r="CC198" s="182">
        <f ca="1">IF($D198&lt;&gt;"Serviço",0,IF(OR(AND(AUTOEVENTO="Manual",$M198=1),$M198&gt;(ROW(PLE.lastrow)-ROW(PLE.firstrow))),0,IF(OFFSET(PLE!$G$14,$M198,CC$13)="",10^12,OFFSET(PLE!$G$14,$M198,CC$13))))</f>
        <v>1000000000000</v>
      </c>
      <c r="CD198" s="182">
        <f ca="1">IF($D198&lt;&gt;"Serviço",0,IF(OR(AND(AUTOEVENTO="Manual",$M198=1),$M198&gt;(ROW(PLE.lastrow)-ROW(PLE.firstrow))),0,IF(OFFSET(PLE!$G$14,$M198,CD$13)="",10^12,OFFSET(PLE!$G$14,$M198,CD$13))))</f>
        <v>1000000000000</v>
      </c>
      <c r="CE198" s="182">
        <f ca="1">IF($D198&lt;&gt;"Serviço",0,IF(OR(AND(AUTOEVENTO="Manual",$M198=1),$M198&gt;(ROW(PLE.lastrow)-ROW(PLE.firstrow))),0,IF(OFFSET(PLE!$G$14,$M198,CE$13)="",10^12,OFFSET(PLE!$G$14,$M198,CE$13))))</f>
        <v>1000000000000</v>
      </c>
      <c r="CF198" s="182">
        <f ca="1">IF($D198&lt;&gt;"Serviço",0,IF(OR(AND(AUTOEVENTO="Manual",$M198=1),$M198&gt;(ROW(PLE.lastrow)-ROW(PLE.firstrow))),0,IF(OFFSET(PLE!$G$14,$M198,CF$13)="",10^12,OFFSET(PLE!$G$14,$M198,CF$13))))</f>
        <v>1000000000000</v>
      </c>
      <c r="CG198" s="182">
        <f ca="1">IF($D198&lt;&gt;"Serviço",0,IF(OR(AND(AUTOEVENTO="Manual",$M198=1),$M198&gt;(ROW(PLE.lastrow)-ROW(PLE.firstrow))),0,IF(OFFSET(PLE!$G$14,$M198,CG$13)="",10^12,OFFSET(PLE!$G$14,$M198,CG$13))))</f>
        <v>1000000000000</v>
      </c>
      <c r="CH198" s="182">
        <f ca="1">IF($D198&lt;&gt;"Serviço",0,IF(OR(AND(AUTOEVENTO="Manual",$M198=1),$M198&gt;(ROW(PLE.lastrow)-ROW(PLE.firstrow))),0,IF(OFFSET(PLE!$G$14,$M198,CH$13)="",10^12,OFFSET(PLE!$G$14,$M198,CH$13))))</f>
        <v>1000000000000</v>
      </c>
      <c r="CI198" s="182">
        <f ca="1">IF($D198&lt;&gt;"Serviço",0,IF(OR(AND(AUTOEVENTO="Manual",$M198=1),$M198&gt;(ROW(PLE.lastrow)-ROW(PLE.firstrow))),0,IF(OFFSET(PLE!$G$14,$M198,CI$13)="",10^12,OFFSET(PLE!$G$14,$M198,CI$13))))</f>
        <v>1000000000000</v>
      </c>
      <c r="CJ198" s="182">
        <f ca="1">IF($D198&lt;&gt;"Serviço",0,IF(OR(AND(AUTOEVENTO="Manual",$M198=1),$M198&gt;(ROW(PLE.lastrow)-ROW(PLE.firstrow))),0,IF(OFFSET(PLE!$G$14,$M198,CJ$13)="",10^12,OFFSET(PLE!$G$14,$M198,CJ$13))))</f>
        <v>1000000000000</v>
      </c>
      <c r="CK198" s="182">
        <f ca="1">IF($D198&lt;&gt;"Serviço",0,IF(OR(AND(AUTOEVENTO="Manual",$M198=1),$M198&gt;(ROW(PLE.lastrow)-ROW(PLE.firstrow))),0,IF(OFFSET(PLE!$G$14,$M198,CK$13)="",10^12,OFFSET(PLE!$G$14,$M198,CK$13))))</f>
        <v>1000000000000</v>
      </c>
      <c r="CL198" s="182">
        <f ca="1">IF($D198&lt;&gt;"Serviço",0,IF(OR(AND(AUTOEVENTO="Manual",$M198=1),$M198&gt;(ROW(PLE.lastrow)-ROW(PLE.firstrow))),0,IF(OFFSET(PLE!$G$14,$M198,CL$13)="",10^12,OFFSET(PLE!$G$14,$M198,CL$13))))</f>
        <v>1000000000000</v>
      </c>
      <c r="CM198" s="182">
        <f ca="1">IF($D198&lt;&gt;"Serviço",0,IF(OR(AND(AUTOEVENTO="Manual",$M198=1),$M198&gt;(ROW(PLE.lastrow)-ROW(PLE.firstrow))),0,IF(OFFSET(PLE!$G$14,$M198,CM$13)="",10^12,OFFSET(PLE!$G$14,$M198,CM$13))))</f>
        <v>1000000000000</v>
      </c>
    </row>
    <row r="199" spans="1:91" ht="12.75" x14ac:dyDescent="0.2">
      <c r="A199" s="7" t="str">
        <f t="shared" ca="1" si="12"/>
        <v>184.</v>
      </c>
      <c r="B199" s="7">
        <f ca="1">OFFSET(ORÇAMENTO!C$15,ROW(B199)-ROW(B$15),0)</f>
        <v>2</v>
      </c>
      <c r="C199" s="7" t="str">
        <f ca="1">OFFSET(ORÇAMENTO!L$15,ROW(C199)-ROW(C$15),0)</f>
        <v>F</v>
      </c>
      <c r="D199" s="118" t="str">
        <f ca="1">OFFSET(ORÇAMENTO!N$15,ROW(D199)-ROW(D$15),0)</f>
        <v>Nível 2</v>
      </c>
      <c r="E199" s="119" t="str">
        <f ca="1">OFFSET(ORÇAMENTO!O$15,ROW(E199)-ROW(E$15),0)</f>
        <v>1.27.</v>
      </c>
      <c r="F199" s="172" t="str">
        <f ca="1">OFFSET(ORÇAMENTO!R$15,ROW(F199)-ROW(F$15),0)</f>
        <v>SISTEMAS DE PISOS - PAVIMENTAÇÃO INTERNA</v>
      </c>
      <c r="G199" s="173" t="str">
        <f ca="1">IF($D199&lt;&gt;"Serviço","",OFFSET(ORÇAMENTO!S$15,ROW(G199)-ROW(G$15),0))</f>
        <v/>
      </c>
      <c r="H199" s="124">
        <f ca="1">IF($D199&lt;&gt;"Serviço",0,IF(ACOMPANHAMENTO="BM",ROUND(OFFSET(ORÇAMENTO!AJ$15,ROW(H199)-ROW(H$15),0),15-13*ORÇAMENTO!$AF$7),SUMPRODUCT(($Q$12:$AI$12&lt;&gt;"")*ROUND($Q199:$AI199,15-13*ORÇAMENTO!$AF$7))))</f>
        <v>0</v>
      </c>
      <c r="I199" s="561"/>
      <c r="K199" s="174"/>
      <c r="L199" s="175" t="s">
        <v>255</v>
      </c>
      <c r="M199" s="176" t="str">
        <f ca="1">IF($D199&lt;&gt;"Serviço","",IF(AUTOEVENTO="manual",$A199,IF(ISERROR(MATCH($A199,$A$15:OFFSET($A199,-1,0),0)),MAX($M$15:OFFSET(M199,-1,0))+1,INDEX($M$15:OFFSET(M199,-1,0),MATCH($A199,$A$15:OFFSET($A199,-1,0),0)))))</f>
        <v/>
      </c>
      <c r="N199" s="177" t="str">
        <f ca="1">IF($D199&lt;&gt;"Serviço","",IF(AUTOEVENTO="Manual",IF($A199=0,"&lt;-- defina o número do agrupador",OFFSET(EVENTOS!$D$14,$A199,0)),OFFSET($F$15,$A199,0)))</f>
        <v/>
      </c>
      <c r="O199" s="178"/>
      <c r="Q199" s="178">
        <v>0</v>
      </c>
      <c r="R199" s="179"/>
      <c r="S199" s="179"/>
      <c r="T199" s="179"/>
      <c r="U199" s="179"/>
      <c r="V199" s="179"/>
      <c r="W199" s="179"/>
      <c r="X199" s="179"/>
      <c r="Y199" s="179"/>
      <c r="Z199" s="180"/>
      <c r="AA199" s="179"/>
      <c r="AB199" s="179"/>
      <c r="AC199" s="179"/>
      <c r="AD199" s="179"/>
      <c r="AE199" s="179"/>
      <c r="AF199" s="179"/>
      <c r="AG199" s="179"/>
      <c r="AH199" s="180"/>
      <c r="AJ199" s="544">
        <f ca="1">IF(AND($D199="Serviço",AJ$12&lt;&gt;0,$H199&gt;0,OR(AUTOEVENTO&lt;&gt;"manual",$M199&lt;&gt;1)),
IF(Import.TipoArredondamento&lt;&gt;"TransfereGOV",
ROUND(OFFSET($P199,0,AJ$13),15-13*ORÇAMENTO!$AF$7)/$H199*OFFSET(ORÇAMENTO!$X$15,ROW(AJ199)-ROW(AJ$15),0),
ROUND(ROUND(OFFSET($P199,0,AJ$13),15-13*ORÇAMENTO!$AF$7)*OFFSET(ORÇAMENTO!$W$15,ROW(AJ199)-ROW(AJ$15),0),15-13*ORÇAMENTO!$AF$11)),0)</f>
        <v>0</v>
      </c>
      <c r="AK199" s="545">
        <f ca="1">IF(AND($D199="Serviço",AK$12&lt;&gt;0,$H199&gt;0,OR(AUTOEVENTO&lt;&gt;"manual",$M199&lt;&gt;1)),
IF(Import.TipoArredondamento&lt;&gt;"TransfereGOV",
ROUND(OFFSET($P199,0,AK$13),15-13*ORÇAMENTO!$AF$7)/$H199*OFFSET(ORÇAMENTO!$X$15,ROW(AK199)-ROW(AK$15),0),
ROUND(ROUND(OFFSET($P199,0,AK$13),15-13*ORÇAMENTO!$AF$7)*OFFSET(ORÇAMENTO!$W$15,ROW(AK199)-ROW(AK$15),0),15-13*ORÇAMENTO!$AF$11)),0)</f>
        <v>0</v>
      </c>
      <c r="AL199" s="545">
        <f ca="1">IF(AND($D199="Serviço",AL$12&lt;&gt;0,$H199&gt;0,OR(AUTOEVENTO&lt;&gt;"manual",$M199&lt;&gt;1)),
IF(Import.TipoArredondamento&lt;&gt;"TransfereGOV",
ROUND(OFFSET($P199,0,AL$13),15-13*ORÇAMENTO!$AF$7)/$H199*OFFSET(ORÇAMENTO!$X$15,ROW(AL199)-ROW(AL$15),0),
ROUND(ROUND(OFFSET($P199,0,AL$13),15-13*ORÇAMENTO!$AF$7)*OFFSET(ORÇAMENTO!$W$15,ROW(AL199)-ROW(AL$15),0),15-13*ORÇAMENTO!$AF$11)),0)</f>
        <v>0</v>
      </c>
      <c r="AM199" s="545">
        <f ca="1">IF(AND($D199="Serviço",AM$12&lt;&gt;0,$H199&gt;0,OR(AUTOEVENTO&lt;&gt;"manual",$M199&lt;&gt;1)),
IF(Import.TipoArredondamento&lt;&gt;"TransfereGOV",
ROUND(OFFSET($P199,0,AM$13),15-13*ORÇAMENTO!$AF$7)/$H199*OFFSET(ORÇAMENTO!$X$15,ROW(AM199)-ROW(AM$15),0),
ROUND(ROUND(OFFSET($P199,0,AM$13),15-13*ORÇAMENTO!$AF$7)*OFFSET(ORÇAMENTO!$W$15,ROW(AM199)-ROW(AM$15),0),15-13*ORÇAMENTO!$AF$11)),0)</f>
        <v>0</v>
      </c>
      <c r="AN199" s="545">
        <f ca="1">IF(AND($D199="Serviço",AN$12&lt;&gt;0,$H199&gt;0,OR(AUTOEVENTO&lt;&gt;"manual",$M199&lt;&gt;1)),
IF(Import.TipoArredondamento&lt;&gt;"TransfereGOV",
ROUND(OFFSET($P199,0,AN$13),15-13*ORÇAMENTO!$AF$7)/$H199*OFFSET(ORÇAMENTO!$X$15,ROW(AN199)-ROW(AN$15),0),
ROUND(ROUND(OFFSET($P199,0,AN$13),15-13*ORÇAMENTO!$AF$7)*OFFSET(ORÇAMENTO!$W$15,ROW(AN199)-ROW(AN$15),0),15-13*ORÇAMENTO!$AF$11)),0)</f>
        <v>0</v>
      </c>
      <c r="AO199" s="545">
        <f ca="1">IF(AND($D199="Serviço",AO$12&lt;&gt;0,$H199&gt;0,OR(AUTOEVENTO&lt;&gt;"manual",$M199&lt;&gt;1)),
IF(Import.TipoArredondamento&lt;&gt;"TransfereGOV",
ROUND(OFFSET($P199,0,AO$13),15-13*ORÇAMENTO!$AF$7)/$H199*OFFSET(ORÇAMENTO!$X$15,ROW(AO199)-ROW(AO$15),0),
ROUND(ROUND(OFFSET($P199,0,AO$13),15-13*ORÇAMENTO!$AF$7)*OFFSET(ORÇAMENTO!$W$15,ROW(AO199)-ROW(AO$15),0),15-13*ORÇAMENTO!$AF$11)),0)</f>
        <v>0</v>
      </c>
      <c r="AP199" s="545">
        <f ca="1">IF(AND($D199="Serviço",AP$12&lt;&gt;0,$H199&gt;0,OR(AUTOEVENTO&lt;&gt;"manual",$M199&lt;&gt;1)),
IF(Import.TipoArredondamento&lt;&gt;"TransfereGOV",
ROUND(OFFSET($P199,0,AP$13),15-13*ORÇAMENTO!$AF$7)/$H199*OFFSET(ORÇAMENTO!$X$15,ROW(AP199)-ROW(AP$15),0),
ROUND(ROUND(OFFSET($P199,0,AP$13),15-13*ORÇAMENTO!$AF$7)*OFFSET(ORÇAMENTO!$W$15,ROW(AP199)-ROW(AP$15),0),15-13*ORÇAMENTO!$AF$11)),0)</f>
        <v>0</v>
      </c>
      <c r="AQ199" s="545">
        <f ca="1">IF(AND($D199="Serviço",AQ$12&lt;&gt;0,$H199&gt;0,OR(AUTOEVENTO&lt;&gt;"manual",$M199&lt;&gt;1)),
IF(Import.TipoArredondamento&lt;&gt;"TransfereGOV",
ROUND(OFFSET($P199,0,AQ$13),15-13*ORÇAMENTO!$AF$7)/$H199*OFFSET(ORÇAMENTO!$X$15,ROW(AQ199)-ROW(AQ$15),0),
ROUND(ROUND(OFFSET($P199,0,AQ$13),15-13*ORÇAMENTO!$AF$7)*OFFSET(ORÇAMENTO!$W$15,ROW(AQ199)-ROW(AQ$15),0),15-13*ORÇAMENTO!$AF$11)),0)</f>
        <v>0</v>
      </c>
      <c r="AR199" s="545">
        <f ca="1">IF(AND($D199="Serviço",AR$12&lt;&gt;0,$H199&gt;0,OR(AUTOEVENTO&lt;&gt;"manual",$M199&lt;&gt;1)),
IF(Import.TipoArredondamento&lt;&gt;"TransfereGOV",
ROUND(OFFSET($P199,0,AR$13),15-13*ORÇAMENTO!$AF$7)/$H199*OFFSET(ORÇAMENTO!$X$15,ROW(AR199)-ROW(AR$15),0),
ROUND(ROUND(OFFSET($P199,0,AR$13),15-13*ORÇAMENTO!$AF$7)*OFFSET(ORÇAMENTO!$W$15,ROW(AR199)-ROW(AR$15),0),15-13*ORÇAMENTO!$AF$11)),0)</f>
        <v>0</v>
      </c>
      <c r="AS199" s="546">
        <f ca="1">IF(AND($D199="Serviço",AS$12&lt;&gt;0,$H199&gt;0,OR(AUTOEVENTO&lt;&gt;"manual",$M199&lt;&gt;1)),
IF(Import.TipoArredondamento&lt;&gt;"TransfereGOV",
ROUND(OFFSET($P199,0,AS$13),15-13*ORÇAMENTO!$AF$7)/$H199*OFFSET(ORÇAMENTO!$X$15,ROW(AS199)-ROW(AS$15),0),
ROUND(ROUND(OFFSET($P199,0,AS$13),15-13*ORÇAMENTO!$AF$7)*OFFSET(ORÇAMENTO!$W$15,ROW(AS199)-ROW(AS$15),0),15-13*ORÇAMENTO!$AF$11)),0)</f>
        <v>0</v>
      </c>
      <c r="AT199" s="545">
        <f ca="1">IF(AND($D199="Serviço",AT$12&lt;&gt;0,$H199&gt;0,OR(AUTOEVENTO&lt;&gt;"manual",$M199&lt;&gt;1)),
IF(Import.TipoArredondamento&lt;&gt;"TransfereGOV",
ROUND(OFFSET($P199,0,AT$13),15-13*ORÇAMENTO!$AF$7)/$H199*OFFSET(ORÇAMENTO!$X$15,ROW(AT199)-ROW(AT$15),0),
ROUND(ROUND(OFFSET($P199,0,AT$13),15-13*ORÇAMENTO!$AF$7)*OFFSET(ORÇAMENTO!$W$15,ROW(AT199)-ROW(AT$15),0),15-13*ORÇAMENTO!$AF$11)),0)</f>
        <v>0</v>
      </c>
      <c r="AU199" s="545">
        <f ca="1">IF(AND($D199="Serviço",AU$12&lt;&gt;0,$H199&gt;0,OR(AUTOEVENTO&lt;&gt;"manual",$M199&lt;&gt;1)),
IF(Import.TipoArredondamento&lt;&gt;"TransfereGOV",
ROUND(OFFSET($P199,0,AU$13),15-13*ORÇAMENTO!$AF$7)/$H199*OFFSET(ORÇAMENTO!$X$15,ROW(AU199)-ROW(AU$15),0),
ROUND(ROUND(OFFSET($P199,0,AU$13),15-13*ORÇAMENTO!$AF$7)*OFFSET(ORÇAMENTO!$W$15,ROW(AU199)-ROW(AU$15),0),15-13*ORÇAMENTO!$AF$11)),0)</f>
        <v>0</v>
      </c>
      <c r="AV199" s="545">
        <f ca="1">IF(AND($D199="Serviço",AV$12&lt;&gt;0,$H199&gt;0,OR(AUTOEVENTO&lt;&gt;"manual",$M199&lt;&gt;1)),
IF(Import.TipoArredondamento&lt;&gt;"TransfereGOV",
ROUND(OFFSET($P199,0,AV$13),15-13*ORÇAMENTO!$AF$7)/$H199*OFFSET(ORÇAMENTO!$X$15,ROW(AV199)-ROW(AV$15),0),
ROUND(ROUND(OFFSET($P199,0,AV$13),15-13*ORÇAMENTO!$AF$7)*OFFSET(ORÇAMENTO!$W$15,ROW(AV199)-ROW(AV$15),0),15-13*ORÇAMENTO!$AF$11)),0)</f>
        <v>0</v>
      </c>
      <c r="AW199" s="545">
        <f ca="1">IF(AND($D199="Serviço",AW$12&lt;&gt;0,$H199&gt;0,OR(AUTOEVENTO&lt;&gt;"manual",$M199&lt;&gt;1)),
IF(Import.TipoArredondamento&lt;&gt;"TransfereGOV",
ROUND(OFFSET($P199,0,AW$13),15-13*ORÇAMENTO!$AF$7)/$H199*OFFSET(ORÇAMENTO!$X$15,ROW(AW199)-ROW(AW$15),0),
ROUND(ROUND(OFFSET($P199,0,AW$13),15-13*ORÇAMENTO!$AF$7)*OFFSET(ORÇAMENTO!$W$15,ROW(AW199)-ROW(AW$15),0),15-13*ORÇAMENTO!$AF$11)),0)</f>
        <v>0</v>
      </c>
      <c r="AX199" s="545">
        <f ca="1">IF(AND($D199="Serviço",AX$12&lt;&gt;0,$H199&gt;0,OR(AUTOEVENTO&lt;&gt;"manual",$M199&lt;&gt;1)),
IF(Import.TipoArredondamento&lt;&gt;"TransfereGOV",
ROUND(OFFSET($P199,0,AX$13),15-13*ORÇAMENTO!$AF$7)/$H199*OFFSET(ORÇAMENTO!$X$15,ROW(AX199)-ROW(AX$15),0),
ROUND(ROUND(OFFSET($P199,0,AX$13),15-13*ORÇAMENTO!$AF$7)*OFFSET(ORÇAMENTO!$W$15,ROW(AX199)-ROW(AX$15),0),15-13*ORÇAMENTO!$AF$11)),0)</f>
        <v>0</v>
      </c>
      <c r="AY199" s="545">
        <f ca="1">IF(AND($D199="Serviço",AY$12&lt;&gt;0,$H199&gt;0,OR(AUTOEVENTO&lt;&gt;"manual",$M199&lt;&gt;1)),
IF(Import.TipoArredondamento&lt;&gt;"TransfereGOV",
ROUND(OFFSET($P199,0,AY$13),15-13*ORÇAMENTO!$AF$7)/$H199*OFFSET(ORÇAMENTO!$X$15,ROW(AY199)-ROW(AY$15),0),
ROUND(ROUND(OFFSET($P199,0,AY$13),15-13*ORÇAMENTO!$AF$7)*OFFSET(ORÇAMENTO!$W$15,ROW(AY199)-ROW(AY$15),0),15-13*ORÇAMENTO!$AF$11)),0)</f>
        <v>0</v>
      </c>
      <c r="AZ199" s="545">
        <f ca="1">IF(AND($D199="Serviço",AZ$12&lt;&gt;0,$H199&gt;0,OR(AUTOEVENTO&lt;&gt;"manual",$M199&lt;&gt;1)),
IF(Import.TipoArredondamento&lt;&gt;"TransfereGOV",
ROUND(OFFSET($P199,0,AZ$13),15-13*ORÇAMENTO!$AF$7)/$H199*OFFSET(ORÇAMENTO!$X$15,ROW(AZ199)-ROW(AZ$15),0),
ROUND(ROUND(OFFSET($P199,0,AZ$13),15-13*ORÇAMENTO!$AF$7)*OFFSET(ORÇAMENTO!$W$15,ROW(AZ199)-ROW(AZ$15),0),15-13*ORÇAMENTO!$AF$11)),0)</f>
        <v>0</v>
      </c>
      <c r="BA199" s="546">
        <f ca="1">IF(AND($D199="Serviço",BA$12&lt;&gt;0,$H199&gt;0,OR(AUTOEVENTO&lt;&gt;"manual",$M199&lt;&gt;1)),
IF(Import.TipoArredondamento&lt;&gt;"TransfereGOV",
ROUND(OFFSET($P199,0,BA$13),15-13*ORÇAMENTO!$AF$7)/$H199*OFFSET(ORÇAMENTO!$X$15,ROW(BA199)-ROW(BA$15),0),
ROUND(ROUND(OFFSET($P199,0,BA$13),15-13*ORÇAMENTO!$AF$7)*OFFSET(ORÇAMENTO!$W$15,ROW(BA199)-ROW(BA$15),0),15-13*ORÇAMENTO!$AF$11)),0)</f>
        <v>0</v>
      </c>
      <c r="BC199" s="181">
        <f ca="1">IF($D199&lt;&gt;"Serviço",0,IF(AND(AUTOEVENTO="Manual",$M199=1),0,IF(OFFSET(CRONOPLE!$F$14,$M199,BC$13)="",10^12,OFFSET(CRONOPLE!$F$14,$M199,BC$13))))</f>
        <v>0</v>
      </c>
      <c r="BD199" s="181">
        <f ca="1">IF($D199&lt;&gt;"Serviço",0,IF(AND(AUTOEVENTO="Manual",$M199=1),0,IF(OFFSET(CRONOPLE!$F$14,$M199,BD$13)="",10^12,OFFSET(CRONOPLE!$F$14,$M199,BD$13))))</f>
        <v>0</v>
      </c>
      <c r="BE199" s="181">
        <f ca="1">IF($D199&lt;&gt;"Serviço",0,IF(AND(AUTOEVENTO="Manual",$M199=1),0,IF(OFFSET(CRONOPLE!$F$14,$M199,BE$13)="",10^12,OFFSET(CRONOPLE!$F$14,$M199,BE$13))))</f>
        <v>0</v>
      </c>
      <c r="BF199" s="181">
        <f ca="1">IF($D199&lt;&gt;"Serviço",0,IF(AND(AUTOEVENTO="Manual",$M199=1),0,IF(OFFSET(CRONOPLE!$F$14,$M199,BF$13)="",10^12,OFFSET(CRONOPLE!$F$14,$M199,BF$13))))</f>
        <v>0</v>
      </c>
      <c r="BG199" s="181">
        <f ca="1">IF($D199&lt;&gt;"Serviço",0,IF(AND(AUTOEVENTO="Manual",$M199=1),0,IF(OFFSET(CRONOPLE!$F$14,$M199,BG$13)="",10^12,OFFSET(CRONOPLE!$F$14,$M199,BG$13))))</f>
        <v>0</v>
      </c>
      <c r="BH199" s="181">
        <f ca="1">IF($D199&lt;&gt;"Serviço",0,IF(AND(AUTOEVENTO="Manual",$M199=1),0,IF(OFFSET(CRONOPLE!$F$14,$M199,BH$13)="",10^12,OFFSET(CRONOPLE!$F$14,$M199,BH$13))))</f>
        <v>0</v>
      </c>
      <c r="BI199" s="181">
        <f ca="1">IF($D199&lt;&gt;"Serviço",0,IF(AND(AUTOEVENTO="Manual",$M199=1),0,IF(OFFSET(CRONOPLE!$F$14,$M199,BI$13)="",10^12,OFFSET(CRONOPLE!$F$14,$M199,BI$13))))</f>
        <v>0</v>
      </c>
      <c r="BJ199" s="181">
        <f ca="1">IF($D199&lt;&gt;"Serviço",0,IF(AND(AUTOEVENTO="Manual",$M199=1),0,IF(OFFSET(CRONOPLE!$F$14,$M199,BJ$13)="",10^12,OFFSET(CRONOPLE!$F$14,$M199,BJ$13))))</f>
        <v>0</v>
      </c>
      <c r="BK199" s="181">
        <f ca="1">IF($D199&lt;&gt;"Serviço",0,IF(AND(AUTOEVENTO="Manual",$M199=1),0,IF(OFFSET(CRONOPLE!$F$14,$M199,BK$13)="",10^12,OFFSET(CRONOPLE!$F$14,$M199,BK$13))))</f>
        <v>0</v>
      </c>
      <c r="BL199" s="181">
        <f ca="1">IF($D199&lt;&gt;"Serviço",0,IF(AND(AUTOEVENTO="Manual",$M199=1),0,IF(OFFSET(CRONOPLE!$F$14,$M199,BL$13)="",10^12,OFFSET(CRONOPLE!$F$14,$M199,BL$13))))</f>
        <v>0</v>
      </c>
      <c r="BM199" s="181">
        <f ca="1">IF($D199&lt;&gt;"Serviço",0,IF(AND(AUTOEVENTO="Manual",$M199=1),0,IF(OFFSET(CRONOPLE!$F$14,$M199,BM$13)="",10^12,OFFSET(CRONOPLE!$F$14,$M199,BM$13))))</f>
        <v>0</v>
      </c>
      <c r="BN199" s="181">
        <f ca="1">IF($D199&lt;&gt;"Serviço",0,IF(AND(AUTOEVENTO="Manual",$M199=1),0,IF(OFFSET(CRONOPLE!$F$14,$M199,BN$13)="",10^12,OFFSET(CRONOPLE!$F$14,$M199,BN$13))))</f>
        <v>0</v>
      </c>
      <c r="BO199" s="181">
        <f ca="1">IF($D199&lt;&gt;"Serviço",0,IF(AND(AUTOEVENTO="Manual",$M199=1),0,IF(OFFSET(CRONOPLE!$F$14,$M199,BO$13)="",10^12,OFFSET(CRONOPLE!$F$14,$M199,BO$13))))</f>
        <v>0</v>
      </c>
      <c r="BP199" s="181">
        <f ca="1">IF($D199&lt;&gt;"Serviço",0,IF(AND(AUTOEVENTO="Manual",$M199=1),0,IF(OFFSET(CRONOPLE!$F$14,$M199,BP$13)="",10^12,OFFSET(CRONOPLE!$F$14,$M199,BP$13))))</f>
        <v>0</v>
      </c>
      <c r="BQ199" s="181">
        <f ca="1">IF($D199&lt;&gt;"Serviço",0,IF(AND(AUTOEVENTO="Manual",$M199=1),0,IF(OFFSET(CRONOPLE!$F$14,$M199,BQ$13)="",10^12,OFFSET(CRONOPLE!$F$14,$M199,BQ$13))))</f>
        <v>0</v>
      </c>
      <c r="BR199" s="181">
        <f ca="1">IF($D199&lt;&gt;"Serviço",0,IF(AND(AUTOEVENTO="Manual",$M199=1),0,IF(OFFSET(CRONOPLE!$F$14,$M199,BR$13)="",10^12,OFFSET(CRONOPLE!$F$14,$M199,BR$13))))</f>
        <v>0</v>
      </c>
      <c r="BS199" s="181">
        <f ca="1">IF($D199&lt;&gt;"Serviço",0,IF(AND(AUTOEVENTO="Manual",$M199=1),0,IF(OFFSET(CRONOPLE!$F$14,$M199,BS$13)="",10^12,OFFSET(CRONOPLE!$F$14,$M199,BS$13))))</f>
        <v>0</v>
      </c>
      <c r="BT199" s="181">
        <f ca="1">IF($D199&lt;&gt;"Serviço",0,IF(AND(AUTOEVENTO="Manual",$M199=1),0,IF(OFFSET(CRONOPLE!$F$14,$M199,BT$13)="",10^12,OFFSET(CRONOPLE!$F$14,$M199,BT$13))))</f>
        <v>0</v>
      </c>
      <c r="BV199" s="182">
        <f ca="1">IF($D199&lt;&gt;"Serviço",0,IF(OR(AND(AUTOEVENTO="Manual",$M199=1),$M199&gt;(ROW(PLE.lastrow)-ROW(PLE.firstrow))),0,IF(OFFSET(PLE!$G$14,$M199,BV$13)="",10^12,OFFSET(PLE!$G$14,$M199,BV$13))))</f>
        <v>0</v>
      </c>
      <c r="BW199" s="182">
        <f ca="1">IF($D199&lt;&gt;"Serviço",0,IF(OR(AND(AUTOEVENTO="Manual",$M199=1),$M199&gt;(ROW(PLE.lastrow)-ROW(PLE.firstrow))),0,IF(OFFSET(PLE!$G$14,$M199,BW$13)="",10^12,OFFSET(PLE!$G$14,$M199,BW$13))))</f>
        <v>0</v>
      </c>
      <c r="BX199" s="182">
        <f ca="1">IF($D199&lt;&gt;"Serviço",0,IF(OR(AND(AUTOEVENTO="Manual",$M199=1),$M199&gt;(ROW(PLE.lastrow)-ROW(PLE.firstrow))),0,IF(OFFSET(PLE!$G$14,$M199,BX$13)="",10^12,OFFSET(PLE!$G$14,$M199,BX$13))))</f>
        <v>0</v>
      </c>
      <c r="BY199" s="182">
        <f ca="1">IF($D199&lt;&gt;"Serviço",0,IF(OR(AND(AUTOEVENTO="Manual",$M199=1),$M199&gt;(ROW(PLE.lastrow)-ROW(PLE.firstrow))),0,IF(OFFSET(PLE!$G$14,$M199,BY$13)="",10^12,OFFSET(PLE!$G$14,$M199,BY$13))))</f>
        <v>0</v>
      </c>
      <c r="BZ199" s="182">
        <f ca="1">IF($D199&lt;&gt;"Serviço",0,IF(OR(AND(AUTOEVENTO="Manual",$M199=1),$M199&gt;(ROW(PLE.lastrow)-ROW(PLE.firstrow))),0,IF(OFFSET(PLE!$G$14,$M199,BZ$13)="",10^12,OFFSET(PLE!$G$14,$M199,BZ$13))))</f>
        <v>0</v>
      </c>
      <c r="CA199" s="182">
        <f ca="1">IF($D199&lt;&gt;"Serviço",0,IF(OR(AND(AUTOEVENTO="Manual",$M199=1),$M199&gt;(ROW(PLE.lastrow)-ROW(PLE.firstrow))),0,IF(OFFSET(PLE!$G$14,$M199,CA$13)="",10^12,OFFSET(PLE!$G$14,$M199,CA$13))))</f>
        <v>0</v>
      </c>
      <c r="CB199" s="182">
        <f ca="1">IF($D199&lt;&gt;"Serviço",0,IF(OR(AND(AUTOEVENTO="Manual",$M199=1),$M199&gt;(ROW(PLE.lastrow)-ROW(PLE.firstrow))),0,IF(OFFSET(PLE!$G$14,$M199,CB$13)="",10^12,OFFSET(PLE!$G$14,$M199,CB$13))))</f>
        <v>0</v>
      </c>
      <c r="CC199" s="182">
        <f ca="1">IF($D199&lt;&gt;"Serviço",0,IF(OR(AND(AUTOEVENTO="Manual",$M199=1),$M199&gt;(ROW(PLE.lastrow)-ROW(PLE.firstrow))),0,IF(OFFSET(PLE!$G$14,$M199,CC$13)="",10^12,OFFSET(PLE!$G$14,$M199,CC$13))))</f>
        <v>0</v>
      </c>
      <c r="CD199" s="182">
        <f ca="1">IF($D199&lt;&gt;"Serviço",0,IF(OR(AND(AUTOEVENTO="Manual",$M199=1),$M199&gt;(ROW(PLE.lastrow)-ROW(PLE.firstrow))),0,IF(OFFSET(PLE!$G$14,$M199,CD$13)="",10^12,OFFSET(PLE!$G$14,$M199,CD$13))))</f>
        <v>0</v>
      </c>
      <c r="CE199" s="182">
        <f ca="1">IF($D199&lt;&gt;"Serviço",0,IF(OR(AND(AUTOEVENTO="Manual",$M199=1),$M199&gt;(ROW(PLE.lastrow)-ROW(PLE.firstrow))),0,IF(OFFSET(PLE!$G$14,$M199,CE$13)="",10^12,OFFSET(PLE!$G$14,$M199,CE$13))))</f>
        <v>0</v>
      </c>
      <c r="CF199" s="182">
        <f ca="1">IF($D199&lt;&gt;"Serviço",0,IF(OR(AND(AUTOEVENTO="Manual",$M199=1),$M199&gt;(ROW(PLE.lastrow)-ROW(PLE.firstrow))),0,IF(OFFSET(PLE!$G$14,$M199,CF$13)="",10^12,OFFSET(PLE!$G$14,$M199,CF$13))))</f>
        <v>0</v>
      </c>
      <c r="CG199" s="182">
        <f ca="1">IF($D199&lt;&gt;"Serviço",0,IF(OR(AND(AUTOEVENTO="Manual",$M199=1),$M199&gt;(ROW(PLE.lastrow)-ROW(PLE.firstrow))),0,IF(OFFSET(PLE!$G$14,$M199,CG$13)="",10^12,OFFSET(PLE!$G$14,$M199,CG$13))))</f>
        <v>0</v>
      </c>
      <c r="CH199" s="182">
        <f ca="1">IF($D199&lt;&gt;"Serviço",0,IF(OR(AND(AUTOEVENTO="Manual",$M199=1),$M199&gt;(ROW(PLE.lastrow)-ROW(PLE.firstrow))),0,IF(OFFSET(PLE!$G$14,$M199,CH$13)="",10^12,OFFSET(PLE!$G$14,$M199,CH$13))))</f>
        <v>0</v>
      </c>
      <c r="CI199" s="182">
        <f ca="1">IF($D199&lt;&gt;"Serviço",0,IF(OR(AND(AUTOEVENTO="Manual",$M199=1),$M199&gt;(ROW(PLE.lastrow)-ROW(PLE.firstrow))),0,IF(OFFSET(PLE!$G$14,$M199,CI$13)="",10^12,OFFSET(PLE!$G$14,$M199,CI$13))))</f>
        <v>0</v>
      </c>
      <c r="CJ199" s="182">
        <f ca="1">IF($D199&lt;&gt;"Serviço",0,IF(OR(AND(AUTOEVENTO="Manual",$M199=1),$M199&gt;(ROW(PLE.lastrow)-ROW(PLE.firstrow))),0,IF(OFFSET(PLE!$G$14,$M199,CJ$13)="",10^12,OFFSET(PLE!$G$14,$M199,CJ$13))))</f>
        <v>0</v>
      </c>
      <c r="CK199" s="182">
        <f ca="1">IF($D199&lt;&gt;"Serviço",0,IF(OR(AND(AUTOEVENTO="Manual",$M199=1),$M199&gt;(ROW(PLE.lastrow)-ROW(PLE.firstrow))),0,IF(OFFSET(PLE!$G$14,$M199,CK$13)="",10^12,OFFSET(PLE!$G$14,$M199,CK$13))))</f>
        <v>0</v>
      </c>
      <c r="CL199" s="182">
        <f ca="1">IF($D199&lt;&gt;"Serviço",0,IF(OR(AND(AUTOEVENTO="Manual",$M199=1),$M199&gt;(ROW(PLE.lastrow)-ROW(PLE.firstrow))),0,IF(OFFSET(PLE!$G$14,$M199,CL$13)="",10^12,OFFSET(PLE!$G$14,$M199,CL$13))))</f>
        <v>0</v>
      </c>
      <c r="CM199" s="182">
        <f ca="1">IF($D199&lt;&gt;"Serviço",0,IF(OR(AND(AUTOEVENTO="Manual",$M199=1),$M199&gt;(ROW(PLE.lastrow)-ROW(PLE.firstrow))),0,IF(OFFSET(PLE!$G$14,$M199,CM$13)="",10^12,OFFSET(PLE!$G$14,$M199,CM$13))))</f>
        <v>0</v>
      </c>
    </row>
    <row r="200" spans="1:91" ht="25.5" x14ac:dyDescent="0.2">
      <c r="A200" s="7" t="str">
        <f t="shared" ca="1" si="12"/>
        <v>184</v>
      </c>
      <c r="B200" s="7" t="str">
        <f ca="1">OFFSET(ORÇAMENTO!C$15,ROW(B200)-ROW(B$15),0)</f>
        <v>S</v>
      </c>
      <c r="C200" s="7" t="str">
        <f ca="1">OFFSET(ORÇAMENTO!L$15,ROW(C200)-ROW(C$15),0)</f>
        <v/>
      </c>
      <c r="D200" s="118" t="str">
        <f ca="1">OFFSET(ORÇAMENTO!N$15,ROW(D200)-ROW(D$15),0)</f>
        <v>Serviço</v>
      </c>
      <c r="E200" s="119" t="str">
        <f ca="1">OFFSET(ORÇAMENTO!O$15,ROW(E200)-ROW(E$15),0)</f>
        <v>-</v>
      </c>
      <c r="F200" s="172" t="str">
        <f ca="1">OFFSET(ORÇAMENTO!R$15,ROW(F200)-ROW(F$15),0)</f>
        <v>(abra o arquivo 'Referência 06-2024.xlsm)</v>
      </c>
      <c r="G200" s="173" t="str">
        <f ca="1">IF($D200&lt;&gt;"Serviço","",OFFSET(ORÇAMENTO!S$15,ROW(G200)-ROW(G$15),0))</f>
        <v>-</v>
      </c>
      <c r="H200" s="124">
        <f ca="1">IF($D200&lt;&gt;"Serviço",0,IF(ACOMPANHAMENTO="BM",ROUND(OFFSET(ORÇAMENTO!AJ$15,ROW(H200)-ROW(H$15),0),15-13*ORÇAMENTO!$AF$7),SUMPRODUCT(($Q$12:$AI$12&lt;&gt;"")*ROUND($Q200:$AI200,15-13*ORÇAMENTO!$AF$7))))</f>
        <v>1394.71</v>
      </c>
      <c r="I200" s="561" t="s">
        <v>1107</v>
      </c>
      <c r="K200" s="174"/>
      <c r="L200" s="175" t="s">
        <v>255</v>
      </c>
      <c r="M200" s="176">
        <f ca="1">IF($D200&lt;&gt;"Serviço","",IF(AUTOEVENTO="manual",$A200,IF(ISERROR(MATCH($A200,$A$15:OFFSET($A200,-1,0),0)),MAX($M$15:OFFSET(M200,-1,0))+1,INDEX($M$15:OFFSET(M200,-1,0),MATCH($A200,$A$15:OFFSET($A200,-1,0),0)))))</f>
        <v>28</v>
      </c>
      <c r="N200" s="177" t="str">
        <f ca="1">IF($D200&lt;&gt;"Serviço","",IF(AUTOEVENTO="Manual",IF($A200=0,"&lt;-- defina o número do agrupador",OFFSET(EVENTOS!$D$14,$A200,0)),OFFSET($F$15,$A200,0)))</f>
        <v>SISTEMAS DE PISOS - PAVIMENTAÇÃO INTERNA</v>
      </c>
      <c r="O200" s="178"/>
      <c r="Q200" s="178">
        <v>1394.71</v>
      </c>
      <c r="R200" s="179"/>
      <c r="S200" s="179"/>
      <c r="T200" s="179"/>
      <c r="U200" s="179"/>
      <c r="V200" s="179"/>
      <c r="W200" s="179"/>
      <c r="X200" s="179"/>
      <c r="Y200" s="179"/>
      <c r="Z200" s="180"/>
      <c r="AA200" s="179"/>
      <c r="AB200" s="179"/>
      <c r="AC200" s="179"/>
      <c r="AD200" s="179"/>
      <c r="AE200" s="179"/>
      <c r="AF200" s="179"/>
      <c r="AG200" s="179"/>
      <c r="AH200" s="180"/>
      <c r="AJ200" s="544">
        <f ca="1">IF(AND($D200="Serviço",AJ$12&lt;&gt;0,$H200&gt;0,OR(AUTOEVENTO&lt;&gt;"manual",$M200&lt;&gt;1)),
IF(Import.TipoArredondamento&lt;&gt;"TransfereGOV",
ROUND(OFFSET($P200,0,AJ$13),15-13*ORÇAMENTO!$AF$7)/$H200*OFFSET(ORÇAMENTO!$X$15,ROW(AJ200)-ROW(AJ$15),0),
ROUND(ROUND(OFFSET($P200,0,AJ$13),15-13*ORÇAMENTO!$AF$7)*OFFSET(ORÇAMENTO!$W$15,ROW(AJ200)-ROW(AJ$15),0),15-13*ORÇAMENTO!$AF$11)),0)</f>
        <v>0</v>
      </c>
      <c r="AK200" s="545">
        <f ca="1">IF(AND($D200="Serviço",AK$12&lt;&gt;0,$H200&gt;0,OR(AUTOEVENTO&lt;&gt;"manual",$M200&lt;&gt;1)),
IF(Import.TipoArredondamento&lt;&gt;"TransfereGOV",
ROUND(OFFSET($P200,0,AK$13),15-13*ORÇAMENTO!$AF$7)/$H200*OFFSET(ORÇAMENTO!$X$15,ROW(AK200)-ROW(AK$15),0),
ROUND(ROUND(OFFSET($P200,0,AK$13),15-13*ORÇAMENTO!$AF$7)*OFFSET(ORÇAMENTO!$W$15,ROW(AK200)-ROW(AK$15),0),15-13*ORÇAMENTO!$AF$11)),0)</f>
        <v>0</v>
      </c>
      <c r="AL200" s="545">
        <f ca="1">IF(AND($D200="Serviço",AL$12&lt;&gt;0,$H200&gt;0,OR(AUTOEVENTO&lt;&gt;"manual",$M200&lt;&gt;1)),
IF(Import.TipoArredondamento&lt;&gt;"TransfereGOV",
ROUND(OFFSET($P200,0,AL$13),15-13*ORÇAMENTO!$AF$7)/$H200*OFFSET(ORÇAMENTO!$X$15,ROW(AL200)-ROW(AL$15),0),
ROUND(ROUND(OFFSET($P200,0,AL$13),15-13*ORÇAMENTO!$AF$7)*OFFSET(ORÇAMENTO!$W$15,ROW(AL200)-ROW(AL$15),0),15-13*ORÇAMENTO!$AF$11)),0)</f>
        <v>0</v>
      </c>
      <c r="AM200" s="545">
        <f ca="1">IF(AND($D200="Serviço",AM$12&lt;&gt;0,$H200&gt;0,OR(AUTOEVENTO&lt;&gt;"manual",$M200&lt;&gt;1)),
IF(Import.TipoArredondamento&lt;&gt;"TransfereGOV",
ROUND(OFFSET($P200,0,AM$13),15-13*ORÇAMENTO!$AF$7)/$H200*OFFSET(ORÇAMENTO!$X$15,ROW(AM200)-ROW(AM$15),0),
ROUND(ROUND(OFFSET($P200,0,AM$13),15-13*ORÇAMENTO!$AF$7)*OFFSET(ORÇAMENTO!$W$15,ROW(AM200)-ROW(AM$15),0),15-13*ORÇAMENTO!$AF$11)),0)</f>
        <v>0</v>
      </c>
      <c r="AN200" s="545">
        <f ca="1">IF(AND($D200="Serviço",AN$12&lt;&gt;0,$H200&gt;0,OR(AUTOEVENTO&lt;&gt;"manual",$M200&lt;&gt;1)),
IF(Import.TipoArredondamento&lt;&gt;"TransfereGOV",
ROUND(OFFSET($P200,0,AN$13),15-13*ORÇAMENTO!$AF$7)/$H200*OFFSET(ORÇAMENTO!$X$15,ROW(AN200)-ROW(AN$15),0),
ROUND(ROUND(OFFSET($P200,0,AN$13),15-13*ORÇAMENTO!$AF$7)*OFFSET(ORÇAMENTO!$W$15,ROW(AN200)-ROW(AN$15),0),15-13*ORÇAMENTO!$AF$11)),0)</f>
        <v>0</v>
      </c>
      <c r="AO200" s="545">
        <f ca="1">IF(AND($D200="Serviço",AO$12&lt;&gt;0,$H200&gt;0,OR(AUTOEVENTO&lt;&gt;"manual",$M200&lt;&gt;1)),
IF(Import.TipoArredondamento&lt;&gt;"TransfereGOV",
ROUND(OFFSET($P200,0,AO$13),15-13*ORÇAMENTO!$AF$7)/$H200*OFFSET(ORÇAMENTO!$X$15,ROW(AO200)-ROW(AO$15),0),
ROUND(ROUND(OFFSET($P200,0,AO$13),15-13*ORÇAMENTO!$AF$7)*OFFSET(ORÇAMENTO!$W$15,ROW(AO200)-ROW(AO$15),0),15-13*ORÇAMENTO!$AF$11)),0)</f>
        <v>0</v>
      </c>
      <c r="AP200" s="545">
        <f ca="1">IF(AND($D200="Serviço",AP$12&lt;&gt;0,$H200&gt;0,OR(AUTOEVENTO&lt;&gt;"manual",$M200&lt;&gt;1)),
IF(Import.TipoArredondamento&lt;&gt;"TransfereGOV",
ROUND(OFFSET($P200,0,AP$13),15-13*ORÇAMENTO!$AF$7)/$H200*OFFSET(ORÇAMENTO!$X$15,ROW(AP200)-ROW(AP$15),0),
ROUND(ROUND(OFFSET($P200,0,AP$13),15-13*ORÇAMENTO!$AF$7)*OFFSET(ORÇAMENTO!$W$15,ROW(AP200)-ROW(AP$15),0),15-13*ORÇAMENTO!$AF$11)),0)</f>
        <v>0</v>
      </c>
      <c r="AQ200" s="545">
        <f ca="1">IF(AND($D200="Serviço",AQ$12&lt;&gt;0,$H200&gt;0,OR(AUTOEVENTO&lt;&gt;"manual",$M200&lt;&gt;1)),
IF(Import.TipoArredondamento&lt;&gt;"TransfereGOV",
ROUND(OFFSET($P200,0,AQ$13),15-13*ORÇAMENTO!$AF$7)/$H200*OFFSET(ORÇAMENTO!$X$15,ROW(AQ200)-ROW(AQ$15),0),
ROUND(ROUND(OFFSET($P200,0,AQ$13),15-13*ORÇAMENTO!$AF$7)*OFFSET(ORÇAMENTO!$W$15,ROW(AQ200)-ROW(AQ$15),0),15-13*ORÇAMENTO!$AF$11)),0)</f>
        <v>0</v>
      </c>
      <c r="AR200" s="545">
        <f ca="1">IF(AND($D200="Serviço",AR$12&lt;&gt;0,$H200&gt;0,OR(AUTOEVENTO&lt;&gt;"manual",$M200&lt;&gt;1)),
IF(Import.TipoArredondamento&lt;&gt;"TransfereGOV",
ROUND(OFFSET($P200,0,AR$13),15-13*ORÇAMENTO!$AF$7)/$H200*OFFSET(ORÇAMENTO!$X$15,ROW(AR200)-ROW(AR$15),0),
ROUND(ROUND(OFFSET($P200,0,AR$13),15-13*ORÇAMENTO!$AF$7)*OFFSET(ORÇAMENTO!$W$15,ROW(AR200)-ROW(AR$15),0),15-13*ORÇAMENTO!$AF$11)),0)</f>
        <v>0</v>
      </c>
      <c r="AS200" s="546">
        <f ca="1">IF(AND($D200="Serviço",AS$12&lt;&gt;0,$H200&gt;0,OR(AUTOEVENTO&lt;&gt;"manual",$M200&lt;&gt;1)),
IF(Import.TipoArredondamento&lt;&gt;"TransfereGOV",
ROUND(OFFSET($P200,0,AS$13),15-13*ORÇAMENTO!$AF$7)/$H200*OFFSET(ORÇAMENTO!$X$15,ROW(AS200)-ROW(AS$15),0),
ROUND(ROUND(OFFSET($P200,0,AS$13),15-13*ORÇAMENTO!$AF$7)*OFFSET(ORÇAMENTO!$W$15,ROW(AS200)-ROW(AS$15),0),15-13*ORÇAMENTO!$AF$11)),0)</f>
        <v>0</v>
      </c>
      <c r="AT200" s="545">
        <f ca="1">IF(AND($D200="Serviço",AT$12&lt;&gt;0,$H200&gt;0,OR(AUTOEVENTO&lt;&gt;"manual",$M200&lt;&gt;1)),
IF(Import.TipoArredondamento&lt;&gt;"TransfereGOV",
ROUND(OFFSET($P200,0,AT$13),15-13*ORÇAMENTO!$AF$7)/$H200*OFFSET(ORÇAMENTO!$X$15,ROW(AT200)-ROW(AT$15),0),
ROUND(ROUND(OFFSET($P200,0,AT$13),15-13*ORÇAMENTO!$AF$7)*OFFSET(ORÇAMENTO!$W$15,ROW(AT200)-ROW(AT$15),0),15-13*ORÇAMENTO!$AF$11)),0)</f>
        <v>0</v>
      </c>
      <c r="AU200" s="545">
        <f ca="1">IF(AND($D200="Serviço",AU$12&lt;&gt;0,$H200&gt;0,OR(AUTOEVENTO&lt;&gt;"manual",$M200&lt;&gt;1)),
IF(Import.TipoArredondamento&lt;&gt;"TransfereGOV",
ROUND(OFFSET($P200,0,AU$13),15-13*ORÇAMENTO!$AF$7)/$H200*OFFSET(ORÇAMENTO!$X$15,ROW(AU200)-ROW(AU$15),0),
ROUND(ROUND(OFFSET($P200,0,AU$13),15-13*ORÇAMENTO!$AF$7)*OFFSET(ORÇAMENTO!$W$15,ROW(AU200)-ROW(AU$15),0),15-13*ORÇAMENTO!$AF$11)),0)</f>
        <v>0</v>
      </c>
      <c r="AV200" s="545">
        <f ca="1">IF(AND($D200="Serviço",AV$12&lt;&gt;0,$H200&gt;0,OR(AUTOEVENTO&lt;&gt;"manual",$M200&lt;&gt;1)),
IF(Import.TipoArredondamento&lt;&gt;"TransfereGOV",
ROUND(OFFSET($P200,0,AV$13),15-13*ORÇAMENTO!$AF$7)/$H200*OFFSET(ORÇAMENTO!$X$15,ROW(AV200)-ROW(AV$15),0),
ROUND(ROUND(OFFSET($P200,0,AV$13),15-13*ORÇAMENTO!$AF$7)*OFFSET(ORÇAMENTO!$W$15,ROW(AV200)-ROW(AV$15),0),15-13*ORÇAMENTO!$AF$11)),0)</f>
        <v>0</v>
      </c>
      <c r="AW200" s="545">
        <f ca="1">IF(AND($D200="Serviço",AW$12&lt;&gt;0,$H200&gt;0,OR(AUTOEVENTO&lt;&gt;"manual",$M200&lt;&gt;1)),
IF(Import.TipoArredondamento&lt;&gt;"TransfereGOV",
ROUND(OFFSET($P200,0,AW$13),15-13*ORÇAMENTO!$AF$7)/$H200*OFFSET(ORÇAMENTO!$X$15,ROW(AW200)-ROW(AW$15),0),
ROUND(ROUND(OFFSET($P200,0,AW$13),15-13*ORÇAMENTO!$AF$7)*OFFSET(ORÇAMENTO!$W$15,ROW(AW200)-ROW(AW$15),0),15-13*ORÇAMENTO!$AF$11)),0)</f>
        <v>0</v>
      </c>
      <c r="AX200" s="545">
        <f ca="1">IF(AND($D200="Serviço",AX$12&lt;&gt;0,$H200&gt;0,OR(AUTOEVENTO&lt;&gt;"manual",$M200&lt;&gt;1)),
IF(Import.TipoArredondamento&lt;&gt;"TransfereGOV",
ROUND(OFFSET($P200,0,AX$13),15-13*ORÇAMENTO!$AF$7)/$H200*OFFSET(ORÇAMENTO!$X$15,ROW(AX200)-ROW(AX$15),0),
ROUND(ROUND(OFFSET($P200,0,AX$13),15-13*ORÇAMENTO!$AF$7)*OFFSET(ORÇAMENTO!$W$15,ROW(AX200)-ROW(AX$15),0),15-13*ORÇAMENTO!$AF$11)),0)</f>
        <v>0</v>
      </c>
      <c r="AY200" s="545">
        <f ca="1">IF(AND($D200="Serviço",AY$12&lt;&gt;0,$H200&gt;0,OR(AUTOEVENTO&lt;&gt;"manual",$M200&lt;&gt;1)),
IF(Import.TipoArredondamento&lt;&gt;"TransfereGOV",
ROUND(OFFSET($P200,0,AY$13),15-13*ORÇAMENTO!$AF$7)/$H200*OFFSET(ORÇAMENTO!$X$15,ROW(AY200)-ROW(AY$15),0),
ROUND(ROUND(OFFSET($P200,0,AY$13),15-13*ORÇAMENTO!$AF$7)*OFFSET(ORÇAMENTO!$W$15,ROW(AY200)-ROW(AY$15),0),15-13*ORÇAMENTO!$AF$11)),0)</f>
        <v>0</v>
      </c>
      <c r="AZ200" s="545">
        <f ca="1">IF(AND($D200="Serviço",AZ$12&lt;&gt;0,$H200&gt;0,OR(AUTOEVENTO&lt;&gt;"manual",$M200&lt;&gt;1)),
IF(Import.TipoArredondamento&lt;&gt;"TransfereGOV",
ROUND(OFFSET($P200,0,AZ$13),15-13*ORÇAMENTO!$AF$7)/$H200*OFFSET(ORÇAMENTO!$X$15,ROW(AZ200)-ROW(AZ$15),0),
ROUND(ROUND(OFFSET($P200,0,AZ$13),15-13*ORÇAMENTO!$AF$7)*OFFSET(ORÇAMENTO!$W$15,ROW(AZ200)-ROW(AZ$15),0),15-13*ORÇAMENTO!$AF$11)),0)</f>
        <v>0</v>
      </c>
      <c r="BA200" s="546">
        <f ca="1">IF(AND($D200="Serviço",BA$12&lt;&gt;0,$H200&gt;0,OR(AUTOEVENTO&lt;&gt;"manual",$M200&lt;&gt;1)),
IF(Import.TipoArredondamento&lt;&gt;"TransfereGOV",
ROUND(OFFSET($P200,0,BA$13),15-13*ORÇAMENTO!$AF$7)/$H200*OFFSET(ORÇAMENTO!$X$15,ROW(BA200)-ROW(BA$15),0),
ROUND(ROUND(OFFSET($P200,0,BA$13),15-13*ORÇAMENTO!$AF$7)*OFFSET(ORÇAMENTO!$W$15,ROW(BA200)-ROW(BA$15),0),15-13*ORÇAMENTO!$AF$11)),0)</f>
        <v>0</v>
      </c>
      <c r="BC200" s="181">
        <f ca="1">IF($D200&lt;&gt;"Serviço",0,IF(AND(AUTOEVENTO="Manual",$M200=1),0,IF(OFFSET(CRONOPLE!$F$14,$M200,BC$13)="",10^12,OFFSET(CRONOPLE!$F$14,$M200,BC$13))))</f>
        <v>8</v>
      </c>
      <c r="BD200" s="181">
        <f ca="1">IF($D200&lt;&gt;"Serviço",0,IF(AND(AUTOEVENTO="Manual",$M200=1),0,IF(OFFSET(CRONOPLE!$F$14,$M200,BD$13)="",10^12,OFFSET(CRONOPLE!$F$14,$M200,BD$13))))</f>
        <v>1000000000000</v>
      </c>
      <c r="BE200" s="181">
        <f ca="1">IF($D200&lt;&gt;"Serviço",0,IF(AND(AUTOEVENTO="Manual",$M200=1),0,IF(OFFSET(CRONOPLE!$F$14,$M200,BE$13)="",10^12,OFFSET(CRONOPLE!$F$14,$M200,BE$13))))</f>
        <v>1000000000000</v>
      </c>
      <c r="BF200" s="181">
        <f ca="1">IF($D200&lt;&gt;"Serviço",0,IF(AND(AUTOEVENTO="Manual",$M200=1),0,IF(OFFSET(CRONOPLE!$F$14,$M200,BF$13)="",10^12,OFFSET(CRONOPLE!$F$14,$M200,BF$13))))</f>
        <v>1000000000000</v>
      </c>
      <c r="BG200" s="181">
        <f ca="1">IF($D200&lt;&gt;"Serviço",0,IF(AND(AUTOEVENTO="Manual",$M200=1),0,IF(OFFSET(CRONOPLE!$F$14,$M200,BG$13)="",10^12,OFFSET(CRONOPLE!$F$14,$M200,BG$13))))</f>
        <v>1000000000000</v>
      </c>
      <c r="BH200" s="181">
        <f ca="1">IF($D200&lt;&gt;"Serviço",0,IF(AND(AUTOEVENTO="Manual",$M200=1),0,IF(OFFSET(CRONOPLE!$F$14,$M200,BH$13)="",10^12,OFFSET(CRONOPLE!$F$14,$M200,BH$13))))</f>
        <v>1000000000000</v>
      </c>
      <c r="BI200" s="181">
        <f ca="1">IF($D200&lt;&gt;"Serviço",0,IF(AND(AUTOEVENTO="Manual",$M200=1),0,IF(OFFSET(CRONOPLE!$F$14,$M200,BI$13)="",10^12,OFFSET(CRONOPLE!$F$14,$M200,BI$13))))</f>
        <v>1000000000000</v>
      </c>
      <c r="BJ200" s="181">
        <f ca="1">IF($D200&lt;&gt;"Serviço",0,IF(AND(AUTOEVENTO="Manual",$M200=1),0,IF(OFFSET(CRONOPLE!$F$14,$M200,BJ$13)="",10^12,OFFSET(CRONOPLE!$F$14,$M200,BJ$13))))</f>
        <v>1000000000000</v>
      </c>
      <c r="BK200" s="181">
        <f ca="1">IF($D200&lt;&gt;"Serviço",0,IF(AND(AUTOEVENTO="Manual",$M200=1),0,IF(OFFSET(CRONOPLE!$F$14,$M200,BK$13)="",10^12,OFFSET(CRONOPLE!$F$14,$M200,BK$13))))</f>
        <v>1000000000000</v>
      </c>
      <c r="BL200" s="181">
        <f ca="1">IF($D200&lt;&gt;"Serviço",0,IF(AND(AUTOEVENTO="Manual",$M200=1),0,IF(OFFSET(CRONOPLE!$F$14,$M200,BL$13)="",10^12,OFFSET(CRONOPLE!$F$14,$M200,BL$13))))</f>
        <v>1000000000000</v>
      </c>
      <c r="BM200" s="181">
        <f ca="1">IF($D200&lt;&gt;"Serviço",0,IF(AND(AUTOEVENTO="Manual",$M200=1),0,IF(OFFSET(CRONOPLE!$F$14,$M200,BM$13)="",10^12,OFFSET(CRONOPLE!$F$14,$M200,BM$13))))</f>
        <v>1000000000000</v>
      </c>
      <c r="BN200" s="181">
        <f ca="1">IF($D200&lt;&gt;"Serviço",0,IF(AND(AUTOEVENTO="Manual",$M200=1),0,IF(OFFSET(CRONOPLE!$F$14,$M200,BN$13)="",10^12,OFFSET(CRONOPLE!$F$14,$M200,BN$13))))</f>
        <v>1000000000000</v>
      </c>
      <c r="BO200" s="181">
        <f ca="1">IF($D200&lt;&gt;"Serviço",0,IF(AND(AUTOEVENTO="Manual",$M200=1),0,IF(OFFSET(CRONOPLE!$F$14,$M200,BO$13)="",10^12,OFFSET(CRONOPLE!$F$14,$M200,BO$13))))</f>
        <v>1000000000000</v>
      </c>
      <c r="BP200" s="181">
        <f ca="1">IF($D200&lt;&gt;"Serviço",0,IF(AND(AUTOEVENTO="Manual",$M200=1),0,IF(OFFSET(CRONOPLE!$F$14,$M200,BP$13)="",10^12,OFFSET(CRONOPLE!$F$14,$M200,BP$13))))</f>
        <v>1000000000000</v>
      </c>
      <c r="BQ200" s="181">
        <f ca="1">IF($D200&lt;&gt;"Serviço",0,IF(AND(AUTOEVENTO="Manual",$M200=1),0,IF(OFFSET(CRONOPLE!$F$14,$M200,BQ$13)="",10^12,OFFSET(CRONOPLE!$F$14,$M200,BQ$13))))</f>
        <v>1000000000000</v>
      </c>
      <c r="BR200" s="181">
        <f ca="1">IF($D200&lt;&gt;"Serviço",0,IF(AND(AUTOEVENTO="Manual",$M200=1),0,IF(OFFSET(CRONOPLE!$F$14,$M200,BR$13)="",10^12,OFFSET(CRONOPLE!$F$14,$M200,BR$13))))</f>
        <v>1000000000000</v>
      </c>
      <c r="BS200" s="181">
        <f ca="1">IF($D200&lt;&gt;"Serviço",0,IF(AND(AUTOEVENTO="Manual",$M200=1),0,IF(OFFSET(CRONOPLE!$F$14,$M200,BS$13)="",10^12,OFFSET(CRONOPLE!$F$14,$M200,BS$13))))</f>
        <v>1000000000000</v>
      </c>
      <c r="BT200" s="181">
        <f ca="1">IF($D200&lt;&gt;"Serviço",0,IF(AND(AUTOEVENTO="Manual",$M200=1),0,IF(OFFSET(CRONOPLE!$F$14,$M200,BT$13)="",10^12,OFFSET(CRONOPLE!$F$14,$M200,BT$13))))</f>
        <v>1000000000000</v>
      </c>
      <c r="BV200" s="182">
        <f ca="1">IF($D200&lt;&gt;"Serviço",0,IF(OR(AND(AUTOEVENTO="Manual",$M200=1),$M200&gt;(ROW(PLE.lastrow)-ROW(PLE.firstrow))),0,IF(OFFSET(PLE!$G$14,$M200,BV$13)="",10^12,OFFSET(PLE!$G$14,$M200,BV$13))))</f>
        <v>1000000000000</v>
      </c>
      <c r="BW200" s="182">
        <f ca="1">IF($D200&lt;&gt;"Serviço",0,IF(OR(AND(AUTOEVENTO="Manual",$M200=1),$M200&gt;(ROW(PLE.lastrow)-ROW(PLE.firstrow))),0,IF(OFFSET(PLE!$G$14,$M200,BW$13)="",10^12,OFFSET(PLE!$G$14,$M200,BW$13))))</f>
        <v>1000000000000</v>
      </c>
      <c r="BX200" s="182">
        <f ca="1">IF($D200&lt;&gt;"Serviço",0,IF(OR(AND(AUTOEVENTO="Manual",$M200=1),$M200&gt;(ROW(PLE.lastrow)-ROW(PLE.firstrow))),0,IF(OFFSET(PLE!$G$14,$M200,BX$13)="",10^12,OFFSET(PLE!$G$14,$M200,BX$13))))</f>
        <v>1000000000000</v>
      </c>
      <c r="BY200" s="182">
        <f ca="1">IF($D200&lt;&gt;"Serviço",0,IF(OR(AND(AUTOEVENTO="Manual",$M200=1),$M200&gt;(ROW(PLE.lastrow)-ROW(PLE.firstrow))),0,IF(OFFSET(PLE!$G$14,$M200,BY$13)="",10^12,OFFSET(PLE!$G$14,$M200,BY$13))))</f>
        <v>1000000000000</v>
      </c>
      <c r="BZ200" s="182">
        <f ca="1">IF($D200&lt;&gt;"Serviço",0,IF(OR(AND(AUTOEVENTO="Manual",$M200=1),$M200&gt;(ROW(PLE.lastrow)-ROW(PLE.firstrow))),0,IF(OFFSET(PLE!$G$14,$M200,BZ$13)="",10^12,OFFSET(PLE!$G$14,$M200,BZ$13))))</f>
        <v>1000000000000</v>
      </c>
      <c r="CA200" s="182">
        <f ca="1">IF($D200&lt;&gt;"Serviço",0,IF(OR(AND(AUTOEVENTO="Manual",$M200=1),$M200&gt;(ROW(PLE.lastrow)-ROW(PLE.firstrow))),0,IF(OFFSET(PLE!$G$14,$M200,CA$13)="",10^12,OFFSET(PLE!$G$14,$M200,CA$13))))</f>
        <v>1000000000000</v>
      </c>
      <c r="CB200" s="182">
        <f ca="1">IF($D200&lt;&gt;"Serviço",0,IF(OR(AND(AUTOEVENTO="Manual",$M200=1),$M200&gt;(ROW(PLE.lastrow)-ROW(PLE.firstrow))),0,IF(OFFSET(PLE!$G$14,$M200,CB$13)="",10^12,OFFSET(PLE!$G$14,$M200,CB$13))))</f>
        <v>1000000000000</v>
      </c>
      <c r="CC200" s="182">
        <f ca="1">IF($D200&lt;&gt;"Serviço",0,IF(OR(AND(AUTOEVENTO="Manual",$M200=1),$M200&gt;(ROW(PLE.lastrow)-ROW(PLE.firstrow))),0,IF(OFFSET(PLE!$G$14,$M200,CC$13)="",10^12,OFFSET(PLE!$G$14,$M200,CC$13))))</f>
        <v>1000000000000</v>
      </c>
      <c r="CD200" s="182">
        <f ca="1">IF($D200&lt;&gt;"Serviço",0,IF(OR(AND(AUTOEVENTO="Manual",$M200=1),$M200&gt;(ROW(PLE.lastrow)-ROW(PLE.firstrow))),0,IF(OFFSET(PLE!$G$14,$M200,CD$13)="",10^12,OFFSET(PLE!$G$14,$M200,CD$13))))</f>
        <v>1000000000000</v>
      </c>
      <c r="CE200" s="182">
        <f ca="1">IF($D200&lt;&gt;"Serviço",0,IF(OR(AND(AUTOEVENTO="Manual",$M200=1),$M200&gt;(ROW(PLE.lastrow)-ROW(PLE.firstrow))),0,IF(OFFSET(PLE!$G$14,$M200,CE$13)="",10^12,OFFSET(PLE!$G$14,$M200,CE$13))))</f>
        <v>1000000000000</v>
      </c>
      <c r="CF200" s="182">
        <f ca="1">IF($D200&lt;&gt;"Serviço",0,IF(OR(AND(AUTOEVENTO="Manual",$M200=1),$M200&gt;(ROW(PLE.lastrow)-ROW(PLE.firstrow))),0,IF(OFFSET(PLE!$G$14,$M200,CF$13)="",10^12,OFFSET(PLE!$G$14,$M200,CF$13))))</f>
        <v>1000000000000</v>
      </c>
      <c r="CG200" s="182">
        <f ca="1">IF($D200&lt;&gt;"Serviço",0,IF(OR(AND(AUTOEVENTO="Manual",$M200=1),$M200&gt;(ROW(PLE.lastrow)-ROW(PLE.firstrow))),0,IF(OFFSET(PLE!$G$14,$M200,CG$13)="",10^12,OFFSET(PLE!$G$14,$M200,CG$13))))</f>
        <v>1000000000000</v>
      </c>
      <c r="CH200" s="182">
        <f ca="1">IF($D200&lt;&gt;"Serviço",0,IF(OR(AND(AUTOEVENTO="Manual",$M200=1),$M200&gt;(ROW(PLE.lastrow)-ROW(PLE.firstrow))),0,IF(OFFSET(PLE!$G$14,$M200,CH$13)="",10^12,OFFSET(PLE!$G$14,$M200,CH$13))))</f>
        <v>1000000000000</v>
      </c>
      <c r="CI200" s="182">
        <f ca="1">IF($D200&lt;&gt;"Serviço",0,IF(OR(AND(AUTOEVENTO="Manual",$M200=1),$M200&gt;(ROW(PLE.lastrow)-ROW(PLE.firstrow))),0,IF(OFFSET(PLE!$G$14,$M200,CI$13)="",10^12,OFFSET(PLE!$G$14,$M200,CI$13))))</f>
        <v>1000000000000</v>
      </c>
      <c r="CJ200" s="182">
        <f ca="1">IF($D200&lt;&gt;"Serviço",0,IF(OR(AND(AUTOEVENTO="Manual",$M200=1),$M200&gt;(ROW(PLE.lastrow)-ROW(PLE.firstrow))),0,IF(OFFSET(PLE!$G$14,$M200,CJ$13)="",10^12,OFFSET(PLE!$G$14,$M200,CJ$13))))</f>
        <v>1000000000000</v>
      </c>
      <c r="CK200" s="182">
        <f ca="1">IF($D200&lt;&gt;"Serviço",0,IF(OR(AND(AUTOEVENTO="Manual",$M200=1),$M200&gt;(ROW(PLE.lastrow)-ROW(PLE.firstrow))),0,IF(OFFSET(PLE!$G$14,$M200,CK$13)="",10^12,OFFSET(PLE!$G$14,$M200,CK$13))))</f>
        <v>1000000000000</v>
      </c>
      <c r="CL200" s="182">
        <f ca="1">IF($D200&lt;&gt;"Serviço",0,IF(OR(AND(AUTOEVENTO="Manual",$M200=1),$M200&gt;(ROW(PLE.lastrow)-ROW(PLE.firstrow))),0,IF(OFFSET(PLE!$G$14,$M200,CL$13)="",10^12,OFFSET(PLE!$G$14,$M200,CL$13))))</f>
        <v>1000000000000</v>
      </c>
      <c r="CM200" s="182">
        <f ca="1">IF($D200&lt;&gt;"Serviço",0,IF(OR(AND(AUTOEVENTO="Manual",$M200=1),$M200&gt;(ROW(PLE.lastrow)-ROW(PLE.firstrow))),0,IF(OFFSET(PLE!$G$14,$M200,CM$13)="",10^12,OFFSET(PLE!$G$14,$M200,CM$13))))</f>
        <v>1000000000000</v>
      </c>
    </row>
    <row r="201" spans="1:91" ht="63.75" x14ac:dyDescent="0.2">
      <c r="A201" s="7" t="str">
        <f t="shared" ca="1" si="12"/>
        <v>184</v>
      </c>
      <c r="B201" s="7" t="str">
        <f ca="1">OFFSET(ORÇAMENTO!C$15,ROW(B201)-ROW(B$15),0)</f>
        <v>S</v>
      </c>
      <c r="C201" s="7" t="str">
        <f ca="1">OFFSET(ORÇAMENTO!L$15,ROW(C201)-ROW(C$15),0)</f>
        <v/>
      </c>
      <c r="D201" s="118" t="str">
        <f ca="1">OFFSET(ORÇAMENTO!N$15,ROW(D201)-ROW(D$15),0)</f>
        <v>Serviço</v>
      </c>
      <c r="E201" s="119" t="str">
        <f ca="1">OFFSET(ORÇAMENTO!O$15,ROW(E201)-ROW(E$15),0)</f>
        <v>-</v>
      </c>
      <c r="F201" s="172" t="str">
        <f ca="1">OFFSET(ORÇAMENTO!R$15,ROW(F201)-ROW(F$15),0)</f>
        <v>(abra o arquivo 'Referência 06-2024.xlsm)</v>
      </c>
      <c r="G201" s="173" t="str">
        <f ca="1">IF($D201&lt;&gt;"Serviço","",OFFSET(ORÇAMENTO!S$15,ROW(G201)-ROW(G$15),0))</f>
        <v>-</v>
      </c>
      <c r="H201" s="124">
        <f ca="1">IF($D201&lt;&gt;"Serviço",0,IF(ACOMPANHAMENTO="BM",ROUND(OFFSET(ORÇAMENTO!AJ$15,ROW(H201)-ROW(H$15),0),15-13*ORÇAMENTO!$AF$7),SUMPRODUCT(($Q$12:$AI$12&lt;&gt;"")*ROUND($Q201:$AI201,15-13*ORÇAMENTO!$AF$7))))</f>
        <v>412.53</v>
      </c>
      <c r="I201" s="561" t="s">
        <v>1107</v>
      </c>
      <c r="K201" s="174"/>
      <c r="L201" s="175" t="s">
        <v>255</v>
      </c>
      <c r="M201" s="176">
        <f ca="1">IF($D201&lt;&gt;"Serviço","",IF(AUTOEVENTO="manual",$A201,IF(ISERROR(MATCH($A201,$A$15:OFFSET($A201,-1,0),0)),MAX($M$15:OFFSET(M201,-1,0))+1,INDEX($M$15:OFFSET(M201,-1,0),MATCH($A201,$A$15:OFFSET($A201,-1,0),0)))))</f>
        <v>28</v>
      </c>
      <c r="N201" s="177" t="str">
        <f ca="1">IF($D201&lt;&gt;"Serviço","",IF(AUTOEVENTO="Manual",IF($A201=0,"&lt;-- defina o número do agrupador",OFFSET(EVENTOS!$D$14,$A201,0)),OFFSET($F$15,$A201,0)))</f>
        <v>SISTEMAS DE PISOS - PAVIMENTAÇÃO INTERNA</v>
      </c>
      <c r="O201" s="178"/>
      <c r="Q201" s="178">
        <v>412.53</v>
      </c>
      <c r="R201" s="179"/>
      <c r="S201" s="179"/>
      <c r="T201" s="179"/>
      <c r="U201" s="179"/>
      <c r="V201" s="179"/>
      <c r="W201" s="179"/>
      <c r="X201" s="179"/>
      <c r="Y201" s="179"/>
      <c r="Z201" s="180"/>
      <c r="AA201" s="179"/>
      <c r="AB201" s="179"/>
      <c r="AC201" s="179"/>
      <c r="AD201" s="179"/>
      <c r="AE201" s="179"/>
      <c r="AF201" s="179"/>
      <c r="AG201" s="179"/>
      <c r="AH201" s="180"/>
      <c r="AJ201" s="544">
        <f ca="1">IF(AND($D201="Serviço",AJ$12&lt;&gt;0,$H201&gt;0,OR(AUTOEVENTO&lt;&gt;"manual",$M201&lt;&gt;1)),
IF(Import.TipoArredondamento&lt;&gt;"TransfereGOV",
ROUND(OFFSET($P201,0,AJ$13),15-13*ORÇAMENTO!$AF$7)/$H201*OFFSET(ORÇAMENTO!$X$15,ROW(AJ201)-ROW(AJ$15),0),
ROUND(ROUND(OFFSET($P201,0,AJ$13),15-13*ORÇAMENTO!$AF$7)*OFFSET(ORÇAMENTO!$W$15,ROW(AJ201)-ROW(AJ$15),0),15-13*ORÇAMENTO!$AF$11)),0)</f>
        <v>0</v>
      </c>
      <c r="AK201" s="545">
        <f ca="1">IF(AND($D201="Serviço",AK$12&lt;&gt;0,$H201&gt;0,OR(AUTOEVENTO&lt;&gt;"manual",$M201&lt;&gt;1)),
IF(Import.TipoArredondamento&lt;&gt;"TransfereGOV",
ROUND(OFFSET($P201,0,AK$13),15-13*ORÇAMENTO!$AF$7)/$H201*OFFSET(ORÇAMENTO!$X$15,ROW(AK201)-ROW(AK$15),0),
ROUND(ROUND(OFFSET($P201,0,AK$13),15-13*ORÇAMENTO!$AF$7)*OFFSET(ORÇAMENTO!$W$15,ROW(AK201)-ROW(AK$15),0),15-13*ORÇAMENTO!$AF$11)),0)</f>
        <v>0</v>
      </c>
      <c r="AL201" s="545">
        <f ca="1">IF(AND($D201="Serviço",AL$12&lt;&gt;0,$H201&gt;0,OR(AUTOEVENTO&lt;&gt;"manual",$M201&lt;&gt;1)),
IF(Import.TipoArredondamento&lt;&gt;"TransfereGOV",
ROUND(OFFSET($P201,0,AL$13),15-13*ORÇAMENTO!$AF$7)/$H201*OFFSET(ORÇAMENTO!$X$15,ROW(AL201)-ROW(AL$15),0),
ROUND(ROUND(OFFSET($P201,0,AL$13),15-13*ORÇAMENTO!$AF$7)*OFFSET(ORÇAMENTO!$W$15,ROW(AL201)-ROW(AL$15),0),15-13*ORÇAMENTO!$AF$11)),0)</f>
        <v>0</v>
      </c>
      <c r="AM201" s="545">
        <f ca="1">IF(AND($D201="Serviço",AM$12&lt;&gt;0,$H201&gt;0,OR(AUTOEVENTO&lt;&gt;"manual",$M201&lt;&gt;1)),
IF(Import.TipoArredondamento&lt;&gt;"TransfereGOV",
ROUND(OFFSET($P201,0,AM$13),15-13*ORÇAMENTO!$AF$7)/$H201*OFFSET(ORÇAMENTO!$X$15,ROW(AM201)-ROW(AM$15),0),
ROUND(ROUND(OFFSET($P201,0,AM$13),15-13*ORÇAMENTO!$AF$7)*OFFSET(ORÇAMENTO!$W$15,ROW(AM201)-ROW(AM$15),0),15-13*ORÇAMENTO!$AF$11)),0)</f>
        <v>0</v>
      </c>
      <c r="AN201" s="545">
        <f ca="1">IF(AND($D201="Serviço",AN$12&lt;&gt;0,$H201&gt;0,OR(AUTOEVENTO&lt;&gt;"manual",$M201&lt;&gt;1)),
IF(Import.TipoArredondamento&lt;&gt;"TransfereGOV",
ROUND(OFFSET($P201,0,AN$13),15-13*ORÇAMENTO!$AF$7)/$H201*OFFSET(ORÇAMENTO!$X$15,ROW(AN201)-ROW(AN$15),0),
ROUND(ROUND(OFFSET($P201,0,AN$13),15-13*ORÇAMENTO!$AF$7)*OFFSET(ORÇAMENTO!$W$15,ROW(AN201)-ROW(AN$15),0),15-13*ORÇAMENTO!$AF$11)),0)</f>
        <v>0</v>
      </c>
      <c r="AO201" s="545">
        <f ca="1">IF(AND($D201="Serviço",AO$12&lt;&gt;0,$H201&gt;0,OR(AUTOEVENTO&lt;&gt;"manual",$M201&lt;&gt;1)),
IF(Import.TipoArredondamento&lt;&gt;"TransfereGOV",
ROUND(OFFSET($P201,0,AO$13),15-13*ORÇAMENTO!$AF$7)/$H201*OFFSET(ORÇAMENTO!$X$15,ROW(AO201)-ROW(AO$15),0),
ROUND(ROUND(OFFSET($P201,0,AO$13),15-13*ORÇAMENTO!$AF$7)*OFFSET(ORÇAMENTO!$W$15,ROW(AO201)-ROW(AO$15),0),15-13*ORÇAMENTO!$AF$11)),0)</f>
        <v>0</v>
      </c>
      <c r="AP201" s="545">
        <f ca="1">IF(AND($D201="Serviço",AP$12&lt;&gt;0,$H201&gt;0,OR(AUTOEVENTO&lt;&gt;"manual",$M201&lt;&gt;1)),
IF(Import.TipoArredondamento&lt;&gt;"TransfereGOV",
ROUND(OFFSET($P201,0,AP$13),15-13*ORÇAMENTO!$AF$7)/$H201*OFFSET(ORÇAMENTO!$X$15,ROW(AP201)-ROW(AP$15),0),
ROUND(ROUND(OFFSET($P201,0,AP$13),15-13*ORÇAMENTO!$AF$7)*OFFSET(ORÇAMENTO!$W$15,ROW(AP201)-ROW(AP$15),0),15-13*ORÇAMENTO!$AF$11)),0)</f>
        <v>0</v>
      </c>
      <c r="AQ201" s="545">
        <f ca="1">IF(AND($D201="Serviço",AQ$12&lt;&gt;0,$H201&gt;0,OR(AUTOEVENTO&lt;&gt;"manual",$M201&lt;&gt;1)),
IF(Import.TipoArredondamento&lt;&gt;"TransfereGOV",
ROUND(OFFSET($P201,0,AQ$13),15-13*ORÇAMENTO!$AF$7)/$H201*OFFSET(ORÇAMENTO!$X$15,ROW(AQ201)-ROW(AQ$15),0),
ROUND(ROUND(OFFSET($P201,0,AQ$13),15-13*ORÇAMENTO!$AF$7)*OFFSET(ORÇAMENTO!$W$15,ROW(AQ201)-ROW(AQ$15),0),15-13*ORÇAMENTO!$AF$11)),0)</f>
        <v>0</v>
      </c>
      <c r="AR201" s="545">
        <f ca="1">IF(AND($D201="Serviço",AR$12&lt;&gt;0,$H201&gt;0,OR(AUTOEVENTO&lt;&gt;"manual",$M201&lt;&gt;1)),
IF(Import.TipoArredondamento&lt;&gt;"TransfereGOV",
ROUND(OFFSET($P201,0,AR$13),15-13*ORÇAMENTO!$AF$7)/$H201*OFFSET(ORÇAMENTO!$X$15,ROW(AR201)-ROW(AR$15),0),
ROUND(ROUND(OFFSET($P201,0,AR$13),15-13*ORÇAMENTO!$AF$7)*OFFSET(ORÇAMENTO!$W$15,ROW(AR201)-ROW(AR$15),0),15-13*ORÇAMENTO!$AF$11)),0)</f>
        <v>0</v>
      </c>
      <c r="AS201" s="546">
        <f ca="1">IF(AND($D201="Serviço",AS$12&lt;&gt;0,$H201&gt;0,OR(AUTOEVENTO&lt;&gt;"manual",$M201&lt;&gt;1)),
IF(Import.TipoArredondamento&lt;&gt;"TransfereGOV",
ROUND(OFFSET($P201,0,AS$13),15-13*ORÇAMENTO!$AF$7)/$H201*OFFSET(ORÇAMENTO!$X$15,ROW(AS201)-ROW(AS$15),0),
ROUND(ROUND(OFFSET($P201,0,AS$13),15-13*ORÇAMENTO!$AF$7)*OFFSET(ORÇAMENTO!$W$15,ROW(AS201)-ROW(AS$15),0),15-13*ORÇAMENTO!$AF$11)),0)</f>
        <v>0</v>
      </c>
      <c r="AT201" s="545">
        <f ca="1">IF(AND($D201="Serviço",AT$12&lt;&gt;0,$H201&gt;0,OR(AUTOEVENTO&lt;&gt;"manual",$M201&lt;&gt;1)),
IF(Import.TipoArredondamento&lt;&gt;"TransfereGOV",
ROUND(OFFSET($P201,0,AT$13),15-13*ORÇAMENTO!$AF$7)/$H201*OFFSET(ORÇAMENTO!$X$15,ROW(AT201)-ROW(AT$15),0),
ROUND(ROUND(OFFSET($P201,0,AT$13),15-13*ORÇAMENTO!$AF$7)*OFFSET(ORÇAMENTO!$W$15,ROW(AT201)-ROW(AT$15),0),15-13*ORÇAMENTO!$AF$11)),0)</f>
        <v>0</v>
      </c>
      <c r="AU201" s="545">
        <f ca="1">IF(AND($D201="Serviço",AU$12&lt;&gt;0,$H201&gt;0,OR(AUTOEVENTO&lt;&gt;"manual",$M201&lt;&gt;1)),
IF(Import.TipoArredondamento&lt;&gt;"TransfereGOV",
ROUND(OFFSET($P201,0,AU$13),15-13*ORÇAMENTO!$AF$7)/$H201*OFFSET(ORÇAMENTO!$X$15,ROW(AU201)-ROW(AU$15),0),
ROUND(ROUND(OFFSET($P201,0,AU$13),15-13*ORÇAMENTO!$AF$7)*OFFSET(ORÇAMENTO!$W$15,ROW(AU201)-ROW(AU$15),0),15-13*ORÇAMENTO!$AF$11)),0)</f>
        <v>0</v>
      </c>
      <c r="AV201" s="545">
        <f ca="1">IF(AND($D201="Serviço",AV$12&lt;&gt;0,$H201&gt;0,OR(AUTOEVENTO&lt;&gt;"manual",$M201&lt;&gt;1)),
IF(Import.TipoArredondamento&lt;&gt;"TransfereGOV",
ROUND(OFFSET($P201,0,AV$13),15-13*ORÇAMENTO!$AF$7)/$H201*OFFSET(ORÇAMENTO!$X$15,ROW(AV201)-ROW(AV$15),0),
ROUND(ROUND(OFFSET($P201,0,AV$13),15-13*ORÇAMENTO!$AF$7)*OFFSET(ORÇAMENTO!$W$15,ROW(AV201)-ROW(AV$15),0),15-13*ORÇAMENTO!$AF$11)),0)</f>
        <v>0</v>
      </c>
      <c r="AW201" s="545">
        <f ca="1">IF(AND($D201="Serviço",AW$12&lt;&gt;0,$H201&gt;0,OR(AUTOEVENTO&lt;&gt;"manual",$M201&lt;&gt;1)),
IF(Import.TipoArredondamento&lt;&gt;"TransfereGOV",
ROUND(OFFSET($P201,0,AW$13),15-13*ORÇAMENTO!$AF$7)/$H201*OFFSET(ORÇAMENTO!$X$15,ROW(AW201)-ROW(AW$15),0),
ROUND(ROUND(OFFSET($P201,0,AW$13),15-13*ORÇAMENTO!$AF$7)*OFFSET(ORÇAMENTO!$W$15,ROW(AW201)-ROW(AW$15),0),15-13*ORÇAMENTO!$AF$11)),0)</f>
        <v>0</v>
      </c>
      <c r="AX201" s="545">
        <f ca="1">IF(AND($D201="Serviço",AX$12&lt;&gt;0,$H201&gt;0,OR(AUTOEVENTO&lt;&gt;"manual",$M201&lt;&gt;1)),
IF(Import.TipoArredondamento&lt;&gt;"TransfereGOV",
ROUND(OFFSET($P201,0,AX$13),15-13*ORÇAMENTO!$AF$7)/$H201*OFFSET(ORÇAMENTO!$X$15,ROW(AX201)-ROW(AX$15),0),
ROUND(ROUND(OFFSET($P201,0,AX$13),15-13*ORÇAMENTO!$AF$7)*OFFSET(ORÇAMENTO!$W$15,ROW(AX201)-ROW(AX$15),0),15-13*ORÇAMENTO!$AF$11)),0)</f>
        <v>0</v>
      </c>
      <c r="AY201" s="545">
        <f ca="1">IF(AND($D201="Serviço",AY$12&lt;&gt;0,$H201&gt;0,OR(AUTOEVENTO&lt;&gt;"manual",$M201&lt;&gt;1)),
IF(Import.TipoArredondamento&lt;&gt;"TransfereGOV",
ROUND(OFFSET($P201,0,AY$13),15-13*ORÇAMENTO!$AF$7)/$H201*OFFSET(ORÇAMENTO!$X$15,ROW(AY201)-ROW(AY$15),0),
ROUND(ROUND(OFFSET($P201,0,AY$13),15-13*ORÇAMENTO!$AF$7)*OFFSET(ORÇAMENTO!$W$15,ROW(AY201)-ROW(AY$15),0),15-13*ORÇAMENTO!$AF$11)),0)</f>
        <v>0</v>
      </c>
      <c r="AZ201" s="545">
        <f ca="1">IF(AND($D201="Serviço",AZ$12&lt;&gt;0,$H201&gt;0,OR(AUTOEVENTO&lt;&gt;"manual",$M201&lt;&gt;1)),
IF(Import.TipoArredondamento&lt;&gt;"TransfereGOV",
ROUND(OFFSET($P201,0,AZ$13),15-13*ORÇAMENTO!$AF$7)/$H201*OFFSET(ORÇAMENTO!$X$15,ROW(AZ201)-ROW(AZ$15),0),
ROUND(ROUND(OFFSET($P201,0,AZ$13),15-13*ORÇAMENTO!$AF$7)*OFFSET(ORÇAMENTO!$W$15,ROW(AZ201)-ROW(AZ$15),0),15-13*ORÇAMENTO!$AF$11)),0)</f>
        <v>0</v>
      </c>
      <c r="BA201" s="546">
        <f ca="1">IF(AND($D201="Serviço",BA$12&lt;&gt;0,$H201&gt;0,OR(AUTOEVENTO&lt;&gt;"manual",$M201&lt;&gt;1)),
IF(Import.TipoArredondamento&lt;&gt;"TransfereGOV",
ROUND(OFFSET($P201,0,BA$13),15-13*ORÇAMENTO!$AF$7)/$H201*OFFSET(ORÇAMENTO!$X$15,ROW(BA201)-ROW(BA$15),0),
ROUND(ROUND(OFFSET($P201,0,BA$13),15-13*ORÇAMENTO!$AF$7)*OFFSET(ORÇAMENTO!$W$15,ROW(BA201)-ROW(BA$15),0),15-13*ORÇAMENTO!$AF$11)),0)</f>
        <v>0</v>
      </c>
      <c r="BC201" s="181">
        <f ca="1">IF($D201&lt;&gt;"Serviço",0,IF(AND(AUTOEVENTO="Manual",$M201=1),0,IF(OFFSET(CRONOPLE!$F$14,$M201,BC$13)="",10^12,OFFSET(CRONOPLE!$F$14,$M201,BC$13))))</f>
        <v>8</v>
      </c>
      <c r="BD201" s="181">
        <f ca="1">IF($D201&lt;&gt;"Serviço",0,IF(AND(AUTOEVENTO="Manual",$M201=1),0,IF(OFFSET(CRONOPLE!$F$14,$M201,BD$13)="",10^12,OFFSET(CRONOPLE!$F$14,$M201,BD$13))))</f>
        <v>1000000000000</v>
      </c>
      <c r="BE201" s="181">
        <f ca="1">IF($D201&lt;&gt;"Serviço",0,IF(AND(AUTOEVENTO="Manual",$M201=1),0,IF(OFFSET(CRONOPLE!$F$14,$M201,BE$13)="",10^12,OFFSET(CRONOPLE!$F$14,$M201,BE$13))))</f>
        <v>1000000000000</v>
      </c>
      <c r="BF201" s="181">
        <f ca="1">IF($D201&lt;&gt;"Serviço",0,IF(AND(AUTOEVENTO="Manual",$M201=1),0,IF(OFFSET(CRONOPLE!$F$14,$M201,BF$13)="",10^12,OFFSET(CRONOPLE!$F$14,$M201,BF$13))))</f>
        <v>1000000000000</v>
      </c>
      <c r="BG201" s="181">
        <f ca="1">IF($D201&lt;&gt;"Serviço",0,IF(AND(AUTOEVENTO="Manual",$M201=1),0,IF(OFFSET(CRONOPLE!$F$14,$M201,BG$13)="",10^12,OFFSET(CRONOPLE!$F$14,$M201,BG$13))))</f>
        <v>1000000000000</v>
      </c>
      <c r="BH201" s="181">
        <f ca="1">IF($D201&lt;&gt;"Serviço",0,IF(AND(AUTOEVENTO="Manual",$M201=1),0,IF(OFFSET(CRONOPLE!$F$14,$M201,BH$13)="",10^12,OFFSET(CRONOPLE!$F$14,$M201,BH$13))))</f>
        <v>1000000000000</v>
      </c>
      <c r="BI201" s="181">
        <f ca="1">IF($D201&lt;&gt;"Serviço",0,IF(AND(AUTOEVENTO="Manual",$M201=1),0,IF(OFFSET(CRONOPLE!$F$14,$M201,BI$13)="",10^12,OFFSET(CRONOPLE!$F$14,$M201,BI$13))))</f>
        <v>1000000000000</v>
      </c>
      <c r="BJ201" s="181">
        <f ca="1">IF($D201&lt;&gt;"Serviço",0,IF(AND(AUTOEVENTO="Manual",$M201=1),0,IF(OFFSET(CRONOPLE!$F$14,$M201,BJ$13)="",10^12,OFFSET(CRONOPLE!$F$14,$M201,BJ$13))))</f>
        <v>1000000000000</v>
      </c>
      <c r="BK201" s="181">
        <f ca="1">IF($D201&lt;&gt;"Serviço",0,IF(AND(AUTOEVENTO="Manual",$M201=1),0,IF(OFFSET(CRONOPLE!$F$14,$M201,BK$13)="",10^12,OFFSET(CRONOPLE!$F$14,$M201,BK$13))))</f>
        <v>1000000000000</v>
      </c>
      <c r="BL201" s="181">
        <f ca="1">IF($D201&lt;&gt;"Serviço",0,IF(AND(AUTOEVENTO="Manual",$M201=1),0,IF(OFFSET(CRONOPLE!$F$14,$M201,BL$13)="",10^12,OFFSET(CRONOPLE!$F$14,$M201,BL$13))))</f>
        <v>1000000000000</v>
      </c>
      <c r="BM201" s="181">
        <f ca="1">IF($D201&lt;&gt;"Serviço",0,IF(AND(AUTOEVENTO="Manual",$M201=1),0,IF(OFFSET(CRONOPLE!$F$14,$M201,BM$13)="",10^12,OFFSET(CRONOPLE!$F$14,$M201,BM$13))))</f>
        <v>1000000000000</v>
      </c>
      <c r="BN201" s="181">
        <f ca="1">IF($D201&lt;&gt;"Serviço",0,IF(AND(AUTOEVENTO="Manual",$M201=1),0,IF(OFFSET(CRONOPLE!$F$14,$M201,BN$13)="",10^12,OFFSET(CRONOPLE!$F$14,$M201,BN$13))))</f>
        <v>1000000000000</v>
      </c>
      <c r="BO201" s="181">
        <f ca="1">IF($D201&lt;&gt;"Serviço",0,IF(AND(AUTOEVENTO="Manual",$M201=1),0,IF(OFFSET(CRONOPLE!$F$14,$M201,BO$13)="",10^12,OFFSET(CRONOPLE!$F$14,$M201,BO$13))))</f>
        <v>1000000000000</v>
      </c>
      <c r="BP201" s="181">
        <f ca="1">IF($D201&lt;&gt;"Serviço",0,IF(AND(AUTOEVENTO="Manual",$M201=1),0,IF(OFFSET(CRONOPLE!$F$14,$M201,BP$13)="",10^12,OFFSET(CRONOPLE!$F$14,$M201,BP$13))))</f>
        <v>1000000000000</v>
      </c>
      <c r="BQ201" s="181">
        <f ca="1">IF($D201&lt;&gt;"Serviço",0,IF(AND(AUTOEVENTO="Manual",$M201=1),0,IF(OFFSET(CRONOPLE!$F$14,$M201,BQ$13)="",10^12,OFFSET(CRONOPLE!$F$14,$M201,BQ$13))))</f>
        <v>1000000000000</v>
      </c>
      <c r="BR201" s="181">
        <f ca="1">IF($D201&lt;&gt;"Serviço",0,IF(AND(AUTOEVENTO="Manual",$M201=1),0,IF(OFFSET(CRONOPLE!$F$14,$M201,BR$13)="",10^12,OFFSET(CRONOPLE!$F$14,$M201,BR$13))))</f>
        <v>1000000000000</v>
      </c>
      <c r="BS201" s="181">
        <f ca="1">IF($D201&lt;&gt;"Serviço",0,IF(AND(AUTOEVENTO="Manual",$M201=1),0,IF(OFFSET(CRONOPLE!$F$14,$M201,BS$13)="",10^12,OFFSET(CRONOPLE!$F$14,$M201,BS$13))))</f>
        <v>1000000000000</v>
      </c>
      <c r="BT201" s="181">
        <f ca="1">IF($D201&lt;&gt;"Serviço",0,IF(AND(AUTOEVENTO="Manual",$M201=1),0,IF(OFFSET(CRONOPLE!$F$14,$M201,BT$13)="",10^12,OFFSET(CRONOPLE!$F$14,$M201,BT$13))))</f>
        <v>1000000000000</v>
      </c>
      <c r="BV201" s="182">
        <f ca="1">IF($D201&lt;&gt;"Serviço",0,IF(OR(AND(AUTOEVENTO="Manual",$M201=1),$M201&gt;(ROW(PLE.lastrow)-ROW(PLE.firstrow))),0,IF(OFFSET(PLE!$G$14,$M201,BV$13)="",10^12,OFFSET(PLE!$G$14,$M201,BV$13))))</f>
        <v>1000000000000</v>
      </c>
      <c r="BW201" s="182">
        <f ca="1">IF($D201&lt;&gt;"Serviço",0,IF(OR(AND(AUTOEVENTO="Manual",$M201=1),$M201&gt;(ROW(PLE.lastrow)-ROW(PLE.firstrow))),0,IF(OFFSET(PLE!$G$14,$M201,BW$13)="",10^12,OFFSET(PLE!$G$14,$M201,BW$13))))</f>
        <v>1000000000000</v>
      </c>
      <c r="BX201" s="182">
        <f ca="1">IF($D201&lt;&gt;"Serviço",0,IF(OR(AND(AUTOEVENTO="Manual",$M201=1),$M201&gt;(ROW(PLE.lastrow)-ROW(PLE.firstrow))),0,IF(OFFSET(PLE!$G$14,$M201,BX$13)="",10^12,OFFSET(PLE!$G$14,$M201,BX$13))))</f>
        <v>1000000000000</v>
      </c>
      <c r="BY201" s="182">
        <f ca="1">IF($D201&lt;&gt;"Serviço",0,IF(OR(AND(AUTOEVENTO="Manual",$M201=1),$M201&gt;(ROW(PLE.lastrow)-ROW(PLE.firstrow))),0,IF(OFFSET(PLE!$G$14,$M201,BY$13)="",10^12,OFFSET(PLE!$G$14,$M201,BY$13))))</f>
        <v>1000000000000</v>
      </c>
      <c r="BZ201" s="182">
        <f ca="1">IF($D201&lt;&gt;"Serviço",0,IF(OR(AND(AUTOEVENTO="Manual",$M201=1),$M201&gt;(ROW(PLE.lastrow)-ROW(PLE.firstrow))),0,IF(OFFSET(PLE!$G$14,$M201,BZ$13)="",10^12,OFFSET(PLE!$G$14,$M201,BZ$13))))</f>
        <v>1000000000000</v>
      </c>
      <c r="CA201" s="182">
        <f ca="1">IF($D201&lt;&gt;"Serviço",0,IF(OR(AND(AUTOEVENTO="Manual",$M201=1),$M201&gt;(ROW(PLE.lastrow)-ROW(PLE.firstrow))),0,IF(OFFSET(PLE!$G$14,$M201,CA$13)="",10^12,OFFSET(PLE!$G$14,$M201,CA$13))))</f>
        <v>1000000000000</v>
      </c>
      <c r="CB201" s="182">
        <f ca="1">IF($D201&lt;&gt;"Serviço",0,IF(OR(AND(AUTOEVENTO="Manual",$M201=1),$M201&gt;(ROW(PLE.lastrow)-ROW(PLE.firstrow))),0,IF(OFFSET(PLE!$G$14,$M201,CB$13)="",10^12,OFFSET(PLE!$G$14,$M201,CB$13))))</f>
        <v>1000000000000</v>
      </c>
      <c r="CC201" s="182">
        <f ca="1">IF($D201&lt;&gt;"Serviço",0,IF(OR(AND(AUTOEVENTO="Manual",$M201=1),$M201&gt;(ROW(PLE.lastrow)-ROW(PLE.firstrow))),0,IF(OFFSET(PLE!$G$14,$M201,CC$13)="",10^12,OFFSET(PLE!$G$14,$M201,CC$13))))</f>
        <v>1000000000000</v>
      </c>
      <c r="CD201" s="182">
        <f ca="1">IF($D201&lt;&gt;"Serviço",0,IF(OR(AND(AUTOEVENTO="Manual",$M201=1),$M201&gt;(ROW(PLE.lastrow)-ROW(PLE.firstrow))),0,IF(OFFSET(PLE!$G$14,$M201,CD$13)="",10^12,OFFSET(PLE!$G$14,$M201,CD$13))))</f>
        <v>1000000000000</v>
      </c>
      <c r="CE201" s="182">
        <f ca="1">IF($D201&lt;&gt;"Serviço",0,IF(OR(AND(AUTOEVENTO="Manual",$M201=1),$M201&gt;(ROW(PLE.lastrow)-ROW(PLE.firstrow))),0,IF(OFFSET(PLE!$G$14,$M201,CE$13)="",10^12,OFFSET(PLE!$G$14,$M201,CE$13))))</f>
        <v>1000000000000</v>
      </c>
      <c r="CF201" s="182">
        <f ca="1">IF($D201&lt;&gt;"Serviço",0,IF(OR(AND(AUTOEVENTO="Manual",$M201=1),$M201&gt;(ROW(PLE.lastrow)-ROW(PLE.firstrow))),0,IF(OFFSET(PLE!$G$14,$M201,CF$13)="",10^12,OFFSET(PLE!$G$14,$M201,CF$13))))</f>
        <v>1000000000000</v>
      </c>
      <c r="CG201" s="182">
        <f ca="1">IF($D201&lt;&gt;"Serviço",0,IF(OR(AND(AUTOEVENTO="Manual",$M201=1),$M201&gt;(ROW(PLE.lastrow)-ROW(PLE.firstrow))),0,IF(OFFSET(PLE!$G$14,$M201,CG$13)="",10^12,OFFSET(PLE!$G$14,$M201,CG$13))))</f>
        <v>1000000000000</v>
      </c>
      <c r="CH201" s="182">
        <f ca="1">IF($D201&lt;&gt;"Serviço",0,IF(OR(AND(AUTOEVENTO="Manual",$M201=1),$M201&gt;(ROW(PLE.lastrow)-ROW(PLE.firstrow))),0,IF(OFFSET(PLE!$G$14,$M201,CH$13)="",10^12,OFFSET(PLE!$G$14,$M201,CH$13))))</f>
        <v>1000000000000</v>
      </c>
      <c r="CI201" s="182">
        <f ca="1">IF($D201&lt;&gt;"Serviço",0,IF(OR(AND(AUTOEVENTO="Manual",$M201=1),$M201&gt;(ROW(PLE.lastrow)-ROW(PLE.firstrow))),0,IF(OFFSET(PLE!$G$14,$M201,CI$13)="",10^12,OFFSET(PLE!$G$14,$M201,CI$13))))</f>
        <v>1000000000000</v>
      </c>
      <c r="CJ201" s="182">
        <f ca="1">IF($D201&lt;&gt;"Serviço",0,IF(OR(AND(AUTOEVENTO="Manual",$M201=1),$M201&gt;(ROW(PLE.lastrow)-ROW(PLE.firstrow))),0,IF(OFFSET(PLE!$G$14,$M201,CJ$13)="",10^12,OFFSET(PLE!$G$14,$M201,CJ$13))))</f>
        <v>1000000000000</v>
      </c>
      <c r="CK201" s="182">
        <f ca="1">IF($D201&lt;&gt;"Serviço",0,IF(OR(AND(AUTOEVENTO="Manual",$M201=1),$M201&gt;(ROW(PLE.lastrow)-ROW(PLE.firstrow))),0,IF(OFFSET(PLE!$G$14,$M201,CK$13)="",10^12,OFFSET(PLE!$G$14,$M201,CK$13))))</f>
        <v>1000000000000</v>
      </c>
      <c r="CL201" s="182">
        <f ca="1">IF($D201&lt;&gt;"Serviço",0,IF(OR(AND(AUTOEVENTO="Manual",$M201=1),$M201&gt;(ROW(PLE.lastrow)-ROW(PLE.firstrow))),0,IF(OFFSET(PLE!$G$14,$M201,CL$13)="",10^12,OFFSET(PLE!$G$14,$M201,CL$13))))</f>
        <v>1000000000000</v>
      </c>
      <c r="CM201" s="182">
        <f ca="1">IF($D201&lt;&gt;"Serviço",0,IF(OR(AND(AUTOEVENTO="Manual",$M201=1),$M201&gt;(ROW(PLE.lastrow)-ROW(PLE.firstrow))),0,IF(OFFSET(PLE!$G$14,$M201,CM$13)="",10^12,OFFSET(PLE!$G$14,$M201,CM$13))))</f>
        <v>1000000000000</v>
      </c>
    </row>
    <row r="202" spans="1:91" ht="38.25" x14ac:dyDescent="0.2">
      <c r="A202" s="7" t="str">
        <f t="shared" ca="1" si="12"/>
        <v>184</v>
      </c>
      <c r="B202" s="7" t="str">
        <f ca="1">OFFSET(ORÇAMENTO!C$15,ROW(B202)-ROW(B$15),0)</f>
        <v>S</v>
      </c>
      <c r="C202" s="7" t="str">
        <f ca="1">OFFSET(ORÇAMENTO!L$15,ROW(C202)-ROW(C$15),0)</f>
        <v/>
      </c>
      <c r="D202" s="118" t="str">
        <f ca="1">OFFSET(ORÇAMENTO!N$15,ROW(D202)-ROW(D$15),0)</f>
        <v>Serviço</v>
      </c>
      <c r="E202" s="119" t="str">
        <f ca="1">OFFSET(ORÇAMENTO!O$15,ROW(E202)-ROW(E$15),0)</f>
        <v>-</v>
      </c>
      <c r="F202" s="172" t="str">
        <f ca="1">OFFSET(ORÇAMENTO!R$15,ROW(F202)-ROW(F$15),0)</f>
        <v>(abra o arquivo 'Referência 06-2024.xlsm)</v>
      </c>
      <c r="G202" s="173" t="str">
        <f ca="1">IF($D202&lt;&gt;"Serviço","",OFFSET(ORÇAMENTO!S$15,ROW(G202)-ROW(G$15),0))</f>
        <v>-</v>
      </c>
      <c r="H202" s="124">
        <f ca="1">IF($D202&lt;&gt;"Serviço",0,IF(ACOMPANHAMENTO="BM",ROUND(OFFSET(ORÇAMENTO!AJ$15,ROW(H202)-ROW(H$15),0),15-13*ORÇAMENTO!$AF$7),SUMPRODUCT(($Q$12:$AI$12&lt;&gt;"")*ROUND($Q202:$AI202,15-13*ORÇAMENTO!$AF$7))))</f>
        <v>348</v>
      </c>
      <c r="I202" s="561" t="s">
        <v>1107</v>
      </c>
      <c r="K202" s="174"/>
      <c r="L202" s="175" t="s">
        <v>255</v>
      </c>
      <c r="M202" s="176">
        <f ca="1">IF($D202&lt;&gt;"Serviço","",IF(AUTOEVENTO="manual",$A202,IF(ISERROR(MATCH($A202,$A$15:OFFSET($A202,-1,0),0)),MAX($M$15:OFFSET(M202,-1,0))+1,INDEX($M$15:OFFSET(M202,-1,0),MATCH($A202,$A$15:OFFSET($A202,-1,0),0)))))</f>
        <v>28</v>
      </c>
      <c r="N202" s="177" t="str">
        <f ca="1">IF($D202&lt;&gt;"Serviço","",IF(AUTOEVENTO="Manual",IF($A202=0,"&lt;-- defina o número do agrupador",OFFSET(EVENTOS!$D$14,$A202,0)),OFFSET($F$15,$A202,0)))</f>
        <v>SISTEMAS DE PISOS - PAVIMENTAÇÃO INTERNA</v>
      </c>
      <c r="O202" s="178"/>
      <c r="Q202" s="178">
        <v>348</v>
      </c>
      <c r="R202" s="179"/>
      <c r="S202" s="179"/>
      <c r="T202" s="179"/>
      <c r="U202" s="179"/>
      <c r="V202" s="179"/>
      <c r="W202" s="179"/>
      <c r="X202" s="179"/>
      <c r="Y202" s="179"/>
      <c r="Z202" s="180"/>
      <c r="AA202" s="179"/>
      <c r="AB202" s="179"/>
      <c r="AC202" s="179"/>
      <c r="AD202" s="179"/>
      <c r="AE202" s="179"/>
      <c r="AF202" s="179"/>
      <c r="AG202" s="179"/>
      <c r="AH202" s="180"/>
      <c r="AJ202" s="544">
        <f ca="1">IF(AND($D202="Serviço",AJ$12&lt;&gt;0,$H202&gt;0,OR(AUTOEVENTO&lt;&gt;"manual",$M202&lt;&gt;1)),
IF(Import.TipoArredondamento&lt;&gt;"TransfereGOV",
ROUND(OFFSET($P202,0,AJ$13),15-13*ORÇAMENTO!$AF$7)/$H202*OFFSET(ORÇAMENTO!$X$15,ROW(AJ202)-ROW(AJ$15),0),
ROUND(ROUND(OFFSET($P202,0,AJ$13),15-13*ORÇAMENTO!$AF$7)*OFFSET(ORÇAMENTO!$W$15,ROW(AJ202)-ROW(AJ$15),0),15-13*ORÇAMENTO!$AF$11)),0)</f>
        <v>0</v>
      </c>
      <c r="AK202" s="545">
        <f ca="1">IF(AND($D202="Serviço",AK$12&lt;&gt;0,$H202&gt;0,OR(AUTOEVENTO&lt;&gt;"manual",$M202&lt;&gt;1)),
IF(Import.TipoArredondamento&lt;&gt;"TransfereGOV",
ROUND(OFFSET($P202,0,AK$13),15-13*ORÇAMENTO!$AF$7)/$H202*OFFSET(ORÇAMENTO!$X$15,ROW(AK202)-ROW(AK$15),0),
ROUND(ROUND(OFFSET($P202,0,AK$13),15-13*ORÇAMENTO!$AF$7)*OFFSET(ORÇAMENTO!$W$15,ROW(AK202)-ROW(AK$15),0),15-13*ORÇAMENTO!$AF$11)),0)</f>
        <v>0</v>
      </c>
      <c r="AL202" s="545">
        <f ca="1">IF(AND($D202="Serviço",AL$12&lt;&gt;0,$H202&gt;0,OR(AUTOEVENTO&lt;&gt;"manual",$M202&lt;&gt;1)),
IF(Import.TipoArredondamento&lt;&gt;"TransfereGOV",
ROUND(OFFSET($P202,0,AL$13),15-13*ORÇAMENTO!$AF$7)/$H202*OFFSET(ORÇAMENTO!$X$15,ROW(AL202)-ROW(AL$15),0),
ROUND(ROUND(OFFSET($P202,0,AL$13),15-13*ORÇAMENTO!$AF$7)*OFFSET(ORÇAMENTO!$W$15,ROW(AL202)-ROW(AL$15),0),15-13*ORÇAMENTO!$AF$11)),0)</f>
        <v>0</v>
      </c>
      <c r="AM202" s="545">
        <f ca="1">IF(AND($D202="Serviço",AM$12&lt;&gt;0,$H202&gt;0,OR(AUTOEVENTO&lt;&gt;"manual",$M202&lt;&gt;1)),
IF(Import.TipoArredondamento&lt;&gt;"TransfereGOV",
ROUND(OFFSET($P202,0,AM$13),15-13*ORÇAMENTO!$AF$7)/$H202*OFFSET(ORÇAMENTO!$X$15,ROW(AM202)-ROW(AM$15),0),
ROUND(ROUND(OFFSET($P202,0,AM$13),15-13*ORÇAMENTO!$AF$7)*OFFSET(ORÇAMENTO!$W$15,ROW(AM202)-ROW(AM$15),0),15-13*ORÇAMENTO!$AF$11)),0)</f>
        <v>0</v>
      </c>
      <c r="AN202" s="545">
        <f ca="1">IF(AND($D202="Serviço",AN$12&lt;&gt;0,$H202&gt;0,OR(AUTOEVENTO&lt;&gt;"manual",$M202&lt;&gt;1)),
IF(Import.TipoArredondamento&lt;&gt;"TransfereGOV",
ROUND(OFFSET($P202,0,AN$13),15-13*ORÇAMENTO!$AF$7)/$H202*OFFSET(ORÇAMENTO!$X$15,ROW(AN202)-ROW(AN$15),0),
ROUND(ROUND(OFFSET($P202,0,AN$13),15-13*ORÇAMENTO!$AF$7)*OFFSET(ORÇAMENTO!$W$15,ROW(AN202)-ROW(AN$15),0),15-13*ORÇAMENTO!$AF$11)),0)</f>
        <v>0</v>
      </c>
      <c r="AO202" s="545">
        <f ca="1">IF(AND($D202="Serviço",AO$12&lt;&gt;0,$H202&gt;0,OR(AUTOEVENTO&lt;&gt;"manual",$M202&lt;&gt;1)),
IF(Import.TipoArredondamento&lt;&gt;"TransfereGOV",
ROUND(OFFSET($P202,0,AO$13),15-13*ORÇAMENTO!$AF$7)/$H202*OFFSET(ORÇAMENTO!$X$15,ROW(AO202)-ROW(AO$15),0),
ROUND(ROUND(OFFSET($P202,0,AO$13),15-13*ORÇAMENTO!$AF$7)*OFFSET(ORÇAMENTO!$W$15,ROW(AO202)-ROW(AO$15),0),15-13*ORÇAMENTO!$AF$11)),0)</f>
        <v>0</v>
      </c>
      <c r="AP202" s="545">
        <f ca="1">IF(AND($D202="Serviço",AP$12&lt;&gt;0,$H202&gt;0,OR(AUTOEVENTO&lt;&gt;"manual",$M202&lt;&gt;1)),
IF(Import.TipoArredondamento&lt;&gt;"TransfereGOV",
ROUND(OFFSET($P202,0,AP$13),15-13*ORÇAMENTO!$AF$7)/$H202*OFFSET(ORÇAMENTO!$X$15,ROW(AP202)-ROW(AP$15),0),
ROUND(ROUND(OFFSET($P202,0,AP$13),15-13*ORÇAMENTO!$AF$7)*OFFSET(ORÇAMENTO!$W$15,ROW(AP202)-ROW(AP$15),0),15-13*ORÇAMENTO!$AF$11)),0)</f>
        <v>0</v>
      </c>
      <c r="AQ202" s="545">
        <f ca="1">IF(AND($D202="Serviço",AQ$12&lt;&gt;0,$H202&gt;0,OR(AUTOEVENTO&lt;&gt;"manual",$M202&lt;&gt;1)),
IF(Import.TipoArredondamento&lt;&gt;"TransfereGOV",
ROUND(OFFSET($P202,0,AQ$13),15-13*ORÇAMENTO!$AF$7)/$H202*OFFSET(ORÇAMENTO!$X$15,ROW(AQ202)-ROW(AQ$15),0),
ROUND(ROUND(OFFSET($P202,0,AQ$13),15-13*ORÇAMENTO!$AF$7)*OFFSET(ORÇAMENTO!$W$15,ROW(AQ202)-ROW(AQ$15),0),15-13*ORÇAMENTO!$AF$11)),0)</f>
        <v>0</v>
      </c>
      <c r="AR202" s="545">
        <f ca="1">IF(AND($D202="Serviço",AR$12&lt;&gt;0,$H202&gt;0,OR(AUTOEVENTO&lt;&gt;"manual",$M202&lt;&gt;1)),
IF(Import.TipoArredondamento&lt;&gt;"TransfereGOV",
ROUND(OFFSET($P202,0,AR$13),15-13*ORÇAMENTO!$AF$7)/$H202*OFFSET(ORÇAMENTO!$X$15,ROW(AR202)-ROW(AR$15),0),
ROUND(ROUND(OFFSET($P202,0,AR$13),15-13*ORÇAMENTO!$AF$7)*OFFSET(ORÇAMENTO!$W$15,ROW(AR202)-ROW(AR$15),0),15-13*ORÇAMENTO!$AF$11)),0)</f>
        <v>0</v>
      </c>
      <c r="AS202" s="546">
        <f ca="1">IF(AND($D202="Serviço",AS$12&lt;&gt;0,$H202&gt;0,OR(AUTOEVENTO&lt;&gt;"manual",$M202&lt;&gt;1)),
IF(Import.TipoArredondamento&lt;&gt;"TransfereGOV",
ROUND(OFFSET($P202,0,AS$13),15-13*ORÇAMENTO!$AF$7)/$H202*OFFSET(ORÇAMENTO!$X$15,ROW(AS202)-ROW(AS$15),0),
ROUND(ROUND(OFFSET($P202,0,AS$13),15-13*ORÇAMENTO!$AF$7)*OFFSET(ORÇAMENTO!$W$15,ROW(AS202)-ROW(AS$15),0),15-13*ORÇAMENTO!$AF$11)),0)</f>
        <v>0</v>
      </c>
      <c r="AT202" s="545">
        <f ca="1">IF(AND($D202="Serviço",AT$12&lt;&gt;0,$H202&gt;0,OR(AUTOEVENTO&lt;&gt;"manual",$M202&lt;&gt;1)),
IF(Import.TipoArredondamento&lt;&gt;"TransfereGOV",
ROUND(OFFSET($P202,0,AT$13),15-13*ORÇAMENTO!$AF$7)/$H202*OFFSET(ORÇAMENTO!$X$15,ROW(AT202)-ROW(AT$15),0),
ROUND(ROUND(OFFSET($P202,0,AT$13),15-13*ORÇAMENTO!$AF$7)*OFFSET(ORÇAMENTO!$W$15,ROW(AT202)-ROW(AT$15),0),15-13*ORÇAMENTO!$AF$11)),0)</f>
        <v>0</v>
      </c>
      <c r="AU202" s="545">
        <f ca="1">IF(AND($D202="Serviço",AU$12&lt;&gt;0,$H202&gt;0,OR(AUTOEVENTO&lt;&gt;"manual",$M202&lt;&gt;1)),
IF(Import.TipoArredondamento&lt;&gt;"TransfereGOV",
ROUND(OFFSET($P202,0,AU$13),15-13*ORÇAMENTO!$AF$7)/$H202*OFFSET(ORÇAMENTO!$X$15,ROW(AU202)-ROW(AU$15),0),
ROUND(ROUND(OFFSET($P202,0,AU$13),15-13*ORÇAMENTO!$AF$7)*OFFSET(ORÇAMENTO!$W$15,ROW(AU202)-ROW(AU$15),0),15-13*ORÇAMENTO!$AF$11)),0)</f>
        <v>0</v>
      </c>
      <c r="AV202" s="545">
        <f ca="1">IF(AND($D202="Serviço",AV$12&lt;&gt;0,$H202&gt;0,OR(AUTOEVENTO&lt;&gt;"manual",$M202&lt;&gt;1)),
IF(Import.TipoArredondamento&lt;&gt;"TransfereGOV",
ROUND(OFFSET($P202,0,AV$13),15-13*ORÇAMENTO!$AF$7)/$H202*OFFSET(ORÇAMENTO!$X$15,ROW(AV202)-ROW(AV$15),0),
ROUND(ROUND(OFFSET($P202,0,AV$13),15-13*ORÇAMENTO!$AF$7)*OFFSET(ORÇAMENTO!$W$15,ROW(AV202)-ROW(AV$15),0),15-13*ORÇAMENTO!$AF$11)),0)</f>
        <v>0</v>
      </c>
      <c r="AW202" s="545">
        <f ca="1">IF(AND($D202="Serviço",AW$12&lt;&gt;0,$H202&gt;0,OR(AUTOEVENTO&lt;&gt;"manual",$M202&lt;&gt;1)),
IF(Import.TipoArredondamento&lt;&gt;"TransfereGOV",
ROUND(OFFSET($P202,0,AW$13),15-13*ORÇAMENTO!$AF$7)/$H202*OFFSET(ORÇAMENTO!$X$15,ROW(AW202)-ROW(AW$15),0),
ROUND(ROUND(OFFSET($P202,0,AW$13),15-13*ORÇAMENTO!$AF$7)*OFFSET(ORÇAMENTO!$W$15,ROW(AW202)-ROW(AW$15),0),15-13*ORÇAMENTO!$AF$11)),0)</f>
        <v>0</v>
      </c>
      <c r="AX202" s="545">
        <f ca="1">IF(AND($D202="Serviço",AX$12&lt;&gt;0,$H202&gt;0,OR(AUTOEVENTO&lt;&gt;"manual",$M202&lt;&gt;1)),
IF(Import.TipoArredondamento&lt;&gt;"TransfereGOV",
ROUND(OFFSET($P202,0,AX$13),15-13*ORÇAMENTO!$AF$7)/$H202*OFFSET(ORÇAMENTO!$X$15,ROW(AX202)-ROW(AX$15),0),
ROUND(ROUND(OFFSET($P202,0,AX$13),15-13*ORÇAMENTO!$AF$7)*OFFSET(ORÇAMENTO!$W$15,ROW(AX202)-ROW(AX$15),0),15-13*ORÇAMENTO!$AF$11)),0)</f>
        <v>0</v>
      </c>
      <c r="AY202" s="545">
        <f ca="1">IF(AND($D202="Serviço",AY$12&lt;&gt;0,$H202&gt;0,OR(AUTOEVENTO&lt;&gt;"manual",$M202&lt;&gt;1)),
IF(Import.TipoArredondamento&lt;&gt;"TransfereGOV",
ROUND(OFFSET($P202,0,AY$13),15-13*ORÇAMENTO!$AF$7)/$H202*OFFSET(ORÇAMENTO!$X$15,ROW(AY202)-ROW(AY$15),0),
ROUND(ROUND(OFFSET($P202,0,AY$13),15-13*ORÇAMENTO!$AF$7)*OFFSET(ORÇAMENTO!$W$15,ROW(AY202)-ROW(AY$15),0),15-13*ORÇAMENTO!$AF$11)),0)</f>
        <v>0</v>
      </c>
      <c r="AZ202" s="545">
        <f ca="1">IF(AND($D202="Serviço",AZ$12&lt;&gt;0,$H202&gt;0,OR(AUTOEVENTO&lt;&gt;"manual",$M202&lt;&gt;1)),
IF(Import.TipoArredondamento&lt;&gt;"TransfereGOV",
ROUND(OFFSET($P202,0,AZ$13),15-13*ORÇAMENTO!$AF$7)/$H202*OFFSET(ORÇAMENTO!$X$15,ROW(AZ202)-ROW(AZ$15),0),
ROUND(ROUND(OFFSET($P202,0,AZ$13),15-13*ORÇAMENTO!$AF$7)*OFFSET(ORÇAMENTO!$W$15,ROW(AZ202)-ROW(AZ$15),0),15-13*ORÇAMENTO!$AF$11)),0)</f>
        <v>0</v>
      </c>
      <c r="BA202" s="546">
        <f ca="1">IF(AND($D202="Serviço",BA$12&lt;&gt;0,$H202&gt;0,OR(AUTOEVENTO&lt;&gt;"manual",$M202&lt;&gt;1)),
IF(Import.TipoArredondamento&lt;&gt;"TransfereGOV",
ROUND(OFFSET($P202,0,BA$13),15-13*ORÇAMENTO!$AF$7)/$H202*OFFSET(ORÇAMENTO!$X$15,ROW(BA202)-ROW(BA$15),0),
ROUND(ROUND(OFFSET($P202,0,BA$13),15-13*ORÇAMENTO!$AF$7)*OFFSET(ORÇAMENTO!$W$15,ROW(BA202)-ROW(BA$15),0),15-13*ORÇAMENTO!$AF$11)),0)</f>
        <v>0</v>
      </c>
      <c r="BC202" s="181">
        <f ca="1">IF($D202&lt;&gt;"Serviço",0,IF(AND(AUTOEVENTO="Manual",$M202=1),0,IF(OFFSET(CRONOPLE!$F$14,$M202,BC$13)="",10^12,OFFSET(CRONOPLE!$F$14,$M202,BC$13))))</f>
        <v>8</v>
      </c>
      <c r="BD202" s="181">
        <f ca="1">IF($D202&lt;&gt;"Serviço",0,IF(AND(AUTOEVENTO="Manual",$M202=1),0,IF(OFFSET(CRONOPLE!$F$14,$M202,BD$13)="",10^12,OFFSET(CRONOPLE!$F$14,$M202,BD$13))))</f>
        <v>1000000000000</v>
      </c>
      <c r="BE202" s="181">
        <f ca="1">IF($D202&lt;&gt;"Serviço",0,IF(AND(AUTOEVENTO="Manual",$M202=1),0,IF(OFFSET(CRONOPLE!$F$14,$M202,BE$13)="",10^12,OFFSET(CRONOPLE!$F$14,$M202,BE$13))))</f>
        <v>1000000000000</v>
      </c>
      <c r="BF202" s="181">
        <f ca="1">IF($D202&lt;&gt;"Serviço",0,IF(AND(AUTOEVENTO="Manual",$M202=1),0,IF(OFFSET(CRONOPLE!$F$14,$M202,BF$13)="",10^12,OFFSET(CRONOPLE!$F$14,$M202,BF$13))))</f>
        <v>1000000000000</v>
      </c>
      <c r="BG202" s="181">
        <f ca="1">IF($D202&lt;&gt;"Serviço",0,IF(AND(AUTOEVENTO="Manual",$M202=1),0,IF(OFFSET(CRONOPLE!$F$14,$M202,BG$13)="",10^12,OFFSET(CRONOPLE!$F$14,$M202,BG$13))))</f>
        <v>1000000000000</v>
      </c>
      <c r="BH202" s="181">
        <f ca="1">IF($D202&lt;&gt;"Serviço",0,IF(AND(AUTOEVENTO="Manual",$M202=1),0,IF(OFFSET(CRONOPLE!$F$14,$M202,BH$13)="",10^12,OFFSET(CRONOPLE!$F$14,$M202,BH$13))))</f>
        <v>1000000000000</v>
      </c>
      <c r="BI202" s="181">
        <f ca="1">IF($D202&lt;&gt;"Serviço",0,IF(AND(AUTOEVENTO="Manual",$M202=1),0,IF(OFFSET(CRONOPLE!$F$14,$M202,BI$13)="",10^12,OFFSET(CRONOPLE!$F$14,$M202,BI$13))))</f>
        <v>1000000000000</v>
      </c>
      <c r="BJ202" s="181">
        <f ca="1">IF($D202&lt;&gt;"Serviço",0,IF(AND(AUTOEVENTO="Manual",$M202=1),0,IF(OFFSET(CRONOPLE!$F$14,$M202,BJ$13)="",10^12,OFFSET(CRONOPLE!$F$14,$M202,BJ$13))))</f>
        <v>1000000000000</v>
      </c>
      <c r="BK202" s="181">
        <f ca="1">IF($D202&lt;&gt;"Serviço",0,IF(AND(AUTOEVENTO="Manual",$M202=1),0,IF(OFFSET(CRONOPLE!$F$14,$M202,BK$13)="",10^12,OFFSET(CRONOPLE!$F$14,$M202,BK$13))))</f>
        <v>1000000000000</v>
      </c>
      <c r="BL202" s="181">
        <f ca="1">IF($D202&lt;&gt;"Serviço",0,IF(AND(AUTOEVENTO="Manual",$M202=1),0,IF(OFFSET(CRONOPLE!$F$14,$M202,BL$13)="",10^12,OFFSET(CRONOPLE!$F$14,$M202,BL$13))))</f>
        <v>1000000000000</v>
      </c>
      <c r="BM202" s="181">
        <f ca="1">IF($D202&lt;&gt;"Serviço",0,IF(AND(AUTOEVENTO="Manual",$M202=1),0,IF(OFFSET(CRONOPLE!$F$14,$M202,BM$13)="",10^12,OFFSET(CRONOPLE!$F$14,$M202,BM$13))))</f>
        <v>1000000000000</v>
      </c>
      <c r="BN202" s="181">
        <f ca="1">IF($D202&lt;&gt;"Serviço",0,IF(AND(AUTOEVENTO="Manual",$M202=1),0,IF(OFFSET(CRONOPLE!$F$14,$M202,BN$13)="",10^12,OFFSET(CRONOPLE!$F$14,$M202,BN$13))))</f>
        <v>1000000000000</v>
      </c>
      <c r="BO202" s="181">
        <f ca="1">IF($D202&lt;&gt;"Serviço",0,IF(AND(AUTOEVENTO="Manual",$M202=1),0,IF(OFFSET(CRONOPLE!$F$14,$M202,BO$13)="",10^12,OFFSET(CRONOPLE!$F$14,$M202,BO$13))))</f>
        <v>1000000000000</v>
      </c>
      <c r="BP202" s="181">
        <f ca="1">IF($D202&lt;&gt;"Serviço",0,IF(AND(AUTOEVENTO="Manual",$M202=1),0,IF(OFFSET(CRONOPLE!$F$14,$M202,BP$13)="",10^12,OFFSET(CRONOPLE!$F$14,$M202,BP$13))))</f>
        <v>1000000000000</v>
      </c>
      <c r="BQ202" s="181">
        <f ca="1">IF($D202&lt;&gt;"Serviço",0,IF(AND(AUTOEVENTO="Manual",$M202=1),0,IF(OFFSET(CRONOPLE!$F$14,$M202,BQ$13)="",10^12,OFFSET(CRONOPLE!$F$14,$M202,BQ$13))))</f>
        <v>1000000000000</v>
      </c>
      <c r="BR202" s="181">
        <f ca="1">IF($D202&lt;&gt;"Serviço",0,IF(AND(AUTOEVENTO="Manual",$M202=1),0,IF(OFFSET(CRONOPLE!$F$14,$M202,BR$13)="",10^12,OFFSET(CRONOPLE!$F$14,$M202,BR$13))))</f>
        <v>1000000000000</v>
      </c>
      <c r="BS202" s="181">
        <f ca="1">IF($D202&lt;&gt;"Serviço",0,IF(AND(AUTOEVENTO="Manual",$M202=1),0,IF(OFFSET(CRONOPLE!$F$14,$M202,BS$13)="",10^12,OFFSET(CRONOPLE!$F$14,$M202,BS$13))))</f>
        <v>1000000000000</v>
      </c>
      <c r="BT202" s="181">
        <f ca="1">IF($D202&lt;&gt;"Serviço",0,IF(AND(AUTOEVENTO="Manual",$M202=1),0,IF(OFFSET(CRONOPLE!$F$14,$M202,BT$13)="",10^12,OFFSET(CRONOPLE!$F$14,$M202,BT$13))))</f>
        <v>1000000000000</v>
      </c>
      <c r="BV202" s="182">
        <f ca="1">IF($D202&lt;&gt;"Serviço",0,IF(OR(AND(AUTOEVENTO="Manual",$M202=1),$M202&gt;(ROW(PLE.lastrow)-ROW(PLE.firstrow))),0,IF(OFFSET(PLE!$G$14,$M202,BV$13)="",10^12,OFFSET(PLE!$G$14,$M202,BV$13))))</f>
        <v>1000000000000</v>
      </c>
      <c r="BW202" s="182">
        <f ca="1">IF($D202&lt;&gt;"Serviço",0,IF(OR(AND(AUTOEVENTO="Manual",$M202=1),$M202&gt;(ROW(PLE.lastrow)-ROW(PLE.firstrow))),0,IF(OFFSET(PLE!$G$14,$M202,BW$13)="",10^12,OFFSET(PLE!$G$14,$M202,BW$13))))</f>
        <v>1000000000000</v>
      </c>
      <c r="BX202" s="182">
        <f ca="1">IF($D202&lt;&gt;"Serviço",0,IF(OR(AND(AUTOEVENTO="Manual",$M202=1),$M202&gt;(ROW(PLE.lastrow)-ROW(PLE.firstrow))),0,IF(OFFSET(PLE!$G$14,$M202,BX$13)="",10^12,OFFSET(PLE!$G$14,$M202,BX$13))))</f>
        <v>1000000000000</v>
      </c>
      <c r="BY202" s="182">
        <f ca="1">IF($D202&lt;&gt;"Serviço",0,IF(OR(AND(AUTOEVENTO="Manual",$M202=1),$M202&gt;(ROW(PLE.lastrow)-ROW(PLE.firstrow))),0,IF(OFFSET(PLE!$G$14,$M202,BY$13)="",10^12,OFFSET(PLE!$G$14,$M202,BY$13))))</f>
        <v>1000000000000</v>
      </c>
      <c r="BZ202" s="182">
        <f ca="1">IF($D202&lt;&gt;"Serviço",0,IF(OR(AND(AUTOEVENTO="Manual",$M202=1),$M202&gt;(ROW(PLE.lastrow)-ROW(PLE.firstrow))),0,IF(OFFSET(PLE!$G$14,$M202,BZ$13)="",10^12,OFFSET(PLE!$G$14,$M202,BZ$13))))</f>
        <v>1000000000000</v>
      </c>
      <c r="CA202" s="182">
        <f ca="1">IF($D202&lt;&gt;"Serviço",0,IF(OR(AND(AUTOEVENTO="Manual",$M202=1),$M202&gt;(ROW(PLE.lastrow)-ROW(PLE.firstrow))),0,IF(OFFSET(PLE!$G$14,$M202,CA$13)="",10^12,OFFSET(PLE!$G$14,$M202,CA$13))))</f>
        <v>1000000000000</v>
      </c>
      <c r="CB202" s="182">
        <f ca="1">IF($D202&lt;&gt;"Serviço",0,IF(OR(AND(AUTOEVENTO="Manual",$M202=1),$M202&gt;(ROW(PLE.lastrow)-ROW(PLE.firstrow))),0,IF(OFFSET(PLE!$G$14,$M202,CB$13)="",10^12,OFFSET(PLE!$G$14,$M202,CB$13))))</f>
        <v>1000000000000</v>
      </c>
      <c r="CC202" s="182">
        <f ca="1">IF($D202&lt;&gt;"Serviço",0,IF(OR(AND(AUTOEVENTO="Manual",$M202=1),$M202&gt;(ROW(PLE.lastrow)-ROW(PLE.firstrow))),0,IF(OFFSET(PLE!$G$14,$M202,CC$13)="",10^12,OFFSET(PLE!$G$14,$M202,CC$13))))</f>
        <v>1000000000000</v>
      </c>
      <c r="CD202" s="182">
        <f ca="1">IF($D202&lt;&gt;"Serviço",0,IF(OR(AND(AUTOEVENTO="Manual",$M202=1),$M202&gt;(ROW(PLE.lastrow)-ROW(PLE.firstrow))),0,IF(OFFSET(PLE!$G$14,$M202,CD$13)="",10^12,OFFSET(PLE!$G$14,$M202,CD$13))))</f>
        <v>1000000000000</v>
      </c>
      <c r="CE202" s="182">
        <f ca="1">IF($D202&lt;&gt;"Serviço",0,IF(OR(AND(AUTOEVENTO="Manual",$M202=1),$M202&gt;(ROW(PLE.lastrow)-ROW(PLE.firstrow))),0,IF(OFFSET(PLE!$G$14,$M202,CE$13)="",10^12,OFFSET(PLE!$G$14,$M202,CE$13))))</f>
        <v>1000000000000</v>
      </c>
      <c r="CF202" s="182">
        <f ca="1">IF($D202&lt;&gt;"Serviço",0,IF(OR(AND(AUTOEVENTO="Manual",$M202=1),$M202&gt;(ROW(PLE.lastrow)-ROW(PLE.firstrow))),0,IF(OFFSET(PLE!$G$14,$M202,CF$13)="",10^12,OFFSET(PLE!$G$14,$M202,CF$13))))</f>
        <v>1000000000000</v>
      </c>
      <c r="CG202" s="182">
        <f ca="1">IF($D202&lt;&gt;"Serviço",0,IF(OR(AND(AUTOEVENTO="Manual",$M202=1),$M202&gt;(ROW(PLE.lastrow)-ROW(PLE.firstrow))),0,IF(OFFSET(PLE!$G$14,$M202,CG$13)="",10^12,OFFSET(PLE!$G$14,$M202,CG$13))))</f>
        <v>1000000000000</v>
      </c>
      <c r="CH202" s="182">
        <f ca="1">IF($D202&lt;&gt;"Serviço",0,IF(OR(AND(AUTOEVENTO="Manual",$M202=1),$M202&gt;(ROW(PLE.lastrow)-ROW(PLE.firstrow))),0,IF(OFFSET(PLE!$G$14,$M202,CH$13)="",10^12,OFFSET(PLE!$G$14,$M202,CH$13))))</f>
        <v>1000000000000</v>
      </c>
      <c r="CI202" s="182">
        <f ca="1">IF($D202&lt;&gt;"Serviço",0,IF(OR(AND(AUTOEVENTO="Manual",$M202=1),$M202&gt;(ROW(PLE.lastrow)-ROW(PLE.firstrow))),0,IF(OFFSET(PLE!$G$14,$M202,CI$13)="",10^12,OFFSET(PLE!$G$14,$M202,CI$13))))</f>
        <v>1000000000000</v>
      </c>
      <c r="CJ202" s="182">
        <f ca="1">IF($D202&lt;&gt;"Serviço",0,IF(OR(AND(AUTOEVENTO="Manual",$M202=1),$M202&gt;(ROW(PLE.lastrow)-ROW(PLE.firstrow))),0,IF(OFFSET(PLE!$G$14,$M202,CJ$13)="",10^12,OFFSET(PLE!$G$14,$M202,CJ$13))))</f>
        <v>1000000000000</v>
      </c>
      <c r="CK202" s="182">
        <f ca="1">IF($D202&lt;&gt;"Serviço",0,IF(OR(AND(AUTOEVENTO="Manual",$M202=1),$M202&gt;(ROW(PLE.lastrow)-ROW(PLE.firstrow))),0,IF(OFFSET(PLE!$G$14,$M202,CK$13)="",10^12,OFFSET(PLE!$G$14,$M202,CK$13))))</f>
        <v>1000000000000</v>
      </c>
      <c r="CL202" s="182">
        <f ca="1">IF($D202&lt;&gt;"Serviço",0,IF(OR(AND(AUTOEVENTO="Manual",$M202=1),$M202&gt;(ROW(PLE.lastrow)-ROW(PLE.firstrow))),0,IF(OFFSET(PLE!$G$14,$M202,CL$13)="",10^12,OFFSET(PLE!$G$14,$M202,CL$13))))</f>
        <v>1000000000000</v>
      </c>
      <c r="CM202" s="182">
        <f ca="1">IF($D202&lt;&gt;"Serviço",0,IF(OR(AND(AUTOEVENTO="Manual",$M202=1),$M202&gt;(ROW(PLE.lastrow)-ROW(PLE.firstrow))),0,IF(OFFSET(PLE!$G$14,$M202,CM$13)="",10^12,OFFSET(PLE!$G$14,$M202,CM$13))))</f>
        <v>1000000000000</v>
      </c>
    </row>
    <row r="203" spans="1:91" ht="38.25" x14ac:dyDescent="0.2">
      <c r="A203" s="7" t="str">
        <f t="shared" ca="1" si="12"/>
        <v>184</v>
      </c>
      <c r="B203" s="7" t="str">
        <f ca="1">OFFSET(ORÇAMENTO!C$15,ROW(B203)-ROW(B$15),0)</f>
        <v>S</v>
      </c>
      <c r="C203" s="7" t="str">
        <f ca="1">OFFSET(ORÇAMENTO!L$15,ROW(C203)-ROW(C$15),0)</f>
        <v/>
      </c>
      <c r="D203" s="118" t="str">
        <f ca="1">OFFSET(ORÇAMENTO!N$15,ROW(D203)-ROW(D$15),0)</f>
        <v>Serviço</v>
      </c>
      <c r="E203" s="119" t="str">
        <f ca="1">OFFSET(ORÇAMENTO!O$15,ROW(E203)-ROW(E$15),0)</f>
        <v>-</v>
      </c>
      <c r="F203" s="172" t="str">
        <f ca="1">OFFSET(ORÇAMENTO!R$15,ROW(F203)-ROW(F$15),0)</f>
        <v>(abra o arquivo 'Referência 06-2024.xlsm)</v>
      </c>
      <c r="G203" s="173" t="str">
        <f ca="1">IF($D203&lt;&gt;"Serviço","",OFFSET(ORÇAMENTO!S$15,ROW(G203)-ROW(G$15),0))</f>
        <v>-</v>
      </c>
      <c r="H203" s="124">
        <f ca="1">IF($D203&lt;&gt;"Serviço",0,IF(ACOMPANHAMENTO="BM",ROUND(OFFSET(ORÇAMENTO!AJ$15,ROW(H203)-ROW(H$15),0),15-13*ORÇAMENTO!$AF$7),SUMPRODUCT(($Q$12:$AI$12&lt;&gt;"")*ROUND($Q203:$AI203,15-13*ORÇAMENTO!$AF$7))))</f>
        <v>235.9</v>
      </c>
      <c r="I203" s="561" t="s">
        <v>1107</v>
      </c>
      <c r="K203" s="174"/>
      <c r="L203" s="175" t="s">
        <v>255</v>
      </c>
      <c r="M203" s="176">
        <f ca="1">IF($D203&lt;&gt;"Serviço","",IF(AUTOEVENTO="manual",$A203,IF(ISERROR(MATCH($A203,$A$15:OFFSET($A203,-1,0),0)),MAX($M$15:OFFSET(M203,-1,0))+1,INDEX($M$15:OFFSET(M203,-1,0),MATCH($A203,$A$15:OFFSET($A203,-1,0),0)))))</f>
        <v>28</v>
      </c>
      <c r="N203" s="177" t="str">
        <f ca="1">IF($D203&lt;&gt;"Serviço","",IF(AUTOEVENTO="Manual",IF($A203=0,"&lt;-- defina o número do agrupador",OFFSET(EVENTOS!$D$14,$A203,0)),OFFSET($F$15,$A203,0)))</f>
        <v>SISTEMAS DE PISOS - PAVIMENTAÇÃO INTERNA</v>
      </c>
      <c r="O203" s="178"/>
      <c r="Q203" s="178">
        <v>235.9</v>
      </c>
      <c r="R203" s="179"/>
      <c r="S203" s="179"/>
      <c r="T203" s="179"/>
      <c r="U203" s="179"/>
      <c r="V203" s="179"/>
      <c r="W203" s="179"/>
      <c r="X203" s="179"/>
      <c r="Y203" s="179"/>
      <c r="Z203" s="180"/>
      <c r="AA203" s="179"/>
      <c r="AB203" s="179"/>
      <c r="AC203" s="179"/>
      <c r="AD203" s="179"/>
      <c r="AE203" s="179"/>
      <c r="AF203" s="179"/>
      <c r="AG203" s="179"/>
      <c r="AH203" s="180"/>
      <c r="AJ203" s="544">
        <f ca="1">IF(AND($D203="Serviço",AJ$12&lt;&gt;0,$H203&gt;0,OR(AUTOEVENTO&lt;&gt;"manual",$M203&lt;&gt;1)),
IF(Import.TipoArredondamento&lt;&gt;"TransfereGOV",
ROUND(OFFSET($P203,0,AJ$13),15-13*ORÇAMENTO!$AF$7)/$H203*OFFSET(ORÇAMENTO!$X$15,ROW(AJ203)-ROW(AJ$15),0),
ROUND(ROUND(OFFSET($P203,0,AJ$13),15-13*ORÇAMENTO!$AF$7)*OFFSET(ORÇAMENTO!$W$15,ROW(AJ203)-ROW(AJ$15),0),15-13*ORÇAMENTO!$AF$11)),0)</f>
        <v>0</v>
      </c>
      <c r="AK203" s="545">
        <f ca="1">IF(AND($D203="Serviço",AK$12&lt;&gt;0,$H203&gt;0,OR(AUTOEVENTO&lt;&gt;"manual",$M203&lt;&gt;1)),
IF(Import.TipoArredondamento&lt;&gt;"TransfereGOV",
ROUND(OFFSET($P203,0,AK$13),15-13*ORÇAMENTO!$AF$7)/$H203*OFFSET(ORÇAMENTO!$X$15,ROW(AK203)-ROW(AK$15),0),
ROUND(ROUND(OFFSET($P203,0,AK$13),15-13*ORÇAMENTO!$AF$7)*OFFSET(ORÇAMENTO!$W$15,ROW(AK203)-ROW(AK$15),0),15-13*ORÇAMENTO!$AF$11)),0)</f>
        <v>0</v>
      </c>
      <c r="AL203" s="545">
        <f ca="1">IF(AND($D203="Serviço",AL$12&lt;&gt;0,$H203&gt;0,OR(AUTOEVENTO&lt;&gt;"manual",$M203&lt;&gt;1)),
IF(Import.TipoArredondamento&lt;&gt;"TransfereGOV",
ROUND(OFFSET($P203,0,AL$13),15-13*ORÇAMENTO!$AF$7)/$H203*OFFSET(ORÇAMENTO!$X$15,ROW(AL203)-ROW(AL$15),0),
ROUND(ROUND(OFFSET($P203,0,AL$13),15-13*ORÇAMENTO!$AF$7)*OFFSET(ORÇAMENTO!$W$15,ROW(AL203)-ROW(AL$15),0),15-13*ORÇAMENTO!$AF$11)),0)</f>
        <v>0</v>
      </c>
      <c r="AM203" s="545">
        <f ca="1">IF(AND($D203="Serviço",AM$12&lt;&gt;0,$H203&gt;0,OR(AUTOEVENTO&lt;&gt;"manual",$M203&lt;&gt;1)),
IF(Import.TipoArredondamento&lt;&gt;"TransfereGOV",
ROUND(OFFSET($P203,0,AM$13),15-13*ORÇAMENTO!$AF$7)/$H203*OFFSET(ORÇAMENTO!$X$15,ROW(AM203)-ROW(AM$15),0),
ROUND(ROUND(OFFSET($P203,0,AM$13),15-13*ORÇAMENTO!$AF$7)*OFFSET(ORÇAMENTO!$W$15,ROW(AM203)-ROW(AM$15),0),15-13*ORÇAMENTO!$AF$11)),0)</f>
        <v>0</v>
      </c>
      <c r="AN203" s="545">
        <f ca="1">IF(AND($D203="Serviço",AN$12&lt;&gt;0,$H203&gt;0,OR(AUTOEVENTO&lt;&gt;"manual",$M203&lt;&gt;1)),
IF(Import.TipoArredondamento&lt;&gt;"TransfereGOV",
ROUND(OFFSET($P203,0,AN$13),15-13*ORÇAMENTO!$AF$7)/$H203*OFFSET(ORÇAMENTO!$X$15,ROW(AN203)-ROW(AN$15),0),
ROUND(ROUND(OFFSET($P203,0,AN$13),15-13*ORÇAMENTO!$AF$7)*OFFSET(ORÇAMENTO!$W$15,ROW(AN203)-ROW(AN$15),0),15-13*ORÇAMENTO!$AF$11)),0)</f>
        <v>0</v>
      </c>
      <c r="AO203" s="545">
        <f ca="1">IF(AND($D203="Serviço",AO$12&lt;&gt;0,$H203&gt;0,OR(AUTOEVENTO&lt;&gt;"manual",$M203&lt;&gt;1)),
IF(Import.TipoArredondamento&lt;&gt;"TransfereGOV",
ROUND(OFFSET($P203,0,AO$13),15-13*ORÇAMENTO!$AF$7)/$H203*OFFSET(ORÇAMENTO!$X$15,ROW(AO203)-ROW(AO$15),0),
ROUND(ROUND(OFFSET($P203,0,AO$13),15-13*ORÇAMENTO!$AF$7)*OFFSET(ORÇAMENTO!$W$15,ROW(AO203)-ROW(AO$15),0),15-13*ORÇAMENTO!$AF$11)),0)</f>
        <v>0</v>
      </c>
      <c r="AP203" s="545">
        <f ca="1">IF(AND($D203="Serviço",AP$12&lt;&gt;0,$H203&gt;0,OR(AUTOEVENTO&lt;&gt;"manual",$M203&lt;&gt;1)),
IF(Import.TipoArredondamento&lt;&gt;"TransfereGOV",
ROUND(OFFSET($P203,0,AP$13),15-13*ORÇAMENTO!$AF$7)/$H203*OFFSET(ORÇAMENTO!$X$15,ROW(AP203)-ROW(AP$15),0),
ROUND(ROUND(OFFSET($P203,0,AP$13),15-13*ORÇAMENTO!$AF$7)*OFFSET(ORÇAMENTO!$W$15,ROW(AP203)-ROW(AP$15),0),15-13*ORÇAMENTO!$AF$11)),0)</f>
        <v>0</v>
      </c>
      <c r="AQ203" s="545">
        <f ca="1">IF(AND($D203="Serviço",AQ$12&lt;&gt;0,$H203&gt;0,OR(AUTOEVENTO&lt;&gt;"manual",$M203&lt;&gt;1)),
IF(Import.TipoArredondamento&lt;&gt;"TransfereGOV",
ROUND(OFFSET($P203,0,AQ$13),15-13*ORÇAMENTO!$AF$7)/$H203*OFFSET(ORÇAMENTO!$X$15,ROW(AQ203)-ROW(AQ$15),0),
ROUND(ROUND(OFFSET($P203,0,AQ$13),15-13*ORÇAMENTO!$AF$7)*OFFSET(ORÇAMENTO!$W$15,ROW(AQ203)-ROW(AQ$15),0),15-13*ORÇAMENTO!$AF$11)),0)</f>
        <v>0</v>
      </c>
      <c r="AR203" s="545">
        <f ca="1">IF(AND($D203="Serviço",AR$12&lt;&gt;0,$H203&gt;0,OR(AUTOEVENTO&lt;&gt;"manual",$M203&lt;&gt;1)),
IF(Import.TipoArredondamento&lt;&gt;"TransfereGOV",
ROUND(OFFSET($P203,0,AR$13),15-13*ORÇAMENTO!$AF$7)/$H203*OFFSET(ORÇAMENTO!$X$15,ROW(AR203)-ROW(AR$15),0),
ROUND(ROUND(OFFSET($P203,0,AR$13),15-13*ORÇAMENTO!$AF$7)*OFFSET(ORÇAMENTO!$W$15,ROW(AR203)-ROW(AR$15),0),15-13*ORÇAMENTO!$AF$11)),0)</f>
        <v>0</v>
      </c>
      <c r="AS203" s="546">
        <f ca="1">IF(AND($D203="Serviço",AS$12&lt;&gt;0,$H203&gt;0,OR(AUTOEVENTO&lt;&gt;"manual",$M203&lt;&gt;1)),
IF(Import.TipoArredondamento&lt;&gt;"TransfereGOV",
ROUND(OFFSET($P203,0,AS$13),15-13*ORÇAMENTO!$AF$7)/$H203*OFFSET(ORÇAMENTO!$X$15,ROW(AS203)-ROW(AS$15),0),
ROUND(ROUND(OFFSET($P203,0,AS$13),15-13*ORÇAMENTO!$AF$7)*OFFSET(ORÇAMENTO!$W$15,ROW(AS203)-ROW(AS$15),0),15-13*ORÇAMENTO!$AF$11)),0)</f>
        <v>0</v>
      </c>
      <c r="AT203" s="545">
        <f ca="1">IF(AND($D203="Serviço",AT$12&lt;&gt;0,$H203&gt;0,OR(AUTOEVENTO&lt;&gt;"manual",$M203&lt;&gt;1)),
IF(Import.TipoArredondamento&lt;&gt;"TransfereGOV",
ROUND(OFFSET($P203,0,AT$13),15-13*ORÇAMENTO!$AF$7)/$H203*OFFSET(ORÇAMENTO!$X$15,ROW(AT203)-ROW(AT$15),0),
ROUND(ROUND(OFFSET($P203,0,AT$13),15-13*ORÇAMENTO!$AF$7)*OFFSET(ORÇAMENTO!$W$15,ROW(AT203)-ROW(AT$15),0),15-13*ORÇAMENTO!$AF$11)),0)</f>
        <v>0</v>
      </c>
      <c r="AU203" s="545">
        <f ca="1">IF(AND($D203="Serviço",AU$12&lt;&gt;0,$H203&gt;0,OR(AUTOEVENTO&lt;&gt;"manual",$M203&lt;&gt;1)),
IF(Import.TipoArredondamento&lt;&gt;"TransfereGOV",
ROUND(OFFSET($P203,0,AU$13),15-13*ORÇAMENTO!$AF$7)/$H203*OFFSET(ORÇAMENTO!$X$15,ROW(AU203)-ROW(AU$15),0),
ROUND(ROUND(OFFSET($P203,0,AU$13),15-13*ORÇAMENTO!$AF$7)*OFFSET(ORÇAMENTO!$W$15,ROW(AU203)-ROW(AU$15),0),15-13*ORÇAMENTO!$AF$11)),0)</f>
        <v>0</v>
      </c>
      <c r="AV203" s="545">
        <f ca="1">IF(AND($D203="Serviço",AV$12&lt;&gt;0,$H203&gt;0,OR(AUTOEVENTO&lt;&gt;"manual",$M203&lt;&gt;1)),
IF(Import.TipoArredondamento&lt;&gt;"TransfereGOV",
ROUND(OFFSET($P203,0,AV$13),15-13*ORÇAMENTO!$AF$7)/$H203*OFFSET(ORÇAMENTO!$X$15,ROW(AV203)-ROW(AV$15),0),
ROUND(ROUND(OFFSET($P203,0,AV$13),15-13*ORÇAMENTO!$AF$7)*OFFSET(ORÇAMENTO!$W$15,ROW(AV203)-ROW(AV$15),0),15-13*ORÇAMENTO!$AF$11)),0)</f>
        <v>0</v>
      </c>
      <c r="AW203" s="545">
        <f ca="1">IF(AND($D203="Serviço",AW$12&lt;&gt;0,$H203&gt;0,OR(AUTOEVENTO&lt;&gt;"manual",$M203&lt;&gt;1)),
IF(Import.TipoArredondamento&lt;&gt;"TransfereGOV",
ROUND(OFFSET($P203,0,AW$13),15-13*ORÇAMENTO!$AF$7)/$H203*OFFSET(ORÇAMENTO!$X$15,ROW(AW203)-ROW(AW$15),0),
ROUND(ROUND(OFFSET($P203,0,AW$13),15-13*ORÇAMENTO!$AF$7)*OFFSET(ORÇAMENTO!$W$15,ROW(AW203)-ROW(AW$15),0),15-13*ORÇAMENTO!$AF$11)),0)</f>
        <v>0</v>
      </c>
      <c r="AX203" s="545">
        <f ca="1">IF(AND($D203="Serviço",AX$12&lt;&gt;0,$H203&gt;0,OR(AUTOEVENTO&lt;&gt;"manual",$M203&lt;&gt;1)),
IF(Import.TipoArredondamento&lt;&gt;"TransfereGOV",
ROUND(OFFSET($P203,0,AX$13),15-13*ORÇAMENTO!$AF$7)/$H203*OFFSET(ORÇAMENTO!$X$15,ROW(AX203)-ROW(AX$15),0),
ROUND(ROUND(OFFSET($P203,0,AX$13),15-13*ORÇAMENTO!$AF$7)*OFFSET(ORÇAMENTO!$W$15,ROW(AX203)-ROW(AX$15),0),15-13*ORÇAMENTO!$AF$11)),0)</f>
        <v>0</v>
      </c>
      <c r="AY203" s="545">
        <f ca="1">IF(AND($D203="Serviço",AY$12&lt;&gt;0,$H203&gt;0,OR(AUTOEVENTO&lt;&gt;"manual",$M203&lt;&gt;1)),
IF(Import.TipoArredondamento&lt;&gt;"TransfereGOV",
ROUND(OFFSET($P203,0,AY$13),15-13*ORÇAMENTO!$AF$7)/$H203*OFFSET(ORÇAMENTO!$X$15,ROW(AY203)-ROW(AY$15),0),
ROUND(ROUND(OFFSET($P203,0,AY$13),15-13*ORÇAMENTO!$AF$7)*OFFSET(ORÇAMENTO!$W$15,ROW(AY203)-ROW(AY$15),0),15-13*ORÇAMENTO!$AF$11)),0)</f>
        <v>0</v>
      </c>
      <c r="AZ203" s="545">
        <f ca="1">IF(AND($D203="Serviço",AZ$12&lt;&gt;0,$H203&gt;0,OR(AUTOEVENTO&lt;&gt;"manual",$M203&lt;&gt;1)),
IF(Import.TipoArredondamento&lt;&gt;"TransfereGOV",
ROUND(OFFSET($P203,0,AZ$13),15-13*ORÇAMENTO!$AF$7)/$H203*OFFSET(ORÇAMENTO!$X$15,ROW(AZ203)-ROW(AZ$15),0),
ROUND(ROUND(OFFSET($P203,0,AZ$13),15-13*ORÇAMENTO!$AF$7)*OFFSET(ORÇAMENTO!$W$15,ROW(AZ203)-ROW(AZ$15),0),15-13*ORÇAMENTO!$AF$11)),0)</f>
        <v>0</v>
      </c>
      <c r="BA203" s="546">
        <f ca="1">IF(AND($D203="Serviço",BA$12&lt;&gt;0,$H203&gt;0,OR(AUTOEVENTO&lt;&gt;"manual",$M203&lt;&gt;1)),
IF(Import.TipoArredondamento&lt;&gt;"TransfereGOV",
ROUND(OFFSET($P203,0,BA$13),15-13*ORÇAMENTO!$AF$7)/$H203*OFFSET(ORÇAMENTO!$X$15,ROW(BA203)-ROW(BA$15),0),
ROUND(ROUND(OFFSET($P203,0,BA$13),15-13*ORÇAMENTO!$AF$7)*OFFSET(ORÇAMENTO!$W$15,ROW(BA203)-ROW(BA$15),0),15-13*ORÇAMENTO!$AF$11)),0)</f>
        <v>0</v>
      </c>
      <c r="BC203" s="181">
        <f ca="1">IF($D203&lt;&gt;"Serviço",0,IF(AND(AUTOEVENTO="Manual",$M203=1),0,IF(OFFSET(CRONOPLE!$F$14,$M203,BC$13)="",10^12,OFFSET(CRONOPLE!$F$14,$M203,BC$13))))</f>
        <v>8</v>
      </c>
      <c r="BD203" s="181">
        <f ca="1">IF($D203&lt;&gt;"Serviço",0,IF(AND(AUTOEVENTO="Manual",$M203=1),0,IF(OFFSET(CRONOPLE!$F$14,$M203,BD$13)="",10^12,OFFSET(CRONOPLE!$F$14,$M203,BD$13))))</f>
        <v>1000000000000</v>
      </c>
      <c r="BE203" s="181">
        <f ca="1">IF($D203&lt;&gt;"Serviço",0,IF(AND(AUTOEVENTO="Manual",$M203=1),0,IF(OFFSET(CRONOPLE!$F$14,$M203,BE$13)="",10^12,OFFSET(CRONOPLE!$F$14,$M203,BE$13))))</f>
        <v>1000000000000</v>
      </c>
      <c r="BF203" s="181">
        <f ca="1">IF($D203&lt;&gt;"Serviço",0,IF(AND(AUTOEVENTO="Manual",$M203=1),0,IF(OFFSET(CRONOPLE!$F$14,$M203,BF$13)="",10^12,OFFSET(CRONOPLE!$F$14,$M203,BF$13))))</f>
        <v>1000000000000</v>
      </c>
      <c r="BG203" s="181">
        <f ca="1">IF($D203&lt;&gt;"Serviço",0,IF(AND(AUTOEVENTO="Manual",$M203=1),0,IF(OFFSET(CRONOPLE!$F$14,$M203,BG$13)="",10^12,OFFSET(CRONOPLE!$F$14,$M203,BG$13))))</f>
        <v>1000000000000</v>
      </c>
      <c r="BH203" s="181">
        <f ca="1">IF($D203&lt;&gt;"Serviço",0,IF(AND(AUTOEVENTO="Manual",$M203=1),0,IF(OFFSET(CRONOPLE!$F$14,$M203,BH$13)="",10^12,OFFSET(CRONOPLE!$F$14,$M203,BH$13))))</f>
        <v>1000000000000</v>
      </c>
      <c r="BI203" s="181">
        <f ca="1">IF($D203&lt;&gt;"Serviço",0,IF(AND(AUTOEVENTO="Manual",$M203=1),0,IF(OFFSET(CRONOPLE!$F$14,$M203,BI$13)="",10^12,OFFSET(CRONOPLE!$F$14,$M203,BI$13))))</f>
        <v>1000000000000</v>
      </c>
      <c r="BJ203" s="181">
        <f ca="1">IF($D203&lt;&gt;"Serviço",0,IF(AND(AUTOEVENTO="Manual",$M203=1),0,IF(OFFSET(CRONOPLE!$F$14,$M203,BJ$13)="",10^12,OFFSET(CRONOPLE!$F$14,$M203,BJ$13))))</f>
        <v>1000000000000</v>
      </c>
      <c r="BK203" s="181">
        <f ca="1">IF($D203&lt;&gt;"Serviço",0,IF(AND(AUTOEVENTO="Manual",$M203=1),0,IF(OFFSET(CRONOPLE!$F$14,$M203,BK$13)="",10^12,OFFSET(CRONOPLE!$F$14,$M203,BK$13))))</f>
        <v>1000000000000</v>
      </c>
      <c r="BL203" s="181">
        <f ca="1">IF($D203&lt;&gt;"Serviço",0,IF(AND(AUTOEVENTO="Manual",$M203=1),0,IF(OFFSET(CRONOPLE!$F$14,$M203,BL$13)="",10^12,OFFSET(CRONOPLE!$F$14,$M203,BL$13))))</f>
        <v>1000000000000</v>
      </c>
      <c r="BM203" s="181">
        <f ca="1">IF($D203&lt;&gt;"Serviço",0,IF(AND(AUTOEVENTO="Manual",$M203=1),0,IF(OFFSET(CRONOPLE!$F$14,$M203,BM$13)="",10^12,OFFSET(CRONOPLE!$F$14,$M203,BM$13))))</f>
        <v>1000000000000</v>
      </c>
      <c r="BN203" s="181">
        <f ca="1">IF($D203&lt;&gt;"Serviço",0,IF(AND(AUTOEVENTO="Manual",$M203=1),0,IF(OFFSET(CRONOPLE!$F$14,$M203,BN$13)="",10^12,OFFSET(CRONOPLE!$F$14,$M203,BN$13))))</f>
        <v>1000000000000</v>
      </c>
      <c r="BO203" s="181">
        <f ca="1">IF($D203&lt;&gt;"Serviço",0,IF(AND(AUTOEVENTO="Manual",$M203=1),0,IF(OFFSET(CRONOPLE!$F$14,$M203,BO$13)="",10^12,OFFSET(CRONOPLE!$F$14,$M203,BO$13))))</f>
        <v>1000000000000</v>
      </c>
      <c r="BP203" s="181">
        <f ca="1">IF($D203&lt;&gt;"Serviço",0,IF(AND(AUTOEVENTO="Manual",$M203=1),0,IF(OFFSET(CRONOPLE!$F$14,$M203,BP$13)="",10^12,OFFSET(CRONOPLE!$F$14,$M203,BP$13))))</f>
        <v>1000000000000</v>
      </c>
      <c r="BQ203" s="181">
        <f ca="1">IF($D203&lt;&gt;"Serviço",0,IF(AND(AUTOEVENTO="Manual",$M203=1),0,IF(OFFSET(CRONOPLE!$F$14,$M203,BQ$13)="",10^12,OFFSET(CRONOPLE!$F$14,$M203,BQ$13))))</f>
        <v>1000000000000</v>
      </c>
      <c r="BR203" s="181">
        <f ca="1">IF($D203&lt;&gt;"Serviço",0,IF(AND(AUTOEVENTO="Manual",$M203=1),0,IF(OFFSET(CRONOPLE!$F$14,$M203,BR$13)="",10^12,OFFSET(CRONOPLE!$F$14,$M203,BR$13))))</f>
        <v>1000000000000</v>
      </c>
      <c r="BS203" s="181">
        <f ca="1">IF($D203&lt;&gt;"Serviço",0,IF(AND(AUTOEVENTO="Manual",$M203=1),0,IF(OFFSET(CRONOPLE!$F$14,$M203,BS$13)="",10^12,OFFSET(CRONOPLE!$F$14,$M203,BS$13))))</f>
        <v>1000000000000</v>
      </c>
      <c r="BT203" s="181">
        <f ca="1">IF($D203&lt;&gt;"Serviço",0,IF(AND(AUTOEVENTO="Manual",$M203=1),0,IF(OFFSET(CRONOPLE!$F$14,$M203,BT$13)="",10^12,OFFSET(CRONOPLE!$F$14,$M203,BT$13))))</f>
        <v>1000000000000</v>
      </c>
      <c r="BV203" s="182">
        <f ca="1">IF($D203&lt;&gt;"Serviço",0,IF(OR(AND(AUTOEVENTO="Manual",$M203=1),$M203&gt;(ROW(PLE.lastrow)-ROW(PLE.firstrow))),0,IF(OFFSET(PLE!$G$14,$M203,BV$13)="",10^12,OFFSET(PLE!$G$14,$M203,BV$13))))</f>
        <v>1000000000000</v>
      </c>
      <c r="BW203" s="182">
        <f ca="1">IF($D203&lt;&gt;"Serviço",0,IF(OR(AND(AUTOEVENTO="Manual",$M203=1),$M203&gt;(ROW(PLE.lastrow)-ROW(PLE.firstrow))),0,IF(OFFSET(PLE!$G$14,$M203,BW$13)="",10^12,OFFSET(PLE!$G$14,$M203,BW$13))))</f>
        <v>1000000000000</v>
      </c>
      <c r="BX203" s="182">
        <f ca="1">IF($D203&lt;&gt;"Serviço",0,IF(OR(AND(AUTOEVENTO="Manual",$M203=1),$M203&gt;(ROW(PLE.lastrow)-ROW(PLE.firstrow))),0,IF(OFFSET(PLE!$G$14,$M203,BX$13)="",10^12,OFFSET(PLE!$G$14,$M203,BX$13))))</f>
        <v>1000000000000</v>
      </c>
      <c r="BY203" s="182">
        <f ca="1">IF($D203&lt;&gt;"Serviço",0,IF(OR(AND(AUTOEVENTO="Manual",$M203=1),$M203&gt;(ROW(PLE.lastrow)-ROW(PLE.firstrow))),0,IF(OFFSET(PLE!$G$14,$M203,BY$13)="",10^12,OFFSET(PLE!$G$14,$M203,BY$13))))</f>
        <v>1000000000000</v>
      </c>
      <c r="BZ203" s="182">
        <f ca="1">IF($D203&lt;&gt;"Serviço",0,IF(OR(AND(AUTOEVENTO="Manual",$M203=1),$M203&gt;(ROW(PLE.lastrow)-ROW(PLE.firstrow))),0,IF(OFFSET(PLE!$G$14,$M203,BZ$13)="",10^12,OFFSET(PLE!$G$14,$M203,BZ$13))))</f>
        <v>1000000000000</v>
      </c>
      <c r="CA203" s="182">
        <f ca="1">IF($D203&lt;&gt;"Serviço",0,IF(OR(AND(AUTOEVENTO="Manual",$M203=1),$M203&gt;(ROW(PLE.lastrow)-ROW(PLE.firstrow))),0,IF(OFFSET(PLE!$G$14,$M203,CA$13)="",10^12,OFFSET(PLE!$G$14,$M203,CA$13))))</f>
        <v>1000000000000</v>
      </c>
      <c r="CB203" s="182">
        <f ca="1">IF($D203&lt;&gt;"Serviço",0,IF(OR(AND(AUTOEVENTO="Manual",$M203=1),$M203&gt;(ROW(PLE.lastrow)-ROW(PLE.firstrow))),0,IF(OFFSET(PLE!$G$14,$M203,CB$13)="",10^12,OFFSET(PLE!$G$14,$M203,CB$13))))</f>
        <v>1000000000000</v>
      </c>
      <c r="CC203" s="182">
        <f ca="1">IF($D203&lt;&gt;"Serviço",0,IF(OR(AND(AUTOEVENTO="Manual",$M203=1),$M203&gt;(ROW(PLE.lastrow)-ROW(PLE.firstrow))),0,IF(OFFSET(PLE!$G$14,$M203,CC$13)="",10^12,OFFSET(PLE!$G$14,$M203,CC$13))))</f>
        <v>1000000000000</v>
      </c>
      <c r="CD203" s="182">
        <f ca="1">IF($D203&lt;&gt;"Serviço",0,IF(OR(AND(AUTOEVENTO="Manual",$M203=1),$M203&gt;(ROW(PLE.lastrow)-ROW(PLE.firstrow))),0,IF(OFFSET(PLE!$G$14,$M203,CD$13)="",10^12,OFFSET(PLE!$G$14,$M203,CD$13))))</f>
        <v>1000000000000</v>
      </c>
      <c r="CE203" s="182">
        <f ca="1">IF($D203&lt;&gt;"Serviço",0,IF(OR(AND(AUTOEVENTO="Manual",$M203=1),$M203&gt;(ROW(PLE.lastrow)-ROW(PLE.firstrow))),0,IF(OFFSET(PLE!$G$14,$M203,CE$13)="",10^12,OFFSET(PLE!$G$14,$M203,CE$13))))</f>
        <v>1000000000000</v>
      </c>
      <c r="CF203" s="182">
        <f ca="1">IF($D203&lt;&gt;"Serviço",0,IF(OR(AND(AUTOEVENTO="Manual",$M203=1),$M203&gt;(ROW(PLE.lastrow)-ROW(PLE.firstrow))),0,IF(OFFSET(PLE!$G$14,$M203,CF$13)="",10^12,OFFSET(PLE!$G$14,$M203,CF$13))))</f>
        <v>1000000000000</v>
      </c>
      <c r="CG203" s="182">
        <f ca="1">IF($D203&lt;&gt;"Serviço",0,IF(OR(AND(AUTOEVENTO="Manual",$M203=1),$M203&gt;(ROW(PLE.lastrow)-ROW(PLE.firstrow))),0,IF(OFFSET(PLE!$G$14,$M203,CG$13)="",10^12,OFFSET(PLE!$G$14,$M203,CG$13))))</f>
        <v>1000000000000</v>
      </c>
      <c r="CH203" s="182">
        <f ca="1">IF($D203&lt;&gt;"Serviço",0,IF(OR(AND(AUTOEVENTO="Manual",$M203=1),$M203&gt;(ROW(PLE.lastrow)-ROW(PLE.firstrow))),0,IF(OFFSET(PLE!$G$14,$M203,CH$13)="",10^12,OFFSET(PLE!$G$14,$M203,CH$13))))</f>
        <v>1000000000000</v>
      </c>
      <c r="CI203" s="182">
        <f ca="1">IF($D203&lt;&gt;"Serviço",0,IF(OR(AND(AUTOEVENTO="Manual",$M203=1),$M203&gt;(ROW(PLE.lastrow)-ROW(PLE.firstrow))),0,IF(OFFSET(PLE!$G$14,$M203,CI$13)="",10^12,OFFSET(PLE!$G$14,$M203,CI$13))))</f>
        <v>1000000000000</v>
      </c>
      <c r="CJ203" s="182">
        <f ca="1">IF($D203&lt;&gt;"Serviço",0,IF(OR(AND(AUTOEVENTO="Manual",$M203=1),$M203&gt;(ROW(PLE.lastrow)-ROW(PLE.firstrow))),0,IF(OFFSET(PLE!$G$14,$M203,CJ$13)="",10^12,OFFSET(PLE!$G$14,$M203,CJ$13))))</f>
        <v>1000000000000</v>
      </c>
      <c r="CK203" s="182">
        <f ca="1">IF($D203&lt;&gt;"Serviço",0,IF(OR(AND(AUTOEVENTO="Manual",$M203=1),$M203&gt;(ROW(PLE.lastrow)-ROW(PLE.firstrow))),0,IF(OFFSET(PLE!$G$14,$M203,CK$13)="",10^12,OFFSET(PLE!$G$14,$M203,CK$13))))</f>
        <v>1000000000000</v>
      </c>
      <c r="CL203" s="182">
        <f ca="1">IF($D203&lt;&gt;"Serviço",0,IF(OR(AND(AUTOEVENTO="Manual",$M203=1),$M203&gt;(ROW(PLE.lastrow)-ROW(PLE.firstrow))),0,IF(OFFSET(PLE!$G$14,$M203,CL$13)="",10^12,OFFSET(PLE!$G$14,$M203,CL$13))))</f>
        <v>1000000000000</v>
      </c>
      <c r="CM203" s="182">
        <f ca="1">IF($D203&lt;&gt;"Serviço",0,IF(OR(AND(AUTOEVENTO="Manual",$M203=1),$M203&gt;(ROW(PLE.lastrow)-ROW(PLE.firstrow))),0,IF(OFFSET(PLE!$G$14,$M203,CM$13)="",10^12,OFFSET(PLE!$G$14,$M203,CM$13))))</f>
        <v>1000000000000</v>
      </c>
    </row>
    <row r="204" spans="1:91" ht="25.5" x14ac:dyDescent="0.2">
      <c r="A204" s="7" t="str">
        <f t="shared" ca="1" si="12"/>
        <v>184</v>
      </c>
      <c r="B204" s="7" t="str">
        <f ca="1">OFFSET(ORÇAMENTO!C$15,ROW(B204)-ROW(B$15),0)</f>
        <v>S</v>
      </c>
      <c r="C204" s="7" t="str">
        <f ca="1">OFFSET(ORÇAMENTO!L$15,ROW(C204)-ROW(C$15),0)</f>
        <v/>
      </c>
      <c r="D204" s="118" t="str">
        <f ca="1">OFFSET(ORÇAMENTO!N$15,ROW(D204)-ROW(D$15),0)</f>
        <v>Serviço</v>
      </c>
      <c r="E204" s="119" t="str">
        <f ca="1">OFFSET(ORÇAMENTO!O$15,ROW(E204)-ROW(E$15),0)</f>
        <v>-</v>
      </c>
      <c r="F204" s="172" t="str">
        <f ca="1">OFFSET(ORÇAMENTO!R$15,ROW(F204)-ROW(F$15),0)</f>
        <v>(abra o arquivo 'Referência 06-2024.xlsm)</v>
      </c>
      <c r="G204" s="173" t="str">
        <f ca="1">IF($D204&lt;&gt;"Serviço","",OFFSET(ORÇAMENTO!S$15,ROW(G204)-ROW(G$15),0))</f>
        <v>-</v>
      </c>
      <c r="H204" s="124">
        <f ca="1">IF($D204&lt;&gt;"Serviço",0,IF(ACOMPANHAMENTO="BM",ROUND(OFFSET(ORÇAMENTO!AJ$15,ROW(H204)-ROW(H$15),0),15-13*ORÇAMENTO!$AF$7),SUMPRODUCT(($Q$12:$AI$12&lt;&gt;"")*ROUND($Q204:$AI204,15-13*ORÇAMENTO!$AF$7))))</f>
        <v>398.28</v>
      </c>
      <c r="I204" s="561" t="s">
        <v>1107</v>
      </c>
      <c r="K204" s="174"/>
      <c r="L204" s="175" t="s">
        <v>255</v>
      </c>
      <c r="M204" s="176">
        <f ca="1">IF($D204&lt;&gt;"Serviço","",IF(AUTOEVENTO="manual",$A204,IF(ISERROR(MATCH($A204,$A$15:OFFSET($A204,-1,0),0)),MAX($M$15:OFFSET(M204,-1,0))+1,INDEX($M$15:OFFSET(M204,-1,0),MATCH($A204,$A$15:OFFSET($A204,-1,0),0)))))</f>
        <v>28</v>
      </c>
      <c r="N204" s="177" t="str">
        <f ca="1">IF($D204&lt;&gt;"Serviço","",IF(AUTOEVENTO="Manual",IF($A204=0,"&lt;-- defina o número do agrupador",OFFSET(EVENTOS!$D$14,$A204,0)),OFFSET($F$15,$A204,0)))</f>
        <v>SISTEMAS DE PISOS - PAVIMENTAÇÃO INTERNA</v>
      </c>
      <c r="O204" s="178"/>
      <c r="Q204" s="178">
        <v>398.28</v>
      </c>
      <c r="R204" s="179"/>
      <c r="S204" s="179"/>
      <c r="T204" s="179"/>
      <c r="U204" s="179"/>
      <c r="V204" s="179"/>
      <c r="W204" s="179"/>
      <c r="X204" s="179"/>
      <c r="Y204" s="179"/>
      <c r="Z204" s="180"/>
      <c r="AA204" s="179"/>
      <c r="AB204" s="179"/>
      <c r="AC204" s="179"/>
      <c r="AD204" s="179"/>
      <c r="AE204" s="179"/>
      <c r="AF204" s="179"/>
      <c r="AG204" s="179"/>
      <c r="AH204" s="180"/>
      <c r="AJ204" s="544">
        <f ca="1">IF(AND($D204="Serviço",AJ$12&lt;&gt;0,$H204&gt;0,OR(AUTOEVENTO&lt;&gt;"manual",$M204&lt;&gt;1)),
IF(Import.TipoArredondamento&lt;&gt;"TransfereGOV",
ROUND(OFFSET($P204,0,AJ$13),15-13*ORÇAMENTO!$AF$7)/$H204*OFFSET(ORÇAMENTO!$X$15,ROW(AJ204)-ROW(AJ$15),0),
ROUND(ROUND(OFFSET($P204,0,AJ$13),15-13*ORÇAMENTO!$AF$7)*OFFSET(ORÇAMENTO!$W$15,ROW(AJ204)-ROW(AJ$15),0),15-13*ORÇAMENTO!$AF$11)),0)</f>
        <v>0</v>
      </c>
      <c r="AK204" s="545">
        <f ca="1">IF(AND($D204="Serviço",AK$12&lt;&gt;0,$H204&gt;0,OR(AUTOEVENTO&lt;&gt;"manual",$M204&lt;&gt;1)),
IF(Import.TipoArredondamento&lt;&gt;"TransfereGOV",
ROUND(OFFSET($P204,0,AK$13),15-13*ORÇAMENTO!$AF$7)/$H204*OFFSET(ORÇAMENTO!$X$15,ROW(AK204)-ROW(AK$15),0),
ROUND(ROUND(OFFSET($P204,0,AK$13),15-13*ORÇAMENTO!$AF$7)*OFFSET(ORÇAMENTO!$W$15,ROW(AK204)-ROW(AK$15),0),15-13*ORÇAMENTO!$AF$11)),0)</f>
        <v>0</v>
      </c>
      <c r="AL204" s="545">
        <f ca="1">IF(AND($D204="Serviço",AL$12&lt;&gt;0,$H204&gt;0,OR(AUTOEVENTO&lt;&gt;"manual",$M204&lt;&gt;1)),
IF(Import.TipoArredondamento&lt;&gt;"TransfereGOV",
ROUND(OFFSET($P204,0,AL$13),15-13*ORÇAMENTO!$AF$7)/$H204*OFFSET(ORÇAMENTO!$X$15,ROW(AL204)-ROW(AL$15),0),
ROUND(ROUND(OFFSET($P204,0,AL$13),15-13*ORÇAMENTO!$AF$7)*OFFSET(ORÇAMENTO!$W$15,ROW(AL204)-ROW(AL$15),0),15-13*ORÇAMENTO!$AF$11)),0)</f>
        <v>0</v>
      </c>
      <c r="AM204" s="545">
        <f ca="1">IF(AND($D204="Serviço",AM$12&lt;&gt;0,$H204&gt;0,OR(AUTOEVENTO&lt;&gt;"manual",$M204&lt;&gt;1)),
IF(Import.TipoArredondamento&lt;&gt;"TransfereGOV",
ROUND(OFFSET($P204,0,AM$13),15-13*ORÇAMENTO!$AF$7)/$H204*OFFSET(ORÇAMENTO!$X$15,ROW(AM204)-ROW(AM$15),0),
ROUND(ROUND(OFFSET($P204,0,AM$13),15-13*ORÇAMENTO!$AF$7)*OFFSET(ORÇAMENTO!$W$15,ROW(AM204)-ROW(AM$15),0),15-13*ORÇAMENTO!$AF$11)),0)</f>
        <v>0</v>
      </c>
      <c r="AN204" s="545">
        <f ca="1">IF(AND($D204="Serviço",AN$12&lt;&gt;0,$H204&gt;0,OR(AUTOEVENTO&lt;&gt;"manual",$M204&lt;&gt;1)),
IF(Import.TipoArredondamento&lt;&gt;"TransfereGOV",
ROUND(OFFSET($P204,0,AN$13),15-13*ORÇAMENTO!$AF$7)/$H204*OFFSET(ORÇAMENTO!$X$15,ROW(AN204)-ROW(AN$15),0),
ROUND(ROUND(OFFSET($P204,0,AN$13),15-13*ORÇAMENTO!$AF$7)*OFFSET(ORÇAMENTO!$W$15,ROW(AN204)-ROW(AN$15),0),15-13*ORÇAMENTO!$AF$11)),0)</f>
        <v>0</v>
      </c>
      <c r="AO204" s="545">
        <f ca="1">IF(AND($D204="Serviço",AO$12&lt;&gt;0,$H204&gt;0,OR(AUTOEVENTO&lt;&gt;"manual",$M204&lt;&gt;1)),
IF(Import.TipoArredondamento&lt;&gt;"TransfereGOV",
ROUND(OFFSET($P204,0,AO$13),15-13*ORÇAMENTO!$AF$7)/$H204*OFFSET(ORÇAMENTO!$X$15,ROW(AO204)-ROW(AO$15),0),
ROUND(ROUND(OFFSET($P204,0,AO$13),15-13*ORÇAMENTO!$AF$7)*OFFSET(ORÇAMENTO!$W$15,ROW(AO204)-ROW(AO$15),0),15-13*ORÇAMENTO!$AF$11)),0)</f>
        <v>0</v>
      </c>
      <c r="AP204" s="545">
        <f ca="1">IF(AND($D204="Serviço",AP$12&lt;&gt;0,$H204&gt;0,OR(AUTOEVENTO&lt;&gt;"manual",$M204&lt;&gt;1)),
IF(Import.TipoArredondamento&lt;&gt;"TransfereGOV",
ROUND(OFFSET($P204,0,AP$13),15-13*ORÇAMENTO!$AF$7)/$H204*OFFSET(ORÇAMENTO!$X$15,ROW(AP204)-ROW(AP$15),0),
ROUND(ROUND(OFFSET($P204,0,AP$13),15-13*ORÇAMENTO!$AF$7)*OFFSET(ORÇAMENTO!$W$15,ROW(AP204)-ROW(AP$15),0),15-13*ORÇAMENTO!$AF$11)),0)</f>
        <v>0</v>
      </c>
      <c r="AQ204" s="545">
        <f ca="1">IF(AND($D204="Serviço",AQ$12&lt;&gt;0,$H204&gt;0,OR(AUTOEVENTO&lt;&gt;"manual",$M204&lt;&gt;1)),
IF(Import.TipoArredondamento&lt;&gt;"TransfereGOV",
ROUND(OFFSET($P204,0,AQ$13),15-13*ORÇAMENTO!$AF$7)/$H204*OFFSET(ORÇAMENTO!$X$15,ROW(AQ204)-ROW(AQ$15),0),
ROUND(ROUND(OFFSET($P204,0,AQ$13),15-13*ORÇAMENTO!$AF$7)*OFFSET(ORÇAMENTO!$W$15,ROW(AQ204)-ROW(AQ$15),0),15-13*ORÇAMENTO!$AF$11)),0)</f>
        <v>0</v>
      </c>
      <c r="AR204" s="545">
        <f ca="1">IF(AND($D204="Serviço",AR$12&lt;&gt;0,$H204&gt;0,OR(AUTOEVENTO&lt;&gt;"manual",$M204&lt;&gt;1)),
IF(Import.TipoArredondamento&lt;&gt;"TransfereGOV",
ROUND(OFFSET($P204,0,AR$13),15-13*ORÇAMENTO!$AF$7)/$H204*OFFSET(ORÇAMENTO!$X$15,ROW(AR204)-ROW(AR$15),0),
ROUND(ROUND(OFFSET($P204,0,AR$13),15-13*ORÇAMENTO!$AF$7)*OFFSET(ORÇAMENTO!$W$15,ROW(AR204)-ROW(AR$15),0),15-13*ORÇAMENTO!$AF$11)),0)</f>
        <v>0</v>
      </c>
      <c r="AS204" s="546">
        <f ca="1">IF(AND($D204="Serviço",AS$12&lt;&gt;0,$H204&gt;0,OR(AUTOEVENTO&lt;&gt;"manual",$M204&lt;&gt;1)),
IF(Import.TipoArredondamento&lt;&gt;"TransfereGOV",
ROUND(OFFSET($P204,0,AS$13),15-13*ORÇAMENTO!$AF$7)/$H204*OFFSET(ORÇAMENTO!$X$15,ROW(AS204)-ROW(AS$15),0),
ROUND(ROUND(OFFSET($P204,0,AS$13),15-13*ORÇAMENTO!$AF$7)*OFFSET(ORÇAMENTO!$W$15,ROW(AS204)-ROW(AS$15),0),15-13*ORÇAMENTO!$AF$11)),0)</f>
        <v>0</v>
      </c>
      <c r="AT204" s="545">
        <f ca="1">IF(AND($D204="Serviço",AT$12&lt;&gt;0,$H204&gt;0,OR(AUTOEVENTO&lt;&gt;"manual",$M204&lt;&gt;1)),
IF(Import.TipoArredondamento&lt;&gt;"TransfereGOV",
ROUND(OFFSET($P204,0,AT$13),15-13*ORÇAMENTO!$AF$7)/$H204*OFFSET(ORÇAMENTO!$X$15,ROW(AT204)-ROW(AT$15),0),
ROUND(ROUND(OFFSET($P204,0,AT$13),15-13*ORÇAMENTO!$AF$7)*OFFSET(ORÇAMENTO!$W$15,ROW(AT204)-ROW(AT$15),0),15-13*ORÇAMENTO!$AF$11)),0)</f>
        <v>0</v>
      </c>
      <c r="AU204" s="545">
        <f ca="1">IF(AND($D204="Serviço",AU$12&lt;&gt;0,$H204&gt;0,OR(AUTOEVENTO&lt;&gt;"manual",$M204&lt;&gt;1)),
IF(Import.TipoArredondamento&lt;&gt;"TransfereGOV",
ROUND(OFFSET($P204,0,AU$13),15-13*ORÇAMENTO!$AF$7)/$H204*OFFSET(ORÇAMENTO!$X$15,ROW(AU204)-ROW(AU$15),0),
ROUND(ROUND(OFFSET($P204,0,AU$13),15-13*ORÇAMENTO!$AF$7)*OFFSET(ORÇAMENTO!$W$15,ROW(AU204)-ROW(AU$15),0),15-13*ORÇAMENTO!$AF$11)),0)</f>
        <v>0</v>
      </c>
      <c r="AV204" s="545">
        <f ca="1">IF(AND($D204="Serviço",AV$12&lt;&gt;0,$H204&gt;0,OR(AUTOEVENTO&lt;&gt;"manual",$M204&lt;&gt;1)),
IF(Import.TipoArredondamento&lt;&gt;"TransfereGOV",
ROUND(OFFSET($P204,0,AV$13),15-13*ORÇAMENTO!$AF$7)/$H204*OFFSET(ORÇAMENTO!$X$15,ROW(AV204)-ROW(AV$15),0),
ROUND(ROUND(OFFSET($P204,0,AV$13),15-13*ORÇAMENTO!$AF$7)*OFFSET(ORÇAMENTO!$W$15,ROW(AV204)-ROW(AV$15),0),15-13*ORÇAMENTO!$AF$11)),0)</f>
        <v>0</v>
      </c>
      <c r="AW204" s="545">
        <f ca="1">IF(AND($D204="Serviço",AW$12&lt;&gt;0,$H204&gt;0,OR(AUTOEVENTO&lt;&gt;"manual",$M204&lt;&gt;1)),
IF(Import.TipoArredondamento&lt;&gt;"TransfereGOV",
ROUND(OFFSET($P204,0,AW$13),15-13*ORÇAMENTO!$AF$7)/$H204*OFFSET(ORÇAMENTO!$X$15,ROW(AW204)-ROW(AW$15),0),
ROUND(ROUND(OFFSET($P204,0,AW$13),15-13*ORÇAMENTO!$AF$7)*OFFSET(ORÇAMENTO!$W$15,ROW(AW204)-ROW(AW$15),0),15-13*ORÇAMENTO!$AF$11)),0)</f>
        <v>0</v>
      </c>
      <c r="AX204" s="545">
        <f ca="1">IF(AND($D204="Serviço",AX$12&lt;&gt;0,$H204&gt;0,OR(AUTOEVENTO&lt;&gt;"manual",$M204&lt;&gt;1)),
IF(Import.TipoArredondamento&lt;&gt;"TransfereGOV",
ROUND(OFFSET($P204,0,AX$13),15-13*ORÇAMENTO!$AF$7)/$H204*OFFSET(ORÇAMENTO!$X$15,ROW(AX204)-ROW(AX$15),0),
ROUND(ROUND(OFFSET($P204,0,AX$13),15-13*ORÇAMENTO!$AF$7)*OFFSET(ORÇAMENTO!$W$15,ROW(AX204)-ROW(AX$15),0),15-13*ORÇAMENTO!$AF$11)),0)</f>
        <v>0</v>
      </c>
      <c r="AY204" s="545">
        <f ca="1">IF(AND($D204="Serviço",AY$12&lt;&gt;0,$H204&gt;0,OR(AUTOEVENTO&lt;&gt;"manual",$M204&lt;&gt;1)),
IF(Import.TipoArredondamento&lt;&gt;"TransfereGOV",
ROUND(OFFSET($P204,0,AY$13),15-13*ORÇAMENTO!$AF$7)/$H204*OFFSET(ORÇAMENTO!$X$15,ROW(AY204)-ROW(AY$15),0),
ROUND(ROUND(OFFSET($P204,0,AY$13),15-13*ORÇAMENTO!$AF$7)*OFFSET(ORÇAMENTO!$W$15,ROW(AY204)-ROW(AY$15),0),15-13*ORÇAMENTO!$AF$11)),0)</f>
        <v>0</v>
      </c>
      <c r="AZ204" s="545">
        <f ca="1">IF(AND($D204="Serviço",AZ$12&lt;&gt;0,$H204&gt;0,OR(AUTOEVENTO&lt;&gt;"manual",$M204&lt;&gt;1)),
IF(Import.TipoArredondamento&lt;&gt;"TransfereGOV",
ROUND(OFFSET($P204,0,AZ$13),15-13*ORÇAMENTO!$AF$7)/$H204*OFFSET(ORÇAMENTO!$X$15,ROW(AZ204)-ROW(AZ$15),0),
ROUND(ROUND(OFFSET($P204,0,AZ$13),15-13*ORÇAMENTO!$AF$7)*OFFSET(ORÇAMENTO!$W$15,ROW(AZ204)-ROW(AZ$15),0),15-13*ORÇAMENTO!$AF$11)),0)</f>
        <v>0</v>
      </c>
      <c r="BA204" s="546">
        <f ca="1">IF(AND($D204="Serviço",BA$12&lt;&gt;0,$H204&gt;0,OR(AUTOEVENTO&lt;&gt;"manual",$M204&lt;&gt;1)),
IF(Import.TipoArredondamento&lt;&gt;"TransfereGOV",
ROUND(OFFSET($P204,0,BA$13),15-13*ORÇAMENTO!$AF$7)/$H204*OFFSET(ORÇAMENTO!$X$15,ROW(BA204)-ROW(BA$15),0),
ROUND(ROUND(OFFSET($P204,0,BA$13),15-13*ORÇAMENTO!$AF$7)*OFFSET(ORÇAMENTO!$W$15,ROW(BA204)-ROW(BA$15),0),15-13*ORÇAMENTO!$AF$11)),0)</f>
        <v>0</v>
      </c>
      <c r="BC204" s="181">
        <f ca="1">IF($D204&lt;&gt;"Serviço",0,IF(AND(AUTOEVENTO="Manual",$M204=1),0,IF(OFFSET(CRONOPLE!$F$14,$M204,BC$13)="",10^12,OFFSET(CRONOPLE!$F$14,$M204,BC$13))))</f>
        <v>8</v>
      </c>
      <c r="BD204" s="181">
        <f ca="1">IF($D204&lt;&gt;"Serviço",0,IF(AND(AUTOEVENTO="Manual",$M204=1),0,IF(OFFSET(CRONOPLE!$F$14,$M204,BD$13)="",10^12,OFFSET(CRONOPLE!$F$14,$M204,BD$13))))</f>
        <v>1000000000000</v>
      </c>
      <c r="BE204" s="181">
        <f ca="1">IF($D204&lt;&gt;"Serviço",0,IF(AND(AUTOEVENTO="Manual",$M204=1),0,IF(OFFSET(CRONOPLE!$F$14,$M204,BE$13)="",10^12,OFFSET(CRONOPLE!$F$14,$M204,BE$13))))</f>
        <v>1000000000000</v>
      </c>
      <c r="BF204" s="181">
        <f ca="1">IF($D204&lt;&gt;"Serviço",0,IF(AND(AUTOEVENTO="Manual",$M204=1),0,IF(OFFSET(CRONOPLE!$F$14,$M204,BF$13)="",10^12,OFFSET(CRONOPLE!$F$14,$M204,BF$13))))</f>
        <v>1000000000000</v>
      </c>
      <c r="BG204" s="181">
        <f ca="1">IF($D204&lt;&gt;"Serviço",0,IF(AND(AUTOEVENTO="Manual",$M204=1),0,IF(OFFSET(CRONOPLE!$F$14,$M204,BG$13)="",10^12,OFFSET(CRONOPLE!$F$14,$M204,BG$13))))</f>
        <v>1000000000000</v>
      </c>
      <c r="BH204" s="181">
        <f ca="1">IF($D204&lt;&gt;"Serviço",0,IF(AND(AUTOEVENTO="Manual",$M204=1),0,IF(OFFSET(CRONOPLE!$F$14,$M204,BH$13)="",10^12,OFFSET(CRONOPLE!$F$14,$M204,BH$13))))</f>
        <v>1000000000000</v>
      </c>
      <c r="BI204" s="181">
        <f ca="1">IF($D204&lt;&gt;"Serviço",0,IF(AND(AUTOEVENTO="Manual",$M204=1),0,IF(OFFSET(CRONOPLE!$F$14,$M204,BI$13)="",10^12,OFFSET(CRONOPLE!$F$14,$M204,BI$13))))</f>
        <v>1000000000000</v>
      </c>
      <c r="BJ204" s="181">
        <f ca="1">IF($D204&lt;&gt;"Serviço",0,IF(AND(AUTOEVENTO="Manual",$M204=1),0,IF(OFFSET(CRONOPLE!$F$14,$M204,BJ$13)="",10^12,OFFSET(CRONOPLE!$F$14,$M204,BJ$13))))</f>
        <v>1000000000000</v>
      </c>
      <c r="BK204" s="181">
        <f ca="1">IF($D204&lt;&gt;"Serviço",0,IF(AND(AUTOEVENTO="Manual",$M204=1),0,IF(OFFSET(CRONOPLE!$F$14,$M204,BK$13)="",10^12,OFFSET(CRONOPLE!$F$14,$M204,BK$13))))</f>
        <v>1000000000000</v>
      </c>
      <c r="BL204" s="181">
        <f ca="1">IF($D204&lt;&gt;"Serviço",0,IF(AND(AUTOEVENTO="Manual",$M204=1),0,IF(OFFSET(CRONOPLE!$F$14,$M204,BL$13)="",10^12,OFFSET(CRONOPLE!$F$14,$M204,BL$13))))</f>
        <v>1000000000000</v>
      </c>
      <c r="BM204" s="181">
        <f ca="1">IF($D204&lt;&gt;"Serviço",0,IF(AND(AUTOEVENTO="Manual",$M204=1),0,IF(OFFSET(CRONOPLE!$F$14,$M204,BM$13)="",10^12,OFFSET(CRONOPLE!$F$14,$M204,BM$13))))</f>
        <v>1000000000000</v>
      </c>
      <c r="BN204" s="181">
        <f ca="1">IF($D204&lt;&gt;"Serviço",0,IF(AND(AUTOEVENTO="Manual",$M204=1),0,IF(OFFSET(CRONOPLE!$F$14,$M204,BN$13)="",10^12,OFFSET(CRONOPLE!$F$14,$M204,BN$13))))</f>
        <v>1000000000000</v>
      </c>
      <c r="BO204" s="181">
        <f ca="1">IF($D204&lt;&gt;"Serviço",0,IF(AND(AUTOEVENTO="Manual",$M204=1),0,IF(OFFSET(CRONOPLE!$F$14,$M204,BO$13)="",10^12,OFFSET(CRONOPLE!$F$14,$M204,BO$13))))</f>
        <v>1000000000000</v>
      </c>
      <c r="BP204" s="181">
        <f ca="1">IF($D204&lt;&gt;"Serviço",0,IF(AND(AUTOEVENTO="Manual",$M204=1),0,IF(OFFSET(CRONOPLE!$F$14,$M204,BP$13)="",10^12,OFFSET(CRONOPLE!$F$14,$M204,BP$13))))</f>
        <v>1000000000000</v>
      </c>
      <c r="BQ204" s="181">
        <f ca="1">IF($D204&lt;&gt;"Serviço",0,IF(AND(AUTOEVENTO="Manual",$M204=1),0,IF(OFFSET(CRONOPLE!$F$14,$M204,BQ$13)="",10^12,OFFSET(CRONOPLE!$F$14,$M204,BQ$13))))</f>
        <v>1000000000000</v>
      </c>
      <c r="BR204" s="181">
        <f ca="1">IF($D204&lt;&gt;"Serviço",0,IF(AND(AUTOEVENTO="Manual",$M204=1),0,IF(OFFSET(CRONOPLE!$F$14,$M204,BR$13)="",10^12,OFFSET(CRONOPLE!$F$14,$M204,BR$13))))</f>
        <v>1000000000000</v>
      </c>
      <c r="BS204" s="181">
        <f ca="1">IF($D204&lt;&gt;"Serviço",0,IF(AND(AUTOEVENTO="Manual",$M204=1),0,IF(OFFSET(CRONOPLE!$F$14,$M204,BS$13)="",10^12,OFFSET(CRONOPLE!$F$14,$M204,BS$13))))</f>
        <v>1000000000000</v>
      </c>
      <c r="BT204" s="181">
        <f ca="1">IF($D204&lt;&gt;"Serviço",0,IF(AND(AUTOEVENTO="Manual",$M204=1),0,IF(OFFSET(CRONOPLE!$F$14,$M204,BT$13)="",10^12,OFFSET(CRONOPLE!$F$14,$M204,BT$13))))</f>
        <v>1000000000000</v>
      </c>
      <c r="BV204" s="182">
        <f ca="1">IF($D204&lt;&gt;"Serviço",0,IF(OR(AND(AUTOEVENTO="Manual",$M204=1),$M204&gt;(ROW(PLE.lastrow)-ROW(PLE.firstrow))),0,IF(OFFSET(PLE!$G$14,$M204,BV$13)="",10^12,OFFSET(PLE!$G$14,$M204,BV$13))))</f>
        <v>1000000000000</v>
      </c>
      <c r="BW204" s="182">
        <f ca="1">IF($D204&lt;&gt;"Serviço",0,IF(OR(AND(AUTOEVENTO="Manual",$M204=1),$M204&gt;(ROW(PLE.lastrow)-ROW(PLE.firstrow))),0,IF(OFFSET(PLE!$G$14,$M204,BW$13)="",10^12,OFFSET(PLE!$G$14,$M204,BW$13))))</f>
        <v>1000000000000</v>
      </c>
      <c r="BX204" s="182">
        <f ca="1">IF($D204&lt;&gt;"Serviço",0,IF(OR(AND(AUTOEVENTO="Manual",$M204=1),$M204&gt;(ROW(PLE.lastrow)-ROW(PLE.firstrow))),0,IF(OFFSET(PLE!$G$14,$M204,BX$13)="",10^12,OFFSET(PLE!$G$14,$M204,BX$13))))</f>
        <v>1000000000000</v>
      </c>
      <c r="BY204" s="182">
        <f ca="1">IF($D204&lt;&gt;"Serviço",0,IF(OR(AND(AUTOEVENTO="Manual",$M204=1),$M204&gt;(ROW(PLE.lastrow)-ROW(PLE.firstrow))),0,IF(OFFSET(PLE!$G$14,$M204,BY$13)="",10^12,OFFSET(PLE!$G$14,$M204,BY$13))))</f>
        <v>1000000000000</v>
      </c>
      <c r="BZ204" s="182">
        <f ca="1">IF($D204&lt;&gt;"Serviço",0,IF(OR(AND(AUTOEVENTO="Manual",$M204=1),$M204&gt;(ROW(PLE.lastrow)-ROW(PLE.firstrow))),0,IF(OFFSET(PLE!$G$14,$M204,BZ$13)="",10^12,OFFSET(PLE!$G$14,$M204,BZ$13))))</f>
        <v>1000000000000</v>
      </c>
      <c r="CA204" s="182">
        <f ca="1">IF($D204&lt;&gt;"Serviço",0,IF(OR(AND(AUTOEVENTO="Manual",$M204=1),$M204&gt;(ROW(PLE.lastrow)-ROW(PLE.firstrow))),0,IF(OFFSET(PLE!$G$14,$M204,CA$13)="",10^12,OFFSET(PLE!$G$14,$M204,CA$13))))</f>
        <v>1000000000000</v>
      </c>
      <c r="CB204" s="182">
        <f ca="1">IF($D204&lt;&gt;"Serviço",0,IF(OR(AND(AUTOEVENTO="Manual",$M204=1),$M204&gt;(ROW(PLE.lastrow)-ROW(PLE.firstrow))),0,IF(OFFSET(PLE!$G$14,$M204,CB$13)="",10^12,OFFSET(PLE!$G$14,$M204,CB$13))))</f>
        <v>1000000000000</v>
      </c>
      <c r="CC204" s="182">
        <f ca="1">IF($D204&lt;&gt;"Serviço",0,IF(OR(AND(AUTOEVENTO="Manual",$M204=1),$M204&gt;(ROW(PLE.lastrow)-ROW(PLE.firstrow))),0,IF(OFFSET(PLE!$G$14,$M204,CC$13)="",10^12,OFFSET(PLE!$G$14,$M204,CC$13))))</f>
        <v>1000000000000</v>
      </c>
      <c r="CD204" s="182">
        <f ca="1">IF($D204&lt;&gt;"Serviço",0,IF(OR(AND(AUTOEVENTO="Manual",$M204=1),$M204&gt;(ROW(PLE.lastrow)-ROW(PLE.firstrow))),0,IF(OFFSET(PLE!$G$14,$M204,CD$13)="",10^12,OFFSET(PLE!$G$14,$M204,CD$13))))</f>
        <v>1000000000000</v>
      </c>
      <c r="CE204" s="182">
        <f ca="1">IF($D204&lt;&gt;"Serviço",0,IF(OR(AND(AUTOEVENTO="Manual",$M204=1),$M204&gt;(ROW(PLE.lastrow)-ROW(PLE.firstrow))),0,IF(OFFSET(PLE!$G$14,$M204,CE$13)="",10^12,OFFSET(PLE!$G$14,$M204,CE$13))))</f>
        <v>1000000000000</v>
      </c>
      <c r="CF204" s="182">
        <f ca="1">IF($D204&lt;&gt;"Serviço",0,IF(OR(AND(AUTOEVENTO="Manual",$M204=1),$M204&gt;(ROW(PLE.lastrow)-ROW(PLE.firstrow))),0,IF(OFFSET(PLE!$G$14,$M204,CF$13)="",10^12,OFFSET(PLE!$G$14,$M204,CF$13))))</f>
        <v>1000000000000</v>
      </c>
      <c r="CG204" s="182">
        <f ca="1">IF($D204&lt;&gt;"Serviço",0,IF(OR(AND(AUTOEVENTO="Manual",$M204=1),$M204&gt;(ROW(PLE.lastrow)-ROW(PLE.firstrow))),0,IF(OFFSET(PLE!$G$14,$M204,CG$13)="",10^12,OFFSET(PLE!$G$14,$M204,CG$13))))</f>
        <v>1000000000000</v>
      </c>
      <c r="CH204" s="182">
        <f ca="1">IF($D204&lt;&gt;"Serviço",0,IF(OR(AND(AUTOEVENTO="Manual",$M204=1),$M204&gt;(ROW(PLE.lastrow)-ROW(PLE.firstrow))),0,IF(OFFSET(PLE!$G$14,$M204,CH$13)="",10^12,OFFSET(PLE!$G$14,$M204,CH$13))))</f>
        <v>1000000000000</v>
      </c>
      <c r="CI204" s="182">
        <f ca="1">IF($D204&lt;&gt;"Serviço",0,IF(OR(AND(AUTOEVENTO="Manual",$M204=1),$M204&gt;(ROW(PLE.lastrow)-ROW(PLE.firstrow))),0,IF(OFFSET(PLE!$G$14,$M204,CI$13)="",10^12,OFFSET(PLE!$G$14,$M204,CI$13))))</f>
        <v>1000000000000</v>
      </c>
      <c r="CJ204" s="182">
        <f ca="1">IF($D204&lt;&gt;"Serviço",0,IF(OR(AND(AUTOEVENTO="Manual",$M204=1),$M204&gt;(ROW(PLE.lastrow)-ROW(PLE.firstrow))),0,IF(OFFSET(PLE!$G$14,$M204,CJ$13)="",10^12,OFFSET(PLE!$G$14,$M204,CJ$13))))</f>
        <v>1000000000000</v>
      </c>
      <c r="CK204" s="182">
        <f ca="1">IF($D204&lt;&gt;"Serviço",0,IF(OR(AND(AUTOEVENTO="Manual",$M204=1),$M204&gt;(ROW(PLE.lastrow)-ROW(PLE.firstrow))),0,IF(OFFSET(PLE!$G$14,$M204,CK$13)="",10^12,OFFSET(PLE!$G$14,$M204,CK$13))))</f>
        <v>1000000000000</v>
      </c>
      <c r="CL204" s="182">
        <f ca="1">IF($D204&lt;&gt;"Serviço",0,IF(OR(AND(AUTOEVENTO="Manual",$M204=1),$M204&gt;(ROW(PLE.lastrow)-ROW(PLE.firstrow))),0,IF(OFFSET(PLE!$G$14,$M204,CL$13)="",10^12,OFFSET(PLE!$G$14,$M204,CL$13))))</f>
        <v>1000000000000</v>
      </c>
      <c r="CM204" s="182">
        <f ca="1">IF($D204&lt;&gt;"Serviço",0,IF(OR(AND(AUTOEVENTO="Manual",$M204=1),$M204&gt;(ROW(PLE.lastrow)-ROW(PLE.firstrow))),0,IF(OFFSET(PLE!$G$14,$M204,CM$13)="",10^12,OFFSET(PLE!$G$14,$M204,CM$13))))</f>
        <v>1000000000000</v>
      </c>
    </row>
    <row r="205" spans="1:91" ht="25.5" x14ac:dyDescent="0.2">
      <c r="A205" s="7" t="str">
        <f t="shared" ca="1" si="12"/>
        <v>184</v>
      </c>
      <c r="B205" s="7" t="str">
        <f ca="1">OFFSET(ORÇAMENTO!C$15,ROW(B205)-ROW(B$15),0)</f>
        <v>S</v>
      </c>
      <c r="C205" s="7" t="str">
        <f ca="1">OFFSET(ORÇAMENTO!L$15,ROW(C205)-ROW(C$15),0)</f>
        <v/>
      </c>
      <c r="D205" s="118" t="str">
        <f ca="1">OFFSET(ORÇAMENTO!N$15,ROW(D205)-ROW(D$15),0)</f>
        <v>Serviço</v>
      </c>
      <c r="E205" s="119" t="str">
        <f ca="1">OFFSET(ORÇAMENTO!O$15,ROW(E205)-ROW(E$15),0)</f>
        <v>-</v>
      </c>
      <c r="F205" s="172" t="str">
        <f ca="1">OFFSET(ORÇAMENTO!R$15,ROW(F205)-ROW(F$15),0)</f>
        <v>(abra o arquivo 'Referência 06-2024.xlsm)</v>
      </c>
      <c r="G205" s="173" t="str">
        <f ca="1">IF($D205&lt;&gt;"Serviço","",OFFSET(ORÇAMENTO!S$15,ROW(G205)-ROW(G$15),0))</f>
        <v>-</v>
      </c>
      <c r="H205" s="124">
        <f ca="1">IF($D205&lt;&gt;"Serviço",0,IF(ACOMPANHAMENTO="BM",ROUND(OFFSET(ORÇAMENTO!AJ$15,ROW(H205)-ROW(H$15),0),15-13*ORÇAMENTO!$AF$7),SUMPRODUCT(($Q$12:$AI$12&lt;&gt;"")*ROUND($Q205:$AI205,15-13*ORÇAMENTO!$AF$7))))</f>
        <v>32.9</v>
      </c>
      <c r="I205" s="561" t="s">
        <v>1107</v>
      </c>
      <c r="K205" s="174"/>
      <c r="L205" s="175" t="s">
        <v>255</v>
      </c>
      <c r="M205" s="176">
        <f ca="1">IF($D205&lt;&gt;"Serviço","",IF(AUTOEVENTO="manual",$A205,IF(ISERROR(MATCH($A205,$A$15:OFFSET($A205,-1,0),0)),MAX($M$15:OFFSET(M205,-1,0))+1,INDEX($M$15:OFFSET(M205,-1,0),MATCH($A205,$A$15:OFFSET($A205,-1,0),0)))))</f>
        <v>28</v>
      </c>
      <c r="N205" s="177" t="str">
        <f ca="1">IF($D205&lt;&gt;"Serviço","",IF(AUTOEVENTO="Manual",IF($A205=0,"&lt;-- defina o número do agrupador",OFFSET(EVENTOS!$D$14,$A205,0)),OFFSET($F$15,$A205,0)))</f>
        <v>SISTEMAS DE PISOS - PAVIMENTAÇÃO INTERNA</v>
      </c>
      <c r="O205" s="178"/>
      <c r="Q205" s="178">
        <v>32.9</v>
      </c>
      <c r="R205" s="179"/>
      <c r="S205" s="179"/>
      <c r="T205" s="179"/>
      <c r="U205" s="179"/>
      <c r="V205" s="179"/>
      <c r="W205" s="179"/>
      <c r="X205" s="179"/>
      <c r="Y205" s="179"/>
      <c r="Z205" s="180"/>
      <c r="AA205" s="179"/>
      <c r="AB205" s="179"/>
      <c r="AC205" s="179"/>
      <c r="AD205" s="179"/>
      <c r="AE205" s="179"/>
      <c r="AF205" s="179"/>
      <c r="AG205" s="179"/>
      <c r="AH205" s="180"/>
      <c r="AJ205" s="544">
        <f ca="1">IF(AND($D205="Serviço",AJ$12&lt;&gt;0,$H205&gt;0,OR(AUTOEVENTO&lt;&gt;"manual",$M205&lt;&gt;1)),
IF(Import.TipoArredondamento&lt;&gt;"TransfereGOV",
ROUND(OFFSET($P205,0,AJ$13),15-13*ORÇAMENTO!$AF$7)/$H205*OFFSET(ORÇAMENTO!$X$15,ROW(AJ205)-ROW(AJ$15),0),
ROUND(ROUND(OFFSET($P205,0,AJ$13),15-13*ORÇAMENTO!$AF$7)*OFFSET(ORÇAMENTO!$W$15,ROW(AJ205)-ROW(AJ$15),0),15-13*ORÇAMENTO!$AF$11)),0)</f>
        <v>0</v>
      </c>
      <c r="AK205" s="545">
        <f ca="1">IF(AND($D205="Serviço",AK$12&lt;&gt;0,$H205&gt;0,OR(AUTOEVENTO&lt;&gt;"manual",$M205&lt;&gt;1)),
IF(Import.TipoArredondamento&lt;&gt;"TransfereGOV",
ROUND(OFFSET($P205,0,AK$13),15-13*ORÇAMENTO!$AF$7)/$H205*OFFSET(ORÇAMENTO!$X$15,ROW(AK205)-ROW(AK$15),0),
ROUND(ROUND(OFFSET($P205,0,AK$13),15-13*ORÇAMENTO!$AF$7)*OFFSET(ORÇAMENTO!$W$15,ROW(AK205)-ROW(AK$15),0),15-13*ORÇAMENTO!$AF$11)),0)</f>
        <v>0</v>
      </c>
      <c r="AL205" s="545">
        <f ca="1">IF(AND($D205="Serviço",AL$12&lt;&gt;0,$H205&gt;0,OR(AUTOEVENTO&lt;&gt;"manual",$M205&lt;&gt;1)),
IF(Import.TipoArredondamento&lt;&gt;"TransfereGOV",
ROUND(OFFSET($P205,0,AL$13),15-13*ORÇAMENTO!$AF$7)/$H205*OFFSET(ORÇAMENTO!$X$15,ROW(AL205)-ROW(AL$15),0),
ROUND(ROUND(OFFSET($P205,0,AL$13),15-13*ORÇAMENTO!$AF$7)*OFFSET(ORÇAMENTO!$W$15,ROW(AL205)-ROW(AL$15),0),15-13*ORÇAMENTO!$AF$11)),0)</f>
        <v>0</v>
      </c>
      <c r="AM205" s="545">
        <f ca="1">IF(AND($D205="Serviço",AM$12&lt;&gt;0,$H205&gt;0,OR(AUTOEVENTO&lt;&gt;"manual",$M205&lt;&gt;1)),
IF(Import.TipoArredondamento&lt;&gt;"TransfereGOV",
ROUND(OFFSET($P205,0,AM$13),15-13*ORÇAMENTO!$AF$7)/$H205*OFFSET(ORÇAMENTO!$X$15,ROW(AM205)-ROW(AM$15),0),
ROUND(ROUND(OFFSET($P205,0,AM$13),15-13*ORÇAMENTO!$AF$7)*OFFSET(ORÇAMENTO!$W$15,ROW(AM205)-ROW(AM$15),0),15-13*ORÇAMENTO!$AF$11)),0)</f>
        <v>0</v>
      </c>
      <c r="AN205" s="545">
        <f ca="1">IF(AND($D205="Serviço",AN$12&lt;&gt;0,$H205&gt;0,OR(AUTOEVENTO&lt;&gt;"manual",$M205&lt;&gt;1)),
IF(Import.TipoArredondamento&lt;&gt;"TransfereGOV",
ROUND(OFFSET($P205,0,AN$13),15-13*ORÇAMENTO!$AF$7)/$H205*OFFSET(ORÇAMENTO!$X$15,ROW(AN205)-ROW(AN$15),0),
ROUND(ROUND(OFFSET($P205,0,AN$13),15-13*ORÇAMENTO!$AF$7)*OFFSET(ORÇAMENTO!$W$15,ROW(AN205)-ROW(AN$15),0),15-13*ORÇAMENTO!$AF$11)),0)</f>
        <v>0</v>
      </c>
      <c r="AO205" s="545">
        <f ca="1">IF(AND($D205="Serviço",AO$12&lt;&gt;0,$H205&gt;0,OR(AUTOEVENTO&lt;&gt;"manual",$M205&lt;&gt;1)),
IF(Import.TipoArredondamento&lt;&gt;"TransfereGOV",
ROUND(OFFSET($P205,0,AO$13),15-13*ORÇAMENTO!$AF$7)/$H205*OFFSET(ORÇAMENTO!$X$15,ROW(AO205)-ROW(AO$15),0),
ROUND(ROUND(OFFSET($P205,0,AO$13),15-13*ORÇAMENTO!$AF$7)*OFFSET(ORÇAMENTO!$W$15,ROW(AO205)-ROW(AO$15),0),15-13*ORÇAMENTO!$AF$11)),0)</f>
        <v>0</v>
      </c>
      <c r="AP205" s="545">
        <f ca="1">IF(AND($D205="Serviço",AP$12&lt;&gt;0,$H205&gt;0,OR(AUTOEVENTO&lt;&gt;"manual",$M205&lt;&gt;1)),
IF(Import.TipoArredondamento&lt;&gt;"TransfereGOV",
ROUND(OFFSET($P205,0,AP$13),15-13*ORÇAMENTO!$AF$7)/$H205*OFFSET(ORÇAMENTO!$X$15,ROW(AP205)-ROW(AP$15),0),
ROUND(ROUND(OFFSET($P205,0,AP$13),15-13*ORÇAMENTO!$AF$7)*OFFSET(ORÇAMENTO!$W$15,ROW(AP205)-ROW(AP$15),0),15-13*ORÇAMENTO!$AF$11)),0)</f>
        <v>0</v>
      </c>
      <c r="AQ205" s="545">
        <f ca="1">IF(AND($D205="Serviço",AQ$12&lt;&gt;0,$H205&gt;0,OR(AUTOEVENTO&lt;&gt;"manual",$M205&lt;&gt;1)),
IF(Import.TipoArredondamento&lt;&gt;"TransfereGOV",
ROUND(OFFSET($P205,0,AQ$13),15-13*ORÇAMENTO!$AF$7)/$H205*OFFSET(ORÇAMENTO!$X$15,ROW(AQ205)-ROW(AQ$15),0),
ROUND(ROUND(OFFSET($P205,0,AQ$13),15-13*ORÇAMENTO!$AF$7)*OFFSET(ORÇAMENTO!$W$15,ROW(AQ205)-ROW(AQ$15),0),15-13*ORÇAMENTO!$AF$11)),0)</f>
        <v>0</v>
      </c>
      <c r="AR205" s="545">
        <f ca="1">IF(AND($D205="Serviço",AR$12&lt;&gt;0,$H205&gt;0,OR(AUTOEVENTO&lt;&gt;"manual",$M205&lt;&gt;1)),
IF(Import.TipoArredondamento&lt;&gt;"TransfereGOV",
ROUND(OFFSET($P205,0,AR$13),15-13*ORÇAMENTO!$AF$7)/$H205*OFFSET(ORÇAMENTO!$X$15,ROW(AR205)-ROW(AR$15),0),
ROUND(ROUND(OFFSET($P205,0,AR$13),15-13*ORÇAMENTO!$AF$7)*OFFSET(ORÇAMENTO!$W$15,ROW(AR205)-ROW(AR$15),0),15-13*ORÇAMENTO!$AF$11)),0)</f>
        <v>0</v>
      </c>
      <c r="AS205" s="546">
        <f ca="1">IF(AND($D205="Serviço",AS$12&lt;&gt;0,$H205&gt;0,OR(AUTOEVENTO&lt;&gt;"manual",$M205&lt;&gt;1)),
IF(Import.TipoArredondamento&lt;&gt;"TransfereGOV",
ROUND(OFFSET($P205,0,AS$13),15-13*ORÇAMENTO!$AF$7)/$H205*OFFSET(ORÇAMENTO!$X$15,ROW(AS205)-ROW(AS$15),0),
ROUND(ROUND(OFFSET($P205,0,AS$13),15-13*ORÇAMENTO!$AF$7)*OFFSET(ORÇAMENTO!$W$15,ROW(AS205)-ROW(AS$15),0),15-13*ORÇAMENTO!$AF$11)),0)</f>
        <v>0</v>
      </c>
      <c r="AT205" s="545">
        <f ca="1">IF(AND($D205="Serviço",AT$12&lt;&gt;0,$H205&gt;0,OR(AUTOEVENTO&lt;&gt;"manual",$M205&lt;&gt;1)),
IF(Import.TipoArredondamento&lt;&gt;"TransfereGOV",
ROUND(OFFSET($P205,0,AT$13),15-13*ORÇAMENTO!$AF$7)/$H205*OFFSET(ORÇAMENTO!$X$15,ROW(AT205)-ROW(AT$15),0),
ROUND(ROUND(OFFSET($P205,0,AT$13),15-13*ORÇAMENTO!$AF$7)*OFFSET(ORÇAMENTO!$W$15,ROW(AT205)-ROW(AT$15),0),15-13*ORÇAMENTO!$AF$11)),0)</f>
        <v>0</v>
      </c>
      <c r="AU205" s="545">
        <f ca="1">IF(AND($D205="Serviço",AU$12&lt;&gt;0,$H205&gt;0,OR(AUTOEVENTO&lt;&gt;"manual",$M205&lt;&gt;1)),
IF(Import.TipoArredondamento&lt;&gt;"TransfereGOV",
ROUND(OFFSET($P205,0,AU$13),15-13*ORÇAMENTO!$AF$7)/$H205*OFFSET(ORÇAMENTO!$X$15,ROW(AU205)-ROW(AU$15),0),
ROUND(ROUND(OFFSET($P205,0,AU$13),15-13*ORÇAMENTO!$AF$7)*OFFSET(ORÇAMENTO!$W$15,ROW(AU205)-ROW(AU$15),0),15-13*ORÇAMENTO!$AF$11)),0)</f>
        <v>0</v>
      </c>
      <c r="AV205" s="545">
        <f ca="1">IF(AND($D205="Serviço",AV$12&lt;&gt;0,$H205&gt;0,OR(AUTOEVENTO&lt;&gt;"manual",$M205&lt;&gt;1)),
IF(Import.TipoArredondamento&lt;&gt;"TransfereGOV",
ROUND(OFFSET($P205,0,AV$13),15-13*ORÇAMENTO!$AF$7)/$H205*OFFSET(ORÇAMENTO!$X$15,ROW(AV205)-ROW(AV$15),0),
ROUND(ROUND(OFFSET($P205,0,AV$13),15-13*ORÇAMENTO!$AF$7)*OFFSET(ORÇAMENTO!$W$15,ROW(AV205)-ROW(AV$15),0),15-13*ORÇAMENTO!$AF$11)),0)</f>
        <v>0</v>
      </c>
      <c r="AW205" s="545">
        <f ca="1">IF(AND($D205="Serviço",AW$12&lt;&gt;0,$H205&gt;0,OR(AUTOEVENTO&lt;&gt;"manual",$M205&lt;&gt;1)),
IF(Import.TipoArredondamento&lt;&gt;"TransfereGOV",
ROUND(OFFSET($P205,0,AW$13),15-13*ORÇAMENTO!$AF$7)/$H205*OFFSET(ORÇAMENTO!$X$15,ROW(AW205)-ROW(AW$15),0),
ROUND(ROUND(OFFSET($P205,0,AW$13),15-13*ORÇAMENTO!$AF$7)*OFFSET(ORÇAMENTO!$W$15,ROW(AW205)-ROW(AW$15),0),15-13*ORÇAMENTO!$AF$11)),0)</f>
        <v>0</v>
      </c>
      <c r="AX205" s="545">
        <f ca="1">IF(AND($D205="Serviço",AX$12&lt;&gt;0,$H205&gt;0,OR(AUTOEVENTO&lt;&gt;"manual",$M205&lt;&gt;1)),
IF(Import.TipoArredondamento&lt;&gt;"TransfereGOV",
ROUND(OFFSET($P205,0,AX$13),15-13*ORÇAMENTO!$AF$7)/$H205*OFFSET(ORÇAMENTO!$X$15,ROW(AX205)-ROW(AX$15),0),
ROUND(ROUND(OFFSET($P205,0,AX$13),15-13*ORÇAMENTO!$AF$7)*OFFSET(ORÇAMENTO!$W$15,ROW(AX205)-ROW(AX$15),0),15-13*ORÇAMENTO!$AF$11)),0)</f>
        <v>0</v>
      </c>
      <c r="AY205" s="545">
        <f ca="1">IF(AND($D205="Serviço",AY$12&lt;&gt;0,$H205&gt;0,OR(AUTOEVENTO&lt;&gt;"manual",$M205&lt;&gt;1)),
IF(Import.TipoArredondamento&lt;&gt;"TransfereGOV",
ROUND(OFFSET($P205,0,AY$13),15-13*ORÇAMENTO!$AF$7)/$H205*OFFSET(ORÇAMENTO!$X$15,ROW(AY205)-ROW(AY$15),0),
ROUND(ROUND(OFFSET($P205,0,AY$13),15-13*ORÇAMENTO!$AF$7)*OFFSET(ORÇAMENTO!$W$15,ROW(AY205)-ROW(AY$15),0),15-13*ORÇAMENTO!$AF$11)),0)</f>
        <v>0</v>
      </c>
      <c r="AZ205" s="545">
        <f ca="1">IF(AND($D205="Serviço",AZ$12&lt;&gt;0,$H205&gt;0,OR(AUTOEVENTO&lt;&gt;"manual",$M205&lt;&gt;1)),
IF(Import.TipoArredondamento&lt;&gt;"TransfereGOV",
ROUND(OFFSET($P205,0,AZ$13),15-13*ORÇAMENTO!$AF$7)/$H205*OFFSET(ORÇAMENTO!$X$15,ROW(AZ205)-ROW(AZ$15),0),
ROUND(ROUND(OFFSET($P205,0,AZ$13),15-13*ORÇAMENTO!$AF$7)*OFFSET(ORÇAMENTO!$W$15,ROW(AZ205)-ROW(AZ$15),0),15-13*ORÇAMENTO!$AF$11)),0)</f>
        <v>0</v>
      </c>
      <c r="BA205" s="546">
        <f ca="1">IF(AND($D205="Serviço",BA$12&lt;&gt;0,$H205&gt;0,OR(AUTOEVENTO&lt;&gt;"manual",$M205&lt;&gt;1)),
IF(Import.TipoArredondamento&lt;&gt;"TransfereGOV",
ROUND(OFFSET($P205,0,BA$13),15-13*ORÇAMENTO!$AF$7)/$H205*OFFSET(ORÇAMENTO!$X$15,ROW(BA205)-ROW(BA$15),0),
ROUND(ROUND(OFFSET($P205,0,BA$13),15-13*ORÇAMENTO!$AF$7)*OFFSET(ORÇAMENTO!$W$15,ROW(BA205)-ROW(BA$15),0),15-13*ORÇAMENTO!$AF$11)),0)</f>
        <v>0</v>
      </c>
      <c r="BC205" s="181">
        <f ca="1">IF($D205&lt;&gt;"Serviço",0,IF(AND(AUTOEVENTO="Manual",$M205=1),0,IF(OFFSET(CRONOPLE!$F$14,$M205,BC$13)="",10^12,OFFSET(CRONOPLE!$F$14,$M205,BC$13))))</f>
        <v>8</v>
      </c>
      <c r="BD205" s="181">
        <f ca="1">IF($D205&lt;&gt;"Serviço",0,IF(AND(AUTOEVENTO="Manual",$M205=1),0,IF(OFFSET(CRONOPLE!$F$14,$M205,BD$13)="",10^12,OFFSET(CRONOPLE!$F$14,$M205,BD$13))))</f>
        <v>1000000000000</v>
      </c>
      <c r="BE205" s="181">
        <f ca="1">IF($D205&lt;&gt;"Serviço",0,IF(AND(AUTOEVENTO="Manual",$M205=1),0,IF(OFFSET(CRONOPLE!$F$14,$M205,BE$13)="",10^12,OFFSET(CRONOPLE!$F$14,$M205,BE$13))))</f>
        <v>1000000000000</v>
      </c>
      <c r="BF205" s="181">
        <f ca="1">IF($D205&lt;&gt;"Serviço",0,IF(AND(AUTOEVENTO="Manual",$M205=1),0,IF(OFFSET(CRONOPLE!$F$14,$M205,BF$13)="",10^12,OFFSET(CRONOPLE!$F$14,$M205,BF$13))))</f>
        <v>1000000000000</v>
      </c>
      <c r="BG205" s="181">
        <f ca="1">IF($D205&lt;&gt;"Serviço",0,IF(AND(AUTOEVENTO="Manual",$M205=1),0,IF(OFFSET(CRONOPLE!$F$14,$M205,BG$13)="",10^12,OFFSET(CRONOPLE!$F$14,$M205,BG$13))))</f>
        <v>1000000000000</v>
      </c>
      <c r="BH205" s="181">
        <f ca="1">IF($D205&lt;&gt;"Serviço",0,IF(AND(AUTOEVENTO="Manual",$M205=1),0,IF(OFFSET(CRONOPLE!$F$14,$M205,BH$13)="",10^12,OFFSET(CRONOPLE!$F$14,$M205,BH$13))))</f>
        <v>1000000000000</v>
      </c>
      <c r="BI205" s="181">
        <f ca="1">IF($D205&lt;&gt;"Serviço",0,IF(AND(AUTOEVENTO="Manual",$M205=1),0,IF(OFFSET(CRONOPLE!$F$14,$M205,BI$13)="",10^12,OFFSET(CRONOPLE!$F$14,$M205,BI$13))))</f>
        <v>1000000000000</v>
      </c>
      <c r="BJ205" s="181">
        <f ca="1">IF($D205&lt;&gt;"Serviço",0,IF(AND(AUTOEVENTO="Manual",$M205=1),0,IF(OFFSET(CRONOPLE!$F$14,$M205,BJ$13)="",10^12,OFFSET(CRONOPLE!$F$14,$M205,BJ$13))))</f>
        <v>1000000000000</v>
      </c>
      <c r="BK205" s="181">
        <f ca="1">IF($D205&lt;&gt;"Serviço",0,IF(AND(AUTOEVENTO="Manual",$M205=1),0,IF(OFFSET(CRONOPLE!$F$14,$M205,BK$13)="",10^12,OFFSET(CRONOPLE!$F$14,$M205,BK$13))))</f>
        <v>1000000000000</v>
      </c>
      <c r="BL205" s="181">
        <f ca="1">IF($D205&lt;&gt;"Serviço",0,IF(AND(AUTOEVENTO="Manual",$M205=1),0,IF(OFFSET(CRONOPLE!$F$14,$M205,BL$13)="",10^12,OFFSET(CRONOPLE!$F$14,$M205,BL$13))))</f>
        <v>1000000000000</v>
      </c>
      <c r="BM205" s="181">
        <f ca="1">IF($D205&lt;&gt;"Serviço",0,IF(AND(AUTOEVENTO="Manual",$M205=1),0,IF(OFFSET(CRONOPLE!$F$14,$M205,BM$13)="",10^12,OFFSET(CRONOPLE!$F$14,$M205,BM$13))))</f>
        <v>1000000000000</v>
      </c>
      <c r="BN205" s="181">
        <f ca="1">IF($D205&lt;&gt;"Serviço",0,IF(AND(AUTOEVENTO="Manual",$M205=1),0,IF(OFFSET(CRONOPLE!$F$14,$M205,BN$13)="",10^12,OFFSET(CRONOPLE!$F$14,$M205,BN$13))))</f>
        <v>1000000000000</v>
      </c>
      <c r="BO205" s="181">
        <f ca="1">IF($D205&lt;&gt;"Serviço",0,IF(AND(AUTOEVENTO="Manual",$M205=1),0,IF(OFFSET(CRONOPLE!$F$14,$M205,BO$13)="",10^12,OFFSET(CRONOPLE!$F$14,$M205,BO$13))))</f>
        <v>1000000000000</v>
      </c>
      <c r="BP205" s="181">
        <f ca="1">IF($D205&lt;&gt;"Serviço",0,IF(AND(AUTOEVENTO="Manual",$M205=1),0,IF(OFFSET(CRONOPLE!$F$14,$M205,BP$13)="",10^12,OFFSET(CRONOPLE!$F$14,$M205,BP$13))))</f>
        <v>1000000000000</v>
      </c>
      <c r="BQ205" s="181">
        <f ca="1">IF($D205&lt;&gt;"Serviço",0,IF(AND(AUTOEVENTO="Manual",$M205=1),0,IF(OFFSET(CRONOPLE!$F$14,$M205,BQ$13)="",10^12,OFFSET(CRONOPLE!$F$14,$M205,BQ$13))))</f>
        <v>1000000000000</v>
      </c>
      <c r="BR205" s="181">
        <f ca="1">IF($D205&lt;&gt;"Serviço",0,IF(AND(AUTOEVENTO="Manual",$M205=1),0,IF(OFFSET(CRONOPLE!$F$14,$M205,BR$13)="",10^12,OFFSET(CRONOPLE!$F$14,$M205,BR$13))))</f>
        <v>1000000000000</v>
      </c>
      <c r="BS205" s="181">
        <f ca="1">IF($D205&lt;&gt;"Serviço",0,IF(AND(AUTOEVENTO="Manual",$M205=1),0,IF(OFFSET(CRONOPLE!$F$14,$M205,BS$13)="",10^12,OFFSET(CRONOPLE!$F$14,$M205,BS$13))))</f>
        <v>1000000000000</v>
      </c>
      <c r="BT205" s="181">
        <f ca="1">IF($D205&lt;&gt;"Serviço",0,IF(AND(AUTOEVENTO="Manual",$M205=1),0,IF(OFFSET(CRONOPLE!$F$14,$M205,BT$13)="",10^12,OFFSET(CRONOPLE!$F$14,$M205,BT$13))))</f>
        <v>1000000000000</v>
      </c>
      <c r="BV205" s="182">
        <f ca="1">IF($D205&lt;&gt;"Serviço",0,IF(OR(AND(AUTOEVENTO="Manual",$M205=1),$M205&gt;(ROW(PLE.lastrow)-ROW(PLE.firstrow))),0,IF(OFFSET(PLE!$G$14,$M205,BV$13)="",10^12,OFFSET(PLE!$G$14,$M205,BV$13))))</f>
        <v>1000000000000</v>
      </c>
      <c r="BW205" s="182">
        <f ca="1">IF($D205&lt;&gt;"Serviço",0,IF(OR(AND(AUTOEVENTO="Manual",$M205=1),$M205&gt;(ROW(PLE.lastrow)-ROW(PLE.firstrow))),0,IF(OFFSET(PLE!$G$14,$M205,BW$13)="",10^12,OFFSET(PLE!$G$14,$M205,BW$13))))</f>
        <v>1000000000000</v>
      </c>
      <c r="BX205" s="182">
        <f ca="1">IF($D205&lt;&gt;"Serviço",0,IF(OR(AND(AUTOEVENTO="Manual",$M205=1),$M205&gt;(ROW(PLE.lastrow)-ROW(PLE.firstrow))),0,IF(OFFSET(PLE!$G$14,$M205,BX$13)="",10^12,OFFSET(PLE!$G$14,$M205,BX$13))))</f>
        <v>1000000000000</v>
      </c>
      <c r="BY205" s="182">
        <f ca="1">IF($D205&lt;&gt;"Serviço",0,IF(OR(AND(AUTOEVENTO="Manual",$M205=1),$M205&gt;(ROW(PLE.lastrow)-ROW(PLE.firstrow))),0,IF(OFFSET(PLE!$G$14,$M205,BY$13)="",10^12,OFFSET(PLE!$G$14,$M205,BY$13))))</f>
        <v>1000000000000</v>
      </c>
      <c r="BZ205" s="182">
        <f ca="1">IF($D205&lt;&gt;"Serviço",0,IF(OR(AND(AUTOEVENTO="Manual",$M205=1),$M205&gt;(ROW(PLE.lastrow)-ROW(PLE.firstrow))),0,IF(OFFSET(PLE!$G$14,$M205,BZ$13)="",10^12,OFFSET(PLE!$G$14,$M205,BZ$13))))</f>
        <v>1000000000000</v>
      </c>
      <c r="CA205" s="182">
        <f ca="1">IF($D205&lt;&gt;"Serviço",0,IF(OR(AND(AUTOEVENTO="Manual",$M205=1),$M205&gt;(ROW(PLE.lastrow)-ROW(PLE.firstrow))),0,IF(OFFSET(PLE!$G$14,$M205,CA$13)="",10^12,OFFSET(PLE!$G$14,$M205,CA$13))))</f>
        <v>1000000000000</v>
      </c>
      <c r="CB205" s="182">
        <f ca="1">IF($D205&lt;&gt;"Serviço",0,IF(OR(AND(AUTOEVENTO="Manual",$M205=1),$M205&gt;(ROW(PLE.lastrow)-ROW(PLE.firstrow))),0,IF(OFFSET(PLE!$G$14,$M205,CB$13)="",10^12,OFFSET(PLE!$G$14,$M205,CB$13))))</f>
        <v>1000000000000</v>
      </c>
      <c r="CC205" s="182">
        <f ca="1">IF($D205&lt;&gt;"Serviço",0,IF(OR(AND(AUTOEVENTO="Manual",$M205=1),$M205&gt;(ROW(PLE.lastrow)-ROW(PLE.firstrow))),0,IF(OFFSET(PLE!$G$14,$M205,CC$13)="",10^12,OFFSET(PLE!$G$14,$M205,CC$13))))</f>
        <v>1000000000000</v>
      </c>
      <c r="CD205" s="182">
        <f ca="1">IF($D205&lt;&gt;"Serviço",0,IF(OR(AND(AUTOEVENTO="Manual",$M205=1),$M205&gt;(ROW(PLE.lastrow)-ROW(PLE.firstrow))),0,IF(OFFSET(PLE!$G$14,$M205,CD$13)="",10^12,OFFSET(PLE!$G$14,$M205,CD$13))))</f>
        <v>1000000000000</v>
      </c>
      <c r="CE205" s="182">
        <f ca="1">IF($D205&lt;&gt;"Serviço",0,IF(OR(AND(AUTOEVENTO="Manual",$M205=1),$M205&gt;(ROW(PLE.lastrow)-ROW(PLE.firstrow))),0,IF(OFFSET(PLE!$G$14,$M205,CE$13)="",10^12,OFFSET(PLE!$G$14,$M205,CE$13))))</f>
        <v>1000000000000</v>
      </c>
      <c r="CF205" s="182">
        <f ca="1">IF($D205&lt;&gt;"Serviço",0,IF(OR(AND(AUTOEVENTO="Manual",$M205=1),$M205&gt;(ROW(PLE.lastrow)-ROW(PLE.firstrow))),0,IF(OFFSET(PLE!$G$14,$M205,CF$13)="",10^12,OFFSET(PLE!$G$14,$M205,CF$13))))</f>
        <v>1000000000000</v>
      </c>
      <c r="CG205" s="182">
        <f ca="1">IF($D205&lt;&gt;"Serviço",0,IF(OR(AND(AUTOEVENTO="Manual",$M205=1),$M205&gt;(ROW(PLE.lastrow)-ROW(PLE.firstrow))),0,IF(OFFSET(PLE!$G$14,$M205,CG$13)="",10^12,OFFSET(PLE!$G$14,$M205,CG$13))))</f>
        <v>1000000000000</v>
      </c>
      <c r="CH205" s="182">
        <f ca="1">IF($D205&lt;&gt;"Serviço",0,IF(OR(AND(AUTOEVENTO="Manual",$M205=1),$M205&gt;(ROW(PLE.lastrow)-ROW(PLE.firstrow))),0,IF(OFFSET(PLE!$G$14,$M205,CH$13)="",10^12,OFFSET(PLE!$G$14,$M205,CH$13))))</f>
        <v>1000000000000</v>
      </c>
      <c r="CI205" s="182">
        <f ca="1">IF($D205&lt;&gt;"Serviço",0,IF(OR(AND(AUTOEVENTO="Manual",$M205=1),$M205&gt;(ROW(PLE.lastrow)-ROW(PLE.firstrow))),0,IF(OFFSET(PLE!$G$14,$M205,CI$13)="",10^12,OFFSET(PLE!$G$14,$M205,CI$13))))</f>
        <v>1000000000000</v>
      </c>
      <c r="CJ205" s="182">
        <f ca="1">IF($D205&lt;&gt;"Serviço",0,IF(OR(AND(AUTOEVENTO="Manual",$M205=1),$M205&gt;(ROW(PLE.lastrow)-ROW(PLE.firstrow))),0,IF(OFFSET(PLE!$G$14,$M205,CJ$13)="",10^12,OFFSET(PLE!$G$14,$M205,CJ$13))))</f>
        <v>1000000000000</v>
      </c>
      <c r="CK205" s="182">
        <f ca="1">IF($D205&lt;&gt;"Serviço",0,IF(OR(AND(AUTOEVENTO="Manual",$M205=1),$M205&gt;(ROW(PLE.lastrow)-ROW(PLE.firstrow))),0,IF(OFFSET(PLE!$G$14,$M205,CK$13)="",10^12,OFFSET(PLE!$G$14,$M205,CK$13))))</f>
        <v>1000000000000</v>
      </c>
      <c r="CL205" s="182">
        <f ca="1">IF($D205&lt;&gt;"Serviço",0,IF(OR(AND(AUTOEVENTO="Manual",$M205=1),$M205&gt;(ROW(PLE.lastrow)-ROW(PLE.firstrow))),0,IF(OFFSET(PLE!$G$14,$M205,CL$13)="",10^12,OFFSET(PLE!$G$14,$M205,CL$13))))</f>
        <v>1000000000000</v>
      </c>
      <c r="CM205" s="182">
        <f ca="1">IF($D205&lt;&gt;"Serviço",0,IF(OR(AND(AUTOEVENTO="Manual",$M205=1),$M205&gt;(ROW(PLE.lastrow)-ROW(PLE.firstrow))),0,IF(OFFSET(PLE!$G$14,$M205,CM$13)="",10^12,OFFSET(PLE!$G$14,$M205,CM$13))))</f>
        <v>1000000000000</v>
      </c>
    </row>
    <row r="206" spans="1:91" ht="25.5" x14ac:dyDescent="0.2">
      <c r="A206" s="7" t="str">
        <f t="shared" ca="1" si="12"/>
        <v>184</v>
      </c>
      <c r="B206" s="7" t="str">
        <f ca="1">OFFSET(ORÇAMENTO!C$15,ROW(B206)-ROW(B$15),0)</f>
        <v>S</v>
      </c>
      <c r="C206" s="7" t="str">
        <f ca="1">OFFSET(ORÇAMENTO!L$15,ROW(C206)-ROW(C$15),0)</f>
        <v/>
      </c>
      <c r="D206" s="118" t="str">
        <f ca="1">OFFSET(ORÇAMENTO!N$15,ROW(D206)-ROW(D$15),0)</f>
        <v>Serviço</v>
      </c>
      <c r="E206" s="119" t="str">
        <f ca="1">OFFSET(ORÇAMENTO!O$15,ROW(E206)-ROW(E$15),0)</f>
        <v>-</v>
      </c>
      <c r="F206" s="172" t="str">
        <f ca="1">OFFSET(ORÇAMENTO!R$15,ROW(F206)-ROW(F$15),0)</f>
        <v>(abra o arquivo 'Referência 06-2024.xlsm)</v>
      </c>
      <c r="G206" s="173" t="str">
        <f ca="1">IF($D206&lt;&gt;"Serviço","",OFFSET(ORÇAMENTO!S$15,ROW(G206)-ROW(G$15),0))</f>
        <v>-</v>
      </c>
      <c r="H206" s="124">
        <f ca="1">IF($D206&lt;&gt;"Serviço",0,IF(ACOMPANHAMENTO="BM",ROUND(OFFSET(ORÇAMENTO!AJ$15,ROW(H206)-ROW(H$15),0),15-13*ORÇAMENTO!$AF$7),SUMPRODUCT(($Q$12:$AI$12&lt;&gt;"")*ROUND($Q206:$AI206,15-13*ORÇAMENTO!$AF$7))))</f>
        <v>115.08</v>
      </c>
      <c r="I206" s="561" t="s">
        <v>1107</v>
      </c>
      <c r="K206" s="174"/>
      <c r="L206" s="175" t="s">
        <v>255</v>
      </c>
      <c r="M206" s="176">
        <f ca="1">IF($D206&lt;&gt;"Serviço","",IF(AUTOEVENTO="manual",$A206,IF(ISERROR(MATCH($A206,$A$15:OFFSET($A206,-1,0),0)),MAX($M$15:OFFSET(M206,-1,0))+1,INDEX($M$15:OFFSET(M206,-1,0),MATCH($A206,$A$15:OFFSET($A206,-1,0),0)))))</f>
        <v>28</v>
      </c>
      <c r="N206" s="177" t="str">
        <f ca="1">IF($D206&lt;&gt;"Serviço","",IF(AUTOEVENTO="Manual",IF($A206=0,"&lt;-- defina o número do agrupador",OFFSET(EVENTOS!$D$14,$A206,0)),OFFSET($F$15,$A206,0)))</f>
        <v>SISTEMAS DE PISOS - PAVIMENTAÇÃO INTERNA</v>
      </c>
      <c r="O206" s="178"/>
      <c r="Q206" s="178">
        <v>115.08</v>
      </c>
      <c r="R206" s="179"/>
      <c r="S206" s="179"/>
      <c r="T206" s="179"/>
      <c r="U206" s="179"/>
      <c r="V206" s="179"/>
      <c r="W206" s="179"/>
      <c r="X206" s="179"/>
      <c r="Y206" s="179"/>
      <c r="Z206" s="180"/>
      <c r="AA206" s="179"/>
      <c r="AB206" s="179"/>
      <c r="AC206" s="179"/>
      <c r="AD206" s="179"/>
      <c r="AE206" s="179"/>
      <c r="AF206" s="179"/>
      <c r="AG206" s="179"/>
      <c r="AH206" s="180"/>
      <c r="AJ206" s="544">
        <f ca="1">IF(AND($D206="Serviço",AJ$12&lt;&gt;0,$H206&gt;0,OR(AUTOEVENTO&lt;&gt;"manual",$M206&lt;&gt;1)),
IF(Import.TipoArredondamento&lt;&gt;"TransfereGOV",
ROUND(OFFSET($P206,0,AJ$13),15-13*ORÇAMENTO!$AF$7)/$H206*OFFSET(ORÇAMENTO!$X$15,ROW(AJ206)-ROW(AJ$15),0),
ROUND(ROUND(OFFSET($P206,0,AJ$13),15-13*ORÇAMENTO!$AF$7)*OFFSET(ORÇAMENTO!$W$15,ROW(AJ206)-ROW(AJ$15),0),15-13*ORÇAMENTO!$AF$11)),0)</f>
        <v>0</v>
      </c>
      <c r="AK206" s="545">
        <f ca="1">IF(AND($D206="Serviço",AK$12&lt;&gt;0,$H206&gt;0,OR(AUTOEVENTO&lt;&gt;"manual",$M206&lt;&gt;1)),
IF(Import.TipoArredondamento&lt;&gt;"TransfereGOV",
ROUND(OFFSET($P206,0,AK$13),15-13*ORÇAMENTO!$AF$7)/$H206*OFFSET(ORÇAMENTO!$X$15,ROW(AK206)-ROW(AK$15),0),
ROUND(ROUND(OFFSET($P206,0,AK$13),15-13*ORÇAMENTO!$AF$7)*OFFSET(ORÇAMENTO!$W$15,ROW(AK206)-ROW(AK$15),0),15-13*ORÇAMENTO!$AF$11)),0)</f>
        <v>0</v>
      </c>
      <c r="AL206" s="545">
        <f ca="1">IF(AND($D206="Serviço",AL$12&lt;&gt;0,$H206&gt;0,OR(AUTOEVENTO&lt;&gt;"manual",$M206&lt;&gt;1)),
IF(Import.TipoArredondamento&lt;&gt;"TransfereGOV",
ROUND(OFFSET($P206,0,AL$13),15-13*ORÇAMENTO!$AF$7)/$H206*OFFSET(ORÇAMENTO!$X$15,ROW(AL206)-ROW(AL$15),0),
ROUND(ROUND(OFFSET($P206,0,AL$13),15-13*ORÇAMENTO!$AF$7)*OFFSET(ORÇAMENTO!$W$15,ROW(AL206)-ROW(AL$15),0),15-13*ORÇAMENTO!$AF$11)),0)</f>
        <v>0</v>
      </c>
      <c r="AM206" s="545">
        <f ca="1">IF(AND($D206="Serviço",AM$12&lt;&gt;0,$H206&gt;0,OR(AUTOEVENTO&lt;&gt;"manual",$M206&lt;&gt;1)),
IF(Import.TipoArredondamento&lt;&gt;"TransfereGOV",
ROUND(OFFSET($P206,0,AM$13),15-13*ORÇAMENTO!$AF$7)/$H206*OFFSET(ORÇAMENTO!$X$15,ROW(AM206)-ROW(AM$15),0),
ROUND(ROUND(OFFSET($P206,0,AM$13),15-13*ORÇAMENTO!$AF$7)*OFFSET(ORÇAMENTO!$W$15,ROW(AM206)-ROW(AM$15),0),15-13*ORÇAMENTO!$AF$11)),0)</f>
        <v>0</v>
      </c>
      <c r="AN206" s="545">
        <f ca="1">IF(AND($D206="Serviço",AN$12&lt;&gt;0,$H206&gt;0,OR(AUTOEVENTO&lt;&gt;"manual",$M206&lt;&gt;1)),
IF(Import.TipoArredondamento&lt;&gt;"TransfereGOV",
ROUND(OFFSET($P206,0,AN$13),15-13*ORÇAMENTO!$AF$7)/$H206*OFFSET(ORÇAMENTO!$X$15,ROW(AN206)-ROW(AN$15),0),
ROUND(ROUND(OFFSET($P206,0,AN$13),15-13*ORÇAMENTO!$AF$7)*OFFSET(ORÇAMENTO!$W$15,ROW(AN206)-ROW(AN$15),0),15-13*ORÇAMENTO!$AF$11)),0)</f>
        <v>0</v>
      </c>
      <c r="AO206" s="545">
        <f ca="1">IF(AND($D206="Serviço",AO$12&lt;&gt;0,$H206&gt;0,OR(AUTOEVENTO&lt;&gt;"manual",$M206&lt;&gt;1)),
IF(Import.TipoArredondamento&lt;&gt;"TransfereGOV",
ROUND(OFFSET($P206,0,AO$13),15-13*ORÇAMENTO!$AF$7)/$H206*OFFSET(ORÇAMENTO!$X$15,ROW(AO206)-ROW(AO$15),0),
ROUND(ROUND(OFFSET($P206,0,AO$13),15-13*ORÇAMENTO!$AF$7)*OFFSET(ORÇAMENTO!$W$15,ROW(AO206)-ROW(AO$15),0),15-13*ORÇAMENTO!$AF$11)),0)</f>
        <v>0</v>
      </c>
      <c r="AP206" s="545">
        <f ca="1">IF(AND($D206="Serviço",AP$12&lt;&gt;0,$H206&gt;0,OR(AUTOEVENTO&lt;&gt;"manual",$M206&lt;&gt;1)),
IF(Import.TipoArredondamento&lt;&gt;"TransfereGOV",
ROUND(OFFSET($P206,0,AP$13),15-13*ORÇAMENTO!$AF$7)/$H206*OFFSET(ORÇAMENTO!$X$15,ROW(AP206)-ROW(AP$15),0),
ROUND(ROUND(OFFSET($P206,0,AP$13),15-13*ORÇAMENTO!$AF$7)*OFFSET(ORÇAMENTO!$W$15,ROW(AP206)-ROW(AP$15),0),15-13*ORÇAMENTO!$AF$11)),0)</f>
        <v>0</v>
      </c>
      <c r="AQ206" s="545">
        <f ca="1">IF(AND($D206="Serviço",AQ$12&lt;&gt;0,$H206&gt;0,OR(AUTOEVENTO&lt;&gt;"manual",$M206&lt;&gt;1)),
IF(Import.TipoArredondamento&lt;&gt;"TransfereGOV",
ROUND(OFFSET($P206,0,AQ$13),15-13*ORÇAMENTO!$AF$7)/$H206*OFFSET(ORÇAMENTO!$X$15,ROW(AQ206)-ROW(AQ$15),0),
ROUND(ROUND(OFFSET($P206,0,AQ$13),15-13*ORÇAMENTO!$AF$7)*OFFSET(ORÇAMENTO!$W$15,ROW(AQ206)-ROW(AQ$15),0),15-13*ORÇAMENTO!$AF$11)),0)</f>
        <v>0</v>
      </c>
      <c r="AR206" s="545">
        <f ca="1">IF(AND($D206="Serviço",AR$12&lt;&gt;0,$H206&gt;0,OR(AUTOEVENTO&lt;&gt;"manual",$M206&lt;&gt;1)),
IF(Import.TipoArredondamento&lt;&gt;"TransfereGOV",
ROUND(OFFSET($P206,0,AR$13),15-13*ORÇAMENTO!$AF$7)/$H206*OFFSET(ORÇAMENTO!$X$15,ROW(AR206)-ROW(AR$15),0),
ROUND(ROUND(OFFSET($P206,0,AR$13),15-13*ORÇAMENTO!$AF$7)*OFFSET(ORÇAMENTO!$W$15,ROW(AR206)-ROW(AR$15),0),15-13*ORÇAMENTO!$AF$11)),0)</f>
        <v>0</v>
      </c>
      <c r="AS206" s="546">
        <f ca="1">IF(AND($D206="Serviço",AS$12&lt;&gt;0,$H206&gt;0,OR(AUTOEVENTO&lt;&gt;"manual",$M206&lt;&gt;1)),
IF(Import.TipoArredondamento&lt;&gt;"TransfereGOV",
ROUND(OFFSET($P206,0,AS$13),15-13*ORÇAMENTO!$AF$7)/$H206*OFFSET(ORÇAMENTO!$X$15,ROW(AS206)-ROW(AS$15),0),
ROUND(ROUND(OFFSET($P206,0,AS$13),15-13*ORÇAMENTO!$AF$7)*OFFSET(ORÇAMENTO!$W$15,ROW(AS206)-ROW(AS$15),0),15-13*ORÇAMENTO!$AF$11)),0)</f>
        <v>0</v>
      </c>
      <c r="AT206" s="545">
        <f ca="1">IF(AND($D206="Serviço",AT$12&lt;&gt;0,$H206&gt;0,OR(AUTOEVENTO&lt;&gt;"manual",$M206&lt;&gt;1)),
IF(Import.TipoArredondamento&lt;&gt;"TransfereGOV",
ROUND(OFFSET($P206,0,AT$13),15-13*ORÇAMENTO!$AF$7)/$H206*OFFSET(ORÇAMENTO!$X$15,ROW(AT206)-ROW(AT$15),0),
ROUND(ROUND(OFFSET($P206,0,AT$13),15-13*ORÇAMENTO!$AF$7)*OFFSET(ORÇAMENTO!$W$15,ROW(AT206)-ROW(AT$15),0),15-13*ORÇAMENTO!$AF$11)),0)</f>
        <v>0</v>
      </c>
      <c r="AU206" s="545">
        <f ca="1">IF(AND($D206="Serviço",AU$12&lt;&gt;0,$H206&gt;0,OR(AUTOEVENTO&lt;&gt;"manual",$M206&lt;&gt;1)),
IF(Import.TipoArredondamento&lt;&gt;"TransfereGOV",
ROUND(OFFSET($P206,0,AU$13),15-13*ORÇAMENTO!$AF$7)/$H206*OFFSET(ORÇAMENTO!$X$15,ROW(AU206)-ROW(AU$15),0),
ROUND(ROUND(OFFSET($P206,0,AU$13),15-13*ORÇAMENTO!$AF$7)*OFFSET(ORÇAMENTO!$W$15,ROW(AU206)-ROW(AU$15),0),15-13*ORÇAMENTO!$AF$11)),0)</f>
        <v>0</v>
      </c>
      <c r="AV206" s="545">
        <f ca="1">IF(AND($D206="Serviço",AV$12&lt;&gt;0,$H206&gt;0,OR(AUTOEVENTO&lt;&gt;"manual",$M206&lt;&gt;1)),
IF(Import.TipoArredondamento&lt;&gt;"TransfereGOV",
ROUND(OFFSET($P206,0,AV$13),15-13*ORÇAMENTO!$AF$7)/$H206*OFFSET(ORÇAMENTO!$X$15,ROW(AV206)-ROW(AV$15),0),
ROUND(ROUND(OFFSET($P206,0,AV$13),15-13*ORÇAMENTO!$AF$7)*OFFSET(ORÇAMENTO!$W$15,ROW(AV206)-ROW(AV$15),0),15-13*ORÇAMENTO!$AF$11)),0)</f>
        <v>0</v>
      </c>
      <c r="AW206" s="545">
        <f ca="1">IF(AND($D206="Serviço",AW$12&lt;&gt;0,$H206&gt;0,OR(AUTOEVENTO&lt;&gt;"manual",$M206&lt;&gt;1)),
IF(Import.TipoArredondamento&lt;&gt;"TransfereGOV",
ROUND(OFFSET($P206,0,AW$13),15-13*ORÇAMENTO!$AF$7)/$H206*OFFSET(ORÇAMENTO!$X$15,ROW(AW206)-ROW(AW$15),0),
ROUND(ROUND(OFFSET($P206,0,AW$13),15-13*ORÇAMENTO!$AF$7)*OFFSET(ORÇAMENTO!$W$15,ROW(AW206)-ROW(AW$15),0),15-13*ORÇAMENTO!$AF$11)),0)</f>
        <v>0</v>
      </c>
      <c r="AX206" s="545">
        <f ca="1">IF(AND($D206="Serviço",AX$12&lt;&gt;0,$H206&gt;0,OR(AUTOEVENTO&lt;&gt;"manual",$M206&lt;&gt;1)),
IF(Import.TipoArredondamento&lt;&gt;"TransfereGOV",
ROUND(OFFSET($P206,0,AX$13),15-13*ORÇAMENTO!$AF$7)/$H206*OFFSET(ORÇAMENTO!$X$15,ROW(AX206)-ROW(AX$15),0),
ROUND(ROUND(OFFSET($P206,0,AX$13),15-13*ORÇAMENTO!$AF$7)*OFFSET(ORÇAMENTO!$W$15,ROW(AX206)-ROW(AX$15),0),15-13*ORÇAMENTO!$AF$11)),0)</f>
        <v>0</v>
      </c>
      <c r="AY206" s="545">
        <f ca="1">IF(AND($D206="Serviço",AY$12&lt;&gt;0,$H206&gt;0,OR(AUTOEVENTO&lt;&gt;"manual",$M206&lt;&gt;1)),
IF(Import.TipoArredondamento&lt;&gt;"TransfereGOV",
ROUND(OFFSET($P206,0,AY$13),15-13*ORÇAMENTO!$AF$7)/$H206*OFFSET(ORÇAMENTO!$X$15,ROW(AY206)-ROW(AY$15),0),
ROUND(ROUND(OFFSET($P206,0,AY$13),15-13*ORÇAMENTO!$AF$7)*OFFSET(ORÇAMENTO!$W$15,ROW(AY206)-ROW(AY$15),0),15-13*ORÇAMENTO!$AF$11)),0)</f>
        <v>0</v>
      </c>
      <c r="AZ206" s="545">
        <f ca="1">IF(AND($D206="Serviço",AZ$12&lt;&gt;0,$H206&gt;0,OR(AUTOEVENTO&lt;&gt;"manual",$M206&lt;&gt;1)),
IF(Import.TipoArredondamento&lt;&gt;"TransfereGOV",
ROUND(OFFSET($P206,0,AZ$13),15-13*ORÇAMENTO!$AF$7)/$H206*OFFSET(ORÇAMENTO!$X$15,ROW(AZ206)-ROW(AZ$15),0),
ROUND(ROUND(OFFSET($P206,0,AZ$13),15-13*ORÇAMENTO!$AF$7)*OFFSET(ORÇAMENTO!$W$15,ROW(AZ206)-ROW(AZ$15),0),15-13*ORÇAMENTO!$AF$11)),0)</f>
        <v>0</v>
      </c>
      <c r="BA206" s="546">
        <f ca="1">IF(AND($D206="Serviço",BA$12&lt;&gt;0,$H206&gt;0,OR(AUTOEVENTO&lt;&gt;"manual",$M206&lt;&gt;1)),
IF(Import.TipoArredondamento&lt;&gt;"TransfereGOV",
ROUND(OFFSET($P206,0,BA$13),15-13*ORÇAMENTO!$AF$7)/$H206*OFFSET(ORÇAMENTO!$X$15,ROW(BA206)-ROW(BA$15),0),
ROUND(ROUND(OFFSET($P206,0,BA$13),15-13*ORÇAMENTO!$AF$7)*OFFSET(ORÇAMENTO!$W$15,ROW(BA206)-ROW(BA$15),0),15-13*ORÇAMENTO!$AF$11)),0)</f>
        <v>0</v>
      </c>
      <c r="BC206" s="181">
        <f ca="1">IF($D206&lt;&gt;"Serviço",0,IF(AND(AUTOEVENTO="Manual",$M206=1),0,IF(OFFSET(CRONOPLE!$F$14,$M206,BC$13)="",10^12,OFFSET(CRONOPLE!$F$14,$M206,BC$13))))</f>
        <v>8</v>
      </c>
      <c r="BD206" s="181">
        <f ca="1">IF($D206&lt;&gt;"Serviço",0,IF(AND(AUTOEVENTO="Manual",$M206=1),0,IF(OFFSET(CRONOPLE!$F$14,$M206,BD$13)="",10^12,OFFSET(CRONOPLE!$F$14,$M206,BD$13))))</f>
        <v>1000000000000</v>
      </c>
      <c r="BE206" s="181">
        <f ca="1">IF($D206&lt;&gt;"Serviço",0,IF(AND(AUTOEVENTO="Manual",$M206=1),0,IF(OFFSET(CRONOPLE!$F$14,$M206,BE$13)="",10^12,OFFSET(CRONOPLE!$F$14,$M206,BE$13))))</f>
        <v>1000000000000</v>
      </c>
      <c r="BF206" s="181">
        <f ca="1">IF($D206&lt;&gt;"Serviço",0,IF(AND(AUTOEVENTO="Manual",$M206=1),0,IF(OFFSET(CRONOPLE!$F$14,$M206,BF$13)="",10^12,OFFSET(CRONOPLE!$F$14,$M206,BF$13))))</f>
        <v>1000000000000</v>
      </c>
      <c r="BG206" s="181">
        <f ca="1">IF($D206&lt;&gt;"Serviço",0,IF(AND(AUTOEVENTO="Manual",$M206=1),0,IF(OFFSET(CRONOPLE!$F$14,$M206,BG$13)="",10^12,OFFSET(CRONOPLE!$F$14,$M206,BG$13))))</f>
        <v>1000000000000</v>
      </c>
      <c r="BH206" s="181">
        <f ca="1">IF($D206&lt;&gt;"Serviço",0,IF(AND(AUTOEVENTO="Manual",$M206=1),0,IF(OFFSET(CRONOPLE!$F$14,$M206,BH$13)="",10^12,OFFSET(CRONOPLE!$F$14,$M206,BH$13))))</f>
        <v>1000000000000</v>
      </c>
      <c r="BI206" s="181">
        <f ca="1">IF($D206&lt;&gt;"Serviço",0,IF(AND(AUTOEVENTO="Manual",$M206=1),0,IF(OFFSET(CRONOPLE!$F$14,$M206,BI$13)="",10^12,OFFSET(CRONOPLE!$F$14,$M206,BI$13))))</f>
        <v>1000000000000</v>
      </c>
      <c r="BJ206" s="181">
        <f ca="1">IF($D206&lt;&gt;"Serviço",0,IF(AND(AUTOEVENTO="Manual",$M206=1),0,IF(OFFSET(CRONOPLE!$F$14,$M206,BJ$13)="",10^12,OFFSET(CRONOPLE!$F$14,$M206,BJ$13))))</f>
        <v>1000000000000</v>
      </c>
      <c r="BK206" s="181">
        <f ca="1">IF($D206&lt;&gt;"Serviço",0,IF(AND(AUTOEVENTO="Manual",$M206=1),0,IF(OFFSET(CRONOPLE!$F$14,$M206,BK$13)="",10^12,OFFSET(CRONOPLE!$F$14,$M206,BK$13))))</f>
        <v>1000000000000</v>
      </c>
      <c r="BL206" s="181">
        <f ca="1">IF($D206&lt;&gt;"Serviço",0,IF(AND(AUTOEVENTO="Manual",$M206=1),0,IF(OFFSET(CRONOPLE!$F$14,$M206,BL$13)="",10^12,OFFSET(CRONOPLE!$F$14,$M206,BL$13))))</f>
        <v>1000000000000</v>
      </c>
      <c r="BM206" s="181">
        <f ca="1">IF($D206&lt;&gt;"Serviço",0,IF(AND(AUTOEVENTO="Manual",$M206=1),0,IF(OFFSET(CRONOPLE!$F$14,$M206,BM$13)="",10^12,OFFSET(CRONOPLE!$F$14,$M206,BM$13))))</f>
        <v>1000000000000</v>
      </c>
      <c r="BN206" s="181">
        <f ca="1">IF($D206&lt;&gt;"Serviço",0,IF(AND(AUTOEVENTO="Manual",$M206=1),0,IF(OFFSET(CRONOPLE!$F$14,$M206,BN$13)="",10^12,OFFSET(CRONOPLE!$F$14,$M206,BN$13))))</f>
        <v>1000000000000</v>
      </c>
      <c r="BO206" s="181">
        <f ca="1">IF($D206&lt;&gt;"Serviço",0,IF(AND(AUTOEVENTO="Manual",$M206=1),0,IF(OFFSET(CRONOPLE!$F$14,$M206,BO$13)="",10^12,OFFSET(CRONOPLE!$F$14,$M206,BO$13))))</f>
        <v>1000000000000</v>
      </c>
      <c r="BP206" s="181">
        <f ca="1">IF($D206&lt;&gt;"Serviço",0,IF(AND(AUTOEVENTO="Manual",$M206=1),0,IF(OFFSET(CRONOPLE!$F$14,$M206,BP$13)="",10^12,OFFSET(CRONOPLE!$F$14,$M206,BP$13))))</f>
        <v>1000000000000</v>
      </c>
      <c r="BQ206" s="181">
        <f ca="1">IF($D206&lt;&gt;"Serviço",0,IF(AND(AUTOEVENTO="Manual",$M206=1),0,IF(OFFSET(CRONOPLE!$F$14,$M206,BQ$13)="",10^12,OFFSET(CRONOPLE!$F$14,$M206,BQ$13))))</f>
        <v>1000000000000</v>
      </c>
      <c r="BR206" s="181">
        <f ca="1">IF($D206&lt;&gt;"Serviço",0,IF(AND(AUTOEVENTO="Manual",$M206=1),0,IF(OFFSET(CRONOPLE!$F$14,$M206,BR$13)="",10^12,OFFSET(CRONOPLE!$F$14,$M206,BR$13))))</f>
        <v>1000000000000</v>
      </c>
      <c r="BS206" s="181">
        <f ca="1">IF($D206&lt;&gt;"Serviço",0,IF(AND(AUTOEVENTO="Manual",$M206=1),0,IF(OFFSET(CRONOPLE!$F$14,$M206,BS$13)="",10^12,OFFSET(CRONOPLE!$F$14,$M206,BS$13))))</f>
        <v>1000000000000</v>
      </c>
      <c r="BT206" s="181">
        <f ca="1">IF($D206&lt;&gt;"Serviço",0,IF(AND(AUTOEVENTO="Manual",$M206=1),0,IF(OFFSET(CRONOPLE!$F$14,$M206,BT$13)="",10^12,OFFSET(CRONOPLE!$F$14,$M206,BT$13))))</f>
        <v>1000000000000</v>
      </c>
      <c r="BV206" s="182">
        <f ca="1">IF($D206&lt;&gt;"Serviço",0,IF(OR(AND(AUTOEVENTO="Manual",$M206=1),$M206&gt;(ROW(PLE.lastrow)-ROW(PLE.firstrow))),0,IF(OFFSET(PLE!$G$14,$M206,BV$13)="",10^12,OFFSET(PLE!$G$14,$M206,BV$13))))</f>
        <v>1000000000000</v>
      </c>
      <c r="BW206" s="182">
        <f ca="1">IF($D206&lt;&gt;"Serviço",0,IF(OR(AND(AUTOEVENTO="Manual",$M206=1),$M206&gt;(ROW(PLE.lastrow)-ROW(PLE.firstrow))),0,IF(OFFSET(PLE!$G$14,$M206,BW$13)="",10^12,OFFSET(PLE!$G$14,$M206,BW$13))))</f>
        <v>1000000000000</v>
      </c>
      <c r="BX206" s="182">
        <f ca="1">IF($D206&lt;&gt;"Serviço",0,IF(OR(AND(AUTOEVENTO="Manual",$M206=1),$M206&gt;(ROW(PLE.lastrow)-ROW(PLE.firstrow))),0,IF(OFFSET(PLE!$G$14,$M206,BX$13)="",10^12,OFFSET(PLE!$G$14,$M206,BX$13))))</f>
        <v>1000000000000</v>
      </c>
      <c r="BY206" s="182">
        <f ca="1">IF($D206&lt;&gt;"Serviço",0,IF(OR(AND(AUTOEVENTO="Manual",$M206=1),$M206&gt;(ROW(PLE.lastrow)-ROW(PLE.firstrow))),0,IF(OFFSET(PLE!$G$14,$M206,BY$13)="",10^12,OFFSET(PLE!$G$14,$M206,BY$13))))</f>
        <v>1000000000000</v>
      </c>
      <c r="BZ206" s="182">
        <f ca="1">IF($D206&lt;&gt;"Serviço",0,IF(OR(AND(AUTOEVENTO="Manual",$M206=1),$M206&gt;(ROW(PLE.lastrow)-ROW(PLE.firstrow))),0,IF(OFFSET(PLE!$G$14,$M206,BZ$13)="",10^12,OFFSET(PLE!$G$14,$M206,BZ$13))))</f>
        <v>1000000000000</v>
      </c>
      <c r="CA206" s="182">
        <f ca="1">IF($D206&lt;&gt;"Serviço",0,IF(OR(AND(AUTOEVENTO="Manual",$M206=1),$M206&gt;(ROW(PLE.lastrow)-ROW(PLE.firstrow))),0,IF(OFFSET(PLE!$G$14,$M206,CA$13)="",10^12,OFFSET(PLE!$G$14,$M206,CA$13))))</f>
        <v>1000000000000</v>
      </c>
      <c r="CB206" s="182">
        <f ca="1">IF($D206&lt;&gt;"Serviço",0,IF(OR(AND(AUTOEVENTO="Manual",$M206=1),$M206&gt;(ROW(PLE.lastrow)-ROW(PLE.firstrow))),0,IF(OFFSET(PLE!$G$14,$M206,CB$13)="",10^12,OFFSET(PLE!$G$14,$M206,CB$13))))</f>
        <v>1000000000000</v>
      </c>
      <c r="CC206" s="182">
        <f ca="1">IF($D206&lt;&gt;"Serviço",0,IF(OR(AND(AUTOEVENTO="Manual",$M206=1),$M206&gt;(ROW(PLE.lastrow)-ROW(PLE.firstrow))),0,IF(OFFSET(PLE!$G$14,$M206,CC$13)="",10^12,OFFSET(PLE!$G$14,$M206,CC$13))))</f>
        <v>1000000000000</v>
      </c>
      <c r="CD206" s="182">
        <f ca="1">IF($D206&lt;&gt;"Serviço",0,IF(OR(AND(AUTOEVENTO="Manual",$M206=1),$M206&gt;(ROW(PLE.lastrow)-ROW(PLE.firstrow))),0,IF(OFFSET(PLE!$G$14,$M206,CD$13)="",10^12,OFFSET(PLE!$G$14,$M206,CD$13))))</f>
        <v>1000000000000</v>
      </c>
      <c r="CE206" s="182">
        <f ca="1">IF($D206&lt;&gt;"Serviço",0,IF(OR(AND(AUTOEVENTO="Manual",$M206=1),$M206&gt;(ROW(PLE.lastrow)-ROW(PLE.firstrow))),0,IF(OFFSET(PLE!$G$14,$M206,CE$13)="",10^12,OFFSET(PLE!$G$14,$M206,CE$13))))</f>
        <v>1000000000000</v>
      </c>
      <c r="CF206" s="182">
        <f ca="1">IF($D206&lt;&gt;"Serviço",0,IF(OR(AND(AUTOEVENTO="Manual",$M206=1),$M206&gt;(ROW(PLE.lastrow)-ROW(PLE.firstrow))),0,IF(OFFSET(PLE!$G$14,$M206,CF$13)="",10^12,OFFSET(PLE!$G$14,$M206,CF$13))))</f>
        <v>1000000000000</v>
      </c>
      <c r="CG206" s="182">
        <f ca="1">IF($D206&lt;&gt;"Serviço",0,IF(OR(AND(AUTOEVENTO="Manual",$M206=1),$M206&gt;(ROW(PLE.lastrow)-ROW(PLE.firstrow))),0,IF(OFFSET(PLE!$G$14,$M206,CG$13)="",10^12,OFFSET(PLE!$G$14,$M206,CG$13))))</f>
        <v>1000000000000</v>
      </c>
      <c r="CH206" s="182">
        <f ca="1">IF($D206&lt;&gt;"Serviço",0,IF(OR(AND(AUTOEVENTO="Manual",$M206=1),$M206&gt;(ROW(PLE.lastrow)-ROW(PLE.firstrow))),0,IF(OFFSET(PLE!$G$14,$M206,CH$13)="",10^12,OFFSET(PLE!$G$14,$M206,CH$13))))</f>
        <v>1000000000000</v>
      </c>
      <c r="CI206" s="182">
        <f ca="1">IF($D206&lt;&gt;"Serviço",0,IF(OR(AND(AUTOEVENTO="Manual",$M206=1),$M206&gt;(ROW(PLE.lastrow)-ROW(PLE.firstrow))),0,IF(OFFSET(PLE!$G$14,$M206,CI$13)="",10^12,OFFSET(PLE!$G$14,$M206,CI$13))))</f>
        <v>1000000000000</v>
      </c>
      <c r="CJ206" s="182">
        <f ca="1">IF($D206&lt;&gt;"Serviço",0,IF(OR(AND(AUTOEVENTO="Manual",$M206=1),$M206&gt;(ROW(PLE.lastrow)-ROW(PLE.firstrow))),0,IF(OFFSET(PLE!$G$14,$M206,CJ$13)="",10^12,OFFSET(PLE!$G$14,$M206,CJ$13))))</f>
        <v>1000000000000</v>
      </c>
      <c r="CK206" s="182">
        <f ca="1">IF($D206&lt;&gt;"Serviço",0,IF(OR(AND(AUTOEVENTO="Manual",$M206=1),$M206&gt;(ROW(PLE.lastrow)-ROW(PLE.firstrow))),0,IF(OFFSET(PLE!$G$14,$M206,CK$13)="",10^12,OFFSET(PLE!$G$14,$M206,CK$13))))</f>
        <v>1000000000000</v>
      </c>
      <c r="CL206" s="182">
        <f ca="1">IF($D206&lt;&gt;"Serviço",0,IF(OR(AND(AUTOEVENTO="Manual",$M206=1),$M206&gt;(ROW(PLE.lastrow)-ROW(PLE.firstrow))),0,IF(OFFSET(PLE!$G$14,$M206,CL$13)="",10^12,OFFSET(PLE!$G$14,$M206,CL$13))))</f>
        <v>1000000000000</v>
      </c>
      <c r="CM206" s="182">
        <f ca="1">IF($D206&lt;&gt;"Serviço",0,IF(OR(AND(AUTOEVENTO="Manual",$M206=1),$M206&gt;(ROW(PLE.lastrow)-ROW(PLE.firstrow))),0,IF(OFFSET(PLE!$G$14,$M206,CM$13)="",10^12,OFFSET(PLE!$G$14,$M206,CM$13))))</f>
        <v>1000000000000</v>
      </c>
    </row>
    <row r="207" spans="1:91" ht="25.5" x14ac:dyDescent="0.2">
      <c r="A207" s="7" t="str">
        <f t="shared" ca="1" si="12"/>
        <v>184</v>
      </c>
      <c r="B207" s="7" t="str">
        <f ca="1">OFFSET(ORÇAMENTO!C$15,ROW(B207)-ROW(B$15),0)</f>
        <v>S</v>
      </c>
      <c r="C207" s="7" t="str">
        <f ca="1">OFFSET(ORÇAMENTO!L$15,ROW(C207)-ROW(C$15),0)</f>
        <v/>
      </c>
      <c r="D207" s="118" t="str">
        <f ca="1">OFFSET(ORÇAMENTO!N$15,ROW(D207)-ROW(D$15),0)</f>
        <v>Serviço</v>
      </c>
      <c r="E207" s="119" t="str">
        <f ca="1">OFFSET(ORÇAMENTO!O$15,ROW(E207)-ROW(E$15),0)</f>
        <v>-</v>
      </c>
      <c r="F207" s="172" t="str">
        <f ca="1">OFFSET(ORÇAMENTO!R$15,ROW(F207)-ROW(F$15),0)</f>
        <v>(abra o arquivo 'Referência 06-2024.xlsm)</v>
      </c>
      <c r="G207" s="173" t="str">
        <f ca="1">IF($D207&lt;&gt;"Serviço","",OFFSET(ORÇAMENTO!S$15,ROW(G207)-ROW(G$15),0))</f>
        <v>-</v>
      </c>
      <c r="H207" s="124">
        <f ca="1">IF($D207&lt;&gt;"Serviço",0,IF(ACOMPANHAMENTO="BM",ROUND(OFFSET(ORÇAMENTO!AJ$15,ROW(H207)-ROW(H$15),0),15-13*ORÇAMENTO!$AF$7),SUMPRODUCT(($Q$12:$AI$12&lt;&gt;"")*ROUND($Q207:$AI207,15-13*ORÇAMENTO!$AF$7))))</f>
        <v>30.19</v>
      </c>
      <c r="I207" s="561" t="s">
        <v>1107</v>
      </c>
      <c r="K207" s="174"/>
      <c r="L207" s="175" t="s">
        <v>255</v>
      </c>
      <c r="M207" s="176">
        <f ca="1">IF($D207&lt;&gt;"Serviço","",IF(AUTOEVENTO="manual",$A207,IF(ISERROR(MATCH($A207,$A$15:OFFSET($A207,-1,0),0)),MAX($M$15:OFFSET(M207,-1,0))+1,INDEX($M$15:OFFSET(M207,-1,0),MATCH($A207,$A$15:OFFSET($A207,-1,0),0)))))</f>
        <v>28</v>
      </c>
      <c r="N207" s="177" t="str">
        <f ca="1">IF($D207&lt;&gt;"Serviço","",IF(AUTOEVENTO="Manual",IF($A207=0,"&lt;-- defina o número do agrupador",OFFSET(EVENTOS!$D$14,$A207,0)),OFFSET($F$15,$A207,0)))</f>
        <v>SISTEMAS DE PISOS - PAVIMENTAÇÃO INTERNA</v>
      </c>
      <c r="O207" s="178"/>
      <c r="Q207" s="178">
        <v>30.19</v>
      </c>
      <c r="R207" s="179"/>
      <c r="S207" s="179"/>
      <c r="T207" s="179"/>
      <c r="U207" s="179"/>
      <c r="V207" s="179"/>
      <c r="W207" s="179"/>
      <c r="X207" s="179"/>
      <c r="Y207" s="179"/>
      <c r="Z207" s="180"/>
      <c r="AA207" s="179"/>
      <c r="AB207" s="179"/>
      <c r="AC207" s="179"/>
      <c r="AD207" s="179"/>
      <c r="AE207" s="179"/>
      <c r="AF207" s="179"/>
      <c r="AG207" s="179"/>
      <c r="AH207" s="180"/>
      <c r="AJ207" s="544">
        <f ca="1">IF(AND($D207="Serviço",AJ$12&lt;&gt;0,$H207&gt;0,OR(AUTOEVENTO&lt;&gt;"manual",$M207&lt;&gt;1)),
IF(Import.TipoArredondamento&lt;&gt;"TransfereGOV",
ROUND(OFFSET($P207,0,AJ$13),15-13*ORÇAMENTO!$AF$7)/$H207*OFFSET(ORÇAMENTO!$X$15,ROW(AJ207)-ROW(AJ$15),0),
ROUND(ROUND(OFFSET($P207,0,AJ$13),15-13*ORÇAMENTO!$AF$7)*OFFSET(ORÇAMENTO!$W$15,ROW(AJ207)-ROW(AJ$15),0),15-13*ORÇAMENTO!$AF$11)),0)</f>
        <v>0</v>
      </c>
      <c r="AK207" s="545">
        <f ca="1">IF(AND($D207="Serviço",AK$12&lt;&gt;0,$H207&gt;0,OR(AUTOEVENTO&lt;&gt;"manual",$M207&lt;&gt;1)),
IF(Import.TipoArredondamento&lt;&gt;"TransfereGOV",
ROUND(OFFSET($P207,0,AK$13),15-13*ORÇAMENTO!$AF$7)/$H207*OFFSET(ORÇAMENTO!$X$15,ROW(AK207)-ROW(AK$15),0),
ROUND(ROUND(OFFSET($P207,0,AK$13),15-13*ORÇAMENTO!$AF$7)*OFFSET(ORÇAMENTO!$W$15,ROW(AK207)-ROW(AK$15),0),15-13*ORÇAMENTO!$AF$11)),0)</f>
        <v>0</v>
      </c>
      <c r="AL207" s="545">
        <f ca="1">IF(AND($D207="Serviço",AL$12&lt;&gt;0,$H207&gt;0,OR(AUTOEVENTO&lt;&gt;"manual",$M207&lt;&gt;1)),
IF(Import.TipoArredondamento&lt;&gt;"TransfereGOV",
ROUND(OFFSET($P207,0,AL$13),15-13*ORÇAMENTO!$AF$7)/$H207*OFFSET(ORÇAMENTO!$X$15,ROW(AL207)-ROW(AL$15),0),
ROUND(ROUND(OFFSET($P207,0,AL$13),15-13*ORÇAMENTO!$AF$7)*OFFSET(ORÇAMENTO!$W$15,ROW(AL207)-ROW(AL$15),0),15-13*ORÇAMENTO!$AF$11)),0)</f>
        <v>0</v>
      </c>
      <c r="AM207" s="545">
        <f ca="1">IF(AND($D207="Serviço",AM$12&lt;&gt;0,$H207&gt;0,OR(AUTOEVENTO&lt;&gt;"manual",$M207&lt;&gt;1)),
IF(Import.TipoArredondamento&lt;&gt;"TransfereGOV",
ROUND(OFFSET($P207,0,AM$13),15-13*ORÇAMENTO!$AF$7)/$H207*OFFSET(ORÇAMENTO!$X$15,ROW(AM207)-ROW(AM$15),0),
ROUND(ROUND(OFFSET($P207,0,AM$13),15-13*ORÇAMENTO!$AF$7)*OFFSET(ORÇAMENTO!$W$15,ROW(AM207)-ROW(AM$15),0),15-13*ORÇAMENTO!$AF$11)),0)</f>
        <v>0</v>
      </c>
      <c r="AN207" s="545">
        <f ca="1">IF(AND($D207="Serviço",AN$12&lt;&gt;0,$H207&gt;0,OR(AUTOEVENTO&lt;&gt;"manual",$M207&lt;&gt;1)),
IF(Import.TipoArredondamento&lt;&gt;"TransfereGOV",
ROUND(OFFSET($P207,0,AN$13),15-13*ORÇAMENTO!$AF$7)/$H207*OFFSET(ORÇAMENTO!$X$15,ROW(AN207)-ROW(AN$15),0),
ROUND(ROUND(OFFSET($P207,0,AN$13),15-13*ORÇAMENTO!$AF$7)*OFFSET(ORÇAMENTO!$W$15,ROW(AN207)-ROW(AN$15),0),15-13*ORÇAMENTO!$AF$11)),0)</f>
        <v>0</v>
      </c>
      <c r="AO207" s="545">
        <f ca="1">IF(AND($D207="Serviço",AO$12&lt;&gt;0,$H207&gt;0,OR(AUTOEVENTO&lt;&gt;"manual",$M207&lt;&gt;1)),
IF(Import.TipoArredondamento&lt;&gt;"TransfereGOV",
ROUND(OFFSET($P207,0,AO$13),15-13*ORÇAMENTO!$AF$7)/$H207*OFFSET(ORÇAMENTO!$X$15,ROW(AO207)-ROW(AO$15),0),
ROUND(ROUND(OFFSET($P207,0,AO$13),15-13*ORÇAMENTO!$AF$7)*OFFSET(ORÇAMENTO!$W$15,ROW(AO207)-ROW(AO$15),0),15-13*ORÇAMENTO!$AF$11)),0)</f>
        <v>0</v>
      </c>
      <c r="AP207" s="545">
        <f ca="1">IF(AND($D207="Serviço",AP$12&lt;&gt;0,$H207&gt;0,OR(AUTOEVENTO&lt;&gt;"manual",$M207&lt;&gt;1)),
IF(Import.TipoArredondamento&lt;&gt;"TransfereGOV",
ROUND(OFFSET($P207,0,AP$13),15-13*ORÇAMENTO!$AF$7)/$H207*OFFSET(ORÇAMENTO!$X$15,ROW(AP207)-ROW(AP$15),0),
ROUND(ROUND(OFFSET($P207,0,AP$13),15-13*ORÇAMENTO!$AF$7)*OFFSET(ORÇAMENTO!$W$15,ROW(AP207)-ROW(AP$15),0),15-13*ORÇAMENTO!$AF$11)),0)</f>
        <v>0</v>
      </c>
      <c r="AQ207" s="545">
        <f ca="1">IF(AND($D207="Serviço",AQ$12&lt;&gt;0,$H207&gt;0,OR(AUTOEVENTO&lt;&gt;"manual",$M207&lt;&gt;1)),
IF(Import.TipoArredondamento&lt;&gt;"TransfereGOV",
ROUND(OFFSET($P207,0,AQ$13),15-13*ORÇAMENTO!$AF$7)/$H207*OFFSET(ORÇAMENTO!$X$15,ROW(AQ207)-ROW(AQ$15),0),
ROUND(ROUND(OFFSET($P207,0,AQ$13),15-13*ORÇAMENTO!$AF$7)*OFFSET(ORÇAMENTO!$W$15,ROW(AQ207)-ROW(AQ$15),0),15-13*ORÇAMENTO!$AF$11)),0)</f>
        <v>0</v>
      </c>
      <c r="AR207" s="545">
        <f ca="1">IF(AND($D207="Serviço",AR$12&lt;&gt;0,$H207&gt;0,OR(AUTOEVENTO&lt;&gt;"manual",$M207&lt;&gt;1)),
IF(Import.TipoArredondamento&lt;&gt;"TransfereGOV",
ROUND(OFFSET($P207,0,AR$13),15-13*ORÇAMENTO!$AF$7)/$H207*OFFSET(ORÇAMENTO!$X$15,ROW(AR207)-ROW(AR$15),0),
ROUND(ROUND(OFFSET($P207,0,AR$13),15-13*ORÇAMENTO!$AF$7)*OFFSET(ORÇAMENTO!$W$15,ROW(AR207)-ROW(AR$15),0),15-13*ORÇAMENTO!$AF$11)),0)</f>
        <v>0</v>
      </c>
      <c r="AS207" s="546">
        <f ca="1">IF(AND($D207="Serviço",AS$12&lt;&gt;0,$H207&gt;0,OR(AUTOEVENTO&lt;&gt;"manual",$M207&lt;&gt;1)),
IF(Import.TipoArredondamento&lt;&gt;"TransfereGOV",
ROUND(OFFSET($P207,0,AS$13),15-13*ORÇAMENTO!$AF$7)/$H207*OFFSET(ORÇAMENTO!$X$15,ROW(AS207)-ROW(AS$15),0),
ROUND(ROUND(OFFSET($P207,0,AS$13),15-13*ORÇAMENTO!$AF$7)*OFFSET(ORÇAMENTO!$W$15,ROW(AS207)-ROW(AS$15),0),15-13*ORÇAMENTO!$AF$11)),0)</f>
        <v>0</v>
      </c>
      <c r="AT207" s="545">
        <f ca="1">IF(AND($D207="Serviço",AT$12&lt;&gt;0,$H207&gt;0,OR(AUTOEVENTO&lt;&gt;"manual",$M207&lt;&gt;1)),
IF(Import.TipoArredondamento&lt;&gt;"TransfereGOV",
ROUND(OFFSET($P207,0,AT$13),15-13*ORÇAMENTO!$AF$7)/$H207*OFFSET(ORÇAMENTO!$X$15,ROW(AT207)-ROW(AT$15),0),
ROUND(ROUND(OFFSET($P207,0,AT$13),15-13*ORÇAMENTO!$AF$7)*OFFSET(ORÇAMENTO!$W$15,ROW(AT207)-ROW(AT$15),0),15-13*ORÇAMENTO!$AF$11)),0)</f>
        <v>0</v>
      </c>
      <c r="AU207" s="545">
        <f ca="1">IF(AND($D207="Serviço",AU$12&lt;&gt;0,$H207&gt;0,OR(AUTOEVENTO&lt;&gt;"manual",$M207&lt;&gt;1)),
IF(Import.TipoArredondamento&lt;&gt;"TransfereGOV",
ROUND(OFFSET($P207,0,AU$13),15-13*ORÇAMENTO!$AF$7)/$H207*OFFSET(ORÇAMENTO!$X$15,ROW(AU207)-ROW(AU$15),0),
ROUND(ROUND(OFFSET($P207,0,AU$13),15-13*ORÇAMENTO!$AF$7)*OFFSET(ORÇAMENTO!$W$15,ROW(AU207)-ROW(AU$15),0),15-13*ORÇAMENTO!$AF$11)),0)</f>
        <v>0</v>
      </c>
      <c r="AV207" s="545">
        <f ca="1">IF(AND($D207="Serviço",AV$12&lt;&gt;0,$H207&gt;0,OR(AUTOEVENTO&lt;&gt;"manual",$M207&lt;&gt;1)),
IF(Import.TipoArredondamento&lt;&gt;"TransfereGOV",
ROUND(OFFSET($P207,0,AV$13),15-13*ORÇAMENTO!$AF$7)/$H207*OFFSET(ORÇAMENTO!$X$15,ROW(AV207)-ROW(AV$15),0),
ROUND(ROUND(OFFSET($P207,0,AV$13),15-13*ORÇAMENTO!$AF$7)*OFFSET(ORÇAMENTO!$W$15,ROW(AV207)-ROW(AV$15),0),15-13*ORÇAMENTO!$AF$11)),0)</f>
        <v>0</v>
      </c>
      <c r="AW207" s="545">
        <f ca="1">IF(AND($D207="Serviço",AW$12&lt;&gt;0,$H207&gt;0,OR(AUTOEVENTO&lt;&gt;"manual",$M207&lt;&gt;1)),
IF(Import.TipoArredondamento&lt;&gt;"TransfereGOV",
ROUND(OFFSET($P207,0,AW$13),15-13*ORÇAMENTO!$AF$7)/$H207*OFFSET(ORÇAMENTO!$X$15,ROW(AW207)-ROW(AW$15),0),
ROUND(ROUND(OFFSET($P207,0,AW$13),15-13*ORÇAMENTO!$AF$7)*OFFSET(ORÇAMENTO!$W$15,ROW(AW207)-ROW(AW$15),0),15-13*ORÇAMENTO!$AF$11)),0)</f>
        <v>0</v>
      </c>
      <c r="AX207" s="545">
        <f ca="1">IF(AND($D207="Serviço",AX$12&lt;&gt;0,$H207&gt;0,OR(AUTOEVENTO&lt;&gt;"manual",$M207&lt;&gt;1)),
IF(Import.TipoArredondamento&lt;&gt;"TransfereGOV",
ROUND(OFFSET($P207,0,AX$13),15-13*ORÇAMENTO!$AF$7)/$H207*OFFSET(ORÇAMENTO!$X$15,ROW(AX207)-ROW(AX$15),0),
ROUND(ROUND(OFFSET($P207,0,AX$13),15-13*ORÇAMENTO!$AF$7)*OFFSET(ORÇAMENTO!$W$15,ROW(AX207)-ROW(AX$15),0),15-13*ORÇAMENTO!$AF$11)),0)</f>
        <v>0</v>
      </c>
      <c r="AY207" s="545">
        <f ca="1">IF(AND($D207="Serviço",AY$12&lt;&gt;0,$H207&gt;0,OR(AUTOEVENTO&lt;&gt;"manual",$M207&lt;&gt;1)),
IF(Import.TipoArredondamento&lt;&gt;"TransfereGOV",
ROUND(OFFSET($P207,0,AY$13),15-13*ORÇAMENTO!$AF$7)/$H207*OFFSET(ORÇAMENTO!$X$15,ROW(AY207)-ROW(AY$15),0),
ROUND(ROUND(OFFSET($P207,0,AY$13),15-13*ORÇAMENTO!$AF$7)*OFFSET(ORÇAMENTO!$W$15,ROW(AY207)-ROW(AY$15),0),15-13*ORÇAMENTO!$AF$11)),0)</f>
        <v>0</v>
      </c>
      <c r="AZ207" s="545">
        <f ca="1">IF(AND($D207="Serviço",AZ$12&lt;&gt;0,$H207&gt;0,OR(AUTOEVENTO&lt;&gt;"manual",$M207&lt;&gt;1)),
IF(Import.TipoArredondamento&lt;&gt;"TransfereGOV",
ROUND(OFFSET($P207,0,AZ$13),15-13*ORÇAMENTO!$AF$7)/$H207*OFFSET(ORÇAMENTO!$X$15,ROW(AZ207)-ROW(AZ$15),0),
ROUND(ROUND(OFFSET($P207,0,AZ$13),15-13*ORÇAMENTO!$AF$7)*OFFSET(ORÇAMENTO!$W$15,ROW(AZ207)-ROW(AZ$15),0),15-13*ORÇAMENTO!$AF$11)),0)</f>
        <v>0</v>
      </c>
      <c r="BA207" s="546">
        <f ca="1">IF(AND($D207="Serviço",BA$12&lt;&gt;0,$H207&gt;0,OR(AUTOEVENTO&lt;&gt;"manual",$M207&lt;&gt;1)),
IF(Import.TipoArredondamento&lt;&gt;"TransfereGOV",
ROUND(OFFSET($P207,0,BA$13),15-13*ORÇAMENTO!$AF$7)/$H207*OFFSET(ORÇAMENTO!$X$15,ROW(BA207)-ROW(BA$15),0),
ROUND(ROUND(OFFSET($P207,0,BA$13),15-13*ORÇAMENTO!$AF$7)*OFFSET(ORÇAMENTO!$W$15,ROW(BA207)-ROW(BA$15),0),15-13*ORÇAMENTO!$AF$11)),0)</f>
        <v>0</v>
      </c>
      <c r="BC207" s="181">
        <f ca="1">IF($D207&lt;&gt;"Serviço",0,IF(AND(AUTOEVENTO="Manual",$M207=1),0,IF(OFFSET(CRONOPLE!$F$14,$M207,BC$13)="",10^12,OFFSET(CRONOPLE!$F$14,$M207,BC$13))))</f>
        <v>8</v>
      </c>
      <c r="BD207" s="181">
        <f ca="1">IF($D207&lt;&gt;"Serviço",0,IF(AND(AUTOEVENTO="Manual",$M207=1),0,IF(OFFSET(CRONOPLE!$F$14,$M207,BD$13)="",10^12,OFFSET(CRONOPLE!$F$14,$M207,BD$13))))</f>
        <v>1000000000000</v>
      </c>
      <c r="BE207" s="181">
        <f ca="1">IF($D207&lt;&gt;"Serviço",0,IF(AND(AUTOEVENTO="Manual",$M207=1),0,IF(OFFSET(CRONOPLE!$F$14,$M207,BE$13)="",10^12,OFFSET(CRONOPLE!$F$14,$M207,BE$13))))</f>
        <v>1000000000000</v>
      </c>
      <c r="BF207" s="181">
        <f ca="1">IF($D207&lt;&gt;"Serviço",0,IF(AND(AUTOEVENTO="Manual",$M207=1),0,IF(OFFSET(CRONOPLE!$F$14,$M207,BF$13)="",10^12,OFFSET(CRONOPLE!$F$14,$M207,BF$13))))</f>
        <v>1000000000000</v>
      </c>
      <c r="BG207" s="181">
        <f ca="1">IF($D207&lt;&gt;"Serviço",0,IF(AND(AUTOEVENTO="Manual",$M207=1),0,IF(OFFSET(CRONOPLE!$F$14,$M207,BG$13)="",10^12,OFFSET(CRONOPLE!$F$14,$M207,BG$13))))</f>
        <v>1000000000000</v>
      </c>
      <c r="BH207" s="181">
        <f ca="1">IF($D207&lt;&gt;"Serviço",0,IF(AND(AUTOEVENTO="Manual",$M207=1),0,IF(OFFSET(CRONOPLE!$F$14,$M207,BH$13)="",10^12,OFFSET(CRONOPLE!$F$14,$M207,BH$13))))</f>
        <v>1000000000000</v>
      </c>
      <c r="BI207" s="181">
        <f ca="1">IF($D207&lt;&gt;"Serviço",0,IF(AND(AUTOEVENTO="Manual",$M207=1),0,IF(OFFSET(CRONOPLE!$F$14,$M207,BI$13)="",10^12,OFFSET(CRONOPLE!$F$14,$M207,BI$13))))</f>
        <v>1000000000000</v>
      </c>
      <c r="BJ207" s="181">
        <f ca="1">IF($D207&lt;&gt;"Serviço",0,IF(AND(AUTOEVENTO="Manual",$M207=1),0,IF(OFFSET(CRONOPLE!$F$14,$M207,BJ$13)="",10^12,OFFSET(CRONOPLE!$F$14,$M207,BJ$13))))</f>
        <v>1000000000000</v>
      </c>
      <c r="BK207" s="181">
        <f ca="1">IF($D207&lt;&gt;"Serviço",0,IF(AND(AUTOEVENTO="Manual",$M207=1),0,IF(OFFSET(CRONOPLE!$F$14,$M207,BK$13)="",10^12,OFFSET(CRONOPLE!$F$14,$M207,BK$13))))</f>
        <v>1000000000000</v>
      </c>
      <c r="BL207" s="181">
        <f ca="1">IF($D207&lt;&gt;"Serviço",0,IF(AND(AUTOEVENTO="Manual",$M207=1),0,IF(OFFSET(CRONOPLE!$F$14,$M207,BL$13)="",10^12,OFFSET(CRONOPLE!$F$14,$M207,BL$13))))</f>
        <v>1000000000000</v>
      </c>
      <c r="BM207" s="181">
        <f ca="1">IF($D207&lt;&gt;"Serviço",0,IF(AND(AUTOEVENTO="Manual",$M207=1),0,IF(OFFSET(CRONOPLE!$F$14,$M207,BM$13)="",10^12,OFFSET(CRONOPLE!$F$14,$M207,BM$13))))</f>
        <v>1000000000000</v>
      </c>
      <c r="BN207" s="181">
        <f ca="1">IF($D207&lt;&gt;"Serviço",0,IF(AND(AUTOEVENTO="Manual",$M207=1),0,IF(OFFSET(CRONOPLE!$F$14,$M207,BN$13)="",10^12,OFFSET(CRONOPLE!$F$14,$M207,BN$13))))</f>
        <v>1000000000000</v>
      </c>
      <c r="BO207" s="181">
        <f ca="1">IF($D207&lt;&gt;"Serviço",0,IF(AND(AUTOEVENTO="Manual",$M207=1),0,IF(OFFSET(CRONOPLE!$F$14,$M207,BO$13)="",10^12,OFFSET(CRONOPLE!$F$14,$M207,BO$13))))</f>
        <v>1000000000000</v>
      </c>
      <c r="BP207" s="181">
        <f ca="1">IF($D207&lt;&gt;"Serviço",0,IF(AND(AUTOEVENTO="Manual",$M207=1),0,IF(OFFSET(CRONOPLE!$F$14,$M207,BP$13)="",10^12,OFFSET(CRONOPLE!$F$14,$M207,BP$13))))</f>
        <v>1000000000000</v>
      </c>
      <c r="BQ207" s="181">
        <f ca="1">IF($D207&lt;&gt;"Serviço",0,IF(AND(AUTOEVENTO="Manual",$M207=1),0,IF(OFFSET(CRONOPLE!$F$14,$M207,BQ$13)="",10^12,OFFSET(CRONOPLE!$F$14,$M207,BQ$13))))</f>
        <v>1000000000000</v>
      </c>
      <c r="BR207" s="181">
        <f ca="1">IF($D207&lt;&gt;"Serviço",0,IF(AND(AUTOEVENTO="Manual",$M207=1),0,IF(OFFSET(CRONOPLE!$F$14,$M207,BR$13)="",10^12,OFFSET(CRONOPLE!$F$14,$M207,BR$13))))</f>
        <v>1000000000000</v>
      </c>
      <c r="BS207" s="181">
        <f ca="1">IF($D207&lt;&gt;"Serviço",0,IF(AND(AUTOEVENTO="Manual",$M207=1),0,IF(OFFSET(CRONOPLE!$F$14,$M207,BS$13)="",10^12,OFFSET(CRONOPLE!$F$14,$M207,BS$13))))</f>
        <v>1000000000000</v>
      </c>
      <c r="BT207" s="181">
        <f ca="1">IF($D207&lt;&gt;"Serviço",0,IF(AND(AUTOEVENTO="Manual",$M207=1),0,IF(OFFSET(CRONOPLE!$F$14,$M207,BT$13)="",10^12,OFFSET(CRONOPLE!$F$14,$M207,BT$13))))</f>
        <v>1000000000000</v>
      </c>
      <c r="BV207" s="182">
        <f ca="1">IF($D207&lt;&gt;"Serviço",0,IF(OR(AND(AUTOEVENTO="Manual",$M207=1),$M207&gt;(ROW(PLE.lastrow)-ROW(PLE.firstrow))),0,IF(OFFSET(PLE!$G$14,$M207,BV$13)="",10^12,OFFSET(PLE!$G$14,$M207,BV$13))))</f>
        <v>1000000000000</v>
      </c>
      <c r="BW207" s="182">
        <f ca="1">IF($D207&lt;&gt;"Serviço",0,IF(OR(AND(AUTOEVENTO="Manual",$M207=1),$M207&gt;(ROW(PLE.lastrow)-ROW(PLE.firstrow))),0,IF(OFFSET(PLE!$G$14,$M207,BW$13)="",10^12,OFFSET(PLE!$G$14,$M207,BW$13))))</f>
        <v>1000000000000</v>
      </c>
      <c r="BX207" s="182">
        <f ca="1">IF($D207&lt;&gt;"Serviço",0,IF(OR(AND(AUTOEVENTO="Manual",$M207=1),$M207&gt;(ROW(PLE.lastrow)-ROW(PLE.firstrow))),0,IF(OFFSET(PLE!$G$14,$M207,BX$13)="",10^12,OFFSET(PLE!$G$14,$M207,BX$13))))</f>
        <v>1000000000000</v>
      </c>
      <c r="BY207" s="182">
        <f ca="1">IF($D207&lt;&gt;"Serviço",0,IF(OR(AND(AUTOEVENTO="Manual",$M207=1),$M207&gt;(ROW(PLE.lastrow)-ROW(PLE.firstrow))),0,IF(OFFSET(PLE!$G$14,$M207,BY$13)="",10^12,OFFSET(PLE!$G$14,$M207,BY$13))))</f>
        <v>1000000000000</v>
      </c>
      <c r="BZ207" s="182">
        <f ca="1">IF($D207&lt;&gt;"Serviço",0,IF(OR(AND(AUTOEVENTO="Manual",$M207=1),$M207&gt;(ROW(PLE.lastrow)-ROW(PLE.firstrow))),0,IF(OFFSET(PLE!$G$14,$M207,BZ$13)="",10^12,OFFSET(PLE!$G$14,$M207,BZ$13))))</f>
        <v>1000000000000</v>
      </c>
      <c r="CA207" s="182">
        <f ca="1">IF($D207&lt;&gt;"Serviço",0,IF(OR(AND(AUTOEVENTO="Manual",$M207=1),$M207&gt;(ROW(PLE.lastrow)-ROW(PLE.firstrow))),0,IF(OFFSET(PLE!$G$14,$M207,CA$13)="",10^12,OFFSET(PLE!$G$14,$M207,CA$13))))</f>
        <v>1000000000000</v>
      </c>
      <c r="CB207" s="182">
        <f ca="1">IF($D207&lt;&gt;"Serviço",0,IF(OR(AND(AUTOEVENTO="Manual",$M207=1),$M207&gt;(ROW(PLE.lastrow)-ROW(PLE.firstrow))),0,IF(OFFSET(PLE!$G$14,$M207,CB$13)="",10^12,OFFSET(PLE!$G$14,$M207,CB$13))))</f>
        <v>1000000000000</v>
      </c>
      <c r="CC207" s="182">
        <f ca="1">IF($D207&lt;&gt;"Serviço",0,IF(OR(AND(AUTOEVENTO="Manual",$M207=1),$M207&gt;(ROW(PLE.lastrow)-ROW(PLE.firstrow))),0,IF(OFFSET(PLE!$G$14,$M207,CC$13)="",10^12,OFFSET(PLE!$G$14,$M207,CC$13))))</f>
        <v>1000000000000</v>
      </c>
      <c r="CD207" s="182">
        <f ca="1">IF($D207&lt;&gt;"Serviço",0,IF(OR(AND(AUTOEVENTO="Manual",$M207=1),$M207&gt;(ROW(PLE.lastrow)-ROW(PLE.firstrow))),0,IF(OFFSET(PLE!$G$14,$M207,CD$13)="",10^12,OFFSET(PLE!$G$14,$M207,CD$13))))</f>
        <v>1000000000000</v>
      </c>
      <c r="CE207" s="182">
        <f ca="1">IF($D207&lt;&gt;"Serviço",0,IF(OR(AND(AUTOEVENTO="Manual",$M207=1),$M207&gt;(ROW(PLE.lastrow)-ROW(PLE.firstrow))),0,IF(OFFSET(PLE!$G$14,$M207,CE$13)="",10^12,OFFSET(PLE!$G$14,$M207,CE$13))))</f>
        <v>1000000000000</v>
      </c>
      <c r="CF207" s="182">
        <f ca="1">IF($D207&lt;&gt;"Serviço",0,IF(OR(AND(AUTOEVENTO="Manual",$M207=1),$M207&gt;(ROW(PLE.lastrow)-ROW(PLE.firstrow))),0,IF(OFFSET(PLE!$G$14,$M207,CF$13)="",10^12,OFFSET(PLE!$G$14,$M207,CF$13))))</f>
        <v>1000000000000</v>
      </c>
      <c r="CG207" s="182">
        <f ca="1">IF($D207&lt;&gt;"Serviço",0,IF(OR(AND(AUTOEVENTO="Manual",$M207=1),$M207&gt;(ROW(PLE.lastrow)-ROW(PLE.firstrow))),0,IF(OFFSET(PLE!$G$14,$M207,CG$13)="",10^12,OFFSET(PLE!$G$14,$M207,CG$13))))</f>
        <v>1000000000000</v>
      </c>
      <c r="CH207" s="182">
        <f ca="1">IF($D207&lt;&gt;"Serviço",0,IF(OR(AND(AUTOEVENTO="Manual",$M207=1),$M207&gt;(ROW(PLE.lastrow)-ROW(PLE.firstrow))),0,IF(OFFSET(PLE!$G$14,$M207,CH$13)="",10^12,OFFSET(PLE!$G$14,$M207,CH$13))))</f>
        <v>1000000000000</v>
      </c>
      <c r="CI207" s="182">
        <f ca="1">IF($D207&lt;&gt;"Serviço",0,IF(OR(AND(AUTOEVENTO="Manual",$M207=1),$M207&gt;(ROW(PLE.lastrow)-ROW(PLE.firstrow))),0,IF(OFFSET(PLE!$G$14,$M207,CI$13)="",10^12,OFFSET(PLE!$G$14,$M207,CI$13))))</f>
        <v>1000000000000</v>
      </c>
      <c r="CJ207" s="182">
        <f ca="1">IF($D207&lt;&gt;"Serviço",0,IF(OR(AND(AUTOEVENTO="Manual",$M207=1),$M207&gt;(ROW(PLE.lastrow)-ROW(PLE.firstrow))),0,IF(OFFSET(PLE!$G$14,$M207,CJ$13)="",10^12,OFFSET(PLE!$G$14,$M207,CJ$13))))</f>
        <v>1000000000000</v>
      </c>
      <c r="CK207" s="182">
        <f ca="1">IF($D207&lt;&gt;"Serviço",0,IF(OR(AND(AUTOEVENTO="Manual",$M207=1),$M207&gt;(ROW(PLE.lastrow)-ROW(PLE.firstrow))),0,IF(OFFSET(PLE!$G$14,$M207,CK$13)="",10^12,OFFSET(PLE!$G$14,$M207,CK$13))))</f>
        <v>1000000000000</v>
      </c>
      <c r="CL207" s="182">
        <f ca="1">IF($D207&lt;&gt;"Serviço",0,IF(OR(AND(AUTOEVENTO="Manual",$M207=1),$M207&gt;(ROW(PLE.lastrow)-ROW(PLE.firstrow))),0,IF(OFFSET(PLE!$G$14,$M207,CL$13)="",10^12,OFFSET(PLE!$G$14,$M207,CL$13))))</f>
        <v>1000000000000</v>
      </c>
      <c r="CM207" s="182">
        <f ca="1">IF($D207&lt;&gt;"Serviço",0,IF(OR(AND(AUTOEVENTO="Manual",$M207=1),$M207&gt;(ROW(PLE.lastrow)-ROW(PLE.firstrow))),0,IF(OFFSET(PLE!$G$14,$M207,CM$13)="",10^12,OFFSET(PLE!$G$14,$M207,CM$13))))</f>
        <v>1000000000000</v>
      </c>
    </row>
    <row r="208" spans="1:91" ht="25.5" x14ac:dyDescent="0.2">
      <c r="A208" s="7" t="str">
        <f t="shared" ca="1" si="12"/>
        <v>184</v>
      </c>
      <c r="B208" s="7" t="str">
        <f ca="1">OFFSET(ORÇAMENTO!C$15,ROW(B208)-ROW(B$15),0)</f>
        <v>S</v>
      </c>
      <c r="C208" s="7" t="str">
        <f ca="1">OFFSET(ORÇAMENTO!L$15,ROW(C208)-ROW(C$15),0)</f>
        <v/>
      </c>
      <c r="D208" s="118" t="str">
        <f ca="1">OFFSET(ORÇAMENTO!N$15,ROW(D208)-ROW(D$15),0)</f>
        <v>Serviço</v>
      </c>
      <c r="E208" s="119" t="str">
        <f ca="1">OFFSET(ORÇAMENTO!O$15,ROW(E208)-ROW(E$15),0)</f>
        <v>-</v>
      </c>
      <c r="F208" s="172" t="str">
        <f ca="1">OFFSET(ORÇAMENTO!R$15,ROW(F208)-ROW(F$15),0)</f>
        <v>(abra o arquivo 'Referência 06-2024.xlsm)</v>
      </c>
      <c r="G208" s="173" t="str">
        <f ca="1">IF($D208&lt;&gt;"Serviço","",OFFSET(ORÇAMENTO!S$15,ROW(G208)-ROW(G$15),0))</f>
        <v>-</v>
      </c>
      <c r="H208" s="124">
        <f ca="1">IF($D208&lt;&gt;"Serviço",0,IF(ACOMPANHAMENTO="BM",ROUND(OFFSET(ORÇAMENTO!AJ$15,ROW(H208)-ROW(H$15),0),15-13*ORÇAMENTO!$AF$7),SUMPRODUCT(($Q$12:$AI$12&lt;&gt;"")*ROUND($Q208:$AI208,15-13*ORÇAMENTO!$AF$7))))</f>
        <v>220.11</v>
      </c>
      <c r="I208" s="561" t="s">
        <v>1107</v>
      </c>
      <c r="K208" s="174"/>
      <c r="L208" s="175" t="s">
        <v>255</v>
      </c>
      <c r="M208" s="176">
        <f ca="1">IF($D208&lt;&gt;"Serviço","",IF(AUTOEVENTO="manual",$A208,IF(ISERROR(MATCH($A208,$A$15:OFFSET($A208,-1,0),0)),MAX($M$15:OFFSET(M208,-1,0))+1,INDEX($M$15:OFFSET(M208,-1,0),MATCH($A208,$A$15:OFFSET($A208,-1,0),0)))))</f>
        <v>28</v>
      </c>
      <c r="N208" s="177" t="str">
        <f ca="1">IF($D208&lt;&gt;"Serviço","",IF(AUTOEVENTO="Manual",IF($A208=0,"&lt;-- defina o número do agrupador",OFFSET(EVENTOS!$D$14,$A208,0)),OFFSET($F$15,$A208,0)))</f>
        <v>SISTEMAS DE PISOS - PAVIMENTAÇÃO INTERNA</v>
      </c>
      <c r="O208" s="178"/>
      <c r="Q208" s="178">
        <v>220.11</v>
      </c>
      <c r="R208" s="179"/>
      <c r="S208" s="179"/>
      <c r="T208" s="179"/>
      <c r="U208" s="179"/>
      <c r="V208" s="179"/>
      <c r="W208" s="179"/>
      <c r="X208" s="179"/>
      <c r="Y208" s="179"/>
      <c r="Z208" s="180"/>
      <c r="AA208" s="179"/>
      <c r="AB208" s="179"/>
      <c r="AC208" s="179"/>
      <c r="AD208" s="179"/>
      <c r="AE208" s="179"/>
      <c r="AF208" s="179"/>
      <c r="AG208" s="179"/>
      <c r="AH208" s="180"/>
      <c r="AJ208" s="544">
        <f ca="1">IF(AND($D208="Serviço",AJ$12&lt;&gt;0,$H208&gt;0,OR(AUTOEVENTO&lt;&gt;"manual",$M208&lt;&gt;1)),
IF(Import.TipoArredondamento&lt;&gt;"TransfereGOV",
ROUND(OFFSET($P208,0,AJ$13),15-13*ORÇAMENTO!$AF$7)/$H208*OFFSET(ORÇAMENTO!$X$15,ROW(AJ208)-ROW(AJ$15),0),
ROUND(ROUND(OFFSET($P208,0,AJ$13),15-13*ORÇAMENTO!$AF$7)*OFFSET(ORÇAMENTO!$W$15,ROW(AJ208)-ROW(AJ$15),0),15-13*ORÇAMENTO!$AF$11)),0)</f>
        <v>0</v>
      </c>
      <c r="AK208" s="545">
        <f ca="1">IF(AND($D208="Serviço",AK$12&lt;&gt;0,$H208&gt;0,OR(AUTOEVENTO&lt;&gt;"manual",$M208&lt;&gt;1)),
IF(Import.TipoArredondamento&lt;&gt;"TransfereGOV",
ROUND(OFFSET($P208,0,AK$13),15-13*ORÇAMENTO!$AF$7)/$H208*OFFSET(ORÇAMENTO!$X$15,ROW(AK208)-ROW(AK$15),0),
ROUND(ROUND(OFFSET($P208,0,AK$13),15-13*ORÇAMENTO!$AF$7)*OFFSET(ORÇAMENTO!$W$15,ROW(AK208)-ROW(AK$15),0),15-13*ORÇAMENTO!$AF$11)),0)</f>
        <v>0</v>
      </c>
      <c r="AL208" s="545">
        <f ca="1">IF(AND($D208="Serviço",AL$12&lt;&gt;0,$H208&gt;0,OR(AUTOEVENTO&lt;&gt;"manual",$M208&lt;&gt;1)),
IF(Import.TipoArredondamento&lt;&gt;"TransfereGOV",
ROUND(OFFSET($P208,0,AL$13),15-13*ORÇAMENTO!$AF$7)/$H208*OFFSET(ORÇAMENTO!$X$15,ROW(AL208)-ROW(AL$15),0),
ROUND(ROUND(OFFSET($P208,0,AL$13),15-13*ORÇAMENTO!$AF$7)*OFFSET(ORÇAMENTO!$W$15,ROW(AL208)-ROW(AL$15),0),15-13*ORÇAMENTO!$AF$11)),0)</f>
        <v>0</v>
      </c>
      <c r="AM208" s="545">
        <f ca="1">IF(AND($D208="Serviço",AM$12&lt;&gt;0,$H208&gt;0,OR(AUTOEVENTO&lt;&gt;"manual",$M208&lt;&gt;1)),
IF(Import.TipoArredondamento&lt;&gt;"TransfereGOV",
ROUND(OFFSET($P208,0,AM$13),15-13*ORÇAMENTO!$AF$7)/$H208*OFFSET(ORÇAMENTO!$X$15,ROW(AM208)-ROW(AM$15),0),
ROUND(ROUND(OFFSET($P208,0,AM$13),15-13*ORÇAMENTO!$AF$7)*OFFSET(ORÇAMENTO!$W$15,ROW(AM208)-ROW(AM$15),0),15-13*ORÇAMENTO!$AF$11)),0)</f>
        <v>0</v>
      </c>
      <c r="AN208" s="545">
        <f ca="1">IF(AND($D208="Serviço",AN$12&lt;&gt;0,$H208&gt;0,OR(AUTOEVENTO&lt;&gt;"manual",$M208&lt;&gt;1)),
IF(Import.TipoArredondamento&lt;&gt;"TransfereGOV",
ROUND(OFFSET($P208,0,AN$13),15-13*ORÇAMENTO!$AF$7)/$H208*OFFSET(ORÇAMENTO!$X$15,ROW(AN208)-ROW(AN$15),0),
ROUND(ROUND(OFFSET($P208,0,AN$13),15-13*ORÇAMENTO!$AF$7)*OFFSET(ORÇAMENTO!$W$15,ROW(AN208)-ROW(AN$15),0),15-13*ORÇAMENTO!$AF$11)),0)</f>
        <v>0</v>
      </c>
      <c r="AO208" s="545">
        <f ca="1">IF(AND($D208="Serviço",AO$12&lt;&gt;0,$H208&gt;0,OR(AUTOEVENTO&lt;&gt;"manual",$M208&lt;&gt;1)),
IF(Import.TipoArredondamento&lt;&gt;"TransfereGOV",
ROUND(OFFSET($P208,0,AO$13),15-13*ORÇAMENTO!$AF$7)/$H208*OFFSET(ORÇAMENTO!$X$15,ROW(AO208)-ROW(AO$15),0),
ROUND(ROUND(OFFSET($P208,0,AO$13),15-13*ORÇAMENTO!$AF$7)*OFFSET(ORÇAMENTO!$W$15,ROW(AO208)-ROW(AO$15),0),15-13*ORÇAMENTO!$AF$11)),0)</f>
        <v>0</v>
      </c>
      <c r="AP208" s="545">
        <f ca="1">IF(AND($D208="Serviço",AP$12&lt;&gt;0,$H208&gt;0,OR(AUTOEVENTO&lt;&gt;"manual",$M208&lt;&gt;1)),
IF(Import.TipoArredondamento&lt;&gt;"TransfereGOV",
ROUND(OFFSET($P208,0,AP$13),15-13*ORÇAMENTO!$AF$7)/$H208*OFFSET(ORÇAMENTO!$X$15,ROW(AP208)-ROW(AP$15),0),
ROUND(ROUND(OFFSET($P208,0,AP$13),15-13*ORÇAMENTO!$AF$7)*OFFSET(ORÇAMENTO!$W$15,ROW(AP208)-ROW(AP$15),0),15-13*ORÇAMENTO!$AF$11)),0)</f>
        <v>0</v>
      </c>
      <c r="AQ208" s="545">
        <f ca="1">IF(AND($D208="Serviço",AQ$12&lt;&gt;0,$H208&gt;0,OR(AUTOEVENTO&lt;&gt;"manual",$M208&lt;&gt;1)),
IF(Import.TipoArredondamento&lt;&gt;"TransfereGOV",
ROUND(OFFSET($P208,0,AQ$13),15-13*ORÇAMENTO!$AF$7)/$H208*OFFSET(ORÇAMENTO!$X$15,ROW(AQ208)-ROW(AQ$15),0),
ROUND(ROUND(OFFSET($P208,0,AQ$13),15-13*ORÇAMENTO!$AF$7)*OFFSET(ORÇAMENTO!$W$15,ROW(AQ208)-ROW(AQ$15),0),15-13*ORÇAMENTO!$AF$11)),0)</f>
        <v>0</v>
      </c>
      <c r="AR208" s="545">
        <f ca="1">IF(AND($D208="Serviço",AR$12&lt;&gt;0,$H208&gt;0,OR(AUTOEVENTO&lt;&gt;"manual",$M208&lt;&gt;1)),
IF(Import.TipoArredondamento&lt;&gt;"TransfereGOV",
ROUND(OFFSET($P208,0,AR$13),15-13*ORÇAMENTO!$AF$7)/$H208*OFFSET(ORÇAMENTO!$X$15,ROW(AR208)-ROW(AR$15),0),
ROUND(ROUND(OFFSET($P208,0,AR$13),15-13*ORÇAMENTO!$AF$7)*OFFSET(ORÇAMENTO!$W$15,ROW(AR208)-ROW(AR$15),0),15-13*ORÇAMENTO!$AF$11)),0)</f>
        <v>0</v>
      </c>
      <c r="AS208" s="546">
        <f ca="1">IF(AND($D208="Serviço",AS$12&lt;&gt;0,$H208&gt;0,OR(AUTOEVENTO&lt;&gt;"manual",$M208&lt;&gt;1)),
IF(Import.TipoArredondamento&lt;&gt;"TransfereGOV",
ROUND(OFFSET($P208,0,AS$13),15-13*ORÇAMENTO!$AF$7)/$H208*OFFSET(ORÇAMENTO!$X$15,ROW(AS208)-ROW(AS$15),0),
ROUND(ROUND(OFFSET($P208,0,AS$13),15-13*ORÇAMENTO!$AF$7)*OFFSET(ORÇAMENTO!$W$15,ROW(AS208)-ROW(AS$15),0),15-13*ORÇAMENTO!$AF$11)),0)</f>
        <v>0</v>
      </c>
      <c r="AT208" s="545">
        <f ca="1">IF(AND($D208="Serviço",AT$12&lt;&gt;0,$H208&gt;0,OR(AUTOEVENTO&lt;&gt;"manual",$M208&lt;&gt;1)),
IF(Import.TipoArredondamento&lt;&gt;"TransfereGOV",
ROUND(OFFSET($P208,0,AT$13),15-13*ORÇAMENTO!$AF$7)/$H208*OFFSET(ORÇAMENTO!$X$15,ROW(AT208)-ROW(AT$15),0),
ROUND(ROUND(OFFSET($P208,0,AT$13),15-13*ORÇAMENTO!$AF$7)*OFFSET(ORÇAMENTO!$W$15,ROW(AT208)-ROW(AT$15),0),15-13*ORÇAMENTO!$AF$11)),0)</f>
        <v>0</v>
      </c>
      <c r="AU208" s="545">
        <f ca="1">IF(AND($D208="Serviço",AU$12&lt;&gt;0,$H208&gt;0,OR(AUTOEVENTO&lt;&gt;"manual",$M208&lt;&gt;1)),
IF(Import.TipoArredondamento&lt;&gt;"TransfereGOV",
ROUND(OFFSET($P208,0,AU$13),15-13*ORÇAMENTO!$AF$7)/$H208*OFFSET(ORÇAMENTO!$X$15,ROW(AU208)-ROW(AU$15),0),
ROUND(ROUND(OFFSET($P208,0,AU$13),15-13*ORÇAMENTO!$AF$7)*OFFSET(ORÇAMENTO!$W$15,ROW(AU208)-ROW(AU$15),0),15-13*ORÇAMENTO!$AF$11)),0)</f>
        <v>0</v>
      </c>
      <c r="AV208" s="545">
        <f ca="1">IF(AND($D208="Serviço",AV$12&lt;&gt;0,$H208&gt;0,OR(AUTOEVENTO&lt;&gt;"manual",$M208&lt;&gt;1)),
IF(Import.TipoArredondamento&lt;&gt;"TransfereGOV",
ROUND(OFFSET($P208,0,AV$13),15-13*ORÇAMENTO!$AF$7)/$H208*OFFSET(ORÇAMENTO!$X$15,ROW(AV208)-ROW(AV$15),0),
ROUND(ROUND(OFFSET($P208,0,AV$13),15-13*ORÇAMENTO!$AF$7)*OFFSET(ORÇAMENTO!$W$15,ROW(AV208)-ROW(AV$15),0),15-13*ORÇAMENTO!$AF$11)),0)</f>
        <v>0</v>
      </c>
      <c r="AW208" s="545">
        <f ca="1">IF(AND($D208="Serviço",AW$12&lt;&gt;0,$H208&gt;0,OR(AUTOEVENTO&lt;&gt;"manual",$M208&lt;&gt;1)),
IF(Import.TipoArredondamento&lt;&gt;"TransfereGOV",
ROUND(OFFSET($P208,0,AW$13),15-13*ORÇAMENTO!$AF$7)/$H208*OFFSET(ORÇAMENTO!$X$15,ROW(AW208)-ROW(AW$15),0),
ROUND(ROUND(OFFSET($P208,0,AW$13),15-13*ORÇAMENTO!$AF$7)*OFFSET(ORÇAMENTO!$W$15,ROW(AW208)-ROW(AW$15),0),15-13*ORÇAMENTO!$AF$11)),0)</f>
        <v>0</v>
      </c>
      <c r="AX208" s="545">
        <f ca="1">IF(AND($D208="Serviço",AX$12&lt;&gt;0,$H208&gt;0,OR(AUTOEVENTO&lt;&gt;"manual",$M208&lt;&gt;1)),
IF(Import.TipoArredondamento&lt;&gt;"TransfereGOV",
ROUND(OFFSET($P208,0,AX$13),15-13*ORÇAMENTO!$AF$7)/$H208*OFFSET(ORÇAMENTO!$X$15,ROW(AX208)-ROW(AX$15),0),
ROUND(ROUND(OFFSET($P208,0,AX$13),15-13*ORÇAMENTO!$AF$7)*OFFSET(ORÇAMENTO!$W$15,ROW(AX208)-ROW(AX$15),0),15-13*ORÇAMENTO!$AF$11)),0)</f>
        <v>0</v>
      </c>
      <c r="AY208" s="545">
        <f ca="1">IF(AND($D208="Serviço",AY$12&lt;&gt;0,$H208&gt;0,OR(AUTOEVENTO&lt;&gt;"manual",$M208&lt;&gt;1)),
IF(Import.TipoArredondamento&lt;&gt;"TransfereGOV",
ROUND(OFFSET($P208,0,AY$13),15-13*ORÇAMENTO!$AF$7)/$H208*OFFSET(ORÇAMENTO!$X$15,ROW(AY208)-ROW(AY$15),0),
ROUND(ROUND(OFFSET($P208,0,AY$13),15-13*ORÇAMENTO!$AF$7)*OFFSET(ORÇAMENTO!$W$15,ROW(AY208)-ROW(AY$15),0),15-13*ORÇAMENTO!$AF$11)),0)</f>
        <v>0</v>
      </c>
      <c r="AZ208" s="545">
        <f ca="1">IF(AND($D208="Serviço",AZ$12&lt;&gt;0,$H208&gt;0,OR(AUTOEVENTO&lt;&gt;"manual",$M208&lt;&gt;1)),
IF(Import.TipoArredondamento&lt;&gt;"TransfereGOV",
ROUND(OFFSET($P208,0,AZ$13),15-13*ORÇAMENTO!$AF$7)/$H208*OFFSET(ORÇAMENTO!$X$15,ROW(AZ208)-ROW(AZ$15),0),
ROUND(ROUND(OFFSET($P208,0,AZ$13),15-13*ORÇAMENTO!$AF$7)*OFFSET(ORÇAMENTO!$W$15,ROW(AZ208)-ROW(AZ$15),0),15-13*ORÇAMENTO!$AF$11)),0)</f>
        <v>0</v>
      </c>
      <c r="BA208" s="546">
        <f ca="1">IF(AND($D208="Serviço",BA$12&lt;&gt;0,$H208&gt;0,OR(AUTOEVENTO&lt;&gt;"manual",$M208&lt;&gt;1)),
IF(Import.TipoArredondamento&lt;&gt;"TransfereGOV",
ROUND(OFFSET($P208,0,BA$13),15-13*ORÇAMENTO!$AF$7)/$H208*OFFSET(ORÇAMENTO!$X$15,ROW(BA208)-ROW(BA$15),0),
ROUND(ROUND(OFFSET($P208,0,BA$13),15-13*ORÇAMENTO!$AF$7)*OFFSET(ORÇAMENTO!$W$15,ROW(BA208)-ROW(BA$15),0),15-13*ORÇAMENTO!$AF$11)),0)</f>
        <v>0</v>
      </c>
      <c r="BC208" s="181">
        <f ca="1">IF($D208&lt;&gt;"Serviço",0,IF(AND(AUTOEVENTO="Manual",$M208=1),0,IF(OFFSET(CRONOPLE!$F$14,$M208,BC$13)="",10^12,OFFSET(CRONOPLE!$F$14,$M208,BC$13))))</f>
        <v>8</v>
      </c>
      <c r="BD208" s="181">
        <f ca="1">IF($D208&lt;&gt;"Serviço",0,IF(AND(AUTOEVENTO="Manual",$M208=1),0,IF(OFFSET(CRONOPLE!$F$14,$M208,BD$13)="",10^12,OFFSET(CRONOPLE!$F$14,$M208,BD$13))))</f>
        <v>1000000000000</v>
      </c>
      <c r="BE208" s="181">
        <f ca="1">IF($D208&lt;&gt;"Serviço",0,IF(AND(AUTOEVENTO="Manual",$M208=1),0,IF(OFFSET(CRONOPLE!$F$14,$M208,BE$13)="",10^12,OFFSET(CRONOPLE!$F$14,$M208,BE$13))))</f>
        <v>1000000000000</v>
      </c>
      <c r="BF208" s="181">
        <f ca="1">IF($D208&lt;&gt;"Serviço",0,IF(AND(AUTOEVENTO="Manual",$M208=1),0,IF(OFFSET(CRONOPLE!$F$14,$M208,BF$13)="",10^12,OFFSET(CRONOPLE!$F$14,$M208,BF$13))))</f>
        <v>1000000000000</v>
      </c>
      <c r="BG208" s="181">
        <f ca="1">IF($D208&lt;&gt;"Serviço",0,IF(AND(AUTOEVENTO="Manual",$M208=1),0,IF(OFFSET(CRONOPLE!$F$14,$M208,BG$13)="",10^12,OFFSET(CRONOPLE!$F$14,$M208,BG$13))))</f>
        <v>1000000000000</v>
      </c>
      <c r="BH208" s="181">
        <f ca="1">IF($D208&lt;&gt;"Serviço",0,IF(AND(AUTOEVENTO="Manual",$M208=1),0,IF(OFFSET(CRONOPLE!$F$14,$M208,BH$13)="",10^12,OFFSET(CRONOPLE!$F$14,$M208,BH$13))))</f>
        <v>1000000000000</v>
      </c>
      <c r="BI208" s="181">
        <f ca="1">IF($D208&lt;&gt;"Serviço",0,IF(AND(AUTOEVENTO="Manual",$M208=1),0,IF(OFFSET(CRONOPLE!$F$14,$M208,BI$13)="",10^12,OFFSET(CRONOPLE!$F$14,$M208,BI$13))))</f>
        <v>1000000000000</v>
      </c>
      <c r="BJ208" s="181">
        <f ca="1">IF($D208&lt;&gt;"Serviço",0,IF(AND(AUTOEVENTO="Manual",$M208=1),0,IF(OFFSET(CRONOPLE!$F$14,$M208,BJ$13)="",10^12,OFFSET(CRONOPLE!$F$14,$M208,BJ$13))))</f>
        <v>1000000000000</v>
      </c>
      <c r="BK208" s="181">
        <f ca="1">IF($D208&lt;&gt;"Serviço",0,IF(AND(AUTOEVENTO="Manual",$M208=1),0,IF(OFFSET(CRONOPLE!$F$14,$M208,BK$13)="",10^12,OFFSET(CRONOPLE!$F$14,$M208,BK$13))))</f>
        <v>1000000000000</v>
      </c>
      <c r="BL208" s="181">
        <f ca="1">IF($D208&lt;&gt;"Serviço",0,IF(AND(AUTOEVENTO="Manual",$M208=1),0,IF(OFFSET(CRONOPLE!$F$14,$M208,BL$13)="",10^12,OFFSET(CRONOPLE!$F$14,$M208,BL$13))))</f>
        <v>1000000000000</v>
      </c>
      <c r="BM208" s="181">
        <f ca="1">IF($D208&lt;&gt;"Serviço",0,IF(AND(AUTOEVENTO="Manual",$M208=1),0,IF(OFFSET(CRONOPLE!$F$14,$M208,BM$13)="",10^12,OFFSET(CRONOPLE!$F$14,$M208,BM$13))))</f>
        <v>1000000000000</v>
      </c>
      <c r="BN208" s="181">
        <f ca="1">IF($D208&lt;&gt;"Serviço",0,IF(AND(AUTOEVENTO="Manual",$M208=1),0,IF(OFFSET(CRONOPLE!$F$14,$M208,BN$13)="",10^12,OFFSET(CRONOPLE!$F$14,$M208,BN$13))))</f>
        <v>1000000000000</v>
      </c>
      <c r="BO208" s="181">
        <f ca="1">IF($D208&lt;&gt;"Serviço",0,IF(AND(AUTOEVENTO="Manual",$M208=1),0,IF(OFFSET(CRONOPLE!$F$14,$M208,BO$13)="",10^12,OFFSET(CRONOPLE!$F$14,$M208,BO$13))))</f>
        <v>1000000000000</v>
      </c>
      <c r="BP208" s="181">
        <f ca="1">IF($D208&lt;&gt;"Serviço",0,IF(AND(AUTOEVENTO="Manual",$M208=1),0,IF(OFFSET(CRONOPLE!$F$14,$M208,BP$13)="",10^12,OFFSET(CRONOPLE!$F$14,$M208,BP$13))))</f>
        <v>1000000000000</v>
      </c>
      <c r="BQ208" s="181">
        <f ca="1">IF($D208&lt;&gt;"Serviço",0,IF(AND(AUTOEVENTO="Manual",$M208=1),0,IF(OFFSET(CRONOPLE!$F$14,$M208,BQ$13)="",10^12,OFFSET(CRONOPLE!$F$14,$M208,BQ$13))))</f>
        <v>1000000000000</v>
      </c>
      <c r="BR208" s="181">
        <f ca="1">IF($D208&lt;&gt;"Serviço",0,IF(AND(AUTOEVENTO="Manual",$M208=1),0,IF(OFFSET(CRONOPLE!$F$14,$M208,BR$13)="",10^12,OFFSET(CRONOPLE!$F$14,$M208,BR$13))))</f>
        <v>1000000000000</v>
      </c>
      <c r="BS208" s="181">
        <f ca="1">IF($D208&lt;&gt;"Serviço",0,IF(AND(AUTOEVENTO="Manual",$M208=1),0,IF(OFFSET(CRONOPLE!$F$14,$M208,BS$13)="",10^12,OFFSET(CRONOPLE!$F$14,$M208,BS$13))))</f>
        <v>1000000000000</v>
      </c>
      <c r="BT208" s="181">
        <f ca="1">IF($D208&lt;&gt;"Serviço",0,IF(AND(AUTOEVENTO="Manual",$M208=1),0,IF(OFFSET(CRONOPLE!$F$14,$M208,BT$13)="",10^12,OFFSET(CRONOPLE!$F$14,$M208,BT$13))))</f>
        <v>1000000000000</v>
      </c>
      <c r="BV208" s="182">
        <f ca="1">IF($D208&lt;&gt;"Serviço",0,IF(OR(AND(AUTOEVENTO="Manual",$M208=1),$M208&gt;(ROW(PLE.lastrow)-ROW(PLE.firstrow))),0,IF(OFFSET(PLE!$G$14,$M208,BV$13)="",10^12,OFFSET(PLE!$G$14,$M208,BV$13))))</f>
        <v>1000000000000</v>
      </c>
      <c r="BW208" s="182">
        <f ca="1">IF($D208&lt;&gt;"Serviço",0,IF(OR(AND(AUTOEVENTO="Manual",$M208=1),$M208&gt;(ROW(PLE.lastrow)-ROW(PLE.firstrow))),0,IF(OFFSET(PLE!$G$14,$M208,BW$13)="",10^12,OFFSET(PLE!$G$14,$M208,BW$13))))</f>
        <v>1000000000000</v>
      </c>
      <c r="BX208" s="182">
        <f ca="1">IF($D208&lt;&gt;"Serviço",0,IF(OR(AND(AUTOEVENTO="Manual",$M208=1),$M208&gt;(ROW(PLE.lastrow)-ROW(PLE.firstrow))),0,IF(OFFSET(PLE!$G$14,$M208,BX$13)="",10^12,OFFSET(PLE!$G$14,$M208,BX$13))))</f>
        <v>1000000000000</v>
      </c>
      <c r="BY208" s="182">
        <f ca="1">IF($D208&lt;&gt;"Serviço",0,IF(OR(AND(AUTOEVENTO="Manual",$M208=1),$M208&gt;(ROW(PLE.lastrow)-ROW(PLE.firstrow))),0,IF(OFFSET(PLE!$G$14,$M208,BY$13)="",10^12,OFFSET(PLE!$G$14,$M208,BY$13))))</f>
        <v>1000000000000</v>
      </c>
      <c r="BZ208" s="182">
        <f ca="1">IF($D208&lt;&gt;"Serviço",0,IF(OR(AND(AUTOEVENTO="Manual",$M208=1),$M208&gt;(ROW(PLE.lastrow)-ROW(PLE.firstrow))),0,IF(OFFSET(PLE!$G$14,$M208,BZ$13)="",10^12,OFFSET(PLE!$G$14,$M208,BZ$13))))</f>
        <v>1000000000000</v>
      </c>
      <c r="CA208" s="182">
        <f ca="1">IF($D208&lt;&gt;"Serviço",0,IF(OR(AND(AUTOEVENTO="Manual",$M208=1),$M208&gt;(ROW(PLE.lastrow)-ROW(PLE.firstrow))),0,IF(OFFSET(PLE!$G$14,$M208,CA$13)="",10^12,OFFSET(PLE!$G$14,$M208,CA$13))))</f>
        <v>1000000000000</v>
      </c>
      <c r="CB208" s="182">
        <f ca="1">IF($D208&lt;&gt;"Serviço",0,IF(OR(AND(AUTOEVENTO="Manual",$M208=1),$M208&gt;(ROW(PLE.lastrow)-ROW(PLE.firstrow))),0,IF(OFFSET(PLE!$G$14,$M208,CB$13)="",10^12,OFFSET(PLE!$G$14,$M208,CB$13))))</f>
        <v>1000000000000</v>
      </c>
      <c r="CC208" s="182">
        <f ca="1">IF($D208&lt;&gt;"Serviço",0,IF(OR(AND(AUTOEVENTO="Manual",$M208=1),$M208&gt;(ROW(PLE.lastrow)-ROW(PLE.firstrow))),0,IF(OFFSET(PLE!$G$14,$M208,CC$13)="",10^12,OFFSET(PLE!$G$14,$M208,CC$13))))</f>
        <v>1000000000000</v>
      </c>
      <c r="CD208" s="182">
        <f ca="1">IF($D208&lt;&gt;"Serviço",0,IF(OR(AND(AUTOEVENTO="Manual",$M208=1),$M208&gt;(ROW(PLE.lastrow)-ROW(PLE.firstrow))),0,IF(OFFSET(PLE!$G$14,$M208,CD$13)="",10^12,OFFSET(PLE!$G$14,$M208,CD$13))))</f>
        <v>1000000000000</v>
      </c>
      <c r="CE208" s="182">
        <f ca="1">IF($D208&lt;&gt;"Serviço",0,IF(OR(AND(AUTOEVENTO="Manual",$M208=1),$M208&gt;(ROW(PLE.lastrow)-ROW(PLE.firstrow))),0,IF(OFFSET(PLE!$G$14,$M208,CE$13)="",10^12,OFFSET(PLE!$G$14,$M208,CE$13))))</f>
        <v>1000000000000</v>
      </c>
      <c r="CF208" s="182">
        <f ca="1">IF($D208&lt;&gt;"Serviço",0,IF(OR(AND(AUTOEVENTO="Manual",$M208=1),$M208&gt;(ROW(PLE.lastrow)-ROW(PLE.firstrow))),0,IF(OFFSET(PLE!$G$14,$M208,CF$13)="",10^12,OFFSET(PLE!$G$14,$M208,CF$13))))</f>
        <v>1000000000000</v>
      </c>
      <c r="CG208" s="182">
        <f ca="1">IF($D208&lt;&gt;"Serviço",0,IF(OR(AND(AUTOEVENTO="Manual",$M208=1),$M208&gt;(ROW(PLE.lastrow)-ROW(PLE.firstrow))),0,IF(OFFSET(PLE!$G$14,$M208,CG$13)="",10^12,OFFSET(PLE!$G$14,$M208,CG$13))))</f>
        <v>1000000000000</v>
      </c>
      <c r="CH208" s="182">
        <f ca="1">IF($D208&lt;&gt;"Serviço",0,IF(OR(AND(AUTOEVENTO="Manual",$M208=1),$M208&gt;(ROW(PLE.lastrow)-ROW(PLE.firstrow))),0,IF(OFFSET(PLE!$G$14,$M208,CH$13)="",10^12,OFFSET(PLE!$G$14,$M208,CH$13))))</f>
        <v>1000000000000</v>
      </c>
      <c r="CI208" s="182">
        <f ca="1">IF($D208&lt;&gt;"Serviço",0,IF(OR(AND(AUTOEVENTO="Manual",$M208=1),$M208&gt;(ROW(PLE.lastrow)-ROW(PLE.firstrow))),0,IF(OFFSET(PLE!$G$14,$M208,CI$13)="",10^12,OFFSET(PLE!$G$14,$M208,CI$13))))</f>
        <v>1000000000000</v>
      </c>
      <c r="CJ208" s="182">
        <f ca="1">IF($D208&lt;&gt;"Serviço",0,IF(OR(AND(AUTOEVENTO="Manual",$M208=1),$M208&gt;(ROW(PLE.lastrow)-ROW(PLE.firstrow))),0,IF(OFFSET(PLE!$G$14,$M208,CJ$13)="",10^12,OFFSET(PLE!$G$14,$M208,CJ$13))))</f>
        <v>1000000000000</v>
      </c>
      <c r="CK208" s="182">
        <f ca="1">IF($D208&lt;&gt;"Serviço",0,IF(OR(AND(AUTOEVENTO="Manual",$M208=1),$M208&gt;(ROW(PLE.lastrow)-ROW(PLE.firstrow))),0,IF(OFFSET(PLE!$G$14,$M208,CK$13)="",10^12,OFFSET(PLE!$G$14,$M208,CK$13))))</f>
        <v>1000000000000</v>
      </c>
      <c r="CL208" s="182">
        <f ca="1">IF($D208&lt;&gt;"Serviço",0,IF(OR(AND(AUTOEVENTO="Manual",$M208=1),$M208&gt;(ROW(PLE.lastrow)-ROW(PLE.firstrow))),0,IF(OFFSET(PLE!$G$14,$M208,CL$13)="",10^12,OFFSET(PLE!$G$14,$M208,CL$13))))</f>
        <v>1000000000000</v>
      </c>
      <c r="CM208" s="182">
        <f ca="1">IF($D208&lt;&gt;"Serviço",0,IF(OR(AND(AUTOEVENTO="Manual",$M208=1),$M208&gt;(ROW(PLE.lastrow)-ROW(PLE.firstrow))),0,IF(OFFSET(PLE!$G$14,$M208,CM$13)="",10^12,OFFSET(PLE!$G$14,$M208,CM$13))))</f>
        <v>1000000000000</v>
      </c>
    </row>
    <row r="209" spans="1:91" ht="25.5" x14ac:dyDescent="0.2">
      <c r="A209" s="7" t="str">
        <f t="shared" ca="1" si="12"/>
        <v>184</v>
      </c>
      <c r="B209" s="7" t="str">
        <f ca="1">OFFSET(ORÇAMENTO!C$15,ROW(B209)-ROW(B$15),0)</f>
        <v>S</v>
      </c>
      <c r="C209" s="7" t="str">
        <f ca="1">OFFSET(ORÇAMENTO!L$15,ROW(C209)-ROW(C$15),0)</f>
        <v/>
      </c>
      <c r="D209" s="118" t="str">
        <f ca="1">OFFSET(ORÇAMENTO!N$15,ROW(D209)-ROW(D$15),0)</f>
        <v>Serviço</v>
      </c>
      <c r="E209" s="119" t="str">
        <f ca="1">OFFSET(ORÇAMENTO!O$15,ROW(E209)-ROW(E$15),0)</f>
        <v>-</v>
      </c>
      <c r="F209" s="172" t="str">
        <f ca="1">OFFSET(ORÇAMENTO!R$15,ROW(F209)-ROW(F$15),0)</f>
        <v>(abra o arquivo 'Referência 06-2024.xlsm)</v>
      </c>
      <c r="G209" s="173" t="str">
        <f ca="1">IF($D209&lt;&gt;"Serviço","",OFFSET(ORÇAMENTO!S$15,ROW(G209)-ROW(G$15),0))</f>
        <v>-</v>
      </c>
      <c r="H209" s="124">
        <f ca="1">IF($D209&lt;&gt;"Serviço",0,IF(ACOMPANHAMENTO="BM",ROUND(OFFSET(ORÇAMENTO!AJ$15,ROW(H209)-ROW(H$15),0),15-13*ORÇAMENTO!$AF$7),SUMPRODUCT(($Q$12:$AI$12&lt;&gt;"")*ROUND($Q209:$AI209,15-13*ORÇAMENTO!$AF$7))))</f>
        <v>77</v>
      </c>
      <c r="I209" s="561" t="s">
        <v>1107</v>
      </c>
      <c r="K209" s="174"/>
      <c r="L209" s="175" t="s">
        <v>255</v>
      </c>
      <c r="M209" s="176">
        <f ca="1">IF($D209&lt;&gt;"Serviço","",IF(AUTOEVENTO="manual",$A209,IF(ISERROR(MATCH($A209,$A$15:OFFSET($A209,-1,0),0)),MAX($M$15:OFFSET(M209,-1,0))+1,INDEX($M$15:OFFSET(M209,-1,0),MATCH($A209,$A$15:OFFSET($A209,-1,0),0)))))</f>
        <v>28</v>
      </c>
      <c r="N209" s="177" t="str">
        <f ca="1">IF($D209&lt;&gt;"Serviço","",IF(AUTOEVENTO="Manual",IF($A209=0,"&lt;-- defina o número do agrupador",OFFSET(EVENTOS!$D$14,$A209,0)),OFFSET($F$15,$A209,0)))</f>
        <v>SISTEMAS DE PISOS - PAVIMENTAÇÃO INTERNA</v>
      </c>
      <c r="O209" s="178"/>
      <c r="Q209" s="178">
        <v>77</v>
      </c>
      <c r="R209" s="179"/>
      <c r="S209" s="179"/>
      <c r="T209" s="179"/>
      <c r="U209" s="179"/>
      <c r="V209" s="179"/>
      <c r="W209" s="179"/>
      <c r="X209" s="179"/>
      <c r="Y209" s="179"/>
      <c r="Z209" s="180"/>
      <c r="AA209" s="179"/>
      <c r="AB209" s="179"/>
      <c r="AC209" s="179"/>
      <c r="AD209" s="179"/>
      <c r="AE209" s="179"/>
      <c r="AF209" s="179"/>
      <c r="AG209" s="179"/>
      <c r="AH209" s="180"/>
      <c r="AJ209" s="544">
        <f ca="1">IF(AND($D209="Serviço",AJ$12&lt;&gt;0,$H209&gt;0,OR(AUTOEVENTO&lt;&gt;"manual",$M209&lt;&gt;1)),
IF(Import.TipoArredondamento&lt;&gt;"TransfereGOV",
ROUND(OFFSET($P209,0,AJ$13),15-13*ORÇAMENTO!$AF$7)/$H209*OFFSET(ORÇAMENTO!$X$15,ROW(AJ209)-ROW(AJ$15),0),
ROUND(ROUND(OFFSET($P209,0,AJ$13),15-13*ORÇAMENTO!$AF$7)*OFFSET(ORÇAMENTO!$W$15,ROW(AJ209)-ROW(AJ$15),0),15-13*ORÇAMENTO!$AF$11)),0)</f>
        <v>0</v>
      </c>
      <c r="AK209" s="545">
        <f ca="1">IF(AND($D209="Serviço",AK$12&lt;&gt;0,$H209&gt;0,OR(AUTOEVENTO&lt;&gt;"manual",$M209&lt;&gt;1)),
IF(Import.TipoArredondamento&lt;&gt;"TransfereGOV",
ROUND(OFFSET($P209,0,AK$13),15-13*ORÇAMENTO!$AF$7)/$H209*OFFSET(ORÇAMENTO!$X$15,ROW(AK209)-ROW(AK$15),0),
ROUND(ROUND(OFFSET($P209,0,AK$13),15-13*ORÇAMENTO!$AF$7)*OFFSET(ORÇAMENTO!$W$15,ROW(AK209)-ROW(AK$15),0),15-13*ORÇAMENTO!$AF$11)),0)</f>
        <v>0</v>
      </c>
      <c r="AL209" s="545">
        <f ca="1">IF(AND($D209="Serviço",AL$12&lt;&gt;0,$H209&gt;0,OR(AUTOEVENTO&lt;&gt;"manual",$M209&lt;&gt;1)),
IF(Import.TipoArredondamento&lt;&gt;"TransfereGOV",
ROUND(OFFSET($P209,0,AL$13),15-13*ORÇAMENTO!$AF$7)/$H209*OFFSET(ORÇAMENTO!$X$15,ROW(AL209)-ROW(AL$15),0),
ROUND(ROUND(OFFSET($P209,0,AL$13),15-13*ORÇAMENTO!$AF$7)*OFFSET(ORÇAMENTO!$W$15,ROW(AL209)-ROW(AL$15),0),15-13*ORÇAMENTO!$AF$11)),0)</f>
        <v>0</v>
      </c>
      <c r="AM209" s="545">
        <f ca="1">IF(AND($D209="Serviço",AM$12&lt;&gt;0,$H209&gt;0,OR(AUTOEVENTO&lt;&gt;"manual",$M209&lt;&gt;1)),
IF(Import.TipoArredondamento&lt;&gt;"TransfereGOV",
ROUND(OFFSET($P209,0,AM$13),15-13*ORÇAMENTO!$AF$7)/$H209*OFFSET(ORÇAMENTO!$X$15,ROW(AM209)-ROW(AM$15),0),
ROUND(ROUND(OFFSET($P209,0,AM$13),15-13*ORÇAMENTO!$AF$7)*OFFSET(ORÇAMENTO!$W$15,ROW(AM209)-ROW(AM$15),0),15-13*ORÇAMENTO!$AF$11)),0)</f>
        <v>0</v>
      </c>
      <c r="AN209" s="545">
        <f ca="1">IF(AND($D209="Serviço",AN$12&lt;&gt;0,$H209&gt;0,OR(AUTOEVENTO&lt;&gt;"manual",$M209&lt;&gt;1)),
IF(Import.TipoArredondamento&lt;&gt;"TransfereGOV",
ROUND(OFFSET($P209,0,AN$13),15-13*ORÇAMENTO!$AF$7)/$H209*OFFSET(ORÇAMENTO!$X$15,ROW(AN209)-ROW(AN$15),0),
ROUND(ROUND(OFFSET($P209,0,AN$13),15-13*ORÇAMENTO!$AF$7)*OFFSET(ORÇAMENTO!$W$15,ROW(AN209)-ROW(AN$15),0),15-13*ORÇAMENTO!$AF$11)),0)</f>
        <v>0</v>
      </c>
      <c r="AO209" s="545">
        <f ca="1">IF(AND($D209="Serviço",AO$12&lt;&gt;0,$H209&gt;0,OR(AUTOEVENTO&lt;&gt;"manual",$M209&lt;&gt;1)),
IF(Import.TipoArredondamento&lt;&gt;"TransfereGOV",
ROUND(OFFSET($P209,0,AO$13),15-13*ORÇAMENTO!$AF$7)/$H209*OFFSET(ORÇAMENTO!$X$15,ROW(AO209)-ROW(AO$15),0),
ROUND(ROUND(OFFSET($P209,0,AO$13),15-13*ORÇAMENTO!$AF$7)*OFFSET(ORÇAMENTO!$W$15,ROW(AO209)-ROW(AO$15),0),15-13*ORÇAMENTO!$AF$11)),0)</f>
        <v>0</v>
      </c>
      <c r="AP209" s="545">
        <f ca="1">IF(AND($D209="Serviço",AP$12&lt;&gt;0,$H209&gt;0,OR(AUTOEVENTO&lt;&gt;"manual",$M209&lt;&gt;1)),
IF(Import.TipoArredondamento&lt;&gt;"TransfereGOV",
ROUND(OFFSET($P209,0,AP$13),15-13*ORÇAMENTO!$AF$7)/$H209*OFFSET(ORÇAMENTO!$X$15,ROW(AP209)-ROW(AP$15),0),
ROUND(ROUND(OFFSET($P209,0,AP$13),15-13*ORÇAMENTO!$AF$7)*OFFSET(ORÇAMENTO!$W$15,ROW(AP209)-ROW(AP$15),0),15-13*ORÇAMENTO!$AF$11)),0)</f>
        <v>0</v>
      </c>
      <c r="AQ209" s="545">
        <f ca="1">IF(AND($D209="Serviço",AQ$12&lt;&gt;0,$H209&gt;0,OR(AUTOEVENTO&lt;&gt;"manual",$M209&lt;&gt;1)),
IF(Import.TipoArredondamento&lt;&gt;"TransfereGOV",
ROUND(OFFSET($P209,0,AQ$13),15-13*ORÇAMENTO!$AF$7)/$H209*OFFSET(ORÇAMENTO!$X$15,ROW(AQ209)-ROW(AQ$15),0),
ROUND(ROUND(OFFSET($P209,0,AQ$13),15-13*ORÇAMENTO!$AF$7)*OFFSET(ORÇAMENTO!$W$15,ROW(AQ209)-ROW(AQ$15),0),15-13*ORÇAMENTO!$AF$11)),0)</f>
        <v>0</v>
      </c>
      <c r="AR209" s="545">
        <f ca="1">IF(AND($D209="Serviço",AR$12&lt;&gt;0,$H209&gt;0,OR(AUTOEVENTO&lt;&gt;"manual",$M209&lt;&gt;1)),
IF(Import.TipoArredondamento&lt;&gt;"TransfereGOV",
ROUND(OFFSET($P209,0,AR$13),15-13*ORÇAMENTO!$AF$7)/$H209*OFFSET(ORÇAMENTO!$X$15,ROW(AR209)-ROW(AR$15),0),
ROUND(ROUND(OFFSET($P209,0,AR$13),15-13*ORÇAMENTO!$AF$7)*OFFSET(ORÇAMENTO!$W$15,ROW(AR209)-ROW(AR$15),0),15-13*ORÇAMENTO!$AF$11)),0)</f>
        <v>0</v>
      </c>
      <c r="AS209" s="546">
        <f ca="1">IF(AND($D209="Serviço",AS$12&lt;&gt;0,$H209&gt;0,OR(AUTOEVENTO&lt;&gt;"manual",$M209&lt;&gt;1)),
IF(Import.TipoArredondamento&lt;&gt;"TransfereGOV",
ROUND(OFFSET($P209,0,AS$13),15-13*ORÇAMENTO!$AF$7)/$H209*OFFSET(ORÇAMENTO!$X$15,ROW(AS209)-ROW(AS$15),0),
ROUND(ROUND(OFFSET($P209,0,AS$13),15-13*ORÇAMENTO!$AF$7)*OFFSET(ORÇAMENTO!$W$15,ROW(AS209)-ROW(AS$15),0),15-13*ORÇAMENTO!$AF$11)),0)</f>
        <v>0</v>
      </c>
      <c r="AT209" s="545">
        <f ca="1">IF(AND($D209="Serviço",AT$12&lt;&gt;0,$H209&gt;0,OR(AUTOEVENTO&lt;&gt;"manual",$M209&lt;&gt;1)),
IF(Import.TipoArredondamento&lt;&gt;"TransfereGOV",
ROUND(OFFSET($P209,0,AT$13),15-13*ORÇAMENTO!$AF$7)/$H209*OFFSET(ORÇAMENTO!$X$15,ROW(AT209)-ROW(AT$15),0),
ROUND(ROUND(OFFSET($P209,0,AT$13),15-13*ORÇAMENTO!$AF$7)*OFFSET(ORÇAMENTO!$W$15,ROW(AT209)-ROW(AT$15),0),15-13*ORÇAMENTO!$AF$11)),0)</f>
        <v>0</v>
      </c>
      <c r="AU209" s="545">
        <f ca="1">IF(AND($D209="Serviço",AU$12&lt;&gt;0,$H209&gt;0,OR(AUTOEVENTO&lt;&gt;"manual",$M209&lt;&gt;1)),
IF(Import.TipoArredondamento&lt;&gt;"TransfereGOV",
ROUND(OFFSET($P209,0,AU$13),15-13*ORÇAMENTO!$AF$7)/$H209*OFFSET(ORÇAMENTO!$X$15,ROW(AU209)-ROW(AU$15),0),
ROUND(ROUND(OFFSET($P209,0,AU$13),15-13*ORÇAMENTO!$AF$7)*OFFSET(ORÇAMENTO!$W$15,ROW(AU209)-ROW(AU$15),0),15-13*ORÇAMENTO!$AF$11)),0)</f>
        <v>0</v>
      </c>
      <c r="AV209" s="545">
        <f ca="1">IF(AND($D209="Serviço",AV$12&lt;&gt;0,$H209&gt;0,OR(AUTOEVENTO&lt;&gt;"manual",$M209&lt;&gt;1)),
IF(Import.TipoArredondamento&lt;&gt;"TransfereGOV",
ROUND(OFFSET($P209,0,AV$13),15-13*ORÇAMENTO!$AF$7)/$H209*OFFSET(ORÇAMENTO!$X$15,ROW(AV209)-ROW(AV$15),0),
ROUND(ROUND(OFFSET($P209,0,AV$13),15-13*ORÇAMENTO!$AF$7)*OFFSET(ORÇAMENTO!$W$15,ROW(AV209)-ROW(AV$15),0),15-13*ORÇAMENTO!$AF$11)),0)</f>
        <v>0</v>
      </c>
      <c r="AW209" s="545">
        <f ca="1">IF(AND($D209="Serviço",AW$12&lt;&gt;0,$H209&gt;0,OR(AUTOEVENTO&lt;&gt;"manual",$M209&lt;&gt;1)),
IF(Import.TipoArredondamento&lt;&gt;"TransfereGOV",
ROUND(OFFSET($P209,0,AW$13),15-13*ORÇAMENTO!$AF$7)/$H209*OFFSET(ORÇAMENTO!$X$15,ROW(AW209)-ROW(AW$15),0),
ROUND(ROUND(OFFSET($P209,0,AW$13),15-13*ORÇAMENTO!$AF$7)*OFFSET(ORÇAMENTO!$W$15,ROW(AW209)-ROW(AW$15),0),15-13*ORÇAMENTO!$AF$11)),0)</f>
        <v>0</v>
      </c>
      <c r="AX209" s="545">
        <f ca="1">IF(AND($D209="Serviço",AX$12&lt;&gt;0,$H209&gt;0,OR(AUTOEVENTO&lt;&gt;"manual",$M209&lt;&gt;1)),
IF(Import.TipoArredondamento&lt;&gt;"TransfereGOV",
ROUND(OFFSET($P209,0,AX$13),15-13*ORÇAMENTO!$AF$7)/$H209*OFFSET(ORÇAMENTO!$X$15,ROW(AX209)-ROW(AX$15),0),
ROUND(ROUND(OFFSET($P209,0,AX$13),15-13*ORÇAMENTO!$AF$7)*OFFSET(ORÇAMENTO!$W$15,ROW(AX209)-ROW(AX$15),0),15-13*ORÇAMENTO!$AF$11)),0)</f>
        <v>0</v>
      </c>
      <c r="AY209" s="545">
        <f ca="1">IF(AND($D209="Serviço",AY$12&lt;&gt;0,$H209&gt;0,OR(AUTOEVENTO&lt;&gt;"manual",$M209&lt;&gt;1)),
IF(Import.TipoArredondamento&lt;&gt;"TransfereGOV",
ROUND(OFFSET($P209,0,AY$13),15-13*ORÇAMENTO!$AF$7)/$H209*OFFSET(ORÇAMENTO!$X$15,ROW(AY209)-ROW(AY$15),0),
ROUND(ROUND(OFFSET($P209,0,AY$13),15-13*ORÇAMENTO!$AF$7)*OFFSET(ORÇAMENTO!$W$15,ROW(AY209)-ROW(AY$15),0),15-13*ORÇAMENTO!$AF$11)),0)</f>
        <v>0</v>
      </c>
      <c r="AZ209" s="545">
        <f ca="1">IF(AND($D209="Serviço",AZ$12&lt;&gt;0,$H209&gt;0,OR(AUTOEVENTO&lt;&gt;"manual",$M209&lt;&gt;1)),
IF(Import.TipoArredondamento&lt;&gt;"TransfereGOV",
ROUND(OFFSET($P209,0,AZ$13),15-13*ORÇAMENTO!$AF$7)/$H209*OFFSET(ORÇAMENTO!$X$15,ROW(AZ209)-ROW(AZ$15),0),
ROUND(ROUND(OFFSET($P209,0,AZ$13),15-13*ORÇAMENTO!$AF$7)*OFFSET(ORÇAMENTO!$W$15,ROW(AZ209)-ROW(AZ$15),0),15-13*ORÇAMENTO!$AF$11)),0)</f>
        <v>0</v>
      </c>
      <c r="BA209" s="546">
        <f ca="1">IF(AND($D209="Serviço",BA$12&lt;&gt;0,$H209&gt;0,OR(AUTOEVENTO&lt;&gt;"manual",$M209&lt;&gt;1)),
IF(Import.TipoArredondamento&lt;&gt;"TransfereGOV",
ROUND(OFFSET($P209,0,BA$13),15-13*ORÇAMENTO!$AF$7)/$H209*OFFSET(ORÇAMENTO!$X$15,ROW(BA209)-ROW(BA$15),0),
ROUND(ROUND(OFFSET($P209,0,BA$13),15-13*ORÇAMENTO!$AF$7)*OFFSET(ORÇAMENTO!$W$15,ROW(BA209)-ROW(BA$15),0),15-13*ORÇAMENTO!$AF$11)),0)</f>
        <v>0</v>
      </c>
      <c r="BC209" s="181">
        <f ca="1">IF($D209&lt;&gt;"Serviço",0,IF(AND(AUTOEVENTO="Manual",$M209=1),0,IF(OFFSET(CRONOPLE!$F$14,$M209,BC$13)="",10^12,OFFSET(CRONOPLE!$F$14,$M209,BC$13))))</f>
        <v>8</v>
      </c>
      <c r="BD209" s="181">
        <f ca="1">IF($D209&lt;&gt;"Serviço",0,IF(AND(AUTOEVENTO="Manual",$M209=1),0,IF(OFFSET(CRONOPLE!$F$14,$M209,BD$13)="",10^12,OFFSET(CRONOPLE!$F$14,$M209,BD$13))))</f>
        <v>1000000000000</v>
      </c>
      <c r="BE209" s="181">
        <f ca="1">IF($D209&lt;&gt;"Serviço",0,IF(AND(AUTOEVENTO="Manual",$M209=1),0,IF(OFFSET(CRONOPLE!$F$14,$M209,BE$13)="",10^12,OFFSET(CRONOPLE!$F$14,$M209,BE$13))))</f>
        <v>1000000000000</v>
      </c>
      <c r="BF209" s="181">
        <f ca="1">IF($D209&lt;&gt;"Serviço",0,IF(AND(AUTOEVENTO="Manual",$M209=1),0,IF(OFFSET(CRONOPLE!$F$14,$M209,BF$13)="",10^12,OFFSET(CRONOPLE!$F$14,$M209,BF$13))))</f>
        <v>1000000000000</v>
      </c>
      <c r="BG209" s="181">
        <f ca="1">IF($D209&lt;&gt;"Serviço",0,IF(AND(AUTOEVENTO="Manual",$M209=1),0,IF(OFFSET(CRONOPLE!$F$14,$M209,BG$13)="",10^12,OFFSET(CRONOPLE!$F$14,$M209,BG$13))))</f>
        <v>1000000000000</v>
      </c>
      <c r="BH209" s="181">
        <f ca="1">IF($D209&lt;&gt;"Serviço",0,IF(AND(AUTOEVENTO="Manual",$M209=1),0,IF(OFFSET(CRONOPLE!$F$14,$M209,BH$13)="",10^12,OFFSET(CRONOPLE!$F$14,$M209,BH$13))))</f>
        <v>1000000000000</v>
      </c>
      <c r="BI209" s="181">
        <f ca="1">IF($D209&lt;&gt;"Serviço",0,IF(AND(AUTOEVENTO="Manual",$M209=1),0,IF(OFFSET(CRONOPLE!$F$14,$M209,BI$13)="",10^12,OFFSET(CRONOPLE!$F$14,$M209,BI$13))))</f>
        <v>1000000000000</v>
      </c>
      <c r="BJ209" s="181">
        <f ca="1">IF($D209&lt;&gt;"Serviço",0,IF(AND(AUTOEVENTO="Manual",$M209=1),0,IF(OFFSET(CRONOPLE!$F$14,$M209,BJ$13)="",10^12,OFFSET(CRONOPLE!$F$14,$M209,BJ$13))))</f>
        <v>1000000000000</v>
      </c>
      <c r="BK209" s="181">
        <f ca="1">IF($D209&lt;&gt;"Serviço",0,IF(AND(AUTOEVENTO="Manual",$M209=1),0,IF(OFFSET(CRONOPLE!$F$14,$M209,BK$13)="",10^12,OFFSET(CRONOPLE!$F$14,$M209,BK$13))))</f>
        <v>1000000000000</v>
      </c>
      <c r="BL209" s="181">
        <f ca="1">IF($D209&lt;&gt;"Serviço",0,IF(AND(AUTOEVENTO="Manual",$M209=1),0,IF(OFFSET(CRONOPLE!$F$14,$M209,BL$13)="",10^12,OFFSET(CRONOPLE!$F$14,$M209,BL$13))))</f>
        <v>1000000000000</v>
      </c>
      <c r="BM209" s="181">
        <f ca="1">IF($D209&lt;&gt;"Serviço",0,IF(AND(AUTOEVENTO="Manual",$M209=1),0,IF(OFFSET(CRONOPLE!$F$14,$M209,BM$13)="",10^12,OFFSET(CRONOPLE!$F$14,$M209,BM$13))))</f>
        <v>1000000000000</v>
      </c>
      <c r="BN209" s="181">
        <f ca="1">IF($D209&lt;&gt;"Serviço",0,IF(AND(AUTOEVENTO="Manual",$M209=1),0,IF(OFFSET(CRONOPLE!$F$14,$M209,BN$13)="",10^12,OFFSET(CRONOPLE!$F$14,$M209,BN$13))))</f>
        <v>1000000000000</v>
      </c>
      <c r="BO209" s="181">
        <f ca="1">IF($D209&lt;&gt;"Serviço",0,IF(AND(AUTOEVENTO="Manual",$M209=1),0,IF(OFFSET(CRONOPLE!$F$14,$M209,BO$13)="",10^12,OFFSET(CRONOPLE!$F$14,$M209,BO$13))))</f>
        <v>1000000000000</v>
      </c>
      <c r="BP209" s="181">
        <f ca="1">IF($D209&lt;&gt;"Serviço",0,IF(AND(AUTOEVENTO="Manual",$M209=1),0,IF(OFFSET(CRONOPLE!$F$14,$M209,BP$13)="",10^12,OFFSET(CRONOPLE!$F$14,$M209,BP$13))))</f>
        <v>1000000000000</v>
      </c>
      <c r="BQ209" s="181">
        <f ca="1">IF($D209&lt;&gt;"Serviço",0,IF(AND(AUTOEVENTO="Manual",$M209=1),0,IF(OFFSET(CRONOPLE!$F$14,$M209,BQ$13)="",10^12,OFFSET(CRONOPLE!$F$14,$M209,BQ$13))))</f>
        <v>1000000000000</v>
      </c>
      <c r="BR209" s="181">
        <f ca="1">IF($D209&lt;&gt;"Serviço",0,IF(AND(AUTOEVENTO="Manual",$M209=1),0,IF(OFFSET(CRONOPLE!$F$14,$M209,BR$13)="",10^12,OFFSET(CRONOPLE!$F$14,$M209,BR$13))))</f>
        <v>1000000000000</v>
      </c>
      <c r="BS209" s="181">
        <f ca="1">IF($D209&lt;&gt;"Serviço",0,IF(AND(AUTOEVENTO="Manual",$M209=1),0,IF(OFFSET(CRONOPLE!$F$14,$M209,BS$13)="",10^12,OFFSET(CRONOPLE!$F$14,$M209,BS$13))))</f>
        <v>1000000000000</v>
      </c>
      <c r="BT209" s="181">
        <f ca="1">IF($D209&lt;&gt;"Serviço",0,IF(AND(AUTOEVENTO="Manual",$M209=1),0,IF(OFFSET(CRONOPLE!$F$14,$M209,BT$13)="",10^12,OFFSET(CRONOPLE!$F$14,$M209,BT$13))))</f>
        <v>1000000000000</v>
      </c>
      <c r="BV209" s="182">
        <f ca="1">IF($D209&lt;&gt;"Serviço",0,IF(OR(AND(AUTOEVENTO="Manual",$M209=1),$M209&gt;(ROW(PLE.lastrow)-ROW(PLE.firstrow))),0,IF(OFFSET(PLE!$G$14,$M209,BV$13)="",10^12,OFFSET(PLE!$G$14,$M209,BV$13))))</f>
        <v>1000000000000</v>
      </c>
      <c r="BW209" s="182">
        <f ca="1">IF($D209&lt;&gt;"Serviço",0,IF(OR(AND(AUTOEVENTO="Manual",$M209=1),$M209&gt;(ROW(PLE.lastrow)-ROW(PLE.firstrow))),0,IF(OFFSET(PLE!$G$14,$M209,BW$13)="",10^12,OFFSET(PLE!$G$14,$M209,BW$13))))</f>
        <v>1000000000000</v>
      </c>
      <c r="BX209" s="182">
        <f ca="1">IF($D209&lt;&gt;"Serviço",0,IF(OR(AND(AUTOEVENTO="Manual",$M209=1),$M209&gt;(ROW(PLE.lastrow)-ROW(PLE.firstrow))),0,IF(OFFSET(PLE!$G$14,$M209,BX$13)="",10^12,OFFSET(PLE!$G$14,$M209,BX$13))))</f>
        <v>1000000000000</v>
      </c>
      <c r="BY209" s="182">
        <f ca="1">IF($D209&lt;&gt;"Serviço",0,IF(OR(AND(AUTOEVENTO="Manual",$M209=1),$M209&gt;(ROW(PLE.lastrow)-ROW(PLE.firstrow))),0,IF(OFFSET(PLE!$G$14,$M209,BY$13)="",10^12,OFFSET(PLE!$G$14,$M209,BY$13))))</f>
        <v>1000000000000</v>
      </c>
      <c r="BZ209" s="182">
        <f ca="1">IF($D209&lt;&gt;"Serviço",0,IF(OR(AND(AUTOEVENTO="Manual",$M209=1),$M209&gt;(ROW(PLE.lastrow)-ROW(PLE.firstrow))),0,IF(OFFSET(PLE!$G$14,$M209,BZ$13)="",10^12,OFFSET(PLE!$G$14,$M209,BZ$13))))</f>
        <v>1000000000000</v>
      </c>
      <c r="CA209" s="182">
        <f ca="1">IF($D209&lt;&gt;"Serviço",0,IF(OR(AND(AUTOEVENTO="Manual",$M209=1),$M209&gt;(ROW(PLE.lastrow)-ROW(PLE.firstrow))),0,IF(OFFSET(PLE!$G$14,$M209,CA$13)="",10^12,OFFSET(PLE!$G$14,$M209,CA$13))))</f>
        <v>1000000000000</v>
      </c>
      <c r="CB209" s="182">
        <f ca="1">IF($D209&lt;&gt;"Serviço",0,IF(OR(AND(AUTOEVENTO="Manual",$M209=1),$M209&gt;(ROW(PLE.lastrow)-ROW(PLE.firstrow))),0,IF(OFFSET(PLE!$G$14,$M209,CB$13)="",10^12,OFFSET(PLE!$G$14,$M209,CB$13))))</f>
        <v>1000000000000</v>
      </c>
      <c r="CC209" s="182">
        <f ca="1">IF($D209&lt;&gt;"Serviço",0,IF(OR(AND(AUTOEVENTO="Manual",$M209=1),$M209&gt;(ROW(PLE.lastrow)-ROW(PLE.firstrow))),0,IF(OFFSET(PLE!$G$14,$M209,CC$13)="",10^12,OFFSET(PLE!$G$14,$M209,CC$13))))</f>
        <v>1000000000000</v>
      </c>
      <c r="CD209" s="182">
        <f ca="1">IF($D209&lt;&gt;"Serviço",0,IF(OR(AND(AUTOEVENTO="Manual",$M209=1),$M209&gt;(ROW(PLE.lastrow)-ROW(PLE.firstrow))),0,IF(OFFSET(PLE!$G$14,$M209,CD$13)="",10^12,OFFSET(PLE!$G$14,$M209,CD$13))))</f>
        <v>1000000000000</v>
      </c>
      <c r="CE209" s="182">
        <f ca="1">IF($D209&lt;&gt;"Serviço",0,IF(OR(AND(AUTOEVENTO="Manual",$M209=1),$M209&gt;(ROW(PLE.lastrow)-ROW(PLE.firstrow))),0,IF(OFFSET(PLE!$G$14,$M209,CE$13)="",10^12,OFFSET(PLE!$G$14,$M209,CE$13))))</f>
        <v>1000000000000</v>
      </c>
      <c r="CF209" s="182">
        <f ca="1">IF($D209&lt;&gt;"Serviço",0,IF(OR(AND(AUTOEVENTO="Manual",$M209=1),$M209&gt;(ROW(PLE.lastrow)-ROW(PLE.firstrow))),0,IF(OFFSET(PLE!$G$14,$M209,CF$13)="",10^12,OFFSET(PLE!$G$14,$M209,CF$13))))</f>
        <v>1000000000000</v>
      </c>
      <c r="CG209" s="182">
        <f ca="1">IF($D209&lt;&gt;"Serviço",0,IF(OR(AND(AUTOEVENTO="Manual",$M209=1),$M209&gt;(ROW(PLE.lastrow)-ROW(PLE.firstrow))),0,IF(OFFSET(PLE!$G$14,$M209,CG$13)="",10^12,OFFSET(PLE!$G$14,$M209,CG$13))))</f>
        <v>1000000000000</v>
      </c>
      <c r="CH209" s="182">
        <f ca="1">IF($D209&lt;&gt;"Serviço",0,IF(OR(AND(AUTOEVENTO="Manual",$M209=1),$M209&gt;(ROW(PLE.lastrow)-ROW(PLE.firstrow))),0,IF(OFFSET(PLE!$G$14,$M209,CH$13)="",10^12,OFFSET(PLE!$G$14,$M209,CH$13))))</f>
        <v>1000000000000</v>
      </c>
      <c r="CI209" s="182">
        <f ca="1">IF($D209&lt;&gt;"Serviço",0,IF(OR(AND(AUTOEVENTO="Manual",$M209=1),$M209&gt;(ROW(PLE.lastrow)-ROW(PLE.firstrow))),0,IF(OFFSET(PLE!$G$14,$M209,CI$13)="",10^12,OFFSET(PLE!$G$14,$M209,CI$13))))</f>
        <v>1000000000000</v>
      </c>
      <c r="CJ209" s="182">
        <f ca="1">IF($D209&lt;&gt;"Serviço",0,IF(OR(AND(AUTOEVENTO="Manual",$M209=1),$M209&gt;(ROW(PLE.lastrow)-ROW(PLE.firstrow))),0,IF(OFFSET(PLE!$G$14,$M209,CJ$13)="",10^12,OFFSET(PLE!$G$14,$M209,CJ$13))))</f>
        <v>1000000000000</v>
      </c>
      <c r="CK209" s="182">
        <f ca="1">IF($D209&lt;&gt;"Serviço",0,IF(OR(AND(AUTOEVENTO="Manual",$M209=1),$M209&gt;(ROW(PLE.lastrow)-ROW(PLE.firstrow))),0,IF(OFFSET(PLE!$G$14,$M209,CK$13)="",10^12,OFFSET(PLE!$G$14,$M209,CK$13))))</f>
        <v>1000000000000</v>
      </c>
      <c r="CL209" s="182">
        <f ca="1">IF($D209&lt;&gt;"Serviço",0,IF(OR(AND(AUTOEVENTO="Manual",$M209=1),$M209&gt;(ROW(PLE.lastrow)-ROW(PLE.firstrow))),0,IF(OFFSET(PLE!$G$14,$M209,CL$13)="",10^12,OFFSET(PLE!$G$14,$M209,CL$13))))</f>
        <v>1000000000000</v>
      </c>
      <c r="CM209" s="182">
        <f ca="1">IF($D209&lt;&gt;"Serviço",0,IF(OR(AND(AUTOEVENTO="Manual",$M209=1),$M209&gt;(ROW(PLE.lastrow)-ROW(PLE.firstrow))),0,IF(OFFSET(PLE!$G$14,$M209,CM$13)="",10^12,OFFSET(PLE!$G$14,$M209,CM$13))))</f>
        <v>1000000000000</v>
      </c>
    </row>
    <row r="210" spans="1:91" ht="25.5" x14ac:dyDescent="0.2">
      <c r="A210" s="7" t="str">
        <f t="shared" ca="1" si="12"/>
        <v>184</v>
      </c>
      <c r="B210" s="7" t="str">
        <f ca="1">OFFSET(ORÇAMENTO!C$15,ROW(B210)-ROW(B$15),0)</f>
        <v>S</v>
      </c>
      <c r="C210" s="7" t="str">
        <f ca="1">OFFSET(ORÇAMENTO!L$15,ROW(C210)-ROW(C$15),0)</f>
        <v/>
      </c>
      <c r="D210" s="118" t="str">
        <f ca="1">OFFSET(ORÇAMENTO!N$15,ROW(D210)-ROW(D$15),0)</f>
        <v>Serviço</v>
      </c>
      <c r="E210" s="119" t="str">
        <f ca="1">OFFSET(ORÇAMENTO!O$15,ROW(E210)-ROW(E$15),0)</f>
        <v>-</v>
      </c>
      <c r="F210" s="172" t="str">
        <f ca="1">OFFSET(ORÇAMENTO!R$15,ROW(F210)-ROW(F$15),0)</f>
        <v>(abra o arquivo 'Referência 06-2024.xlsm)</v>
      </c>
      <c r="G210" s="173" t="str">
        <f ca="1">IF($D210&lt;&gt;"Serviço","",OFFSET(ORÇAMENTO!S$15,ROW(G210)-ROW(G$15),0))</f>
        <v>-</v>
      </c>
      <c r="H210" s="124">
        <f ca="1">IF($D210&lt;&gt;"Serviço",0,IF(ACOMPANHAMENTO="BM",ROUND(OFFSET(ORÇAMENTO!AJ$15,ROW(H210)-ROW(H$15),0),15-13*ORÇAMENTO!$AF$7),SUMPRODUCT(($Q$12:$AI$12&lt;&gt;"")*ROUND($Q210:$AI210,15-13*ORÇAMENTO!$AF$7))))</f>
        <v>202.29</v>
      </c>
      <c r="I210" s="561" t="s">
        <v>1107</v>
      </c>
      <c r="K210" s="174"/>
      <c r="L210" s="175" t="s">
        <v>255</v>
      </c>
      <c r="M210" s="176">
        <f ca="1">IF($D210&lt;&gt;"Serviço","",IF(AUTOEVENTO="manual",$A210,IF(ISERROR(MATCH($A210,$A$15:OFFSET($A210,-1,0),0)),MAX($M$15:OFFSET(M210,-1,0))+1,INDEX($M$15:OFFSET(M210,-1,0),MATCH($A210,$A$15:OFFSET($A210,-1,0),0)))))</f>
        <v>28</v>
      </c>
      <c r="N210" s="177" t="str">
        <f ca="1">IF($D210&lt;&gt;"Serviço","",IF(AUTOEVENTO="Manual",IF($A210=0,"&lt;-- defina o número do agrupador",OFFSET(EVENTOS!$D$14,$A210,0)),OFFSET($F$15,$A210,0)))</f>
        <v>SISTEMAS DE PISOS - PAVIMENTAÇÃO INTERNA</v>
      </c>
      <c r="O210" s="178"/>
      <c r="Q210" s="178">
        <v>202.29</v>
      </c>
      <c r="R210" s="179"/>
      <c r="S210" s="179"/>
      <c r="T210" s="179"/>
      <c r="U210" s="179"/>
      <c r="V210" s="179"/>
      <c r="W210" s="179"/>
      <c r="X210" s="179"/>
      <c r="Y210" s="179"/>
      <c r="Z210" s="180"/>
      <c r="AA210" s="179"/>
      <c r="AB210" s="179"/>
      <c r="AC210" s="179"/>
      <c r="AD210" s="179"/>
      <c r="AE210" s="179"/>
      <c r="AF210" s="179"/>
      <c r="AG210" s="179"/>
      <c r="AH210" s="180"/>
      <c r="AJ210" s="544">
        <f ca="1">IF(AND($D210="Serviço",AJ$12&lt;&gt;0,$H210&gt;0,OR(AUTOEVENTO&lt;&gt;"manual",$M210&lt;&gt;1)),
IF(Import.TipoArredondamento&lt;&gt;"TransfereGOV",
ROUND(OFFSET($P210,0,AJ$13),15-13*ORÇAMENTO!$AF$7)/$H210*OFFSET(ORÇAMENTO!$X$15,ROW(AJ210)-ROW(AJ$15),0),
ROUND(ROUND(OFFSET($P210,0,AJ$13),15-13*ORÇAMENTO!$AF$7)*OFFSET(ORÇAMENTO!$W$15,ROW(AJ210)-ROW(AJ$15),0),15-13*ORÇAMENTO!$AF$11)),0)</f>
        <v>0</v>
      </c>
      <c r="AK210" s="545">
        <f ca="1">IF(AND($D210="Serviço",AK$12&lt;&gt;0,$H210&gt;0,OR(AUTOEVENTO&lt;&gt;"manual",$M210&lt;&gt;1)),
IF(Import.TipoArredondamento&lt;&gt;"TransfereGOV",
ROUND(OFFSET($P210,0,AK$13),15-13*ORÇAMENTO!$AF$7)/$H210*OFFSET(ORÇAMENTO!$X$15,ROW(AK210)-ROW(AK$15),0),
ROUND(ROUND(OFFSET($P210,0,AK$13),15-13*ORÇAMENTO!$AF$7)*OFFSET(ORÇAMENTO!$W$15,ROW(AK210)-ROW(AK$15),0),15-13*ORÇAMENTO!$AF$11)),0)</f>
        <v>0</v>
      </c>
      <c r="AL210" s="545">
        <f ca="1">IF(AND($D210="Serviço",AL$12&lt;&gt;0,$H210&gt;0,OR(AUTOEVENTO&lt;&gt;"manual",$M210&lt;&gt;1)),
IF(Import.TipoArredondamento&lt;&gt;"TransfereGOV",
ROUND(OFFSET($P210,0,AL$13),15-13*ORÇAMENTO!$AF$7)/$H210*OFFSET(ORÇAMENTO!$X$15,ROW(AL210)-ROW(AL$15),0),
ROUND(ROUND(OFFSET($P210,0,AL$13),15-13*ORÇAMENTO!$AF$7)*OFFSET(ORÇAMENTO!$W$15,ROW(AL210)-ROW(AL$15),0),15-13*ORÇAMENTO!$AF$11)),0)</f>
        <v>0</v>
      </c>
      <c r="AM210" s="545">
        <f ca="1">IF(AND($D210="Serviço",AM$12&lt;&gt;0,$H210&gt;0,OR(AUTOEVENTO&lt;&gt;"manual",$M210&lt;&gt;1)),
IF(Import.TipoArredondamento&lt;&gt;"TransfereGOV",
ROUND(OFFSET($P210,0,AM$13),15-13*ORÇAMENTO!$AF$7)/$H210*OFFSET(ORÇAMENTO!$X$15,ROW(AM210)-ROW(AM$15),0),
ROUND(ROUND(OFFSET($P210,0,AM$13),15-13*ORÇAMENTO!$AF$7)*OFFSET(ORÇAMENTO!$W$15,ROW(AM210)-ROW(AM$15),0),15-13*ORÇAMENTO!$AF$11)),0)</f>
        <v>0</v>
      </c>
      <c r="AN210" s="545">
        <f ca="1">IF(AND($D210="Serviço",AN$12&lt;&gt;0,$H210&gt;0,OR(AUTOEVENTO&lt;&gt;"manual",$M210&lt;&gt;1)),
IF(Import.TipoArredondamento&lt;&gt;"TransfereGOV",
ROUND(OFFSET($P210,0,AN$13),15-13*ORÇAMENTO!$AF$7)/$H210*OFFSET(ORÇAMENTO!$X$15,ROW(AN210)-ROW(AN$15),0),
ROUND(ROUND(OFFSET($P210,0,AN$13),15-13*ORÇAMENTO!$AF$7)*OFFSET(ORÇAMENTO!$W$15,ROW(AN210)-ROW(AN$15),0),15-13*ORÇAMENTO!$AF$11)),0)</f>
        <v>0</v>
      </c>
      <c r="AO210" s="545">
        <f ca="1">IF(AND($D210="Serviço",AO$12&lt;&gt;0,$H210&gt;0,OR(AUTOEVENTO&lt;&gt;"manual",$M210&lt;&gt;1)),
IF(Import.TipoArredondamento&lt;&gt;"TransfereGOV",
ROUND(OFFSET($P210,0,AO$13),15-13*ORÇAMENTO!$AF$7)/$H210*OFFSET(ORÇAMENTO!$X$15,ROW(AO210)-ROW(AO$15),0),
ROUND(ROUND(OFFSET($P210,0,AO$13),15-13*ORÇAMENTO!$AF$7)*OFFSET(ORÇAMENTO!$W$15,ROW(AO210)-ROW(AO$15),0),15-13*ORÇAMENTO!$AF$11)),0)</f>
        <v>0</v>
      </c>
      <c r="AP210" s="545">
        <f ca="1">IF(AND($D210="Serviço",AP$12&lt;&gt;0,$H210&gt;0,OR(AUTOEVENTO&lt;&gt;"manual",$M210&lt;&gt;1)),
IF(Import.TipoArredondamento&lt;&gt;"TransfereGOV",
ROUND(OFFSET($P210,0,AP$13),15-13*ORÇAMENTO!$AF$7)/$H210*OFFSET(ORÇAMENTO!$X$15,ROW(AP210)-ROW(AP$15),0),
ROUND(ROUND(OFFSET($P210,0,AP$13),15-13*ORÇAMENTO!$AF$7)*OFFSET(ORÇAMENTO!$W$15,ROW(AP210)-ROW(AP$15),0),15-13*ORÇAMENTO!$AF$11)),0)</f>
        <v>0</v>
      </c>
      <c r="AQ210" s="545">
        <f ca="1">IF(AND($D210="Serviço",AQ$12&lt;&gt;0,$H210&gt;0,OR(AUTOEVENTO&lt;&gt;"manual",$M210&lt;&gt;1)),
IF(Import.TipoArredondamento&lt;&gt;"TransfereGOV",
ROUND(OFFSET($P210,0,AQ$13),15-13*ORÇAMENTO!$AF$7)/$H210*OFFSET(ORÇAMENTO!$X$15,ROW(AQ210)-ROW(AQ$15),0),
ROUND(ROUND(OFFSET($P210,0,AQ$13),15-13*ORÇAMENTO!$AF$7)*OFFSET(ORÇAMENTO!$W$15,ROW(AQ210)-ROW(AQ$15),0),15-13*ORÇAMENTO!$AF$11)),0)</f>
        <v>0</v>
      </c>
      <c r="AR210" s="545">
        <f ca="1">IF(AND($D210="Serviço",AR$12&lt;&gt;0,$H210&gt;0,OR(AUTOEVENTO&lt;&gt;"manual",$M210&lt;&gt;1)),
IF(Import.TipoArredondamento&lt;&gt;"TransfereGOV",
ROUND(OFFSET($P210,0,AR$13),15-13*ORÇAMENTO!$AF$7)/$H210*OFFSET(ORÇAMENTO!$X$15,ROW(AR210)-ROW(AR$15),0),
ROUND(ROUND(OFFSET($P210,0,AR$13),15-13*ORÇAMENTO!$AF$7)*OFFSET(ORÇAMENTO!$W$15,ROW(AR210)-ROW(AR$15),0),15-13*ORÇAMENTO!$AF$11)),0)</f>
        <v>0</v>
      </c>
      <c r="AS210" s="546">
        <f ca="1">IF(AND($D210="Serviço",AS$12&lt;&gt;0,$H210&gt;0,OR(AUTOEVENTO&lt;&gt;"manual",$M210&lt;&gt;1)),
IF(Import.TipoArredondamento&lt;&gt;"TransfereGOV",
ROUND(OFFSET($P210,0,AS$13),15-13*ORÇAMENTO!$AF$7)/$H210*OFFSET(ORÇAMENTO!$X$15,ROW(AS210)-ROW(AS$15),0),
ROUND(ROUND(OFFSET($P210,0,AS$13),15-13*ORÇAMENTO!$AF$7)*OFFSET(ORÇAMENTO!$W$15,ROW(AS210)-ROW(AS$15),0),15-13*ORÇAMENTO!$AF$11)),0)</f>
        <v>0</v>
      </c>
      <c r="AT210" s="545">
        <f ca="1">IF(AND($D210="Serviço",AT$12&lt;&gt;0,$H210&gt;0,OR(AUTOEVENTO&lt;&gt;"manual",$M210&lt;&gt;1)),
IF(Import.TipoArredondamento&lt;&gt;"TransfereGOV",
ROUND(OFFSET($P210,0,AT$13),15-13*ORÇAMENTO!$AF$7)/$H210*OFFSET(ORÇAMENTO!$X$15,ROW(AT210)-ROW(AT$15),0),
ROUND(ROUND(OFFSET($P210,0,AT$13),15-13*ORÇAMENTO!$AF$7)*OFFSET(ORÇAMENTO!$W$15,ROW(AT210)-ROW(AT$15),0),15-13*ORÇAMENTO!$AF$11)),0)</f>
        <v>0</v>
      </c>
      <c r="AU210" s="545">
        <f ca="1">IF(AND($D210="Serviço",AU$12&lt;&gt;0,$H210&gt;0,OR(AUTOEVENTO&lt;&gt;"manual",$M210&lt;&gt;1)),
IF(Import.TipoArredondamento&lt;&gt;"TransfereGOV",
ROUND(OFFSET($P210,0,AU$13),15-13*ORÇAMENTO!$AF$7)/$H210*OFFSET(ORÇAMENTO!$X$15,ROW(AU210)-ROW(AU$15),0),
ROUND(ROUND(OFFSET($P210,0,AU$13),15-13*ORÇAMENTO!$AF$7)*OFFSET(ORÇAMENTO!$W$15,ROW(AU210)-ROW(AU$15),0),15-13*ORÇAMENTO!$AF$11)),0)</f>
        <v>0</v>
      </c>
      <c r="AV210" s="545">
        <f ca="1">IF(AND($D210="Serviço",AV$12&lt;&gt;0,$H210&gt;0,OR(AUTOEVENTO&lt;&gt;"manual",$M210&lt;&gt;1)),
IF(Import.TipoArredondamento&lt;&gt;"TransfereGOV",
ROUND(OFFSET($P210,0,AV$13),15-13*ORÇAMENTO!$AF$7)/$H210*OFFSET(ORÇAMENTO!$X$15,ROW(AV210)-ROW(AV$15),0),
ROUND(ROUND(OFFSET($P210,0,AV$13),15-13*ORÇAMENTO!$AF$7)*OFFSET(ORÇAMENTO!$W$15,ROW(AV210)-ROW(AV$15),0),15-13*ORÇAMENTO!$AF$11)),0)</f>
        <v>0</v>
      </c>
      <c r="AW210" s="545">
        <f ca="1">IF(AND($D210="Serviço",AW$12&lt;&gt;0,$H210&gt;0,OR(AUTOEVENTO&lt;&gt;"manual",$M210&lt;&gt;1)),
IF(Import.TipoArredondamento&lt;&gt;"TransfereGOV",
ROUND(OFFSET($P210,0,AW$13),15-13*ORÇAMENTO!$AF$7)/$H210*OFFSET(ORÇAMENTO!$X$15,ROW(AW210)-ROW(AW$15),0),
ROUND(ROUND(OFFSET($P210,0,AW$13),15-13*ORÇAMENTO!$AF$7)*OFFSET(ORÇAMENTO!$W$15,ROW(AW210)-ROW(AW$15),0),15-13*ORÇAMENTO!$AF$11)),0)</f>
        <v>0</v>
      </c>
      <c r="AX210" s="545">
        <f ca="1">IF(AND($D210="Serviço",AX$12&lt;&gt;0,$H210&gt;0,OR(AUTOEVENTO&lt;&gt;"manual",$M210&lt;&gt;1)),
IF(Import.TipoArredondamento&lt;&gt;"TransfereGOV",
ROUND(OFFSET($P210,0,AX$13),15-13*ORÇAMENTO!$AF$7)/$H210*OFFSET(ORÇAMENTO!$X$15,ROW(AX210)-ROW(AX$15),0),
ROUND(ROUND(OFFSET($P210,0,AX$13),15-13*ORÇAMENTO!$AF$7)*OFFSET(ORÇAMENTO!$W$15,ROW(AX210)-ROW(AX$15),0),15-13*ORÇAMENTO!$AF$11)),0)</f>
        <v>0</v>
      </c>
      <c r="AY210" s="545">
        <f ca="1">IF(AND($D210="Serviço",AY$12&lt;&gt;0,$H210&gt;0,OR(AUTOEVENTO&lt;&gt;"manual",$M210&lt;&gt;1)),
IF(Import.TipoArredondamento&lt;&gt;"TransfereGOV",
ROUND(OFFSET($P210,0,AY$13),15-13*ORÇAMENTO!$AF$7)/$H210*OFFSET(ORÇAMENTO!$X$15,ROW(AY210)-ROW(AY$15),0),
ROUND(ROUND(OFFSET($P210,0,AY$13),15-13*ORÇAMENTO!$AF$7)*OFFSET(ORÇAMENTO!$W$15,ROW(AY210)-ROW(AY$15),0),15-13*ORÇAMENTO!$AF$11)),0)</f>
        <v>0</v>
      </c>
      <c r="AZ210" s="545">
        <f ca="1">IF(AND($D210="Serviço",AZ$12&lt;&gt;0,$H210&gt;0,OR(AUTOEVENTO&lt;&gt;"manual",$M210&lt;&gt;1)),
IF(Import.TipoArredondamento&lt;&gt;"TransfereGOV",
ROUND(OFFSET($P210,0,AZ$13),15-13*ORÇAMENTO!$AF$7)/$H210*OFFSET(ORÇAMENTO!$X$15,ROW(AZ210)-ROW(AZ$15),0),
ROUND(ROUND(OFFSET($P210,0,AZ$13),15-13*ORÇAMENTO!$AF$7)*OFFSET(ORÇAMENTO!$W$15,ROW(AZ210)-ROW(AZ$15),0),15-13*ORÇAMENTO!$AF$11)),0)</f>
        <v>0</v>
      </c>
      <c r="BA210" s="546">
        <f ca="1">IF(AND($D210="Serviço",BA$12&lt;&gt;0,$H210&gt;0,OR(AUTOEVENTO&lt;&gt;"manual",$M210&lt;&gt;1)),
IF(Import.TipoArredondamento&lt;&gt;"TransfereGOV",
ROUND(OFFSET($P210,0,BA$13),15-13*ORÇAMENTO!$AF$7)/$H210*OFFSET(ORÇAMENTO!$X$15,ROW(BA210)-ROW(BA$15),0),
ROUND(ROUND(OFFSET($P210,0,BA$13),15-13*ORÇAMENTO!$AF$7)*OFFSET(ORÇAMENTO!$W$15,ROW(BA210)-ROW(BA$15),0),15-13*ORÇAMENTO!$AF$11)),0)</f>
        <v>0</v>
      </c>
      <c r="BC210" s="181">
        <f ca="1">IF($D210&lt;&gt;"Serviço",0,IF(AND(AUTOEVENTO="Manual",$M210=1),0,IF(OFFSET(CRONOPLE!$F$14,$M210,BC$13)="",10^12,OFFSET(CRONOPLE!$F$14,$M210,BC$13))))</f>
        <v>8</v>
      </c>
      <c r="BD210" s="181">
        <f ca="1">IF($D210&lt;&gt;"Serviço",0,IF(AND(AUTOEVENTO="Manual",$M210=1),0,IF(OFFSET(CRONOPLE!$F$14,$M210,BD$13)="",10^12,OFFSET(CRONOPLE!$F$14,$M210,BD$13))))</f>
        <v>1000000000000</v>
      </c>
      <c r="BE210" s="181">
        <f ca="1">IF($D210&lt;&gt;"Serviço",0,IF(AND(AUTOEVENTO="Manual",$M210=1),0,IF(OFFSET(CRONOPLE!$F$14,$M210,BE$13)="",10^12,OFFSET(CRONOPLE!$F$14,$M210,BE$13))))</f>
        <v>1000000000000</v>
      </c>
      <c r="BF210" s="181">
        <f ca="1">IF($D210&lt;&gt;"Serviço",0,IF(AND(AUTOEVENTO="Manual",$M210=1),0,IF(OFFSET(CRONOPLE!$F$14,$M210,BF$13)="",10^12,OFFSET(CRONOPLE!$F$14,$M210,BF$13))))</f>
        <v>1000000000000</v>
      </c>
      <c r="BG210" s="181">
        <f ca="1">IF($D210&lt;&gt;"Serviço",0,IF(AND(AUTOEVENTO="Manual",$M210=1),0,IF(OFFSET(CRONOPLE!$F$14,$M210,BG$13)="",10^12,OFFSET(CRONOPLE!$F$14,$M210,BG$13))))</f>
        <v>1000000000000</v>
      </c>
      <c r="BH210" s="181">
        <f ca="1">IF($D210&lt;&gt;"Serviço",0,IF(AND(AUTOEVENTO="Manual",$M210=1),0,IF(OFFSET(CRONOPLE!$F$14,$M210,BH$13)="",10^12,OFFSET(CRONOPLE!$F$14,$M210,BH$13))))</f>
        <v>1000000000000</v>
      </c>
      <c r="BI210" s="181">
        <f ca="1">IF($D210&lt;&gt;"Serviço",0,IF(AND(AUTOEVENTO="Manual",$M210=1),0,IF(OFFSET(CRONOPLE!$F$14,$M210,BI$13)="",10^12,OFFSET(CRONOPLE!$F$14,$M210,BI$13))))</f>
        <v>1000000000000</v>
      </c>
      <c r="BJ210" s="181">
        <f ca="1">IF($D210&lt;&gt;"Serviço",0,IF(AND(AUTOEVENTO="Manual",$M210=1),0,IF(OFFSET(CRONOPLE!$F$14,$M210,BJ$13)="",10^12,OFFSET(CRONOPLE!$F$14,$M210,BJ$13))))</f>
        <v>1000000000000</v>
      </c>
      <c r="BK210" s="181">
        <f ca="1">IF($D210&lt;&gt;"Serviço",0,IF(AND(AUTOEVENTO="Manual",$M210=1),0,IF(OFFSET(CRONOPLE!$F$14,$M210,BK$13)="",10^12,OFFSET(CRONOPLE!$F$14,$M210,BK$13))))</f>
        <v>1000000000000</v>
      </c>
      <c r="BL210" s="181">
        <f ca="1">IF($D210&lt;&gt;"Serviço",0,IF(AND(AUTOEVENTO="Manual",$M210=1),0,IF(OFFSET(CRONOPLE!$F$14,$M210,BL$13)="",10^12,OFFSET(CRONOPLE!$F$14,$M210,BL$13))))</f>
        <v>1000000000000</v>
      </c>
      <c r="BM210" s="181">
        <f ca="1">IF($D210&lt;&gt;"Serviço",0,IF(AND(AUTOEVENTO="Manual",$M210=1),0,IF(OFFSET(CRONOPLE!$F$14,$M210,BM$13)="",10^12,OFFSET(CRONOPLE!$F$14,$M210,BM$13))))</f>
        <v>1000000000000</v>
      </c>
      <c r="BN210" s="181">
        <f ca="1">IF($D210&lt;&gt;"Serviço",0,IF(AND(AUTOEVENTO="Manual",$M210=1),0,IF(OFFSET(CRONOPLE!$F$14,$M210,BN$13)="",10^12,OFFSET(CRONOPLE!$F$14,$M210,BN$13))))</f>
        <v>1000000000000</v>
      </c>
      <c r="BO210" s="181">
        <f ca="1">IF($D210&lt;&gt;"Serviço",0,IF(AND(AUTOEVENTO="Manual",$M210=1),0,IF(OFFSET(CRONOPLE!$F$14,$M210,BO$13)="",10^12,OFFSET(CRONOPLE!$F$14,$M210,BO$13))))</f>
        <v>1000000000000</v>
      </c>
      <c r="BP210" s="181">
        <f ca="1">IF($D210&lt;&gt;"Serviço",0,IF(AND(AUTOEVENTO="Manual",$M210=1),0,IF(OFFSET(CRONOPLE!$F$14,$M210,BP$13)="",10^12,OFFSET(CRONOPLE!$F$14,$M210,BP$13))))</f>
        <v>1000000000000</v>
      </c>
      <c r="BQ210" s="181">
        <f ca="1">IF($D210&lt;&gt;"Serviço",0,IF(AND(AUTOEVENTO="Manual",$M210=1),0,IF(OFFSET(CRONOPLE!$F$14,$M210,BQ$13)="",10^12,OFFSET(CRONOPLE!$F$14,$M210,BQ$13))))</f>
        <v>1000000000000</v>
      </c>
      <c r="BR210" s="181">
        <f ca="1">IF($D210&lt;&gt;"Serviço",0,IF(AND(AUTOEVENTO="Manual",$M210=1),0,IF(OFFSET(CRONOPLE!$F$14,$M210,BR$13)="",10^12,OFFSET(CRONOPLE!$F$14,$M210,BR$13))))</f>
        <v>1000000000000</v>
      </c>
      <c r="BS210" s="181">
        <f ca="1">IF($D210&lt;&gt;"Serviço",0,IF(AND(AUTOEVENTO="Manual",$M210=1),0,IF(OFFSET(CRONOPLE!$F$14,$M210,BS$13)="",10^12,OFFSET(CRONOPLE!$F$14,$M210,BS$13))))</f>
        <v>1000000000000</v>
      </c>
      <c r="BT210" s="181">
        <f ca="1">IF($D210&lt;&gt;"Serviço",0,IF(AND(AUTOEVENTO="Manual",$M210=1),0,IF(OFFSET(CRONOPLE!$F$14,$M210,BT$13)="",10^12,OFFSET(CRONOPLE!$F$14,$M210,BT$13))))</f>
        <v>1000000000000</v>
      </c>
      <c r="BV210" s="182">
        <f ca="1">IF($D210&lt;&gt;"Serviço",0,IF(OR(AND(AUTOEVENTO="Manual",$M210=1),$M210&gt;(ROW(PLE.lastrow)-ROW(PLE.firstrow))),0,IF(OFFSET(PLE!$G$14,$M210,BV$13)="",10^12,OFFSET(PLE!$G$14,$M210,BV$13))))</f>
        <v>1000000000000</v>
      </c>
      <c r="BW210" s="182">
        <f ca="1">IF($D210&lt;&gt;"Serviço",0,IF(OR(AND(AUTOEVENTO="Manual",$M210=1),$M210&gt;(ROW(PLE.lastrow)-ROW(PLE.firstrow))),0,IF(OFFSET(PLE!$G$14,$M210,BW$13)="",10^12,OFFSET(PLE!$G$14,$M210,BW$13))))</f>
        <v>1000000000000</v>
      </c>
      <c r="BX210" s="182">
        <f ca="1">IF($D210&lt;&gt;"Serviço",0,IF(OR(AND(AUTOEVENTO="Manual",$M210=1),$M210&gt;(ROW(PLE.lastrow)-ROW(PLE.firstrow))),0,IF(OFFSET(PLE!$G$14,$M210,BX$13)="",10^12,OFFSET(PLE!$G$14,$M210,BX$13))))</f>
        <v>1000000000000</v>
      </c>
      <c r="BY210" s="182">
        <f ca="1">IF($D210&lt;&gt;"Serviço",0,IF(OR(AND(AUTOEVENTO="Manual",$M210=1),$M210&gt;(ROW(PLE.lastrow)-ROW(PLE.firstrow))),0,IF(OFFSET(PLE!$G$14,$M210,BY$13)="",10^12,OFFSET(PLE!$G$14,$M210,BY$13))))</f>
        <v>1000000000000</v>
      </c>
      <c r="BZ210" s="182">
        <f ca="1">IF($D210&lt;&gt;"Serviço",0,IF(OR(AND(AUTOEVENTO="Manual",$M210=1),$M210&gt;(ROW(PLE.lastrow)-ROW(PLE.firstrow))),0,IF(OFFSET(PLE!$G$14,$M210,BZ$13)="",10^12,OFFSET(PLE!$G$14,$M210,BZ$13))))</f>
        <v>1000000000000</v>
      </c>
      <c r="CA210" s="182">
        <f ca="1">IF($D210&lt;&gt;"Serviço",0,IF(OR(AND(AUTOEVENTO="Manual",$M210=1),$M210&gt;(ROW(PLE.lastrow)-ROW(PLE.firstrow))),0,IF(OFFSET(PLE!$G$14,$M210,CA$13)="",10^12,OFFSET(PLE!$G$14,$M210,CA$13))))</f>
        <v>1000000000000</v>
      </c>
      <c r="CB210" s="182">
        <f ca="1">IF($D210&lt;&gt;"Serviço",0,IF(OR(AND(AUTOEVENTO="Manual",$M210=1),$M210&gt;(ROW(PLE.lastrow)-ROW(PLE.firstrow))),0,IF(OFFSET(PLE!$G$14,$M210,CB$13)="",10^12,OFFSET(PLE!$G$14,$M210,CB$13))))</f>
        <v>1000000000000</v>
      </c>
      <c r="CC210" s="182">
        <f ca="1">IF($D210&lt;&gt;"Serviço",0,IF(OR(AND(AUTOEVENTO="Manual",$M210=1),$M210&gt;(ROW(PLE.lastrow)-ROW(PLE.firstrow))),0,IF(OFFSET(PLE!$G$14,$M210,CC$13)="",10^12,OFFSET(PLE!$G$14,$M210,CC$13))))</f>
        <v>1000000000000</v>
      </c>
      <c r="CD210" s="182">
        <f ca="1">IF($D210&lt;&gt;"Serviço",0,IF(OR(AND(AUTOEVENTO="Manual",$M210=1),$M210&gt;(ROW(PLE.lastrow)-ROW(PLE.firstrow))),0,IF(OFFSET(PLE!$G$14,$M210,CD$13)="",10^12,OFFSET(PLE!$G$14,$M210,CD$13))))</f>
        <v>1000000000000</v>
      </c>
      <c r="CE210" s="182">
        <f ca="1">IF($D210&lt;&gt;"Serviço",0,IF(OR(AND(AUTOEVENTO="Manual",$M210=1),$M210&gt;(ROW(PLE.lastrow)-ROW(PLE.firstrow))),0,IF(OFFSET(PLE!$G$14,$M210,CE$13)="",10^12,OFFSET(PLE!$G$14,$M210,CE$13))))</f>
        <v>1000000000000</v>
      </c>
      <c r="CF210" s="182">
        <f ca="1">IF($D210&lt;&gt;"Serviço",0,IF(OR(AND(AUTOEVENTO="Manual",$M210=1),$M210&gt;(ROW(PLE.lastrow)-ROW(PLE.firstrow))),0,IF(OFFSET(PLE!$G$14,$M210,CF$13)="",10^12,OFFSET(PLE!$G$14,$M210,CF$13))))</f>
        <v>1000000000000</v>
      </c>
      <c r="CG210" s="182">
        <f ca="1">IF($D210&lt;&gt;"Serviço",0,IF(OR(AND(AUTOEVENTO="Manual",$M210=1),$M210&gt;(ROW(PLE.lastrow)-ROW(PLE.firstrow))),0,IF(OFFSET(PLE!$G$14,$M210,CG$13)="",10^12,OFFSET(PLE!$G$14,$M210,CG$13))))</f>
        <v>1000000000000</v>
      </c>
      <c r="CH210" s="182">
        <f ca="1">IF($D210&lt;&gt;"Serviço",0,IF(OR(AND(AUTOEVENTO="Manual",$M210=1),$M210&gt;(ROW(PLE.lastrow)-ROW(PLE.firstrow))),0,IF(OFFSET(PLE!$G$14,$M210,CH$13)="",10^12,OFFSET(PLE!$G$14,$M210,CH$13))))</f>
        <v>1000000000000</v>
      </c>
      <c r="CI210" s="182">
        <f ca="1">IF($D210&lt;&gt;"Serviço",0,IF(OR(AND(AUTOEVENTO="Manual",$M210=1),$M210&gt;(ROW(PLE.lastrow)-ROW(PLE.firstrow))),0,IF(OFFSET(PLE!$G$14,$M210,CI$13)="",10^12,OFFSET(PLE!$G$14,$M210,CI$13))))</f>
        <v>1000000000000</v>
      </c>
      <c r="CJ210" s="182">
        <f ca="1">IF($D210&lt;&gt;"Serviço",0,IF(OR(AND(AUTOEVENTO="Manual",$M210=1),$M210&gt;(ROW(PLE.lastrow)-ROW(PLE.firstrow))),0,IF(OFFSET(PLE!$G$14,$M210,CJ$13)="",10^12,OFFSET(PLE!$G$14,$M210,CJ$13))))</f>
        <v>1000000000000</v>
      </c>
      <c r="CK210" s="182">
        <f ca="1">IF($D210&lt;&gt;"Serviço",0,IF(OR(AND(AUTOEVENTO="Manual",$M210=1),$M210&gt;(ROW(PLE.lastrow)-ROW(PLE.firstrow))),0,IF(OFFSET(PLE!$G$14,$M210,CK$13)="",10^12,OFFSET(PLE!$G$14,$M210,CK$13))))</f>
        <v>1000000000000</v>
      </c>
      <c r="CL210" s="182">
        <f ca="1">IF($D210&lt;&gt;"Serviço",0,IF(OR(AND(AUTOEVENTO="Manual",$M210=1),$M210&gt;(ROW(PLE.lastrow)-ROW(PLE.firstrow))),0,IF(OFFSET(PLE!$G$14,$M210,CL$13)="",10^12,OFFSET(PLE!$G$14,$M210,CL$13))))</f>
        <v>1000000000000</v>
      </c>
      <c r="CM210" s="182">
        <f ca="1">IF($D210&lt;&gt;"Serviço",0,IF(OR(AND(AUTOEVENTO="Manual",$M210=1),$M210&gt;(ROW(PLE.lastrow)-ROW(PLE.firstrow))),0,IF(OFFSET(PLE!$G$14,$M210,CM$13)="",10^12,OFFSET(PLE!$G$14,$M210,CM$13))))</f>
        <v>1000000000000</v>
      </c>
    </row>
    <row r="211" spans="1:91" ht="25.5" x14ac:dyDescent="0.2">
      <c r="A211" s="7" t="str">
        <f t="shared" ca="1" si="12"/>
        <v>184</v>
      </c>
      <c r="B211" s="7" t="str">
        <f ca="1">OFFSET(ORÇAMENTO!C$15,ROW(B211)-ROW(B$15),0)</f>
        <v>S</v>
      </c>
      <c r="C211" s="7" t="str">
        <f ca="1">OFFSET(ORÇAMENTO!L$15,ROW(C211)-ROW(C$15),0)</f>
        <v/>
      </c>
      <c r="D211" s="118" t="str">
        <f ca="1">OFFSET(ORÇAMENTO!N$15,ROW(D211)-ROW(D$15),0)</f>
        <v>Serviço</v>
      </c>
      <c r="E211" s="119" t="str">
        <f ca="1">OFFSET(ORÇAMENTO!O$15,ROW(E211)-ROW(E$15),0)</f>
        <v>-</v>
      </c>
      <c r="F211" s="172" t="str">
        <f ca="1">OFFSET(ORÇAMENTO!R$15,ROW(F211)-ROW(F$15),0)</f>
        <v>(abra o arquivo 'Referência 06-2024.xlsm)</v>
      </c>
      <c r="G211" s="173" t="str">
        <f ca="1">IF($D211&lt;&gt;"Serviço","",OFFSET(ORÇAMENTO!S$15,ROW(G211)-ROW(G$15),0))</f>
        <v>-</v>
      </c>
      <c r="H211" s="124">
        <f ca="1">IF($D211&lt;&gt;"Serviço",0,IF(ACOMPANHAMENTO="BM",ROUND(OFFSET(ORÇAMENTO!AJ$15,ROW(H211)-ROW(H$15),0),15-13*ORÇAMENTO!$AF$7),SUMPRODUCT(($Q$12:$AI$12&lt;&gt;"")*ROUND($Q211:$AI211,15-13*ORÇAMENTO!$AF$7))))</f>
        <v>107.69</v>
      </c>
      <c r="I211" s="561" t="s">
        <v>1107</v>
      </c>
      <c r="K211" s="174"/>
      <c r="L211" s="175" t="s">
        <v>255</v>
      </c>
      <c r="M211" s="176">
        <f ca="1">IF($D211&lt;&gt;"Serviço","",IF(AUTOEVENTO="manual",$A211,IF(ISERROR(MATCH($A211,$A$15:OFFSET($A211,-1,0),0)),MAX($M$15:OFFSET(M211,-1,0))+1,INDEX($M$15:OFFSET(M211,-1,0),MATCH($A211,$A$15:OFFSET($A211,-1,0),0)))))</f>
        <v>28</v>
      </c>
      <c r="N211" s="177" t="str">
        <f ca="1">IF($D211&lt;&gt;"Serviço","",IF(AUTOEVENTO="Manual",IF($A211=0,"&lt;-- defina o número do agrupador",OFFSET(EVENTOS!$D$14,$A211,0)),OFFSET($F$15,$A211,0)))</f>
        <v>SISTEMAS DE PISOS - PAVIMENTAÇÃO INTERNA</v>
      </c>
      <c r="O211" s="178"/>
      <c r="Q211" s="178">
        <v>107.69</v>
      </c>
      <c r="R211" s="179"/>
      <c r="S211" s="179"/>
      <c r="T211" s="179"/>
      <c r="U211" s="179"/>
      <c r="V211" s="179"/>
      <c r="W211" s="179"/>
      <c r="X211" s="179"/>
      <c r="Y211" s="179"/>
      <c r="Z211" s="180"/>
      <c r="AA211" s="179"/>
      <c r="AB211" s="179"/>
      <c r="AC211" s="179"/>
      <c r="AD211" s="179"/>
      <c r="AE211" s="179"/>
      <c r="AF211" s="179"/>
      <c r="AG211" s="179"/>
      <c r="AH211" s="180"/>
      <c r="AJ211" s="544">
        <f ca="1">IF(AND($D211="Serviço",AJ$12&lt;&gt;0,$H211&gt;0,OR(AUTOEVENTO&lt;&gt;"manual",$M211&lt;&gt;1)),
IF(Import.TipoArredondamento&lt;&gt;"TransfereGOV",
ROUND(OFFSET($P211,0,AJ$13),15-13*ORÇAMENTO!$AF$7)/$H211*OFFSET(ORÇAMENTO!$X$15,ROW(AJ211)-ROW(AJ$15),0),
ROUND(ROUND(OFFSET($P211,0,AJ$13),15-13*ORÇAMENTO!$AF$7)*OFFSET(ORÇAMENTO!$W$15,ROW(AJ211)-ROW(AJ$15),0),15-13*ORÇAMENTO!$AF$11)),0)</f>
        <v>0</v>
      </c>
      <c r="AK211" s="545">
        <f ca="1">IF(AND($D211="Serviço",AK$12&lt;&gt;0,$H211&gt;0,OR(AUTOEVENTO&lt;&gt;"manual",$M211&lt;&gt;1)),
IF(Import.TipoArredondamento&lt;&gt;"TransfereGOV",
ROUND(OFFSET($P211,0,AK$13),15-13*ORÇAMENTO!$AF$7)/$H211*OFFSET(ORÇAMENTO!$X$15,ROW(AK211)-ROW(AK$15),0),
ROUND(ROUND(OFFSET($P211,0,AK$13),15-13*ORÇAMENTO!$AF$7)*OFFSET(ORÇAMENTO!$W$15,ROW(AK211)-ROW(AK$15),0),15-13*ORÇAMENTO!$AF$11)),0)</f>
        <v>0</v>
      </c>
      <c r="AL211" s="545">
        <f ca="1">IF(AND($D211="Serviço",AL$12&lt;&gt;0,$H211&gt;0,OR(AUTOEVENTO&lt;&gt;"manual",$M211&lt;&gt;1)),
IF(Import.TipoArredondamento&lt;&gt;"TransfereGOV",
ROUND(OFFSET($P211,0,AL$13),15-13*ORÇAMENTO!$AF$7)/$H211*OFFSET(ORÇAMENTO!$X$15,ROW(AL211)-ROW(AL$15),0),
ROUND(ROUND(OFFSET($P211,0,AL$13),15-13*ORÇAMENTO!$AF$7)*OFFSET(ORÇAMENTO!$W$15,ROW(AL211)-ROW(AL$15),0),15-13*ORÇAMENTO!$AF$11)),0)</f>
        <v>0</v>
      </c>
      <c r="AM211" s="545">
        <f ca="1">IF(AND($D211="Serviço",AM$12&lt;&gt;0,$H211&gt;0,OR(AUTOEVENTO&lt;&gt;"manual",$M211&lt;&gt;1)),
IF(Import.TipoArredondamento&lt;&gt;"TransfereGOV",
ROUND(OFFSET($P211,0,AM$13),15-13*ORÇAMENTO!$AF$7)/$H211*OFFSET(ORÇAMENTO!$X$15,ROW(AM211)-ROW(AM$15),0),
ROUND(ROUND(OFFSET($P211,0,AM$13),15-13*ORÇAMENTO!$AF$7)*OFFSET(ORÇAMENTO!$W$15,ROW(AM211)-ROW(AM$15),0),15-13*ORÇAMENTO!$AF$11)),0)</f>
        <v>0</v>
      </c>
      <c r="AN211" s="545">
        <f ca="1">IF(AND($D211="Serviço",AN$12&lt;&gt;0,$H211&gt;0,OR(AUTOEVENTO&lt;&gt;"manual",$M211&lt;&gt;1)),
IF(Import.TipoArredondamento&lt;&gt;"TransfereGOV",
ROUND(OFFSET($P211,0,AN$13),15-13*ORÇAMENTO!$AF$7)/$H211*OFFSET(ORÇAMENTO!$X$15,ROW(AN211)-ROW(AN$15),0),
ROUND(ROUND(OFFSET($P211,0,AN$13),15-13*ORÇAMENTO!$AF$7)*OFFSET(ORÇAMENTO!$W$15,ROW(AN211)-ROW(AN$15),0),15-13*ORÇAMENTO!$AF$11)),0)</f>
        <v>0</v>
      </c>
      <c r="AO211" s="545">
        <f ca="1">IF(AND($D211="Serviço",AO$12&lt;&gt;0,$H211&gt;0,OR(AUTOEVENTO&lt;&gt;"manual",$M211&lt;&gt;1)),
IF(Import.TipoArredondamento&lt;&gt;"TransfereGOV",
ROUND(OFFSET($P211,0,AO$13),15-13*ORÇAMENTO!$AF$7)/$H211*OFFSET(ORÇAMENTO!$X$15,ROW(AO211)-ROW(AO$15),0),
ROUND(ROUND(OFFSET($P211,0,AO$13),15-13*ORÇAMENTO!$AF$7)*OFFSET(ORÇAMENTO!$W$15,ROW(AO211)-ROW(AO$15),0),15-13*ORÇAMENTO!$AF$11)),0)</f>
        <v>0</v>
      </c>
      <c r="AP211" s="545">
        <f ca="1">IF(AND($D211="Serviço",AP$12&lt;&gt;0,$H211&gt;0,OR(AUTOEVENTO&lt;&gt;"manual",$M211&lt;&gt;1)),
IF(Import.TipoArredondamento&lt;&gt;"TransfereGOV",
ROUND(OFFSET($P211,0,AP$13),15-13*ORÇAMENTO!$AF$7)/$H211*OFFSET(ORÇAMENTO!$X$15,ROW(AP211)-ROW(AP$15),0),
ROUND(ROUND(OFFSET($P211,0,AP$13),15-13*ORÇAMENTO!$AF$7)*OFFSET(ORÇAMENTO!$W$15,ROW(AP211)-ROW(AP$15),0),15-13*ORÇAMENTO!$AF$11)),0)</f>
        <v>0</v>
      </c>
      <c r="AQ211" s="545">
        <f ca="1">IF(AND($D211="Serviço",AQ$12&lt;&gt;0,$H211&gt;0,OR(AUTOEVENTO&lt;&gt;"manual",$M211&lt;&gt;1)),
IF(Import.TipoArredondamento&lt;&gt;"TransfereGOV",
ROUND(OFFSET($P211,0,AQ$13),15-13*ORÇAMENTO!$AF$7)/$H211*OFFSET(ORÇAMENTO!$X$15,ROW(AQ211)-ROW(AQ$15),0),
ROUND(ROUND(OFFSET($P211,0,AQ$13),15-13*ORÇAMENTO!$AF$7)*OFFSET(ORÇAMENTO!$W$15,ROW(AQ211)-ROW(AQ$15),0),15-13*ORÇAMENTO!$AF$11)),0)</f>
        <v>0</v>
      </c>
      <c r="AR211" s="545">
        <f ca="1">IF(AND($D211="Serviço",AR$12&lt;&gt;0,$H211&gt;0,OR(AUTOEVENTO&lt;&gt;"manual",$M211&lt;&gt;1)),
IF(Import.TipoArredondamento&lt;&gt;"TransfereGOV",
ROUND(OFFSET($P211,0,AR$13),15-13*ORÇAMENTO!$AF$7)/$H211*OFFSET(ORÇAMENTO!$X$15,ROW(AR211)-ROW(AR$15),0),
ROUND(ROUND(OFFSET($P211,0,AR$13),15-13*ORÇAMENTO!$AF$7)*OFFSET(ORÇAMENTO!$W$15,ROW(AR211)-ROW(AR$15),0),15-13*ORÇAMENTO!$AF$11)),0)</f>
        <v>0</v>
      </c>
      <c r="AS211" s="546">
        <f ca="1">IF(AND($D211="Serviço",AS$12&lt;&gt;0,$H211&gt;0,OR(AUTOEVENTO&lt;&gt;"manual",$M211&lt;&gt;1)),
IF(Import.TipoArredondamento&lt;&gt;"TransfereGOV",
ROUND(OFFSET($P211,0,AS$13),15-13*ORÇAMENTO!$AF$7)/$H211*OFFSET(ORÇAMENTO!$X$15,ROW(AS211)-ROW(AS$15),0),
ROUND(ROUND(OFFSET($P211,0,AS$13),15-13*ORÇAMENTO!$AF$7)*OFFSET(ORÇAMENTO!$W$15,ROW(AS211)-ROW(AS$15),0),15-13*ORÇAMENTO!$AF$11)),0)</f>
        <v>0</v>
      </c>
      <c r="AT211" s="545">
        <f ca="1">IF(AND($D211="Serviço",AT$12&lt;&gt;0,$H211&gt;0,OR(AUTOEVENTO&lt;&gt;"manual",$M211&lt;&gt;1)),
IF(Import.TipoArredondamento&lt;&gt;"TransfereGOV",
ROUND(OFFSET($P211,0,AT$13),15-13*ORÇAMENTO!$AF$7)/$H211*OFFSET(ORÇAMENTO!$X$15,ROW(AT211)-ROW(AT$15),0),
ROUND(ROUND(OFFSET($P211,0,AT$13),15-13*ORÇAMENTO!$AF$7)*OFFSET(ORÇAMENTO!$W$15,ROW(AT211)-ROW(AT$15),0),15-13*ORÇAMENTO!$AF$11)),0)</f>
        <v>0</v>
      </c>
      <c r="AU211" s="545">
        <f ca="1">IF(AND($D211="Serviço",AU$12&lt;&gt;0,$H211&gt;0,OR(AUTOEVENTO&lt;&gt;"manual",$M211&lt;&gt;1)),
IF(Import.TipoArredondamento&lt;&gt;"TransfereGOV",
ROUND(OFFSET($P211,0,AU$13),15-13*ORÇAMENTO!$AF$7)/$H211*OFFSET(ORÇAMENTO!$X$15,ROW(AU211)-ROW(AU$15),0),
ROUND(ROUND(OFFSET($P211,0,AU$13),15-13*ORÇAMENTO!$AF$7)*OFFSET(ORÇAMENTO!$W$15,ROW(AU211)-ROW(AU$15),0),15-13*ORÇAMENTO!$AF$11)),0)</f>
        <v>0</v>
      </c>
      <c r="AV211" s="545">
        <f ca="1">IF(AND($D211="Serviço",AV$12&lt;&gt;0,$H211&gt;0,OR(AUTOEVENTO&lt;&gt;"manual",$M211&lt;&gt;1)),
IF(Import.TipoArredondamento&lt;&gt;"TransfereGOV",
ROUND(OFFSET($P211,0,AV$13),15-13*ORÇAMENTO!$AF$7)/$H211*OFFSET(ORÇAMENTO!$X$15,ROW(AV211)-ROW(AV$15),0),
ROUND(ROUND(OFFSET($P211,0,AV$13),15-13*ORÇAMENTO!$AF$7)*OFFSET(ORÇAMENTO!$W$15,ROW(AV211)-ROW(AV$15),0),15-13*ORÇAMENTO!$AF$11)),0)</f>
        <v>0</v>
      </c>
      <c r="AW211" s="545">
        <f ca="1">IF(AND($D211="Serviço",AW$12&lt;&gt;0,$H211&gt;0,OR(AUTOEVENTO&lt;&gt;"manual",$M211&lt;&gt;1)),
IF(Import.TipoArredondamento&lt;&gt;"TransfereGOV",
ROUND(OFFSET($P211,0,AW$13),15-13*ORÇAMENTO!$AF$7)/$H211*OFFSET(ORÇAMENTO!$X$15,ROW(AW211)-ROW(AW$15),0),
ROUND(ROUND(OFFSET($P211,0,AW$13),15-13*ORÇAMENTO!$AF$7)*OFFSET(ORÇAMENTO!$W$15,ROW(AW211)-ROW(AW$15),0),15-13*ORÇAMENTO!$AF$11)),0)</f>
        <v>0</v>
      </c>
      <c r="AX211" s="545">
        <f ca="1">IF(AND($D211="Serviço",AX$12&lt;&gt;0,$H211&gt;0,OR(AUTOEVENTO&lt;&gt;"manual",$M211&lt;&gt;1)),
IF(Import.TipoArredondamento&lt;&gt;"TransfereGOV",
ROUND(OFFSET($P211,0,AX$13),15-13*ORÇAMENTO!$AF$7)/$H211*OFFSET(ORÇAMENTO!$X$15,ROW(AX211)-ROW(AX$15),0),
ROUND(ROUND(OFFSET($P211,0,AX$13),15-13*ORÇAMENTO!$AF$7)*OFFSET(ORÇAMENTO!$W$15,ROW(AX211)-ROW(AX$15),0),15-13*ORÇAMENTO!$AF$11)),0)</f>
        <v>0</v>
      </c>
      <c r="AY211" s="545">
        <f ca="1">IF(AND($D211="Serviço",AY$12&lt;&gt;0,$H211&gt;0,OR(AUTOEVENTO&lt;&gt;"manual",$M211&lt;&gt;1)),
IF(Import.TipoArredondamento&lt;&gt;"TransfereGOV",
ROUND(OFFSET($P211,0,AY$13),15-13*ORÇAMENTO!$AF$7)/$H211*OFFSET(ORÇAMENTO!$X$15,ROW(AY211)-ROW(AY$15),0),
ROUND(ROUND(OFFSET($P211,0,AY$13),15-13*ORÇAMENTO!$AF$7)*OFFSET(ORÇAMENTO!$W$15,ROW(AY211)-ROW(AY$15),0),15-13*ORÇAMENTO!$AF$11)),0)</f>
        <v>0</v>
      </c>
      <c r="AZ211" s="545">
        <f ca="1">IF(AND($D211="Serviço",AZ$12&lt;&gt;0,$H211&gt;0,OR(AUTOEVENTO&lt;&gt;"manual",$M211&lt;&gt;1)),
IF(Import.TipoArredondamento&lt;&gt;"TransfereGOV",
ROUND(OFFSET($P211,0,AZ$13),15-13*ORÇAMENTO!$AF$7)/$H211*OFFSET(ORÇAMENTO!$X$15,ROW(AZ211)-ROW(AZ$15),0),
ROUND(ROUND(OFFSET($P211,0,AZ$13),15-13*ORÇAMENTO!$AF$7)*OFFSET(ORÇAMENTO!$W$15,ROW(AZ211)-ROW(AZ$15),0),15-13*ORÇAMENTO!$AF$11)),0)</f>
        <v>0</v>
      </c>
      <c r="BA211" s="546">
        <f ca="1">IF(AND($D211="Serviço",BA$12&lt;&gt;0,$H211&gt;0,OR(AUTOEVENTO&lt;&gt;"manual",$M211&lt;&gt;1)),
IF(Import.TipoArredondamento&lt;&gt;"TransfereGOV",
ROUND(OFFSET($P211,0,BA$13),15-13*ORÇAMENTO!$AF$7)/$H211*OFFSET(ORÇAMENTO!$X$15,ROW(BA211)-ROW(BA$15),0),
ROUND(ROUND(OFFSET($P211,0,BA$13),15-13*ORÇAMENTO!$AF$7)*OFFSET(ORÇAMENTO!$W$15,ROW(BA211)-ROW(BA$15),0),15-13*ORÇAMENTO!$AF$11)),0)</f>
        <v>0</v>
      </c>
      <c r="BC211" s="181">
        <f ca="1">IF($D211&lt;&gt;"Serviço",0,IF(AND(AUTOEVENTO="Manual",$M211=1),0,IF(OFFSET(CRONOPLE!$F$14,$M211,BC$13)="",10^12,OFFSET(CRONOPLE!$F$14,$M211,BC$13))))</f>
        <v>8</v>
      </c>
      <c r="BD211" s="181">
        <f ca="1">IF($D211&lt;&gt;"Serviço",0,IF(AND(AUTOEVENTO="Manual",$M211=1),0,IF(OFFSET(CRONOPLE!$F$14,$M211,BD$13)="",10^12,OFFSET(CRONOPLE!$F$14,$M211,BD$13))))</f>
        <v>1000000000000</v>
      </c>
      <c r="BE211" s="181">
        <f ca="1">IF($D211&lt;&gt;"Serviço",0,IF(AND(AUTOEVENTO="Manual",$M211=1),0,IF(OFFSET(CRONOPLE!$F$14,$M211,BE$13)="",10^12,OFFSET(CRONOPLE!$F$14,$M211,BE$13))))</f>
        <v>1000000000000</v>
      </c>
      <c r="BF211" s="181">
        <f ca="1">IF($D211&lt;&gt;"Serviço",0,IF(AND(AUTOEVENTO="Manual",$M211=1),0,IF(OFFSET(CRONOPLE!$F$14,$M211,BF$13)="",10^12,OFFSET(CRONOPLE!$F$14,$M211,BF$13))))</f>
        <v>1000000000000</v>
      </c>
      <c r="BG211" s="181">
        <f ca="1">IF($D211&lt;&gt;"Serviço",0,IF(AND(AUTOEVENTO="Manual",$M211=1),0,IF(OFFSET(CRONOPLE!$F$14,$M211,BG$13)="",10^12,OFFSET(CRONOPLE!$F$14,$M211,BG$13))))</f>
        <v>1000000000000</v>
      </c>
      <c r="BH211" s="181">
        <f ca="1">IF($D211&lt;&gt;"Serviço",0,IF(AND(AUTOEVENTO="Manual",$M211=1),0,IF(OFFSET(CRONOPLE!$F$14,$M211,BH$13)="",10^12,OFFSET(CRONOPLE!$F$14,$M211,BH$13))))</f>
        <v>1000000000000</v>
      </c>
      <c r="BI211" s="181">
        <f ca="1">IF($D211&lt;&gt;"Serviço",0,IF(AND(AUTOEVENTO="Manual",$M211=1),0,IF(OFFSET(CRONOPLE!$F$14,$M211,BI$13)="",10^12,OFFSET(CRONOPLE!$F$14,$M211,BI$13))))</f>
        <v>1000000000000</v>
      </c>
      <c r="BJ211" s="181">
        <f ca="1">IF($D211&lt;&gt;"Serviço",0,IF(AND(AUTOEVENTO="Manual",$M211=1),0,IF(OFFSET(CRONOPLE!$F$14,$M211,BJ$13)="",10^12,OFFSET(CRONOPLE!$F$14,$M211,BJ$13))))</f>
        <v>1000000000000</v>
      </c>
      <c r="BK211" s="181">
        <f ca="1">IF($D211&lt;&gt;"Serviço",0,IF(AND(AUTOEVENTO="Manual",$M211=1),0,IF(OFFSET(CRONOPLE!$F$14,$M211,BK$13)="",10^12,OFFSET(CRONOPLE!$F$14,$M211,BK$13))))</f>
        <v>1000000000000</v>
      </c>
      <c r="BL211" s="181">
        <f ca="1">IF($D211&lt;&gt;"Serviço",0,IF(AND(AUTOEVENTO="Manual",$M211=1),0,IF(OFFSET(CRONOPLE!$F$14,$M211,BL$13)="",10^12,OFFSET(CRONOPLE!$F$14,$M211,BL$13))))</f>
        <v>1000000000000</v>
      </c>
      <c r="BM211" s="181">
        <f ca="1">IF($D211&lt;&gt;"Serviço",0,IF(AND(AUTOEVENTO="Manual",$M211=1),0,IF(OFFSET(CRONOPLE!$F$14,$M211,BM$13)="",10^12,OFFSET(CRONOPLE!$F$14,$M211,BM$13))))</f>
        <v>1000000000000</v>
      </c>
      <c r="BN211" s="181">
        <f ca="1">IF($D211&lt;&gt;"Serviço",0,IF(AND(AUTOEVENTO="Manual",$M211=1),0,IF(OFFSET(CRONOPLE!$F$14,$M211,BN$13)="",10^12,OFFSET(CRONOPLE!$F$14,$M211,BN$13))))</f>
        <v>1000000000000</v>
      </c>
      <c r="BO211" s="181">
        <f ca="1">IF($D211&lt;&gt;"Serviço",0,IF(AND(AUTOEVENTO="Manual",$M211=1),0,IF(OFFSET(CRONOPLE!$F$14,$M211,BO$13)="",10^12,OFFSET(CRONOPLE!$F$14,$M211,BO$13))))</f>
        <v>1000000000000</v>
      </c>
      <c r="BP211" s="181">
        <f ca="1">IF($D211&lt;&gt;"Serviço",0,IF(AND(AUTOEVENTO="Manual",$M211=1),0,IF(OFFSET(CRONOPLE!$F$14,$M211,BP$13)="",10^12,OFFSET(CRONOPLE!$F$14,$M211,BP$13))))</f>
        <v>1000000000000</v>
      </c>
      <c r="BQ211" s="181">
        <f ca="1">IF($D211&lt;&gt;"Serviço",0,IF(AND(AUTOEVENTO="Manual",$M211=1),0,IF(OFFSET(CRONOPLE!$F$14,$M211,BQ$13)="",10^12,OFFSET(CRONOPLE!$F$14,$M211,BQ$13))))</f>
        <v>1000000000000</v>
      </c>
      <c r="BR211" s="181">
        <f ca="1">IF($D211&lt;&gt;"Serviço",0,IF(AND(AUTOEVENTO="Manual",$M211=1),0,IF(OFFSET(CRONOPLE!$F$14,$M211,BR$13)="",10^12,OFFSET(CRONOPLE!$F$14,$M211,BR$13))))</f>
        <v>1000000000000</v>
      </c>
      <c r="BS211" s="181">
        <f ca="1">IF($D211&lt;&gt;"Serviço",0,IF(AND(AUTOEVENTO="Manual",$M211=1),0,IF(OFFSET(CRONOPLE!$F$14,$M211,BS$13)="",10^12,OFFSET(CRONOPLE!$F$14,$M211,BS$13))))</f>
        <v>1000000000000</v>
      </c>
      <c r="BT211" s="181">
        <f ca="1">IF($D211&lt;&gt;"Serviço",0,IF(AND(AUTOEVENTO="Manual",$M211=1),0,IF(OFFSET(CRONOPLE!$F$14,$M211,BT$13)="",10^12,OFFSET(CRONOPLE!$F$14,$M211,BT$13))))</f>
        <v>1000000000000</v>
      </c>
      <c r="BV211" s="182">
        <f ca="1">IF($D211&lt;&gt;"Serviço",0,IF(OR(AND(AUTOEVENTO="Manual",$M211=1),$M211&gt;(ROW(PLE.lastrow)-ROW(PLE.firstrow))),0,IF(OFFSET(PLE!$G$14,$M211,BV$13)="",10^12,OFFSET(PLE!$G$14,$M211,BV$13))))</f>
        <v>1000000000000</v>
      </c>
      <c r="BW211" s="182">
        <f ca="1">IF($D211&lt;&gt;"Serviço",0,IF(OR(AND(AUTOEVENTO="Manual",$M211=1),$M211&gt;(ROW(PLE.lastrow)-ROW(PLE.firstrow))),0,IF(OFFSET(PLE!$G$14,$M211,BW$13)="",10^12,OFFSET(PLE!$G$14,$M211,BW$13))))</f>
        <v>1000000000000</v>
      </c>
      <c r="BX211" s="182">
        <f ca="1">IF($D211&lt;&gt;"Serviço",0,IF(OR(AND(AUTOEVENTO="Manual",$M211=1),$M211&gt;(ROW(PLE.lastrow)-ROW(PLE.firstrow))),0,IF(OFFSET(PLE!$G$14,$M211,BX$13)="",10^12,OFFSET(PLE!$G$14,$M211,BX$13))))</f>
        <v>1000000000000</v>
      </c>
      <c r="BY211" s="182">
        <f ca="1">IF($D211&lt;&gt;"Serviço",0,IF(OR(AND(AUTOEVENTO="Manual",$M211=1),$M211&gt;(ROW(PLE.lastrow)-ROW(PLE.firstrow))),0,IF(OFFSET(PLE!$G$14,$M211,BY$13)="",10^12,OFFSET(PLE!$G$14,$M211,BY$13))))</f>
        <v>1000000000000</v>
      </c>
      <c r="BZ211" s="182">
        <f ca="1">IF($D211&lt;&gt;"Serviço",0,IF(OR(AND(AUTOEVENTO="Manual",$M211=1),$M211&gt;(ROW(PLE.lastrow)-ROW(PLE.firstrow))),0,IF(OFFSET(PLE!$G$14,$M211,BZ$13)="",10^12,OFFSET(PLE!$G$14,$M211,BZ$13))))</f>
        <v>1000000000000</v>
      </c>
      <c r="CA211" s="182">
        <f ca="1">IF($D211&lt;&gt;"Serviço",0,IF(OR(AND(AUTOEVENTO="Manual",$M211=1),$M211&gt;(ROW(PLE.lastrow)-ROW(PLE.firstrow))),0,IF(OFFSET(PLE!$G$14,$M211,CA$13)="",10^12,OFFSET(PLE!$G$14,$M211,CA$13))))</f>
        <v>1000000000000</v>
      </c>
      <c r="CB211" s="182">
        <f ca="1">IF($D211&lt;&gt;"Serviço",0,IF(OR(AND(AUTOEVENTO="Manual",$M211=1),$M211&gt;(ROW(PLE.lastrow)-ROW(PLE.firstrow))),0,IF(OFFSET(PLE!$G$14,$M211,CB$13)="",10^12,OFFSET(PLE!$G$14,$M211,CB$13))))</f>
        <v>1000000000000</v>
      </c>
      <c r="CC211" s="182">
        <f ca="1">IF($D211&lt;&gt;"Serviço",0,IF(OR(AND(AUTOEVENTO="Manual",$M211=1),$M211&gt;(ROW(PLE.lastrow)-ROW(PLE.firstrow))),0,IF(OFFSET(PLE!$G$14,$M211,CC$13)="",10^12,OFFSET(PLE!$G$14,$M211,CC$13))))</f>
        <v>1000000000000</v>
      </c>
      <c r="CD211" s="182">
        <f ca="1">IF($D211&lt;&gt;"Serviço",0,IF(OR(AND(AUTOEVENTO="Manual",$M211=1),$M211&gt;(ROW(PLE.lastrow)-ROW(PLE.firstrow))),0,IF(OFFSET(PLE!$G$14,$M211,CD$13)="",10^12,OFFSET(PLE!$G$14,$M211,CD$13))))</f>
        <v>1000000000000</v>
      </c>
      <c r="CE211" s="182">
        <f ca="1">IF($D211&lt;&gt;"Serviço",0,IF(OR(AND(AUTOEVENTO="Manual",$M211=1),$M211&gt;(ROW(PLE.lastrow)-ROW(PLE.firstrow))),0,IF(OFFSET(PLE!$G$14,$M211,CE$13)="",10^12,OFFSET(PLE!$G$14,$M211,CE$13))))</f>
        <v>1000000000000</v>
      </c>
      <c r="CF211" s="182">
        <f ca="1">IF($D211&lt;&gt;"Serviço",0,IF(OR(AND(AUTOEVENTO="Manual",$M211=1),$M211&gt;(ROW(PLE.lastrow)-ROW(PLE.firstrow))),0,IF(OFFSET(PLE!$G$14,$M211,CF$13)="",10^12,OFFSET(PLE!$G$14,$M211,CF$13))))</f>
        <v>1000000000000</v>
      </c>
      <c r="CG211" s="182">
        <f ca="1">IF($D211&lt;&gt;"Serviço",0,IF(OR(AND(AUTOEVENTO="Manual",$M211=1),$M211&gt;(ROW(PLE.lastrow)-ROW(PLE.firstrow))),0,IF(OFFSET(PLE!$G$14,$M211,CG$13)="",10^12,OFFSET(PLE!$G$14,$M211,CG$13))))</f>
        <v>1000000000000</v>
      </c>
      <c r="CH211" s="182">
        <f ca="1">IF($D211&lt;&gt;"Serviço",0,IF(OR(AND(AUTOEVENTO="Manual",$M211=1),$M211&gt;(ROW(PLE.lastrow)-ROW(PLE.firstrow))),0,IF(OFFSET(PLE!$G$14,$M211,CH$13)="",10^12,OFFSET(PLE!$G$14,$M211,CH$13))))</f>
        <v>1000000000000</v>
      </c>
      <c r="CI211" s="182">
        <f ca="1">IF($D211&lt;&gt;"Serviço",0,IF(OR(AND(AUTOEVENTO="Manual",$M211=1),$M211&gt;(ROW(PLE.lastrow)-ROW(PLE.firstrow))),0,IF(OFFSET(PLE!$G$14,$M211,CI$13)="",10^12,OFFSET(PLE!$G$14,$M211,CI$13))))</f>
        <v>1000000000000</v>
      </c>
      <c r="CJ211" s="182">
        <f ca="1">IF($D211&lt;&gt;"Serviço",0,IF(OR(AND(AUTOEVENTO="Manual",$M211=1),$M211&gt;(ROW(PLE.lastrow)-ROW(PLE.firstrow))),0,IF(OFFSET(PLE!$G$14,$M211,CJ$13)="",10^12,OFFSET(PLE!$G$14,$M211,CJ$13))))</f>
        <v>1000000000000</v>
      </c>
      <c r="CK211" s="182">
        <f ca="1">IF($D211&lt;&gt;"Serviço",0,IF(OR(AND(AUTOEVENTO="Manual",$M211=1),$M211&gt;(ROW(PLE.lastrow)-ROW(PLE.firstrow))),0,IF(OFFSET(PLE!$G$14,$M211,CK$13)="",10^12,OFFSET(PLE!$G$14,$M211,CK$13))))</f>
        <v>1000000000000</v>
      </c>
      <c r="CL211" s="182">
        <f ca="1">IF($D211&lt;&gt;"Serviço",0,IF(OR(AND(AUTOEVENTO="Manual",$M211=1),$M211&gt;(ROW(PLE.lastrow)-ROW(PLE.firstrow))),0,IF(OFFSET(PLE!$G$14,$M211,CL$13)="",10^12,OFFSET(PLE!$G$14,$M211,CL$13))))</f>
        <v>1000000000000</v>
      </c>
      <c r="CM211" s="182">
        <f ca="1">IF($D211&lt;&gt;"Serviço",0,IF(OR(AND(AUTOEVENTO="Manual",$M211=1),$M211&gt;(ROW(PLE.lastrow)-ROW(PLE.firstrow))),0,IF(OFFSET(PLE!$G$14,$M211,CM$13)="",10^12,OFFSET(PLE!$G$14,$M211,CM$13))))</f>
        <v>1000000000000</v>
      </c>
    </row>
    <row r="212" spans="1:91" ht="12.75" x14ac:dyDescent="0.2">
      <c r="A212" s="7" t="str">
        <f t="shared" ca="1" si="12"/>
        <v>197.</v>
      </c>
      <c r="B212" s="7">
        <f ca="1">OFFSET(ORÇAMENTO!C$15,ROW(B212)-ROW(B$15),0)</f>
        <v>2</v>
      </c>
      <c r="C212" s="7" t="str">
        <f ca="1">OFFSET(ORÇAMENTO!L$15,ROW(C212)-ROW(C$15),0)</f>
        <v>F</v>
      </c>
      <c r="D212" s="118" t="str">
        <f ca="1">OFFSET(ORÇAMENTO!N$15,ROW(D212)-ROW(D$15),0)</f>
        <v>Nível 2</v>
      </c>
      <c r="E212" s="119" t="str">
        <f ca="1">OFFSET(ORÇAMENTO!O$15,ROW(E212)-ROW(E$15),0)</f>
        <v>1.28.</v>
      </c>
      <c r="F212" s="172" t="str">
        <f ca="1">OFFSET(ORÇAMENTO!R$15,ROW(F212)-ROW(F$15),0)</f>
        <v>SISTEMAS DE PISOS - PAVIMENTAÇÃO EXTERNA</v>
      </c>
      <c r="G212" s="173" t="str">
        <f ca="1">IF($D212&lt;&gt;"Serviço","",OFFSET(ORÇAMENTO!S$15,ROW(G212)-ROW(G$15),0))</f>
        <v/>
      </c>
      <c r="H212" s="124">
        <f ca="1">IF($D212&lt;&gt;"Serviço",0,IF(ACOMPANHAMENTO="BM",ROUND(OFFSET(ORÇAMENTO!AJ$15,ROW(H212)-ROW(H$15),0),15-13*ORÇAMENTO!$AF$7),SUMPRODUCT(($Q$12:$AI$12&lt;&gt;"")*ROUND($Q212:$AI212,15-13*ORÇAMENTO!$AF$7))))</f>
        <v>0</v>
      </c>
      <c r="I212" s="561"/>
      <c r="K212" s="174"/>
      <c r="L212" s="175" t="s">
        <v>255</v>
      </c>
      <c r="M212" s="176" t="str">
        <f ca="1">IF($D212&lt;&gt;"Serviço","",IF(AUTOEVENTO="manual",$A212,IF(ISERROR(MATCH($A212,$A$15:OFFSET($A212,-1,0),0)),MAX($M$15:OFFSET(M212,-1,0))+1,INDEX($M$15:OFFSET(M212,-1,0),MATCH($A212,$A$15:OFFSET($A212,-1,0),0)))))</f>
        <v/>
      </c>
      <c r="N212" s="177" t="str">
        <f ca="1">IF($D212&lt;&gt;"Serviço","",IF(AUTOEVENTO="Manual",IF($A212=0,"&lt;-- defina o número do agrupador",OFFSET(EVENTOS!$D$14,$A212,0)),OFFSET($F$15,$A212,0)))</f>
        <v/>
      </c>
      <c r="O212" s="178"/>
      <c r="Q212" s="178">
        <v>0</v>
      </c>
      <c r="R212" s="179"/>
      <c r="S212" s="179"/>
      <c r="T212" s="179"/>
      <c r="U212" s="179"/>
      <c r="V212" s="179"/>
      <c r="W212" s="179"/>
      <c r="X212" s="179"/>
      <c r="Y212" s="179"/>
      <c r="Z212" s="180"/>
      <c r="AA212" s="179"/>
      <c r="AB212" s="179"/>
      <c r="AC212" s="179"/>
      <c r="AD212" s="179"/>
      <c r="AE212" s="179"/>
      <c r="AF212" s="179"/>
      <c r="AG212" s="179"/>
      <c r="AH212" s="180"/>
      <c r="AJ212" s="544">
        <f ca="1">IF(AND($D212="Serviço",AJ$12&lt;&gt;0,$H212&gt;0,OR(AUTOEVENTO&lt;&gt;"manual",$M212&lt;&gt;1)),
IF(Import.TipoArredondamento&lt;&gt;"TransfereGOV",
ROUND(OFFSET($P212,0,AJ$13),15-13*ORÇAMENTO!$AF$7)/$H212*OFFSET(ORÇAMENTO!$X$15,ROW(AJ212)-ROW(AJ$15),0),
ROUND(ROUND(OFFSET($P212,0,AJ$13),15-13*ORÇAMENTO!$AF$7)*OFFSET(ORÇAMENTO!$W$15,ROW(AJ212)-ROW(AJ$15),0),15-13*ORÇAMENTO!$AF$11)),0)</f>
        <v>0</v>
      </c>
      <c r="AK212" s="545">
        <f ca="1">IF(AND($D212="Serviço",AK$12&lt;&gt;0,$H212&gt;0,OR(AUTOEVENTO&lt;&gt;"manual",$M212&lt;&gt;1)),
IF(Import.TipoArredondamento&lt;&gt;"TransfereGOV",
ROUND(OFFSET($P212,0,AK$13),15-13*ORÇAMENTO!$AF$7)/$H212*OFFSET(ORÇAMENTO!$X$15,ROW(AK212)-ROW(AK$15),0),
ROUND(ROUND(OFFSET($P212,0,AK$13),15-13*ORÇAMENTO!$AF$7)*OFFSET(ORÇAMENTO!$W$15,ROW(AK212)-ROW(AK$15),0),15-13*ORÇAMENTO!$AF$11)),0)</f>
        <v>0</v>
      </c>
      <c r="AL212" s="545">
        <f ca="1">IF(AND($D212="Serviço",AL$12&lt;&gt;0,$H212&gt;0,OR(AUTOEVENTO&lt;&gt;"manual",$M212&lt;&gt;1)),
IF(Import.TipoArredondamento&lt;&gt;"TransfereGOV",
ROUND(OFFSET($P212,0,AL$13),15-13*ORÇAMENTO!$AF$7)/$H212*OFFSET(ORÇAMENTO!$X$15,ROW(AL212)-ROW(AL$15),0),
ROUND(ROUND(OFFSET($P212,0,AL$13),15-13*ORÇAMENTO!$AF$7)*OFFSET(ORÇAMENTO!$W$15,ROW(AL212)-ROW(AL$15),0),15-13*ORÇAMENTO!$AF$11)),0)</f>
        <v>0</v>
      </c>
      <c r="AM212" s="545">
        <f ca="1">IF(AND($D212="Serviço",AM$12&lt;&gt;0,$H212&gt;0,OR(AUTOEVENTO&lt;&gt;"manual",$M212&lt;&gt;1)),
IF(Import.TipoArredondamento&lt;&gt;"TransfereGOV",
ROUND(OFFSET($P212,0,AM$13),15-13*ORÇAMENTO!$AF$7)/$H212*OFFSET(ORÇAMENTO!$X$15,ROW(AM212)-ROW(AM$15),0),
ROUND(ROUND(OFFSET($P212,0,AM$13),15-13*ORÇAMENTO!$AF$7)*OFFSET(ORÇAMENTO!$W$15,ROW(AM212)-ROW(AM$15),0),15-13*ORÇAMENTO!$AF$11)),0)</f>
        <v>0</v>
      </c>
      <c r="AN212" s="545">
        <f ca="1">IF(AND($D212="Serviço",AN$12&lt;&gt;0,$H212&gt;0,OR(AUTOEVENTO&lt;&gt;"manual",$M212&lt;&gt;1)),
IF(Import.TipoArredondamento&lt;&gt;"TransfereGOV",
ROUND(OFFSET($P212,0,AN$13),15-13*ORÇAMENTO!$AF$7)/$H212*OFFSET(ORÇAMENTO!$X$15,ROW(AN212)-ROW(AN$15),0),
ROUND(ROUND(OFFSET($P212,0,AN$13),15-13*ORÇAMENTO!$AF$7)*OFFSET(ORÇAMENTO!$W$15,ROW(AN212)-ROW(AN$15),0),15-13*ORÇAMENTO!$AF$11)),0)</f>
        <v>0</v>
      </c>
      <c r="AO212" s="545">
        <f ca="1">IF(AND($D212="Serviço",AO$12&lt;&gt;0,$H212&gt;0,OR(AUTOEVENTO&lt;&gt;"manual",$M212&lt;&gt;1)),
IF(Import.TipoArredondamento&lt;&gt;"TransfereGOV",
ROUND(OFFSET($P212,0,AO$13),15-13*ORÇAMENTO!$AF$7)/$H212*OFFSET(ORÇAMENTO!$X$15,ROW(AO212)-ROW(AO$15),0),
ROUND(ROUND(OFFSET($P212,0,AO$13),15-13*ORÇAMENTO!$AF$7)*OFFSET(ORÇAMENTO!$W$15,ROW(AO212)-ROW(AO$15),0),15-13*ORÇAMENTO!$AF$11)),0)</f>
        <v>0</v>
      </c>
      <c r="AP212" s="545">
        <f ca="1">IF(AND($D212="Serviço",AP$12&lt;&gt;0,$H212&gt;0,OR(AUTOEVENTO&lt;&gt;"manual",$M212&lt;&gt;1)),
IF(Import.TipoArredondamento&lt;&gt;"TransfereGOV",
ROUND(OFFSET($P212,0,AP$13),15-13*ORÇAMENTO!$AF$7)/$H212*OFFSET(ORÇAMENTO!$X$15,ROW(AP212)-ROW(AP$15),0),
ROUND(ROUND(OFFSET($P212,0,AP$13),15-13*ORÇAMENTO!$AF$7)*OFFSET(ORÇAMENTO!$W$15,ROW(AP212)-ROW(AP$15),0),15-13*ORÇAMENTO!$AF$11)),0)</f>
        <v>0</v>
      </c>
      <c r="AQ212" s="545">
        <f ca="1">IF(AND($D212="Serviço",AQ$12&lt;&gt;0,$H212&gt;0,OR(AUTOEVENTO&lt;&gt;"manual",$M212&lt;&gt;1)),
IF(Import.TipoArredondamento&lt;&gt;"TransfereGOV",
ROUND(OFFSET($P212,0,AQ$13),15-13*ORÇAMENTO!$AF$7)/$H212*OFFSET(ORÇAMENTO!$X$15,ROW(AQ212)-ROW(AQ$15),0),
ROUND(ROUND(OFFSET($P212,0,AQ$13),15-13*ORÇAMENTO!$AF$7)*OFFSET(ORÇAMENTO!$W$15,ROW(AQ212)-ROW(AQ$15),0),15-13*ORÇAMENTO!$AF$11)),0)</f>
        <v>0</v>
      </c>
      <c r="AR212" s="545">
        <f ca="1">IF(AND($D212="Serviço",AR$12&lt;&gt;0,$H212&gt;0,OR(AUTOEVENTO&lt;&gt;"manual",$M212&lt;&gt;1)),
IF(Import.TipoArredondamento&lt;&gt;"TransfereGOV",
ROUND(OFFSET($P212,0,AR$13),15-13*ORÇAMENTO!$AF$7)/$H212*OFFSET(ORÇAMENTO!$X$15,ROW(AR212)-ROW(AR$15),0),
ROUND(ROUND(OFFSET($P212,0,AR$13),15-13*ORÇAMENTO!$AF$7)*OFFSET(ORÇAMENTO!$W$15,ROW(AR212)-ROW(AR$15),0),15-13*ORÇAMENTO!$AF$11)),0)</f>
        <v>0</v>
      </c>
      <c r="AS212" s="546">
        <f ca="1">IF(AND($D212="Serviço",AS$12&lt;&gt;0,$H212&gt;0,OR(AUTOEVENTO&lt;&gt;"manual",$M212&lt;&gt;1)),
IF(Import.TipoArredondamento&lt;&gt;"TransfereGOV",
ROUND(OFFSET($P212,0,AS$13),15-13*ORÇAMENTO!$AF$7)/$H212*OFFSET(ORÇAMENTO!$X$15,ROW(AS212)-ROW(AS$15),0),
ROUND(ROUND(OFFSET($P212,0,AS$13),15-13*ORÇAMENTO!$AF$7)*OFFSET(ORÇAMENTO!$W$15,ROW(AS212)-ROW(AS$15),0),15-13*ORÇAMENTO!$AF$11)),0)</f>
        <v>0</v>
      </c>
      <c r="AT212" s="545">
        <f ca="1">IF(AND($D212="Serviço",AT$12&lt;&gt;0,$H212&gt;0,OR(AUTOEVENTO&lt;&gt;"manual",$M212&lt;&gt;1)),
IF(Import.TipoArredondamento&lt;&gt;"TransfereGOV",
ROUND(OFFSET($P212,0,AT$13),15-13*ORÇAMENTO!$AF$7)/$H212*OFFSET(ORÇAMENTO!$X$15,ROW(AT212)-ROW(AT$15),0),
ROUND(ROUND(OFFSET($P212,0,AT$13),15-13*ORÇAMENTO!$AF$7)*OFFSET(ORÇAMENTO!$W$15,ROW(AT212)-ROW(AT$15),0),15-13*ORÇAMENTO!$AF$11)),0)</f>
        <v>0</v>
      </c>
      <c r="AU212" s="545">
        <f ca="1">IF(AND($D212="Serviço",AU$12&lt;&gt;0,$H212&gt;0,OR(AUTOEVENTO&lt;&gt;"manual",$M212&lt;&gt;1)),
IF(Import.TipoArredondamento&lt;&gt;"TransfereGOV",
ROUND(OFFSET($P212,0,AU$13),15-13*ORÇAMENTO!$AF$7)/$H212*OFFSET(ORÇAMENTO!$X$15,ROW(AU212)-ROW(AU$15),0),
ROUND(ROUND(OFFSET($P212,0,AU$13),15-13*ORÇAMENTO!$AF$7)*OFFSET(ORÇAMENTO!$W$15,ROW(AU212)-ROW(AU$15),0),15-13*ORÇAMENTO!$AF$11)),0)</f>
        <v>0</v>
      </c>
      <c r="AV212" s="545">
        <f ca="1">IF(AND($D212="Serviço",AV$12&lt;&gt;0,$H212&gt;0,OR(AUTOEVENTO&lt;&gt;"manual",$M212&lt;&gt;1)),
IF(Import.TipoArredondamento&lt;&gt;"TransfereGOV",
ROUND(OFFSET($P212,0,AV$13),15-13*ORÇAMENTO!$AF$7)/$H212*OFFSET(ORÇAMENTO!$X$15,ROW(AV212)-ROW(AV$15),0),
ROUND(ROUND(OFFSET($P212,0,AV$13),15-13*ORÇAMENTO!$AF$7)*OFFSET(ORÇAMENTO!$W$15,ROW(AV212)-ROW(AV$15),0),15-13*ORÇAMENTO!$AF$11)),0)</f>
        <v>0</v>
      </c>
      <c r="AW212" s="545">
        <f ca="1">IF(AND($D212="Serviço",AW$12&lt;&gt;0,$H212&gt;0,OR(AUTOEVENTO&lt;&gt;"manual",$M212&lt;&gt;1)),
IF(Import.TipoArredondamento&lt;&gt;"TransfereGOV",
ROUND(OFFSET($P212,0,AW$13),15-13*ORÇAMENTO!$AF$7)/$H212*OFFSET(ORÇAMENTO!$X$15,ROW(AW212)-ROW(AW$15),0),
ROUND(ROUND(OFFSET($P212,0,AW$13),15-13*ORÇAMENTO!$AF$7)*OFFSET(ORÇAMENTO!$W$15,ROW(AW212)-ROW(AW$15),0),15-13*ORÇAMENTO!$AF$11)),0)</f>
        <v>0</v>
      </c>
      <c r="AX212" s="545">
        <f ca="1">IF(AND($D212="Serviço",AX$12&lt;&gt;0,$H212&gt;0,OR(AUTOEVENTO&lt;&gt;"manual",$M212&lt;&gt;1)),
IF(Import.TipoArredondamento&lt;&gt;"TransfereGOV",
ROUND(OFFSET($P212,0,AX$13),15-13*ORÇAMENTO!$AF$7)/$H212*OFFSET(ORÇAMENTO!$X$15,ROW(AX212)-ROW(AX$15),0),
ROUND(ROUND(OFFSET($P212,0,AX$13),15-13*ORÇAMENTO!$AF$7)*OFFSET(ORÇAMENTO!$W$15,ROW(AX212)-ROW(AX$15),0),15-13*ORÇAMENTO!$AF$11)),0)</f>
        <v>0</v>
      </c>
      <c r="AY212" s="545">
        <f ca="1">IF(AND($D212="Serviço",AY$12&lt;&gt;0,$H212&gt;0,OR(AUTOEVENTO&lt;&gt;"manual",$M212&lt;&gt;1)),
IF(Import.TipoArredondamento&lt;&gt;"TransfereGOV",
ROUND(OFFSET($P212,0,AY$13),15-13*ORÇAMENTO!$AF$7)/$H212*OFFSET(ORÇAMENTO!$X$15,ROW(AY212)-ROW(AY$15),0),
ROUND(ROUND(OFFSET($P212,0,AY$13),15-13*ORÇAMENTO!$AF$7)*OFFSET(ORÇAMENTO!$W$15,ROW(AY212)-ROW(AY$15),0),15-13*ORÇAMENTO!$AF$11)),0)</f>
        <v>0</v>
      </c>
      <c r="AZ212" s="545">
        <f ca="1">IF(AND($D212="Serviço",AZ$12&lt;&gt;0,$H212&gt;0,OR(AUTOEVENTO&lt;&gt;"manual",$M212&lt;&gt;1)),
IF(Import.TipoArredondamento&lt;&gt;"TransfereGOV",
ROUND(OFFSET($P212,0,AZ$13),15-13*ORÇAMENTO!$AF$7)/$H212*OFFSET(ORÇAMENTO!$X$15,ROW(AZ212)-ROW(AZ$15),0),
ROUND(ROUND(OFFSET($P212,0,AZ$13),15-13*ORÇAMENTO!$AF$7)*OFFSET(ORÇAMENTO!$W$15,ROW(AZ212)-ROW(AZ$15),0),15-13*ORÇAMENTO!$AF$11)),0)</f>
        <v>0</v>
      </c>
      <c r="BA212" s="546">
        <f ca="1">IF(AND($D212="Serviço",BA$12&lt;&gt;0,$H212&gt;0,OR(AUTOEVENTO&lt;&gt;"manual",$M212&lt;&gt;1)),
IF(Import.TipoArredondamento&lt;&gt;"TransfereGOV",
ROUND(OFFSET($P212,0,BA$13),15-13*ORÇAMENTO!$AF$7)/$H212*OFFSET(ORÇAMENTO!$X$15,ROW(BA212)-ROW(BA$15),0),
ROUND(ROUND(OFFSET($P212,0,BA$13),15-13*ORÇAMENTO!$AF$7)*OFFSET(ORÇAMENTO!$W$15,ROW(BA212)-ROW(BA$15),0),15-13*ORÇAMENTO!$AF$11)),0)</f>
        <v>0</v>
      </c>
      <c r="BC212" s="181">
        <f ca="1">IF($D212&lt;&gt;"Serviço",0,IF(AND(AUTOEVENTO="Manual",$M212=1),0,IF(OFFSET(CRONOPLE!$F$14,$M212,BC$13)="",10^12,OFFSET(CRONOPLE!$F$14,$M212,BC$13))))</f>
        <v>0</v>
      </c>
      <c r="BD212" s="181">
        <f ca="1">IF($D212&lt;&gt;"Serviço",0,IF(AND(AUTOEVENTO="Manual",$M212=1),0,IF(OFFSET(CRONOPLE!$F$14,$M212,BD$13)="",10^12,OFFSET(CRONOPLE!$F$14,$M212,BD$13))))</f>
        <v>0</v>
      </c>
      <c r="BE212" s="181">
        <f ca="1">IF($D212&lt;&gt;"Serviço",0,IF(AND(AUTOEVENTO="Manual",$M212=1),0,IF(OFFSET(CRONOPLE!$F$14,$M212,BE$13)="",10^12,OFFSET(CRONOPLE!$F$14,$M212,BE$13))))</f>
        <v>0</v>
      </c>
      <c r="BF212" s="181">
        <f ca="1">IF($D212&lt;&gt;"Serviço",0,IF(AND(AUTOEVENTO="Manual",$M212=1),0,IF(OFFSET(CRONOPLE!$F$14,$M212,BF$13)="",10^12,OFFSET(CRONOPLE!$F$14,$M212,BF$13))))</f>
        <v>0</v>
      </c>
      <c r="BG212" s="181">
        <f ca="1">IF($D212&lt;&gt;"Serviço",0,IF(AND(AUTOEVENTO="Manual",$M212=1),0,IF(OFFSET(CRONOPLE!$F$14,$M212,BG$13)="",10^12,OFFSET(CRONOPLE!$F$14,$M212,BG$13))))</f>
        <v>0</v>
      </c>
      <c r="BH212" s="181">
        <f ca="1">IF($D212&lt;&gt;"Serviço",0,IF(AND(AUTOEVENTO="Manual",$M212=1),0,IF(OFFSET(CRONOPLE!$F$14,$M212,BH$13)="",10^12,OFFSET(CRONOPLE!$F$14,$M212,BH$13))))</f>
        <v>0</v>
      </c>
      <c r="BI212" s="181">
        <f ca="1">IF($D212&lt;&gt;"Serviço",0,IF(AND(AUTOEVENTO="Manual",$M212=1),0,IF(OFFSET(CRONOPLE!$F$14,$M212,BI$13)="",10^12,OFFSET(CRONOPLE!$F$14,$M212,BI$13))))</f>
        <v>0</v>
      </c>
      <c r="BJ212" s="181">
        <f ca="1">IF($D212&lt;&gt;"Serviço",0,IF(AND(AUTOEVENTO="Manual",$M212=1),0,IF(OFFSET(CRONOPLE!$F$14,$M212,BJ$13)="",10^12,OFFSET(CRONOPLE!$F$14,$M212,BJ$13))))</f>
        <v>0</v>
      </c>
      <c r="BK212" s="181">
        <f ca="1">IF($D212&lt;&gt;"Serviço",0,IF(AND(AUTOEVENTO="Manual",$M212=1),0,IF(OFFSET(CRONOPLE!$F$14,$M212,BK$13)="",10^12,OFFSET(CRONOPLE!$F$14,$M212,BK$13))))</f>
        <v>0</v>
      </c>
      <c r="BL212" s="181">
        <f ca="1">IF($D212&lt;&gt;"Serviço",0,IF(AND(AUTOEVENTO="Manual",$M212=1),0,IF(OFFSET(CRONOPLE!$F$14,$M212,BL$13)="",10^12,OFFSET(CRONOPLE!$F$14,$M212,BL$13))))</f>
        <v>0</v>
      </c>
      <c r="BM212" s="181">
        <f ca="1">IF($D212&lt;&gt;"Serviço",0,IF(AND(AUTOEVENTO="Manual",$M212=1),0,IF(OFFSET(CRONOPLE!$F$14,$M212,BM$13)="",10^12,OFFSET(CRONOPLE!$F$14,$M212,BM$13))))</f>
        <v>0</v>
      </c>
      <c r="BN212" s="181">
        <f ca="1">IF($D212&lt;&gt;"Serviço",0,IF(AND(AUTOEVENTO="Manual",$M212=1),0,IF(OFFSET(CRONOPLE!$F$14,$M212,BN$13)="",10^12,OFFSET(CRONOPLE!$F$14,$M212,BN$13))))</f>
        <v>0</v>
      </c>
      <c r="BO212" s="181">
        <f ca="1">IF($D212&lt;&gt;"Serviço",0,IF(AND(AUTOEVENTO="Manual",$M212=1),0,IF(OFFSET(CRONOPLE!$F$14,$M212,BO$13)="",10^12,OFFSET(CRONOPLE!$F$14,$M212,BO$13))))</f>
        <v>0</v>
      </c>
      <c r="BP212" s="181">
        <f ca="1">IF($D212&lt;&gt;"Serviço",0,IF(AND(AUTOEVENTO="Manual",$M212=1),0,IF(OFFSET(CRONOPLE!$F$14,$M212,BP$13)="",10^12,OFFSET(CRONOPLE!$F$14,$M212,BP$13))))</f>
        <v>0</v>
      </c>
      <c r="BQ212" s="181">
        <f ca="1">IF($D212&lt;&gt;"Serviço",0,IF(AND(AUTOEVENTO="Manual",$M212=1),0,IF(OFFSET(CRONOPLE!$F$14,$M212,BQ$13)="",10^12,OFFSET(CRONOPLE!$F$14,$M212,BQ$13))))</f>
        <v>0</v>
      </c>
      <c r="BR212" s="181">
        <f ca="1">IF($D212&lt;&gt;"Serviço",0,IF(AND(AUTOEVENTO="Manual",$M212=1),0,IF(OFFSET(CRONOPLE!$F$14,$M212,BR$13)="",10^12,OFFSET(CRONOPLE!$F$14,$M212,BR$13))))</f>
        <v>0</v>
      </c>
      <c r="BS212" s="181">
        <f ca="1">IF($D212&lt;&gt;"Serviço",0,IF(AND(AUTOEVENTO="Manual",$M212=1),0,IF(OFFSET(CRONOPLE!$F$14,$M212,BS$13)="",10^12,OFFSET(CRONOPLE!$F$14,$M212,BS$13))))</f>
        <v>0</v>
      </c>
      <c r="BT212" s="181">
        <f ca="1">IF($D212&lt;&gt;"Serviço",0,IF(AND(AUTOEVENTO="Manual",$M212=1),0,IF(OFFSET(CRONOPLE!$F$14,$M212,BT$13)="",10^12,OFFSET(CRONOPLE!$F$14,$M212,BT$13))))</f>
        <v>0</v>
      </c>
      <c r="BV212" s="182">
        <f ca="1">IF($D212&lt;&gt;"Serviço",0,IF(OR(AND(AUTOEVENTO="Manual",$M212=1),$M212&gt;(ROW(PLE.lastrow)-ROW(PLE.firstrow))),0,IF(OFFSET(PLE!$G$14,$M212,BV$13)="",10^12,OFFSET(PLE!$G$14,$M212,BV$13))))</f>
        <v>0</v>
      </c>
      <c r="BW212" s="182">
        <f ca="1">IF($D212&lt;&gt;"Serviço",0,IF(OR(AND(AUTOEVENTO="Manual",$M212=1),$M212&gt;(ROW(PLE.lastrow)-ROW(PLE.firstrow))),0,IF(OFFSET(PLE!$G$14,$M212,BW$13)="",10^12,OFFSET(PLE!$G$14,$M212,BW$13))))</f>
        <v>0</v>
      </c>
      <c r="BX212" s="182">
        <f ca="1">IF($D212&lt;&gt;"Serviço",0,IF(OR(AND(AUTOEVENTO="Manual",$M212=1),$M212&gt;(ROW(PLE.lastrow)-ROW(PLE.firstrow))),0,IF(OFFSET(PLE!$G$14,$M212,BX$13)="",10^12,OFFSET(PLE!$G$14,$M212,BX$13))))</f>
        <v>0</v>
      </c>
      <c r="BY212" s="182">
        <f ca="1">IF($D212&lt;&gt;"Serviço",0,IF(OR(AND(AUTOEVENTO="Manual",$M212=1),$M212&gt;(ROW(PLE.lastrow)-ROW(PLE.firstrow))),0,IF(OFFSET(PLE!$G$14,$M212,BY$13)="",10^12,OFFSET(PLE!$G$14,$M212,BY$13))))</f>
        <v>0</v>
      </c>
      <c r="BZ212" s="182">
        <f ca="1">IF($D212&lt;&gt;"Serviço",0,IF(OR(AND(AUTOEVENTO="Manual",$M212=1),$M212&gt;(ROW(PLE.lastrow)-ROW(PLE.firstrow))),0,IF(OFFSET(PLE!$G$14,$M212,BZ$13)="",10^12,OFFSET(PLE!$G$14,$M212,BZ$13))))</f>
        <v>0</v>
      </c>
      <c r="CA212" s="182">
        <f ca="1">IF($D212&lt;&gt;"Serviço",0,IF(OR(AND(AUTOEVENTO="Manual",$M212=1),$M212&gt;(ROW(PLE.lastrow)-ROW(PLE.firstrow))),0,IF(OFFSET(PLE!$G$14,$M212,CA$13)="",10^12,OFFSET(PLE!$G$14,$M212,CA$13))))</f>
        <v>0</v>
      </c>
      <c r="CB212" s="182">
        <f ca="1">IF($D212&lt;&gt;"Serviço",0,IF(OR(AND(AUTOEVENTO="Manual",$M212=1),$M212&gt;(ROW(PLE.lastrow)-ROW(PLE.firstrow))),0,IF(OFFSET(PLE!$G$14,$M212,CB$13)="",10^12,OFFSET(PLE!$G$14,$M212,CB$13))))</f>
        <v>0</v>
      </c>
      <c r="CC212" s="182">
        <f ca="1">IF($D212&lt;&gt;"Serviço",0,IF(OR(AND(AUTOEVENTO="Manual",$M212=1),$M212&gt;(ROW(PLE.lastrow)-ROW(PLE.firstrow))),0,IF(OFFSET(PLE!$G$14,$M212,CC$13)="",10^12,OFFSET(PLE!$G$14,$M212,CC$13))))</f>
        <v>0</v>
      </c>
      <c r="CD212" s="182">
        <f ca="1">IF($D212&lt;&gt;"Serviço",0,IF(OR(AND(AUTOEVENTO="Manual",$M212=1),$M212&gt;(ROW(PLE.lastrow)-ROW(PLE.firstrow))),0,IF(OFFSET(PLE!$G$14,$M212,CD$13)="",10^12,OFFSET(PLE!$G$14,$M212,CD$13))))</f>
        <v>0</v>
      </c>
      <c r="CE212" s="182">
        <f ca="1">IF($D212&lt;&gt;"Serviço",0,IF(OR(AND(AUTOEVENTO="Manual",$M212=1),$M212&gt;(ROW(PLE.lastrow)-ROW(PLE.firstrow))),0,IF(OFFSET(PLE!$G$14,$M212,CE$13)="",10^12,OFFSET(PLE!$G$14,$M212,CE$13))))</f>
        <v>0</v>
      </c>
      <c r="CF212" s="182">
        <f ca="1">IF($D212&lt;&gt;"Serviço",0,IF(OR(AND(AUTOEVENTO="Manual",$M212=1),$M212&gt;(ROW(PLE.lastrow)-ROW(PLE.firstrow))),0,IF(OFFSET(PLE!$G$14,$M212,CF$13)="",10^12,OFFSET(PLE!$G$14,$M212,CF$13))))</f>
        <v>0</v>
      </c>
      <c r="CG212" s="182">
        <f ca="1">IF($D212&lt;&gt;"Serviço",0,IF(OR(AND(AUTOEVENTO="Manual",$M212=1),$M212&gt;(ROW(PLE.lastrow)-ROW(PLE.firstrow))),0,IF(OFFSET(PLE!$G$14,$M212,CG$13)="",10^12,OFFSET(PLE!$G$14,$M212,CG$13))))</f>
        <v>0</v>
      </c>
      <c r="CH212" s="182">
        <f ca="1">IF($D212&lt;&gt;"Serviço",0,IF(OR(AND(AUTOEVENTO="Manual",$M212=1),$M212&gt;(ROW(PLE.lastrow)-ROW(PLE.firstrow))),0,IF(OFFSET(PLE!$G$14,$M212,CH$13)="",10^12,OFFSET(PLE!$G$14,$M212,CH$13))))</f>
        <v>0</v>
      </c>
      <c r="CI212" s="182">
        <f ca="1">IF($D212&lt;&gt;"Serviço",0,IF(OR(AND(AUTOEVENTO="Manual",$M212=1),$M212&gt;(ROW(PLE.lastrow)-ROW(PLE.firstrow))),0,IF(OFFSET(PLE!$G$14,$M212,CI$13)="",10^12,OFFSET(PLE!$G$14,$M212,CI$13))))</f>
        <v>0</v>
      </c>
      <c r="CJ212" s="182">
        <f ca="1">IF($D212&lt;&gt;"Serviço",0,IF(OR(AND(AUTOEVENTO="Manual",$M212=1),$M212&gt;(ROW(PLE.lastrow)-ROW(PLE.firstrow))),0,IF(OFFSET(PLE!$G$14,$M212,CJ$13)="",10^12,OFFSET(PLE!$G$14,$M212,CJ$13))))</f>
        <v>0</v>
      </c>
      <c r="CK212" s="182">
        <f ca="1">IF($D212&lt;&gt;"Serviço",0,IF(OR(AND(AUTOEVENTO="Manual",$M212=1),$M212&gt;(ROW(PLE.lastrow)-ROW(PLE.firstrow))),0,IF(OFFSET(PLE!$G$14,$M212,CK$13)="",10^12,OFFSET(PLE!$G$14,$M212,CK$13))))</f>
        <v>0</v>
      </c>
      <c r="CL212" s="182">
        <f ca="1">IF($D212&lt;&gt;"Serviço",0,IF(OR(AND(AUTOEVENTO="Manual",$M212=1),$M212&gt;(ROW(PLE.lastrow)-ROW(PLE.firstrow))),0,IF(OFFSET(PLE!$G$14,$M212,CL$13)="",10^12,OFFSET(PLE!$G$14,$M212,CL$13))))</f>
        <v>0</v>
      </c>
      <c r="CM212" s="182">
        <f ca="1">IF($D212&lt;&gt;"Serviço",0,IF(OR(AND(AUTOEVENTO="Manual",$M212=1),$M212&gt;(ROW(PLE.lastrow)-ROW(PLE.firstrow))),0,IF(OFFSET(PLE!$G$14,$M212,CM$13)="",10^12,OFFSET(PLE!$G$14,$M212,CM$13))))</f>
        <v>0</v>
      </c>
    </row>
    <row r="213" spans="1:91" ht="38.25" x14ac:dyDescent="0.2">
      <c r="A213" s="7" t="str">
        <f t="shared" ca="1" si="12"/>
        <v>197</v>
      </c>
      <c r="B213" s="7" t="str">
        <f ca="1">OFFSET(ORÇAMENTO!C$15,ROW(B213)-ROW(B$15),0)</f>
        <v>S</v>
      </c>
      <c r="C213" s="7" t="str">
        <f ca="1">OFFSET(ORÇAMENTO!L$15,ROW(C213)-ROW(C$15),0)</f>
        <v/>
      </c>
      <c r="D213" s="118" t="str">
        <f ca="1">OFFSET(ORÇAMENTO!N$15,ROW(D213)-ROW(D$15),0)</f>
        <v>Serviço</v>
      </c>
      <c r="E213" s="119" t="str">
        <f ca="1">OFFSET(ORÇAMENTO!O$15,ROW(E213)-ROW(E$15),0)</f>
        <v>-</v>
      </c>
      <c r="F213" s="172" t="str">
        <f ca="1">OFFSET(ORÇAMENTO!R$15,ROW(F213)-ROW(F$15),0)</f>
        <v>(abra o arquivo 'Referência 06-2024.xlsm)</v>
      </c>
      <c r="G213" s="173" t="str">
        <f ca="1">IF($D213&lt;&gt;"Serviço","",OFFSET(ORÇAMENTO!S$15,ROW(G213)-ROW(G$15),0))</f>
        <v>-</v>
      </c>
      <c r="H213" s="124">
        <f ca="1">IF($D213&lt;&gt;"Serviço",0,IF(ACOMPANHAMENTO="BM",ROUND(OFFSET(ORÇAMENTO!AJ$15,ROW(H213)-ROW(H$15),0),15-13*ORÇAMENTO!$AF$7),SUMPRODUCT(($Q$12:$AI$12&lt;&gt;"")*ROUND($Q213:$AI213,15-13*ORÇAMENTO!$AF$7))))</f>
        <v>490.26</v>
      </c>
      <c r="I213" s="561" t="s">
        <v>1107</v>
      </c>
      <c r="K213" s="174"/>
      <c r="L213" s="175" t="s">
        <v>255</v>
      </c>
      <c r="M213" s="176">
        <f ca="1">IF($D213&lt;&gt;"Serviço","",IF(AUTOEVENTO="manual",$A213,IF(ISERROR(MATCH($A213,$A$15:OFFSET($A213,-1,0),0)),MAX($M$15:OFFSET(M213,-1,0))+1,INDEX($M$15:OFFSET(M213,-1,0),MATCH($A213,$A$15:OFFSET($A213,-1,0),0)))))</f>
        <v>29</v>
      </c>
      <c r="N213" s="177" t="str">
        <f ca="1">IF($D213&lt;&gt;"Serviço","",IF(AUTOEVENTO="Manual",IF($A213=0,"&lt;-- defina o número do agrupador",OFFSET(EVENTOS!$D$14,$A213,0)),OFFSET($F$15,$A213,0)))</f>
        <v>SISTEMAS DE PISOS - PAVIMENTAÇÃO EXTERNA</v>
      </c>
      <c r="O213" s="178"/>
      <c r="Q213" s="178">
        <v>490.26</v>
      </c>
      <c r="R213" s="179"/>
      <c r="S213" s="179"/>
      <c r="T213" s="179"/>
      <c r="U213" s="179"/>
      <c r="V213" s="179"/>
      <c r="W213" s="179"/>
      <c r="X213" s="179"/>
      <c r="Y213" s="179"/>
      <c r="Z213" s="180"/>
      <c r="AA213" s="179"/>
      <c r="AB213" s="179"/>
      <c r="AC213" s="179"/>
      <c r="AD213" s="179"/>
      <c r="AE213" s="179"/>
      <c r="AF213" s="179"/>
      <c r="AG213" s="179"/>
      <c r="AH213" s="180"/>
      <c r="AJ213" s="544">
        <f ca="1">IF(AND($D213="Serviço",AJ$12&lt;&gt;0,$H213&gt;0,OR(AUTOEVENTO&lt;&gt;"manual",$M213&lt;&gt;1)),
IF(Import.TipoArredondamento&lt;&gt;"TransfereGOV",
ROUND(OFFSET($P213,0,AJ$13),15-13*ORÇAMENTO!$AF$7)/$H213*OFFSET(ORÇAMENTO!$X$15,ROW(AJ213)-ROW(AJ$15),0),
ROUND(ROUND(OFFSET($P213,0,AJ$13),15-13*ORÇAMENTO!$AF$7)*OFFSET(ORÇAMENTO!$W$15,ROW(AJ213)-ROW(AJ$15),0),15-13*ORÇAMENTO!$AF$11)),0)</f>
        <v>0</v>
      </c>
      <c r="AK213" s="545">
        <f ca="1">IF(AND($D213="Serviço",AK$12&lt;&gt;0,$H213&gt;0,OR(AUTOEVENTO&lt;&gt;"manual",$M213&lt;&gt;1)),
IF(Import.TipoArredondamento&lt;&gt;"TransfereGOV",
ROUND(OFFSET($P213,0,AK$13),15-13*ORÇAMENTO!$AF$7)/$H213*OFFSET(ORÇAMENTO!$X$15,ROW(AK213)-ROW(AK$15),0),
ROUND(ROUND(OFFSET($P213,0,AK$13),15-13*ORÇAMENTO!$AF$7)*OFFSET(ORÇAMENTO!$W$15,ROW(AK213)-ROW(AK$15),0),15-13*ORÇAMENTO!$AF$11)),0)</f>
        <v>0</v>
      </c>
      <c r="AL213" s="545">
        <f ca="1">IF(AND($D213="Serviço",AL$12&lt;&gt;0,$H213&gt;0,OR(AUTOEVENTO&lt;&gt;"manual",$M213&lt;&gt;1)),
IF(Import.TipoArredondamento&lt;&gt;"TransfereGOV",
ROUND(OFFSET($P213,0,AL$13),15-13*ORÇAMENTO!$AF$7)/$H213*OFFSET(ORÇAMENTO!$X$15,ROW(AL213)-ROW(AL$15),0),
ROUND(ROUND(OFFSET($P213,0,AL$13),15-13*ORÇAMENTO!$AF$7)*OFFSET(ORÇAMENTO!$W$15,ROW(AL213)-ROW(AL$15),0),15-13*ORÇAMENTO!$AF$11)),0)</f>
        <v>0</v>
      </c>
      <c r="AM213" s="545">
        <f ca="1">IF(AND($D213="Serviço",AM$12&lt;&gt;0,$H213&gt;0,OR(AUTOEVENTO&lt;&gt;"manual",$M213&lt;&gt;1)),
IF(Import.TipoArredondamento&lt;&gt;"TransfereGOV",
ROUND(OFFSET($P213,0,AM$13),15-13*ORÇAMENTO!$AF$7)/$H213*OFFSET(ORÇAMENTO!$X$15,ROW(AM213)-ROW(AM$15),0),
ROUND(ROUND(OFFSET($P213,0,AM$13),15-13*ORÇAMENTO!$AF$7)*OFFSET(ORÇAMENTO!$W$15,ROW(AM213)-ROW(AM$15),0),15-13*ORÇAMENTO!$AF$11)),0)</f>
        <v>0</v>
      </c>
      <c r="AN213" s="545">
        <f ca="1">IF(AND($D213="Serviço",AN$12&lt;&gt;0,$H213&gt;0,OR(AUTOEVENTO&lt;&gt;"manual",$M213&lt;&gt;1)),
IF(Import.TipoArredondamento&lt;&gt;"TransfereGOV",
ROUND(OFFSET($P213,0,AN$13),15-13*ORÇAMENTO!$AF$7)/$H213*OFFSET(ORÇAMENTO!$X$15,ROW(AN213)-ROW(AN$15),0),
ROUND(ROUND(OFFSET($P213,0,AN$13),15-13*ORÇAMENTO!$AF$7)*OFFSET(ORÇAMENTO!$W$15,ROW(AN213)-ROW(AN$15),0),15-13*ORÇAMENTO!$AF$11)),0)</f>
        <v>0</v>
      </c>
      <c r="AO213" s="545">
        <f ca="1">IF(AND($D213="Serviço",AO$12&lt;&gt;0,$H213&gt;0,OR(AUTOEVENTO&lt;&gt;"manual",$M213&lt;&gt;1)),
IF(Import.TipoArredondamento&lt;&gt;"TransfereGOV",
ROUND(OFFSET($P213,0,AO$13),15-13*ORÇAMENTO!$AF$7)/$H213*OFFSET(ORÇAMENTO!$X$15,ROW(AO213)-ROW(AO$15),0),
ROUND(ROUND(OFFSET($P213,0,AO$13),15-13*ORÇAMENTO!$AF$7)*OFFSET(ORÇAMENTO!$W$15,ROW(AO213)-ROW(AO$15),0),15-13*ORÇAMENTO!$AF$11)),0)</f>
        <v>0</v>
      </c>
      <c r="AP213" s="545">
        <f ca="1">IF(AND($D213="Serviço",AP$12&lt;&gt;0,$H213&gt;0,OR(AUTOEVENTO&lt;&gt;"manual",$M213&lt;&gt;1)),
IF(Import.TipoArredondamento&lt;&gt;"TransfereGOV",
ROUND(OFFSET($P213,0,AP$13),15-13*ORÇAMENTO!$AF$7)/$H213*OFFSET(ORÇAMENTO!$X$15,ROW(AP213)-ROW(AP$15),0),
ROUND(ROUND(OFFSET($P213,0,AP$13),15-13*ORÇAMENTO!$AF$7)*OFFSET(ORÇAMENTO!$W$15,ROW(AP213)-ROW(AP$15),0),15-13*ORÇAMENTO!$AF$11)),0)</f>
        <v>0</v>
      </c>
      <c r="AQ213" s="545">
        <f ca="1">IF(AND($D213="Serviço",AQ$12&lt;&gt;0,$H213&gt;0,OR(AUTOEVENTO&lt;&gt;"manual",$M213&lt;&gt;1)),
IF(Import.TipoArredondamento&lt;&gt;"TransfereGOV",
ROUND(OFFSET($P213,0,AQ$13),15-13*ORÇAMENTO!$AF$7)/$H213*OFFSET(ORÇAMENTO!$X$15,ROW(AQ213)-ROW(AQ$15),0),
ROUND(ROUND(OFFSET($P213,0,AQ$13),15-13*ORÇAMENTO!$AF$7)*OFFSET(ORÇAMENTO!$W$15,ROW(AQ213)-ROW(AQ$15),0),15-13*ORÇAMENTO!$AF$11)),0)</f>
        <v>0</v>
      </c>
      <c r="AR213" s="545">
        <f ca="1">IF(AND($D213="Serviço",AR$12&lt;&gt;0,$H213&gt;0,OR(AUTOEVENTO&lt;&gt;"manual",$M213&lt;&gt;1)),
IF(Import.TipoArredondamento&lt;&gt;"TransfereGOV",
ROUND(OFFSET($P213,0,AR$13),15-13*ORÇAMENTO!$AF$7)/$H213*OFFSET(ORÇAMENTO!$X$15,ROW(AR213)-ROW(AR$15),0),
ROUND(ROUND(OFFSET($P213,0,AR$13),15-13*ORÇAMENTO!$AF$7)*OFFSET(ORÇAMENTO!$W$15,ROW(AR213)-ROW(AR$15),0),15-13*ORÇAMENTO!$AF$11)),0)</f>
        <v>0</v>
      </c>
      <c r="AS213" s="546">
        <f ca="1">IF(AND($D213="Serviço",AS$12&lt;&gt;0,$H213&gt;0,OR(AUTOEVENTO&lt;&gt;"manual",$M213&lt;&gt;1)),
IF(Import.TipoArredondamento&lt;&gt;"TransfereGOV",
ROUND(OFFSET($P213,0,AS$13),15-13*ORÇAMENTO!$AF$7)/$H213*OFFSET(ORÇAMENTO!$X$15,ROW(AS213)-ROW(AS$15),0),
ROUND(ROUND(OFFSET($P213,0,AS$13),15-13*ORÇAMENTO!$AF$7)*OFFSET(ORÇAMENTO!$W$15,ROW(AS213)-ROW(AS$15),0),15-13*ORÇAMENTO!$AF$11)),0)</f>
        <v>0</v>
      </c>
      <c r="AT213" s="545">
        <f ca="1">IF(AND($D213="Serviço",AT$12&lt;&gt;0,$H213&gt;0,OR(AUTOEVENTO&lt;&gt;"manual",$M213&lt;&gt;1)),
IF(Import.TipoArredondamento&lt;&gt;"TransfereGOV",
ROUND(OFFSET($P213,0,AT$13),15-13*ORÇAMENTO!$AF$7)/$H213*OFFSET(ORÇAMENTO!$X$15,ROW(AT213)-ROW(AT$15),0),
ROUND(ROUND(OFFSET($P213,0,AT$13),15-13*ORÇAMENTO!$AF$7)*OFFSET(ORÇAMENTO!$W$15,ROW(AT213)-ROW(AT$15),0),15-13*ORÇAMENTO!$AF$11)),0)</f>
        <v>0</v>
      </c>
      <c r="AU213" s="545">
        <f ca="1">IF(AND($D213="Serviço",AU$12&lt;&gt;0,$H213&gt;0,OR(AUTOEVENTO&lt;&gt;"manual",$M213&lt;&gt;1)),
IF(Import.TipoArredondamento&lt;&gt;"TransfereGOV",
ROUND(OFFSET($P213,0,AU$13),15-13*ORÇAMENTO!$AF$7)/$H213*OFFSET(ORÇAMENTO!$X$15,ROW(AU213)-ROW(AU$15),0),
ROUND(ROUND(OFFSET($P213,0,AU$13),15-13*ORÇAMENTO!$AF$7)*OFFSET(ORÇAMENTO!$W$15,ROW(AU213)-ROW(AU$15),0),15-13*ORÇAMENTO!$AF$11)),0)</f>
        <v>0</v>
      </c>
      <c r="AV213" s="545">
        <f ca="1">IF(AND($D213="Serviço",AV$12&lt;&gt;0,$H213&gt;0,OR(AUTOEVENTO&lt;&gt;"manual",$M213&lt;&gt;1)),
IF(Import.TipoArredondamento&lt;&gt;"TransfereGOV",
ROUND(OFFSET($P213,0,AV$13),15-13*ORÇAMENTO!$AF$7)/$H213*OFFSET(ORÇAMENTO!$X$15,ROW(AV213)-ROW(AV$15),0),
ROUND(ROUND(OFFSET($P213,0,AV$13),15-13*ORÇAMENTO!$AF$7)*OFFSET(ORÇAMENTO!$W$15,ROW(AV213)-ROW(AV$15),0),15-13*ORÇAMENTO!$AF$11)),0)</f>
        <v>0</v>
      </c>
      <c r="AW213" s="545">
        <f ca="1">IF(AND($D213="Serviço",AW$12&lt;&gt;0,$H213&gt;0,OR(AUTOEVENTO&lt;&gt;"manual",$M213&lt;&gt;1)),
IF(Import.TipoArredondamento&lt;&gt;"TransfereGOV",
ROUND(OFFSET($P213,0,AW$13),15-13*ORÇAMENTO!$AF$7)/$H213*OFFSET(ORÇAMENTO!$X$15,ROW(AW213)-ROW(AW$15),0),
ROUND(ROUND(OFFSET($P213,0,AW$13),15-13*ORÇAMENTO!$AF$7)*OFFSET(ORÇAMENTO!$W$15,ROW(AW213)-ROW(AW$15),0),15-13*ORÇAMENTO!$AF$11)),0)</f>
        <v>0</v>
      </c>
      <c r="AX213" s="545">
        <f ca="1">IF(AND($D213="Serviço",AX$12&lt;&gt;0,$H213&gt;0,OR(AUTOEVENTO&lt;&gt;"manual",$M213&lt;&gt;1)),
IF(Import.TipoArredondamento&lt;&gt;"TransfereGOV",
ROUND(OFFSET($P213,0,AX$13),15-13*ORÇAMENTO!$AF$7)/$H213*OFFSET(ORÇAMENTO!$X$15,ROW(AX213)-ROW(AX$15),0),
ROUND(ROUND(OFFSET($P213,0,AX$13),15-13*ORÇAMENTO!$AF$7)*OFFSET(ORÇAMENTO!$W$15,ROW(AX213)-ROW(AX$15),0),15-13*ORÇAMENTO!$AF$11)),0)</f>
        <v>0</v>
      </c>
      <c r="AY213" s="545">
        <f ca="1">IF(AND($D213="Serviço",AY$12&lt;&gt;0,$H213&gt;0,OR(AUTOEVENTO&lt;&gt;"manual",$M213&lt;&gt;1)),
IF(Import.TipoArredondamento&lt;&gt;"TransfereGOV",
ROUND(OFFSET($P213,0,AY$13),15-13*ORÇAMENTO!$AF$7)/$H213*OFFSET(ORÇAMENTO!$X$15,ROW(AY213)-ROW(AY$15),0),
ROUND(ROUND(OFFSET($P213,0,AY$13),15-13*ORÇAMENTO!$AF$7)*OFFSET(ORÇAMENTO!$W$15,ROW(AY213)-ROW(AY$15),0),15-13*ORÇAMENTO!$AF$11)),0)</f>
        <v>0</v>
      </c>
      <c r="AZ213" s="545">
        <f ca="1">IF(AND($D213="Serviço",AZ$12&lt;&gt;0,$H213&gt;0,OR(AUTOEVENTO&lt;&gt;"manual",$M213&lt;&gt;1)),
IF(Import.TipoArredondamento&lt;&gt;"TransfereGOV",
ROUND(OFFSET($P213,0,AZ$13),15-13*ORÇAMENTO!$AF$7)/$H213*OFFSET(ORÇAMENTO!$X$15,ROW(AZ213)-ROW(AZ$15),0),
ROUND(ROUND(OFFSET($P213,0,AZ$13),15-13*ORÇAMENTO!$AF$7)*OFFSET(ORÇAMENTO!$W$15,ROW(AZ213)-ROW(AZ$15),0),15-13*ORÇAMENTO!$AF$11)),0)</f>
        <v>0</v>
      </c>
      <c r="BA213" s="546">
        <f ca="1">IF(AND($D213="Serviço",BA$12&lt;&gt;0,$H213&gt;0,OR(AUTOEVENTO&lt;&gt;"manual",$M213&lt;&gt;1)),
IF(Import.TipoArredondamento&lt;&gt;"TransfereGOV",
ROUND(OFFSET($P213,0,BA$13),15-13*ORÇAMENTO!$AF$7)/$H213*OFFSET(ORÇAMENTO!$X$15,ROW(BA213)-ROW(BA$15),0),
ROUND(ROUND(OFFSET($P213,0,BA$13),15-13*ORÇAMENTO!$AF$7)*OFFSET(ORÇAMENTO!$W$15,ROW(BA213)-ROW(BA$15),0),15-13*ORÇAMENTO!$AF$11)),0)</f>
        <v>0</v>
      </c>
      <c r="BC213" s="181">
        <f ca="1">IF($D213&lt;&gt;"Serviço",0,IF(AND(AUTOEVENTO="Manual",$M213=1),0,IF(OFFSET(CRONOPLE!$F$14,$M213,BC$13)="",10^12,OFFSET(CRONOPLE!$F$14,$M213,BC$13))))</f>
        <v>8</v>
      </c>
      <c r="BD213" s="181">
        <f ca="1">IF($D213&lt;&gt;"Serviço",0,IF(AND(AUTOEVENTO="Manual",$M213=1),0,IF(OFFSET(CRONOPLE!$F$14,$M213,BD$13)="",10^12,OFFSET(CRONOPLE!$F$14,$M213,BD$13))))</f>
        <v>1000000000000</v>
      </c>
      <c r="BE213" s="181">
        <f ca="1">IF($D213&lt;&gt;"Serviço",0,IF(AND(AUTOEVENTO="Manual",$M213=1),0,IF(OFFSET(CRONOPLE!$F$14,$M213,BE$13)="",10^12,OFFSET(CRONOPLE!$F$14,$M213,BE$13))))</f>
        <v>1000000000000</v>
      </c>
      <c r="BF213" s="181">
        <f ca="1">IF($D213&lt;&gt;"Serviço",0,IF(AND(AUTOEVENTO="Manual",$M213=1),0,IF(OFFSET(CRONOPLE!$F$14,$M213,BF$13)="",10^12,OFFSET(CRONOPLE!$F$14,$M213,BF$13))))</f>
        <v>1000000000000</v>
      </c>
      <c r="BG213" s="181">
        <f ca="1">IF($D213&lt;&gt;"Serviço",0,IF(AND(AUTOEVENTO="Manual",$M213=1),0,IF(OFFSET(CRONOPLE!$F$14,$M213,BG$13)="",10^12,OFFSET(CRONOPLE!$F$14,$M213,BG$13))))</f>
        <v>1000000000000</v>
      </c>
      <c r="BH213" s="181">
        <f ca="1">IF($D213&lt;&gt;"Serviço",0,IF(AND(AUTOEVENTO="Manual",$M213=1),0,IF(OFFSET(CRONOPLE!$F$14,$M213,BH$13)="",10^12,OFFSET(CRONOPLE!$F$14,$M213,BH$13))))</f>
        <v>1000000000000</v>
      </c>
      <c r="BI213" s="181">
        <f ca="1">IF($D213&lt;&gt;"Serviço",0,IF(AND(AUTOEVENTO="Manual",$M213=1),0,IF(OFFSET(CRONOPLE!$F$14,$M213,BI$13)="",10^12,OFFSET(CRONOPLE!$F$14,$M213,BI$13))))</f>
        <v>1000000000000</v>
      </c>
      <c r="BJ213" s="181">
        <f ca="1">IF($D213&lt;&gt;"Serviço",0,IF(AND(AUTOEVENTO="Manual",$M213=1),0,IF(OFFSET(CRONOPLE!$F$14,$M213,BJ$13)="",10^12,OFFSET(CRONOPLE!$F$14,$M213,BJ$13))))</f>
        <v>1000000000000</v>
      </c>
      <c r="BK213" s="181">
        <f ca="1">IF($D213&lt;&gt;"Serviço",0,IF(AND(AUTOEVENTO="Manual",$M213=1),0,IF(OFFSET(CRONOPLE!$F$14,$M213,BK$13)="",10^12,OFFSET(CRONOPLE!$F$14,$M213,BK$13))))</f>
        <v>1000000000000</v>
      </c>
      <c r="BL213" s="181">
        <f ca="1">IF($D213&lt;&gt;"Serviço",0,IF(AND(AUTOEVENTO="Manual",$M213=1),0,IF(OFFSET(CRONOPLE!$F$14,$M213,BL$13)="",10^12,OFFSET(CRONOPLE!$F$14,$M213,BL$13))))</f>
        <v>1000000000000</v>
      </c>
      <c r="BM213" s="181">
        <f ca="1">IF($D213&lt;&gt;"Serviço",0,IF(AND(AUTOEVENTO="Manual",$M213=1),0,IF(OFFSET(CRONOPLE!$F$14,$M213,BM$13)="",10^12,OFFSET(CRONOPLE!$F$14,$M213,BM$13))))</f>
        <v>1000000000000</v>
      </c>
      <c r="BN213" s="181">
        <f ca="1">IF($D213&lt;&gt;"Serviço",0,IF(AND(AUTOEVENTO="Manual",$M213=1),0,IF(OFFSET(CRONOPLE!$F$14,$M213,BN$13)="",10^12,OFFSET(CRONOPLE!$F$14,$M213,BN$13))))</f>
        <v>1000000000000</v>
      </c>
      <c r="BO213" s="181">
        <f ca="1">IF($D213&lt;&gt;"Serviço",0,IF(AND(AUTOEVENTO="Manual",$M213=1),0,IF(OFFSET(CRONOPLE!$F$14,$M213,BO$13)="",10^12,OFFSET(CRONOPLE!$F$14,$M213,BO$13))))</f>
        <v>1000000000000</v>
      </c>
      <c r="BP213" s="181">
        <f ca="1">IF($D213&lt;&gt;"Serviço",0,IF(AND(AUTOEVENTO="Manual",$M213=1),0,IF(OFFSET(CRONOPLE!$F$14,$M213,BP$13)="",10^12,OFFSET(CRONOPLE!$F$14,$M213,BP$13))))</f>
        <v>1000000000000</v>
      </c>
      <c r="BQ213" s="181">
        <f ca="1">IF($D213&lt;&gt;"Serviço",0,IF(AND(AUTOEVENTO="Manual",$M213=1),0,IF(OFFSET(CRONOPLE!$F$14,$M213,BQ$13)="",10^12,OFFSET(CRONOPLE!$F$14,$M213,BQ$13))))</f>
        <v>1000000000000</v>
      </c>
      <c r="BR213" s="181">
        <f ca="1">IF($D213&lt;&gt;"Serviço",0,IF(AND(AUTOEVENTO="Manual",$M213=1),0,IF(OFFSET(CRONOPLE!$F$14,$M213,BR$13)="",10^12,OFFSET(CRONOPLE!$F$14,$M213,BR$13))))</f>
        <v>1000000000000</v>
      </c>
      <c r="BS213" s="181">
        <f ca="1">IF($D213&lt;&gt;"Serviço",0,IF(AND(AUTOEVENTO="Manual",$M213=1),0,IF(OFFSET(CRONOPLE!$F$14,$M213,BS$13)="",10^12,OFFSET(CRONOPLE!$F$14,$M213,BS$13))))</f>
        <v>1000000000000</v>
      </c>
      <c r="BT213" s="181">
        <f ca="1">IF($D213&lt;&gt;"Serviço",0,IF(AND(AUTOEVENTO="Manual",$M213=1),0,IF(OFFSET(CRONOPLE!$F$14,$M213,BT$13)="",10^12,OFFSET(CRONOPLE!$F$14,$M213,BT$13))))</f>
        <v>1000000000000</v>
      </c>
      <c r="BV213" s="182">
        <f ca="1">IF($D213&lt;&gt;"Serviço",0,IF(OR(AND(AUTOEVENTO="Manual",$M213=1),$M213&gt;(ROW(PLE.lastrow)-ROW(PLE.firstrow))),0,IF(OFFSET(PLE!$G$14,$M213,BV$13)="",10^12,OFFSET(PLE!$G$14,$M213,BV$13))))</f>
        <v>1000000000000</v>
      </c>
      <c r="BW213" s="182">
        <f ca="1">IF($D213&lt;&gt;"Serviço",0,IF(OR(AND(AUTOEVENTO="Manual",$M213=1),$M213&gt;(ROW(PLE.lastrow)-ROW(PLE.firstrow))),0,IF(OFFSET(PLE!$G$14,$M213,BW$13)="",10^12,OFFSET(PLE!$G$14,$M213,BW$13))))</f>
        <v>1000000000000</v>
      </c>
      <c r="BX213" s="182">
        <f ca="1">IF($D213&lt;&gt;"Serviço",0,IF(OR(AND(AUTOEVENTO="Manual",$M213=1),$M213&gt;(ROW(PLE.lastrow)-ROW(PLE.firstrow))),0,IF(OFFSET(PLE!$G$14,$M213,BX$13)="",10^12,OFFSET(PLE!$G$14,$M213,BX$13))))</f>
        <v>1000000000000</v>
      </c>
      <c r="BY213" s="182">
        <f ca="1">IF($D213&lt;&gt;"Serviço",0,IF(OR(AND(AUTOEVENTO="Manual",$M213=1),$M213&gt;(ROW(PLE.lastrow)-ROW(PLE.firstrow))),0,IF(OFFSET(PLE!$G$14,$M213,BY$13)="",10^12,OFFSET(PLE!$G$14,$M213,BY$13))))</f>
        <v>1000000000000</v>
      </c>
      <c r="BZ213" s="182">
        <f ca="1">IF($D213&lt;&gt;"Serviço",0,IF(OR(AND(AUTOEVENTO="Manual",$M213=1),$M213&gt;(ROW(PLE.lastrow)-ROW(PLE.firstrow))),0,IF(OFFSET(PLE!$G$14,$M213,BZ$13)="",10^12,OFFSET(PLE!$G$14,$M213,BZ$13))))</f>
        <v>1000000000000</v>
      </c>
      <c r="CA213" s="182">
        <f ca="1">IF($D213&lt;&gt;"Serviço",0,IF(OR(AND(AUTOEVENTO="Manual",$M213=1),$M213&gt;(ROW(PLE.lastrow)-ROW(PLE.firstrow))),0,IF(OFFSET(PLE!$G$14,$M213,CA$13)="",10^12,OFFSET(PLE!$G$14,$M213,CA$13))))</f>
        <v>1000000000000</v>
      </c>
      <c r="CB213" s="182">
        <f ca="1">IF($D213&lt;&gt;"Serviço",0,IF(OR(AND(AUTOEVENTO="Manual",$M213=1),$M213&gt;(ROW(PLE.lastrow)-ROW(PLE.firstrow))),0,IF(OFFSET(PLE!$G$14,$M213,CB$13)="",10^12,OFFSET(PLE!$G$14,$M213,CB$13))))</f>
        <v>1000000000000</v>
      </c>
      <c r="CC213" s="182">
        <f ca="1">IF($D213&lt;&gt;"Serviço",0,IF(OR(AND(AUTOEVENTO="Manual",$M213=1),$M213&gt;(ROW(PLE.lastrow)-ROW(PLE.firstrow))),0,IF(OFFSET(PLE!$G$14,$M213,CC$13)="",10^12,OFFSET(PLE!$G$14,$M213,CC$13))))</f>
        <v>1000000000000</v>
      </c>
      <c r="CD213" s="182">
        <f ca="1">IF($D213&lt;&gt;"Serviço",0,IF(OR(AND(AUTOEVENTO="Manual",$M213=1),$M213&gt;(ROW(PLE.lastrow)-ROW(PLE.firstrow))),0,IF(OFFSET(PLE!$G$14,$M213,CD$13)="",10^12,OFFSET(PLE!$G$14,$M213,CD$13))))</f>
        <v>1000000000000</v>
      </c>
      <c r="CE213" s="182">
        <f ca="1">IF($D213&lt;&gt;"Serviço",0,IF(OR(AND(AUTOEVENTO="Manual",$M213=1),$M213&gt;(ROW(PLE.lastrow)-ROW(PLE.firstrow))),0,IF(OFFSET(PLE!$G$14,$M213,CE$13)="",10^12,OFFSET(PLE!$G$14,$M213,CE$13))))</f>
        <v>1000000000000</v>
      </c>
      <c r="CF213" s="182">
        <f ca="1">IF($D213&lt;&gt;"Serviço",0,IF(OR(AND(AUTOEVENTO="Manual",$M213=1),$M213&gt;(ROW(PLE.lastrow)-ROW(PLE.firstrow))),0,IF(OFFSET(PLE!$G$14,$M213,CF$13)="",10^12,OFFSET(PLE!$G$14,$M213,CF$13))))</f>
        <v>1000000000000</v>
      </c>
      <c r="CG213" s="182">
        <f ca="1">IF($D213&lt;&gt;"Serviço",0,IF(OR(AND(AUTOEVENTO="Manual",$M213=1),$M213&gt;(ROW(PLE.lastrow)-ROW(PLE.firstrow))),0,IF(OFFSET(PLE!$G$14,$M213,CG$13)="",10^12,OFFSET(PLE!$G$14,$M213,CG$13))))</f>
        <v>1000000000000</v>
      </c>
      <c r="CH213" s="182">
        <f ca="1">IF($D213&lt;&gt;"Serviço",0,IF(OR(AND(AUTOEVENTO="Manual",$M213=1),$M213&gt;(ROW(PLE.lastrow)-ROW(PLE.firstrow))),0,IF(OFFSET(PLE!$G$14,$M213,CH$13)="",10^12,OFFSET(PLE!$G$14,$M213,CH$13))))</f>
        <v>1000000000000</v>
      </c>
      <c r="CI213" s="182">
        <f ca="1">IF($D213&lt;&gt;"Serviço",0,IF(OR(AND(AUTOEVENTO="Manual",$M213=1),$M213&gt;(ROW(PLE.lastrow)-ROW(PLE.firstrow))),0,IF(OFFSET(PLE!$G$14,$M213,CI$13)="",10^12,OFFSET(PLE!$G$14,$M213,CI$13))))</f>
        <v>1000000000000</v>
      </c>
      <c r="CJ213" s="182">
        <f ca="1">IF($D213&lt;&gt;"Serviço",0,IF(OR(AND(AUTOEVENTO="Manual",$M213=1),$M213&gt;(ROW(PLE.lastrow)-ROW(PLE.firstrow))),0,IF(OFFSET(PLE!$G$14,$M213,CJ$13)="",10^12,OFFSET(PLE!$G$14,$M213,CJ$13))))</f>
        <v>1000000000000</v>
      </c>
      <c r="CK213" s="182">
        <f ca="1">IF($D213&lt;&gt;"Serviço",0,IF(OR(AND(AUTOEVENTO="Manual",$M213=1),$M213&gt;(ROW(PLE.lastrow)-ROW(PLE.firstrow))),0,IF(OFFSET(PLE!$G$14,$M213,CK$13)="",10^12,OFFSET(PLE!$G$14,$M213,CK$13))))</f>
        <v>1000000000000</v>
      </c>
      <c r="CL213" s="182">
        <f ca="1">IF($D213&lt;&gt;"Serviço",0,IF(OR(AND(AUTOEVENTO="Manual",$M213=1),$M213&gt;(ROW(PLE.lastrow)-ROW(PLE.firstrow))),0,IF(OFFSET(PLE!$G$14,$M213,CL$13)="",10^12,OFFSET(PLE!$G$14,$M213,CL$13))))</f>
        <v>1000000000000</v>
      </c>
      <c r="CM213" s="182">
        <f ca="1">IF($D213&lt;&gt;"Serviço",0,IF(OR(AND(AUTOEVENTO="Manual",$M213=1),$M213&gt;(ROW(PLE.lastrow)-ROW(PLE.firstrow))),0,IF(OFFSET(PLE!$G$14,$M213,CM$13)="",10^12,OFFSET(PLE!$G$14,$M213,CM$13))))</f>
        <v>1000000000000</v>
      </c>
    </row>
    <row r="214" spans="1:91" ht="38.25" x14ac:dyDescent="0.2">
      <c r="A214" s="7" t="str">
        <f t="shared" ca="1" si="12"/>
        <v>197</v>
      </c>
      <c r="B214" s="7" t="str">
        <f ca="1">OFFSET(ORÇAMENTO!C$15,ROW(B214)-ROW(B$15),0)</f>
        <v>S</v>
      </c>
      <c r="C214" s="7" t="str">
        <f ca="1">OFFSET(ORÇAMENTO!L$15,ROW(C214)-ROW(C$15),0)</f>
        <v/>
      </c>
      <c r="D214" s="118" t="str">
        <f ca="1">OFFSET(ORÇAMENTO!N$15,ROW(D214)-ROW(D$15),0)</f>
        <v>Serviço</v>
      </c>
      <c r="E214" s="119" t="str">
        <f ca="1">OFFSET(ORÇAMENTO!O$15,ROW(E214)-ROW(E$15),0)</f>
        <v>-</v>
      </c>
      <c r="F214" s="172" t="str">
        <f ca="1">OFFSET(ORÇAMENTO!R$15,ROW(F214)-ROW(F$15),0)</f>
        <v>(abra o arquivo 'Referência 06-2024.xlsm)</v>
      </c>
      <c r="G214" s="173" t="str">
        <f ca="1">IF($D214&lt;&gt;"Serviço","",OFFSET(ORÇAMENTO!S$15,ROW(G214)-ROW(G$15),0))</f>
        <v>-</v>
      </c>
      <c r="H214" s="124">
        <f ca="1">IF($D214&lt;&gt;"Serviço",0,IF(ACOMPANHAMENTO="BM",ROUND(OFFSET(ORÇAMENTO!AJ$15,ROW(H214)-ROW(H$15),0),15-13*ORÇAMENTO!$AF$7),SUMPRODUCT(($Q$12:$AI$12&lt;&gt;"")*ROUND($Q214:$AI214,15-13*ORÇAMENTO!$AF$7))))</f>
        <v>84</v>
      </c>
      <c r="I214" s="561" t="s">
        <v>1107</v>
      </c>
      <c r="K214" s="174"/>
      <c r="L214" s="175" t="s">
        <v>255</v>
      </c>
      <c r="M214" s="176">
        <f ca="1">IF($D214&lt;&gt;"Serviço","",IF(AUTOEVENTO="manual",$A214,IF(ISERROR(MATCH($A214,$A$15:OFFSET($A214,-1,0),0)),MAX($M$15:OFFSET(M214,-1,0))+1,INDEX($M$15:OFFSET(M214,-1,0),MATCH($A214,$A$15:OFFSET($A214,-1,0),0)))))</f>
        <v>29</v>
      </c>
      <c r="N214" s="177" t="str">
        <f ca="1">IF($D214&lt;&gt;"Serviço","",IF(AUTOEVENTO="Manual",IF($A214=0,"&lt;-- defina o número do agrupador",OFFSET(EVENTOS!$D$14,$A214,0)),OFFSET($F$15,$A214,0)))</f>
        <v>SISTEMAS DE PISOS - PAVIMENTAÇÃO EXTERNA</v>
      </c>
      <c r="O214" s="178"/>
      <c r="Q214" s="178">
        <v>84</v>
      </c>
      <c r="R214" s="179"/>
      <c r="S214" s="179"/>
      <c r="T214" s="179"/>
      <c r="U214" s="179"/>
      <c r="V214" s="179"/>
      <c r="W214" s="179"/>
      <c r="X214" s="179"/>
      <c r="Y214" s="179"/>
      <c r="Z214" s="180"/>
      <c r="AA214" s="179"/>
      <c r="AB214" s="179"/>
      <c r="AC214" s="179"/>
      <c r="AD214" s="179"/>
      <c r="AE214" s="179"/>
      <c r="AF214" s="179"/>
      <c r="AG214" s="179"/>
      <c r="AH214" s="180"/>
      <c r="AJ214" s="544">
        <f ca="1">IF(AND($D214="Serviço",AJ$12&lt;&gt;0,$H214&gt;0,OR(AUTOEVENTO&lt;&gt;"manual",$M214&lt;&gt;1)),
IF(Import.TipoArredondamento&lt;&gt;"TransfereGOV",
ROUND(OFFSET($P214,0,AJ$13),15-13*ORÇAMENTO!$AF$7)/$H214*OFFSET(ORÇAMENTO!$X$15,ROW(AJ214)-ROW(AJ$15),0),
ROUND(ROUND(OFFSET($P214,0,AJ$13),15-13*ORÇAMENTO!$AF$7)*OFFSET(ORÇAMENTO!$W$15,ROW(AJ214)-ROW(AJ$15),0),15-13*ORÇAMENTO!$AF$11)),0)</f>
        <v>0</v>
      </c>
      <c r="AK214" s="545">
        <f ca="1">IF(AND($D214="Serviço",AK$12&lt;&gt;0,$H214&gt;0,OR(AUTOEVENTO&lt;&gt;"manual",$M214&lt;&gt;1)),
IF(Import.TipoArredondamento&lt;&gt;"TransfereGOV",
ROUND(OFFSET($P214,0,AK$13),15-13*ORÇAMENTO!$AF$7)/$H214*OFFSET(ORÇAMENTO!$X$15,ROW(AK214)-ROW(AK$15),0),
ROUND(ROUND(OFFSET($P214,0,AK$13),15-13*ORÇAMENTO!$AF$7)*OFFSET(ORÇAMENTO!$W$15,ROW(AK214)-ROW(AK$15),0),15-13*ORÇAMENTO!$AF$11)),0)</f>
        <v>0</v>
      </c>
      <c r="AL214" s="545">
        <f ca="1">IF(AND($D214="Serviço",AL$12&lt;&gt;0,$H214&gt;0,OR(AUTOEVENTO&lt;&gt;"manual",$M214&lt;&gt;1)),
IF(Import.TipoArredondamento&lt;&gt;"TransfereGOV",
ROUND(OFFSET($P214,0,AL$13),15-13*ORÇAMENTO!$AF$7)/$H214*OFFSET(ORÇAMENTO!$X$15,ROW(AL214)-ROW(AL$15),0),
ROUND(ROUND(OFFSET($P214,0,AL$13),15-13*ORÇAMENTO!$AF$7)*OFFSET(ORÇAMENTO!$W$15,ROW(AL214)-ROW(AL$15),0),15-13*ORÇAMENTO!$AF$11)),0)</f>
        <v>0</v>
      </c>
      <c r="AM214" s="545">
        <f ca="1">IF(AND($D214="Serviço",AM$12&lt;&gt;0,$H214&gt;0,OR(AUTOEVENTO&lt;&gt;"manual",$M214&lt;&gt;1)),
IF(Import.TipoArredondamento&lt;&gt;"TransfereGOV",
ROUND(OFFSET($P214,0,AM$13),15-13*ORÇAMENTO!$AF$7)/$H214*OFFSET(ORÇAMENTO!$X$15,ROW(AM214)-ROW(AM$15),0),
ROUND(ROUND(OFFSET($P214,0,AM$13),15-13*ORÇAMENTO!$AF$7)*OFFSET(ORÇAMENTO!$W$15,ROW(AM214)-ROW(AM$15),0),15-13*ORÇAMENTO!$AF$11)),0)</f>
        <v>0</v>
      </c>
      <c r="AN214" s="545">
        <f ca="1">IF(AND($D214="Serviço",AN$12&lt;&gt;0,$H214&gt;0,OR(AUTOEVENTO&lt;&gt;"manual",$M214&lt;&gt;1)),
IF(Import.TipoArredondamento&lt;&gt;"TransfereGOV",
ROUND(OFFSET($P214,0,AN$13),15-13*ORÇAMENTO!$AF$7)/$H214*OFFSET(ORÇAMENTO!$X$15,ROW(AN214)-ROW(AN$15),0),
ROUND(ROUND(OFFSET($P214,0,AN$13),15-13*ORÇAMENTO!$AF$7)*OFFSET(ORÇAMENTO!$W$15,ROW(AN214)-ROW(AN$15),0),15-13*ORÇAMENTO!$AF$11)),0)</f>
        <v>0</v>
      </c>
      <c r="AO214" s="545">
        <f ca="1">IF(AND($D214="Serviço",AO$12&lt;&gt;0,$H214&gt;0,OR(AUTOEVENTO&lt;&gt;"manual",$M214&lt;&gt;1)),
IF(Import.TipoArredondamento&lt;&gt;"TransfereGOV",
ROUND(OFFSET($P214,0,AO$13),15-13*ORÇAMENTO!$AF$7)/$H214*OFFSET(ORÇAMENTO!$X$15,ROW(AO214)-ROW(AO$15),0),
ROUND(ROUND(OFFSET($P214,0,AO$13),15-13*ORÇAMENTO!$AF$7)*OFFSET(ORÇAMENTO!$W$15,ROW(AO214)-ROW(AO$15),0),15-13*ORÇAMENTO!$AF$11)),0)</f>
        <v>0</v>
      </c>
      <c r="AP214" s="545">
        <f ca="1">IF(AND($D214="Serviço",AP$12&lt;&gt;0,$H214&gt;0,OR(AUTOEVENTO&lt;&gt;"manual",$M214&lt;&gt;1)),
IF(Import.TipoArredondamento&lt;&gt;"TransfereGOV",
ROUND(OFFSET($P214,0,AP$13),15-13*ORÇAMENTO!$AF$7)/$H214*OFFSET(ORÇAMENTO!$X$15,ROW(AP214)-ROW(AP$15),0),
ROUND(ROUND(OFFSET($P214,0,AP$13),15-13*ORÇAMENTO!$AF$7)*OFFSET(ORÇAMENTO!$W$15,ROW(AP214)-ROW(AP$15),0),15-13*ORÇAMENTO!$AF$11)),0)</f>
        <v>0</v>
      </c>
      <c r="AQ214" s="545">
        <f ca="1">IF(AND($D214="Serviço",AQ$12&lt;&gt;0,$H214&gt;0,OR(AUTOEVENTO&lt;&gt;"manual",$M214&lt;&gt;1)),
IF(Import.TipoArredondamento&lt;&gt;"TransfereGOV",
ROUND(OFFSET($P214,0,AQ$13),15-13*ORÇAMENTO!$AF$7)/$H214*OFFSET(ORÇAMENTO!$X$15,ROW(AQ214)-ROW(AQ$15),0),
ROUND(ROUND(OFFSET($P214,0,AQ$13),15-13*ORÇAMENTO!$AF$7)*OFFSET(ORÇAMENTO!$W$15,ROW(AQ214)-ROW(AQ$15),0),15-13*ORÇAMENTO!$AF$11)),0)</f>
        <v>0</v>
      </c>
      <c r="AR214" s="545">
        <f ca="1">IF(AND($D214="Serviço",AR$12&lt;&gt;0,$H214&gt;0,OR(AUTOEVENTO&lt;&gt;"manual",$M214&lt;&gt;1)),
IF(Import.TipoArredondamento&lt;&gt;"TransfereGOV",
ROUND(OFFSET($P214,0,AR$13),15-13*ORÇAMENTO!$AF$7)/$H214*OFFSET(ORÇAMENTO!$X$15,ROW(AR214)-ROW(AR$15),0),
ROUND(ROUND(OFFSET($P214,0,AR$13),15-13*ORÇAMENTO!$AF$7)*OFFSET(ORÇAMENTO!$W$15,ROW(AR214)-ROW(AR$15),0),15-13*ORÇAMENTO!$AF$11)),0)</f>
        <v>0</v>
      </c>
      <c r="AS214" s="546">
        <f ca="1">IF(AND($D214="Serviço",AS$12&lt;&gt;0,$H214&gt;0,OR(AUTOEVENTO&lt;&gt;"manual",$M214&lt;&gt;1)),
IF(Import.TipoArredondamento&lt;&gt;"TransfereGOV",
ROUND(OFFSET($P214,0,AS$13),15-13*ORÇAMENTO!$AF$7)/$H214*OFFSET(ORÇAMENTO!$X$15,ROW(AS214)-ROW(AS$15),0),
ROUND(ROUND(OFFSET($P214,0,AS$13),15-13*ORÇAMENTO!$AF$7)*OFFSET(ORÇAMENTO!$W$15,ROW(AS214)-ROW(AS$15),0),15-13*ORÇAMENTO!$AF$11)),0)</f>
        <v>0</v>
      </c>
      <c r="AT214" s="545">
        <f ca="1">IF(AND($D214="Serviço",AT$12&lt;&gt;0,$H214&gt;0,OR(AUTOEVENTO&lt;&gt;"manual",$M214&lt;&gt;1)),
IF(Import.TipoArredondamento&lt;&gt;"TransfereGOV",
ROUND(OFFSET($P214,0,AT$13),15-13*ORÇAMENTO!$AF$7)/$H214*OFFSET(ORÇAMENTO!$X$15,ROW(AT214)-ROW(AT$15),0),
ROUND(ROUND(OFFSET($P214,0,AT$13),15-13*ORÇAMENTO!$AF$7)*OFFSET(ORÇAMENTO!$W$15,ROW(AT214)-ROW(AT$15),0),15-13*ORÇAMENTO!$AF$11)),0)</f>
        <v>0</v>
      </c>
      <c r="AU214" s="545">
        <f ca="1">IF(AND($D214="Serviço",AU$12&lt;&gt;0,$H214&gt;0,OR(AUTOEVENTO&lt;&gt;"manual",$M214&lt;&gt;1)),
IF(Import.TipoArredondamento&lt;&gt;"TransfereGOV",
ROUND(OFFSET($P214,0,AU$13),15-13*ORÇAMENTO!$AF$7)/$H214*OFFSET(ORÇAMENTO!$X$15,ROW(AU214)-ROW(AU$15),0),
ROUND(ROUND(OFFSET($P214,0,AU$13),15-13*ORÇAMENTO!$AF$7)*OFFSET(ORÇAMENTO!$W$15,ROW(AU214)-ROW(AU$15),0),15-13*ORÇAMENTO!$AF$11)),0)</f>
        <v>0</v>
      </c>
      <c r="AV214" s="545">
        <f ca="1">IF(AND($D214="Serviço",AV$12&lt;&gt;0,$H214&gt;0,OR(AUTOEVENTO&lt;&gt;"manual",$M214&lt;&gt;1)),
IF(Import.TipoArredondamento&lt;&gt;"TransfereGOV",
ROUND(OFFSET($P214,0,AV$13),15-13*ORÇAMENTO!$AF$7)/$H214*OFFSET(ORÇAMENTO!$X$15,ROW(AV214)-ROW(AV$15),0),
ROUND(ROUND(OFFSET($P214,0,AV$13),15-13*ORÇAMENTO!$AF$7)*OFFSET(ORÇAMENTO!$W$15,ROW(AV214)-ROW(AV$15),0),15-13*ORÇAMENTO!$AF$11)),0)</f>
        <v>0</v>
      </c>
      <c r="AW214" s="545">
        <f ca="1">IF(AND($D214="Serviço",AW$12&lt;&gt;0,$H214&gt;0,OR(AUTOEVENTO&lt;&gt;"manual",$M214&lt;&gt;1)),
IF(Import.TipoArredondamento&lt;&gt;"TransfereGOV",
ROUND(OFFSET($P214,0,AW$13),15-13*ORÇAMENTO!$AF$7)/$H214*OFFSET(ORÇAMENTO!$X$15,ROW(AW214)-ROW(AW$15),0),
ROUND(ROUND(OFFSET($P214,0,AW$13),15-13*ORÇAMENTO!$AF$7)*OFFSET(ORÇAMENTO!$W$15,ROW(AW214)-ROW(AW$15),0),15-13*ORÇAMENTO!$AF$11)),0)</f>
        <v>0</v>
      </c>
      <c r="AX214" s="545">
        <f ca="1">IF(AND($D214="Serviço",AX$12&lt;&gt;0,$H214&gt;0,OR(AUTOEVENTO&lt;&gt;"manual",$M214&lt;&gt;1)),
IF(Import.TipoArredondamento&lt;&gt;"TransfereGOV",
ROUND(OFFSET($P214,0,AX$13),15-13*ORÇAMENTO!$AF$7)/$H214*OFFSET(ORÇAMENTO!$X$15,ROW(AX214)-ROW(AX$15),0),
ROUND(ROUND(OFFSET($P214,0,AX$13),15-13*ORÇAMENTO!$AF$7)*OFFSET(ORÇAMENTO!$W$15,ROW(AX214)-ROW(AX$15),0),15-13*ORÇAMENTO!$AF$11)),0)</f>
        <v>0</v>
      </c>
      <c r="AY214" s="545">
        <f ca="1">IF(AND($D214="Serviço",AY$12&lt;&gt;0,$H214&gt;0,OR(AUTOEVENTO&lt;&gt;"manual",$M214&lt;&gt;1)),
IF(Import.TipoArredondamento&lt;&gt;"TransfereGOV",
ROUND(OFFSET($P214,0,AY$13),15-13*ORÇAMENTO!$AF$7)/$H214*OFFSET(ORÇAMENTO!$X$15,ROW(AY214)-ROW(AY$15),0),
ROUND(ROUND(OFFSET($P214,0,AY$13),15-13*ORÇAMENTO!$AF$7)*OFFSET(ORÇAMENTO!$W$15,ROW(AY214)-ROW(AY$15),0),15-13*ORÇAMENTO!$AF$11)),0)</f>
        <v>0</v>
      </c>
      <c r="AZ214" s="545">
        <f ca="1">IF(AND($D214="Serviço",AZ$12&lt;&gt;0,$H214&gt;0,OR(AUTOEVENTO&lt;&gt;"manual",$M214&lt;&gt;1)),
IF(Import.TipoArredondamento&lt;&gt;"TransfereGOV",
ROUND(OFFSET($P214,0,AZ$13),15-13*ORÇAMENTO!$AF$7)/$H214*OFFSET(ORÇAMENTO!$X$15,ROW(AZ214)-ROW(AZ$15),0),
ROUND(ROUND(OFFSET($P214,0,AZ$13),15-13*ORÇAMENTO!$AF$7)*OFFSET(ORÇAMENTO!$W$15,ROW(AZ214)-ROW(AZ$15),0),15-13*ORÇAMENTO!$AF$11)),0)</f>
        <v>0</v>
      </c>
      <c r="BA214" s="546">
        <f ca="1">IF(AND($D214="Serviço",BA$12&lt;&gt;0,$H214&gt;0,OR(AUTOEVENTO&lt;&gt;"manual",$M214&lt;&gt;1)),
IF(Import.TipoArredondamento&lt;&gt;"TransfereGOV",
ROUND(OFFSET($P214,0,BA$13),15-13*ORÇAMENTO!$AF$7)/$H214*OFFSET(ORÇAMENTO!$X$15,ROW(BA214)-ROW(BA$15),0),
ROUND(ROUND(OFFSET($P214,0,BA$13),15-13*ORÇAMENTO!$AF$7)*OFFSET(ORÇAMENTO!$W$15,ROW(BA214)-ROW(BA$15),0),15-13*ORÇAMENTO!$AF$11)),0)</f>
        <v>0</v>
      </c>
      <c r="BC214" s="181">
        <f ca="1">IF($D214&lt;&gt;"Serviço",0,IF(AND(AUTOEVENTO="Manual",$M214=1),0,IF(OFFSET(CRONOPLE!$F$14,$M214,BC$13)="",10^12,OFFSET(CRONOPLE!$F$14,$M214,BC$13))))</f>
        <v>8</v>
      </c>
      <c r="BD214" s="181">
        <f ca="1">IF($D214&lt;&gt;"Serviço",0,IF(AND(AUTOEVENTO="Manual",$M214=1),0,IF(OFFSET(CRONOPLE!$F$14,$M214,BD$13)="",10^12,OFFSET(CRONOPLE!$F$14,$M214,BD$13))))</f>
        <v>1000000000000</v>
      </c>
      <c r="BE214" s="181">
        <f ca="1">IF($D214&lt;&gt;"Serviço",0,IF(AND(AUTOEVENTO="Manual",$M214=1),0,IF(OFFSET(CRONOPLE!$F$14,$M214,BE$13)="",10^12,OFFSET(CRONOPLE!$F$14,$M214,BE$13))))</f>
        <v>1000000000000</v>
      </c>
      <c r="BF214" s="181">
        <f ca="1">IF($D214&lt;&gt;"Serviço",0,IF(AND(AUTOEVENTO="Manual",$M214=1),0,IF(OFFSET(CRONOPLE!$F$14,$M214,BF$13)="",10^12,OFFSET(CRONOPLE!$F$14,$M214,BF$13))))</f>
        <v>1000000000000</v>
      </c>
      <c r="BG214" s="181">
        <f ca="1">IF($D214&lt;&gt;"Serviço",0,IF(AND(AUTOEVENTO="Manual",$M214=1),0,IF(OFFSET(CRONOPLE!$F$14,$M214,BG$13)="",10^12,OFFSET(CRONOPLE!$F$14,$M214,BG$13))))</f>
        <v>1000000000000</v>
      </c>
      <c r="BH214" s="181">
        <f ca="1">IF($D214&lt;&gt;"Serviço",0,IF(AND(AUTOEVENTO="Manual",$M214=1),0,IF(OFFSET(CRONOPLE!$F$14,$M214,BH$13)="",10^12,OFFSET(CRONOPLE!$F$14,$M214,BH$13))))</f>
        <v>1000000000000</v>
      </c>
      <c r="BI214" s="181">
        <f ca="1">IF($D214&lt;&gt;"Serviço",0,IF(AND(AUTOEVENTO="Manual",$M214=1),0,IF(OFFSET(CRONOPLE!$F$14,$M214,BI$13)="",10^12,OFFSET(CRONOPLE!$F$14,$M214,BI$13))))</f>
        <v>1000000000000</v>
      </c>
      <c r="BJ214" s="181">
        <f ca="1">IF($D214&lt;&gt;"Serviço",0,IF(AND(AUTOEVENTO="Manual",$M214=1),0,IF(OFFSET(CRONOPLE!$F$14,$M214,BJ$13)="",10^12,OFFSET(CRONOPLE!$F$14,$M214,BJ$13))))</f>
        <v>1000000000000</v>
      </c>
      <c r="BK214" s="181">
        <f ca="1">IF($D214&lt;&gt;"Serviço",0,IF(AND(AUTOEVENTO="Manual",$M214=1),0,IF(OFFSET(CRONOPLE!$F$14,$M214,BK$13)="",10^12,OFFSET(CRONOPLE!$F$14,$M214,BK$13))))</f>
        <v>1000000000000</v>
      </c>
      <c r="BL214" s="181">
        <f ca="1">IF($D214&lt;&gt;"Serviço",0,IF(AND(AUTOEVENTO="Manual",$M214=1),0,IF(OFFSET(CRONOPLE!$F$14,$M214,BL$13)="",10^12,OFFSET(CRONOPLE!$F$14,$M214,BL$13))))</f>
        <v>1000000000000</v>
      </c>
      <c r="BM214" s="181">
        <f ca="1">IF($D214&lt;&gt;"Serviço",0,IF(AND(AUTOEVENTO="Manual",$M214=1),0,IF(OFFSET(CRONOPLE!$F$14,$M214,BM$13)="",10^12,OFFSET(CRONOPLE!$F$14,$M214,BM$13))))</f>
        <v>1000000000000</v>
      </c>
      <c r="BN214" s="181">
        <f ca="1">IF($D214&lt;&gt;"Serviço",0,IF(AND(AUTOEVENTO="Manual",$M214=1),0,IF(OFFSET(CRONOPLE!$F$14,$M214,BN$13)="",10^12,OFFSET(CRONOPLE!$F$14,$M214,BN$13))))</f>
        <v>1000000000000</v>
      </c>
      <c r="BO214" s="181">
        <f ca="1">IF($D214&lt;&gt;"Serviço",0,IF(AND(AUTOEVENTO="Manual",$M214=1),0,IF(OFFSET(CRONOPLE!$F$14,$M214,BO$13)="",10^12,OFFSET(CRONOPLE!$F$14,$M214,BO$13))))</f>
        <v>1000000000000</v>
      </c>
      <c r="BP214" s="181">
        <f ca="1">IF($D214&lt;&gt;"Serviço",0,IF(AND(AUTOEVENTO="Manual",$M214=1),0,IF(OFFSET(CRONOPLE!$F$14,$M214,BP$13)="",10^12,OFFSET(CRONOPLE!$F$14,$M214,BP$13))))</f>
        <v>1000000000000</v>
      </c>
      <c r="BQ214" s="181">
        <f ca="1">IF($D214&lt;&gt;"Serviço",0,IF(AND(AUTOEVENTO="Manual",$M214=1),0,IF(OFFSET(CRONOPLE!$F$14,$M214,BQ$13)="",10^12,OFFSET(CRONOPLE!$F$14,$M214,BQ$13))))</f>
        <v>1000000000000</v>
      </c>
      <c r="BR214" s="181">
        <f ca="1">IF($D214&lt;&gt;"Serviço",0,IF(AND(AUTOEVENTO="Manual",$M214=1),0,IF(OFFSET(CRONOPLE!$F$14,$M214,BR$13)="",10^12,OFFSET(CRONOPLE!$F$14,$M214,BR$13))))</f>
        <v>1000000000000</v>
      </c>
      <c r="BS214" s="181">
        <f ca="1">IF($D214&lt;&gt;"Serviço",0,IF(AND(AUTOEVENTO="Manual",$M214=1),0,IF(OFFSET(CRONOPLE!$F$14,$M214,BS$13)="",10^12,OFFSET(CRONOPLE!$F$14,$M214,BS$13))))</f>
        <v>1000000000000</v>
      </c>
      <c r="BT214" s="181">
        <f ca="1">IF($D214&lt;&gt;"Serviço",0,IF(AND(AUTOEVENTO="Manual",$M214=1),0,IF(OFFSET(CRONOPLE!$F$14,$M214,BT$13)="",10^12,OFFSET(CRONOPLE!$F$14,$M214,BT$13))))</f>
        <v>1000000000000</v>
      </c>
      <c r="BV214" s="182">
        <f ca="1">IF($D214&lt;&gt;"Serviço",0,IF(OR(AND(AUTOEVENTO="Manual",$M214=1),$M214&gt;(ROW(PLE.lastrow)-ROW(PLE.firstrow))),0,IF(OFFSET(PLE!$G$14,$M214,BV$13)="",10^12,OFFSET(PLE!$G$14,$M214,BV$13))))</f>
        <v>1000000000000</v>
      </c>
      <c r="BW214" s="182">
        <f ca="1">IF($D214&lt;&gt;"Serviço",0,IF(OR(AND(AUTOEVENTO="Manual",$M214=1),$M214&gt;(ROW(PLE.lastrow)-ROW(PLE.firstrow))),0,IF(OFFSET(PLE!$G$14,$M214,BW$13)="",10^12,OFFSET(PLE!$G$14,$M214,BW$13))))</f>
        <v>1000000000000</v>
      </c>
      <c r="BX214" s="182">
        <f ca="1">IF($D214&lt;&gt;"Serviço",0,IF(OR(AND(AUTOEVENTO="Manual",$M214=1),$M214&gt;(ROW(PLE.lastrow)-ROW(PLE.firstrow))),0,IF(OFFSET(PLE!$G$14,$M214,BX$13)="",10^12,OFFSET(PLE!$G$14,$M214,BX$13))))</f>
        <v>1000000000000</v>
      </c>
      <c r="BY214" s="182">
        <f ca="1">IF($D214&lt;&gt;"Serviço",0,IF(OR(AND(AUTOEVENTO="Manual",$M214=1),$M214&gt;(ROW(PLE.lastrow)-ROW(PLE.firstrow))),0,IF(OFFSET(PLE!$G$14,$M214,BY$13)="",10^12,OFFSET(PLE!$G$14,$M214,BY$13))))</f>
        <v>1000000000000</v>
      </c>
      <c r="BZ214" s="182">
        <f ca="1">IF($D214&lt;&gt;"Serviço",0,IF(OR(AND(AUTOEVENTO="Manual",$M214=1),$M214&gt;(ROW(PLE.lastrow)-ROW(PLE.firstrow))),0,IF(OFFSET(PLE!$G$14,$M214,BZ$13)="",10^12,OFFSET(PLE!$G$14,$M214,BZ$13))))</f>
        <v>1000000000000</v>
      </c>
      <c r="CA214" s="182">
        <f ca="1">IF($D214&lt;&gt;"Serviço",0,IF(OR(AND(AUTOEVENTO="Manual",$M214=1),$M214&gt;(ROW(PLE.lastrow)-ROW(PLE.firstrow))),0,IF(OFFSET(PLE!$G$14,$M214,CA$13)="",10^12,OFFSET(PLE!$G$14,$M214,CA$13))))</f>
        <v>1000000000000</v>
      </c>
      <c r="CB214" s="182">
        <f ca="1">IF($D214&lt;&gt;"Serviço",0,IF(OR(AND(AUTOEVENTO="Manual",$M214=1),$M214&gt;(ROW(PLE.lastrow)-ROW(PLE.firstrow))),0,IF(OFFSET(PLE!$G$14,$M214,CB$13)="",10^12,OFFSET(PLE!$G$14,$M214,CB$13))))</f>
        <v>1000000000000</v>
      </c>
      <c r="CC214" s="182">
        <f ca="1">IF($D214&lt;&gt;"Serviço",0,IF(OR(AND(AUTOEVENTO="Manual",$M214=1),$M214&gt;(ROW(PLE.lastrow)-ROW(PLE.firstrow))),0,IF(OFFSET(PLE!$G$14,$M214,CC$13)="",10^12,OFFSET(PLE!$G$14,$M214,CC$13))))</f>
        <v>1000000000000</v>
      </c>
      <c r="CD214" s="182">
        <f ca="1">IF($D214&lt;&gt;"Serviço",0,IF(OR(AND(AUTOEVENTO="Manual",$M214=1),$M214&gt;(ROW(PLE.lastrow)-ROW(PLE.firstrow))),0,IF(OFFSET(PLE!$G$14,$M214,CD$13)="",10^12,OFFSET(PLE!$G$14,$M214,CD$13))))</f>
        <v>1000000000000</v>
      </c>
      <c r="CE214" s="182">
        <f ca="1">IF($D214&lt;&gt;"Serviço",0,IF(OR(AND(AUTOEVENTO="Manual",$M214=1),$M214&gt;(ROW(PLE.lastrow)-ROW(PLE.firstrow))),0,IF(OFFSET(PLE!$G$14,$M214,CE$13)="",10^12,OFFSET(PLE!$G$14,$M214,CE$13))))</f>
        <v>1000000000000</v>
      </c>
      <c r="CF214" s="182">
        <f ca="1">IF($D214&lt;&gt;"Serviço",0,IF(OR(AND(AUTOEVENTO="Manual",$M214=1),$M214&gt;(ROW(PLE.lastrow)-ROW(PLE.firstrow))),0,IF(OFFSET(PLE!$G$14,$M214,CF$13)="",10^12,OFFSET(PLE!$G$14,$M214,CF$13))))</f>
        <v>1000000000000</v>
      </c>
      <c r="CG214" s="182">
        <f ca="1">IF($D214&lt;&gt;"Serviço",0,IF(OR(AND(AUTOEVENTO="Manual",$M214=1),$M214&gt;(ROW(PLE.lastrow)-ROW(PLE.firstrow))),0,IF(OFFSET(PLE!$G$14,$M214,CG$13)="",10^12,OFFSET(PLE!$G$14,$M214,CG$13))))</f>
        <v>1000000000000</v>
      </c>
      <c r="CH214" s="182">
        <f ca="1">IF($D214&lt;&gt;"Serviço",0,IF(OR(AND(AUTOEVENTO="Manual",$M214=1),$M214&gt;(ROW(PLE.lastrow)-ROW(PLE.firstrow))),0,IF(OFFSET(PLE!$G$14,$M214,CH$13)="",10^12,OFFSET(PLE!$G$14,$M214,CH$13))))</f>
        <v>1000000000000</v>
      </c>
      <c r="CI214" s="182">
        <f ca="1">IF($D214&lt;&gt;"Serviço",0,IF(OR(AND(AUTOEVENTO="Manual",$M214=1),$M214&gt;(ROW(PLE.lastrow)-ROW(PLE.firstrow))),0,IF(OFFSET(PLE!$G$14,$M214,CI$13)="",10^12,OFFSET(PLE!$G$14,$M214,CI$13))))</f>
        <v>1000000000000</v>
      </c>
      <c r="CJ214" s="182">
        <f ca="1">IF($D214&lt;&gt;"Serviço",0,IF(OR(AND(AUTOEVENTO="Manual",$M214=1),$M214&gt;(ROW(PLE.lastrow)-ROW(PLE.firstrow))),0,IF(OFFSET(PLE!$G$14,$M214,CJ$13)="",10^12,OFFSET(PLE!$G$14,$M214,CJ$13))))</f>
        <v>1000000000000</v>
      </c>
      <c r="CK214" s="182">
        <f ca="1">IF($D214&lt;&gt;"Serviço",0,IF(OR(AND(AUTOEVENTO="Manual",$M214=1),$M214&gt;(ROW(PLE.lastrow)-ROW(PLE.firstrow))),0,IF(OFFSET(PLE!$G$14,$M214,CK$13)="",10^12,OFFSET(PLE!$G$14,$M214,CK$13))))</f>
        <v>1000000000000</v>
      </c>
      <c r="CL214" s="182">
        <f ca="1">IF($D214&lt;&gt;"Serviço",0,IF(OR(AND(AUTOEVENTO="Manual",$M214=1),$M214&gt;(ROW(PLE.lastrow)-ROW(PLE.firstrow))),0,IF(OFFSET(PLE!$G$14,$M214,CL$13)="",10^12,OFFSET(PLE!$G$14,$M214,CL$13))))</f>
        <v>1000000000000</v>
      </c>
      <c r="CM214" s="182">
        <f ca="1">IF($D214&lt;&gt;"Serviço",0,IF(OR(AND(AUTOEVENTO="Manual",$M214=1),$M214&gt;(ROW(PLE.lastrow)-ROW(PLE.firstrow))),0,IF(OFFSET(PLE!$G$14,$M214,CM$13)="",10^12,OFFSET(PLE!$G$14,$M214,CM$13))))</f>
        <v>1000000000000</v>
      </c>
    </row>
    <row r="215" spans="1:91" ht="25.5" x14ac:dyDescent="0.2">
      <c r="A215" s="7" t="str">
        <f t="shared" ca="1" si="12"/>
        <v>197</v>
      </c>
      <c r="B215" s="7" t="str">
        <f ca="1">OFFSET(ORÇAMENTO!C$15,ROW(B215)-ROW(B$15),0)</f>
        <v>S</v>
      </c>
      <c r="C215" s="7" t="str">
        <f ca="1">OFFSET(ORÇAMENTO!L$15,ROW(C215)-ROW(C$15),0)</f>
        <v/>
      </c>
      <c r="D215" s="118" t="str">
        <f ca="1">OFFSET(ORÇAMENTO!N$15,ROW(D215)-ROW(D$15),0)</f>
        <v>Serviço</v>
      </c>
      <c r="E215" s="119" t="str">
        <f ca="1">OFFSET(ORÇAMENTO!O$15,ROW(E215)-ROW(E$15),0)</f>
        <v>-</v>
      </c>
      <c r="F215" s="172" t="str">
        <f ca="1">OFFSET(ORÇAMENTO!R$15,ROW(F215)-ROW(F$15),0)</f>
        <v>(abra o arquivo 'Referência 06-2024.xlsm)</v>
      </c>
      <c r="G215" s="173" t="str">
        <f ca="1">IF($D215&lt;&gt;"Serviço","",OFFSET(ORÇAMENTO!S$15,ROW(G215)-ROW(G$15),0))</f>
        <v>-</v>
      </c>
      <c r="H215" s="124">
        <f ca="1">IF($D215&lt;&gt;"Serviço",0,IF(ACOMPANHAMENTO="BM",ROUND(OFFSET(ORÇAMENTO!AJ$15,ROW(H215)-ROW(H$15),0),15-13*ORÇAMENTO!$AF$7),SUMPRODUCT(($Q$12:$AI$12&lt;&gt;"")*ROUND($Q215:$AI215,15-13*ORÇAMENTO!$AF$7))))</f>
        <v>21</v>
      </c>
      <c r="I215" s="561" t="s">
        <v>1107</v>
      </c>
      <c r="K215" s="174"/>
      <c r="L215" s="175" t="s">
        <v>255</v>
      </c>
      <c r="M215" s="176">
        <f ca="1">IF($D215&lt;&gt;"Serviço","",IF(AUTOEVENTO="manual",$A215,IF(ISERROR(MATCH($A215,$A$15:OFFSET($A215,-1,0),0)),MAX($M$15:OFFSET(M215,-1,0))+1,INDEX($M$15:OFFSET(M215,-1,0),MATCH($A215,$A$15:OFFSET($A215,-1,0),0)))))</f>
        <v>29</v>
      </c>
      <c r="N215" s="177" t="str">
        <f ca="1">IF($D215&lt;&gt;"Serviço","",IF(AUTOEVENTO="Manual",IF($A215=0,"&lt;-- defina o número do agrupador",OFFSET(EVENTOS!$D$14,$A215,0)),OFFSET($F$15,$A215,0)))</f>
        <v>SISTEMAS DE PISOS - PAVIMENTAÇÃO EXTERNA</v>
      </c>
      <c r="O215" s="178"/>
      <c r="Q215" s="178">
        <v>21</v>
      </c>
      <c r="R215" s="179"/>
      <c r="S215" s="179"/>
      <c r="T215" s="179"/>
      <c r="U215" s="179"/>
      <c r="V215" s="179"/>
      <c r="W215" s="179"/>
      <c r="X215" s="179"/>
      <c r="Y215" s="179"/>
      <c r="Z215" s="180"/>
      <c r="AA215" s="179"/>
      <c r="AB215" s="179"/>
      <c r="AC215" s="179"/>
      <c r="AD215" s="179"/>
      <c r="AE215" s="179"/>
      <c r="AF215" s="179"/>
      <c r="AG215" s="179"/>
      <c r="AH215" s="180"/>
      <c r="AJ215" s="544">
        <f ca="1">IF(AND($D215="Serviço",AJ$12&lt;&gt;0,$H215&gt;0,OR(AUTOEVENTO&lt;&gt;"manual",$M215&lt;&gt;1)),
IF(Import.TipoArredondamento&lt;&gt;"TransfereGOV",
ROUND(OFFSET($P215,0,AJ$13),15-13*ORÇAMENTO!$AF$7)/$H215*OFFSET(ORÇAMENTO!$X$15,ROW(AJ215)-ROW(AJ$15),0),
ROUND(ROUND(OFFSET($P215,0,AJ$13),15-13*ORÇAMENTO!$AF$7)*OFFSET(ORÇAMENTO!$W$15,ROW(AJ215)-ROW(AJ$15),0),15-13*ORÇAMENTO!$AF$11)),0)</f>
        <v>0</v>
      </c>
      <c r="AK215" s="545">
        <f ca="1">IF(AND($D215="Serviço",AK$12&lt;&gt;0,$H215&gt;0,OR(AUTOEVENTO&lt;&gt;"manual",$M215&lt;&gt;1)),
IF(Import.TipoArredondamento&lt;&gt;"TransfereGOV",
ROUND(OFFSET($P215,0,AK$13),15-13*ORÇAMENTO!$AF$7)/$H215*OFFSET(ORÇAMENTO!$X$15,ROW(AK215)-ROW(AK$15),0),
ROUND(ROUND(OFFSET($P215,0,AK$13),15-13*ORÇAMENTO!$AF$7)*OFFSET(ORÇAMENTO!$W$15,ROW(AK215)-ROW(AK$15),0),15-13*ORÇAMENTO!$AF$11)),0)</f>
        <v>0</v>
      </c>
      <c r="AL215" s="545">
        <f ca="1">IF(AND($D215="Serviço",AL$12&lt;&gt;0,$H215&gt;0,OR(AUTOEVENTO&lt;&gt;"manual",$M215&lt;&gt;1)),
IF(Import.TipoArredondamento&lt;&gt;"TransfereGOV",
ROUND(OFFSET($P215,0,AL$13),15-13*ORÇAMENTO!$AF$7)/$H215*OFFSET(ORÇAMENTO!$X$15,ROW(AL215)-ROW(AL$15),0),
ROUND(ROUND(OFFSET($P215,0,AL$13),15-13*ORÇAMENTO!$AF$7)*OFFSET(ORÇAMENTO!$W$15,ROW(AL215)-ROW(AL$15),0),15-13*ORÇAMENTO!$AF$11)),0)</f>
        <v>0</v>
      </c>
      <c r="AM215" s="545">
        <f ca="1">IF(AND($D215="Serviço",AM$12&lt;&gt;0,$H215&gt;0,OR(AUTOEVENTO&lt;&gt;"manual",$M215&lt;&gt;1)),
IF(Import.TipoArredondamento&lt;&gt;"TransfereGOV",
ROUND(OFFSET($P215,0,AM$13),15-13*ORÇAMENTO!$AF$7)/$H215*OFFSET(ORÇAMENTO!$X$15,ROW(AM215)-ROW(AM$15),0),
ROUND(ROUND(OFFSET($P215,0,AM$13),15-13*ORÇAMENTO!$AF$7)*OFFSET(ORÇAMENTO!$W$15,ROW(AM215)-ROW(AM$15),0),15-13*ORÇAMENTO!$AF$11)),0)</f>
        <v>0</v>
      </c>
      <c r="AN215" s="545">
        <f ca="1">IF(AND($D215="Serviço",AN$12&lt;&gt;0,$H215&gt;0,OR(AUTOEVENTO&lt;&gt;"manual",$M215&lt;&gt;1)),
IF(Import.TipoArredondamento&lt;&gt;"TransfereGOV",
ROUND(OFFSET($P215,0,AN$13),15-13*ORÇAMENTO!$AF$7)/$H215*OFFSET(ORÇAMENTO!$X$15,ROW(AN215)-ROW(AN$15),0),
ROUND(ROUND(OFFSET($P215,0,AN$13),15-13*ORÇAMENTO!$AF$7)*OFFSET(ORÇAMENTO!$W$15,ROW(AN215)-ROW(AN$15),0),15-13*ORÇAMENTO!$AF$11)),0)</f>
        <v>0</v>
      </c>
      <c r="AO215" s="545">
        <f ca="1">IF(AND($D215="Serviço",AO$12&lt;&gt;0,$H215&gt;0,OR(AUTOEVENTO&lt;&gt;"manual",$M215&lt;&gt;1)),
IF(Import.TipoArredondamento&lt;&gt;"TransfereGOV",
ROUND(OFFSET($P215,0,AO$13),15-13*ORÇAMENTO!$AF$7)/$H215*OFFSET(ORÇAMENTO!$X$15,ROW(AO215)-ROW(AO$15),0),
ROUND(ROUND(OFFSET($P215,0,AO$13),15-13*ORÇAMENTO!$AF$7)*OFFSET(ORÇAMENTO!$W$15,ROW(AO215)-ROW(AO$15),0),15-13*ORÇAMENTO!$AF$11)),0)</f>
        <v>0</v>
      </c>
      <c r="AP215" s="545">
        <f ca="1">IF(AND($D215="Serviço",AP$12&lt;&gt;0,$H215&gt;0,OR(AUTOEVENTO&lt;&gt;"manual",$M215&lt;&gt;1)),
IF(Import.TipoArredondamento&lt;&gt;"TransfereGOV",
ROUND(OFFSET($P215,0,AP$13),15-13*ORÇAMENTO!$AF$7)/$H215*OFFSET(ORÇAMENTO!$X$15,ROW(AP215)-ROW(AP$15),0),
ROUND(ROUND(OFFSET($P215,0,AP$13),15-13*ORÇAMENTO!$AF$7)*OFFSET(ORÇAMENTO!$W$15,ROW(AP215)-ROW(AP$15),0),15-13*ORÇAMENTO!$AF$11)),0)</f>
        <v>0</v>
      </c>
      <c r="AQ215" s="545">
        <f ca="1">IF(AND($D215="Serviço",AQ$12&lt;&gt;0,$H215&gt;0,OR(AUTOEVENTO&lt;&gt;"manual",$M215&lt;&gt;1)),
IF(Import.TipoArredondamento&lt;&gt;"TransfereGOV",
ROUND(OFFSET($P215,0,AQ$13),15-13*ORÇAMENTO!$AF$7)/$H215*OFFSET(ORÇAMENTO!$X$15,ROW(AQ215)-ROW(AQ$15),0),
ROUND(ROUND(OFFSET($P215,0,AQ$13),15-13*ORÇAMENTO!$AF$7)*OFFSET(ORÇAMENTO!$W$15,ROW(AQ215)-ROW(AQ$15),0),15-13*ORÇAMENTO!$AF$11)),0)</f>
        <v>0</v>
      </c>
      <c r="AR215" s="545">
        <f ca="1">IF(AND($D215="Serviço",AR$12&lt;&gt;0,$H215&gt;0,OR(AUTOEVENTO&lt;&gt;"manual",$M215&lt;&gt;1)),
IF(Import.TipoArredondamento&lt;&gt;"TransfereGOV",
ROUND(OFFSET($P215,0,AR$13),15-13*ORÇAMENTO!$AF$7)/$H215*OFFSET(ORÇAMENTO!$X$15,ROW(AR215)-ROW(AR$15),0),
ROUND(ROUND(OFFSET($P215,0,AR$13),15-13*ORÇAMENTO!$AF$7)*OFFSET(ORÇAMENTO!$W$15,ROW(AR215)-ROW(AR$15),0),15-13*ORÇAMENTO!$AF$11)),0)</f>
        <v>0</v>
      </c>
      <c r="AS215" s="546">
        <f ca="1">IF(AND($D215="Serviço",AS$12&lt;&gt;0,$H215&gt;0,OR(AUTOEVENTO&lt;&gt;"manual",$M215&lt;&gt;1)),
IF(Import.TipoArredondamento&lt;&gt;"TransfereGOV",
ROUND(OFFSET($P215,0,AS$13),15-13*ORÇAMENTO!$AF$7)/$H215*OFFSET(ORÇAMENTO!$X$15,ROW(AS215)-ROW(AS$15),0),
ROUND(ROUND(OFFSET($P215,0,AS$13),15-13*ORÇAMENTO!$AF$7)*OFFSET(ORÇAMENTO!$W$15,ROW(AS215)-ROW(AS$15),0),15-13*ORÇAMENTO!$AF$11)),0)</f>
        <v>0</v>
      </c>
      <c r="AT215" s="545">
        <f ca="1">IF(AND($D215="Serviço",AT$12&lt;&gt;0,$H215&gt;0,OR(AUTOEVENTO&lt;&gt;"manual",$M215&lt;&gt;1)),
IF(Import.TipoArredondamento&lt;&gt;"TransfereGOV",
ROUND(OFFSET($P215,0,AT$13),15-13*ORÇAMENTO!$AF$7)/$H215*OFFSET(ORÇAMENTO!$X$15,ROW(AT215)-ROW(AT$15),0),
ROUND(ROUND(OFFSET($P215,0,AT$13),15-13*ORÇAMENTO!$AF$7)*OFFSET(ORÇAMENTO!$W$15,ROW(AT215)-ROW(AT$15),0),15-13*ORÇAMENTO!$AF$11)),0)</f>
        <v>0</v>
      </c>
      <c r="AU215" s="545">
        <f ca="1">IF(AND($D215="Serviço",AU$12&lt;&gt;0,$H215&gt;0,OR(AUTOEVENTO&lt;&gt;"manual",$M215&lt;&gt;1)),
IF(Import.TipoArredondamento&lt;&gt;"TransfereGOV",
ROUND(OFFSET($P215,0,AU$13),15-13*ORÇAMENTO!$AF$7)/$H215*OFFSET(ORÇAMENTO!$X$15,ROW(AU215)-ROW(AU$15),0),
ROUND(ROUND(OFFSET($P215,0,AU$13),15-13*ORÇAMENTO!$AF$7)*OFFSET(ORÇAMENTO!$W$15,ROW(AU215)-ROW(AU$15),0),15-13*ORÇAMENTO!$AF$11)),0)</f>
        <v>0</v>
      </c>
      <c r="AV215" s="545">
        <f ca="1">IF(AND($D215="Serviço",AV$12&lt;&gt;0,$H215&gt;0,OR(AUTOEVENTO&lt;&gt;"manual",$M215&lt;&gt;1)),
IF(Import.TipoArredondamento&lt;&gt;"TransfereGOV",
ROUND(OFFSET($P215,0,AV$13),15-13*ORÇAMENTO!$AF$7)/$H215*OFFSET(ORÇAMENTO!$X$15,ROW(AV215)-ROW(AV$15),0),
ROUND(ROUND(OFFSET($P215,0,AV$13),15-13*ORÇAMENTO!$AF$7)*OFFSET(ORÇAMENTO!$W$15,ROW(AV215)-ROW(AV$15),0),15-13*ORÇAMENTO!$AF$11)),0)</f>
        <v>0</v>
      </c>
      <c r="AW215" s="545">
        <f ca="1">IF(AND($D215="Serviço",AW$12&lt;&gt;0,$H215&gt;0,OR(AUTOEVENTO&lt;&gt;"manual",$M215&lt;&gt;1)),
IF(Import.TipoArredondamento&lt;&gt;"TransfereGOV",
ROUND(OFFSET($P215,0,AW$13),15-13*ORÇAMENTO!$AF$7)/$H215*OFFSET(ORÇAMENTO!$X$15,ROW(AW215)-ROW(AW$15),0),
ROUND(ROUND(OFFSET($P215,0,AW$13),15-13*ORÇAMENTO!$AF$7)*OFFSET(ORÇAMENTO!$W$15,ROW(AW215)-ROW(AW$15),0),15-13*ORÇAMENTO!$AF$11)),0)</f>
        <v>0</v>
      </c>
      <c r="AX215" s="545">
        <f ca="1">IF(AND($D215="Serviço",AX$12&lt;&gt;0,$H215&gt;0,OR(AUTOEVENTO&lt;&gt;"manual",$M215&lt;&gt;1)),
IF(Import.TipoArredondamento&lt;&gt;"TransfereGOV",
ROUND(OFFSET($P215,0,AX$13),15-13*ORÇAMENTO!$AF$7)/$H215*OFFSET(ORÇAMENTO!$X$15,ROW(AX215)-ROW(AX$15),0),
ROUND(ROUND(OFFSET($P215,0,AX$13),15-13*ORÇAMENTO!$AF$7)*OFFSET(ORÇAMENTO!$W$15,ROW(AX215)-ROW(AX$15),0),15-13*ORÇAMENTO!$AF$11)),0)</f>
        <v>0</v>
      </c>
      <c r="AY215" s="545">
        <f ca="1">IF(AND($D215="Serviço",AY$12&lt;&gt;0,$H215&gt;0,OR(AUTOEVENTO&lt;&gt;"manual",$M215&lt;&gt;1)),
IF(Import.TipoArredondamento&lt;&gt;"TransfereGOV",
ROUND(OFFSET($P215,0,AY$13),15-13*ORÇAMENTO!$AF$7)/$H215*OFFSET(ORÇAMENTO!$X$15,ROW(AY215)-ROW(AY$15),0),
ROUND(ROUND(OFFSET($P215,0,AY$13),15-13*ORÇAMENTO!$AF$7)*OFFSET(ORÇAMENTO!$W$15,ROW(AY215)-ROW(AY$15),0),15-13*ORÇAMENTO!$AF$11)),0)</f>
        <v>0</v>
      </c>
      <c r="AZ215" s="545">
        <f ca="1">IF(AND($D215="Serviço",AZ$12&lt;&gt;0,$H215&gt;0,OR(AUTOEVENTO&lt;&gt;"manual",$M215&lt;&gt;1)),
IF(Import.TipoArredondamento&lt;&gt;"TransfereGOV",
ROUND(OFFSET($P215,0,AZ$13),15-13*ORÇAMENTO!$AF$7)/$H215*OFFSET(ORÇAMENTO!$X$15,ROW(AZ215)-ROW(AZ$15),0),
ROUND(ROUND(OFFSET($P215,0,AZ$13),15-13*ORÇAMENTO!$AF$7)*OFFSET(ORÇAMENTO!$W$15,ROW(AZ215)-ROW(AZ$15),0),15-13*ORÇAMENTO!$AF$11)),0)</f>
        <v>0</v>
      </c>
      <c r="BA215" s="546">
        <f ca="1">IF(AND($D215="Serviço",BA$12&lt;&gt;0,$H215&gt;0,OR(AUTOEVENTO&lt;&gt;"manual",$M215&lt;&gt;1)),
IF(Import.TipoArredondamento&lt;&gt;"TransfereGOV",
ROUND(OFFSET($P215,0,BA$13),15-13*ORÇAMENTO!$AF$7)/$H215*OFFSET(ORÇAMENTO!$X$15,ROW(BA215)-ROW(BA$15),0),
ROUND(ROUND(OFFSET($P215,0,BA$13),15-13*ORÇAMENTO!$AF$7)*OFFSET(ORÇAMENTO!$W$15,ROW(BA215)-ROW(BA$15),0),15-13*ORÇAMENTO!$AF$11)),0)</f>
        <v>0</v>
      </c>
      <c r="BC215" s="181">
        <f ca="1">IF($D215&lt;&gt;"Serviço",0,IF(AND(AUTOEVENTO="Manual",$M215=1),0,IF(OFFSET(CRONOPLE!$F$14,$M215,BC$13)="",10^12,OFFSET(CRONOPLE!$F$14,$M215,BC$13))))</f>
        <v>8</v>
      </c>
      <c r="BD215" s="181">
        <f ca="1">IF($D215&lt;&gt;"Serviço",0,IF(AND(AUTOEVENTO="Manual",$M215=1),0,IF(OFFSET(CRONOPLE!$F$14,$M215,BD$13)="",10^12,OFFSET(CRONOPLE!$F$14,$M215,BD$13))))</f>
        <v>1000000000000</v>
      </c>
      <c r="BE215" s="181">
        <f ca="1">IF($D215&lt;&gt;"Serviço",0,IF(AND(AUTOEVENTO="Manual",$M215=1),0,IF(OFFSET(CRONOPLE!$F$14,$M215,BE$13)="",10^12,OFFSET(CRONOPLE!$F$14,$M215,BE$13))))</f>
        <v>1000000000000</v>
      </c>
      <c r="BF215" s="181">
        <f ca="1">IF($D215&lt;&gt;"Serviço",0,IF(AND(AUTOEVENTO="Manual",$M215=1),0,IF(OFFSET(CRONOPLE!$F$14,$M215,BF$13)="",10^12,OFFSET(CRONOPLE!$F$14,$M215,BF$13))))</f>
        <v>1000000000000</v>
      </c>
      <c r="BG215" s="181">
        <f ca="1">IF($D215&lt;&gt;"Serviço",0,IF(AND(AUTOEVENTO="Manual",$M215=1),0,IF(OFFSET(CRONOPLE!$F$14,$M215,BG$13)="",10^12,OFFSET(CRONOPLE!$F$14,$M215,BG$13))))</f>
        <v>1000000000000</v>
      </c>
      <c r="BH215" s="181">
        <f ca="1">IF($D215&lt;&gt;"Serviço",0,IF(AND(AUTOEVENTO="Manual",$M215=1),0,IF(OFFSET(CRONOPLE!$F$14,$M215,BH$13)="",10^12,OFFSET(CRONOPLE!$F$14,$M215,BH$13))))</f>
        <v>1000000000000</v>
      </c>
      <c r="BI215" s="181">
        <f ca="1">IF($D215&lt;&gt;"Serviço",0,IF(AND(AUTOEVENTO="Manual",$M215=1),0,IF(OFFSET(CRONOPLE!$F$14,$M215,BI$13)="",10^12,OFFSET(CRONOPLE!$F$14,$M215,BI$13))))</f>
        <v>1000000000000</v>
      </c>
      <c r="BJ215" s="181">
        <f ca="1">IF($D215&lt;&gt;"Serviço",0,IF(AND(AUTOEVENTO="Manual",$M215=1),0,IF(OFFSET(CRONOPLE!$F$14,$M215,BJ$13)="",10^12,OFFSET(CRONOPLE!$F$14,$M215,BJ$13))))</f>
        <v>1000000000000</v>
      </c>
      <c r="BK215" s="181">
        <f ca="1">IF($D215&lt;&gt;"Serviço",0,IF(AND(AUTOEVENTO="Manual",$M215=1),0,IF(OFFSET(CRONOPLE!$F$14,$M215,BK$13)="",10^12,OFFSET(CRONOPLE!$F$14,$M215,BK$13))))</f>
        <v>1000000000000</v>
      </c>
      <c r="BL215" s="181">
        <f ca="1">IF($D215&lt;&gt;"Serviço",0,IF(AND(AUTOEVENTO="Manual",$M215=1),0,IF(OFFSET(CRONOPLE!$F$14,$M215,BL$13)="",10^12,OFFSET(CRONOPLE!$F$14,$M215,BL$13))))</f>
        <v>1000000000000</v>
      </c>
      <c r="BM215" s="181">
        <f ca="1">IF($D215&lt;&gt;"Serviço",0,IF(AND(AUTOEVENTO="Manual",$M215=1),0,IF(OFFSET(CRONOPLE!$F$14,$M215,BM$13)="",10^12,OFFSET(CRONOPLE!$F$14,$M215,BM$13))))</f>
        <v>1000000000000</v>
      </c>
      <c r="BN215" s="181">
        <f ca="1">IF($D215&lt;&gt;"Serviço",0,IF(AND(AUTOEVENTO="Manual",$M215=1),0,IF(OFFSET(CRONOPLE!$F$14,$M215,BN$13)="",10^12,OFFSET(CRONOPLE!$F$14,$M215,BN$13))))</f>
        <v>1000000000000</v>
      </c>
      <c r="BO215" s="181">
        <f ca="1">IF($D215&lt;&gt;"Serviço",0,IF(AND(AUTOEVENTO="Manual",$M215=1),0,IF(OFFSET(CRONOPLE!$F$14,$M215,BO$13)="",10^12,OFFSET(CRONOPLE!$F$14,$M215,BO$13))))</f>
        <v>1000000000000</v>
      </c>
      <c r="BP215" s="181">
        <f ca="1">IF($D215&lt;&gt;"Serviço",0,IF(AND(AUTOEVENTO="Manual",$M215=1),0,IF(OFFSET(CRONOPLE!$F$14,$M215,BP$13)="",10^12,OFFSET(CRONOPLE!$F$14,$M215,BP$13))))</f>
        <v>1000000000000</v>
      </c>
      <c r="BQ215" s="181">
        <f ca="1">IF($D215&lt;&gt;"Serviço",0,IF(AND(AUTOEVENTO="Manual",$M215=1),0,IF(OFFSET(CRONOPLE!$F$14,$M215,BQ$13)="",10^12,OFFSET(CRONOPLE!$F$14,$M215,BQ$13))))</f>
        <v>1000000000000</v>
      </c>
      <c r="BR215" s="181">
        <f ca="1">IF($D215&lt;&gt;"Serviço",0,IF(AND(AUTOEVENTO="Manual",$M215=1),0,IF(OFFSET(CRONOPLE!$F$14,$M215,BR$13)="",10^12,OFFSET(CRONOPLE!$F$14,$M215,BR$13))))</f>
        <v>1000000000000</v>
      </c>
      <c r="BS215" s="181">
        <f ca="1">IF($D215&lt;&gt;"Serviço",0,IF(AND(AUTOEVENTO="Manual",$M215=1),0,IF(OFFSET(CRONOPLE!$F$14,$M215,BS$13)="",10^12,OFFSET(CRONOPLE!$F$14,$M215,BS$13))))</f>
        <v>1000000000000</v>
      </c>
      <c r="BT215" s="181">
        <f ca="1">IF($D215&lt;&gt;"Serviço",0,IF(AND(AUTOEVENTO="Manual",$M215=1),0,IF(OFFSET(CRONOPLE!$F$14,$M215,BT$13)="",10^12,OFFSET(CRONOPLE!$F$14,$M215,BT$13))))</f>
        <v>1000000000000</v>
      </c>
      <c r="BV215" s="182">
        <f ca="1">IF($D215&lt;&gt;"Serviço",0,IF(OR(AND(AUTOEVENTO="Manual",$M215=1),$M215&gt;(ROW(PLE.lastrow)-ROW(PLE.firstrow))),0,IF(OFFSET(PLE!$G$14,$M215,BV$13)="",10^12,OFFSET(PLE!$G$14,$M215,BV$13))))</f>
        <v>1000000000000</v>
      </c>
      <c r="BW215" s="182">
        <f ca="1">IF($D215&lt;&gt;"Serviço",0,IF(OR(AND(AUTOEVENTO="Manual",$M215=1),$M215&gt;(ROW(PLE.lastrow)-ROW(PLE.firstrow))),0,IF(OFFSET(PLE!$G$14,$M215,BW$13)="",10^12,OFFSET(PLE!$G$14,$M215,BW$13))))</f>
        <v>1000000000000</v>
      </c>
      <c r="BX215" s="182">
        <f ca="1">IF($D215&lt;&gt;"Serviço",0,IF(OR(AND(AUTOEVENTO="Manual",$M215=1),$M215&gt;(ROW(PLE.lastrow)-ROW(PLE.firstrow))),0,IF(OFFSET(PLE!$G$14,$M215,BX$13)="",10^12,OFFSET(PLE!$G$14,$M215,BX$13))))</f>
        <v>1000000000000</v>
      </c>
      <c r="BY215" s="182">
        <f ca="1">IF($D215&lt;&gt;"Serviço",0,IF(OR(AND(AUTOEVENTO="Manual",$M215=1),$M215&gt;(ROW(PLE.lastrow)-ROW(PLE.firstrow))),0,IF(OFFSET(PLE!$G$14,$M215,BY$13)="",10^12,OFFSET(PLE!$G$14,$M215,BY$13))))</f>
        <v>1000000000000</v>
      </c>
      <c r="BZ215" s="182">
        <f ca="1">IF($D215&lt;&gt;"Serviço",0,IF(OR(AND(AUTOEVENTO="Manual",$M215=1),$M215&gt;(ROW(PLE.lastrow)-ROW(PLE.firstrow))),0,IF(OFFSET(PLE!$G$14,$M215,BZ$13)="",10^12,OFFSET(PLE!$G$14,$M215,BZ$13))))</f>
        <v>1000000000000</v>
      </c>
      <c r="CA215" s="182">
        <f ca="1">IF($D215&lt;&gt;"Serviço",0,IF(OR(AND(AUTOEVENTO="Manual",$M215=1),$M215&gt;(ROW(PLE.lastrow)-ROW(PLE.firstrow))),0,IF(OFFSET(PLE!$G$14,$M215,CA$13)="",10^12,OFFSET(PLE!$G$14,$M215,CA$13))))</f>
        <v>1000000000000</v>
      </c>
      <c r="CB215" s="182">
        <f ca="1">IF($D215&lt;&gt;"Serviço",0,IF(OR(AND(AUTOEVENTO="Manual",$M215=1),$M215&gt;(ROW(PLE.lastrow)-ROW(PLE.firstrow))),0,IF(OFFSET(PLE!$G$14,$M215,CB$13)="",10^12,OFFSET(PLE!$G$14,$M215,CB$13))))</f>
        <v>1000000000000</v>
      </c>
      <c r="CC215" s="182">
        <f ca="1">IF($D215&lt;&gt;"Serviço",0,IF(OR(AND(AUTOEVENTO="Manual",$M215=1),$M215&gt;(ROW(PLE.lastrow)-ROW(PLE.firstrow))),0,IF(OFFSET(PLE!$G$14,$M215,CC$13)="",10^12,OFFSET(PLE!$G$14,$M215,CC$13))))</f>
        <v>1000000000000</v>
      </c>
      <c r="CD215" s="182">
        <f ca="1">IF($D215&lt;&gt;"Serviço",0,IF(OR(AND(AUTOEVENTO="Manual",$M215=1),$M215&gt;(ROW(PLE.lastrow)-ROW(PLE.firstrow))),0,IF(OFFSET(PLE!$G$14,$M215,CD$13)="",10^12,OFFSET(PLE!$G$14,$M215,CD$13))))</f>
        <v>1000000000000</v>
      </c>
      <c r="CE215" s="182">
        <f ca="1">IF($D215&lt;&gt;"Serviço",0,IF(OR(AND(AUTOEVENTO="Manual",$M215=1),$M215&gt;(ROW(PLE.lastrow)-ROW(PLE.firstrow))),0,IF(OFFSET(PLE!$G$14,$M215,CE$13)="",10^12,OFFSET(PLE!$G$14,$M215,CE$13))))</f>
        <v>1000000000000</v>
      </c>
      <c r="CF215" s="182">
        <f ca="1">IF($D215&lt;&gt;"Serviço",0,IF(OR(AND(AUTOEVENTO="Manual",$M215=1),$M215&gt;(ROW(PLE.lastrow)-ROW(PLE.firstrow))),0,IF(OFFSET(PLE!$G$14,$M215,CF$13)="",10^12,OFFSET(PLE!$G$14,$M215,CF$13))))</f>
        <v>1000000000000</v>
      </c>
      <c r="CG215" s="182">
        <f ca="1">IF($D215&lt;&gt;"Serviço",0,IF(OR(AND(AUTOEVENTO="Manual",$M215=1),$M215&gt;(ROW(PLE.lastrow)-ROW(PLE.firstrow))),0,IF(OFFSET(PLE!$G$14,$M215,CG$13)="",10^12,OFFSET(PLE!$G$14,$M215,CG$13))))</f>
        <v>1000000000000</v>
      </c>
      <c r="CH215" s="182">
        <f ca="1">IF($D215&lt;&gt;"Serviço",0,IF(OR(AND(AUTOEVENTO="Manual",$M215=1),$M215&gt;(ROW(PLE.lastrow)-ROW(PLE.firstrow))),0,IF(OFFSET(PLE!$G$14,$M215,CH$13)="",10^12,OFFSET(PLE!$G$14,$M215,CH$13))))</f>
        <v>1000000000000</v>
      </c>
      <c r="CI215" s="182">
        <f ca="1">IF($D215&lt;&gt;"Serviço",0,IF(OR(AND(AUTOEVENTO="Manual",$M215=1),$M215&gt;(ROW(PLE.lastrow)-ROW(PLE.firstrow))),0,IF(OFFSET(PLE!$G$14,$M215,CI$13)="",10^12,OFFSET(PLE!$G$14,$M215,CI$13))))</f>
        <v>1000000000000</v>
      </c>
      <c r="CJ215" s="182">
        <f ca="1">IF($D215&lt;&gt;"Serviço",0,IF(OR(AND(AUTOEVENTO="Manual",$M215=1),$M215&gt;(ROW(PLE.lastrow)-ROW(PLE.firstrow))),0,IF(OFFSET(PLE!$G$14,$M215,CJ$13)="",10^12,OFFSET(PLE!$G$14,$M215,CJ$13))))</f>
        <v>1000000000000</v>
      </c>
      <c r="CK215" s="182">
        <f ca="1">IF($D215&lt;&gt;"Serviço",0,IF(OR(AND(AUTOEVENTO="Manual",$M215=1),$M215&gt;(ROW(PLE.lastrow)-ROW(PLE.firstrow))),0,IF(OFFSET(PLE!$G$14,$M215,CK$13)="",10^12,OFFSET(PLE!$G$14,$M215,CK$13))))</f>
        <v>1000000000000</v>
      </c>
      <c r="CL215" s="182">
        <f ca="1">IF($D215&lt;&gt;"Serviço",0,IF(OR(AND(AUTOEVENTO="Manual",$M215=1),$M215&gt;(ROW(PLE.lastrow)-ROW(PLE.firstrow))),0,IF(OFFSET(PLE!$G$14,$M215,CL$13)="",10^12,OFFSET(PLE!$G$14,$M215,CL$13))))</f>
        <v>1000000000000</v>
      </c>
      <c r="CM215" s="182">
        <f ca="1">IF($D215&lt;&gt;"Serviço",0,IF(OR(AND(AUTOEVENTO="Manual",$M215=1),$M215&gt;(ROW(PLE.lastrow)-ROW(PLE.firstrow))),0,IF(OFFSET(PLE!$G$14,$M215,CM$13)="",10^12,OFFSET(PLE!$G$14,$M215,CM$13))))</f>
        <v>1000000000000</v>
      </c>
    </row>
    <row r="216" spans="1:91" ht="25.5" x14ac:dyDescent="0.2">
      <c r="A216" s="7" t="str">
        <f t="shared" ca="1" si="12"/>
        <v>197</v>
      </c>
      <c r="B216" s="7" t="str">
        <f ca="1">OFFSET(ORÇAMENTO!C$15,ROW(B216)-ROW(B$15),0)</f>
        <v>S</v>
      </c>
      <c r="C216" s="7" t="str">
        <f ca="1">OFFSET(ORÇAMENTO!L$15,ROW(C216)-ROW(C$15),0)</f>
        <v/>
      </c>
      <c r="D216" s="118" t="str">
        <f ca="1">OFFSET(ORÇAMENTO!N$15,ROW(D216)-ROW(D$15),0)</f>
        <v>Serviço</v>
      </c>
      <c r="E216" s="119" t="str">
        <f ca="1">OFFSET(ORÇAMENTO!O$15,ROW(E216)-ROW(E$15),0)</f>
        <v>-</v>
      </c>
      <c r="F216" s="172" t="str">
        <f ca="1">OFFSET(ORÇAMENTO!R$15,ROW(F216)-ROW(F$15),0)</f>
        <v>(abra o arquivo 'Referência 06-2024.xlsm)</v>
      </c>
      <c r="G216" s="173" t="str">
        <f ca="1">IF($D216&lt;&gt;"Serviço","",OFFSET(ORÇAMENTO!S$15,ROW(G216)-ROW(G$15),0))</f>
        <v>-</v>
      </c>
      <c r="H216" s="124">
        <f ca="1">IF($D216&lt;&gt;"Serviço",0,IF(ACOMPANHAMENTO="BM",ROUND(OFFSET(ORÇAMENTO!AJ$15,ROW(H216)-ROW(H$15),0),15-13*ORÇAMENTO!$AF$7),SUMPRODUCT(($Q$12:$AI$12&lt;&gt;"")*ROUND($Q216:$AI216,15-13*ORÇAMENTO!$AF$7))))</f>
        <v>38.76</v>
      </c>
      <c r="I216" s="561" t="s">
        <v>1107</v>
      </c>
      <c r="K216" s="174"/>
      <c r="L216" s="175" t="s">
        <v>255</v>
      </c>
      <c r="M216" s="176">
        <f ca="1">IF($D216&lt;&gt;"Serviço","",IF(AUTOEVENTO="manual",$A216,IF(ISERROR(MATCH($A216,$A$15:OFFSET($A216,-1,0),0)),MAX($M$15:OFFSET(M216,-1,0))+1,INDEX($M$15:OFFSET(M216,-1,0),MATCH($A216,$A$15:OFFSET($A216,-1,0),0)))))</f>
        <v>29</v>
      </c>
      <c r="N216" s="177" t="str">
        <f ca="1">IF($D216&lt;&gt;"Serviço","",IF(AUTOEVENTO="Manual",IF($A216=0,"&lt;-- defina o número do agrupador",OFFSET(EVENTOS!$D$14,$A216,0)),OFFSET($F$15,$A216,0)))</f>
        <v>SISTEMAS DE PISOS - PAVIMENTAÇÃO EXTERNA</v>
      </c>
      <c r="O216" s="178"/>
      <c r="Q216" s="178">
        <v>38.76</v>
      </c>
      <c r="R216" s="179"/>
      <c r="S216" s="179"/>
      <c r="T216" s="179"/>
      <c r="U216" s="179"/>
      <c r="V216" s="179"/>
      <c r="W216" s="179"/>
      <c r="X216" s="179"/>
      <c r="Y216" s="179"/>
      <c r="Z216" s="180"/>
      <c r="AA216" s="179"/>
      <c r="AB216" s="179"/>
      <c r="AC216" s="179"/>
      <c r="AD216" s="179"/>
      <c r="AE216" s="179"/>
      <c r="AF216" s="179"/>
      <c r="AG216" s="179"/>
      <c r="AH216" s="180"/>
      <c r="AJ216" s="544">
        <f ca="1">IF(AND($D216="Serviço",AJ$12&lt;&gt;0,$H216&gt;0,OR(AUTOEVENTO&lt;&gt;"manual",$M216&lt;&gt;1)),
IF(Import.TipoArredondamento&lt;&gt;"TransfereGOV",
ROUND(OFFSET($P216,0,AJ$13),15-13*ORÇAMENTO!$AF$7)/$H216*OFFSET(ORÇAMENTO!$X$15,ROW(AJ216)-ROW(AJ$15),0),
ROUND(ROUND(OFFSET($P216,0,AJ$13),15-13*ORÇAMENTO!$AF$7)*OFFSET(ORÇAMENTO!$W$15,ROW(AJ216)-ROW(AJ$15),0),15-13*ORÇAMENTO!$AF$11)),0)</f>
        <v>0</v>
      </c>
      <c r="AK216" s="545">
        <f ca="1">IF(AND($D216="Serviço",AK$12&lt;&gt;0,$H216&gt;0,OR(AUTOEVENTO&lt;&gt;"manual",$M216&lt;&gt;1)),
IF(Import.TipoArredondamento&lt;&gt;"TransfereGOV",
ROUND(OFFSET($P216,0,AK$13),15-13*ORÇAMENTO!$AF$7)/$H216*OFFSET(ORÇAMENTO!$X$15,ROW(AK216)-ROW(AK$15),0),
ROUND(ROUND(OFFSET($P216,0,AK$13),15-13*ORÇAMENTO!$AF$7)*OFFSET(ORÇAMENTO!$W$15,ROW(AK216)-ROW(AK$15),0),15-13*ORÇAMENTO!$AF$11)),0)</f>
        <v>0</v>
      </c>
      <c r="AL216" s="545">
        <f ca="1">IF(AND($D216="Serviço",AL$12&lt;&gt;0,$H216&gt;0,OR(AUTOEVENTO&lt;&gt;"manual",$M216&lt;&gt;1)),
IF(Import.TipoArredondamento&lt;&gt;"TransfereGOV",
ROUND(OFFSET($P216,0,AL$13),15-13*ORÇAMENTO!$AF$7)/$H216*OFFSET(ORÇAMENTO!$X$15,ROW(AL216)-ROW(AL$15),0),
ROUND(ROUND(OFFSET($P216,0,AL$13),15-13*ORÇAMENTO!$AF$7)*OFFSET(ORÇAMENTO!$W$15,ROW(AL216)-ROW(AL$15),0),15-13*ORÇAMENTO!$AF$11)),0)</f>
        <v>0</v>
      </c>
      <c r="AM216" s="545">
        <f ca="1">IF(AND($D216="Serviço",AM$12&lt;&gt;0,$H216&gt;0,OR(AUTOEVENTO&lt;&gt;"manual",$M216&lt;&gt;1)),
IF(Import.TipoArredondamento&lt;&gt;"TransfereGOV",
ROUND(OFFSET($P216,0,AM$13),15-13*ORÇAMENTO!$AF$7)/$H216*OFFSET(ORÇAMENTO!$X$15,ROW(AM216)-ROW(AM$15),0),
ROUND(ROUND(OFFSET($P216,0,AM$13),15-13*ORÇAMENTO!$AF$7)*OFFSET(ORÇAMENTO!$W$15,ROW(AM216)-ROW(AM$15),0),15-13*ORÇAMENTO!$AF$11)),0)</f>
        <v>0</v>
      </c>
      <c r="AN216" s="545">
        <f ca="1">IF(AND($D216="Serviço",AN$12&lt;&gt;0,$H216&gt;0,OR(AUTOEVENTO&lt;&gt;"manual",$M216&lt;&gt;1)),
IF(Import.TipoArredondamento&lt;&gt;"TransfereGOV",
ROUND(OFFSET($P216,0,AN$13),15-13*ORÇAMENTO!$AF$7)/$H216*OFFSET(ORÇAMENTO!$X$15,ROW(AN216)-ROW(AN$15),0),
ROUND(ROUND(OFFSET($P216,0,AN$13),15-13*ORÇAMENTO!$AF$7)*OFFSET(ORÇAMENTO!$W$15,ROW(AN216)-ROW(AN$15),0),15-13*ORÇAMENTO!$AF$11)),0)</f>
        <v>0</v>
      </c>
      <c r="AO216" s="545">
        <f ca="1">IF(AND($D216="Serviço",AO$12&lt;&gt;0,$H216&gt;0,OR(AUTOEVENTO&lt;&gt;"manual",$M216&lt;&gt;1)),
IF(Import.TipoArredondamento&lt;&gt;"TransfereGOV",
ROUND(OFFSET($P216,0,AO$13),15-13*ORÇAMENTO!$AF$7)/$H216*OFFSET(ORÇAMENTO!$X$15,ROW(AO216)-ROW(AO$15),0),
ROUND(ROUND(OFFSET($P216,0,AO$13),15-13*ORÇAMENTO!$AF$7)*OFFSET(ORÇAMENTO!$W$15,ROW(AO216)-ROW(AO$15),0),15-13*ORÇAMENTO!$AF$11)),0)</f>
        <v>0</v>
      </c>
      <c r="AP216" s="545">
        <f ca="1">IF(AND($D216="Serviço",AP$12&lt;&gt;0,$H216&gt;0,OR(AUTOEVENTO&lt;&gt;"manual",$M216&lt;&gt;1)),
IF(Import.TipoArredondamento&lt;&gt;"TransfereGOV",
ROUND(OFFSET($P216,0,AP$13),15-13*ORÇAMENTO!$AF$7)/$H216*OFFSET(ORÇAMENTO!$X$15,ROW(AP216)-ROW(AP$15),0),
ROUND(ROUND(OFFSET($P216,0,AP$13),15-13*ORÇAMENTO!$AF$7)*OFFSET(ORÇAMENTO!$W$15,ROW(AP216)-ROW(AP$15),0),15-13*ORÇAMENTO!$AF$11)),0)</f>
        <v>0</v>
      </c>
      <c r="AQ216" s="545">
        <f ca="1">IF(AND($D216="Serviço",AQ$12&lt;&gt;0,$H216&gt;0,OR(AUTOEVENTO&lt;&gt;"manual",$M216&lt;&gt;1)),
IF(Import.TipoArredondamento&lt;&gt;"TransfereGOV",
ROUND(OFFSET($P216,0,AQ$13),15-13*ORÇAMENTO!$AF$7)/$H216*OFFSET(ORÇAMENTO!$X$15,ROW(AQ216)-ROW(AQ$15),0),
ROUND(ROUND(OFFSET($P216,0,AQ$13),15-13*ORÇAMENTO!$AF$7)*OFFSET(ORÇAMENTO!$W$15,ROW(AQ216)-ROW(AQ$15),0),15-13*ORÇAMENTO!$AF$11)),0)</f>
        <v>0</v>
      </c>
      <c r="AR216" s="545">
        <f ca="1">IF(AND($D216="Serviço",AR$12&lt;&gt;0,$H216&gt;0,OR(AUTOEVENTO&lt;&gt;"manual",$M216&lt;&gt;1)),
IF(Import.TipoArredondamento&lt;&gt;"TransfereGOV",
ROUND(OFFSET($P216,0,AR$13),15-13*ORÇAMENTO!$AF$7)/$H216*OFFSET(ORÇAMENTO!$X$15,ROW(AR216)-ROW(AR$15),0),
ROUND(ROUND(OFFSET($P216,0,AR$13),15-13*ORÇAMENTO!$AF$7)*OFFSET(ORÇAMENTO!$W$15,ROW(AR216)-ROW(AR$15),0),15-13*ORÇAMENTO!$AF$11)),0)</f>
        <v>0</v>
      </c>
      <c r="AS216" s="546">
        <f ca="1">IF(AND($D216="Serviço",AS$12&lt;&gt;0,$H216&gt;0,OR(AUTOEVENTO&lt;&gt;"manual",$M216&lt;&gt;1)),
IF(Import.TipoArredondamento&lt;&gt;"TransfereGOV",
ROUND(OFFSET($P216,0,AS$13),15-13*ORÇAMENTO!$AF$7)/$H216*OFFSET(ORÇAMENTO!$X$15,ROW(AS216)-ROW(AS$15),0),
ROUND(ROUND(OFFSET($P216,0,AS$13),15-13*ORÇAMENTO!$AF$7)*OFFSET(ORÇAMENTO!$W$15,ROW(AS216)-ROW(AS$15),0),15-13*ORÇAMENTO!$AF$11)),0)</f>
        <v>0</v>
      </c>
      <c r="AT216" s="545">
        <f ca="1">IF(AND($D216="Serviço",AT$12&lt;&gt;0,$H216&gt;0,OR(AUTOEVENTO&lt;&gt;"manual",$M216&lt;&gt;1)),
IF(Import.TipoArredondamento&lt;&gt;"TransfereGOV",
ROUND(OFFSET($P216,0,AT$13),15-13*ORÇAMENTO!$AF$7)/$H216*OFFSET(ORÇAMENTO!$X$15,ROW(AT216)-ROW(AT$15),0),
ROUND(ROUND(OFFSET($P216,0,AT$13),15-13*ORÇAMENTO!$AF$7)*OFFSET(ORÇAMENTO!$W$15,ROW(AT216)-ROW(AT$15),0),15-13*ORÇAMENTO!$AF$11)),0)</f>
        <v>0</v>
      </c>
      <c r="AU216" s="545">
        <f ca="1">IF(AND($D216="Serviço",AU$12&lt;&gt;0,$H216&gt;0,OR(AUTOEVENTO&lt;&gt;"manual",$M216&lt;&gt;1)),
IF(Import.TipoArredondamento&lt;&gt;"TransfereGOV",
ROUND(OFFSET($P216,0,AU$13),15-13*ORÇAMENTO!$AF$7)/$H216*OFFSET(ORÇAMENTO!$X$15,ROW(AU216)-ROW(AU$15),0),
ROUND(ROUND(OFFSET($P216,0,AU$13),15-13*ORÇAMENTO!$AF$7)*OFFSET(ORÇAMENTO!$W$15,ROW(AU216)-ROW(AU$15),0),15-13*ORÇAMENTO!$AF$11)),0)</f>
        <v>0</v>
      </c>
      <c r="AV216" s="545">
        <f ca="1">IF(AND($D216="Serviço",AV$12&lt;&gt;0,$H216&gt;0,OR(AUTOEVENTO&lt;&gt;"manual",$M216&lt;&gt;1)),
IF(Import.TipoArredondamento&lt;&gt;"TransfereGOV",
ROUND(OFFSET($P216,0,AV$13),15-13*ORÇAMENTO!$AF$7)/$H216*OFFSET(ORÇAMENTO!$X$15,ROW(AV216)-ROW(AV$15),0),
ROUND(ROUND(OFFSET($P216,0,AV$13),15-13*ORÇAMENTO!$AF$7)*OFFSET(ORÇAMENTO!$W$15,ROW(AV216)-ROW(AV$15),0),15-13*ORÇAMENTO!$AF$11)),0)</f>
        <v>0</v>
      </c>
      <c r="AW216" s="545">
        <f ca="1">IF(AND($D216="Serviço",AW$12&lt;&gt;0,$H216&gt;0,OR(AUTOEVENTO&lt;&gt;"manual",$M216&lt;&gt;1)),
IF(Import.TipoArredondamento&lt;&gt;"TransfereGOV",
ROUND(OFFSET($P216,0,AW$13),15-13*ORÇAMENTO!$AF$7)/$H216*OFFSET(ORÇAMENTO!$X$15,ROW(AW216)-ROW(AW$15),0),
ROUND(ROUND(OFFSET($P216,0,AW$13),15-13*ORÇAMENTO!$AF$7)*OFFSET(ORÇAMENTO!$W$15,ROW(AW216)-ROW(AW$15),0),15-13*ORÇAMENTO!$AF$11)),0)</f>
        <v>0</v>
      </c>
      <c r="AX216" s="545">
        <f ca="1">IF(AND($D216="Serviço",AX$12&lt;&gt;0,$H216&gt;0,OR(AUTOEVENTO&lt;&gt;"manual",$M216&lt;&gt;1)),
IF(Import.TipoArredondamento&lt;&gt;"TransfereGOV",
ROUND(OFFSET($P216,0,AX$13),15-13*ORÇAMENTO!$AF$7)/$H216*OFFSET(ORÇAMENTO!$X$15,ROW(AX216)-ROW(AX$15),0),
ROUND(ROUND(OFFSET($P216,0,AX$13),15-13*ORÇAMENTO!$AF$7)*OFFSET(ORÇAMENTO!$W$15,ROW(AX216)-ROW(AX$15),0),15-13*ORÇAMENTO!$AF$11)),0)</f>
        <v>0</v>
      </c>
      <c r="AY216" s="545">
        <f ca="1">IF(AND($D216="Serviço",AY$12&lt;&gt;0,$H216&gt;0,OR(AUTOEVENTO&lt;&gt;"manual",$M216&lt;&gt;1)),
IF(Import.TipoArredondamento&lt;&gt;"TransfereGOV",
ROUND(OFFSET($P216,0,AY$13),15-13*ORÇAMENTO!$AF$7)/$H216*OFFSET(ORÇAMENTO!$X$15,ROW(AY216)-ROW(AY$15),0),
ROUND(ROUND(OFFSET($P216,0,AY$13),15-13*ORÇAMENTO!$AF$7)*OFFSET(ORÇAMENTO!$W$15,ROW(AY216)-ROW(AY$15),0),15-13*ORÇAMENTO!$AF$11)),0)</f>
        <v>0</v>
      </c>
      <c r="AZ216" s="545">
        <f ca="1">IF(AND($D216="Serviço",AZ$12&lt;&gt;0,$H216&gt;0,OR(AUTOEVENTO&lt;&gt;"manual",$M216&lt;&gt;1)),
IF(Import.TipoArredondamento&lt;&gt;"TransfereGOV",
ROUND(OFFSET($P216,0,AZ$13),15-13*ORÇAMENTO!$AF$7)/$H216*OFFSET(ORÇAMENTO!$X$15,ROW(AZ216)-ROW(AZ$15),0),
ROUND(ROUND(OFFSET($P216,0,AZ$13),15-13*ORÇAMENTO!$AF$7)*OFFSET(ORÇAMENTO!$W$15,ROW(AZ216)-ROW(AZ$15),0),15-13*ORÇAMENTO!$AF$11)),0)</f>
        <v>0</v>
      </c>
      <c r="BA216" s="546">
        <f ca="1">IF(AND($D216="Serviço",BA$12&lt;&gt;0,$H216&gt;0,OR(AUTOEVENTO&lt;&gt;"manual",$M216&lt;&gt;1)),
IF(Import.TipoArredondamento&lt;&gt;"TransfereGOV",
ROUND(OFFSET($P216,0,BA$13),15-13*ORÇAMENTO!$AF$7)/$H216*OFFSET(ORÇAMENTO!$X$15,ROW(BA216)-ROW(BA$15),0),
ROUND(ROUND(OFFSET($P216,0,BA$13),15-13*ORÇAMENTO!$AF$7)*OFFSET(ORÇAMENTO!$W$15,ROW(BA216)-ROW(BA$15),0),15-13*ORÇAMENTO!$AF$11)),0)</f>
        <v>0</v>
      </c>
      <c r="BC216" s="181">
        <f ca="1">IF($D216&lt;&gt;"Serviço",0,IF(AND(AUTOEVENTO="Manual",$M216=1),0,IF(OFFSET(CRONOPLE!$F$14,$M216,BC$13)="",10^12,OFFSET(CRONOPLE!$F$14,$M216,BC$13))))</f>
        <v>8</v>
      </c>
      <c r="BD216" s="181">
        <f ca="1">IF($D216&lt;&gt;"Serviço",0,IF(AND(AUTOEVENTO="Manual",$M216=1),0,IF(OFFSET(CRONOPLE!$F$14,$M216,BD$13)="",10^12,OFFSET(CRONOPLE!$F$14,$M216,BD$13))))</f>
        <v>1000000000000</v>
      </c>
      <c r="BE216" s="181">
        <f ca="1">IF($D216&lt;&gt;"Serviço",0,IF(AND(AUTOEVENTO="Manual",$M216=1),0,IF(OFFSET(CRONOPLE!$F$14,$M216,BE$13)="",10^12,OFFSET(CRONOPLE!$F$14,$M216,BE$13))))</f>
        <v>1000000000000</v>
      </c>
      <c r="BF216" s="181">
        <f ca="1">IF($D216&lt;&gt;"Serviço",0,IF(AND(AUTOEVENTO="Manual",$M216=1),0,IF(OFFSET(CRONOPLE!$F$14,$M216,BF$13)="",10^12,OFFSET(CRONOPLE!$F$14,$M216,BF$13))))</f>
        <v>1000000000000</v>
      </c>
      <c r="BG216" s="181">
        <f ca="1">IF($D216&lt;&gt;"Serviço",0,IF(AND(AUTOEVENTO="Manual",$M216=1),0,IF(OFFSET(CRONOPLE!$F$14,$M216,BG$13)="",10^12,OFFSET(CRONOPLE!$F$14,$M216,BG$13))))</f>
        <v>1000000000000</v>
      </c>
      <c r="BH216" s="181">
        <f ca="1">IF($D216&lt;&gt;"Serviço",0,IF(AND(AUTOEVENTO="Manual",$M216=1),0,IF(OFFSET(CRONOPLE!$F$14,$M216,BH$13)="",10^12,OFFSET(CRONOPLE!$F$14,$M216,BH$13))))</f>
        <v>1000000000000</v>
      </c>
      <c r="BI216" s="181">
        <f ca="1">IF($D216&lt;&gt;"Serviço",0,IF(AND(AUTOEVENTO="Manual",$M216=1),0,IF(OFFSET(CRONOPLE!$F$14,$M216,BI$13)="",10^12,OFFSET(CRONOPLE!$F$14,$M216,BI$13))))</f>
        <v>1000000000000</v>
      </c>
      <c r="BJ216" s="181">
        <f ca="1">IF($D216&lt;&gt;"Serviço",0,IF(AND(AUTOEVENTO="Manual",$M216=1),0,IF(OFFSET(CRONOPLE!$F$14,$M216,BJ$13)="",10^12,OFFSET(CRONOPLE!$F$14,$M216,BJ$13))))</f>
        <v>1000000000000</v>
      </c>
      <c r="BK216" s="181">
        <f ca="1">IF($D216&lt;&gt;"Serviço",0,IF(AND(AUTOEVENTO="Manual",$M216=1),0,IF(OFFSET(CRONOPLE!$F$14,$M216,BK$13)="",10^12,OFFSET(CRONOPLE!$F$14,$M216,BK$13))))</f>
        <v>1000000000000</v>
      </c>
      <c r="BL216" s="181">
        <f ca="1">IF($D216&lt;&gt;"Serviço",0,IF(AND(AUTOEVENTO="Manual",$M216=1),0,IF(OFFSET(CRONOPLE!$F$14,$M216,BL$13)="",10^12,OFFSET(CRONOPLE!$F$14,$M216,BL$13))))</f>
        <v>1000000000000</v>
      </c>
      <c r="BM216" s="181">
        <f ca="1">IF($D216&lt;&gt;"Serviço",0,IF(AND(AUTOEVENTO="Manual",$M216=1),0,IF(OFFSET(CRONOPLE!$F$14,$M216,BM$13)="",10^12,OFFSET(CRONOPLE!$F$14,$M216,BM$13))))</f>
        <v>1000000000000</v>
      </c>
      <c r="BN216" s="181">
        <f ca="1">IF($D216&lt;&gt;"Serviço",0,IF(AND(AUTOEVENTO="Manual",$M216=1),0,IF(OFFSET(CRONOPLE!$F$14,$M216,BN$13)="",10^12,OFFSET(CRONOPLE!$F$14,$M216,BN$13))))</f>
        <v>1000000000000</v>
      </c>
      <c r="BO216" s="181">
        <f ca="1">IF($D216&lt;&gt;"Serviço",0,IF(AND(AUTOEVENTO="Manual",$M216=1),0,IF(OFFSET(CRONOPLE!$F$14,$M216,BO$13)="",10^12,OFFSET(CRONOPLE!$F$14,$M216,BO$13))))</f>
        <v>1000000000000</v>
      </c>
      <c r="BP216" s="181">
        <f ca="1">IF($D216&lt;&gt;"Serviço",0,IF(AND(AUTOEVENTO="Manual",$M216=1),0,IF(OFFSET(CRONOPLE!$F$14,$M216,BP$13)="",10^12,OFFSET(CRONOPLE!$F$14,$M216,BP$13))))</f>
        <v>1000000000000</v>
      </c>
      <c r="BQ216" s="181">
        <f ca="1">IF($D216&lt;&gt;"Serviço",0,IF(AND(AUTOEVENTO="Manual",$M216=1),0,IF(OFFSET(CRONOPLE!$F$14,$M216,BQ$13)="",10^12,OFFSET(CRONOPLE!$F$14,$M216,BQ$13))))</f>
        <v>1000000000000</v>
      </c>
      <c r="BR216" s="181">
        <f ca="1">IF($D216&lt;&gt;"Serviço",0,IF(AND(AUTOEVENTO="Manual",$M216=1),0,IF(OFFSET(CRONOPLE!$F$14,$M216,BR$13)="",10^12,OFFSET(CRONOPLE!$F$14,$M216,BR$13))))</f>
        <v>1000000000000</v>
      </c>
      <c r="BS216" s="181">
        <f ca="1">IF($D216&lt;&gt;"Serviço",0,IF(AND(AUTOEVENTO="Manual",$M216=1),0,IF(OFFSET(CRONOPLE!$F$14,$M216,BS$13)="",10^12,OFFSET(CRONOPLE!$F$14,$M216,BS$13))))</f>
        <v>1000000000000</v>
      </c>
      <c r="BT216" s="181">
        <f ca="1">IF($D216&lt;&gt;"Serviço",0,IF(AND(AUTOEVENTO="Manual",$M216=1),0,IF(OFFSET(CRONOPLE!$F$14,$M216,BT$13)="",10^12,OFFSET(CRONOPLE!$F$14,$M216,BT$13))))</f>
        <v>1000000000000</v>
      </c>
      <c r="BV216" s="182">
        <f ca="1">IF($D216&lt;&gt;"Serviço",0,IF(OR(AND(AUTOEVENTO="Manual",$M216=1),$M216&gt;(ROW(PLE.lastrow)-ROW(PLE.firstrow))),0,IF(OFFSET(PLE!$G$14,$M216,BV$13)="",10^12,OFFSET(PLE!$G$14,$M216,BV$13))))</f>
        <v>1000000000000</v>
      </c>
      <c r="BW216" s="182">
        <f ca="1">IF($D216&lt;&gt;"Serviço",0,IF(OR(AND(AUTOEVENTO="Manual",$M216=1),$M216&gt;(ROW(PLE.lastrow)-ROW(PLE.firstrow))),0,IF(OFFSET(PLE!$G$14,$M216,BW$13)="",10^12,OFFSET(PLE!$G$14,$M216,BW$13))))</f>
        <v>1000000000000</v>
      </c>
      <c r="BX216" s="182">
        <f ca="1">IF($D216&lt;&gt;"Serviço",0,IF(OR(AND(AUTOEVENTO="Manual",$M216=1),$M216&gt;(ROW(PLE.lastrow)-ROW(PLE.firstrow))),0,IF(OFFSET(PLE!$G$14,$M216,BX$13)="",10^12,OFFSET(PLE!$G$14,$M216,BX$13))))</f>
        <v>1000000000000</v>
      </c>
      <c r="BY216" s="182">
        <f ca="1">IF($D216&lt;&gt;"Serviço",0,IF(OR(AND(AUTOEVENTO="Manual",$M216=1),$M216&gt;(ROW(PLE.lastrow)-ROW(PLE.firstrow))),0,IF(OFFSET(PLE!$G$14,$M216,BY$13)="",10^12,OFFSET(PLE!$G$14,$M216,BY$13))))</f>
        <v>1000000000000</v>
      </c>
      <c r="BZ216" s="182">
        <f ca="1">IF($D216&lt;&gt;"Serviço",0,IF(OR(AND(AUTOEVENTO="Manual",$M216=1),$M216&gt;(ROW(PLE.lastrow)-ROW(PLE.firstrow))),0,IF(OFFSET(PLE!$G$14,$M216,BZ$13)="",10^12,OFFSET(PLE!$G$14,$M216,BZ$13))))</f>
        <v>1000000000000</v>
      </c>
      <c r="CA216" s="182">
        <f ca="1">IF($D216&lt;&gt;"Serviço",0,IF(OR(AND(AUTOEVENTO="Manual",$M216=1),$M216&gt;(ROW(PLE.lastrow)-ROW(PLE.firstrow))),0,IF(OFFSET(PLE!$G$14,$M216,CA$13)="",10^12,OFFSET(PLE!$G$14,$M216,CA$13))))</f>
        <v>1000000000000</v>
      </c>
      <c r="CB216" s="182">
        <f ca="1">IF($D216&lt;&gt;"Serviço",0,IF(OR(AND(AUTOEVENTO="Manual",$M216=1),$M216&gt;(ROW(PLE.lastrow)-ROW(PLE.firstrow))),0,IF(OFFSET(PLE!$G$14,$M216,CB$13)="",10^12,OFFSET(PLE!$G$14,$M216,CB$13))))</f>
        <v>1000000000000</v>
      </c>
      <c r="CC216" s="182">
        <f ca="1">IF($D216&lt;&gt;"Serviço",0,IF(OR(AND(AUTOEVENTO="Manual",$M216=1),$M216&gt;(ROW(PLE.lastrow)-ROW(PLE.firstrow))),0,IF(OFFSET(PLE!$G$14,$M216,CC$13)="",10^12,OFFSET(PLE!$G$14,$M216,CC$13))))</f>
        <v>1000000000000</v>
      </c>
      <c r="CD216" s="182">
        <f ca="1">IF($D216&lt;&gt;"Serviço",0,IF(OR(AND(AUTOEVENTO="Manual",$M216=1),$M216&gt;(ROW(PLE.lastrow)-ROW(PLE.firstrow))),0,IF(OFFSET(PLE!$G$14,$M216,CD$13)="",10^12,OFFSET(PLE!$G$14,$M216,CD$13))))</f>
        <v>1000000000000</v>
      </c>
      <c r="CE216" s="182">
        <f ca="1">IF($D216&lt;&gt;"Serviço",0,IF(OR(AND(AUTOEVENTO="Manual",$M216=1),$M216&gt;(ROW(PLE.lastrow)-ROW(PLE.firstrow))),0,IF(OFFSET(PLE!$G$14,$M216,CE$13)="",10^12,OFFSET(PLE!$G$14,$M216,CE$13))))</f>
        <v>1000000000000</v>
      </c>
      <c r="CF216" s="182">
        <f ca="1">IF($D216&lt;&gt;"Serviço",0,IF(OR(AND(AUTOEVENTO="Manual",$M216=1),$M216&gt;(ROW(PLE.lastrow)-ROW(PLE.firstrow))),0,IF(OFFSET(PLE!$G$14,$M216,CF$13)="",10^12,OFFSET(PLE!$G$14,$M216,CF$13))))</f>
        <v>1000000000000</v>
      </c>
      <c r="CG216" s="182">
        <f ca="1">IF($D216&lt;&gt;"Serviço",0,IF(OR(AND(AUTOEVENTO="Manual",$M216=1),$M216&gt;(ROW(PLE.lastrow)-ROW(PLE.firstrow))),0,IF(OFFSET(PLE!$G$14,$M216,CG$13)="",10^12,OFFSET(PLE!$G$14,$M216,CG$13))))</f>
        <v>1000000000000</v>
      </c>
      <c r="CH216" s="182">
        <f ca="1">IF($D216&lt;&gt;"Serviço",0,IF(OR(AND(AUTOEVENTO="Manual",$M216=1),$M216&gt;(ROW(PLE.lastrow)-ROW(PLE.firstrow))),0,IF(OFFSET(PLE!$G$14,$M216,CH$13)="",10^12,OFFSET(PLE!$G$14,$M216,CH$13))))</f>
        <v>1000000000000</v>
      </c>
      <c r="CI216" s="182">
        <f ca="1">IF($D216&lt;&gt;"Serviço",0,IF(OR(AND(AUTOEVENTO="Manual",$M216=1),$M216&gt;(ROW(PLE.lastrow)-ROW(PLE.firstrow))),0,IF(OFFSET(PLE!$G$14,$M216,CI$13)="",10^12,OFFSET(PLE!$G$14,$M216,CI$13))))</f>
        <v>1000000000000</v>
      </c>
      <c r="CJ216" s="182">
        <f ca="1">IF($D216&lt;&gt;"Serviço",0,IF(OR(AND(AUTOEVENTO="Manual",$M216=1),$M216&gt;(ROW(PLE.lastrow)-ROW(PLE.firstrow))),0,IF(OFFSET(PLE!$G$14,$M216,CJ$13)="",10^12,OFFSET(PLE!$G$14,$M216,CJ$13))))</f>
        <v>1000000000000</v>
      </c>
      <c r="CK216" s="182">
        <f ca="1">IF($D216&lt;&gt;"Serviço",0,IF(OR(AND(AUTOEVENTO="Manual",$M216=1),$M216&gt;(ROW(PLE.lastrow)-ROW(PLE.firstrow))),0,IF(OFFSET(PLE!$G$14,$M216,CK$13)="",10^12,OFFSET(PLE!$G$14,$M216,CK$13))))</f>
        <v>1000000000000</v>
      </c>
      <c r="CL216" s="182">
        <f ca="1">IF($D216&lt;&gt;"Serviço",0,IF(OR(AND(AUTOEVENTO="Manual",$M216=1),$M216&gt;(ROW(PLE.lastrow)-ROW(PLE.firstrow))),0,IF(OFFSET(PLE!$G$14,$M216,CL$13)="",10^12,OFFSET(PLE!$G$14,$M216,CL$13))))</f>
        <v>1000000000000</v>
      </c>
      <c r="CM216" s="182">
        <f ca="1">IF($D216&lt;&gt;"Serviço",0,IF(OR(AND(AUTOEVENTO="Manual",$M216=1),$M216&gt;(ROW(PLE.lastrow)-ROW(PLE.firstrow))),0,IF(OFFSET(PLE!$G$14,$M216,CM$13)="",10^12,OFFSET(PLE!$G$14,$M216,CM$13))))</f>
        <v>1000000000000</v>
      </c>
    </row>
    <row r="217" spans="1:91" ht="25.5" x14ac:dyDescent="0.2">
      <c r="A217" s="7" t="str">
        <f t="shared" ca="1" si="12"/>
        <v>197</v>
      </c>
      <c r="B217" s="7" t="str">
        <f ca="1">OFFSET(ORÇAMENTO!C$15,ROW(B217)-ROW(B$15),0)</f>
        <v>S</v>
      </c>
      <c r="C217" s="7" t="str">
        <f ca="1">OFFSET(ORÇAMENTO!L$15,ROW(C217)-ROW(C$15),0)</f>
        <v/>
      </c>
      <c r="D217" s="118" t="str">
        <f ca="1">OFFSET(ORÇAMENTO!N$15,ROW(D217)-ROW(D$15),0)</f>
        <v>Serviço</v>
      </c>
      <c r="E217" s="119" t="str">
        <f ca="1">OFFSET(ORÇAMENTO!O$15,ROW(E217)-ROW(E$15),0)</f>
        <v>-</v>
      </c>
      <c r="F217" s="172" t="str">
        <f ca="1">OFFSET(ORÇAMENTO!R$15,ROW(F217)-ROW(F$15),0)</f>
        <v>(abra o arquivo 'Referência 06-2024.xlsm)</v>
      </c>
      <c r="G217" s="173" t="str">
        <f ca="1">IF($D217&lt;&gt;"Serviço","",OFFSET(ORÇAMENTO!S$15,ROW(G217)-ROW(G$15),0))</f>
        <v>-</v>
      </c>
      <c r="H217" s="124">
        <f ca="1">IF($D217&lt;&gt;"Serviço",0,IF(ACOMPANHAMENTO="BM",ROUND(OFFSET(ORÇAMENTO!AJ$15,ROW(H217)-ROW(H$15),0),15-13*ORÇAMENTO!$AF$7),SUMPRODUCT(($Q$12:$AI$12&lt;&gt;"")*ROUND($Q217:$AI217,15-13*ORÇAMENTO!$AF$7))))</f>
        <v>3.44</v>
      </c>
      <c r="I217" s="561" t="s">
        <v>1107</v>
      </c>
      <c r="K217" s="174"/>
      <c r="L217" s="175" t="s">
        <v>255</v>
      </c>
      <c r="M217" s="176">
        <f ca="1">IF($D217&lt;&gt;"Serviço","",IF(AUTOEVENTO="manual",$A217,IF(ISERROR(MATCH($A217,$A$15:OFFSET($A217,-1,0),0)),MAX($M$15:OFFSET(M217,-1,0))+1,INDEX($M$15:OFFSET(M217,-1,0),MATCH($A217,$A$15:OFFSET($A217,-1,0),0)))))</f>
        <v>29</v>
      </c>
      <c r="N217" s="177" t="str">
        <f ca="1">IF($D217&lt;&gt;"Serviço","",IF(AUTOEVENTO="Manual",IF($A217=0,"&lt;-- defina o número do agrupador",OFFSET(EVENTOS!$D$14,$A217,0)),OFFSET($F$15,$A217,0)))</f>
        <v>SISTEMAS DE PISOS - PAVIMENTAÇÃO EXTERNA</v>
      </c>
      <c r="O217" s="178"/>
      <c r="Q217" s="178">
        <v>3.44</v>
      </c>
      <c r="R217" s="179"/>
      <c r="S217" s="179"/>
      <c r="T217" s="179"/>
      <c r="U217" s="179"/>
      <c r="V217" s="179"/>
      <c r="W217" s="179"/>
      <c r="X217" s="179"/>
      <c r="Y217" s="179"/>
      <c r="Z217" s="180"/>
      <c r="AA217" s="179"/>
      <c r="AB217" s="179"/>
      <c r="AC217" s="179"/>
      <c r="AD217" s="179"/>
      <c r="AE217" s="179"/>
      <c r="AF217" s="179"/>
      <c r="AG217" s="179"/>
      <c r="AH217" s="180"/>
      <c r="AJ217" s="544">
        <f ca="1">IF(AND($D217="Serviço",AJ$12&lt;&gt;0,$H217&gt;0,OR(AUTOEVENTO&lt;&gt;"manual",$M217&lt;&gt;1)),
IF(Import.TipoArredondamento&lt;&gt;"TransfereGOV",
ROUND(OFFSET($P217,0,AJ$13),15-13*ORÇAMENTO!$AF$7)/$H217*OFFSET(ORÇAMENTO!$X$15,ROW(AJ217)-ROW(AJ$15),0),
ROUND(ROUND(OFFSET($P217,0,AJ$13),15-13*ORÇAMENTO!$AF$7)*OFFSET(ORÇAMENTO!$W$15,ROW(AJ217)-ROW(AJ$15),0),15-13*ORÇAMENTO!$AF$11)),0)</f>
        <v>0</v>
      </c>
      <c r="AK217" s="545">
        <f ca="1">IF(AND($D217="Serviço",AK$12&lt;&gt;0,$H217&gt;0,OR(AUTOEVENTO&lt;&gt;"manual",$M217&lt;&gt;1)),
IF(Import.TipoArredondamento&lt;&gt;"TransfereGOV",
ROUND(OFFSET($P217,0,AK$13),15-13*ORÇAMENTO!$AF$7)/$H217*OFFSET(ORÇAMENTO!$X$15,ROW(AK217)-ROW(AK$15),0),
ROUND(ROUND(OFFSET($P217,0,AK$13),15-13*ORÇAMENTO!$AF$7)*OFFSET(ORÇAMENTO!$W$15,ROW(AK217)-ROW(AK$15),0),15-13*ORÇAMENTO!$AF$11)),0)</f>
        <v>0</v>
      </c>
      <c r="AL217" s="545">
        <f ca="1">IF(AND($D217="Serviço",AL$12&lt;&gt;0,$H217&gt;0,OR(AUTOEVENTO&lt;&gt;"manual",$M217&lt;&gt;1)),
IF(Import.TipoArredondamento&lt;&gt;"TransfereGOV",
ROUND(OFFSET($P217,0,AL$13),15-13*ORÇAMENTO!$AF$7)/$H217*OFFSET(ORÇAMENTO!$X$15,ROW(AL217)-ROW(AL$15),0),
ROUND(ROUND(OFFSET($P217,0,AL$13),15-13*ORÇAMENTO!$AF$7)*OFFSET(ORÇAMENTO!$W$15,ROW(AL217)-ROW(AL$15),0),15-13*ORÇAMENTO!$AF$11)),0)</f>
        <v>0</v>
      </c>
      <c r="AM217" s="545">
        <f ca="1">IF(AND($D217="Serviço",AM$12&lt;&gt;0,$H217&gt;0,OR(AUTOEVENTO&lt;&gt;"manual",$M217&lt;&gt;1)),
IF(Import.TipoArredondamento&lt;&gt;"TransfereGOV",
ROUND(OFFSET($P217,0,AM$13),15-13*ORÇAMENTO!$AF$7)/$H217*OFFSET(ORÇAMENTO!$X$15,ROW(AM217)-ROW(AM$15),0),
ROUND(ROUND(OFFSET($P217,0,AM$13),15-13*ORÇAMENTO!$AF$7)*OFFSET(ORÇAMENTO!$W$15,ROW(AM217)-ROW(AM$15),0),15-13*ORÇAMENTO!$AF$11)),0)</f>
        <v>0</v>
      </c>
      <c r="AN217" s="545">
        <f ca="1">IF(AND($D217="Serviço",AN$12&lt;&gt;0,$H217&gt;0,OR(AUTOEVENTO&lt;&gt;"manual",$M217&lt;&gt;1)),
IF(Import.TipoArredondamento&lt;&gt;"TransfereGOV",
ROUND(OFFSET($P217,0,AN$13),15-13*ORÇAMENTO!$AF$7)/$H217*OFFSET(ORÇAMENTO!$X$15,ROW(AN217)-ROW(AN$15),0),
ROUND(ROUND(OFFSET($P217,0,AN$13),15-13*ORÇAMENTO!$AF$7)*OFFSET(ORÇAMENTO!$W$15,ROW(AN217)-ROW(AN$15),0),15-13*ORÇAMENTO!$AF$11)),0)</f>
        <v>0</v>
      </c>
      <c r="AO217" s="545">
        <f ca="1">IF(AND($D217="Serviço",AO$12&lt;&gt;0,$H217&gt;0,OR(AUTOEVENTO&lt;&gt;"manual",$M217&lt;&gt;1)),
IF(Import.TipoArredondamento&lt;&gt;"TransfereGOV",
ROUND(OFFSET($P217,0,AO$13),15-13*ORÇAMENTO!$AF$7)/$H217*OFFSET(ORÇAMENTO!$X$15,ROW(AO217)-ROW(AO$15),0),
ROUND(ROUND(OFFSET($P217,0,AO$13),15-13*ORÇAMENTO!$AF$7)*OFFSET(ORÇAMENTO!$W$15,ROW(AO217)-ROW(AO$15),0),15-13*ORÇAMENTO!$AF$11)),0)</f>
        <v>0</v>
      </c>
      <c r="AP217" s="545">
        <f ca="1">IF(AND($D217="Serviço",AP$12&lt;&gt;0,$H217&gt;0,OR(AUTOEVENTO&lt;&gt;"manual",$M217&lt;&gt;1)),
IF(Import.TipoArredondamento&lt;&gt;"TransfereGOV",
ROUND(OFFSET($P217,0,AP$13),15-13*ORÇAMENTO!$AF$7)/$H217*OFFSET(ORÇAMENTO!$X$15,ROW(AP217)-ROW(AP$15),0),
ROUND(ROUND(OFFSET($P217,0,AP$13),15-13*ORÇAMENTO!$AF$7)*OFFSET(ORÇAMENTO!$W$15,ROW(AP217)-ROW(AP$15),0),15-13*ORÇAMENTO!$AF$11)),0)</f>
        <v>0</v>
      </c>
      <c r="AQ217" s="545">
        <f ca="1">IF(AND($D217="Serviço",AQ$12&lt;&gt;0,$H217&gt;0,OR(AUTOEVENTO&lt;&gt;"manual",$M217&lt;&gt;1)),
IF(Import.TipoArredondamento&lt;&gt;"TransfereGOV",
ROUND(OFFSET($P217,0,AQ$13),15-13*ORÇAMENTO!$AF$7)/$H217*OFFSET(ORÇAMENTO!$X$15,ROW(AQ217)-ROW(AQ$15),0),
ROUND(ROUND(OFFSET($P217,0,AQ$13),15-13*ORÇAMENTO!$AF$7)*OFFSET(ORÇAMENTO!$W$15,ROW(AQ217)-ROW(AQ$15),0),15-13*ORÇAMENTO!$AF$11)),0)</f>
        <v>0</v>
      </c>
      <c r="AR217" s="545">
        <f ca="1">IF(AND($D217="Serviço",AR$12&lt;&gt;0,$H217&gt;0,OR(AUTOEVENTO&lt;&gt;"manual",$M217&lt;&gt;1)),
IF(Import.TipoArredondamento&lt;&gt;"TransfereGOV",
ROUND(OFFSET($P217,0,AR$13),15-13*ORÇAMENTO!$AF$7)/$H217*OFFSET(ORÇAMENTO!$X$15,ROW(AR217)-ROW(AR$15),0),
ROUND(ROUND(OFFSET($P217,0,AR$13),15-13*ORÇAMENTO!$AF$7)*OFFSET(ORÇAMENTO!$W$15,ROW(AR217)-ROW(AR$15),0),15-13*ORÇAMENTO!$AF$11)),0)</f>
        <v>0</v>
      </c>
      <c r="AS217" s="546">
        <f ca="1">IF(AND($D217="Serviço",AS$12&lt;&gt;0,$H217&gt;0,OR(AUTOEVENTO&lt;&gt;"manual",$M217&lt;&gt;1)),
IF(Import.TipoArredondamento&lt;&gt;"TransfereGOV",
ROUND(OFFSET($P217,0,AS$13),15-13*ORÇAMENTO!$AF$7)/$H217*OFFSET(ORÇAMENTO!$X$15,ROW(AS217)-ROW(AS$15),0),
ROUND(ROUND(OFFSET($P217,0,AS$13),15-13*ORÇAMENTO!$AF$7)*OFFSET(ORÇAMENTO!$W$15,ROW(AS217)-ROW(AS$15),0),15-13*ORÇAMENTO!$AF$11)),0)</f>
        <v>0</v>
      </c>
      <c r="AT217" s="545">
        <f ca="1">IF(AND($D217="Serviço",AT$12&lt;&gt;0,$H217&gt;0,OR(AUTOEVENTO&lt;&gt;"manual",$M217&lt;&gt;1)),
IF(Import.TipoArredondamento&lt;&gt;"TransfereGOV",
ROUND(OFFSET($P217,0,AT$13),15-13*ORÇAMENTO!$AF$7)/$H217*OFFSET(ORÇAMENTO!$X$15,ROW(AT217)-ROW(AT$15),0),
ROUND(ROUND(OFFSET($P217,0,AT$13),15-13*ORÇAMENTO!$AF$7)*OFFSET(ORÇAMENTO!$W$15,ROW(AT217)-ROW(AT$15),0),15-13*ORÇAMENTO!$AF$11)),0)</f>
        <v>0</v>
      </c>
      <c r="AU217" s="545">
        <f ca="1">IF(AND($D217="Serviço",AU$12&lt;&gt;0,$H217&gt;0,OR(AUTOEVENTO&lt;&gt;"manual",$M217&lt;&gt;1)),
IF(Import.TipoArredondamento&lt;&gt;"TransfereGOV",
ROUND(OFFSET($P217,0,AU$13),15-13*ORÇAMENTO!$AF$7)/$H217*OFFSET(ORÇAMENTO!$X$15,ROW(AU217)-ROW(AU$15),0),
ROUND(ROUND(OFFSET($P217,0,AU$13),15-13*ORÇAMENTO!$AF$7)*OFFSET(ORÇAMENTO!$W$15,ROW(AU217)-ROW(AU$15),0),15-13*ORÇAMENTO!$AF$11)),0)</f>
        <v>0</v>
      </c>
      <c r="AV217" s="545">
        <f ca="1">IF(AND($D217="Serviço",AV$12&lt;&gt;0,$H217&gt;0,OR(AUTOEVENTO&lt;&gt;"manual",$M217&lt;&gt;1)),
IF(Import.TipoArredondamento&lt;&gt;"TransfereGOV",
ROUND(OFFSET($P217,0,AV$13),15-13*ORÇAMENTO!$AF$7)/$H217*OFFSET(ORÇAMENTO!$X$15,ROW(AV217)-ROW(AV$15),0),
ROUND(ROUND(OFFSET($P217,0,AV$13),15-13*ORÇAMENTO!$AF$7)*OFFSET(ORÇAMENTO!$W$15,ROW(AV217)-ROW(AV$15),0),15-13*ORÇAMENTO!$AF$11)),0)</f>
        <v>0</v>
      </c>
      <c r="AW217" s="545">
        <f ca="1">IF(AND($D217="Serviço",AW$12&lt;&gt;0,$H217&gt;0,OR(AUTOEVENTO&lt;&gt;"manual",$M217&lt;&gt;1)),
IF(Import.TipoArredondamento&lt;&gt;"TransfereGOV",
ROUND(OFFSET($P217,0,AW$13),15-13*ORÇAMENTO!$AF$7)/$H217*OFFSET(ORÇAMENTO!$X$15,ROW(AW217)-ROW(AW$15),0),
ROUND(ROUND(OFFSET($P217,0,AW$13),15-13*ORÇAMENTO!$AF$7)*OFFSET(ORÇAMENTO!$W$15,ROW(AW217)-ROW(AW$15),0),15-13*ORÇAMENTO!$AF$11)),0)</f>
        <v>0</v>
      </c>
      <c r="AX217" s="545">
        <f ca="1">IF(AND($D217="Serviço",AX$12&lt;&gt;0,$H217&gt;0,OR(AUTOEVENTO&lt;&gt;"manual",$M217&lt;&gt;1)),
IF(Import.TipoArredondamento&lt;&gt;"TransfereGOV",
ROUND(OFFSET($P217,0,AX$13),15-13*ORÇAMENTO!$AF$7)/$H217*OFFSET(ORÇAMENTO!$X$15,ROW(AX217)-ROW(AX$15),0),
ROUND(ROUND(OFFSET($P217,0,AX$13),15-13*ORÇAMENTO!$AF$7)*OFFSET(ORÇAMENTO!$W$15,ROW(AX217)-ROW(AX$15),0),15-13*ORÇAMENTO!$AF$11)),0)</f>
        <v>0</v>
      </c>
      <c r="AY217" s="545">
        <f ca="1">IF(AND($D217="Serviço",AY$12&lt;&gt;0,$H217&gt;0,OR(AUTOEVENTO&lt;&gt;"manual",$M217&lt;&gt;1)),
IF(Import.TipoArredondamento&lt;&gt;"TransfereGOV",
ROUND(OFFSET($P217,0,AY$13),15-13*ORÇAMENTO!$AF$7)/$H217*OFFSET(ORÇAMENTO!$X$15,ROW(AY217)-ROW(AY$15),0),
ROUND(ROUND(OFFSET($P217,0,AY$13),15-13*ORÇAMENTO!$AF$7)*OFFSET(ORÇAMENTO!$W$15,ROW(AY217)-ROW(AY$15),0),15-13*ORÇAMENTO!$AF$11)),0)</f>
        <v>0</v>
      </c>
      <c r="AZ217" s="545">
        <f ca="1">IF(AND($D217="Serviço",AZ$12&lt;&gt;0,$H217&gt;0,OR(AUTOEVENTO&lt;&gt;"manual",$M217&lt;&gt;1)),
IF(Import.TipoArredondamento&lt;&gt;"TransfereGOV",
ROUND(OFFSET($P217,0,AZ$13),15-13*ORÇAMENTO!$AF$7)/$H217*OFFSET(ORÇAMENTO!$X$15,ROW(AZ217)-ROW(AZ$15),0),
ROUND(ROUND(OFFSET($P217,0,AZ$13),15-13*ORÇAMENTO!$AF$7)*OFFSET(ORÇAMENTO!$W$15,ROW(AZ217)-ROW(AZ$15),0),15-13*ORÇAMENTO!$AF$11)),0)</f>
        <v>0</v>
      </c>
      <c r="BA217" s="546">
        <f ca="1">IF(AND($D217="Serviço",BA$12&lt;&gt;0,$H217&gt;0,OR(AUTOEVENTO&lt;&gt;"manual",$M217&lt;&gt;1)),
IF(Import.TipoArredondamento&lt;&gt;"TransfereGOV",
ROUND(OFFSET($P217,0,BA$13),15-13*ORÇAMENTO!$AF$7)/$H217*OFFSET(ORÇAMENTO!$X$15,ROW(BA217)-ROW(BA$15),0),
ROUND(ROUND(OFFSET($P217,0,BA$13),15-13*ORÇAMENTO!$AF$7)*OFFSET(ORÇAMENTO!$W$15,ROW(BA217)-ROW(BA$15),0),15-13*ORÇAMENTO!$AF$11)),0)</f>
        <v>0</v>
      </c>
      <c r="BC217" s="181">
        <f ca="1">IF($D217&lt;&gt;"Serviço",0,IF(AND(AUTOEVENTO="Manual",$M217=1),0,IF(OFFSET(CRONOPLE!$F$14,$M217,BC$13)="",10^12,OFFSET(CRONOPLE!$F$14,$M217,BC$13))))</f>
        <v>8</v>
      </c>
      <c r="BD217" s="181">
        <f ca="1">IF($D217&lt;&gt;"Serviço",0,IF(AND(AUTOEVENTO="Manual",$M217=1),0,IF(OFFSET(CRONOPLE!$F$14,$M217,BD$13)="",10^12,OFFSET(CRONOPLE!$F$14,$M217,BD$13))))</f>
        <v>1000000000000</v>
      </c>
      <c r="BE217" s="181">
        <f ca="1">IF($D217&lt;&gt;"Serviço",0,IF(AND(AUTOEVENTO="Manual",$M217=1),0,IF(OFFSET(CRONOPLE!$F$14,$M217,BE$13)="",10^12,OFFSET(CRONOPLE!$F$14,$M217,BE$13))))</f>
        <v>1000000000000</v>
      </c>
      <c r="BF217" s="181">
        <f ca="1">IF($D217&lt;&gt;"Serviço",0,IF(AND(AUTOEVENTO="Manual",$M217=1),0,IF(OFFSET(CRONOPLE!$F$14,$M217,BF$13)="",10^12,OFFSET(CRONOPLE!$F$14,$M217,BF$13))))</f>
        <v>1000000000000</v>
      </c>
      <c r="BG217" s="181">
        <f ca="1">IF($D217&lt;&gt;"Serviço",0,IF(AND(AUTOEVENTO="Manual",$M217=1),0,IF(OFFSET(CRONOPLE!$F$14,$M217,BG$13)="",10^12,OFFSET(CRONOPLE!$F$14,$M217,BG$13))))</f>
        <v>1000000000000</v>
      </c>
      <c r="BH217" s="181">
        <f ca="1">IF($D217&lt;&gt;"Serviço",0,IF(AND(AUTOEVENTO="Manual",$M217=1),0,IF(OFFSET(CRONOPLE!$F$14,$M217,BH$13)="",10^12,OFFSET(CRONOPLE!$F$14,$M217,BH$13))))</f>
        <v>1000000000000</v>
      </c>
      <c r="BI217" s="181">
        <f ca="1">IF($D217&lt;&gt;"Serviço",0,IF(AND(AUTOEVENTO="Manual",$M217=1),0,IF(OFFSET(CRONOPLE!$F$14,$M217,BI$13)="",10^12,OFFSET(CRONOPLE!$F$14,$M217,BI$13))))</f>
        <v>1000000000000</v>
      </c>
      <c r="BJ217" s="181">
        <f ca="1">IF($D217&lt;&gt;"Serviço",0,IF(AND(AUTOEVENTO="Manual",$M217=1),0,IF(OFFSET(CRONOPLE!$F$14,$M217,BJ$13)="",10^12,OFFSET(CRONOPLE!$F$14,$M217,BJ$13))))</f>
        <v>1000000000000</v>
      </c>
      <c r="BK217" s="181">
        <f ca="1">IF($D217&lt;&gt;"Serviço",0,IF(AND(AUTOEVENTO="Manual",$M217=1),0,IF(OFFSET(CRONOPLE!$F$14,$M217,BK$13)="",10^12,OFFSET(CRONOPLE!$F$14,$M217,BK$13))))</f>
        <v>1000000000000</v>
      </c>
      <c r="BL217" s="181">
        <f ca="1">IF($D217&lt;&gt;"Serviço",0,IF(AND(AUTOEVENTO="Manual",$M217=1),0,IF(OFFSET(CRONOPLE!$F$14,$M217,BL$13)="",10^12,OFFSET(CRONOPLE!$F$14,$M217,BL$13))))</f>
        <v>1000000000000</v>
      </c>
      <c r="BM217" s="181">
        <f ca="1">IF($D217&lt;&gt;"Serviço",0,IF(AND(AUTOEVENTO="Manual",$M217=1),0,IF(OFFSET(CRONOPLE!$F$14,$M217,BM$13)="",10^12,OFFSET(CRONOPLE!$F$14,$M217,BM$13))))</f>
        <v>1000000000000</v>
      </c>
      <c r="BN217" s="181">
        <f ca="1">IF($D217&lt;&gt;"Serviço",0,IF(AND(AUTOEVENTO="Manual",$M217=1),0,IF(OFFSET(CRONOPLE!$F$14,$M217,BN$13)="",10^12,OFFSET(CRONOPLE!$F$14,$M217,BN$13))))</f>
        <v>1000000000000</v>
      </c>
      <c r="BO217" s="181">
        <f ca="1">IF($D217&lt;&gt;"Serviço",0,IF(AND(AUTOEVENTO="Manual",$M217=1),0,IF(OFFSET(CRONOPLE!$F$14,$M217,BO$13)="",10^12,OFFSET(CRONOPLE!$F$14,$M217,BO$13))))</f>
        <v>1000000000000</v>
      </c>
      <c r="BP217" s="181">
        <f ca="1">IF($D217&lt;&gt;"Serviço",0,IF(AND(AUTOEVENTO="Manual",$M217=1),0,IF(OFFSET(CRONOPLE!$F$14,$M217,BP$13)="",10^12,OFFSET(CRONOPLE!$F$14,$M217,BP$13))))</f>
        <v>1000000000000</v>
      </c>
      <c r="BQ217" s="181">
        <f ca="1">IF($D217&lt;&gt;"Serviço",0,IF(AND(AUTOEVENTO="Manual",$M217=1),0,IF(OFFSET(CRONOPLE!$F$14,$M217,BQ$13)="",10^12,OFFSET(CRONOPLE!$F$14,$M217,BQ$13))))</f>
        <v>1000000000000</v>
      </c>
      <c r="BR217" s="181">
        <f ca="1">IF($D217&lt;&gt;"Serviço",0,IF(AND(AUTOEVENTO="Manual",$M217=1),0,IF(OFFSET(CRONOPLE!$F$14,$M217,BR$13)="",10^12,OFFSET(CRONOPLE!$F$14,$M217,BR$13))))</f>
        <v>1000000000000</v>
      </c>
      <c r="BS217" s="181">
        <f ca="1">IF($D217&lt;&gt;"Serviço",0,IF(AND(AUTOEVENTO="Manual",$M217=1),0,IF(OFFSET(CRONOPLE!$F$14,$M217,BS$13)="",10^12,OFFSET(CRONOPLE!$F$14,$M217,BS$13))))</f>
        <v>1000000000000</v>
      </c>
      <c r="BT217" s="181">
        <f ca="1">IF($D217&lt;&gt;"Serviço",0,IF(AND(AUTOEVENTO="Manual",$M217=1),0,IF(OFFSET(CRONOPLE!$F$14,$M217,BT$13)="",10^12,OFFSET(CRONOPLE!$F$14,$M217,BT$13))))</f>
        <v>1000000000000</v>
      </c>
      <c r="BV217" s="182">
        <f ca="1">IF($D217&lt;&gt;"Serviço",0,IF(OR(AND(AUTOEVENTO="Manual",$M217=1),$M217&gt;(ROW(PLE.lastrow)-ROW(PLE.firstrow))),0,IF(OFFSET(PLE!$G$14,$M217,BV$13)="",10^12,OFFSET(PLE!$G$14,$M217,BV$13))))</f>
        <v>1000000000000</v>
      </c>
      <c r="BW217" s="182">
        <f ca="1">IF($D217&lt;&gt;"Serviço",0,IF(OR(AND(AUTOEVENTO="Manual",$M217=1),$M217&gt;(ROW(PLE.lastrow)-ROW(PLE.firstrow))),0,IF(OFFSET(PLE!$G$14,$M217,BW$13)="",10^12,OFFSET(PLE!$G$14,$M217,BW$13))))</f>
        <v>1000000000000</v>
      </c>
      <c r="BX217" s="182">
        <f ca="1">IF($D217&lt;&gt;"Serviço",0,IF(OR(AND(AUTOEVENTO="Manual",$M217=1),$M217&gt;(ROW(PLE.lastrow)-ROW(PLE.firstrow))),0,IF(OFFSET(PLE!$G$14,$M217,BX$13)="",10^12,OFFSET(PLE!$G$14,$M217,BX$13))))</f>
        <v>1000000000000</v>
      </c>
      <c r="BY217" s="182">
        <f ca="1">IF($D217&lt;&gt;"Serviço",0,IF(OR(AND(AUTOEVENTO="Manual",$M217=1),$M217&gt;(ROW(PLE.lastrow)-ROW(PLE.firstrow))),0,IF(OFFSET(PLE!$G$14,$M217,BY$13)="",10^12,OFFSET(PLE!$G$14,$M217,BY$13))))</f>
        <v>1000000000000</v>
      </c>
      <c r="BZ217" s="182">
        <f ca="1">IF($D217&lt;&gt;"Serviço",0,IF(OR(AND(AUTOEVENTO="Manual",$M217=1),$M217&gt;(ROW(PLE.lastrow)-ROW(PLE.firstrow))),0,IF(OFFSET(PLE!$G$14,$M217,BZ$13)="",10^12,OFFSET(PLE!$G$14,$M217,BZ$13))))</f>
        <v>1000000000000</v>
      </c>
      <c r="CA217" s="182">
        <f ca="1">IF($D217&lt;&gt;"Serviço",0,IF(OR(AND(AUTOEVENTO="Manual",$M217=1),$M217&gt;(ROW(PLE.lastrow)-ROW(PLE.firstrow))),0,IF(OFFSET(PLE!$G$14,$M217,CA$13)="",10^12,OFFSET(PLE!$G$14,$M217,CA$13))))</f>
        <v>1000000000000</v>
      </c>
      <c r="CB217" s="182">
        <f ca="1">IF($D217&lt;&gt;"Serviço",0,IF(OR(AND(AUTOEVENTO="Manual",$M217=1),$M217&gt;(ROW(PLE.lastrow)-ROW(PLE.firstrow))),0,IF(OFFSET(PLE!$G$14,$M217,CB$13)="",10^12,OFFSET(PLE!$G$14,$M217,CB$13))))</f>
        <v>1000000000000</v>
      </c>
      <c r="CC217" s="182">
        <f ca="1">IF($D217&lt;&gt;"Serviço",0,IF(OR(AND(AUTOEVENTO="Manual",$M217=1),$M217&gt;(ROW(PLE.lastrow)-ROW(PLE.firstrow))),0,IF(OFFSET(PLE!$G$14,$M217,CC$13)="",10^12,OFFSET(PLE!$G$14,$M217,CC$13))))</f>
        <v>1000000000000</v>
      </c>
      <c r="CD217" s="182">
        <f ca="1">IF($D217&lt;&gt;"Serviço",0,IF(OR(AND(AUTOEVENTO="Manual",$M217=1),$M217&gt;(ROW(PLE.lastrow)-ROW(PLE.firstrow))),0,IF(OFFSET(PLE!$G$14,$M217,CD$13)="",10^12,OFFSET(PLE!$G$14,$M217,CD$13))))</f>
        <v>1000000000000</v>
      </c>
      <c r="CE217" s="182">
        <f ca="1">IF($D217&lt;&gt;"Serviço",0,IF(OR(AND(AUTOEVENTO="Manual",$M217=1),$M217&gt;(ROW(PLE.lastrow)-ROW(PLE.firstrow))),0,IF(OFFSET(PLE!$G$14,$M217,CE$13)="",10^12,OFFSET(PLE!$G$14,$M217,CE$13))))</f>
        <v>1000000000000</v>
      </c>
      <c r="CF217" s="182">
        <f ca="1">IF($D217&lt;&gt;"Serviço",0,IF(OR(AND(AUTOEVENTO="Manual",$M217=1),$M217&gt;(ROW(PLE.lastrow)-ROW(PLE.firstrow))),0,IF(OFFSET(PLE!$G$14,$M217,CF$13)="",10^12,OFFSET(PLE!$G$14,$M217,CF$13))))</f>
        <v>1000000000000</v>
      </c>
      <c r="CG217" s="182">
        <f ca="1">IF($D217&lt;&gt;"Serviço",0,IF(OR(AND(AUTOEVENTO="Manual",$M217=1),$M217&gt;(ROW(PLE.lastrow)-ROW(PLE.firstrow))),0,IF(OFFSET(PLE!$G$14,$M217,CG$13)="",10^12,OFFSET(PLE!$G$14,$M217,CG$13))))</f>
        <v>1000000000000</v>
      </c>
      <c r="CH217" s="182">
        <f ca="1">IF($D217&lt;&gt;"Serviço",0,IF(OR(AND(AUTOEVENTO="Manual",$M217=1),$M217&gt;(ROW(PLE.lastrow)-ROW(PLE.firstrow))),0,IF(OFFSET(PLE!$G$14,$M217,CH$13)="",10^12,OFFSET(PLE!$G$14,$M217,CH$13))))</f>
        <v>1000000000000</v>
      </c>
      <c r="CI217" s="182">
        <f ca="1">IF($D217&lt;&gt;"Serviço",0,IF(OR(AND(AUTOEVENTO="Manual",$M217=1),$M217&gt;(ROW(PLE.lastrow)-ROW(PLE.firstrow))),0,IF(OFFSET(PLE!$G$14,$M217,CI$13)="",10^12,OFFSET(PLE!$G$14,$M217,CI$13))))</f>
        <v>1000000000000</v>
      </c>
      <c r="CJ217" s="182">
        <f ca="1">IF($D217&lt;&gt;"Serviço",0,IF(OR(AND(AUTOEVENTO="Manual",$M217=1),$M217&gt;(ROW(PLE.lastrow)-ROW(PLE.firstrow))),0,IF(OFFSET(PLE!$G$14,$M217,CJ$13)="",10^12,OFFSET(PLE!$G$14,$M217,CJ$13))))</f>
        <v>1000000000000</v>
      </c>
      <c r="CK217" s="182">
        <f ca="1">IF($D217&lt;&gt;"Serviço",0,IF(OR(AND(AUTOEVENTO="Manual",$M217=1),$M217&gt;(ROW(PLE.lastrow)-ROW(PLE.firstrow))),0,IF(OFFSET(PLE!$G$14,$M217,CK$13)="",10^12,OFFSET(PLE!$G$14,$M217,CK$13))))</f>
        <v>1000000000000</v>
      </c>
      <c r="CL217" s="182">
        <f ca="1">IF($D217&lt;&gt;"Serviço",0,IF(OR(AND(AUTOEVENTO="Manual",$M217=1),$M217&gt;(ROW(PLE.lastrow)-ROW(PLE.firstrow))),0,IF(OFFSET(PLE!$G$14,$M217,CL$13)="",10^12,OFFSET(PLE!$G$14,$M217,CL$13))))</f>
        <v>1000000000000</v>
      </c>
      <c r="CM217" s="182">
        <f ca="1">IF($D217&lt;&gt;"Serviço",0,IF(OR(AND(AUTOEVENTO="Manual",$M217=1),$M217&gt;(ROW(PLE.lastrow)-ROW(PLE.firstrow))),0,IF(OFFSET(PLE!$G$14,$M217,CM$13)="",10^12,OFFSET(PLE!$G$14,$M217,CM$13))))</f>
        <v>1000000000000</v>
      </c>
    </row>
    <row r="218" spans="1:91" ht="25.5" x14ac:dyDescent="0.2">
      <c r="A218" s="7" t="str">
        <f t="shared" ca="1" si="12"/>
        <v>197</v>
      </c>
      <c r="B218" s="7" t="str">
        <f ca="1">OFFSET(ORÇAMENTO!C$15,ROW(B218)-ROW(B$15),0)</f>
        <v>S</v>
      </c>
      <c r="C218" s="7" t="str">
        <f ca="1">OFFSET(ORÇAMENTO!L$15,ROW(C218)-ROW(C$15),0)</f>
        <v/>
      </c>
      <c r="D218" s="118" t="str">
        <f ca="1">OFFSET(ORÇAMENTO!N$15,ROW(D218)-ROW(D$15),0)</f>
        <v>Serviço</v>
      </c>
      <c r="E218" s="119" t="str">
        <f ca="1">OFFSET(ORÇAMENTO!O$15,ROW(E218)-ROW(E$15),0)</f>
        <v>-</v>
      </c>
      <c r="F218" s="172" t="str">
        <f ca="1">OFFSET(ORÇAMENTO!R$15,ROW(F218)-ROW(F$15),0)</f>
        <v>(abra o arquivo 'Referência 06-2024.xlsm)</v>
      </c>
      <c r="G218" s="173" t="str">
        <f ca="1">IF($D218&lt;&gt;"Serviço","",OFFSET(ORÇAMENTO!S$15,ROW(G218)-ROW(G$15),0))</f>
        <v>-</v>
      </c>
      <c r="H218" s="124">
        <f ca="1">IF($D218&lt;&gt;"Serviço",0,IF(ACOMPANHAMENTO="BM",ROUND(OFFSET(ORÇAMENTO!AJ$15,ROW(H218)-ROW(H$15),0),15-13*ORÇAMENTO!$AF$7),SUMPRODUCT(($Q$12:$AI$12&lt;&gt;"")*ROUND($Q218:$AI218,15-13*ORÇAMENTO!$AF$7))))</f>
        <v>23</v>
      </c>
      <c r="I218" s="561" t="s">
        <v>1107</v>
      </c>
      <c r="K218" s="174"/>
      <c r="L218" s="175" t="s">
        <v>255</v>
      </c>
      <c r="M218" s="176">
        <f ca="1">IF($D218&lt;&gt;"Serviço","",IF(AUTOEVENTO="manual",$A218,IF(ISERROR(MATCH($A218,$A$15:OFFSET($A218,-1,0),0)),MAX($M$15:OFFSET(M218,-1,0))+1,INDEX($M$15:OFFSET(M218,-1,0),MATCH($A218,$A$15:OFFSET($A218,-1,0),0)))))</f>
        <v>29</v>
      </c>
      <c r="N218" s="177" t="str">
        <f ca="1">IF($D218&lt;&gt;"Serviço","",IF(AUTOEVENTO="Manual",IF($A218=0,"&lt;-- defina o número do agrupador",OFFSET(EVENTOS!$D$14,$A218,0)),OFFSET($F$15,$A218,0)))</f>
        <v>SISTEMAS DE PISOS - PAVIMENTAÇÃO EXTERNA</v>
      </c>
      <c r="O218" s="178"/>
      <c r="Q218" s="178">
        <v>23</v>
      </c>
      <c r="R218" s="179"/>
      <c r="S218" s="179"/>
      <c r="T218" s="179"/>
      <c r="U218" s="179"/>
      <c r="V218" s="179"/>
      <c r="W218" s="179"/>
      <c r="X218" s="179"/>
      <c r="Y218" s="179"/>
      <c r="Z218" s="180"/>
      <c r="AA218" s="179"/>
      <c r="AB218" s="179"/>
      <c r="AC218" s="179"/>
      <c r="AD218" s="179"/>
      <c r="AE218" s="179"/>
      <c r="AF218" s="179"/>
      <c r="AG218" s="179"/>
      <c r="AH218" s="180"/>
      <c r="AJ218" s="544">
        <f ca="1">IF(AND($D218="Serviço",AJ$12&lt;&gt;0,$H218&gt;0,OR(AUTOEVENTO&lt;&gt;"manual",$M218&lt;&gt;1)),
IF(Import.TipoArredondamento&lt;&gt;"TransfereGOV",
ROUND(OFFSET($P218,0,AJ$13),15-13*ORÇAMENTO!$AF$7)/$H218*OFFSET(ORÇAMENTO!$X$15,ROW(AJ218)-ROW(AJ$15),0),
ROUND(ROUND(OFFSET($P218,0,AJ$13),15-13*ORÇAMENTO!$AF$7)*OFFSET(ORÇAMENTO!$W$15,ROW(AJ218)-ROW(AJ$15),0),15-13*ORÇAMENTO!$AF$11)),0)</f>
        <v>0</v>
      </c>
      <c r="AK218" s="545">
        <f ca="1">IF(AND($D218="Serviço",AK$12&lt;&gt;0,$H218&gt;0,OR(AUTOEVENTO&lt;&gt;"manual",$M218&lt;&gt;1)),
IF(Import.TipoArredondamento&lt;&gt;"TransfereGOV",
ROUND(OFFSET($P218,0,AK$13),15-13*ORÇAMENTO!$AF$7)/$H218*OFFSET(ORÇAMENTO!$X$15,ROW(AK218)-ROW(AK$15),0),
ROUND(ROUND(OFFSET($P218,0,AK$13),15-13*ORÇAMENTO!$AF$7)*OFFSET(ORÇAMENTO!$W$15,ROW(AK218)-ROW(AK$15),0),15-13*ORÇAMENTO!$AF$11)),0)</f>
        <v>0</v>
      </c>
      <c r="AL218" s="545">
        <f ca="1">IF(AND($D218="Serviço",AL$12&lt;&gt;0,$H218&gt;0,OR(AUTOEVENTO&lt;&gt;"manual",$M218&lt;&gt;1)),
IF(Import.TipoArredondamento&lt;&gt;"TransfereGOV",
ROUND(OFFSET($P218,0,AL$13),15-13*ORÇAMENTO!$AF$7)/$H218*OFFSET(ORÇAMENTO!$X$15,ROW(AL218)-ROW(AL$15),0),
ROUND(ROUND(OFFSET($P218,0,AL$13),15-13*ORÇAMENTO!$AF$7)*OFFSET(ORÇAMENTO!$W$15,ROW(AL218)-ROW(AL$15),0),15-13*ORÇAMENTO!$AF$11)),0)</f>
        <v>0</v>
      </c>
      <c r="AM218" s="545">
        <f ca="1">IF(AND($D218="Serviço",AM$12&lt;&gt;0,$H218&gt;0,OR(AUTOEVENTO&lt;&gt;"manual",$M218&lt;&gt;1)),
IF(Import.TipoArredondamento&lt;&gt;"TransfereGOV",
ROUND(OFFSET($P218,0,AM$13),15-13*ORÇAMENTO!$AF$7)/$H218*OFFSET(ORÇAMENTO!$X$15,ROW(AM218)-ROW(AM$15),0),
ROUND(ROUND(OFFSET($P218,0,AM$13),15-13*ORÇAMENTO!$AF$7)*OFFSET(ORÇAMENTO!$W$15,ROW(AM218)-ROW(AM$15),0),15-13*ORÇAMENTO!$AF$11)),0)</f>
        <v>0</v>
      </c>
      <c r="AN218" s="545">
        <f ca="1">IF(AND($D218="Serviço",AN$12&lt;&gt;0,$H218&gt;0,OR(AUTOEVENTO&lt;&gt;"manual",$M218&lt;&gt;1)),
IF(Import.TipoArredondamento&lt;&gt;"TransfereGOV",
ROUND(OFFSET($P218,0,AN$13),15-13*ORÇAMENTO!$AF$7)/$H218*OFFSET(ORÇAMENTO!$X$15,ROW(AN218)-ROW(AN$15),0),
ROUND(ROUND(OFFSET($P218,0,AN$13),15-13*ORÇAMENTO!$AF$7)*OFFSET(ORÇAMENTO!$W$15,ROW(AN218)-ROW(AN$15),0),15-13*ORÇAMENTO!$AF$11)),0)</f>
        <v>0</v>
      </c>
      <c r="AO218" s="545">
        <f ca="1">IF(AND($D218="Serviço",AO$12&lt;&gt;0,$H218&gt;0,OR(AUTOEVENTO&lt;&gt;"manual",$M218&lt;&gt;1)),
IF(Import.TipoArredondamento&lt;&gt;"TransfereGOV",
ROUND(OFFSET($P218,0,AO$13),15-13*ORÇAMENTO!$AF$7)/$H218*OFFSET(ORÇAMENTO!$X$15,ROW(AO218)-ROW(AO$15),0),
ROUND(ROUND(OFFSET($P218,0,AO$13),15-13*ORÇAMENTO!$AF$7)*OFFSET(ORÇAMENTO!$W$15,ROW(AO218)-ROW(AO$15),0),15-13*ORÇAMENTO!$AF$11)),0)</f>
        <v>0</v>
      </c>
      <c r="AP218" s="545">
        <f ca="1">IF(AND($D218="Serviço",AP$12&lt;&gt;0,$H218&gt;0,OR(AUTOEVENTO&lt;&gt;"manual",$M218&lt;&gt;1)),
IF(Import.TipoArredondamento&lt;&gt;"TransfereGOV",
ROUND(OFFSET($P218,0,AP$13),15-13*ORÇAMENTO!$AF$7)/$H218*OFFSET(ORÇAMENTO!$X$15,ROW(AP218)-ROW(AP$15),0),
ROUND(ROUND(OFFSET($P218,0,AP$13),15-13*ORÇAMENTO!$AF$7)*OFFSET(ORÇAMENTO!$W$15,ROW(AP218)-ROW(AP$15),0),15-13*ORÇAMENTO!$AF$11)),0)</f>
        <v>0</v>
      </c>
      <c r="AQ218" s="545">
        <f ca="1">IF(AND($D218="Serviço",AQ$12&lt;&gt;0,$H218&gt;0,OR(AUTOEVENTO&lt;&gt;"manual",$M218&lt;&gt;1)),
IF(Import.TipoArredondamento&lt;&gt;"TransfereGOV",
ROUND(OFFSET($P218,0,AQ$13),15-13*ORÇAMENTO!$AF$7)/$H218*OFFSET(ORÇAMENTO!$X$15,ROW(AQ218)-ROW(AQ$15),0),
ROUND(ROUND(OFFSET($P218,0,AQ$13),15-13*ORÇAMENTO!$AF$7)*OFFSET(ORÇAMENTO!$W$15,ROW(AQ218)-ROW(AQ$15),0),15-13*ORÇAMENTO!$AF$11)),0)</f>
        <v>0</v>
      </c>
      <c r="AR218" s="545">
        <f ca="1">IF(AND($D218="Serviço",AR$12&lt;&gt;0,$H218&gt;0,OR(AUTOEVENTO&lt;&gt;"manual",$M218&lt;&gt;1)),
IF(Import.TipoArredondamento&lt;&gt;"TransfereGOV",
ROUND(OFFSET($P218,0,AR$13),15-13*ORÇAMENTO!$AF$7)/$H218*OFFSET(ORÇAMENTO!$X$15,ROW(AR218)-ROW(AR$15),0),
ROUND(ROUND(OFFSET($P218,0,AR$13),15-13*ORÇAMENTO!$AF$7)*OFFSET(ORÇAMENTO!$W$15,ROW(AR218)-ROW(AR$15),0),15-13*ORÇAMENTO!$AF$11)),0)</f>
        <v>0</v>
      </c>
      <c r="AS218" s="546">
        <f ca="1">IF(AND($D218="Serviço",AS$12&lt;&gt;0,$H218&gt;0,OR(AUTOEVENTO&lt;&gt;"manual",$M218&lt;&gt;1)),
IF(Import.TipoArredondamento&lt;&gt;"TransfereGOV",
ROUND(OFFSET($P218,0,AS$13),15-13*ORÇAMENTO!$AF$7)/$H218*OFFSET(ORÇAMENTO!$X$15,ROW(AS218)-ROW(AS$15),0),
ROUND(ROUND(OFFSET($P218,0,AS$13),15-13*ORÇAMENTO!$AF$7)*OFFSET(ORÇAMENTO!$W$15,ROW(AS218)-ROW(AS$15),0),15-13*ORÇAMENTO!$AF$11)),0)</f>
        <v>0</v>
      </c>
      <c r="AT218" s="545">
        <f ca="1">IF(AND($D218="Serviço",AT$12&lt;&gt;0,$H218&gt;0,OR(AUTOEVENTO&lt;&gt;"manual",$M218&lt;&gt;1)),
IF(Import.TipoArredondamento&lt;&gt;"TransfereGOV",
ROUND(OFFSET($P218,0,AT$13),15-13*ORÇAMENTO!$AF$7)/$H218*OFFSET(ORÇAMENTO!$X$15,ROW(AT218)-ROW(AT$15),0),
ROUND(ROUND(OFFSET($P218,0,AT$13),15-13*ORÇAMENTO!$AF$7)*OFFSET(ORÇAMENTO!$W$15,ROW(AT218)-ROW(AT$15),0),15-13*ORÇAMENTO!$AF$11)),0)</f>
        <v>0</v>
      </c>
      <c r="AU218" s="545">
        <f ca="1">IF(AND($D218="Serviço",AU$12&lt;&gt;0,$H218&gt;0,OR(AUTOEVENTO&lt;&gt;"manual",$M218&lt;&gt;1)),
IF(Import.TipoArredondamento&lt;&gt;"TransfereGOV",
ROUND(OFFSET($P218,0,AU$13),15-13*ORÇAMENTO!$AF$7)/$H218*OFFSET(ORÇAMENTO!$X$15,ROW(AU218)-ROW(AU$15),0),
ROUND(ROUND(OFFSET($P218,0,AU$13),15-13*ORÇAMENTO!$AF$7)*OFFSET(ORÇAMENTO!$W$15,ROW(AU218)-ROW(AU$15),0),15-13*ORÇAMENTO!$AF$11)),0)</f>
        <v>0</v>
      </c>
      <c r="AV218" s="545">
        <f ca="1">IF(AND($D218="Serviço",AV$12&lt;&gt;0,$H218&gt;0,OR(AUTOEVENTO&lt;&gt;"manual",$M218&lt;&gt;1)),
IF(Import.TipoArredondamento&lt;&gt;"TransfereGOV",
ROUND(OFFSET($P218,0,AV$13),15-13*ORÇAMENTO!$AF$7)/$H218*OFFSET(ORÇAMENTO!$X$15,ROW(AV218)-ROW(AV$15),0),
ROUND(ROUND(OFFSET($P218,0,AV$13),15-13*ORÇAMENTO!$AF$7)*OFFSET(ORÇAMENTO!$W$15,ROW(AV218)-ROW(AV$15),0),15-13*ORÇAMENTO!$AF$11)),0)</f>
        <v>0</v>
      </c>
      <c r="AW218" s="545">
        <f ca="1">IF(AND($D218="Serviço",AW$12&lt;&gt;0,$H218&gt;0,OR(AUTOEVENTO&lt;&gt;"manual",$M218&lt;&gt;1)),
IF(Import.TipoArredondamento&lt;&gt;"TransfereGOV",
ROUND(OFFSET($P218,0,AW$13),15-13*ORÇAMENTO!$AF$7)/$H218*OFFSET(ORÇAMENTO!$X$15,ROW(AW218)-ROW(AW$15),0),
ROUND(ROUND(OFFSET($P218,0,AW$13),15-13*ORÇAMENTO!$AF$7)*OFFSET(ORÇAMENTO!$W$15,ROW(AW218)-ROW(AW$15),0),15-13*ORÇAMENTO!$AF$11)),0)</f>
        <v>0</v>
      </c>
      <c r="AX218" s="545">
        <f ca="1">IF(AND($D218="Serviço",AX$12&lt;&gt;0,$H218&gt;0,OR(AUTOEVENTO&lt;&gt;"manual",$M218&lt;&gt;1)),
IF(Import.TipoArredondamento&lt;&gt;"TransfereGOV",
ROUND(OFFSET($P218,0,AX$13),15-13*ORÇAMENTO!$AF$7)/$H218*OFFSET(ORÇAMENTO!$X$15,ROW(AX218)-ROW(AX$15),0),
ROUND(ROUND(OFFSET($P218,0,AX$13),15-13*ORÇAMENTO!$AF$7)*OFFSET(ORÇAMENTO!$W$15,ROW(AX218)-ROW(AX$15),0),15-13*ORÇAMENTO!$AF$11)),0)</f>
        <v>0</v>
      </c>
      <c r="AY218" s="545">
        <f ca="1">IF(AND($D218="Serviço",AY$12&lt;&gt;0,$H218&gt;0,OR(AUTOEVENTO&lt;&gt;"manual",$M218&lt;&gt;1)),
IF(Import.TipoArredondamento&lt;&gt;"TransfereGOV",
ROUND(OFFSET($P218,0,AY$13),15-13*ORÇAMENTO!$AF$7)/$H218*OFFSET(ORÇAMENTO!$X$15,ROW(AY218)-ROW(AY$15),0),
ROUND(ROUND(OFFSET($P218,0,AY$13),15-13*ORÇAMENTO!$AF$7)*OFFSET(ORÇAMENTO!$W$15,ROW(AY218)-ROW(AY$15),0),15-13*ORÇAMENTO!$AF$11)),0)</f>
        <v>0</v>
      </c>
      <c r="AZ218" s="545">
        <f ca="1">IF(AND($D218="Serviço",AZ$12&lt;&gt;0,$H218&gt;0,OR(AUTOEVENTO&lt;&gt;"manual",$M218&lt;&gt;1)),
IF(Import.TipoArredondamento&lt;&gt;"TransfereGOV",
ROUND(OFFSET($P218,0,AZ$13),15-13*ORÇAMENTO!$AF$7)/$H218*OFFSET(ORÇAMENTO!$X$15,ROW(AZ218)-ROW(AZ$15),0),
ROUND(ROUND(OFFSET($P218,0,AZ$13),15-13*ORÇAMENTO!$AF$7)*OFFSET(ORÇAMENTO!$W$15,ROW(AZ218)-ROW(AZ$15),0),15-13*ORÇAMENTO!$AF$11)),0)</f>
        <v>0</v>
      </c>
      <c r="BA218" s="546">
        <f ca="1">IF(AND($D218="Serviço",BA$12&lt;&gt;0,$H218&gt;0,OR(AUTOEVENTO&lt;&gt;"manual",$M218&lt;&gt;1)),
IF(Import.TipoArredondamento&lt;&gt;"TransfereGOV",
ROUND(OFFSET($P218,0,BA$13),15-13*ORÇAMENTO!$AF$7)/$H218*OFFSET(ORÇAMENTO!$X$15,ROW(BA218)-ROW(BA$15),0),
ROUND(ROUND(OFFSET($P218,0,BA$13),15-13*ORÇAMENTO!$AF$7)*OFFSET(ORÇAMENTO!$W$15,ROW(BA218)-ROW(BA$15),0),15-13*ORÇAMENTO!$AF$11)),0)</f>
        <v>0</v>
      </c>
      <c r="BC218" s="181">
        <f ca="1">IF($D218&lt;&gt;"Serviço",0,IF(AND(AUTOEVENTO="Manual",$M218=1),0,IF(OFFSET(CRONOPLE!$F$14,$M218,BC$13)="",10^12,OFFSET(CRONOPLE!$F$14,$M218,BC$13))))</f>
        <v>8</v>
      </c>
      <c r="BD218" s="181">
        <f ca="1">IF($D218&lt;&gt;"Serviço",0,IF(AND(AUTOEVENTO="Manual",$M218=1),0,IF(OFFSET(CRONOPLE!$F$14,$M218,BD$13)="",10^12,OFFSET(CRONOPLE!$F$14,$M218,BD$13))))</f>
        <v>1000000000000</v>
      </c>
      <c r="BE218" s="181">
        <f ca="1">IF($D218&lt;&gt;"Serviço",0,IF(AND(AUTOEVENTO="Manual",$M218=1),0,IF(OFFSET(CRONOPLE!$F$14,$M218,BE$13)="",10^12,OFFSET(CRONOPLE!$F$14,$M218,BE$13))))</f>
        <v>1000000000000</v>
      </c>
      <c r="BF218" s="181">
        <f ca="1">IF($D218&lt;&gt;"Serviço",0,IF(AND(AUTOEVENTO="Manual",$M218=1),0,IF(OFFSET(CRONOPLE!$F$14,$M218,BF$13)="",10^12,OFFSET(CRONOPLE!$F$14,$M218,BF$13))))</f>
        <v>1000000000000</v>
      </c>
      <c r="BG218" s="181">
        <f ca="1">IF($D218&lt;&gt;"Serviço",0,IF(AND(AUTOEVENTO="Manual",$M218=1),0,IF(OFFSET(CRONOPLE!$F$14,$M218,BG$13)="",10^12,OFFSET(CRONOPLE!$F$14,$M218,BG$13))))</f>
        <v>1000000000000</v>
      </c>
      <c r="BH218" s="181">
        <f ca="1">IF($D218&lt;&gt;"Serviço",0,IF(AND(AUTOEVENTO="Manual",$M218=1),0,IF(OFFSET(CRONOPLE!$F$14,$M218,BH$13)="",10^12,OFFSET(CRONOPLE!$F$14,$M218,BH$13))))</f>
        <v>1000000000000</v>
      </c>
      <c r="BI218" s="181">
        <f ca="1">IF($D218&lt;&gt;"Serviço",0,IF(AND(AUTOEVENTO="Manual",$M218=1),0,IF(OFFSET(CRONOPLE!$F$14,$M218,BI$13)="",10^12,OFFSET(CRONOPLE!$F$14,$M218,BI$13))))</f>
        <v>1000000000000</v>
      </c>
      <c r="BJ218" s="181">
        <f ca="1">IF($D218&lt;&gt;"Serviço",0,IF(AND(AUTOEVENTO="Manual",$M218=1),0,IF(OFFSET(CRONOPLE!$F$14,$M218,BJ$13)="",10^12,OFFSET(CRONOPLE!$F$14,$M218,BJ$13))))</f>
        <v>1000000000000</v>
      </c>
      <c r="BK218" s="181">
        <f ca="1">IF($D218&lt;&gt;"Serviço",0,IF(AND(AUTOEVENTO="Manual",$M218=1),0,IF(OFFSET(CRONOPLE!$F$14,$M218,BK$13)="",10^12,OFFSET(CRONOPLE!$F$14,$M218,BK$13))))</f>
        <v>1000000000000</v>
      </c>
      <c r="BL218" s="181">
        <f ca="1">IF($D218&lt;&gt;"Serviço",0,IF(AND(AUTOEVENTO="Manual",$M218=1),0,IF(OFFSET(CRONOPLE!$F$14,$M218,BL$13)="",10^12,OFFSET(CRONOPLE!$F$14,$M218,BL$13))))</f>
        <v>1000000000000</v>
      </c>
      <c r="BM218" s="181">
        <f ca="1">IF($D218&lt;&gt;"Serviço",0,IF(AND(AUTOEVENTO="Manual",$M218=1),0,IF(OFFSET(CRONOPLE!$F$14,$M218,BM$13)="",10^12,OFFSET(CRONOPLE!$F$14,$M218,BM$13))))</f>
        <v>1000000000000</v>
      </c>
      <c r="BN218" s="181">
        <f ca="1">IF($D218&lt;&gt;"Serviço",0,IF(AND(AUTOEVENTO="Manual",$M218=1),0,IF(OFFSET(CRONOPLE!$F$14,$M218,BN$13)="",10^12,OFFSET(CRONOPLE!$F$14,$M218,BN$13))))</f>
        <v>1000000000000</v>
      </c>
      <c r="BO218" s="181">
        <f ca="1">IF($D218&lt;&gt;"Serviço",0,IF(AND(AUTOEVENTO="Manual",$M218=1),0,IF(OFFSET(CRONOPLE!$F$14,$M218,BO$13)="",10^12,OFFSET(CRONOPLE!$F$14,$M218,BO$13))))</f>
        <v>1000000000000</v>
      </c>
      <c r="BP218" s="181">
        <f ca="1">IF($D218&lt;&gt;"Serviço",0,IF(AND(AUTOEVENTO="Manual",$M218=1),0,IF(OFFSET(CRONOPLE!$F$14,$M218,BP$13)="",10^12,OFFSET(CRONOPLE!$F$14,$M218,BP$13))))</f>
        <v>1000000000000</v>
      </c>
      <c r="BQ218" s="181">
        <f ca="1">IF($D218&lt;&gt;"Serviço",0,IF(AND(AUTOEVENTO="Manual",$M218=1),0,IF(OFFSET(CRONOPLE!$F$14,$M218,BQ$13)="",10^12,OFFSET(CRONOPLE!$F$14,$M218,BQ$13))))</f>
        <v>1000000000000</v>
      </c>
      <c r="BR218" s="181">
        <f ca="1">IF($D218&lt;&gt;"Serviço",0,IF(AND(AUTOEVENTO="Manual",$M218=1),0,IF(OFFSET(CRONOPLE!$F$14,$M218,BR$13)="",10^12,OFFSET(CRONOPLE!$F$14,$M218,BR$13))))</f>
        <v>1000000000000</v>
      </c>
      <c r="BS218" s="181">
        <f ca="1">IF($D218&lt;&gt;"Serviço",0,IF(AND(AUTOEVENTO="Manual",$M218=1),0,IF(OFFSET(CRONOPLE!$F$14,$M218,BS$13)="",10^12,OFFSET(CRONOPLE!$F$14,$M218,BS$13))))</f>
        <v>1000000000000</v>
      </c>
      <c r="BT218" s="181">
        <f ca="1">IF($D218&lt;&gt;"Serviço",0,IF(AND(AUTOEVENTO="Manual",$M218=1),0,IF(OFFSET(CRONOPLE!$F$14,$M218,BT$13)="",10^12,OFFSET(CRONOPLE!$F$14,$M218,BT$13))))</f>
        <v>1000000000000</v>
      </c>
      <c r="BV218" s="182">
        <f ca="1">IF($D218&lt;&gt;"Serviço",0,IF(OR(AND(AUTOEVENTO="Manual",$M218=1),$M218&gt;(ROW(PLE.lastrow)-ROW(PLE.firstrow))),0,IF(OFFSET(PLE!$G$14,$M218,BV$13)="",10^12,OFFSET(PLE!$G$14,$M218,BV$13))))</f>
        <v>1000000000000</v>
      </c>
      <c r="BW218" s="182">
        <f ca="1">IF($D218&lt;&gt;"Serviço",0,IF(OR(AND(AUTOEVENTO="Manual",$M218=1),$M218&gt;(ROW(PLE.lastrow)-ROW(PLE.firstrow))),0,IF(OFFSET(PLE!$G$14,$M218,BW$13)="",10^12,OFFSET(PLE!$G$14,$M218,BW$13))))</f>
        <v>1000000000000</v>
      </c>
      <c r="BX218" s="182">
        <f ca="1">IF($D218&lt;&gt;"Serviço",0,IF(OR(AND(AUTOEVENTO="Manual",$M218=1),$M218&gt;(ROW(PLE.lastrow)-ROW(PLE.firstrow))),0,IF(OFFSET(PLE!$G$14,$M218,BX$13)="",10^12,OFFSET(PLE!$G$14,$M218,BX$13))))</f>
        <v>1000000000000</v>
      </c>
      <c r="BY218" s="182">
        <f ca="1">IF($D218&lt;&gt;"Serviço",0,IF(OR(AND(AUTOEVENTO="Manual",$M218=1),$M218&gt;(ROW(PLE.lastrow)-ROW(PLE.firstrow))),0,IF(OFFSET(PLE!$G$14,$M218,BY$13)="",10^12,OFFSET(PLE!$G$14,$M218,BY$13))))</f>
        <v>1000000000000</v>
      </c>
      <c r="BZ218" s="182">
        <f ca="1">IF($D218&lt;&gt;"Serviço",0,IF(OR(AND(AUTOEVENTO="Manual",$M218=1),$M218&gt;(ROW(PLE.lastrow)-ROW(PLE.firstrow))),0,IF(OFFSET(PLE!$G$14,$M218,BZ$13)="",10^12,OFFSET(PLE!$G$14,$M218,BZ$13))))</f>
        <v>1000000000000</v>
      </c>
      <c r="CA218" s="182">
        <f ca="1">IF($D218&lt;&gt;"Serviço",0,IF(OR(AND(AUTOEVENTO="Manual",$M218=1),$M218&gt;(ROW(PLE.lastrow)-ROW(PLE.firstrow))),0,IF(OFFSET(PLE!$G$14,$M218,CA$13)="",10^12,OFFSET(PLE!$G$14,$M218,CA$13))))</f>
        <v>1000000000000</v>
      </c>
      <c r="CB218" s="182">
        <f ca="1">IF($D218&lt;&gt;"Serviço",0,IF(OR(AND(AUTOEVENTO="Manual",$M218=1),$M218&gt;(ROW(PLE.lastrow)-ROW(PLE.firstrow))),0,IF(OFFSET(PLE!$G$14,$M218,CB$13)="",10^12,OFFSET(PLE!$G$14,$M218,CB$13))))</f>
        <v>1000000000000</v>
      </c>
      <c r="CC218" s="182">
        <f ca="1">IF($D218&lt;&gt;"Serviço",0,IF(OR(AND(AUTOEVENTO="Manual",$M218=1),$M218&gt;(ROW(PLE.lastrow)-ROW(PLE.firstrow))),0,IF(OFFSET(PLE!$G$14,$M218,CC$13)="",10^12,OFFSET(PLE!$G$14,$M218,CC$13))))</f>
        <v>1000000000000</v>
      </c>
      <c r="CD218" s="182">
        <f ca="1">IF($D218&lt;&gt;"Serviço",0,IF(OR(AND(AUTOEVENTO="Manual",$M218=1),$M218&gt;(ROW(PLE.lastrow)-ROW(PLE.firstrow))),0,IF(OFFSET(PLE!$G$14,$M218,CD$13)="",10^12,OFFSET(PLE!$G$14,$M218,CD$13))))</f>
        <v>1000000000000</v>
      </c>
      <c r="CE218" s="182">
        <f ca="1">IF($D218&lt;&gt;"Serviço",0,IF(OR(AND(AUTOEVENTO="Manual",$M218=1),$M218&gt;(ROW(PLE.lastrow)-ROW(PLE.firstrow))),0,IF(OFFSET(PLE!$G$14,$M218,CE$13)="",10^12,OFFSET(PLE!$G$14,$M218,CE$13))))</f>
        <v>1000000000000</v>
      </c>
      <c r="CF218" s="182">
        <f ca="1">IF($D218&lt;&gt;"Serviço",0,IF(OR(AND(AUTOEVENTO="Manual",$M218=1),$M218&gt;(ROW(PLE.lastrow)-ROW(PLE.firstrow))),0,IF(OFFSET(PLE!$G$14,$M218,CF$13)="",10^12,OFFSET(PLE!$G$14,$M218,CF$13))))</f>
        <v>1000000000000</v>
      </c>
      <c r="CG218" s="182">
        <f ca="1">IF($D218&lt;&gt;"Serviço",0,IF(OR(AND(AUTOEVENTO="Manual",$M218=1),$M218&gt;(ROW(PLE.lastrow)-ROW(PLE.firstrow))),0,IF(OFFSET(PLE!$G$14,$M218,CG$13)="",10^12,OFFSET(PLE!$G$14,$M218,CG$13))))</f>
        <v>1000000000000</v>
      </c>
      <c r="CH218" s="182">
        <f ca="1">IF($D218&lt;&gt;"Serviço",0,IF(OR(AND(AUTOEVENTO="Manual",$M218=1),$M218&gt;(ROW(PLE.lastrow)-ROW(PLE.firstrow))),0,IF(OFFSET(PLE!$G$14,$M218,CH$13)="",10^12,OFFSET(PLE!$G$14,$M218,CH$13))))</f>
        <v>1000000000000</v>
      </c>
      <c r="CI218" s="182">
        <f ca="1">IF($D218&lt;&gt;"Serviço",0,IF(OR(AND(AUTOEVENTO="Manual",$M218=1),$M218&gt;(ROW(PLE.lastrow)-ROW(PLE.firstrow))),0,IF(OFFSET(PLE!$G$14,$M218,CI$13)="",10^12,OFFSET(PLE!$G$14,$M218,CI$13))))</f>
        <v>1000000000000</v>
      </c>
      <c r="CJ218" s="182">
        <f ca="1">IF($D218&lt;&gt;"Serviço",0,IF(OR(AND(AUTOEVENTO="Manual",$M218=1),$M218&gt;(ROW(PLE.lastrow)-ROW(PLE.firstrow))),0,IF(OFFSET(PLE!$G$14,$M218,CJ$13)="",10^12,OFFSET(PLE!$G$14,$M218,CJ$13))))</f>
        <v>1000000000000</v>
      </c>
      <c r="CK218" s="182">
        <f ca="1">IF($D218&lt;&gt;"Serviço",0,IF(OR(AND(AUTOEVENTO="Manual",$M218=1),$M218&gt;(ROW(PLE.lastrow)-ROW(PLE.firstrow))),0,IF(OFFSET(PLE!$G$14,$M218,CK$13)="",10^12,OFFSET(PLE!$G$14,$M218,CK$13))))</f>
        <v>1000000000000</v>
      </c>
      <c r="CL218" s="182">
        <f ca="1">IF($D218&lt;&gt;"Serviço",0,IF(OR(AND(AUTOEVENTO="Manual",$M218=1),$M218&gt;(ROW(PLE.lastrow)-ROW(PLE.firstrow))),0,IF(OFFSET(PLE!$G$14,$M218,CL$13)="",10^12,OFFSET(PLE!$G$14,$M218,CL$13))))</f>
        <v>1000000000000</v>
      </c>
      <c r="CM218" s="182">
        <f ca="1">IF($D218&lt;&gt;"Serviço",0,IF(OR(AND(AUTOEVENTO="Manual",$M218=1),$M218&gt;(ROW(PLE.lastrow)-ROW(PLE.firstrow))),0,IF(OFFSET(PLE!$G$14,$M218,CM$13)="",10^12,OFFSET(PLE!$G$14,$M218,CM$13))))</f>
        <v>1000000000000</v>
      </c>
    </row>
    <row r="219" spans="1:91" ht="25.5" x14ac:dyDescent="0.2">
      <c r="A219" s="7" t="str">
        <f t="shared" ca="1" si="12"/>
        <v>197</v>
      </c>
      <c r="B219" s="7" t="str">
        <f ca="1">OFFSET(ORÇAMENTO!C$15,ROW(B219)-ROW(B$15),0)</f>
        <v>S</v>
      </c>
      <c r="C219" s="7" t="str">
        <f ca="1">OFFSET(ORÇAMENTO!L$15,ROW(C219)-ROW(C$15),0)</f>
        <v/>
      </c>
      <c r="D219" s="118" t="str">
        <f ca="1">OFFSET(ORÇAMENTO!N$15,ROW(D219)-ROW(D$15),0)</f>
        <v>Serviço</v>
      </c>
      <c r="E219" s="119" t="str">
        <f ca="1">OFFSET(ORÇAMENTO!O$15,ROW(E219)-ROW(E$15),0)</f>
        <v>-</v>
      </c>
      <c r="F219" s="172" t="str">
        <f ca="1">OFFSET(ORÇAMENTO!R$15,ROW(F219)-ROW(F$15),0)</f>
        <v>(abra o arquivo 'Referência 06-2024.xlsm)</v>
      </c>
      <c r="G219" s="173" t="str">
        <f ca="1">IF($D219&lt;&gt;"Serviço","",OFFSET(ORÇAMENTO!S$15,ROW(G219)-ROW(G$15),0))</f>
        <v>-</v>
      </c>
      <c r="H219" s="124">
        <f ca="1">IF($D219&lt;&gt;"Serviço",0,IF(ACOMPANHAMENTO="BM",ROUND(OFFSET(ORÇAMENTO!AJ$15,ROW(H219)-ROW(H$15),0),15-13*ORÇAMENTO!$AF$7),SUMPRODUCT(($Q$12:$AI$12&lt;&gt;"")*ROUND($Q219:$AI219,15-13*ORÇAMENTO!$AF$7))))</f>
        <v>724.76</v>
      </c>
      <c r="I219" s="561" t="s">
        <v>1107</v>
      </c>
      <c r="K219" s="174"/>
      <c r="L219" s="175" t="s">
        <v>255</v>
      </c>
      <c r="M219" s="176">
        <f ca="1">IF($D219&lt;&gt;"Serviço","",IF(AUTOEVENTO="manual",$A219,IF(ISERROR(MATCH($A219,$A$15:OFFSET($A219,-1,0),0)),MAX($M$15:OFFSET(M219,-1,0))+1,INDEX($M$15:OFFSET(M219,-1,0),MATCH($A219,$A$15:OFFSET($A219,-1,0),0)))))</f>
        <v>29</v>
      </c>
      <c r="N219" s="177" t="str">
        <f ca="1">IF($D219&lt;&gt;"Serviço","",IF(AUTOEVENTO="Manual",IF($A219=0,"&lt;-- defina o número do agrupador",OFFSET(EVENTOS!$D$14,$A219,0)),OFFSET($F$15,$A219,0)))</f>
        <v>SISTEMAS DE PISOS - PAVIMENTAÇÃO EXTERNA</v>
      </c>
      <c r="O219" s="178"/>
      <c r="Q219" s="178">
        <v>724.76</v>
      </c>
      <c r="R219" s="179"/>
      <c r="S219" s="179"/>
      <c r="T219" s="179"/>
      <c r="U219" s="179"/>
      <c r="V219" s="179"/>
      <c r="W219" s="179"/>
      <c r="X219" s="179"/>
      <c r="Y219" s="179"/>
      <c r="Z219" s="180"/>
      <c r="AA219" s="179"/>
      <c r="AB219" s="179"/>
      <c r="AC219" s="179"/>
      <c r="AD219" s="179"/>
      <c r="AE219" s="179"/>
      <c r="AF219" s="179"/>
      <c r="AG219" s="179"/>
      <c r="AH219" s="180"/>
      <c r="AJ219" s="544">
        <f ca="1">IF(AND($D219="Serviço",AJ$12&lt;&gt;0,$H219&gt;0,OR(AUTOEVENTO&lt;&gt;"manual",$M219&lt;&gt;1)),
IF(Import.TipoArredondamento&lt;&gt;"TransfereGOV",
ROUND(OFFSET($P219,0,AJ$13),15-13*ORÇAMENTO!$AF$7)/$H219*OFFSET(ORÇAMENTO!$X$15,ROW(AJ219)-ROW(AJ$15),0),
ROUND(ROUND(OFFSET($P219,0,AJ$13),15-13*ORÇAMENTO!$AF$7)*OFFSET(ORÇAMENTO!$W$15,ROW(AJ219)-ROW(AJ$15),0),15-13*ORÇAMENTO!$AF$11)),0)</f>
        <v>0</v>
      </c>
      <c r="AK219" s="545">
        <f ca="1">IF(AND($D219="Serviço",AK$12&lt;&gt;0,$H219&gt;0,OR(AUTOEVENTO&lt;&gt;"manual",$M219&lt;&gt;1)),
IF(Import.TipoArredondamento&lt;&gt;"TransfereGOV",
ROUND(OFFSET($P219,0,AK$13),15-13*ORÇAMENTO!$AF$7)/$H219*OFFSET(ORÇAMENTO!$X$15,ROW(AK219)-ROW(AK$15),0),
ROUND(ROUND(OFFSET($P219,0,AK$13),15-13*ORÇAMENTO!$AF$7)*OFFSET(ORÇAMENTO!$W$15,ROW(AK219)-ROW(AK$15),0),15-13*ORÇAMENTO!$AF$11)),0)</f>
        <v>0</v>
      </c>
      <c r="AL219" s="545">
        <f ca="1">IF(AND($D219="Serviço",AL$12&lt;&gt;0,$H219&gt;0,OR(AUTOEVENTO&lt;&gt;"manual",$M219&lt;&gt;1)),
IF(Import.TipoArredondamento&lt;&gt;"TransfereGOV",
ROUND(OFFSET($P219,0,AL$13),15-13*ORÇAMENTO!$AF$7)/$H219*OFFSET(ORÇAMENTO!$X$15,ROW(AL219)-ROW(AL$15),0),
ROUND(ROUND(OFFSET($P219,0,AL$13),15-13*ORÇAMENTO!$AF$7)*OFFSET(ORÇAMENTO!$W$15,ROW(AL219)-ROW(AL$15),0),15-13*ORÇAMENTO!$AF$11)),0)</f>
        <v>0</v>
      </c>
      <c r="AM219" s="545">
        <f ca="1">IF(AND($D219="Serviço",AM$12&lt;&gt;0,$H219&gt;0,OR(AUTOEVENTO&lt;&gt;"manual",$M219&lt;&gt;1)),
IF(Import.TipoArredondamento&lt;&gt;"TransfereGOV",
ROUND(OFFSET($P219,0,AM$13),15-13*ORÇAMENTO!$AF$7)/$H219*OFFSET(ORÇAMENTO!$X$15,ROW(AM219)-ROW(AM$15),0),
ROUND(ROUND(OFFSET($P219,0,AM$13),15-13*ORÇAMENTO!$AF$7)*OFFSET(ORÇAMENTO!$W$15,ROW(AM219)-ROW(AM$15),0),15-13*ORÇAMENTO!$AF$11)),0)</f>
        <v>0</v>
      </c>
      <c r="AN219" s="545">
        <f ca="1">IF(AND($D219="Serviço",AN$12&lt;&gt;0,$H219&gt;0,OR(AUTOEVENTO&lt;&gt;"manual",$M219&lt;&gt;1)),
IF(Import.TipoArredondamento&lt;&gt;"TransfereGOV",
ROUND(OFFSET($P219,0,AN$13),15-13*ORÇAMENTO!$AF$7)/$H219*OFFSET(ORÇAMENTO!$X$15,ROW(AN219)-ROW(AN$15),0),
ROUND(ROUND(OFFSET($P219,0,AN$13),15-13*ORÇAMENTO!$AF$7)*OFFSET(ORÇAMENTO!$W$15,ROW(AN219)-ROW(AN$15),0),15-13*ORÇAMENTO!$AF$11)),0)</f>
        <v>0</v>
      </c>
      <c r="AO219" s="545">
        <f ca="1">IF(AND($D219="Serviço",AO$12&lt;&gt;0,$H219&gt;0,OR(AUTOEVENTO&lt;&gt;"manual",$M219&lt;&gt;1)),
IF(Import.TipoArredondamento&lt;&gt;"TransfereGOV",
ROUND(OFFSET($P219,0,AO$13),15-13*ORÇAMENTO!$AF$7)/$H219*OFFSET(ORÇAMENTO!$X$15,ROW(AO219)-ROW(AO$15),0),
ROUND(ROUND(OFFSET($P219,0,AO$13),15-13*ORÇAMENTO!$AF$7)*OFFSET(ORÇAMENTO!$W$15,ROW(AO219)-ROW(AO$15),0),15-13*ORÇAMENTO!$AF$11)),0)</f>
        <v>0</v>
      </c>
      <c r="AP219" s="545">
        <f ca="1">IF(AND($D219="Serviço",AP$12&lt;&gt;0,$H219&gt;0,OR(AUTOEVENTO&lt;&gt;"manual",$M219&lt;&gt;1)),
IF(Import.TipoArredondamento&lt;&gt;"TransfereGOV",
ROUND(OFFSET($P219,0,AP$13),15-13*ORÇAMENTO!$AF$7)/$H219*OFFSET(ORÇAMENTO!$X$15,ROW(AP219)-ROW(AP$15),0),
ROUND(ROUND(OFFSET($P219,0,AP$13),15-13*ORÇAMENTO!$AF$7)*OFFSET(ORÇAMENTO!$W$15,ROW(AP219)-ROW(AP$15),0),15-13*ORÇAMENTO!$AF$11)),0)</f>
        <v>0</v>
      </c>
      <c r="AQ219" s="545">
        <f ca="1">IF(AND($D219="Serviço",AQ$12&lt;&gt;0,$H219&gt;0,OR(AUTOEVENTO&lt;&gt;"manual",$M219&lt;&gt;1)),
IF(Import.TipoArredondamento&lt;&gt;"TransfereGOV",
ROUND(OFFSET($P219,0,AQ$13),15-13*ORÇAMENTO!$AF$7)/$H219*OFFSET(ORÇAMENTO!$X$15,ROW(AQ219)-ROW(AQ$15),0),
ROUND(ROUND(OFFSET($P219,0,AQ$13),15-13*ORÇAMENTO!$AF$7)*OFFSET(ORÇAMENTO!$W$15,ROW(AQ219)-ROW(AQ$15),0),15-13*ORÇAMENTO!$AF$11)),0)</f>
        <v>0</v>
      </c>
      <c r="AR219" s="545">
        <f ca="1">IF(AND($D219="Serviço",AR$12&lt;&gt;0,$H219&gt;0,OR(AUTOEVENTO&lt;&gt;"manual",$M219&lt;&gt;1)),
IF(Import.TipoArredondamento&lt;&gt;"TransfereGOV",
ROUND(OFFSET($P219,0,AR$13),15-13*ORÇAMENTO!$AF$7)/$H219*OFFSET(ORÇAMENTO!$X$15,ROW(AR219)-ROW(AR$15),0),
ROUND(ROUND(OFFSET($P219,0,AR$13),15-13*ORÇAMENTO!$AF$7)*OFFSET(ORÇAMENTO!$W$15,ROW(AR219)-ROW(AR$15),0),15-13*ORÇAMENTO!$AF$11)),0)</f>
        <v>0</v>
      </c>
      <c r="AS219" s="546">
        <f ca="1">IF(AND($D219="Serviço",AS$12&lt;&gt;0,$H219&gt;0,OR(AUTOEVENTO&lt;&gt;"manual",$M219&lt;&gt;1)),
IF(Import.TipoArredondamento&lt;&gt;"TransfereGOV",
ROUND(OFFSET($P219,0,AS$13),15-13*ORÇAMENTO!$AF$7)/$H219*OFFSET(ORÇAMENTO!$X$15,ROW(AS219)-ROW(AS$15),0),
ROUND(ROUND(OFFSET($P219,0,AS$13),15-13*ORÇAMENTO!$AF$7)*OFFSET(ORÇAMENTO!$W$15,ROW(AS219)-ROW(AS$15),0),15-13*ORÇAMENTO!$AF$11)),0)</f>
        <v>0</v>
      </c>
      <c r="AT219" s="545">
        <f ca="1">IF(AND($D219="Serviço",AT$12&lt;&gt;0,$H219&gt;0,OR(AUTOEVENTO&lt;&gt;"manual",$M219&lt;&gt;1)),
IF(Import.TipoArredondamento&lt;&gt;"TransfereGOV",
ROUND(OFFSET($P219,0,AT$13),15-13*ORÇAMENTO!$AF$7)/$H219*OFFSET(ORÇAMENTO!$X$15,ROW(AT219)-ROW(AT$15),0),
ROUND(ROUND(OFFSET($P219,0,AT$13),15-13*ORÇAMENTO!$AF$7)*OFFSET(ORÇAMENTO!$W$15,ROW(AT219)-ROW(AT$15),0),15-13*ORÇAMENTO!$AF$11)),0)</f>
        <v>0</v>
      </c>
      <c r="AU219" s="545">
        <f ca="1">IF(AND($D219="Serviço",AU$12&lt;&gt;0,$H219&gt;0,OR(AUTOEVENTO&lt;&gt;"manual",$M219&lt;&gt;1)),
IF(Import.TipoArredondamento&lt;&gt;"TransfereGOV",
ROUND(OFFSET($P219,0,AU$13),15-13*ORÇAMENTO!$AF$7)/$H219*OFFSET(ORÇAMENTO!$X$15,ROW(AU219)-ROW(AU$15),0),
ROUND(ROUND(OFFSET($P219,0,AU$13),15-13*ORÇAMENTO!$AF$7)*OFFSET(ORÇAMENTO!$W$15,ROW(AU219)-ROW(AU$15),0),15-13*ORÇAMENTO!$AF$11)),0)</f>
        <v>0</v>
      </c>
      <c r="AV219" s="545">
        <f ca="1">IF(AND($D219="Serviço",AV$12&lt;&gt;0,$H219&gt;0,OR(AUTOEVENTO&lt;&gt;"manual",$M219&lt;&gt;1)),
IF(Import.TipoArredondamento&lt;&gt;"TransfereGOV",
ROUND(OFFSET($P219,0,AV$13),15-13*ORÇAMENTO!$AF$7)/$H219*OFFSET(ORÇAMENTO!$X$15,ROW(AV219)-ROW(AV$15),0),
ROUND(ROUND(OFFSET($P219,0,AV$13),15-13*ORÇAMENTO!$AF$7)*OFFSET(ORÇAMENTO!$W$15,ROW(AV219)-ROW(AV$15),0),15-13*ORÇAMENTO!$AF$11)),0)</f>
        <v>0</v>
      </c>
      <c r="AW219" s="545">
        <f ca="1">IF(AND($D219="Serviço",AW$12&lt;&gt;0,$H219&gt;0,OR(AUTOEVENTO&lt;&gt;"manual",$M219&lt;&gt;1)),
IF(Import.TipoArredondamento&lt;&gt;"TransfereGOV",
ROUND(OFFSET($P219,0,AW$13),15-13*ORÇAMENTO!$AF$7)/$H219*OFFSET(ORÇAMENTO!$X$15,ROW(AW219)-ROW(AW$15),0),
ROUND(ROUND(OFFSET($P219,0,AW$13),15-13*ORÇAMENTO!$AF$7)*OFFSET(ORÇAMENTO!$W$15,ROW(AW219)-ROW(AW$15),0),15-13*ORÇAMENTO!$AF$11)),0)</f>
        <v>0</v>
      </c>
      <c r="AX219" s="545">
        <f ca="1">IF(AND($D219="Serviço",AX$12&lt;&gt;0,$H219&gt;0,OR(AUTOEVENTO&lt;&gt;"manual",$M219&lt;&gt;1)),
IF(Import.TipoArredondamento&lt;&gt;"TransfereGOV",
ROUND(OFFSET($P219,0,AX$13),15-13*ORÇAMENTO!$AF$7)/$H219*OFFSET(ORÇAMENTO!$X$15,ROW(AX219)-ROW(AX$15),0),
ROUND(ROUND(OFFSET($P219,0,AX$13),15-13*ORÇAMENTO!$AF$7)*OFFSET(ORÇAMENTO!$W$15,ROW(AX219)-ROW(AX$15),0),15-13*ORÇAMENTO!$AF$11)),0)</f>
        <v>0</v>
      </c>
      <c r="AY219" s="545">
        <f ca="1">IF(AND($D219="Serviço",AY$12&lt;&gt;0,$H219&gt;0,OR(AUTOEVENTO&lt;&gt;"manual",$M219&lt;&gt;1)),
IF(Import.TipoArredondamento&lt;&gt;"TransfereGOV",
ROUND(OFFSET($P219,0,AY$13),15-13*ORÇAMENTO!$AF$7)/$H219*OFFSET(ORÇAMENTO!$X$15,ROW(AY219)-ROW(AY$15),0),
ROUND(ROUND(OFFSET($P219,0,AY$13),15-13*ORÇAMENTO!$AF$7)*OFFSET(ORÇAMENTO!$W$15,ROW(AY219)-ROW(AY$15),0),15-13*ORÇAMENTO!$AF$11)),0)</f>
        <v>0</v>
      </c>
      <c r="AZ219" s="545">
        <f ca="1">IF(AND($D219="Serviço",AZ$12&lt;&gt;0,$H219&gt;0,OR(AUTOEVENTO&lt;&gt;"manual",$M219&lt;&gt;1)),
IF(Import.TipoArredondamento&lt;&gt;"TransfereGOV",
ROUND(OFFSET($P219,0,AZ$13),15-13*ORÇAMENTO!$AF$7)/$H219*OFFSET(ORÇAMENTO!$X$15,ROW(AZ219)-ROW(AZ$15),0),
ROUND(ROUND(OFFSET($P219,0,AZ$13),15-13*ORÇAMENTO!$AF$7)*OFFSET(ORÇAMENTO!$W$15,ROW(AZ219)-ROW(AZ$15),0),15-13*ORÇAMENTO!$AF$11)),0)</f>
        <v>0</v>
      </c>
      <c r="BA219" s="546">
        <f ca="1">IF(AND($D219="Serviço",BA$12&lt;&gt;0,$H219&gt;0,OR(AUTOEVENTO&lt;&gt;"manual",$M219&lt;&gt;1)),
IF(Import.TipoArredondamento&lt;&gt;"TransfereGOV",
ROUND(OFFSET($P219,0,BA$13),15-13*ORÇAMENTO!$AF$7)/$H219*OFFSET(ORÇAMENTO!$X$15,ROW(BA219)-ROW(BA$15),0),
ROUND(ROUND(OFFSET($P219,0,BA$13),15-13*ORÇAMENTO!$AF$7)*OFFSET(ORÇAMENTO!$W$15,ROW(BA219)-ROW(BA$15),0),15-13*ORÇAMENTO!$AF$11)),0)</f>
        <v>0</v>
      </c>
      <c r="BC219" s="181">
        <f ca="1">IF($D219&lt;&gt;"Serviço",0,IF(AND(AUTOEVENTO="Manual",$M219=1),0,IF(OFFSET(CRONOPLE!$F$14,$M219,BC$13)="",10^12,OFFSET(CRONOPLE!$F$14,$M219,BC$13))))</f>
        <v>8</v>
      </c>
      <c r="BD219" s="181">
        <f ca="1">IF($D219&lt;&gt;"Serviço",0,IF(AND(AUTOEVENTO="Manual",$M219=1),0,IF(OFFSET(CRONOPLE!$F$14,$M219,BD$13)="",10^12,OFFSET(CRONOPLE!$F$14,$M219,BD$13))))</f>
        <v>1000000000000</v>
      </c>
      <c r="BE219" s="181">
        <f ca="1">IF($D219&lt;&gt;"Serviço",0,IF(AND(AUTOEVENTO="Manual",$M219=1),0,IF(OFFSET(CRONOPLE!$F$14,$M219,BE$13)="",10^12,OFFSET(CRONOPLE!$F$14,$M219,BE$13))))</f>
        <v>1000000000000</v>
      </c>
      <c r="BF219" s="181">
        <f ca="1">IF($D219&lt;&gt;"Serviço",0,IF(AND(AUTOEVENTO="Manual",$M219=1),0,IF(OFFSET(CRONOPLE!$F$14,$M219,BF$13)="",10^12,OFFSET(CRONOPLE!$F$14,$M219,BF$13))))</f>
        <v>1000000000000</v>
      </c>
      <c r="BG219" s="181">
        <f ca="1">IF($D219&lt;&gt;"Serviço",0,IF(AND(AUTOEVENTO="Manual",$M219=1),0,IF(OFFSET(CRONOPLE!$F$14,$M219,BG$13)="",10^12,OFFSET(CRONOPLE!$F$14,$M219,BG$13))))</f>
        <v>1000000000000</v>
      </c>
      <c r="BH219" s="181">
        <f ca="1">IF($D219&lt;&gt;"Serviço",0,IF(AND(AUTOEVENTO="Manual",$M219=1),0,IF(OFFSET(CRONOPLE!$F$14,$M219,BH$13)="",10^12,OFFSET(CRONOPLE!$F$14,$M219,BH$13))))</f>
        <v>1000000000000</v>
      </c>
      <c r="BI219" s="181">
        <f ca="1">IF($D219&lt;&gt;"Serviço",0,IF(AND(AUTOEVENTO="Manual",$M219=1),0,IF(OFFSET(CRONOPLE!$F$14,$M219,BI$13)="",10^12,OFFSET(CRONOPLE!$F$14,$M219,BI$13))))</f>
        <v>1000000000000</v>
      </c>
      <c r="BJ219" s="181">
        <f ca="1">IF($D219&lt;&gt;"Serviço",0,IF(AND(AUTOEVENTO="Manual",$M219=1),0,IF(OFFSET(CRONOPLE!$F$14,$M219,BJ$13)="",10^12,OFFSET(CRONOPLE!$F$14,$M219,BJ$13))))</f>
        <v>1000000000000</v>
      </c>
      <c r="BK219" s="181">
        <f ca="1">IF($D219&lt;&gt;"Serviço",0,IF(AND(AUTOEVENTO="Manual",$M219=1),0,IF(OFFSET(CRONOPLE!$F$14,$M219,BK$13)="",10^12,OFFSET(CRONOPLE!$F$14,$M219,BK$13))))</f>
        <v>1000000000000</v>
      </c>
      <c r="BL219" s="181">
        <f ca="1">IF($D219&lt;&gt;"Serviço",0,IF(AND(AUTOEVENTO="Manual",$M219=1),0,IF(OFFSET(CRONOPLE!$F$14,$M219,BL$13)="",10^12,OFFSET(CRONOPLE!$F$14,$M219,BL$13))))</f>
        <v>1000000000000</v>
      </c>
      <c r="BM219" s="181">
        <f ca="1">IF($D219&lt;&gt;"Serviço",0,IF(AND(AUTOEVENTO="Manual",$M219=1),0,IF(OFFSET(CRONOPLE!$F$14,$M219,BM$13)="",10^12,OFFSET(CRONOPLE!$F$14,$M219,BM$13))))</f>
        <v>1000000000000</v>
      </c>
      <c r="BN219" s="181">
        <f ca="1">IF($D219&lt;&gt;"Serviço",0,IF(AND(AUTOEVENTO="Manual",$M219=1),0,IF(OFFSET(CRONOPLE!$F$14,$M219,BN$13)="",10^12,OFFSET(CRONOPLE!$F$14,$M219,BN$13))))</f>
        <v>1000000000000</v>
      </c>
      <c r="BO219" s="181">
        <f ca="1">IF($D219&lt;&gt;"Serviço",0,IF(AND(AUTOEVENTO="Manual",$M219=1),0,IF(OFFSET(CRONOPLE!$F$14,$M219,BO$13)="",10^12,OFFSET(CRONOPLE!$F$14,$M219,BO$13))))</f>
        <v>1000000000000</v>
      </c>
      <c r="BP219" s="181">
        <f ca="1">IF($D219&lt;&gt;"Serviço",0,IF(AND(AUTOEVENTO="Manual",$M219=1),0,IF(OFFSET(CRONOPLE!$F$14,$M219,BP$13)="",10^12,OFFSET(CRONOPLE!$F$14,$M219,BP$13))))</f>
        <v>1000000000000</v>
      </c>
      <c r="BQ219" s="181">
        <f ca="1">IF($D219&lt;&gt;"Serviço",0,IF(AND(AUTOEVENTO="Manual",$M219=1),0,IF(OFFSET(CRONOPLE!$F$14,$M219,BQ$13)="",10^12,OFFSET(CRONOPLE!$F$14,$M219,BQ$13))))</f>
        <v>1000000000000</v>
      </c>
      <c r="BR219" s="181">
        <f ca="1">IF($D219&lt;&gt;"Serviço",0,IF(AND(AUTOEVENTO="Manual",$M219=1),0,IF(OFFSET(CRONOPLE!$F$14,$M219,BR$13)="",10^12,OFFSET(CRONOPLE!$F$14,$M219,BR$13))))</f>
        <v>1000000000000</v>
      </c>
      <c r="BS219" s="181">
        <f ca="1">IF($D219&lt;&gt;"Serviço",0,IF(AND(AUTOEVENTO="Manual",$M219=1),0,IF(OFFSET(CRONOPLE!$F$14,$M219,BS$13)="",10^12,OFFSET(CRONOPLE!$F$14,$M219,BS$13))))</f>
        <v>1000000000000</v>
      </c>
      <c r="BT219" s="181">
        <f ca="1">IF($D219&lt;&gt;"Serviço",0,IF(AND(AUTOEVENTO="Manual",$M219=1),0,IF(OFFSET(CRONOPLE!$F$14,$M219,BT$13)="",10^12,OFFSET(CRONOPLE!$F$14,$M219,BT$13))))</f>
        <v>1000000000000</v>
      </c>
      <c r="BV219" s="182">
        <f ca="1">IF($D219&lt;&gt;"Serviço",0,IF(OR(AND(AUTOEVENTO="Manual",$M219=1),$M219&gt;(ROW(PLE.lastrow)-ROW(PLE.firstrow))),0,IF(OFFSET(PLE!$G$14,$M219,BV$13)="",10^12,OFFSET(PLE!$G$14,$M219,BV$13))))</f>
        <v>1000000000000</v>
      </c>
      <c r="BW219" s="182">
        <f ca="1">IF($D219&lt;&gt;"Serviço",0,IF(OR(AND(AUTOEVENTO="Manual",$M219=1),$M219&gt;(ROW(PLE.lastrow)-ROW(PLE.firstrow))),0,IF(OFFSET(PLE!$G$14,$M219,BW$13)="",10^12,OFFSET(PLE!$G$14,$M219,BW$13))))</f>
        <v>1000000000000</v>
      </c>
      <c r="BX219" s="182">
        <f ca="1">IF($D219&lt;&gt;"Serviço",0,IF(OR(AND(AUTOEVENTO="Manual",$M219=1),$M219&gt;(ROW(PLE.lastrow)-ROW(PLE.firstrow))),0,IF(OFFSET(PLE!$G$14,$M219,BX$13)="",10^12,OFFSET(PLE!$G$14,$M219,BX$13))))</f>
        <v>1000000000000</v>
      </c>
      <c r="BY219" s="182">
        <f ca="1">IF($D219&lt;&gt;"Serviço",0,IF(OR(AND(AUTOEVENTO="Manual",$M219=1),$M219&gt;(ROW(PLE.lastrow)-ROW(PLE.firstrow))),0,IF(OFFSET(PLE!$G$14,$M219,BY$13)="",10^12,OFFSET(PLE!$G$14,$M219,BY$13))))</f>
        <v>1000000000000</v>
      </c>
      <c r="BZ219" s="182">
        <f ca="1">IF($D219&lt;&gt;"Serviço",0,IF(OR(AND(AUTOEVENTO="Manual",$M219=1),$M219&gt;(ROW(PLE.lastrow)-ROW(PLE.firstrow))),0,IF(OFFSET(PLE!$G$14,$M219,BZ$13)="",10^12,OFFSET(PLE!$G$14,$M219,BZ$13))))</f>
        <v>1000000000000</v>
      </c>
      <c r="CA219" s="182">
        <f ca="1">IF($D219&lt;&gt;"Serviço",0,IF(OR(AND(AUTOEVENTO="Manual",$M219=1),$M219&gt;(ROW(PLE.lastrow)-ROW(PLE.firstrow))),0,IF(OFFSET(PLE!$G$14,$M219,CA$13)="",10^12,OFFSET(PLE!$G$14,$M219,CA$13))))</f>
        <v>1000000000000</v>
      </c>
      <c r="CB219" s="182">
        <f ca="1">IF($D219&lt;&gt;"Serviço",0,IF(OR(AND(AUTOEVENTO="Manual",$M219=1),$M219&gt;(ROW(PLE.lastrow)-ROW(PLE.firstrow))),0,IF(OFFSET(PLE!$G$14,$M219,CB$13)="",10^12,OFFSET(PLE!$G$14,$M219,CB$13))))</f>
        <v>1000000000000</v>
      </c>
      <c r="CC219" s="182">
        <f ca="1">IF($D219&lt;&gt;"Serviço",0,IF(OR(AND(AUTOEVENTO="Manual",$M219=1),$M219&gt;(ROW(PLE.lastrow)-ROW(PLE.firstrow))),0,IF(OFFSET(PLE!$G$14,$M219,CC$13)="",10^12,OFFSET(PLE!$G$14,$M219,CC$13))))</f>
        <v>1000000000000</v>
      </c>
      <c r="CD219" s="182">
        <f ca="1">IF($D219&lt;&gt;"Serviço",0,IF(OR(AND(AUTOEVENTO="Manual",$M219=1),$M219&gt;(ROW(PLE.lastrow)-ROW(PLE.firstrow))),0,IF(OFFSET(PLE!$G$14,$M219,CD$13)="",10^12,OFFSET(PLE!$G$14,$M219,CD$13))))</f>
        <v>1000000000000</v>
      </c>
      <c r="CE219" s="182">
        <f ca="1">IF($D219&lt;&gt;"Serviço",0,IF(OR(AND(AUTOEVENTO="Manual",$M219=1),$M219&gt;(ROW(PLE.lastrow)-ROW(PLE.firstrow))),0,IF(OFFSET(PLE!$G$14,$M219,CE$13)="",10^12,OFFSET(PLE!$G$14,$M219,CE$13))))</f>
        <v>1000000000000</v>
      </c>
      <c r="CF219" s="182">
        <f ca="1">IF($D219&lt;&gt;"Serviço",0,IF(OR(AND(AUTOEVENTO="Manual",$M219=1),$M219&gt;(ROW(PLE.lastrow)-ROW(PLE.firstrow))),0,IF(OFFSET(PLE!$G$14,$M219,CF$13)="",10^12,OFFSET(PLE!$G$14,$M219,CF$13))))</f>
        <v>1000000000000</v>
      </c>
      <c r="CG219" s="182">
        <f ca="1">IF($D219&lt;&gt;"Serviço",0,IF(OR(AND(AUTOEVENTO="Manual",$M219=1),$M219&gt;(ROW(PLE.lastrow)-ROW(PLE.firstrow))),0,IF(OFFSET(PLE!$G$14,$M219,CG$13)="",10^12,OFFSET(PLE!$G$14,$M219,CG$13))))</f>
        <v>1000000000000</v>
      </c>
      <c r="CH219" s="182">
        <f ca="1">IF($D219&lt;&gt;"Serviço",0,IF(OR(AND(AUTOEVENTO="Manual",$M219=1),$M219&gt;(ROW(PLE.lastrow)-ROW(PLE.firstrow))),0,IF(OFFSET(PLE!$G$14,$M219,CH$13)="",10^12,OFFSET(PLE!$G$14,$M219,CH$13))))</f>
        <v>1000000000000</v>
      </c>
      <c r="CI219" s="182">
        <f ca="1">IF($D219&lt;&gt;"Serviço",0,IF(OR(AND(AUTOEVENTO="Manual",$M219=1),$M219&gt;(ROW(PLE.lastrow)-ROW(PLE.firstrow))),0,IF(OFFSET(PLE!$G$14,$M219,CI$13)="",10^12,OFFSET(PLE!$G$14,$M219,CI$13))))</f>
        <v>1000000000000</v>
      </c>
      <c r="CJ219" s="182">
        <f ca="1">IF($D219&lt;&gt;"Serviço",0,IF(OR(AND(AUTOEVENTO="Manual",$M219=1),$M219&gt;(ROW(PLE.lastrow)-ROW(PLE.firstrow))),0,IF(OFFSET(PLE!$G$14,$M219,CJ$13)="",10^12,OFFSET(PLE!$G$14,$M219,CJ$13))))</f>
        <v>1000000000000</v>
      </c>
      <c r="CK219" s="182">
        <f ca="1">IF($D219&lt;&gt;"Serviço",0,IF(OR(AND(AUTOEVENTO="Manual",$M219=1),$M219&gt;(ROW(PLE.lastrow)-ROW(PLE.firstrow))),0,IF(OFFSET(PLE!$G$14,$M219,CK$13)="",10^12,OFFSET(PLE!$G$14,$M219,CK$13))))</f>
        <v>1000000000000</v>
      </c>
      <c r="CL219" s="182">
        <f ca="1">IF($D219&lt;&gt;"Serviço",0,IF(OR(AND(AUTOEVENTO="Manual",$M219=1),$M219&gt;(ROW(PLE.lastrow)-ROW(PLE.firstrow))),0,IF(OFFSET(PLE!$G$14,$M219,CL$13)="",10^12,OFFSET(PLE!$G$14,$M219,CL$13))))</f>
        <v>1000000000000</v>
      </c>
      <c r="CM219" s="182">
        <f ca="1">IF($D219&lt;&gt;"Serviço",0,IF(OR(AND(AUTOEVENTO="Manual",$M219=1),$M219&gt;(ROW(PLE.lastrow)-ROW(PLE.firstrow))),0,IF(OFFSET(PLE!$G$14,$M219,CM$13)="",10^12,OFFSET(PLE!$G$14,$M219,CM$13))))</f>
        <v>1000000000000</v>
      </c>
    </row>
    <row r="220" spans="1:91" ht="25.5" x14ac:dyDescent="0.2">
      <c r="A220" s="7" t="str">
        <f t="shared" ca="1" si="12"/>
        <v>197</v>
      </c>
      <c r="B220" s="7" t="str">
        <f ca="1">OFFSET(ORÇAMENTO!C$15,ROW(B220)-ROW(B$15),0)</f>
        <v>S</v>
      </c>
      <c r="C220" s="7" t="str">
        <f ca="1">OFFSET(ORÇAMENTO!L$15,ROW(C220)-ROW(C$15),0)</f>
        <v/>
      </c>
      <c r="D220" s="118" t="str">
        <f ca="1">OFFSET(ORÇAMENTO!N$15,ROW(D220)-ROW(D$15),0)</f>
        <v>Serviço</v>
      </c>
      <c r="E220" s="119" t="str">
        <f ca="1">OFFSET(ORÇAMENTO!O$15,ROW(E220)-ROW(E$15),0)</f>
        <v>-</v>
      </c>
      <c r="F220" s="172" t="str">
        <f ca="1">OFFSET(ORÇAMENTO!R$15,ROW(F220)-ROW(F$15),0)</f>
        <v>(abra o arquivo 'Referência 06-2024.xlsm)</v>
      </c>
      <c r="G220" s="173" t="str">
        <f ca="1">IF($D220&lt;&gt;"Serviço","",OFFSET(ORÇAMENTO!S$15,ROW(G220)-ROW(G$15),0))</f>
        <v>-</v>
      </c>
      <c r="H220" s="124">
        <f ca="1">IF($D220&lt;&gt;"Serviço",0,IF(ACOMPANHAMENTO="BM",ROUND(OFFSET(ORÇAMENTO!AJ$15,ROW(H220)-ROW(H$15),0),15-13*ORÇAMENTO!$AF$7),SUMPRODUCT(($Q$12:$AI$12&lt;&gt;"")*ROUND($Q220:$AI220,15-13*ORÇAMENTO!$AF$7))))</f>
        <v>6.8</v>
      </c>
      <c r="I220" s="561" t="s">
        <v>1107</v>
      </c>
      <c r="K220" s="174"/>
      <c r="L220" s="175" t="s">
        <v>255</v>
      </c>
      <c r="M220" s="176">
        <f ca="1">IF($D220&lt;&gt;"Serviço","",IF(AUTOEVENTO="manual",$A220,IF(ISERROR(MATCH($A220,$A$15:OFFSET($A220,-1,0),0)),MAX($M$15:OFFSET(M220,-1,0))+1,INDEX($M$15:OFFSET(M220,-1,0),MATCH($A220,$A$15:OFFSET($A220,-1,0),0)))))</f>
        <v>29</v>
      </c>
      <c r="N220" s="177" t="str">
        <f ca="1">IF($D220&lt;&gt;"Serviço","",IF(AUTOEVENTO="Manual",IF($A220=0,"&lt;-- defina o número do agrupador",OFFSET(EVENTOS!$D$14,$A220,0)),OFFSET($F$15,$A220,0)))</f>
        <v>SISTEMAS DE PISOS - PAVIMENTAÇÃO EXTERNA</v>
      </c>
      <c r="O220" s="178"/>
      <c r="Q220" s="178">
        <v>6.8</v>
      </c>
      <c r="R220" s="179"/>
      <c r="S220" s="179"/>
      <c r="T220" s="179"/>
      <c r="U220" s="179"/>
      <c r="V220" s="179"/>
      <c r="W220" s="179"/>
      <c r="X220" s="179"/>
      <c r="Y220" s="179"/>
      <c r="Z220" s="180"/>
      <c r="AA220" s="179"/>
      <c r="AB220" s="179"/>
      <c r="AC220" s="179"/>
      <c r="AD220" s="179"/>
      <c r="AE220" s="179"/>
      <c r="AF220" s="179"/>
      <c r="AG220" s="179"/>
      <c r="AH220" s="180"/>
      <c r="AJ220" s="544">
        <f ca="1">IF(AND($D220="Serviço",AJ$12&lt;&gt;0,$H220&gt;0,OR(AUTOEVENTO&lt;&gt;"manual",$M220&lt;&gt;1)),
IF(Import.TipoArredondamento&lt;&gt;"TransfereGOV",
ROUND(OFFSET($P220,0,AJ$13),15-13*ORÇAMENTO!$AF$7)/$H220*OFFSET(ORÇAMENTO!$X$15,ROW(AJ220)-ROW(AJ$15),0),
ROUND(ROUND(OFFSET($P220,0,AJ$13),15-13*ORÇAMENTO!$AF$7)*OFFSET(ORÇAMENTO!$W$15,ROW(AJ220)-ROW(AJ$15),0),15-13*ORÇAMENTO!$AF$11)),0)</f>
        <v>0</v>
      </c>
      <c r="AK220" s="545">
        <f ca="1">IF(AND($D220="Serviço",AK$12&lt;&gt;0,$H220&gt;0,OR(AUTOEVENTO&lt;&gt;"manual",$M220&lt;&gt;1)),
IF(Import.TipoArredondamento&lt;&gt;"TransfereGOV",
ROUND(OFFSET($P220,0,AK$13),15-13*ORÇAMENTO!$AF$7)/$H220*OFFSET(ORÇAMENTO!$X$15,ROW(AK220)-ROW(AK$15),0),
ROUND(ROUND(OFFSET($P220,0,AK$13),15-13*ORÇAMENTO!$AF$7)*OFFSET(ORÇAMENTO!$W$15,ROW(AK220)-ROW(AK$15),0),15-13*ORÇAMENTO!$AF$11)),0)</f>
        <v>0</v>
      </c>
      <c r="AL220" s="545">
        <f ca="1">IF(AND($D220="Serviço",AL$12&lt;&gt;0,$H220&gt;0,OR(AUTOEVENTO&lt;&gt;"manual",$M220&lt;&gt;1)),
IF(Import.TipoArredondamento&lt;&gt;"TransfereGOV",
ROUND(OFFSET($P220,0,AL$13),15-13*ORÇAMENTO!$AF$7)/$H220*OFFSET(ORÇAMENTO!$X$15,ROW(AL220)-ROW(AL$15),0),
ROUND(ROUND(OFFSET($P220,0,AL$13),15-13*ORÇAMENTO!$AF$7)*OFFSET(ORÇAMENTO!$W$15,ROW(AL220)-ROW(AL$15),0),15-13*ORÇAMENTO!$AF$11)),0)</f>
        <v>0</v>
      </c>
      <c r="AM220" s="545">
        <f ca="1">IF(AND($D220="Serviço",AM$12&lt;&gt;0,$H220&gt;0,OR(AUTOEVENTO&lt;&gt;"manual",$M220&lt;&gt;1)),
IF(Import.TipoArredondamento&lt;&gt;"TransfereGOV",
ROUND(OFFSET($P220,0,AM$13),15-13*ORÇAMENTO!$AF$7)/$H220*OFFSET(ORÇAMENTO!$X$15,ROW(AM220)-ROW(AM$15),0),
ROUND(ROUND(OFFSET($P220,0,AM$13),15-13*ORÇAMENTO!$AF$7)*OFFSET(ORÇAMENTO!$W$15,ROW(AM220)-ROW(AM$15),0),15-13*ORÇAMENTO!$AF$11)),0)</f>
        <v>0</v>
      </c>
      <c r="AN220" s="545">
        <f ca="1">IF(AND($D220="Serviço",AN$12&lt;&gt;0,$H220&gt;0,OR(AUTOEVENTO&lt;&gt;"manual",$M220&lt;&gt;1)),
IF(Import.TipoArredondamento&lt;&gt;"TransfereGOV",
ROUND(OFFSET($P220,0,AN$13),15-13*ORÇAMENTO!$AF$7)/$H220*OFFSET(ORÇAMENTO!$X$15,ROW(AN220)-ROW(AN$15),0),
ROUND(ROUND(OFFSET($P220,0,AN$13),15-13*ORÇAMENTO!$AF$7)*OFFSET(ORÇAMENTO!$W$15,ROW(AN220)-ROW(AN$15),0),15-13*ORÇAMENTO!$AF$11)),0)</f>
        <v>0</v>
      </c>
      <c r="AO220" s="545">
        <f ca="1">IF(AND($D220="Serviço",AO$12&lt;&gt;0,$H220&gt;0,OR(AUTOEVENTO&lt;&gt;"manual",$M220&lt;&gt;1)),
IF(Import.TipoArredondamento&lt;&gt;"TransfereGOV",
ROUND(OFFSET($P220,0,AO$13),15-13*ORÇAMENTO!$AF$7)/$H220*OFFSET(ORÇAMENTO!$X$15,ROW(AO220)-ROW(AO$15),0),
ROUND(ROUND(OFFSET($P220,0,AO$13),15-13*ORÇAMENTO!$AF$7)*OFFSET(ORÇAMENTO!$W$15,ROW(AO220)-ROW(AO$15),0),15-13*ORÇAMENTO!$AF$11)),0)</f>
        <v>0</v>
      </c>
      <c r="AP220" s="545">
        <f ca="1">IF(AND($D220="Serviço",AP$12&lt;&gt;0,$H220&gt;0,OR(AUTOEVENTO&lt;&gt;"manual",$M220&lt;&gt;1)),
IF(Import.TipoArredondamento&lt;&gt;"TransfereGOV",
ROUND(OFFSET($P220,0,AP$13),15-13*ORÇAMENTO!$AF$7)/$H220*OFFSET(ORÇAMENTO!$X$15,ROW(AP220)-ROW(AP$15),0),
ROUND(ROUND(OFFSET($P220,0,AP$13),15-13*ORÇAMENTO!$AF$7)*OFFSET(ORÇAMENTO!$W$15,ROW(AP220)-ROW(AP$15),0),15-13*ORÇAMENTO!$AF$11)),0)</f>
        <v>0</v>
      </c>
      <c r="AQ220" s="545">
        <f ca="1">IF(AND($D220="Serviço",AQ$12&lt;&gt;0,$H220&gt;0,OR(AUTOEVENTO&lt;&gt;"manual",$M220&lt;&gt;1)),
IF(Import.TipoArredondamento&lt;&gt;"TransfereGOV",
ROUND(OFFSET($P220,0,AQ$13),15-13*ORÇAMENTO!$AF$7)/$H220*OFFSET(ORÇAMENTO!$X$15,ROW(AQ220)-ROW(AQ$15),0),
ROUND(ROUND(OFFSET($P220,0,AQ$13),15-13*ORÇAMENTO!$AF$7)*OFFSET(ORÇAMENTO!$W$15,ROW(AQ220)-ROW(AQ$15),0),15-13*ORÇAMENTO!$AF$11)),0)</f>
        <v>0</v>
      </c>
      <c r="AR220" s="545">
        <f ca="1">IF(AND($D220="Serviço",AR$12&lt;&gt;0,$H220&gt;0,OR(AUTOEVENTO&lt;&gt;"manual",$M220&lt;&gt;1)),
IF(Import.TipoArredondamento&lt;&gt;"TransfereGOV",
ROUND(OFFSET($P220,0,AR$13),15-13*ORÇAMENTO!$AF$7)/$H220*OFFSET(ORÇAMENTO!$X$15,ROW(AR220)-ROW(AR$15),0),
ROUND(ROUND(OFFSET($P220,0,AR$13),15-13*ORÇAMENTO!$AF$7)*OFFSET(ORÇAMENTO!$W$15,ROW(AR220)-ROW(AR$15),0),15-13*ORÇAMENTO!$AF$11)),0)</f>
        <v>0</v>
      </c>
      <c r="AS220" s="546">
        <f ca="1">IF(AND($D220="Serviço",AS$12&lt;&gt;0,$H220&gt;0,OR(AUTOEVENTO&lt;&gt;"manual",$M220&lt;&gt;1)),
IF(Import.TipoArredondamento&lt;&gt;"TransfereGOV",
ROUND(OFFSET($P220,0,AS$13),15-13*ORÇAMENTO!$AF$7)/$H220*OFFSET(ORÇAMENTO!$X$15,ROW(AS220)-ROW(AS$15),0),
ROUND(ROUND(OFFSET($P220,0,AS$13),15-13*ORÇAMENTO!$AF$7)*OFFSET(ORÇAMENTO!$W$15,ROW(AS220)-ROW(AS$15),0),15-13*ORÇAMENTO!$AF$11)),0)</f>
        <v>0</v>
      </c>
      <c r="AT220" s="545">
        <f ca="1">IF(AND($D220="Serviço",AT$12&lt;&gt;0,$H220&gt;0,OR(AUTOEVENTO&lt;&gt;"manual",$M220&lt;&gt;1)),
IF(Import.TipoArredondamento&lt;&gt;"TransfereGOV",
ROUND(OFFSET($P220,0,AT$13),15-13*ORÇAMENTO!$AF$7)/$H220*OFFSET(ORÇAMENTO!$X$15,ROW(AT220)-ROW(AT$15),0),
ROUND(ROUND(OFFSET($P220,0,AT$13),15-13*ORÇAMENTO!$AF$7)*OFFSET(ORÇAMENTO!$W$15,ROW(AT220)-ROW(AT$15),0),15-13*ORÇAMENTO!$AF$11)),0)</f>
        <v>0</v>
      </c>
      <c r="AU220" s="545">
        <f ca="1">IF(AND($D220="Serviço",AU$12&lt;&gt;0,$H220&gt;0,OR(AUTOEVENTO&lt;&gt;"manual",$M220&lt;&gt;1)),
IF(Import.TipoArredondamento&lt;&gt;"TransfereGOV",
ROUND(OFFSET($P220,0,AU$13),15-13*ORÇAMENTO!$AF$7)/$H220*OFFSET(ORÇAMENTO!$X$15,ROW(AU220)-ROW(AU$15),0),
ROUND(ROUND(OFFSET($P220,0,AU$13),15-13*ORÇAMENTO!$AF$7)*OFFSET(ORÇAMENTO!$W$15,ROW(AU220)-ROW(AU$15),0),15-13*ORÇAMENTO!$AF$11)),0)</f>
        <v>0</v>
      </c>
      <c r="AV220" s="545">
        <f ca="1">IF(AND($D220="Serviço",AV$12&lt;&gt;0,$H220&gt;0,OR(AUTOEVENTO&lt;&gt;"manual",$M220&lt;&gt;1)),
IF(Import.TipoArredondamento&lt;&gt;"TransfereGOV",
ROUND(OFFSET($P220,0,AV$13),15-13*ORÇAMENTO!$AF$7)/$H220*OFFSET(ORÇAMENTO!$X$15,ROW(AV220)-ROW(AV$15),0),
ROUND(ROUND(OFFSET($P220,0,AV$13),15-13*ORÇAMENTO!$AF$7)*OFFSET(ORÇAMENTO!$W$15,ROW(AV220)-ROW(AV$15),0),15-13*ORÇAMENTO!$AF$11)),0)</f>
        <v>0</v>
      </c>
      <c r="AW220" s="545">
        <f ca="1">IF(AND($D220="Serviço",AW$12&lt;&gt;0,$H220&gt;0,OR(AUTOEVENTO&lt;&gt;"manual",$M220&lt;&gt;1)),
IF(Import.TipoArredondamento&lt;&gt;"TransfereGOV",
ROUND(OFFSET($P220,0,AW$13),15-13*ORÇAMENTO!$AF$7)/$H220*OFFSET(ORÇAMENTO!$X$15,ROW(AW220)-ROW(AW$15),0),
ROUND(ROUND(OFFSET($P220,0,AW$13),15-13*ORÇAMENTO!$AF$7)*OFFSET(ORÇAMENTO!$W$15,ROW(AW220)-ROW(AW$15),0),15-13*ORÇAMENTO!$AF$11)),0)</f>
        <v>0</v>
      </c>
      <c r="AX220" s="545">
        <f ca="1">IF(AND($D220="Serviço",AX$12&lt;&gt;0,$H220&gt;0,OR(AUTOEVENTO&lt;&gt;"manual",$M220&lt;&gt;1)),
IF(Import.TipoArredondamento&lt;&gt;"TransfereGOV",
ROUND(OFFSET($P220,0,AX$13),15-13*ORÇAMENTO!$AF$7)/$H220*OFFSET(ORÇAMENTO!$X$15,ROW(AX220)-ROW(AX$15),0),
ROUND(ROUND(OFFSET($P220,0,AX$13),15-13*ORÇAMENTO!$AF$7)*OFFSET(ORÇAMENTO!$W$15,ROW(AX220)-ROW(AX$15),0),15-13*ORÇAMENTO!$AF$11)),0)</f>
        <v>0</v>
      </c>
      <c r="AY220" s="545">
        <f ca="1">IF(AND($D220="Serviço",AY$12&lt;&gt;0,$H220&gt;0,OR(AUTOEVENTO&lt;&gt;"manual",$M220&lt;&gt;1)),
IF(Import.TipoArredondamento&lt;&gt;"TransfereGOV",
ROUND(OFFSET($P220,0,AY$13),15-13*ORÇAMENTO!$AF$7)/$H220*OFFSET(ORÇAMENTO!$X$15,ROW(AY220)-ROW(AY$15),0),
ROUND(ROUND(OFFSET($P220,0,AY$13),15-13*ORÇAMENTO!$AF$7)*OFFSET(ORÇAMENTO!$W$15,ROW(AY220)-ROW(AY$15),0),15-13*ORÇAMENTO!$AF$11)),0)</f>
        <v>0</v>
      </c>
      <c r="AZ220" s="545">
        <f ca="1">IF(AND($D220="Serviço",AZ$12&lt;&gt;0,$H220&gt;0,OR(AUTOEVENTO&lt;&gt;"manual",$M220&lt;&gt;1)),
IF(Import.TipoArredondamento&lt;&gt;"TransfereGOV",
ROUND(OFFSET($P220,0,AZ$13),15-13*ORÇAMENTO!$AF$7)/$H220*OFFSET(ORÇAMENTO!$X$15,ROW(AZ220)-ROW(AZ$15),0),
ROUND(ROUND(OFFSET($P220,0,AZ$13),15-13*ORÇAMENTO!$AF$7)*OFFSET(ORÇAMENTO!$W$15,ROW(AZ220)-ROW(AZ$15),0),15-13*ORÇAMENTO!$AF$11)),0)</f>
        <v>0</v>
      </c>
      <c r="BA220" s="546">
        <f ca="1">IF(AND($D220="Serviço",BA$12&lt;&gt;0,$H220&gt;0,OR(AUTOEVENTO&lt;&gt;"manual",$M220&lt;&gt;1)),
IF(Import.TipoArredondamento&lt;&gt;"TransfereGOV",
ROUND(OFFSET($P220,0,BA$13),15-13*ORÇAMENTO!$AF$7)/$H220*OFFSET(ORÇAMENTO!$X$15,ROW(BA220)-ROW(BA$15),0),
ROUND(ROUND(OFFSET($P220,0,BA$13),15-13*ORÇAMENTO!$AF$7)*OFFSET(ORÇAMENTO!$W$15,ROW(BA220)-ROW(BA$15),0),15-13*ORÇAMENTO!$AF$11)),0)</f>
        <v>0</v>
      </c>
      <c r="BC220" s="181">
        <f ca="1">IF($D220&lt;&gt;"Serviço",0,IF(AND(AUTOEVENTO="Manual",$M220=1),0,IF(OFFSET(CRONOPLE!$F$14,$M220,BC$13)="",10^12,OFFSET(CRONOPLE!$F$14,$M220,BC$13))))</f>
        <v>8</v>
      </c>
      <c r="BD220" s="181">
        <f ca="1">IF($D220&lt;&gt;"Serviço",0,IF(AND(AUTOEVENTO="Manual",$M220=1),0,IF(OFFSET(CRONOPLE!$F$14,$M220,BD$13)="",10^12,OFFSET(CRONOPLE!$F$14,$M220,BD$13))))</f>
        <v>1000000000000</v>
      </c>
      <c r="BE220" s="181">
        <f ca="1">IF($D220&lt;&gt;"Serviço",0,IF(AND(AUTOEVENTO="Manual",$M220=1),0,IF(OFFSET(CRONOPLE!$F$14,$M220,BE$13)="",10^12,OFFSET(CRONOPLE!$F$14,$M220,BE$13))))</f>
        <v>1000000000000</v>
      </c>
      <c r="BF220" s="181">
        <f ca="1">IF($D220&lt;&gt;"Serviço",0,IF(AND(AUTOEVENTO="Manual",$M220=1),0,IF(OFFSET(CRONOPLE!$F$14,$M220,BF$13)="",10^12,OFFSET(CRONOPLE!$F$14,$M220,BF$13))))</f>
        <v>1000000000000</v>
      </c>
      <c r="BG220" s="181">
        <f ca="1">IF($D220&lt;&gt;"Serviço",0,IF(AND(AUTOEVENTO="Manual",$M220=1),0,IF(OFFSET(CRONOPLE!$F$14,$M220,BG$13)="",10^12,OFFSET(CRONOPLE!$F$14,$M220,BG$13))))</f>
        <v>1000000000000</v>
      </c>
      <c r="BH220" s="181">
        <f ca="1">IF($D220&lt;&gt;"Serviço",0,IF(AND(AUTOEVENTO="Manual",$M220=1),0,IF(OFFSET(CRONOPLE!$F$14,$M220,BH$13)="",10^12,OFFSET(CRONOPLE!$F$14,$M220,BH$13))))</f>
        <v>1000000000000</v>
      </c>
      <c r="BI220" s="181">
        <f ca="1">IF($D220&lt;&gt;"Serviço",0,IF(AND(AUTOEVENTO="Manual",$M220=1),0,IF(OFFSET(CRONOPLE!$F$14,$M220,BI$13)="",10^12,OFFSET(CRONOPLE!$F$14,$M220,BI$13))))</f>
        <v>1000000000000</v>
      </c>
      <c r="BJ220" s="181">
        <f ca="1">IF($D220&lt;&gt;"Serviço",0,IF(AND(AUTOEVENTO="Manual",$M220=1),0,IF(OFFSET(CRONOPLE!$F$14,$M220,BJ$13)="",10^12,OFFSET(CRONOPLE!$F$14,$M220,BJ$13))))</f>
        <v>1000000000000</v>
      </c>
      <c r="BK220" s="181">
        <f ca="1">IF($D220&lt;&gt;"Serviço",0,IF(AND(AUTOEVENTO="Manual",$M220=1),0,IF(OFFSET(CRONOPLE!$F$14,$M220,BK$13)="",10^12,OFFSET(CRONOPLE!$F$14,$M220,BK$13))))</f>
        <v>1000000000000</v>
      </c>
      <c r="BL220" s="181">
        <f ca="1">IF($D220&lt;&gt;"Serviço",0,IF(AND(AUTOEVENTO="Manual",$M220=1),0,IF(OFFSET(CRONOPLE!$F$14,$M220,BL$13)="",10^12,OFFSET(CRONOPLE!$F$14,$M220,BL$13))))</f>
        <v>1000000000000</v>
      </c>
      <c r="BM220" s="181">
        <f ca="1">IF($D220&lt;&gt;"Serviço",0,IF(AND(AUTOEVENTO="Manual",$M220=1),0,IF(OFFSET(CRONOPLE!$F$14,$M220,BM$13)="",10^12,OFFSET(CRONOPLE!$F$14,$M220,BM$13))))</f>
        <v>1000000000000</v>
      </c>
      <c r="BN220" s="181">
        <f ca="1">IF($D220&lt;&gt;"Serviço",0,IF(AND(AUTOEVENTO="Manual",$M220=1),0,IF(OFFSET(CRONOPLE!$F$14,$M220,BN$13)="",10^12,OFFSET(CRONOPLE!$F$14,$M220,BN$13))))</f>
        <v>1000000000000</v>
      </c>
      <c r="BO220" s="181">
        <f ca="1">IF($D220&lt;&gt;"Serviço",0,IF(AND(AUTOEVENTO="Manual",$M220=1),0,IF(OFFSET(CRONOPLE!$F$14,$M220,BO$13)="",10^12,OFFSET(CRONOPLE!$F$14,$M220,BO$13))))</f>
        <v>1000000000000</v>
      </c>
      <c r="BP220" s="181">
        <f ca="1">IF($D220&lt;&gt;"Serviço",0,IF(AND(AUTOEVENTO="Manual",$M220=1),0,IF(OFFSET(CRONOPLE!$F$14,$M220,BP$13)="",10^12,OFFSET(CRONOPLE!$F$14,$M220,BP$13))))</f>
        <v>1000000000000</v>
      </c>
      <c r="BQ220" s="181">
        <f ca="1">IF($D220&lt;&gt;"Serviço",0,IF(AND(AUTOEVENTO="Manual",$M220=1),0,IF(OFFSET(CRONOPLE!$F$14,$M220,BQ$13)="",10^12,OFFSET(CRONOPLE!$F$14,$M220,BQ$13))))</f>
        <v>1000000000000</v>
      </c>
      <c r="BR220" s="181">
        <f ca="1">IF($D220&lt;&gt;"Serviço",0,IF(AND(AUTOEVENTO="Manual",$M220=1),0,IF(OFFSET(CRONOPLE!$F$14,$M220,BR$13)="",10^12,OFFSET(CRONOPLE!$F$14,$M220,BR$13))))</f>
        <v>1000000000000</v>
      </c>
      <c r="BS220" s="181">
        <f ca="1">IF($D220&lt;&gt;"Serviço",0,IF(AND(AUTOEVENTO="Manual",$M220=1),0,IF(OFFSET(CRONOPLE!$F$14,$M220,BS$13)="",10^12,OFFSET(CRONOPLE!$F$14,$M220,BS$13))))</f>
        <v>1000000000000</v>
      </c>
      <c r="BT220" s="181">
        <f ca="1">IF($D220&lt;&gt;"Serviço",0,IF(AND(AUTOEVENTO="Manual",$M220=1),0,IF(OFFSET(CRONOPLE!$F$14,$M220,BT$13)="",10^12,OFFSET(CRONOPLE!$F$14,$M220,BT$13))))</f>
        <v>1000000000000</v>
      </c>
      <c r="BV220" s="182">
        <f ca="1">IF($D220&lt;&gt;"Serviço",0,IF(OR(AND(AUTOEVENTO="Manual",$M220=1),$M220&gt;(ROW(PLE.lastrow)-ROW(PLE.firstrow))),0,IF(OFFSET(PLE!$G$14,$M220,BV$13)="",10^12,OFFSET(PLE!$G$14,$M220,BV$13))))</f>
        <v>1000000000000</v>
      </c>
      <c r="BW220" s="182">
        <f ca="1">IF($D220&lt;&gt;"Serviço",0,IF(OR(AND(AUTOEVENTO="Manual",$M220=1),$M220&gt;(ROW(PLE.lastrow)-ROW(PLE.firstrow))),0,IF(OFFSET(PLE!$G$14,$M220,BW$13)="",10^12,OFFSET(PLE!$G$14,$M220,BW$13))))</f>
        <v>1000000000000</v>
      </c>
      <c r="BX220" s="182">
        <f ca="1">IF($D220&lt;&gt;"Serviço",0,IF(OR(AND(AUTOEVENTO="Manual",$M220=1),$M220&gt;(ROW(PLE.lastrow)-ROW(PLE.firstrow))),0,IF(OFFSET(PLE!$G$14,$M220,BX$13)="",10^12,OFFSET(PLE!$G$14,$M220,BX$13))))</f>
        <v>1000000000000</v>
      </c>
      <c r="BY220" s="182">
        <f ca="1">IF($D220&lt;&gt;"Serviço",0,IF(OR(AND(AUTOEVENTO="Manual",$M220=1),$M220&gt;(ROW(PLE.lastrow)-ROW(PLE.firstrow))),0,IF(OFFSET(PLE!$G$14,$M220,BY$13)="",10^12,OFFSET(PLE!$G$14,$M220,BY$13))))</f>
        <v>1000000000000</v>
      </c>
      <c r="BZ220" s="182">
        <f ca="1">IF($D220&lt;&gt;"Serviço",0,IF(OR(AND(AUTOEVENTO="Manual",$M220=1),$M220&gt;(ROW(PLE.lastrow)-ROW(PLE.firstrow))),0,IF(OFFSET(PLE!$G$14,$M220,BZ$13)="",10^12,OFFSET(PLE!$G$14,$M220,BZ$13))))</f>
        <v>1000000000000</v>
      </c>
      <c r="CA220" s="182">
        <f ca="1">IF($D220&lt;&gt;"Serviço",0,IF(OR(AND(AUTOEVENTO="Manual",$M220=1),$M220&gt;(ROW(PLE.lastrow)-ROW(PLE.firstrow))),0,IF(OFFSET(PLE!$G$14,$M220,CA$13)="",10^12,OFFSET(PLE!$G$14,$M220,CA$13))))</f>
        <v>1000000000000</v>
      </c>
      <c r="CB220" s="182">
        <f ca="1">IF($D220&lt;&gt;"Serviço",0,IF(OR(AND(AUTOEVENTO="Manual",$M220=1),$M220&gt;(ROW(PLE.lastrow)-ROW(PLE.firstrow))),0,IF(OFFSET(PLE!$G$14,$M220,CB$13)="",10^12,OFFSET(PLE!$G$14,$M220,CB$13))))</f>
        <v>1000000000000</v>
      </c>
      <c r="CC220" s="182">
        <f ca="1">IF($D220&lt;&gt;"Serviço",0,IF(OR(AND(AUTOEVENTO="Manual",$M220=1),$M220&gt;(ROW(PLE.lastrow)-ROW(PLE.firstrow))),0,IF(OFFSET(PLE!$G$14,$M220,CC$13)="",10^12,OFFSET(PLE!$G$14,$M220,CC$13))))</f>
        <v>1000000000000</v>
      </c>
      <c r="CD220" s="182">
        <f ca="1">IF($D220&lt;&gt;"Serviço",0,IF(OR(AND(AUTOEVENTO="Manual",$M220=1),$M220&gt;(ROW(PLE.lastrow)-ROW(PLE.firstrow))),0,IF(OFFSET(PLE!$G$14,$M220,CD$13)="",10^12,OFFSET(PLE!$G$14,$M220,CD$13))))</f>
        <v>1000000000000</v>
      </c>
      <c r="CE220" s="182">
        <f ca="1">IF($D220&lt;&gt;"Serviço",0,IF(OR(AND(AUTOEVENTO="Manual",$M220=1),$M220&gt;(ROW(PLE.lastrow)-ROW(PLE.firstrow))),0,IF(OFFSET(PLE!$G$14,$M220,CE$13)="",10^12,OFFSET(PLE!$G$14,$M220,CE$13))))</f>
        <v>1000000000000</v>
      </c>
      <c r="CF220" s="182">
        <f ca="1">IF($D220&lt;&gt;"Serviço",0,IF(OR(AND(AUTOEVENTO="Manual",$M220=1),$M220&gt;(ROW(PLE.lastrow)-ROW(PLE.firstrow))),0,IF(OFFSET(PLE!$G$14,$M220,CF$13)="",10^12,OFFSET(PLE!$G$14,$M220,CF$13))))</f>
        <v>1000000000000</v>
      </c>
      <c r="CG220" s="182">
        <f ca="1">IF($D220&lt;&gt;"Serviço",0,IF(OR(AND(AUTOEVENTO="Manual",$M220=1),$M220&gt;(ROW(PLE.lastrow)-ROW(PLE.firstrow))),0,IF(OFFSET(PLE!$G$14,$M220,CG$13)="",10^12,OFFSET(PLE!$G$14,$M220,CG$13))))</f>
        <v>1000000000000</v>
      </c>
      <c r="CH220" s="182">
        <f ca="1">IF($D220&lt;&gt;"Serviço",0,IF(OR(AND(AUTOEVENTO="Manual",$M220=1),$M220&gt;(ROW(PLE.lastrow)-ROW(PLE.firstrow))),0,IF(OFFSET(PLE!$G$14,$M220,CH$13)="",10^12,OFFSET(PLE!$G$14,$M220,CH$13))))</f>
        <v>1000000000000</v>
      </c>
      <c r="CI220" s="182">
        <f ca="1">IF($D220&lt;&gt;"Serviço",0,IF(OR(AND(AUTOEVENTO="Manual",$M220=1),$M220&gt;(ROW(PLE.lastrow)-ROW(PLE.firstrow))),0,IF(OFFSET(PLE!$G$14,$M220,CI$13)="",10^12,OFFSET(PLE!$G$14,$M220,CI$13))))</f>
        <v>1000000000000</v>
      </c>
      <c r="CJ220" s="182">
        <f ca="1">IF($D220&lt;&gt;"Serviço",0,IF(OR(AND(AUTOEVENTO="Manual",$M220=1),$M220&gt;(ROW(PLE.lastrow)-ROW(PLE.firstrow))),0,IF(OFFSET(PLE!$G$14,$M220,CJ$13)="",10^12,OFFSET(PLE!$G$14,$M220,CJ$13))))</f>
        <v>1000000000000</v>
      </c>
      <c r="CK220" s="182">
        <f ca="1">IF($D220&lt;&gt;"Serviço",0,IF(OR(AND(AUTOEVENTO="Manual",$M220=1),$M220&gt;(ROW(PLE.lastrow)-ROW(PLE.firstrow))),0,IF(OFFSET(PLE!$G$14,$M220,CK$13)="",10^12,OFFSET(PLE!$G$14,$M220,CK$13))))</f>
        <v>1000000000000</v>
      </c>
      <c r="CL220" s="182">
        <f ca="1">IF($D220&lt;&gt;"Serviço",0,IF(OR(AND(AUTOEVENTO="Manual",$M220=1),$M220&gt;(ROW(PLE.lastrow)-ROW(PLE.firstrow))),0,IF(OFFSET(PLE!$G$14,$M220,CL$13)="",10^12,OFFSET(PLE!$G$14,$M220,CL$13))))</f>
        <v>1000000000000</v>
      </c>
      <c r="CM220" s="182">
        <f ca="1">IF($D220&lt;&gt;"Serviço",0,IF(OR(AND(AUTOEVENTO="Manual",$M220=1),$M220&gt;(ROW(PLE.lastrow)-ROW(PLE.firstrow))),0,IF(OFFSET(PLE!$G$14,$M220,CM$13)="",10^12,OFFSET(PLE!$G$14,$M220,CM$13))))</f>
        <v>1000000000000</v>
      </c>
    </row>
    <row r="221" spans="1:91" ht="12.75" x14ac:dyDescent="0.2">
      <c r="A221" s="7" t="str">
        <f t="shared" ca="1" si="12"/>
        <v>206.</v>
      </c>
      <c r="B221" s="7">
        <f ca="1">OFFSET(ORÇAMENTO!C$15,ROW(B221)-ROW(B$15),0)</f>
        <v>2</v>
      </c>
      <c r="C221" s="7" t="str">
        <f ca="1">OFFSET(ORÇAMENTO!L$15,ROW(C221)-ROW(C$15),0)</f>
        <v>F</v>
      </c>
      <c r="D221" s="118" t="str">
        <f ca="1">OFFSET(ORÇAMENTO!N$15,ROW(D221)-ROW(D$15),0)</f>
        <v>Nível 2</v>
      </c>
      <c r="E221" s="119" t="str">
        <f ca="1">OFFSET(ORÇAMENTO!O$15,ROW(E221)-ROW(E$15),0)</f>
        <v>1.29.</v>
      </c>
      <c r="F221" s="172" t="str">
        <f ca="1">OFFSET(ORÇAMENTO!R$15,ROW(F221)-ROW(F$15),0)</f>
        <v>PINTURAS E ACABAMENTOS - PAREDES</v>
      </c>
      <c r="G221" s="173" t="str">
        <f ca="1">IF($D221&lt;&gt;"Serviço","",OFFSET(ORÇAMENTO!S$15,ROW(G221)-ROW(G$15),0))</f>
        <v/>
      </c>
      <c r="H221" s="124">
        <f ca="1">IF($D221&lt;&gt;"Serviço",0,IF(ACOMPANHAMENTO="BM",ROUND(OFFSET(ORÇAMENTO!AJ$15,ROW(H221)-ROW(H$15),0),15-13*ORÇAMENTO!$AF$7),SUMPRODUCT(($Q$12:$AI$12&lt;&gt;"")*ROUND($Q221:$AI221,15-13*ORÇAMENTO!$AF$7))))</f>
        <v>0</v>
      </c>
      <c r="I221" s="561"/>
      <c r="K221" s="174"/>
      <c r="L221" s="175" t="s">
        <v>255</v>
      </c>
      <c r="M221" s="176" t="str">
        <f ca="1">IF($D221&lt;&gt;"Serviço","",IF(AUTOEVENTO="manual",$A221,IF(ISERROR(MATCH($A221,$A$15:OFFSET($A221,-1,0),0)),MAX($M$15:OFFSET(M221,-1,0))+1,INDEX($M$15:OFFSET(M221,-1,0),MATCH($A221,$A$15:OFFSET($A221,-1,0),0)))))</f>
        <v/>
      </c>
      <c r="N221" s="177" t="str">
        <f ca="1">IF($D221&lt;&gt;"Serviço","",IF(AUTOEVENTO="Manual",IF($A221=0,"&lt;-- defina o número do agrupador",OFFSET(EVENTOS!$D$14,$A221,0)),OFFSET($F$15,$A221,0)))</f>
        <v/>
      </c>
      <c r="O221" s="178"/>
      <c r="Q221" s="178">
        <v>0</v>
      </c>
      <c r="R221" s="179"/>
      <c r="S221" s="179"/>
      <c r="T221" s="179"/>
      <c r="U221" s="179"/>
      <c r="V221" s="179"/>
      <c r="W221" s="179"/>
      <c r="X221" s="179"/>
      <c r="Y221" s="179"/>
      <c r="Z221" s="180"/>
      <c r="AA221" s="179"/>
      <c r="AB221" s="179"/>
      <c r="AC221" s="179"/>
      <c r="AD221" s="179"/>
      <c r="AE221" s="179"/>
      <c r="AF221" s="179"/>
      <c r="AG221" s="179"/>
      <c r="AH221" s="180"/>
      <c r="AJ221" s="544">
        <f ca="1">IF(AND($D221="Serviço",AJ$12&lt;&gt;0,$H221&gt;0,OR(AUTOEVENTO&lt;&gt;"manual",$M221&lt;&gt;1)),
IF(Import.TipoArredondamento&lt;&gt;"TransfereGOV",
ROUND(OFFSET($P221,0,AJ$13),15-13*ORÇAMENTO!$AF$7)/$H221*OFFSET(ORÇAMENTO!$X$15,ROW(AJ221)-ROW(AJ$15),0),
ROUND(ROUND(OFFSET($P221,0,AJ$13),15-13*ORÇAMENTO!$AF$7)*OFFSET(ORÇAMENTO!$W$15,ROW(AJ221)-ROW(AJ$15),0),15-13*ORÇAMENTO!$AF$11)),0)</f>
        <v>0</v>
      </c>
      <c r="AK221" s="545">
        <f ca="1">IF(AND($D221="Serviço",AK$12&lt;&gt;0,$H221&gt;0,OR(AUTOEVENTO&lt;&gt;"manual",$M221&lt;&gt;1)),
IF(Import.TipoArredondamento&lt;&gt;"TransfereGOV",
ROUND(OFFSET($P221,0,AK$13),15-13*ORÇAMENTO!$AF$7)/$H221*OFFSET(ORÇAMENTO!$X$15,ROW(AK221)-ROW(AK$15),0),
ROUND(ROUND(OFFSET($P221,0,AK$13),15-13*ORÇAMENTO!$AF$7)*OFFSET(ORÇAMENTO!$W$15,ROW(AK221)-ROW(AK$15),0),15-13*ORÇAMENTO!$AF$11)),0)</f>
        <v>0</v>
      </c>
      <c r="AL221" s="545">
        <f ca="1">IF(AND($D221="Serviço",AL$12&lt;&gt;0,$H221&gt;0,OR(AUTOEVENTO&lt;&gt;"manual",$M221&lt;&gt;1)),
IF(Import.TipoArredondamento&lt;&gt;"TransfereGOV",
ROUND(OFFSET($P221,0,AL$13),15-13*ORÇAMENTO!$AF$7)/$H221*OFFSET(ORÇAMENTO!$X$15,ROW(AL221)-ROW(AL$15),0),
ROUND(ROUND(OFFSET($P221,0,AL$13),15-13*ORÇAMENTO!$AF$7)*OFFSET(ORÇAMENTO!$W$15,ROW(AL221)-ROW(AL$15),0),15-13*ORÇAMENTO!$AF$11)),0)</f>
        <v>0</v>
      </c>
      <c r="AM221" s="545">
        <f ca="1">IF(AND($D221="Serviço",AM$12&lt;&gt;0,$H221&gt;0,OR(AUTOEVENTO&lt;&gt;"manual",$M221&lt;&gt;1)),
IF(Import.TipoArredondamento&lt;&gt;"TransfereGOV",
ROUND(OFFSET($P221,0,AM$13),15-13*ORÇAMENTO!$AF$7)/$H221*OFFSET(ORÇAMENTO!$X$15,ROW(AM221)-ROW(AM$15),0),
ROUND(ROUND(OFFSET($P221,0,AM$13),15-13*ORÇAMENTO!$AF$7)*OFFSET(ORÇAMENTO!$W$15,ROW(AM221)-ROW(AM$15),0),15-13*ORÇAMENTO!$AF$11)),0)</f>
        <v>0</v>
      </c>
      <c r="AN221" s="545">
        <f ca="1">IF(AND($D221="Serviço",AN$12&lt;&gt;0,$H221&gt;0,OR(AUTOEVENTO&lt;&gt;"manual",$M221&lt;&gt;1)),
IF(Import.TipoArredondamento&lt;&gt;"TransfereGOV",
ROUND(OFFSET($P221,0,AN$13),15-13*ORÇAMENTO!$AF$7)/$H221*OFFSET(ORÇAMENTO!$X$15,ROW(AN221)-ROW(AN$15),0),
ROUND(ROUND(OFFSET($P221,0,AN$13),15-13*ORÇAMENTO!$AF$7)*OFFSET(ORÇAMENTO!$W$15,ROW(AN221)-ROW(AN$15),0),15-13*ORÇAMENTO!$AF$11)),0)</f>
        <v>0</v>
      </c>
      <c r="AO221" s="545">
        <f ca="1">IF(AND($D221="Serviço",AO$12&lt;&gt;0,$H221&gt;0,OR(AUTOEVENTO&lt;&gt;"manual",$M221&lt;&gt;1)),
IF(Import.TipoArredondamento&lt;&gt;"TransfereGOV",
ROUND(OFFSET($P221,0,AO$13),15-13*ORÇAMENTO!$AF$7)/$H221*OFFSET(ORÇAMENTO!$X$15,ROW(AO221)-ROW(AO$15),0),
ROUND(ROUND(OFFSET($P221,0,AO$13),15-13*ORÇAMENTO!$AF$7)*OFFSET(ORÇAMENTO!$W$15,ROW(AO221)-ROW(AO$15),0),15-13*ORÇAMENTO!$AF$11)),0)</f>
        <v>0</v>
      </c>
      <c r="AP221" s="545">
        <f ca="1">IF(AND($D221="Serviço",AP$12&lt;&gt;0,$H221&gt;0,OR(AUTOEVENTO&lt;&gt;"manual",$M221&lt;&gt;1)),
IF(Import.TipoArredondamento&lt;&gt;"TransfereGOV",
ROUND(OFFSET($P221,0,AP$13),15-13*ORÇAMENTO!$AF$7)/$H221*OFFSET(ORÇAMENTO!$X$15,ROW(AP221)-ROW(AP$15),0),
ROUND(ROUND(OFFSET($P221,0,AP$13),15-13*ORÇAMENTO!$AF$7)*OFFSET(ORÇAMENTO!$W$15,ROW(AP221)-ROW(AP$15),0),15-13*ORÇAMENTO!$AF$11)),0)</f>
        <v>0</v>
      </c>
      <c r="AQ221" s="545">
        <f ca="1">IF(AND($D221="Serviço",AQ$12&lt;&gt;0,$H221&gt;0,OR(AUTOEVENTO&lt;&gt;"manual",$M221&lt;&gt;1)),
IF(Import.TipoArredondamento&lt;&gt;"TransfereGOV",
ROUND(OFFSET($P221,0,AQ$13),15-13*ORÇAMENTO!$AF$7)/$H221*OFFSET(ORÇAMENTO!$X$15,ROW(AQ221)-ROW(AQ$15),0),
ROUND(ROUND(OFFSET($P221,0,AQ$13),15-13*ORÇAMENTO!$AF$7)*OFFSET(ORÇAMENTO!$W$15,ROW(AQ221)-ROW(AQ$15),0),15-13*ORÇAMENTO!$AF$11)),0)</f>
        <v>0</v>
      </c>
      <c r="AR221" s="545">
        <f ca="1">IF(AND($D221="Serviço",AR$12&lt;&gt;0,$H221&gt;0,OR(AUTOEVENTO&lt;&gt;"manual",$M221&lt;&gt;1)),
IF(Import.TipoArredondamento&lt;&gt;"TransfereGOV",
ROUND(OFFSET($P221,0,AR$13),15-13*ORÇAMENTO!$AF$7)/$H221*OFFSET(ORÇAMENTO!$X$15,ROW(AR221)-ROW(AR$15),0),
ROUND(ROUND(OFFSET($P221,0,AR$13),15-13*ORÇAMENTO!$AF$7)*OFFSET(ORÇAMENTO!$W$15,ROW(AR221)-ROW(AR$15),0),15-13*ORÇAMENTO!$AF$11)),0)</f>
        <v>0</v>
      </c>
      <c r="AS221" s="546">
        <f ca="1">IF(AND($D221="Serviço",AS$12&lt;&gt;0,$H221&gt;0,OR(AUTOEVENTO&lt;&gt;"manual",$M221&lt;&gt;1)),
IF(Import.TipoArredondamento&lt;&gt;"TransfereGOV",
ROUND(OFFSET($P221,0,AS$13),15-13*ORÇAMENTO!$AF$7)/$H221*OFFSET(ORÇAMENTO!$X$15,ROW(AS221)-ROW(AS$15),0),
ROUND(ROUND(OFFSET($P221,0,AS$13),15-13*ORÇAMENTO!$AF$7)*OFFSET(ORÇAMENTO!$W$15,ROW(AS221)-ROW(AS$15),0),15-13*ORÇAMENTO!$AF$11)),0)</f>
        <v>0</v>
      </c>
      <c r="AT221" s="545">
        <f ca="1">IF(AND($D221="Serviço",AT$12&lt;&gt;0,$H221&gt;0,OR(AUTOEVENTO&lt;&gt;"manual",$M221&lt;&gt;1)),
IF(Import.TipoArredondamento&lt;&gt;"TransfereGOV",
ROUND(OFFSET($P221,0,AT$13),15-13*ORÇAMENTO!$AF$7)/$H221*OFFSET(ORÇAMENTO!$X$15,ROW(AT221)-ROW(AT$15),0),
ROUND(ROUND(OFFSET($P221,0,AT$13),15-13*ORÇAMENTO!$AF$7)*OFFSET(ORÇAMENTO!$W$15,ROW(AT221)-ROW(AT$15),0),15-13*ORÇAMENTO!$AF$11)),0)</f>
        <v>0</v>
      </c>
      <c r="AU221" s="545">
        <f ca="1">IF(AND($D221="Serviço",AU$12&lt;&gt;0,$H221&gt;0,OR(AUTOEVENTO&lt;&gt;"manual",$M221&lt;&gt;1)),
IF(Import.TipoArredondamento&lt;&gt;"TransfereGOV",
ROUND(OFFSET($P221,0,AU$13),15-13*ORÇAMENTO!$AF$7)/$H221*OFFSET(ORÇAMENTO!$X$15,ROW(AU221)-ROW(AU$15),0),
ROUND(ROUND(OFFSET($P221,0,AU$13),15-13*ORÇAMENTO!$AF$7)*OFFSET(ORÇAMENTO!$W$15,ROW(AU221)-ROW(AU$15),0),15-13*ORÇAMENTO!$AF$11)),0)</f>
        <v>0</v>
      </c>
      <c r="AV221" s="545">
        <f ca="1">IF(AND($D221="Serviço",AV$12&lt;&gt;0,$H221&gt;0,OR(AUTOEVENTO&lt;&gt;"manual",$M221&lt;&gt;1)),
IF(Import.TipoArredondamento&lt;&gt;"TransfereGOV",
ROUND(OFFSET($P221,0,AV$13),15-13*ORÇAMENTO!$AF$7)/$H221*OFFSET(ORÇAMENTO!$X$15,ROW(AV221)-ROW(AV$15),0),
ROUND(ROUND(OFFSET($P221,0,AV$13),15-13*ORÇAMENTO!$AF$7)*OFFSET(ORÇAMENTO!$W$15,ROW(AV221)-ROW(AV$15),0),15-13*ORÇAMENTO!$AF$11)),0)</f>
        <v>0</v>
      </c>
      <c r="AW221" s="545">
        <f ca="1">IF(AND($D221="Serviço",AW$12&lt;&gt;0,$H221&gt;0,OR(AUTOEVENTO&lt;&gt;"manual",$M221&lt;&gt;1)),
IF(Import.TipoArredondamento&lt;&gt;"TransfereGOV",
ROUND(OFFSET($P221,0,AW$13),15-13*ORÇAMENTO!$AF$7)/$H221*OFFSET(ORÇAMENTO!$X$15,ROW(AW221)-ROW(AW$15),0),
ROUND(ROUND(OFFSET($P221,0,AW$13),15-13*ORÇAMENTO!$AF$7)*OFFSET(ORÇAMENTO!$W$15,ROW(AW221)-ROW(AW$15),0),15-13*ORÇAMENTO!$AF$11)),0)</f>
        <v>0</v>
      </c>
      <c r="AX221" s="545">
        <f ca="1">IF(AND($D221="Serviço",AX$12&lt;&gt;0,$H221&gt;0,OR(AUTOEVENTO&lt;&gt;"manual",$M221&lt;&gt;1)),
IF(Import.TipoArredondamento&lt;&gt;"TransfereGOV",
ROUND(OFFSET($P221,0,AX$13),15-13*ORÇAMENTO!$AF$7)/$H221*OFFSET(ORÇAMENTO!$X$15,ROW(AX221)-ROW(AX$15),0),
ROUND(ROUND(OFFSET($P221,0,AX$13),15-13*ORÇAMENTO!$AF$7)*OFFSET(ORÇAMENTO!$W$15,ROW(AX221)-ROW(AX$15),0),15-13*ORÇAMENTO!$AF$11)),0)</f>
        <v>0</v>
      </c>
      <c r="AY221" s="545">
        <f ca="1">IF(AND($D221="Serviço",AY$12&lt;&gt;0,$H221&gt;0,OR(AUTOEVENTO&lt;&gt;"manual",$M221&lt;&gt;1)),
IF(Import.TipoArredondamento&lt;&gt;"TransfereGOV",
ROUND(OFFSET($P221,0,AY$13),15-13*ORÇAMENTO!$AF$7)/$H221*OFFSET(ORÇAMENTO!$X$15,ROW(AY221)-ROW(AY$15),0),
ROUND(ROUND(OFFSET($P221,0,AY$13),15-13*ORÇAMENTO!$AF$7)*OFFSET(ORÇAMENTO!$W$15,ROW(AY221)-ROW(AY$15),0),15-13*ORÇAMENTO!$AF$11)),0)</f>
        <v>0</v>
      </c>
      <c r="AZ221" s="545">
        <f ca="1">IF(AND($D221="Serviço",AZ$12&lt;&gt;0,$H221&gt;0,OR(AUTOEVENTO&lt;&gt;"manual",$M221&lt;&gt;1)),
IF(Import.TipoArredondamento&lt;&gt;"TransfereGOV",
ROUND(OFFSET($P221,0,AZ$13),15-13*ORÇAMENTO!$AF$7)/$H221*OFFSET(ORÇAMENTO!$X$15,ROW(AZ221)-ROW(AZ$15),0),
ROUND(ROUND(OFFSET($P221,0,AZ$13),15-13*ORÇAMENTO!$AF$7)*OFFSET(ORÇAMENTO!$W$15,ROW(AZ221)-ROW(AZ$15),0),15-13*ORÇAMENTO!$AF$11)),0)</f>
        <v>0</v>
      </c>
      <c r="BA221" s="546">
        <f ca="1">IF(AND($D221="Serviço",BA$12&lt;&gt;0,$H221&gt;0,OR(AUTOEVENTO&lt;&gt;"manual",$M221&lt;&gt;1)),
IF(Import.TipoArredondamento&lt;&gt;"TransfereGOV",
ROUND(OFFSET($P221,0,BA$13),15-13*ORÇAMENTO!$AF$7)/$H221*OFFSET(ORÇAMENTO!$X$15,ROW(BA221)-ROW(BA$15),0),
ROUND(ROUND(OFFSET($P221,0,BA$13),15-13*ORÇAMENTO!$AF$7)*OFFSET(ORÇAMENTO!$W$15,ROW(BA221)-ROW(BA$15),0),15-13*ORÇAMENTO!$AF$11)),0)</f>
        <v>0</v>
      </c>
      <c r="BC221" s="181">
        <f ca="1">IF($D221&lt;&gt;"Serviço",0,IF(AND(AUTOEVENTO="Manual",$M221=1),0,IF(OFFSET(CRONOPLE!$F$14,$M221,BC$13)="",10^12,OFFSET(CRONOPLE!$F$14,$M221,BC$13))))</f>
        <v>0</v>
      </c>
      <c r="BD221" s="181">
        <f ca="1">IF($D221&lt;&gt;"Serviço",0,IF(AND(AUTOEVENTO="Manual",$M221=1),0,IF(OFFSET(CRONOPLE!$F$14,$M221,BD$13)="",10^12,OFFSET(CRONOPLE!$F$14,$M221,BD$13))))</f>
        <v>0</v>
      </c>
      <c r="BE221" s="181">
        <f ca="1">IF($D221&lt;&gt;"Serviço",0,IF(AND(AUTOEVENTO="Manual",$M221=1),0,IF(OFFSET(CRONOPLE!$F$14,$M221,BE$13)="",10^12,OFFSET(CRONOPLE!$F$14,$M221,BE$13))))</f>
        <v>0</v>
      </c>
      <c r="BF221" s="181">
        <f ca="1">IF($D221&lt;&gt;"Serviço",0,IF(AND(AUTOEVENTO="Manual",$M221=1),0,IF(OFFSET(CRONOPLE!$F$14,$M221,BF$13)="",10^12,OFFSET(CRONOPLE!$F$14,$M221,BF$13))))</f>
        <v>0</v>
      </c>
      <c r="BG221" s="181">
        <f ca="1">IF($D221&lt;&gt;"Serviço",0,IF(AND(AUTOEVENTO="Manual",$M221=1),0,IF(OFFSET(CRONOPLE!$F$14,$M221,BG$13)="",10^12,OFFSET(CRONOPLE!$F$14,$M221,BG$13))))</f>
        <v>0</v>
      </c>
      <c r="BH221" s="181">
        <f ca="1">IF($D221&lt;&gt;"Serviço",0,IF(AND(AUTOEVENTO="Manual",$M221=1),0,IF(OFFSET(CRONOPLE!$F$14,$M221,BH$13)="",10^12,OFFSET(CRONOPLE!$F$14,$M221,BH$13))))</f>
        <v>0</v>
      </c>
      <c r="BI221" s="181">
        <f ca="1">IF($D221&lt;&gt;"Serviço",0,IF(AND(AUTOEVENTO="Manual",$M221=1),0,IF(OFFSET(CRONOPLE!$F$14,$M221,BI$13)="",10^12,OFFSET(CRONOPLE!$F$14,$M221,BI$13))))</f>
        <v>0</v>
      </c>
      <c r="BJ221" s="181">
        <f ca="1">IF($D221&lt;&gt;"Serviço",0,IF(AND(AUTOEVENTO="Manual",$M221=1),0,IF(OFFSET(CRONOPLE!$F$14,$M221,BJ$13)="",10^12,OFFSET(CRONOPLE!$F$14,$M221,BJ$13))))</f>
        <v>0</v>
      </c>
      <c r="BK221" s="181">
        <f ca="1">IF($D221&lt;&gt;"Serviço",0,IF(AND(AUTOEVENTO="Manual",$M221=1),0,IF(OFFSET(CRONOPLE!$F$14,$M221,BK$13)="",10^12,OFFSET(CRONOPLE!$F$14,$M221,BK$13))))</f>
        <v>0</v>
      </c>
      <c r="BL221" s="181">
        <f ca="1">IF($D221&lt;&gt;"Serviço",0,IF(AND(AUTOEVENTO="Manual",$M221=1),0,IF(OFFSET(CRONOPLE!$F$14,$M221,BL$13)="",10^12,OFFSET(CRONOPLE!$F$14,$M221,BL$13))))</f>
        <v>0</v>
      </c>
      <c r="BM221" s="181">
        <f ca="1">IF($D221&lt;&gt;"Serviço",0,IF(AND(AUTOEVENTO="Manual",$M221=1),0,IF(OFFSET(CRONOPLE!$F$14,$M221,BM$13)="",10^12,OFFSET(CRONOPLE!$F$14,$M221,BM$13))))</f>
        <v>0</v>
      </c>
      <c r="BN221" s="181">
        <f ca="1">IF($D221&lt;&gt;"Serviço",0,IF(AND(AUTOEVENTO="Manual",$M221=1),0,IF(OFFSET(CRONOPLE!$F$14,$M221,BN$13)="",10^12,OFFSET(CRONOPLE!$F$14,$M221,BN$13))))</f>
        <v>0</v>
      </c>
      <c r="BO221" s="181">
        <f ca="1">IF($D221&lt;&gt;"Serviço",0,IF(AND(AUTOEVENTO="Manual",$M221=1),0,IF(OFFSET(CRONOPLE!$F$14,$M221,BO$13)="",10^12,OFFSET(CRONOPLE!$F$14,$M221,BO$13))))</f>
        <v>0</v>
      </c>
      <c r="BP221" s="181">
        <f ca="1">IF($D221&lt;&gt;"Serviço",0,IF(AND(AUTOEVENTO="Manual",$M221=1),0,IF(OFFSET(CRONOPLE!$F$14,$M221,BP$13)="",10^12,OFFSET(CRONOPLE!$F$14,$M221,BP$13))))</f>
        <v>0</v>
      </c>
      <c r="BQ221" s="181">
        <f ca="1">IF($D221&lt;&gt;"Serviço",0,IF(AND(AUTOEVENTO="Manual",$M221=1),0,IF(OFFSET(CRONOPLE!$F$14,$M221,BQ$13)="",10^12,OFFSET(CRONOPLE!$F$14,$M221,BQ$13))))</f>
        <v>0</v>
      </c>
      <c r="BR221" s="181">
        <f ca="1">IF($D221&lt;&gt;"Serviço",0,IF(AND(AUTOEVENTO="Manual",$M221=1),0,IF(OFFSET(CRONOPLE!$F$14,$M221,BR$13)="",10^12,OFFSET(CRONOPLE!$F$14,$M221,BR$13))))</f>
        <v>0</v>
      </c>
      <c r="BS221" s="181">
        <f ca="1">IF($D221&lt;&gt;"Serviço",0,IF(AND(AUTOEVENTO="Manual",$M221=1),0,IF(OFFSET(CRONOPLE!$F$14,$M221,BS$13)="",10^12,OFFSET(CRONOPLE!$F$14,$M221,BS$13))))</f>
        <v>0</v>
      </c>
      <c r="BT221" s="181">
        <f ca="1">IF($D221&lt;&gt;"Serviço",0,IF(AND(AUTOEVENTO="Manual",$M221=1),0,IF(OFFSET(CRONOPLE!$F$14,$M221,BT$13)="",10^12,OFFSET(CRONOPLE!$F$14,$M221,BT$13))))</f>
        <v>0</v>
      </c>
      <c r="BV221" s="182">
        <f ca="1">IF($D221&lt;&gt;"Serviço",0,IF(OR(AND(AUTOEVENTO="Manual",$M221=1),$M221&gt;(ROW(PLE.lastrow)-ROW(PLE.firstrow))),0,IF(OFFSET(PLE!$G$14,$M221,BV$13)="",10^12,OFFSET(PLE!$G$14,$M221,BV$13))))</f>
        <v>0</v>
      </c>
      <c r="BW221" s="182">
        <f ca="1">IF($D221&lt;&gt;"Serviço",0,IF(OR(AND(AUTOEVENTO="Manual",$M221=1),$M221&gt;(ROW(PLE.lastrow)-ROW(PLE.firstrow))),0,IF(OFFSET(PLE!$G$14,$M221,BW$13)="",10^12,OFFSET(PLE!$G$14,$M221,BW$13))))</f>
        <v>0</v>
      </c>
      <c r="BX221" s="182">
        <f ca="1">IF($D221&lt;&gt;"Serviço",0,IF(OR(AND(AUTOEVENTO="Manual",$M221=1),$M221&gt;(ROW(PLE.lastrow)-ROW(PLE.firstrow))),0,IF(OFFSET(PLE!$G$14,$M221,BX$13)="",10^12,OFFSET(PLE!$G$14,$M221,BX$13))))</f>
        <v>0</v>
      </c>
      <c r="BY221" s="182">
        <f ca="1">IF($D221&lt;&gt;"Serviço",0,IF(OR(AND(AUTOEVENTO="Manual",$M221=1),$M221&gt;(ROW(PLE.lastrow)-ROW(PLE.firstrow))),0,IF(OFFSET(PLE!$G$14,$M221,BY$13)="",10^12,OFFSET(PLE!$G$14,$M221,BY$13))))</f>
        <v>0</v>
      </c>
      <c r="BZ221" s="182">
        <f ca="1">IF($D221&lt;&gt;"Serviço",0,IF(OR(AND(AUTOEVENTO="Manual",$M221=1),$M221&gt;(ROW(PLE.lastrow)-ROW(PLE.firstrow))),0,IF(OFFSET(PLE!$G$14,$M221,BZ$13)="",10^12,OFFSET(PLE!$G$14,$M221,BZ$13))))</f>
        <v>0</v>
      </c>
      <c r="CA221" s="182">
        <f ca="1">IF($D221&lt;&gt;"Serviço",0,IF(OR(AND(AUTOEVENTO="Manual",$M221=1),$M221&gt;(ROW(PLE.lastrow)-ROW(PLE.firstrow))),0,IF(OFFSET(PLE!$G$14,$M221,CA$13)="",10^12,OFFSET(PLE!$G$14,$M221,CA$13))))</f>
        <v>0</v>
      </c>
      <c r="CB221" s="182">
        <f ca="1">IF($D221&lt;&gt;"Serviço",0,IF(OR(AND(AUTOEVENTO="Manual",$M221=1),$M221&gt;(ROW(PLE.lastrow)-ROW(PLE.firstrow))),0,IF(OFFSET(PLE!$G$14,$M221,CB$13)="",10^12,OFFSET(PLE!$G$14,$M221,CB$13))))</f>
        <v>0</v>
      </c>
      <c r="CC221" s="182">
        <f ca="1">IF($D221&lt;&gt;"Serviço",0,IF(OR(AND(AUTOEVENTO="Manual",$M221=1),$M221&gt;(ROW(PLE.lastrow)-ROW(PLE.firstrow))),0,IF(OFFSET(PLE!$G$14,$M221,CC$13)="",10^12,OFFSET(PLE!$G$14,$M221,CC$13))))</f>
        <v>0</v>
      </c>
      <c r="CD221" s="182">
        <f ca="1">IF($D221&lt;&gt;"Serviço",0,IF(OR(AND(AUTOEVENTO="Manual",$M221=1),$M221&gt;(ROW(PLE.lastrow)-ROW(PLE.firstrow))),0,IF(OFFSET(PLE!$G$14,$M221,CD$13)="",10^12,OFFSET(PLE!$G$14,$M221,CD$13))))</f>
        <v>0</v>
      </c>
      <c r="CE221" s="182">
        <f ca="1">IF($D221&lt;&gt;"Serviço",0,IF(OR(AND(AUTOEVENTO="Manual",$M221=1),$M221&gt;(ROW(PLE.lastrow)-ROW(PLE.firstrow))),0,IF(OFFSET(PLE!$G$14,$M221,CE$13)="",10^12,OFFSET(PLE!$G$14,$M221,CE$13))))</f>
        <v>0</v>
      </c>
      <c r="CF221" s="182">
        <f ca="1">IF($D221&lt;&gt;"Serviço",0,IF(OR(AND(AUTOEVENTO="Manual",$M221=1),$M221&gt;(ROW(PLE.lastrow)-ROW(PLE.firstrow))),0,IF(OFFSET(PLE!$G$14,$M221,CF$13)="",10^12,OFFSET(PLE!$G$14,$M221,CF$13))))</f>
        <v>0</v>
      </c>
      <c r="CG221" s="182">
        <f ca="1">IF($D221&lt;&gt;"Serviço",0,IF(OR(AND(AUTOEVENTO="Manual",$M221=1),$M221&gt;(ROW(PLE.lastrow)-ROW(PLE.firstrow))),0,IF(OFFSET(PLE!$G$14,$M221,CG$13)="",10^12,OFFSET(PLE!$G$14,$M221,CG$13))))</f>
        <v>0</v>
      </c>
      <c r="CH221" s="182">
        <f ca="1">IF($D221&lt;&gt;"Serviço",0,IF(OR(AND(AUTOEVENTO="Manual",$M221=1),$M221&gt;(ROW(PLE.lastrow)-ROW(PLE.firstrow))),0,IF(OFFSET(PLE!$G$14,$M221,CH$13)="",10^12,OFFSET(PLE!$G$14,$M221,CH$13))))</f>
        <v>0</v>
      </c>
      <c r="CI221" s="182">
        <f ca="1">IF($D221&lt;&gt;"Serviço",0,IF(OR(AND(AUTOEVENTO="Manual",$M221=1),$M221&gt;(ROW(PLE.lastrow)-ROW(PLE.firstrow))),0,IF(OFFSET(PLE!$G$14,$M221,CI$13)="",10^12,OFFSET(PLE!$G$14,$M221,CI$13))))</f>
        <v>0</v>
      </c>
      <c r="CJ221" s="182">
        <f ca="1">IF($D221&lt;&gt;"Serviço",0,IF(OR(AND(AUTOEVENTO="Manual",$M221=1),$M221&gt;(ROW(PLE.lastrow)-ROW(PLE.firstrow))),0,IF(OFFSET(PLE!$G$14,$M221,CJ$13)="",10^12,OFFSET(PLE!$G$14,$M221,CJ$13))))</f>
        <v>0</v>
      </c>
      <c r="CK221" s="182">
        <f ca="1">IF($D221&lt;&gt;"Serviço",0,IF(OR(AND(AUTOEVENTO="Manual",$M221=1),$M221&gt;(ROW(PLE.lastrow)-ROW(PLE.firstrow))),0,IF(OFFSET(PLE!$G$14,$M221,CK$13)="",10^12,OFFSET(PLE!$G$14,$M221,CK$13))))</f>
        <v>0</v>
      </c>
      <c r="CL221" s="182">
        <f ca="1">IF($D221&lt;&gt;"Serviço",0,IF(OR(AND(AUTOEVENTO="Manual",$M221=1),$M221&gt;(ROW(PLE.lastrow)-ROW(PLE.firstrow))),0,IF(OFFSET(PLE!$G$14,$M221,CL$13)="",10^12,OFFSET(PLE!$G$14,$M221,CL$13))))</f>
        <v>0</v>
      </c>
      <c r="CM221" s="182">
        <f ca="1">IF($D221&lt;&gt;"Serviço",0,IF(OR(AND(AUTOEVENTO="Manual",$M221=1),$M221&gt;(ROW(PLE.lastrow)-ROW(PLE.firstrow))),0,IF(OFFSET(PLE!$G$14,$M221,CM$13)="",10^12,OFFSET(PLE!$G$14,$M221,CM$13))))</f>
        <v>0</v>
      </c>
    </row>
    <row r="222" spans="1:91" ht="25.5" x14ac:dyDescent="0.2">
      <c r="A222" s="7" t="str">
        <f t="shared" ca="1" si="12"/>
        <v>206</v>
      </c>
      <c r="B222" s="7" t="str">
        <f ca="1">OFFSET(ORÇAMENTO!C$15,ROW(B222)-ROW(B$15),0)</f>
        <v>S</v>
      </c>
      <c r="C222" s="7" t="str">
        <f ca="1">OFFSET(ORÇAMENTO!L$15,ROW(C222)-ROW(C$15),0)</f>
        <v/>
      </c>
      <c r="D222" s="118" t="str">
        <f ca="1">OFFSET(ORÇAMENTO!N$15,ROW(D222)-ROW(D$15),0)</f>
        <v>Serviço</v>
      </c>
      <c r="E222" s="119" t="str">
        <f ca="1">OFFSET(ORÇAMENTO!O$15,ROW(E222)-ROW(E$15),0)</f>
        <v>-</v>
      </c>
      <c r="F222" s="172" t="str">
        <f ca="1">OFFSET(ORÇAMENTO!R$15,ROW(F222)-ROW(F$15),0)</f>
        <v>(abra o arquivo 'Referência 06-2024.xlsm)</v>
      </c>
      <c r="G222" s="173" t="str">
        <f ca="1">IF($D222&lt;&gt;"Serviço","",OFFSET(ORÇAMENTO!S$15,ROW(G222)-ROW(G$15),0))</f>
        <v>-</v>
      </c>
      <c r="H222" s="124">
        <f ca="1">IF($D222&lt;&gt;"Serviço",0,IF(ACOMPANHAMENTO="BM",ROUND(OFFSET(ORÇAMENTO!AJ$15,ROW(H222)-ROW(H$15),0),15-13*ORÇAMENTO!$AF$7),SUMPRODUCT(($Q$12:$AI$12&lt;&gt;"")*ROUND($Q222:$AI222,15-13*ORÇAMENTO!$AF$7))))</f>
        <v>2827.9</v>
      </c>
      <c r="I222" s="561" t="s">
        <v>1107</v>
      </c>
      <c r="K222" s="174"/>
      <c r="L222" s="175" t="s">
        <v>255</v>
      </c>
      <c r="M222" s="176">
        <f ca="1">IF($D222&lt;&gt;"Serviço","",IF(AUTOEVENTO="manual",$A222,IF(ISERROR(MATCH($A222,$A$15:OFFSET($A222,-1,0),0)),MAX($M$15:OFFSET(M222,-1,0))+1,INDEX($M$15:OFFSET(M222,-1,0),MATCH($A222,$A$15:OFFSET($A222,-1,0),0)))))</f>
        <v>30</v>
      </c>
      <c r="N222" s="177" t="str">
        <f ca="1">IF($D222&lt;&gt;"Serviço","",IF(AUTOEVENTO="Manual",IF($A222=0,"&lt;-- defina o número do agrupador",OFFSET(EVENTOS!$D$14,$A222,0)),OFFSET($F$15,$A222,0)))</f>
        <v>PINTURAS E ACABAMENTOS - PAREDES</v>
      </c>
      <c r="O222" s="178"/>
      <c r="Q222" s="178">
        <v>2827.9</v>
      </c>
      <c r="R222" s="179"/>
      <c r="S222" s="179"/>
      <c r="T222" s="179"/>
      <c r="U222" s="179"/>
      <c r="V222" s="179"/>
      <c r="W222" s="179"/>
      <c r="X222" s="179"/>
      <c r="Y222" s="179"/>
      <c r="Z222" s="180"/>
      <c r="AA222" s="179"/>
      <c r="AB222" s="179"/>
      <c r="AC222" s="179"/>
      <c r="AD222" s="179"/>
      <c r="AE222" s="179"/>
      <c r="AF222" s="179"/>
      <c r="AG222" s="179"/>
      <c r="AH222" s="180"/>
      <c r="AJ222" s="544">
        <f ca="1">IF(AND($D222="Serviço",AJ$12&lt;&gt;0,$H222&gt;0,OR(AUTOEVENTO&lt;&gt;"manual",$M222&lt;&gt;1)),
IF(Import.TipoArredondamento&lt;&gt;"TransfereGOV",
ROUND(OFFSET($P222,0,AJ$13),15-13*ORÇAMENTO!$AF$7)/$H222*OFFSET(ORÇAMENTO!$X$15,ROW(AJ222)-ROW(AJ$15),0),
ROUND(ROUND(OFFSET($P222,0,AJ$13),15-13*ORÇAMENTO!$AF$7)*OFFSET(ORÇAMENTO!$W$15,ROW(AJ222)-ROW(AJ$15),0),15-13*ORÇAMENTO!$AF$11)),0)</f>
        <v>0</v>
      </c>
      <c r="AK222" s="545">
        <f ca="1">IF(AND($D222="Serviço",AK$12&lt;&gt;0,$H222&gt;0,OR(AUTOEVENTO&lt;&gt;"manual",$M222&lt;&gt;1)),
IF(Import.TipoArredondamento&lt;&gt;"TransfereGOV",
ROUND(OFFSET($P222,0,AK$13),15-13*ORÇAMENTO!$AF$7)/$H222*OFFSET(ORÇAMENTO!$X$15,ROW(AK222)-ROW(AK$15),0),
ROUND(ROUND(OFFSET($P222,0,AK$13),15-13*ORÇAMENTO!$AF$7)*OFFSET(ORÇAMENTO!$W$15,ROW(AK222)-ROW(AK$15),0),15-13*ORÇAMENTO!$AF$11)),0)</f>
        <v>0</v>
      </c>
      <c r="AL222" s="545">
        <f ca="1">IF(AND($D222="Serviço",AL$12&lt;&gt;0,$H222&gt;0,OR(AUTOEVENTO&lt;&gt;"manual",$M222&lt;&gt;1)),
IF(Import.TipoArredondamento&lt;&gt;"TransfereGOV",
ROUND(OFFSET($P222,0,AL$13),15-13*ORÇAMENTO!$AF$7)/$H222*OFFSET(ORÇAMENTO!$X$15,ROW(AL222)-ROW(AL$15),0),
ROUND(ROUND(OFFSET($P222,0,AL$13),15-13*ORÇAMENTO!$AF$7)*OFFSET(ORÇAMENTO!$W$15,ROW(AL222)-ROW(AL$15),0),15-13*ORÇAMENTO!$AF$11)),0)</f>
        <v>0</v>
      </c>
      <c r="AM222" s="545">
        <f ca="1">IF(AND($D222="Serviço",AM$12&lt;&gt;0,$H222&gt;0,OR(AUTOEVENTO&lt;&gt;"manual",$M222&lt;&gt;1)),
IF(Import.TipoArredondamento&lt;&gt;"TransfereGOV",
ROUND(OFFSET($P222,0,AM$13),15-13*ORÇAMENTO!$AF$7)/$H222*OFFSET(ORÇAMENTO!$X$15,ROW(AM222)-ROW(AM$15),0),
ROUND(ROUND(OFFSET($P222,0,AM$13),15-13*ORÇAMENTO!$AF$7)*OFFSET(ORÇAMENTO!$W$15,ROW(AM222)-ROW(AM$15),0),15-13*ORÇAMENTO!$AF$11)),0)</f>
        <v>0</v>
      </c>
      <c r="AN222" s="545">
        <f ca="1">IF(AND($D222="Serviço",AN$12&lt;&gt;0,$H222&gt;0,OR(AUTOEVENTO&lt;&gt;"manual",$M222&lt;&gt;1)),
IF(Import.TipoArredondamento&lt;&gt;"TransfereGOV",
ROUND(OFFSET($P222,0,AN$13),15-13*ORÇAMENTO!$AF$7)/$H222*OFFSET(ORÇAMENTO!$X$15,ROW(AN222)-ROW(AN$15),0),
ROUND(ROUND(OFFSET($P222,0,AN$13),15-13*ORÇAMENTO!$AF$7)*OFFSET(ORÇAMENTO!$W$15,ROW(AN222)-ROW(AN$15),0),15-13*ORÇAMENTO!$AF$11)),0)</f>
        <v>0</v>
      </c>
      <c r="AO222" s="545">
        <f ca="1">IF(AND($D222="Serviço",AO$12&lt;&gt;0,$H222&gt;0,OR(AUTOEVENTO&lt;&gt;"manual",$M222&lt;&gt;1)),
IF(Import.TipoArredondamento&lt;&gt;"TransfereGOV",
ROUND(OFFSET($P222,0,AO$13),15-13*ORÇAMENTO!$AF$7)/$H222*OFFSET(ORÇAMENTO!$X$15,ROW(AO222)-ROW(AO$15),0),
ROUND(ROUND(OFFSET($P222,0,AO$13),15-13*ORÇAMENTO!$AF$7)*OFFSET(ORÇAMENTO!$W$15,ROW(AO222)-ROW(AO$15),0),15-13*ORÇAMENTO!$AF$11)),0)</f>
        <v>0</v>
      </c>
      <c r="AP222" s="545">
        <f ca="1">IF(AND($D222="Serviço",AP$12&lt;&gt;0,$H222&gt;0,OR(AUTOEVENTO&lt;&gt;"manual",$M222&lt;&gt;1)),
IF(Import.TipoArredondamento&lt;&gt;"TransfereGOV",
ROUND(OFFSET($P222,0,AP$13),15-13*ORÇAMENTO!$AF$7)/$H222*OFFSET(ORÇAMENTO!$X$15,ROW(AP222)-ROW(AP$15),0),
ROUND(ROUND(OFFSET($P222,0,AP$13),15-13*ORÇAMENTO!$AF$7)*OFFSET(ORÇAMENTO!$W$15,ROW(AP222)-ROW(AP$15),0),15-13*ORÇAMENTO!$AF$11)),0)</f>
        <v>0</v>
      </c>
      <c r="AQ222" s="545">
        <f ca="1">IF(AND($D222="Serviço",AQ$12&lt;&gt;0,$H222&gt;0,OR(AUTOEVENTO&lt;&gt;"manual",$M222&lt;&gt;1)),
IF(Import.TipoArredondamento&lt;&gt;"TransfereGOV",
ROUND(OFFSET($P222,0,AQ$13),15-13*ORÇAMENTO!$AF$7)/$H222*OFFSET(ORÇAMENTO!$X$15,ROW(AQ222)-ROW(AQ$15),0),
ROUND(ROUND(OFFSET($P222,0,AQ$13),15-13*ORÇAMENTO!$AF$7)*OFFSET(ORÇAMENTO!$W$15,ROW(AQ222)-ROW(AQ$15),0),15-13*ORÇAMENTO!$AF$11)),0)</f>
        <v>0</v>
      </c>
      <c r="AR222" s="545">
        <f ca="1">IF(AND($D222="Serviço",AR$12&lt;&gt;0,$H222&gt;0,OR(AUTOEVENTO&lt;&gt;"manual",$M222&lt;&gt;1)),
IF(Import.TipoArredondamento&lt;&gt;"TransfereGOV",
ROUND(OFFSET($P222,0,AR$13),15-13*ORÇAMENTO!$AF$7)/$H222*OFFSET(ORÇAMENTO!$X$15,ROW(AR222)-ROW(AR$15),0),
ROUND(ROUND(OFFSET($P222,0,AR$13),15-13*ORÇAMENTO!$AF$7)*OFFSET(ORÇAMENTO!$W$15,ROW(AR222)-ROW(AR$15),0),15-13*ORÇAMENTO!$AF$11)),0)</f>
        <v>0</v>
      </c>
      <c r="AS222" s="546">
        <f ca="1">IF(AND($D222="Serviço",AS$12&lt;&gt;0,$H222&gt;0,OR(AUTOEVENTO&lt;&gt;"manual",$M222&lt;&gt;1)),
IF(Import.TipoArredondamento&lt;&gt;"TransfereGOV",
ROUND(OFFSET($P222,0,AS$13),15-13*ORÇAMENTO!$AF$7)/$H222*OFFSET(ORÇAMENTO!$X$15,ROW(AS222)-ROW(AS$15),0),
ROUND(ROUND(OFFSET($P222,0,AS$13),15-13*ORÇAMENTO!$AF$7)*OFFSET(ORÇAMENTO!$W$15,ROW(AS222)-ROW(AS$15),0),15-13*ORÇAMENTO!$AF$11)),0)</f>
        <v>0</v>
      </c>
      <c r="AT222" s="545">
        <f ca="1">IF(AND($D222="Serviço",AT$12&lt;&gt;0,$H222&gt;0,OR(AUTOEVENTO&lt;&gt;"manual",$M222&lt;&gt;1)),
IF(Import.TipoArredondamento&lt;&gt;"TransfereGOV",
ROUND(OFFSET($P222,0,AT$13),15-13*ORÇAMENTO!$AF$7)/$H222*OFFSET(ORÇAMENTO!$X$15,ROW(AT222)-ROW(AT$15),0),
ROUND(ROUND(OFFSET($P222,0,AT$13),15-13*ORÇAMENTO!$AF$7)*OFFSET(ORÇAMENTO!$W$15,ROW(AT222)-ROW(AT$15),0),15-13*ORÇAMENTO!$AF$11)),0)</f>
        <v>0</v>
      </c>
      <c r="AU222" s="545">
        <f ca="1">IF(AND($D222="Serviço",AU$12&lt;&gt;0,$H222&gt;0,OR(AUTOEVENTO&lt;&gt;"manual",$M222&lt;&gt;1)),
IF(Import.TipoArredondamento&lt;&gt;"TransfereGOV",
ROUND(OFFSET($P222,0,AU$13),15-13*ORÇAMENTO!$AF$7)/$H222*OFFSET(ORÇAMENTO!$X$15,ROW(AU222)-ROW(AU$15),0),
ROUND(ROUND(OFFSET($P222,0,AU$13),15-13*ORÇAMENTO!$AF$7)*OFFSET(ORÇAMENTO!$W$15,ROW(AU222)-ROW(AU$15),0),15-13*ORÇAMENTO!$AF$11)),0)</f>
        <v>0</v>
      </c>
      <c r="AV222" s="545">
        <f ca="1">IF(AND($D222="Serviço",AV$12&lt;&gt;0,$H222&gt;0,OR(AUTOEVENTO&lt;&gt;"manual",$M222&lt;&gt;1)),
IF(Import.TipoArredondamento&lt;&gt;"TransfereGOV",
ROUND(OFFSET($P222,0,AV$13),15-13*ORÇAMENTO!$AF$7)/$H222*OFFSET(ORÇAMENTO!$X$15,ROW(AV222)-ROW(AV$15),0),
ROUND(ROUND(OFFSET($P222,0,AV$13),15-13*ORÇAMENTO!$AF$7)*OFFSET(ORÇAMENTO!$W$15,ROW(AV222)-ROW(AV$15),0),15-13*ORÇAMENTO!$AF$11)),0)</f>
        <v>0</v>
      </c>
      <c r="AW222" s="545">
        <f ca="1">IF(AND($D222="Serviço",AW$12&lt;&gt;0,$H222&gt;0,OR(AUTOEVENTO&lt;&gt;"manual",$M222&lt;&gt;1)),
IF(Import.TipoArredondamento&lt;&gt;"TransfereGOV",
ROUND(OFFSET($P222,0,AW$13),15-13*ORÇAMENTO!$AF$7)/$H222*OFFSET(ORÇAMENTO!$X$15,ROW(AW222)-ROW(AW$15),0),
ROUND(ROUND(OFFSET($P222,0,AW$13),15-13*ORÇAMENTO!$AF$7)*OFFSET(ORÇAMENTO!$W$15,ROW(AW222)-ROW(AW$15),0),15-13*ORÇAMENTO!$AF$11)),0)</f>
        <v>0</v>
      </c>
      <c r="AX222" s="545">
        <f ca="1">IF(AND($D222="Serviço",AX$12&lt;&gt;0,$H222&gt;0,OR(AUTOEVENTO&lt;&gt;"manual",$M222&lt;&gt;1)),
IF(Import.TipoArredondamento&lt;&gt;"TransfereGOV",
ROUND(OFFSET($P222,0,AX$13),15-13*ORÇAMENTO!$AF$7)/$H222*OFFSET(ORÇAMENTO!$X$15,ROW(AX222)-ROW(AX$15),0),
ROUND(ROUND(OFFSET($P222,0,AX$13),15-13*ORÇAMENTO!$AF$7)*OFFSET(ORÇAMENTO!$W$15,ROW(AX222)-ROW(AX$15),0),15-13*ORÇAMENTO!$AF$11)),0)</f>
        <v>0</v>
      </c>
      <c r="AY222" s="545">
        <f ca="1">IF(AND($D222="Serviço",AY$12&lt;&gt;0,$H222&gt;0,OR(AUTOEVENTO&lt;&gt;"manual",$M222&lt;&gt;1)),
IF(Import.TipoArredondamento&lt;&gt;"TransfereGOV",
ROUND(OFFSET($P222,0,AY$13),15-13*ORÇAMENTO!$AF$7)/$H222*OFFSET(ORÇAMENTO!$X$15,ROW(AY222)-ROW(AY$15),0),
ROUND(ROUND(OFFSET($P222,0,AY$13),15-13*ORÇAMENTO!$AF$7)*OFFSET(ORÇAMENTO!$W$15,ROW(AY222)-ROW(AY$15),0),15-13*ORÇAMENTO!$AF$11)),0)</f>
        <v>0</v>
      </c>
      <c r="AZ222" s="545">
        <f ca="1">IF(AND($D222="Serviço",AZ$12&lt;&gt;0,$H222&gt;0,OR(AUTOEVENTO&lt;&gt;"manual",$M222&lt;&gt;1)),
IF(Import.TipoArredondamento&lt;&gt;"TransfereGOV",
ROUND(OFFSET($P222,0,AZ$13),15-13*ORÇAMENTO!$AF$7)/$H222*OFFSET(ORÇAMENTO!$X$15,ROW(AZ222)-ROW(AZ$15),0),
ROUND(ROUND(OFFSET($P222,0,AZ$13),15-13*ORÇAMENTO!$AF$7)*OFFSET(ORÇAMENTO!$W$15,ROW(AZ222)-ROW(AZ$15),0),15-13*ORÇAMENTO!$AF$11)),0)</f>
        <v>0</v>
      </c>
      <c r="BA222" s="546">
        <f ca="1">IF(AND($D222="Serviço",BA$12&lt;&gt;0,$H222&gt;0,OR(AUTOEVENTO&lt;&gt;"manual",$M222&lt;&gt;1)),
IF(Import.TipoArredondamento&lt;&gt;"TransfereGOV",
ROUND(OFFSET($P222,0,BA$13),15-13*ORÇAMENTO!$AF$7)/$H222*OFFSET(ORÇAMENTO!$X$15,ROW(BA222)-ROW(BA$15),0),
ROUND(ROUND(OFFSET($P222,0,BA$13),15-13*ORÇAMENTO!$AF$7)*OFFSET(ORÇAMENTO!$W$15,ROW(BA222)-ROW(BA$15),0),15-13*ORÇAMENTO!$AF$11)),0)</f>
        <v>0</v>
      </c>
      <c r="BC222" s="181">
        <f ca="1">IF($D222&lt;&gt;"Serviço",0,IF(AND(AUTOEVENTO="Manual",$M222=1),0,IF(OFFSET(CRONOPLE!$F$14,$M222,BC$13)="",10^12,OFFSET(CRONOPLE!$F$14,$M222,BC$13))))</f>
        <v>9</v>
      </c>
      <c r="BD222" s="181">
        <f ca="1">IF($D222&lt;&gt;"Serviço",0,IF(AND(AUTOEVENTO="Manual",$M222=1),0,IF(OFFSET(CRONOPLE!$F$14,$M222,BD$13)="",10^12,OFFSET(CRONOPLE!$F$14,$M222,BD$13))))</f>
        <v>1000000000000</v>
      </c>
      <c r="BE222" s="181">
        <f ca="1">IF($D222&lt;&gt;"Serviço",0,IF(AND(AUTOEVENTO="Manual",$M222=1),0,IF(OFFSET(CRONOPLE!$F$14,$M222,BE$13)="",10^12,OFFSET(CRONOPLE!$F$14,$M222,BE$13))))</f>
        <v>1000000000000</v>
      </c>
      <c r="BF222" s="181">
        <f ca="1">IF($D222&lt;&gt;"Serviço",0,IF(AND(AUTOEVENTO="Manual",$M222=1),0,IF(OFFSET(CRONOPLE!$F$14,$M222,BF$13)="",10^12,OFFSET(CRONOPLE!$F$14,$M222,BF$13))))</f>
        <v>1000000000000</v>
      </c>
      <c r="BG222" s="181">
        <f ca="1">IF($D222&lt;&gt;"Serviço",0,IF(AND(AUTOEVENTO="Manual",$M222=1),0,IF(OFFSET(CRONOPLE!$F$14,$M222,BG$13)="",10^12,OFFSET(CRONOPLE!$F$14,$M222,BG$13))))</f>
        <v>1000000000000</v>
      </c>
      <c r="BH222" s="181">
        <f ca="1">IF($D222&lt;&gt;"Serviço",0,IF(AND(AUTOEVENTO="Manual",$M222=1),0,IF(OFFSET(CRONOPLE!$F$14,$M222,BH$13)="",10^12,OFFSET(CRONOPLE!$F$14,$M222,BH$13))))</f>
        <v>1000000000000</v>
      </c>
      <c r="BI222" s="181">
        <f ca="1">IF($D222&lt;&gt;"Serviço",0,IF(AND(AUTOEVENTO="Manual",$M222=1),0,IF(OFFSET(CRONOPLE!$F$14,$M222,BI$13)="",10^12,OFFSET(CRONOPLE!$F$14,$M222,BI$13))))</f>
        <v>1000000000000</v>
      </c>
      <c r="BJ222" s="181">
        <f ca="1">IF($D222&lt;&gt;"Serviço",0,IF(AND(AUTOEVENTO="Manual",$M222=1),0,IF(OFFSET(CRONOPLE!$F$14,$M222,BJ$13)="",10^12,OFFSET(CRONOPLE!$F$14,$M222,BJ$13))))</f>
        <v>1000000000000</v>
      </c>
      <c r="BK222" s="181">
        <f ca="1">IF($D222&lt;&gt;"Serviço",0,IF(AND(AUTOEVENTO="Manual",$M222=1),0,IF(OFFSET(CRONOPLE!$F$14,$M222,BK$13)="",10^12,OFFSET(CRONOPLE!$F$14,$M222,BK$13))))</f>
        <v>1000000000000</v>
      </c>
      <c r="BL222" s="181">
        <f ca="1">IF($D222&lt;&gt;"Serviço",0,IF(AND(AUTOEVENTO="Manual",$M222=1),0,IF(OFFSET(CRONOPLE!$F$14,$M222,BL$13)="",10^12,OFFSET(CRONOPLE!$F$14,$M222,BL$13))))</f>
        <v>1000000000000</v>
      </c>
      <c r="BM222" s="181">
        <f ca="1">IF($D222&lt;&gt;"Serviço",0,IF(AND(AUTOEVENTO="Manual",$M222=1),0,IF(OFFSET(CRONOPLE!$F$14,$M222,BM$13)="",10^12,OFFSET(CRONOPLE!$F$14,$M222,BM$13))))</f>
        <v>1000000000000</v>
      </c>
      <c r="BN222" s="181">
        <f ca="1">IF($D222&lt;&gt;"Serviço",0,IF(AND(AUTOEVENTO="Manual",$M222=1),0,IF(OFFSET(CRONOPLE!$F$14,$M222,BN$13)="",10^12,OFFSET(CRONOPLE!$F$14,$M222,BN$13))))</f>
        <v>1000000000000</v>
      </c>
      <c r="BO222" s="181">
        <f ca="1">IF($D222&lt;&gt;"Serviço",0,IF(AND(AUTOEVENTO="Manual",$M222=1),0,IF(OFFSET(CRONOPLE!$F$14,$M222,BO$13)="",10^12,OFFSET(CRONOPLE!$F$14,$M222,BO$13))))</f>
        <v>1000000000000</v>
      </c>
      <c r="BP222" s="181">
        <f ca="1">IF($D222&lt;&gt;"Serviço",0,IF(AND(AUTOEVENTO="Manual",$M222=1),0,IF(OFFSET(CRONOPLE!$F$14,$M222,BP$13)="",10^12,OFFSET(CRONOPLE!$F$14,$M222,BP$13))))</f>
        <v>1000000000000</v>
      </c>
      <c r="BQ222" s="181">
        <f ca="1">IF($D222&lt;&gt;"Serviço",0,IF(AND(AUTOEVENTO="Manual",$M222=1),0,IF(OFFSET(CRONOPLE!$F$14,$M222,BQ$13)="",10^12,OFFSET(CRONOPLE!$F$14,$M222,BQ$13))))</f>
        <v>1000000000000</v>
      </c>
      <c r="BR222" s="181">
        <f ca="1">IF($D222&lt;&gt;"Serviço",0,IF(AND(AUTOEVENTO="Manual",$M222=1),0,IF(OFFSET(CRONOPLE!$F$14,$M222,BR$13)="",10^12,OFFSET(CRONOPLE!$F$14,$M222,BR$13))))</f>
        <v>1000000000000</v>
      </c>
      <c r="BS222" s="181">
        <f ca="1">IF($D222&lt;&gt;"Serviço",0,IF(AND(AUTOEVENTO="Manual",$M222=1),0,IF(OFFSET(CRONOPLE!$F$14,$M222,BS$13)="",10^12,OFFSET(CRONOPLE!$F$14,$M222,BS$13))))</f>
        <v>1000000000000</v>
      </c>
      <c r="BT222" s="181">
        <f ca="1">IF($D222&lt;&gt;"Serviço",0,IF(AND(AUTOEVENTO="Manual",$M222=1),0,IF(OFFSET(CRONOPLE!$F$14,$M222,BT$13)="",10^12,OFFSET(CRONOPLE!$F$14,$M222,BT$13))))</f>
        <v>1000000000000</v>
      </c>
      <c r="BV222" s="182">
        <f ca="1">IF($D222&lt;&gt;"Serviço",0,IF(OR(AND(AUTOEVENTO="Manual",$M222=1),$M222&gt;(ROW(PLE.lastrow)-ROW(PLE.firstrow))),0,IF(OFFSET(PLE!$G$14,$M222,BV$13)="",10^12,OFFSET(PLE!$G$14,$M222,BV$13))))</f>
        <v>1000000000000</v>
      </c>
      <c r="BW222" s="182">
        <f ca="1">IF($D222&lt;&gt;"Serviço",0,IF(OR(AND(AUTOEVENTO="Manual",$M222=1),$M222&gt;(ROW(PLE.lastrow)-ROW(PLE.firstrow))),0,IF(OFFSET(PLE!$G$14,$M222,BW$13)="",10^12,OFFSET(PLE!$G$14,$M222,BW$13))))</f>
        <v>1000000000000</v>
      </c>
      <c r="BX222" s="182">
        <f ca="1">IF($D222&lt;&gt;"Serviço",0,IF(OR(AND(AUTOEVENTO="Manual",$M222=1),$M222&gt;(ROW(PLE.lastrow)-ROW(PLE.firstrow))),0,IF(OFFSET(PLE!$G$14,$M222,BX$13)="",10^12,OFFSET(PLE!$G$14,$M222,BX$13))))</f>
        <v>1000000000000</v>
      </c>
      <c r="BY222" s="182">
        <f ca="1">IF($D222&lt;&gt;"Serviço",0,IF(OR(AND(AUTOEVENTO="Manual",$M222=1),$M222&gt;(ROW(PLE.lastrow)-ROW(PLE.firstrow))),0,IF(OFFSET(PLE!$G$14,$M222,BY$13)="",10^12,OFFSET(PLE!$G$14,$M222,BY$13))))</f>
        <v>1000000000000</v>
      </c>
      <c r="BZ222" s="182">
        <f ca="1">IF($D222&lt;&gt;"Serviço",0,IF(OR(AND(AUTOEVENTO="Manual",$M222=1),$M222&gt;(ROW(PLE.lastrow)-ROW(PLE.firstrow))),0,IF(OFFSET(PLE!$G$14,$M222,BZ$13)="",10^12,OFFSET(PLE!$G$14,$M222,BZ$13))))</f>
        <v>1000000000000</v>
      </c>
      <c r="CA222" s="182">
        <f ca="1">IF($D222&lt;&gt;"Serviço",0,IF(OR(AND(AUTOEVENTO="Manual",$M222=1),$M222&gt;(ROW(PLE.lastrow)-ROW(PLE.firstrow))),0,IF(OFFSET(PLE!$G$14,$M222,CA$13)="",10^12,OFFSET(PLE!$G$14,$M222,CA$13))))</f>
        <v>1000000000000</v>
      </c>
      <c r="CB222" s="182">
        <f ca="1">IF($D222&lt;&gt;"Serviço",0,IF(OR(AND(AUTOEVENTO="Manual",$M222=1),$M222&gt;(ROW(PLE.lastrow)-ROW(PLE.firstrow))),0,IF(OFFSET(PLE!$G$14,$M222,CB$13)="",10^12,OFFSET(PLE!$G$14,$M222,CB$13))))</f>
        <v>1000000000000</v>
      </c>
      <c r="CC222" s="182">
        <f ca="1">IF($D222&lt;&gt;"Serviço",0,IF(OR(AND(AUTOEVENTO="Manual",$M222=1),$M222&gt;(ROW(PLE.lastrow)-ROW(PLE.firstrow))),0,IF(OFFSET(PLE!$G$14,$M222,CC$13)="",10^12,OFFSET(PLE!$G$14,$M222,CC$13))))</f>
        <v>1000000000000</v>
      </c>
      <c r="CD222" s="182">
        <f ca="1">IF($D222&lt;&gt;"Serviço",0,IF(OR(AND(AUTOEVENTO="Manual",$M222=1),$M222&gt;(ROW(PLE.lastrow)-ROW(PLE.firstrow))),0,IF(OFFSET(PLE!$G$14,$M222,CD$13)="",10^12,OFFSET(PLE!$G$14,$M222,CD$13))))</f>
        <v>1000000000000</v>
      </c>
      <c r="CE222" s="182">
        <f ca="1">IF($D222&lt;&gt;"Serviço",0,IF(OR(AND(AUTOEVENTO="Manual",$M222=1),$M222&gt;(ROW(PLE.lastrow)-ROW(PLE.firstrow))),0,IF(OFFSET(PLE!$G$14,$M222,CE$13)="",10^12,OFFSET(PLE!$G$14,$M222,CE$13))))</f>
        <v>1000000000000</v>
      </c>
      <c r="CF222" s="182">
        <f ca="1">IF($D222&lt;&gt;"Serviço",0,IF(OR(AND(AUTOEVENTO="Manual",$M222=1),$M222&gt;(ROW(PLE.lastrow)-ROW(PLE.firstrow))),0,IF(OFFSET(PLE!$G$14,$M222,CF$13)="",10^12,OFFSET(PLE!$G$14,$M222,CF$13))))</f>
        <v>1000000000000</v>
      </c>
      <c r="CG222" s="182">
        <f ca="1">IF($D222&lt;&gt;"Serviço",0,IF(OR(AND(AUTOEVENTO="Manual",$M222=1),$M222&gt;(ROW(PLE.lastrow)-ROW(PLE.firstrow))),0,IF(OFFSET(PLE!$G$14,$M222,CG$13)="",10^12,OFFSET(PLE!$G$14,$M222,CG$13))))</f>
        <v>1000000000000</v>
      </c>
      <c r="CH222" s="182">
        <f ca="1">IF($D222&lt;&gt;"Serviço",0,IF(OR(AND(AUTOEVENTO="Manual",$M222=1),$M222&gt;(ROW(PLE.lastrow)-ROW(PLE.firstrow))),0,IF(OFFSET(PLE!$G$14,$M222,CH$13)="",10^12,OFFSET(PLE!$G$14,$M222,CH$13))))</f>
        <v>1000000000000</v>
      </c>
      <c r="CI222" s="182">
        <f ca="1">IF($D222&lt;&gt;"Serviço",0,IF(OR(AND(AUTOEVENTO="Manual",$M222=1),$M222&gt;(ROW(PLE.lastrow)-ROW(PLE.firstrow))),0,IF(OFFSET(PLE!$G$14,$M222,CI$13)="",10^12,OFFSET(PLE!$G$14,$M222,CI$13))))</f>
        <v>1000000000000</v>
      </c>
      <c r="CJ222" s="182">
        <f ca="1">IF($D222&lt;&gt;"Serviço",0,IF(OR(AND(AUTOEVENTO="Manual",$M222=1),$M222&gt;(ROW(PLE.lastrow)-ROW(PLE.firstrow))),0,IF(OFFSET(PLE!$G$14,$M222,CJ$13)="",10^12,OFFSET(PLE!$G$14,$M222,CJ$13))))</f>
        <v>1000000000000</v>
      </c>
      <c r="CK222" s="182">
        <f ca="1">IF($D222&lt;&gt;"Serviço",0,IF(OR(AND(AUTOEVENTO="Manual",$M222=1),$M222&gt;(ROW(PLE.lastrow)-ROW(PLE.firstrow))),0,IF(OFFSET(PLE!$G$14,$M222,CK$13)="",10^12,OFFSET(PLE!$G$14,$M222,CK$13))))</f>
        <v>1000000000000</v>
      </c>
      <c r="CL222" s="182">
        <f ca="1">IF($D222&lt;&gt;"Serviço",0,IF(OR(AND(AUTOEVENTO="Manual",$M222=1),$M222&gt;(ROW(PLE.lastrow)-ROW(PLE.firstrow))),0,IF(OFFSET(PLE!$G$14,$M222,CL$13)="",10^12,OFFSET(PLE!$G$14,$M222,CL$13))))</f>
        <v>1000000000000</v>
      </c>
      <c r="CM222" s="182">
        <f ca="1">IF($D222&lt;&gt;"Serviço",0,IF(OR(AND(AUTOEVENTO="Manual",$M222=1),$M222&gt;(ROW(PLE.lastrow)-ROW(PLE.firstrow))),0,IF(OFFSET(PLE!$G$14,$M222,CM$13)="",10^12,OFFSET(PLE!$G$14,$M222,CM$13))))</f>
        <v>1000000000000</v>
      </c>
    </row>
    <row r="223" spans="1:91" ht="25.5" x14ac:dyDescent="0.2">
      <c r="A223" s="7" t="str">
        <f t="shared" ca="1" si="12"/>
        <v>206</v>
      </c>
      <c r="B223" s="7" t="str">
        <f ca="1">OFFSET(ORÇAMENTO!C$15,ROW(B223)-ROW(B$15),0)</f>
        <v>S</v>
      </c>
      <c r="C223" s="7" t="str">
        <f ca="1">OFFSET(ORÇAMENTO!L$15,ROW(C223)-ROW(C$15),0)</f>
        <v/>
      </c>
      <c r="D223" s="118" t="str">
        <f ca="1">OFFSET(ORÇAMENTO!N$15,ROW(D223)-ROW(D$15),0)</f>
        <v>Serviço</v>
      </c>
      <c r="E223" s="119" t="str">
        <f ca="1">OFFSET(ORÇAMENTO!O$15,ROW(E223)-ROW(E$15),0)</f>
        <v>-</v>
      </c>
      <c r="F223" s="172" t="str">
        <f ca="1">OFFSET(ORÇAMENTO!R$15,ROW(F223)-ROW(F$15),0)</f>
        <v>(abra o arquivo 'Referência 06-2024.xlsm)</v>
      </c>
      <c r="G223" s="173" t="str">
        <f ca="1">IF($D223&lt;&gt;"Serviço","",OFFSET(ORÇAMENTO!S$15,ROW(G223)-ROW(G$15),0))</f>
        <v>-</v>
      </c>
      <c r="H223" s="124">
        <f ca="1">IF($D223&lt;&gt;"Serviço",0,IF(ACOMPANHAMENTO="BM",ROUND(OFFSET(ORÇAMENTO!AJ$15,ROW(H223)-ROW(H$15),0),15-13*ORÇAMENTO!$AF$7),SUMPRODUCT(($Q$12:$AI$12&lt;&gt;"")*ROUND($Q223:$AI223,15-13*ORÇAMENTO!$AF$7))))</f>
        <v>2143.17</v>
      </c>
      <c r="I223" s="561" t="s">
        <v>1107</v>
      </c>
      <c r="K223" s="174"/>
      <c r="L223" s="175" t="s">
        <v>255</v>
      </c>
      <c r="M223" s="176">
        <f ca="1">IF($D223&lt;&gt;"Serviço","",IF(AUTOEVENTO="manual",$A223,IF(ISERROR(MATCH($A223,$A$15:OFFSET($A223,-1,0),0)),MAX($M$15:OFFSET(M223,-1,0))+1,INDEX($M$15:OFFSET(M223,-1,0),MATCH($A223,$A$15:OFFSET($A223,-1,0),0)))))</f>
        <v>30</v>
      </c>
      <c r="N223" s="177" t="str">
        <f ca="1">IF($D223&lt;&gt;"Serviço","",IF(AUTOEVENTO="Manual",IF($A223=0,"&lt;-- defina o número do agrupador",OFFSET(EVENTOS!$D$14,$A223,0)),OFFSET($F$15,$A223,0)))</f>
        <v>PINTURAS E ACABAMENTOS - PAREDES</v>
      </c>
      <c r="O223" s="178"/>
      <c r="Q223" s="178">
        <v>2143.17</v>
      </c>
      <c r="R223" s="179"/>
      <c r="S223" s="179"/>
      <c r="T223" s="179"/>
      <c r="U223" s="179"/>
      <c r="V223" s="179"/>
      <c r="W223" s="179"/>
      <c r="X223" s="179"/>
      <c r="Y223" s="179"/>
      <c r="Z223" s="180"/>
      <c r="AA223" s="179"/>
      <c r="AB223" s="179"/>
      <c r="AC223" s="179"/>
      <c r="AD223" s="179"/>
      <c r="AE223" s="179"/>
      <c r="AF223" s="179"/>
      <c r="AG223" s="179"/>
      <c r="AH223" s="180"/>
      <c r="AJ223" s="544">
        <f ca="1">IF(AND($D223="Serviço",AJ$12&lt;&gt;0,$H223&gt;0,OR(AUTOEVENTO&lt;&gt;"manual",$M223&lt;&gt;1)),
IF(Import.TipoArredondamento&lt;&gt;"TransfereGOV",
ROUND(OFFSET($P223,0,AJ$13),15-13*ORÇAMENTO!$AF$7)/$H223*OFFSET(ORÇAMENTO!$X$15,ROW(AJ223)-ROW(AJ$15),0),
ROUND(ROUND(OFFSET($P223,0,AJ$13),15-13*ORÇAMENTO!$AF$7)*OFFSET(ORÇAMENTO!$W$15,ROW(AJ223)-ROW(AJ$15),0),15-13*ORÇAMENTO!$AF$11)),0)</f>
        <v>0</v>
      </c>
      <c r="AK223" s="545">
        <f ca="1">IF(AND($D223="Serviço",AK$12&lt;&gt;0,$H223&gt;0,OR(AUTOEVENTO&lt;&gt;"manual",$M223&lt;&gt;1)),
IF(Import.TipoArredondamento&lt;&gt;"TransfereGOV",
ROUND(OFFSET($P223,0,AK$13),15-13*ORÇAMENTO!$AF$7)/$H223*OFFSET(ORÇAMENTO!$X$15,ROW(AK223)-ROW(AK$15),0),
ROUND(ROUND(OFFSET($P223,0,AK$13),15-13*ORÇAMENTO!$AF$7)*OFFSET(ORÇAMENTO!$W$15,ROW(AK223)-ROW(AK$15),0),15-13*ORÇAMENTO!$AF$11)),0)</f>
        <v>0</v>
      </c>
      <c r="AL223" s="545">
        <f ca="1">IF(AND($D223="Serviço",AL$12&lt;&gt;0,$H223&gt;0,OR(AUTOEVENTO&lt;&gt;"manual",$M223&lt;&gt;1)),
IF(Import.TipoArredondamento&lt;&gt;"TransfereGOV",
ROUND(OFFSET($P223,0,AL$13),15-13*ORÇAMENTO!$AF$7)/$H223*OFFSET(ORÇAMENTO!$X$15,ROW(AL223)-ROW(AL$15),0),
ROUND(ROUND(OFFSET($P223,0,AL$13),15-13*ORÇAMENTO!$AF$7)*OFFSET(ORÇAMENTO!$W$15,ROW(AL223)-ROW(AL$15),0),15-13*ORÇAMENTO!$AF$11)),0)</f>
        <v>0</v>
      </c>
      <c r="AM223" s="545">
        <f ca="1">IF(AND($D223="Serviço",AM$12&lt;&gt;0,$H223&gt;0,OR(AUTOEVENTO&lt;&gt;"manual",$M223&lt;&gt;1)),
IF(Import.TipoArredondamento&lt;&gt;"TransfereGOV",
ROUND(OFFSET($P223,0,AM$13),15-13*ORÇAMENTO!$AF$7)/$H223*OFFSET(ORÇAMENTO!$X$15,ROW(AM223)-ROW(AM$15),0),
ROUND(ROUND(OFFSET($P223,0,AM$13),15-13*ORÇAMENTO!$AF$7)*OFFSET(ORÇAMENTO!$W$15,ROW(AM223)-ROW(AM$15),0),15-13*ORÇAMENTO!$AF$11)),0)</f>
        <v>0</v>
      </c>
      <c r="AN223" s="545">
        <f ca="1">IF(AND($D223="Serviço",AN$12&lt;&gt;0,$H223&gt;0,OR(AUTOEVENTO&lt;&gt;"manual",$M223&lt;&gt;1)),
IF(Import.TipoArredondamento&lt;&gt;"TransfereGOV",
ROUND(OFFSET($P223,0,AN$13),15-13*ORÇAMENTO!$AF$7)/$H223*OFFSET(ORÇAMENTO!$X$15,ROW(AN223)-ROW(AN$15),0),
ROUND(ROUND(OFFSET($P223,0,AN$13),15-13*ORÇAMENTO!$AF$7)*OFFSET(ORÇAMENTO!$W$15,ROW(AN223)-ROW(AN$15),0),15-13*ORÇAMENTO!$AF$11)),0)</f>
        <v>0</v>
      </c>
      <c r="AO223" s="545">
        <f ca="1">IF(AND($D223="Serviço",AO$12&lt;&gt;0,$H223&gt;0,OR(AUTOEVENTO&lt;&gt;"manual",$M223&lt;&gt;1)),
IF(Import.TipoArredondamento&lt;&gt;"TransfereGOV",
ROUND(OFFSET($P223,0,AO$13),15-13*ORÇAMENTO!$AF$7)/$H223*OFFSET(ORÇAMENTO!$X$15,ROW(AO223)-ROW(AO$15),0),
ROUND(ROUND(OFFSET($P223,0,AO$13),15-13*ORÇAMENTO!$AF$7)*OFFSET(ORÇAMENTO!$W$15,ROW(AO223)-ROW(AO$15),0),15-13*ORÇAMENTO!$AF$11)),0)</f>
        <v>0</v>
      </c>
      <c r="AP223" s="545">
        <f ca="1">IF(AND($D223="Serviço",AP$12&lt;&gt;0,$H223&gt;0,OR(AUTOEVENTO&lt;&gt;"manual",$M223&lt;&gt;1)),
IF(Import.TipoArredondamento&lt;&gt;"TransfereGOV",
ROUND(OFFSET($P223,0,AP$13),15-13*ORÇAMENTO!$AF$7)/$H223*OFFSET(ORÇAMENTO!$X$15,ROW(AP223)-ROW(AP$15),0),
ROUND(ROUND(OFFSET($P223,0,AP$13),15-13*ORÇAMENTO!$AF$7)*OFFSET(ORÇAMENTO!$W$15,ROW(AP223)-ROW(AP$15),0),15-13*ORÇAMENTO!$AF$11)),0)</f>
        <v>0</v>
      </c>
      <c r="AQ223" s="545">
        <f ca="1">IF(AND($D223="Serviço",AQ$12&lt;&gt;0,$H223&gt;0,OR(AUTOEVENTO&lt;&gt;"manual",$M223&lt;&gt;1)),
IF(Import.TipoArredondamento&lt;&gt;"TransfereGOV",
ROUND(OFFSET($P223,0,AQ$13),15-13*ORÇAMENTO!$AF$7)/$H223*OFFSET(ORÇAMENTO!$X$15,ROW(AQ223)-ROW(AQ$15),0),
ROUND(ROUND(OFFSET($P223,0,AQ$13),15-13*ORÇAMENTO!$AF$7)*OFFSET(ORÇAMENTO!$W$15,ROW(AQ223)-ROW(AQ$15),0),15-13*ORÇAMENTO!$AF$11)),0)</f>
        <v>0</v>
      </c>
      <c r="AR223" s="545">
        <f ca="1">IF(AND($D223="Serviço",AR$12&lt;&gt;0,$H223&gt;0,OR(AUTOEVENTO&lt;&gt;"manual",$M223&lt;&gt;1)),
IF(Import.TipoArredondamento&lt;&gt;"TransfereGOV",
ROUND(OFFSET($P223,0,AR$13),15-13*ORÇAMENTO!$AF$7)/$H223*OFFSET(ORÇAMENTO!$X$15,ROW(AR223)-ROW(AR$15),0),
ROUND(ROUND(OFFSET($P223,0,AR$13),15-13*ORÇAMENTO!$AF$7)*OFFSET(ORÇAMENTO!$W$15,ROW(AR223)-ROW(AR$15),0),15-13*ORÇAMENTO!$AF$11)),0)</f>
        <v>0</v>
      </c>
      <c r="AS223" s="546">
        <f ca="1">IF(AND($D223="Serviço",AS$12&lt;&gt;0,$H223&gt;0,OR(AUTOEVENTO&lt;&gt;"manual",$M223&lt;&gt;1)),
IF(Import.TipoArredondamento&lt;&gt;"TransfereGOV",
ROUND(OFFSET($P223,0,AS$13),15-13*ORÇAMENTO!$AF$7)/$H223*OFFSET(ORÇAMENTO!$X$15,ROW(AS223)-ROW(AS$15),0),
ROUND(ROUND(OFFSET($P223,0,AS$13),15-13*ORÇAMENTO!$AF$7)*OFFSET(ORÇAMENTO!$W$15,ROW(AS223)-ROW(AS$15),0),15-13*ORÇAMENTO!$AF$11)),0)</f>
        <v>0</v>
      </c>
      <c r="AT223" s="545">
        <f ca="1">IF(AND($D223="Serviço",AT$12&lt;&gt;0,$H223&gt;0,OR(AUTOEVENTO&lt;&gt;"manual",$M223&lt;&gt;1)),
IF(Import.TipoArredondamento&lt;&gt;"TransfereGOV",
ROUND(OFFSET($P223,0,AT$13),15-13*ORÇAMENTO!$AF$7)/$H223*OFFSET(ORÇAMENTO!$X$15,ROW(AT223)-ROW(AT$15),0),
ROUND(ROUND(OFFSET($P223,0,AT$13),15-13*ORÇAMENTO!$AF$7)*OFFSET(ORÇAMENTO!$W$15,ROW(AT223)-ROW(AT$15),0),15-13*ORÇAMENTO!$AF$11)),0)</f>
        <v>0</v>
      </c>
      <c r="AU223" s="545">
        <f ca="1">IF(AND($D223="Serviço",AU$12&lt;&gt;0,$H223&gt;0,OR(AUTOEVENTO&lt;&gt;"manual",$M223&lt;&gt;1)),
IF(Import.TipoArredondamento&lt;&gt;"TransfereGOV",
ROUND(OFFSET($P223,0,AU$13),15-13*ORÇAMENTO!$AF$7)/$H223*OFFSET(ORÇAMENTO!$X$15,ROW(AU223)-ROW(AU$15),0),
ROUND(ROUND(OFFSET($P223,0,AU$13),15-13*ORÇAMENTO!$AF$7)*OFFSET(ORÇAMENTO!$W$15,ROW(AU223)-ROW(AU$15),0),15-13*ORÇAMENTO!$AF$11)),0)</f>
        <v>0</v>
      </c>
      <c r="AV223" s="545">
        <f ca="1">IF(AND($D223="Serviço",AV$12&lt;&gt;0,$H223&gt;0,OR(AUTOEVENTO&lt;&gt;"manual",$M223&lt;&gt;1)),
IF(Import.TipoArredondamento&lt;&gt;"TransfereGOV",
ROUND(OFFSET($P223,0,AV$13),15-13*ORÇAMENTO!$AF$7)/$H223*OFFSET(ORÇAMENTO!$X$15,ROW(AV223)-ROW(AV$15),0),
ROUND(ROUND(OFFSET($P223,0,AV$13),15-13*ORÇAMENTO!$AF$7)*OFFSET(ORÇAMENTO!$W$15,ROW(AV223)-ROW(AV$15),0),15-13*ORÇAMENTO!$AF$11)),0)</f>
        <v>0</v>
      </c>
      <c r="AW223" s="545">
        <f ca="1">IF(AND($D223="Serviço",AW$12&lt;&gt;0,$H223&gt;0,OR(AUTOEVENTO&lt;&gt;"manual",$M223&lt;&gt;1)),
IF(Import.TipoArredondamento&lt;&gt;"TransfereGOV",
ROUND(OFFSET($P223,0,AW$13),15-13*ORÇAMENTO!$AF$7)/$H223*OFFSET(ORÇAMENTO!$X$15,ROW(AW223)-ROW(AW$15),0),
ROUND(ROUND(OFFSET($P223,0,AW$13),15-13*ORÇAMENTO!$AF$7)*OFFSET(ORÇAMENTO!$W$15,ROW(AW223)-ROW(AW$15),0),15-13*ORÇAMENTO!$AF$11)),0)</f>
        <v>0</v>
      </c>
      <c r="AX223" s="545">
        <f ca="1">IF(AND($D223="Serviço",AX$12&lt;&gt;0,$H223&gt;0,OR(AUTOEVENTO&lt;&gt;"manual",$M223&lt;&gt;1)),
IF(Import.TipoArredondamento&lt;&gt;"TransfereGOV",
ROUND(OFFSET($P223,0,AX$13),15-13*ORÇAMENTO!$AF$7)/$H223*OFFSET(ORÇAMENTO!$X$15,ROW(AX223)-ROW(AX$15),0),
ROUND(ROUND(OFFSET($P223,0,AX$13),15-13*ORÇAMENTO!$AF$7)*OFFSET(ORÇAMENTO!$W$15,ROW(AX223)-ROW(AX$15),0),15-13*ORÇAMENTO!$AF$11)),0)</f>
        <v>0</v>
      </c>
      <c r="AY223" s="545">
        <f ca="1">IF(AND($D223="Serviço",AY$12&lt;&gt;0,$H223&gt;0,OR(AUTOEVENTO&lt;&gt;"manual",$M223&lt;&gt;1)),
IF(Import.TipoArredondamento&lt;&gt;"TransfereGOV",
ROUND(OFFSET($P223,0,AY$13),15-13*ORÇAMENTO!$AF$7)/$H223*OFFSET(ORÇAMENTO!$X$15,ROW(AY223)-ROW(AY$15),0),
ROUND(ROUND(OFFSET($P223,0,AY$13),15-13*ORÇAMENTO!$AF$7)*OFFSET(ORÇAMENTO!$W$15,ROW(AY223)-ROW(AY$15),0),15-13*ORÇAMENTO!$AF$11)),0)</f>
        <v>0</v>
      </c>
      <c r="AZ223" s="545">
        <f ca="1">IF(AND($D223="Serviço",AZ$12&lt;&gt;0,$H223&gt;0,OR(AUTOEVENTO&lt;&gt;"manual",$M223&lt;&gt;1)),
IF(Import.TipoArredondamento&lt;&gt;"TransfereGOV",
ROUND(OFFSET($P223,0,AZ$13),15-13*ORÇAMENTO!$AF$7)/$H223*OFFSET(ORÇAMENTO!$X$15,ROW(AZ223)-ROW(AZ$15),0),
ROUND(ROUND(OFFSET($P223,0,AZ$13),15-13*ORÇAMENTO!$AF$7)*OFFSET(ORÇAMENTO!$W$15,ROW(AZ223)-ROW(AZ$15),0),15-13*ORÇAMENTO!$AF$11)),0)</f>
        <v>0</v>
      </c>
      <c r="BA223" s="546">
        <f ca="1">IF(AND($D223="Serviço",BA$12&lt;&gt;0,$H223&gt;0,OR(AUTOEVENTO&lt;&gt;"manual",$M223&lt;&gt;1)),
IF(Import.TipoArredondamento&lt;&gt;"TransfereGOV",
ROUND(OFFSET($P223,0,BA$13),15-13*ORÇAMENTO!$AF$7)/$H223*OFFSET(ORÇAMENTO!$X$15,ROW(BA223)-ROW(BA$15),0),
ROUND(ROUND(OFFSET($P223,0,BA$13),15-13*ORÇAMENTO!$AF$7)*OFFSET(ORÇAMENTO!$W$15,ROW(BA223)-ROW(BA$15),0),15-13*ORÇAMENTO!$AF$11)),0)</f>
        <v>0</v>
      </c>
      <c r="BC223" s="181">
        <f ca="1">IF($D223&lt;&gt;"Serviço",0,IF(AND(AUTOEVENTO="Manual",$M223=1),0,IF(OFFSET(CRONOPLE!$F$14,$M223,BC$13)="",10^12,OFFSET(CRONOPLE!$F$14,$M223,BC$13))))</f>
        <v>9</v>
      </c>
      <c r="BD223" s="181">
        <f ca="1">IF($D223&lt;&gt;"Serviço",0,IF(AND(AUTOEVENTO="Manual",$M223=1),0,IF(OFFSET(CRONOPLE!$F$14,$M223,BD$13)="",10^12,OFFSET(CRONOPLE!$F$14,$M223,BD$13))))</f>
        <v>1000000000000</v>
      </c>
      <c r="BE223" s="181">
        <f ca="1">IF($D223&lt;&gt;"Serviço",0,IF(AND(AUTOEVENTO="Manual",$M223=1),0,IF(OFFSET(CRONOPLE!$F$14,$M223,BE$13)="",10^12,OFFSET(CRONOPLE!$F$14,$M223,BE$13))))</f>
        <v>1000000000000</v>
      </c>
      <c r="BF223" s="181">
        <f ca="1">IF($D223&lt;&gt;"Serviço",0,IF(AND(AUTOEVENTO="Manual",$M223=1),0,IF(OFFSET(CRONOPLE!$F$14,$M223,BF$13)="",10^12,OFFSET(CRONOPLE!$F$14,$M223,BF$13))))</f>
        <v>1000000000000</v>
      </c>
      <c r="BG223" s="181">
        <f ca="1">IF($D223&lt;&gt;"Serviço",0,IF(AND(AUTOEVENTO="Manual",$M223=1),0,IF(OFFSET(CRONOPLE!$F$14,$M223,BG$13)="",10^12,OFFSET(CRONOPLE!$F$14,$M223,BG$13))))</f>
        <v>1000000000000</v>
      </c>
      <c r="BH223" s="181">
        <f ca="1">IF($D223&lt;&gt;"Serviço",0,IF(AND(AUTOEVENTO="Manual",$M223=1),0,IF(OFFSET(CRONOPLE!$F$14,$M223,BH$13)="",10^12,OFFSET(CRONOPLE!$F$14,$M223,BH$13))))</f>
        <v>1000000000000</v>
      </c>
      <c r="BI223" s="181">
        <f ca="1">IF($D223&lt;&gt;"Serviço",0,IF(AND(AUTOEVENTO="Manual",$M223=1),0,IF(OFFSET(CRONOPLE!$F$14,$M223,BI$13)="",10^12,OFFSET(CRONOPLE!$F$14,$M223,BI$13))))</f>
        <v>1000000000000</v>
      </c>
      <c r="BJ223" s="181">
        <f ca="1">IF($D223&lt;&gt;"Serviço",0,IF(AND(AUTOEVENTO="Manual",$M223=1),0,IF(OFFSET(CRONOPLE!$F$14,$M223,BJ$13)="",10^12,OFFSET(CRONOPLE!$F$14,$M223,BJ$13))))</f>
        <v>1000000000000</v>
      </c>
      <c r="BK223" s="181">
        <f ca="1">IF($D223&lt;&gt;"Serviço",0,IF(AND(AUTOEVENTO="Manual",$M223=1),0,IF(OFFSET(CRONOPLE!$F$14,$M223,BK$13)="",10^12,OFFSET(CRONOPLE!$F$14,$M223,BK$13))))</f>
        <v>1000000000000</v>
      </c>
      <c r="BL223" s="181">
        <f ca="1">IF($D223&lt;&gt;"Serviço",0,IF(AND(AUTOEVENTO="Manual",$M223=1),0,IF(OFFSET(CRONOPLE!$F$14,$M223,BL$13)="",10^12,OFFSET(CRONOPLE!$F$14,$M223,BL$13))))</f>
        <v>1000000000000</v>
      </c>
      <c r="BM223" s="181">
        <f ca="1">IF($D223&lt;&gt;"Serviço",0,IF(AND(AUTOEVENTO="Manual",$M223=1),0,IF(OFFSET(CRONOPLE!$F$14,$M223,BM$13)="",10^12,OFFSET(CRONOPLE!$F$14,$M223,BM$13))))</f>
        <v>1000000000000</v>
      </c>
      <c r="BN223" s="181">
        <f ca="1">IF($D223&lt;&gt;"Serviço",0,IF(AND(AUTOEVENTO="Manual",$M223=1),0,IF(OFFSET(CRONOPLE!$F$14,$M223,BN$13)="",10^12,OFFSET(CRONOPLE!$F$14,$M223,BN$13))))</f>
        <v>1000000000000</v>
      </c>
      <c r="BO223" s="181">
        <f ca="1">IF($D223&lt;&gt;"Serviço",0,IF(AND(AUTOEVENTO="Manual",$M223=1),0,IF(OFFSET(CRONOPLE!$F$14,$M223,BO$13)="",10^12,OFFSET(CRONOPLE!$F$14,$M223,BO$13))))</f>
        <v>1000000000000</v>
      </c>
      <c r="BP223" s="181">
        <f ca="1">IF($D223&lt;&gt;"Serviço",0,IF(AND(AUTOEVENTO="Manual",$M223=1),0,IF(OFFSET(CRONOPLE!$F$14,$M223,BP$13)="",10^12,OFFSET(CRONOPLE!$F$14,$M223,BP$13))))</f>
        <v>1000000000000</v>
      </c>
      <c r="BQ223" s="181">
        <f ca="1">IF($D223&lt;&gt;"Serviço",0,IF(AND(AUTOEVENTO="Manual",$M223=1),0,IF(OFFSET(CRONOPLE!$F$14,$M223,BQ$13)="",10^12,OFFSET(CRONOPLE!$F$14,$M223,BQ$13))))</f>
        <v>1000000000000</v>
      </c>
      <c r="BR223" s="181">
        <f ca="1">IF($D223&lt;&gt;"Serviço",0,IF(AND(AUTOEVENTO="Manual",$M223=1),0,IF(OFFSET(CRONOPLE!$F$14,$M223,BR$13)="",10^12,OFFSET(CRONOPLE!$F$14,$M223,BR$13))))</f>
        <v>1000000000000</v>
      </c>
      <c r="BS223" s="181">
        <f ca="1">IF($D223&lt;&gt;"Serviço",0,IF(AND(AUTOEVENTO="Manual",$M223=1),0,IF(OFFSET(CRONOPLE!$F$14,$M223,BS$13)="",10^12,OFFSET(CRONOPLE!$F$14,$M223,BS$13))))</f>
        <v>1000000000000</v>
      </c>
      <c r="BT223" s="181">
        <f ca="1">IF($D223&lt;&gt;"Serviço",0,IF(AND(AUTOEVENTO="Manual",$M223=1),0,IF(OFFSET(CRONOPLE!$F$14,$M223,BT$13)="",10^12,OFFSET(CRONOPLE!$F$14,$M223,BT$13))))</f>
        <v>1000000000000</v>
      </c>
      <c r="BV223" s="182">
        <f ca="1">IF($D223&lt;&gt;"Serviço",0,IF(OR(AND(AUTOEVENTO="Manual",$M223=1),$M223&gt;(ROW(PLE.lastrow)-ROW(PLE.firstrow))),0,IF(OFFSET(PLE!$G$14,$M223,BV$13)="",10^12,OFFSET(PLE!$G$14,$M223,BV$13))))</f>
        <v>1000000000000</v>
      </c>
      <c r="BW223" s="182">
        <f ca="1">IF($D223&lt;&gt;"Serviço",0,IF(OR(AND(AUTOEVENTO="Manual",$M223=1),$M223&gt;(ROW(PLE.lastrow)-ROW(PLE.firstrow))),0,IF(OFFSET(PLE!$G$14,$M223,BW$13)="",10^12,OFFSET(PLE!$G$14,$M223,BW$13))))</f>
        <v>1000000000000</v>
      </c>
      <c r="BX223" s="182">
        <f ca="1">IF($D223&lt;&gt;"Serviço",0,IF(OR(AND(AUTOEVENTO="Manual",$M223=1),$M223&gt;(ROW(PLE.lastrow)-ROW(PLE.firstrow))),0,IF(OFFSET(PLE!$G$14,$M223,BX$13)="",10^12,OFFSET(PLE!$G$14,$M223,BX$13))))</f>
        <v>1000000000000</v>
      </c>
      <c r="BY223" s="182">
        <f ca="1">IF($D223&lt;&gt;"Serviço",0,IF(OR(AND(AUTOEVENTO="Manual",$M223=1),$M223&gt;(ROW(PLE.lastrow)-ROW(PLE.firstrow))),0,IF(OFFSET(PLE!$G$14,$M223,BY$13)="",10^12,OFFSET(PLE!$G$14,$M223,BY$13))))</f>
        <v>1000000000000</v>
      </c>
      <c r="BZ223" s="182">
        <f ca="1">IF($D223&lt;&gt;"Serviço",0,IF(OR(AND(AUTOEVENTO="Manual",$M223=1),$M223&gt;(ROW(PLE.lastrow)-ROW(PLE.firstrow))),0,IF(OFFSET(PLE!$G$14,$M223,BZ$13)="",10^12,OFFSET(PLE!$G$14,$M223,BZ$13))))</f>
        <v>1000000000000</v>
      </c>
      <c r="CA223" s="182">
        <f ca="1">IF($D223&lt;&gt;"Serviço",0,IF(OR(AND(AUTOEVENTO="Manual",$M223=1),$M223&gt;(ROW(PLE.lastrow)-ROW(PLE.firstrow))),0,IF(OFFSET(PLE!$G$14,$M223,CA$13)="",10^12,OFFSET(PLE!$G$14,$M223,CA$13))))</f>
        <v>1000000000000</v>
      </c>
      <c r="CB223" s="182">
        <f ca="1">IF($D223&lt;&gt;"Serviço",0,IF(OR(AND(AUTOEVENTO="Manual",$M223=1),$M223&gt;(ROW(PLE.lastrow)-ROW(PLE.firstrow))),0,IF(OFFSET(PLE!$G$14,$M223,CB$13)="",10^12,OFFSET(PLE!$G$14,$M223,CB$13))))</f>
        <v>1000000000000</v>
      </c>
      <c r="CC223" s="182">
        <f ca="1">IF($D223&lt;&gt;"Serviço",0,IF(OR(AND(AUTOEVENTO="Manual",$M223=1),$M223&gt;(ROW(PLE.lastrow)-ROW(PLE.firstrow))),0,IF(OFFSET(PLE!$G$14,$M223,CC$13)="",10^12,OFFSET(PLE!$G$14,$M223,CC$13))))</f>
        <v>1000000000000</v>
      </c>
      <c r="CD223" s="182">
        <f ca="1">IF($D223&lt;&gt;"Serviço",0,IF(OR(AND(AUTOEVENTO="Manual",$M223=1),$M223&gt;(ROW(PLE.lastrow)-ROW(PLE.firstrow))),0,IF(OFFSET(PLE!$G$14,$M223,CD$13)="",10^12,OFFSET(PLE!$G$14,$M223,CD$13))))</f>
        <v>1000000000000</v>
      </c>
      <c r="CE223" s="182">
        <f ca="1">IF($D223&lt;&gt;"Serviço",0,IF(OR(AND(AUTOEVENTO="Manual",$M223=1),$M223&gt;(ROW(PLE.lastrow)-ROW(PLE.firstrow))),0,IF(OFFSET(PLE!$G$14,$M223,CE$13)="",10^12,OFFSET(PLE!$G$14,$M223,CE$13))))</f>
        <v>1000000000000</v>
      </c>
      <c r="CF223" s="182">
        <f ca="1">IF($D223&lt;&gt;"Serviço",0,IF(OR(AND(AUTOEVENTO="Manual",$M223=1),$M223&gt;(ROW(PLE.lastrow)-ROW(PLE.firstrow))),0,IF(OFFSET(PLE!$G$14,$M223,CF$13)="",10^12,OFFSET(PLE!$G$14,$M223,CF$13))))</f>
        <v>1000000000000</v>
      </c>
      <c r="CG223" s="182">
        <f ca="1">IF($D223&lt;&gt;"Serviço",0,IF(OR(AND(AUTOEVENTO="Manual",$M223=1),$M223&gt;(ROW(PLE.lastrow)-ROW(PLE.firstrow))),0,IF(OFFSET(PLE!$G$14,$M223,CG$13)="",10^12,OFFSET(PLE!$G$14,$M223,CG$13))))</f>
        <v>1000000000000</v>
      </c>
      <c r="CH223" s="182">
        <f ca="1">IF($D223&lt;&gt;"Serviço",0,IF(OR(AND(AUTOEVENTO="Manual",$M223=1),$M223&gt;(ROW(PLE.lastrow)-ROW(PLE.firstrow))),0,IF(OFFSET(PLE!$G$14,$M223,CH$13)="",10^12,OFFSET(PLE!$G$14,$M223,CH$13))))</f>
        <v>1000000000000</v>
      </c>
      <c r="CI223" s="182">
        <f ca="1">IF($D223&lt;&gt;"Serviço",0,IF(OR(AND(AUTOEVENTO="Manual",$M223=1),$M223&gt;(ROW(PLE.lastrow)-ROW(PLE.firstrow))),0,IF(OFFSET(PLE!$G$14,$M223,CI$13)="",10^12,OFFSET(PLE!$G$14,$M223,CI$13))))</f>
        <v>1000000000000</v>
      </c>
      <c r="CJ223" s="182">
        <f ca="1">IF($D223&lt;&gt;"Serviço",0,IF(OR(AND(AUTOEVENTO="Manual",$M223=1),$M223&gt;(ROW(PLE.lastrow)-ROW(PLE.firstrow))),0,IF(OFFSET(PLE!$G$14,$M223,CJ$13)="",10^12,OFFSET(PLE!$G$14,$M223,CJ$13))))</f>
        <v>1000000000000</v>
      </c>
      <c r="CK223" s="182">
        <f ca="1">IF($D223&lt;&gt;"Serviço",0,IF(OR(AND(AUTOEVENTO="Manual",$M223=1),$M223&gt;(ROW(PLE.lastrow)-ROW(PLE.firstrow))),0,IF(OFFSET(PLE!$G$14,$M223,CK$13)="",10^12,OFFSET(PLE!$G$14,$M223,CK$13))))</f>
        <v>1000000000000</v>
      </c>
      <c r="CL223" s="182">
        <f ca="1">IF($D223&lt;&gt;"Serviço",0,IF(OR(AND(AUTOEVENTO="Manual",$M223=1),$M223&gt;(ROW(PLE.lastrow)-ROW(PLE.firstrow))),0,IF(OFFSET(PLE!$G$14,$M223,CL$13)="",10^12,OFFSET(PLE!$G$14,$M223,CL$13))))</f>
        <v>1000000000000</v>
      </c>
      <c r="CM223" s="182">
        <f ca="1">IF($D223&lt;&gt;"Serviço",0,IF(OR(AND(AUTOEVENTO="Manual",$M223=1),$M223&gt;(ROW(PLE.lastrow)-ROW(PLE.firstrow))),0,IF(OFFSET(PLE!$G$14,$M223,CM$13)="",10^12,OFFSET(PLE!$G$14,$M223,CM$13))))</f>
        <v>1000000000000</v>
      </c>
    </row>
    <row r="224" spans="1:91" ht="25.5" x14ac:dyDescent="0.2">
      <c r="A224" s="7" t="str">
        <f t="shared" ca="1" si="12"/>
        <v>206</v>
      </c>
      <c r="B224" s="7" t="str">
        <f ca="1">OFFSET(ORÇAMENTO!C$15,ROW(B224)-ROW(B$15),0)</f>
        <v>S</v>
      </c>
      <c r="C224" s="7" t="str">
        <f ca="1">OFFSET(ORÇAMENTO!L$15,ROW(C224)-ROW(C$15),0)</f>
        <v/>
      </c>
      <c r="D224" s="118" t="str">
        <f ca="1">OFFSET(ORÇAMENTO!N$15,ROW(D224)-ROW(D$15),0)</f>
        <v>Serviço</v>
      </c>
      <c r="E224" s="119" t="str">
        <f ca="1">OFFSET(ORÇAMENTO!O$15,ROW(E224)-ROW(E$15),0)</f>
        <v>-</v>
      </c>
      <c r="F224" s="172" t="str">
        <f ca="1">OFFSET(ORÇAMENTO!R$15,ROW(F224)-ROW(F$15),0)</f>
        <v>(abra o arquivo 'Referência 06-2024.xlsm)</v>
      </c>
      <c r="G224" s="173" t="str">
        <f ca="1">IF($D224&lt;&gt;"Serviço","",OFFSET(ORÇAMENTO!S$15,ROW(G224)-ROW(G$15),0))</f>
        <v>-</v>
      </c>
      <c r="H224" s="124">
        <f ca="1">IF($D224&lt;&gt;"Serviço",0,IF(ACOMPANHAMENTO="BM",ROUND(OFFSET(ORÇAMENTO!AJ$15,ROW(H224)-ROW(H$15),0),15-13*ORÇAMENTO!$AF$7),SUMPRODUCT(($Q$12:$AI$12&lt;&gt;"")*ROUND($Q224:$AI224,15-13*ORÇAMENTO!$AF$7))))</f>
        <v>14.86</v>
      </c>
      <c r="I224" s="561" t="s">
        <v>1107</v>
      </c>
      <c r="K224" s="174"/>
      <c r="L224" s="175" t="s">
        <v>255</v>
      </c>
      <c r="M224" s="176">
        <f ca="1">IF($D224&lt;&gt;"Serviço","",IF(AUTOEVENTO="manual",$A224,IF(ISERROR(MATCH($A224,$A$15:OFFSET($A224,-1,0),0)),MAX($M$15:OFFSET(M224,-1,0))+1,INDEX($M$15:OFFSET(M224,-1,0),MATCH($A224,$A$15:OFFSET($A224,-1,0),0)))))</f>
        <v>30</v>
      </c>
      <c r="N224" s="177" t="str">
        <f ca="1">IF($D224&lt;&gt;"Serviço","",IF(AUTOEVENTO="Manual",IF($A224=0,"&lt;-- defina o número do agrupador",OFFSET(EVENTOS!$D$14,$A224,0)),OFFSET($F$15,$A224,0)))</f>
        <v>PINTURAS E ACABAMENTOS - PAREDES</v>
      </c>
      <c r="O224" s="178"/>
      <c r="Q224" s="178">
        <v>14.86</v>
      </c>
      <c r="R224" s="179"/>
      <c r="S224" s="179"/>
      <c r="T224" s="179"/>
      <c r="U224" s="179"/>
      <c r="V224" s="179"/>
      <c r="W224" s="179"/>
      <c r="X224" s="179"/>
      <c r="Y224" s="179"/>
      <c r="Z224" s="180"/>
      <c r="AA224" s="179"/>
      <c r="AB224" s="179"/>
      <c r="AC224" s="179"/>
      <c r="AD224" s="179"/>
      <c r="AE224" s="179"/>
      <c r="AF224" s="179"/>
      <c r="AG224" s="179"/>
      <c r="AH224" s="180"/>
      <c r="AJ224" s="544">
        <f ca="1">IF(AND($D224="Serviço",AJ$12&lt;&gt;0,$H224&gt;0,OR(AUTOEVENTO&lt;&gt;"manual",$M224&lt;&gt;1)),
IF(Import.TipoArredondamento&lt;&gt;"TransfereGOV",
ROUND(OFFSET($P224,0,AJ$13),15-13*ORÇAMENTO!$AF$7)/$H224*OFFSET(ORÇAMENTO!$X$15,ROW(AJ224)-ROW(AJ$15),0),
ROUND(ROUND(OFFSET($P224,0,AJ$13),15-13*ORÇAMENTO!$AF$7)*OFFSET(ORÇAMENTO!$W$15,ROW(AJ224)-ROW(AJ$15),0),15-13*ORÇAMENTO!$AF$11)),0)</f>
        <v>0</v>
      </c>
      <c r="AK224" s="545">
        <f ca="1">IF(AND($D224="Serviço",AK$12&lt;&gt;0,$H224&gt;0,OR(AUTOEVENTO&lt;&gt;"manual",$M224&lt;&gt;1)),
IF(Import.TipoArredondamento&lt;&gt;"TransfereGOV",
ROUND(OFFSET($P224,0,AK$13),15-13*ORÇAMENTO!$AF$7)/$H224*OFFSET(ORÇAMENTO!$X$15,ROW(AK224)-ROW(AK$15),0),
ROUND(ROUND(OFFSET($P224,0,AK$13),15-13*ORÇAMENTO!$AF$7)*OFFSET(ORÇAMENTO!$W$15,ROW(AK224)-ROW(AK$15),0),15-13*ORÇAMENTO!$AF$11)),0)</f>
        <v>0</v>
      </c>
      <c r="AL224" s="545">
        <f ca="1">IF(AND($D224="Serviço",AL$12&lt;&gt;0,$H224&gt;0,OR(AUTOEVENTO&lt;&gt;"manual",$M224&lt;&gt;1)),
IF(Import.TipoArredondamento&lt;&gt;"TransfereGOV",
ROUND(OFFSET($P224,0,AL$13),15-13*ORÇAMENTO!$AF$7)/$H224*OFFSET(ORÇAMENTO!$X$15,ROW(AL224)-ROW(AL$15),0),
ROUND(ROUND(OFFSET($P224,0,AL$13),15-13*ORÇAMENTO!$AF$7)*OFFSET(ORÇAMENTO!$W$15,ROW(AL224)-ROW(AL$15),0),15-13*ORÇAMENTO!$AF$11)),0)</f>
        <v>0</v>
      </c>
      <c r="AM224" s="545">
        <f ca="1">IF(AND($D224="Serviço",AM$12&lt;&gt;0,$H224&gt;0,OR(AUTOEVENTO&lt;&gt;"manual",$M224&lt;&gt;1)),
IF(Import.TipoArredondamento&lt;&gt;"TransfereGOV",
ROUND(OFFSET($P224,0,AM$13),15-13*ORÇAMENTO!$AF$7)/$H224*OFFSET(ORÇAMENTO!$X$15,ROW(AM224)-ROW(AM$15),0),
ROUND(ROUND(OFFSET($P224,0,AM$13),15-13*ORÇAMENTO!$AF$7)*OFFSET(ORÇAMENTO!$W$15,ROW(AM224)-ROW(AM$15),0),15-13*ORÇAMENTO!$AF$11)),0)</f>
        <v>0</v>
      </c>
      <c r="AN224" s="545">
        <f ca="1">IF(AND($D224="Serviço",AN$12&lt;&gt;0,$H224&gt;0,OR(AUTOEVENTO&lt;&gt;"manual",$M224&lt;&gt;1)),
IF(Import.TipoArredondamento&lt;&gt;"TransfereGOV",
ROUND(OFFSET($P224,0,AN$13),15-13*ORÇAMENTO!$AF$7)/$H224*OFFSET(ORÇAMENTO!$X$15,ROW(AN224)-ROW(AN$15),0),
ROUND(ROUND(OFFSET($P224,0,AN$13),15-13*ORÇAMENTO!$AF$7)*OFFSET(ORÇAMENTO!$W$15,ROW(AN224)-ROW(AN$15),0),15-13*ORÇAMENTO!$AF$11)),0)</f>
        <v>0</v>
      </c>
      <c r="AO224" s="545">
        <f ca="1">IF(AND($D224="Serviço",AO$12&lt;&gt;0,$H224&gt;0,OR(AUTOEVENTO&lt;&gt;"manual",$M224&lt;&gt;1)),
IF(Import.TipoArredondamento&lt;&gt;"TransfereGOV",
ROUND(OFFSET($P224,0,AO$13),15-13*ORÇAMENTO!$AF$7)/$H224*OFFSET(ORÇAMENTO!$X$15,ROW(AO224)-ROW(AO$15),0),
ROUND(ROUND(OFFSET($P224,0,AO$13),15-13*ORÇAMENTO!$AF$7)*OFFSET(ORÇAMENTO!$W$15,ROW(AO224)-ROW(AO$15),0),15-13*ORÇAMENTO!$AF$11)),0)</f>
        <v>0</v>
      </c>
      <c r="AP224" s="545">
        <f ca="1">IF(AND($D224="Serviço",AP$12&lt;&gt;0,$H224&gt;0,OR(AUTOEVENTO&lt;&gt;"manual",$M224&lt;&gt;1)),
IF(Import.TipoArredondamento&lt;&gt;"TransfereGOV",
ROUND(OFFSET($P224,0,AP$13),15-13*ORÇAMENTO!$AF$7)/$H224*OFFSET(ORÇAMENTO!$X$15,ROW(AP224)-ROW(AP$15),0),
ROUND(ROUND(OFFSET($P224,0,AP$13),15-13*ORÇAMENTO!$AF$7)*OFFSET(ORÇAMENTO!$W$15,ROW(AP224)-ROW(AP$15),0),15-13*ORÇAMENTO!$AF$11)),0)</f>
        <v>0</v>
      </c>
      <c r="AQ224" s="545">
        <f ca="1">IF(AND($D224="Serviço",AQ$12&lt;&gt;0,$H224&gt;0,OR(AUTOEVENTO&lt;&gt;"manual",$M224&lt;&gt;1)),
IF(Import.TipoArredondamento&lt;&gt;"TransfereGOV",
ROUND(OFFSET($P224,0,AQ$13),15-13*ORÇAMENTO!$AF$7)/$H224*OFFSET(ORÇAMENTO!$X$15,ROW(AQ224)-ROW(AQ$15),0),
ROUND(ROUND(OFFSET($P224,0,AQ$13),15-13*ORÇAMENTO!$AF$7)*OFFSET(ORÇAMENTO!$W$15,ROW(AQ224)-ROW(AQ$15),0),15-13*ORÇAMENTO!$AF$11)),0)</f>
        <v>0</v>
      </c>
      <c r="AR224" s="545">
        <f ca="1">IF(AND($D224="Serviço",AR$12&lt;&gt;0,$H224&gt;0,OR(AUTOEVENTO&lt;&gt;"manual",$M224&lt;&gt;1)),
IF(Import.TipoArredondamento&lt;&gt;"TransfereGOV",
ROUND(OFFSET($P224,0,AR$13),15-13*ORÇAMENTO!$AF$7)/$H224*OFFSET(ORÇAMENTO!$X$15,ROW(AR224)-ROW(AR$15),0),
ROUND(ROUND(OFFSET($P224,0,AR$13),15-13*ORÇAMENTO!$AF$7)*OFFSET(ORÇAMENTO!$W$15,ROW(AR224)-ROW(AR$15),0),15-13*ORÇAMENTO!$AF$11)),0)</f>
        <v>0</v>
      </c>
      <c r="AS224" s="546">
        <f ca="1">IF(AND($D224="Serviço",AS$12&lt;&gt;0,$H224&gt;0,OR(AUTOEVENTO&lt;&gt;"manual",$M224&lt;&gt;1)),
IF(Import.TipoArredondamento&lt;&gt;"TransfereGOV",
ROUND(OFFSET($P224,0,AS$13),15-13*ORÇAMENTO!$AF$7)/$H224*OFFSET(ORÇAMENTO!$X$15,ROW(AS224)-ROW(AS$15),0),
ROUND(ROUND(OFFSET($P224,0,AS$13),15-13*ORÇAMENTO!$AF$7)*OFFSET(ORÇAMENTO!$W$15,ROW(AS224)-ROW(AS$15),0),15-13*ORÇAMENTO!$AF$11)),0)</f>
        <v>0</v>
      </c>
      <c r="AT224" s="545">
        <f ca="1">IF(AND($D224="Serviço",AT$12&lt;&gt;0,$H224&gt;0,OR(AUTOEVENTO&lt;&gt;"manual",$M224&lt;&gt;1)),
IF(Import.TipoArredondamento&lt;&gt;"TransfereGOV",
ROUND(OFFSET($P224,0,AT$13),15-13*ORÇAMENTO!$AF$7)/$H224*OFFSET(ORÇAMENTO!$X$15,ROW(AT224)-ROW(AT$15),0),
ROUND(ROUND(OFFSET($P224,0,AT$13),15-13*ORÇAMENTO!$AF$7)*OFFSET(ORÇAMENTO!$W$15,ROW(AT224)-ROW(AT$15),0),15-13*ORÇAMENTO!$AF$11)),0)</f>
        <v>0</v>
      </c>
      <c r="AU224" s="545">
        <f ca="1">IF(AND($D224="Serviço",AU$12&lt;&gt;0,$H224&gt;0,OR(AUTOEVENTO&lt;&gt;"manual",$M224&lt;&gt;1)),
IF(Import.TipoArredondamento&lt;&gt;"TransfereGOV",
ROUND(OFFSET($P224,0,AU$13),15-13*ORÇAMENTO!$AF$7)/$H224*OFFSET(ORÇAMENTO!$X$15,ROW(AU224)-ROW(AU$15),0),
ROUND(ROUND(OFFSET($P224,0,AU$13),15-13*ORÇAMENTO!$AF$7)*OFFSET(ORÇAMENTO!$W$15,ROW(AU224)-ROW(AU$15),0),15-13*ORÇAMENTO!$AF$11)),0)</f>
        <v>0</v>
      </c>
      <c r="AV224" s="545">
        <f ca="1">IF(AND($D224="Serviço",AV$12&lt;&gt;0,$H224&gt;0,OR(AUTOEVENTO&lt;&gt;"manual",$M224&lt;&gt;1)),
IF(Import.TipoArredondamento&lt;&gt;"TransfereGOV",
ROUND(OFFSET($P224,0,AV$13),15-13*ORÇAMENTO!$AF$7)/$H224*OFFSET(ORÇAMENTO!$X$15,ROW(AV224)-ROW(AV$15),0),
ROUND(ROUND(OFFSET($P224,0,AV$13),15-13*ORÇAMENTO!$AF$7)*OFFSET(ORÇAMENTO!$W$15,ROW(AV224)-ROW(AV$15),0),15-13*ORÇAMENTO!$AF$11)),0)</f>
        <v>0</v>
      </c>
      <c r="AW224" s="545">
        <f ca="1">IF(AND($D224="Serviço",AW$12&lt;&gt;0,$H224&gt;0,OR(AUTOEVENTO&lt;&gt;"manual",$M224&lt;&gt;1)),
IF(Import.TipoArredondamento&lt;&gt;"TransfereGOV",
ROUND(OFFSET($P224,0,AW$13),15-13*ORÇAMENTO!$AF$7)/$H224*OFFSET(ORÇAMENTO!$X$15,ROW(AW224)-ROW(AW$15),0),
ROUND(ROUND(OFFSET($P224,0,AW$13),15-13*ORÇAMENTO!$AF$7)*OFFSET(ORÇAMENTO!$W$15,ROW(AW224)-ROW(AW$15),0),15-13*ORÇAMENTO!$AF$11)),0)</f>
        <v>0</v>
      </c>
      <c r="AX224" s="545">
        <f ca="1">IF(AND($D224="Serviço",AX$12&lt;&gt;0,$H224&gt;0,OR(AUTOEVENTO&lt;&gt;"manual",$M224&lt;&gt;1)),
IF(Import.TipoArredondamento&lt;&gt;"TransfereGOV",
ROUND(OFFSET($P224,0,AX$13),15-13*ORÇAMENTO!$AF$7)/$H224*OFFSET(ORÇAMENTO!$X$15,ROW(AX224)-ROW(AX$15),0),
ROUND(ROUND(OFFSET($P224,0,AX$13),15-13*ORÇAMENTO!$AF$7)*OFFSET(ORÇAMENTO!$W$15,ROW(AX224)-ROW(AX$15),0),15-13*ORÇAMENTO!$AF$11)),0)</f>
        <v>0</v>
      </c>
      <c r="AY224" s="545">
        <f ca="1">IF(AND($D224="Serviço",AY$12&lt;&gt;0,$H224&gt;0,OR(AUTOEVENTO&lt;&gt;"manual",$M224&lt;&gt;1)),
IF(Import.TipoArredondamento&lt;&gt;"TransfereGOV",
ROUND(OFFSET($P224,0,AY$13),15-13*ORÇAMENTO!$AF$7)/$H224*OFFSET(ORÇAMENTO!$X$15,ROW(AY224)-ROW(AY$15),0),
ROUND(ROUND(OFFSET($P224,0,AY$13),15-13*ORÇAMENTO!$AF$7)*OFFSET(ORÇAMENTO!$W$15,ROW(AY224)-ROW(AY$15),0),15-13*ORÇAMENTO!$AF$11)),0)</f>
        <v>0</v>
      </c>
      <c r="AZ224" s="545">
        <f ca="1">IF(AND($D224="Serviço",AZ$12&lt;&gt;0,$H224&gt;0,OR(AUTOEVENTO&lt;&gt;"manual",$M224&lt;&gt;1)),
IF(Import.TipoArredondamento&lt;&gt;"TransfereGOV",
ROUND(OFFSET($P224,0,AZ$13),15-13*ORÇAMENTO!$AF$7)/$H224*OFFSET(ORÇAMENTO!$X$15,ROW(AZ224)-ROW(AZ$15),0),
ROUND(ROUND(OFFSET($P224,0,AZ$13),15-13*ORÇAMENTO!$AF$7)*OFFSET(ORÇAMENTO!$W$15,ROW(AZ224)-ROW(AZ$15),0),15-13*ORÇAMENTO!$AF$11)),0)</f>
        <v>0</v>
      </c>
      <c r="BA224" s="546">
        <f ca="1">IF(AND($D224="Serviço",BA$12&lt;&gt;0,$H224&gt;0,OR(AUTOEVENTO&lt;&gt;"manual",$M224&lt;&gt;1)),
IF(Import.TipoArredondamento&lt;&gt;"TransfereGOV",
ROUND(OFFSET($P224,0,BA$13),15-13*ORÇAMENTO!$AF$7)/$H224*OFFSET(ORÇAMENTO!$X$15,ROW(BA224)-ROW(BA$15),0),
ROUND(ROUND(OFFSET($P224,0,BA$13),15-13*ORÇAMENTO!$AF$7)*OFFSET(ORÇAMENTO!$W$15,ROW(BA224)-ROW(BA$15),0),15-13*ORÇAMENTO!$AF$11)),0)</f>
        <v>0</v>
      </c>
      <c r="BC224" s="181">
        <f ca="1">IF($D224&lt;&gt;"Serviço",0,IF(AND(AUTOEVENTO="Manual",$M224=1),0,IF(OFFSET(CRONOPLE!$F$14,$M224,BC$13)="",10^12,OFFSET(CRONOPLE!$F$14,$M224,BC$13))))</f>
        <v>9</v>
      </c>
      <c r="BD224" s="181">
        <f ca="1">IF($D224&lt;&gt;"Serviço",0,IF(AND(AUTOEVENTO="Manual",$M224=1),0,IF(OFFSET(CRONOPLE!$F$14,$M224,BD$13)="",10^12,OFFSET(CRONOPLE!$F$14,$M224,BD$13))))</f>
        <v>1000000000000</v>
      </c>
      <c r="BE224" s="181">
        <f ca="1">IF($D224&lt;&gt;"Serviço",0,IF(AND(AUTOEVENTO="Manual",$M224=1),0,IF(OFFSET(CRONOPLE!$F$14,$M224,BE$13)="",10^12,OFFSET(CRONOPLE!$F$14,$M224,BE$13))))</f>
        <v>1000000000000</v>
      </c>
      <c r="BF224" s="181">
        <f ca="1">IF($D224&lt;&gt;"Serviço",0,IF(AND(AUTOEVENTO="Manual",$M224=1),0,IF(OFFSET(CRONOPLE!$F$14,$M224,BF$13)="",10^12,OFFSET(CRONOPLE!$F$14,$M224,BF$13))))</f>
        <v>1000000000000</v>
      </c>
      <c r="BG224" s="181">
        <f ca="1">IF($D224&lt;&gt;"Serviço",0,IF(AND(AUTOEVENTO="Manual",$M224=1),0,IF(OFFSET(CRONOPLE!$F$14,$M224,BG$13)="",10^12,OFFSET(CRONOPLE!$F$14,$M224,BG$13))))</f>
        <v>1000000000000</v>
      </c>
      <c r="BH224" s="181">
        <f ca="1">IF($D224&lt;&gt;"Serviço",0,IF(AND(AUTOEVENTO="Manual",$M224=1),0,IF(OFFSET(CRONOPLE!$F$14,$M224,BH$13)="",10^12,OFFSET(CRONOPLE!$F$14,$M224,BH$13))))</f>
        <v>1000000000000</v>
      </c>
      <c r="BI224" s="181">
        <f ca="1">IF($D224&lt;&gt;"Serviço",0,IF(AND(AUTOEVENTO="Manual",$M224=1),0,IF(OFFSET(CRONOPLE!$F$14,$M224,BI$13)="",10^12,OFFSET(CRONOPLE!$F$14,$M224,BI$13))))</f>
        <v>1000000000000</v>
      </c>
      <c r="BJ224" s="181">
        <f ca="1">IF($D224&lt;&gt;"Serviço",0,IF(AND(AUTOEVENTO="Manual",$M224=1),0,IF(OFFSET(CRONOPLE!$F$14,$M224,BJ$13)="",10^12,OFFSET(CRONOPLE!$F$14,$M224,BJ$13))))</f>
        <v>1000000000000</v>
      </c>
      <c r="BK224" s="181">
        <f ca="1">IF($D224&lt;&gt;"Serviço",0,IF(AND(AUTOEVENTO="Manual",$M224=1),0,IF(OFFSET(CRONOPLE!$F$14,$M224,BK$13)="",10^12,OFFSET(CRONOPLE!$F$14,$M224,BK$13))))</f>
        <v>1000000000000</v>
      </c>
      <c r="BL224" s="181">
        <f ca="1">IF($D224&lt;&gt;"Serviço",0,IF(AND(AUTOEVENTO="Manual",$M224=1),0,IF(OFFSET(CRONOPLE!$F$14,$M224,BL$13)="",10^12,OFFSET(CRONOPLE!$F$14,$M224,BL$13))))</f>
        <v>1000000000000</v>
      </c>
      <c r="BM224" s="181">
        <f ca="1">IF($D224&lt;&gt;"Serviço",0,IF(AND(AUTOEVENTO="Manual",$M224=1),0,IF(OFFSET(CRONOPLE!$F$14,$M224,BM$13)="",10^12,OFFSET(CRONOPLE!$F$14,$M224,BM$13))))</f>
        <v>1000000000000</v>
      </c>
      <c r="BN224" s="181">
        <f ca="1">IF($D224&lt;&gt;"Serviço",0,IF(AND(AUTOEVENTO="Manual",$M224=1),0,IF(OFFSET(CRONOPLE!$F$14,$M224,BN$13)="",10^12,OFFSET(CRONOPLE!$F$14,$M224,BN$13))))</f>
        <v>1000000000000</v>
      </c>
      <c r="BO224" s="181">
        <f ca="1">IF($D224&lt;&gt;"Serviço",0,IF(AND(AUTOEVENTO="Manual",$M224=1),0,IF(OFFSET(CRONOPLE!$F$14,$M224,BO$13)="",10^12,OFFSET(CRONOPLE!$F$14,$M224,BO$13))))</f>
        <v>1000000000000</v>
      </c>
      <c r="BP224" s="181">
        <f ca="1">IF($D224&lt;&gt;"Serviço",0,IF(AND(AUTOEVENTO="Manual",$M224=1),0,IF(OFFSET(CRONOPLE!$F$14,$M224,BP$13)="",10^12,OFFSET(CRONOPLE!$F$14,$M224,BP$13))))</f>
        <v>1000000000000</v>
      </c>
      <c r="BQ224" s="181">
        <f ca="1">IF($D224&lt;&gt;"Serviço",0,IF(AND(AUTOEVENTO="Manual",$M224=1),0,IF(OFFSET(CRONOPLE!$F$14,$M224,BQ$13)="",10^12,OFFSET(CRONOPLE!$F$14,$M224,BQ$13))))</f>
        <v>1000000000000</v>
      </c>
      <c r="BR224" s="181">
        <f ca="1">IF($D224&lt;&gt;"Serviço",0,IF(AND(AUTOEVENTO="Manual",$M224=1),0,IF(OFFSET(CRONOPLE!$F$14,$M224,BR$13)="",10^12,OFFSET(CRONOPLE!$F$14,$M224,BR$13))))</f>
        <v>1000000000000</v>
      </c>
      <c r="BS224" s="181">
        <f ca="1">IF($D224&lt;&gt;"Serviço",0,IF(AND(AUTOEVENTO="Manual",$M224=1),0,IF(OFFSET(CRONOPLE!$F$14,$M224,BS$13)="",10^12,OFFSET(CRONOPLE!$F$14,$M224,BS$13))))</f>
        <v>1000000000000</v>
      </c>
      <c r="BT224" s="181">
        <f ca="1">IF($D224&lt;&gt;"Serviço",0,IF(AND(AUTOEVENTO="Manual",$M224=1),0,IF(OFFSET(CRONOPLE!$F$14,$M224,BT$13)="",10^12,OFFSET(CRONOPLE!$F$14,$M224,BT$13))))</f>
        <v>1000000000000</v>
      </c>
      <c r="BV224" s="182">
        <f ca="1">IF($D224&lt;&gt;"Serviço",0,IF(OR(AND(AUTOEVENTO="Manual",$M224=1),$M224&gt;(ROW(PLE.lastrow)-ROW(PLE.firstrow))),0,IF(OFFSET(PLE!$G$14,$M224,BV$13)="",10^12,OFFSET(PLE!$G$14,$M224,BV$13))))</f>
        <v>1000000000000</v>
      </c>
      <c r="BW224" s="182">
        <f ca="1">IF($D224&lt;&gt;"Serviço",0,IF(OR(AND(AUTOEVENTO="Manual",$M224=1),$M224&gt;(ROW(PLE.lastrow)-ROW(PLE.firstrow))),0,IF(OFFSET(PLE!$G$14,$M224,BW$13)="",10^12,OFFSET(PLE!$G$14,$M224,BW$13))))</f>
        <v>1000000000000</v>
      </c>
      <c r="BX224" s="182">
        <f ca="1">IF($D224&lt;&gt;"Serviço",0,IF(OR(AND(AUTOEVENTO="Manual",$M224=1),$M224&gt;(ROW(PLE.lastrow)-ROW(PLE.firstrow))),0,IF(OFFSET(PLE!$G$14,$M224,BX$13)="",10^12,OFFSET(PLE!$G$14,$M224,BX$13))))</f>
        <v>1000000000000</v>
      </c>
      <c r="BY224" s="182">
        <f ca="1">IF($D224&lt;&gt;"Serviço",0,IF(OR(AND(AUTOEVENTO="Manual",$M224=1),$M224&gt;(ROW(PLE.lastrow)-ROW(PLE.firstrow))),0,IF(OFFSET(PLE!$G$14,$M224,BY$13)="",10^12,OFFSET(PLE!$G$14,$M224,BY$13))))</f>
        <v>1000000000000</v>
      </c>
      <c r="BZ224" s="182">
        <f ca="1">IF($D224&lt;&gt;"Serviço",0,IF(OR(AND(AUTOEVENTO="Manual",$M224=1),$M224&gt;(ROW(PLE.lastrow)-ROW(PLE.firstrow))),0,IF(OFFSET(PLE!$G$14,$M224,BZ$13)="",10^12,OFFSET(PLE!$G$14,$M224,BZ$13))))</f>
        <v>1000000000000</v>
      </c>
      <c r="CA224" s="182">
        <f ca="1">IF($D224&lt;&gt;"Serviço",0,IF(OR(AND(AUTOEVENTO="Manual",$M224=1),$M224&gt;(ROW(PLE.lastrow)-ROW(PLE.firstrow))),0,IF(OFFSET(PLE!$G$14,$M224,CA$13)="",10^12,OFFSET(PLE!$G$14,$M224,CA$13))))</f>
        <v>1000000000000</v>
      </c>
      <c r="CB224" s="182">
        <f ca="1">IF($D224&lt;&gt;"Serviço",0,IF(OR(AND(AUTOEVENTO="Manual",$M224=1),$M224&gt;(ROW(PLE.lastrow)-ROW(PLE.firstrow))),0,IF(OFFSET(PLE!$G$14,$M224,CB$13)="",10^12,OFFSET(PLE!$G$14,$M224,CB$13))))</f>
        <v>1000000000000</v>
      </c>
      <c r="CC224" s="182">
        <f ca="1">IF($D224&lt;&gt;"Serviço",0,IF(OR(AND(AUTOEVENTO="Manual",$M224=1),$M224&gt;(ROW(PLE.lastrow)-ROW(PLE.firstrow))),0,IF(OFFSET(PLE!$G$14,$M224,CC$13)="",10^12,OFFSET(PLE!$G$14,$M224,CC$13))))</f>
        <v>1000000000000</v>
      </c>
      <c r="CD224" s="182">
        <f ca="1">IF($D224&lt;&gt;"Serviço",0,IF(OR(AND(AUTOEVENTO="Manual",$M224=1),$M224&gt;(ROW(PLE.lastrow)-ROW(PLE.firstrow))),0,IF(OFFSET(PLE!$G$14,$M224,CD$13)="",10^12,OFFSET(PLE!$G$14,$M224,CD$13))))</f>
        <v>1000000000000</v>
      </c>
      <c r="CE224" s="182">
        <f ca="1">IF($D224&lt;&gt;"Serviço",0,IF(OR(AND(AUTOEVENTO="Manual",$M224=1),$M224&gt;(ROW(PLE.lastrow)-ROW(PLE.firstrow))),0,IF(OFFSET(PLE!$G$14,$M224,CE$13)="",10^12,OFFSET(PLE!$G$14,$M224,CE$13))))</f>
        <v>1000000000000</v>
      </c>
      <c r="CF224" s="182">
        <f ca="1">IF($D224&lt;&gt;"Serviço",0,IF(OR(AND(AUTOEVENTO="Manual",$M224=1),$M224&gt;(ROW(PLE.lastrow)-ROW(PLE.firstrow))),0,IF(OFFSET(PLE!$G$14,$M224,CF$13)="",10^12,OFFSET(PLE!$G$14,$M224,CF$13))))</f>
        <v>1000000000000</v>
      </c>
      <c r="CG224" s="182">
        <f ca="1">IF($D224&lt;&gt;"Serviço",0,IF(OR(AND(AUTOEVENTO="Manual",$M224=1),$M224&gt;(ROW(PLE.lastrow)-ROW(PLE.firstrow))),0,IF(OFFSET(PLE!$G$14,$M224,CG$13)="",10^12,OFFSET(PLE!$G$14,$M224,CG$13))))</f>
        <v>1000000000000</v>
      </c>
      <c r="CH224" s="182">
        <f ca="1">IF($D224&lt;&gt;"Serviço",0,IF(OR(AND(AUTOEVENTO="Manual",$M224=1),$M224&gt;(ROW(PLE.lastrow)-ROW(PLE.firstrow))),0,IF(OFFSET(PLE!$G$14,$M224,CH$13)="",10^12,OFFSET(PLE!$G$14,$M224,CH$13))))</f>
        <v>1000000000000</v>
      </c>
      <c r="CI224" s="182">
        <f ca="1">IF($D224&lt;&gt;"Serviço",0,IF(OR(AND(AUTOEVENTO="Manual",$M224=1),$M224&gt;(ROW(PLE.lastrow)-ROW(PLE.firstrow))),0,IF(OFFSET(PLE!$G$14,$M224,CI$13)="",10^12,OFFSET(PLE!$G$14,$M224,CI$13))))</f>
        <v>1000000000000</v>
      </c>
      <c r="CJ224" s="182">
        <f ca="1">IF($D224&lt;&gt;"Serviço",0,IF(OR(AND(AUTOEVENTO="Manual",$M224=1),$M224&gt;(ROW(PLE.lastrow)-ROW(PLE.firstrow))),0,IF(OFFSET(PLE!$G$14,$M224,CJ$13)="",10^12,OFFSET(PLE!$G$14,$M224,CJ$13))))</f>
        <v>1000000000000</v>
      </c>
      <c r="CK224" s="182">
        <f ca="1">IF($D224&lt;&gt;"Serviço",0,IF(OR(AND(AUTOEVENTO="Manual",$M224=1),$M224&gt;(ROW(PLE.lastrow)-ROW(PLE.firstrow))),0,IF(OFFSET(PLE!$G$14,$M224,CK$13)="",10^12,OFFSET(PLE!$G$14,$M224,CK$13))))</f>
        <v>1000000000000</v>
      </c>
      <c r="CL224" s="182">
        <f ca="1">IF($D224&lt;&gt;"Serviço",0,IF(OR(AND(AUTOEVENTO="Manual",$M224=1),$M224&gt;(ROW(PLE.lastrow)-ROW(PLE.firstrow))),0,IF(OFFSET(PLE!$G$14,$M224,CL$13)="",10^12,OFFSET(PLE!$G$14,$M224,CL$13))))</f>
        <v>1000000000000</v>
      </c>
      <c r="CM224" s="182">
        <f ca="1">IF($D224&lt;&gt;"Serviço",0,IF(OR(AND(AUTOEVENTO="Manual",$M224=1),$M224&gt;(ROW(PLE.lastrow)-ROW(PLE.firstrow))),0,IF(OFFSET(PLE!$G$14,$M224,CM$13)="",10^12,OFFSET(PLE!$G$14,$M224,CM$13))))</f>
        <v>1000000000000</v>
      </c>
    </row>
    <row r="225" spans="1:91" ht="25.5" x14ac:dyDescent="0.2">
      <c r="A225" s="7" t="str">
        <f t="shared" ca="1" si="12"/>
        <v>206</v>
      </c>
      <c r="B225" s="7" t="str">
        <f ca="1">OFFSET(ORÇAMENTO!C$15,ROW(B225)-ROW(B$15),0)</f>
        <v>S</v>
      </c>
      <c r="C225" s="7" t="str">
        <f ca="1">OFFSET(ORÇAMENTO!L$15,ROW(C225)-ROW(C$15),0)</f>
        <v/>
      </c>
      <c r="D225" s="118" t="str">
        <f ca="1">OFFSET(ORÇAMENTO!N$15,ROW(D225)-ROW(D$15),0)</f>
        <v>Serviço</v>
      </c>
      <c r="E225" s="119" t="str">
        <f ca="1">OFFSET(ORÇAMENTO!O$15,ROW(E225)-ROW(E$15),0)</f>
        <v>-</v>
      </c>
      <c r="F225" s="172" t="str">
        <f ca="1">OFFSET(ORÇAMENTO!R$15,ROW(F225)-ROW(F$15),0)</f>
        <v>(abra o arquivo 'Referência 06-2024.xlsm)</v>
      </c>
      <c r="G225" s="173" t="str">
        <f ca="1">IF($D225&lt;&gt;"Serviço","",OFFSET(ORÇAMENTO!S$15,ROW(G225)-ROW(G$15),0))</f>
        <v>-</v>
      </c>
      <c r="H225" s="124">
        <f ca="1">IF($D225&lt;&gt;"Serviço",0,IF(ACOMPANHAMENTO="BM",ROUND(OFFSET(ORÇAMENTO!AJ$15,ROW(H225)-ROW(H$15),0),15-13*ORÇAMENTO!$AF$7),SUMPRODUCT(($Q$12:$AI$12&lt;&gt;"")*ROUND($Q225:$AI225,15-13*ORÇAMENTO!$AF$7))))</f>
        <v>534.91</v>
      </c>
      <c r="I225" s="561" t="s">
        <v>1107</v>
      </c>
      <c r="K225" s="174"/>
      <c r="L225" s="175" t="s">
        <v>255</v>
      </c>
      <c r="M225" s="176">
        <f ca="1">IF($D225&lt;&gt;"Serviço","",IF(AUTOEVENTO="manual",$A225,IF(ISERROR(MATCH($A225,$A$15:OFFSET($A225,-1,0),0)),MAX($M$15:OFFSET(M225,-1,0))+1,INDEX($M$15:OFFSET(M225,-1,0),MATCH($A225,$A$15:OFFSET($A225,-1,0),0)))))</f>
        <v>30</v>
      </c>
      <c r="N225" s="177" t="str">
        <f ca="1">IF($D225&lt;&gt;"Serviço","",IF(AUTOEVENTO="Manual",IF($A225=0,"&lt;-- defina o número do agrupador",OFFSET(EVENTOS!$D$14,$A225,0)),OFFSET($F$15,$A225,0)))</f>
        <v>PINTURAS E ACABAMENTOS - PAREDES</v>
      </c>
      <c r="O225" s="178"/>
      <c r="Q225" s="178">
        <v>534.91</v>
      </c>
      <c r="R225" s="179"/>
      <c r="S225" s="179"/>
      <c r="T225" s="179"/>
      <c r="U225" s="179"/>
      <c r="V225" s="179"/>
      <c r="W225" s="179"/>
      <c r="X225" s="179"/>
      <c r="Y225" s="179"/>
      <c r="Z225" s="180"/>
      <c r="AA225" s="179"/>
      <c r="AB225" s="179"/>
      <c r="AC225" s="179"/>
      <c r="AD225" s="179"/>
      <c r="AE225" s="179"/>
      <c r="AF225" s="179"/>
      <c r="AG225" s="179"/>
      <c r="AH225" s="180"/>
      <c r="AJ225" s="544">
        <f ca="1">IF(AND($D225="Serviço",AJ$12&lt;&gt;0,$H225&gt;0,OR(AUTOEVENTO&lt;&gt;"manual",$M225&lt;&gt;1)),
IF(Import.TipoArredondamento&lt;&gt;"TransfereGOV",
ROUND(OFFSET($P225,0,AJ$13),15-13*ORÇAMENTO!$AF$7)/$H225*OFFSET(ORÇAMENTO!$X$15,ROW(AJ225)-ROW(AJ$15),0),
ROUND(ROUND(OFFSET($P225,0,AJ$13),15-13*ORÇAMENTO!$AF$7)*OFFSET(ORÇAMENTO!$W$15,ROW(AJ225)-ROW(AJ$15),0),15-13*ORÇAMENTO!$AF$11)),0)</f>
        <v>0</v>
      </c>
      <c r="AK225" s="545">
        <f ca="1">IF(AND($D225="Serviço",AK$12&lt;&gt;0,$H225&gt;0,OR(AUTOEVENTO&lt;&gt;"manual",$M225&lt;&gt;1)),
IF(Import.TipoArredondamento&lt;&gt;"TransfereGOV",
ROUND(OFFSET($P225,0,AK$13),15-13*ORÇAMENTO!$AF$7)/$H225*OFFSET(ORÇAMENTO!$X$15,ROW(AK225)-ROW(AK$15),0),
ROUND(ROUND(OFFSET($P225,0,AK$13),15-13*ORÇAMENTO!$AF$7)*OFFSET(ORÇAMENTO!$W$15,ROW(AK225)-ROW(AK$15),0),15-13*ORÇAMENTO!$AF$11)),0)</f>
        <v>0</v>
      </c>
      <c r="AL225" s="545">
        <f ca="1">IF(AND($D225="Serviço",AL$12&lt;&gt;0,$H225&gt;0,OR(AUTOEVENTO&lt;&gt;"manual",$M225&lt;&gt;1)),
IF(Import.TipoArredondamento&lt;&gt;"TransfereGOV",
ROUND(OFFSET($P225,0,AL$13),15-13*ORÇAMENTO!$AF$7)/$H225*OFFSET(ORÇAMENTO!$X$15,ROW(AL225)-ROW(AL$15),0),
ROUND(ROUND(OFFSET($P225,0,AL$13),15-13*ORÇAMENTO!$AF$7)*OFFSET(ORÇAMENTO!$W$15,ROW(AL225)-ROW(AL$15),0),15-13*ORÇAMENTO!$AF$11)),0)</f>
        <v>0</v>
      </c>
      <c r="AM225" s="545">
        <f ca="1">IF(AND($D225="Serviço",AM$12&lt;&gt;0,$H225&gt;0,OR(AUTOEVENTO&lt;&gt;"manual",$M225&lt;&gt;1)),
IF(Import.TipoArredondamento&lt;&gt;"TransfereGOV",
ROUND(OFFSET($P225,0,AM$13),15-13*ORÇAMENTO!$AF$7)/$H225*OFFSET(ORÇAMENTO!$X$15,ROW(AM225)-ROW(AM$15),0),
ROUND(ROUND(OFFSET($P225,0,AM$13),15-13*ORÇAMENTO!$AF$7)*OFFSET(ORÇAMENTO!$W$15,ROW(AM225)-ROW(AM$15),0),15-13*ORÇAMENTO!$AF$11)),0)</f>
        <v>0</v>
      </c>
      <c r="AN225" s="545">
        <f ca="1">IF(AND($D225="Serviço",AN$12&lt;&gt;0,$H225&gt;0,OR(AUTOEVENTO&lt;&gt;"manual",$M225&lt;&gt;1)),
IF(Import.TipoArredondamento&lt;&gt;"TransfereGOV",
ROUND(OFFSET($P225,0,AN$13),15-13*ORÇAMENTO!$AF$7)/$H225*OFFSET(ORÇAMENTO!$X$15,ROW(AN225)-ROW(AN$15),0),
ROUND(ROUND(OFFSET($P225,0,AN$13),15-13*ORÇAMENTO!$AF$7)*OFFSET(ORÇAMENTO!$W$15,ROW(AN225)-ROW(AN$15),0),15-13*ORÇAMENTO!$AF$11)),0)</f>
        <v>0</v>
      </c>
      <c r="AO225" s="545">
        <f ca="1">IF(AND($D225="Serviço",AO$12&lt;&gt;0,$H225&gt;0,OR(AUTOEVENTO&lt;&gt;"manual",$M225&lt;&gt;1)),
IF(Import.TipoArredondamento&lt;&gt;"TransfereGOV",
ROUND(OFFSET($P225,0,AO$13),15-13*ORÇAMENTO!$AF$7)/$H225*OFFSET(ORÇAMENTO!$X$15,ROW(AO225)-ROW(AO$15),0),
ROUND(ROUND(OFFSET($P225,0,AO$13),15-13*ORÇAMENTO!$AF$7)*OFFSET(ORÇAMENTO!$W$15,ROW(AO225)-ROW(AO$15),0),15-13*ORÇAMENTO!$AF$11)),0)</f>
        <v>0</v>
      </c>
      <c r="AP225" s="545">
        <f ca="1">IF(AND($D225="Serviço",AP$12&lt;&gt;0,$H225&gt;0,OR(AUTOEVENTO&lt;&gt;"manual",$M225&lt;&gt;1)),
IF(Import.TipoArredondamento&lt;&gt;"TransfereGOV",
ROUND(OFFSET($P225,0,AP$13),15-13*ORÇAMENTO!$AF$7)/$H225*OFFSET(ORÇAMENTO!$X$15,ROW(AP225)-ROW(AP$15),0),
ROUND(ROUND(OFFSET($P225,0,AP$13),15-13*ORÇAMENTO!$AF$7)*OFFSET(ORÇAMENTO!$W$15,ROW(AP225)-ROW(AP$15),0),15-13*ORÇAMENTO!$AF$11)),0)</f>
        <v>0</v>
      </c>
      <c r="AQ225" s="545">
        <f ca="1">IF(AND($D225="Serviço",AQ$12&lt;&gt;0,$H225&gt;0,OR(AUTOEVENTO&lt;&gt;"manual",$M225&lt;&gt;1)),
IF(Import.TipoArredondamento&lt;&gt;"TransfereGOV",
ROUND(OFFSET($P225,0,AQ$13),15-13*ORÇAMENTO!$AF$7)/$H225*OFFSET(ORÇAMENTO!$X$15,ROW(AQ225)-ROW(AQ$15),0),
ROUND(ROUND(OFFSET($P225,0,AQ$13),15-13*ORÇAMENTO!$AF$7)*OFFSET(ORÇAMENTO!$W$15,ROW(AQ225)-ROW(AQ$15),0),15-13*ORÇAMENTO!$AF$11)),0)</f>
        <v>0</v>
      </c>
      <c r="AR225" s="545">
        <f ca="1">IF(AND($D225="Serviço",AR$12&lt;&gt;0,$H225&gt;0,OR(AUTOEVENTO&lt;&gt;"manual",$M225&lt;&gt;1)),
IF(Import.TipoArredondamento&lt;&gt;"TransfereGOV",
ROUND(OFFSET($P225,0,AR$13),15-13*ORÇAMENTO!$AF$7)/$H225*OFFSET(ORÇAMENTO!$X$15,ROW(AR225)-ROW(AR$15),0),
ROUND(ROUND(OFFSET($P225,0,AR$13),15-13*ORÇAMENTO!$AF$7)*OFFSET(ORÇAMENTO!$W$15,ROW(AR225)-ROW(AR$15),0),15-13*ORÇAMENTO!$AF$11)),0)</f>
        <v>0</v>
      </c>
      <c r="AS225" s="546">
        <f ca="1">IF(AND($D225="Serviço",AS$12&lt;&gt;0,$H225&gt;0,OR(AUTOEVENTO&lt;&gt;"manual",$M225&lt;&gt;1)),
IF(Import.TipoArredondamento&lt;&gt;"TransfereGOV",
ROUND(OFFSET($P225,0,AS$13),15-13*ORÇAMENTO!$AF$7)/$H225*OFFSET(ORÇAMENTO!$X$15,ROW(AS225)-ROW(AS$15),0),
ROUND(ROUND(OFFSET($P225,0,AS$13),15-13*ORÇAMENTO!$AF$7)*OFFSET(ORÇAMENTO!$W$15,ROW(AS225)-ROW(AS$15),0),15-13*ORÇAMENTO!$AF$11)),0)</f>
        <v>0</v>
      </c>
      <c r="AT225" s="545">
        <f ca="1">IF(AND($D225="Serviço",AT$12&lt;&gt;0,$H225&gt;0,OR(AUTOEVENTO&lt;&gt;"manual",$M225&lt;&gt;1)),
IF(Import.TipoArredondamento&lt;&gt;"TransfereGOV",
ROUND(OFFSET($P225,0,AT$13),15-13*ORÇAMENTO!$AF$7)/$H225*OFFSET(ORÇAMENTO!$X$15,ROW(AT225)-ROW(AT$15),0),
ROUND(ROUND(OFFSET($P225,0,AT$13),15-13*ORÇAMENTO!$AF$7)*OFFSET(ORÇAMENTO!$W$15,ROW(AT225)-ROW(AT$15),0),15-13*ORÇAMENTO!$AF$11)),0)</f>
        <v>0</v>
      </c>
      <c r="AU225" s="545">
        <f ca="1">IF(AND($D225="Serviço",AU$12&lt;&gt;0,$H225&gt;0,OR(AUTOEVENTO&lt;&gt;"manual",$M225&lt;&gt;1)),
IF(Import.TipoArredondamento&lt;&gt;"TransfereGOV",
ROUND(OFFSET($P225,0,AU$13),15-13*ORÇAMENTO!$AF$7)/$H225*OFFSET(ORÇAMENTO!$X$15,ROW(AU225)-ROW(AU$15),0),
ROUND(ROUND(OFFSET($P225,0,AU$13),15-13*ORÇAMENTO!$AF$7)*OFFSET(ORÇAMENTO!$W$15,ROW(AU225)-ROW(AU$15),0),15-13*ORÇAMENTO!$AF$11)),0)</f>
        <v>0</v>
      </c>
      <c r="AV225" s="545">
        <f ca="1">IF(AND($D225="Serviço",AV$12&lt;&gt;0,$H225&gt;0,OR(AUTOEVENTO&lt;&gt;"manual",$M225&lt;&gt;1)),
IF(Import.TipoArredondamento&lt;&gt;"TransfereGOV",
ROUND(OFFSET($P225,0,AV$13),15-13*ORÇAMENTO!$AF$7)/$H225*OFFSET(ORÇAMENTO!$X$15,ROW(AV225)-ROW(AV$15),0),
ROUND(ROUND(OFFSET($P225,0,AV$13),15-13*ORÇAMENTO!$AF$7)*OFFSET(ORÇAMENTO!$W$15,ROW(AV225)-ROW(AV$15),0),15-13*ORÇAMENTO!$AF$11)),0)</f>
        <v>0</v>
      </c>
      <c r="AW225" s="545">
        <f ca="1">IF(AND($D225="Serviço",AW$12&lt;&gt;0,$H225&gt;0,OR(AUTOEVENTO&lt;&gt;"manual",$M225&lt;&gt;1)),
IF(Import.TipoArredondamento&lt;&gt;"TransfereGOV",
ROUND(OFFSET($P225,0,AW$13),15-13*ORÇAMENTO!$AF$7)/$H225*OFFSET(ORÇAMENTO!$X$15,ROW(AW225)-ROW(AW$15),0),
ROUND(ROUND(OFFSET($P225,0,AW$13),15-13*ORÇAMENTO!$AF$7)*OFFSET(ORÇAMENTO!$W$15,ROW(AW225)-ROW(AW$15),0),15-13*ORÇAMENTO!$AF$11)),0)</f>
        <v>0</v>
      </c>
      <c r="AX225" s="545">
        <f ca="1">IF(AND($D225="Serviço",AX$12&lt;&gt;0,$H225&gt;0,OR(AUTOEVENTO&lt;&gt;"manual",$M225&lt;&gt;1)),
IF(Import.TipoArredondamento&lt;&gt;"TransfereGOV",
ROUND(OFFSET($P225,0,AX$13),15-13*ORÇAMENTO!$AF$7)/$H225*OFFSET(ORÇAMENTO!$X$15,ROW(AX225)-ROW(AX$15),0),
ROUND(ROUND(OFFSET($P225,0,AX$13),15-13*ORÇAMENTO!$AF$7)*OFFSET(ORÇAMENTO!$W$15,ROW(AX225)-ROW(AX$15),0),15-13*ORÇAMENTO!$AF$11)),0)</f>
        <v>0</v>
      </c>
      <c r="AY225" s="545">
        <f ca="1">IF(AND($D225="Serviço",AY$12&lt;&gt;0,$H225&gt;0,OR(AUTOEVENTO&lt;&gt;"manual",$M225&lt;&gt;1)),
IF(Import.TipoArredondamento&lt;&gt;"TransfereGOV",
ROUND(OFFSET($P225,0,AY$13),15-13*ORÇAMENTO!$AF$7)/$H225*OFFSET(ORÇAMENTO!$X$15,ROW(AY225)-ROW(AY$15),0),
ROUND(ROUND(OFFSET($P225,0,AY$13),15-13*ORÇAMENTO!$AF$7)*OFFSET(ORÇAMENTO!$W$15,ROW(AY225)-ROW(AY$15),0),15-13*ORÇAMENTO!$AF$11)),0)</f>
        <v>0</v>
      </c>
      <c r="AZ225" s="545">
        <f ca="1">IF(AND($D225="Serviço",AZ$12&lt;&gt;0,$H225&gt;0,OR(AUTOEVENTO&lt;&gt;"manual",$M225&lt;&gt;1)),
IF(Import.TipoArredondamento&lt;&gt;"TransfereGOV",
ROUND(OFFSET($P225,0,AZ$13),15-13*ORÇAMENTO!$AF$7)/$H225*OFFSET(ORÇAMENTO!$X$15,ROW(AZ225)-ROW(AZ$15),0),
ROUND(ROUND(OFFSET($P225,0,AZ$13),15-13*ORÇAMENTO!$AF$7)*OFFSET(ORÇAMENTO!$W$15,ROW(AZ225)-ROW(AZ$15),0),15-13*ORÇAMENTO!$AF$11)),0)</f>
        <v>0</v>
      </c>
      <c r="BA225" s="546">
        <f ca="1">IF(AND($D225="Serviço",BA$12&lt;&gt;0,$H225&gt;0,OR(AUTOEVENTO&lt;&gt;"manual",$M225&lt;&gt;1)),
IF(Import.TipoArredondamento&lt;&gt;"TransfereGOV",
ROUND(OFFSET($P225,0,BA$13),15-13*ORÇAMENTO!$AF$7)/$H225*OFFSET(ORÇAMENTO!$X$15,ROW(BA225)-ROW(BA$15),0),
ROUND(ROUND(OFFSET($P225,0,BA$13),15-13*ORÇAMENTO!$AF$7)*OFFSET(ORÇAMENTO!$W$15,ROW(BA225)-ROW(BA$15),0),15-13*ORÇAMENTO!$AF$11)),0)</f>
        <v>0</v>
      </c>
      <c r="BC225" s="181">
        <f ca="1">IF($D225&lt;&gt;"Serviço",0,IF(AND(AUTOEVENTO="Manual",$M225=1),0,IF(OFFSET(CRONOPLE!$F$14,$M225,BC$13)="",10^12,OFFSET(CRONOPLE!$F$14,$M225,BC$13))))</f>
        <v>9</v>
      </c>
      <c r="BD225" s="181">
        <f ca="1">IF($D225&lt;&gt;"Serviço",0,IF(AND(AUTOEVENTO="Manual",$M225=1),0,IF(OFFSET(CRONOPLE!$F$14,$M225,BD$13)="",10^12,OFFSET(CRONOPLE!$F$14,$M225,BD$13))))</f>
        <v>1000000000000</v>
      </c>
      <c r="BE225" s="181">
        <f ca="1">IF($D225&lt;&gt;"Serviço",0,IF(AND(AUTOEVENTO="Manual",$M225=1),0,IF(OFFSET(CRONOPLE!$F$14,$M225,BE$13)="",10^12,OFFSET(CRONOPLE!$F$14,$M225,BE$13))))</f>
        <v>1000000000000</v>
      </c>
      <c r="BF225" s="181">
        <f ca="1">IF($D225&lt;&gt;"Serviço",0,IF(AND(AUTOEVENTO="Manual",$M225=1),0,IF(OFFSET(CRONOPLE!$F$14,$M225,BF$13)="",10^12,OFFSET(CRONOPLE!$F$14,$M225,BF$13))))</f>
        <v>1000000000000</v>
      </c>
      <c r="BG225" s="181">
        <f ca="1">IF($D225&lt;&gt;"Serviço",0,IF(AND(AUTOEVENTO="Manual",$M225=1),0,IF(OFFSET(CRONOPLE!$F$14,$M225,BG$13)="",10^12,OFFSET(CRONOPLE!$F$14,$M225,BG$13))))</f>
        <v>1000000000000</v>
      </c>
      <c r="BH225" s="181">
        <f ca="1">IF($D225&lt;&gt;"Serviço",0,IF(AND(AUTOEVENTO="Manual",$M225=1),0,IF(OFFSET(CRONOPLE!$F$14,$M225,BH$13)="",10^12,OFFSET(CRONOPLE!$F$14,$M225,BH$13))))</f>
        <v>1000000000000</v>
      </c>
      <c r="BI225" s="181">
        <f ca="1">IF($D225&lt;&gt;"Serviço",0,IF(AND(AUTOEVENTO="Manual",$M225=1),0,IF(OFFSET(CRONOPLE!$F$14,$M225,BI$13)="",10^12,OFFSET(CRONOPLE!$F$14,$M225,BI$13))))</f>
        <v>1000000000000</v>
      </c>
      <c r="BJ225" s="181">
        <f ca="1">IF($D225&lt;&gt;"Serviço",0,IF(AND(AUTOEVENTO="Manual",$M225=1),0,IF(OFFSET(CRONOPLE!$F$14,$M225,BJ$13)="",10^12,OFFSET(CRONOPLE!$F$14,$M225,BJ$13))))</f>
        <v>1000000000000</v>
      </c>
      <c r="BK225" s="181">
        <f ca="1">IF($D225&lt;&gt;"Serviço",0,IF(AND(AUTOEVENTO="Manual",$M225=1),0,IF(OFFSET(CRONOPLE!$F$14,$M225,BK$13)="",10^12,OFFSET(CRONOPLE!$F$14,$M225,BK$13))))</f>
        <v>1000000000000</v>
      </c>
      <c r="BL225" s="181">
        <f ca="1">IF($D225&lt;&gt;"Serviço",0,IF(AND(AUTOEVENTO="Manual",$M225=1),0,IF(OFFSET(CRONOPLE!$F$14,$M225,BL$13)="",10^12,OFFSET(CRONOPLE!$F$14,$M225,BL$13))))</f>
        <v>1000000000000</v>
      </c>
      <c r="BM225" s="181">
        <f ca="1">IF($D225&lt;&gt;"Serviço",0,IF(AND(AUTOEVENTO="Manual",$M225=1),0,IF(OFFSET(CRONOPLE!$F$14,$M225,BM$13)="",10^12,OFFSET(CRONOPLE!$F$14,$M225,BM$13))))</f>
        <v>1000000000000</v>
      </c>
      <c r="BN225" s="181">
        <f ca="1">IF($D225&lt;&gt;"Serviço",0,IF(AND(AUTOEVENTO="Manual",$M225=1),0,IF(OFFSET(CRONOPLE!$F$14,$M225,BN$13)="",10^12,OFFSET(CRONOPLE!$F$14,$M225,BN$13))))</f>
        <v>1000000000000</v>
      </c>
      <c r="BO225" s="181">
        <f ca="1">IF($D225&lt;&gt;"Serviço",0,IF(AND(AUTOEVENTO="Manual",$M225=1),0,IF(OFFSET(CRONOPLE!$F$14,$M225,BO$13)="",10^12,OFFSET(CRONOPLE!$F$14,$M225,BO$13))))</f>
        <v>1000000000000</v>
      </c>
      <c r="BP225" s="181">
        <f ca="1">IF($D225&lt;&gt;"Serviço",0,IF(AND(AUTOEVENTO="Manual",$M225=1),0,IF(OFFSET(CRONOPLE!$F$14,$M225,BP$13)="",10^12,OFFSET(CRONOPLE!$F$14,$M225,BP$13))))</f>
        <v>1000000000000</v>
      </c>
      <c r="BQ225" s="181">
        <f ca="1">IF($D225&lt;&gt;"Serviço",0,IF(AND(AUTOEVENTO="Manual",$M225=1),0,IF(OFFSET(CRONOPLE!$F$14,$M225,BQ$13)="",10^12,OFFSET(CRONOPLE!$F$14,$M225,BQ$13))))</f>
        <v>1000000000000</v>
      </c>
      <c r="BR225" s="181">
        <f ca="1">IF($D225&lt;&gt;"Serviço",0,IF(AND(AUTOEVENTO="Manual",$M225=1),0,IF(OFFSET(CRONOPLE!$F$14,$M225,BR$13)="",10^12,OFFSET(CRONOPLE!$F$14,$M225,BR$13))))</f>
        <v>1000000000000</v>
      </c>
      <c r="BS225" s="181">
        <f ca="1">IF($D225&lt;&gt;"Serviço",0,IF(AND(AUTOEVENTO="Manual",$M225=1),0,IF(OFFSET(CRONOPLE!$F$14,$M225,BS$13)="",10^12,OFFSET(CRONOPLE!$F$14,$M225,BS$13))))</f>
        <v>1000000000000</v>
      </c>
      <c r="BT225" s="181">
        <f ca="1">IF($D225&lt;&gt;"Serviço",0,IF(AND(AUTOEVENTO="Manual",$M225=1),0,IF(OFFSET(CRONOPLE!$F$14,$M225,BT$13)="",10^12,OFFSET(CRONOPLE!$F$14,$M225,BT$13))))</f>
        <v>1000000000000</v>
      </c>
      <c r="BV225" s="182">
        <f ca="1">IF($D225&lt;&gt;"Serviço",0,IF(OR(AND(AUTOEVENTO="Manual",$M225=1),$M225&gt;(ROW(PLE.lastrow)-ROW(PLE.firstrow))),0,IF(OFFSET(PLE!$G$14,$M225,BV$13)="",10^12,OFFSET(PLE!$G$14,$M225,BV$13))))</f>
        <v>1000000000000</v>
      </c>
      <c r="BW225" s="182">
        <f ca="1">IF($D225&lt;&gt;"Serviço",0,IF(OR(AND(AUTOEVENTO="Manual",$M225=1),$M225&gt;(ROW(PLE.lastrow)-ROW(PLE.firstrow))),0,IF(OFFSET(PLE!$G$14,$M225,BW$13)="",10^12,OFFSET(PLE!$G$14,$M225,BW$13))))</f>
        <v>1000000000000</v>
      </c>
      <c r="BX225" s="182">
        <f ca="1">IF($D225&lt;&gt;"Serviço",0,IF(OR(AND(AUTOEVENTO="Manual",$M225=1),$M225&gt;(ROW(PLE.lastrow)-ROW(PLE.firstrow))),0,IF(OFFSET(PLE!$G$14,$M225,BX$13)="",10^12,OFFSET(PLE!$G$14,$M225,BX$13))))</f>
        <v>1000000000000</v>
      </c>
      <c r="BY225" s="182">
        <f ca="1">IF($D225&lt;&gt;"Serviço",0,IF(OR(AND(AUTOEVENTO="Manual",$M225=1),$M225&gt;(ROW(PLE.lastrow)-ROW(PLE.firstrow))),0,IF(OFFSET(PLE!$G$14,$M225,BY$13)="",10^12,OFFSET(PLE!$G$14,$M225,BY$13))))</f>
        <v>1000000000000</v>
      </c>
      <c r="BZ225" s="182">
        <f ca="1">IF($D225&lt;&gt;"Serviço",0,IF(OR(AND(AUTOEVENTO="Manual",$M225=1),$M225&gt;(ROW(PLE.lastrow)-ROW(PLE.firstrow))),0,IF(OFFSET(PLE!$G$14,$M225,BZ$13)="",10^12,OFFSET(PLE!$G$14,$M225,BZ$13))))</f>
        <v>1000000000000</v>
      </c>
      <c r="CA225" s="182">
        <f ca="1">IF($D225&lt;&gt;"Serviço",0,IF(OR(AND(AUTOEVENTO="Manual",$M225=1),$M225&gt;(ROW(PLE.lastrow)-ROW(PLE.firstrow))),0,IF(OFFSET(PLE!$G$14,$M225,CA$13)="",10^12,OFFSET(PLE!$G$14,$M225,CA$13))))</f>
        <v>1000000000000</v>
      </c>
      <c r="CB225" s="182">
        <f ca="1">IF($D225&lt;&gt;"Serviço",0,IF(OR(AND(AUTOEVENTO="Manual",$M225=1),$M225&gt;(ROW(PLE.lastrow)-ROW(PLE.firstrow))),0,IF(OFFSET(PLE!$G$14,$M225,CB$13)="",10^12,OFFSET(PLE!$G$14,$M225,CB$13))))</f>
        <v>1000000000000</v>
      </c>
      <c r="CC225" s="182">
        <f ca="1">IF($D225&lt;&gt;"Serviço",0,IF(OR(AND(AUTOEVENTO="Manual",$M225=1),$M225&gt;(ROW(PLE.lastrow)-ROW(PLE.firstrow))),0,IF(OFFSET(PLE!$G$14,$M225,CC$13)="",10^12,OFFSET(PLE!$G$14,$M225,CC$13))))</f>
        <v>1000000000000</v>
      </c>
      <c r="CD225" s="182">
        <f ca="1">IF($D225&lt;&gt;"Serviço",0,IF(OR(AND(AUTOEVENTO="Manual",$M225=1),$M225&gt;(ROW(PLE.lastrow)-ROW(PLE.firstrow))),0,IF(OFFSET(PLE!$G$14,$M225,CD$13)="",10^12,OFFSET(PLE!$G$14,$M225,CD$13))))</f>
        <v>1000000000000</v>
      </c>
      <c r="CE225" s="182">
        <f ca="1">IF($D225&lt;&gt;"Serviço",0,IF(OR(AND(AUTOEVENTO="Manual",$M225=1),$M225&gt;(ROW(PLE.lastrow)-ROW(PLE.firstrow))),0,IF(OFFSET(PLE!$G$14,$M225,CE$13)="",10^12,OFFSET(PLE!$G$14,$M225,CE$13))))</f>
        <v>1000000000000</v>
      </c>
      <c r="CF225" s="182">
        <f ca="1">IF($D225&lt;&gt;"Serviço",0,IF(OR(AND(AUTOEVENTO="Manual",$M225=1),$M225&gt;(ROW(PLE.lastrow)-ROW(PLE.firstrow))),0,IF(OFFSET(PLE!$G$14,$M225,CF$13)="",10^12,OFFSET(PLE!$G$14,$M225,CF$13))))</f>
        <v>1000000000000</v>
      </c>
      <c r="CG225" s="182">
        <f ca="1">IF($D225&lt;&gt;"Serviço",0,IF(OR(AND(AUTOEVENTO="Manual",$M225=1),$M225&gt;(ROW(PLE.lastrow)-ROW(PLE.firstrow))),0,IF(OFFSET(PLE!$G$14,$M225,CG$13)="",10^12,OFFSET(PLE!$G$14,$M225,CG$13))))</f>
        <v>1000000000000</v>
      </c>
      <c r="CH225" s="182">
        <f ca="1">IF($D225&lt;&gt;"Serviço",0,IF(OR(AND(AUTOEVENTO="Manual",$M225=1),$M225&gt;(ROW(PLE.lastrow)-ROW(PLE.firstrow))),0,IF(OFFSET(PLE!$G$14,$M225,CH$13)="",10^12,OFFSET(PLE!$G$14,$M225,CH$13))))</f>
        <v>1000000000000</v>
      </c>
      <c r="CI225" s="182">
        <f ca="1">IF($D225&lt;&gt;"Serviço",0,IF(OR(AND(AUTOEVENTO="Manual",$M225=1),$M225&gt;(ROW(PLE.lastrow)-ROW(PLE.firstrow))),0,IF(OFFSET(PLE!$G$14,$M225,CI$13)="",10^12,OFFSET(PLE!$G$14,$M225,CI$13))))</f>
        <v>1000000000000</v>
      </c>
      <c r="CJ225" s="182">
        <f ca="1">IF($D225&lt;&gt;"Serviço",0,IF(OR(AND(AUTOEVENTO="Manual",$M225=1),$M225&gt;(ROW(PLE.lastrow)-ROW(PLE.firstrow))),0,IF(OFFSET(PLE!$G$14,$M225,CJ$13)="",10^12,OFFSET(PLE!$G$14,$M225,CJ$13))))</f>
        <v>1000000000000</v>
      </c>
      <c r="CK225" s="182">
        <f ca="1">IF($D225&lt;&gt;"Serviço",0,IF(OR(AND(AUTOEVENTO="Manual",$M225=1),$M225&gt;(ROW(PLE.lastrow)-ROW(PLE.firstrow))),0,IF(OFFSET(PLE!$G$14,$M225,CK$13)="",10^12,OFFSET(PLE!$G$14,$M225,CK$13))))</f>
        <v>1000000000000</v>
      </c>
      <c r="CL225" s="182">
        <f ca="1">IF($D225&lt;&gt;"Serviço",0,IF(OR(AND(AUTOEVENTO="Manual",$M225=1),$M225&gt;(ROW(PLE.lastrow)-ROW(PLE.firstrow))),0,IF(OFFSET(PLE!$G$14,$M225,CL$13)="",10^12,OFFSET(PLE!$G$14,$M225,CL$13))))</f>
        <v>1000000000000</v>
      </c>
      <c r="CM225" s="182">
        <f ca="1">IF($D225&lt;&gt;"Serviço",0,IF(OR(AND(AUTOEVENTO="Manual",$M225=1),$M225&gt;(ROW(PLE.lastrow)-ROW(PLE.firstrow))),0,IF(OFFSET(PLE!$G$14,$M225,CM$13)="",10^12,OFFSET(PLE!$G$14,$M225,CM$13))))</f>
        <v>1000000000000</v>
      </c>
    </row>
    <row r="226" spans="1:91" ht="25.5" x14ac:dyDescent="0.2">
      <c r="A226" s="7" t="str">
        <f t="shared" ca="1" si="12"/>
        <v>206</v>
      </c>
      <c r="B226" s="7" t="str">
        <f ca="1">OFFSET(ORÇAMENTO!C$15,ROW(B226)-ROW(B$15),0)</f>
        <v>S</v>
      </c>
      <c r="C226" s="7" t="str">
        <f ca="1">OFFSET(ORÇAMENTO!L$15,ROW(C226)-ROW(C$15),0)</f>
        <v/>
      </c>
      <c r="D226" s="118" t="str">
        <f ca="1">OFFSET(ORÇAMENTO!N$15,ROW(D226)-ROW(D$15),0)</f>
        <v>Serviço</v>
      </c>
      <c r="E226" s="119" t="str">
        <f ca="1">OFFSET(ORÇAMENTO!O$15,ROW(E226)-ROW(E$15),0)</f>
        <v>-</v>
      </c>
      <c r="F226" s="172" t="str">
        <f ca="1">OFFSET(ORÇAMENTO!R$15,ROW(F226)-ROW(F$15),0)</f>
        <v>(abra o arquivo 'Referência 06-2024.xlsm)</v>
      </c>
      <c r="G226" s="173" t="str">
        <f ca="1">IF($D226&lt;&gt;"Serviço","",OFFSET(ORÇAMENTO!S$15,ROW(G226)-ROW(G$15),0))</f>
        <v>-</v>
      </c>
      <c r="H226" s="124">
        <f ca="1">IF($D226&lt;&gt;"Serviço",0,IF(ACOMPANHAMENTO="BM",ROUND(OFFSET(ORÇAMENTO!AJ$15,ROW(H226)-ROW(H$15),0),15-13*ORÇAMENTO!$AF$7),SUMPRODUCT(($Q$12:$AI$12&lt;&gt;"")*ROUND($Q226:$AI226,15-13*ORÇAMENTO!$AF$7))))</f>
        <v>152.01</v>
      </c>
      <c r="I226" s="561" t="s">
        <v>1107</v>
      </c>
      <c r="K226" s="174"/>
      <c r="L226" s="175" t="s">
        <v>255</v>
      </c>
      <c r="M226" s="176">
        <f ca="1">IF($D226&lt;&gt;"Serviço","",IF(AUTOEVENTO="manual",$A226,IF(ISERROR(MATCH($A226,$A$15:OFFSET($A226,-1,0),0)),MAX($M$15:OFFSET(M226,-1,0))+1,INDEX($M$15:OFFSET(M226,-1,0),MATCH($A226,$A$15:OFFSET($A226,-1,0),0)))))</f>
        <v>30</v>
      </c>
      <c r="N226" s="177" t="str">
        <f ca="1">IF($D226&lt;&gt;"Serviço","",IF(AUTOEVENTO="Manual",IF($A226=0,"&lt;-- defina o número do agrupador",OFFSET(EVENTOS!$D$14,$A226,0)),OFFSET($F$15,$A226,0)))</f>
        <v>PINTURAS E ACABAMENTOS - PAREDES</v>
      </c>
      <c r="O226" s="178"/>
      <c r="Q226" s="178">
        <v>152.01</v>
      </c>
      <c r="R226" s="179"/>
      <c r="S226" s="179"/>
      <c r="T226" s="179"/>
      <c r="U226" s="179"/>
      <c r="V226" s="179"/>
      <c r="W226" s="179"/>
      <c r="X226" s="179"/>
      <c r="Y226" s="179"/>
      <c r="Z226" s="180"/>
      <c r="AA226" s="179"/>
      <c r="AB226" s="179"/>
      <c r="AC226" s="179"/>
      <c r="AD226" s="179"/>
      <c r="AE226" s="179"/>
      <c r="AF226" s="179"/>
      <c r="AG226" s="179"/>
      <c r="AH226" s="180"/>
      <c r="AJ226" s="544">
        <f ca="1">IF(AND($D226="Serviço",AJ$12&lt;&gt;0,$H226&gt;0,OR(AUTOEVENTO&lt;&gt;"manual",$M226&lt;&gt;1)),
IF(Import.TipoArredondamento&lt;&gt;"TransfereGOV",
ROUND(OFFSET($P226,0,AJ$13),15-13*ORÇAMENTO!$AF$7)/$H226*OFFSET(ORÇAMENTO!$X$15,ROW(AJ226)-ROW(AJ$15),0),
ROUND(ROUND(OFFSET($P226,0,AJ$13),15-13*ORÇAMENTO!$AF$7)*OFFSET(ORÇAMENTO!$W$15,ROW(AJ226)-ROW(AJ$15),0),15-13*ORÇAMENTO!$AF$11)),0)</f>
        <v>0</v>
      </c>
      <c r="AK226" s="545">
        <f ca="1">IF(AND($D226="Serviço",AK$12&lt;&gt;0,$H226&gt;0,OR(AUTOEVENTO&lt;&gt;"manual",$M226&lt;&gt;1)),
IF(Import.TipoArredondamento&lt;&gt;"TransfereGOV",
ROUND(OFFSET($P226,0,AK$13),15-13*ORÇAMENTO!$AF$7)/$H226*OFFSET(ORÇAMENTO!$X$15,ROW(AK226)-ROW(AK$15),0),
ROUND(ROUND(OFFSET($P226,0,AK$13),15-13*ORÇAMENTO!$AF$7)*OFFSET(ORÇAMENTO!$W$15,ROW(AK226)-ROW(AK$15),0),15-13*ORÇAMENTO!$AF$11)),0)</f>
        <v>0</v>
      </c>
      <c r="AL226" s="545">
        <f ca="1">IF(AND($D226="Serviço",AL$12&lt;&gt;0,$H226&gt;0,OR(AUTOEVENTO&lt;&gt;"manual",$M226&lt;&gt;1)),
IF(Import.TipoArredondamento&lt;&gt;"TransfereGOV",
ROUND(OFFSET($P226,0,AL$13),15-13*ORÇAMENTO!$AF$7)/$H226*OFFSET(ORÇAMENTO!$X$15,ROW(AL226)-ROW(AL$15),0),
ROUND(ROUND(OFFSET($P226,0,AL$13),15-13*ORÇAMENTO!$AF$7)*OFFSET(ORÇAMENTO!$W$15,ROW(AL226)-ROW(AL$15),0),15-13*ORÇAMENTO!$AF$11)),0)</f>
        <v>0</v>
      </c>
      <c r="AM226" s="545">
        <f ca="1">IF(AND($D226="Serviço",AM$12&lt;&gt;0,$H226&gt;0,OR(AUTOEVENTO&lt;&gt;"manual",$M226&lt;&gt;1)),
IF(Import.TipoArredondamento&lt;&gt;"TransfereGOV",
ROUND(OFFSET($P226,0,AM$13),15-13*ORÇAMENTO!$AF$7)/$H226*OFFSET(ORÇAMENTO!$X$15,ROW(AM226)-ROW(AM$15),0),
ROUND(ROUND(OFFSET($P226,0,AM$13),15-13*ORÇAMENTO!$AF$7)*OFFSET(ORÇAMENTO!$W$15,ROW(AM226)-ROW(AM$15),0),15-13*ORÇAMENTO!$AF$11)),0)</f>
        <v>0</v>
      </c>
      <c r="AN226" s="545">
        <f ca="1">IF(AND($D226="Serviço",AN$12&lt;&gt;0,$H226&gt;0,OR(AUTOEVENTO&lt;&gt;"manual",$M226&lt;&gt;1)),
IF(Import.TipoArredondamento&lt;&gt;"TransfereGOV",
ROUND(OFFSET($P226,0,AN$13),15-13*ORÇAMENTO!$AF$7)/$H226*OFFSET(ORÇAMENTO!$X$15,ROW(AN226)-ROW(AN$15),0),
ROUND(ROUND(OFFSET($P226,0,AN$13),15-13*ORÇAMENTO!$AF$7)*OFFSET(ORÇAMENTO!$W$15,ROW(AN226)-ROW(AN$15),0),15-13*ORÇAMENTO!$AF$11)),0)</f>
        <v>0</v>
      </c>
      <c r="AO226" s="545">
        <f ca="1">IF(AND($D226="Serviço",AO$12&lt;&gt;0,$H226&gt;0,OR(AUTOEVENTO&lt;&gt;"manual",$M226&lt;&gt;1)),
IF(Import.TipoArredondamento&lt;&gt;"TransfereGOV",
ROUND(OFFSET($P226,0,AO$13),15-13*ORÇAMENTO!$AF$7)/$H226*OFFSET(ORÇAMENTO!$X$15,ROW(AO226)-ROW(AO$15),0),
ROUND(ROUND(OFFSET($P226,0,AO$13),15-13*ORÇAMENTO!$AF$7)*OFFSET(ORÇAMENTO!$W$15,ROW(AO226)-ROW(AO$15),0),15-13*ORÇAMENTO!$AF$11)),0)</f>
        <v>0</v>
      </c>
      <c r="AP226" s="545">
        <f ca="1">IF(AND($D226="Serviço",AP$12&lt;&gt;0,$H226&gt;0,OR(AUTOEVENTO&lt;&gt;"manual",$M226&lt;&gt;1)),
IF(Import.TipoArredondamento&lt;&gt;"TransfereGOV",
ROUND(OFFSET($P226,0,AP$13),15-13*ORÇAMENTO!$AF$7)/$H226*OFFSET(ORÇAMENTO!$X$15,ROW(AP226)-ROW(AP$15),0),
ROUND(ROUND(OFFSET($P226,0,AP$13),15-13*ORÇAMENTO!$AF$7)*OFFSET(ORÇAMENTO!$W$15,ROW(AP226)-ROW(AP$15),0),15-13*ORÇAMENTO!$AF$11)),0)</f>
        <v>0</v>
      </c>
      <c r="AQ226" s="545">
        <f ca="1">IF(AND($D226="Serviço",AQ$12&lt;&gt;0,$H226&gt;0,OR(AUTOEVENTO&lt;&gt;"manual",$M226&lt;&gt;1)),
IF(Import.TipoArredondamento&lt;&gt;"TransfereGOV",
ROUND(OFFSET($P226,0,AQ$13),15-13*ORÇAMENTO!$AF$7)/$H226*OFFSET(ORÇAMENTO!$X$15,ROW(AQ226)-ROW(AQ$15),0),
ROUND(ROUND(OFFSET($P226,0,AQ$13),15-13*ORÇAMENTO!$AF$7)*OFFSET(ORÇAMENTO!$W$15,ROW(AQ226)-ROW(AQ$15),0),15-13*ORÇAMENTO!$AF$11)),0)</f>
        <v>0</v>
      </c>
      <c r="AR226" s="545">
        <f ca="1">IF(AND($D226="Serviço",AR$12&lt;&gt;0,$H226&gt;0,OR(AUTOEVENTO&lt;&gt;"manual",$M226&lt;&gt;1)),
IF(Import.TipoArredondamento&lt;&gt;"TransfereGOV",
ROUND(OFFSET($P226,0,AR$13),15-13*ORÇAMENTO!$AF$7)/$H226*OFFSET(ORÇAMENTO!$X$15,ROW(AR226)-ROW(AR$15),0),
ROUND(ROUND(OFFSET($P226,0,AR$13),15-13*ORÇAMENTO!$AF$7)*OFFSET(ORÇAMENTO!$W$15,ROW(AR226)-ROW(AR$15),0),15-13*ORÇAMENTO!$AF$11)),0)</f>
        <v>0</v>
      </c>
      <c r="AS226" s="546">
        <f ca="1">IF(AND($D226="Serviço",AS$12&lt;&gt;0,$H226&gt;0,OR(AUTOEVENTO&lt;&gt;"manual",$M226&lt;&gt;1)),
IF(Import.TipoArredondamento&lt;&gt;"TransfereGOV",
ROUND(OFFSET($P226,0,AS$13),15-13*ORÇAMENTO!$AF$7)/$H226*OFFSET(ORÇAMENTO!$X$15,ROW(AS226)-ROW(AS$15),0),
ROUND(ROUND(OFFSET($P226,0,AS$13),15-13*ORÇAMENTO!$AF$7)*OFFSET(ORÇAMENTO!$W$15,ROW(AS226)-ROW(AS$15),0),15-13*ORÇAMENTO!$AF$11)),0)</f>
        <v>0</v>
      </c>
      <c r="AT226" s="545">
        <f ca="1">IF(AND($D226="Serviço",AT$12&lt;&gt;0,$H226&gt;0,OR(AUTOEVENTO&lt;&gt;"manual",$M226&lt;&gt;1)),
IF(Import.TipoArredondamento&lt;&gt;"TransfereGOV",
ROUND(OFFSET($P226,0,AT$13),15-13*ORÇAMENTO!$AF$7)/$H226*OFFSET(ORÇAMENTO!$X$15,ROW(AT226)-ROW(AT$15),0),
ROUND(ROUND(OFFSET($P226,0,AT$13),15-13*ORÇAMENTO!$AF$7)*OFFSET(ORÇAMENTO!$W$15,ROW(AT226)-ROW(AT$15),0),15-13*ORÇAMENTO!$AF$11)),0)</f>
        <v>0</v>
      </c>
      <c r="AU226" s="545">
        <f ca="1">IF(AND($D226="Serviço",AU$12&lt;&gt;0,$H226&gt;0,OR(AUTOEVENTO&lt;&gt;"manual",$M226&lt;&gt;1)),
IF(Import.TipoArredondamento&lt;&gt;"TransfereGOV",
ROUND(OFFSET($P226,0,AU$13),15-13*ORÇAMENTO!$AF$7)/$H226*OFFSET(ORÇAMENTO!$X$15,ROW(AU226)-ROW(AU$15),0),
ROUND(ROUND(OFFSET($P226,0,AU$13),15-13*ORÇAMENTO!$AF$7)*OFFSET(ORÇAMENTO!$W$15,ROW(AU226)-ROW(AU$15),0),15-13*ORÇAMENTO!$AF$11)),0)</f>
        <v>0</v>
      </c>
      <c r="AV226" s="545">
        <f ca="1">IF(AND($D226="Serviço",AV$12&lt;&gt;0,$H226&gt;0,OR(AUTOEVENTO&lt;&gt;"manual",$M226&lt;&gt;1)),
IF(Import.TipoArredondamento&lt;&gt;"TransfereGOV",
ROUND(OFFSET($P226,0,AV$13),15-13*ORÇAMENTO!$AF$7)/$H226*OFFSET(ORÇAMENTO!$X$15,ROW(AV226)-ROW(AV$15),0),
ROUND(ROUND(OFFSET($P226,0,AV$13),15-13*ORÇAMENTO!$AF$7)*OFFSET(ORÇAMENTO!$W$15,ROW(AV226)-ROW(AV$15),0),15-13*ORÇAMENTO!$AF$11)),0)</f>
        <v>0</v>
      </c>
      <c r="AW226" s="545">
        <f ca="1">IF(AND($D226="Serviço",AW$12&lt;&gt;0,$H226&gt;0,OR(AUTOEVENTO&lt;&gt;"manual",$M226&lt;&gt;1)),
IF(Import.TipoArredondamento&lt;&gt;"TransfereGOV",
ROUND(OFFSET($P226,0,AW$13),15-13*ORÇAMENTO!$AF$7)/$H226*OFFSET(ORÇAMENTO!$X$15,ROW(AW226)-ROW(AW$15),0),
ROUND(ROUND(OFFSET($P226,0,AW$13),15-13*ORÇAMENTO!$AF$7)*OFFSET(ORÇAMENTO!$W$15,ROW(AW226)-ROW(AW$15),0),15-13*ORÇAMENTO!$AF$11)),0)</f>
        <v>0</v>
      </c>
      <c r="AX226" s="545">
        <f ca="1">IF(AND($D226="Serviço",AX$12&lt;&gt;0,$H226&gt;0,OR(AUTOEVENTO&lt;&gt;"manual",$M226&lt;&gt;1)),
IF(Import.TipoArredondamento&lt;&gt;"TransfereGOV",
ROUND(OFFSET($P226,0,AX$13),15-13*ORÇAMENTO!$AF$7)/$H226*OFFSET(ORÇAMENTO!$X$15,ROW(AX226)-ROW(AX$15),0),
ROUND(ROUND(OFFSET($P226,0,AX$13),15-13*ORÇAMENTO!$AF$7)*OFFSET(ORÇAMENTO!$W$15,ROW(AX226)-ROW(AX$15),0),15-13*ORÇAMENTO!$AF$11)),0)</f>
        <v>0</v>
      </c>
      <c r="AY226" s="545">
        <f ca="1">IF(AND($D226="Serviço",AY$12&lt;&gt;0,$H226&gt;0,OR(AUTOEVENTO&lt;&gt;"manual",$M226&lt;&gt;1)),
IF(Import.TipoArredondamento&lt;&gt;"TransfereGOV",
ROUND(OFFSET($P226,0,AY$13),15-13*ORÇAMENTO!$AF$7)/$H226*OFFSET(ORÇAMENTO!$X$15,ROW(AY226)-ROW(AY$15),0),
ROUND(ROUND(OFFSET($P226,0,AY$13),15-13*ORÇAMENTO!$AF$7)*OFFSET(ORÇAMENTO!$W$15,ROW(AY226)-ROW(AY$15),0),15-13*ORÇAMENTO!$AF$11)),0)</f>
        <v>0</v>
      </c>
      <c r="AZ226" s="545">
        <f ca="1">IF(AND($D226="Serviço",AZ$12&lt;&gt;0,$H226&gt;0,OR(AUTOEVENTO&lt;&gt;"manual",$M226&lt;&gt;1)),
IF(Import.TipoArredondamento&lt;&gt;"TransfereGOV",
ROUND(OFFSET($P226,0,AZ$13),15-13*ORÇAMENTO!$AF$7)/$H226*OFFSET(ORÇAMENTO!$X$15,ROW(AZ226)-ROW(AZ$15),0),
ROUND(ROUND(OFFSET($P226,0,AZ$13),15-13*ORÇAMENTO!$AF$7)*OFFSET(ORÇAMENTO!$W$15,ROW(AZ226)-ROW(AZ$15),0),15-13*ORÇAMENTO!$AF$11)),0)</f>
        <v>0</v>
      </c>
      <c r="BA226" s="546">
        <f ca="1">IF(AND($D226="Serviço",BA$12&lt;&gt;0,$H226&gt;0,OR(AUTOEVENTO&lt;&gt;"manual",$M226&lt;&gt;1)),
IF(Import.TipoArredondamento&lt;&gt;"TransfereGOV",
ROUND(OFFSET($P226,0,BA$13),15-13*ORÇAMENTO!$AF$7)/$H226*OFFSET(ORÇAMENTO!$X$15,ROW(BA226)-ROW(BA$15),0),
ROUND(ROUND(OFFSET($P226,0,BA$13),15-13*ORÇAMENTO!$AF$7)*OFFSET(ORÇAMENTO!$W$15,ROW(BA226)-ROW(BA$15),0),15-13*ORÇAMENTO!$AF$11)),0)</f>
        <v>0</v>
      </c>
      <c r="BC226" s="181">
        <f ca="1">IF($D226&lt;&gt;"Serviço",0,IF(AND(AUTOEVENTO="Manual",$M226=1),0,IF(OFFSET(CRONOPLE!$F$14,$M226,BC$13)="",10^12,OFFSET(CRONOPLE!$F$14,$M226,BC$13))))</f>
        <v>9</v>
      </c>
      <c r="BD226" s="181">
        <f ca="1">IF($D226&lt;&gt;"Serviço",0,IF(AND(AUTOEVENTO="Manual",$M226=1),0,IF(OFFSET(CRONOPLE!$F$14,$M226,BD$13)="",10^12,OFFSET(CRONOPLE!$F$14,$M226,BD$13))))</f>
        <v>1000000000000</v>
      </c>
      <c r="BE226" s="181">
        <f ca="1">IF($D226&lt;&gt;"Serviço",0,IF(AND(AUTOEVENTO="Manual",$M226=1),0,IF(OFFSET(CRONOPLE!$F$14,$M226,BE$13)="",10^12,OFFSET(CRONOPLE!$F$14,$M226,BE$13))))</f>
        <v>1000000000000</v>
      </c>
      <c r="BF226" s="181">
        <f ca="1">IF($D226&lt;&gt;"Serviço",0,IF(AND(AUTOEVENTO="Manual",$M226=1),0,IF(OFFSET(CRONOPLE!$F$14,$M226,BF$13)="",10^12,OFFSET(CRONOPLE!$F$14,$M226,BF$13))))</f>
        <v>1000000000000</v>
      </c>
      <c r="BG226" s="181">
        <f ca="1">IF($D226&lt;&gt;"Serviço",0,IF(AND(AUTOEVENTO="Manual",$M226=1),0,IF(OFFSET(CRONOPLE!$F$14,$M226,BG$13)="",10^12,OFFSET(CRONOPLE!$F$14,$M226,BG$13))))</f>
        <v>1000000000000</v>
      </c>
      <c r="BH226" s="181">
        <f ca="1">IF($D226&lt;&gt;"Serviço",0,IF(AND(AUTOEVENTO="Manual",$M226=1),0,IF(OFFSET(CRONOPLE!$F$14,$M226,BH$13)="",10^12,OFFSET(CRONOPLE!$F$14,$M226,BH$13))))</f>
        <v>1000000000000</v>
      </c>
      <c r="BI226" s="181">
        <f ca="1">IF($D226&lt;&gt;"Serviço",0,IF(AND(AUTOEVENTO="Manual",$M226=1),0,IF(OFFSET(CRONOPLE!$F$14,$M226,BI$13)="",10^12,OFFSET(CRONOPLE!$F$14,$M226,BI$13))))</f>
        <v>1000000000000</v>
      </c>
      <c r="BJ226" s="181">
        <f ca="1">IF($D226&lt;&gt;"Serviço",0,IF(AND(AUTOEVENTO="Manual",$M226=1),0,IF(OFFSET(CRONOPLE!$F$14,$M226,BJ$13)="",10^12,OFFSET(CRONOPLE!$F$14,$M226,BJ$13))))</f>
        <v>1000000000000</v>
      </c>
      <c r="BK226" s="181">
        <f ca="1">IF($D226&lt;&gt;"Serviço",0,IF(AND(AUTOEVENTO="Manual",$M226=1),0,IF(OFFSET(CRONOPLE!$F$14,$M226,BK$13)="",10^12,OFFSET(CRONOPLE!$F$14,$M226,BK$13))))</f>
        <v>1000000000000</v>
      </c>
      <c r="BL226" s="181">
        <f ca="1">IF($D226&lt;&gt;"Serviço",0,IF(AND(AUTOEVENTO="Manual",$M226=1),0,IF(OFFSET(CRONOPLE!$F$14,$M226,BL$13)="",10^12,OFFSET(CRONOPLE!$F$14,$M226,BL$13))))</f>
        <v>1000000000000</v>
      </c>
      <c r="BM226" s="181">
        <f ca="1">IF($D226&lt;&gt;"Serviço",0,IF(AND(AUTOEVENTO="Manual",$M226=1),0,IF(OFFSET(CRONOPLE!$F$14,$M226,BM$13)="",10^12,OFFSET(CRONOPLE!$F$14,$M226,BM$13))))</f>
        <v>1000000000000</v>
      </c>
      <c r="BN226" s="181">
        <f ca="1">IF($D226&lt;&gt;"Serviço",0,IF(AND(AUTOEVENTO="Manual",$M226=1),0,IF(OFFSET(CRONOPLE!$F$14,$M226,BN$13)="",10^12,OFFSET(CRONOPLE!$F$14,$M226,BN$13))))</f>
        <v>1000000000000</v>
      </c>
      <c r="BO226" s="181">
        <f ca="1">IF($D226&lt;&gt;"Serviço",0,IF(AND(AUTOEVENTO="Manual",$M226=1),0,IF(OFFSET(CRONOPLE!$F$14,$M226,BO$13)="",10^12,OFFSET(CRONOPLE!$F$14,$M226,BO$13))))</f>
        <v>1000000000000</v>
      </c>
      <c r="BP226" s="181">
        <f ca="1">IF($D226&lt;&gt;"Serviço",0,IF(AND(AUTOEVENTO="Manual",$M226=1),0,IF(OFFSET(CRONOPLE!$F$14,$M226,BP$13)="",10^12,OFFSET(CRONOPLE!$F$14,$M226,BP$13))))</f>
        <v>1000000000000</v>
      </c>
      <c r="BQ226" s="181">
        <f ca="1">IF($D226&lt;&gt;"Serviço",0,IF(AND(AUTOEVENTO="Manual",$M226=1),0,IF(OFFSET(CRONOPLE!$F$14,$M226,BQ$13)="",10^12,OFFSET(CRONOPLE!$F$14,$M226,BQ$13))))</f>
        <v>1000000000000</v>
      </c>
      <c r="BR226" s="181">
        <f ca="1">IF($D226&lt;&gt;"Serviço",0,IF(AND(AUTOEVENTO="Manual",$M226=1),0,IF(OFFSET(CRONOPLE!$F$14,$M226,BR$13)="",10^12,OFFSET(CRONOPLE!$F$14,$M226,BR$13))))</f>
        <v>1000000000000</v>
      </c>
      <c r="BS226" s="181">
        <f ca="1">IF($D226&lt;&gt;"Serviço",0,IF(AND(AUTOEVENTO="Manual",$M226=1),0,IF(OFFSET(CRONOPLE!$F$14,$M226,BS$13)="",10^12,OFFSET(CRONOPLE!$F$14,$M226,BS$13))))</f>
        <v>1000000000000</v>
      </c>
      <c r="BT226" s="181">
        <f ca="1">IF($D226&lt;&gt;"Serviço",0,IF(AND(AUTOEVENTO="Manual",$M226=1),0,IF(OFFSET(CRONOPLE!$F$14,$M226,BT$13)="",10^12,OFFSET(CRONOPLE!$F$14,$M226,BT$13))))</f>
        <v>1000000000000</v>
      </c>
      <c r="BV226" s="182">
        <f ca="1">IF($D226&lt;&gt;"Serviço",0,IF(OR(AND(AUTOEVENTO="Manual",$M226=1),$M226&gt;(ROW(PLE.lastrow)-ROW(PLE.firstrow))),0,IF(OFFSET(PLE!$G$14,$M226,BV$13)="",10^12,OFFSET(PLE!$G$14,$M226,BV$13))))</f>
        <v>1000000000000</v>
      </c>
      <c r="BW226" s="182">
        <f ca="1">IF($D226&lt;&gt;"Serviço",0,IF(OR(AND(AUTOEVENTO="Manual",$M226=1),$M226&gt;(ROW(PLE.lastrow)-ROW(PLE.firstrow))),0,IF(OFFSET(PLE!$G$14,$M226,BW$13)="",10^12,OFFSET(PLE!$G$14,$M226,BW$13))))</f>
        <v>1000000000000</v>
      </c>
      <c r="BX226" s="182">
        <f ca="1">IF($D226&lt;&gt;"Serviço",0,IF(OR(AND(AUTOEVENTO="Manual",$M226=1),$M226&gt;(ROW(PLE.lastrow)-ROW(PLE.firstrow))),0,IF(OFFSET(PLE!$G$14,$M226,BX$13)="",10^12,OFFSET(PLE!$G$14,$M226,BX$13))))</f>
        <v>1000000000000</v>
      </c>
      <c r="BY226" s="182">
        <f ca="1">IF($D226&lt;&gt;"Serviço",0,IF(OR(AND(AUTOEVENTO="Manual",$M226=1),$M226&gt;(ROW(PLE.lastrow)-ROW(PLE.firstrow))),0,IF(OFFSET(PLE!$G$14,$M226,BY$13)="",10^12,OFFSET(PLE!$G$14,$M226,BY$13))))</f>
        <v>1000000000000</v>
      </c>
      <c r="BZ226" s="182">
        <f ca="1">IF($D226&lt;&gt;"Serviço",0,IF(OR(AND(AUTOEVENTO="Manual",$M226=1),$M226&gt;(ROW(PLE.lastrow)-ROW(PLE.firstrow))),0,IF(OFFSET(PLE!$G$14,$M226,BZ$13)="",10^12,OFFSET(PLE!$G$14,$M226,BZ$13))))</f>
        <v>1000000000000</v>
      </c>
      <c r="CA226" s="182">
        <f ca="1">IF($D226&lt;&gt;"Serviço",0,IF(OR(AND(AUTOEVENTO="Manual",$M226=1),$M226&gt;(ROW(PLE.lastrow)-ROW(PLE.firstrow))),0,IF(OFFSET(PLE!$G$14,$M226,CA$13)="",10^12,OFFSET(PLE!$G$14,$M226,CA$13))))</f>
        <v>1000000000000</v>
      </c>
      <c r="CB226" s="182">
        <f ca="1">IF($D226&lt;&gt;"Serviço",0,IF(OR(AND(AUTOEVENTO="Manual",$M226=1),$M226&gt;(ROW(PLE.lastrow)-ROW(PLE.firstrow))),0,IF(OFFSET(PLE!$G$14,$M226,CB$13)="",10^12,OFFSET(PLE!$G$14,$M226,CB$13))))</f>
        <v>1000000000000</v>
      </c>
      <c r="CC226" s="182">
        <f ca="1">IF($D226&lt;&gt;"Serviço",0,IF(OR(AND(AUTOEVENTO="Manual",$M226=1),$M226&gt;(ROW(PLE.lastrow)-ROW(PLE.firstrow))),0,IF(OFFSET(PLE!$G$14,$M226,CC$13)="",10^12,OFFSET(PLE!$G$14,$M226,CC$13))))</f>
        <v>1000000000000</v>
      </c>
      <c r="CD226" s="182">
        <f ca="1">IF($D226&lt;&gt;"Serviço",0,IF(OR(AND(AUTOEVENTO="Manual",$M226=1),$M226&gt;(ROW(PLE.lastrow)-ROW(PLE.firstrow))),0,IF(OFFSET(PLE!$G$14,$M226,CD$13)="",10^12,OFFSET(PLE!$G$14,$M226,CD$13))))</f>
        <v>1000000000000</v>
      </c>
      <c r="CE226" s="182">
        <f ca="1">IF($D226&lt;&gt;"Serviço",0,IF(OR(AND(AUTOEVENTO="Manual",$M226=1),$M226&gt;(ROW(PLE.lastrow)-ROW(PLE.firstrow))),0,IF(OFFSET(PLE!$G$14,$M226,CE$13)="",10^12,OFFSET(PLE!$G$14,$M226,CE$13))))</f>
        <v>1000000000000</v>
      </c>
      <c r="CF226" s="182">
        <f ca="1">IF($D226&lt;&gt;"Serviço",0,IF(OR(AND(AUTOEVENTO="Manual",$M226=1),$M226&gt;(ROW(PLE.lastrow)-ROW(PLE.firstrow))),0,IF(OFFSET(PLE!$G$14,$M226,CF$13)="",10^12,OFFSET(PLE!$G$14,$M226,CF$13))))</f>
        <v>1000000000000</v>
      </c>
      <c r="CG226" s="182">
        <f ca="1">IF($D226&lt;&gt;"Serviço",0,IF(OR(AND(AUTOEVENTO="Manual",$M226=1),$M226&gt;(ROW(PLE.lastrow)-ROW(PLE.firstrow))),0,IF(OFFSET(PLE!$G$14,$M226,CG$13)="",10^12,OFFSET(PLE!$G$14,$M226,CG$13))))</f>
        <v>1000000000000</v>
      </c>
      <c r="CH226" s="182">
        <f ca="1">IF($D226&lt;&gt;"Serviço",0,IF(OR(AND(AUTOEVENTO="Manual",$M226=1),$M226&gt;(ROW(PLE.lastrow)-ROW(PLE.firstrow))),0,IF(OFFSET(PLE!$G$14,$M226,CH$13)="",10^12,OFFSET(PLE!$G$14,$M226,CH$13))))</f>
        <v>1000000000000</v>
      </c>
      <c r="CI226" s="182">
        <f ca="1">IF($D226&lt;&gt;"Serviço",0,IF(OR(AND(AUTOEVENTO="Manual",$M226=1),$M226&gt;(ROW(PLE.lastrow)-ROW(PLE.firstrow))),0,IF(OFFSET(PLE!$G$14,$M226,CI$13)="",10^12,OFFSET(PLE!$G$14,$M226,CI$13))))</f>
        <v>1000000000000</v>
      </c>
      <c r="CJ226" s="182">
        <f ca="1">IF($D226&lt;&gt;"Serviço",0,IF(OR(AND(AUTOEVENTO="Manual",$M226=1),$M226&gt;(ROW(PLE.lastrow)-ROW(PLE.firstrow))),0,IF(OFFSET(PLE!$G$14,$M226,CJ$13)="",10^12,OFFSET(PLE!$G$14,$M226,CJ$13))))</f>
        <v>1000000000000</v>
      </c>
      <c r="CK226" s="182">
        <f ca="1">IF($D226&lt;&gt;"Serviço",0,IF(OR(AND(AUTOEVENTO="Manual",$M226=1),$M226&gt;(ROW(PLE.lastrow)-ROW(PLE.firstrow))),0,IF(OFFSET(PLE!$G$14,$M226,CK$13)="",10^12,OFFSET(PLE!$G$14,$M226,CK$13))))</f>
        <v>1000000000000</v>
      </c>
      <c r="CL226" s="182">
        <f ca="1">IF($D226&lt;&gt;"Serviço",0,IF(OR(AND(AUTOEVENTO="Manual",$M226=1),$M226&gt;(ROW(PLE.lastrow)-ROW(PLE.firstrow))),0,IF(OFFSET(PLE!$G$14,$M226,CL$13)="",10^12,OFFSET(PLE!$G$14,$M226,CL$13))))</f>
        <v>1000000000000</v>
      </c>
      <c r="CM226" s="182">
        <f ca="1">IF($D226&lt;&gt;"Serviço",0,IF(OR(AND(AUTOEVENTO="Manual",$M226=1),$M226&gt;(ROW(PLE.lastrow)-ROW(PLE.firstrow))),0,IF(OFFSET(PLE!$G$14,$M226,CM$13)="",10^12,OFFSET(PLE!$G$14,$M226,CM$13))))</f>
        <v>1000000000000</v>
      </c>
    </row>
    <row r="227" spans="1:91" ht="25.5" x14ac:dyDescent="0.2">
      <c r="A227" s="7" t="str">
        <f t="shared" ca="1" si="12"/>
        <v>206</v>
      </c>
      <c r="B227" s="7" t="str">
        <f ca="1">OFFSET(ORÇAMENTO!C$15,ROW(B227)-ROW(B$15),0)</f>
        <v>S</v>
      </c>
      <c r="C227" s="7" t="str">
        <f ca="1">OFFSET(ORÇAMENTO!L$15,ROW(C227)-ROW(C$15),0)</f>
        <v/>
      </c>
      <c r="D227" s="118" t="str">
        <f ca="1">OFFSET(ORÇAMENTO!N$15,ROW(D227)-ROW(D$15),0)</f>
        <v>Serviço</v>
      </c>
      <c r="E227" s="119" t="str">
        <f ca="1">OFFSET(ORÇAMENTO!O$15,ROW(E227)-ROW(E$15),0)</f>
        <v>-</v>
      </c>
      <c r="F227" s="172" t="str">
        <f ca="1">OFFSET(ORÇAMENTO!R$15,ROW(F227)-ROW(F$15),0)</f>
        <v>(abra o arquivo 'Referência 06-2024.xlsm)</v>
      </c>
      <c r="G227" s="173" t="str">
        <f ca="1">IF($D227&lt;&gt;"Serviço","",OFFSET(ORÇAMENTO!S$15,ROW(G227)-ROW(G$15),0))</f>
        <v>-</v>
      </c>
      <c r="H227" s="124">
        <f ca="1">IF($D227&lt;&gt;"Serviço",0,IF(ACOMPANHAMENTO="BM",ROUND(OFFSET(ORÇAMENTO!AJ$15,ROW(H227)-ROW(H$15),0),15-13*ORÇAMENTO!$AF$7),SUMPRODUCT(($Q$12:$AI$12&lt;&gt;"")*ROUND($Q227:$AI227,15-13*ORÇAMENTO!$AF$7))))</f>
        <v>90.54</v>
      </c>
      <c r="I227" s="561" t="s">
        <v>1107</v>
      </c>
      <c r="K227" s="174"/>
      <c r="L227" s="175" t="s">
        <v>255</v>
      </c>
      <c r="M227" s="176">
        <f ca="1">IF($D227&lt;&gt;"Serviço","",IF(AUTOEVENTO="manual",$A227,IF(ISERROR(MATCH($A227,$A$15:OFFSET($A227,-1,0),0)),MAX($M$15:OFFSET(M227,-1,0))+1,INDEX($M$15:OFFSET(M227,-1,0),MATCH($A227,$A$15:OFFSET($A227,-1,0),0)))))</f>
        <v>30</v>
      </c>
      <c r="N227" s="177" t="str">
        <f ca="1">IF($D227&lt;&gt;"Serviço","",IF(AUTOEVENTO="Manual",IF($A227=0,"&lt;-- defina o número do agrupador",OFFSET(EVENTOS!$D$14,$A227,0)),OFFSET($F$15,$A227,0)))</f>
        <v>PINTURAS E ACABAMENTOS - PAREDES</v>
      </c>
      <c r="O227" s="178"/>
      <c r="Q227" s="178">
        <v>90.54</v>
      </c>
      <c r="R227" s="179"/>
      <c r="S227" s="179"/>
      <c r="T227" s="179"/>
      <c r="U227" s="179"/>
      <c r="V227" s="179"/>
      <c r="W227" s="179"/>
      <c r="X227" s="179"/>
      <c r="Y227" s="179"/>
      <c r="Z227" s="180"/>
      <c r="AA227" s="179"/>
      <c r="AB227" s="179"/>
      <c r="AC227" s="179"/>
      <c r="AD227" s="179"/>
      <c r="AE227" s="179"/>
      <c r="AF227" s="179"/>
      <c r="AG227" s="179"/>
      <c r="AH227" s="180"/>
      <c r="AJ227" s="544">
        <f ca="1">IF(AND($D227="Serviço",AJ$12&lt;&gt;0,$H227&gt;0,OR(AUTOEVENTO&lt;&gt;"manual",$M227&lt;&gt;1)),
IF(Import.TipoArredondamento&lt;&gt;"TransfereGOV",
ROUND(OFFSET($P227,0,AJ$13),15-13*ORÇAMENTO!$AF$7)/$H227*OFFSET(ORÇAMENTO!$X$15,ROW(AJ227)-ROW(AJ$15),0),
ROUND(ROUND(OFFSET($P227,0,AJ$13),15-13*ORÇAMENTO!$AF$7)*OFFSET(ORÇAMENTO!$W$15,ROW(AJ227)-ROW(AJ$15),0),15-13*ORÇAMENTO!$AF$11)),0)</f>
        <v>0</v>
      </c>
      <c r="AK227" s="545">
        <f ca="1">IF(AND($D227="Serviço",AK$12&lt;&gt;0,$H227&gt;0,OR(AUTOEVENTO&lt;&gt;"manual",$M227&lt;&gt;1)),
IF(Import.TipoArredondamento&lt;&gt;"TransfereGOV",
ROUND(OFFSET($P227,0,AK$13),15-13*ORÇAMENTO!$AF$7)/$H227*OFFSET(ORÇAMENTO!$X$15,ROW(AK227)-ROW(AK$15),0),
ROUND(ROUND(OFFSET($P227,0,AK$13),15-13*ORÇAMENTO!$AF$7)*OFFSET(ORÇAMENTO!$W$15,ROW(AK227)-ROW(AK$15),0),15-13*ORÇAMENTO!$AF$11)),0)</f>
        <v>0</v>
      </c>
      <c r="AL227" s="545">
        <f ca="1">IF(AND($D227="Serviço",AL$12&lt;&gt;0,$H227&gt;0,OR(AUTOEVENTO&lt;&gt;"manual",$M227&lt;&gt;1)),
IF(Import.TipoArredondamento&lt;&gt;"TransfereGOV",
ROUND(OFFSET($P227,0,AL$13),15-13*ORÇAMENTO!$AF$7)/$H227*OFFSET(ORÇAMENTO!$X$15,ROW(AL227)-ROW(AL$15),0),
ROUND(ROUND(OFFSET($P227,0,AL$13),15-13*ORÇAMENTO!$AF$7)*OFFSET(ORÇAMENTO!$W$15,ROW(AL227)-ROW(AL$15),0),15-13*ORÇAMENTO!$AF$11)),0)</f>
        <v>0</v>
      </c>
      <c r="AM227" s="545">
        <f ca="1">IF(AND($D227="Serviço",AM$12&lt;&gt;0,$H227&gt;0,OR(AUTOEVENTO&lt;&gt;"manual",$M227&lt;&gt;1)),
IF(Import.TipoArredondamento&lt;&gt;"TransfereGOV",
ROUND(OFFSET($P227,0,AM$13),15-13*ORÇAMENTO!$AF$7)/$H227*OFFSET(ORÇAMENTO!$X$15,ROW(AM227)-ROW(AM$15),0),
ROUND(ROUND(OFFSET($P227,0,AM$13),15-13*ORÇAMENTO!$AF$7)*OFFSET(ORÇAMENTO!$W$15,ROW(AM227)-ROW(AM$15),0),15-13*ORÇAMENTO!$AF$11)),0)</f>
        <v>0</v>
      </c>
      <c r="AN227" s="545">
        <f ca="1">IF(AND($D227="Serviço",AN$12&lt;&gt;0,$H227&gt;0,OR(AUTOEVENTO&lt;&gt;"manual",$M227&lt;&gt;1)),
IF(Import.TipoArredondamento&lt;&gt;"TransfereGOV",
ROUND(OFFSET($P227,0,AN$13),15-13*ORÇAMENTO!$AF$7)/$H227*OFFSET(ORÇAMENTO!$X$15,ROW(AN227)-ROW(AN$15),0),
ROUND(ROUND(OFFSET($P227,0,AN$13),15-13*ORÇAMENTO!$AF$7)*OFFSET(ORÇAMENTO!$W$15,ROW(AN227)-ROW(AN$15),0),15-13*ORÇAMENTO!$AF$11)),0)</f>
        <v>0</v>
      </c>
      <c r="AO227" s="545">
        <f ca="1">IF(AND($D227="Serviço",AO$12&lt;&gt;0,$H227&gt;0,OR(AUTOEVENTO&lt;&gt;"manual",$M227&lt;&gt;1)),
IF(Import.TipoArredondamento&lt;&gt;"TransfereGOV",
ROUND(OFFSET($P227,0,AO$13),15-13*ORÇAMENTO!$AF$7)/$H227*OFFSET(ORÇAMENTO!$X$15,ROW(AO227)-ROW(AO$15),0),
ROUND(ROUND(OFFSET($P227,0,AO$13),15-13*ORÇAMENTO!$AF$7)*OFFSET(ORÇAMENTO!$W$15,ROW(AO227)-ROW(AO$15),0),15-13*ORÇAMENTO!$AF$11)),0)</f>
        <v>0</v>
      </c>
      <c r="AP227" s="545">
        <f ca="1">IF(AND($D227="Serviço",AP$12&lt;&gt;0,$H227&gt;0,OR(AUTOEVENTO&lt;&gt;"manual",$M227&lt;&gt;1)),
IF(Import.TipoArredondamento&lt;&gt;"TransfereGOV",
ROUND(OFFSET($P227,0,AP$13),15-13*ORÇAMENTO!$AF$7)/$H227*OFFSET(ORÇAMENTO!$X$15,ROW(AP227)-ROW(AP$15),0),
ROUND(ROUND(OFFSET($P227,0,AP$13),15-13*ORÇAMENTO!$AF$7)*OFFSET(ORÇAMENTO!$W$15,ROW(AP227)-ROW(AP$15),0),15-13*ORÇAMENTO!$AF$11)),0)</f>
        <v>0</v>
      </c>
      <c r="AQ227" s="545">
        <f ca="1">IF(AND($D227="Serviço",AQ$12&lt;&gt;0,$H227&gt;0,OR(AUTOEVENTO&lt;&gt;"manual",$M227&lt;&gt;1)),
IF(Import.TipoArredondamento&lt;&gt;"TransfereGOV",
ROUND(OFFSET($P227,0,AQ$13),15-13*ORÇAMENTO!$AF$7)/$H227*OFFSET(ORÇAMENTO!$X$15,ROW(AQ227)-ROW(AQ$15),0),
ROUND(ROUND(OFFSET($P227,0,AQ$13),15-13*ORÇAMENTO!$AF$7)*OFFSET(ORÇAMENTO!$W$15,ROW(AQ227)-ROW(AQ$15),0),15-13*ORÇAMENTO!$AF$11)),0)</f>
        <v>0</v>
      </c>
      <c r="AR227" s="545">
        <f ca="1">IF(AND($D227="Serviço",AR$12&lt;&gt;0,$H227&gt;0,OR(AUTOEVENTO&lt;&gt;"manual",$M227&lt;&gt;1)),
IF(Import.TipoArredondamento&lt;&gt;"TransfereGOV",
ROUND(OFFSET($P227,0,AR$13),15-13*ORÇAMENTO!$AF$7)/$H227*OFFSET(ORÇAMENTO!$X$15,ROW(AR227)-ROW(AR$15),0),
ROUND(ROUND(OFFSET($P227,0,AR$13),15-13*ORÇAMENTO!$AF$7)*OFFSET(ORÇAMENTO!$W$15,ROW(AR227)-ROW(AR$15),0),15-13*ORÇAMENTO!$AF$11)),0)</f>
        <v>0</v>
      </c>
      <c r="AS227" s="546">
        <f ca="1">IF(AND($D227="Serviço",AS$12&lt;&gt;0,$H227&gt;0,OR(AUTOEVENTO&lt;&gt;"manual",$M227&lt;&gt;1)),
IF(Import.TipoArredondamento&lt;&gt;"TransfereGOV",
ROUND(OFFSET($P227,0,AS$13),15-13*ORÇAMENTO!$AF$7)/$H227*OFFSET(ORÇAMENTO!$X$15,ROW(AS227)-ROW(AS$15),0),
ROUND(ROUND(OFFSET($P227,0,AS$13),15-13*ORÇAMENTO!$AF$7)*OFFSET(ORÇAMENTO!$W$15,ROW(AS227)-ROW(AS$15),0),15-13*ORÇAMENTO!$AF$11)),0)</f>
        <v>0</v>
      </c>
      <c r="AT227" s="545">
        <f ca="1">IF(AND($D227="Serviço",AT$12&lt;&gt;0,$H227&gt;0,OR(AUTOEVENTO&lt;&gt;"manual",$M227&lt;&gt;1)),
IF(Import.TipoArredondamento&lt;&gt;"TransfereGOV",
ROUND(OFFSET($P227,0,AT$13),15-13*ORÇAMENTO!$AF$7)/$H227*OFFSET(ORÇAMENTO!$X$15,ROW(AT227)-ROW(AT$15),0),
ROUND(ROUND(OFFSET($P227,0,AT$13),15-13*ORÇAMENTO!$AF$7)*OFFSET(ORÇAMENTO!$W$15,ROW(AT227)-ROW(AT$15),0),15-13*ORÇAMENTO!$AF$11)),0)</f>
        <v>0</v>
      </c>
      <c r="AU227" s="545">
        <f ca="1">IF(AND($D227="Serviço",AU$12&lt;&gt;0,$H227&gt;0,OR(AUTOEVENTO&lt;&gt;"manual",$M227&lt;&gt;1)),
IF(Import.TipoArredondamento&lt;&gt;"TransfereGOV",
ROUND(OFFSET($P227,0,AU$13),15-13*ORÇAMENTO!$AF$7)/$H227*OFFSET(ORÇAMENTO!$X$15,ROW(AU227)-ROW(AU$15),0),
ROUND(ROUND(OFFSET($P227,0,AU$13),15-13*ORÇAMENTO!$AF$7)*OFFSET(ORÇAMENTO!$W$15,ROW(AU227)-ROW(AU$15),0),15-13*ORÇAMENTO!$AF$11)),0)</f>
        <v>0</v>
      </c>
      <c r="AV227" s="545">
        <f ca="1">IF(AND($D227="Serviço",AV$12&lt;&gt;0,$H227&gt;0,OR(AUTOEVENTO&lt;&gt;"manual",$M227&lt;&gt;1)),
IF(Import.TipoArredondamento&lt;&gt;"TransfereGOV",
ROUND(OFFSET($P227,0,AV$13),15-13*ORÇAMENTO!$AF$7)/$H227*OFFSET(ORÇAMENTO!$X$15,ROW(AV227)-ROW(AV$15),0),
ROUND(ROUND(OFFSET($P227,0,AV$13),15-13*ORÇAMENTO!$AF$7)*OFFSET(ORÇAMENTO!$W$15,ROW(AV227)-ROW(AV$15),0),15-13*ORÇAMENTO!$AF$11)),0)</f>
        <v>0</v>
      </c>
      <c r="AW227" s="545">
        <f ca="1">IF(AND($D227="Serviço",AW$12&lt;&gt;0,$H227&gt;0,OR(AUTOEVENTO&lt;&gt;"manual",$M227&lt;&gt;1)),
IF(Import.TipoArredondamento&lt;&gt;"TransfereGOV",
ROUND(OFFSET($P227,0,AW$13),15-13*ORÇAMENTO!$AF$7)/$H227*OFFSET(ORÇAMENTO!$X$15,ROW(AW227)-ROW(AW$15),0),
ROUND(ROUND(OFFSET($P227,0,AW$13),15-13*ORÇAMENTO!$AF$7)*OFFSET(ORÇAMENTO!$W$15,ROW(AW227)-ROW(AW$15),0),15-13*ORÇAMENTO!$AF$11)),0)</f>
        <v>0</v>
      </c>
      <c r="AX227" s="545">
        <f ca="1">IF(AND($D227="Serviço",AX$12&lt;&gt;0,$H227&gt;0,OR(AUTOEVENTO&lt;&gt;"manual",$M227&lt;&gt;1)),
IF(Import.TipoArredondamento&lt;&gt;"TransfereGOV",
ROUND(OFFSET($P227,0,AX$13),15-13*ORÇAMENTO!$AF$7)/$H227*OFFSET(ORÇAMENTO!$X$15,ROW(AX227)-ROW(AX$15),0),
ROUND(ROUND(OFFSET($P227,0,AX$13),15-13*ORÇAMENTO!$AF$7)*OFFSET(ORÇAMENTO!$W$15,ROW(AX227)-ROW(AX$15),0),15-13*ORÇAMENTO!$AF$11)),0)</f>
        <v>0</v>
      </c>
      <c r="AY227" s="545">
        <f ca="1">IF(AND($D227="Serviço",AY$12&lt;&gt;0,$H227&gt;0,OR(AUTOEVENTO&lt;&gt;"manual",$M227&lt;&gt;1)),
IF(Import.TipoArredondamento&lt;&gt;"TransfereGOV",
ROUND(OFFSET($P227,0,AY$13),15-13*ORÇAMENTO!$AF$7)/$H227*OFFSET(ORÇAMENTO!$X$15,ROW(AY227)-ROW(AY$15),0),
ROUND(ROUND(OFFSET($P227,0,AY$13),15-13*ORÇAMENTO!$AF$7)*OFFSET(ORÇAMENTO!$W$15,ROW(AY227)-ROW(AY$15),0),15-13*ORÇAMENTO!$AF$11)),0)</f>
        <v>0</v>
      </c>
      <c r="AZ227" s="545">
        <f ca="1">IF(AND($D227="Serviço",AZ$12&lt;&gt;0,$H227&gt;0,OR(AUTOEVENTO&lt;&gt;"manual",$M227&lt;&gt;1)),
IF(Import.TipoArredondamento&lt;&gt;"TransfereGOV",
ROUND(OFFSET($P227,0,AZ$13),15-13*ORÇAMENTO!$AF$7)/$H227*OFFSET(ORÇAMENTO!$X$15,ROW(AZ227)-ROW(AZ$15),0),
ROUND(ROUND(OFFSET($P227,0,AZ$13),15-13*ORÇAMENTO!$AF$7)*OFFSET(ORÇAMENTO!$W$15,ROW(AZ227)-ROW(AZ$15),0),15-13*ORÇAMENTO!$AF$11)),0)</f>
        <v>0</v>
      </c>
      <c r="BA227" s="546">
        <f ca="1">IF(AND($D227="Serviço",BA$12&lt;&gt;0,$H227&gt;0,OR(AUTOEVENTO&lt;&gt;"manual",$M227&lt;&gt;1)),
IF(Import.TipoArredondamento&lt;&gt;"TransfereGOV",
ROUND(OFFSET($P227,0,BA$13),15-13*ORÇAMENTO!$AF$7)/$H227*OFFSET(ORÇAMENTO!$X$15,ROW(BA227)-ROW(BA$15),0),
ROUND(ROUND(OFFSET($P227,0,BA$13),15-13*ORÇAMENTO!$AF$7)*OFFSET(ORÇAMENTO!$W$15,ROW(BA227)-ROW(BA$15),0),15-13*ORÇAMENTO!$AF$11)),0)</f>
        <v>0</v>
      </c>
      <c r="BC227" s="181">
        <f ca="1">IF($D227&lt;&gt;"Serviço",0,IF(AND(AUTOEVENTO="Manual",$M227=1),0,IF(OFFSET(CRONOPLE!$F$14,$M227,BC$13)="",10^12,OFFSET(CRONOPLE!$F$14,$M227,BC$13))))</f>
        <v>9</v>
      </c>
      <c r="BD227" s="181">
        <f ca="1">IF($D227&lt;&gt;"Serviço",0,IF(AND(AUTOEVENTO="Manual",$M227=1),0,IF(OFFSET(CRONOPLE!$F$14,$M227,BD$13)="",10^12,OFFSET(CRONOPLE!$F$14,$M227,BD$13))))</f>
        <v>1000000000000</v>
      </c>
      <c r="BE227" s="181">
        <f ca="1">IF($D227&lt;&gt;"Serviço",0,IF(AND(AUTOEVENTO="Manual",$M227=1),0,IF(OFFSET(CRONOPLE!$F$14,$M227,BE$13)="",10^12,OFFSET(CRONOPLE!$F$14,$M227,BE$13))))</f>
        <v>1000000000000</v>
      </c>
      <c r="BF227" s="181">
        <f ca="1">IF($D227&lt;&gt;"Serviço",0,IF(AND(AUTOEVENTO="Manual",$M227=1),0,IF(OFFSET(CRONOPLE!$F$14,$M227,BF$13)="",10^12,OFFSET(CRONOPLE!$F$14,$M227,BF$13))))</f>
        <v>1000000000000</v>
      </c>
      <c r="BG227" s="181">
        <f ca="1">IF($D227&lt;&gt;"Serviço",0,IF(AND(AUTOEVENTO="Manual",$M227=1),0,IF(OFFSET(CRONOPLE!$F$14,$M227,BG$13)="",10^12,OFFSET(CRONOPLE!$F$14,$M227,BG$13))))</f>
        <v>1000000000000</v>
      </c>
      <c r="BH227" s="181">
        <f ca="1">IF($D227&lt;&gt;"Serviço",0,IF(AND(AUTOEVENTO="Manual",$M227=1),0,IF(OFFSET(CRONOPLE!$F$14,$M227,BH$13)="",10^12,OFFSET(CRONOPLE!$F$14,$M227,BH$13))))</f>
        <v>1000000000000</v>
      </c>
      <c r="BI227" s="181">
        <f ca="1">IF($D227&lt;&gt;"Serviço",0,IF(AND(AUTOEVENTO="Manual",$M227=1),0,IF(OFFSET(CRONOPLE!$F$14,$M227,BI$13)="",10^12,OFFSET(CRONOPLE!$F$14,$M227,BI$13))))</f>
        <v>1000000000000</v>
      </c>
      <c r="BJ227" s="181">
        <f ca="1">IF($D227&lt;&gt;"Serviço",0,IF(AND(AUTOEVENTO="Manual",$M227=1),0,IF(OFFSET(CRONOPLE!$F$14,$M227,BJ$13)="",10^12,OFFSET(CRONOPLE!$F$14,$M227,BJ$13))))</f>
        <v>1000000000000</v>
      </c>
      <c r="BK227" s="181">
        <f ca="1">IF($D227&lt;&gt;"Serviço",0,IF(AND(AUTOEVENTO="Manual",$M227=1),0,IF(OFFSET(CRONOPLE!$F$14,$M227,BK$13)="",10^12,OFFSET(CRONOPLE!$F$14,$M227,BK$13))))</f>
        <v>1000000000000</v>
      </c>
      <c r="BL227" s="181">
        <f ca="1">IF($D227&lt;&gt;"Serviço",0,IF(AND(AUTOEVENTO="Manual",$M227=1),0,IF(OFFSET(CRONOPLE!$F$14,$M227,BL$13)="",10^12,OFFSET(CRONOPLE!$F$14,$M227,BL$13))))</f>
        <v>1000000000000</v>
      </c>
      <c r="BM227" s="181">
        <f ca="1">IF($D227&lt;&gt;"Serviço",0,IF(AND(AUTOEVENTO="Manual",$M227=1),0,IF(OFFSET(CRONOPLE!$F$14,$M227,BM$13)="",10^12,OFFSET(CRONOPLE!$F$14,$M227,BM$13))))</f>
        <v>1000000000000</v>
      </c>
      <c r="BN227" s="181">
        <f ca="1">IF($D227&lt;&gt;"Serviço",0,IF(AND(AUTOEVENTO="Manual",$M227=1),0,IF(OFFSET(CRONOPLE!$F$14,$M227,BN$13)="",10^12,OFFSET(CRONOPLE!$F$14,$M227,BN$13))))</f>
        <v>1000000000000</v>
      </c>
      <c r="BO227" s="181">
        <f ca="1">IF($D227&lt;&gt;"Serviço",0,IF(AND(AUTOEVENTO="Manual",$M227=1),0,IF(OFFSET(CRONOPLE!$F$14,$M227,BO$13)="",10^12,OFFSET(CRONOPLE!$F$14,$M227,BO$13))))</f>
        <v>1000000000000</v>
      </c>
      <c r="BP227" s="181">
        <f ca="1">IF($D227&lt;&gt;"Serviço",0,IF(AND(AUTOEVENTO="Manual",$M227=1),0,IF(OFFSET(CRONOPLE!$F$14,$M227,BP$13)="",10^12,OFFSET(CRONOPLE!$F$14,$M227,BP$13))))</f>
        <v>1000000000000</v>
      </c>
      <c r="BQ227" s="181">
        <f ca="1">IF($D227&lt;&gt;"Serviço",0,IF(AND(AUTOEVENTO="Manual",$M227=1),0,IF(OFFSET(CRONOPLE!$F$14,$M227,BQ$13)="",10^12,OFFSET(CRONOPLE!$F$14,$M227,BQ$13))))</f>
        <v>1000000000000</v>
      </c>
      <c r="BR227" s="181">
        <f ca="1">IF($D227&lt;&gt;"Serviço",0,IF(AND(AUTOEVENTO="Manual",$M227=1),0,IF(OFFSET(CRONOPLE!$F$14,$M227,BR$13)="",10^12,OFFSET(CRONOPLE!$F$14,$M227,BR$13))))</f>
        <v>1000000000000</v>
      </c>
      <c r="BS227" s="181">
        <f ca="1">IF($D227&lt;&gt;"Serviço",0,IF(AND(AUTOEVENTO="Manual",$M227=1),0,IF(OFFSET(CRONOPLE!$F$14,$M227,BS$13)="",10^12,OFFSET(CRONOPLE!$F$14,$M227,BS$13))))</f>
        <v>1000000000000</v>
      </c>
      <c r="BT227" s="181">
        <f ca="1">IF($D227&lt;&gt;"Serviço",0,IF(AND(AUTOEVENTO="Manual",$M227=1),0,IF(OFFSET(CRONOPLE!$F$14,$M227,BT$13)="",10^12,OFFSET(CRONOPLE!$F$14,$M227,BT$13))))</f>
        <v>1000000000000</v>
      </c>
      <c r="BV227" s="182">
        <f ca="1">IF($D227&lt;&gt;"Serviço",0,IF(OR(AND(AUTOEVENTO="Manual",$M227=1),$M227&gt;(ROW(PLE.lastrow)-ROW(PLE.firstrow))),0,IF(OFFSET(PLE!$G$14,$M227,BV$13)="",10^12,OFFSET(PLE!$G$14,$M227,BV$13))))</f>
        <v>1000000000000</v>
      </c>
      <c r="BW227" s="182">
        <f ca="1">IF($D227&lt;&gt;"Serviço",0,IF(OR(AND(AUTOEVENTO="Manual",$M227=1),$M227&gt;(ROW(PLE.lastrow)-ROW(PLE.firstrow))),0,IF(OFFSET(PLE!$G$14,$M227,BW$13)="",10^12,OFFSET(PLE!$G$14,$M227,BW$13))))</f>
        <v>1000000000000</v>
      </c>
      <c r="BX227" s="182">
        <f ca="1">IF($D227&lt;&gt;"Serviço",0,IF(OR(AND(AUTOEVENTO="Manual",$M227=1),$M227&gt;(ROW(PLE.lastrow)-ROW(PLE.firstrow))),0,IF(OFFSET(PLE!$G$14,$M227,BX$13)="",10^12,OFFSET(PLE!$G$14,$M227,BX$13))))</f>
        <v>1000000000000</v>
      </c>
      <c r="BY227" s="182">
        <f ca="1">IF($D227&lt;&gt;"Serviço",0,IF(OR(AND(AUTOEVENTO="Manual",$M227=1),$M227&gt;(ROW(PLE.lastrow)-ROW(PLE.firstrow))),0,IF(OFFSET(PLE!$G$14,$M227,BY$13)="",10^12,OFFSET(PLE!$G$14,$M227,BY$13))))</f>
        <v>1000000000000</v>
      </c>
      <c r="BZ227" s="182">
        <f ca="1">IF($D227&lt;&gt;"Serviço",0,IF(OR(AND(AUTOEVENTO="Manual",$M227=1),$M227&gt;(ROW(PLE.lastrow)-ROW(PLE.firstrow))),0,IF(OFFSET(PLE!$G$14,$M227,BZ$13)="",10^12,OFFSET(PLE!$G$14,$M227,BZ$13))))</f>
        <v>1000000000000</v>
      </c>
      <c r="CA227" s="182">
        <f ca="1">IF($D227&lt;&gt;"Serviço",0,IF(OR(AND(AUTOEVENTO="Manual",$M227=1),$M227&gt;(ROW(PLE.lastrow)-ROW(PLE.firstrow))),0,IF(OFFSET(PLE!$G$14,$M227,CA$13)="",10^12,OFFSET(PLE!$G$14,$M227,CA$13))))</f>
        <v>1000000000000</v>
      </c>
      <c r="CB227" s="182">
        <f ca="1">IF($D227&lt;&gt;"Serviço",0,IF(OR(AND(AUTOEVENTO="Manual",$M227=1),$M227&gt;(ROW(PLE.lastrow)-ROW(PLE.firstrow))),0,IF(OFFSET(PLE!$G$14,$M227,CB$13)="",10^12,OFFSET(PLE!$G$14,$M227,CB$13))))</f>
        <v>1000000000000</v>
      </c>
      <c r="CC227" s="182">
        <f ca="1">IF($D227&lt;&gt;"Serviço",0,IF(OR(AND(AUTOEVENTO="Manual",$M227=1),$M227&gt;(ROW(PLE.lastrow)-ROW(PLE.firstrow))),0,IF(OFFSET(PLE!$G$14,$M227,CC$13)="",10^12,OFFSET(PLE!$G$14,$M227,CC$13))))</f>
        <v>1000000000000</v>
      </c>
      <c r="CD227" s="182">
        <f ca="1">IF($D227&lt;&gt;"Serviço",0,IF(OR(AND(AUTOEVENTO="Manual",$M227=1),$M227&gt;(ROW(PLE.lastrow)-ROW(PLE.firstrow))),0,IF(OFFSET(PLE!$G$14,$M227,CD$13)="",10^12,OFFSET(PLE!$G$14,$M227,CD$13))))</f>
        <v>1000000000000</v>
      </c>
      <c r="CE227" s="182">
        <f ca="1">IF($D227&lt;&gt;"Serviço",0,IF(OR(AND(AUTOEVENTO="Manual",$M227=1),$M227&gt;(ROW(PLE.lastrow)-ROW(PLE.firstrow))),0,IF(OFFSET(PLE!$G$14,$M227,CE$13)="",10^12,OFFSET(PLE!$G$14,$M227,CE$13))))</f>
        <v>1000000000000</v>
      </c>
      <c r="CF227" s="182">
        <f ca="1">IF($D227&lt;&gt;"Serviço",0,IF(OR(AND(AUTOEVENTO="Manual",$M227=1),$M227&gt;(ROW(PLE.lastrow)-ROW(PLE.firstrow))),0,IF(OFFSET(PLE!$G$14,$M227,CF$13)="",10^12,OFFSET(PLE!$G$14,$M227,CF$13))))</f>
        <v>1000000000000</v>
      </c>
      <c r="CG227" s="182">
        <f ca="1">IF($D227&lt;&gt;"Serviço",0,IF(OR(AND(AUTOEVENTO="Manual",$M227=1),$M227&gt;(ROW(PLE.lastrow)-ROW(PLE.firstrow))),0,IF(OFFSET(PLE!$G$14,$M227,CG$13)="",10^12,OFFSET(PLE!$G$14,$M227,CG$13))))</f>
        <v>1000000000000</v>
      </c>
      <c r="CH227" s="182">
        <f ca="1">IF($D227&lt;&gt;"Serviço",0,IF(OR(AND(AUTOEVENTO="Manual",$M227=1),$M227&gt;(ROW(PLE.lastrow)-ROW(PLE.firstrow))),0,IF(OFFSET(PLE!$G$14,$M227,CH$13)="",10^12,OFFSET(PLE!$G$14,$M227,CH$13))))</f>
        <v>1000000000000</v>
      </c>
      <c r="CI227" s="182">
        <f ca="1">IF($D227&lt;&gt;"Serviço",0,IF(OR(AND(AUTOEVENTO="Manual",$M227=1),$M227&gt;(ROW(PLE.lastrow)-ROW(PLE.firstrow))),0,IF(OFFSET(PLE!$G$14,$M227,CI$13)="",10^12,OFFSET(PLE!$G$14,$M227,CI$13))))</f>
        <v>1000000000000</v>
      </c>
      <c r="CJ227" s="182">
        <f ca="1">IF($D227&lt;&gt;"Serviço",0,IF(OR(AND(AUTOEVENTO="Manual",$M227=1),$M227&gt;(ROW(PLE.lastrow)-ROW(PLE.firstrow))),0,IF(OFFSET(PLE!$G$14,$M227,CJ$13)="",10^12,OFFSET(PLE!$G$14,$M227,CJ$13))))</f>
        <v>1000000000000</v>
      </c>
      <c r="CK227" s="182">
        <f ca="1">IF($D227&lt;&gt;"Serviço",0,IF(OR(AND(AUTOEVENTO="Manual",$M227=1),$M227&gt;(ROW(PLE.lastrow)-ROW(PLE.firstrow))),0,IF(OFFSET(PLE!$G$14,$M227,CK$13)="",10^12,OFFSET(PLE!$G$14,$M227,CK$13))))</f>
        <v>1000000000000</v>
      </c>
      <c r="CL227" s="182">
        <f ca="1">IF($D227&lt;&gt;"Serviço",0,IF(OR(AND(AUTOEVENTO="Manual",$M227=1),$M227&gt;(ROW(PLE.lastrow)-ROW(PLE.firstrow))),0,IF(OFFSET(PLE!$G$14,$M227,CL$13)="",10^12,OFFSET(PLE!$G$14,$M227,CL$13))))</f>
        <v>1000000000000</v>
      </c>
      <c r="CM227" s="182">
        <f ca="1">IF($D227&lt;&gt;"Serviço",0,IF(OR(AND(AUTOEVENTO="Manual",$M227=1),$M227&gt;(ROW(PLE.lastrow)-ROW(PLE.firstrow))),0,IF(OFFSET(PLE!$G$14,$M227,CM$13)="",10^12,OFFSET(PLE!$G$14,$M227,CM$13))))</f>
        <v>1000000000000</v>
      </c>
    </row>
    <row r="228" spans="1:91" ht="25.5" x14ac:dyDescent="0.2">
      <c r="A228" s="7" t="str">
        <f t="shared" ca="1" si="12"/>
        <v>206</v>
      </c>
      <c r="B228" s="7" t="str">
        <f ca="1">OFFSET(ORÇAMENTO!C$15,ROW(B228)-ROW(B$15),0)</f>
        <v>S</v>
      </c>
      <c r="C228" s="7" t="str">
        <f ca="1">OFFSET(ORÇAMENTO!L$15,ROW(C228)-ROW(C$15),0)</f>
        <v/>
      </c>
      <c r="D228" s="118" t="str">
        <f ca="1">OFFSET(ORÇAMENTO!N$15,ROW(D228)-ROW(D$15),0)</f>
        <v>Serviço</v>
      </c>
      <c r="E228" s="119" t="str">
        <f ca="1">OFFSET(ORÇAMENTO!O$15,ROW(E228)-ROW(E$15),0)</f>
        <v>-</v>
      </c>
      <c r="F228" s="172" t="str">
        <f ca="1">OFFSET(ORÇAMENTO!R$15,ROW(F228)-ROW(F$15),0)</f>
        <v>(abra o arquivo 'Referência 06-2024.xlsm)</v>
      </c>
      <c r="G228" s="173" t="str">
        <f ca="1">IF($D228&lt;&gt;"Serviço","",OFFSET(ORÇAMENTO!S$15,ROW(G228)-ROW(G$15),0))</f>
        <v>-</v>
      </c>
      <c r="H228" s="124">
        <f ca="1">IF($D228&lt;&gt;"Serviço",0,IF(ACOMPANHAMENTO="BM",ROUND(OFFSET(ORÇAMENTO!AJ$15,ROW(H228)-ROW(H$15),0),15-13*ORÇAMENTO!$AF$7),SUMPRODUCT(($Q$12:$AI$12&lt;&gt;"")*ROUND($Q228:$AI228,15-13*ORÇAMENTO!$AF$7))))</f>
        <v>78.13</v>
      </c>
      <c r="I228" s="561" t="s">
        <v>1107</v>
      </c>
      <c r="K228" s="174"/>
      <c r="L228" s="175" t="s">
        <v>255</v>
      </c>
      <c r="M228" s="176">
        <f ca="1">IF($D228&lt;&gt;"Serviço","",IF(AUTOEVENTO="manual",$A228,IF(ISERROR(MATCH($A228,$A$15:OFFSET($A228,-1,0),0)),MAX($M$15:OFFSET(M228,-1,0))+1,INDEX($M$15:OFFSET(M228,-1,0),MATCH($A228,$A$15:OFFSET($A228,-1,0),0)))))</f>
        <v>30</v>
      </c>
      <c r="N228" s="177" t="str">
        <f ca="1">IF($D228&lt;&gt;"Serviço","",IF(AUTOEVENTO="Manual",IF($A228=0,"&lt;-- defina o número do agrupador",OFFSET(EVENTOS!$D$14,$A228,0)),OFFSET($F$15,$A228,0)))</f>
        <v>PINTURAS E ACABAMENTOS - PAREDES</v>
      </c>
      <c r="O228" s="178"/>
      <c r="Q228" s="178">
        <v>78.13</v>
      </c>
      <c r="R228" s="179"/>
      <c r="S228" s="179"/>
      <c r="T228" s="179"/>
      <c r="U228" s="179"/>
      <c r="V228" s="179"/>
      <c r="W228" s="179"/>
      <c r="X228" s="179"/>
      <c r="Y228" s="179"/>
      <c r="Z228" s="180"/>
      <c r="AA228" s="179"/>
      <c r="AB228" s="179"/>
      <c r="AC228" s="179"/>
      <c r="AD228" s="179"/>
      <c r="AE228" s="179"/>
      <c r="AF228" s="179"/>
      <c r="AG228" s="179"/>
      <c r="AH228" s="180"/>
      <c r="AJ228" s="544">
        <f ca="1">IF(AND($D228="Serviço",AJ$12&lt;&gt;0,$H228&gt;0,OR(AUTOEVENTO&lt;&gt;"manual",$M228&lt;&gt;1)),
IF(Import.TipoArredondamento&lt;&gt;"TransfereGOV",
ROUND(OFFSET($P228,0,AJ$13),15-13*ORÇAMENTO!$AF$7)/$H228*OFFSET(ORÇAMENTO!$X$15,ROW(AJ228)-ROW(AJ$15),0),
ROUND(ROUND(OFFSET($P228,0,AJ$13),15-13*ORÇAMENTO!$AF$7)*OFFSET(ORÇAMENTO!$W$15,ROW(AJ228)-ROW(AJ$15),0),15-13*ORÇAMENTO!$AF$11)),0)</f>
        <v>0</v>
      </c>
      <c r="AK228" s="545">
        <f ca="1">IF(AND($D228="Serviço",AK$12&lt;&gt;0,$H228&gt;0,OR(AUTOEVENTO&lt;&gt;"manual",$M228&lt;&gt;1)),
IF(Import.TipoArredondamento&lt;&gt;"TransfereGOV",
ROUND(OFFSET($P228,0,AK$13),15-13*ORÇAMENTO!$AF$7)/$H228*OFFSET(ORÇAMENTO!$X$15,ROW(AK228)-ROW(AK$15),0),
ROUND(ROUND(OFFSET($P228,0,AK$13),15-13*ORÇAMENTO!$AF$7)*OFFSET(ORÇAMENTO!$W$15,ROW(AK228)-ROW(AK$15),0),15-13*ORÇAMENTO!$AF$11)),0)</f>
        <v>0</v>
      </c>
      <c r="AL228" s="545">
        <f ca="1">IF(AND($D228="Serviço",AL$12&lt;&gt;0,$H228&gt;0,OR(AUTOEVENTO&lt;&gt;"manual",$M228&lt;&gt;1)),
IF(Import.TipoArredondamento&lt;&gt;"TransfereGOV",
ROUND(OFFSET($P228,0,AL$13),15-13*ORÇAMENTO!$AF$7)/$H228*OFFSET(ORÇAMENTO!$X$15,ROW(AL228)-ROW(AL$15),0),
ROUND(ROUND(OFFSET($P228,0,AL$13),15-13*ORÇAMENTO!$AF$7)*OFFSET(ORÇAMENTO!$W$15,ROW(AL228)-ROW(AL$15),0),15-13*ORÇAMENTO!$AF$11)),0)</f>
        <v>0</v>
      </c>
      <c r="AM228" s="545">
        <f ca="1">IF(AND($D228="Serviço",AM$12&lt;&gt;0,$H228&gt;0,OR(AUTOEVENTO&lt;&gt;"manual",$M228&lt;&gt;1)),
IF(Import.TipoArredondamento&lt;&gt;"TransfereGOV",
ROUND(OFFSET($P228,0,AM$13),15-13*ORÇAMENTO!$AF$7)/$H228*OFFSET(ORÇAMENTO!$X$15,ROW(AM228)-ROW(AM$15),0),
ROUND(ROUND(OFFSET($P228,0,AM$13),15-13*ORÇAMENTO!$AF$7)*OFFSET(ORÇAMENTO!$W$15,ROW(AM228)-ROW(AM$15),0),15-13*ORÇAMENTO!$AF$11)),0)</f>
        <v>0</v>
      </c>
      <c r="AN228" s="545">
        <f ca="1">IF(AND($D228="Serviço",AN$12&lt;&gt;0,$H228&gt;0,OR(AUTOEVENTO&lt;&gt;"manual",$M228&lt;&gt;1)),
IF(Import.TipoArredondamento&lt;&gt;"TransfereGOV",
ROUND(OFFSET($P228,0,AN$13),15-13*ORÇAMENTO!$AF$7)/$H228*OFFSET(ORÇAMENTO!$X$15,ROW(AN228)-ROW(AN$15),0),
ROUND(ROUND(OFFSET($P228,0,AN$13),15-13*ORÇAMENTO!$AF$7)*OFFSET(ORÇAMENTO!$W$15,ROW(AN228)-ROW(AN$15),0),15-13*ORÇAMENTO!$AF$11)),0)</f>
        <v>0</v>
      </c>
      <c r="AO228" s="545">
        <f ca="1">IF(AND($D228="Serviço",AO$12&lt;&gt;0,$H228&gt;0,OR(AUTOEVENTO&lt;&gt;"manual",$M228&lt;&gt;1)),
IF(Import.TipoArredondamento&lt;&gt;"TransfereGOV",
ROUND(OFFSET($P228,0,AO$13),15-13*ORÇAMENTO!$AF$7)/$H228*OFFSET(ORÇAMENTO!$X$15,ROW(AO228)-ROW(AO$15),0),
ROUND(ROUND(OFFSET($P228,0,AO$13),15-13*ORÇAMENTO!$AF$7)*OFFSET(ORÇAMENTO!$W$15,ROW(AO228)-ROW(AO$15),0),15-13*ORÇAMENTO!$AF$11)),0)</f>
        <v>0</v>
      </c>
      <c r="AP228" s="545">
        <f ca="1">IF(AND($D228="Serviço",AP$12&lt;&gt;0,$H228&gt;0,OR(AUTOEVENTO&lt;&gt;"manual",$M228&lt;&gt;1)),
IF(Import.TipoArredondamento&lt;&gt;"TransfereGOV",
ROUND(OFFSET($P228,0,AP$13),15-13*ORÇAMENTO!$AF$7)/$H228*OFFSET(ORÇAMENTO!$X$15,ROW(AP228)-ROW(AP$15),0),
ROUND(ROUND(OFFSET($P228,0,AP$13),15-13*ORÇAMENTO!$AF$7)*OFFSET(ORÇAMENTO!$W$15,ROW(AP228)-ROW(AP$15),0),15-13*ORÇAMENTO!$AF$11)),0)</f>
        <v>0</v>
      </c>
      <c r="AQ228" s="545">
        <f ca="1">IF(AND($D228="Serviço",AQ$12&lt;&gt;0,$H228&gt;0,OR(AUTOEVENTO&lt;&gt;"manual",$M228&lt;&gt;1)),
IF(Import.TipoArredondamento&lt;&gt;"TransfereGOV",
ROUND(OFFSET($P228,0,AQ$13),15-13*ORÇAMENTO!$AF$7)/$H228*OFFSET(ORÇAMENTO!$X$15,ROW(AQ228)-ROW(AQ$15),0),
ROUND(ROUND(OFFSET($P228,0,AQ$13),15-13*ORÇAMENTO!$AF$7)*OFFSET(ORÇAMENTO!$W$15,ROW(AQ228)-ROW(AQ$15),0),15-13*ORÇAMENTO!$AF$11)),0)</f>
        <v>0</v>
      </c>
      <c r="AR228" s="545">
        <f ca="1">IF(AND($D228="Serviço",AR$12&lt;&gt;0,$H228&gt;0,OR(AUTOEVENTO&lt;&gt;"manual",$M228&lt;&gt;1)),
IF(Import.TipoArredondamento&lt;&gt;"TransfereGOV",
ROUND(OFFSET($P228,0,AR$13),15-13*ORÇAMENTO!$AF$7)/$H228*OFFSET(ORÇAMENTO!$X$15,ROW(AR228)-ROW(AR$15),0),
ROUND(ROUND(OFFSET($P228,0,AR$13),15-13*ORÇAMENTO!$AF$7)*OFFSET(ORÇAMENTO!$W$15,ROW(AR228)-ROW(AR$15),0),15-13*ORÇAMENTO!$AF$11)),0)</f>
        <v>0</v>
      </c>
      <c r="AS228" s="546">
        <f ca="1">IF(AND($D228="Serviço",AS$12&lt;&gt;0,$H228&gt;0,OR(AUTOEVENTO&lt;&gt;"manual",$M228&lt;&gt;1)),
IF(Import.TipoArredondamento&lt;&gt;"TransfereGOV",
ROUND(OFFSET($P228,0,AS$13),15-13*ORÇAMENTO!$AF$7)/$H228*OFFSET(ORÇAMENTO!$X$15,ROW(AS228)-ROW(AS$15),0),
ROUND(ROUND(OFFSET($P228,0,AS$13),15-13*ORÇAMENTO!$AF$7)*OFFSET(ORÇAMENTO!$W$15,ROW(AS228)-ROW(AS$15),0),15-13*ORÇAMENTO!$AF$11)),0)</f>
        <v>0</v>
      </c>
      <c r="AT228" s="545">
        <f ca="1">IF(AND($D228="Serviço",AT$12&lt;&gt;0,$H228&gt;0,OR(AUTOEVENTO&lt;&gt;"manual",$M228&lt;&gt;1)),
IF(Import.TipoArredondamento&lt;&gt;"TransfereGOV",
ROUND(OFFSET($P228,0,AT$13),15-13*ORÇAMENTO!$AF$7)/$H228*OFFSET(ORÇAMENTO!$X$15,ROW(AT228)-ROW(AT$15),0),
ROUND(ROUND(OFFSET($P228,0,AT$13),15-13*ORÇAMENTO!$AF$7)*OFFSET(ORÇAMENTO!$W$15,ROW(AT228)-ROW(AT$15),0),15-13*ORÇAMENTO!$AF$11)),0)</f>
        <v>0</v>
      </c>
      <c r="AU228" s="545">
        <f ca="1">IF(AND($D228="Serviço",AU$12&lt;&gt;0,$H228&gt;0,OR(AUTOEVENTO&lt;&gt;"manual",$M228&lt;&gt;1)),
IF(Import.TipoArredondamento&lt;&gt;"TransfereGOV",
ROUND(OFFSET($P228,0,AU$13),15-13*ORÇAMENTO!$AF$7)/$H228*OFFSET(ORÇAMENTO!$X$15,ROW(AU228)-ROW(AU$15),0),
ROUND(ROUND(OFFSET($P228,0,AU$13),15-13*ORÇAMENTO!$AF$7)*OFFSET(ORÇAMENTO!$W$15,ROW(AU228)-ROW(AU$15),0),15-13*ORÇAMENTO!$AF$11)),0)</f>
        <v>0</v>
      </c>
      <c r="AV228" s="545">
        <f ca="1">IF(AND($D228="Serviço",AV$12&lt;&gt;0,$H228&gt;0,OR(AUTOEVENTO&lt;&gt;"manual",$M228&lt;&gt;1)),
IF(Import.TipoArredondamento&lt;&gt;"TransfereGOV",
ROUND(OFFSET($P228,0,AV$13),15-13*ORÇAMENTO!$AF$7)/$H228*OFFSET(ORÇAMENTO!$X$15,ROW(AV228)-ROW(AV$15),0),
ROUND(ROUND(OFFSET($P228,0,AV$13),15-13*ORÇAMENTO!$AF$7)*OFFSET(ORÇAMENTO!$W$15,ROW(AV228)-ROW(AV$15),0),15-13*ORÇAMENTO!$AF$11)),0)</f>
        <v>0</v>
      </c>
      <c r="AW228" s="545">
        <f ca="1">IF(AND($D228="Serviço",AW$12&lt;&gt;0,$H228&gt;0,OR(AUTOEVENTO&lt;&gt;"manual",$M228&lt;&gt;1)),
IF(Import.TipoArredondamento&lt;&gt;"TransfereGOV",
ROUND(OFFSET($P228,0,AW$13),15-13*ORÇAMENTO!$AF$7)/$H228*OFFSET(ORÇAMENTO!$X$15,ROW(AW228)-ROW(AW$15),0),
ROUND(ROUND(OFFSET($P228,0,AW$13),15-13*ORÇAMENTO!$AF$7)*OFFSET(ORÇAMENTO!$W$15,ROW(AW228)-ROW(AW$15),0),15-13*ORÇAMENTO!$AF$11)),0)</f>
        <v>0</v>
      </c>
      <c r="AX228" s="545">
        <f ca="1">IF(AND($D228="Serviço",AX$12&lt;&gt;0,$H228&gt;0,OR(AUTOEVENTO&lt;&gt;"manual",$M228&lt;&gt;1)),
IF(Import.TipoArredondamento&lt;&gt;"TransfereGOV",
ROUND(OFFSET($P228,0,AX$13),15-13*ORÇAMENTO!$AF$7)/$H228*OFFSET(ORÇAMENTO!$X$15,ROW(AX228)-ROW(AX$15),0),
ROUND(ROUND(OFFSET($P228,0,AX$13),15-13*ORÇAMENTO!$AF$7)*OFFSET(ORÇAMENTO!$W$15,ROW(AX228)-ROW(AX$15),0),15-13*ORÇAMENTO!$AF$11)),0)</f>
        <v>0</v>
      </c>
      <c r="AY228" s="545">
        <f ca="1">IF(AND($D228="Serviço",AY$12&lt;&gt;0,$H228&gt;0,OR(AUTOEVENTO&lt;&gt;"manual",$M228&lt;&gt;1)),
IF(Import.TipoArredondamento&lt;&gt;"TransfereGOV",
ROUND(OFFSET($P228,0,AY$13),15-13*ORÇAMENTO!$AF$7)/$H228*OFFSET(ORÇAMENTO!$X$15,ROW(AY228)-ROW(AY$15),0),
ROUND(ROUND(OFFSET($P228,0,AY$13),15-13*ORÇAMENTO!$AF$7)*OFFSET(ORÇAMENTO!$W$15,ROW(AY228)-ROW(AY$15),0),15-13*ORÇAMENTO!$AF$11)),0)</f>
        <v>0</v>
      </c>
      <c r="AZ228" s="545">
        <f ca="1">IF(AND($D228="Serviço",AZ$12&lt;&gt;0,$H228&gt;0,OR(AUTOEVENTO&lt;&gt;"manual",$M228&lt;&gt;1)),
IF(Import.TipoArredondamento&lt;&gt;"TransfereGOV",
ROUND(OFFSET($P228,0,AZ$13),15-13*ORÇAMENTO!$AF$7)/$H228*OFFSET(ORÇAMENTO!$X$15,ROW(AZ228)-ROW(AZ$15),0),
ROUND(ROUND(OFFSET($P228,0,AZ$13),15-13*ORÇAMENTO!$AF$7)*OFFSET(ORÇAMENTO!$W$15,ROW(AZ228)-ROW(AZ$15),0),15-13*ORÇAMENTO!$AF$11)),0)</f>
        <v>0</v>
      </c>
      <c r="BA228" s="546">
        <f ca="1">IF(AND($D228="Serviço",BA$12&lt;&gt;0,$H228&gt;0,OR(AUTOEVENTO&lt;&gt;"manual",$M228&lt;&gt;1)),
IF(Import.TipoArredondamento&lt;&gt;"TransfereGOV",
ROUND(OFFSET($P228,0,BA$13),15-13*ORÇAMENTO!$AF$7)/$H228*OFFSET(ORÇAMENTO!$X$15,ROW(BA228)-ROW(BA$15),0),
ROUND(ROUND(OFFSET($P228,0,BA$13),15-13*ORÇAMENTO!$AF$7)*OFFSET(ORÇAMENTO!$W$15,ROW(BA228)-ROW(BA$15),0),15-13*ORÇAMENTO!$AF$11)),0)</f>
        <v>0</v>
      </c>
      <c r="BC228" s="181">
        <f ca="1">IF($D228&lt;&gt;"Serviço",0,IF(AND(AUTOEVENTO="Manual",$M228=1),0,IF(OFFSET(CRONOPLE!$F$14,$M228,BC$13)="",10^12,OFFSET(CRONOPLE!$F$14,$M228,BC$13))))</f>
        <v>9</v>
      </c>
      <c r="BD228" s="181">
        <f ca="1">IF($D228&lt;&gt;"Serviço",0,IF(AND(AUTOEVENTO="Manual",$M228=1),0,IF(OFFSET(CRONOPLE!$F$14,$M228,BD$13)="",10^12,OFFSET(CRONOPLE!$F$14,$M228,BD$13))))</f>
        <v>1000000000000</v>
      </c>
      <c r="BE228" s="181">
        <f ca="1">IF($D228&lt;&gt;"Serviço",0,IF(AND(AUTOEVENTO="Manual",$M228=1),0,IF(OFFSET(CRONOPLE!$F$14,$M228,BE$13)="",10^12,OFFSET(CRONOPLE!$F$14,$M228,BE$13))))</f>
        <v>1000000000000</v>
      </c>
      <c r="BF228" s="181">
        <f ca="1">IF($D228&lt;&gt;"Serviço",0,IF(AND(AUTOEVENTO="Manual",$M228=1),0,IF(OFFSET(CRONOPLE!$F$14,$M228,BF$13)="",10^12,OFFSET(CRONOPLE!$F$14,$M228,BF$13))))</f>
        <v>1000000000000</v>
      </c>
      <c r="BG228" s="181">
        <f ca="1">IF($D228&lt;&gt;"Serviço",0,IF(AND(AUTOEVENTO="Manual",$M228=1),0,IF(OFFSET(CRONOPLE!$F$14,$M228,BG$13)="",10^12,OFFSET(CRONOPLE!$F$14,$M228,BG$13))))</f>
        <v>1000000000000</v>
      </c>
      <c r="BH228" s="181">
        <f ca="1">IF($D228&lt;&gt;"Serviço",0,IF(AND(AUTOEVENTO="Manual",$M228=1),0,IF(OFFSET(CRONOPLE!$F$14,$M228,BH$13)="",10^12,OFFSET(CRONOPLE!$F$14,$M228,BH$13))))</f>
        <v>1000000000000</v>
      </c>
      <c r="BI228" s="181">
        <f ca="1">IF($D228&lt;&gt;"Serviço",0,IF(AND(AUTOEVENTO="Manual",$M228=1),0,IF(OFFSET(CRONOPLE!$F$14,$M228,BI$13)="",10^12,OFFSET(CRONOPLE!$F$14,$M228,BI$13))))</f>
        <v>1000000000000</v>
      </c>
      <c r="BJ228" s="181">
        <f ca="1">IF($D228&lt;&gt;"Serviço",0,IF(AND(AUTOEVENTO="Manual",$M228=1),0,IF(OFFSET(CRONOPLE!$F$14,$M228,BJ$13)="",10^12,OFFSET(CRONOPLE!$F$14,$M228,BJ$13))))</f>
        <v>1000000000000</v>
      </c>
      <c r="BK228" s="181">
        <f ca="1">IF($D228&lt;&gt;"Serviço",0,IF(AND(AUTOEVENTO="Manual",$M228=1),0,IF(OFFSET(CRONOPLE!$F$14,$M228,BK$13)="",10^12,OFFSET(CRONOPLE!$F$14,$M228,BK$13))))</f>
        <v>1000000000000</v>
      </c>
      <c r="BL228" s="181">
        <f ca="1">IF($D228&lt;&gt;"Serviço",0,IF(AND(AUTOEVENTO="Manual",$M228=1),0,IF(OFFSET(CRONOPLE!$F$14,$M228,BL$13)="",10^12,OFFSET(CRONOPLE!$F$14,$M228,BL$13))))</f>
        <v>1000000000000</v>
      </c>
      <c r="BM228" s="181">
        <f ca="1">IF($D228&lt;&gt;"Serviço",0,IF(AND(AUTOEVENTO="Manual",$M228=1),0,IF(OFFSET(CRONOPLE!$F$14,$M228,BM$13)="",10^12,OFFSET(CRONOPLE!$F$14,$M228,BM$13))))</f>
        <v>1000000000000</v>
      </c>
      <c r="BN228" s="181">
        <f ca="1">IF($D228&lt;&gt;"Serviço",0,IF(AND(AUTOEVENTO="Manual",$M228=1),0,IF(OFFSET(CRONOPLE!$F$14,$M228,BN$13)="",10^12,OFFSET(CRONOPLE!$F$14,$M228,BN$13))))</f>
        <v>1000000000000</v>
      </c>
      <c r="BO228" s="181">
        <f ca="1">IF($D228&lt;&gt;"Serviço",0,IF(AND(AUTOEVENTO="Manual",$M228=1),0,IF(OFFSET(CRONOPLE!$F$14,$M228,BO$13)="",10^12,OFFSET(CRONOPLE!$F$14,$M228,BO$13))))</f>
        <v>1000000000000</v>
      </c>
      <c r="BP228" s="181">
        <f ca="1">IF($D228&lt;&gt;"Serviço",0,IF(AND(AUTOEVENTO="Manual",$M228=1),0,IF(OFFSET(CRONOPLE!$F$14,$M228,BP$13)="",10^12,OFFSET(CRONOPLE!$F$14,$M228,BP$13))))</f>
        <v>1000000000000</v>
      </c>
      <c r="BQ228" s="181">
        <f ca="1">IF($D228&lt;&gt;"Serviço",0,IF(AND(AUTOEVENTO="Manual",$M228=1),0,IF(OFFSET(CRONOPLE!$F$14,$M228,BQ$13)="",10^12,OFFSET(CRONOPLE!$F$14,$M228,BQ$13))))</f>
        <v>1000000000000</v>
      </c>
      <c r="BR228" s="181">
        <f ca="1">IF($D228&lt;&gt;"Serviço",0,IF(AND(AUTOEVENTO="Manual",$M228=1),0,IF(OFFSET(CRONOPLE!$F$14,$M228,BR$13)="",10^12,OFFSET(CRONOPLE!$F$14,$M228,BR$13))))</f>
        <v>1000000000000</v>
      </c>
      <c r="BS228" s="181">
        <f ca="1">IF($D228&lt;&gt;"Serviço",0,IF(AND(AUTOEVENTO="Manual",$M228=1),0,IF(OFFSET(CRONOPLE!$F$14,$M228,BS$13)="",10^12,OFFSET(CRONOPLE!$F$14,$M228,BS$13))))</f>
        <v>1000000000000</v>
      </c>
      <c r="BT228" s="181">
        <f ca="1">IF($D228&lt;&gt;"Serviço",0,IF(AND(AUTOEVENTO="Manual",$M228=1),0,IF(OFFSET(CRONOPLE!$F$14,$M228,BT$13)="",10^12,OFFSET(CRONOPLE!$F$14,$M228,BT$13))))</f>
        <v>1000000000000</v>
      </c>
      <c r="BV228" s="182">
        <f ca="1">IF($D228&lt;&gt;"Serviço",0,IF(OR(AND(AUTOEVENTO="Manual",$M228=1),$M228&gt;(ROW(PLE.lastrow)-ROW(PLE.firstrow))),0,IF(OFFSET(PLE!$G$14,$M228,BV$13)="",10^12,OFFSET(PLE!$G$14,$M228,BV$13))))</f>
        <v>1000000000000</v>
      </c>
      <c r="BW228" s="182">
        <f ca="1">IF($D228&lt;&gt;"Serviço",0,IF(OR(AND(AUTOEVENTO="Manual",$M228=1),$M228&gt;(ROW(PLE.lastrow)-ROW(PLE.firstrow))),0,IF(OFFSET(PLE!$G$14,$M228,BW$13)="",10^12,OFFSET(PLE!$G$14,$M228,BW$13))))</f>
        <v>1000000000000</v>
      </c>
      <c r="BX228" s="182">
        <f ca="1">IF($D228&lt;&gt;"Serviço",0,IF(OR(AND(AUTOEVENTO="Manual",$M228=1),$M228&gt;(ROW(PLE.lastrow)-ROW(PLE.firstrow))),0,IF(OFFSET(PLE!$G$14,$M228,BX$13)="",10^12,OFFSET(PLE!$G$14,$M228,BX$13))))</f>
        <v>1000000000000</v>
      </c>
      <c r="BY228" s="182">
        <f ca="1">IF($D228&lt;&gt;"Serviço",0,IF(OR(AND(AUTOEVENTO="Manual",$M228=1),$M228&gt;(ROW(PLE.lastrow)-ROW(PLE.firstrow))),0,IF(OFFSET(PLE!$G$14,$M228,BY$13)="",10^12,OFFSET(PLE!$G$14,$M228,BY$13))))</f>
        <v>1000000000000</v>
      </c>
      <c r="BZ228" s="182">
        <f ca="1">IF($D228&lt;&gt;"Serviço",0,IF(OR(AND(AUTOEVENTO="Manual",$M228=1),$M228&gt;(ROW(PLE.lastrow)-ROW(PLE.firstrow))),0,IF(OFFSET(PLE!$G$14,$M228,BZ$13)="",10^12,OFFSET(PLE!$G$14,$M228,BZ$13))))</f>
        <v>1000000000000</v>
      </c>
      <c r="CA228" s="182">
        <f ca="1">IF($D228&lt;&gt;"Serviço",0,IF(OR(AND(AUTOEVENTO="Manual",$M228=1),$M228&gt;(ROW(PLE.lastrow)-ROW(PLE.firstrow))),0,IF(OFFSET(PLE!$G$14,$M228,CA$13)="",10^12,OFFSET(PLE!$G$14,$M228,CA$13))))</f>
        <v>1000000000000</v>
      </c>
      <c r="CB228" s="182">
        <f ca="1">IF($D228&lt;&gt;"Serviço",0,IF(OR(AND(AUTOEVENTO="Manual",$M228=1),$M228&gt;(ROW(PLE.lastrow)-ROW(PLE.firstrow))),0,IF(OFFSET(PLE!$G$14,$M228,CB$13)="",10^12,OFFSET(PLE!$G$14,$M228,CB$13))))</f>
        <v>1000000000000</v>
      </c>
      <c r="CC228" s="182">
        <f ca="1">IF($D228&lt;&gt;"Serviço",0,IF(OR(AND(AUTOEVENTO="Manual",$M228=1),$M228&gt;(ROW(PLE.lastrow)-ROW(PLE.firstrow))),0,IF(OFFSET(PLE!$G$14,$M228,CC$13)="",10^12,OFFSET(PLE!$G$14,$M228,CC$13))))</f>
        <v>1000000000000</v>
      </c>
      <c r="CD228" s="182">
        <f ca="1">IF($D228&lt;&gt;"Serviço",0,IF(OR(AND(AUTOEVENTO="Manual",$M228=1),$M228&gt;(ROW(PLE.lastrow)-ROW(PLE.firstrow))),0,IF(OFFSET(PLE!$G$14,$M228,CD$13)="",10^12,OFFSET(PLE!$G$14,$M228,CD$13))))</f>
        <v>1000000000000</v>
      </c>
      <c r="CE228" s="182">
        <f ca="1">IF($D228&lt;&gt;"Serviço",0,IF(OR(AND(AUTOEVENTO="Manual",$M228=1),$M228&gt;(ROW(PLE.lastrow)-ROW(PLE.firstrow))),0,IF(OFFSET(PLE!$G$14,$M228,CE$13)="",10^12,OFFSET(PLE!$G$14,$M228,CE$13))))</f>
        <v>1000000000000</v>
      </c>
      <c r="CF228" s="182">
        <f ca="1">IF($D228&lt;&gt;"Serviço",0,IF(OR(AND(AUTOEVENTO="Manual",$M228=1),$M228&gt;(ROW(PLE.lastrow)-ROW(PLE.firstrow))),0,IF(OFFSET(PLE!$G$14,$M228,CF$13)="",10^12,OFFSET(PLE!$G$14,$M228,CF$13))))</f>
        <v>1000000000000</v>
      </c>
      <c r="CG228" s="182">
        <f ca="1">IF($D228&lt;&gt;"Serviço",0,IF(OR(AND(AUTOEVENTO="Manual",$M228=1),$M228&gt;(ROW(PLE.lastrow)-ROW(PLE.firstrow))),0,IF(OFFSET(PLE!$G$14,$M228,CG$13)="",10^12,OFFSET(PLE!$G$14,$M228,CG$13))))</f>
        <v>1000000000000</v>
      </c>
      <c r="CH228" s="182">
        <f ca="1">IF($D228&lt;&gt;"Serviço",0,IF(OR(AND(AUTOEVENTO="Manual",$M228=1),$M228&gt;(ROW(PLE.lastrow)-ROW(PLE.firstrow))),0,IF(OFFSET(PLE!$G$14,$M228,CH$13)="",10^12,OFFSET(PLE!$G$14,$M228,CH$13))))</f>
        <v>1000000000000</v>
      </c>
      <c r="CI228" s="182">
        <f ca="1">IF($D228&lt;&gt;"Serviço",0,IF(OR(AND(AUTOEVENTO="Manual",$M228=1),$M228&gt;(ROW(PLE.lastrow)-ROW(PLE.firstrow))),0,IF(OFFSET(PLE!$G$14,$M228,CI$13)="",10^12,OFFSET(PLE!$G$14,$M228,CI$13))))</f>
        <v>1000000000000</v>
      </c>
      <c r="CJ228" s="182">
        <f ca="1">IF($D228&lt;&gt;"Serviço",0,IF(OR(AND(AUTOEVENTO="Manual",$M228=1),$M228&gt;(ROW(PLE.lastrow)-ROW(PLE.firstrow))),0,IF(OFFSET(PLE!$G$14,$M228,CJ$13)="",10^12,OFFSET(PLE!$G$14,$M228,CJ$13))))</f>
        <v>1000000000000</v>
      </c>
      <c r="CK228" s="182">
        <f ca="1">IF($D228&lt;&gt;"Serviço",0,IF(OR(AND(AUTOEVENTO="Manual",$M228=1),$M228&gt;(ROW(PLE.lastrow)-ROW(PLE.firstrow))),0,IF(OFFSET(PLE!$G$14,$M228,CK$13)="",10^12,OFFSET(PLE!$G$14,$M228,CK$13))))</f>
        <v>1000000000000</v>
      </c>
      <c r="CL228" s="182">
        <f ca="1">IF($D228&lt;&gt;"Serviço",0,IF(OR(AND(AUTOEVENTO="Manual",$M228=1),$M228&gt;(ROW(PLE.lastrow)-ROW(PLE.firstrow))),0,IF(OFFSET(PLE!$G$14,$M228,CL$13)="",10^12,OFFSET(PLE!$G$14,$M228,CL$13))))</f>
        <v>1000000000000</v>
      </c>
      <c r="CM228" s="182">
        <f ca="1">IF($D228&lt;&gt;"Serviço",0,IF(OR(AND(AUTOEVENTO="Manual",$M228=1),$M228&gt;(ROW(PLE.lastrow)-ROW(PLE.firstrow))),0,IF(OFFSET(PLE!$G$14,$M228,CM$13)="",10^12,OFFSET(PLE!$G$14,$M228,CM$13))))</f>
        <v>1000000000000</v>
      </c>
    </row>
    <row r="229" spans="1:91" ht="25.5" x14ac:dyDescent="0.2">
      <c r="A229" s="7" t="str">
        <f t="shared" ca="1" si="12"/>
        <v>206</v>
      </c>
      <c r="B229" s="7" t="str">
        <f ca="1">OFFSET(ORÇAMENTO!C$15,ROW(B229)-ROW(B$15),0)</f>
        <v>S</v>
      </c>
      <c r="C229" s="7" t="str">
        <f ca="1">OFFSET(ORÇAMENTO!L$15,ROW(C229)-ROW(C$15),0)</f>
        <v/>
      </c>
      <c r="D229" s="118" t="str">
        <f ca="1">OFFSET(ORÇAMENTO!N$15,ROW(D229)-ROW(D$15),0)</f>
        <v>Serviço</v>
      </c>
      <c r="E229" s="119" t="str">
        <f ca="1">OFFSET(ORÇAMENTO!O$15,ROW(E229)-ROW(E$15),0)</f>
        <v>-</v>
      </c>
      <c r="F229" s="172" t="str">
        <f ca="1">OFFSET(ORÇAMENTO!R$15,ROW(F229)-ROW(F$15),0)</f>
        <v>(abra o arquivo 'Referência 06-2024.xlsm)</v>
      </c>
      <c r="G229" s="173" t="str">
        <f ca="1">IF($D229&lt;&gt;"Serviço","",OFFSET(ORÇAMENTO!S$15,ROW(G229)-ROW(G$15),0))</f>
        <v>-</v>
      </c>
      <c r="H229" s="124">
        <f ca="1">IF($D229&lt;&gt;"Serviço",0,IF(ACOMPANHAMENTO="BM",ROUND(OFFSET(ORÇAMENTO!AJ$15,ROW(H229)-ROW(H$15),0),15-13*ORÇAMENTO!$AF$7),SUMPRODUCT(($Q$12:$AI$12&lt;&gt;"")*ROUND($Q229:$AI229,15-13*ORÇAMENTO!$AF$7))))</f>
        <v>15.19</v>
      </c>
      <c r="I229" s="561" t="s">
        <v>1107</v>
      </c>
      <c r="K229" s="174"/>
      <c r="L229" s="175" t="s">
        <v>255</v>
      </c>
      <c r="M229" s="176">
        <f ca="1">IF($D229&lt;&gt;"Serviço","",IF(AUTOEVENTO="manual",$A229,IF(ISERROR(MATCH($A229,$A$15:OFFSET($A229,-1,0),0)),MAX($M$15:OFFSET(M229,-1,0))+1,INDEX($M$15:OFFSET(M229,-1,0),MATCH($A229,$A$15:OFFSET($A229,-1,0),0)))))</f>
        <v>30</v>
      </c>
      <c r="N229" s="177" t="str">
        <f ca="1">IF($D229&lt;&gt;"Serviço","",IF(AUTOEVENTO="Manual",IF($A229=0,"&lt;-- defina o número do agrupador",OFFSET(EVENTOS!$D$14,$A229,0)),OFFSET($F$15,$A229,0)))</f>
        <v>PINTURAS E ACABAMENTOS - PAREDES</v>
      </c>
      <c r="O229" s="178"/>
      <c r="Q229" s="178">
        <v>15.19</v>
      </c>
      <c r="R229" s="179"/>
      <c r="S229" s="179"/>
      <c r="T229" s="179"/>
      <c r="U229" s="179"/>
      <c r="V229" s="179"/>
      <c r="W229" s="179"/>
      <c r="X229" s="179"/>
      <c r="Y229" s="179"/>
      <c r="Z229" s="180"/>
      <c r="AA229" s="179"/>
      <c r="AB229" s="179"/>
      <c r="AC229" s="179"/>
      <c r="AD229" s="179"/>
      <c r="AE229" s="179"/>
      <c r="AF229" s="179"/>
      <c r="AG229" s="179"/>
      <c r="AH229" s="180"/>
      <c r="AJ229" s="544">
        <f ca="1">IF(AND($D229="Serviço",AJ$12&lt;&gt;0,$H229&gt;0,OR(AUTOEVENTO&lt;&gt;"manual",$M229&lt;&gt;1)),
IF(Import.TipoArredondamento&lt;&gt;"TransfereGOV",
ROUND(OFFSET($P229,0,AJ$13),15-13*ORÇAMENTO!$AF$7)/$H229*OFFSET(ORÇAMENTO!$X$15,ROW(AJ229)-ROW(AJ$15),0),
ROUND(ROUND(OFFSET($P229,0,AJ$13),15-13*ORÇAMENTO!$AF$7)*OFFSET(ORÇAMENTO!$W$15,ROW(AJ229)-ROW(AJ$15),0),15-13*ORÇAMENTO!$AF$11)),0)</f>
        <v>0</v>
      </c>
      <c r="AK229" s="545">
        <f ca="1">IF(AND($D229="Serviço",AK$12&lt;&gt;0,$H229&gt;0,OR(AUTOEVENTO&lt;&gt;"manual",$M229&lt;&gt;1)),
IF(Import.TipoArredondamento&lt;&gt;"TransfereGOV",
ROUND(OFFSET($P229,0,AK$13),15-13*ORÇAMENTO!$AF$7)/$H229*OFFSET(ORÇAMENTO!$X$15,ROW(AK229)-ROW(AK$15),0),
ROUND(ROUND(OFFSET($P229,0,AK$13),15-13*ORÇAMENTO!$AF$7)*OFFSET(ORÇAMENTO!$W$15,ROW(AK229)-ROW(AK$15),0),15-13*ORÇAMENTO!$AF$11)),0)</f>
        <v>0</v>
      </c>
      <c r="AL229" s="545">
        <f ca="1">IF(AND($D229="Serviço",AL$12&lt;&gt;0,$H229&gt;0,OR(AUTOEVENTO&lt;&gt;"manual",$M229&lt;&gt;1)),
IF(Import.TipoArredondamento&lt;&gt;"TransfereGOV",
ROUND(OFFSET($P229,0,AL$13),15-13*ORÇAMENTO!$AF$7)/$H229*OFFSET(ORÇAMENTO!$X$15,ROW(AL229)-ROW(AL$15),0),
ROUND(ROUND(OFFSET($P229,0,AL$13),15-13*ORÇAMENTO!$AF$7)*OFFSET(ORÇAMENTO!$W$15,ROW(AL229)-ROW(AL$15),0),15-13*ORÇAMENTO!$AF$11)),0)</f>
        <v>0</v>
      </c>
      <c r="AM229" s="545">
        <f ca="1">IF(AND($D229="Serviço",AM$12&lt;&gt;0,$H229&gt;0,OR(AUTOEVENTO&lt;&gt;"manual",$M229&lt;&gt;1)),
IF(Import.TipoArredondamento&lt;&gt;"TransfereGOV",
ROUND(OFFSET($P229,0,AM$13),15-13*ORÇAMENTO!$AF$7)/$H229*OFFSET(ORÇAMENTO!$X$15,ROW(AM229)-ROW(AM$15),0),
ROUND(ROUND(OFFSET($P229,0,AM$13),15-13*ORÇAMENTO!$AF$7)*OFFSET(ORÇAMENTO!$W$15,ROW(AM229)-ROW(AM$15),0),15-13*ORÇAMENTO!$AF$11)),0)</f>
        <v>0</v>
      </c>
      <c r="AN229" s="545">
        <f ca="1">IF(AND($D229="Serviço",AN$12&lt;&gt;0,$H229&gt;0,OR(AUTOEVENTO&lt;&gt;"manual",$M229&lt;&gt;1)),
IF(Import.TipoArredondamento&lt;&gt;"TransfereGOV",
ROUND(OFFSET($P229,0,AN$13),15-13*ORÇAMENTO!$AF$7)/$H229*OFFSET(ORÇAMENTO!$X$15,ROW(AN229)-ROW(AN$15),0),
ROUND(ROUND(OFFSET($P229,0,AN$13),15-13*ORÇAMENTO!$AF$7)*OFFSET(ORÇAMENTO!$W$15,ROW(AN229)-ROW(AN$15),0),15-13*ORÇAMENTO!$AF$11)),0)</f>
        <v>0</v>
      </c>
      <c r="AO229" s="545">
        <f ca="1">IF(AND($D229="Serviço",AO$12&lt;&gt;0,$H229&gt;0,OR(AUTOEVENTO&lt;&gt;"manual",$M229&lt;&gt;1)),
IF(Import.TipoArredondamento&lt;&gt;"TransfereGOV",
ROUND(OFFSET($P229,0,AO$13),15-13*ORÇAMENTO!$AF$7)/$H229*OFFSET(ORÇAMENTO!$X$15,ROW(AO229)-ROW(AO$15),0),
ROUND(ROUND(OFFSET($P229,0,AO$13),15-13*ORÇAMENTO!$AF$7)*OFFSET(ORÇAMENTO!$W$15,ROW(AO229)-ROW(AO$15),0),15-13*ORÇAMENTO!$AF$11)),0)</f>
        <v>0</v>
      </c>
      <c r="AP229" s="545">
        <f ca="1">IF(AND($D229="Serviço",AP$12&lt;&gt;0,$H229&gt;0,OR(AUTOEVENTO&lt;&gt;"manual",$M229&lt;&gt;1)),
IF(Import.TipoArredondamento&lt;&gt;"TransfereGOV",
ROUND(OFFSET($P229,0,AP$13),15-13*ORÇAMENTO!$AF$7)/$H229*OFFSET(ORÇAMENTO!$X$15,ROW(AP229)-ROW(AP$15),0),
ROUND(ROUND(OFFSET($P229,0,AP$13),15-13*ORÇAMENTO!$AF$7)*OFFSET(ORÇAMENTO!$W$15,ROW(AP229)-ROW(AP$15),0),15-13*ORÇAMENTO!$AF$11)),0)</f>
        <v>0</v>
      </c>
      <c r="AQ229" s="545">
        <f ca="1">IF(AND($D229="Serviço",AQ$12&lt;&gt;0,$H229&gt;0,OR(AUTOEVENTO&lt;&gt;"manual",$M229&lt;&gt;1)),
IF(Import.TipoArredondamento&lt;&gt;"TransfereGOV",
ROUND(OFFSET($P229,0,AQ$13),15-13*ORÇAMENTO!$AF$7)/$H229*OFFSET(ORÇAMENTO!$X$15,ROW(AQ229)-ROW(AQ$15),0),
ROUND(ROUND(OFFSET($P229,0,AQ$13),15-13*ORÇAMENTO!$AF$7)*OFFSET(ORÇAMENTO!$W$15,ROW(AQ229)-ROW(AQ$15),0),15-13*ORÇAMENTO!$AF$11)),0)</f>
        <v>0</v>
      </c>
      <c r="AR229" s="545">
        <f ca="1">IF(AND($D229="Serviço",AR$12&lt;&gt;0,$H229&gt;0,OR(AUTOEVENTO&lt;&gt;"manual",$M229&lt;&gt;1)),
IF(Import.TipoArredondamento&lt;&gt;"TransfereGOV",
ROUND(OFFSET($P229,0,AR$13),15-13*ORÇAMENTO!$AF$7)/$H229*OFFSET(ORÇAMENTO!$X$15,ROW(AR229)-ROW(AR$15),0),
ROUND(ROUND(OFFSET($P229,0,AR$13),15-13*ORÇAMENTO!$AF$7)*OFFSET(ORÇAMENTO!$W$15,ROW(AR229)-ROW(AR$15),0),15-13*ORÇAMENTO!$AF$11)),0)</f>
        <v>0</v>
      </c>
      <c r="AS229" s="546">
        <f ca="1">IF(AND($D229="Serviço",AS$12&lt;&gt;0,$H229&gt;0,OR(AUTOEVENTO&lt;&gt;"manual",$M229&lt;&gt;1)),
IF(Import.TipoArredondamento&lt;&gt;"TransfereGOV",
ROUND(OFFSET($P229,0,AS$13),15-13*ORÇAMENTO!$AF$7)/$H229*OFFSET(ORÇAMENTO!$X$15,ROW(AS229)-ROW(AS$15),0),
ROUND(ROUND(OFFSET($P229,0,AS$13),15-13*ORÇAMENTO!$AF$7)*OFFSET(ORÇAMENTO!$W$15,ROW(AS229)-ROW(AS$15),0),15-13*ORÇAMENTO!$AF$11)),0)</f>
        <v>0</v>
      </c>
      <c r="AT229" s="545">
        <f ca="1">IF(AND($D229="Serviço",AT$12&lt;&gt;0,$H229&gt;0,OR(AUTOEVENTO&lt;&gt;"manual",$M229&lt;&gt;1)),
IF(Import.TipoArredondamento&lt;&gt;"TransfereGOV",
ROUND(OFFSET($P229,0,AT$13),15-13*ORÇAMENTO!$AF$7)/$H229*OFFSET(ORÇAMENTO!$X$15,ROW(AT229)-ROW(AT$15),0),
ROUND(ROUND(OFFSET($P229,0,AT$13),15-13*ORÇAMENTO!$AF$7)*OFFSET(ORÇAMENTO!$W$15,ROW(AT229)-ROW(AT$15),0),15-13*ORÇAMENTO!$AF$11)),0)</f>
        <v>0</v>
      </c>
      <c r="AU229" s="545">
        <f ca="1">IF(AND($D229="Serviço",AU$12&lt;&gt;0,$H229&gt;0,OR(AUTOEVENTO&lt;&gt;"manual",$M229&lt;&gt;1)),
IF(Import.TipoArredondamento&lt;&gt;"TransfereGOV",
ROUND(OFFSET($P229,0,AU$13),15-13*ORÇAMENTO!$AF$7)/$H229*OFFSET(ORÇAMENTO!$X$15,ROW(AU229)-ROW(AU$15),0),
ROUND(ROUND(OFFSET($P229,0,AU$13),15-13*ORÇAMENTO!$AF$7)*OFFSET(ORÇAMENTO!$W$15,ROW(AU229)-ROW(AU$15),0),15-13*ORÇAMENTO!$AF$11)),0)</f>
        <v>0</v>
      </c>
      <c r="AV229" s="545">
        <f ca="1">IF(AND($D229="Serviço",AV$12&lt;&gt;0,$H229&gt;0,OR(AUTOEVENTO&lt;&gt;"manual",$M229&lt;&gt;1)),
IF(Import.TipoArredondamento&lt;&gt;"TransfereGOV",
ROUND(OFFSET($P229,0,AV$13),15-13*ORÇAMENTO!$AF$7)/$H229*OFFSET(ORÇAMENTO!$X$15,ROW(AV229)-ROW(AV$15),0),
ROUND(ROUND(OFFSET($P229,0,AV$13),15-13*ORÇAMENTO!$AF$7)*OFFSET(ORÇAMENTO!$W$15,ROW(AV229)-ROW(AV$15),0),15-13*ORÇAMENTO!$AF$11)),0)</f>
        <v>0</v>
      </c>
      <c r="AW229" s="545">
        <f ca="1">IF(AND($D229="Serviço",AW$12&lt;&gt;0,$H229&gt;0,OR(AUTOEVENTO&lt;&gt;"manual",$M229&lt;&gt;1)),
IF(Import.TipoArredondamento&lt;&gt;"TransfereGOV",
ROUND(OFFSET($P229,0,AW$13),15-13*ORÇAMENTO!$AF$7)/$H229*OFFSET(ORÇAMENTO!$X$15,ROW(AW229)-ROW(AW$15),0),
ROUND(ROUND(OFFSET($P229,0,AW$13),15-13*ORÇAMENTO!$AF$7)*OFFSET(ORÇAMENTO!$W$15,ROW(AW229)-ROW(AW$15),0),15-13*ORÇAMENTO!$AF$11)),0)</f>
        <v>0</v>
      </c>
      <c r="AX229" s="545">
        <f ca="1">IF(AND($D229="Serviço",AX$12&lt;&gt;0,$H229&gt;0,OR(AUTOEVENTO&lt;&gt;"manual",$M229&lt;&gt;1)),
IF(Import.TipoArredondamento&lt;&gt;"TransfereGOV",
ROUND(OFFSET($P229,0,AX$13),15-13*ORÇAMENTO!$AF$7)/$H229*OFFSET(ORÇAMENTO!$X$15,ROW(AX229)-ROW(AX$15),0),
ROUND(ROUND(OFFSET($P229,0,AX$13),15-13*ORÇAMENTO!$AF$7)*OFFSET(ORÇAMENTO!$W$15,ROW(AX229)-ROW(AX$15),0),15-13*ORÇAMENTO!$AF$11)),0)</f>
        <v>0</v>
      </c>
      <c r="AY229" s="545">
        <f ca="1">IF(AND($D229="Serviço",AY$12&lt;&gt;0,$H229&gt;0,OR(AUTOEVENTO&lt;&gt;"manual",$M229&lt;&gt;1)),
IF(Import.TipoArredondamento&lt;&gt;"TransfereGOV",
ROUND(OFFSET($P229,0,AY$13),15-13*ORÇAMENTO!$AF$7)/$H229*OFFSET(ORÇAMENTO!$X$15,ROW(AY229)-ROW(AY$15),0),
ROUND(ROUND(OFFSET($P229,0,AY$13),15-13*ORÇAMENTO!$AF$7)*OFFSET(ORÇAMENTO!$W$15,ROW(AY229)-ROW(AY$15),0),15-13*ORÇAMENTO!$AF$11)),0)</f>
        <v>0</v>
      </c>
      <c r="AZ229" s="545">
        <f ca="1">IF(AND($D229="Serviço",AZ$12&lt;&gt;0,$H229&gt;0,OR(AUTOEVENTO&lt;&gt;"manual",$M229&lt;&gt;1)),
IF(Import.TipoArredondamento&lt;&gt;"TransfereGOV",
ROUND(OFFSET($P229,0,AZ$13),15-13*ORÇAMENTO!$AF$7)/$H229*OFFSET(ORÇAMENTO!$X$15,ROW(AZ229)-ROW(AZ$15),0),
ROUND(ROUND(OFFSET($P229,0,AZ$13),15-13*ORÇAMENTO!$AF$7)*OFFSET(ORÇAMENTO!$W$15,ROW(AZ229)-ROW(AZ$15),0),15-13*ORÇAMENTO!$AF$11)),0)</f>
        <v>0</v>
      </c>
      <c r="BA229" s="546">
        <f ca="1">IF(AND($D229="Serviço",BA$12&lt;&gt;0,$H229&gt;0,OR(AUTOEVENTO&lt;&gt;"manual",$M229&lt;&gt;1)),
IF(Import.TipoArredondamento&lt;&gt;"TransfereGOV",
ROUND(OFFSET($P229,0,BA$13),15-13*ORÇAMENTO!$AF$7)/$H229*OFFSET(ORÇAMENTO!$X$15,ROW(BA229)-ROW(BA$15),0),
ROUND(ROUND(OFFSET($P229,0,BA$13),15-13*ORÇAMENTO!$AF$7)*OFFSET(ORÇAMENTO!$W$15,ROW(BA229)-ROW(BA$15),0),15-13*ORÇAMENTO!$AF$11)),0)</f>
        <v>0</v>
      </c>
      <c r="BC229" s="181">
        <f ca="1">IF($D229&lt;&gt;"Serviço",0,IF(AND(AUTOEVENTO="Manual",$M229=1),0,IF(OFFSET(CRONOPLE!$F$14,$M229,BC$13)="",10^12,OFFSET(CRONOPLE!$F$14,$M229,BC$13))))</f>
        <v>9</v>
      </c>
      <c r="BD229" s="181">
        <f ca="1">IF($D229&lt;&gt;"Serviço",0,IF(AND(AUTOEVENTO="Manual",$M229=1),0,IF(OFFSET(CRONOPLE!$F$14,$M229,BD$13)="",10^12,OFFSET(CRONOPLE!$F$14,$M229,BD$13))))</f>
        <v>1000000000000</v>
      </c>
      <c r="BE229" s="181">
        <f ca="1">IF($D229&lt;&gt;"Serviço",0,IF(AND(AUTOEVENTO="Manual",$M229=1),0,IF(OFFSET(CRONOPLE!$F$14,$M229,BE$13)="",10^12,OFFSET(CRONOPLE!$F$14,$M229,BE$13))))</f>
        <v>1000000000000</v>
      </c>
      <c r="BF229" s="181">
        <f ca="1">IF($D229&lt;&gt;"Serviço",0,IF(AND(AUTOEVENTO="Manual",$M229=1),0,IF(OFFSET(CRONOPLE!$F$14,$M229,BF$13)="",10^12,OFFSET(CRONOPLE!$F$14,$M229,BF$13))))</f>
        <v>1000000000000</v>
      </c>
      <c r="BG229" s="181">
        <f ca="1">IF($D229&lt;&gt;"Serviço",0,IF(AND(AUTOEVENTO="Manual",$M229=1),0,IF(OFFSET(CRONOPLE!$F$14,$M229,BG$13)="",10^12,OFFSET(CRONOPLE!$F$14,$M229,BG$13))))</f>
        <v>1000000000000</v>
      </c>
      <c r="BH229" s="181">
        <f ca="1">IF($D229&lt;&gt;"Serviço",0,IF(AND(AUTOEVENTO="Manual",$M229=1),0,IF(OFFSET(CRONOPLE!$F$14,$M229,BH$13)="",10^12,OFFSET(CRONOPLE!$F$14,$M229,BH$13))))</f>
        <v>1000000000000</v>
      </c>
      <c r="BI229" s="181">
        <f ca="1">IF($D229&lt;&gt;"Serviço",0,IF(AND(AUTOEVENTO="Manual",$M229=1),0,IF(OFFSET(CRONOPLE!$F$14,$M229,BI$13)="",10^12,OFFSET(CRONOPLE!$F$14,$M229,BI$13))))</f>
        <v>1000000000000</v>
      </c>
      <c r="BJ229" s="181">
        <f ca="1">IF($D229&lt;&gt;"Serviço",0,IF(AND(AUTOEVENTO="Manual",$M229=1),0,IF(OFFSET(CRONOPLE!$F$14,$M229,BJ$13)="",10^12,OFFSET(CRONOPLE!$F$14,$M229,BJ$13))))</f>
        <v>1000000000000</v>
      </c>
      <c r="BK229" s="181">
        <f ca="1">IF($D229&lt;&gt;"Serviço",0,IF(AND(AUTOEVENTO="Manual",$M229=1),0,IF(OFFSET(CRONOPLE!$F$14,$M229,BK$13)="",10^12,OFFSET(CRONOPLE!$F$14,$M229,BK$13))))</f>
        <v>1000000000000</v>
      </c>
      <c r="BL229" s="181">
        <f ca="1">IF($D229&lt;&gt;"Serviço",0,IF(AND(AUTOEVENTO="Manual",$M229=1),0,IF(OFFSET(CRONOPLE!$F$14,$M229,BL$13)="",10^12,OFFSET(CRONOPLE!$F$14,$M229,BL$13))))</f>
        <v>1000000000000</v>
      </c>
      <c r="BM229" s="181">
        <f ca="1">IF($D229&lt;&gt;"Serviço",0,IF(AND(AUTOEVENTO="Manual",$M229=1),0,IF(OFFSET(CRONOPLE!$F$14,$M229,BM$13)="",10^12,OFFSET(CRONOPLE!$F$14,$M229,BM$13))))</f>
        <v>1000000000000</v>
      </c>
      <c r="BN229" s="181">
        <f ca="1">IF($D229&lt;&gt;"Serviço",0,IF(AND(AUTOEVENTO="Manual",$M229=1),0,IF(OFFSET(CRONOPLE!$F$14,$M229,BN$13)="",10^12,OFFSET(CRONOPLE!$F$14,$M229,BN$13))))</f>
        <v>1000000000000</v>
      </c>
      <c r="BO229" s="181">
        <f ca="1">IF($D229&lt;&gt;"Serviço",0,IF(AND(AUTOEVENTO="Manual",$M229=1),0,IF(OFFSET(CRONOPLE!$F$14,$M229,BO$13)="",10^12,OFFSET(CRONOPLE!$F$14,$M229,BO$13))))</f>
        <v>1000000000000</v>
      </c>
      <c r="BP229" s="181">
        <f ca="1">IF($D229&lt;&gt;"Serviço",0,IF(AND(AUTOEVENTO="Manual",$M229=1),0,IF(OFFSET(CRONOPLE!$F$14,$M229,BP$13)="",10^12,OFFSET(CRONOPLE!$F$14,$M229,BP$13))))</f>
        <v>1000000000000</v>
      </c>
      <c r="BQ229" s="181">
        <f ca="1">IF($D229&lt;&gt;"Serviço",0,IF(AND(AUTOEVENTO="Manual",$M229=1),0,IF(OFFSET(CRONOPLE!$F$14,$M229,BQ$13)="",10^12,OFFSET(CRONOPLE!$F$14,$M229,BQ$13))))</f>
        <v>1000000000000</v>
      </c>
      <c r="BR229" s="181">
        <f ca="1">IF($D229&lt;&gt;"Serviço",0,IF(AND(AUTOEVENTO="Manual",$M229=1),0,IF(OFFSET(CRONOPLE!$F$14,$M229,BR$13)="",10^12,OFFSET(CRONOPLE!$F$14,$M229,BR$13))))</f>
        <v>1000000000000</v>
      </c>
      <c r="BS229" s="181">
        <f ca="1">IF($D229&lt;&gt;"Serviço",0,IF(AND(AUTOEVENTO="Manual",$M229=1),0,IF(OFFSET(CRONOPLE!$F$14,$M229,BS$13)="",10^12,OFFSET(CRONOPLE!$F$14,$M229,BS$13))))</f>
        <v>1000000000000</v>
      </c>
      <c r="BT229" s="181">
        <f ca="1">IF($D229&lt;&gt;"Serviço",0,IF(AND(AUTOEVENTO="Manual",$M229=1),0,IF(OFFSET(CRONOPLE!$F$14,$M229,BT$13)="",10^12,OFFSET(CRONOPLE!$F$14,$M229,BT$13))))</f>
        <v>1000000000000</v>
      </c>
      <c r="BV229" s="182">
        <f ca="1">IF($D229&lt;&gt;"Serviço",0,IF(OR(AND(AUTOEVENTO="Manual",$M229=1),$M229&gt;(ROW(PLE.lastrow)-ROW(PLE.firstrow))),0,IF(OFFSET(PLE!$G$14,$M229,BV$13)="",10^12,OFFSET(PLE!$G$14,$M229,BV$13))))</f>
        <v>1000000000000</v>
      </c>
      <c r="BW229" s="182">
        <f ca="1">IF($D229&lt;&gt;"Serviço",0,IF(OR(AND(AUTOEVENTO="Manual",$M229=1),$M229&gt;(ROW(PLE.lastrow)-ROW(PLE.firstrow))),0,IF(OFFSET(PLE!$G$14,$M229,BW$13)="",10^12,OFFSET(PLE!$G$14,$M229,BW$13))))</f>
        <v>1000000000000</v>
      </c>
      <c r="BX229" s="182">
        <f ca="1">IF($D229&lt;&gt;"Serviço",0,IF(OR(AND(AUTOEVENTO="Manual",$M229=1),$M229&gt;(ROW(PLE.lastrow)-ROW(PLE.firstrow))),0,IF(OFFSET(PLE!$G$14,$M229,BX$13)="",10^12,OFFSET(PLE!$G$14,$M229,BX$13))))</f>
        <v>1000000000000</v>
      </c>
      <c r="BY229" s="182">
        <f ca="1">IF($D229&lt;&gt;"Serviço",0,IF(OR(AND(AUTOEVENTO="Manual",$M229=1),$M229&gt;(ROW(PLE.lastrow)-ROW(PLE.firstrow))),0,IF(OFFSET(PLE!$G$14,$M229,BY$13)="",10^12,OFFSET(PLE!$G$14,$M229,BY$13))))</f>
        <v>1000000000000</v>
      </c>
      <c r="BZ229" s="182">
        <f ca="1">IF($D229&lt;&gt;"Serviço",0,IF(OR(AND(AUTOEVENTO="Manual",$M229=1),$M229&gt;(ROW(PLE.lastrow)-ROW(PLE.firstrow))),0,IF(OFFSET(PLE!$G$14,$M229,BZ$13)="",10^12,OFFSET(PLE!$G$14,$M229,BZ$13))))</f>
        <v>1000000000000</v>
      </c>
      <c r="CA229" s="182">
        <f ca="1">IF($D229&lt;&gt;"Serviço",0,IF(OR(AND(AUTOEVENTO="Manual",$M229=1),$M229&gt;(ROW(PLE.lastrow)-ROW(PLE.firstrow))),0,IF(OFFSET(PLE!$G$14,$M229,CA$13)="",10^12,OFFSET(PLE!$G$14,$M229,CA$13))))</f>
        <v>1000000000000</v>
      </c>
      <c r="CB229" s="182">
        <f ca="1">IF($D229&lt;&gt;"Serviço",0,IF(OR(AND(AUTOEVENTO="Manual",$M229=1),$M229&gt;(ROW(PLE.lastrow)-ROW(PLE.firstrow))),0,IF(OFFSET(PLE!$G$14,$M229,CB$13)="",10^12,OFFSET(PLE!$G$14,$M229,CB$13))))</f>
        <v>1000000000000</v>
      </c>
      <c r="CC229" s="182">
        <f ca="1">IF($D229&lt;&gt;"Serviço",0,IF(OR(AND(AUTOEVENTO="Manual",$M229=1),$M229&gt;(ROW(PLE.lastrow)-ROW(PLE.firstrow))),0,IF(OFFSET(PLE!$G$14,$M229,CC$13)="",10^12,OFFSET(PLE!$G$14,$M229,CC$13))))</f>
        <v>1000000000000</v>
      </c>
      <c r="CD229" s="182">
        <f ca="1">IF($D229&lt;&gt;"Serviço",0,IF(OR(AND(AUTOEVENTO="Manual",$M229=1),$M229&gt;(ROW(PLE.lastrow)-ROW(PLE.firstrow))),0,IF(OFFSET(PLE!$G$14,$M229,CD$13)="",10^12,OFFSET(PLE!$G$14,$M229,CD$13))))</f>
        <v>1000000000000</v>
      </c>
      <c r="CE229" s="182">
        <f ca="1">IF($D229&lt;&gt;"Serviço",0,IF(OR(AND(AUTOEVENTO="Manual",$M229=1),$M229&gt;(ROW(PLE.lastrow)-ROW(PLE.firstrow))),0,IF(OFFSET(PLE!$G$14,$M229,CE$13)="",10^12,OFFSET(PLE!$G$14,$M229,CE$13))))</f>
        <v>1000000000000</v>
      </c>
      <c r="CF229" s="182">
        <f ca="1">IF($D229&lt;&gt;"Serviço",0,IF(OR(AND(AUTOEVENTO="Manual",$M229=1),$M229&gt;(ROW(PLE.lastrow)-ROW(PLE.firstrow))),0,IF(OFFSET(PLE!$G$14,$M229,CF$13)="",10^12,OFFSET(PLE!$G$14,$M229,CF$13))))</f>
        <v>1000000000000</v>
      </c>
      <c r="CG229" s="182">
        <f ca="1">IF($D229&lt;&gt;"Serviço",0,IF(OR(AND(AUTOEVENTO="Manual",$M229=1),$M229&gt;(ROW(PLE.lastrow)-ROW(PLE.firstrow))),0,IF(OFFSET(PLE!$G$14,$M229,CG$13)="",10^12,OFFSET(PLE!$G$14,$M229,CG$13))))</f>
        <v>1000000000000</v>
      </c>
      <c r="CH229" s="182">
        <f ca="1">IF($D229&lt;&gt;"Serviço",0,IF(OR(AND(AUTOEVENTO="Manual",$M229=1),$M229&gt;(ROW(PLE.lastrow)-ROW(PLE.firstrow))),0,IF(OFFSET(PLE!$G$14,$M229,CH$13)="",10^12,OFFSET(PLE!$G$14,$M229,CH$13))))</f>
        <v>1000000000000</v>
      </c>
      <c r="CI229" s="182">
        <f ca="1">IF($D229&lt;&gt;"Serviço",0,IF(OR(AND(AUTOEVENTO="Manual",$M229=1),$M229&gt;(ROW(PLE.lastrow)-ROW(PLE.firstrow))),0,IF(OFFSET(PLE!$G$14,$M229,CI$13)="",10^12,OFFSET(PLE!$G$14,$M229,CI$13))))</f>
        <v>1000000000000</v>
      </c>
      <c r="CJ229" s="182">
        <f ca="1">IF($D229&lt;&gt;"Serviço",0,IF(OR(AND(AUTOEVENTO="Manual",$M229=1),$M229&gt;(ROW(PLE.lastrow)-ROW(PLE.firstrow))),0,IF(OFFSET(PLE!$G$14,$M229,CJ$13)="",10^12,OFFSET(PLE!$G$14,$M229,CJ$13))))</f>
        <v>1000000000000</v>
      </c>
      <c r="CK229" s="182">
        <f ca="1">IF($D229&lt;&gt;"Serviço",0,IF(OR(AND(AUTOEVENTO="Manual",$M229=1),$M229&gt;(ROW(PLE.lastrow)-ROW(PLE.firstrow))),0,IF(OFFSET(PLE!$G$14,$M229,CK$13)="",10^12,OFFSET(PLE!$G$14,$M229,CK$13))))</f>
        <v>1000000000000</v>
      </c>
      <c r="CL229" s="182">
        <f ca="1">IF($D229&lt;&gt;"Serviço",0,IF(OR(AND(AUTOEVENTO="Manual",$M229=1),$M229&gt;(ROW(PLE.lastrow)-ROW(PLE.firstrow))),0,IF(OFFSET(PLE!$G$14,$M229,CL$13)="",10^12,OFFSET(PLE!$G$14,$M229,CL$13))))</f>
        <v>1000000000000</v>
      </c>
      <c r="CM229" s="182">
        <f ca="1">IF($D229&lt;&gt;"Serviço",0,IF(OR(AND(AUTOEVENTO="Manual",$M229=1),$M229&gt;(ROW(PLE.lastrow)-ROW(PLE.firstrow))),0,IF(OFFSET(PLE!$G$14,$M229,CM$13)="",10^12,OFFSET(PLE!$G$14,$M229,CM$13))))</f>
        <v>1000000000000</v>
      </c>
    </row>
    <row r="230" spans="1:91" ht="12.75" x14ac:dyDescent="0.2">
      <c r="A230" s="7" t="str">
        <f t="shared" ca="1" si="12"/>
        <v>215.</v>
      </c>
      <c r="B230" s="7">
        <f ca="1">OFFSET(ORÇAMENTO!C$15,ROW(B230)-ROW(B$15),0)</f>
        <v>2</v>
      </c>
      <c r="C230" s="7" t="str">
        <f ca="1">OFFSET(ORÇAMENTO!L$15,ROW(C230)-ROW(C$15),0)</f>
        <v>F</v>
      </c>
      <c r="D230" s="118" t="str">
        <f ca="1">OFFSET(ORÇAMENTO!N$15,ROW(D230)-ROW(D$15),0)</f>
        <v>Nível 2</v>
      </c>
      <c r="E230" s="119" t="str">
        <f ca="1">OFFSET(ORÇAMENTO!O$15,ROW(E230)-ROW(E$15),0)</f>
        <v>1.30.</v>
      </c>
      <c r="F230" s="172" t="str">
        <f ca="1">OFFSET(ORÇAMENTO!R$15,ROW(F230)-ROW(F$15),0)</f>
        <v>PINTURAS E ACABAMENTOS - FORROS</v>
      </c>
      <c r="G230" s="173" t="str">
        <f ca="1">IF($D230&lt;&gt;"Serviço","",OFFSET(ORÇAMENTO!S$15,ROW(G230)-ROW(G$15),0))</f>
        <v/>
      </c>
      <c r="H230" s="124">
        <f ca="1">IF($D230&lt;&gt;"Serviço",0,IF(ACOMPANHAMENTO="BM",ROUND(OFFSET(ORÇAMENTO!AJ$15,ROW(H230)-ROW(H$15),0),15-13*ORÇAMENTO!$AF$7),SUMPRODUCT(($Q$12:$AI$12&lt;&gt;"")*ROUND($Q230:$AI230,15-13*ORÇAMENTO!$AF$7))))</f>
        <v>0</v>
      </c>
      <c r="I230" s="561"/>
      <c r="K230" s="174"/>
      <c r="L230" s="175" t="s">
        <v>255</v>
      </c>
      <c r="M230" s="176" t="str">
        <f ca="1">IF($D230&lt;&gt;"Serviço","",IF(AUTOEVENTO="manual",$A230,IF(ISERROR(MATCH($A230,$A$15:OFFSET($A230,-1,0),0)),MAX($M$15:OFFSET(M230,-1,0))+1,INDEX($M$15:OFFSET(M230,-1,0),MATCH($A230,$A$15:OFFSET($A230,-1,0),0)))))</f>
        <v/>
      </c>
      <c r="N230" s="177" t="str">
        <f ca="1">IF($D230&lt;&gt;"Serviço","",IF(AUTOEVENTO="Manual",IF($A230=0,"&lt;-- defina o número do agrupador",OFFSET(EVENTOS!$D$14,$A230,0)),OFFSET($F$15,$A230,0)))</f>
        <v/>
      </c>
      <c r="O230" s="178"/>
      <c r="Q230" s="178">
        <v>0</v>
      </c>
      <c r="R230" s="179"/>
      <c r="S230" s="179"/>
      <c r="T230" s="179"/>
      <c r="U230" s="179"/>
      <c r="V230" s="179"/>
      <c r="W230" s="179"/>
      <c r="X230" s="179"/>
      <c r="Y230" s="179"/>
      <c r="Z230" s="180"/>
      <c r="AA230" s="179"/>
      <c r="AB230" s="179"/>
      <c r="AC230" s="179"/>
      <c r="AD230" s="179"/>
      <c r="AE230" s="179"/>
      <c r="AF230" s="179"/>
      <c r="AG230" s="179"/>
      <c r="AH230" s="180"/>
      <c r="AJ230" s="544">
        <f ca="1">IF(AND($D230="Serviço",AJ$12&lt;&gt;0,$H230&gt;0,OR(AUTOEVENTO&lt;&gt;"manual",$M230&lt;&gt;1)),
IF(Import.TipoArredondamento&lt;&gt;"TransfereGOV",
ROUND(OFFSET($P230,0,AJ$13),15-13*ORÇAMENTO!$AF$7)/$H230*OFFSET(ORÇAMENTO!$X$15,ROW(AJ230)-ROW(AJ$15),0),
ROUND(ROUND(OFFSET($P230,0,AJ$13),15-13*ORÇAMENTO!$AF$7)*OFFSET(ORÇAMENTO!$W$15,ROW(AJ230)-ROW(AJ$15),0),15-13*ORÇAMENTO!$AF$11)),0)</f>
        <v>0</v>
      </c>
      <c r="AK230" s="545">
        <f ca="1">IF(AND($D230="Serviço",AK$12&lt;&gt;0,$H230&gt;0,OR(AUTOEVENTO&lt;&gt;"manual",$M230&lt;&gt;1)),
IF(Import.TipoArredondamento&lt;&gt;"TransfereGOV",
ROUND(OFFSET($P230,0,AK$13),15-13*ORÇAMENTO!$AF$7)/$H230*OFFSET(ORÇAMENTO!$X$15,ROW(AK230)-ROW(AK$15),0),
ROUND(ROUND(OFFSET($P230,0,AK$13),15-13*ORÇAMENTO!$AF$7)*OFFSET(ORÇAMENTO!$W$15,ROW(AK230)-ROW(AK$15),0),15-13*ORÇAMENTO!$AF$11)),0)</f>
        <v>0</v>
      </c>
      <c r="AL230" s="545">
        <f ca="1">IF(AND($D230="Serviço",AL$12&lt;&gt;0,$H230&gt;0,OR(AUTOEVENTO&lt;&gt;"manual",$M230&lt;&gt;1)),
IF(Import.TipoArredondamento&lt;&gt;"TransfereGOV",
ROUND(OFFSET($P230,0,AL$13),15-13*ORÇAMENTO!$AF$7)/$H230*OFFSET(ORÇAMENTO!$X$15,ROW(AL230)-ROW(AL$15),0),
ROUND(ROUND(OFFSET($P230,0,AL$13),15-13*ORÇAMENTO!$AF$7)*OFFSET(ORÇAMENTO!$W$15,ROW(AL230)-ROW(AL$15),0),15-13*ORÇAMENTO!$AF$11)),0)</f>
        <v>0</v>
      </c>
      <c r="AM230" s="545">
        <f ca="1">IF(AND($D230="Serviço",AM$12&lt;&gt;0,$H230&gt;0,OR(AUTOEVENTO&lt;&gt;"manual",$M230&lt;&gt;1)),
IF(Import.TipoArredondamento&lt;&gt;"TransfereGOV",
ROUND(OFFSET($P230,0,AM$13),15-13*ORÇAMENTO!$AF$7)/$H230*OFFSET(ORÇAMENTO!$X$15,ROW(AM230)-ROW(AM$15),0),
ROUND(ROUND(OFFSET($P230,0,AM$13),15-13*ORÇAMENTO!$AF$7)*OFFSET(ORÇAMENTO!$W$15,ROW(AM230)-ROW(AM$15),0),15-13*ORÇAMENTO!$AF$11)),0)</f>
        <v>0</v>
      </c>
      <c r="AN230" s="545">
        <f ca="1">IF(AND($D230="Serviço",AN$12&lt;&gt;0,$H230&gt;0,OR(AUTOEVENTO&lt;&gt;"manual",$M230&lt;&gt;1)),
IF(Import.TipoArredondamento&lt;&gt;"TransfereGOV",
ROUND(OFFSET($P230,0,AN$13),15-13*ORÇAMENTO!$AF$7)/$H230*OFFSET(ORÇAMENTO!$X$15,ROW(AN230)-ROW(AN$15),0),
ROUND(ROUND(OFFSET($P230,0,AN$13),15-13*ORÇAMENTO!$AF$7)*OFFSET(ORÇAMENTO!$W$15,ROW(AN230)-ROW(AN$15),0),15-13*ORÇAMENTO!$AF$11)),0)</f>
        <v>0</v>
      </c>
      <c r="AO230" s="545">
        <f ca="1">IF(AND($D230="Serviço",AO$12&lt;&gt;0,$H230&gt;0,OR(AUTOEVENTO&lt;&gt;"manual",$M230&lt;&gt;1)),
IF(Import.TipoArredondamento&lt;&gt;"TransfereGOV",
ROUND(OFFSET($P230,0,AO$13),15-13*ORÇAMENTO!$AF$7)/$H230*OFFSET(ORÇAMENTO!$X$15,ROW(AO230)-ROW(AO$15),0),
ROUND(ROUND(OFFSET($P230,0,AO$13),15-13*ORÇAMENTO!$AF$7)*OFFSET(ORÇAMENTO!$W$15,ROW(AO230)-ROW(AO$15),0),15-13*ORÇAMENTO!$AF$11)),0)</f>
        <v>0</v>
      </c>
      <c r="AP230" s="545">
        <f ca="1">IF(AND($D230="Serviço",AP$12&lt;&gt;0,$H230&gt;0,OR(AUTOEVENTO&lt;&gt;"manual",$M230&lt;&gt;1)),
IF(Import.TipoArredondamento&lt;&gt;"TransfereGOV",
ROUND(OFFSET($P230,0,AP$13),15-13*ORÇAMENTO!$AF$7)/$H230*OFFSET(ORÇAMENTO!$X$15,ROW(AP230)-ROW(AP$15),0),
ROUND(ROUND(OFFSET($P230,0,AP$13),15-13*ORÇAMENTO!$AF$7)*OFFSET(ORÇAMENTO!$W$15,ROW(AP230)-ROW(AP$15),0),15-13*ORÇAMENTO!$AF$11)),0)</f>
        <v>0</v>
      </c>
      <c r="AQ230" s="545">
        <f ca="1">IF(AND($D230="Serviço",AQ$12&lt;&gt;0,$H230&gt;0,OR(AUTOEVENTO&lt;&gt;"manual",$M230&lt;&gt;1)),
IF(Import.TipoArredondamento&lt;&gt;"TransfereGOV",
ROUND(OFFSET($P230,0,AQ$13),15-13*ORÇAMENTO!$AF$7)/$H230*OFFSET(ORÇAMENTO!$X$15,ROW(AQ230)-ROW(AQ$15),0),
ROUND(ROUND(OFFSET($P230,0,AQ$13),15-13*ORÇAMENTO!$AF$7)*OFFSET(ORÇAMENTO!$W$15,ROW(AQ230)-ROW(AQ$15),0),15-13*ORÇAMENTO!$AF$11)),0)</f>
        <v>0</v>
      </c>
      <c r="AR230" s="545">
        <f ca="1">IF(AND($D230="Serviço",AR$12&lt;&gt;0,$H230&gt;0,OR(AUTOEVENTO&lt;&gt;"manual",$M230&lt;&gt;1)),
IF(Import.TipoArredondamento&lt;&gt;"TransfereGOV",
ROUND(OFFSET($P230,0,AR$13),15-13*ORÇAMENTO!$AF$7)/$H230*OFFSET(ORÇAMENTO!$X$15,ROW(AR230)-ROW(AR$15),0),
ROUND(ROUND(OFFSET($P230,0,AR$13),15-13*ORÇAMENTO!$AF$7)*OFFSET(ORÇAMENTO!$W$15,ROW(AR230)-ROW(AR$15),0),15-13*ORÇAMENTO!$AF$11)),0)</f>
        <v>0</v>
      </c>
      <c r="AS230" s="546">
        <f ca="1">IF(AND($D230="Serviço",AS$12&lt;&gt;0,$H230&gt;0,OR(AUTOEVENTO&lt;&gt;"manual",$M230&lt;&gt;1)),
IF(Import.TipoArredondamento&lt;&gt;"TransfereGOV",
ROUND(OFFSET($P230,0,AS$13),15-13*ORÇAMENTO!$AF$7)/$H230*OFFSET(ORÇAMENTO!$X$15,ROW(AS230)-ROW(AS$15),0),
ROUND(ROUND(OFFSET($P230,0,AS$13),15-13*ORÇAMENTO!$AF$7)*OFFSET(ORÇAMENTO!$W$15,ROW(AS230)-ROW(AS$15),0),15-13*ORÇAMENTO!$AF$11)),0)</f>
        <v>0</v>
      </c>
      <c r="AT230" s="545">
        <f ca="1">IF(AND($D230="Serviço",AT$12&lt;&gt;0,$H230&gt;0,OR(AUTOEVENTO&lt;&gt;"manual",$M230&lt;&gt;1)),
IF(Import.TipoArredondamento&lt;&gt;"TransfereGOV",
ROUND(OFFSET($P230,0,AT$13),15-13*ORÇAMENTO!$AF$7)/$H230*OFFSET(ORÇAMENTO!$X$15,ROW(AT230)-ROW(AT$15),0),
ROUND(ROUND(OFFSET($P230,0,AT$13),15-13*ORÇAMENTO!$AF$7)*OFFSET(ORÇAMENTO!$W$15,ROW(AT230)-ROW(AT$15),0),15-13*ORÇAMENTO!$AF$11)),0)</f>
        <v>0</v>
      </c>
      <c r="AU230" s="545">
        <f ca="1">IF(AND($D230="Serviço",AU$12&lt;&gt;0,$H230&gt;0,OR(AUTOEVENTO&lt;&gt;"manual",$M230&lt;&gt;1)),
IF(Import.TipoArredondamento&lt;&gt;"TransfereGOV",
ROUND(OFFSET($P230,0,AU$13),15-13*ORÇAMENTO!$AF$7)/$H230*OFFSET(ORÇAMENTO!$X$15,ROW(AU230)-ROW(AU$15),0),
ROUND(ROUND(OFFSET($P230,0,AU$13),15-13*ORÇAMENTO!$AF$7)*OFFSET(ORÇAMENTO!$W$15,ROW(AU230)-ROW(AU$15),0),15-13*ORÇAMENTO!$AF$11)),0)</f>
        <v>0</v>
      </c>
      <c r="AV230" s="545">
        <f ca="1">IF(AND($D230="Serviço",AV$12&lt;&gt;0,$H230&gt;0,OR(AUTOEVENTO&lt;&gt;"manual",$M230&lt;&gt;1)),
IF(Import.TipoArredondamento&lt;&gt;"TransfereGOV",
ROUND(OFFSET($P230,0,AV$13),15-13*ORÇAMENTO!$AF$7)/$H230*OFFSET(ORÇAMENTO!$X$15,ROW(AV230)-ROW(AV$15),0),
ROUND(ROUND(OFFSET($P230,0,AV$13),15-13*ORÇAMENTO!$AF$7)*OFFSET(ORÇAMENTO!$W$15,ROW(AV230)-ROW(AV$15),0),15-13*ORÇAMENTO!$AF$11)),0)</f>
        <v>0</v>
      </c>
      <c r="AW230" s="545">
        <f ca="1">IF(AND($D230="Serviço",AW$12&lt;&gt;0,$H230&gt;0,OR(AUTOEVENTO&lt;&gt;"manual",$M230&lt;&gt;1)),
IF(Import.TipoArredondamento&lt;&gt;"TransfereGOV",
ROUND(OFFSET($P230,0,AW$13),15-13*ORÇAMENTO!$AF$7)/$H230*OFFSET(ORÇAMENTO!$X$15,ROW(AW230)-ROW(AW$15),0),
ROUND(ROUND(OFFSET($P230,0,AW$13),15-13*ORÇAMENTO!$AF$7)*OFFSET(ORÇAMENTO!$W$15,ROW(AW230)-ROW(AW$15),0),15-13*ORÇAMENTO!$AF$11)),0)</f>
        <v>0</v>
      </c>
      <c r="AX230" s="545">
        <f ca="1">IF(AND($D230="Serviço",AX$12&lt;&gt;0,$H230&gt;0,OR(AUTOEVENTO&lt;&gt;"manual",$M230&lt;&gt;1)),
IF(Import.TipoArredondamento&lt;&gt;"TransfereGOV",
ROUND(OFFSET($P230,0,AX$13),15-13*ORÇAMENTO!$AF$7)/$H230*OFFSET(ORÇAMENTO!$X$15,ROW(AX230)-ROW(AX$15),0),
ROUND(ROUND(OFFSET($P230,0,AX$13),15-13*ORÇAMENTO!$AF$7)*OFFSET(ORÇAMENTO!$W$15,ROW(AX230)-ROW(AX$15),0),15-13*ORÇAMENTO!$AF$11)),0)</f>
        <v>0</v>
      </c>
      <c r="AY230" s="545">
        <f ca="1">IF(AND($D230="Serviço",AY$12&lt;&gt;0,$H230&gt;0,OR(AUTOEVENTO&lt;&gt;"manual",$M230&lt;&gt;1)),
IF(Import.TipoArredondamento&lt;&gt;"TransfereGOV",
ROUND(OFFSET($P230,0,AY$13),15-13*ORÇAMENTO!$AF$7)/$H230*OFFSET(ORÇAMENTO!$X$15,ROW(AY230)-ROW(AY$15),0),
ROUND(ROUND(OFFSET($P230,0,AY$13),15-13*ORÇAMENTO!$AF$7)*OFFSET(ORÇAMENTO!$W$15,ROW(AY230)-ROW(AY$15),0),15-13*ORÇAMENTO!$AF$11)),0)</f>
        <v>0</v>
      </c>
      <c r="AZ230" s="545">
        <f ca="1">IF(AND($D230="Serviço",AZ$12&lt;&gt;0,$H230&gt;0,OR(AUTOEVENTO&lt;&gt;"manual",$M230&lt;&gt;1)),
IF(Import.TipoArredondamento&lt;&gt;"TransfereGOV",
ROUND(OFFSET($P230,0,AZ$13),15-13*ORÇAMENTO!$AF$7)/$H230*OFFSET(ORÇAMENTO!$X$15,ROW(AZ230)-ROW(AZ$15),0),
ROUND(ROUND(OFFSET($P230,0,AZ$13),15-13*ORÇAMENTO!$AF$7)*OFFSET(ORÇAMENTO!$W$15,ROW(AZ230)-ROW(AZ$15),0),15-13*ORÇAMENTO!$AF$11)),0)</f>
        <v>0</v>
      </c>
      <c r="BA230" s="546">
        <f ca="1">IF(AND($D230="Serviço",BA$12&lt;&gt;0,$H230&gt;0,OR(AUTOEVENTO&lt;&gt;"manual",$M230&lt;&gt;1)),
IF(Import.TipoArredondamento&lt;&gt;"TransfereGOV",
ROUND(OFFSET($P230,0,BA$13),15-13*ORÇAMENTO!$AF$7)/$H230*OFFSET(ORÇAMENTO!$X$15,ROW(BA230)-ROW(BA$15),0),
ROUND(ROUND(OFFSET($P230,0,BA$13),15-13*ORÇAMENTO!$AF$7)*OFFSET(ORÇAMENTO!$W$15,ROW(BA230)-ROW(BA$15),0),15-13*ORÇAMENTO!$AF$11)),0)</f>
        <v>0</v>
      </c>
      <c r="BC230" s="181">
        <f ca="1">IF($D230&lt;&gt;"Serviço",0,IF(AND(AUTOEVENTO="Manual",$M230=1),0,IF(OFFSET(CRONOPLE!$F$14,$M230,BC$13)="",10^12,OFFSET(CRONOPLE!$F$14,$M230,BC$13))))</f>
        <v>0</v>
      </c>
      <c r="BD230" s="181">
        <f ca="1">IF($D230&lt;&gt;"Serviço",0,IF(AND(AUTOEVENTO="Manual",$M230=1),0,IF(OFFSET(CRONOPLE!$F$14,$M230,BD$13)="",10^12,OFFSET(CRONOPLE!$F$14,$M230,BD$13))))</f>
        <v>0</v>
      </c>
      <c r="BE230" s="181">
        <f ca="1">IF($D230&lt;&gt;"Serviço",0,IF(AND(AUTOEVENTO="Manual",$M230=1),0,IF(OFFSET(CRONOPLE!$F$14,$M230,BE$13)="",10^12,OFFSET(CRONOPLE!$F$14,$M230,BE$13))))</f>
        <v>0</v>
      </c>
      <c r="BF230" s="181">
        <f ca="1">IF($D230&lt;&gt;"Serviço",0,IF(AND(AUTOEVENTO="Manual",$M230=1),0,IF(OFFSET(CRONOPLE!$F$14,$M230,BF$13)="",10^12,OFFSET(CRONOPLE!$F$14,$M230,BF$13))))</f>
        <v>0</v>
      </c>
      <c r="BG230" s="181">
        <f ca="1">IF($D230&lt;&gt;"Serviço",0,IF(AND(AUTOEVENTO="Manual",$M230=1),0,IF(OFFSET(CRONOPLE!$F$14,$M230,BG$13)="",10^12,OFFSET(CRONOPLE!$F$14,$M230,BG$13))))</f>
        <v>0</v>
      </c>
      <c r="BH230" s="181">
        <f ca="1">IF($D230&lt;&gt;"Serviço",0,IF(AND(AUTOEVENTO="Manual",$M230=1),0,IF(OFFSET(CRONOPLE!$F$14,$M230,BH$13)="",10^12,OFFSET(CRONOPLE!$F$14,$M230,BH$13))))</f>
        <v>0</v>
      </c>
      <c r="BI230" s="181">
        <f ca="1">IF($D230&lt;&gt;"Serviço",0,IF(AND(AUTOEVENTO="Manual",$M230=1),0,IF(OFFSET(CRONOPLE!$F$14,$M230,BI$13)="",10^12,OFFSET(CRONOPLE!$F$14,$M230,BI$13))))</f>
        <v>0</v>
      </c>
      <c r="BJ230" s="181">
        <f ca="1">IF($D230&lt;&gt;"Serviço",0,IF(AND(AUTOEVENTO="Manual",$M230=1),0,IF(OFFSET(CRONOPLE!$F$14,$M230,BJ$13)="",10^12,OFFSET(CRONOPLE!$F$14,$M230,BJ$13))))</f>
        <v>0</v>
      </c>
      <c r="BK230" s="181">
        <f ca="1">IF($D230&lt;&gt;"Serviço",0,IF(AND(AUTOEVENTO="Manual",$M230=1),0,IF(OFFSET(CRONOPLE!$F$14,$M230,BK$13)="",10^12,OFFSET(CRONOPLE!$F$14,$M230,BK$13))))</f>
        <v>0</v>
      </c>
      <c r="BL230" s="181">
        <f ca="1">IF($D230&lt;&gt;"Serviço",0,IF(AND(AUTOEVENTO="Manual",$M230=1),0,IF(OFFSET(CRONOPLE!$F$14,$M230,BL$13)="",10^12,OFFSET(CRONOPLE!$F$14,$M230,BL$13))))</f>
        <v>0</v>
      </c>
      <c r="BM230" s="181">
        <f ca="1">IF($D230&lt;&gt;"Serviço",0,IF(AND(AUTOEVENTO="Manual",$M230=1),0,IF(OFFSET(CRONOPLE!$F$14,$M230,BM$13)="",10^12,OFFSET(CRONOPLE!$F$14,$M230,BM$13))))</f>
        <v>0</v>
      </c>
      <c r="BN230" s="181">
        <f ca="1">IF($D230&lt;&gt;"Serviço",0,IF(AND(AUTOEVENTO="Manual",$M230=1),0,IF(OFFSET(CRONOPLE!$F$14,$M230,BN$13)="",10^12,OFFSET(CRONOPLE!$F$14,$M230,BN$13))))</f>
        <v>0</v>
      </c>
      <c r="BO230" s="181">
        <f ca="1">IF($D230&lt;&gt;"Serviço",0,IF(AND(AUTOEVENTO="Manual",$M230=1),0,IF(OFFSET(CRONOPLE!$F$14,$M230,BO$13)="",10^12,OFFSET(CRONOPLE!$F$14,$M230,BO$13))))</f>
        <v>0</v>
      </c>
      <c r="BP230" s="181">
        <f ca="1">IF($D230&lt;&gt;"Serviço",0,IF(AND(AUTOEVENTO="Manual",$M230=1),0,IF(OFFSET(CRONOPLE!$F$14,$M230,BP$13)="",10^12,OFFSET(CRONOPLE!$F$14,$M230,BP$13))))</f>
        <v>0</v>
      </c>
      <c r="BQ230" s="181">
        <f ca="1">IF($D230&lt;&gt;"Serviço",0,IF(AND(AUTOEVENTO="Manual",$M230=1),0,IF(OFFSET(CRONOPLE!$F$14,$M230,BQ$13)="",10^12,OFFSET(CRONOPLE!$F$14,$M230,BQ$13))))</f>
        <v>0</v>
      </c>
      <c r="BR230" s="181">
        <f ca="1">IF($D230&lt;&gt;"Serviço",0,IF(AND(AUTOEVENTO="Manual",$M230=1),0,IF(OFFSET(CRONOPLE!$F$14,$M230,BR$13)="",10^12,OFFSET(CRONOPLE!$F$14,$M230,BR$13))))</f>
        <v>0</v>
      </c>
      <c r="BS230" s="181">
        <f ca="1">IF($D230&lt;&gt;"Serviço",0,IF(AND(AUTOEVENTO="Manual",$M230=1),0,IF(OFFSET(CRONOPLE!$F$14,$M230,BS$13)="",10^12,OFFSET(CRONOPLE!$F$14,$M230,BS$13))))</f>
        <v>0</v>
      </c>
      <c r="BT230" s="181">
        <f ca="1">IF($D230&lt;&gt;"Serviço",0,IF(AND(AUTOEVENTO="Manual",$M230=1),0,IF(OFFSET(CRONOPLE!$F$14,$M230,BT$13)="",10^12,OFFSET(CRONOPLE!$F$14,$M230,BT$13))))</f>
        <v>0</v>
      </c>
      <c r="BV230" s="182">
        <f ca="1">IF($D230&lt;&gt;"Serviço",0,IF(OR(AND(AUTOEVENTO="Manual",$M230=1),$M230&gt;(ROW(PLE.lastrow)-ROW(PLE.firstrow))),0,IF(OFFSET(PLE!$G$14,$M230,BV$13)="",10^12,OFFSET(PLE!$G$14,$M230,BV$13))))</f>
        <v>0</v>
      </c>
      <c r="BW230" s="182">
        <f ca="1">IF($D230&lt;&gt;"Serviço",0,IF(OR(AND(AUTOEVENTO="Manual",$M230=1),$M230&gt;(ROW(PLE.lastrow)-ROW(PLE.firstrow))),0,IF(OFFSET(PLE!$G$14,$M230,BW$13)="",10^12,OFFSET(PLE!$G$14,$M230,BW$13))))</f>
        <v>0</v>
      </c>
      <c r="BX230" s="182">
        <f ca="1">IF($D230&lt;&gt;"Serviço",0,IF(OR(AND(AUTOEVENTO="Manual",$M230=1),$M230&gt;(ROW(PLE.lastrow)-ROW(PLE.firstrow))),0,IF(OFFSET(PLE!$G$14,$M230,BX$13)="",10^12,OFFSET(PLE!$G$14,$M230,BX$13))))</f>
        <v>0</v>
      </c>
      <c r="BY230" s="182">
        <f ca="1">IF($D230&lt;&gt;"Serviço",0,IF(OR(AND(AUTOEVENTO="Manual",$M230=1),$M230&gt;(ROW(PLE.lastrow)-ROW(PLE.firstrow))),0,IF(OFFSET(PLE!$G$14,$M230,BY$13)="",10^12,OFFSET(PLE!$G$14,$M230,BY$13))))</f>
        <v>0</v>
      </c>
      <c r="BZ230" s="182">
        <f ca="1">IF($D230&lt;&gt;"Serviço",0,IF(OR(AND(AUTOEVENTO="Manual",$M230=1),$M230&gt;(ROW(PLE.lastrow)-ROW(PLE.firstrow))),0,IF(OFFSET(PLE!$G$14,$M230,BZ$13)="",10^12,OFFSET(PLE!$G$14,$M230,BZ$13))))</f>
        <v>0</v>
      </c>
      <c r="CA230" s="182">
        <f ca="1">IF($D230&lt;&gt;"Serviço",0,IF(OR(AND(AUTOEVENTO="Manual",$M230=1),$M230&gt;(ROW(PLE.lastrow)-ROW(PLE.firstrow))),0,IF(OFFSET(PLE!$G$14,$M230,CA$13)="",10^12,OFFSET(PLE!$G$14,$M230,CA$13))))</f>
        <v>0</v>
      </c>
      <c r="CB230" s="182">
        <f ca="1">IF($D230&lt;&gt;"Serviço",0,IF(OR(AND(AUTOEVENTO="Manual",$M230=1),$M230&gt;(ROW(PLE.lastrow)-ROW(PLE.firstrow))),0,IF(OFFSET(PLE!$G$14,$M230,CB$13)="",10^12,OFFSET(PLE!$G$14,$M230,CB$13))))</f>
        <v>0</v>
      </c>
      <c r="CC230" s="182">
        <f ca="1">IF($D230&lt;&gt;"Serviço",0,IF(OR(AND(AUTOEVENTO="Manual",$M230=1),$M230&gt;(ROW(PLE.lastrow)-ROW(PLE.firstrow))),0,IF(OFFSET(PLE!$G$14,$M230,CC$13)="",10^12,OFFSET(PLE!$G$14,$M230,CC$13))))</f>
        <v>0</v>
      </c>
      <c r="CD230" s="182">
        <f ca="1">IF($D230&lt;&gt;"Serviço",0,IF(OR(AND(AUTOEVENTO="Manual",$M230=1),$M230&gt;(ROW(PLE.lastrow)-ROW(PLE.firstrow))),0,IF(OFFSET(PLE!$G$14,$M230,CD$13)="",10^12,OFFSET(PLE!$G$14,$M230,CD$13))))</f>
        <v>0</v>
      </c>
      <c r="CE230" s="182">
        <f ca="1">IF($D230&lt;&gt;"Serviço",0,IF(OR(AND(AUTOEVENTO="Manual",$M230=1),$M230&gt;(ROW(PLE.lastrow)-ROW(PLE.firstrow))),0,IF(OFFSET(PLE!$G$14,$M230,CE$13)="",10^12,OFFSET(PLE!$G$14,$M230,CE$13))))</f>
        <v>0</v>
      </c>
      <c r="CF230" s="182">
        <f ca="1">IF($D230&lt;&gt;"Serviço",0,IF(OR(AND(AUTOEVENTO="Manual",$M230=1),$M230&gt;(ROW(PLE.lastrow)-ROW(PLE.firstrow))),0,IF(OFFSET(PLE!$G$14,$M230,CF$13)="",10^12,OFFSET(PLE!$G$14,$M230,CF$13))))</f>
        <v>0</v>
      </c>
      <c r="CG230" s="182">
        <f ca="1">IF($D230&lt;&gt;"Serviço",0,IF(OR(AND(AUTOEVENTO="Manual",$M230=1),$M230&gt;(ROW(PLE.lastrow)-ROW(PLE.firstrow))),0,IF(OFFSET(PLE!$G$14,$M230,CG$13)="",10^12,OFFSET(PLE!$G$14,$M230,CG$13))))</f>
        <v>0</v>
      </c>
      <c r="CH230" s="182">
        <f ca="1">IF($D230&lt;&gt;"Serviço",0,IF(OR(AND(AUTOEVENTO="Manual",$M230=1),$M230&gt;(ROW(PLE.lastrow)-ROW(PLE.firstrow))),0,IF(OFFSET(PLE!$G$14,$M230,CH$13)="",10^12,OFFSET(PLE!$G$14,$M230,CH$13))))</f>
        <v>0</v>
      </c>
      <c r="CI230" s="182">
        <f ca="1">IF($D230&lt;&gt;"Serviço",0,IF(OR(AND(AUTOEVENTO="Manual",$M230=1),$M230&gt;(ROW(PLE.lastrow)-ROW(PLE.firstrow))),0,IF(OFFSET(PLE!$G$14,$M230,CI$13)="",10^12,OFFSET(PLE!$G$14,$M230,CI$13))))</f>
        <v>0</v>
      </c>
      <c r="CJ230" s="182">
        <f ca="1">IF($D230&lt;&gt;"Serviço",0,IF(OR(AND(AUTOEVENTO="Manual",$M230=1),$M230&gt;(ROW(PLE.lastrow)-ROW(PLE.firstrow))),0,IF(OFFSET(PLE!$G$14,$M230,CJ$13)="",10^12,OFFSET(PLE!$G$14,$M230,CJ$13))))</f>
        <v>0</v>
      </c>
      <c r="CK230" s="182">
        <f ca="1">IF($D230&lt;&gt;"Serviço",0,IF(OR(AND(AUTOEVENTO="Manual",$M230=1),$M230&gt;(ROW(PLE.lastrow)-ROW(PLE.firstrow))),0,IF(OFFSET(PLE!$G$14,$M230,CK$13)="",10^12,OFFSET(PLE!$G$14,$M230,CK$13))))</f>
        <v>0</v>
      </c>
      <c r="CL230" s="182">
        <f ca="1">IF($D230&lt;&gt;"Serviço",0,IF(OR(AND(AUTOEVENTO="Manual",$M230=1),$M230&gt;(ROW(PLE.lastrow)-ROW(PLE.firstrow))),0,IF(OFFSET(PLE!$G$14,$M230,CL$13)="",10^12,OFFSET(PLE!$G$14,$M230,CL$13))))</f>
        <v>0</v>
      </c>
      <c r="CM230" s="182">
        <f ca="1">IF($D230&lt;&gt;"Serviço",0,IF(OR(AND(AUTOEVENTO="Manual",$M230=1),$M230&gt;(ROW(PLE.lastrow)-ROW(PLE.firstrow))),0,IF(OFFSET(PLE!$G$14,$M230,CM$13)="",10^12,OFFSET(PLE!$G$14,$M230,CM$13))))</f>
        <v>0</v>
      </c>
    </row>
    <row r="231" spans="1:91" ht="25.5" x14ac:dyDescent="0.2">
      <c r="A231" s="7" t="str">
        <f t="shared" ca="1" si="12"/>
        <v>215</v>
      </c>
      <c r="B231" s="7" t="str">
        <f ca="1">OFFSET(ORÇAMENTO!C$15,ROW(B231)-ROW(B$15),0)</f>
        <v>S</v>
      </c>
      <c r="C231" s="7" t="str">
        <f ca="1">OFFSET(ORÇAMENTO!L$15,ROW(C231)-ROW(C$15),0)</f>
        <v/>
      </c>
      <c r="D231" s="118" t="str">
        <f ca="1">OFFSET(ORÇAMENTO!N$15,ROW(D231)-ROW(D$15),0)</f>
        <v>Serviço</v>
      </c>
      <c r="E231" s="119" t="str">
        <f ca="1">OFFSET(ORÇAMENTO!O$15,ROW(E231)-ROW(E$15),0)</f>
        <v>-</v>
      </c>
      <c r="F231" s="172" t="str">
        <f ca="1">OFFSET(ORÇAMENTO!R$15,ROW(F231)-ROW(F$15),0)</f>
        <v>(abra o arquivo 'Referência 06-2024.xlsm)</v>
      </c>
      <c r="G231" s="173" t="str">
        <f ca="1">IF($D231&lt;&gt;"Serviço","",OFFSET(ORÇAMENTO!S$15,ROW(G231)-ROW(G$15),0))</f>
        <v>-</v>
      </c>
      <c r="H231" s="124">
        <f ca="1">IF($D231&lt;&gt;"Serviço",0,IF(ACOMPANHAMENTO="BM",ROUND(OFFSET(ORÇAMENTO!AJ$15,ROW(H231)-ROW(H$15),0),15-13*ORÇAMENTO!$AF$7),SUMPRODUCT(($Q$12:$AI$12&lt;&gt;"")*ROUND($Q231:$AI231,15-13*ORÇAMENTO!$AF$7))))</f>
        <v>481.84</v>
      </c>
      <c r="I231" s="561" t="s">
        <v>1107</v>
      </c>
      <c r="K231" s="174"/>
      <c r="L231" s="175" t="s">
        <v>255</v>
      </c>
      <c r="M231" s="176">
        <f ca="1">IF($D231&lt;&gt;"Serviço","",IF(AUTOEVENTO="manual",$A231,IF(ISERROR(MATCH($A231,$A$15:OFFSET($A231,-1,0),0)),MAX($M$15:OFFSET(M231,-1,0))+1,INDEX($M$15:OFFSET(M231,-1,0),MATCH($A231,$A$15:OFFSET($A231,-1,0),0)))))</f>
        <v>31</v>
      </c>
      <c r="N231" s="177" t="str">
        <f ca="1">IF($D231&lt;&gt;"Serviço","",IF(AUTOEVENTO="Manual",IF($A231=0,"&lt;-- defina o número do agrupador",OFFSET(EVENTOS!$D$14,$A231,0)),OFFSET($F$15,$A231,0)))</f>
        <v>PINTURAS E ACABAMENTOS - FORROS</v>
      </c>
      <c r="O231" s="178"/>
      <c r="Q231" s="178">
        <v>481.84</v>
      </c>
      <c r="R231" s="179"/>
      <c r="S231" s="179"/>
      <c r="T231" s="179"/>
      <c r="U231" s="179"/>
      <c r="V231" s="179"/>
      <c r="W231" s="179"/>
      <c r="X231" s="179"/>
      <c r="Y231" s="179"/>
      <c r="Z231" s="180"/>
      <c r="AA231" s="179"/>
      <c r="AB231" s="179"/>
      <c r="AC231" s="179"/>
      <c r="AD231" s="179"/>
      <c r="AE231" s="179"/>
      <c r="AF231" s="179"/>
      <c r="AG231" s="179"/>
      <c r="AH231" s="180"/>
      <c r="AJ231" s="544">
        <f ca="1">IF(AND($D231="Serviço",AJ$12&lt;&gt;0,$H231&gt;0,OR(AUTOEVENTO&lt;&gt;"manual",$M231&lt;&gt;1)),
IF(Import.TipoArredondamento&lt;&gt;"TransfereGOV",
ROUND(OFFSET($P231,0,AJ$13),15-13*ORÇAMENTO!$AF$7)/$H231*OFFSET(ORÇAMENTO!$X$15,ROW(AJ231)-ROW(AJ$15),0),
ROUND(ROUND(OFFSET($P231,0,AJ$13),15-13*ORÇAMENTO!$AF$7)*OFFSET(ORÇAMENTO!$W$15,ROW(AJ231)-ROW(AJ$15),0),15-13*ORÇAMENTO!$AF$11)),0)</f>
        <v>0</v>
      </c>
      <c r="AK231" s="545">
        <f ca="1">IF(AND($D231="Serviço",AK$12&lt;&gt;0,$H231&gt;0,OR(AUTOEVENTO&lt;&gt;"manual",$M231&lt;&gt;1)),
IF(Import.TipoArredondamento&lt;&gt;"TransfereGOV",
ROUND(OFFSET($P231,0,AK$13),15-13*ORÇAMENTO!$AF$7)/$H231*OFFSET(ORÇAMENTO!$X$15,ROW(AK231)-ROW(AK$15),0),
ROUND(ROUND(OFFSET($P231,0,AK$13),15-13*ORÇAMENTO!$AF$7)*OFFSET(ORÇAMENTO!$W$15,ROW(AK231)-ROW(AK$15),0),15-13*ORÇAMENTO!$AF$11)),0)</f>
        <v>0</v>
      </c>
      <c r="AL231" s="545">
        <f ca="1">IF(AND($D231="Serviço",AL$12&lt;&gt;0,$H231&gt;0,OR(AUTOEVENTO&lt;&gt;"manual",$M231&lt;&gt;1)),
IF(Import.TipoArredondamento&lt;&gt;"TransfereGOV",
ROUND(OFFSET($P231,0,AL$13),15-13*ORÇAMENTO!$AF$7)/$H231*OFFSET(ORÇAMENTO!$X$15,ROW(AL231)-ROW(AL$15),0),
ROUND(ROUND(OFFSET($P231,0,AL$13),15-13*ORÇAMENTO!$AF$7)*OFFSET(ORÇAMENTO!$W$15,ROW(AL231)-ROW(AL$15),0),15-13*ORÇAMENTO!$AF$11)),0)</f>
        <v>0</v>
      </c>
      <c r="AM231" s="545">
        <f ca="1">IF(AND($D231="Serviço",AM$12&lt;&gt;0,$H231&gt;0,OR(AUTOEVENTO&lt;&gt;"manual",$M231&lt;&gt;1)),
IF(Import.TipoArredondamento&lt;&gt;"TransfereGOV",
ROUND(OFFSET($P231,0,AM$13),15-13*ORÇAMENTO!$AF$7)/$H231*OFFSET(ORÇAMENTO!$X$15,ROW(AM231)-ROW(AM$15),0),
ROUND(ROUND(OFFSET($P231,0,AM$13),15-13*ORÇAMENTO!$AF$7)*OFFSET(ORÇAMENTO!$W$15,ROW(AM231)-ROW(AM$15),0),15-13*ORÇAMENTO!$AF$11)),0)</f>
        <v>0</v>
      </c>
      <c r="AN231" s="545">
        <f ca="1">IF(AND($D231="Serviço",AN$12&lt;&gt;0,$H231&gt;0,OR(AUTOEVENTO&lt;&gt;"manual",$M231&lt;&gt;1)),
IF(Import.TipoArredondamento&lt;&gt;"TransfereGOV",
ROUND(OFFSET($P231,0,AN$13),15-13*ORÇAMENTO!$AF$7)/$H231*OFFSET(ORÇAMENTO!$X$15,ROW(AN231)-ROW(AN$15),0),
ROUND(ROUND(OFFSET($P231,0,AN$13),15-13*ORÇAMENTO!$AF$7)*OFFSET(ORÇAMENTO!$W$15,ROW(AN231)-ROW(AN$15),0),15-13*ORÇAMENTO!$AF$11)),0)</f>
        <v>0</v>
      </c>
      <c r="AO231" s="545">
        <f ca="1">IF(AND($D231="Serviço",AO$12&lt;&gt;0,$H231&gt;0,OR(AUTOEVENTO&lt;&gt;"manual",$M231&lt;&gt;1)),
IF(Import.TipoArredondamento&lt;&gt;"TransfereGOV",
ROUND(OFFSET($P231,0,AO$13),15-13*ORÇAMENTO!$AF$7)/$H231*OFFSET(ORÇAMENTO!$X$15,ROW(AO231)-ROW(AO$15),0),
ROUND(ROUND(OFFSET($P231,0,AO$13),15-13*ORÇAMENTO!$AF$7)*OFFSET(ORÇAMENTO!$W$15,ROW(AO231)-ROW(AO$15),0),15-13*ORÇAMENTO!$AF$11)),0)</f>
        <v>0</v>
      </c>
      <c r="AP231" s="545">
        <f ca="1">IF(AND($D231="Serviço",AP$12&lt;&gt;0,$H231&gt;0,OR(AUTOEVENTO&lt;&gt;"manual",$M231&lt;&gt;1)),
IF(Import.TipoArredondamento&lt;&gt;"TransfereGOV",
ROUND(OFFSET($P231,0,AP$13),15-13*ORÇAMENTO!$AF$7)/$H231*OFFSET(ORÇAMENTO!$X$15,ROW(AP231)-ROW(AP$15),0),
ROUND(ROUND(OFFSET($P231,0,AP$13),15-13*ORÇAMENTO!$AF$7)*OFFSET(ORÇAMENTO!$W$15,ROW(AP231)-ROW(AP$15),0),15-13*ORÇAMENTO!$AF$11)),0)</f>
        <v>0</v>
      </c>
      <c r="AQ231" s="545">
        <f ca="1">IF(AND($D231="Serviço",AQ$12&lt;&gt;0,$H231&gt;0,OR(AUTOEVENTO&lt;&gt;"manual",$M231&lt;&gt;1)),
IF(Import.TipoArredondamento&lt;&gt;"TransfereGOV",
ROUND(OFFSET($P231,0,AQ$13),15-13*ORÇAMENTO!$AF$7)/$H231*OFFSET(ORÇAMENTO!$X$15,ROW(AQ231)-ROW(AQ$15),0),
ROUND(ROUND(OFFSET($P231,0,AQ$13),15-13*ORÇAMENTO!$AF$7)*OFFSET(ORÇAMENTO!$W$15,ROW(AQ231)-ROW(AQ$15),0),15-13*ORÇAMENTO!$AF$11)),0)</f>
        <v>0</v>
      </c>
      <c r="AR231" s="545">
        <f ca="1">IF(AND($D231="Serviço",AR$12&lt;&gt;0,$H231&gt;0,OR(AUTOEVENTO&lt;&gt;"manual",$M231&lt;&gt;1)),
IF(Import.TipoArredondamento&lt;&gt;"TransfereGOV",
ROUND(OFFSET($P231,0,AR$13),15-13*ORÇAMENTO!$AF$7)/$H231*OFFSET(ORÇAMENTO!$X$15,ROW(AR231)-ROW(AR$15),0),
ROUND(ROUND(OFFSET($P231,0,AR$13),15-13*ORÇAMENTO!$AF$7)*OFFSET(ORÇAMENTO!$W$15,ROW(AR231)-ROW(AR$15),0),15-13*ORÇAMENTO!$AF$11)),0)</f>
        <v>0</v>
      </c>
      <c r="AS231" s="546">
        <f ca="1">IF(AND($D231="Serviço",AS$12&lt;&gt;0,$H231&gt;0,OR(AUTOEVENTO&lt;&gt;"manual",$M231&lt;&gt;1)),
IF(Import.TipoArredondamento&lt;&gt;"TransfereGOV",
ROUND(OFFSET($P231,0,AS$13),15-13*ORÇAMENTO!$AF$7)/$H231*OFFSET(ORÇAMENTO!$X$15,ROW(AS231)-ROW(AS$15),0),
ROUND(ROUND(OFFSET($P231,0,AS$13),15-13*ORÇAMENTO!$AF$7)*OFFSET(ORÇAMENTO!$W$15,ROW(AS231)-ROW(AS$15),0),15-13*ORÇAMENTO!$AF$11)),0)</f>
        <v>0</v>
      </c>
      <c r="AT231" s="545">
        <f ca="1">IF(AND($D231="Serviço",AT$12&lt;&gt;0,$H231&gt;0,OR(AUTOEVENTO&lt;&gt;"manual",$M231&lt;&gt;1)),
IF(Import.TipoArredondamento&lt;&gt;"TransfereGOV",
ROUND(OFFSET($P231,0,AT$13),15-13*ORÇAMENTO!$AF$7)/$H231*OFFSET(ORÇAMENTO!$X$15,ROW(AT231)-ROW(AT$15),0),
ROUND(ROUND(OFFSET($P231,0,AT$13),15-13*ORÇAMENTO!$AF$7)*OFFSET(ORÇAMENTO!$W$15,ROW(AT231)-ROW(AT$15),0),15-13*ORÇAMENTO!$AF$11)),0)</f>
        <v>0</v>
      </c>
      <c r="AU231" s="545">
        <f ca="1">IF(AND($D231="Serviço",AU$12&lt;&gt;0,$H231&gt;0,OR(AUTOEVENTO&lt;&gt;"manual",$M231&lt;&gt;1)),
IF(Import.TipoArredondamento&lt;&gt;"TransfereGOV",
ROUND(OFFSET($P231,0,AU$13),15-13*ORÇAMENTO!$AF$7)/$H231*OFFSET(ORÇAMENTO!$X$15,ROW(AU231)-ROW(AU$15),0),
ROUND(ROUND(OFFSET($P231,0,AU$13),15-13*ORÇAMENTO!$AF$7)*OFFSET(ORÇAMENTO!$W$15,ROW(AU231)-ROW(AU$15),0),15-13*ORÇAMENTO!$AF$11)),0)</f>
        <v>0</v>
      </c>
      <c r="AV231" s="545">
        <f ca="1">IF(AND($D231="Serviço",AV$12&lt;&gt;0,$H231&gt;0,OR(AUTOEVENTO&lt;&gt;"manual",$M231&lt;&gt;1)),
IF(Import.TipoArredondamento&lt;&gt;"TransfereGOV",
ROUND(OFFSET($P231,0,AV$13),15-13*ORÇAMENTO!$AF$7)/$H231*OFFSET(ORÇAMENTO!$X$15,ROW(AV231)-ROW(AV$15),0),
ROUND(ROUND(OFFSET($P231,0,AV$13),15-13*ORÇAMENTO!$AF$7)*OFFSET(ORÇAMENTO!$W$15,ROW(AV231)-ROW(AV$15),0),15-13*ORÇAMENTO!$AF$11)),0)</f>
        <v>0</v>
      </c>
      <c r="AW231" s="545">
        <f ca="1">IF(AND($D231="Serviço",AW$12&lt;&gt;0,$H231&gt;0,OR(AUTOEVENTO&lt;&gt;"manual",$M231&lt;&gt;1)),
IF(Import.TipoArredondamento&lt;&gt;"TransfereGOV",
ROUND(OFFSET($P231,0,AW$13),15-13*ORÇAMENTO!$AF$7)/$H231*OFFSET(ORÇAMENTO!$X$15,ROW(AW231)-ROW(AW$15),0),
ROUND(ROUND(OFFSET($P231,0,AW$13),15-13*ORÇAMENTO!$AF$7)*OFFSET(ORÇAMENTO!$W$15,ROW(AW231)-ROW(AW$15),0),15-13*ORÇAMENTO!$AF$11)),0)</f>
        <v>0</v>
      </c>
      <c r="AX231" s="545">
        <f ca="1">IF(AND($D231="Serviço",AX$12&lt;&gt;0,$H231&gt;0,OR(AUTOEVENTO&lt;&gt;"manual",$M231&lt;&gt;1)),
IF(Import.TipoArredondamento&lt;&gt;"TransfereGOV",
ROUND(OFFSET($P231,0,AX$13),15-13*ORÇAMENTO!$AF$7)/$H231*OFFSET(ORÇAMENTO!$X$15,ROW(AX231)-ROW(AX$15),0),
ROUND(ROUND(OFFSET($P231,0,AX$13),15-13*ORÇAMENTO!$AF$7)*OFFSET(ORÇAMENTO!$W$15,ROW(AX231)-ROW(AX$15),0),15-13*ORÇAMENTO!$AF$11)),0)</f>
        <v>0</v>
      </c>
      <c r="AY231" s="545">
        <f ca="1">IF(AND($D231="Serviço",AY$12&lt;&gt;0,$H231&gt;0,OR(AUTOEVENTO&lt;&gt;"manual",$M231&lt;&gt;1)),
IF(Import.TipoArredondamento&lt;&gt;"TransfereGOV",
ROUND(OFFSET($P231,0,AY$13),15-13*ORÇAMENTO!$AF$7)/$H231*OFFSET(ORÇAMENTO!$X$15,ROW(AY231)-ROW(AY$15),0),
ROUND(ROUND(OFFSET($P231,0,AY$13),15-13*ORÇAMENTO!$AF$7)*OFFSET(ORÇAMENTO!$W$15,ROW(AY231)-ROW(AY$15),0),15-13*ORÇAMENTO!$AF$11)),0)</f>
        <v>0</v>
      </c>
      <c r="AZ231" s="545">
        <f ca="1">IF(AND($D231="Serviço",AZ$12&lt;&gt;0,$H231&gt;0,OR(AUTOEVENTO&lt;&gt;"manual",$M231&lt;&gt;1)),
IF(Import.TipoArredondamento&lt;&gt;"TransfereGOV",
ROUND(OFFSET($P231,0,AZ$13),15-13*ORÇAMENTO!$AF$7)/$H231*OFFSET(ORÇAMENTO!$X$15,ROW(AZ231)-ROW(AZ$15),0),
ROUND(ROUND(OFFSET($P231,0,AZ$13),15-13*ORÇAMENTO!$AF$7)*OFFSET(ORÇAMENTO!$W$15,ROW(AZ231)-ROW(AZ$15),0),15-13*ORÇAMENTO!$AF$11)),0)</f>
        <v>0</v>
      </c>
      <c r="BA231" s="546">
        <f ca="1">IF(AND($D231="Serviço",BA$12&lt;&gt;0,$H231&gt;0,OR(AUTOEVENTO&lt;&gt;"manual",$M231&lt;&gt;1)),
IF(Import.TipoArredondamento&lt;&gt;"TransfereGOV",
ROUND(OFFSET($P231,0,BA$13),15-13*ORÇAMENTO!$AF$7)/$H231*OFFSET(ORÇAMENTO!$X$15,ROW(BA231)-ROW(BA$15),0),
ROUND(ROUND(OFFSET($P231,0,BA$13),15-13*ORÇAMENTO!$AF$7)*OFFSET(ORÇAMENTO!$W$15,ROW(BA231)-ROW(BA$15),0),15-13*ORÇAMENTO!$AF$11)),0)</f>
        <v>0</v>
      </c>
      <c r="BC231" s="181">
        <f ca="1">IF($D231&lt;&gt;"Serviço",0,IF(AND(AUTOEVENTO="Manual",$M231=1),0,IF(OFFSET(CRONOPLE!$F$14,$M231,BC$13)="",10^12,OFFSET(CRONOPLE!$F$14,$M231,BC$13))))</f>
        <v>9</v>
      </c>
      <c r="BD231" s="181">
        <f ca="1">IF($D231&lt;&gt;"Serviço",0,IF(AND(AUTOEVENTO="Manual",$M231=1),0,IF(OFFSET(CRONOPLE!$F$14,$M231,BD$13)="",10^12,OFFSET(CRONOPLE!$F$14,$M231,BD$13))))</f>
        <v>1000000000000</v>
      </c>
      <c r="BE231" s="181">
        <f ca="1">IF($D231&lt;&gt;"Serviço",0,IF(AND(AUTOEVENTO="Manual",$M231=1),0,IF(OFFSET(CRONOPLE!$F$14,$M231,BE$13)="",10^12,OFFSET(CRONOPLE!$F$14,$M231,BE$13))))</f>
        <v>1000000000000</v>
      </c>
      <c r="BF231" s="181">
        <f ca="1">IF($D231&lt;&gt;"Serviço",0,IF(AND(AUTOEVENTO="Manual",$M231=1),0,IF(OFFSET(CRONOPLE!$F$14,$M231,BF$13)="",10^12,OFFSET(CRONOPLE!$F$14,$M231,BF$13))))</f>
        <v>1000000000000</v>
      </c>
      <c r="BG231" s="181">
        <f ca="1">IF($D231&lt;&gt;"Serviço",0,IF(AND(AUTOEVENTO="Manual",$M231=1),0,IF(OFFSET(CRONOPLE!$F$14,$M231,BG$13)="",10^12,OFFSET(CRONOPLE!$F$14,$M231,BG$13))))</f>
        <v>1000000000000</v>
      </c>
      <c r="BH231" s="181">
        <f ca="1">IF($D231&lt;&gt;"Serviço",0,IF(AND(AUTOEVENTO="Manual",$M231=1),0,IF(OFFSET(CRONOPLE!$F$14,$M231,BH$13)="",10^12,OFFSET(CRONOPLE!$F$14,$M231,BH$13))))</f>
        <v>1000000000000</v>
      </c>
      <c r="BI231" s="181">
        <f ca="1">IF($D231&lt;&gt;"Serviço",0,IF(AND(AUTOEVENTO="Manual",$M231=1),0,IF(OFFSET(CRONOPLE!$F$14,$M231,BI$13)="",10^12,OFFSET(CRONOPLE!$F$14,$M231,BI$13))))</f>
        <v>1000000000000</v>
      </c>
      <c r="BJ231" s="181">
        <f ca="1">IF($D231&lt;&gt;"Serviço",0,IF(AND(AUTOEVENTO="Manual",$M231=1),0,IF(OFFSET(CRONOPLE!$F$14,$M231,BJ$13)="",10^12,OFFSET(CRONOPLE!$F$14,$M231,BJ$13))))</f>
        <v>1000000000000</v>
      </c>
      <c r="BK231" s="181">
        <f ca="1">IF($D231&lt;&gt;"Serviço",0,IF(AND(AUTOEVENTO="Manual",$M231=1),0,IF(OFFSET(CRONOPLE!$F$14,$M231,BK$13)="",10^12,OFFSET(CRONOPLE!$F$14,$M231,BK$13))))</f>
        <v>1000000000000</v>
      </c>
      <c r="BL231" s="181">
        <f ca="1">IF($D231&lt;&gt;"Serviço",0,IF(AND(AUTOEVENTO="Manual",$M231=1),0,IF(OFFSET(CRONOPLE!$F$14,$M231,BL$13)="",10^12,OFFSET(CRONOPLE!$F$14,$M231,BL$13))))</f>
        <v>1000000000000</v>
      </c>
      <c r="BM231" s="181">
        <f ca="1">IF($D231&lt;&gt;"Serviço",0,IF(AND(AUTOEVENTO="Manual",$M231=1),0,IF(OFFSET(CRONOPLE!$F$14,$M231,BM$13)="",10^12,OFFSET(CRONOPLE!$F$14,$M231,BM$13))))</f>
        <v>1000000000000</v>
      </c>
      <c r="BN231" s="181">
        <f ca="1">IF($D231&lt;&gt;"Serviço",0,IF(AND(AUTOEVENTO="Manual",$M231=1),0,IF(OFFSET(CRONOPLE!$F$14,$M231,BN$13)="",10^12,OFFSET(CRONOPLE!$F$14,$M231,BN$13))))</f>
        <v>1000000000000</v>
      </c>
      <c r="BO231" s="181">
        <f ca="1">IF($D231&lt;&gt;"Serviço",0,IF(AND(AUTOEVENTO="Manual",$M231=1),0,IF(OFFSET(CRONOPLE!$F$14,$M231,BO$13)="",10^12,OFFSET(CRONOPLE!$F$14,$M231,BO$13))))</f>
        <v>1000000000000</v>
      </c>
      <c r="BP231" s="181">
        <f ca="1">IF($D231&lt;&gt;"Serviço",0,IF(AND(AUTOEVENTO="Manual",$M231=1),0,IF(OFFSET(CRONOPLE!$F$14,$M231,BP$13)="",10^12,OFFSET(CRONOPLE!$F$14,$M231,BP$13))))</f>
        <v>1000000000000</v>
      </c>
      <c r="BQ231" s="181">
        <f ca="1">IF($D231&lt;&gt;"Serviço",0,IF(AND(AUTOEVENTO="Manual",$M231=1),0,IF(OFFSET(CRONOPLE!$F$14,$M231,BQ$13)="",10^12,OFFSET(CRONOPLE!$F$14,$M231,BQ$13))))</f>
        <v>1000000000000</v>
      </c>
      <c r="BR231" s="181">
        <f ca="1">IF($D231&lt;&gt;"Serviço",0,IF(AND(AUTOEVENTO="Manual",$M231=1),0,IF(OFFSET(CRONOPLE!$F$14,$M231,BR$13)="",10^12,OFFSET(CRONOPLE!$F$14,$M231,BR$13))))</f>
        <v>1000000000000</v>
      </c>
      <c r="BS231" s="181">
        <f ca="1">IF($D231&lt;&gt;"Serviço",0,IF(AND(AUTOEVENTO="Manual",$M231=1),0,IF(OFFSET(CRONOPLE!$F$14,$M231,BS$13)="",10^12,OFFSET(CRONOPLE!$F$14,$M231,BS$13))))</f>
        <v>1000000000000</v>
      </c>
      <c r="BT231" s="181">
        <f ca="1">IF($D231&lt;&gt;"Serviço",0,IF(AND(AUTOEVENTO="Manual",$M231=1),0,IF(OFFSET(CRONOPLE!$F$14,$M231,BT$13)="",10^12,OFFSET(CRONOPLE!$F$14,$M231,BT$13))))</f>
        <v>1000000000000</v>
      </c>
      <c r="BV231" s="182">
        <f ca="1">IF($D231&lt;&gt;"Serviço",0,IF(OR(AND(AUTOEVENTO="Manual",$M231=1),$M231&gt;(ROW(PLE.lastrow)-ROW(PLE.firstrow))),0,IF(OFFSET(PLE!$G$14,$M231,BV$13)="",10^12,OFFSET(PLE!$G$14,$M231,BV$13))))</f>
        <v>1000000000000</v>
      </c>
      <c r="BW231" s="182">
        <f ca="1">IF($D231&lt;&gt;"Serviço",0,IF(OR(AND(AUTOEVENTO="Manual",$M231=1),$M231&gt;(ROW(PLE.lastrow)-ROW(PLE.firstrow))),0,IF(OFFSET(PLE!$G$14,$M231,BW$13)="",10^12,OFFSET(PLE!$G$14,$M231,BW$13))))</f>
        <v>1000000000000</v>
      </c>
      <c r="BX231" s="182">
        <f ca="1">IF($D231&lt;&gt;"Serviço",0,IF(OR(AND(AUTOEVENTO="Manual",$M231=1),$M231&gt;(ROW(PLE.lastrow)-ROW(PLE.firstrow))),0,IF(OFFSET(PLE!$G$14,$M231,BX$13)="",10^12,OFFSET(PLE!$G$14,$M231,BX$13))))</f>
        <v>1000000000000</v>
      </c>
      <c r="BY231" s="182">
        <f ca="1">IF($D231&lt;&gt;"Serviço",0,IF(OR(AND(AUTOEVENTO="Manual",$M231=1),$M231&gt;(ROW(PLE.lastrow)-ROW(PLE.firstrow))),0,IF(OFFSET(PLE!$G$14,$M231,BY$13)="",10^12,OFFSET(PLE!$G$14,$M231,BY$13))))</f>
        <v>1000000000000</v>
      </c>
      <c r="BZ231" s="182">
        <f ca="1">IF($D231&lt;&gt;"Serviço",0,IF(OR(AND(AUTOEVENTO="Manual",$M231=1),$M231&gt;(ROW(PLE.lastrow)-ROW(PLE.firstrow))),0,IF(OFFSET(PLE!$G$14,$M231,BZ$13)="",10^12,OFFSET(PLE!$G$14,$M231,BZ$13))))</f>
        <v>1000000000000</v>
      </c>
      <c r="CA231" s="182">
        <f ca="1">IF($D231&lt;&gt;"Serviço",0,IF(OR(AND(AUTOEVENTO="Manual",$M231=1),$M231&gt;(ROW(PLE.lastrow)-ROW(PLE.firstrow))),0,IF(OFFSET(PLE!$G$14,$M231,CA$13)="",10^12,OFFSET(PLE!$G$14,$M231,CA$13))))</f>
        <v>1000000000000</v>
      </c>
      <c r="CB231" s="182">
        <f ca="1">IF($D231&lt;&gt;"Serviço",0,IF(OR(AND(AUTOEVENTO="Manual",$M231=1),$M231&gt;(ROW(PLE.lastrow)-ROW(PLE.firstrow))),0,IF(OFFSET(PLE!$G$14,$M231,CB$13)="",10^12,OFFSET(PLE!$G$14,$M231,CB$13))))</f>
        <v>1000000000000</v>
      </c>
      <c r="CC231" s="182">
        <f ca="1">IF($D231&lt;&gt;"Serviço",0,IF(OR(AND(AUTOEVENTO="Manual",$M231=1),$M231&gt;(ROW(PLE.lastrow)-ROW(PLE.firstrow))),0,IF(OFFSET(PLE!$G$14,$M231,CC$13)="",10^12,OFFSET(PLE!$G$14,$M231,CC$13))))</f>
        <v>1000000000000</v>
      </c>
      <c r="CD231" s="182">
        <f ca="1">IF($D231&lt;&gt;"Serviço",0,IF(OR(AND(AUTOEVENTO="Manual",$M231=1),$M231&gt;(ROW(PLE.lastrow)-ROW(PLE.firstrow))),0,IF(OFFSET(PLE!$G$14,$M231,CD$13)="",10^12,OFFSET(PLE!$G$14,$M231,CD$13))))</f>
        <v>1000000000000</v>
      </c>
      <c r="CE231" s="182">
        <f ca="1">IF($D231&lt;&gt;"Serviço",0,IF(OR(AND(AUTOEVENTO="Manual",$M231=1),$M231&gt;(ROW(PLE.lastrow)-ROW(PLE.firstrow))),0,IF(OFFSET(PLE!$G$14,$M231,CE$13)="",10^12,OFFSET(PLE!$G$14,$M231,CE$13))))</f>
        <v>1000000000000</v>
      </c>
      <c r="CF231" s="182">
        <f ca="1">IF($D231&lt;&gt;"Serviço",0,IF(OR(AND(AUTOEVENTO="Manual",$M231=1),$M231&gt;(ROW(PLE.lastrow)-ROW(PLE.firstrow))),0,IF(OFFSET(PLE!$G$14,$M231,CF$13)="",10^12,OFFSET(PLE!$G$14,$M231,CF$13))))</f>
        <v>1000000000000</v>
      </c>
      <c r="CG231" s="182">
        <f ca="1">IF($D231&lt;&gt;"Serviço",0,IF(OR(AND(AUTOEVENTO="Manual",$M231=1),$M231&gt;(ROW(PLE.lastrow)-ROW(PLE.firstrow))),0,IF(OFFSET(PLE!$G$14,$M231,CG$13)="",10^12,OFFSET(PLE!$G$14,$M231,CG$13))))</f>
        <v>1000000000000</v>
      </c>
      <c r="CH231" s="182">
        <f ca="1">IF($D231&lt;&gt;"Serviço",0,IF(OR(AND(AUTOEVENTO="Manual",$M231=1),$M231&gt;(ROW(PLE.lastrow)-ROW(PLE.firstrow))),0,IF(OFFSET(PLE!$G$14,$M231,CH$13)="",10^12,OFFSET(PLE!$G$14,$M231,CH$13))))</f>
        <v>1000000000000</v>
      </c>
      <c r="CI231" s="182">
        <f ca="1">IF($D231&lt;&gt;"Serviço",0,IF(OR(AND(AUTOEVENTO="Manual",$M231=1),$M231&gt;(ROW(PLE.lastrow)-ROW(PLE.firstrow))),0,IF(OFFSET(PLE!$G$14,$M231,CI$13)="",10^12,OFFSET(PLE!$G$14,$M231,CI$13))))</f>
        <v>1000000000000</v>
      </c>
      <c r="CJ231" s="182">
        <f ca="1">IF($D231&lt;&gt;"Serviço",0,IF(OR(AND(AUTOEVENTO="Manual",$M231=1),$M231&gt;(ROW(PLE.lastrow)-ROW(PLE.firstrow))),0,IF(OFFSET(PLE!$G$14,$M231,CJ$13)="",10^12,OFFSET(PLE!$G$14,$M231,CJ$13))))</f>
        <v>1000000000000</v>
      </c>
      <c r="CK231" s="182">
        <f ca="1">IF($D231&lt;&gt;"Serviço",0,IF(OR(AND(AUTOEVENTO="Manual",$M231=1),$M231&gt;(ROW(PLE.lastrow)-ROW(PLE.firstrow))),0,IF(OFFSET(PLE!$G$14,$M231,CK$13)="",10^12,OFFSET(PLE!$G$14,$M231,CK$13))))</f>
        <v>1000000000000</v>
      </c>
      <c r="CL231" s="182">
        <f ca="1">IF($D231&lt;&gt;"Serviço",0,IF(OR(AND(AUTOEVENTO="Manual",$M231=1),$M231&gt;(ROW(PLE.lastrow)-ROW(PLE.firstrow))),0,IF(OFFSET(PLE!$G$14,$M231,CL$13)="",10^12,OFFSET(PLE!$G$14,$M231,CL$13))))</f>
        <v>1000000000000</v>
      </c>
      <c r="CM231" s="182">
        <f ca="1">IF($D231&lt;&gt;"Serviço",0,IF(OR(AND(AUTOEVENTO="Manual",$M231=1),$M231&gt;(ROW(PLE.lastrow)-ROW(PLE.firstrow))),0,IF(OFFSET(PLE!$G$14,$M231,CM$13)="",10^12,OFFSET(PLE!$G$14,$M231,CM$13))))</f>
        <v>1000000000000</v>
      </c>
    </row>
    <row r="232" spans="1:91" ht="25.5" x14ac:dyDescent="0.2">
      <c r="A232" s="7" t="str">
        <f t="shared" ca="1" si="12"/>
        <v>215</v>
      </c>
      <c r="B232" s="7" t="str">
        <f ca="1">OFFSET(ORÇAMENTO!C$15,ROW(B232)-ROW(B$15),0)</f>
        <v>S</v>
      </c>
      <c r="C232" s="7" t="str">
        <f ca="1">OFFSET(ORÇAMENTO!L$15,ROW(C232)-ROW(C$15),0)</f>
        <v/>
      </c>
      <c r="D232" s="118" t="str">
        <f ca="1">OFFSET(ORÇAMENTO!N$15,ROW(D232)-ROW(D$15),0)</f>
        <v>Serviço</v>
      </c>
      <c r="E232" s="119" t="str">
        <f ca="1">OFFSET(ORÇAMENTO!O$15,ROW(E232)-ROW(E$15),0)</f>
        <v>-</v>
      </c>
      <c r="F232" s="172" t="str">
        <f ca="1">OFFSET(ORÇAMENTO!R$15,ROW(F232)-ROW(F$15),0)</f>
        <v>(abra o arquivo 'Referência 06-2024.xlsm)</v>
      </c>
      <c r="G232" s="173" t="str">
        <f ca="1">IF($D232&lt;&gt;"Serviço","",OFFSET(ORÇAMENTO!S$15,ROW(G232)-ROW(G$15),0))</f>
        <v>-</v>
      </c>
      <c r="H232" s="124">
        <f ca="1">IF($D232&lt;&gt;"Serviço",0,IF(ACOMPANHAMENTO="BM",ROUND(OFFSET(ORÇAMENTO!AJ$15,ROW(H232)-ROW(H$15),0),15-13*ORÇAMENTO!$AF$7),SUMPRODUCT(($Q$12:$AI$12&lt;&gt;"")*ROUND($Q232:$AI232,15-13*ORÇAMENTO!$AF$7))))</f>
        <v>481.84</v>
      </c>
      <c r="I232" s="561" t="s">
        <v>1107</v>
      </c>
      <c r="K232" s="174"/>
      <c r="L232" s="175" t="s">
        <v>255</v>
      </c>
      <c r="M232" s="176">
        <f ca="1">IF($D232&lt;&gt;"Serviço","",IF(AUTOEVENTO="manual",$A232,IF(ISERROR(MATCH($A232,$A$15:OFFSET($A232,-1,0),0)),MAX($M$15:OFFSET(M232,-1,0))+1,INDEX($M$15:OFFSET(M232,-1,0),MATCH($A232,$A$15:OFFSET($A232,-1,0),0)))))</f>
        <v>31</v>
      </c>
      <c r="N232" s="177" t="str">
        <f ca="1">IF($D232&lt;&gt;"Serviço","",IF(AUTOEVENTO="Manual",IF($A232=0,"&lt;-- defina o número do agrupador",OFFSET(EVENTOS!$D$14,$A232,0)),OFFSET($F$15,$A232,0)))</f>
        <v>PINTURAS E ACABAMENTOS - FORROS</v>
      </c>
      <c r="O232" s="178"/>
      <c r="Q232" s="178">
        <v>481.84</v>
      </c>
      <c r="R232" s="179"/>
      <c r="S232" s="179"/>
      <c r="T232" s="179"/>
      <c r="U232" s="179"/>
      <c r="V232" s="179"/>
      <c r="W232" s="179"/>
      <c r="X232" s="179"/>
      <c r="Y232" s="179"/>
      <c r="Z232" s="180"/>
      <c r="AA232" s="179"/>
      <c r="AB232" s="179"/>
      <c r="AC232" s="179"/>
      <c r="AD232" s="179"/>
      <c r="AE232" s="179"/>
      <c r="AF232" s="179"/>
      <c r="AG232" s="179"/>
      <c r="AH232" s="180"/>
      <c r="AJ232" s="544">
        <f ca="1">IF(AND($D232="Serviço",AJ$12&lt;&gt;0,$H232&gt;0,OR(AUTOEVENTO&lt;&gt;"manual",$M232&lt;&gt;1)),
IF(Import.TipoArredondamento&lt;&gt;"TransfereGOV",
ROUND(OFFSET($P232,0,AJ$13),15-13*ORÇAMENTO!$AF$7)/$H232*OFFSET(ORÇAMENTO!$X$15,ROW(AJ232)-ROW(AJ$15),0),
ROUND(ROUND(OFFSET($P232,0,AJ$13),15-13*ORÇAMENTO!$AF$7)*OFFSET(ORÇAMENTO!$W$15,ROW(AJ232)-ROW(AJ$15),0),15-13*ORÇAMENTO!$AF$11)),0)</f>
        <v>0</v>
      </c>
      <c r="AK232" s="545">
        <f ca="1">IF(AND($D232="Serviço",AK$12&lt;&gt;0,$H232&gt;0,OR(AUTOEVENTO&lt;&gt;"manual",$M232&lt;&gt;1)),
IF(Import.TipoArredondamento&lt;&gt;"TransfereGOV",
ROUND(OFFSET($P232,0,AK$13),15-13*ORÇAMENTO!$AF$7)/$H232*OFFSET(ORÇAMENTO!$X$15,ROW(AK232)-ROW(AK$15),0),
ROUND(ROUND(OFFSET($P232,0,AK$13),15-13*ORÇAMENTO!$AF$7)*OFFSET(ORÇAMENTO!$W$15,ROW(AK232)-ROW(AK$15),0),15-13*ORÇAMENTO!$AF$11)),0)</f>
        <v>0</v>
      </c>
      <c r="AL232" s="545">
        <f ca="1">IF(AND($D232="Serviço",AL$12&lt;&gt;0,$H232&gt;0,OR(AUTOEVENTO&lt;&gt;"manual",$M232&lt;&gt;1)),
IF(Import.TipoArredondamento&lt;&gt;"TransfereGOV",
ROUND(OFFSET($P232,0,AL$13),15-13*ORÇAMENTO!$AF$7)/$H232*OFFSET(ORÇAMENTO!$X$15,ROW(AL232)-ROW(AL$15),0),
ROUND(ROUND(OFFSET($P232,0,AL$13),15-13*ORÇAMENTO!$AF$7)*OFFSET(ORÇAMENTO!$W$15,ROW(AL232)-ROW(AL$15),0),15-13*ORÇAMENTO!$AF$11)),0)</f>
        <v>0</v>
      </c>
      <c r="AM232" s="545">
        <f ca="1">IF(AND($D232="Serviço",AM$12&lt;&gt;0,$H232&gt;0,OR(AUTOEVENTO&lt;&gt;"manual",$M232&lt;&gt;1)),
IF(Import.TipoArredondamento&lt;&gt;"TransfereGOV",
ROUND(OFFSET($P232,0,AM$13),15-13*ORÇAMENTO!$AF$7)/$H232*OFFSET(ORÇAMENTO!$X$15,ROW(AM232)-ROW(AM$15),0),
ROUND(ROUND(OFFSET($P232,0,AM$13),15-13*ORÇAMENTO!$AF$7)*OFFSET(ORÇAMENTO!$W$15,ROW(AM232)-ROW(AM$15),0),15-13*ORÇAMENTO!$AF$11)),0)</f>
        <v>0</v>
      </c>
      <c r="AN232" s="545">
        <f ca="1">IF(AND($D232="Serviço",AN$12&lt;&gt;0,$H232&gt;0,OR(AUTOEVENTO&lt;&gt;"manual",$M232&lt;&gt;1)),
IF(Import.TipoArredondamento&lt;&gt;"TransfereGOV",
ROUND(OFFSET($P232,0,AN$13),15-13*ORÇAMENTO!$AF$7)/$H232*OFFSET(ORÇAMENTO!$X$15,ROW(AN232)-ROW(AN$15),0),
ROUND(ROUND(OFFSET($P232,0,AN$13),15-13*ORÇAMENTO!$AF$7)*OFFSET(ORÇAMENTO!$W$15,ROW(AN232)-ROW(AN$15),0),15-13*ORÇAMENTO!$AF$11)),0)</f>
        <v>0</v>
      </c>
      <c r="AO232" s="545">
        <f ca="1">IF(AND($D232="Serviço",AO$12&lt;&gt;0,$H232&gt;0,OR(AUTOEVENTO&lt;&gt;"manual",$M232&lt;&gt;1)),
IF(Import.TipoArredondamento&lt;&gt;"TransfereGOV",
ROUND(OFFSET($P232,0,AO$13),15-13*ORÇAMENTO!$AF$7)/$H232*OFFSET(ORÇAMENTO!$X$15,ROW(AO232)-ROW(AO$15),0),
ROUND(ROUND(OFFSET($P232,0,AO$13),15-13*ORÇAMENTO!$AF$7)*OFFSET(ORÇAMENTO!$W$15,ROW(AO232)-ROW(AO$15),0),15-13*ORÇAMENTO!$AF$11)),0)</f>
        <v>0</v>
      </c>
      <c r="AP232" s="545">
        <f ca="1">IF(AND($D232="Serviço",AP$12&lt;&gt;0,$H232&gt;0,OR(AUTOEVENTO&lt;&gt;"manual",$M232&lt;&gt;1)),
IF(Import.TipoArredondamento&lt;&gt;"TransfereGOV",
ROUND(OFFSET($P232,0,AP$13),15-13*ORÇAMENTO!$AF$7)/$H232*OFFSET(ORÇAMENTO!$X$15,ROW(AP232)-ROW(AP$15),0),
ROUND(ROUND(OFFSET($P232,0,AP$13),15-13*ORÇAMENTO!$AF$7)*OFFSET(ORÇAMENTO!$W$15,ROW(AP232)-ROW(AP$15),0),15-13*ORÇAMENTO!$AF$11)),0)</f>
        <v>0</v>
      </c>
      <c r="AQ232" s="545">
        <f ca="1">IF(AND($D232="Serviço",AQ$12&lt;&gt;0,$H232&gt;0,OR(AUTOEVENTO&lt;&gt;"manual",$M232&lt;&gt;1)),
IF(Import.TipoArredondamento&lt;&gt;"TransfereGOV",
ROUND(OFFSET($P232,0,AQ$13),15-13*ORÇAMENTO!$AF$7)/$H232*OFFSET(ORÇAMENTO!$X$15,ROW(AQ232)-ROW(AQ$15),0),
ROUND(ROUND(OFFSET($P232,0,AQ$13),15-13*ORÇAMENTO!$AF$7)*OFFSET(ORÇAMENTO!$W$15,ROW(AQ232)-ROW(AQ$15),0),15-13*ORÇAMENTO!$AF$11)),0)</f>
        <v>0</v>
      </c>
      <c r="AR232" s="545">
        <f ca="1">IF(AND($D232="Serviço",AR$12&lt;&gt;0,$H232&gt;0,OR(AUTOEVENTO&lt;&gt;"manual",$M232&lt;&gt;1)),
IF(Import.TipoArredondamento&lt;&gt;"TransfereGOV",
ROUND(OFFSET($P232,0,AR$13),15-13*ORÇAMENTO!$AF$7)/$H232*OFFSET(ORÇAMENTO!$X$15,ROW(AR232)-ROW(AR$15),0),
ROUND(ROUND(OFFSET($P232,0,AR$13),15-13*ORÇAMENTO!$AF$7)*OFFSET(ORÇAMENTO!$W$15,ROW(AR232)-ROW(AR$15),0),15-13*ORÇAMENTO!$AF$11)),0)</f>
        <v>0</v>
      </c>
      <c r="AS232" s="546">
        <f ca="1">IF(AND($D232="Serviço",AS$12&lt;&gt;0,$H232&gt;0,OR(AUTOEVENTO&lt;&gt;"manual",$M232&lt;&gt;1)),
IF(Import.TipoArredondamento&lt;&gt;"TransfereGOV",
ROUND(OFFSET($P232,0,AS$13),15-13*ORÇAMENTO!$AF$7)/$H232*OFFSET(ORÇAMENTO!$X$15,ROW(AS232)-ROW(AS$15),0),
ROUND(ROUND(OFFSET($P232,0,AS$13),15-13*ORÇAMENTO!$AF$7)*OFFSET(ORÇAMENTO!$W$15,ROW(AS232)-ROW(AS$15),0),15-13*ORÇAMENTO!$AF$11)),0)</f>
        <v>0</v>
      </c>
      <c r="AT232" s="545">
        <f ca="1">IF(AND($D232="Serviço",AT$12&lt;&gt;0,$H232&gt;0,OR(AUTOEVENTO&lt;&gt;"manual",$M232&lt;&gt;1)),
IF(Import.TipoArredondamento&lt;&gt;"TransfereGOV",
ROUND(OFFSET($P232,0,AT$13),15-13*ORÇAMENTO!$AF$7)/$H232*OFFSET(ORÇAMENTO!$X$15,ROW(AT232)-ROW(AT$15),0),
ROUND(ROUND(OFFSET($P232,0,AT$13),15-13*ORÇAMENTO!$AF$7)*OFFSET(ORÇAMENTO!$W$15,ROW(AT232)-ROW(AT$15),0),15-13*ORÇAMENTO!$AF$11)),0)</f>
        <v>0</v>
      </c>
      <c r="AU232" s="545">
        <f ca="1">IF(AND($D232="Serviço",AU$12&lt;&gt;0,$H232&gt;0,OR(AUTOEVENTO&lt;&gt;"manual",$M232&lt;&gt;1)),
IF(Import.TipoArredondamento&lt;&gt;"TransfereGOV",
ROUND(OFFSET($P232,0,AU$13),15-13*ORÇAMENTO!$AF$7)/$H232*OFFSET(ORÇAMENTO!$X$15,ROW(AU232)-ROW(AU$15),0),
ROUND(ROUND(OFFSET($P232,0,AU$13),15-13*ORÇAMENTO!$AF$7)*OFFSET(ORÇAMENTO!$W$15,ROW(AU232)-ROW(AU$15),0),15-13*ORÇAMENTO!$AF$11)),0)</f>
        <v>0</v>
      </c>
      <c r="AV232" s="545">
        <f ca="1">IF(AND($D232="Serviço",AV$12&lt;&gt;0,$H232&gt;0,OR(AUTOEVENTO&lt;&gt;"manual",$M232&lt;&gt;1)),
IF(Import.TipoArredondamento&lt;&gt;"TransfereGOV",
ROUND(OFFSET($P232,0,AV$13),15-13*ORÇAMENTO!$AF$7)/$H232*OFFSET(ORÇAMENTO!$X$15,ROW(AV232)-ROW(AV$15),0),
ROUND(ROUND(OFFSET($P232,0,AV$13),15-13*ORÇAMENTO!$AF$7)*OFFSET(ORÇAMENTO!$W$15,ROW(AV232)-ROW(AV$15),0),15-13*ORÇAMENTO!$AF$11)),0)</f>
        <v>0</v>
      </c>
      <c r="AW232" s="545">
        <f ca="1">IF(AND($D232="Serviço",AW$12&lt;&gt;0,$H232&gt;0,OR(AUTOEVENTO&lt;&gt;"manual",$M232&lt;&gt;1)),
IF(Import.TipoArredondamento&lt;&gt;"TransfereGOV",
ROUND(OFFSET($P232,0,AW$13),15-13*ORÇAMENTO!$AF$7)/$H232*OFFSET(ORÇAMENTO!$X$15,ROW(AW232)-ROW(AW$15),0),
ROUND(ROUND(OFFSET($P232,0,AW$13),15-13*ORÇAMENTO!$AF$7)*OFFSET(ORÇAMENTO!$W$15,ROW(AW232)-ROW(AW$15),0),15-13*ORÇAMENTO!$AF$11)),0)</f>
        <v>0</v>
      </c>
      <c r="AX232" s="545">
        <f ca="1">IF(AND($D232="Serviço",AX$12&lt;&gt;0,$H232&gt;0,OR(AUTOEVENTO&lt;&gt;"manual",$M232&lt;&gt;1)),
IF(Import.TipoArredondamento&lt;&gt;"TransfereGOV",
ROUND(OFFSET($P232,0,AX$13),15-13*ORÇAMENTO!$AF$7)/$H232*OFFSET(ORÇAMENTO!$X$15,ROW(AX232)-ROW(AX$15),0),
ROUND(ROUND(OFFSET($P232,0,AX$13),15-13*ORÇAMENTO!$AF$7)*OFFSET(ORÇAMENTO!$W$15,ROW(AX232)-ROW(AX$15),0),15-13*ORÇAMENTO!$AF$11)),0)</f>
        <v>0</v>
      </c>
      <c r="AY232" s="545">
        <f ca="1">IF(AND($D232="Serviço",AY$12&lt;&gt;0,$H232&gt;0,OR(AUTOEVENTO&lt;&gt;"manual",$M232&lt;&gt;1)),
IF(Import.TipoArredondamento&lt;&gt;"TransfereGOV",
ROUND(OFFSET($P232,0,AY$13),15-13*ORÇAMENTO!$AF$7)/$H232*OFFSET(ORÇAMENTO!$X$15,ROW(AY232)-ROW(AY$15),0),
ROUND(ROUND(OFFSET($P232,0,AY$13),15-13*ORÇAMENTO!$AF$7)*OFFSET(ORÇAMENTO!$W$15,ROW(AY232)-ROW(AY$15),0),15-13*ORÇAMENTO!$AF$11)),0)</f>
        <v>0</v>
      </c>
      <c r="AZ232" s="545">
        <f ca="1">IF(AND($D232="Serviço",AZ$12&lt;&gt;0,$H232&gt;0,OR(AUTOEVENTO&lt;&gt;"manual",$M232&lt;&gt;1)),
IF(Import.TipoArredondamento&lt;&gt;"TransfereGOV",
ROUND(OFFSET($P232,0,AZ$13),15-13*ORÇAMENTO!$AF$7)/$H232*OFFSET(ORÇAMENTO!$X$15,ROW(AZ232)-ROW(AZ$15),0),
ROUND(ROUND(OFFSET($P232,0,AZ$13),15-13*ORÇAMENTO!$AF$7)*OFFSET(ORÇAMENTO!$W$15,ROW(AZ232)-ROW(AZ$15),0),15-13*ORÇAMENTO!$AF$11)),0)</f>
        <v>0</v>
      </c>
      <c r="BA232" s="546">
        <f ca="1">IF(AND($D232="Serviço",BA$12&lt;&gt;0,$H232&gt;0,OR(AUTOEVENTO&lt;&gt;"manual",$M232&lt;&gt;1)),
IF(Import.TipoArredondamento&lt;&gt;"TransfereGOV",
ROUND(OFFSET($P232,0,BA$13),15-13*ORÇAMENTO!$AF$7)/$H232*OFFSET(ORÇAMENTO!$X$15,ROW(BA232)-ROW(BA$15),0),
ROUND(ROUND(OFFSET($P232,0,BA$13),15-13*ORÇAMENTO!$AF$7)*OFFSET(ORÇAMENTO!$W$15,ROW(BA232)-ROW(BA$15),0),15-13*ORÇAMENTO!$AF$11)),0)</f>
        <v>0</v>
      </c>
      <c r="BC232" s="181">
        <f ca="1">IF($D232&lt;&gt;"Serviço",0,IF(AND(AUTOEVENTO="Manual",$M232=1),0,IF(OFFSET(CRONOPLE!$F$14,$M232,BC$13)="",10^12,OFFSET(CRONOPLE!$F$14,$M232,BC$13))))</f>
        <v>9</v>
      </c>
      <c r="BD232" s="181">
        <f ca="1">IF($D232&lt;&gt;"Serviço",0,IF(AND(AUTOEVENTO="Manual",$M232=1),0,IF(OFFSET(CRONOPLE!$F$14,$M232,BD$13)="",10^12,OFFSET(CRONOPLE!$F$14,$M232,BD$13))))</f>
        <v>1000000000000</v>
      </c>
      <c r="BE232" s="181">
        <f ca="1">IF($D232&lt;&gt;"Serviço",0,IF(AND(AUTOEVENTO="Manual",$M232=1),0,IF(OFFSET(CRONOPLE!$F$14,$M232,BE$13)="",10^12,OFFSET(CRONOPLE!$F$14,$M232,BE$13))))</f>
        <v>1000000000000</v>
      </c>
      <c r="BF232" s="181">
        <f ca="1">IF($D232&lt;&gt;"Serviço",0,IF(AND(AUTOEVENTO="Manual",$M232=1),0,IF(OFFSET(CRONOPLE!$F$14,$M232,BF$13)="",10^12,OFFSET(CRONOPLE!$F$14,$M232,BF$13))))</f>
        <v>1000000000000</v>
      </c>
      <c r="BG232" s="181">
        <f ca="1">IF($D232&lt;&gt;"Serviço",0,IF(AND(AUTOEVENTO="Manual",$M232=1),0,IF(OFFSET(CRONOPLE!$F$14,$M232,BG$13)="",10^12,OFFSET(CRONOPLE!$F$14,$M232,BG$13))))</f>
        <v>1000000000000</v>
      </c>
      <c r="BH232" s="181">
        <f ca="1">IF($D232&lt;&gt;"Serviço",0,IF(AND(AUTOEVENTO="Manual",$M232=1),0,IF(OFFSET(CRONOPLE!$F$14,$M232,BH$13)="",10^12,OFFSET(CRONOPLE!$F$14,$M232,BH$13))))</f>
        <v>1000000000000</v>
      </c>
      <c r="BI232" s="181">
        <f ca="1">IF($D232&lt;&gt;"Serviço",0,IF(AND(AUTOEVENTO="Manual",$M232=1),0,IF(OFFSET(CRONOPLE!$F$14,$M232,BI$13)="",10^12,OFFSET(CRONOPLE!$F$14,$M232,BI$13))))</f>
        <v>1000000000000</v>
      </c>
      <c r="BJ232" s="181">
        <f ca="1">IF($D232&lt;&gt;"Serviço",0,IF(AND(AUTOEVENTO="Manual",$M232=1),0,IF(OFFSET(CRONOPLE!$F$14,$M232,BJ$13)="",10^12,OFFSET(CRONOPLE!$F$14,$M232,BJ$13))))</f>
        <v>1000000000000</v>
      </c>
      <c r="BK232" s="181">
        <f ca="1">IF($D232&lt;&gt;"Serviço",0,IF(AND(AUTOEVENTO="Manual",$M232=1),0,IF(OFFSET(CRONOPLE!$F$14,$M232,BK$13)="",10^12,OFFSET(CRONOPLE!$F$14,$M232,BK$13))))</f>
        <v>1000000000000</v>
      </c>
      <c r="BL232" s="181">
        <f ca="1">IF($D232&lt;&gt;"Serviço",0,IF(AND(AUTOEVENTO="Manual",$M232=1),0,IF(OFFSET(CRONOPLE!$F$14,$M232,BL$13)="",10^12,OFFSET(CRONOPLE!$F$14,$M232,BL$13))))</f>
        <v>1000000000000</v>
      </c>
      <c r="BM232" s="181">
        <f ca="1">IF($D232&lt;&gt;"Serviço",0,IF(AND(AUTOEVENTO="Manual",$M232=1),0,IF(OFFSET(CRONOPLE!$F$14,$M232,BM$13)="",10^12,OFFSET(CRONOPLE!$F$14,$M232,BM$13))))</f>
        <v>1000000000000</v>
      </c>
      <c r="BN232" s="181">
        <f ca="1">IF($D232&lt;&gt;"Serviço",0,IF(AND(AUTOEVENTO="Manual",$M232=1),0,IF(OFFSET(CRONOPLE!$F$14,$M232,BN$13)="",10^12,OFFSET(CRONOPLE!$F$14,$M232,BN$13))))</f>
        <v>1000000000000</v>
      </c>
      <c r="BO232" s="181">
        <f ca="1">IF($D232&lt;&gt;"Serviço",0,IF(AND(AUTOEVENTO="Manual",$M232=1),0,IF(OFFSET(CRONOPLE!$F$14,$M232,BO$13)="",10^12,OFFSET(CRONOPLE!$F$14,$M232,BO$13))))</f>
        <v>1000000000000</v>
      </c>
      <c r="BP232" s="181">
        <f ca="1">IF($D232&lt;&gt;"Serviço",0,IF(AND(AUTOEVENTO="Manual",$M232=1),0,IF(OFFSET(CRONOPLE!$F$14,$M232,BP$13)="",10^12,OFFSET(CRONOPLE!$F$14,$M232,BP$13))))</f>
        <v>1000000000000</v>
      </c>
      <c r="BQ232" s="181">
        <f ca="1">IF($D232&lt;&gt;"Serviço",0,IF(AND(AUTOEVENTO="Manual",$M232=1),0,IF(OFFSET(CRONOPLE!$F$14,$M232,BQ$13)="",10^12,OFFSET(CRONOPLE!$F$14,$M232,BQ$13))))</f>
        <v>1000000000000</v>
      </c>
      <c r="BR232" s="181">
        <f ca="1">IF($D232&lt;&gt;"Serviço",0,IF(AND(AUTOEVENTO="Manual",$M232=1),0,IF(OFFSET(CRONOPLE!$F$14,$M232,BR$13)="",10^12,OFFSET(CRONOPLE!$F$14,$M232,BR$13))))</f>
        <v>1000000000000</v>
      </c>
      <c r="BS232" s="181">
        <f ca="1">IF($D232&lt;&gt;"Serviço",0,IF(AND(AUTOEVENTO="Manual",$M232=1),0,IF(OFFSET(CRONOPLE!$F$14,$M232,BS$13)="",10^12,OFFSET(CRONOPLE!$F$14,$M232,BS$13))))</f>
        <v>1000000000000</v>
      </c>
      <c r="BT232" s="181">
        <f ca="1">IF($D232&lt;&gt;"Serviço",0,IF(AND(AUTOEVENTO="Manual",$M232=1),0,IF(OFFSET(CRONOPLE!$F$14,$M232,BT$13)="",10^12,OFFSET(CRONOPLE!$F$14,$M232,BT$13))))</f>
        <v>1000000000000</v>
      </c>
      <c r="BV232" s="182">
        <f ca="1">IF($D232&lt;&gt;"Serviço",0,IF(OR(AND(AUTOEVENTO="Manual",$M232=1),$M232&gt;(ROW(PLE.lastrow)-ROW(PLE.firstrow))),0,IF(OFFSET(PLE!$G$14,$M232,BV$13)="",10^12,OFFSET(PLE!$G$14,$M232,BV$13))))</f>
        <v>1000000000000</v>
      </c>
      <c r="BW232" s="182">
        <f ca="1">IF($D232&lt;&gt;"Serviço",0,IF(OR(AND(AUTOEVENTO="Manual",$M232=1),$M232&gt;(ROW(PLE.lastrow)-ROW(PLE.firstrow))),0,IF(OFFSET(PLE!$G$14,$M232,BW$13)="",10^12,OFFSET(PLE!$G$14,$M232,BW$13))))</f>
        <v>1000000000000</v>
      </c>
      <c r="BX232" s="182">
        <f ca="1">IF($D232&lt;&gt;"Serviço",0,IF(OR(AND(AUTOEVENTO="Manual",$M232=1),$M232&gt;(ROW(PLE.lastrow)-ROW(PLE.firstrow))),0,IF(OFFSET(PLE!$G$14,$M232,BX$13)="",10^12,OFFSET(PLE!$G$14,$M232,BX$13))))</f>
        <v>1000000000000</v>
      </c>
      <c r="BY232" s="182">
        <f ca="1">IF($D232&lt;&gt;"Serviço",0,IF(OR(AND(AUTOEVENTO="Manual",$M232=1),$M232&gt;(ROW(PLE.lastrow)-ROW(PLE.firstrow))),0,IF(OFFSET(PLE!$G$14,$M232,BY$13)="",10^12,OFFSET(PLE!$G$14,$M232,BY$13))))</f>
        <v>1000000000000</v>
      </c>
      <c r="BZ232" s="182">
        <f ca="1">IF($D232&lt;&gt;"Serviço",0,IF(OR(AND(AUTOEVENTO="Manual",$M232=1),$M232&gt;(ROW(PLE.lastrow)-ROW(PLE.firstrow))),0,IF(OFFSET(PLE!$G$14,$M232,BZ$13)="",10^12,OFFSET(PLE!$G$14,$M232,BZ$13))))</f>
        <v>1000000000000</v>
      </c>
      <c r="CA232" s="182">
        <f ca="1">IF($D232&lt;&gt;"Serviço",0,IF(OR(AND(AUTOEVENTO="Manual",$M232=1),$M232&gt;(ROW(PLE.lastrow)-ROW(PLE.firstrow))),0,IF(OFFSET(PLE!$G$14,$M232,CA$13)="",10^12,OFFSET(PLE!$G$14,$M232,CA$13))))</f>
        <v>1000000000000</v>
      </c>
      <c r="CB232" s="182">
        <f ca="1">IF($D232&lt;&gt;"Serviço",0,IF(OR(AND(AUTOEVENTO="Manual",$M232=1),$M232&gt;(ROW(PLE.lastrow)-ROW(PLE.firstrow))),0,IF(OFFSET(PLE!$G$14,$M232,CB$13)="",10^12,OFFSET(PLE!$G$14,$M232,CB$13))))</f>
        <v>1000000000000</v>
      </c>
      <c r="CC232" s="182">
        <f ca="1">IF($D232&lt;&gt;"Serviço",0,IF(OR(AND(AUTOEVENTO="Manual",$M232=1),$M232&gt;(ROW(PLE.lastrow)-ROW(PLE.firstrow))),0,IF(OFFSET(PLE!$G$14,$M232,CC$13)="",10^12,OFFSET(PLE!$G$14,$M232,CC$13))))</f>
        <v>1000000000000</v>
      </c>
      <c r="CD232" s="182">
        <f ca="1">IF($D232&lt;&gt;"Serviço",0,IF(OR(AND(AUTOEVENTO="Manual",$M232=1),$M232&gt;(ROW(PLE.lastrow)-ROW(PLE.firstrow))),0,IF(OFFSET(PLE!$G$14,$M232,CD$13)="",10^12,OFFSET(PLE!$G$14,$M232,CD$13))))</f>
        <v>1000000000000</v>
      </c>
      <c r="CE232" s="182">
        <f ca="1">IF($D232&lt;&gt;"Serviço",0,IF(OR(AND(AUTOEVENTO="Manual",$M232=1),$M232&gt;(ROW(PLE.lastrow)-ROW(PLE.firstrow))),0,IF(OFFSET(PLE!$G$14,$M232,CE$13)="",10^12,OFFSET(PLE!$G$14,$M232,CE$13))))</f>
        <v>1000000000000</v>
      </c>
      <c r="CF232" s="182">
        <f ca="1">IF($D232&lt;&gt;"Serviço",0,IF(OR(AND(AUTOEVENTO="Manual",$M232=1),$M232&gt;(ROW(PLE.lastrow)-ROW(PLE.firstrow))),0,IF(OFFSET(PLE!$G$14,$M232,CF$13)="",10^12,OFFSET(PLE!$G$14,$M232,CF$13))))</f>
        <v>1000000000000</v>
      </c>
      <c r="CG232" s="182">
        <f ca="1">IF($D232&lt;&gt;"Serviço",0,IF(OR(AND(AUTOEVENTO="Manual",$M232=1),$M232&gt;(ROW(PLE.lastrow)-ROW(PLE.firstrow))),0,IF(OFFSET(PLE!$G$14,$M232,CG$13)="",10^12,OFFSET(PLE!$G$14,$M232,CG$13))))</f>
        <v>1000000000000</v>
      </c>
      <c r="CH232" s="182">
        <f ca="1">IF($D232&lt;&gt;"Serviço",0,IF(OR(AND(AUTOEVENTO="Manual",$M232=1),$M232&gt;(ROW(PLE.lastrow)-ROW(PLE.firstrow))),0,IF(OFFSET(PLE!$G$14,$M232,CH$13)="",10^12,OFFSET(PLE!$G$14,$M232,CH$13))))</f>
        <v>1000000000000</v>
      </c>
      <c r="CI232" s="182">
        <f ca="1">IF($D232&lt;&gt;"Serviço",0,IF(OR(AND(AUTOEVENTO="Manual",$M232=1),$M232&gt;(ROW(PLE.lastrow)-ROW(PLE.firstrow))),0,IF(OFFSET(PLE!$G$14,$M232,CI$13)="",10^12,OFFSET(PLE!$G$14,$M232,CI$13))))</f>
        <v>1000000000000</v>
      </c>
      <c r="CJ232" s="182">
        <f ca="1">IF($D232&lt;&gt;"Serviço",0,IF(OR(AND(AUTOEVENTO="Manual",$M232=1),$M232&gt;(ROW(PLE.lastrow)-ROW(PLE.firstrow))),0,IF(OFFSET(PLE!$G$14,$M232,CJ$13)="",10^12,OFFSET(PLE!$G$14,$M232,CJ$13))))</f>
        <v>1000000000000</v>
      </c>
      <c r="CK232" s="182">
        <f ca="1">IF($D232&lt;&gt;"Serviço",0,IF(OR(AND(AUTOEVENTO="Manual",$M232=1),$M232&gt;(ROW(PLE.lastrow)-ROW(PLE.firstrow))),0,IF(OFFSET(PLE!$G$14,$M232,CK$13)="",10^12,OFFSET(PLE!$G$14,$M232,CK$13))))</f>
        <v>1000000000000</v>
      </c>
      <c r="CL232" s="182">
        <f ca="1">IF($D232&lt;&gt;"Serviço",0,IF(OR(AND(AUTOEVENTO="Manual",$M232=1),$M232&gt;(ROW(PLE.lastrow)-ROW(PLE.firstrow))),0,IF(OFFSET(PLE!$G$14,$M232,CL$13)="",10^12,OFFSET(PLE!$G$14,$M232,CL$13))))</f>
        <v>1000000000000</v>
      </c>
      <c r="CM232" s="182">
        <f ca="1">IF($D232&lt;&gt;"Serviço",0,IF(OR(AND(AUTOEVENTO="Manual",$M232=1),$M232&gt;(ROW(PLE.lastrow)-ROW(PLE.firstrow))),0,IF(OFFSET(PLE!$G$14,$M232,CM$13)="",10^12,OFFSET(PLE!$G$14,$M232,CM$13))))</f>
        <v>1000000000000</v>
      </c>
    </row>
    <row r="233" spans="1:91" ht="12.75" x14ac:dyDescent="0.2">
      <c r="A233" s="7" t="str">
        <f t="shared" ca="1" si="12"/>
        <v>218.</v>
      </c>
      <c r="B233" s="7">
        <f ca="1">OFFSET(ORÇAMENTO!C$15,ROW(B233)-ROW(B$15),0)</f>
        <v>2</v>
      </c>
      <c r="C233" s="7" t="str">
        <f ca="1">OFFSET(ORÇAMENTO!L$15,ROW(C233)-ROW(C$15),0)</f>
        <v>F</v>
      </c>
      <c r="D233" s="118" t="str">
        <f ca="1">OFFSET(ORÇAMENTO!N$15,ROW(D233)-ROW(D$15),0)</f>
        <v>Nível 2</v>
      </c>
      <c r="E233" s="119" t="str">
        <f ca="1">OFFSET(ORÇAMENTO!O$15,ROW(E233)-ROW(E$15),0)</f>
        <v>1.31.</v>
      </c>
      <c r="F233" s="172" t="str">
        <f ca="1">OFFSET(ORÇAMENTO!R$15,ROW(F233)-ROW(F$15),0)</f>
        <v>PINTURAS E ACABAMENTOS - PISO ESTACIONAMENTO</v>
      </c>
      <c r="G233" s="173" t="str">
        <f ca="1">IF($D233&lt;&gt;"Serviço","",OFFSET(ORÇAMENTO!S$15,ROW(G233)-ROW(G$15),0))</f>
        <v/>
      </c>
      <c r="H233" s="124">
        <f ca="1">IF($D233&lt;&gt;"Serviço",0,IF(ACOMPANHAMENTO="BM",ROUND(OFFSET(ORÇAMENTO!AJ$15,ROW(H233)-ROW(H$15),0),15-13*ORÇAMENTO!$AF$7),SUMPRODUCT(($Q$12:$AI$12&lt;&gt;"")*ROUND($Q233:$AI233,15-13*ORÇAMENTO!$AF$7))))</f>
        <v>0</v>
      </c>
      <c r="I233" s="561"/>
      <c r="K233" s="174"/>
      <c r="L233" s="175" t="s">
        <v>255</v>
      </c>
      <c r="M233" s="176" t="str">
        <f ca="1">IF($D233&lt;&gt;"Serviço","",IF(AUTOEVENTO="manual",$A233,IF(ISERROR(MATCH($A233,$A$15:OFFSET($A233,-1,0),0)),MAX($M$15:OFFSET(M233,-1,0))+1,INDEX($M$15:OFFSET(M233,-1,0),MATCH($A233,$A$15:OFFSET($A233,-1,0),0)))))</f>
        <v/>
      </c>
      <c r="N233" s="177" t="str">
        <f ca="1">IF($D233&lt;&gt;"Serviço","",IF(AUTOEVENTO="Manual",IF($A233=0,"&lt;-- defina o número do agrupador",OFFSET(EVENTOS!$D$14,$A233,0)),OFFSET($F$15,$A233,0)))</f>
        <v/>
      </c>
      <c r="O233" s="178"/>
      <c r="Q233" s="178">
        <v>0</v>
      </c>
      <c r="R233" s="179"/>
      <c r="S233" s="179"/>
      <c r="T233" s="179"/>
      <c r="U233" s="179"/>
      <c r="V233" s="179"/>
      <c r="W233" s="179"/>
      <c r="X233" s="179"/>
      <c r="Y233" s="179"/>
      <c r="Z233" s="180"/>
      <c r="AA233" s="179"/>
      <c r="AB233" s="179"/>
      <c r="AC233" s="179"/>
      <c r="AD233" s="179"/>
      <c r="AE233" s="179"/>
      <c r="AF233" s="179"/>
      <c r="AG233" s="179"/>
      <c r="AH233" s="180"/>
      <c r="AJ233" s="544">
        <f ca="1">IF(AND($D233="Serviço",AJ$12&lt;&gt;0,$H233&gt;0,OR(AUTOEVENTO&lt;&gt;"manual",$M233&lt;&gt;1)),
IF(Import.TipoArredondamento&lt;&gt;"TransfereGOV",
ROUND(OFFSET($P233,0,AJ$13),15-13*ORÇAMENTO!$AF$7)/$H233*OFFSET(ORÇAMENTO!$X$15,ROW(AJ233)-ROW(AJ$15),0),
ROUND(ROUND(OFFSET($P233,0,AJ$13),15-13*ORÇAMENTO!$AF$7)*OFFSET(ORÇAMENTO!$W$15,ROW(AJ233)-ROW(AJ$15),0),15-13*ORÇAMENTO!$AF$11)),0)</f>
        <v>0</v>
      </c>
      <c r="AK233" s="545">
        <f ca="1">IF(AND($D233="Serviço",AK$12&lt;&gt;0,$H233&gt;0,OR(AUTOEVENTO&lt;&gt;"manual",$M233&lt;&gt;1)),
IF(Import.TipoArredondamento&lt;&gt;"TransfereGOV",
ROUND(OFFSET($P233,0,AK$13),15-13*ORÇAMENTO!$AF$7)/$H233*OFFSET(ORÇAMENTO!$X$15,ROW(AK233)-ROW(AK$15),0),
ROUND(ROUND(OFFSET($P233,0,AK$13),15-13*ORÇAMENTO!$AF$7)*OFFSET(ORÇAMENTO!$W$15,ROW(AK233)-ROW(AK$15),0),15-13*ORÇAMENTO!$AF$11)),0)</f>
        <v>0</v>
      </c>
      <c r="AL233" s="545">
        <f ca="1">IF(AND($D233="Serviço",AL$12&lt;&gt;0,$H233&gt;0,OR(AUTOEVENTO&lt;&gt;"manual",$M233&lt;&gt;1)),
IF(Import.TipoArredondamento&lt;&gt;"TransfereGOV",
ROUND(OFFSET($P233,0,AL$13),15-13*ORÇAMENTO!$AF$7)/$H233*OFFSET(ORÇAMENTO!$X$15,ROW(AL233)-ROW(AL$15),0),
ROUND(ROUND(OFFSET($P233,0,AL$13),15-13*ORÇAMENTO!$AF$7)*OFFSET(ORÇAMENTO!$W$15,ROW(AL233)-ROW(AL$15),0),15-13*ORÇAMENTO!$AF$11)),0)</f>
        <v>0</v>
      </c>
      <c r="AM233" s="545">
        <f ca="1">IF(AND($D233="Serviço",AM$12&lt;&gt;0,$H233&gt;0,OR(AUTOEVENTO&lt;&gt;"manual",$M233&lt;&gt;1)),
IF(Import.TipoArredondamento&lt;&gt;"TransfereGOV",
ROUND(OFFSET($P233,0,AM$13),15-13*ORÇAMENTO!$AF$7)/$H233*OFFSET(ORÇAMENTO!$X$15,ROW(AM233)-ROW(AM$15),0),
ROUND(ROUND(OFFSET($P233,0,AM$13),15-13*ORÇAMENTO!$AF$7)*OFFSET(ORÇAMENTO!$W$15,ROW(AM233)-ROW(AM$15),0),15-13*ORÇAMENTO!$AF$11)),0)</f>
        <v>0</v>
      </c>
      <c r="AN233" s="545">
        <f ca="1">IF(AND($D233="Serviço",AN$12&lt;&gt;0,$H233&gt;0,OR(AUTOEVENTO&lt;&gt;"manual",$M233&lt;&gt;1)),
IF(Import.TipoArredondamento&lt;&gt;"TransfereGOV",
ROUND(OFFSET($P233,0,AN$13),15-13*ORÇAMENTO!$AF$7)/$H233*OFFSET(ORÇAMENTO!$X$15,ROW(AN233)-ROW(AN$15),0),
ROUND(ROUND(OFFSET($P233,0,AN$13),15-13*ORÇAMENTO!$AF$7)*OFFSET(ORÇAMENTO!$W$15,ROW(AN233)-ROW(AN$15),0),15-13*ORÇAMENTO!$AF$11)),0)</f>
        <v>0</v>
      </c>
      <c r="AO233" s="545">
        <f ca="1">IF(AND($D233="Serviço",AO$12&lt;&gt;0,$H233&gt;0,OR(AUTOEVENTO&lt;&gt;"manual",$M233&lt;&gt;1)),
IF(Import.TipoArredondamento&lt;&gt;"TransfereGOV",
ROUND(OFFSET($P233,0,AO$13),15-13*ORÇAMENTO!$AF$7)/$H233*OFFSET(ORÇAMENTO!$X$15,ROW(AO233)-ROW(AO$15),0),
ROUND(ROUND(OFFSET($P233,0,AO$13),15-13*ORÇAMENTO!$AF$7)*OFFSET(ORÇAMENTO!$W$15,ROW(AO233)-ROW(AO$15),0),15-13*ORÇAMENTO!$AF$11)),0)</f>
        <v>0</v>
      </c>
      <c r="AP233" s="545">
        <f ca="1">IF(AND($D233="Serviço",AP$12&lt;&gt;0,$H233&gt;0,OR(AUTOEVENTO&lt;&gt;"manual",$M233&lt;&gt;1)),
IF(Import.TipoArredondamento&lt;&gt;"TransfereGOV",
ROUND(OFFSET($P233,0,AP$13),15-13*ORÇAMENTO!$AF$7)/$H233*OFFSET(ORÇAMENTO!$X$15,ROW(AP233)-ROW(AP$15),0),
ROUND(ROUND(OFFSET($P233,0,AP$13),15-13*ORÇAMENTO!$AF$7)*OFFSET(ORÇAMENTO!$W$15,ROW(AP233)-ROW(AP$15),0),15-13*ORÇAMENTO!$AF$11)),0)</f>
        <v>0</v>
      </c>
      <c r="AQ233" s="545">
        <f ca="1">IF(AND($D233="Serviço",AQ$12&lt;&gt;0,$H233&gt;0,OR(AUTOEVENTO&lt;&gt;"manual",$M233&lt;&gt;1)),
IF(Import.TipoArredondamento&lt;&gt;"TransfereGOV",
ROUND(OFFSET($P233,0,AQ$13),15-13*ORÇAMENTO!$AF$7)/$H233*OFFSET(ORÇAMENTO!$X$15,ROW(AQ233)-ROW(AQ$15),0),
ROUND(ROUND(OFFSET($P233,0,AQ$13),15-13*ORÇAMENTO!$AF$7)*OFFSET(ORÇAMENTO!$W$15,ROW(AQ233)-ROW(AQ$15),0),15-13*ORÇAMENTO!$AF$11)),0)</f>
        <v>0</v>
      </c>
      <c r="AR233" s="545">
        <f ca="1">IF(AND($D233="Serviço",AR$12&lt;&gt;0,$H233&gt;0,OR(AUTOEVENTO&lt;&gt;"manual",$M233&lt;&gt;1)),
IF(Import.TipoArredondamento&lt;&gt;"TransfereGOV",
ROUND(OFFSET($P233,0,AR$13),15-13*ORÇAMENTO!$AF$7)/$H233*OFFSET(ORÇAMENTO!$X$15,ROW(AR233)-ROW(AR$15),0),
ROUND(ROUND(OFFSET($P233,0,AR$13),15-13*ORÇAMENTO!$AF$7)*OFFSET(ORÇAMENTO!$W$15,ROW(AR233)-ROW(AR$15),0),15-13*ORÇAMENTO!$AF$11)),0)</f>
        <v>0</v>
      </c>
      <c r="AS233" s="546">
        <f ca="1">IF(AND($D233="Serviço",AS$12&lt;&gt;0,$H233&gt;0,OR(AUTOEVENTO&lt;&gt;"manual",$M233&lt;&gt;1)),
IF(Import.TipoArredondamento&lt;&gt;"TransfereGOV",
ROUND(OFFSET($P233,0,AS$13),15-13*ORÇAMENTO!$AF$7)/$H233*OFFSET(ORÇAMENTO!$X$15,ROW(AS233)-ROW(AS$15),0),
ROUND(ROUND(OFFSET($P233,0,AS$13),15-13*ORÇAMENTO!$AF$7)*OFFSET(ORÇAMENTO!$W$15,ROW(AS233)-ROW(AS$15),0),15-13*ORÇAMENTO!$AF$11)),0)</f>
        <v>0</v>
      </c>
      <c r="AT233" s="545">
        <f ca="1">IF(AND($D233="Serviço",AT$12&lt;&gt;0,$H233&gt;0,OR(AUTOEVENTO&lt;&gt;"manual",$M233&lt;&gt;1)),
IF(Import.TipoArredondamento&lt;&gt;"TransfereGOV",
ROUND(OFFSET($P233,0,AT$13),15-13*ORÇAMENTO!$AF$7)/$H233*OFFSET(ORÇAMENTO!$X$15,ROW(AT233)-ROW(AT$15),0),
ROUND(ROUND(OFFSET($P233,0,AT$13),15-13*ORÇAMENTO!$AF$7)*OFFSET(ORÇAMENTO!$W$15,ROW(AT233)-ROW(AT$15),0),15-13*ORÇAMENTO!$AF$11)),0)</f>
        <v>0</v>
      </c>
      <c r="AU233" s="545">
        <f ca="1">IF(AND($D233="Serviço",AU$12&lt;&gt;0,$H233&gt;0,OR(AUTOEVENTO&lt;&gt;"manual",$M233&lt;&gt;1)),
IF(Import.TipoArredondamento&lt;&gt;"TransfereGOV",
ROUND(OFFSET($P233,0,AU$13),15-13*ORÇAMENTO!$AF$7)/$H233*OFFSET(ORÇAMENTO!$X$15,ROW(AU233)-ROW(AU$15),0),
ROUND(ROUND(OFFSET($P233,0,AU$13),15-13*ORÇAMENTO!$AF$7)*OFFSET(ORÇAMENTO!$W$15,ROW(AU233)-ROW(AU$15),0),15-13*ORÇAMENTO!$AF$11)),0)</f>
        <v>0</v>
      </c>
      <c r="AV233" s="545">
        <f ca="1">IF(AND($D233="Serviço",AV$12&lt;&gt;0,$H233&gt;0,OR(AUTOEVENTO&lt;&gt;"manual",$M233&lt;&gt;1)),
IF(Import.TipoArredondamento&lt;&gt;"TransfereGOV",
ROUND(OFFSET($P233,0,AV$13),15-13*ORÇAMENTO!$AF$7)/$H233*OFFSET(ORÇAMENTO!$X$15,ROW(AV233)-ROW(AV$15),0),
ROUND(ROUND(OFFSET($P233,0,AV$13),15-13*ORÇAMENTO!$AF$7)*OFFSET(ORÇAMENTO!$W$15,ROW(AV233)-ROW(AV$15),0),15-13*ORÇAMENTO!$AF$11)),0)</f>
        <v>0</v>
      </c>
      <c r="AW233" s="545">
        <f ca="1">IF(AND($D233="Serviço",AW$12&lt;&gt;0,$H233&gt;0,OR(AUTOEVENTO&lt;&gt;"manual",$M233&lt;&gt;1)),
IF(Import.TipoArredondamento&lt;&gt;"TransfereGOV",
ROUND(OFFSET($P233,0,AW$13),15-13*ORÇAMENTO!$AF$7)/$H233*OFFSET(ORÇAMENTO!$X$15,ROW(AW233)-ROW(AW$15),0),
ROUND(ROUND(OFFSET($P233,0,AW$13),15-13*ORÇAMENTO!$AF$7)*OFFSET(ORÇAMENTO!$W$15,ROW(AW233)-ROW(AW$15),0),15-13*ORÇAMENTO!$AF$11)),0)</f>
        <v>0</v>
      </c>
      <c r="AX233" s="545">
        <f ca="1">IF(AND($D233="Serviço",AX$12&lt;&gt;0,$H233&gt;0,OR(AUTOEVENTO&lt;&gt;"manual",$M233&lt;&gt;1)),
IF(Import.TipoArredondamento&lt;&gt;"TransfereGOV",
ROUND(OFFSET($P233,0,AX$13),15-13*ORÇAMENTO!$AF$7)/$H233*OFFSET(ORÇAMENTO!$X$15,ROW(AX233)-ROW(AX$15),0),
ROUND(ROUND(OFFSET($P233,0,AX$13),15-13*ORÇAMENTO!$AF$7)*OFFSET(ORÇAMENTO!$W$15,ROW(AX233)-ROW(AX$15),0),15-13*ORÇAMENTO!$AF$11)),0)</f>
        <v>0</v>
      </c>
      <c r="AY233" s="545">
        <f ca="1">IF(AND($D233="Serviço",AY$12&lt;&gt;0,$H233&gt;0,OR(AUTOEVENTO&lt;&gt;"manual",$M233&lt;&gt;1)),
IF(Import.TipoArredondamento&lt;&gt;"TransfereGOV",
ROUND(OFFSET($P233,0,AY$13),15-13*ORÇAMENTO!$AF$7)/$H233*OFFSET(ORÇAMENTO!$X$15,ROW(AY233)-ROW(AY$15),0),
ROUND(ROUND(OFFSET($P233,0,AY$13),15-13*ORÇAMENTO!$AF$7)*OFFSET(ORÇAMENTO!$W$15,ROW(AY233)-ROW(AY$15),0),15-13*ORÇAMENTO!$AF$11)),0)</f>
        <v>0</v>
      </c>
      <c r="AZ233" s="545">
        <f ca="1">IF(AND($D233="Serviço",AZ$12&lt;&gt;0,$H233&gt;0,OR(AUTOEVENTO&lt;&gt;"manual",$M233&lt;&gt;1)),
IF(Import.TipoArredondamento&lt;&gt;"TransfereGOV",
ROUND(OFFSET($P233,0,AZ$13),15-13*ORÇAMENTO!$AF$7)/$H233*OFFSET(ORÇAMENTO!$X$15,ROW(AZ233)-ROW(AZ$15),0),
ROUND(ROUND(OFFSET($P233,0,AZ$13),15-13*ORÇAMENTO!$AF$7)*OFFSET(ORÇAMENTO!$W$15,ROW(AZ233)-ROW(AZ$15),0),15-13*ORÇAMENTO!$AF$11)),0)</f>
        <v>0</v>
      </c>
      <c r="BA233" s="546">
        <f ca="1">IF(AND($D233="Serviço",BA$12&lt;&gt;0,$H233&gt;0,OR(AUTOEVENTO&lt;&gt;"manual",$M233&lt;&gt;1)),
IF(Import.TipoArredondamento&lt;&gt;"TransfereGOV",
ROUND(OFFSET($P233,0,BA$13),15-13*ORÇAMENTO!$AF$7)/$H233*OFFSET(ORÇAMENTO!$X$15,ROW(BA233)-ROW(BA$15),0),
ROUND(ROUND(OFFSET($P233,0,BA$13),15-13*ORÇAMENTO!$AF$7)*OFFSET(ORÇAMENTO!$W$15,ROW(BA233)-ROW(BA$15),0),15-13*ORÇAMENTO!$AF$11)),0)</f>
        <v>0</v>
      </c>
      <c r="BC233" s="181">
        <f ca="1">IF($D233&lt;&gt;"Serviço",0,IF(AND(AUTOEVENTO="Manual",$M233=1),0,IF(OFFSET(CRONOPLE!$F$14,$M233,BC$13)="",10^12,OFFSET(CRONOPLE!$F$14,$M233,BC$13))))</f>
        <v>0</v>
      </c>
      <c r="BD233" s="181">
        <f ca="1">IF($D233&lt;&gt;"Serviço",0,IF(AND(AUTOEVENTO="Manual",$M233=1),0,IF(OFFSET(CRONOPLE!$F$14,$M233,BD$13)="",10^12,OFFSET(CRONOPLE!$F$14,$M233,BD$13))))</f>
        <v>0</v>
      </c>
      <c r="BE233" s="181">
        <f ca="1">IF($D233&lt;&gt;"Serviço",0,IF(AND(AUTOEVENTO="Manual",$M233=1),0,IF(OFFSET(CRONOPLE!$F$14,$M233,BE$13)="",10^12,OFFSET(CRONOPLE!$F$14,$M233,BE$13))))</f>
        <v>0</v>
      </c>
      <c r="BF233" s="181">
        <f ca="1">IF($D233&lt;&gt;"Serviço",0,IF(AND(AUTOEVENTO="Manual",$M233=1),0,IF(OFFSET(CRONOPLE!$F$14,$M233,BF$13)="",10^12,OFFSET(CRONOPLE!$F$14,$M233,BF$13))))</f>
        <v>0</v>
      </c>
      <c r="BG233" s="181">
        <f ca="1">IF($D233&lt;&gt;"Serviço",0,IF(AND(AUTOEVENTO="Manual",$M233=1),0,IF(OFFSET(CRONOPLE!$F$14,$M233,BG$13)="",10^12,OFFSET(CRONOPLE!$F$14,$M233,BG$13))))</f>
        <v>0</v>
      </c>
      <c r="BH233" s="181">
        <f ca="1">IF($D233&lt;&gt;"Serviço",0,IF(AND(AUTOEVENTO="Manual",$M233=1),0,IF(OFFSET(CRONOPLE!$F$14,$M233,BH$13)="",10^12,OFFSET(CRONOPLE!$F$14,$M233,BH$13))))</f>
        <v>0</v>
      </c>
      <c r="BI233" s="181">
        <f ca="1">IF($D233&lt;&gt;"Serviço",0,IF(AND(AUTOEVENTO="Manual",$M233=1),0,IF(OFFSET(CRONOPLE!$F$14,$M233,BI$13)="",10^12,OFFSET(CRONOPLE!$F$14,$M233,BI$13))))</f>
        <v>0</v>
      </c>
      <c r="BJ233" s="181">
        <f ca="1">IF($D233&lt;&gt;"Serviço",0,IF(AND(AUTOEVENTO="Manual",$M233=1),0,IF(OFFSET(CRONOPLE!$F$14,$M233,BJ$13)="",10^12,OFFSET(CRONOPLE!$F$14,$M233,BJ$13))))</f>
        <v>0</v>
      </c>
      <c r="BK233" s="181">
        <f ca="1">IF($D233&lt;&gt;"Serviço",0,IF(AND(AUTOEVENTO="Manual",$M233=1),0,IF(OFFSET(CRONOPLE!$F$14,$M233,BK$13)="",10^12,OFFSET(CRONOPLE!$F$14,$M233,BK$13))))</f>
        <v>0</v>
      </c>
      <c r="BL233" s="181">
        <f ca="1">IF($D233&lt;&gt;"Serviço",0,IF(AND(AUTOEVENTO="Manual",$M233=1),0,IF(OFFSET(CRONOPLE!$F$14,$M233,BL$13)="",10^12,OFFSET(CRONOPLE!$F$14,$M233,BL$13))))</f>
        <v>0</v>
      </c>
      <c r="BM233" s="181">
        <f ca="1">IF($D233&lt;&gt;"Serviço",0,IF(AND(AUTOEVENTO="Manual",$M233=1),0,IF(OFFSET(CRONOPLE!$F$14,$M233,BM$13)="",10^12,OFFSET(CRONOPLE!$F$14,$M233,BM$13))))</f>
        <v>0</v>
      </c>
      <c r="BN233" s="181">
        <f ca="1">IF($D233&lt;&gt;"Serviço",0,IF(AND(AUTOEVENTO="Manual",$M233=1),0,IF(OFFSET(CRONOPLE!$F$14,$M233,BN$13)="",10^12,OFFSET(CRONOPLE!$F$14,$M233,BN$13))))</f>
        <v>0</v>
      </c>
      <c r="BO233" s="181">
        <f ca="1">IF($D233&lt;&gt;"Serviço",0,IF(AND(AUTOEVENTO="Manual",$M233=1),0,IF(OFFSET(CRONOPLE!$F$14,$M233,BO$13)="",10^12,OFFSET(CRONOPLE!$F$14,$M233,BO$13))))</f>
        <v>0</v>
      </c>
      <c r="BP233" s="181">
        <f ca="1">IF($D233&lt;&gt;"Serviço",0,IF(AND(AUTOEVENTO="Manual",$M233=1),0,IF(OFFSET(CRONOPLE!$F$14,$M233,BP$13)="",10^12,OFFSET(CRONOPLE!$F$14,$M233,BP$13))))</f>
        <v>0</v>
      </c>
      <c r="BQ233" s="181">
        <f ca="1">IF($D233&lt;&gt;"Serviço",0,IF(AND(AUTOEVENTO="Manual",$M233=1),0,IF(OFFSET(CRONOPLE!$F$14,$M233,BQ$13)="",10^12,OFFSET(CRONOPLE!$F$14,$M233,BQ$13))))</f>
        <v>0</v>
      </c>
      <c r="BR233" s="181">
        <f ca="1">IF($D233&lt;&gt;"Serviço",0,IF(AND(AUTOEVENTO="Manual",$M233=1),0,IF(OFFSET(CRONOPLE!$F$14,$M233,BR$13)="",10^12,OFFSET(CRONOPLE!$F$14,$M233,BR$13))))</f>
        <v>0</v>
      </c>
      <c r="BS233" s="181">
        <f ca="1">IF($D233&lt;&gt;"Serviço",0,IF(AND(AUTOEVENTO="Manual",$M233=1),0,IF(OFFSET(CRONOPLE!$F$14,$M233,BS$13)="",10^12,OFFSET(CRONOPLE!$F$14,$M233,BS$13))))</f>
        <v>0</v>
      </c>
      <c r="BT233" s="181">
        <f ca="1">IF($D233&lt;&gt;"Serviço",0,IF(AND(AUTOEVENTO="Manual",$M233=1),0,IF(OFFSET(CRONOPLE!$F$14,$M233,BT$13)="",10^12,OFFSET(CRONOPLE!$F$14,$M233,BT$13))))</f>
        <v>0</v>
      </c>
      <c r="BV233" s="182">
        <f ca="1">IF($D233&lt;&gt;"Serviço",0,IF(OR(AND(AUTOEVENTO="Manual",$M233=1),$M233&gt;(ROW(PLE.lastrow)-ROW(PLE.firstrow))),0,IF(OFFSET(PLE!$G$14,$M233,BV$13)="",10^12,OFFSET(PLE!$G$14,$M233,BV$13))))</f>
        <v>0</v>
      </c>
      <c r="BW233" s="182">
        <f ca="1">IF($D233&lt;&gt;"Serviço",0,IF(OR(AND(AUTOEVENTO="Manual",$M233=1),$M233&gt;(ROW(PLE.lastrow)-ROW(PLE.firstrow))),0,IF(OFFSET(PLE!$G$14,$M233,BW$13)="",10^12,OFFSET(PLE!$G$14,$M233,BW$13))))</f>
        <v>0</v>
      </c>
      <c r="BX233" s="182">
        <f ca="1">IF($D233&lt;&gt;"Serviço",0,IF(OR(AND(AUTOEVENTO="Manual",$M233=1),$M233&gt;(ROW(PLE.lastrow)-ROW(PLE.firstrow))),0,IF(OFFSET(PLE!$G$14,$M233,BX$13)="",10^12,OFFSET(PLE!$G$14,$M233,BX$13))))</f>
        <v>0</v>
      </c>
      <c r="BY233" s="182">
        <f ca="1">IF($D233&lt;&gt;"Serviço",0,IF(OR(AND(AUTOEVENTO="Manual",$M233=1),$M233&gt;(ROW(PLE.lastrow)-ROW(PLE.firstrow))),0,IF(OFFSET(PLE!$G$14,$M233,BY$13)="",10^12,OFFSET(PLE!$G$14,$M233,BY$13))))</f>
        <v>0</v>
      </c>
      <c r="BZ233" s="182">
        <f ca="1">IF($D233&lt;&gt;"Serviço",0,IF(OR(AND(AUTOEVENTO="Manual",$M233=1),$M233&gt;(ROW(PLE.lastrow)-ROW(PLE.firstrow))),0,IF(OFFSET(PLE!$G$14,$M233,BZ$13)="",10^12,OFFSET(PLE!$G$14,$M233,BZ$13))))</f>
        <v>0</v>
      </c>
      <c r="CA233" s="182">
        <f ca="1">IF($D233&lt;&gt;"Serviço",0,IF(OR(AND(AUTOEVENTO="Manual",$M233=1),$M233&gt;(ROW(PLE.lastrow)-ROW(PLE.firstrow))),0,IF(OFFSET(PLE!$G$14,$M233,CA$13)="",10^12,OFFSET(PLE!$G$14,$M233,CA$13))))</f>
        <v>0</v>
      </c>
      <c r="CB233" s="182">
        <f ca="1">IF($D233&lt;&gt;"Serviço",0,IF(OR(AND(AUTOEVENTO="Manual",$M233=1),$M233&gt;(ROW(PLE.lastrow)-ROW(PLE.firstrow))),0,IF(OFFSET(PLE!$G$14,$M233,CB$13)="",10^12,OFFSET(PLE!$G$14,$M233,CB$13))))</f>
        <v>0</v>
      </c>
      <c r="CC233" s="182">
        <f ca="1">IF($D233&lt;&gt;"Serviço",0,IF(OR(AND(AUTOEVENTO="Manual",$M233=1),$M233&gt;(ROW(PLE.lastrow)-ROW(PLE.firstrow))),0,IF(OFFSET(PLE!$G$14,$M233,CC$13)="",10^12,OFFSET(PLE!$G$14,$M233,CC$13))))</f>
        <v>0</v>
      </c>
      <c r="CD233" s="182">
        <f ca="1">IF($D233&lt;&gt;"Serviço",0,IF(OR(AND(AUTOEVENTO="Manual",$M233=1),$M233&gt;(ROW(PLE.lastrow)-ROW(PLE.firstrow))),0,IF(OFFSET(PLE!$G$14,$M233,CD$13)="",10^12,OFFSET(PLE!$G$14,$M233,CD$13))))</f>
        <v>0</v>
      </c>
      <c r="CE233" s="182">
        <f ca="1">IF($D233&lt;&gt;"Serviço",0,IF(OR(AND(AUTOEVENTO="Manual",$M233=1),$M233&gt;(ROW(PLE.lastrow)-ROW(PLE.firstrow))),0,IF(OFFSET(PLE!$G$14,$M233,CE$13)="",10^12,OFFSET(PLE!$G$14,$M233,CE$13))))</f>
        <v>0</v>
      </c>
      <c r="CF233" s="182">
        <f ca="1">IF($D233&lt;&gt;"Serviço",0,IF(OR(AND(AUTOEVENTO="Manual",$M233=1),$M233&gt;(ROW(PLE.lastrow)-ROW(PLE.firstrow))),0,IF(OFFSET(PLE!$G$14,$M233,CF$13)="",10^12,OFFSET(PLE!$G$14,$M233,CF$13))))</f>
        <v>0</v>
      </c>
      <c r="CG233" s="182">
        <f ca="1">IF($D233&lt;&gt;"Serviço",0,IF(OR(AND(AUTOEVENTO="Manual",$M233=1),$M233&gt;(ROW(PLE.lastrow)-ROW(PLE.firstrow))),0,IF(OFFSET(PLE!$G$14,$M233,CG$13)="",10^12,OFFSET(PLE!$G$14,$M233,CG$13))))</f>
        <v>0</v>
      </c>
      <c r="CH233" s="182">
        <f ca="1">IF($D233&lt;&gt;"Serviço",0,IF(OR(AND(AUTOEVENTO="Manual",$M233=1),$M233&gt;(ROW(PLE.lastrow)-ROW(PLE.firstrow))),0,IF(OFFSET(PLE!$G$14,$M233,CH$13)="",10^12,OFFSET(PLE!$G$14,$M233,CH$13))))</f>
        <v>0</v>
      </c>
      <c r="CI233" s="182">
        <f ca="1">IF($D233&lt;&gt;"Serviço",0,IF(OR(AND(AUTOEVENTO="Manual",$M233=1),$M233&gt;(ROW(PLE.lastrow)-ROW(PLE.firstrow))),0,IF(OFFSET(PLE!$G$14,$M233,CI$13)="",10^12,OFFSET(PLE!$G$14,$M233,CI$13))))</f>
        <v>0</v>
      </c>
      <c r="CJ233" s="182">
        <f ca="1">IF($D233&lt;&gt;"Serviço",0,IF(OR(AND(AUTOEVENTO="Manual",$M233=1),$M233&gt;(ROW(PLE.lastrow)-ROW(PLE.firstrow))),0,IF(OFFSET(PLE!$G$14,$M233,CJ$13)="",10^12,OFFSET(PLE!$G$14,$M233,CJ$13))))</f>
        <v>0</v>
      </c>
      <c r="CK233" s="182">
        <f ca="1">IF($D233&lt;&gt;"Serviço",0,IF(OR(AND(AUTOEVENTO="Manual",$M233=1),$M233&gt;(ROW(PLE.lastrow)-ROW(PLE.firstrow))),0,IF(OFFSET(PLE!$G$14,$M233,CK$13)="",10^12,OFFSET(PLE!$G$14,$M233,CK$13))))</f>
        <v>0</v>
      </c>
      <c r="CL233" s="182">
        <f ca="1">IF($D233&lt;&gt;"Serviço",0,IF(OR(AND(AUTOEVENTO="Manual",$M233=1),$M233&gt;(ROW(PLE.lastrow)-ROW(PLE.firstrow))),0,IF(OFFSET(PLE!$G$14,$M233,CL$13)="",10^12,OFFSET(PLE!$G$14,$M233,CL$13))))</f>
        <v>0</v>
      </c>
      <c r="CM233" s="182">
        <f ca="1">IF($D233&lt;&gt;"Serviço",0,IF(OR(AND(AUTOEVENTO="Manual",$M233=1),$M233&gt;(ROW(PLE.lastrow)-ROW(PLE.firstrow))),0,IF(OFFSET(PLE!$G$14,$M233,CM$13)="",10^12,OFFSET(PLE!$G$14,$M233,CM$13))))</f>
        <v>0</v>
      </c>
    </row>
    <row r="234" spans="1:91" ht="25.5" x14ac:dyDescent="0.2">
      <c r="A234" s="7" t="str">
        <f t="shared" ca="1" si="12"/>
        <v>218</v>
      </c>
      <c r="B234" s="7" t="str">
        <f ca="1">OFFSET(ORÇAMENTO!C$15,ROW(B234)-ROW(B$15),0)</f>
        <v>S</v>
      </c>
      <c r="C234" s="7" t="str">
        <f ca="1">OFFSET(ORÇAMENTO!L$15,ROW(C234)-ROW(C$15),0)</f>
        <v/>
      </c>
      <c r="D234" s="118" t="str">
        <f ca="1">OFFSET(ORÇAMENTO!N$15,ROW(D234)-ROW(D$15),0)</f>
        <v>Serviço</v>
      </c>
      <c r="E234" s="119" t="str">
        <f ca="1">OFFSET(ORÇAMENTO!O$15,ROW(E234)-ROW(E$15),0)</f>
        <v>-</v>
      </c>
      <c r="F234" s="172" t="str">
        <f ca="1">OFFSET(ORÇAMENTO!R$15,ROW(F234)-ROW(F$15),0)</f>
        <v>(abra o arquivo 'Referência 06-2024.xlsm)</v>
      </c>
      <c r="G234" s="173" t="str">
        <f ca="1">IF($D234&lt;&gt;"Serviço","",OFFSET(ORÇAMENTO!S$15,ROW(G234)-ROW(G$15),0))</f>
        <v>-</v>
      </c>
      <c r="H234" s="124">
        <f ca="1">IF($D234&lt;&gt;"Serviço",0,IF(ACOMPANHAMENTO="BM",ROUND(OFFSET(ORÇAMENTO!AJ$15,ROW(H234)-ROW(H$15),0),15-13*ORÇAMENTO!$AF$7),SUMPRODUCT(($Q$12:$AI$12&lt;&gt;"")*ROUND($Q234:$AI234,15-13*ORÇAMENTO!$AF$7))))</f>
        <v>2.81</v>
      </c>
      <c r="I234" s="561" t="s">
        <v>1107</v>
      </c>
      <c r="K234" s="174"/>
      <c r="L234" s="175" t="s">
        <v>255</v>
      </c>
      <c r="M234" s="176">
        <f ca="1">IF($D234&lt;&gt;"Serviço","",IF(AUTOEVENTO="manual",$A234,IF(ISERROR(MATCH($A234,$A$15:OFFSET($A234,-1,0),0)),MAX($M$15:OFFSET(M234,-1,0))+1,INDEX($M$15:OFFSET(M234,-1,0),MATCH($A234,$A$15:OFFSET($A234,-1,0),0)))))</f>
        <v>32</v>
      </c>
      <c r="N234" s="177" t="str">
        <f ca="1">IF($D234&lt;&gt;"Serviço","",IF(AUTOEVENTO="Manual",IF($A234=0,"&lt;-- defina o número do agrupador",OFFSET(EVENTOS!$D$14,$A234,0)),OFFSET($F$15,$A234,0)))</f>
        <v>PINTURAS E ACABAMENTOS - PISO ESTACIONAMENTO</v>
      </c>
      <c r="O234" s="178"/>
      <c r="Q234" s="178">
        <v>2.81</v>
      </c>
      <c r="R234" s="179"/>
      <c r="S234" s="179"/>
      <c r="T234" s="179"/>
      <c r="U234" s="179"/>
      <c r="V234" s="179"/>
      <c r="W234" s="179"/>
      <c r="X234" s="179"/>
      <c r="Y234" s="179"/>
      <c r="Z234" s="180"/>
      <c r="AA234" s="179"/>
      <c r="AB234" s="179"/>
      <c r="AC234" s="179"/>
      <c r="AD234" s="179"/>
      <c r="AE234" s="179"/>
      <c r="AF234" s="179"/>
      <c r="AG234" s="179"/>
      <c r="AH234" s="180"/>
      <c r="AJ234" s="544">
        <f ca="1">IF(AND($D234="Serviço",AJ$12&lt;&gt;0,$H234&gt;0,OR(AUTOEVENTO&lt;&gt;"manual",$M234&lt;&gt;1)),
IF(Import.TipoArredondamento&lt;&gt;"TransfereGOV",
ROUND(OFFSET($P234,0,AJ$13),15-13*ORÇAMENTO!$AF$7)/$H234*OFFSET(ORÇAMENTO!$X$15,ROW(AJ234)-ROW(AJ$15),0),
ROUND(ROUND(OFFSET($P234,0,AJ$13),15-13*ORÇAMENTO!$AF$7)*OFFSET(ORÇAMENTO!$W$15,ROW(AJ234)-ROW(AJ$15),0),15-13*ORÇAMENTO!$AF$11)),0)</f>
        <v>0</v>
      </c>
      <c r="AK234" s="545">
        <f ca="1">IF(AND($D234="Serviço",AK$12&lt;&gt;0,$H234&gt;0,OR(AUTOEVENTO&lt;&gt;"manual",$M234&lt;&gt;1)),
IF(Import.TipoArredondamento&lt;&gt;"TransfereGOV",
ROUND(OFFSET($P234,0,AK$13),15-13*ORÇAMENTO!$AF$7)/$H234*OFFSET(ORÇAMENTO!$X$15,ROW(AK234)-ROW(AK$15),0),
ROUND(ROUND(OFFSET($P234,0,AK$13),15-13*ORÇAMENTO!$AF$7)*OFFSET(ORÇAMENTO!$W$15,ROW(AK234)-ROW(AK$15),0),15-13*ORÇAMENTO!$AF$11)),0)</f>
        <v>0</v>
      </c>
      <c r="AL234" s="545">
        <f ca="1">IF(AND($D234="Serviço",AL$12&lt;&gt;0,$H234&gt;0,OR(AUTOEVENTO&lt;&gt;"manual",$M234&lt;&gt;1)),
IF(Import.TipoArredondamento&lt;&gt;"TransfereGOV",
ROUND(OFFSET($P234,0,AL$13),15-13*ORÇAMENTO!$AF$7)/$H234*OFFSET(ORÇAMENTO!$X$15,ROW(AL234)-ROW(AL$15),0),
ROUND(ROUND(OFFSET($P234,0,AL$13),15-13*ORÇAMENTO!$AF$7)*OFFSET(ORÇAMENTO!$W$15,ROW(AL234)-ROW(AL$15),0),15-13*ORÇAMENTO!$AF$11)),0)</f>
        <v>0</v>
      </c>
      <c r="AM234" s="545">
        <f ca="1">IF(AND($D234="Serviço",AM$12&lt;&gt;0,$H234&gt;0,OR(AUTOEVENTO&lt;&gt;"manual",$M234&lt;&gt;1)),
IF(Import.TipoArredondamento&lt;&gt;"TransfereGOV",
ROUND(OFFSET($P234,0,AM$13),15-13*ORÇAMENTO!$AF$7)/$H234*OFFSET(ORÇAMENTO!$X$15,ROW(AM234)-ROW(AM$15),0),
ROUND(ROUND(OFFSET($P234,0,AM$13),15-13*ORÇAMENTO!$AF$7)*OFFSET(ORÇAMENTO!$W$15,ROW(AM234)-ROW(AM$15),0),15-13*ORÇAMENTO!$AF$11)),0)</f>
        <v>0</v>
      </c>
      <c r="AN234" s="545">
        <f ca="1">IF(AND($D234="Serviço",AN$12&lt;&gt;0,$H234&gt;0,OR(AUTOEVENTO&lt;&gt;"manual",$M234&lt;&gt;1)),
IF(Import.TipoArredondamento&lt;&gt;"TransfereGOV",
ROUND(OFFSET($P234,0,AN$13),15-13*ORÇAMENTO!$AF$7)/$H234*OFFSET(ORÇAMENTO!$X$15,ROW(AN234)-ROW(AN$15),0),
ROUND(ROUND(OFFSET($P234,0,AN$13),15-13*ORÇAMENTO!$AF$7)*OFFSET(ORÇAMENTO!$W$15,ROW(AN234)-ROW(AN$15),0),15-13*ORÇAMENTO!$AF$11)),0)</f>
        <v>0</v>
      </c>
      <c r="AO234" s="545">
        <f ca="1">IF(AND($D234="Serviço",AO$12&lt;&gt;0,$H234&gt;0,OR(AUTOEVENTO&lt;&gt;"manual",$M234&lt;&gt;1)),
IF(Import.TipoArredondamento&lt;&gt;"TransfereGOV",
ROUND(OFFSET($P234,0,AO$13),15-13*ORÇAMENTO!$AF$7)/$H234*OFFSET(ORÇAMENTO!$X$15,ROW(AO234)-ROW(AO$15),0),
ROUND(ROUND(OFFSET($P234,0,AO$13),15-13*ORÇAMENTO!$AF$7)*OFFSET(ORÇAMENTO!$W$15,ROW(AO234)-ROW(AO$15),0),15-13*ORÇAMENTO!$AF$11)),0)</f>
        <v>0</v>
      </c>
      <c r="AP234" s="545">
        <f ca="1">IF(AND($D234="Serviço",AP$12&lt;&gt;0,$H234&gt;0,OR(AUTOEVENTO&lt;&gt;"manual",$M234&lt;&gt;1)),
IF(Import.TipoArredondamento&lt;&gt;"TransfereGOV",
ROUND(OFFSET($P234,0,AP$13),15-13*ORÇAMENTO!$AF$7)/$H234*OFFSET(ORÇAMENTO!$X$15,ROW(AP234)-ROW(AP$15),0),
ROUND(ROUND(OFFSET($P234,0,AP$13),15-13*ORÇAMENTO!$AF$7)*OFFSET(ORÇAMENTO!$W$15,ROW(AP234)-ROW(AP$15),0),15-13*ORÇAMENTO!$AF$11)),0)</f>
        <v>0</v>
      </c>
      <c r="AQ234" s="545">
        <f ca="1">IF(AND($D234="Serviço",AQ$12&lt;&gt;0,$H234&gt;0,OR(AUTOEVENTO&lt;&gt;"manual",$M234&lt;&gt;1)),
IF(Import.TipoArredondamento&lt;&gt;"TransfereGOV",
ROUND(OFFSET($P234,0,AQ$13),15-13*ORÇAMENTO!$AF$7)/$H234*OFFSET(ORÇAMENTO!$X$15,ROW(AQ234)-ROW(AQ$15),0),
ROUND(ROUND(OFFSET($P234,0,AQ$13),15-13*ORÇAMENTO!$AF$7)*OFFSET(ORÇAMENTO!$W$15,ROW(AQ234)-ROW(AQ$15),0),15-13*ORÇAMENTO!$AF$11)),0)</f>
        <v>0</v>
      </c>
      <c r="AR234" s="545">
        <f ca="1">IF(AND($D234="Serviço",AR$12&lt;&gt;0,$H234&gt;0,OR(AUTOEVENTO&lt;&gt;"manual",$M234&lt;&gt;1)),
IF(Import.TipoArredondamento&lt;&gt;"TransfereGOV",
ROUND(OFFSET($P234,0,AR$13),15-13*ORÇAMENTO!$AF$7)/$H234*OFFSET(ORÇAMENTO!$X$15,ROW(AR234)-ROW(AR$15),0),
ROUND(ROUND(OFFSET($P234,0,AR$13),15-13*ORÇAMENTO!$AF$7)*OFFSET(ORÇAMENTO!$W$15,ROW(AR234)-ROW(AR$15),0),15-13*ORÇAMENTO!$AF$11)),0)</f>
        <v>0</v>
      </c>
      <c r="AS234" s="546">
        <f ca="1">IF(AND($D234="Serviço",AS$12&lt;&gt;0,$H234&gt;0,OR(AUTOEVENTO&lt;&gt;"manual",$M234&lt;&gt;1)),
IF(Import.TipoArredondamento&lt;&gt;"TransfereGOV",
ROUND(OFFSET($P234,0,AS$13),15-13*ORÇAMENTO!$AF$7)/$H234*OFFSET(ORÇAMENTO!$X$15,ROW(AS234)-ROW(AS$15),0),
ROUND(ROUND(OFFSET($P234,0,AS$13),15-13*ORÇAMENTO!$AF$7)*OFFSET(ORÇAMENTO!$W$15,ROW(AS234)-ROW(AS$15),0),15-13*ORÇAMENTO!$AF$11)),0)</f>
        <v>0</v>
      </c>
      <c r="AT234" s="545">
        <f ca="1">IF(AND($D234="Serviço",AT$12&lt;&gt;0,$H234&gt;0,OR(AUTOEVENTO&lt;&gt;"manual",$M234&lt;&gt;1)),
IF(Import.TipoArredondamento&lt;&gt;"TransfereGOV",
ROUND(OFFSET($P234,0,AT$13),15-13*ORÇAMENTO!$AF$7)/$H234*OFFSET(ORÇAMENTO!$X$15,ROW(AT234)-ROW(AT$15),0),
ROUND(ROUND(OFFSET($P234,0,AT$13),15-13*ORÇAMENTO!$AF$7)*OFFSET(ORÇAMENTO!$W$15,ROW(AT234)-ROW(AT$15),0),15-13*ORÇAMENTO!$AF$11)),0)</f>
        <v>0</v>
      </c>
      <c r="AU234" s="545">
        <f ca="1">IF(AND($D234="Serviço",AU$12&lt;&gt;0,$H234&gt;0,OR(AUTOEVENTO&lt;&gt;"manual",$M234&lt;&gt;1)),
IF(Import.TipoArredondamento&lt;&gt;"TransfereGOV",
ROUND(OFFSET($P234,0,AU$13),15-13*ORÇAMENTO!$AF$7)/$H234*OFFSET(ORÇAMENTO!$X$15,ROW(AU234)-ROW(AU$15),0),
ROUND(ROUND(OFFSET($P234,0,AU$13),15-13*ORÇAMENTO!$AF$7)*OFFSET(ORÇAMENTO!$W$15,ROW(AU234)-ROW(AU$15),0),15-13*ORÇAMENTO!$AF$11)),0)</f>
        <v>0</v>
      </c>
      <c r="AV234" s="545">
        <f ca="1">IF(AND($D234="Serviço",AV$12&lt;&gt;0,$H234&gt;0,OR(AUTOEVENTO&lt;&gt;"manual",$M234&lt;&gt;1)),
IF(Import.TipoArredondamento&lt;&gt;"TransfereGOV",
ROUND(OFFSET($P234,0,AV$13),15-13*ORÇAMENTO!$AF$7)/$H234*OFFSET(ORÇAMENTO!$X$15,ROW(AV234)-ROW(AV$15),0),
ROUND(ROUND(OFFSET($P234,0,AV$13),15-13*ORÇAMENTO!$AF$7)*OFFSET(ORÇAMENTO!$W$15,ROW(AV234)-ROW(AV$15),0),15-13*ORÇAMENTO!$AF$11)),0)</f>
        <v>0</v>
      </c>
      <c r="AW234" s="545">
        <f ca="1">IF(AND($D234="Serviço",AW$12&lt;&gt;0,$H234&gt;0,OR(AUTOEVENTO&lt;&gt;"manual",$M234&lt;&gt;1)),
IF(Import.TipoArredondamento&lt;&gt;"TransfereGOV",
ROUND(OFFSET($P234,0,AW$13),15-13*ORÇAMENTO!$AF$7)/$H234*OFFSET(ORÇAMENTO!$X$15,ROW(AW234)-ROW(AW$15),0),
ROUND(ROUND(OFFSET($P234,0,AW$13),15-13*ORÇAMENTO!$AF$7)*OFFSET(ORÇAMENTO!$W$15,ROW(AW234)-ROW(AW$15),0),15-13*ORÇAMENTO!$AF$11)),0)</f>
        <v>0</v>
      </c>
      <c r="AX234" s="545">
        <f ca="1">IF(AND($D234="Serviço",AX$12&lt;&gt;0,$H234&gt;0,OR(AUTOEVENTO&lt;&gt;"manual",$M234&lt;&gt;1)),
IF(Import.TipoArredondamento&lt;&gt;"TransfereGOV",
ROUND(OFFSET($P234,0,AX$13),15-13*ORÇAMENTO!$AF$7)/$H234*OFFSET(ORÇAMENTO!$X$15,ROW(AX234)-ROW(AX$15),0),
ROUND(ROUND(OFFSET($P234,0,AX$13),15-13*ORÇAMENTO!$AF$7)*OFFSET(ORÇAMENTO!$W$15,ROW(AX234)-ROW(AX$15),0),15-13*ORÇAMENTO!$AF$11)),0)</f>
        <v>0</v>
      </c>
      <c r="AY234" s="545">
        <f ca="1">IF(AND($D234="Serviço",AY$12&lt;&gt;0,$H234&gt;0,OR(AUTOEVENTO&lt;&gt;"manual",$M234&lt;&gt;1)),
IF(Import.TipoArredondamento&lt;&gt;"TransfereGOV",
ROUND(OFFSET($P234,0,AY$13),15-13*ORÇAMENTO!$AF$7)/$H234*OFFSET(ORÇAMENTO!$X$15,ROW(AY234)-ROW(AY$15),0),
ROUND(ROUND(OFFSET($P234,0,AY$13),15-13*ORÇAMENTO!$AF$7)*OFFSET(ORÇAMENTO!$W$15,ROW(AY234)-ROW(AY$15),0),15-13*ORÇAMENTO!$AF$11)),0)</f>
        <v>0</v>
      </c>
      <c r="AZ234" s="545">
        <f ca="1">IF(AND($D234="Serviço",AZ$12&lt;&gt;0,$H234&gt;0,OR(AUTOEVENTO&lt;&gt;"manual",$M234&lt;&gt;1)),
IF(Import.TipoArredondamento&lt;&gt;"TransfereGOV",
ROUND(OFFSET($P234,0,AZ$13),15-13*ORÇAMENTO!$AF$7)/$H234*OFFSET(ORÇAMENTO!$X$15,ROW(AZ234)-ROW(AZ$15),0),
ROUND(ROUND(OFFSET($P234,0,AZ$13),15-13*ORÇAMENTO!$AF$7)*OFFSET(ORÇAMENTO!$W$15,ROW(AZ234)-ROW(AZ$15),0),15-13*ORÇAMENTO!$AF$11)),0)</f>
        <v>0</v>
      </c>
      <c r="BA234" s="546">
        <f ca="1">IF(AND($D234="Serviço",BA$12&lt;&gt;0,$H234&gt;0,OR(AUTOEVENTO&lt;&gt;"manual",$M234&lt;&gt;1)),
IF(Import.TipoArredondamento&lt;&gt;"TransfereGOV",
ROUND(OFFSET($P234,0,BA$13),15-13*ORÇAMENTO!$AF$7)/$H234*OFFSET(ORÇAMENTO!$X$15,ROW(BA234)-ROW(BA$15),0),
ROUND(ROUND(OFFSET($P234,0,BA$13),15-13*ORÇAMENTO!$AF$7)*OFFSET(ORÇAMENTO!$W$15,ROW(BA234)-ROW(BA$15),0),15-13*ORÇAMENTO!$AF$11)),0)</f>
        <v>0</v>
      </c>
      <c r="BC234" s="181">
        <f ca="1">IF($D234&lt;&gt;"Serviço",0,IF(AND(AUTOEVENTO="Manual",$M234=1),0,IF(OFFSET(CRONOPLE!$F$14,$M234,BC$13)="",10^12,OFFSET(CRONOPLE!$F$14,$M234,BC$13))))</f>
        <v>9</v>
      </c>
      <c r="BD234" s="181">
        <f ca="1">IF($D234&lt;&gt;"Serviço",0,IF(AND(AUTOEVENTO="Manual",$M234=1),0,IF(OFFSET(CRONOPLE!$F$14,$M234,BD$13)="",10^12,OFFSET(CRONOPLE!$F$14,$M234,BD$13))))</f>
        <v>1000000000000</v>
      </c>
      <c r="BE234" s="181">
        <f ca="1">IF($D234&lt;&gt;"Serviço",0,IF(AND(AUTOEVENTO="Manual",$M234=1),0,IF(OFFSET(CRONOPLE!$F$14,$M234,BE$13)="",10^12,OFFSET(CRONOPLE!$F$14,$M234,BE$13))))</f>
        <v>1000000000000</v>
      </c>
      <c r="BF234" s="181">
        <f ca="1">IF($D234&lt;&gt;"Serviço",0,IF(AND(AUTOEVENTO="Manual",$M234=1),0,IF(OFFSET(CRONOPLE!$F$14,$M234,BF$13)="",10^12,OFFSET(CRONOPLE!$F$14,$M234,BF$13))))</f>
        <v>1000000000000</v>
      </c>
      <c r="BG234" s="181">
        <f ca="1">IF($D234&lt;&gt;"Serviço",0,IF(AND(AUTOEVENTO="Manual",$M234=1),0,IF(OFFSET(CRONOPLE!$F$14,$M234,BG$13)="",10^12,OFFSET(CRONOPLE!$F$14,$M234,BG$13))))</f>
        <v>1000000000000</v>
      </c>
      <c r="BH234" s="181">
        <f ca="1">IF($D234&lt;&gt;"Serviço",0,IF(AND(AUTOEVENTO="Manual",$M234=1),0,IF(OFFSET(CRONOPLE!$F$14,$M234,BH$13)="",10^12,OFFSET(CRONOPLE!$F$14,$M234,BH$13))))</f>
        <v>1000000000000</v>
      </c>
      <c r="BI234" s="181">
        <f ca="1">IF($D234&lt;&gt;"Serviço",0,IF(AND(AUTOEVENTO="Manual",$M234=1),0,IF(OFFSET(CRONOPLE!$F$14,$M234,BI$13)="",10^12,OFFSET(CRONOPLE!$F$14,$M234,BI$13))))</f>
        <v>1000000000000</v>
      </c>
      <c r="BJ234" s="181">
        <f ca="1">IF($D234&lt;&gt;"Serviço",0,IF(AND(AUTOEVENTO="Manual",$M234=1),0,IF(OFFSET(CRONOPLE!$F$14,$M234,BJ$13)="",10^12,OFFSET(CRONOPLE!$F$14,$M234,BJ$13))))</f>
        <v>1000000000000</v>
      </c>
      <c r="BK234" s="181">
        <f ca="1">IF($D234&lt;&gt;"Serviço",0,IF(AND(AUTOEVENTO="Manual",$M234=1),0,IF(OFFSET(CRONOPLE!$F$14,$M234,BK$13)="",10^12,OFFSET(CRONOPLE!$F$14,$M234,BK$13))))</f>
        <v>1000000000000</v>
      </c>
      <c r="BL234" s="181">
        <f ca="1">IF($D234&lt;&gt;"Serviço",0,IF(AND(AUTOEVENTO="Manual",$M234=1),0,IF(OFFSET(CRONOPLE!$F$14,$M234,BL$13)="",10^12,OFFSET(CRONOPLE!$F$14,$M234,BL$13))))</f>
        <v>1000000000000</v>
      </c>
      <c r="BM234" s="181">
        <f ca="1">IF($D234&lt;&gt;"Serviço",0,IF(AND(AUTOEVENTO="Manual",$M234=1),0,IF(OFFSET(CRONOPLE!$F$14,$M234,BM$13)="",10^12,OFFSET(CRONOPLE!$F$14,$M234,BM$13))))</f>
        <v>1000000000000</v>
      </c>
      <c r="BN234" s="181">
        <f ca="1">IF($D234&lt;&gt;"Serviço",0,IF(AND(AUTOEVENTO="Manual",$M234=1),0,IF(OFFSET(CRONOPLE!$F$14,$M234,BN$13)="",10^12,OFFSET(CRONOPLE!$F$14,$M234,BN$13))))</f>
        <v>1000000000000</v>
      </c>
      <c r="BO234" s="181">
        <f ca="1">IF($D234&lt;&gt;"Serviço",0,IF(AND(AUTOEVENTO="Manual",$M234=1),0,IF(OFFSET(CRONOPLE!$F$14,$M234,BO$13)="",10^12,OFFSET(CRONOPLE!$F$14,$M234,BO$13))))</f>
        <v>1000000000000</v>
      </c>
      <c r="BP234" s="181">
        <f ca="1">IF($D234&lt;&gt;"Serviço",0,IF(AND(AUTOEVENTO="Manual",$M234=1),0,IF(OFFSET(CRONOPLE!$F$14,$M234,BP$13)="",10^12,OFFSET(CRONOPLE!$F$14,$M234,BP$13))))</f>
        <v>1000000000000</v>
      </c>
      <c r="BQ234" s="181">
        <f ca="1">IF($D234&lt;&gt;"Serviço",0,IF(AND(AUTOEVENTO="Manual",$M234=1),0,IF(OFFSET(CRONOPLE!$F$14,$M234,BQ$13)="",10^12,OFFSET(CRONOPLE!$F$14,$M234,BQ$13))))</f>
        <v>1000000000000</v>
      </c>
      <c r="BR234" s="181">
        <f ca="1">IF($D234&lt;&gt;"Serviço",0,IF(AND(AUTOEVENTO="Manual",$M234=1),0,IF(OFFSET(CRONOPLE!$F$14,$M234,BR$13)="",10^12,OFFSET(CRONOPLE!$F$14,$M234,BR$13))))</f>
        <v>1000000000000</v>
      </c>
      <c r="BS234" s="181">
        <f ca="1">IF($D234&lt;&gt;"Serviço",0,IF(AND(AUTOEVENTO="Manual",$M234=1),0,IF(OFFSET(CRONOPLE!$F$14,$M234,BS$13)="",10^12,OFFSET(CRONOPLE!$F$14,$M234,BS$13))))</f>
        <v>1000000000000</v>
      </c>
      <c r="BT234" s="181">
        <f ca="1">IF($D234&lt;&gt;"Serviço",0,IF(AND(AUTOEVENTO="Manual",$M234=1),0,IF(OFFSET(CRONOPLE!$F$14,$M234,BT$13)="",10^12,OFFSET(CRONOPLE!$F$14,$M234,BT$13))))</f>
        <v>1000000000000</v>
      </c>
      <c r="BV234" s="182">
        <f ca="1">IF($D234&lt;&gt;"Serviço",0,IF(OR(AND(AUTOEVENTO="Manual",$M234=1),$M234&gt;(ROW(PLE.lastrow)-ROW(PLE.firstrow))),0,IF(OFFSET(PLE!$G$14,$M234,BV$13)="",10^12,OFFSET(PLE!$G$14,$M234,BV$13))))</f>
        <v>1000000000000</v>
      </c>
      <c r="BW234" s="182">
        <f ca="1">IF($D234&lt;&gt;"Serviço",0,IF(OR(AND(AUTOEVENTO="Manual",$M234=1),$M234&gt;(ROW(PLE.lastrow)-ROW(PLE.firstrow))),0,IF(OFFSET(PLE!$G$14,$M234,BW$13)="",10^12,OFFSET(PLE!$G$14,$M234,BW$13))))</f>
        <v>1000000000000</v>
      </c>
      <c r="BX234" s="182">
        <f ca="1">IF($D234&lt;&gt;"Serviço",0,IF(OR(AND(AUTOEVENTO="Manual",$M234=1),$M234&gt;(ROW(PLE.lastrow)-ROW(PLE.firstrow))),0,IF(OFFSET(PLE!$G$14,$M234,BX$13)="",10^12,OFFSET(PLE!$G$14,$M234,BX$13))))</f>
        <v>1000000000000</v>
      </c>
      <c r="BY234" s="182">
        <f ca="1">IF($D234&lt;&gt;"Serviço",0,IF(OR(AND(AUTOEVENTO="Manual",$M234=1),$M234&gt;(ROW(PLE.lastrow)-ROW(PLE.firstrow))),0,IF(OFFSET(PLE!$G$14,$M234,BY$13)="",10^12,OFFSET(PLE!$G$14,$M234,BY$13))))</f>
        <v>1000000000000</v>
      </c>
      <c r="BZ234" s="182">
        <f ca="1">IF($D234&lt;&gt;"Serviço",0,IF(OR(AND(AUTOEVENTO="Manual",$M234=1),$M234&gt;(ROW(PLE.lastrow)-ROW(PLE.firstrow))),0,IF(OFFSET(PLE!$G$14,$M234,BZ$13)="",10^12,OFFSET(PLE!$G$14,$M234,BZ$13))))</f>
        <v>1000000000000</v>
      </c>
      <c r="CA234" s="182">
        <f ca="1">IF($D234&lt;&gt;"Serviço",0,IF(OR(AND(AUTOEVENTO="Manual",$M234=1),$M234&gt;(ROW(PLE.lastrow)-ROW(PLE.firstrow))),0,IF(OFFSET(PLE!$G$14,$M234,CA$13)="",10^12,OFFSET(PLE!$G$14,$M234,CA$13))))</f>
        <v>1000000000000</v>
      </c>
      <c r="CB234" s="182">
        <f ca="1">IF($D234&lt;&gt;"Serviço",0,IF(OR(AND(AUTOEVENTO="Manual",$M234=1),$M234&gt;(ROW(PLE.lastrow)-ROW(PLE.firstrow))),0,IF(OFFSET(PLE!$G$14,$M234,CB$13)="",10^12,OFFSET(PLE!$G$14,$M234,CB$13))))</f>
        <v>1000000000000</v>
      </c>
      <c r="CC234" s="182">
        <f ca="1">IF($D234&lt;&gt;"Serviço",0,IF(OR(AND(AUTOEVENTO="Manual",$M234=1),$M234&gt;(ROW(PLE.lastrow)-ROW(PLE.firstrow))),0,IF(OFFSET(PLE!$G$14,$M234,CC$13)="",10^12,OFFSET(PLE!$G$14,$M234,CC$13))))</f>
        <v>1000000000000</v>
      </c>
      <c r="CD234" s="182">
        <f ca="1">IF($D234&lt;&gt;"Serviço",0,IF(OR(AND(AUTOEVENTO="Manual",$M234=1),$M234&gt;(ROW(PLE.lastrow)-ROW(PLE.firstrow))),0,IF(OFFSET(PLE!$G$14,$M234,CD$13)="",10^12,OFFSET(PLE!$G$14,$M234,CD$13))))</f>
        <v>1000000000000</v>
      </c>
      <c r="CE234" s="182">
        <f ca="1">IF($D234&lt;&gt;"Serviço",0,IF(OR(AND(AUTOEVENTO="Manual",$M234=1),$M234&gt;(ROW(PLE.lastrow)-ROW(PLE.firstrow))),0,IF(OFFSET(PLE!$G$14,$M234,CE$13)="",10^12,OFFSET(PLE!$G$14,$M234,CE$13))))</f>
        <v>1000000000000</v>
      </c>
      <c r="CF234" s="182">
        <f ca="1">IF($D234&lt;&gt;"Serviço",0,IF(OR(AND(AUTOEVENTO="Manual",$M234=1),$M234&gt;(ROW(PLE.lastrow)-ROW(PLE.firstrow))),0,IF(OFFSET(PLE!$G$14,$M234,CF$13)="",10^12,OFFSET(PLE!$G$14,$M234,CF$13))))</f>
        <v>1000000000000</v>
      </c>
      <c r="CG234" s="182">
        <f ca="1">IF($D234&lt;&gt;"Serviço",0,IF(OR(AND(AUTOEVENTO="Manual",$M234=1),$M234&gt;(ROW(PLE.lastrow)-ROW(PLE.firstrow))),0,IF(OFFSET(PLE!$G$14,$M234,CG$13)="",10^12,OFFSET(PLE!$G$14,$M234,CG$13))))</f>
        <v>1000000000000</v>
      </c>
      <c r="CH234" s="182">
        <f ca="1">IF($D234&lt;&gt;"Serviço",0,IF(OR(AND(AUTOEVENTO="Manual",$M234=1),$M234&gt;(ROW(PLE.lastrow)-ROW(PLE.firstrow))),0,IF(OFFSET(PLE!$G$14,$M234,CH$13)="",10^12,OFFSET(PLE!$G$14,$M234,CH$13))))</f>
        <v>1000000000000</v>
      </c>
      <c r="CI234" s="182">
        <f ca="1">IF($D234&lt;&gt;"Serviço",0,IF(OR(AND(AUTOEVENTO="Manual",$M234=1),$M234&gt;(ROW(PLE.lastrow)-ROW(PLE.firstrow))),0,IF(OFFSET(PLE!$G$14,$M234,CI$13)="",10^12,OFFSET(PLE!$G$14,$M234,CI$13))))</f>
        <v>1000000000000</v>
      </c>
      <c r="CJ234" s="182">
        <f ca="1">IF($D234&lt;&gt;"Serviço",0,IF(OR(AND(AUTOEVENTO="Manual",$M234=1),$M234&gt;(ROW(PLE.lastrow)-ROW(PLE.firstrow))),0,IF(OFFSET(PLE!$G$14,$M234,CJ$13)="",10^12,OFFSET(PLE!$G$14,$M234,CJ$13))))</f>
        <v>1000000000000</v>
      </c>
      <c r="CK234" s="182">
        <f ca="1">IF($D234&lt;&gt;"Serviço",0,IF(OR(AND(AUTOEVENTO="Manual",$M234=1),$M234&gt;(ROW(PLE.lastrow)-ROW(PLE.firstrow))),0,IF(OFFSET(PLE!$G$14,$M234,CK$13)="",10^12,OFFSET(PLE!$G$14,$M234,CK$13))))</f>
        <v>1000000000000</v>
      </c>
      <c r="CL234" s="182">
        <f ca="1">IF($D234&lt;&gt;"Serviço",0,IF(OR(AND(AUTOEVENTO="Manual",$M234=1),$M234&gt;(ROW(PLE.lastrow)-ROW(PLE.firstrow))),0,IF(OFFSET(PLE!$G$14,$M234,CL$13)="",10^12,OFFSET(PLE!$G$14,$M234,CL$13))))</f>
        <v>1000000000000</v>
      </c>
      <c r="CM234" s="182">
        <f ca="1">IF($D234&lt;&gt;"Serviço",0,IF(OR(AND(AUTOEVENTO="Manual",$M234=1),$M234&gt;(ROW(PLE.lastrow)-ROW(PLE.firstrow))),0,IF(OFFSET(PLE!$G$14,$M234,CM$13)="",10^12,OFFSET(PLE!$G$14,$M234,CM$13))))</f>
        <v>1000000000000</v>
      </c>
    </row>
    <row r="235" spans="1:91" ht="25.5" x14ac:dyDescent="0.2">
      <c r="A235" s="7" t="str">
        <f t="shared" ca="1" si="12"/>
        <v>218</v>
      </c>
      <c r="B235" s="7" t="str">
        <f ca="1">OFFSET(ORÇAMENTO!C$15,ROW(B235)-ROW(B$15),0)</f>
        <v>S</v>
      </c>
      <c r="C235" s="7" t="str">
        <f ca="1">OFFSET(ORÇAMENTO!L$15,ROW(C235)-ROW(C$15),0)</f>
        <v/>
      </c>
      <c r="D235" s="118" t="str">
        <f ca="1">OFFSET(ORÇAMENTO!N$15,ROW(D235)-ROW(D$15),0)</f>
        <v>Serviço</v>
      </c>
      <c r="E235" s="119" t="str">
        <f ca="1">OFFSET(ORÇAMENTO!O$15,ROW(E235)-ROW(E$15),0)</f>
        <v>-</v>
      </c>
      <c r="F235" s="172" t="str">
        <f ca="1">OFFSET(ORÇAMENTO!R$15,ROW(F235)-ROW(F$15),0)</f>
        <v>(abra o arquivo 'Referência 06-2024.xlsm)</v>
      </c>
      <c r="G235" s="173" t="str">
        <f ca="1">IF($D235&lt;&gt;"Serviço","",OFFSET(ORÇAMENTO!S$15,ROW(G235)-ROW(G$15),0))</f>
        <v>-</v>
      </c>
      <c r="H235" s="124">
        <f ca="1">IF($D235&lt;&gt;"Serviço",0,IF(ACOMPANHAMENTO="BM",ROUND(OFFSET(ORÇAMENTO!AJ$15,ROW(H235)-ROW(H$15),0),15-13*ORÇAMENTO!$AF$7),SUMPRODUCT(($Q$12:$AI$12&lt;&gt;"")*ROUND($Q235:$AI235,15-13*ORÇAMENTO!$AF$7))))</f>
        <v>2.4900000000000002</v>
      </c>
      <c r="I235" s="561" t="s">
        <v>1107</v>
      </c>
      <c r="K235" s="174"/>
      <c r="L235" s="175" t="s">
        <v>255</v>
      </c>
      <c r="M235" s="176">
        <f ca="1">IF($D235&lt;&gt;"Serviço","",IF(AUTOEVENTO="manual",$A235,IF(ISERROR(MATCH($A235,$A$15:OFFSET($A235,-1,0),0)),MAX($M$15:OFFSET(M235,-1,0))+1,INDEX($M$15:OFFSET(M235,-1,0),MATCH($A235,$A$15:OFFSET($A235,-1,0),0)))))</f>
        <v>32</v>
      </c>
      <c r="N235" s="177" t="str">
        <f ca="1">IF($D235&lt;&gt;"Serviço","",IF(AUTOEVENTO="Manual",IF($A235=0,"&lt;-- defina o número do agrupador",OFFSET(EVENTOS!$D$14,$A235,0)),OFFSET($F$15,$A235,0)))</f>
        <v>PINTURAS E ACABAMENTOS - PISO ESTACIONAMENTO</v>
      </c>
      <c r="O235" s="178"/>
      <c r="Q235" s="178">
        <v>2.4900000000000002</v>
      </c>
      <c r="R235" s="179"/>
      <c r="S235" s="179"/>
      <c r="T235" s="179"/>
      <c r="U235" s="179"/>
      <c r="V235" s="179"/>
      <c r="W235" s="179"/>
      <c r="X235" s="179"/>
      <c r="Y235" s="179"/>
      <c r="Z235" s="180"/>
      <c r="AA235" s="179"/>
      <c r="AB235" s="179"/>
      <c r="AC235" s="179"/>
      <c r="AD235" s="179"/>
      <c r="AE235" s="179"/>
      <c r="AF235" s="179"/>
      <c r="AG235" s="179"/>
      <c r="AH235" s="180"/>
      <c r="AJ235" s="544">
        <f ca="1">IF(AND($D235="Serviço",AJ$12&lt;&gt;0,$H235&gt;0,OR(AUTOEVENTO&lt;&gt;"manual",$M235&lt;&gt;1)),
IF(Import.TipoArredondamento&lt;&gt;"TransfereGOV",
ROUND(OFFSET($P235,0,AJ$13),15-13*ORÇAMENTO!$AF$7)/$H235*OFFSET(ORÇAMENTO!$X$15,ROW(AJ235)-ROW(AJ$15),0),
ROUND(ROUND(OFFSET($P235,0,AJ$13),15-13*ORÇAMENTO!$AF$7)*OFFSET(ORÇAMENTO!$W$15,ROW(AJ235)-ROW(AJ$15),0),15-13*ORÇAMENTO!$AF$11)),0)</f>
        <v>0</v>
      </c>
      <c r="AK235" s="545">
        <f ca="1">IF(AND($D235="Serviço",AK$12&lt;&gt;0,$H235&gt;0,OR(AUTOEVENTO&lt;&gt;"manual",$M235&lt;&gt;1)),
IF(Import.TipoArredondamento&lt;&gt;"TransfereGOV",
ROUND(OFFSET($P235,0,AK$13),15-13*ORÇAMENTO!$AF$7)/$H235*OFFSET(ORÇAMENTO!$X$15,ROW(AK235)-ROW(AK$15),0),
ROUND(ROUND(OFFSET($P235,0,AK$13),15-13*ORÇAMENTO!$AF$7)*OFFSET(ORÇAMENTO!$W$15,ROW(AK235)-ROW(AK$15),0),15-13*ORÇAMENTO!$AF$11)),0)</f>
        <v>0</v>
      </c>
      <c r="AL235" s="545">
        <f ca="1">IF(AND($D235="Serviço",AL$12&lt;&gt;0,$H235&gt;0,OR(AUTOEVENTO&lt;&gt;"manual",$M235&lt;&gt;1)),
IF(Import.TipoArredondamento&lt;&gt;"TransfereGOV",
ROUND(OFFSET($P235,0,AL$13),15-13*ORÇAMENTO!$AF$7)/$H235*OFFSET(ORÇAMENTO!$X$15,ROW(AL235)-ROW(AL$15),0),
ROUND(ROUND(OFFSET($P235,0,AL$13),15-13*ORÇAMENTO!$AF$7)*OFFSET(ORÇAMENTO!$W$15,ROW(AL235)-ROW(AL$15),0),15-13*ORÇAMENTO!$AF$11)),0)</f>
        <v>0</v>
      </c>
      <c r="AM235" s="545">
        <f ca="1">IF(AND($D235="Serviço",AM$12&lt;&gt;0,$H235&gt;0,OR(AUTOEVENTO&lt;&gt;"manual",$M235&lt;&gt;1)),
IF(Import.TipoArredondamento&lt;&gt;"TransfereGOV",
ROUND(OFFSET($P235,0,AM$13),15-13*ORÇAMENTO!$AF$7)/$H235*OFFSET(ORÇAMENTO!$X$15,ROW(AM235)-ROW(AM$15),0),
ROUND(ROUND(OFFSET($P235,0,AM$13),15-13*ORÇAMENTO!$AF$7)*OFFSET(ORÇAMENTO!$W$15,ROW(AM235)-ROW(AM$15),0),15-13*ORÇAMENTO!$AF$11)),0)</f>
        <v>0</v>
      </c>
      <c r="AN235" s="545">
        <f ca="1">IF(AND($D235="Serviço",AN$12&lt;&gt;0,$H235&gt;0,OR(AUTOEVENTO&lt;&gt;"manual",$M235&lt;&gt;1)),
IF(Import.TipoArredondamento&lt;&gt;"TransfereGOV",
ROUND(OFFSET($P235,0,AN$13),15-13*ORÇAMENTO!$AF$7)/$H235*OFFSET(ORÇAMENTO!$X$15,ROW(AN235)-ROW(AN$15),0),
ROUND(ROUND(OFFSET($P235,0,AN$13),15-13*ORÇAMENTO!$AF$7)*OFFSET(ORÇAMENTO!$W$15,ROW(AN235)-ROW(AN$15),0),15-13*ORÇAMENTO!$AF$11)),0)</f>
        <v>0</v>
      </c>
      <c r="AO235" s="545">
        <f ca="1">IF(AND($D235="Serviço",AO$12&lt;&gt;0,$H235&gt;0,OR(AUTOEVENTO&lt;&gt;"manual",$M235&lt;&gt;1)),
IF(Import.TipoArredondamento&lt;&gt;"TransfereGOV",
ROUND(OFFSET($P235,0,AO$13),15-13*ORÇAMENTO!$AF$7)/$H235*OFFSET(ORÇAMENTO!$X$15,ROW(AO235)-ROW(AO$15),0),
ROUND(ROUND(OFFSET($P235,0,AO$13),15-13*ORÇAMENTO!$AF$7)*OFFSET(ORÇAMENTO!$W$15,ROW(AO235)-ROW(AO$15),0),15-13*ORÇAMENTO!$AF$11)),0)</f>
        <v>0</v>
      </c>
      <c r="AP235" s="545">
        <f ca="1">IF(AND($D235="Serviço",AP$12&lt;&gt;0,$H235&gt;0,OR(AUTOEVENTO&lt;&gt;"manual",$M235&lt;&gt;1)),
IF(Import.TipoArredondamento&lt;&gt;"TransfereGOV",
ROUND(OFFSET($P235,0,AP$13),15-13*ORÇAMENTO!$AF$7)/$H235*OFFSET(ORÇAMENTO!$X$15,ROW(AP235)-ROW(AP$15),0),
ROUND(ROUND(OFFSET($P235,0,AP$13),15-13*ORÇAMENTO!$AF$7)*OFFSET(ORÇAMENTO!$W$15,ROW(AP235)-ROW(AP$15),0),15-13*ORÇAMENTO!$AF$11)),0)</f>
        <v>0</v>
      </c>
      <c r="AQ235" s="545">
        <f ca="1">IF(AND($D235="Serviço",AQ$12&lt;&gt;0,$H235&gt;0,OR(AUTOEVENTO&lt;&gt;"manual",$M235&lt;&gt;1)),
IF(Import.TipoArredondamento&lt;&gt;"TransfereGOV",
ROUND(OFFSET($P235,0,AQ$13),15-13*ORÇAMENTO!$AF$7)/$H235*OFFSET(ORÇAMENTO!$X$15,ROW(AQ235)-ROW(AQ$15),0),
ROUND(ROUND(OFFSET($P235,0,AQ$13),15-13*ORÇAMENTO!$AF$7)*OFFSET(ORÇAMENTO!$W$15,ROW(AQ235)-ROW(AQ$15),0),15-13*ORÇAMENTO!$AF$11)),0)</f>
        <v>0</v>
      </c>
      <c r="AR235" s="545">
        <f ca="1">IF(AND($D235="Serviço",AR$12&lt;&gt;0,$H235&gt;0,OR(AUTOEVENTO&lt;&gt;"manual",$M235&lt;&gt;1)),
IF(Import.TipoArredondamento&lt;&gt;"TransfereGOV",
ROUND(OFFSET($P235,0,AR$13),15-13*ORÇAMENTO!$AF$7)/$H235*OFFSET(ORÇAMENTO!$X$15,ROW(AR235)-ROW(AR$15),0),
ROUND(ROUND(OFFSET($P235,0,AR$13),15-13*ORÇAMENTO!$AF$7)*OFFSET(ORÇAMENTO!$W$15,ROW(AR235)-ROW(AR$15),0),15-13*ORÇAMENTO!$AF$11)),0)</f>
        <v>0</v>
      </c>
      <c r="AS235" s="546">
        <f ca="1">IF(AND($D235="Serviço",AS$12&lt;&gt;0,$H235&gt;0,OR(AUTOEVENTO&lt;&gt;"manual",$M235&lt;&gt;1)),
IF(Import.TipoArredondamento&lt;&gt;"TransfereGOV",
ROUND(OFFSET($P235,0,AS$13),15-13*ORÇAMENTO!$AF$7)/$H235*OFFSET(ORÇAMENTO!$X$15,ROW(AS235)-ROW(AS$15),0),
ROUND(ROUND(OFFSET($P235,0,AS$13),15-13*ORÇAMENTO!$AF$7)*OFFSET(ORÇAMENTO!$W$15,ROW(AS235)-ROW(AS$15),0),15-13*ORÇAMENTO!$AF$11)),0)</f>
        <v>0</v>
      </c>
      <c r="AT235" s="545">
        <f ca="1">IF(AND($D235="Serviço",AT$12&lt;&gt;0,$H235&gt;0,OR(AUTOEVENTO&lt;&gt;"manual",$M235&lt;&gt;1)),
IF(Import.TipoArredondamento&lt;&gt;"TransfereGOV",
ROUND(OFFSET($P235,0,AT$13),15-13*ORÇAMENTO!$AF$7)/$H235*OFFSET(ORÇAMENTO!$X$15,ROW(AT235)-ROW(AT$15),0),
ROUND(ROUND(OFFSET($P235,0,AT$13),15-13*ORÇAMENTO!$AF$7)*OFFSET(ORÇAMENTO!$W$15,ROW(AT235)-ROW(AT$15),0),15-13*ORÇAMENTO!$AF$11)),0)</f>
        <v>0</v>
      </c>
      <c r="AU235" s="545">
        <f ca="1">IF(AND($D235="Serviço",AU$12&lt;&gt;0,$H235&gt;0,OR(AUTOEVENTO&lt;&gt;"manual",$M235&lt;&gt;1)),
IF(Import.TipoArredondamento&lt;&gt;"TransfereGOV",
ROUND(OFFSET($P235,0,AU$13),15-13*ORÇAMENTO!$AF$7)/$H235*OFFSET(ORÇAMENTO!$X$15,ROW(AU235)-ROW(AU$15),0),
ROUND(ROUND(OFFSET($P235,0,AU$13),15-13*ORÇAMENTO!$AF$7)*OFFSET(ORÇAMENTO!$W$15,ROW(AU235)-ROW(AU$15),0),15-13*ORÇAMENTO!$AF$11)),0)</f>
        <v>0</v>
      </c>
      <c r="AV235" s="545">
        <f ca="1">IF(AND($D235="Serviço",AV$12&lt;&gt;0,$H235&gt;0,OR(AUTOEVENTO&lt;&gt;"manual",$M235&lt;&gt;1)),
IF(Import.TipoArredondamento&lt;&gt;"TransfereGOV",
ROUND(OFFSET($P235,0,AV$13),15-13*ORÇAMENTO!$AF$7)/$H235*OFFSET(ORÇAMENTO!$X$15,ROW(AV235)-ROW(AV$15),0),
ROUND(ROUND(OFFSET($P235,0,AV$13),15-13*ORÇAMENTO!$AF$7)*OFFSET(ORÇAMENTO!$W$15,ROW(AV235)-ROW(AV$15),0),15-13*ORÇAMENTO!$AF$11)),0)</f>
        <v>0</v>
      </c>
      <c r="AW235" s="545">
        <f ca="1">IF(AND($D235="Serviço",AW$12&lt;&gt;0,$H235&gt;0,OR(AUTOEVENTO&lt;&gt;"manual",$M235&lt;&gt;1)),
IF(Import.TipoArredondamento&lt;&gt;"TransfereGOV",
ROUND(OFFSET($P235,0,AW$13),15-13*ORÇAMENTO!$AF$7)/$H235*OFFSET(ORÇAMENTO!$X$15,ROW(AW235)-ROW(AW$15),0),
ROUND(ROUND(OFFSET($P235,0,AW$13),15-13*ORÇAMENTO!$AF$7)*OFFSET(ORÇAMENTO!$W$15,ROW(AW235)-ROW(AW$15),0),15-13*ORÇAMENTO!$AF$11)),0)</f>
        <v>0</v>
      </c>
      <c r="AX235" s="545">
        <f ca="1">IF(AND($D235="Serviço",AX$12&lt;&gt;0,$H235&gt;0,OR(AUTOEVENTO&lt;&gt;"manual",$M235&lt;&gt;1)),
IF(Import.TipoArredondamento&lt;&gt;"TransfereGOV",
ROUND(OFFSET($P235,0,AX$13),15-13*ORÇAMENTO!$AF$7)/$H235*OFFSET(ORÇAMENTO!$X$15,ROW(AX235)-ROW(AX$15),0),
ROUND(ROUND(OFFSET($P235,0,AX$13),15-13*ORÇAMENTO!$AF$7)*OFFSET(ORÇAMENTO!$W$15,ROW(AX235)-ROW(AX$15),0),15-13*ORÇAMENTO!$AF$11)),0)</f>
        <v>0</v>
      </c>
      <c r="AY235" s="545">
        <f ca="1">IF(AND($D235="Serviço",AY$12&lt;&gt;0,$H235&gt;0,OR(AUTOEVENTO&lt;&gt;"manual",$M235&lt;&gt;1)),
IF(Import.TipoArredondamento&lt;&gt;"TransfereGOV",
ROUND(OFFSET($P235,0,AY$13),15-13*ORÇAMENTO!$AF$7)/$H235*OFFSET(ORÇAMENTO!$X$15,ROW(AY235)-ROW(AY$15),0),
ROUND(ROUND(OFFSET($P235,0,AY$13),15-13*ORÇAMENTO!$AF$7)*OFFSET(ORÇAMENTO!$W$15,ROW(AY235)-ROW(AY$15),0),15-13*ORÇAMENTO!$AF$11)),0)</f>
        <v>0</v>
      </c>
      <c r="AZ235" s="545">
        <f ca="1">IF(AND($D235="Serviço",AZ$12&lt;&gt;0,$H235&gt;0,OR(AUTOEVENTO&lt;&gt;"manual",$M235&lt;&gt;1)),
IF(Import.TipoArredondamento&lt;&gt;"TransfereGOV",
ROUND(OFFSET($P235,0,AZ$13),15-13*ORÇAMENTO!$AF$7)/$H235*OFFSET(ORÇAMENTO!$X$15,ROW(AZ235)-ROW(AZ$15),0),
ROUND(ROUND(OFFSET($P235,0,AZ$13),15-13*ORÇAMENTO!$AF$7)*OFFSET(ORÇAMENTO!$W$15,ROW(AZ235)-ROW(AZ$15),0),15-13*ORÇAMENTO!$AF$11)),0)</f>
        <v>0</v>
      </c>
      <c r="BA235" s="546">
        <f ca="1">IF(AND($D235="Serviço",BA$12&lt;&gt;0,$H235&gt;0,OR(AUTOEVENTO&lt;&gt;"manual",$M235&lt;&gt;1)),
IF(Import.TipoArredondamento&lt;&gt;"TransfereGOV",
ROUND(OFFSET($P235,0,BA$13),15-13*ORÇAMENTO!$AF$7)/$H235*OFFSET(ORÇAMENTO!$X$15,ROW(BA235)-ROW(BA$15),0),
ROUND(ROUND(OFFSET($P235,0,BA$13),15-13*ORÇAMENTO!$AF$7)*OFFSET(ORÇAMENTO!$W$15,ROW(BA235)-ROW(BA$15),0),15-13*ORÇAMENTO!$AF$11)),0)</f>
        <v>0</v>
      </c>
      <c r="BC235" s="181">
        <f ca="1">IF($D235&lt;&gt;"Serviço",0,IF(AND(AUTOEVENTO="Manual",$M235=1),0,IF(OFFSET(CRONOPLE!$F$14,$M235,BC$13)="",10^12,OFFSET(CRONOPLE!$F$14,$M235,BC$13))))</f>
        <v>9</v>
      </c>
      <c r="BD235" s="181">
        <f ca="1">IF($D235&lt;&gt;"Serviço",0,IF(AND(AUTOEVENTO="Manual",$M235=1),0,IF(OFFSET(CRONOPLE!$F$14,$M235,BD$13)="",10^12,OFFSET(CRONOPLE!$F$14,$M235,BD$13))))</f>
        <v>1000000000000</v>
      </c>
      <c r="BE235" s="181">
        <f ca="1">IF($D235&lt;&gt;"Serviço",0,IF(AND(AUTOEVENTO="Manual",$M235=1),0,IF(OFFSET(CRONOPLE!$F$14,$M235,BE$13)="",10^12,OFFSET(CRONOPLE!$F$14,$M235,BE$13))))</f>
        <v>1000000000000</v>
      </c>
      <c r="BF235" s="181">
        <f ca="1">IF($D235&lt;&gt;"Serviço",0,IF(AND(AUTOEVENTO="Manual",$M235=1),0,IF(OFFSET(CRONOPLE!$F$14,$M235,BF$13)="",10^12,OFFSET(CRONOPLE!$F$14,$M235,BF$13))))</f>
        <v>1000000000000</v>
      </c>
      <c r="BG235" s="181">
        <f ca="1">IF($D235&lt;&gt;"Serviço",0,IF(AND(AUTOEVENTO="Manual",$M235=1),0,IF(OFFSET(CRONOPLE!$F$14,$M235,BG$13)="",10^12,OFFSET(CRONOPLE!$F$14,$M235,BG$13))))</f>
        <v>1000000000000</v>
      </c>
      <c r="BH235" s="181">
        <f ca="1">IF($D235&lt;&gt;"Serviço",0,IF(AND(AUTOEVENTO="Manual",$M235=1),0,IF(OFFSET(CRONOPLE!$F$14,$M235,BH$13)="",10^12,OFFSET(CRONOPLE!$F$14,$M235,BH$13))))</f>
        <v>1000000000000</v>
      </c>
      <c r="BI235" s="181">
        <f ca="1">IF($D235&lt;&gt;"Serviço",0,IF(AND(AUTOEVENTO="Manual",$M235=1),0,IF(OFFSET(CRONOPLE!$F$14,$M235,BI$13)="",10^12,OFFSET(CRONOPLE!$F$14,$M235,BI$13))))</f>
        <v>1000000000000</v>
      </c>
      <c r="BJ235" s="181">
        <f ca="1">IF($D235&lt;&gt;"Serviço",0,IF(AND(AUTOEVENTO="Manual",$M235=1),0,IF(OFFSET(CRONOPLE!$F$14,$M235,BJ$13)="",10^12,OFFSET(CRONOPLE!$F$14,$M235,BJ$13))))</f>
        <v>1000000000000</v>
      </c>
      <c r="BK235" s="181">
        <f ca="1">IF($D235&lt;&gt;"Serviço",0,IF(AND(AUTOEVENTO="Manual",$M235=1),0,IF(OFFSET(CRONOPLE!$F$14,$M235,BK$13)="",10^12,OFFSET(CRONOPLE!$F$14,$M235,BK$13))))</f>
        <v>1000000000000</v>
      </c>
      <c r="BL235" s="181">
        <f ca="1">IF($D235&lt;&gt;"Serviço",0,IF(AND(AUTOEVENTO="Manual",$M235=1),0,IF(OFFSET(CRONOPLE!$F$14,$M235,BL$13)="",10^12,OFFSET(CRONOPLE!$F$14,$M235,BL$13))))</f>
        <v>1000000000000</v>
      </c>
      <c r="BM235" s="181">
        <f ca="1">IF($D235&lt;&gt;"Serviço",0,IF(AND(AUTOEVENTO="Manual",$M235=1),0,IF(OFFSET(CRONOPLE!$F$14,$M235,BM$13)="",10^12,OFFSET(CRONOPLE!$F$14,$M235,BM$13))))</f>
        <v>1000000000000</v>
      </c>
      <c r="BN235" s="181">
        <f ca="1">IF($D235&lt;&gt;"Serviço",0,IF(AND(AUTOEVENTO="Manual",$M235=1),0,IF(OFFSET(CRONOPLE!$F$14,$M235,BN$13)="",10^12,OFFSET(CRONOPLE!$F$14,$M235,BN$13))))</f>
        <v>1000000000000</v>
      </c>
      <c r="BO235" s="181">
        <f ca="1">IF($D235&lt;&gt;"Serviço",0,IF(AND(AUTOEVENTO="Manual",$M235=1),0,IF(OFFSET(CRONOPLE!$F$14,$M235,BO$13)="",10^12,OFFSET(CRONOPLE!$F$14,$M235,BO$13))))</f>
        <v>1000000000000</v>
      </c>
      <c r="BP235" s="181">
        <f ca="1">IF($D235&lt;&gt;"Serviço",0,IF(AND(AUTOEVENTO="Manual",$M235=1),0,IF(OFFSET(CRONOPLE!$F$14,$M235,BP$13)="",10^12,OFFSET(CRONOPLE!$F$14,$M235,BP$13))))</f>
        <v>1000000000000</v>
      </c>
      <c r="BQ235" s="181">
        <f ca="1">IF($D235&lt;&gt;"Serviço",0,IF(AND(AUTOEVENTO="Manual",$M235=1),0,IF(OFFSET(CRONOPLE!$F$14,$M235,BQ$13)="",10^12,OFFSET(CRONOPLE!$F$14,$M235,BQ$13))))</f>
        <v>1000000000000</v>
      </c>
      <c r="BR235" s="181">
        <f ca="1">IF($D235&lt;&gt;"Serviço",0,IF(AND(AUTOEVENTO="Manual",$M235=1),0,IF(OFFSET(CRONOPLE!$F$14,$M235,BR$13)="",10^12,OFFSET(CRONOPLE!$F$14,$M235,BR$13))))</f>
        <v>1000000000000</v>
      </c>
      <c r="BS235" s="181">
        <f ca="1">IF($D235&lt;&gt;"Serviço",0,IF(AND(AUTOEVENTO="Manual",$M235=1),0,IF(OFFSET(CRONOPLE!$F$14,$M235,BS$13)="",10^12,OFFSET(CRONOPLE!$F$14,$M235,BS$13))))</f>
        <v>1000000000000</v>
      </c>
      <c r="BT235" s="181">
        <f ca="1">IF($D235&lt;&gt;"Serviço",0,IF(AND(AUTOEVENTO="Manual",$M235=1),0,IF(OFFSET(CRONOPLE!$F$14,$M235,BT$13)="",10^12,OFFSET(CRONOPLE!$F$14,$M235,BT$13))))</f>
        <v>1000000000000</v>
      </c>
      <c r="BV235" s="182">
        <f ca="1">IF($D235&lt;&gt;"Serviço",0,IF(OR(AND(AUTOEVENTO="Manual",$M235=1),$M235&gt;(ROW(PLE.lastrow)-ROW(PLE.firstrow))),0,IF(OFFSET(PLE!$G$14,$M235,BV$13)="",10^12,OFFSET(PLE!$G$14,$M235,BV$13))))</f>
        <v>1000000000000</v>
      </c>
      <c r="BW235" s="182">
        <f ca="1">IF($D235&lt;&gt;"Serviço",0,IF(OR(AND(AUTOEVENTO="Manual",$M235=1),$M235&gt;(ROW(PLE.lastrow)-ROW(PLE.firstrow))),0,IF(OFFSET(PLE!$G$14,$M235,BW$13)="",10^12,OFFSET(PLE!$G$14,$M235,BW$13))))</f>
        <v>1000000000000</v>
      </c>
      <c r="BX235" s="182">
        <f ca="1">IF($D235&lt;&gt;"Serviço",0,IF(OR(AND(AUTOEVENTO="Manual",$M235=1),$M235&gt;(ROW(PLE.lastrow)-ROW(PLE.firstrow))),0,IF(OFFSET(PLE!$G$14,$M235,BX$13)="",10^12,OFFSET(PLE!$G$14,$M235,BX$13))))</f>
        <v>1000000000000</v>
      </c>
      <c r="BY235" s="182">
        <f ca="1">IF($D235&lt;&gt;"Serviço",0,IF(OR(AND(AUTOEVENTO="Manual",$M235=1),$M235&gt;(ROW(PLE.lastrow)-ROW(PLE.firstrow))),0,IF(OFFSET(PLE!$G$14,$M235,BY$13)="",10^12,OFFSET(PLE!$G$14,$M235,BY$13))))</f>
        <v>1000000000000</v>
      </c>
      <c r="BZ235" s="182">
        <f ca="1">IF($D235&lt;&gt;"Serviço",0,IF(OR(AND(AUTOEVENTO="Manual",$M235=1),$M235&gt;(ROW(PLE.lastrow)-ROW(PLE.firstrow))),0,IF(OFFSET(PLE!$G$14,$M235,BZ$13)="",10^12,OFFSET(PLE!$G$14,$M235,BZ$13))))</f>
        <v>1000000000000</v>
      </c>
      <c r="CA235" s="182">
        <f ca="1">IF($D235&lt;&gt;"Serviço",0,IF(OR(AND(AUTOEVENTO="Manual",$M235=1),$M235&gt;(ROW(PLE.lastrow)-ROW(PLE.firstrow))),0,IF(OFFSET(PLE!$G$14,$M235,CA$13)="",10^12,OFFSET(PLE!$G$14,$M235,CA$13))))</f>
        <v>1000000000000</v>
      </c>
      <c r="CB235" s="182">
        <f ca="1">IF($D235&lt;&gt;"Serviço",0,IF(OR(AND(AUTOEVENTO="Manual",$M235=1),$M235&gt;(ROW(PLE.lastrow)-ROW(PLE.firstrow))),0,IF(OFFSET(PLE!$G$14,$M235,CB$13)="",10^12,OFFSET(PLE!$G$14,$M235,CB$13))))</f>
        <v>1000000000000</v>
      </c>
      <c r="CC235" s="182">
        <f ca="1">IF($D235&lt;&gt;"Serviço",0,IF(OR(AND(AUTOEVENTO="Manual",$M235=1),$M235&gt;(ROW(PLE.lastrow)-ROW(PLE.firstrow))),0,IF(OFFSET(PLE!$G$14,$M235,CC$13)="",10^12,OFFSET(PLE!$G$14,$M235,CC$13))))</f>
        <v>1000000000000</v>
      </c>
      <c r="CD235" s="182">
        <f ca="1">IF($D235&lt;&gt;"Serviço",0,IF(OR(AND(AUTOEVENTO="Manual",$M235=1),$M235&gt;(ROW(PLE.lastrow)-ROW(PLE.firstrow))),0,IF(OFFSET(PLE!$G$14,$M235,CD$13)="",10^12,OFFSET(PLE!$G$14,$M235,CD$13))))</f>
        <v>1000000000000</v>
      </c>
      <c r="CE235" s="182">
        <f ca="1">IF($D235&lt;&gt;"Serviço",0,IF(OR(AND(AUTOEVENTO="Manual",$M235=1),$M235&gt;(ROW(PLE.lastrow)-ROW(PLE.firstrow))),0,IF(OFFSET(PLE!$G$14,$M235,CE$13)="",10^12,OFFSET(PLE!$G$14,$M235,CE$13))))</f>
        <v>1000000000000</v>
      </c>
      <c r="CF235" s="182">
        <f ca="1">IF($D235&lt;&gt;"Serviço",0,IF(OR(AND(AUTOEVENTO="Manual",$M235=1),$M235&gt;(ROW(PLE.lastrow)-ROW(PLE.firstrow))),0,IF(OFFSET(PLE!$G$14,$M235,CF$13)="",10^12,OFFSET(PLE!$G$14,$M235,CF$13))))</f>
        <v>1000000000000</v>
      </c>
      <c r="CG235" s="182">
        <f ca="1">IF($D235&lt;&gt;"Serviço",0,IF(OR(AND(AUTOEVENTO="Manual",$M235=1),$M235&gt;(ROW(PLE.lastrow)-ROW(PLE.firstrow))),0,IF(OFFSET(PLE!$G$14,$M235,CG$13)="",10^12,OFFSET(PLE!$G$14,$M235,CG$13))))</f>
        <v>1000000000000</v>
      </c>
      <c r="CH235" s="182">
        <f ca="1">IF($D235&lt;&gt;"Serviço",0,IF(OR(AND(AUTOEVENTO="Manual",$M235=1),$M235&gt;(ROW(PLE.lastrow)-ROW(PLE.firstrow))),0,IF(OFFSET(PLE!$G$14,$M235,CH$13)="",10^12,OFFSET(PLE!$G$14,$M235,CH$13))))</f>
        <v>1000000000000</v>
      </c>
      <c r="CI235" s="182">
        <f ca="1">IF($D235&lt;&gt;"Serviço",0,IF(OR(AND(AUTOEVENTO="Manual",$M235=1),$M235&gt;(ROW(PLE.lastrow)-ROW(PLE.firstrow))),0,IF(OFFSET(PLE!$G$14,$M235,CI$13)="",10^12,OFFSET(PLE!$G$14,$M235,CI$13))))</f>
        <v>1000000000000</v>
      </c>
      <c r="CJ235" s="182">
        <f ca="1">IF($D235&lt;&gt;"Serviço",0,IF(OR(AND(AUTOEVENTO="Manual",$M235=1),$M235&gt;(ROW(PLE.lastrow)-ROW(PLE.firstrow))),0,IF(OFFSET(PLE!$G$14,$M235,CJ$13)="",10^12,OFFSET(PLE!$G$14,$M235,CJ$13))))</f>
        <v>1000000000000</v>
      </c>
      <c r="CK235" s="182">
        <f ca="1">IF($D235&lt;&gt;"Serviço",0,IF(OR(AND(AUTOEVENTO="Manual",$M235=1),$M235&gt;(ROW(PLE.lastrow)-ROW(PLE.firstrow))),0,IF(OFFSET(PLE!$G$14,$M235,CK$13)="",10^12,OFFSET(PLE!$G$14,$M235,CK$13))))</f>
        <v>1000000000000</v>
      </c>
      <c r="CL235" s="182">
        <f ca="1">IF($D235&lt;&gt;"Serviço",0,IF(OR(AND(AUTOEVENTO="Manual",$M235=1),$M235&gt;(ROW(PLE.lastrow)-ROW(PLE.firstrow))),0,IF(OFFSET(PLE!$G$14,$M235,CL$13)="",10^12,OFFSET(PLE!$G$14,$M235,CL$13))))</f>
        <v>1000000000000</v>
      </c>
      <c r="CM235" s="182">
        <f ca="1">IF($D235&lt;&gt;"Serviço",0,IF(OR(AND(AUTOEVENTO="Manual",$M235=1),$M235&gt;(ROW(PLE.lastrow)-ROW(PLE.firstrow))),0,IF(OFFSET(PLE!$G$14,$M235,CM$13)="",10^12,OFFSET(PLE!$G$14,$M235,CM$13))))</f>
        <v>1000000000000</v>
      </c>
    </row>
    <row r="236" spans="1:91" ht="25.5" x14ac:dyDescent="0.2">
      <c r="A236" s="7" t="str">
        <f t="shared" ca="1" si="12"/>
        <v>218</v>
      </c>
      <c r="B236" s="7" t="str">
        <f ca="1">OFFSET(ORÇAMENTO!C$15,ROW(B236)-ROW(B$15),0)</f>
        <v>S</v>
      </c>
      <c r="C236" s="7" t="str">
        <f ca="1">OFFSET(ORÇAMENTO!L$15,ROW(C236)-ROW(C$15),0)</f>
        <v/>
      </c>
      <c r="D236" s="118" t="str">
        <f ca="1">OFFSET(ORÇAMENTO!N$15,ROW(D236)-ROW(D$15),0)</f>
        <v>Serviço</v>
      </c>
      <c r="E236" s="119" t="str">
        <f ca="1">OFFSET(ORÇAMENTO!O$15,ROW(E236)-ROW(E$15),0)</f>
        <v>-</v>
      </c>
      <c r="F236" s="172" t="str">
        <f ca="1">OFFSET(ORÇAMENTO!R$15,ROW(F236)-ROW(F$15),0)</f>
        <v>(abra o arquivo 'Referência 06-2024.xlsm)</v>
      </c>
      <c r="G236" s="173" t="str">
        <f ca="1">IF($D236&lt;&gt;"Serviço","",OFFSET(ORÇAMENTO!S$15,ROW(G236)-ROW(G$15),0))</f>
        <v>-</v>
      </c>
      <c r="H236" s="124">
        <f ca="1">IF($D236&lt;&gt;"Serviço",0,IF(ACOMPANHAMENTO="BM",ROUND(OFFSET(ORÇAMENTO!AJ$15,ROW(H236)-ROW(H$15),0),15-13*ORÇAMENTO!$AF$7),SUMPRODUCT(($Q$12:$AI$12&lt;&gt;"")*ROUND($Q236:$AI236,15-13*ORÇAMENTO!$AF$7))))</f>
        <v>2.65</v>
      </c>
      <c r="I236" s="561" t="s">
        <v>1107</v>
      </c>
      <c r="K236" s="174"/>
      <c r="L236" s="175" t="s">
        <v>255</v>
      </c>
      <c r="M236" s="176">
        <f ca="1">IF($D236&lt;&gt;"Serviço","",IF(AUTOEVENTO="manual",$A236,IF(ISERROR(MATCH($A236,$A$15:OFFSET($A236,-1,0),0)),MAX($M$15:OFFSET(M236,-1,0))+1,INDEX($M$15:OFFSET(M236,-1,0),MATCH($A236,$A$15:OFFSET($A236,-1,0),0)))))</f>
        <v>32</v>
      </c>
      <c r="N236" s="177" t="str">
        <f ca="1">IF($D236&lt;&gt;"Serviço","",IF(AUTOEVENTO="Manual",IF($A236=0,"&lt;-- defina o número do agrupador",OFFSET(EVENTOS!$D$14,$A236,0)),OFFSET($F$15,$A236,0)))</f>
        <v>PINTURAS E ACABAMENTOS - PISO ESTACIONAMENTO</v>
      </c>
      <c r="O236" s="178"/>
      <c r="Q236" s="178">
        <v>2.65</v>
      </c>
      <c r="R236" s="179"/>
      <c r="S236" s="179"/>
      <c r="T236" s="179"/>
      <c r="U236" s="179"/>
      <c r="V236" s="179"/>
      <c r="W236" s="179"/>
      <c r="X236" s="179"/>
      <c r="Y236" s="179"/>
      <c r="Z236" s="180"/>
      <c r="AA236" s="179"/>
      <c r="AB236" s="179"/>
      <c r="AC236" s="179"/>
      <c r="AD236" s="179"/>
      <c r="AE236" s="179"/>
      <c r="AF236" s="179"/>
      <c r="AG236" s="179"/>
      <c r="AH236" s="180"/>
      <c r="AJ236" s="544">
        <f ca="1">IF(AND($D236="Serviço",AJ$12&lt;&gt;0,$H236&gt;0,OR(AUTOEVENTO&lt;&gt;"manual",$M236&lt;&gt;1)),
IF(Import.TipoArredondamento&lt;&gt;"TransfereGOV",
ROUND(OFFSET($P236,0,AJ$13),15-13*ORÇAMENTO!$AF$7)/$H236*OFFSET(ORÇAMENTO!$X$15,ROW(AJ236)-ROW(AJ$15),0),
ROUND(ROUND(OFFSET($P236,0,AJ$13),15-13*ORÇAMENTO!$AF$7)*OFFSET(ORÇAMENTO!$W$15,ROW(AJ236)-ROW(AJ$15),0),15-13*ORÇAMENTO!$AF$11)),0)</f>
        <v>0</v>
      </c>
      <c r="AK236" s="545">
        <f ca="1">IF(AND($D236="Serviço",AK$12&lt;&gt;0,$H236&gt;0,OR(AUTOEVENTO&lt;&gt;"manual",$M236&lt;&gt;1)),
IF(Import.TipoArredondamento&lt;&gt;"TransfereGOV",
ROUND(OFFSET($P236,0,AK$13),15-13*ORÇAMENTO!$AF$7)/$H236*OFFSET(ORÇAMENTO!$X$15,ROW(AK236)-ROW(AK$15),0),
ROUND(ROUND(OFFSET($P236,0,AK$13),15-13*ORÇAMENTO!$AF$7)*OFFSET(ORÇAMENTO!$W$15,ROW(AK236)-ROW(AK$15),0),15-13*ORÇAMENTO!$AF$11)),0)</f>
        <v>0</v>
      </c>
      <c r="AL236" s="545">
        <f ca="1">IF(AND($D236="Serviço",AL$12&lt;&gt;0,$H236&gt;0,OR(AUTOEVENTO&lt;&gt;"manual",$M236&lt;&gt;1)),
IF(Import.TipoArredondamento&lt;&gt;"TransfereGOV",
ROUND(OFFSET($P236,0,AL$13),15-13*ORÇAMENTO!$AF$7)/$H236*OFFSET(ORÇAMENTO!$X$15,ROW(AL236)-ROW(AL$15),0),
ROUND(ROUND(OFFSET($P236,0,AL$13),15-13*ORÇAMENTO!$AF$7)*OFFSET(ORÇAMENTO!$W$15,ROW(AL236)-ROW(AL$15),0),15-13*ORÇAMENTO!$AF$11)),0)</f>
        <v>0</v>
      </c>
      <c r="AM236" s="545">
        <f ca="1">IF(AND($D236="Serviço",AM$12&lt;&gt;0,$H236&gt;0,OR(AUTOEVENTO&lt;&gt;"manual",$M236&lt;&gt;1)),
IF(Import.TipoArredondamento&lt;&gt;"TransfereGOV",
ROUND(OFFSET($P236,0,AM$13),15-13*ORÇAMENTO!$AF$7)/$H236*OFFSET(ORÇAMENTO!$X$15,ROW(AM236)-ROW(AM$15),0),
ROUND(ROUND(OFFSET($P236,0,AM$13),15-13*ORÇAMENTO!$AF$7)*OFFSET(ORÇAMENTO!$W$15,ROW(AM236)-ROW(AM$15),0),15-13*ORÇAMENTO!$AF$11)),0)</f>
        <v>0</v>
      </c>
      <c r="AN236" s="545">
        <f ca="1">IF(AND($D236="Serviço",AN$12&lt;&gt;0,$H236&gt;0,OR(AUTOEVENTO&lt;&gt;"manual",$M236&lt;&gt;1)),
IF(Import.TipoArredondamento&lt;&gt;"TransfereGOV",
ROUND(OFFSET($P236,0,AN$13),15-13*ORÇAMENTO!$AF$7)/$H236*OFFSET(ORÇAMENTO!$X$15,ROW(AN236)-ROW(AN$15),0),
ROUND(ROUND(OFFSET($P236,0,AN$13),15-13*ORÇAMENTO!$AF$7)*OFFSET(ORÇAMENTO!$W$15,ROW(AN236)-ROW(AN$15),0),15-13*ORÇAMENTO!$AF$11)),0)</f>
        <v>0</v>
      </c>
      <c r="AO236" s="545">
        <f ca="1">IF(AND($D236="Serviço",AO$12&lt;&gt;0,$H236&gt;0,OR(AUTOEVENTO&lt;&gt;"manual",$M236&lt;&gt;1)),
IF(Import.TipoArredondamento&lt;&gt;"TransfereGOV",
ROUND(OFFSET($P236,0,AO$13),15-13*ORÇAMENTO!$AF$7)/$H236*OFFSET(ORÇAMENTO!$X$15,ROW(AO236)-ROW(AO$15),0),
ROUND(ROUND(OFFSET($P236,0,AO$13),15-13*ORÇAMENTO!$AF$7)*OFFSET(ORÇAMENTO!$W$15,ROW(AO236)-ROW(AO$15),0),15-13*ORÇAMENTO!$AF$11)),0)</f>
        <v>0</v>
      </c>
      <c r="AP236" s="545">
        <f ca="1">IF(AND($D236="Serviço",AP$12&lt;&gt;0,$H236&gt;0,OR(AUTOEVENTO&lt;&gt;"manual",$M236&lt;&gt;1)),
IF(Import.TipoArredondamento&lt;&gt;"TransfereGOV",
ROUND(OFFSET($P236,0,AP$13),15-13*ORÇAMENTO!$AF$7)/$H236*OFFSET(ORÇAMENTO!$X$15,ROW(AP236)-ROW(AP$15),0),
ROUND(ROUND(OFFSET($P236,0,AP$13),15-13*ORÇAMENTO!$AF$7)*OFFSET(ORÇAMENTO!$W$15,ROW(AP236)-ROW(AP$15),0),15-13*ORÇAMENTO!$AF$11)),0)</f>
        <v>0</v>
      </c>
      <c r="AQ236" s="545">
        <f ca="1">IF(AND($D236="Serviço",AQ$12&lt;&gt;0,$H236&gt;0,OR(AUTOEVENTO&lt;&gt;"manual",$M236&lt;&gt;1)),
IF(Import.TipoArredondamento&lt;&gt;"TransfereGOV",
ROUND(OFFSET($P236,0,AQ$13),15-13*ORÇAMENTO!$AF$7)/$H236*OFFSET(ORÇAMENTO!$X$15,ROW(AQ236)-ROW(AQ$15),0),
ROUND(ROUND(OFFSET($P236,0,AQ$13),15-13*ORÇAMENTO!$AF$7)*OFFSET(ORÇAMENTO!$W$15,ROW(AQ236)-ROW(AQ$15),0),15-13*ORÇAMENTO!$AF$11)),0)</f>
        <v>0</v>
      </c>
      <c r="AR236" s="545">
        <f ca="1">IF(AND($D236="Serviço",AR$12&lt;&gt;0,$H236&gt;0,OR(AUTOEVENTO&lt;&gt;"manual",$M236&lt;&gt;1)),
IF(Import.TipoArredondamento&lt;&gt;"TransfereGOV",
ROUND(OFFSET($P236,0,AR$13),15-13*ORÇAMENTO!$AF$7)/$H236*OFFSET(ORÇAMENTO!$X$15,ROW(AR236)-ROW(AR$15),0),
ROUND(ROUND(OFFSET($P236,0,AR$13),15-13*ORÇAMENTO!$AF$7)*OFFSET(ORÇAMENTO!$W$15,ROW(AR236)-ROW(AR$15),0),15-13*ORÇAMENTO!$AF$11)),0)</f>
        <v>0</v>
      </c>
      <c r="AS236" s="546">
        <f ca="1">IF(AND($D236="Serviço",AS$12&lt;&gt;0,$H236&gt;0,OR(AUTOEVENTO&lt;&gt;"manual",$M236&lt;&gt;1)),
IF(Import.TipoArredondamento&lt;&gt;"TransfereGOV",
ROUND(OFFSET($P236,0,AS$13),15-13*ORÇAMENTO!$AF$7)/$H236*OFFSET(ORÇAMENTO!$X$15,ROW(AS236)-ROW(AS$15),0),
ROUND(ROUND(OFFSET($P236,0,AS$13),15-13*ORÇAMENTO!$AF$7)*OFFSET(ORÇAMENTO!$W$15,ROW(AS236)-ROW(AS$15),0),15-13*ORÇAMENTO!$AF$11)),0)</f>
        <v>0</v>
      </c>
      <c r="AT236" s="545">
        <f ca="1">IF(AND($D236="Serviço",AT$12&lt;&gt;0,$H236&gt;0,OR(AUTOEVENTO&lt;&gt;"manual",$M236&lt;&gt;1)),
IF(Import.TipoArredondamento&lt;&gt;"TransfereGOV",
ROUND(OFFSET($P236,0,AT$13),15-13*ORÇAMENTO!$AF$7)/$H236*OFFSET(ORÇAMENTO!$X$15,ROW(AT236)-ROW(AT$15),0),
ROUND(ROUND(OFFSET($P236,0,AT$13),15-13*ORÇAMENTO!$AF$7)*OFFSET(ORÇAMENTO!$W$15,ROW(AT236)-ROW(AT$15),0),15-13*ORÇAMENTO!$AF$11)),0)</f>
        <v>0</v>
      </c>
      <c r="AU236" s="545">
        <f ca="1">IF(AND($D236="Serviço",AU$12&lt;&gt;0,$H236&gt;0,OR(AUTOEVENTO&lt;&gt;"manual",$M236&lt;&gt;1)),
IF(Import.TipoArredondamento&lt;&gt;"TransfereGOV",
ROUND(OFFSET($P236,0,AU$13),15-13*ORÇAMENTO!$AF$7)/$H236*OFFSET(ORÇAMENTO!$X$15,ROW(AU236)-ROW(AU$15),0),
ROUND(ROUND(OFFSET($P236,0,AU$13),15-13*ORÇAMENTO!$AF$7)*OFFSET(ORÇAMENTO!$W$15,ROW(AU236)-ROW(AU$15),0),15-13*ORÇAMENTO!$AF$11)),0)</f>
        <v>0</v>
      </c>
      <c r="AV236" s="545">
        <f ca="1">IF(AND($D236="Serviço",AV$12&lt;&gt;0,$H236&gt;0,OR(AUTOEVENTO&lt;&gt;"manual",$M236&lt;&gt;1)),
IF(Import.TipoArredondamento&lt;&gt;"TransfereGOV",
ROUND(OFFSET($P236,0,AV$13),15-13*ORÇAMENTO!$AF$7)/$H236*OFFSET(ORÇAMENTO!$X$15,ROW(AV236)-ROW(AV$15),0),
ROUND(ROUND(OFFSET($P236,0,AV$13),15-13*ORÇAMENTO!$AF$7)*OFFSET(ORÇAMENTO!$W$15,ROW(AV236)-ROW(AV$15),0),15-13*ORÇAMENTO!$AF$11)),0)</f>
        <v>0</v>
      </c>
      <c r="AW236" s="545">
        <f ca="1">IF(AND($D236="Serviço",AW$12&lt;&gt;0,$H236&gt;0,OR(AUTOEVENTO&lt;&gt;"manual",$M236&lt;&gt;1)),
IF(Import.TipoArredondamento&lt;&gt;"TransfereGOV",
ROUND(OFFSET($P236,0,AW$13),15-13*ORÇAMENTO!$AF$7)/$H236*OFFSET(ORÇAMENTO!$X$15,ROW(AW236)-ROW(AW$15),0),
ROUND(ROUND(OFFSET($P236,0,AW$13),15-13*ORÇAMENTO!$AF$7)*OFFSET(ORÇAMENTO!$W$15,ROW(AW236)-ROW(AW$15),0),15-13*ORÇAMENTO!$AF$11)),0)</f>
        <v>0</v>
      </c>
      <c r="AX236" s="545">
        <f ca="1">IF(AND($D236="Serviço",AX$12&lt;&gt;0,$H236&gt;0,OR(AUTOEVENTO&lt;&gt;"manual",$M236&lt;&gt;1)),
IF(Import.TipoArredondamento&lt;&gt;"TransfereGOV",
ROUND(OFFSET($P236,0,AX$13),15-13*ORÇAMENTO!$AF$7)/$H236*OFFSET(ORÇAMENTO!$X$15,ROW(AX236)-ROW(AX$15),0),
ROUND(ROUND(OFFSET($P236,0,AX$13),15-13*ORÇAMENTO!$AF$7)*OFFSET(ORÇAMENTO!$W$15,ROW(AX236)-ROW(AX$15),0),15-13*ORÇAMENTO!$AF$11)),0)</f>
        <v>0</v>
      </c>
      <c r="AY236" s="545">
        <f ca="1">IF(AND($D236="Serviço",AY$12&lt;&gt;0,$H236&gt;0,OR(AUTOEVENTO&lt;&gt;"manual",$M236&lt;&gt;1)),
IF(Import.TipoArredondamento&lt;&gt;"TransfereGOV",
ROUND(OFFSET($P236,0,AY$13),15-13*ORÇAMENTO!$AF$7)/$H236*OFFSET(ORÇAMENTO!$X$15,ROW(AY236)-ROW(AY$15),0),
ROUND(ROUND(OFFSET($P236,0,AY$13),15-13*ORÇAMENTO!$AF$7)*OFFSET(ORÇAMENTO!$W$15,ROW(AY236)-ROW(AY$15),0),15-13*ORÇAMENTO!$AF$11)),0)</f>
        <v>0</v>
      </c>
      <c r="AZ236" s="545">
        <f ca="1">IF(AND($D236="Serviço",AZ$12&lt;&gt;0,$H236&gt;0,OR(AUTOEVENTO&lt;&gt;"manual",$M236&lt;&gt;1)),
IF(Import.TipoArredondamento&lt;&gt;"TransfereGOV",
ROUND(OFFSET($P236,0,AZ$13),15-13*ORÇAMENTO!$AF$7)/$H236*OFFSET(ORÇAMENTO!$X$15,ROW(AZ236)-ROW(AZ$15),0),
ROUND(ROUND(OFFSET($P236,0,AZ$13),15-13*ORÇAMENTO!$AF$7)*OFFSET(ORÇAMENTO!$W$15,ROW(AZ236)-ROW(AZ$15),0),15-13*ORÇAMENTO!$AF$11)),0)</f>
        <v>0</v>
      </c>
      <c r="BA236" s="546">
        <f ca="1">IF(AND($D236="Serviço",BA$12&lt;&gt;0,$H236&gt;0,OR(AUTOEVENTO&lt;&gt;"manual",$M236&lt;&gt;1)),
IF(Import.TipoArredondamento&lt;&gt;"TransfereGOV",
ROUND(OFFSET($P236,0,BA$13),15-13*ORÇAMENTO!$AF$7)/$H236*OFFSET(ORÇAMENTO!$X$15,ROW(BA236)-ROW(BA$15),0),
ROUND(ROUND(OFFSET($P236,0,BA$13),15-13*ORÇAMENTO!$AF$7)*OFFSET(ORÇAMENTO!$W$15,ROW(BA236)-ROW(BA$15),0),15-13*ORÇAMENTO!$AF$11)),0)</f>
        <v>0</v>
      </c>
      <c r="BC236" s="181">
        <f ca="1">IF($D236&lt;&gt;"Serviço",0,IF(AND(AUTOEVENTO="Manual",$M236=1),0,IF(OFFSET(CRONOPLE!$F$14,$M236,BC$13)="",10^12,OFFSET(CRONOPLE!$F$14,$M236,BC$13))))</f>
        <v>9</v>
      </c>
      <c r="BD236" s="181">
        <f ca="1">IF($D236&lt;&gt;"Serviço",0,IF(AND(AUTOEVENTO="Manual",$M236=1),0,IF(OFFSET(CRONOPLE!$F$14,$M236,BD$13)="",10^12,OFFSET(CRONOPLE!$F$14,$M236,BD$13))))</f>
        <v>1000000000000</v>
      </c>
      <c r="BE236" s="181">
        <f ca="1">IF($D236&lt;&gt;"Serviço",0,IF(AND(AUTOEVENTO="Manual",$M236=1),0,IF(OFFSET(CRONOPLE!$F$14,$M236,BE$13)="",10^12,OFFSET(CRONOPLE!$F$14,$M236,BE$13))))</f>
        <v>1000000000000</v>
      </c>
      <c r="BF236" s="181">
        <f ca="1">IF($D236&lt;&gt;"Serviço",0,IF(AND(AUTOEVENTO="Manual",$M236=1),0,IF(OFFSET(CRONOPLE!$F$14,$M236,BF$13)="",10^12,OFFSET(CRONOPLE!$F$14,$M236,BF$13))))</f>
        <v>1000000000000</v>
      </c>
      <c r="BG236" s="181">
        <f ca="1">IF($D236&lt;&gt;"Serviço",0,IF(AND(AUTOEVENTO="Manual",$M236=1),0,IF(OFFSET(CRONOPLE!$F$14,$M236,BG$13)="",10^12,OFFSET(CRONOPLE!$F$14,$M236,BG$13))))</f>
        <v>1000000000000</v>
      </c>
      <c r="BH236" s="181">
        <f ca="1">IF($D236&lt;&gt;"Serviço",0,IF(AND(AUTOEVENTO="Manual",$M236=1),0,IF(OFFSET(CRONOPLE!$F$14,$M236,BH$13)="",10^12,OFFSET(CRONOPLE!$F$14,$M236,BH$13))))</f>
        <v>1000000000000</v>
      </c>
      <c r="BI236" s="181">
        <f ca="1">IF($D236&lt;&gt;"Serviço",0,IF(AND(AUTOEVENTO="Manual",$M236=1),0,IF(OFFSET(CRONOPLE!$F$14,$M236,BI$13)="",10^12,OFFSET(CRONOPLE!$F$14,$M236,BI$13))))</f>
        <v>1000000000000</v>
      </c>
      <c r="BJ236" s="181">
        <f ca="1">IF($D236&lt;&gt;"Serviço",0,IF(AND(AUTOEVENTO="Manual",$M236=1),0,IF(OFFSET(CRONOPLE!$F$14,$M236,BJ$13)="",10^12,OFFSET(CRONOPLE!$F$14,$M236,BJ$13))))</f>
        <v>1000000000000</v>
      </c>
      <c r="BK236" s="181">
        <f ca="1">IF($D236&lt;&gt;"Serviço",0,IF(AND(AUTOEVENTO="Manual",$M236=1),0,IF(OFFSET(CRONOPLE!$F$14,$M236,BK$13)="",10^12,OFFSET(CRONOPLE!$F$14,$M236,BK$13))))</f>
        <v>1000000000000</v>
      </c>
      <c r="BL236" s="181">
        <f ca="1">IF($D236&lt;&gt;"Serviço",0,IF(AND(AUTOEVENTO="Manual",$M236=1),0,IF(OFFSET(CRONOPLE!$F$14,$M236,BL$13)="",10^12,OFFSET(CRONOPLE!$F$14,$M236,BL$13))))</f>
        <v>1000000000000</v>
      </c>
      <c r="BM236" s="181">
        <f ca="1">IF($D236&lt;&gt;"Serviço",0,IF(AND(AUTOEVENTO="Manual",$M236=1),0,IF(OFFSET(CRONOPLE!$F$14,$M236,BM$13)="",10^12,OFFSET(CRONOPLE!$F$14,$M236,BM$13))))</f>
        <v>1000000000000</v>
      </c>
      <c r="BN236" s="181">
        <f ca="1">IF($D236&lt;&gt;"Serviço",0,IF(AND(AUTOEVENTO="Manual",$M236=1),0,IF(OFFSET(CRONOPLE!$F$14,$M236,BN$13)="",10^12,OFFSET(CRONOPLE!$F$14,$M236,BN$13))))</f>
        <v>1000000000000</v>
      </c>
      <c r="BO236" s="181">
        <f ca="1">IF($D236&lt;&gt;"Serviço",0,IF(AND(AUTOEVENTO="Manual",$M236=1),0,IF(OFFSET(CRONOPLE!$F$14,$M236,BO$13)="",10^12,OFFSET(CRONOPLE!$F$14,$M236,BO$13))))</f>
        <v>1000000000000</v>
      </c>
      <c r="BP236" s="181">
        <f ca="1">IF($D236&lt;&gt;"Serviço",0,IF(AND(AUTOEVENTO="Manual",$M236=1),0,IF(OFFSET(CRONOPLE!$F$14,$M236,BP$13)="",10^12,OFFSET(CRONOPLE!$F$14,$M236,BP$13))))</f>
        <v>1000000000000</v>
      </c>
      <c r="BQ236" s="181">
        <f ca="1">IF($D236&lt;&gt;"Serviço",0,IF(AND(AUTOEVENTO="Manual",$M236=1),0,IF(OFFSET(CRONOPLE!$F$14,$M236,BQ$13)="",10^12,OFFSET(CRONOPLE!$F$14,$M236,BQ$13))))</f>
        <v>1000000000000</v>
      </c>
      <c r="BR236" s="181">
        <f ca="1">IF($D236&lt;&gt;"Serviço",0,IF(AND(AUTOEVENTO="Manual",$M236=1),0,IF(OFFSET(CRONOPLE!$F$14,$M236,BR$13)="",10^12,OFFSET(CRONOPLE!$F$14,$M236,BR$13))))</f>
        <v>1000000000000</v>
      </c>
      <c r="BS236" s="181">
        <f ca="1">IF($D236&lt;&gt;"Serviço",0,IF(AND(AUTOEVENTO="Manual",$M236=1),0,IF(OFFSET(CRONOPLE!$F$14,$M236,BS$13)="",10^12,OFFSET(CRONOPLE!$F$14,$M236,BS$13))))</f>
        <v>1000000000000</v>
      </c>
      <c r="BT236" s="181">
        <f ca="1">IF($D236&lt;&gt;"Serviço",0,IF(AND(AUTOEVENTO="Manual",$M236=1),0,IF(OFFSET(CRONOPLE!$F$14,$M236,BT$13)="",10^12,OFFSET(CRONOPLE!$F$14,$M236,BT$13))))</f>
        <v>1000000000000</v>
      </c>
      <c r="BV236" s="182">
        <f ca="1">IF($D236&lt;&gt;"Serviço",0,IF(OR(AND(AUTOEVENTO="Manual",$M236=1),$M236&gt;(ROW(PLE.lastrow)-ROW(PLE.firstrow))),0,IF(OFFSET(PLE!$G$14,$M236,BV$13)="",10^12,OFFSET(PLE!$G$14,$M236,BV$13))))</f>
        <v>1000000000000</v>
      </c>
      <c r="BW236" s="182">
        <f ca="1">IF($D236&lt;&gt;"Serviço",0,IF(OR(AND(AUTOEVENTO="Manual",$M236=1),$M236&gt;(ROW(PLE.lastrow)-ROW(PLE.firstrow))),0,IF(OFFSET(PLE!$G$14,$M236,BW$13)="",10^12,OFFSET(PLE!$G$14,$M236,BW$13))))</f>
        <v>1000000000000</v>
      </c>
      <c r="BX236" s="182">
        <f ca="1">IF($D236&lt;&gt;"Serviço",0,IF(OR(AND(AUTOEVENTO="Manual",$M236=1),$M236&gt;(ROW(PLE.lastrow)-ROW(PLE.firstrow))),0,IF(OFFSET(PLE!$G$14,$M236,BX$13)="",10^12,OFFSET(PLE!$G$14,$M236,BX$13))))</f>
        <v>1000000000000</v>
      </c>
      <c r="BY236" s="182">
        <f ca="1">IF($D236&lt;&gt;"Serviço",0,IF(OR(AND(AUTOEVENTO="Manual",$M236=1),$M236&gt;(ROW(PLE.lastrow)-ROW(PLE.firstrow))),0,IF(OFFSET(PLE!$G$14,$M236,BY$13)="",10^12,OFFSET(PLE!$G$14,$M236,BY$13))))</f>
        <v>1000000000000</v>
      </c>
      <c r="BZ236" s="182">
        <f ca="1">IF($D236&lt;&gt;"Serviço",0,IF(OR(AND(AUTOEVENTO="Manual",$M236=1),$M236&gt;(ROW(PLE.lastrow)-ROW(PLE.firstrow))),0,IF(OFFSET(PLE!$G$14,$M236,BZ$13)="",10^12,OFFSET(PLE!$G$14,$M236,BZ$13))))</f>
        <v>1000000000000</v>
      </c>
      <c r="CA236" s="182">
        <f ca="1">IF($D236&lt;&gt;"Serviço",0,IF(OR(AND(AUTOEVENTO="Manual",$M236=1),$M236&gt;(ROW(PLE.lastrow)-ROW(PLE.firstrow))),0,IF(OFFSET(PLE!$G$14,$M236,CA$13)="",10^12,OFFSET(PLE!$G$14,$M236,CA$13))))</f>
        <v>1000000000000</v>
      </c>
      <c r="CB236" s="182">
        <f ca="1">IF($D236&lt;&gt;"Serviço",0,IF(OR(AND(AUTOEVENTO="Manual",$M236=1),$M236&gt;(ROW(PLE.lastrow)-ROW(PLE.firstrow))),0,IF(OFFSET(PLE!$G$14,$M236,CB$13)="",10^12,OFFSET(PLE!$G$14,$M236,CB$13))))</f>
        <v>1000000000000</v>
      </c>
      <c r="CC236" s="182">
        <f ca="1">IF($D236&lt;&gt;"Serviço",0,IF(OR(AND(AUTOEVENTO="Manual",$M236=1),$M236&gt;(ROW(PLE.lastrow)-ROW(PLE.firstrow))),0,IF(OFFSET(PLE!$G$14,$M236,CC$13)="",10^12,OFFSET(PLE!$G$14,$M236,CC$13))))</f>
        <v>1000000000000</v>
      </c>
      <c r="CD236" s="182">
        <f ca="1">IF($D236&lt;&gt;"Serviço",0,IF(OR(AND(AUTOEVENTO="Manual",$M236=1),$M236&gt;(ROW(PLE.lastrow)-ROW(PLE.firstrow))),0,IF(OFFSET(PLE!$G$14,$M236,CD$13)="",10^12,OFFSET(PLE!$G$14,$M236,CD$13))))</f>
        <v>1000000000000</v>
      </c>
      <c r="CE236" s="182">
        <f ca="1">IF($D236&lt;&gt;"Serviço",0,IF(OR(AND(AUTOEVENTO="Manual",$M236=1),$M236&gt;(ROW(PLE.lastrow)-ROW(PLE.firstrow))),0,IF(OFFSET(PLE!$G$14,$M236,CE$13)="",10^12,OFFSET(PLE!$G$14,$M236,CE$13))))</f>
        <v>1000000000000</v>
      </c>
      <c r="CF236" s="182">
        <f ca="1">IF($D236&lt;&gt;"Serviço",0,IF(OR(AND(AUTOEVENTO="Manual",$M236=1),$M236&gt;(ROW(PLE.lastrow)-ROW(PLE.firstrow))),0,IF(OFFSET(PLE!$G$14,$M236,CF$13)="",10^12,OFFSET(PLE!$G$14,$M236,CF$13))))</f>
        <v>1000000000000</v>
      </c>
      <c r="CG236" s="182">
        <f ca="1">IF($D236&lt;&gt;"Serviço",0,IF(OR(AND(AUTOEVENTO="Manual",$M236=1),$M236&gt;(ROW(PLE.lastrow)-ROW(PLE.firstrow))),0,IF(OFFSET(PLE!$G$14,$M236,CG$13)="",10^12,OFFSET(PLE!$G$14,$M236,CG$13))))</f>
        <v>1000000000000</v>
      </c>
      <c r="CH236" s="182">
        <f ca="1">IF($D236&lt;&gt;"Serviço",0,IF(OR(AND(AUTOEVENTO="Manual",$M236=1),$M236&gt;(ROW(PLE.lastrow)-ROW(PLE.firstrow))),0,IF(OFFSET(PLE!$G$14,$M236,CH$13)="",10^12,OFFSET(PLE!$G$14,$M236,CH$13))))</f>
        <v>1000000000000</v>
      </c>
      <c r="CI236" s="182">
        <f ca="1">IF($D236&lt;&gt;"Serviço",0,IF(OR(AND(AUTOEVENTO="Manual",$M236=1),$M236&gt;(ROW(PLE.lastrow)-ROW(PLE.firstrow))),0,IF(OFFSET(PLE!$G$14,$M236,CI$13)="",10^12,OFFSET(PLE!$G$14,$M236,CI$13))))</f>
        <v>1000000000000</v>
      </c>
      <c r="CJ236" s="182">
        <f ca="1">IF($D236&lt;&gt;"Serviço",0,IF(OR(AND(AUTOEVENTO="Manual",$M236=1),$M236&gt;(ROW(PLE.lastrow)-ROW(PLE.firstrow))),0,IF(OFFSET(PLE!$G$14,$M236,CJ$13)="",10^12,OFFSET(PLE!$G$14,$M236,CJ$13))))</f>
        <v>1000000000000</v>
      </c>
      <c r="CK236" s="182">
        <f ca="1">IF($D236&lt;&gt;"Serviço",0,IF(OR(AND(AUTOEVENTO="Manual",$M236=1),$M236&gt;(ROW(PLE.lastrow)-ROW(PLE.firstrow))),0,IF(OFFSET(PLE!$G$14,$M236,CK$13)="",10^12,OFFSET(PLE!$G$14,$M236,CK$13))))</f>
        <v>1000000000000</v>
      </c>
      <c r="CL236" s="182">
        <f ca="1">IF($D236&lt;&gt;"Serviço",0,IF(OR(AND(AUTOEVENTO="Manual",$M236=1),$M236&gt;(ROW(PLE.lastrow)-ROW(PLE.firstrow))),0,IF(OFFSET(PLE!$G$14,$M236,CL$13)="",10^12,OFFSET(PLE!$G$14,$M236,CL$13))))</f>
        <v>1000000000000</v>
      </c>
      <c r="CM236" s="182">
        <f ca="1">IF($D236&lt;&gt;"Serviço",0,IF(OR(AND(AUTOEVENTO="Manual",$M236=1),$M236&gt;(ROW(PLE.lastrow)-ROW(PLE.firstrow))),0,IF(OFFSET(PLE!$G$14,$M236,CM$13)="",10^12,OFFSET(PLE!$G$14,$M236,CM$13))))</f>
        <v>1000000000000</v>
      </c>
    </row>
    <row r="237" spans="1:91" ht="12.75" x14ac:dyDescent="0.2">
      <c r="A237" s="7" t="str">
        <f t="shared" ca="1" si="12"/>
        <v>222.</v>
      </c>
      <c r="B237" s="7">
        <f ca="1">OFFSET(ORÇAMENTO!C$15,ROW(B237)-ROW(B$15),0)</f>
        <v>2</v>
      </c>
      <c r="C237" s="7" t="str">
        <f ca="1">OFFSET(ORÇAMENTO!L$15,ROW(C237)-ROW(C$15),0)</f>
        <v>F</v>
      </c>
      <c r="D237" s="118" t="str">
        <f ca="1">OFFSET(ORÇAMENTO!N$15,ROW(D237)-ROW(D$15),0)</f>
        <v>Nível 2</v>
      </c>
      <c r="E237" s="119" t="str">
        <f ca="1">OFFSET(ORÇAMENTO!O$15,ROW(E237)-ROW(E$15),0)</f>
        <v>1.32.</v>
      </c>
      <c r="F237" s="172" t="str">
        <f ca="1">OFFSET(ORÇAMENTO!R$15,ROW(F237)-ROW(F$15),0)</f>
        <v>PINTURAS E ACABAMENTOS - PISO PLAYGROUND</v>
      </c>
      <c r="G237" s="173" t="str">
        <f ca="1">IF($D237&lt;&gt;"Serviço","",OFFSET(ORÇAMENTO!S$15,ROW(G237)-ROW(G$15),0))</f>
        <v/>
      </c>
      <c r="H237" s="124">
        <f ca="1">IF($D237&lt;&gt;"Serviço",0,IF(ACOMPANHAMENTO="BM",ROUND(OFFSET(ORÇAMENTO!AJ$15,ROW(H237)-ROW(H$15),0),15-13*ORÇAMENTO!$AF$7),SUMPRODUCT(($Q$12:$AI$12&lt;&gt;"")*ROUND($Q237:$AI237,15-13*ORÇAMENTO!$AF$7))))</f>
        <v>0</v>
      </c>
      <c r="I237" s="561"/>
      <c r="K237" s="174"/>
      <c r="L237" s="175" t="s">
        <v>255</v>
      </c>
      <c r="M237" s="176" t="str">
        <f ca="1">IF($D237&lt;&gt;"Serviço","",IF(AUTOEVENTO="manual",$A237,IF(ISERROR(MATCH($A237,$A$15:OFFSET($A237,-1,0),0)),MAX($M$15:OFFSET(M237,-1,0))+1,INDEX($M$15:OFFSET(M237,-1,0),MATCH($A237,$A$15:OFFSET($A237,-1,0),0)))))</f>
        <v/>
      </c>
      <c r="N237" s="177" t="str">
        <f ca="1">IF($D237&lt;&gt;"Serviço","",IF(AUTOEVENTO="Manual",IF($A237=0,"&lt;-- defina o número do agrupador",OFFSET(EVENTOS!$D$14,$A237,0)),OFFSET($F$15,$A237,0)))</f>
        <v/>
      </c>
      <c r="O237" s="178"/>
      <c r="Q237" s="178">
        <v>0</v>
      </c>
      <c r="R237" s="179"/>
      <c r="S237" s="179"/>
      <c r="T237" s="179"/>
      <c r="U237" s="179"/>
      <c r="V237" s="179"/>
      <c r="W237" s="179"/>
      <c r="X237" s="179"/>
      <c r="Y237" s="179"/>
      <c r="Z237" s="180"/>
      <c r="AA237" s="179"/>
      <c r="AB237" s="179"/>
      <c r="AC237" s="179"/>
      <c r="AD237" s="179"/>
      <c r="AE237" s="179"/>
      <c r="AF237" s="179"/>
      <c r="AG237" s="179"/>
      <c r="AH237" s="180"/>
      <c r="AJ237" s="544">
        <f ca="1">IF(AND($D237="Serviço",AJ$12&lt;&gt;0,$H237&gt;0,OR(AUTOEVENTO&lt;&gt;"manual",$M237&lt;&gt;1)),
IF(Import.TipoArredondamento&lt;&gt;"TransfereGOV",
ROUND(OFFSET($P237,0,AJ$13),15-13*ORÇAMENTO!$AF$7)/$H237*OFFSET(ORÇAMENTO!$X$15,ROW(AJ237)-ROW(AJ$15),0),
ROUND(ROUND(OFFSET($P237,0,AJ$13),15-13*ORÇAMENTO!$AF$7)*OFFSET(ORÇAMENTO!$W$15,ROW(AJ237)-ROW(AJ$15),0),15-13*ORÇAMENTO!$AF$11)),0)</f>
        <v>0</v>
      </c>
      <c r="AK237" s="545">
        <f ca="1">IF(AND($D237="Serviço",AK$12&lt;&gt;0,$H237&gt;0,OR(AUTOEVENTO&lt;&gt;"manual",$M237&lt;&gt;1)),
IF(Import.TipoArredondamento&lt;&gt;"TransfereGOV",
ROUND(OFFSET($P237,0,AK$13),15-13*ORÇAMENTO!$AF$7)/$H237*OFFSET(ORÇAMENTO!$X$15,ROW(AK237)-ROW(AK$15),0),
ROUND(ROUND(OFFSET($P237,0,AK$13),15-13*ORÇAMENTO!$AF$7)*OFFSET(ORÇAMENTO!$W$15,ROW(AK237)-ROW(AK$15),0),15-13*ORÇAMENTO!$AF$11)),0)</f>
        <v>0</v>
      </c>
      <c r="AL237" s="545">
        <f ca="1">IF(AND($D237="Serviço",AL$12&lt;&gt;0,$H237&gt;0,OR(AUTOEVENTO&lt;&gt;"manual",$M237&lt;&gt;1)),
IF(Import.TipoArredondamento&lt;&gt;"TransfereGOV",
ROUND(OFFSET($P237,0,AL$13),15-13*ORÇAMENTO!$AF$7)/$H237*OFFSET(ORÇAMENTO!$X$15,ROW(AL237)-ROW(AL$15),0),
ROUND(ROUND(OFFSET($P237,0,AL$13),15-13*ORÇAMENTO!$AF$7)*OFFSET(ORÇAMENTO!$W$15,ROW(AL237)-ROW(AL$15),0),15-13*ORÇAMENTO!$AF$11)),0)</f>
        <v>0</v>
      </c>
      <c r="AM237" s="545">
        <f ca="1">IF(AND($D237="Serviço",AM$12&lt;&gt;0,$H237&gt;0,OR(AUTOEVENTO&lt;&gt;"manual",$M237&lt;&gt;1)),
IF(Import.TipoArredondamento&lt;&gt;"TransfereGOV",
ROUND(OFFSET($P237,0,AM$13),15-13*ORÇAMENTO!$AF$7)/$H237*OFFSET(ORÇAMENTO!$X$15,ROW(AM237)-ROW(AM$15),0),
ROUND(ROUND(OFFSET($P237,0,AM$13),15-13*ORÇAMENTO!$AF$7)*OFFSET(ORÇAMENTO!$W$15,ROW(AM237)-ROW(AM$15),0),15-13*ORÇAMENTO!$AF$11)),0)</f>
        <v>0</v>
      </c>
      <c r="AN237" s="545">
        <f ca="1">IF(AND($D237="Serviço",AN$12&lt;&gt;0,$H237&gt;0,OR(AUTOEVENTO&lt;&gt;"manual",$M237&lt;&gt;1)),
IF(Import.TipoArredondamento&lt;&gt;"TransfereGOV",
ROUND(OFFSET($P237,0,AN$13),15-13*ORÇAMENTO!$AF$7)/$H237*OFFSET(ORÇAMENTO!$X$15,ROW(AN237)-ROW(AN$15),0),
ROUND(ROUND(OFFSET($P237,0,AN$13),15-13*ORÇAMENTO!$AF$7)*OFFSET(ORÇAMENTO!$W$15,ROW(AN237)-ROW(AN$15),0),15-13*ORÇAMENTO!$AF$11)),0)</f>
        <v>0</v>
      </c>
      <c r="AO237" s="545">
        <f ca="1">IF(AND($D237="Serviço",AO$12&lt;&gt;0,$H237&gt;0,OR(AUTOEVENTO&lt;&gt;"manual",$M237&lt;&gt;1)),
IF(Import.TipoArredondamento&lt;&gt;"TransfereGOV",
ROUND(OFFSET($P237,0,AO$13),15-13*ORÇAMENTO!$AF$7)/$H237*OFFSET(ORÇAMENTO!$X$15,ROW(AO237)-ROW(AO$15),0),
ROUND(ROUND(OFFSET($P237,0,AO$13),15-13*ORÇAMENTO!$AF$7)*OFFSET(ORÇAMENTO!$W$15,ROW(AO237)-ROW(AO$15),0),15-13*ORÇAMENTO!$AF$11)),0)</f>
        <v>0</v>
      </c>
      <c r="AP237" s="545">
        <f ca="1">IF(AND($D237="Serviço",AP$12&lt;&gt;0,$H237&gt;0,OR(AUTOEVENTO&lt;&gt;"manual",$M237&lt;&gt;1)),
IF(Import.TipoArredondamento&lt;&gt;"TransfereGOV",
ROUND(OFFSET($P237,0,AP$13),15-13*ORÇAMENTO!$AF$7)/$H237*OFFSET(ORÇAMENTO!$X$15,ROW(AP237)-ROW(AP$15),0),
ROUND(ROUND(OFFSET($P237,0,AP$13),15-13*ORÇAMENTO!$AF$7)*OFFSET(ORÇAMENTO!$W$15,ROW(AP237)-ROW(AP$15),0),15-13*ORÇAMENTO!$AF$11)),0)</f>
        <v>0</v>
      </c>
      <c r="AQ237" s="545">
        <f ca="1">IF(AND($D237="Serviço",AQ$12&lt;&gt;0,$H237&gt;0,OR(AUTOEVENTO&lt;&gt;"manual",$M237&lt;&gt;1)),
IF(Import.TipoArredondamento&lt;&gt;"TransfereGOV",
ROUND(OFFSET($P237,0,AQ$13),15-13*ORÇAMENTO!$AF$7)/$H237*OFFSET(ORÇAMENTO!$X$15,ROW(AQ237)-ROW(AQ$15),0),
ROUND(ROUND(OFFSET($P237,0,AQ$13),15-13*ORÇAMENTO!$AF$7)*OFFSET(ORÇAMENTO!$W$15,ROW(AQ237)-ROW(AQ$15),0),15-13*ORÇAMENTO!$AF$11)),0)</f>
        <v>0</v>
      </c>
      <c r="AR237" s="545">
        <f ca="1">IF(AND($D237="Serviço",AR$12&lt;&gt;0,$H237&gt;0,OR(AUTOEVENTO&lt;&gt;"manual",$M237&lt;&gt;1)),
IF(Import.TipoArredondamento&lt;&gt;"TransfereGOV",
ROUND(OFFSET($P237,0,AR$13),15-13*ORÇAMENTO!$AF$7)/$H237*OFFSET(ORÇAMENTO!$X$15,ROW(AR237)-ROW(AR$15),0),
ROUND(ROUND(OFFSET($P237,0,AR$13),15-13*ORÇAMENTO!$AF$7)*OFFSET(ORÇAMENTO!$W$15,ROW(AR237)-ROW(AR$15),0),15-13*ORÇAMENTO!$AF$11)),0)</f>
        <v>0</v>
      </c>
      <c r="AS237" s="546">
        <f ca="1">IF(AND($D237="Serviço",AS$12&lt;&gt;0,$H237&gt;0,OR(AUTOEVENTO&lt;&gt;"manual",$M237&lt;&gt;1)),
IF(Import.TipoArredondamento&lt;&gt;"TransfereGOV",
ROUND(OFFSET($P237,0,AS$13),15-13*ORÇAMENTO!$AF$7)/$H237*OFFSET(ORÇAMENTO!$X$15,ROW(AS237)-ROW(AS$15),0),
ROUND(ROUND(OFFSET($P237,0,AS$13),15-13*ORÇAMENTO!$AF$7)*OFFSET(ORÇAMENTO!$W$15,ROW(AS237)-ROW(AS$15),0),15-13*ORÇAMENTO!$AF$11)),0)</f>
        <v>0</v>
      </c>
      <c r="AT237" s="545">
        <f ca="1">IF(AND($D237="Serviço",AT$12&lt;&gt;0,$H237&gt;0,OR(AUTOEVENTO&lt;&gt;"manual",$M237&lt;&gt;1)),
IF(Import.TipoArredondamento&lt;&gt;"TransfereGOV",
ROUND(OFFSET($P237,0,AT$13),15-13*ORÇAMENTO!$AF$7)/$H237*OFFSET(ORÇAMENTO!$X$15,ROW(AT237)-ROW(AT$15),0),
ROUND(ROUND(OFFSET($P237,0,AT$13),15-13*ORÇAMENTO!$AF$7)*OFFSET(ORÇAMENTO!$W$15,ROW(AT237)-ROW(AT$15),0),15-13*ORÇAMENTO!$AF$11)),0)</f>
        <v>0</v>
      </c>
      <c r="AU237" s="545">
        <f ca="1">IF(AND($D237="Serviço",AU$12&lt;&gt;0,$H237&gt;0,OR(AUTOEVENTO&lt;&gt;"manual",$M237&lt;&gt;1)),
IF(Import.TipoArredondamento&lt;&gt;"TransfereGOV",
ROUND(OFFSET($P237,0,AU$13),15-13*ORÇAMENTO!$AF$7)/$H237*OFFSET(ORÇAMENTO!$X$15,ROW(AU237)-ROW(AU$15),0),
ROUND(ROUND(OFFSET($P237,0,AU$13),15-13*ORÇAMENTO!$AF$7)*OFFSET(ORÇAMENTO!$W$15,ROW(AU237)-ROW(AU$15),0),15-13*ORÇAMENTO!$AF$11)),0)</f>
        <v>0</v>
      </c>
      <c r="AV237" s="545">
        <f ca="1">IF(AND($D237="Serviço",AV$12&lt;&gt;0,$H237&gt;0,OR(AUTOEVENTO&lt;&gt;"manual",$M237&lt;&gt;1)),
IF(Import.TipoArredondamento&lt;&gt;"TransfereGOV",
ROUND(OFFSET($P237,0,AV$13),15-13*ORÇAMENTO!$AF$7)/$H237*OFFSET(ORÇAMENTO!$X$15,ROW(AV237)-ROW(AV$15),0),
ROUND(ROUND(OFFSET($P237,0,AV$13),15-13*ORÇAMENTO!$AF$7)*OFFSET(ORÇAMENTO!$W$15,ROW(AV237)-ROW(AV$15),0),15-13*ORÇAMENTO!$AF$11)),0)</f>
        <v>0</v>
      </c>
      <c r="AW237" s="545">
        <f ca="1">IF(AND($D237="Serviço",AW$12&lt;&gt;0,$H237&gt;0,OR(AUTOEVENTO&lt;&gt;"manual",$M237&lt;&gt;1)),
IF(Import.TipoArredondamento&lt;&gt;"TransfereGOV",
ROUND(OFFSET($P237,0,AW$13),15-13*ORÇAMENTO!$AF$7)/$H237*OFFSET(ORÇAMENTO!$X$15,ROW(AW237)-ROW(AW$15),0),
ROUND(ROUND(OFFSET($P237,0,AW$13),15-13*ORÇAMENTO!$AF$7)*OFFSET(ORÇAMENTO!$W$15,ROW(AW237)-ROW(AW$15),0),15-13*ORÇAMENTO!$AF$11)),0)</f>
        <v>0</v>
      </c>
      <c r="AX237" s="545">
        <f ca="1">IF(AND($D237="Serviço",AX$12&lt;&gt;0,$H237&gt;0,OR(AUTOEVENTO&lt;&gt;"manual",$M237&lt;&gt;1)),
IF(Import.TipoArredondamento&lt;&gt;"TransfereGOV",
ROUND(OFFSET($P237,0,AX$13),15-13*ORÇAMENTO!$AF$7)/$H237*OFFSET(ORÇAMENTO!$X$15,ROW(AX237)-ROW(AX$15),0),
ROUND(ROUND(OFFSET($P237,0,AX$13),15-13*ORÇAMENTO!$AF$7)*OFFSET(ORÇAMENTO!$W$15,ROW(AX237)-ROW(AX$15),0),15-13*ORÇAMENTO!$AF$11)),0)</f>
        <v>0</v>
      </c>
      <c r="AY237" s="545">
        <f ca="1">IF(AND($D237="Serviço",AY$12&lt;&gt;0,$H237&gt;0,OR(AUTOEVENTO&lt;&gt;"manual",$M237&lt;&gt;1)),
IF(Import.TipoArredondamento&lt;&gt;"TransfereGOV",
ROUND(OFFSET($P237,0,AY$13),15-13*ORÇAMENTO!$AF$7)/$H237*OFFSET(ORÇAMENTO!$X$15,ROW(AY237)-ROW(AY$15),0),
ROUND(ROUND(OFFSET($P237,0,AY$13),15-13*ORÇAMENTO!$AF$7)*OFFSET(ORÇAMENTO!$W$15,ROW(AY237)-ROW(AY$15),0),15-13*ORÇAMENTO!$AF$11)),0)</f>
        <v>0</v>
      </c>
      <c r="AZ237" s="545">
        <f ca="1">IF(AND($D237="Serviço",AZ$12&lt;&gt;0,$H237&gt;0,OR(AUTOEVENTO&lt;&gt;"manual",$M237&lt;&gt;1)),
IF(Import.TipoArredondamento&lt;&gt;"TransfereGOV",
ROUND(OFFSET($P237,0,AZ$13),15-13*ORÇAMENTO!$AF$7)/$H237*OFFSET(ORÇAMENTO!$X$15,ROW(AZ237)-ROW(AZ$15),0),
ROUND(ROUND(OFFSET($P237,0,AZ$13),15-13*ORÇAMENTO!$AF$7)*OFFSET(ORÇAMENTO!$W$15,ROW(AZ237)-ROW(AZ$15),0),15-13*ORÇAMENTO!$AF$11)),0)</f>
        <v>0</v>
      </c>
      <c r="BA237" s="546">
        <f ca="1">IF(AND($D237="Serviço",BA$12&lt;&gt;0,$H237&gt;0,OR(AUTOEVENTO&lt;&gt;"manual",$M237&lt;&gt;1)),
IF(Import.TipoArredondamento&lt;&gt;"TransfereGOV",
ROUND(OFFSET($P237,0,BA$13),15-13*ORÇAMENTO!$AF$7)/$H237*OFFSET(ORÇAMENTO!$X$15,ROW(BA237)-ROW(BA$15),0),
ROUND(ROUND(OFFSET($P237,0,BA$13),15-13*ORÇAMENTO!$AF$7)*OFFSET(ORÇAMENTO!$W$15,ROW(BA237)-ROW(BA$15),0),15-13*ORÇAMENTO!$AF$11)),0)</f>
        <v>0</v>
      </c>
      <c r="BC237" s="181">
        <f ca="1">IF($D237&lt;&gt;"Serviço",0,IF(AND(AUTOEVENTO="Manual",$M237=1),0,IF(OFFSET(CRONOPLE!$F$14,$M237,BC$13)="",10^12,OFFSET(CRONOPLE!$F$14,$M237,BC$13))))</f>
        <v>0</v>
      </c>
      <c r="BD237" s="181">
        <f ca="1">IF($D237&lt;&gt;"Serviço",0,IF(AND(AUTOEVENTO="Manual",$M237=1),0,IF(OFFSET(CRONOPLE!$F$14,$M237,BD$13)="",10^12,OFFSET(CRONOPLE!$F$14,$M237,BD$13))))</f>
        <v>0</v>
      </c>
      <c r="BE237" s="181">
        <f ca="1">IF($D237&lt;&gt;"Serviço",0,IF(AND(AUTOEVENTO="Manual",$M237=1),0,IF(OFFSET(CRONOPLE!$F$14,$M237,BE$13)="",10^12,OFFSET(CRONOPLE!$F$14,$M237,BE$13))))</f>
        <v>0</v>
      </c>
      <c r="BF237" s="181">
        <f ca="1">IF($D237&lt;&gt;"Serviço",0,IF(AND(AUTOEVENTO="Manual",$M237=1),0,IF(OFFSET(CRONOPLE!$F$14,$M237,BF$13)="",10^12,OFFSET(CRONOPLE!$F$14,$M237,BF$13))))</f>
        <v>0</v>
      </c>
      <c r="BG237" s="181">
        <f ca="1">IF($D237&lt;&gt;"Serviço",0,IF(AND(AUTOEVENTO="Manual",$M237=1),0,IF(OFFSET(CRONOPLE!$F$14,$M237,BG$13)="",10^12,OFFSET(CRONOPLE!$F$14,$M237,BG$13))))</f>
        <v>0</v>
      </c>
      <c r="BH237" s="181">
        <f ca="1">IF($D237&lt;&gt;"Serviço",0,IF(AND(AUTOEVENTO="Manual",$M237=1),0,IF(OFFSET(CRONOPLE!$F$14,$M237,BH$13)="",10^12,OFFSET(CRONOPLE!$F$14,$M237,BH$13))))</f>
        <v>0</v>
      </c>
      <c r="BI237" s="181">
        <f ca="1">IF($D237&lt;&gt;"Serviço",0,IF(AND(AUTOEVENTO="Manual",$M237=1),0,IF(OFFSET(CRONOPLE!$F$14,$M237,BI$13)="",10^12,OFFSET(CRONOPLE!$F$14,$M237,BI$13))))</f>
        <v>0</v>
      </c>
      <c r="BJ237" s="181">
        <f ca="1">IF($D237&lt;&gt;"Serviço",0,IF(AND(AUTOEVENTO="Manual",$M237=1),0,IF(OFFSET(CRONOPLE!$F$14,$M237,BJ$13)="",10^12,OFFSET(CRONOPLE!$F$14,$M237,BJ$13))))</f>
        <v>0</v>
      </c>
      <c r="BK237" s="181">
        <f ca="1">IF($D237&lt;&gt;"Serviço",0,IF(AND(AUTOEVENTO="Manual",$M237=1),0,IF(OFFSET(CRONOPLE!$F$14,$M237,BK$13)="",10^12,OFFSET(CRONOPLE!$F$14,$M237,BK$13))))</f>
        <v>0</v>
      </c>
      <c r="BL237" s="181">
        <f ca="1">IF($D237&lt;&gt;"Serviço",0,IF(AND(AUTOEVENTO="Manual",$M237=1),0,IF(OFFSET(CRONOPLE!$F$14,$M237,BL$13)="",10^12,OFFSET(CRONOPLE!$F$14,$M237,BL$13))))</f>
        <v>0</v>
      </c>
      <c r="BM237" s="181">
        <f ca="1">IF($D237&lt;&gt;"Serviço",0,IF(AND(AUTOEVENTO="Manual",$M237=1),0,IF(OFFSET(CRONOPLE!$F$14,$M237,BM$13)="",10^12,OFFSET(CRONOPLE!$F$14,$M237,BM$13))))</f>
        <v>0</v>
      </c>
      <c r="BN237" s="181">
        <f ca="1">IF($D237&lt;&gt;"Serviço",0,IF(AND(AUTOEVENTO="Manual",$M237=1),0,IF(OFFSET(CRONOPLE!$F$14,$M237,BN$13)="",10^12,OFFSET(CRONOPLE!$F$14,$M237,BN$13))))</f>
        <v>0</v>
      </c>
      <c r="BO237" s="181">
        <f ca="1">IF($D237&lt;&gt;"Serviço",0,IF(AND(AUTOEVENTO="Manual",$M237=1),0,IF(OFFSET(CRONOPLE!$F$14,$M237,BO$13)="",10^12,OFFSET(CRONOPLE!$F$14,$M237,BO$13))))</f>
        <v>0</v>
      </c>
      <c r="BP237" s="181">
        <f ca="1">IF($D237&lt;&gt;"Serviço",0,IF(AND(AUTOEVENTO="Manual",$M237=1),0,IF(OFFSET(CRONOPLE!$F$14,$M237,BP$13)="",10^12,OFFSET(CRONOPLE!$F$14,$M237,BP$13))))</f>
        <v>0</v>
      </c>
      <c r="BQ237" s="181">
        <f ca="1">IF($D237&lt;&gt;"Serviço",0,IF(AND(AUTOEVENTO="Manual",$M237=1),0,IF(OFFSET(CRONOPLE!$F$14,$M237,BQ$13)="",10^12,OFFSET(CRONOPLE!$F$14,$M237,BQ$13))))</f>
        <v>0</v>
      </c>
      <c r="BR237" s="181">
        <f ca="1">IF($D237&lt;&gt;"Serviço",0,IF(AND(AUTOEVENTO="Manual",$M237=1),0,IF(OFFSET(CRONOPLE!$F$14,$M237,BR$13)="",10^12,OFFSET(CRONOPLE!$F$14,$M237,BR$13))))</f>
        <v>0</v>
      </c>
      <c r="BS237" s="181">
        <f ca="1">IF($D237&lt;&gt;"Serviço",0,IF(AND(AUTOEVENTO="Manual",$M237=1),0,IF(OFFSET(CRONOPLE!$F$14,$M237,BS$13)="",10^12,OFFSET(CRONOPLE!$F$14,$M237,BS$13))))</f>
        <v>0</v>
      </c>
      <c r="BT237" s="181">
        <f ca="1">IF($D237&lt;&gt;"Serviço",0,IF(AND(AUTOEVENTO="Manual",$M237=1),0,IF(OFFSET(CRONOPLE!$F$14,$M237,BT$13)="",10^12,OFFSET(CRONOPLE!$F$14,$M237,BT$13))))</f>
        <v>0</v>
      </c>
      <c r="BV237" s="182">
        <f ca="1">IF($D237&lt;&gt;"Serviço",0,IF(OR(AND(AUTOEVENTO="Manual",$M237=1),$M237&gt;(ROW(PLE.lastrow)-ROW(PLE.firstrow))),0,IF(OFFSET(PLE!$G$14,$M237,BV$13)="",10^12,OFFSET(PLE!$G$14,$M237,BV$13))))</f>
        <v>0</v>
      </c>
      <c r="BW237" s="182">
        <f ca="1">IF($D237&lt;&gt;"Serviço",0,IF(OR(AND(AUTOEVENTO="Manual",$M237=1),$M237&gt;(ROW(PLE.lastrow)-ROW(PLE.firstrow))),0,IF(OFFSET(PLE!$G$14,$M237,BW$13)="",10^12,OFFSET(PLE!$G$14,$M237,BW$13))))</f>
        <v>0</v>
      </c>
      <c r="BX237" s="182">
        <f ca="1">IF($D237&lt;&gt;"Serviço",0,IF(OR(AND(AUTOEVENTO="Manual",$M237=1),$M237&gt;(ROW(PLE.lastrow)-ROW(PLE.firstrow))),0,IF(OFFSET(PLE!$G$14,$M237,BX$13)="",10^12,OFFSET(PLE!$G$14,$M237,BX$13))))</f>
        <v>0</v>
      </c>
      <c r="BY237" s="182">
        <f ca="1">IF($D237&lt;&gt;"Serviço",0,IF(OR(AND(AUTOEVENTO="Manual",$M237=1),$M237&gt;(ROW(PLE.lastrow)-ROW(PLE.firstrow))),0,IF(OFFSET(PLE!$G$14,$M237,BY$13)="",10^12,OFFSET(PLE!$G$14,$M237,BY$13))))</f>
        <v>0</v>
      </c>
      <c r="BZ237" s="182">
        <f ca="1">IF($D237&lt;&gt;"Serviço",0,IF(OR(AND(AUTOEVENTO="Manual",$M237=1),$M237&gt;(ROW(PLE.lastrow)-ROW(PLE.firstrow))),0,IF(OFFSET(PLE!$G$14,$M237,BZ$13)="",10^12,OFFSET(PLE!$G$14,$M237,BZ$13))))</f>
        <v>0</v>
      </c>
      <c r="CA237" s="182">
        <f ca="1">IF($D237&lt;&gt;"Serviço",0,IF(OR(AND(AUTOEVENTO="Manual",$M237=1),$M237&gt;(ROW(PLE.lastrow)-ROW(PLE.firstrow))),0,IF(OFFSET(PLE!$G$14,$M237,CA$13)="",10^12,OFFSET(PLE!$G$14,$M237,CA$13))))</f>
        <v>0</v>
      </c>
      <c r="CB237" s="182">
        <f ca="1">IF($D237&lt;&gt;"Serviço",0,IF(OR(AND(AUTOEVENTO="Manual",$M237=1),$M237&gt;(ROW(PLE.lastrow)-ROW(PLE.firstrow))),0,IF(OFFSET(PLE!$G$14,$M237,CB$13)="",10^12,OFFSET(PLE!$G$14,$M237,CB$13))))</f>
        <v>0</v>
      </c>
      <c r="CC237" s="182">
        <f ca="1">IF($D237&lt;&gt;"Serviço",0,IF(OR(AND(AUTOEVENTO="Manual",$M237=1),$M237&gt;(ROW(PLE.lastrow)-ROW(PLE.firstrow))),0,IF(OFFSET(PLE!$G$14,$M237,CC$13)="",10^12,OFFSET(PLE!$G$14,$M237,CC$13))))</f>
        <v>0</v>
      </c>
      <c r="CD237" s="182">
        <f ca="1">IF($D237&lt;&gt;"Serviço",0,IF(OR(AND(AUTOEVENTO="Manual",$M237=1),$M237&gt;(ROW(PLE.lastrow)-ROW(PLE.firstrow))),0,IF(OFFSET(PLE!$G$14,$M237,CD$13)="",10^12,OFFSET(PLE!$G$14,$M237,CD$13))))</f>
        <v>0</v>
      </c>
      <c r="CE237" s="182">
        <f ca="1">IF($D237&lt;&gt;"Serviço",0,IF(OR(AND(AUTOEVENTO="Manual",$M237=1),$M237&gt;(ROW(PLE.lastrow)-ROW(PLE.firstrow))),0,IF(OFFSET(PLE!$G$14,$M237,CE$13)="",10^12,OFFSET(PLE!$G$14,$M237,CE$13))))</f>
        <v>0</v>
      </c>
      <c r="CF237" s="182">
        <f ca="1">IF($D237&lt;&gt;"Serviço",0,IF(OR(AND(AUTOEVENTO="Manual",$M237=1),$M237&gt;(ROW(PLE.lastrow)-ROW(PLE.firstrow))),0,IF(OFFSET(PLE!$G$14,$M237,CF$13)="",10^12,OFFSET(PLE!$G$14,$M237,CF$13))))</f>
        <v>0</v>
      </c>
      <c r="CG237" s="182">
        <f ca="1">IF($D237&lt;&gt;"Serviço",0,IF(OR(AND(AUTOEVENTO="Manual",$M237=1),$M237&gt;(ROW(PLE.lastrow)-ROW(PLE.firstrow))),0,IF(OFFSET(PLE!$G$14,$M237,CG$13)="",10^12,OFFSET(PLE!$G$14,$M237,CG$13))))</f>
        <v>0</v>
      </c>
      <c r="CH237" s="182">
        <f ca="1">IF($D237&lt;&gt;"Serviço",0,IF(OR(AND(AUTOEVENTO="Manual",$M237=1),$M237&gt;(ROW(PLE.lastrow)-ROW(PLE.firstrow))),0,IF(OFFSET(PLE!$G$14,$M237,CH$13)="",10^12,OFFSET(PLE!$G$14,$M237,CH$13))))</f>
        <v>0</v>
      </c>
      <c r="CI237" s="182">
        <f ca="1">IF($D237&lt;&gt;"Serviço",0,IF(OR(AND(AUTOEVENTO="Manual",$M237=1),$M237&gt;(ROW(PLE.lastrow)-ROW(PLE.firstrow))),0,IF(OFFSET(PLE!$G$14,$M237,CI$13)="",10^12,OFFSET(PLE!$G$14,$M237,CI$13))))</f>
        <v>0</v>
      </c>
      <c r="CJ237" s="182">
        <f ca="1">IF($D237&lt;&gt;"Serviço",0,IF(OR(AND(AUTOEVENTO="Manual",$M237=1),$M237&gt;(ROW(PLE.lastrow)-ROW(PLE.firstrow))),0,IF(OFFSET(PLE!$G$14,$M237,CJ$13)="",10^12,OFFSET(PLE!$G$14,$M237,CJ$13))))</f>
        <v>0</v>
      </c>
      <c r="CK237" s="182">
        <f ca="1">IF($D237&lt;&gt;"Serviço",0,IF(OR(AND(AUTOEVENTO="Manual",$M237=1),$M237&gt;(ROW(PLE.lastrow)-ROW(PLE.firstrow))),0,IF(OFFSET(PLE!$G$14,$M237,CK$13)="",10^12,OFFSET(PLE!$G$14,$M237,CK$13))))</f>
        <v>0</v>
      </c>
      <c r="CL237" s="182">
        <f ca="1">IF($D237&lt;&gt;"Serviço",0,IF(OR(AND(AUTOEVENTO="Manual",$M237=1),$M237&gt;(ROW(PLE.lastrow)-ROW(PLE.firstrow))),0,IF(OFFSET(PLE!$G$14,$M237,CL$13)="",10^12,OFFSET(PLE!$G$14,$M237,CL$13))))</f>
        <v>0</v>
      </c>
      <c r="CM237" s="182">
        <f ca="1">IF($D237&lt;&gt;"Serviço",0,IF(OR(AND(AUTOEVENTO="Manual",$M237=1),$M237&gt;(ROW(PLE.lastrow)-ROW(PLE.firstrow))),0,IF(OFFSET(PLE!$G$14,$M237,CM$13)="",10^12,OFFSET(PLE!$G$14,$M237,CM$13))))</f>
        <v>0</v>
      </c>
    </row>
    <row r="238" spans="1:91" ht="25.5" x14ac:dyDescent="0.2">
      <c r="A238" s="7" t="str">
        <f t="shared" ca="1" si="12"/>
        <v>222</v>
      </c>
      <c r="B238" s="7" t="str">
        <f ca="1">OFFSET(ORÇAMENTO!C$15,ROW(B238)-ROW(B$15),0)</f>
        <v>S</v>
      </c>
      <c r="C238" s="7" t="str">
        <f ca="1">OFFSET(ORÇAMENTO!L$15,ROW(C238)-ROW(C$15),0)</f>
        <v/>
      </c>
      <c r="D238" s="118" t="str">
        <f ca="1">OFFSET(ORÇAMENTO!N$15,ROW(D238)-ROW(D$15),0)</f>
        <v>Serviço</v>
      </c>
      <c r="E238" s="119" t="str">
        <f ca="1">OFFSET(ORÇAMENTO!O$15,ROW(E238)-ROW(E$15),0)</f>
        <v>-</v>
      </c>
      <c r="F238" s="172" t="str">
        <f ca="1">OFFSET(ORÇAMENTO!R$15,ROW(F238)-ROW(F$15),0)</f>
        <v>(abra o arquivo 'Referência 06-2024.xlsm)</v>
      </c>
      <c r="G238" s="173" t="str">
        <f ca="1">IF($D238&lt;&gt;"Serviço","",OFFSET(ORÇAMENTO!S$15,ROW(G238)-ROW(G$15),0))</f>
        <v>-</v>
      </c>
      <c r="H238" s="124">
        <f ca="1">IF($D238&lt;&gt;"Serviço",0,IF(ACOMPANHAMENTO="BM",ROUND(OFFSET(ORÇAMENTO!AJ$15,ROW(H238)-ROW(H$15),0),15-13*ORÇAMENTO!$AF$7),SUMPRODUCT(($Q$12:$AI$12&lt;&gt;"")*ROUND($Q238:$AI238,15-13*ORÇAMENTO!$AF$7))))</f>
        <v>4.47</v>
      </c>
      <c r="I238" s="561" t="s">
        <v>1107</v>
      </c>
      <c r="K238" s="174"/>
      <c r="L238" s="175" t="s">
        <v>255</v>
      </c>
      <c r="M238" s="176">
        <f ca="1">IF($D238&lt;&gt;"Serviço","",IF(AUTOEVENTO="manual",$A238,IF(ISERROR(MATCH($A238,$A$15:OFFSET($A238,-1,0),0)),MAX($M$15:OFFSET(M238,-1,0))+1,INDEX($M$15:OFFSET(M238,-1,0),MATCH($A238,$A$15:OFFSET($A238,-1,0),0)))))</f>
        <v>33</v>
      </c>
      <c r="N238" s="177" t="str">
        <f ca="1">IF($D238&lt;&gt;"Serviço","",IF(AUTOEVENTO="Manual",IF($A238=0,"&lt;-- defina o número do agrupador",OFFSET(EVENTOS!$D$14,$A238,0)),OFFSET($F$15,$A238,0)))</f>
        <v>PINTURAS E ACABAMENTOS - PISO PLAYGROUND</v>
      </c>
      <c r="O238" s="178"/>
      <c r="Q238" s="178">
        <v>4.47</v>
      </c>
      <c r="R238" s="179"/>
      <c r="S238" s="179"/>
      <c r="T238" s="179"/>
      <c r="U238" s="179"/>
      <c r="V238" s="179"/>
      <c r="W238" s="179"/>
      <c r="X238" s="179"/>
      <c r="Y238" s="179"/>
      <c r="Z238" s="180"/>
      <c r="AA238" s="179"/>
      <c r="AB238" s="179"/>
      <c r="AC238" s="179"/>
      <c r="AD238" s="179"/>
      <c r="AE238" s="179"/>
      <c r="AF238" s="179"/>
      <c r="AG238" s="179"/>
      <c r="AH238" s="180"/>
      <c r="AJ238" s="544">
        <f ca="1">IF(AND($D238="Serviço",AJ$12&lt;&gt;0,$H238&gt;0,OR(AUTOEVENTO&lt;&gt;"manual",$M238&lt;&gt;1)),
IF(Import.TipoArredondamento&lt;&gt;"TransfereGOV",
ROUND(OFFSET($P238,0,AJ$13),15-13*ORÇAMENTO!$AF$7)/$H238*OFFSET(ORÇAMENTO!$X$15,ROW(AJ238)-ROW(AJ$15),0),
ROUND(ROUND(OFFSET($P238,0,AJ$13),15-13*ORÇAMENTO!$AF$7)*OFFSET(ORÇAMENTO!$W$15,ROW(AJ238)-ROW(AJ$15),0),15-13*ORÇAMENTO!$AF$11)),0)</f>
        <v>0</v>
      </c>
      <c r="AK238" s="545">
        <f ca="1">IF(AND($D238="Serviço",AK$12&lt;&gt;0,$H238&gt;0,OR(AUTOEVENTO&lt;&gt;"manual",$M238&lt;&gt;1)),
IF(Import.TipoArredondamento&lt;&gt;"TransfereGOV",
ROUND(OFFSET($P238,0,AK$13),15-13*ORÇAMENTO!$AF$7)/$H238*OFFSET(ORÇAMENTO!$X$15,ROW(AK238)-ROW(AK$15),0),
ROUND(ROUND(OFFSET($P238,0,AK$13),15-13*ORÇAMENTO!$AF$7)*OFFSET(ORÇAMENTO!$W$15,ROW(AK238)-ROW(AK$15),0),15-13*ORÇAMENTO!$AF$11)),0)</f>
        <v>0</v>
      </c>
      <c r="AL238" s="545">
        <f ca="1">IF(AND($D238="Serviço",AL$12&lt;&gt;0,$H238&gt;0,OR(AUTOEVENTO&lt;&gt;"manual",$M238&lt;&gt;1)),
IF(Import.TipoArredondamento&lt;&gt;"TransfereGOV",
ROUND(OFFSET($P238,0,AL$13),15-13*ORÇAMENTO!$AF$7)/$H238*OFFSET(ORÇAMENTO!$X$15,ROW(AL238)-ROW(AL$15),0),
ROUND(ROUND(OFFSET($P238,0,AL$13),15-13*ORÇAMENTO!$AF$7)*OFFSET(ORÇAMENTO!$W$15,ROW(AL238)-ROW(AL$15),0),15-13*ORÇAMENTO!$AF$11)),0)</f>
        <v>0</v>
      </c>
      <c r="AM238" s="545">
        <f ca="1">IF(AND($D238="Serviço",AM$12&lt;&gt;0,$H238&gt;0,OR(AUTOEVENTO&lt;&gt;"manual",$M238&lt;&gt;1)),
IF(Import.TipoArredondamento&lt;&gt;"TransfereGOV",
ROUND(OFFSET($P238,0,AM$13),15-13*ORÇAMENTO!$AF$7)/$H238*OFFSET(ORÇAMENTO!$X$15,ROW(AM238)-ROW(AM$15),0),
ROUND(ROUND(OFFSET($P238,0,AM$13),15-13*ORÇAMENTO!$AF$7)*OFFSET(ORÇAMENTO!$W$15,ROW(AM238)-ROW(AM$15),0),15-13*ORÇAMENTO!$AF$11)),0)</f>
        <v>0</v>
      </c>
      <c r="AN238" s="545">
        <f ca="1">IF(AND($D238="Serviço",AN$12&lt;&gt;0,$H238&gt;0,OR(AUTOEVENTO&lt;&gt;"manual",$M238&lt;&gt;1)),
IF(Import.TipoArredondamento&lt;&gt;"TransfereGOV",
ROUND(OFFSET($P238,0,AN$13),15-13*ORÇAMENTO!$AF$7)/$H238*OFFSET(ORÇAMENTO!$X$15,ROW(AN238)-ROW(AN$15),0),
ROUND(ROUND(OFFSET($P238,0,AN$13),15-13*ORÇAMENTO!$AF$7)*OFFSET(ORÇAMENTO!$W$15,ROW(AN238)-ROW(AN$15),0),15-13*ORÇAMENTO!$AF$11)),0)</f>
        <v>0</v>
      </c>
      <c r="AO238" s="545">
        <f ca="1">IF(AND($D238="Serviço",AO$12&lt;&gt;0,$H238&gt;0,OR(AUTOEVENTO&lt;&gt;"manual",$M238&lt;&gt;1)),
IF(Import.TipoArredondamento&lt;&gt;"TransfereGOV",
ROUND(OFFSET($P238,0,AO$13),15-13*ORÇAMENTO!$AF$7)/$H238*OFFSET(ORÇAMENTO!$X$15,ROW(AO238)-ROW(AO$15),0),
ROUND(ROUND(OFFSET($P238,0,AO$13),15-13*ORÇAMENTO!$AF$7)*OFFSET(ORÇAMENTO!$W$15,ROW(AO238)-ROW(AO$15),0),15-13*ORÇAMENTO!$AF$11)),0)</f>
        <v>0</v>
      </c>
      <c r="AP238" s="545">
        <f ca="1">IF(AND($D238="Serviço",AP$12&lt;&gt;0,$H238&gt;0,OR(AUTOEVENTO&lt;&gt;"manual",$M238&lt;&gt;1)),
IF(Import.TipoArredondamento&lt;&gt;"TransfereGOV",
ROUND(OFFSET($P238,0,AP$13),15-13*ORÇAMENTO!$AF$7)/$H238*OFFSET(ORÇAMENTO!$X$15,ROW(AP238)-ROW(AP$15),0),
ROUND(ROUND(OFFSET($P238,0,AP$13),15-13*ORÇAMENTO!$AF$7)*OFFSET(ORÇAMENTO!$W$15,ROW(AP238)-ROW(AP$15),0),15-13*ORÇAMENTO!$AF$11)),0)</f>
        <v>0</v>
      </c>
      <c r="AQ238" s="545">
        <f ca="1">IF(AND($D238="Serviço",AQ$12&lt;&gt;0,$H238&gt;0,OR(AUTOEVENTO&lt;&gt;"manual",$M238&lt;&gt;1)),
IF(Import.TipoArredondamento&lt;&gt;"TransfereGOV",
ROUND(OFFSET($P238,0,AQ$13),15-13*ORÇAMENTO!$AF$7)/$H238*OFFSET(ORÇAMENTO!$X$15,ROW(AQ238)-ROW(AQ$15),0),
ROUND(ROUND(OFFSET($P238,0,AQ$13),15-13*ORÇAMENTO!$AF$7)*OFFSET(ORÇAMENTO!$W$15,ROW(AQ238)-ROW(AQ$15),0),15-13*ORÇAMENTO!$AF$11)),0)</f>
        <v>0</v>
      </c>
      <c r="AR238" s="545">
        <f ca="1">IF(AND($D238="Serviço",AR$12&lt;&gt;0,$H238&gt;0,OR(AUTOEVENTO&lt;&gt;"manual",$M238&lt;&gt;1)),
IF(Import.TipoArredondamento&lt;&gt;"TransfereGOV",
ROUND(OFFSET($P238,0,AR$13),15-13*ORÇAMENTO!$AF$7)/$H238*OFFSET(ORÇAMENTO!$X$15,ROW(AR238)-ROW(AR$15),0),
ROUND(ROUND(OFFSET($P238,0,AR$13),15-13*ORÇAMENTO!$AF$7)*OFFSET(ORÇAMENTO!$W$15,ROW(AR238)-ROW(AR$15),0),15-13*ORÇAMENTO!$AF$11)),0)</f>
        <v>0</v>
      </c>
      <c r="AS238" s="546">
        <f ca="1">IF(AND($D238="Serviço",AS$12&lt;&gt;0,$H238&gt;0,OR(AUTOEVENTO&lt;&gt;"manual",$M238&lt;&gt;1)),
IF(Import.TipoArredondamento&lt;&gt;"TransfereGOV",
ROUND(OFFSET($P238,0,AS$13),15-13*ORÇAMENTO!$AF$7)/$H238*OFFSET(ORÇAMENTO!$X$15,ROW(AS238)-ROW(AS$15),0),
ROUND(ROUND(OFFSET($P238,0,AS$13),15-13*ORÇAMENTO!$AF$7)*OFFSET(ORÇAMENTO!$W$15,ROW(AS238)-ROW(AS$15),0),15-13*ORÇAMENTO!$AF$11)),0)</f>
        <v>0</v>
      </c>
      <c r="AT238" s="545">
        <f ca="1">IF(AND($D238="Serviço",AT$12&lt;&gt;0,$H238&gt;0,OR(AUTOEVENTO&lt;&gt;"manual",$M238&lt;&gt;1)),
IF(Import.TipoArredondamento&lt;&gt;"TransfereGOV",
ROUND(OFFSET($P238,0,AT$13),15-13*ORÇAMENTO!$AF$7)/$H238*OFFSET(ORÇAMENTO!$X$15,ROW(AT238)-ROW(AT$15),0),
ROUND(ROUND(OFFSET($P238,0,AT$13),15-13*ORÇAMENTO!$AF$7)*OFFSET(ORÇAMENTO!$W$15,ROW(AT238)-ROW(AT$15),0),15-13*ORÇAMENTO!$AF$11)),0)</f>
        <v>0</v>
      </c>
      <c r="AU238" s="545">
        <f ca="1">IF(AND($D238="Serviço",AU$12&lt;&gt;0,$H238&gt;0,OR(AUTOEVENTO&lt;&gt;"manual",$M238&lt;&gt;1)),
IF(Import.TipoArredondamento&lt;&gt;"TransfereGOV",
ROUND(OFFSET($P238,0,AU$13),15-13*ORÇAMENTO!$AF$7)/$H238*OFFSET(ORÇAMENTO!$X$15,ROW(AU238)-ROW(AU$15),0),
ROUND(ROUND(OFFSET($P238,0,AU$13),15-13*ORÇAMENTO!$AF$7)*OFFSET(ORÇAMENTO!$W$15,ROW(AU238)-ROW(AU$15),0),15-13*ORÇAMENTO!$AF$11)),0)</f>
        <v>0</v>
      </c>
      <c r="AV238" s="545">
        <f ca="1">IF(AND($D238="Serviço",AV$12&lt;&gt;0,$H238&gt;0,OR(AUTOEVENTO&lt;&gt;"manual",$M238&lt;&gt;1)),
IF(Import.TipoArredondamento&lt;&gt;"TransfereGOV",
ROUND(OFFSET($P238,0,AV$13),15-13*ORÇAMENTO!$AF$7)/$H238*OFFSET(ORÇAMENTO!$X$15,ROW(AV238)-ROW(AV$15),0),
ROUND(ROUND(OFFSET($P238,0,AV$13),15-13*ORÇAMENTO!$AF$7)*OFFSET(ORÇAMENTO!$W$15,ROW(AV238)-ROW(AV$15),0),15-13*ORÇAMENTO!$AF$11)),0)</f>
        <v>0</v>
      </c>
      <c r="AW238" s="545">
        <f ca="1">IF(AND($D238="Serviço",AW$12&lt;&gt;0,$H238&gt;0,OR(AUTOEVENTO&lt;&gt;"manual",$M238&lt;&gt;1)),
IF(Import.TipoArredondamento&lt;&gt;"TransfereGOV",
ROUND(OFFSET($P238,0,AW$13),15-13*ORÇAMENTO!$AF$7)/$H238*OFFSET(ORÇAMENTO!$X$15,ROW(AW238)-ROW(AW$15),0),
ROUND(ROUND(OFFSET($P238,0,AW$13),15-13*ORÇAMENTO!$AF$7)*OFFSET(ORÇAMENTO!$W$15,ROW(AW238)-ROW(AW$15),0),15-13*ORÇAMENTO!$AF$11)),0)</f>
        <v>0</v>
      </c>
      <c r="AX238" s="545">
        <f ca="1">IF(AND($D238="Serviço",AX$12&lt;&gt;0,$H238&gt;0,OR(AUTOEVENTO&lt;&gt;"manual",$M238&lt;&gt;1)),
IF(Import.TipoArredondamento&lt;&gt;"TransfereGOV",
ROUND(OFFSET($P238,0,AX$13),15-13*ORÇAMENTO!$AF$7)/$H238*OFFSET(ORÇAMENTO!$X$15,ROW(AX238)-ROW(AX$15),0),
ROUND(ROUND(OFFSET($P238,0,AX$13),15-13*ORÇAMENTO!$AF$7)*OFFSET(ORÇAMENTO!$W$15,ROW(AX238)-ROW(AX$15),0),15-13*ORÇAMENTO!$AF$11)),0)</f>
        <v>0</v>
      </c>
      <c r="AY238" s="545">
        <f ca="1">IF(AND($D238="Serviço",AY$12&lt;&gt;0,$H238&gt;0,OR(AUTOEVENTO&lt;&gt;"manual",$M238&lt;&gt;1)),
IF(Import.TipoArredondamento&lt;&gt;"TransfereGOV",
ROUND(OFFSET($P238,0,AY$13),15-13*ORÇAMENTO!$AF$7)/$H238*OFFSET(ORÇAMENTO!$X$15,ROW(AY238)-ROW(AY$15),0),
ROUND(ROUND(OFFSET($P238,0,AY$13),15-13*ORÇAMENTO!$AF$7)*OFFSET(ORÇAMENTO!$W$15,ROW(AY238)-ROW(AY$15),0),15-13*ORÇAMENTO!$AF$11)),0)</f>
        <v>0</v>
      </c>
      <c r="AZ238" s="545">
        <f ca="1">IF(AND($D238="Serviço",AZ$12&lt;&gt;0,$H238&gt;0,OR(AUTOEVENTO&lt;&gt;"manual",$M238&lt;&gt;1)),
IF(Import.TipoArredondamento&lt;&gt;"TransfereGOV",
ROUND(OFFSET($P238,0,AZ$13),15-13*ORÇAMENTO!$AF$7)/$H238*OFFSET(ORÇAMENTO!$X$15,ROW(AZ238)-ROW(AZ$15),0),
ROUND(ROUND(OFFSET($P238,0,AZ$13),15-13*ORÇAMENTO!$AF$7)*OFFSET(ORÇAMENTO!$W$15,ROW(AZ238)-ROW(AZ$15),0),15-13*ORÇAMENTO!$AF$11)),0)</f>
        <v>0</v>
      </c>
      <c r="BA238" s="546">
        <f ca="1">IF(AND($D238="Serviço",BA$12&lt;&gt;0,$H238&gt;0,OR(AUTOEVENTO&lt;&gt;"manual",$M238&lt;&gt;1)),
IF(Import.TipoArredondamento&lt;&gt;"TransfereGOV",
ROUND(OFFSET($P238,0,BA$13),15-13*ORÇAMENTO!$AF$7)/$H238*OFFSET(ORÇAMENTO!$X$15,ROW(BA238)-ROW(BA$15),0),
ROUND(ROUND(OFFSET($P238,0,BA$13),15-13*ORÇAMENTO!$AF$7)*OFFSET(ORÇAMENTO!$W$15,ROW(BA238)-ROW(BA$15),0),15-13*ORÇAMENTO!$AF$11)),0)</f>
        <v>0</v>
      </c>
      <c r="BC238" s="181">
        <f ca="1">IF($D238&lt;&gt;"Serviço",0,IF(AND(AUTOEVENTO="Manual",$M238=1),0,IF(OFFSET(CRONOPLE!$F$14,$M238,BC$13)="",10^12,OFFSET(CRONOPLE!$F$14,$M238,BC$13))))</f>
        <v>9</v>
      </c>
      <c r="BD238" s="181">
        <f ca="1">IF($D238&lt;&gt;"Serviço",0,IF(AND(AUTOEVENTO="Manual",$M238=1),0,IF(OFFSET(CRONOPLE!$F$14,$M238,BD$13)="",10^12,OFFSET(CRONOPLE!$F$14,$M238,BD$13))))</f>
        <v>1000000000000</v>
      </c>
      <c r="BE238" s="181">
        <f ca="1">IF($D238&lt;&gt;"Serviço",0,IF(AND(AUTOEVENTO="Manual",$M238=1),0,IF(OFFSET(CRONOPLE!$F$14,$M238,BE$13)="",10^12,OFFSET(CRONOPLE!$F$14,$M238,BE$13))))</f>
        <v>1000000000000</v>
      </c>
      <c r="BF238" s="181">
        <f ca="1">IF($D238&lt;&gt;"Serviço",0,IF(AND(AUTOEVENTO="Manual",$M238=1),0,IF(OFFSET(CRONOPLE!$F$14,$M238,BF$13)="",10^12,OFFSET(CRONOPLE!$F$14,$M238,BF$13))))</f>
        <v>1000000000000</v>
      </c>
      <c r="BG238" s="181">
        <f ca="1">IF($D238&lt;&gt;"Serviço",0,IF(AND(AUTOEVENTO="Manual",$M238=1),0,IF(OFFSET(CRONOPLE!$F$14,$M238,BG$13)="",10^12,OFFSET(CRONOPLE!$F$14,$M238,BG$13))))</f>
        <v>1000000000000</v>
      </c>
      <c r="BH238" s="181">
        <f ca="1">IF($D238&lt;&gt;"Serviço",0,IF(AND(AUTOEVENTO="Manual",$M238=1),0,IF(OFFSET(CRONOPLE!$F$14,$M238,BH$13)="",10^12,OFFSET(CRONOPLE!$F$14,$M238,BH$13))))</f>
        <v>1000000000000</v>
      </c>
      <c r="BI238" s="181">
        <f ca="1">IF($D238&lt;&gt;"Serviço",0,IF(AND(AUTOEVENTO="Manual",$M238=1),0,IF(OFFSET(CRONOPLE!$F$14,$M238,BI$13)="",10^12,OFFSET(CRONOPLE!$F$14,$M238,BI$13))))</f>
        <v>1000000000000</v>
      </c>
      <c r="BJ238" s="181">
        <f ca="1">IF($D238&lt;&gt;"Serviço",0,IF(AND(AUTOEVENTO="Manual",$M238=1),0,IF(OFFSET(CRONOPLE!$F$14,$M238,BJ$13)="",10^12,OFFSET(CRONOPLE!$F$14,$M238,BJ$13))))</f>
        <v>1000000000000</v>
      </c>
      <c r="BK238" s="181">
        <f ca="1">IF($D238&lt;&gt;"Serviço",0,IF(AND(AUTOEVENTO="Manual",$M238=1),0,IF(OFFSET(CRONOPLE!$F$14,$M238,BK$13)="",10^12,OFFSET(CRONOPLE!$F$14,$M238,BK$13))))</f>
        <v>1000000000000</v>
      </c>
      <c r="BL238" s="181">
        <f ca="1">IF($D238&lt;&gt;"Serviço",0,IF(AND(AUTOEVENTO="Manual",$M238=1),0,IF(OFFSET(CRONOPLE!$F$14,$M238,BL$13)="",10^12,OFFSET(CRONOPLE!$F$14,$M238,BL$13))))</f>
        <v>1000000000000</v>
      </c>
      <c r="BM238" s="181">
        <f ca="1">IF($D238&lt;&gt;"Serviço",0,IF(AND(AUTOEVENTO="Manual",$M238=1),0,IF(OFFSET(CRONOPLE!$F$14,$M238,BM$13)="",10^12,OFFSET(CRONOPLE!$F$14,$M238,BM$13))))</f>
        <v>1000000000000</v>
      </c>
      <c r="BN238" s="181">
        <f ca="1">IF($D238&lt;&gt;"Serviço",0,IF(AND(AUTOEVENTO="Manual",$M238=1),0,IF(OFFSET(CRONOPLE!$F$14,$M238,BN$13)="",10^12,OFFSET(CRONOPLE!$F$14,$M238,BN$13))))</f>
        <v>1000000000000</v>
      </c>
      <c r="BO238" s="181">
        <f ca="1">IF($D238&lt;&gt;"Serviço",0,IF(AND(AUTOEVENTO="Manual",$M238=1),0,IF(OFFSET(CRONOPLE!$F$14,$M238,BO$13)="",10^12,OFFSET(CRONOPLE!$F$14,$M238,BO$13))))</f>
        <v>1000000000000</v>
      </c>
      <c r="BP238" s="181">
        <f ca="1">IF($D238&lt;&gt;"Serviço",0,IF(AND(AUTOEVENTO="Manual",$M238=1),0,IF(OFFSET(CRONOPLE!$F$14,$M238,BP$13)="",10^12,OFFSET(CRONOPLE!$F$14,$M238,BP$13))))</f>
        <v>1000000000000</v>
      </c>
      <c r="BQ238" s="181">
        <f ca="1">IF($D238&lt;&gt;"Serviço",0,IF(AND(AUTOEVENTO="Manual",$M238=1),0,IF(OFFSET(CRONOPLE!$F$14,$M238,BQ$13)="",10^12,OFFSET(CRONOPLE!$F$14,$M238,BQ$13))))</f>
        <v>1000000000000</v>
      </c>
      <c r="BR238" s="181">
        <f ca="1">IF($D238&lt;&gt;"Serviço",0,IF(AND(AUTOEVENTO="Manual",$M238=1),0,IF(OFFSET(CRONOPLE!$F$14,$M238,BR$13)="",10^12,OFFSET(CRONOPLE!$F$14,$M238,BR$13))))</f>
        <v>1000000000000</v>
      </c>
      <c r="BS238" s="181">
        <f ca="1">IF($D238&lt;&gt;"Serviço",0,IF(AND(AUTOEVENTO="Manual",$M238=1),0,IF(OFFSET(CRONOPLE!$F$14,$M238,BS$13)="",10^12,OFFSET(CRONOPLE!$F$14,$M238,BS$13))))</f>
        <v>1000000000000</v>
      </c>
      <c r="BT238" s="181">
        <f ca="1">IF($D238&lt;&gt;"Serviço",0,IF(AND(AUTOEVENTO="Manual",$M238=1),0,IF(OFFSET(CRONOPLE!$F$14,$M238,BT$13)="",10^12,OFFSET(CRONOPLE!$F$14,$M238,BT$13))))</f>
        <v>1000000000000</v>
      </c>
      <c r="BV238" s="182">
        <f ca="1">IF($D238&lt;&gt;"Serviço",0,IF(OR(AND(AUTOEVENTO="Manual",$M238=1),$M238&gt;(ROW(PLE.lastrow)-ROW(PLE.firstrow))),0,IF(OFFSET(PLE!$G$14,$M238,BV$13)="",10^12,OFFSET(PLE!$G$14,$M238,BV$13))))</f>
        <v>1000000000000</v>
      </c>
      <c r="BW238" s="182">
        <f ca="1">IF($D238&lt;&gt;"Serviço",0,IF(OR(AND(AUTOEVENTO="Manual",$M238=1),$M238&gt;(ROW(PLE.lastrow)-ROW(PLE.firstrow))),0,IF(OFFSET(PLE!$G$14,$M238,BW$13)="",10^12,OFFSET(PLE!$G$14,$M238,BW$13))))</f>
        <v>1000000000000</v>
      </c>
      <c r="BX238" s="182">
        <f ca="1">IF($D238&lt;&gt;"Serviço",0,IF(OR(AND(AUTOEVENTO="Manual",$M238=1),$M238&gt;(ROW(PLE.lastrow)-ROW(PLE.firstrow))),0,IF(OFFSET(PLE!$G$14,$M238,BX$13)="",10^12,OFFSET(PLE!$G$14,$M238,BX$13))))</f>
        <v>1000000000000</v>
      </c>
      <c r="BY238" s="182">
        <f ca="1">IF($D238&lt;&gt;"Serviço",0,IF(OR(AND(AUTOEVENTO="Manual",$M238=1),$M238&gt;(ROW(PLE.lastrow)-ROW(PLE.firstrow))),0,IF(OFFSET(PLE!$G$14,$M238,BY$13)="",10^12,OFFSET(PLE!$G$14,$M238,BY$13))))</f>
        <v>1000000000000</v>
      </c>
      <c r="BZ238" s="182">
        <f ca="1">IF($D238&lt;&gt;"Serviço",0,IF(OR(AND(AUTOEVENTO="Manual",$M238=1),$M238&gt;(ROW(PLE.lastrow)-ROW(PLE.firstrow))),0,IF(OFFSET(PLE!$G$14,$M238,BZ$13)="",10^12,OFFSET(PLE!$G$14,$M238,BZ$13))))</f>
        <v>1000000000000</v>
      </c>
      <c r="CA238" s="182">
        <f ca="1">IF($D238&lt;&gt;"Serviço",0,IF(OR(AND(AUTOEVENTO="Manual",$M238=1),$M238&gt;(ROW(PLE.lastrow)-ROW(PLE.firstrow))),0,IF(OFFSET(PLE!$G$14,$M238,CA$13)="",10^12,OFFSET(PLE!$G$14,$M238,CA$13))))</f>
        <v>1000000000000</v>
      </c>
      <c r="CB238" s="182">
        <f ca="1">IF($D238&lt;&gt;"Serviço",0,IF(OR(AND(AUTOEVENTO="Manual",$M238=1),$M238&gt;(ROW(PLE.lastrow)-ROW(PLE.firstrow))),0,IF(OFFSET(PLE!$G$14,$M238,CB$13)="",10^12,OFFSET(PLE!$G$14,$M238,CB$13))))</f>
        <v>1000000000000</v>
      </c>
      <c r="CC238" s="182">
        <f ca="1">IF($D238&lt;&gt;"Serviço",0,IF(OR(AND(AUTOEVENTO="Manual",$M238=1),$M238&gt;(ROW(PLE.lastrow)-ROW(PLE.firstrow))),0,IF(OFFSET(PLE!$G$14,$M238,CC$13)="",10^12,OFFSET(PLE!$G$14,$M238,CC$13))))</f>
        <v>1000000000000</v>
      </c>
      <c r="CD238" s="182">
        <f ca="1">IF($D238&lt;&gt;"Serviço",0,IF(OR(AND(AUTOEVENTO="Manual",$M238=1),$M238&gt;(ROW(PLE.lastrow)-ROW(PLE.firstrow))),0,IF(OFFSET(PLE!$G$14,$M238,CD$13)="",10^12,OFFSET(PLE!$G$14,$M238,CD$13))))</f>
        <v>1000000000000</v>
      </c>
      <c r="CE238" s="182">
        <f ca="1">IF($D238&lt;&gt;"Serviço",0,IF(OR(AND(AUTOEVENTO="Manual",$M238=1),$M238&gt;(ROW(PLE.lastrow)-ROW(PLE.firstrow))),0,IF(OFFSET(PLE!$G$14,$M238,CE$13)="",10^12,OFFSET(PLE!$G$14,$M238,CE$13))))</f>
        <v>1000000000000</v>
      </c>
      <c r="CF238" s="182">
        <f ca="1">IF($D238&lt;&gt;"Serviço",0,IF(OR(AND(AUTOEVENTO="Manual",$M238=1),$M238&gt;(ROW(PLE.lastrow)-ROW(PLE.firstrow))),0,IF(OFFSET(PLE!$G$14,$M238,CF$13)="",10^12,OFFSET(PLE!$G$14,$M238,CF$13))))</f>
        <v>1000000000000</v>
      </c>
      <c r="CG238" s="182">
        <f ca="1">IF($D238&lt;&gt;"Serviço",0,IF(OR(AND(AUTOEVENTO="Manual",$M238=1),$M238&gt;(ROW(PLE.lastrow)-ROW(PLE.firstrow))),0,IF(OFFSET(PLE!$G$14,$M238,CG$13)="",10^12,OFFSET(PLE!$G$14,$M238,CG$13))))</f>
        <v>1000000000000</v>
      </c>
      <c r="CH238" s="182">
        <f ca="1">IF($D238&lt;&gt;"Serviço",0,IF(OR(AND(AUTOEVENTO="Manual",$M238=1),$M238&gt;(ROW(PLE.lastrow)-ROW(PLE.firstrow))),0,IF(OFFSET(PLE!$G$14,$M238,CH$13)="",10^12,OFFSET(PLE!$G$14,$M238,CH$13))))</f>
        <v>1000000000000</v>
      </c>
      <c r="CI238" s="182">
        <f ca="1">IF($D238&lt;&gt;"Serviço",0,IF(OR(AND(AUTOEVENTO="Manual",$M238=1),$M238&gt;(ROW(PLE.lastrow)-ROW(PLE.firstrow))),0,IF(OFFSET(PLE!$G$14,$M238,CI$13)="",10^12,OFFSET(PLE!$G$14,$M238,CI$13))))</f>
        <v>1000000000000</v>
      </c>
      <c r="CJ238" s="182">
        <f ca="1">IF($D238&lt;&gt;"Serviço",0,IF(OR(AND(AUTOEVENTO="Manual",$M238=1),$M238&gt;(ROW(PLE.lastrow)-ROW(PLE.firstrow))),0,IF(OFFSET(PLE!$G$14,$M238,CJ$13)="",10^12,OFFSET(PLE!$G$14,$M238,CJ$13))))</f>
        <v>1000000000000</v>
      </c>
      <c r="CK238" s="182">
        <f ca="1">IF($D238&lt;&gt;"Serviço",0,IF(OR(AND(AUTOEVENTO="Manual",$M238=1),$M238&gt;(ROW(PLE.lastrow)-ROW(PLE.firstrow))),0,IF(OFFSET(PLE!$G$14,$M238,CK$13)="",10^12,OFFSET(PLE!$G$14,$M238,CK$13))))</f>
        <v>1000000000000</v>
      </c>
      <c r="CL238" s="182">
        <f ca="1">IF($D238&lt;&gt;"Serviço",0,IF(OR(AND(AUTOEVENTO="Manual",$M238=1),$M238&gt;(ROW(PLE.lastrow)-ROW(PLE.firstrow))),0,IF(OFFSET(PLE!$G$14,$M238,CL$13)="",10^12,OFFSET(PLE!$G$14,$M238,CL$13))))</f>
        <v>1000000000000</v>
      </c>
      <c r="CM238" s="182">
        <f ca="1">IF($D238&lt;&gt;"Serviço",0,IF(OR(AND(AUTOEVENTO="Manual",$M238=1),$M238&gt;(ROW(PLE.lastrow)-ROW(PLE.firstrow))),0,IF(OFFSET(PLE!$G$14,$M238,CM$13)="",10^12,OFFSET(PLE!$G$14,$M238,CM$13))))</f>
        <v>1000000000000</v>
      </c>
    </row>
    <row r="239" spans="1:91" ht="25.5" x14ac:dyDescent="0.2">
      <c r="A239" s="7" t="str">
        <f t="shared" ca="1" si="12"/>
        <v>222</v>
      </c>
      <c r="B239" s="7" t="str">
        <f ca="1">OFFSET(ORÇAMENTO!C$15,ROW(B239)-ROW(B$15),0)</f>
        <v>S</v>
      </c>
      <c r="C239" s="7" t="str">
        <f ca="1">OFFSET(ORÇAMENTO!L$15,ROW(C239)-ROW(C$15),0)</f>
        <v/>
      </c>
      <c r="D239" s="118" t="str">
        <f ca="1">OFFSET(ORÇAMENTO!N$15,ROW(D239)-ROW(D$15),0)</f>
        <v>Serviço</v>
      </c>
      <c r="E239" s="119" t="str">
        <f ca="1">OFFSET(ORÇAMENTO!O$15,ROW(E239)-ROW(E$15),0)</f>
        <v>-</v>
      </c>
      <c r="F239" s="172" t="str">
        <f ca="1">OFFSET(ORÇAMENTO!R$15,ROW(F239)-ROW(F$15),0)</f>
        <v>(abra o arquivo 'Referência 06-2024.xlsm)</v>
      </c>
      <c r="G239" s="173" t="str">
        <f ca="1">IF($D239&lt;&gt;"Serviço","",OFFSET(ORÇAMENTO!S$15,ROW(G239)-ROW(G$15),0))</f>
        <v>-</v>
      </c>
      <c r="H239" s="124">
        <f ca="1">IF($D239&lt;&gt;"Serviço",0,IF(ACOMPANHAMENTO="BM",ROUND(OFFSET(ORÇAMENTO!AJ$15,ROW(H239)-ROW(H$15),0),15-13*ORÇAMENTO!$AF$7),SUMPRODUCT(($Q$12:$AI$12&lt;&gt;"")*ROUND($Q239:$AI239,15-13*ORÇAMENTO!$AF$7))))</f>
        <v>3.23</v>
      </c>
      <c r="I239" s="561" t="s">
        <v>1107</v>
      </c>
      <c r="K239" s="174"/>
      <c r="L239" s="175" t="s">
        <v>255</v>
      </c>
      <c r="M239" s="176">
        <f ca="1">IF($D239&lt;&gt;"Serviço","",IF(AUTOEVENTO="manual",$A239,IF(ISERROR(MATCH($A239,$A$15:OFFSET($A239,-1,0),0)),MAX($M$15:OFFSET(M239,-1,0))+1,INDEX($M$15:OFFSET(M239,-1,0),MATCH($A239,$A$15:OFFSET($A239,-1,0),0)))))</f>
        <v>33</v>
      </c>
      <c r="N239" s="177" t="str">
        <f ca="1">IF($D239&lt;&gt;"Serviço","",IF(AUTOEVENTO="Manual",IF($A239=0,"&lt;-- defina o número do agrupador",OFFSET(EVENTOS!$D$14,$A239,0)),OFFSET($F$15,$A239,0)))</f>
        <v>PINTURAS E ACABAMENTOS - PISO PLAYGROUND</v>
      </c>
      <c r="O239" s="178"/>
      <c r="Q239" s="178">
        <v>3.23</v>
      </c>
      <c r="R239" s="179"/>
      <c r="S239" s="179"/>
      <c r="T239" s="179"/>
      <c r="U239" s="179"/>
      <c r="V239" s="179"/>
      <c r="W239" s="179"/>
      <c r="X239" s="179"/>
      <c r="Y239" s="179"/>
      <c r="Z239" s="180"/>
      <c r="AA239" s="179"/>
      <c r="AB239" s="179"/>
      <c r="AC239" s="179"/>
      <c r="AD239" s="179"/>
      <c r="AE239" s="179"/>
      <c r="AF239" s="179"/>
      <c r="AG239" s="179"/>
      <c r="AH239" s="180"/>
      <c r="AJ239" s="544">
        <f ca="1">IF(AND($D239="Serviço",AJ$12&lt;&gt;0,$H239&gt;0,OR(AUTOEVENTO&lt;&gt;"manual",$M239&lt;&gt;1)),
IF(Import.TipoArredondamento&lt;&gt;"TransfereGOV",
ROUND(OFFSET($P239,0,AJ$13),15-13*ORÇAMENTO!$AF$7)/$H239*OFFSET(ORÇAMENTO!$X$15,ROW(AJ239)-ROW(AJ$15),0),
ROUND(ROUND(OFFSET($P239,0,AJ$13),15-13*ORÇAMENTO!$AF$7)*OFFSET(ORÇAMENTO!$W$15,ROW(AJ239)-ROW(AJ$15),0),15-13*ORÇAMENTO!$AF$11)),0)</f>
        <v>0</v>
      </c>
      <c r="AK239" s="545">
        <f ca="1">IF(AND($D239="Serviço",AK$12&lt;&gt;0,$H239&gt;0,OR(AUTOEVENTO&lt;&gt;"manual",$M239&lt;&gt;1)),
IF(Import.TipoArredondamento&lt;&gt;"TransfereGOV",
ROUND(OFFSET($P239,0,AK$13),15-13*ORÇAMENTO!$AF$7)/$H239*OFFSET(ORÇAMENTO!$X$15,ROW(AK239)-ROW(AK$15),0),
ROUND(ROUND(OFFSET($P239,0,AK$13),15-13*ORÇAMENTO!$AF$7)*OFFSET(ORÇAMENTO!$W$15,ROW(AK239)-ROW(AK$15),0),15-13*ORÇAMENTO!$AF$11)),0)</f>
        <v>0</v>
      </c>
      <c r="AL239" s="545">
        <f ca="1">IF(AND($D239="Serviço",AL$12&lt;&gt;0,$H239&gt;0,OR(AUTOEVENTO&lt;&gt;"manual",$M239&lt;&gt;1)),
IF(Import.TipoArredondamento&lt;&gt;"TransfereGOV",
ROUND(OFFSET($P239,0,AL$13),15-13*ORÇAMENTO!$AF$7)/$H239*OFFSET(ORÇAMENTO!$X$15,ROW(AL239)-ROW(AL$15),0),
ROUND(ROUND(OFFSET($P239,0,AL$13),15-13*ORÇAMENTO!$AF$7)*OFFSET(ORÇAMENTO!$W$15,ROW(AL239)-ROW(AL$15),0),15-13*ORÇAMENTO!$AF$11)),0)</f>
        <v>0</v>
      </c>
      <c r="AM239" s="545">
        <f ca="1">IF(AND($D239="Serviço",AM$12&lt;&gt;0,$H239&gt;0,OR(AUTOEVENTO&lt;&gt;"manual",$M239&lt;&gt;1)),
IF(Import.TipoArredondamento&lt;&gt;"TransfereGOV",
ROUND(OFFSET($P239,0,AM$13),15-13*ORÇAMENTO!$AF$7)/$H239*OFFSET(ORÇAMENTO!$X$15,ROW(AM239)-ROW(AM$15),0),
ROUND(ROUND(OFFSET($P239,0,AM$13),15-13*ORÇAMENTO!$AF$7)*OFFSET(ORÇAMENTO!$W$15,ROW(AM239)-ROW(AM$15),0),15-13*ORÇAMENTO!$AF$11)),0)</f>
        <v>0</v>
      </c>
      <c r="AN239" s="545">
        <f ca="1">IF(AND($D239="Serviço",AN$12&lt;&gt;0,$H239&gt;0,OR(AUTOEVENTO&lt;&gt;"manual",$M239&lt;&gt;1)),
IF(Import.TipoArredondamento&lt;&gt;"TransfereGOV",
ROUND(OFFSET($P239,0,AN$13),15-13*ORÇAMENTO!$AF$7)/$H239*OFFSET(ORÇAMENTO!$X$15,ROW(AN239)-ROW(AN$15),0),
ROUND(ROUND(OFFSET($P239,0,AN$13),15-13*ORÇAMENTO!$AF$7)*OFFSET(ORÇAMENTO!$W$15,ROW(AN239)-ROW(AN$15),0),15-13*ORÇAMENTO!$AF$11)),0)</f>
        <v>0</v>
      </c>
      <c r="AO239" s="545">
        <f ca="1">IF(AND($D239="Serviço",AO$12&lt;&gt;0,$H239&gt;0,OR(AUTOEVENTO&lt;&gt;"manual",$M239&lt;&gt;1)),
IF(Import.TipoArredondamento&lt;&gt;"TransfereGOV",
ROUND(OFFSET($P239,0,AO$13),15-13*ORÇAMENTO!$AF$7)/$H239*OFFSET(ORÇAMENTO!$X$15,ROW(AO239)-ROW(AO$15),0),
ROUND(ROUND(OFFSET($P239,0,AO$13),15-13*ORÇAMENTO!$AF$7)*OFFSET(ORÇAMENTO!$W$15,ROW(AO239)-ROW(AO$15),0),15-13*ORÇAMENTO!$AF$11)),0)</f>
        <v>0</v>
      </c>
      <c r="AP239" s="545">
        <f ca="1">IF(AND($D239="Serviço",AP$12&lt;&gt;0,$H239&gt;0,OR(AUTOEVENTO&lt;&gt;"manual",$M239&lt;&gt;1)),
IF(Import.TipoArredondamento&lt;&gt;"TransfereGOV",
ROUND(OFFSET($P239,0,AP$13),15-13*ORÇAMENTO!$AF$7)/$H239*OFFSET(ORÇAMENTO!$X$15,ROW(AP239)-ROW(AP$15),0),
ROUND(ROUND(OFFSET($P239,0,AP$13),15-13*ORÇAMENTO!$AF$7)*OFFSET(ORÇAMENTO!$W$15,ROW(AP239)-ROW(AP$15),0),15-13*ORÇAMENTO!$AF$11)),0)</f>
        <v>0</v>
      </c>
      <c r="AQ239" s="545">
        <f ca="1">IF(AND($D239="Serviço",AQ$12&lt;&gt;0,$H239&gt;0,OR(AUTOEVENTO&lt;&gt;"manual",$M239&lt;&gt;1)),
IF(Import.TipoArredondamento&lt;&gt;"TransfereGOV",
ROUND(OFFSET($P239,0,AQ$13),15-13*ORÇAMENTO!$AF$7)/$H239*OFFSET(ORÇAMENTO!$X$15,ROW(AQ239)-ROW(AQ$15),0),
ROUND(ROUND(OFFSET($P239,0,AQ$13),15-13*ORÇAMENTO!$AF$7)*OFFSET(ORÇAMENTO!$W$15,ROW(AQ239)-ROW(AQ$15),0),15-13*ORÇAMENTO!$AF$11)),0)</f>
        <v>0</v>
      </c>
      <c r="AR239" s="545">
        <f ca="1">IF(AND($D239="Serviço",AR$12&lt;&gt;0,$H239&gt;0,OR(AUTOEVENTO&lt;&gt;"manual",$M239&lt;&gt;1)),
IF(Import.TipoArredondamento&lt;&gt;"TransfereGOV",
ROUND(OFFSET($P239,0,AR$13),15-13*ORÇAMENTO!$AF$7)/$H239*OFFSET(ORÇAMENTO!$X$15,ROW(AR239)-ROW(AR$15),0),
ROUND(ROUND(OFFSET($P239,0,AR$13),15-13*ORÇAMENTO!$AF$7)*OFFSET(ORÇAMENTO!$W$15,ROW(AR239)-ROW(AR$15),0),15-13*ORÇAMENTO!$AF$11)),0)</f>
        <v>0</v>
      </c>
      <c r="AS239" s="546">
        <f ca="1">IF(AND($D239="Serviço",AS$12&lt;&gt;0,$H239&gt;0,OR(AUTOEVENTO&lt;&gt;"manual",$M239&lt;&gt;1)),
IF(Import.TipoArredondamento&lt;&gt;"TransfereGOV",
ROUND(OFFSET($P239,0,AS$13),15-13*ORÇAMENTO!$AF$7)/$H239*OFFSET(ORÇAMENTO!$X$15,ROW(AS239)-ROW(AS$15),0),
ROUND(ROUND(OFFSET($P239,0,AS$13),15-13*ORÇAMENTO!$AF$7)*OFFSET(ORÇAMENTO!$W$15,ROW(AS239)-ROW(AS$15),0),15-13*ORÇAMENTO!$AF$11)),0)</f>
        <v>0</v>
      </c>
      <c r="AT239" s="545">
        <f ca="1">IF(AND($D239="Serviço",AT$12&lt;&gt;0,$H239&gt;0,OR(AUTOEVENTO&lt;&gt;"manual",$M239&lt;&gt;1)),
IF(Import.TipoArredondamento&lt;&gt;"TransfereGOV",
ROUND(OFFSET($P239,0,AT$13),15-13*ORÇAMENTO!$AF$7)/$H239*OFFSET(ORÇAMENTO!$X$15,ROW(AT239)-ROW(AT$15),0),
ROUND(ROUND(OFFSET($P239,0,AT$13),15-13*ORÇAMENTO!$AF$7)*OFFSET(ORÇAMENTO!$W$15,ROW(AT239)-ROW(AT$15),0),15-13*ORÇAMENTO!$AF$11)),0)</f>
        <v>0</v>
      </c>
      <c r="AU239" s="545">
        <f ca="1">IF(AND($D239="Serviço",AU$12&lt;&gt;0,$H239&gt;0,OR(AUTOEVENTO&lt;&gt;"manual",$M239&lt;&gt;1)),
IF(Import.TipoArredondamento&lt;&gt;"TransfereGOV",
ROUND(OFFSET($P239,0,AU$13),15-13*ORÇAMENTO!$AF$7)/$H239*OFFSET(ORÇAMENTO!$X$15,ROW(AU239)-ROW(AU$15),0),
ROUND(ROUND(OFFSET($P239,0,AU$13),15-13*ORÇAMENTO!$AF$7)*OFFSET(ORÇAMENTO!$W$15,ROW(AU239)-ROW(AU$15),0),15-13*ORÇAMENTO!$AF$11)),0)</f>
        <v>0</v>
      </c>
      <c r="AV239" s="545">
        <f ca="1">IF(AND($D239="Serviço",AV$12&lt;&gt;0,$H239&gt;0,OR(AUTOEVENTO&lt;&gt;"manual",$M239&lt;&gt;1)),
IF(Import.TipoArredondamento&lt;&gt;"TransfereGOV",
ROUND(OFFSET($P239,0,AV$13),15-13*ORÇAMENTO!$AF$7)/$H239*OFFSET(ORÇAMENTO!$X$15,ROW(AV239)-ROW(AV$15),0),
ROUND(ROUND(OFFSET($P239,0,AV$13),15-13*ORÇAMENTO!$AF$7)*OFFSET(ORÇAMENTO!$W$15,ROW(AV239)-ROW(AV$15),0),15-13*ORÇAMENTO!$AF$11)),0)</f>
        <v>0</v>
      </c>
      <c r="AW239" s="545">
        <f ca="1">IF(AND($D239="Serviço",AW$12&lt;&gt;0,$H239&gt;0,OR(AUTOEVENTO&lt;&gt;"manual",$M239&lt;&gt;1)),
IF(Import.TipoArredondamento&lt;&gt;"TransfereGOV",
ROUND(OFFSET($P239,0,AW$13),15-13*ORÇAMENTO!$AF$7)/$H239*OFFSET(ORÇAMENTO!$X$15,ROW(AW239)-ROW(AW$15),0),
ROUND(ROUND(OFFSET($P239,0,AW$13),15-13*ORÇAMENTO!$AF$7)*OFFSET(ORÇAMENTO!$W$15,ROW(AW239)-ROW(AW$15),0),15-13*ORÇAMENTO!$AF$11)),0)</f>
        <v>0</v>
      </c>
      <c r="AX239" s="545">
        <f ca="1">IF(AND($D239="Serviço",AX$12&lt;&gt;0,$H239&gt;0,OR(AUTOEVENTO&lt;&gt;"manual",$M239&lt;&gt;1)),
IF(Import.TipoArredondamento&lt;&gt;"TransfereGOV",
ROUND(OFFSET($P239,0,AX$13),15-13*ORÇAMENTO!$AF$7)/$H239*OFFSET(ORÇAMENTO!$X$15,ROW(AX239)-ROW(AX$15),0),
ROUND(ROUND(OFFSET($P239,0,AX$13),15-13*ORÇAMENTO!$AF$7)*OFFSET(ORÇAMENTO!$W$15,ROW(AX239)-ROW(AX$15),0),15-13*ORÇAMENTO!$AF$11)),0)</f>
        <v>0</v>
      </c>
      <c r="AY239" s="545">
        <f ca="1">IF(AND($D239="Serviço",AY$12&lt;&gt;0,$H239&gt;0,OR(AUTOEVENTO&lt;&gt;"manual",$M239&lt;&gt;1)),
IF(Import.TipoArredondamento&lt;&gt;"TransfereGOV",
ROUND(OFFSET($P239,0,AY$13),15-13*ORÇAMENTO!$AF$7)/$H239*OFFSET(ORÇAMENTO!$X$15,ROW(AY239)-ROW(AY$15),0),
ROUND(ROUND(OFFSET($P239,0,AY$13),15-13*ORÇAMENTO!$AF$7)*OFFSET(ORÇAMENTO!$W$15,ROW(AY239)-ROW(AY$15),0),15-13*ORÇAMENTO!$AF$11)),0)</f>
        <v>0</v>
      </c>
      <c r="AZ239" s="545">
        <f ca="1">IF(AND($D239="Serviço",AZ$12&lt;&gt;0,$H239&gt;0,OR(AUTOEVENTO&lt;&gt;"manual",$M239&lt;&gt;1)),
IF(Import.TipoArredondamento&lt;&gt;"TransfereGOV",
ROUND(OFFSET($P239,0,AZ$13),15-13*ORÇAMENTO!$AF$7)/$H239*OFFSET(ORÇAMENTO!$X$15,ROW(AZ239)-ROW(AZ$15),0),
ROUND(ROUND(OFFSET($P239,0,AZ$13),15-13*ORÇAMENTO!$AF$7)*OFFSET(ORÇAMENTO!$W$15,ROW(AZ239)-ROW(AZ$15),0),15-13*ORÇAMENTO!$AF$11)),0)</f>
        <v>0</v>
      </c>
      <c r="BA239" s="546">
        <f ca="1">IF(AND($D239="Serviço",BA$12&lt;&gt;0,$H239&gt;0,OR(AUTOEVENTO&lt;&gt;"manual",$M239&lt;&gt;1)),
IF(Import.TipoArredondamento&lt;&gt;"TransfereGOV",
ROUND(OFFSET($P239,0,BA$13),15-13*ORÇAMENTO!$AF$7)/$H239*OFFSET(ORÇAMENTO!$X$15,ROW(BA239)-ROW(BA$15),0),
ROUND(ROUND(OFFSET($P239,0,BA$13),15-13*ORÇAMENTO!$AF$7)*OFFSET(ORÇAMENTO!$W$15,ROW(BA239)-ROW(BA$15),0),15-13*ORÇAMENTO!$AF$11)),0)</f>
        <v>0</v>
      </c>
      <c r="BC239" s="181">
        <f ca="1">IF($D239&lt;&gt;"Serviço",0,IF(AND(AUTOEVENTO="Manual",$M239=1),0,IF(OFFSET(CRONOPLE!$F$14,$M239,BC$13)="",10^12,OFFSET(CRONOPLE!$F$14,$M239,BC$13))))</f>
        <v>9</v>
      </c>
      <c r="BD239" s="181">
        <f ca="1">IF($D239&lt;&gt;"Serviço",0,IF(AND(AUTOEVENTO="Manual",$M239=1),0,IF(OFFSET(CRONOPLE!$F$14,$M239,BD$13)="",10^12,OFFSET(CRONOPLE!$F$14,$M239,BD$13))))</f>
        <v>1000000000000</v>
      </c>
      <c r="BE239" s="181">
        <f ca="1">IF($D239&lt;&gt;"Serviço",0,IF(AND(AUTOEVENTO="Manual",$M239=1),0,IF(OFFSET(CRONOPLE!$F$14,$M239,BE$13)="",10^12,OFFSET(CRONOPLE!$F$14,$M239,BE$13))))</f>
        <v>1000000000000</v>
      </c>
      <c r="BF239" s="181">
        <f ca="1">IF($D239&lt;&gt;"Serviço",0,IF(AND(AUTOEVENTO="Manual",$M239=1),0,IF(OFFSET(CRONOPLE!$F$14,$M239,BF$13)="",10^12,OFFSET(CRONOPLE!$F$14,$M239,BF$13))))</f>
        <v>1000000000000</v>
      </c>
      <c r="BG239" s="181">
        <f ca="1">IF($D239&lt;&gt;"Serviço",0,IF(AND(AUTOEVENTO="Manual",$M239=1),0,IF(OFFSET(CRONOPLE!$F$14,$M239,BG$13)="",10^12,OFFSET(CRONOPLE!$F$14,$M239,BG$13))))</f>
        <v>1000000000000</v>
      </c>
      <c r="BH239" s="181">
        <f ca="1">IF($D239&lt;&gt;"Serviço",0,IF(AND(AUTOEVENTO="Manual",$M239=1),0,IF(OFFSET(CRONOPLE!$F$14,$M239,BH$13)="",10^12,OFFSET(CRONOPLE!$F$14,$M239,BH$13))))</f>
        <v>1000000000000</v>
      </c>
      <c r="BI239" s="181">
        <f ca="1">IF($D239&lt;&gt;"Serviço",0,IF(AND(AUTOEVENTO="Manual",$M239=1),0,IF(OFFSET(CRONOPLE!$F$14,$M239,BI$13)="",10^12,OFFSET(CRONOPLE!$F$14,$M239,BI$13))))</f>
        <v>1000000000000</v>
      </c>
      <c r="BJ239" s="181">
        <f ca="1">IF($D239&lt;&gt;"Serviço",0,IF(AND(AUTOEVENTO="Manual",$M239=1),0,IF(OFFSET(CRONOPLE!$F$14,$M239,BJ$13)="",10^12,OFFSET(CRONOPLE!$F$14,$M239,BJ$13))))</f>
        <v>1000000000000</v>
      </c>
      <c r="BK239" s="181">
        <f ca="1">IF($D239&lt;&gt;"Serviço",0,IF(AND(AUTOEVENTO="Manual",$M239=1),0,IF(OFFSET(CRONOPLE!$F$14,$M239,BK$13)="",10^12,OFFSET(CRONOPLE!$F$14,$M239,BK$13))))</f>
        <v>1000000000000</v>
      </c>
      <c r="BL239" s="181">
        <f ca="1">IF($D239&lt;&gt;"Serviço",0,IF(AND(AUTOEVENTO="Manual",$M239=1),0,IF(OFFSET(CRONOPLE!$F$14,$M239,BL$13)="",10^12,OFFSET(CRONOPLE!$F$14,$M239,BL$13))))</f>
        <v>1000000000000</v>
      </c>
      <c r="BM239" s="181">
        <f ca="1">IF($D239&lt;&gt;"Serviço",0,IF(AND(AUTOEVENTO="Manual",$M239=1),0,IF(OFFSET(CRONOPLE!$F$14,$M239,BM$13)="",10^12,OFFSET(CRONOPLE!$F$14,$M239,BM$13))))</f>
        <v>1000000000000</v>
      </c>
      <c r="BN239" s="181">
        <f ca="1">IF($D239&lt;&gt;"Serviço",0,IF(AND(AUTOEVENTO="Manual",$M239=1),0,IF(OFFSET(CRONOPLE!$F$14,$M239,BN$13)="",10^12,OFFSET(CRONOPLE!$F$14,$M239,BN$13))))</f>
        <v>1000000000000</v>
      </c>
      <c r="BO239" s="181">
        <f ca="1">IF($D239&lt;&gt;"Serviço",0,IF(AND(AUTOEVENTO="Manual",$M239=1),0,IF(OFFSET(CRONOPLE!$F$14,$M239,BO$13)="",10^12,OFFSET(CRONOPLE!$F$14,$M239,BO$13))))</f>
        <v>1000000000000</v>
      </c>
      <c r="BP239" s="181">
        <f ca="1">IF($D239&lt;&gt;"Serviço",0,IF(AND(AUTOEVENTO="Manual",$M239=1),0,IF(OFFSET(CRONOPLE!$F$14,$M239,BP$13)="",10^12,OFFSET(CRONOPLE!$F$14,$M239,BP$13))))</f>
        <v>1000000000000</v>
      </c>
      <c r="BQ239" s="181">
        <f ca="1">IF($D239&lt;&gt;"Serviço",0,IF(AND(AUTOEVENTO="Manual",$M239=1),0,IF(OFFSET(CRONOPLE!$F$14,$M239,BQ$13)="",10^12,OFFSET(CRONOPLE!$F$14,$M239,BQ$13))))</f>
        <v>1000000000000</v>
      </c>
      <c r="BR239" s="181">
        <f ca="1">IF($D239&lt;&gt;"Serviço",0,IF(AND(AUTOEVENTO="Manual",$M239=1),0,IF(OFFSET(CRONOPLE!$F$14,$M239,BR$13)="",10^12,OFFSET(CRONOPLE!$F$14,$M239,BR$13))))</f>
        <v>1000000000000</v>
      </c>
      <c r="BS239" s="181">
        <f ca="1">IF($D239&lt;&gt;"Serviço",0,IF(AND(AUTOEVENTO="Manual",$M239=1),0,IF(OFFSET(CRONOPLE!$F$14,$M239,BS$13)="",10^12,OFFSET(CRONOPLE!$F$14,$M239,BS$13))))</f>
        <v>1000000000000</v>
      </c>
      <c r="BT239" s="181">
        <f ca="1">IF($D239&lt;&gt;"Serviço",0,IF(AND(AUTOEVENTO="Manual",$M239=1),0,IF(OFFSET(CRONOPLE!$F$14,$M239,BT$13)="",10^12,OFFSET(CRONOPLE!$F$14,$M239,BT$13))))</f>
        <v>1000000000000</v>
      </c>
      <c r="BV239" s="182">
        <f ca="1">IF($D239&lt;&gt;"Serviço",0,IF(OR(AND(AUTOEVENTO="Manual",$M239=1),$M239&gt;(ROW(PLE.lastrow)-ROW(PLE.firstrow))),0,IF(OFFSET(PLE!$G$14,$M239,BV$13)="",10^12,OFFSET(PLE!$G$14,$M239,BV$13))))</f>
        <v>1000000000000</v>
      </c>
      <c r="BW239" s="182">
        <f ca="1">IF($D239&lt;&gt;"Serviço",0,IF(OR(AND(AUTOEVENTO="Manual",$M239=1),$M239&gt;(ROW(PLE.lastrow)-ROW(PLE.firstrow))),0,IF(OFFSET(PLE!$G$14,$M239,BW$13)="",10^12,OFFSET(PLE!$G$14,$M239,BW$13))))</f>
        <v>1000000000000</v>
      </c>
      <c r="BX239" s="182">
        <f ca="1">IF($D239&lt;&gt;"Serviço",0,IF(OR(AND(AUTOEVENTO="Manual",$M239=1),$M239&gt;(ROW(PLE.lastrow)-ROW(PLE.firstrow))),0,IF(OFFSET(PLE!$G$14,$M239,BX$13)="",10^12,OFFSET(PLE!$G$14,$M239,BX$13))))</f>
        <v>1000000000000</v>
      </c>
      <c r="BY239" s="182">
        <f ca="1">IF($D239&lt;&gt;"Serviço",0,IF(OR(AND(AUTOEVENTO="Manual",$M239=1),$M239&gt;(ROW(PLE.lastrow)-ROW(PLE.firstrow))),0,IF(OFFSET(PLE!$G$14,$M239,BY$13)="",10^12,OFFSET(PLE!$G$14,$M239,BY$13))))</f>
        <v>1000000000000</v>
      </c>
      <c r="BZ239" s="182">
        <f ca="1">IF($D239&lt;&gt;"Serviço",0,IF(OR(AND(AUTOEVENTO="Manual",$M239=1),$M239&gt;(ROW(PLE.lastrow)-ROW(PLE.firstrow))),0,IF(OFFSET(PLE!$G$14,$M239,BZ$13)="",10^12,OFFSET(PLE!$G$14,$M239,BZ$13))))</f>
        <v>1000000000000</v>
      </c>
      <c r="CA239" s="182">
        <f ca="1">IF($D239&lt;&gt;"Serviço",0,IF(OR(AND(AUTOEVENTO="Manual",$M239=1),$M239&gt;(ROW(PLE.lastrow)-ROW(PLE.firstrow))),0,IF(OFFSET(PLE!$G$14,$M239,CA$13)="",10^12,OFFSET(PLE!$G$14,$M239,CA$13))))</f>
        <v>1000000000000</v>
      </c>
      <c r="CB239" s="182">
        <f ca="1">IF($D239&lt;&gt;"Serviço",0,IF(OR(AND(AUTOEVENTO="Manual",$M239=1),$M239&gt;(ROW(PLE.lastrow)-ROW(PLE.firstrow))),0,IF(OFFSET(PLE!$G$14,$M239,CB$13)="",10^12,OFFSET(PLE!$G$14,$M239,CB$13))))</f>
        <v>1000000000000</v>
      </c>
      <c r="CC239" s="182">
        <f ca="1">IF($D239&lt;&gt;"Serviço",0,IF(OR(AND(AUTOEVENTO="Manual",$M239=1),$M239&gt;(ROW(PLE.lastrow)-ROW(PLE.firstrow))),0,IF(OFFSET(PLE!$G$14,$M239,CC$13)="",10^12,OFFSET(PLE!$G$14,$M239,CC$13))))</f>
        <v>1000000000000</v>
      </c>
      <c r="CD239" s="182">
        <f ca="1">IF($D239&lt;&gt;"Serviço",0,IF(OR(AND(AUTOEVENTO="Manual",$M239=1),$M239&gt;(ROW(PLE.lastrow)-ROW(PLE.firstrow))),0,IF(OFFSET(PLE!$G$14,$M239,CD$13)="",10^12,OFFSET(PLE!$G$14,$M239,CD$13))))</f>
        <v>1000000000000</v>
      </c>
      <c r="CE239" s="182">
        <f ca="1">IF($D239&lt;&gt;"Serviço",0,IF(OR(AND(AUTOEVENTO="Manual",$M239=1),$M239&gt;(ROW(PLE.lastrow)-ROW(PLE.firstrow))),0,IF(OFFSET(PLE!$G$14,$M239,CE$13)="",10^12,OFFSET(PLE!$G$14,$M239,CE$13))))</f>
        <v>1000000000000</v>
      </c>
      <c r="CF239" s="182">
        <f ca="1">IF($D239&lt;&gt;"Serviço",0,IF(OR(AND(AUTOEVENTO="Manual",$M239=1),$M239&gt;(ROW(PLE.lastrow)-ROW(PLE.firstrow))),0,IF(OFFSET(PLE!$G$14,$M239,CF$13)="",10^12,OFFSET(PLE!$G$14,$M239,CF$13))))</f>
        <v>1000000000000</v>
      </c>
      <c r="CG239" s="182">
        <f ca="1">IF($D239&lt;&gt;"Serviço",0,IF(OR(AND(AUTOEVENTO="Manual",$M239=1),$M239&gt;(ROW(PLE.lastrow)-ROW(PLE.firstrow))),0,IF(OFFSET(PLE!$G$14,$M239,CG$13)="",10^12,OFFSET(PLE!$G$14,$M239,CG$13))))</f>
        <v>1000000000000</v>
      </c>
      <c r="CH239" s="182">
        <f ca="1">IF($D239&lt;&gt;"Serviço",0,IF(OR(AND(AUTOEVENTO="Manual",$M239=1),$M239&gt;(ROW(PLE.lastrow)-ROW(PLE.firstrow))),0,IF(OFFSET(PLE!$G$14,$M239,CH$13)="",10^12,OFFSET(PLE!$G$14,$M239,CH$13))))</f>
        <v>1000000000000</v>
      </c>
      <c r="CI239" s="182">
        <f ca="1">IF($D239&lt;&gt;"Serviço",0,IF(OR(AND(AUTOEVENTO="Manual",$M239=1),$M239&gt;(ROW(PLE.lastrow)-ROW(PLE.firstrow))),0,IF(OFFSET(PLE!$G$14,$M239,CI$13)="",10^12,OFFSET(PLE!$G$14,$M239,CI$13))))</f>
        <v>1000000000000</v>
      </c>
      <c r="CJ239" s="182">
        <f ca="1">IF($D239&lt;&gt;"Serviço",0,IF(OR(AND(AUTOEVENTO="Manual",$M239=1),$M239&gt;(ROW(PLE.lastrow)-ROW(PLE.firstrow))),0,IF(OFFSET(PLE!$G$14,$M239,CJ$13)="",10^12,OFFSET(PLE!$G$14,$M239,CJ$13))))</f>
        <v>1000000000000</v>
      </c>
      <c r="CK239" s="182">
        <f ca="1">IF($D239&lt;&gt;"Serviço",0,IF(OR(AND(AUTOEVENTO="Manual",$M239=1),$M239&gt;(ROW(PLE.lastrow)-ROW(PLE.firstrow))),0,IF(OFFSET(PLE!$G$14,$M239,CK$13)="",10^12,OFFSET(PLE!$G$14,$M239,CK$13))))</f>
        <v>1000000000000</v>
      </c>
      <c r="CL239" s="182">
        <f ca="1">IF($D239&lt;&gt;"Serviço",0,IF(OR(AND(AUTOEVENTO="Manual",$M239=1),$M239&gt;(ROW(PLE.lastrow)-ROW(PLE.firstrow))),0,IF(OFFSET(PLE!$G$14,$M239,CL$13)="",10^12,OFFSET(PLE!$G$14,$M239,CL$13))))</f>
        <v>1000000000000</v>
      </c>
      <c r="CM239" s="182">
        <f ca="1">IF($D239&lt;&gt;"Serviço",0,IF(OR(AND(AUTOEVENTO="Manual",$M239=1),$M239&gt;(ROW(PLE.lastrow)-ROW(PLE.firstrow))),0,IF(OFFSET(PLE!$G$14,$M239,CM$13)="",10^12,OFFSET(PLE!$G$14,$M239,CM$13))))</f>
        <v>1000000000000</v>
      </c>
    </row>
    <row r="240" spans="1:91" ht="25.5" x14ac:dyDescent="0.2">
      <c r="A240" s="7" t="str">
        <f t="shared" ca="1" si="12"/>
        <v>222</v>
      </c>
      <c r="B240" s="7" t="str">
        <f ca="1">OFFSET(ORÇAMENTO!C$15,ROW(B240)-ROW(B$15),0)</f>
        <v>S</v>
      </c>
      <c r="C240" s="7" t="str">
        <f ca="1">OFFSET(ORÇAMENTO!L$15,ROW(C240)-ROW(C$15),0)</f>
        <v/>
      </c>
      <c r="D240" s="118" t="str">
        <f ca="1">OFFSET(ORÇAMENTO!N$15,ROW(D240)-ROW(D$15),0)</f>
        <v>Serviço</v>
      </c>
      <c r="E240" s="119" t="str">
        <f ca="1">OFFSET(ORÇAMENTO!O$15,ROW(E240)-ROW(E$15),0)</f>
        <v>-</v>
      </c>
      <c r="F240" s="172" t="str">
        <f ca="1">OFFSET(ORÇAMENTO!R$15,ROW(F240)-ROW(F$15),0)</f>
        <v>(abra o arquivo 'Referência 06-2024.xlsm)</v>
      </c>
      <c r="G240" s="173" t="str">
        <f ca="1">IF($D240&lt;&gt;"Serviço","",OFFSET(ORÇAMENTO!S$15,ROW(G240)-ROW(G$15),0))</f>
        <v>-</v>
      </c>
      <c r="H240" s="124">
        <f ca="1">IF($D240&lt;&gt;"Serviço",0,IF(ACOMPANHAMENTO="BM",ROUND(OFFSET(ORÇAMENTO!AJ$15,ROW(H240)-ROW(H$15),0),15-13*ORÇAMENTO!$AF$7),SUMPRODUCT(($Q$12:$AI$12&lt;&gt;"")*ROUND($Q240:$AI240,15-13*ORÇAMENTO!$AF$7))))</f>
        <v>1.72</v>
      </c>
      <c r="I240" s="561" t="s">
        <v>1107</v>
      </c>
      <c r="K240" s="174"/>
      <c r="L240" s="175" t="s">
        <v>255</v>
      </c>
      <c r="M240" s="176">
        <f ca="1">IF($D240&lt;&gt;"Serviço","",IF(AUTOEVENTO="manual",$A240,IF(ISERROR(MATCH($A240,$A$15:OFFSET($A240,-1,0),0)),MAX($M$15:OFFSET(M240,-1,0))+1,INDEX($M$15:OFFSET(M240,-1,0),MATCH($A240,$A$15:OFFSET($A240,-1,0),0)))))</f>
        <v>33</v>
      </c>
      <c r="N240" s="177" t="str">
        <f ca="1">IF($D240&lt;&gt;"Serviço","",IF(AUTOEVENTO="Manual",IF($A240=0,"&lt;-- defina o número do agrupador",OFFSET(EVENTOS!$D$14,$A240,0)),OFFSET($F$15,$A240,0)))</f>
        <v>PINTURAS E ACABAMENTOS - PISO PLAYGROUND</v>
      </c>
      <c r="O240" s="178"/>
      <c r="Q240" s="178">
        <v>1.72</v>
      </c>
      <c r="R240" s="179"/>
      <c r="S240" s="179"/>
      <c r="T240" s="179"/>
      <c r="U240" s="179"/>
      <c r="V240" s="179"/>
      <c r="W240" s="179"/>
      <c r="X240" s="179"/>
      <c r="Y240" s="179"/>
      <c r="Z240" s="180"/>
      <c r="AA240" s="179"/>
      <c r="AB240" s="179"/>
      <c r="AC240" s="179"/>
      <c r="AD240" s="179"/>
      <c r="AE240" s="179"/>
      <c r="AF240" s="179"/>
      <c r="AG240" s="179"/>
      <c r="AH240" s="180"/>
      <c r="AJ240" s="544">
        <f ca="1">IF(AND($D240="Serviço",AJ$12&lt;&gt;0,$H240&gt;0,OR(AUTOEVENTO&lt;&gt;"manual",$M240&lt;&gt;1)),
IF(Import.TipoArredondamento&lt;&gt;"TransfereGOV",
ROUND(OFFSET($P240,0,AJ$13),15-13*ORÇAMENTO!$AF$7)/$H240*OFFSET(ORÇAMENTO!$X$15,ROW(AJ240)-ROW(AJ$15),0),
ROUND(ROUND(OFFSET($P240,0,AJ$13),15-13*ORÇAMENTO!$AF$7)*OFFSET(ORÇAMENTO!$W$15,ROW(AJ240)-ROW(AJ$15),0),15-13*ORÇAMENTO!$AF$11)),0)</f>
        <v>0</v>
      </c>
      <c r="AK240" s="545">
        <f ca="1">IF(AND($D240="Serviço",AK$12&lt;&gt;0,$H240&gt;0,OR(AUTOEVENTO&lt;&gt;"manual",$M240&lt;&gt;1)),
IF(Import.TipoArredondamento&lt;&gt;"TransfereGOV",
ROUND(OFFSET($P240,0,AK$13),15-13*ORÇAMENTO!$AF$7)/$H240*OFFSET(ORÇAMENTO!$X$15,ROW(AK240)-ROW(AK$15),0),
ROUND(ROUND(OFFSET($P240,0,AK$13),15-13*ORÇAMENTO!$AF$7)*OFFSET(ORÇAMENTO!$W$15,ROW(AK240)-ROW(AK$15),0),15-13*ORÇAMENTO!$AF$11)),0)</f>
        <v>0</v>
      </c>
      <c r="AL240" s="545">
        <f ca="1">IF(AND($D240="Serviço",AL$12&lt;&gt;0,$H240&gt;0,OR(AUTOEVENTO&lt;&gt;"manual",$M240&lt;&gt;1)),
IF(Import.TipoArredondamento&lt;&gt;"TransfereGOV",
ROUND(OFFSET($P240,0,AL$13),15-13*ORÇAMENTO!$AF$7)/$H240*OFFSET(ORÇAMENTO!$X$15,ROW(AL240)-ROW(AL$15),0),
ROUND(ROUND(OFFSET($P240,0,AL$13),15-13*ORÇAMENTO!$AF$7)*OFFSET(ORÇAMENTO!$W$15,ROW(AL240)-ROW(AL$15),0),15-13*ORÇAMENTO!$AF$11)),0)</f>
        <v>0</v>
      </c>
      <c r="AM240" s="545">
        <f ca="1">IF(AND($D240="Serviço",AM$12&lt;&gt;0,$H240&gt;0,OR(AUTOEVENTO&lt;&gt;"manual",$M240&lt;&gt;1)),
IF(Import.TipoArredondamento&lt;&gt;"TransfereGOV",
ROUND(OFFSET($P240,0,AM$13),15-13*ORÇAMENTO!$AF$7)/$H240*OFFSET(ORÇAMENTO!$X$15,ROW(AM240)-ROW(AM$15),0),
ROUND(ROUND(OFFSET($P240,0,AM$13),15-13*ORÇAMENTO!$AF$7)*OFFSET(ORÇAMENTO!$W$15,ROW(AM240)-ROW(AM$15),0),15-13*ORÇAMENTO!$AF$11)),0)</f>
        <v>0</v>
      </c>
      <c r="AN240" s="545">
        <f ca="1">IF(AND($D240="Serviço",AN$12&lt;&gt;0,$H240&gt;0,OR(AUTOEVENTO&lt;&gt;"manual",$M240&lt;&gt;1)),
IF(Import.TipoArredondamento&lt;&gt;"TransfereGOV",
ROUND(OFFSET($P240,0,AN$13),15-13*ORÇAMENTO!$AF$7)/$H240*OFFSET(ORÇAMENTO!$X$15,ROW(AN240)-ROW(AN$15),0),
ROUND(ROUND(OFFSET($P240,0,AN$13),15-13*ORÇAMENTO!$AF$7)*OFFSET(ORÇAMENTO!$W$15,ROW(AN240)-ROW(AN$15),0),15-13*ORÇAMENTO!$AF$11)),0)</f>
        <v>0</v>
      </c>
      <c r="AO240" s="545">
        <f ca="1">IF(AND($D240="Serviço",AO$12&lt;&gt;0,$H240&gt;0,OR(AUTOEVENTO&lt;&gt;"manual",$M240&lt;&gt;1)),
IF(Import.TipoArredondamento&lt;&gt;"TransfereGOV",
ROUND(OFFSET($P240,0,AO$13),15-13*ORÇAMENTO!$AF$7)/$H240*OFFSET(ORÇAMENTO!$X$15,ROW(AO240)-ROW(AO$15),0),
ROUND(ROUND(OFFSET($P240,0,AO$13),15-13*ORÇAMENTO!$AF$7)*OFFSET(ORÇAMENTO!$W$15,ROW(AO240)-ROW(AO$15),0),15-13*ORÇAMENTO!$AF$11)),0)</f>
        <v>0</v>
      </c>
      <c r="AP240" s="545">
        <f ca="1">IF(AND($D240="Serviço",AP$12&lt;&gt;0,$H240&gt;0,OR(AUTOEVENTO&lt;&gt;"manual",$M240&lt;&gt;1)),
IF(Import.TipoArredondamento&lt;&gt;"TransfereGOV",
ROUND(OFFSET($P240,0,AP$13),15-13*ORÇAMENTO!$AF$7)/$H240*OFFSET(ORÇAMENTO!$X$15,ROW(AP240)-ROW(AP$15),0),
ROUND(ROUND(OFFSET($P240,0,AP$13),15-13*ORÇAMENTO!$AF$7)*OFFSET(ORÇAMENTO!$W$15,ROW(AP240)-ROW(AP$15),0),15-13*ORÇAMENTO!$AF$11)),0)</f>
        <v>0</v>
      </c>
      <c r="AQ240" s="545">
        <f ca="1">IF(AND($D240="Serviço",AQ$12&lt;&gt;0,$H240&gt;0,OR(AUTOEVENTO&lt;&gt;"manual",$M240&lt;&gt;1)),
IF(Import.TipoArredondamento&lt;&gt;"TransfereGOV",
ROUND(OFFSET($P240,0,AQ$13),15-13*ORÇAMENTO!$AF$7)/$H240*OFFSET(ORÇAMENTO!$X$15,ROW(AQ240)-ROW(AQ$15),0),
ROUND(ROUND(OFFSET($P240,0,AQ$13),15-13*ORÇAMENTO!$AF$7)*OFFSET(ORÇAMENTO!$W$15,ROW(AQ240)-ROW(AQ$15),0),15-13*ORÇAMENTO!$AF$11)),0)</f>
        <v>0</v>
      </c>
      <c r="AR240" s="545">
        <f ca="1">IF(AND($D240="Serviço",AR$12&lt;&gt;0,$H240&gt;0,OR(AUTOEVENTO&lt;&gt;"manual",$M240&lt;&gt;1)),
IF(Import.TipoArredondamento&lt;&gt;"TransfereGOV",
ROUND(OFFSET($P240,0,AR$13),15-13*ORÇAMENTO!$AF$7)/$H240*OFFSET(ORÇAMENTO!$X$15,ROW(AR240)-ROW(AR$15),0),
ROUND(ROUND(OFFSET($P240,0,AR$13),15-13*ORÇAMENTO!$AF$7)*OFFSET(ORÇAMENTO!$W$15,ROW(AR240)-ROW(AR$15),0),15-13*ORÇAMENTO!$AF$11)),0)</f>
        <v>0</v>
      </c>
      <c r="AS240" s="546">
        <f ca="1">IF(AND($D240="Serviço",AS$12&lt;&gt;0,$H240&gt;0,OR(AUTOEVENTO&lt;&gt;"manual",$M240&lt;&gt;1)),
IF(Import.TipoArredondamento&lt;&gt;"TransfereGOV",
ROUND(OFFSET($P240,0,AS$13),15-13*ORÇAMENTO!$AF$7)/$H240*OFFSET(ORÇAMENTO!$X$15,ROW(AS240)-ROW(AS$15),0),
ROUND(ROUND(OFFSET($P240,0,AS$13),15-13*ORÇAMENTO!$AF$7)*OFFSET(ORÇAMENTO!$W$15,ROW(AS240)-ROW(AS$15),0),15-13*ORÇAMENTO!$AF$11)),0)</f>
        <v>0</v>
      </c>
      <c r="AT240" s="545">
        <f ca="1">IF(AND($D240="Serviço",AT$12&lt;&gt;0,$H240&gt;0,OR(AUTOEVENTO&lt;&gt;"manual",$M240&lt;&gt;1)),
IF(Import.TipoArredondamento&lt;&gt;"TransfereGOV",
ROUND(OFFSET($P240,0,AT$13),15-13*ORÇAMENTO!$AF$7)/$H240*OFFSET(ORÇAMENTO!$X$15,ROW(AT240)-ROW(AT$15),0),
ROUND(ROUND(OFFSET($P240,0,AT$13),15-13*ORÇAMENTO!$AF$7)*OFFSET(ORÇAMENTO!$W$15,ROW(AT240)-ROW(AT$15),0),15-13*ORÇAMENTO!$AF$11)),0)</f>
        <v>0</v>
      </c>
      <c r="AU240" s="545">
        <f ca="1">IF(AND($D240="Serviço",AU$12&lt;&gt;0,$H240&gt;0,OR(AUTOEVENTO&lt;&gt;"manual",$M240&lt;&gt;1)),
IF(Import.TipoArredondamento&lt;&gt;"TransfereGOV",
ROUND(OFFSET($P240,0,AU$13),15-13*ORÇAMENTO!$AF$7)/$H240*OFFSET(ORÇAMENTO!$X$15,ROW(AU240)-ROW(AU$15),0),
ROUND(ROUND(OFFSET($P240,0,AU$13),15-13*ORÇAMENTO!$AF$7)*OFFSET(ORÇAMENTO!$W$15,ROW(AU240)-ROW(AU$15),0),15-13*ORÇAMENTO!$AF$11)),0)</f>
        <v>0</v>
      </c>
      <c r="AV240" s="545">
        <f ca="1">IF(AND($D240="Serviço",AV$12&lt;&gt;0,$H240&gt;0,OR(AUTOEVENTO&lt;&gt;"manual",$M240&lt;&gt;1)),
IF(Import.TipoArredondamento&lt;&gt;"TransfereGOV",
ROUND(OFFSET($P240,0,AV$13),15-13*ORÇAMENTO!$AF$7)/$H240*OFFSET(ORÇAMENTO!$X$15,ROW(AV240)-ROW(AV$15),0),
ROUND(ROUND(OFFSET($P240,0,AV$13),15-13*ORÇAMENTO!$AF$7)*OFFSET(ORÇAMENTO!$W$15,ROW(AV240)-ROW(AV$15),0),15-13*ORÇAMENTO!$AF$11)),0)</f>
        <v>0</v>
      </c>
      <c r="AW240" s="545">
        <f ca="1">IF(AND($D240="Serviço",AW$12&lt;&gt;0,$H240&gt;0,OR(AUTOEVENTO&lt;&gt;"manual",$M240&lt;&gt;1)),
IF(Import.TipoArredondamento&lt;&gt;"TransfereGOV",
ROUND(OFFSET($P240,0,AW$13),15-13*ORÇAMENTO!$AF$7)/$H240*OFFSET(ORÇAMENTO!$X$15,ROW(AW240)-ROW(AW$15),0),
ROUND(ROUND(OFFSET($P240,0,AW$13),15-13*ORÇAMENTO!$AF$7)*OFFSET(ORÇAMENTO!$W$15,ROW(AW240)-ROW(AW$15),0),15-13*ORÇAMENTO!$AF$11)),0)</f>
        <v>0</v>
      </c>
      <c r="AX240" s="545">
        <f ca="1">IF(AND($D240="Serviço",AX$12&lt;&gt;0,$H240&gt;0,OR(AUTOEVENTO&lt;&gt;"manual",$M240&lt;&gt;1)),
IF(Import.TipoArredondamento&lt;&gt;"TransfereGOV",
ROUND(OFFSET($P240,0,AX$13),15-13*ORÇAMENTO!$AF$7)/$H240*OFFSET(ORÇAMENTO!$X$15,ROW(AX240)-ROW(AX$15),0),
ROUND(ROUND(OFFSET($P240,0,AX$13),15-13*ORÇAMENTO!$AF$7)*OFFSET(ORÇAMENTO!$W$15,ROW(AX240)-ROW(AX$15),0),15-13*ORÇAMENTO!$AF$11)),0)</f>
        <v>0</v>
      </c>
      <c r="AY240" s="545">
        <f ca="1">IF(AND($D240="Serviço",AY$12&lt;&gt;0,$H240&gt;0,OR(AUTOEVENTO&lt;&gt;"manual",$M240&lt;&gt;1)),
IF(Import.TipoArredondamento&lt;&gt;"TransfereGOV",
ROUND(OFFSET($P240,0,AY$13),15-13*ORÇAMENTO!$AF$7)/$H240*OFFSET(ORÇAMENTO!$X$15,ROW(AY240)-ROW(AY$15),0),
ROUND(ROUND(OFFSET($P240,0,AY$13),15-13*ORÇAMENTO!$AF$7)*OFFSET(ORÇAMENTO!$W$15,ROW(AY240)-ROW(AY$15),0),15-13*ORÇAMENTO!$AF$11)),0)</f>
        <v>0</v>
      </c>
      <c r="AZ240" s="545">
        <f ca="1">IF(AND($D240="Serviço",AZ$12&lt;&gt;0,$H240&gt;0,OR(AUTOEVENTO&lt;&gt;"manual",$M240&lt;&gt;1)),
IF(Import.TipoArredondamento&lt;&gt;"TransfereGOV",
ROUND(OFFSET($P240,0,AZ$13),15-13*ORÇAMENTO!$AF$7)/$H240*OFFSET(ORÇAMENTO!$X$15,ROW(AZ240)-ROW(AZ$15),0),
ROUND(ROUND(OFFSET($P240,0,AZ$13),15-13*ORÇAMENTO!$AF$7)*OFFSET(ORÇAMENTO!$W$15,ROW(AZ240)-ROW(AZ$15),0),15-13*ORÇAMENTO!$AF$11)),0)</f>
        <v>0</v>
      </c>
      <c r="BA240" s="546">
        <f ca="1">IF(AND($D240="Serviço",BA$12&lt;&gt;0,$H240&gt;0,OR(AUTOEVENTO&lt;&gt;"manual",$M240&lt;&gt;1)),
IF(Import.TipoArredondamento&lt;&gt;"TransfereGOV",
ROUND(OFFSET($P240,0,BA$13),15-13*ORÇAMENTO!$AF$7)/$H240*OFFSET(ORÇAMENTO!$X$15,ROW(BA240)-ROW(BA$15),0),
ROUND(ROUND(OFFSET($P240,0,BA$13),15-13*ORÇAMENTO!$AF$7)*OFFSET(ORÇAMENTO!$W$15,ROW(BA240)-ROW(BA$15),0),15-13*ORÇAMENTO!$AF$11)),0)</f>
        <v>0</v>
      </c>
      <c r="BC240" s="181">
        <f ca="1">IF($D240&lt;&gt;"Serviço",0,IF(AND(AUTOEVENTO="Manual",$M240=1),0,IF(OFFSET(CRONOPLE!$F$14,$M240,BC$13)="",10^12,OFFSET(CRONOPLE!$F$14,$M240,BC$13))))</f>
        <v>9</v>
      </c>
      <c r="BD240" s="181">
        <f ca="1">IF($D240&lt;&gt;"Serviço",0,IF(AND(AUTOEVENTO="Manual",$M240=1),0,IF(OFFSET(CRONOPLE!$F$14,$M240,BD$13)="",10^12,OFFSET(CRONOPLE!$F$14,$M240,BD$13))))</f>
        <v>1000000000000</v>
      </c>
      <c r="BE240" s="181">
        <f ca="1">IF($D240&lt;&gt;"Serviço",0,IF(AND(AUTOEVENTO="Manual",$M240=1),0,IF(OFFSET(CRONOPLE!$F$14,$M240,BE$13)="",10^12,OFFSET(CRONOPLE!$F$14,$M240,BE$13))))</f>
        <v>1000000000000</v>
      </c>
      <c r="BF240" s="181">
        <f ca="1">IF($D240&lt;&gt;"Serviço",0,IF(AND(AUTOEVENTO="Manual",$M240=1),0,IF(OFFSET(CRONOPLE!$F$14,$M240,BF$13)="",10^12,OFFSET(CRONOPLE!$F$14,$M240,BF$13))))</f>
        <v>1000000000000</v>
      </c>
      <c r="BG240" s="181">
        <f ca="1">IF($D240&lt;&gt;"Serviço",0,IF(AND(AUTOEVENTO="Manual",$M240=1),0,IF(OFFSET(CRONOPLE!$F$14,$M240,BG$13)="",10^12,OFFSET(CRONOPLE!$F$14,$M240,BG$13))))</f>
        <v>1000000000000</v>
      </c>
      <c r="BH240" s="181">
        <f ca="1">IF($D240&lt;&gt;"Serviço",0,IF(AND(AUTOEVENTO="Manual",$M240=1),0,IF(OFFSET(CRONOPLE!$F$14,$M240,BH$13)="",10^12,OFFSET(CRONOPLE!$F$14,$M240,BH$13))))</f>
        <v>1000000000000</v>
      </c>
      <c r="BI240" s="181">
        <f ca="1">IF($D240&lt;&gt;"Serviço",0,IF(AND(AUTOEVENTO="Manual",$M240=1),0,IF(OFFSET(CRONOPLE!$F$14,$M240,BI$13)="",10^12,OFFSET(CRONOPLE!$F$14,$M240,BI$13))))</f>
        <v>1000000000000</v>
      </c>
      <c r="BJ240" s="181">
        <f ca="1">IF($D240&lt;&gt;"Serviço",0,IF(AND(AUTOEVENTO="Manual",$M240=1),0,IF(OFFSET(CRONOPLE!$F$14,$M240,BJ$13)="",10^12,OFFSET(CRONOPLE!$F$14,$M240,BJ$13))))</f>
        <v>1000000000000</v>
      </c>
      <c r="BK240" s="181">
        <f ca="1">IF($D240&lt;&gt;"Serviço",0,IF(AND(AUTOEVENTO="Manual",$M240=1),0,IF(OFFSET(CRONOPLE!$F$14,$M240,BK$13)="",10^12,OFFSET(CRONOPLE!$F$14,$M240,BK$13))))</f>
        <v>1000000000000</v>
      </c>
      <c r="BL240" s="181">
        <f ca="1">IF($D240&lt;&gt;"Serviço",0,IF(AND(AUTOEVENTO="Manual",$M240=1),0,IF(OFFSET(CRONOPLE!$F$14,$M240,BL$13)="",10^12,OFFSET(CRONOPLE!$F$14,$M240,BL$13))))</f>
        <v>1000000000000</v>
      </c>
      <c r="BM240" s="181">
        <f ca="1">IF($D240&lt;&gt;"Serviço",0,IF(AND(AUTOEVENTO="Manual",$M240=1),0,IF(OFFSET(CRONOPLE!$F$14,$M240,BM$13)="",10^12,OFFSET(CRONOPLE!$F$14,$M240,BM$13))))</f>
        <v>1000000000000</v>
      </c>
      <c r="BN240" s="181">
        <f ca="1">IF($D240&lt;&gt;"Serviço",0,IF(AND(AUTOEVENTO="Manual",$M240=1),0,IF(OFFSET(CRONOPLE!$F$14,$M240,BN$13)="",10^12,OFFSET(CRONOPLE!$F$14,$M240,BN$13))))</f>
        <v>1000000000000</v>
      </c>
      <c r="BO240" s="181">
        <f ca="1">IF($D240&lt;&gt;"Serviço",0,IF(AND(AUTOEVENTO="Manual",$M240=1),0,IF(OFFSET(CRONOPLE!$F$14,$M240,BO$13)="",10^12,OFFSET(CRONOPLE!$F$14,$M240,BO$13))))</f>
        <v>1000000000000</v>
      </c>
      <c r="BP240" s="181">
        <f ca="1">IF($D240&lt;&gt;"Serviço",0,IF(AND(AUTOEVENTO="Manual",$M240=1),0,IF(OFFSET(CRONOPLE!$F$14,$M240,BP$13)="",10^12,OFFSET(CRONOPLE!$F$14,$M240,BP$13))))</f>
        <v>1000000000000</v>
      </c>
      <c r="BQ240" s="181">
        <f ca="1">IF($D240&lt;&gt;"Serviço",0,IF(AND(AUTOEVENTO="Manual",$M240=1),0,IF(OFFSET(CRONOPLE!$F$14,$M240,BQ$13)="",10^12,OFFSET(CRONOPLE!$F$14,$M240,BQ$13))))</f>
        <v>1000000000000</v>
      </c>
      <c r="BR240" s="181">
        <f ca="1">IF($D240&lt;&gt;"Serviço",0,IF(AND(AUTOEVENTO="Manual",$M240=1),0,IF(OFFSET(CRONOPLE!$F$14,$M240,BR$13)="",10^12,OFFSET(CRONOPLE!$F$14,$M240,BR$13))))</f>
        <v>1000000000000</v>
      </c>
      <c r="BS240" s="181">
        <f ca="1">IF($D240&lt;&gt;"Serviço",0,IF(AND(AUTOEVENTO="Manual",$M240=1),0,IF(OFFSET(CRONOPLE!$F$14,$M240,BS$13)="",10^12,OFFSET(CRONOPLE!$F$14,$M240,BS$13))))</f>
        <v>1000000000000</v>
      </c>
      <c r="BT240" s="181">
        <f ca="1">IF($D240&lt;&gt;"Serviço",0,IF(AND(AUTOEVENTO="Manual",$M240=1),0,IF(OFFSET(CRONOPLE!$F$14,$M240,BT$13)="",10^12,OFFSET(CRONOPLE!$F$14,$M240,BT$13))))</f>
        <v>1000000000000</v>
      </c>
      <c r="BV240" s="182">
        <f ca="1">IF($D240&lt;&gt;"Serviço",0,IF(OR(AND(AUTOEVENTO="Manual",$M240=1),$M240&gt;(ROW(PLE.lastrow)-ROW(PLE.firstrow))),0,IF(OFFSET(PLE!$G$14,$M240,BV$13)="",10^12,OFFSET(PLE!$G$14,$M240,BV$13))))</f>
        <v>1000000000000</v>
      </c>
      <c r="BW240" s="182">
        <f ca="1">IF($D240&lt;&gt;"Serviço",0,IF(OR(AND(AUTOEVENTO="Manual",$M240=1),$M240&gt;(ROW(PLE.lastrow)-ROW(PLE.firstrow))),0,IF(OFFSET(PLE!$G$14,$M240,BW$13)="",10^12,OFFSET(PLE!$G$14,$M240,BW$13))))</f>
        <v>1000000000000</v>
      </c>
      <c r="BX240" s="182">
        <f ca="1">IF($D240&lt;&gt;"Serviço",0,IF(OR(AND(AUTOEVENTO="Manual",$M240=1),$M240&gt;(ROW(PLE.lastrow)-ROW(PLE.firstrow))),0,IF(OFFSET(PLE!$G$14,$M240,BX$13)="",10^12,OFFSET(PLE!$G$14,$M240,BX$13))))</f>
        <v>1000000000000</v>
      </c>
      <c r="BY240" s="182">
        <f ca="1">IF($D240&lt;&gt;"Serviço",0,IF(OR(AND(AUTOEVENTO="Manual",$M240=1),$M240&gt;(ROW(PLE.lastrow)-ROW(PLE.firstrow))),0,IF(OFFSET(PLE!$G$14,$M240,BY$13)="",10^12,OFFSET(PLE!$G$14,$M240,BY$13))))</f>
        <v>1000000000000</v>
      </c>
      <c r="BZ240" s="182">
        <f ca="1">IF($D240&lt;&gt;"Serviço",0,IF(OR(AND(AUTOEVENTO="Manual",$M240=1),$M240&gt;(ROW(PLE.lastrow)-ROW(PLE.firstrow))),0,IF(OFFSET(PLE!$G$14,$M240,BZ$13)="",10^12,OFFSET(PLE!$G$14,$M240,BZ$13))))</f>
        <v>1000000000000</v>
      </c>
      <c r="CA240" s="182">
        <f ca="1">IF($D240&lt;&gt;"Serviço",0,IF(OR(AND(AUTOEVENTO="Manual",$M240=1),$M240&gt;(ROW(PLE.lastrow)-ROW(PLE.firstrow))),0,IF(OFFSET(PLE!$G$14,$M240,CA$13)="",10^12,OFFSET(PLE!$G$14,$M240,CA$13))))</f>
        <v>1000000000000</v>
      </c>
      <c r="CB240" s="182">
        <f ca="1">IF($D240&lt;&gt;"Serviço",0,IF(OR(AND(AUTOEVENTO="Manual",$M240=1),$M240&gt;(ROW(PLE.lastrow)-ROW(PLE.firstrow))),0,IF(OFFSET(PLE!$G$14,$M240,CB$13)="",10^12,OFFSET(PLE!$G$14,$M240,CB$13))))</f>
        <v>1000000000000</v>
      </c>
      <c r="CC240" s="182">
        <f ca="1">IF($D240&lt;&gt;"Serviço",0,IF(OR(AND(AUTOEVENTO="Manual",$M240=1),$M240&gt;(ROW(PLE.lastrow)-ROW(PLE.firstrow))),0,IF(OFFSET(PLE!$G$14,$M240,CC$13)="",10^12,OFFSET(PLE!$G$14,$M240,CC$13))))</f>
        <v>1000000000000</v>
      </c>
      <c r="CD240" s="182">
        <f ca="1">IF($D240&lt;&gt;"Serviço",0,IF(OR(AND(AUTOEVENTO="Manual",$M240=1),$M240&gt;(ROW(PLE.lastrow)-ROW(PLE.firstrow))),0,IF(OFFSET(PLE!$G$14,$M240,CD$13)="",10^12,OFFSET(PLE!$G$14,$M240,CD$13))))</f>
        <v>1000000000000</v>
      </c>
      <c r="CE240" s="182">
        <f ca="1">IF($D240&lt;&gt;"Serviço",0,IF(OR(AND(AUTOEVENTO="Manual",$M240=1),$M240&gt;(ROW(PLE.lastrow)-ROW(PLE.firstrow))),0,IF(OFFSET(PLE!$G$14,$M240,CE$13)="",10^12,OFFSET(PLE!$G$14,$M240,CE$13))))</f>
        <v>1000000000000</v>
      </c>
      <c r="CF240" s="182">
        <f ca="1">IF($D240&lt;&gt;"Serviço",0,IF(OR(AND(AUTOEVENTO="Manual",$M240=1),$M240&gt;(ROW(PLE.lastrow)-ROW(PLE.firstrow))),0,IF(OFFSET(PLE!$G$14,$M240,CF$13)="",10^12,OFFSET(PLE!$G$14,$M240,CF$13))))</f>
        <v>1000000000000</v>
      </c>
      <c r="CG240" s="182">
        <f ca="1">IF($D240&lt;&gt;"Serviço",0,IF(OR(AND(AUTOEVENTO="Manual",$M240=1),$M240&gt;(ROW(PLE.lastrow)-ROW(PLE.firstrow))),0,IF(OFFSET(PLE!$G$14,$M240,CG$13)="",10^12,OFFSET(PLE!$G$14,$M240,CG$13))))</f>
        <v>1000000000000</v>
      </c>
      <c r="CH240" s="182">
        <f ca="1">IF($D240&lt;&gt;"Serviço",0,IF(OR(AND(AUTOEVENTO="Manual",$M240=1),$M240&gt;(ROW(PLE.lastrow)-ROW(PLE.firstrow))),0,IF(OFFSET(PLE!$G$14,$M240,CH$13)="",10^12,OFFSET(PLE!$G$14,$M240,CH$13))))</f>
        <v>1000000000000</v>
      </c>
      <c r="CI240" s="182">
        <f ca="1">IF($D240&lt;&gt;"Serviço",0,IF(OR(AND(AUTOEVENTO="Manual",$M240=1),$M240&gt;(ROW(PLE.lastrow)-ROW(PLE.firstrow))),0,IF(OFFSET(PLE!$G$14,$M240,CI$13)="",10^12,OFFSET(PLE!$G$14,$M240,CI$13))))</f>
        <v>1000000000000</v>
      </c>
      <c r="CJ240" s="182">
        <f ca="1">IF($D240&lt;&gt;"Serviço",0,IF(OR(AND(AUTOEVENTO="Manual",$M240=1),$M240&gt;(ROW(PLE.lastrow)-ROW(PLE.firstrow))),0,IF(OFFSET(PLE!$G$14,$M240,CJ$13)="",10^12,OFFSET(PLE!$G$14,$M240,CJ$13))))</f>
        <v>1000000000000</v>
      </c>
      <c r="CK240" s="182">
        <f ca="1">IF($D240&lt;&gt;"Serviço",0,IF(OR(AND(AUTOEVENTO="Manual",$M240=1),$M240&gt;(ROW(PLE.lastrow)-ROW(PLE.firstrow))),0,IF(OFFSET(PLE!$G$14,$M240,CK$13)="",10^12,OFFSET(PLE!$G$14,$M240,CK$13))))</f>
        <v>1000000000000</v>
      </c>
      <c r="CL240" s="182">
        <f ca="1">IF($D240&lt;&gt;"Serviço",0,IF(OR(AND(AUTOEVENTO="Manual",$M240=1),$M240&gt;(ROW(PLE.lastrow)-ROW(PLE.firstrow))),0,IF(OFFSET(PLE!$G$14,$M240,CL$13)="",10^12,OFFSET(PLE!$G$14,$M240,CL$13))))</f>
        <v>1000000000000</v>
      </c>
      <c r="CM240" s="182">
        <f ca="1">IF($D240&lt;&gt;"Serviço",0,IF(OR(AND(AUTOEVENTO="Manual",$M240=1),$M240&gt;(ROW(PLE.lastrow)-ROW(PLE.firstrow))),0,IF(OFFSET(PLE!$G$14,$M240,CM$13)="",10^12,OFFSET(PLE!$G$14,$M240,CM$13))))</f>
        <v>1000000000000</v>
      </c>
    </row>
    <row r="241" spans="1:91" ht="25.5" x14ac:dyDescent="0.2">
      <c r="A241" s="7" t="str">
        <f t="shared" ca="1" si="12"/>
        <v>222</v>
      </c>
      <c r="B241" s="7" t="str">
        <f ca="1">OFFSET(ORÇAMENTO!C$15,ROW(B241)-ROW(B$15),0)</f>
        <v>S</v>
      </c>
      <c r="C241" s="7" t="str">
        <f ca="1">OFFSET(ORÇAMENTO!L$15,ROW(C241)-ROW(C$15),0)</f>
        <v/>
      </c>
      <c r="D241" s="118" t="str">
        <f ca="1">OFFSET(ORÇAMENTO!N$15,ROW(D241)-ROW(D$15),0)</f>
        <v>Serviço</v>
      </c>
      <c r="E241" s="119" t="str">
        <f ca="1">OFFSET(ORÇAMENTO!O$15,ROW(E241)-ROW(E$15),0)</f>
        <v>-</v>
      </c>
      <c r="F241" s="172" t="str">
        <f ca="1">OFFSET(ORÇAMENTO!R$15,ROW(F241)-ROW(F$15),0)</f>
        <v>(abra o arquivo 'Referência 06-2024.xlsm)</v>
      </c>
      <c r="G241" s="173" t="str">
        <f ca="1">IF($D241&lt;&gt;"Serviço","",OFFSET(ORÇAMENTO!S$15,ROW(G241)-ROW(G$15),0))</f>
        <v>-</v>
      </c>
      <c r="H241" s="124">
        <f ca="1">IF($D241&lt;&gt;"Serviço",0,IF(ACOMPANHAMENTO="BM",ROUND(OFFSET(ORÇAMENTO!AJ$15,ROW(H241)-ROW(H$15),0),15-13*ORÇAMENTO!$AF$7),SUMPRODUCT(($Q$12:$AI$12&lt;&gt;"")*ROUND($Q241:$AI241,15-13*ORÇAMENTO!$AF$7))))</f>
        <v>10.49</v>
      </c>
      <c r="I241" s="561" t="s">
        <v>1107</v>
      </c>
      <c r="K241" s="174"/>
      <c r="L241" s="175" t="s">
        <v>255</v>
      </c>
      <c r="M241" s="176">
        <f ca="1">IF($D241&lt;&gt;"Serviço","",IF(AUTOEVENTO="manual",$A241,IF(ISERROR(MATCH($A241,$A$15:OFFSET($A241,-1,0),0)),MAX($M$15:OFFSET(M241,-1,0))+1,INDEX($M$15:OFFSET(M241,-1,0),MATCH($A241,$A$15:OFFSET($A241,-1,0),0)))))</f>
        <v>33</v>
      </c>
      <c r="N241" s="177" t="str">
        <f ca="1">IF($D241&lt;&gt;"Serviço","",IF(AUTOEVENTO="Manual",IF($A241=0,"&lt;-- defina o número do agrupador",OFFSET(EVENTOS!$D$14,$A241,0)),OFFSET($F$15,$A241,0)))</f>
        <v>PINTURAS E ACABAMENTOS - PISO PLAYGROUND</v>
      </c>
      <c r="O241" s="178"/>
      <c r="Q241" s="178">
        <v>10.49</v>
      </c>
      <c r="R241" s="179"/>
      <c r="S241" s="179"/>
      <c r="T241" s="179"/>
      <c r="U241" s="179"/>
      <c r="V241" s="179"/>
      <c r="W241" s="179"/>
      <c r="X241" s="179"/>
      <c r="Y241" s="179"/>
      <c r="Z241" s="180"/>
      <c r="AA241" s="179"/>
      <c r="AB241" s="179"/>
      <c r="AC241" s="179"/>
      <c r="AD241" s="179"/>
      <c r="AE241" s="179"/>
      <c r="AF241" s="179"/>
      <c r="AG241" s="179"/>
      <c r="AH241" s="180"/>
      <c r="AJ241" s="544">
        <f ca="1">IF(AND($D241="Serviço",AJ$12&lt;&gt;0,$H241&gt;0,OR(AUTOEVENTO&lt;&gt;"manual",$M241&lt;&gt;1)),
IF(Import.TipoArredondamento&lt;&gt;"TransfereGOV",
ROUND(OFFSET($P241,0,AJ$13),15-13*ORÇAMENTO!$AF$7)/$H241*OFFSET(ORÇAMENTO!$X$15,ROW(AJ241)-ROW(AJ$15),0),
ROUND(ROUND(OFFSET($P241,0,AJ$13),15-13*ORÇAMENTO!$AF$7)*OFFSET(ORÇAMENTO!$W$15,ROW(AJ241)-ROW(AJ$15),0),15-13*ORÇAMENTO!$AF$11)),0)</f>
        <v>0</v>
      </c>
      <c r="AK241" s="545">
        <f ca="1">IF(AND($D241="Serviço",AK$12&lt;&gt;0,$H241&gt;0,OR(AUTOEVENTO&lt;&gt;"manual",$M241&lt;&gt;1)),
IF(Import.TipoArredondamento&lt;&gt;"TransfereGOV",
ROUND(OFFSET($P241,0,AK$13),15-13*ORÇAMENTO!$AF$7)/$H241*OFFSET(ORÇAMENTO!$X$15,ROW(AK241)-ROW(AK$15),0),
ROUND(ROUND(OFFSET($P241,0,AK$13),15-13*ORÇAMENTO!$AF$7)*OFFSET(ORÇAMENTO!$W$15,ROW(AK241)-ROW(AK$15),0),15-13*ORÇAMENTO!$AF$11)),0)</f>
        <v>0</v>
      </c>
      <c r="AL241" s="545">
        <f ca="1">IF(AND($D241="Serviço",AL$12&lt;&gt;0,$H241&gt;0,OR(AUTOEVENTO&lt;&gt;"manual",$M241&lt;&gt;1)),
IF(Import.TipoArredondamento&lt;&gt;"TransfereGOV",
ROUND(OFFSET($P241,0,AL$13),15-13*ORÇAMENTO!$AF$7)/$H241*OFFSET(ORÇAMENTO!$X$15,ROW(AL241)-ROW(AL$15),0),
ROUND(ROUND(OFFSET($P241,0,AL$13),15-13*ORÇAMENTO!$AF$7)*OFFSET(ORÇAMENTO!$W$15,ROW(AL241)-ROW(AL$15),0),15-13*ORÇAMENTO!$AF$11)),0)</f>
        <v>0</v>
      </c>
      <c r="AM241" s="545">
        <f ca="1">IF(AND($D241="Serviço",AM$12&lt;&gt;0,$H241&gt;0,OR(AUTOEVENTO&lt;&gt;"manual",$M241&lt;&gt;1)),
IF(Import.TipoArredondamento&lt;&gt;"TransfereGOV",
ROUND(OFFSET($P241,0,AM$13),15-13*ORÇAMENTO!$AF$7)/$H241*OFFSET(ORÇAMENTO!$X$15,ROW(AM241)-ROW(AM$15),0),
ROUND(ROUND(OFFSET($P241,0,AM$13),15-13*ORÇAMENTO!$AF$7)*OFFSET(ORÇAMENTO!$W$15,ROW(AM241)-ROW(AM$15),0),15-13*ORÇAMENTO!$AF$11)),0)</f>
        <v>0</v>
      </c>
      <c r="AN241" s="545">
        <f ca="1">IF(AND($D241="Serviço",AN$12&lt;&gt;0,$H241&gt;0,OR(AUTOEVENTO&lt;&gt;"manual",$M241&lt;&gt;1)),
IF(Import.TipoArredondamento&lt;&gt;"TransfereGOV",
ROUND(OFFSET($P241,0,AN$13),15-13*ORÇAMENTO!$AF$7)/$H241*OFFSET(ORÇAMENTO!$X$15,ROW(AN241)-ROW(AN$15),0),
ROUND(ROUND(OFFSET($P241,0,AN$13),15-13*ORÇAMENTO!$AF$7)*OFFSET(ORÇAMENTO!$W$15,ROW(AN241)-ROW(AN$15),0),15-13*ORÇAMENTO!$AF$11)),0)</f>
        <v>0</v>
      </c>
      <c r="AO241" s="545">
        <f ca="1">IF(AND($D241="Serviço",AO$12&lt;&gt;0,$H241&gt;0,OR(AUTOEVENTO&lt;&gt;"manual",$M241&lt;&gt;1)),
IF(Import.TipoArredondamento&lt;&gt;"TransfereGOV",
ROUND(OFFSET($P241,0,AO$13),15-13*ORÇAMENTO!$AF$7)/$H241*OFFSET(ORÇAMENTO!$X$15,ROW(AO241)-ROW(AO$15),0),
ROUND(ROUND(OFFSET($P241,0,AO$13),15-13*ORÇAMENTO!$AF$7)*OFFSET(ORÇAMENTO!$W$15,ROW(AO241)-ROW(AO$15),0),15-13*ORÇAMENTO!$AF$11)),0)</f>
        <v>0</v>
      </c>
      <c r="AP241" s="545">
        <f ca="1">IF(AND($D241="Serviço",AP$12&lt;&gt;0,$H241&gt;0,OR(AUTOEVENTO&lt;&gt;"manual",$M241&lt;&gt;1)),
IF(Import.TipoArredondamento&lt;&gt;"TransfereGOV",
ROUND(OFFSET($P241,0,AP$13),15-13*ORÇAMENTO!$AF$7)/$H241*OFFSET(ORÇAMENTO!$X$15,ROW(AP241)-ROW(AP$15),0),
ROUND(ROUND(OFFSET($P241,0,AP$13),15-13*ORÇAMENTO!$AF$7)*OFFSET(ORÇAMENTO!$W$15,ROW(AP241)-ROW(AP$15),0),15-13*ORÇAMENTO!$AF$11)),0)</f>
        <v>0</v>
      </c>
      <c r="AQ241" s="545">
        <f ca="1">IF(AND($D241="Serviço",AQ$12&lt;&gt;0,$H241&gt;0,OR(AUTOEVENTO&lt;&gt;"manual",$M241&lt;&gt;1)),
IF(Import.TipoArredondamento&lt;&gt;"TransfereGOV",
ROUND(OFFSET($P241,0,AQ$13),15-13*ORÇAMENTO!$AF$7)/$H241*OFFSET(ORÇAMENTO!$X$15,ROW(AQ241)-ROW(AQ$15),0),
ROUND(ROUND(OFFSET($P241,0,AQ$13),15-13*ORÇAMENTO!$AF$7)*OFFSET(ORÇAMENTO!$W$15,ROW(AQ241)-ROW(AQ$15),0),15-13*ORÇAMENTO!$AF$11)),0)</f>
        <v>0</v>
      </c>
      <c r="AR241" s="545">
        <f ca="1">IF(AND($D241="Serviço",AR$12&lt;&gt;0,$H241&gt;0,OR(AUTOEVENTO&lt;&gt;"manual",$M241&lt;&gt;1)),
IF(Import.TipoArredondamento&lt;&gt;"TransfereGOV",
ROUND(OFFSET($P241,0,AR$13),15-13*ORÇAMENTO!$AF$7)/$H241*OFFSET(ORÇAMENTO!$X$15,ROW(AR241)-ROW(AR$15),0),
ROUND(ROUND(OFFSET($P241,0,AR$13),15-13*ORÇAMENTO!$AF$7)*OFFSET(ORÇAMENTO!$W$15,ROW(AR241)-ROW(AR$15),0),15-13*ORÇAMENTO!$AF$11)),0)</f>
        <v>0</v>
      </c>
      <c r="AS241" s="546">
        <f ca="1">IF(AND($D241="Serviço",AS$12&lt;&gt;0,$H241&gt;0,OR(AUTOEVENTO&lt;&gt;"manual",$M241&lt;&gt;1)),
IF(Import.TipoArredondamento&lt;&gt;"TransfereGOV",
ROUND(OFFSET($P241,0,AS$13),15-13*ORÇAMENTO!$AF$7)/$H241*OFFSET(ORÇAMENTO!$X$15,ROW(AS241)-ROW(AS$15),0),
ROUND(ROUND(OFFSET($P241,0,AS$13),15-13*ORÇAMENTO!$AF$7)*OFFSET(ORÇAMENTO!$W$15,ROW(AS241)-ROW(AS$15),0),15-13*ORÇAMENTO!$AF$11)),0)</f>
        <v>0</v>
      </c>
      <c r="AT241" s="545">
        <f ca="1">IF(AND($D241="Serviço",AT$12&lt;&gt;0,$H241&gt;0,OR(AUTOEVENTO&lt;&gt;"manual",$M241&lt;&gt;1)),
IF(Import.TipoArredondamento&lt;&gt;"TransfereGOV",
ROUND(OFFSET($P241,0,AT$13),15-13*ORÇAMENTO!$AF$7)/$H241*OFFSET(ORÇAMENTO!$X$15,ROW(AT241)-ROW(AT$15),0),
ROUND(ROUND(OFFSET($P241,0,AT$13),15-13*ORÇAMENTO!$AF$7)*OFFSET(ORÇAMENTO!$W$15,ROW(AT241)-ROW(AT$15),0),15-13*ORÇAMENTO!$AF$11)),0)</f>
        <v>0</v>
      </c>
      <c r="AU241" s="545">
        <f ca="1">IF(AND($D241="Serviço",AU$12&lt;&gt;0,$H241&gt;0,OR(AUTOEVENTO&lt;&gt;"manual",$M241&lt;&gt;1)),
IF(Import.TipoArredondamento&lt;&gt;"TransfereGOV",
ROUND(OFFSET($P241,0,AU$13),15-13*ORÇAMENTO!$AF$7)/$H241*OFFSET(ORÇAMENTO!$X$15,ROW(AU241)-ROW(AU$15),0),
ROUND(ROUND(OFFSET($P241,0,AU$13),15-13*ORÇAMENTO!$AF$7)*OFFSET(ORÇAMENTO!$W$15,ROW(AU241)-ROW(AU$15),0),15-13*ORÇAMENTO!$AF$11)),0)</f>
        <v>0</v>
      </c>
      <c r="AV241" s="545">
        <f ca="1">IF(AND($D241="Serviço",AV$12&lt;&gt;0,$H241&gt;0,OR(AUTOEVENTO&lt;&gt;"manual",$M241&lt;&gt;1)),
IF(Import.TipoArredondamento&lt;&gt;"TransfereGOV",
ROUND(OFFSET($P241,0,AV$13),15-13*ORÇAMENTO!$AF$7)/$H241*OFFSET(ORÇAMENTO!$X$15,ROW(AV241)-ROW(AV$15),0),
ROUND(ROUND(OFFSET($P241,0,AV$13),15-13*ORÇAMENTO!$AF$7)*OFFSET(ORÇAMENTO!$W$15,ROW(AV241)-ROW(AV$15),0),15-13*ORÇAMENTO!$AF$11)),0)</f>
        <v>0</v>
      </c>
      <c r="AW241" s="545">
        <f ca="1">IF(AND($D241="Serviço",AW$12&lt;&gt;0,$H241&gt;0,OR(AUTOEVENTO&lt;&gt;"manual",$M241&lt;&gt;1)),
IF(Import.TipoArredondamento&lt;&gt;"TransfereGOV",
ROUND(OFFSET($P241,0,AW$13),15-13*ORÇAMENTO!$AF$7)/$H241*OFFSET(ORÇAMENTO!$X$15,ROW(AW241)-ROW(AW$15),0),
ROUND(ROUND(OFFSET($P241,0,AW$13),15-13*ORÇAMENTO!$AF$7)*OFFSET(ORÇAMENTO!$W$15,ROW(AW241)-ROW(AW$15),0),15-13*ORÇAMENTO!$AF$11)),0)</f>
        <v>0</v>
      </c>
      <c r="AX241" s="545">
        <f ca="1">IF(AND($D241="Serviço",AX$12&lt;&gt;0,$H241&gt;0,OR(AUTOEVENTO&lt;&gt;"manual",$M241&lt;&gt;1)),
IF(Import.TipoArredondamento&lt;&gt;"TransfereGOV",
ROUND(OFFSET($P241,0,AX$13),15-13*ORÇAMENTO!$AF$7)/$H241*OFFSET(ORÇAMENTO!$X$15,ROW(AX241)-ROW(AX$15),0),
ROUND(ROUND(OFFSET($P241,0,AX$13),15-13*ORÇAMENTO!$AF$7)*OFFSET(ORÇAMENTO!$W$15,ROW(AX241)-ROW(AX$15),0),15-13*ORÇAMENTO!$AF$11)),0)</f>
        <v>0</v>
      </c>
      <c r="AY241" s="545">
        <f ca="1">IF(AND($D241="Serviço",AY$12&lt;&gt;0,$H241&gt;0,OR(AUTOEVENTO&lt;&gt;"manual",$M241&lt;&gt;1)),
IF(Import.TipoArredondamento&lt;&gt;"TransfereGOV",
ROUND(OFFSET($P241,0,AY$13),15-13*ORÇAMENTO!$AF$7)/$H241*OFFSET(ORÇAMENTO!$X$15,ROW(AY241)-ROW(AY$15),0),
ROUND(ROUND(OFFSET($P241,0,AY$13),15-13*ORÇAMENTO!$AF$7)*OFFSET(ORÇAMENTO!$W$15,ROW(AY241)-ROW(AY$15),0),15-13*ORÇAMENTO!$AF$11)),0)</f>
        <v>0</v>
      </c>
      <c r="AZ241" s="545">
        <f ca="1">IF(AND($D241="Serviço",AZ$12&lt;&gt;0,$H241&gt;0,OR(AUTOEVENTO&lt;&gt;"manual",$M241&lt;&gt;1)),
IF(Import.TipoArredondamento&lt;&gt;"TransfereGOV",
ROUND(OFFSET($P241,0,AZ$13),15-13*ORÇAMENTO!$AF$7)/$H241*OFFSET(ORÇAMENTO!$X$15,ROW(AZ241)-ROW(AZ$15),0),
ROUND(ROUND(OFFSET($P241,0,AZ$13),15-13*ORÇAMENTO!$AF$7)*OFFSET(ORÇAMENTO!$W$15,ROW(AZ241)-ROW(AZ$15),0),15-13*ORÇAMENTO!$AF$11)),0)</f>
        <v>0</v>
      </c>
      <c r="BA241" s="546">
        <f ca="1">IF(AND($D241="Serviço",BA$12&lt;&gt;0,$H241&gt;0,OR(AUTOEVENTO&lt;&gt;"manual",$M241&lt;&gt;1)),
IF(Import.TipoArredondamento&lt;&gt;"TransfereGOV",
ROUND(OFFSET($P241,0,BA$13),15-13*ORÇAMENTO!$AF$7)/$H241*OFFSET(ORÇAMENTO!$X$15,ROW(BA241)-ROW(BA$15),0),
ROUND(ROUND(OFFSET($P241,0,BA$13),15-13*ORÇAMENTO!$AF$7)*OFFSET(ORÇAMENTO!$W$15,ROW(BA241)-ROW(BA$15),0),15-13*ORÇAMENTO!$AF$11)),0)</f>
        <v>0</v>
      </c>
      <c r="BC241" s="181">
        <f ca="1">IF($D241&lt;&gt;"Serviço",0,IF(AND(AUTOEVENTO="Manual",$M241=1),0,IF(OFFSET(CRONOPLE!$F$14,$M241,BC$13)="",10^12,OFFSET(CRONOPLE!$F$14,$M241,BC$13))))</f>
        <v>9</v>
      </c>
      <c r="BD241" s="181">
        <f ca="1">IF($D241&lt;&gt;"Serviço",0,IF(AND(AUTOEVENTO="Manual",$M241=1),0,IF(OFFSET(CRONOPLE!$F$14,$M241,BD$13)="",10^12,OFFSET(CRONOPLE!$F$14,$M241,BD$13))))</f>
        <v>1000000000000</v>
      </c>
      <c r="BE241" s="181">
        <f ca="1">IF($D241&lt;&gt;"Serviço",0,IF(AND(AUTOEVENTO="Manual",$M241=1),0,IF(OFFSET(CRONOPLE!$F$14,$M241,BE$13)="",10^12,OFFSET(CRONOPLE!$F$14,$M241,BE$13))))</f>
        <v>1000000000000</v>
      </c>
      <c r="BF241" s="181">
        <f ca="1">IF($D241&lt;&gt;"Serviço",0,IF(AND(AUTOEVENTO="Manual",$M241=1),0,IF(OFFSET(CRONOPLE!$F$14,$M241,BF$13)="",10^12,OFFSET(CRONOPLE!$F$14,$M241,BF$13))))</f>
        <v>1000000000000</v>
      </c>
      <c r="BG241" s="181">
        <f ca="1">IF($D241&lt;&gt;"Serviço",0,IF(AND(AUTOEVENTO="Manual",$M241=1),0,IF(OFFSET(CRONOPLE!$F$14,$M241,BG$13)="",10^12,OFFSET(CRONOPLE!$F$14,$M241,BG$13))))</f>
        <v>1000000000000</v>
      </c>
      <c r="BH241" s="181">
        <f ca="1">IF($D241&lt;&gt;"Serviço",0,IF(AND(AUTOEVENTO="Manual",$M241=1),0,IF(OFFSET(CRONOPLE!$F$14,$M241,BH$13)="",10^12,OFFSET(CRONOPLE!$F$14,$M241,BH$13))))</f>
        <v>1000000000000</v>
      </c>
      <c r="BI241" s="181">
        <f ca="1">IF($D241&lt;&gt;"Serviço",0,IF(AND(AUTOEVENTO="Manual",$M241=1),0,IF(OFFSET(CRONOPLE!$F$14,$M241,BI$13)="",10^12,OFFSET(CRONOPLE!$F$14,$M241,BI$13))))</f>
        <v>1000000000000</v>
      </c>
      <c r="BJ241" s="181">
        <f ca="1">IF($D241&lt;&gt;"Serviço",0,IF(AND(AUTOEVENTO="Manual",$M241=1),0,IF(OFFSET(CRONOPLE!$F$14,$M241,BJ$13)="",10^12,OFFSET(CRONOPLE!$F$14,$M241,BJ$13))))</f>
        <v>1000000000000</v>
      </c>
      <c r="BK241" s="181">
        <f ca="1">IF($D241&lt;&gt;"Serviço",0,IF(AND(AUTOEVENTO="Manual",$M241=1),0,IF(OFFSET(CRONOPLE!$F$14,$M241,BK$13)="",10^12,OFFSET(CRONOPLE!$F$14,$M241,BK$13))))</f>
        <v>1000000000000</v>
      </c>
      <c r="BL241" s="181">
        <f ca="1">IF($D241&lt;&gt;"Serviço",0,IF(AND(AUTOEVENTO="Manual",$M241=1),0,IF(OFFSET(CRONOPLE!$F$14,$M241,BL$13)="",10^12,OFFSET(CRONOPLE!$F$14,$M241,BL$13))))</f>
        <v>1000000000000</v>
      </c>
      <c r="BM241" s="181">
        <f ca="1">IF($D241&lt;&gt;"Serviço",0,IF(AND(AUTOEVENTO="Manual",$M241=1),0,IF(OFFSET(CRONOPLE!$F$14,$M241,BM$13)="",10^12,OFFSET(CRONOPLE!$F$14,$M241,BM$13))))</f>
        <v>1000000000000</v>
      </c>
      <c r="BN241" s="181">
        <f ca="1">IF($D241&lt;&gt;"Serviço",0,IF(AND(AUTOEVENTO="Manual",$M241=1),0,IF(OFFSET(CRONOPLE!$F$14,$M241,BN$13)="",10^12,OFFSET(CRONOPLE!$F$14,$M241,BN$13))))</f>
        <v>1000000000000</v>
      </c>
      <c r="BO241" s="181">
        <f ca="1">IF($D241&lt;&gt;"Serviço",0,IF(AND(AUTOEVENTO="Manual",$M241=1),0,IF(OFFSET(CRONOPLE!$F$14,$M241,BO$13)="",10^12,OFFSET(CRONOPLE!$F$14,$M241,BO$13))))</f>
        <v>1000000000000</v>
      </c>
      <c r="BP241" s="181">
        <f ca="1">IF($D241&lt;&gt;"Serviço",0,IF(AND(AUTOEVENTO="Manual",$M241=1),0,IF(OFFSET(CRONOPLE!$F$14,$M241,BP$13)="",10^12,OFFSET(CRONOPLE!$F$14,$M241,BP$13))))</f>
        <v>1000000000000</v>
      </c>
      <c r="BQ241" s="181">
        <f ca="1">IF($D241&lt;&gt;"Serviço",0,IF(AND(AUTOEVENTO="Manual",$M241=1),0,IF(OFFSET(CRONOPLE!$F$14,$M241,BQ$13)="",10^12,OFFSET(CRONOPLE!$F$14,$M241,BQ$13))))</f>
        <v>1000000000000</v>
      </c>
      <c r="BR241" s="181">
        <f ca="1">IF($D241&lt;&gt;"Serviço",0,IF(AND(AUTOEVENTO="Manual",$M241=1),0,IF(OFFSET(CRONOPLE!$F$14,$M241,BR$13)="",10^12,OFFSET(CRONOPLE!$F$14,$M241,BR$13))))</f>
        <v>1000000000000</v>
      </c>
      <c r="BS241" s="181">
        <f ca="1">IF($D241&lt;&gt;"Serviço",0,IF(AND(AUTOEVENTO="Manual",$M241=1),0,IF(OFFSET(CRONOPLE!$F$14,$M241,BS$13)="",10^12,OFFSET(CRONOPLE!$F$14,$M241,BS$13))))</f>
        <v>1000000000000</v>
      </c>
      <c r="BT241" s="181">
        <f ca="1">IF($D241&lt;&gt;"Serviço",0,IF(AND(AUTOEVENTO="Manual",$M241=1),0,IF(OFFSET(CRONOPLE!$F$14,$M241,BT$13)="",10^12,OFFSET(CRONOPLE!$F$14,$M241,BT$13))))</f>
        <v>1000000000000</v>
      </c>
      <c r="BV241" s="182">
        <f ca="1">IF($D241&lt;&gt;"Serviço",0,IF(OR(AND(AUTOEVENTO="Manual",$M241=1),$M241&gt;(ROW(PLE.lastrow)-ROW(PLE.firstrow))),0,IF(OFFSET(PLE!$G$14,$M241,BV$13)="",10^12,OFFSET(PLE!$G$14,$M241,BV$13))))</f>
        <v>1000000000000</v>
      </c>
      <c r="BW241" s="182">
        <f ca="1">IF($D241&lt;&gt;"Serviço",0,IF(OR(AND(AUTOEVENTO="Manual",$M241=1),$M241&gt;(ROW(PLE.lastrow)-ROW(PLE.firstrow))),0,IF(OFFSET(PLE!$G$14,$M241,BW$13)="",10^12,OFFSET(PLE!$G$14,$M241,BW$13))))</f>
        <v>1000000000000</v>
      </c>
      <c r="BX241" s="182">
        <f ca="1">IF($D241&lt;&gt;"Serviço",0,IF(OR(AND(AUTOEVENTO="Manual",$M241=1),$M241&gt;(ROW(PLE.lastrow)-ROW(PLE.firstrow))),0,IF(OFFSET(PLE!$G$14,$M241,BX$13)="",10^12,OFFSET(PLE!$G$14,$M241,BX$13))))</f>
        <v>1000000000000</v>
      </c>
      <c r="BY241" s="182">
        <f ca="1">IF($D241&lt;&gt;"Serviço",0,IF(OR(AND(AUTOEVENTO="Manual",$M241=1),$M241&gt;(ROW(PLE.lastrow)-ROW(PLE.firstrow))),0,IF(OFFSET(PLE!$G$14,$M241,BY$13)="",10^12,OFFSET(PLE!$G$14,$M241,BY$13))))</f>
        <v>1000000000000</v>
      </c>
      <c r="BZ241" s="182">
        <f ca="1">IF($D241&lt;&gt;"Serviço",0,IF(OR(AND(AUTOEVENTO="Manual",$M241=1),$M241&gt;(ROW(PLE.lastrow)-ROW(PLE.firstrow))),0,IF(OFFSET(PLE!$G$14,$M241,BZ$13)="",10^12,OFFSET(PLE!$G$14,$M241,BZ$13))))</f>
        <v>1000000000000</v>
      </c>
      <c r="CA241" s="182">
        <f ca="1">IF($D241&lt;&gt;"Serviço",0,IF(OR(AND(AUTOEVENTO="Manual",$M241=1),$M241&gt;(ROW(PLE.lastrow)-ROW(PLE.firstrow))),0,IF(OFFSET(PLE!$G$14,$M241,CA$13)="",10^12,OFFSET(PLE!$G$14,$M241,CA$13))))</f>
        <v>1000000000000</v>
      </c>
      <c r="CB241" s="182">
        <f ca="1">IF($D241&lt;&gt;"Serviço",0,IF(OR(AND(AUTOEVENTO="Manual",$M241=1),$M241&gt;(ROW(PLE.lastrow)-ROW(PLE.firstrow))),0,IF(OFFSET(PLE!$G$14,$M241,CB$13)="",10^12,OFFSET(PLE!$G$14,$M241,CB$13))))</f>
        <v>1000000000000</v>
      </c>
      <c r="CC241" s="182">
        <f ca="1">IF($D241&lt;&gt;"Serviço",0,IF(OR(AND(AUTOEVENTO="Manual",$M241=1),$M241&gt;(ROW(PLE.lastrow)-ROW(PLE.firstrow))),0,IF(OFFSET(PLE!$G$14,$M241,CC$13)="",10^12,OFFSET(PLE!$G$14,$M241,CC$13))))</f>
        <v>1000000000000</v>
      </c>
      <c r="CD241" s="182">
        <f ca="1">IF($D241&lt;&gt;"Serviço",0,IF(OR(AND(AUTOEVENTO="Manual",$M241=1),$M241&gt;(ROW(PLE.lastrow)-ROW(PLE.firstrow))),0,IF(OFFSET(PLE!$G$14,$M241,CD$13)="",10^12,OFFSET(PLE!$G$14,$M241,CD$13))))</f>
        <v>1000000000000</v>
      </c>
      <c r="CE241" s="182">
        <f ca="1">IF($D241&lt;&gt;"Serviço",0,IF(OR(AND(AUTOEVENTO="Manual",$M241=1),$M241&gt;(ROW(PLE.lastrow)-ROW(PLE.firstrow))),0,IF(OFFSET(PLE!$G$14,$M241,CE$13)="",10^12,OFFSET(PLE!$G$14,$M241,CE$13))))</f>
        <v>1000000000000</v>
      </c>
      <c r="CF241" s="182">
        <f ca="1">IF($D241&lt;&gt;"Serviço",0,IF(OR(AND(AUTOEVENTO="Manual",$M241=1),$M241&gt;(ROW(PLE.lastrow)-ROW(PLE.firstrow))),0,IF(OFFSET(PLE!$G$14,$M241,CF$13)="",10^12,OFFSET(PLE!$G$14,$M241,CF$13))))</f>
        <v>1000000000000</v>
      </c>
      <c r="CG241" s="182">
        <f ca="1">IF($D241&lt;&gt;"Serviço",0,IF(OR(AND(AUTOEVENTO="Manual",$M241=1),$M241&gt;(ROW(PLE.lastrow)-ROW(PLE.firstrow))),0,IF(OFFSET(PLE!$G$14,$M241,CG$13)="",10^12,OFFSET(PLE!$G$14,$M241,CG$13))))</f>
        <v>1000000000000</v>
      </c>
      <c r="CH241" s="182">
        <f ca="1">IF($D241&lt;&gt;"Serviço",0,IF(OR(AND(AUTOEVENTO="Manual",$M241=1),$M241&gt;(ROW(PLE.lastrow)-ROW(PLE.firstrow))),0,IF(OFFSET(PLE!$G$14,$M241,CH$13)="",10^12,OFFSET(PLE!$G$14,$M241,CH$13))))</f>
        <v>1000000000000</v>
      </c>
      <c r="CI241" s="182">
        <f ca="1">IF($D241&lt;&gt;"Serviço",0,IF(OR(AND(AUTOEVENTO="Manual",$M241=1),$M241&gt;(ROW(PLE.lastrow)-ROW(PLE.firstrow))),0,IF(OFFSET(PLE!$G$14,$M241,CI$13)="",10^12,OFFSET(PLE!$G$14,$M241,CI$13))))</f>
        <v>1000000000000</v>
      </c>
      <c r="CJ241" s="182">
        <f ca="1">IF($D241&lt;&gt;"Serviço",0,IF(OR(AND(AUTOEVENTO="Manual",$M241=1),$M241&gt;(ROW(PLE.lastrow)-ROW(PLE.firstrow))),0,IF(OFFSET(PLE!$G$14,$M241,CJ$13)="",10^12,OFFSET(PLE!$G$14,$M241,CJ$13))))</f>
        <v>1000000000000</v>
      </c>
      <c r="CK241" s="182">
        <f ca="1">IF($D241&lt;&gt;"Serviço",0,IF(OR(AND(AUTOEVENTO="Manual",$M241=1),$M241&gt;(ROW(PLE.lastrow)-ROW(PLE.firstrow))),0,IF(OFFSET(PLE!$G$14,$M241,CK$13)="",10^12,OFFSET(PLE!$G$14,$M241,CK$13))))</f>
        <v>1000000000000</v>
      </c>
      <c r="CL241" s="182">
        <f ca="1">IF($D241&lt;&gt;"Serviço",0,IF(OR(AND(AUTOEVENTO="Manual",$M241=1),$M241&gt;(ROW(PLE.lastrow)-ROW(PLE.firstrow))),0,IF(OFFSET(PLE!$G$14,$M241,CL$13)="",10^12,OFFSET(PLE!$G$14,$M241,CL$13))))</f>
        <v>1000000000000</v>
      </c>
      <c r="CM241" s="182">
        <f ca="1">IF($D241&lt;&gt;"Serviço",0,IF(OR(AND(AUTOEVENTO="Manual",$M241=1),$M241&gt;(ROW(PLE.lastrow)-ROW(PLE.firstrow))),0,IF(OFFSET(PLE!$G$14,$M241,CM$13)="",10^12,OFFSET(PLE!$G$14,$M241,CM$13))))</f>
        <v>1000000000000</v>
      </c>
    </row>
    <row r="242" spans="1:91" ht="25.5" x14ac:dyDescent="0.2">
      <c r="A242" s="7" t="str">
        <f t="shared" ca="1" si="12"/>
        <v>222</v>
      </c>
      <c r="B242" s="7" t="str">
        <f ca="1">OFFSET(ORÇAMENTO!C$15,ROW(B242)-ROW(B$15),0)</f>
        <v>S</v>
      </c>
      <c r="C242" s="7" t="str">
        <f ca="1">OFFSET(ORÇAMENTO!L$15,ROW(C242)-ROW(C$15),0)</f>
        <v/>
      </c>
      <c r="D242" s="118" t="str">
        <f ca="1">OFFSET(ORÇAMENTO!N$15,ROW(D242)-ROW(D$15),0)</f>
        <v>Serviço</v>
      </c>
      <c r="E242" s="119" t="str">
        <f ca="1">OFFSET(ORÇAMENTO!O$15,ROW(E242)-ROW(E$15),0)</f>
        <v>-</v>
      </c>
      <c r="F242" s="172" t="str">
        <f ca="1">OFFSET(ORÇAMENTO!R$15,ROW(F242)-ROW(F$15),0)</f>
        <v>(abra o arquivo 'Referência 06-2024.xlsm)</v>
      </c>
      <c r="G242" s="173" t="str">
        <f ca="1">IF($D242&lt;&gt;"Serviço","",OFFSET(ORÇAMENTO!S$15,ROW(G242)-ROW(G$15),0))</f>
        <v>-</v>
      </c>
      <c r="H242" s="124">
        <f ca="1">IF($D242&lt;&gt;"Serviço",0,IF(ACOMPANHAMENTO="BM",ROUND(OFFSET(ORÇAMENTO!AJ$15,ROW(H242)-ROW(H$15),0),15-13*ORÇAMENTO!$AF$7),SUMPRODUCT(($Q$12:$AI$12&lt;&gt;"")*ROUND($Q242:$AI242,15-13*ORÇAMENTO!$AF$7))))</f>
        <v>2.94</v>
      </c>
      <c r="I242" s="561" t="s">
        <v>1107</v>
      </c>
      <c r="K242" s="174"/>
      <c r="L242" s="175" t="s">
        <v>255</v>
      </c>
      <c r="M242" s="176">
        <f ca="1">IF($D242&lt;&gt;"Serviço","",IF(AUTOEVENTO="manual",$A242,IF(ISERROR(MATCH($A242,$A$15:OFFSET($A242,-1,0),0)),MAX($M$15:OFFSET(M242,-1,0))+1,INDEX($M$15:OFFSET(M242,-1,0),MATCH($A242,$A$15:OFFSET($A242,-1,0),0)))))</f>
        <v>33</v>
      </c>
      <c r="N242" s="177" t="str">
        <f ca="1">IF($D242&lt;&gt;"Serviço","",IF(AUTOEVENTO="Manual",IF($A242=0,"&lt;-- defina o número do agrupador",OFFSET(EVENTOS!$D$14,$A242,0)),OFFSET($F$15,$A242,0)))</f>
        <v>PINTURAS E ACABAMENTOS - PISO PLAYGROUND</v>
      </c>
      <c r="O242" s="178"/>
      <c r="Q242" s="178">
        <v>2.94</v>
      </c>
      <c r="R242" s="179"/>
      <c r="S242" s="179"/>
      <c r="T242" s="179"/>
      <c r="U242" s="179"/>
      <c r="V242" s="179"/>
      <c r="W242" s="179"/>
      <c r="X242" s="179"/>
      <c r="Y242" s="179"/>
      <c r="Z242" s="180"/>
      <c r="AA242" s="179"/>
      <c r="AB242" s="179"/>
      <c r="AC242" s="179"/>
      <c r="AD242" s="179"/>
      <c r="AE242" s="179"/>
      <c r="AF242" s="179"/>
      <c r="AG242" s="179"/>
      <c r="AH242" s="180"/>
      <c r="AJ242" s="544">
        <f ca="1">IF(AND($D242="Serviço",AJ$12&lt;&gt;0,$H242&gt;0,OR(AUTOEVENTO&lt;&gt;"manual",$M242&lt;&gt;1)),
IF(Import.TipoArredondamento&lt;&gt;"TransfereGOV",
ROUND(OFFSET($P242,0,AJ$13),15-13*ORÇAMENTO!$AF$7)/$H242*OFFSET(ORÇAMENTO!$X$15,ROW(AJ242)-ROW(AJ$15),0),
ROUND(ROUND(OFFSET($P242,0,AJ$13),15-13*ORÇAMENTO!$AF$7)*OFFSET(ORÇAMENTO!$W$15,ROW(AJ242)-ROW(AJ$15),0),15-13*ORÇAMENTO!$AF$11)),0)</f>
        <v>0</v>
      </c>
      <c r="AK242" s="545">
        <f ca="1">IF(AND($D242="Serviço",AK$12&lt;&gt;0,$H242&gt;0,OR(AUTOEVENTO&lt;&gt;"manual",$M242&lt;&gt;1)),
IF(Import.TipoArredondamento&lt;&gt;"TransfereGOV",
ROUND(OFFSET($P242,0,AK$13),15-13*ORÇAMENTO!$AF$7)/$H242*OFFSET(ORÇAMENTO!$X$15,ROW(AK242)-ROW(AK$15),0),
ROUND(ROUND(OFFSET($P242,0,AK$13),15-13*ORÇAMENTO!$AF$7)*OFFSET(ORÇAMENTO!$W$15,ROW(AK242)-ROW(AK$15),0),15-13*ORÇAMENTO!$AF$11)),0)</f>
        <v>0</v>
      </c>
      <c r="AL242" s="545">
        <f ca="1">IF(AND($D242="Serviço",AL$12&lt;&gt;0,$H242&gt;0,OR(AUTOEVENTO&lt;&gt;"manual",$M242&lt;&gt;1)),
IF(Import.TipoArredondamento&lt;&gt;"TransfereGOV",
ROUND(OFFSET($P242,0,AL$13),15-13*ORÇAMENTO!$AF$7)/$H242*OFFSET(ORÇAMENTO!$X$15,ROW(AL242)-ROW(AL$15),0),
ROUND(ROUND(OFFSET($P242,0,AL$13),15-13*ORÇAMENTO!$AF$7)*OFFSET(ORÇAMENTO!$W$15,ROW(AL242)-ROW(AL$15),0),15-13*ORÇAMENTO!$AF$11)),0)</f>
        <v>0</v>
      </c>
      <c r="AM242" s="545">
        <f ca="1">IF(AND($D242="Serviço",AM$12&lt;&gt;0,$H242&gt;0,OR(AUTOEVENTO&lt;&gt;"manual",$M242&lt;&gt;1)),
IF(Import.TipoArredondamento&lt;&gt;"TransfereGOV",
ROUND(OFFSET($P242,0,AM$13),15-13*ORÇAMENTO!$AF$7)/$H242*OFFSET(ORÇAMENTO!$X$15,ROW(AM242)-ROW(AM$15),0),
ROUND(ROUND(OFFSET($P242,0,AM$13),15-13*ORÇAMENTO!$AF$7)*OFFSET(ORÇAMENTO!$W$15,ROW(AM242)-ROW(AM$15),0),15-13*ORÇAMENTO!$AF$11)),0)</f>
        <v>0</v>
      </c>
      <c r="AN242" s="545">
        <f ca="1">IF(AND($D242="Serviço",AN$12&lt;&gt;0,$H242&gt;0,OR(AUTOEVENTO&lt;&gt;"manual",$M242&lt;&gt;1)),
IF(Import.TipoArredondamento&lt;&gt;"TransfereGOV",
ROUND(OFFSET($P242,0,AN$13),15-13*ORÇAMENTO!$AF$7)/$H242*OFFSET(ORÇAMENTO!$X$15,ROW(AN242)-ROW(AN$15),0),
ROUND(ROUND(OFFSET($P242,0,AN$13),15-13*ORÇAMENTO!$AF$7)*OFFSET(ORÇAMENTO!$W$15,ROW(AN242)-ROW(AN$15),0),15-13*ORÇAMENTO!$AF$11)),0)</f>
        <v>0</v>
      </c>
      <c r="AO242" s="545">
        <f ca="1">IF(AND($D242="Serviço",AO$12&lt;&gt;0,$H242&gt;0,OR(AUTOEVENTO&lt;&gt;"manual",$M242&lt;&gt;1)),
IF(Import.TipoArredondamento&lt;&gt;"TransfereGOV",
ROUND(OFFSET($P242,0,AO$13),15-13*ORÇAMENTO!$AF$7)/$H242*OFFSET(ORÇAMENTO!$X$15,ROW(AO242)-ROW(AO$15),0),
ROUND(ROUND(OFFSET($P242,0,AO$13),15-13*ORÇAMENTO!$AF$7)*OFFSET(ORÇAMENTO!$W$15,ROW(AO242)-ROW(AO$15),0),15-13*ORÇAMENTO!$AF$11)),0)</f>
        <v>0</v>
      </c>
      <c r="AP242" s="545">
        <f ca="1">IF(AND($D242="Serviço",AP$12&lt;&gt;0,$H242&gt;0,OR(AUTOEVENTO&lt;&gt;"manual",$M242&lt;&gt;1)),
IF(Import.TipoArredondamento&lt;&gt;"TransfereGOV",
ROUND(OFFSET($P242,0,AP$13),15-13*ORÇAMENTO!$AF$7)/$H242*OFFSET(ORÇAMENTO!$X$15,ROW(AP242)-ROW(AP$15),0),
ROUND(ROUND(OFFSET($P242,0,AP$13),15-13*ORÇAMENTO!$AF$7)*OFFSET(ORÇAMENTO!$W$15,ROW(AP242)-ROW(AP$15),0),15-13*ORÇAMENTO!$AF$11)),0)</f>
        <v>0</v>
      </c>
      <c r="AQ242" s="545">
        <f ca="1">IF(AND($D242="Serviço",AQ$12&lt;&gt;0,$H242&gt;0,OR(AUTOEVENTO&lt;&gt;"manual",$M242&lt;&gt;1)),
IF(Import.TipoArredondamento&lt;&gt;"TransfereGOV",
ROUND(OFFSET($P242,0,AQ$13),15-13*ORÇAMENTO!$AF$7)/$H242*OFFSET(ORÇAMENTO!$X$15,ROW(AQ242)-ROW(AQ$15),0),
ROUND(ROUND(OFFSET($P242,0,AQ$13),15-13*ORÇAMENTO!$AF$7)*OFFSET(ORÇAMENTO!$W$15,ROW(AQ242)-ROW(AQ$15),0),15-13*ORÇAMENTO!$AF$11)),0)</f>
        <v>0</v>
      </c>
      <c r="AR242" s="545">
        <f ca="1">IF(AND($D242="Serviço",AR$12&lt;&gt;0,$H242&gt;0,OR(AUTOEVENTO&lt;&gt;"manual",$M242&lt;&gt;1)),
IF(Import.TipoArredondamento&lt;&gt;"TransfereGOV",
ROUND(OFFSET($P242,0,AR$13),15-13*ORÇAMENTO!$AF$7)/$H242*OFFSET(ORÇAMENTO!$X$15,ROW(AR242)-ROW(AR$15),0),
ROUND(ROUND(OFFSET($P242,0,AR$13),15-13*ORÇAMENTO!$AF$7)*OFFSET(ORÇAMENTO!$W$15,ROW(AR242)-ROW(AR$15),0),15-13*ORÇAMENTO!$AF$11)),0)</f>
        <v>0</v>
      </c>
      <c r="AS242" s="546">
        <f ca="1">IF(AND($D242="Serviço",AS$12&lt;&gt;0,$H242&gt;0,OR(AUTOEVENTO&lt;&gt;"manual",$M242&lt;&gt;1)),
IF(Import.TipoArredondamento&lt;&gt;"TransfereGOV",
ROUND(OFFSET($P242,0,AS$13),15-13*ORÇAMENTO!$AF$7)/$H242*OFFSET(ORÇAMENTO!$X$15,ROW(AS242)-ROW(AS$15),0),
ROUND(ROUND(OFFSET($P242,0,AS$13),15-13*ORÇAMENTO!$AF$7)*OFFSET(ORÇAMENTO!$W$15,ROW(AS242)-ROW(AS$15),0),15-13*ORÇAMENTO!$AF$11)),0)</f>
        <v>0</v>
      </c>
      <c r="AT242" s="545">
        <f ca="1">IF(AND($D242="Serviço",AT$12&lt;&gt;0,$H242&gt;0,OR(AUTOEVENTO&lt;&gt;"manual",$M242&lt;&gt;1)),
IF(Import.TipoArredondamento&lt;&gt;"TransfereGOV",
ROUND(OFFSET($P242,0,AT$13),15-13*ORÇAMENTO!$AF$7)/$H242*OFFSET(ORÇAMENTO!$X$15,ROW(AT242)-ROW(AT$15),0),
ROUND(ROUND(OFFSET($P242,0,AT$13),15-13*ORÇAMENTO!$AF$7)*OFFSET(ORÇAMENTO!$W$15,ROW(AT242)-ROW(AT$15),0),15-13*ORÇAMENTO!$AF$11)),0)</f>
        <v>0</v>
      </c>
      <c r="AU242" s="545">
        <f ca="1">IF(AND($D242="Serviço",AU$12&lt;&gt;0,$H242&gt;0,OR(AUTOEVENTO&lt;&gt;"manual",$M242&lt;&gt;1)),
IF(Import.TipoArredondamento&lt;&gt;"TransfereGOV",
ROUND(OFFSET($P242,0,AU$13),15-13*ORÇAMENTO!$AF$7)/$H242*OFFSET(ORÇAMENTO!$X$15,ROW(AU242)-ROW(AU$15),0),
ROUND(ROUND(OFFSET($P242,0,AU$13),15-13*ORÇAMENTO!$AF$7)*OFFSET(ORÇAMENTO!$W$15,ROW(AU242)-ROW(AU$15),0),15-13*ORÇAMENTO!$AF$11)),0)</f>
        <v>0</v>
      </c>
      <c r="AV242" s="545">
        <f ca="1">IF(AND($D242="Serviço",AV$12&lt;&gt;0,$H242&gt;0,OR(AUTOEVENTO&lt;&gt;"manual",$M242&lt;&gt;1)),
IF(Import.TipoArredondamento&lt;&gt;"TransfereGOV",
ROUND(OFFSET($P242,0,AV$13),15-13*ORÇAMENTO!$AF$7)/$H242*OFFSET(ORÇAMENTO!$X$15,ROW(AV242)-ROW(AV$15),0),
ROUND(ROUND(OFFSET($P242,0,AV$13),15-13*ORÇAMENTO!$AF$7)*OFFSET(ORÇAMENTO!$W$15,ROW(AV242)-ROW(AV$15),0),15-13*ORÇAMENTO!$AF$11)),0)</f>
        <v>0</v>
      </c>
      <c r="AW242" s="545">
        <f ca="1">IF(AND($D242="Serviço",AW$12&lt;&gt;0,$H242&gt;0,OR(AUTOEVENTO&lt;&gt;"manual",$M242&lt;&gt;1)),
IF(Import.TipoArredondamento&lt;&gt;"TransfereGOV",
ROUND(OFFSET($P242,0,AW$13),15-13*ORÇAMENTO!$AF$7)/$H242*OFFSET(ORÇAMENTO!$X$15,ROW(AW242)-ROW(AW$15),0),
ROUND(ROUND(OFFSET($P242,0,AW$13),15-13*ORÇAMENTO!$AF$7)*OFFSET(ORÇAMENTO!$W$15,ROW(AW242)-ROW(AW$15),0),15-13*ORÇAMENTO!$AF$11)),0)</f>
        <v>0</v>
      </c>
      <c r="AX242" s="545">
        <f ca="1">IF(AND($D242="Serviço",AX$12&lt;&gt;0,$H242&gt;0,OR(AUTOEVENTO&lt;&gt;"manual",$M242&lt;&gt;1)),
IF(Import.TipoArredondamento&lt;&gt;"TransfereGOV",
ROUND(OFFSET($P242,0,AX$13),15-13*ORÇAMENTO!$AF$7)/$H242*OFFSET(ORÇAMENTO!$X$15,ROW(AX242)-ROW(AX$15),0),
ROUND(ROUND(OFFSET($P242,0,AX$13),15-13*ORÇAMENTO!$AF$7)*OFFSET(ORÇAMENTO!$W$15,ROW(AX242)-ROW(AX$15),0),15-13*ORÇAMENTO!$AF$11)),0)</f>
        <v>0</v>
      </c>
      <c r="AY242" s="545">
        <f ca="1">IF(AND($D242="Serviço",AY$12&lt;&gt;0,$H242&gt;0,OR(AUTOEVENTO&lt;&gt;"manual",$M242&lt;&gt;1)),
IF(Import.TipoArredondamento&lt;&gt;"TransfereGOV",
ROUND(OFFSET($P242,0,AY$13),15-13*ORÇAMENTO!$AF$7)/$H242*OFFSET(ORÇAMENTO!$X$15,ROW(AY242)-ROW(AY$15),0),
ROUND(ROUND(OFFSET($P242,0,AY$13),15-13*ORÇAMENTO!$AF$7)*OFFSET(ORÇAMENTO!$W$15,ROW(AY242)-ROW(AY$15),0),15-13*ORÇAMENTO!$AF$11)),0)</f>
        <v>0</v>
      </c>
      <c r="AZ242" s="545">
        <f ca="1">IF(AND($D242="Serviço",AZ$12&lt;&gt;0,$H242&gt;0,OR(AUTOEVENTO&lt;&gt;"manual",$M242&lt;&gt;1)),
IF(Import.TipoArredondamento&lt;&gt;"TransfereGOV",
ROUND(OFFSET($P242,0,AZ$13),15-13*ORÇAMENTO!$AF$7)/$H242*OFFSET(ORÇAMENTO!$X$15,ROW(AZ242)-ROW(AZ$15),0),
ROUND(ROUND(OFFSET($P242,0,AZ$13),15-13*ORÇAMENTO!$AF$7)*OFFSET(ORÇAMENTO!$W$15,ROW(AZ242)-ROW(AZ$15),0),15-13*ORÇAMENTO!$AF$11)),0)</f>
        <v>0</v>
      </c>
      <c r="BA242" s="546">
        <f ca="1">IF(AND($D242="Serviço",BA$12&lt;&gt;0,$H242&gt;0,OR(AUTOEVENTO&lt;&gt;"manual",$M242&lt;&gt;1)),
IF(Import.TipoArredondamento&lt;&gt;"TransfereGOV",
ROUND(OFFSET($P242,0,BA$13),15-13*ORÇAMENTO!$AF$7)/$H242*OFFSET(ORÇAMENTO!$X$15,ROW(BA242)-ROW(BA$15),0),
ROUND(ROUND(OFFSET($P242,0,BA$13),15-13*ORÇAMENTO!$AF$7)*OFFSET(ORÇAMENTO!$W$15,ROW(BA242)-ROW(BA$15),0),15-13*ORÇAMENTO!$AF$11)),0)</f>
        <v>0</v>
      </c>
      <c r="BC242" s="181">
        <f ca="1">IF($D242&lt;&gt;"Serviço",0,IF(AND(AUTOEVENTO="Manual",$M242=1),0,IF(OFFSET(CRONOPLE!$F$14,$M242,BC$13)="",10^12,OFFSET(CRONOPLE!$F$14,$M242,BC$13))))</f>
        <v>9</v>
      </c>
      <c r="BD242" s="181">
        <f ca="1">IF($D242&lt;&gt;"Serviço",0,IF(AND(AUTOEVENTO="Manual",$M242=1),0,IF(OFFSET(CRONOPLE!$F$14,$M242,BD$13)="",10^12,OFFSET(CRONOPLE!$F$14,$M242,BD$13))))</f>
        <v>1000000000000</v>
      </c>
      <c r="BE242" s="181">
        <f ca="1">IF($D242&lt;&gt;"Serviço",0,IF(AND(AUTOEVENTO="Manual",$M242=1),0,IF(OFFSET(CRONOPLE!$F$14,$M242,BE$13)="",10^12,OFFSET(CRONOPLE!$F$14,$M242,BE$13))))</f>
        <v>1000000000000</v>
      </c>
      <c r="BF242" s="181">
        <f ca="1">IF($D242&lt;&gt;"Serviço",0,IF(AND(AUTOEVENTO="Manual",$M242=1),0,IF(OFFSET(CRONOPLE!$F$14,$M242,BF$13)="",10^12,OFFSET(CRONOPLE!$F$14,$M242,BF$13))))</f>
        <v>1000000000000</v>
      </c>
      <c r="BG242" s="181">
        <f ca="1">IF($D242&lt;&gt;"Serviço",0,IF(AND(AUTOEVENTO="Manual",$M242=1),0,IF(OFFSET(CRONOPLE!$F$14,$M242,BG$13)="",10^12,OFFSET(CRONOPLE!$F$14,$M242,BG$13))))</f>
        <v>1000000000000</v>
      </c>
      <c r="BH242" s="181">
        <f ca="1">IF($D242&lt;&gt;"Serviço",0,IF(AND(AUTOEVENTO="Manual",$M242=1),0,IF(OFFSET(CRONOPLE!$F$14,$M242,BH$13)="",10^12,OFFSET(CRONOPLE!$F$14,$M242,BH$13))))</f>
        <v>1000000000000</v>
      </c>
      <c r="BI242" s="181">
        <f ca="1">IF($D242&lt;&gt;"Serviço",0,IF(AND(AUTOEVENTO="Manual",$M242=1),0,IF(OFFSET(CRONOPLE!$F$14,$M242,BI$13)="",10^12,OFFSET(CRONOPLE!$F$14,$M242,BI$13))))</f>
        <v>1000000000000</v>
      </c>
      <c r="BJ242" s="181">
        <f ca="1">IF($D242&lt;&gt;"Serviço",0,IF(AND(AUTOEVENTO="Manual",$M242=1),0,IF(OFFSET(CRONOPLE!$F$14,$M242,BJ$13)="",10^12,OFFSET(CRONOPLE!$F$14,$M242,BJ$13))))</f>
        <v>1000000000000</v>
      </c>
      <c r="BK242" s="181">
        <f ca="1">IF($D242&lt;&gt;"Serviço",0,IF(AND(AUTOEVENTO="Manual",$M242=1),0,IF(OFFSET(CRONOPLE!$F$14,$M242,BK$13)="",10^12,OFFSET(CRONOPLE!$F$14,$M242,BK$13))))</f>
        <v>1000000000000</v>
      </c>
      <c r="BL242" s="181">
        <f ca="1">IF($D242&lt;&gt;"Serviço",0,IF(AND(AUTOEVENTO="Manual",$M242=1),0,IF(OFFSET(CRONOPLE!$F$14,$M242,BL$13)="",10^12,OFFSET(CRONOPLE!$F$14,$M242,BL$13))))</f>
        <v>1000000000000</v>
      </c>
      <c r="BM242" s="181">
        <f ca="1">IF($D242&lt;&gt;"Serviço",0,IF(AND(AUTOEVENTO="Manual",$M242=1),0,IF(OFFSET(CRONOPLE!$F$14,$M242,BM$13)="",10^12,OFFSET(CRONOPLE!$F$14,$M242,BM$13))))</f>
        <v>1000000000000</v>
      </c>
      <c r="BN242" s="181">
        <f ca="1">IF($D242&lt;&gt;"Serviço",0,IF(AND(AUTOEVENTO="Manual",$M242=1),0,IF(OFFSET(CRONOPLE!$F$14,$M242,BN$13)="",10^12,OFFSET(CRONOPLE!$F$14,$M242,BN$13))))</f>
        <v>1000000000000</v>
      </c>
      <c r="BO242" s="181">
        <f ca="1">IF($D242&lt;&gt;"Serviço",0,IF(AND(AUTOEVENTO="Manual",$M242=1),0,IF(OFFSET(CRONOPLE!$F$14,$M242,BO$13)="",10^12,OFFSET(CRONOPLE!$F$14,$M242,BO$13))))</f>
        <v>1000000000000</v>
      </c>
      <c r="BP242" s="181">
        <f ca="1">IF($D242&lt;&gt;"Serviço",0,IF(AND(AUTOEVENTO="Manual",$M242=1),0,IF(OFFSET(CRONOPLE!$F$14,$M242,BP$13)="",10^12,OFFSET(CRONOPLE!$F$14,$M242,BP$13))))</f>
        <v>1000000000000</v>
      </c>
      <c r="BQ242" s="181">
        <f ca="1">IF($D242&lt;&gt;"Serviço",0,IF(AND(AUTOEVENTO="Manual",$M242=1),0,IF(OFFSET(CRONOPLE!$F$14,$M242,BQ$13)="",10^12,OFFSET(CRONOPLE!$F$14,$M242,BQ$13))))</f>
        <v>1000000000000</v>
      </c>
      <c r="BR242" s="181">
        <f ca="1">IF($D242&lt;&gt;"Serviço",0,IF(AND(AUTOEVENTO="Manual",$M242=1),0,IF(OFFSET(CRONOPLE!$F$14,$M242,BR$13)="",10^12,OFFSET(CRONOPLE!$F$14,$M242,BR$13))))</f>
        <v>1000000000000</v>
      </c>
      <c r="BS242" s="181">
        <f ca="1">IF($D242&lt;&gt;"Serviço",0,IF(AND(AUTOEVENTO="Manual",$M242=1),0,IF(OFFSET(CRONOPLE!$F$14,$M242,BS$13)="",10^12,OFFSET(CRONOPLE!$F$14,$M242,BS$13))))</f>
        <v>1000000000000</v>
      </c>
      <c r="BT242" s="181">
        <f ca="1">IF($D242&lt;&gt;"Serviço",0,IF(AND(AUTOEVENTO="Manual",$M242=1),0,IF(OFFSET(CRONOPLE!$F$14,$M242,BT$13)="",10^12,OFFSET(CRONOPLE!$F$14,$M242,BT$13))))</f>
        <v>1000000000000</v>
      </c>
      <c r="BV242" s="182">
        <f ca="1">IF($D242&lt;&gt;"Serviço",0,IF(OR(AND(AUTOEVENTO="Manual",$M242=1),$M242&gt;(ROW(PLE.lastrow)-ROW(PLE.firstrow))),0,IF(OFFSET(PLE!$G$14,$M242,BV$13)="",10^12,OFFSET(PLE!$G$14,$M242,BV$13))))</f>
        <v>1000000000000</v>
      </c>
      <c r="BW242" s="182">
        <f ca="1">IF($D242&lt;&gt;"Serviço",0,IF(OR(AND(AUTOEVENTO="Manual",$M242=1),$M242&gt;(ROW(PLE.lastrow)-ROW(PLE.firstrow))),0,IF(OFFSET(PLE!$G$14,$M242,BW$13)="",10^12,OFFSET(PLE!$G$14,$M242,BW$13))))</f>
        <v>1000000000000</v>
      </c>
      <c r="BX242" s="182">
        <f ca="1">IF($D242&lt;&gt;"Serviço",0,IF(OR(AND(AUTOEVENTO="Manual",$M242=1),$M242&gt;(ROW(PLE.lastrow)-ROW(PLE.firstrow))),0,IF(OFFSET(PLE!$G$14,$M242,BX$13)="",10^12,OFFSET(PLE!$G$14,$M242,BX$13))))</f>
        <v>1000000000000</v>
      </c>
      <c r="BY242" s="182">
        <f ca="1">IF($D242&lt;&gt;"Serviço",0,IF(OR(AND(AUTOEVENTO="Manual",$M242=1),$M242&gt;(ROW(PLE.lastrow)-ROW(PLE.firstrow))),0,IF(OFFSET(PLE!$G$14,$M242,BY$13)="",10^12,OFFSET(PLE!$G$14,$M242,BY$13))))</f>
        <v>1000000000000</v>
      </c>
      <c r="BZ242" s="182">
        <f ca="1">IF($D242&lt;&gt;"Serviço",0,IF(OR(AND(AUTOEVENTO="Manual",$M242=1),$M242&gt;(ROW(PLE.lastrow)-ROW(PLE.firstrow))),0,IF(OFFSET(PLE!$G$14,$M242,BZ$13)="",10^12,OFFSET(PLE!$G$14,$M242,BZ$13))))</f>
        <v>1000000000000</v>
      </c>
      <c r="CA242" s="182">
        <f ca="1">IF($D242&lt;&gt;"Serviço",0,IF(OR(AND(AUTOEVENTO="Manual",$M242=1),$M242&gt;(ROW(PLE.lastrow)-ROW(PLE.firstrow))),0,IF(OFFSET(PLE!$G$14,$M242,CA$13)="",10^12,OFFSET(PLE!$G$14,$M242,CA$13))))</f>
        <v>1000000000000</v>
      </c>
      <c r="CB242" s="182">
        <f ca="1">IF($D242&lt;&gt;"Serviço",0,IF(OR(AND(AUTOEVENTO="Manual",$M242=1),$M242&gt;(ROW(PLE.lastrow)-ROW(PLE.firstrow))),0,IF(OFFSET(PLE!$G$14,$M242,CB$13)="",10^12,OFFSET(PLE!$G$14,$M242,CB$13))))</f>
        <v>1000000000000</v>
      </c>
      <c r="CC242" s="182">
        <f ca="1">IF($D242&lt;&gt;"Serviço",0,IF(OR(AND(AUTOEVENTO="Manual",$M242=1),$M242&gt;(ROW(PLE.lastrow)-ROW(PLE.firstrow))),0,IF(OFFSET(PLE!$G$14,$M242,CC$13)="",10^12,OFFSET(PLE!$G$14,$M242,CC$13))))</f>
        <v>1000000000000</v>
      </c>
      <c r="CD242" s="182">
        <f ca="1">IF($D242&lt;&gt;"Serviço",0,IF(OR(AND(AUTOEVENTO="Manual",$M242=1),$M242&gt;(ROW(PLE.lastrow)-ROW(PLE.firstrow))),0,IF(OFFSET(PLE!$G$14,$M242,CD$13)="",10^12,OFFSET(PLE!$G$14,$M242,CD$13))))</f>
        <v>1000000000000</v>
      </c>
      <c r="CE242" s="182">
        <f ca="1">IF($D242&lt;&gt;"Serviço",0,IF(OR(AND(AUTOEVENTO="Manual",$M242=1),$M242&gt;(ROW(PLE.lastrow)-ROW(PLE.firstrow))),0,IF(OFFSET(PLE!$G$14,$M242,CE$13)="",10^12,OFFSET(PLE!$G$14,$M242,CE$13))))</f>
        <v>1000000000000</v>
      </c>
      <c r="CF242" s="182">
        <f ca="1">IF($D242&lt;&gt;"Serviço",0,IF(OR(AND(AUTOEVENTO="Manual",$M242=1),$M242&gt;(ROW(PLE.lastrow)-ROW(PLE.firstrow))),0,IF(OFFSET(PLE!$G$14,$M242,CF$13)="",10^12,OFFSET(PLE!$G$14,$M242,CF$13))))</f>
        <v>1000000000000</v>
      </c>
      <c r="CG242" s="182">
        <f ca="1">IF($D242&lt;&gt;"Serviço",0,IF(OR(AND(AUTOEVENTO="Manual",$M242=1),$M242&gt;(ROW(PLE.lastrow)-ROW(PLE.firstrow))),0,IF(OFFSET(PLE!$G$14,$M242,CG$13)="",10^12,OFFSET(PLE!$G$14,$M242,CG$13))))</f>
        <v>1000000000000</v>
      </c>
      <c r="CH242" s="182">
        <f ca="1">IF($D242&lt;&gt;"Serviço",0,IF(OR(AND(AUTOEVENTO="Manual",$M242=1),$M242&gt;(ROW(PLE.lastrow)-ROW(PLE.firstrow))),0,IF(OFFSET(PLE!$G$14,$M242,CH$13)="",10^12,OFFSET(PLE!$G$14,$M242,CH$13))))</f>
        <v>1000000000000</v>
      </c>
      <c r="CI242" s="182">
        <f ca="1">IF($D242&lt;&gt;"Serviço",0,IF(OR(AND(AUTOEVENTO="Manual",$M242=1),$M242&gt;(ROW(PLE.lastrow)-ROW(PLE.firstrow))),0,IF(OFFSET(PLE!$G$14,$M242,CI$13)="",10^12,OFFSET(PLE!$G$14,$M242,CI$13))))</f>
        <v>1000000000000</v>
      </c>
      <c r="CJ242" s="182">
        <f ca="1">IF($D242&lt;&gt;"Serviço",0,IF(OR(AND(AUTOEVENTO="Manual",$M242=1),$M242&gt;(ROW(PLE.lastrow)-ROW(PLE.firstrow))),0,IF(OFFSET(PLE!$G$14,$M242,CJ$13)="",10^12,OFFSET(PLE!$G$14,$M242,CJ$13))))</f>
        <v>1000000000000</v>
      </c>
      <c r="CK242" s="182">
        <f ca="1">IF($D242&lt;&gt;"Serviço",0,IF(OR(AND(AUTOEVENTO="Manual",$M242=1),$M242&gt;(ROW(PLE.lastrow)-ROW(PLE.firstrow))),0,IF(OFFSET(PLE!$G$14,$M242,CK$13)="",10^12,OFFSET(PLE!$G$14,$M242,CK$13))))</f>
        <v>1000000000000</v>
      </c>
      <c r="CL242" s="182">
        <f ca="1">IF($D242&lt;&gt;"Serviço",0,IF(OR(AND(AUTOEVENTO="Manual",$M242=1),$M242&gt;(ROW(PLE.lastrow)-ROW(PLE.firstrow))),0,IF(OFFSET(PLE!$G$14,$M242,CL$13)="",10^12,OFFSET(PLE!$G$14,$M242,CL$13))))</f>
        <v>1000000000000</v>
      </c>
      <c r="CM242" s="182">
        <f ca="1">IF($D242&lt;&gt;"Serviço",0,IF(OR(AND(AUTOEVENTO="Manual",$M242=1),$M242&gt;(ROW(PLE.lastrow)-ROW(PLE.firstrow))),0,IF(OFFSET(PLE!$G$14,$M242,CM$13)="",10^12,OFFSET(PLE!$G$14,$M242,CM$13))))</f>
        <v>1000000000000</v>
      </c>
    </row>
    <row r="243" spans="1:91" ht="25.5" x14ac:dyDescent="0.2">
      <c r="A243" s="7" t="str">
        <f t="shared" ca="1" si="12"/>
        <v>222</v>
      </c>
      <c r="B243" s="7" t="str">
        <f ca="1">OFFSET(ORÇAMENTO!C$15,ROW(B243)-ROW(B$15),0)</f>
        <v>S</v>
      </c>
      <c r="C243" s="7" t="str">
        <f ca="1">OFFSET(ORÇAMENTO!L$15,ROW(C243)-ROW(C$15),0)</f>
        <v/>
      </c>
      <c r="D243" s="118" t="str">
        <f ca="1">OFFSET(ORÇAMENTO!N$15,ROW(D243)-ROW(D$15),0)</f>
        <v>Serviço</v>
      </c>
      <c r="E243" s="119" t="str">
        <f ca="1">OFFSET(ORÇAMENTO!O$15,ROW(E243)-ROW(E$15),0)</f>
        <v>-</v>
      </c>
      <c r="F243" s="172" t="str">
        <f ca="1">OFFSET(ORÇAMENTO!R$15,ROW(F243)-ROW(F$15),0)</f>
        <v>(abra o arquivo 'Referência 06-2024.xlsm)</v>
      </c>
      <c r="G243" s="173" t="str">
        <f ca="1">IF($D243&lt;&gt;"Serviço","",OFFSET(ORÇAMENTO!S$15,ROW(G243)-ROW(G$15),0))</f>
        <v>-</v>
      </c>
      <c r="H243" s="124">
        <f ca="1">IF($D243&lt;&gt;"Serviço",0,IF(ACOMPANHAMENTO="BM",ROUND(OFFSET(ORÇAMENTO!AJ$15,ROW(H243)-ROW(H$15),0),15-13*ORÇAMENTO!$AF$7),SUMPRODUCT(($Q$12:$AI$12&lt;&gt;"")*ROUND($Q243:$AI243,15-13*ORÇAMENTO!$AF$7))))</f>
        <v>1.7</v>
      </c>
      <c r="I243" s="561" t="s">
        <v>1107</v>
      </c>
      <c r="K243" s="174"/>
      <c r="L243" s="175" t="s">
        <v>255</v>
      </c>
      <c r="M243" s="176">
        <f ca="1">IF($D243&lt;&gt;"Serviço","",IF(AUTOEVENTO="manual",$A243,IF(ISERROR(MATCH($A243,$A$15:OFFSET($A243,-1,0),0)),MAX($M$15:OFFSET(M243,-1,0))+1,INDEX($M$15:OFFSET(M243,-1,0),MATCH($A243,$A$15:OFFSET($A243,-1,0),0)))))</f>
        <v>33</v>
      </c>
      <c r="N243" s="177" t="str">
        <f ca="1">IF($D243&lt;&gt;"Serviço","",IF(AUTOEVENTO="Manual",IF($A243=0,"&lt;-- defina o número do agrupador",OFFSET(EVENTOS!$D$14,$A243,0)),OFFSET($F$15,$A243,0)))</f>
        <v>PINTURAS E ACABAMENTOS - PISO PLAYGROUND</v>
      </c>
      <c r="O243" s="178"/>
      <c r="Q243" s="178">
        <v>1.7</v>
      </c>
      <c r="R243" s="179"/>
      <c r="S243" s="179"/>
      <c r="T243" s="179"/>
      <c r="U243" s="179"/>
      <c r="V243" s="179"/>
      <c r="W243" s="179"/>
      <c r="X243" s="179"/>
      <c r="Y243" s="179"/>
      <c r="Z243" s="180"/>
      <c r="AA243" s="179"/>
      <c r="AB243" s="179"/>
      <c r="AC243" s="179"/>
      <c r="AD243" s="179"/>
      <c r="AE243" s="179"/>
      <c r="AF243" s="179"/>
      <c r="AG243" s="179"/>
      <c r="AH243" s="180"/>
      <c r="AJ243" s="544">
        <f ca="1">IF(AND($D243="Serviço",AJ$12&lt;&gt;0,$H243&gt;0,OR(AUTOEVENTO&lt;&gt;"manual",$M243&lt;&gt;1)),
IF(Import.TipoArredondamento&lt;&gt;"TransfereGOV",
ROUND(OFFSET($P243,0,AJ$13),15-13*ORÇAMENTO!$AF$7)/$H243*OFFSET(ORÇAMENTO!$X$15,ROW(AJ243)-ROW(AJ$15),0),
ROUND(ROUND(OFFSET($P243,0,AJ$13),15-13*ORÇAMENTO!$AF$7)*OFFSET(ORÇAMENTO!$W$15,ROW(AJ243)-ROW(AJ$15),0),15-13*ORÇAMENTO!$AF$11)),0)</f>
        <v>0</v>
      </c>
      <c r="AK243" s="545">
        <f ca="1">IF(AND($D243="Serviço",AK$12&lt;&gt;0,$H243&gt;0,OR(AUTOEVENTO&lt;&gt;"manual",$M243&lt;&gt;1)),
IF(Import.TipoArredondamento&lt;&gt;"TransfereGOV",
ROUND(OFFSET($P243,0,AK$13),15-13*ORÇAMENTO!$AF$7)/$H243*OFFSET(ORÇAMENTO!$X$15,ROW(AK243)-ROW(AK$15),0),
ROUND(ROUND(OFFSET($P243,0,AK$13),15-13*ORÇAMENTO!$AF$7)*OFFSET(ORÇAMENTO!$W$15,ROW(AK243)-ROW(AK$15),0),15-13*ORÇAMENTO!$AF$11)),0)</f>
        <v>0</v>
      </c>
      <c r="AL243" s="545">
        <f ca="1">IF(AND($D243="Serviço",AL$12&lt;&gt;0,$H243&gt;0,OR(AUTOEVENTO&lt;&gt;"manual",$M243&lt;&gt;1)),
IF(Import.TipoArredondamento&lt;&gt;"TransfereGOV",
ROUND(OFFSET($P243,0,AL$13),15-13*ORÇAMENTO!$AF$7)/$H243*OFFSET(ORÇAMENTO!$X$15,ROW(AL243)-ROW(AL$15),0),
ROUND(ROUND(OFFSET($P243,0,AL$13),15-13*ORÇAMENTO!$AF$7)*OFFSET(ORÇAMENTO!$W$15,ROW(AL243)-ROW(AL$15),0),15-13*ORÇAMENTO!$AF$11)),0)</f>
        <v>0</v>
      </c>
      <c r="AM243" s="545">
        <f ca="1">IF(AND($D243="Serviço",AM$12&lt;&gt;0,$H243&gt;0,OR(AUTOEVENTO&lt;&gt;"manual",$M243&lt;&gt;1)),
IF(Import.TipoArredondamento&lt;&gt;"TransfereGOV",
ROUND(OFFSET($P243,0,AM$13),15-13*ORÇAMENTO!$AF$7)/$H243*OFFSET(ORÇAMENTO!$X$15,ROW(AM243)-ROW(AM$15),0),
ROUND(ROUND(OFFSET($P243,0,AM$13),15-13*ORÇAMENTO!$AF$7)*OFFSET(ORÇAMENTO!$W$15,ROW(AM243)-ROW(AM$15),0),15-13*ORÇAMENTO!$AF$11)),0)</f>
        <v>0</v>
      </c>
      <c r="AN243" s="545">
        <f ca="1">IF(AND($D243="Serviço",AN$12&lt;&gt;0,$H243&gt;0,OR(AUTOEVENTO&lt;&gt;"manual",$M243&lt;&gt;1)),
IF(Import.TipoArredondamento&lt;&gt;"TransfereGOV",
ROUND(OFFSET($P243,0,AN$13),15-13*ORÇAMENTO!$AF$7)/$H243*OFFSET(ORÇAMENTO!$X$15,ROW(AN243)-ROW(AN$15),0),
ROUND(ROUND(OFFSET($P243,0,AN$13),15-13*ORÇAMENTO!$AF$7)*OFFSET(ORÇAMENTO!$W$15,ROW(AN243)-ROW(AN$15),0),15-13*ORÇAMENTO!$AF$11)),0)</f>
        <v>0</v>
      </c>
      <c r="AO243" s="545">
        <f ca="1">IF(AND($D243="Serviço",AO$12&lt;&gt;0,$H243&gt;0,OR(AUTOEVENTO&lt;&gt;"manual",$M243&lt;&gt;1)),
IF(Import.TipoArredondamento&lt;&gt;"TransfereGOV",
ROUND(OFFSET($P243,0,AO$13),15-13*ORÇAMENTO!$AF$7)/$H243*OFFSET(ORÇAMENTO!$X$15,ROW(AO243)-ROW(AO$15),0),
ROUND(ROUND(OFFSET($P243,0,AO$13),15-13*ORÇAMENTO!$AF$7)*OFFSET(ORÇAMENTO!$W$15,ROW(AO243)-ROW(AO$15),0),15-13*ORÇAMENTO!$AF$11)),0)</f>
        <v>0</v>
      </c>
      <c r="AP243" s="545">
        <f ca="1">IF(AND($D243="Serviço",AP$12&lt;&gt;0,$H243&gt;0,OR(AUTOEVENTO&lt;&gt;"manual",$M243&lt;&gt;1)),
IF(Import.TipoArredondamento&lt;&gt;"TransfereGOV",
ROUND(OFFSET($P243,0,AP$13),15-13*ORÇAMENTO!$AF$7)/$H243*OFFSET(ORÇAMENTO!$X$15,ROW(AP243)-ROW(AP$15),0),
ROUND(ROUND(OFFSET($P243,0,AP$13),15-13*ORÇAMENTO!$AF$7)*OFFSET(ORÇAMENTO!$W$15,ROW(AP243)-ROW(AP$15),0),15-13*ORÇAMENTO!$AF$11)),0)</f>
        <v>0</v>
      </c>
      <c r="AQ243" s="545">
        <f ca="1">IF(AND($D243="Serviço",AQ$12&lt;&gt;0,$H243&gt;0,OR(AUTOEVENTO&lt;&gt;"manual",$M243&lt;&gt;1)),
IF(Import.TipoArredondamento&lt;&gt;"TransfereGOV",
ROUND(OFFSET($P243,0,AQ$13),15-13*ORÇAMENTO!$AF$7)/$H243*OFFSET(ORÇAMENTO!$X$15,ROW(AQ243)-ROW(AQ$15),0),
ROUND(ROUND(OFFSET($P243,0,AQ$13),15-13*ORÇAMENTO!$AF$7)*OFFSET(ORÇAMENTO!$W$15,ROW(AQ243)-ROW(AQ$15),0),15-13*ORÇAMENTO!$AF$11)),0)</f>
        <v>0</v>
      </c>
      <c r="AR243" s="545">
        <f ca="1">IF(AND($D243="Serviço",AR$12&lt;&gt;0,$H243&gt;0,OR(AUTOEVENTO&lt;&gt;"manual",$M243&lt;&gt;1)),
IF(Import.TipoArredondamento&lt;&gt;"TransfereGOV",
ROUND(OFFSET($P243,0,AR$13),15-13*ORÇAMENTO!$AF$7)/$H243*OFFSET(ORÇAMENTO!$X$15,ROW(AR243)-ROW(AR$15),0),
ROUND(ROUND(OFFSET($P243,0,AR$13),15-13*ORÇAMENTO!$AF$7)*OFFSET(ORÇAMENTO!$W$15,ROW(AR243)-ROW(AR$15),0),15-13*ORÇAMENTO!$AF$11)),0)</f>
        <v>0</v>
      </c>
      <c r="AS243" s="546">
        <f ca="1">IF(AND($D243="Serviço",AS$12&lt;&gt;0,$H243&gt;0,OR(AUTOEVENTO&lt;&gt;"manual",$M243&lt;&gt;1)),
IF(Import.TipoArredondamento&lt;&gt;"TransfereGOV",
ROUND(OFFSET($P243,0,AS$13),15-13*ORÇAMENTO!$AF$7)/$H243*OFFSET(ORÇAMENTO!$X$15,ROW(AS243)-ROW(AS$15),0),
ROUND(ROUND(OFFSET($P243,0,AS$13),15-13*ORÇAMENTO!$AF$7)*OFFSET(ORÇAMENTO!$W$15,ROW(AS243)-ROW(AS$15),0),15-13*ORÇAMENTO!$AF$11)),0)</f>
        <v>0</v>
      </c>
      <c r="AT243" s="545">
        <f ca="1">IF(AND($D243="Serviço",AT$12&lt;&gt;0,$H243&gt;0,OR(AUTOEVENTO&lt;&gt;"manual",$M243&lt;&gt;1)),
IF(Import.TipoArredondamento&lt;&gt;"TransfereGOV",
ROUND(OFFSET($P243,0,AT$13),15-13*ORÇAMENTO!$AF$7)/$H243*OFFSET(ORÇAMENTO!$X$15,ROW(AT243)-ROW(AT$15),0),
ROUND(ROUND(OFFSET($P243,0,AT$13),15-13*ORÇAMENTO!$AF$7)*OFFSET(ORÇAMENTO!$W$15,ROW(AT243)-ROW(AT$15),0),15-13*ORÇAMENTO!$AF$11)),0)</f>
        <v>0</v>
      </c>
      <c r="AU243" s="545">
        <f ca="1">IF(AND($D243="Serviço",AU$12&lt;&gt;0,$H243&gt;0,OR(AUTOEVENTO&lt;&gt;"manual",$M243&lt;&gt;1)),
IF(Import.TipoArredondamento&lt;&gt;"TransfereGOV",
ROUND(OFFSET($P243,0,AU$13),15-13*ORÇAMENTO!$AF$7)/$H243*OFFSET(ORÇAMENTO!$X$15,ROW(AU243)-ROW(AU$15),0),
ROUND(ROUND(OFFSET($P243,0,AU$13),15-13*ORÇAMENTO!$AF$7)*OFFSET(ORÇAMENTO!$W$15,ROW(AU243)-ROW(AU$15),0),15-13*ORÇAMENTO!$AF$11)),0)</f>
        <v>0</v>
      </c>
      <c r="AV243" s="545">
        <f ca="1">IF(AND($D243="Serviço",AV$12&lt;&gt;0,$H243&gt;0,OR(AUTOEVENTO&lt;&gt;"manual",$M243&lt;&gt;1)),
IF(Import.TipoArredondamento&lt;&gt;"TransfereGOV",
ROUND(OFFSET($P243,0,AV$13),15-13*ORÇAMENTO!$AF$7)/$H243*OFFSET(ORÇAMENTO!$X$15,ROW(AV243)-ROW(AV$15),0),
ROUND(ROUND(OFFSET($P243,0,AV$13),15-13*ORÇAMENTO!$AF$7)*OFFSET(ORÇAMENTO!$W$15,ROW(AV243)-ROW(AV$15),0),15-13*ORÇAMENTO!$AF$11)),0)</f>
        <v>0</v>
      </c>
      <c r="AW243" s="545">
        <f ca="1">IF(AND($D243="Serviço",AW$12&lt;&gt;0,$H243&gt;0,OR(AUTOEVENTO&lt;&gt;"manual",$M243&lt;&gt;1)),
IF(Import.TipoArredondamento&lt;&gt;"TransfereGOV",
ROUND(OFFSET($P243,0,AW$13),15-13*ORÇAMENTO!$AF$7)/$H243*OFFSET(ORÇAMENTO!$X$15,ROW(AW243)-ROW(AW$15),0),
ROUND(ROUND(OFFSET($P243,0,AW$13),15-13*ORÇAMENTO!$AF$7)*OFFSET(ORÇAMENTO!$W$15,ROW(AW243)-ROW(AW$15),0),15-13*ORÇAMENTO!$AF$11)),0)</f>
        <v>0</v>
      </c>
      <c r="AX243" s="545">
        <f ca="1">IF(AND($D243="Serviço",AX$12&lt;&gt;0,$H243&gt;0,OR(AUTOEVENTO&lt;&gt;"manual",$M243&lt;&gt;1)),
IF(Import.TipoArredondamento&lt;&gt;"TransfereGOV",
ROUND(OFFSET($P243,0,AX$13),15-13*ORÇAMENTO!$AF$7)/$H243*OFFSET(ORÇAMENTO!$X$15,ROW(AX243)-ROW(AX$15),0),
ROUND(ROUND(OFFSET($P243,0,AX$13),15-13*ORÇAMENTO!$AF$7)*OFFSET(ORÇAMENTO!$W$15,ROW(AX243)-ROW(AX$15),0),15-13*ORÇAMENTO!$AF$11)),0)</f>
        <v>0</v>
      </c>
      <c r="AY243" s="545">
        <f ca="1">IF(AND($D243="Serviço",AY$12&lt;&gt;0,$H243&gt;0,OR(AUTOEVENTO&lt;&gt;"manual",$M243&lt;&gt;1)),
IF(Import.TipoArredondamento&lt;&gt;"TransfereGOV",
ROUND(OFFSET($P243,0,AY$13),15-13*ORÇAMENTO!$AF$7)/$H243*OFFSET(ORÇAMENTO!$X$15,ROW(AY243)-ROW(AY$15),0),
ROUND(ROUND(OFFSET($P243,0,AY$13),15-13*ORÇAMENTO!$AF$7)*OFFSET(ORÇAMENTO!$W$15,ROW(AY243)-ROW(AY$15),0),15-13*ORÇAMENTO!$AF$11)),0)</f>
        <v>0</v>
      </c>
      <c r="AZ243" s="545">
        <f ca="1">IF(AND($D243="Serviço",AZ$12&lt;&gt;0,$H243&gt;0,OR(AUTOEVENTO&lt;&gt;"manual",$M243&lt;&gt;1)),
IF(Import.TipoArredondamento&lt;&gt;"TransfereGOV",
ROUND(OFFSET($P243,0,AZ$13),15-13*ORÇAMENTO!$AF$7)/$H243*OFFSET(ORÇAMENTO!$X$15,ROW(AZ243)-ROW(AZ$15),0),
ROUND(ROUND(OFFSET($P243,0,AZ$13),15-13*ORÇAMENTO!$AF$7)*OFFSET(ORÇAMENTO!$W$15,ROW(AZ243)-ROW(AZ$15),0),15-13*ORÇAMENTO!$AF$11)),0)</f>
        <v>0</v>
      </c>
      <c r="BA243" s="546">
        <f ca="1">IF(AND($D243="Serviço",BA$12&lt;&gt;0,$H243&gt;0,OR(AUTOEVENTO&lt;&gt;"manual",$M243&lt;&gt;1)),
IF(Import.TipoArredondamento&lt;&gt;"TransfereGOV",
ROUND(OFFSET($P243,0,BA$13),15-13*ORÇAMENTO!$AF$7)/$H243*OFFSET(ORÇAMENTO!$X$15,ROW(BA243)-ROW(BA$15),0),
ROUND(ROUND(OFFSET($P243,0,BA$13),15-13*ORÇAMENTO!$AF$7)*OFFSET(ORÇAMENTO!$W$15,ROW(BA243)-ROW(BA$15),0),15-13*ORÇAMENTO!$AF$11)),0)</f>
        <v>0</v>
      </c>
      <c r="BC243" s="181">
        <f ca="1">IF($D243&lt;&gt;"Serviço",0,IF(AND(AUTOEVENTO="Manual",$M243=1),0,IF(OFFSET(CRONOPLE!$F$14,$M243,BC$13)="",10^12,OFFSET(CRONOPLE!$F$14,$M243,BC$13))))</f>
        <v>9</v>
      </c>
      <c r="BD243" s="181">
        <f ca="1">IF($D243&lt;&gt;"Serviço",0,IF(AND(AUTOEVENTO="Manual",$M243=1),0,IF(OFFSET(CRONOPLE!$F$14,$M243,BD$13)="",10^12,OFFSET(CRONOPLE!$F$14,$M243,BD$13))))</f>
        <v>1000000000000</v>
      </c>
      <c r="BE243" s="181">
        <f ca="1">IF($D243&lt;&gt;"Serviço",0,IF(AND(AUTOEVENTO="Manual",$M243=1),0,IF(OFFSET(CRONOPLE!$F$14,$M243,BE$13)="",10^12,OFFSET(CRONOPLE!$F$14,$M243,BE$13))))</f>
        <v>1000000000000</v>
      </c>
      <c r="BF243" s="181">
        <f ca="1">IF($D243&lt;&gt;"Serviço",0,IF(AND(AUTOEVENTO="Manual",$M243=1),0,IF(OFFSET(CRONOPLE!$F$14,$M243,BF$13)="",10^12,OFFSET(CRONOPLE!$F$14,$M243,BF$13))))</f>
        <v>1000000000000</v>
      </c>
      <c r="BG243" s="181">
        <f ca="1">IF($D243&lt;&gt;"Serviço",0,IF(AND(AUTOEVENTO="Manual",$M243=1),0,IF(OFFSET(CRONOPLE!$F$14,$M243,BG$13)="",10^12,OFFSET(CRONOPLE!$F$14,$M243,BG$13))))</f>
        <v>1000000000000</v>
      </c>
      <c r="BH243" s="181">
        <f ca="1">IF($D243&lt;&gt;"Serviço",0,IF(AND(AUTOEVENTO="Manual",$M243=1),0,IF(OFFSET(CRONOPLE!$F$14,$M243,BH$13)="",10^12,OFFSET(CRONOPLE!$F$14,$M243,BH$13))))</f>
        <v>1000000000000</v>
      </c>
      <c r="BI243" s="181">
        <f ca="1">IF($D243&lt;&gt;"Serviço",0,IF(AND(AUTOEVENTO="Manual",$M243=1),0,IF(OFFSET(CRONOPLE!$F$14,$M243,BI$13)="",10^12,OFFSET(CRONOPLE!$F$14,$M243,BI$13))))</f>
        <v>1000000000000</v>
      </c>
      <c r="BJ243" s="181">
        <f ca="1">IF($D243&lt;&gt;"Serviço",0,IF(AND(AUTOEVENTO="Manual",$M243=1),0,IF(OFFSET(CRONOPLE!$F$14,$M243,BJ$13)="",10^12,OFFSET(CRONOPLE!$F$14,$M243,BJ$13))))</f>
        <v>1000000000000</v>
      </c>
      <c r="BK243" s="181">
        <f ca="1">IF($D243&lt;&gt;"Serviço",0,IF(AND(AUTOEVENTO="Manual",$M243=1),0,IF(OFFSET(CRONOPLE!$F$14,$M243,BK$13)="",10^12,OFFSET(CRONOPLE!$F$14,$M243,BK$13))))</f>
        <v>1000000000000</v>
      </c>
      <c r="BL243" s="181">
        <f ca="1">IF($D243&lt;&gt;"Serviço",0,IF(AND(AUTOEVENTO="Manual",$M243=1),0,IF(OFFSET(CRONOPLE!$F$14,$M243,BL$13)="",10^12,OFFSET(CRONOPLE!$F$14,$M243,BL$13))))</f>
        <v>1000000000000</v>
      </c>
      <c r="BM243" s="181">
        <f ca="1">IF($D243&lt;&gt;"Serviço",0,IF(AND(AUTOEVENTO="Manual",$M243=1),0,IF(OFFSET(CRONOPLE!$F$14,$M243,BM$13)="",10^12,OFFSET(CRONOPLE!$F$14,$M243,BM$13))))</f>
        <v>1000000000000</v>
      </c>
      <c r="BN243" s="181">
        <f ca="1">IF($D243&lt;&gt;"Serviço",0,IF(AND(AUTOEVENTO="Manual",$M243=1),0,IF(OFFSET(CRONOPLE!$F$14,$M243,BN$13)="",10^12,OFFSET(CRONOPLE!$F$14,$M243,BN$13))))</f>
        <v>1000000000000</v>
      </c>
      <c r="BO243" s="181">
        <f ca="1">IF($D243&lt;&gt;"Serviço",0,IF(AND(AUTOEVENTO="Manual",$M243=1),0,IF(OFFSET(CRONOPLE!$F$14,$M243,BO$13)="",10^12,OFFSET(CRONOPLE!$F$14,$M243,BO$13))))</f>
        <v>1000000000000</v>
      </c>
      <c r="BP243" s="181">
        <f ca="1">IF($D243&lt;&gt;"Serviço",0,IF(AND(AUTOEVENTO="Manual",$M243=1),0,IF(OFFSET(CRONOPLE!$F$14,$M243,BP$13)="",10^12,OFFSET(CRONOPLE!$F$14,$M243,BP$13))))</f>
        <v>1000000000000</v>
      </c>
      <c r="BQ243" s="181">
        <f ca="1">IF($D243&lt;&gt;"Serviço",0,IF(AND(AUTOEVENTO="Manual",$M243=1),0,IF(OFFSET(CRONOPLE!$F$14,$M243,BQ$13)="",10^12,OFFSET(CRONOPLE!$F$14,$M243,BQ$13))))</f>
        <v>1000000000000</v>
      </c>
      <c r="BR243" s="181">
        <f ca="1">IF($D243&lt;&gt;"Serviço",0,IF(AND(AUTOEVENTO="Manual",$M243=1),0,IF(OFFSET(CRONOPLE!$F$14,$M243,BR$13)="",10^12,OFFSET(CRONOPLE!$F$14,$M243,BR$13))))</f>
        <v>1000000000000</v>
      </c>
      <c r="BS243" s="181">
        <f ca="1">IF($D243&lt;&gt;"Serviço",0,IF(AND(AUTOEVENTO="Manual",$M243=1),0,IF(OFFSET(CRONOPLE!$F$14,$M243,BS$13)="",10^12,OFFSET(CRONOPLE!$F$14,$M243,BS$13))))</f>
        <v>1000000000000</v>
      </c>
      <c r="BT243" s="181">
        <f ca="1">IF($D243&lt;&gt;"Serviço",0,IF(AND(AUTOEVENTO="Manual",$M243=1),0,IF(OFFSET(CRONOPLE!$F$14,$M243,BT$13)="",10^12,OFFSET(CRONOPLE!$F$14,$M243,BT$13))))</f>
        <v>1000000000000</v>
      </c>
      <c r="BV243" s="182">
        <f ca="1">IF($D243&lt;&gt;"Serviço",0,IF(OR(AND(AUTOEVENTO="Manual",$M243=1),$M243&gt;(ROW(PLE.lastrow)-ROW(PLE.firstrow))),0,IF(OFFSET(PLE!$G$14,$M243,BV$13)="",10^12,OFFSET(PLE!$G$14,$M243,BV$13))))</f>
        <v>1000000000000</v>
      </c>
      <c r="BW243" s="182">
        <f ca="1">IF($D243&lt;&gt;"Serviço",0,IF(OR(AND(AUTOEVENTO="Manual",$M243=1),$M243&gt;(ROW(PLE.lastrow)-ROW(PLE.firstrow))),0,IF(OFFSET(PLE!$G$14,$M243,BW$13)="",10^12,OFFSET(PLE!$G$14,$M243,BW$13))))</f>
        <v>1000000000000</v>
      </c>
      <c r="BX243" s="182">
        <f ca="1">IF($D243&lt;&gt;"Serviço",0,IF(OR(AND(AUTOEVENTO="Manual",$M243=1),$M243&gt;(ROW(PLE.lastrow)-ROW(PLE.firstrow))),0,IF(OFFSET(PLE!$G$14,$M243,BX$13)="",10^12,OFFSET(PLE!$G$14,$M243,BX$13))))</f>
        <v>1000000000000</v>
      </c>
      <c r="BY243" s="182">
        <f ca="1">IF($D243&lt;&gt;"Serviço",0,IF(OR(AND(AUTOEVENTO="Manual",$M243=1),$M243&gt;(ROW(PLE.lastrow)-ROW(PLE.firstrow))),0,IF(OFFSET(PLE!$G$14,$M243,BY$13)="",10^12,OFFSET(PLE!$G$14,$M243,BY$13))))</f>
        <v>1000000000000</v>
      </c>
      <c r="BZ243" s="182">
        <f ca="1">IF($D243&lt;&gt;"Serviço",0,IF(OR(AND(AUTOEVENTO="Manual",$M243=1),$M243&gt;(ROW(PLE.lastrow)-ROW(PLE.firstrow))),0,IF(OFFSET(PLE!$G$14,$M243,BZ$13)="",10^12,OFFSET(PLE!$G$14,$M243,BZ$13))))</f>
        <v>1000000000000</v>
      </c>
      <c r="CA243" s="182">
        <f ca="1">IF($D243&lt;&gt;"Serviço",0,IF(OR(AND(AUTOEVENTO="Manual",$M243=1),$M243&gt;(ROW(PLE.lastrow)-ROW(PLE.firstrow))),0,IF(OFFSET(PLE!$G$14,$M243,CA$13)="",10^12,OFFSET(PLE!$G$14,$M243,CA$13))))</f>
        <v>1000000000000</v>
      </c>
      <c r="CB243" s="182">
        <f ca="1">IF($D243&lt;&gt;"Serviço",0,IF(OR(AND(AUTOEVENTO="Manual",$M243=1),$M243&gt;(ROW(PLE.lastrow)-ROW(PLE.firstrow))),0,IF(OFFSET(PLE!$G$14,$M243,CB$13)="",10^12,OFFSET(PLE!$G$14,$M243,CB$13))))</f>
        <v>1000000000000</v>
      </c>
      <c r="CC243" s="182">
        <f ca="1">IF($D243&lt;&gt;"Serviço",0,IF(OR(AND(AUTOEVENTO="Manual",$M243=1),$M243&gt;(ROW(PLE.lastrow)-ROW(PLE.firstrow))),0,IF(OFFSET(PLE!$G$14,$M243,CC$13)="",10^12,OFFSET(PLE!$G$14,$M243,CC$13))))</f>
        <v>1000000000000</v>
      </c>
      <c r="CD243" s="182">
        <f ca="1">IF($D243&lt;&gt;"Serviço",0,IF(OR(AND(AUTOEVENTO="Manual",$M243=1),$M243&gt;(ROW(PLE.lastrow)-ROW(PLE.firstrow))),0,IF(OFFSET(PLE!$G$14,$M243,CD$13)="",10^12,OFFSET(PLE!$G$14,$M243,CD$13))))</f>
        <v>1000000000000</v>
      </c>
      <c r="CE243" s="182">
        <f ca="1">IF($D243&lt;&gt;"Serviço",0,IF(OR(AND(AUTOEVENTO="Manual",$M243=1),$M243&gt;(ROW(PLE.lastrow)-ROW(PLE.firstrow))),0,IF(OFFSET(PLE!$G$14,$M243,CE$13)="",10^12,OFFSET(PLE!$G$14,$M243,CE$13))))</f>
        <v>1000000000000</v>
      </c>
      <c r="CF243" s="182">
        <f ca="1">IF($D243&lt;&gt;"Serviço",0,IF(OR(AND(AUTOEVENTO="Manual",$M243=1),$M243&gt;(ROW(PLE.lastrow)-ROW(PLE.firstrow))),0,IF(OFFSET(PLE!$G$14,$M243,CF$13)="",10^12,OFFSET(PLE!$G$14,$M243,CF$13))))</f>
        <v>1000000000000</v>
      </c>
      <c r="CG243" s="182">
        <f ca="1">IF($D243&lt;&gt;"Serviço",0,IF(OR(AND(AUTOEVENTO="Manual",$M243=1),$M243&gt;(ROW(PLE.lastrow)-ROW(PLE.firstrow))),0,IF(OFFSET(PLE!$G$14,$M243,CG$13)="",10^12,OFFSET(PLE!$G$14,$M243,CG$13))))</f>
        <v>1000000000000</v>
      </c>
      <c r="CH243" s="182">
        <f ca="1">IF($D243&lt;&gt;"Serviço",0,IF(OR(AND(AUTOEVENTO="Manual",$M243=1),$M243&gt;(ROW(PLE.lastrow)-ROW(PLE.firstrow))),0,IF(OFFSET(PLE!$G$14,$M243,CH$13)="",10^12,OFFSET(PLE!$G$14,$M243,CH$13))))</f>
        <v>1000000000000</v>
      </c>
      <c r="CI243" s="182">
        <f ca="1">IF($D243&lt;&gt;"Serviço",0,IF(OR(AND(AUTOEVENTO="Manual",$M243=1),$M243&gt;(ROW(PLE.lastrow)-ROW(PLE.firstrow))),0,IF(OFFSET(PLE!$G$14,$M243,CI$13)="",10^12,OFFSET(PLE!$G$14,$M243,CI$13))))</f>
        <v>1000000000000</v>
      </c>
      <c r="CJ243" s="182">
        <f ca="1">IF($D243&lt;&gt;"Serviço",0,IF(OR(AND(AUTOEVENTO="Manual",$M243=1),$M243&gt;(ROW(PLE.lastrow)-ROW(PLE.firstrow))),0,IF(OFFSET(PLE!$G$14,$M243,CJ$13)="",10^12,OFFSET(PLE!$G$14,$M243,CJ$13))))</f>
        <v>1000000000000</v>
      </c>
      <c r="CK243" s="182">
        <f ca="1">IF($D243&lt;&gt;"Serviço",0,IF(OR(AND(AUTOEVENTO="Manual",$M243=1),$M243&gt;(ROW(PLE.lastrow)-ROW(PLE.firstrow))),0,IF(OFFSET(PLE!$G$14,$M243,CK$13)="",10^12,OFFSET(PLE!$G$14,$M243,CK$13))))</f>
        <v>1000000000000</v>
      </c>
      <c r="CL243" s="182">
        <f ca="1">IF($D243&lt;&gt;"Serviço",0,IF(OR(AND(AUTOEVENTO="Manual",$M243=1),$M243&gt;(ROW(PLE.lastrow)-ROW(PLE.firstrow))),0,IF(OFFSET(PLE!$G$14,$M243,CL$13)="",10^12,OFFSET(PLE!$G$14,$M243,CL$13))))</f>
        <v>1000000000000</v>
      </c>
      <c r="CM243" s="182">
        <f ca="1">IF($D243&lt;&gt;"Serviço",0,IF(OR(AND(AUTOEVENTO="Manual",$M243=1),$M243&gt;(ROW(PLE.lastrow)-ROW(PLE.firstrow))),0,IF(OFFSET(PLE!$G$14,$M243,CM$13)="",10^12,OFFSET(PLE!$G$14,$M243,CM$13))))</f>
        <v>1000000000000</v>
      </c>
    </row>
    <row r="244" spans="1:91" ht="25.5" x14ac:dyDescent="0.2">
      <c r="A244" s="7" t="str">
        <f t="shared" ca="1" si="12"/>
        <v>222</v>
      </c>
      <c r="B244" s="7" t="str">
        <f ca="1">OFFSET(ORÇAMENTO!C$15,ROW(B244)-ROW(B$15),0)</f>
        <v>S</v>
      </c>
      <c r="C244" s="7" t="str">
        <f ca="1">OFFSET(ORÇAMENTO!L$15,ROW(C244)-ROW(C$15),0)</f>
        <v/>
      </c>
      <c r="D244" s="118" t="str">
        <f ca="1">OFFSET(ORÇAMENTO!N$15,ROW(D244)-ROW(D$15),0)</f>
        <v>Serviço</v>
      </c>
      <c r="E244" s="119" t="str">
        <f ca="1">OFFSET(ORÇAMENTO!O$15,ROW(E244)-ROW(E$15),0)</f>
        <v>-</v>
      </c>
      <c r="F244" s="172" t="str">
        <f ca="1">OFFSET(ORÇAMENTO!R$15,ROW(F244)-ROW(F$15),0)</f>
        <v>(abra o arquivo 'Referência 06-2024.xlsm)</v>
      </c>
      <c r="G244" s="173" t="str">
        <f ca="1">IF($D244&lt;&gt;"Serviço","",OFFSET(ORÇAMENTO!S$15,ROW(G244)-ROW(G$15),0))</f>
        <v>-</v>
      </c>
      <c r="H244" s="124">
        <f ca="1">IF($D244&lt;&gt;"Serviço",0,IF(ACOMPANHAMENTO="BM",ROUND(OFFSET(ORÇAMENTO!AJ$15,ROW(H244)-ROW(H$15),0),15-13*ORÇAMENTO!$AF$7),SUMPRODUCT(($Q$12:$AI$12&lt;&gt;"")*ROUND($Q244:$AI244,15-13*ORÇAMENTO!$AF$7))))</f>
        <v>0.49</v>
      </c>
      <c r="I244" s="561" t="s">
        <v>1107</v>
      </c>
      <c r="K244" s="174"/>
      <c r="L244" s="175" t="s">
        <v>255</v>
      </c>
      <c r="M244" s="176">
        <f ca="1">IF($D244&lt;&gt;"Serviço","",IF(AUTOEVENTO="manual",$A244,IF(ISERROR(MATCH($A244,$A$15:OFFSET($A244,-1,0),0)),MAX($M$15:OFFSET(M244,-1,0))+1,INDEX($M$15:OFFSET(M244,-1,0),MATCH($A244,$A$15:OFFSET($A244,-1,0),0)))))</f>
        <v>33</v>
      </c>
      <c r="N244" s="177" t="str">
        <f ca="1">IF($D244&lt;&gt;"Serviço","",IF(AUTOEVENTO="Manual",IF($A244=0,"&lt;-- defina o número do agrupador",OFFSET(EVENTOS!$D$14,$A244,0)),OFFSET($F$15,$A244,0)))</f>
        <v>PINTURAS E ACABAMENTOS - PISO PLAYGROUND</v>
      </c>
      <c r="O244" s="178"/>
      <c r="Q244" s="178">
        <v>0.49</v>
      </c>
      <c r="R244" s="179"/>
      <c r="S244" s="179"/>
      <c r="T244" s="179"/>
      <c r="U244" s="179"/>
      <c r="V244" s="179"/>
      <c r="W244" s="179"/>
      <c r="X244" s="179"/>
      <c r="Y244" s="179"/>
      <c r="Z244" s="180"/>
      <c r="AA244" s="179"/>
      <c r="AB244" s="179"/>
      <c r="AC244" s="179"/>
      <c r="AD244" s="179"/>
      <c r="AE244" s="179"/>
      <c r="AF244" s="179"/>
      <c r="AG244" s="179"/>
      <c r="AH244" s="180"/>
      <c r="AJ244" s="544">
        <f ca="1">IF(AND($D244="Serviço",AJ$12&lt;&gt;0,$H244&gt;0,OR(AUTOEVENTO&lt;&gt;"manual",$M244&lt;&gt;1)),
IF(Import.TipoArredondamento&lt;&gt;"TransfereGOV",
ROUND(OFFSET($P244,0,AJ$13),15-13*ORÇAMENTO!$AF$7)/$H244*OFFSET(ORÇAMENTO!$X$15,ROW(AJ244)-ROW(AJ$15),0),
ROUND(ROUND(OFFSET($P244,0,AJ$13),15-13*ORÇAMENTO!$AF$7)*OFFSET(ORÇAMENTO!$W$15,ROW(AJ244)-ROW(AJ$15),0),15-13*ORÇAMENTO!$AF$11)),0)</f>
        <v>0</v>
      </c>
      <c r="AK244" s="545">
        <f ca="1">IF(AND($D244="Serviço",AK$12&lt;&gt;0,$H244&gt;0,OR(AUTOEVENTO&lt;&gt;"manual",$M244&lt;&gt;1)),
IF(Import.TipoArredondamento&lt;&gt;"TransfereGOV",
ROUND(OFFSET($P244,0,AK$13),15-13*ORÇAMENTO!$AF$7)/$H244*OFFSET(ORÇAMENTO!$X$15,ROW(AK244)-ROW(AK$15),0),
ROUND(ROUND(OFFSET($P244,0,AK$13),15-13*ORÇAMENTO!$AF$7)*OFFSET(ORÇAMENTO!$W$15,ROW(AK244)-ROW(AK$15),0),15-13*ORÇAMENTO!$AF$11)),0)</f>
        <v>0</v>
      </c>
      <c r="AL244" s="545">
        <f ca="1">IF(AND($D244="Serviço",AL$12&lt;&gt;0,$H244&gt;0,OR(AUTOEVENTO&lt;&gt;"manual",$M244&lt;&gt;1)),
IF(Import.TipoArredondamento&lt;&gt;"TransfereGOV",
ROUND(OFFSET($P244,0,AL$13),15-13*ORÇAMENTO!$AF$7)/$H244*OFFSET(ORÇAMENTO!$X$15,ROW(AL244)-ROW(AL$15),0),
ROUND(ROUND(OFFSET($P244,0,AL$13),15-13*ORÇAMENTO!$AF$7)*OFFSET(ORÇAMENTO!$W$15,ROW(AL244)-ROW(AL$15),0),15-13*ORÇAMENTO!$AF$11)),0)</f>
        <v>0</v>
      </c>
      <c r="AM244" s="545">
        <f ca="1">IF(AND($D244="Serviço",AM$12&lt;&gt;0,$H244&gt;0,OR(AUTOEVENTO&lt;&gt;"manual",$M244&lt;&gt;1)),
IF(Import.TipoArredondamento&lt;&gt;"TransfereGOV",
ROUND(OFFSET($P244,0,AM$13),15-13*ORÇAMENTO!$AF$7)/$H244*OFFSET(ORÇAMENTO!$X$15,ROW(AM244)-ROW(AM$15),0),
ROUND(ROUND(OFFSET($P244,0,AM$13),15-13*ORÇAMENTO!$AF$7)*OFFSET(ORÇAMENTO!$W$15,ROW(AM244)-ROW(AM$15),0),15-13*ORÇAMENTO!$AF$11)),0)</f>
        <v>0</v>
      </c>
      <c r="AN244" s="545">
        <f ca="1">IF(AND($D244="Serviço",AN$12&lt;&gt;0,$H244&gt;0,OR(AUTOEVENTO&lt;&gt;"manual",$M244&lt;&gt;1)),
IF(Import.TipoArredondamento&lt;&gt;"TransfereGOV",
ROUND(OFFSET($P244,0,AN$13),15-13*ORÇAMENTO!$AF$7)/$H244*OFFSET(ORÇAMENTO!$X$15,ROW(AN244)-ROW(AN$15),0),
ROUND(ROUND(OFFSET($P244,0,AN$13),15-13*ORÇAMENTO!$AF$7)*OFFSET(ORÇAMENTO!$W$15,ROW(AN244)-ROW(AN$15),0),15-13*ORÇAMENTO!$AF$11)),0)</f>
        <v>0</v>
      </c>
      <c r="AO244" s="545">
        <f ca="1">IF(AND($D244="Serviço",AO$12&lt;&gt;0,$H244&gt;0,OR(AUTOEVENTO&lt;&gt;"manual",$M244&lt;&gt;1)),
IF(Import.TipoArredondamento&lt;&gt;"TransfereGOV",
ROUND(OFFSET($P244,0,AO$13),15-13*ORÇAMENTO!$AF$7)/$H244*OFFSET(ORÇAMENTO!$X$15,ROW(AO244)-ROW(AO$15),0),
ROUND(ROUND(OFFSET($P244,0,AO$13),15-13*ORÇAMENTO!$AF$7)*OFFSET(ORÇAMENTO!$W$15,ROW(AO244)-ROW(AO$15),0),15-13*ORÇAMENTO!$AF$11)),0)</f>
        <v>0</v>
      </c>
      <c r="AP244" s="545">
        <f ca="1">IF(AND($D244="Serviço",AP$12&lt;&gt;0,$H244&gt;0,OR(AUTOEVENTO&lt;&gt;"manual",$M244&lt;&gt;1)),
IF(Import.TipoArredondamento&lt;&gt;"TransfereGOV",
ROUND(OFFSET($P244,0,AP$13),15-13*ORÇAMENTO!$AF$7)/$H244*OFFSET(ORÇAMENTO!$X$15,ROW(AP244)-ROW(AP$15),0),
ROUND(ROUND(OFFSET($P244,0,AP$13),15-13*ORÇAMENTO!$AF$7)*OFFSET(ORÇAMENTO!$W$15,ROW(AP244)-ROW(AP$15),0),15-13*ORÇAMENTO!$AF$11)),0)</f>
        <v>0</v>
      </c>
      <c r="AQ244" s="545">
        <f ca="1">IF(AND($D244="Serviço",AQ$12&lt;&gt;0,$H244&gt;0,OR(AUTOEVENTO&lt;&gt;"manual",$M244&lt;&gt;1)),
IF(Import.TipoArredondamento&lt;&gt;"TransfereGOV",
ROUND(OFFSET($P244,0,AQ$13),15-13*ORÇAMENTO!$AF$7)/$H244*OFFSET(ORÇAMENTO!$X$15,ROW(AQ244)-ROW(AQ$15),0),
ROUND(ROUND(OFFSET($P244,0,AQ$13),15-13*ORÇAMENTO!$AF$7)*OFFSET(ORÇAMENTO!$W$15,ROW(AQ244)-ROW(AQ$15),0),15-13*ORÇAMENTO!$AF$11)),0)</f>
        <v>0</v>
      </c>
      <c r="AR244" s="545">
        <f ca="1">IF(AND($D244="Serviço",AR$12&lt;&gt;0,$H244&gt;0,OR(AUTOEVENTO&lt;&gt;"manual",$M244&lt;&gt;1)),
IF(Import.TipoArredondamento&lt;&gt;"TransfereGOV",
ROUND(OFFSET($P244,0,AR$13),15-13*ORÇAMENTO!$AF$7)/$H244*OFFSET(ORÇAMENTO!$X$15,ROW(AR244)-ROW(AR$15),0),
ROUND(ROUND(OFFSET($P244,0,AR$13),15-13*ORÇAMENTO!$AF$7)*OFFSET(ORÇAMENTO!$W$15,ROW(AR244)-ROW(AR$15),0),15-13*ORÇAMENTO!$AF$11)),0)</f>
        <v>0</v>
      </c>
      <c r="AS244" s="546">
        <f ca="1">IF(AND($D244="Serviço",AS$12&lt;&gt;0,$H244&gt;0,OR(AUTOEVENTO&lt;&gt;"manual",$M244&lt;&gt;1)),
IF(Import.TipoArredondamento&lt;&gt;"TransfereGOV",
ROUND(OFFSET($P244,0,AS$13),15-13*ORÇAMENTO!$AF$7)/$H244*OFFSET(ORÇAMENTO!$X$15,ROW(AS244)-ROW(AS$15),0),
ROUND(ROUND(OFFSET($P244,0,AS$13),15-13*ORÇAMENTO!$AF$7)*OFFSET(ORÇAMENTO!$W$15,ROW(AS244)-ROW(AS$15),0),15-13*ORÇAMENTO!$AF$11)),0)</f>
        <v>0</v>
      </c>
      <c r="AT244" s="545">
        <f ca="1">IF(AND($D244="Serviço",AT$12&lt;&gt;0,$H244&gt;0,OR(AUTOEVENTO&lt;&gt;"manual",$M244&lt;&gt;1)),
IF(Import.TipoArredondamento&lt;&gt;"TransfereGOV",
ROUND(OFFSET($P244,0,AT$13),15-13*ORÇAMENTO!$AF$7)/$H244*OFFSET(ORÇAMENTO!$X$15,ROW(AT244)-ROW(AT$15),0),
ROUND(ROUND(OFFSET($P244,0,AT$13),15-13*ORÇAMENTO!$AF$7)*OFFSET(ORÇAMENTO!$W$15,ROW(AT244)-ROW(AT$15),0),15-13*ORÇAMENTO!$AF$11)),0)</f>
        <v>0</v>
      </c>
      <c r="AU244" s="545">
        <f ca="1">IF(AND($D244="Serviço",AU$12&lt;&gt;0,$H244&gt;0,OR(AUTOEVENTO&lt;&gt;"manual",$M244&lt;&gt;1)),
IF(Import.TipoArredondamento&lt;&gt;"TransfereGOV",
ROUND(OFFSET($P244,0,AU$13),15-13*ORÇAMENTO!$AF$7)/$H244*OFFSET(ORÇAMENTO!$X$15,ROW(AU244)-ROW(AU$15),0),
ROUND(ROUND(OFFSET($P244,0,AU$13),15-13*ORÇAMENTO!$AF$7)*OFFSET(ORÇAMENTO!$W$15,ROW(AU244)-ROW(AU$15),0),15-13*ORÇAMENTO!$AF$11)),0)</f>
        <v>0</v>
      </c>
      <c r="AV244" s="545">
        <f ca="1">IF(AND($D244="Serviço",AV$12&lt;&gt;0,$H244&gt;0,OR(AUTOEVENTO&lt;&gt;"manual",$M244&lt;&gt;1)),
IF(Import.TipoArredondamento&lt;&gt;"TransfereGOV",
ROUND(OFFSET($P244,0,AV$13),15-13*ORÇAMENTO!$AF$7)/$H244*OFFSET(ORÇAMENTO!$X$15,ROW(AV244)-ROW(AV$15),0),
ROUND(ROUND(OFFSET($P244,0,AV$13),15-13*ORÇAMENTO!$AF$7)*OFFSET(ORÇAMENTO!$W$15,ROW(AV244)-ROW(AV$15),0),15-13*ORÇAMENTO!$AF$11)),0)</f>
        <v>0</v>
      </c>
      <c r="AW244" s="545">
        <f ca="1">IF(AND($D244="Serviço",AW$12&lt;&gt;0,$H244&gt;0,OR(AUTOEVENTO&lt;&gt;"manual",$M244&lt;&gt;1)),
IF(Import.TipoArredondamento&lt;&gt;"TransfereGOV",
ROUND(OFFSET($P244,0,AW$13),15-13*ORÇAMENTO!$AF$7)/$H244*OFFSET(ORÇAMENTO!$X$15,ROW(AW244)-ROW(AW$15),0),
ROUND(ROUND(OFFSET($P244,0,AW$13),15-13*ORÇAMENTO!$AF$7)*OFFSET(ORÇAMENTO!$W$15,ROW(AW244)-ROW(AW$15),0),15-13*ORÇAMENTO!$AF$11)),0)</f>
        <v>0</v>
      </c>
      <c r="AX244" s="545">
        <f ca="1">IF(AND($D244="Serviço",AX$12&lt;&gt;0,$H244&gt;0,OR(AUTOEVENTO&lt;&gt;"manual",$M244&lt;&gt;1)),
IF(Import.TipoArredondamento&lt;&gt;"TransfereGOV",
ROUND(OFFSET($P244,0,AX$13),15-13*ORÇAMENTO!$AF$7)/$H244*OFFSET(ORÇAMENTO!$X$15,ROW(AX244)-ROW(AX$15),0),
ROUND(ROUND(OFFSET($P244,0,AX$13),15-13*ORÇAMENTO!$AF$7)*OFFSET(ORÇAMENTO!$W$15,ROW(AX244)-ROW(AX$15),0),15-13*ORÇAMENTO!$AF$11)),0)</f>
        <v>0</v>
      </c>
      <c r="AY244" s="545">
        <f ca="1">IF(AND($D244="Serviço",AY$12&lt;&gt;0,$H244&gt;0,OR(AUTOEVENTO&lt;&gt;"manual",$M244&lt;&gt;1)),
IF(Import.TipoArredondamento&lt;&gt;"TransfereGOV",
ROUND(OFFSET($P244,0,AY$13),15-13*ORÇAMENTO!$AF$7)/$H244*OFFSET(ORÇAMENTO!$X$15,ROW(AY244)-ROW(AY$15),0),
ROUND(ROUND(OFFSET($P244,0,AY$13),15-13*ORÇAMENTO!$AF$7)*OFFSET(ORÇAMENTO!$W$15,ROW(AY244)-ROW(AY$15),0),15-13*ORÇAMENTO!$AF$11)),0)</f>
        <v>0</v>
      </c>
      <c r="AZ244" s="545">
        <f ca="1">IF(AND($D244="Serviço",AZ$12&lt;&gt;0,$H244&gt;0,OR(AUTOEVENTO&lt;&gt;"manual",$M244&lt;&gt;1)),
IF(Import.TipoArredondamento&lt;&gt;"TransfereGOV",
ROUND(OFFSET($P244,0,AZ$13),15-13*ORÇAMENTO!$AF$7)/$H244*OFFSET(ORÇAMENTO!$X$15,ROW(AZ244)-ROW(AZ$15),0),
ROUND(ROUND(OFFSET($P244,0,AZ$13),15-13*ORÇAMENTO!$AF$7)*OFFSET(ORÇAMENTO!$W$15,ROW(AZ244)-ROW(AZ$15),0),15-13*ORÇAMENTO!$AF$11)),0)</f>
        <v>0</v>
      </c>
      <c r="BA244" s="546">
        <f ca="1">IF(AND($D244="Serviço",BA$12&lt;&gt;0,$H244&gt;0,OR(AUTOEVENTO&lt;&gt;"manual",$M244&lt;&gt;1)),
IF(Import.TipoArredondamento&lt;&gt;"TransfereGOV",
ROUND(OFFSET($P244,0,BA$13),15-13*ORÇAMENTO!$AF$7)/$H244*OFFSET(ORÇAMENTO!$X$15,ROW(BA244)-ROW(BA$15),0),
ROUND(ROUND(OFFSET($P244,0,BA$13),15-13*ORÇAMENTO!$AF$7)*OFFSET(ORÇAMENTO!$W$15,ROW(BA244)-ROW(BA$15),0),15-13*ORÇAMENTO!$AF$11)),0)</f>
        <v>0</v>
      </c>
      <c r="BC244" s="181">
        <f ca="1">IF($D244&lt;&gt;"Serviço",0,IF(AND(AUTOEVENTO="Manual",$M244=1),0,IF(OFFSET(CRONOPLE!$F$14,$M244,BC$13)="",10^12,OFFSET(CRONOPLE!$F$14,$M244,BC$13))))</f>
        <v>9</v>
      </c>
      <c r="BD244" s="181">
        <f ca="1">IF($D244&lt;&gt;"Serviço",0,IF(AND(AUTOEVENTO="Manual",$M244=1),0,IF(OFFSET(CRONOPLE!$F$14,$M244,BD$13)="",10^12,OFFSET(CRONOPLE!$F$14,$M244,BD$13))))</f>
        <v>1000000000000</v>
      </c>
      <c r="BE244" s="181">
        <f ca="1">IF($D244&lt;&gt;"Serviço",0,IF(AND(AUTOEVENTO="Manual",$M244=1),0,IF(OFFSET(CRONOPLE!$F$14,$M244,BE$13)="",10^12,OFFSET(CRONOPLE!$F$14,$M244,BE$13))))</f>
        <v>1000000000000</v>
      </c>
      <c r="BF244" s="181">
        <f ca="1">IF($D244&lt;&gt;"Serviço",0,IF(AND(AUTOEVENTO="Manual",$M244=1),0,IF(OFFSET(CRONOPLE!$F$14,$M244,BF$13)="",10^12,OFFSET(CRONOPLE!$F$14,$M244,BF$13))))</f>
        <v>1000000000000</v>
      </c>
      <c r="BG244" s="181">
        <f ca="1">IF($D244&lt;&gt;"Serviço",0,IF(AND(AUTOEVENTO="Manual",$M244=1),0,IF(OFFSET(CRONOPLE!$F$14,$M244,BG$13)="",10^12,OFFSET(CRONOPLE!$F$14,$M244,BG$13))))</f>
        <v>1000000000000</v>
      </c>
      <c r="BH244" s="181">
        <f ca="1">IF($D244&lt;&gt;"Serviço",0,IF(AND(AUTOEVENTO="Manual",$M244=1),0,IF(OFFSET(CRONOPLE!$F$14,$M244,BH$13)="",10^12,OFFSET(CRONOPLE!$F$14,$M244,BH$13))))</f>
        <v>1000000000000</v>
      </c>
      <c r="BI244" s="181">
        <f ca="1">IF($D244&lt;&gt;"Serviço",0,IF(AND(AUTOEVENTO="Manual",$M244=1),0,IF(OFFSET(CRONOPLE!$F$14,$M244,BI$13)="",10^12,OFFSET(CRONOPLE!$F$14,$M244,BI$13))))</f>
        <v>1000000000000</v>
      </c>
      <c r="BJ244" s="181">
        <f ca="1">IF($D244&lt;&gt;"Serviço",0,IF(AND(AUTOEVENTO="Manual",$M244=1),0,IF(OFFSET(CRONOPLE!$F$14,$M244,BJ$13)="",10^12,OFFSET(CRONOPLE!$F$14,$M244,BJ$13))))</f>
        <v>1000000000000</v>
      </c>
      <c r="BK244" s="181">
        <f ca="1">IF($D244&lt;&gt;"Serviço",0,IF(AND(AUTOEVENTO="Manual",$M244=1),0,IF(OFFSET(CRONOPLE!$F$14,$M244,BK$13)="",10^12,OFFSET(CRONOPLE!$F$14,$M244,BK$13))))</f>
        <v>1000000000000</v>
      </c>
      <c r="BL244" s="181">
        <f ca="1">IF($D244&lt;&gt;"Serviço",0,IF(AND(AUTOEVENTO="Manual",$M244=1),0,IF(OFFSET(CRONOPLE!$F$14,$M244,BL$13)="",10^12,OFFSET(CRONOPLE!$F$14,$M244,BL$13))))</f>
        <v>1000000000000</v>
      </c>
      <c r="BM244" s="181">
        <f ca="1">IF($D244&lt;&gt;"Serviço",0,IF(AND(AUTOEVENTO="Manual",$M244=1),0,IF(OFFSET(CRONOPLE!$F$14,$M244,BM$13)="",10^12,OFFSET(CRONOPLE!$F$14,$M244,BM$13))))</f>
        <v>1000000000000</v>
      </c>
      <c r="BN244" s="181">
        <f ca="1">IF($D244&lt;&gt;"Serviço",0,IF(AND(AUTOEVENTO="Manual",$M244=1),0,IF(OFFSET(CRONOPLE!$F$14,$M244,BN$13)="",10^12,OFFSET(CRONOPLE!$F$14,$M244,BN$13))))</f>
        <v>1000000000000</v>
      </c>
      <c r="BO244" s="181">
        <f ca="1">IF($D244&lt;&gt;"Serviço",0,IF(AND(AUTOEVENTO="Manual",$M244=1),0,IF(OFFSET(CRONOPLE!$F$14,$M244,BO$13)="",10^12,OFFSET(CRONOPLE!$F$14,$M244,BO$13))))</f>
        <v>1000000000000</v>
      </c>
      <c r="BP244" s="181">
        <f ca="1">IF($D244&lt;&gt;"Serviço",0,IF(AND(AUTOEVENTO="Manual",$M244=1),0,IF(OFFSET(CRONOPLE!$F$14,$M244,BP$13)="",10^12,OFFSET(CRONOPLE!$F$14,$M244,BP$13))))</f>
        <v>1000000000000</v>
      </c>
      <c r="BQ244" s="181">
        <f ca="1">IF($D244&lt;&gt;"Serviço",0,IF(AND(AUTOEVENTO="Manual",$M244=1),0,IF(OFFSET(CRONOPLE!$F$14,$M244,BQ$13)="",10^12,OFFSET(CRONOPLE!$F$14,$M244,BQ$13))))</f>
        <v>1000000000000</v>
      </c>
      <c r="BR244" s="181">
        <f ca="1">IF($D244&lt;&gt;"Serviço",0,IF(AND(AUTOEVENTO="Manual",$M244=1),0,IF(OFFSET(CRONOPLE!$F$14,$M244,BR$13)="",10^12,OFFSET(CRONOPLE!$F$14,$M244,BR$13))))</f>
        <v>1000000000000</v>
      </c>
      <c r="BS244" s="181">
        <f ca="1">IF($D244&lt;&gt;"Serviço",0,IF(AND(AUTOEVENTO="Manual",$M244=1),0,IF(OFFSET(CRONOPLE!$F$14,$M244,BS$13)="",10^12,OFFSET(CRONOPLE!$F$14,$M244,BS$13))))</f>
        <v>1000000000000</v>
      </c>
      <c r="BT244" s="181">
        <f ca="1">IF($D244&lt;&gt;"Serviço",0,IF(AND(AUTOEVENTO="Manual",$M244=1),0,IF(OFFSET(CRONOPLE!$F$14,$M244,BT$13)="",10^12,OFFSET(CRONOPLE!$F$14,$M244,BT$13))))</f>
        <v>1000000000000</v>
      </c>
      <c r="BV244" s="182">
        <f ca="1">IF($D244&lt;&gt;"Serviço",0,IF(OR(AND(AUTOEVENTO="Manual",$M244=1),$M244&gt;(ROW(PLE.lastrow)-ROW(PLE.firstrow))),0,IF(OFFSET(PLE!$G$14,$M244,BV$13)="",10^12,OFFSET(PLE!$G$14,$M244,BV$13))))</f>
        <v>1000000000000</v>
      </c>
      <c r="BW244" s="182">
        <f ca="1">IF($D244&lt;&gt;"Serviço",0,IF(OR(AND(AUTOEVENTO="Manual",$M244=1),$M244&gt;(ROW(PLE.lastrow)-ROW(PLE.firstrow))),0,IF(OFFSET(PLE!$G$14,$M244,BW$13)="",10^12,OFFSET(PLE!$G$14,$M244,BW$13))))</f>
        <v>1000000000000</v>
      </c>
      <c r="BX244" s="182">
        <f ca="1">IF($D244&lt;&gt;"Serviço",0,IF(OR(AND(AUTOEVENTO="Manual",$M244=1),$M244&gt;(ROW(PLE.lastrow)-ROW(PLE.firstrow))),0,IF(OFFSET(PLE!$G$14,$M244,BX$13)="",10^12,OFFSET(PLE!$G$14,$M244,BX$13))))</f>
        <v>1000000000000</v>
      </c>
      <c r="BY244" s="182">
        <f ca="1">IF($D244&lt;&gt;"Serviço",0,IF(OR(AND(AUTOEVENTO="Manual",$M244=1),$M244&gt;(ROW(PLE.lastrow)-ROW(PLE.firstrow))),0,IF(OFFSET(PLE!$G$14,$M244,BY$13)="",10^12,OFFSET(PLE!$G$14,$M244,BY$13))))</f>
        <v>1000000000000</v>
      </c>
      <c r="BZ244" s="182">
        <f ca="1">IF($D244&lt;&gt;"Serviço",0,IF(OR(AND(AUTOEVENTO="Manual",$M244=1),$M244&gt;(ROW(PLE.lastrow)-ROW(PLE.firstrow))),0,IF(OFFSET(PLE!$G$14,$M244,BZ$13)="",10^12,OFFSET(PLE!$G$14,$M244,BZ$13))))</f>
        <v>1000000000000</v>
      </c>
      <c r="CA244" s="182">
        <f ca="1">IF($D244&lt;&gt;"Serviço",0,IF(OR(AND(AUTOEVENTO="Manual",$M244=1),$M244&gt;(ROW(PLE.lastrow)-ROW(PLE.firstrow))),0,IF(OFFSET(PLE!$G$14,$M244,CA$13)="",10^12,OFFSET(PLE!$G$14,$M244,CA$13))))</f>
        <v>1000000000000</v>
      </c>
      <c r="CB244" s="182">
        <f ca="1">IF($D244&lt;&gt;"Serviço",0,IF(OR(AND(AUTOEVENTO="Manual",$M244=1),$M244&gt;(ROW(PLE.lastrow)-ROW(PLE.firstrow))),0,IF(OFFSET(PLE!$G$14,$M244,CB$13)="",10^12,OFFSET(PLE!$G$14,$M244,CB$13))))</f>
        <v>1000000000000</v>
      </c>
      <c r="CC244" s="182">
        <f ca="1">IF($D244&lt;&gt;"Serviço",0,IF(OR(AND(AUTOEVENTO="Manual",$M244=1),$M244&gt;(ROW(PLE.lastrow)-ROW(PLE.firstrow))),0,IF(OFFSET(PLE!$G$14,$M244,CC$13)="",10^12,OFFSET(PLE!$G$14,$M244,CC$13))))</f>
        <v>1000000000000</v>
      </c>
      <c r="CD244" s="182">
        <f ca="1">IF($D244&lt;&gt;"Serviço",0,IF(OR(AND(AUTOEVENTO="Manual",$M244=1),$M244&gt;(ROW(PLE.lastrow)-ROW(PLE.firstrow))),0,IF(OFFSET(PLE!$G$14,$M244,CD$13)="",10^12,OFFSET(PLE!$G$14,$M244,CD$13))))</f>
        <v>1000000000000</v>
      </c>
      <c r="CE244" s="182">
        <f ca="1">IF($D244&lt;&gt;"Serviço",0,IF(OR(AND(AUTOEVENTO="Manual",$M244=1),$M244&gt;(ROW(PLE.lastrow)-ROW(PLE.firstrow))),0,IF(OFFSET(PLE!$G$14,$M244,CE$13)="",10^12,OFFSET(PLE!$G$14,$M244,CE$13))))</f>
        <v>1000000000000</v>
      </c>
      <c r="CF244" s="182">
        <f ca="1">IF($D244&lt;&gt;"Serviço",0,IF(OR(AND(AUTOEVENTO="Manual",$M244=1),$M244&gt;(ROW(PLE.lastrow)-ROW(PLE.firstrow))),0,IF(OFFSET(PLE!$G$14,$M244,CF$13)="",10^12,OFFSET(PLE!$G$14,$M244,CF$13))))</f>
        <v>1000000000000</v>
      </c>
      <c r="CG244" s="182">
        <f ca="1">IF($D244&lt;&gt;"Serviço",0,IF(OR(AND(AUTOEVENTO="Manual",$M244=1),$M244&gt;(ROW(PLE.lastrow)-ROW(PLE.firstrow))),0,IF(OFFSET(PLE!$G$14,$M244,CG$13)="",10^12,OFFSET(PLE!$G$14,$M244,CG$13))))</f>
        <v>1000000000000</v>
      </c>
      <c r="CH244" s="182">
        <f ca="1">IF($D244&lt;&gt;"Serviço",0,IF(OR(AND(AUTOEVENTO="Manual",$M244=1),$M244&gt;(ROW(PLE.lastrow)-ROW(PLE.firstrow))),0,IF(OFFSET(PLE!$G$14,$M244,CH$13)="",10^12,OFFSET(PLE!$G$14,$M244,CH$13))))</f>
        <v>1000000000000</v>
      </c>
      <c r="CI244" s="182">
        <f ca="1">IF($D244&lt;&gt;"Serviço",0,IF(OR(AND(AUTOEVENTO="Manual",$M244=1),$M244&gt;(ROW(PLE.lastrow)-ROW(PLE.firstrow))),0,IF(OFFSET(PLE!$G$14,$M244,CI$13)="",10^12,OFFSET(PLE!$G$14,$M244,CI$13))))</f>
        <v>1000000000000</v>
      </c>
      <c r="CJ244" s="182">
        <f ca="1">IF($D244&lt;&gt;"Serviço",0,IF(OR(AND(AUTOEVENTO="Manual",$M244=1),$M244&gt;(ROW(PLE.lastrow)-ROW(PLE.firstrow))),0,IF(OFFSET(PLE!$G$14,$M244,CJ$13)="",10^12,OFFSET(PLE!$G$14,$M244,CJ$13))))</f>
        <v>1000000000000</v>
      </c>
      <c r="CK244" s="182">
        <f ca="1">IF($D244&lt;&gt;"Serviço",0,IF(OR(AND(AUTOEVENTO="Manual",$M244=1),$M244&gt;(ROW(PLE.lastrow)-ROW(PLE.firstrow))),0,IF(OFFSET(PLE!$G$14,$M244,CK$13)="",10^12,OFFSET(PLE!$G$14,$M244,CK$13))))</f>
        <v>1000000000000</v>
      </c>
      <c r="CL244" s="182">
        <f ca="1">IF($D244&lt;&gt;"Serviço",0,IF(OR(AND(AUTOEVENTO="Manual",$M244=1),$M244&gt;(ROW(PLE.lastrow)-ROW(PLE.firstrow))),0,IF(OFFSET(PLE!$G$14,$M244,CL$13)="",10^12,OFFSET(PLE!$G$14,$M244,CL$13))))</f>
        <v>1000000000000</v>
      </c>
      <c r="CM244" s="182">
        <f ca="1">IF($D244&lt;&gt;"Serviço",0,IF(OR(AND(AUTOEVENTO="Manual",$M244=1),$M244&gt;(ROW(PLE.lastrow)-ROW(PLE.firstrow))),0,IF(OFFSET(PLE!$G$14,$M244,CM$13)="",10^12,OFFSET(PLE!$G$14,$M244,CM$13))))</f>
        <v>1000000000000</v>
      </c>
    </row>
    <row r="245" spans="1:91" ht="12.75" x14ac:dyDescent="0.2">
      <c r="A245" s="7" t="str">
        <f t="shared" ca="1" si="12"/>
        <v>230.</v>
      </c>
      <c r="B245" s="7">
        <f ca="1">OFFSET(ORÇAMENTO!C$15,ROW(B245)-ROW(B$15),0)</f>
        <v>2</v>
      </c>
      <c r="C245" s="7" t="str">
        <f ca="1">OFFSET(ORÇAMENTO!L$15,ROW(C245)-ROW(C$15),0)</f>
        <v>F</v>
      </c>
      <c r="D245" s="118" t="str">
        <f ca="1">OFFSET(ORÇAMENTO!N$15,ROW(D245)-ROW(D$15),0)</f>
        <v>Nível 2</v>
      </c>
      <c r="E245" s="119" t="str">
        <f ca="1">OFFSET(ORÇAMENTO!O$15,ROW(E245)-ROW(E$15),0)</f>
        <v>1.33.</v>
      </c>
      <c r="F245" s="172" t="str">
        <f ca="1">OFFSET(ORÇAMENTO!R$15,ROW(F245)-ROW(F$15),0)</f>
        <v>PINTURAS E ACABAMENTOS - ESTRUTURA METÁLICA</v>
      </c>
      <c r="G245" s="173" t="str">
        <f ca="1">IF($D245&lt;&gt;"Serviço","",OFFSET(ORÇAMENTO!S$15,ROW(G245)-ROW(G$15),0))</f>
        <v/>
      </c>
      <c r="H245" s="124">
        <f ca="1">IF($D245&lt;&gt;"Serviço",0,IF(ACOMPANHAMENTO="BM",ROUND(OFFSET(ORÇAMENTO!AJ$15,ROW(H245)-ROW(H$15),0),15-13*ORÇAMENTO!$AF$7),SUMPRODUCT(($Q$12:$AI$12&lt;&gt;"")*ROUND($Q245:$AI245,15-13*ORÇAMENTO!$AF$7))))</f>
        <v>0</v>
      </c>
      <c r="I245" s="561"/>
      <c r="K245" s="174"/>
      <c r="L245" s="175" t="s">
        <v>255</v>
      </c>
      <c r="M245" s="176" t="str">
        <f ca="1">IF($D245&lt;&gt;"Serviço","",IF(AUTOEVENTO="manual",$A245,IF(ISERROR(MATCH($A245,$A$15:OFFSET($A245,-1,0),0)),MAX($M$15:OFFSET(M245,-1,0))+1,INDEX($M$15:OFFSET(M245,-1,0),MATCH($A245,$A$15:OFFSET($A245,-1,0),0)))))</f>
        <v/>
      </c>
      <c r="N245" s="177" t="str">
        <f ca="1">IF($D245&lt;&gt;"Serviço","",IF(AUTOEVENTO="Manual",IF($A245=0,"&lt;-- defina o número do agrupador",OFFSET(EVENTOS!$D$14,$A245,0)),OFFSET($F$15,$A245,0)))</f>
        <v/>
      </c>
      <c r="O245" s="178"/>
      <c r="Q245" s="178">
        <v>0</v>
      </c>
      <c r="R245" s="179"/>
      <c r="S245" s="179"/>
      <c r="T245" s="179"/>
      <c r="U245" s="179"/>
      <c r="V245" s="179"/>
      <c r="W245" s="179"/>
      <c r="X245" s="179"/>
      <c r="Y245" s="179"/>
      <c r="Z245" s="180"/>
      <c r="AA245" s="179"/>
      <c r="AB245" s="179"/>
      <c r="AC245" s="179"/>
      <c r="AD245" s="179"/>
      <c r="AE245" s="179"/>
      <c r="AF245" s="179"/>
      <c r="AG245" s="179"/>
      <c r="AH245" s="180"/>
      <c r="AJ245" s="544">
        <f ca="1">IF(AND($D245="Serviço",AJ$12&lt;&gt;0,$H245&gt;0,OR(AUTOEVENTO&lt;&gt;"manual",$M245&lt;&gt;1)),
IF(Import.TipoArredondamento&lt;&gt;"TransfereGOV",
ROUND(OFFSET($P245,0,AJ$13),15-13*ORÇAMENTO!$AF$7)/$H245*OFFSET(ORÇAMENTO!$X$15,ROW(AJ245)-ROW(AJ$15),0),
ROUND(ROUND(OFFSET($P245,0,AJ$13),15-13*ORÇAMENTO!$AF$7)*OFFSET(ORÇAMENTO!$W$15,ROW(AJ245)-ROW(AJ$15),0),15-13*ORÇAMENTO!$AF$11)),0)</f>
        <v>0</v>
      </c>
      <c r="AK245" s="545">
        <f ca="1">IF(AND($D245="Serviço",AK$12&lt;&gt;0,$H245&gt;0,OR(AUTOEVENTO&lt;&gt;"manual",$M245&lt;&gt;1)),
IF(Import.TipoArredondamento&lt;&gt;"TransfereGOV",
ROUND(OFFSET($P245,0,AK$13),15-13*ORÇAMENTO!$AF$7)/$H245*OFFSET(ORÇAMENTO!$X$15,ROW(AK245)-ROW(AK$15),0),
ROUND(ROUND(OFFSET($P245,0,AK$13),15-13*ORÇAMENTO!$AF$7)*OFFSET(ORÇAMENTO!$W$15,ROW(AK245)-ROW(AK$15),0),15-13*ORÇAMENTO!$AF$11)),0)</f>
        <v>0</v>
      </c>
      <c r="AL245" s="545">
        <f ca="1">IF(AND($D245="Serviço",AL$12&lt;&gt;0,$H245&gt;0,OR(AUTOEVENTO&lt;&gt;"manual",$M245&lt;&gt;1)),
IF(Import.TipoArredondamento&lt;&gt;"TransfereGOV",
ROUND(OFFSET($P245,0,AL$13),15-13*ORÇAMENTO!$AF$7)/$H245*OFFSET(ORÇAMENTO!$X$15,ROW(AL245)-ROW(AL$15),0),
ROUND(ROUND(OFFSET($P245,0,AL$13),15-13*ORÇAMENTO!$AF$7)*OFFSET(ORÇAMENTO!$W$15,ROW(AL245)-ROW(AL$15),0),15-13*ORÇAMENTO!$AF$11)),0)</f>
        <v>0</v>
      </c>
      <c r="AM245" s="545">
        <f ca="1">IF(AND($D245="Serviço",AM$12&lt;&gt;0,$H245&gt;0,OR(AUTOEVENTO&lt;&gt;"manual",$M245&lt;&gt;1)),
IF(Import.TipoArredondamento&lt;&gt;"TransfereGOV",
ROUND(OFFSET($P245,0,AM$13),15-13*ORÇAMENTO!$AF$7)/$H245*OFFSET(ORÇAMENTO!$X$15,ROW(AM245)-ROW(AM$15),0),
ROUND(ROUND(OFFSET($P245,0,AM$13),15-13*ORÇAMENTO!$AF$7)*OFFSET(ORÇAMENTO!$W$15,ROW(AM245)-ROW(AM$15),0),15-13*ORÇAMENTO!$AF$11)),0)</f>
        <v>0</v>
      </c>
      <c r="AN245" s="545">
        <f ca="1">IF(AND($D245="Serviço",AN$12&lt;&gt;0,$H245&gt;0,OR(AUTOEVENTO&lt;&gt;"manual",$M245&lt;&gt;1)),
IF(Import.TipoArredondamento&lt;&gt;"TransfereGOV",
ROUND(OFFSET($P245,0,AN$13),15-13*ORÇAMENTO!$AF$7)/$H245*OFFSET(ORÇAMENTO!$X$15,ROW(AN245)-ROW(AN$15),0),
ROUND(ROUND(OFFSET($P245,0,AN$13),15-13*ORÇAMENTO!$AF$7)*OFFSET(ORÇAMENTO!$W$15,ROW(AN245)-ROW(AN$15),0),15-13*ORÇAMENTO!$AF$11)),0)</f>
        <v>0</v>
      </c>
      <c r="AO245" s="545">
        <f ca="1">IF(AND($D245="Serviço",AO$12&lt;&gt;0,$H245&gt;0,OR(AUTOEVENTO&lt;&gt;"manual",$M245&lt;&gt;1)),
IF(Import.TipoArredondamento&lt;&gt;"TransfereGOV",
ROUND(OFFSET($P245,0,AO$13),15-13*ORÇAMENTO!$AF$7)/$H245*OFFSET(ORÇAMENTO!$X$15,ROW(AO245)-ROW(AO$15),0),
ROUND(ROUND(OFFSET($P245,0,AO$13),15-13*ORÇAMENTO!$AF$7)*OFFSET(ORÇAMENTO!$W$15,ROW(AO245)-ROW(AO$15),0),15-13*ORÇAMENTO!$AF$11)),0)</f>
        <v>0</v>
      </c>
      <c r="AP245" s="545">
        <f ca="1">IF(AND($D245="Serviço",AP$12&lt;&gt;0,$H245&gt;0,OR(AUTOEVENTO&lt;&gt;"manual",$M245&lt;&gt;1)),
IF(Import.TipoArredondamento&lt;&gt;"TransfereGOV",
ROUND(OFFSET($P245,0,AP$13),15-13*ORÇAMENTO!$AF$7)/$H245*OFFSET(ORÇAMENTO!$X$15,ROW(AP245)-ROW(AP$15),0),
ROUND(ROUND(OFFSET($P245,0,AP$13),15-13*ORÇAMENTO!$AF$7)*OFFSET(ORÇAMENTO!$W$15,ROW(AP245)-ROW(AP$15),0),15-13*ORÇAMENTO!$AF$11)),0)</f>
        <v>0</v>
      </c>
      <c r="AQ245" s="545">
        <f ca="1">IF(AND($D245="Serviço",AQ$12&lt;&gt;0,$H245&gt;0,OR(AUTOEVENTO&lt;&gt;"manual",$M245&lt;&gt;1)),
IF(Import.TipoArredondamento&lt;&gt;"TransfereGOV",
ROUND(OFFSET($P245,0,AQ$13),15-13*ORÇAMENTO!$AF$7)/$H245*OFFSET(ORÇAMENTO!$X$15,ROW(AQ245)-ROW(AQ$15),0),
ROUND(ROUND(OFFSET($P245,0,AQ$13),15-13*ORÇAMENTO!$AF$7)*OFFSET(ORÇAMENTO!$W$15,ROW(AQ245)-ROW(AQ$15),0),15-13*ORÇAMENTO!$AF$11)),0)</f>
        <v>0</v>
      </c>
      <c r="AR245" s="545">
        <f ca="1">IF(AND($D245="Serviço",AR$12&lt;&gt;0,$H245&gt;0,OR(AUTOEVENTO&lt;&gt;"manual",$M245&lt;&gt;1)),
IF(Import.TipoArredondamento&lt;&gt;"TransfereGOV",
ROUND(OFFSET($P245,0,AR$13),15-13*ORÇAMENTO!$AF$7)/$H245*OFFSET(ORÇAMENTO!$X$15,ROW(AR245)-ROW(AR$15),0),
ROUND(ROUND(OFFSET($P245,0,AR$13),15-13*ORÇAMENTO!$AF$7)*OFFSET(ORÇAMENTO!$W$15,ROW(AR245)-ROW(AR$15),0),15-13*ORÇAMENTO!$AF$11)),0)</f>
        <v>0</v>
      </c>
      <c r="AS245" s="546">
        <f ca="1">IF(AND($D245="Serviço",AS$12&lt;&gt;0,$H245&gt;0,OR(AUTOEVENTO&lt;&gt;"manual",$M245&lt;&gt;1)),
IF(Import.TipoArredondamento&lt;&gt;"TransfereGOV",
ROUND(OFFSET($P245,0,AS$13),15-13*ORÇAMENTO!$AF$7)/$H245*OFFSET(ORÇAMENTO!$X$15,ROW(AS245)-ROW(AS$15),0),
ROUND(ROUND(OFFSET($P245,0,AS$13),15-13*ORÇAMENTO!$AF$7)*OFFSET(ORÇAMENTO!$W$15,ROW(AS245)-ROW(AS$15),0),15-13*ORÇAMENTO!$AF$11)),0)</f>
        <v>0</v>
      </c>
      <c r="AT245" s="545">
        <f ca="1">IF(AND($D245="Serviço",AT$12&lt;&gt;0,$H245&gt;0,OR(AUTOEVENTO&lt;&gt;"manual",$M245&lt;&gt;1)),
IF(Import.TipoArredondamento&lt;&gt;"TransfereGOV",
ROUND(OFFSET($P245,0,AT$13),15-13*ORÇAMENTO!$AF$7)/$H245*OFFSET(ORÇAMENTO!$X$15,ROW(AT245)-ROW(AT$15),0),
ROUND(ROUND(OFFSET($P245,0,AT$13),15-13*ORÇAMENTO!$AF$7)*OFFSET(ORÇAMENTO!$W$15,ROW(AT245)-ROW(AT$15),0),15-13*ORÇAMENTO!$AF$11)),0)</f>
        <v>0</v>
      </c>
      <c r="AU245" s="545">
        <f ca="1">IF(AND($D245="Serviço",AU$12&lt;&gt;0,$H245&gt;0,OR(AUTOEVENTO&lt;&gt;"manual",$M245&lt;&gt;1)),
IF(Import.TipoArredondamento&lt;&gt;"TransfereGOV",
ROUND(OFFSET($P245,0,AU$13),15-13*ORÇAMENTO!$AF$7)/$H245*OFFSET(ORÇAMENTO!$X$15,ROW(AU245)-ROW(AU$15),0),
ROUND(ROUND(OFFSET($P245,0,AU$13),15-13*ORÇAMENTO!$AF$7)*OFFSET(ORÇAMENTO!$W$15,ROW(AU245)-ROW(AU$15),0),15-13*ORÇAMENTO!$AF$11)),0)</f>
        <v>0</v>
      </c>
      <c r="AV245" s="545">
        <f ca="1">IF(AND($D245="Serviço",AV$12&lt;&gt;0,$H245&gt;0,OR(AUTOEVENTO&lt;&gt;"manual",$M245&lt;&gt;1)),
IF(Import.TipoArredondamento&lt;&gt;"TransfereGOV",
ROUND(OFFSET($P245,0,AV$13),15-13*ORÇAMENTO!$AF$7)/$H245*OFFSET(ORÇAMENTO!$X$15,ROW(AV245)-ROW(AV$15),0),
ROUND(ROUND(OFFSET($P245,0,AV$13),15-13*ORÇAMENTO!$AF$7)*OFFSET(ORÇAMENTO!$W$15,ROW(AV245)-ROW(AV$15),0),15-13*ORÇAMENTO!$AF$11)),0)</f>
        <v>0</v>
      </c>
      <c r="AW245" s="545">
        <f ca="1">IF(AND($D245="Serviço",AW$12&lt;&gt;0,$H245&gt;0,OR(AUTOEVENTO&lt;&gt;"manual",$M245&lt;&gt;1)),
IF(Import.TipoArredondamento&lt;&gt;"TransfereGOV",
ROUND(OFFSET($P245,0,AW$13),15-13*ORÇAMENTO!$AF$7)/$H245*OFFSET(ORÇAMENTO!$X$15,ROW(AW245)-ROW(AW$15),0),
ROUND(ROUND(OFFSET($P245,0,AW$13),15-13*ORÇAMENTO!$AF$7)*OFFSET(ORÇAMENTO!$W$15,ROW(AW245)-ROW(AW$15),0),15-13*ORÇAMENTO!$AF$11)),0)</f>
        <v>0</v>
      </c>
      <c r="AX245" s="545">
        <f ca="1">IF(AND($D245="Serviço",AX$12&lt;&gt;0,$H245&gt;0,OR(AUTOEVENTO&lt;&gt;"manual",$M245&lt;&gt;1)),
IF(Import.TipoArredondamento&lt;&gt;"TransfereGOV",
ROUND(OFFSET($P245,0,AX$13),15-13*ORÇAMENTO!$AF$7)/$H245*OFFSET(ORÇAMENTO!$X$15,ROW(AX245)-ROW(AX$15),0),
ROUND(ROUND(OFFSET($P245,0,AX$13),15-13*ORÇAMENTO!$AF$7)*OFFSET(ORÇAMENTO!$W$15,ROW(AX245)-ROW(AX$15),0),15-13*ORÇAMENTO!$AF$11)),0)</f>
        <v>0</v>
      </c>
      <c r="AY245" s="545">
        <f ca="1">IF(AND($D245="Serviço",AY$12&lt;&gt;0,$H245&gt;0,OR(AUTOEVENTO&lt;&gt;"manual",$M245&lt;&gt;1)),
IF(Import.TipoArredondamento&lt;&gt;"TransfereGOV",
ROUND(OFFSET($P245,0,AY$13),15-13*ORÇAMENTO!$AF$7)/$H245*OFFSET(ORÇAMENTO!$X$15,ROW(AY245)-ROW(AY$15),0),
ROUND(ROUND(OFFSET($P245,0,AY$13),15-13*ORÇAMENTO!$AF$7)*OFFSET(ORÇAMENTO!$W$15,ROW(AY245)-ROW(AY$15),0),15-13*ORÇAMENTO!$AF$11)),0)</f>
        <v>0</v>
      </c>
      <c r="AZ245" s="545">
        <f ca="1">IF(AND($D245="Serviço",AZ$12&lt;&gt;0,$H245&gt;0,OR(AUTOEVENTO&lt;&gt;"manual",$M245&lt;&gt;1)),
IF(Import.TipoArredondamento&lt;&gt;"TransfereGOV",
ROUND(OFFSET($P245,0,AZ$13),15-13*ORÇAMENTO!$AF$7)/$H245*OFFSET(ORÇAMENTO!$X$15,ROW(AZ245)-ROW(AZ$15),0),
ROUND(ROUND(OFFSET($P245,0,AZ$13),15-13*ORÇAMENTO!$AF$7)*OFFSET(ORÇAMENTO!$W$15,ROW(AZ245)-ROW(AZ$15),0),15-13*ORÇAMENTO!$AF$11)),0)</f>
        <v>0</v>
      </c>
      <c r="BA245" s="546">
        <f ca="1">IF(AND($D245="Serviço",BA$12&lt;&gt;0,$H245&gt;0,OR(AUTOEVENTO&lt;&gt;"manual",$M245&lt;&gt;1)),
IF(Import.TipoArredondamento&lt;&gt;"TransfereGOV",
ROUND(OFFSET($P245,0,BA$13),15-13*ORÇAMENTO!$AF$7)/$H245*OFFSET(ORÇAMENTO!$X$15,ROW(BA245)-ROW(BA$15),0),
ROUND(ROUND(OFFSET($P245,0,BA$13),15-13*ORÇAMENTO!$AF$7)*OFFSET(ORÇAMENTO!$W$15,ROW(BA245)-ROW(BA$15),0),15-13*ORÇAMENTO!$AF$11)),0)</f>
        <v>0</v>
      </c>
      <c r="BC245" s="181">
        <f ca="1">IF($D245&lt;&gt;"Serviço",0,IF(AND(AUTOEVENTO="Manual",$M245=1),0,IF(OFFSET(CRONOPLE!$F$14,$M245,BC$13)="",10^12,OFFSET(CRONOPLE!$F$14,$M245,BC$13))))</f>
        <v>0</v>
      </c>
      <c r="BD245" s="181">
        <f ca="1">IF($D245&lt;&gt;"Serviço",0,IF(AND(AUTOEVENTO="Manual",$M245=1),0,IF(OFFSET(CRONOPLE!$F$14,$M245,BD$13)="",10^12,OFFSET(CRONOPLE!$F$14,$M245,BD$13))))</f>
        <v>0</v>
      </c>
      <c r="BE245" s="181">
        <f ca="1">IF($D245&lt;&gt;"Serviço",0,IF(AND(AUTOEVENTO="Manual",$M245=1),0,IF(OFFSET(CRONOPLE!$F$14,$M245,BE$13)="",10^12,OFFSET(CRONOPLE!$F$14,$M245,BE$13))))</f>
        <v>0</v>
      </c>
      <c r="BF245" s="181">
        <f ca="1">IF($D245&lt;&gt;"Serviço",0,IF(AND(AUTOEVENTO="Manual",$M245=1),0,IF(OFFSET(CRONOPLE!$F$14,$M245,BF$13)="",10^12,OFFSET(CRONOPLE!$F$14,$M245,BF$13))))</f>
        <v>0</v>
      </c>
      <c r="BG245" s="181">
        <f ca="1">IF($D245&lt;&gt;"Serviço",0,IF(AND(AUTOEVENTO="Manual",$M245=1),0,IF(OFFSET(CRONOPLE!$F$14,$M245,BG$13)="",10^12,OFFSET(CRONOPLE!$F$14,$M245,BG$13))))</f>
        <v>0</v>
      </c>
      <c r="BH245" s="181">
        <f ca="1">IF($D245&lt;&gt;"Serviço",0,IF(AND(AUTOEVENTO="Manual",$M245=1),0,IF(OFFSET(CRONOPLE!$F$14,$M245,BH$13)="",10^12,OFFSET(CRONOPLE!$F$14,$M245,BH$13))))</f>
        <v>0</v>
      </c>
      <c r="BI245" s="181">
        <f ca="1">IF($D245&lt;&gt;"Serviço",0,IF(AND(AUTOEVENTO="Manual",$M245=1),0,IF(OFFSET(CRONOPLE!$F$14,$M245,BI$13)="",10^12,OFFSET(CRONOPLE!$F$14,$M245,BI$13))))</f>
        <v>0</v>
      </c>
      <c r="BJ245" s="181">
        <f ca="1">IF($D245&lt;&gt;"Serviço",0,IF(AND(AUTOEVENTO="Manual",$M245=1),0,IF(OFFSET(CRONOPLE!$F$14,$M245,BJ$13)="",10^12,OFFSET(CRONOPLE!$F$14,$M245,BJ$13))))</f>
        <v>0</v>
      </c>
      <c r="BK245" s="181">
        <f ca="1">IF($D245&lt;&gt;"Serviço",0,IF(AND(AUTOEVENTO="Manual",$M245=1),0,IF(OFFSET(CRONOPLE!$F$14,$M245,BK$13)="",10^12,OFFSET(CRONOPLE!$F$14,$M245,BK$13))))</f>
        <v>0</v>
      </c>
      <c r="BL245" s="181">
        <f ca="1">IF($D245&lt;&gt;"Serviço",0,IF(AND(AUTOEVENTO="Manual",$M245=1),0,IF(OFFSET(CRONOPLE!$F$14,$M245,BL$13)="",10^12,OFFSET(CRONOPLE!$F$14,$M245,BL$13))))</f>
        <v>0</v>
      </c>
      <c r="BM245" s="181">
        <f ca="1">IF($D245&lt;&gt;"Serviço",0,IF(AND(AUTOEVENTO="Manual",$M245=1),0,IF(OFFSET(CRONOPLE!$F$14,$M245,BM$13)="",10^12,OFFSET(CRONOPLE!$F$14,$M245,BM$13))))</f>
        <v>0</v>
      </c>
      <c r="BN245" s="181">
        <f ca="1">IF($D245&lt;&gt;"Serviço",0,IF(AND(AUTOEVENTO="Manual",$M245=1),0,IF(OFFSET(CRONOPLE!$F$14,$M245,BN$13)="",10^12,OFFSET(CRONOPLE!$F$14,$M245,BN$13))))</f>
        <v>0</v>
      </c>
      <c r="BO245" s="181">
        <f ca="1">IF($D245&lt;&gt;"Serviço",0,IF(AND(AUTOEVENTO="Manual",$M245=1),0,IF(OFFSET(CRONOPLE!$F$14,$M245,BO$13)="",10^12,OFFSET(CRONOPLE!$F$14,$M245,BO$13))))</f>
        <v>0</v>
      </c>
      <c r="BP245" s="181">
        <f ca="1">IF($D245&lt;&gt;"Serviço",0,IF(AND(AUTOEVENTO="Manual",$M245=1),0,IF(OFFSET(CRONOPLE!$F$14,$M245,BP$13)="",10^12,OFFSET(CRONOPLE!$F$14,$M245,BP$13))))</f>
        <v>0</v>
      </c>
      <c r="BQ245" s="181">
        <f ca="1">IF($D245&lt;&gt;"Serviço",0,IF(AND(AUTOEVENTO="Manual",$M245=1),0,IF(OFFSET(CRONOPLE!$F$14,$M245,BQ$13)="",10^12,OFFSET(CRONOPLE!$F$14,$M245,BQ$13))))</f>
        <v>0</v>
      </c>
      <c r="BR245" s="181">
        <f ca="1">IF($D245&lt;&gt;"Serviço",0,IF(AND(AUTOEVENTO="Manual",$M245=1),0,IF(OFFSET(CRONOPLE!$F$14,$M245,BR$13)="",10^12,OFFSET(CRONOPLE!$F$14,$M245,BR$13))))</f>
        <v>0</v>
      </c>
      <c r="BS245" s="181">
        <f ca="1">IF($D245&lt;&gt;"Serviço",0,IF(AND(AUTOEVENTO="Manual",$M245=1),0,IF(OFFSET(CRONOPLE!$F$14,$M245,BS$13)="",10^12,OFFSET(CRONOPLE!$F$14,$M245,BS$13))))</f>
        <v>0</v>
      </c>
      <c r="BT245" s="181">
        <f ca="1">IF($D245&lt;&gt;"Serviço",0,IF(AND(AUTOEVENTO="Manual",$M245=1),0,IF(OFFSET(CRONOPLE!$F$14,$M245,BT$13)="",10^12,OFFSET(CRONOPLE!$F$14,$M245,BT$13))))</f>
        <v>0</v>
      </c>
      <c r="BV245" s="182">
        <f ca="1">IF($D245&lt;&gt;"Serviço",0,IF(OR(AND(AUTOEVENTO="Manual",$M245=1),$M245&gt;(ROW(PLE.lastrow)-ROW(PLE.firstrow))),0,IF(OFFSET(PLE!$G$14,$M245,BV$13)="",10^12,OFFSET(PLE!$G$14,$M245,BV$13))))</f>
        <v>0</v>
      </c>
      <c r="BW245" s="182">
        <f ca="1">IF($D245&lt;&gt;"Serviço",0,IF(OR(AND(AUTOEVENTO="Manual",$M245=1),$M245&gt;(ROW(PLE.lastrow)-ROW(PLE.firstrow))),0,IF(OFFSET(PLE!$G$14,$M245,BW$13)="",10^12,OFFSET(PLE!$G$14,$M245,BW$13))))</f>
        <v>0</v>
      </c>
      <c r="BX245" s="182">
        <f ca="1">IF($D245&lt;&gt;"Serviço",0,IF(OR(AND(AUTOEVENTO="Manual",$M245=1),$M245&gt;(ROW(PLE.lastrow)-ROW(PLE.firstrow))),0,IF(OFFSET(PLE!$G$14,$M245,BX$13)="",10^12,OFFSET(PLE!$G$14,$M245,BX$13))))</f>
        <v>0</v>
      </c>
      <c r="BY245" s="182">
        <f ca="1">IF($D245&lt;&gt;"Serviço",0,IF(OR(AND(AUTOEVENTO="Manual",$M245=1),$M245&gt;(ROW(PLE.lastrow)-ROW(PLE.firstrow))),0,IF(OFFSET(PLE!$G$14,$M245,BY$13)="",10^12,OFFSET(PLE!$G$14,$M245,BY$13))))</f>
        <v>0</v>
      </c>
      <c r="BZ245" s="182">
        <f ca="1">IF($D245&lt;&gt;"Serviço",0,IF(OR(AND(AUTOEVENTO="Manual",$M245=1),$M245&gt;(ROW(PLE.lastrow)-ROW(PLE.firstrow))),0,IF(OFFSET(PLE!$G$14,$M245,BZ$13)="",10^12,OFFSET(PLE!$G$14,$M245,BZ$13))))</f>
        <v>0</v>
      </c>
      <c r="CA245" s="182">
        <f ca="1">IF($D245&lt;&gt;"Serviço",0,IF(OR(AND(AUTOEVENTO="Manual",$M245=1),$M245&gt;(ROW(PLE.lastrow)-ROW(PLE.firstrow))),0,IF(OFFSET(PLE!$G$14,$M245,CA$13)="",10^12,OFFSET(PLE!$G$14,$M245,CA$13))))</f>
        <v>0</v>
      </c>
      <c r="CB245" s="182">
        <f ca="1">IF($D245&lt;&gt;"Serviço",0,IF(OR(AND(AUTOEVENTO="Manual",$M245=1),$M245&gt;(ROW(PLE.lastrow)-ROW(PLE.firstrow))),0,IF(OFFSET(PLE!$G$14,$M245,CB$13)="",10^12,OFFSET(PLE!$G$14,$M245,CB$13))))</f>
        <v>0</v>
      </c>
      <c r="CC245" s="182">
        <f ca="1">IF($D245&lt;&gt;"Serviço",0,IF(OR(AND(AUTOEVENTO="Manual",$M245=1),$M245&gt;(ROW(PLE.lastrow)-ROW(PLE.firstrow))),0,IF(OFFSET(PLE!$G$14,$M245,CC$13)="",10^12,OFFSET(PLE!$G$14,$M245,CC$13))))</f>
        <v>0</v>
      </c>
      <c r="CD245" s="182">
        <f ca="1">IF($D245&lt;&gt;"Serviço",0,IF(OR(AND(AUTOEVENTO="Manual",$M245=1),$M245&gt;(ROW(PLE.lastrow)-ROW(PLE.firstrow))),0,IF(OFFSET(PLE!$G$14,$M245,CD$13)="",10^12,OFFSET(PLE!$G$14,$M245,CD$13))))</f>
        <v>0</v>
      </c>
      <c r="CE245" s="182">
        <f ca="1">IF($D245&lt;&gt;"Serviço",0,IF(OR(AND(AUTOEVENTO="Manual",$M245=1),$M245&gt;(ROW(PLE.lastrow)-ROW(PLE.firstrow))),0,IF(OFFSET(PLE!$G$14,$M245,CE$13)="",10^12,OFFSET(PLE!$G$14,$M245,CE$13))))</f>
        <v>0</v>
      </c>
      <c r="CF245" s="182">
        <f ca="1">IF($D245&lt;&gt;"Serviço",0,IF(OR(AND(AUTOEVENTO="Manual",$M245=1),$M245&gt;(ROW(PLE.lastrow)-ROW(PLE.firstrow))),0,IF(OFFSET(PLE!$G$14,$M245,CF$13)="",10^12,OFFSET(PLE!$G$14,$M245,CF$13))))</f>
        <v>0</v>
      </c>
      <c r="CG245" s="182">
        <f ca="1">IF($D245&lt;&gt;"Serviço",0,IF(OR(AND(AUTOEVENTO="Manual",$M245=1),$M245&gt;(ROW(PLE.lastrow)-ROW(PLE.firstrow))),0,IF(OFFSET(PLE!$G$14,$M245,CG$13)="",10^12,OFFSET(PLE!$G$14,$M245,CG$13))))</f>
        <v>0</v>
      </c>
      <c r="CH245" s="182">
        <f ca="1">IF($D245&lt;&gt;"Serviço",0,IF(OR(AND(AUTOEVENTO="Manual",$M245=1),$M245&gt;(ROW(PLE.lastrow)-ROW(PLE.firstrow))),0,IF(OFFSET(PLE!$G$14,$M245,CH$13)="",10^12,OFFSET(PLE!$G$14,$M245,CH$13))))</f>
        <v>0</v>
      </c>
      <c r="CI245" s="182">
        <f ca="1">IF($D245&lt;&gt;"Serviço",0,IF(OR(AND(AUTOEVENTO="Manual",$M245=1),$M245&gt;(ROW(PLE.lastrow)-ROW(PLE.firstrow))),0,IF(OFFSET(PLE!$G$14,$M245,CI$13)="",10^12,OFFSET(PLE!$G$14,$M245,CI$13))))</f>
        <v>0</v>
      </c>
      <c r="CJ245" s="182">
        <f ca="1">IF($D245&lt;&gt;"Serviço",0,IF(OR(AND(AUTOEVENTO="Manual",$M245=1),$M245&gt;(ROW(PLE.lastrow)-ROW(PLE.firstrow))),0,IF(OFFSET(PLE!$G$14,$M245,CJ$13)="",10^12,OFFSET(PLE!$G$14,$M245,CJ$13))))</f>
        <v>0</v>
      </c>
      <c r="CK245" s="182">
        <f ca="1">IF($D245&lt;&gt;"Serviço",0,IF(OR(AND(AUTOEVENTO="Manual",$M245=1),$M245&gt;(ROW(PLE.lastrow)-ROW(PLE.firstrow))),0,IF(OFFSET(PLE!$G$14,$M245,CK$13)="",10^12,OFFSET(PLE!$G$14,$M245,CK$13))))</f>
        <v>0</v>
      </c>
      <c r="CL245" s="182">
        <f ca="1">IF($D245&lt;&gt;"Serviço",0,IF(OR(AND(AUTOEVENTO="Manual",$M245=1),$M245&gt;(ROW(PLE.lastrow)-ROW(PLE.firstrow))),0,IF(OFFSET(PLE!$G$14,$M245,CL$13)="",10^12,OFFSET(PLE!$G$14,$M245,CL$13))))</f>
        <v>0</v>
      </c>
      <c r="CM245" s="182">
        <f ca="1">IF($D245&lt;&gt;"Serviço",0,IF(OR(AND(AUTOEVENTO="Manual",$M245=1),$M245&gt;(ROW(PLE.lastrow)-ROW(PLE.firstrow))),0,IF(OFFSET(PLE!$G$14,$M245,CM$13)="",10^12,OFFSET(PLE!$G$14,$M245,CM$13))))</f>
        <v>0</v>
      </c>
    </row>
    <row r="246" spans="1:91" ht="51" x14ac:dyDescent="0.2">
      <c r="A246" s="7" t="str">
        <f t="shared" ca="1" si="12"/>
        <v>230</v>
      </c>
      <c r="B246" s="7" t="str">
        <f ca="1">OFFSET(ORÇAMENTO!C$15,ROW(B246)-ROW(B$15),0)</f>
        <v>S</v>
      </c>
      <c r="C246" s="7" t="str">
        <f ca="1">OFFSET(ORÇAMENTO!L$15,ROW(C246)-ROW(C$15),0)</f>
        <v/>
      </c>
      <c r="D246" s="118" t="str">
        <f ca="1">OFFSET(ORÇAMENTO!N$15,ROW(D246)-ROW(D$15),0)</f>
        <v>Serviço</v>
      </c>
      <c r="E246" s="119" t="str">
        <f ca="1">OFFSET(ORÇAMENTO!O$15,ROW(E246)-ROW(E$15),0)</f>
        <v>-</v>
      </c>
      <c r="F246" s="172" t="str">
        <f ca="1">OFFSET(ORÇAMENTO!R$15,ROW(F246)-ROW(F$15),0)</f>
        <v>(abra o arquivo 'Referência 06-2024.xlsm)</v>
      </c>
      <c r="G246" s="173" t="str">
        <f ca="1">IF($D246&lt;&gt;"Serviço","",OFFSET(ORÇAMENTO!S$15,ROW(G246)-ROW(G$15),0))</f>
        <v>-</v>
      </c>
      <c r="H246" s="124">
        <f ca="1">IF($D246&lt;&gt;"Serviço",0,IF(ACOMPANHAMENTO="BM",ROUND(OFFSET(ORÇAMENTO!AJ$15,ROW(H246)-ROW(H$15),0),15-13*ORÇAMENTO!$AF$7),SUMPRODUCT(($Q$12:$AI$12&lt;&gt;"")*ROUND($Q246:$AI246,15-13*ORÇAMENTO!$AF$7))))</f>
        <v>1836.4</v>
      </c>
      <c r="I246" s="561" t="s">
        <v>1107</v>
      </c>
      <c r="K246" s="174"/>
      <c r="L246" s="175" t="s">
        <v>255</v>
      </c>
      <c r="M246" s="176">
        <f ca="1">IF($D246&lt;&gt;"Serviço","",IF(AUTOEVENTO="manual",$A246,IF(ISERROR(MATCH($A246,$A$15:OFFSET($A246,-1,0),0)),MAX($M$15:OFFSET(M246,-1,0))+1,INDEX($M$15:OFFSET(M246,-1,0),MATCH($A246,$A$15:OFFSET($A246,-1,0),0)))))</f>
        <v>34</v>
      </c>
      <c r="N246" s="177" t="str">
        <f ca="1">IF($D246&lt;&gt;"Serviço","",IF(AUTOEVENTO="Manual",IF($A246=0,"&lt;-- defina o número do agrupador",OFFSET(EVENTOS!$D$14,$A246,0)),OFFSET($F$15,$A246,0)))</f>
        <v>PINTURAS E ACABAMENTOS - ESTRUTURA METÁLICA</v>
      </c>
      <c r="O246" s="178"/>
      <c r="Q246" s="178">
        <v>1836.4</v>
      </c>
      <c r="R246" s="179"/>
      <c r="S246" s="179"/>
      <c r="T246" s="179"/>
      <c r="U246" s="179"/>
      <c r="V246" s="179"/>
      <c r="W246" s="179"/>
      <c r="X246" s="179"/>
      <c r="Y246" s="179"/>
      <c r="Z246" s="180"/>
      <c r="AA246" s="179"/>
      <c r="AB246" s="179"/>
      <c r="AC246" s="179"/>
      <c r="AD246" s="179"/>
      <c r="AE246" s="179"/>
      <c r="AF246" s="179"/>
      <c r="AG246" s="179"/>
      <c r="AH246" s="180"/>
      <c r="AJ246" s="544">
        <f ca="1">IF(AND($D246="Serviço",AJ$12&lt;&gt;0,$H246&gt;0,OR(AUTOEVENTO&lt;&gt;"manual",$M246&lt;&gt;1)),
IF(Import.TipoArredondamento&lt;&gt;"TransfereGOV",
ROUND(OFFSET($P246,0,AJ$13),15-13*ORÇAMENTO!$AF$7)/$H246*OFFSET(ORÇAMENTO!$X$15,ROW(AJ246)-ROW(AJ$15),0),
ROUND(ROUND(OFFSET($P246,0,AJ$13),15-13*ORÇAMENTO!$AF$7)*OFFSET(ORÇAMENTO!$W$15,ROW(AJ246)-ROW(AJ$15),0),15-13*ORÇAMENTO!$AF$11)),0)</f>
        <v>0</v>
      </c>
      <c r="AK246" s="545">
        <f ca="1">IF(AND($D246="Serviço",AK$12&lt;&gt;0,$H246&gt;0,OR(AUTOEVENTO&lt;&gt;"manual",$M246&lt;&gt;1)),
IF(Import.TipoArredondamento&lt;&gt;"TransfereGOV",
ROUND(OFFSET($P246,0,AK$13),15-13*ORÇAMENTO!$AF$7)/$H246*OFFSET(ORÇAMENTO!$X$15,ROW(AK246)-ROW(AK$15),0),
ROUND(ROUND(OFFSET($P246,0,AK$13),15-13*ORÇAMENTO!$AF$7)*OFFSET(ORÇAMENTO!$W$15,ROW(AK246)-ROW(AK$15),0),15-13*ORÇAMENTO!$AF$11)),0)</f>
        <v>0</v>
      </c>
      <c r="AL246" s="545">
        <f ca="1">IF(AND($D246="Serviço",AL$12&lt;&gt;0,$H246&gt;0,OR(AUTOEVENTO&lt;&gt;"manual",$M246&lt;&gt;1)),
IF(Import.TipoArredondamento&lt;&gt;"TransfereGOV",
ROUND(OFFSET($P246,0,AL$13),15-13*ORÇAMENTO!$AF$7)/$H246*OFFSET(ORÇAMENTO!$X$15,ROW(AL246)-ROW(AL$15),0),
ROUND(ROUND(OFFSET($P246,0,AL$13),15-13*ORÇAMENTO!$AF$7)*OFFSET(ORÇAMENTO!$W$15,ROW(AL246)-ROW(AL$15),0),15-13*ORÇAMENTO!$AF$11)),0)</f>
        <v>0</v>
      </c>
      <c r="AM246" s="545">
        <f ca="1">IF(AND($D246="Serviço",AM$12&lt;&gt;0,$H246&gt;0,OR(AUTOEVENTO&lt;&gt;"manual",$M246&lt;&gt;1)),
IF(Import.TipoArredondamento&lt;&gt;"TransfereGOV",
ROUND(OFFSET($P246,0,AM$13),15-13*ORÇAMENTO!$AF$7)/$H246*OFFSET(ORÇAMENTO!$X$15,ROW(AM246)-ROW(AM$15),0),
ROUND(ROUND(OFFSET($P246,0,AM$13),15-13*ORÇAMENTO!$AF$7)*OFFSET(ORÇAMENTO!$W$15,ROW(AM246)-ROW(AM$15),0),15-13*ORÇAMENTO!$AF$11)),0)</f>
        <v>0</v>
      </c>
      <c r="AN246" s="545">
        <f ca="1">IF(AND($D246="Serviço",AN$12&lt;&gt;0,$H246&gt;0,OR(AUTOEVENTO&lt;&gt;"manual",$M246&lt;&gt;1)),
IF(Import.TipoArredondamento&lt;&gt;"TransfereGOV",
ROUND(OFFSET($P246,0,AN$13),15-13*ORÇAMENTO!$AF$7)/$H246*OFFSET(ORÇAMENTO!$X$15,ROW(AN246)-ROW(AN$15),0),
ROUND(ROUND(OFFSET($P246,0,AN$13),15-13*ORÇAMENTO!$AF$7)*OFFSET(ORÇAMENTO!$W$15,ROW(AN246)-ROW(AN$15),0),15-13*ORÇAMENTO!$AF$11)),0)</f>
        <v>0</v>
      </c>
      <c r="AO246" s="545">
        <f ca="1">IF(AND($D246="Serviço",AO$12&lt;&gt;0,$H246&gt;0,OR(AUTOEVENTO&lt;&gt;"manual",$M246&lt;&gt;1)),
IF(Import.TipoArredondamento&lt;&gt;"TransfereGOV",
ROUND(OFFSET($P246,0,AO$13),15-13*ORÇAMENTO!$AF$7)/$H246*OFFSET(ORÇAMENTO!$X$15,ROW(AO246)-ROW(AO$15),0),
ROUND(ROUND(OFFSET($P246,0,AO$13),15-13*ORÇAMENTO!$AF$7)*OFFSET(ORÇAMENTO!$W$15,ROW(AO246)-ROW(AO$15),0),15-13*ORÇAMENTO!$AF$11)),0)</f>
        <v>0</v>
      </c>
      <c r="AP246" s="545">
        <f ca="1">IF(AND($D246="Serviço",AP$12&lt;&gt;0,$H246&gt;0,OR(AUTOEVENTO&lt;&gt;"manual",$M246&lt;&gt;1)),
IF(Import.TipoArredondamento&lt;&gt;"TransfereGOV",
ROUND(OFFSET($P246,0,AP$13),15-13*ORÇAMENTO!$AF$7)/$H246*OFFSET(ORÇAMENTO!$X$15,ROW(AP246)-ROW(AP$15),0),
ROUND(ROUND(OFFSET($P246,0,AP$13),15-13*ORÇAMENTO!$AF$7)*OFFSET(ORÇAMENTO!$W$15,ROW(AP246)-ROW(AP$15),0),15-13*ORÇAMENTO!$AF$11)),0)</f>
        <v>0</v>
      </c>
      <c r="AQ246" s="545">
        <f ca="1">IF(AND($D246="Serviço",AQ$12&lt;&gt;0,$H246&gt;0,OR(AUTOEVENTO&lt;&gt;"manual",$M246&lt;&gt;1)),
IF(Import.TipoArredondamento&lt;&gt;"TransfereGOV",
ROUND(OFFSET($P246,0,AQ$13),15-13*ORÇAMENTO!$AF$7)/$H246*OFFSET(ORÇAMENTO!$X$15,ROW(AQ246)-ROW(AQ$15),0),
ROUND(ROUND(OFFSET($P246,0,AQ$13),15-13*ORÇAMENTO!$AF$7)*OFFSET(ORÇAMENTO!$W$15,ROW(AQ246)-ROW(AQ$15),0),15-13*ORÇAMENTO!$AF$11)),0)</f>
        <v>0</v>
      </c>
      <c r="AR246" s="545">
        <f ca="1">IF(AND($D246="Serviço",AR$12&lt;&gt;0,$H246&gt;0,OR(AUTOEVENTO&lt;&gt;"manual",$M246&lt;&gt;1)),
IF(Import.TipoArredondamento&lt;&gt;"TransfereGOV",
ROUND(OFFSET($P246,0,AR$13),15-13*ORÇAMENTO!$AF$7)/$H246*OFFSET(ORÇAMENTO!$X$15,ROW(AR246)-ROW(AR$15),0),
ROUND(ROUND(OFFSET($P246,0,AR$13),15-13*ORÇAMENTO!$AF$7)*OFFSET(ORÇAMENTO!$W$15,ROW(AR246)-ROW(AR$15),0),15-13*ORÇAMENTO!$AF$11)),0)</f>
        <v>0</v>
      </c>
      <c r="AS246" s="546">
        <f ca="1">IF(AND($D246="Serviço",AS$12&lt;&gt;0,$H246&gt;0,OR(AUTOEVENTO&lt;&gt;"manual",$M246&lt;&gt;1)),
IF(Import.TipoArredondamento&lt;&gt;"TransfereGOV",
ROUND(OFFSET($P246,0,AS$13),15-13*ORÇAMENTO!$AF$7)/$H246*OFFSET(ORÇAMENTO!$X$15,ROW(AS246)-ROW(AS$15),0),
ROUND(ROUND(OFFSET($P246,0,AS$13),15-13*ORÇAMENTO!$AF$7)*OFFSET(ORÇAMENTO!$W$15,ROW(AS246)-ROW(AS$15),0),15-13*ORÇAMENTO!$AF$11)),0)</f>
        <v>0</v>
      </c>
      <c r="AT246" s="545">
        <f ca="1">IF(AND($D246="Serviço",AT$12&lt;&gt;0,$H246&gt;0,OR(AUTOEVENTO&lt;&gt;"manual",$M246&lt;&gt;1)),
IF(Import.TipoArredondamento&lt;&gt;"TransfereGOV",
ROUND(OFFSET($P246,0,AT$13),15-13*ORÇAMENTO!$AF$7)/$H246*OFFSET(ORÇAMENTO!$X$15,ROW(AT246)-ROW(AT$15),0),
ROUND(ROUND(OFFSET($P246,0,AT$13),15-13*ORÇAMENTO!$AF$7)*OFFSET(ORÇAMENTO!$W$15,ROW(AT246)-ROW(AT$15),0),15-13*ORÇAMENTO!$AF$11)),0)</f>
        <v>0</v>
      </c>
      <c r="AU246" s="545">
        <f ca="1">IF(AND($D246="Serviço",AU$12&lt;&gt;0,$H246&gt;0,OR(AUTOEVENTO&lt;&gt;"manual",$M246&lt;&gt;1)),
IF(Import.TipoArredondamento&lt;&gt;"TransfereGOV",
ROUND(OFFSET($P246,0,AU$13),15-13*ORÇAMENTO!$AF$7)/$H246*OFFSET(ORÇAMENTO!$X$15,ROW(AU246)-ROW(AU$15),0),
ROUND(ROUND(OFFSET($P246,0,AU$13),15-13*ORÇAMENTO!$AF$7)*OFFSET(ORÇAMENTO!$W$15,ROW(AU246)-ROW(AU$15),0),15-13*ORÇAMENTO!$AF$11)),0)</f>
        <v>0</v>
      </c>
      <c r="AV246" s="545">
        <f ca="1">IF(AND($D246="Serviço",AV$12&lt;&gt;0,$H246&gt;0,OR(AUTOEVENTO&lt;&gt;"manual",$M246&lt;&gt;1)),
IF(Import.TipoArredondamento&lt;&gt;"TransfereGOV",
ROUND(OFFSET($P246,0,AV$13),15-13*ORÇAMENTO!$AF$7)/$H246*OFFSET(ORÇAMENTO!$X$15,ROW(AV246)-ROW(AV$15),0),
ROUND(ROUND(OFFSET($P246,0,AV$13),15-13*ORÇAMENTO!$AF$7)*OFFSET(ORÇAMENTO!$W$15,ROW(AV246)-ROW(AV$15),0),15-13*ORÇAMENTO!$AF$11)),0)</f>
        <v>0</v>
      </c>
      <c r="AW246" s="545">
        <f ca="1">IF(AND($D246="Serviço",AW$12&lt;&gt;0,$H246&gt;0,OR(AUTOEVENTO&lt;&gt;"manual",$M246&lt;&gt;1)),
IF(Import.TipoArredondamento&lt;&gt;"TransfereGOV",
ROUND(OFFSET($P246,0,AW$13),15-13*ORÇAMENTO!$AF$7)/$H246*OFFSET(ORÇAMENTO!$X$15,ROW(AW246)-ROW(AW$15),0),
ROUND(ROUND(OFFSET($P246,0,AW$13),15-13*ORÇAMENTO!$AF$7)*OFFSET(ORÇAMENTO!$W$15,ROW(AW246)-ROW(AW$15),0),15-13*ORÇAMENTO!$AF$11)),0)</f>
        <v>0</v>
      </c>
      <c r="AX246" s="545">
        <f ca="1">IF(AND($D246="Serviço",AX$12&lt;&gt;0,$H246&gt;0,OR(AUTOEVENTO&lt;&gt;"manual",$M246&lt;&gt;1)),
IF(Import.TipoArredondamento&lt;&gt;"TransfereGOV",
ROUND(OFFSET($P246,0,AX$13),15-13*ORÇAMENTO!$AF$7)/$H246*OFFSET(ORÇAMENTO!$X$15,ROW(AX246)-ROW(AX$15),0),
ROUND(ROUND(OFFSET($P246,0,AX$13),15-13*ORÇAMENTO!$AF$7)*OFFSET(ORÇAMENTO!$W$15,ROW(AX246)-ROW(AX$15),0),15-13*ORÇAMENTO!$AF$11)),0)</f>
        <v>0</v>
      </c>
      <c r="AY246" s="545">
        <f ca="1">IF(AND($D246="Serviço",AY$12&lt;&gt;0,$H246&gt;0,OR(AUTOEVENTO&lt;&gt;"manual",$M246&lt;&gt;1)),
IF(Import.TipoArredondamento&lt;&gt;"TransfereGOV",
ROUND(OFFSET($P246,0,AY$13),15-13*ORÇAMENTO!$AF$7)/$H246*OFFSET(ORÇAMENTO!$X$15,ROW(AY246)-ROW(AY$15),0),
ROUND(ROUND(OFFSET($P246,0,AY$13),15-13*ORÇAMENTO!$AF$7)*OFFSET(ORÇAMENTO!$W$15,ROW(AY246)-ROW(AY$15),0),15-13*ORÇAMENTO!$AF$11)),0)</f>
        <v>0</v>
      </c>
      <c r="AZ246" s="545">
        <f ca="1">IF(AND($D246="Serviço",AZ$12&lt;&gt;0,$H246&gt;0,OR(AUTOEVENTO&lt;&gt;"manual",$M246&lt;&gt;1)),
IF(Import.TipoArredondamento&lt;&gt;"TransfereGOV",
ROUND(OFFSET($P246,0,AZ$13),15-13*ORÇAMENTO!$AF$7)/$H246*OFFSET(ORÇAMENTO!$X$15,ROW(AZ246)-ROW(AZ$15),0),
ROUND(ROUND(OFFSET($P246,0,AZ$13),15-13*ORÇAMENTO!$AF$7)*OFFSET(ORÇAMENTO!$W$15,ROW(AZ246)-ROW(AZ$15),0),15-13*ORÇAMENTO!$AF$11)),0)</f>
        <v>0</v>
      </c>
      <c r="BA246" s="546">
        <f ca="1">IF(AND($D246="Serviço",BA$12&lt;&gt;0,$H246&gt;0,OR(AUTOEVENTO&lt;&gt;"manual",$M246&lt;&gt;1)),
IF(Import.TipoArredondamento&lt;&gt;"TransfereGOV",
ROUND(OFFSET($P246,0,BA$13),15-13*ORÇAMENTO!$AF$7)/$H246*OFFSET(ORÇAMENTO!$X$15,ROW(BA246)-ROW(BA$15),0),
ROUND(ROUND(OFFSET($P246,0,BA$13),15-13*ORÇAMENTO!$AF$7)*OFFSET(ORÇAMENTO!$W$15,ROW(BA246)-ROW(BA$15),0),15-13*ORÇAMENTO!$AF$11)),0)</f>
        <v>0</v>
      </c>
      <c r="BC246" s="181">
        <f ca="1">IF($D246&lt;&gt;"Serviço",0,IF(AND(AUTOEVENTO="Manual",$M246=1),0,IF(OFFSET(CRONOPLE!$F$14,$M246,BC$13)="",10^12,OFFSET(CRONOPLE!$F$14,$M246,BC$13))))</f>
        <v>9</v>
      </c>
      <c r="BD246" s="181">
        <f ca="1">IF($D246&lt;&gt;"Serviço",0,IF(AND(AUTOEVENTO="Manual",$M246=1),0,IF(OFFSET(CRONOPLE!$F$14,$M246,BD$13)="",10^12,OFFSET(CRONOPLE!$F$14,$M246,BD$13))))</f>
        <v>1000000000000</v>
      </c>
      <c r="BE246" s="181">
        <f ca="1">IF($D246&lt;&gt;"Serviço",0,IF(AND(AUTOEVENTO="Manual",$M246=1),0,IF(OFFSET(CRONOPLE!$F$14,$M246,BE$13)="",10^12,OFFSET(CRONOPLE!$F$14,$M246,BE$13))))</f>
        <v>1000000000000</v>
      </c>
      <c r="BF246" s="181">
        <f ca="1">IF($D246&lt;&gt;"Serviço",0,IF(AND(AUTOEVENTO="Manual",$M246=1),0,IF(OFFSET(CRONOPLE!$F$14,$M246,BF$13)="",10^12,OFFSET(CRONOPLE!$F$14,$M246,BF$13))))</f>
        <v>1000000000000</v>
      </c>
      <c r="BG246" s="181">
        <f ca="1">IF($D246&lt;&gt;"Serviço",0,IF(AND(AUTOEVENTO="Manual",$M246=1),0,IF(OFFSET(CRONOPLE!$F$14,$M246,BG$13)="",10^12,OFFSET(CRONOPLE!$F$14,$M246,BG$13))))</f>
        <v>1000000000000</v>
      </c>
      <c r="BH246" s="181">
        <f ca="1">IF($D246&lt;&gt;"Serviço",0,IF(AND(AUTOEVENTO="Manual",$M246=1),0,IF(OFFSET(CRONOPLE!$F$14,$M246,BH$13)="",10^12,OFFSET(CRONOPLE!$F$14,$M246,BH$13))))</f>
        <v>1000000000000</v>
      </c>
      <c r="BI246" s="181">
        <f ca="1">IF($D246&lt;&gt;"Serviço",0,IF(AND(AUTOEVENTO="Manual",$M246=1),0,IF(OFFSET(CRONOPLE!$F$14,$M246,BI$13)="",10^12,OFFSET(CRONOPLE!$F$14,$M246,BI$13))))</f>
        <v>1000000000000</v>
      </c>
      <c r="BJ246" s="181">
        <f ca="1">IF($D246&lt;&gt;"Serviço",0,IF(AND(AUTOEVENTO="Manual",$M246=1),0,IF(OFFSET(CRONOPLE!$F$14,$M246,BJ$13)="",10^12,OFFSET(CRONOPLE!$F$14,$M246,BJ$13))))</f>
        <v>1000000000000</v>
      </c>
      <c r="BK246" s="181">
        <f ca="1">IF($D246&lt;&gt;"Serviço",0,IF(AND(AUTOEVENTO="Manual",$M246=1),0,IF(OFFSET(CRONOPLE!$F$14,$M246,BK$13)="",10^12,OFFSET(CRONOPLE!$F$14,$M246,BK$13))))</f>
        <v>1000000000000</v>
      </c>
      <c r="BL246" s="181">
        <f ca="1">IF($D246&lt;&gt;"Serviço",0,IF(AND(AUTOEVENTO="Manual",$M246=1),0,IF(OFFSET(CRONOPLE!$F$14,$M246,BL$13)="",10^12,OFFSET(CRONOPLE!$F$14,$M246,BL$13))))</f>
        <v>1000000000000</v>
      </c>
      <c r="BM246" s="181">
        <f ca="1">IF($D246&lt;&gt;"Serviço",0,IF(AND(AUTOEVENTO="Manual",$M246=1),0,IF(OFFSET(CRONOPLE!$F$14,$M246,BM$13)="",10^12,OFFSET(CRONOPLE!$F$14,$M246,BM$13))))</f>
        <v>1000000000000</v>
      </c>
      <c r="BN246" s="181">
        <f ca="1">IF($D246&lt;&gt;"Serviço",0,IF(AND(AUTOEVENTO="Manual",$M246=1),0,IF(OFFSET(CRONOPLE!$F$14,$M246,BN$13)="",10^12,OFFSET(CRONOPLE!$F$14,$M246,BN$13))))</f>
        <v>1000000000000</v>
      </c>
      <c r="BO246" s="181">
        <f ca="1">IF($D246&lt;&gt;"Serviço",0,IF(AND(AUTOEVENTO="Manual",$M246=1),0,IF(OFFSET(CRONOPLE!$F$14,$M246,BO$13)="",10^12,OFFSET(CRONOPLE!$F$14,$M246,BO$13))))</f>
        <v>1000000000000</v>
      </c>
      <c r="BP246" s="181">
        <f ca="1">IF($D246&lt;&gt;"Serviço",0,IF(AND(AUTOEVENTO="Manual",$M246=1),0,IF(OFFSET(CRONOPLE!$F$14,$M246,BP$13)="",10^12,OFFSET(CRONOPLE!$F$14,$M246,BP$13))))</f>
        <v>1000000000000</v>
      </c>
      <c r="BQ246" s="181">
        <f ca="1">IF($D246&lt;&gt;"Serviço",0,IF(AND(AUTOEVENTO="Manual",$M246=1),0,IF(OFFSET(CRONOPLE!$F$14,$M246,BQ$13)="",10^12,OFFSET(CRONOPLE!$F$14,$M246,BQ$13))))</f>
        <v>1000000000000</v>
      </c>
      <c r="BR246" s="181">
        <f ca="1">IF($D246&lt;&gt;"Serviço",0,IF(AND(AUTOEVENTO="Manual",$M246=1),0,IF(OFFSET(CRONOPLE!$F$14,$M246,BR$13)="",10^12,OFFSET(CRONOPLE!$F$14,$M246,BR$13))))</f>
        <v>1000000000000</v>
      </c>
      <c r="BS246" s="181">
        <f ca="1">IF($D246&lt;&gt;"Serviço",0,IF(AND(AUTOEVENTO="Manual",$M246=1),0,IF(OFFSET(CRONOPLE!$F$14,$M246,BS$13)="",10^12,OFFSET(CRONOPLE!$F$14,$M246,BS$13))))</f>
        <v>1000000000000</v>
      </c>
      <c r="BT246" s="181">
        <f ca="1">IF($D246&lt;&gt;"Serviço",0,IF(AND(AUTOEVENTO="Manual",$M246=1),0,IF(OFFSET(CRONOPLE!$F$14,$M246,BT$13)="",10^12,OFFSET(CRONOPLE!$F$14,$M246,BT$13))))</f>
        <v>1000000000000</v>
      </c>
      <c r="BV246" s="182">
        <f ca="1">IF($D246&lt;&gt;"Serviço",0,IF(OR(AND(AUTOEVENTO="Manual",$M246=1),$M246&gt;(ROW(PLE.lastrow)-ROW(PLE.firstrow))),0,IF(OFFSET(PLE!$G$14,$M246,BV$13)="",10^12,OFFSET(PLE!$G$14,$M246,BV$13))))</f>
        <v>1000000000000</v>
      </c>
      <c r="BW246" s="182">
        <f ca="1">IF($D246&lt;&gt;"Serviço",0,IF(OR(AND(AUTOEVENTO="Manual",$M246=1),$M246&gt;(ROW(PLE.lastrow)-ROW(PLE.firstrow))),0,IF(OFFSET(PLE!$G$14,$M246,BW$13)="",10^12,OFFSET(PLE!$G$14,$M246,BW$13))))</f>
        <v>1000000000000</v>
      </c>
      <c r="BX246" s="182">
        <f ca="1">IF($D246&lt;&gt;"Serviço",0,IF(OR(AND(AUTOEVENTO="Manual",$M246=1),$M246&gt;(ROW(PLE.lastrow)-ROW(PLE.firstrow))),0,IF(OFFSET(PLE!$G$14,$M246,BX$13)="",10^12,OFFSET(PLE!$G$14,$M246,BX$13))))</f>
        <v>1000000000000</v>
      </c>
      <c r="BY246" s="182">
        <f ca="1">IF($D246&lt;&gt;"Serviço",0,IF(OR(AND(AUTOEVENTO="Manual",$M246=1),$M246&gt;(ROW(PLE.lastrow)-ROW(PLE.firstrow))),0,IF(OFFSET(PLE!$G$14,$M246,BY$13)="",10^12,OFFSET(PLE!$G$14,$M246,BY$13))))</f>
        <v>1000000000000</v>
      </c>
      <c r="BZ246" s="182">
        <f ca="1">IF($D246&lt;&gt;"Serviço",0,IF(OR(AND(AUTOEVENTO="Manual",$M246=1),$M246&gt;(ROW(PLE.lastrow)-ROW(PLE.firstrow))),0,IF(OFFSET(PLE!$G$14,$M246,BZ$13)="",10^12,OFFSET(PLE!$G$14,$M246,BZ$13))))</f>
        <v>1000000000000</v>
      </c>
      <c r="CA246" s="182">
        <f ca="1">IF($D246&lt;&gt;"Serviço",0,IF(OR(AND(AUTOEVENTO="Manual",$M246=1),$M246&gt;(ROW(PLE.lastrow)-ROW(PLE.firstrow))),0,IF(OFFSET(PLE!$G$14,$M246,CA$13)="",10^12,OFFSET(PLE!$G$14,$M246,CA$13))))</f>
        <v>1000000000000</v>
      </c>
      <c r="CB246" s="182">
        <f ca="1">IF($D246&lt;&gt;"Serviço",0,IF(OR(AND(AUTOEVENTO="Manual",$M246=1),$M246&gt;(ROW(PLE.lastrow)-ROW(PLE.firstrow))),0,IF(OFFSET(PLE!$G$14,$M246,CB$13)="",10^12,OFFSET(PLE!$G$14,$M246,CB$13))))</f>
        <v>1000000000000</v>
      </c>
      <c r="CC246" s="182">
        <f ca="1">IF($D246&lt;&gt;"Serviço",0,IF(OR(AND(AUTOEVENTO="Manual",$M246=1),$M246&gt;(ROW(PLE.lastrow)-ROW(PLE.firstrow))),0,IF(OFFSET(PLE!$G$14,$M246,CC$13)="",10^12,OFFSET(PLE!$G$14,$M246,CC$13))))</f>
        <v>1000000000000</v>
      </c>
      <c r="CD246" s="182">
        <f ca="1">IF($D246&lt;&gt;"Serviço",0,IF(OR(AND(AUTOEVENTO="Manual",$M246=1),$M246&gt;(ROW(PLE.lastrow)-ROW(PLE.firstrow))),0,IF(OFFSET(PLE!$G$14,$M246,CD$13)="",10^12,OFFSET(PLE!$G$14,$M246,CD$13))))</f>
        <v>1000000000000</v>
      </c>
      <c r="CE246" s="182">
        <f ca="1">IF($D246&lt;&gt;"Serviço",0,IF(OR(AND(AUTOEVENTO="Manual",$M246=1),$M246&gt;(ROW(PLE.lastrow)-ROW(PLE.firstrow))),0,IF(OFFSET(PLE!$G$14,$M246,CE$13)="",10^12,OFFSET(PLE!$G$14,$M246,CE$13))))</f>
        <v>1000000000000</v>
      </c>
      <c r="CF246" s="182">
        <f ca="1">IF($D246&lt;&gt;"Serviço",0,IF(OR(AND(AUTOEVENTO="Manual",$M246=1),$M246&gt;(ROW(PLE.lastrow)-ROW(PLE.firstrow))),0,IF(OFFSET(PLE!$G$14,$M246,CF$13)="",10^12,OFFSET(PLE!$G$14,$M246,CF$13))))</f>
        <v>1000000000000</v>
      </c>
      <c r="CG246" s="182">
        <f ca="1">IF($D246&lt;&gt;"Serviço",0,IF(OR(AND(AUTOEVENTO="Manual",$M246=1),$M246&gt;(ROW(PLE.lastrow)-ROW(PLE.firstrow))),0,IF(OFFSET(PLE!$G$14,$M246,CG$13)="",10^12,OFFSET(PLE!$G$14,$M246,CG$13))))</f>
        <v>1000000000000</v>
      </c>
      <c r="CH246" s="182">
        <f ca="1">IF($D246&lt;&gt;"Serviço",0,IF(OR(AND(AUTOEVENTO="Manual",$M246=1),$M246&gt;(ROW(PLE.lastrow)-ROW(PLE.firstrow))),0,IF(OFFSET(PLE!$G$14,$M246,CH$13)="",10^12,OFFSET(PLE!$G$14,$M246,CH$13))))</f>
        <v>1000000000000</v>
      </c>
      <c r="CI246" s="182">
        <f ca="1">IF($D246&lt;&gt;"Serviço",0,IF(OR(AND(AUTOEVENTO="Manual",$M246=1),$M246&gt;(ROW(PLE.lastrow)-ROW(PLE.firstrow))),0,IF(OFFSET(PLE!$G$14,$M246,CI$13)="",10^12,OFFSET(PLE!$G$14,$M246,CI$13))))</f>
        <v>1000000000000</v>
      </c>
      <c r="CJ246" s="182">
        <f ca="1">IF($D246&lt;&gt;"Serviço",0,IF(OR(AND(AUTOEVENTO="Manual",$M246=1),$M246&gt;(ROW(PLE.lastrow)-ROW(PLE.firstrow))),0,IF(OFFSET(PLE!$G$14,$M246,CJ$13)="",10^12,OFFSET(PLE!$G$14,$M246,CJ$13))))</f>
        <v>1000000000000</v>
      </c>
      <c r="CK246" s="182">
        <f ca="1">IF($D246&lt;&gt;"Serviço",0,IF(OR(AND(AUTOEVENTO="Manual",$M246=1),$M246&gt;(ROW(PLE.lastrow)-ROW(PLE.firstrow))),0,IF(OFFSET(PLE!$G$14,$M246,CK$13)="",10^12,OFFSET(PLE!$G$14,$M246,CK$13))))</f>
        <v>1000000000000</v>
      </c>
      <c r="CL246" s="182">
        <f ca="1">IF($D246&lt;&gt;"Serviço",0,IF(OR(AND(AUTOEVENTO="Manual",$M246=1),$M246&gt;(ROW(PLE.lastrow)-ROW(PLE.firstrow))),0,IF(OFFSET(PLE!$G$14,$M246,CL$13)="",10^12,OFFSET(PLE!$G$14,$M246,CL$13))))</f>
        <v>1000000000000</v>
      </c>
      <c r="CM246" s="182">
        <f ca="1">IF($D246&lt;&gt;"Serviço",0,IF(OR(AND(AUTOEVENTO="Manual",$M246=1),$M246&gt;(ROW(PLE.lastrow)-ROW(PLE.firstrow))),0,IF(OFFSET(PLE!$G$14,$M246,CM$13)="",10^12,OFFSET(PLE!$G$14,$M246,CM$13))))</f>
        <v>1000000000000</v>
      </c>
    </row>
    <row r="247" spans="1:91" ht="25.5" x14ac:dyDescent="0.2">
      <c r="A247" s="7" t="str">
        <f t="shared" ca="1" si="12"/>
        <v>232.</v>
      </c>
      <c r="B247" s="7">
        <f ca="1">OFFSET(ORÇAMENTO!C$15,ROW(B247)-ROW(B$15),0)</f>
        <v>2</v>
      </c>
      <c r="C247" s="7" t="str">
        <f ca="1">OFFSET(ORÇAMENTO!L$15,ROW(C247)-ROW(C$15),0)</f>
        <v>F</v>
      </c>
      <c r="D247" s="118" t="str">
        <f ca="1">OFFSET(ORÇAMENTO!N$15,ROW(D247)-ROW(D$15),0)</f>
        <v>Nível 2</v>
      </c>
      <c r="E247" s="119" t="str">
        <f ca="1">OFFSET(ORÇAMENTO!O$15,ROW(E247)-ROW(E$15),0)</f>
        <v>1.34.</v>
      </c>
      <c r="F247" s="172" t="str">
        <f ca="1">OFFSET(ORÇAMENTO!R$15,ROW(F247)-ROW(F$15),0)</f>
        <v>INSTALAÇÃO HIDRÁULICA - TUBULAÇÕES E CONEXÕES DE PVC RÍGIDO</v>
      </c>
      <c r="G247" s="173" t="str">
        <f ca="1">IF($D247&lt;&gt;"Serviço","",OFFSET(ORÇAMENTO!S$15,ROW(G247)-ROW(G$15),0))</f>
        <v/>
      </c>
      <c r="H247" s="124">
        <f ca="1">IF($D247&lt;&gt;"Serviço",0,IF(ACOMPANHAMENTO="BM",ROUND(OFFSET(ORÇAMENTO!AJ$15,ROW(H247)-ROW(H$15),0),15-13*ORÇAMENTO!$AF$7),SUMPRODUCT(($Q$12:$AI$12&lt;&gt;"")*ROUND($Q247:$AI247,15-13*ORÇAMENTO!$AF$7))))</f>
        <v>0</v>
      </c>
      <c r="I247" s="561"/>
      <c r="K247" s="174"/>
      <c r="L247" s="175" t="s">
        <v>255</v>
      </c>
      <c r="M247" s="176" t="str">
        <f ca="1">IF($D247&lt;&gt;"Serviço","",IF(AUTOEVENTO="manual",$A247,IF(ISERROR(MATCH($A247,$A$15:OFFSET($A247,-1,0),0)),MAX($M$15:OFFSET(M247,-1,0))+1,INDEX($M$15:OFFSET(M247,-1,0),MATCH($A247,$A$15:OFFSET($A247,-1,0),0)))))</f>
        <v/>
      </c>
      <c r="N247" s="177" t="str">
        <f ca="1">IF($D247&lt;&gt;"Serviço","",IF(AUTOEVENTO="Manual",IF($A247=0,"&lt;-- defina o número do agrupador",OFFSET(EVENTOS!$D$14,$A247,0)),OFFSET($F$15,$A247,0)))</f>
        <v/>
      </c>
      <c r="O247" s="178"/>
      <c r="Q247" s="178">
        <v>0</v>
      </c>
      <c r="R247" s="179"/>
      <c r="S247" s="179"/>
      <c r="T247" s="179"/>
      <c r="U247" s="179"/>
      <c r="V247" s="179"/>
      <c r="W247" s="179"/>
      <c r="X247" s="179"/>
      <c r="Y247" s="179"/>
      <c r="Z247" s="180"/>
      <c r="AA247" s="179"/>
      <c r="AB247" s="179"/>
      <c r="AC247" s="179"/>
      <c r="AD247" s="179"/>
      <c r="AE247" s="179"/>
      <c r="AF247" s="179"/>
      <c r="AG247" s="179"/>
      <c r="AH247" s="180"/>
      <c r="AJ247" s="544">
        <f ca="1">IF(AND($D247="Serviço",AJ$12&lt;&gt;0,$H247&gt;0,OR(AUTOEVENTO&lt;&gt;"manual",$M247&lt;&gt;1)),
IF(Import.TipoArredondamento&lt;&gt;"TransfereGOV",
ROUND(OFFSET($P247,0,AJ$13),15-13*ORÇAMENTO!$AF$7)/$H247*OFFSET(ORÇAMENTO!$X$15,ROW(AJ247)-ROW(AJ$15),0),
ROUND(ROUND(OFFSET($P247,0,AJ$13),15-13*ORÇAMENTO!$AF$7)*OFFSET(ORÇAMENTO!$W$15,ROW(AJ247)-ROW(AJ$15),0),15-13*ORÇAMENTO!$AF$11)),0)</f>
        <v>0</v>
      </c>
      <c r="AK247" s="545">
        <f ca="1">IF(AND($D247="Serviço",AK$12&lt;&gt;0,$H247&gt;0,OR(AUTOEVENTO&lt;&gt;"manual",$M247&lt;&gt;1)),
IF(Import.TipoArredondamento&lt;&gt;"TransfereGOV",
ROUND(OFFSET($P247,0,AK$13),15-13*ORÇAMENTO!$AF$7)/$H247*OFFSET(ORÇAMENTO!$X$15,ROW(AK247)-ROW(AK$15),0),
ROUND(ROUND(OFFSET($P247,0,AK$13),15-13*ORÇAMENTO!$AF$7)*OFFSET(ORÇAMENTO!$W$15,ROW(AK247)-ROW(AK$15),0),15-13*ORÇAMENTO!$AF$11)),0)</f>
        <v>0</v>
      </c>
      <c r="AL247" s="545">
        <f ca="1">IF(AND($D247="Serviço",AL$12&lt;&gt;0,$H247&gt;0,OR(AUTOEVENTO&lt;&gt;"manual",$M247&lt;&gt;1)),
IF(Import.TipoArredondamento&lt;&gt;"TransfereGOV",
ROUND(OFFSET($P247,0,AL$13),15-13*ORÇAMENTO!$AF$7)/$H247*OFFSET(ORÇAMENTO!$X$15,ROW(AL247)-ROW(AL$15),0),
ROUND(ROUND(OFFSET($P247,0,AL$13),15-13*ORÇAMENTO!$AF$7)*OFFSET(ORÇAMENTO!$W$15,ROW(AL247)-ROW(AL$15),0),15-13*ORÇAMENTO!$AF$11)),0)</f>
        <v>0</v>
      </c>
      <c r="AM247" s="545">
        <f ca="1">IF(AND($D247="Serviço",AM$12&lt;&gt;0,$H247&gt;0,OR(AUTOEVENTO&lt;&gt;"manual",$M247&lt;&gt;1)),
IF(Import.TipoArredondamento&lt;&gt;"TransfereGOV",
ROUND(OFFSET($P247,0,AM$13),15-13*ORÇAMENTO!$AF$7)/$H247*OFFSET(ORÇAMENTO!$X$15,ROW(AM247)-ROW(AM$15),0),
ROUND(ROUND(OFFSET($P247,0,AM$13),15-13*ORÇAMENTO!$AF$7)*OFFSET(ORÇAMENTO!$W$15,ROW(AM247)-ROW(AM$15),0),15-13*ORÇAMENTO!$AF$11)),0)</f>
        <v>0</v>
      </c>
      <c r="AN247" s="545">
        <f ca="1">IF(AND($D247="Serviço",AN$12&lt;&gt;0,$H247&gt;0,OR(AUTOEVENTO&lt;&gt;"manual",$M247&lt;&gt;1)),
IF(Import.TipoArredondamento&lt;&gt;"TransfereGOV",
ROUND(OFFSET($P247,0,AN$13),15-13*ORÇAMENTO!$AF$7)/$H247*OFFSET(ORÇAMENTO!$X$15,ROW(AN247)-ROW(AN$15),0),
ROUND(ROUND(OFFSET($P247,0,AN$13),15-13*ORÇAMENTO!$AF$7)*OFFSET(ORÇAMENTO!$W$15,ROW(AN247)-ROW(AN$15),0),15-13*ORÇAMENTO!$AF$11)),0)</f>
        <v>0</v>
      </c>
      <c r="AO247" s="545">
        <f ca="1">IF(AND($D247="Serviço",AO$12&lt;&gt;0,$H247&gt;0,OR(AUTOEVENTO&lt;&gt;"manual",$M247&lt;&gt;1)),
IF(Import.TipoArredondamento&lt;&gt;"TransfereGOV",
ROUND(OFFSET($P247,0,AO$13),15-13*ORÇAMENTO!$AF$7)/$H247*OFFSET(ORÇAMENTO!$X$15,ROW(AO247)-ROW(AO$15),0),
ROUND(ROUND(OFFSET($P247,0,AO$13),15-13*ORÇAMENTO!$AF$7)*OFFSET(ORÇAMENTO!$W$15,ROW(AO247)-ROW(AO$15),0),15-13*ORÇAMENTO!$AF$11)),0)</f>
        <v>0</v>
      </c>
      <c r="AP247" s="545">
        <f ca="1">IF(AND($D247="Serviço",AP$12&lt;&gt;0,$H247&gt;0,OR(AUTOEVENTO&lt;&gt;"manual",$M247&lt;&gt;1)),
IF(Import.TipoArredondamento&lt;&gt;"TransfereGOV",
ROUND(OFFSET($P247,0,AP$13),15-13*ORÇAMENTO!$AF$7)/$H247*OFFSET(ORÇAMENTO!$X$15,ROW(AP247)-ROW(AP$15),0),
ROUND(ROUND(OFFSET($P247,0,AP$13),15-13*ORÇAMENTO!$AF$7)*OFFSET(ORÇAMENTO!$W$15,ROW(AP247)-ROW(AP$15),0),15-13*ORÇAMENTO!$AF$11)),0)</f>
        <v>0</v>
      </c>
      <c r="AQ247" s="545">
        <f ca="1">IF(AND($D247="Serviço",AQ$12&lt;&gt;0,$H247&gt;0,OR(AUTOEVENTO&lt;&gt;"manual",$M247&lt;&gt;1)),
IF(Import.TipoArredondamento&lt;&gt;"TransfereGOV",
ROUND(OFFSET($P247,0,AQ$13),15-13*ORÇAMENTO!$AF$7)/$H247*OFFSET(ORÇAMENTO!$X$15,ROW(AQ247)-ROW(AQ$15),0),
ROUND(ROUND(OFFSET($P247,0,AQ$13),15-13*ORÇAMENTO!$AF$7)*OFFSET(ORÇAMENTO!$W$15,ROW(AQ247)-ROW(AQ$15),0),15-13*ORÇAMENTO!$AF$11)),0)</f>
        <v>0</v>
      </c>
      <c r="AR247" s="545">
        <f ca="1">IF(AND($D247="Serviço",AR$12&lt;&gt;0,$H247&gt;0,OR(AUTOEVENTO&lt;&gt;"manual",$M247&lt;&gt;1)),
IF(Import.TipoArredondamento&lt;&gt;"TransfereGOV",
ROUND(OFFSET($P247,0,AR$13),15-13*ORÇAMENTO!$AF$7)/$H247*OFFSET(ORÇAMENTO!$X$15,ROW(AR247)-ROW(AR$15),0),
ROUND(ROUND(OFFSET($P247,0,AR$13),15-13*ORÇAMENTO!$AF$7)*OFFSET(ORÇAMENTO!$W$15,ROW(AR247)-ROW(AR$15),0),15-13*ORÇAMENTO!$AF$11)),0)</f>
        <v>0</v>
      </c>
      <c r="AS247" s="546">
        <f ca="1">IF(AND($D247="Serviço",AS$12&lt;&gt;0,$H247&gt;0,OR(AUTOEVENTO&lt;&gt;"manual",$M247&lt;&gt;1)),
IF(Import.TipoArredondamento&lt;&gt;"TransfereGOV",
ROUND(OFFSET($P247,0,AS$13),15-13*ORÇAMENTO!$AF$7)/$H247*OFFSET(ORÇAMENTO!$X$15,ROW(AS247)-ROW(AS$15),0),
ROUND(ROUND(OFFSET($P247,0,AS$13),15-13*ORÇAMENTO!$AF$7)*OFFSET(ORÇAMENTO!$W$15,ROW(AS247)-ROW(AS$15),0),15-13*ORÇAMENTO!$AF$11)),0)</f>
        <v>0</v>
      </c>
      <c r="AT247" s="545">
        <f ca="1">IF(AND($D247="Serviço",AT$12&lt;&gt;0,$H247&gt;0,OR(AUTOEVENTO&lt;&gt;"manual",$M247&lt;&gt;1)),
IF(Import.TipoArredondamento&lt;&gt;"TransfereGOV",
ROUND(OFFSET($P247,0,AT$13),15-13*ORÇAMENTO!$AF$7)/$H247*OFFSET(ORÇAMENTO!$X$15,ROW(AT247)-ROW(AT$15),0),
ROUND(ROUND(OFFSET($P247,0,AT$13),15-13*ORÇAMENTO!$AF$7)*OFFSET(ORÇAMENTO!$W$15,ROW(AT247)-ROW(AT$15),0),15-13*ORÇAMENTO!$AF$11)),0)</f>
        <v>0</v>
      </c>
      <c r="AU247" s="545">
        <f ca="1">IF(AND($D247="Serviço",AU$12&lt;&gt;0,$H247&gt;0,OR(AUTOEVENTO&lt;&gt;"manual",$M247&lt;&gt;1)),
IF(Import.TipoArredondamento&lt;&gt;"TransfereGOV",
ROUND(OFFSET($P247,0,AU$13),15-13*ORÇAMENTO!$AF$7)/$H247*OFFSET(ORÇAMENTO!$X$15,ROW(AU247)-ROW(AU$15),0),
ROUND(ROUND(OFFSET($P247,0,AU$13),15-13*ORÇAMENTO!$AF$7)*OFFSET(ORÇAMENTO!$W$15,ROW(AU247)-ROW(AU$15),0),15-13*ORÇAMENTO!$AF$11)),0)</f>
        <v>0</v>
      </c>
      <c r="AV247" s="545">
        <f ca="1">IF(AND($D247="Serviço",AV$12&lt;&gt;0,$H247&gt;0,OR(AUTOEVENTO&lt;&gt;"manual",$M247&lt;&gt;1)),
IF(Import.TipoArredondamento&lt;&gt;"TransfereGOV",
ROUND(OFFSET($P247,0,AV$13),15-13*ORÇAMENTO!$AF$7)/$H247*OFFSET(ORÇAMENTO!$X$15,ROW(AV247)-ROW(AV$15),0),
ROUND(ROUND(OFFSET($P247,0,AV$13),15-13*ORÇAMENTO!$AF$7)*OFFSET(ORÇAMENTO!$W$15,ROW(AV247)-ROW(AV$15),0),15-13*ORÇAMENTO!$AF$11)),0)</f>
        <v>0</v>
      </c>
      <c r="AW247" s="545">
        <f ca="1">IF(AND($D247="Serviço",AW$12&lt;&gt;0,$H247&gt;0,OR(AUTOEVENTO&lt;&gt;"manual",$M247&lt;&gt;1)),
IF(Import.TipoArredondamento&lt;&gt;"TransfereGOV",
ROUND(OFFSET($P247,0,AW$13),15-13*ORÇAMENTO!$AF$7)/$H247*OFFSET(ORÇAMENTO!$X$15,ROW(AW247)-ROW(AW$15),0),
ROUND(ROUND(OFFSET($P247,0,AW$13),15-13*ORÇAMENTO!$AF$7)*OFFSET(ORÇAMENTO!$W$15,ROW(AW247)-ROW(AW$15),0),15-13*ORÇAMENTO!$AF$11)),0)</f>
        <v>0</v>
      </c>
      <c r="AX247" s="545">
        <f ca="1">IF(AND($D247="Serviço",AX$12&lt;&gt;0,$H247&gt;0,OR(AUTOEVENTO&lt;&gt;"manual",$M247&lt;&gt;1)),
IF(Import.TipoArredondamento&lt;&gt;"TransfereGOV",
ROUND(OFFSET($P247,0,AX$13),15-13*ORÇAMENTO!$AF$7)/$H247*OFFSET(ORÇAMENTO!$X$15,ROW(AX247)-ROW(AX$15),0),
ROUND(ROUND(OFFSET($P247,0,AX$13),15-13*ORÇAMENTO!$AF$7)*OFFSET(ORÇAMENTO!$W$15,ROW(AX247)-ROW(AX$15),0),15-13*ORÇAMENTO!$AF$11)),0)</f>
        <v>0</v>
      </c>
      <c r="AY247" s="545">
        <f ca="1">IF(AND($D247="Serviço",AY$12&lt;&gt;0,$H247&gt;0,OR(AUTOEVENTO&lt;&gt;"manual",$M247&lt;&gt;1)),
IF(Import.TipoArredondamento&lt;&gt;"TransfereGOV",
ROUND(OFFSET($P247,0,AY$13),15-13*ORÇAMENTO!$AF$7)/$H247*OFFSET(ORÇAMENTO!$X$15,ROW(AY247)-ROW(AY$15),0),
ROUND(ROUND(OFFSET($P247,0,AY$13),15-13*ORÇAMENTO!$AF$7)*OFFSET(ORÇAMENTO!$W$15,ROW(AY247)-ROW(AY$15),0),15-13*ORÇAMENTO!$AF$11)),0)</f>
        <v>0</v>
      </c>
      <c r="AZ247" s="545">
        <f ca="1">IF(AND($D247="Serviço",AZ$12&lt;&gt;0,$H247&gt;0,OR(AUTOEVENTO&lt;&gt;"manual",$M247&lt;&gt;1)),
IF(Import.TipoArredondamento&lt;&gt;"TransfereGOV",
ROUND(OFFSET($P247,0,AZ$13),15-13*ORÇAMENTO!$AF$7)/$H247*OFFSET(ORÇAMENTO!$X$15,ROW(AZ247)-ROW(AZ$15),0),
ROUND(ROUND(OFFSET($P247,0,AZ$13),15-13*ORÇAMENTO!$AF$7)*OFFSET(ORÇAMENTO!$W$15,ROW(AZ247)-ROW(AZ$15),0),15-13*ORÇAMENTO!$AF$11)),0)</f>
        <v>0</v>
      </c>
      <c r="BA247" s="546">
        <f ca="1">IF(AND($D247="Serviço",BA$12&lt;&gt;0,$H247&gt;0,OR(AUTOEVENTO&lt;&gt;"manual",$M247&lt;&gt;1)),
IF(Import.TipoArredondamento&lt;&gt;"TransfereGOV",
ROUND(OFFSET($P247,0,BA$13),15-13*ORÇAMENTO!$AF$7)/$H247*OFFSET(ORÇAMENTO!$X$15,ROW(BA247)-ROW(BA$15),0),
ROUND(ROUND(OFFSET($P247,0,BA$13),15-13*ORÇAMENTO!$AF$7)*OFFSET(ORÇAMENTO!$W$15,ROW(BA247)-ROW(BA$15),0),15-13*ORÇAMENTO!$AF$11)),0)</f>
        <v>0</v>
      </c>
      <c r="BC247" s="181">
        <f ca="1">IF($D247&lt;&gt;"Serviço",0,IF(AND(AUTOEVENTO="Manual",$M247=1),0,IF(OFFSET(CRONOPLE!$F$14,$M247,BC$13)="",10^12,OFFSET(CRONOPLE!$F$14,$M247,BC$13))))</f>
        <v>0</v>
      </c>
      <c r="BD247" s="181">
        <f ca="1">IF($D247&lt;&gt;"Serviço",0,IF(AND(AUTOEVENTO="Manual",$M247=1),0,IF(OFFSET(CRONOPLE!$F$14,$M247,BD$13)="",10^12,OFFSET(CRONOPLE!$F$14,$M247,BD$13))))</f>
        <v>0</v>
      </c>
      <c r="BE247" s="181">
        <f ca="1">IF($D247&lt;&gt;"Serviço",0,IF(AND(AUTOEVENTO="Manual",$M247=1),0,IF(OFFSET(CRONOPLE!$F$14,$M247,BE$13)="",10^12,OFFSET(CRONOPLE!$F$14,$M247,BE$13))))</f>
        <v>0</v>
      </c>
      <c r="BF247" s="181">
        <f ca="1">IF($D247&lt;&gt;"Serviço",0,IF(AND(AUTOEVENTO="Manual",$M247=1),0,IF(OFFSET(CRONOPLE!$F$14,$M247,BF$13)="",10^12,OFFSET(CRONOPLE!$F$14,$M247,BF$13))))</f>
        <v>0</v>
      </c>
      <c r="BG247" s="181">
        <f ca="1">IF($D247&lt;&gt;"Serviço",0,IF(AND(AUTOEVENTO="Manual",$M247=1),0,IF(OFFSET(CRONOPLE!$F$14,$M247,BG$13)="",10^12,OFFSET(CRONOPLE!$F$14,$M247,BG$13))))</f>
        <v>0</v>
      </c>
      <c r="BH247" s="181">
        <f ca="1">IF($D247&lt;&gt;"Serviço",0,IF(AND(AUTOEVENTO="Manual",$M247=1),0,IF(OFFSET(CRONOPLE!$F$14,$M247,BH$13)="",10^12,OFFSET(CRONOPLE!$F$14,$M247,BH$13))))</f>
        <v>0</v>
      </c>
      <c r="BI247" s="181">
        <f ca="1">IF($D247&lt;&gt;"Serviço",0,IF(AND(AUTOEVENTO="Manual",$M247=1),0,IF(OFFSET(CRONOPLE!$F$14,$M247,BI$13)="",10^12,OFFSET(CRONOPLE!$F$14,$M247,BI$13))))</f>
        <v>0</v>
      </c>
      <c r="BJ247" s="181">
        <f ca="1">IF($D247&lt;&gt;"Serviço",0,IF(AND(AUTOEVENTO="Manual",$M247=1),0,IF(OFFSET(CRONOPLE!$F$14,$M247,BJ$13)="",10^12,OFFSET(CRONOPLE!$F$14,$M247,BJ$13))))</f>
        <v>0</v>
      </c>
      <c r="BK247" s="181">
        <f ca="1">IF($D247&lt;&gt;"Serviço",0,IF(AND(AUTOEVENTO="Manual",$M247=1),0,IF(OFFSET(CRONOPLE!$F$14,$M247,BK$13)="",10^12,OFFSET(CRONOPLE!$F$14,$M247,BK$13))))</f>
        <v>0</v>
      </c>
      <c r="BL247" s="181">
        <f ca="1">IF($D247&lt;&gt;"Serviço",0,IF(AND(AUTOEVENTO="Manual",$M247=1),0,IF(OFFSET(CRONOPLE!$F$14,$M247,BL$13)="",10^12,OFFSET(CRONOPLE!$F$14,$M247,BL$13))))</f>
        <v>0</v>
      </c>
      <c r="BM247" s="181">
        <f ca="1">IF($D247&lt;&gt;"Serviço",0,IF(AND(AUTOEVENTO="Manual",$M247=1),0,IF(OFFSET(CRONOPLE!$F$14,$M247,BM$13)="",10^12,OFFSET(CRONOPLE!$F$14,$M247,BM$13))))</f>
        <v>0</v>
      </c>
      <c r="BN247" s="181">
        <f ca="1">IF($D247&lt;&gt;"Serviço",0,IF(AND(AUTOEVENTO="Manual",$M247=1),0,IF(OFFSET(CRONOPLE!$F$14,$M247,BN$13)="",10^12,OFFSET(CRONOPLE!$F$14,$M247,BN$13))))</f>
        <v>0</v>
      </c>
      <c r="BO247" s="181">
        <f ca="1">IF($D247&lt;&gt;"Serviço",0,IF(AND(AUTOEVENTO="Manual",$M247=1),0,IF(OFFSET(CRONOPLE!$F$14,$M247,BO$13)="",10^12,OFFSET(CRONOPLE!$F$14,$M247,BO$13))))</f>
        <v>0</v>
      </c>
      <c r="BP247" s="181">
        <f ca="1">IF($D247&lt;&gt;"Serviço",0,IF(AND(AUTOEVENTO="Manual",$M247=1),0,IF(OFFSET(CRONOPLE!$F$14,$M247,BP$13)="",10^12,OFFSET(CRONOPLE!$F$14,$M247,BP$13))))</f>
        <v>0</v>
      </c>
      <c r="BQ247" s="181">
        <f ca="1">IF($D247&lt;&gt;"Serviço",0,IF(AND(AUTOEVENTO="Manual",$M247=1),0,IF(OFFSET(CRONOPLE!$F$14,$M247,BQ$13)="",10^12,OFFSET(CRONOPLE!$F$14,$M247,BQ$13))))</f>
        <v>0</v>
      </c>
      <c r="BR247" s="181">
        <f ca="1">IF($D247&lt;&gt;"Serviço",0,IF(AND(AUTOEVENTO="Manual",$M247=1),0,IF(OFFSET(CRONOPLE!$F$14,$M247,BR$13)="",10^12,OFFSET(CRONOPLE!$F$14,$M247,BR$13))))</f>
        <v>0</v>
      </c>
      <c r="BS247" s="181">
        <f ca="1">IF($D247&lt;&gt;"Serviço",0,IF(AND(AUTOEVENTO="Manual",$M247=1),0,IF(OFFSET(CRONOPLE!$F$14,$M247,BS$13)="",10^12,OFFSET(CRONOPLE!$F$14,$M247,BS$13))))</f>
        <v>0</v>
      </c>
      <c r="BT247" s="181">
        <f ca="1">IF($D247&lt;&gt;"Serviço",0,IF(AND(AUTOEVENTO="Manual",$M247=1),0,IF(OFFSET(CRONOPLE!$F$14,$M247,BT$13)="",10^12,OFFSET(CRONOPLE!$F$14,$M247,BT$13))))</f>
        <v>0</v>
      </c>
      <c r="BV247" s="182">
        <f ca="1">IF($D247&lt;&gt;"Serviço",0,IF(OR(AND(AUTOEVENTO="Manual",$M247=1),$M247&gt;(ROW(PLE.lastrow)-ROW(PLE.firstrow))),0,IF(OFFSET(PLE!$G$14,$M247,BV$13)="",10^12,OFFSET(PLE!$G$14,$M247,BV$13))))</f>
        <v>0</v>
      </c>
      <c r="BW247" s="182">
        <f ca="1">IF($D247&lt;&gt;"Serviço",0,IF(OR(AND(AUTOEVENTO="Manual",$M247=1),$M247&gt;(ROW(PLE.lastrow)-ROW(PLE.firstrow))),0,IF(OFFSET(PLE!$G$14,$M247,BW$13)="",10^12,OFFSET(PLE!$G$14,$M247,BW$13))))</f>
        <v>0</v>
      </c>
      <c r="BX247" s="182">
        <f ca="1">IF($D247&lt;&gt;"Serviço",0,IF(OR(AND(AUTOEVENTO="Manual",$M247=1),$M247&gt;(ROW(PLE.lastrow)-ROW(PLE.firstrow))),0,IF(OFFSET(PLE!$G$14,$M247,BX$13)="",10^12,OFFSET(PLE!$G$14,$M247,BX$13))))</f>
        <v>0</v>
      </c>
      <c r="BY247" s="182">
        <f ca="1">IF($D247&lt;&gt;"Serviço",0,IF(OR(AND(AUTOEVENTO="Manual",$M247=1),$M247&gt;(ROW(PLE.lastrow)-ROW(PLE.firstrow))),0,IF(OFFSET(PLE!$G$14,$M247,BY$13)="",10^12,OFFSET(PLE!$G$14,$M247,BY$13))))</f>
        <v>0</v>
      </c>
      <c r="BZ247" s="182">
        <f ca="1">IF($D247&lt;&gt;"Serviço",0,IF(OR(AND(AUTOEVENTO="Manual",$M247=1),$M247&gt;(ROW(PLE.lastrow)-ROW(PLE.firstrow))),0,IF(OFFSET(PLE!$G$14,$M247,BZ$13)="",10^12,OFFSET(PLE!$G$14,$M247,BZ$13))))</f>
        <v>0</v>
      </c>
      <c r="CA247" s="182">
        <f ca="1">IF($D247&lt;&gt;"Serviço",0,IF(OR(AND(AUTOEVENTO="Manual",$M247=1),$M247&gt;(ROW(PLE.lastrow)-ROW(PLE.firstrow))),0,IF(OFFSET(PLE!$G$14,$M247,CA$13)="",10^12,OFFSET(PLE!$G$14,$M247,CA$13))))</f>
        <v>0</v>
      </c>
      <c r="CB247" s="182">
        <f ca="1">IF($D247&lt;&gt;"Serviço",0,IF(OR(AND(AUTOEVENTO="Manual",$M247=1),$M247&gt;(ROW(PLE.lastrow)-ROW(PLE.firstrow))),0,IF(OFFSET(PLE!$G$14,$M247,CB$13)="",10^12,OFFSET(PLE!$G$14,$M247,CB$13))))</f>
        <v>0</v>
      </c>
      <c r="CC247" s="182">
        <f ca="1">IF($D247&lt;&gt;"Serviço",0,IF(OR(AND(AUTOEVENTO="Manual",$M247=1),$M247&gt;(ROW(PLE.lastrow)-ROW(PLE.firstrow))),0,IF(OFFSET(PLE!$G$14,$M247,CC$13)="",10^12,OFFSET(PLE!$G$14,$M247,CC$13))))</f>
        <v>0</v>
      </c>
      <c r="CD247" s="182">
        <f ca="1">IF($D247&lt;&gt;"Serviço",0,IF(OR(AND(AUTOEVENTO="Manual",$M247=1),$M247&gt;(ROW(PLE.lastrow)-ROW(PLE.firstrow))),0,IF(OFFSET(PLE!$G$14,$M247,CD$13)="",10^12,OFFSET(PLE!$G$14,$M247,CD$13))))</f>
        <v>0</v>
      </c>
      <c r="CE247" s="182">
        <f ca="1">IF($D247&lt;&gt;"Serviço",0,IF(OR(AND(AUTOEVENTO="Manual",$M247=1),$M247&gt;(ROW(PLE.lastrow)-ROW(PLE.firstrow))),0,IF(OFFSET(PLE!$G$14,$M247,CE$13)="",10^12,OFFSET(PLE!$G$14,$M247,CE$13))))</f>
        <v>0</v>
      </c>
      <c r="CF247" s="182">
        <f ca="1">IF($D247&lt;&gt;"Serviço",0,IF(OR(AND(AUTOEVENTO="Manual",$M247=1),$M247&gt;(ROW(PLE.lastrow)-ROW(PLE.firstrow))),0,IF(OFFSET(PLE!$G$14,$M247,CF$13)="",10^12,OFFSET(PLE!$G$14,$M247,CF$13))))</f>
        <v>0</v>
      </c>
      <c r="CG247" s="182">
        <f ca="1">IF($D247&lt;&gt;"Serviço",0,IF(OR(AND(AUTOEVENTO="Manual",$M247=1),$M247&gt;(ROW(PLE.lastrow)-ROW(PLE.firstrow))),0,IF(OFFSET(PLE!$G$14,$M247,CG$13)="",10^12,OFFSET(PLE!$G$14,$M247,CG$13))))</f>
        <v>0</v>
      </c>
      <c r="CH247" s="182">
        <f ca="1">IF($D247&lt;&gt;"Serviço",0,IF(OR(AND(AUTOEVENTO="Manual",$M247=1),$M247&gt;(ROW(PLE.lastrow)-ROW(PLE.firstrow))),0,IF(OFFSET(PLE!$G$14,$M247,CH$13)="",10^12,OFFSET(PLE!$G$14,$M247,CH$13))))</f>
        <v>0</v>
      </c>
      <c r="CI247" s="182">
        <f ca="1">IF($D247&lt;&gt;"Serviço",0,IF(OR(AND(AUTOEVENTO="Manual",$M247=1),$M247&gt;(ROW(PLE.lastrow)-ROW(PLE.firstrow))),0,IF(OFFSET(PLE!$G$14,$M247,CI$13)="",10^12,OFFSET(PLE!$G$14,$M247,CI$13))))</f>
        <v>0</v>
      </c>
      <c r="CJ247" s="182">
        <f ca="1">IF($D247&lt;&gt;"Serviço",0,IF(OR(AND(AUTOEVENTO="Manual",$M247=1),$M247&gt;(ROW(PLE.lastrow)-ROW(PLE.firstrow))),0,IF(OFFSET(PLE!$G$14,$M247,CJ$13)="",10^12,OFFSET(PLE!$G$14,$M247,CJ$13))))</f>
        <v>0</v>
      </c>
      <c r="CK247" s="182">
        <f ca="1">IF($D247&lt;&gt;"Serviço",0,IF(OR(AND(AUTOEVENTO="Manual",$M247=1),$M247&gt;(ROW(PLE.lastrow)-ROW(PLE.firstrow))),0,IF(OFFSET(PLE!$G$14,$M247,CK$13)="",10^12,OFFSET(PLE!$G$14,$M247,CK$13))))</f>
        <v>0</v>
      </c>
      <c r="CL247" s="182">
        <f ca="1">IF($D247&lt;&gt;"Serviço",0,IF(OR(AND(AUTOEVENTO="Manual",$M247=1),$M247&gt;(ROW(PLE.lastrow)-ROW(PLE.firstrow))),0,IF(OFFSET(PLE!$G$14,$M247,CL$13)="",10^12,OFFSET(PLE!$G$14,$M247,CL$13))))</f>
        <v>0</v>
      </c>
      <c r="CM247" s="182">
        <f ca="1">IF($D247&lt;&gt;"Serviço",0,IF(OR(AND(AUTOEVENTO="Manual",$M247=1),$M247&gt;(ROW(PLE.lastrow)-ROW(PLE.firstrow))),0,IF(OFFSET(PLE!$G$14,$M247,CM$13)="",10^12,OFFSET(PLE!$G$14,$M247,CM$13))))</f>
        <v>0</v>
      </c>
    </row>
    <row r="248" spans="1:91" ht="38.25" x14ac:dyDescent="0.2">
      <c r="A248" s="7" t="str">
        <f t="shared" ca="1" si="12"/>
        <v>232</v>
      </c>
      <c r="B248" s="7" t="str">
        <f ca="1">OFFSET(ORÇAMENTO!C$15,ROW(B248)-ROW(B$15),0)</f>
        <v>S</v>
      </c>
      <c r="C248" s="7" t="str">
        <f ca="1">OFFSET(ORÇAMENTO!L$15,ROW(C248)-ROW(C$15),0)</f>
        <v/>
      </c>
      <c r="D248" s="118" t="str">
        <f ca="1">OFFSET(ORÇAMENTO!N$15,ROW(D248)-ROW(D$15),0)</f>
        <v>Serviço</v>
      </c>
      <c r="E248" s="119" t="str">
        <f ca="1">OFFSET(ORÇAMENTO!O$15,ROW(E248)-ROW(E$15),0)</f>
        <v>-</v>
      </c>
      <c r="F248" s="172" t="str">
        <f ca="1">OFFSET(ORÇAMENTO!R$15,ROW(F248)-ROW(F$15),0)</f>
        <v>(abra o arquivo 'Referência 06-2024.xlsm)</v>
      </c>
      <c r="G248" s="173" t="str">
        <f ca="1">IF($D248&lt;&gt;"Serviço","",OFFSET(ORÇAMENTO!S$15,ROW(G248)-ROW(G$15),0))</f>
        <v>-</v>
      </c>
      <c r="H248" s="124">
        <f ca="1">IF($D248&lt;&gt;"Serviço",0,IF(ACOMPANHAMENTO="BM",ROUND(OFFSET(ORÇAMENTO!AJ$15,ROW(H248)-ROW(H$15),0),15-13*ORÇAMENTO!$AF$7),SUMPRODUCT(($Q$12:$AI$12&lt;&gt;"")*ROUND($Q248:$AI248,15-13*ORÇAMENTO!$AF$7))))</f>
        <v>414.1</v>
      </c>
      <c r="I248" s="561" t="s">
        <v>1107</v>
      </c>
      <c r="K248" s="174"/>
      <c r="L248" s="175" t="s">
        <v>255</v>
      </c>
      <c r="M248" s="176">
        <f ca="1">IF($D248&lt;&gt;"Serviço","",IF(AUTOEVENTO="manual",$A248,IF(ISERROR(MATCH($A248,$A$15:OFFSET($A248,-1,0),0)),MAX($M$15:OFFSET(M248,-1,0))+1,INDEX($M$15:OFFSET(M248,-1,0),MATCH($A248,$A$15:OFFSET($A248,-1,0),0)))))</f>
        <v>35</v>
      </c>
      <c r="N248" s="177" t="str">
        <f ca="1">IF($D248&lt;&gt;"Serviço","",IF(AUTOEVENTO="Manual",IF($A248=0,"&lt;-- defina o número do agrupador",OFFSET(EVENTOS!$D$14,$A248,0)),OFFSET($F$15,$A248,0)))</f>
        <v>INSTALAÇÃO HIDRÁULICA - TUBULAÇÕES E CONEXÕES DE PVC RÍGIDO</v>
      </c>
      <c r="O248" s="178"/>
      <c r="Q248" s="178">
        <v>414.1</v>
      </c>
      <c r="R248" s="179"/>
      <c r="S248" s="179"/>
      <c r="T248" s="179"/>
      <c r="U248" s="179"/>
      <c r="V248" s="179"/>
      <c r="W248" s="179"/>
      <c r="X248" s="179"/>
      <c r="Y248" s="179"/>
      <c r="Z248" s="180"/>
      <c r="AA248" s="179"/>
      <c r="AB248" s="179"/>
      <c r="AC248" s="179"/>
      <c r="AD248" s="179"/>
      <c r="AE248" s="179"/>
      <c r="AF248" s="179"/>
      <c r="AG248" s="179"/>
      <c r="AH248" s="180"/>
      <c r="AJ248" s="544">
        <f ca="1">IF(AND($D248="Serviço",AJ$12&lt;&gt;0,$H248&gt;0,OR(AUTOEVENTO&lt;&gt;"manual",$M248&lt;&gt;1)),
IF(Import.TipoArredondamento&lt;&gt;"TransfereGOV",
ROUND(OFFSET($P248,0,AJ$13),15-13*ORÇAMENTO!$AF$7)/$H248*OFFSET(ORÇAMENTO!$X$15,ROW(AJ248)-ROW(AJ$15),0),
ROUND(ROUND(OFFSET($P248,0,AJ$13),15-13*ORÇAMENTO!$AF$7)*OFFSET(ORÇAMENTO!$W$15,ROW(AJ248)-ROW(AJ$15),0),15-13*ORÇAMENTO!$AF$11)),0)</f>
        <v>0</v>
      </c>
      <c r="AK248" s="545">
        <f ca="1">IF(AND($D248="Serviço",AK$12&lt;&gt;0,$H248&gt;0,OR(AUTOEVENTO&lt;&gt;"manual",$M248&lt;&gt;1)),
IF(Import.TipoArredondamento&lt;&gt;"TransfereGOV",
ROUND(OFFSET($P248,0,AK$13),15-13*ORÇAMENTO!$AF$7)/$H248*OFFSET(ORÇAMENTO!$X$15,ROW(AK248)-ROW(AK$15),0),
ROUND(ROUND(OFFSET($P248,0,AK$13),15-13*ORÇAMENTO!$AF$7)*OFFSET(ORÇAMENTO!$W$15,ROW(AK248)-ROW(AK$15),0),15-13*ORÇAMENTO!$AF$11)),0)</f>
        <v>0</v>
      </c>
      <c r="AL248" s="545">
        <f ca="1">IF(AND($D248="Serviço",AL$12&lt;&gt;0,$H248&gt;0,OR(AUTOEVENTO&lt;&gt;"manual",$M248&lt;&gt;1)),
IF(Import.TipoArredondamento&lt;&gt;"TransfereGOV",
ROUND(OFFSET($P248,0,AL$13),15-13*ORÇAMENTO!$AF$7)/$H248*OFFSET(ORÇAMENTO!$X$15,ROW(AL248)-ROW(AL$15),0),
ROUND(ROUND(OFFSET($P248,0,AL$13),15-13*ORÇAMENTO!$AF$7)*OFFSET(ORÇAMENTO!$W$15,ROW(AL248)-ROW(AL$15),0),15-13*ORÇAMENTO!$AF$11)),0)</f>
        <v>0</v>
      </c>
      <c r="AM248" s="545">
        <f ca="1">IF(AND($D248="Serviço",AM$12&lt;&gt;0,$H248&gt;0,OR(AUTOEVENTO&lt;&gt;"manual",$M248&lt;&gt;1)),
IF(Import.TipoArredondamento&lt;&gt;"TransfereGOV",
ROUND(OFFSET($P248,0,AM$13),15-13*ORÇAMENTO!$AF$7)/$H248*OFFSET(ORÇAMENTO!$X$15,ROW(AM248)-ROW(AM$15),0),
ROUND(ROUND(OFFSET($P248,0,AM$13),15-13*ORÇAMENTO!$AF$7)*OFFSET(ORÇAMENTO!$W$15,ROW(AM248)-ROW(AM$15),0),15-13*ORÇAMENTO!$AF$11)),0)</f>
        <v>0</v>
      </c>
      <c r="AN248" s="545">
        <f ca="1">IF(AND($D248="Serviço",AN$12&lt;&gt;0,$H248&gt;0,OR(AUTOEVENTO&lt;&gt;"manual",$M248&lt;&gt;1)),
IF(Import.TipoArredondamento&lt;&gt;"TransfereGOV",
ROUND(OFFSET($P248,0,AN$13),15-13*ORÇAMENTO!$AF$7)/$H248*OFFSET(ORÇAMENTO!$X$15,ROW(AN248)-ROW(AN$15),0),
ROUND(ROUND(OFFSET($P248,0,AN$13),15-13*ORÇAMENTO!$AF$7)*OFFSET(ORÇAMENTO!$W$15,ROW(AN248)-ROW(AN$15),0),15-13*ORÇAMENTO!$AF$11)),0)</f>
        <v>0</v>
      </c>
      <c r="AO248" s="545">
        <f ca="1">IF(AND($D248="Serviço",AO$12&lt;&gt;0,$H248&gt;0,OR(AUTOEVENTO&lt;&gt;"manual",$M248&lt;&gt;1)),
IF(Import.TipoArredondamento&lt;&gt;"TransfereGOV",
ROUND(OFFSET($P248,0,AO$13),15-13*ORÇAMENTO!$AF$7)/$H248*OFFSET(ORÇAMENTO!$X$15,ROW(AO248)-ROW(AO$15),0),
ROUND(ROUND(OFFSET($P248,0,AO$13),15-13*ORÇAMENTO!$AF$7)*OFFSET(ORÇAMENTO!$W$15,ROW(AO248)-ROW(AO$15),0),15-13*ORÇAMENTO!$AF$11)),0)</f>
        <v>0</v>
      </c>
      <c r="AP248" s="545">
        <f ca="1">IF(AND($D248="Serviço",AP$12&lt;&gt;0,$H248&gt;0,OR(AUTOEVENTO&lt;&gt;"manual",$M248&lt;&gt;1)),
IF(Import.TipoArredondamento&lt;&gt;"TransfereGOV",
ROUND(OFFSET($P248,0,AP$13),15-13*ORÇAMENTO!$AF$7)/$H248*OFFSET(ORÇAMENTO!$X$15,ROW(AP248)-ROW(AP$15),0),
ROUND(ROUND(OFFSET($P248,0,AP$13),15-13*ORÇAMENTO!$AF$7)*OFFSET(ORÇAMENTO!$W$15,ROW(AP248)-ROW(AP$15),0),15-13*ORÇAMENTO!$AF$11)),0)</f>
        <v>0</v>
      </c>
      <c r="AQ248" s="545">
        <f ca="1">IF(AND($D248="Serviço",AQ$12&lt;&gt;0,$H248&gt;0,OR(AUTOEVENTO&lt;&gt;"manual",$M248&lt;&gt;1)),
IF(Import.TipoArredondamento&lt;&gt;"TransfereGOV",
ROUND(OFFSET($P248,0,AQ$13),15-13*ORÇAMENTO!$AF$7)/$H248*OFFSET(ORÇAMENTO!$X$15,ROW(AQ248)-ROW(AQ$15),0),
ROUND(ROUND(OFFSET($P248,0,AQ$13),15-13*ORÇAMENTO!$AF$7)*OFFSET(ORÇAMENTO!$W$15,ROW(AQ248)-ROW(AQ$15),0),15-13*ORÇAMENTO!$AF$11)),0)</f>
        <v>0</v>
      </c>
      <c r="AR248" s="545">
        <f ca="1">IF(AND($D248="Serviço",AR$12&lt;&gt;0,$H248&gt;0,OR(AUTOEVENTO&lt;&gt;"manual",$M248&lt;&gt;1)),
IF(Import.TipoArredondamento&lt;&gt;"TransfereGOV",
ROUND(OFFSET($P248,0,AR$13),15-13*ORÇAMENTO!$AF$7)/$H248*OFFSET(ORÇAMENTO!$X$15,ROW(AR248)-ROW(AR$15),0),
ROUND(ROUND(OFFSET($P248,0,AR$13),15-13*ORÇAMENTO!$AF$7)*OFFSET(ORÇAMENTO!$W$15,ROW(AR248)-ROW(AR$15),0),15-13*ORÇAMENTO!$AF$11)),0)</f>
        <v>0</v>
      </c>
      <c r="AS248" s="546">
        <f ca="1">IF(AND($D248="Serviço",AS$12&lt;&gt;0,$H248&gt;0,OR(AUTOEVENTO&lt;&gt;"manual",$M248&lt;&gt;1)),
IF(Import.TipoArredondamento&lt;&gt;"TransfereGOV",
ROUND(OFFSET($P248,0,AS$13),15-13*ORÇAMENTO!$AF$7)/$H248*OFFSET(ORÇAMENTO!$X$15,ROW(AS248)-ROW(AS$15),0),
ROUND(ROUND(OFFSET($P248,0,AS$13),15-13*ORÇAMENTO!$AF$7)*OFFSET(ORÇAMENTO!$W$15,ROW(AS248)-ROW(AS$15),0),15-13*ORÇAMENTO!$AF$11)),0)</f>
        <v>0</v>
      </c>
      <c r="AT248" s="545">
        <f ca="1">IF(AND($D248="Serviço",AT$12&lt;&gt;0,$H248&gt;0,OR(AUTOEVENTO&lt;&gt;"manual",$M248&lt;&gt;1)),
IF(Import.TipoArredondamento&lt;&gt;"TransfereGOV",
ROUND(OFFSET($P248,0,AT$13),15-13*ORÇAMENTO!$AF$7)/$H248*OFFSET(ORÇAMENTO!$X$15,ROW(AT248)-ROW(AT$15),0),
ROUND(ROUND(OFFSET($P248,0,AT$13),15-13*ORÇAMENTO!$AF$7)*OFFSET(ORÇAMENTO!$W$15,ROW(AT248)-ROW(AT$15),0),15-13*ORÇAMENTO!$AF$11)),0)</f>
        <v>0</v>
      </c>
      <c r="AU248" s="545">
        <f ca="1">IF(AND($D248="Serviço",AU$12&lt;&gt;0,$H248&gt;0,OR(AUTOEVENTO&lt;&gt;"manual",$M248&lt;&gt;1)),
IF(Import.TipoArredondamento&lt;&gt;"TransfereGOV",
ROUND(OFFSET($P248,0,AU$13),15-13*ORÇAMENTO!$AF$7)/$H248*OFFSET(ORÇAMENTO!$X$15,ROW(AU248)-ROW(AU$15),0),
ROUND(ROUND(OFFSET($P248,0,AU$13),15-13*ORÇAMENTO!$AF$7)*OFFSET(ORÇAMENTO!$W$15,ROW(AU248)-ROW(AU$15),0),15-13*ORÇAMENTO!$AF$11)),0)</f>
        <v>0</v>
      </c>
      <c r="AV248" s="545">
        <f ca="1">IF(AND($D248="Serviço",AV$12&lt;&gt;0,$H248&gt;0,OR(AUTOEVENTO&lt;&gt;"manual",$M248&lt;&gt;1)),
IF(Import.TipoArredondamento&lt;&gt;"TransfereGOV",
ROUND(OFFSET($P248,0,AV$13),15-13*ORÇAMENTO!$AF$7)/$H248*OFFSET(ORÇAMENTO!$X$15,ROW(AV248)-ROW(AV$15),0),
ROUND(ROUND(OFFSET($P248,0,AV$13),15-13*ORÇAMENTO!$AF$7)*OFFSET(ORÇAMENTO!$W$15,ROW(AV248)-ROW(AV$15),0),15-13*ORÇAMENTO!$AF$11)),0)</f>
        <v>0</v>
      </c>
      <c r="AW248" s="545">
        <f ca="1">IF(AND($D248="Serviço",AW$12&lt;&gt;0,$H248&gt;0,OR(AUTOEVENTO&lt;&gt;"manual",$M248&lt;&gt;1)),
IF(Import.TipoArredondamento&lt;&gt;"TransfereGOV",
ROUND(OFFSET($P248,0,AW$13),15-13*ORÇAMENTO!$AF$7)/$H248*OFFSET(ORÇAMENTO!$X$15,ROW(AW248)-ROW(AW$15),0),
ROUND(ROUND(OFFSET($P248,0,AW$13),15-13*ORÇAMENTO!$AF$7)*OFFSET(ORÇAMENTO!$W$15,ROW(AW248)-ROW(AW$15),0),15-13*ORÇAMENTO!$AF$11)),0)</f>
        <v>0</v>
      </c>
      <c r="AX248" s="545">
        <f ca="1">IF(AND($D248="Serviço",AX$12&lt;&gt;0,$H248&gt;0,OR(AUTOEVENTO&lt;&gt;"manual",$M248&lt;&gt;1)),
IF(Import.TipoArredondamento&lt;&gt;"TransfereGOV",
ROUND(OFFSET($P248,0,AX$13),15-13*ORÇAMENTO!$AF$7)/$H248*OFFSET(ORÇAMENTO!$X$15,ROW(AX248)-ROW(AX$15),0),
ROUND(ROUND(OFFSET($P248,0,AX$13),15-13*ORÇAMENTO!$AF$7)*OFFSET(ORÇAMENTO!$W$15,ROW(AX248)-ROW(AX$15),0),15-13*ORÇAMENTO!$AF$11)),0)</f>
        <v>0</v>
      </c>
      <c r="AY248" s="545">
        <f ca="1">IF(AND($D248="Serviço",AY$12&lt;&gt;0,$H248&gt;0,OR(AUTOEVENTO&lt;&gt;"manual",$M248&lt;&gt;1)),
IF(Import.TipoArredondamento&lt;&gt;"TransfereGOV",
ROUND(OFFSET($P248,0,AY$13),15-13*ORÇAMENTO!$AF$7)/$H248*OFFSET(ORÇAMENTO!$X$15,ROW(AY248)-ROW(AY$15),0),
ROUND(ROUND(OFFSET($P248,0,AY$13),15-13*ORÇAMENTO!$AF$7)*OFFSET(ORÇAMENTO!$W$15,ROW(AY248)-ROW(AY$15),0),15-13*ORÇAMENTO!$AF$11)),0)</f>
        <v>0</v>
      </c>
      <c r="AZ248" s="545">
        <f ca="1">IF(AND($D248="Serviço",AZ$12&lt;&gt;0,$H248&gt;0,OR(AUTOEVENTO&lt;&gt;"manual",$M248&lt;&gt;1)),
IF(Import.TipoArredondamento&lt;&gt;"TransfereGOV",
ROUND(OFFSET($P248,0,AZ$13),15-13*ORÇAMENTO!$AF$7)/$H248*OFFSET(ORÇAMENTO!$X$15,ROW(AZ248)-ROW(AZ$15),0),
ROUND(ROUND(OFFSET($P248,0,AZ$13),15-13*ORÇAMENTO!$AF$7)*OFFSET(ORÇAMENTO!$W$15,ROW(AZ248)-ROW(AZ$15),0),15-13*ORÇAMENTO!$AF$11)),0)</f>
        <v>0</v>
      </c>
      <c r="BA248" s="546">
        <f ca="1">IF(AND($D248="Serviço",BA$12&lt;&gt;0,$H248&gt;0,OR(AUTOEVENTO&lt;&gt;"manual",$M248&lt;&gt;1)),
IF(Import.TipoArredondamento&lt;&gt;"TransfereGOV",
ROUND(OFFSET($P248,0,BA$13),15-13*ORÇAMENTO!$AF$7)/$H248*OFFSET(ORÇAMENTO!$X$15,ROW(BA248)-ROW(BA$15),0),
ROUND(ROUND(OFFSET($P248,0,BA$13),15-13*ORÇAMENTO!$AF$7)*OFFSET(ORÇAMENTO!$W$15,ROW(BA248)-ROW(BA$15),0),15-13*ORÇAMENTO!$AF$11)),0)</f>
        <v>0</v>
      </c>
      <c r="BC248" s="181">
        <f ca="1">IF($D248&lt;&gt;"Serviço",0,IF(AND(AUTOEVENTO="Manual",$M248=1),0,IF(OFFSET(CRONOPLE!$F$14,$M248,BC$13)="",10^12,OFFSET(CRONOPLE!$F$14,$M248,BC$13))))</f>
        <v>9</v>
      </c>
      <c r="BD248" s="181">
        <f ca="1">IF($D248&lt;&gt;"Serviço",0,IF(AND(AUTOEVENTO="Manual",$M248=1),0,IF(OFFSET(CRONOPLE!$F$14,$M248,BD$13)="",10^12,OFFSET(CRONOPLE!$F$14,$M248,BD$13))))</f>
        <v>1000000000000</v>
      </c>
      <c r="BE248" s="181">
        <f ca="1">IF($D248&lt;&gt;"Serviço",0,IF(AND(AUTOEVENTO="Manual",$M248=1),0,IF(OFFSET(CRONOPLE!$F$14,$M248,BE$13)="",10^12,OFFSET(CRONOPLE!$F$14,$M248,BE$13))))</f>
        <v>1000000000000</v>
      </c>
      <c r="BF248" s="181">
        <f ca="1">IF($D248&lt;&gt;"Serviço",0,IF(AND(AUTOEVENTO="Manual",$M248=1),0,IF(OFFSET(CRONOPLE!$F$14,$M248,BF$13)="",10^12,OFFSET(CRONOPLE!$F$14,$M248,BF$13))))</f>
        <v>1000000000000</v>
      </c>
      <c r="BG248" s="181">
        <f ca="1">IF($D248&lt;&gt;"Serviço",0,IF(AND(AUTOEVENTO="Manual",$M248=1),0,IF(OFFSET(CRONOPLE!$F$14,$M248,BG$13)="",10^12,OFFSET(CRONOPLE!$F$14,$M248,BG$13))))</f>
        <v>1000000000000</v>
      </c>
      <c r="BH248" s="181">
        <f ca="1">IF($D248&lt;&gt;"Serviço",0,IF(AND(AUTOEVENTO="Manual",$M248=1),0,IF(OFFSET(CRONOPLE!$F$14,$M248,BH$13)="",10^12,OFFSET(CRONOPLE!$F$14,$M248,BH$13))))</f>
        <v>1000000000000</v>
      </c>
      <c r="BI248" s="181">
        <f ca="1">IF($D248&lt;&gt;"Serviço",0,IF(AND(AUTOEVENTO="Manual",$M248=1),0,IF(OFFSET(CRONOPLE!$F$14,$M248,BI$13)="",10^12,OFFSET(CRONOPLE!$F$14,$M248,BI$13))))</f>
        <v>1000000000000</v>
      </c>
      <c r="BJ248" s="181">
        <f ca="1">IF($D248&lt;&gt;"Serviço",0,IF(AND(AUTOEVENTO="Manual",$M248=1),0,IF(OFFSET(CRONOPLE!$F$14,$M248,BJ$13)="",10^12,OFFSET(CRONOPLE!$F$14,$M248,BJ$13))))</f>
        <v>1000000000000</v>
      </c>
      <c r="BK248" s="181">
        <f ca="1">IF($D248&lt;&gt;"Serviço",0,IF(AND(AUTOEVENTO="Manual",$M248=1),0,IF(OFFSET(CRONOPLE!$F$14,$M248,BK$13)="",10^12,OFFSET(CRONOPLE!$F$14,$M248,BK$13))))</f>
        <v>1000000000000</v>
      </c>
      <c r="BL248" s="181">
        <f ca="1">IF($D248&lt;&gt;"Serviço",0,IF(AND(AUTOEVENTO="Manual",$M248=1),0,IF(OFFSET(CRONOPLE!$F$14,$M248,BL$13)="",10^12,OFFSET(CRONOPLE!$F$14,$M248,BL$13))))</f>
        <v>1000000000000</v>
      </c>
      <c r="BM248" s="181">
        <f ca="1">IF($D248&lt;&gt;"Serviço",0,IF(AND(AUTOEVENTO="Manual",$M248=1),0,IF(OFFSET(CRONOPLE!$F$14,$M248,BM$13)="",10^12,OFFSET(CRONOPLE!$F$14,$M248,BM$13))))</f>
        <v>1000000000000</v>
      </c>
      <c r="BN248" s="181">
        <f ca="1">IF($D248&lt;&gt;"Serviço",0,IF(AND(AUTOEVENTO="Manual",$M248=1),0,IF(OFFSET(CRONOPLE!$F$14,$M248,BN$13)="",10^12,OFFSET(CRONOPLE!$F$14,$M248,BN$13))))</f>
        <v>1000000000000</v>
      </c>
      <c r="BO248" s="181">
        <f ca="1">IF($D248&lt;&gt;"Serviço",0,IF(AND(AUTOEVENTO="Manual",$M248=1),0,IF(OFFSET(CRONOPLE!$F$14,$M248,BO$13)="",10^12,OFFSET(CRONOPLE!$F$14,$M248,BO$13))))</f>
        <v>1000000000000</v>
      </c>
      <c r="BP248" s="181">
        <f ca="1">IF($D248&lt;&gt;"Serviço",0,IF(AND(AUTOEVENTO="Manual",$M248=1),0,IF(OFFSET(CRONOPLE!$F$14,$M248,BP$13)="",10^12,OFFSET(CRONOPLE!$F$14,$M248,BP$13))))</f>
        <v>1000000000000</v>
      </c>
      <c r="BQ248" s="181">
        <f ca="1">IF($D248&lt;&gt;"Serviço",0,IF(AND(AUTOEVENTO="Manual",$M248=1),0,IF(OFFSET(CRONOPLE!$F$14,$M248,BQ$13)="",10^12,OFFSET(CRONOPLE!$F$14,$M248,BQ$13))))</f>
        <v>1000000000000</v>
      </c>
      <c r="BR248" s="181">
        <f ca="1">IF($D248&lt;&gt;"Serviço",0,IF(AND(AUTOEVENTO="Manual",$M248=1),0,IF(OFFSET(CRONOPLE!$F$14,$M248,BR$13)="",10^12,OFFSET(CRONOPLE!$F$14,$M248,BR$13))))</f>
        <v>1000000000000</v>
      </c>
      <c r="BS248" s="181">
        <f ca="1">IF($D248&lt;&gt;"Serviço",0,IF(AND(AUTOEVENTO="Manual",$M248=1),0,IF(OFFSET(CRONOPLE!$F$14,$M248,BS$13)="",10^12,OFFSET(CRONOPLE!$F$14,$M248,BS$13))))</f>
        <v>1000000000000</v>
      </c>
      <c r="BT248" s="181">
        <f ca="1">IF($D248&lt;&gt;"Serviço",0,IF(AND(AUTOEVENTO="Manual",$M248=1),0,IF(OFFSET(CRONOPLE!$F$14,$M248,BT$13)="",10^12,OFFSET(CRONOPLE!$F$14,$M248,BT$13))))</f>
        <v>1000000000000</v>
      </c>
      <c r="BV248" s="182">
        <f ca="1">IF($D248&lt;&gt;"Serviço",0,IF(OR(AND(AUTOEVENTO="Manual",$M248=1),$M248&gt;(ROW(PLE.lastrow)-ROW(PLE.firstrow))),0,IF(OFFSET(PLE!$G$14,$M248,BV$13)="",10^12,OFFSET(PLE!$G$14,$M248,BV$13))))</f>
        <v>1000000000000</v>
      </c>
      <c r="BW248" s="182">
        <f ca="1">IF($D248&lt;&gt;"Serviço",0,IF(OR(AND(AUTOEVENTO="Manual",$M248=1),$M248&gt;(ROW(PLE.lastrow)-ROW(PLE.firstrow))),0,IF(OFFSET(PLE!$G$14,$M248,BW$13)="",10^12,OFFSET(PLE!$G$14,$M248,BW$13))))</f>
        <v>1000000000000</v>
      </c>
      <c r="BX248" s="182">
        <f ca="1">IF($D248&lt;&gt;"Serviço",0,IF(OR(AND(AUTOEVENTO="Manual",$M248=1),$M248&gt;(ROW(PLE.lastrow)-ROW(PLE.firstrow))),0,IF(OFFSET(PLE!$G$14,$M248,BX$13)="",10^12,OFFSET(PLE!$G$14,$M248,BX$13))))</f>
        <v>1000000000000</v>
      </c>
      <c r="BY248" s="182">
        <f ca="1">IF($D248&lt;&gt;"Serviço",0,IF(OR(AND(AUTOEVENTO="Manual",$M248=1),$M248&gt;(ROW(PLE.lastrow)-ROW(PLE.firstrow))),0,IF(OFFSET(PLE!$G$14,$M248,BY$13)="",10^12,OFFSET(PLE!$G$14,$M248,BY$13))))</f>
        <v>1000000000000</v>
      </c>
      <c r="BZ248" s="182">
        <f ca="1">IF($D248&lt;&gt;"Serviço",0,IF(OR(AND(AUTOEVENTO="Manual",$M248=1),$M248&gt;(ROW(PLE.lastrow)-ROW(PLE.firstrow))),0,IF(OFFSET(PLE!$G$14,$M248,BZ$13)="",10^12,OFFSET(PLE!$G$14,$M248,BZ$13))))</f>
        <v>1000000000000</v>
      </c>
      <c r="CA248" s="182">
        <f ca="1">IF($D248&lt;&gt;"Serviço",0,IF(OR(AND(AUTOEVENTO="Manual",$M248=1),$M248&gt;(ROW(PLE.lastrow)-ROW(PLE.firstrow))),0,IF(OFFSET(PLE!$G$14,$M248,CA$13)="",10^12,OFFSET(PLE!$G$14,$M248,CA$13))))</f>
        <v>1000000000000</v>
      </c>
      <c r="CB248" s="182">
        <f ca="1">IF($D248&lt;&gt;"Serviço",0,IF(OR(AND(AUTOEVENTO="Manual",$M248=1),$M248&gt;(ROW(PLE.lastrow)-ROW(PLE.firstrow))),0,IF(OFFSET(PLE!$G$14,$M248,CB$13)="",10^12,OFFSET(PLE!$G$14,$M248,CB$13))))</f>
        <v>1000000000000</v>
      </c>
      <c r="CC248" s="182">
        <f ca="1">IF($D248&lt;&gt;"Serviço",0,IF(OR(AND(AUTOEVENTO="Manual",$M248=1),$M248&gt;(ROW(PLE.lastrow)-ROW(PLE.firstrow))),0,IF(OFFSET(PLE!$G$14,$M248,CC$13)="",10^12,OFFSET(PLE!$G$14,$M248,CC$13))))</f>
        <v>1000000000000</v>
      </c>
      <c r="CD248" s="182">
        <f ca="1">IF($D248&lt;&gt;"Serviço",0,IF(OR(AND(AUTOEVENTO="Manual",$M248=1),$M248&gt;(ROW(PLE.lastrow)-ROW(PLE.firstrow))),0,IF(OFFSET(PLE!$G$14,$M248,CD$13)="",10^12,OFFSET(PLE!$G$14,$M248,CD$13))))</f>
        <v>1000000000000</v>
      </c>
      <c r="CE248" s="182">
        <f ca="1">IF($D248&lt;&gt;"Serviço",0,IF(OR(AND(AUTOEVENTO="Manual",$M248=1),$M248&gt;(ROW(PLE.lastrow)-ROW(PLE.firstrow))),0,IF(OFFSET(PLE!$G$14,$M248,CE$13)="",10^12,OFFSET(PLE!$G$14,$M248,CE$13))))</f>
        <v>1000000000000</v>
      </c>
      <c r="CF248" s="182">
        <f ca="1">IF($D248&lt;&gt;"Serviço",0,IF(OR(AND(AUTOEVENTO="Manual",$M248=1),$M248&gt;(ROW(PLE.lastrow)-ROW(PLE.firstrow))),0,IF(OFFSET(PLE!$G$14,$M248,CF$13)="",10^12,OFFSET(PLE!$G$14,$M248,CF$13))))</f>
        <v>1000000000000</v>
      </c>
      <c r="CG248" s="182">
        <f ca="1">IF($D248&lt;&gt;"Serviço",0,IF(OR(AND(AUTOEVENTO="Manual",$M248=1),$M248&gt;(ROW(PLE.lastrow)-ROW(PLE.firstrow))),0,IF(OFFSET(PLE!$G$14,$M248,CG$13)="",10^12,OFFSET(PLE!$G$14,$M248,CG$13))))</f>
        <v>1000000000000</v>
      </c>
      <c r="CH248" s="182">
        <f ca="1">IF($D248&lt;&gt;"Serviço",0,IF(OR(AND(AUTOEVENTO="Manual",$M248=1),$M248&gt;(ROW(PLE.lastrow)-ROW(PLE.firstrow))),0,IF(OFFSET(PLE!$G$14,$M248,CH$13)="",10^12,OFFSET(PLE!$G$14,$M248,CH$13))))</f>
        <v>1000000000000</v>
      </c>
      <c r="CI248" s="182">
        <f ca="1">IF($D248&lt;&gt;"Serviço",0,IF(OR(AND(AUTOEVENTO="Manual",$M248=1),$M248&gt;(ROW(PLE.lastrow)-ROW(PLE.firstrow))),0,IF(OFFSET(PLE!$G$14,$M248,CI$13)="",10^12,OFFSET(PLE!$G$14,$M248,CI$13))))</f>
        <v>1000000000000</v>
      </c>
      <c r="CJ248" s="182">
        <f ca="1">IF($D248&lt;&gt;"Serviço",0,IF(OR(AND(AUTOEVENTO="Manual",$M248=1),$M248&gt;(ROW(PLE.lastrow)-ROW(PLE.firstrow))),0,IF(OFFSET(PLE!$G$14,$M248,CJ$13)="",10^12,OFFSET(PLE!$G$14,$M248,CJ$13))))</f>
        <v>1000000000000</v>
      </c>
      <c r="CK248" s="182">
        <f ca="1">IF($D248&lt;&gt;"Serviço",0,IF(OR(AND(AUTOEVENTO="Manual",$M248=1),$M248&gt;(ROW(PLE.lastrow)-ROW(PLE.firstrow))),0,IF(OFFSET(PLE!$G$14,$M248,CK$13)="",10^12,OFFSET(PLE!$G$14,$M248,CK$13))))</f>
        <v>1000000000000</v>
      </c>
      <c r="CL248" s="182">
        <f ca="1">IF($D248&lt;&gt;"Serviço",0,IF(OR(AND(AUTOEVENTO="Manual",$M248=1),$M248&gt;(ROW(PLE.lastrow)-ROW(PLE.firstrow))),0,IF(OFFSET(PLE!$G$14,$M248,CL$13)="",10^12,OFFSET(PLE!$G$14,$M248,CL$13))))</f>
        <v>1000000000000</v>
      </c>
      <c r="CM248" s="182">
        <f ca="1">IF($D248&lt;&gt;"Serviço",0,IF(OR(AND(AUTOEVENTO="Manual",$M248=1),$M248&gt;(ROW(PLE.lastrow)-ROW(PLE.firstrow))),0,IF(OFFSET(PLE!$G$14,$M248,CM$13)="",10^12,OFFSET(PLE!$G$14,$M248,CM$13))))</f>
        <v>1000000000000</v>
      </c>
    </row>
    <row r="249" spans="1:91" ht="38.25" x14ac:dyDescent="0.2">
      <c r="A249" s="7" t="str">
        <f t="shared" ca="1" si="12"/>
        <v>232</v>
      </c>
      <c r="B249" s="7" t="str">
        <f ca="1">OFFSET(ORÇAMENTO!C$15,ROW(B249)-ROW(B$15),0)</f>
        <v>S</v>
      </c>
      <c r="C249" s="7" t="str">
        <f ca="1">OFFSET(ORÇAMENTO!L$15,ROW(C249)-ROW(C$15),0)</f>
        <v/>
      </c>
      <c r="D249" s="118" t="str">
        <f ca="1">OFFSET(ORÇAMENTO!N$15,ROW(D249)-ROW(D$15),0)</f>
        <v>Serviço</v>
      </c>
      <c r="E249" s="119" t="str">
        <f ca="1">OFFSET(ORÇAMENTO!O$15,ROW(E249)-ROW(E$15),0)</f>
        <v>-</v>
      </c>
      <c r="F249" s="172" t="str">
        <f ca="1">OFFSET(ORÇAMENTO!R$15,ROW(F249)-ROW(F$15),0)</f>
        <v>(abra o arquivo 'Referência 06-2024.xlsm)</v>
      </c>
      <c r="G249" s="173" t="str">
        <f ca="1">IF($D249&lt;&gt;"Serviço","",OFFSET(ORÇAMENTO!S$15,ROW(G249)-ROW(G$15),0))</f>
        <v>-</v>
      </c>
      <c r="H249" s="124">
        <f ca="1">IF($D249&lt;&gt;"Serviço",0,IF(ACOMPANHAMENTO="BM",ROUND(OFFSET(ORÇAMENTO!AJ$15,ROW(H249)-ROW(H$15),0),15-13*ORÇAMENTO!$AF$7),SUMPRODUCT(($Q$12:$AI$12&lt;&gt;"")*ROUND($Q249:$AI249,15-13*ORÇAMENTO!$AF$7))))</f>
        <v>15.5</v>
      </c>
      <c r="I249" s="561" t="s">
        <v>1107</v>
      </c>
      <c r="K249" s="174"/>
      <c r="L249" s="175" t="s">
        <v>255</v>
      </c>
      <c r="M249" s="176">
        <f ca="1">IF($D249&lt;&gt;"Serviço","",IF(AUTOEVENTO="manual",$A249,IF(ISERROR(MATCH($A249,$A$15:OFFSET($A249,-1,0),0)),MAX($M$15:OFFSET(M249,-1,0))+1,INDEX($M$15:OFFSET(M249,-1,0),MATCH($A249,$A$15:OFFSET($A249,-1,0),0)))))</f>
        <v>35</v>
      </c>
      <c r="N249" s="177" t="str">
        <f ca="1">IF($D249&lt;&gt;"Serviço","",IF(AUTOEVENTO="Manual",IF($A249=0,"&lt;-- defina o número do agrupador",OFFSET(EVENTOS!$D$14,$A249,0)),OFFSET($F$15,$A249,0)))</f>
        <v>INSTALAÇÃO HIDRÁULICA - TUBULAÇÕES E CONEXÕES DE PVC RÍGIDO</v>
      </c>
      <c r="O249" s="178"/>
      <c r="Q249" s="178">
        <v>15.5</v>
      </c>
      <c r="R249" s="179"/>
      <c r="S249" s="179"/>
      <c r="T249" s="179"/>
      <c r="U249" s="179"/>
      <c r="V249" s="179"/>
      <c r="W249" s="179"/>
      <c r="X249" s="179"/>
      <c r="Y249" s="179"/>
      <c r="Z249" s="180"/>
      <c r="AA249" s="179"/>
      <c r="AB249" s="179"/>
      <c r="AC249" s="179"/>
      <c r="AD249" s="179"/>
      <c r="AE249" s="179"/>
      <c r="AF249" s="179"/>
      <c r="AG249" s="179"/>
      <c r="AH249" s="180"/>
      <c r="AJ249" s="544">
        <f ca="1">IF(AND($D249="Serviço",AJ$12&lt;&gt;0,$H249&gt;0,OR(AUTOEVENTO&lt;&gt;"manual",$M249&lt;&gt;1)),
IF(Import.TipoArredondamento&lt;&gt;"TransfereGOV",
ROUND(OFFSET($P249,0,AJ$13),15-13*ORÇAMENTO!$AF$7)/$H249*OFFSET(ORÇAMENTO!$X$15,ROW(AJ249)-ROW(AJ$15),0),
ROUND(ROUND(OFFSET($P249,0,AJ$13),15-13*ORÇAMENTO!$AF$7)*OFFSET(ORÇAMENTO!$W$15,ROW(AJ249)-ROW(AJ$15),0),15-13*ORÇAMENTO!$AF$11)),0)</f>
        <v>0</v>
      </c>
      <c r="AK249" s="545">
        <f ca="1">IF(AND($D249="Serviço",AK$12&lt;&gt;0,$H249&gt;0,OR(AUTOEVENTO&lt;&gt;"manual",$M249&lt;&gt;1)),
IF(Import.TipoArredondamento&lt;&gt;"TransfereGOV",
ROUND(OFFSET($P249,0,AK$13),15-13*ORÇAMENTO!$AF$7)/$H249*OFFSET(ORÇAMENTO!$X$15,ROW(AK249)-ROW(AK$15),0),
ROUND(ROUND(OFFSET($P249,0,AK$13),15-13*ORÇAMENTO!$AF$7)*OFFSET(ORÇAMENTO!$W$15,ROW(AK249)-ROW(AK$15),0),15-13*ORÇAMENTO!$AF$11)),0)</f>
        <v>0</v>
      </c>
      <c r="AL249" s="545">
        <f ca="1">IF(AND($D249="Serviço",AL$12&lt;&gt;0,$H249&gt;0,OR(AUTOEVENTO&lt;&gt;"manual",$M249&lt;&gt;1)),
IF(Import.TipoArredondamento&lt;&gt;"TransfereGOV",
ROUND(OFFSET($P249,0,AL$13),15-13*ORÇAMENTO!$AF$7)/$H249*OFFSET(ORÇAMENTO!$X$15,ROW(AL249)-ROW(AL$15),0),
ROUND(ROUND(OFFSET($P249,0,AL$13),15-13*ORÇAMENTO!$AF$7)*OFFSET(ORÇAMENTO!$W$15,ROW(AL249)-ROW(AL$15),0),15-13*ORÇAMENTO!$AF$11)),0)</f>
        <v>0</v>
      </c>
      <c r="AM249" s="545">
        <f ca="1">IF(AND($D249="Serviço",AM$12&lt;&gt;0,$H249&gt;0,OR(AUTOEVENTO&lt;&gt;"manual",$M249&lt;&gt;1)),
IF(Import.TipoArredondamento&lt;&gt;"TransfereGOV",
ROUND(OFFSET($P249,0,AM$13),15-13*ORÇAMENTO!$AF$7)/$H249*OFFSET(ORÇAMENTO!$X$15,ROW(AM249)-ROW(AM$15),0),
ROUND(ROUND(OFFSET($P249,0,AM$13),15-13*ORÇAMENTO!$AF$7)*OFFSET(ORÇAMENTO!$W$15,ROW(AM249)-ROW(AM$15),0),15-13*ORÇAMENTO!$AF$11)),0)</f>
        <v>0</v>
      </c>
      <c r="AN249" s="545">
        <f ca="1">IF(AND($D249="Serviço",AN$12&lt;&gt;0,$H249&gt;0,OR(AUTOEVENTO&lt;&gt;"manual",$M249&lt;&gt;1)),
IF(Import.TipoArredondamento&lt;&gt;"TransfereGOV",
ROUND(OFFSET($P249,0,AN$13),15-13*ORÇAMENTO!$AF$7)/$H249*OFFSET(ORÇAMENTO!$X$15,ROW(AN249)-ROW(AN$15),0),
ROUND(ROUND(OFFSET($P249,0,AN$13),15-13*ORÇAMENTO!$AF$7)*OFFSET(ORÇAMENTO!$W$15,ROW(AN249)-ROW(AN$15),0),15-13*ORÇAMENTO!$AF$11)),0)</f>
        <v>0</v>
      </c>
      <c r="AO249" s="545">
        <f ca="1">IF(AND($D249="Serviço",AO$12&lt;&gt;0,$H249&gt;0,OR(AUTOEVENTO&lt;&gt;"manual",$M249&lt;&gt;1)),
IF(Import.TipoArredondamento&lt;&gt;"TransfereGOV",
ROUND(OFFSET($P249,0,AO$13),15-13*ORÇAMENTO!$AF$7)/$H249*OFFSET(ORÇAMENTO!$X$15,ROW(AO249)-ROW(AO$15),0),
ROUND(ROUND(OFFSET($P249,0,AO$13),15-13*ORÇAMENTO!$AF$7)*OFFSET(ORÇAMENTO!$W$15,ROW(AO249)-ROW(AO$15),0),15-13*ORÇAMENTO!$AF$11)),0)</f>
        <v>0</v>
      </c>
      <c r="AP249" s="545">
        <f ca="1">IF(AND($D249="Serviço",AP$12&lt;&gt;0,$H249&gt;0,OR(AUTOEVENTO&lt;&gt;"manual",$M249&lt;&gt;1)),
IF(Import.TipoArredondamento&lt;&gt;"TransfereGOV",
ROUND(OFFSET($P249,0,AP$13),15-13*ORÇAMENTO!$AF$7)/$H249*OFFSET(ORÇAMENTO!$X$15,ROW(AP249)-ROW(AP$15),0),
ROUND(ROUND(OFFSET($P249,0,AP$13),15-13*ORÇAMENTO!$AF$7)*OFFSET(ORÇAMENTO!$W$15,ROW(AP249)-ROW(AP$15),0),15-13*ORÇAMENTO!$AF$11)),0)</f>
        <v>0</v>
      </c>
      <c r="AQ249" s="545">
        <f ca="1">IF(AND($D249="Serviço",AQ$12&lt;&gt;0,$H249&gt;0,OR(AUTOEVENTO&lt;&gt;"manual",$M249&lt;&gt;1)),
IF(Import.TipoArredondamento&lt;&gt;"TransfereGOV",
ROUND(OFFSET($P249,0,AQ$13),15-13*ORÇAMENTO!$AF$7)/$H249*OFFSET(ORÇAMENTO!$X$15,ROW(AQ249)-ROW(AQ$15),0),
ROUND(ROUND(OFFSET($P249,0,AQ$13),15-13*ORÇAMENTO!$AF$7)*OFFSET(ORÇAMENTO!$W$15,ROW(AQ249)-ROW(AQ$15),0),15-13*ORÇAMENTO!$AF$11)),0)</f>
        <v>0</v>
      </c>
      <c r="AR249" s="545">
        <f ca="1">IF(AND($D249="Serviço",AR$12&lt;&gt;0,$H249&gt;0,OR(AUTOEVENTO&lt;&gt;"manual",$M249&lt;&gt;1)),
IF(Import.TipoArredondamento&lt;&gt;"TransfereGOV",
ROUND(OFFSET($P249,0,AR$13),15-13*ORÇAMENTO!$AF$7)/$H249*OFFSET(ORÇAMENTO!$X$15,ROW(AR249)-ROW(AR$15),0),
ROUND(ROUND(OFFSET($P249,0,AR$13),15-13*ORÇAMENTO!$AF$7)*OFFSET(ORÇAMENTO!$W$15,ROW(AR249)-ROW(AR$15),0),15-13*ORÇAMENTO!$AF$11)),0)</f>
        <v>0</v>
      </c>
      <c r="AS249" s="546">
        <f ca="1">IF(AND($D249="Serviço",AS$12&lt;&gt;0,$H249&gt;0,OR(AUTOEVENTO&lt;&gt;"manual",$M249&lt;&gt;1)),
IF(Import.TipoArredondamento&lt;&gt;"TransfereGOV",
ROUND(OFFSET($P249,0,AS$13),15-13*ORÇAMENTO!$AF$7)/$H249*OFFSET(ORÇAMENTO!$X$15,ROW(AS249)-ROW(AS$15),0),
ROUND(ROUND(OFFSET($P249,0,AS$13),15-13*ORÇAMENTO!$AF$7)*OFFSET(ORÇAMENTO!$W$15,ROW(AS249)-ROW(AS$15),0),15-13*ORÇAMENTO!$AF$11)),0)</f>
        <v>0</v>
      </c>
      <c r="AT249" s="545">
        <f ca="1">IF(AND($D249="Serviço",AT$12&lt;&gt;0,$H249&gt;0,OR(AUTOEVENTO&lt;&gt;"manual",$M249&lt;&gt;1)),
IF(Import.TipoArredondamento&lt;&gt;"TransfereGOV",
ROUND(OFFSET($P249,0,AT$13),15-13*ORÇAMENTO!$AF$7)/$H249*OFFSET(ORÇAMENTO!$X$15,ROW(AT249)-ROW(AT$15),0),
ROUND(ROUND(OFFSET($P249,0,AT$13),15-13*ORÇAMENTO!$AF$7)*OFFSET(ORÇAMENTO!$W$15,ROW(AT249)-ROW(AT$15),0),15-13*ORÇAMENTO!$AF$11)),0)</f>
        <v>0</v>
      </c>
      <c r="AU249" s="545">
        <f ca="1">IF(AND($D249="Serviço",AU$12&lt;&gt;0,$H249&gt;0,OR(AUTOEVENTO&lt;&gt;"manual",$M249&lt;&gt;1)),
IF(Import.TipoArredondamento&lt;&gt;"TransfereGOV",
ROUND(OFFSET($P249,0,AU$13),15-13*ORÇAMENTO!$AF$7)/$H249*OFFSET(ORÇAMENTO!$X$15,ROW(AU249)-ROW(AU$15),0),
ROUND(ROUND(OFFSET($P249,0,AU$13),15-13*ORÇAMENTO!$AF$7)*OFFSET(ORÇAMENTO!$W$15,ROW(AU249)-ROW(AU$15),0),15-13*ORÇAMENTO!$AF$11)),0)</f>
        <v>0</v>
      </c>
      <c r="AV249" s="545">
        <f ca="1">IF(AND($D249="Serviço",AV$12&lt;&gt;0,$H249&gt;0,OR(AUTOEVENTO&lt;&gt;"manual",$M249&lt;&gt;1)),
IF(Import.TipoArredondamento&lt;&gt;"TransfereGOV",
ROUND(OFFSET($P249,0,AV$13),15-13*ORÇAMENTO!$AF$7)/$H249*OFFSET(ORÇAMENTO!$X$15,ROW(AV249)-ROW(AV$15),0),
ROUND(ROUND(OFFSET($P249,0,AV$13),15-13*ORÇAMENTO!$AF$7)*OFFSET(ORÇAMENTO!$W$15,ROW(AV249)-ROW(AV$15),0),15-13*ORÇAMENTO!$AF$11)),0)</f>
        <v>0</v>
      </c>
      <c r="AW249" s="545">
        <f ca="1">IF(AND($D249="Serviço",AW$12&lt;&gt;0,$H249&gt;0,OR(AUTOEVENTO&lt;&gt;"manual",$M249&lt;&gt;1)),
IF(Import.TipoArredondamento&lt;&gt;"TransfereGOV",
ROUND(OFFSET($P249,0,AW$13),15-13*ORÇAMENTO!$AF$7)/$H249*OFFSET(ORÇAMENTO!$X$15,ROW(AW249)-ROW(AW$15),0),
ROUND(ROUND(OFFSET($P249,0,AW$13),15-13*ORÇAMENTO!$AF$7)*OFFSET(ORÇAMENTO!$W$15,ROW(AW249)-ROW(AW$15),0),15-13*ORÇAMENTO!$AF$11)),0)</f>
        <v>0</v>
      </c>
      <c r="AX249" s="545">
        <f ca="1">IF(AND($D249="Serviço",AX$12&lt;&gt;0,$H249&gt;0,OR(AUTOEVENTO&lt;&gt;"manual",$M249&lt;&gt;1)),
IF(Import.TipoArredondamento&lt;&gt;"TransfereGOV",
ROUND(OFFSET($P249,0,AX$13),15-13*ORÇAMENTO!$AF$7)/$H249*OFFSET(ORÇAMENTO!$X$15,ROW(AX249)-ROW(AX$15),0),
ROUND(ROUND(OFFSET($P249,0,AX$13),15-13*ORÇAMENTO!$AF$7)*OFFSET(ORÇAMENTO!$W$15,ROW(AX249)-ROW(AX$15),0),15-13*ORÇAMENTO!$AF$11)),0)</f>
        <v>0</v>
      </c>
      <c r="AY249" s="545">
        <f ca="1">IF(AND($D249="Serviço",AY$12&lt;&gt;0,$H249&gt;0,OR(AUTOEVENTO&lt;&gt;"manual",$M249&lt;&gt;1)),
IF(Import.TipoArredondamento&lt;&gt;"TransfereGOV",
ROUND(OFFSET($P249,0,AY$13),15-13*ORÇAMENTO!$AF$7)/$H249*OFFSET(ORÇAMENTO!$X$15,ROW(AY249)-ROW(AY$15),0),
ROUND(ROUND(OFFSET($P249,0,AY$13),15-13*ORÇAMENTO!$AF$7)*OFFSET(ORÇAMENTO!$W$15,ROW(AY249)-ROW(AY$15),0),15-13*ORÇAMENTO!$AF$11)),0)</f>
        <v>0</v>
      </c>
      <c r="AZ249" s="545">
        <f ca="1">IF(AND($D249="Serviço",AZ$12&lt;&gt;0,$H249&gt;0,OR(AUTOEVENTO&lt;&gt;"manual",$M249&lt;&gt;1)),
IF(Import.TipoArredondamento&lt;&gt;"TransfereGOV",
ROUND(OFFSET($P249,0,AZ$13),15-13*ORÇAMENTO!$AF$7)/$H249*OFFSET(ORÇAMENTO!$X$15,ROW(AZ249)-ROW(AZ$15),0),
ROUND(ROUND(OFFSET($P249,0,AZ$13),15-13*ORÇAMENTO!$AF$7)*OFFSET(ORÇAMENTO!$W$15,ROW(AZ249)-ROW(AZ$15),0),15-13*ORÇAMENTO!$AF$11)),0)</f>
        <v>0</v>
      </c>
      <c r="BA249" s="546">
        <f ca="1">IF(AND($D249="Serviço",BA$12&lt;&gt;0,$H249&gt;0,OR(AUTOEVENTO&lt;&gt;"manual",$M249&lt;&gt;1)),
IF(Import.TipoArredondamento&lt;&gt;"TransfereGOV",
ROUND(OFFSET($P249,0,BA$13),15-13*ORÇAMENTO!$AF$7)/$H249*OFFSET(ORÇAMENTO!$X$15,ROW(BA249)-ROW(BA$15),0),
ROUND(ROUND(OFFSET($P249,0,BA$13),15-13*ORÇAMENTO!$AF$7)*OFFSET(ORÇAMENTO!$W$15,ROW(BA249)-ROW(BA$15),0),15-13*ORÇAMENTO!$AF$11)),0)</f>
        <v>0</v>
      </c>
      <c r="BC249" s="181">
        <f ca="1">IF($D249&lt;&gt;"Serviço",0,IF(AND(AUTOEVENTO="Manual",$M249=1),0,IF(OFFSET(CRONOPLE!$F$14,$M249,BC$13)="",10^12,OFFSET(CRONOPLE!$F$14,$M249,BC$13))))</f>
        <v>9</v>
      </c>
      <c r="BD249" s="181">
        <f ca="1">IF($D249&lt;&gt;"Serviço",0,IF(AND(AUTOEVENTO="Manual",$M249=1),0,IF(OFFSET(CRONOPLE!$F$14,$M249,BD$13)="",10^12,OFFSET(CRONOPLE!$F$14,$M249,BD$13))))</f>
        <v>1000000000000</v>
      </c>
      <c r="BE249" s="181">
        <f ca="1">IF($D249&lt;&gt;"Serviço",0,IF(AND(AUTOEVENTO="Manual",$M249=1),0,IF(OFFSET(CRONOPLE!$F$14,$M249,BE$13)="",10^12,OFFSET(CRONOPLE!$F$14,$M249,BE$13))))</f>
        <v>1000000000000</v>
      </c>
      <c r="BF249" s="181">
        <f ca="1">IF($D249&lt;&gt;"Serviço",0,IF(AND(AUTOEVENTO="Manual",$M249=1),0,IF(OFFSET(CRONOPLE!$F$14,$M249,BF$13)="",10^12,OFFSET(CRONOPLE!$F$14,$M249,BF$13))))</f>
        <v>1000000000000</v>
      </c>
      <c r="BG249" s="181">
        <f ca="1">IF($D249&lt;&gt;"Serviço",0,IF(AND(AUTOEVENTO="Manual",$M249=1),0,IF(OFFSET(CRONOPLE!$F$14,$M249,BG$13)="",10^12,OFFSET(CRONOPLE!$F$14,$M249,BG$13))))</f>
        <v>1000000000000</v>
      </c>
      <c r="BH249" s="181">
        <f ca="1">IF($D249&lt;&gt;"Serviço",0,IF(AND(AUTOEVENTO="Manual",$M249=1),0,IF(OFFSET(CRONOPLE!$F$14,$M249,BH$13)="",10^12,OFFSET(CRONOPLE!$F$14,$M249,BH$13))))</f>
        <v>1000000000000</v>
      </c>
      <c r="BI249" s="181">
        <f ca="1">IF($D249&lt;&gt;"Serviço",0,IF(AND(AUTOEVENTO="Manual",$M249=1),0,IF(OFFSET(CRONOPLE!$F$14,$M249,BI$13)="",10^12,OFFSET(CRONOPLE!$F$14,$M249,BI$13))))</f>
        <v>1000000000000</v>
      </c>
      <c r="BJ249" s="181">
        <f ca="1">IF($D249&lt;&gt;"Serviço",0,IF(AND(AUTOEVENTO="Manual",$M249=1),0,IF(OFFSET(CRONOPLE!$F$14,$M249,BJ$13)="",10^12,OFFSET(CRONOPLE!$F$14,$M249,BJ$13))))</f>
        <v>1000000000000</v>
      </c>
      <c r="BK249" s="181">
        <f ca="1">IF($D249&lt;&gt;"Serviço",0,IF(AND(AUTOEVENTO="Manual",$M249=1),0,IF(OFFSET(CRONOPLE!$F$14,$M249,BK$13)="",10^12,OFFSET(CRONOPLE!$F$14,$M249,BK$13))))</f>
        <v>1000000000000</v>
      </c>
      <c r="BL249" s="181">
        <f ca="1">IF($D249&lt;&gt;"Serviço",0,IF(AND(AUTOEVENTO="Manual",$M249=1),0,IF(OFFSET(CRONOPLE!$F$14,$M249,BL$13)="",10^12,OFFSET(CRONOPLE!$F$14,$M249,BL$13))))</f>
        <v>1000000000000</v>
      </c>
      <c r="BM249" s="181">
        <f ca="1">IF($D249&lt;&gt;"Serviço",0,IF(AND(AUTOEVENTO="Manual",$M249=1),0,IF(OFFSET(CRONOPLE!$F$14,$M249,BM$13)="",10^12,OFFSET(CRONOPLE!$F$14,$M249,BM$13))))</f>
        <v>1000000000000</v>
      </c>
      <c r="BN249" s="181">
        <f ca="1">IF($D249&lt;&gt;"Serviço",0,IF(AND(AUTOEVENTO="Manual",$M249=1),0,IF(OFFSET(CRONOPLE!$F$14,$M249,BN$13)="",10^12,OFFSET(CRONOPLE!$F$14,$M249,BN$13))))</f>
        <v>1000000000000</v>
      </c>
      <c r="BO249" s="181">
        <f ca="1">IF($D249&lt;&gt;"Serviço",0,IF(AND(AUTOEVENTO="Manual",$M249=1),0,IF(OFFSET(CRONOPLE!$F$14,$M249,BO$13)="",10^12,OFFSET(CRONOPLE!$F$14,$M249,BO$13))))</f>
        <v>1000000000000</v>
      </c>
      <c r="BP249" s="181">
        <f ca="1">IF($D249&lt;&gt;"Serviço",0,IF(AND(AUTOEVENTO="Manual",$M249=1),0,IF(OFFSET(CRONOPLE!$F$14,$M249,BP$13)="",10^12,OFFSET(CRONOPLE!$F$14,$M249,BP$13))))</f>
        <v>1000000000000</v>
      </c>
      <c r="BQ249" s="181">
        <f ca="1">IF($D249&lt;&gt;"Serviço",0,IF(AND(AUTOEVENTO="Manual",$M249=1),0,IF(OFFSET(CRONOPLE!$F$14,$M249,BQ$13)="",10^12,OFFSET(CRONOPLE!$F$14,$M249,BQ$13))))</f>
        <v>1000000000000</v>
      </c>
      <c r="BR249" s="181">
        <f ca="1">IF($D249&lt;&gt;"Serviço",0,IF(AND(AUTOEVENTO="Manual",$M249=1),0,IF(OFFSET(CRONOPLE!$F$14,$M249,BR$13)="",10^12,OFFSET(CRONOPLE!$F$14,$M249,BR$13))))</f>
        <v>1000000000000</v>
      </c>
      <c r="BS249" s="181">
        <f ca="1">IF($D249&lt;&gt;"Serviço",0,IF(AND(AUTOEVENTO="Manual",$M249=1),0,IF(OFFSET(CRONOPLE!$F$14,$M249,BS$13)="",10^12,OFFSET(CRONOPLE!$F$14,$M249,BS$13))))</f>
        <v>1000000000000</v>
      </c>
      <c r="BT249" s="181">
        <f ca="1">IF($D249&lt;&gt;"Serviço",0,IF(AND(AUTOEVENTO="Manual",$M249=1),0,IF(OFFSET(CRONOPLE!$F$14,$M249,BT$13)="",10^12,OFFSET(CRONOPLE!$F$14,$M249,BT$13))))</f>
        <v>1000000000000</v>
      </c>
      <c r="BV249" s="182">
        <f ca="1">IF($D249&lt;&gt;"Serviço",0,IF(OR(AND(AUTOEVENTO="Manual",$M249=1),$M249&gt;(ROW(PLE.lastrow)-ROW(PLE.firstrow))),0,IF(OFFSET(PLE!$G$14,$M249,BV$13)="",10^12,OFFSET(PLE!$G$14,$M249,BV$13))))</f>
        <v>1000000000000</v>
      </c>
      <c r="BW249" s="182">
        <f ca="1">IF($D249&lt;&gt;"Serviço",0,IF(OR(AND(AUTOEVENTO="Manual",$M249=1),$M249&gt;(ROW(PLE.lastrow)-ROW(PLE.firstrow))),0,IF(OFFSET(PLE!$G$14,$M249,BW$13)="",10^12,OFFSET(PLE!$G$14,$M249,BW$13))))</f>
        <v>1000000000000</v>
      </c>
      <c r="BX249" s="182">
        <f ca="1">IF($D249&lt;&gt;"Serviço",0,IF(OR(AND(AUTOEVENTO="Manual",$M249=1),$M249&gt;(ROW(PLE.lastrow)-ROW(PLE.firstrow))),0,IF(OFFSET(PLE!$G$14,$M249,BX$13)="",10^12,OFFSET(PLE!$G$14,$M249,BX$13))))</f>
        <v>1000000000000</v>
      </c>
      <c r="BY249" s="182">
        <f ca="1">IF($D249&lt;&gt;"Serviço",0,IF(OR(AND(AUTOEVENTO="Manual",$M249=1),$M249&gt;(ROW(PLE.lastrow)-ROW(PLE.firstrow))),0,IF(OFFSET(PLE!$G$14,$M249,BY$13)="",10^12,OFFSET(PLE!$G$14,$M249,BY$13))))</f>
        <v>1000000000000</v>
      </c>
      <c r="BZ249" s="182">
        <f ca="1">IF($D249&lt;&gt;"Serviço",0,IF(OR(AND(AUTOEVENTO="Manual",$M249=1),$M249&gt;(ROW(PLE.lastrow)-ROW(PLE.firstrow))),0,IF(OFFSET(PLE!$G$14,$M249,BZ$13)="",10^12,OFFSET(PLE!$G$14,$M249,BZ$13))))</f>
        <v>1000000000000</v>
      </c>
      <c r="CA249" s="182">
        <f ca="1">IF($D249&lt;&gt;"Serviço",0,IF(OR(AND(AUTOEVENTO="Manual",$M249=1),$M249&gt;(ROW(PLE.lastrow)-ROW(PLE.firstrow))),0,IF(OFFSET(PLE!$G$14,$M249,CA$13)="",10^12,OFFSET(PLE!$G$14,$M249,CA$13))))</f>
        <v>1000000000000</v>
      </c>
      <c r="CB249" s="182">
        <f ca="1">IF($D249&lt;&gt;"Serviço",0,IF(OR(AND(AUTOEVENTO="Manual",$M249=1),$M249&gt;(ROW(PLE.lastrow)-ROW(PLE.firstrow))),0,IF(OFFSET(PLE!$G$14,$M249,CB$13)="",10^12,OFFSET(PLE!$G$14,$M249,CB$13))))</f>
        <v>1000000000000</v>
      </c>
      <c r="CC249" s="182">
        <f ca="1">IF($D249&lt;&gt;"Serviço",0,IF(OR(AND(AUTOEVENTO="Manual",$M249=1),$M249&gt;(ROW(PLE.lastrow)-ROW(PLE.firstrow))),0,IF(OFFSET(PLE!$G$14,$M249,CC$13)="",10^12,OFFSET(PLE!$G$14,$M249,CC$13))))</f>
        <v>1000000000000</v>
      </c>
      <c r="CD249" s="182">
        <f ca="1">IF($D249&lt;&gt;"Serviço",0,IF(OR(AND(AUTOEVENTO="Manual",$M249=1),$M249&gt;(ROW(PLE.lastrow)-ROW(PLE.firstrow))),0,IF(OFFSET(PLE!$G$14,$M249,CD$13)="",10^12,OFFSET(PLE!$G$14,$M249,CD$13))))</f>
        <v>1000000000000</v>
      </c>
      <c r="CE249" s="182">
        <f ca="1">IF($D249&lt;&gt;"Serviço",0,IF(OR(AND(AUTOEVENTO="Manual",$M249=1),$M249&gt;(ROW(PLE.lastrow)-ROW(PLE.firstrow))),0,IF(OFFSET(PLE!$G$14,$M249,CE$13)="",10^12,OFFSET(PLE!$G$14,$M249,CE$13))))</f>
        <v>1000000000000</v>
      </c>
      <c r="CF249" s="182">
        <f ca="1">IF($D249&lt;&gt;"Serviço",0,IF(OR(AND(AUTOEVENTO="Manual",$M249=1),$M249&gt;(ROW(PLE.lastrow)-ROW(PLE.firstrow))),0,IF(OFFSET(PLE!$G$14,$M249,CF$13)="",10^12,OFFSET(PLE!$G$14,$M249,CF$13))))</f>
        <v>1000000000000</v>
      </c>
      <c r="CG249" s="182">
        <f ca="1">IF($D249&lt;&gt;"Serviço",0,IF(OR(AND(AUTOEVENTO="Manual",$M249=1),$M249&gt;(ROW(PLE.lastrow)-ROW(PLE.firstrow))),0,IF(OFFSET(PLE!$G$14,$M249,CG$13)="",10^12,OFFSET(PLE!$G$14,$M249,CG$13))))</f>
        <v>1000000000000</v>
      </c>
      <c r="CH249" s="182">
        <f ca="1">IF($D249&lt;&gt;"Serviço",0,IF(OR(AND(AUTOEVENTO="Manual",$M249=1),$M249&gt;(ROW(PLE.lastrow)-ROW(PLE.firstrow))),0,IF(OFFSET(PLE!$G$14,$M249,CH$13)="",10^12,OFFSET(PLE!$G$14,$M249,CH$13))))</f>
        <v>1000000000000</v>
      </c>
      <c r="CI249" s="182">
        <f ca="1">IF($D249&lt;&gt;"Serviço",0,IF(OR(AND(AUTOEVENTO="Manual",$M249=1),$M249&gt;(ROW(PLE.lastrow)-ROW(PLE.firstrow))),0,IF(OFFSET(PLE!$G$14,$M249,CI$13)="",10^12,OFFSET(PLE!$G$14,$M249,CI$13))))</f>
        <v>1000000000000</v>
      </c>
      <c r="CJ249" s="182">
        <f ca="1">IF($D249&lt;&gt;"Serviço",0,IF(OR(AND(AUTOEVENTO="Manual",$M249=1),$M249&gt;(ROW(PLE.lastrow)-ROW(PLE.firstrow))),0,IF(OFFSET(PLE!$G$14,$M249,CJ$13)="",10^12,OFFSET(PLE!$G$14,$M249,CJ$13))))</f>
        <v>1000000000000</v>
      </c>
      <c r="CK249" s="182">
        <f ca="1">IF($D249&lt;&gt;"Serviço",0,IF(OR(AND(AUTOEVENTO="Manual",$M249=1),$M249&gt;(ROW(PLE.lastrow)-ROW(PLE.firstrow))),0,IF(OFFSET(PLE!$G$14,$M249,CK$13)="",10^12,OFFSET(PLE!$G$14,$M249,CK$13))))</f>
        <v>1000000000000</v>
      </c>
      <c r="CL249" s="182">
        <f ca="1">IF($D249&lt;&gt;"Serviço",0,IF(OR(AND(AUTOEVENTO="Manual",$M249=1),$M249&gt;(ROW(PLE.lastrow)-ROW(PLE.firstrow))),0,IF(OFFSET(PLE!$G$14,$M249,CL$13)="",10^12,OFFSET(PLE!$G$14,$M249,CL$13))))</f>
        <v>1000000000000</v>
      </c>
      <c r="CM249" s="182">
        <f ca="1">IF($D249&lt;&gt;"Serviço",0,IF(OR(AND(AUTOEVENTO="Manual",$M249=1),$M249&gt;(ROW(PLE.lastrow)-ROW(PLE.firstrow))),0,IF(OFFSET(PLE!$G$14,$M249,CM$13)="",10^12,OFFSET(PLE!$G$14,$M249,CM$13))))</f>
        <v>1000000000000</v>
      </c>
    </row>
    <row r="250" spans="1:91" ht="38.25" x14ac:dyDescent="0.2">
      <c r="A250" s="7" t="str">
        <f t="shared" ca="1" si="12"/>
        <v>232</v>
      </c>
      <c r="B250" s="7" t="str">
        <f ca="1">OFFSET(ORÇAMENTO!C$15,ROW(B250)-ROW(B$15),0)</f>
        <v>S</v>
      </c>
      <c r="C250" s="7" t="str">
        <f ca="1">OFFSET(ORÇAMENTO!L$15,ROW(C250)-ROW(C$15),0)</f>
        <v/>
      </c>
      <c r="D250" s="118" t="str">
        <f ca="1">OFFSET(ORÇAMENTO!N$15,ROW(D250)-ROW(D$15),0)</f>
        <v>Serviço</v>
      </c>
      <c r="E250" s="119" t="str">
        <f ca="1">OFFSET(ORÇAMENTO!O$15,ROW(E250)-ROW(E$15),0)</f>
        <v>-</v>
      </c>
      <c r="F250" s="172" t="str">
        <f ca="1">OFFSET(ORÇAMENTO!R$15,ROW(F250)-ROW(F$15),0)</f>
        <v>(abra o arquivo 'Referência 06-2024.xlsm)</v>
      </c>
      <c r="G250" s="173" t="str">
        <f ca="1">IF($D250&lt;&gt;"Serviço","",OFFSET(ORÇAMENTO!S$15,ROW(G250)-ROW(G$15),0))</f>
        <v>-</v>
      </c>
      <c r="H250" s="124">
        <f ca="1">IF($D250&lt;&gt;"Serviço",0,IF(ACOMPANHAMENTO="BM",ROUND(OFFSET(ORÇAMENTO!AJ$15,ROW(H250)-ROW(H$15),0),15-13*ORÇAMENTO!$AF$7),SUMPRODUCT(($Q$12:$AI$12&lt;&gt;"")*ROUND($Q250:$AI250,15-13*ORÇAMENTO!$AF$7))))</f>
        <v>51.6</v>
      </c>
      <c r="I250" s="561" t="s">
        <v>1107</v>
      </c>
      <c r="K250" s="174"/>
      <c r="L250" s="175" t="s">
        <v>255</v>
      </c>
      <c r="M250" s="176">
        <f ca="1">IF($D250&lt;&gt;"Serviço","",IF(AUTOEVENTO="manual",$A250,IF(ISERROR(MATCH($A250,$A$15:OFFSET($A250,-1,0),0)),MAX($M$15:OFFSET(M250,-1,0))+1,INDEX($M$15:OFFSET(M250,-1,0),MATCH($A250,$A$15:OFFSET($A250,-1,0),0)))))</f>
        <v>35</v>
      </c>
      <c r="N250" s="177" t="str">
        <f ca="1">IF($D250&lt;&gt;"Serviço","",IF(AUTOEVENTO="Manual",IF($A250=0,"&lt;-- defina o número do agrupador",OFFSET(EVENTOS!$D$14,$A250,0)),OFFSET($F$15,$A250,0)))</f>
        <v>INSTALAÇÃO HIDRÁULICA - TUBULAÇÕES E CONEXÕES DE PVC RÍGIDO</v>
      </c>
      <c r="O250" s="178"/>
      <c r="Q250" s="178">
        <v>51.6</v>
      </c>
      <c r="R250" s="179"/>
      <c r="S250" s="179"/>
      <c r="T250" s="179"/>
      <c r="U250" s="179"/>
      <c r="V250" s="179"/>
      <c r="W250" s="179"/>
      <c r="X250" s="179"/>
      <c r="Y250" s="179"/>
      <c r="Z250" s="180"/>
      <c r="AA250" s="179"/>
      <c r="AB250" s="179"/>
      <c r="AC250" s="179"/>
      <c r="AD250" s="179"/>
      <c r="AE250" s="179"/>
      <c r="AF250" s="179"/>
      <c r="AG250" s="179"/>
      <c r="AH250" s="180"/>
      <c r="AJ250" s="544">
        <f ca="1">IF(AND($D250="Serviço",AJ$12&lt;&gt;0,$H250&gt;0,OR(AUTOEVENTO&lt;&gt;"manual",$M250&lt;&gt;1)),
IF(Import.TipoArredondamento&lt;&gt;"TransfereGOV",
ROUND(OFFSET($P250,0,AJ$13),15-13*ORÇAMENTO!$AF$7)/$H250*OFFSET(ORÇAMENTO!$X$15,ROW(AJ250)-ROW(AJ$15),0),
ROUND(ROUND(OFFSET($P250,0,AJ$13),15-13*ORÇAMENTO!$AF$7)*OFFSET(ORÇAMENTO!$W$15,ROW(AJ250)-ROW(AJ$15),0),15-13*ORÇAMENTO!$AF$11)),0)</f>
        <v>0</v>
      </c>
      <c r="AK250" s="545">
        <f ca="1">IF(AND($D250="Serviço",AK$12&lt;&gt;0,$H250&gt;0,OR(AUTOEVENTO&lt;&gt;"manual",$M250&lt;&gt;1)),
IF(Import.TipoArredondamento&lt;&gt;"TransfereGOV",
ROUND(OFFSET($P250,0,AK$13),15-13*ORÇAMENTO!$AF$7)/$H250*OFFSET(ORÇAMENTO!$X$15,ROW(AK250)-ROW(AK$15),0),
ROUND(ROUND(OFFSET($P250,0,AK$13),15-13*ORÇAMENTO!$AF$7)*OFFSET(ORÇAMENTO!$W$15,ROW(AK250)-ROW(AK$15),0),15-13*ORÇAMENTO!$AF$11)),0)</f>
        <v>0</v>
      </c>
      <c r="AL250" s="545">
        <f ca="1">IF(AND($D250="Serviço",AL$12&lt;&gt;0,$H250&gt;0,OR(AUTOEVENTO&lt;&gt;"manual",$M250&lt;&gt;1)),
IF(Import.TipoArredondamento&lt;&gt;"TransfereGOV",
ROUND(OFFSET($P250,0,AL$13),15-13*ORÇAMENTO!$AF$7)/$H250*OFFSET(ORÇAMENTO!$X$15,ROW(AL250)-ROW(AL$15),0),
ROUND(ROUND(OFFSET($P250,0,AL$13),15-13*ORÇAMENTO!$AF$7)*OFFSET(ORÇAMENTO!$W$15,ROW(AL250)-ROW(AL$15),0),15-13*ORÇAMENTO!$AF$11)),0)</f>
        <v>0</v>
      </c>
      <c r="AM250" s="545">
        <f ca="1">IF(AND($D250="Serviço",AM$12&lt;&gt;0,$H250&gt;0,OR(AUTOEVENTO&lt;&gt;"manual",$M250&lt;&gt;1)),
IF(Import.TipoArredondamento&lt;&gt;"TransfereGOV",
ROUND(OFFSET($P250,0,AM$13),15-13*ORÇAMENTO!$AF$7)/$H250*OFFSET(ORÇAMENTO!$X$15,ROW(AM250)-ROW(AM$15),0),
ROUND(ROUND(OFFSET($P250,0,AM$13),15-13*ORÇAMENTO!$AF$7)*OFFSET(ORÇAMENTO!$W$15,ROW(AM250)-ROW(AM$15),0),15-13*ORÇAMENTO!$AF$11)),0)</f>
        <v>0</v>
      </c>
      <c r="AN250" s="545">
        <f ca="1">IF(AND($D250="Serviço",AN$12&lt;&gt;0,$H250&gt;0,OR(AUTOEVENTO&lt;&gt;"manual",$M250&lt;&gt;1)),
IF(Import.TipoArredondamento&lt;&gt;"TransfereGOV",
ROUND(OFFSET($P250,0,AN$13),15-13*ORÇAMENTO!$AF$7)/$H250*OFFSET(ORÇAMENTO!$X$15,ROW(AN250)-ROW(AN$15),0),
ROUND(ROUND(OFFSET($P250,0,AN$13),15-13*ORÇAMENTO!$AF$7)*OFFSET(ORÇAMENTO!$W$15,ROW(AN250)-ROW(AN$15),0),15-13*ORÇAMENTO!$AF$11)),0)</f>
        <v>0</v>
      </c>
      <c r="AO250" s="545">
        <f ca="1">IF(AND($D250="Serviço",AO$12&lt;&gt;0,$H250&gt;0,OR(AUTOEVENTO&lt;&gt;"manual",$M250&lt;&gt;1)),
IF(Import.TipoArredondamento&lt;&gt;"TransfereGOV",
ROUND(OFFSET($P250,0,AO$13),15-13*ORÇAMENTO!$AF$7)/$H250*OFFSET(ORÇAMENTO!$X$15,ROW(AO250)-ROW(AO$15),0),
ROUND(ROUND(OFFSET($P250,0,AO$13),15-13*ORÇAMENTO!$AF$7)*OFFSET(ORÇAMENTO!$W$15,ROW(AO250)-ROW(AO$15),0),15-13*ORÇAMENTO!$AF$11)),0)</f>
        <v>0</v>
      </c>
      <c r="AP250" s="545">
        <f ca="1">IF(AND($D250="Serviço",AP$12&lt;&gt;0,$H250&gt;0,OR(AUTOEVENTO&lt;&gt;"manual",$M250&lt;&gt;1)),
IF(Import.TipoArredondamento&lt;&gt;"TransfereGOV",
ROUND(OFFSET($P250,0,AP$13),15-13*ORÇAMENTO!$AF$7)/$H250*OFFSET(ORÇAMENTO!$X$15,ROW(AP250)-ROW(AP$15),0),
ROUND(ROUND(OFFSET($P250,0,AP$13),15-13*ORÇAMENTO!$AF$7)*OFFSET(ORÇAMENTO!$W$15,ROW(AP250)-ROW(AP$15),0),15-13*ORÇAMENTO!$AF$11)),0)</f>
        <v>0</v>
      </c>
      <c r="AQ250" s="545">
        <f ca="1">IF(AND($D250="Serviço",AQ$12&lt;&gt;0,$H250&gt;0,OR(AUTOEVENTO&lt;&gt;"manual",$M250&lt;&gt;1)),
IF(Import.TipoArredondamento&lt;&gt;"TransfereGOV",
ROUND(OFFSET($P250,0,AQ$13),15-13*ORÇAMENTO!$AF$7)/$H250*OFFSET(ORÇAMENTO!$X$15,ROW(AQ250)-ROW(AQ$15),0),
ROUND(ROUND(OFFSET($P250,0,AQ$13),15-13*ORÇAMENTO!$AF$7)*OFFSET(ORÇAMENTO!$W$15,ROW(AQ250)-ROW(AQ$15),0),15-13*ORÇAMENTO!$AF$11)),0)</f>
        <v>0</v>
      </c>
      <c r="AR250" s="545">
        <f ca="1">IF(AND($D250="Serviço",AR$12&lt;&gt;0,$H250&gt;0,OR(AUTOEVENTO&lt;&gt;"manual",$M250&lt;&gt;1)),
IF(Import.TipoArredondamento&lt;&gt;"TransfereGOV",
ROUND(OFFSET($P250,0,AR$13),15-13*ORÇAMENTO!$AF$7)/$H250*OFFSET(ORÇAMENTO!$X$15,ROW(AR250)-ROW(AR$15),0),
ROUND(ROUND(OFFSET($P250,0,AR$13),15-13*ORÇAMENTO!$AF$7)*OFFSET(ORÇAMENTO!$W$15,ROW(AR250)-ROW(AR$15),0),15-13*ORÇAMENTO!$AF$11)),0)</f>
        <v>0</v>
      </c>
      <c r="AS250" s="546">
        <f ca="1">IF(AND($D250="Serviço",AS$12&lt;&gt;0,$H250&gt;0,OR(AUTOEVENTO&lt;&gt;"manual",$M250&lt;&gt;1)),
IF(Import.TipoArredondamento&lt;&gt;"TransfereGOV",
ROUND(OFFSET($P250,0,AS$13),15-13*ORÇAMENTO!$AF$7)/$H250*OFFSET(ORÇAMENTO!$X$15,ROW(AS250)-ROW(AS$15),0),
ROUND(ROUND(OFFSET($P250,0,AS$13),15-13*ORÇAMENTO!$AF$7)*OFFSET(ORÇAMENTO!$W$15,ROW(AS250)-ROW(AS$15),0),15-13*ORÇAMENTO!$AF$11)),0)</f>
        <v>0</v>
      </c>
      <c r="AT250" s="545">
        <f ca="1">IF(AND($D250="Serviço",AT$12&lt;&gt;0,$H250&gt;0,OR(AUTOEVENTO&lt;&gt;"manual",$M250&lt;&gt;1)),
IF(Import.TipoArredondamento&lt;&gt;"TransfereGOV",
ROUND(OFFSET($P250,0,AT$13),15-13*ORÇAMENTO!$AF$7)/$H250*OFFSET(ORÇAMENTO!$X$15,ROW(AT250)-ROW(AT$15),0),
ROUND(ROUND(OFFSET($P250,0,AT$13),15-13*ORÇAMENTO!$AF$7)*OFFSET(ORÇAMENTO!$W$15,ROW(AT250)-ROW(AT$15),0),15-13*ORÇAMENTO!$AF$11)),0)</f>
        <v>0</v>
      </c>
      <c r="AU250" s="545">
        <f ca="1">IF(AND($D250="Serviço",AU$12&lt;&gt;0,$H250&gt;0,OR(AUTOEVENTO&lt;&gt;"manual",$M250&lt;&gt;1)),
IF(Import.TipoArredondamento&lt;&gt;"TransfereGOV",
ROUND(OFFSET($P250,0,AU$13),15-13*ORÇAMENTO!$AF$7)/$H250*OFFSET(ORÇAMENTO!$X$15,ROW(AU250)-ROW(AU$15),0),
ROUND(ROUND(OFFSET($P250,0,AU$13),15-13*ORÇAMENTO!$AF$7)*OFFSET(ORÇAMENTO!$W$15,ROW(AU250)-ROW(AU$15),0),15-13*ORÇAMENTO!$AF$11)),0)</f>
        <v>0</v>
      </c>
      <c r="AV250" s="545">
        <f ca="1">IF(AND($D250="Serviço",AV$12&lt;&gt;0,$H250&gt;0,OR(AUTOEVENTO&lt;&gt;"manual",$M250&lt;&gt;1)),
IF(Import.TipoArredondamento&lt;&gt;"TransfereGOV",
ROUND(OFFSET($P250,0,AV$13),15-13*ORÇAMENTO!$AF$7)/$H250*OFFSET(ORÇAMENTO!$X$15,ROW(AV250)-ROW(AV$15),0),
ROUND(ROUND(OFFSET($P250,0,AV$13),15-13*ORÇAMENTO!$AF$7)*OFFSET(ORÇAMENTO!$W$15,ROW(AV250)-ROW(AV$15),0),15-13*ORÇAMENTO!$AF$11)),0)</f>
        <v>0</v>
      </c>
      <c r="AW250" s="545">
        <f ca="1">IF(AND($D250="Serviço",AW$12&lt;&gt;0,$H250&gt;0,OR(AUTOEVENTO&lt;&gt;"manual",$M250&lt;&gt;1)),
IF(Import.TipoArredondamento&lt;&gt;"TransfereGOV",
ROUND(OFFSET($P250,0,AW$13),15-13*ORÇAMENTO!$AF$7)/$H250*OFFSET(ORÇAMENTO!$X$15,ROW(AW250)-ROW(AW$15),0),
ROUND(ROUND(OFFSET($P250,0,AW$13),15-13*ORÇAMENTO!$AF$7)*OFFSET(ORÇAMENTO!$W$15,ROW(AW250)-ROW(AW$15),0),15-13*ORÇAMENTO!$AF$11)),0)</f>
        <v>0</v>
      </c>
      <c r="AX250" s="545">
        <f ca="1">IF(AND($D250="Serviço",AX$12&lt;&gt;0,$H250&gt;0,OR(AUTOEVENTO&lt;&gt;"manual",$M250&lt;&gt;1)),
IF(Import.TipoArredondamento&lt;&gt;"TransfereGOV",
ROUND(OFFSET($P250,0,AX$13),15-13*ORÇAMENTO!$AF$7)/$H250*OFFSET(ORÇAMENTO!$X$15,ROW(AX250)-ROW(AX$15),0),
ROUND(ROUND(OFFSET($P250,0,AX$13),15-13*ORÇAMENTO!$AF$7)*OFFSET(ORÇAMENTO!$W$15,ROW(AX250)-ROW(AX$15),0),15-13*ORÇAMENTO!$AF$11)),0)</f>
        <v>0</v>
      </c>
      <c r="AY250" s="545">
        <f ca="1">IF(AND($D250="Serviço",AY$12&lt;&gt;0,$H250&gt;0,OR(AUTOEVENTO&lt;&gt;"manual",$M250&lt;&gt;1)),
IF(Import.TipoArredondamento&lt;&gt;"TransfereGOV",
ROUND(OFFSET($P250,0,AY$13),15-13*ORÇAMENTO!$AF$7)/$H250*OFFSET(ORÇAMENTO!$X$15,ROW(AY250)-ROW(AY$15),0),
ROUND(ROUND(OFFSET($P250,0,AY$13),15-13*ORÇAMENTO!$AF$7)*OFFSET(ORÇAMENTO!$W$15,ROW(AY250)-ROW(AY$15),0),15-13*ORÇAMENTO!$AF$11)),0)</f>
        <v>0</v>
      </c>
      <c r="AZ250" s="545">
        <f ca="1">IF(AND($D250="Serviço",AZ$12&lt;&gt;0,$H250&gt;0,OR(AUTOEVENTO&lt;&gt;"manual",$M250&lt;&gt;1)),
IF(Import.TipoArredondamento&lt;&gt;"TransfereGOV",
ROUND(OFFSET($P250,0,AZ$13),15-13*ORÇAMENTO!$AF$7)/$H250*OFFSET(ORÇAMENTO!$X$15,ROW(AZ250)-ROW(AZ$15),0),
ROUND(ROUND(OFFSET($P250,0,AZ$13),15-13*ORÇAMENTO!$AF$7)*OFFSET(ORÇAMENTO!$W$15,ROW(AZ250)-ROW(AZ$15),0),15-13*ORÇAMENTO!$AF$11)),0)</f>
        <v>0</v>
      </c>
      <c r="BA250" s="546">
        <f ca="1">IF(AND($D250="Serviço",BA$12&lt;&gt;0,$H250&gt;0,OR(AUTOEVENTO&lt;&gt;"manual",$M250&lt;&gt;1)),
IF(Import.TipoArredondamento&lt;&gt;"TransfereGOV",
ROUND(OFFSET($P250,0,BA$13),15-13*ORÇAMENTO!$AF$7)/$H250*OFFSET(ORÇAMENTO!$X$15,ROW(BA250)-ROW(BA$15),0),
ROUND(ROUND(OFFSET($P250,0,BA$13),15-13*ORÇAMENTO!$AF$7)*OFFSET(ORÇAMENTO!$W$15,ROW(BA250)-ROW(BA$15),0),15-13*ORÇAMENTO!$AF$11)),0)</f>
        <v>0</v>
      </c>
      <c r="BC250" s="181">
        <f ca="1">IF($D250&lt;&gt;"Serviço",0,IF(AND(AUTOEVENTO="Manual",$M250=1),0,IF(OFFSET(CRONOPLE!$F$14,$M250,BC$13)="",10^12,OFFSET(CRONOPLE!$F$14,$M250,BC$13))))</f>
        <v>9</v>
      </c>
      <c r="BD250" s="181">
        <f ca="1">IF($D250&lt;&gt;"Serviço",0,IF(AND(AUTOEVENTO="Manual",$M250=1),0,IF(OFFSET(CRONOPLE!$F$14,$M250,BD$13)="",10^12,OFFSET(CRONOPLE!$F$14,$M250,BD$13))))</f>
        <v>1000000000000</v>
      </c>
      <c r="BE250" s="181">
        <f ca="1">IF($D250&lt;&gt;"Serviço",0,IF(AND(AUTOEVENTO="Manual",$M250=1),0,IF(OFFSET(CRONOPLE!$F$14,$M250,BE$13)="",10^12,OFFSET(CRONOPLE!$F$14,$M250,BE$13))))</f>
        <v>1000000000000</v>
      </c>
      <c r="BF250" s="181">
        <f ca="1">IF($D250&lt;&gt;"Serviço",0,IF(AND(AUTOEVENTO="Manual",$M250=1),0,IF(OFFSET(CRONOPLE!$F$14,$M250,BF$13)="",10^12,OFFSET(CRONOPLE!$F$14,$M250,BF$13))))</f>
        <v>1000000000000</v>
      </c>
      <c r="BG250" s="181">
        <f ca="1">IF($D250&lt;&gt;"Serviço",0,IF(AND(AUTOEVENTO="Manual",$M250=1),0,IF(OFFSET(CRONOPLE!$F$14,$M250,BG$13)="",10^12,OFFSET(CRONOPLE!$F$14,$M250,BG$13))))</f>
        <v>1000000000000</v>
      </c>
      <c r="BH250" s="181">
        <f ca="1">IF($D250&lt;&gt;"Serviço",0,IF(AND(AUTOEVENTO="Manual",$M250=1),0,IF(OFFSET(CRONOPLE!$F$14,$M250,BH$13)="",10^12,OFFSET(CRONOPLE!$F$14,$M250,BH$13))))</f>
        <v>1000000000000</v>
      </c>
      <c r="BI250" s="181">
        <f ca="1">IF($D250&lt;&gt;"Serviço",0,IF(AND(AUTOEVENTO="Manual",$M250=1),0,IF(OFFSET(CRONOPLE!$F$14,$M250,BI$13)="",10^12,OFFSET(CRONOPLE!$F$14,$M250,BI$13))))</f>
        <v>1000000000000</v>
      </c>
      <c r="BJ250" s="181">
        <f ca="1">IF($D250&lt;&gt;"Serviço",0,IF(AND(AUTOEVENTO="Manual",$M250=1),0,IF(OFFSET(CRONOPLE!$F$14,$M250,BJ$13)="",10^12,OFFSET(CRONOPLE!$F$14,$M250,BJ$13))))</f>
        <v>1000000000000</v>
      </c>
      <c r="BK250" s="181">
        <f ca="1">IF($D250&lt;&gt;"Serviço",0,IF(AND(AUTOEVENTO="Manual",$M250=1),0,IF(OFFSET(CRONOPLE!$F$14,$M250,BK$13)="",10^12,OFFSET(CRONOPLE!$F$14,$M250,BK$13))))</f>
        <v>1000000000000</v>
      </c>
      <c r="BL250" s="181">
        <f ca="1">IF($D250&lt;&gt;"Serviço",0,IF(AND(AUTOEVENTO="Manual",$M250=1),0,IF(OFFSET(CRONOPLE!$F$14,$M250,BL$13)="",10^12,OFFSET(CRONOPLE!$F$14,$M250,BL$13))))</f>
        <v>1000000000000</v>
      </c>
      <c r="BM250" s="181">
        <f ca="1">IF($D250&lt;&gt;"Serviço",0,IF(AND(AUTOEVENTO="Manual",$M250=1),0,IF(OFFSET(CRONOPLE!$F$14,$M250,BM$13)="",10^12,OFFSET(CRONOPLE!$F$14,$M250,BM$13))))</f>
        <v>1000000000000</v>
      </c>
      <c r="BN250" s="181">
        <f ca="1">IF($D250&lt;&gt;"Serviço",0,IF(AND(AUTOEVENTO="Manual",$M250=1),0,IF(OFFSET(CRONOPLE!$F$14,$M250,BN$13)="",10^12,OFFSET(CRONOPLE!$F$14,$M250,BN$13))))</f>
        <v>1000000000000</v>
      </c>
      <c r="BO250" s="181">
        <f ca="1">IF($D250&lt;&gt;"Serviço",0,IF(AND(AUTOEVENTO="Manual",$M250=1),0,IF(OFFSET(CRONOPLE!$F$14,$M250,BO$13)="",10^12,OFFSET(CRONOPLE!$F$14,$M250,BO$13))))</f>
        <v>1000000000000</v>
      </c>
      <c r="BP250" s="181">
        <f ca="1">IF($D250&lt;&gt;"Serviço",0,IF(AND(AUTOEVENTO="Manual",$M250=1),0,IF(OFFSET(CRONOPLE!$F$14,$M250,BP$13)="",10^12,OFFSET(CRONOPLE!$F$14,$M250,BP$13))))</f>
        <v>1000000000000</v>
      </c>
      <c r="BQ250" s="181">
        <f ca="1">IF($D250&lt;&gt;"Serviço",0,IF(AND(AUTOEVENTO="Manual",$M250=1),0,IF(OFFSET(CRONOPLE!$F$14,$M250,BQ$13)="",10^12,OFFSET(CRONOPLE!$F$14,$M250,BQ$13))))</f>
        <v>1000000000000</v>
      </c>
      <c r="BR250" s="181">
        <f ca="1">IF($D250&lt;&gt;"Serviço",0,IF(AND(AUTOEVENTO="Manual",$M250=1),0,IF(OFFSET(CRONOPLE!$F$14,$M250,BR$13)="",10^12,OFFSET(CRONOPLE!$F$14,$M250,BR$13))))</f>
        <v>1000000000000</v>
      </c>
      <c r="BS250" s="181">
        <f ca="1">IF($D250&lt;&gt;"Serviço",0,IF(AND(AUTOEVENTO="Manual",$M250=1),0,IF(OFFSET(CRONOPLE!$F$14,$M250,BS$13)="",10^12,OFFSET(CRONOPLE!$F$14,$M250,BS$13))))</f>
        <v>1000000000000</v>
      </c>
      <c r="BT250" s="181">
        <f ca="1">IF($D250&lt;&gt;"Serviço",0,IF(AND(AUTOEVENTO="Manual",$M250=1),0,IF(OFFSET(CRONOPLE!$F$14,$M250,BT$13)="",10^12,OFFSET(CRONOPLE!$F$14,$M250,BT$13))))</f>
        <v>1000000000000</v>
      </c>
      <c r="BV250" s="182">
        <f ca="1">IF($D250&lt;&gt;"Serviço",0,IF(OR(AND(AUTOEVENTO="Manual",$M250=1),$M250&gt;(ROW(PLE.lastrow)-ROW(PLE.firstrow))),0,IF(OFFSET(PLE!$G$14,$M250,BV$13)="",10^12,OFFSET(PLE!$G$14,$M250,BV$13))))</f>
        <v>1000000000000</v>
      </c>
      <c r="BW250" s="182">
        <f ca="1">IF($D250&lt;&gt;"Serviço",0,IF(OR(AND(AUTOEVENTO="Manual",$M250=1),$M250&gt;(ROW(PLE.lastrow)-ROW(PLE.firstrow))),0,IF(OFFSET(PLE!$G$14,$M250,BW$13)="",10^12,OFFSET(PLE!$G$14,$M250,BW$13))))</f>
        <v>1000000000000</v>
      </c>
      <c r="BX250" s="182">
        <f ca="1">IF($D250&lt;&gt;"Serviço",0,IF(OR(AND(AUTOEVENTO="Manual",$M250=1),$M250&gt;(ROW(PLE.lastrow)-ROW(PLE.firstrow))),0,IF(OFFSET(PLE!$G$14,$M250,BX$13)="",10^12,OFFSET(PLE!$G$14,$M250,BX$13))))</f>
        <v>1000000000000</v>
      </c>
      <c r="BY250" s="182">
        <f ca="1">IF($D250&lt;&gt;"Serviço",0,IF(OR(AND(AUTOEVENTO="Manual",$M250=1),$M250&gt;(ROW(PLE.lastrow)-ROW(PLE.firstrow))),0,IF(OFFSET(PLE!$G$14,$M250,BY$13)="",10^12,OFFSET(PLE!$G$14,$M250,BY$13))))</f>
        <v>1000000000000</v>
      </c>
      <c r="BZ250" s="182">
        <f ca="1">IF($D250&lt;&gt;"Serviço",0,IF(OR(AND(AUTOEVENTO="Manual",$M250=1),$M250&gt;(ROW(PLE.lastrow)-ROW(PLE.firstrow))),0,IF(OFFSET(PLE!$G$14,$M250,BZ$13)="",10^12,OFFSET(PLE!$G$14,$M250,BZ$13))))</f>
        <v>1000000000000</v>
      </c>
      <c r="CA250" s="182">
        <f ca="1">IF($D250&lt;&gt;"Serviço",0,IF(OR(AND(AUTOEVENTO="Manual",$M250=1),$M250&gt;(ROW(PLE.lastrow)-ROW(PLE.firstrow))),0,IF(OFFSET(PLE!$G$14,$M250,CA$13)="",10^12,OFFSET(PLE!$G$14,$M250,CA$13))))</f>
        <v>1000000000000</v>
      </c>
      <c r="CB250" s="182">
        <f ca="1">IF($D250&lt;&gt;"Serviço",0,IF(OR(AND(AUTOEVENTO="Manual",$M250=1),$M250&gt;(ROW(PLE.lastrow)-ROW(PLE.firstrow))),0,IF(OFFSET(PLE!$G$14,$M250,CB$13)="",10^12,OFFSET(PLE!$G$14,$M250,CB$13))))</f>
        <v>1000000000000</v>
      </c>
      <c r="CC250" s="182">
        <f ca="1">IF($D250&lt;&gt;"Serviço",0,IF(OR(AND(AUTOEVENTO="Manual",$M250=1),$M250&gt;(ROW(PLE.lastrow)-ROW(PLE.firstrow))),0,IF(OFFSET(PLE!$G$14,$M250,CC$13)="",10^12,OFFSET(PLE!$G$14,$M250,CC$13))))</f>
        <v>1000000000000</v>
      </c>
      <c r="CD250" s="182">
        <f ca="1">IF($D250&lt;&gt;"Serviço",0,IF(OR(AND(AUTOEVENTO="Manual",$M250=1),$M250&gt;(ROW(PLE.lastrow)-ROW(PLE.firstrow))),0,IF(OFFSET(PLE!$G$14,$M250,CD$13)="",10^12,OFFSET(PLE!$G$14,$M250,CD$13))))</f>
        <v>1000000000000</v>
      </c>
      <c r="CE250" s="182">
        <f ca="1">IF($D250&lt;&gt;"Serviço",0,IF(OR(AND(AUTOEVENTO="Manual",$M250=1),$M250&gt;(ROW(PLE.lastrow)-ROW(PLE.firstrow))),0,IF(OFFSET(PLE!$G$14,$M250,CE$13)="",10^12,OFFSET(PLE!$G$14,$M250,CE$13))))</f>
        <v>1000000000000</v>
      </c>
      <c r="CF250" s="182">
        <f ca="1">IF($D250&lt;&gt;"Serviço",0,IF(OR(AND(AUTOEVENTO="Manual",$M250=1),$M250&gt;(ROW(PLE.lastrow)-ROW(PLE.firstrow))),0,IF(OFFSET(PLE!$G$14,$M250,CF$13)="",10^12,OFFSET(PLE!$G$14,$M250,CF$13))))</f>
        <v>1000000000000</v>
      </c>
      <c r="CG250" s="182">
        <f ca="1">IF($D250&lt;&gt;"Serviço",0,IF(OR(AND(AUTOEVENTO="Manual",$M250=1),$M250&gt;(ROW(PLE.lastrow)-ROW(PLE.firstrow))),0,IF(OFFSET(PLE!$G$14,$M250,CG$13)="",10^12,OFFSET(PLE!$G$14,$M250,CG$13))))</f>
        <v>1000000000000</v>
      </c>
      <c r="CH250" s="182">
        <f ca="1">IF($D250&lt;&gt;"Serviço",0,IF(OR(AND(AUTOEVENTO="Manual",$M250=1),$M250&gt;(ROW(PLE.lastrow)-ROW(PLE.firstrow))),0,IF(OFFSET(PLE!$G$14,$M250,CH$13)="",10^12,OFFSET(PLE!$G$14,$M250,CH$13))))</f>
        <v>1000000000000</v>
      </c>
      <c r="CI250" s="182">
        <f ca="1">IF($D250&lt;&gt;"Serviço",0,IF(OR(AND(AUTOEVENTO="Manual",$M250=1),$M250&gt;(ROW(PLE.lastrow)-ROW(PLE.firstrow))),0,IF(OFFSET(PLE!$G$14,$M250,CI$13)="",10^12,OFFSET(PLE!$G$14,$M250,CI$13))))</f>
        <v>1000000000000</v>
      </c>
      <c r="CJ250" s="182">
        <f ca="1">IF($D250&lt;&gt;"Serviço",0,IF(OR(AND(AUTOEVENTO="Manual",$M250=1),$M250&gt;(ROW(PLE.lastrow)-ROW(PLE.firstrow))),0,IF(OFFSET(PLE!$G$14,$M250,CJ$13)="",10^12,OFFSET(PLE!$G$14,$M250,CJ$13))))</f>
        <v>1000000000000</v>
      </c>
      <c r="CK250" s="182">
        <f ca="1">IF($D250&lt;&gt;"Serviço",0,IF(OR(AND(AUTOEVENTO="Manual",$M250=1),$M250&gt;(ROW(PLE.lastrow)-ROW(PLE.firstrow))),0,IF(OFFSET(PLE!$G$14,$M250,CK$13)="",10^12,OFFSET(PLE!$G$14,$M250,CK$13))))</f>
        <v>1000000000000</v>
      </c>
      <c r="CL250" s="182">
        <f ca="1">IF($D250&lt;&gt;"Serviço",0,IF(OR(AND(AUTOEVENTO="Manual",$M250=1),$M250&gt;(ROW(PLE.lastrow)-ROW(PLE.firstrow))),0,IF(OFFSET(PLE!$G$14,$M250,CL$13)="",10^12,OFFSET(PLE!$G$14,$M250,CL$13))))</f>
        <v>1000000000000</v>
      </c>
      <c r="CM250" s="182">
        <f ca="1">IF($D250&lt;&gt;"Serviço",0,IF(OR(AND(AUTOEVENTO="Manual",$M250=1),$M250&gt;(ROW(PLE.lastrow)-ROW(PLE.firstrow))),0,IF(OFFSET(PLE!$G$14,$M250,CM$13)="",10^12,OFFSET(PLE!$G$14,$M250,CM$13))))</f>
        <v>1000000000000</v>
      </c>
    </row>
    <row r="251" spans="1:91" ht="38.25" x14ac:dyDescent="0.2">
      <c r="A251" s="7" t="str">
        <f t="shared" ca="1" si="12"/>
        <v>232</v>
      </c>
      <c r="B251" s="7" t="str">
        <f ca="1">OFFSET(ORÇAMENTO!C$15,ROW(B251)-ROW(B$15),0)</f>
        <v>S</v>
      </c>
      <c r="C251" s="7" t="str">
        <f ca="1">OFFSET(ORÇAMENTO!L$15,ROW(C251)-ROW(C$15),0)</f>
        <v/>
      </c>
      <c r="D251" s="118" t="str">
        <f ca="1">OFFSET(ORÇAMENTO!N$15,ROW(D251)-ROW(D$15),0)</f>
        <v>Serviço</v>
      </c>
      <c r="E251" s="119" t="str">
        <f ca="1">OFFSET(ORÇAMENTO!O$15,ROW(E251)-ROW(E$15),0)</f>
        <v>-</v>
      </c>
      <c r="F251" s="172" t="str">
        <f ca="1">OFFSET(ORÇAMENTO!R$15,ROW(F251)-ROW(F$15),0)</f>
        <v>(abra o arquivo 'Referência 06-2024.xlsm)</v>
      </c>
      <c r="G251" s="173" t="str">
        <f ca="1">IF($D251&lt;&gt;"Serviço","",OFFSET(ORÇAMENTO!S$15,ROW(G251)-ROW(G$15),0))</f>
        <v>-</v>
      </c>
      <c r="H251" s="124">
        <f ca="1">IF($D251&lt;&gt;"Serviço",0,IF(ACOMPANHAMENTO="BM",ROUND(OFFSET(ORÇAMENTO!AJ$15,ROW(H251)-ROW(H$15),0),15-13*ORÇAMENTO!$AF$7),SUMPRODUCT(($Q$12:$AI$12&lt;&gt;"")*ROUND($Q251:$AI251,15-13*ORÇAMENTO!$AF$7))))</f>
        <v>44.4</v>
      </c>
      <c r="I251" s="561" t="s">
        <v>1107</v>
      </c>
      <c r="K251" s="174"/>
      <c r="L251" s="175" t="s">
        <v>255</v>
      </c>
      <c r="M251" s="176">
        <f ca="1">IF($D251&lt;&gt;"Serviço","",IF(AUTOEVENTO="manual",$A251,IF(ISERROR(MATCH($A251,$A$15:OFFSET($A251,-1,0),0)),MAX($M$15:OFFSET(M251,-1,0))+1,INDEX($M$15:OFFSET(M251,-1,0),MATCH($A251,$A$15:OFFSET($A251,-1,0),0)))))</f>
        <v>35</v>
      </c>
      <c r="N251" s="177" t="str">
        <f ca="1">IF($D251&lt;&gt;"Serviço","",IF(AUTOEVENTO="Manual",IF($A251=0,"&lt;-- defina o número do agrupador",OFFSET(EVENTOS!$D$14,$A251,0)),OFFSET($F$15,$A251,0)))</f>
        <v>INSTALAÇÃO HIDRÁULICA - TUBULAÇÕES E CONEXÕES DE PVC RÍGIDO</v>
      </c>
      <c r="O251" s="178"/>
      <c r="Q251" s="178">
        <v>44.4</v>
      </c>
      <c r="R251" s="179"/>
      <c r="S251" s="179"/>
      <c r="T251" s="179"/>
      <c r="U251" s="179"/>
      <c r="V251" s="179"/>
      <c r="W251" s="179"/>
      <c r="X251" s="179"/>
      <c r="Y251" s="179"/>
      <c r="Z251" s="180"/>
      <c r="AA251" s="179"/>
      <c r="AB251" s="179"/>
      <c r="AC251" s="179"/>
      <c r="AD251" s="179"/>
      <c r="AE251" s="179"/>
      <c r="AF251" s="179"/>
      <c r="AG251" s="179"/>
      <c r="AH251" s="180"/>
      <c r="AJ251" s="544">
        <f ca="1">IF(AND($D251="Serviço",AJ$12&lt;&gt;0,$H251&gt;0,OR(AUTOEVENTO&lt;&gt;"manual",$M251&lt;&gt;1)),
IF(Import.TipoArredondamento&lt;&gt;"TransfereGOV",
ROUND(OFFSET($P251,0,AJ$13),15-13*ORÇAMENTO!$AF$7)/$H251*OFFSET(ORÇAMENTO!$X$15,ROW(AJ251)-ROW(AJ$15),0),
ROUND(ROUND(OFFSET($P251,0,AJ$13),15-13*ORÇAMENTO!$AF$7)*OFFSET(ORÇAMENTO!$W$15,ROW(AJ251)-ROW(AJ$15),0),15-13*ORÇAMENTO!$AF$11)),0)</f>
        <v>0</v>
      </c>
      <c r="AK251" s="545">
        <f ca="1">IF(AND($D251="Serviço",AK$12&lt;&gt;0,$H251&gt;0,OR(AUTOEVENTO&lt;&gt;"manual",$M251&lt;&gt;1)),
IF(Import.TipoArredondamento&lt;&gt;"TransfereGOV",
ROUND(OFFSET($P251,0,AK$13),15-13*ORÇAMENTO!$AF$7)/$H251*OFFSET(ORÇAMENTO!$X$15,ROW(AK251)-ROW(AK$15),0),
ROUND(ROUND(OFFSET($P251,0,AK$13),15-13*ORÇAMENTO!$AF$7)*OFFSET(ORÇAMENTO!$W$15,ROW(AK251)-ROW(AK$15),0),15-13*ORÇAMENTO!$AF$11)),0)</f>
        <v>0</v>
      </c>
      <c r="AL251" s="545">
        <f ca="1">IF(AND($D251="Serviço",AL$12&lt;&gt;0,$H251&gt;0,OR(AUTOEVENTO&lt;&gt;"manual",$M251&lt;&gt;1)),
IF(Import.TipoArredondamento&lt;&gt;"TransfereGOV",
ROUND(OFFSET($P251,0,AL$13),15-13*ORÇAMENTO!$AF$7)/$H251*OFFSET(ORÇAMENTO!$X$15,ROW(AL251)-ROW(AL$15),0),
ROUND(ROUND(OFFSET($P251,0,AL$13),15-13*ORÇAMENTO!$AF$7)*OFFSET(ORÇAMENTO!$W$15,ROW(AL251)-ROW(AL$15),0),15-13*ORÇAMENTO!$AF$11)),0)</f>
        <v>0</v>
      </c>
      <c r="AM251" s="545">
        <f ca="1">IF(AND($D251="Serviço",AM$12&lt;&gt;0,$H251&gt;0,OR(AUTOEVENTO&lt;&gt;"manual",$M251&lt;&gt;1)),
IF(Import.TipoArredondamento&lt;&gt;"TransfereGOV",
ROUND(OFFSET($P251,0,AM$13),15-13*ORÇAMENTO!$AF$7)/$H251*OFFSET(ORÇAMENTO!$X$15,ROW(AM251)-ROW(AM$15),0),
ROUND(ROUND(OFFSET($P251,0,AM$13),15-13*ORÇAMENTO!$AF$7)*OFFSET(ORÇAMENTO!$W$15,ROW(AM251)-ROW(AM$15),0),15-13*ORÇAMENTO!$AF$11)),0)</f>
        <v>0</v>
      </c>
      <c r="AN251" s="545">
        <f ca="1">IF(AND($D251="Serviço",AN$12&lt;&gt;0,$H251&gt;0,OR(AUTOEVENTO&lt;&gt;"manual",$M251&lt;&gt;1)),
IF(Import.TipoArredondamento&lt;&gt;"TransfereGOV",
ROUND(OFFSET($P251,0,AN$13),15-13*ORÇAMENTO!$AF$7)/$H251*OFFSET(ORÇAMENTO!$X$15,ROW(AN251)-ROW(AN$15),0),
ROUND(ROUND(OFFSET($P251,0,AN$13),15-13*ORÇAMENTO!$AF$7)*OFFSET(ORÇAMENTO!$W$15,ROW(AN251)-ROW(AN$15),0),15-13*ORÇAMENTO!$AF$11)),0)</f>
        <v>0</v>
      </c>
      <c r="AO251" s="545">
        <f ca="1">IF(AND($D251="Serviço",AO$12&lt;&gt;0,$H251&gt;0,OR(AUTOEVENTO&lt;&gt;"manual",$M251&lt;&gt;1)),
IF(Import.TipoArredondamento&lt;&gt;"TransfereGOV",
ROUND(OFFSET($P251,0,AO$13),15-13*ORÇAMENTO!$AF$7)/$H251*OFFSET(ORÇAMENTO!$X$15,ROW(AO251)-ROW(AO$15),0),
ROUND(ROUND(OFFSET($P251,0,AO$13),15-13*ORÇAMENTO!$AF$7)*OFFSET(ORÇAMENTO!$W$15,ROW(AO251)-ROW(AO$15),0),15-13*ORÇAMENTO!$AF$11)),0)</f>
        <v>0</v>
      </c>
      <c r="AP251" s="545">
        <f ca="1">IF(AND($D251="Serviço",AP$12&lt;&gt;0,$H251&gt;0,OR(AUTOEVENTO&lt;&gt;"manual",$M251&lt;&gt;1)),
IF(Import.TipoArredondamento&lt;&gt;"TransfereGOV",
ROUND(OFFSET($P251,0,AP$13),15-13*ORÇAMENTO!$AF$7)/$H251*OFFSET(ORÇAMENTO!$X$15,ROW(AP251)-ROW(AP$15),0),
ROUND(ROUND(OFFSET($P251,0,AP$13),15-13*ORÇAMENTO!$AF$7)*OFFSET(ORÇAMENTO!$W$15,ROW(AP251)-ROW(AP$15),0),15-13*ORÇAMENTO!$AF$11)),0)</f>
        <v>0</v>
      </c>
      <c r="AQ251" s="545">
        <f ca="1">IF(AND($D251="Serviço",AQ$12&lt;&gt;0,$H251&gt;0,OR(AUTOEVENTO&lt;&gt;"manual",$M251&lt;&gt;1)),
IF(Import.TipoArredondamento&lt;&gt;"TransfereGOV",
ROUND(OFFSET($P251,0,AQ$13),15-13*ORÇAMENTO!$AF$7)/$H251*OFFSET(ORÇAMENTO!$X$15,ROW(AQ251)-ROW(AQ$15),0),
ROUND(ROUND(OFFSET($P251,0,AQ$13),15-13*ORÇAMENTO!$AF$7)*OFFSET(ORÇAMENTO!$W$15,ROW(AQ251)-ROW(AQ$15),0),15-13*ORÇAMENTO!$AF$11)),0)</f>
        <v>0</v>
      </c>
      <c r="AR251" s="545">
        <f ca="1">IF(AND($D251="Serviço",AR$12&lt;&gt;0,$H251&gt;0,OR(AUTOEVENTO&lt;&gt;"manual",$M251&lt;&gt;1)),
IF(Import.TipoArredondamento&lt;&gt;"TransfereGOV",
ROUND(OFFSET($P251,0,AR$13),15-13*ORÇAMENTO!$AF$7)/$H251*OFFSET(ORÇAMENTO!$X$15,ROW(AR251)-ROW(AR$15),0),
ROUND(ROUND(OFFSET($P251,0,AR$13),15-13*ORÇAMENTO!$AF$7)*OFFSET(ORÇAMENTO!$W$15,ROW(AR251)-ROW(AR$15),0),15-13*ORÇAMENTO!$AF$11)),0)</f>
        <v>0</v>
      </c>
      <c r="AS251" s="546">
        <f ca="1">IF(AND($D251="Serviço",AS$12&lt;&gt;0,$H251&gt;0,OR(AUTOEVENTO&lt;&gt;"manual",$M251&lt;&gt;1)),
IF(Import.TipoArredondamento&lt;&gt;"TransfereGOV",
ROUND(OFFSET($P251,0,AS$13),15-13*ORÇAMENTO!$AF$7)/$H251*OFFSET(ORÇAMENTO!$X$15,ROW(AS251)-ROW(AS$15),0),
ROUND(ROUND(OFFSET($P251,0,AS$13),15-13*ORÇAMENTO!$AF$7)*OFFSET(ORÇAMENTO!$W$15,ROW(AS251)-ROW(AS$15),0),15-13*ORÇAMENTO!$AF$11)),0)</f>
        <v>0</v>
      </c>
      <c r="AT251" s="545">
        <f ca="1">IF(AND($D251="Serviço",AT$12&lt;&gt;0,$H251&gt;0,OR(AUTOEVENTO&lt;&gt;"manual",$M251&lt;&gt;1)),
IF(Import.TipoArredondamento&lt;&gt;"TransfereGOV",
ROUND(OFFSET($P251,0,AT$13),15-13*ORÇAMENTO!$AF$7)/$H251*OFFSET(ORÇAMENTO!$X$15,ROW(AT251)-ROW(AT$15),0),
ROUND(ROUND(OFFSET($P251,0,AT$13),15-13*ORÇAMENTO!$AF$7)*OFFSET(ORÇAMENTO!$W$15,ROW(AT251)-ROW(AT$15),0),15-13*ORÇAMENTO!$AF$11)),0)</f>
        <v>0</v>
      </c>
      <c r="AU251" s="545">
        <f ca="1">IF(AND($D251="Serviço",AU$12&lt;&gt;0,$H251&gt;0,OR(AUTOEVENTO&lt;&gt;"manual",$M251&lt;&gt;1)),
IF(Import.TipoArredondamento&lt;&gt;"TransfereGOV",
ROUND(OFFSET($P251,0,AU$13),15-13*ORÇAMENTO!$AF$7)/$H251*OFFSET(ORÇAMENTO!$X$15,ROW(AU251)-ROW(AU$15),0),
ROUND(ROUND(OFFSET($P251,0,AU$13),15-13*ORÇAMENTO!$AF$7)*OFFSET(ORÇAMENTO!$W$15,ROW(AU251)-ROW(AU$15),0),15-13*ORÇAMENTO!$AF$11)),0)</f>
        <v>0</v>
      </c>
      <c r="AV251" s="545">
        <f ca="1">IF(AND($D251="Serviço",AV$12&lt;&gt;0,$H251&gt;0,OR(AUTOEVENTO&lt;&gt;"manual",$M251&lt;&gt;1)),
IF(Import.TipoArredondamento&lt;&gt;"TransfereGOV",
ROUND(OFFSET($P251,0,AV$13),15-13*ORÇAMENTO!$AF$7)/$H251*OFFSET(ORÇAMENTO!$X$15,ROW(AV251)-ROW(AV$15),0),
ROUND(ROUND(OFFSET($P251,0,AV$13),15-13*ORÇAMENTO!$AF$7)*OFFSET(ORÇAMENTO!$W$15,ROW(AV251)-ROW(AV$15),0),15-13*ORÇAMENTO!$AF$11)),0)</f>
        <v>0</v>
      </c>
      <c r="AW251" s="545">
        <f ca="1">IF(AND($D251="Serviço",AW$12&lt;&gt;0,$H251&gt;0,OR(AUTOEVENTO&lt;&gt;"manual",$M251&lt;&gt;1)),
IF(Import.TipoArredondamento&lt;&gt;"TransfereGOV",
ROUND(OFFSET($P251,0,AW$13),15-13*ORÇAMENTO!$AF$7)/$H251*OFFSET(ORÇAMENTO!$X$15,ROW(AW251)-ROW(AW$15),0),
ROUND(ROUND(OFFSET($P251,0,AW$13),15-13*ORÇAMENTO!$AF$7)*OFFSET(ORÇAMENTO!$W$15,ROW(AW251)-ROW(AW$15),0),15-13*ORÇAMENTO!$AF$11)),0)</f>
        <v>0</v>
      </c>
      <c r="AX251" s="545">
        <f ca="1">IF(AND($D251="Serviço",AX$12&lt;&gt;0,$H251&gt;0,OR(AUTOEVENTO&lt;&gt;"manual",$M251&lt;&gt;1)),
IF(Import.TipoArredondamento&lt;&gt;"TransfereGOV",
ROUND(OFFSET($P251,0,AX$13),15-13*ORÇAMENTO!$AF$7)/$H251*OFFSET(ORÇAMENTO!$X$15,ROW(AX251)-ROW(AX$15),0),
ROUND(ROUND(OFFSET($P251,0,AX$13),15-13*ORÇAMENTO!$AF$7)*OFFSET(ORÇAMENTO!$W$15,ROW(AX251)-ROW(AX$15),0),15-13*ORÇAMENTO!$AF$11)),0)</f>
        <v>0</v>
      </c>
      <c r="AY251" s="545">
        <f ca="1">IF(AND($D251="Serviço",AY$12&lt;&gt;0,$H251&gt;0,OR(AUTOEVENTO&lt;&gt;"manual",$M251&lt;&gt;1)),
IF(Import.TipoArredondamento&lt;&gt;"TransfereGOV",
ROUND(OFFSET($P251,0,AY$13),15-13*ORÇAMENTO!$AF$7)/$H251*OFFSET(ORÇAMENTO!$X$15,ROW(AY251)-ROW(AY$15),0),
ROUND(ROUND(OFFSET($P251,0,AY$13),15-13*ORÇAMENTO!$AF$7)*OFFSET(ORÇAMENTO!$W$15,ROW(AY251)-ROW(AY$15),0),15-13*ORÇAMENTO!$AF$11)),0)</f>
        <v>0</v>
      </c>
      <c r="AZ251" s="545">
        <f ca="1">IF(AND($D251="Serviço",AZ$12&lt;&gt;0,$H251&gt;0,OR(AUTOEVENTO&lt;&gt;"manual",$M251&lt;&gt;1)),
IF(Import.TipoArredondamento&lt;&gt;"TransfereGOV",
ROUND(OFFSET($P251,0,AZ$13),15-13*ORÇAMENTO!$AF$7)/$H251*OFFSET(ORÇAMENTO!$X$15,ROW(AZ251)-ROW(AZ$15),0),
ROUND(ROUND(OFFSET($P251,0,AZ$13),15-13*ORÇAMENTO!$AF$7)*OFFSET(ORÇAMENTO!$W$15,ROW(AZ251)-ROW(AZ$15),0),15-13*ORÇAMENTO!$AF$11)),0)</f>
        <v>0</v>
      </c>
      <c r="BA251" s="546">
        <f ca="1">IF(AND($D251="Serviço",BA$12&lt;&gt;0,$H251&gt;0,OR(AUTOEVENTO&lt;&gt;"manual",$M251&lt;&gt;1)),
IF(Import.TipoArredondamento&lt;&gt;"TransfereGOV",
ROUND(OFFSET($P251,0,BA$13),15-13*ORÇAMENTO!$AF$7)/$H251*OFFSET(ORÇAMENTO!$X$15,ROW(BA251)-ROW(BA$15),0),
ROUND(ROUND(OFFSET($P251,0,BA$13),15-13*ORÇAMENTO!$AF$7)*OFFSET(ORÇAMENTO!$W$15,ROW(BA251)-ROW(BA$15),0),15-13*ORÇAMENTO!$AF$11)),0)</f>
        <v>0</v>
      </c>
      <c r="BC251" s="181">
        <f ca="1">IF($D251&lt;&gt;"Serviço",0,IF(AND(AUTOEVENTO="Manual",$M251=1),0,IF(OFFSET(CRONOPLE!$F$14,$M251,BC$13)="",10^12,OFFSET(CRONOPLE!$F$14,$M251,BC$13))))</f>
        <v>9</v>
      </c>
      <c r="BD251" s="181">
        <f ca="1">IF($D251&lt;&gt;"Serviço",0,IF(AND(AUTOEVENTO="Manual",$M251=1),0,IF(OFFSET(CRONOPLE!$F$14,$M251,BD$13)="",10^12,OFFSET(CRONOPLE!$F$14,$M251,BD$13))))</f>
        <v>1000000000000</v>
      </c>
      <c r="BE251" s="181">
        <f ca="1">IF($D251&lt;&gt;"Serviço",0,IF(AND(AUTOEVENTO="Manual",$M251=1),0,IF(OFFSET(CRONOPLE!$F$14,$M251,BE$13)="",10^12,OFFSET(CRONOPLE!$F$14,$M251,BE$13))))</f>
        <v>1000000000000</v>
      </c>
      <c r="BF251" s="181">
        <f ca="1">IF($D251&lt;&gt;"Serviço",0,IF(AND(AUTOEVENTO="Manual",$M251=1),0,IF(OFFSET(CRONOPLE!$F$14,$M251,BF$13)="",10^12,OFFSET(CRONOPLE!$F$14,$M251,BF$13))))</f>
        <v>1000000000000</v>
      </c>
      <c r="BG251" s="181">
        <f ca="1">IF($D251&lt;&gt;"Serviço",0,IF(AND(AUTOEVENTO="Manual",$M251=1),0,IF(OFFSET(CRONOPLE!$F$14,$M251,BG$13)="",10^12,OFFSET(CRONOPLE!$F$14,$M251,BG$13))))</f>
        <v>1000000000000</v>
      </c>
      <c r="BH251" s="181">
        <f ca="1">IF($D251&lt;&gt;"Serviço",0,IF(AND(AUTOEVENTO="Manual",$M251=1),0,IF(OFFSET(CRONOPLE!$F$14,$M251,BH$13)="",10^12,OFFSET(CRONOPLE!$F$14,$M251,BH$13))))</f>
        <v>1000000000000</v>
      </c>
      <c r="BI251" s="181">
        <f ca="1">IF($D251&lt;&gt;"Serviço",0,IF(AND(AUTOEVENTO="Manual",$M251=1),0,IF(OFFSET(CRONOPLE!$F$14,$M251,BI$13)="",10^12,OFFSET(CRONOPLE!$F$14,$M251,BI$13))))</f>
        <v>1000000000000</v>
      </c>
      <c r="BJ251" s="181">
        <f ca="1">IF($D251&lt;&gt;"Serviço",0,IF(AND(AUTOEVENTO="Manual",$M251=1),0,IF(OFFSET(CRONOPLE!$F$14,$M251,BJ$13)="",10^12,OFFSET(CRONOPLE!$F$14,$M251,BJ$13))))</f>
        <v>1000000000000</v>
      </c>
      <c r="BK251" s="181">
        <f ca="1">IF($D251&lt;&gt;"Serviço",0,IF(AND(AUTOEVENTO="Manual",$M251=1),0,IF(OFFSET(CRONOPLE!$F$14,$M251,BK$13)="",10^12,OFFSET(CRONOPLE!$F$14,$M251,BK$13))))</f>
        <v>1000000000000</v>
      </c>
      <c r="BL251" s="181">
        <f ca="1">IF($D251&lt;&gt;"Serviço",0,IF(AND(AUTOEVENTO="Manual",$M251=1),0,IF(OFFSET(CRONOPLE!$F$14,$M251,BL$13)="",10^12,OFFSET(CRONOPLE!$F$14,$M251,BL$13))))</f>
        <v>1000000000000</v>
      </c>
      <c r="BM251" s="181">
        <f ca="1">IF($D251&lt;&gt;"Serviço",0,IF(AND(AUTOEVENTO="Manual",$M251=1),0,IF(OFFSET(CRONOPLE!$F$14,$M251,BM$13)="",10^12,OFFSET(CRONOPLE!$F$14,$M251,BM$13))))</f>
        <v>1000000000000</v>
      </c>
      <c r="BN251" s="181">
        <f ca="1">IF($D251&lt;&gt;"Serviço",0,IF(AND(AUTOEVENTO="Manual",$M251=1),0,IF(OFFSET(CRONOPLE!$F$14,$M251,BN$13)="",10^12,OFFSET(CRONOPLE!$F$14,$M251,BN$13))))</f>
        <v>1000000000000</v>
      </c>
      <c r="BO251" s="181">
        <f ca="1">IF($D251&lt;&gt;"Serviço",0,IF(AND(AUTOEVENTO="Manual",$M251=1),0,IF(OFFSET(CRONOPLE!$F$14,$M251,BO$13)="",10^12,OFFSET(CRONOPLE!$F$14,$M251,BO$13))))</f>
        <v>1000000000000</v>
      </c>
      <c r="BP251" s="181">
        <f ca="1">IF($D251&lt;&gt;"Serviço",0,IF(AND(AUTOEVENTO="Manual",$M251=1),0,IF(OFFSET(CRONOPLE!$F$14,$M251,BP$13)="",10^12,OFFSET(CRONOPLE!$F$14,$M251,BP$13))))</f>
        <v>1000000000000</v>
      </c>
      <c r="BQ251" s="181">
        <f ca="1">IF($D251&lt;&gt;"Serviço",0,IF(AND(AUTOEVENTO="Manual",$M251=1),0,IF(OFFSET(CRONOPLE!$F$14,$M251,BQ$13)="",10^12,OFFSET(CRONOPLE!$F$14,$M251,BQ$13))))</f>
        <v>1000000000000</v>
      </c>
      <c r="BR251" s="181">
        <f ca="1">IF($D251&lt;&gt;"Serviço",0,IF(AND(AUTOEVENTO="Manual",$M251=1),0,IF(OFFSET(CRONOPLE!$F$14,$M251,BR$13)="",10^12,OFFSET(CRONOPLE!$F$14,$M251,BR$13))))</f>
        <v>1000000000000</v>
      </c>
      <c r="BS251" s="181">
        <f ca="1">IF($D251&lt;&gt;"Serviço",0,IF(AND(AUTOEVENTO="Manual",$M251=1),0,IF(OFFSET(CRONOPLE!$F$14,$M251,BS$13)="",10^12,OFFSET(CRONOPLE!$F$14,$M251,BS$13))))</f>
        <v>1000000000000</v>
      </c>
      <c r="BT251" s="181">
        <f ca="1">IF($D251&lt;&gt;"Serviço",0,IF(AND(AUTOEVENTO="Manual",$M251=1),0,IF(OFFSET(CRONOPLE!$F$14,$M251,BT$13)="",10^12,OFFSET(CRONOPLE!$F$14,$M251,BT$13))))</f>
        <v>1000000000000</v>
      </c>
      <c r="BV251" s="182">
        <f ca="1">IF($D251&lt;&gt;"Serviço",0,IF(OR(AND(AUTOEVENTO="Manual",$M251=1),$M251&gt;(ROW(PLE.lastrow)-ROW(PLE.firstrow))),0,IF(OFFSET(PLE!$G$14,$M251,BV$13)="",10^12,OFFSET(PLE!$G$14,$M251,BV$13))))</f>
        <v>1000000000000</v>
      </c>
      <c r="BW251" s="182">
        <f ca="1">IF($D251&lt;&gt;"Serviço",0,IF(OR(AND(AUTOEVENTO="Manual",$M251=1),$M251&gt;(ROW(PLE.lastrow)-ROW(PLE.firstrow))),0,IF(OFFSET(PLE!$G$14,$M251,BW$13)="",10^12,OFFSET(PLE!$G$14,$M251,BW$13))))</f>
        <v>1000000000000</v>
      </c>
      <c r="BX251" s="182">
        <f ca="1">IF($D251&lt;&gt;"Serviço",0,IF(OR(AND(AUTOEVENTO="Manual",$M251=1),$M251&gt;(ROW(PLE.lastrow)-ROW(PLE.firstrow))),0,IF(OFFSET(PLE!$G$14,$M251,BX$13)="",10^12,OFFSET(PLE!$G$14,$M251,BX$13))))</f>
        <v>1000000000000</v>
      </c>
      <c r="BY251" s="182">
        <f ca="1">IF($D251&lt;&gt;"Serviço",0,IF(OR(AND(AUTOEVENTO="Manual",$M251=1),$M251&gt;(ROW(PLE.lastrow)-ROW(PLE.firstrow))),0,IF(OFFSET(PLE!$G$14,$M251,BY$13)="",10^12,OFFSET(PLE!$G$14,$M251,BY$13))))</f>
        <v>1000000000000</v>
      </c>
      <c r="BZ251" s="182">
        <f ca="1">IF($D251&lt;&gt;"Serviço",0,IF(OR(AND(AUTOEVENTO="Manual",$M251=1),$M251&gt;(ROW(PLE.lastrow)-ROW(PLE.firstrow))),0,IF(OFFSET(PLE!$G$14,$M251,BZ$13)="",10^12,OFFSET(PLE!$G$14,$M251,BZ$13))))</f>
        <v>1000000000000</v>
      </c>
      <c r="CA251" s="182">
        <f ca="1">IF($D251&lt;&gt;"Serviço",0,IF(OR(AND(AUTOEVENTO="Manual",$M251=1),$M251&gt;(ROW(PLE.lastrow)-ROW(PLE.firstrow))),0,IF(OFFSET(PLE!$G$14,$M251,CA$13)="",10^12,OFFSET(PLE!$G$14,$M251,CA$13))))</f>
        <v>1000000000000</v>
      </c>
      <c r="CB251" s="182">
        <f ca="1">IF($D251&lt;&gt;"Serviço",0,IF(OR(AND(AUTOEVENTO="Manual",$M251=1),$M251&gt;(ROW(PLE.lastrow)-ROW(PLE.firstrow))),0,IF(OFFSET(PLE!$G$14,$M251,CB$13)="",10^12,OFFSET(PLE!$G$14,$M251,CB$13))))</f>
        <v>1000000000000</v>
      </c>
      <c r="CC251" s="182">
        <f ca="1">IF($D251&lt;&gt;"Serviço",0,IF(OR(AND(AUTOEVENTO="Manual",$M251=1),$M251&gt;(ROW(PLE.lastrow)-ROW(PLE.firstrow))),0,IF(OFFSET(PLE!$G$14,$M251,CC$13)="",10^12,OFFSET(PLE!$G$14,$M251,CC$13))))</f>
        <v>1000000000000</v>
      </c>
      <c r="CD251" s="182">
        <f ca="1">IF($D251&lt;&gt;"Serviço",0,IF(OR(AND(AUTOEVENTO="Manual",$M251=1),$M251&gt;(ROW(PLE.lastrow)-ROW(PLE.firstrow))),0,IF(OFFSET(PLE!$G$14,$M251,CD$13)="",10^12,OFFSET(PLE!$G$14,$M251,CD$13))))</f>
        <v>1000000000000</v>
      </c>
      <c r="CE251" s="182">
        <f ca="1">IF($D251&lt;&gt;"Serviço",0,IF(OR(AND(AUTOEVENTO="Manual",$M251=1),$M251&gt;(ROW(PLE.lastrow)-ROW(PLE.firstrow))),0,IF(OFFSET(PLE!$G$14,$M251,CE$13)="",10^12,OFFSET(PLE!$G$14,$M251,CE$13))))</f>
        <v>1000000000000</v>
      </c>
      <c r="CF251" s="182">
        <f ca="1">IF($D251&lt;&gt;"Serviço",0,IF(OR(AND(AUTOEVENTO="Manual",$M251=1),$M251&gt;(ROW(PLE.lastrow)-ROW(PLE.firstrow))),0,IF(OFFSET(PLE!$G$14,$M251,CF$13)="",10^12,OFFSET(PLE!$G$14,$M251,CF$13))))</f>
        <v>1000000000000</v>
      </c>
      <c r="CG251" s="182">
        <f ca="1">IF($D251&lt;&gt;"Serviço",0,IF(OR(AND(AUTOEVENTO="Manual",$M251=1),$M251&gt;(ROW(PLE.lastrow)-ROW(PLE.firstrow))),0,IF(OFFSET(PLE!$G$14,$M251,CG$13)="",10^12,OFFSET(PLE!$G$14,$M251,CG$13))))</f>
        <v>1000000000000</v>
      </c>
      <c r="CH251" s="182">
        <f ca="1">IF($D251&lt;&gt;"Serviço",0,IF(OR(AND(AUTOEVENTO="Manual",$M251=1),$M251&gt;(ROW(PLE.lastrow)-ROW(PLE.firstrow))),0,IF(OFFSET(PLE!$G$14,$M251,CH$13)="",10^12,OFFSET(PLE!$G$14,$M251,CH$13))))</f>
        <v>1000000000000</v>
      </c>
      <c r="CI251" s="182">
        <f ca="1">IF($D251&lt;&gt;"Serviço",0,IF(OR(AND(AUTOEVENTO="Manual",$M251=1),$M251&gt;(ROW(PLE.lastrow)-ROW(PLE.firstrow))),0,IF(OFFSET(PLE!$G$14,$M251,CI$13)="",10^12,OFFSET(PLE!$G$14,$M251,CI$13))))</f>
        <v>1000000000000</v>
      </c>
      <c r="CJ251" s="182">
        <f ca="1">IF($D251&lt;&gt;"Serviço",0,IF(OR(AND(AUTOEVENTO="Manual",$M251=1),$M251&gt;(ROW(PLE.lastrow)-ROW(PLE.firstrow))),0,IF(OFFSET(PLE!$G$14,$M251,CJ$13)="",10^12,OFFSET(PLE!$G$14,$M251,CJ$13))))</f>
        <v>1000000000000</v>
      </c>
      <c r="CK251" s="182">
        <f ca="1">IF($D251&lt;&gt;"Serviço",0,IF(OR(AND(AUTOEVENTO="Manual",$M251=1),$M251&gt;(ROW(PLE.lastrow)-ROW(PLE.firstrow))),0,IF(OFFSET(PLE!$G$14,$M251,CK$13)="",10^12,OFFSET(PLE!$G$14,$M251,CK$13))))</f>
        <v>1000000000000</v>
      </c>
      <c r="CL251" s="182">
        <f ca="1">IF($D251&lt;&gt;"Serviço",0,IF(OR(AND(AUTOEVENTO="Manual",$M251=1),$M251&gt;(ROW(PLE.lastrow)-ROW(PLE.firstrow))),0,IF(OFFSET(PLE!$G$14,$M251,CL$13)="",10^12,OFFSET(PLE!$G$14,$M251,CL$13))))</f>
        <v>1000000000000</v>
      </c>
      <c r="CM251" s="182">
        <f ca="1">IF($D251&lt;&gt;"Serviço",0,IF(OR(AND(AUTOEVENTO="Manual",$M251=1),$M251&gt;(ROW(PLE.lastrow)-ROW(PLE.firstrow))),0,IF(OFFSET(PLE!$G$14,$M251,CM$13)="",10^12,OFFSET(PLE!$G$14,$M251,CM$13))))</f>
        <v>1000000000000</v>
      </c>
    </row>
    <row r="252" spans="1:91" ht="38.25" x14ac:dyDescent="0.2">
      <c r="A252" s="7" t="str">
        <f t="shared" ca="1" si="12"/>
        <v>232</v>
      </c>
      <c r="B252" s="7" t="str">
        <f ca="1">OFFSET(ORÇAMENTO!C$15,ROW(B252)-ROW(B$15),0)</f>
        <v>S</v>
      </c>
      <c r="C252" s="7" t="str">
        <f ca="1">OFFSET(ORÇAMENTO!L$15,ROW(C252)-ROW(C$15),0)</f>
        <v/>
      </c>
      <c r="D252" s="118" t="str">
        <f ca="1">OFFSET(ORÇAMENTO!N$15,ROW(D252)-ROW(D$15),0)</f>
        <v>Serviço</v>
      </c>
      <c r="E252" s="119" t="str">
        <f ca="1">OFFSET(ORÇAMENTO!O$15,ROW(E252)-ROW(E$15),0)</f>
        <v>-</v>
      </c>
      <c r="F252" s="172" t="str">
        <f ca="1">OFFSET(ORÇAMENTO!R$15,ROW(F252)-ROW(F$15),0)</f>
        <v>(abra o arquivo 'Referência 06-2024.xlsm)</v>
      </c>
      <c r="G252" s="173" t="str">
        <f ca="1">IF($D252&lt;&gt;"Serviço","",OFFSET(ORÇAMENTO!S$15,ROW(G252)-ROW(G$15),0))</f>
        <v>-</v>
      </c>
      <c r="H252" s="124">
        <f ca="1">IF($D252&lt;&gt;"Serviço",0,IF(ACOMPANHAMENTO="BM",ROUND(OFFSET(ORÇAMENTO!AJ$15,ROW(H252)-ROW(H$15),0),15-13*ORÇAMENTO!$AF$7),SUMPRODUCT(($Q$12:$AI$12&lt;&gt;"")*ROUND($Q252:$AI252,15-13*ORÇAMENTO!$AF$7))))</f>
        <v>316.8</v>
      </c>
      <c r="I252" s="561" t="s">
        <v>1107</v>
      </c>
      <c r="K252" s="174"/>
      <c r="L252" s="175" t="s">
        <v>255</v>
      </c>
      <c r="M252" s="176">
        <f ca="1">IF($D252&lt;&gt;"Serviço","",IF(AUTOEVENTO="manual",$A252,IF(ISERROR(MATCH($A252,$A$15:OFFSET($A252,-1,0),0)),MAX($M$15:OFFSET(M252,-1,0))+1,INDEX($M$15:OFFSET(M252,-1,0),MATCH($A252,$A$15:OFFSET($A252,-1,0),0)))))</f>
        <v>35</v>
      </c>
      <c r="N252" s="177" t="str">
        <f ca="1">IF($D252&lt;&gt;"Serviço","",IF(AUTOEVENTO="Manual",IF($A252=0,"&lt;-- defina o número do agrupador",OFFSET(EVENTOS!$D$14,$A252,0)),OFFSET($F$15,$A252,0)))</f>
        <v>INSTALAÇÃO HIDRÁULICA - TUBULAÇÕES E CONEXÕES DE PVC RÍGIDO</v>
      </c>
      <c r="O252" s="178"/>
      <c r="Q252" s="178">
        <v>316.8</v>
      </c>
      <c r="R252" s="179"/>
      <c r="S252" s="179"/>
      <c r="T252" s="179"/>
      <c r="U252" s="179"/>
      <c r="V252" s="179"/>
      <c r="W252" s="179"/>
      <c r="X252" s="179"/>
      <c r="Y252" s="179"/>
      <c r="Z252" s="180"/>
      <c r="AA252" s="179"/>
      <c r="AB252" s="179"/>
      <c r="AC252" s="179"/>
      <c r="AD252" s="179"/>
      <c r="AE252" s="179"/>
      <c r="AF252" s="179"/>
      <c r="AG252" s="179"/>
      <c r="AH252" s="180"/>
      <c r="AJ252" s="544">
        <f ca="1">IF(AND($D252="Serviço",AJ$12&lt;&gt;0,$H252&gt;0,OR(AUTOEVENTO&lt;&gt;"manual",$M252&lt;&gt;1)),
IF(Import.TipoArredondamento&lt;&gt;"TransfereGOV",
ROUND(OFFSET($P252,0,AJ$13),15-13*ORÇAMENTO!$AF$7)/$H252*OFFSET(ORÇAMENTO!$X$15,ROW(AJ252)-ROW(AJ$15),0),
ROUND(ROUND(OFFSET($P252,0,AJ$13),15-13*ORÇAMENTO!$AF$7)*OFFSET(ORÇAMENTO!$W$15,ROW(AJ252)-ROW(AJ$15),0),15-13*ORÇAMENTO!$AF$11)),0)</f>
        <v>0</v>
      </c>
      <c r="AK252" s="545">
        <f ca="1">IF(AND($D252="Serviço",AK$12&lt;&gt;0,$H252&gt;0,OR(AUTOEVENTO&lt;&gt;"manual",$M252&lt;&gt;1)),
IF(Import.TipoArredondamento&lt;&gt;"TransfereGOV",
ROUND(OFFSET($P252,0,AK$13),15-13*ORÇAMENTO!$AF$7)/$H252*OFFSET(ORÇAMENTO!$X$15,ROW(AK252)-ROW(AK$15),0),
ROUND(ROUND(OFFSET($P252,0,AK$13),15-13*ORÇAMENTO!$AF$7)*OFFSET(ORÇAMENTO!$W$15,ROW(AK252)-ROW(AK$15),0),15-13*ORÇAMENTO!$AF$11)),0)</f>
        <v>0</v>
      </c>
      <c r="AL252" s="545">
        <f ca="1">IF(AND($D252="Serviço",AL$12&lt;&gt;0,$H252&gt;0,OR(AUTOEVENTO&lt;&gt;"manual",$M252&lt;&gt;1)),
IF(Import.TipoArredondamento&lt;&gt;"TransfereGOV",
ROUND(OFFSET($P252,0,AL$13),15-13*ORÇAMENTO!$AF$7)/$H252*OFFSET(ORÇAMENTO!$X$15,ROW(AL252)-ROW(AL$15),0),
ROUND(ROUND(OFFSET($P252,0,AL$13),15-13*ORÇAMENTO!$AF$7)*OFFSET(ORÇAMENTO!$W$15,ROW(AL252)-ROW(AL$15),0),15-13*ORÇAMENTO!$AF$11)),0)</f>
        <v>0</v>
      </c>
      <c r="AM252" s="545">
        <f ca="1">IF(AND($D252="Serviço",AM$12&lt;&gt;0,$H252&gt;0,OR(AUTOEVENTO&lt;&gt;"manual",$M252&lt;&gt;1)),
IF(Import.TipoArredondamento&lt;&gt;"TransfereGOV",
ROUND(OFFSET($P252,0,AM$13),15-13*ORÇAMENTO!$AF$7)/$H252*OFFSET(ORÇAMENTO!$X$15,ROW(AM252)-ROW(AM$15),0),
ROUND(ROUND(OFFSET($P252,0,AM$13),15-13*ORÇAMENTO!$AF$7)*OFFSET(ORÇAMENTO!$W$15,ROW(AM252)-ROW(AM$15),0),15-13*ORÇAMENTO!$AF$11)),0)</f>
        <v>0</v>
      </c>
      <c r="AN252" s="545">
        <f ca="1">IF(AND($D252="Serviço",AN$12&lt;&gt;0,$H252&gt;0,OR(AUTOEVENTO&lt;&gt;"manual",$M252&lt;&gt;1)),
IF(Import.TipoArredondamento&lt;&gt;"TransfereGOV",
ROUND(OFFSET($P252,0,AN$13),15-13*ORÇAMENTO!$AF$7)/$H252*OFFSET(ORÇAMENTO!$X$15,ROW(AN252)-ROW(AN$15),0),
ROUND(ROUND(OFFSET($P252,0,AN$13),15-13*ORÇAMENTO!$AF$7)*OFFSET(ORÇAMENTO!$W$15,ROW(AN252)-ROW(AN$15),0),15-13*ORÇAMENTO!$AF$11)),0)</f>
        <v>0</v>
      </c>
      <c r="AO252" s="545">
        <f ca="1">IF(AND($D252="Serviço",AO$12&lt;&gt;0,$H252&gt;0,OR(AUTOEVENTO&lt;&gt;"manual",$M252&lt;&gt;1)),
IF(Import.TipoArredondamento&lt;&gt;"TransfereGOV",
ROUND(OFFSET($P252,0,AO$13),15-13*ORÇAMENTO!$AF$7)/$H252*OFFSET(ORÇAMENTO!$X$15,ROW(AO252)-ROW(AO$15),0),
ROUND(ROUND(OFFSET($P252,0,AO$13),15-13*ORÇAMENTO!$AF$7)*OFFSET(ORÇAMENTO!$W$15,ROW(AO252)-ROW(AO$15),0),15-13*ORÇAMENTO!$AF$11)),0)</f>
        <v>0</v>
      </c>
      <c r="AP252" s="545">
        <f ca="1">IF(AND($D252="Serviço",AP$12&lt;&gt;0,$H252&gt;0,OR(AUTOEVENTO&lt;&gt;"manual",$M252&lt;&gt;1)),
IF(Import.TipoArredondamento&lt;&gt;"TransfereGOV",
ROUND(OFFSET($P252,0,AP$13),15-13*ORÇAMENTO!$AF$7)/$H252*OFFSET(ORÇAMENTO!$X$15,ROW(AP252)-ROW(AP$15),0),
ROUND(ROUND(OFFSET($P252,0,AP$13),15-13*ORÇAMENTO!$AF$7)*OFFSET(ORÇAMENTO!$W$15,ROW(AP252)-ROW(AP$15),0),15-13*ORÇAMENTO!$AF$11)),0)</f>
        <v>0</v>
      </c>
      <c r="AQ252" s="545">
        <f ca="1">IF(AND($D252="Serviço",AQ$12&lt;&gt;0,$H252&gt;0,OR(AUTOEVENTO&lt;&gt;"manual",$M252&lt;&gt;1)),
IF(Import.TipoArredondamento&lt;&gt;"TransfereGOV",
ROUND(OFFSET($P252,0,AQ$13),15-13*ORÇAMENTO!$AF$7)/$H252*OFFSET(ORÇAMENTO!$X$15,ROW(AQ252)-ROW(AQ$15),0),
ROUND(ROUND(OFFSET($P252,0,AQ$13),15-13*ORÇAMENTO!$AF$7)*OFFSET(ORÇAMENTO!$W$15,ROW(AQ252)-ROW(AQ$15),0),15-13*ORÇAMENTO!$AF$11)),0)</f>
        <v>0</v>
      </c>
      <c r="AR252" s="545">
        <f ca="1">IF(AND($D252="Serviço",AR$12&lt;&gt;0,$H252&gt;0,OR(AUTOEVENTO&lt;&gt;"manual",$M252&lt;&gt;1)),
IF(Import.TipoArredondamento&lt;&gt;"TransfereGOV",
ROUND(OFFSET($P252,0,AR$13),15-13*ORÇAMENTO!$AF$7)/$H252*OFFSET(ORÇAMENTO!$X$15,ROW(AR252)-ROW(AR$15),0),
ROUND(ROUND(OFFSET($P252,0,AR$13),15-13*ORÇAMENTO!$AF$7)*OFFSET(ORÇAMENTO!$W$15,ROW(AR252)-ROW(AR$15),0),15-13*ORÇAMENTO!$AF$11)),0)</f>
        <v>0</v>
      </c>
      <c r="AS252" s="546">
        <f ca="1">IF(AND($D252="Serviço",AS$12&lt;&gt;0,$H252&gt;0,OR(AUTOEVENTO&lt;&gt;"manual",$M252&lt;&gt;1)),
IF(Import.TipoArredondamento&lt;&gt;"TransfereGOV",
ROUND(OFFSET($P252,0,AS$13),15-13*ORÇAMENTO!$AF$7)/$H252*OFFSET(ORÇAMENTO!$X$15,ROW(AS252)-ROW(AS$15),0),
ROUND(ROUND(OFFSET($P252,0,AS$13),15-13*ORÇAMENTO!$AF$7)*OFFSET(ORÇAMENTO!$W$15,ROW(AS252)-ROW(AS$15),0),15-13*ORÇAMENTO!$AF$11)),0)</f>
        <v>0</v>
      </c>
      <c r="AT252" s="545">
        <f ca="1">IF(AND($D252="Serviço",AT$12&lt;&gt;0,$H252&gt;0,OR(AUTOEVENTO&lt;&gt;"manual",$M252&lt;&gt;1)),
IF(Import.TipoArredondamento&lt;&gt;"TransfereGOV",
ROUND(OFFSET($P252,0,AT$13),15-13*ORÇAMENTO!$AF$7)/$H252*OFFSET(ORÇAMENTO!$X$15,ROW(AT252)-ROW(AT$15),0),
ROUND(ROUND(OFFSET($P252,0,AT$13),15-13*ORÇAMENTO!$AF$7)*OFFSET(ORÇAMENTO!$W$15,ROW(AT252)-ROW(AT$15),0),15-13*ORÇAMENTO!$AF$11)),0)</f>
        <v>0</v>
      </c>
      <c r="AU252" s="545">
        <f ca="1">IF(AND($D252="Serviço",AU$12&lt;&gt;0,$H252&gt;0,OR(AUTOEVENTO&lt;&gt;"manual",$M252&lt;&gt;1)),
IF(Import.TipoArredondamento&lt;&gt;"TransfereGOV",
ROUND(OFFSET($P252,0,AU$13),15-13*ORÇAMENTO!$AF$7)/$H252*OFFSET(ORÇAMENTO!$X$15,ROW(AU252)-ROW(AU$15),0),
ROUND(ROUND(OFFSET($P252,0,AU$13),15-13*ORÇAMENTO!$AF$7)*OFFSET(ORÇAMENTO!$W$15,ROW(AU252)-ROW(AU$15),0),15-13*ORÇAMENTO!$AF$11)),0)</f>
        <v>0</v>
      </c>
      <c r="AV252" s="545">
        <f ca="1">IF(AND($D252="Serviço",AV$12&lt;&gt;0,$H252&gt;0,OR(AUTOEVENTO&lt;&gt;"manual",$M252&lt;&gt;1)),
IF(Import.TipoArredondamento&lt;&gt;"TransfereGOV",
ROUND(OFFSET($P252,0,AV$13),15-13*ORÇAMENTO!$AF$7)/$H252*OFFSET(ORÇAMENTO!$X$15,ROW(AV252)-ROW(AV$15),0),
ROUND(ROUND(OFFSET($P252,0,AV$13),15-13*ORÇAMENTO!$AF$7)*OFFSET(ORÇAMENTO!$W$15,ROW(AV252)-ROW(AV$15),0),15-13*ORÇAMENTO!$AF$11)),0)</f>
        <v>0</v>
      </c>
      <c r="AW252" s="545">
        <f ca="1">IF(AND($D252="Serviço",AW$12&lt;&gt;0,$H252&gt;0,OR(AUTOEVENTO&lt;&gt;"manual",$M252&lt;&gt;1)),
IF(Import.TipoArredondamento&lt;&gt;"TransfereGOV",
ROUND(OFFSET($P252,0,AW$13),15-13*ORÇAMENTO!$AF$7)/$H252*OFFSET(ORÇAMENTO!$X$15,ROW(AW252)-ROW(AW$15),0),
ROUND(ROUND(OFFSET($P252,0,AW$13),15-13*ORÇAMENTO!$AF$7)*OFFSET(ORÇAMENTO!$W$15,ROW(AW252)-ROW(AW$15),0),15-13*ORÇAMENTO!$AF$11)),0)</f>
        <v>0</v>
      </c>
      <c r="AX252" s="545">
        <f ca="1">IF(AND($D252="Serviço",AX$12&lt;&gt;0,$H252&gt;0,OR(AUTOEVENTO&lt;&gt;"manual",$M252&lt;&gt;1)),
IF(Import.TipoArredondamento&lt;&gt;"TransfereGOV",
ROUND(OFFSET($P252,0,AX$13),15-13*ORÇAMENTO!$AF$7)/$H252*OFFSET(ORÇAMENTO!$X$15,ROW(AX252)-ROW(AX$15),0),
ROUND(ROUND(OFFSET($P252,0,AX$13),15-13*ORÇAMENTO!$AF$7)*OFFSET(ORÇAMENTO!$W$15,ROW(AX252)-ROW(AX$15),0),15-13*ORÇAMENTO!$AF$11)),0)</f>
        <v>0</v>
      </c>
      <c r="AY252" s="545">
        <f ca="1">IF(AND($D252="Serviço",AY$12&lt;&gt;0,$H252&gt;0,OR(AUTOEVENTO&lt;&gt;"manual",$M252&lt;&gt;1)),
IF(Import.TipoArredondamento&lt;&gt;"TransfereGOV",
ROUND(OFFSET($P252,0,AY$13),15-13*ORÇAMENTO!$AF$7)/$H252*OFFSET(ORÇAMENTO!$X$15,ROW(AY252)-ROW(AY$15),0),
ROUND(ROUND(OFFSET($P252,0,AY$13),15-13*ORÇAMENTO!$AF$7)*OFFSET(ORÇAMENTO!$W$15,ROW(AY252)-ROW(AY$15),0),15-13*ORÇAMENTO!$AF$11)),0)</f>
        <v>0</v>
      </c>
      <c r="AZ252" s="545">
        <f ca="1">IF(AND($D252="Serviço",AZ$12&lt;&gt;0,$H252&gt;0,OR(AUTOEVENTO&lt;&gt;"manual",$M252&lt;&gt;1)),
IF(Import.TipoArredondamento&lt;&gt;"TransfereGOV",
ROUND(OFFSET($P252,0,AZ$13),15-13*ORÇAMENTO!$AF$7)/$H252*OFFSET(ORÇAMENTO!$X$15,ROW(AZ252)-ROW(AZ$15),0),
ROUND(ROUND(OFFSET($P252,0,AZ$13),15-13*ORÇAMENTO!$AF$7)*OFFSET(ORÇAMENTO!$W$15,ROW(AZ252)-ROW(AZ$15),0),15-13*ORÇAMENTO!$AF$11)),0)</f>
        <v>0</v>
      </c>
      <c r="BA252" s="546">
        <f ca="1">IF(AND($D252="Serviço",BA$12&lt;&gt;0,$H252&gt;0,OR(AUTOEVENTO&lt;&gt;"manual",$M252&lt;&gt;1)),
IF(Import.TipoArredondamento&lt;&gt;"TransfereGOV",
ROUND(OFFSET($P252,0,BA$13),15-13*ORÇAMENTO!$AF$7)/$H252*OFFSET(ORÇAMENTO!$X$15,ROW(BA252)-ROW(BA$15),0),
ROUND(ROUND(OFFSET($P252,0,BA$13),15-13*ORÇAMENTO!$AF$7)*OFFSET(ORÇAMENTO!$W$15,ROW(BA252)-ROW(BA$15),0),15-13*ORÇAMENTO!$AF$11)),0)</f>
        <v>0</v>
      </c>
      <c r="BC252" s="181">
        <f ca="1">IF($D252&lt;&gt;"Serviço",0,IF(AND(AUTOEVENTO="Manual",$M252=1),0,IF(OFFSET(CRONOPLE!$F$14,$M252,BC$13)="",10^12,OFFSET(CRONOPLE!$F$14,$M252,BC$13))))</f>
        <v>9</v>
      </c>
      <c r="BD252" s="181">
        <f ca="1">IF($D252&lt;&gt;"Serviço",0,IF(AND(AUTOEVENTO="Manual",$M252=1),0,IF(OFFSET(CRONOPLE!$F$14,$M252,BD$13)="",10^12,OFFSET(CRONOPLE!$F$14,$M252,BD$13))))</f>
        <v>1000000000000</v>
      </c>
      <c r="BE252" s="181">
        <f ca="1">IF($D252&lt;&gt;"Serviço",0,IF(AND(AUTOEVENTO="Manual",$M252=1),0,IF(OFFSET(CRONOPLE!$F$14,$M252,BE$13)="",10^12,OFFSET(CRONOPLE!$F$14,$M252,BE$13))))</f>
        <v>1000000000000</v>
      </c>
      <c r="BF252" s="181">
        <f ca="1">IF($D252&lt;&gt;"Serviço",0,IF(AND(AUTOEVENTO="Manual",$M252=1),0,IF(OFFSET(CRONOPLE!$F$14,$M252,BF$13)="",10^12,OFFSET(CRONOPLE!$F$14,$M252,BF$13))))</f>
        <v>1000000000000</v>
      </c>
      <c r="BG252" s="181">
        <f ca="1">IF($D252&lt;&gt;"Serviço",0,IF(AND(AUTOEVENTO="Manual",$M252=1),0,IF(OFFSET(CRONOPLE!$F$14,$M252,BG$13)="",10^12,OFFSET(CRONOPLE!$F$14,$M252,BG$13))))</f>
        <v>1000000000000</v>
      </c>
      <c r="BH252" s="181">
        <f ca="1">IF($D252&lt;&gt;"Serviço",0,IF(AND(AUTOEVENTO="Manual",$M252=1),0,IF(OFFSET(CRONOPLE!$F$14,$M252,BH$13)="",10^12,OFFSET(CRONOPLE!$F$14,$M252,BH$13))))</f>
        <v>1000000000000</v>
      </c>
      <c r="BI252" s="181">
        <f ca="1">IF($D252&lt;&gt;"Serviço",0,IF(AND(AUTOEVENTO="Manual",$M252=1),0,IF(OFFSET(CRONOPLE!$F$14,$M252,BI$13)="",10^12,OFFSET(CRONOPLE!$F$14,$M252,BI$13))))</f>
        <v>1000000000000</v>
      </c>
      <c r="BJ252" s="181">
        <f ca="1">IF($D252&lt;&gt;"Serviço",0,IF(AND(AUTOEVENTO="Manual",$M252=1),0,IF(OFFSET(CRONOPLE!$F$14,$M252,BJ$13)="",10^12,OFFSET(CRONOPLE!$F$14,$M252,BJ$13))))</f>
        <v>1000000000000</v>
      </c>
      <c r="BK252" s="181">
        <f ca="1">IF($D252&lt;&gt;"Serviço",0,IF(AND(AUTOEVENTO="Manual",$M252=1),0,IF(OFFSET(CRONOPLE!$F$14,$M252,BK$13)="",10^12,OFFSET(CRONOPLE!$F$14,$M252,BK$13))))</f>
        <v>1000000000000</v>
      </c>
      <c r="BL252" s="181">
        <f ca="1">IF($D252&lt;&gt;"Serviço",0,IF(AND(AUTOEVENTO="Manual",$M252=1),0,IF(OFFSET(CRONOPLE!$F$14,$M252,BL$13)="",10^12,OFFSET(CRONOPLE!$F$14,$M252,BL$13))))</f>
        <v>1000000000000</v>
      </c>
      <c r="BM252" s="181">
        <f ca="1">IF($D252&lt;&gt;"Serviço",0,IF(AND(AUTOEVENTO="Manual",$M252=1),0,IF(OFFSET(CRONOPLE!$F$14,$M252,BM$13)="",10^12,OFFSET(CRONOPLE!$F$14,$M252,BM$13))))</f>
        <v>1000000000000</v>
      </c>
      <c r="BN252" s="181">
        <f ca="1">IF($D252&lt;&gt;"Serviço",0,IF(AND(AUTOEVENTO="Manual",$M252=1),0,IF(OFFSET(CRONOPLE!$F$14,$M252,BN$13)="",10^12,OFFSET(CRONOPLE!$F$14,$M252,BN$13))))</f>
        <v>1000000000000</v>
      </c>
      <c r="BO252" s="181">
        <f ca="1">IF($D252&lt;&gt;"Serviço",0,IF(AND(AUTOEVENTO="Manual",$M252=1),0,IF(OFFSET(CRONOPLE!$F$14,$M252,BO$13)="",10^12,OFFSET(CRONOPLE!$F$14,$M252,BO$13))))</f>
        <v>1000000000000</v>
      </c>
      <c r="BP252" s="181">
        <f ca="1">IF($D252&lt;&gt;"Serviço",0,IF(AND(AUTOEVENTO="Manual",$M252=1),0,IF(OFFSET(CRONOPLE!$F$14,$M252,BP$13)="",10^12,OFFSET(CRONOPLE!$F$14,$M252,BP$13))))</f>
        <v>1000000000000</v>
      </c>
      <c r="BQ252" s="181">
        <f ca="1">IF($D252&lt;&gt;"Serviço",0,IF(AND(AUTOEVENTO="Manual",$M252=1),0,IF(OFFSET(CRONOPLE!$F$14,$M252,BQ$13)="",10^12,OFFSET(CRONOPLE!$F$14,$M252,BQ$13))))</f>
        <v>1000000000000</v>
      </c>
      <c r="BR252" s="181">
        <f ca="1">IF($D252&lt;&gt;"Serviço",0,IF(AND(AUTOEVENTO="Manual",$M252=1),0,IF(OFFSET(CRONOPLE!$F$14,$M252,BR$13)="",10^12,OFFSET(CRONOPLE!$F$14,$M252,BR$13))))</f>
        <v>1000000000000</v>
      </c>
      <c r="BS252" s="181">
        <f ca="1">IF($D252&lt;&gt;"Serviço",0,IF(AND(AUTOEVENTO="Manual",$M252=1),0,IF(OFFSET(CRONOPLE!$F$14,$M252,BS$13)="",10^12,OFFSET(CRONOPLE!$F$14,$M252,BS$13))))</f>
        <v>1000000000000</v>
      </c>
      <c r="BT252" s="181">
        <f ca="1">IF($D252&lt;&gt;"Serviço",0,IF(AND(AUTOEVENTO="Manual",$M252=1),0,IF(OFFSET(CRONOPLE!$F$14,$M252,BT$13)="",10^12,OFFSET(CRONOPLE!$F$14,$M252,BT$13))))</f>
        <v>1000000000000</v>
      </c>
      <c r="BV252" s="182">
        <f ca="1">IF($D252&lt;&gt;"Serviço",0,IF(OR(AND(AUTOEVENTO="Manual",$M252=1),$M252&gt;(ROW(PLE.lastrow)-ROW(PLE.firstrow))),0,IF(OFFSET(PLE!$G$14,$M252,BV$13)="",10^12,OFFSET(PLE!$G$14,$M252,BV$13))))</f>
        <v>1000000000000</v>
      </c>
      <c r="BW252" s="182">
        <f ca="1">IF($D252&lt;&gt;"Serviço",0,IF(OR(AND(AUTOEVENTO="Manual",$M252=1),$M252&gt;(ROW(PLE.lastrow)-ROW(PLE.firstrow))),0,IF(OFFSET(PLE!$G$14,$M252,BW$13)="",10^12,OFFSET(PLE!$G$14,$M252,BW$13))))</f>
        <v>1000000000000</v>
      </c>
      <c r="BX252" s="182">
        <f ca="1">IF($D252&lt;&gt;"Serviço",0,IF(OR(AND(AUTOEVENTO="Manual",$M252=1),$M252&gt;(ROW(PLE.lastrow)-ROW(PLE.firstrow))),0,IF(OFFSET(PLE!$G$14,$M252,BX$13)="",10^12,OFFSET(PLE!$G$14,$M252,BX$13))))</f>
        <v>1000000000000</v>
      </c>
      <c r="BY252" s="182">
        <f ca="1">IF($D252&lt;&gt;"Serviço",0,IF(OR(AND(AUTOEVENTO="Manual",$M252=1),$M252&gt;(ROW(PLE.lastrow)-ROW(PLE.firstrow))),0,IF(OFFSET(PLE!$G$14,$M252,BY$13)="",10^12,OFFSET(PLE!$G$14,$M252,BY$13))))</f>
        <v>1000000000000</v>
      </c>
      <c r="BZ252" s="182">
        <f ca="1">IF($D252&lt;&gt;"Serviço",0,IF(OR(AND(AUTOEVENTO="Manual",$M252=1),$M252&gt;(ROW(PLE.lastrow)-ROW(PLE.firstrow))),0,IF(OFFSET(PLE!$G$14,$M252,BZ$13)="",10^12,OFFSET(PLE!$G$14,$M252,BZ$13))))</f>
        <v>1000000000000</v>
      </c>
      <c r="CA252" s="182">
        <f ca="1">IF($D252&lt;&gt;"Serviço",0,IF(OR(AND(AUTOEVENTO="Manual",$M252=1),$M252&gt;(ROW(PLE.lastrow)-ROW(PLE.firstrow))),0,IF(OFFSET(PLE!$G$14,$M252,CA$13)="",10^12,OFFSET(PLE!$G$14,$M252,CA$13))))</f>
        <v>1000000000000</v>
      </c>
      <c r="CB252" s="182">
        <f ca="1">IF($D252&lt;&gt;"Serviço",0,IF(OR(AND(AUTOEVENTO="Manual",$M252=1),$M252&gt;(ROW(PLE.lastrow)-ROW(PLE.firstrow))),0,IF(OFFSET(PLE!$G$14,$M252,CB$13)="",10^12,OFFSET(PLE!$G$14,$M252,CB$13))))</f>
        <v>1000000000000</v>
      </c>
      <c r="CC252" s="182">
        <f ca="1">IF($D252&lt;&gt;"Serviço",0,IF(OR(AND(AUTOEVENTO="Manual",$M252=1),$M252&gt;(ROW(PLE.lastrow)-ROW(PLE.firstrow))),0,IF(OFFSET(PLE!$G$14,$M252,CC$13)="",10^12,OFFSET(PLE!$G$14,$M252,CC$13))))</f>
        <v>1000000000000</v>
      </c>
      <c r="CD252" s="182">
        <f ca="1">IF($D252&lt;&gt;"Serviço",0,IF(OR(AND(AUTOEVENTO="Manual",$M252=1),$M252&gt;(ROW(PLE.lastrow)-ROW(PLE.firstrow))),0,IF(OFFSET(PLE!$G$14,$M252,CD$13)="",10^12,OFFSET(PLE!$G$14,$M252,CD$13))))</f>
        <v>1000000000000</v>
      </c>
      <c r="CE252" s="182">
        <f ca="1">IF($D252&lt;&gt;"Serviço",0,IF(OR(AND(AUTOEVENTO="Manual",$M252=1),$M252&gt;(ROW(PLE.lastrow)-ROW(PLE.firstrow))),0,IF(OFFSET(PLE!$G$14,$M252,CE$13)="",10^12,OFFSET(PLE!$G$14,$M252,CE$13))))</f>
        <v>1000000000000</v>
      </c>
      <c r="CF252" s="182">
        <f ca="1">IF($D252&lt;&gt;"Serviço",0,IF(OR(AND(AUTOEVENTO="Manual",$M252=1),$M252&gt;(ROW(PLE.lastrow)-ROW(PLE.firstrow))),0,IF(OFFSET(PLE!$G$14,$M252,CF$13)="",10^12,OFFSET(PLE!$G$14,$M252,CF$13))))</f>
        <v>1000000000000</v>
      </c>
      <c r="CG252" s="182">
        <f ca="1">IF($D252&lt;&gt;"Serviço",0,IF(OR(AND(AUTOEVENTO="Manual",$M252=1),$M252&gt;(ROW(PLE.lastrow)-ROW(PLE.firstrow))),0,IF(OFFSET(PLE!$G$14,$M252,CG$13)="",10^12,OFFSET(PLE!$G$14,$M252,CG$13))))</f>
        <v>1000000000000</v>
      </c>
      <c r="CH252" s="182">
        <f ca="1">IF($D252&lt;&gt;"Serviço",0,IF(OR(AND(AUTOEVENTO="Manual",$M252=1),$M252&gt;(ROW(PLE.lastrow)-ROW(PLE.firstrow))),0,IF(OFFSET(PLE!$G$14,$M252,CH$13)="",10^12,OFFSET(PLE!$G$14,$M252,CH$13))))</f>
        <v>1000000000000</v>
      </c>
      <c r="CI252" s="182">
        <f ca="1">IF($D252&lt;&gt;"Serviço",0,IF(OR(AND(AUTOEVENTO="Manual",$M252=1),$M252&gt;(ROW(PLE.lastrow)-ROW(PLE.firstrow))),0,IF(OFFSET(PLE!$G$14,$M252,CI$13)="",10^12,OFFSET(PLE!$G$14,$M252,CI$13))))</f>
        <v>1000000000000</v>
      </c>
      <c r="CJ252" s="182">
        <f ca="1">IF($D252&lt;&gt;"Serviço",0,IF(OR(AND(AUTOEVENTO="Manual",$M252=1),$M252&gt;(ROW(PLE.lastrow)-ROW(PLE.firstrow))),0,IF(OFFSET(PLE!$G$14,$M252,CJ$13)="",10^12,OFFSET(PLE!$G$14,$M252,CJ$13))))</f>
        <v>1000000000000</v>
      </c>
      <c r="CK252" s="182">
        <f ca="1">IF($D252&lt;&gt;"Serviço",0,IF(OR(AND(AUTOEVENTO="Manual",$M252=1),$M252&gt;(ROW(PLE.lastrow)-ROW(PLE.firstrow))),0,IF(OFFSET(PLE!$G$14,$M252,CK$13)="",10^12,OFFSET(PLE!$G$14,$M252,CK$13))))</f>
        <v>1000000000000</v>
      </c>
      <c r="CL252" s="182">
        <f ca="1">IF($D252&lt;&gt;"Serviço",0,IF(OR(AND(AUTOEVENTO="Manual",$M252=1),$M252&gt;(ROW(PLE.lastrow)-ROW(PLE.firstrow))),0,IF(OFFSET(PLE!$G$14,$M252,CL$13)="",10^12,OFFSET(PLE!$G$14,$M252,CL$13))))</f>
        <v>1000000000000</v>
      </c>
      <c r="CM252" s="182">
        <f ca="1">IF($D252&lt;&gt;"Serviço",0,IF(OR(AND(AUTOEVENTO="Manual",$M252=1),$M252&gt;(ROW(PLE.lastrow)-ROW(PLE.firstrow))),0,IF(OFFSET(PLE!$G$14,$M252,CM$13)="",10^12,OFFSET(PLE!$G$14,$M252,CM$13))))</f>
        <v>1000000000000</v>
      </c>
    </row>
    <row r="253" spans="1:91" ht="38.25" x14ac:dyDescent="0.2">
      <c r="A253" s="7" t="str">
        <f t="shared" ca="1" si="12"/>
        <v>232</v>
      </c>
      <c r="B253" s="7" t="str">
        <f ca="1">OFFSET(ORÇAMENTO!C$15,ROW(B253)-ROW(B$15),0)</f>
        <v>S</v>
      </c>
      <c r="C253" s="7" t="str">
        <f ca="1">OFFSET(ORÇAMENTO!L$15,ROW(C253)-ROW(C$15),0)</f>
        <v/>
      </c>
      <c r="D253" s="118" t="str">
        <f ca="1">OFFSET(ORÇAMENTO!N$15,ROW(D253)-ROW(D$15),0)</f>
        <v>Serviço</v>
      </c>
      <c r="E253" s="119" t="str">
        <f ca="1">OFFSET(ORÇAMENTO!O$15,ROW(E253)-ROW(E$15),0)</f>
        <v>-</v>
      </c>
      <c r="F253" s="172" t="str">
        <f ca="1">OFFSET(ORÇAMENTO!R$15,ROW(F253)-ROW(F$15),0)</f>
        <v>(abra o arquivo 'Referência 06-2024.xlsm)</v>
      </c>
      <c r="G253" s="173" t="str">
        <f ca="1">IF($D253&lt;&gt;"Serviço","",OFFSET(ORÇAMENTO!S$15,ROW(G253)-ROW(G$15),0))</f>
        <v>-</v>
      </c>
      <c r="H253" s="124">
        <f ca="1">IF($D253&lt;&gt;"Serviço",0,IF(ACOMPANHAMENTO="BM",ROUND(OFFSET(ORÇAMENTO!AJ$15,ROW(H253)-ROW(H$15),0),15-13*ORÇAMENTO!$AF$7),SUMPRODUCT(($Q$12:$AI$12&lt;&gt;"")*ROUND($Q253:$AI253,15-13*ORÇAMENTO!$AF$7))))</f>
        <v>83</v>
      </c>
      <c r="I253" s="561" t="s">
        <v>1107</v>
      </c>
      <c r="K253" s="174"/>
      <c r="L253" s="175" t="s">
        <v>255</v>
      </c>
      <c r="M253" s="176">
        <f ca="1">IF($D253&lt;&gt;"Serviço","",IF(AUTOEVENTO="manual",$A253,IF(ISERROR(MATCH($A253,$A$15:OFFSET($A253,-1,0),0)),MAX($M$15:OFFSET(M253,-1,0))+1,INDEX($M$15:OFFSET(M253,-1,0),MATCH($A253,$A$15:OFFSET($A253,-1,0),0)))))</f>
        <v>35</v>
      </c>
      <c r="N253" s="177" t="str">
        <f ca="1">IF($D253&lt;&gt;"Serviço","",IF(AUTOEVENTO="Manual",IF($A253=0,"&lt;-- defina o número do agrupador",OFFSET(EVENTOS!$D$14,$A253,0)),OFFSET($F$15,$A253,0)))</f>
        <v>INSTALAÇÃO HIDRÁULICA - TUBULAÇÕES E CONEXÕES DE PVC RÍGIDO</v>
      </c>
      <c r="O253" s="178"/>
      <c r="Q253" s="178">
        <v>83</v>
      </c>
      <c r="R253" s="179"/>
      <c r="S253" s="179"/>
      <c r="T253" s="179"/>
      <c r="U253" s="179"/>
      <c r="V253" s="179"/>
      <c r="W253" s="179"/>
      <c r="X253" s="179"/>
      <c r="Y253" s="179"/>
      <c r="Z253" s="180"/>
      <c r="AA253" s="179"/>
      <c r="AB253" s="179"/>
      <c r="AC253" s="179"/>
      <c r="AD253" s="179"/>
      <c r="AE253" s="179"/>
      <c r="AF253" s="179"/>
      <c r="AG253" s="179"/>
      <c r="AH253" s="180"/>
      <c r="AJ253" s="544">
        <f ca="1">IF(AND($D253="Serviço",AJ$12&lt;&gt;0,$H253&gt;0,OR(AUTOEVENTO&lt;&gt;"manual",$M253&lt;&gt;1)),
IF(Import.TipoArredondamento&lt;&gt;"TransfereGOV",
ROUND(OFFSET($P253,0,AJ$13),15-13*ORÇAMENTO!$AF$7)/$H253*OFFSET(ORÇAMENTO!$X$15,ROW(AJ253)-ROW(AJ$15),0),
ROUND(ROUND(OFFSET($P253,0,AJ$13),15-13*ORÇAMENTO!$AF$7)*OFFSET(ORÇAMENTO!$W$15,ROW(AJ253)-ROW(AJ$15),0),15-13*ORÇAMENTO!$AF$11)),0)</f>
        <v>0</v>
      </c>
      <c r="AK253" s="545">
        <f ca="1">IF(AND($D253="Serviço",AK$12&lt;&gt;0,$H253&gt;0,OR(AUTOEVENTO&lt;&gt;"manual",$M253&lt;&gt;1)),
IF(Import.TipoArredondamento&lt;&gt;"TransfereGOV",
ROUND(OFFSET($P253,0,AK$13),15-13*ORÇAMENTO!$AF$7)/$H253*OFFSET(ORÇAMENTO!$X$15,ROW(AK253)-ROW(AK$15),0),
ROUND(ROUND(OFFSET($P253,0,AK$13),15-13*ORÇAMENTO!$AF$7)*OFFSET(ORÇAMENTO!$W$15,ROW(AK253)-ROW(AK$15),0),15-13*ORÇAMENTO!$AF$11)),0)</f>
        <v>0</v>
      </c>
      <c r="AL253" s="545">
        <f ca="1">IF(AND($D253="Serviço",AL$12&lt;&gt;0,$H253&gt;0,OR(AUTOEVENTO&lt;&gt;"manual",$M253&lt;&gt;1)),
IF(Import.TipoArredondamento&lt;&gt;"TransfereGOV",
ROUND(OFFSET($P253,0,AL$13),15-13*ORÇAMENTO!$AF$7)/$H253*OFFSET(ORÇAMENTO!$X$15,ROW(AL253)-ROW(AL$15),0),
ROUND(ROUND(OFFSET($P253,0,AL$13),15-13*ORÇAMENTO!$AF$7)*OFFSET(ORÇAMENTO!$W$15,ROW(AL253)-ROW(AL$15),0),15-13*ORÇAMENTO!$AF$11)),0)</f>
        <v>0</v>
      </c>
      <c r="AM253" s="545">
        <f ca="1">IF(AND($D253="Serviço",AM$12&lt;&gt;0,$H253&gt;0,OR(AUTOEVENTO&lt;&gt;"manual",$M253&lt;&gt;1)),
IF(Import.TipoArredondamento&lt;&gt;"TransfereGOV",
ROUND(OFFSET($P253,0,AM$13),15-13*ORÇAMENTO!$AF$7)/$H253*OFFSET(ORÇAMENTO!$X$15,ROW(AM253)-ROW(AM$15),0),
ROUND(ROUND(OFFSET($P253,0,AM$13),15-13*ORÇAMENTO!$AF$7)*OFFSET(ORÇAMENTO!$W$15,ROW(AM253)-ROW(AM$15),0),15-13*ORÇAMENTO!$AF$11)),0)</f>
        <v>0</v>
      </c>
      <c r="AN253" s="545">
        <f ca="1">IF(AND($D253="Serviço",AN$12&lt;&gt;0,$H253&gt;0,OR(AUTOEVENTO&lt;&gt;"manual",$M253&lt;&gt;1)),
IF(Import.TipoArredondamento&lt;&gt;"TransfereGOV",
ROUND(OFFSET($P253,0,AN$13),15-13*ORÇAMENTO!$AF$7)/$H253*OFFSET(ORÇAMENTO!$X$15,ROW(AN253)-ROW(AN$15),0),
ROUND(ROUND(OFFSET($P253,0,AN$13),15-13*ORÇAMENTO!$AF$7)*OFFSET(ORÇAMENTO!$W$15,ROW(AN253)-ROW(AN$15),0),15-13*ORÇAMENTO!$AF$11)),0)</f>
        <v>0</v>
      </c>
      <c r="AO253" s="545">
        <f ca="1">IF(AND($D253="Serviço",AO$12&lt;&gt;0,$H253&gt;0,OR(AUTOEVENTO&lt;&gt;"manual",$M253&lt;&gt;1)),
IF(Import.TipoArredondamento&lt;&gt;"TransfereGOV",
ROUND(OFFSET($P253,0,AO$13),15-13*ORÇAMENTO!$AF$7)/$H253*OFFSET(ORÇAMENTO!$X$15,ROW(AO253)-ROW(AO$15),0),
ROUND(ROUND(OFFSET($P253,0,AO$13),15-13*ORÇAMENTO!$AF$7)*OFFSET(ORÇAMENTO!$W$15,ROW(AO253)-ROW(AO$15),0),15-13*ORÇAMENTO!$AF$11)),0)</f>
        <v>0</v>
      </c>
      <c r="AP253" s="545">
        <f ca="1">IF(AND($D253="Serviço",AP$12&lt;&gt;0,$H253&gt;0,OR(AUTOEVENTO&lt;&gt;"manual",$M253&lt;&gt;1)),
IF(Import.TipoArredondamento&lt;&gt;"TransfereGOV",
ROUND(OFFSET($P253,0,AP$13),15-13*ORÇAMENTO!$AF$7)/$H253*OFFSET(ORÇAMENTO!$X$15,ROW(AP253)-ROW(AP$15),0),
ROUND(ROUND(OFFSET($P253,0,AP$13),15-13*ORÇAMENTO!$AF$7)*OFFSET(ORÇAMENTO!$W$15,ROW(AP253)-ROW(AP$15),0),15-13*ORÇAMENTO!$AF$11)),0)</f>
        <v>0</v>
      </c>
      <c r="AQ253" s="545">
        <f ca="1">IF(AND($D253="Serviço",AQ$12&lt;&gt;0,$H253&gt;0,OR(AUTOEVENTO&lt;&gt;"manual",$M253&lt;&gt;1)),
IF(Import.TipoArredondamento&lt;&gt;"TransfereGOV",
ROUND(OFFSET($P253,0,AQ$13),15-13*ORÇAMENTO!$AF$7)/$H253*OFFSET(ORÇAMENTO!$X$15,ROW(AQ253)-ROW(AQ$15),0),
ROUND(ROUND(OFFSET($P253,0,AQ$13),15-13*ORÇAMENTO!$AF$7)*OFFSET(ORÇAMENTO!$W$15,ROW(AQ253)-ROW(AQ$15),0),15-13*ORÇAMENTO!$AF$11)),0)</f>
        <v>0</v>
      </c>
      <c r="AR253" s="545">
        <f ca="1">IF(AND($D253="Serviço",AR$12&lt;&gt;0,$H253&gt;0,OR(AUTOEVENTO&lt;&gt;"manual",$M253&lt;&gt;1)),
IF(Import.TipoArredondamento&lt;&gt;"TransfereGOV",
ROUND(OFFSET($P253,0,AR$13),15-13*ORÇAMENTO!$AF$7)/$H253*OFFSET(ORÇAMENTO!$X$15,ROW(AR253)-ROW(AR$15),0),
ROUND(ROUND(OFFSET($P253,0,AR$13),15-13*ORÇAMENTO!$AF$7)*OFFSET(ORÇAMENTO!$W$15,ROW(AR253)-ROW(AR$15),0),15-13*ORÇAMENTO!$AF$11)),0)</f>
        <v>0</v>
      </c>
      <c r="AS253" s="546">
        <f ca="1">IF(AND($D253="Serviço",AS$12&lt;&gt;0,$H253&gt;0,OR(AUTOEVENTO&lt;&gt;"manual",$M253&lt;&gt;1)),
IF(Import.TipoArredondamento&lt;&gt;"TransfereGOV",
ROUND(OFFSET($P253,0,AS$13),15-13*ORÇAMENTO!$AF$7)/$H253*OFFSET(ORÇAMENTO!$X$15,ROW(AS253)-ROW(AS$15),0),
ROUND(ROUND(OFFSET($P253,0,AS$13),15-13*ORÇAMENTO!$AF$7)*OFFSET(ORÇAMENTO!$W$15,ROW(AS253)-ROW(AS$15),0),15-13*ORÇAMENTO!$AF$11)),0)</f>
        <v>0</v>
      </c>
      <c r="AT253" s="545">
        <f ca="1">IF(AND($D253="Serviço",AT$12&lt;&gt;0,$H253&gt;0,OR(AUTOEVENTO&lt;&gt;"manual",$M253&lt;&gt;1)),
IF(Import.TipoArredondamento&lt;&gt;"TransfereGOV",
ROUND(OFFSET($P253,0,AT$13),15-13*ORÇAMENTO!$AF$7)/$H253*OFFSET(ORÇAMENTO!$X$15,ROW(AT253)-ROW(AT$15),0),
ROUND(ROUND(OFFSET($P253,0,AT$13),15-13*ORÇAMENTO!$AF$7)*OFFSET(ORÇAMENTO!$W$15,ROW(AT253)-ROW(AT$15),0),15-13*ORÇAMENTO!$AF$11)),0)</f>
        <v>0</v>
      </c>
      <c r="AU253" s="545">
        <f ca="1">IF(AND($D253="Serviço",AU$12&lt;&gt;0,$H253&gt;0,OR(AUTOEVENTO&lt;&gt;"manual",$M253&lt;&gt;1)),
IF(Import.TipoArredondamento&lt;&gt;"TransfereGOV",
ROUND(OFFSET($P253,0,AU$13),15-13*ORÇAMENTO!$AF$7)/$H253*OFFSET(ORÇAMENTO!$X$15,ROW(AU253)-ROW(AU$15),0),
ROUND(ROUND(OFFSET($P253,0,AU$13),15-13*ORÇAMENTO!$AF$7)*OFFSET(ORÇAMENTO!$W$15,ROW(AU253)-ROW(AU$15),0),15-13*ORÇAMENTO!$AF$11)),0)</f>
        <v>0</v>
      </c>
      <c r="AV253" s="545">
        <f ca="1">IF(AND($D253="Serviço",AV$12&lt;&gt;0,$H253&gt;0,OR(AUTOEVENTO&lt;&gt;"manual",$M253&lt;&gt;1)),
IF(Import.TipoArredondamento&lt;&gt;"TransfereGOV",
ROUND(OFFSET($P253,0,AV$13),15-13*ORÇAMENTO!$AF$7)/$H253*OFFSET(ORÇAMENTO!$X$15,ROW(AV253)-ROW(AV$15),0),
ROUND(ROUND(OFFSET($P253,0,AV$13),15-13*ORÇAMENTO!$AF$7)*OFFSET(ORÇAMENTO!$W$15,ROW(AV253)-ROW(AV$15),0),15-13*ORÇAMENTO!$AF$11)),0)</f>
        <v>0</v>
      </c>
      <c r="AW253" s="545">
        <f ca="1">IF(AND($D253="Serviço",AW$12&lt;&gt;0,$H253&gt;0,OR(AUTOEVENTO&lt;&gt;"manual",$M253&lt;&gt;1)),
IF(Import.TipoArredondamento&lt;&gt;"TransfereGOV",
ROUND(OFFSET($P253,0,AW$13),15-13*ORÇAMENTO!$AF$7)/$H253*OFFSET(ORÇAMENTO!$X$15,ROW(AW253)-ROW(AW$15),0),
ROUND(ROUND(OFFSET($P253,0,AW$13),15-13*ORÇAMENTO!$AF$7)*OFFSET(ORÇAMENTO!$W$15,ROW(AW253)-ROW(AW$15),0),15-13*ORÇAMENTO!$AF$11)),0)</f>
        <v>0</v>
      </c>
      <c r="AX253" s="545">
        <f ca="1">IF(AND($D253="Serviço",AX$12&lt;&gt;0,$H253&gt;0,OR(AUTOEVENTO&lt;&gt;"manual",$M253&lt;&gt;1)),
IF(Import.TipoArredondamento&lt;&gt;"TransfereGOV",
ROUND(OFFSET($P253,0,AX$13),15-13*ORÇAMENTO!$AF$7)/$H253*OFFSET(ORÇAMENTO!$X$15,ROW(AX253)-ROW(AX$15),0),
ROUND(ROUND(OFFSET($P253,0,AX$13),15-13*ORÇAMENTO!$AF$7)*OFFSET(ORÇAMENTO!$W$15,ROW(AX253)-ROW(AX$15),0),15-13*ORÇAMENTO!$AF$11)),0)</f>
        <v>0</v>
      </c>
      <c r="AY253" s="545">
        <f ca="1">IF(AND($D253="Serviço",AY$12&lt;&gt;0,$H253&gt;0,OR(AUTOEVENTO&lt;&gt;"manual",$M253&lt;&gt;1)),
IF(Import.TipoArredondamento&lt;&gt;"TransfereGOV",
ROUND(OFFSET($P253,0,AY$13),15-13*ORÇAMENTO!$AF$7)/$H253*OFFSET(ORÇAMENTO!$X$15,ROW(AY253)-ROW(AY$15),0),
ROUND(ROUND(OFFSET($P253,0,AY$13),15-13*ORÇAMENTO!$AF$7)*OFFSET(ORÇAMENTO!$W$15,ROW(AY253)-ROW(AY$15),0),15-13*ORÇAMENTO!$AF$11)),0)</f>
        <v>0</v>
      </c>
      <c r="AZ253" s="545">
        <f ca="1">IF(AND($D253="Serviço",AZ$12&lt;&gt;0,$H253&gt;0,OR(AUTOEVENTO&lt;&gt;"manual",$M253&lt;&gt;1)),
IF(Import.TipoArredondamento&lt;&gt;"TransfereGOV",
ROUND(OFFSET($P253,0,AZ$13),15-13*ORÇAMENTO!$AF$7)/$H253*OFFSET(ORÇAMENTO!$X$15,ROW(AZ253)-ROW(AZ$15),0),
ROUND(ROUND(OFFSET($P253,0,AZ$13),15-13*ORÇAMENTO!$AF$7)*OFFSET(ORÇAMENTO!$W$15,ROW(AZ253)-ROW(AZ$15),0),15-13*ORÇAMENTO!$AF$11)),0)</f>
        <v>0</v>
      </c>
      <c r="BA253" s="546">
        <f ca="1">IF(AND($D253="Serviço",BA$12&lt;&gt;0,$H253&gt;0,OR(AUTOEVENTO&lt;&gt;"manual",$M253&lt;&gt;1)),
IF(Import.TipoArredondamento&lt;&gt;"TransfereGOV",
ROUND(OFFSET($P253,0,BA$13),15-13*ORÇAMENTO!$AF$7)/$H253*OFFSET(ORÇAMENTO!$X$15,ROW(BA253)-ROW(BA$15),0),
ROUND(ROUND(OFFSET($P253,0,BA$13),15-13*ORÇAMENTO!$AF$7)*OFFSET(ORÇAMENTO!$W$15,ROW(BA253)-ROW(BA$15),0),15-13*ORÇAMENTO!$AF$11)),0)</f>
        <v>0</v>
      </c>
      <c r="BC253" s="181">
        <f ca="1">IF($D253&lt;&gt;"Serviço",0,IF(AND(AUTOEVENTO="Manual",$M253=1),0,IF(OFFSET(CRONOPLE!$F$14,$M253,BC$13)="",10^12,OFFSET(CRONOPLE!$F$14,$M253,BC$13))))</f>
        <v>9</v>
      </c>
      <c r="BD253" s="181">
        <f ca="1">IF($D253&lt;&gt;"Serviço",0,IF(AND(AUTOEVENTO="Manual",$M253=1),0,IF(OFFSET(CRONOPLE!$F$14,$M253,BD$13)="",10^12,OFFSET(CRONOPLE!$F$14,$M253,BD$13))))</f>
        <v>1000000000000</v>
      </c>
      <c r="BE253" s="181">
        <f ca="1">IF($D253&lt;&gt;"Serviço",0,IF(AND(AUTOEVENTO="Manual",$M253=1),0,IF(OFFSET(CRONOPLE!$F$14,$M253,BE$13)="",10^12,OFFSET(CRONOPLE!$F$14,$M253,BE$13))))</f>
        <v>1000000000000</v>
      </c>
      <c r="BF253" s="181">
        <f ca="1">IF($D253&lt;&gt;"Serviço",0,IF(AND(AUTOEVENTO="Manual",$M253=1),0,IF(OFFSET(CRONOPLE!$F$14,$M253,BF$13)="",10^12,OFFSET(CRONOPLE!$F$14,$M253,BF$13))))</f>
        <v>1000000000000</v>
      </c>
      <c r="BG253" s="181">
        <f ca="1">IF($D253&lt;&gt;"Serviço",0,IF(AND(AUTOEVENTO="Manual",$M253=1),0,IF(OFFSET(CRONOPLE!$F$14,$M253,BG$13)="",10^12,OFFSET(CRONOPLE!$F$14,$M253,BG$13))))</f>
        <v>1000000000000</v>
      </c>
      <c r="BH253" s="181">
        <f ca="1">IF($D253&lt;&gt;"Serviço",0,IF(AND(AUTOEVENTO="Manual",$M253=1),0,IF(OFFSET(CRONOPLE!$F$14,$M253,BH$13)="",10^12,OFFSET(CRONOPLE!$F$14,$M253,BH$13))))</f>
        <v>1000000000000</v>
      </c>
      <c r="BI253" s="181">
        <f ca="1">IF($D253&lt;&gt;"Serviço",0,IF(AND(AUTOEVENTO="Manual",$M253=1),0,IF(OFFSET(CRONOPLE!$F$14,$M253,BI$13)="",10^12,OFFSET(CRONOPLE!$F$14,$M253,BI$13))))</f>
        <v>1000000000000</v>
      </c>
      <c r="BJ253" s="181">
        <f ca="1">IF($D253&lt;&gt;"Serviço",0,IF(AND(AUTOEVENTO="Manual",$M253=1),0,IF(OFFSET(CRONOPLE!$F$14,$M253,BJ$13)="",10^12,OFFSET(CRONOPLE!$F$14,$M253,BJ$13))))</f>
        <v>1000000000000</v>
      </c>
      <c r="BK253" s="181">
        <f ca="1">IF($D253&lt;&gt;"Serviço",0,IF(AND(AUTOEVENTO="Manual",$M253=1),0,IF(OFFSET(CRONOPLE!$F$14,$M253,BK$13)="",10^12,OFFSET(CRONOPLE!$F$14,$M253,BK$13))))</f>
        <v>1000000000000</v>
      </c>
      <c r="BL253" s="181">
        <f ca="1">IF($D253&lt;&gt;"Serviço",0,IF(AND(AUTOEVENTO="Manual",$M253=1),0,IF(OFFSET(CRONOPLE!$F$14,$M253,BL$13)="",10^12,OFFSET(CRONOPLE!$F$14,$M253,BL$13))))</f>
        <v>1000000000000</v>
      </c>
      <c r="BM253" s="181">
        <f ca="1">IF($D253&lt;&gt;"Serviço",0,IF(AND(AUTOEVENTO="Manual",$M253=1),0,IF(OFFSET(CRONOPLE!$F$14,$M253,BM$13)="",10^12,OFFSET(CRONOPLE!$F$14,$M253,BM$13))))</f>
        <v>1000000000000</v>
      </c>
      <c r="BN253" s="181">
        <f ca="1">IF($D253&lt;&gt;"Serviço",0,IF(AND(AUTOEVENTO="Manual",$M253=1),0,IF(OFFSET(CRONOPLE!$F$14,$M253,BN$13)="",10^12,OFFSET(CRONOPLE!$F$14,$M253,BN$13))))</f>
        <v>1000000000000</v>
      </c>
      <c r="BO253" s="181">
        <f ca="1">IF($D253&lt;&gt;"Serviço",0,IF(AND(AUTOEVENTO="Manual",$M253=1),0,IF(OFFSET(CRONOPLE!$F$14,$M253,BO$13)="",10^12,OFFSET(CRONOPLE!$F$14,$M253,BO$13))))</f>
        <v>1000000000000</v>
      </c>
      <c r="BP253" s="181">
        <f ca="1">IF($D253&lt;&gt;"Serviço",0,IF(AND(AUTOEVENTO="Manual",$M253=1),0,IF(OFFSET(CRONOPLE!$F$14,$M253,BP$13)="",10^12,OFFSET(CRONOPLE!$F$14,$M253,BP$13))))</f>
        <v>1000000000000</v>
      </c>
      <c r="BQ253" s="181">
        <f ca="1">IF($D253&lt;&gt;"Serviço",0,IF(AND(AUTOEVENTO="Manual",$M253=1),0,IF(OFFSET(CRONOPLE!$F$14,$M253,BQ$13)="",10^12,OFFSET(CRONOPLE!$F$14,$M253,BQ$13))))</f>
        <v>1000000000000</v>
      </c>
      <c r="BR253" s="181">
        <f ca="1">IF($D253&lt;&gt;"Serviço",0,IF(AND(AUTOEVENTO="Manual",$M253=1),0,IF(OFFSET(CRONOPLE!$F$14,$M253,BR$13)="",10^12,OFFSET(CRONOPLE!$F$14,$M253,BR$13))))</f>
        <v>1000000000000</v>
      </c>
      <c r="BS253" s="181">
        <f ca="1">IF($D253&lt;&gt;"Serviço",0,IF(AND(AUTOEVENTO="Manual",$M253=1),0,IF(OFFSET(CRONOPLE!$F$14,$M253,BS$13)="",10^12,OFFSET(CRONOPLE!$F$14,$M253,BS$13))))</f>
        <v>1000000000000</v>
      </c>
      <c r="BT253" s="181">
        <f ca="1">IF($D253&lt;&gt;"Serviço",0,IF(AND(AUTOEVENTO="Manual",$M253=1),0,IF(OFFSET(CRONOPLE!$F$14,$M253,BT$13)="",10^12,OFFSET(CRONOPLE!$F$14,$M253,BT$13))))</f>
        <v>1000000000000</v>
      </c>
      <c r="BV253" s="182">
        <f ca="1">IF($D253&lt;&gt;"Serviço",0,IF(OR(AND(AUTOEVENTO="Manual",$M253=1),$M253&gt;(ROW(PLE.lastrow)-ROW(PLE.firstrow))),0,IF(OFFSET(PLE!$G$14,$M253,BV$13)="",10^12,OFFSET(PLE!$G$14,$M253,BV$13))))</f>
        <v>1000000000000</v>
      </c>
      <c r="BW253" s="182">
        <f ca="1">IF($D253&lt;&gt;"Serviço",0,IF(OR(AND(AUTOEVENTO="Manual",$M253=1),$M253&gt;(ROW(PLE.lastrow)-ROW(PLE.firstrow))),0,IF(OFFSET(PLE!$G$14,$M253,BW$13)="",10^12,OFFSET(PLE!$G$14,$M253,BW$13))))</f>
        <v>1000000000000</v>
      </c>
      <c r="BX253" s="182">
        <f ca="1">IF($D253&lt;&gt;"Serviço",0,IF(OR(AND(AUTOEVENTO="Manual",$M253=1),$M253&gt;(ROW(PLE.lastrow)-ROW(PLE.firstrow))),0,IF(OFFSET(PLE!$G$14,$M253,BX$13)="",10^12,OFFSET(PLE!$G$14,$M253,BX$13))))</f>
        <v>1000000000000</v>
      </c>
      <c r="BY253" s="182">
        <f ca="1">IF($D253&lt;&gt;"Serviço",0,IF(OR(AND(AUTOEVENTO="Manual",$M253=1),$M253&gt;(ROW(PLE.lastrow)-ROW(PLE.firstrow))),0,IF(OFFSET(PLE!$G$14,$M253,BY$13)="",10^12,OFFSET(PLE!$G$14,$M253,BY$13))))</f>
        <v>1000000000000</v>
      </c>
      <c r="BZ253" s="182">
        <f ca="1">IF($D253&lt;&gt;"Serviço",0,IF(OR(AND(AUTOEVENTO="Manual",$M253=1),$M253&gt;(ROW(PLE.lastrow)-ROW(PLE.firstrow))),0,IF(OFFSET(PLE!$G$14,$M253,BZ$13)="",10^12,OFFSET(PLE!$G$14,$M253,BZ$13))))</f>
        <v>1000000000000</v>
      </c>
      <c r="CA253" s="182">
        <f ca="1">IF($D253&lt;&gt;"Serviço",0,IF(OR(AND(AUTOEVENTO="Manual",$M253=1),$M253&gt;(ROW(PLE.lastrow)-ROW(PLE.firstrow))),0,IF(OFFSET(PLE!$G$14,$M253,CA$13)="",10^12,OFFSET(PLE!$G$14,$M253,CA$13))))</f>
        <v>1000000000000</v>
      </c>
      <c r="CB253" s="182">
        <f ca="1">IF($D253&lt;&gt;"Serviço",0,IF(OR(AND(AUTOEVENTO="Manual",$M253=1),$M253&gt;(ROW(PLE.lastrow)-ROW(PLE.firstrow))),0,IF(OFFSET(PLE!$G$14,$M253,CB$13)="",10^12,OFFSET(PLE!$G$14,$M253,CB$13))))</f>
        <v>1000000000000</v>
      </c>
      <c r="CC253" s="182">
        <f ca="1">IF($D253&lt;&gt;"Serviço",0,IF(OR(AND(AUTOEVENTO="Manual",$M253=1),$M253&gt;(ROW(PLE.lastrow)-ROW(PLE.firstrow))),0,IF(OFFSET(PLE!$G$14,$M253,CC$13)="",10^12,OFFSET(PLE!$G$14,$M253,CC$13))))</f>
        <v>1000000000000</v>
      </c>
      <c r="CD253" s="182">
        <f ca="1">IF($D253&lt;&gt;"Serviço",0,IF(OR(AND(AUTOEVENTO="Manual",$M253=1),$M253&gt;(ROW(PLE.lastrow)-ROW(PLE.firstrow))),0,IF(OFFSET(PLE!$G$14,$M253,CD$13)="",10^12,OFFSET(PLE!$G$14,$M253,CD$13))))</f>
        <v>1000000000000</v>
      </c>
      <c r="CE253" s="182">
        <f ca="1">IF($D253&lt;&gt;"Serviço",0,IF(OR(AND(AUTOEVENTO="Manual",$M253=1),$M253&gt;(ROW(PLE.lastrow)-ROW(PLE.firstrow))),0,IF(OFFSET(PLE!$G$14,$M253,CE$13)="",10^12,OFFSET(PLE!$G$14,$M253,CE$13))))</f>
        <v>1000000000000</v>
      </c>
      <c r="CF253" s="182">
        <f ca="1">IF($D253&lt;&gt;"Serviço",0,IF(OR(AND(AUTOEVENTO="Manual",$M253=1),$M253&gt;(ROW(PLE.lastrow)-ROW(PLE.firstrow))),0,IF(OFFSET(PLE!$G$14,$M253,CF$13)="",10^12,OFFSET(PLE!$G$14,$M253,CF$13))))</f>
        <v>1000000000000</v>
      </c>
      <c r="CG253" s="182">
        <f ca="1">IF($D253&lt;&gt;"Serviço",0,IF(OR(AND(AUTOEVENTO="Manual",$M253=1),$M253&gt;(ROW(PLE.lastrow)-ROW(PLE.firstrow))),0,IF(OFFSET(PLE!$G$14,$M253,CG$13)="",10^12,OFFSET(PLE!$G$14,$M253,CG$13))))</f>
        <v>1000000000000</v>
      </c>
      <c r="CH253" s="182">
        <f ca="1">IF($D253&lt;&gt;"Serviço",0,IF(OR(AND(AUTOEVENTO="Manual",$M253=1),$M253&gt;(ROW(PLE.lastrow)-ROW(PLE.firstrow))),0,IF(OFFSET(PLE!$G$14,$M253,CH$13)="",10^12,OFFSET(PLE!$G$14,$M253,CH$13))))</f>
        <v>1000000000000</v>
      </c>
      <c r="CI253" s="182">
        <f ca="1">IF($D253&lt;&gt;"Serviço",0,IF(OR(AND(AUTOEVENTO="Manual",$M253=1),$M253&gt;(ROW(PLE.lastrow)-ROW(PLE.firstrow))),0,IF(OFFSET(PLE!$G$14,$M253,CI$13)="",10^12,OFFSET(PLE!$G$14,$M253,CI$13))))</f>
        <v>1000000000000</v>
      </c>
      <c r="CJ253" s="182">
        <f ca="1">IF($D253&lt;&gt;"Serviço",0,IF(OR(AND(AUTOEVENTO="Manual",$M253=1),$M253&gt;(ROW(PLE.lastrow)-ROW(PLE.firstrow))),0,IF(OFFSET(PLE!$G$14,$M253,CJ$13)="",10^12,OFFSET(PLE!$G$14,$M253,CJ$13))))</f>
        <v>1000000000000</v>
      </c>
      <c r="CK253" s="182">
        <f ca="1">IF($D253&lt;&gt;"Serviço",0,IF(OR(AND(AUTOEVENTO="Manual",$M253=1),$M253&gt;(ROW(PLE.lastrow)-ROW(PLE.firstrow))),0,IF(OFFSET(PLE!$G$14,$M253,CK$13)="",10^12,OFFSET(PLE!$G$14,$M253,CK$13))))</f>
        <v>1000000000000</v>
      </c>
      <c r="CL253" s="182">
        <f ca="1">IF($D253&lt;&gt;"Serviço",0,IF(OR(AND(AUTOEVENTO="Manual",$M253=1),$M253&gt;(ROW(PLE.lastrow)-ROW(PLE.firstrow))),0,IF(OFFSET(PLE!$G$14,$M253,CL$13)="",10^12,OFFSET(PLE!$G$14,$M253,CL$13))))</f>
        <v>1000000000000</v>
      </c>
      <c r="CM253" s="182">
        <f ca="1">IF($D253&lt;&gt;"Serviço",0,IF(OR(AND(AUTOEVENTO="Manual",$M253=1),$M253&gt;(ROW(PLE.lastrow)-ROW(PLE.firstrow))),0,IF(OFFSET(PLE!$G$14,$M253,CM$13)="",10^12,OFFSET(PLE!$G$14,$M253,CM$13))))</f>
        <v>1000000000000</v>
      </c>
    </row>
    <row r="254" spans="1:91" ht="38.25" x14ac:dyDescent="0.2">
      <c r="A254" s="7" t="str">
        <f t="shared" ca="1" si="12"/>
        <v>232</v>
      </c>
      <c r="B254" s="7" t="str">
        <f ca="1">OFFSET(ORÇAMENTO!C$15,ROW(B254)-ROW(B$15),0)</f>
        <v>S</v>
      </c>
      <c r="C254" s="7" t="str">
        <f ca="1">OFFSET(ORÇAMENTO!L$15,ROW(C254)-ROW(C$15),0)</f>
        <v/>
      </c>
      <c r="D254" s="118" t="str">
        <f ca="1">OFFSET(ORÇAMENTO!N$15,ROW(D254)-ROW(D$15),0)</f>
        <v>Serviço</v>
      </c>
      <c r="E254" s="119" t="str">
        <f ca="1">OFFSET(ORÇAMENTO!O$15,ROW(E254)-ROW(E$15),0)</f>
        <v>-</v>
      </c>
      <c r="F254" s="172" t="str">
        <f ca="1">OFFSET(ORÇAMENTO!R$15,ROW(F254)-ROW(F$15),0)</f>
        <v>(abra o arquivo 'Referência 06-2024.xlsm)</v>
      </c>
      <c r="G254" s="173" t="str">
        <f ca="1">IF($D254&lt;&gt;"Serviço","",OFFSET(ORÇAMENTO!S$15,ROW(G254)-ROW(G$15),0))</f>
        <v>-</v>
      </c>
      <c r="H254" s="124">
        <f ca="1">IF($D254&lt;&gt;"Serviço",0,IF(ACOMPANHAMENTO="BM",ROUND(OFFSET(ORÇAMENTO!AJ$15,ROW(H254)-ROW(H$15),0),15-13*ORÇAMENTO!$AF$7),SUMPRODUCT(($Q$12:$AI$12&lt;&gt;"")*ROUND($Q254:$AI254,15-13*ORÇAMENTO!$AF$7))))</f>
        <v>2</v>
      </c>
      <c r="I254" s="561" t="s">
        <v>1107</v>
      </c>
      <c r="K254" s="174"/>
      <c r="L254" s="175" t="s">
        <v>255</v>
      </c>
      <c r="M254" s="176">
        <f ca="1">IF($D254&lt;&gt;"Serviço","",IF(AUTOEVENTO="manual",$A254,IF(ISERROR(MATCH($A254,$A$15:OFFSET($A254,-1,0),0)),MAX($M$15:OFFSET(M254,-1,0))+1,INDEX($M$15:OFFSET(M254,-1,0),MATCH($A254,$A$15:OFFSET($A254,-1,0),0)))))</f>
        <v>35</v>
      </c>
      <c r="N254" s="177" t="str">
        <f ca="1">IF($D254&lt;&gt;"Serviço","",IF(AUTOEVENTO="Manual",IF($A254=0,"&lt;-- defina o número do agrupador",OFFSET(EVENTOS!$D$14,$A254,0)),OFFSET($F$15,$A254,0)))</f>
        <v>INSTALAÇÃO HIDRÁULICA - TUBULAÇÕES E CONEXÕES DE PVC RÍGIDO</v>
      </c>
      <c r="O254" s="178"/>
      <c r="Q254" s="178">
        <v>2</v>
      </c>
      <c r="R254" s="179"/>
      <c r="S254" s="179"/>
      <c r="T254" s="179"/>
      <c r="U254" s="179"/>
      <c r="V254" s="179"/>
      <c r="W254" s="179"/>
      <c r="X254" s="179"/>
      <c r="Y254" s="179"/>
      <c r="Z254" s="180"/>
      <c r="AA254" s="179"/>
      <c r="AB254" s="179"/>
      <c r="AC254" s="179"/>
      <c r="AD254" s="179"/>
      <c r="AE254" s="179"/>
      <c r="AF254" s="179"/>
      <c r="AG254" s="179"/>
      <c r="AH254" s="180"/>
      <c r="AJ254" s="544">
        <f ca="1">IF(AND($D254="Serviço",AJ$12&lt;&gt;0,$H254&gt;0,OR(AUTOEVENTO&lt;&gt;"manual",$M254&lt;&gt;1)),
IF(Import.TipoArredondamento&lt;&gt;"TransfereGOV",
ROUND(OFFSET($P254,0,AJ$13),15-13*ORÇAMENTO!$AF$7)/$H254*OFFSET(ORÇAMENTO!$X$15,ROW(AJ254)-ROW(AJ$15),0),
ROUND(ROUND(OFFSET($P254,0,AJ$13),15-13*ORÇAMENTO!$AF$7)*OFFSET(ORÇAMENTO!$W$15,ROW(AJ254)-ROW(AJ$15),0),15-13*ORÇAMENTO!$AF$11)),0)</f>
        <v>0</v>
      </c>
      <c r="AK254" s="545">
        <f ca="1">IF(AND($D254="Serviço",AK$12&lt;&gt;0,$H254&gt;0,OR(AUTOEVENTO&lt;&gt;"manual",$M254&lt;&gt;1)),
IF(Import.TipoArredondamento&lt;&gt;"TransfereGOV",
ROUND(OFFSET($P254,0,AK$13),15-13*ORÇAMENTO!$AF$7)/$H254*OFFSET(ORÇAMENTO!$X$15,ROW(AK254)-ROW(AK$15),0),
ROUND(ROUND(OFFSET($P254,0,AK$13),15-13*ORÇAMENTO!$AF$7)*OFFSET(ORÇAMENTO!$W$15,ROW(AK254)-ROW(AK$15),0),15-13*ORÇAMENTO!$AF$11)),0)</f>
        <v>0</v>
      </c>
      <c r="AL254" s="545">
        <f ca="1">IF(AND($D254="Serviço",AL$12&lt;&gt;0,$H254&gt;0,OR(AUTOEVENTO&lt;&gt;"manual",$M254&lt;&gt;1)),
IF(Import.TipoArredondamento&lt;&gt;"TransfereGOV",
ROUND(OFFSET($P254,0,AL$13),15-13*ORÇAMENTO!$AF$7)/$H254*OFFSET(ORÇAMENTO!$X$15,ROW(AL254)-ROW(AL$15),0),
ROUND(ROUND(OFFSET($P254,0,AL$13),15-13*ORÇAMENTO!$AF$7)*OFFSET(ORÇAMENTO!$W$15,ROW(AL254)-ROW(AL$15),0),15-13*ORÇAMENTO!$AF$11)),0)</f>
        <v>0</v>
      </c>
      <c r="AM254" s="545">
        <f ca="1">IF(AND($D254="Serviço",AM$12&lt;&gt;0,$H254&gt;0,OR(AUTOEVENTO&lt;&gt;"manual",$M254&lt;&gt;1)),
IF(Import.TipoArredondamento&lt;&gt;"TransfereGOV",
ROUND(OFFSET($P254,0,AM$13),15-13*ORÇAMENTO!$AF$7)/$H254*OFFSET(ORÇAMENTO!$X$15,ROW(AM254)-ROW(AM$15),0),
ROUND(ROUND(OFFSET($P254,0,AM$13),15-13*ORÇAMENTO!$AF$7)*OFFSET(ORÇAMENTO!$W$15,ROW(AM254)-ROW(AM$15),0),15-13*ORÇAMENTO!$AF$11)),0)</f>
        <v>0</v>
      </c>
      <c r="AN254" s="545">
        <f ca="1">IF(AND($D254="Serviço",AN$12&lt;&gt;0,$H254&gt;0,OR(AUTOEVENTO&lt;&gt;"manual",$M254&lt;&gt;1)),
IF(Import.TipoArredondamento&lt;&gt;"TransfereGOV",
ROUND(OFFSET($P254,0,AN$13),15-13*ORÇAMENTO!$AF$7)/$H254*OFFSET(ORÇAMENTO!$X$15,ROW(AN254)-ROW(AN$15),0),
ROUND(ROUND(OFFSET($P254,0,AN$13),15-13*ORÇAMENTO!$AF$7)*OFFSET(ORÇAMENTO!$W$15,ROW(AN254)-ROW(AN$15),0),15-13*ORÇAMENTO!$AF$11)),0)</f>
        <v>0</v>
      </c>
      <c r="AO254" s="545">
        <f ca="1">IF(AND($D254="Serviço",AO$12&lt;&gt;0,$H254&gt;0,OR(AUTOEVENTO&lt;&gt;"manual",$M254&lt;&gt;1)),
IF(Import.TipoArredondamento&lt;&gt;"TransfereGOV",
ROUND(OFFSET($P254,0,AO$13),15-13*ORÇAMENTO!$AF$7)/$H254*OFFSET(ORÇAMENTO!$X$15,ROW(AO254)-ROW(AO$15),0),
ROUND(ROUND(OFFSET($P254,0,AO$13),15-13*ORÇAMENTO!$AF$7)*OFFSET(ORÇAMENTO!$W$15,ROW(AO254)-ROW(AO$15),0),15-13*ORÇAMENTO!$AF$11)),0)</f>
        <v>0</v>
      </c>
      <c r="AP254" s="545">
        <f ca="1">IF(AND($D254="Serviço",AP$12&lt;&gt;0,$H254&gt;0,OR(AUTOEVENTO&lt;&gt;"manual",$M254&lt;&gt;1)),
IF(Import.TipoArredondamento&lt;&gt;"TransfereGOV",
ROUND(OFFSET($P254,0,AP$13),15-13*ORÇAMENTO!$AF$7)/$H254*OFFSET(ORÇAMENTO!$X$15,ROW(AP254)-ROW(AP$15),0),
ROUND(ROUND(OFFSET($P254,0,AP$13),15-13*ORÇAMENTO!$AF$7)*OFFSET(ORÇAMENTO!$W$15,ROW(AP254)-ROW(AP$15),0),15-13*ORÇAMENTO!$AF$11)),0)</f>
        <v>0</v>
      </c>
      <c r="AQ254" s="545">
        <f ca="1">IF(AND($D254="Serviço",AQ$12&lt;&gt;0,$H254&gt;0,OR(AUTOEVENTO&lt;&gt;"manual",$M254&lt;&gt;1)),
IF(Import.TipoArredondamento&lt;&gt;"TransfereGOV",
ROUND(OFFSET($P254,0,AQ$13),15-13*ORÇAMENTO!$AF$7)/$H254*OFFSET(ORÇAMENTO!$X$15,ROW(AQ254)-ROW(AQ$15),0),
ROUND(ROUND(OFFSET($P254,0,AQ$13),15-13*ORÇAMENTO!$AF$7)*OFFSET(ORÇAMENTO!$W$15,ROW(AQ254)-ROW(AQ$15),0),15-13*ORÇAMENTO!$AF$11)),0)</f>
        <v>0</v>
      </c>
      <c r="AR254" s="545">
        <f ca="1">IF(AND($D254="Serviço",AR$12&lt;&gt;0,$H254&gt;0,OR(AUTOEVENTO&lt;&gt;"manual",$M254&lt;&gt;1)),
IF(Import.TipoArredondamento&lt;&gt;"TransfereGOV",
ROUND(OFFSET($P254,0,AR$13),15-13*ORÇAMENTO!$AF$7)/$H254*OFFSET(ORÇAMENTO!$X$15,ROW(AR254)-ROW(AR$15),0),
ROUND(ROUND(OFFSET($P254,0,AR$13),15-13*ORÇAMENTO!$AF$7)*OFFSET(ORÇAMENTO!$W$15,ROW(AR254)-ROW(AR$15),0),15-13*ORÇAMENTO!$AF$11)),0)</f>
        <v>0</v>
      </c>
      <c r="AS254" s="546">
        <f ca="1">IF(AND($D254="Serviço",AS$12&lt;&gt;0,$H254&gt;0,OR(AUTOEVENTO&lt;&gt;"manual",$M254&lt;&gt;1)),
IF(Import.TipoArredondamento&lt;&gt;"TransfereGOV",
ROUND(OFFSET($P254,0,AS$13),15-13*ORÇAMENTO!$AF$7)/$H254*OFFSET(ORÇAMENTO!$X$15,ROW(AS254)-ROW(AS$15),0),
ROUND(ROUND(OFFSET($P254,0,AS$13),15-13*ORÇAMENTO!$AF$7)*OFFSET(ORÇAMENTO!$W$15,ROW(AS254)-ROW(AS$15),0),15-13*ORÇAMENTO!$AF$11)),0)</f>
        <v>0</v>
      </c>
      <c r="AT254" s="545">
        <f ca="1">IF(AND($D254="Serviço",AT$12&lt;&gt;0,$H254&gt;0,OR(AUTOEVENTO&lt;&gt;"manual",$M254&lt;&gt;1)),
IF(Import.TipoArredondamento&lt;&gt;"TransfereGOV",
ROUND(OFFSET($P254,0,AT$13),15-13*ORÇAMENTO!$AF$7)/$H254*OFFSET(ORÇAMENTO!$X$15,ROW(AT254)-ROW(AT$15),0),
ROUND(ROUND(OFFSET($P254,0,AT$13),15-13*ORÇAMENTO!$AF$7)*OFFSET(ORÇAMENTO!$W$15,ROW(AT254)-ROW(AT$15),0),15-13*ORÇAMENTO!$AF$11)),0)</f>
        <v>0</v>
      </c>
      <c r="AU254" s="545">
        <f ca="1">IF(AND($D254="Serviço",AU$12&lt;&gt;0,$H254&gt;0,OR(AUTOEVENTO&lt;&gt;"manual",$M254&lt;&gt;1)),
IF(Import.TipoArredondamento&lt;&gt;"TransfereGOV",
ROUND(OFFSET($P254,0,AU$13),15-13*ORÇAMENTO!$AF$7)/$H254*OFFSET(ORÇAMENTO!$X$15,ROW(AU254)-ROW(AU$15),0),
ROUND(ROUND(OFFSET($P254,0,AU$13),15-13*ORÇAMENTO!$AF$7)*OFFSET(ORÇAMENTO!$W$15,ROW(AU254)-ROW(AU$15),0),15-13*ORÇAMENTO!$AF$11)),0)</f>
        <v>0</v>
      </c>
      <c r="AV254" s="545">
        <f ca="1">IF(AND($D254="Serviço",AV$12&lt;&gt;0,$H254&gt;0,OR(AUTOEVENTO&lt;&gt;"manual",$M254&lt;&gt;1)),
IF(Import.TipoArredondamento&lt;&gt;"TransfereGOV",
ROUND(OFFSET($P254,0,AV$13),15-13*ORÇAMENTO!$AF$7)/$H254*OFFSET(ORÇAMENTO!$X$15,ROW(AV254)-ROW(AV$15),0),
ROUND(ROUND(OFFSET($P254,0,AV$13),15-13*ORÇAMENTO!$AF$7)*OFFSET(ORÇAMENTO!$W$15,ROW(AV254)-ROW(AV$15),0),15-13*ORÇAMENTO!$AF$11)),0)</f>
        <v>0</v>
      </c>
      <c r="AW254" s="545">
        <f ca="1">IF(AND($D254="Serviço",AW$12&lt;&gt;0,$H254&gt;0,OR(AUTOEVENTO&lt;&gt;"manual",$M254&lt;&gt;1)),
IF(Import.TipoArredondamento&lt;&gt;"TransfereGOV",
ROUND(OFFSET($P254,0,AW$13),15-13*ORÇAMENTO!$AF$7)/$H254*OFFSET(ORÇAMENTO!$X$15,ROW(AW254)-ROW(AW$15),0),
ROUND(ROUND(OFFSET($P254,0,AW$13),15-13*ORÇAMENTO!$AF$7)*OFFSET(ORÇAMENTO!$W$15,ROW(AW254)-ROW(AW$15),0),15-13*ORÇAMENTO!$AF$11)),0)</f>
        <v>0</v>
      </c>
      <c r="AX254" s="545">
        <f ca="1">IF(AND($D254="Serviço",AX$12&lt;&gt;0,$H254&gt;0,OR(AUTOEVENTO&lt;&gt;"manual",$M254&lt;&gt;1)),
IF(Import.TipoArredondamento&lt;&gt;"TransfereGOV",
ROUND(OFFSET($P254,0,AX$13),15-13*ORÇAMENTO!$AF$7)/$H254*OFFSET(ORÇAMENTO!$X$15,ROW(AX254)-ROW(AX$15),0),
ROUND(ROUND(OFFSET($P254,0,AX$13),15-13*ORÇAMENTO!$AF$7)*OFFSET(ORÇAMENTO!$W$15,ROW(AX254)-ROW(AX$15),0),15-13*ORÇAMENTO!$AF$11)),0)</f>
        <v>0</v>
      </c>
      <c r="AY254" s="545">
        <f ca="1">IF(AND($D254="Serviço",AY$12&lt;&gt;0,$H254&gt;0,OR(AUTOEVENTO&lt;&gt;"manual",$M254&lt;&gt;1)),
IF(Import.TipoArredondamento&lt;&gt;"TransfereGOV",
ROUND(OFFSET($P254,0,AY$13),15-13*ORÇAMENTO!$AF$7)/$H254*OFFSET(ORÇAMENTO!$X$15,ROW(AY254)-ROW(AY$15),0),
ROUND(ROUND(OFFSET($P254,0,AY$13),15-13*ORÇAMENTO!$AF$7)*OFFSET(ORÇAMENTO!$W$15,ROW(AY254)-ROW(AY$15),0),15-13*ORÇAMENTO!$AF$11)),0)</f>
        <v>0</v>
      </c>
      <c r="AZ254" s="545">
        <f ca="1">IF(AND($D254="Serviço",AZ$12&lt;&gt;0,$H254&gt;0,OR(AUTOEVENTO&lt;&gt;"manual",$M254&lt;&gt;1)),
IF(Import.TipoArredondamento&lt;&gt;"TransfereGOV",
ROUND(OFFSET($P254,0,AZ$13),15-13*ORÇAMENTO!$AF$7)/$H254*OFFSET(ORÇAMENTO!$X$15,ROW(AZ254)-ROW(AZ$15),0),
ROUND(ROUND(OFFSET($P254,0,AZ$13),15-13*ORÇAMENTO!$AF$7)*OFFSET(ORÇAMENTO!$W$15,ROW(AZ254)-ROW(AZ$15),0),15-13*ORÇAMENTO!$AF$11)),0)</f>
        <v>0</v>
      </c>
      <c r="BA254" s="546">
        <f ca="1">IF(AND($D254="Serviço",BA$12&lt;&gt;0,$H254&gt;0,OR(AUTOEVENTO&lt;&gt;"manual",$M254&lt;&gt;1)),
IF(Import.TipoArredondamento&lt;&gt;"TransfereGOV",
ROUND(OFFSET($P254,0,BA$13),15-13*ORÇAMENTO!$AF$7)/$H254*OFFSET(ORÇAMENTO!$X$15,ROW(BA254)-ROW(BA$15),0),
ROUND(ROUND(OFFSET($P254,0,BA$13),15-13*ORÇAMENTO!$AF$7)*OFFSET(ORÇAMENTO!$W$15,ROW(BA254)-ROW(BA$15),0),15-13*ORÇAMENTO!$AF$11)),0)</f>
        <v>0</v>
      </c>
      <c r="BC254" s="181">
        <f ca="1">IF($D254&lt;&gt;"Serviço",0,IF(AND(AUTOEVENTO="Manual",$M254=1),0,IF(OFFSET(CRONOPLE!$F$14,$M254,BC$13)="",10^12,OFFSET(CRONOPLE!$F$14,$M254,BC$13))))</f>
        <v>9</v>
      </c>
      <c r="BD254" s="181">
        <f ca="1">IF($D254&lt;&gt;"Serviço",0,IF(AND(AUTOEVENTO="Manual",$M254=1),0,IF(OFFSET(CRONOPLE!$F$14,$M254,BD$13)="",10^12,OFFSET(CRONOPLE!$F$14,$M254,BD$13))))</f>
        <v>1000000000000</v>
      </c>
      <c r="BE254" s="181">
        <f ca="1">IF($D254&lt;&gt;"Serviço",0,IF(AND(AUTOEVENTO="Manual",$M254=1),0,IF(OFFSET(CRONOPLE!$F$14,$M254,BE$13)="",10^12,OFFSET(CRONOPLE!$F$14,$M254,BE$13))))</f>
        <v>1000000000000</v>
      </c>
      <c r="BF254" s="181">
        <f ca="1">IF($D254&lt;&gt;"Serviço",0,IF(AND(AUTOEVENTO="Manual",$M254=1),0,IF(OFFSET(CRONOPLE!$F$14,$M254,BF$13)="",10^12,OFFSET(CRONOPLE!$F$14,$M254,BF$13))))</f>
        <v>1000000000000</v>
      </c>
      <c r="BG254" s="181">
        <f ca="1">IF($D254&lt;&gt;"Serviço",0,IF(AND(AUTOEVENTO="Manual",$M254=1),0,IF(OFFSET(CRONOPLE!$F$14,$M254,BG$13)="",10^12,OFFSET(CRONOPLE!$F$14,$M254,BG$13))))</f>
        <v>1000000000000</v>
      </c>
      <c r="BH254" s="181">
        <f ca="1">IF($D254&lt;&gt;"Serviço",0,IF(AND(AUTOEVENTO="Manual",$M254=1),0,IF(OFFSET(CRONOPLE!$F$14,$M254,BH$13)="",10^12,OFFSET(CRONOPLE!$F$14,$M254,BH$13))))</f>
        <v>1000000000000</v>
      </c>
      <c r="BI254" s="181">
        <f ca="1">IF($D254&lt;&gt;"Serviço",0,IF(AND(AUTOEVENTO="Manual",$M254=1),0,IF(OFFSET(CRONOPLE!$F$14,$M254,BI$13)="",10^12,OFFSET(CRONOPLE!$F$14,$M254,BI$13))))</f>
        <v>1000000000000</v>
      </c>
      <c r="BJ254" s="181">
        <f ca="1">IF($D254&lt;&gt;"Serviço",0,IF(AND(AUTOEVENTO="Manual",$M254=1),0,IF(OFFSET(CRONOPLE!$F$14,$M254,BJ$13)="",10^12,OFFSET(CRONOPLE!$F$14,$M254,BJ$13))))</f>
        <v>1000000000000</v>
      </c>
      <c r="BK254" s="181">
        <f ca="1">IF($D254&lt;&gt;"Serviço",0,IF(AND(AUTOEVENTO="Manual",$M254=1),0,IF(OFFSET(CRONOPLE!$F$14,$M254,BK$13)="",10^12,OFFSET(CRONOPLE!$F$14,$M254,BK$13))))</f>
        <v>1000000000000</v>
      </c>
      <c r="BL254" s="181">
        <f ca="1">IF($D254&lt;&gt;"Serviço",0,IF(AND(AUTOEVENTO="Manual",$M254=1),0,IF(OFFSET(CRONOPLE!$F$14,$M254,BL$13)="",10^12,OFFSET(CRONOPLE!$F$14,$M254,BL$13))))</f>
        <v>1000000000000</v>
      </c>
      <c r="BM254" s="181">
        <f ca="1">IF($D254&lt;&gt;"Serviço",0,IF(AND(AUTOEVENTO="Manual",$M254=1),0,IF(OFFSET(CRONOPLE!$F$14,$M254,BM$13)="",10^12,OFFSET(CRONOPLE!$F$14,$M254,BM$13))))</f>
        <v>1000000000000</v>
      </c>
      <c r="BN254" s="181">
        <f ca="1">IF($D254&lt;&gt;"Serviço",0,IF(AND(AUTOEVENTO="Manual",$M254=1),0,IF(OFFSET(CRONOPLE!$F$14,$M254,BN$13)="",10^12,OFFSET(CRONOPLE!$F$14,$M254,BN$13))))</f>
        <v>1000000000000</v>
      </c>
      <c r="BO254" s="181">
        <f ca="1">IF($D254&lt;&gt;"Serviço",0,IF(AND(AUTOEVENTO="Manual",$M254=1),0,IF(OFFSET(CRONOPLE!$F$14,$M254,BO$13)="",10^12,OFFSET(CRONOPLE!$F$14,$M254,BO$13))))</f>
        <v>1000000000000</v>
      </c>
      <c r="BP254" s="181">
        <f ca="1">IF($D254&lt;&gt;"Serviço",0,IF(AND(AUTOEVENTO="Manual",$M254=1),0,IF(OFFSET(CRONOPLE!$F$14,$M254,BP$13)="",10^12,OFFSET(CRONOPLE!$F$14,$M254,BP$13))))</f>
        <v>1000000000000</v>
      </c>
      <c r="BQ254" s="181">
        <f ca="1">IF($D254&lt;&gt;"Serviço",0,IF(AND(AUTOEVENTO="Manual",$M254=1),0,IF(OFFSET(CRONOPLE!$F$14,$M254,BQ$13)="",10^12,OFFSET(CRONOPLE!$F$14,$M254,BQ$13))))</f>
        <v>1000000000000</v>
      </c>
      <c r="BR254" s="181">
        <f ca="1">IF($D254&lt;&gt;"Serviço",0,IF(AND(AUTOEVENTO="Manual",$M254=1),0,IF(OFFSET(CRONOPLE!$F$14,$M254,BR$13)="",10^12,OFFSET(CRONOPLE!$F$14,$M254,BR$13))))</f>
        <v>1000000000000</v>
      </c>
      <c r="BS254" s="181">
        <f ca="1">IF($D254&lt;&gt;"Serviço",0,IF(AND(AUTOEVENTO="Manual",$M254=1),0,IF(OFFSET(CRONOPLE!$F$14,$M254,BS$13)="",10^12,OFFSET(CRONOPLE!$F$14,$M254,BS$13))))</f>
        <v>1000000000000</v>
      </c>
      <c r="BT254" s="181">
        <f ca="1">IF($D254&lt;&gt;"Serviço",0,IF(AND(AUTOEVENTO="Manual",$M254=1),0,IF(OFFSET(CRONOPLE!$F$14,$M254,BT$13)="",10^12,OFFSET(CRONOPLE!$F$14,$M254,BT$13))))</f>
        <v>1000000000000</v>
      </c>
      <c r="BV254" s="182">
        <f ca="1">IF($D254&lt;&gt;"Serviço",0,IF(OR(AND(AUTOEVENTO="Manual",$M254=1),$M254&gt;(ROW(PLE.lastrow)-ROW(PLE.firstrow))),0,IF(OFFSET(PLE!$G$14,$M254,BV$13)="",10^12,OFFSET(PLE!$G$14,$M254,BV$13))))</f>
        <v>1000000000000</v>
      </c>
      <c r="BW254" s="182">
        <f ca="1">IF($D254&lt;&gt;"Serviço",0,IF(OR(AND(AUTOEVENTO="Manual",$M254=1),$M254&gt;(ROW(PLE.lastrow)-ROW(PLE.firstrow))),0,IF(OFFSET(PLE!$G$14,$M254,BW$13)="",10^12,OFFSET(PLE!$G$14,$M254,BW$13))))</f>
        <v>1000000000000</v>
      </c>
      <c r="BX254" s="182">
        <f ca="1">IF($D254&lt;&gt;"Serviço",0,IF(OR(AND(AUTOEVENTO="Manual",$M254=1),$M254&gt;(ROW(PLE.lastrow)-ROW(PLE.firstrow))),0,IF(OFFSET(PLE!$G$14,$M254,BX$13)="",10^12,OFFSET(PLE!$G$14,$M254,BX$13))))</f>
        <v>1000000000000</v>
      </c>
      <c r="BY254" s="182">
        <f ca="1">IF($D254&lt;&gt;"Serviço",0,IF(OR(AND(AUTOEVENTO="Manual",$M254=1),$M254&gt;(ROW(PLE.lastrow)-ROW(PLE.firstrow))),0,IF(OFFSET(PLE!$G$14,$M254,BY$13)="",10^12,OFFSET(PLE!$G$14,$M254,BY$13))))</f>
        <v>1000000000000</v>
      </c>
      <c r="BZ254" s="182">
        <f ca="1">IF($D254&lt;&gt;"Serviço",0,IF(OR(AND(AUTOEVENTO="Manual",$M254=1),$M254&gt;(ROW(PLE.lastrow)-ROW(PLE.firstrow))),0,IF(OFFSET(PLE!$G$14,$M254,BZ$13)="",10^12,OFFSET(PLE!$G$14,$M254,BZ$13))))</f>
        <v>1000000000000</v>
      </c>
      <c r="CA254" s="182">
        <f ca="1">IF($D254&lt;&gt;"Serviço",0,IF(OR(AND(AUTOEVENTO="Manual",$M254=1),$M254&gt;(ROW(PLE.lastrow)-ROW(PLE.firstrow))),0,IF(OFFSET(PLE!$G$14,$M254,CA$13)="",10^12,OFFSET(PLE!$G$14,$M254,CA$13))))</f>
        <v>1000000000000</v>
      </c>
      <c r="CB254" s="182">
        <f ca="1">IF($D254&lt;&gt;"Serviço",0,IF(OR(AND(AUTOEVENTO="Manual",$M254=1),$M254&gt;(ROW(PLE.lastrow)-ROW(PLE.firstrow))),0,IF(OFFSET(PLE!$G$14,$M254,CB$13)="",10^12,OFFSET(PLE!$G$14,$M254,CB$13))))</f>
        <v>1000000000000</v>
      </c>
      <c r="CC254" s="182">
        <f ca="1">IF($D254&lt;&gt;"Serviço",0,IF(OR(AND(AUTOEVENTO="Manual",$M254=1),$M254&gt;(ROW(PLE.lastrow)-ROW(PLE.firstrow))),0,IF(OFFSET(PLE!$G$14,$M254,CC$13)="",10^12,OFFSET(PLE!$G$14,$M254,CC$13))))</f>
        <v>1000000000000</v>
      </c>
      <c r="CD254" s="182">
        <f ca="1">IF($D254&lt;&gt;"Serviço",0,IF(OR(AND(AUTOEVENTO="Manual",$M254=1),$M254&gt;(ROW(PLE.lastrow)-ROW(PLE.firstrow))),0,IF(OFFSET(PLE!$G$14,$M254,CD$13)="",10^12,OFFSET(PLE!$G$14,$M254,CD$13))))</f>
        <v>1000000000000</v>
      </c>
      <c r="CE254" s="182">
        <f ca="1">IF($D254&lt;&gt;"Serviço",0,IF(OR(AND(AUTOEVENTO="Manual",$M254=1),$M254&gt;(ROW(PLE.lastrow)-ROW(PLE.firstrow))),0,IF(OFFSET(PLE!$G$14,$M254,CE$13)="",10^12,OFFSET(PLE!$G$14,$M254,CE$13))))</f>
        <v>1000000000000</v>
      </c>
      <c r="CF254" s="182">
        <f ca="1">IF($D254&lt;&gt;"Serviço",0,IF(OR(AND(AUTOEVENTO="Manual",$M254=1),$M254&gt;(ROW(PLE.lastrow)-ROW(PLE.firstrow))),0,IF(OFFSET(PLE!$G$14,$M254,CF$13)="",10^12,OFFSET(PLE!$G$14,$M254,CF$13))))</f>
        <v>1000000000000</v>
      </c>
      <c r="CG254" s="182">
        <f ca="1">IF($D254&lt;&gt;"Serviço",0,IF(OR(AND(AUTOEVENTO="Manual",$M254=1),$M254&gt;(ROW(PLE.lastrow)-ROW(PLE.firstrow))),0,IF(OFFSET(PLE!$G$14,$M254,CG$13)="",10^12,OFFSET(PLE!$G$14,$M254,CG$13))))</f>
        <v>1000000000000</v>
      </c>
      <c r="CH254" s="182">
        <f ca="1">IF($D254&lt;&gt;"Serviço",0,IF(OR(AND(AUTOEVENTO="Manual",$M254=1),$M254&gt;(ROW(PLE.lastrow)-ROW(PLE.firstrow))),0,IF(OFFSET(PLE!$G$14,$M254,CH$13)="",10^12,OFFSET(PLE!$G$14,$M254,CH$13))))</f>
        <v>1000000000000</v>
      </c>
      <c r="CI254" s="182">
        <f ca="1">IF($D254&lt;&gt;"Serviço",0,IF(OR(AND(AUTOEVENTO="Manual",$M254=1),$M254&gt;(ROW(PLE.lastrow)-ROW(PLE.firstrow))),0,IF(OFFSET(PLE!$G$14,$M254,CI$13)="",10^12,OFFSET(PLE!$G$14,$M254,CI$13))))</f>
        <v>1000000000000</v>
      </c>
      <c r="CJ254" s="182">
        <f ca="1">IF($D254&lt;&gt;"Serviço",0,IF(OR(AND(AUTOEVENTO="Manual",$M254=1),$M254&gt;(ROW(PLE.lastrow)-ROW(PLE.firstrow))),0,IF(OFFSET(PLE!$G$14,$M254,CJ$13)="",10^12,OFFSET(PLE!$G$14,$M254,CJ$13))))</f>
        <v>1000000000000</v>
      </c>
      <c r="CK254" s="182">
        <f ca="1">IF($D254&lt;&gt;"Serviço",0,IF(OR(AND(AUTOEVENTO="Manual",$M254=1),$M254&gt;(ROW(PLE.lastrow)-ROW(PLE.firstrow))),0,IF(OFFSET(PLE!$G$14,$M254,CK$13)="",10^12,OFFSET(PLE!$G$14,$M254,CK$13))))</f>
        <v>1000000000000</v>
      </c>
      <c r="CL254" s="182">
        <f ca="1">IF($D254&lt;&gt;"Serviço",0,IF(OR(AND(AUTOEVENTO="Manual",$M254=1),$M254&gt;(ROW(PLE.lastrow)-ROW(PLE.firstrow))),0,IF(OFFSET(PLE!$G$14,$M254,CL$13)="",10^12,OFFSET(PLE!$G$14,$M254,CL$13))))</f>
        <v>1000000000000</v>
      </c>
      <c r="CM254" s="182">
        <f ca="1">IF($D254&lt;&gt;"Serviço",0,IF(OR(AND(AUTOEVENTO="Manual",$M254=1),$M254&gt;(ROW(PLE.lastrow)-ROW(PLE.firstrow))),0,IF(OFFSET(PLE!$G$14,$M254,CM$13)="",10^12,OFFSET(PLE!$G$14,$M254,CM$13))))</f>
        <v>1000000000000</v>
      </c>
    </row>
    <row r="255" spans="1:91" ht="51" x14ac:dyDescent="0.2">
      <c r="A255" s="7" t="str">
        <f t="shared" ca="1" si="12"/>
        <v>232</v>
      </c>
      <c r="B255" s="7" t="str">
        <f ca="1">OFFSET(ORÇAMENTO!C$15,ROW(B255)-ROW(B$15),0)</f>
        <v>S</v>
      </c>
      <c r="C255" s="7" t="str">
        <f ca="1">OFFSET(ORÇAMENTO!L$15,ROW(C255)-ROW(C$15),0)</f>
        <v/>
      </c>
      <c r="D255" s="118" t="str">
        <f ca="1">OFFSET(ORÇAMENTO!N$15,ROW(D255)-ROW(D$15),0)</f>
        <v>Serviço</v>
      </c>
      <c r="E255" s="119" t="str">
        <f ca="1">OFFSET(ORÇAMENTO!O$15,ROW(E255)-ROW(E$15),0)</f>
        <v>-</v>
      </c>
      <c r="F255" s="172" t="str">
        <f ca="1">OFFSET(ORÇAMENTO!R$15,ROW(F255)-ROW(F$15),0)</f>
        <v>(abra o arquivo 'Referência 06-2024.xlsm)</v>
      </c>
      <c r="G255" s="173" t="str">
        <f ca="1">IF($D255&lt;&gt;"Serviço","",OFFSET(ORÇAMENTO!S$15,ROW(G255)-ROW(G$15),0))</f>
        <v>-</v>
      </c>
      <c r="H255" s="124">
        <f ca="1">IF($D255&lt;&gt;"Serviço",0,IF(ACOMPANHAMENTO="BM",ROUND(OFFSET(ORÇAMENTO!AJ$15,ROW(H255)-ROW(H$15),0),15-13*ORÇAMENTO!$AF$7),SUMPRODUCT(($Q$12:$AI$12&lt;&gt;"")*ROUND($Q255:$AI255,15-13*ORÇAMENTO!$AF$7))))</f>
        <v>56</v>
      </c>
      <c r="I255" s="561" t="s">
        <v>1107</v>
      </c>
      <c r="K255" s="174"/>
      <c r="L255" s="175" t="s">
        <v>255</v>
      </c>
      <c r="M255" s="176">
        <f ca="1">IF($D255&lt;&gt;"Serviço","",IF(AUTOEVENTO="manual",$A255,IF(ISERROR(MATCH($A255,$A$15:OFFSET($A255,-1,0),0)),MAX($M$15:OFFSET(M255,-1,0))+1,INDEX($M$15:OFFSET(M255,-1,0),MATCH($A255,$A$15:OFFSET($A255,-1,0),0)))))</f>
        <v>35</v>
      </c>
      <c r="N255" s="177" t="str">
        <f ca="1">IF($D255&lt;&gt;"Serviço","",IF(AUTOEVENTO="Manual",IF($A255=0,"&lt;-- defina o número do agrupador",OFFSET(EVENTOS!$D$14,$A255,0)),OFFSET($F$15,$A255,0)))</f>
        <v>INSTALAÇÃO HIDRÁULICA - TUBULAÇÕES E CONEXÕES DE PVC RÍGIDO</v>
      </c>
      <c r="O255" s="178"/>
      <c r="Q255" s="178">
        <v>56</v>
      </c>
      <c r="R255" s="179"/>
      <c r="S255" s="179"/>
      <c r="T255" s="179"/>
      <c r="U255" s="179"/>
      <c r="V255" s="179"/>
      <c r="W255" s="179"/>
      <c r="X255" s="179"/>
      <c r="Y255" s="179"/>
      <c r="Z255" s="180"/>
      <c r="AA255" s="179"/>
      <c r="AB255" s="179"/>
      <c r="AC255" s="179"/>
      <c r="AD255" s="179"/>
      <c r="AE255" s="179"/>
      <c r="AF255" s="179"/>
      <c r="AG255" s="179"/>
      <c r="AH255" s="180"/>
      <c r="AJ255" s="544">
        <f ca="1">IF(AND($D255="Serviço",AJ$12&lt;&gt;0,$H255&gt;0,OR(AUTOEVENTO&lt;&gt;"manual",$M255&lt;&gt;1)),
IF(Import.TipoArredondamento&lt;&gt;"TransfereGOV",
ROUND(OFFSET($P255,0,AJ$13),15-13*ORÇAMENTO!$AF$7)/$H255*OFFSET(ORÇAMENTO!$X$15,ROW(AJ255)-ROW(AJ$15),0),
ROUND(ROUND(OFFSET($P255,0,AJ$13),15-13*ORÇAMENTO!$AF$7)*OFFSET(ORÇAMENTO!$W$15,ROW(AJ255)-ROW(AJ$15),0),15-13*ORÇAMENTO!$AF$11)),0)</f>
        <v>0</v>
      </c>
      <c r="AK255" s="545">
        <f ca="1">IF(AND($D255="Serviço",AK$12&lt;&gt;0,$H255&gt;0,OR(AUTOEVENTO&lt;&gt;"manual",$M255&lt;&gt;1)),
IF(Import.TipoArredondamento&lt;&gt;"TransfereGOV",
ROUND(OFFSET($P255,0,AK$13),15-13*ORÇAMENTO!$AF$7)/$H255*OFFSET(ORÇAMENTO!$X$15,ROW(AK255)-ROW(AK$15),0),
ROUND(ROUND(OFFSET($P255,0,AK$13),15-13*ORÇAMENTO!$AF$7)*OFFSET(ORÇAMENTO!$W$15,ROW(AK255)-ROW(AK$15),0),15-13*ORÇAMENTO!$AF$11)),0)</f>
        <v>0</v>
      </c>
      <c r="AL255" s="545">
        <f ca="1">IF(AND($D255="Serviço",AL$12&lt;&gt;0,$H255&gt;0,OR(AUTOEVENTO&lt;&gt;"manual",$M255&lt;&gt;1)),
IF(Import.TipoArredondamento&lt;&gt;"TransfereGOV",
ROUND(OFFSET($P255,0,AL$13),15-13*ORÇAMENTO!$AF$7)/$H255*OFFSET(ORÇAMENTO!$X$15,ROW(AL255)-ROW(AL$15),0),
ROUND(ROUND(OFFSET($P255,0,AL$13),15-13*ORÇAMENTO!$AF$7)*OFFSET(ORÇAMENTO!$W$15,ROW(AL255)-ROW(AL$15),0),15-13*ORÇAMENTO!$AF$11)),0)</f>
        <v>0</v>
      </c>
      <c r="AM255" s="545">
        <f ca="1">IF(AND($D255="Serviço",AM$12&lt;&gt;0,$H255&gt;0,OR(AUTOEVENTO&lt;&gt;"manual",$M255&lt;&gt;1)),
IF(Import.TipoArredondamento&lt;&gt;"TransfereGOV",
ROUND(OFFSET($P255,0,AM$13),15-13*ORÇAMENTO!$AF$7)/$H255*OFFSET(ORÇAMENTO!$X$15,ROW(AM255)-ROW(AM$15),0),
ROUND(ROUND(OFFSET($P255,0,AM$13),15-13*ORÇAMENTO!$AF$7)*OFFSET(ORÇAMENTO!$W$15,ROW(AM255)-ROW(AM$15),0),15-13*ORÇAMENTO!$AF$11)),0)</f>
        <v>0</v>
      </c>
      <c r="AN255" s="545">
        <f ca="1">IF(AND($D255="Serviço",AN$12&lt;&gt;0,$H255&gt;0,OR(AUTOEVENTO&lt;&gt;"manual",$M255&lt;&gt;1)),
IF(Import.TipoArredondamento&lt;&gt;"TransfereGOV",
ROUND(OFFSET($P255,0,AN$13),15-13*ORÇAMENTO!$AF$7)/$H255*OFFSET(ORÇAMENTO!$X$15,ROW(AN255)-ROW(AN$15),0),
ROUND(ROUND(OFFSET($P255,0,AN$13),15-13*ORÇAMENTO!$AF$7)*OFFSET(ORÇAMENTO!$W$15,ROW(AN255)-ROW(AN$15),0),15-13*ORÇAMENTO!$AF$11)),0)</f>
        <v>0</v>
      </c>
      <c r="AO255" s="545">
        <f ca="1">IF(AND($D255="Serviço",AO$12&lt;&gt;0,$H255&gt;0,OR(AUTOEVENTO&lt;&gt;"manual",$M255&lt;&gt;1)),
IF(Import.TipoArredondamento&lt;&gt;"TransfereGOV",
ROUND(OFFSET($P255,0,AO$13),15-13*ORÇAMENTO!$AF$7)/$H255*OFFSET(ORÇAMENTO!$X$15,ROW(AO255)-ROW(AO$15),0),
ROUND(ROUND(OFFSET($P255,0,AO$13),15-13*ORÇAMENTO!$AF$7)*OFFSET(ORÇAMENTO!$W$15,ROW(AO255)-ROW(AO$15),0),15-13*ORÇAMENTO!$AF$11)),0)</f>
        <v>0</v>
      </c>
      <c r="AP255" s="545">
        <f ca="1">IF(AND($D255="Serviço",AP$12&lt;&gt;0,$H255&gt;0,OR(AUTOEVENTO&lt;&gt;"manual",$M255&lt;&gt;1)),
IF(Import.TipoArredondamento&lt;&gt;"TransfereGOV",
ROUND(OFFSET($P255,0,AP$13),15-13*ORÇAMENTO!$AF$7)/$H255*OFFSET(ORÇAMENTO!$X$15,ROW(AP255)-ROW(AP$15),0),
ROUND(ROUND(OFFSET($P255,0,AP$13),15-13*ORÇAMENTO!$AF$7)*OFFSET(ORÇAMENTO!$W$15,ROW(AP255)-ROW(AP$15),0),15-13*ORÇAMENTO!$AF$11)),0)</f>
        <v>0</v>
      </c>
      <c r="AQ255" s="545">
        <f ca="1">IF(AND($D255="Serviço",AQ$12&lt;&gt;0,$H255&gt;0,OR(AUTOEVENTO&lt;&gt;"manual",$M255&lt;&gt;1)),
IF(Import.TipoArredondamento&lt;&gt;"TransfereGOV",
ROUND(OFFSET($P255,0,AQ$13),15-13*ORÇAMENTO!$AF$7)/$H255*OFFSET(ORÇAMENTO!$X$15,ROW(AQ255)-ROW(AQ$15),0),
ROUND(ROUND(OFFSET($P255,0,AQ$13),15-13*ORÇAMENTO!$AF$7)*OFFSET(ORÇAMENTO!$W$15,ROW(AQ255)-ROW(AQ$15),0),15-13*ORÇAMENTO!$AF$11)),0)</f>
        <v>0</v>
      </c>
      <c r="AR255" s="545">
        <f ca="1">IF(AND($D255="Serviço",AR$12&lt;&gt;0,$H255&gt;0,OR(AUTOEVENTO&lt;&gt;"manual",$M255&lt;&gt;1)),
IF(Import.TipoArredondamento&lt;&gt;"TransfereGOV",
ROUND(OFFSET($P255,0,AR$13),15-13*ORÇAMENTO!$AF$7)/$H255*OFFSET(ORÇAMENTO!$X$15,ROW(AR255)-ROW(AR$15),0),
ROUND(ROUND(OFFSET($P255,0,AR$13),15-13*ORÇAMENTO!$AF$7)*OFFSET(ORÇAMENTO!$W$15,ROW(AR255)-ROW(AR$15),0),15-13*ORÇAMENTO!$AF$11)),0)</f>
        <v>0</v>
      </c>
      <c r="AS255" s="546">
        <f ca="1">IF(AND($D255="Serviço",AS$12&lt;&gt;0,$H255&gt;0,OR(AUTOEVENTO&lt;&gt;"manual",$M255&lt;&gt;1)),
IF(Import.TipoArredondamento&lt;&gt;"TransfereGOV",
ROUND(OFFSET($P255,0,AS$13),15-13*ORÇAMENTO!$AF$7)/$H255*OFFSET(ORÇAMENTO!$X$15,ROW(AS255)-ROW(AS$15),0),
ROUND(ROUND(OFFSET($P255,0,AS$13),15-13*ORÇAMENTO!$AF$7)*OFFSET(ORÇAMENTO!$W$15,ROW(AS255)-ROW(AS$15),0),15-13*ORÇAMENTO!$AF$11)),0)</f>
        <v>0</v>
      </c>
      <c r="AT255" s="545">
        <f ca="1">IF(AND($D255="Serviço",AT$12&lt;&gt;0,$H255&gt;0,OR(AUTOEVENTO&lt;&gt;"manual",$M255&lt;&gt;1)),
IF(Import.TipoArredondamento&lt;&gt;"TransfereGOV",
ROUND(OFFSET($P255,0,AT$13),15-13*ORÇAMENTO!$AF$7)/$H255*OFFSET(ORÇAMENTO!$X$15,ROW(AT255)-ROW(AT$15),0),
ROUND(ROUND(OFFSET($P255,0,AT$13),15-13*ORÇAMENTO!$AF$7)*OFFSET(ORÇAMENTO!$W$15,ROW(AT255)-ROW(AT$15),0),15-13*ORÇAMENTO!$AF$11)),0)</f>
        <v>0</v>
      </c>
      <c r="AU255" s="545">
        <f ca="1">IF(AND($D255="Serviço",AU$12&lt;&gt;0,$H255&gt;0,OR(AUTOEVENTO&lt;&gt;"manual",$M255&lt;&gt;1)),
IF(Import.TipoArredondamento&lt;&gt;"TransfereGOV",
ROUND(OFFSET($P255,0,AU$13),15-13*ORÇAMENTO!$AF$7)/$H255*OFFSET(ORÇAMENTO!$X$15,ROW(AU255)-ROW(AU$15),0),
ROUND(ROUND(OFFSET($P255,0,AU$13),15-13*ORÇAMENTO!$AF$7)*OFFSET(ORÇAMENTO!$W$15,ROW(AU255)-ROW(AU$15),0),15-13*ORÇAMENTO!$AF$11)),0)</f>
        <v>0</v>
      </c>
      <c r="AV255" s="545">
        <f ca="1">IF(AND($D255="Serviço",AV$12&lt;&gt;0,$H255&gt;0,OR(AUTOEVENTO&lt;&gt;"manual",$M255&lt;&gt;1)),
IF(Import.TipoArredondamento&lt;&gt;"TransfereGOV",
ROUND(OFFSET($P255,0,AV$13),15-13*ORÇAMENTO!$AF$7)/$H255*OFFSET(ORÇAMENTO!$X$15,ROW(AV255)-ROW(AV$15),0),
ROUND(ROUND(OFFSET($P255,0,AV$13),15-13*ORÇAMENTO!$AF$7)*OFFSET(ORÇAMENTO!$W$15,ROW(AV255)-ROW(AV$15),0),15-13*ORÇAMENTO!$AF$11)),0)</f>
        <v>0</v>
      </c>
      <c r="AW255" s="545">
        <f ca="1">IF(AND($D255="Serviço",AW$12&lt;&gt;0,$H255&gt;0,OR(AUTOEVENTO&lt;&gt;"manual",$M255&lt;&gt;1)),
IF(Import.TipoArredondamento&lt;&gt;"TransfereGOV",
ROUND(OFFSET($P255,0,AW$13),15-13*ORÇAMENTO!$AF$7)/$H255*OFFSET(ORÇAMENTO!$X$15,ROW(AW255)-ROW(AW$15),0),
ROUND(ROUND(OFFSET($P255,0,AW$13),15-13*ORÇAMENTO!$AF$7)*OFFSET(ORÇAMENTO!$W$15,ROW(AW255)-ROW(AW$15),0),15-13*ORÇAMENTO!$AF$11)),0)</f>
        <v>0</v>
      </c>
      <c r="AX255" s="545">
        <f ca="1">IF(AND($D255="Serviço",AX$12&lt;&gt;0,$H255&gt;0,OR(AUTOEVENTO&lt;&gt;"manual",$M255&lt;&gt;1)),
IF(Import.TipoArredondamento&lt;&gt;"TransfereGOV",
ROUND(OFFSET($P255,0,AX$13),15-13*ORÇAMENTO!$AF$7)/$H255*OFFSET(ORÇAMENTO!$X$15,ROW(AX255)-ROW(AX$15),0),
ROUND(ROUND(OFFSET($P255,0,AX$13),15-13*ORÇAMENTO!$AF$7)*OFFSET(ORÇAMENTO!$W$15,ROW(AX255)-ROW(AX$15),0),15-13*ORÇAMENTO!$AF$11)),0)</f>
        <v>0</v>
      </c>
      <c r="AY255" s="545">
        <f ca="1">IF(AND($D255="Serviço",AY$12&lt;&gt;0,$H255&gt;0,OR(AUTOEVENTO&lt;&gt;"manual",$M255&lt;&gt;1)),
IF(Import.TipoArredondamento&lt;&gt;"TransfereGOV",
ROUND(OFFSET($P255,0,AY$13),15-13*ORÇAMENTO!$AF$7)/$H255*OFFSET(ORÇAMENTO!$X$15,ROW(AY255)-ROW(AY$15),0),
ROUND(ROUND(OFFSET($P255,0,AY$13),15-13*ORÇAMENTO!$AF$7)*OFFSET(ORÇAMENTO!$W$15,ROW(AY255)-ROW(AY$15),0),15-13*ORÇAMENTO!$AF$11)),0)</f>
        <v>0</v>
      </c>
      <c r="AZ255" s="545">
        <f ca="1">IF(AND($D255="Serviço",AZ$12&lt;&gt;0,$H255&gt;0,OR(AUTOEVENTO&lt;&gt;"manual",$M255&lt;&gt;1)),
IF(Import.TipoArredondamento&lt;&gt;"TransfereGOV",
ROUND(OFFSET($P255,0,AZ$13),15-13*ORÇAMENTO!$AF$7)/$H255*OFFSET(ORÇAMENTO!$X$15,ROW(AZ255)-ROW(AZ$15),0),
ROUND(ROUND(OFFSET($P255,0,AZ$13),15-13*ORÇAMENTO!$AF$7)*OFFSET(ORÇAMENTO!$W$15,ROW(AZ255)-ROW(AZ$15),0),15-13*ORÇAMENTO!$AF$11)),0)</f>
        <v>0</v>
      </c>
      <c r="BA255" s="546">
        <f ca="1">IF(AND($D255="Serviço",BA$12&lt;&gt;0,$H255&gt;0,OR(AUTOEVENTO&lt;&gt;"manual",$M255&lt;&gt;1)),
IF(Import.TipoArredondamento&lt;&gt;"TransfereGOV",
ROUND(OFFSET($P255,0,BA$13),15-13*ORÇAMENTO!$AF$7)/$H255*OFFSET(ORÇAMENTO!$X$15,ROW(BA255)-ROW(BA$15),0),
ROUND(ROUND(OFFSET($P255,0,BA$13),15-13*ORÇAMENTO!$AF$7)*OFFSET(ORÇAMENTO!$W$15,ROW(BA255)-ROW(BA$15),0),15-13*ORÇAMENTO!$AF$11)),0)</f>
        <v>0</v>
      </c>
      <c r="BC255" s="181">
        <f ca="1">IF($D255&lt;&gt;"Serviço",0,IF(AND(AUTOEVENTO="Manual",$M255=1),0,IF(OFFSET(CRONOPLE!$F$14,$M255,BC$13)="",10^12,OFFSET(CRONOPLE!$F$14,$M255,BC$13))))</f>
        <v>9</v>
      </c>
      <c r="BD255" s="181">
        <f ca="1">IF($D255&lt;&gt;"Serviço",0,IF(AND(AUTOEVENTO="Manual",$M255=1),0,IF(OFFSET(CRONOPLE!$F$14,$M255,BD$13)="",10^12,OFFSET(CRONOPLE!$F$14,$M255,BD$13))))</f>
        <v>1000000000000</v>
      </c>
      <c r="BE255" s="181">
        <f ca="1">IF($D255&lt;&gt;"Serviço",0,IF(AND(AUTOEVENTO="Manual",$M255=1),0,IF(OFFSET(CRONOPLE!$F$14,$M255,BE$13)="",10^12,OFFSET(CRONOPLE!$F$14,$M255,BE$13))))</f>
        <v>1000000000000</v>
      </c>
      <c r="BF255" s="181">
        <f ca="1">IF($D255&lt;&gt;"Serviço",0,IF(AND(AUTOEVENTO="Manual",$M255=1),0,IF(OFFSET(CRONOPLE!$F$14,$M255,BF$13)="",10^12,OFFSET(CRONOPLE!$F$14,$M255,BF$13))))</f>
        <v>1000000000000</v>
      </c>
      <c r="BG255" s="181">
        <f ca="1">IF($D255&lt;&gt;"Serviço",0,IF(AND(AUTOEVENTO="Manual",$M255=1),0,IF(OFFSET(CRONOPLE!$F$14,$M255,BG$13)="",10^12,OFFSET(CRONOPLE!$F$14,$M255,BG$13))))</f>
        <v>1000000000000</v>
      </c>
      <c r="BH255" s="181">
        <f ca="1">IF($D255&lt;&gt;"Serviço",0,IF(AND(AUTOEVENTO="Manual",$M255=1),0,IF(OFFSET(CRONOPLE!$F$14,$M255,BH$13)="",10^12,OFFSET(CRONOPLE!$F$14,$M255,BH$13))))</f>
        <v>1000000000000</v>
      </c>
      <c r="BI255" s="181">
        <f ca="1">IF($D255&lt;&gt;"Serviço",0,IF(AND(AUTOEVENTO="Manual",$M255=1),0,IF(OFFSET(CRONOPLE!$F$14,$M255,BI$13)="",10^12,OFFSET(CRONOPLE!$F$14,$M255,BI$13))))</f>
        <v>1000000000000</v>
      </c>
      <c r="BJ255" s="181">
        <f ca="1">IF($D255&lt;&gt;"Serviço",0,IF(AND(AUTOEVENTO="Manual",$M255=1),0,IF(OFFSET(CRONOPLE!$F$14,$M255,BJ$13)="",10^12,OFFSET(CRONOPLE!$F$14,$M255,BJ$13))))</f>
        <v>1000000000000</v>
      </c>
      <c r="BK255" s="181">
        <f ca="1">IF($D255&lt;&gt;"Serviço",0,IF(AND(AUTOEVENTO="Manual",$M255=1),0,IF(OFFSET(CRONOPLE!$F$14,$M255,BK$13)="",10^12,OFFSET(CRONOPLE!$F$14,$M255,BK$13))))</f>
        <v>1000000000000</v>
      </c>
      <c r="BL255" s="181">
        <f ca="1">IF($D255&lt;&gt;"Serviço",0,IF(AND(AUTOEVENTO="Manual",$M255=1),0,IF(OFFSET(CRONOPLE!$F$14,$M255,BL$13)="",10^12,OFFSET(CRONOPLE!$F$14,$M255,BL$13))))</f>
        <v>1000000000000</v>
      </c>
      <c r="BM255" s="181">
        <f ca="1">IF($D255&lt;&gt;"Serviço",0,IF(AND(AUTOEVENTO="Manual",$M255=1),0,IF(OFFSET(CRONOPLE!$F$14,$M255,BM$13)="",10^12,OFFSET(CRONOPLE!$F$14,$M255,BM$13))))</f>
        <v>1000000000000</v>
      </c>
      <c r="BN255" s="181">
        <f ca="1">IF($D255&lt;&gt;"Serviço",0,IF(AND(AUTOEVENTO="Manual",$M255=1),0,IF(OFFSET(CRONOPLE!$F$14,$M255,BN$13)="",10^12,OFFSET(CRONOPLE!$F$14,$M255,BN$13))))</f>
        <v>1000000000000</v>
      </c>
      <c r="BO255" s="181">
        <f ca="1">IF($D255&lt;&gt;"Serviço",0,IF(AND(AUTOEVENTO="Manual",$M255=1),0,IF(OFFSET(CRONOPLE!$F$14,$M255,BO$13)="",10^12,OFFSET(CRONOPLE!$F$14,$M255,BO$13))))</f>
        <v>1000000000000</v>
      </c>
      <c r="BP255" s="181">
        <f ca="1">IF($D255&lt;&gt;"Serviço",0,IF(AND(AUTOEVENTO="Manual",$M255=1),0,IF(OFFSET(CRONOPLE!$F$14,$M255,BP$13)="",10^12,OFFSET(CRONOPLE!$F$14,$M255,BP$13))))</f>
        <v>1000000000000</v>
      </c>
      <c r="BQ255" s="181">
        <f ca="1">IF($D255&lt;&gt;"Serviço",0,IF(AND(AUTOEVENTO="Manual",$M255=1),0,IF(OFFSET(CRONOPLE!$F$14,$M255,BQ$13)="",10^12,OFFSET(CRONOPLE!$F$14,$M255,BQ$13))))</f>
        <v>1000000000000</v>
      </c>
      <c r="BR255" s="181">
        <f ca="1">IF($D255&lt;&gt;"Serviço",0,IF(AND(AUTOEVENTO="Manual",$M255=1),0,IF(OFFSET(CRONOPLE!$F$14,$M255,BR$13)="",10^12,OFFSET(CRONOPLE!$F$14,$M255,BR$13))))</f>
        <v>1000000000000</v>
      </c>
      <c r="BS255" s="181">
        <f ca="1">IF($D255&lt;&gt;"Serviço",0,IF(AND(AUTOEVENTO="Manual",$M255=1),0,IF(OFFSET(CRONOPLE!$F$14,$M255,BS$13)="",10^12,OFFSET(CRONOPLE!$F$14,$M255,BS$13))))</f>
        <v>1000000000000</v>
      </c>
      <c r="BT255" s="181">
        <f ca="1">IF($D255&lt;&gt;"Serviço",0,IF(AND(AUTOEVENTO="Manual",$M255=1),0,IF(OFFSET(CRONOPLE!$F$14,$M255,BT$13)="",10^12,OFFSET(CRONOPLE!$F$14,$M255,BT$13))))</f>
        <v>1000000000000</v>
      </c>
      <c r="BV255" s="182">
        <f ca="1">IF($D255&lt;&gt;"Serviço",0,IF(OR(AND(AUTOEVENTO="Manual",$M255=1),$M255&gt;(ROW(PLE.lastrow)-ROW(PLE.firstrow))),0,IF(OFFSET(PLE!$G$14,$M255,BV$13)="",10^12,OFFSET(PLE!$G$14,$M255,BV$13))))</f>
        <v>1000000000000</v>
      </c>
      <c r="BW255" s="182">
        <f ca="1">IF($D255&lt;&gt;"Serviço",0,IF(OR(AND(AUTOEVENTO="Manual",$M255=1),$M255&gt;(ROW(PLE.lastrow)-ROW(PLE.firstrow))),0,IF(OFFSET(PLE!$G$14,$M255,BW$13)="",10^12,OFFSET(PLE!$G$14,$M255,BW$13))))</f>
        <v>1000000000000</v>
      </c>
      <c r="BX255" s="182">
        <f ca="1">IF($D255&lt;&gt;"Serviço",0,IF(OR(AND(AUTOEVENTO="Manual",$M255=1),$M255&gt;(ROW(PLE.lastrow)-ROW(PLE.firstrow))),0,IF(OFFSET(PLE!$G$14,$M255,BX$13)="",10^12,OFFSET(PLE!$G$14,$M255,BX$13))))</f>
        <v>1000000000000</v>
      </c>
      <c r="BY255" s="182">
        <f ca="1">IF($D255&lt;&gt;"Serviço",0,IF(OR(AND(AUTOEVENTO="Manual",$M255=1),$M255&gt;(ROW(PLE.lastrow)-ROW(PLE.firstrow))),0,IF(OFFSET(PLE!$G$14,$M255,BY$13)="",10^12,OFFSET(PLE!$G$14,$M255,BY$13))))</f>
        <v>1000000000000</v>
      </c>
      <c r="BZ255" s="182">
        <f ca="1">IF($D255&lt;&gt;"Serviço",0,IF(OR(AND(AUTOEVENTO="Manual",$M255=1),$M255&gt;(ROW(PLE.lastrow)-ROW(PLE.firstrow))),0,IF(OFFSET(PLE!$G$14,$M255,BZ$13)="",10^12,OFFSET(PLE!$G$14,$M255,BZ$13))))</f>
        <v>1000000000000</v>
      </c>
      <c r="CA255" s="182">
        <f ca="1">IF($D255&lt;&gt;"Serviço",0,IF(OR(AND(AUTOEVENTO="Manual",$M255=1),$M255&gt;(ROW(PLE.lastrow)-ROW(PLE.firstrow))),0,IF(OFFSET(PLE!$G$14,$M255,CA$13)="",10^12,OFFSET(PLE!$G$14,$M255,CA$13))))</f>
        <v>1000000000000</v>
      </c>
      <c r="CB255" s="182">
        <f ca="1">IF($D255&lt;&gt;"Serviço",0,IF(OR(AND(AUTOEVENTO="Manual",$M255=1),$M255&gt;(ROW(PLE.lastrow)-ROW(PLE.firstrow))),0,IF(OFFSET(PLE!$G$14,$M255,CB$13)="",10^12,OFFSET(PLE!$G$14,$M255,CB$13))))</f>
        <v>1000000000000</v>
      </c>
      <c r="CC255" s="182">
        <f ca="1">IF($D255&lt;&gt;"Serviço",0,IF(OR(AND(AUTOEVENTO="Manual",$M255=1),$M255&gt;(ROW(PLE.lastrow)-ROW(PLE.firstrow))),0,IF(OFFSET(PLE!$G$14,$M255,CC$13)="",10^12,OFFSET(PLE!$G$14,$M255,CC$13))))</f>
        <v>1000000000000</v>
      </c>
      <c r="CD255" s="182">
        <f ca="1">IF($D255&lt;&gt;"Serviço",0,IF(OR(AND(AUTOEVENTO="Manual",$M255=1),$M255&gt;(ROW(PLE.lastrow)-ROW(PLE.firstrow))),0,IF(OFFSET(PLE!$G$14,$M255,CD$13)="",10^12,OFFSET(PLE!$G$14,$M255,CD$13))))</f>
        <v>1000000000000</v>
      </c>
      <c r="CE255" s="182">
        <f ca="1">IF($D255&lt;&gt;"Serviço",0,IF(OR(AND(AUTOEVENTO="Manual",$M255=1),$M255&gt;(ROW(PLE.lastrow)-ROW(PLE.firstrow))),0,IF(OFFSET(PLE!$G$14,$M255,CE$13)="",10^12,OFFSET(PLE!$G$14,$M255,CE$13))))</f>
        <v>1000000000000</v>
      </c>
      <c r="CF255" s="182">
        <f ca="1">IF($D255&lt;&gt;"Serviço",0,IF(OR(AND(AUTOEVENTO="Manual",$M255=1),$M255&gt;(ROW(PLE.lastrow)-ROW(PLE.firstrow))),0,IF(OFFSET(PLE!$G$14,$M255,CF$13)="",10^12,OFFSET(PLE!$G$14,$M255,CF$13))))</f>
        <v>1000000000000</v>
      </c>
      <c r="CG255" s="182">
        <f ca="1">IF($D255&lt;&gt;"Serviço",0,IF(OR(AND(AUTOEVENTO="Manual",$M255=1),$M255&gt;(ROW(PLE.lastrow)-ROW(PLE.firstrow))),0,IF(OFFSET(PLE!$G$14,$M255,CG$13)="",10^12,OFFSET(PLE!$G$14,$M255,CG$13))))</f>
        <v>1000000000000</v>
      </c>
      <c r="CH255" s="182">
        <f ca="1">IF($D255&lt;&gt;"Serviço",0,IF(OR(AND(AUTOEVENTO="Manual",$M255=1),$M255&gt;(ROW(PLE.lastrow)-ROW(PLE.firstrow))),0,IF(OFFSET(PLE!$G$14,$M255,CH$13)="",10^12,OFFSET(PLE!$G$14,$M255,CH$13))))</f>
        <v>1000000000000</v>
      </c>
      <c r="CI255" s="182">
        <f ca="1">IF($D255&lt;&gt;"Serviço",0,IF(OR(AND(AUTOEVENTO="Manual",$M255=1),$M255&gt;(ROW(PLE.lastrow)-ROW(PLE.firstrow))),0,IF(OFFSET(PLE!$G$14,$M255,CI$13)="",10^12,OFFSET(PLE!$G$14,$M255,CI$13))))</f>
        <v>1000000000000</v>
      </c>
      <c r="CJ255" s="182">
        <f ca="1">IF($D255&lt;&gt;"Serviço",0,IF(OR(AND(AUTOEVENTO="Manual",$M255=1),$M255&gt;(ROW(PLE.lastrow)-ROW(PLE.firstrow))),0,IF(OFFSET(PLE!$G$14,$M255,CJ$13)="",10^12,OFFSET(PLE!$G$14,$M255,CJ$13))))</f>
        <v>1000000000000</v>
      </c>
      <c r="CK255" s="182">
        <f ca="1">IF($D255&lt;&gt;"Serviço",0,IF(OR(AND(AUTOEVENTO="Manual",$M255=1),$M255&gt;(ROW(PLE.lastrow)-ROW(PLE.firstrow))),0,IF(OFFSET(PLE!$G$14,$M255,CK$13)="",10^12,OFFSET(PLE!$G$14,$M255,CK$13))))</f>
        <v>1000000000000</v>
      </c>
      <c r="CL255" s="182">
        <f ca="1">IF($D255&lt;&gt;"Serviço",0,IF(OR(AND(AUTOEVENTO="Manual",$M255=1),$M255&gt;(ROW(PLE.lastrow)-ROW(PLE.firstrow))),0,IF(OFFSET(PLE!$G$14,$M255,CL$13)="",10^12,OFFSET(PLE!$G$14,$M255,CL$13))))</f>
        <v>1000000000000</v>
      </c>
      <c r="CM255" s="182">
        <f ca="1">IF($D255&lt;&gt;"Serviço",0,IF(OR(AND(AUTOEVENTO="Manual",$M255=1),$M255&gt;(ROW(PLE.lastrow)-ROW(PLE.firstrow))),0,IF(OFFSET(PLE!$G$14,$M255,CM$13)="",10^12,OFFSET(PLE!$G$14,$M255,CM$13))))</f>
        <v>1000000000000</v>
      </c>
    </row>
    <row r="256" spans="1:91" ht="38.25" x14ac:dyDescent="0.2">
      <c r="A256" s="7" t="str">
        <f t="shared" ca="1" si="12"/>
        <v>232</v>
      </c>
      <c r="B256" s="7" t="str">
        <f ca="1">OFFSET(ORÇAMENTO!C$15,ROW(B256)-ROW(B$15),0)</f>
        <v>S</v>
      </c>
      <c r="C256" s="7" t="str">
        <f ca="1">OFFSET(ORÇAMENTO!L$15,ROW(C256)-ROW(C$15),0)</f>
        <v/>
      </c>
      <c r="D256" s="118" t="str">
        <f ca="1">OFFSET(ORÇAMENTO!N$15,ROW(D256)-ROW(D$15),0)</f>
        <v>Serviço</v>
      </c>
      <c r="E256" s="119" t="str">
        <f ca="1">OFFSET(ORÇAMENTO!O$15,ROW(E256)-ROW(E$15),0)</f>
        <v>-</v>
      </c>
      <c r="F256" s="172" t="str">
        <f ca="1">OFFSET(ORÇAMENTO!R$15,ROW(F256)-ROW(F$15),0)</f>
        <v>(abra o arquivo 'Referência 06-2024.xlsm)</v>
      </c>
      <c r="G256" s="173" t="str">
        <f ca="1">IF($D256&lt;&gt;"Serviço","",OFFSET(ORÇAMENTO!S$15,ROW(G256)-ROW(G$15),0))</f>
        <v>-</v>
      </c>
      <c r="H256" s="124">
        <f ca="1">IF($D256&lt;&gt;"Serviço",0,IF(ACOMPANHAMENTO="BM",ROUND(OFFSET(ORÇAMENTO!AJ$15,ROW(H256)-ROW(H$15),0),15-13*ORÇAMENTO!$AF$7),SUMPRODUCT(($Q$12:$AI$12&lt;&gt;"")*ROUND($Q256:$AI256,15-13*ORÇAMENTO!$AF$7))))</f>
        <v>16</v>
      </c>
      <c r="I256" s="561" t="s">
        <v>1107</v>
      </c>
      <c r="K256" s="174"/>
      <c r="L256" s="175" t="s">
        <v>255</v>
      </c>
      <c r="M256" s="176">
        <f ca="1">IF($D256&lt;&gt;"Serviço","",IF(AUTOEVENTO="manual",$A256,IF(ISERROR(MATCH($A256,$A$15:OFFSET($A256,-1,0),0)),MAX($M$15:OFFSET(M256,-1,0))+1,INDEX($M$15:OFFSET(M256,-1,0),MATCH($A256,$A$15:OFFSET($A256,-1,0),0)))))</f>
        <v>35</v>
      </c>
      <c r="N256" s="177" t="str">
        <f ca="1">IF($D256&lt;&gt;"Serviço","",IF(AUTOEVENTO="Manual",IF($A256=0,"&lt;-- defina o número do agrupador",OFFSET(EVENTOS!$D$14,$A256,0)),OFFSET($F$15,$A256,0)))</f>
        <v>INSTALAÇÃO HIDRÁULICA - TUBULAÇÕES E CONEXÕES DE PVC RÍGIDO</v>
      </c>
      <c r="O256" s="178"/>
      <c r="Q256" s="178">
        <v>16</v>
      </c>
      <c r="R256" s="179"/>
      <c r="S256" s="179"/>
      <c r="T256" s="179"/>
      <c r="U256" s="179"/>
      <c r="V256" s="179"/>
      <c r="W256" s="179"/>
      <c r="X256" s="179"/>
      <c r="Y256" s="179"/>
      <c r="Z256" s="180"/>
      <c r="AA256" s="179"/>
      <c r="AB256" s="179"/>
      <c r="AC256" s="179"/>
      <c r="AD256" s="179"/>
      <c r="AE256" s="179"/>
      <c r="AF256" s="179"/>
      <c r="AG256" s="179"/>
      <c r="AH256" s="180"/>
      <c r="AJ256" s="544">
        <f ca="1">IF(AND($D256="Serviço",AJ$12&lt;&gt;0,$H256&gt;0,OR(AUTOEVENTO&lt;&gt;"manual",$M256&lt;&gt;1)),
IF(Import.TipoArredondamento&lt;&gt;"TransfereGOV",
ROUND(OFFSET($P256,0,AJ$13),15-13*ORÇAMENTO!$AF$7)/$H256*OFFSET(ORÇAMENTO!$X$15,ROW(AJ256)-ROW(AJ$15),0),
ROUND(ROUND(OFFSET($P256,0,AJ$13),15-13*ORÇAMENTO!$AF$7)*OFFSET(ORÇAMENTO!$W$15,ROW(AJ256)-ROW(AJ$15),0),15-13*ORÇAMENTO!$AF$11)),0)</f>
        <v>0</v>
      </c>
      <c r="AK256" s="545">
        <f ca="1">IF(AND($D256="Serviço",AK$12&lt;&gt;0,$H256&gt;0,OR(AUTOEVENTO&lt;&gt;"manual",$M256&lt;&gt;1)),
IF(Import.TipoArredondamento&lt;&gt;"TransfereGOV",
ROUND(OFFSET($P256,0,AK$13),15-13*ORÇAMENTO!$AF$7)/$H256*OFFSET(ORÇAMENTO!$X$15,ROW(AK256)-ROW(AK$15),0),
ROUND(ROUND(OFFSET($P256,0,AK$13),15-13*ORÇAMENTO!$AF$7)*OFFSET(ORÇAMENTO!$W$15,ROW(AK256)-ROW(AK$15),0),15-13*ORÇAMENTO!$AF$11)),0)</f>
        <v>0</v>
      </c>
      <c r="AL256" s="545">
        <f ca="1">IF(AND($D256="Serviço",AL$12&lt;&gt;0,$H256&gt;0,OR(AUTOEVENTO&lt;&gt;"manual",$M256&lt;&gt;1)),
IF(Import.TipoArredondamento&lt;&gt;"TransfereGOV",
ROUND(OFFSET($P256,0,AL$13),15-13*ORÇAMENTO!$AF$7)/$H256*OFFSET(ORÇAMENTO!$X$15,ROW(AL256)-ROW(AL$15),0),
ROUND(ROUND(OFFSET($P256,0,AL$13),15-13*ORÇAMENTO!$AF$7)*OFFSET(ORÇAMENTO!$W$15,ROW(AL256)-ROW(AL$15),0),15-13*ORÇAMENTO!$AF$11)),0)</f>
        <v>0</v>
      </c>
      <c r="AM256" s="545">
        <f ca="1">IF(AND($D256="Serviço",AM$12&lt;&gt;0,$H256&gt;0,OR(AUTOEVENTO&lt;&gt;"manual",$M256&lt;&gt;1)),
IF(Import.TipoArredondamento&lt;&gt;"TransfereGOV",
ROUND(OFFSET($P256,0,AM$13),15-13*ORÇAMENTO!$AF$7)/$H256*OFFSET(ORÇAMENTO!$X$15,ROW(AM256)-ROW(AM$15),0),
ROUND(ROUND(OFFSET($P256,0,AM$13),15-13*ORÇAMENTO!$AF$7)*OFFSET(ORÇAMENTO!$W$15,ROW(AM256)-ROW(AM$15),0),15-13*ORÇAMENTO!$AF$11)),0)</f>
        <v>0</v>
      </c>
      <c r="AN256" s="545">
        <f ca="1">IF(AND($D256="Serviço",AN$12&lt;&gt;0,$H256&gt;0,OR(AUTOEVENTO&lt;&gt;"manual",$M256&lt;&gt;1)),
IF(Import.TipoArredondamento&lt;&gt;"TransfereGOV",
ROUND(OFFSET($P256,0,AN$13),15-13*ORÇAMENTO!$AF$7)/$H256*OFFSET(ORÇAMENTO!$X$15,ROW(AN256)-ROW(AN$15),0),
ROUND(ROUND(OFFSET($P256,0,AN$13),15-13*ORÇAMENTO!$AF$7)*OFFSET(ORÇAMENTO!$W$15,ROW(AN256)-ROW(AN$15),0),15-13*ORÇAMENTO!$AF$11)),0)</f>
        <v>0</v>
      </c>
      <c r="AO256" s="545">
        <f ca="1">IF(AND($D256="Serviço",AO$12&lt;&gt;0,$H256&gt;0,OR(AUTOEVENTO&lt;&gt;"manual",$M256&lt;&gt;1)),
IF(Import.TipoArredondamento&lt;&gt;"TransfereGOV",
ROUND(OFFSET($P256,0,AO$13),15-13*ORÇAMENTO!$AF$7)/$H256*OFFSET(ORÇAMENTO!$X$15,ROW(AO256)-ROW(AO$15),0),
ROUND(ROUND(OFFSET($P256,0,AO$13),15-13*ORÇAMENTO!$AF$7)*OFFSET(ORÇAMENTO!$W$15,ROW(AO256)-ROW(AO$15),0),15-13*ORÇAMENTO!$AF$11)),0)</f>
        <v>0</v>
      </c>
      <c r="AP256" s="545">
        <f ca="1">IF(AND($D256="Serviço",AP$12&lt;&gt;0,$H256&gt;0,OR(AUTOEVENTO&lt;&gt;"manual",$M256&lt;&gt;1)),
IF(Import.TipoArredondamento&lt;&gt;"TransfereGOV",
ROUND(OFFSET($P256,0,AP$13),15-13*ORÇAMENTO!$AF$7)/$H256*OFFSET(ORÇAMENTO!$X$15,ROW(AP256)-ROW(AP$15),0),
ROUND(ROUND(OFFSET($P256,0,AP$13),15-13*ORÇAMENTO!$AF$7)*OFFSET(ORÇAMENTO!$W$15,ROW(AP256)-ROW(AP$15),0),15-13*ORÇAMENTO!$AF$11)),0)</f>
        <v>0</v>
      </c>
      <c r="AQ256" s="545">
        <f ca="1">IF(AND($D256="Serviço",AQ$12&lt;&gt;0,$H256&gt;0,OR(AUTOEVENTO&lt;&gt;"manual",$M256&lt;&gt;1)),
IF(Import.TipoArredondamento&lt;&gt;"TransfereGOV",
ROUND(OFFSET($P256,0,AQ$13),15-13*ORÇAMENTO!$AF$7)/$H256*OFFSET(ORÇAMENTO!$X$15,ROW(AQ256)-ROW(AQ$15),0),
ROUND(ROUND(OFFSET($P256,0,AQ$13),15-13*ORÇAMENTO!$AF$7)*OFFSET(ORÇAMENTO!$W$15,ROW(AQ256)-ROW(AQ$15),0),15-13*ORÇAMENTO!$AF$11)),0)</f>
        <v>0</v>
      </c>
      <c r="AR256" s="545">
        <f ca="1">IF(AND($D256="Serviço",AR$12&lt;&gt;0,$H256&gt;0,OR(AUTOEVENTO&lt;&gt;"manual",$M256&lt;&gt;1)),
IF(Import.TipoArredondamento&lt;&gt;"TransfereGOV",
ROUND(OFFSET($P256,0,AR$13),15-13*ORÇAMENTO!$AF$7)/$H256*OFFSET(ORÇAMENTO!$X$15,ROW(AR256)-ROW(AR$15),0),
ROUND(ROUND(OFFSET($P256,0,AR$13),15-13*ORÇAMENTO!$AF$7)*OFFSET(ORÇAMENTO!$W$15,ROW(AR256)-ROW(AR$15),0),15-13*ORÇAMENTO!$AF$11)),0)</f>
        <v>0</v>
      </c>
      <c r="AS256" s="546">
        <f ca="1">IF(AND($D256="Serviço",AS$12&lt;&gt;0,$H256&gt;0,OR(AUTOEVENTO&lt;&gt;"manual",$M256&lt;&gt;1)),
IF(Import.TipoArredondamento&lt;&gt;"TransfereGOV",
ROUND(OFFSET($P256,0,AS$13),15-13*ORÇAMENTO!$AF$7)/$H256*OFFSET(ORÇAMENTO!$X$15,ROW(AS256)-ROW(AS$15),0),
ROUND(ROUND(OFFSET($P256,0,AS$13),15-13*ORÇAMENTO!$AF$7)*OFFSET(ORÇAMENTO!$W$15,ROW(AS256)-ROW(AS$15),0),15-13*ORÇAMENTO!$AF$11)),0)</f>
        <v>0</v>
      </c>
      <c r="AT256" s="545">
        <f ca="1">IF(AND($D256="Serviço",AT$12&lt;&gt;0,$H256&gt;0,OR(AUTOEVENTO&lt;&gt;"manual",$M256&lt;&gt;1)),
IF(Import.TipoArredondamento&lt;&gt;"TransfereGOV",
ROUND(OFFSET($P256,0,AT$13),15-13*ORÇAMENTO!$AF$7)/$H256*OFFSET(ORÇAMENTO!$X$15,ROW(AT256)-ROW(AT$15),0),
ROUND(ROUND(OFFSET($P256,0,AT$13),15-13*ORÇAMENTO!$AF$7)*OFFSET(ORÇAMENTO!$W$15,ROW(AT256)-ROW(AT$15),0),15-13*ORÇAMENTO!$AF$11)),0)</f>
        <v>0</v>
      </c>
      <c r="AU256" s="545">
        <f ca="1">IF(AND($D256="Serviço",AU$12&lt;&gt;0,$H256&gt;0,OR(AUTOEVENTO&lt;&gt;"manual",$M256&lt;&gt;1)),
IF(Import.TipoArredondamento&lt;&gt;"TransfereGOV",
ROUND(OFFSET($P256,0,AU$13),15-13*ORÇAMENTO!$AF$7)/$H256*OFFSET(ORÇAMENTO!$X$15,ROW(AU256)-ROW(AU$15),0),
ROUND(ROUND(OFFSET($P256,0,AU$13),15-13*ORÇAMENTO!$AF$7)*OFFSET(ORÇAMENTO!$W$15,ROW(AU256)-ROW(AU$15),0),15-13*ORÇAMENTO!$AF$11)),0)</f>
        <v>0</v>
      </c>
      <c r="AV256" s="545">
        <f ca="1">IF(AND($D256="Serviço",AV$12&lt;&gt;0,$H256&gt;0,OR(AUTOEVENTO&lt;&gt;"manual",$M256&lt;&gt;1)),
IF(Import.TipoArredondamento&lt;&gt;"TransfereGOV",
ROUND(OFFSET($P256,0,AV$13),15-13*ORÇAMENTO!$AF$7)/$H256*OFFSET(ORÇAMENTO!$X$15,ROW(AV256)-ROW(AV$15),0),
ROUND(ROUND(OFFSET($P256,0,AV$13),15-13*ORÇAMENTO!$AF$7)*OFFSET(ORÇAMENTO!$W$15,ROW(AV256)-ROW(AV$15),0),15-13*ORÇAMENTO!$AF$11)),0)</f>
        <v>0</v>
      </c>
      <c r="AW256" s="545">
        <f ca="1">IF(AND($D256="Serviço",AW$12&lt;&gt;0,$H256&gt;0,OR(AUTOEVENTO&lt;&gt;"manual",$M256&lt;&gt;1)),
IF(Import.TipoArredondamento&lt;&gt;"TransfereGOV",
ROUND(OFFSET($P256,0,AW$13),15-13*ORÇAMENTO!$AF$7)/$H256*OFFSET(ORÇAMENTO!$X$15,ROW(AW256)-ROW(AW$15),0),
ROUND(ROUND(OFFSET($P256,0,AW$13),15-13*ORÇAMENTO!$AF$7)*OFFSET(ORÇAMENTO!$W$15,ROW(AW256)-ROW(AW$15),0),15-13*ORÇAMENTO!$AF$11)),0)</f>
        <v>0</v>
      </c>
      <c r="AX256" s="545">
        <f ca="1">IF(AND($D256="Serviço",AX$12&lt;&gt;0,$H256&gt;0,OR(AUTOEVENTO&lt;&gt;"manual",$M256&lt;&gt;1)),
IF(Import.TipoArredondamento&lt;&gt;"TransfereGOV",
ROUND(OFFSET($P256,0,AX$13),15-13*ORÇAMENTO!$AF$7)/$H256*OFFSET(ORÇAMENTO!$X$15,ROW(AX256)-ROW(AX$15),0),
ROUND(ROUND(OFFSET($P256,0,AX$13),15-13*ORÇAMENTO!$AF$7)*OFFSET(ORÇAMENTO!$W$15,ROW(AX256)-ROW(AX$15),0),15-13*ORÇAMENTO!$AF$11)),0)</f>
        <v>0</v>
      </c>
      <c r="AY256" s="545">
        <f ca="1">IF(AND($D256="Serviço",AY$12&lt;&gt;0,$H256&gt;0,OR(AUTOEVENTO&lt;&gt;"manual",$M256&lt;&gt;1)),
IF(Import.TipoArredondamento&lt;&gt;"TransfereGOV",
ROUND(OFFSET($P256,0,AY$13),15-13*ORÇAMENTO!$AF$7)/$H256*OFFSET(ORÇAMENTO!$X$15,ROW(AY256)-ROW(AY$15),0),
ROUND(ROUND(OFFSET($P256,0,AY$13),15-13*ORÇAMENTO!$AF$7)*OFFSET(ORÇAMENTO!$W$15,ROW(AY256)-ROW(AY$15),0),15-13*ORÇAMENTO!$AF$11)),0)</f>
        <v>0</v>
      </c>
      <c r="AZ256" s="545">
        <f ca="1">IF(AND($D256="Serviço",AZ$12&lt;&gt;0,$H256&gt;0,OR(AUTOEVENTO&lt;&gt;"manual",$M256&lt;&gt;1)),
IF(Import.TipoArredondamento&lt;&gt;"TransfereGOV",
ROUND(OFFSET($P256,0,AZ$13),15-13*ORÇAMENTO!$AF$7)/$H256*OFFSET(ORÇAMENTO!$X$15,ROW(AZ256)-ROW(AZ$15),0),
ROUND(ROUND(OFFSET($P256,0,AZ$13),15-13*ORÇAMENTO!$AF$7)*OFFSET(ORÇAMENTO!$W$15,ROW(AZ256)-ROW(AZ$15),0),15-13*ORÇAMENTO!$AF$11)),0)</f>
        <v>0</v>
      </c>
      <c r="BA256" s="546">
        <f ca="1">IF(AND($D256="Serviço",BA$12&lt;&gt;0,$H256&gt;0,OR(AUTOEVENTO&lt;&gt;"manual",$M256&lt;&gt;1)),
IF(Import.TipoArredondamento&lt;&gt;"TransfereGOV",
ROUND(OFFSET($P256,0,BA$13),15-13*ORÇAMENTO!$AF$7)/$H256*OFFSET(ORÇAMENTO!$X$15,ROW(BA256)-ROW(BA$15),0),
ROUND(ROUND(OFFSET($P256,0,BA$13),15-13*ORÇAMENTO!$AF$7)*OFFSET(ORÇAMENTO!$W$15,ROW(BA256)-ROW(BA$15),0),15-13*ORÇAMENTO!$AF$11)),0)</f>
        <v>0</v>
      </c>
      <c r="BC256" s="181">
        <f ca="1">IF($D256&lt;&gt;"Serviço",0,IF(AND(AUTOEVENTO="Manual",$M256=1),0,IF(OFFSET(CRONOPLE!$F$14,$M256,BC$13)="",10^12,OFFSET(CRONOPLE!$F$14,$M256,BC$13))))</f>
        <v>9</v>
      </c>
      <c r="BD256" s="181">
        <f ca="1">IF($D256&lt;&gt;"Serviço",0,IF(AND(AUTOEVENTO="Manual",$M256=1),0,IF(OFFSET(CRONOPLE!$F$14,$M256,BD$13)="",10^12,OFFSET(CRONOPLE!$F$14,$M256,BD$13))))</f>
        <v>1000000000000</v>
      </c>
      <c r="BE256" s="181">
        <f ca="1">IF($D256&lt;&gt;"Serviço",0,IF(AND(AUTOEVENTO="Manual",$M256=1),0,IF(OFFSET(CRONOPLE!$F$14,$M256,BE$13)="",10^12,OFFSET(CRONOPLE!$F$14,$M256,BE$13))))</f>
        <v>1000000000000</v>
      </c>
      <c r="BF256" s="181">
        <f ca="1">IF($D256&lt;&gt;"Serviço",0,IF(AND(AUTOEVENTO="Manual",$M256=1),0,IF(OFFSET(CRONOPLE!$F$14,$M256,BF$13)="",10^12,OFFSET(CRONOPLE!$F$14,$M256,BF$13))))</f>
        <v>1000000000000</v>
      </c>
      <c r="BG256" s="181">
        <f ca="1">IF($D256&lt;&gt;"Serviço",0,IF(AND(AUTOEVENTO="Manual",$M256=1),0,IF(OFFSET(CRONOPLE!$F$14,$M256,BG$13)="",10^12,OFFSET(CRONOPLE!$F$14,$M256,BG$13))))</f>
        <v>1000000000000</v>
      </c>
      <c r="BH256" s="181">
        <f ca="1">IF($D256&lt;&gt;"Serviço",0,IF(AND(AUTOEVENTO="Manual",$M256=1),0,IF(OFFSET(CRONOPLE!$F$14,$M256,BH$13)="",10^12,OFFSET(CRONOPLE!$F$14,$M256,BH$13))))</f>
        <v>1000000000000</v>
      </c>
      <c r="BI256" s="181">
        <f ca="1">IF($D256&lt;&gt;"Serviço",0,IF(AND(AUTOEVENTO="Manual",$M256=1),0,IF(OFFSET(CRONOPLE!$F$14,$M256,BI$13)="",10^12,OFFSET(CRONOPLE!$F$14,$M256,BI$13))))</f>
        <v>1000000000000</v>
      </c>
      <c r="BJ256" s="181">
        <f ca="1">IF($D256&lt;&gt;"Serviço",0,IF(AND(AUTOEVENTO="Manual",$M256=1),0,IF(OFFSET(CRONOPLE!$F$14,$M256,BJ$13)="",10^12,OFFSET(CRONOPLE!$F$14,$M256,BJ$13))))</f>
        <v>1000000000000</v>
      </c>
      <c r="BK256" s="181">
        <f ca="1">IF($D256&lt;&gt;"Serviço",0,IF(AND(AUTOEVENTO="Manual",$M256=1),0,IF(OFFSET(CRONOPLE!$F$14,$M256,BK$13)="",10^12,OFFSET(CRONOPLE!$F$14,$M256,BK$13))))</f>
        <v>1000000000000</v>
      </c>
      <c r="BL256" s="181">
        <f ca="1">IF($D256&lt;&gt;"Serviço",0,IF(AND(AUTOEVENTO="Manual",$M256=1),0,IF(OFFSET(CRONOPLE!$F$14,$M256,BL$13)="",10^12,OFFSET(CRONOPLE!$F$14,$M256,BL$13))))</f>
        <v>1000000000000</v>
      </c>
      <c r="BM256" s="181">
        <f ca="1">IF($D256&lt;&gt;"Serviço",0,IF(AND(AUTOEVENTO="Manual",$M256=1),0,IF(OFFSET(CRONOPLE!$F$14,$M256,BM$13)="",10^12,OFFSET(CRONOPLE!$F$14,$M256,BM$13))))</f>
        <v>1000000000000</v>
      </c>
      <c r="BN256" s="181">
        <f ca="1">IF($D256&lt;&gt;"Serviço",0,IF(AND(AUTOEVENTO="Manual",$M256=1),0,IF(OFFSET(CRONOPLE!$F$14,$M256,BN$13)="",10^12,OFFSET(CRONOPLE!$F$14,$M256,BN$13))))</f>
        <v>1000000000000</v>
      </c>
      <c r="BO256" s="181">
        <f ca="1">IF($D256&lt;&gt;"Serviço",0,IF(AND(AUTOEVENTO="Manual",$M256=1),0,IF(OFFSET(CRONOPLE!$F$14,$M256,BO$13)="",10^12,OFFSET(CRONOPLE!$F$14,$M256,BO$13))))</f>
        <v>1000000000000</v>
      </c>
      <c r="BP256" s="181">
        <f ca="1">IF($D256&lt;&gt;"Serviço",0,IF(AND(AUTOEVENTO="Manual",$M256=1),0,IF(OFFSET(CRONOPLE!$F$14,$M256,BP$13)="",10^12,OFFSET(CRONOPLE!$F$14,$M256,BP$13))))</f>
        <v>1000000000000</v>
      </c>
      <c r="BQ256" s="181">
        <f ca="1">IF($D256&lt;&gt;"Serviço",0,IF(AND(AUTOEVENTO="Manual",$M256=1),0,IF(OFFSET(CRONOPLE!$F$14,$M256,BQ$13)="",10^12,OFFSET(CRONOPLE!$F$14,$M256,BQ$13))))</f>
        <v>1000000000000</v>
      </c>
      <c r="BR256" s="181">
        <f ca="1">IF($D256&lt;&gt;"Serviço",0,IF(AND(AUTOEVENTO="Manual",$M256=1),0,IF(OFFSET(CRONOPLE!$F$14,$M256,BR$13)="",10^12,OFFSET(CRONOPLE!$F$14,$M256,BR$13))))</f>
        <v>1000000000000</v>
      </c>
      <c r="BS256" s="181">
        <f ca="1">IF($D256&lt;&gt;"Serviço",0,IF(AND(AUTOEVENTO="Manual",$M256=1),0,IF(OFFSET(CRONOPLE!$F$14,$M256,BS$13)="",10^12,OFFSET(CRONOPLE!$F$14,$M256,BS$13))))</f>
        <v>1000000000000</v>
      </c>
      <c r="BT256" s="181">
        <f ca="1">IF($D256&lt;&gt;"Serviço",0,IF(AND(AUTOEVENTO="Manual",$M256=1),0,IF(OFFSET(CRONOPLE!$F$14,$M256,BT$13)="",10^12,OFFSET(CRONOPLE!$F$14,$M256,BT$13))))</f>
        <v>1000000000000</v>
      </c>
      <c r="BV256" s="182">
        <f ca="1">IF($D256&lt;&gt;"Serviço",0,IF(OR(AND(AUTOEVENTO="Manual",$M256=1),$M256&gt;(ROW(PLE.lastrow)-ROW(PLE.firstrow))),0,IF(OFFSET(PLE!$G$14,$M256,BV$13)="",10^12,OFFSET(PLE!$G$14,$M256,BV$13))))</f>
        <v>1000000000000</v>
      </c>
      <c r="BW256" s="182">
        <f ca="1">IF($D256&lt;&gt;"Serviço",0,IF(OR(AND(AUTOEVENTO="Manual",$M256=1),$M256&gt;(ROW(PLE.lastrow)-ROW(PLE.firstrow))),0,IF(OFFSET(PLE!$G$14,$M256,BW$13)="",10^12,OFFSET(PLE!$G$14,$M256,BW$13))))</f>
        <v>1000000000000</v>
      </c>
      <c r="BX256" s="182">
        <f ca="1">IF($D256&lt;&gt;"Serviço",0,IF(OR(AND(AUTOEVENTO="Manual",$M256=1),$M256&gt;(ROW(PLE.lastrow)-ROW(PLE.firstrow))),0,IF(OFFSET(PLE!$G$14,$M256,BX$13)="",10^12,OFFSET(PLE!$G$14,$M256,BX$13))))</f>
        <v>1000000000000</v>
      </c>
      <c r="BY256" s="182">
        <f ca="1">IF($D256&lt;&gt;"Serviço",0,IF(OR(AND(AUTOEVENTO="Manual",$M256=1),$M256&gt;(ROW(PLE.lastrow)-ROW(PLE.firstrow))),0,IF(OFFSET(PLE!$G$14,$M256,BY$13)="",10^12,OFFSET(PLE!$G$14,$M256,BY$13))))</f>
        <v>1000000000000</v>
      </c>
      <c r="BZ256" s="182">
        <f ca="1">IF($D256&lt;&gt;"Serviço",0,IF(OR(AND(AUTOEVENTO="Manual",$M256=1),$M256&gt;(ROW(PLE.lastrow)-ROW(PLE.firstrow))),0,IF(OFFSET(PLE!$G$14,$M256,BZ$13)="",10^12,OFFSET(PLE!$G$14,$M256,BZ$13))))</f>
        <v>1000000000000</v>
      </c>
      <c r="CA256" s="182">
        <f ca="1">IF($D256&lt;&gt;"Serviço",0,IF(OR(AND(AUTOEVENTO="Manual",$M256=1),$M256&gt;(ROW(PLE.lastrow)-ROW(PLE.firstrow))),0,IF(OFFSET(PLE!$G$14,$M256,CA$13)="",10^12,OFFSET(PLE!$G$14,$M256,CA$13))))</f>
        <v>1000000000000</v>
      </c>
      <c r="CB256" s="182">
        <f ca="1">IF($D256&lt;&gt;"Serviço",0,IF(OR(AND(AUTOEVENTO="Manual",$M256=1),$M256&gt;(ROW(PLE.lastrow)-ROW(PLE.firstrow))),0,IF(OFFSET(PLE!$G$14,$M256,CB$13)="",10^12,OFFSET(PLE!$G$14,$M256,CB$13))))</f>
        <v>1000000000000</v>
      </c>
      <c r="CC256" s="182">
        <f ca="1">IF($D256&lt;&gt;"Serviço",0,IF(OR(AND(AUTOEVENTO="Manual",$M256=1),$M256&gt;(ROW(PLE.lastrow)-ROW(PLE.firstrow))),0,IF(OFFSET(PLE!$G$14,$M256,CC$13)="",10^12,OFFSET(PLE!$G$14,$M256,CC$13))))</f>
        <v>1000000000000</v>
      </c>
      <c r="CD256" s="182">
        <f ca="1">IF($D256&lt;&gt;"Serviço",0,IF(OR(AND(AUTOEVENTO="Manual",$M256=1),$M256&gt;(ROW(PLE.lastrow)-ROW(PLE.firstrow))),0,IF(OFFSET(PLE!$G$14,$M256,CD$13)="",10^12,OFFSET(PLE!$G$14,$M256,CD$13))))</f>
        <v>1000000000000</v>
      </c>
      <c r="CE256" s="182">
        <f ca="1">IF($D256&lt;&gt;"Serviço",0,IF(OR(AND(AUTOEVENTO="Manual",$M256=1),$M256&gt;(ROW(PLE.lastrow)-ROW(PLE.firstrow))),0,IF(OFFSET(PLE!$G$14,$M256,CE$13)="",10^12,OFFSET(PLE!$G$14,$M256,CE$13))))</f>
        <v>1000000000000</v>
      </c>
      <c r="CF256" s="182">
        <f ca="1">IF($D256&lt;&gt;"Serviço",0,IF(OR(AND(AUTOEVENTO="Manual",$M256=1),$M256&gt;(ROW(PLE.lastrow)-ROW(PLE.firstrow))),0,IF(OFFSET(PLE!$G$14,$M256,CF$13)="",10^12,OFFSET(PLE!$G$14,$M256,CF$13))))</f>
        <v>1000000000000</v>
      </c>
      <c r="CG256" s="182">
        <f ca="1">IF($D256&lt;&gt;"Serviço",0,IF(OR(AND(AUTOEVENTO="Manual",$M256=1),$M256&gt;(ROW(PLE.lastrow)-ROW(PLE.firstrow))),0,IF(OFFSET(PLE!$G$14,$M256,CG$13)="",10^12,OFFSET(PLE!$G$14,$M256,CG$13))))</f>
        <v>1000000000000</v>
      </c>
      <c r="CH256" s="182">
        <f ca="1">IF($D256&lt;&gt;"Serviço",0,IF(OR(AND(AUTOEVENTO="Manual",$M256=1),$M256&gt;(ROW(PLE.lastrow)-ROW(PLE.firstrow))),0,IF(OFFSET(PLE!$G$14,$M256,CH$13)="",10^12,OFFSET(PLE!$G$14,$M256,CH$13))))</f>
        <v>1000000000000</v>
      </c>
      <c r="CI256" s="182">
        <f ca="1">IF($D256&lt;&gt;"Serviço",0,IF(OR(AND(AUTOEVENTO="Manual",$M256=1),$M256&gt;(ROW(PLE.lastrow)-ROW(PLE.firstrow))),0,IF(OFFSET(PLE!$G$14,$M256,CI$13)="",10^12,OFFSET(PLE!$G$14,$M256,CI$13))))</f>
        <v>1000000000000</v>
      </c>
      <c r="CJ256" s="182">
        <f ca="1">IF($D256&lt;&gt;"Serviço",0,IF(OR(AND(AUTOEVENTO="Manual",$M256=1),$M256&gt;(ROW(PLE.lastrow)-ROW(PLE.firstrow))),0,IF(OFFSET(PLE!$G$14,$M256,CJ$13)="",10^12,OFFSET(PLE!$G$14,$M256,CJ$13))))</f>
        <v>1000000000000</v>
      </c>
      <c r="CK256" s="182">
        <f ca="1">IF($D256&lt;&gt;"Serviço",0,IF(OR(AND(AUTOEVENTO="Manual",$M256=1),$M256&gt;(ROW(PLE.lastrow)-ROW(PLE.firstrow))),0,IF(OFFSET(PLE!$G$14,$M256,CK$13)="",10^12,OFFSET(PLE!$G$14,$M256,CK$13))))</f>
        <v>1000000000000</v>
      </c>
      <c r="CL256" s="182">
        <f ca="1">IF($D256&lt;&gt;"Serviço",0,IF(OR(AND(AUTOEVENTO="Manual",$M256=1),$M256&gt;(ROW(PLE.lastrow)-ROW(PLE.firstrow))),0,IF(OFFSET(PLE!$G$14,$M256,CL$13)="",10^12,OFFSET(PLE!$G$14,$M256,CL$13))))</f>
        <v>1000000000000</v>
      </c>
      <c r="CM256" s="182">
        <f ca="1">IF($D256&lt;&gt;"Serviço",0,IF(OR(AND(AUTOEVENTO="Manual",$M256=1),$M256&gt;(ROW(PLE.lastrow)-ROW(PLE.firstrow))),0,IF(OFFSET(PLE!$G$14,$M256,CM$13)="",10^12,OFFSET(PLE!$G$14,$M256,CM$13))))</f>
        <v>1000000000000</v>
      </c>
    </row>
    <row r="257" spans="1:91" ht="38.25" x14ac:dyDescent="0.2">
      <c r="A257" s="7" t="str">
        <f t="shared" ca="1" si="12"/>
        <v>232</v>
      </c>
      <c r="B257" s="7" t="str">
        <f ca="1">OFFSET(ORÇAMENTO!C$15,ROW(B257)-ROW(B$15),0)</f>
        <v>S</v>
      </c>
      <c r="C257" s="7" t="str">
        <f ca="1">OFFSET(ORÇAMENTO!L$15,ROW(C257)-ROW(C$15),0)</f>
        <v/>
      </c>
      <c r="D257" s="118" t="str">
        <f ca="1">OFFSET(ORÇAMENTO!N$15,ROW(D257)-ROW(D$15),0)</f>
        <v>Serviço</v>
      </c>
      <c r="E257" s="119" t="str">
        <f ca="1">OFFSET(ORÇAMENTO!O$15,ROW(E257)-ROW(E$15),0)</f>
        <v>-</v>
      </c>
      <c r="F257" s="172" t="str">
        <f ca="1">OFFSET(ORÇAMENTO!R$15,ROW(F257)-ROW(F$15),0)</f>
        <v>(abra o arquivo 'Referência 06-2024.xlsm)</v>
      </c>
      <c r="G257" s="173" t="str">
        <f ca="1">IF($D257&lt;&gt;"Serviço","",OFFSET(ORÇAMENTO!S$15,ROW(G257)-ROW(G$15),0))</f>
        <v>-</v>
      </c>
      <c r="H257" s="124">
        <f ca="1">IF($D257&lt;&gt;"Serviço",0,IF(ACOMPANHAMENTO="BM",ROUND(OFFSET(ORÇAMENTO!AJ$15,ROW(H257)-ROW(H$15),0),15-13*ORÇAMENTO!$AF$7),SUMPRODUCT(($Q$12:$AI$12&lt;&gt;"")*ROUND($Q257:$AI257,15-13*ORÇAMENTO!$AF$7))))</f>
        <v>16</v>
      </c>
      <c r="I257" s="561" t="s">
        <v>1107</v>
      </c>
      <c r="K257" s="174"/>
      <c r="L257" s="175" t="s">
        <v>255</v>
      </c>
      <c r="M257" s="176">
        <f ca="1">IF($D257&lt;&gt;"Serviço","",IF(AUTOEVENTO="manual",$A257,IF(ISERROR(MATCH($A257,$A$15:OFFSET($A257,-1,0),0)),MAX($M$15:OFFSET(M257,-1,0))+1,INDEX($M$15:OFFSET(M257,-1,0),MATCH($A257,$A$15:OFFSET($A257,-1,0),0)))))</f>
        <v>35</v>
      </c>
      <c r="N257" s="177" t="str">
        <f ca="1">IF($D257&lt;&gt;"Serviço","",IF(AUTOEVENTO="Manual",IF($A257=0,"&lt;-- defina o número do agrupador",OFFSET(EVENTOS!$D$14,$A257,0)),OFFSET($F$15,$A257,0)))</f>
        <v>INSTALAÇÃO HIDRÁULICA - TUBULAÇÕES E CONEXÕES DE PVC RÍGIDO</v>
      </c>
      <c r="O257" s="178"/>
      <c r="Q257" s="178">
        <v>16</v>
      </c>
      <c r="R257" s="179"/>
      <c r="S257" s="179"/>
      <c r="T257" s="179"/>
      <c r="U257" s="179"/>
      <c r="V257" s="179"/>
      <c r="W257" s="179"/>
      <c r="X257" s="179"/>
      <c r="Y257" s="179"/>
      <c r="Z257" s="180"/>
      <c r="AA257" s="179"/>
      <c r="AB257" s="179"/>
      <c r="AC257" s="179"/>
      <c r="AD257" s="179"/>
      <c r="AE257" s="179"/>
      <c r="AF257" s="179"/>
      <c r="AG257" s="179"/>
      <c r="AH257" s="180"/>
      <c r="AJ257" s="544">
        <f ca="1">IF(AND($D257="Serviço",AJ$12&lt;&gt;0,$H257&gt;0,OR(AUTOEVENTO&lt;&gt;"manual",$M257&lt;&gt;1)),
IF(Import.TipoArredondamento&lt;&gt;"TransfereGOV",
ROUND(OFFSET($P257,0,AJ$13),15-13*ORÇAMENTO!$AF$7)/$H257*OFFSET(ORÇAMENTO!$X$15,ROW(AJ257)-ROW(AJ$15),0),
ROUND(ROUND(OFFSET($P257,0,AJ$13),15-13*ORÇAMENTO!$AF$7)*OFFSET(ORÇAMENTO!$W$15,ROW(AJ257)-ROW(AJ$15),0),15-13*ORÇAMENTO!$AF$11)),0)</f>
        <v>0</v>
      </c>
      <c r="AK257" s="545">
        <f ca="1">IF(AND($D257="Serviço",AK$12&lt;&gt;0,$H257&gt;0,OR(AUTOEVENTO&lt;&gt;"manual",$M257&lt;&gt;1)),
IF(Import.TipoArredondamento&lt;&gt;"TransfereGOV",
ROUND(OFFSET($P257,0,AK$13),15-13*ORÇAMENTO!$AF$7)/$H257*OFFSET(ORÇAMENTO!$X$15,ROW(AK257)-ROW(AK$15),0),
ROUND(ROUND(OFFSET($P257,0,AK$13),15-13*ORÇAMENTO!$AF$7)*OFFSET(ORÇAMENTO!$W$15,ROW(AK257)-ROW(AK$15),0),15-13*ORÇAMENTO!$AF$11)),0)</f>
        <v>0</v>
      </c>
      <c r="AL257" s="545">
        <f ca="1">IF(AND($D257="Serviço",AL$12&lt;&gt;0,$H257&gt;0,OR(AUTOEVENTO&lt;&gt;"manual",$M257&lt;&gt;1)),
IF(Import.TipoArredondamento&lt;&gt;"TransfereGOV",
ROUND(OFFSET($P257,0,AL$13),15-13*ORÇAMENTO!$AF$7)/$H257*OFFSET(ORÇAMENTO!$X$15,ROW(AL257)-ROW(AL$15),0),
ROUND(ROUND(OFFSET($P257,0,AL$13),15-13*ORÇAMENTO!$AF$7)*OFFSET(ORÇAMENTO!$W$15,ROW(AL257)-ROW(AL$15),0),15-13*ORÇAMENTO!$AF$11)),0)</f>
        <v>0</v>
      </c>
      <c r="AM257" s="545">
        <f ca="1">IF(AND($D257="Serviço",AM$12&lt;&gt;0,$H257&gt;0,OR(AUTOEVENTO&lt;&gt;"manual",$M257&lt;&gt;1)),
IF(Import.TipoArredondamento&lt;&gt;"TransfereGOV",
ROUND(OFFSET($P257,0,AM$13),15-13*ORÇAMENTO!$AF$7)/$H257*OFFSET(ORÇAMENTO!$X$15,ROW(AM257)-ROW(AM$15),0),
ROUND(ROUND(OFFSET($P257,0,AM$13),15-13*ORÇAMENTO!$AF$7)*OFFSET(ORÇAMENTO!$W$15,ROW(AM257)-ROW(AM$15),0),15-13*ORÇAMENTO!$AF$11)),0)</f>
        <v>0</v>
      </c>
      <c r="AN257" s="545">
        <f ca="1">IF(AND($D257="Serviço",AN$12&lt;&gt;0,$H257&gt;0,OR(AUTOEVENTO&lt;&gt;"manual",$M257&lt;&gt;1)),
IF(Import.TipoArredondamento&lt;&gt;"TransfereGOV",
ROUND(OFFSET($P257,0,AN$13),15-13*ORÇAMENTO!$AF$7)/$H257*OFFSET(ORÇAMENTO!$X$15,ROW(AN257)-ROW(AN$15),0),
ROUND(ROUND(OFFSET($P257,0,AN$13),15-13*ORÇAMENTO!$AF$7)*OFFSET(ORÇAMENTO!$W$15,ROW(AN257)-ROW(AN$15),0),15-13*ORÇAMENTO!$AF$11)),0)</f>
        <v>0</v>
      </c>
      <c r="AO257" s="545">
        <f ca="1">IF(AND($D257="Serviço",AO$12&lt;&gt;0,$H257&gt;0,OR(AUTOEVENTO&lt;&gt;"manual",$M257&lt;&gt;1)),
IF(Import.TipoArredondamento&lt;&gt;"TransfereGOV",
ROUND(OFFSET($P257,0,AO$13),15-13*ORÇAMENTO!$AF$7)/$H257*OFFSET(ORÇAMENTO!$X$15,ROW(AO257)-ROW(AO$15),0),
ROUND(ROUND(OFFSET($P257,0,AO$13),15-13*ORÇAMENTO!$AF$7)*OFFSET(ORÇAMENTO!$W$15,ROW(AO257)-ROW(AO$15),0),15-13*ORÇAMENTO!$AF$11)),0)</f>
        <v>0</v>
      </c>
      <c r="AP257" s="545">
        <f ca="1">IF(AND($D257="Serviço",AP$12&lt;&gt;0,$H257&gt;0,OR(AUTOEVENTO&lt;&gt;"manual",$M257&lt;&gt;1)),
IF(Import.TipoArredondamento&lt;&gt;"TransfereGOV",
ROUND(OFFSET($P257,0,AP$13),15-13*ORÇAMENTO!$AF$7)/$H257*OFFSET(ORÇAMENTO!$X$15,ROW(AP257)-ROW(AP$15),0),
ROUND(ROUND(OFFSET($P257,0,AP$13),15-13*ORÇAMENTO!$AF$7)*OFFSET(ORÇAMENTO!$W$15,ROW(AP257)-ROW(AP$15),0),15-13*ORÇAMENTO!$AF$11)),0)</f>
        <v>0</v>
      </c>
      <c r="AQ257" s="545">
        <f ca="1">IF(AND($D257="Serviço",AQ$12&lt;&gt;0,$H257&gt;0,OR(AUTOEVENTO&lt;&gt;"manual",$M257&lt;&gt;1)),
IF(Import.TipoArredondamento&lt;&gt;"TransfereGOV",
ROUND(OFFSET($P257,0,AQ$13),15-13*ORÇAMENTO!$AF$7)/$H257*OFFSET(ORÇAMENTO!$X$15,ROW(AQ257)-ROW(AQ$15),0),
ROUND(ROUND(OFFSET($P257,0,AQ$13),15-13*ORÇAMENTO!$AF$7)*OFFSET(ORÇAMENTO!$W$15,ROW(AQ257)-ROW(AQ$15),0),15-13*ORÇAMENTO!$AF$11)),0)</f>
        <v>0</v>
      </c>
      <c r="AR257" s="545">
        <f ca="1">IF(AND($D257="Serviço",AR$12&lt;&gt;0,$H257&gt;0,OR(AUTOEVENTO&lt;&gt;"manual",$M257&lt;&gt;1)),
IF(Import.TipoArredondamento&lt;&gt;"TransfereGOV",
ROUND(OFFSET($P257,0,AR$13),15-13*ORÇAMENTO!$AF$7)/$H257*OFFSET(ORÇAMENTO!$X$15,ROW(AR257)-ROW(AR$15),0),
ROUND(ROUND(OFFSET($P257,0,AR$13),15-13*ORÇAMENTO!$AF$7)*OFFSET(ORÇAMENTO!$W$15,ROW(AR257)-ROW(AR$15),0),15-13*ORÇAMENTO!$AF$11)),0)</f>
        <v>0</v>
      </c>
      <c r="AS257" s="546">
        <f ca="1">IF(AND($D257="Serviço",AS$12&lt;&gt;0,$H257&gt;0,OR(AUTOEVENTO&lt;&gt;"manual",$M257&lt;&gt;1)),
IF(Import.TipoArredondamento&lt;&gt;"TransfereGOV",
ROUND(OFFSET($P257,0,AS$13),15-13*ORÇAMENTO!$AF$7)/$H257*OFFSET(ORÇAMENTO!$X$15,ROW(AS257)-ROW(AS$15),0),
ROUND(ROUND(OFFSET($P257,0,AS$13),15-13*ORÇAMENTO!$AF$7)*OFFSET(ORÇAMENTO!$W$15,ROW(AS257)-ROW(AS$15),0),15-13*ORÇAMENTO!$AF$11)),0)</f>
        <v>0</v>
      </c>
      <c r="AT257" s="545">
        <f ca="1">IF(AND($D257="Serviço",AT$12&lt;&gt;0,$H257&gt;0,OR(AUTOEVENTO&lt;&gt;"manual",$M257&lt;&gt;1)),
IF(Import.TipoArredondamento&lt;&gt;"TransfereGOV",
ROUND(OFFSET($P257,0,AT$13),15-13*ORÇAMENTO!$AF$7)/$H257*OFFSET(ORÇAMENTO!$X$15,ROW(AT257)-ROW(AT$15),0),
ROUND(ROUND(OFFSET($P257,0,AT$13),15-13*ORÇAMENTO!$AF$7)*OFFSET(ORÇAMENTO!$W$15,ROW(AT257)-ROW(AT$15),0),15-13*ORÇAMENTO!$AF$11)),0)</f>
        <v>0</v>
      </c>
      <c r="AU257" s="545">
        <f ca="1">IF(AND($D257="Serviço",AU$12&lt;&gt;0,$H257&gt;0,OR(AUTOEVENTO&lt;&gt;"manual",$M257&lt;&gt;1)),
IF(Import.TipoArredondamento&lt;&gt;"TransfereGOV",
ROUND(OFFSET($P257,0,AU$13),15-13*ORÇAMENTO!$AF$7)/$H257*OFFSET(ORÇAMENTO!$X$15,ROW(AU257)-ROW(AU$15),0),
ROUND(ROUND(OFFSET($P257,0,AU$13),15-13*ORÇAMENTO!$AF$7)*OFFSET(ORÇAMENTO!$W$15,ROW(AU257)-ROW(AU$15),0),15-13*ORÇAMENTO!$AF$11)),0)</f>
        <v>0</v>
      </c>
      <c r="AV257" s="545">
        <f ca="1">IF(AND($D257="Serviço",AV$12&lt;&gt;0,$H257&gt;0,OR(AUTOEVENTO&lt;&gt;"manual",$M257&lt;&gt;1)),
IF(Import.TipoArredondamento&lt;&gt;"TransfereGOV",
ROUND(OFFSET($P257,0,AV$13),15-13*ORÇAMENTO!$AF$7)/$H257*OFFSET(ORÇAMENTO!$X$15,ROW(AV257)-ROW(AV$15),0),
ROUND(ROUND(OFFSET($P257,0,AV$13),15-13*ORÇAMENTO!$AF$7)*OFFSET(ORÇAMENTO!$W$15,ROW(AV257)-ROW(AV$15),0),15-13*ORÇAMENTO!$AF$11)),0)</f>
        <v>0</v>
      </c>
      <c r="AW257" s="545">
        <f ca="1">IF(AND($D257="Serviço",AW$12&lt;&gt;0,$H257&gt;0,OR(AUTOEVENTO&lt;&gt;"manual",$M257&lt;&gt;1)),
IF(Import.TipoArredondamento&lt;&gt;"TransfereGOV",
ROUND(OFFSET($P257,0,AW$13),15-13*ORÇAMENTO!$AF$7)/$H257*OFFSET(ORÇAMENTO!$X$15,ROW(AW257)-ROW(AW$15),0),
ROUND(ROUND(OFFSET($P257,0,AW$13),15-13*ORÇAMENTO!$AF$7)*OFFSET(ORÇAMENTO!$W$15,ROW(AW257)-ROW(AW$15),0),15-13*ORÇAMENTO!$AF$11)),0)</f>
        <v>0</v>
      </c>
      <c r="AX257" s="545">
        <f ca="1">IF(AND($D257="Serviço",AX$12&lt;&gt;0,$H257&gt;0,OR(AUTOEVENTO&lt;&gt;"manual",$M257&lt;&gt;1)),
IF(Import.TipoArredondamento&lt;&gt;"TransfereGOV",
ROUND(OFFSET($P257,0,AX$13),15-13*ORÇAMENTO!$AF$7)/$H257*OFFSET(ORÇAMENTO!$X$15,ROW(AX257)-ROW(AX$15),0),
ROUND(ROUND(OFFSET($P257,0,AX$13),15-13*ORÇAMENTO!$AF$7)*OFFSET(ORÇAMENTO!$W$15,ROW(AX257)-ROW(AX$15),0),15-13*ORÇAMENTO!$AF$11)),0)</f>
        <v>0</v>
      </c>
      <c r="AY257" s="545">
        <f ca="1">IF(AND($D257="Serviço",AY$12&lt;&gt;0,$H257&gt;0,OR(AUTOEVENTO&lt;&gt;"manual",$M257&lt;&gt;1)),
IF(Import.TipoArredondamento&lt;&gt;"TransfereGOV",
ROUND(OFFSET($P257,0,AY$13),15-13*ORÇAMENTO!$AF$7)/$H257*OFFSET(ORÇAMENTO!$X$15,ROW(AY257)-ROW(AY$15),0),
ROUND(ROUND(OFFSET($P257,0,AY$13),15-13*ORÇAMENTO!$AF$7)*OFFSET(ORÇAMENTO!$W$15,ROW(AY257)-ROW(AY$15),0),15-13*ORÇAMENTO!$AF$11)),0)</f>
        <v>0</v>
      </c>
      <c r="AZ257" s="545">
        <f ca="1">IF(AND($D257="Serviço",AZ$12&lt;&gt;0,$H257&gt;0,OR(AUTOEVENTO&lt;&gt;"manual",$M257&lt;&gt;1)),
IF(Import.TipoArredondamento&lt;&gt;"TransfereGOV",
ROUND(OFFSET($P257,0,AZ$13),15-13*ORÇAMENTO!$AF$7)/$H257*OFFSET(ORÇAMENTO!$X$15,ROW(AZ257)-ROW(AZ$15),0),
ROUND(ROUND(OFFSET($P257,0,AZ$13),15-13*ORÇAMENTO!$AF$7)*OFFSET(ORÇAMENTO!$W$15,ROW(AZ257)-ROW(AZ$15),0),15-13*ORÇAMENTO!$AF$11)),0)</f>
        <v>0</v>
      </c>
      <c r="BA257" s="546">
        <f ca="1">IF(AND($D257="Serviço",BA$12&lt;&gt;0,$H257&gt;0,OR(AUTOEVENTO&lt;&gt;"manual",$M257&lt;&gt;1)),
IF(Import.TipoArredondamento&lt;&gt;"TransfereGOV",
ROUND(OFFSET($P257,0,BA$13),15-13*ORÇAMENTO!$AF$7)/$H257*OFFSET(ORÇAMENTO!$X$15,ROW(BA257)-ROW(BA$15),0),
ROUND(ROUND(OFFSET($P257,0,BA$13),15-13*ORÇAMENTO!$AF$7)*OFFSET(ORÇAMENTO!$W$15,ROW(BA257)-ROW(BA$15),0),15-13*ORÇAMENTO!$AF$11)),0)</f>
        <v>0</v>
      </c>
      <c r="BC257" s="181">
        <f ca="1">IF($D257&lt;&gt;"Serviço",0,IF(AND(AUTOEVENTO="Manual",$M257=1),0,IF(OFFSET(CRONOPLE!$F$14,$M257,BC$13)="",10^12,OFFSET(CRONOPLE!$F$14,$M257,BC$13))))</f>
        <v>9</v>
      </c>
      <c r="BD257" s="181">
        <f ca="1">IF($D257&lt;&gt;"Serviço",0,IF(AND(AUTOEVENTO="Manual",$M257=1),0,IF(OFFSET(CRONOPLE!$F$14,$M257,BD$13)="",10^12,OFFSET(CRONOPLE!$F$14,$M257,BD$13))))</f>
        <v>1000000000000</v>
      </c>
      <c r="BE257" s="181">
        <f ca="1">IF($D257&lt;&gt;"Serviço",0,IF(AND(AUTOEVENTO="Manual",$M257=1),0,IF(OFFSET(CRONOPLE!$F$14,$M257,BE$13)="",10^12,OFFSET(CRONOPLE!$F$14,$M257,BE$13))))</f>
        <v>1000000000000</v>
      </c>
      <c r="BF257" s="181">
        <f ca="1">IF($D257&lt;&gt;"Serviço",0,IF(AND(AUTOEVENTO="Manual",$M257=1),0,IF(OFFSET(CRONOPLE!$F$14,$M257,BF$13)="",10^12,OFFSET(CRONOPLE!$F$14,$M257,BF$13))))</f>
        <v>1000000000000</v>
      </c>
      <c r="BG257" s="181">
        <f ca="1">IF($D257&lt;&gt;"Serviço",0,IF(AND(AUTOEVENTO="Manual",$M257=1),0,IF(OFFSET(CRONOPLE!$F$14,$M257,BG$13)="",10^12,OFFSET(CRONOPLE!$F$14,$M257,BG$13))))</f>
        <v>1000000000000</v>
      </c>
      <c r="BH257" s="181">
        <f ca="1">IF($D257&lt;&gt;"Serviço",0,IF(AND(AUTOEVENTO="Manual",$M257=1),0,IF(OFFSET(CRONOPLE!$F$14,$M257,BH$13)="",10^12,OFFSET(CRONOPLE!$F$14,$M257,BH$13))))</f>
        <v>1000000000000</v>
      </c>
      <c r="BI257" s="181">
        <f ca="1">IF($D257&lt;&gt;"Serviço",0,IF(AND(AUTOEVENTO="Manual",$M257=1),0,IF(OFFSET(CRONOPLE!$F$14,$M257,BI$13)="",10^12,OFFSET(CRONOPLE!$F$14,$M257,BI$13))))</f>
        <v>1000000000000</v>
      </c>
      <c r="BJ257" s="181">
        <f ca="1">IF($D257&lt;&gt;"Serviço",0,IF(AND(AUTOEVENTO="Manual",$M257=1),0,IF(OFFSET(CRONOPLE!$F$14,$M257,BJ$13)="",10^12,OFFSET(CRONOPLE!$F$14,$M257,BJ$13))))</f>
        <v>1000000000000</v>
      </c>
      <c r="BK257" s="181">
        <f ca="1">IF($D257&lt;&gt;"Serviço",0,IF(AND(AUTOEVENTO="Manual",$M257=1),0,IF(OFFSET(CRONOPLE!$F$14,$M257,BK$13)="",10^12,OFFSET(CRONOPLE!$F$14,$M257,BK$13))))</f>
        <v>1000000000000</v>
      </c>
      <c r="BL257" s="181">
        <f ca="1">IF($D257&lt;&gt;"Serviço",0,IF(AND(AUTOEVENTO="Manual",$M257=1),0,IF(OFFSET(CRONOPLE!$F$14,$M257,BL$13)="",10^12,OFFSET(CRONOPLE!$F$14,$M257,BL$13))))</f>
        <v>1000000000000</v>
      </c>
      <c r="BM257" s="181">
        <f ca="1">IF($D257&lt;&gt;"Serviço",0,IF(AND(AUTOEVENTO="Manual",$M257=1),0,IF(OFFSET(CRONOPLE!$F$14,$M257,BM$13)="",10^12,OFFSET(CRONOPLE!$F$14,$M257,BM$13))))</f>
        <v>1000000000000</v>
      </c>
      <c r="BN257" s="181">
        <f ca="1">IF($D257&lt;&gt;"Serviço",0,IF(AND(AUTOEVENTO="Manual",$M257=1),0,IF(OFFSET(CRONOPLE!$F$14,$M257,BN$13)="",10^12,OFFSET(CRONOPLE!$F$14,$M257,BN$13))))</f>
        <v>1000000000000</v>
      </c>
      <c r="BO257" s="181">
        <f ca="1">IF($D257&lt;&gt;"Serviço",0,IF(AND(AUTOEVENTO="Manual",$M257=1),0,IF(OFFSET(CRONOPLE!$F$14,$M257,BO$13)="",10^12,OFFSET(CRONOPLE!$F$14,$M257,BO$13))))</f>
        <v>1000000000000</v>
      </c>
      <c r="BP257" s="181">
        <f ca="1">IF($D257&lt;&gt;"Serviço",0,IF(AND(AUTOEVENTO="Manual",$M257=1),0,IF(OFFSET(CRONOPLE!$F$14,$M257,BP$13)="",10^12,OFFSET(CRONOPLE!$F$14,$M257,BP$13))))</f>
        <v>1000000000000</v>
      </c>
      <c r="BQ257" s="181">
        <f ca="1">IF($D257&lt;&gt;"Serviço",0,IF(AND(AUTOEVENTO="Manual",$M257=1),0,IF(OFFSET(CRONOPLE!$F$14,$M257,BQ$13)="",10^12,OFFSET(CRONOPLE!$F$14,$M257,BQ$13))))</f>
        <v>1000000000000</v>
      </c>
      <c r="BR257" s="181">
        <f ca="1">IF($D257&lt;&gt;"Serviço",0,IF(AND(AUTOEVENTO="Manual",$M257=1),0,IF(OFFSET(CRONOPLE!$F$14,$M257,BR$13)="",10^12,OFFSET(CRONOPLE!$F$14,$M257,BR$13))))</f>
        <v>1000000000000</v>
      </c>
      <c r="BS257" s="181">
        <f ca="1">IF($D257&lt;&gt;"Serviço",0,IF(AND(AUTOEVENTO="Manual",$M257=1),0,IF(OFFSET(CRONOPLE!$F$14,$M257,BS$13)="",10^12,OFFSET(CRONOPLE!$F$14,$M257,BS$13))))</f>
        <v>1000000000000</v>
      </c>
      <c r="BT257" s="181">
        <f ca="1">IF($D257&lt;&gt;"Serviço",0,IF(AND(AUTOEVENTO="Manual",$M257=1),0,IF(OFFSET(CRONOPLE!$F$14,$M257,BT$13)="",10^12,OFFSET(CRONOPLE!$F$14,$M257,BT$13))))</f>
        <v>1000000000000</v>
      </c>
      <c r="BV257" s="182">
        <f ca="1">IF($D257&lt;&gt;"Serviço",0,IF(OR(AND(AUTOEVENTO="Manual",$M257=1),$M257&gt;(ROW(PLE.lastrow)-ROW(PLE.firstrow))),0,IF(OFFSET(PLE!$G$14,$M257,BV$13)="",10^12,OFFSET(PLE!$G$14,$M257,BV$13))))</f>
        <v>1000000000000</v>
      </c>
      <c r="BW257" s="182">
        <f ca="1">IF($D257&lt;&gt;"Serviço",0,IF(OR(AND(AUTOEVENTO="Manual",$M257=1),$M257&gt;(ROW(PLE.lastrow)-ROW(PLE.firstrow))),0,IF(OFFSET(PLE!$G$14,$M257,BW$13)="",10^12,OFFSET(PLE!$G$14,$M257,BW$13))))</f>
        <v>1000000000000</v>
      </c>
      <c r="BX257" s="182">
        <f ca="1">IF($D257&lt;&gt;"Serviço",0,IF(OR(AND(AUTOEVENTO="Manual",$M257=1),$M257&gt;(ROW(PLE.lastrow)-ROW(PLE.firstrow))),0,IF(OFFSET(PLE!$G$14,$M257,BX$13)="",10^12,OFFSET(PLE!$G$14,$M257,BX$13))))</f>
        <v>1000000000000</v>
      </c>
      <c r="BY257" s="182">
        <f ca="1">IF($D257&lt;&gt;"Serviço",0,IF(OR(AND(AUTOEVENTO="Manual",$M257=1),$M257&gt;(ROW(PLE.lastrow)-ROW(PLE.firstrow))),0,IF(OFFSET(PLE!$G$14,$M257,BY$13)="",10^12,OFFSET(PLE!$G$14,$M257,BY$13))))</f>
        <v>1000000000000</v>
      </c>
      <c r="BZ257" s="182">
        <f ca="1">IF($D257&lt;&gt;"Serviço",0,IF(OR(AND(AUTOEVENTO="Manual",$M257=1),$M257&gt;(ROW(PLE.lastrow)-ROW(PLE.firstrow))),0,IF(OFFSET(PLE!$G$14,$M257,BZ$13)="",10^12,OFFSET(PLE!$G$14,$M257,BZ$13))))</f>
        <v>1000000000000</v>
      </c>
      <c r="CA257" s="182">
        <f ca="1">IF($D257&lt;&gt;"Serviço",0,IF(OR(AND(AUTOEVENTO="Manual",$M257=1),$M257&gt;(ROW(PLE.lastrow)-ROW(PLE.firstrow))),0,IF(OFFSET(PLE!$G$14,$M257,CA$13)="",10^12,OFFSET(PLE!$G$14,$M257,CA$13))))</f>
        <v>1000000000000</v>
      </c>
      <c r="CB257" s="182">
        <f ca="1">IF($D257&lt;&gt;"Serviço",0,IF(OR(AND(AUTOEVENTO="Manual",$M257=1),$M257&gt;(ROW(PLE.lastrow)-ROW(PLE.firstrow))),0,IF(OFFSET(PLE!$G$14,$M257,CB$13)="",10^12,OFFSET(PLE!$G$14,$M257,CB$13))))</f>
        <v>1000000000000</v>
      </c>
      <c r="CC257" s="182">
        <f ca="1">IF($D257&lt;&gt;"Serviço",0,IF(OR(AND(AUTOEVENTO="Manual",$M257=1),$M257&gt;(ROW(PLE.lastrow)-ROW(PLE.firstrow))),0,IF(OFFSET(PLE!$G$14,$M257,CC$13)="",10^12,OFFSET(PLE!$G$14,$M257,CC$13))))</f>
        <v>1000000000000</v>
      </c>
      <c r="CD257" s="182">
        <f ca="1">IF($D257&lt;&gt;"Serviço",0,IF(OR(AND(AUTOEVENTO="Manual",$M257=1),$M257&gt;(ROW(PLE.lastrow)-ROW(PLE.firstrow))),0,IF(OFFSET(PLE!$G$14,$M257,CD$13)="",10^12,OFFSET(PLE!$G$14,$M257,CD$13))))</f>
        <v>1000000000000</v>
      </c>
      <c r="CE257" s="182">
        <f ca="1">IF($D257&lt;&gt;"Serviço",0,IF(OR(AND(AUTOEVENTO="Manual",$M257=1),$M257&gt;(ROW(PLE.lastrow)-ROW(PLE.firstrow))),0,IF(OFFSET(PLE!$G$14,$M257,CE$13)="",10^12,OFFSET(PLE!$G$14,$M257,CE$13))))</f>
        <v>1000000000000</v>
      </c>
      <c r="CF257" s="182">
        <f ca="1">IF($D257&lt;&gt;"Serviço",0,IF(OR(AND(AUTOEVENTO="Manual",$M257=1),$M257&gt;(ROW(PLE.lastrow)-ROW(PLE.firstrow))),0,IF(OFFSET(PLE!$G$14,$M257,CF$13)="",10^12,OFFSET(PLE!$G$14,$M257,CF$13))))</f>
        <v>1000000000000</v>
      </c>
      <c r="CG257" s="182">
        <f ca="1">IF($D257&lt;&gt;"Serviço",0,IF(OR(AND(AUTOEVENTO="Manual",$M257=1),$M257&gt;(ROW(PLE.lastrow)-ROW(PLE.firstrow))),0,IF(OFFSET(PLE!$G$14,$M257,CG$13)="",10^12,OFFSET(PLE!$G$14,$M257,CG$13))))</f>
        <v>1000000000000</v>
      </c>
      <c r="CH257" s="182">
        <f ca="1">IF($D257&lt;&gt;"Serviço",0,IF(OR(AND(AUTOEVENTO="Manual",$M257=1),$M257&gt;(ROW(PLE.lastrow)-ROW(PLE.firstrow))),0,IF(OFFSET(PLE!$G$14,$M257,CH$13)="",10^12,OFFSET(PLE!$G$14,$M257,CH$13))))</f>
        <v>1000000000000</v>
      </c>
      <c r="CI257" s="182">
        <f ca="1">IF($D257&lt;&gt;"Serviço",0,IF(OR(AND(AUTOEVENTO="Manual",$M257=1),$M257&gt;(ROW(PLE.lastrow)-ROW(PLE.firstrow))),0,IF(OFFSET(PLE!$G$14,$M257,CI$13)="",10^12,OFFSET(PLE!$G$14,$M257,CI$13))))</f>
        <v>1000000000000</v>
      </c>
      <c r="CJ257" s="182">
        <f ca="1">IF($D257&lt;&gt;"Serviço",0,IF(OR(AND(AUTOEVENTO="Manual",$M257=1),$M257&gt;(ROW(PLE.lastrow)-ROW(PLE.firstrow))),0,IF(OFFSET(PLE!$G$14,$M257,CJ$13)="",10^12,OFFSET(PLE!$G$14,$M257,CJ$13))))</f>
        <v>1000000000000</v>
      </c>
      <c r="CK257" s="182">
        <f ca="1">IF($D257&lt;&gt;"Serviço",0,IF(OR(AND(AUTOEVENTO="Manual",$M257=1),$M257&gt;(ROW(PLE.lastrow)-ROW(PLE.firstrow))),0,IF(OFFSET(PLE!$G$14,$M257,CK$13)="",10^12,OFFSET(PLE!$G$14,$M257,CK$13))))</f>
        <v>1000000000000</v>
      </c>
      <c r="CL257" s="182">
        <f ca="1">IF($D257&lt;&gt;"Serviço",0,IF(OR(AND(AUTOEVENTO="Manual",$M257=1),$M257&gt;(ROW(PLE.lastrow)-ROW(PLE.firstrow))),0,IF(OFFSET(PLE!$G$14,$M257,CL$13)="",10^12,OFFSET(PLE!$G$14,$M257,CL$13))))</f>
        <v>1000000000000</v>
      </c>
      <c r="CM257" s="182">
        <f ca="1">IF($D257&lt;&gt;"Serviço",0,IF(OR(AND(AUTOEVENTO="Manual",$M257=1),$M257&gt;(ROW(PLE.lastrow)-ROW(PLE.firstrow))),0,IF(OFFSET(PLE!$G$14,$M257,CM$13)="",10^12,OFFSET(PLE!$G$14,$M257,CM$13))))</f>
        <v>1000000000000</v>
      </c>
    </row>
    <row r="258" spans="1:91" ht="38.25" x14ac:dyDescent="0.2">
      <c r="A258" s="7" t="str">
        <f t="shared" ca="1" si="12"/>
        <v>232</v>
      </c>
      <c r="B258" s="7" t="str">
        <f ca="1">OFFSET(ORÇAMENTO!C$15,ROW(B258)-ROW(B$15),0)</f>
        <v>S</v>
      </c>
      <c r="C258" s="7" t="str">
        <f ca="1">OFFSET(ORÇAMENTO!L$15,ROW(C258)-ROW(C$15),0)</f>
        <v/>
      </c>
      <c r="D258" s="118" t="str">
        <f ca="1">OFFSET(ORÇAMENTO!N$15,ROW(D258)-ROW(D$15),0)</f>
        <v>Serviço</v>
      </c>
      <c r="E258" s="119" t="str">
        <f ca="1">OFFSET(ORÇAMENTO!O$15,ROW(E258)-ROW(E$15),0)</f>
        <v>-</v>
      </c>
      <c r="F258" s="172" t="str">
        <f ca="1">OFFSET(ORÇAMENTO!R$15,ROW(F258)-ROW(F$15),0)</f>
        <v>(abra o arquivo 'Referência 06-2024.xlsm)</v>
      </c>
      <c r="G258" s="173" t="str">
        <f ca="1">IF($D258&lt;&gt;"Serviço","",OFFSET(ORÇAMENTO!S$15,ROW(G258)-ROW(G$15),0))</f>
        <v>-</v>
      </c>
      <c r="H258" s="124">
        <f ca="1">IF($D258&lt;&gt;"Serviço",0,IF(ACOMPANHAMENTO="BM",ROUND(OFFSET(ORÇAMENTO!AJ$15,ROW(H258)-ROW(H$15),0),15-13*ORÇAMENTO!$AF$7),SUMPRODUCT(($Q$12:$AI$12&lt;&gt;"")*ROUND($Q258:$AI258,15-13*ORÇAMENTO!$AF$7))))</f>
        <v>38</v>
      </c>
      <c r="I258" s="561" t="s">
        <v>1107</v>
      </c>
      <c r="K258" s="174"/>
      <c r="L258" s="175" t="s">
        <v>255</v>
      </c>
      <c r="M258" s="176">
        <f ca="1">IF($D258&lt;&gt;"Serviço","",IF(AUTOEVENTO="manual",$A258,IF(ISERROR(MATCH($A258,$A$15:OFFSET($A258,-1,0),0)),MAX($M$15:OFFSET(M258,-1,0))+1,INDEX($M$15:OFFSET(M258,-1,0),MATCH($A258,$A$15:OFFSET($A258,-1,0),0)))))</f>
        <v>35</v>
      </c>
      <c r="N258" s="177" t="str">
        <f ca="1">IF($D258&lt;&gt;"Serviço","",IF(AUTOEVENTO="Manual",IF($A258=0,"&lt;-- defina o número do agrupador",OFFSET(EVENTOS!$D$14,$A258,0)),OFFSET($F$15,$A258,0)))</f>
        <v>INSTALAÇÃO HIDRÁULICA - TUBULAÇÕES E CONEXÕES DE PVC RÍGIDO</v>
      </c>
      <c r="O258" s="178"/>
      <c r="Q258" s="178">
        <v>38</v>
      </c>
      <c r="R258" s="179"/>
      <c r="S258" s="179"/>
      <c r="T258" s="179"/>
      <c r="U258" s="179"/>
      <c r="V258" s="179"/>
      <c r="W258" s="179"/>
      <c r="X258" s="179"/>
      <c r="Y258" s="179"/>
      <c r="Z258" s="180"/>
      <c r="AA258" s="179"/>
      <c r="AB258" s="179"/>
      <c r="AC258" s="179"/>
      <c r="AD258" s="179"/>
      <c r="AE258" s="179"/>
      <c r="AF258" s="179"/>
      <c r="AG258" s="179"/>
      <c r="AH258" s="180"/>
      <c r="AJ258" s="544">
        <f ca="1">IF(AND($D258="Serviço",AJ$12&lt;&gt;0,$H258&gt;0,OR(AUTOEVENTO&lt;&gt;"manual",$M258&lt;&gt;1)),
IF(Import.TipoArredondamento&lt;&gt;"TransfereGOV",
ROUND(OFFSET($P258,0,AJ$13),15-13*ORÇAMENTO!$AF$7)/$H258*OFFSET(ORÇAMENTO!$X$15,ROW(AJ258)-ROW(AJ$15),0),
ROUND(ROUND(OFFSET($P258,0,AJ$13),15-13*ORÇAMENTO!$AF$7)*OFFSET(ORÇAMENTO!$W$15,ROW(AJ258)-ROW(AJ$15),0),15-13*ORÇAMENTO!$AF$11)),0)</f>
        <v>0</v>
      </c>
      <c r="AK258" s="545">
        <f ca="1">IF(AND($D258="Serviço",AK$12&lt;&gt;0,$H258&gt;0,OR(AUTOEVENTO&lt;&gt;"manual",$M258&lt;&gt;1)),
IF(Import.TipoArredondamento&lt;&gt;"TransfereGOV",
ROUND(OFFSET($P258,0,AK$13),15-13*ORÇAMENTO!$AF$7)/$H258*OFFSET(ORÇAMENTO!$X$15,ROW(AK258)-ROW(AK$15),0),
ROUND(ROUND(OFFSET($P258,0,AK$13),15-13*ORÇAMENTO!$AF$7)*OFFSET(ORÇAMENTO!$W$15,ROW(AK258)-ROW(AK$15),0),15-13*ORÇAMENTO!$AF$11)),0)</f>
        <v>0</v>
      </c>
      <c r="AL258" s="545">
        <f ca="1">IF(AND($D258="Serviço",AL$12&lt;&gt;0,$H258&gt;0,OR(AUTOEVENTO&lt;&gt;"manual",$M258&lt;&gt;1)),
IF(Import.TipoArredondamento&lt;&gt;"TransfereGOV",
ROUND(OFFSET($P258,0,AL$13),15-13*ORÇAMENTO!$AF$7)/$H258*OFFSET(ORÇAMENTO!$X$15,ROW(AL258)-ROW(AL$15),0),
ROUND(ROUND(OFFSET($P258,0,AL$13),15-13*ORÇAMENTO!$AF$7)*OFFSET(ORÇAMENTO!$W$15,ROW(AL258)-ROW(AL$15),0),15-13*ORÇAMENTO!$AF$11)),0)</f>
        <v>0</v>
      </c>
      <c r="AM258" s="545">
        <f ca="1">IF(AND($D258="Serviço",AM$12&lt;&gt;0,$H258&gt;0,OR(AUTOEVENTO&lt;&gt;"manual",$M258&lt;&gt;1)),
IF(Import.TipoArredondamento&lt;&gt;"TransfereGOV",
ROUND(OFFSET($P258,0,AM$13),15-13*ORÇAMENTO!$AF$7)/$H258*OFFSET(ORÇAMENTO!$X$15,ROW(AM258)-ROW(AM$15),0),
ROUND(ROUND(OFFSET($P258,0,AM$13),15-13*ORÇAMENTO!$AF$7)*OFFSET(ORÇAMENTO!$W$15,ROW(AM258)-ROW(AM$15),0),15-13*ORÇAMENTO!$AF$11)),0)</f>
        <v>0</v>
      </c>
      <c r="AN258" s="545">
        <f ca="1">IF(AND($D258="Serviço",AN$12&lt;&gt;0,$H258&gt;0,OR(AUTOEVENTO&lt;&gt;"manual",$M258&lt;&gt;1)),
IF(Import.TipoArredondamento&lt;&gt;"TransfereGOV",
ROUND(OFFSET($P258,0,AN$13),15-13*ORÇAMENTO!$AF$7)/$H258*OFFSET(ORÇAMENTO!$X$15,ROW(AN258)-ROW(AN$15),0),
ROUND(ROUND(OFFSET($P258,0,AN$13),15-13*ORÇAMENTO!$AF$7)*OFFSET(ORÇAMENTO!$W$15,ROW(AN258)-ROW(AN$15),0),15-13*ORÇAMENTO!$AF$11)),0)</f>
        <v>0</v>
      </c>
      <c r="AO258" s="545">
        <f ca="1">IF(AND($D258="Serviço",AO$12&lt;&gt;0,$H258&gt;0,OR(AUTOEVENTO&lt;&gt;"manual",$M258&lt;&gt;1)),
IF(Import.TipoArredondamento&lt;&gt;"TransfereGOV",
ROUND(OFFSET($P258,0,AO$13),15-13*ORÇAMENTO!$AF$7)/$H258*OFFSET(ORÇAMENTO!$X$15,ROW(AO258)-ROW(AO$15),0),
ROUND(ROUND(OFFSET($P258,0,AO$13),15-13*ORÇAMENTO!$AF$7)*OFFSET(ORÇAMENTO!$W$15,ROW(AO258)-ROW(AO$15),0),15-13*ORÇAMENTO!$AF$11)),0)</f>
        <v>0</v>
      </c>
      <c r="AP258" s="545">
        <f ca="1">IF(AND($D258="Serviço",AP$12&lt;&gt;0,$H258&gt;0,OR(AUTOEVENTO&lt;&gt;"manual",$M258&lt;&gt;1)),
IF(Import.TipoArredondamento&lt;&gt;"TransfereGOV",
ROUND(OFFSET($P258,0,AP$13),15-13*ORÇAMENTO!$AF$7)/$H258*OFFSET(ORÇAMENTO!$X$15,ROW(AP258)-ROW(AP$15),0),
ROUND(ROUND(OFFSET($P258,0,AP$13),15-13*ORÇAMENTO!$AF$7)*OFFSET(ORÇAMENTO!$W$15,ROW(AP258)-ROW(AP$15),0),15-13*ORÇAMENTO!$AF$11)),0)</f>
        <v>0</v>
      </c>
      <c r="AQ258" s="545">
        <f ca="1">IF(AND($D258="Serviço",AQ$12&lt;&gt;0,$H258&gt;0,OR(AUTOEVENTO&lt;&gt;"manual",$M258&lt;&gt;1)),
IF(Import.TipoArredondamento&lt;&gt;"TransfereGOV",
ROUND(OFFSET($P258,0,AQ$13),15-13*ORÇAMENTO!$AF$7)/$H258*OFFSET(ORÇAMENTO!$X$15,ROW(AQ258)-ROW(AQ$15),0),
ROUND(ROUND(OFFSET($P258,0,AQ$13),15-13*ORÇAMENTO!$AF$7)*OFFSET(ORÇAMENTO!$W$15,ROW(AQ258)-ROW(AQ$15),0),15-13*ORÇAMENTO!$AF$11)),0)</f>
        <v>0</v>
      </c>
      <c r="AR258" s="545">
        <f ca="1">IF(AND($D258="Serviço",AR$12&lt;&gt;0,$H258&gt;0,OR(AUTOEVENTO&lt;&gt;"manual",$M258&lt;&gt;1)),
IF(Import.TipoArredondamento&lt;&gt;"TransfereGOV",
ROUND(OFFSET($P258,0,AR$13),15-13*ORÇAMENTO!$AF$7)/$H258*OFFSET(ORÇAMENTO!$X$15,ROW(AR258)-ROW(AR$15),0),
ROUND(ROUND(OFFSET($P258,0,AR$13),15-13*ORÇAMENTO!$AF$7)*OFFSET(ORÇAMENTO!$W$15,ROW(AR258)-ROW(AR$15),0),15-13*ORÇAMENTO!$AF$11)),0)</f>
        <v>0</v>
      </c>
      <c r="AS258" s="546">
        <f ca="1">IF(AND($D258="Serviço",AS$12&lt;&gt;0,$H258&gt;0,OR(AUTOEVENTO&lt;&gt;"manual",$M258&lt;&gt;1)),
IF(Import.TipoArredondamento&lt;&gt;"TransfereGOV",
ROUND(OFFSET($P258,0,AS$13),15-13*ORÇAMENTO!$AF$7)/$H258*OFFSET(ORÇAMENTO!$X$15,ROW(AS258)-ROW(AS$15),0),
ROUND(ROUND(OFFSET($P258,0,AS$13),15-13*ORÇAMENTO!$AF$7)*OFFSET(ORÇAMENTO!$W$15,ROW(AS258)-ROW(AS$15),0),15-13*ORÇAMENTO!$AF$11)),0)</f>
        <v>0</v>
      </c>
      <c r="AT258" s="545">
        <f ca="1">IF(AND($D258="Serviço",AT$12&lt;&gt;0,$H258&gt;0,OR(AUTOEVENTO&lt;&gt;"manual",$M258&lt;&gt;1)),
IF(Import.TipoArredondamento&lt;&gt;"TransfereGOV",
ROUND(OFFSET($P258,0,AT$13),15-13*ORÇAMENTO!$AF$7)/$H258*OFFSET(ORÇAMENTO!$X$15,ROW(AT258)-ROW(AT$15),0),
ROUND(ROUND(OFFSET($P258,0,AT$13),15-13*ORÇAMENTO!$AF$7)*OFFSET(ORÇAMENTO!$W$15,ROW(AT258)-ROW(AT$15),0),15-13*ORÇAMENTO!$AF$11)),0)</f>
        <v>0</v>
      </c>
      <c r="AU258" s="545">
        <f ca="1">IF(AND($D258="Serviço",AU$12&lt;&gt;0,$H258&gt;0,OR(AUTOEVENTO&lt;&gt;"manual",$M258&lt;&gt;1)),
IF(Import.TipoArredondamento&lt;&gt;"TransfereGOV",
ROUND(OFFSET($P258,0,AU$13),15-13*ORÇAMENTO!$AF$7)/$H258*OFFSET(ORÇAMENTO!$X$15,ROW(AU258)-ROW(AU$15),0),
ROUND(ROUND(OFFSET($P258,0,AU$13),15-13*ORÇAMENTO!$AF$7)*OFFSET(ORÇAMENTO!$W$15,ROW(AU258)-ROW(AU$15),0),15-13*ORÇAMENTO!$AF$11)),0)</f>
        <v>0</v>
      </c>
      <c r="AV258" s="545">
        <f ca="1">IF(AND($D258="Serviço",AV$12&lt;&gt;0,$H258&gt;0,OR(AUTOEVENTO&lt;&gt;"manual",$M258&lt;&gt;1)),
IF(Import.TipoArredondamento&lt;&gt;"TransfereGOV",
ROUND(OFFSET($P258,0,AV$13),15-13*ORÇAMENTO!$AF$7)/$H258*OFFSET(ORÇAMENTO!$X$15,ROW(AV258)-ROW(AV$15),0),
ROUND(ROUND(OFFSET($P258,0,AV$13),15-13*ORÇAMENTO!$AF$7)*OFFSET(ORÇAMENTO!$W$15,ROW(AV258)-ROW(AV$15),0),15-13*ORÇAMENTO!$AF$11)),0)</f>
        <v>0</v>
      </c>
      <c r="AW258" s="545">
        <f ca="1">IF(AND($D258="Serviço",AW$12&lt;&gt;0,$H258&gt;0,OR(AUTOEVENTO&lt;&gt;"manual",$M258&lt;&gt;1)),
IF(Import.TipoArredondamento&lt;&gt;"TransfereGOV",
ROUND(OFFSET($P258,0,AW$13),15-13*ORÇAMENTO!$AF$7)/$H258*OFFSET(ORÇAMENTO!$X$15,ROW(AW258)-ROW(AW$15),0),
ROUND(ROUND(OFFSET($P258,0,AW$13),15-13*ORÇAMENTO!$AF$7)*OFFSET(ORÇAMENTO!$W$15,ROW(AW258)-ROW(AW$15),0),15-13*ORÇAMENTO!$AF$11)),0)</f>
        <v>0</v>
      </c>
      <c r="AX258" s="545">
        <f ca="1">IF(AND($D258="Serviço",AX$12&lt;&gt;0,$H258&gt;0,OR(AUTOEVENTO&lt;&gt;"manual",$M258&lt;&gt;1)),
IF(Import.TipoArredondamento&lt;&gt;"TransfereGOV",
ROUND(OFFSET($P258,0,AX$13),15-13*ORÇAMENTO!$AF$7)/$H258*OFFSET(ORÇAMENTO!$X$15,ROW(AX258)-ROW(AX$15),0),
ROUND(ROUND(OFFSET($P258,0,AX$13),15-13*ORÇAMENTO!$AF$7)*OFFSET(ORÇAMENTO!$W$15,ROW(AX258)-ROW(AX$15),0),15-13*ORÇAMENTO!$AF$11)),0)</f>
        <v>0</v>
      </c>
      <c r="AY258" s="545">
        <f ca="1">IF(AND($D258="Serviço",AY$12&lt;&gt;0,$H258&gt;0,OR(AUTOEVENTO&lt;&gt;"manual",$M258&lt;&gt;1)),
IF(Import.TipoArredondamento&lt;&gt;"TransfereGOV",
ROUND(OFFSET($P258,0,AY$13),15-13*ORÇAMENTO!$AF$7)/$H258*OFFSET(ORÇAMENTO!$X$15,ROW(AY258)-ROW(AY$15),0),
ROUND(ROUND(OFFSET($P258,0,AY$13),15-13*ORÇAMENTO!$AF$7)*OFFSET(ORÇAMENTO!$W$15,ROW(AY258)-ROW(AY$15),0),15-13*ORÇAMENTO!$AF$11)),0)</f>
        <v>0</v>
      </c>
      <c r="AZ258" s="545">
        <f ca="1">IF(AND($D258="Serviço",AZ$12&lt;&gt;0,$H258&gt;0,OR(AUTOEVENTO&lt;&gt;"manual",$M258&lt;&gt;1)),
IF(Import.TipoArredondamento&lt;&gt;"TransfereGOV",
ROUND(OFFSET($P258,0,AZ$13),15-13*ORÇAMENTO!$AF$7)/$H258*OFFSET(ORÇAMENTO!$X$15,ROW(AZ258)-ROW(AZ$15),0),
ROUND(ROUND(OFFSET($P258,0,AZ$13),15-13*ORÇAMENTO!$AF$7)*OFFSET(ORÇAMENTO!$W$15,ROW(AZ258)-ROW(AZ$15),0),15-13*ORÇAMENTO!$AF$11)),0)</f>
        <v>0</v>
      </c>
      <c r="BA258" s="546">
        <f ca="1">IF(AND($D258="Serviço",BA$12&lt;&gt;0,$H258&gt;0,OR(AUTOEVENTO&lt;&gt;"manual",$M258&lt;&gt;1)),
IF(Import.TipoArredondamento&lt;&gt;"TransfereGOV",
ROUND(OFFSET($P258,0,BA$13),15-13*ORÇAMENTO!$AF$7)/$H258*OFFSET(ORÇAMENTO!$X$15,ROW(BA258)-ROW(BA$15),0),
ROUND(ROUND(OFFSET($P258,0,BA$13),15-13*ORÇAMENTO!$AF$7)*OFFSET(ORÇAMENTO!$W$15,ROW(BA258)-ROW(BA$15),0),15-13*ORÇAMENTO!$AF$11)),0)</f>
        <v>0</v>
      </c>
      <c r="BC258" s="181">
        <f ca="1">IF($D258&lt;&gt;"Serviço",0,IF(AND(AUTOEVENTO="Manual",$M258=1),0,IF(OFFSET(CRONOPLE!$F$14,$M258,BC$13)="",10^12,OFFSET(CRONOPLE!$F$14,$M258,BC$13))))</f>
        <v>9</v>
      </c>
      <c r="BD258" s="181">
        <f ca="1">IF($D258&lt;&gt;"Serviço",0,IF(AND(AUTOEVENTO="Manual",$M258=1),0,IF(OFFSET(CRONOPLE!$F$14,$M258,BD$13)="",10^12,OFFSET(CRONOPLE!$F$14,$M258,BD$13))))</f>
        <v>1000000000000</v>
      </c>
      <c r="BE258" s="181">
        <f ca="1">IF($D258&lt;&gt;"Serviço",0,IF(AND(AUTOEVENTO="Manual",$M258=1),0,IF(OFFSET(CRONOPLE!$F$14,$M258,BE$13)="",10^12,OFFSET(CRONOPLE!$F$14,$M258,BE$13))))</f>
        <v>1000000000000</v>
      </c>
      <c r="BF258" s="181">
        <f ca="1">IF($D258&lt;&gt;"Serviço",0,IF(AND(AUTOEVENTO="Manual",$M258=1),0,IF(OFFSET(CRONOPLE!$F$14,$M258,BF$13)="",10^12,OFFSET(CRONOPLE!$F$14,$M258,BF$13))))</f>
        <v>1000000000000</v>
      </c>
      <c r="BG258" s="181">
        <f ca="1">IF($D258&lt;&gt;"Serviço",0,IF(AND(AUTOEVENTO="Manual",$M258=1),0,IF(OFFSET(CRONOPLE!$F$14,$M258,BG$13)="",10^12,OFFSET(CRONOPLE!$F$14,$M258,BG$13))))</f>
        <v>1000000000000</v>
      </c>
      <c r="BH258" s="181">
        <f ca="1">IF($D258&lt;&gt;"Serviço",0,IF(AND(AUTOEVENTO="Manual",$M258=1),0,IF(OFFSET(CRONOPLE!$F$14,$M258,BH$13)="",10^12,OFFSET(CRONOPLE!$F$14,$M258,BH$13))))</f>
        <v>1000000000000</v>
      </c>
      <c r="BI258" s="181">
        <f ca="1">IF($D258&lt;&gt;"Serviço",0,IF(AND(AUTOEVENTO="Manual",$M258=1),0,IF(OFFSET(CRONOPLE!$F$14,$M258,BI$13)="",10^12,OFFSET(CRONOPLE!$F$14,$M258,BI$13))))</f>
        <v>1000000000000</v>
      </c>
      <c r="BJ258" s="181">
        <f ca="1">IF($D258&lt;&gt;"Serviço",0,IF(AND(AUTOEVENTO="Manual",$M258=1),0,IF(OFFSET(CRONOPLE!$F$14,$M258,BJ$13)="",10^12,OFFSET(CRONOPLE!$F$14,$M258,BJ$13))))</f>
        <v>1000000000000</v>
      </c>
      <c r="BK258" s="181">
        <f ca="1">IF($D258&lt;&gt;"Serviço",0,IF(AND(AUTOEVENTO="Manual",$M258=1),0,IF(OFFSET(CRONOPLE!$F$14,$M258,BK$13)="",10^12,OFFSET(CRONOPLE!$F$14,$M258,BK$13))))</f>
        <v>1000000000000</v>
      </c>
      <c r="BL258" s="181">
        <f ca="1">IF($D258&lt;&gt;"Serviço",0,IF(AND(AUTOEVENTO="Manual",$M258=1),0,IF(OFFSET(CRONOPLE!$F$14,$M258,BL$13)="",10^12,OFFSET(CRONOPLE!$F$14,$M258,BL$13))))</f>
        <v>1000000000000</v>
      </c>
      <c r="BM258" s="181">
        <f ca="1">IF($D258&lt;&gt;"Serviço",0,IF(AND(AUTOEVENTO="Manual",$M258=1),0,IF(OFFSET(CRONOPLE!$F$14,$M258,BM$13)="",10^12,OFFSET(CRONOPLE!$F$14,$M258,BM$13))))</f>
        <v>1000000000000</v>
      </c>
      <c r="BN258" s="181">
        <f ca="1">IF($D258&lt;&gt;"Serviço",0,IF(AND(AUTOEVENTO="Manual",$M258=1),0,IF(OFFSET(CRONOPLE!$F$14,$M258,BN$13)="",10^12,OFFSET(CRONOPLE!$F$14,$M258,BN$13))))</f>
        <v>1000000000000</v>
      </c>
      <c r="BO258" s="181">
        <f ca="1">IF($D258&lt;&gt;"Serviço",0,IF(AND(AUTOEVENTO="Manual",$M258=1),0,IF(OFFSET(CRONOPLE!$F$14,$M258,BO$13)="",10^12,OFFSET(CRONOPLE!$F$14,$M258,BO$13))))</f>
        <v>1000000000000</v>
      </c>
      <c r="BP258" s="181">
        <f ca="1">IF($D258&lt;&gt;"Serviço",0,IF(AND(AUTOEVENTO="Manual",$M258=1),0,IF(OFFSET(CRONOPLE!$F$14,$M258,BP$13)="",10^12,OFFSET(CRONOPLE!$F$14,$M258,BP$13))))</f>
        <v>1000000000000</v>
      </c>
      <c r="BQ258" s="181">
        <f ca="1">IF($D258&lt;&gt;"Serviço",0,IF(AND(AUTOEVENTO="Manual",$M258=1),0,IF(OFFSET(CRONOPLE!$F$14,$M258,BQ$13)="",10^12,OFFSET(CRONOPLE!$F$14,$M258,BQ$13))))</f>
        <v>1000000000000</v>
      </c>
      <c r="BR258" s="181">
        <f ca="1">IF($D258&lt;&gt;"Serviço",0,IF(AND(AUTOEVENTO="Manual",$M258=1),0,IF(OFFSET(CRONOPLE!$F$14,$M258,BR$13)="",10^12,OFFSET(CRONOPLE!$F$14,$M258,BR$13))))</f>
        <v>1000000000000</v>
      </c>
      <c r="BS258" s="181">
        <f ca="1">IF($D258&lt;&gt;"Serviço",0,IF(AND(AUTOEVENTO="Manual",$M258=1),0,IF(OFFSET(CRONOPLE!$F$14,$M258,BS$13)="",10^12,OFFSET(CRONOPLE!$F$14,$M258,BS$13))))</f>
        <v>1000000000000</v>
      </c>
      <c r="BT258" s="181">
        <f ca="1">IF($D258&lt;&gt;"Serviço",0,IF(AND(AUTOEVENTO="Manual",$M258=1),0,IF(OFFSET(CRONOPLE!$F$14,$M258,BT$13)="",10^12,OFFSET(CRONOPLE!$F$14,$M258,BT$13))))</f>
        <v>1000000000000</v>
      </c>
      <c r="BV258" s="182">
        <f ca="1">IF($D258&lt;&gt;"Serviço",0,IF(OR(AND(AUTOEVENTO="Manual",$M258=1),$M258&gt;(ROW(PLE.lastrow)-ROW(PLE.firstrow))),0,IF(OFFSET(PLE!$G$14,$M258,BV$13)="",10^12,OFFSET(PLE!$G$14,$M258,BV$13))))</f>
        <v>1000000000000</v>
      </c>
      <c r="BW258" s="182">
        <f ca="1">IF($D258&lt;&gt;"Serviço",0,IF(OR(AND(AUTOEVENTO="Manual",$M258=1),$M258&gt;(ROW(PLE.lastrow)-ROW(PLE.firstrow))),0,IF(OFFSET(PLE!$G$14,$M258,BW$13)="",10^12,OFFSET(PLE!$G$14,$M258,BW$13))))</f>
        <v>1000000000000</v>
      </c>
      <c r="BX258" s="182">
        <f ca="1">IF($D258&lt;&gt;"Serviço",0,IF(OR(AND(AUTOEVENTO="Manual",$M258=1),$M258&gt;(ROW(PLE.lastrow)-ROW(PLE.firstrow))),0,IF(OFFSET(PLE!$G$14,$M258,BX$13)="",10^12,OFFSET(PLE!$G$14,$M258,BX$13))))</f>
        <v>1000000000000</v>
      </c>
      <c r="BY258" s="182">
        <f ca="1">IF($D258&lt;&gt;"Serviço",0,IF(OR(AND(AUTOEVENTO="Manual",$M258=1),$M258&gt;(ROW(PLE.lastrow)-ROW(PLE.firstrow))),0,IF(OFFSET(PLE!$G$14,$M258,BY$13)="",10^12,OFFSET(PLE!$G$14,$M258,BY$13))))</f>
        <v>1000000000000</v>
      </c>
      <c r="BZ258" s="182">
        <f ca="1">IF($D258&lt;&gt;"Serviço",0,IF(OR(AND(AUTOEVENTO="Manual",$M258=1),$M258&gt;(ROW(PLE.lastrow)-ROW(PLE.firstrow))),0,IF(OFFSET(PLE!$G$14,$M258,BZ$13)="",10^12,OFFSET(PLE!$G$14,$M258,BZ$13))))</f>
        <v>1000000000000</v>
      </c>
      <c r="CA258" s="182">
        <f ca="1">IF($D258&lt;&gt;"Serviço",0,IF(OR(AND(AUTOEVENTO="Manual",$M258=1),$M258&gt;(ROW(PLE.lastrow)-ROW(PLE.firstrow))),0,IF(OFFSET(PLE!$G$14,$M258,CA$13)="",10^12,OFFSET(PLE!$G$14,$M258,CA$13))))</f>
        <v>1000000000000</v>
      </c>
      <c r="CB258" s="182">
        <f ca="1">IF($D258&lt;&gt;"Serviço",0,IF(OR(AND(AUTOEVENTO="Manual",$M258=1),$M258&gt;(ROW(PLE.lastrow)-ROW(PLE.firstrow))),0,IF(OFFSET(PLE!$G$14,$M258,CB$13)="",10^12,OFFSET(PLE!$G$14,$M258,CB$13))))</f>
        <v>1000000000000</v>
      </c>
      <c r="CC258" s="182">
        <f ca="1">IF($D258&lt;&gt;"Serviço",0,IF(OR(AND(AUTOEVENTO="Manual",$M258=1),$M258&gt;(ROW(PLE.lastrow)-ROW(PLE.firstrow))),0,IF(OFFSET(PLE!$G$14,$M258,CC$13)="",10^12,OFFSET(PLE!$G$14,$M258,CC$13))))</f>
        <v>1000000000000</v>
      </c>
      <c r="CD258" s="182">
        <f ca="1">IF($D258&lt;&gt;"Serviço",0,IF(OR(AND(AUTOEVENTO="Manual",$M258=1),$M258&gt;(ROW(PLE.lastrow)-ROW(PLE.firstrow))),0,IF(OFFSET(PLE!$G$14,$M258,CD$13)="",10^12,OFFSET(PLE!$G$14,$M258,CD$13))))</f>
        <v>1000000000000</v>
      </c>
      <c r="CE258" s="182">
        <f ca="1">IF($D258&lt;&gt;"Serviço",0,IF(OR(AND(AUTOEVENTO="Manual",$M258=1),$M258&gt;(ROW(PLE.lastrow)-ROW(PLE.firstrow))),0,IF(OFFSET(PLE!$G$14,$M258,CE$13)="",10^12,OFFSET(PLE!$G$14,$M258,CE$13))))</f>
        <v>1000000000000</v>
      </c>
      <c r="CF258" s="182">
        <f ca="1">IF($D258&lt;&gt;"Serviço",0,IF(OR(AND(AUTOEVENTO="Manual",$M258=1),$M258&gt;(ROW(PLE.lastrow)-ROW(PLE.firstrow))),0,IF(OFFSET(PLE!$G$14,$M258,CF$13)="",10^12,OFFSET(PLE!$G$14,$M258,CF$13))))</f>
        <v>1000000000000</v>
      </c>
      <c r="CG258" s="182">
        <f ca="1">IF($D258&lt;&gt;"Serviço",0,IF(OR(AND(AUTOEVENTO="Manual",$M258=1),$M258&gt;(ROW(PLE.lastrow)-ROW(PLE.firstrow))),0,IF(OFFSET(PLE!$G$14,$M258,CG$13)="",10^12,OFFSET(PLE!$G$14,$M258,CG$13))))</f>
        <v>1000000000000</v>
      </c>
      <c r="CH258" s="182">
        <f ca="1">IF($D258&lt;&gt;"Serviço",0,IF(OR(AND(AUTOEVENTO="Manual",$M258=1),$M258&gt;(ROW(PLE.lastrow)-ROW(PLE.firstrow))),0,IF(OFFSET(PLE!$G$14,$M258,CH$13)="",10^12,OFFSET(PLE!$G$14,$M258,CH$13))))</f>
        <v>1000000000000</v>
      </c>
      <c r="CI258" s="182">
        <f ca="1">IF($D258&lt;&gt;"Serviço",0,IF(OR(AND(AUTOEVENTO="Manual",$M258=1),$M258&gt;(ROW(PLE.lastrow)-ROW(PLE.firstrow))),0,IF(OFFSET(PLE!$G$14,$M258,CI$13)="",10^12,OFFSET(PLE!$G$14,$M258,CI$13))))</f>
        <v>1000000000000</v>
      </c>
      <c r="CJ258" s="182">
        <f ca="1">IF($D258&lt;&gt;"Serviço",0,IF(OR(AND(AUTOEVENTO="Manual",$M258=1),$M258&gt;(ROW(PLE.lastrow)-ROW(PLE.firstrow))),0,IF(OFFSET(PLE!$G$14,$M258,CJ$13)="",10^12,OFFSET(PLE!$G$14,$M258,CJ$13))))</f>
        <v>1000000000000</v>
      </c>
      <c r="CK258" s="182">
        <f ca="1">IF($D258&lt;&gt;"Serviço",0,IF(OR(AND(AUTOEVENTO="Manual",$M258=1),$M258&gt;(ROW(PLE.lastrow)-ROW(PLE.firstrow))),0,IF(OFFSET(PLE!$G$14,$M258,CK$13)="",10^12,OFFSET(PLE!$G$14,$M258,CK$13))))</f>
        <v>1000000000000</v>
      </c>
      <c r="CL258" s="182">
        <f ca="1">IF($D258&lt;&gt;"Serviço",0,IF(OR(AND(AUTOEVENTO="Manual",$M258=1),$M258&gt;(ROW(PLE.lastrow)-ROW(PLE.firstrow))),0,IF(OFFSET(PLE!$G$14,$M258,CL$13)="",10^12,OFFSET(PLE!$G$14,$M258,CL$13))))</f>
        <v>1000000000000</v>
      </c>
      <c r="CM258" s="182">
        <f ca="1">IF($D258&lt;&gt;"Serviço",0,IF(OR(AND(AUTOEVENTO="Manual",$M258=1),$M258&gt;(ROW(PLE.lastrow)-ROW(PLE.firstrow))),0,IF(OFFSET(PLE!$G$14,$M258,CM$13)="",10^12,OFFSET(PLE!$G$14,$M258,CM$13))))</f>
        <v>1000000000000</v>
      </c>
    </row>
    <row r="259" spans="1:91" ht="38.25" x14ac:dyDescent="0.2">
      <c r="A259" s="7" t="str">
        <f t="shared" ca="1" si="12"/>
        <v>232</v>
      </c>
      <c r="B259" s="7" t="str">
        <f ca="1">OFFSET(ORÇAMENTO!C$15,ROW(B259)-ROW(B$15),0)</f>
        <v>S</v>
      </c>
      <c r="C259" s="7" t="str">
        <f ca="1">OFFSET(ORÇAMENTO!L$15,ROW(C259)-ROW(C$15),0)</f>
        <v/>
      </c>
      <c r="D259" s="118" t="str">
        <f ca="1">OFFSET(ORÇAMENTO!N$15,ROW(D259)-ROW(D$15),0)</f>
        <v>Serviço</v>
      </c>
      <c r="E259" s="119" t="str">
        <f ca="1">OFFSET(ORÇAMENTO!O$15,ROW(E259)-ROW(E$15),0)</f>
        <v>-</v>
      </c>
      <c r="F259" s="172" t="str">
        <f ca="1">OFFSET(ORÇAMENTO!R$15,ROW(F259)-ROW(F$15),0)</f>
        <v>(abra o arquivo 'Referência 06-2024.xlsm)</v>
      </c>
      <c r="G259" s="173" t="str">
        <f ca="1">IF($D259&lt;&gt;"Serviço","",OFFSET(ORÇAMENTO!S$15,ROW(G259)-ROW(G$15),0))</f>
        <v>-</v>
      </c>
      <c r="H259" s="124">
        <f ca="1">IF($D259&lt;&gt;"Serviço",0,IF(ACOMPANHAMENTO="BM",ROUND(OFFSET(ORÇAMENTO!AJ$15,ROW(H259)-ROW(H$15),0),15-13*ORÇAMENTO!$AF$7),SUMPRODUCT(($Q$12:$AI$12&lt;&gt;"")*ROUND($Q259:$AI259,15-13*ORÇAMENTO!$AF$7))))</f>
        <v>18</v>
      </c>
      <c r="I259" s="561" t="s">
        <v>1107</v>
      </c>
      <c r="K259" s="174"/>
      <c r="L259" s="175" t="s">
        <v>255</v>
      </c>
      <c r="M259" s="176">
        <f ca="1">IF($D259&lt;&gt;"Serviço","",IF(AUTOEVENTO="manual",$A259,IF(ISERROR(MATCH($A259,$A$15:OFFSET($A259,-1,0),0)),MAX($M$15:OFFSET(M259,-1,0))+1,INDEX($M$15:OFFSET(M259,-1,0),MATCH($A259,$A$15:OFFSET($A259,-1,0),0)))))</f>
        <v>35</v>
      </c>
      <c r="N259" s="177" t="str">
        <f ca="1">IF($D259&lt;&gt;"Serviço","",IF(AUTOEVENTO="Manual",IF($A259=0,"&lt;-- defina o número do agrupador",OFFSET(EVENTOS!$D$14,$A259,0)),OFFSET($F$15,$A259,0)))</f>
        <v>INSTALAÇÃO HIDRÁULICA - TUBULAÇÕES E CONEXÕES DE PVC RÍGIDO</v>
      </c>
      <c r="O259" s="178"/>
      <c r="Q259" s="178">
        <v>18</v>
      </c>
      <c r="R259" s="179"/>
      <c r="S259" s="179"/>
      <c r="T259" s="179"/>
      <c r="U259" s="179"/>
      <c r="V259" s="179"/>
      <c r="W259" s="179"/>
      <c r="X259" s="179"/>
      <c r="Y259" s="179"/>
      <c r="Z259" s="180"/>
      <c r="AA259" s="179"/>
      <c r="AB259" s="179"/>
      <c r="AC259" s="179"/>
      <c r="AD259" s="179"/>
      <c r="AE259" s="179"/>
      <c r="AF259" s="179"/>
      <c r="AG259" s="179"/>
      <c r="AH259" s="180"/>
      <c r="AJ259" s="544">
        <f ca="1">IF(AND($D259="Serviço",AJ$12&lt;&gt;0,$H259&gt;0,OR(AUTOEVENTO&lt;&gt;"manual",$M259&lt;&gt;1)),
IF(Import.TipoArredondamento&lt;&gt;"TransfereGOV",
ROUND(OFFSET($P259,0,AJ$13),15-13*ORÇAMENTO!$AF$7)/$H259*OFFSET(ORÇAMENTO!$X$15,ROW(AJ259)-ROW(AJ$15),0),
ROUND(ROUND(OFFSET($P259,0,AJ$13),15-13*ORÇAMENTO!$AF$7)*OFFSET(ORÇAMENTO!$W$15,ROW(AJ259)-ROW(AJ$15),0),15-13*ORÇAMENTO!$AF$11)),0)</f>
        <v>0</v>
      </c>
      <c r="AK259" s="545">
        <f ca="1">IF(AND($D259="Serviço",AK$12&lt;&gt;0,$H259&gt;0,OR(AUTOEVENTO&lt;&gt;"manual",$M259&lt;&gt;1)),
IF(Import.TipoArredondamento&lt;&gt;"TransfereGOV",
ROUND(OFFSET($P259,0,AK$13),15-13*ORÇAMENTO!$AF$7)/$H259*OFFSET(ORÇAMENTO!$X$15,ROW(AK259)-ROW(AK$15),0),
ROUND(ROUND(OFFSET($P259,0,AK$13),15-13*ORÇAMENTO!$AF$7)*OFFSET(ORÇAMENTO!$W$15,ROW(AK259)-ROW(AK$15),0),15-13*ORÇAMENTO!$AF$11)),0)</f>
        <v>0</v>
      </c>
      <c r="AL259" s="545">
        <f ca="1">IF(AND($D259="Serviço",AL$12&lt;&gt;0,$H259&gt;0,OR(AUTOEVENTO&lt;&gt;"manual",$M259&lt;&gt;1)),
IF(Import.TipoArredondamento&lt;&gt;"TransfereGOV",
ROUND(OFFSET($P259,0,AL$13),15-13*ORÇAMENTO!$AF$7)/$H259*OFFSET(ORÇAMENTO!$X$15,ROW(AL259)-ROW(AL$15),0),
ROUND(ROUND(OFFSET($P259,0,AL$13),15-13*ORÇAMENTO!$AF$7)*OFFSET(ORÇAMENTO!$W$15,ROW(AL259)-ROW(AL$15),0),15-13*ORÇAMENTO!$AF$11)),0)</f>
        <v>0</v>
      </c>
      <c r="AM259" s="545">
        <f ca="1">IF(AND($D259="Serviço",AM$12&lt;&gt;0,$H259&gt;0,OR(AUTOEVENTO&lt;&gt;"manual",$M259&lt;&gt;1)),
IF(Import.TipoArredondamento&lt;&gt;"TransfereGOV",
ROUND(OFFSET($P259,0,AM$13),15-13*ORÇAMENTO!$AF$7)/$H259*OFFSET(ORÇAMENTO!$X$15,ROW(AM259)-ROW(AM$15),0),
ROUND(ROUND(OFFSET($P259,0,AM$13),15-13*ORÇAMENTO!$AF$7)*OFFSET(ORÇAMENTO!$W$15,ROW(AM259)-ROW(AM$15),0),15-13*ORÇAMENTO!$AF$11)),0)</f>
        <v>0</v>
      </c>
      <c r="AN259" s="545">
        <f ca="1">IF(AND($D259="Serviço",AN$12&lt;&gt;0,$H259&gt;0,OR(AUTOEVENTO&lt;&gt;"manual",$M259&lt;&gt;1)),
IF(Import.TipoArredondamento&lt;&gt;"TransfereGOV",
ROUND(OFFSET($P259,0,AN$13),15-13*ORÇAMENTO!$AF$7)/$H259*OFFSET(ORÇAMENTO!$X$15,ROW(AN259)-ROW(AN$15),0),
ROUND(ROUND(OFFSET($P259,0,AN$13),15-13*ORÇAMENTO!$AF$7)*OFFSET(ORÇAMENTO!$W$15,ROW(AN259)-ROW(AN$15),0),15-13*ORÇAMENTO!$AF$11)),0)</f>
        <v>0</v>
      </c>
      <c r="AO259" s="545">
        <f ca="1">IF(AND($D259="Serviço",AO$12&lt;&gt;0,$H259&gt;0,OR(AUTOEVENTO&lt;&gt;"manual",$M259&lt;&gt;1)),
IF(Import.TipoArredondamento&lt;&gt;"TransfereGOV",
ROUND(OFFSET($P259,0,AO$13),15-13*ORÇAMENTO!$AF$7)/$H259*OFFSET(ORÇAMENTO!$X$15,ROW(AO259)-ROW(AO$15),0),
ROUND(ROUND(OFFSET($P259,0,AO$13),15-13*ORÇAMENTO!$AF$7)*OFFSET(ORÇAMENTO!$W$15,ROW(AO259)-ROW(AO$15),0),15-13*ORÇAMENTO!$AF$11)),0)</f>
        <v>0</v>
      </c>
      <c r="AP259" s="545">
        <f ca="1">IF(AND($D259="Serviço",AP$12&lt;&gt;0,$H259&gt;0,OR(AUTOEVENTO&lt;&gt;"manual",$M259&lt;&gt;1)),
IF(Import.TipoArredondamento&lt;&gt;"TransfereGOV",
ROUND(OFFSET($P259,0,AP$13),15-13*ORÇAMENTO!$AF$7)/$H259*OFFSET(ORÇAMENTO!$X$15,ROW(AP259)-ROW(AP$15),0),
ROUND(ROUND(OFFSET($P259,0,AP$13),15-13*ORÇAMENTO!$AF$7)*OFFSET(ORÇAMENTO!$W$15,ROW(AP259)-ROW(AP$15),0),15-13*ORÇAMENTO!$AF$11)),0)</f>
        <v>0</v>
      </c>
      <c r="AQ259" s="545">
        <f ca="1">IF(AND($D259="Serviço",AQ$12&lt;&gt;0,$H259&gt;0,OR(AUTOEVENTO&lt;&gt;"manual",$M259&lt;&gt;1)),
IF(Import.TipoArredondamento&lt;&gt;"TransfereGOV",
ROUND(OFFSET($P259,0,AQ$13),15-13*ORÇAMENTO!$AF$7)/$H259*OFFSET(ORÇAMENTO!$X$15,ROW(AQ259)-ROW(AQ$15),0),
ROUND(ROUND(OFFSET($P259,0,AQ$13),15-13*ORÇAMENTO!$AF$7)*OFFSET(ORÇAMENTO!$W$15,ROW(AQ259)-ROW(AQ$15),0),15-13*ORÇAMENTO!$AF$11)),0)</f>
        <v>0</v>
      </c>
      <c r="AR259" s="545">
        <f ca="1">IF(AND($D259="Serviço",AR$12&lt;&gt;0,$H259&gt;0,OR(AUTOEVENTO&lt;&gt;"manual",$M259&lt;&gt;1)),
IF(Import.TipoArredondamento&lt;&gt;"TransfereGOV",
ROUND(OFFSET($P259,0,AR$13),15-13*ORÇAMENTO!$AF$7)/$H259*OFFSET(ORÇAMENTO!$X$15,ROW(AR259)-ROW(AR$15),0),
ROUND(ROUND(OFFSET($P259,0,AR$13),15-13*ORÇAMENTO!$AF$7)*OFFSET(ORÇAMENTO!$W$15,ROW(AR259)-ROW(AR$15),0),15-13*ORÇAMENTO!$AF$11)),0)</f>
        <v>0</v>
      </c>
      <c r="AS259" s="546">
        <f ca="1">IF(AND($D259="Serviço",AS$12&lt;&gt;0,$H259&gt;0,OR(AUTOEVENTO&lt;&gt;"manual",$M259&lt;&gt;1)),
IF(Import.TipoArredondamento&lt;&gt;"TransfereGOV",
ROUND(OFFSET($P259,0,AS$13),15-13*ORÇAMENTO!$AF$7)/$H259*OFFSET(ORÇAMENTO!$X$15,ROW(AS259)-ROW(AS$15),0),
ROUND(ROUND(OFFSET($P259,0,AS$13),15-13*ORÇAMENTO!$AF$7)*OFFSET(ORÇAMENTO!$W$15,ROW(AS259)-ROW(AS$15),0),15-13*ORÇAMENTO!$AF$11)),0)</f>
        <v>0</v>
      </c>
      <c r="AT259" s="545">
        <f ca="1">IF(AND($D259="Serviço",AT$12&lt;&gt;0,$H259&gt;0,OR(AUTOEVENTO&lt;&gt;"manual",$M259&lt;&gt;1)),
IF(Import.TipoArredondamento&lt;&gt;"TransfereGOV",
ROUND(OFFSET($P259,0,AT$13),15-13*ORÇAMENTO!$AF$7)/$H259*OFFSET(ORÇAMENTO!$X$15,ROW(AT259)-ROW(AT$15),0),
ROUND(ROUND(OFFSET($P259,0,AT$13),15-13*ORÇAMENTO!$AF$7)*OFFSET(ORÇAMENTO!$W$15,ROW(AT259)-ROW(AT$15),0),15-13*ORÇAMENTO!$AF$11)),0)</f>
        <v>0</v>
      </c>
      <c r="AU259" s="545">
        <f ca="1">IF(AND($D259="Serviço",AU$12&lt;&gt;0,$H259&gt;0,OR(AUTOEVENTO&lt;&gt;"manual",$M259&lt;&gt;1)),
IF(Import.TipoArredondamento&lt;&gt;"TransfereGOV",
ROUND(OFFSET($P259,0,AU$13),15-13*ORÇAMENTO!$AF$7)/$H259*OFFSET(ORÇAMENTO!$X$15,ROW(AU259)-ROW(AU$15),0),
ROUND(ROUND(OFFSET($P259,0,AU$13),15-13*ORÇAMENTO!$AF$7)*OFFSET(ORÇAMENTO!$W$15,ROW(AU259)-ROW(AU$15),0),15-13*ORÇAMENTO!$AF$11)),0)</f>
        <v>0</v>
      </c>
      <c r="AV259" s="545">
        <f ca="1">IF(AND($D259="Serviço",AV$12&lt;&gt;0,$H259&gt;0,OR(AUTOEVENTO&lt;&gt;"manual",$M259&lt;&gt;1)),
IF(Import.TipoArredondamento&lt;&gt;"TransfereGOV",
ROUND(OFFSET($P259,0,AV$13),15-13*ORÇAMENTO!$AF$7)/$H259*OFFSET(ORÇAMENTO!$X$15,ROW(AV259)-ROW(AV$15),0),
ROUND(ROUND(OFFSET($P259,0,AV$13),15-13*ORÇAMENTO!$AF$7)*OFFSET(ORÇAMENTO!$W$15,ROW(AV259)-ROW(AV$15),0),15-13*ORÇAMENTO!$AF$11)),0)</f>
        <v>0</v>
      </c>
      <c r="AW259" s="545">
        <f ca="1">IF(AND($D259="Serviço",AW$12&lt;&gt;0,$H259&gt;0,OR(AUTOEVENTO&lt;&gt;"manual",$M259&lt;&gt;1)),
IF(Import.TipoArredondamento&lt;&gt;"TransfereGOV",
ROUND(OFFSET($P259,0,AW$13),15-13*ORÇAMENTO!$AF$7)/$H259*OFFSET(ORÇAMENTO!$X$15,ROW(AW259)-ROW(AW$15),0),
ROUND(ROUND(OFFSET($P259,0,AW$13),15-13*ORÇAMENTO!$AF$7)*OFFSET(ORÇAMENTO!$W$15,ROW(AW259)-ROW(AW$15),0),15-13*ORÇAMENTO!$AF$11)),0)</f>
        <v>0</v>
      </c>
      <c r="AX259" s="545">
        <f ca="1">IF(AND($D259="Serviço",AX$12&lt;&gt;0,$H259&gt;0,OR(AUTOEVENTO&lt;&gt;"manual",$M259&lt;&gt;1)),
IF(Import.TipoArredondamento&lt;&gt;"TransfereGOV",
ROUND(OFFSET($P259,0,AX$13),15-13*ORÇAMENTO!$AF$7)/$H259*OFFSET(ORÇAMENTO!$X$15,ROW(AX259)-ROW(AX$15),0),
ROUND(ROUND(OFFSET($P259,0,AX$13),15-13*ORÇAMENTO!$AF$7)*OFFSET(ORÇAMENTO!$W$15,ROW(AX259)-ROW(AX$15),0),15-13*ORÇAMENTO!$AF$11)),0)</f>
        <v>0</v>
      </c>
      <c r="AY259" s="545">
        <f ca="1">IF(AND($D259="Serviço",AY$12&lt;&gt;0,$H259&gt;0,OR(AUTOEVENTO&lt;&gt;"manual",$M259&lt;&gt;1)),
IF(Import.TipoArredondamento&lt;&gt;"TransfereGOV",
ROUND(OFFSET($P259,0,AY$13),15-13*ORÇAMENTO!$AF$7)/$H259*OFFSET(ORÇAMENTO!$X$15,ROW(AY259)-ROW(AY$15),0),
ROUND(ROUND(OFFSET($P259,0,AY$13),15-13*ORÇAMENTO!$AF$7)*OFFSET(ORÇAMENTO!$W$15,ROW(AY259)-ROW(AY$15),0),15-13*ORÇAMENTO!$AF$11)),0)</f>
        <v>0</v>
      </c>
      <c r="AZ259" s="545">
        <f ca="1">IF(AND($D259="Serviço",AZ$12&lt;&gt;0,$H259&gt;0,OR(AUTOEVENTO&lt;&gt;"manual",$M259&lt;&gt;1)),
IF(Import.TipoArredondamento&lt;&gt;"TransfereGOV",
ROUND(OFFSET($P259,0,AZ$13),15-13*ORÇAMENTO!$AF$7)/$H259*OFFSET(ORÇAMENTO!$X$15,ROW(AZ259)-ROW(AZ$15),0),
ROUND(ROUND(OFFSET($P259,0,AZ$13),15-13*ORÇAMENTO!$AF$7)*OFFSET(ORÇAMENTO!$W$15,ROW(AZ259)-ROW(AZ$15),0),15-13*ORÇAMENTO!$AF$11)),0)</f>
        <v>0</v>
      </c>
      <c r="BA259" s="546">
        <f ca="1">IF(AND($D259="Serviço",BA$12&lt;&gt;0,$H259&gt;0,OR(AUTOEVENTO&lt;&gt;"manual",$M259&lt;&gt;1)),
IF(Import.TipoArredondamento&lt;&gt;"TransfereGOV",
ROUND(OFFSET($P259,0,BA$13),15-13*ORÇAMENTO!$AF$7)/$H259*OFFSET(ORÇAMENTO!$X$15,ROW(BA259)-ROW(BA$15),0),
ROUND(ROUND(OFFSET($P259,0,BA$13),15-13*ORÇAMENTO!$AF$7)*OFFSET(ORÇAMENTO!$W$15,ROW(BA259)-ROW(BA$15),0),15-13*ORÇAMENTO!$AF$11)),0)</f>
        <v>0</v>
      </c>
      <c r="BC259" s="181">
        <f ca="1">IF($D259&lt;&gt;"Serviço",0,IF(AND(AUTOEVENTO="Manual",$M259=1),0,IF(OFFSET(CRONOPLE!$F$14,$M259,BC$13)="",10^12,OFFSET(CRONOPLE!$F$14,$M259,BC$13))))</f>
        <v>9</v>
      </c>
      <c r="BD259" s="181">
        <f ca="1">IF($D259&lt;&gt;"Serviço",0,IF(AND(AUTOEVENTO="Manual",$M259=1),0,IF(OFFSET(CRONOPLE!$F$14,$M259,BD$13)="",10^12,OFFSET(CRONOPLE!$F$14,$M259,BD$13))))</f>
        <v>1000000000000</v>
      </c>
      <c r="BE259" s="181">
        <f ca="1">IF($D259&lt;&gt;"Serviço",0,IF(AND(AUTOEVENTO="Manual",$M259=1),0,IF(OFFSET(CRONOPLE!$F$14,$M259,BE$13)="",10^12,OFFSET(CRONOPLE!$F$14,$M259,BE$13))))</f>
        <v>1000000000000</v>
      </c>
      <c r="BF259" s="181">
        <f ca="1">IF($D259&lt;&gt;"Serviço",0,IF(AND(AUTOEVENTO="Manual",$M259=1),0,IF(OFFSET(CRONOPLE!$F$14,$M259,BF$13)="",10^12,OFFSET(CRONOPLE!$F$14,$M259,BF$13))))</f>
        <v>1000000000000</v>
      </c>
      <c r="BG259" s="181">
        <f ca="1">IF($D259&lt;&gt;"Serviço",0,IF(AND(AUTOEVENTO="Manual",$M259=1),0,IF(OFFSET(CRONOPLE!$F$14,$M259,BG$13)="",10^12,OFFSET(CRONOPLE!$F$14,$M259,BG$13))))</f>
        <v>1000000000000</v>
      </c>
      <c r="BH259" s="181">
        <f ca="1">IF($D259&lt;&gt;"Serviço",0,IF(AND(AUTOEVENTO="Manual",$M259=1),0,IF(OFFSET(CRONOPLE!$F$14,$M259,BH$13)="",10^12,OFFSET(CRONOPLE!$F$14,$M259,BH$13))))</f>
        <v>1000000000000</v>
      </c>
      <c r="BI259" s="181">
        <f ca="1">IF($D259&lt;&gt;"Serviço",0,IF(AND(AUTOEVENTO="Manual",$M259=1),0,IF(OFFSET(CRONOPLE!$F$14,$M259,BI$13)="",10^12,OFFSET(CRONOPLE!$F$14,$M259,BI$13))))</f>
        <v>1000000000000</v>
      </c>
      <c r="BJ259" s="181">
        <f ca="1">IF($D259&lt;&gt;"Serviço",0,IF(AND(AUTOEVENTO="Manual",$M259=1),0,IF(OFFSET(CRONOPLE!$F$14,$M259,BJ$13)="",10^12,OFFSET(CRONOPLE!$F$14,$M259,BJ$13))))</f>
        <v>1000000000000</v>
      </c>
      <c r="BK259" s="181">
        <f ca="1">IF($D259&lt;&gt;"Serviço",0,IF(AND(AUTOEVENTO="Manual",$M259=1),0,IF(OFFSET(CRONOPLE!$F$14,$M259,BK$13)="",10^12,OFFSET(CRONOPLE!$F$14,$M259,BK$13))))</f>
        <v>1000000000000</v>
      </c>
      <c r="BL259" s="181">
        <f ca="1">IF($D259&lt;&gt;"Serviço",0,IF(AND(AUTOEVENTO="Manual",$M259=1),0,IF(OFFSET(CRONOPLE!$F$14,$M259,BL$13)="",10^12,OFFSET(CRONOPLE!$F$14,$M259,BL$13))))</f>
        <v>1000000000000</v>
      </c>
      <c r="BM259" s="181">
        <f ca="1">IF($D259&lt;&gt;"Serviço",0,IF(AND(AUTOEVENTO="Manual",$M259=1),0,IF(OFFSET(CRONOPLE!$F$14,$M259,BM$13)="",10^12,OFFSET(CRONOPLE!$F$14,$M259,BM$13))))</f>
        <v>1000000000000</v>
      </c>
      <c r="BN259" s="181">
        <f ca="1">IF($D259&lt;&gt;"Serviço",0,IF(AND(AUTOEVENTO="Manual",$M259=1),0,IF(OFFSET(CRONOPLE!$F$14,$M259,BN$13)="",10^12,OFFSET(CRONOPLE!$F$14,$M259,BN$13))))</f>
        <v>1000000000000</v>
      </c>
      <c r="BO259" s="181">
        <f ca="1">IF($D259&lt;&gt;"Serviço",0,IF(AND(AUTOEVENTO="Manual",$M259=1),0,IF(OFFSET(CRONOPLE!$F$14,$M259,BO$13)="",10^12,OFFSET(CRONOPLE!$F$14,$M259,BO$13))))</f>
        <v>1000000000000</v>
      </c>
      <c r="BP259" s="181">
        <f ca="1">IF($D259&lt;&gt;"Serviço",0,IF(AND(AUTOEVENTO="Manual",$M259=1),0,IF(OFFSET(CRONOPLE!$F$14,$M259,BP$13)="",10^12,OFFSET(CRONOPLE!$F$14,$M259,BP$13))))</f>
        <v>1000000000000</v>
      </c>
      <c r="BQ259" s="181">
        <f ca="1">IF($D259&lt;&gt;"Serviço",0,IF(AND(AUTOEVENTO="Manual",$M259=1),0,IF(OFFSET(CRONOPLE!$F$14,$M259,BQ$13)="",10^12,OFFSET(CRONOPLE!$F$14,$M259,BQ$13))))</f>
        <v>1000000000000</v>
      </c>
      <c r="BR259" s="181">
        <f ca="1">IF($D259&lt;&gt;"Serviço",0,IF(AND(AUTOEVENTO="Manual",$M259=1),0,IF(OFFSET(CRONOPLE!$F$14,$M259,BR$13)="",10^12,OFFSET(CRONOPLE!$F$14,$M259,BR$13))))</f>
        <v>1000000000000</v>
      </c>
      <c r="BS259" s="181">
        <f ca="1">IF($D259&lt;&gt;"Serviço",0,IF(AND(AUTOEVENTO="Manual",$M259=1),0,IF(OFFSET(CRONOPLE!$F$14,$M259,BS$13)="",10^12,OFFSET(CRONOPLE!$F$14,$M259,BS$13))))</f>
        <v>1000000000000</v>
      </c>
      <c r="BT259" s="181">
        <f ca="1">IF($D259&lt;&gt;"Serviço",0,IF(AND(AUTOEVENTO="Manual",$M259=1),0,IF(OFFSET(CRONOPLE!$F$14,$M259,BT$13)="",10^12,OFFSET(CRONOPLE!$F$14,$M259,BT$13))))</f>
        <v>1000000000000</v>
      </c>
      <c r="BV259" s="182">
        <f ca="1">IF($D259&lt;&gt;"Serviço",0,IF(OR(AND(AUTOEVENTO="Manual",$M259=1),$M259&gt;(ROW(PLE.lastrow)-ROW(PLE.firstrow))),0,IF(OFFSET(PLE!$G$14,$M259,BV$13)="",10^12,OFFSET(PLE!$G$14,$M259,BV$13))))</f>
        <v>1000000000000</v>
      </c>
      <c r="BW259" s="182">
        <f ca="1">IF($D259&lt;&gt;"Serviço",0,IF(OR(AND(AUTOEVENTO="Manual",$M259=1),$M259&gt;(ROW(PLE.lastrow)-ROW(PLE.firstrow))),0,IF(OFFSET(PLE!$G$14,$M259,BW$13)="",10^12,OFFSET(PLE!$G$14,$M259,BW$13))))</f>
        <v>1000000000000</v>
      </c>
      <c r="BX259" s="182">
        <f ca="1">IF($D259&lt;&gt;"Serviço",0,IF(OR(AND(AUTOEVENTO="Manual",$M259=1),$M259&gt;(ROW(PLE.lastrow)-ROW(PLE.firstrow))),0,IF(OFFSET(PLE!$G$14,$M259,BX$13)="",10^12,OFFSET(PLE!$G$14,$M259,BX$13))))</f>
        <v>1000000000000</v>
      </c>
      <c r="BY259" s="182">
        <f ca="1">IF($D259&lt;&gt;"Serviço",0,IF(OR(AND(AUTOEVENTO="Manual",$M259=1),$M259&gt;(ROW(PLE.lastrow)-ROW(PLE.firstrow))),0,IF(OFFSET(PLE!$G$14,$M259,BY$13)="",10^12,OFFSET(PLE!$G$14,$M259,BY$13))))</f>
        <v>1000000000000</v>
      </c>
      <c r="BZ259" s="182">
        <f ca="1">IF($D259&lt;&gt;"Serviço",0,IF(OR(AND(AUTOEVENTO="Manual",$M259=1),$M259&gt;(ROW(PLE.lastrow)-ROW(PLE.firstrow))),0,IF(OFFSET(PLE!$G$14,$M259,BZ$13)="",10^12,OFFSET(PLE!$G$14,$M259,BZ$13))))</f>
        <v>1000000000000</v>
      </c>
      <c r="CA259" s="182">
        <f ca="1">IF($D259&lt;&gt;"Serviço",0,IF(OR(AND(AUTOEVENTO="Manual",$M259=1),$M259&gt;(ROW(PLE.lastrow)-ROW(PLE.firstrow))),0,IF(OFFSET(PLE!$G$14,$M259,CA$13)="",10^12,OFFSET(PLE!$G$14,$M259,CA$13))))</f>
        <v>1000000000000</v>
      </c>
      <c r="CB259" s="182">
        <f ca="1">IF($D259&lt;&gt;"Serviço",0,IF(OR(AND(AUTOEVENTO="Manual",$M259=1),$M259&gt;(ROW(PLE.lastrow)-ROW(PLE.firstrow))),0,IF(OFFSET(PLE!$G$14,$M259,CB$13)="",10^12,OFFSET(PLE!$G$14,$M259,CB$13))))</f>
        <v>1000000000000</v>
      </c>
      <c r="CC259" s="182">
        <f ca="1">IF($D259&lt;&gt;"Serviço",0,IF(OR(AND(AUTOEVENTO="Manual",$M259=1),$M259&gt;(ROW(PLE.lastrow)-ROW(PLE.firstrow))),0,IF(OFFSET(PLE!$G$14,$M259,CC$13)="",10^12,OFFSET(PLE!$G$14,$M259,CC$13))))</f>
        <v>1000000000000</v>
      </c>
      <c r="CD259" s="182">
        <f ca="1">IF($D259&lt;&gt;"Serviço",0,IF(OR(AND(AUTOEVENTO="Manual",$M259=1),$M259&gt;(ROW(PLE.lastrow)-ROW(PLE.firstrow))),0,IF(OFFSET(PLE!$G$14,$M259,CD$13)="",10^12,OFFSET(PLE!$G$14,$M259,CD$13))))</f>
        <v>1000000000000</v>
      </c>
      <c r="CE259" s="182">
        <f ca="1">IF($D259&lt;&gt;"Serviço",0,IF(OR(AND(AUTOEVENTO="Manual",$M259=1),$M259&gt;(ROW(PLE.lastrow)-ROW(PLE.firstrow))),0,IF(OFFSET(PLE!$G$14,$M259,CE$13)="",10^12,OFFSET(PLE!$G$14,$M259,CE$13))))</f>
        <v>1000000000000</v>
      </c>
      <c r="CF259" s="182">
        <f ca="1">IF($D259&lt;&gt;"Serviço",0,IF(OR(AND(AUTOEVENTO="Manual",$M259=1),$M259&gt;(ROW(PLE.lastrow)-ROW(PLE.firstrow))),0,IF(OFFSET(PLE!$G$14,$M259,CF$13)="",10^12,OFFSET(PLE!$G$14,$M259,CF$13))))</f>
        <v>1000000000000</v>
      </c>
      <c r="CG259" s="182">
        <f ca="1">IF($D259&lt;&gt;"Serviço",0,IF(OR(AND(AUTOEVENTO="Manual",$M259=1),$M259&gt;(ROW(PLE.lastrow)-ROW(PLE.firstrow))),0,IF(OFFSET(PLE!$G$14,$M259,CG$13)="",10^12,OFFSET(PLE!$G$14,$M259,CG$13))))</f>
        <v>1000000000000</v>
      </c>
      <c r="CH259" s="182">
        <f ca="1">IF($D259&lt;&gt;"Serviço",0,IF(OR(AND(AUTOEVENTO="Manual",$M259=1),$M259&gt;(ROW(PLE.lastrow)-ROW(PLE.firstrow))),0,IF(OFFSET(PLE!$G$14,$M259,CH$13)="",10^12,OFFSET(PLE!$G$14,$M259,CH$13))))</f>
        <v>1000000000000</v>
      </c>
      <c r="CI259" s="182">
        <f ca="1">IF($D259&lt;&gt;"Serviço",0,IF(OR(AND(AUTOEVENTO="Manual",$M259=1),$M259&gt;(ROW(PLE.lastrow)-ROW(PLE.firstrow))),0,IF(OFFSET(PLE!$G$14,$M259,CI$13)="",10^12,OFFSET(PLE!$G$14,$M259,CI$13))))</f>
        <v>1000000000000</v>
      </c>
      <c r="CJ259" s="182">
        <f ca="1">IF($D259&lt;&gt;"Serviço",0,IF(OR(AND(AUTOEVENTO="Manual",$M259=1),$M259&gt;(ROW(PLE.lastrow)-ROW(PLE.firstrow))),0,IF(OFFSET(PLE!$G$14,$M259,CJ$13)="",10^12,OFFSET(PLE!$G$14,$M259,CJ$13))))</f>
        <v>1000000000000</v>
      </c>
      <c r="CK259" s="182">
        <f ca="1">IF($D259&lt;&gt;"Serviço",0,IF(OR(AND(AUTOEVENTO="Manual",$M259=1),$M259&gt;(ROW(PLE.lastrow)-ROW(PLE.firstrow))),0,IF(OFFSET(PLE!$G$14,$M259,CK$13)="",10^12,OFFSET(PLE!$G$14,$M259,CK$13))))</f>
        <v>1000000000000</v>
      </c>
      <c r="CL259" s="182">
        <f ca="1">IF($D259&lt;&gt;"Serviço",0,IF(OR(AND(AUTOEVENTO="Manual",$M259=1),$M259&gt;(ROW(PLE.lastrow)-ROW(PLE.firstrow))),0,IF(OFFSET(PLE!$G$14,$M259,CL$13)="",10^12,OFFSET(PLE!$G$14,$M259,CL$13))))</f>
        <v>1000000000000</v>
      </c>
      <c r="CM259" s="182">
        <f ca="1">IF($D259&lt;&gt;"Serviço",0,IF(OR(AND(AUTOEVENTO="Manual",$M259=1),$M259&gt;(ROW(PLE.lastrow)-ROW(PLE.firstrow))),0,IF(OFFSET(PLE!$G$14,$M259,CM$13)="",10^12,OFFSET(PLE!$G$14,$M259,CM$13))))</f>
        <v>1000000000000</v>
      </c>
    </row>
    <row r="260" spans="1:91" ht="38.25" x14ac:dyDescent="0.2">
      <c r="A260" s="7" t="str">
        <f t="shared" ca="1" si="12"/>
        <v>232</v>
      </c>
      <c r="B260" s="7" t="str">
        <f ca="1">OFFSET(ORÇAMENTO!C$15,ROW(B260)-ROW(B$15),0)</f>
        <v>S</v>
      </c>
      <c r="C260" s="7" t="str">
        <f ca="1">OFFSET(ORÇAMENTO!L$15,ROW(C260)-ROW(C$15),0)</f>
        <v/>
      </c>
      <c r="D260" s="118" t="str">
        <f ca="1">OFFSET(ORÇAMENTO!N$15,ROW(D260)-ROW(D$15),0)</f>
        <v>Serviço</v>
      </c>
      <c r="E260" s="119" t="str">
        <f ca="1">OFFSET(ORÇAMENTO!O$15,ROW(E260)-ROW(E$15),0)</f>
        <v>-</v>
      </c>
      <c r="F260" s="172" t="str">
        <f ca="1">OFFSET(ORÇAMENTO!R$15,ROW(F260)-ROW(F$15),0)</f>
        <v>(abra o arquivo 'Referência 06-2024.xlsm)</v>
      </c>
      <c r="G260" s="173" t="str">
        <f ca="1">IF($D260&lt;&gt;"Serviço","",OFFSET(ORÇAMENTO!S$15,ROW(G260)-ROW(G$15),0))</f>
        <v>-</v>
      </c>
      <c r="H260" s="124">
        <f ca="1">IF($D260&lt;&gt;"Serviço",0,IF(ACOMPANHAMENTO="BM",ROUND(OFFSET(ORÇAMENTO!AJ$15,ROW(H260)-ROW(H$15),0),15-13*ORÇAMENTO!$AF$7),SUMPRODUCT(($Q$12:$AI$12&lt;&gt;"")*ROUND($Q260:$AI260,15-13*ORÇAMENTO!$AF$7))))</f>
        <v>24</v>
      </c>
      <c r="I260" s="561" t="s">
        <v>1107</v>
      </c>
      <c r="K260" s="174"/>
      <c r="L260" s="175" t="s">
        <v>255</v>
      </c>
      <c r="M260" s="176">
        <f ca="1">IF($D260&lt;&gt;"Serviço","",IF(AUTOEVENTO="manual",$A260,IF(ISERROR(MATCH($A260,$A$15:OFFSET($A260,-1,0),0)),MAX($M$15:OFFSET(M260,-1,0))+1,INDEX($M$15:OFFSET(M260,-1,0),MATCH($A260,$A$15:OFFSET($A260,-1,0),0)))))</f>
        <v>35</v>
      </c>
      <c r="N260" s="177" t="str">
        <f ca="1">IF($D260&lt;&gt;"Serviço","",IF(AUTOEVENTO="Manual",IF($A260=0,"&lt;-- defina o número do agrupador",OFFSET(EVENTOS!$D$14,$A260,0)),OFFSET($F$15,$A260,0)))</f>
        <v>INSTALAÇÃO HIDRÁULICA - TUBULAÇÕES E CONEXÕES DE PVC RÍGIDO</v>
      </c>
      <c r="O260" s="178"/>
      <c r="Q260" s="178">
        <v>24</v>
      </c>
      <c r="R260" s="179"/>
      <c r="S260" s="179"/>
      <c r="T260" s="179"/>
      <c r="U260" s="179"/>
      <c r="V260" s="179"/>
      <c r="W260" s="179"/>
      <c r="X260" s="179"/>
      <c r="Y260" s="179"/>
      <c r="Z260" s="180"/>
      <c r="AA260" s="179"/>
      <c r="AB260" s="179"/>
      <c r="AC260" s="179"/>
      <c r="AD260" s="179"/>
      <c r="AE260" s="179"/>
      <c r="AF260" s="179"/>
      <c r="AG260" s="179"/>
      <c r="AH260" s="180"/>
      <c r="AJ260" s="544">
        <f ca="1">IF(AND($D260="Serviço",AJ$12&lt;&gt;0,$H260&gt;0,OR(AUTOEVENTO&lt;&gt;"manual",$M260&lt;&gt;1)),
IF(Import.TipoArredondamento&lt;&gt;"TransfereGOV",
ROUND(OFFSET($P260,0,AJ$13),15-13*ORÇAMENTO!$AF$7)/$H260*OFFSET(ORÇAMENTO!$X$15,ROW(AJ260)-ROW(AJ$15),0),
ROUND(ROUND(OFFSET($P260,0,AJ$13),15-13*ORÇAMENTO!$AF$7)*OFFSET(ORÇAMENTO!$W$15,ROW(AJ260)-ROW(AJ$15),0),15-13*ORÇAMENTO!$AF$11)),0)</f>
        <v>0</v>
      </c>
      <c r="AK260" s="545">
        <f ca="1">IF(AND($D260="Serviço",AK$12&lt;&gt;0,$H260&gt;0,OR(AUTOEVENTO&lt;&gt;"manual",$M260&lt;&gt;1)),
IF(Import.TipoArredondamento&lt;&gt;"TransfereGOV",
ROUND(OFFSET($P260,0,AK$13),15-13*ORÇAMENTO!$AF$7)/$H260*OFFSET(ORÇAMENTO!$X$15,ROW(AK260)-ROW(AK$15),0),
ROUND(ROUND(OFFSET($P260,0,AK$13),15-13*ORÇAMENTO!$AF$7)*OFFSET(ORÇAMENTO!$W$15,ROW(AK260)-ROW(AK$15),0),15-13*ORÇAMENTO!$AF$11)),0)</f>
        <v>0</v>
      </c>
      <c r="AL260" s="545">
        <f ca="1">IF(AND($D260="Serviço",AL$12&lt;&gt;0,$H260&gt;0,OR(AUTOEVENTO&lt;&gt;"manual",$M260&lt;&gt;1)),
IF(Import.TipoArredondamento&lt;&gt;"TransfereGOV",
ROUND(OFFSET($P260,0,AL$13),15-13*ORÇAMENTO!$AF$7)/$H260*OFFSET(ORÇAMENTO!$X$15,ROW(AL260)-ROW(AL$15),0),
ROUND(ROUND(OFFSET($P260,0,AL$13),15-13*ORÇAMENTO!$AF$7)*OFFSET(ORÇAMENTO!$W$15,ROW(AL260)-ROW(AL$15),0),15-13*ORÇAMENTO!$AF$11)),0)</f>
        <v>0</v>
      </c>
      <c r="AM260" s="545">
        <f ca="1">IF(AND($D260="Serviço",AM$12&lt;&gt;0,$H260&gt;0,OR(AUTOEVENTO&lt;&gt;"manual",$M260&lt;&gt;1)),
IF(Import.TipoArredondamento&lt;&gt;"TransfereGOV",
ROUND(OFFSET($P260,0,AM$13),15-13*ORÇAMENTO!$AF$7)/$H260*OFFSET(ORÇAMENTO!$X$15,ROW(AM260)-ROW(AM$15),0),
ROUND(ROUND(OFFSET($P260,0,AM$13),15-13*ORÇAMENTO!$AF$7)*OFFSET(ORÇAMENTO!$W$15,ROW(AM260)-ROW(AM$15),0),15-13*ORÇAMENTO!$AF$11)),0)</f>
        <v>0</v>
      </c>
      <c r="AN260" s="545">
        <f ca="1">IF(AND($D260="Serviço",AN$12&lt;&gt;0,$H260&gt;0,OR(AUTOEVENTO&lt;&gt;"manual",$M260&lt;&gt;1)),
IF(Import.TipoArredondamento&lt;&gt;"TransfereGOV",
ROUND(OFFSET($P260,0,AN$13),15-13*ORÇAMENTO!$AF$7)/$H260*OFFSET(ORÇAMENTO!$X$15,ROW(AN260)-ROW(AN$15),0),
ROUND(ROUND(OFFSET($P260,0,AN$13),15-13*ORÇAMENTO!$AF$7)*OFFSET(ORÇAMENTO!$W$15,ROW(AN260)-ROW(AN$15),0),15-13*ORÇAMENTO!$AF$11)),0)</f>
        <v>0</v>
      </c>
      <c r="AO260" s="545">
        <f ca="1">IF(AND($D260="Serviço",AO$12&lt;&gt;0,$H260&gt;0,OR(AUTOEVENTO&lt;&gt;"manual",$M260&lt;&gt;1)),
IF(Import.TipoArredondamento&lt;&gt;"TransfereGOV",
ROUND(OFFSET($P260,0,AO$13),15-13*ORÇAMENTO!$AF$7)/$H260*OFFSET(ORÇAMENTO!$X$15,ROW(AO260)-ROW(AO$15),0),
ROUND(ROUND(OFFSET($P260,0,AO$13),15-13*ORÇAMENTO!$AF$7)*OFFSET(ORÇAMENTO!$W$15,ROW(AO260)-ROW(AO$15),0),15-13*ORÇAMENTO!$AF$11)),0)</f>
        <v>0</v>
      </c>
      <c r="AP260" s="545">
        <f ca="1">IF(AND($D260="Serviço",AP$12&lt;&gt;0,$H260&gt;0,OR(AUTOEVENTO&lt;&gt;"manual",$M260&lt;&gt;1)),
IF(Import.TipoArredondamento&lt;&gt;"TransfereGOV",
ROUND(OFFSET($P260,0,AP$13),15-13*ORÇAMENTO!$AF$7)/$H260*OFFSET(ORÇAMENTO!$X$15,ROW(AP260)-ROW(AP$15),0),
ROUND(ROUND(OFFSET($P260,0,AP$13),15-13*ORÇAMENTO!$AF$7)*OFFSET(ORÇAMENTO!$W$15,ROW(AP260)-ROW(AP$15),0),15-13*ORÇAMENTO!$AF$11)),0)</f>
        <v>0</v>
      </c>
      <c r="AQ260" s="545">
        <f ca="1">IF(AND($D260="Serviço",AQ$12&lt;&gt;0,$H260&gt;0,OR(AUTOEVENTO&lt;&gt;"manual",$M260&lt;&gt;1)),
IF(Import.TipoArredondamento&lt;&gt;"TransfereGOV",
ROUND(OFFSET($P260,0,AQ$13),15-13*ORÇAMENTO!$AF$7)/$H260*OFFSET(ORÇAMENTO!$X$15,ROW(AQ260)-ROW(AQ$15),0),
ROUND(ROUND(OFFSET($P260,0,AQ$13),15-13*ORÇAMENTO!$AF$7)*OFFSET(ORÇAMENTO!$W$15,ROW(AQ260)-ROW(AQ$15),0),15-13*ORÇAMENTO!$AF$11)),0)</f>
        <v>0</v>
      </c>
      <c r="AR260" s="545">
        <f ca="1">IF(AND($D260="Serviço",AR$12&lt;&gt;0,$H260&gt;0,OR(AUTOEVENTO&lt;&gt;"manual",$M260&lt;&gt;1)),
IF(Import.TipoArredondamento&lt;&gt;"TransfereGOV",
ROUND(OFFSET($P260,0,AR$13),15-13*ORÇAMENTO!$AF$7)/$H260*OFFSET(ORÇAMENTO!$X$15,ROW(AR260)-ROW(AR$15),0),
ROUND(ROUND(OFFSET($P260,0,AR$13),15-13*ORÇAMENTO!$AF$7)*OFFSET(ORÇAMENTO!$W$15,ROW(AR260)-ROW(AR$15),0),15-13*ORÇAMENTO!$AF$11)),0)</f>
        <v>0</v>
      </c>
      <c r="AS260" s="546">
        <f ca="1">IF(AND($D260="Serviço",AS$12&lt;&gt;0,$H260&gt;0,OR(AUTOEVENTO&lt;&gt;"manual",$M260&lt;&gt;1)),
IF(Import.TipoArredondamento&lt;&gt;"TransfereGOV",
ROUND(OFFSET($P260,0,AS$13),15-13*ORÇAMENTO!$AF$7)/$H260*OFFSET(ORÇAMENTO!$X$15,ROW(AS260)-ROW(AS$15),0),
ROUND(ROUND(OFFSET($P260,0,AS$13),15-13*ORÇAMENTO!$AF$7)*OFFSET(ORÇAMENTO!$W$15,ROW(AS260)-ROW(AS$15),0),15-13*ORÇAMENTO!$AF$11)),0)</f>
        <v>0</v>
      </c>
      <c r="AT260" s="545">
        <f ca="1">IF(AND($D260="Serviço",AT$12&lt;&gt;0,$H260&gt;0,OR(AUTOEVENTO&lt;&gt;"manual",$M260&lt;&gt;1)),
IF(Import.TipoArredondamento&lt;&gt;"TransfereGOV",
ROUND(OFFSET($P260,0,AT$13),15-13*ORÇAMENTO!$AF$7)/$H260*OFFSET(ORÇAMENTO!$X$15,ROW(AT260)-ROW(AT$15),0),
ROUND(ROUND(OFFSET($P260,0,AT$13),15-13*ORÇAMENTO!$AF$7)*OFFSET(ORÇAMENTO!$W$15,ROW(AT260)-ROW(AT$15),0),15-13*ORÇAMENTO!$AF$11)),0)</f>
        <v>0</v>
      </c>
      <c r="AU260" s="545">
        <f ca="1">IF(AND($D260="Serviço",AU$12&lt;&gt;0,$H260&gt;0,OR(AUTOEVENTO&lt;&gt;"manual",$M260&lt;&gt;1)),
IF(Import.TipoArredondamento&lt;&gt;"TransfereGOV",
ROUND(OFFSET($P260,0,AU$13),15-13*ORÇAMENTO!$AF$7)/$H260*OFFSET(ORÇAMENTO!$X$15,ROW(AU260)-ROW(AU$15),0),
ROUND(ROUND(OFFSET($P260,0,AU$13),15-13*ORÇAMENTO!$AF$7)*OFFSET(ORÇAMENTO!$W$15,ROW(AU260)-ROW(AU$15),0),15-13*ORÇAMENTO!$AF$11)),0)</f>
        <v>0</v>
      </c>
      <c r="AV260" s="545">
        <f ca="1">IF(AND($D260="Serviço",AV$12&lt;&gt;0,$H260&gt;0,OR(AUTOEVENTO&lt;&gt;"manual",$M260&lt;&gt;1)),
IF(Import.TipoArredondamento&lt;&gt;"TransfereGOV",
ROUND(OFFSET($P260,0,AV$13),15-13*ORÇAMENTO!$AF$7)/$H260*OFFSET(ORÇAMENTO!$X$15,ROW(AV260)-ROW(AV$15),0),
ROUND(ROUND(OFFSET($P260,0,AV$13),15-13*ORÇAMENTO!$AF$7)*OFFSET(ORÇAMENTO!$W$15,ROW(AV260)-ROW(AV$15),0),15-13*ORÇAMENTO!$AF$11)),0)</f>
        <v>0</v>
      </c>
      <c r="AW260" s="545">
        <f ca="1">IF(AND($D260="Serviço",AW$12&lt;&gt;0,$H260&gt;0,OR(AUTOEVENTO&lt;&gt;"manual",$M260&lt;&gt;1)),
IF(Import.TipoArredondamento&lt;&gt;"TransfereGOV",
ROUND(OFFSET($P260,0,AW$13),15-13*ORÇAMENTO!$AF$7)/$H260*OFFSET(ORÇAMENTO!$X$15,ROW(AW260)-ROW(AW$15),0),
ROUND(ROUND(OFFSET($P260,0,AW$13),15-13*ORÇAMENTO!$AF$7)*OFFSET(ORÇAMENTO!$W$15,ROW(AW260)-ROW(AW$15),0),15-13*ORÇAMENTO!$AF$11)),0)</f>
        <v>0</v>
      </c>
      <c r="AX260" s="545">
        <f ca="1">IF(AND($D260="Serviço",AX$12&lt;&gt;0,$H260&gt;0,OR(AUTOEVENTO&lt;&gt;"manual",$M260&lt;&gt;1)),
IF(Import.TipoArredondamento&lt;&gt;"TransfereGOV",
ROUND(OFFSET($P260,0,AX$13),15-13*ORÇAMENTO!$AF$7)/$H260*OFFSET(ORÇAMENTO!$X$15,ROW(AX260)-ROW(AX$15),0),
ROUND(ROUND(OFFSET($P260,0,AX$13),15-13*ORÇAMENTO!$AF$7)*OFFSET(ORÇAMENTO!$W$15,ROW(AX260)-ROW(AX$15),0),15-13*ORÇAMENTO!$AF$11)),0)</f>
        <v>0</v>
      </c>
      <c r="AY260" s="545">
        <f ca="1">IF(AND($D260="Serviço",AY$12&lt;&gt;0,$H260&gt;0,OR(AUTOEVENTO&lt;&gt;"manual",$M260&lt;&gt;1)),
IF(Import.TipoArredondamento&lt;&gt;"TransfereGOV",
ROUND(OFFSET($P260,0,AY$13),15-13*ORÇAMENTO!$AF$7)/$H260*OFFSET(ORÇAMENTO!$X$15,ROW(AY260)-ROW(AY$15),0),
ROUND(ROUND(OFFSET($P260,0,AY$13),15-13*ORÇAMENTO!$AF$7)*OFFSET(ORÇAMENTO!$W$15,ROW(AY260)-ROW(AY$15),0),15-13*ORÇAMENTO!$AF$11)),0)</f>
        <v>0</v>
      </c>
      <c r="AZ260" s="545">
        <f ca="1">IF(AND($D260="Serviço",AZ$12&lt;&gt;0,$H260&gt;0,OR(AUTOEVENTO&lt;&gt;"manual",$M260&lt;&gt;1)),
IF(Import.TipoArredondamento&lt;&gt;"TransfereGOV",
ROUND(OFFSET($P260,0,AZ$13),15-13*ORÇAMENTO!$AF$7)/$H260*OFFSET(ORÇAMENTO!$X$15,ROW(AZ260)-ROW(AZ$15),0),
ROUND(ROUND(OFFSET($P260,0,AZ$13),15-13*ORÇAMENTO!$AF$7)*OFFSET(ORÇAMENTO!$W$15,ROW(AZ260)-ROW(AZ$15),0),15-13*ORÇAMENTO!$AF$11)),0)</f>
        <v>0</v>
      </c>
      <c r="BA260" s="546">
        <f ca="1">IF(AND($D260="Serviço",BA$12&lt;&gt;0,$H260&gt;0,OR(AUTOEVENTO&lt;&gt;"manual",$M260&lt;&gt;1)),
IF(Import.TipoArredondamento&lt;&gt;"TransfereGOV",
ROUND(OFFSET($P260,0,BA$13),15-13*ORÇAMENTO!$AF$7)/$H260*OFFSET(ORÇAMENTO!$X$15,ROW(BA260)-ROW(BA$15),0),
ROUND(ROUND(OFFSET($P260,0,BA$13),15-13*ORÇAMENTO!$AF$7)*OFFSET(ORÇAMENTO!$W$15,ROW(BA260)-ROW(BA$15),0),15-13*ORÇAMENTO!$AF$11)),0)</f>
        <v>0</v>
      </c>
      <c r="BC260" s="181">
        <f ca="1">IF($D260&lt;&gt;"Serviço",0,IF(AND(AUTOEVENTO="Manual",$M260=1),0,IF(OFFSET(CRONOPLE!$F$14,$M260,BC$13)="",10^12,OFFSET(CRONOPLE!$F$14,$M260,BC$13))))</f>
        <v>9</v>
      </c>
      <c r="BD260" s="181">
        <f ca="1">IF($D260&lt;&gt;"Serviço",0,IF(AND(AUTOEVENTO="Manual",$M260=1),0,IF(OFFSET(CRONOPLE!$F$14,$M260,BD$13)="",10^12,OFFSET(CRONOPLE!$F$14,$M260,BD$13))))</f>
        <v>1000000000000</v>
      </c>
      <c r="BE260" s="181">
        <f ca="1">IF($D260&lt;&gt;"Serviço",0,IF(AND(AUTOEVENTO="Manual",$M260=1),0,IF(OFFSET(CRONOPLE!$F$14,$M260,BE$13)="",10^12,OFFSET(CRONOPLE!$F$14,$M260,BE$13))))</f>
        <v>1000000000000</v>
      </c>
      <c r="BF260" s="181">
        <f ca="1">IF($D260&lt;&gt;"Serviço",0,IF(AND(AUTOEVENTO="Manual",$M260=1),0,IF(OFFSET(CRONOPLE!$F$14,$M260,BF$13)="",10^12,OFFSET(CRONOPLE!$F$14,$M260,BF$13))))</f>
        <v>1000000000000</v>
      </c>
      <c r="BG260" s="181">
        <f ca="1">IF($D260&lt;&gt;"Serviço",0,IF(AND(AUTOEVENTO="Manual",$M260=1),0,IF(OFFSET(CRONOPLE!$F$14,$M260,BG$13)="",10^12,OFFSET(CRONOPLE!$F$14,$M260,BG$13))))</f>
        <v>1000000000000</v>
      </c>
      <c r="BH260" s="181">
        <f ca="1">IF($D260&lt;&gt;"Serviço",0,IF(AND(AUTOEVENTO="Manual",$M260=1),0,IF(OFFSET(CRONOPLE!$F$14,$M260,BH$13)="",10^12,OFFSET(CRONOPLE!$F$14,$M260,BH$13))))</f>
        <v>1000000000000</v>
      </c>
      <c r="BI260" s="181">
        <f ca="1">IF($D260&lt;&gt;"Serviço",0,IF(AND(AUTOEVENTO="Manual",$M260=1),0,IF(OFFSET(CRONOPLE!$F$14,$M260,BI$13)="",10^12,OFFSET(CRONOPLE!$F$14,$M260,BI$13))))</f>
        <v>1000000000000</v>
      </c>
      <c r="BJ260" s="181">
        <f ca="1">IF($D260&lt;&gt;"Serviço",0,IF(AND(AUTOEVENTO="Manual",$M260=1),0,IF(OFFSET(CRONOPLE!$F$14,$M260,BJ$13)="",10^12,OFFSET(CRONOPLE!$F$14,$M260,BJ$13))))</f>
        <v>1000000000000</v>
      </c>
      <c r="BK260" s="181">
        <f ca="1">IF($D260&lt;&gt;"Serviço",0,IF(AND(AUTOEVENTO="Manual",$M260=1),0,IF(OFFSET(CRONOPLE!$F$14,$M260,BK$13)="",10^12,OFFSET(CRONOPLE!$F$14,$M260,BK$13))))</f>
        <v>1000000000000</v>
      </c>
      <c r="BL260" s="181">
        <f ca="1">IF($D260&lt;&gt;"Serviço",0,IF(AND(AUTOEVENTO="Manual",$M260=1),0,IF(OFFSET(CRONOPLE!$F$14,$M260,BL$13)="",10^12,OFFSET(CRONOPLE!$F$14,$M260,BL$13))))</f>
        <v>1000000000000</v>
      </c>
      <c r="BM260" s="181">
        <f ca="1">IF($D260&lt;&gt;"Serviço",0,IF(AND(AUTOEVENTO="Manual",$M260=1),0,IF(OFFSET(CRONOPLE!$F$14,$M260,BM$13)="",10^12,OFFSET(CRONOPLE!$F$14,$M260,BM$13))))</f>
        <v>1000000000000</v>
      </c>
      <c r="BN260" s="181">
        <f ca="1">IF($D260&lt;&gt;"Serviço",0,IF(AND(AUTOEVENTO="Manual",$M260=1),0,IF(OFFSET(CRONOPLE!$F$14,$M260,BN$13)="",10^12,OFFSET(CRONOPLE!$F$14,$M260,BN$13))))</f>
        <v>1000000000000</v>
      </c>
      <c r="BO260" s="181">
        <f ca="1">IF($D260&lt;&gt;"Serviço",0,IF(AND(AUTOEVENTO="Manual",$M260=1),0,IF(OFFSET(CRONOPLE!$F$14,$M260,BO$13)="",10^12,OFFSET(CRONOPLE!$F$14,$M260,BO$13))))</f>
        <v>1000000000000</v>
      </c>
      <c r="BP260" s="181">
        <f ca="1">IF($D260&lt;&gt;"Serviço",0,IF(AND(AUTOEVENTO="Manual",$M260=1),0,IF(OFFSET(CRONOPLE!$F$14,$M260,BP$13)="",10^12,OFFSET(CRONOPLE!$F$14,$M260,BP$13))))</f>
        <v>1000000000000</v>
      </c>
      <c r="BQ260" s="181">
        <f ca="1">IF($D260&lt;&gt;"Serviço",0,IF(AND(AUTOEVENTO="Manual",$M260=1),0,IF(OFFSET(CRONOPLE!$F$14,$M260,BQ$13)="",10^12,OFFSET(CRONOPLE!$F$14,$M260,BQ$13))))</f>
        <v>1000000000000</v>
      </c>
      <c r="BR260" s="181">
        <f ca="1">IF($D260&lt;&gt;"Serviço",0,IF(AND(AUTOEVENTO="Manual",$M260=1),0,IF(OFFSET(CRONOPLE!$F$14,$M260,BR$13)="",10^12,OFFSET(CRONOPLE!$F$14,$M260,BR$13))))</f>
        <v>1000000000000</v>
      </c>
      <c r="BS260" s="181">
        <f ca="1">IF($D260&lt;&gt;"Serviço",0,IF(AND(AUTOEVENTO="Manual",$M260=1),0,IF(OFFSET(CRONOPLE!$F$14,$M260,BS$13)="",10^12,OFFSET(CRONOPLE!$F$14,$M260,BS$13))))</f>
        <v>1000000000000</v>
      </c>
      <c r="BT260" s="181">
        <f ca="1">IF($D260&lt;&gt;"Serviço",0,IF(AND(AUTOEVENTO="Manual",$M260=1),0,IF(OFFSET(CRONOPLE!$F$14,$M260,BT$13)="",10^12,OFFSET(CRONOPLE!$F$14,$M260,BT$13))))</f>
        <v>1000000000000</v>
      </c>
      <c r="BV260" s="182">
        <f ca="1">IF($D260&lt;&gt;"Serviço",0,IF(OR(AND(AUTOEVENTO="Manual",$M260=1),$M260&gt;(ROW(PLE.lastrow)-ROW(PLE.firstrow))),0,IF(OFFSET(PLE!$G$14,$M260,BV$13)="",10^12,OFFSET(PLE!$G$14,$M260,BV$13))))</f>
        <v>1000000000000</v>
      </c>
      <c r="BW260" s="182">
        <f ca="1">IF($D260&lt;&gt;"Serviço",0,IF(OR(AND(AUTOEVENTO="Manual",$M260=1),$M260&gt;(ROW(PLE.lastrow)-ROW(PLE.firstrow))),0,IF(OFFSET(PLE!$G$14,$M260,BW$13)="",10^12,OFFSET(PLE!$G$14,$M260,BW$13))))</f>
        <v>1000000000000</v>
      </c>
      <c r="BX260" s="182">
        <f ca="1">IF($D260&lt;&gt;"Serviço",0,IF(OR(AND(AUTOEVENTO="Manual",$M260=1),$M260&gt;(ROW(PLE.lastrow)-ROW(PLE.firstrow))),0,IF(OFFSET(PLE!$G$14,$M260,BX$13)="",10^12,OFFSET(PLE!$G$14,$M260,BX$13))))</f>
        <v>1000000000000</v>
      </c>
      <c r="BY260" s="182">
        <f ca="1">IF($D260&lt;&gt;"Serviço",0,IF(OR(AND(AUTOEVENTO="Manual",$M260=1),$M260&gt;(ROW(PLE.lastrow)-ROW(PLE.firstrow))),0,IF(OFFSET(PLE!$G$14,$M260,BY$13)="",10^12,OFFSET(PLE!$G$14,$M260,BY$13))))</f>
        <v>1000000000000</v>
      </c>
      <c r="BZ260" s="182">
        <f ca="1">IF($D260&lt;&gt;"Serviço",0,IF(OR(AND(AUTOEVENTO="Manual",$M260=1),$M260&gt;(ROW(PLE.lastrow)-ROW(PLE.firstrow))),0,IF(OFFSET(PLE!$G$14,$M260,BZ$13)="",10^12,OFFSET(PLE!$G$14,$M260,BZ$13))))</f>
        <v>1000000000000</v>
      </c>
      <c r="CA260" s="182">
        <f ca="1">IF($D260&lt;&gt;"Serviço",0,IF(OR(AND(AUTOEVENTO="Manual",$M260=1),$M260&gt;(ROW(PLE.lastrow)-ROW(PLE.firstrow))),0,IF(OFFSET(PLE!$G$14,$M260,CA$13)="",10^12,OFFSET(PLE!$G$14,$M260,CA$13))))</f>
        <v>1000000000000</v>
      </c>
      <c r="CB260" s="182">
        <f ca="1">IF($D260&lt;&gt;"Serviço",0,IF(OR(AND(AUTOEVENTO="Manual",$M260=1),$M260&gt;(ROW(PLE.lastrow)-ROW(PLE.firstrow))),0,IF(OFFSET(PLE!$G$14,$M260,CB$13)="",10^12,OFFSET(PLE!$G$14,$M260,CB$13))))</f>
        <v>1000000000000</v>
      </c>
      <c r="CC260" s="182">
        <f ca="1">IF($D260&lt;&gt;"Serviço",0,IF(OR(AND(AUTOEVENTO="Manual",$M260=1),$M260&gt;(ROW(PLE.lastrow)-ROW(PLE.firstrow))),0,IF(OFFSET(PLE!$G$14,$M260,CC$13)="",10^12,OFFSET(PLE!$G$14,$M260,CC$13))))</f>
        <v>1000000000000</v>
      </c>
      <c r="CD260" s="182">
        <f ca="1">IF($D260&lt;&gt;"Serviço",0,IF(OR(AND(AUTOEVENTO="Manual",$M260=1),$M260&gt;(ROW(PLE.lastrow)-ROW(PLE.firstrow))),0,IF(OFFSET(PLE!$G$14,$M260,CD$13)="",10^12,OFFSET(PLE!$G$14,$M260,CD$13))))</f>
        <v>1000000000000</v>
      </c>
      <c r="CE260" s="182">
        <f ca="1">IF($D260&lt;&gt;"Serviço",0,IF(OR(AND(AUTOEVENTO="Manual",$M260=1),$M260&gt;(ROW(PLE.lastrow)-ROW(PLE.firstrow))),0,IF(OFFSET(PLE!$G$14,$M260,CE$13)="",10^12,OFFSET(PLE!$G$14,$M260,CE$13))))</f>
        <v>1000000000000</v>
      </c>
      <c r="CF260" s="182">
        <f ca="1">IF($D260&lt;&gt;"Serviço",0,IF(OR(AND(AUTOEVENTO="Manual",$M260=1),$M260&gt;(ROW(PLE.lastrow)-ROW(PLE.firstrow))),0,IF(OFFSET(PLE!$G$14,$M260,CF$13)="",10^12,OFFSET(PLE!$G$14,$M260,CF$13))))</f>
        <v>1000000000000</v>
      </c>
      <c r="CG260" s="182">
        <f ca="1">IF($D260&lt;&gt;"Serviço",0,IF(OR(AND(AUTOEVENTO="Manual",$M260=1),$M260&gt;(ROW(PLE.lastrow)-ROW(PLE.firstrow))),0,IF(OFFSET(PLE!$G$14,$M260,CG$13)="",10^12,OFFSET(PLE!$G$14,$M260,CG$13))))</f>
        <v>1000000000000</v>
      </c>
      <c r="CH260" s="182">
        <f ca="1">IF($D260&lt;&gt;"Serviço",0,IF(OR(AND(AUTOEVENTO="Manual",$M260=1),$M260&gt;(ROW(PLE.lastrow)-ROW(PLE.firstrow))),0,IF(OFFSET(PLE!$G$14,$M260,CH$13)="",10^12,OFFSET(PLE!$G$14,$M260,CH$13))))</f>
        <v>1000000000000</v>
      </c>
      <c r="CI260" s="182">
        <f ca="1">IF($D260&lt;&gt;"Serviço",0,IF(OR(AND(AUTOEVENTO="Manual",$M260=1),$M260&gt;(ROW(PLE.lastrow)-ROW(PLE.firstrow))),0,IF(OFFSET(PLE!$G$14,$M260,CI$13)="",10^12,OFFSET(PLE!$G$14,$M260,CI$13))))</f>
        <v>1000000000000</v>
      </c>
      <c r="CJ260" s="182">
        <f ca="1">IF($D260&lt;&gt;"Serviço",0,IF(OR(AND(AUTOEVENTO="Manual",$M260=1),$M260&gt;(ROW(PLE.lastrow)-ROW(PLE.firstrow))),0,IF(OFFSET(PLE!$G$14,$M260,CJ$13)="",10^12,OFFSET(PLE!$G$14,$M260,CJ$13))))</f>
        <v>1000000000000</v>
      </c>
      <c r="CK260" s="182">
        <f ca="1">IF($D260&lt;&gt;"Serviço",0,IF(OR(AND(AUTOEVENTO="Manual",$M260=1),$M260&gt;(ROW(PLE.lastrow)-ROW(PLE.firstrow))),0,IF(OFFSET(PLE!$G$14,$M260,CK$13)="",10^12,OFFSET(PLE!$G$14,$M260,CK$13))))</f>
        <v>1000000000000</v>
      </c>
      <c r="CL260" s="182">
        <f ca="1">IF($D260&lt;&gt;"Serviço",0,IF(OR(AND(AUTOEVENTO="Manual",$M260=1),$M260&gt;(ROW(PLE.lastrow)-ROW(PLE.firstrow))),0,IF(OFFSET(PLE!$G$14,$M260,CL$13)="",10^12,OFFSET(PLE!$G$14,$M260,CL$13))))</f>
        <v>1000000000000</v>
      </c>
      <c r="CM260" s="182">
        <f ca="1">IF($D260&lt;&gt;"Serviço",0,IF(OR(AND(AUTOEVENTO="Manual",$M260=1),$M260&gt;(ROW(PLE.lastrow)-ROW(PLE.firstrow))),0,IF(OFFSET(PLE!$G$14,$M260,CM$13)="",10^12,OFFSET(PLE!$G$14,$M260,CM$13))))</f>
        <v>1000000000000</v>
      </c>
    </row>
    <row r="261" spans="1:91" ht="38.25" x14ac:dyDescent="0.2">
      <c r="A261" s="7" t="str">
        <f t="shared" ca="1" si="12"/>
        <v>232</v>
      </c>
      <c r="B261" s="7" t="str">
        <f ca="1">OFFSET(ORÇAMENTO!C$15,ROW(B261)-ROW(B$15),0)</f>
        <v>S</v>
      </c>
      <c r="C261" s="7" t="str">
        <f ca="1">OFFSET(ORÇAMENTO!L$15,ROW(C261)-ROW(C$15),0)</f>
        <v/>
      </c>
      <c r="D261" s="118" t="str">
        <f ca="1">OFFSET(ORÇAMENTO!N$15,ROW(D261)-ROW(D$15),0)</f>
        <v>Serviço</v>
      </c>
      <c r="E261" s="119" t="str">
        <f ca="1">OFFSET(ORÇAMENTO!O$15,ROW(E261)-ROW(E$15),0)</f>
        <v>-</v>
      </c>
      <c r="F261" s="172" t="str">
        <f ca="1">OFFSET(ORÇAMENTO!R$15,ROW(F261)-ROW(F$15),0)</f>
        <v>(abra o arquivo 'Referência 06-2024.xlsm)</v>
      </c>
      <c r="G261" s="173" t="str">
        <f ca="1">IF($D261&lt;&gt;"Serviço","",OFFSET(ORÇAMENTO!S$15,ROW(G261)-ROW(G$15),0))</f>
        <v>-</v>
      </c>
      <c r="H261" s="124">
        <f ca="1">IF($D261&lt;&gt;"Serviço",0,IF(ACOMPANHAMENTO="BM",ROUND(OFFSET(ORÇAMENTO!AJ$15,ROW(H261)-ROW(H$15),0),15-13*ORÇAMENTO!$AF$7),SUMPRODUCT(($Q$12:$AI$12&lt;&gt;"")*ROUND($Q261:$AI261,15-13*ORÇAMENTO!$AF$7))))</f>
        <v>4</v>
      </c>
      <c r="I261" s="561" t="s">
        <v>1107</v>
      </c>
      <c r="K261" s="174"/>
      <c r="L261" s="175" t="s">
        <v>255</v>
      </c>
      <c r="M261" s="176">
        <f ca="1">IF($D261&lt;&gt;"Serviço","",IF(AUTOEVENTO="manual",$A261,IF(ISERROR(MATCH($A261,$A$15:OFFSET($A261,-1,0),0)),MAX($M$15:OFFSET(M261,-1,0))+1,INDEX($M$15:OFFSET(M261,-1,0),MATCH($A261,$A$15:OFFSET($A261,-1,0),0)))))</f>
        <v>35</v>
      </c>
      <c r="N261" s="177" t="str">
        <f ca="1">IF($D261&lt;&gt;"Serviço","",IF(AUTOEVENTO="Manual",IF($A261=0,"&lt;-- defina o número do agrupador",OFFSET(EVENTOS!$D$14,$A261,0)),OFFSET($F$15,$A261,0)))</f>
        <v>INSTALAÇÃO HIDRÁULICA - TUBULAÇÕES E CONEXÕES DE PVC RÍGIDO</v>
      </c>
      <c r="O261" s="178"/>
      <c r="Q261" s="178">
        <v>4</v>
      </c>
      <c r="R261" s="179"/>
      <c r="S261" s="179"/>
      <c r="T261" s="179"/>
      <c r="U261" s="179"/>
      <c r="V261" s="179"/>
      <c r="W261" s="179"/>
      <c r="X261" s="179"/>
      <c r="Y261" s="179"/>
      <c r="Z261" s="180"/>
      <c r="AA261" s="179"/>
      <c r="AB261" s="179"/>
      <c r="AC261" s="179"/>
      <c r="AD261" s="179"/>
      <c r="AE261" s="179"/>
      <c r="AF261" s="179"/>
      <c r="AG261" s="179"/>
      <c r="AH261" s="180"/>
      <c r="AJ261" s="544">
        <f ca="1">IF(AND($D261="Serviço",AJ$12&lt;&gt;0,$H261&gt;0,OR(AUTOEVENTO&lt;&gt;"manual",$M261&lt;&gt;1)),
IF(Import.TipoArredondamento&lt;&gt;"TransfereGOV",
ROUND(OFFSET($P261,0,AJ$13),15-13*ORÇAMENTO!$AF$7)/$H261*OFFSET(ORÇAMENTO!$X$15,ROW(AJ261)-ROW(AJ$15),0),
ROUND(ROUND(OFFSET($P261,0,AJ$13),15-13*ORÇAMENTO!$AF$7)*OFFSET(ORÇAMENTO!$W$15,ROW(AJ261)-ROW(AJ$15),0),15-13*ORÇAMENTO!$AF$11)),0)</f>
        <v>0</v>
      </c>
      <c r="AK261" s="545">
        <f ca="1">IF(AND($D261="Serviço",AK$12&lt;&gt;0,$H261&gt;0,OR(AUTOEVENTO&lt;&gt;"manual",$M261&lt;&gt;1)),
IF(Import.TipoArredondamento&lt;&gt;"TransfereGOV",
ROUND(OFFSET($P261,0,AK$13),15-13*ORÇAMENTO!$AF$7)/$H261*OFFSET(ORÇAMENTO!$X$15,ROW(AK261)-ROW(AK$15),0),
ROUND(ROUND(OFFSET($P261,0,AK$13),15-13*ORÇAMENTO!$AF$7)*OFFSET(ORÇAMENTO!$W$15,ROW(AK261)-ROW(AK$15),0),15-13*ORÇAMENTO!$AF$11)),0)</f>
        <v>0</v>
      </c>
      <c r="AL261" s="545">
        <f ca="1">IF(AND($D261="Serviço",AL$12&lt;&gt;0,$H261&gt;0,OR(AUTOEVENTO&lt;&gt;"manual",$M261&lt;&gt;1)),
IF(Import.TipoArredondamento&lt;&gt;"TransfereGOV",
ROUND(OFFSET($P261,0,AL$13),15-13*ORÇAMENTO!$AF$7)/$H261*OFFSET(ORÇAMENTO!$X$15,ROW(AL261)-ROW(AL$15),0),
ROUND(ROUND(OFFSET($P261,0,AL$13),15-13*ORÇAMENTO!$AF$7)*OFFSET(ORÇAMENTO!$W$15,ROW(AL261)-ROW(AL$15),0),15-13*ORÇAMENTO!$AF$11)),0)</f>
        <v>0</v>
      </c>
      <c r="AM261" s="545">
        <f ca="1">IF(AND($D261="Serviço",AM$12&lt;&gt;0,$H261&gt;0,OR(AUTOEVENTO&lt;&gt;"manual",$M261&lt;&gt;1)),
IF(Import.TipoArredondamento&lt;&gt;"TransfereGOV",
ROUND(OFFSET($P261,0,AM$13),15-13*ORÇAMENTO!$AF$7)/$H261*OFFSET(ORÇAMENTO!$X$15,ROW(AM261)-ROW(AM$15),0),
ROUND(ROUND(OFFSET($P261,0,AM$13),15-13*ORÇAMENTO!$AF$7)*OFFSET(ORÇAMENTO!$W$15,ROW(AM261)-ROW(AM$15),0),15-13*ORÇAMENTO!$AF$11)),0)</f>
        <v>0</v>
      </c>
      <c r="AN261" s="545">
        <f ca="1">IF(AND($D261="Serviço",AN$12&lt;&gt;0,$H261&gt;0,OR(AUTOEVENTO&lt;&gt;"manual",$M261&lt;&gt;1)),
IF(Import.TipoArredondamento&lt;&gt;"TransfereGOV",
ROUND(OFFSET($P261,0,AN$13),15-13*ORÇAMENTO!$AF$7)/$H261*OFFSET(ORÇAMENTO!$X$15,ROW(AN261)-ROW(AN$15),0),
ROUND(ROUND(OFFSET($P261,0,AN$13),15-13*ORÇAMENTO!$AF$7)*OFFSET(ORÇAMENTO!$W$15,ROW(AN261)-ROW(AN$15),0),15-13*ORÇAMENTO!$AF$11)),0)</f>
        <v>0</v>
      </c>
      <c r="AO261" s="545">
        <f ca="1">IF(AND($D261="Serviço",AO$12&lt;&gt;0,$H261&gt;0,OR(AUTOEVENTO&lt;&gt;"manual",$M261&lt;&gt;1)),
IF(Import.TipoArredondamento&lt;&gt;"TransfereGOV",
ROUND(OFFSET($P261,0,AO$13),15-13*ORÇAMENTO!$AF$7)/$H261*OFFSET(ORÇAMENTO!$X$15,ROW(AO261)-ROW(AO$15),0),
ROUND(ROUND(OFFSET($P261,0,AO$13),15-13*ORÇAMENTO!$AF$7)*OFFSET(ORÇAMENTO!$W$15,ROW(AO261)-ROW(AO$15),0),15-13*ORÇAMENTO!$AF$11)),0)</f>
        <v>0</v>
      </c>
      <c r="AP261" s="545">
        <f ca="1">IF(AND($D261="Serviço",AP$12&lt;&gt;0,$H261&gt;0,OR(AUTOEVENTO&lt;&gt;"manual",$M261&lt;&gt;1)),
IF(Import.TipoArredondamento&lt;&gt;"TransfereGOV",
ROUND(OFFSET($P261,0,AP$13),15-13*ORÇAMENTO!$AF$7)/$H261*OFFSET(ORÇAMENTO!$X$15,ROW(AP261)-ROW(AP$15),0),
ROUND(ROUND(OFFSET($P261,0,AP$13),15-13*ORÇAMENTO!$AF$7)*OFFSET(ORÇAMENTO!$W$15,ROW(AP261)-ROW(AP$15),0),15-13*ORÇAMENTO!$AF$11)),0)</f>
        <v>0</v>
      </c>
      <c r="AQ261" s="545">
        <f ca="1">IF(AND($D261="Serviço",AQ$12&lt;&gt;0,$H261&gt;0,OR(AUTOEVENTO&lt;&gt;"manual",$M261&lt;&gt;1)),
IF(Import.TipoArredondamento&lt;&gt;"TransfereGOV",
ROUND(OFFSET($P261,0,AQ$13),15-13*ORÇAMENTO!$AF$7)/$H261*OFFSET(ORÇAMENTO!$X$15,ROW(AQ261)-ROW(AQ$15),0),
ROUND(ROUND(OFFSET($P261,0,AQ$13),15-13*ORÇAMENTO!$AF$7)*OFFSET(ORÇAMENTO!$W$15,ROW(AQ261)-ROW(AQ$15),0),15-13*ORÇAMENTO!$AF$11)),0)</f>
        <v>0</v>
      </c>
      <c r="AR261" s="545">
        <f ca="1">IF(AND($D261="Serviço",AR$12&lt;&gt;0,$H261&gt;0,OR(AUTOEVENTO&lt;&gt;"manual",$M261&lt;&gt;1)),
IF(Import.TipoArredondamento&lt;&gt;"TransfereGOV",
ROUND(OFFSET($P261,0,AR$13),15-13*ORÇAMENTO!$AF$7)/$H261*OFFSET(ORÇAMENTO!$X$15,ROW(AR261)-ROW(AR$15),0),
ROUND(ROUND(OFFSET($P261,0,AR$13),15-13*ORÇAMENTO!$AF$7)*OFFSET(ORÇAMENTO!$W$15,ROW(AR261)-ROW(AR$15),0),15-13*ORÇAMENTO!$AF$11)),0)</f>
        <v>0</v>
      </c>
      <c r="AS261" s="546">
        <f ca="1">IF(AND($D261="Serviço",AS$12&lt;&gt;0,$H261&gt;0,OR(AUTOEVENTO&lt;&gt;"manual",$M261&lt;&gt;1)),
IF(Import.TipoArredondamento&lt;&gt;"TransfereGOV",
ROUND(OFFSET($P261,0,AS$13),15-13*ORÇAMENTO!$AF$7)/$H261*OFFSET(ORÇAMENTO!$X$15,ROW(AS261)-ROW(AS$15),0),
ROUND(ROUND(OFFSET($P261,0,AS$13),15-13*ORÇAMENTO!$AF$7)*OFFSET(ORÇAMENTO!$W$15,ROW(AS261)-ROW(AS$15),0),15-13*ORÇAMENTO!$AF$11)),0)</f>
        <v>0</v>
      </c>
      <c r="AT261" s="545">
        <f ca="1">IF(AND($D261="Serviço",AT$12&lt;&gt;0,$H261&gt;0,OR(AUTOEVENTO&lt;&gt;"manual",$M261&lt;&gt;1)),
IF(Import.TipoArredondamento&lt;&gt;"TransfereGOV",
ROUND(OFFSET($P261,0,AT$13),15-13*ORÇAMENTO!$AF$7)/$H261*OFFSET(ORÇAMENTO!$X$15,ROW(AT261)-ROW(AT$15),0),
ROUND(ROUND(OFFSET($P261,0,AT$13),15-13*ORÇAMENTO!$AF$7)*OFFSET(ORÇAMENTO!$W$15,ROW(AT261)-ROW(AT$15),0),15-13*ORÇAMENTO!$AF$11)),0)</f>
        <v>0</v>
      </c>
      <c r="AU261" s="545">
        <f ca="1">IF(AND($D261="Serviço",AU$12&lt;&gt;0,$H261&gt;0,OR(AUTOEVENTO&lt;&gt;"manual",$M261&lt;&gt;1)),
IF(Import.TipoArredondamento&lt;&gt;"TransfereGOV",
ROUND(OFFSET($P261,0,AU$13),15-13*ORÇAMENTO!$AF$7)/$H261*OFFSET(ORÇAMENTO!$X$15,ROW(AU261)-ROW(AU$15),0),
ROUND(ROUND(OFFSET($P261,0,AU$13),15-13*ORÇAMENTO!$AF$7)*OFFSET(ORÇAMENTO!$W$15,ROW(AU261)-ROW(AU$15),0),15-13*ORÇAMENTO!$AF$11)),0)</f>
        <v>0</v>
      </c>
      <c r="AV261" s="545">
        <f ca="1">IF(AND($D261="Serviço",AV$12&lt;&gt;0,$H261&gt;0,OR(AUTOEVENTO&lt;&gt;"manual",$M261&lt;&gt;1)),
IF(Import.TipoArredondamento&lt;&gt;"TransfereGOV",
ROUND(OFFSET($P261,0,AV$13),15-13*ORÇAMENTO!$AF$7)/$H261*OFFSET(ORÇAMENTO!$X$15,ROW(AV261)-ROW(AV$15),0),
ROUND(ROUND(OFFSET($P261,0,AV$13),15-13*ORÇAMENTO!$AF$7)*OFFSET(ORÇAMENTO!$W$15,ROW(AV261)-ROW(AV$15),0),15-13*ORÇAMENTO!$AF$11)),0)</f>
        <v>0</v>
      </c>
      <c r="AW261" s="545">
        <f ca="1">IF(AND($D261="Serviço",AW$12&lt;&gt;0,$H261&gt;0,OR(AUTOEVENTO&lt;&gt;"manual",$M261&lt;&gt;1)),
IF(Import.TipoArredondamento&lt;&gt;"TransfereGOV",
ROUND(OFFSET($P261,0,AW$13),15-13*ORÇAMENTO!$AF$7)/$H261*OFFSET(ORÇAMENTO!$X$15,ROW(AW261)-ROW(AW$15),0),
ROUND(ROUND(OFFSET($P261,0,AW$13),15-13*ORÇAMENTO!$AF$7)*OFFSET(ORÇAMENTO!$W$15,ROW(AW261)-ROW(AW$15),0),15-13*ORÇAMENTO!$AF$11)),0)</f>
        <v>0</v>
      </c>
      <c r="AX261" s="545">
        <f ca="1">IF(AND($D261="Serviço",AX$12&lt;&gt;0,$H261&gt;0,OR(AUTOEVENTO&lt;&gt;"manual",$M261&lt;&gt;1)),
IF(Import.TipoArredondamento&lt;&gt;"TransfereGOV",
ROUND(OFFSET($P261,0,AX$13),15-13*ORÇAMENTO!$AF$7)/$H261*OFFSET(ORÇAMENTO!$X$15,ROW(AX261)-ROW(AX$15),0),
ROUND(ROUND(OFFSET($P261,0,AX$13),15-13*ORÇAMENTO!$AF$7)*OFFSET(ORÇAMENTO!$W$15,ROW(AX261)-ROW(AX$15),0),15-13*ORÇAMENTO!$AF$11)),0)</f>
        <v>0</v>
      </c>
      <c r="AY261" s="545">
        <f ca="1">IF(AND($D261="Serviço",AY$12&lt;&gt;0,$H261&gt;0,OR(AUTOEVENTO&lt;&gt;"manual",$M261&lt;&gt;1)),
IF(Import.TipoArredondamento&lt;&gt;"TransfereGOV",
ROUND(OFFSET($P261,0,AY$13),15-13*ORÇAMENTO!$AF$7)/$H261*OFFSET(ORÇAMENTO!$X$15,ROW(AY261)-ROW(AY$15),0),
ROUND(ROUND(OFFSET($P261,0,AY$13),15-13*ORÇAMENTO!$AF$7)*OFFSET(ORÇAMENTO!$W$15,ROW(AY261)-ROW(AY$15),0),15-13*ORÇAMENTO!$AF$11)),0)</f>
        <v>0</v>
      </c>
      <c r="AZ261" s="545">
        <f ca="1">IF(AND($D261="Serviço",AZ$12&lt;&gt;0,$H261&gt;0,OR(AUTOEVENTO&lt;&gt;"manual",$M261&lt;&gt;1)),
IF(Import.TipoArredondamento&lt;&gt;"TransfereGOV",
ROUND(OFFSET($P261,0,AZ$13),15-13*ORÇAMENTO!$AF$7)/$H261*OFFSET(ORÇAMENTO!$X$15,ROW(AZ261)-ROW(AZ$15),0),
ROUND(ROUND(OFFSET($P261,0,AZ$13),15-13*ORÇAMENTO!$AF$7)*OFFSET(ORÇAMENTO!$W$15,ROW(AZ261)-ROW(AZ$15),0),15-13*ORÇAMENTO!$AF$11)),0)</f>
        <v>0</v>
      </c>
      <c r="BA261" s="546">
        <f ca="1">IF(AND($D261="Serviço",BA$12&lt;&gt;0,$H261&gt;0,OR(AUTOEVENTO&lt;&gt;"manual",$M261&lt;&gt;1)),
IF(Import.TipoArredondamento&lt;&gt;"TransfereGOV",
ROUND(OFFSET($P261,0,BA$13),15-13*ORÇAMENTO!$AF$7)/$H261*OFFSET(ORÇAMENTO!$X$15,ROW(BA261)-ROW(BA$15),0),
ROUND(ROUND(OFFSET($P261,0,BA$13),15-13*ORÇAMENTO!$AF$7)*OFFSET(ORÇAMENTO!$W$15,ROW(BA261)-ROW(BA$15),0),15-13*ORÇAMENTO!$AF$11)),0)</f>
        <v>0</v>
      </c>
      <c r="BC261" s="181">
        <f ca="1">IF($D261&lt;&gt;"Serviço",0,IF(AND(AUTOEVENTO="Manual",$M261=1),0,IF(OFFSET(CRONOPLE!$F$14,$M261,BC$13)="",10^12,OFFSET(CRONOPLE!$F$14,$M261,BC$13))))</f>
        <v>9</v>
      </c>
      <c r="BD261" s="181">
        <f ca="1">IF($D261&lt;&gt;"Serviço",0,IF(AND(AUTOEVENTO="Manual",$M261=1),0,IF(OFFSET(CRONOPLE!$F$14,$M261,BD$13)="",10^12,OFFSET(CRONOPLE!$F$14,$M261,BD$13))))</f>
        <v>1000000000000</v>
      </c>
      <c r="BE261" s="181">
        <f ca="1">IF($D261&lt;&gt;"Serviço",0,IF(AND(AUTOEVENTO="Manual",$M261=1),0,IF(OFFSET(CRONOPLE!$F$14,$M261,BE$13)="",10^12,OFFSET(CRONOPLE!$F$14,$M261,BE$13))))</f>
        <v>1000000000000</v>
      </c>
      <c r="BF261" s="181">
        <f ca="1">IF($D261&lt;&gt;"Serviço",0,IF(AND(AUTOEVENTO="Manual",$M261=1),0,IF(OFFSET(CRONOPLE!$F$14,$M261,BF$13)="",10^12,OFFSET(CRONOPLE!$F$14,$M261,BF$13))))</f>
        <v>1000000000000</v>
      </c>
      <c r="BG261" s="181">
        <f ca="1">IF($D261&lt;&gt;"Serviço",0,IF(AND(AUTOEVENTO="Manual",$M261=1),0,IF(OFFSET(CRONOPLE!$F$14,$M261,BG$13)="",10^12,OFFSET(CRONOPLE!$F$14,$M261,BG$13))))</f>
        <v>1000000000000</v>
      </c>
      <c r="BH261" s="181">
        <f ca="1">IF($D261&lt;&gt;"Serviço",0,IF(AND(AUTOEVENTO="Manual",$M261=1),0,IF(OFFSET(CRONOPLE!$F$14,$M261,BH$13)="",10^12,OFFSET(CRONOPLE!$F$14,$M261,BH$13))))</f>
        <v>1000000000000</v>
      </c>
      <c r="BI261" s="181">
        <f ca="1">IF($D261&lt;&gt;"Serviço",0,IF(AND(AUTOEVENTO="Manual",$M261=1),0,IF(OFFSET(CRONOPLE!$F$14,$M261,BI$13)="",10^12,OFFSET(CRONOPLE!$F$14,$M261,BI$13))))</f>
        <v>1000000000000</v>
      </c>
      <c r="BJ261" s="181">
        <f ca="1">IF($D261&lt;&gt;"Serviço",0,IF(AND(AUTOEVENTO="Manual",$M261=1),0,IF(OFFSET(CRONOPLE!$F$14,$M261,BJ$13)="",10^12,OFFSET(CRONOPLE!$F$14,$M261,BJ$13))))</f>
        <v>1000000000000</v>
      </c>
      <c r="BK261" s="181">
        <f ca="1">IF($D261&lt;&gt;"Serviço",0,IF(AND(AUTOEVENTO="Manual",$M261=1),0,IF(OFFSET(CRONOPLE!$F$14,$M261,BK$13)="",10^12,OFFSET(CRONOPLE!$F$14,$M261,BK$13))))</f>
        <v>1000000000000</v>
      </c>
      <c r="BL261" s="181">
        <f ca="1">IF($D261&lt;&gt;"Serviço",0,IF(AND(AUTOEVENTO="Manual",$M261=1),0,IF(OFFSET(CRONOPLE!$F$14,$M261,BL$13)="",10^12,OFFSET(CRONOPLE!$F$14,$M261,BL$13))))</f>
        <v>1000000000000</v>
      </c>
      <c r="BM261" s="181">
        <f ca="1">IF($D261&lt;&gt;"Serviço",0,IF(AND(AUTOEVENTO="Manual",$M261=1),0,IF(OFFSET(CRONOPLE!$F$14,$M261,BM$13)="",10^12,OFFSET(CRONOPLE!$F$14,$M261,BM$13))))</f>
        <v>1000000000000</v>
      </c>
      <c r="BN261" s="181">
        <f ca="1">IF($D261&lt;&gt;"Serviço",0,IF(AND(AUTOEVENTO="Manual",$M261=1),0,IF(OFFSET(CRONOPLE!$F$14,$M261,BN$13)="",10^12,OFFSET(CRONOPLE!$F$14,$M261,BN$13))))</f>
        <v>1000000000000</v>
      </c>
      <c r="BO261" s="181">
        <f ca="1">IF($D261&lt;&gt;"Serviço",0,IF(AND(AUTOEVENTO="Manual",$M261=1),0,IF(OFFSET(CRONOPLE!$F$14,$M261,BO$13)="",10^12,OFFSET(CRONOPLE!$F$14,$M261,BO$13))))</f>
        <v>1000000000000</v>
      </c>
      <c r="BP261" s="181">
        <f ca="1">IF($D261&lt;&gt;"Serviço",0,IF(AND(AUTOEVENTO="Manual",$M261=1),0,IF(OFFSET(CRONOPLE!$F$14,$M261,BP$13)="",10^12,OFFSET(CRONOPLE!$F$14,$M261,BP$13))))</f>
        <v>1000000000000</v>
      </c>
      <c r="BQ261" s="181">
        <f ca="1">IF($D261&lt;&gt;"Serviço",0,IF(AND(AUTOEVENTO="Manual",$M261=1),0,IF(OFFSET(CRONOPLE!$F$14,$M261,BQ$13)="",10^12,OFFSET(CRONOPLE!$F$14,$M261,BQ$13))))</f>
        <v>1000000000000</v>
      </c>
      <c r="BR261" s="181">
        <f ca="1">IF($D261&lt;&gt;"Serviço",0,IF(AND(AUTOEVENTO="Manual",$M261=1),0,IF(OFFSET(CRONOPLE!$F$14,$M261,BR$13)="",10^12,OFFSET(CRONOPLE!$F$14,$M261,BR$13))))</f>
        <v>1000000000000</v>
      </c>
      <c r="BS261" s="181">
        <f ca="1">IF($D261&lt;&gt;"Serviço",0,IF(AND(AUTOEVENTO="Manual",$M261=1),0,IF(OFFSET(CRONOPLE!$F$14,$M261,BS$13)="",10^12,OFFSET(CRONOPLE!$F$14,$M261,BS$13))))</f>
        <v>1000000000000</v>
      </c>
      <c r="BT261" s="181">
        <f ca="1">IF($D261&lt;&gt;"Serviço",0,IF(AND(AUTOEVENTO="Manual",$M261=1),0,IF(OFFSET(CRONOPLE!$F$14,$M261,BT$13)="",10^12,OFFSET(CRONOPLE!$F$14,$M261,BT$13))))</f>
        <v>1000000000000</v>
      </c>
      <c r="BV261" s="182">
        <f ca="1">IF($D261&lt;&gt;"Serviço",0,IF(OR(AND(AUTOEVENTO="Manual",$M261=1),$M261&gt;(ROW(PLE.lastrow)-ROW(PLE.firstrow))),0,IF(OFFSET(PLE!$G$14,$M261,BV$13)="",10^12,OFFSET(PLE!$G$14,$M261,BV$13))))</f>
        <v>1000000000000</v>
      </c>
      <c r="BW261" s="182">
        <f ca="1">IF($D261&lt;&gt;"Serviço",0,IF(OR(AND(AUTOEVENTO="Manual",$M261=1),$M261&gt;(ROW(PLE.lastrow)-ROW(PLE.firstrow))),0,IF(OFFSET(PLE!$G$14,$M261,BW$13)="",10^12,OFFSET(PLE!$G$14,$M261,BW$13))))</f>
        <v>1000000000000</v>
      </c>
      <c r="BX261" s="182">
        <f ca="1">IF($D261&lt;&gt;"Serviço",0,IF(OR(AND(AUTOEVENTO="Manual",$M261=1),$M261&gt;(ROW(PLE.lastrow)-ROW(PLE.firstrow))),0,IF(OFFSET(PLE!$G$14,$M261,BX$13)="",10^12,OFFSET(PLE!$G$14,$M261,BX$13))))</f>
        <v>1000000000000</v>
      </c>
      <c r="BY261" s="182">
        <f ca="1">IF($D261&lt;&gt;"Serviço",0,IF(OR(AND(AUTOEVENTO="Manual",$M261=1),$M261&gt;(ROW(PLE.lastrow)-ROW(PLE.firstrow))),0,IF(OFFSET(PLE!$G$14,$M261,BY$13)="",10^12,OFFSET(PLE!$G$14,$M261,BY$13))))</f>
        <v>1000000000000</v>
      </c>
      <c r="BZ261" s="182">
        <f ca="1">IF($D261&lt;&gt;"Serviço",0,IF(OR(AND(AUTOEVENTO="Manual",$M261=1),$M261&gt;(ROW(PLE.lastrow)-ROW(PLE.firstrow))),0,IF(OFFSET(PLE!$G$14,$M261,BZ$13)="",10^12,OFFSET(PLE!$G$14,$M261,BZ$13))))</f>
        <v>1000000000000</v>
      </c>
      <c r="CA261" s="182">
        <f ca="1">IF($D261&lt;&gt;"Serviço",0,IF(OR(AND(AUTOEVENTO="Manual",$M261=1),$M261&gt;(ROW(PLE.lastrow)-ROW(PLE.firstrow))),0,IF(OFFSET(PLE!$G$14,$M261,CA$13)="",10^12,OFFSET(PLE!$G$14,$M261,CA$13))))</f>
        <v>1000000000000</v>
      </c>
      <c r="CB261" s="182">
        <f ca="1">IF($D261&lt;&gt;"Serviço",0,IF(OR(AND(AUTOEVENTO="Manual",$M261=1),$M261&gt;(ROW(PLE.lastrow)-ROW(PLE.firstrow))),0,IF(OFFSET(PLE!$G$14,$M261,CB$13)="",10^12,OFFSET(PLE!$G$14,$M261,CB$13))))</f>
        <v>1000000000000</v>
      </c>
      <c r="CC261" s="182">
        <f ca="1">IF($D261&lt;&gt;"Serviço",0,IF(OR(AND(AUTOEVENTO="Manual",$M261=1),$M261&gt;(ROW(PLE.lastrow)-ROW(PLE.firstrow))),0,IF(OFFSET(PLE!$G$14,$M261,CC$13)="",10^12,OFFSET(PLE!$G$14,$M261,CC$13))))</f>
        <v>1000000000000</v>
      </c>
      <c r="CD261" s="182">
        <f ca="1">IF($D261&lt;&gt;"Serviço",0,IF(OR(AND(AUTOEVENTO="Manual",$M261=1),$M261&gt;(ROW(PLE.lastrow)-ROW(PLE.firstrow))),0,IF(OFFSET(PLE!$G$14,$M261,CD$13)="",10^12,OFFSET(PLE!$G$14,$M261,CD$13))))</f>
        <v>1000000000000</v>
      </c>
      <c r="CE261" s="182">
        <f ca="1">IF($D261&lt;&gt;"Serviço",0,IF(OR(AND(AUTOEVENTO="Manual",$M261=1),$M261&gt;(ROW(PLE.lastrow)-ROW(PLE.firstrow))),0,IF(OFFSET(PLE!$G$14,$M261,CE$13)="",10^12,OFFSET(PLE!$G$14,$M261,CE$13))))</f>
        <v>1000000000000</v>
      </c>
      <c r="CF261" s="182">
        <f ca="1">IF($D261&lt;&gt;"Serviço",0,IF(OR(AND(AUTOEVENTO="Manual",$M261=1),$M261&gt;(ROW(PLE.lastrow)-ROW(PLE.firstrow))),0,IF(OFFSET(PLE!$G$14,$M261,CF$13)="",10^12,OFFSET(PLE!$G$14,$M261,CF$13))))</f>
        <v>1000000000000</v>
      </c>
      <c r="CG261" s="182">
        <f ca="1">IF($D261&lt;&gt;"Serviço",0,IF(OR(AND(AUTOEVENTO="Manual",$M261=1),$M261&gt;(ROW(PLE.lastrow)-ROW(PLE.firstrow))),0,IF(OFFSET(PLE!$G$14,$M261,CG$13)="",10^12,OFFSET(PLE!$G$14,$M261,CG$13))))</f>
        <v>1000000000000</v>
      </c>
      <c r="CH261" s="182">
        <f ca="1">IF($D261&lt;&gt;"Serviço",0,IF(OR(AND(AUTOEVENTO="Manual",$M261=1),$M261&gt;(ROW(PLE.lastrow)-ROW(PLE.firstrow))),0,IF(OFFSET(PLE!$G$14,$M261,CH$13)="",10^12,OFFSET(PLE!$G$14,$M261,CH$13))))</f>
        <v>1000000000000</v>
      </c>
      <c r="CI261" s="182">
        <f ca="1">IF($D261&lt;&gt;"Serviço",0,IF(OR(AND(AUTOEVENTO="Manual",$M261=1),$M261&gt;(ROW(PLE.lastrow)-ROW(PLE.firstrow))),0,IF(OFFSET(PLE!$G$14,$M261,CI$13)="",10^12,OFFSET(PLE!$G$14,$M261,CI$13))))</f>
        <v>1000000000000</v>
      </c>
      <c r="CJ261" s="182">
        <f ca="1">IF($D261&lt;&gt;"Serviço",0,IF(OR(AND(AUTOEVENTO="Manual",$M261=1),$M261&gt;(ROW(PLE.lastrow)-ROW(PLE.firstrow))),0,IF(OFFSET(PLE!$G$14,$M261,CJ$13)="",10^12,OFFSET(PLE!$G$14,$M261,CJ$13))))</f>
        <v>1000000000000</v>
      </c>
      <c r="CK261" s="182">
        <f ca="1">IF($D261&lt;&gt;"Serviço",0,IF(OR(AND(AUTOEVENTO="Manual",$M261=1),$M261&gt;(ROW(PLE.lastrow)-ROW(PLE.firstrow))),0,IF(OFFSET(PLE!$G$14,$M261,CK$13)="",10^12,OFFSET(PLE!$G$14,$M261,CK$13))))</f>
        <v>1000000000000</v>
      </c>
      <c r="CL261" s="182">
        <f ca="1">IF($D261&lt;&gt;"Serviço",0,IF(OR(AND(AUTOEVENTO="Manual",$M261=1),$M261&gt;(ROW(PLE.lastrow)-ROW(PLE.firstrow))),0,IF(OFFSET(PLE!$G$14,$M261,CL$13)="",10^12,OFFSET(PLE!$G$14,$M261,CL$13))))</f>
        <v>1000000000000</v>
      </c>
      <c r="CM261" s="182">
        <f ca="1">IF($D261&lt;&gt;"Serviço",0,IF(OR(AND(AUTOEVENTO="Manual",$M261=1),$M261&gt;(ROW(PLE.lastrow)-ROW(PLE.firstrow))),0,IF(OFFSET(PLE!$G$14,$M261,CM$13)="",10^12,OFFSET(PLE!$G$14,$M261,CM$13))))</f>
        <v>1000000000000</v>
      </c>
    </row>
    <row r="262" spans="1:91" ht="38.25" x14ac:dyDescent="0.2">
      <c r="A262" s="7" t="str">
        <f t="shared" ca="1" si="12"/>
        <v>232</v>
      </c>
      <c r="B262" s="7" t="str">
        <f ca="1">OFFSET(ORÇAMENTO!C$15,ROW(B262)-ROW(B$15),0)</f>
        <v>S</v>
      </c>
      <c r="C262" s="7" t="str">
        <f ca="1">OFFSET(ORÇAMENTO!L$15,ROW(C262)-ROW(C$15),0)</f>
        <v/>
      </c>
      <c r="D262" s="118" t="str">
        <f ca="1">OFFSET(ORÇAMENTO!N$15,ROW(D262)-ROW(D$15),0)</f>
        <v>Serviço</v>
      </c>
      <c r="E262" s="119" t="str">
        <f ca="1">OFFSET(ORÇAMENTO!O$15,ROW(E262)-ROW(E$15),0)</f>
        <v>-</v>
      </c>
      <c r="F262" s="172" t="str">
        <f ca="1">OFFSET(ORÇAMENTO!R$15,ROW(F262)-ROW(F$15),0)</f>
        <v>(abra o arquivo 'Referência 06-2024.xlsm)</v>
      </c>
      <c r="G262" s="173" t="str">
        <f ca="1">IF($D262&lt;&gt;"Serviço","",OFFSET(ORÇAMENTO!S$15,ROW(G262)-ROW(G$15),0))</f>
        <v>-</v>
      </c>
      <c r="H262" s="124">
        <f ca="1">IF($D262&lt;&gt;"Serviço",0,IF(ACOMPANHAMENTO="BM",ROUND(OFFSET(ORÇAMENTO!AJ$15,ROW(H262)-ROW(H$15),0),15-13*ORÇAMENTO!$AF$7),SUMPRODUCT(($Q$12:$AI$12&lt;&gt;"")*ROUND($Q262:$AI262,15-13*ORÇAMENTO!$AF$7))))</f>
        <v>248</v>
      </c>
      <c r="I262" s="561" t="s">
        <v>1107</v>
      </c>
      <c r="K262" s="174"/>
      <c r="L262" s="175" t="s">
        <v>255</v>
      </c>
      <c r="M262" s="176">
        <f ca="1">IF($D262&lt;&gt;"Serviço","",IF(AUTOEVENTO="manual",$A262,IF(ISERROR(MATCH($A262,$A$15:OFFSET($A262,-1,0),0)),MAX($M$15:OFFSET(M262,-1,0))+1,INDEX($M$15:OFFSET(M262,-1,0),MATCH($A262,$A$15:OFFSET($A262,-1,0),0)))))</f>
        <v>35</v>
      </c>
      <c r="N262" s="177" t="str">
        <f ca="1">IF($D262&lt;&gt;"Serviço","",IF(AUTOEVENTO="Manual",IF($A262=0,"&lt;-- defina o número do agrupador",OFFSET(EVENTOS!$D$14,$A262,0)),OFFSET($F$15,$A262,0)))</f>
        <v>INSTALAÇÃO HIDRÁULICA - TUBULAÇÕES E CONEXÕES DE PVC RÍGIDO</v>
      </c>
      <c r="O262" s="178"/>
      <c r="Q262" s="178">
        <v>248</v>
      </c>
      <c r="R262" s="179"/>
      <c r="S262" s="179"/>
      <c r="T262" s="179"/>
      <c r="U262" s="179"/>
      <c r="V262" s="179"/>
      <c r="W262" s="179"/>
      <c r="X262" s="179"/>
      <c r="Y262" s="179"/>
      <c r="Z262" s="180"/>
      <c r="AA262" s="179"/>
      <c r="AB262" s="179"/>
      <c r="AC262" s="179"/>
      <c r="AD262" s="179"/>
      <c r="AE262" s="179"/>
      <c r="AF262" s="179"/>
      <c r="AG262" s="179"/>
      <c r="AH262" s="180"/>
      <c r="AJ262" s="544">
        <f ca="1">IF(AND($D262="Serviço",AJ$12&lt;&gt;0,$H262&gt;0,OR(AUTOEVENTO&lt;&gt;"manual",$M262&lt;&gt;1)),
IF(Import.TipoArredondamento&lt;&gt;"TransfereGOV",
ROUND(OFFSET($P262,0,AJ$13),15-13*ORÇAMENTO!$AF$7)/$H262*OFFSET(ORÇAMENTO!$X$15,ROW(AJ262)-ROW(AJ$15),0),
ROUND(ROUND(OFFSET($P262,0,AJ$13),15-13*ORÇAMENTO!$AF$7)*OFFSET(ORÇAMENTO!$W$15,ROW(AJ262)-ROW(AJ$15),0),15-13*ORÇAMENTO!$AF$11)),0)</f>
        <v>0</v>
      </c>
      <c r="AK262" s="545">
        <f ca="1">IF(AND($D262="Serviço",AK$12&lt;&gt;0,$H262&gt;0,OR(AUTOEVENTO&lt;&gt;"manual",$M262&lt;&gt;1)),
IF(Import.TipoArredondamento&lt;&gt;"TransfereGOV",
ROUND(OFFSET($P262,0,AK$13),15-13*ORÇAMENTO!$AF$7)/$H262*OFFSET(ORÇAMENTO!$X$15,ROW(AK262)-ROW(AK$15),0),
ROUND(ROUND(OFFSET($P262,0,AK$13),15-13*ORÇAMENTO!$AF$7)*OFFSET(ORÇAMENTO!$W$15,ROW(AK262)-ROW(AK$15),0),15-13*ORÇAMENTO!$AF$11)),0)</f>
        <v>0</v>
      </c>
      <c r="AL262" s="545">
        <f ca="1">IF(AND($D262="Serviço",AL$12&lt;&gt;0,$H262&gt;0,OR(AUTOEVENTO&lt;&gt;"manual",$M262&lt;&gt;1)),
IF(Import.TipoArredondamento&lt;&gt;"TransfereGOV",
ROUND(OFFSET($P262,0,AL$13),15-13*ORÇAMENTO!$AF$7)/$H262*OFFSET(ORÇAMENTO!$X$15,ROW(AL262)-ROW(AL$15),0),
ROUND(ROUND(OFFSET($P262,0,AL$13),15-13*ORÇAMENTO!$AF$7)*OFFSET(ORÇAMENTO!$W$15,ROW(AL262)-ROW(AL$15),0),15-13*ORÇAMENTO!$AF$11)),0)</f>
        <v>0</v>
      </c>
      <c r="AM262" s="545">
        <f ca="1">IF(AND($D262="Serviço",AM$12&lt;&gt;0,$H262&gt;0,OR(AUTOEVENTO&lt;&gt;"manual",$M262&lt;&gt;1)),
IF(Import.TipoArredondamento&lt;&gt;"TransfereGOV",
ROUND(OFFSET($P262,0,AM$13),15-13*ORÇAMENTO!$AF$7)/$H262*OFFSET(ORÇAMENTO!$X$15,ROW(AM262)-ROW(AM$15),0),
ROUND(ROUND(OFFSET($P262,0,AM$13),15-13*ORÇAMENTO!$AF$7)*OFFSET(ORÇAMENTO!$W$15,ROW(AM262)-ROW(AM$15),0),15-13*ORÇAMENTO!$AF$11)),0)</f>
        <v>0</v>
      </c>
      <c r="AN262" s="545">
        <f ca="1">IF(AND($D262="Serviço",AN$12&lt;&gt;0,$H262&gt;0,OR(AUTOEVENTO&lt;&gt;"manual",$M262&lt;&gt;1)),
IF(Import.TipoArredondamento&lt;&gt;"TransfereGOV",
ROUND(OFFSET($P262,0,AN$13),15-13*ORÇAMENTO!$AF$7)/$H262*OFFSET(ORÇAMENTO!$X$15,ROW(AN262)-ROW(AN$15),0),
ROUND(ROUND(OFFSET($P262,0,AN$13),15-13*ORÇAMENTO!$AF$7)*OFFSET(ORÇAMENTO!$W$15,ROW(AN262)-ROW(AN$15),0),15-13*ORÇAMENTO!$AF$11)),0)</f>
        <v>0</v>
      </c>
      <c r="AO262" s="545">
        <f ca="1">IF(AND($D262="Serviço",AO$12&lt;&gt;0,$H262&gt;0,OR(AUTOEVENTO&lt;&gt;"manual",$M262&lt;&gt;1)),
IF(Import.TipoArredondamento&lt;&gt;"TransfereGOV",
ROUND(OFFSET($P262,0,AO$13),15-13*ORÇAMENTO!$AF$7)/$H262*OFFSET(ORÇAMENTO!$X$15,ROW(AO262)-ROW(AO$15),0),
ROUND(ROUND(OFFSET($P262,0,AO$13),15-13*ORÇAMENTO!$AF$7)*OFFSET(ORÇAMENTO!$W$15,ROW(AO262)-ROW(AO$15),0),15-13*ORÇAMENTO!$AF$11)),0)</f>
        <v>0</v>
      </c>
      <c r="AP262" s="545">
        <f ca="1">IF(AND($D262="Serviço",AP$12&lt;&gt;0,$H262&gt;0,OR(AUTOEVENTO&lt;&gt;"manual",$M262&lt;&gt;1)),
IF(Import.TipoArredondamento&lt;&gt;"TransfereGOV",
ROUND(OFFSET($P262,0,AP$13),15-13*ORÇAMENTO!$AF$7)/$H262*OFFSET(ORÇAMENTO!$X$15,ROW(AP262)-ROW(AP$15),0),
ROUND(ROUND(OFFSET($P262,0,AP$13),15-13*ORÇAMENTO!$AF$7)*OFFSET(ORÇAMENTO!$W$15,ROW(AP262)-ROW(AP$15),0),15-13*ORÇAMENTO!$AF$11)),0)</f>
        <v>0</v>
      </c>
      <c r="AQ262" s="545">
        <f ca="1">IF(AND($D262="Serviço",AQ$12&lt;&gt;0,$H262&gt;0,OR(AUTOEVENTO&lt;&gt;"manual",$M262&lt;&gt;1)),
IF(Import.TipoArredondamento&lt;&gt;"TransfereGOV",
ROUND(OFFSET($P262,0,AQ$13),15-13*ORÇAMENTO!$AF$7)/$H262*OFFSET(ORÇAMENTO!$X$15,ROW(AQ262)-ROW(AQ$15),0),
ROUND(ROUND(OFFSET($P262,0,AQ$13),15-13*ORÇAMENTO!$AF$7)*OFFSET(ORÇAMENTO!$W$15,ROW(AQ262)-ROW(AQ$15),0),15-13*ORÇAMENTO!$AF$11)),0)</f>
        <v>0</v>
      </c>
      <c r="AR262" s="545">
        <f ca="1">IF(AND($D262="Serviço",AR$12&lt;&gt;0,$H262&gt;0,OR(AUTOEVENTO&lt;&gt;"manual",$M262&lt;&gt;1)),
IF(Import.TipoArredondamento&lt;&gt;"TransfereGOV",
ROUND(OFFSET($P262,0,AR$13),15-13*ORÇAMENTO!$AF$7)/$H262*OFFSET(ORÇAMENTO!$X$15,ROW(AR262)-ROW(AR$15),0),
ROUND(ROUND(OFFSET($P262,0,AR$13),15-13*ORÇAMENTO!$AF$7)*OFFSET(ORÇAMENTO!$W$15,ROW(AR262)-ROW(AR$15),0),15-13*ORÇAMENTO!$AF$11)),0)</f>
        <v>0</v>
      </c>
      <c r="AS262" s="546">
        <f ca="1">IF(AND($D262="Serviço",AS$12&lt;&gt;0,$H262&gt;0,OR(AUTOEVENTO&lt;&gt;"manual",$M262&lt;&gt;1)),
IF(Import.TipoArredondamento&lt;&gt;"TransfereGOV",
ROUND(OFFSET($P262,0,AS$13),15-13*ORÇAMENTO!$AF$7)/$H262*OFFSET(ORÇAMENTO!$X$15,ROW(AS262)-ROW(AS$15),0),
ROUND(ROUND(OFFSET($P262,0,AS$13),15-13*ORÇAMENTO!$AF$7)*OFFSET(ORÇAMENTO!$W$15,ROW(AS262)-ROW(AS$15),0),15-13*ORÇAMENTO!$AF$11)),0)</f>
        <v>0</v>
      </c>
      <c r="AT262" s="545">
        <f ca="1">IF(AND($D262="Serviço",AT$12&lt;&gt;0,$H262&gt;0,OR(AUTOEVENTO&lt;&gt;"manual",$M262&lt;&gt;1)),
IF(Import.TipoArredondamento&lt;&gt;"TransfereGOV",
ROUND(OFFSET($P262,0,AT$13),15-13*ORÇAMENTO!$AF$7)/$H262*OFFSET(ORÇAMENTO!$X$15,ROW(AT262)-ROW(AT$15),0),
ROUND(ROUND(OFFSET($P262,0,AT$13),15-13*ORÇAMENTO!$AF$7)*OFFSET(ORÇAMENTO!$W$15,ROW(AT262)-ROW(AT$15),0),15-13*ORÇAMENTO!$AF$11)),0)</f>
        <v>0</v>
      </c>
      <c r="AU262" s="545">
        <f ca="1">IF(AND($D262="Serviço",AU$12&lt;&gt;0,$H262&gt;0,OR(AUTOEVENTO&lt;&gt;"manual",$M262&lt;&gt;1)),
IF(Import.TipoArredondamento&lt;&gt;"TransfereGOV",
ROUND(OFFSET($P262,0,AU$13),15-13*ORÇAMENTO!$AF$7)/$H262*OFFSET(ORÇAMENTO!$X$15,ROW(AU262)-ROW(AU$15),0),
ROUND(ROUND(OFFSET($P262,0,AU$13),15-13*ORÇAMENTO!$AF$7)*OFFSET(ORÇAMENTO!$W$15,ROW(AU262)-ROW(AU$15),0),15-13*ORÇAMENTO!$AF$11)),0)</f>
        <v>0</v>
      </c>
      <c r="AV262" s="545">
        <f ca="1">IF(AND($D262="Serviço",AV$12&lt;&gt;0,$H262&gt;0,OR(AUTOEVENTO&lt;&gt;"manual",$M262&lt;&gt;1)),
IF(Import.TipoArredondamento&lt;&gt;"TransfereGOV",
ROUND(OFFSET($P262,0,AV$13),15-13*ORÇAMENTO!$AF$7)/$H262*OFFSET(ORÇAMENTO!$X$15,ROW(AV262)-ROW(AV$15),0),
ROUND(ROUND(OFFSET($P262,0,AV$13),15-13*ORÇAMENTO!$AF$7)*OFFSET(ORÇAMENTO!$W$15,ROW(AV262)-ROW(AV$15),0),15-13*ORÇAMENTO!$AF$11)),0)</f>
        <v>0</v>
      </c>
      <c r="AW262" s="545">
        <f ca="1">IF(AND($D262="Serviço",AW$12&lt;&gt;0,$H262&gt;0,OR(AUTOEVENTO&lt;&gt;"manual",$M262&lt;&gt;1)),
IF(Import.TipoArredondamento&lt;&gt;"TransfereGOV",
ROUND(OFFSET($P262,0,AW$13),15-13*ORÇAMENTO!$AF$7)/$H262*OFFSET(ORÇAMENTO!$X$15,ROW(AW262)-ROW(AW$15),0),
ROUND(ROUND(OFFSET($P262,0,AW$13),15-13*ORÇAMENTO!$AF$7)*OFFSET(ORÇAMENTO!$W$15,ROW(AW262)-ROW(AW$15),0),15-13*ORÇAMENTO!$AF$11)),0)</f>
        <v>0</v>
      </c>
      <c r="AX262" s="545">
        <f ca="1">IF(AND($D262="Serviço",AX$12&lt;&gt;0,$H262&gt;0,OR(AUTOEVENTO&lt;&gt;"manual",$M262&lt;&gt;1)),
IF(Import.TipoArredondamento&lt;&gt;"TransfereGOV",
ROUND(OFFSET($P262,0,AX$13),15-13*ORÇAMENTO!$AF$7)/$H262*OFFSET(ORÇAMENTO!$X$15,ROW(AX262)-ROW(AX$15),0),
ROUND(ROUND(OFFSET($P262,0,AX$13),15-13*ORÇAMENTO!$AF$7)*OFFSET(ORÇAMENTO!$W$15,ROW(AX262)-ROW(AX$15),0),15-13*ORÇAMENTO!$AF$11)),0)</f>
        <v>0</v>
      </c>
      <c r="AY262" s="545">
        <f ca="1">IF(AND($D262="Serviço",AY$12&lt;&gt;0,$H262&gt;0,OR(AUTOEVENTO&lt;&gt;"manual",$M262&lt;&gt;1)),
IF(Import.TipoArredondamento&lt;&gt;"TransfereGOV",
ROUND(OFFSET($P262,0,AY$13),15-13*ORÇAMENTO!$AF$7)/$H262*OFFSET(ORÇAMENTO!$X$15,ROW(AY262)-ROW(AY$15),0),
ROUND(ROUND(OFFSET($P262,0,AY$13),15-13*ORÇAMENTO!$AF$7)*OFFSET(ORÇAMENTO!$W$15,ROW(AY262)-ROW(AY$15),0),15-13*ORÇAMENTO!$AF$11)),0)</f>
        <v>0</v>
      </c>
      <c r="AZ262" s="545">
        <f ca="1">IF(AND($D262="Serviço",AZ$12&lt;&gt;0,$H262&gt;0,OR(AUTOEVENTO&lt;&gt;"manual",$M262&lt;&gt;1)),
IF(Import.TipoArredondamento&lt;&gt;"TransfereGOV",
ROUND(OFFSET($P262,0,AZ$13),15-13*ORÇAMENTO!$AF$7)/$H262*OFFSET(ORÇAMENTO!$X$15,ROW(AZ262)-ROW(AZ$15),0),
ROUND(ROUND(OFFSET($P262,0,AZ$13),15-13*ORÇAMENTO!$AF$7)*OFFSET(ORÇAMENTO!$W$15,ROW(AZ262)-ROW(AZ$15),0),15-13*ORÇAMENTO!$AF$11)),0)</f>
        <v>0</v>
      </c>
      <c r="BA262" s="546">
        <f ca="1">IF(AND($D262="Serviço",BA$12&lt;&gt;0,$H262&gt;0,OR(AUTOEVENTO&lt;&gt;"manual",$M262&lt;&gt;1)),
IF(Import.TipoArredondamento&lt;&gt;"TransfereGOV",
ROUND(OFFSET($P262,0,BA$13),15-13*ORÇAMENTO!$AF$7)/$H262*OFFSET(ORÇAMENTO!$X$15,ROW(BA262)-ROW(BA$15),0),
ROUND(ROUND(OFFSET($P262,0,BA$13),15-13*ORÇAMENTO!$AF$7)*OFFSET(ORÇAMENTO!$W$15,ROW(BA262)-ROW(BA$15),0),15-13*ORÇAMENTO!$AF$11)),0)</f>
        <v>0</v>
      </c>
      <c r="BC262" s="181">
        <f ca="1">IF($D262&lt;&gt;"Serviço",0,IF(AND(AUTOEVENTO="Manual",$M262=1),0,IF(OFFSET(CRONOPLE!$F$14,$M262,BC$13)="",10^12,OFFSET(CRONOPLE!$F$14,$M262,BC$13))))</f>
        <v>9</v>
      </c>
      <c r="BD262" s="181">
        <f ca="1">IF($D262&lt;&gt;"Serviço",0,IF(AND(AUTOEVENTO="Manual",$M262=1),0,IF(OFFSET(CRONOPLE!$F$14,$M262,BD$13)="",10^12,OFFSET(CRONOPLE!$F$14,$M262,BD$13))))</f>
        <v>1000000000000</v>
      </c>
      <c r="BE262" s="181">
        <f ca="1">IF($D262&lt;&gt;"Serviço",0,IF(AND(AUTOEVENTO="Manual",$M262=1),0,IF(OFFSET(CRONOPLE!$F$14,$M262,BE$13)="",10^12,OFFSET(CRONOPLE!$F$14,$M262,BE$13))))</f>
        <v>1000000000000</v>
      </c>
      <c r="BF262" s="181">
        <f ca="1">IF($D262&lt;&gt;"Serviço",0,IF(AND(AUTOEVENTO="Manual",$M262=1),0,IF(OFFSET(CRONOPLE!$F$14,$M262,BF$13)="",10^12,OFFSET(CRONOPLE!$F$14,$M262,BF$13))))</f>
        <v>1000000000000</v>
      </c>
      <c r="BG262" s="181">
        <f ca="1">IF($D262&lt;&gt;"Serviço",0,IF(AND(AUTOEVENTO="Manual",$M262=1),0,IF(OFFSET(CRONOPLE!$F$14,$M262,BG$13)="",10^12,OFFSET(CRONOPLE!$F$14,$M262,BG$13))))</f>
        <v>1000000000000</v>
      </c>
      <c r="BH262" s="181">
        <f ca="1">IF($D262&lt;&gt;"Serviço",0,IF(AND(AUTOEVENTO="Manual",$M262=1),0,IF(OFFSET(CRONOPLE!$F$14,$M262,BH$13)="",10^12,OFFSET(CRONOPLE!$F$14,$M262,BH$13))))</f>
        <v>1000000000000</v>
      </c>
      <c r="BI262" s="181">
        <f ca="1">IF($D262&lt;&gt;"Serviço",0,IF(AND(AUTOEVENTO="Manual",$M262=1),0,IF(OFFSET(CRONOPLE!$F$14,$M262,BI$13)="",10^12,OFFSET(CRONOPLE!$F$14,$M262,BI$13))))</f>
        <v>1000000000000</v>
      </c>
      <c r="BJ262" s="181">
        <f ca="1">IF($D262&lt;&gt;"Serviço",0,IF(AND(AUTOEVENTO="Manual",$M262=1),0,IF(OFFSET(CRONOPLE!$F$14,$M262,BJ$13)="",10^12,OFFSET(CRONOPLE!$F$14,$M262,BJ$13))))</f>
        <v>1000000000000</v>
      </c>
      <c r="BK262" s="181">
        <f ca="1">IF($D262&lt;&gt;"Serviço",0,IF(AND(AUTOEVENTO="Manual",$M262=1),0,IF(OFFSET(CRONOPLE!$F$14,$M262,BK$13)="",10^12,OFFSET(CRONOPLE!$F$14,$M262,BK$13))))</f>
        <v>1000000000000</v>
      </c>
      <c r="BL262" s="181">
        <f ca="1">IF($D262&lt;&gt;"Serviço",0,IF(AND(AUTOEVENTO="Manual",$M262=1),0,IF(OFFSET(CRONOPLE!$F$14,$M262,BL$13)="",10^12,OFFSET(CRONOPLE!$F$14,$M262,BL$13))))</f>
        <v>1000000000000</v>
      </c>
      <c r="BM262" s="181">
        <f ca="1">IF($D262&lt;&gt;"Serviço",0,IF(AND(AUTOEVENTO="Manual",$M262=1),0,IF(OFFSET(CRONOPLE!$F$14,$M262,BM$13)="",10^12,OFFSET(CRONOPLE!$F$14,$M262,BM$13))))</f>
        <v>1000000000000</v>
      </c>
      <c r="BN262" s="181">
        <f ca="1">IF($D262&lt;&gt;"Serviço",0,IF(AND(AUTOEVENTO="Manual",$M262=1),0,IF(OFFSET(CRONOPLE!$F$14,$M262,BN$13)="",10^12,OFFSET(CRONOPLE!$F$14,$M262,BN$13))))</f>
        <v>1000000000000</v>
      </c>
      <c r="BO262" s="181">
        <f ca="1">IF($D262&lt;&gt;"Serviço",0,IF(AND(AUTOEVENTO="Manual",$M262=1),0,IF(OFFSET(CRONOPLE!$F$14,$M262,BO$13)="",10^12,OFFSET(CRONOPLE!$F$14,$M262,BO$13))))</f>
        <v>1000000000000</v>
      </c>
      <c r="BP262" s="181">
        <f ca="1">IF($D262&lt;&gt;"Serviço",0,IF(AND(AUTOEVENTO="Manual",$M262=1),0,IF(OFFSET(CRONOPLE!$F$14,$M262,BP$13)="",10^12,OFFSET(CRONOPLE!$F$14,$M262,BP$13))))</f>
        <v>1000000000000</v>
      </c>
      <c r="BQ262" s="181">
        <f ca="1">IF($D262&lt;&gt;"Serviço",0,IF(AND(AUTOEVENTO="Manual",$M262=1),0,IF(OFFSET(CRONOPLE!$F$14,$M262,BQ$13)="",10^12,OFFSET(CRONOPLE!$F$14,$M262,BQ$13))))</f>
        <v>1000000000000</v>
      </c>
      <c r="BR262" s="181">
        <f ca="1">IF($D262&lt;&gt;"Serviço",0,IF(AND(AUTOEVENTO="Manual",$M262=1),0,IF(OFFSET(CRONOPLE!$F$14,$M262,BR$13)="",10^12,OFFSET(CRONOPLE!$F$14,$M262,BR$13))))</f>
        <v>1000000000000</v>
      </c>
      <c r="BS262" s="181">
        <f ca="1">IF($D262&lt;&gt;"Serviço",0,IF(AND(AUTOEVENTO="Manual",$M262=1),0,IF(OFFSET(CRONOPLE!$F$14,$M262,BS$13)="",10^12,OFFSET(CRONOPLE!$F$14,$M262,BS$13))))</f>
        <v>1000000000000</v>
      </c>
      <c r="BT262" s="181">
        <f ca="1">IF($D262&lt;&gt;"Serviço",0,IF(AND(AUTOEVENTO="Manual",$M262=1),0,IF(OFFSET(CRONOPLE!$F$14,$M262,BT$13)="",10^12,OFFSET(CRONOPLE!$F$14,$M262,BT$13))))</f>
        <v>1000000000000</v>
      </c>
      <c r="BV262" s="182">
        <f ca="1">IF($D262&lt;&gt;"Serviço",0,IF(OR(AND(AUTOEVENTO="Manual",$M262=1),$M262&gt;(ROW(PLE.lastrow)-ROW(PLE.firstrow))),0,IF(OFFSET(PLE!$G$14,$M262,BV$13)="",10^12,OFFSET(PLE!$G$14,$M262,BV$13))))</f>
        <v>1000000000000</v>
      </c>
      <c r="BW262" s="182">
        <f ca="1">IF($D262&lt;&gt;"Serviço",0,IF(OR(AND(AUTOEVENTO="Manual",$M262=1),$M262&gt;(ROW(PLE.lastrow)-ROW(PLE.firstrow))),0,IF(OFFSET(PLE!$G$14,$M262,BW$13)="",10^12,OFFSET(PLE!$G$14,$M262,BW$13))))</f>
        <v>1000000000000</v>
      </c>
      <c r="BX262" s="182">
        <f ca="1">IF($D262&lt;&gt;"Serviço",0,IF(OR(AND(AUTOEVENTO="Manual",$M262=1),$M262&gt;(ROW(PLE.lastrow)-ROW(PLE.firstrow))),0,IF(OFFSET(PLE!$G$14,$M262,BX$13)="",10^12,OFFSET(PLE!$G$14,$M262,BX$13))))</f>
        <v>1000000000000</v>
      </c>
      <c r="BY262" s="182">
        <f ca="1">IF($D262&lt;&gt;"Serviço",0,IF(OR(AND(AUTOEVENTO="Manual",$M262=1),$M262&gt;(ROW(PLE.lastrow)-ROW(PLE.firstrow))),0,IF(OFFSET(PLE!$G$14,$M262,BY$13)="",10^12,OFFSET(PLE!$G$14,$M262,BY$13))))</f>
        <v>1000000000000</v>
      </c>
      <c r="BZ262" s="182">
        <f ca="1">IF($D262&lt;&gt;"Serviço",0,IF(OR(AND(AUTOEVENTO="Manual",$M262=1),$M262&gt;(ROW(PLE.lastrow)-ROW(PLE.firstrow))),0,IF(OFFSET(PLE!$G$14,$M262,BZ$13)="",10^12,OFFSET(PLE!$G$14,$M262,BZ$13))))</f>
        <v>1000000000000</v>
      </c>
      <c r="CA262" s="182">
        <f ca="1">IF($D262&lt;&gt;"Serviço",0,IF(OR(AND(AUTOEVENTO="Manual",$M262=1),$M262&gt;(ROW(PLE.lastrow)-ROW(PLE.firstrow))),0,IF(OFFSET(PLE!$G$14,$M262,CA$13)="",10^12,OFFSET(PLE!$G$14,$M262,CA$13))))</f>
        <v>1000000000000</v>
      </c>
      <c r="CB262" s="182">
        <f ca="1">IF($D262&lt;&gt;"Serviço",0,IF(OR(AND(AUTOEVENTO="Manual",$M262=1),$M262&gt;(ROW(PLE.lastrow)-ROW(PLE.firstrow))),0,IF(OFFSET(PLE!$G$14,$M262,CB$13)="",10^12,OFFSET(PLE!$G$14,$M262,CB$13))))</f>
        <v>1000000000000</v>
      </c>
      <c r="CC262" s="182">
        <f ca="1">IF($D262&lt;&gt;"Serviço",0,IF(OR(AND(AUTOEVENTO="Manual",$M262=1),$M262&gt;(ROW(PLE.lastrow)-ROW(PLE.firstrow))),0,IF(OFFSET(PLE!$G$14,$M262,CC$13)="",10^12,OFFSET(PLE!$G$14,$M262,CC$13))))</f>
        <v>1000000000000</v>
      </c>
      <c r="CD262" s="182">
        <f ca="1">IF($D262&lt;&gt;"Serviço",0,IF(OR(AND(AUTOEVENTO="Manual",$M262=1),$M262&gt;(ROW(PLE.lastrow)-ROW(PLE.firstrow))),0,IF(OFFSET(PLE!$G$14,$M262,CD$13)="",10^12,OFFSET(PLE!$G$14,$M262,CD$13))))</f>
        <v>1000000000000</v>
      </c>
      <c r="CE262" s="182">
        <f ca="1">IF($D262&lt;&gt;"Serviço",0,IF(OR(AND(AUTOEVENTO="Manual",$M262=1),$M262&gt;(ROW(PLE.lastrow)-ROW(PLE.firstrow))),0,IF(OFFSET(PLE!$G$14,$M262,CE$13)="",10^12,OFFSET(PLE!$G$14,$M262,CE$13))))</f>
        <v>1000000000000</v>
      </c>
      <c r="CF262" s="182">
        <f ca="1">IF($D262&lt;&gt;"Serviço",0,IF(OR(AND(AUTOEVENTO="Manual",$M262=1),$M262&gt;(ROW(PLE.lastrow)-ROW(PLE.firstrow))),0,IF(OFFSET(PLE!$G$14,$M262,CF$13)="",10^12,OFFSET(PLE!$G$14,$M262,CF$13))))</f>
        <v>1000000000000</v>
      </c>
      <c r="CG262" s="182">
        <f ca="1">IF($D262&lt;&gt;"Serviço",0,IF(OR(AND(AUTOEVENTO="Manual",$M262=1),$M262&gt;(ROW(PLE.lastrow)-ROW(PLE.firstrow))),0,IF(OFFSET(PLE!$G$14,$M262,CG$13)="",10^12,OFFSET(PLE!$G$14,$M262,CG$13))))</f>
        <v>1000000000000</v>
      </c>
      <c r="CH262" s="182">
        <f ca="1">IF($D262&lt;&gt;"Serviço",0,IF(OR(AND(AUTOEVENTO="Manual",$M262=1),$M262&gt;(ROW(PLE.lastrow)-ROW(PLE.firstrow))),0,IF(OFFSET(PLE!$G$14,$M262,CH$13)="",10^12,OFFSET(PLE!$G$14,$M262,CH$13))))</f>
        <v>1000000000000</v>
      </c>
      <c r="CI262" s="182">
        <f ca="1">IF($D262&lt;&gt;"Serviço",0,IF(OR(AND(AUTOEVENTO="Manual",$M262=1),$M262&gt;(ROW(PLE.lastrow)-ROW(PLE.firstrow))),0,IF(OFFSET(PLE!$G$14,$M262,CI$13)="",10^12,OFFSET(PLE!$G$14,$M262,CI$13))))</f>
        <v>1000000000000</v>
      </c>
      <c r="CJ262" s="182">
        <f ca="1">IF($D262&lt;&gt;"Serviço",0,IF(OR(AND(AUTOEVENTO="Manual",$M262=1),$M262&gt;(ROW(PLE.lastrow)-ROW(PLE.firstrow))),0,IF(OFFSET(PLE!$G$14,$M262,CJ$13)="",10^12,OFFSET(PLE!$G$14,$M262,CJ$13))))</f>
        <v>1000000000000</v>
      </c>
      <c r="CK262" s="182">
        <f ca="1">IF($D262&lt;&gt;"Serviço",0,IF(OR(AND(AUTOEVENTO="Manual",$M262=1),$M262&gt;(ROW(PLE.lastrow)-ROW(PLE.firstrow))),0,IF(OFFSET(PLE!$G$14,$M262,CK$13)="",10^12,OFFSET(PLE!$G$14,$M262,CK$13))))</f>
        <v>1000000000000</v>
      </c>
      <c r="CL262" s="182">
        <f ca="1">IF($D262&lt;&gt;"Serviço",0,IF(OR(AND(AUTOEVENTO="Manual",$M262=1),$M262&gt;(ROW(PLE.lastrow)-ROW(PLE.firstrow))),0,IF(OFFSET(PLE!$G$14,$M262,CL$13)="",10^12,OFFSET(PLE!$G$14,$M262,CL$13))))</f>
        <v>1000000000000</v>
      </c>
      <c r="CM262" s="182">
        <f ca="1">IF($D262&lt;&gt;"Serviço",0,IF(OR(AND(AUTOEVENTO="Manual",$M262=1),$M262&gt;(ROW(PLE.lastrow)-ROW(PLE.firstrow))),0,IF(OFFSET(PLE!$G$14,$M262,CM$13)="",10^12,OFFSET(PLE!$G$14,$M262,CM$13))))</f>
        <v>1000000000000</v>
      </c>
    </row>
    <row r="263" spans="1:91" ht="38.25" x14ac:dyDescent="0.2">
      <c r="A263" s="7" t="str">
        <f t="shared" ca="1" si="12"/>
        <v>232</v>
      </c>
      <c r="B263" s="7" t="str">
        <f ca="1">OFFSET(ORÇAMENTO!C$15,ROW(B263)-ROW(B$15),0)</f>
        <v>S</v>
      </c>
      <c r="C263" s="7" t="str">
        <f ca="1">OFFSET(ORÇAMENTO!L$15,ROW(C263)-ROW(C$15),0)</f>
        <v/>
      </c>
      <c r="D263" s="118" t="str">
        <f ca="1">OFFSET(ORÇAMENTO!N$15,ROW(D263)-ROW(D$15),0)</f>
        <v>Serviço</v>
      </c>
      <c r="E263" s="119" t="str">
        <f ca="1">OFFSET(ORÇAMENTO!O$15,ROW(E263)-ROW(E$15),0)</f>
        <v>-</v>
      </c>
      <c r="F263" s="172" t="str">
        <f ca="1">OFFSET(ORÇAMENTO!R$15,ROW(F263)-ROW(F$15),0)</f>
        <v>(abra o arquivo 'Referência 06-2024.xlsm)</v>
      </c>
      <c r="G263" s="173" t="str">
        <f ca="1">IF($D263&lt;&gt;"Serviço","",OFFSET(ORÇAMENTO!S$15,ROW(G263)-ROW(G$15),0))</f>
        <v>-</v>
      </c>
      <c r="H263" s="124">
        <f ca="1">IF($D263&lt;&gt;"Serviço",0,IF(ACOMPANHAMENTO="BM",ROUND(OFFSET(ORÇAMENTO!AJ$15,ROW(H263)-ROW(H$15),0),15-13*ORÇAMENTO!$AF$7),SUMPRODUCT(($Q$12:$AI$12&lt;&gt;"")*ROUND($Q263:$AI263,15-13*ORÇAMENTO!$AF$7))))</f>
        <v>2</v>
      </c>
      <c r="I263" s="561" t="s">
        <v>1107</v>
      </c>
      <c r="K263" s="174"/>
      <c r="L263" s="175" t="s">
        <v>255</v>
      </c>
      <c r="M263" s="176">
        <f ca="1">IF($D263&lt;&gt;"Serviço","",IF(AUTOEVENTO="manual",$A263,IF(ISERROR(MATCH($A263,$A$15:OFFSET($A263,-1,0),0)),MAX($M$15:OFFSET(M263,-1,0))+1,INDEX($M$15:OFFSET(M263,-1,0),MATCH($A263,$A$15:OFFSET($A263,-1,0),0)))))</f>
        <v>35</v>
      </c>
      <c r="N263" s="177" t="str">
        <f ca="1">IF($D263&lt;&gt;"Serviço","",IF(AUTOEVENTO="Manual",IF($A263=0,"&lt;-- defina o número do agrupador",OFFSET(EVENTOS!$D$14,$A263,0)),OFFSET($F$15,$A263,0)))</f>
        <v>INSTALAÇÃO HIDRÁULICA - TUBULAÇÕES E CONEXÕES DE PVC RÍGIDO</v>
      </c>
      <c r="O263" s="178"/>
      <c r="Q263" s="178">
        <v>2</v>
      </c>
      <c r="R263" s="179"/>
      <c r="S263" s="179"/>
      <c r="T263" s="179"/>
      <c r="U263" s="179"/>
      <c r="V263" s="179"/>
      <c r="W263" s="179"/>
      <c r="X263" s="179"/>
      <c r="Y263" s="179"/>
      <c r="Z263" s="180"/>
      <c r="AA263" s="179"/>
      <c r="AB263" s="179"/>
      <c r="AC263" s="179"/>
      <c r="AD263" s="179"/>
      <c r="AE263" s="179"/>
      <c r="AF263" s="179"/>
      <c r="AG263" s="179"/>
      <c r="AH263" s="180"/>
      <c r="AJ263" s="544">
        <f ca="1">IF(AND($D263="Serviço",AJ$12&lt;&gt;0,$H263&gt;0,OR(AUTOEVENTO&lt;&gt;"manual",$M263&lt;&gt;1)),
IF(Import.TipoArredondamento&lt;&gt;"TransfereGOV",
ROUND(OFFSET($P263,0,AJ$13),15-13*ORÇAMENTO!$AF$7)/$H263*OFFSET(ORÇAMENTO!$X$15,ROW(AJ263)-ROW(AJ$15),0),
ROUND(ROUND(OFFSET($P263,0,AJ$13),15-13*ORÇAMENTO!$AF$7)*OFFSET(ORÇAMENTO!$W$15,ROW(AJ263)-ROW(AJ$15),0),15-13*ORÇAMENTO!$AF$11)),0)</f>
        <v>0</v>
      </c>
      <c r="AK263" s="545">
        <f ca="1">IF(AND($D263="Serviço",AK$12&lt;&gt;0,$H263&gt;0,OR(AUTOEVENTO&lt;&gt;"manual",$M263&lt;&gt;1)),
IF(Import.TipoArredondamento&lt;&gt;"TransfereGOV",
ROUND(OFFSET($P263,0,AK$13),15-13*ORÇAMENTO!$AF$7)/$H263*OFFSET(ORÇAMENTO!$X$15,ROW(AK263)-ROW(AK$15),0),
ROUND(ROUND(OFFSET($P263,0,AK$13),15-13*ORÇAMENTO!$AF$7)*OFFSET(ORÇAMENTO!$W$15,ROW(AK263)-ROW(AK$15),0),15-13*ORÇAMENTO!$AF$11)),0)</f>
        <v>0</v>
      </c>
      <c r="AL263" s="545">
        <f ca="1">IF(AND($D263="Serviço",AL$12&lt;&gt;0,$H263&gt;0,OR(AUTOEVENTO&lt;&gt;"manual",$M263&lt;&gt;1)),
IF(Import.TipoArredondamento&lt;&gt;"TransfereGOV",
ROUND(OFFSET($P263,0,AL$13),15-13*ORÇAMENTO!$AF$7)/$H263*OFFSET(ORÇAMENTO!$X$15,ROW(AL263)-ROW(AL$15),0),
ROUND(ROUND(OFFSET($P263,0,AL$13),15-13*ORÇAMENTO!$AF$7)*OFFSET(ORÇAMENTO!$W$15,ROW(AL263)-ROW(AL$15),0),15-13*ORÇAMENTO!$AF$11)),0)</f>
        <v>0</v>
      </c>
      <c r="AM263" s="545">
        <f ca="1">IF(AND($D263="Serviço",AM$12&lt;&gt;0,$H263&gt;0,OR(AUTOEVENTO&lt;&gt;"manual",$M263&lt;&gt;1)),
IF(Import.TipoArredondamento&lt;&gt;"TransfereGOV",
ROUND(OFFSET($P263,0,AM$13),15-13*ORÇAMENTO!$AF$7)/$H263*OFFSET(ORÇAMENTO!$X$15,ROW(AM263)-ROW(AM$15),0),
ROUND(ROUND(OFFSET($P263,0,AM$13),15-13*ORÇAMENTO!$AF$7)*OFFSET(ORÇAMENTO!$W$15,ROW(AM263)-ROW(AM$15),0),15-13*ORÇAMENTO!$AF$11)),0)</f>
        <v>0</v>
      </c>
      <c r="AN263" s="545">
        <f ca="1">IF(AND($D263="Serviço",AN$12&lt;&gt;0,$H263&gt;0,OR(AUTOEVENTO&lt;&gt;"manual",$M263&lt;&gt;1)),
IF(Import.TipoArredondamento&lt;&gt;"TransfereGOV",
ROUND(OFFSET($P263,0,AN$13),15-13*ORÇAMENTO!$AF$7)/$H263*OFFSET(ORÇAMENTO!$X$15,ROW(AN263)-ROW(AN$15),0),
ROUND(ROUND(OFFSET($P263,0,AN$13),15-13*ORÇAMENTO!$AF$7)*OFFSET(ORÇAMENTO!$W$15,ROW(AN263)-ROW(AN$15),0),15-13*ORÇAMENTO!$AF$11)),0)</f>
        <v>0</v>
      </c>
      <c r="AO263" s="545">
        <f ca="1">IF(AND($D263="Serviço",AO$12&lt;&gt;0,$H263&gt;0,OR(AUTOEVENTO&lt;&gt;"manual",$M263&lt;&gt;1)),
IF(Import.TipoArredondamento&lt;&gt;"TransfereGOV",
ROUND(OFFSET($P263,0,AO$13),15-13*ORÇAMENTO!$AF$7)/$H263*OFFSET(ORÇAMENTO!$X$15,ROW(AO263)-ROW(AO$15),0),
ROUND(ROUND(OFFSET($P263,0,AO$13),15-13*ORÇAMENTO!$AF$7)*OFFSET(ORÇAMENTO!$W$15,ROW(AO263)-ROW(AO$15),0),15-13*ORÇAMENTO!$AF$11)),0)</f>
        <v>0</v>
      </c>
      <c r="AP263" s="545">
        <f ca="1">IF(AND($D263="Serviço",AP$12&lt;&gt;0,$H263&gt;0,OR(AUTOEVENTO&lt;&gt;"manual",$M263&lt;&gt;1)),
IF(Import.TipoArredondamento&lt;&gt;"TransfereGOV",
ROUND(OFFSET($P263,0,AP$13),15-13*ORÇAMENTO!$AF$7)/$H263*OFFSET(ORÇAMENTO!$X$15,ROW(AP263)-ROW(AP$15),0),
ROUND(ROUND(OFFSET($P263,0,AP$13),15-13*ORÇAMENTO!$AF$7)*OFFSET(ORÇAMENTO!$W$15,ROW(AP263)-ROW(AP$15),0),15-13*ORÇAMENTO!$AF$11)),0)</f>
        <v>0</v>
      </c>
      <c r="AQ263" s="545">
        <f ca="1">IF(AND($D263="Serviço",AQ$12&lt;&gt;0,$H263&gt;0,OR(AUTOEVENTO&lt;&gt;"manual",$M263&lt;&gt;1)),
IF(Import.TipoArredondamento&lt;&gt;"TransfereGOV",
ROUND(OFFSET($P263,0,AQ$13),15-13*ORÇAMENTO!$AF$7)/$H263*OFFSET(ORÇAMENTO!$X$15,ROW(AQ263)-ROW(AQ$15),0),
ROUND(ROUND(OFFSET($P263,0,AQ$13),15-13*ORÇAMENTO!$AF$7)*OFFSET(ORÇAMENTO!$W$15,ROW(AQ263)-ROW(AQ$15),0),15-13*ORÇAMENTO!$AF$11)),0)</f>
        <v>0</v>
      </c>
      <c r="AR263" s="545">
        <f ca="1">IF(AND($D263="Serviço",AR$12&lt;&gt;0,$H263&gt;0,OR(AUTOEVENTO&lt;&gt;"manual",$M263&lt;&gt;1)),
IF(Import.TipoArredondamento&lt;&gt;"TransfereGOV",
ROUND(OFFSET($P263,0,AR$13),15-13*ORÇAMENTO!$AF$7)/$H263*OFFSET(ORÇAMENTO!$X$15,ROW(AR263)-ROW(AR$15),0),
ROUND(ROUND(OFFSET($P263,0,AR$13),15-13*ORÇAMENTO!$AF$7)*OFFSET(ORÇAMENTO!$W$15,ROW(AR263)-ROW(AR$15),0),15-13*ORÇAMENTO!$AF$11)),0)</f>
        <v>0</v>
      </c>
      <c r="AS263" s="546">
        <f ca="1">IF(AND($D263="Serviço",AS$12&lt;&gt;0,$H263&gt;0,OR(AUTOEVENTO&lt;&gt;"manual",$M263&lt;&gt;1)),
IF(Import.TipoArredondamento&lt;&gt;"TransfereGOV",
ROUND(OFFSET($P263,0,AS$13),15-13*ORÇAMENTO!$AF$7)/$H263*OFFSET(ORÇAMENTO!$X$15,ROW(AS263)-ROW(AS$15),0),
ROUND(ROUND(OFFSET($P263,0,AS$13),15-13*ORÇAMENTO!$AF$7)*OFFSET(ORÇAMENTO!$W$15,ROW(AS263)-ROW(AS$15),0),15-13*ORÇAMENTO!$AF$11)),0)</f>
        <v>0</v>
      </c>
      <c r="AT263" s="545">
        <f ca="1">IF(AND($D263="Serviço",AT$12&lt;&gt;0,$H263&gt;0,OR(AUTOEVENTO&lt;&gt;"manual",$M263&lt;&gt;1)),
IF(Import.TipoArredondamento&lt;&gt;"TransfereGOV",
ROUND(OFFSET($P263,0,AT$13),15-13*ORÇAMENTO!$AF$7)/$H263*OFFSET(ORÇAMENTO!$X$15,ROW(AT263)-ROW(AT$15),0),
ROUND(ROUND(OFFSET($P263,0,AT$13),15-13*ORÇAMENTO!$AF$7)*OFFSET(ORÇAMENTO!$W$15,ROW(AT263)-ROW(AT$15),0),15-13*ORÇAMENTO!$AF$11)),0)</f>
        <v>0</v>
      </c>
      <c r="AU263" s="545">
        <f ca="1">IF(AND($D263="Serviço",AU$12&lt;&gt;0,$H263&gt;0,OR(AUTOEVENTO&lt;&gt;"manual",$M263&lt;&gt;1)),
IF(Import.TipoArredondamento&lt;&gt;"TransfereGOV",
ROUND(OFFSET($P263,0,AU$13),15-13*ORÇAMENTO!$AF$7)/$H263*OFFSET(ORÇAMENTO!$X$15,ROW(AU263)-ROW(AU$15),0),
ROUND(ROUND(OFFSET($P263,0,AU$13),15-13*ORÇAMENTO!$AF$7)*OFFSET(ORÇAMENTO!$W$15,ROW(AU263)-ROW(AU$15),0),15-13*ORÇAMENTO!$AF$11)),0)</f>
        <v>0</v>
      </c>
      <c r="AV263" s="545">
        <f ca="1">IF(AND($D263="Serviço",AV$12&lt;&gt;0,$H263&gt;0,OR(AUTOEVENTO&lt;&gt;"manual",$M263&lt;&gt;1)),
IF(Import.TipoArredondamento&lt;&gt;"TransfereGOV",
ROUND(OFFSET($P263,0,AV$13),15-13*ORÇAMENTO!$AF$7)/$H263*OFFSET(ORÇAMENTO!$X$15,ROW(AV263)-ROW(AV$15),0),
ROUND(ROUND(OFFSET($P263,0,AV$13),15-13*ORÇAMENTO!$AF$7)*OFFSET(ORÇAMENTO!$W$15,ROW(AV263)-ROW(AV$15),0),15-13*ORÇAMENTO!$AF$11)),0)</f>
        <v>0</v>
      </c>
      <c r="AW263" s="545">
        <f ca="1">IF(AND($D263="Serviço",AW$12&lt;&gt;0,$H263&gt;0,OR(AUTOEVENTO&lt;&gt;"manual",$M263&lt;&gt;1)),
IF(Import.TipoArredondamento&lt;&gt;"TransfereGOV",
ROUND(OFFSET($P263,0,AW$13),15-13*ORÇAMENTO!$AF$7)/$H263*OFFSET(ORÇAMENTO!$X$15,ROW(AW263)-ROW(AW$15),0),
ROUND(ROUND(OFFSET($P263,0,AW$13),15-13*ORÇAMENTO!$AF$7)*OFFSET(ORÇAMENTO!$W$15,ROW(AW263)-ROW(AW$15),0),15-13*ORÇAMENTO!$AF$11)),0)</f>
        <v>0</v>
      </c>
      <c r="AX263" s="545">
        <f ca="1">IF(AND($D263="Serviço",AX$12&lt;&gt;0,$H263&gt;0,OR(AUTOEVENTO&lt;&gt;"manual",$M263&lt;&gt;1)),
IF(Import.TipoArredondamento&lt;&gt;"TransfereGOV",
ROUND(OFFSET($P263,0,AX$13),15-13*ORÇAMENTO!$AF$7)/$H263*OFFSET(ORÇAMENTO!$X$15,ROW(AX263)-ROW(AX$15),0),
ROUND(ROUND(OFFSET($P263,0,AX$13),15-13*ORÇAMENTO!$AF$7)*OFFSET(ORÇAMENTO!$W$15,ROW(AX263)-ROW(AX$15),0),15-13*ORÇAMENTO!$AF$11)),0)</f>
        <v>0</v>
      </c>
      <c r="AY263" s="545">
        <f ca="1">IF(AND($D263="Serviço",AY$12&lt;&gt;0,$H263&gt;0,OR(AUTOEVENTO&lt;&gt;"manual",$M263&lt;&gt;1)),
IF(Import.TipoArredondamento&lt;&gt;"TransfereGOV",
ROUND(OFFSET($P263,0,AY$13),15-13*ORÇAMENTO!$AF$7)/$H263*OFFSET(ORÇAMENTO!$X$15,ROW(AY263)-ROW(AY$15),0),
ROUND(ROUND(OFFSET($P263,0,AY$13),15-13*ORÇAMENTO!$AF$7)*OFFSET(ORÇAMENTO!$W$15,ROW(AY263)-ROW(AY$15),0),15-13*ORÇAMENTO!$AF$11)),0)</f>
        <v>0</v>
      </c>
      <c r="AZ263" s="545">
        <f ca="1">IF(AND($D263="Serviço",AZ$12&lt;&gt;0,$H263&gt;0,OR(AUTOEVENTO&lt;&gt;"manual",$M263&lt;&gt;1)),
IF(Import.TipoArredondamento&lt;&gt;"TransfereGOV",
ROUND(OFFSET($P263,0,AZ$13),15-13*ORÇAMENTO!$AF$7)/$H263*OFFSET(ORÇAMENTO!$X$15,ROW(AZ263)-ROW(AZ$15),0),
ROUND(ROUND(OFFSET($P263,0,AZ$13),15-13*ORÇAMENTO!$AF$7)*OFFSET(ORÇAMENTO!$W$15,ROW(AZ263)-ROW(AZ$15),0),15-13*ORÇAMENTO!$AF$11)),0)</f>
        <v>0</v>
      </c>
      <c r="BA263" s="546">
        <f ca="1">IF(AND($D263="Serviço",BA$12&lt;&gt;0,$H263&gt;0,OR(AUTOEVENTO&lt;&gt;"manual",$M263&lt;&gt;1)),
IF(Import.TipoArredondamento&lt;&gt;"TransfereGOV",
ROUND(OFFSET($P263,0,BA$13),15-13*ORÇAMENTO!$AF$7)/$H263*OFFSET(ORÇAMENTO!$X$15,ROW(BA263)-ROW(BA$15),0),
ROUND(ROUND(OFFSET($P263,0,BA$13),15-13*ORÇAMENTO!$AF$7)*OFFSET(ORÇAMENTO!$W$15,ROW(BA263)-ROW(BA$15),0),15-13*ORÇAMENTO!$AF$11)),0)</f>
        <v>0</v>
      </c>
      <c r="BC263" s="181">
        <f ca="1">IF($D263&lt;&gt;"Serviço",0,IF(AND(AUTOEVENTO="Manual",$M263=1),0,IF(OFFSET(CRONOPLE!$F$14,$M263,BC$13)="",10^12,OFFSET(CRONOPLE!$F$14,$M263,BC$13))))</f>
        <v>9</v>
      </c>
      <c r="BD263" s="181">
        <f ca="1">IF($D263&lt;&gt;"Serviço",0,IF(AND(AUTOEVENTO="Manual",$M263=1),0,IF(OFFSET(CRONOPLE!$F$14,$M263,BD$13)="",10^12,OFFSET(CRONOPLE!$F$14,$M263,BD$13))))</f>
        <v>1000000000000</v>
      </c>
      <c r="BE263" s="181">
        <f ca="1">IF($D263&lt;&gt;"Serviço",0,IF(AND(AUTOEVENTO="Manual",$M263=1),0,IF(OFFSET(CRONOPLE!$F$14,$M263,BE$13)="",10^12,OFFSET(CRONOPLE!$F$14,$M263,BE$13))))</f>
        <v>1000000000000</v>
      </c>
      <c r="BF263" s="181">
        <f ca="1">IF($D263&lt;&gt;"Serviço",0,IF(AND(AUTOEVENTO="Manual",$M263=1),0,IF(OFFSET(CRONOPLE!$F$14,$M263,BF$13)="",10^12,OFFSET(CRONOPLE!$F$14,$M263,BF$13))))</f>
        <v>1000000000000</v>
      </c>
      <c r="BG263" s="181">
        <f ca="1">IF($D263&lt;&gt;"Serviço",0,IF(AND(AUTOEVENTO="Manual",$M263=1),0,IF(OFFSET(CRONOPLE!$F$14,$M263,BG$13)="",10^12,OFFSET(CRONOPLE!$F$14,$M263,BG$13))))</f>
        <v>1000000000000</v>
      </c>
      <c r="BH263" s="181">
        <f ca="1">IF($D263&lt;&gt;"Serviço",0,IF(AND(AUTOEVENTO="Manual",$M263=1),0,IF(OFFSET(CRONOPLE!$F$14,$M263,BH$13)="",10^12,OFFSET(CRONOPLE!$F$14,$M263,BH$13))))</f>
        <v>1000000000000</v>
      </c>
      <c r="BI263" s="181">
        <f ca="1">IF($D263&lt;&gt;"Serviço",0,IF(AND(AUTOEVENTO="Manual",$M263=1),0,IF(OFFSET(CRONOPLE!$F$14,$M263,BI$13)="",10^12,OFFSET(CRONOPLE!$F$14,$M263,BI$13))))</f>
        <v>1000000000000</v>
      </c>
      <c r="BJ263" s="181">
        <f ca="1">IF($D263&lt;&gt;"Serviço",0,IF(AND(AUTOEVENTO="Manual",$M263=1),0,IF(OFFSET(CRONOPLE!$F$14,$M263,BJ$13)="",10^12,OFFSET(CRONOPLE!$F$14,$M263,BJ$13))))</f>
        <v>1000000000000</v>
      </c>
      <c r="BK263" s="181">
        <f ca="1">IF($D263&lt;&gt;"Serviço",0,IF(AND(AUTOEVENTO="Manual",$M263=1),0,IF(OFFSET(CRONOPLE!$F$14,$M263,BK$13)="",10^12,OFFSET(CRONOPLE!$F$14,$M263,BK$13))))</f>
        <v>1000000000000</v>
      </c>
      <c r="BL263" s="181">
        <f ca="1">IF($D263&lt;&gt;"Serviço",0,IF(AND(AUTOEVENTO="Manual",$M263=1),0,IF(OFFSET(CRONOPLE!$F$14,$M263,BL$13)="",10^12,OFFSET(CRONOPLE!$F$14,$M263,BL$13))))</f>
        <v>1000000000000</v>
      </c>
      <c r="BM263" s="181">
        <f ca="1">IF($D263&lt;&gt;"Serviço",0,IF(AND(AUTOEVENTO="Manual",$M263=1),0,IF(OFFSET(CRONOPLE!$F$14,$M263,BM$13)="",10^12,OFFSET(CRONOPLE!$F$14,$M263,BM$13))))</f>
        <v>1000000000000</v>
      </c>
      <c r="BN263" s="181">
        <f ca="1">IF($D263&lt;&gt;"Serviço",0,IF(AND(AUTOEVENTO="Manual",$M263=1),0,IF(OFFSET(CRONOPLE!$F$14,$M263,BN$13)="",10^12,OFFSET(CRONOPLE!$F$14,$M263,BN$13))))</f>
        <v>1000000000000</v>
      </c>
      <c r="BO263" s="181">
        <f ca="1">IF($D263&lt;&gt;"Serviço",0,IF(AND(AUTOEVENTO="Manual",$M263=1),0,IF(OFFSET(CRONOPLE!$F$14,$M263,BO$13)="",10^12,OFFSET(CRONOPLE!$F$14,$M263,BO$13))))</f>
        <v>1000000000000</v>
      </c>
      <c r="BP263" s="181">
        <f ca="1">IF($D263&lt;&gt;"Serviço",0,IF(AND(AUTOEVENTO="Manual",$M263=1),0,IF(OFFSET(CRONOPLE!$F$14,$M263,BP$13)="",10^12,OFFSET(CRONOPLE!$F$14,$M263,BP$13))))</f>
        <v>1000000000000</v>
      </c>
      <c r="BQ263" s="181">
        <f ca="1">IF($D263&lt;&gt;"Serviço",0,IF(AND(AUTOEVENTO="Manual",$M263=1),0,IF(OFFSET(CRONOPLE!$F$14,$M263,BQ$13)="",10^12,OFFSET(CRONOPLE!$F$14,$M263,BQ$13))))</f>
        <v>1000000000000</v>
      </c>
      <c r="BR263" s="181">
        <f ca="1">IF($D263&lt;&gt;"Serviço",0,IF(AND(AUTOEVENTO="Manual",$M263=1),0,IF(OFFSET(CRONOPLE!$F$14,$M263,BR$13)="",10^12,OFFSET(CRONOPLE!$F$14,$M263,BR$13))))</f>
        <v>1000000000000</v>
      </c>
      <c r="BS263" s="181">
        <f ca="1">IF($D263&lt;&gt;"Serviço",0,IF(AND(AUTOEVENTO="Manual",$M263=1),0,IF(OFFSET(CRONOPLE!$F$14,$M263,BS$13)="",10^12,OFFSET(CRONOPLE!$F$14,$M263,BS$13))))</f>
        <v>1000000000000</v>
      </c>
      <c r="BT263" s="181">
        <f ca="1">IF($D263&lt;&gt;"Serviço",0,IF(AND(AUTOEVENTO="Manual",$M263=1),0,IF(OFFSET(CRONOPLE!$F$14,$M263,BT$13)="",10^12,OFFSET(CRONOPLE!$F$14,$M263,BT$13))))</f>
        <v>1000000000000</v>
      </c>
      <c r="BV263" s="182">
        <f ca="1">IF($D263&lt;&gt;"Serviço",0,IF(OR(AND(AUTOEVENTO="Manual",$M263=1),$M263&gt;(ROW(PLE.lastrow)-ROW(PLE.firstrow))),0,IF(OFFSET(PLE!$G$14,$M263,BV$13)="",10^12,OFFSET(PLE!$G$14,$M263,BV$13))))</f>
        <v>1000000000000</v>
      </c>
      <c r="BW263" s="182">
        <f ca="1">IF($D263&lt;&gt;"Serviço",0,IF(OR(AND(AUTOEVENTO="Manual",$M263=1),$M263&gt;(ROW(PLE.lastrow)-ROW(PLE.firstrow))),0,IF(OFFSET(PLE!$G$14,$M263,BW$13)="",10^12,OFFSET(PLE!$G$14,$M263,BW$13))))</f>
        <v>1000000000000</v>
      </c>
      <c r="BX263" s="182">
        <f ca="1">IF($D263&lt;&gt;"Serviço",0,IF(OR(AND(AUTOEVENTO="Manual",$M263=1),$M263&gt;(ROW(PLE.lastrow)-ROW(PLE.firstrow))),0,IF(OFFSET(PLE!$G$14,$M263,BX$13)="",10^12,OFFSET(PLE!$G$14,$M263,BX$13))))</f>
        <v>1000000000000</v>
      </c>
      <c r="BY263" s="182">
        <f ca="1">IF($D263&lt;&gt;"Serviço",0,IF(OR(AND(AUTOEVENTO="Manual",$M263=1),$M263&gt;(ROW(PLE.lastrow)-ROW(PLE.firstrow))),0,IF(OFFSET(PLE!$G$14,$M263,BY$13)="",10^12,OFFSET(PLE!$G$14,$M263,BY$13))))</f>
        <v>1000000000000</v>
      </c>
      <c r="BZ263" s="182">
        <f ca="1">IF($D263&lt;&gt;"Serviço",0,IF(OR(AND(AUTOEVENTO="Manual",$M263=1),$M263&gt;(ROW(PLE.lastrow)-ROW(PLE.firstrow))),0,IF(OFFSET(PLE!$G$14,$M263,BZ$13)="",10^12,OFFSET(PLE!$G$14,$M263,BZ$13))))</f>
        <v>1000000000000</v>
      </c>
      <c r="CA263" s="182">
        <f ca="1">IF($D263&lt;&gt;"Serviço",0,IF(OR(AND(AUTOEVENTO="Manual",$M263=1),$M263&gt;(ROW(PLE.lastrow)-ROW(PLE.firstrow))),0,IF(OFFSET(PLE!$G$14,$M263,CA$13)="",10^12,OFFSET(PLE!$G$14,$M263,CA$13))))</f>
        <v>1000000000000</v>
      </c>
      <c r="CB263" s="182">
        <f ca="1">IF($D263&lt;&gt;"Serviço",0,IF(OR(AND(AUTOEVENTO="Manual",$M263=1),$M263&gt;(ROW(PLE.lastrow)-ROW(PLE.firstrow))),0,IF(OFFSET(PLE!$G$14,$M263,CB$13)="",10^12,OFFSET(PLE!$G$14,$M263,CB$13))))</f>
        <v>1000000000000</v>
      </c>
      <c r="CC263" s="182">
        <f ca="1">IF($D263&lt;&gt;"Serviço",0,IF(OR(AND(AUTOEVENTO="Manual",$M263=1),$M263&gt;(ROW(PLE.lastrow)-ROW(PLE.firstrow))),0,IF(OFFSET(PLE!$G$14,$M263,CC$13)="",10^12,OFFSET(PLE!$G$14,$M263,CC$13))))</f>
        <v>1000000000000</v>
      </c>
      <c r="CD263" s="182">
        <f ca="1">IF($D263&lt;&gt;"Serviço",0,IF(OR(AND(AUTOEVENTO="Manual",$M263=1),$M263&gt;(ROW(PLE.lastrow)-ROW(PLE.firstrow))),0,IF(OFFSET(PLE!$G$14,$M263,CD$13)="",10^12,OFFSET(PLE!$G$14,$M263,CD$13))))</f>
        <v>1000000000000</v>
      </c>
      <c r="CE263" s="182">
        <f ca="1">IF($D263&lt;&gt;"Serviço",0,IF(OR(AND(AUTOEVENTO="Manual",$M263=1),$M263&gt;(ROW(PLE.lastrow)-ROW(PLE.firstrow))),0,IF(OFFSET(PLE!$G$14,$M263,CE$13)="",10^12,OFFSET(PLE!$G$14,$M263,CE$13))))</f>
        <v>1000000000000</v>
      </c>
      <c r="CF263" s="182">
        <f ca="1">IF($D263&lt;&gt;"Serviço",0,IF(OR(AND(AUTOEVENTO="Manual",$M263=1),$M263&gt;(ROW(PLE.lastrow)-ROW(PLE.firstrow))),0,IF(OFFSET(PLE!$G$14,$M263,CF$13)="",10^12,OFFSET(PLE!$G$14,$M263,CF$13))))</f>
        <v>1000000000000</v>
      </c>
      <c r="CG263" s="182">
        <f ca="1">IF($D263&lt;&gt;"Serviço",0,IF(OR(AND(AUTOEVENTO="Manual",$M263=1),$M263&gt;(ROW(PLE.lastrow)-ROW(PLE.firstrow))),0,IF(OFFSET(PLE!$G$14,$M263,CG$13)="",10^12,OFFSET(PLE!$G$14,$M263,CG$13))))</f>
        <v>1000000000000</v>
      </c>
      <c r="CH263" s="182">
        <f ca="1">IF($D263&lt;&gt;"Serviço",0,IF(OR(AND(AUTOEVENTO="Manual",$M263=1),$M263&gt;(ROW(PLE.lastrow)-ROW(PLE.firstrow))),0,IF(OFFSET(PLE!$G$14,$M263,CH$13)="",10^12,OFFSET(PLE!$G$14,$M263,CH$13))))</f>
        <v>1000000000000</v>
      </c>
      <c r="CI263" s="182">
        <f ca="1">IF($D263&lt;&gt;"Serviço",0,IF(OR(AND(AUTOEVENTO="Manual",$M263=1),$M263&gt;(ROW(PLE.lastrow)-ROW(PLE.firstrow))),0,IF(OFFSET(PLE!$G$14,$M263,CI$13)="",10^12,OFFSET(PLE!$G$14,$M263,CI$13))))</f>
        <v>1000000000000</v>
      </c>
      <c r="CJ263" s="182">
        <f ca="1">IF($D263&lt;&gt;"Serviço",0,IF(OR(AND(AUTOEVENTO="Manual",$M263=1),$M263&gt;(ROW(PLE.lastrow)-ROW(PLE.firstrow))),0,IF(OFFSET(PLE!$G$14,$M263,CJ$13)="",10^12,OFFSET(PLE!$G$14,$M263,CJ$13))))</f>
        <v>1000000000000</v>
      </c>
      <c r="CK263" s="182">
        <f ca="1">IF($D263&lt;&gt;"Serviço",0,IF(OR(AND(AUTOEVENTO="Manual",$M263=1),$M263&gt;(ROW(PLE.lastrow)-ROW(PLE.firstrow))),0,IF(OFFSET(PLE!$G$14,$M263,CK$13)="",10^12,OFFSET(PLE!$G$14,$M263,CK$13))))</f>
        <v>1000000000000</v>
      </c>
      <c r="CL263" s="182">
        <f ca="1">IF($D263&lt;&gt;"Serviço",0,IF(OR(AND(AUTOEVENTO="Manual",$M263=1),$M263&gt;(ROW(PLE.lastrow)-ROW(PLE.firstrow))),0,IF(OFFSET(PLE!$G$14,$M263,CL$13)="",10^12,OFFSET(PLE!$G$14,$M263,CL$13))))</f>
        <v>1000000000000</v>
      </c>
      <c r="CM263" s="182">
        <f ca="1">IF($D263&lt;&gt;"Serviço",0,IF(OR(AND(AUTOEVENTO="Manual",$M263=1),$M263&gt;(ROW(PLE.lastrow)-ROW(PLE.firstrow))),0,IF(OFFSET(PLE!$G$14,$M263,CM$13)="",10^12,OFFSET(PLE!$G$14,$M263,CM$13))))</f>
        <v>1000000000000</v>
      </c>
    </row>
    <row r="264" spans="1:91" ht="38.25" x14ac:dyDescent="0.2">
      <c r="A264" s="7" t="str">
        <f t="shared" ca="1" si="12"/>
        <v>232</v>
      </c>
      <c r="B264" s="7" t="str">
        <f ca="1">OFFSET(ORÇAMENTO!C$15,ROW(B264)-ROW(B$15),0)</f>
        <v>S</v>
      </c>
      <c r="C264" s="7" t="str">
        <f ca="1">OFFSET(ORÇAMENTO!L$15,ROW(C264)-ROW(C$15),0)</f>
        <v/>
      </c>
      <c r="D264" s="118" t="str">
        <f ca="1">OFFSET(ORÇAMENTO!N$15,ROW(D264)-ROW(D$15),0)</f>
        <v>Serviço</v>
      </c>
      <c r="E264" s="119" t="str">
        <f ca="1">OFFSET(ORÇAMENTO!O$15,ROW(E264)-ROW(E$15),0)</f>
        <v>-</v>
      </c>
      <c r="F264" s="172" t="str">
        <f ca="1">OFFSET(ORÇAMENTO!R$15,ROW(F264)-ROW(F$15),0)</f>
        <v>(abra o arquivo 'Referência 06-2024.xlsm)</v>
      </c>
      <c r="G264" s="173" t="str">
        <f ca="1">IF($D264&lt;&gt;"Serviço","",OFFSET(ORÇAMENTO!S$15,ROW(G264)-ROW(G$15),0))</f>
        <v>-</v>
      </c>
      <c r="H264" s="124">
        <f ca="1">IF($D264&lt;&gt;"Serviço",0,IF(ACOMPANHAMENTO="BM",ROUND(OFFSET(ORÇAMENTO!AJ$15,ROW(H264)-ROW(H$15),0),15-13*ORÇAMENTO!$AF$7),SUMPRODUCT(($Q$12:$AI$12&lt;&gt;"")*ROUND($Q264:$AI264,15-13*ORÇAMENTO!$AF$7))))</f>
        <v>6</v>
      </c>
      <c r="I264" s="561" t="s">
        <v>1107</v>
      </c>
      <c r="K264" s="174"/>
      <c r="L264" s="175" t="s">
        <v>255</v>
      </c>
      <c r="M264" s="176">
        <f ca="1">IF($D264&lt;&gt;"Serviço","",IF(AUTOEVENTO="manual",$A264,IF(ISERROR(MATCH($A264,$A$15:OFFSET($A264,-1,0),0)),MAX($M$15:OFFSET(M264,-1,0))+1,INDEX($M$15:OFFSET(M264,-1,0),MATCH($A264,$A$15:OFFSET($A264,-1,0),0)))))</f>
        <v>35</v>
      </c>
      <c r="N264" s="177" t="str">
        <f ca="1">IF($D264&lt;&gt;"Serviço","",IF(AUTOEVENTO="Manual",IF($A264=0,"&lt;-- defina o número do agrupador",OFFSET(EVENTOS!$D$14,$A264,0)),OFFSET($F$15,$A264,0)))</f>
        <v>INSTALAÇÃO HIDRÁULICA - TUBULAÇÕES E CONEXÕES DE PVC RÍGIDO</v>
      </c>
      <c r="O264" s="178"/>
      <c r="Q264" s="178">
        <v>6</v>
      </c>
      <c r="R264" s="179"/>
      <c r="S264" s="179"/>
      <c r="T264" s="179"/>
      <c r="U264" s="179"/>
      <c r="V264" s="179"/>
      <c r="W264" s="179"/>
      <c r="X264" s="179"/>
      <c r="Y264" s="179"/>
      <c r="Z264" s="180"/>
      <c r="AA264" s="179"/>
      <c r="AB264" s="179"/>
      <c r="AC264" s="179"/>
      <c r="AD264" s="179"/>
      <c r="AE264" s="179"/>
      <c r="AF264" s="179"/>
      <c r="AG264" s="179"/>
      <c r="AH264" s="180"/>
      <c r="AJ264" s="544">
        <f ca="1">IF(AND($D264="Serviço",AJ$12&lt;&gt;0,$H264&gt;0,OR(AUTOEVENTO&lt;&gt;"manual",$M264&lt;&gt;1)),
IF(Import.TipoArredondamento&lt;&gt;"TransfereGOV",
ROUND(OFFSET($P264,0,AJ$13),15-13*ORÇAMENTO!$AF$7)/$H264*OFFSET(ORÇAMENTO!$X$15,ROW(AJ264)-ROW(AJ$15),0),
ROUND(ROUND(OFFSET($P264,0,AJ$13),15-13*ORÇAMENTO!$AF$7)*OFFSET(ORÇAMENTO!$W$15,ROW(AJ264)-ROW(AJ$15),0),15-13*ORÇAMENTO!$AF$11)),0)</f>
        <v>0</v>
      </c>
      <c r="AK264" s="545">
        <f ca="1">IF(AND($D264="Serviço",AK$12&lt;&gt;0,$H264&gt;0,OR(AUTOEVENTO&lt;&gt;"manual",$M264&lt;&gt;1)),
IF(Import.TipoArredondamento&lt;&gt;"TransfereGOV",
ROUND(OFFSET($P264,0,AK$13),15-13*ORÇAMENTO!$AF$7)/$H264*OFFSET(ORÇAMENTO!$X$15,ROW(AK264)-ROW(AK$15),0),
ROUND(ROUND(OFFSET($P264,0,AK$13),15-13*ORÇAMENTO!$AF$7)*OFFSET(ORÇAMENTO!$W$15,ROW(AK264)-ROW(AK$15),0),15-13*ORÇAMENTO!$AF$11)),0)</f>
        <v>0</v>
      </c>
      <c r="AL264" s="545">
        <f ca="1">IF(AND($D264="Serviço",AL$12&lt;&gt;0,$H264&gt;0,OR(AUTOEVENTO&lt;&gt;"manual",$M264&lt;&gt;1)),
IF(Import.TipoArredondamento&lt;&gt;"TransfereGOV",
ROUND(OFFSET($P264,0,AL$13),15-13*ORÇAMENTO!$AF$7)/$H264*OFFSET(ORÇAMENTO!$X$15,ROW(AL264)-ROW(AL$15),0),
ROUND(ROUND(OFFSET($P264,0,AL$13),15-13*ORÇAMENTO!$AF$7)*OFFSET(ORÇAMENTO!$W$15,ROW(AL264)-ROW(AL$15),0),15-13*ORÇAMENTO!$AF$11)),0)</f>
        <v>0</v>
      </c>
      <c r="AM264" s="545">
        <f ca="1">IF(AND($D264="Serviço",AM$12&lt;&gt;0,$H264&gt;0,OR(AUTOEVENTO&lt;&gt;"manual",$M264&lt;&gt;1)),
IF(Import.TipoArredondamento&lt;&gt;"TransfereGOV",
ROUND(OFFSET($P264,0,AM$13),15-13*ORÇAMENTO!$AF$7)/$H264*OFFSET(ORÇAMENTO!$X$15,ROW(AM264)-ROW(AM$15),0),
ROUND(ROUND(OFFSET($P264,0,AM$13),15-13*ORÇAMENTO!$AF$7)*OFFSET(ORÇAMENTO!$W$15,ROW(AM264)-ROW(AM$15),0),15-13*ORÇAMENTO!$AF$11)),0)</f>
        <v>0</v>
      </c>
      <c r="AN264" s="545">
        <f ca="1">IF(AND($D264="Serviço",AN$12&lt;&gt;0,$H264&gt;0,OR(AUTOEVENTO&lt;&gt;"manual",$M264&lt;&gt;1)),
IF(Import.TipoArredondamento&lt;&gt;"TransfereGOV",
ROUND(OFFSET($P264,0,AN$13),15-13*ORÇAMENTO!$AF$7)/$H264*OFFSET(ORÇAMENTO!$X$15,ROW(AN264)-ROW(AN$15),0),
ROUND(ROUND(OFFSET($P264,0,AN$13),15-13*ORÇAMENTO!$AF$7)*OFFSET(ORÇAMENTO!$W$15,ROW(AN264)-ROW(AN$15),0),15-13*ORÇAMENTO!$AF$11)),0)</f>
        <v>0</v>
      </c>
      <c r="AO264" s="545">
        <f ca="1">IF(AND($D264="Serviço",AO$12&lt;&gt;0,$H264&gt;0,OR(AUTOEVENTO&lt;&gt;"manual",$M264&lt;&gt;1)),
IF(Import.TipoArredondamento&lt;&gt;"TransfereGOV",
ROUND(OFFSET($P264,0,AO$13),15-13*ORÇAMENTO!$AF$7)/$H264*OFFSET(ORÇAMENTO!$X$15,ROW(AO264)-ROW(AO$15),0),
ROUND(ROUND(OFFSET($P264,0,AO$13),15-13*ORÇAMENTO!$AF$7)*OFFSET(ORÇAMENTO!$W$15,ROW(AO264)-ROW(AO$15),0),15-13*ORÇAMENTO!$AF$11)),0)</f>
        <v>0</v>
      </c>
      <c r="AP264" s="545">
        <f ca="1">IF(AND($D264="Serviço",AP$12&lt;&gt;0,$H264&gt;0,OR(AUTOEVENTO&lt;&gt;"manual",$M264&lt;&gt;1)),
IF(Import.TipoArredondamento&lt;&gt;"TransfereGOV",
ROUND(OFFSET($P264,0,AP$13),15-13*ORÇAMENTO!$AF$7)/$H264*OFFSET(ORÇAMENTO!$X$15,ROW(AP264)-ROW(AP$15),0),
ROUND(ROUND(OFFSET($P264,0,AP$13),15-13*ORÇAMENTO!$AF$7)*OFFSET(ORÇAMENTO!$W$15,ROW(AP264)-ROW(AP$15),0),15-13*ORÇAMENTO!$AF$11)),0)</f>
        <v>0</v>
      </c>
      <c r="AQ264" s="545">
        <f ca="1">IF(AND($D264="Serviço",AQ$12&lt;&gt;0,$H264&gt;0,OR(AUTOEVENTO&lt;&gt;"manual",$M264&lt;&gt;1)),
IF(Import.TipoArredondamento&lt;&gt;"TransfereGOV",
ROUND(OFFSET($P264,0,AQ$13),15-13*ORÇAMENTO!$AF$7)/$H264*OFFSET(ORÇAMENTO!$X$15,ROW(AQ264)-ROW(AQ$15),0),
ROUND(ROUND(OFFSET($P264,0,AQ$13),15-13*ORÇAMENTO!$AF$7)*OFFSET(ORÇAMENTO!$W$15,ROW(AQ264)-ROW(AQ$15),0),15-13*ORÇAMENTO!$AF$11)),0)</f>
        <v>0</v>
      </c>
      <c r="AR264" s="545">
        <f ca="1">IF(AND($D264="Serviço",AR$12&lt;&gt;0,$H264&gt;0,OR(AUTOEVENTO&lt;&gt;"manual",$M264&lt;&gt;1)),
IF(Import.TipoArredondamento&lt;&gt;"TransfereGOV",
ROUND(OFFSET($P264,0,AR$13),15-13*ORÇAMENTO!$AF$7)/$H264*OFFSET(ORÇAMENTO!$X$15,ROW(AR264)-ROW(AR$15),0),
ROUND(ROUND(OFFSET($P264,0,AR$13),15-13*ORÇAMENTO!$AF$7)*OFFSET(ORÇAMENTO!$W$15,ROW(AR264)-ROW(AR$15),0),15-13*ORÇAMENTO!$AF$11)),0)</f>
        <v>0</v>
      </c>
      <c r="AS264" s="546">
        <f ca="1">IF(AND($D264="Serviço",AS$12&lt;&gt;0,$H264&gt;0,OR(AUTOEVENTO&lt;&gt;"manual",$M264&lt;&gt;1)),
IF(Import.TipoArredondamento&lt;&gt;"TransfereGOV",
ROUND(OFFSET($P264,0,AS$13),15-13*ORÇAMENTO!$AF$7)/$H264*OFFSET(ORÇAMENTO!$X$15,ROW(AS264)-ROW(AS$15),0),
ROUND(ROUND(OFFSET($P264,0,AS$13),15-13*ORÇAMENTO!$AF$7)*OFFSET(ORÇAMENTO!$W$15,ROW(AS264)-ROW(AS$15),0),15-13*ORÇAMENTO!$AF$11)),0)</f>
        <v>0</v>
      </c>
      <c r="AT264" s="545">
        <f ca="1">IF(AND($D264="Serviço",AT$12&lt;&gt;0,$H264&gt;0,OR(AUTOEVENTO&lt;&gt;"manual",$M264&lt;&gt;1)),
IF(Import.TipoArredondamento&lt;&gt;"TransfereGOV",
ROUND(OFFSET($P264,0,AT$13),15-13*ORÇAMENTO!$AF$7)/$H264*OFFSET(ORÇAMENTO!$X$15,ROW(AT264)-ROW(AT$15),0),
ROUND(ROUND(OFFSET($P264,0,AT$13),15-13*ORÇAMENTO!$AF$7)*OFFSET(ORÇAMENTO!$W$15,ROW(AT264)-ROW(AT$15),0),15-13*ORÇAMENTO!$AF$11)),0)</f>
        <v>0</v>
      </c>
      <c r="AU264" s="545">
        <f ca="1">IF(AND($D264="Serviço",AU$12&lt;&gt;0,$H264&gt;0,OR(AUTOEVENTO&lt;&gt;"manual",$M264&lt;&gt;1)),
IF(Import.TipoArredondamento&lt;&gt;"TransfereGOV",
ROUND(OFFSET($P264,0,AU$13),15-13*ORÇAMENTO!$AF$7)/$H264*OFFSET(ORÇAMENTO!$X$15,ROW(AU264)-ROW(AU$15),0),
ROUND(ROUND(OFFSET($P264,0,AU$13),15-13*ORÇAMENTO!$AF$7)*OFFSET(ORÇAMENTO!$W$15,ROW(AU264)-ROW(AU$15),0),15-13*ORÇAMENTO!$AF$11)),0)</f>
        <v>0</v>
      </c>
      <c r="AV264" s="545">
        <f ca="1">IF(AND($D264="Serviço",AV$12&lt;&gt;0,$H264&gt;0,OR(AUTOEVENTO&lt;&gt;"manual",$M264&lt;&gt;1)),
IF(Import.TipoArredondamento&lt;&gt;"TransfereGOV",
ROUND(OFFSET($P264,0,AV$13),15-13*ORÇAMENTO!$AF$7)/$H264*OFFSET(ORÇAMENTO!$X$15,ROW(AV264)-ROW(AV$15),0),
ROUND(ROUND(OFFSET($P264,0,AV$13),15-13*ORÇAMENTO!$AF$7)*OFFSET(ORÇAMENTO!$W$15,ROW(AV264)-ROW(AV$15),0),15-13*ORÇAMENTO!$AF$11)),0)</f>
        <v>0</v>
      </c>
      <c r="AW264" s="545">
        <f ca="1">IF(AND($D264="Serviço",AW$12&lt;&gt;0,$H264&gt;0,OR(AUTOEVENTO&lt;&gt;"manual",$M264&lt;&gt;1)),
IF(Import.TipoArredondamento&lt;&gt;"TransfereGOV",
ROUND(OFFSET($P264,0,AW$13),15-13*ORÇAMENTO!$AF$7)/$H264*OFFSET(ORÇAMENTO!$X$15,ROW(AW264)-ROW(AW$15),0),
ROUND(ROUND(OFFSET($P264,0,AW$13),15-13*ORÇAMENTO!$AF$7)*OFFSET(ORÇAMENTO!$W$15,ROW(AW264)-ROW(AW$15),0),15-13*ORÇAMENTO!$AF$11)),0)</f>
        <v>0</v>
      </c>
      <c r="AX264" s="545">
        <f ca="1">IF(AND($D264="Serviço",AX$12&lt;&gt;0,$H264&gt;0,OR(AUTOEVENTO&lt;&gt;"manual",$M264&lt;&gt;1)),
IF(Import.TipoArredondamento&lt;&gt;"TransfereGOV",
ROUND(OFFSET($P264,0,AX$13),15-13*ORÇAMENTO!$AF$7)/$H264*OFFSET(ORÇAMENTO!$X$15,ROW(AX264)-ROW(AX$15),0),
ROUND(ROUND(OFFSET($P264,0,AX$13),15-13*ORÇAMENTO!$AF$7)*OFFSET(ORÇAMENTO!$W$15,ROW(AX264)-ROW(AX$15),0),15-13*ORÇAMENTO!$AF$11)),0)</f>
        <v>0</v>
      </c>
      <c r="AY264" s="545">
        <f ca="1">IF(AND($D264="Serviço",AY$12&lt;&gt;0,$H264&gt;0,OR(AUTOEVENTO&lt;&gt;"manual",$M264&lt;&gt;1)),
IF(Import.TipoArredondamento&lt;&gt;"TransfereGOV",
ROUND(OFFSET($P264,0,AY$13),15-13*ORÇAMENTO!$AF$7)/$H264*OFFSET(ORÇAMENTO!$X$15,ROW(AY264)-ROW(AY$15),0),
ROUND(ROUND(OFFSET($P264,0,AY$13),15-13*ORÇAMENTO!$AF$7)*OFFSET(ORÇAMENTO!$W$15,ROW(AY264)-ROW(AY$15),0),15-13*ORÇAMENTO!$AF$11)),0)</f>
        <v>0</v>
      </c>
      <c r="AZ264" s="545">
        <f ca="1">IF(AND($D264="Serviço",AZ$12&lt;&gt;0,$H264&gt;0,OR(AUTOEVENTO&lt;&gt;"manual",$M264&lt;&gt;1)),
IF(Import.TipoArredondamento&lt;&gt;"TransfereGOV",
ROUND(OFFSET($P264,0,AZ$13),15-13*ORÇAMENTO!$AF$7)/$H264*OFFSET(ORÇAMENTO!$X$15,ROW(AZ264)-ROW(AZ$15),0),
ROUND(ROUND(OFFSET($P264,0,AZ$13),15-13*ORÇAMENTO!$AF$7)*OFFSET(ORÇAMENTO!$W$15,ROW(AZ264)-ROW(AZ$15),0),15-13*ORÇAMENTO!$AF$11)),0)</f>
        <v>0</v>
      </c>
      <c r="BA264" s="546">
        <f ca="1">IF(AND($D264="Serviço",BA$12&lt;&gt;0,$H264&gt;0,OR(AUTOEVENTO&lt;&gt;"manual",$M264&lt;&gt;1)),
IF(Import.TipoArredondamento&lt;&gt;"TransfereGOV",
ROUND(OFFSET($P264,0,BA$13),15-13*ORÇAMENTO!$AF$7)/$H264*OFFSET(ORÇAMENTO!$X$15,ROW(BA264)-ROW(BA$15),0),
ROUND(ROUND(OFFSET($P264,0,BA$13),15-13*ORÇAMENTO!$AF$7)*OFFSET(ORÇAMENTO!$W$15,ROW(BA264)-ROW(BA$15),0),15-13*ORÇAMENTO!$AF$11)),0)</f>
        <v>0</v>
      </c>
      <c r="BC264" s="181">
        <f ca="1">IF($D264&lt;&gt;"Serviço",0,IF(AND(AUTOEVENTO="Manual",$M264=1),0,IF(OFFSET(CRONOPLE!$F$14,$M264,BC$13)="",10^12,OFFSET(CRONOPLE!$F$14,$M264,BC$13))))</f>
        <v>9</v>
      </c>
      <c r="BD264" s="181">
        <f ca="1">IF($D264&lt;&gt;"Serviço",0,IF(AND(AUTOEVENTO="Manual",$M264=1),0,IF(OFFSET(CRONOPLE!$F$14,$M264,BD$13)="",10^12,OFFSET(CRONOPLE!$F$14,$M264,BD$13))))</f>
        <v>1000000000000</v>
      </c>
      <c r="BE264" s="181">
        <f ca="1">IF($D264&lt;&gt;"Serviço",0,IF(AND(AUTOEVENTO="Manual",$M264=1),0,IF(OFFSET(CRONOPLE!$F$14,$M264,BE$13)="",10^12,OFFSET(CRONOPLE!$F$14,$M264,BE$13))))</f>
        <v>1000000000000</v>
      </c>
      <c r="BF264" s="181">
        <f ca="1">IF($D264&lt;&gt;"Serviço",0,IF(AND(AUTOEVENTO="Manual",$M264=1),0,IF(OFFSET(CRONOPLE!$F$14,$M264,BF$13)="",10^12,OFFSET(CRONOPLE!$F$14,$M264,BF$13))))</f>
        <v>1000000000000</v>
      </c>
      <c r="BG264" s="181">
        <f ca="1">IF($D264&lt;&gt;"Serviço",0,IF(AND(AUTOEVENTO="Manual",$M264=1),0,IF(OFFSET(CRONOPLE!$F$14,$M264,BG$13)="",10^12,OFFSET(CRONOPLE!$F$14,$M264,BG$13))))</f>
        <v>1000000000000</v>
      </c>
      <c r="BH264" s="181">
        <f ca="1">IF($D264&lt;&gt;"Serviço",0,IF(AND(AUTOEVENTO="Manual",$M264=1),0,IF(OFFSET(CRONOPLE!$F$14,$M264,BH$13)="",10^12,OFFSET(CRONOPLE!$F$14,$M264,BH$13))))</f>
        <v>1000000000000</v>
      </c>
      <c r="BI264" s="181">
        <f ca="1">IF($D264&lt;&gt;"Serviço",0,IF(AND(AUTOEVENTO="Manual",$M264=1),0,IF(OFFSET(CRONOPLE!$F$14,$M264,BI$13)="",10^12,OFFSET(CRONOPLE!$F$14,$M264,BI$13))))</f>
        <v>1000000000000</v>
      </c>
      <c r="BJ264" s="181">
        <f ca="1">IF($D264&lt;&gt;"Serviço",0,IF(AND(AUTOEVENTO="Manual",$M264=1),0,IF(OFFSET(CRONOPLE!$F$14,$M264,BJ$13)="",10^12,OFFSET(CRONOPLE!$F$14,$M264,BJ$13))))</f>
        <v>1000000000000</v>
      </c>
      <c r="BK264" s="181">
        <f ca="1">IF($D264&lt;&gt;"Serviço",0,IF(AND(AUTOEVENTO="Manual",$M264=1),0,IF(OFFSET(CRONOPLE!$F$14,$M264,BK$13)="",10^12,OFFSET(CRONOPLE!$F$14,$M264,BK$13))))</f>
        <v>1000000000000</v>
      </c>
      <c r="BL264" s="181">
        <f ca="1">IF($D264&lt;&gt;"Serviço",0,IF(AND(AUTOEVENTO="Manual",$M264=1),0,IF(OFFSET(CRONOPLE!$F$14,$M264,BL$13)="",10^12,OFFSET(CRONOPLE!$F$14,$M264,BL$13))))</f>
        <v>1000000000000</v>
      </c>
      <c r="BM264" s="181">
        <f ca="1">IF($D264&lt;&gt;"Serviço",0,IF(AND(AUTOEVENTO="Manual",$M264=1),0,IF(OFFSET(CRONOPLE!$F$14,$M264,BM$13)="",10^12,OFFSET(CRONOPLE!$F$14,$M264,BM$13))))</f>
        <v>1000000000000</v>
      </c>
      <c r="BN264" s="181">
        <f ca="1">IF($D264&lt;&gt;"Serviço",0,IF(AND(AUTOEVENTO="Manual",$M264=1),0,IF(OFFSET(CRONOPLE!$F$14,$M264,BN$13)="",10^12,OFFSET(CRONOPLE!$F$14,$M264,BN$13))))</f>
        <v>1000000000000</v>
      </c>
      <c r="BO264" s="181">
        <f ca="1">IF($D264&lt;&gt;"Serviço",0,IF(AND(AUTOEVENTO="Manual",$M264=1),0,IF(OFFSET(CRONOPLE!$F$14,$M264,BO$13)="",10^12,OFFSET(CRONOPLE!$F$14,$M264,BO$13))))</f>
        <v>1000000000000</v>
      </c>
      <c r="BP264" s="181">
        <f ca="1">IF($D264&lt;&gt;"Serviço",0,IF(AND(AUTOEVENTO="Manual",$M264=1),0,IF(OFFSET(CRONOPLE!$F$14,$M264,BP$13)="",10^12,OFFSET(CRONOPLE!$F$14,$M264,BP$13))))</f>
        <v>1000000000000</v>
      </c>
      <c r="BQ264" s="181">
        <f ca="1">IF($D264&lt;&gt;"Serviço",0,IF(AND(AUTOEVENTO="Manual",$M264=1),0,IF(OFFSET(CRONOPLE!$F$14,$M264,BQ$13)="",10^12,OFFSET(CRONOPLE!$F$14,$M264,BQ$13))))</f>
        <v>1000000000000</v>
      </c>
      <c r="BR264" s="181">
        <f ca="1">IF($D264&lt;&gt;"Serviço",0,IF(AND(AUTOEVENTO="Manual",$M264=1),0,IF(OFFSET(CRONOPLE!$F$14,$M264,BR$13)="",10^12,OFFSET(CRONOPLE!$F$14,$M264,BR$13))))</f>
        <v>1000000000000</v>
      </c>
      <c r="BS264" s="181">
        <f ca="1">IF($D264&lt;&gt;"Serviço",0,IF(AND(AUTOEVENTO="Manual",$M264=1),0,IF(OFFSET(CRONOPLE!$F$14,$M264,BS$13)="",10^12,OFFSET(CRONOPLE!$F$14,$M264,BS$13))))</f>
        <v>1000000000000</v>
      </c>
      <c r="BT264" s="181">
        <f ca="1">IF($D264&lt;&gt;"Serviço",0,IF(AND(AUTOEVENTO="Manual",$M264=1),0,IF(OFFSET(CRONOPLE!$F$14,$M264,BT$13)="",10^12,OFFSET(CRONOPLE!$F$14,$M264,BT$13))))</f>
        <v>1000000000000</v>
      </c>
      <c r="BV264" s="182">
        <f ca="1">IF($D264&lt;&gt;"Serviço",0,IF(OR(AND(AUTOEVENTO="Manual",$M264=1),$M264&gt;(ROW(PLE.lastrow)-ROW(PLE.firstrow))),0,IF(OFFSET(PLE!$G$14,$M264,BV$13)="",10^12,OFFSET(PLE!$G$14,$M264,BV$13))))</f>
        <v>1000000000000</v>
      </c>
      <c r="BW264" s="182">
        <f ca="1">IF($D264&lt;&gt;"Serviço",0,IF(OR(AND(AUTOEVENTO="Manual",$M264=1),$M264&gt;(ROW(PLE.lastrow)-ROW(PLE.firstrow))),0,IF(OFFSET(PLE!$G$14,$M264,BW$13)="",10^12,OFFSET(PLE!$G$14,$M264,BW$13))))</f>
        <v>1000000000000</v>
      </c>
      <c r="BX264" s="182">
        <f ca="1">IF($D264&lt;&gt;"Serviço",0,IF(OR(AND(AUTOEVENTO="Manual",$M264=1),$M264&gt;(ROW(PLE.lastrow)-ROW(PLE.firstrow))),0,IF(OFFSET(PLE!$G$14,$M264,BX$13)="",10^12,OFFSET(PLE!$G$14,$M264,BX$13))))</f>
        <v>1000000000000</v>
      </c>
      <c r="BY264" s="182">
        <f ca="1">IF($D264&lt;&gt;"Serviço",0,IF(OR(AND(AUTOEVENTO="Manual",$M264=1),$M264&gt;(ROW(PLE.lastrow)-ROW(PLE.firstrow))),0,IF(OFFSET(PLE!$G$14,$M264,BY$13)="",10^12,OFFSET(PLE!$G$14,$M264,BY$13))))</f>
        <v>1000000000000</v>
      </c>
      <c r="BZ264" s="182">
        <f ca="1">IF($D264&lt;&gt;"Serviço",0,IF(OR(AND(AUTOEVENTO="Manual",$M264=1),$M264&gt;(ROW(PLE.lastrow)-ROW(PLE.firstrow))),0,IF(OFFSET(PLE!$G$14,$M264,BZ$13)="",10^12,OFFSET(PLE!$G$14,$M264,BZ$13))))</f>
        <v>1000000000000</v>
      </c>
      <c r="CA264" s="182">
        <f ca="1">IF($D264&lt;&gt;"Serviço",0,IF(OR(AND(AUTOEVENTO="Manual",$M264=1),$M264&gt;(ROW(PLE.lastrow)-ROW(PLE.firstrow))),0,IF(OFFSET(PLE!$G$14,$M264,CA$13)="",10^12,OFFSET(PLE!$G$14,$M264,CA$13))))</f>
        <v>1000000000000</v>
      </c>
      <c r="CB264" s="182">
        <f ca="1">IF($D264&lt;&gt;"Serviço",0,IF(OR(AND(AUTOEVENTO="Manual",$M264=1),$M264&gt;(ROW(PLE.lastrow)-ROW(PLE.firstrow))),0,IF(OFFSET(PLE!$G$14,$M264,CB$13)="",10^12,OFFSET(PLE!$G$14,$M264,CB$13))))</f>
        <v>1000000000000</v>
      </c>
      <c r="CC264" s="182">
        <f ca="1">IF($D264&lt;&gt;"Serviço",0,IF(OR(AND(AUTOEVENTO="Manual",$M264=1),$M264&gt;(ROW(PLE.lastrow)-ROW(PLE.firstrow))),0,IF(OFFSET(PLE!$G$14,$M264,CC$13)="",10^12,OFFSET(PLE!$G$14,$M264,CC$13))))</f>
        <v>1000000000000</v>
      </c>
      <c r="CD264" s="182">
        <f ca="1">IF($D264&lt;&gt;"Serviço",0,IF(OR(AND(AUTOEVENTO="Manual",$M264=1),$M264&gt;(ROW(PLE.lastrow)-ROW(PLE.firstrow))),0,IF(OFFSET(PLE!$G$14,$M264,CD$13)="",10^12,OFFSET(PLE!$G$14,$M264,CD$13))))</f>
        <v>1000000000000</v>
      </c>
      <c r="CE264" s="182">
        <f ca="1">IF($D264&lt;&gt;"Serviço",0,IF(OR(AND(AUTOEVENTO="Manual",$M264=1),$M264&gt;(ROW(PLE.lastrow)-ROW(PLE.firstrow))),0,IF(OFFSET(PLE!$G$14,$M264,CE$13)="",10^12,OFFSET(PLE!$G$14,$M264,CE$13))))</f>
        <v>1000000000000</v>
      </c>
      <c r="CF264" s="182">
        <f ca="1">IF($D264&lt;&gt;"Serviço",0,IF(OR(AND(AUTOEVENTO="Manual",$M264=1),$M264&gt;(ROW(PLE.lastrow)-ROW(PLE.firstrow))),0,IF(OFFSET(PLE!$G$14,$M264,CF$13)="",10^12,OFFSET(PLE!$G$14,$M264,CF$13))))</f>
        <v>1000000000000</v>
      </c>
      <c r="CG264" s="182">
        <f ca="1">IF($D264&lt;&gt;"Serviço",0,IF(OR(AND(AUTOEVENTO="Manual",$M264=1),$M264&gt;(ROW(PLE.lastrow)-ROW(PLE.firstrow))),0,IF(OFFSET(PLE!$G$14,$M264,CG$13)="",10^12,OFFSET(PLE!$G$14,$M264,CG$13))))</f>
        <v>1000000000000</v>
      </c>
      <c r="CH264" s="182">
        <f ca="1">IF($D264&lt;&gt;"Serviço",0,IF(OR(AND(AUTOEVENTO="Manual",$M264=1),$M264&gt;(ROW(PLE.lastrow)-ROW(PLE.firstrow))),0,IF(OFFSET(PLE!$G$14,$M264,CH$13)="",10^12,OFFSET(PLE!$G$14,$M264,CH$13))))</f>
        <v>1000000000000</v>
      </c>
      <c r="CI264" s="182">
        <f ca="1">IF($D264&lt;&gt;"Serviço",0,IF(OR(AND(AUTOEVENTO="Manual",$M264=1),$M264&gt;(ROW(PLE.lastrow)-ROW(PLE.firstrow))),0,IF(OFFSET(PLE!$G$14,$M264,CI$13)="",10^12,OFFSET(PLE!$G$14,$M264,CI$13))))</f>
        <v>1000000000000</v>
      </c>
      <c r="CJ264" s="182">
        <f ca="1">IF($D264&lt;&gt;"Serviço",0,IF(OR(AND(AUTOEVENTO="Manual",$M264=1),$M264&gt;(ROW(PLE.lastrow)-ROW(PLE.firstrow))),0,IF(OFFSET(PLE!$G$14,$M264,CJ$13)="",10^12,OFFSET(PLE!$G$14,$M264,CJ$13))))</f>
        <v>1000000000000</v>
      </c>
      <c r="CK264" s="182">
        <f ca="1">IF($D264&lt;&gt;"Serviço",0,IF(OR(AND(AUTOEVENTO="Manual",$M264=1),$M264&gt;(ROW(PLE.lastrow)-ROW(PLE.firstrow))),0,IF(OFFSET(PLE!$G$14,$M264,CK$13)="",10^12,OFFSET(PLE!$G$14,$M264,CK$13))))</f>
        <v>1000000000000</v>
      </c>
      <c r="CL264" s="182">
        <f ca="1">IF($D264&lt;&gt;"Serviço",0,IF(OR(AND(AUTOEVENTO="Manual",$M264=1),$M264&gt;(ROW(PLE.lastrow)-ROW(PLE.firstrow))),0,IF(OFFSET(PLE!$G$14,$M264,CL$13)="",10^12,OFFSET(PLE!$G$14,$M264,CL$13))))</f>
        <v>1000000000000</v>
      </c>
      <c r="CM264" s="182">
        <f ca="1">IF($D264&lt;&gt;"Serviço",0,IF(OR(AND(AUTOEVENTO="Manual",$M264=1),$M264&gt;(ROW(PLE.lastrow)-ROW(PLE.firstrow))),0,IF(OFFSET(PLE!$G$14,$M264,CM$13)="",10^12,OFFSET(PLE!$G$14,$M264,CM$13))))</f>
        <v>1000000000000</v>
      </c>
    </row>
    <row r="265" spans="1:91" ht="38.25" x14ac:dyDescent="0.2">
      <c r="A265" s="7" t="str">
        <f t="shared" ca="1" si="12"/>
        <v>232</v>
      </c>
      <c r="B265" s="7" t="str">
        <f ca="1">OFFSET(ORÇAMENTO!C$15,ROW(B265)-ROW(B$15),0)</f>
        <v>S</v>
      </c>
      <c r="C265" s="7" t="str">
        <f ca="1">OFFSET(ORÇAMENTO!L$15,ROW(C265)-ROW(C$15),0)</f>
        <v/>
      </c>
      <c r="D265" s="118" t="str">
        <f ca="1">OFFSET(ORÇAMENTO!N$15,ROW(D265)-ROW(D$15),0)</f>
        <v>Serviço</v>
      </c>
      <c r="E265" s="119" t="str">
        <f ca="1">OFFSET(ORÇAMENTO!O$15,ROW(E265)-ROW(E$15),0)</f>
        <v>-</v>
      </c>
      <c r="F265" s="172" t="str">
        <f ca="1">OFFSET(ORÇAMENTO!R$15,ROW(F265)-ROW(F$15),0)</f>
        <v>(abra o arquivo 'Referência 06-2024.xlsm)</v>
      </c>
      <c r="G265" s="173" t="str">
        <f ca="1">IF($D265&lt;&gt;"Serviço","",OFFSET(ORÇAMENTO!S$15,ROW(G265)-ROW(G$15),0))</f>
        <v>-</v>
      </c>
      <c r="H265" s="124">
        <f ca="1">IF($D265&lt;&gt;"Serviço",0,IF(ACOMPANHAMENTO="BM",ROUND(OFFSET(ORÇAMENTO!AJ$15,ROW(H265)-ROW(H$15),0),15-13*ORÇAMENTO!$AF$7),SUMPRODUCT(($Q$12:$AI$12&lt;&gt;"")*ROUND($Q265:$AI265,15-13*ORÇAMENTO!$AF$7))))</f>
        <v>1</v>
      </c>
      <c r="I265" s="561" t="s">
        <v>1107</v>
      </c>
      <c r="K265" s="174"/>
      <c r="L265" s="175" t="s">
        <v>255</v>
      </c>
      <c r="M265" s="176">
        <f ca="1">IF($D265&lt;&gt;"Serviço","",IF(AUTOEVENTO="manual",$A265,IF(ISERROR(MATCH($A265,$A$15:OFFSET($A265,-1,0),0)),MAX($M$15:OFFSET(M265,-1,0))+1,INDEX($M$15:OFFSET(M265,-1,0),MATCH($A265,$A$15:OFFSET($A265,-1,0),0)))))</f>
        <v>35</v>
      </c>
      <c r="N265" s="177" t="str">
        <f ca="1">IF($D265&lt;&gt;"Serviço","",IF(AUTOEVENTO="Manual",IF($A265=0,"&lt;-- defina o número do agrupador",OFFSET(EVENTOS!$D$14,$A265,0)),OFFSET($F$15,$A265,0)))</f>
        <v>INSTALAÇÃO HIDRÁULICA - TUBULAÇÕES E CONEXÕES DE PVC RÍGIDO</v>
      </c>
      <c r="O265" s="178"/>
      <c r="Q265" s="178">
        <v>1</v>
      </c>
      <c r="R265" s="179"/>
      <c r="S265" s="179"/>
      <c r="T265" s="179"/>
      <c r="U265" s="179"/>
      <c r="V265" s="179"/>
      <c r="W265" s="179"/>
      <c r="X265" s="179"/>
      <c r="Y265" s="179"/>
      <c r="Z265" s="180"/>
      <c r="AA265" s="179"/>
      <c r="AB265" s="179"/>
      <c r="AC265" s="179"/>
      <c r="AD265" s="179"/>
      <c r="AE265" s="179"/>
      <c r="AF265" s="179"/>
      <c r="AG265" s="179"/>
      <c r="AH265" s="180"/>
      <c r="AJ265" s="544">
        <f ca="1">IF(AND($D265="Serviço",AJ$12&lt;&gt;0,$H265&gt;0,OR(AUTOEVENTO&lt;&gt;"manual",$M265&lt;&gt;1)),
IF(Import.TipoArredondamento&lt;&gt;"TransfereGOV",
ROUND(OFFSET($P265,0,AJ$13),15-13*ORÇAMENTO!$AF$7)/$H265*OFFSET(ORÇAMENTO!$X$15,ROW(AJ265)-ROW(AJ$15),0),
ROUND(ROUND(OFFSET($P265,0,AJ$13),15-13*ORÇAMENTO!$AF$7)*OFFSET(ORÇAMENTO!$W$15,ROW(AJ265)-ROW(AJ$15),0),15-13*ORÇAMENTO!$AF$11)),0)</f>
        <v>0</v>
      </c>
      <c r="AK265" s="545">
        <f ca="1">IF(AND($D265="Serviço",AK$12&lt;&gt;0,$H265&gt;0,OR(AUTOEVENTO&lt;&gt;"manual",$M265&lt;&gt;1)),
IF(Import.TipoArredondamento&lt;&gt;"TransfereGOV",
ROUND(OFFSET($P265,0,AK$13),15-13*ORÇAMENTO!$AF$7)/$H265*OFFSET(ORÇAMENTO!$X$15,ROW(AK265)-ROW(AK$15),0),
ROUND(ROUND(OFFSET($P265,0,AK$13),15-13*ORÇAMENTO!$AF$7)*OFFSET(ORÇAMENTO!$W$15,ROW(AK265)-ROW(AK$15),0),15-13*ORÇAMENTO!$AF$11)),0)</f>
        <v>0</v>
      </c>
      <c r="AL265" s="545">
        <f ca="1">IF(AND($D265="Serviço",AL$12&lt;&gt;0,$H265&gt;0,OR(AUTOEVENTO&lt;&gt;"manual",$M265&lt;&gt;1)),
IF(Import.TipoArredondamento&lt;&gt;"TransfereGOV",
ROUND(OFFSET($P265,0,AL$13),15-13*ORÇAMENTO!$AF$7)/$H265*OFFSET(ORÇAMENTO!$X$15,ROW(AL265)-ROW(AL$15),0),
ROUND(ROUND(OFFSET($P265,0,AL$13),15-13*ORÇAMENTO!$AF$7)*OFFSET(ORÇAMENTO!$W$15,ROW(AL265)-ROW(AL$15),0),15-13*ORÇAMENTO!$AF$11)),0)</f>
        <v>0</v>
      </c>
      <c r="AM265" s="545">
        <f ca="1">IF(AND($D265="Serviço",AM$12&lt;&gt;0,$H265&gt;0,OR(AUTOEVENTO&lt;&gt;"manual",$M265&lt;&gt;1)),
IF(Import.TipoArredondamento&lt;&gt;"TransfereGOV",
ROUND(OFFSET($P265,0,AM$13),15-13*ORÇAMENTO!$AF$7)/$H265*OFFSET(ORÇAMENTO!$X$15,ROW(AM265)-ROW(AM$15),0),
ROUND(ROUND(OFFSET($P265,0,AM$13),15-13*ORÇAMENTO!$AF$7)*OFFSET(ORÇAMENTO!$W$15,ROW(AM265)-ROW(AM$15),0),15-13*ORÇAMENTO!$AF$11)),0)</f>
        <v>0</v>
      </c>
      <c r="AN265" s="545">
        <f ca="1">IF(AND($D265="Serviço",AN$12&lt;&gt;0,$H265&gt;0,OR(AUTOEVENTO&lt;&gt;"manual",$M265&lt;&gt;1)),
IF(Import.TipoArredondamento&lt;&gt;"TransfereGOV",
ROUND(OFFSET($P265,0,AN$13),15-13*ORÇAMENTO!$AF$7)/$H265*OFFSET(ORÇAMENTO!$X$15,ROW(AN265)-ROW(AN$15),0),
ROUND(ROUND(OFFSET($P265,0,AN$13),15-13*ORÇAMENTO!$AF$7)*OFFSET(ORÇAMENTO!$W$15,ROW(AN265)-ROW(AN$15),0),15-13*ORÇAMENTO!$AF$11)),0)</f>
        <v>0</v>
      </c>
      <c r="AO265" s="545">
        <f ca="1">IF(AND($D265="Serviço",AO$12&lt;&gt;0,$H265&gt;0,OR(AUTOEVENTO&lt;&gt;"manual",$M265&lt;&gt;1)),
IF(Import.TipoArredondamento&lt;&gt;"TransfereGOV",
ROUND(OFFSET($P265,0,AO$13),15-13*ORÇAMENTO!$AF$7)/$H265*OFFSET(ORÇAMENTO!$X$15,ROW(AO265)-ROW(AO$15),0),
ROUND(ROUND(OFFSET($P265,0,AO$13),15-13*ORÇAMENTO!$AF$7)*OFFSET(ORÇAMENTO!$W$15,ROW(AO265)-ROW(AO$15),0),15-13*ORÇAMENTO!$AF$11)),0)</f>
        <v>0</v>
      </c>
      <c r="AP265" s="545">
        <f ca="1">IF(AND($D265="Serviço",AP$12&lt;&gt;0,$H265&gt;0,OR(AUTOEVENTO&lt;&gt;"manual",$M265&lt;&gt;1)),
IF(Import.TipoArredondamento&lt;&gt;"TransfereGOV",
ROUND(OFFSET($P265,0,AP$13),15-13*ORÇAMENTO!$AF$7)/$H265*OFFSET(ORÇAMENTO!$X$15,ROW(AP265)-ROW(AP$15),0),
ROUND(ROUND(OFFSET($P265,0,AP$13),15-13*ORÇAMENTO!$AF$7)*OFFSET(ORÇAMENTO!$W$15,ROW(AP265)-ROW(AP$15),0),15-13*ORÇAMENTO!$AF$11)),0)</f>
        <v>0</v>
      </c>
      <c r="AQ265" s="545">
        <f ca="1">IF(AND($D265="Serviço",AQ$12&lt;&gt;0,$H265&gt;0,OR(AUTOEVENTO&lt;&gt;"manual",$M265&lt;&gt;1)),
IF(Import.TipoArredondamento&lt;&gt;"TransfereGOV",
ROUND(OFFSET($P265,0,AQ$13),15-13*ORÇAMENTO!$AF$7)/$H265*OFFSET(ORÇAMENTO!$X$15,ROW(AQ265)-ROW(AQ$15),0),
ROUND(ROUND(OFFSET($P265,0,AQ$13),15-13*ORÇAMENTO!$AF$7)*OFFSET(ORÇAMENTO!$W$15,ROW(AQ265)-ROW(AQ$15),0),15-13*ORÇAMENTO!$AF$11)),0)</f>
        <v>0</v>
      </c>
      <c r="AR265" s="545">
        <f ca="1">IF(AND($D265="Serviço",AR$12&lt;&gt;0,$H265&gt;0,OR(AUTOEVENTO&lt;&gt;"manual",$M265&lt;&gt;1)),
IF(Import.TipoArredondamento&lt;&gt;"TransfereGOV",
ROUND(OFFSET($P265,0,AR$13),15-13*ORÇAMENTO!$AF$7)/$H265*OFFSET(ORÇAMENTO!$X$15,ROW(AR265)-ROW(AR$15),0),
ROUND(ROUND(OFFSET($P265,0,AR$13),15-13*ORÇAMENTO!$AF$7)*OFFSET(ORÇAMENTO!$W$15,ROW(AR265)-ROW(AR$15),0),15-13*ORÇAMENTO!$AF$11)),0)</f>
        <v>0</v>
      </c>
      <c r="AS265" s="546">
        <f ca="1">IF(AND($D265="Serviço",AS$12&lt;&gt;0,$H265&gt;0,OR(AUTOEVENTO&lt;&gt;"manual",$M265&lt;&gt;1)),
IF(Import.TipoArredondamento&lt;&gt;"TransfereGOV",
ROUND(OFFSET($P265,0,AS$13),15-13*ORÇAMENTO!$AF$7)/$H265*OFFSET(ORÇAMENTO!$X$15,ROW(AS265)-ROW(AS$15),0),
ROUND(ROUND(OFFSET($P265,0,AS$13),15-13*ORÇAMENTO!$AF$7)*OFFSET(ORÇAMENTO!$W$15,ROW(AS265)-ROW(AS$15),0),15-13*ORÇAMENTO!$AF$11)),0)</f>
        <v>0</v>
      </c>
      <c r="AT265" s="545">
        <f ca="1">IF(AND($D265="Serviço",AT$12&lt;&gt;0,$H265&gt;0,OR(AUTOEVENTO&lt;&gt;"manual",$M265&lt;&gt;1)),
IF(Import.TipoArredondamento&lt;&gt;"TransfereGOV",
ROUND(OFFSET($P265,0,AT$13),15-13*ORÇAMENTO!$AF$7)/$H265*OFFSET(ORÇAMENTO!$X$15,ROW(AT265)-ROW(AT$15),0),
ROUND(ROUND(OFFSET($P265,0,AT$13),15-13*ORÇAMENTO!$AF$7)*OFFSET(ORÇAMENTO!$W$15,ROW(AT265)-ROW(AT$15),0),15-13*ORÇAMENTO!$AF$11)),0)</f>
        <v>0</v>
      </c>
      <c r="AU265" s="545">
        <f ca="1">IF(AND($D265="Serviço",AU$12&lt;&gt;0,$H265&gt;0,OR(AUTOEVENTO&lt;&gt;"manual",$M265&lt;&gt;1)),
IF(Import.TipoArredondamento&lt;&gt;"TransfereGOV",
ROUND(OFFSET($P265,0,AU$13),15-13*ORÇAMENTO!$AF$7)/$H265*OFFSET(ORÇAMENTO!$X$15,ROW(AU265)-ROW(AU$15),0),
ROUND(ROUND(OFFSET($P265,0,AU$13),15-13*ORÇAMENTO!$AF$7)*OFFSET(ORÇAMENTO!$W$15,ROW(AU265)-ROW(AU$15),0),15-13*ORÇAMENTO!$AF$11)),0)</f>
        <v>0</v>
      </c>
      <c r="AV265" s="545">
        <f ca="1">IF(AND($D265="Serviço",AV$12&lt;&gt;0,$H265&gt;0,OR(AUTOEVENTO&lt;&gt;"manual",$M265&lt;&gt;1)),
IF(Import.TipoArredondamento&lt;&gt;"TransfereGOV",
ROUND(OFFSET($P265,0,AV$13),15-13*ORÇAMENTO!$AF$7)/$H265*OFFSET(ORÇAMENTO!$X$15,ROW(AV265)-ROW(AV$15),0),
ROUND(ROUND(OFFSET($P265,0,AV$13),15-13*ORÇAMENTO!$AF$7)*OFFSET(ORÇAMENTO!$W$15,ROW(AV265)-ROW(AV$15),0),15-13*ORÇAMENTO!$AF$11)),0)</f>
        <v>0</v>
      </c>
      <c r="AW265" s="545">
        <f ca="1">IF(AND($D265="Serviço",AW$12&lt;&gt;0,$H265&gt;0,OR(AUTOEVENTO&lt;&gt;"manual",$M265&lt;&gt;1)),
IF(Import.TipoArredondamento&lt;&gt;"TransfereGOV",
ROUND(OFFSET($P265,0,AW$13),15-13*ORÇAMENTO!$AF$7)/$H265*OFFSET(ORÇAMENTO!$X$15,ROW(AW265)-ROW(AW$15),0),
ROUND(ROUND(OFFSET($P265,0,AW$13),15-13*ORÇAMENTO!$AF$7)*OFFSET(ORÇAMENTO!$W$15,ROW(AW265)-ROW(AW$15),0),15-13*ORÇAMENTO!$AF$11)),0)</f>
        <v>0</v>
      </c>
      <c r="AX265" s="545">
        <f ca="1">IF(AND($D265="Serviço",AX$12&lt;&gt;0,$H265&gt;0,OR(AUTOEVENTO&lt;&gt;"manual",$M265&lt;&gt;1)),
IF(Import.TipoArredondamento&lt;&gt;"TransfereGOV",
ROUND(OFFSET($P265,0,AX$13),15-13*ORÇAMENTO!$AF$7)/$H265*OFFSET(ORÇAMENTO!$X$15,ROW(AX265)-ROW(AX$15),0),
ROUND(ROUND(OFFSET($P265,0,AX$13),15-13*ORÇAMENTO!$AF$7)*OFFSET(ORÇAMENTO!$W$15,ROW(AX265)-ROW(AX$15),0),15-13*ORÇAMENTO!$AF$11)),0)</f>
        <v>0</v>
      </c>
      <c r="AY265" s="545">
        <f ca="1">IF(AND($D265="Serviço",AY$12&lt;&gt;0,$H265&gt;0,OR(AUTOEVENTO&lt;&gt;"manual",$M265&lt;&gt;1)),
IF(Import.TipoArredondamento&lt;&gt;"TransfereGOV",
ROUND(OFFSET($P265,0,AY$13),15-13*ORÇAMENTO!$AF$7)/$H265*OFFSET(ORÇAMENTO!$X$15,ROW(AY265)-ROW(AY$15),0),
ROUND(ROUND(OFFSET($P265,0,AY$13),15-13*ORÇAMENTO!$AF$7)*OFFSET(ORÇAMENTO!$W$15,ROW(AY265)-ROW(AY$15),0),15-13*ORÇAMENTO!$AF$11)),0)</f>
        <v>0</v>
      </c>
      <c r="AZ265" s="545">
        <f ca="1">IF(AND($D265="Serviço",AZ$12&lt;&gt;0,$H265&gt;0,OR(AUTOEVENTO&lt;&gt;"manual",$M265&lt;&gt;1)),
IF(Import.TipoArredondamento&lt;&gt;"TransfereGOV",
ROUND(OFFSET($P265,0,AZ$13),15-13*ORÇAMENTO!$AF$7)/$H265*OFFSET(ORÇAMENTO!$X$15,ROW(AZ265)-ROW(AZ$15),0),
ROUND(ROUND(OFFSET($P265,0,AZ$13),15-13*ORÇAMENTO!$AF$7)*OFFSET(ORÇAMENTO!$W$15,ROW(AZ265)-ROW(AZ$15),0),15-13*ORÇAMENTO!$AF$11)),0)</f>
        <v>0</v>
      </c>
      <c r="BA265" s="546">
        <f ca="1">IF(AND($D265="Serviço",BA$12&lt;&gt;0,$H265&gt;0,OR(AUTOEVENTO&lt;&gt;"manual",$M265&lt;&gt;1)),
IF(Import.TipoArredondamento&lt;&gt;"TransfereGOV",
ROUND(OFFSET($P265,0,BA$13),15-13*ORÇAMENTO!$AF$7)/$H265*OFFSET(ORÇAMENTO!$X$15,ROW(BA265)-ROW(BA$15),0),
ROUND(ROUND(OFFSET($P265,0,BA$13),15-13*ORÇAMENTO!$AF$7)*OFFSET(ORÇAMENTO!$W$15,ROW(BA265)-ROW(BA$15),0),15-13*ORÇAMENTO!$AF$11)),0)</f>
        <v>0</v>
      </c>
      <c r="BC265" s="181">
        <f ca="1">IF($D265&lt;&gt;"Serviço",0,IF(AND(AUTOEVENTO="Manual",$M265=1),0,IF(OFFSET(CRONOPLE!$F$14,$M265,BC$13)="",10^12,OFFSET(CRONOPLE!$F$14,$M265,BC$13))))</f>
        <v>9</v>
      </c>
      <c r="BD265" s="181">
        <f ca="1">IF($D265&lt;&gt;"Serviço",0,IF(AND(AUTOEVENTO="Manual",$M265=1),0,IF(OFFSET(CRONOPLE!$F$14,$M265,BD$13)="",10^12,OFFSET(CRONOPLE!$F$14,$M265,BD$13))))</f>
        <v>1000000000000</v>
      </c>
      <c r="BE265" s="181">
        <f ca="1">IF($D265&lt;&gt;"Serviço",0,IF(AND(AUTOEVENTO="Manual",$M265=1),0,IF(OFFSET(CRONOPLE!$F$14,$M265,BE$13)="",10^12,OFFSET(CRONOPLE!$F$14,$M265,BE$13))))</f>
        <v>1000000000000</v>
      </c>
      <c r="BF265" s="181">
        <f ca="1">IF($D265&lt;&gt;"Serviço",0,IF(AND(AUTOEVENTO="Manual",$M265=1),0,IF(OFFSET(CRONOPLE!$F$14,$M265,BF$13)="",10^12,OFFSET(CRONOPLE!$F$14,$M265,BF$13))))</f>
        <v>1000000000000</v>
      </c>
      <c r="BG265" s="181">
        <f ca="1">IF($D265&lt;&gt;"Serviço",0,IF(AND(AUTOEVENTO="Manual",$M265=1),0,IF(OFFSET(CRONOPLE!$F$14,$M265,BG$13)="",10^12,OFFSET(CRONOPLE!$F$14,$M265,BG$13))))</f>
        <v>1000000000000</v>
      </c>
      <c r="BH265" s="181">
        <f ca="1">IF($D265&lt;&gt;"Serviço",0,IF(AND(AUTOEVENTO="Manual",$M265=1),0,IF(OFFSET(CRONOPLE!$F$14,$M265,BH$13)="",10^12,OFFSET(CRONOPLE!$F$14,$M265,BH$13))))</f>
        <v>1000000000000</v>
      </c>
      <c r="BI265" s="181">
        <f ca="1">IF($D265&lt;&gt;"Serviço",0,IF(AND(AUTOEVENTO="Manual",$M265=1),0,IF(OFFSET(CRONOPLE!$F$14,$M265,BI$13)="",10^12,OFFSET(CRONOPLE!$F$14,$M265,BI$13))))</f>
        <v>1000000000000</v>
      </c>
      <c r="BJ265" s="181">
        <f ca="1">IF($D265&lt;&gt;"Serviço",0,IF(AND(AUTOEVENTO="Manual",$M265=1),0,IF(OFFSET(CRONOPLE!$F$14,$M265,BJ$13)="",10^12,OFFSET(CRONOPLE!$F$14,$M265,BJ$13))))</f>
        <v>1000000000000</v>
      </c>
      <c r="BK265" s="181">
        <f ca="1">IF($D265&lt;&gt;"Serviço",0,IF(AND(AUTOEVENTO="Manual",$M265=1),0,IF(OFFSET(CRONOPLE!$F$14,$M265,BK$13)="",10^12,OFFSET(CRONOPLE!$F$14,$M265,BK$13))))</f>
        <v>1000000000000</v>
      </c>
      <c r="BL265" s="181">
        <f ca="1">IF($D265&lt;&gt;"Serviço",0,IF(AND(AUTOEVENTO="Manual",$M265=1),0,IF(OFFSET(CRONOPLE!$F$14,$M265,BL$13)="",10^12,OFFSET(CRONOPLE!$F$14,$M265,BL$13))))</f>
        <v>1000000000000</v>
      </c>
      <c r="BM265" s="181">
        <f ca="1">IF($D265&lt;&gt;"Serviço",0,IF(AND(AUTOEVENTO="Manual",$M265=1),0,IF(OFFSET(CRONOPLE!$F$14,$M265,BM$13)="",10^12,OFFSET(CRONOPLE!$F$14,$M265,BM$13))))</f>
        <v>1000000000000</v>
      </c>
      <c r="BN265" s="181">
        <f ca="1">IF($D265&lt;&gt;"Serviço",0,IF(AND(AUTOEVENTO="Manual",$M265=1),0,IF(OFFSET(CRONOPLE!$F$14,$M265,BN$13)="",10^12,OFFSET(CRONOPLE!$F$14,$M265,BN$13))))</f>
        <v>1000000000000</v>
      </c>
      <c r="BO265" s="181">
        <f ca="1">IF($D265&lt;&gt;"Serviço",0,IF(AND(AUTOEVENTO="Manual",$M265=1),0,IF(OFFSET(CRONOPLE!$F$14,$M265,BO$13)="",10^12,OFFSET(CRONOPLE!$F$14,$M265,BO$13))))</f>
        <v>1000000000000</v>
      </c>
      <c r="BP265" s="181">
        <f ca="1">IF($D265&lt;&gt;"Serviço",0,IF(AND(AUTOEVENTO="Manual",$M265=1),0,IF(OFFSET(CRONOPLE!$F$14,$M265,BP$13)="",10^12,OFFSET(CRONOPLE!$F$14,$M265,BP$13))))</f>
        <v>1000000000000</v>
      </c>
      <c r="BQ265" s="181">
        <f ca="1">IF($D265&lt;&gt;"Serviço",0,IF(AND(AUTOEVENTO="Manual",$M265=1),0,IF(OFFSET(CRONOPLE!$F$14,$M265,BQ$13)="",10^12,OFFSET(CRONOPLE!$F$14,$M265,BQ$13))))</f>
        <v>1000000000000</v>
      </c>
      <c r="BR265" s="181">
        <f ca="1">IF($D265&lt;&gt;"Serviço",0,IF(AND(AUTOEVENTO="Manual",$M265=1),0,IF(OFFSET(CRONOPLE!$F$14,$M265,BR$13)="",10^12,OFFSET(CRONOPLE!$F$14,$M265,BR$13))))</f>
        <v>1000000000000</v>
      </c>
      <c r="BS265" s="181">
        <f ca="1">IF($D265&lt;&gt;"Serviço",0,IF(AND(AUTOEVENTO="Manual",$M265=1),0,IF(OFFSET(CRONOPLE!$F$14,$M265,BS$13)="",10^12,OFFSET(CRONOPLE!$F$14,$M265,BS$13))))</f>
        <v>1000000000000</v>
      </c>
      <c r="BT265" s="181">
        <f ca="1">IF($D265&lt;&gt;"Serviço",0,IF(AND(AUTOEVENTO="Manual",$M265=1),0,IF(OFFSET(CRONOPLE!$F$14,$M265,BT$13)="",10^12,OFFSET(CRONOPLE!$F$14,$M265,BT$13))))</f>
        <v>1000000000000</v>
      </c>
      <c r="BV265" s="182">
        <f ca="1">IF($D265&lt;&gt;"Serviço",0,IF(OR(AND(AUTOEVENTO="Manual",$M265=1),$M265&gt;(ROW(PLE.lastrow)-ROW(PLE.firstrow))),0,IF(OFFSET(PLE!$G$14,$M265,BV$13)="",10^12,OFFSET(PLE!$G$14,$M265,BV$13))))</f>
        <v>1000000000000</v>
      </c>
      <c r="BW265" s="182">
        <f ca="1">IF($D265&lt;&gt;"Serviço",0,IF(OR(AND(AUTOEVENTO="Manual",$M265=1),$M265&gt;(ROW(PLE.lastrow)-ROW(PLE.firstrow))),0,IF(OFFSET(PLE!$G$14,$M265,BW$13)="",10^12,OFFSET(PLE!$G$14,$M265,BW$13))))</f>
        <v>1000000000000</v>
      </c>
      <c r="BX265" s="182">
        <f ca="1">IF($D265&lt;&gt;"Serviço",0,IF(OR(AND(AUTOEVENTO="Manual",$M265=1),$M265&gt;(ROW(PLE.lastrow)-ROW(PLE.firstrow))),0,IF(OFFSET(PLE!$G$14,$M265,BX$13)="",10^12,OFFSET(PLE!$G$14,$M265,BX$13))))</f>
        <v>1000000000000</v>
      </c>
      <c r="BY265" s="182">
        <f ca="1">IF($D265&lt;&gt;"Serviço",0,IF(OR(AND(AUTOEVENTO="Manual",$M265=1),$M265&gt;(ROW(PLE.lastrow)-ROW(PLE.firstrow))),0,IF(OFFSET(PLE!$G$14,$M265,BY$13)="",10^12,OFFSET(PLE!$G$14,$M265,BY$13))))</f>
        <v>1000000000000</v>
      </c>
      <c r="BZ265" s="182">
        <f ca="1">IF($D265&lt;&gt;"Serviço",0,IF(OR(AND(AUTOEVENTO="Manual",$M265=1),$M265&gt;(ROW(PLE.lastrow)-ROW(PLE.firstrow))),0,IF(OFFSET(PLE!$G$14,$M265,BZ$13)="",10^12,OFFSET(PLE!$G$14,$M265,BZ$13))))</f>
        <v>1000000000000</v>
      </c>
      <c r="CA265" s="182">
        <f ca="1">IF($D265&lt;&gt;"Serviço",0,IF(OR(AND(AUTOEVENTO="Manual",$M265=1),$M265&gt;(ROW(PLE.lastrow)-ROW(PLE.firstrow))),0,IF(OFFSET(PLE!$G$14,$M265,CA$13)="",10^12,OFFSET(PLE!$G$14,$M265,CA$13))))</f>
        <v>1000000000000</v>
      </c>
      <c r="CB265" s="182">
        <f ca="1">IF($D265&lt;&gt;"Serviço",0,IF(OR(AND(AUTOEVENTO="Manual",$M265=1),$M265&gt;(ROW(PLE.lastrow)-ROW(PLE.firstrow))),0,IF(OFFSET(PLE!$G$14,$M265,CB$13)="",10^12,OFFSET(PLE!$G$14,$M265,CB$13))))</f>
        <v>1000000000000</v>
      </c>
      <c r="CC265" s="182">
        <f ca="1">IF($D265&lt;&gt;"Serviço",0,IF(OR(AND(AUTOEVENTO="Manual",$M265=1),$M265&gt;(ROW(PLE.lastrow)-ROW(PLE.firstrow))),0,IF(OFFSET(PLE!$G$14,$M265,CC$13)="",10^12,OFFSET(PLE!$G$14,$M265,CC$13))))</f>
        <v>1000000000000</v>
      </c>
      <c r="CD265" s="182">
        <f ca="1">IF($D265&lt;&gt;"Serviço",0,IF(OR(AND(AUTOEVENTO="Manual",$M265=1),$M265&gt;(ROW(PLE.lastrow)-ROW(PLE.firstrow))),0,IF(OFFSET(PLE!$G$14,$M265,CD$13)="",10^12,OFFSET(PLE!$G$14,$M265,CD$13))))</f>
        <v>1000000000000</v>
      </c>
      <c r="CE265" s="182">
        <f ca="1">IF($D265&lt;&gt;"Serviço",0,IF(OR(AND(AUTOEVENTO="Manual",$M265=1),$M265&gt;(ROW(PLE.lastrow)-ROW(PLE.firstrow))),0,IF(OFFSET(PLE!$G$14,$M265,CE$13)="",10^12,OFFSET(PLE!$G$14,$M265,CE$13))))</f>
        <v>1000000000000</v>
      </c>
      <c r="CF265" s="182">
        <f ca="1">IF($D265&lt;&gt;"Serviço",0,IF(OR(AND(AUTOEVENTO="Manual",$M265=1),$M265&gt;(ROW(PLE.lastrow)-ROW(PLE.firstrow))),0,IF(OFFSET(PLE!$G$14,$M265,CF$13)="",10^12,OFFSET(PLE!$G$14,$M265,CF$13))))</f>
        <v>1000000000000</v>
      </c>
      <c r="CG265" s="182">
        <f ca="1">IF($D265&lt;&gt;"Serviço",0,IF(OR(AND(AUTOEVENTO="Manual",$M265=1),$M265&gt;(ROW(PLE.lastrow)-ROW(PLE.firstrow))),0,IF(OFFSET(PLE!$G$14,$M265,CG$13)="",10^12,OFFSET(PLE!$G$14,$M265,CG$13))))</f>
        <v>1000000000000</v>
      </c>
      <c r="CH265" s="182">
        <f ca="1">IF($D265&lt;&gt;"Serviço",0,IF(OR(AND(AUTOEVENTO="Manual",$M265=1),$M265&gt;(ROW(PLE.lastrow)-ROW(PLE.firstrow))),0,IF(OFFSET(PLE!$G$14,$M265,CH$13)="",10^12,OFFSET(PLE!$G$14,$M265,CH$13))))</f>
        <v>1000000000000</v>
      </c>
      <c r="CI265" s="182">
        <f ca="1">IF($D265&lt;&gt;"Serviço",0,IF(OR(AND(AUTOEVENTO="Manual",$M265=1),$M265&gt;(ROW(PLE.lastrow)-ROW(PLE.firstrow))),0,IF(OFFSET(PLE!$G$14,$M265,CI$13)="",10^12,OFFSET(PLE!$G$14,$M265,CI$13))))</f>
        <v>1000000000000</v>
      </c>
      <c r="CJ265" s="182">
        <f ca="1">IF($D265&lt;&gt;"Serviço",0,IF(OR(AND(AUTOEVENTO="Manual",$M265=1),$M265&gt;(ROW(PLE.lastrow)-ROW(PLE.firstrow))),0,IF(OFFSET(PLE!$G$14,$M265,CJ$13)="",10^12,OFFSET(PLE!$G$14,$M265,CJ$13))))</f>
        <v>1000000000000</v>
      </c>
      <c r="CK265" s="182">
        <f ca="1">IF($D265&lt;&gt;"Serviço",0,IF(OR(AND(AUTOEVENTO="Manual",$M265=1),$M265&gt;(ROW(PLE.lastrow)-ROW(PLE.firstrow))),0,IF(OFFSET(PLE!$G$14,$M265,CK$13)="",10^12,OFFSET(PLE!$G$14,$M265,CK$13))))</f>
        <v>1000000000000</v>
      </c>
      <c r="CL265" s="182">
        <f ca="1">IF($D265&lt;&gt;"Serviço",0,IF(OR(AND(AUTOEVENTO="Manual",$M265=1),$M265&gt;(ROW(PLE.lastrow)-ROW(PLE.firstrow))),0,IF(OFFSET(PLE!$G$14,$M265,CL$13)="",10^12,OFFSET(PLE!$G$14,$M265,CL$13))))</f>
        <v>1000000000000</v>
      </c>
      <c r="CM265" s="182">
        <f ca="1">IF($D265&lt;&gt;"Serviço",0,IF(OR(AND(AUTOEVENTO="Manual",$M265=1),$M265&gt;(ROW(PLE.lastrow)-ROW(PLE.firstrow))),0,IF(OFFSET(PLE!$G$14,$M265,CM$13)="",10^12,OFFSET(PLE!$G$14,$M265,CM$13))))</f>
        <v>1000000000000</v>
      </c>
    </row>
    <row r="266" spans="1:91" ht="38.25" x14ac:dyDescent="0.2">
      <c r="A266" s="7" t="str">
        <f t="shared" ca="1" si="12"/>
        <v>232</v>
      </c>
      <c r="B266" s="7" t="str">
        <f ca="1">OFFSET(ORÇAMENTO!C$15,ROW(B266)-ROW(B$15),0)</f>
        <v>S</v>
      </c>
      <c r="C266" s="7" t="str">
        <f ca="1">OFFSET(ORÇAMENTO!L$15,ROW(C266)-ROW(C$15),0)</f>
        <v/>
      </c>
      <c r="D266" s="118" t="str">
        <f ca="1">OFFSET(ORÇAMENTO!N$15,ROW(D266)-ROW(D$15),0)</f>
        <v>Serviço</v>
      </c>
      <c r="E266" s="119" t="str">
        <f ca="1">OFFSET(ORÇAMENTO!O$15,ROW(E266)-ROW(E$15),0)</f>
        <v>-</v>
      </c>
      <c r="F266" s="172" t="str">
        <f ca="1">OFFSET(ORÇAMENTO!R$15,ROW(F266)-ROW(F$15),0)</f>
        <v>(abra o arquivo 'Referência 06-2024.xlsm)</v>
      </c>
      <c r="G266" s="173" t="str">
        <f ca="1">IF($D266&lt;&gt;"Serviço","",OFFSET(ORÇAMENTO!S$15,ROW(G266)-ROW(G$15),0))</f>
        <v>-</v>
      </c>
      <c r="H266" s="124">
        <f ca="1">IF($D266&lt;&gt;"Serviço",0,IF(ACOMPANHAMENTO="BM",ROUND(OFFSET(ORÇAMENTO!AJ$15,ROW(H266)-ROW(H$15),0),15-13*ORÇAMENTO!$AF$7),SUMPRODUCT(($Q$12:$AI$12&lt;&gt;"")*ROUND($Q266:$AI266,15-13*ORÇAMENTO!$AF$7))))</f>
        <v>45</v>
      </c>
      <c r="I266" s="561" t="s">
        <v>1107</v>
      </c>
      <c r="K266" s="174"/>
      <c r="L266" s="175" t="s">
        <v>255</v>
      </c>
      <c r="M266" s="176">
        <f ca="1">IF($D266&lt;&gt;"Serviço","",IF(AUTOEVENTO="manual",$A266,IF(ISERROR(MATCH($A266,$A$15:OFFSET($A266,-1,0),0)),MAX($M$15:OFFSET(M266,-1,0))+1,INDEX($M$15:OFFSET(M266,-1,0),MATCH($A266,$A$15:OFFSET($A266,-1,0),0)))))</f>
        <v>35</v>
      </c>
      <c r="N266" s="177" t="str">
        <f ca="1">IF($D266&lt;&gt;"Serviço","",IF(AUTOEVENTO="Manual",IF($A266=0,"&lt;-- defina o número do agrupador",OFFSET(EVENTOS!$D$14,$A266,0)),OFFSET($F$15,$A266,0)))</f>
        <v>INSTALAÇÃO HIDRÁULICA - TUBULAÇÕES E CONEXÕES DE PVC RÍGIDO</v>
      </c>
      <c r="O266" s="178"/>
      <c r="Q266" s="178">
        <v>45</v>
      </c>
      <c r="R266" s="179"/>
      <c r="S266" s="179"/>
      <c r="T266" s="179"/>
      <c r="U266" s="179"/>
      <c r="V266" s="179"/>
      <c r="W266" s="179"/>
      <c r="X266" s="179"/>
      <c r="Y266" s="179"/>
      <c r="Z266" s="180"/>
      <c r="AA266" s="179"/>
      <c r="AB266" s="179"/>
      <c r="AC266" s="179"/>
      <c r="AD266" s="179"/>
      <c r="AE266" s="179"/>
      <c r="AF266" s="179"/>
      <c r="AG266" s="179"/>
      <c r="AH266" s="180"/>
      <c r="AJ266" s="544">
        <f ca="1">IF(AND($D266="Serviço",AJ$12&lt;&gt;0,$H266&gt;0,OR(AUTOEVENTO&lt;&gt;"manual",$M266&lt;&gt;1)),
IF(Import.TipoArredondamento&lt;&gt;"TransfereGOV",
ROUND(OFFSET($P266,0,AJ$13),15-13*ORÇAMENTO!$AF$7)/$H266*OFFSET(ORÇAMENTO!$X$15,ROW(AJ266)-ROW(AJ$15),0),
ROUND(ROUND(OFFSET($P266,0,AJ$13),15-13*ORÇAMENTO!$AF$7)*OFFSET(ORÇAMENTO!$W$15,ROW(AJ266)-ROW(AJ$15),0),15-13*ORÇAMENTO!$AF$11)),0)</f>
        <v>0</v>
      </c>
      <c r="AK266" s="545">
        <f ca="1">IF(AND($D266="Serviço",AK$12&lt;&gt;0,$H266&gt;0,OR(AUTOEVENTO&lt;&gt;"manual",$M266&lt;&gt;1)),
IF(Import.TipoArredondamento&lt;&gt;"TransfereGOV",
ROUND(OFFSET($P266,0,AK$13),15-13*ORÇAMENTO!$AF$7)/$H266*OFFSET(ORÇAMENTO!$X$15,ROW(AK266)-ROW(AK$15),0),
ROUND(ROUND(OFFSET($P266,0,AK$13),15-13*ORÇAMENTO!$AF$7)*OFFSET(ORÇAMENTO!$W$15,ROW(AK266)-ROW(AK$15),0),15-13*ORÇAMENTO!$AF$11)),0)</f>
        <v>0</v>
      </c>
      <c r="AL266" s="545">
        <f ca="1">IF(AND($D266="Serviço",AL$12&lt;&gt;0,$H266&gt;0,OR(AUTOEVENTO&lt;&gt;"manual",$M266&lt;&gt;1)),
IF(Import.TipoArredondamento&lt;&gt;"TransfereGOV",
ROUND(OFFSET($P266,0,AL$13),15-13*ORÇAMENTO!$AF$7)/$H266*OFFSET(ORÇAMENTO!$X$15,ROW(AL266)-ROW(AL$15),0),
ROUND(ROUND(OFFSET($P266,0,AL$13),15-13*ORÇAMENTO!$AF$7)*OFFSET(ORÇAMENTO!$W$15,ROW(AL266)-ROW(AL$15),0),15-13*ORÇAMENTO!$AF$11)),0)</f>
        <v>0</v>
      </c>
      <c r="AM266" s="545">
        <f ca="1">IF(AND($D266="Serviço",AM$12&lt;&gt;0,$H266&gt;0,OR(AUTOEVENTO&lt;&gt;"manual",$M266&lt;&gt;1)),
IF(Import.TipoArredondamento&lt;&gt;"TransfereGOV",
ROUND(OFFSET($P266,0,AM$13),15-13*ORÇAMENTO!$AF$7)/$H266*OFFSET(ORÇAMENTO!$X$15,ROW(AM266)-ROW(AM$15),0),
ROUND(ROUND(OFFSET($P266,0,AM$13),15-13*ORÇAMENTO!$AF$7)*OFFSET(ORÇAMENTO!$W$15,ROW(AM266)-ROW(AM$15),0),15-13*ORÇAMENTO!$AF$11)),0)</f>
        <v>0</v>
      </c>
      <c r="AN266" s="545">
        <f ca="1">IF(AND($D266="Serviço",AN$12&lt;&gt;0,$H266&gt;0,OR(AUTOEVENTO&lt;&gt;"manual",$M266&lt;&gt;1)),
IF(Import.TipoArredondamento&lt;&gt;"TransfereGOV",
ROUND(OFFSET($P266,0,AN$13),15-13*ORÇAMENTO!$AF$7)/$H266*OFFSET(ORÇAMENTO!$X$15,ROW(AN266)-ROW(AN$15),0),
ROUND(ROUND(OFFSET($P266,0,AN$13),15-13*ORÇAMENTO!$AF$7)*OFFSET(ORÇAMENTO!$W$15,ROW(AN266)-ROW(AN$15),0),15-13*ORÇAMENTO!$AF$11)),0)</f>
        <v>0</v>
      </c>
      <c r="AO266" s="545">
        <f ca="1">IF(AND($D266="Serviço",AO$12&lt;&gt;0,$H266&gt;0,OR(AUTOEVENTO&lt;&gt;"manual",$M266&lt;&gt;1)),
IF(Import.TipoArredondamento&lt;&gt;"TransfereGOV",
ROUND(OFFSET($P266,0,AO$13),15-13*ORÇAMENTO!$AF$7)/$H266*OFFSET(ORÇAMENTO!$X$15,ROW(AO266)-ROW(AO$15),0),
ROUND(ROUND(OFFSET($P266,0,AO$13),15-13*ORÇAMENTO!$AF$7)*OFFSET(ORÇAMENTO!$W$15,ROW(AO266)-ROW(AO$15),0),15-13*ORÇAMENTO!$AF$11)),0)</f>
        <v>0</v>
      </c>
      <c r="AP266" s="545">
        <f ca="1">IF(AND($D266="Serviço",AP$12&lt;&gt;0,$H266&gt;0,OR(AUTOEVENTO&lt;&gt;"manual",$M266&lt;&gt;1)),
IF(Import.TipoArredondamento&lt;&gt;"TransfereGOV",
ROUND(OFFSET($P266,0,AP$13),15-13*ORÇAMENTO!$AF$7)/$H266*OFFSET(ORÇAMENTO!$X$15,ROW(AP266)-ROW(AP$15),0),
ROUND(ROUND(OFFSET($P266,0,AP$13),15-13*ORÇAMENTO!$AF$7)*OFFSET(ORÇAMENTO!$W$15,ROW(AP266)-ROW(AP$15),0),15-13*ORÇAMENTO!$AF$11)),0)</f>
        <v>0</v>
      </c>
      <c r="AQ266" s="545">
        <f ca="1">IF(AND($D266="Serviço",AQ$12&lt;&gt;0,$H266&gt;0,OR(AUTOEVENTO&lt;&gt;"manual",$M266&lt;&gt;1)),
IF(Import.TipoArredondamento&lt;&gt;"TransfereGOV",
ROUND(OFFSET($P266,0,AQ$13),15-13*ORÇAMENTO!$AF$7)/$H266*OFFSET(ORÇAMENTO!$X$15,ROW(AQ266)-ROW(AQ$15),0),
ROUND(ROUND(OFFSET($P266,0,AQ$13),15-13*ORÇAMENTO!$AF$7)*OFFSET(ORÇAMENTO!$W$15,ROW(AQ266)-ROW(AQ$15),0),15-13*ORÇAMENTO!$AF$11)),0)</f>
        <v>0</v>
      </c>
      <c r="AR266" s="545">
        <f ca="1">IF(AND($D266="Serviço",AR$12&lt;&gt;0,$H266&gt;0,OR(AUTOEVENTO&lt;&gt;"manual",$M266&lt;&gt;1)),
IF(Import.TipoArredondamento&lt;&gt;"TransfereGOV",
ROUND(OFFSET($P266,0,AR$13),15-13*ORÇAMENTO!$AF$7)/$H266*OFFSET(ORÇAMENTO!$X$15,ROW(AR266)-ROW(AR$15),0),
ROUND(ROUND(OFFSET($P266,0,AR$13),15-13*ORÇAMENTO!$AF$7)*OFFSET(ORÇAMENTO!$W$15,ROW(AR266)-ROW(AR$15),0),15-13*ORÇAMENTO!$AF$11)),0)</f>
        <v>0</v>
      </c>
      <c r="AS266" s="546">
        <f ca="1">IF(AND($D266="Serviço",AS$12&lt;&gt;0,$H266&gt;0,OR(AUTOEVENTO&lt;&gt;"manual",$M266&lt;&gt;1)),
IF(Import.TipoArredondamento&lt;&gt;"TransfereGOV",
ROUND(OFFSET($P266,0,AS$13),15-13*ORÇAMENTO!$AF$7)/$H266*OFFSET(ORÇAMENTO!$X$15,ROW(AS266)-ROW(AS$15),0),
ROUND(ROUND(OFFSET($P266,0,AS$13),15-13*ORÇAMENTO!$AF$7)*OFFSET(ORÇAMENTO!$W$15,ROW(AS266)-ROW(AS$15),0),15-13*ORÇAMENTO!$AF$11)),0)</f>
        <v>0</v>
      </c>
      <c r="AT266" s="545">
        <f ca="1">IF(AND($D266="Serviço",AT$12&lt;&gt;0,$H266&gt;0,OR(AUTOEVENTO&lt;&gt;"manual",$M266&lt;&gt;1)),
IF(Import.TipoArredondamento&lt;&gt;"TransfereGOV",
ROUND(OFFSET($P266,0,AT$13),15-13*ORÇAMENTO!$AF$7)/$H266*OFFSET(ORÇAMENTO!$X$15,ROW(AT266)-ROW(AT$15),0),
ROUND(ROUND(OFFSET($P266,0,AT$13),15-13*ORÇAMENTO!$AF$7)*OFFSET(ORÇAMENTO!$W$15,ROW(AT266)-ROW(AT$15),0),15-13*ORÇAMENTO!$AF$11)),0)</f>
        <v>0</v>
      </c>
      <c r="AU266" s="545">
        <f ca="1">IF(AND($D266="Serviço",AU$12&lt;&gt;0,$H266&gt;0,OR(AUTOEVENTO&lt;&gt;"manual",$M266&lt;&gt;1)),
IF(Import.TipoArredondamento&lt;&gt;"TransfereGOV",
ROUND(OFFSET($P266,0,AU$13),15-13*ORÇAMENTO!$AF$7)/$H266*OFFSET(ORÇAMENTO!$X$15,ROW(AU266)-ROW(AU$15),0),
ROUND(ROUND(OFFSET($P266,0,AU$13),15-13*ORÇAMENTO!$AF$7)*OFFSET(ORÇAMENTO!$W$15,ROW(AU266)-ROW(AU$15),0),15-13*ORÇAMENTO!$AF$11)),0)</f>
        <v>0</v>
      </c>
      <c r="AV266" s="545">
        <f ca="1">IF(AND($D266="Serviço",AV$12&lt;&gt;0,$H266&gt;0,OR(AUTOEVENTO&lt;&gt;"manual",$M266&lt;&gt;1)),
IF(Import.TipoArredondamento&lt;&gt;"TransfereGOV",
ROUND(OFFSET($P266,0,AV$13),15-13*ORÇAMENTO!$AF$7)/$H266*OFFSET(ORÇAMENTO!$X$15,ROW(AV266)-ROW(AV$15),0),
ROUND(ROUND(OFFSET($P266,0,AV$13),15-13*ORÇAMENTO!$AF$7)*OFFSET(ORÇAMENTO!$W$15,ROW(AV266)-ROW(AV$15),0),15-13*ORÇAMENTO!$AF$11)),0)</f>
        <v>0</v>
      </c>
      <c r="AW266" s="545">
        <f ca="1">IF(AND($D266="Serviço",AW$12&lt;&gt;0,$H266&gt;0,OR(AUTOEVENTO&lt;&gt;"manual",$M266&lt;&gt;1)),
IF(Import.TipoArredondamento&lt;&gt;"TransfereGOV",
ROUND(OFFSET($P266,0,AW$13),15-13*ORÇAMENTO!$AF$7)/$H266*OFFSET(ORÇAMENTO!$X$15,ROW(AW266)-ROW(AW$15),0),
ROUND(ROUND(OFFSET($P266,0,AW$13),15-13*ORÇAMENTO!$AF$7)*OFFSET(ORÇAMENTO!$W$15,ROW(AW266)-ROW(AW$15),0),15-13*ORÇAMENTO!$AF$11)),0)</f>
        <v>0</v>
      </c>
      <c r="AX266" s="545">
        <f ca="1">IF(AND($D266="Serviço",AX$12&lt;&gt;0,$H266&gt;0,OR(AUTOEVENTO&lt;&gt;"manual",$M266&lt;&gt;1)),
IF(Import.TipoArredondamento&lt;&gt;"TransfereGOV",
ROUND(OFFSET($P266,0,AX$13),15-13*ORÇAMENTO!$AF$7)/$H266*OFFSET(ORÇAMENTO!$X$15,ROW(AX266)-ROW(AX$15),0),
ROUND(ROUND(OFFSET($P266,0,AX$13),15-13*ORÇAMENTO!$AF$7)*OFFSET(ORÇAMENTO!$W$15,ROW(AX266)-ROW(AX$15),0),15-13*ORÇAMENTO!$AF$11)),0)</f>
        <v>0</v>
      </c>
      <c r="AY266" s="545">
        <f ca="1">IF(AND($D266="Serviço",AY$12&lt;&gt;0,$H266&gt;0,OR(AUTOEVENTO&lt;&gt;"manual",$M266&lt;&gt;1)),
IF(Import.TipoArredondamento&lt;&gt;"TransfereGOV",
ROUND(OFFSET($P266,0,AY$13),15-13*ORÇAMENTO!$AF$7)/$H266*OFFSET(ORÇAMENTO!$X$15,ROW(AY266)-ROW(AY$15),0),
ROUND(ROUND(OFFSET($P266,0,AY$13),15-13*ORÇAMENTO!$AF$7)*OFFSET(ORÇAMENTO!$W$15,ROW(AY266)-ROW(AY$15),0),15-13*ORÇAMENTO!$AF$11)),0)</f>
        <v>0</v>
      </c>
      <c r="AZ266" s="545">
        <f ca="1">IF(AND($D266="Serviço",AZ$12&lt;&gt;0,$H266&gt;0,OR(AUTOEVENTO&lt;&gt;"manual",$M266&lt;&gt;1)),
IF(Import.TipoArredondamento&lt;&gt;"TransfereGOV",
ROUND(OFFSET($P266,0,AZ$13),15-13*ORÇAMENTO!$AF$7)/$H266*OFFSET(ORÇAMENTO!$X$15,ROW(AZ266)-ROW(AZ$15),0),
ROUND(ROUND(OFFSET($P266,0,AZ$13),15-13*ORÇAMENTO!$AF$7)*OFFSET(ORÇAMENTO!$W$15,ROW(AZ266)-ROW(AZ$15),0),15-13*ORÇAMENTO!$AF$11)),0)</f>
        <v>0</v>
      </c>
      <c r="BA266" s="546">
        <f ca="1">IF(AND($D266="Serviço",BA$12&lt;&gt;0,$H266&gt;0,OR(AUTOEVENTO&lt;&gt;"manual",$M266&lt;&gt;1)),
IF(Import.TipoArredondamento&lt;&gt;"TransfereGOV",
ROUND(OFFSET($P266,0,BA$13),15-13*ORÇAMENTO!$AF$7)/$H266*OFFSET(ORÇAMENTO!$X$15,ROW(BA266)-ROW(BA$15),0),
ROUND(ROUND(OFFSET($P266,0,BA$13),15-13*ORÇAMENTO!$AF$7)*OFFSET(ORÇAMENTO!$W$15,ROW(BA266)-ROW(BA$15),0),15-13*ORÇAMENTO!$AF$11)),0)</f>
        <v>0</v>
      </c>
      <c r="BC266" s="181">
        <f ca="1">IF($D266&lt;&gt;"Serviço",0,IF(AND(AUTOEVENTO="Manual",$M266=1),0,IF(OFFSET(CRONOPLE!$F$14,$M266,BC$13)="",10^12,OFFSET(CRONOPLE!$F$14,$M266,BC$13))))</f>
        <v>9</v>
      </c>
      <c r="BD266" s="181">
        <f ca="1">IF($D266&lt;&gt;"Serviço",0,IF(AND(AUTOEVENTO="Manual",$M266=1),0,IF(OFFSET(CRONOPLE!$F$14,$M266,BD$13)="",10^12,OFFSET(CRONOPLE!$F$14,$M266,BD$13))))</f>
        <v>1000000000000</v>
      </c>
      <c r="BE266" s="181">
        <f ca="1">IF($D266&lt;&gt;"Serviço",0,IF(AND(AUTOEVENTO="Manual",$M266=1),0,IF(OFFSET(CRONOPLE!$F$14,$M266,BE$13)="",10^12,OFFSET(CRONOPLE!$F$14,$M266,BE$13))))</f>
        <v>1000000000000</v>
      </c>
      <c r="BF266" s="181">
        <f ca="1">IF($D266&lt;&gt;"Serviço",0,IF(AND(AUTOEVENTO="Manual",$M266=1),0,IF(OFFSET(CRONOPLE!$F$14,$M266,BF$13)="",10^12,OFFSET(CRONOPLE!$F$14,$M266,BF$13))))</f>
        <v>1000000000000</v>
      </c>
      <c r="BG266" s="181">
        <f ca="1">IF($D266&lt;&gt;"Serviço",0,IF(AND(AUTOEVENTO="Manual",$M266=1),0,IF(OFFSET(CRONOPLE!$F$14,$M266,BG$13)="",10^12,OFFSET(CRONOPLE!$F$14,$M266,BG$13))))</f>
        <v>1000000000000</v>
      </c>
      <c r="BH266" s="181">
        <f ca="1">IF($D266&lt;&gt;"Serviço",0,IF(AND(AUTOEVENTO="Manual",$M266=1),0,IF(OFFSET(CRONOPLE!$F$14,$M266,BH$13)="",10^12,OFFSET(CRONOPLE!$F$14,$M266,BH$13))))</f>
        <v>1000000000000</v>
      </c>
      <c r="BI266" s="181">
        <f ca="1">IF($D266&lt;&gt;"Serviço",0,IF(AND(AUTOEVENTO="Manual",$M266=1),0,IF(OFFSET(CRONOPLE!$F$14,$M266,BI$13)="",10^12,OFFSET(CRONOPLE!$F$14,$M266,BI$13))))</f>
        <v>1000000000000</v>
      </c>
      <c r="BJ266" s="181">
        <f ca="1">IF($D266&lt;&gt;"Serviço",0,IF(AND(AUTOEVENTO="Manual",$M266=1),0,IF(OFFSET(CRONOPLE!$F$14,$M266,BJ$13)="",10^12,OFFSET(CRONOPLE!$F$14,$M266,BJ$13))))</f>
        <v>1000000000000</v>
      </c>
      <c r="BK266" s="181">
        <f ca="1">IF($D266&lt;&gt;"Serviço",0,IF(AND(AUTOEVENTO="Manual",$M266=1),0,IF(OFFSET(CRONOPLE!$F$14,$M266,BK$13)="",10^12,OFFSET(CRONOPLE!$F$14,$M266,BK$13))))</f>
        <v>1000000000000</v>
      </c>
      <c r="BL266" s="181">
        <f ca="1">IF($D266&lt;&gt;"Serviço",0,IF(AND(AUTOEVENTO="Manual",$M266=1),0,IF(OFFSET(CRONOPLE!$F$14,$M266,BL$13)="",10^12,OFFSET(CRONOPLE!$F$14,$M266,BL$13))))</f>
        <v>1000000000000</v>
      </c>
      <c r="BM266" s="181">
        <f ca="1">IF($D266&lt;&gt;"Serviço",0,IF(AND(AUTOEVENTO="Manual",$M266=1),0,IF(OFFSET(CRONOPLE!$F$14,$M266,BM$13)="",10^12,OFFSET(CRONOPLE!$F$14,$M266,BM$13))))</f>
        <v>1000000000000</v>
      </c>
      <c r="BN266" s="181">
        <f ca="1">IF($D266&lt;&gt;"Serviço",0,IF(AND(AUTOEVENTO="Manual",$M266=1),0,IF(OFFSET(CRONOPLE!$F$14,$M266,BN$13)="",10^12,OFFSET(CRONOPLE!$F$14,$M266,BN$13))))</f>
        <v>1000000000000</v>
      </c>
      <c r="BO266" s="181">
        <f ca="1">IF($D266&lt;&gt;"Serviço",0,IF(AND(AUTOEVENTO="Manual",$M266=1),0,IF(OFFSET(CRONOPLE!$F$14,$M266,BO$13)="",10^12,OFFSET(CRONOPLE!$F$14,$M266,BO$13))))</f>
        <v>1000000000000</v>
      </c>
      <c r="BP266" s="181">
        <f ca="1">IF($D266&lt;&gt;"Serviço",0,IF(AND(AUTOEVENTO="Manual",$M266=1),0,IF(OFFSET(CRONOPLE!$F$14,$M266,BP$13)="",10^12,OFFSET(CRONOPLE!$F$14,$M266,BP$13))))</f>
        <v>1000000000000</v>
      </c>
      <c r="BQ266" s="181">
        <f ca="1">IF($D266&lt;&gt;"Serviço",0,IF(AND(AUTOEVENTO="Manual",$M266=1),0,IF(OFFSET(CRONOPLE!$F$14,$M266,BQ$13)="",10^12,OFFSET(CRONOPLE!$F$14,$M266,BQ$13))))</f>
        <v>1000000000000</v>
      </c>
      <c r="BR266" s="181">
        <f ca="1">IF($D266&lt;&gt;"Serviço",0,IF(AND(AUTOEVENTO="Manual",$M266=1),0,IF(OFFSET(CRONOPLE!$F$14,$M266,BR$13)="",10^12,OFFSET(CRONOPLE!$F$14,$M266,BR$13))))</f>
        <v>1000000000000</v>
      </c>
      <c r="BS266" s="181">
        <f ca="1">IF($D266&lt;&gt;"Serviço",0,IF(AND(AUTOEVENTO="Manual",$M266=1),0,IF(OFFSET(CRONOPLE!$F$14,$M266,BS$13)="",10^12,OFFSET(CRONOPLE!$F$14,$M266,BS$13))))</f>
        <v>1000000000000</v>
      </c>
      <c r="BT266" s="181">
        <f ca="1">IF($D266&lt;&gt;"Serviço",0,IF(AND(AUTOEVENTO="Manual",$M266=1),0,IF(OFFSET(CRONOPLE!$F$14,$M266,BT$13)="",10^12,OFFSET(CRONOPLE!$F$14,$M266,BT$13))))</f>
        <v>1000000000000</v>
      </c>
      <c r="BV266" s="182">
        <f ca="1">IF($D266&lt;&gt;"Serviço",0,IF(OR(AND(AUTOEVENTO="Manual",$M266=1),$M266&gt;(ROW(PLE.lastrow)-ROW(PLE.firstrow))),0,IF(OFFSET(PLE!$G$14,$M266,BV$13)="",10^12,OFFSET(PLE!$G$14,$M266,BV$13))))</f>
        <v>1000000000000</v>
      </c>
      <c r="BW266" s="182">
        <f ca="1">IF($D266&lt;&gt;"Serviço",0,IF(OR(AND(AUTOEVENTO="Manual",$M266=1),$M266&gt;(ROW(PLE.lastrow)-ROW(PLE.firstrow))),0,IF(OFFSET(PLE!$G$14,$M266,BW$13)="",10^12,OFFSET(PLE!$G$14,$M266,BW$13))))</f>
        <v>1000000000000</v>
      </c>
      <c r="BX266" s="182">
        <f ca="1">IF($D266&lt;&gt;"Serviço",0,IF(OR(AND(AUTOEVENTO="Manual",$M266=1),$M266&gt;(ROW(PLE.lastrow)-ROW(PLE.firstrow))),0,IF(OFFSET(PLE!$G$14,$M266,BX$13)="",10^12,OFFSET(PLE!$G$14,$M266,BX$13))))</f>
        <v>1000000000000</v>
      </c>
      <c r="BY266" s="182">
        <f ca="1">IF($D266&lt;&gt;"Serviço",0,IF(OR(AND(AUTOEVENTO="Manual",$M266=1),$M266&gt;(ROW(PLE.lastrow)-ROW(PLE.firstrow))),0,IF(OFFSET(PLE!$G$14,$M266,BY$13)="",10^12,OFFSET(PLE!$G$14,$M266,BY$13))))</f>
        <v>1000000000000</v>
      </c>
      <c r="BZ266" s="182">
        <f ca="1">IF($D266&lt;&gt;"Serviço",0,IF(OR(AND(AUTOEVENTO="Manual",$M266=1),$M266&gt;(ROW(PLE.lastrow)-ROW(PLE.firstrow))),0,IF(OFFSET(PLE!$G$14,$M266,BZ$13)="",10^12,OFFSET(PLE!$G$14,$M266,BZ$13))))</f>
        <v>1000000000000</v>
      </c>
      <c r="CA266" s="182">
        <f ca="1">IF($D266&lt;&gt;"Serviço",0,IF(OR(AND(AUTOEVENTO="Manual",$M266=1),$M266&gt;(ROW(PLE.lastrow)-ROW(PLE.firstrow))),0,IF(OFFSET(PLE!$G$14,$M266,CA$13)="",10^12,OFFSET(PLE!$G$14,$M266,CA$13))))</f>
        <v>1000000000000</v>
      </c>
      <c r="CB266" s="182">
        <f ca="1">IF($D266&lt;&gt;"Serviço",0,IF(OR(AND(AUTOEVENTO="Manual",$M266=1),$M266&gt;(ROW(PLE.lastrow)-ROW(PLE.firstrow))),0,IF(OFFSET(PLE!$G$14,$M266,CB$13)="",10^12,OFFSET(PLE!$G$14,$M266,CB$13))))</f>
        <v>1000000000000</v>
      </c>
      <c r="CC266" s="182">
        <f ca="1">IF($D266&lt;&gt;"Serviço",0,IF(OR(AND(AUTOEVENTO="Manual",$M266=1),$M266&gt;(ROW(PLE.lastrow)-ROW(PLE.firstrow))),0,IF(OFFSET(PLE!$G$14,$M266,CC$13)="",10^12,OFFSET(PLE!$G$14,$M266,CC$13))))</f>
        <v>1000000000000</v>
      </c>
      <c r="CD266" s="182">
        <f ca="1">IF($D266&lt;&gt;"Serviço",0,IF(OR(AND(AUTOEVENTO="Manual",$M266=1),$M266&gt;(ROW(PLE.lastrow)-ROW(PLE.firstrow))),0,IF(OFFSET(PLE!$G$14,$M266,CD$13)="",10^12,OFFSET(PLE!$G$14,$M266,CD$13))))</f>
        <v>1000000000000</v>
      </c>
      <c r="CE266" s="182">
        <f ca="1">IF($D266&lt;&gt;"Serviço",0,IF(OR(AND(AUTOEVENTO="Manual",$M266=1),$M266&gt;(ROW(PLE.lastrow)-ROW(PLE.firstrow))),0,IF(OFFSET(PLE!$G$14,$M266,CE$13)="",10^12,OFFSET(PLE!$G$14,$M266,CE$13))))</f>
        <v>1000000000000</v>
      </c>
      <c r="CF266" s="182">
        <f ca="1">IF($D266&lt;&gt;"Serviço",0,IF(OR(AND(AUTOEVENTO="Manual",$M266=1),$M266&gt;(ROW(PLE.lastrow)-ROW(PLE.firstrow))),0,IF(OFFSET(PLE!$G$14,$M266,CF$13)="",10^12,OFFSET(PLE!$G$14,$M266,CF$13))))</f>
        <v>1000000000000</v>
      </c>
      <c r="CG266" s="182">
        <f ca="1">IF($D266&lt;&gt;"Serviço",0,IF(OR(AND(AUTOEVENTO="Manual",$M266=1),$M266&gt;(ROW(PLE.lastrow)-ROW(PLE.firstrow))),0,IF(OFFSET(PLE!$G$14,$M266,CG$13)="",10^12,OFFSET(PLE!$G$14,$M266,CG$13))))</f>
        <v>1000000000000</v>
      </c>
      <c r="CH266" s="182">
        <f ca="1">IF($D266&lt;&gt;"Serviço",0,IF(OR(AND(AUTOEVENTO="Manual",$M266=1),$M266&gt;(ROW(PLE.lastrow)-ROW(PLE.firstrow))),0,IF(OFFSET(PLE!$G$14,$M266,CH$13)="",10^12,OFFSET(PLE!$G$14,$M266,CH$13))))</f>
        <v>1000000000000</v>
      </c>
      <c r="CI266" s="182">
        <f ca="1">IF($D266&lt;&gt;"Serviço",0,IF(OR(AND(AUTOEVENTO="Manual",$M266=1),$M266&gt;(ROW(PLE.lastrow)-ROW(PLE.firstrow))),0,IF(OFFSET(PLE!$G$14,$M266,CI$13)="",10^12,OFFSET(PLE!$G$14,$M266,CI$13))))</f>
        <v>1000000000000</v>
      </c>
      <c r="CJ266" s="182">
        <f ca="1">IF($D266&lt;&gt;"Serviço",0,IF(OR(AND(AUTOEVENTO="Manual",$M266=1),$M266&gt;(ROW(PLE.lastrow)-ROW(PLE.firstrow))),0,IF(OFFSET(PLE!$G$14,$M266,CJ$13)="",10^12,OFFSET(PLE!$G$14,$M266,CJ$13))))</f>
        <v>1000000000000</v>
      </c>
      <c r="CK266" s="182">
        <f ca="1">IF($D266&lt;&gt;"Serviço",0,IF(OR(AND(AUTOEVENTO="Manual",$M266=1),$M266&gt;(ROW(PLE.lastrow)-ROW(PLE.firstrow))),0,IF(OFFSET(PLE!$G$14,$M266,CK$13)="",10^12,OFFSET(PLE!$G$14,$M266,CK$13))))</f>
        <v>1000000000000</v>
      </c>
      <c r="CL266" s="182">
        <f ca="1">IF($D266&lt;&gt;"Serviço",0,IF(OR(AND(AUTOEVENTO="Manual",$M266=1),$M266&gt;(ROW(PLE.lastrow)-ROW(PLE.firstrow))),0,IF(OFFSET(PLE!$G$14,$M266,CL$13)="",10^12,OFFSET(PLE!$G$14,$M266,CL$13))))</f>
        <v>1000000000000</v>
      </c>
      <c r="CM266" s="182">
        <f ca="1">IF($D266&lt;&gt;"Serviço",0,IF(OR(AND(AUTOEVENTO="Manual",$M266=1),$M266&gt;(ROW(PLE.lastrow)-ROW(PLE.firstrow))),0,IF(OFFSET(PLE!$G$14,$M266,CM$13)="",10^12,OFFSET(PLE!$G$14,$M266,CM$13))))</f>
        <v>1000000000000</v>
      </c>
    </row>
    <row r="267" spans="1:91" ht="38.25" x14ac:dyDescent="0.2">
      <c r="A267" s="7" t="str">
        <f t="shared" ca="1" si="12"/>
        <v>232</v>
      </c>
      <c r="B267" s="7" t="str">
        <f ca="1">OFFSET(ORÇAMENTO!C$15,ROW(B267)-ROW(B$15),0)</f>
        <v>S</v>
      </c>
      <c r="C267" s="7" t="str">
        <f ca="1">OFFSET(ORÇAMENTO!L$15,ROW(C267)-ROW(C$15),0)</f>
        <v/>
      </c>
      <c r="D267" s="118" t="str">
        <f ca="1">OFFSET(ORÇAMENTO!N$15,ROW(D267)-ROW(D$15),0)</f>
        <v>Serviço</v>
      </c>
      <c r="E267" s="119" t="str">
        <f ca="1">OFFSET(ORÇAMENTO!O$15,ROW(E267)-ROW(E$15),0)</f>
        <v>-</v>
      </c>
      <c r="F267" s="172" t="str">
        <f ca="1">OFFSET(ORÇAMENTO!R$15,ROW(F267)-ROW(F$15),0)</f>
        <v>(abra o arquivo 'Referência 06-2024.xlsm)</v>
      </c>
      <c r="G267" s="173" t="str">
        <f ca="1">IF($D267&lt;&gt;"Serviço","",OFFSET(ORÇAMENTO!S$15,ROW(G267)-ROW(G$15),0))</f>
        <v>-</v>
      </c>
      <c r="H267" s="124">
        <f ca="1">IF($D267&lt;&gt;"Serviço",0,IF(ACOMPANHAMENTO="BM",ROUND(OFFSET(ORÇAMENTO!AJ$15,ROW(H267)-ROW(H$15),0),15-13*ORÇAMENTO!$AF$7),SUMPRODUCT(($Q$12:$AI$12&lt;&gt;"")*ROUND($Q267:$AI267,15-13*ORÇAMENTO!$AF$7))))</f>
        <v>1</v>
      </c>
      <c r="I267" s="561" t="s">
        <v>1107</v>
      </c>
      <c r="K267" s="174"/>
      <c r="L267" s="175" t="s">
        <v>255</v>
      </c>
      <c r="M267" s="176">
        <f ca="1">IF($D267&lt;&gt;"Serviço","",IF(AUTOEVENTO="manual",$A267,IF(ISERROR(MATCH($A267,$A$15:OFFSET($A267,-1,0),0)),MAX($M$15:OFFSET(M267,-1,0))+1,INDEX($M$15:OFFSET(M267,-1,0),MATCH($A267,$A$15:OFFSET($A267,-1,0),0)))))</f>
        <v>35</v>
      </c>
      <c r="N267" s="177" t="str">
        <f ca="1">IF($D267&lt;&gt;"Serviço","",IF(AUTOEVENTO="Manual",IF($A267=0,"&lt;-- defina o número do agrupador",OFFSET(EVENTOS!$D$14,$A267,0)),OFFSET($F$15,$A267,0)))</f>
        <v>INSTALAÇÃO HIDRÁULICA - TUBULAÇÕES E CONEXÕES DE PVC RÍGIDO</v>
      </c>
      <c r="O267" s="178"/>
      <c r="Q267" s="178">
        <v>1</v>
      </c>
      <c r="R267" s="179"/>
      <c r="S267" s="179"/>
      <c r="T267" s="179"/>
      <c r="U267" s="179"/>
      <c r="V267" s="179"/>
      <c r="W267" s="179"/>
      <c r="X267" s="179"/>
      <c r="Y267" s="179"/>
      <c r="Z267" s="180"/>
      <c r="AA267" s="179"/>
      <c r="AB267" s="179"/>
      <c r="AC267" s="179"/>
      <c r="AD267" s="179"/>
      <c r="AE267" s="179"/>
      <c r="AF267" s="179"/>
      <c r="AG267" s="179"/>
      <c r="AH267" s="180"/>
      <c r="AJ267" s="544">
        <f ca="1">IF(AND($D267="Serviço",AJ$12&lt;&gt;0,$H267&gt;0,OR(AUTOEVENTO&lt;&gt;"manual",$M267&lt;&gt;1)),
IF(Import.TipoArredondamento&lt;&gt;"TransfereGOV",
ROUND(OFFSET($P267,0,AJ$13),15-13*ORÇAMENTO!$AF$7)/$H267*OFFSET(ORÇAMENTO!$X$15,ROW(AJ267)-ROW(AJ$15),0),
ROUND(ROUND(OFFSET($P267,0,AJ$13),15-13*ORÇAMENTO!$AF$7)*OFFSET(ORÇAMENTO!$W$15,ROW(AJ267)-ROW(AJ$15),0),15-13*ORÇAMENTO!$AF$11)),0)</f>
        <v>0</v>
      </c>
      <c r="AK267" s="545">
        <f ca="1">IF(AND($D267="Serviço",AK$12&lt;&gt;0,$H267&gt;0,OR(AUTOEVENTO&lt;&gt;"manual",$M267&lt;&gt;1)),
IF(Import.TipoArredondamento&lt;&gt;"TransfereGOV",
ROUND(OFFSET($P267,0,AK$13),15-13*ORÇAMENTO!$AF$7)/$H267*OFFSET(ORÇAMENTO!$X$15,ROW(AK267)-ROW(AK$15),0),
ROUND(ROUND(OFFSET($P267,0,AK$13),15-13*ORÇAMENTO!$AF$7)*OFFSET(ORÇAMENTO!$W$15,ROW(AK267)-ROW(AK$15),0),15-13*ORÇAMENTO!$AF$11)),0)</f>
        <v>0</v>
      </c>
      <c r="AL267" s="545">
        <f ca="1">IF(AND($D267="Serviço",AL$12&lt;&gt;0,$H267&gt;0,OR(AUTOEVENTO&lt;&gt;"manual",$M267&lt;&gt;1)),
IF(Import.TipoArredondamento&lt;&gt;"TransfereGOV",
ROUND(OFFSET($P267,0,AL$13),15-13*ORÇAMENTO!$AF$7)/$H267*OFFSET(ORÇAMENTO!$X$15,ROW(AL267)-ROW(AL$15),0),
ROUND(ROUND(OFFSET($P267,0,AL$13),15-13*ORÇAMENTO!$AF$7)*OFFSET(ORÇAMENTO!$W$15,ROW(AL267)-ROW(AL$15),0),15-13*ORÇAMENTO!$AF$11)),0)</f>
        <v>0</v>
      </c>
      <c r="AM267" s="545">
        <f ca="1">IF(AND($D267="Serviço",AM$12&lt;&gt;0,$H267&gt;0,OR(AUTOEVENTO&lt;&gt;"manual",$M267&lt;&gt;1)),
IF(Import.TipoArredondamento&lt;&gt;"TransfereGOV",
ROUND(OFFSET($P267,0,AM$13),15-13*ORÇAMENTO!$AF$7)/$H267*OFFSET(ORÇAMENTO!$X$15,ROW(AM267)-ROW(AM$15),0),
ROUND(ROUND(OFFSET($P267,0,AM$13),15-13*ORÇAMENTO!$AF$7)*OFFSET(ORÇAMENTO!$W$15,ROW(AM267)-ROW(AM$15),0),15-13*ORÇAMENTO!$AF$11)),0)</f>
        <v>0</v>
      </c>
      <c r="AN267" s="545">
        <f ca="1">IF(AND($D267="Serviço",AN$12&lt;&gt;0,$H267&gt;0,OR(AUTOEVENTO&lt;&gt;"manual",$M267&lt;&gt;1)),
IF(Import.TipoArredondamento&lt;&gt;"TransfereGOV",
ROUND(OFFSET($P267,0,AN$13),15-13*ORÇAMENTO!$AF$7)/$H267*OFFSET(ORÇAMENTO!$X$15,ROW(AN267)-ROW(AN$15),0),
ROUND(ROUND(OFFSET($P267,0,AN$13),15-13*ORÇAMENTO!$AF$7)*OFFSET(ORÇAMENTO!$W$15,ROW(AN267)-ROW(AN$15),0),15-13*ORÇAMENTO!$AF$11)),0)</f>
        <v>0</v>
      </c>
      <c r="AO267" s="545">
        <f ca="1">IF(AND($D267="Serviço",AO$12&lt;&gt;0,$H267&gt;0,OR(AUTOEVENTO&lt;&gt;"manual",$M267&lt;&gt;1)),
IF(Import.TipoArredondamento&lt;&gt;"TransfereGOV",
ROUND(OFFSET($P267,0,AO$13),15-13*ORÇAMENTO!$AF$7)/$H267*OFFSET(ORÇAMENTO!$X$15,ROW(AO267)-ROW(AO$15),0),
ROUND(ROUND(OFFSET($P267,0,AO$13),15-13*ORÇAMENTO!$AF$7)*OFFSET(ORÇAMENTO!$W$15,ROW(AO267)-ROW(AO$15),0),15-13*ORÇAMENTO!$AF$11)),0)</f>
        <v>0</v>
      </c>
      <c r="AP267" s="545">
        <f ca="1">IF(AND($D267="Serviço",AP$12&lt;&gt;0,$H267&gt;0,OR(AUTOEVENTO&lt;&gt;"manual",$M267&lt;&gt;1)),
IF(Import.TipoArredondamento&lt;&gt;"TransfereGOV",
ROUND(OFFSET($P267,0,AP$13),15-13*ORÇAMENTO!$AF$7)/$H267*OFFSET(ORÇAMENTO!$X$15,ROW(AP267)-ROW(AP$15),0),
ROUND(ROUND(OFFSET($P267,0,AP$13),15-13*ORÇAMENTO!$AF$7)*OFFSET(ORÇAMENTO!$W$15,ROW(AP267)-ROW(AP$15),0),15-13*ORÇAMENTO!$AF$11)),0)</f>
        <v>0</v>
      </c>
      <c r="AQ267" s="545">
        <f ca="1">IF(AND($D267="Serviço",AQ$12&lt;&gt;0,$H267&gt;0,OR(AUTOEVENTO&lt;&gt;"manual",$M267&lt;&gt;1)),
IF(Import.TipoArredondamento&lt;&gt;"TransfereGOV",
ROUND(OFFSET($P267,0,AQ$13),15-13*ORÇAMENTO!$AF$7)/$H267*OFFSET(ORÇAMENTO!$X$15,ROW(AQ267)-ROW(AQ$15),0),
ROUND(ROUND(OFFSET($P267,0,AQ$13),15-13*ORÇAMENTO!$AF$7)*OFFSET(ORÇAMENTO!$W$15,ROW(AQ267)-ROW(AQ$15),0),15-13*ORÇAMENTO!$AF$11)),0)</f>
        <v>0</v>
      </c>
      <c r="AR267" s="545">
        <f ca="1">IF(AND($D267="Serviço",AR$12&lt;&gt;0,$H267&gt;0,OR(AUTOEVENTO&lt;&gt;"manual",$M267&lt;&gt;1)),
IF(Import.TipoArredondamento&lt;&gt;"TransfereGOV",
ROUND(OFFSET($P267,0,AR$13),15-13*ORÇAMENTO!$AF$7)/$H267*OFFSET(ORÇAMENTO!$X$15,ROW(AR267)-ROW(AR$15),0),
ROUND(ROUND(OFFSET($P267,0,AR$13),15-13*ORÇAMENTO!$AF$7)*OFFSET(ORÇAMENTO!$W$15,ROW(AR267)-ROW(AR$15),0),15-13*ORÇAMENTO!$AF$11)),0)</f>
        <v>0</v>
      </c>
      <c r="AS267" s="546">
        <f ca="1">IF(AND($D267="Serviço",AS$12&lt;&gt;0,$H267&gt;0,OR(AUTOEVENTO&lt;&gt;"manual",$M267&lt;&gt;1)),
IF(Import.TipoArredondamento&lt;&gt;"TransfereGOV",
ROUND(OFFSET($P267,0,AS$13),15-13*ORÇAMENTO!$AF$7)/$H267*OFFSET(ORÇAMENTO!$X$15,ROW(AS267)-ROW(AS$15),0),
ROUND(ROUND(OFFSET($P267,0,AS$13),15-13*ORÇAMENTO!$AF$7)*OFFSET(ORÇAMENTO!$W$15,ROW(AS267)-ROW(AS$15),0),15-13*ORÇAMENTO!$AF$11)),0)</f>
        <v>0</v>
      </c>
      <c r="AT267" s="545">
        <f ca="1">IF(AND($D267="Serviço",AT$12&lt;&gt;0,$H267&gt;0,OR(AUTOEVENTO&lt;&gt;"manual",$M267&lt;&gt;1)),
IF(Import.TipoArredondamento&lt;&gt;"TransfereGOV",
ROUND(OFFSET($P267,0,AT$13),15-13*ORÇAMENTO!$AF$7)/$H267*OFFSET(ORÇAMENTO!$X$15,ROW(AT267)-ROW(AT$15),0),
ROUND(ROUND(OFFSET($P267,0,AT$13),15-13*ORÇAMENTO!$AF$7)*OFFSET(ORÇAMENTO!$W$15,ROW(AT267)-ROW(AT$15),0),15-13*ORÇAMENTO!$AF$11)),0)</f>
        <v>0</v>
      </c>
      <c r="AU267" s="545">
        <f ca="1">IF(AND($D267="Serviço",AU$12&lt;&gt;0,$H267&gt;0,OR(AUTOEVENTO&lt;&gt;"manual",$M267&lt;&gt;1)),
IF(Import.TipoArredondamento&lt;&gt;"TransfereGOV",
ROUND(OFFSET($P267,0,AU$13),15-13*ORÇAMENTO!$AF$7)/$H267*OFFSET(ORÇAMENTO!$X$15,ROW(AU267)-ROW(AU$15),0),
ROUND(ROUND(OFFSET($P267,0,AU$13),15-13*ORÇAMENTO!$AF$7)*OFFSET(ORÇAMENTO!$W$15,ROW(AU267)-ROW(AU$15),0),15-13*ORÇAMENTO!$AF$11)),0)</f>
        <v>0</v>
      </c>
      <c r="AV267" s="545">
        <f ca="1">IF(AND($D267="Serviço",AV$12&lt;&gt;0,$H267&gt;0,OR(AUTOEVENTO&lt;&gt;"manual",$M267&lt;&gt;1)),
IF(Import.TipoArredondamento&lt;&gt;"TransfereGOV",
ROUND(OFFSET($P267,0,AV$13),15-13*ORÇAMENTO!$AF$7)/$H267*OFFSET(ORÇAMENTO!$X$15,ROW(AV267)-ROW(AV$15),0),
ROUND(ROUND(OFFSET($P267,0,AV$13),15-13*ORÇAMENTO!$AF$7)*OFFSET(ORÇAMENTO!$W$15,ROW(AV267)-ROW(AV$15),0),15-13*ORÇAMENTO!$AF$11)),0)</f>
        <v>0</v>
      </c>
      <c r="AW267" s="545">
        <f ca="1">IF(AND($D267="Serviço",AW$12&lt;&gt;0,$H267&gt;0,OR(AUTOEVENTO&lt;&gt;"manual",$M267&lt;&gt;1)),
IF(Import.TipoArredondamento&lt;&gt;"TransfereGOV",
ROUND(OFFSET($P267,0,AW$13),15-13*ORÇAMENTO!$AF$7)/$H267*OFFSET(ORÇAMENTO!$X$15,ROW(AW267)-ROW(AW$15),0),
ROUND(ROUND(OFFSET($P267,0,AW$13),15-13*ORÇAMENTO!$AF$7)*OFFSET(ORÇAMENTO!$W$15,ROW(AW267)-ROW(AW$15),0),15-13*ORÇAMENTO!$AF$11)),0)</f>
        <v>0</v>
      </c>
      <c r="AX267" s="545">
        <f ca="1">IF(AND($D267="Serviço",AX$12&lt;&gt;0,$H267&gt;0,OR(AUTOEVENTO&lt;&gt;"manual",$M267&lt;&gt;1)),
IF(Import.TipoArredondamento&lt;&gt;"TransfereGOV",
ROUND(OFFSET($P267,0,AX$13),15-13*ORÇAMENTO!$AF$7)/$H267*OFFSET(ORÇAMENTO!$X$15,ROW(AX267)-ROW(AX$15),0),
ROUND(ROUND(OFFSET($P267,0,AX$13),15-13*ORÇAMENTO!$AF$7)*OFFSET(ORÇAMENTO!$W$15,ROW(AX267)-ROW(AX$15),0),15-13*ORÇAMENTO!$AF$11)),0)</f>
        <v>0</v>
      </c>
      <c r="AY267" s="545">
        <f ca="1">IF(AND($D267="Serviço",AY$12&lt;&gt;0,$H267&gt;0,OR(AUTOEVENTO&lt;&gt;"manual",$M267&lt;&gt;1)),
IF(Import.TipoArredondamento&lt;&gt;"TransfereGOV",
ROUND(OFFSET($P267,0,AY$13),15-13*ORÇAMENTO!$AF$7)/$H267*OFFSET(ORÇAMENTO!$X$15,ROW(AY267)-ROW(AY$15),0),
ROUND(ROUND(OFFSET($P267,0,AY$13),15-13*ORÇAMENTO!$AF$7)*OFFSET(ORÇAMENTO!$W$15,ROW(AY267)-ROW(AY$15),0),15-13*ORÇAMENTO!$AF$11)),0)</f>
        <v>0</v>
      </c>
      <c r="AZ267" s="545">
        <f ca="1">IF(AND($D267="Serviço",AZ$12&lt;&gt;0,$H267&gt;0,OR(AUTOEVENTO&lt;&gt;"manual",$M267&lt;&gt;1)),
IF(Import.TipoArredondamento&lt;&gt;"TransfereGOV",
ROUND(OFFSET($P267,0,AZ$13),15-13*ORÇAMENTO!$AF$7)/$H267*OFFSET(ORÇAMENTO!$X$15,ROW(AZ267)-ROW(AZ$15),0),
ROUND(ROUND(OFFSET($P267,0,AZ$13),15-13*ORÇAMENTO!$AF$7)*OFFSET(ORÇAMENTO!$W$15,ROW(AZ267)-ROW(AZ$15),0),15-13*ORÇAMENTO!$AF$11)),0)</f>
        <v>0</v>
      </c>
      <c r="BA267" s="546">
        <f ca="1">IF(AND($D267="Serviço",BA$12&lt;&gt;0,$H267&gt;0,OR(AUTOEVENTO&lt;&gt;"manual",$M267&lt;&gt;1)),
IF(Import.TipoArredondamento&lt;&gt;"TransfereGOV",
ROUND(OFFSET($P267,0,BA$13),15-13*ORÇAMENTO!$AF$7)/$H267*OFFSET(ORÇAMENTO!$X$15,ROW(BA267)-ROW(BA$15),0),
ROUND(ROUND(OFFSET($P267,0,BA$13),15-13*ORÇAMENTO!$AF$7)*OFFSET(ORÇAMENTO!$W$15,ROW(BA267)-ROW(BA$15),0),15-13*ORÇAMENTO!$AF$11)),0)</f>
        <v>0</v>
      </c>
      <c r="BC267" s="181">
        <f ca="1">IF($D267&lt;&gt;"Serviço",0,IF(AND(AUTOEVENTO="Manual",$M267=1),0,IF(OFFSET(CRONOPLE!$F$14,$M267,BC$13)="",10^12,OFFSET(CRONOPLE!$F$14,$M267,BC$13))))</f>
        <v>9</v>
      </c>
      <c r="BD267" s="181">
        <f ca="1">IF($D267&lt;&gt;"Serviço",0,IF(AND(AUTOEVENTO="Manual",$M267=1),0,IF(OFFSET(CRONOPLE!$F$14,$M267,BD$13)="",10^12,OFFSET(CRONOPLE!$F$14,$M267,BD$13))))</f>
        <v>1000000000000</v>
      </c>
      <c r="BE267" s="181">
        <f ca="1">IF($D267&lt;&gt;"Serviço",0,IF(AND(AUTOEVENTO="Manual",$M267=1),0,IF(OFFSET(CRONOPLE!$F$14,$M267,BE$13)="",10^12,OFFSET(CRONOPLE!$F$14,$M267,BE$13))))</f>
        <v>1000000000000</v>
      </c>
      <c r="BF267" s="181">
        <f ca="1">IF($D267&lt;&gt;"Serviço",0,IF(AND(AUTOEVENTO="Manual",$M267=1),0,IF(OFFSET(CRONOPLE!$F$14,$M267,BF$13)="",10^12,OFFSET(CRONOPLE!$F$14,$M267,BF$13))))</f>
        <v>1000000000000</v>
      </c>
      <c r="BG267" s="181">
        <f ca="1">IF($D267&lt;&gt;"Serviço",0,IF(AND(AUTOEVENTO="Manual",$M267=1),0,IF(OFFSET(CRONOPLE!$F$14,$M267,BG$13)="",10^12,OFFSET(CRONOPLE!$F$14,$M267,BG$13))))</f>
        <v>1000000000000</v>
      </c>
      <c r="BH267" s="181">
        <f ca="1">IF($D267&lt;&gt;"Serviço",0,IF(AND(AUTOEVENTO="Manual",$M267=1),0,IF(OFFSET(CRONOPLE!$F$14,$M267,BH$13)="",10^12,OFFSET(CRONOPLE!$F$14,$M267,BH$13))))</f>
        <v>1000000000000</v>
      </c>
      <c r="BI267" s="181">
        <f ca="1">IF($D267&lt;&gt;"Serviço",0,IF(AND(AUTOEVENTO="Manual",$M267=1),0,IF(OFFSET(CRONOPLE!$F$14,$M267,BI$13)="",10^12,OFFSET(CRONOPLE!$F$14,$M267,BI$13))))</f>
        <v>1000000000000</v>
      </c>
      <c r="BJ267" s="181">
        <f ca="1">IF($D267&lt;&gt;"Serviço",0,IF(AND(AUTOEVENTO="Manual",$M267=1),0,IF(OFFSET(CRONOPLE!$F$14,$M267,BJ$13)="",10^12,OFFSET(CRONOPLE!$F$14,$M267,BJ$13))))</f>
        <v>1000000000000</v>
      </c>
      <c r="BK267" s="181">
        <f ca="1">IF($D267&lt;&gt;"Serviço",0,IF(AND(AUTOEVENTO="Manual",$M267=1),0,IF(OFFSET(CRONOPLE!$F$14,$M267,BK$13)="",10^12,OFFSET(CRONOPLE!$F$14,$M267,BK$13))))</f>
        <v>1000000000000</v>
      </c>
      <c r="BL267" s="181">
        <f ca="1">IF($D267&lt;&gt;"Serviço",0,IF(AND(AUTOEVENTO="Manual",$M267=1),0,IF(OFFSET(CRONOPLE!$F$14,$M267,BL$13)="",10^12,OFFSET(CRONOPLE!$F$14,$M267,BL$13))))</f>
        <v>1000000000000</v>
      </c>
      <c r="BM267" s="181">
        <f ca="1">IF($D267&lt;&gt;"Serviço",0,IF(AND(AUTOEVENTO="Manual",$M267=1),0,IF(OFFSET(CRONOPLE!$F$14,$M267,BM$13)="",10^12,OFFSET(CRONOPLE!$F$14,$M267,BM$13))))</f>
        <v>1000000000000</v>
      </c>
      <c r="BN267" s="181">
        <f ca="1">IF($D267&lt;&gt;"Serviço",0,IF(AND(AUTOEVENTO="Manual",$M267=1),0,IF(OFFSET(CRONOPLE!$F$14,$M267,BN$13)="",10^12,OFFSET(CRONOPLE!$F$14,$M267,BN$13))))</f>
        <v>1000000000000</v>
      </c>
      <c r="BO267" s="181">
        <f ca="1">IF($D267&lt;&gt;"Serviço",0,IF(AND(AUTOEVENTO="Manual",$M267=1),0,IF(OFFSET(CRONOPLE!$F$14,$M267,BO$13)="",10^12,OFFSET(CRONOPLE!$F$14,$M267,BO$13))))</f>
        <v>1000000000000</v>
      </c>
      <c r="BP267" s="181">
        <f ca="1">IF($D267&lt;&gt;"Serviço",0,IF(AND(AUTOEVENTO="Manual",$M267=1),0,IF(OFFSET(CRONOPLE!$F$14,$M267,BP$13)="",10^12,OFFSET(CRONOPLE!$F$14,$M267,BP$13))))</f>
        <v>1000000000000</v>
      </c>
      <c r="BQ267" s="181">
        <f ca="1">IF($D267&lt;&gt;"Serviço",0,IF(AND(AUTOEVENTO="Manual",$M267=1),0,IF(OFFSET(CRONOPLE!$F$14,$M267,BQ$13)="",10^12,OFFSET(CRONOPLE!$F$14,$M267,BQ$13))))</f>
        <v>1000000000000</v>
      </c>
      <c r="BR267" s="181">
        <f ca="1">IF($D267&lt;&gt;"Serviço",0,IF(AND(AUTOEVENTO="Manual",$M267=1),0,IF(OFFSET(CRONOPLE!$F$14,$M267,BR$13)="",10^12,OFFSET(CRONOPLE!$F$14,$M267,BR$13))))</f>
        <v>1000000000000</v>
      </c>
      <c r="BS267" s="181">
        <f ca="1">IF($D267&lt;&gt;"Serviço",0,IF(AND(AUTOEVENTO="Manual",$M267=1),0,IF(OFFSET(CRONOPLE!$F$14,$M267,BS$13)="",10^12,OFFSET(CRONOPLE!$F$14,$M267,BS$13))))</f>
        <v>1000000000000</v>
      </c>
      <c r="BT267" s="181">
        <f ca="1">IF($D267&lt;&gt;"Serviço",0,IF(AND(AUTOEVENTO="Manual",$M267=1),0,IF(OFFSET(CRONOPLE!$F$14,$M267,BT$13)="",10^12,OFFSET(CRONOPLE!$F$14,$M267,BT$13))))</f>
        <v>1000000000000</v>
      </c>
      <c r="BV267" s="182">
        <f ca="1">IF($D267&lt;&gt;"Serviço",0,IF(OR(AND(AUTOEVENTO="Manual",$M267=1),$M267&gt;(ROW(PLE.lastrow)-ROW(PLE.firstrow))),0,IF(OFFSET(PLE!$G$14,$M267,BV$13)="",10^12,OFFSET(PLE!$G$14,$M267,BV$13))))</f>
        <v>1000000000000</v>
      </c>
      <c r="BW267" s="182">
        <f ca="1">IF($D267&lt;&gt;"Serviço",0,IF(OR(AND(AUTOEVENTO="Manual",$M267=1),$M267&gt;(ROW(PLE.lastrow)-ROW(PLE.firstrow))),0,IF(OFFSET(PLE!$G$14,$M267,BW$13)="",10^12,OFFSET(PLE!$G$14,$M267,BW$13))))</f>
        <v>1000000000000</v>
      </c>
      <c r="BX267" s="182">
        <f ca="1">IF($D267&lt;&gt;"Serviço",0,IF(OR(AND(AUTOEVENTO="Manual",$M267=1),$M267&gt;(ROW(PLE.lastrow)-ROW(PLE.firstrow))),0,IF(OFFSET(PLE!$G$14,$M267,BX$13)="",10^12,OFFSET(PLE!$G$14,$M267,BX$13))))</f>
        <v>1000000000000</v>
      </c>
      <c r="BY267" s="182">
        <f ca="1">IF($D267&lt;&gt;"Serviço",0,IF(OR(AND(AUTOEVENTO="Manual",$M267=1),$M267&gt;(ROW(PLE.lastrow)-ROW(PLE.firstrow))),0,IF(OFFSET(PLE!$G$14,$M267,BY$13)="",10^12,OFFSET(PLE!$G$14,$M267,BY$13))))</f>
        <v>1000000000000</v>
      </c>
      <c r="BZ267" s="182">
        <f ca="1">IF($D267&lt;&gt;"Serviço",0,IF(OR(AND(AUTOEVENTO="Manual",$M267=1),$M267&gt;(ROW(PLE.lastrow)-ROW(PLE.firstrow))),0,IF(OFFSET(PLE!$G$14,$M267,BZ$13)="",10^12,OFFSET(PLE!$G$14,$M267,BZ$13))))</f>
        <v>1000000000000</v>
      </c>
      <c r="CA267" s="182">
        <f ca="1">IF($D267&lt;&gt;"Serviço",0,IF(OR(AND(AUTOEVENTO="Manual",$M267=1),$M267&gt;(ROW(PLE.lastrow)-ROW(PLE.firstrow))),0,IF(OFFSET(PLE!$G$14,$M267,CA$13)="",10^12,OFFSET(PLE!$G$14,$M267,CA$13))))</f>
        <v>1000000000000</v>
      </c>
      <c r="CB267" s="182">
        <f ca="1">IF($D267&lt;&gt;"Serviço",0,IF(OR(AND(AUTOEVENTO="Manual",$M267=1),$M267&gt;(ROW(PLE.lastrow)-ROW(PLE.firstrow))),0,IF(OFFSET(PLE!$G$14,$M267,CB$13)="",10^12,OFFSET(PLE!$G$14,$M267,CB$13))))</f>
        <v>1000000000000</v>
      </c>
      <c r="CC267" s="182">
        <f ca="1">IF($D267&lt;&gt;"Serviço",0,IF(OR(AND(AUTOEVENTO="Manual",$M267=1),$M267&gt;(ROW(PLE.lastrow)-ROW(PLE.firstrow))),0,IF(OFFSET(PLE!$G$14,$M267,CC$13)="",10^12,OFFSET(PLE!$G$14,$M267,CC$13))))</f>
        <v>1000000000000</v>
      </c>
      <c r="CD267" s="182">
        <f ca="1">IF($D267&lt;&gt;"Serviço",0,IF(OR(AND(AUTOEVENTO="Manual",$M267=1),$M267&gt;(ROW(PLE.lastrow)-ROW(PLE.firstrow))),0,IF(OFFSET(PLE!$G$14,$M267,CD$13)="",10^12,OFFSET(PLE!$G$14,$M267,CD$13))))</f>
        <v>1000000000000</v>
      </c>
      <c r="CE267" s="182">
        <f ca="1">IF($D267&lt;&gt;"Serviço",0,IF(OR(AND(AUTOEVENTO="Manual",$M267=1),$M267&gt;(ROW(PLE.lastrow)-ROW(PLE.firstrow))),0,IF(OFFSET(PLE!$G$14,$M267,CE$13)="",10^12,OFFSET(PLE!$G$14,$M267,CE$13))))</f>
        <v>1000000000000</v>
      </c>
      <c r="CF267" s="182">
        <f ca="1">IF($D267&lt;&gt;"Serviço",0,IF(OR(AND(AUTOEVENTO="Manual",$M267=1),$M267&gt;(ROW(PLE.lastrow)-ROW(PLE.firstrow))),0,IF(OFFSET(PLE!$G$14,$M267,CF$13)="",10^12,OFFSET(PLE!$G$14,$M267,CF$13))))</f>
        <v>1000000000000</v>
      </c>
      <c r="CG267" s="182">
        <f ca="1">IF($D267&lt;&gt;"Serviço",0,IF(OR(AND(AUTOEVENTO="Manual",$M267=1),$M267&gt;(ROW(PLE.lastrow)-ROW(PLE.firstrow))),0,IF(OFFSET(PLE!$G$14,$M267,CG$13)="",10^12,OFFSET(PLE!$G$14,$M267,CG$13))))</f>
        <v>1000000000000</v>
      </c>
      <c r="CH267" s="182">
        <f ca="1">IF($D267&lt;&gt;"Serviço",0,IF(OR(AND(AUTOEVENTO="Manual",$M267=1),$M267&gt;(ROW(PLE.lastrow)-ROW(PLE.firstrow))),0,IF(OFFSET(PLE!$G$14,$M267,CH$13)="",10^12,OFFSET(PLE!$G$14,$M267,CH$13))))</f>
        <v>1000000000000</v>
      </c>
      <c r="CI267" s="182">
        <f ca="1">IF($D267&lt;&gt;"Serviço",0,IF(OR(AND(AUTOEVENTO="Manual",$M267=1),$M267&gt;(ROW(PLE.lastrow)-ROW(PLE.firstrow))),0,IF(OFFSET(PLE!$G$14,$M267,CI$13)="",10^12,OFFSET(PLE!$G$14,$M267,CI$13))))</f>
        <v>1000000000000</v>
      </c>
      <c r="CJ267" s="182">
        <f ca="1">IF($D267&lt;&gt;"Serviço",0,IF(OR(AND(AUTOEVENTO="Manual",$M267=1),$M267&gt;(ROW(PLE.lastrow)-ROW(PLE.firstrow))),0,IF(OFFSET(PLE!$G$14,$M267,CJ$13)="",10^12,OFFSET(PLE!$G$14,$M267,CJ$13))))</f>
        <v>1000000000000</v>
      </c>
      <c r="CK267" s="182">
        <f ca="1">IF($D267&lt;&gt;"Serviço",0,IF(OR(AND(AUTOEVENTO="Manual",$M267=1),$M267&gt;(ROW(PLE.lastrow)-ROW(PLE.firstrow))),0,IF(OFFSET(PLE!$G$14,$M267,CK$13)="",10^12,OFFSET(PLE!$G$14,$M267,CK$13))))</f>
        <v>1000000000000</v>
      </c>
      <c r="CL267" s="182">
        <f ca="1">IF($D267&lt;&gt;"Serviço",0,IF(OR(AND(AUTOEVENTO="Manual",$M267=1),$M267&gt;(ROW(PLE.lastrow)-ROW(PLE.firstrow))),0,IF(OFFSET(PLE!$G$14,$M267,CL$13)="",10^12,OFFSET(PLE!$G$14,$M267,CL$13))))</f>
        <v>1000000000000</v>
      </c>
      <c r="CM267" s="182">
        <f ca="1">IF($D267&lt;&gt;"Serviço",0,IF(OR(AND(AUTOEVENTO="Manual",$M267=1),$M267&gt;(ROW(PLE.lastrow)-ROW(PLE.firstrow))),0,IF(OFFSET(PLE!$G$14,$M267,CM$13)="",10^12,OFFSET(PLE!$G$14,$M267,CM$13))))</f>
        <v>1000000000000</v>
      </c>
    </row>
    <row r="268" spans="1:91" ht="38.25" x14ac:dyDescent="0.2">
      <c r="A268" s="7" t="str">
        <f t="shared" ca="1" si="12"/>
        <v>232</v>
      </c>
      <c r="B268" s="7" t="str">
        <f ca="1">OFFSET(ORÇAMENTO!C$15,ROW(B268)-ROW(B$15),0)</f>
        <v>S</v>
      </c>
      <c r="C268" s="7" t="str">
        <f ca="1">OFFSET(ORÇAMENTO!L$15,ROW(C268)-ROW(C$15),0)</f>
        <v/>
      </c>
      <c r="D268" s="118" t="str">
        <f ca="1">OFFSET(ORÇAMENTO!N$15,ROW(D268)-ROW(D$15),0)</f>
        <v>Serviço</v>
      </c>
      <c r="E268" s="119" t="str">
        <f ca="1">OFFSET(ORÇAMENTO!O$15,ROW(E268)-ROW(E$15),0)</f>
        <v>-</v>
      </c>
      <c r="F268" s="172" t="str">
        <f ca="1">OFFSET(ORÇAMENTO!R$15,ROW(F268)-ROW(F$15),0)</f>
        <v>(abra o arquivo 'Referência 06-2024.xlsm)</v>
      </c>
      <c r="G268" s="173" t="str">
        <f ca="1">IF($D268&lt;&gt;"Serviço","",OFFSET(ORÇAMENTO!S$15,ROW(G268)-ROW(G$15),0))</f>
        <v>-</v>
      </c>
      <c r="H268" s="124">
        <f ca="1">IF($D268&lt;&gt;"Serviço",0,IF(ACOMPANHAMENTO="BM",ROUND(OFFSET(ORÇAMENTO!AJ$15,ROW(H268)-ROW(H$15),0),15-13*ORÇAMENTO!$AF$7),SUMPRODUCT(($Q$12:$AI$12&lt;&gt;"")*ROUND($Q268:$AI268,15-13*ORÇAMENTO!$AF$7))))</f>
        <v>2</v>
      </c>
      <c r="I268" s="561" t="s">
        <v>1107</v>
      </c>
      <c r="K268" s="174"/>
      <c r="L268" s="175" t="s">
        <v>255</v>
      </c>
      <c r="M268" s="176">
        <f ca="1">IF($D268&lt;&gt;"Serviço","",IF(AUTOEVENTO="manual",$A268,IF(ISERROR(MATCH($A268,$A$15:OFFSET($A268,-1,0),0)),MAX($M$15:OFFSET(M268,-1,0))+1,INDEX($M$15:OFFSET(M268,-1,0),MATCH($A268,$A$15:OFFSET($A268,-1,0),0)))))</f>
        <v>35</v>
      </c>
      <c r="N268" s="177" t="str">
        <f ca="1">IF($D268&lt;&gt;"Serviço","",IF(AUTOEVENTO="Manual",IF($A268=0,"&lt;-- defina o número do agrupador",OFFSET(EVENTOS!$D$14,$A268,0)),OFFSET($F$15,$A268,0)))</f>
        <v>INSTALAÇÃO HIDRÁULICA - TUBULAÇÕES E CONEXÕES DE PVC RÍGIDO</v>
      </c>
      <c r="O268" s="178"/>
      <c r="Q268" s="178">
        <v>2</v>
      </c>
      <c r="R268" s="179"/>
      <c r="S268" s="179"/>
      <c r="T268" s="179"/>
      <c r="U268" s="179"/>
      <c r="V268" s="179"/>
      <c r="W268" s="179"/>
      <c r="X268" s="179"/>
      <c r="Y268" s="179"/>
      <c r="Z268" s="180"/>
      <c r="AA268" s="179"/>
      <c r="AB268" s="179"/>
      <c r="AC268" s="179"/>
      <c r="AD268" s="179"/>
      <c r="AE268" s="179"/>
      <c r="AF268" s="179"/>
      <c r="AG268" s="179"/>
      <c r="AH268" s="180"/>
      <c r="AJ268" s="544">
        <f ca="1">IF(AND($D268="Serviço",AJ$12&lt;&gt;0,$H268&gt;0,OR(AUTOEVENTO&lt;&gt;"manual",$M268&lt;&gt;1)),
IF(Import.TipoArredondamento&lt;&gt;"TransfereGOV",
ROUND(OFFSET($P268,0,AJ$13),15-13*ORÇAMENTO!$AF$7)/$H268*OFFSET(ORÇAMENTO!$X$15,ROW(AJ268)-ROW(AJ$15),0),
ROUND(ROUND(OFFSET($P268,0,AJ$13),15-13*ORÇAMENTO!$AF$7)*OFFSET(ORÇAMENTO!$W$15,ROW(AJ268)-ROW(AJ$15),0),15-13*ORÇAMENTO!$AF$11)),0)</f>
        <v>0</v>
      </c>
      <c r="AK268" s="545">
        <f ca="1">IF(AND($D268="Serviço",AK$12&lt;&gt;0,$H268&gt;0,OR(AUTOEVENTO&lt;&gt;"manual",$M268&lt;&gt;1)),
IF(Import.TipoArredondamento&lt;&gt;"TransfereGOV",
ROUND(OFFSET($P268,0,AK$13),15-13*ORÇAMENTO!$AF$7)/$H268*OFFSET(ORÇAMENTO!$X$15,ROW(AK268)-ROW(AK$15),0),
ROUND(ROUND(OFFSET($P268,0,AK$13),15-13*ORÇAMENTO!$AF$7)*OFFSET(ORÇAMENTO!$W$15,ROW(AK268)-ROW(AK$15),0),15-13*ORÇAMENTO!$AF$11)),0)</f>
        <v>0</v>
      </c>
      <c r="AL268" s="545">
        <f ca="1">IF(AND($D268="Serviço",AL$12&lt;&gt;0,$H268&gt;0,OR(AUTOEVENTO&lt;&gt;"manual",$M268&lt;&gt;1)),
IF(Import.TipoArredondamento&lt;&gt;"TransfereGOV",
ROUND(OFFSET($P268,0,AL$13),15-13*ORÇAMENTO!$AF$7)/$H268*OFFSET(ORÇAMENTO!$X$15,ROW(AL268)-ROW(AL$15),0),
ROUND(ROUND(OFFSET($P268,0,AL$13),15-13*ORÇAMENTO!$AF$7)*OFFSET(ORÇAMENTO!$W$15,ROW(AL268)-ROW(AL$15),0),15-13*ORÇAMENTO!$AF$11)),0)</f>
        <v>0</v>
      </c>
      <c r="AM268" s="545">
        <f ca="1">IF(AND($D268="Serviço",AM$12&lt;&gt;0,$H268&gt;0,OR(AUTOEVENTO&lt;&gt;"manual",$M268&lt;&gt;1)),
IF(Import.TipoArredondamento&lt;&gt;"TransfereGOV",
ROUND(OFFSET($P268,0,AM$13),15-13*ORÇAMENTO!$AF$7)/$H268*OFFSET(ORÇAMENTO!$X$15,ROW(AM268)-ROW(AM$15),0),
ROUND(ROUND(OFFSET($P268,0,AM$13),15-13*ORÇAMENTO!$AF$7)*OFFSET(ORÇAMENTO!$W$15,ROW(AM268)-ROW(AM$15),0),15-13*ORÇAMENTO!$AF$11)),0)</f>
        <v>0</v>
      </c>
      <c r="AN268" s="545">
        <f ca="1">IF(AND($D268="Serviço",AN$12&lt;&gt;0,$H268&gt;0,OR(AUTOEVENTO&lt;&gt;"manual",$M268&lt;&gt;1)),
IF(Import.TipoArredondamento&lt;&gt;"TransfereGOV",
ROUND(OFFSET($P268,0,AN$13),15-13*ORÇAMENTO!$AF$7)/$H268*OFFSET(ORÇAMENTO!$X$15,ROW(AN268)-ROW(AN$15),0),
ROUND(ROUND(OFFSET($P268,0,AN$13),15-13*ORÇAMENTO!$AF$7)*OFFSET(ORÇAMENTO!$W$15,ROW(AN268)-ROW(AN$15),0),15-13*ORÇAMENTO!$AF$11)),0)</f>
        <v>0</v>
      </c>
      <c r="AO268" s="545">
        <f ca="1">IF(AND($D268="Serviço",AO$12&lt;&gt;0,$H268&gt;0,OR(AUTOEVENTO&lt;&gt;"manual",$M268&lt;&gt;1)),
IF(Import.TipoArredondamento&lt;&gt;"TransfereGOV",
ROUND(OFFSET($P268,0,AO$13),15-13*ORÇAMENTO!$AF$7)/$H268*OFFSET(ORÇAMENTO!$X$15,ROW(AO268)-ROW(AO$15),0),
ROUND(ROUND(OFFSET($P268,0,AO$13),15-13*ORÇAMENTO!$AF$7)*OFFSET(ORÇAMENTO!$W$15,ROW(AO268)-ROW(AO$15),0),15-13*ORÇAMENTO!$AF$11)),0)</f>
        <v>0</v>
      </c>
      <c r="AP268" s="545">
        <f ca="1">IF(AND($D268="Serviço",AP$12&lt;&gt;0,$H268&gt;0,OR(AUTOEVENTO&lt;&gt;"manual",$M268&lt;&gt;1)),
IF(Import.TipoArredondamento&lt;&gt;"TransfereGOV",
ROUND(OFFSET($P268,0,AP$13),15-13*ORÇAMENTO!$AF$7)/$H268*OFFSET(ORÇAMENTO!$X$15,ROW(AP268)-ROW(AP$15),0),
ROUND(ROUND(OFFSET($P268,0,AP$13),15-13*ORÇAMENTO!$AF$7)*OFFSET(ORÇAMENTO!$W$15,ROW(AP268)-ROW(AP$15),0),15-13*ORÇAMENTO!$AF$11)),0)</f>
        <v>0</v>
      </c>
      <c r="AQ268" s="545">
        <f ca="1">IF(AND($D268="Serviço",AQ$12&lt;&gt;0,$H268&gt;0,OR(AUTOEVENTO&lt;&gt;"manual",$M268&lt;&gt;1)),
IF(Import.TipoArredondamento&lt;&gt;"TransfereGOV",
ROUND(OFFSET($P268,0,AQ$13),15-13*ORÇAMENTO!$AF$7)/$H268*OFFSET(ORÇAMENTO!$X$15,ROW(AQ268)-ROW(AQ$15),0),
ROUND(ROUND(OFFSET($P268,0,AQ$13),15-13*ORÇAMENTO!$AF$7)*OFFSET(ORÇAMENTO!$W$15,ROW(AQ268)-ROW(AQ$15),0),15-13*ORÇAMENTO!$AF$11)),0)</f>
        <v>0</v>
      </c>
      <c r="AR268" s="545">
        <f ca="1">IF(AND($D268="Serviço",AR$12&lt;&gt;0,$H268&gt;0,OR(AUTOEVENTO&lt;&gt;"manual",$M268&lt;&gt;1)),
IF(Import.TipoArredondamento&lt;&gt;"TransfereGOV",
ROUND(OFFSET($P268,0,AR$13),15-13*ORÇAMENTO!$AF$7)/$H268*OFFSET(ORÇAMENTO!$X$15,ROW(AR268)-ROW(AR$15),0),
ROUND(ROUND(OFFSET($P268,0,AR$13),15-13*ORÇAMENTO!$AF$7)*OFFSET(ORÇAMENTO!$W$15,ROW(AR268)-ROW(AR$15),0),15-13*ORÇAMENTO!$AF$11)),0)</f>
        <v>0</v>
      </c>
      <c r="AS268" s="546">
        <f ca="1">IF(AND($D268="Serviço",AS$12&lt;&gt;0,$H268&gt;0,OR(AUTOEVENTO&lt;&gt;"manual",$M268&lt;&gt;1)),
IF(Import.TipoArredondamento&lt;&gt;"TransfereGOV",
ROUND(OFFSET($P268,0,AS$13),15-13*ORÇAMENTO!$AF$7)/$H268*OFFSET(ORÇAMENTO!$X$15,ROW(AS268)-ROW(AS$15),0),
ROUND(ROUND(OFFSET($P268,0,AS$13),15-13*ORÇAMENTO!$AF$7)*OFFSET(ORÇAMENTO!$W$15,ROW(AS268)-ROW(AS$15),0),15-13*ORÇAMENTO!$AF$11)),0)</f>
        <v>0</v>
      </c>
      <c r="AT268" s="545">
        <f ca="1">IF(AND($D268="Serviço",AT$12&lt;&gt;0,$H268&gt;0,OR(AUTOEVENTO&lt;&gt;"manual",$M268&lt;&gt;1)),
IF(Import.TipoArredondamento&lt;&gt;"TransfereGOV",
ROUND(OFFSET($P268,0,AT$13),15-13*ORÇAMENTO!$AF$7)/$H268*OFFSET(ORÇAMENTO!$X$15,ROW(AT268)-ROW(AT$15),0),
ROUND(ROUND(OFFSET($P268,0,AT$13),15-13*ORÇAMENTO!$AF$7)*OFFSET(ORÇAMENTO!$W$15,ROW(AT268)-ROW(AT$15),0),15-13*ORÇAMENTO!$AF$11)),0)</f>
        <v>0</v>
      </c>
      <c r="AU268" s="545">
        <f ca="1">IF(AND($D268="Serviço",AU$12&lt;&gt;0,$H268&gt;0,OR(AUTOEVENTO&lt;&gt;"manual",$M268&lt;&gt;1)),
IF(Import.TipoArredondamento&lt;&gt;"TransfereGOV",
ROUND(OFFSET($P268,0,AU$13),15-13*ORÇAMENTO!$AF$7)/$H268*OFFSET(ORÇAMENTO!$X$15,ROW(AU268)-ROW(AU$15),0),
ROUND(ROUND(OFFSET($P268,0,AU$13),15-13*ORÇAMENTO!$AF$7)*OFFSET(ORÇAMENTO!$W$15,ROW(AU268)-ROW(AU$15),0),15-13*ORÇAMENTO!$AF$11)),0)</f>
        <v>0</v>
      </c>
      <c r="AV268" s="545">
        <f ca="1">IF(AND($D268="Serviço",AV$12&lt;&gt;0,$H268&gt;0,OR(AUTOEVENTO&lt;&gt;"manual",$M268&lt;&gt;1)),
IF(Import.TipoArredondamento&lt;&gt;"TransfereGOV",
ROUND(OFFSET($P268,0,AV$13),15-13*ORÇAMENTO!$AF$7)/$H268*OFFSET(ORÇAMENTO!$X$15,ROW(AV268)-ROW(AV$15),0),
ROUND(ROUND(OFFSET($P268,0,AV$13),15-13*ORÇAMENTO!$AF$7)*OFFSET(ORÇAMENTO!$W$15,ROW(AV268)-ROW(AV$15),0),15-13*ORÇAMENTO!$AF$11)),0)</f>
        <v>0</v>
      </c>
      <c r="AW268" s="545">
        <f ca="1">IF(AND($D268="Serviço",AW$12&lt;&gt;0,$H268&gt;0,OR(AUTOEVENTO&lt;&gt;"manual",$M268&lt;&gt;1)),
IF(Import.TipoArredondamento&lt;&gt;"TransfereGOV",
ROUND(OFFSET($P268,0,AW$13),15-13*ORÇAMENTO!$AF$7)/$H268*OFFSET(ORÇAMENTO!$X$15,ROW(AW268)-ROW(AW$15),0),
ROUND(ROUND(OFFSET($P268,0,AW$13),15-13*ORÇAMENTO!$AF$7)*OFFSET(ORÇAMENTO!$W$15,ROW(AW268)-ROW(AW$15),0),15-13*ORÇAMENTO!$AF$11)),0)</f>
        <v>0</v>
      </c>
      <c r="AX268" s="545">
        <f ca="1">IF(AND($D268="Serviço",AX$12&lt;&gt;0,$H268&gt;0,OR(AUTOEVENTO&lt;&gt;"manual",$M268&lt;&gt;1)),
IF(Import.TipoArredondamento&lt;&gt;"TransfereGOV",
ROUND(OFFSET($P268,0,AX$13),15-13*ORÇAMENTO!$AF$7)/$H268*OFFSET(ORÇAMENTO!$X$15,ROW(AX268)-ROW(AX$15),0),
ROUND(ROUND(OFFSET($P268,0,AX$13),15-13*ORÇAMENTO!$AF$7)*OFFSET(ORÇAMENTO!$W$15,ROW(AX268)-ROW(AX$15),0),15-13*ORÇAMENTO!$AF$11)),0)</f>
        <v>0</v>
      </c>
      <c r="AY268" s="545">
        <f ca="1">IF(AND($D268="Serviço",AY$12&lt;&gt;0,$H268&gt;0,OR(AUTOEVENTO&lt;&gt;"manual",$M268&lt;&gt;1)),
IF(Import.TipoArredondamento&lt;&gt;"TransfereGOV",
ROUND(OFFSET($P268,0,AY$13),15-13*ORÇAMENTO!$AF$7)/$H268*OFFSET(ORÇAMENTO!$X$15,ROW(AY268)-ROW(AY$15),0),
ROUND(ROUND(OFFSET($P268,0,AY$13),15-13*ORÇAMENTO!$AF$7)*OFFSET(ORÇAMENTO!$W$15,ROW(AY268)-ROW(AY$15),0),15-13*ORÇAMENTO!$AF$11)),0)</f>
        <v>0</v>
      </c>
      <c r="AZ268" s="545">
        <f ca="1">IF(AND($D268="Serviço",AZ$12&lt;&gt;0,$H268&gt;0,OR(AUTOEVENTO&lt;&gt;"manual",$M268&lt;&gt;1)),
IF(Import.TipoArredondamento&lt;&gt;"TransfereGOV",
ROUND(OFFSET($P268,0,AZ$13),15-13*ORÇAMENTO!$AF$7)/$H268*OFFSET(ORÇAMENTO!$X$15,ROW(AZ268)-ROW(AZ$15),0),
ROUND(ROUND(OFFSET($P268,0,AZ$13),15-13*ORÇAMENTO!$AF$7)*OFFSET(ORÇAMENTO!$W$15,ROW(AZ268)-ROW(AZ$15),0),15-13*ORÇAMENTO!$AF$11)),0)</f>
        <v>0</v>
      </c>
      <c r="BA268" s="546">
        <f ca="1">IF(AND($D268="Serviço",BA$12&lt;&gt;0,$H268&gt;0,OR(AUTOEVENTO&lt;&gt;"manual",$M268&lt;&gt;1)),
IF(Import.TipoArredondamento&lt;&gt;"TransfereGOV",
ROUND(OFFSET($P268,0,BA$13),15-13*ORÇAMENTO!$AF$7)/$H268*OFFSET(ORÇAMENTO!$X$15,ROW(BA268)-ROW(BA$15),0),
ROUND(ROUND(OFFSET($P268,0,BA$13),15-13*ORÇAMENTO!$AF$7)*OFFSET(ORÇAMENTO!$W$15,ROW(BA268)-ROW(BA$15),0),15-13*ORÇAMENTO!$AF$11)),0)</f>
        <v>0</v>
      </c>
      <c r="BC268" s="181">
        <f ca="1">IF($D268&lt;&gt;"Serviço",0,IF(AND(AUTOEVENTO="Manual",$M268=1),0,IF(OFFSET(CRONOPLE!$F$14,$M268,BC$13)="",10^12,OFFSET(CRONOPLE!$F$14,$M268,BC$13))))</f>
        <v>9</v>
      </c>
      <c r="BD268" s="181">
        <f ca="1">IF($D268&lt;&gt;"Serviço",0,IF(AND(AUTOEVENTO="Manual",$M268=1),0,IF(OFFSET(CRONOPLE!$F$14,$M268,BD$13)="",10^12,OFFSET(CRONOPLE!$F$14,$M268,BD$13))))</f>
        <v>1000000000000</v>
      </c>
      <c r="BE268" s="181">
        <f ca="1">IF($D268&lt;&gt;"Serviço",0,IF(AND(AUTOEVENTO="Manual",$M268=1),0,IF(OFFSET(CRONOPLE!$F$14,$M268,BE$13)="",10^12,OFFSET(CRONOPLE!$F$14,$M268,BE$13))))</f>
        <v>1000000000000</v>
      </c>
      <c r="BF268" s="181">
        <f ca="1">IF($D268&lt;&gt;"Serviço",0,IF(AND(AUTOEVENTO="Manual",$M268=1),0,IF(OFFSET(CRONOPLE!$F$14,$M268,BF$13)="",10^12,OFFSET(CRONOPLE!$F$14,$M268,BF$13))))</f>
        <v>1000000000000</v>
      </c>
      <c r="BG268" s="181">
        <f ca="1">IF($D268&lt;&gt;"Serviço",0,IF(AND(AUTOEVENTO="Manual",$M268=1),0,IF(OFFSET(CRONOPLE!$F$14,$M268,BG$13)="",10^12,OFFSET(CRONOPLE!$F$14,$M268,BG$13))))</f>
        <v>1000000000000</v>
      </c>
      <c r="BH268" s="181">
        <f ca="1">IF($D268&lt;&gt;"Serviço",0,IF(AND(AUTOEVENTO="Manual",$M268=1),0,IF(OFFSET(CRONOPLE!$F$14,$M268,BH$13)="",10^12,OFFSET(CRONOPLE!$F$14,$M268,BH$13))))</f>
        <v>1000000000000</v>
      </c>
      <c r="BI268" s="181">
        <f ca="1">IF($D268&lt;&gt;"Serviço",0,IF(AND(AUTOEVENTO="Manual",$M268=1),0,IF(OFFSET(CRONOPLE!$F$14,$M268,BI$13)="",10^12,OFFSET(CRONOPLE!$F$14,$M268,BI$13))))</f>
        <v>1000000000000</v>
      </c>
      <c r="BJ268" s="181">
        <f ca="1">IF($D268&lt;&gt;"Serviço",0,IF(AND(AUTOEVENTO="Manual",$M268=1),0,IF(OFFSET(CRONOPLE!$F$14,$M268,BJ$13)="",10^12,OFFSET(CRONOPLE!$F$14,$M268,BJ$13))))</f>
        <v>1000000000000</v>
      </c>
      <c r="BK268" s="181">
        <f ca="1">IF($D268&lt;&gt;"Serviço",0,IF(AND(AUTOEVENTO="Manual",$M268=1),0,IF(OFFSET(CRONOPLE!$F$14,$M268,BK$13)="",10^12,OFFSET(CRONOPLE!$F$14,$M268,BK$13))))</f>
        <v>1000000000000</v>
      </c>
      <c r="BL268" s="181">
        <f ca="1">IF($D268&lt;&gt;"Serviço",0,IF(AND(AUTOEVENTO="Manual",$M268=1),0,IF(OFFSET(CRONOPLE!$F$14,$M268,BL$13)="",10^12,OFFSET(CRONOPLE!$F$14,$M268,BL$13))))</f>
        <v>1000000000000</v>
      </c>
      <c r="BM268" s="181">
        <f ca="1">IF($D268&lt;&gt;"Serviço",0,IF(AND(AUTOEVENTO="Manual",$M268=1),0,IF(OFFSET(CRONOPLE!$F$14,$M268,BM$13)="",10^12,OFFSET(CRONOPLE!$F$14,$M268,BM$13))))</f>
        <v>1000000000000</v>
      </c>
      <c r="BN268" s="181">
        <f ca="1">IF($D268&lt;&gt;"Serviço",0,IF(AND(AUTOEVENTO="Manual",$M268=1),0,IF(OFFSET(CRONOPLE!$F$14,$M268,BN$13)="",10^12,OFFSET(CRONOPLE!$F$14,$M268,BN$13))))</f>
        <v>1000000000000</v>
      </c>
      <c r="BO268" s="181">
        <f ca="1">IF($D268&lt;&gt;"Serviço",0,IF(AND(AUTOEVENTO="Manual",$M268=1),0,IF(OFFSET(CRONOPLE!$F$14,$M268,BO$13)="",10^12,OFFSET(CRONOPLE!$F$14,$M268,BO$13))))</f>
        <v>1000000000000</v>
      </c>
      <c r="BP268" s="181">
        <f ca="1">IF($D268&lt;&gt;"Serviço",0,IF(AND(AUTOEVENTO="Manual",$M268=1),0,IF(OFFSET(CRONOPLE!$F$14,$M268,BP$13)="",10^12,OFFSET(CRONOPLE!$F$14,$M268,BP$13))))</f>
        <v>1000000000000</v>
      </c>
      <c r="BQ268" s="181">
        <f ca="1">IF($D268&lt;&gt;"Serviço",0,IF(AND(AUTOEVENTO="Manual",$M268=1),0,IF(OFFSET(CRONOPLE!$F$14,$M268,BQ$13)="",10^12,OFFSET(CRONOPLE!$F$14,$M268,BQ$13))))</f>
        <v>1000000000000</v>
      </c>
      <c r="BR268" s="181">
        <f ca="1">IF($D268&lt;&gt;"Serviço",0,IF(AND(AUTOEVENTO="Manual",$M268=1),0,IF(OFFSET(CRONOPLE!$F$14,$M268,BR$13)="",10^12,OFFSET(CRONOPLE!$F$14,$M268,BR$13))))</f>
        <v>1000000000000</v>
      </c>
      <c r="BS268" s="181">
        <f ca="1">IF($D268&lt;&gt;"Serviço",0,IF(AND(AUTOEVENTO="Manual",$M268=1),0,IF(OFFSET(CRONOPLE!$F$14,$M268,BS$13)="",10^12,OFFSET(CRONOPLE!$F$14,$M268,BS$13))))</f>
        <v>1000000000000</v>
      </c>
      <c r="BT268" s="181">
        <f ca="1">IF($D268&lt;&gt;"Serviço",0,IF(AND(AUTOEVENTO="Manual",$M268=1),0,IF(OFFSET(CRONOPLE!$F$14,$M268,BT$13)="",10^12,OFFSET(CRONOPLE!$F$14,$M268,BT$13))))</f>
        <v>1000000000000</v>
      </c>
      <c r="BV268" s="182">
        <f ca="1">IF($D268&lt;&gt;"Serviço",0,IF(OR(AND(AUTOEVENTO="Manual",$M268=1),$M268&gt;(ROW(PLE.lastrow)-ROW(PLE.firstrow))),0,IF(OFFSET(PLE!$G$14,$M268,BV$13)="",10^12,OFFSET(PLE!$G$14,$M268,BV$13))))</f>
        <v>1000000000000</v>
      </c>
      <c r="BW268" s="182">
        <f ca="1">IF($D268&lt;&gt;"Serviço",0,IF(OR(AND(AUTOEVENTO="Manual",$M268=1),$M268&gt;(ROW(PLE.lastrow)-ROW(PLE.firstrow))),0,IF(OFFSET(PLE!$G$14,$M268,BW$13)="",10^12,OFFSET(PLE!$G$14,$M268,BW$13))))</f>
        <v>1000000000000</v>
      </c>
      <c r="BX268" s="182">
        <f ca="1">IF($D268&lt;&gt;"Serviço",0,IF(OR(AND(AUTOEVENTO="Manual",$M268=1),$M268&gt;(ROW(PLE.lastrow)-ROW(PLE.firstrow))),0,IF(OFFSET(PLE!$G$14,$M268,BX$13)="",10^12,OFFSET(PLE!$G$14,$M268,BX$13))))</f>
        <v>1000000000000</v>
      </c>
      <c r="BY268" s="182">
        <f ca="1">IF($D268&lt;&gt;"Serviço",0,IF(OR(AND(AUTOEVENTO="Manual",$M268=1),$M268&gt;(ROW(PLE.lastrow)-ROW(PLE.firstrow))),0,IF(OFFSET(PLE!$G$14,$M268,BY$13)="",10^12,OFFSET(PLE!$G$14,$M268,BY$13))))</f>
        <v>1000000000000</v>
      </c>
      <c r="BZ268" s="182">
        <f ca="1">IF($D268&lt;&gt;"Serviço",0,IF(OR(AND(AUTOEVENTO="Manual",$M268=1),$M268&gt;(ROW(PLE.lastrow)-ROW(PLE.firstrow))),0,IF(OFFSET(PLE!$G$14,$M268,BZ$13)="",10^12,OFFSET(PLE!$G$14,$M268,BZ$13))))</f>
        <v>1000000000000</v>
      </c>
      <c r="CA268" s="182">
        <f ca="1">IF($D268&lt;&gt;"Serviço",0,IF(OR(AND(AUTOEVENTO="Manual",$M268=1),$M268&gt;(ROW(PLE.lastrow)-ROW(PLE.firstrow))),0,IF(OFFSET(PLE!$G$14,$M268,CA$13)="",10^12,OFFSET(PLE!$G$14,$M268,CA$13))))</f>
        <v>1000000000000</v>
      </c>
      <c r="CB268" s="182">
        <f ca="1">IF($D268&lt;&gt;"Serviço",0,IF(OR(AND(AUTOEVENTO="Manual",$M268=1),$M268&gt;(ROW(PLE.lastrow)-ROW(PLE.firstrow))),0,IF(OFFSET(PLE!$G$14,$M268,CB$13)="",10^12,OFFSET(PLE!$G$14,$M268,CB$13))))</f>
        <v>1000000000000</v>
      </c>
      <c r="CC268" s="182">
        <f ca="1">IF($D268&lt;&gt;"Serviço",0,IF(OR(AND(AUTOEVENTO="Manual",$M268=1),$M268&gt;(ROW(PLE.lastrow)-ROW(PLE.firstrow))),0,IF(OFFSET(PLE!$G$14,$M268,CC$13)="",10^12,OFFSET(PLE!$G$14,$M268,CC$13))))</f>
        <v>1000000000000</v>
      </c>
      <c r="CD268" s="182">
        <f ca="1">IF($D268&lt;&gt;"Serviço",0,IF(OR(AND(AUTOEVENTO="Manual",$M268=1),$M268&gt;(ROW(PLE.lastrow)-ROW(PLE.firstrow))),0,IF(OFFSET(PLE!$G$14,$M268,CD$13)="",10^12,OFFSET(PLE!$G$14,$M268,CD$13))))</f>
        <v>1000000000000</v>
      </c>
      <c r="CE268" s="182">
        <f ca="1">IF($D268&lt;&gt;"Serviço",0,IF(OR(AND(AUTOEVENTO="Manual",$M268=1),$M268&gt;(ROW(PLE.lastrow)-ROW(PLE.firstrow))),0,IF(OFFSET(PLE!$G$14,$M268,CE$13)="",10^12,OFFSET(PLE!$G$14,$M268,CE$13))))</f>
        <v>1000000000000</v>
      </c>
      <c r="CF268" s="182">
        <f ca="1">IF($D268&lt;&gt;"Serviço",0,IF(OR(AND(AUTOEVENTO="Manual",$M268=1),$M268&gt;(ROW(PLE.lastrow)-ROW(PLE.firstrow))),0,IF(OFFSET(PLE!$G$14,$M268,CF$13)="",10^12,OFFSET(PLE!$G$14,$M268,CF$13))))</f>
        <v>1000000000000</v>
      </c>
      <c r="CG268" s="182">
        <f ca="1">IF($D268&lt;&gt;"Serviço",0,IF(OR(AND(AUTOEVENTO="Manual",$M268=1),$M268&gt;(ROW(PLE.lastrow)-ROW(PLE.firstrow))),0,IF(OFFSET(PLE!$G$14,$M268,CG$13)="",10^12,OFFSET(PLE!$G$14,$M268,CG$13))))</f>
        <v>1000000000000</v>
      </c>
      <c r="CH268" s="182">
        <f ca="1">IF($D268&lt;&gt;"Serviço",0,IF(OR(AND(AUTOEVENTO="Manual",$M268=1),$M268&gt;(ROW(PLE.lastrow)-ROW(PLE.firstrow))),0,IF(OFFSET(PLE!$G$14,$M268,CH$13)="",10^12,OFFSET(PLE!$G$14,$M268,CH$13))))</f>
        <v>1000000000000</v>
      </c>
      <c r="CI268" s="182">
        <f ca="1">IF($D268&lt;&gt;"Serviço",0,IF(OR(AND(AUTOEVENTO="Manual",$M268=1),$M268&gt;(ROW(PLE.lastrow)-ROW(PLE.firstrow))),0,IF(OFFSET(PLE!$G$14,$M268,CI$13)="",10^12,OFFSET(PLE!$G$14,$M268,CI$13))))</f>
        <v>1000000000000</v>
      </c>
      <c r="CJ268" s="182">
        <f ca="1">IF($D268&lt;&gt;"Serviço",0,IF(OR(AND(AUTOEVENTO="Manual",$M268=1),$M268&gt;(ROW(PLE.lastrow)-ROW(PLE.firstrow))),0,IF(OFFSET(PLE!$G$14,$M268,CJ$13)="",10^12,OFFSET(PLE!$G$14,$M268,CJ$13))))</f>
        <v>1000000000000</v>
      </c>
      <c r="CK268" s="182">
        <f ca="1">IF($D268&lt;&gt;"Serviço",0,IF(OR(AND(AUTOEVENTO="Manual",$M268=1),$M268&gt;(ROW(PLE.lastrow)-ROW(PLE.firstrow))),0,IF(OFFSET(PLE!$G$14,$M268,CK$13)="",10^12,OFFSET(PLE!$G$14,$M268,CK$13))))</f>
        <v>1000000000000</v>
      </c>
      <c r="CL268" s="182">
        <f ca="1">IF($D268&lt;&gt;"Serviço",0,IF(OR(AND(AUTOEVENTO="Manual",$M268=1),$M268&gt;(ROW(PLE.lastrow)-ROW(PLE.firstrow))),0,IF(OFFSET(PLE!$G$14,$M268,CL$13)="",10^12,OFFSET(PLE!$G$14,$M268,CL$13))))</f>
        <v>1000000000000</v>
      </c>
      <c r="CM268" s="182">
        <f ca="1">IF($D268&lt;&gt;"Serviço",0,IF(OR(AND(AUTOEVENTO="Manual",$M268=1),$M268&gt;(ROW(PLE.lastrow)-ROW(PLE.firstrow))),0,IF(OFFSET(PLE!$G$14,$M268,CM$13)="",10^12,OFFSET(PLE!$G$14,$M268,CM$13))))</f>
        <v>1000000000000</v>
      </c>
    </row>
    <row r="269" spans="1:91" ht="38.25" x14ac:dyDescent="0.2">
      <c r="A269" s="7" t="str">
        <f t="shared" ca="1" si="12"/>
        <v>232</v>
      </c>
      <c r="B269" s="7" t="str">
        <f ca="1">OFFSET(ORÇAMENTO!C$15,ROW(B269)-ROW(B$15),0)</f>
        <v>S</v>
      </c>
      <c r="C269" s="7" t="str">
        <f ca="1">OFFSET(ORÇAMENTO!L$15,ROW(C269)-ROW(C$15),0)</f>
        <v/>
      </c>
      <c r="D269" s="118" t="str">
        <f ca="1">OFFSET(ORÇAMENTO!N$15,ROW(D269)-ROW(D$15),0)</f>
        <v>Serviço</v>
      </c>
      <c r="E269" s="119" t="str">
        <f ca="1">OFFSET(ORÇAMENTO!O$15,ROW(E269)-ROW(E$15),0)</f>
        <v>-</v>
      </c>
      <c r="F269" s="172" t="str">
        <f ca="1">OFFSET(ORÇAMENTO!R$15,ROW(F269)-ROW(F$15),0)</f>
        <v>(abra o arquivo 'Referência 06-2024.xlsm)</v>
      </c>
      <c r="G269" s="173" t="str">
        <f ca="1">IF($D269&lt;&gt;"Serviço","",OFFSET(ORÇAMENTO!S$15,ROW(G269)-ROW(G$15),0))</f>
        <v>-</v>
      </c>
      <c r="H269" s="124">
        <f ca="1">IF($D269&lt;&gt;"Serviço",0,IF(ACOMPANHAMENTO="BM",ROUND(OFFSET(ORÇAMENTO!AJ$15,ROW(H269)-ROW(H$15),0),15-13*ORÇAMENTO!$AF$7),SUMPRODUCT(($Q$12:$AI$12&lt;&gt;"")*ROUND($Q269:$AI269,15-13*ORÇAMENTO!$AF$7))))</f>
        <v>40</v>
      </c>
      <c r="I269" s="561" t="s">
        <v>1107</v>
      </c>
      <c r="K269" s="174"/>
      <c r="L269" s="175" t="s">
        <v>255</v>
      </c>
      <c r="M269" s="176">
        <f ca="1">IF($D269&lt;&gt;"Serviço","",IF(AUTOEVENTO="manual",$A269,IF(ISERROR(MATCH($A269,$A$15:OFFSET($A269,-1,0),0)),MAX($M$15:OFFSET(M269,-1,0))+1,INDEX($M$15:OFFSET(M269,-1,0),MATCH($A269,$A$15:OFFSET($A269,-1,0),0)))))</f>
        <v>35</v>
      </c>
      <c r="N269" s="177" t="str">
        <f ca="1">IF($D269&lt;&gt;"Serviço","",IF(AUTOEVENTO="Manual",IF($A269=0,"&lt;-- defina o número do agrupador",OFFSET(EVENTOS!$D$14,$A269,0)),OFFSET($F$15,$A269,0)))</f>
        <v>INSTALAÇÃO HIDRÁULICA - TUBULAÇÕES E CONEXÕES DE PVC RÍGIDO</v>
      </c>
      <c r="O269" s="178"/>
      <c r="Q269" s="178">
        <v>40</v>
      </c>
      <c r="R269" s="179"/>
      <c r="S269" s="179"/>
      <c r="T269" s="179"/>
      <c r="U269" s="179"/>
      <c r="V269" s="179"/>
      <c r="W269" s="179"/>
      <c r="X269" s="179"/>
      <c r="Y269" s="179"/>
      <c r="Z269" s="180"/>
      <c r="AA269" s="179"/>
      <c r="AB269" s="179"/>
      <c r="AC269" s="179"/>
      <c r="AD269" s="179"/>
      <c r="AE269" s="179"/>
      <c r="AF269" s="179"/>
      <c r="AG269" s="179"/>
      <c r="AH269" s="180"/>
      <c r="AJ269" s="544">
        <f ca="1">IF(AND($D269="Serviço",AJ$12&lt;&gt;0,$H269&gt;0,OR(AUTOEVENTO&lt;&gt;"manual",$M269&lt;&gt;1)),
IF(Import.TipoArredondamento&lt;&gt;"TransfereGOV",
ROUND(OFFSET($P269,0,AJ$13),15-13*ORÇAMENTO!$AF$7)/$H269*OFFSET(ORÇAMENTO!$X$15,ROW(AJ269)-ROW(AJ$15),0),
ROUND(ROUND(OFFSET($P269,0,AJ$13),15-13*ORÇAMENTO!$AF$7)*OFFSET(ORÇAMENTO!$W$15,ROW(AJ269)-ROW(AJ$15),0),15-13*ORÇAMENTO!$AF$11)),0)</f>
        <v>0</v>
      </c>
      <c r="AK269" s="545">
        <f ca="1">IF(AND($D269="Serviço",AK$12&lt;&gt;0,$H269&gt;0,OR(AUTOEVENTO&lt;&gt;"manual",$M269&lt;&gt;1)),
IF(Import.TipoArredondamento&lt;&gt;"TransfereGOV",
ROUND(OFFSET($P269,0,AK$13),15-13*ORÇAMENTO!$AF$7)/$H269*OFFSET(ORÇAMENTO!$X$15,ROW(AK269)-ROW(AK$15),0),
ROUND(ROUND(OFFSET($P269,0,AK$13),15-13*ORÇAMENTO!$AF$7)*OFFSET(ORÇAMENTO!$W$15,ROW(AK269)-ROW(AK$15),0),15-13*ORÇAMENTO!$AF$11)),0)</f>
        <v>0</v>
      </c>
      <c r="AL269" s="545">
        <f ca="1">IF(AND($D269="Serviço",AL$12&lt;&gt;0,$H269&gt;0,OR(AUTOEVENTO&lt;&gt;"manual",$M269&lt;&gt;1)),
IF(Import.TipoArredondamento&lt;&gt;"TransfereGOV",
ROUND(OFFSET($P269,0,AL$13),15-13*ORÇAMENTO!$AF$7)/$H269*OFFSET(ORÇAMENTO!$X$15,ROW(AL269)-ROW(AL$15),0),
ROUND(ROUND(OFFSET($P269,0,AL$13),15-13*ORÇAMENTO!$AF$7)*OFFSET(ORÇAMENTO!$W$15,ROW(AL269)-ROW(AL$15),0),15-13*ORÇAMENTO!$AF$11)),0)</f>
        <v>0</v>
      </c>
      <c r="AM269" s="545">
        <f ca="1">IF(AND($D269="Serviço",AM$12&lt;&gt;0,$H269&gt;0,OR(AUTOEVENTO&lt;&gt;"manual",$M269&lt;&gt;1)),
IF(Import.TipoArredondamento&lt;&gt;"TransfereGOV",
ROUND(OFFSET($P269,0,AM$13),15-13*ORÇAMENTO!$AF$7)/$H269*OFFSET(ORÇAMENTO!$X$15,ROW(AM269)-ROW(AM$15),0),
ROUND(ROUND(OFFSET($P269,0,AM$13),15-13*ORÇAMENTO!$AF$7)*OFFSET(ORÇAMENTO!$W$15,ROW(AM269)-ROW(AM$15),0),15-13*ORÇAMENTO!$AF$11)),0)</f>
        <v>0</v>
      </c>
      <c r="AN269" s="545">
        <f ca="1">IF(AND($D269="Serviço",AN$12&lt;&gt;0,$H269&gt;0,OR(AUTOEVENTO&lt;&gt;"manual",$M269&lt;&gt;1)),
IF(Import.TipoArredondamento&lt;&gt;"TransfereGOV",
ROUND(OFFSET($P269,0,AN$13),15-13*ORÇAMENTO!$AF$7)/$H269*OFFSET(ORÇAMENTO!$X$15,ROW(AN269)-ROW(AN$15),0),
ROUND(ROUND(OFFSET($P269,0,AN$13),15-13*ORÇAMENTO!$AF$7)*OFFSET(ORÇAMENTO!$W$15,ROW(AN269)-ROW(AN$15),0),15-13*ORÇAMENTO!$AF$11)),0)</f>
        <v>0</v>
      </c>
      <c r="AO269" s="545">
        <f ca="1">IF(AND($D269="Serviço",AO$12&lt;&gt;0,$H269&gt;0,OR(AUTOEVENTO&lt;&gt;"manual",$M269&lt;&gt;1)),
IF(Import.TipoArredondamento&lt;&gt;"TransfereGOV",
ROUND(OFFSET($P269,0,AO$13),15-13*ORÇAMENTO!$AF$7)/$H269*OFFSET(ORÇAMENTO!$X$15,ROW(AO269)-ROW(AO$15),0),
ROUND(ROUND(OFFSET($P269,0,AO$13),15-13*ORÇAMENTO!$AF$7)*OFFSET(ORÇAMENTO!$W$15,ROW(AO269)-ROW(AO$15),0),15-13*ORÇAMENTO!$AF$11)),0)</f>
        <v>0</v>
      </c>
      <c r="AP269" s="545">
        <f ca="1">IF(AND($D269="Serviço",AP$12&lt;&gt;0,$H269&gt;0,OR(AUTOEVENTO&lt;&gt;"manual",$M269&lt;&gt;1)),
IF(Import.TipoArredondamento&lt;&gt;"TransfereGOV",
ROUND(OFFSET($P269,0,AP$13),15-13*ORÇAMENTO!$AF$7)/$H269*OFFSET(ORÇAMENTO!$X$15,ROW(AP269)-ROW(AP$15),0),
ROUND(ROUND(OFFSET($P269,0,AP$13),15-13*ORÇAMENTO!$AF$7)*OFFSET(ORÇAMENTO!$W$15,ROW(AP269)-ROW(AP$15),0),15-13*ORÇAMENTO!$AF$11)),0)</f>
        <v>0</v>
      </c>
      <c r="AQ269" s="545">
        <f ca="1">IF(AND($D269="Serviço",AQ$12&lt;&gt;0,$H269&gt;0,OR(AUTOEVENTO&lt;&gt;"manual",$M269&lt;&gt;1)),
IF(Import.TipoArredondamento&lt;&gt;"TransfereGOV",
ROUND(OFFSET($P269,0,AQ$13),15-13*ORÇAMENTO!$AF$7)/$H269*OFFSET(ORÇAMENTO!$X$15,ROW(AQ269)-ROW(AQ$15),0),
ROUND(ROUND(OFFSET($P269,0,AQ$13),15-13*ORÇAMENTO!$AF$7)*OFFSET(ORÇAMENTO!$W$15,ROW(AQ269)-ROW(AQ$15),0),15-13*ORÇAMENTO!$AF$11)),0)</f>
        <v>0</v>
      </c>
      <c r="AR269" s="545">
        <f ca="1">IF(AND($D269="Serviço",AR$12&lt;&gt;0,$H269&gt;0,OR(AUTOEVENTO&lt;&gt;"manual",$M269&lt;&gt;1)),
IF(Import.TipoArredondamento&lt;&gt;"TransfereGOV",
ROUND(OFFSET($P269,0,AR$13),15-13*ORÇAMENTO!$AF$7)/$H269*OFFSET(ORÇAMENTO!$X$15,ROW(AR269)-ROW(AR$15),0),
ROUND(ROUND(OFFSET($P269,0,AR$13),15-13*ORÇAMENTO!$AF$7)*OFFSET(ORÇAMENTO!$W$15,ROW(AR269)-ROW(AR$15),0),15-13*ORÇAMENTO!$AF$11)),0)</f>
        <v>0</v>
      </c>
      <c r="AS269" s="546">
        <f ca="1">IF(AND($D269="Serviço",AS$12&lt;&gt;0,$H269&gt;0,OR(AUTOEVENTO&lt;&gt;"manual",$M269&lt;&gt;1)),
IF(Import.TipoArredondamento&lt;&gt;"TransfereGOV",
ROUND(OFFSET($P269,0,AS$13),15-13*ORÇAMENTO!$AF$7)/$H269*OFFSET(ORÇAMENTO!$X$15,ROW(AS269)-ROW(AS$15),0),
ROUND(ROUND(OFFSET($P269,0,AS$13),15-13*ORÇAMENTO!$AF$7)*OFFSET(ORÇAMENTO!$W$15,ROW(AS269)-ROW(AS$15),0),15-13*ORÇAMENTO!$AF$11)),0)</f>
        <v>0</v>
      </c>
      <c r="AT269" s="545">
        <f ca="1">IF(AND($D269="Serviço",AT$12&lt;&gt;0,$H269&gt;0,OR(AUTOEVENTO&lt;&gt;"manual",$M269&lt;&gt;1)),
IF(Import.TipoArredondamento&lt;&gt;"TransfereGOV",
ROUND(OFFSET($P269,0,AT$13),15-13*ORÇAMENTO!$AF$7)/$H269*OFFSET(ORÇAMENTO!$X$15,ROW(AT269)-ROW(AT$15),0),
ROUND(ROUND(OFFSET($P269,0,AT$13),15-13*ORÇAMENTO!$AF$7)*OFFSET(ORÇAMENTO!$W$15,ROW(AT269)-ROW(AT$15),0),15-13*ORÇAMENTO!$AF$11)),0)</f>
        <v>0</v>
      </c>
      <c r="AU269" s="545">
        <f ca="1">IF(AND($D269="Serviço",AU$12&lt;&gt;0,$H269&gt;0,OR(AUTOEVENTO&lt;&gt;"manual",$M269&lt;&gt;1)),
IF(Import.TipoArredondamento&lt;&gt;"TransfereGOV",
ROUND(OFFSET($P269,0,AU$13),15-13*ORÇAMENTO!$AF$7)/$H269*OFFSET(ORÇAMENTO!$X$15,ROW(AU269)-ROW(AU$15),0),
ROUND(ROUND(OFFSET($P269,0,AU$13),15-13*ORÇAMENTO!$AF$7)*OFFSET(ORÇAMENTO!$W$15,ROW(AU269)-ROW(AU$15),0),15-13*ORÇAMENTO!$AF$11)),0)</f>
        <v>0</v>
      </c>
      <c r="AV269" s="545">
        <f ca="1">IF(AND($D269="Serviço",AV$12&lt;&gt;0,$H269&gt;0,OR(AUTOEVENTO&lt;&gt;"manual",$M269&lt;&gt;1)),
IF(Import.TipoArredondamento&lt;&gt;"TransfereGOV",
ROUND(OFFSET($P269,0,AV$13),15-13*ORÇAMENTO!$AF$7)/$H269*OFFSET(ORÇAMENTO!$X$15,ROW(AV269)-ROW(AV$15),0),
ROUND(ROUND(OFFSET($P269,0,AV$13),15-13*ORÇAMENTO!$AF$7)*OFFSET(ORÇAMENTO!$W$15,ROW(AV269)-ROW(AV$15),0),15-13*ORÇAMENTO!$AF$11)),0)</f>
        <v>0</v>
      </c>
      <c r="AW269" s="545">
        <f ca="1">IF(AND($D269="Serviço",AW$12&lt;&gt;0,$H269&gt;0,OR(AUTOEVENTO&lt;&gt;"manual",$M269&lt;&gt;1)),
IF(Import.TipoArredondamento&lt;&gt;"TransfereGOV",
ROUND(OFFSET($P269,0,AW$13),15-13*ORÇAMENTO!$AF$7)/$H269*OFFSET(ORÇAMENTO!$X$15,ROW(AW269)-ROW(AW$15),0),
ROUND(ROUND(OFFSET($P269,0,AW$13),15-13*ORÇAMENTO!$AF$7)*OFFSET(ORÇAMENTO!$W$15,ROW(AW269)-ROW(AW$15),0),15-13*ORÇAMENTO!$AF$11)),0)</f>
        <v>0</v>
      </c>
      <c r="AX269" s="545">
        <f ca="1">IF(AND($D269="Serviço",AX$12&lt;&gt;0,$H269&gt;0,OR(AUTOEVENTO&lt;&gt;"manual",$M269&lt;&gt;1)),
IF(Import.TipoArredondamento&lt;&gt;"TransfereGOV",
ROUND(OFFSET($P269,0,AX$13),15-13*ORÇAMENTO!$AF$7)/$H269*OFFSET(ORÇAMENTO!$X$15,ROW(AX269)-ROW(AX$15),0),
ROUND(ROUND(OFFSET($P269,0,AX$13),15-13*ORÇAMENTO!$AF$7)*OFFSET(ORÇAMENTO!$W$15,ROW(AX269)-ROW(AX$15),0),15-13*ORÇAMENTO!$AF$11)),0)</f>
        <v>0</v>
      </c>
      <c r="AY269" s="545">
        <f ca="1">IF(AND($D269="Serviço",AY$12&lt;&gt;0,$H269&gt;0,OR(AUTOEVENTO&lt;&gt;"manual",$M269&lt;&gt;1)),
IF(Import.TipoArredondamento&lt;&gt;"TransfereGOV",
ROUND(OFFSET($P269,0,AY$13),15-13*ORÇAMENTO!$AF$7)/$H269*OFFSET(ORÇAMENTO!$X$15,ROW(AY269)-ROW(AY$15),0),
ROUND(ROUND(OFFSET($P269,0,AY$13),15-13*ORÇAMENTO!$AF$7)*OFFSET(ORÇAMENTO!$W$15,ROW(AY269)-ROW(AY$15),0),15-13*ORÇAMENTO!$AF$11)),0)</f>
        <v>0</v>
      </c>
      <c r="AZ269" s="545">
        <f ca="1">IF(AND($D269="Serviço",AZ$12&lt;&gt;0,$H269&gt;0,OR(AUTOEVENTO&lt;&gt;"manual",$M269&lt;&gt;1)),
IF(Import.TipoArredondamento&lt;&gt;"TransfereGOV",
ROUND(OFFSET($P269,0,AZ$13),15-13*ORÇAMENTO!$AF$7)/$H269*OFFSET(ORÇAMENTO!$X$15,ROW(AZ269)-ROW(AZ$15),0),
ROUND(ROUND(OFFSET($P269,0,AZ$13),15-13*ORÇAMENTO!$AF$7)*OFFSET(ORÇAMENTO!$W$15,ROW(AZ269)-ROW(AZ$15),0),15-13*ORÇAMENTO!$AF$11)),0)</f>
        <v>0</v>
      </c>
      <c r="BA269" s="546">
        <f ca="1">IF(AND($D269="Serviço",BA$12&lt;&gt;0,$H269&gt;0,OR(AUTOEVENTO&lt;&gt;"manual",$M269&lt;&gt;1)),
IF(Import.TipoArredondamento&lt;&gt;"TransfereGOV",
ROUND(OFFSET($P269,0,BA$13),15-13*ORÇAMENTO!$AF$7)/$H269*OFFSET(ORÇAMENTO!$X$15,ROW(BA269)-ROW(BA$15),0),
ROUND(ROUND(OFFSET($P269,0,BA$13),15-13*ORÇAMENTO!$AF$7)*OFFSET(ORÇAMENTO!$W$15,ROW(BA269)-ROW(BA$15),0),15-13*ORÇAMENTO!$AF$11)),0)</f>
        <v>0</v>
      </c>
      <c r="BC269" s="181">
        <f ca="1">IF($D269&lt;&gt;"Serviço",0,IF(AND(AUTOEVENTO="Manual",$M269=1),0,IF(OFFSET(CRONOPLE!$F$14,$M269,BC$13)="",10^12,OFFSET(CRONOPLE!$F$14,$M269,BC$13))))</f>
        <v>9</v>
      </c>
      <c r="BD269" s="181">
        <f ca="1">IF($D269&lt;&gt;"Serviço",0,IF(AND(AUTOEVENTO="Manual",$M269=1),0,IF(OFFSET(CRONOPLE!$F$14,$M269,BD$13)="",10^12,OFFSET(CRONOPLE!$F$14,$M269,BD$13))))</f>
        <v>1000000000000</v>
      </c>
      <c r="BE269" s="181">
        <f ca="1">IF($D269&lt;&gt;"Serviço",0,IF(AND(AUTOEVENTO="Manual",$M269=1),0,IF(OFFSET(CRONOPLE!$F$14,$M269,BE$13)="",10^12,OFFSET(CRONOPLE!$F$14,$M269,BE$13))))</f>
        <v>1000000000000</v>
      </c>
      <c r="BF269" s="181">
        <f ca="1">IF($D269&lt;&gt;"Serviço",0,IF(AND(AUTOEVENTO="Manual",$M269=1),0,IF(OFFSET(CRONOPLE!$F$14,$M269,BF$13)="",10^12,OFFSET(CRONOPLE!$F$14,$M269,BF$13))))</f>
        <v>1000000000000</v>
      </c>
      <c r="BG269" s="181">
        <f ca="1">IF($D269&lt;&gt;"Serviço",0,IF(AND(AUTOEVENTO="Manual",$M269=1),0,IF(OFFSET(CRONOPLE!$F$14,$M269,BG$13)="",10^12,OFFSET(CRONOPLE!$F$14,$M269,BG$13))))</f>
        <v>1000000000000</v>
      </c>
      <c r="BH269" s="181">
        <f ca="1">IF($D269&lt;&gt;"Serviço",0,IF(AND(AUTOEVENTO="Manual",$M269=1),0,IF(OFFSET(CRONOPLE!$F$14,$M269,BH$13)="",10^12,OFFSET(CRONOPLE!$F$14,$M269,BH$13))))</f>
        <v>1000000000000</v>
      </c>
      <c r="BI269" s="181">
        <f ca="1">IF($D269&lt;&gt;"Serviço",0,IF(AND(AUTOEVENTO="Manual",$M269=1),0,IF(OFFSET(CRONOPLE!$F$14,$M269,BI$13)="",10^12,OFFSET(CRONOPLE!$F$14,$M269,BI$13))))</f>
        <v>1000000000000</v>
      </c>
      <c r="BJ269" s="181">
        <f ca="1">IF($D269&lt;&gt;"Serviço",0,IF(AND(AUTOEVENTO="Manual",$M269=1),0,IF(OFFSET(CRONOPLE!$F$14,$M269,BJ$13)="",10^12,OFFSET(CRONOPLE!$F$14,$M269,BJ$13))))</f>
        <v>1000000000000</v>
      </c>
      <c r="BK269" s="181">
        <f ca="1">IF($D269&lt;&gt;"Serviço",0,IF(AND(AUTOEVENTO="Manual",$M269=1),0,IF(OFFSET(CRONOPLE!$F$14,$M269,BK$13)="",10^12,OFFSET(CRONOPLE!$F$14,$M269,BK$13))))</f>
        <v>1000000000000</v>
      </c>
      <c r="BL269" s="181">
        <f ca="1">IF($D269&lt;&gt;"Serviço",0,IF(AND(AUTOEVENTO="Manual",$M269=1),0,IF(OFFSET(CRONOPLE!$F$14,$M269,BL$13)="",10^12,OFFSET(CRONOPLE!$F$14,$M269,BL$13))))</f>
        <v>1000000000000</v>
      </c>
      <c r="BM269" s="181">
        <f ca="1">IF($D269&lt;&gt;"Serviço",0,IF(AND(AUTOEVENTO="Manual",$M269=1),0,IF(OFFSET(CRONOPLE!$F$14,$M269,BM$13)="",10^12,OFFSET(CRONOPLE!$F$14,$M269,BM$13))))</f>
        <v>1000000000000</v>
      </c>
      <c r="BN269" s="181">
        <f ca="1">IF($D269&lt;&gt;"Serviço",0,IF(AND(AUTOEVENTO="Manual",$M269=1),0,IF(OFFSET(CRONOPLE!$F$14,$M269,BN$13)="",10^12,OFFSET(CRONOPLE!$F$14,$M269,BN$13))))</f>
        <v>1000000000000</v>
      </c>
      <c r="BO269" s="181">
        <f ca="1">IF($D269&lt;&gt;"Serviço",0,IF(AND(AUTOEVENTO="Manual",$M269=1),0,IF(OFFSET(CRONOPLE!$F$14,$M269,BO$13)="",10^12,OFFSET(CRONOPLE!$F$14,$M269,BO$13))))</f>
        <v>1000000000000</v>
      </c>
      <c r="BP269" s="181">
        <f ca="1">IF($D269&lt;&gt;"Serviço",0,IF(AND(AUTOEVENTO="Manual",$M269=1),0,IF(OFFSET(CRONOPLE!$F$14,$M269,BP$13)="",10^12,OFFSET(CRONOPLE!$F$14,$M269,BP$13))))</f>
        <v>1000000000000</v>
      </c>
      <c r="BQ269" s="181">
        <f ca="1">IF($D269&lt;&gt;"Serviço",0,IF(AND(AUTOEVENTO="Manual",$M269=1),0,IF(OFFSET(CRONOPLE!$F$14,$M269,BQ$13)="",10^12,OFFSET(CRONOPLE!$F$14,$M269,BQ$13))))</f>
        <v>1000000000000</v>
      </c>
      <c r="BR269" s="181">
        <f ca="1">IF($D269&lt;&gt;"Serviço",0,IF(AND(AUTOEVENTO="Manual",$M269=1),0,IF(OFFSET(CRONOPLE!$F$14,$M269,BR$13)="",10^12,OFFSET(CRONOPLE!$F$14,$M269,BR$13))))</f>
        <v>1000000000000</v>
      </c>
      <c r="BS269" s="181">
        <f ca="1">IF($D269&lt;&gt;"Serviço",0,IF(AND(AUTOEVENTO="Manual",$M269=1),0,IF(OFFSET(CRONOPLE!$F$14,$M269,BS$13)="",10^12,OFFSET(CRONOPLE!$F$14,$M269,BS$13))))</f>
        <v>1000000000000</v>
      </c>
      <c r="BT269" s="181">
        <f ca="1">IF($D269&lt;&gt;"Serviço",0,IF(AND(AUTOEVENTO="Manual",$M269=1),0,IF(OFFSET(CRONOPLE!$F$14,$M269,BT$13)="",10^12,OFFSET(CRONOPLE!$F$14,$M269,BT$13))))</f>
        <v>1000000000000</v>
      </c>
      <c r="BV269" s="182">
        <f ca="1">IF($D269&lt;&gt;"Serviço",0,IF(OR(AND(AUTOEVENTO="Manual",$M269=1),$M269&gt;(ROW(PLE.lastrow)-ROW(PLE.firstrow))),0,IF(OFFSET(PLE!$G$14,$M269,BV$13)="",10^12,OFFSET(PLE!$G$14,$M269,BV$13))))</f>
        <v>1000000000000</v>
      </c>
      <c r="BW269" s="182">
        <f ca="1">IF($D269&lt;&gt;"Serviço",0,IF(OR(AND(AUTOEVENTO="Manual",$M269=1),$M269&gt;(ROW(PLE.lastrow)-ROW(PLE.firstrow))),0,IF(OFFSET(PLE!$G$14,$M269,BW$13)="",10^12,OFFSET(PLE!$G$14,$M269,BW$13))))</f>
        <v>1000000000000</v>
      </c>
      <c r="BX269" s="182">
        <f ca="1">IF($D269&lt;&gt;"Serviço",0,IF(OR(AND(AUTOEVENTO="Manual",$M269=1),$M269&gt;(ROW(PLE.lastrow)-ROW(PLE.firstrow))),0,IF(OFFSET(PLE!$G$14,$M269,BX$13)="",10^12,OFFSET(PLE!$G$14,$M269,BX$13))))</f>
        <v>1000000000000</v>
      </c>
      <c r="BY269" s="182">
        <f ca="1">IF($D269&lt;&gt;"Serviço",0,IF(OR(AND(AUTOEVENTO="Manual",$M269=1),$M269&gt;(ROW(PLE.lastrow)-ROW(PLE.firstrow))),0,IF(OFFSET(PLE!$G$14,$M269,BY$13)="",10^12,OFFSET(PLE!$G$14,$M269,BY$13))))</f>
        <v>1000000000000</v>
      </c>
      <c r="BZ269" s="182">
        <f ca="1">IF($D269&lt;&gt;"Serviço",0,IF(OR(AND(AUTOEVENTO="Manual",$M269=1),$M269&gt;(ROW(PLE.lastrow)-ROW(PLE.firstrow))),0,IF(OFFSET(PLE!$G$14,$M269,BZ$13)="",10^12,OFFSET(PLE!$G$14,$M269,BZ$13))))</f>
        <v>1000000000000</v>
      </c>
      <c r="CA269" s="182">
        <f ca="1">IF($D269&lt;&gt;"Serviço",0,IF(OR(AND(AUTOEVENTO="Manual",$M269=1),$M269&gt;(ROW(PLE.lastrow)-ROW(PLE.firstrow))),0,IF(OFFSET(PLE!$G$14,$M269,CA$13)="",10^12,OFFSET(PLE!$G$14,$M269,CA$13))))</f>
        <v>1000000000000</v>
      </c>
      <c r="CB269" s="182">
        <f ca="1">IF($D269&lt;&gt;"Serviço",0,IF(OR(AND(AUTOEVENTO="Manual",$M269=1),$M269&gt;(ROW(PLE.lastrow)-ROW(PLE.firstrow))),0,IF(OFFSET(PLE!$G$14,$M269,CB$13)="",10^12,OFFSET(PLE!$G$14,$M269,CB$13))))</f>
        <v>1000000000000</v>
      </c>
      <c r="CC269" s="182">
        <f ca="1">IF($D269&lt;&gt;"Serviço",0,IF(OR(AND(AUTOEVENTO="Manual",$M269=1),$M269&gt;(ROW(PLE.lastrow)-ROW(PLE.firstrow))),0,IF(OFFSET(PLE!$G$14,$M269,CC$13)="",10^12,OFFSET(PLE!$G$14,$M269,CC$13))))</f>
        <v>1000000000000</v>
      </c>
      <c r="CD269" s="182">
        <f ca="1">IF($D269&lt;&gt;"Serviço",0,IF(OR(AND(AUTOEVENTO="Manual",$M269=1),$M269&gt;(ROW(PLE.lastrow)-ROW(PLE.firstrow))),0,IF(OFFSET(PLE!$G$14,$M269,CD$13)="",10^12,OFFSET(PLE!$G$14,$M269,CD$13))))</f>
        <v>1000000000000</v>
      </c>
      <c r="CE269" s="182">
        <f ca="1">IF($D269&lt;&gt;"Serviço",0,IF(OR(AND(AUTOEVENTO="Manual",$M269=1),$M269&gt;(ROW(PLE.lastrow)-ROW(PLE.firstrow))),0,IF(OFFSET(PLE!$G$14,$M269,CE$13)="",10^12,OFFSET(PLE!$G$14,$M269,CE$13))))</f>
        <v>1000000000000</v>
      </c>
      <c r="CF269" s="182">
        <f ca="1">IF($D269&lt;&gt;"Serviço",0,IF(OR(AND(AUTOEVENTO="Manual",$M269=1),$M269&gt;(ROW(PLE.lastrow)-ROW(PLE.firstrow))),0,IF(OFFSET(PLE!$G$14,$M269,CF$13)="",10^12,OFFSET(PLE!$G$14,$M269,CF$13))))</f>
        <v>1000000000000</v>
      </c>
      <c r="CG269" s="182">
        <f ca="1">IF($D269&lt;&gt;"Serviço",0,IF(OR(AND(AUTOEVENTO="Manual",$M269=1),$M269&gt;(ROW(PLE.lastrow)-ROW(PLE.firstrow))),0,IF(OFFSET(PLE!$G$14,$M269,CG$13)="",10^12,OFFSET(PLE!$G$14,$M269,CG$13))))</f>
        <v>1000000000000</v>
      </c>
      <c r="CH269" s="182">
        <f ca="1">IF($D269&lt;&gt;"Serviço",0,IF(OR(AND(AUTOEVENTO="Manual",$M269=1),$M269&gt;(ROW(PLE.lastrow)-ROW(PLE.firstrow))),0,IF(OFFSET(PLE!$G$14,$M269,CH$13)="",10^12,OFFSET(PLE!$G$14,$M269,CH$13))))</f>
        <v>1000000000000</v>
      </c>
      <c r="CI269" s="182">
        <f ca="1">IF($D269&lt;&gt;"Serviço",0,IF(OR(AND(AUTOEVENTO="Manual",$M269=1),$M269&gt;(ROW(PLE.lastrow)-ROW(PLE.firstrow))),0,IF(OFFSET(PLE!$G$14,$M269,CI$13)="",10^12,OFFSET(PLE!$G$14,$M269,CI$13))))</f>
        <v>1000000000000</v>
      </c>
      <c r="CJ269" s="182">
        <f ca="1">IF($D269&lt;&gt;"Serviço",0,IF(OR(AND(AUTOEVENTO="Manual",$M269=1),$M269&gt;(ROW(PLE.lastrow)-ROW(PLE.firstrow))),0,IF(OFFSET(PLE!$G$14,$M269,CJ$13)="",10^12,OFFSET(PLE!$G$14,$M269,CJ$13))))</f>
        <v>1000000000000</v>
      </c>
      <c r="CK269" s="182">
        <f ca="1">IF($D269&lt;&gt;"Serviço",0,IF(OR(AND(AUTOEVENTO="Manual",$M269=1),$M269&gt;(ROW(PLE.lastrow)-ROW(PLE.firstrow))),0,IF(OFFSET(PLE!$G$14,$M269,CK$13)="",10^12,OFFSET(PLE!$G$14,$M269,CK$13))))</f>
        <v>1000000000000</v>
      </c>
      <c r="CL269" s="182">
        <f ca="1">IF($D269&lt;&gt;"Serviço",0,IF(OR(AND(AUTOEVENTO="Manual",$M269=1),$M269&gt;(ROW(PLE.lastrow)-ROW(PLE.firstrow))),0,IF(OFFSET(PLE!$G$14,$M269,CL$13)="",10^12,OFFSET(PLE!$G$14,$M269,CL$13))))</f>
        <v>1000000000000</v>
      </c>
      <c r="CM269" s="182">
        <f ca="1">IF($D269&lt;&gt;"Serviço",0,IF(OR(AND(AUTOEVENTO="Manual",$M269=1),$M269&gt;(ROW(PLE.lastrow)-ROW(PLE.firstrow))),0,IF(OFFSET(PLE!$G$14,$M269,CM$13)="",10^12,OFFSET(PLE!$G$14,$M269,CM$13))))</f>
        <v>1000000000000</v>
      </c>
    </row>
    <row r="270" spans="1:91" ht="38.25" x14ac:dyDescent="0.2">
      <c r="A270" s="7" t="str">
        <f t="shared" ca="1" si="12"/>
        <v>232</v>
      </c>
      <c r="B270" s="7" t="str">
        <f ca="1">OFFSET(ORÇAMENTO!C$15,ROW(B270)-ROW(B$15),0)</f>
        <v>S</v>
      </c>
      <c r="C270" s="7" t="str">
        <f ca="1">OFFSET(ORÇAMENTO!L$15,ROW(C270)-ROW(C$15),0)</f>
        <v/>
      </c>
      <c r="D270" s="118" t="str">
        <f ca="1">OFFSET(ORÇAMENTO!N$15,ROW(D270)-ROW(D$15),0)</f>
        <v>Serviço</v>
      </c>
      <c r="E270" s="119" t="str">
        <f ca="1">OFFSET(ORÇAMENTO!O$15,ROW(E270)-ROW(E$15),0)</f>
        <v>-</v>
      </c>
      <c r="F270" s="172" t="str">
        <f ca="1">OFFSET(ORÇAMENTO!R$15,ROW(F270)-ROW(F$15),0)</f>
        <v>(abra o arquivo 'Referência 06-2024.xlsm)</v>
      </c>
      <c r="G270" s="173" t="str">
        <f ca="1">IF($D270&lt;&gt;"Serviço","",OFFSET(ORÇAMENTO!S$15,ROW(G270)-ROW(G$15),0))</f>
        <v>-</v>
      </c>
      <c r="H270" s="124">
        <f ca="1">IF($D270&lt;&gt;"Serviço",0,IF(ACOMPANHAMENTO="BM",ROUND(OFFSET(ORÇAMENTO!AJ$15,ROW(H270)-ROW(H$15),0),15-13*ORÇAMENTO!$AF$7),SUMPRODUCT(($Q$12:$AI$12&lt;&gt;"")*ROUND($Q270:$AI270,15-13*ORÇAMENTO!$AF$7))))</f>
        <v>16</v>
      </c>
      <c r="I270" s="561" t="s">
        <v>1107</v>
      </c>
      <c r="K270" s="174"/>
      <c r="L270" s="175" t="s">
        <v>255</v>
      </c>
      <c r="M270" s="176">
        <f ca="1">IF($D270&lt;&gt;"Serviço","",IF(AUTOEVENTO="manual",$A270,IF(ISERROR(MATCH($A270,$A$15:OFFSET($A270,-1,0),0)),MAX($M$15:OFFSET(M270,-1,0))+1,INDEX($M$15:OFFSET(M270,-1,0),MATCH($A270,$A$15:OFFSET($A270,-1,0),0)))))</f>
        <v>35</v>
      </c>
      <c r="N270" s="177" t="str">
        <f ca="1">IF($D270&lt;&gt;"Serviço","",IF(AUTOEVENTO="Manual",IF($A270=0,"&lt;-- defina o número do agrupador",OFFSET(EVENTOS!$D$14,$A270,0)),OFFSET($F$15,$A270,0)))</f>
        <v>INSTALAÇÃO HIDRÁULICA - TUBULAÇÕES E CONEXÕES DE PVC RÍGIDO</v>
      </c>
      <c r="O270" s="178"/>
      <c r="Q270" s="178">
        <v>16</v>
      </c>
      <c r="R270" s="179"/>
      <c r="S270" s="179"/>
      <c r="T270" s="179"/>
      <c r="U270" s="179"/>
      <c r="V270" s="179"/>
      <c r="W270" s="179"/>
      <c r="X270" s="179"/>
      <c r="Y270" s="179"/>
      <c r="Z270" s="180"/>
      <c r="AA270" s="179"/>
      <c r="AB270" s="179"/>
      <c r="AC270" s="179"/>
      <c r="AD270" s="179"/>
      <c r="AE270" s="179"/>
      <c r="AF270" s="179"/>
      <c r="AG270" s="179"/>
      <c r="AH270" s="180"/>
      <c r="AJ270" s="544">
        <f ca="1">IF(AND($D270="Serviço",AJ$12&lt;&gt;0,$H270&gt;0,OR(AUTOEVENTO&lt;&gt;"manual",$M270&lt;&gt;1)),
IF(Import.TipoArredondamento&lt;&gt;"TransfereGOV",
ROUND(OFFSET($P270,0,AJ$13),15-13*ORÇAMENTO!$AF$7)/$H270*OFFSET(ORÇAMENTO!$X$15,ROW(AJ270)-ROW(AJ$15),0),
ROUND(ROUND(OFFSET($P270,0,AJ$13),15-13*ORÇAMENTO!$AF$7)*OFFSET(ORÇAMENTO!$W$15,ROW(AJ270)-ROW(AJ$15),0),15-13*ORÇAMENTO!$AF$11)),0)</f>
        <v>0</v>
      </c>
      <c r="AK270" s="545">
        <f ca="1">IF(AND($D270="Serviço",AK$12&lt;&gt;0,$H270&gt;0,OR(AUTOEVENTO&lt;&gt;"manual",$M270&lt;&gt;1)),
IF(Import.TipoArredondamento&lt;&gt;"TransfereGOV",
ROUND(OFFSET($P270,0,AK$13),15-13*ORÇAMENTO!$AF$7)/$H270*OFFSET(ORÇAMENTO!$X$15,ROW(AK270)-ROW(AK$15),0),
ROUND(ROUND(OFFSET($P270,0,AK$13),15-13*ORÇAMENTO!$AF$7)*OFFSET(ORÇAMENTO!$W$15,ROW(AK270)-ROW(AK$15),0),15-13*ORÇAMENTO!$AF$11)),0)</f>
        <v>0</v>
      </c>
      <c r="AL270" s="545">
        <f ca="1">IF(AND($D270="Serviço",AL$12&lt;&gt;0,$H270&gt;0,OR(AUTOEVENTO&lt;&gt;"manual",$M270&lt;&gt;1)),
IF(Import.TipoArredondamento&lt;&gt;"TransfereGOV",
ROUND(OFFSET($P270,0,AL$13),15-13*ORÇAMENTO!$AF$7)/$H270*OFFSET(ORÇAMENTO!$X$15,ROW(AL270)-ROW(AL$15),0),
ROUND(ROUND(OFFSET($P270,0,AL$13),15-13*ORÇAMENTO!$AF$7)*OFFSET(ORÇAMENTO!$W$15,ROW(AL270)-ROW(AL$15),0),15-13*ORÇAMENTO!$AF$11)),0)</f>
        <v>0</v>
      </c>
      <c r="AM270" s="545">
        <f ca="1">IF(AND($D270="Serviço",AM$12&lt;&gt;0,$H270&gt;0,OR(AUTOEVENTO&lt;&gt;"manual",$M270&lt;&gt;1)),
IF(Import.TipoArredondamento&lt;&gt;"TransfereGOV",
ROUND(OFFSET($P270,0,AM$13),15-13*ORÇAMENTO!$AF$7)/$H270*OFFSET(ORÇAMENTO!$X$15,ROW(AM270)-ROW(AM$15),0),
ROUND(ROUND(OFFSET($P270,0,AM$13),15-13*ORÇAMENTO!$AF$7)*OFFSET(ORÇAMENTO!$W$15,ROW(AM270)-ROW(AM$15),0),15-13*ORÇAMENTO!$AF$11)),0)</f>
        <v>0</v>
      </c>
      <c r="AN270" s="545">
        <f ca="1">IF(AND($D270="Serviço",AN$12&lt;&gt;0,$H270&gt;0,OR(AUTOEVENTO&lt;&gt;"manual",$M270&lt;&gt;1)),
IF(Import.TipoArredondamento&lt;&gt;"TransfereGOV",
ROUND(OFFSET($P270,0,AN$13),15-13*ORÇAMENTO!$AF$7)/$H270*OFFSET(ORÇAMENTO!$X$15,ROW(AN270)-ROW(AN$15),0),
ROUND(ROUND(OFFSET($P270,0,AN$13),15-13*ORÇAMENTO!$AF$7)*OFFSET(ORÇAMENTO!$W$15,ROW(AN270)-ROW(AN$15),0),15-13*ORÇAMENTO!$AF$11)),0)</f>
        <v>0</v>
      </c>
      <c r="AO270" s="545">
        <f ca="1">IF(AND($D270="Serviço",AO$12&lt;&gt;0,$H270&gt;0,OR(AUTOEVENTO&lt;&gt;"manual",$M270&lt;&gt;1)),
IF(Import.TipoArredondamento&lt;&gt;"TransfereGOV",
ROUND(OFFSET($P270,0,AO$13),15-13*ORÇAMENTO!$AF$7)/$H270*OFFSET(ORÇAMENTO!$X$15,ROW(AO270)-ROW(AO$15),0),
ROUND(ROUND(OFFSET($P270,0,AO$13),15-13*ORÇAMENTO!$AF$7)*OFFSET(ORÇAMENTO!$W$15,ROW(AO270)-ROW(AO$15),0),15-13*ORÇAMENTO!$AF$11)),0)</f>
        <v>0</v>
      </c>
      <c r="AP270" s="545">
        <f ca="1">IF(AND($D270="Serviço",AP$12&lt;&gt;0,$H270&gt;0,OR(AUTOEVENTO&lt;&gt;"manual",$M270&lt;&gt;1)),
IF(Import.TipoArredondamento&lt;&gt;"TransfereGOV",
ROUND(OFFSET($P270,0,AP$13),15-13*ORÇAMENTO!$AF$7)/$H270*OFFSET(ORÇAMENTO!$X$15,ROW(AP270)-ROW(AP$15),0),
ROUND(ROUND(OFFSET($P270,0,AP$13),15-13*ORÇAMENTO!$AF$7)*OFFSET(ORÇAMENTO!$W$15,ROW(AP270)-ROW(AP$15),0),15-13*ORÇAMENTO!$AF$11)),0)</f>
        <v>0</v>
      </c>
      <c r="AQ270" s="545">
        <f ca="1">IF(AND($D270="Serviço",AQ$12&lt;&gt;0,$H270&gt;0,OR(AUTOEVENTO&lt;&gt;"manual",$M270&lt;&gt;1)),
IF(Import.TipoArredondamento&lt;&gt;"TransfereGOV",
ROUND(OFFSET($P270,0,AQ$13),15-13*ORÇAMENTO!$AF$7)/$H270*OFFSET(ORÇAMENTO!$X$15,ROW(AQ270)-ROW(AQ$15),0),
ROUND(ROUND(OFFSET($P270,0,AQ$13),15-13*ORÇAMENTO!$AF$7)*OFFSET(ORÇAMENTO!$W$15,ROW(AQ270)-ROW(AQ$15),0),15-13*ORÇAMENTO!$AF$11)),0)</f>
        <v>0</v>
      </c>
      <c r="AR270" s="545">
        <f ca="1">IF(AND($D270="Serviço",AR$12&lt;&gt;0,$H270&gt;0,OR(AUTOEVENTO&lt;&gt;"manual",$M270&lt;&gt;1)),
IF(Import.TipoArredondamento&lt;&gt;"TransfereGOV",
ROUND(OFFSET($P270,0,AR$13),15-13*ORÇAMENTO!$AF$7)/$H270*OFFSET(ORÇAMENTO!$X$15,ROW(AR270)-ROW(AR$15),0),
ROUND(ROUND(OFFSET($P270,0,AR$13),15-13*ORÇAMENTO!$AF$7)*OFFSET(ORÇAMENTO!$W$15,ROW(AR270)-ROW(AR$15),0),15-13*ORÇAMENTO!$AF$11)),0)</f>
        <v>0</v>
      </c>
      <c r="AS270" s="546">
        <f ca="1">IF(AND($D270="Serviço",AS$12&lt;&gt;0,$H270&gt;0,OR(AUTOEVENTO&lt;&gt;"manual",$M270&lt;&gt;1)),
IF(Import.TipoArredondamento&lt;&gt;"TransfereGOV",
ROUND(OFFSET($P270,0,AS$13),15-13*ORÇAMENTO!$AF$7)/$H270*OFFSET(ORÇAMENTO!$X$15,ROW(AS270)-ROW(AS$15),0),
ROUND(ROUND(OFFSET($P270,0,AS$13),15-13*ORÇAMENTO!$AF$7)*OFFSET(ORÇAMENTO!$W$15,ROW(AS270)-ROW(AS$15),0),15-13*ORÇAMENTO!$AF$11)),0)</f>
        <v>0</v>
      </c>
      <c r="AT270" s="545">
        <f ca="1">IF(AND($D270="Serviço",AT$12&lt;&gt;0,$H270&gt;0,OR(AUTOEVENTO&lt;&gt;"manual",$M270&lt;&gt;1)),
IF(Import.TipoArredondamento&lt;&gt;"TransfereGOV",
ROUND(OFFSET($P270,0,AT$13),15-13*ORÇAMENTO!$AF$7)/$H270*OFFSET(ORÇAMENTO!$X$15,ROW(AT270)-ROW(AT$15),0),
ROUND(ROUND(OFFSET($P270,0,AT$13),15-13*ORÇAMENTO!$AF$7)*OFFSET(ORÇAMENTO!$W$15,ROW(AT270)-ROW(AT$15),0),15-13*ORÇAMENTO!$AF$11)),0)</f>
        <v>0</v>
      </c>
      <c r="AU270" s="545">
        <f ca="1">IF(AND($D270="Serviço",AU$12&lt;&gt;0,$H270&gt;0,OR(AUTOEVENTO&lt;&gt;"manual",$M270&lt;&gt;1)),
IF(Import.TipoArredondamento&lt;&gt;"TransfereGOV",
ROUND(OFFSET($P270,0,AU$13),15-13*ORÇAMENTO!$AF$7)/$H270*OFFSET(ORÇAMENTO!$X$15,ROW(AU270)-ROW(AU$15),0),
ROUND(ROUND(OFFSET($P270,0,AU$13),15-13*ORÇAMENTO!$AF$7)*OFFSET(ORÇAMENTO!$W$15,ROW(AU270)-ROW(AU$15),0),15-13*ORÇAMENTO!$AF$11)),0)</f>
        <v>0</v>
      </c>
      <c r="AV270" s="545">
        <f ca="1">IF(AND($D270="Serviço",AV$12&lt;&gt;0,$H270&gt;0,OR(AUTOEVENTO&lt;&gt;"manual",$M270&lt;&gt;1)),
IF(Import.TipoArredondamento&lt;&gt;"TransfereGOV",
ROUND(OFFSET($P270,0,AV$13),15-13*ORÇAMENTO!$AF$7)/$H270*OFFSET(ORÇAMENTO!$X$15,ROW(AV270)-ROW(AV$15),0),
ROUND(ROUND(OFFSET($P270,0,AV$13),15-13*ORÇAMENTO!$AF$7)*OFFSET(ORÇAMENTO!$W$15,ROW(AV270)-ROW(AV$15),0),15-13*ORÇAMENTO!$AF$11)),0)</f>
        <v>0</v>
      </c>
      <c r="AW270" s="545">
        <f ca="1">IF(AND($D270="Serviço",AW$12&lt;&gt;0,$H270&gt;0,OR(AUTOEVENTO&lt;&gt;"manual",$M270&lt;&gt;1)),
IF(Import.TipoArredondamento&lt;&gt;"TransfereGOV",
ROUND(OFFSET($P270,0,AW$13),15-13*ORÇAMENTO!$AF$7)/$H270*OFFSET(ORÇAMENTO!$X$15,ROW(AW270)-ROW(AW$15),0),
ROUND(ROUND(OFFSET($P270,0,AW$13),15-13*ORÇAMENTO!$AF$7)*OFFSET(ORÇAMENTO!$W$15,ROW(AW270)-ROW(AW$15),0),15-13*ORÇAMENTO!$AF$11)),0)</f>
        <v>0</v>
      </c>
      <c r="AX270" s="545">
        <f ca="1">IF(AND($D270="Serviço",AX$12&lt;&gt;0,$H270&gt;0,OR(AUTOEVENTO&lt;&gt;"manual",$M270&lt;&gt;1)),
IF(Import.TipoArredondamento&lt;&gt;"TransfereGOV",
ROUND(OFFSET($P270,0,AX$13),15-13*ORÇAMENTO!$AF$7)/$H270*OFFSET(ORÇAMENTO!$X$15,ROW(AX270)-ROW(AX$15),0),
ROUND(ROUND(OFFSET($P270,0,AX$13),15-13*ORÇAMENTO!$AF$7)*OFFSET(ORÇAMENTO!$W$15,ROW(AX270)-ROW(AX$15),0),15-13*ORÇAMENTO!$AF$11)),0)</f>
        <v>0</v>
      </c>
      <c r="AY270" s="545">
        <f ca="1">IF(AND($D270="Serviço",AY$12&lt;&gt;0,$H270&gt;0,OR(AUTOEVENTO&lt;&gt;"manual",$M270&lt;&gt;1)),
IF(Import.TipoArredondamento&lt;&gt;"TransfereGOV",
ROUND(OFFSET($P270,0,AY$13),15-13*ORÇAMENTO!$AF$7)/$H270*OFFSET(ORÇAMENTO!$X$15,ROW(AY270)-ROW(AY$15),0),
ROUND(ROUND(OFFSET($P270,0,AY$13),15-13*ORÇAMENTO!$AF$7)*OFFSET(ORÇAMENTO!$W$15,ROW(AY270)-ROW(AY$15),0),15-13*ORÇAMENTO!$AF$11)),0)</f>
        <v>0</v>
      </c>
      <c r="AZ270" s="545">
        <f ca="1">IF(AND($D270="Serviço",AZ$12&lt;&gt;0,$H270&gt;0,OR(AUTOEVENTO&lt;&gt;"manual",$M270&lt;&gt;1)),
IF(Import.TipoArredondamento&lt;&gt;"TransfereGOV",
ROUND(OFFSET($P270,0,AZ$13),15-13*ORÇAMENTO!$AF$7)/$H270*OFFSET(ORÇAMENTO!$X$15,ROW(AZ270)-ROW(AZ$15),0),
ROUND(ROUND(OFFSET($P270,0,AZ$13),15-13*ORÇAMENTO!$AF$7)*OFFSET(ORÇAMENTO!$W$15,ROW(AZ270)-ROW(AZ$15),0),15-13*ORÇAMENTO!$AF$11)),0)</f>
        <v>0</v>
      </c>
      <c r="BA270" s="546">
        <f ca="1">IF(AND($D270="Serviço",BA$12&lt;&gt;0,$H270&gt;0,OR(AUTOEVENTO&lt;&gt;"manual",$M270&lt;&gt;1)),
IF(Import.TipoArredondamento&lt;&gt;"TransfereGOV",
ROUND(OFFSET($P270,0,BA$13),15-13*ORÇAMENTO!$AF$7)/$H270*OFFSET(ORÇAMENTO!$X$15,ROW(BA270)-ROW(BA$15),0),
ROUND(ROUND(OFFSET($P270,0,BA$13),15-13*ORÇAMENTO!$AF$7)*OFFSET(ORÇAMENTO!$W$15,ROW(BA270)-ROW(BA$15),0),15-13*ORÇAMENTO!$AF$11)),0)</f>
        <v>0</v>
      </c>
      <c r="BC270" s="181">
        <f ca="1">IF($D270&lt;&gt;"Serviço",0,IF(AND(AUTOEVENTO="Manual",$M270=1),0,IF(OFFSET(CRONOPLE!$F$14,$M270,BC$13)="",10^12,OFFSET(CRONOPLE!$F$14,$M270,BC$13))))</f>
        <v>9</v>
      </c>
      <c r="BD270" s="181">
        <f ca="1">IF($D270&lt;&gt;"Serviço",0,IF(AND(AUTOEVENTO="Manual",$M270=1),0,IF(OFFSET(CRONOPLE!$F$14,$M270,BD$13)="",10^12,OFFSET(CRONOPLE!$F$14,$M270,BD$13))))</f>
        <v>1000000000000</v>
      </c>
      <c r="BE270" s="181">
        <f ca="1">IF($D270&lt;&gt;"Serviço",0,IF(AND(AUTOEVENTO="Manual",$M270=1),0,IF(OFFSET(CRONOPLE!$F$14,$M270,BE$13)="",10^12,OFFSET(CRONOPLE!$F$14,$M270,BE$13))))</f>
        <v>1000000000000</v>
      </c>
      <c r="BF270" s="181">
        <f ca="1">IF($D270&lt;&gt;"Serviço",0,IF(AND(AUTOEVENTO="Manual",$M270=1),0,IF(OFFSET(CRONOPLE!$F$14,$M270,BF$13)="",10^12,OFFSET(CRONOPLE!$F$14,$M270,BF$13))))</f>
        <v>1000000000000</v>
      </c>
      <c r="BG270" s="181">
        <f ca="1">IF($D270&lt;&gt;"Serviço",0,IF(AND(AUTOEVENTO="Manual",$M270=1),0,IF(OFFSET(CRONOPLE!$F$14,$M270,BG$13)="",10^12,OFFSET(CRONOPLE!$F$14,$M270,BG$13))))</f>
        <v>1000000000000</v>
      </c>
      <c r="BH270" s="181">
        <f ca="1">IF($D270&lt;&gt;"Serviço",0,IF(AND(AUTOEVENTO="Manual",$M270=1),0,IF(OFFSET(CRONOPLE!$F$14,$M270,BH$13)="",10^12,OFFSET(CRONOPLE!$F$14,$M270,BH$13))))</f>
        <v>1000000000000</v>
      </c>
      <c r="BI270" s="181">
        <f ca="1">IF($D270&lt;&gt;"Serviço",0,IF(AND(AUTOEVENTO="Manual",$M270=1),0,IF(OFFSET(CRONOPLE!$F$14,$M270,BI$13)="",10^12,OFFSET(CRONOPLE!$F$14,$M270,BI$13))))</f>
        <v>1000000000000</v>
      </c>
      <c r="BJ270" s="181">
        <f ca="1">IF($D270&lt;&gt;"Serviço",0,IF(AND(AUTOEVENTO="Manual",$M270=1),0,IF(OFFSET(CRONOPLE!$F$14,$M270,BJ$13)="",10^12,OFFSET(CRONOPLE!$F$14,$M270,BJ$13))))</f>
        <v>1000000000000</v>
      </c>
      <c r="BK270" s="181">
        <f ca="1">IF($D270&lt;&gt;"Serviço",0,IF(AND(AUTOEVENTO="Manual",$M270=1),0,IF(OFFSET(CRONOPLE!$F$14,$M270,BK$13)="",10^12,OFFSET(CRONOPLE!$F$14,$M270,BK$13))))</f>
        <v>1000000000000</v>
      </c>
      <c r="BL270" s="181">
        <f ca="1">IF($D270&lt;&gt;"Serviço",0,IF(AND(AUTOEVENTO="Manual",$M270=1),0,IF(OFFSET(CRONOPLE!$F$14,$M270,BL$13)="",10^12,OFFSET(CRONOPLE!$F$14,$M270,BL$13))))</f>
        <v>1000000000000</v>
      </c>
      <c r="BM270" s="181">
        <f ca="1">IF($D270&lt;&gt;"Serviço",0,IF(AND(AUTOEVENTO="Manual",$M270=1),0,IF(OFFSET(CRONOPLE!$F$14,$M270,BM$13)="",10^12,OFFSET(CRONOPLE!$F$14,$M270,BM$13))))</f>
        <v>1000000000000</v>
      </c>
      <c r="BN270" s="181">
        <f ca="1">IF($D270&lt;&gt;"Serviço",0,IF(AND(AUTOEVENTO="Manual",$M270=1),0,IF(OFFSET(CRONOPLE!$F$14,$M270,BN$13)="",10^12,OFFSET(CRONOPLE!$F$14,$M270,BN$13))))</f>
        <v>1000000000000</v>
      </c>
      <c r="BO270" s="181">
        <f ca="1">IF($D270&lt;&gt;"Serviço",0,IF(AND(AUTOEVENTO="Manual",$M270=1),0,IF(OFFSET(CRONOPLE!$F$14,$M270,BO$13)="",10^12,OFFSET(CRONOPLE!$F$14,$M270,BO$13))))</f>
        <v>1000000000000</v>
      </c>
      <c r="BP270" s="181">
        <f ca="1">IF($D270&lt;&gt;"Serviço",0,IF(AND(AUTOEVENTO="Manual",$M270=1),0,IF(OFFSET(CRONOPLE!$F$14,$M270,BP$13)="",10^12,OFFSET(CRONOPLE!$F$14,$M270,BP$13))))</f>
        <v>1000000000000</v>
      </c>
      <c r="BQ270" s="181">
        <f ca="1">IF($D270&lt;&gt;"Serviço",0,IF(AND(AUTOEVENTO="Manual",$M270=1),0,IF(OFFSET(CRONOPLE!$F$14,$M270,BQ$13)="",10^12,OFFSET(CRONOPLE!$F$14,$M270,BQ$13))))</f>
        <v>1000000000000</v>
      </c>
      <c r="BR270" s="181">
        <f ca="1">IF($D270&lt;&gt;"Serviço",0,IF(AND(AUTOEVENTO="Manual",$M270=1),0,IF(OFFSET(CRONOPLE!$F$14,$M270,BR$13)="",10^12,OFFSET(CRONOPLE!$F$14,$M270,BR$13))))</f>
        <v>1000000000000</v>
      </c>
      <c r="BS270" s="181">
        <f ca="1">IF($D270&lt;&gt;"Serviço",0,IF(AND(AUTOEVENTO="Manual",$M270=1),0,IF(OFFSET(CRONOPLE!$F$14,$M270,BS$13)="",10^12,OFFSET(CRONOPLE!$F$14,$M270,BS$13))))</f>
        <v>1000000000000</v>
      </c>
      <c r="BT270" s="181">
        <f ca="1">IF($D270&lt;&gt;"Serviço",0,IF(AND(AUTOEVENTO="Manual",$M270=1),0,IF(OFFSET(CRONOPLE!$F$14,$M270,BT$13)="",10^12,OFFSET(CRONOPLE!$F$14,$M270,BT$13))))</f>
        <v>1000000000000</v>
      </c>
      <c r="BV270" s="182">
        <f ca="1">IF($D270&lt;&gt;"Serviço",0,IF(OR(AND(AUTOEVENTO="Manual",$M270=1),$M270&gt;(ROW(PLE.lastrow)-ROW(PLE.firstrow))),0,IF(OFFSET(PLE!$G$14,$M270,BV$13)="",10^12,OFFSET(PLE!$G$14,$M270,BV$13))))</f>
        <v>1000000000000</v>
      </c>
      <c r="BW270" s="182">
        <f ca="1">IF($D270&lt;&gt;"Serviço",0,IF(OR(AND(AUTOEVENTO="Manual",$M270=1),$M270&gt;(ROW(PLE.lastrow)-ROW(PLE.firstrow))),0,IF(OFFSET(PLE!$G$14,$M270,BW$13)="",10^12,OFFSET(PLE!$G$14,$M270,BW$13))))</f>
        <v>1000000000000</v>
      </c>
      <c r="BX270" s="182">
        <f ca="1">IF($D270&lt;&gt;"Serviço",0,IF(OR(AND(AUTOEVENTO="Manual",$M270=1),$M270&gt;(ROW(PLE.lastrow)-ROW(PLE.firstrow))),0,IF(OFFSET(PLE!$G$14,$M270,BX$13)="",10^12,OFFSET(PLE!$G$14,$M270,BX$13))))</f>
        <v>1000000000000</v>
      </c>
      <c r="BY270" s="182">
        <f ca="1">IF($D270&lt;&gt;"Serviço",0,IF(OR(AND(AUTOEVENTO="Manual",$M270=1),$M270&gt;(ROW(PLE.lastrow)-ROW(PLE.firstrow))),0,IF(OFFSET(PLE!$G$14,$M270,BY$13)="",10^12,OFFSET(PLE!$G$14,$M270,BY$13))))</f>
        <v>1000000000000</v>
      </c>
      <c r="BZ270" s="182">
        <f ca="1">IF($D270&lt;&gt;"Serviço",0,IF(OR(AND(AUTOEVENTO="Manual",$M270=1),$M270&gt;(ROW(PLE.lastrow)-ROW(PLE.firstrow))),0,IF(OFFSET(PLE!$G$14,$M270,BZ$13)="",10^12,OFFSET(PLE!$G$14,$M270,BZ$13))))</f>
        <v>1000000000000</v>
      </c>
      <c r="CA270" s="182">
        <f ca="1">IF($D270&lt;&gt;"Serviço",0,IF(OR(AND(AUTOEVENTO="Manual",$M270=1),$M270&gt;(ROW(PLE.lastrow)-ROW(PLE.firstrow))),0,IF(OFFSET(PLE!$G$14,$M270,CA$13)="",10^12,OFFSET(PLE!$G$14,$M270,CA$13))))</f>
        <v>1000000000000</v>
      </c>
      <c r="CB270" s="182">
        <f ca="1">IF($D270&lt;&gt;"Serviço",0,IF(OR(AND(AUTOEVENTO="Manual",$M270=1),$M270&gt;(ROW(PLE.lastrow)-ROW(PLE.firstrow))),0,IF(OFFSET(PLE!$G$14,$M270,CB$13)="",10^12,OFFSET(PLE!$G$14,$M270,CB$13))))</f>
        <v>1000000000000</v>
      </c>
      <c r="CC270" s="182">
        <f ca="1">IF($D270&lt;&gt;"Serviço",0,IF(OR(AND(AUTOEVENTO="Manual",$M270=1),$M270&gt;(ROW(PLE.lastrow)-ROW(PLE.firstrow))),0,IF(OFFSET(PLE!$G$14,$M270,CC$13)="",10^12,OFFSET(PLE!$G$14,$M270,CC$13))))</f>
        <v>1000000000000</v>
      </c>
      <c r="CD270" s="182">
        <f ca="1">IF($D270&lt;&gt;"Serviço",0,IF(OR(AND(AUTOEVENTO="Manual",$M270=1),$M270&gt;(ROW(PLE.lastrow)-ROW(PLE.firstrow))),0,IF(OFFSET(PLE!$G$14,$M270,CD$13)="",10^12,OFFSET(PLE!$G$14,$M270,CD$13))))</f>
        <v>1000000000000</v>
      </c>
      <c r="CE270" s="182">
        <f ca="1">IF($D270&lt;&gt;"Serviço",0,IF(OR(AND(AUTOEVENTO="Manual",$M270=1),$M270&gt;(ROW(PLE.lastrow)-ROW(PLE.firstrow))),0,IF(OFFSET(PLE!$G$14,$M270,CE$13)="",10^12,OFFSET(PLE!$G$14,$M270,CE$13))))</f>
        <v>1000000000000</v>
      </c>
      <c r="CF270" s="182">
        <f ca="1">IF($D270&lt;&gt;"Serviço",0,IF(OR(AND(AUTOEVENTO="Manual",$M270=1),$M270&gt;(ROW(PLE.lastrow)-ROW(PLE.firstrow))),0,IF(OFFSET(PLE!$G$14,$M270,CF$13)="",10^12,OFFSET(PLE!$G$14,$M270,CF$13))))</f>
        <v>1000000000000</v>
      </c>
      <c r="CG270" s="182">
        <f ca="1">IF($D270&lt;&gt;"Serviço",0,IF(OR(AND(AUTOEVENTO="Manual",$M270=1),$M270&gt;(ROW(PLE.lastrow)-ROW(PLE.firstrow))),0,IF(OFFSET(PLE!$G$14,$M270,CG$13)="",10^12,OFFSET(PLE!$G$14,$M270,CG$13))))</f>
        <v>1000000000000</v>
      </c>
      <c r="CH270" s="182">
        <f ca="1">IF($D270&lt;&gt;"Serviço",0,IF(OR(AND(AUTOEVENTO="Manual",$M270=1),$M270&gt;(ROW(PLE.lastrow)-ROW(PLE.firstrow))),0,IF(OFFSET(PLE!$G$14,$M270,CH$13)="",10^12,OFFSET(PLE!$G$14,$M270,CH$13))))</f>
        <v>1000000000000</v>
      </c>
      <c r="CI270" s="182">
        <f ca="1">IF($D270&lt;&gt;"Serviço",0,IF(OR(AND(AUTOEVENTO="Manual",$M270=1),$M270&gt;(ROW(PLE.lastrow)-ROW(PLE.firstrow))),0,IF(OFFSET(PLE!$G$14,$M270,CI$13)="",10^12,OFFSET(PLE!$G$14,$M270,CI$13))))</f>
        <v>1000000000000</v>
      </c>
      <c r="CJ270" s="182">
        <f ca="1">IF($D270&lt;&gt;"Serviço",0,IF(OR(AND(AUTOEVENTO="Manual",$M270=1),$M270&gt;(ROW(PLE.lastrow)-ROW(PLE.firstrow))),0,IF(OFFSET(PLE!$G$14,$M270,CJ$13)="",10^12,OFFSET(PLE!$G$14,$M270,CJ$13))))</f>
        <v>1000000000000</v>
      </c>
      <c r="CK270" s="182">
        <f ca="1">IF($D270&lt;&gt;"Serviço",0,IF(OR(AND(AUTOEVENTO="Manual",$M270=1),$M270&gt;(ROW(PLE.lastrow)-ROW(PLE.firstrow))),0,IF(OFFSET(PLE!$G$14,$M270,CK$13)="",10^12,OFFSET(PLE!$G$14,$M270,CK$13))))</f>
        <v>1000000000000</v>
      </c>
      <c r="CL270" s="182">
        <f ca="1">IF($D270&lt;&gt;"Serviço",0,IF(OR(AND(AUTOEVENTO="Manual",$M270=1),$M270&gt;(ROW(PLE.lastrow)-ROW(PLE.firstrow))),0,IF(OFFSET(PLE!$G$14,$M270,CL$13)="",10^12,OFFSET(PLE!$G$14,$M270,CL$13))))</f>
        <v>1000000000000</v>
      </c>
      <c r="CM270" s="182">
        <f ca="1">IF($D270&lt;&gt;"Serviço",0,IF(OR(AND(AUTOEVENTO="Manual",$M270=1),$M270&gt;(ROW(PLE.lastrow)-ROW(PLE.firstrow))),0,IF(OFFSET(PLE!$G$14,$M270,CM$13)="",10^12,OFFSET(PLE!$G$14,$M270,CM$13))))</f>
        <v>1000000000000</v>
      </c>
    </row>
    <row r="271" spans="1:91" ht="38.25" x14ac:dyDescent="0.2">
      <c r="A271" s="7" t="str">
        <f t="shared" ca="1" si="12"/>
        <v>232</v>
      </c>
      <c r="B271" s="7" t="str">
        <f ca="1">OFFSET(ORÇAMENTO!C$15,ROW(B271)-ROW(B$15),0)</f>
        <v>S</v>
      </c>
      <c r="C271" s="7" t="str">
        <f ca="1">OFFSET(ORÇAMENTO!L$15,ROW(C271)-ROW(C$15),0)</f>
        <v/>
      </c>
      <c r="D271" s="118" t="str">
        <f ca="1">OFFSET(ORÇAMENTO!N$15,ROW(D271)-ROW(D$15),0)</f>
        <v>Serviço</v>
      </c>
      <c r="E271" s="119" t="str">
        <f ca="1">OFFSET(ORÇAMENTO!O$15,ROW(E271)-ROW(E$15),0)</f>
        <v>-</v>
      </c>
      <c r="F271" s="172" t="str">
        <f ca="1">OFFSET(ORÇAMENTO!R$15,ROW(F271)-ROW(F$15),0)</f>
        <v>(abra o arquivo 'Referência 06-2024.xlsm)</v>
      </c>
      <c r="G271" s="173" t="str">
        <f ca="1">IF($D271&lt;&gt;"Serviço","",OFFSET(ORÇAMENTO!S$15,ROW(G271)-ROW(G$15),0))</f>
        <v>-</v>
      </c>
      <c r="H271" s="124">
        <f ca="1">IF($D271&lt;&gt;"Serviço",0,IF(ACOMPANHAMENTO="BM",ROUND(OFFSET(ORÇAMENTO!AJ$15,ROW(H271)-ROW(H$15),0),15-13*ORÇAMENTO!$AF$7),SUMPRODUCT(($Q$12:$AI$12&lt;&gt;"")*ROUND($Q271:$AI271,15-13*ORÇAMENTO!$AF$7))))</f>
        <v>63</v>
      </c>
      <c r="I271" s="561" t="s">
        <v>1107</v>
      </c>
      <c r="K271" s="174"/>
      <c r="L271" s="175" t="s">
        <v>255</v>
      </c>
      <c r="M271" s="176">
        <f ca="1">IF($D271&lt;&gt;"Serviço","",IF(AUTOEVENTO="manual",$A271,IF(ISERROR(MATCH($A271,$A$15:OFFSET($A271,-1,0),0)),MAX($M$15:OFFSET(M271,-1,0))+1,INDEX($M$15:OFFSET(M271,-1,0),MATCH($A271,$A$15:OFFSET($A271,-1,0),0)))))</f>
        <v>35</v>
      </c>
      <c r="N271" s="177" t="str">
        <f ca="1">IF($D271&lt;&gt;"Serviço","",IF(AUTOEVENTO="Manual",IF($A271=0,"&lt;-- defina o número do agrupador",OFFSET(EVENTOS!$D$14,$A271,0)),OFFSET($F$15,$A271,0)))</f>
        <v>INSTALAÇÃO HIDRÁULICA - TUBULAÇÕES E CONEXÕES DE PVC RÍGIDO</v>
      </c>
      <c r="O271" s="178"/>
      <c r="Q271" s="178">
        <v>63</v>
      </c>
      <c r="R271" s="179"/>
      <c r="S271" s="179"/>
      <c r="T271" s="179"/>
      <c r="U271" s="179"/>
      <c r="V271" s="179"/>
      <c r="W271" s="179"/>
      <c r="X271" s="179"/>
      <c r="Y271" s="179"/>
      <c r="Z271" s="180"/>
      <c r="AA271" s="179"/>
      <c r="AB271" s="179"/>
      <c r="AC271" s="179"/>
      <c r="AD271" s="179"/>
      <c r="AE271" s="179"/>
      <c r="AF271" s="179"/>
      <c r="AG271" s="179"/>
      <c r="AH271" s="180"/>
      <c r="AJ271" s="544">
        <f ca="1">IF(AND($D271="Serviço",AJ$12&lt;&gt;0,$H271&gt;0,OR(AUTOEVENTO&lt;&gt;"manual",$M271&lt;&gt;1)),
IF(Import.TipoArredondamento&lt;&gt;"TransfereGOV",
ROUND(OFFSET($P271,0,AJ$13),15-13*ORÇAMENTO!$AF$7)/$H271*OFFSET(ORÇAMENTO!$X$15,ROW(AJ271)-ROW(AJ$15),0),
ROUND(ROUND(OFFSET($P271,0,AJ$13),15-13*ORÇAMENTO!$AF$7)*OFFSET(ORÇAMENTO!$W$15,ROW(AJ271)-ROW(AJ$15),0),15-13*ORÇAMENTO!$AF$11)),0)</f>
        <v>0</v>
      </c>
      <c r="AK271" s="545">
        <f ca="1">IF(AND($D271="Serviço",AK$12&lt;&gt;0,$H271&gt;0,OR(AUTOEVENTO&lt;&gt;"manual",$M271&lt;&gt;1)),
IF(Import.TipoArredondamento&lt;&gt;"TransfereGOV",
ROUND(OFFSET($P271,0,AK$13),15-13*ORÇAMENTO!$AF$7)/$H271*OFFSET(ORÇAMENTO!$X$15,ROW(AK271)-ROW(AK$15),0),
ROUND(ROUND(OFFSET($P271,0,AK$13),15-13*ORÇAMENTO!$AF$7)*OFFSET(ORÇAMENTO!$W$15,ROW(AK271)-ROW(AK$15),0),15-13*ORÇAMENTO!$AF$11)),0)</f>
        <v>0</v>
      </c>
      <c r="AL271" s="545">
        <f ca="1">IF(AND($D271="Serviço",AL$12&lt;&gt;0,$H271&gt;0,OR(AUTOEVENTO&lt;&gt;"manual",$M271&lt;&gt;1)),
IF(Import.TipoArredondamento&lt;&gt;"TransfereGOV",
ROUND(OFFSET($P271,0,AL$13),15-13*ORÇAMENTO!$AF$7)/$H271*OFFSET(ORÇAMENTO!$X$15,ROW(AL271)-ROW(AL$15),0),
ROUND(ROUND(OFFSET($P271,0,AL$13),15-13*ORÇAMENTO!$AF$7)*OFFSET(ORÇAMENTO!$W$15,ROW(AL271)-ROW(AL$15),0),15-13*ORÇAMENTO!$AF$11)),0)</f>
        <v>0</v>
      </c>
      <c r="AM271" s="545">
        <f ca="1">IF(AND($D271="Serviço",AM$12&lt;&gt;0,$H271&gt;0,OR(AUTOEVENTO&lt;&gt;"manual",$M271&lt;&gt;1)),
IF(Import.TipoArredondamento&lt;&gt;"TransfereGOV",
ROUND(OFFSET($P271,0,AM$13),15-13*ORÇAMENTO!$AF$7)/$H271*OFFSET(ORÇAMENTO!$X$15,ROW(AM271)-ROW(AM$15),0),
ROUND(ROUND(OFFSET($P271,0,AM$13),15-13*ORÇAMENTO!$AF$7)*OFFSET(ORÇAMENTO!$W$15,ROW(AM271)-ROW(AM$15),0),15-13*ORÇAMENTO!$AF$11)),0)</f>
        <v>0</v>
      </c>
      <c r="AN271" s="545">
        <f ca="1">IF(AND($D271="Serviço",AN$12&lt;&gt;0,$H271&gt;0,OR(AUTOEVENTO&lt;&gt;"manual",$M271&lt;&gt;1)),
IF(Import.TipoArredondamento&lt;&gt;"TransfereGOV",
ROUND(OFFSET($P271,0,AN$13),15-13*ORÇAMENTO!$AF$7)/$H271*OFFSET(ORÇAMENTO!$X$15,ROW(AN271)-ROW(AN$15),0),
ROUND(ROUND(OFFSET($P271,0,AN$13),15-13*ORÇAMENTO!$AF$7)*OFFSET(ORÇAMENTO!$W$15,ROW(AN271)-ROW(AN$15),0),15-13*ORÇAMENTO!$AF$11)),0)</f>
        <v>0</v>
      </c>
      <c r="AO271" s="545">
        <f ca="1">IF(AND($D271="Serviço",AO$12&lt;&gt;0,$H271&gt;0,OR(AUTOEVENTO&lt;&gt;"manual",$M271&lt;&gt;1)),
IF(Import.TipoArredondamento&lt;&gt;"TransfereGOV",
ROUND(OFFSET($P271,0,AO$13),15-13*ORÇAMENTO!$AF$7)/$H271*OFFSET(ORÇAMENTO!$X$15,ROW(AO271)-ROW(AO$15),0),
ROUND(ROUND(OFFSET($P271,0,AO$13),15-13*ORÇAMENTO!$AF$7)*OFFSET(ORÇAMENTO!$W$15,ROW(AO271)-ROW(AO$15),0),15-13*ORÇAMENTO!$AF$11)),0)</f>
        <v>0</v>
      </c>
      <c r="AP271" s="545">
        <f ca="1">IF(AND($D271="Serviço",AP$12&lt;&gt;0,$H271&gt;0,OR(AUTOEVENTO&lt;&gt;"manual",$M271&lt;&gt;1)),
IF(Import.TipoArredondamento&lt;&gt;"TransfereGOV",
ROUND(OFFSET($P271,0,AP$13),15-13*ORÇAMENTO!$AF$7)/$H271*OFFSET(ORÇAMENTO!$X$15,ROW(AP271)-ROW(AP$15),0),
ROUND(ROUND(OFFSET($P271,0,AP$13),15-13*ORÇAMENTO!$AF$7)*OFFSET(ORÇAMENTO!$W$15,ROW(AP271)-ROW(AP$15),0),15-13*ORÇAMENTO!$AF$11)),0)</f>
        <v>0</v>
      </c>
      <c r="AQ271" s="545">
        <f ca="1">IF(AND($D271="Serviço",AQ$12&lt;&gt;0,$H271&gt;0,OR(AUTOEVENTO&lt;&gt;"manual",$M271&lt;&gt;1)),
IF(Import.TipoArredondamento&lt;&gt;"TransfereGOV",
ROUND(OFFSET($P271,0,AQ$13),15-13*ORÇAMENTO!$AF$7)/$H271*OFFSET(ORÇAMENTO!$X$15,ROW(AQ271)-ROW(AQ$15),0),
ROUND(ROUND(OFFSET($P271,0,AQ$13),15-13*ORÇAMENTO!$AF$7)*OFFSET(ORÇAMENTO!$W$15,ROW(AQ271)-ROW(AQ$15),0),15-13*ORÇAMENTO!$AF$11)),0)</f>
        <v>0</v>
      </c>
      <c r="AR271" s="545">
        <f ca="1">IF(AND($D271="Serviço",AR$12&lt;&gt;0,$H271&gt;0,OR(AUTOEVENTO&lt;&gt;"manual",$M271&lt;&gt;1)),
IF(Import.TipoArredondamento&lt;&gt;"TransfereGOV",
ROUND(OFFSET($P271,0,AR$13),15-13*ORÇAMENTO!$AF$7)/$H271*OFFSET(ORÇAMENTO!$X$15,ROW(AR271)-ROW(AR$15),0),
ROUND(ROUND(OFFSET($P271,0,AR$13),15-13*ORÇAMENTO!$AF$7)*OFFSET(ORÇAMENTO!$W$15,ROW(AR271)-ROW(AR$15),0),15-13*ORÇAMENTO!$AF$11)),0)</f>
        <v>0</v>
      </c>
      <c r="AS271" s="546">
        <f ca="1">IF(AND($D271="Serviço",AS$12&lt;&gt;0,$H271&gt;0,OR(AUTOEVENTO&lt;&gt;"manual",$M271&lt;&gt;1)),
IF(Import.TipoArredondamento&lt;&gt;"TransfereGOV",
ROUND(OFFSET($P271,0,AS$13),15-13*ORÇAMENTO!$AF$7)/$H271*OFFSET(ORÇAMENTO!$X$15,ROW(AS271)-ROW(AS$15),0),
ROUND(ROUND(OFFSET($P271,0,AS$13),15-13*ORÇAMENTO!$AF$7)*OFFSET(ORÇAMENTO!$W$15,ROW(AS271)-ROW(AS$15),0),15-13*ORÇAMENTO!$AF$11)),0)</f>
        <v>0</v>
      </c>
      <c r="AT271" s="545">
        <f ca="1">IF(AND($D271="Serviço",AT$12&lt;&gt;0,$H271&gt;0,OR(AUTOEVENTO&lt;&gt;"manual",$M271&lt;&gt;1)),
IF(Import.TipoArredondamento&lt;&gt;"TransfereGOV",
ROUND(OFFSET($P271,0,AT$13),15-13*ORÇAMENTO!$AF$7)/$H271*OFFSET(ORÇAMENTO!$X$15,ROW(AT271)-ROW(AT$15),0),
ROUND(ROUND(OFFSET($P271,0,AT$13),15-13*ORÇAMENTO!$AF$7)*OFFSET(ORÇAMENTO!$W$15,ROW(AT271)-ROW(AT$15),0),15-13*ORÇAMENTO!$AF$11)),0)</f>
        <v>0</v>
      </c>
      <c r="AU271" s="545">
        <f ca="1">IF(AND($D271="Serviço",AU$12&lt;&gt;0,$H271&gt;0,OR(AUTOEVENTO&lt;&gt;"manual",$M271&lt;&gt;1)),
IF(Import.TipoArredondamento&lt;&gt;"TransfereGOV",
ROUND(OFFSET($P271,0,AU$13),15-13*ORÇAMENTO!$AF$7)/$H271*OFFSET(ORÇAMENTO!$X$15,ROW(AU271)-ROW(AU$15),0),
ROUND(ROUND(OFFSET($P271,0,AU$13),15-13*ORÇAMENTO!$AF$7)*OFFSET(ORÇAMENTO!$W$15,ROW(AU271)-ROW(AU$15),0),15-13*ORÇAMENTO!$AF$11)),0)</f>
        <v>0</v>
      </c>
      <c r="AV271" s="545">
        <f ca="1">IF(AND($D271="Serviço",AV$12&lt;&gt;0,$H271&gt;0,OR(AUTOEVENTO&lt;&gt;"manual",$M271&lt;&gt;1)),
IF(Import.TipoArredondamento&lt;&gt;"TransfereGOV",
ROUND(OFFSET($P271,0,AV$13),15-13*ORÇAMENTO!$AF$7)/$H271*OFFSET(ORÇAMENTO!$X$15,ROW(AV271)-ROW(AV$15),0),
ROUND(ROUND(OFFSET($P271,0,AV$13),15-13*ORÇAMENTO!$AF$7)*OFFSET(ORÇAMENTO!$W$15,ROW(AV271)-ROW(AV$15),0),15-13*ORÇAMENTO!$AF$11)),0)</f>
        <v>0</v>
      </c>
      <c r="AW271" s="545">
        <f ca="1">IF(AND($D271="Serviço",AW$12&lt;&gt;0,$H271&gt;0,OR(AUTOEVENTO&lt;&gt;"manual",$M271&lt;&gt;1)),
IF(Import.TipoArredondamento&lt;&gt;"TransfereGOV",
ROUND(OFFSET($P271,0,AW$13),15-13*ORÇAMENTO!$AF$7)/$H271*OFFSET(ORÇAMENTO!$X$15,ROW(AW271)-ROW(AW$15),0),
ROUND(ROUND(OFFSET($P271,0,AW$13),15-13*ORÇAMENTO!$AF$7)*OFFSET(ORÇAMENTO!$W$15,ROW(AW271)-ROW(AW$15),0),15-13*ORÇAMENTO!$AF$11)),0)</f>
        <v>0</v>
      </c>
      <c r="AX271" s="545">
        <f ca="1">IF(AND($D271="Serviço",AX$12&lt;&gt;0,$H271&gt;0,OR(AUTOEVENTO&lt;&gt;"manual",$M271&lt;&gt;1)),
IF(Import.TipoArredondamento&lt;&gt;"TransfereGOV",
ROUND(OFFSET($P271,0,AX$13),15-13*ORÇAMENTO!$AF$7)/$H271*OFFSET(ORÇAMENTO!$X$15,ROW(AX271)-ROW(AX$15),0),
ROUND(ROUND(OFFSET($P271,0,AX$13),15-13*ORÇAMENTO!$AF$7)*OFFSET(ORÇAMENTO!$W$15,ROW(AX271)-ROW(AX$15),0),15-13*ORÇAMENTO!$AF$11)),0)</f>
        <v>0</v>
      </c>
      <c r="AY271" s="545">
        <f ca="1">IF(AND($D271="Serviço",AY$12&lt;&gt;0,$H271&gt;0,OR(AUTOEVENTO&lt;&gt;"manual",$M271&lt;&gt;1)),
IF(Import.TipoArredondamento&lt;&gt;"TransfereGOV",
ROUND(OFFSET($P271,0,AY$13),15-13*ORÇAMENTO!$AF$7)/$H271*OFFSET(ORÇAMENTO!$X$15,ROW(AY271)-ROW(AY$15),0),
ROUND(ROUND(OFFSET($P271,0,AY$13),15-13*ORÇAMENTO!$AF$7)*OFFSET(ORÇAMENTO!$W$15,ROW(AY271)-ROW(AY$15),0),15-13*ORÇAMENTO!$AF$11)),0)</f>
        <v>0</v>
      </c>
      <c r="AZ271" s="545">
        <f ca="1">IF(AND($D271="Serviço",AZ$12&lt;&gt;0,$H271&gt;0,OR(AUTOEVENTO&lt;&gt;"manual",$M271&lt;&gt;1)),
IF(Import.TipoArredondamento&lt;&gt;"TransfereGOV",
ROUND(OFFSET($P271,0,AZ$13),15-13*ORÇAMENTO!$AF$7)/$H271*OFFSET(ORÇAMENTO!$X$15,ROW(AZ271)-ROW(AZ$15),0),
ROUND(ROUND(OFFSET($P271,0,AZ$13),15-13*ORÇAMENTO!$AF$7)*OFFSET(ORÇAMENTO!$W$15,ROW(AZ271)-ROW(AZ$15),0),15-13*ORÇAMENTO!$AF$11)),0)</f>
        <v>0</v>
      </c>
      <c r="BA271" s="546">
        <f ca="1">IF(AND($D271="Serviço",BA$12&lt;&gt;0,$H271&gt;0,OR(AUTOEVENTO&lt;&gt;"manual",$M271&lt;&gt;1)),
IF(Import.TipoArredondamento&lt;&gt;"TransfereGOV",
ROUND(OFFSET($P271,0,BA$13),15-13*ORÇAMENTO!$AF$7)/$H271*OFFSET(ORÇAMENTO!$X$15,ROW(BA271)-ROW(BA$15),0),
ROUND(ROUND(OFFSET($P271,0,BA$13),15-13*ORÇAMENTO!$AF$7)*OFFSET(ORÇAMENTO!$W$15,ROW(BA271)-ROW(BA$15),0),15-13*ORÇAMENTO!$AF$11)),0)</f>
        <v>0</v>
      </c>
      <c r="BC271" s="181">
        <f ca="1">IF($D271&lt;&gt;"Serviço",0,IF(AND(AUTOEVENTO="Manual",$M271=1),0,IF(OFFSET(CRONOPLE!$F$14,$M271,BC$13)="",10^12,OFFSET(CRONOPLE!$F$14,$M271,BC$13))))</f>
        <v>9</v>
      </c>
      <c r="BD271" s="181">
        <f ca="1">IF($D271&lt;&gt;"Serviço",0,IF(AND(AUTOEVENTO="Manual",$M271=1),0,IF(OFFSET(CRONOPLE!$F$14,$M271,BD$13)="",10^12,OFFSET(CRONOPLE!$F$14,$M271,BD$13))))</f>
        <v>1000000000000</v>
      </c>
      <c r="BE271" s="181">
        <f ca="1">IF($D271&lt;&gt;"Serviço",0,IF(AND(AUTOEVENTO="Manual",$M271=1),0,IF(OFFSET(CRONOPLE!$F$14,$M271,BE$13)="",10^12,OFFSET(CRONOPLE!$F$14,$M271,BE$13))))</f>
        <v>1000000000000</v>
      </c>
      <c r="BF271" s="181">
        <f ca="1">IF($D271&lt;&gt;"Serviço",0,IF(AND(AUTOEVENTO="Manual",$M271=1),0,IF(OFFSET(CRONOPLE!$F$14,$M271,BF$13)="",10^12,OFFSET(CRONOPLE!$F$14,$M271,BF$13))))</f>
        <v>1000000000000</v>
      </c>
      <c r="BG271" s="181">
        <f ca="1">IF($D271&lt;&gt;"Serviço",0,IF(AND(AUTOEVENTO="Manual",$M271=1),0,IF(OFFSET(CRONOPLE!$F$14,$M271,BG$13)="",10^12,OFFSET(CRONOPLE!$F$14,$M271,BG$13))))</f>
        <v>1000000000000</v>
      </c>
      <c r="BH271" s="181">
        <f ca="1">IF($D271&lt;&gt;"Serviço",0,IF(AND(AUTOEVENTO="Manual",$M271=1),0,IF(OFFSET(CRONOPLE!$F$14,$M271,BH$13)="",10^12,OFFSET(CRONOPLE!$F$14,$M271,BH$13))))</f>
        <v>1000000000000</v>
      </c>
      <c r="BI271" s="181">
        <f ca="1">IF($D271&lt;&gt;"Serviço",0,IF(AND(AUTOEVENTO="Manual",$M271=1),0,IF(OFFSET(CRONOPLE!$F$14,$M271,BI$13)="",10^12,OFFSET(CRONOPLE!$F$14,$M271,BI$13))))</f>
        <v>1000000000000</v>
      </c>
      <c r="BJ271" s="181">
        <f ca="1">IF($D271&lt;&gt;"Serviço",0,IF(AND(AUTOEVENTO="Manual",$M271=1),0,IF(OFFSET(CRONOPLE!$F$14,$M271,BJ$13)="",10^12,OFFSET(CRONOPLE!$F$14,$M271,BJ$13))))</f>
        <v>1000000000000</v>
      </c>
      <c r="BK271" s="181">
        <f ca="1">IF($D271&lt;&gt;"Serviço",0,IF(AND(AUTOEVENTO="Manual",$M271=1),0,IF(OFFSET(CRONOPLE!$F$14,$M271,BK$13)="",10^12,OFFSET(CRONOPLE!$F$14,$M271,BK$13))))</f>
        <v>1000000000000</v>
      </c>
      <c r="BL271" s="181">
        <f ca="1">IF($D271&lt;&gt;"Serviço",0,IF(AND(AUTOEVENTO="Manual",$M271=1),0,IF(OFFSET(CRONOPLE!$F$14,$M271,BL$13)="",10^12,OFFSET(CRONOPLE!$F$14,$M271,BL$13))))</f>
        <v>1000000000000</v>
      </c>
      <c r="BM271" s="181">
        <f ca="1">IF($D271&lt;&gt;"Serviço",0,IF(AND(AUTOEVENTO="Manual",$M271=1),0,IF(OFFSET(CRONOPLE!$F$14,$M271,BM$13)="",10^12,OFFSET(CRONOPLE!$F$14,$M271,BM$13))))</f>
        <v>1000000000000</v>
      </c>
      <c r="BN271" s="181">
        <f ca="1">IF($D271&lt;&gt;"Serviço",0,IF(AND(AUTOEVENTO="Manual",$M271=1),0,IF(OFFSET(CRONOPLE!$F$14,$M271,BN$13)="",10^12,OFFSET(CRONOPLE!$F$14,$M271,BN$13))))</f>
        <v>1000000000000</v>
      </c>
      <c r="BO271" s="181">
        <f ca="1">IF($D271&lt;&gt;"Serviço",0,IF(AND(AUTOEVENTO="Manual",$M271=1),0,IF(OFFSET(CRONOPLE!$F$14,$M271,BO$13)="",10^12,OFFSET(CRONOPLE!$F$14,$M271,BO$13))))</f>
        <v>1000000000000</v>
      </c>
      <c r="BP271" s="181">
        <f ca="1">IF($D271&lt;&gt;"Serviço",0,IF(AND(AUTOEVENTO="Manual",$M271=1),0,IF(OFFSET(CRONOPLE!$F$14,$M271,BP$13)="",10^12,OFFSET(CRONOPLE!$F$14,$M271,BP$13))))</f>
        <v>1000000000000</v>
      </c>
      <c r="BQ271" s="181">
        <f ca="1">IF($D271&lt;&gt;"Serviço",0,IF(AND(AUTOEVENTO="Manual",$M271=1),0,IF(OFFSET(CRONOPLE!$F$14,$M271,BQ$13)="",10^12,OFFSET(CRONOPLE!$F$14,$M271,BQ$13))))</f>
        <v>1000000000000</v>
      </c>
      <c r="BR271" s="181">
        <f ca="1">IF($D271&lt;&gt;"Serviço",0,IF(AND(AUTOEVENTO="Manual",$M271=1),0,IF(OFFSET(CRONOPLE!$F$14,$M271,BR$13)="",10^12,OFFSET(CRONOPLE!$F$14,$M271,BR$13))))</f>
        <v>1000000000000</v>
      </c>
      <c r="BS271" s="181">
        <f ca="1">IF($D271&lt;&gt;"Serviço",0,IF(AND(AUTOEVENTO="Manual",$M271=1),0,IF(OFFSET(CRONOPLE!$F$14,$M271,BS$13)="",10^12,OFFSET(CRONOPLE!$F$14,$M271,BS$13))))</f>
        <v>1000000000000</v>
      </c>
      <c r="BT271" s="181">
        <f ca="1">IF($D271&lt;&gt;"Serviço",0,IF(AND(AUTOEVENTO="Manual",$M271=1),0,IF(OFFSET(CRONOPLE!$F$14,$M271,BT$13)="",10^12,OFFSET(CRONOPLE!$F$14,$M271,BT$13))))</f>
        <v>1000000000000</v>
      </c>
      <c r="BV271" s="182">
        <f ca="1">IF($D271&lt;&gt;"Serviço",0,IF(OR(AND(AUTOEVENTO="Manual",$M271=1),$M271&gt;(ROW(PLE.lastrow)-ROW(PLE.firstrow))),0,IF(OFFSET(PLE!$G$14,$M271,BV$13)="",10^12,OFFSET(PLE!$G$14,$M271,BV$13))))</f>
        <v>1000000000000</v>
      </c>
      <c r="BW271" s="182">
        <f ca="1">IF($D271&lt;&gt;"Serviço",0,IF(OR(AND(AUTOEVENTO="Manual",$M271=1),$M271&gt;(ROW(PLE.lastrow)-ROW(PLE.firstrow))),0,IF(OFFSET(PLE!$G$14,$M271,BW$13)="",10^12,OFFSET(PLE!$G$14,$M271,BW$13))))</f>
        <v>1000000000000</v>
      </c>
      <c r="BX271" s="182">
        <f ca="1">IF($D271&lt;&gt;"Serviço",0,IF(OR(AND(AUTOEVENTO="Manual",$M271=1),$M271&gt;(ROW(PLE.lastrow)-ROW(PLE.firstrow))),0,IF(OFFSET(PLE!$G$14,$M271,BX$13)="",10^12,OFFSET(PLE!$G$14,$M271,BX$13))))</f>
        <v>1000000000000</v>
      </c>
      <c r="BY271" s="182">
        <f ca="1">IF($D271&lt;&gt;"Serviço",0,IF(OR(AND(AUTOEVENTO="Manual",$M271=1),$M271&gt;(ROW(PLE.lastrow)-ROW(PLE.firstrow))),0,IF(OFFSET(PLE!$G$14,$M271,BY$13)="",10^12,OFFSET(PLE!$G$14,$M271,BY$13))))</f>
        <v>1000000000000</v>
      </c>
      <c r="BZ271" s="182">
        <f ca="1">IF($D271&lt;&gt;"Serviço",0,IF(OR(AND(AUTOEVENTO="Manual",$M271=1),$M271&gt;(ROW(PLE.lastrow)-ROW(PLE.firstrow))),0,IF(OFFSET(PLE!$G$14,$M271,BZ$13)="",10^12,OFFSET(PLE!$G$14,$M271,BZ$13))))</f>
        <v>1000000000000</v>
      </c>
      <c r="CA271" s="182">
        <f ca="1">IF($D271&lt;&gt;"Serviço",0,IF(OR(AND(AUTOEVENTO="Manual",$M271=1),$M271&gt;(ROW(PLE.lastrow)-ROW(PLE.firstrow))),0,IF(OFFSET(PLE!$G$14,$M271,CA$13)="",10^12,OFFSET(PLE!$G$14,$M271,CA$13))))</f>
        <v>1000000000000</v>
      </c>
      <c r="CB271" s="182">
        <f ca="1">IF($D271&lt;&gt;"Serviço",0,IF(OR(AND(AUTOEVENTO="Manual",$M271=1),$M271&gt;(ROW(PLE.lastrow)-ROW(PLE.firstrow))),0,IF(OFFSET(PLE!$G$14,$M271,CB$13)="",10^12,OFFSET(PLE!$G$14,$M271,CB$13))))</f>
        <v>1000000000000</v>
      </c>
      <c r="CC271" s="182">
        <f ca="1">IF($D271&lt;&gt;"Serviço",0,IF(OR(AND(AUTOEVENTO="Manual",$M271=1),$M271&gt;(ROW(PLE.lastrow)-ROW(PLE.firstrow))),0,IF(OFFSET(PLE!$G$14,$M271,CC$13)="",10^12,OFFSET(PLE!$G$14,$M271,CC$13))))</f>
        <v>1000000000000</v>
      </c>
      <c r="CD271" s="182">
        <f ca="1">IF($D271&lt;&gt;"Serviço",0,IF(OR(AND(AUTOEVENTO="Manual",$M271=1),$M271&gt;(ROW(PLE.lastrow)-ROW(PLE.firstrow))),0,IF(OFFSET(PLE!$G$14,$M271,CD$13)="",10^12,OFFSET(PLE!$G$14,$M271,CD$13))))</f>
        <v>1000000000000</v>
      </c>
      <c r="CE271" s="182">
        <f ca="1">IF($D271&lt;&gt;"Serviço",0,IF(OR(AND(AUTOEVENTO="Manual",$M271=1),$M271&gt;(ROW(PLE.lastrow)-ROW(PLE.firstrow))),0,IF(OFFSET(PLE!$G$14,$M271,CE$13)="",10^12,OFFSET(PLE!$G$14,$M271,CE$13))))</f>
        <v>1000000000000</v>
      </c>
      <c r="CF271" s="182">
        <f ca="1">IF($D271&lt;&gt;"Serviço",0,IF(OR(AND(AUTOEVENTO="Manual",$M271=1),$M271&gt;(ROW(PLE.lastrow)-ROW(PLE.firstrow))),0,IF(OFFSET(PLE!$G$14,$M271,CF$13)="",10^12,OFFSET(PLE!$G$14,$M271,CF$13))))</f>
        <v>1000000000000</v>
      </c>
      <c r="CG271" s="182">
        <f ca="1">IF($D271&lt;&gt;"Serviço",0,IF(OR(AND(AUTOEVENTO="Manual",$M271=1),$M271&gt;(ROW(PLE.lastrow)-ROW(PLE.firstrow))),0,IF(OFFSET(PLE!$G$14,$M271,CG$13)="",10^12,OFFSET(PLE!$G$14,$M271,CG$13))))</f>
        <v>1000000000000</v>
      </c>
      <c r="CH271" s="182">
        <f ca="1">IF($D271&lt;&gt;"Serviço",0,IF(OR(AND(AUTOEVENTO="Manual",$M271=1),$M271&gt;(ROW(PLE.lastrow)-ROW(PLE.firstrow))),0,IF(OFFSET(PLE!$G$14,$M271,CH$13)="",10^12,OFFSET(PLE!$G$14,$M271,CH$13))))</f>
        <v>1000000000000</v>
      </c>
      <c r="CI271" s="182">
        <f ca="1">IF($D271&lt;&gt;"Serviço",0,IF(OR(AND(AUTOEVENTO="Manual",$M271=1),$M271&gt;(ROW(PLE.lastrow)-ROW(PLE.firstrow))),0,IF(OFFSET(PLE!$G$14,$M271,CI$13)="",10^12,OFFSET(PLE!$G$14,$M271,CI$13))))</f>
        <v>1000000000000</v>
      </c>
      <c r="CJ271" s="182">
        <f ca="1">IF($D271&lt;&gt;"Serviço",0,IF(OR(AND(AUTOEVENTO="Manual",$M271=1),$M271&gt;(ROW(PLE.lastrow)-ROW(PLE.firstrow))),0,IF(OFFSET(PLE!$G$14,$M271,CJ$13)="",10^12,OFFSET(PLE!$G$14,$M271,CJ$13))))</f>
        <v>1000000000000</v>
      </c>
      <c r="CK271" s="182">
        <f ca="1">IF($D271&lt;&gt;"Serviço",0,IF(OR(AND(AUTOEVENTO="Manual",$M271=1),$M271&gt;(ROW(PLE.lastrow)-ROW(PLE.firstrow))),0,IF(OFFSET(PLE!$G$14,$M271,CK$13)="",10^12,OFFSET(PLE!$G$14,$M271,CK$13))))</f>
        <v>1000000000000</v>
      </c>
      <c r="CL271" s="182">
        <f ca="1">IF($D271&lt;&gt;"Serviço",0,IF(OR(AND(AUTOEVENTO="Manual",$M271=1),$M271&gt;(ROW(PLE.lastrow)-ROW(PLE.firstrow))),0,IF(OFFSET(PLE!$G$14,$M271,CL$13)="",10^12,OFFSET(PLE!$G$14,$M271,CL$13))))</f>
        <v>1000000000000</v>
      </c>
      <c r="CM271" s="182">
        <f ca="1">IF($D271&lt;&gt;"Serviço",0,IF(OR(AND(AUTOEVENTO="Manual",$M271=1),$M271&gt;(ROW(PLE.lastrow)-ROW(PLE.firstrow))),0,IF(OFFSET(PLE!$G$14,$M271,CM$13)="",10^12,OFFSET(PLE!$G$14,$M271,CM$13))))</f>
        <v>1000000000000</v>
      </c>
    </row>
    <row r="272" spans="1:91" ht="38.25" x14ac:dyDescent="0.2">
      <c r="A272" s="7" t="str">
        <f t="shared" ca="1" si="12"/>
        <v>232</v>
      </c>
      <c r="B272" s="7" t="str">
        <f ca="1">OFFSET(ORÇAMENTO!C$15,ROW(B272)-ROW(B$15),0)</f>
        <v>S</v>
      </c>
      <c r="C272" s="7" t="str">
        <f ca="1">OFFSET(ORÇAMENTO!L$15,ROW(C272)-ROW(C$15),0)</f>
        <v/>
      </c>
      <c r="D272" s="118" t="str">
        <f ca="1">OFFSET(ORÇAMENTO!N$15,ROW(D272)-ROW(D$15),0)</f>
        <v>Serviço</v>
      </c>
      <c r="E272" s="119" t="str">
        <f ca="1">OFFSET(ORÇAMENTO!O$15,ROW(E272)-ROW(E$15),0)</f>
        <v>-</v>
      </c>
      <c r="F272" s="172" t="str">
        <f ca="1">OFFSET(ORÇAMENTO!R$15,ROW(F272)-ROW(F$15),0)</f>
        <v>(abra o arquivo 'Referência 06-2024.xlsm)</v>
      </c>
      <c r="G272" s="173" t="str">
        <f ca="1">IF($D272&lt;&gt;"Serviço","",OFFSET(ORÇAMENTO!S$15,ROW(G272)-ROW(G$15),0))</f>
        <v>-</v>
      </c>
      <c r="H272" s="124">
        <f ca="1">IF($D272&lt;&gt;"Serviço",0,IF(ACOMPANHAMENTO="BM",ROUND(OFFSET(ORÇAMENTO!AJ$15,ROW(H272)-ROW(H$15),0),15-13*ORÇAMENTO!$AF$7),SUMPRODUCT(($Q$12:$AI$12&lt;&gt;"")*ROUND($Q272:$AI272,15-13*ORÇAMENTO!$AF$7))))</f>
        <v>8</v>
      </c>
      <c r="I272" s="561" t="s">
        <v>1107</v>
      </c>
      <c r="K272" s="174"/>
      <c r="L272" s="175" t="s">
        <v>255</v>
      </c>
      <c r="M272" s="176">
        <f ca="1">IF($D272&lt;&gt;"Serviço","",IF(AUTOEVENTO="manual",$A272,IF(ISERROR(MATCH($A272,$A$15:OFFSET($A272,-1,0),0)),MAX($M$15:OFFSET(M272,-1,0))+1,INDEX($M$15:OFFSET(M272,-1,0),MATCH($A272,$A$15:OFFSET($A272,-1,0),0)))))</f>
        <v>35</v>
      </c>
      <c r="N272" s="177" t="str">
        <f ca="1">IF($D272&lt;&gt;"Serviço","",IF(AUTOEVENTO="Manual",IF($A272=0,"&lt;-- defina o número do agrupador",OFFSET(EVENTOS!$D$14,$A272,0)),OFFSET($F$15,$A272,0)))</f>
        <v>INSTALAÇÃO HIDRÁULICA - TUBULAÇÕES E CONEXÕES DE PVC RÍGIDO</v>
      </c>
      <c r="O272" s="178"/>
      <c r="Q272" s="178">
        <v>8</v>
      </c>
      <c r="R272" s="179"/>
      <c r="S272" s="179"/>
      <c r="T272" s="179"/>
      <c r="U272" s="179"/>
      <c r="V272" s="179"/>
      <c r="W272" s="179"/>
      <c r="X272" s="179"/>
      <c r="Y272" s="179"/>
      <c r="Z272" s="180"/>
      <c r="AA272" s="179"/>
      <c r="AB272" s="179"/>
      <c r="AC272" s="179"/>
      <c r="AD272" s="179"/>
      <c r="AE272" s="179"/>
      <c r="AF272" s="179"/>
      <c r="AG272" s="179"/>
      <c r="AH272" s="180"/>
      <c r="AJ272" s="544">
        <f ca="1">IF(AND($D272="Serviço",AJ$12&lt;&gt;0,$H272&gt;0,OR(AUTOEVENTO&lt;&gt;"manual",$M272&lt;&gt;1)),
IF(Import.TipoArredondamento&lt;&gt;"TransfereGOV",
ROUND(OFFSET($P272,0,AJ$13),15-13*ORÇAMENTO!$AF$7)/$H272*OFFSET(ORÇAMENTO!$X$15,ROW(AJ272)-ROW(AJ$15),0),
ROUND(ROUND(OFFSET($P272,0,AJ$13),15-13*ORÇAMENTO!$AF$7)*OFFSET(ORÇAMENTO!$W$15,ROW(AJ272)-ROW(AJ$15),0),15-13*ORÇAMENTO!$AF$11)),0)</f>
        <v>0</v>
      </c>
      <c r="AK272" s="545">
        <f ca="1">IF(AND($D272="Serviço",AK$12&lt;&gt;0,$H272&gt;0,OR(AUTOEVENTO&lt;&gt;"manual",$M272&lt;&gt;1)),
IF(Import.TipoArredondamento&lt;&gt;"TransfereGOV",
ROUND(OFFSET($P272,0,AK$13),15-13*ORÇAMENTO!$AF$7)/$H272*OFFSET(ORÇAMENTO!$X$15,ROW(AK272)-ROW(AK$15),0),
ROUND(ROUND(OFFSET($P272,0,AK$13),15-13*ORÇAMENTO!$AF$7)*OFFSET(ORÇAMENTO!$W$15,ROW(AK272)-ROW(AK$15),0),15-13*ORÇAMENTO!$AF$11)),0)</f>
        <v>0</v>
      </c>
      <c r="AL272" s="545">
        <f ca="1">IF(AND($D272="Serviço",AL$12&lt;&gt;0,$H272&gt;0,OR(AUTOEVENTO&lt;&gt;"manual",$M272&lt;&gt;1)),
IF(Import.TipoArredondamento&lt;&gt;"TransfereGOV",
ROUND(OFFSET($P272,0,AL$13),15-13*ORÇAMENTO!$AF$7)/$H272*OFFSET(ORÇAMENTO!$X$15,ROW(AL272)-ROW(AL$15),0),
ROUND(ROUND(OFFSET($P272,0,AL$13),15-13*ORÇAMENTO!$AF$7)*OFFSET(ORÇAMENTO!$W$15,ROW(AL272)-ROW(AL$15),0),15-13*ORÇAMENTO!$AF$11)),0)</f>
        <v>0</v>
      </c>
      <c r="AM272" s="545">
        <f ca="1">IF(AND($D272="Serviço",AM$12&lt;&gt;0,$H272&gt;0,OR(AUTOEVENTO&lt;&gt;"manual",$M272&lt;&gt;1)),
IF(Import.TipoArredondamento&lt;&gt;"TransfereGOV",
ROUND(OFFSET($P272,0,AM$13),15-13*ORÇAMENTO!$AF$7)/$H272*OFFSET(ORÇAMENTO!$X$15,ROW(AM272)-ROW(AM$15),0),
ROUND(ROUND(OFFSET($P272,0,AM$13),15-13*ORÇAMENTO!$AF$7)*OFFSET(ORÇAMENTO!$W$15,ROW(AM272)-ROW(AM$15),0),15-13*ORÇAMENTO!$AF$11)),0)</f>
        <v>0</v>
      </c>
      <c r="AN272" s="545">
        <f ca="1">IF(AND($D272="Serviço",AN$12&lt;&gt;0,$H272&gt;0,OR(AUTOEVENTO&lt;&gt;"manual",$M272&lt;&gt;1)),
IF(Import.TipoArredondamento&lt;&gt;"TransfereGOV",
ROUND(OFFSET($P272,0,AN$13),15-13*ORÇAMENTO!$AF$7)/$H272*OFFSET(ORÇAMENTO!$X$15,ROW(AN272)-ROW(AN$15),0),
ROUND(ROUND(OFFSET($P272,0,AN$13),15-13*ORÇAMENTO!$AF$7)*OFFSET(ORÇAMENTO!$W$15,ROW(AN272)-ROW(AN$15),0),15-13*ORÇAMENTO!$AF$11)),0)</f>
        <v>0</v>
      </c>
      <c r="AO272" s="545">
        <f ca="1">IF(AND($D272="Serviço",AO$12&lt;&gt;0,$H272&gt;0,OR(AUTOEVENTO&lt;&gt;"manual",$M272&lt;&gt;1)),
IF(Import.TipoArredondamento&lt;&gt;"TransfereGOV",
ROUND(OFFSET($P272,0,AO$13),15-13*ORÇAMENTO!$AF$7)/$H272*OFFSET(ORÇAMENTO!$X$15,ROW(AO272)-ROW(AO$15),0),
ROUND(ROUND(OFFSET($P272,0,AO$13),15-13*ORÇAMENTO!$AF$7)*OFFSET(ORÇAMENTO!$W$15,ROW(AO272)-ROW(AO$15),0),15-13*ORÇAMENTO!$AF$11)),0)</f>
        <v>0</v>
      </c>
      <c r="AP272" s="545">
        <f ca="1">IF(AND($D272="Serviço",AP$12&lt;&gt;0,$H272&gt;0,OR(AUTOEVENTO&lt;&gt;"manual",$M272&lt;&gt;1)),
IF(Import.TipoArredondamento&lt;&gt;"TransfereGOV",
ROUND(OFFSET($P272,0,AP$13),15-13*ORÇAMENTO!$AF$7)/$H272*OFFSET(ORÇAMENTO!$X$15,ROW(AP272)-ROW(AP$15),0),
ROUND(ROUND(OFFSET($P272,0,AP$13),15-13*ORÇAMENTO!$AF$7)*OFFSET(ORÇAMENTO!$W$15,ROW(AP272)-ROW(AP$15),0),15-13*ORÇAMENTO!$AF$11)),0)</f>
        <v>0</v>
      </c>
      <c r="AQ272" s="545">
        <f ca="1">IF(AND($D272="Serviço",AQ$12&lt;&gt;0,$H272&gt;0,OR(AUTOEVENTO&lt;&gt;"manual",$M272&lt;&gt;1)),
IF(Import.TipoArredondamento&lt;&gt;"TransfereGOV",
ROUND(OFFSET($P272,0,AQ$13),15-13*ORÇAMENTO!$AF$7)/$H272*OFFSET(ORÇAMENTO!$X$15,ROW(AQ272)-ROW(AQ$15),0),
ROUND(ROUND(OFFSET($P272,0,AQ$13),15-13*ORÇAMENTO!$AF$7)*OFFSET(ORÇAMENTO!$W$15,ROW(AQ272)-ROW(AQ$15),0),15-13*ORÇAMENTO!$AF$11)),0)</f>
        <v>0</v>
      </c>
      <c r="AR272" s="545">
        <f ca="1">IF(AND($D272="Serviço",AR$12&lt;&gt;0,$H272&gt;0,OR(AUTOEVENTO&lt;&gt;"manual",$M272&lt;&gt;1)),
IF(Import.TipoArredondamento&lt;&gt;"TransfereGOV",
ROUND(OFFSET($P272,0,AR$13),15-13*ORÇAMENTO!$AF$7)/$H272*OFFSET(ORÇAMENTO!$X$15,ROW(AR272)-ROW(AR$15),0),
ROUND(ROUND(OFFSET($P272,0,AR$13),15-13*ORÇAMENTO!$AF$7)*OFFSET(ORÇAMENTO!$W$15,ROW(AR272)-ROW(AR$15),0),15-13*ORÇAMENTO!$AF$11)),0)</f>
        <v>0</v>
      </c>
      <c r="AS272" s="546">
        <f ca="1">IF(AND($D272="Serviço",AS$12&lt;&gt;0,$H272&gt;0,OR(AUTOEVENTO&lt;&gt;"manual",$M272&lt;&gt;1)),
IF(Import.TipoArredondamento&lt;&gt;"TransfereGOV",
ROUND(OFFSET($P272,0,AS$13),15-13*ORÇAMENTO!$AF$7)/$H272*OFFSET(ORÇAMENTO!$X$15,ROW(AS272)-ROW(AS$15),0),
ROUND(ROUND(OFFSET($P272,0,AS$13),15-13*ORÇAMENTO!$AF$7)*OFFSET(ORÇAMENTO!$W$15,ROW(AS272)-ROW(AS$15),0),15-13*ORÇAMENTO!$AF$11)),0)</f>
        <v>0</v>
      </c>
      <c r="AT272" s="545">
        <f ca="1">IF(AND($D272="Serviço",AT$12&lt;&gt;0,$H272&gt;0,OR(AUTOEVENTO&lt;&gt;"manual",$M272&lt;&gt;1)),
IF(Import.TipoArredondamento&lt;&gt;"TransfereGOV",
ROUND(OFFSET($P272,0,AT$13),15-13*ORÇAMENTO!$AF$7)/$H272*OFFSET(ORÇAMENTO!$X$15,ROW(AT272)-ROW(AT$15),0),
ROUND(ROUND(OFFSET($P272,0,AT$13),15-13*ORÇAMENTO!$AF$7)*OFFSET(ORÇAMENTO!$W$15,ROW(AT272)-ROW(AT$15),0),15-13*ORÇAMENTO!$AF$11)),0)</f>
        <v>0</v>
      </c>
      <c r="AU272" s="545">
        <f ca="1">IF(AND($D272="Serviço",AU$12&lt;&gt;0,$H272&gt;0,OR(AUTOEVENTO&lt;&gt;"manual",$M272&lt;&gt;1)),
IF(Import.TipoArredondamento&lt;&gt;"TransfereGOV",
ROUND(OFFSET($P272,0,AU$13),15-13*ORÇAMENTO!$AF$7)/$H272*OFFSET(ORÇAMENTO!$X$15,ROW(AU272)-ROW(AU$15),0),
ROUND(ROUND(OFFSET($P272,0,AU$13),15-13*ORÇAMENTO!$AF$7)*OFFSET(ORÇAMENTO!$W$15,ROW(AU272)-ROW(AU$15),0),15-13*ORÇAMENTO!$AF$11)),0)</f>
        <v>0</v>
      </c>
      <c r="AV272" s="545">
        <f ca="1">IF(AND($D272="Serviço",AV$12&lt;&gt;0,$H272&gt;0,OR(AUTOEVENTO&lt;&gt;"manual",$M272&lt;&gt;1)),
IF(Import.TipoArredondamento&lt;&gt;"TransfereGOV",
ROUND(OFFSET($P272,0,AV$13),15-13*ORÇAMENTO!$AF$7)/$H272*OFFSET(ORÇAMENTO!$X$15,ROW(AV272)-ROW(AV$15),0),
ROUND(ROUND(OFFSET($P272,0,AV$13),15-13*ORÇAMENTO!$AF$7)*OFFSET(ORÇAMENTO!$W$15,ROW(AV272)-ROW(AV$15),0),15-13*ORÇAMENTO!$AF$11)),0)</f>
        <v>0</v>
      </c>
      <c r="AW272" s="545">
        <f ca="1">IF(AND($D272="Serviço",AW$12&lt;&gt;0,$H272&gt;0,OR(AUTOEVENTO&lt;&gt;"manual",$M272&lt;&gt;1)),
IF(Import.TipoArredondamento&lt;&gt;"TransfereGOV",
ROUND(OFFSET($P272,0,AW$13),15-13*ORÇAMENTO!$AF$7)/$H272*OFFSET(ORÇAMENTO!$X$15,ROW(AW272)-ROW(AW$15),0),
ROUND(ROUND(OFFSET($P272,0,AW$13),15-13*ORÇAMENTO!$AF$7)*OFFSET(ORÇAMENTO!$W$15,ROW(AW272)-ROW(AW$15),0),15-13*ORÇAMENTO!$AF$11)),0)</f>
        <v>0</v>
      </c>
      <c r="AX272" s="545">
        <f ca="1">IF(AND($D272="Serviço",AX$12&lt;&gt;0,$H272&gt;0,OR(AUTOEVENTO&lt;&gt;"manual",$M272&lt;&gt;1)),
IF(Import.TipoArredondamento&lt;&gt;"TransfereGOV",
ROUND(OFFSET($P272,0,AX$13),15-13*ORÇAMENTO!$AF$7)/$H272*OFFSET(ORÇAMENTO!$X$15,ROW(AX272)-ROW(AX$15),0),
ROUND(ROUND(OFFSET($P272,0,AX$13),15-13*ORÇAMENTO!$AF$7)*OFFSET(ORÇAMENTO!$W$15,ROW(AX272)-ROW(AX$15),0),15-13*ORÇAMENTO!$AF$11)),0)</f>
        <v>0</v>
      </c>
      <c r="AY272" s="545">
        <f ca="1">IF(AND($D272="Serviço",AY$12&lt;&gt;0,$H272&gt;0,OR(AUTOEVENTO&lt;&gt;"manual",$M272&lt;&gt;1)),
IF(Import.TipoArredondamento&lt;&gt;"TransfereGOV",
ROUND(OFFSET($P272,0,AY$13),15-13*ORÇAMENTO!$AF$7)/$H272*OFFSET(ORÇAMENTO!$X$15,ROW(AY272)-ROW(AY$15),0),
ROUND(ROUND(OFFSET($P272,0,AY$13),15-13*ORÇAMENTO!$AF$7)*OFFSET(ORÇAMENTO!$W$15,ROW(AY272)-ROW(AY$15),0),15-13*ORÇAMENTO!$AF$11)),0)</f>
        <v>0</v>
      </c>
      <c r="AZ272" s="545">
        <f ca="1">IF(AND($D272="Serviço",AZ$12&lt;&gt;0,$H272&gt;0,OR(AUTOEVENTO&lt;&gt;"manual",$M272&lt;&gt;1)),
IF(Import.TipoArredondamento&lt;&gt;"TransfereGOV",
ROUND(OFFSET($P272,0,AZ$13),15-13*ORÇAMENTO!$AF$7)/$H272*OFFSET(ORÇAMENTO!$X$15,ROW(AZ272)-ROW(AZ$15),0),
ROUND(ROUND(OFFSET($P272,0,AZ$13),15-13*ORÇAMENTO!$AF$7)*OFFSET(ORÇAMENTO!$W$15,ROW(AZ272)-ROW(AZ$15),0),15-13*ORÇAMENTO!$AF$11)),0)</f>
        <v>0</v>
      </c>
      <c r="BA272" s="546">
        <f ca="1">IF(AND($D272="Serviço",BA$12&lt;&gt;0,$H272&gt;0,OR(AUTOEVENTO&lt;&gt;"manual",$M272&lt;&gt;1)),
IF(Import.TipoArredondamento&lt;&gt;"TransfereGOV",
ROUND(OFFSET($P272,0,BA$13),15-13*ORÇAMENTO!$AF$7)/$H272*OFFSET(ORÇAMENTO!$X$15,ROW(BA272)-ROW(BA$15),0),
ROUND(ROUND(OFFSET($P272,0,BA$13),15-13*ORÇAMENTO!$AF$7)*OFFSET(ORÇAMENTO!$W$15,ROW(BA272)-ROW(BA$15),0),15-13*ORÇAMENTO!$AF$11)),0)</f>
        <v>0</v>
      </c>
      <c r="BC272" s="181">
        <f ca="1">IF($D272&lt;&gt;"Serviço",0,IF(AND(AUTOEVENTO="Manual",$M272=1),0,IF(OFFSET(CRONOPLE!$F$14,$M272,BC$13)="",10^12,OFFSET(CRONOPLE!$F$14,$M272,BC$13))))</f>
        <v>9</v>
      </c>
      <c r="BD272" s="181">
        <f ca="1">IF($D272&lt;&gt;"Serviço",0,IF(AND(AUTOEVENTO="Manual",$M272=1),0,IF(OFFSET(CRONOPLE!$F$14,$M272,BD$13)="",10^12,OFFSET(CRONOPLE!$F$14,$M272,BD$13))))</f>
        <v>1000000000000</v>
      </c>
      <c r="BE272" s="181">
        <f ca="1">IF($D272&lt;&gt;"Serviço",0,IF(AND(AUTOEVENTO="Manual",$M272=1),0,IF(OFFSET(CRONOPLE!$F$14,$M272,BE$13)="",10^12,OFFSET(CRONOPLE!$F$14,$M272,BE$13))))</f>
        <v>1000000000000</v>
      </c>
      <c r="BF272" s="181">
        <f ca="1">IF($D272&lt;&gt;"Serviço",0,IF(AND(AUTOEVENTO="Manual",$M272=1),0,IF(OFFSET(CRONOPLE!$F$14,$M272,BF$13)="",10^12,OFFSET(CRONOPLE!$F$14,$M272,BF$13))))</f>
        <v>1000000000000</v>
      </c>
      <c r="BG272" s="181">
        <f ca="1">IF($D272&lt;&gt;"Serviço",0,IF(AND(AUTOEVENTO="Manual",$M272=1),0,IF(OFFSET(CRONOPLE!$F$14,$M272,BG$13)="",10^12,OFFSET(CRONOPLE!$F$14,$M272,BG$13))))</f>
        <v>1000000000000</v>
      </c>
      <c r="BH272" s="181">
        <f ca="1">IF($D272&lt;&gt;"Serviço",0,IF(AND(AUTOEVENTO="Manual",$M272=1),0,IF(OFFSET(CRONOPLE!$F$14,$M272,BH$13)="",10^12,OFFSET(CRONOPLE!$F$14,$M272,BH$13))))</f>
        <v>1000000000000</v>
      </c>
      <c r="BI272" s="181">
        <f ca="1">IF($D272&lt;&gt;"Serviço",0,IF(AND(AUTOEVENTO="Manual",$M272=1),0,IF(OFFSET(CRONOPLE!$F$14,$M272,BI$13)="",10^12,OFFSET(CRONOPLE!$F$14,$M272,BI$13))))</f>
        <v>1000000000000</v>
      </c>
      <c r="BJ272" s="181">
        <f ca="1">IF($D272&lt;&gt;"Serviço",0,IF(AND(AUTOEVENTO="Manual",$M272=1),0,IF(OFFSET(CRONOPLE!$F$14,$M272,BJ$13)="",10^12,OFFSET(CRONOPLE!$F$14,$M272,BJ$13))))</f>
        <v>1000000000000</v>
      </c>
      <c r="BK272" s="181">
        <f ca="1">IF($D272&lt;&gt;"Serviço",0,IF(AND(AUTOEVENTO="Manual",$M272=1),0,IF(OFFSET(CRONOPLE!$F$14,$M272,BK$13)="",10^12,OFFSET(CRONOPLE!$F$14,$M272,BK$13))))</f>
        <v>1000000000000</v>
      </c>
      <c r="BL272" s="181">
        <f ca="1">IF($D272&lt;&gt;"Serviço",0,IF(AND(AUTOEVENTO="Manual",$M272=1),0,IF(OFFSET(CRONOPLE!$F$14,$M272,BL$13)="",10^12,OFFSET(CRONOPLE!$F$14,$M272,BL$13))))</f>
        <v>1000000000000</v>
      </c>
      <c r="BM272" s="181">
        <f ca="1">IF($D272&lt;&gt;"Serviço",0,IF(AND(AUTOEVENTO="Manual",$M272=1),0,IF(OFFSET(CRONOPLE!$F$14,$M272,BM$13)="",10^12,OFFSET(CRONOPLE!$F$14,$M272,BM$13))))</f>
        <v>1000000000000</v>
      </c>
      <c r="BN272" s="181">
        <f ca="1">IF($D272&lt;&gt;"Serviço",0,IF(AND(AUTOEVENTO="Manual",$M272=1),0,IF(OFFSET(CRONOPLE!$F$14,$M272,BN$13)="",10^12,OFFSET(CRONOPLE!$F$14,$M272,BN$13))))</f>
        <v>1000000000000</v>
      </c>
      <c r="BO272" s="181">
        <f ca="1">IF($D272&lt;&gt;"Serviço",0,IF(AND(AUTOEVENTO="Manual",$M272=1),0,IF(OFFSET(CRONOPLE!$F$14,$M272,BO$13)="",10^12,OFFSET(CRONOPLE!$F$14,$M272,BO$13))))</f>
        <v>1000000000000</v>
      </c>
      <c r="BP272" s="181">
        <f ca="1">IF($D272&lt;&gt;"Serviço",0,IF(AND(AUTOEVENTO="Manual",$M272=1),0,IF(OFFSET(CRONOPLE!$F$14,$M272,BP$13)="",10^12,OFFSET(CRONOPLE!$F$14,$M272,BP$13))))</f>
        <v>1000000000000</v>
      </c>
      <c r="BQ272" s="181">
        <f ca="1">IF($D272&lt;&gt;"Serviço",0,IF(AND(AUTOEVENTO="Manual",$M272=1),0,IF(OFFSET(CRONOPLE!$F$14,$M272,BQ$13)="",10^12,OFFSET(CRONOPLE!$F$14,$M272,BQ$13))))</f>
        <v>1000000000000</v>
      </c>
      <c r="BR272" s="181">
        <f ca="1">IF($D272&lt;&gt;"Serviço",0,IF(AND(AUTOEVENTO="Manual",$M272=1),0,IF(OFFSET(CRONOPLE!$F$14,$M272,BR$13)="",10^12,OFFSET(CRONOPLE!$F$14,$M272,BR$13))))</f>
        <v>1000000000000</v>
      </c>
      <c r="BS272" s="181">
        <f ca="1">IF($D272&lt;&gt;"Serviço",0,IF(AND(AUTOEVENTO="Manual",$M272=1),0,IF(OFFSET(CRONOPLE!$F$14,$M272,BS$13)="",10^12,OFFSET(CRONOPLE!$F$14,$M272,BS$13))))</f>
        <v>1000000000000</v>
      </c>
      <c r="BT272" s="181">
        <f ca="1">IF($D272&lt;&gt;"Serviço",0,IF(AND(AUTOEVENTO="Manual",$M272=1),0,IF(OFFSET(CRONOPLE!$F$14,$M272,BT$13)="",10^12,OFFSET(CRONOPLE!$F$14,$M272,BT$13))))</f>
        <v>1000000000000</v>
      </c>
      <c r="BV272" s="182">
        <f ca="1">IF($D272&lt;&gt;"Serviço",0,IF(OR(AND(AUTOEVENTO="Manual",$M272=1),$M272&gt;(ROW(PLE.lastrow)-ROW(PLE.firstrow))),0,IF(OFFSET(PLE!$G$14,$M272,BV$13)="",10^12,OFFSET(PLE!$G$14,$M272,BV$13))))</f>
        <v>1000000000000</v>
      </c>
      <c r="BW272" s="182">
        <f ca="1">IF($D272&lt;&gt;"Serviço",0,IF(OR(AND(AUTOEVENTO="Manual",$M272=1),$M272&gt;(ROW(PLE.lastrow)-ROW(PLE.firstrow))),0,IF(OFFSET(PLE!$G$14,$M272,BW$13)="",10^12,OFFSET(PLE!$G$14,$M272,BW$13))))</f>
        <v>1000000000000</v>
      </c>
      <c r="BX272" s="182">
        <f ca="1">IF($D272&lt;&gt;"Serviço",0,IF(OR(AND(AUTOEVENTO="Manual",$M272=1),$M272&gt;(ROW(PLE.lastrow)-ROW(PLE.firstrow))),0,IF(OFFSET(PLE!$G$14,$M272,BX$13)="",10^12,OFFSET(PLE!$G$14,$M272,BX$13))))</f>
        <v>1000000000000</v>
      </c>
      <c r="BY272" s="182">
        <f ca="1">IF($D272&lt;&gt;"Serviço",0,IF(OR(AND(AUTOEVENTO="Manual",$M272=1),$M272&gt;(ROW(PLE.lastrow)-ROW(PLE.firstrow))),0,IF(OFFSET(PLE!$G$14,$M272,BY$13)="",10^12,OFFSET(PLE!$G$14,$M272,BY$13))))</f>
        <v>1000000000000</v>
      </c>
      <c r="BZ272" s="182">
        <f ca="1">IF($D272&lt;&gt;"Serviço",0,IF(OR(AND(AUTOEVENTO="Manual",$M272=1),$M272&gt;(ROW(PLE.lastrow)-ROW(PLE.firstrow))),0,IF(OFFSET(PLE!$G$14,$M272,BZ$13)="",10^12,OFFSET(PLE!$G$14,$M272,BZ$13))))</f>
        <v>1000000000000</v>
      </c>
      <c r="CA272" s="182">
        <f ca="1">IF($D272&lt;&gt;"Serviço",0,IF(OR(AND(AUTOEVENTO="Manual",$M272=1),$M272&gt;(ROW(PLE.lastrow)-ROW(PLE.firstrow))),0,IF(OFFSET(PLE!$G$14,$M272,CA$13)="",10^12,OFFSET(PLE!$G$14,$M272,CA$13))))</f>
        <v>1000000000000</v>
      </c>
      <c r="CB272" s="182">
        <f ca="1">IF($D272&lt;&gt;"Serviço",0,IF(OR(AND(AUTOEVENTO="Manual",$M272=1),$M272&gt;(ROW(PLE.lastrow)-ROW(PLE.firstrow))),0,IF(OFFSET(PLE!$G$14,$M272,CB$13)="",10^12,OFFSET(PLE!$G$14,$M272,CB$13))))</f>
        <v>1000000000000</v>
      </c>
      <c r="CC272" s="182">
        <f ca="1">IF($D272&lt;&gt;"Serviço",0,IF(OR(AND(AUTOEVENTO="Manual",$M272=1),$M272&gt;(ROW(PLE.lastrow)-ROW(PLE.firstrow))),0,IF(OFFSET(PLE!$G$14,$M272,CC$13)="",10^12,OFFSET(PLE!$G$14,$M272,CC$13))))</f>
        <v>1000000000000</v>
      </c>
      <c r="CD272" s="182">
        <f ca="1">IF($D272&lt;&gt;"Serviço",0,IF(OR(AND(AUTOEVENTO="Manual",$M272=1),$M272&gt;(ROW(PLE.lastrow)-ROW(PLE.firstrow))),0,IF(OFFSET(PLE!$G$14,$M272,CD$13)="",10^12,OFFSET(PLE!$G$14,$M272,CD$13))))</f>
        <v>1000000000000</v>
      </c>
      <c r="CE272" s="182">
        <f ca="1">IF($D272&lt;&gt;"Serviço",0,IF(OR(AND(AUTOEVENTO="Manual",$M272=1),$M272&gt;(ROW(PLE.lastrow)-ROW(PLE.firstrow))),0,IF(OFFSET(PLE!$G$14,$M272,CE$13)="",10^12,OFFSET(PLE!$G$14,$M272,CE$13))))</f>
        <v>1000000000000</v>
      </c>
      <c r="CF272" s="182">
        <f ca="1">IF($D272&lt;&gt;"Serviço",0,IF(OR(AND(AUTOEVENTO="Manual",$M272=1),$M272&gt;(ROW(PLE.lastrow)-ROW(PLE.firstrow))),0,IF(OFFSET(PLE!$G$14,$M272,CF$13)="",10^12,OFFSET(PLE!$G$14,$M272,CF$13))))</f>
        <v>1000000000000</v>
      </c>
      <c r="CG272" s="182">
        <f ca="1">IF($D272&lt;&gt;"Serviço",0,IF(OR(AND(AUTOEVENTO="Manual",$M272=1),$M272&gt;(ROW(PLE.lastrow)-ROW(PLE.firstrow))),0,IF(OFFSET(PLE!$G$14,$M272,CG$13)="",10^12,OFFSET(PLE!$G$14,$M272,CG$13))))</f>
        <v>1000000000000</v>
      </c>
      <c r="CH272" s="182">
        <f ca="1">IF($D272&lt;&gt;"Serviço",0,IF(OR(AND(AUTOEVENTO="Manual",$M272=1),$M272&gt;(ROW(PLE.lastrow)-ROW(PLE.firstrow))),0,IF(OFFSET(PLE!$G$14,$M272,CH$13)="",10^12,OFFSET(PLE!$G$14,$M272,CH$13))))</f>
        <v>1000000000000</v>
      </c>
      <c r="CI272" s="182">
        <f ca="1">IF($D272&lt;&gt;"Serviço",0,IF(OR(AND(AUTOEVENTO="Manual",$M272=1),$M272&gt;(ROW(PLE.lastrow)-ROW(PLE.firstrow))),0,IF(OFFSET(PLE!$G$14,$M272,CI$13)="",10^12,OFFSET(PLE!$G$14,$M272,CI$13))))</f>
        <v>1000000000000</v>
      </c>
      <c r="CJ272" s="182">
        <f ca="1">IF($D272&lt;&gt;"Serviço",0,IF(OR(AND(AUTOEVENTO="Manual",$M272=1),$M272&gt;(ROW(PLE.lastrow)-ROW(PLE.firstrow))),0,IF(OFFSET(PLE!$G$14,$M272,CJ$13)="",10^12,OFFSET(PLE!$G$14,$M272,CJ$13))))</f>
        <v>1000000000000</v>
      </c>
      <c r="CK272" s="182">
        <f ca="1">IF($D272&lt;&gt;"Serviço",0,IF(OR(AND(AUTOEVENTO="Manual",$M272=1),$M272&gt;(ROW(PLE.lastrow)-ROW(PLE.firstrow))),0,IF(OFFSET(PLE!$G$14,$M272,CK$13)="",10^12,OFFSET(PLE!$G$14,$M272,CK$13))))</f>
        <v>1000000000000</v>
      </c>
      <c r="CL272" s="182">
        <f ca="1">IF($D272&lt;&gt;"Serviço",0,IF(OR(AND(AUTOEVENTO="Manual",$M272=1),$M272&gt;(ROW(PLE.lastrow)-ROW(PLE.firstrow))),0,IF(OFFSET(PLE!$G$14,$M272,CL$13)="",10^12,OFFSET(PLE!$G$14,$M272,CL$13))))</f>
        <v>1000000000000</v>
      </c>
      <c r="CM272" s="182">
        <f ca="1">IF($D272&lt;&gt;"Serviço",0,IF(OR(AND(AUTOEVENTO="Manual",$M272=1),$M272&gt;(ROW(PLE.lastrow)-ROW(PLE.firstrow))),0,IF(OFFSET(PLE!$G$14,$M272,CM$13)="",10^12,OFFSET(PLE!$G$14,$M272,CM$13))))</f>
        <v>1000000000000</v>
      </c>
    </row>
    <row r="273" spans="1:91" ht="38.25" x14ac:dyDescent="0.2">
      <c r="A273" s="7" t="str">
        <f t="shared" ca="1" si="12"/>
        <v>232</v>
      </c>
      <c r="B273" s="7" t="str">
        <f ca="1">OFFSET(ORÇAMENTO!C$15,ROW(B273)-ROW(B$15),0)</f>
        <v>S</v>
      </c>
      <c r="C273" s="7" t="str">
        <f ca="1">OFFSET(ORÇAMENTO!L$15,ROW(C273)-ROW(C$15),0)</f>
        <v/>
      </c>
      <c r="D273" s="118" t="str">
        <f ca="1">OFFSET(ORÇAMENTO!N$15,ROW(D273)-ROW(D$15),0)</f>
        <v>Serviço</v>
      </c>
      <c r="E273" s="119" t="str">
        <f ca="1">OFFSET(ORÇAMENTO!O$15,ROW(E273)-ROW(E$15),0)</f>
        <v>-</v>
      </c>
      <c r="F273" s="172" t="str">
        <f ca="1">OFFSET(ORÇAMENTO!R$15,ROW(F273)-ROW(F$15),0)</f>
        <v>(abra o arquivo 'Referência 06-2024.xlsm)</v>
      </c>
      <c r="G273" s="173" t="str">
        <f ca="1">IF($D273&lt;&gt;"Serviço","",OFFSET(ORÇAMENTO!S$15,ROW(G273)-ROW(G$15),0))</f>
        <v>-</v>
      </c>
      <c r="H273" s="124">
        <f ca="1">IF($D273&lt;&gt;"Serviço",0,IF(ACOMPANHAMENTO="BM",ROUND(OFFSET(ORÇAMENTO!AJ$15,ROW(H273)-ROW(H$15),0),15-13*ORÇAMENTO!$AF$7),SUMPRODUCT(($Q$12:$AI$12&lt;&gt;"")*ROUND($Q273:$AI273,15-13*ORÇAMENTO!$AF$7))))</f>
        <v>3</v>
      </c>
      <c r="I273" s="561" t="s">
        <v>1107</v>
      </c>
      <c r="K273" s="174"/>
      <c r="L273" s="175" t="s">
        <v>255</v>
      </c>
      <c r="M273" s="176">
        <f ca="1">IF($D273&lt;&gt;"Serviço","",IF(AUTOEVENTO="manual",$A273,IF(ISERROR(MATCH($A273,$A$15:OFFSET($A273,-1,0),0)),MAX($M$15:OFFSET(M273,-1,0))+1,INDEX($M$15:OFFSET(M273,-1,0),MATCH($A273,$A$15:OFFSET($A273,-1,0),0)))))</f>
        <v>35</v>
      </c>
      <c r="N273" s="177" t="str">
        <f ca="1">IF($D273&lt;&gt;"Serviço","",IF(AUTOEVENTO="Manual",IF($A273=0,"&lt;-- defina o número do agrupador",OFFSET(EVENTOS!$D$14,$A273,0)),OFFSET($F$15,$A273,0)))</f>
        <v>INSTALAÇÃO HIDRÁULICA - TUBULAÇÕES E CONEXÕES DE PVC RÍGIDO</v>
      </c>
      <c r="O273" s="178"/>
      <c r="Q273" s="178">
        <v>3</v>
      </c>
      <c r="R273" s="179"/>
      <c r="S273" s="179"/>
      <c r="T273" s="179"/>
      <c r="U273" s="179"/>
      <c r="V273" s="179"/>
      <c r="W273" s="179"/>
      <c r="X273" s="179"/>
      <c r="Y273" s="179"/>
      <c r="Z273" s="180"/>
      <c r="AA273" s="179"/>
      <c r="AB273" s="179"/>
      <c r="AC273" s="179"/>
      <c r="AD273" s="179"/>
      <c r="AE273" s="179"/>
      <c r="AF273" s="179"/>
      <c r="AG273" s="179"/>
      <c r="AH273" s="180"/>
      <c r="AJ273" s="544">
        <f ca="1">IF(AND($D273="Serviço",AJ$12&lt;&gt;0,$H273&gt;0,OR(AUTOEVENTO&lt;&gt;"manual",$M273&lt;&gt;1)),
IF(Import.TipoArredondamento&lt;&gt;"TransfereGOV",
ROUND(OFFSET($P273,0,AJ$13),15-13*ORÇAMENTO!$AF$7)/$H273*OFFSET(ORÇAMENTO!$X$15,ROW(AJ273)-ROW(AJ$15),0),
ROUND(ROUND(OFFSET($P273,0,AJ$13),15-13*ORÇAMENTO!$AF$7)*OFFSET(ORÇAMENTO!$W$15,ROW(AJ273)-ROW(AJ$15),0),15-13*ORÇAMENTO!$AF$11)),0)</f>
        <v>0</v>
      </c>
      <c r="AK273" s="545">
        <f ca="1">IF(AND($D273="Serviço",AK$12&lt;&gt;0,$H273&gt;0,OR(AUTOEVENTO&lt;&gt;"manual",$M273&lt;&gt;1)),
IF(Import.TipoArredondamento&lt;&gt;"TransfereGOV",
ROUND(OFFSET($P273,0,AK$13),15-13*ORÇAMENTO!$AF$7)/$H273*OFFSET(ORÇAMENTO!$X$15,ROW(AK273)-ROW(AK$15),0),
ROUND(ROUND(OFFSET($P273,0,AK$13),15-13*ORÇAMENTO!$AF$7)*OFFSET(ORÇAMENTO!$W$15,ROW(AK273)-ROW(AK$15),0),15-13*ORÇAMENTO!$AF$11)),0)</f>
        <v>0</v>
      </c>
      <c r="AL273" s="545">
        <f ca="1">IF(AND($D273="Serviço",AL$12&lt;&gt;0,$H273&gt;0,OR(AUTOEVENTO&lt;&gt;"manual",$M273&lt;&gt;1)),
IF(Import.TipoArredondamento&lt;&gt;"TransfereGOV",
ROUND(OFFSET($P273,0,AL$13),15-13*ORÇAMENTO!$AF$7)/$H273*OFFSET(ORÇAMENTO!$X$15,ROW(AL273)-ROW(AL$15),0),
ROUND(ROUND(OFFSET($P273,0,AL$13),15-13*ORÇAMENTO!$AF$7)*OFFSET(ORÇAMENTO!$W$15,ROW(AL273)-ROW(AL$15),0),15-13*ORÇAMENTO!$AF$11)),0)</f>
        <v>0</v>
      </c>
      <c r="AM273" s="545">
        <f ca="1">IF(AND($D273="Serviço",AM$12&lt;&gt;0,$H273&gt;0,OR(AUTOEVENTO&lt;&gt;"manual",$M273&lt;&gt;1)),
IF(Import.TipoArredondamento&lt;&gt;"TransfereGOV",
ROUND(OFFSET($P273,0,AM$13),15-13*ORÇAMENTO!$AF$7)/$H273*OFFSET(ORÇAMENTO!$X$15,ROW(AM273)-ROW(AM$15),0),
ROUND(ROUND(OFFSET($P273,0,AM$13),15-13*ORÇAMENTO!$AF$7)*OFFSET(ORÇAMENTO!$W$15,ROW(AM273)-ROW(AM$15),0),15-13*ORÇAMENTO!$AF$11)),0)</f>
        <v>0</v>
      </c>
      <c r="AN273" s="545">
        <f ca="1">IF(AND($D273="Serviço",AN$12&lt;&gt;0,$H273&gt;0,OR(AUTOEVENTO&lt;&gt;"manual",$M273&lt;&gt;1)),
IF(Import.TipoArredondamento&lt;&gt;"TransfereGOV",
ROUND(OFFSET($P273,0,AN$13),15-13*ORÇAMENTO!$AF$7)/$H273*OFFSET(ORÇAMENTO!$X$15,ROW(AN273)-ROW(AN$15),0),
ROUND(ROUND(OFFSET($P273,0,AN$13),15-13*ORÇAMENTO!$AF$7)*OFFSET(ORÇAMENTO!$W$15,ROW(AN273)-ROW(AN$15),0),15-13*ORÇAMENTO!$AF$11)),0)</f>
        <v>0</v>
      </c>
      <c r="AO273" s="545">
        <f ca="1">IF(AND($D273="Serviço",AO$12&lt;&gt;0,$H273&gt;0,OR(AUTOEVENTO&lt;&gt;"manual",$M273&lt;&gt;1)),
IF(Import.TipoArredondamento&lt;&gt;"TransfereGOV",
ROUND(OFFSET($P273,0,AO$13),15-13*ORÇAMENTO!$AF$7)/$H273*OFFSET(ORÇAMENTO!$X$15,ROW(AO273)-ROW(AO$15),0),
ROUND(ROUND(OFFSET($P273,0,AO$13),15-13*ORÇAMENTO!$AF$7)*OFFSET(ORÇAMENTO!$W$15,ROW(AO273)-ROW(AO$15),0),15-13*ORÇAMENTO!$AF$11)),0)</f>
        <v>0</v>
      </c>
      <c r="AP273" s="545">
        <f ca="1">IF(AND($D273="Serviço",AP$12&lt;&gt;0,$H273&gt;0,OR(AUTOEVENTO&lt;&gt;"manual",$M273&lt;&gt;1)),
IF(Import.TipoArredondamento&lt;&gt;"TransfereGOV",
ROUND(OFFSET($P273,0,AP$13),15-13*ORÇAMENTO!$AF$7)/$H273*OFFSET(ORÇAMENTO!$X$15,ROW(AP273)-ROW(AP$15),0),
ROUND(ROUND(OFFSET($P273,0,AP$13),15-13*ORÇAMENTO!$AF$7)*OFFSET(ORÇAMENTO!$W$15,ROW(AP273)-ROW(AP$15),0),15-13*ORÇAMENTO!$AF$11)),0)</f>
        <v>0</v>
      </c>
      <c r="AQ273" s="545">
        <f ca="1">IF(AND($D273="Serviço",AQ$12&lt;&gt;0,$H273&gt;0,OR(AUTOEVENTO&lt;&gt;"manual",$M273&lt;&gt;1)),
IF(Import.TipoArredondamento&lt;&gt;"TransfereGOV",
ROUND(OFFSET($P273,0,AQ$13),15-13*ORÇAMENTO!$AF$7)/$H273*OFFSET(ORÇAMENTO!$X$15,ROW(AQ273)-ROW(AQ$15),0),
ROUND(ROUND(OFFSET($P273,0,AQ$13),15-13*ORÇAMENTO!$AF$7)*OFFSET(ORÇAMENTO!$W$15,ROW(AQ273)-ROW(AQ$15),0),15-13*ORÇAMENTO!$AF$11)),0)</f>
        <v>0</v>
      </c>
      <c r="AR273" s="545">
        <f ca="1">IF(AND($D273="Serviço",AR$12&lt;&gt;0,$H273&gt;0,OR(AUTOEVENTO&lt;&gt;"manual",$M273&lt;&gt;1)),
IF(Import.TipoArredondamento&lt;&gt;"TransfereGOV",
ROUND(OFFSET($P273,0,AR$13),15-13*ORÇAMENTO!$AF$7)/$H273*OFFSET(ORÇAMENTO!$X$15,ROW(AR273)-ROW(AR$15),0),
ROUND(ROUND(OFFSET($P273,0,AR$13),15-13*ORÇAMENTO!$AF$7)*OFFSET(ORÇAMENTO!$W$15,ROW(AR273)-ROW(AR$15),0),15-13*ORÇAMENTO!$AF$11)),0)</f>
        <v>0</v>
      </c>
      <c r="AS273" s="546">
        <f ca="1">IF(AND($D273="Serviço",AS$12&lt;&gt;0,$H273&gt;0,OR(AUTOEVENTO&lt;&gt;"manual",$M273&lt;&gt;1)),
IF(Import.TipoArredondamento&lt;&gt;"TransfereGOV",
ROUND(OFFSET($P273,0,AS$13),15-13*ORÇAMENTO!$AF$7)/$H273*OFFSET(ORÇAMENTO!$X$15,ROW(AS273)-ROW(AS$15),0),
ROUND(ROUND(OFFSET($P273,0,AS$13),15-13*ORÇAMENTO!$AF$7)*OFFSET(ORÇAMENTO!$W$15,ROW(AS273)-ROW(AS$15),0),15-13*ORÇAMENTO!$AF$11)),0)</f>
        <v>0</v>
      </c>
      <c r="AT273" s="545">
        <f ca="1">IF(AND($D273="Serviço",AT$12&lt;&gt;0,$H273&gt;0,OR(AUTOEVENTO&lt;&gt;"manual",$M273&lt;&gt;1)),
IF(Import.TipoArredondamento&lt;&gt;"TransfereGOV",
ROUND(OFFSET($P273,0,AT$13),15-13*ORÇAMENTO!$AF$7)/$H273*OFFSET(ORÇAMENTO!$X$15,ROW(AT273)-ROW(AT$15),0),
ROUND(ROUND(OFFSET($P273,0,AT$13),15-13*ORÇAMENTO!$AF$7)*OFFSET(ORÇAMENTO!$W$15,ROW(AT273)-ROW(AT$15),0),15-13*ORÇAMENTO!$AF$11)),0)</f>
        <v>0</v>
      </c>
      <c r="AU273" s="545">
        <f ca="1">IF(AND($D273="Serviço",AU$12&lt;&gt;0,$H273&gt;0,OR(AUTOEVENTO&lt;&gt;"manual",$M273&lt;&gt;1)),
IF(Import.TipoArredondamento&lt;&gt;"TransfereGOV",
ROUND(OFFSET($P273,0,AU$13),15-13*ORÇAMENTO!$AF$7)/$H273*OFFSET(ORÇAMENTO!$X$15,ROW(AU273)-ROW(AU$15),0),
ROUND(ROUND(OFFSET($P273,0,AU$13),15-13*ORÇAMENTO!$AF$7)*OFFSET(ORÇAMENTO!$W$15,ROW(AU273)-ROW(AU$15),0),15-13*ORÇAMENTO!$AF$11)),0)</f>
        <v>0</v>
      </c>
      <c r="AV273" s="545">
        <f ca="1">IF(AND($D273="Serviço",AV$12&lt;&gt;0,$H273&gt;0,OR(AUTOEVENTO&lt;&gt;"manual",$M273&lt;&gt;1)),
IF(Import.TipoArredondamento&lt;&gt;"TransfereGOV",
ROUND(OFFSET($P273,0,AV$13),15-13*ORÇAMENTO!$AF$7)/$H273*OFFSET(ORÇAMENTO!$X$15,ROW(AV273)-ROW(AV$15),0),
ROUND(ROUND(OFFSET($P273,0,AV$13),15-13*ORÇAMENTO!$AF$7)*OFFSET(ORÇAMENTO!$W$15,ROW(AV273)-ROW(AV$15),0),15-13*ORÇAMENTO!$AF$11)),0)</f>
        <v>0</v>
      </c>
      <c r="AW273" s="545">
        <f ca="1">IF(AND($D273="Serviço",AW$12&lt;&gt;0,$H273&gt;0,OR(AUTOEVENTO&lt;&gt;"manual",$M273&lt;&gt;1)),
IF(Import.TipoArredondamento&lt;&gt;"TransfereGOV",
ROUND(OFFSET($P273,0,AW$13),15-13*ORÇAMENTO!$AF$7)/$H273*OFFSET(ORÇAMENTO!$X$15,ROW(AW273)-ROW(AW$15),0),
ROUND(ROUND(OFFSET($P273,0,AW$13),15-13*ORÇAMENTO!$AF$7)*OFFSET(ORÇAMENTO!$W$15,ROW(AW273)-ROW(AW$15),0),15-13*ORÇAMENTO!$AF$11)),0)</f>
        <v>0</v>
      </c>
      <c r="AX273" s="545">
        <f ca="1">IF(AND($D273="Serviço",AX$12&lt;&gt;0,$H273&gt;0,OR(AUTOEVENTO&lt;&gt;"manual",$M273&lt;&gt;1)),
IF(Import.TipoArredondamento&lt;&gt;"TransfereGOV",
ROUND(OFFSET($P273,0,AX$13),15-13*ORÇAMENTO!$AF$7)/$H273*OFFSET(ORÇAMENTO!$X$15,ROW(AX273)-ROW(AX$15),0),
ROUND(ROUND(OFFSET($P273,0,AX$13),15-13*ORÇAMENTO!$AF$7)*OFFSET(ORÇAMENTO!$W$15,ROW(AX273)-ROW(AX$15),0),15-13*ORÇAMENTO!$AF$11)),0)</f>
        <v>0</v>
      </c>
      <c r="AY273" s="545">
        <f ca="1">IF(AND($D273="Serviço",AY$12&lt;&gt;0,$H273&gt;0,OR(AUTOEVENTO&lt;&gt;"manual",$M273&lt;&gt;1)),
IF(Import.TipoArredondamento&lt;&gt;"TransfereGOV",
ROUND(OFFSET($P273,0,AY$13),15-13*ORÇAMENTO!$AF$7)/$H273*OFFSET(ORÇAMENTO!$X$15,ROW(AY273)-ROW(AY$15),0),
ROUND(ROUND(OFFSET($P273,0,AY$13),15-13*ORÇAMENTO!$AF$7)*OFFSET(ORÇAMENTO!$W$15,ROW(AY273)-ROW(AY$15),0),15-13*ORÇAMENTO!$AF$11)),0)</f>
        <v>0</v>
      </c>
      <c r="AZ273" s="545">
        <f ca="1">IF(AND($D273="Serviço",AZ$12&lt;&gt;0,$H273&gt;0,OR(AUTOEVENTO&lt;&gt;"manual",$M273&lt;&gt;1)),
IF(Import.TipoArredondamento&lt;&gt;"TransfereGOV",
ROUND(OFFSET($P273,0,AZ$13),15-13*ORÇAMENTO!$AF$7)/$H273*OFFSET(ORÇAMENTO!$X$15,ROW(AZ273)-ROW(AZ$15),0),
ROUND(ROUND(OFFSET($P273,0,AZ$13),15-13*ORÇAMENTO!$AF$7)*OFFSET(ORÇAMENTO!$W$15,ROW(AZ273)-ROW(AZ$15),0),15-13*ORÇAMENTO!$AF$11)),0)</f>
        <v>0</v>
      </c>
      <c r="BA273" s="546">
        <f ca="1">IF(AND($D273="Serviço",BA$12&lt;&gt;0,$H273&gt;0,OR(AUTOEVENTO&lt;&gt;"manual",$M273&lt;&gt;1)),
IF(Import.TipoArredondamento&lt;&gt;"TransfereGOV",
ROUND(OFFSET($P273,0,BA$13),15-13*ORÇAMENTO!$AF$7)/$H273*OFFSET(ORÇAMENTO!$X$15,ROW(BA273)-ROW(BA$15),0),
ROUND(ROUND(OFFSET($P273,0,BA$13),15-13*ORÇAMENTO!$AF$7)*OFFSET(ORÇAMENTO!$W$15,ROW(BA273)-ROW(BA$15),0),15-13*ORÇAMENTO!$AF$11)),0)</f>
        <v>0</v>
      </c>
      <c r="BC273" s="181">
        <f ca="1">IF($D273&lt;&gt;"Serviço",0,IF(AND(AUTOEVENTO="Manual",$M273=1),0,IF(OFFSET(CRONOPLE!$F$14,$M273,BC$13)="",10^12,OFFSET(CRONOPLE!$F$14,$M273,BC$13))))</f>
        <v>9</v>
      </c>
      <c r="BD273" s="181">
        <f ca="1">IF($D273&lt;&gt;"Serviço",0,IF(AND(AUTOEVENTO="Manual",$M273=1),0,IF(OFFSET(CRONOPLE!$F$14,$M273,BD$13)="",10^12,OFFSET(CRONOPLE!$F$14,$M273,BD$13))))</f>
        <v>1000000000000</v>
      </c>
      <c r="BE273" s="181">
        <f ca="1">IF($D273&lt;&gt;"Serviço",0,IF(AND(AUTOEVENTO="Manual",$M273=1),0,IF(OFFSET(CRONOPLE!$F$14,$M273,BE$13)="",10^12,OFFSET(CRONOPLE!$F$14,$M273,BE$13))))</f>
        <v>1000000000000</v>
      </c>
      <c r="BF273" s="181">
        <f ca="1">IF($D273&lt;&gt;"Serviço",0,IF(AND(AUTOEVENTO="Manual",$M273=1),0,IF(OFFSET(CRONOPLE!$F$14,$M273,BF$13)="",10^12,OFFSET(CRONOPLE!$F$14,$M273,BF$13))))</f>
        <v>1000000000000</v>
      </c>
      <c r="BG273" s="181">
        <f ca="1">IF($D273&lt;&gt;"Serviço",0,IF(AND(AUTOEVENTO="Manual",$M273=1),0,IF(OFFSET(CRONOPLE!$F$14,$M273,BG$13)="",10^12,OFFSET(CRONOPLE!$F$14,$M273,BG$13))))</f>
        <v>1000000000000</v>
      </c>
      <c r="BH273" s="181">
        <f ca="1">IF($D273&lt;&gt;"Serviço",0,IF(AND(AUTOEVENTO="Manual",$M273=1),0,IF(OFFSET(CRONOPLE!$F$14,$M273,BH$13)="",10^12,OFFSET(CRONOPLE!$F$14,$M273,BH$13))))</f>
        <v>1000000000000</v>
      </c>
      <c r="BI273" s="181">
        <f ca="1">IF($D273&lt;&gt;"Serviço",0,IF(AND(AUTOEVENTO="Manual",$M273=1),0,IF(OFFSET(CRONOPLE!$F$14,$M273,BI$13)="",10^12,OFFSET(CRONOPLE!$F$14,$M273,BI$13))))</f>
        <v>1000000000000</v>
      </c>
      <c r="BJ273" s="181">
        <f ca="1">IF($D273&lt;&gt;"Serviço",0,IF(AND(AUTOEVENTO="Manual",$M273=1),0,IF(OFFSET(CRONOPLE!$F$14,$M273,BJ$13)="",10^12,OFFSET(CRONOPLE!$F$14,$M273,BJ$13))))</f>
        <v>1000000000000</v>
      </c>
      <c r="BK273" s="181">
        <f ca="1">IF($D273&lt;&gt;"Serviço",0,IF(AND(AUTOEVENTO="Manual",$M273=1),0,IF(OFFSET(CRONOPLE!$F$14,$M273,BK$13)="",10^12,OFFSET(CRONOPLE!$F$14,$M273,BK$13))))</f>
        <v>1000000000000</v>
      </c>
      <c r="BL273" s="181">
        <f ca="1">IF($D273&lt;&gt;"Serviço",0,IF(AND(AUTOEVENTO="Manual",$M273=1),0,IF(OFFSET(CRONOPLE!$F$14,$M273,BL$13)="",10^12,OFFSET(CRONOPLE!$F$14,$M273,BL$13))))</f>
        <v>1000000000000</v>
      </c>
      <c r="BM273" s="181">
        <f ca="1">IF($D273&lt;&gt;"Serviço",0,IF(AND(AUTOEVENTO="Manual",$M273=1),0,IF(OFFSET(CRONOPLE!$F$14,$M273,BM$13)="",10^12,OFFSET(CRONOPLE!$F$14,$M273,BM$13))))</f>
        <v>1000000000000</v>
      </c>
      <c r="BN273" s="181">
        <f ca="1">IF($D273&lt;&gt;"Serviço",0,IF(AND(AUTOEVENTO="Manual",$M273=1),0,IF(OFFSET(CRONOPLE!$F$14,$M273,BN$13)="",10^12,OFFSET(CRONOPLE!$F$14,$M273,BN$13))))</f>
        <v>1000000000000</v>
      </c>
      <c r="BO273" s="181">
        <f ca="1">IF($D273&lt;&gt;"Serviço",0,IF(AND(AUTOEVENTO="Manual",$M273=1),0,IF(OFFSET(CRONOPLE!$F$14,$M273,BO$13)="",10^12,OFFSET(CRONOPLE!$F$14,$M273,BO$13))))</f>
        <v>1000000000000</v>
      </c>
      <c r="BP273" s="181">
        <f ca="1">IF($D273&lt;&gt;"Serviço",0,IF(AND(AUTOEVENTO="Manual",$M273=1),0,IF(OFFSET(CRONOPLE!$F$14,$M273,BP$13)="",10^12,OFFSET(CRONOPLE!$F$14,$M273,BP$13))))</f>
        <v>1000000000000</v>
      </c>
      <c r="BQ273" s="181">
        <f ca="1">IF($D273&lt;&gt;"Serviço",0,IF(AND(AUTOEVENTO="Manual",$M273=1),0,IF(OFFSET(CRONOPLE!$F$14,$M273,BQ$13)="",10^12,OFFSET(CRONOPLE!$F$14,$M273,BQ$13))))</f>
        <v>1000000000000</v>
      </c>
      <c r="BR273" s="181">
        <f ca="1">IF($D273&lt;&gt;"Serviço",0,IF(AND(AUTOEVENTO="Manual",$M273=1),0,IF(OFFSET(CRONOPLE!$F$14,$M273,BR$13)="",10^12,OFFSET(CRONOPLE!$F$14,$M273,BR$13))))</f>
        <v>1000000000000</v>
      </c>
      <c r="BS273" s="181">
        <f ca="1">IF($D273&lt;&gt;"Serviço",0,IF(AND(AUTOEVENTO="Manual",$M273=1),0,IF(OFFSET(CRONOPLE!$F$14,$M273,BS$13)="",10^12,OFFSET(CRONOPLE!$F$14,$M273,BS$13))))</f>
        <v>1000000000000</v>
      </c>
      <c r="BT273" s="181">
        <f ca="1">IF($D273&lt;&gt;"Serviço",0,IF(AND(AUTOEVENTO="Manual",$M273=1),0,IF(OFFSET(CRONOPLE!$F$14,$M273,BT$13)="",10^12,OFFSET(CRONOPLE!$F$14,$M273,BT$13))))</f>
        <v>1000000000000</v>
      </c>
      <c r="BV273" s="182">
        <f ca="1">IF($D273&lt;&gt;"Serviço",0,IF(OR(AND(AUTOEVENTO="Manual",$M273=1),$M273&gt;(ROW(PLE.lastrow)-ROW(PLE.firstrow))),0,IF(OFFSET(PLE!$G$14,$M273,BV$13)="",10^12,OFFSET(PLE!$G$14,$M273,BV$13))))</f>
        <v>1000000000000</v>
      </c>
      <c r="BW273" s="182">
        <f ca="1">IF($D273&lt;&gt;"Serviço",0,IF(OR(AND(AUTOEVENTO="Manual",$M273=1),$M273&gt;(ROW(PLE.lastrow)-ROW(PLE.firstrow))),0,IF(OFFSET(PLE!$G$14,$M273,BW$13)="",10^12,OFFSET(PLE!$G$14,$M273,BW$13))))</f>
        <v>1000000000000</v>
      </c>
      <c r="BX273" s="182">
        <f ca="1">IF($D273&lt;&gt;"Serviço",0,IF(OR(AND(AUTOEVENTO="Manual",$M273=1),$M273&gt;(ROW(PLE.lastrow)-ROW(PLE.firstrow))),0,IF(OFFSET(PLE!$G$14,$M273,BX$13)="",10^12,OFFSET(PLE!$G$14,$M273,BX$13))))</f>
        <v>1000000000000</v>
      </c>
      <c r="BY273" s="182">
        <f ca="1">IF($D273&lt;&gt;"Serviço",0,IF(OR(AND(AUTOEVENTO="Manual",$M273=1),$M273&gt;(ROW(PLE.lastrow)-ROW(PLE.firstrow))),0,IF(OFFSET(PLE!$G$14,$M273,BY$13)="",10^12,OFFSET(PLE!$G$14,$M273,BY$13))))</f>
        <v>1000000000000</v>
      </c>
      <c r="BZ273" s="182">
        <f ca="1">IF($D273&lt;&gt;"Serviço",0,IF(OR(AND(AUTOEVENTO="Manual",$M273=1),$M273&gt;(ROW(PLE.lastrow)-ROW(PLE.firstrow))),0,IF(OFFSET(PLE!$G$14,$M273,BZ$13)="",10^12,OFFSET(PLE!$G$14,$M273,BZ$13))))</f>
        <v>1000000000000</v>
      </c>
      <c r="CA273" s="182">
        <f ca="1">IF($D273&lt;&gt;"Serviço",0,IF(OR(AND(AUTOEVENTO="Manual",$M273=1),$M273&gt;(ROW(PLE.lastrow)-ROW(PLE.firstrow))),0,IF(OFFSET(PLE!$G$14,$M273,CA$13)="",10^12,OFFSET(PLE!$G$14,$M273,CA$13))))</f>
        <v>1000000000000</v>
      </c>
      <c r="CB273" s="182">
        <f ca="1">IF($D273&lt;&gt;"Serviço",0,IF(OR(AND(AUTOEVENTO="Manual",$M273=1),$M273&gt;(ROW(PLE.lastrow)-ROW(PLE.firstrow))),0,IF(OFFSET(PLE!$G$14,$M273,CB$13)="",10^12,OFFSET(PLE!$G$14,$M273,CB$13))))</f>
        <v>1000000000000</v>
      </c>
      <c r="CC273" s="182">
        <f ca="1">IF($D273&lt;&gt;"Serviço",0,IF(OR(AND(AUTOEVENTO="Manual",$M273=1),$M273&gt;(ROW(PLE.lastrow)-ROW(PLE.firstrow))),0,IF(OFFSET(PLE!$G$14,$M273,CC$13)="",10^12,OFFSET(PLE!$G$14,$M273,CC$13))))</f>
        <v>1000000000000</v>
      </c>
      <c r="CD273" s="182">
        <f ca="1">IF($D273&lt;&gt;"Serviço",0,IF(OR(AND(AUTOEVENTO="Manual",$M273=1),$M273&gt;(ROW(PLE.lastrow)-ROW(PLE.firstrow))),0,IF(OFFSET(PLE!$G$14,$M273,CD$13)="",10^12,OFFSET(PLE!$G$14,$M273,CD$13))))</f>
        <v>1000000000000</v>
      </c>
      <c r="CE273" s="182">
        <f ca="1">IF($D273&lt;&gt;"Serviço",0,IF(OR(AND(AUTOEVENTO="Manual",$M273=1),$M273&gt;(ROW(PLE.lastrow)-ROW(PLE.firstrow))),0,IF(OFFSET(PLE!$G$14,$M273,CE$13)="",10^12,OFFSET(PLE!$G$14,$M273,CE$13))))</f>
        <v>1000000000000</v>
      </c>
      <c r="CF273" s="182">
        <f ca="1">IF($D273&lt;&gt;"Serviço",0,IF(OR(AND(AUTOEVENTO="Manual",$M273=1),$M273&gt;(ROW(PLE.lastrow)-ROW(PLE.firstrow))),0,IF(OFFSET(PLE!$G$14,$M273,CF$13)="",10^12,OFFSET(PLE!$G$14,$M273,CF$13))))</f>
        <v>1000000000000</v>
      </c>
      <c r="CG273" s="182">
        <f ca="1">IF($D273&lt;&gt;"Serviço",0,IF(OR(AND(AUTOEVENTO="Manual",$M273=1),$M273&gt;(ROW(PLE.lastrow)-ROW(PLE.firstrow))),0,IF(OFFSET(PLE!$G$14,$M273,CG$13)="",10^12,OFFSET(PLE!$G$14,$M273,CG$13))))</f>
        <v>1000000000000</v>
      </c>
      <c r="CH273" s="182">
        <f ca="1">IF($D273&lt;&gt;"Serviço",0,IF(OR(AND(AUTOEVENTO="Manual",$M273=1),$M273&gt;(ROW(PLE.lastrow)-ROW(PLE.firstrow))),0,IF(OFFSET(PLE!$G$14,$M273,CH$13)="",10^12,OFFSET(PLE!$G$14,$M273,CH$13))))</f>
        <v>1000000000000</v>
      </c>
      <c r="CI273" s="182">
        <f ca="1">IF($D273&lt;&gt;"Serviço",0,IF(OR(AND(AUTOEVENTO="Manual",$M273=1),$M273&gt;(ROW(PLE.lastrow)-ROW(PLE.firstrow))),0,IF(OFFSET(PLE!$G$14,$M273,CI$13)="",10^12,OFFSET(PLE!$G$14,$M273,CI$13))))</f>
        <v>1000000000000</v>
      </c>
      <c r="CJ273" s="182">
        <f ca="1">IF($D273&lt;&gt;"Serviço",0,IF(OR(AND(AUTOEVENTO="Manual",$M273=1),$M273&gt;(ROW(PLE.lastrow)-ROW(PLE.firstrow))),0,IF(OFFSET(PLE!$G$14,$M273,CJ$13)="",10^12,OFFSET(PLE!$G$14,$M273,CJ$13))))</f>
        <v>1000000000000</v>
      </c>
      <c r="CK273" s="182">
        <f ca="1">IF($D273&lt;&gt;"Serviço",0,IF(OR(AND(AUTOEVENTO="Manual",$M273=1),$M273&gt;(ROW(PLE.lastrow)-ROW(PLE.firstrow))),0,IF(OFFSET(PLE!$G$14,$M273,CK$13)="",10^12,OFFSET(PLE!$G$14,$M273,CK$13))))</f>
        <v>1000000000000</v>
      </c>
      <c r="CL273" s="182">
        <f ca="1">IF($D273&lt;&gt;"Serviço",0,IF(OR(AND(AUTOEVENTO="Manual",$M273=1),$M273&gt;(ROW(PLE.lastrow)-ROW(PLE.firstrow))),0,IF(OFFSET(PLE!$G$14,$M273,CL$13)="",10^12,OFFSET(PLE!$G$14,$M273,CL$13))))</f>
        <v>1000000000000</v>
      </c>
      <c r="CM273" s="182">
        <f ca="1">IF($D273&lt;&gt;"Serviço",0,IF(OR(AND(AUTOEVENTO="Manual",$M273=1),$M273&gt;(ROW(PLE.lastrow)-ROW(PLE.firstrow))),0,IF(OFFSET(PLE!$G$14,$M273,CM$13)="",10^12,OFFSET(PLE!$G$14,$M273,CM$13))))</f>
        <v>1000000000000</v>
      </c>
    </row>
    <row r="274" spans="1:91" ht="38.25" x14ac:dyDescent="0.2">
      <c r="A274" s="7" t="str">
        <f t="shared" ca="1" si="12"/>
        <v>232</v>
      </c>
      <c r="B274" s="7" t="str">
        <f ca="1">OFFSET(ORÇAMENTO!C$15,ROW(B274)-ROW(B$15),0)</f>
        <v>S</v>
      </c>
      <c r="C274" s="7" t="str">
        <f ca="1">OFFSET(ORÇAMENTO!L$15,ROW(C274)-ROW(C$15),0)</f>
        <v/>
      </c>
      <c r="D274" s="118" t="str">
        <f ca="1">OFFSET(ORÇAMENTO!N$15,ROW(D274)-ROW(D$15),0)</f>
        <v>Serviço</v>
      </c>
      <c r="E274" s="119" t="str">
        <f ca="1">OFFSET(ORÇAMENTO!O$15,ROW(E274)-ROW(E$15),0)</f>
        <v>-</v>
      </c>
      <c r="F274" s="172" t="str">
        <f ca="1">OFFSET(ORÇAMENTO!R$15,ROW(F274)-ROW(F$15),0)</f>
        <v>(abra o arquivo 'Referência 06-2024.xlsm)</v>
      </c>
      <c r="G274" s="173" t="str">
        <f ca="1">IF($D274&lt;&gt;"Serviço","",OFFSET(ORÇAMENTO!S$15,ROW(G274)-ROW(G$15),0))</f>
        <v>-</v>
      </c>
      <c r="H274" s="124">
        <f ca="1">IF($D274&lt;&gt;"Serviço",0,IF(ACOMPANHAMENTO="BM",ROUND(OFFSET(ORÇAMENTO!AJ$15,ROW(H274)-ROW(H$15),0),15-13*ORÇAMENTO!$AF$7),SUMPRODUCT(($Q$12:$AI$12&lt;&gt;"")*ROUND($Q274:$AI274,15-13*ORÇAMENTO!$AF$7))))</f>
        <v>18</v>
      </c>
      <c r="I274" s="561" t="s">
        <v>1107</v>
      </c>
      <c r="K274" s="174"/>
      <c r="L274" s="175" t="s">
        <v>255</v>
      </c>
      <c r="M274" s="176">
        <f ca="1">IF($D274&lt;&gt;"Serviço","",IF(AUTOEVENTO="manual",$A274,IF(ISERROR(MATCH($A274,$A$15:OFFSET($A274,-1,0),0)),MAX($M$15:OFFSET(M274,-1,0))+1,INDEX($M$15:OFFSET(M274,-1,0),MATCH($A274,$A$15:OFFSET($A274,-1,0),0)))))</f>
        <v>35</v>
      </c>
      <c r="N274" s="177" t="str">
        <f ca="1">IF($D274&lt;&gt;"Serviço","",IF(AUTOEVENTO="Manual",IF($A274=0,"&lt;-- defina o número do agrupador",OFFSET(EVENTOS!$D$14,$A274,0)),OFFSET($F$15,$A274,0)))</f>
        <v>INSTALAÇÃO HIDRÁULICA - TUBULAÇÕES E CONEXÕES DE PVC RÍGIDO</v>
      </c>
      <c r="O274" s="178"/>
      <c r="Q274" s="178">
        <v>18</v>
      </c>
      <c r="R274" s="179"/>
      <c r="S274" s="179"/>
      <c r="T274" s="179"/>
      <c r="U274" s="179"/>
      <c r="V274" s="179"/>
      <c r="W274" s="179"/>
      <c r="X274" s="179"/>
      <c r="Y274" s="179"/>
      <c r="Z274" s="180"/>
      <c r="AA274" s="179"/>
      <c r="AB274" s="179"/>
      <c r="AC274" s="179"/>
      <c r="AD274" s="179"/>
      <c r="AE274" s="179"/>
      <c r="AF274" s="179"/>
      <c r="AG274" s="179"/>
      <c r="AH274" s="180"/>
      <c r="AJ274" s="544">
        <f ca="1">IF(AND($D274="Serviço",AJ$12&lt;&gt;0,$H274&gt;0,OR(AUTOEVENTO&lt;&gt;"manual",$M274&lt;&gt;1)),
IF(Import.TipoArredondamento&lt;&gt;"TransfereGOV",
ROUND(OFFSET($P274,0,AJ$13),15-13*ORÇAMENTO!$AF$7)/$H274*OFFSET(ORÇAMENTO!$X$15,ROW(AJ274)-ROW(AJ$15),0),
ROUND(ROUND(OFFSET($P274,0,AJ$13),15-13*ORÇAMENTO!$AF$7)*OFFSET(ORÇAMENTO!$W$15,ROW(AJ274)-ROW(AJ$15),0),15-13*ORÇAMENTO!$AF$11)),0)</f>
        <v>0</v>
      </c>
      <c r="AK274" s="545">
        <f ca="1">IF(AND($D274="Serviço",AK$12&lt;&gt;0,$H274&gt;0,OR(AUTOEVENTO&lt;&gt;"manual",$M274&lt;&gt;1)),
IF(Import.TipoArredondamento&lt;&gt;"TransfereGOV",
ROUND(OFFSET($P274,0,AK$13),15-13*ORÇAMENTO!$AF$7)/$H274*OFFSET(ORÇAMENTO!$X$15,ROW(AK274)-ROW(AK$15),0),
ROUND(ROUND(OFFSET($P274,0,AK$13),15-13*ORÇAMENTO!$AF$7)*OFFSET(ORÇAMENTO!$W$15,ROW(AK274)-ROW(AK$15),0),15-13*ORÇAMENTO!$AF$11)),0)</f>
        <v>0</v>
      </c>
      <c r="AL274" s="545">
        <f ca="1">IF(AND($D274="Serviço",AL$12&lt;&gt;0,$H274&gt;0,OR(AUTOEVENTO&lt;&gt;"manual",$M274&lt;&gt;1)),
IF(Import.TipoArredondamento&lt;&gt;"TransfereGOV",
ROUND(OFFSET($P274,0,AL$13),15-13*ORÇAMENTO!$AF$7)/$H274*OFFSET(ORÇAMENTO!$X$15,ROW(AL274)-ROW(AL$15),0),
ROUND(ROUND(OFFSET($P274,0,AL$13),15-13*ORÇAMENTO!$AF$7)*OFFSET(ORÇAMENTO!$W$15,ROW(AL274)-ROW(AL$15),0),15-13*ORÇAMENTO!$AF$11)),0)</f>
        <v>0</v>
      </c>
      <c r="AM274" s="545">
        <f ca="1">IF(AND($D274="Serviço",AM$12&lt;&gt;0,$H274&gt;0,OR(AUTOEVENTO&lt;&gt;"manual",$M274&lt;&gt;1)),
IF(Import.TipoArredondamento&lt;&gt;"TransfereGOV",
ROUND(OFFSET($P274,0,AM$13),15-13*ORÇAMENTO!$AF$7)/$H274*OFFSET(ORÇAMENTO!$X$15,ROW(AM274)-ROW(AM$15),0),
ROUND(ROUND(OFFSET($P274,0,AM$13),15-13*ORÇAMENTO!$AF$7)*OFFSET(ORÇAMENTO!$W$15,ROW(AM274)-ROW(AM$15),0),15-13*ORÇAMENTO!$AF$11)),0)</f>
        <v>0</v>
      </c>
      <c r="AN274" s="545">
        <f ca="1">IF(AND($D274="Serviço",AN$12&lt;&gt;0,$H274&gt;0,OR(AUTOEVENTO&lt;&gt;"manual",$M274&lt;&gt;1)),
IF(Import.TipoArredondamento&lt;&gt;"TransfereGOV",
ROUND(OFFSET($P274,0,AN$13),15-13*ORÇAMENTO!$AF$7)/$H274*OFFSET(ORÇAMENTO!$X$15,ROW(AN274)-ROW(AN$15),0),
ROUND(ROUND(OFFSET($P274,0,AN$13),15-13*ORÇAMENTO!$AF$7)*OFFSET(ORÇAMENTO!$W$15,ROW(AN274)-ROW(AN$15),0),15-13*ORÇAMENTO!$AF$11)),0)</f>
        <v>0</v>
      </c>
      <c r="AO274" s="545">
        <f ca="1">IF(AND($D274="Serviço",AO$12&lt;&gt;0,$H274&gt;0,OR(AUTOEVENTO&lt;&gt;"manual",$M274&lt;&gt;1)),
IF(Import.TipoArredondamento&lt;&gt;"TransfereGOV",
ROUND(OFFSET($P274,0,AO$13),15-13*ORÇAMENTO!$AF$7)/$H274*OFFSET(ORÇAMENTO!$X$15,ROW(AO274)-ROW(AO$15),0),
ROUND(ROUND(OFFSET($P274,0,AO$13),15-13*ORÇAMENTO!$AF$7)*OFFSET(ORÇAMENTO!$W$15,ROW(AO274)-ROW(AO$15),0),15-13*ORÇAMENTO!$AF$11)),0)</f>
        <v>0</v>
      </c>
      <c r="AP274" s="545">
        <f ca="1">IF(AND($D274="Serviço",AP$12&lt;&gt;0,$H274&gt;0,OR(AUTOEVENTO&lt;&gt;"manual",$M274&lt;&gt;1)),
IF(Import.TipoArredondamento&lt;&gt;"TransfereGOV",
ROUND(OFFSET($P274,0,AP$13),15-13*ORÇAMENTO!$AF$7)/$H274*OFFSET(ORÇAMENTO!$X$15,ROW(AP274)-ROW(AP$15),0),
ROUND(ROUND(OFFSET($P274,0,AP$13),15-13*ORÇAMENTO!$AF$7)*OFFSET(ORÇAMENTO!$W$15,ROW(AP274)-ROW(AP$15),0),15-13*ORÇAMENTO!$AF$11)),0)</f>
        <v>0</v>
      </c>
      <c r="AQ274" s="545">
        <f ca="1">IF(AND($D274="Serviço",AQ$12&lt;&gt;0,$H274&gt;0,OR(AUTOEVENTO&lt;&gt;"manual",$M274&lt;&gt;1)),
IF(Import.TipoArredondamento&lt;&gt;"TransfereGOV",
ROUND(OFFSET($P274,0,AQ$13),15-13*ORÇAMENTO!$AF$7)/$H274*OFFSET(ORÇAMENTO!$X$15,ROW(AQ274)-ROW(AQ$15),0),
ROUND(ROUND(OFFSET($P274,0,AQ$13),15-13*ORÇAMENTO!$AF$7)*OFFSET(ORÇAMENTO!$W$15,ROW(AQ274)-ROW(AQ$15),0),15-13*ORÇAMENTO!$AF$11)),0)</f>
        <v>0</v>
      </c>
      <c r="AR274" s="545">
        <f ca="1">IF(AND($D274="Serviço",AR$12&lt;&gt;0,$H274&gt;0,OR(AUTOEVENTO&lt;&gt;"manual",$M274&lt;&gt;1)),
IF(Import.TipoArredondamento&lt;&gt;"TransfereGOV",
ROUND(OFFSET($P274,0,AR$13),15-13*ORÇAMENTO!$AF$7)/$H274*OFFSET(ORÇAMENTO!$X$15,ROW(AR274)-ROW(AR$15),0),
ROUND(ROUND(OFFSET($P274,0,AR$13),15-13*ORÇAMENTO!$AF$7)*OFFSET(ORÇAMENTO!$W$15,ROW(AR274)-ROW(AR$15),0),15-13*ORÇAMENTO!$AF$11)),0)</f>
        <v>0</v>
      </c>
      <c r="AS274" s="546">
        <f ca="1">IF(AND($D274="Serviço",AS$12&lt;&gt;0,$H274&gt;0,OR(AUTOEVENTO&lt;&gt;"manual",$M274&lt;&gt;1)),
IF(Import.TipoArredondamento&lt;&gt;"TransfereGOV",
ROUND(OFFSET($P274,0,AS$13),15-13*ORÇAMENTO!$AF$7)/$H274*OFFSET(ORÇAMENTO!$X$15,ROW(AS274)-ROW(AS$15),0),
ROUND(ROUND(OFFSET($P274,0,AS$13),15-13*ORÇAMENTO!$AF$7)*OFFSET(ORÇAMENTO!$W$15,ROW(AS274)-ROW(AS$15),0),15-13*ORÇAMENTO!$AF$11)),0)</f>
        <v>0</v>
      </c>
      <c r="AT274" s="545">
        <f ca="1">IF(AND($D274="Serviço",AT$12&lt;&gt;0,$H274&gt;0,OR(AUTOEVENTO&lt;&gt;"manual",$M274&lt;&gt;1)),
IF(Import.TipoArredondamento&lt;&gt;"TransfereGOV",
ROUND(OFFSET($P274,0,AT$13),15-13*ORÇAMENTO!$AF$7)/$H274*OFFSET(ORÇAMENTO!$X$15,ROW(AT274)-ROW(AT$15),0),
ROUND(ROUND(OFFSET($P274,0,AT$13),15-13*ORÇAMENTO!$AF$7)*OFFSET(ORÇAMENTO!$W$15,ROW(AT274)-ROW(AT$15),0),15-13*ORÇAMENTO!$AF$11)),0)</f>
        <v>0</v>
      </c>
      <c r="AU274" s="545">
        <f ca="1">IF(AND($D274="Serviço",AU$12&lt;&gt;0,$H274&gt;0,OR(AUTOEVENTO&lt;&gt;"manual",$M274&lt;&gt;1)),
IF(Import.TipoArredondamento&lt;&gt;"TransfereGOV",
ROUND(OFFSET($P274,0,AU$13),15-13*ORÇAMENTO!$AF$7)/$H274*OFFSET(ORÇAMENTO!$X$15,ROW(AU274)-ROW(AU$15),0),
ROUND(ROUND(OFFSET($P274,0,AU$13),15-13*ORÇAMENTO!$AF$7)*OFFSET(ORÇAMENTO!$W$15,ROW(AU274)-ROW(AU$15),0),15-13*ORÇAMENTO!$AF$11)),0)</f>
        <v>0</v>
      </c>
      <c r="AV274" s="545">
        <f ca="1">IF(AND($D274="Serviço",AV$12&lt;&gt;0,$H274&gt;0,OR(AUTOEVENTO&lt;&gt;"manual",$M274&lt;&gt;1)),
IF(Import.TipoArredondamento&lt;&gt;"TransfereGOV",
ROUND(OFFSET($P274,0,AV$13),15-13*ORÇAMENTO!$AF$7)/$H274*OFFSET(ORÇAMENTO!$X$15,ROW(AV274)-ROW(AV$15),0),
ROUND(ROUND(OFFSET($P274,0,AV$13),15-13*ORÇAMENTO!$AF$7)*OFFSET(ORÇAMENTO!$W$15,ROW(AV274)-ROW(AV$15),0),15-13*ORÇAMENTO!$AF$11)),0)</f>
        <v>0</v>
      </c>
      <c r="AW274" s="545">
        <f ca="1">IF(AND($D274="Serviço",AW$12&lt;&gt;0,$H274&gt;0,OR(AUTOEVENTO&lt;&gt;"manual",$M274&lt;&gt;1)),
IF(Import.TipoArredondamento&lt;&gt;"TransfereGOV",
ROUND(OFFSET($P274,0,AW$13),15-13*ORÇAMENTO!$AF$7)/$H274*OFFSET(ORÇAMENTO!$X$15,ROW(AW274)-ROW(AW$15),0),
ROUND(ROUND(OFFSET($P274,0,AW$13),15-13*ORÇAMENTO!$AF$7)*OFFSET(ORÇAMENTO!$W$15,ROW(AW274)-ROW(AW$15),0),15-13*ORÇAMENTO!$AF$11)),0)</f>
        <v>0</v>
      </c>
      <c r="AX274" s="545">
        <f ca="1">IF(AND($D274="Serviço",AX$12&lt;&gt;0,$H274&gt;0,OR(AUTOEVENTO&lt;&gt;"manual",$M274&lt;&gt;1)),
IF(Import.TipoArredondamento&lt;&gt;"TransfereGOV",
ROUND(OFFSET($P274,0,AX$13),15-13*ORÇAMENTO!$AF$7)/$H274*OFFSET(ORÇAMENTO!$X$15,ROW(AX274)-ROW(AX$15),0),
ROUND(ROUND(OFFSET($P274,0,AX$13),15-13*ORÇAMENTO!$AF$7)*OFFSET(ORÇAMENTO!$W$15,ROW(AX274)-ROW(AX$15),0),15-13*ORÇAMENTO!$AF$11)),0)</f>
        <v>0</v>
      </c>
      <c r="AY274" s="545">
        <f ca="1">IF(AND($D274="Serviço",AY$12&lt;&gt;0,$H274&gt;0,OR(AUTOEVENTO&lt;&gt;"manual",$M274&lt;&gt;1)),
IF(Import.TipoArredondamento&lt;&gt;"TransfereGOV",
ROUND(OFFSET($P274,0,AY$13),15-13*ORÇAMENTO!$AF$7)/$H274*OFFSET(ORÇAMENTO!$X$15,ROW(AY274)-ROW(AY$15),0),
ROUND(ROUND(OFFSET($P274,0,AY$13),15-13*ORÇAMENTO!$AF$7)*OFFSET(ORÇAMENTO!$W$15,ROW(AY274)-ROW(AY$15),0),15-13*ORÇAMENTO!$AF$11)),0)</f>
        <v>0</v>
      </c>
      <c r="AZ274" s="545">
        <f ca="1">IF(AND($D274="Serviço",AZ$12&lt;&gt;0,$H274&gt;0,OR(AUTOEVENTO&lt;&gt;"manual",$M274&lt;&gt;1)),
IF(Import.TipoArredondamento&lt;&gt;"TransfereGOV",
ROUND(OFFSET($P274,0,AZ$13),15-13*ORÇAMENTO!$AF$7)/$H274*OFFSET(ORÇAMENTO!$X$15,ROW(AZ274)-ROW(AZ$15),0),
ROUND(ROUND(OFFSET($P274,0,AZ$13),15-13*ORÇAMENTO!$AF$7)*OFFSET(ORÇAMENTO!$W$15,ROW(AZ274)-ROW(AZ$15),0),15-13*ORÇAMENTO!$AF$11)),0)</f>
        <v>0</v>
      </c>
      <c r="BA274" s="546">
        <f ca="1">IF(AND($D274="Serviço",BA$12&lt;&gt;0,$H274&gt;0,OR(AUTOEVENTO&lt;&gt;"manual",$M274&lt;&gt;1)),
IF(Import.TipoArredondamento&lt;&gt;"TransfereGOV",
ROUND(OFFSET($P274,0,BA$13),15-13*ORÇAMENTO!$AF$7)/$H274*OFFSET(ORÇAMENTO!$X$15,ROW(BA274)-ROW(BA$15),0),
ROUND(ROUND(OFFSET($P274,0,BA$13),15-13*ORÇAMENTO!$AF$7)*OFFSET(ORÇAMENTO!$W$15,ROW(BA274)-ROW(BA$15),0),15-13*ORÇAMENTO!$AF$11)),0)</f>
        <v>0</v>
      </c>
      <c r="BC274" s="181">
        <f ca="1">IF($D274&lt;&gt;"Serviço",0,IF(AND(AUTOEVENTO="Manual",$M274=1),0,IF(OFFSET(CRONOPLE!$F$14,$M274,BC$13)="",10^12,OFFSET(CRONOPLE!$F$14,$M274,BC$13))))</f>
        <v>9</v>
      </c>
      <c r="BD274" s="181">
        <f ca="1">IF($D274&lt;&gt;"Serviço",0,IF(AND(AUTOEVENTO="Manual",$M274=1),0,IF(OFFSET(CRONOPLE!$F$14,$M274,BD$13)="",10^12,OFFSET(CRONOPLE!$F$14,$M274,BD$13))))</f>
        <v>1000000000000</v>
      </c>
      <c r="BE274" s="181">
        <f ca="1">IF($D274&lt;&gt;"Serviço",0,IF(AND(AUTOEVENTO="Manual",$M274=1),0,IF(OFFSET(CRONOPLE!$F$14,$M274,BE$13)="",10^12,OFFSET(CRONOPLE!$F$14,$M274,BE$13))))</f>
        <v>1000000000000</v>
      </c>
      <c r="BF274" s="181">
        <f ca="1">IF($D274&lt;&gt;"Serviço",0,IF(AND(AUTOEVENTO="Manual",$M274=1),0,IF(OFFSET(CRONOPLE!$F$14,$M274,BF$13)="",10^12,OFFSET(CRONOPLE!$F$14,$M274,BF$13))))</f>
        <v>1000000000000</v>
      </c>
      <c r="BG274" s="181">
        <f ca="1">IF($D274&lt;&gt;"Serviço",0,IF(AND(AUTOEVENTO="Manual",$M274=1),0,IF(OFFSET(CRONOPLE!$F$14,$M274,BG$13)="",10^12,OFFSET(CRONOPLE!$F$14,$M274,BG$13))))</f>
        <v>1000000000000</v>
      </c>
      <c r="BH274" s="181">
        <f ca="1">IF($D274&lt;&gt;"Serviço",0,IF(AND(AUTOEVENTO="Manual",$M274=1),0,IF(OFFSET(CRONOPLE!$F$14,$M274,BH$13)="",10^12,OFFSET(CRONOPLE!$F$14,$M274,BH$13))))</f>
        <v>1000000000000</v>
      </c>
      <c r="BI274" s="181">
        <f ca="1">IF($D274&lt;&gt;"Serviço",0,IF(AND(AUTOEVENTO="Manual",$M274=1),0,IF(OFFSET(CRONOPLE!$F$14,$M274,BI$13)="",10^12,OFFSET(CRONOPLE!$F$14,$M274,BI$13))))</f>
        <v>1000000000000</v>
      </c>
      <c r="BJ274" s="181">
        <f ca="1">IF($D274&lt;&gt;"Serviço",0,IF(AND(AUTOEVENTO="Manual",$M274=1),0,IF(OFFSET(CRONOPLE!$F$14,$M274,BJ$13)="",10^12,OFFSET(CRONOPLE!$F$14,$M274,BJ$13))))</f>
        <v>1000000000000</v>
      </c>
      <c r="BK274" s="181">
        <f ca="1">IF($D274&lt;&gt;"Serviço",0,IF(AND(AUTOEVENTO="Manual",$M274=1),0,IF(OFFSET(CRONOPLE!$F$14,$M274,BK$13)="",10^12,OFFSET(CRONOPLE!$F$14,$M274,BK$13))))</f>
        <v>1000000000000</v>
      </c>
      <c r="BL274" s="181">
        <f ca="1">IF($D274&lt;&gt;"Serviço",0,IF(AND(AUTOEVENTO="Manual",$M274=1),0,IF(OFFSET(CRONOPLE!$F$14,$M274,BL$13)="",10^12,OFFSET(CRONOPLE!$F$14,$M274,BL$13))))</f>
        <v>1000000000000</v>
      </c>
      <c r="BM274" s="181">
        <f ca="1">IF($D274&lt;&gt;"Serviço",0,IF(AND(AUTOEVENTO="Manual",$M274=1),0,IF(OFFSET(CRONOPLE!$F$14,$M274,BM$13)="",10^12,OFFSET(CRONOPLE!$F$14,$M274,BM$13))))</f>
        <v>1000000000000</v>
      </c>
      <c r="BN274" s="181">
        <f ca="1">IF($D274&lt;&gt;"Serviço",0,IF(AND(AUTOEVENTO="Manual",$M274=1),0,IF(OFFSET(CRONOPLE!$F$14,$M274,BN$13)="",10^12,OFFSET(CRONOPLE!$F$14,$M274,BN$13))))</f>
        <v>1000000000000</v>
      </c>
      <c r="BO274" s="181">
        <f ca="1">IF($D274&lt;&gt;"Serviço",0,IF(AND(AUTOEVENTO="Manual",$M274=1),0,IF(OFFSET(CRONOPLE!$F$14,$M274,BO$13)="",10^12,OFFSET(CRONOPLE!$F$14,$M274,BO$13))))</f>
        <v>1000000000000</v>
      </c>
      <c r="BP274" s="181">
        <f ca="1">IF($D274&lt;&gt;"Serviço",0,IF(AND(AUTOEVENTO="Manual",$M274=1),0,IF(OFFSET(CRONOPLE!$F$14,$M274,BP$13)="",10^12,OFFSET(CRONOPLE!$F$14,$M274,BP$13))))</f>
        <v>1000000000000</v>
      </c>
      <c r="BQ274" s="181">
        <f ca="1">IF($D274&lt;&gt;"Serviço",0,IF(AND(AUTOEVENTO="Manual",$M274=1),0,IF(OFFSET(CRONOPLE!$F$14,$M274,BQ$13)="",10^12,OFFSET(CRONOPLE!$F$14,$M274,BQ$13))))</f>
        <v>1000000000000</v>
      </c>
      <c r="BR274" s="181">
        <f ca="1">IF($D274&lt;&gt;"Serviço",0,IF(AND(AUTOEVENTO="Manual",$M274=1),0,IF(OFFSET(CRONOPLE!$F$14,$M274,BR$13)="",10^12,OFFSET(CRONOPLE!$F$14,$M274,BR$13))))</f>
        <v>1000000000000</v>
      </c>
      <c r="BS274" s="181">
        <f ca="1">IF($D274&lt;&gt;"Serviço",0,IF(AND(AUTOEVENTO="Manual",$M274=1),0,IF(OFFSET(CRONOPLE!$F$14,$M274,BS$13)="",10^12,OFFSET(CRONOPLE!$F$14,$M274,BS$13))))</f>
        <v>1000000000000</v>
      </c>
      <c r="BT274" s="181">
        <f ca="1">IF($D274&lt;&gt;"Serviço",0,IF(AND(AUTOEVENTO="Manual",$M274=1),0,IF(OFFSET(CRONOPLE!$F$14,$M274,BT$13)="",10^12,OFFSET(CRONOPLE!$F$14,$M274,BT$13))))</f>
        <v>1000000000000</v>
      </c>
      <c r="BV274" s="182">
        <f ca="1">IF($D274&lt;&gt;"Serviço",0,IF(OR(AND(AUTOEVENTO="Manual",$M274=1),$M274&gt;(ROW(PLE.lastrow)-ROW(PLE.firstrow))),0,IF(OFFSET(PLE!$G$14,$M274,BV$13)="",10^12,OFFSET(PLE!$G$14,$M274,BV$13))))</f>
        <v>1000000000000</v>
      </c>
      <c r="BW274" s="182">
        <f ca="1">IF($D274&lt;&gt;"Serviço",0,IF(OR(AND(AUTOEVENTO="Manual",$M274=1),$M274&gt;(ROW(PLE.lastrow)-ROW(PLE.firstrow))),0,IF(OFFSET(PLE!$G$14,$M274,BW$13)="",10^12,OFFSET(PLE!$G$14,$M274,BW$13))))</f>
        <v>1000000000000</v>
      </c>
      <c r="BX274" s="182">
        <f ca="1">IF($D274&lt;&gt;"Serviço",0,IF(OR(AND(AUTOEVENTO="Manual",$M274=1),$M274&gt;(ROW(PLE.lastrow)-ROW(PLE.firstrow))),0,IF(OFFSET(PLE!$G$14,$M274,BX$13)="",10^12,OFFSET(PLE!$G$14,$M274,BX$13))))</f>
        <v>1000000000000</v>
      </c>
      <c r="BY274" s="182">
        <f ca="1">IF($D274&lt;&gt;"Serviço",0,IF(OR(AND(AUTOEVENTO="Manual",$M274=1),$M274&gt;(ROW(PLE.lastrow)-ROW(PLE.firstrow))),0,IF(OFFSET(PLE!$G$14,$M274,BY$13)="",10^12,OFFSET(PLE!$G$14,$M274,BY$13))))</f>
        <v>1000000000000</v>
      </c>
      <c r="BZ274" s="182">
        <f ca="1">IF($D274&lt;&gt;"Serviço",0,IF(OR(AND(AUTOEVENTO="Manual",$M274=1),$M274&gt;(ROW(PLE.lastrow)-ROW(PLE.firstrow))),0,IF(OFFSET(PLE!$G$14,$M274,BZ$13)="",10^12,OFFSET(PLE!$G$14,$M274,BZ$13))))</f>
        <v>1000000000000</v>
      </c>
      <c r="CA274" s="182">
        <f ca="1">IF($D274&lt;&gt;"Serviço",0,IF(OR(AND(AUTOEVENTO="Manual",$M274=1),$M274&gt;(ROW(PLE.lastrow)-ROW(PLE.firstrow))),0,IF(OFFSET(PLE!$G$14,$M274,CA$13)="",10^12,OFFSET(PLE!$G$14,$M274,CA$13))))</f>
        <v>1000000000000</v>
      </c>
      <c r="CB274" s="182">
        <f ca="1">IF($D274&lt;&gt;"Serviço",0,IF(OR(AND(AUTOEVENTO="Manual",$M274=1),$M274&gt;(ROW(PLE.lastrow)-ROW(PLE.firstrow))),0,IF(OFFSET(PLE!$G$14,$M274,CB$13)="",10^12,OFFSET(PLE!$G$14,$M274,CB$13))))</f>
        <v>1000000000000</v>
      </c>
      <c r="CC274" s="182">
        <f ca="1">IF($D274&lt;&gt;"Serviço",0,IF(OR(AND(AUTOEVENTO="Manual",$M274=1),$M274&gt;(ROW(PLE.lastrow)-ROW(PLE.firstrow))),0,IF(OFFSET(PLE!$G$14,$M274,CC$13)="",10^12,OFFSET(PLE!$G$14,$M274,CC$13))))</f>
        <v>1000000000000</v>
      </c>
      <c r="CD274" s="182">
        <f ca="1">IF($D274&lt;&gt;"Serviço",0,IF(OR(AND(AUTOEVENTO="Manual",$M274=1),$M274&gt;(ROW(PLE.lastrow)-ROW(PLE.firstrow))),0,IF(OFFSET(PLE!$G$14,$M274,CD$13)="",10^12,OFFSET(PLE!$G$14,$M274,CD$13))))</f>
        <v>1000000000000</v>
      </c>
      <c r="CE274" s="182">
        <f ca="1">IF($D274&lt;&gt;"Serviço",0,IF(OR(AND(AUTOEVENTO="Manual",$M274=1),$M274&gt;(ROW(PLE.lastrow)-ROW(PLE.firstrow))),0,IF(OFFSET(PLE!$G$14,$M274,CE$13)="",10^12,OFFSET(PLE!$G$14,$M274,CE$13))))</f>
        <v>1000000000000</v>
      </c>
      <c r="CF274" s="182">
        <f ca="1">IF($D274&lt;&gt;"Serviço",0,IF(OR(AND(AUTOEVENTO="Manual",$M274=1),$M274&gt;(ROW(PLE.lastrow)-ROW(PLE.firstrow))),0,IF(OFFSET(PLE!$G$14,$M274,CF$13)="",10^12,OFFSET(PLE!$G$14,$M274,CF$13))))</f>
        <v>1000000000000</v>
      </c>
      <c r="CG274" s="182">
        <f ca="1">IF($D274&lt;&gt;"Serviço",0,IF(OR(AND(AUTOEVENTO="Manual",$M274=1),$M274&gt;(ROW(PLE.lastrow)-ROW(PLE.firstrow))),0,IF(OFFSET(PLE!$G$14,$M274,CG$13)="",10^12,OFFSET(PLE!$G$14,$M274,CG$13))))</f>
        <v>1000000000000</v>
      </c>
      <c r="CH274" s="182">
        <f ca="1">IF($D274&lt;&gt;"Serviço",0,IF(OR(AND(AUTOEVENTO="Manual",$M274=1),$M274&gt;(ROW(PLE.lastrow)-ROW(PLE.firstrow))),0,IF(OFFSET(PLE!$G$14,$M274,CH$13)="",10^12,OFFSET(PLE!$G$14,$M274,CH$13))))</f>
        <v>1000000000000</v>
      </c>
      <c r="CI274" s="182">
        <f ca="1">IF($D274&lt;&gt;"Serviço",0,IF(OR(AND(AUTOEVENTO="Manual",$M274=1),$M274&gt;(ROW(PLE.lastrow)-ROW(PLE.firstrow))),0,IF(OFFSET(PLE!$G$14,$M274,CI$13)="",10^12,OFFSET(PLE!$G$14,$M274,CI$13))))</f>
        <v>1000000000000</v>
      </c>
      <c r="CJ274" s="182">
        <f ca="1">IF($D274&lt;&gt;"Serviço",0,IF(OR(AND(AUTOEVENTO="Manual",$M274=1),$M274&gt;(ROW(PLE.lastrow)-ROW(PLE.firstrow))),0,IF(OFFSET(PLE!$G$14,$M274,CJ$13)="",10^12,OFFSET(PLE!$G$14,$M274,CJ$13))))</f>
        <v>1000000000000</v>
      </c>
      <c r="CK274" s="182">
        <f ca="1">IF($D274&lt;&gt;"Serviço",0,IF(OR(AND(AUTOEVENTO="Manual",$M274=1),$M274&gt;(ROW(PLE.lastrow)-ROW(PLE.firstrow))),0,IF(OFFSET(PLE!$G$14,$M274,CK$13)="",10^12,OFFSET(PLE!$G$14,$M274,CK$13))))</f>
        <v>1000000000000</v>
      </c>
      <c r="CL274" s="182">
        <f ca="1">IF($D274&lt;&gt;"Serviço",0,IF(OR(AND(AUTOEVENTO="Manual",$M274=1),$M274&gt;(ROW(PLE.lastrow)-ROW(PLE.firstrow))),0,IF(OFFSET(PLE!$G$14,$M274,CL$13)="",10^12,OFFSET(PLE!$G$14,$M274,CL$13))))</f>
        <v>1000000000000</v>
      </c>
      <c r="CM274" s="182">
        <f ca="1">IF($D274&lt;&gt;"Serviço",0,IF(OR(AND(AUTOEVENTO="Manual",$M274=1),$M274&gt;(ROW(PLE.lastrow)-ROW(PLE.firstrow))),0,IF(OFFSET(PLE!$G$14,$M274,CM$13)="",10^12,OFFSET(PLE!$G$14,$M274,CM$13))))</f>
        <v>1000000000000</v>
      </c>
    </row>
    <row r="275" spans="1:91" ht="38.25" x14ac:dyDescent="0.2">
      <c r="A275" s="7" t="str">
        <f t="shared" ca="1" si="12"/>
        <v>232</v>
      </c>
      <c r="B275" s="7" t="str">
        <f ca="1">OFFSET(ORÇAMENTO!C$15,ROW(B275)-ROW(B$15),0)</f>
        <v>S</v>
      </c>
      <c r="C275" s="7" t="str">
        <f ca="1">OFFSET(ORÇAMENTO!L$15,ROW(C275)-ROW(C$15),0)</f>
        <v/>
      </c>
      <c r="D275" s="118" t="str">
        <f ca="1">OFFSET(ORÇAMENTO!N$15,ROW(D275)-ROW(D$15),0)</f>
        <v>Serviço</v>
      </c>
      <c r="E275" s="119" t="str">
        <f ca="1">OFFSET(ORÇAMENTO!O$15,ROW(E275)-ROW(E$15),0)</f>
        <v>-</v>
      </c>
      <c r="F275" s="172" t="str">
        <f ca="1">OFFSET(ORÇAMENTO!R$15,ROW(F275)-ROW(F$15),0)</f>
        <v>(abra o arquivo 'Referência 06-2024.xlsm)</v>
      </c>
      <c r="G275" s="173" t="str">
        <f ca="1">IF($D275&lt;&gt;"Serviço","",OFFSET(ORÇAMENTO!S$15,ROW(G275)-ROW(G$15),0))</f>
        <v>-</v>
      </c>
      <c r="H275" s="124">
        <f ca="1">IF($D275&lt;&gt;"Serviço",0,IF(ACOMPANHAMENTO="BM",ROUND(OFFSET(ORÇAMENTO!AJ$15,ROW(H275)-ROW(H$15),0),15-13*ORÇAMENTO!$AF$7),SUMPRODUCT(($Q$12:$AI$12&lt;&gt;"")*ROUND($Q275:$AI275,15-13*ORÇAMENTO!$AF$7))))</f>
        <v>19</v>
      </c>
      <c r="I275" s="561" t="s">
        <v>1107</v>
      </c>
      <c r="K275" s="174"/>
      <c r="L275" s="175" t="s">
        <v>255</v>
      </c>
      <c r="M275" s="176">
        <f ca="1">IF($D275&lt;&gt;"Serviço","",IF(AUTOEVENTO="manual",$A275,IF(ISERROR(MATCH($A275,$A$15:OFFSET($A275,-1,0),0)),MAX($M$15:OFFSET(M275,-1,0))+1,INDEX($M$15:OFFSET(M275,-1,0),MATCH($A275,$A$15:OFFSET($A275,-1,0),0)))))</f>
        <v>35</v>
      </c>
      <c r="N275" s="177" t="str">
        <f ca="1">IF($D275&lt;&gt;"Serviço","",IF(AUTOEVENTO="Manual",IF($A275=0,"&lt;-- defina o número do agrupador",OFFSET(EVENTOS!$D$14,$A275,0)),OFFSET($F$15,$A275,0)))</f>
        <v>INSTALAÇÃO HIDRÁULICA - TUBULAÇÕES E CONEXÕES DE PVC RÍGIDO</v>
      </c>
      <c r="O275" s="178"/>
      <c r="Q275" s="178">
        <v>19</v>
      </c>
      <c r="R275" s="179"/>
      <c r="S275" s="179"/>
      <c r="T275" s="179"/>
      <c r="U275" s="179"/>
      <c r="V275" s="179"/>
      <c r="W275" s="179"/>
      <c r="X275" s="179"/>
      <c r="Y275" s="179"/>
      <c r="Z275" s="180"/>
      <c r="AA275" s="179"/>
      <c r="AB275" s="179"/>
      <c r="AC275" s="179"/>
      <c r="AD275" s="179"/>
      <c r="AE275" s="179"/>
      <c r="AF275" s="179"/>
      <c r="AG275" s="179"/>
      <c r="AH275" s="180"/>
      <c r="AJ275" s="544">
        <f ca="1">IF(AND($D275="Serviço",AJ$12&lt;&gt;0,$H275&gt;0,OR(AUTOEVENTO&lt;&gt;"manual",$M275&lt;&gt;1)),
IF(Import.TipoArredondamento&lt;&gt;"TransfereGOV",
ROUND(OFFSET($P275,0,AJ$13),15-13*ORÇAMENTO!$AF$7)/$H275*OFFSET(ORÇAMENTO!$X$15,ROW(AJ275)-ROW(AJ$15),0),
ROUND(ROUND(OFFSET($P275,0,AJ$13),15-13*ORÇAMENTO!$AF$7)*OFFSET(ORÇAMENTO!$W$15,ROW(AJ275)-ROW(AJ$15),0),15-13*ORÇAMENTO!$AF$11)),0)</f>
        <v>0</v>
      </c>
      <c r="AK275" s="545">
        <f ca="1">IF(AND($D275="Serviço",AK$12&lt;&gt;0,$H275&gt;0,OR(AUTOEVENTO&lt;&gt;"manual",$M275&lt;&gt;1)),
IF(Import.TipoArredondamento&lt;&gt;"TransfereGOV",
ROUND(OFFSET($P275,0,AK$13),15-13*ORÇAMENTO!$AF$7)/$H275*OFFSET(ORÇAMENTO!$X$15,ROW(AK275)-ROW(AK$15),0),
ROUND(ROUND(OFFSET($P275,0,AK$13),15-13*ORÇAMENTO!$AF$7)*OFFSET(ORÇAMENTO!$W$15,ROW(AK275)-ROW(AK$15),0),15-13*ORÇAMENTO!$AF$11)),0)</f>
        <v>0</v>
      </c>
      <c r="AL275" s="545">
        <f ca="1">IF(AND($D275="Serviço",AL$12&lt;&gt;0,$H275&gt;0,OR(AUTOEVENTO&lt;&gt;"manual",$M275&lt;&gt;1)),
IF(Import.TipoArredondamento&lt;&gt;"TransfereGOV",
ROUND(OFFSET($P275,0,AL$13),15-13*ORÇAMENTO!$AF$7)/$H275*OFFSET(ORÇAMENTO!$X$15,ROW(AL275)-ROW(AL$15),0),
ROUND(ROUND(OFFSET($P275,0,AL$13),15-13*ORÇAMENTO!$AF$7)*OFFSET(ORÇAMENTO!$W$15,ROW(AL275)-ROW(AL$15),0),15-13*ORÇAMENTO!$AF$11)),0)</f>
        <v>0</v>
      </c>
      <c r="AM275" s="545">
        <f ca="1">IF(AND($D275="Serviço",AM$12&lt;&gt;0,$H275&gt;0,OR(AUTOEVENTO&lt;&gt;"manual",$M275&lt;&gt;1)),
IF(Import.TipoArredondamento&lt;&gt;"TransfereGOV",
ROUND(OFFSET($P275,0,AM$13),15-13*ORÇAMENTO!$AF$7)/$H275*OFFSET(ORÇAMENTO!$X$15,ROW(AM275)-ROW(AM$15),0),
ROUND(ROUND(OFFSET($P275,0,AM$13),15-13*ORÇAMENTO!$AF$7)*OFFSET(ORÇAMENTO!$W$15,ROW(AM275)-ROW(AM$15),0),15-13*ORÇAMENTO!$AF$11)),0)</f>
        <v>0</v>
      </c>
      <c r="AN275" s="545">
        <f ca="1">IF(AND($D275="Serviço",AN$12&lt;&gt;0,$H275&gt;0,OR(AUTOEVENTO&lt;&gt;"manual",$M275&lt;&gt;1)),
IF(Import.TipoArredondamento&lt;&gt;"TransfereGOV",
ROUND(OFFSET($P275,0,AN$13),15-13*ORÇAMENTO!$AF$7)/$H275*OFFSET(ORÇAMENTO!$X$15,ROW(AN275)-ROW(AN$15),0),
ROUND(ROUND(OFFSET($P275,0,AN$13),15-13*ORÇAMENTO!$AF$7)*OFFSET(ORÇAMENTO!$W$15,ROW(AN275)-ROW(AN$15),0),15-13*ORÇAMENTO!$AF$11)),0)</f>
        <v>0</v>
      </c>
      <c r="AO275" s="545">
        <f ca="1">IF(AND($D275="Serviço",AO$12&lt;&gt;0,$H275&gt;0,OR(AUTOEVENTO&lt;&gt;"manual",$M275&lt;&gt;1)),
IF(Import.TipoArredondamento&lt;&gt;"TransfereGOV",
ROUND(OFFSET($P275,0,AO$13),15-13*ORÇAMENTO!$AF$7)/$H275*OFFSET(ORÇAMENTO!$X$15,ROW(AO275)-ROW(AO$15),0),
ROUND(ROUND(OFFSET($P275,0,AO$13),15-13*ORÇAMENTO!$AF$7)*OFFSET(ORÇAMENTO!$W$15,ROW(AO275)-ROW(AO$15),0),15-13*ORÇAMENTO!$AF$11)),0)</f>
        <v>0</v>
      </c>
      <c r="AP275" s="545">
        <f ca="1">IF(AND($D275="Serviço",AP$12&lt;&gt;0,$H275&gt;0,OR(AUTOEVENTO&lt;&gt;"manual",$M275&lt;&gt;1)),
IF(Import.TipoArredondamento&lt;&gt;"TransfereGOV",
ROUND(OFFSET($P275,0,AP$13),15-13*ORÇAMENTO!$AF$7)/$H275*OFFSET(ORÇAMENTO!$X$15,ROW(AP275)-ROW(AP$15),0),
ROUND(ROUND(OFFSET($P275,0,AP$13),15-13*ORÇAMENTO!$AF$7)*OFFSET(ORÇAMENTO!$W$15,ROW(AP275)-ROW(AP$15),0),15-13*ORÇAMENTO!$AF$11)),0)</f>
        <v>0</v>
      </c>
      <c r="AQ275" s="545">
        <f ca="1">IF(AND($D275="Serviço",AQ$12&lt;&gt;0,$H275&gt;0,OR(AUTOEVENTO&lt;&gt;"manual",$M275&lt;&gt;1)),
IF(Import.TipoArredondamento&lt;&gt;"TransfereGOV",
ROUND(OFFSET($P275,0,AQ$13),15-13*ORÇAMENTO!$AF$7)/$H275*OFFSET(ORÇAMENTO!$X$15,ROW(AQ275)-ROW(AQ$15),0),
ROUND(ROUND(OFFSET($P275,0,AQ$13),15-13*ORÇAMENTO!$AF$7)*OFFSET(ORÇAMENTO!$W$15,ROW(AQ275)-ROW(AQ$15),0),15-13*ORÇAMENTO!$AF$11)),0)</f>
        <v>0</v>
      </c>
      <c r="AR275" s="545">
        <f ca="1">IF(AND($D275="Serviço",AR$12&lt;&gt;0,$H275&gt;0,OR(AUTOEVENTO&lt;&gt;"manual",$M275&lt;&gt;1)),
IF(Import.TipoArredondamento&lt;&gt;"TransfereGOV",
ROUND(OFFSET($P275,0,AR$13),15-13*ORÇAMENTO!$AF$7)/$H275*OFFSET(ORÇAMENTO!$X$15,ROW(AR275)-ROW(AR$15),0),
ROUND(ROUND(OFFSET($P275,0,AR$13),15-13*ORÇAMENTO!$AF$7)*OFFSET(ORÇAMENTO!$W$15,ROW(AR275)-ROW(AR$15),0),15-13*ORÇAMENTO!$AF$11)),0)</f>
        <v>0</v>
      </c>
      <c r="AS275" s="546">
        <f ca="1">IF(AND($D275="Serviço",AS$12&lt;&gt;0,$H275&gt;0,OR(AUTOEVENTO&lt;&gt;"manual",$M275&lt;&gt;1)),
IF(Import.TipoArredondamento&lt;&gt;"TransfereGOV",
ROUND(OFFSET($P275,0,AS$13),15-13*ORÇAMENTO!$AF$7)/$H275*OFFSET(ORÇAMENTO!$X$15,ROW(AS275)-ROW(AS$15),0),
ROUND(ROUND(OFFSET($P275,0,AS$13),15-13*ORÇAMENTO!$AF$7)*OFFSET(ORÇAMENTO!$W$15,ROW(AS275)-ROW(AS$15),0),15-13*ORÇAMENTO!$AF$11)),0)</f>
        <v>0</v>
      </c>
      <c r="AT275" s="545">
        <f ca="1">IF(AND($D275="Serviço",AT$12&lt;&gt;0,$H275&gt;0,OR(AUTOEVENTO&lt;&gt;"manual",$M275&lt;&gt;1)),
IF(Import.TipoArredondamento&lt;&gt;"TransfereGOV",
ROUND(OFFSET($P275,0,AT$13),15-13*ORÇAMENTO!$AF$7)/$H275*OFFSET(ORÇAMENTO!$X$15,ROW(AT275)-ROW(AT$15),0),
ROUND(ROUND(OFFSET($P275,0,AT$13),15-13*ORÇAMENTO!$AF$7)*OFFSET(ORÇAMENTO!$W$15,ROW(AT275)-ROW(AT$15),0),15-13*ORÇAMENTO!$AF$11)),0)</f>
        <v>0</v>
      </c>
      <c r="AU275" s="545">
        <f ca="1">IF(AND($D275="Serviço",AU$12&lt;&gt;0,$H275&gt;0,OR(AUTOEVENTO&lt;&gt;"manual",$M275&lt;&gt;1)),
IF(Import.TipoArredondamento&lt;&gt;"TransfereGOV",
ROUND(OFFSET($P275,0,AU$13),15-13*ORÇAMENTO!$AF$7)/$H275*OFFSET(ORÇAMENTO!$X$15,ROW(AU275)-ROW(AU$15),0),
ROUND(ROUND(OFFSET($P275,0,AU$13),15-13*ORÇAMENTO!$AF$7)*OFFSET(ORÇAMENTO!$W$15,ROW(AU275)-ROW(AU$15),0),15-13*ORÇAMENTO!$AF$11)),0)</f>
        <v>0</v>
      </c>
      <c r="AV275" s="545">
        <f ca="1">IF(AND($D275="Serviço",AV$12&lt;&gt;0,$H275&gt;0,OR(AUTOEVENTO&lt;&gt;"manual",$M275&lt;&gt;1)),
IF(Import.TipoArredondamento&lt;&gt;"TransfereGOV",
ROUND(OFFSET($P275,0,AV$13),15-13*ORÇAMENTO!$AF$7)/$H275*OFFSET(ORÇAMENTO!$X$15,ROW(AV275)-ROW(AV$15),0),
ROUND(ROUND(OFFSET($P275,0,AV$13),15-13*ORÇAMENTO!$AF$7)*OFFSET(ORÇAMENTO!$W$15,ROW(AV275)-ROW(AV$15),0),15-13*ORÇAMENTO!$AF$11)),0)</f>
        <v>0</v>
      </c>
      <c r="AW275" s="545">
        <f ca="1">IF(AND($D275="Serviço",AW$12&lt;&gt;0,$H275&gt;0,OR(AUTOEVENTO&lt;&gt;"manual",$M275&lt;&gt;1)),
IF(Import.TipoArredondamento&lt;&gt;"TransfereGOV",
ROUND(OFFSET($P275,0,AW$13),15-13*ORÇAMENTO!$AF$7)/$H275*OFFSET(ORÇAMENTO!$X$15,ROW(AW275)-ROW(AW$15),0),
ROUND(ROUND(OFFSET($P275,0,AW$13),15-13*ORÇAMENTO!$AF$7)*OFFSET(ORÇAMENTO!$W$15,ROW(AW275)-ROW(AW$15),0),15-13*ORÇAMENTO!$AF$11)),0)</f>
        <v>0</v>
      </c>
      <c r="AX275" s="545">
        <f ca="1">IF(AND($D275="Serviço",AX$12&lt;&gt;0,$H275&gt;0,OR(AUTOEVENTO&lt;&gt;"manual",$M275&lt;&gt;1)),
IF(Import.TipoArredondamento&lt;&gt;"TransfereGOV",
ROUND(OFFSET($P275,0,AX$13),15-13*ORÇAMENTO!$AF$7)/$H275*OFFSET(ORÇAMENTO!$X$15,ROW(AX275)-ROW(AX$15),0),
ROUND(ROUND(OFFSET($P275,0,AX$13),15-13*ORÇAMENTO!$AF$7)*OFFSET(ORÇAMENTO!$W$15,ROW(AX275)-ROW(AX$15),0),15-13*ORÇAMENTO!$AF$11)),0)</f>
        <v>0</v>
      </c>
      <c r="AY275" s="545">
        <f ca="1">IF(AND($D275="Serviço",AY$12&lt;&gt;0,$H275&gt;0,OR(AUTOEVENTO&lt;&gt;"manual",$M275&lt;&gt;1)),
IF(Import.TipoArredondamento&lt;&gt;"TransfereGOV",
ROUND(OFFSET($P275,0,AY$13),15-13*ORÇAMENTO!$AF$7)/$H275*OFFSET(ORÇAMENTO!$X$15,ROW(AY275)-ROW(AY$15),0),
ROUND(ROUND(OFFSET($P275,0,AY$13),15-13*ORÇAMENTO!$AF$7)*OFFSET(ORÇAMENTO!$W$15,ROW(AY275)-ROW(AY$15),0),15-13*ORÇAMENTO!$AF$11)),0)</f>
        <v>0</v>
      </c>
      <c r="AZ275" s="545">
        <f ca="1">IF(AND($D275="Serviço",AZ$12&lt;&gt;0,$H275&gt;0,OR(AUTOEVENTO&lt;&gt;"manual",$M275&lt;&gt;1)),
IF(Import.TipoArredondamento&lt;&gt;"TransfereGOV",
ROUND(OFFSET($P275,0,AZ$13),15-13*ORÇAMENTO!$AF$7)/$H275*OFFSET(ORÇAMENTO!$X$15,ROW(AZ275)-ROW(AZ$15),0),
ROUND(ROUND(OFFSET($P275,0,AZ$13),15-13*ORÇAMENTO!$AF$7)*OFFSET(ORÇAMENTO!$W$15,ROW(AZ275)-ROW(AZ$15),0),15-13*ORÇAMENTO!$AF$11)),0)</f>
        <v>0</v>
      </c>
      <c r="BA275" s="546">
        <f ca="1">IF(AND($D275="Serviço",BA$12&lt;&gt;0,$H275&gt;0,OR(AUTOEVENTO&lt;&gt;"manual",$M275&lt;&gt;1)),
IF(Import.TipoArredondamento&lt;&gt;"TransfereGOV",
ROUND(OFFSET($P275,0,BA$13),15-13*ORÇAMENTO!$AF$7)/$H275*OFFSET(ORÇAMENTO!$X$15,ROW(BA275)-ROW(BA$15),0),
ROUND(ROUND(OFFSET($P275,0,BA$13),15-13*ORÇAMENTO!$AF$7)*OFFSET(ORÇAMENTO!$W$15,ROW(BA275)-ROW(BA$15),0),15-13*ORÇAMENTO!$AF$11)),0)</f>
        <v>0</v>
      </c>
      <c r="BC275" s="181">
        <f ca="1">IF($D275&lt;&gt;"Serviço",0,IF(AND(AUTOEVENTO="Manual",$M275=1),0,IF(OFFSET(CRONOPLE!$F$14,$M275,BC$13)="",10^12,OFFSET(CRONOPLE!$F$14,$M275,BC$13))))</f>
        <v>9</v>
      </c>
      <c r="BD275" s="181">
        <f ca="1">IF($D275&lt;&gt;"Serviço",0,IF(AND(AUTOEVENTO="Manual",$M275=1),0,IF(OFFSET(CRONOPLE!$F$14,$M275,BD$13)="",10^12,OFFSET(CRONOPLE!$F$14,$M275,BD$13))))</f>
        <v>1000000000000</v>
      </c>
      <c r="BE275" s="181">
        <f ca="1">IF($D275&lt;&gt;"Serviço",0,IF(AND(AUTOEVENTO="Manual",$M275=1),0,IF(OFFSET(CRONOPLE!$F$14,$M275,BE$13)="",10^12,OFFSET(CRONOPLE!$F$14,$M275,BE$13))))</f>
        <v>1000000000000</v>
      </c>
      <c r="BF275" s="181">
        <f ca="1">IF($D275&lt;&gt;"Serviço",0,IF(AND(AUTOEVENTO="Manual",$M275=1),0,IF(OFFSET(CRONOPLE!$F$14,$M275,BF$13)="",10^12,OFFSET(CRONOPLE!$F$14,$M275,BF$13))))</f>
        <v>1000000000000</v>
      </c>
      <c r="BG275" s="181">
        <f ca="1">IF($D275&lt;&gt;"Serviço",0,IF(AND(AUTOEVENTO="Manual",$M275=1),0,IF(OFFSET(CRONOPLE!$F$14,$M275,BG$13)="",10^12,OFFSET(CRONOPLE!$F$14,$M275,BG$13))))</f>
        <v>1000000000000</v>
      </c>
      <c r="BH275" s="181">
        <f ca="1">IF($D275&lt;&gt;"Serviço",0,IF(AND(AUTOEVENTO="Manual",$M275=1),0,IF(OFFSET(CRONOPLE!$F$14,$M275,BH$13)="",10^12,OFFSET(CRONOPLE!$F$14,$M275,BH$13))))</f>
        <v>1000000000000</v>
      </c>
      <c r="BI275" s="181">
        <f ca="1">IF($D275&lt;&gt;"Serviço",0,IF(AND(AUTOEVENTO="Manual",$M275=1),0,IF(OFFSET(CRONOPLE!$F$14,$M275,BI$13)="",10^12,OFFSET(CRONOPLE!$F$14,$M275,BI$13))))</f>
        <v>1000000000000</v>
      </c>
      <c r="BJ275" s="181">
        <f ca="1">IF($D275&lt;&gt;"Serviço",0,IF(AND(AUTOEVENTO="Manual",$M275=1),0,IF(OFFSET(CRONOPLE!$F$14,$M275,BJ$13)="",10^12,OFFSET(CRONOPLE!$F$14,$M275,BJ$13))))</f>
        <v>1000000000000</v>
      </c>
      <c r="BK275" s="181">
        <f ca="1">IF($D275&lt;&gt;"Serviço",0,IF(AND(AUTOEVENTO="Manual",$M275=1),0,IF(OFFSET(CRONOPLE!$F$14,$M275,BK$13)="",10^12,OFFSET(CRONOPLE!$F$14,$M275,BK$13))))</f>
        <v>1000000000000</v>
      </c>
      <c r="BL275" s="181">
        <f ca="1">IF($D275&lt;&gt;"Serviço",0,IF(AND(AUTOEVENTO="Manual",$M275=1),0,IF(OFFSET(CRONOPLE!$F$14,$M275,BL$13)="",10^12,OFFSET(CRONOPLE!$F$14,$M275,BL$13))))</f>
        <v>1000000000000</v>
      </c>
      <c r="BM275" s="181">
        <f ca="1">IF($D275&lt;&gt;"Serviço",0,IF(AND(AUTOEVENTO="Manual",$M275=1),0,IF(OFFSET(CRONOPLE!$F$14,$M275,BM$13)="",10^12,OFFSET(CRONOPLE!$F$14,$M275,BM$13))))</f>
        <v>1000000000000</v>
      </c>
      <c r="BN275" s="181">
        <f ca="1">IF($D275&lt;&gt;"Serviço",0,IF(AND(AUTOEVENTO="Manual",$M275=1),0,IF(OFFSET(CRONOPLE!$F$14,$M275,BN$13)="",10^12,OFFSET(CRONOPLE!$F$14,$M275,BN$13))))</f>
        <v>1000000000000</v>
      </c>
      <c r="BO275" s="181">
        <f ca="1">IF($D275&lt;&gt;"Serviço",0,IF(AND(AUTOEVENTO="Manual",$M275=1),0,IF(OFFSET(CRONOPLE!$F$14,$M275,BO$13)="",10^12,OFFSET(CRONOPLE!$F$14,$M275,BO$13))))</f>
        <v>1000000000000</v>
      </c>
      <c r="BP275" s="181">
        <f ca="1">IF($D275&lt;&gt;"Serviço",0,IF(AND(AUTOEVENTO="Manual",$M275=1),0,IF(OFFSET(CRONOPLE!$F$14,$M275,BP$13)="",10^12,OFFSET(CRONOPLE!$F$14,$M275,BP$13))))</f>
        <v>1000000000000</v>
      </c>
      <c r="BQ275" s="181">
        <f ca="1">IF($D275&lt;&gt;"Serviço",0,IF(AND(AUTOEVENTO="Manual",$M275=1),0,IF(OFFSET(CRONOPLE!$F$14,$M275,BQ$13)="",10^12,OFFSET(CRONOPLE!$F$14,$M275,BQ$13))))</f>
        <v>1000000000000</v>
      </c>
      <c r="BR275" s="181">
        <f ca="1">IF($D275&lt;&gt;"Serviço",0,IF(AND(AUTOEVENTO="Manual",$M275=1),0,IF(OFFSET(CRONOPLE!$F$14,$M275,BR$13)="",10^12,OFFSET(CRONOPLE!$F$14,$M275,BR$13))))</f>
        <v>1000000000000</v>
      </c>
      <c r="BS275" s="181">
        <f ca="1">IF($D275&lt;&gt;"Serviço",0,IF(AND(AUTOEVENTO="Manual",$M275=1),0,IF(OFFSET(CRONOPLE!$F$14,$M275,BS$13)="",10^12,OFFSET(CRONOPLE!$F$14,$M275,BS$13))))</f>
        <v>1000000000000</v>
      </c>
      <c r="BT275" s="181">
        <f ca="1">IF($D275&lt;&gt;"Serviço",0,IF(AND(AUTOEVENTO="Manual",$M275=1),0,IF(OFFSET(CRONOPLE!$F$14,$M275,BT$13)="",10^12,OFFSET(CRONOPLE!$F$14,$M275,BT$13))))</f>
        <v>1000000000000</v>
      </c>
      <c r="BV275" s="182">
        <f ca="1">IF($D275&lt;&gt;"Serviço",0,IF(OR(AND(AUTOEVENTO="Manual",$M275=1),$M275&gt;(ROW(PLE.lastrow)-ROW(PLE.firstrow))),0,IF(OFFSET(PLE!$G$14,$M275,BV$13)="",10^12,OFFSET(PLE!$G$14,$M275,BV$13))))</f>
        <v>1000000000000</v>
      </c>
      <c r="BW275" s="182">
        <f ca="1">IF($D275&lt;&gt;"Serviço",0,IF(OR(AND(AUTOEVENTO="Manual",$M275=1),$M275&gt;(ROW(PLE.lastrow)-ROW(PLE.firstrow))),0,IF(OFFSET(PLE!$G$14,$M275,BW$13)="",10^12,OFFSET(PLE!$G$14,$M275,BW$13))))</f>
        <v>1000000000000</v>
      </c>
      <c r="BX275" s="182">
        <f ca="1">IF($D275&lt;&gt;"Serviço",0,IF(OR(AND(AUTOEVENTO="Manual",$M275=1),$M275&gt;(ROW(PLE.lastrow)-ROW(PLE.firstrow))),0,IF(OFFSET(PLE!$G$14,$M275,BX$13)="",10^12,OFFSET(PLE!$G$14,$M275,BX$13))))</f>
        <v>1000000000000</v>
      </c>
      <c r="BY275" s="182">
        <f ca="1">IF($D275&lt;&gt;"Serviço",0,IF(OR(AND(AUTOEVENTO="Manual",$M275=1),$M275&gt;(ROW(PLE.lastrow)-ROW(PLE.firstrow))),0,IF(OFFSET(PLE!$G$14,$M275,BY$13)="",10^12,OFFSET(PLE!$G$14,$M275,BY$13))))</f>
        <v>1000000000000</v>
      </c>
      <c r="BZ275" s="182">
        <f ca="1">IF($D275&lt;&gt;"Serviço",0,IF(OR(AND(AUTOEVENTO="Manual",$M275=1),$M275&gt;(ROW(PLE.lastrow)-ROW(PLE.firstrow))),0,IF(OFFSET(PLE!$G$14,$M275,BZ$13)="",10^12,OFFSET(PLE!$G$14,$M275,BZ$13))))</f>
        <v>1000000000000</v>
      </c>
      <c r="CA275" s="182">
        <f ca="1">IF($D275&lt;&gt;"Serviço",0,IF(OR(AND(AUTOEVENTO="Manual",$M275=1),$M275&gt;(ROW(PLE.lastrow)-ROW(PLE.firstrow))),0,IF(OFFSET(PLE!$G$14,$M275,CA$13)="",10^12,OFFSET(PLE!$G$14,$M275,CA$13))))</f>
        <v>1000000000000</v>
      </c>
      <c r="CB275" s="182">
        <f ca="1">IF($D275&lt;&gt;"Serviço",0,IF(OR(AND(AUTOEVENTO="Manual",$M275=1),$M275&gt;(ROW(PLE.lastrow)-ROW(PLE.firstrow))),0,IF(OFFSET(PLE!$G$14,$M275,CB$13)="",10^12,OFFSET(PLE!$G$14,$M275,CB$13))))</f>
        <v>1000000000000</v>
      </c>
      <c r="CC275" s="182">
        <f ca="1">IF($D275&lt;&gt;"Serviço",0,IF(OR(AND(AUTOEVENTO="Manual",$M275=1),$M275&gt;(ROW(PLE.lastrow)-ROW(PLE.firstrow))),0,IF(OFFSET(PLE!$G$14,$M275,CC$13)="",10^12,OFFSET(PLE!$G$14,$M275,CC$13))))</f>
        <v>1000000000000</v>
      </c>
      <c r="CD275" s="182">
        <f ca="1">IF($D275&lt;&gt;"Serviço",0,IF(OR(AND(AUTOEVENTO="Manual",$M275=1),$M275&gt;(ROW(PLE.lastrow)-ROW(PLE.firstrow))),0,IF(OFFSET(PLE!$G$14,$M275,CD$13)="",10^12,OFFSET(PLE!$G$14,$M275,CD$13))))</f>
        <v>1000000000000</v>
      </c>
      <c r="CE275" s="182">
        <f ca="1">IF($D275&lt;&gt;"Serviço",0,IF(OR(AND(AUTOEVENTO="Manual",$M275=1),$M275&gt;(ROW(PLE.lastrow)-ROW(PLE.firstrow))),0,IF(OFFSET(PLE!$G$14,$M275,CE$13)="",10^12,OFFSET(PLE!$G$14,$M275,CE$13))))</f>
        <v>1000000000000</v>
      </c>
      <c r="CF275" s="182">
        <f ca="1">IF($D275&lt;&gt;"Serviço",0,IF(OR(AND(AUTOEVENTO="Manual",$M275=1),$M275&gt;(ROW(PLE.lastrow)-ROW(PLE.firstrow))),0,IF(OFFSET(PLE!$G$14,$M275,CF$13)="",10^12,OFFSET(PLE!$G$14,$M275,CF$13))))</f>
        <v>1000000000000</v>
      </c>
      <c r="CG275" s="182">
        <f ca="1">IF($D275&lt;&gt;"Serviço",0,IF(OR(AND(AUTOEVENTO="Manual",$M275=1),$M275&gt;(ROW(PLE.lastrow)-ROW(PLE.firstrow))),0,IF(OFFSET(PLE!$G$14,$M275,CG$13)="",10^12,OFFSET(PLE!$G$14,$M275,CG$13))))</f>
        <v>1000000000000</v>
      </c>
      <c r="CH275" s="182">
        <f ca="1">IF($D275&lt;&gt;"Serviço",0,IF(OR(AND(AUTOEVENTO="Manual",$M275=1),$M275&gt;(ROW(PLE.lastrow)-ROW(PLE.firstrow))),0,IF(OFFSET(PLE!$G$14,$M275,CH$13)="",10^12,OFFSET(PLE!$G$14,$M275,CH$13))))</f>
        <v>1000000000000</v>
      </c>
      <c r="CI275" s="182">
        <f ca="1">IF($D275&lt;&gt;"Serviço",0,IF(OR(AND(AUTOEVENTO="Manual",$M275=1),$M275&gt;(ROW(PLE.lastrow)-ROW(PLE.firstrow))),0,IF(OFFSET(PLE!$G$14,$M275,CI$13)="",10^12,OFFSET(PLE!$G$14,$M275,CI$13))))</f>
        <v>1000000000000</v>
      </c>
      <c r="CJ275" s="182">
        <f ca="1">IF($D275&lt;&gt;"Serviço",0,IF(OR(AND(AUTOEVENTO="Manual",$M275=1),$M275&gt;(ROW(PLE.lastrow)-ROW(PLE.firstrow))),0,IF(OFFSET(PLE!$G$14,$M275,CJ$13)="",10^12,OFFSET(PLE!$G$14,$M275,CJ$13))))</f>
        <v>1000000000000</v>
      </c>
      <c r="CK275" s="182">
        <f ca="1">IF($D275&lt;&gt;"Serviço",0,IF(OR(AND(AUTOEVENTO="Manual",$M275=1),$M275&gt;(ROW(PLE.lastrow)-ROW(PLE.firstrow))),0,IF(OFFSET(PLE!$G$14,$M275,CK$13)="",10^12,OFFSET(PLE!$G$14,$M275,CK$13))))</f>
        <v>1000000000000</v>
      </c>
      <c r="CL275" s="182">
        <f ca="1">IF($D275&lt;&gt;"Serviço",0,IF(OR(AND(AUTOEVENTO="Manual",$M275=1),$M275&gt;(ROW(PLE.lastrow)-ROW(PLE.firstrow))),0,IF(OFFSET(PLE!$G$14,$M275,CL$13)="",10^12,OFFSET(PLE!$G$14,$M275,CL$13))))</f>
        <v>1000000000000</v>
      </c>
      <c r="CM275" s="182">
        <f ca="1">IF($D275&lt;&gt;"Serviço",0,IF(OR(AND(AUTOEVENTO="Manual",$M275=1),$M275&gt;(ROW(PLE.lastrow)-ROW(PLE.firstrow))),0,IF(OFFSET(PLE!$G$14,$M275,CM$13)="",10^12,OFFSET(PLE!$G$14,$M275,CM$13))))</f>
        <v>1000000000000</v>
      </c>
    </row>
    <row r="276" spans="1:91" ht="38.25" x14ac:dyDescent="0.2">
      <c r="A276" s="7" t="str">
        <f t="shared" ca="1" si="12"/>
        <v>232</v>
      </c>
      <c r="B276" s="7" t="str">
        <f ca="1">OFFSET(ORÇAMENTO!C$15,ROW(B276)-ROW(B$15),0)</f>
        <v>S</v>
      </c>
      <c r="C276" s="7" t="str">
        <f ca="1">OFFSET(ORÇAMENTO!L$15,ROW(C276)-ROW(C$15),0)</f>
        <v/>
      </c>
      <c r="D276" s="118" t="str">
        <f ca="1">OFFSET(ORÇAMENTO!N$15,ROW(D276)-ROW(D$15),0)</f>
        <v>Serviço</v>
      </c>
      <c r="E276" s="119" t="str">
        <f ca="1">OFFSET(ORÇAMENTO!O$15,ROW(E276)-ROW(E$15),0)</f>
        <v>-</v>
      </c>
      <c r="F276" s="172" t="str">
        <f ca="1">OFFSET(ORÇAMENTO!R$15,ROW(F276)-ROW(F$15),0)</f>
        <v>(abra o arquivo 'Referência 06-2024.xlsm)</v>
      </c>
      <c r="G276" s="173" t="str">
        <f ca="1">IF($D276&lt;&gt;"Serviço","",OFFSET(ORÇAMENTO!S$15,ROW(G276)-ROW(G$15),0))</f>
        <v>-</v>
      </c>
      <c r="H276" s="124">
        <f ca="1">IF($D276&lt;&gt;"Serviço",0,IF(ACOMPANHAMENTO="BM",ROUND(OFFSET(ORÇAMENTO!AJ$15,ROW(H276)-ROW(H$15),0),15-13*ORÇAMENTO!$AF$7),SUMPRODUCT(($Q$12:$AI$12&lt;&gt;"")*ROUND($Q276:$AI276,15-13*ORÇAMENTO!$AF$7))))</f>
        <v>33</v>
      </c>
      <c r="I276" s="561" t="s">
        <v>1107</v>
      </c>
      <c r="K276" s="174"/>
      <c r="L276" s="175" t="s">
        <v>255</v>
      </c>
      <c r="M276" s="176">
        <f ca="1">IF($D276&lt;&gt;"Serviço","",IF(AUTOEVENTO="manual",$A276,IF(ISERROR(MATCH($A276,$A$15:OFFSET($A276,-1,0),0)),MAX($M$15:OFFSET(M276,-1,0))+1,INDEX($M$15:OFFSET(M276,-1,0),MATCH($A276,$A$15:OFFSET($A276,-1,0),0)))))</f>
        <v>35</v>
      </c>
      <c r="N276" s="177" t="str">
        <f ca="1">IF($D276&lt;&gt;"Serviço","",IF(AUTOEVENTO="Manual",IF($A276=0,"&lt;-- defina o número do agrupador",OFFSET(EVENTOS!$D$14,$A276,0)),OFFSET($F$15,$A276,0)))</f>
        <v>INSTALAÇÃO HIDRÁULICA - TUBULAÇÕES E CONEXÕES DE PVC RÍGIDO</v>
      </c>
      <c r="O276" s="178"/>
      <c r="Q276" s="178">
        <v>33</v>
      </c>
      <c r="R276" s="179"/>
      <c r="S276" s="179"/>
      <c r="T276" s="179"/>
      <c r="U276" s="179"/>
      <c r="V276" s="179"/>
      <c r="W276" s="179"/>
      <c r="X276" s="179"/>
      <c r="Y276" s="179"/>
      <c r="Z276" s="180"/>
      <c r="AA276" s="179"/>
      <c r="AB276" s="179"/>
      <c r="AC276" s="179"/>
      <c r="AD276" s="179"/>
      <c r="AE276" s="179"/>
      <c r="AF276" s="179"/>
      <c r="AG276" s="179"/>
      <c r="AH276" s="180"/>
      <c r="AJ276" s="544">
        <f ca="1">IF(AND($D276="Serviço",AJ$12&lt;&gt;0,$H276&gt;0,OR(AUTOEVENTO&lt;&gt;"manual",$M276&lt;&gt;1)),
IF(Import.TipoArredondamento&lt;&gt;"TransfereGOV",
ROUND(OFFSET($P276,0,AJ$13),15-13*ORÇAMENTO!$AF$7)/$H276*OFFSET(ORÇAMENTO!$X$15,ROW(AJ276)-ROW(AJ$15),0),
ROUND(ROUND(OFFSET($P276,0,AJ$13),15-13*ORÇAMENTO!$AF$7)*OFFSET(ORÇAMENTO!$W$15,ROW(AJ276)-ROW(AJ$15),0),15-13*ORÇAMENTO!$AF$11)),0)</f>
        <v>0</v>
      </c>
      <c r="AK276" s="545">
        <f ca="1">IF(AND($D276="Serviço",AK$12&lt;&gt;0,$H276&gt;0,OR(AUTOEVENTO&lt;&gt;"manual",$M276&lt;&gt;1)),
IF(Import.TipoArredondamento&lt;&gt;"TransfereGOV",
ROUND(OFFSET($P276,0,AK$13),15-13*ORÇAMENTO!$AF$7)/$H276*OFFSET(ORÇAMENTO!$X$15,ROW(AK276)-ROW(AK$15),0),
ROUND(ROUND(OFFSET($P276,0,AK$13),15-13*ORÇAMENTO!$AF$7)*OFFSET(ORÇAMENTO!$W$15,ROW(AK276)-ROW(AK$15),0),15-13*ORÇAMENTO!$AF$11)),0)</f>
        <v>0</v>
      </c>
      <c r="AL276" s="545">
        <f ca="1">IF(AND($D276="Serviço",AL$12&lt;&gt;0,$H276&gt;0,OR(AUTOEVENTO&lt;&gt;"manual",$M276&lt;&gt;1)),
IF(Import.TipoArredondamento&lt;&gt;"TransfereGOV",
ROUND(OFFSET($P276,0,AL$13),15-13*ORÇAMENTO!$AF$7)/$H276*OFFSET(ORÇAMENTO!$X$15,ROW(AL276)-ROW(AL$15),0),
ROUND(ROUND(OFFSET($P276,0,AL$13),15-13*ORÇAMENTO!$AF$7)*OFFSET(ORÇAMENTO!$W$15,ROW(AL276)-ROW(AL$15),0),15-13*ORÇAMENTO!$AF$11)),0)</f>
        <v>0</v>
      </c>
      <c r="AM276" s="545">
        <f ca="1">IF(AND($D276="Serviço",AM$12&lt;&gt;0,$H276&gt;0,OR(AUTOEVENTO&lt;&gt;"manual",$M276&lt;&gt;1)),
IF(Import.TipoArredondamento&lt;&gt;"TransfereGOV",
ROUND(OFFSET($P276,0,AM$13),15-13*ORÇAMENTO!$AF$7)/$H276*OFFSET(ORÇAMENTO!$X$15,ROW(AM276)-ROW(AM$15),0),
ROUND(ROUND(OFFSET($P276,0,AM$13),15-13*ORÇAMENTO!$AF$7)*OFFSET(ORÇAMENTO!$W$15,ROW(AM276)-ROW(AM$15),0),15-13*ORÇAMENTO!$AF$11)),0)</f>
        <v>0</v>
      </c>
      <c r="AN276" s="545">
        <f ca="1">IF(AND($D276="Serviço",AN$12&lt;&gt;0,$H276&gt;0,OR(AUTOEVENTO&lt;&gt;"manual",$M276&lt;&gt;1)),
IF(Import.TipoArredondamento&lt;&gt;"TransfereGOV",
ROUND(OFFSET($P276,0,AN$13),15-13*ORÇAMENTO!$AF$7)/$H276*OFFSET(ORÇAMENTO!$X$15,ROW(AN276)-ROW(AN$15),0),
ROUND(ROUND(OFFSET($P276,0,AN$13),15-13*ORÇAMENTO!$AF$7)*OFFSET(ORÇAMENTO!$W$15,ROW(AN276)-ROW(AN$15),0),15-13*ORÇAMENTO!$AF$11)),0)</f>
        <v>0</v>
      </c>
      <c r="AO276" s="545">
        <f ca="1">IF(AND($D276="Serviço",AO$12&lt;&gt;0,$H276&gt;0,OR(AUTOEVENTO&lt;&gt;"manual",$M276&lt;&gt;1)),
IF(Import.TipoArredondamento&lt;&gt;"TransfereGOV",
ROUND(OFFSET($P276,0,AO$13),15-13*ORÇAMENTO!$AF$7)/$H276*OFFSET(ORÇAMENTO!$X$15,ROW(AO276)-ROW(AO$15),0),
ROUND(ROUND(OFFSET($P276,0,AO$13),15-13*ORÇAMENTO!$AF$7)*OFFSET(ORÇAMENTO!$W$15,ROW(AO276)-ROW(AO$15),0),15-13*ORÇAMENTO!$AF$11)),0)</f>
        <v>0</v>
      </c>
      <c r="AP276" s="545">
        <f ca="1">IF(AND($D276="Serviço",AP$12&lt;&gt;0,$H276&gt;0,OR(AUTOEVENTO&lt;&gt;"manual",$M276&lt;&gt;1)),
IF(Import.TipoArredondamento&lt;&gt;"TransfereGOV",
ROUND(OFFSET($P276,0,AP$13),15-13*ORÇAMENTO!$AF$7)/$H276*OFFSET(ORÇAMENTO!$X$15,ROW(AP276)-ROW(AP$15),0),
ROUND(ROUND(OFFSET($P276,0,AP$13),15-13*ORÇAMENTO!$AF$7)*OFFSET(ORÇAMENTO!$W$15,ROW(AP276)-ROW(AP$15),0),15-13*ORÇAMENTO!$AF$11)),0)</f>
        <v>0</v>
      </c>
      <c r="AQ276" s="545">
        <f ca="1">IF(AND($D276="Serviço",AQ$12&lt;&gt;0,$H276&gt;0,OR(AUTOEVENTO&lt;&gt;"manual",$M276&lt;&gt;1)),
IF(Import.TipoArredondamento&lt;&gt;"TransfereGOV",
ROUND(OFFSET($P276,0,AQ$13),15-13*ORÇAMENTO!$AF$7)/$H276*OFFSET(ORÇAMENTO!$X$15,ROW(AQ276)-ROW(AQ$15),0),
ROUND(ROUND(OFFSET($P276,0,AQ$13),15-13*ORÇAMENTO!$AF$7)*OFFSET(ORÇAMENTO!$W$15,ROW(AQ276)-ROW(AQ$15),0),15-13*ORÇAMENTO!$AF$11)),0)</f>
        <v>0</v>
      </c>
      <c r="AR276" s="545">
        <f ca="1">IF(AND($D276="Serviço",AR$12&lt;&gt;0,$H276&gt;0,OR(AUTOEVENTO&lt;&gt;"manual",$M276&lt;&gt;1)),
IF(Import.TipoArredondamento&lt;&gt;"TransfereGOV",
ROUND(OFFSET($P276,0,AR$13),15-13*ORÇAMENTO!$AF$7)/$H276*OFFSET(ORÇAMENTO!$X$15,ROW(AR276)-ROW(AR$15),0),
ROUND(ROUND(OFFSET($P276,0,AR$13),15-13*ORÇAMENTO!$AF$7)*OFFSET(ORÇAMENTO!$W$15,ROW(AR276)-ROW(AR$15),0),15-13*ORÇAMENTO!$AF$11)),0)</f>
        <v>0</v>
      </c>
      <c r="AS276" s="546">
        <f ca="1">IF(AND($D276="Serviço",AS$12&lt;&gt;0,$H276&gt;0,OR(AUTOEVENTO&lt;&gt;"manual",$M276&lt;&gt;1)),
IF(Import.TipoArredondamento&lt;&gt;"TransfereGOV",
ROUND(OFFSET($P276,0,AS$13),15-13*ORÇAMENTO!$AF$7)/$H276*OFFSET(ORÇAMENTO!$X$15,ROW(AS276)-ROW(AS$15),0),
ROUND(ROUND(OFFSET($P276,0,AS$13),15-13*ORÇAMENTO!$AF$7)*OFFSET(ORÇAMENTO!$W$15,ROW(AS276)-ROW(AS$15),0),15-13*ORÇAMENTO!$AF$11)),0)</f>
        <v>0</v>
      </c>
      <c r="AT276" s="545">
        <f ca="1">IF(AND($D276="Serviço",AT$12&lt;&gt;0,$H276&gt;0,OR(AUTOEVENTO&lt;&gt;"manual",$M276&lt;&gt;1)),
IF(Import.TipoArredondamento&lt;&gt;"TransfereGOV",
ROUND(OFFSET($P276,0,AT$13),15-13*ORÇAMENTO!$AF$7)/$H276*OFFSET(ORÇAMENTO!$X$15,ROW(AT276)-ROW(AT$15),0),
ROUND(ROUND(OFFSET($P276,0,AT$13),15-13*ORÇAMENTO!$AF$7)*OFFSET(ORÇAMENTO!$W$15,ROW(AT276)-ROW(AT$15),0),15-13*ORÇAMENTO!$AF$11)),0)</f>
        <v>0</v>
      </c>
      <c r="AU276" s="545">
        <f ca="1">IF(AND($D276="Serviço",AU$12&lt;&gt;0,$H276&gt;0,OR(AUTOEVENTO&lt;&gt;"manual",$M276&lt;&gt;1)),
IF(Import.TipoArredondamento&lt;&gt;"TransfereGOV",
ROUND(OFFSET($P276,0,AU$13),15-13*ORÇAMENTO!$AF$7)/$H276*OFFSET(ORÇAMENTO!$X$15,ROW(AU276)-ROW(AU$15),0),
ROUND(ROUND(OFFSET($P276,0,AU$13),15-13*ORÇAMENTO!$AF$7)*OFFSET(ORÇAMENTO!$W$15,ROW(AU276)-ROW(AU$15),0),15-13*ORÇAMENTO!$AF$11)),0)</f>
        <v>0</v>
      </c>
      <c r="AV276" s="545">
        <f ca="1">IF(AND($D276="Serviço",AV$12&lt;&gt;0,$H276&gt;0,OR(AUTOEVENTO&lt;&gt;"manual",$M276&lt;&gt;1)),
IF(Import.TipoArredondamento&lt;&gt;"TransfereGOV",
ROUND(OFFSET($P276,0,AV$13),15-13*ORÇAMENTO!$AF$7)/$H276*OFFSET(ORÇAMENTO!$X$15,ROW(AV276)-ROW(AV$15),0),
ROUND(ROUND(OFFSET($P276,0,AV$13),15-13*ORÇAMENTO!$AF$7)*OFFSET(ORÇAMENTO!$W$15,ROW(AV276)-ROW(AV$15),0),15-13*ORÇAMENTO!$AF$11)),0)</f>
        <v>0</v>
      </c>
      <c r="AW276" s="545">
        <f ca="1">IF(AND($D276="Serviço",AW$12&lt;&gt;0,$H276&gt;0,OR(AUTOEVENTO&lt;&gt;"manual",$M276&lt;&gt;1)),
IF(Import.TipoArredondamento&lt;&gt;"TransfereGOV",
ROUND(OFFSET($P276,0,AW$13),15-13*ORÇAMENTO!$AF$7)/$H276*OFFSET(ORÇAMENTO!$X$15,ROW(AW276)-ROW(AW$15),0),
ROUND(ROUND(OFFSET($P276,0,AW$13),15-13*ORÇAMENTO!$AF$7)*OFFSET(ORÇAMENTO!$W$15,ROW(AW276)-ROW(AW$15),0),15-13*ORÇAMENTO!$AF$11)),0)</f>
        <v>0</v>
      </c>
      <c r="AX276" s="545">
        <f ca="1">IF(AND($D276="Serviço",AX$12&lt;&gt;0,$H276&gt;0,OR(AUTOEVENTO&lt;&gt;"manual",$M276&lt;&gt;1)),
IF(Import.TipoArredondamento&lt;&gt;"TransfereGOV",
ROUND(OFFSET($P276,0,AX$13),15-13*ORÇAMENTO!$AF$7)/$H276*OFFSET(ORÇAMENTO!$X$15,ROW(AX276)-ROW(AX$15),0),
ROUND(ROUND(OFFSET($P276,0,AX$13),15-13*ORÇAMENTO!$AF$7)*OFFSET(ORÇAMENTO!$W$15,ROW(AX276)-ROW(AX$15),0),15-13*ORÇAMENTO!$AF$11)),0)</f>
        <v>0</v>
      </c>
      <c r="AY276" s="545">
        <f ca="1">IF(AND($D276="Serviço",AY$12&lt;&gt;0,$H276&gt;0,OR(AUTOEVENTO&lt;&gt;"manual",$M276&lt;&gt;1)),
IF(Import.TipoArredondamento&lt;&gt;"TransfereGOV",
ROUND(OFFSET($P276,0,AY$13),15-13*ORÇAMENTO!$AF$7)/$H276*OFFSET(ORÇAMENTO!$X$15,ROW(AY276)-ROW(AY$15),0),
ROUND(ROUND(OFFSET($P276,0,AY$13),15-13*ORÇAMENTO!$AF$7)*OFFSET(ORÇAMENTO!$W$15,ROW(AY276)-ROW(AY$15),0),15-13*ORÇAMENTO!$AF$11)),0)</f>
        <v>0</v>
      </c>
      <c r="AZ276" s="545">
        <f ca="1">IF(AND($D276="Serviço",AZ$12&lt;&gt;0,$H276&gt;0,OR(AUTOEVENTO&lt;&gt;"manual",$M276&lt;&gt;1)),
IF(Import.TipoArredondamento&lt;&gt;"TransfereGOV",
ROUND(OFFSET($P276,0,AZ$13),15-13*ORÇAMENTO!$AF$7)/$H276*OFFSET(ORÇAMENTO!$X$15,ROW(AZ276)-ROW(AZ$15),0),
ROUND(ROUND(OFFSET($P276,0,AZ$13),15-13*ORÇAMENTO!$AF$7)*OFFSET(ORÇAMENTO!$W$15,ROW(AZ276)-ROW(AZ$15),0),15-13*ORÇAMENTO!$AF$11)),0)</f>
        <v>0</v>
      </c>
      <c r="BA276" s="546">
        <f ca="1">IF(AND($D276="Serviço",BA$12&lt;&gt;0,$H276&gt;0,OR(AUTOEVENTO&lt;&gt;"manual",$M276&lt;&gt;1)),
IF(Import.TipoArredondamento&lt;&gt;"TransfereGOV",
ROUND(OFFSET($P276,0,BA$13),15-13*ORÇAMENTO!$AF$7)/$H276*OFFSET(ORÇAMENTO!$X$15,ROW(BA276)-ROW(BA$15),0),
ROUND(ROUND(OFFSET($P276,0,BA$13),15-13*ORÇAMENTO!$AF$7)*OFFSET(ORÇAMENTO!$W$15,ROW(BA276)-ROW(BA$15),0),15-13*ORÇAMENTO!$AF$11)),0)</f>
        <v>0</v>
      </c>
      <c r="BC276" s="181">
        <f ca="1">IF($D276&lt;&gt;"Serviço",0,IF(AND(AUTOEVENTO="Manual",$M276=1),0,IF(OFFSET(CRONOPLE!$F$14,$M276,BC$13)="",10^12,OFFSET(CRONOPLE!$F$14,$M276,BC$13))))</f>
        <v>9</v>
      </c>
      <c r="BD276" s="181">
        <f ca="1">IF($D276&lt;&gt;"Serviço",0,IF(AND(AUTOEVENTO="Manual",$M276=1),0,IF(OFFSET(CRONOPLE!$F$14,$M276,BD$13)="",10^12,OFFSET(CRONOPLE!$F$14,$M276,BD$13))))</f>
        <v>1000000000000</v>
      </c>
      <c r="BE276" s="181">
        <f ca="1">IF($D276&lt;&gt;"Serviço",0,IF(AND(AUTOEVENTO="Manual",$M276=1),0,IF(OFFSET(CRONOPLE!$F$14,$M276,BE$13)="",10^12,OFFSET(CRONOPLE!$F$14,$M276,BE$13))))</f>
        <v>1000000000000</v>
      </c>
      <c r="BF276" s="181">
        <f ca="1">IF($D276&lt;&gt;"Serviço",0,IF(AND(AUTOEVENTO="Manual",$M276=1),0,IF(OFFSET(CRONOPLE!$F$14,$M276,BF$13)="",10^12,OFFSET(CRONOPLE!$F$14,$M276,BF$13))))</f>
        <v>1000000000000</v>
      </c>
      <c r="BG276" s="181">
        <f ca="1">IF($D276&lt;&gt;"Serviço",0,IF(AND(AUTOEVENTO="Manual",$M276=1),0,IF(OFFSET(CRONOPLE!$F$14,$M276,BG$13)="",10^12,OFFSET(CRONOPLE!$F$14,$M276,BG$13))))</f>
        <v>1000000000000</v>
      </c>
      <c r="BH276" s="181">
        <f ca="1">IF($D276&lt;&gt;"Serviço",0,IF(AND(AUTOEVENTO="Manual",$M276=1),0,IF(OFFSET(CRONOPLE!$F$14,$M276,BH$13)="",10^12,OFFSET(CRONOPLE!$F$14,$M276,BH$13))))</f>
        <v>1000000000000</v>
      </c>
      <c r="BI276" s="181">
        <f ca="1">IF($D276&lt;&gt;"Serviço",0,IF(AND(AUTOEVENTO="Manual",$M276=1),0,IF(OFFSET(CRONOPLE!$F$14,$M276,BI$13)="",10^12,OFFSET(CRONOPLE!$F$14,$M276,BI$13))))</f>
        <v>1000000000000</v>
      </c>
      <c r="BJ276" s="181">
        <f ca="1">IF($D276&lt;&gt;"Serviço",0,IF(AND(AUTOEVENTO="Manual",$M276=1),0,IF(OFFSET(CRONOPLE!$F$14,$M276,BJ$13)="",10^12,OFFSET(CRONOPLE!$F$14,$M276,BJ$13))))</f>
        <v>1000000000000</v>
      </c>
      <c r="BK276" s="181">
        <f ca="1">IF($D276&lt;&gt;"Serviço",0,IF(AND(AUTOEVENTO="Manual",$M276=1),0,IF(OFFSET(CRONOPLE!$F$14,$M276,BK$13)="",10^12,OFFSET(CRONOPLE!$F$14,$M276,BK$13))))</f>
        <v>1000000000000</v>
      </c>
      <c r="BL276" s="181">
        <f ca="1">IF($D276&lt;&gt;"Serviço",0,IF(AND(AUTOEVENTO="Manual",$M276=1),0,IF(OFFSET(CRONOPLE!$F$14,$M276,BL$13)="",10^12,OFFSET(CRONOPLE!$F$14,$M276,BL$13))))</f>
        <v>1000000000000</v>
      </c>
      <c r="BM276" s="181">
        <f ca="1">IF($D276&lt;&gt;"Serviço",0,IF(AND(AUTOEVENTO="Manual",$M276=1),0,IF(OFFSET(CRONOPLE!$F$14,$M276,BM$13)="",10^12,OFFSET(CRONOPLE!$F$14,$M276,BM$13))))</f>
        <v>1000000000000</v>
      </c>
      <c r="BN276" s="181">
        <f ca="1">IF($D276&lt;&gt;"Serviço",0,IF(AND(AUTOEVENTO="Manual",$M276=1),0,IF(OFFSET(CRONOPLE!$F$14,$M276,BN$13)="",10^12,OFFSET(CRONOPLE!$F$14,$M276,BN$13))))</f>
        <v>1000000000000</v>
      </c>
      <c r="BO276" s="181">
        <f ca="1">IF($D276&lt;&gt;"Serviço",0,IF(AND(AUTOEVENTO="Manual",$M276=1),0,IF(OFFSET(CRONOPLE!$F$14,$M276,BO$13)="",10^12,OFFSET(CRONOPLE!$F$14,$M276,BO$13))))</f>
        <v>1000000000000</v>
      </c>
      <c r="BP276" s="181">
        <f ca="1">IF($D276&lt;&gt;"Serviço",0,IF(AND(AUTOEVENTO="Manual",$M276=1),0,IF(OFFSET(CRONOPLE!$F$14,$M276,BP$13)="",10^12,OFFSET(CRONOPLE!$F$14,$M276,BP$13))))</f>
        <v>1000000000000</v>
      </c>
      <c r="BQ276" s="181">
        <f ca="1">IF($D276&lt;&gt;"Serviço",0,IF(AND(AUTOEVENTO="Manual",$M276=1),0,IF(OFFSET(CRONOPLE!$F$14,$M276,BQ$13)="",10^12,OFFSET(CRONOPLE!$F$14,$M276,BQ$13))))</f>
        <v>1000000000000</v>
      </c>
      <c r="BR276" s="181">
        <f ca="1">IF($D276&lt;&gt;"Serviço",0,IF(AND(AUTOEVENTO="Manual",$M276=1),0,IF(OFFSET(CRONOPLE!$F$14,$M276,BR$13)="",10^12,OFFSET(CRONOPLE!$F$14,$M276,BR$13))))</f>
        <v>1000000000000</v>
      </c>
      <c r="BS276" s="181">
        <f ca="1">IF($D276&lt;&gt;"Serviço",0,IF(AND(AUTOEVENTO="Manual",$M276=1),0,IF(OFFSET(CRONOPLE!$F$14,$M276,BS$13)="",10^12,OFFSET(CRONOPLE!$F$14,$M276,BS$13))))</f>
        <v>1000000000000</v>
      </c>
      <c r="BT276" s="181">
        <f ca="1">IF($D276&lt;&gt;"Serviço",0,IF(AND(AUTOEVENTO="Manual",$M276=1),0,IF(OFFSET(CRONOPLE!$F$14,$M276,BT$13)="",10^12,OFFSET(CRONOPLE!$F$14,$M276,BT$13))))</f>
        <v>1000000000000</v>
      </c>
      <c r="BV276" s="182">
        <f ca="1">IF($D276&lt;&gt;"Serviço",0,IF(OR(AND(AUTOEVENTO="Manual",$M276=1),$M276&gt;(ROW(PLE.lastrow)-ROW(PLE.firstrow))),0,IF(OFFSET(PLE!$G$14,$M276,BV$13)="",10^12,OFFSET(PLE!$G$14,$M276,BV$13))))</f>
        <v>1000000000000</v>
      </c>
      <c r="BW276" s="182">
        <f ca="1">IF($D276&lt;&gt;"Serviço",0,IF(OR(AND(AUTOEVENTO="Manual",$M276=1),$M276&gt;(ROW(PLE.lastrow)-ROW(PLE.firstrow))),0,IF(OFFSET(PLE!$G$14,$M276,BW$13)="",10^12,OFFSET(PLE!$G$14,$M276,BW$13))))</f>
        <v>1000000000000</v>
      </c>
      <c r="BX276" s="182">
        <f ca="1">IF($D276&lt;&gt;"Serviço",0,IF(OR(AND(AUTOEVENTO="Manual",$M276=1),$M276&gt;(ROW(PLE.lastrow)-ROW(PLE.firstrow))),0,IF(OFFSET(PLE!$G$14,$M276,BX$13)="",10^12,OFFSET(PLE!$G$14,$M276,BX$13))))</f>
        <v>1000000000000</v>
      </c>
      <c r="BY276" s="182">
        <f ca="1">IF($D276&lt;&gt;"Serviço",0,IF(OR(AND(AUTOEVENTO="Manual",$M276=1),$M276&gt;(ROW(PLE.lastrow)-ROW(PLE.firstrow))),0,IF(OFFSET(PLE!$G$14,$M276,BY$13)="",10^12,OFFSET(PLE!$G$14,$M276,BY$13))))</f>
        <v>1000000000000</v>
      </c>
      <c r="BZ276" s="182">
        <f ca="1">IF($D276&lt;&gt;"Serviço",0,IF(OR(AND(AUTOEVENTO="Manual",$M276=1),$M276&gt;(ROW(PLE.lastrow)-ROW(PLE.firstrow))),0,IF(OFFSET(PLE!$G$14,$M276,BZ$13)="",10^12,OFFSET(PLE!$G$14,$M276,BZ$13))))</f>
        <v>1000000000000</v>
      </c>
      <c r="CA276" s="182">
        <f ca="1">IF($D276&lt;&gt;"Serviço",0,IF(OR(AND(AUTOEVENTO="Manual",$M276=1),$M276&gt;(ROW(PLE.lastrow)-ROW(PLE.firstrow))),0,IF(OFFSET(PLE!$G$14,$M276,CA$13)="",10^12,OFFSET(PLE!$G$14,$M276,CA$13))))</f>
        <v>1000000000000</v>
      </c>
      <c r="CB276" s="182">
        <f ca="1">IF($D276&lt;&gt;"Serviço",0,IF(OR(AND(AUTOEVENTO="Manual",$M276=1),$M276&gt;(ROW(PLE.lastrow)-ROW(PLE.firstrow))),0,IF(OFFSET(PLE!$G$14,$M276,CB$13)="",10^12,OFFSET(PLE!$G$14,$M276,CB$13))))</f>
        <v>1000000000000</v>
      </c>
      <c r="CC276" s="182">
        <f ca="1">IF($D276&lt;&gt;"Serviço",0,IF(OR(AND(AUTOEVENTO="Manual",$M276=1),$M276&gt;(ROW(PLE.lastrow)-ROW(PLE.firstrow))),0,IF(OFFSET(PLE!$G$14,$M276,CC$13)="",10^12,OFFSET(PLE!$G$14,$M276,CC$13))))</f>
        <v>1000000000000</v>
      </c>
      <c r="CD276" s="182">
        <f ca="1">IF($D276&lt;&gt;"Serviço",0,IF(OR(AND(AUTOEVENTO="Manual",$M276=1),$M276&gt;(ROW(PLE.lastrow)-ROW(PLE.firstrow))),0,IF(OFFSET(PLE!$G$14,$M276,CD$13)="",10^12,OFFSET(PLE!$G$14,$M276,CD$13))))</f>
        <v>1000000000000</v>
      </c>
      <c r="CE276" s="182">
        <f ca="1">IF($D276&lt;&gt;"Serviço",0,IF(OR(AND(AUTOEVENTO="Manual",$M276=1),$M276&gt;(ROW(PLE.lastrow)-ROW(PLE.firstrow))),0,IF(OFFSET(PLE!$G$14,$M276,CE$13)="",10^12,OFFSET(PLE!$G$14,$M276,CE$13))))</f>
        <v>1000000000000</v>
      </c>
      <c r="CF276" s="182">
        <f ca="1">IF($D276&lt;&gt;"Serviço",0,IF(OR(AND(AUTOEVENTO="Manual",$M276=1),$M276&gt;(ROW(PLE.lastrow)-ROW(PLE.firstrow))),0,IF(OFFSET(PLE!$G$14,$M276,CF$13)="",10^12,OFFSET(PLE!$G$14,$M276,CF$13))))</f>
        <v>1000000000000</v>
      </c>
      <c r="CG276" s="182">
        <f ca="1">IF($D276&lt;&gt;"Serviço",0,IF(OR(AND(AUTOEVENTO="Manual",$M276=1),$M276&gt;(ROW(PLE.lastrow)-ROW(PLE.firstrow))),0,IF(OFFSET(PLE!$G$14,$M276,CG$13)="",10^12,OFFSET(PLE!$G$14,$M276,CG$13))))</f>
        <v>1000000000000</v>
      </c>
      <c r="CH276" s="182">
        <f ca="1">IF($D276&lt;&gt;"Serviço",0,IF(OR(AND(AUTOEVENTO="Manual",$M276=1),$M276&gt;(ROW(PLE.lastrow)-ROW(PLE.firstrow))),0,IF(OFFSET(PLE!$G$14,$M276,CH$13)="",10^12,OFFSET(PLE!$G$14,$M276,CH$13))))</f>
        <v>1000000000000</v>
      </c>
      <c r="CI276" s="182">
        <f ca="1">IF($D276&lt;&gt;"Serviço",0,IF(OR(AND(AUTOEVENTO="Manual",$M276=1),$M276&gt;(ROW(PLE.lastrow)-ROW(PLE.firstrow))),0,IF(OFFSET(PLE!$G$14,$M276,CI$13)="",10^12,OFFSET(PLE!$G$14,$M276,CI$13))))</f>
        <v>1000000000000</v>
      </c>
      <c r="CJ276" s="182">
        <f ca="1">IF($D276&lt;&gt;"Serviço",0,IF(OR(AND(AUTOEVENTO="Manual",$M276=1),$M276&gt;(ROW(PLE.lastrow)-ROW(PLE.firstrow))),0,IF(OFFSET(PLE!$G$14,$M276,CJ$13)="",10^12,OFFSET(PLE!$G$14,$M276,CJ$13))))</f>
        <v>1000000000000</v>
      </c>
      <c r="CK276" s="182">
        <f ca="1">IF($D276&lt;&gt;"Serviço",0,IF(OR(AND(AUTOEVENTO="Manual",$M276=1),$M276&gt;(ROW(PLE.lastrow)-ROW(PLE.firstrow))),0,IF(OFFSET(PLE!$G$14,$M276,CK$13)="",10^12,OFFSET(PLE!$G$14,$M276,CK$13))))</f>
        <v>1000000000000</v>
      </c>
      <c r="CL276" s="182">
        <f ca="1">IF($D276&lt;&gt;"Serviço",0,IF(OR(AND(AUTOEVENTO="Manual",$M276=1),$M276&gt;(ROW(PLE.lastrow)-ROW(PLE.firstrow))),0,IF(OFFSET(PLE!$G$14,$M276,CL$13)="",10^12,OFFSET(PLE!$G$14,$M276,CL$13))))</f>
        <v>1000000000000</v>
      </c>
      <c r="CM276" s="182">
        <f ca="1">IF($D276&lt;&gt;"Serviço",0,IF(OR(AND(AUTOEVENTO="Manual",$M276=1),$M276&gt;(ROW(PLE.lastrow)-ROW(PLE.firstrow))),0,IF(OFFSET(PLE!$G$14,$M276,CM$13)="",10^12,OFFSET(PLE!$G$14,$M276,CM$13))))</f>
        <v>1000000000000</v>
      </c>
    </row>
    <row r="277" spans="1:91" ht="38.25" x14ac:dyDescent="0.2">
      <c r="A277" s="7" t="str">
        <f t="shared" ca="1" si="12"/>
        <v>232</v>
      </c>
      <c r="B277" s="7" t="str">
        <f ca="1">OFFSET(ORÇAMENTO!C$15,ROW(B277)-ROW(B$15),0)</f>
        <v>S</v>
      </c>
      <c r="C277" s="7" t="str">
        <f ca="1">OFFSET(ORÇAMENTO!L$15,ROW(C277)-ROW(C$15),0)</f>
        <v/>
      </c>
      <c r="D277" s="118" t="str">
        <f ca="1">OFFSET(ORÇAMENTO!N$15,ROW(D277)-ROW(D$15),0)</f>
        <v>Serviço</v>
      </c>
      <c r="E277" s="119" t="str">
        <f ca="1">OFFSET(ORÇAMENTO!O$15,ROW(E277)-ROW(E$15),0)</f>
        <v>-</v>
      </c>
      <c r="F277" s="172" t="str">
        <f ca="1">OFFSET(ORÇAMENTO!R$15,ROW(F277)-ROW(F$15),0)</f>
        <v>(abra o arquivo 'Referência 06-2024.xlsm)</v>
      </c>
      <c r="G277" s="173" t="str">
        <f ca="1">IF($D277&lt;&gt;"Serviço","",OFFSET(ORÇAMENTO!S$15,ROW(G277)-ROW(G$15),0))</f>
        <v>-</v>
      </c>
      <c r="H277" s="124">
        <f ca="1">IF($D277&lt;&gt;"Serviço",0,IF(ACOMPANHAMENTO="BM",ROUND(OFFSET(ORÇAMENTO!AJ$15,ROW(H277)-ROW(H$15),0),15-13*ORÇAMENTO!$AF$7),SUMPRODUCT(($Q$12:$AI$12&lt;&gt;"")*ROUND($Q277:$AI277,15-13*ORÇAMENTO!$AF$7))))</f>
        <v>1</v>
      </c>
      <c r="I277" s="561" t="s">
        <v>1107</v>
      </c>
      <c r="K277" s="174"/>
      <c r="L277" s="175" t="s">
        <v>255</v>
      </c>
      <c r="M277" s="176">
        <f ca="1">IF($D277&lt;&gt;"Serviço","",IF(AUTOEVENTO="manual",$A277,IF(ISERROR(MATCH($A277,$A$15:OFFSET($A277,-1,0),0)),MAX($M$15:OFFSET(M277,-1,0))+1,INDEX($M$15:OFFSET(M277,-1,0),MATCH($A277,$A$15:OFFSET($A277,-1,0),0)))))</f>
        <v>35</v>
      </c>
      <c r="N277" s="177" t="str">
        <f ca="1">IF($D277&lt;&gt;"Serviço","",IF(AUTOEVENTO="Manual",IF($A277=0,"&lt;-- defina o número do agrupador",OFFSET(EVENTOS!$D$14,$A277,0)),OFFSET($F$15,$A277,0)))</f>
        <v>INSTALAÇÃO HIDRÁULICA - TUBULAÇÕES E CONEXÕES DE PVC RÍGIDO</v>
      </c>
      <c r="O277" s="178"/>
      <c r="Q277" s="178">
        <v>1</v>
      </c>
      <c r="R277" s="179"/>
      <c r="S277" s="179"/>
      <c r="T277" s="179"/>
      <c r="U277" s="179"/>
      <c r="V277" s="179"/>
      <c r="W277" s="179"/>
      <c r="X277" s="179"/>
      <c r="Y277" s="179"/>
      <c r="Z277" s="180"/>
      <c r="AA277" s="179"/>
      <c r="AB277" s="179"/>
      <c r="AC277" s="179"/>
      <c r="AD277" s="179"/>
      <c r="AE277" s="179"/>
      <c r="AF277" s="179"/>
      <c r="AG277" s="179"/>
      <c r="AH277" s="180"/>
      <c r="AJ277" s="544">
        <f ca="1">IF(AND($D277="Serviço",AJ$12&lt;&gt;0,$H277&gt;0,OR(AUTOEVENTO&lt;&gt;"manual",$M277&lt;&gt;1)),
IF(Import.TipoArredondamento&lt;&gt;"TransfereGOV",
ROUND(OFFSET($P277,0,AJ$13),15-13*ORÇAMENTO!$AF$7)/$H277*OFFSET(ORÇAMENTO!$X$15,ROW(AJ277)-ROW(AJ$15),0),
ROUND(ROUND(OFFSET($P277,0,AJ$13),15-13*ORÇAMENTO!$AF$7)*OFFSET(ORÇAMENTO!$W$15,ROW(AJ277)-ROW(AJ$15),0),15-13*ORÇAMENTO!$AF$11)),0)</f>
        <v>0</v>
      </c>
      <c r="AK277" s="545">
        <f ca="1">IF(AND($D277="Serviço",AK$12&lt;&gt;0,$H277&gt;0,OR(AUTOEVENTO&lt;&gt;"manual",$M277&lt;&gt;1)),
IF(Import.TipoArredondamento&lt;&gt;"TransfereGOV",
ROUND(OFFSET($P277,0,AK$13),15-13*ORÇAMENTO!$AF$7)/$H277*OFFSET(ORÇAMENTO!$X$15,ROW(AK277)-ROW(AK$15),0),
ROUND(ROUND(OFFSET($P277,0,AK$13),15-13*ORÇAMENTO!$AF$7)*OFFSET(ORÇAMENTO!$W$15,ROW(AK277)-ROW(AK$15),0),15-13*ORÇAMENTO!$AF$11)),0)</f>
        <v>0</v>
      </c>
      <c r="AL277" s="545">
        <f ca="1">IF(AND($D277="Serviço",AL$12&lt;&gt;0,$H277&gt;0,OR(AUTOEVENTO&lt;&gt;"manual",$M277&lt;&gt;1)),
IF(Import.TipoArredondamento&lt;&gt;"TransfereGOV",
ROUND(OFFSET($P277,0,AL$13),15-13*ORÇAMENTO!$AF$7)/$H277*OFFSET(ORÇAMENTO!$X$15,ROW(AL277)-ROW(AL$15),0),
ROUND(ROUND(OFFSET($P277,0,AL$13),15-13*ORÇAMENTO!$AF$7)*OFFSET(ORÇAMENTO!$W$15,ROW(AL277)-ROW(AL$15),0),15-13*ORÇAMENTO!$AF$11)),0)</f>
        <v>0</v>
      </c>
      <c r="AM277" s="545">
        <f ca="1">IF(AND($D277="Serviço",AM$12&lt;&gt;0,$H277&gt;0,OR(AUTOEVENTO&lt;&gt;"manual",$M277&lt;&gt;1)),
IF(Import.TipoArredondamento&lt;&gt;"TransfereGOV",
ROUND(OFFSET($P277,0,AM$13),15-13*ORÇAMENTO!$AF$7)/$H277*OFFSET(ORÇAMENTO!$X$15,ROW(AM277)-ROW(AM$15),0),
ROUND(ROUND(OFFSET($P277,0,AM$13),15-13*ORÇAMENTO!$AF$7)*OFFSET(ORÇAMENTO!$W$15,ROW(AM277)-ROW(AM$15),0),15-13*ORÇAMENTO!$AF$11)),0)</f>
        <v>0</v>
      </c>
      <c r="AN277" s="545">
        <f ca="1">IF(AND($D277="Serviço",AN$12&lt;&gt;0,$H277&gt;0,OR(AUTOEVENTO&lt;&gt;"manual",$M277&lt;&gt;1)),
IF(Import.TipoArredondamento&lt;&gt;"TransfereGOV",
ROUND(OFFSET($P277,0,AN$13),15-13*ORÇAMENTO!$AF$7)/$H277*OFFSET(ORÇAMENTO!$X$15,ROW(AN277)-ROW(AN$15),0),
ROUND(ROUND(OFFSET($P277,0,AN$13),15-13*ORÇAMENTO!$AF$7)*OFFSET(ORÇAMENTO!$W$15,ROW(AN277)-ROW(AN$15),0),15-13*ORÇAMENTO!$AF$11)),0)</f>
        <v>0</v>
      </c>
      <c r="AO277" s="545">
        <f ca="1">IF(AND($D277="Serviço",AO$12&lt;&gt;0,$H277&gt;0,OR(AUTOEVENTO&lt;&gt;"manual",$M277&lt;&gt;1)),
IF(Import.TipoArredondamento&lt;&gt;"TransfereGOV",
ROUND(OFFSET($P277,0,AO$13),15-13*ORÇAMENTO!$AF$7)/$H277*OFFSET(ORÇAMENTO!$X$15,ROW(AO277)-ROW(AO$15),0),
ROUND(ROUND(OFFSET($P277,0,AO$13),15-13*ORÇAMENTO!$AF$7)*OFFSET(ORÇAMENTO!$W$15,ROW(AO277)-ROW(AO$15),0),15-13*ORÇAMENTO!$AF$11)),0)</f>
        <v>0</v>
      </c>
      <c r="AP277" s="545">
        <f ca="1">IF(AND($D277="Serviço",AP$12&lt;&gt;0,$H277&gt;0,OR(AUTOEVENTO&lt;&gt;"manual",$M277&lt;&gt;1)),
IF(Import.TipoArredondamento&lt;&gt;"TransfereGOV",
ROUND(OFFSET($P277,0,AP$13),15-13*ORÇAMENTO!$AF$7)/$H277*OFFSET(ORÇAMENTO!$X$15,ROW(AP277)-ROW(AP$15),0),
ROUND(ROUND(OFFSET($P277,0,AP$13),15-13*ORÇAMENTO!$AF$7)*OFFSET(ORÇAMENTO!$W$15,ROW(AP277)-ROW(AP$15),0),15-13*ORÇAMENTO!$AF$11)),0)</f>
        <v>0</v>
      </c>
      <c r="AQ277" s="545">
        <f ca="1">IF(AND($D277="Serviço",AQ$12&lt;&gt;0,$H277&gt;0,OR(AUTOEVENTO&lt;&gt;"manual",$M277&lt;&gt;1)),
IF(Import.TipoArredondamento&lt;&gt;"TransfereGOV",
ROUND(OFFSET($P277,0,AQ$13),15-13*ORÇAMENTO!$AF$7)/$H277*OFFSET(ORÇAMENTO!$X$15,ROW(AQ277)-ROW(AQ$15),0),
ROUND(ROUND(OFFSET($P277,0,AQ$13),15-13*ORÇAMENTO!$AF$7)*OFFSET(ORÇAMENTO!$W$15,ROW(AQ277)-ROW(AQ$15),0),15-13*ORÇAMENTO!$AF$11)),0)</f>
        <v>0</v>
      </c>
      <c r="AR277" s="545">
        <f ca="1">IF(AND($D277="Serviço",AR$12&lt;&gt;0,$H277&gt;0,OR(AUTOEVENTO&lt;&gt;"manual",$M277&lt;&gt;1)),
IF(Import.TipoArredondamento&lt;&gt;"TransfereGOV",
ROUND(OFFSET($P277,0,AR$13),15-13*ORÇAMENTO!$AF$7)/$H277*OFFSET(ORÇAMENTO!$X$15,ROW(AR277)-ROW(AR$15),0),
ROUND(ROUND(OFFSET($P277,0,AR$13),15-13*ORÇAMENTO!$AF$7)*OFFSET(ORÇAMENTO!$W$15,ROW(AR277)-ROW(AR$15),0),15-13*ORÇAMENTO!$AF$11)),0)</f>
        <v>0</v>
      </c>
      <c r="AS277" s="546">
        <f ca="1">IF(AND($D277="Serviço",AS$12&lt;&gt;0,$H277&gt;0,OR(AUTOEVENTO&lt;&gt;"manual",$M277&lt;&gt;1)),
IF(Import.TipoArredondamento&lt;&gt;"TransfereGOV",
ROUND(OFFSET($P277,0,AS$13),15-13*ORÇAMENTO!$AF$7)/$H277*OFFSET(ORÇAMENTO!$X$15,ROW(AS277)-ROW(AS$15),0),
ROUND(ROUND(OFFSET($P277,0,AS$13),15-13*ORÇAMENTO!$AF$7)*OFFSET(ORÇAMENTO!$W$15,ROW(AS277)-ROW(AS$15),0),15-13*ORÇAMENTO!$AF$11)),0)</f>
        <v>0</v>
      </c>
      <c r="AT277" s="545">
        <f ca="1">IF(AND($D277="Serviço",AT$12&lt;&gt;0,$H277&gt;0,OR(AUTOEVENTO&lt;&gt;"manual",$M277&lt;&gt;1)),
IF(Import.TipoArredondamento&lt;&gt;"TransfereGOV",
ROUND(OFFSET($P277,0,AT$13),15-13*ORÇAMENTO!$AF$7)/$H277*OFFSET(ORÇAMENTO!$X$15,ROW(AT277)-ROW(AT$15),0),
ROUND(ROUND(OFFSET($P277,0,AT$13),15-13*ORÇAMENTO!$AF$7)*OFFSET(ORÇAMENTO!$W$15,ROW(AT277)-ROW(AT$15),0),15-13*ORÇAMENTO!$AF$11)),0)</f>
        <v>0</v>
      </c>
      <c r="AU277" s="545">
        <f ca="1">IF(AND($D277="Serviço",AU$12&lt;&gt;0,$H277&gt;0,OR(AUTOEVENTO&lt;&gt;"manual",$M277&lt;&gt;1)),
IF(Import.TipoArredondamento&lt;&gt;"TransfereGOV",
ROUND(OFFSET($P277,0,AU$13),15-13*ORÇAMENTO!$AF$7)/$H277*OFFSET(ORÇAMENTO!$X$15,ROW(AU277)-ROW(AU$15),0),
ROUND(ROUND(OFFSET($P277,0,AU$13),15-13*ORÇAMENTO!$AF$7)*OFFSET(ORÇAMENTO!$W$15,ROW(AU277)-ROW(AU$15),0),15-13*ORÇAMENTO!$AF$11)),0)</f>
        <v>0</v>
      </c>
      <c r="AV277" s="545">
        <f ca="1">IF(AND($D277="Serviço",AV$12&lt;&gt;0,$H277&gt;0,OR(AUTOEVENTO&lt;&gt;"manual",$M277&lt;&gt;1)),
IF(Import.TipoArredondamento&lt;&gt;"TransfereGOV",
ROUND(OFFSET($P277,0,AV$13),15-13*ORÇAMENTO!$AF$7)/$H277*OFFSET(ORÇAMENTO!$X$15,ROW(AV277)-ROW(AV$15),0),
ROUND(ROUND(OFFSET($P277,0,AV$13),15-13*ORÇAMENTO!$AF$7)*OFFSET(ORÇAMENTO!$W$15,ROW(AV277)-ROW(AV$15),0),15-13*ORÇAMENTO!$AF$11)),0)</f>
        <v>0</v>
      </c>
      <c r="AW277" s="545">
        <f ca="1">IF(AND($D277="Serviço",AW$12&lt;&gt;0,$H277&gt;0,OR(AUTOEVENTO&lt;&gt;"manual",$M277&lt;&gt;1)),
IF(Import.TipoArredondamento&lt;&gt;"TransfereGOV",
ROUND(OFFSET($P277,0,AW$13),15-13*ORÇAMENTO!$AF$7)/$H277*OFFSET(ORÇAMENTO!$X$15,ROW(AW277)-ROW(AW$15),0),
ROUND(ROUND(OFFSET($P277,0,AW$13),15-13*ORÇAMENTO!$AF$7)*OFFSET(ORÇAMENTO!$W$15,ROW(AW277)-ROW(AW$15),0),15-13*ORÇAMENTO!$AF$11)),0)</f>
        <v>0</v>
      </c>
      <c r="AX277" s="545">
        <f ca="1">IF(AND($D277="Serviço",AX$12&lt;&gt;0,$H277&gt;0,OR(AUTOEVENTO&lt;&gt;"manual",$M277&lt;&gt;1)),
IF(Import.TipoArredondamento&lt;&gt;"TransfereGOV",
ROUND(OFFSET($P277,0,AX$13),15-13*ORÇAMENTO!$AF$7)/$H277*OFFSET(ORÇAMENTO!$X$15,ROW(AX277)-ROW(AX$15),0),
ROUND(ROUND(OFFSET($P277,0,AX$13),15-13*ORÇAMENTO!$AF$7)*OFFSET(ORÇAMENTO!$W$15,ROW(AX277)-ROW(AX$15),0),15-13*ORÇAMENTO!$AF$11)),0)</f>
        <v>0</v>
      </c>
      <c r="AY277" s="545">
        <f ca="1">IF(AND($D277="Serviço",AY$12&lt;&gt;0,$H277&gt;0,OR(AUTOEVENTO&lt;&gt;"manual",$M277&lt;&gt;1)),
IF(Import.TipoArredondamento&lt;&gt;"TransfereGOV",
ROUND(OFFSET($P277,0,AY$13),15-13*ORÇAMENTO!$AF$7)/$H277*OFFSET(ORÇAMENTO!$X$15,ROW(AY277)-ROW(AY$15),0),
ROUND(ROUND(OFFSET($P277,0,AY$13),15-13*ORÇAMENTO!$AF$7)*OFFSET(ORÇAMENTO!$W$15,ROW(AY277)-ROW(AY$15),0),15-13*ORÇAMENTO!$AF$11)),0)</f>
        <v>0</v>
      </c>
      <c r="AZ277" s="545">
        <f ca="1">IF(AND($D277="Serviço",AZ$12&lt;&gt;0,$H277&gt;0,OR(AUTOEVENTO&lt;&gt;"manual",$M277&lt;&gt;1)),
IF(Import.TipoArredondamento&lt;&gt;"TransfereGOV",
ROUND(OFFSET($P277,0,AZ$13),15-13*ORÇAMENTO!$AF$7)/$H277*OFFSET(ORÇAMENTO!$X$15,ROW(AZ277)-ROW(AZ$15),0),
ROUND(ROUND(OFFSET($P277,0,AZ$13),15-13*ORÇAMENTO!$AF$7)*OFFSET(ORÇAMENTO!$W$15,ROW(AZ277)-ROW(AZ$15),0),15-13*ORÇAMENTO!$AF$11)),0)</f>
        <v>0</v>
      </c>
      <c r="BA277" s="546">
        <f ca="1">IF(AND($D277="Serviço",BA$12&lt;&gt;0,$H277&gt;0,OR(AUTOEVENTO&lt;&gt;"manual",$M277&lt;&gt;1)),
IF(Import.TipoArredondamento&lt;&gt;"TransfereGOV",
ROUND(OFFSET($P277,0,BA$13),15-13*ORÇAMENTO!$AF$7)/$H277*OFFSET(ORÇAMENTO!$X$15,ROW(BA277)-ROW(BA$15),0),
ROUND(ROUND(OFFSET($P277,0,BA$13),15-13*ORÇAMENTO!$AF$7)*OFFSET(ORÇAMENTO!$W$15,ROW(BA277)-ROW(BA$15),0),15-13*ORÇAMENTO!$AF$11)),0)</f>
        <v>0</v>
      </c>
      <c r="BC277" s="181">
        <f ca="1">IF($D277&lt;&gt;"Serviço",0,IF(AND(AUTOEVENTO="Manual",$M277=1),0,IF(OFFSET(CRONOPLE!$F$14,$M277,BC$13)="",10^12,OFFSET(CRONOPLE!$F$14,$M277,BC$13))))</f>
        <v>9</v>
      </c>
      <c r="BD277" s="181">
        <f ca="1">IF($D277&lt;&gt;"Serviço",0,IF(AND(AUTOEVENTO="Manual",$M277=1),0,IF(OFFSET(CRONOPLE!$F$14,$M277,BD$13)="",10^12,OFFSET(CRONOPLE!$F$14,$M277,BD$13))))</f>
        <v>1000000000000</v>
      </c>
      <c r="BE277" s="181">
        <f ca="1">IF($D277&lt;&gt;"Serviço",0,IF(AND(AUTOEVENTO="Manual",$M277=1),0,IF(OFFSET(CRONOPLE!$F$14,$M277,BE$13)="",10^12,OFFSET(CRONOPLE!$F$14,$M277,BE$13))))</f>
        <v>1000000000000</v>
      </c>
      <c r="BF277" s="181">
        <f ca="1">IF($D277&lt;&gt;"Serviço",0,IF(AND(AUTOEVENTO="Manual",$M277=1),0,IF(OFFSET(CRONOPLE!$F$14,$M277,BF$13)="",10^12,OFFSET(CRONOPLE!$F$14,$M277,BF$13))))</f>
        <v>1000000000000</v>
      </c>
      <c r="BG277" s="181">
        <f ca="1">IF($D277&lt;&gt;"Serviço",0,IF(AND(AUTOEVENTO="Manual",$M277=1),0,IF(OFFSET(CRONOPLE!$F$14,$M277,BG$13)="",10^12,OFFSET(CRONOPLE!$F$14,$M277,BG$13))))</f>
        <v>1000000000000</v>
      </c>
      <c r="BH277" s="181">
        <f ca="1">IF($D277&lt;&gt;"Serviço",0,IF(AND(AUTOEVENTO="Manual",$M277=1),0,IF(OFFSET(CRONOPLE!$F$14,$M277,BH$13)="",10^12,OFFSET(CRONOPLE!$F$14,$M277,BH$13))))</f>
        <v>1000000000000</v>
      </c>
      <c r="BI277" s="181">
        <f ca="1">IF($D277&lt;&gt;"Serviço",0,IF(AND(AUTOEVENTO="Manual",$M277=1),0,IF(OFFSET(CRONOPLE!$F$14,$M277,BI$13)="",10^12,OFFSET(CRONOPLE!$F$14,$M277,BI$13))))</f>
        <v>1000000000000</v>
      </c>
      <c r="BJ277" s="181">
        <f ca="1">IF($D277&lt;&gt;"Serviço",0,IF(AND(AUTOEVENTO="Manual",$M277=1),0,IF(OFFSET(CRONOPLE!$F$14,$M277,BJ$13)="",10^12,OFFSET(CRONOPLE!$F$14,$M277,BJ$13))))</f>
        <v>1000000000000</v>
      </c>
      <c r="BK277" s="181">
        <f ca="1">IF($D277&lt;&gt;"Serviço",0,IF(AND(AUTOEVENTO="Manual",$M277=1),0,IF(OFFSET(CRONOPLE!$F$14,$M277,BK$13)="",10^12,OFFSET(CRONOPLE!$F$14,$M277,BK$13))))</f>
        <v>1000000000000</v>
      </c>
      <c r="BL277" s="181">
        <f ca="1">IF($D277&lt;&gt;"Serviço",0,IF(AND(AUTOEVENTO="Manual",$M277=1),0,IF(OFFSET(CRONOPLE!$F$14,$M277,BL$13)="",10^12,OFFSET(CRONOPLE!$F$14,$M277,BL$13))))</f>
        <v>1000000000000</v>
      </c>
      <c r="BM277" s="181">
        <f ca="1">IF($D277&lt;&gt;"Serviço",0,IF(AND(AUTOEVENTO="Manual",$M277=1),0,IF(OFFSET(CRONOPLE!$F$14,$M277,BM$13)="",10^12,OFFSET(CRONOPLE!$F$14,$M277,BM$13))))</f>
        <v>1000000000000</v>
      </c>
      <c r="BN277" s="181">
        <f ca="1">IF($D277&lt;&gt;"Serviço",0,IF(AND(AUTOEVENTO="Manual",$M277=1),0,IF(OFFSET(CRONOPLE!$F$14,$M277,BN$13)="",10^12,OFFSET(CRONOPLE!$F$14,$M277,BN$13))))</f>
        <v>1000000000000</v>
      </c>
      <c r="BO277" s="181">
        <f ca="1">IF($D277&lt;&gt;"Serviço",0,IF(AND(AUTOEVENTO="Manual",$M277=1),0,IF(OFFSET(CRONOPLE!$F$14,$M277,BO$13)="",10^12,OFFSET(CRONOPLE!$F$14,$M277,BO$13))))</f>
        <v>1000000000000</v>
      </c>
      <c r="BP277" s="181">
        <f ca="1">IF($D277&lt;&gt;"Serviço",0,IF(AND(AUTOEVENTO="Manual",$M277=1),0,IF(OFFSET(CRONOPLE!$F$14,$M277,BP$13)="",10^12,OFFSET(CRONOPLE!$F$14,$M277,BP$13))))</f>
        <v>1000000000000</v>
      </c>
      <c r="BQ277" s="181">
        <f ca="1">IF($D277&lt;&gt;"Serviço",0,IF(AND(AUTOEVENTO="Manual",$M277=1),0,IF(OFFSET(CRONOPLE!$F$14,$M277,BQ$13)="",10^12,OFFSET(CRONOPLE!$F$14,$M277,BQ$13))))</f>
        <v>1000000000000</v>
      </c>
      <c r="BR277" s="181">
        <f ca="1">IF($D277&lt;&gt;"Serviço",0,IF(AND(AUTOEVENTO="Manual",$M277=1),0,IF(OFFSET(CRONOPLE!$F$14,$M277,BR$13)="",10^12,OFFSET(CRONOPLE!$F$14,$M277,BR$13))))</f>
        <v>1000000000000</v>
      </c>
      <c r="BS277" s="181">
        <f ca="1">IF($D277&lt;&gt;"Serviço",0,IF(AND(AUTOEVENTO="Manual",$M277=1),0,IF(OFFSET(CRONOPLE!$F$14,$M277,BS$13)="",10^12,OFFSET(CRONOPLE!$F$14,$M277,BS$13))))</f>
        <v>1000000000000</v>
      </c>
      <c r="BT277" s="181">
        <f ca="1">IF($D277&lt;&gt;"Serviço",0,IF(AND(AUTOEVENTO="Manual",$M277=1),0,IF(OFFSET(CRONOPLE!$F$14,$M277,BT$13)="",10^12,OFFSET(CRONOPLE!$F$14,$M277,BT$13))))</f>
        <v>1000000000000</v>
      </c>
      <c r="BV277" s="182">
        <f ca="1">IF($D277&lt;&gt;"Serviço",0,IF(OR(AND(AUTOEVENTO="Manual",$M277=1),$M277&gt;(ROW(PLE.lastrow)-ROW(PLE.firstrow))),0,IF(OFFSET(PLE!$G$14,$M277,BV$13)="",10^12,OFFSET(PLE!$G$14,$M277,BV$13))))</f>
        <v>1000000000000</v>
      </c>
      <c r="BW277" s="182">
        <f ca="1">IF($D277&lt;&gt;"Serviço",0,IF(OR(AND(AUTOEVENTO="Manual",$M277=1),$M277&gt;(ROW(PLE.lastrow)-ROW(PLE.firstrow))),0,IF(OFFSET(PLE!$G$14,$M277,BW$13)="",10^12,OFFSET(PLE!$G$14,$M277,BW$13))))</f>
        <v>1000000000000</v>
      </c>
      <c r="BX277" s="182">
        <f ca="1">IF($D277&lt;&gt;"Serviço",0,IF(OR(AND(AUTOEVENTO="Manual",$M277=1),$M277&gt;(ROW(PLE.lastrow)-ROW(PLE.firstrow))),0,IF(OFFSET(PLE!$G$14,$M277,BX$13)="",10^12,OFFSET(PLE!$G$14,$M277,BX$13))))</f>
        <v>1000000000000</v>
      </c>
      <c r="BY277" s="182">
        <f ca="1">IF($D277&lt;&gt;"Serviço",0,IF(OR(AND(AUTOEVENTO="Manual",$M277=1),$M277&gt;(ROW(PLE.lastrow)-ROW(PLE.firstrow))),0,IF(OFFSET(PLE!$G$14,$M277,BY$13)="",10^12,OFFSET(PLE!$G$14,$M277,BY$13))))</f>
        <v>1000000000000</v>
      </c>
      <c r="BZ277" s="182">
        <f ca="1">IF($D277&lt;&gt;"Serviço",0,IF(OR(AND(AUTOEVENTO="Manual",$M277=1),$M277&gt;(ROW(PLE.lastrow)-ROW(PLE.firstrow))),0,IF(OFFSET(PLE!$G$14,$M277,BZ$13)="",10^12,OFFSET(PLE!$G$14,$M277,BZ$13))))</f>
        <v>1000000000000</v>
      </c>
      <c r="CA277" s="182">
        <f ca="1">IF($D277&lt;&gt;"Serviço",0,IF(OR(AND(AUTOEVENTO="Manual",$M277=1),$M277&gt;(ROW(PLE.lastrow)-ROW(PLE.firstrow))),0,IF(OFFSET(PLE!$G$14,$M277,CA$13)="",10^12,OFFSET(PLE!$G$14,$M277,CA$13))))</f>
        <v>1000000000000</v>
      </c>
      <c r="CB277" s="182">
        <f ca="1">IF($D277&lt;&gt;"Serviço",0,IF(OR(AND(AUTOEVENTO="Manual",$M277=1),$M277&gt;(ROW(PLE.lastrow)-ROW(PLE.firstrow))),0,IF(OFFSET(PLE!$G$14,$M277,CB$13)="",10^12,OFFSET(PLE!$G$14,$M277,CB$13))))</f>
        <v>1000000000000</v>
      </c>
      <c r="CC277" s="182">
        <f ca="1">IF($D277&lt;&gt;"Serviço",0,IF(OR(AND(AUTOEVENTO="Manual",$M277=1),$M277&gt;(ROW(PLE.lastrow)-ROW(PLE.firstrow))),0,IF(OFFSET(PLE!$G$14,$M277,CC$13)="",10^12,OFFSET(PLE!$G$14,$M277,CC$13))))</f>
        <v>1000000000000</v>
      </c>
      <c r="CD277" s="182">
        <f ca="1">IF($D277&lt;&gt;"Serviço",0,IF(OR(AND(AUTOEVENTO="Manual",$M277=1),$M277&gt;(ROW(PLE.lastrow)-ROW(PLE.firstrow))),0,IF(OFFSET(PLE!$G$14,$M277,CD$13)="",10^12,OFFSET(PLE!$G$14,$M277,CD$13))))</f>
        <v>1000000000000</v>
      </c>
      <c r="CE277" s="182">
        <f ca="1">IF($D277&lt;&gt;"Serviço",0,IF(OR(AND(AUTOEVENTO="Manual",$M277=1),$M277&gt;(ROW(PLE.lastrow)-ROW(PLE.firstrow))),0,IF(OFFSET(PLE!$G$14,$M277,CE$13)="",10^12,OFFSET(PLE!$G$14,$M277,CE$13))))</f>
        <v>1000000000000</v>
      </c>
      <c r="CF277" s="182">
        <f ca="1">IF($D277&lt;&gt;"Serviço",0,IF(OR(AND(AUTOEVENTO="Manual",$M277=1),$M277&gt;(ROW(PLE.lastrow)-ROW(PLE.firstrow))),0,IF(OFFSET(PLE!$G$14,$M277,CF$13)="",10^12,OFFSET(PLE!$G$14,$M277,CF$13))))</f>
        <v>1000000000000</v>
      </c>
      <c r="CG277" s="182">
        <f ca="1">IF($D277&lt;&gt;"Serviço",0,IF(OR(AND(AUTOEVENTO="Manual",$M277=1),$M277&gt;(ROW(PLE.lastrow)-ROW(PLE.firstrow))),0,IF(OFFSET(PLE!$G$14,$M277,CG$13)="",10^12,OFFSET(PLE!$G$14,$M277,CG$13))))</f>
        <v>1000000000000</v>
      </c>
      <c r="CH277" s="182">
        <f ca="1">IF($D277&lt;&gt;"Serviço",0,IF(OR(AND(AUTOEVENTO="Manual",$M277=1),$M277&gt;(ROW(PLE.lastrow)-ROW(PLE.firstrow))),0,IF(OFFSET(PLE!$G$14,$M277,CH$13)="",10^12,OFFSET(PLE!$G$14,$M277,CH$13))))</f>
        <v>1000000000000</v>
      </c>
      <c r="CI277" s="182">
        <f ca="1">IF($D277&lt;&gt;"Serviço",0,IF(OR(AND(AUTOEVENTO="Manual",$M277=1),$M277&gt;(ROW(PLE.lastrow)-ROW(PLE.firstrow))),0,IF(OFFSET(PLE!$G$14,$M277,CI$13)="",10^12,OFFSET(PLE!$G$14,$M277,CI$13))))</f>
        <v>1000000000000</v>
      </c>
      <c r="CJ277" s="182">
        <f ca="1">IF($D277&lt;&gt;"Serviço",0,IF(OR(AND(AUTOEVENTO="Manual",$M277=1),$M277&gt;(ROW(PLE.lastrow)-ROW(PLE.firstrow))),0,IF(OFFSET(PLE!$G$14,$M277,CJ$13)="",10^12,OFFSET(PLE!$G$14,$M277,CJ$13))))</f>
        <v>1000000000000</v>
      </c>
      <c r="CK277" s="182">
        <f ca="1">IF($D277&lt;&gt;"Serviço",0,IF(OR(AND(AUTOEVENTO="Manual",$M277=1),$M277&gt;(ROW(PLE.lastrow)-ROW(PLE.firstrow))),0,IF(OFFSET(PLE!$G$14,$M277,CK$13)="",10^12,OFFSET(PLE!$G$14,$M277,CK$13))))</f>
        <v>1000000000000</v>
      </c>
      <c r="CL277" s="182">
        <f ca="1">IF($D277&lt;&gt;"Serviço",0,IF(OR(AND(AUTOEVENTO="Manual",$M277=1),$M277&gt;(ROW(PLE.lastrow)-ROW(PLE.firstrow))),0,IF(OFFSET(PLE!$G$14,$M277,CL$13)="",10^12,OFFSET(PLE!$G$14,$M277,CL$13))))</f>
        <v>1000000000000</v>
      </c>
      <c r="CM277" s="182">
        <f ca="1">IF($D277&lt;&gt;"Serviço",0,IF(OR(AND(AUTOEVENTO="Manual",$M277=1),$M277&gt;(ROW(PLE.lastrow)-ROW(PLE.firstrow))),0,IF(OFFSET(PLE!$G$14,$M277,CM$13)="",10^12,OFFSET(PLE!$G$14,$M277,CM$13))))</f>
        <v>1000000000000</v>
      </c>
    </row>
    <row r="278" spans="1:91" ht="38.25" x14ac:dyDescent="0.2">
      <c r="A278" s="7" t="str">
        <f t="shared" ca="1" si="12"/>
        <v>232</v>
      </c>
      <c r="B278" s="7" t="str">
        <f ca="1">OFFSET(ORÇAMENTO!C$15,ROW(B278)-ROW(B$15),0)</f>
        <v>S</v>
      </c>
      <c r="C278" s="7" t="str">
        <f ca="1">OFFSET(ORÇAMENTO!L$15,ROW(C278)-ROW(C$15),0)</f>
        <v/>
      </c>
      <c r="D278" s="118" t="str">
        <f ca="1">OFFSET(ORÇAMENTO!N$15,ROW(D278)-ROW(D$15),0)</f>
        <v>Serviço</v>
      </c>
      <c r="E278" s="119" t="str">
        <f ca="1">OFFSET(ORÇAMENTO!O$15,ROW(E278)-ROW(E$15),0)</f>
        <v>-</v>
      </c>
      <c r="F278" s="172" t="str">
        <f ca="1">OFFSET(ORÇAMENTO!R$15,ROW(F278)-ROW(F$15),0)</f>
        <v>(abra o arquivo 'Referência 06-2024.xlsm)</v>
      </c>
      <c r="G278" s="173" t="str">
        <f ca="1">IF($D278&lt;&gt;"Serviço","",OFFSET(ORÇAMENTO!S$15,ROW(G278)-ROW(G$15),0))</f>
        <v>-</v>
      </c>
      <c r="H278" s="124">
        <f ca="1">IF($D278&lt;&gt;"Serviço",0,IF(ACOMPANHAMENTO="BM",ROUND(OFFSET(ORÇAMENTO!AJ$15,ROW(H278)-ROW(H$15),0),15-13*ORÇAMENTO!$AF$7),SUMPRODUCT(($Q$12:$AI$12&lt;&gt;"")*ROUND($Q278:$AI278,15-13*ORÇAMENTO!$AF$7))))</f>
        <v>4</v>
      </c>
      <c r="I278" s="561" t="s">
        <v>1107</v>
      </c>
      <c r="K278" s="174"/>
      <c r="L278" s="175" t="s">
        <v>255</v>
      </c>
      <c r="M278" s="176">
        <f ca="1">IF($D278&lt;&gt;"Serviço","",IF(AUTOEVENTO="manual",$A278,IF(ISERROR(MATCH($A278,$A$15:OFFSET($A278,-1,0),0)),MAX($M$15:OFFSET(M278,-1,0))+1,INDEX($M$15:OFFSET(M278,-1,0),MATCH($A278,$A$15:OFFSET($A278,-1,0),0)))))</f>
        <v>35</v>
      </c>
      <c r="N278" s="177" t="str">
        <f ca="1">IF($D278&lt;&gt;"Serviço","",IF(AUTOEVENTO="Manual",IF($A278=0,"&lt;-- defina o número do agrupador",OFFSET(EVENTOS!$D$14,$A278,0)),OFFSET($F$15,$A278,0)))</f>
        <v>INSTALAÇÃO HIDRÁULICA - TUBULAÇÕES E CONEXÕES DE PVC RÍGIDO</v>
      </c>
      <c r="O278" s="178"/>
      <c r="Q278" s="178">
        <v>4</v>
      </c>
      <c r="R278" s="179"/>
      <c r="S278" s="179"/>
      <c r="T278" s="179"/>
      <c r="U278" s="179"/>
      <c r="V278" s="179"/>
      <c r="W278" s="179"/>
      <c r="X278" s="179"/>
      <c r="Y278" s="179"/>
      <c r="Z278" s="180"/>
      <c r="AA278" s="179"/>
      <c r="AB278" s="179"/>
      <c r="AC278" s="179"/>
      <c r="AD278" s="179"/>
      <c r="AE278" s="179"/>
      <c r="AF278" s="179"/>
      <c r="AG278" s="179"/>
      <c r="AH278" s="180"/>
      <c r="AJ278" s="544">
        <f ca="1">IF(AND($D278="Serviço",AJ$12&lt;&gt;0,$H278&gt;0,OR(AUTOEVENTO&lt;&gt;"manual",$M278&lt;&gt;1)),
IF(Import.TipoArredondamento&lt;&gt;"TransfereGOV",
ROUND(OFFSET($P278,0,AJ$13),15-13*ORÇAMENTO!$AF$7)/$H278*OFFSET(ORÇAMENTO!$X$15,ROW(AJ278)-ROW(AJ$15),0),
ROUND(ROUND(OFFSET($P278,0,AJ$13),15-13*ORÇAMENTO!$AF$7)*OFFSET(ORÇAMENTO!$W$15,ROW(AJ278)-ROW(AJ$15),0),15-13*ORÇAMENTO!$AF$11)),0)</f>
        <v>0</v>
      </c>
      <c r="AK278" s="545">
        <f ca="1">IF(AND($D278="Serviço",AK$12&lt;&gt;0,$H278&gt;0,OR(AUTOEVENTO&lt;&gt;"manual",$M278&lt;&gt;1)),
IF(Import.TipoArredondamento&lt;&gt;"TransfereGOV",
ROUND(OFFSET($P278,0,AK$13),15-13*ORÇAMENTO!$AF$7)/$H278*OFFSET(ORÇAMENTO!$X$15,ROW(AK278)-ROW(AK$15),0),
ROUND(ROUND(OFFSET($P278,0,AK$13),15-13*ORÇAMENTO!$AF$7)*OFFSET(ORÇAMENTO!$W$15,ROW(AK278)-ROW(AK$15),0),15-13*ORÇAMENTO!$AF$11)),0)</f>
        <v>0</v>
      </c>
      <c r="AL278" s="545">
        <f ca="1">IF(AND($D278="Serviço",AL$12&lt;&gt;0,$H278&gt;0,OR(AUTOEVENTO&lt;&gt;"manual",$M278&lt;&gt;1)),
IF(Import.TipoArredondamento&lt;&gt;"TransfereGOV",
ROUND(OFFSET($P278,0,AL$13),15-13*ORÇAMENTO!$AF$7)/$H278*OFFSET(ORÇAMENTO!$X$15,ROW(AL278)-ROW(AL$15),0),
ROUND(ROUND(OFFSET($P278,0,AL$13),15-13*ORÇAMENTO!$AF$7)*OFFSET(ORÇAMENTO!$W$15,ROW(AL278)-ROW(AL$15),0),15-13*ORÇAMENTO!$AF$11)),0)</f>
        <v>0</v>
      </c>
      <c r="AM278" s="545">
        <f ca="1">IF(AND($D278="Serviço",AM$12&lt;&gt;0,$H278&gt;0,OR(AUTOEVENTO&lt;&gt;"manual",$M278&lt;&gt;1)),
IF(Import.TipoArredondamento&lt;&gt;"TransfereGOV",
ROUND(OFFSET($P278,0,AM$13),15-13*ORÇAMENTO!$AF$7)/$H278*OFFSET(ORÇAMENTO!$X$15,ROW(AM278)-ROW(AM$15),0),
ROUND(ROUND(OFFSET($P278,0,AM$13),15-13*ORÇAMENTO!$AF$7)*OFFSET(ORÇAMENTO!$W$15,ROW(AM278)-ROW(AM$15),0),15-13*ORÇAMENTO!$AF$11)),0)</f>
        <v>0</v>
      </c>
      <c r="AN278" s="545">
        <f ca="1">IF(AND($D278="Serviço",AN$12&lt;&gt;0,$H278&gt;0,OR(AUTOEVENTO&lt;&gt;"manual",$M278&lt;&gt;1)),
IF(Import.TipoArredondamento&lt;&gt;"TransfereGOV",
ROUND(OFFSET($P278,0,AN$13),15-13*ORÇAMENTO!$AF$7)/$H278*OFFSET(ORÇAMENTO!$X$15,ROW(AN278)-ROW(AN$15),0),
ROUND(ROUND(OFFSET($P278,0,AN$13),15-13*ORÇAMENTO!$AF$7)*OFFSET(ORÇAMENTO!$W$15,ROW(AN278)-ROW(AN$15),0),15-13*ORÇAMENTO!$AF$11)),0)</f>
        <v>0</v>
      </c>
      <c r="AO278" s="545">
        <f ca="1">IF(AND($D278="Serviço",AO$12&lt;&gt;0,$H278&gt;0,OR(AUTOEVENTO&lt;&gt;"manual",$M278&lt;&gt;1)),
IF(Import.TipoArredondamento&lt;&gt;"TransfereGOV",
ROUND(OFFSET($P278,0,AO$13),15-13*ORÇAMENTO!$AF$7)/$H278*OFFSET(ORÇAMENTO!$X$15,ROW(AO278)-ROW(AO$15),0),
ROUND(ROUND(OFFSET($P278,0,AO$13),15-13*ORÇAMENTO!$AF$7)*OFFSET(ORÇAMENTO!$W$15,ROW(AO278)-ROW(AO$15),0),15-13*ORÇAMENTO!$AF$11)),0)</f>
        <v>0</v>
      </c>
      <c r="AP278" s="545">
        <f ca="1">IF(AND($D278="Serviço",AP$12&lt;&gt;0,$H278&gt;0,OR(AUTOEVENTO&lt;&gt;"manual",$M278&lt;&gt;1)),
IF(Import.TipoArredondamento&lt;&gt;"TransfereGOV",
ROUND(OFFSET($P278,0,AP$13),15-13*ORÇAMENTO!$AF$7)/$H278*OFFSET(ORÇAMENTO!$X$15,ROW(AP278)-ROW(AP$15),0),
ROUND(ROUND(OFFSET($P278,0,AP$13),15-13*ORÇAMENTO!$AF$7)*OFFSET(ORÇAMENTO!$W$15,ROW(AP278)-ROW(AP$15),0),15-13*ORÇAMENTO!$AF$11)),0)</f>
        <v>0</v>
      </c>
      <c r="AQ278" s="545">
        <f ca="1">IF(AND($D278="Serviço",AQ$12&lt;&gt;0,$H278&gt;0,OR(AUTOEVENTO&lt;&gt;"manual",$M278&lt;&gt;1)),
IF(Import.TipoArredondamento&lt;&gt;"TransfereGOV",
ROUND(OFFSET($P278,0,AQ$13),15-13*ORÇAMENTO!$AF$7)/$H278*OFFSET(ORÇAMENTO!$X$15,ROW(AQ278)-ROW(AQ$15),0),
ROUND(ROUND(OFFSET($P278,0,AQ$13),15-13*ORÇAMENTO!$AF$7)*OFFSET(ORÇAMENTO!$W$15,ROW(AQ278)-ROW(AQ$15),0),15-13*ORÇAMENTO!$AF$11)),0)</f>
        <v>0</v>
      </c>
      <c r="AR278" s="545">
        <f ca="1">IF(AND($D278="Serviço",AR$12&lt;&gt;0,$H278&gt;0,OR(AUTOEVENTO&lt;&gt;"manual",$M278&lt;&gt;1)),
IF(Import.TipoArredondamento&lt;&gt;"TransfereGOV",
ROUND(OFFSET($P278,0,AR$13),15-13*ORÇAMENTO!$AF$7)/$H278*OFFSET(ORÇAMENTO!$X$15,ROW(AR278)-ROW(AR$15),0),
ROUND(ROUND(OFFSET($P278,0,AR$13),15-13*ORÇAMENTO!$AF$7)*OFFSET(ORÇAMENTO!$W$15,ROW(AR278)-ROW(AR$15),0),15-13*ORÇAMENTO!$AF$11)),0)</f>
        <v>0</v>
      </c>
      <c r="AS278" s="546">
        <f ca="1">IF(AND($D278="Serviço",AS$12&lt;&gt;0,$H278&gt;0,OR(AUTOEVENTO&lt;&gt;"manual",$M278&lt;&gt;1)),
IF(Import.TipoArredondamento&lt;&gt;"TransfereGOV",
ROUND(OFFSET($P278,0,AS$13),15-13*ORÇAMENTO!$AF$7)/$H278*OFFSET(ORÇAMENTO!$X$15,ROW(AS278)-ROW(AS$15),0),
ROUND(ROUND(OFFSET($P278,0,AS$13),15-13*ORÇAMENTO!$AF$7)*OFFSET(ORÇAMENTO!$W$15,ROW(AS278)-ROW(AS$15),0),15-13*ORÇAMENTO!$AF$11)),0)</f>
        <v>0</v>
      </c>
      <c r="AT278" s="545">
        <f ca="1">IF(AND($D278="Serviço",AT$12&lt;&gt;0,$H278&gt;0,OR(AUTOEVENTO&lt;&gt;"manual",$M278&lt;&gt;1)),
IF(Import.TipoArredondamento&lt;&gt;"TransfereGOV",
ROUND(OFFSET($P278,0,AT$13),15-13*ORÇAMENTO!$AF$7)/$H278*OFFSET(ORÇAMENTO!$X$15,ROW(AT278)-ROW(AT$15),0),
ROUND(ROUND(OFFSET($P278,0,AT$13),15-13*ORÇAMENTO!$AF$7)*OFFSET(ORÇAMENTO!$W$15,ROW(AT278)-ROW(AT$15),0),15-13*ORÇAMENTO!$AF$11)),0)</f>
        <v>0</v>
      </c>
      <c r="AU278" s="545">
        <f ca="1">IF(AND($D278="Serviço",AU$12&lt;&gt;0,$H278&gt;0,OR(AUTOEVENTO&lt;&gt;"manual",$M278&lt;&gt;1)),
IF(Import.TipoArredondamento&lt;&gt;"TransfereGOV",
ROUND(OFFSET($P278,0,AU$13),15-13*ORÇAMENTO!$AF$7)/$H278*OFFSET(ORÇAMENTO!$X$15,ROW(AU278)-ROW(AU$15),0),
ROUND(ROUND(OFFSET($P278,0,AU$13),15-13*ORÇAMENTO!$AF$7)*OFFSET(ORÇAMENTO!$W$15,ROW(AU278)-ROW(AU$15),0),15-13*ORÇAMENTO!$AF$11)),0)</f>
        <v>0</v>
      </c>
      <c r="AV278" s="545">
        <f ca="1">IF(AND($D278="Serviço",AV$12&lt;&gt;0,$H278&gt;0,OR(AUTOEVENTO&lt;&gt;"manual",$M278&lt;&gt;1)),
IF(Import.TipoArredondamento&lt;&gt;"TransfereGOV",
ROUND(OFFSET($P278,0,AV$13),15-13*ORÇAMENTO!$AF$7)/$H278*OFFSET(ORÇAMENTO!$X$15,ROW(AV278)-ROW(AV$15),0),
ROUND(ROUND(OFFSET($P278,0,AV$13),15-13*ORÇAMENTO!$AF$7)*OFFSET(ORÇAMENTO!$W$15,ROW(AV278)-ROW(AV$15),0),15-13*ORÇAMENTO!$AF$11)),0)</f>
        <v>0</v>
      </c>
      <c r="AW278" s="545">
        <f ca="1">IF(AND($D278="Serviço",AW$12&lt;&gt;0,$H278&gt;0,OR(AUTOEVENTO&lt;&gt;"manual",$M278&lt;&gt;1)),
IF(Import.TipoArredondamento&lt;&gt;"TransfereGOV",
ROUND(OFFSET($P278,0,AW$13),15-13*ORÇAMENTO!$AF$7)/$H278*OFFSET(ORÇAMENTO!$X$15,ROW(AW278)-ROW(AW$15),0),
ROUND(ROUND(OFFSET($P278,0,AW$13),15-13*ORÇAMENTO!$AF$7)*OFFSET(ORÇAMENTO!$W$15,ROW(AW278)-ROW(AW$15),0),15-13*ORÇAMENTO!$AF$11)),0)</f>
        <v>0</v>
      </c>
      <c r="AX278" s="545">
        <f ca="1">IF(AND($D278="Serviço",AX$12&lt;&gt;0,$H278&gt;0,OR(AUTOEVENTO&lt;&gt;"manual",$M278&lt;&gt;1)),
IF(Import.TipoArredondamento&lt;&gt;"TransfereGOV",
ROUND(OFFSET($P278,0,AX$13),15-13*ORÇAMENTO!$AF$7)/$H278*OFFSET(ORÇAMENTO!$X$15,ROW(AX278)-ROW(AX$15),0),
ROUND(ROUND(OFFSET($P278,0,AX$13),15-13*ORÇAMENTO!$AF$7)*OFFSET(ORÇAMENTO!$W$15,ROW(AX278)-ROW(AX$15),0),15-13*ORÇAMENTO!$AF$11)),0)</f>
        <v>0</v>
      </c>
      <c r="AY278" s="545">
        <f ca="1">IF(AND($D278="Serviço",AY$12&lt;&gt;0,$H278&gt;0,OR(AUTOEVENTO&lt;&gt;"manual",$M278&lt;&gt;1)),
IF(Import.TipoArredondamento&lt;&gt;"TransfereGOV",
ROUND(OFFSET($P278,0,AY$13),15-13*ORÇAMENTO!$AF$7)/$H278*OFFSET(ORÇAMENTO!$X$15,ROW(AY278)-ROW(AY$15),0),
ROUND(ROUND(OFFSET($P278,0,AY$13),15-13*ORÇAMENTO!$AF$7)*OFFSET(ORÇAMENTO!$W$15,ROW(AY278)-ROW(AY$15),0),15-13*ORÇAMENTO!$AF$11)),0)</f>
        <v>0</v>
      </c>
      <c r="AZ278" s="545">
        <f ca="1">IF(AND($D278="Serviço",AZ$12&lt;&gt;0,$H278&gt;0,OR(AUTOEVENTO&lt;&gt;"manual",$M278&lt;&gt;1)),
IF(Import.TipoArredondamento&lt;&gt;"TransfereGOV",
ROUND(OFFSET($P278,0,AZ$13),15-13*ORÇAMENTO!$AF$7)/$H278*OFFSET(ORÇAMENTO!$X$15,ROW(AZ278)-ROW(AZ$15),0),
ROUND(ROUND(OFFSET($P278,0,AZ$13),15-13*ORÇAMENTO!$AF$7)*OFFSET(ORÇAMENTO!$W$15,ROW(AZ278)-ROW(AZ$15),0),15-13*ORÇAMENTO!$AF$11)),0)</f>
        <v>0</v>
      </c>
      <c r="BA278" s="546">
        <f ca="1">IF(AND($D278="Serviço",BA$12&lt;&gt;0,$H278&gt;0,OR(AUTOEVENTO&lt;&gt;"manual",$M278&lt;&gt;1)),
IF(Import.TipoArredondamento&lt;&gt;"TransfereGOV",
ROUND(OFFSET($P278,0,BA$13),15-13*ORÇAMENTO!$AF$7)/$H278*OFFSET(ORÇAMENTO!$X$15,ROW(BA278)-ROW(BA$15),0),
ROUND(ROUND(OFFSET($P278,0,BA$13),15-13*ORÇAMENTO!$AF$7)*OFFSET(ORÇAMENTO!$W$15,ROW(BA278)-ROW(BA$15),0),15-13*ORÇAMENTO!$AF$11)),0)</f>
        <v>0</v>
      </c>
      <c r="BC278" s="181">
        <f ca="1">IF($D278&lt;&gt;"Serviço",0,IF(AND(AUTOEVENTO="Manual",$M278=1),0,IF(OFFSET(CRONOPLE!$F$14,$M278,BC$13)="",10^12,OFFSET(CRONOPLE!$F$14,$M278,BC$13))))</f>
        <v>9</v>
      </c>
      <c r="BD278" s="181">
        <f ca="1">IF($D278&lt;&gt;"Serviço",0,IF(AND(AUTOEVENTO="Manual",$M278=1),0,IF(OFFSET(CRONOPLE!$F$14,$M278,BD$13)="",10^12,OFFSET(CRONOPLE!$F$14,$M278,BD$13))))</f>
        <v>1000000000000</v>
      </c>
      <c r="BE278" s="181">
        <f ca="1">IF($D278&lt;&gt;"Serviço",0,IF(AND(AUTOEVENTO="Manual",$M278=1),0,IF(OFFSET(CRONOPLE!$F$14,$M278,BE$13)="",10^12,OFFSET(CRONOPLE!$F$14,$M278,BE$13))))</f>
        <v>1000000000000</v>
      </c>
      <c r="BF278" s="181">
        <f ca="1">IF($D278&lt;&gt;"Serviço",0,IF(AND(AUTOEVENTO="Manual",$M278=1),0,IF(OFFSET(CRONOPLE!$F$14,$M278,BF$13)="",10^12,OFFSET(CRONOPLE!$F$14,$M278,BF$13))))</f>
        <v>1000000000000</v>
      </c>
      <c r="BG278" s="181">
        <f ca="1">IF($D278&lt;&gt;"Serviço",0,IF(AND(AUTOEVENTO="Manual",$M278=1),0,IF(OFFSET(CRONOPLE!$F$14,$M278,BG$13)="",10^12,OFFSET(CRONOPLE!$F$14,$M278,BG$13))))</f>
        <v>1000000000000</v>
      </c>
      <c r="BH278" s="181">
        <f ca="1">IF($D278&lt;&gt;"Serviço",0,IF(AND(AUTOEVENTO="Manual",$M278=1),0,IF(OFFSET(CRONOPLE!$F$14,$M278,BH$13)="",10^12,OFFSET(CRONOPLE!$F$14,$M278,BH$13))))</f>
        <v>1000000000000</v>
      </c>
      <c r="BI278" s="181">
        <f ca="1">IF($D278&lt;&gt;"Serviço",0,IF(AND(AUTOEVENTO="Manual",$M278=1),0,IF(OFFSET(CRONOPLE!$F$14,$M278,BI$13)="",10^12,OFFSET(CRONOPLE!$F$14,$M278,BI$13))))</f>
        <v>1000000000000</v>
      </c>
      <c r="BJ278" s="181">
        <f ca="1">IF($D278&lt;&gt;"Serviço",0,IF(AND(AUTOEVENTO="Manual",$M278=1),0,IF(OFFSET(CRONOPLE!$F$14,$M278,BJ$13)="",10^12,OFFSET(CRONOPLE!$F$14,$M278,BJ$13))))</f>
        <v>1000000000000</v>
      </c>
      <c r="BK278" s="181">
        <f ca="1">IF($D278&lt;&gt;"Serviço",0,IF(AND(AUTOEVENTO="Manual",$M278=1),0,IF(OFFSET(CRONOPLE!$F$14,$M278,BK$13)="",10^12,OFFSET(CRONOPLE!$F$14,$M278,BK$13))))</f>
        <v>1000000000000</v>
      </c>
      <c r="BL278" s="181">
        <f ca="1">IF($D278&lt;&gt;"Serviço",0,IF(AND(AUTOEVENTO="Manual",$M278=1),0,IF(OFFSET(CRONOPLE!$F$14,$M278,BL$13)="",10^12,OFFSET(CRONOPLE!$F$14,$M278,BL$13))))</f>
        <v>1000000000000</v>
      </c>
      <c r="BM278" s="181">
        <f ca="1">IF($D278&lt;&gt;"Serviço",0,IF(AND(AUTOEVENTO="Manual",$M278=1),0,IF(OFFSET(CRONOPLE!$F$14,$M278,BM$13)="",10^12,OFFSET(CRONOPLE!$F$14,$M278,BM$13))))</f>
        <v>1000000000000</v>
      </c>
      <c r="BN278" s="181">
        <f ca="1">IF($D278&lt;&gt;"Serviço",0,IF(AND(AUTOEVENTO="Manual",$M278=1),0,IF(OFFSET(CRONOPLE!$F$14,$M278,BN$13)="",10^12,OFFSET(CRONOPLE!$F$14,$M278,BN$13))))</f>
        <v>1000000000000</v>
      </c>
      <c r="BO278" s="181">
        <f ca="1">IF($D278&lt;&gt;"Serviço",0,IF(AND(AUTOEVENTO="Manual",$M278=1),0,IF(OFFSET(CRONOPLE!$F$14,$M278,BO$13)="",10^12,OFFSET(CRONOPLE!$F$14,$M278,BO$13))))</f>
        <v>1000000000000</v>
      </c>
      <c r="BP278" s="181">
        <f ca="1">IF($D278&lt;&gt;"Serviço",0,IF(AND(AUTOEVENTO="Manual",$M278=1),0,IF(OFFSET(CRONOPLE!$F$14,$M278,BP$13)="",10^12,OFFSET(CRONOPLE!$F$14,$M278,BP$13))))</f>
        <v>1000000000000</v>
      </c>
      <c r="BQ278" s="181">
        <f ca="1">IF($D278&lt;&gt;"Serviço",0,IF(AND(AUTOEVENTO="Manual",$M278=1),0,IF(OFFSET(CRONOPLE!$F$14,$M278,BQ$13)="",10^12,OFFSET(CRONOPLE!$F$14,$M278,BQ$13))))</f>
        <v>1000000000000</v>
      </c>
      <c r="BR278" s="181">
        <f ca="1">IF($D278&lt;&gt;"Serviço",0,IF(AND(AUTOEVENTO="Manual",$M278=1),0,IF(OFFSET(CRONOPLE!$F$14,$M278,BR$13)="",10^12,OFFSET(CRONOPLE!$F$14,$M278,BR$13))))</f>
        <v>1000000000000</v>
      </c>
      <c r="BS278" s="181">
        <f ca="1">IF($D278&lt;&gt;"Serviço",0,IF(AND(AUTOEVENTO="Manual",$M278=1),0,IF(OFFSET(CRONOPLE!$F$14,$M278,BS$13)="",10^12,OFFSET(CRONOPLE!$F$14,$M278,BS$13))))</f>
        <v>1000000000000</v>
      </c>
      <c r="BT278" s="181">
        <f ca="1">IF($D278&lt;&gt;"Serviço",0,IF(AND(AUTOEVENTO="Manual",$M278=1),0,IF(OFFSET(CRONOPLE!$F$14,$M278,BT$13)="",10^12,OFFSET(CRONOPLE!$F$14,$M278,BT$13))))</f>
        <v>1000000000000</v>
      </c>
      <c r="BV278" s="182">
        <f ca="1">IF($D278&lt;&gt;"Serviço",0,IF(OR(AND(AUTOEVENTO="Manual",$M278=1),$M278&gt;(ROW(PLE.lastrow)-ROW(PLE.firstrow))),0,IF(OFFSET(PLE!$G$14,$M278,BV$13)="",10^12,OFFSET(PLE!$G$14,$M278,BV$13))))</f>
        <v>1000000000000</v>
      </c>
      <c r="BW278" s="182">
        <f ca="1">IF($D278&lt;&gt;"Serviço",0,IF(OR(AND(AUTOEVENTO="Manual",$M278=1),$M278&gt;(ROW(PLE.lastrow)-ROW(PLE.firstrow))),0,IF(OFFSET(PLE!$G$14,$M278,BW$13)="",10^12,OFFSET(PLE!$G$14,$M278,BW$13))))</f>
        <v>1000000000000</v>
      </c>
      <c r="BX278" s="182">
        <f ca="1">IF($D278&lt;&gt;"Serviço",0,IF(OR(AND(AUTOEVENTO="Manual",$M278=1),$M278&gt;(ROW(PLE.lastrow)-ROW(PLE.firstrow))),0,IF(OFFSET(PLE!$G$14,$M278,BX$13)="",10^12,OFFSET(PLE!$G$14,$M278,BX$13))))</f>
        <v>1000000000000</v>
      </c>
      <c r="BY278" s="182">
        <f ca="1">IF($D278&lt;&gt;"Serviço",0,IF(OR(AND(AUTOEVENTO="Manual",$M278=1),$M278&gt;(ROW(PLE.lastrow)-ROW(PLE.firstrow))),0,IF(OFFSET(PLE!$G$14,$M278,BY$13)="",10^12,OFFSET(PLE!$G$14,$M278,BY$13))))</f>
        <v>1000000000000</v>
      </c>
      <c r="BZ278" s="182">
        <f ca="1">IF($D278&lt;&gt;"Serviço",0,IF(OR(AND(AUTOEVENTO="Manual",$M278=1),$M278&gt;(ROW(PLE.lastrow)-ROW(PLE.firstrow))),0,IF(OFFSET(PLE!$G$14,$M278,BZ$13)="",10^12,OFFSET(PLE!$G$14,$M278,BZ$13))))</f>
        <v>1000000000000</v>
      </c>
      <c r="CA278" s="182">
        <f ca="1">IF($D278&lt;&gt;"Serviço",0,IF(OR(AND(AUTOEVENTO="Manual",$M278=1),$M278&gt;(ROW(PLE.lastrow)-ROW(PLE.firstrow))),0,IF(OFFSET(PLE!$G$14,$M278,CA$13)="",10^12,OFFSET(PLE!$G$14,$M278,CA$13))))</f>
        <v>1000000000000</v>
      </c>
      <c r="CB278" s="182">
        <f ca="1">IF($D278&lt;&gt;"Serviço",0,IF(OR(AND(AUTOEVENTO="Manual",$M278=1),$M278&gt;(ROW(PLE.lastrow)-ROW(PLE.firstrow))),0,IF(OFFSET(PLE!$G$14,$M278,CB$13)="",10^12,OFFSET(PLE!$G$14,$M278,CB$13))))</f>
        <v>1000000000000</v>
      </c>
      <c r="CC278" s="182">
        <f ca="1">IF($D278&lt;&gt;"Serviço",0,IF(OR(AND(AUTOEVENTO="Manual",$M278=1),$M278&gt;(ROW(PLE.lastrow)-ROW(PLE.firstrow))),0,IF(OFFSET(PLE!$G$14,$M278,CC$13)="",10^12,OFFSET(PLE!$G$14,$M278,CC$13))))</f>
        <v>1000000000000</v>
      </c>
      <c r="CD278" s="182">
        <f ca="1">IF($D278&lt;&gt;"Serviço",0,IF(OR(AND(AUTOEVENTO="Manual",$M278=1),$M278&gt;(ROW(PLE.lastrow)-ROW(PLE.firstrow))),0,IF(OFFSET(PLE!$G$14,$M278,CD$13)="",10^12,OFFSET(PLE!$G$14,$M278,CD$13))))</f>
        <v>1000000000000</v>
      </c>
      <c r="CE278" s="182">
        <f ca="1">IF($D278&lt;&gt;"Serviço",0,IF(OR(AND(AUTOEVENTO="Manual",$M278=1),$M278&gt;(ROW(PLE.lastrow)-ROW(PLE.firstrow))),0,IF(OFFSET(PLE!$G$14,$M278,CE$13)="",10^12,OFFSET(PLE!$G$14,$M278,CE$13))))</f>
        <v>1000000000000</v>
      </c>
      <c r="CF278" s="182">
        <f ca="1">IF($D278&lt;&gt;"Serviço",0,IF(OR(AND(AUTOEVENTO="Manual",$M278=1),$M278&gt;(ROW(PLE.lastrow)-ROW(PLE.firstrow))),0,IF(OFFSET(PLE!$G$14,$M278,CF$13)="",10^12,OFFSET(PLE!$G$14,$M278,CF$13))))</f>
        <v>1000000000000</v>
      </c>
      <c r="CG278" s="182">
        <f ca="1">IF($D278&lt;&gt;"Serviço",0,IF(OR(AND(AUTOEVENTO="Manual",$M278=1),$M278&gt;(ROW(PLE.lastrow)-ROW(PLE.firstrow))),0,IF(OFFSET(PLE!$G$14,$M278,CG$13)="",10^12,OFFSET(PLE!$G$14,$M278,CG$13))))</f>
        <v>1000000000000</v>
      </c>
      <c r="CH278" s="182">
        <f ca="1">IF($D278&lt;&gt;"Serviço",0,IF(OR(AND(AUTOEVENTO="Manual",$M278=1),$M278&gt;(ROW(PLE.lastrow)-ROW(PLE.firstrow))),0,IF(OFFSET(PLE!$G$14,$M278,CH$13)="",10^12,OFFSET(PLE!$G$14,$M278,CH$13))))</f>
        <v>1000000000000</v>
      </c>
      <c r="CI278" s="182">
        <f ca="1">IF($D278&lt;&gt;"Serviço",0,IF(OR(AND(AUTOEVENTO="Manual",$M278=1),$M278&gt;(ROW(PLE.lastrow)-ROW(PLE.firstrow))),0,IF(OFFSET(PLE!$G$14,$M278,CI$13)="",10^12,OFFSET(PLE!$G$14,$M278,CI$13))))</f>
        <v>1000000000000</v>
      </c>
      <c r="CJ278" s="182">
        <f ca="1">IF($D278&lt;&gt;"Serviço",0,IF(OR(AND(AUTOEVENTO="Manual",$M278=1),$M278&gt;(ROW(PLE.lastrow)-ROW(PLE.firstrow))),0,IF(OFFSET(PLE!$G$14,$M278,CJ$13)="",10^12,OFFSET(PLE!$G$14,$M278,CJ$13))))</f>
        <v>1000000000000</v>
      </c>
      <c r="CK278" s="182">
        <f ca="1">IF($D278&lt;&gt;"Serviço",0,IF(OR(AND(AUTOEVENTO="Manual",$M278=1),$M278&gt;(ROW(PLE.lastrow)-ROW(PLE.firstrow))),0,IF(OFFSET(PLE!$G$14,$M278,CK$13)="",10^12,OFFSET(PLE!$G$14,$M278,CK$13))))</f>
        <v>1000000000000</v>
      </c>
      <c r="CL278" s="182">
        <f ca="1">IF($D278&lt;&gt;"Serviço",0,IF(OR(AND(AUTOEVENTO="Manual",$M278=1),$M278&gt;(ROW(PLE.lastrow)-ROW(PLE.firstrow))),0,IF(OFFSET(PLE!$G$14,$M278,CL$13)="",10^12,OFFSET(PLE!$G$14,$M278,CL$13))))</f>
        <v>1000000000000</v>
      </c>
      <c r="CM278" s="182">
        <f ca="1">IF($D278&lt;&gt;"Serviço",0,IF(OR(AND(AUTOEVENTO="Manual",$M278=1),$M278&gt;(ROW(PLE.lastrow)-ROW(PLE.firstrow))),0,IF(OFFSET(PLE!$G$14,$M278,CM$13)="",10^12,OFFSET(PLE!$G$14,$M278,CM$13))))</f>
        <v>1000000000000</v>
      </c>
    </row>
    <row r="279" spans="1:91" ht="38.25" x14ac:dyDescent="0.2">
      <c r="A279" s="7" t="str">
        <f t="shared" ca="1" si="12"/>
        <v>232</v>
      </c>
      <c r="B279" s="7" t="str">
        <f ca="1">OFFSET(ORÇAMENTO!C$15,ROW(B279)-ROW(B$15),0)</f>
        <v>S</v>
      </c>
      <c r="C279" s="7" t="str">
        <f ca="1">OFFSET(ORÇAMENTO!L$15,ROW(C279)-ROW(C$15),0)</f>
        <v/>
      </c>
      <c r="D279" s="118" t="str">
        <f ca="1">OFFSET(ORÇAMENTO!N$15,ROW(D279)-ROW(D$15),0)</f>
        <v>Serviço</v>
      </c>
      <c r="E279" s="119" t="str">
        <f ca="1">OFFSET(ORÇAMENTO!O$15,ROW(E279)-ROW(E$15),0)</f>
        <v>-</v>
      </c>
      <c r="F279" s="172" t="str">
        <f ca="1">OFFSET(ORÇAMENTO!R$15,ROW(F279)-ROW(F$15),0)</f>
        <v>(abra o arquivo 'Referência 06-2024.xlsm)</v>
      </c>
      <c r="G279" s="173" t="str">
        <f ca="1">IF($D279&lt;&gt;"Serviço","",OFFSET(ORÇAMENTO!S$15,ROW(G279)-ROW(G$15),0))</f>
        <v>-</v>
      </c>
      <c r="H279" s="124">
        <f ca="1">IF($D279&lt;&gt;"Serviço",0,IF(ACOMPANHAMENTO="BM",ROUND(OFFSET(ORÇAMENTO!AJ$15,ROW(H279)-ROW(H$15),0),15-13*ORÇAMENTO!$AF$7),SUMPRODUCT(($Q$12:$AI$12&lt;&gt;"")*ROUND($Q279:$AI279,15-13*ORÇAMENTO!$AF$7))))</f>
        <v>38</v>
      </c>
      <c r="I279" s="561" t="s">
        <v>1107</v>
      </c>
      <c r="K279" s="174"/>
      <c r="L279" s="175" t="s">
        <v>255</v>
      </c>
      <c r="M279" s="176">
        <f ca="1">IF($D279&lt;&gt;"Serviço","",IF(AUTOEVENTO="manual",$A279,IF(ISERROR(MATCH($A279,$A$15:OFFSET($A279,-1,0),0)),MAX($M$15:OFFSET(M279,-1,0))+1,INDEX($M$15:OFFSET(M279,-1,0),MATCH($A279,$A$15:OFFSET($A279,-1,0),0)))))</f>
        <v>35</v>
      </c>
      <c r="N279" s="177" t="str">
        <f ca="1">IF($D279&lt;&gt;"Serviço","",IF(AUTOEVENTO="Manual",IF($A279=0,"&lt;-- defina o número do agrupador",OFFSET(EVENTOS!$D$14,$A279,0)),OFFSET($F$15,$A279,0)))</f>
        <v>INSTALAÇÃO HIDRÁULICA - TUBULAÇÕES E CONEXÕES DE PVC RÍGIDO</v>
      </c>
      <c r="O279" s="178"/>
      <c r="Q279" s="178">
        <v>38</v>
      </c>
      <c r="R279" s="179"/>
      <c r="S279" s="179"/>
      <c r="T279" s="179"/>
      <c r="U279" s="179"/>
      <c r="V279" s="179"/>
      <c r="W279" s="179"/>
      <c r="X279" s="179"/>
      <c r="Y279" s="179"/>
      <c r="Z279" s="180"/>
      <c r="AA279" s="179"/>
      <c r="AB279" s="179"/>
      <c r="AC279" s="179"/>
      <c r="AD279" s="179"/>
      <c r="AE279" s="179"/>
      <c r="AF279" s="179"/>
      <c r="AG279" s="179"/>
      <c r="AH279" s="180"/>
      <c r="AJ279" s="544">
        <f ca="1">IF(AND($D279="Serviço",AJ$12&lt;&gt;0,$H279&gt;0,OR(AUTOEVENTO&lt;&gt;"manual",$M279&lt;&gt;1)),
IF(Import.TipoArredondamento&lt;&gt;"TransfereGOV",
ROUND(OFFSET($P279,0,AJ$13),15-13*ORÇAMENTO!$AF$7)/$H279*OFFSET(ORÇAMENTO!$X$15,ROW(AJ279)-ROW(AJ$15),0),
ROUND(ROUND(OFFSET($P279,0,AJ$13),15-13*ORÇAMENTO!$AF$7)*OFFSET(ORÇAMENTO!$W$15,ROW(AJ279)-ROW(AJ$15),0),15-13*ORÇAMENTO!$AF$11)),0)</f>
        <v>0</v>
      </c>
      <c r="AK279" s="545">
        <f ca="1">IF(AND($D279="Serviço",AK$12&lt;&gt;0,$H279&gt;0,OR(AUTOEVENTO&lt;&gt;"manual",$M279&lt;&gt;1)),
IF(Import.TipoArredondamento&lt;&gt;"TransfereGOV",
ROUND(OFFSET($P279,0,AK$13),15-13*ORÇAMENTO!$AF$7)/$H279*OFFSET(ORÇAMENTO!$X$15,ROW(AK279)-ROW(AK$15),0),
ROUND(ROUND(OFFSET($P279,0,AK$13),15-13*ORÇAMENTO!$AF$7)*OFFSET(ORÇAMENTO!$W$15,ROW(AK279)-ROW(AK$15),0),15-13*ORÇAMENTO!$AF$11)),0)</f>
        <v>0</v>
      </c>
      <c r="AL279" s="545">
        <f ca="1">IF(AND($D279="Serviço",AL$12&lt;&gt;0,$H279&gt;0,OR(AUTOEVENTO&lt;&gt;"manual",$M279&lt;&gt;1)),
IF(Import.TipoArredondamento&lt;&gt;"TransfereGOV",
ROUND(OFFSET($P279,0,AL$13),15-13*ORÇAMENTO!$AF$7)/$H279*OFFSET(ORÇAMENTO!$X$15,ROW(AL279)-ROW(AL$15),0),
ROUND(ROUND(OFFSET($P279,0,AL$13),15-13*ORÇAMENTO!$AF$7)*OFFSET(ORÇAMENTO!$W$15,ROW(AL279)-ROW(AL$15),0),15-13*ORÇAMENTO!$AF$11)),0)</f>
        <v>0</v>
      </c>
      <c r="AM279" s="545">
        <f ca="1">IF(AND($D279="Serviço",AM$12&lt;&gt;0,$H279&gt;0,OR(AUTOEVENTO&lt;&gt;"manual",$M279&lt;&gt;1)),
IF(Import.TipoArredondamento&lt;&gt;"TransfereGOV",
ROUND(OFFSET($P279,0,AM$13),15-13*ORÇAMENTO!$AF$7)/$H279*OFFSET(ORÇAMENTO!$X$15,ROW(AM279)-ROW(AM$15),0),
ROUND(ROUND(OFFSET($P279,0,AM$13),15-13*ORÇAMENTO!$AF$7)*OFFSET(ORÇAMENTO!$W$15,ROW(AM279)-ROW(AM$15),0),15-13*ORÇAMENTO!$AF$11)),0)</f>
        <v>0</v>
      </c>
      <c r="AN279" s="545">
        <f ca="1">IF(AND($D279="Serviço",AN$12&lt;&gt;0,$H279&gt;0,OR(AUTOEVENTO&lt;&gt;"manual",$M279&lt;&gt;1)),
IF(Import.TipoArredondamento&lt;&gt;"TransfereGOV",
ROUND(OFFSET($P279,0,AN$13),15-13*ORÇAMENTO!$AF$7)/$H279*OFFSET(ORÇAMENTO!$X$15,ROW(AN279)-ROW(AN$15),0),
ROUND(ROUND(OFFSET($P279,0,AN$13),15-13*ORÇAMENTO!$AF$7)*OFFSET(ORÇAMENTO!$W$15,ROW(AN279)-ROW(AN$15),0),15-13*ORÇAMENTO!$AF$11)),0)</f>
        <v>0</v>
      </c>
      <c r="AO279" s="545">
        <f ca="1">IF(AND($D279="Serviço",AO$12&lt;&gt;0,$H279&gt;0,OR(AUTOEVENTO&lt;&gt;"manual",$M279&lt;&gt;1)),
IF(Import.TipoArredondamento&lt;&gt;"TransfereGOV",
ROUND(OFFSET($P279,0,AO$13),15-13*ORÇAMENTO!$AF$7)/$H279*OFFSET(ORÇAMENTO!$X$15,ROW(AO279)-ROW(AO$15),0),
ROUND(ROUND(OFFSET($P279,0,AO$13),15-13*ORÇAMENTO!$AF$7)*OFFSET(ORÇAMENTO!$W$15,ROW(AO279)-ROW(AO$15),0),15-13*ORÇAMENTO!$AF$11)),0)</f>
        <v>0</v>
      </c>
      <c r="AP279" s="545">
        <f ca="1">IF(AND($D279="Serviço",AP$12&lt;&gt;0,$H279&gt;0,OR(AUTOEVENTO&lt;&gt;"manual",$M279&lt;&gt;1)),
IF(Import.TipoArredondamento&lt;&gt;"TransfereGOV",
ROUND(OFFSET($P279,0,AP$13),15-13*ORÇAMENTO!$AF$7)/$H279*OFFSET(ORÇAMENTO!$X$15,ROW(AP279)-ROW(AP$15),0),
ROUND(ROUND(OFFSET($P279,0,AP$13),15-13*ORÇAMENTO!$AF$7)*OFFSET(ORÇAMENTO!$W$15,ROW(AP279)-ROW(AP$15),0),15-13*ORÇAMENTO!$AF$11)),0)</f>
        <v>0</v>
      </c>
      <c r="AQ279" s="545">
        <f ca="1">IF(AND($D279="Serviço",AQ$12&lt;&gt;0,$H279&gt;0,OR(AUTOEVENTO&lt;&gt;"manual",$M279&lt;&gt;1)),
IF(Import.TipoArredondamento&lt;&gt;"TransfereGOV",
ROUND(OFFSET($P279,0,AQ$13),15-13*ORÇAMENTO!$AF$7)/$H279*OFFSET(ORÇAMENTO!$X$15,ROW(AQ279)-ROW(AQ$15),0),
ROUND(ROUND(OFFSET($P279,0,AQ$13),15-13*ORÇAMENTO!$AF$7)*OFFSET(ORÇAMENTO!$W$15,ROW(AQ279)-ROW(AQ$15),0),15-13*ORÇAMENTO!$AF$11)),0)</f>
        <v>0</v>
      </c>
      <c r="AR279" s="545">
        <f ca="1">IF(AND($D279="Serviço",AR$12&lt;&gt;0,$H279&gt;0,OR(AUTOEVENTO&lt;&gt;"manual",$M279&lt;&gt;1)),
IF(Import.TipoArredondamento&lt;&gt;"TransfereGOV",
ROUND(OFFSET($P279,0,AR$13),15-13*ORÇAMENTO!$AF$7)/$H279*OFFSET(ORÇAMENTO!$X$15,ROW(AR279)-ROW(AR$15),0),
ROUND(ROUND(OFFSET($P279,0,AR$13),15-13*ORÇAMENTO!$AF$7)*OFFSET(ORÇAMENTO!$W$15,ROW(AR279)-ROW(AR$15),0),15-13*ORÇAMENTO!$AF$11)),0)</f>
        <v>0</v>
      </c>
      <c r="AS279" s="546">
        <f ca="1">IF(AND($D279="Serviço",AS$12&lt;&gt;0,$H279&gt;0,OR(AUTOEVENTO&lt;&gt;"manual",$M279&lt;&gt;1)),
IF(Import.TipoArredondamento&lt;&gt;"TransfereGOV",
ROUND(OFFSET($P279,0,AS$13),15-13*ORÇAMENTO!$AF$7)/$H279*OFFSET(ORÇAMENTO!$X$15,ROW(AS279)-ROW(AS$15),0),
ROUND(ROUND(OFFSET($P279,0,AS$13),15-13*ORÇAMENTO!$AF$7)*OFFSET(ORÇAMENTO!$W$15,ROW(AS279)-ROW(AS$15),0),15-13*ORÇAMENTO!$AF$11)),0)</f>
        <v>0</v>
      </c>
      <c r="AT279" s="545">
        <f ca="1">IF(AND($D279="Serviço",AT$12&lt;&gt;0,$H279&gt;0,OR(AUTOEVENTO&lt;&gt;"manual",$M279&lt;&gt;1)),
IF(Import.TipoArredondamento&lt;&gt;"TransfereGOV",
ROUND(OFFSET($P279,0,AT$13),15-13*ORÇAMENTO!$AF$7)/$H279*OFFSET(ORÇAMENTO!$X$15,ROW(AT279)-ROW(AT$15),0),
ROUND(ROUND(OFFSET($P279,0,AT$13),15-13*ORÇAMENTO!$AF$7)*OFFSET(ORÇAMENTO!$W$15,ROW(AT279)-ROW(AT$15),0),15-13*ORÇAMENTO!$AF$11)),0)</f>
        <v>0</v>
      </c>
      <c r="AU279" s="545">
        <f ca="1">IF(AND($D279="Serviço",AU$12&lt;&gt;0,$H279&gt;0,OR(AUTOEVENTO&lt;&gt;"manual",$M279&lt;&gt;1)),
IF(Import.TipoArredondamento&lt;&gt;"TransfereGOV",
ROUND(OFFSET($P279,0,AU$13),15-13*ORÇAMENTO!$AF$7)/$H279*OFFSET(ORÇAMENTO!$X$15,ROW(AU279)-ROW(AU$15),0),
ROUND(ROUND(OFFSET($P279,0,AU$13),15-13*ORÇAMENTO!$AF$7)*OFFSET(ORÇAMENTO!$W$15,ROW(AU279)-ROW(AU$15),0),15-13*ORÇAMENTO!$AF$11)),0)</f>
        <v>0</v>
      </c>
      <c r="AV279" s="545">
        <f ca="1">IF(AND($D279="Serviço",AV$12&lt;&gt;0,$H279&gt;0,OR(AUTOEVENTO&lt;&gt;"manual",$M279&lt;&gt;1)),
IF(Import.TipoArredondamento&lt;&gt;"TransfereGOV",
ROUND(OFFSET($P279,0,AV$13),15-13*ORÇAMENTO!$AF$7)/$H279*OFFSET(ORÇAMENTO!$X$15,ROW(AV279)-ROW(AV$15),0),
ROUND(ROUND(OFFSET($P279,0,AV$13),15-13*ORÇAMENTO!$AF$7)*OFFSET(ORÇAMENTO!$W$15,ROW(AV279)-ROW(AV$15),0),15-13*ORÇAMENTO!$AF$11)),0)</f>
        <v>0</v>
      </c>
      <c r="AW279" s="545">
        <f ca="1">IF(AND($D279="Serviço",AW$12&lt;&gt;0,$H279&gt;0,OR(AUTOEVENTO&lt;&gt;"manual",$M279&lt;&gt;1)),
IF(Import.TipoArredondamento&lt;&gt;"TransfereGOV",
ROUND(OFFSET($P279,0,AW$13),15-13*ORÇAMENTO!$AF$7)/$H279*OFFSET(ORÇAMENTO!$X$15,ROW(AW279)-ROW(AW$15),0),
ROUND(ROUND(OFFSET($P279,0,AW$13),15-13*ORÇAMENTO!$AF$7)*OFFSET(ORÇAMENTO!$W$15,ROW(AW279)-ROW(AW$15),0),15-13*ORÇAMENTO!$AF$11)),0)</f>
        <v>0</v>
      </c>
      <c r="AX279" s="545">
        <f ca="1">IF(AND($D279="Serviço",AX$12&lt;&gt;0,$H279&gt;0,OR(AUTOEVENTO&lt;&gt;"manual",$M279&lt;&gt;1)),
IF(Import.TipoArredondamento&lt;&gt;"TransfereGOV",
ROUND(OFFSET($P279,0,AX$13),15-13*ORÇAMENTO!$AF$7)/$H279*OFFSET(ORÇAMENTO!$X$15,ROW(AX279)-ROW(AX$15),0),
ROUND(ROUND(OFFSET($P279,0,AX$13),15-13*ORÇAMENTO!$AF$7)*OFFSET(ORÇAMENTO!$W$15,ROW(AX279)-ROW(AX$15),0),15-13*ORÇAMENTO!$AF$11)),0)</f>
        <v>0</v>
      </c>
      <c r="AY279" s="545">
        <f ca="1">IF(AND($D279="Serviço",AY$12&lt;&gt;0,$H279&gt;0,OR(AUTOEVENTO&lt;&gt;"manual",$M279&lt;&gt;1)),
IF(Import.TipoArredondamento&lt;&gt;"TransfereGOV",
ROUND(OFFSET($P279,0,AY$13),15-13*ORÇAMENTO!$AF$7)/$H279*OFFSET(ORÇAMENTO!$X$15,ROW(AY279)-ROW(AY$15),0),
ROUND(ROUND(OFFSET($P279,0,AY$13),15-13*ORÇAMENTO!$AF$7)*OFFSET(ORÇAMENTO!$W$15,ROW(AY279)-ROW(AY$15),0),15-13*ORÇAMENTO!$AF$11)),0)</f>
        <v>0</v>
      </c>
      <c r="AZ279" s="545">
        <f ca="1">IF(AND($D279="Serviço",AZ$12&lt;&gt;0,$H279&gt;0,OR(AUTOEVENTO&lt;&gt;"manual",$M279&lt;&gt;1)),
IF(Import.TipoArredondamento&lt;&gt;"TransfereGOV",
ROUND(OFFSET($P279,0,AZ$13),15-13*ORÇAMENTO!$AF$7)/$H279*OFFSET(ORÇAMENTO!$X$15,ROW(AZ279)-ROW(AZ$15),0),
ROUND(ROUND(OFFSET($P279,0,AZ$13),15-13*ORÇAMENTO!$AF$7)*OFFSET(ORÇAMENTO!$W$15,ROW(AZ279)-ROW(AZ$15),0),15-13*ORÇAMENTO!$AF$11)),0)</f>
        <v>0</v>
      </c>
      <c r="BA279" s="546">
        <f ca="1">IF(AND($D279="Serviço",BA$12&lt;&gt;0,$H279&gt;0,OR(AUTOEVENTO&lt;&gt;"manual",$M279&lt;&gt;1)),
IF(Import.TipoArredondamento&lt;&gt;"TransfereGOV",
ROUND(OFFSET($P279,0,BA$13),15-13*ORÇAMENTO!$AF$7)/$H279*OFFSET(ORÇAMENTO!$X$15,ROW(BA279)-ROW(BA$15),0),
ROUND(ROUND(OFFSET($P279,0,BA$13),15-13*ORÇAMENTO!$AF$7)*OFFSET(ORÇAMENTO!$W$15,ROW(BA279)-ROW(BA$15),0),15-13*ORÇAMENTO!$AF$11)),0)</f>
        <v>0</v>
      </c>
      <c r="BC279" s="181">
        <f ca="1">IF($D279&lt;&gt;"Serviço",0,IF(AND(AUTOEVENTO="Manual",$M279=1),0,IF(OFFSET(CRONOPLE!$F$14,$M279,BC$13)="",10^12,OFFSET(CRONOPLE!$F$14,$M279,BC$13))))</f>
        <v>9</v>
      </c>
      <c r="BD279" s="181">
        <f ca="1">IF($D279&lt;&gt;"Serviço",0,IF(AND(AUTOEVENTO="Manual",$M279=1),0,IF(OFFSET(CRONOPLE!$F$14,$M279,BD$13)="",10^12,OFFSET(CRONOPLE!$F$14,$M279,BD$13))))</f>
        <v>1000000000000</v>
      </c>
      <c r="BE279" s="181">
        <f ca="1">IF($D279&lt;&gt;"Serviço",0,IF(AND(AUTOEVENTO="Manual",$M279=1),0,IF(OFFSET(CRONOPLE!$F$14,$M279,BE$13)="",10^12,OFFSET(CRONOPLE!$F$14,$M279,BE$13))))</f>
        <v>1000000000000</v>
      </c>
      <c r="BF279" s="181">
        <f ca="1">IF($D279&lt;&gt;"Serviço",0,IF(AND(AUTOEVENTO="Manual",$M279=1),0,IF(OFFSET(CRONOPLE!$F$14,$M279,BF$13)="",10^12,OFFSET(CRONOPLE!$F$14,$M279,BF$13))))</f>
        <v>1000000000000</v>
      </c>
      <c r="BG279" s="181">
        <f ca="1">IF($D279&lt;&gt;"Serviço",0,IF(AND(AUTOEVENTO="Manual",$M279=1),0,IF(OFFSET(CRONOPLE!$F$14,$M279,BG$13)="",10^12,OFFSET(CRONOPLE!$F$14,$M279,BG$13))))</f>
        <v>1000000000000</v>
      </c>
      <c r="BH279" s="181">
        <f ca="1">IF($D279&lt;&gt;"Serviço",0,IF(AND(AUTOEVENTO="Manual",$M279=1),0,IF(OFFSET(CRONOPLE!$F$14,$M279,BH$13)="",10^12,OFFSET(CRONOPLE!$F$14,$M279,BH$13))))</f>
        <v>1000000000000</v>
      </c>
      <c r="BI279" s="181">
        <f ca="1">IF($D279&lt;&gt;"Serviço",0,IF(AND(AUTOEVENTO="Manual",$M279=1),0,IF(OFFSET(CRONOPLE!$F$14,$M279,BI$13)="",10^12,OFFSET(CRONOPLE!$F$14,$M279,BI$13))))</f>
        <v>1000000000000</v>
      </c>
      <c r="BJ279" s="181">
        <f ca="1">IF($D279&lt;&gt;"Serviço",0,IF(AND(AUTOEVENTO="Manual",$M279=1),0,IF(OFFSET(CRONOPLE!$F$14,$M279,BJ$13)="",10^12,OFFSET(CRONOPLE!$F$14,$M279,BJ$13))))</f>
        <v>1000000000000</v>
      </c>
      <c r="BK279" s="181">
        <f ca="1">IF($D279&lt;&gt;"Serviço",0,IF(AND(AUTOEVENTO="Manual",$M279=1),0,IF(OFFSET(CRONOPLE!$F$14,$M279,BK$13)="",10^12,OFFSET(CRONOPLE!$F$14,$M279,BK$13))))</f>
        <v>1000000000000</v>
      </c>
      <c r="BL279" s="181">
        <f ca="1">IF($D279&lt;&gt;"Serviço",0,IF(AND(AUTOEVENTO="Manual",$M279=1),0,IF(OFFSET(CRONOPLE!$F$14,$M279,BL$13)="",10^12,OFFSET(CRONOPLE!$F$14,$M279,BL$13))))</f>
        <v>1000000000000</v>
      </c>
      <c r="BM279" s="181">
        <f ca="1">IF($D279&lt;&gt;"Serviço",0,IF(AND(AUTOEVENTO="Manual",$M279=1),0,IF(OFFSET(CRONOPLE!$F$14,$M279,BM$13)="",10^12,OFFSET(CRONOPLE!$F$14,$M279,BM$13))))</f>
        <v>1000000000000</v>
      </c>
      <c r="BN279" s="181">
        <f ca="1">IF($D279&lt;&gt;"Serviço",0,IF(AND(AUTOEVENTO="Manual",$M279=1),0,IF(OFFSET(CRONOPLE!$F$14,$M279,BN$13)="",10^12,OFFSET(CRONOPLE!$F$14,$M279,BN$13))))</f>
        <v>1000000000000</v>
      </c>
      <c r="BO279" s="181">
        <f ca="1">IF($D279&lt;&gt;"Serviço",0,IF(AND(AUTOEVENTO="Manual",$M279=1),0,IF(OFFSET(CRONOPLE!$F$14,$M279,BO$13)="",10^12,OFFSET(CRONOPLE!$F$14,$M279,BO$13))))</f>
        <v>1000000000000</v>
      </c>
      <c r="BP279" s="181">
        <f ca="1">IF($D279&lt;&gt;"Serviço",0,IF(AND(AUTOEVENTO="Manual",$M279=1),0,IF(OFFSET(CRONOPLE!$F$14,$M279,BP$13)="",10^12,OFFSET(CRONOPLE!$F$14,$M279,BP$13))))</f>
        <v>1000000000000</v>
      </c>
      <c r="BQ279" s="181">
        <f ca="1">IF($D279&lt;&gt;"Serviço",0,IF(AND(AUTOEVENTO="Manual",$M279=1),0,IF(OFFSET(CRONOPLE!$F$14,$M279,BQ$13)="",10^12,OFFSET(CRONOPLE!$F$14,$M279,BQ$13))))</f>
        <v>1000000000000</v>
      </c>
      <c r="BR279" s="181">
        <f ca="1">IF($D279&lt;&gt;"Serviço",0,IF(AND(AUTOEVENTO="Manual",$M279=1),0,IF(OFFSET(CRONOPLE!$F$14,$M279,BR$13)="",10^12,OFFSET(CRONOPLE!$F$14,$M279,BR$13))))</f>
        <v>1000000000000</v>
      </c>
      <c r="BS279" s="181">
        <f ca="1">IF($D279&lt;&gt;"Serviço",0,IF(AND(AUTOEVENTO="Manual",$M279=1),0,IF(OFFSET(CRONOPLE!$F$14,$M279,BS$13)="",10^12,OFFSET(CRONOPLE!$F$14,$M279,BS$13))))</f>
        <v>1000000000000</v>
      </c>
      <c r="BT279" s="181">
        <f ca="1">IF($D279&lt;&gt;"Serviço",0,IF(AND(AUTOEVENTO="Manual",$M279=1),0,IF(OFFSET(CRONOPLE!$F$14,$M279,BT$13)="",10^12,OFFSET(CRONOPLE!$F$14,$M279,BT$13))))</f>
        <v>1000000000000</v>
      </c>
      <c r="BV279" s="182">
        <f ca="1">IF($D279&lt;&gt;"Serviço",0,IF(OR(AND(AUTOEVENTO="Manual",$M279=1),$M279&gt;(ROW(PLE.lastrow)-ROW(PLE.firstrow))),0,IF(OFFSET(PLE!$G$14,$M279,BV$13)="",10^12,OFFSET(PLE!$G$14,$M279,BV$13))))</f>
        <v>1000000000000</v>
      </c>
      <c r="BW279" s="182">
        <f ca="1">IF($D279&lt;&gt;"Serviço",0,IF(OR(AND(AUTOEVENTO="Manual",$M279=1),$M279&gt;(ROW(PLE.lastrow)-ROW(PLE.firstrow))),0,IF(OFFSET(PLE!$G$14,$M279,BW$13)="",10^12,OFFSET(PLE!$G$14,$M279,BW$13))))</f>
        <v>1000000000000</v>
      </c>
      <c r="BX279" s="182">
        <f ca="1">IF($D279&lt;&gt;"Serviço",0,IF(OR(AND(AUTOEVENTO="Manual",$M279=1),$M279&gt;(ROW(PLE.lastrow)-ROW(PLE.firstrow))),0,IF(OFFSET(PLE!$G$14,$M279,BX$13)="",10^12,OFFSET(PLE!$G$14,$M279,BX$13))))</f>
        <v>1000000000000</v>
      </c>
      <c r="BY279" s="182">
        <f ca="1">IF($D279&lt;&gt;"Serviço",0,IF(OR(AND(AUTOEVENTO="Manual",$M279=1),$M279&gt;(ROW(PLE.lastrow)-ROW(PLE.firstrow))),0,IF(OFFSET(PLE!$G$14,$M279,BY$13)="",10^12,OFFSET(PLE!$G$14,$M279,BY$13))))</f>
        <v>1000000000000</v>
      </c>
      <c r="BZ279" s="182">
        <f ca="1">IF($D279&lt;&gt;"Serviço",0,IF(OR(AND(AUTOEVENTO="Manual",$M279=1),$M279&gt;(ROW(PLE.lastrow)-ROW(PLE.firstrow))),0,IF(OFFSET(PLE!$G$14,$M279,BZ$13)="",10^12,OFFSET(PLE!$G$14,$M279,BZ$13))))</f>
        <v>1000000000000</v>
      </c>
      <c r="CA279" s="182">
        <f ca="1">IF($D279&lt;&gt;"Serviço",0,IF(OR(AND(AUTOEVENTO="Manual",$M279=1),$M279&gt;(ROW(PLE.lastrow)-ROW(PLE.firstrow))),0,IF(OFFSET(PLE!$G$14,$M279,CA$13)="",10^12,OFFSET(PLE!$G$14,$M279,CA$13))))</f>
        <v>1000000000000</v>
      </c>
      <c r="CB279" s="182">
        <f ca="1">IF($D279&lt;&gt;"Serviço",0,IF(OR(AND(AUTOEVENTO="Manual",$M279=1),$M279&gt;(ROW(PLE.lastrow)-ROW(PLE.firstrow))),0,IF(OFFSET(PLE!$G$14,$M279,CB$13)="",10^12,OFFSET(PLE!$G$14,$M279,CB$13))))</f>
        <v>1000000000000</v>
      </c>
      <c r="CC279" s="182">
        <f ca="1">IF($D279&lt;&gt;"Serviço",0,IF(OR(AND(AUTOEVENTO="Manual",$M279=1),$M279&gt;(ROW(PLE.lastrow)-ROW(PLE.firstrow))),0,IF(OFFSET(PLE!$G$14,$M279,CC$13)="",10^12,OFFSET(PLE!$G$14,$M279,CC$13))))</f>
        <v>1000000000000</v>
      </c>
      <c r="CD279" s="182">
        <f ca="1">IF($D279&lt;&gt;"Serviço",0,IF(OR(AND(AUTOEVENTO="Manual",$M279=1),$M279&gt;(ROW(PLE.lastrow)-ROW(PLE.firstrow))),0,IF(OFFSET(PLE!$G$14,$M279,CD$13)="",10^12,OFFSET(PLE!$G$14,$M279,CD$13))))</f>
        <v>1000000000000</v>
      </c>
      <c r="CE279" s="182">
        <f ca="1">IF($D279&lt;&gt;"Serviço",0,IF(OR(AND(AUTOEVENTO="Manual",$M279=1),$M279&gt;(ROW(PLE.lastrow)-ROW(PLE.firstrow))),0,IF(OFFSET(PLE!$G$14,$M279,CE$13)="",10^12,OFFSET(PLE!$G$14,$M279,CE$13))))</f>
        <v>1000000000000</v>
      </c>
      <c r="CF279" s="182">
        <f ca="1">IF($D279&lt;&gt;"Serviço",0,IF(OR(AND(AUTOEVENTO="Manual",$M279=1),$M279&gt;(ROW(PLE.lastrow)-ROW(PLE.firstrow))),0,IF(OFFSET(PLE!$G$14,$M279,CF$13)="",10^12,OFFSET(PLE!$G$14,$M279,CF$13))))</f>
        <v>1000000000000</v>
      </c>
      <c r="CG279" s="182">
        <f ca="1">IF($D279&lt;&gt;"Serviço",0,IF(OR(AND(AUTOEVENTO="Manual",$M279=1),$M279&gt;(ROW(PLE.lastrow)-ROW(PLE.firstrow))),0,IF(OFFSET(PLE!$G$14,$M279,CG$13)="",10^12,OFFSET(PLE!$G$14,$M279,CG$13))))</f>
        <v>1000000000000</v>
      </c>
      <c r="CH279" s="182">
        <f ca="1">IF($D279&lt;&gt;"Serviço",0,IF(OR(AND(AUTOEVENTO="Manual",$M279=1),$M279&gt;(ROW(PLE.lastrow)-ROW(PLE.firstrow))),0,IF(OFFSET(PLE!$G$14,$M279,CH$13)="",10^12,OFFSET(PLE!$G$14,$M279,CH$13))))</f>
        <v>1000000000000</v>
      </c>
      <c r="CI279" s="182">
        <f ca="1">IF($D279&lt;&gt;"Serviço",0,IF(OR(AND(AUTOEVENTO="Manual",$M279=1),$M279&gt;(ROW(PLE.lastrow)-ROW(PLE.firstrow))),0,IF(OFFSET(PLE!$G$14,$M279,CI$13)="",10^12,OFFSET(PLE!$G$14,$M279,CI$13))))</f>
        <v>1000000000000</v>
      </c>
      <c r="CJ279" s="182">
        <f ca="1">IF($D279&lt;&gt;"Serviço",0,IF(OR(AND(AUTOEVENTO="Manual",$M279=1),$M279&gt;(ROW(PLE.lastrow)-ROW(PLE.firstrow))),0,IF(OFFSET(PLE!$G$14,$M279,CJ$13)="",10^12,OFFSET(PLE!$G$14,$M279,CJ$13))))</f>
        <v>1000000000000</v>
      </c>
      <c r="CK279" s="182">
        <f ca="1">IF($D279&lt;&gt;"Serviço",0,IF(OR(AND(AUTOEVENTO="Manual",$M279=1),$M279&gt;(ROW(PLE.lastrow)-ROW(PLE.firstrow))),0,IF(OFFSET(PLE!$G$14,$M279,CK$13)="",10^12,OFFSET(PLE!$G$14,$M279,CK$13))))</f>
        <v>1000000000000</v>
      </c>
      <c r="CL279" s="182">
        <f ca="1">IF($D279&lt;&gt;"Serviço",0,IF(OR(AND(AUTOEVENTO="Manual",$M279=1),$M279&gt;(ROW(PLE.lastrow)-ROW(PLE.firstrow))),0,IF(OFFSET(PLE!$G$14,$M279,CL$13)="",10^12,OFFSET(PLE!$G$14,$M279,CL$13))))</f>
        <v>1000000000000</v>
      </c>
      <c r="CM279" s="182">
        <f ca="1">IF($D279&lt;&gt;"Serviço",0,IF(OR(AND(AUTOEVENTO="Manual",$M279=1),$M279&gt;(ROW(PLE.lastrow)-ROW(PLE.firstrow))),0,IF(OFFSET(PLE!$G$14,$M279,CM$13)="",10^12,OFFSET(PLE!$G$14,$M279,CM$13))))</f>
        <v>1000000000000</v>
      </c>
    </row>
    <row r="280" spans="1:91" ht="38.25" x14ac:dyDescent="0.2">
      <c r="A280" s="7" t="str">
        <f t="shared" ca="1" si="12"/>
        <v>232</v>
      </c>
      <c r="B280" s="7" t="str">
        <f ca="1">OFFSET(ORÇAMENTO!C$15,ROW(B280)-ROW(B$15),0)</f>
        <v>S</v>
      </c>
      <c r="C280" s="7" t="str">
        <f ca="1">OFFSET(ORÇAMENTO!L$15,ROW(C280)-ROW(C$15),0)</f>
        <v/>
      </c>
      <c r="D280" s="118" t="str">
        <f ca="1">OFFSET(ORÇAMENTO!N$15,ROW(D280)-ROW(D$15),0)</f>
        <v>Serviço</v>
      </c>
      <c r="E280" s="119" t="str">
        <f ca="1">OFFSET(ORÇAMENTO!O$15,ROW(E280)-ROW(E$15),0)</f>
        <v>-</v>
      </c>
      <c r="F280" s="172" t="str">
        <f ca="1">OFFSET(ORÇAMENTO!R$15,ROW(F280)-ROW(F$15),0)</f>
        <v>(abra o arquivo 'Referência 06-2024.xlsm)</v>
      </c>
      <c r="G280" s="173" t="str">
        <f ca="1">IF($D280&lt;&gt;"Serviço","",OFFSET(ORÇAMENTO!S$15,ROW(G280)-ROW(G$15),0))</f>
        <v>-</v>
      </c>
      <c r="H280" s="124">
        <f ca="1">IF($D280&lt;&gt;"Serviço",0,IF(ACOMPANHAMENTO="BM",ROUND(OFFSET(ORÇAMENTO!AJ$15,ROW(H280)-ROW(H$15),0),15-13*ORÇAMENTO!$AF$7),SUMPRODUCT(($Q$12:$AI$12&lt;&gt;"")*ROUND($Q280:$AI280,15-13*ORÇAMENTO!$AF$7))))</f>
        <v>82</v>
      </c>
      <c r="I280" s="561" t="s">
        <v>1107</v>
      </c>
      <c r="K280" s="174"/>
      <c r="L280" s="175" t="s">
        <v>255</v>
      </c>
      <c r="M280" s="176">
        <f ca="1">IF($D280&lt;&gt;"Serviço","",IF(AUTOEVENTO="manual",$A280,IF(ISERROR(MATCH($A280,$A$15:OFFSET($A280,-1,0),0)),MAX($M$15:OFFSET(M280,-1,0))+1,INDEX($M$15:OFFSET(M280,-1,0),MATCH($A280,$A$15:OFFSET($A280,-1,0),0)))))</f>
        <v>35</v>
      </c>
      <c r="N280" s="177" t="str">
        <f ca="1">IF($D280&lt;&gt;"Serviço","",IF(AUTOEVENTO="Manual",IF($A280=0,"&lt;-- defina o número do agrupador",OFFSET(EVENTOS!$D$14,$A280,0)),OFFSET($F$15,$A280,0)))</f>
        <v>INSTALAÇÃO HIDRÁULICA - TUBULAÇÕES E CONEXÕES DE PVC RÍGIDO</v>
      </c>
      <c r="O280" s="178"/>
      <c r="Q280" s="178">
        <v>82</v>
      </c>
      <c r="R280" s="179"/>
      <c r="S280" s="179"/>
      <c r="T280" s="179"/>
      <c r="U280" s="179"/>
      <c r="V280" s="179"/>
      <c r="W280" s="179"/>
      <c r="X280" s="179"/>
      <c r="Y280" s="179"/>
      <c r="Z280" s="180"/>
      <c r="AA280" s="179"/>
      <c r="AB280" s="179"/>
      <c r="AC280" s="179"/>
      <c r="AD280" s="179"/>
      <c r="AE280" s="179"/>
      <c r="AF280" s="179"/>
      <c r="AG280" s="179"/>
      <c r="AH280" s="180"/>
      <c r="AJ280" s="544">
        <f ca="1">IF(AND($D280="Serviço",AJ$12&lt;&gt;0,$H280&gt;0,OR(AUTOEVENTO&lt;&gt;"manual",$M280&lt;&gt;1)),
IF(Import.TipoArredondamento&lt;&gt;"TransfereGOV",
ROUND(OFFSET($P280,0,AJ$13),15-13*ORÇAMENTO!$AF$7)/$H280*OFFSET(ORÇAMENTO!$X$15,ROW(AJ280)-ROW(AJ$15),0),
ROUND(ROUND(OFFSET($P280,0,AJ$13),15-13*ORÇAMENTO!$AF$7)*OFFSET(ORÇAMENTO!$W$15,ROW(AJ280)-ROW(AJ$15),0),15-13*ORÇAMENTO!$AF$11)),0)</f>
        <v>0</v>
      </c>
      <c r="AK280" s="545">
        <f ca="1">IF(AND($D280="Serviço",AK$12&lt;&gt;0,$H280&gt;0,OR(AUTOEVENTO&lt;&gt;"manual",$M280&lt;&gt;1)),
IF(Import.TipoArredondamento&lt;&gt;"TransfereGOV",
ROUND(OFFSET($P280,0,AK$13),15-13*ORÇAMENTO!$AF$7)/$H280*OFFSET(ORÇAMENTO!$X$15,ROW(AK280)-ROW(AK$15),0),
ROUND(ROUND(OFFSET($P280,0,AK$13),15-13*ORÇAMENTO!$AF$7)*OFFSET(ORÇAMENTO!$W$15,ROW(AK280)-ROW(AK$15),0),15-13*ORÇAMENTO!$AF$11)),0)</f>
        <v>0</v>
      </c>
      <c r="AL280" s="545">
        <f ca="1">IF(AND($D280="Serviço",AL$12&lt;&gt;0,$H280&gt;0,OR(AUTOEVENTO&lt;&gt;"manual",$M280&lt;&gt;1)),
IF(Import.TipoArredondamento&lt;&gt;"TransfereGOV",
ROUND(OFFSET($P280,0,AL$13),15-13*ORÇAMENTO!$AF$7)/$H280*OFFSET(ORÇAMENTO!$X$15,ROW(AL280)-ROW(AL$15),0),
ROUND(ROUND(OFFSET($P280,0,AL$13),15-13*ORÇAMENTO!$AF$7)*OFFSET(ORÇAMENTO!$W$15,ROW(AL280)-ROW(AL$15),0),15-13*ORÇAMENTO!$AF$11)),0)</f>
        <v>0</v>
      </c>
      <c r="AM280" s="545">
        <f ca="1">IF(AND($D280="Serviço",AM$12&lt;&gt;0,$H280&gt;0,OR(AUTOEVENTO&lt;&gt;"manual",$M280&lt;&gt;1)),
IF(Import.TipoArredondamento&lt;&gt;"TransfereGOV",
ROUND(OFFSET($P280,0,AM$13),15-13*ORÇAMENTO!$AF$7)/$H280*OFFSET(ORÇAMENTO!$X$15,ROW(AM280)-ROW(AM$15),0),
ROUND(ROUND(OFFSET($P280,0,AM$13),15-13*ORÇAMENTO!$AF$7)*OFFSET(ORÇAMENTO!$W$15,ROW(AM280)-ROW(AM$15),0),15-13*ORÇAMENTO!$AF$11)),0)</f>
        <v>0</v>
      </c>
      <c r="AN280" s="545">
        <f ca="1">IF(AND($D280="Serviço",AN$12&lt;&gt;0,$H280&gt;0,OR(AUTOEVENTO&lt;&gt;"manual",$M280&lt;&gt;1)),
IF(Import.TipoArredondamento&lt;&gt;"TransfereGOV",
ROUND(OFFSET($P280,0,AN$13),15-13*ORÇAMENTO!$AF$7)/$H280*OFFSET(ORÇAMENTO!$X$15,ROW(AN280)-ROW(AN$15),0),
ROUND(ROUND(OFFSET($P280,0,AN$13),15-13*ORÇAMENTO!$AF$7)*OFFSET(ORÇAMENTO!$W$15,ROW(AN280)-ROW(AN$15),0),15-13*ORÇAMENTO!$AF$11)),0)</f>
        <v>0</v>
      </c>
      <c r="AO280" s="545">
        <f ca="1">IF(AND($D280="Serviço",AO$12&lt;&gt;0,$H280&gt;0,OR(AUTOEVENTO&lt;&gt;"manual",$M280&lt;&gt;1)),
IF(Import.TipoArredondamento&lt;&gt;"TransfereGOV",
ROUND(OFFSET($P280,0,AO$13),15-13*ORÇAMENTO!$AF$7)/$H280*OFFSET(ORÇAMENTO!$X$15,ROW(AO280)-ROW(AO$15),0),
ROUND(ROUND(OFFSET($P280,0,AO$13),15-13*ORÇAMENTO!$AF$7)*OFFSET(ORÇAMENTO!$W$15,ROW(AO280)-ROW(AO$15),0),15-13*ORÇAMENTO!$AF$11)),0)</f>
        <v>0</v>
      </c>
      <c r="AP280" s="545">
        <f ca="1">IF(AND($D280="Serviço",AP$12&lt;&gt;0,$H280&gt;0,OR(AUTOEVENTO&lt;&gt;"manual",$M280&lt;&gt;1)),
IF(Import.TipoArredondamento&lt;&gt;"TransfereGOV",
ROUND(OFFSET($P280,0,AP$13),15-13*ORÇAMENTO!$AF$7)/$H280*OFFSET(ORÇAMENTO!$X$15,ROW(AP280)-ROW(AP$15),0),
ROUND(ROUND(OFFSET($P280,0,AP$13),15-13*ORÇAMENTO!$AF$7)*OFFSET(ORÇAMENTO!$W$15,ROW(AP280)-ROW(AP$15),0),15-13*ORÇAMENTO!$AF$11)),0)</f>
        <v>0</v>
      </c>
      <c r="AQ280" s="545">
        <f ca="1">IF(AND($D280="Serviço",AQ$12&lt;&gt;0,$H280&gt;0,OR(AUTOEVENTO&lt;&gt;"manual",$M280&lt;&gt;1)),
IF(Import.TipoArredondamento&lt;&gt;"TransfereGOV",
ROUND(OFFSET($P280,0,AQ$13),15-13*ORÇAMENTO!$AF$7)/$H280*OFFSET(ORÇAMENTO!$X$15,ROW(AQ280)-ROW(AQ$15),0),
ROUND(ROUND(OFFSET($P280,0,AQ$13),15-13*ORÇAMENTO!$AF$7)*OFFSET(ORÇAMENTO!$W$15,ROW(AQ280)-ROW(AQ$15),0),15-13*ORÇAMENTO!$AF$11)),0)</f>
        <v>0</v>
      </c>
      <c r="AR280" s="545">
        <f ca="1">IF(AND($D280="Serviço",AR$12&lt;&gt;0,$H280&gt;0,OR(AUTOEVENTO&lt;&gt;"manual",$M280&lt;&gt;1)),
IF(Import.TipoArredondamento&lt;&gt;"TransfereGOV",
ROUND(OFFSET($P280,0,AR$13),15-13*ORÇAMENTO!$AF$7)/$H280*OFFSET(ORÇAMENTO!$X$15,ROW(AR280)-ROW(AR$15),0),
ROUND(ROUND(OFFSET($P280,0,AR$13),15-13*ORÇAMENTO!$AF$7)*OFFSET(ORÇAMENTO!$W$15,ROW(AR280)-ROW(AR$15),0),15-13*ORÇAMENTO!$AF$11)),0)</f>
        <v>0</v>
      </c>
      <c r="AS280" s="546">
        <f ca="1">IF(AND($D280="Serviço",AS$12&lt;&gt;0,$H280&gt;0,OR(AUTOEVENTO&lt;&gt;"manual",$M280&lt;&gt;1)),
IF(Import.TipoArredondamento&lt;&gt;"TransfereGOV",
ROUND(OFFSET($P280,0,AS$13),15-13*ORÇAMENTO!$AF$7)/$H280*OFFSET(ORÇAMENTO!$X$15,ROW(AS280)-ROW(AS$15),0),
ROUND(ROUND(OFFSET($P280,0,AS$13),15-13*ORÇAMENTO!$AF$7)*OFFSET(ORÇAMENTO!$W$15,ROW(AS280)-ROW(AS$15),0),15-13*ORÇAMENTO!$AF$11)),0)</f>
        <v>0</v>
      </c>
      <c r="AT280" s="545">
        <f ca="1">IF(AND($D280="Serviço",AT$12&lt;&gt;0,$H280&gt;0,OR(AUTOEVENTO&lt;&gt;"manual",$M280&lt;&gt;1)),
IF(Import.TipoArredondamento&lt;&gt;"TransfereGOV",
ROUND(OFFSET($P280,0,AT$13),15-13*ORÇAMENTO!$AF$7)/$H280*OFFSET(ORÇAMENTO!$X$15,ROW(AT280)-ROW(AT$15),0),
ROUND(ROUND(OFFSET($P280,0,AT$13),15-13*ORÇAMENTO!$AF$7)*OFFSET(ORÇAMENTO!$W$15,ROW(AT280)-ROW(AT$15),0),15-13*ORÇAMENTO!$AF$11)),0)</f>
        <v>0</v>
      </c>
      <c r="AU280" s="545">
        <f ca="1">IF(AND($D280="Serviço",AU$12&lt;&gt;0,$H280&gt;0,OR(AUTOEVENTO&lt;&gt;"manual",$M280&lt;&gt;1)),
IF(Import.TipoArredondamento&lt;&gt;"TransfereGOV",
ROUND(OFFSET($P280,0,AU$13),15-13*ORÇAMENTO!$AF$7)/$H280*OFFSET(ORÇAMENTO!$X$15,ROW(AU280)-ROW(AU$15),0),
ROUND(ROUND(OFFSET($P280,0,AU$13),15-13*ORÇAMENTO!$AF$7)*OFFSET(ORÇAMENTO!$W$15,ROW(AU280)-ROW(AU$15),0),15-13*ORÇAMENTO!$AF$11)),0)</f>
        <v>0</v>
      </c>
      <c r="AV280" s="545">
        <f ca="1">IF(AND($D280="Serviço",AV$12&lt;&gt;0,$H280&gt;0,OR(AUTOEVENTO&lt;&gt;"manual",$M280&lt;&gt;1)),
IF(Import.TipoArredondamento&lt;&gt;"TransfereGOV",
ROUND(OFFSET($P280,0,AV$13),15-13*ORÇAMENTO!$AF$7)/$H280*OFFSET(ORÇAMENTO!$X$15,ROW(AV280)-ROW(AV$15),0),
ROUND(ROUND(OFFSET($P280,0,AV$13),15-13*ORÇAMENTO!$AF$7)*OFFSET(ORÇAMENTO!$W$15,ROW(AV280)-ROW(AV$15),0),15-13*ORÇAMENTO!$AF$11)),0)</f>
        <v>0</v>
      </c>
      <c r="AW280" s="545">
        <f ca="1">IF(AND($D280="Serviço",AW$12&lt;&gt;0,$H280&gt;0,OR(AUTOEVENTO&lt;&gt;"manual",$M280&lt;&gt;1)),
IF(Import.TipoArredondamento&lt;&gt;"TransfereGOV",
ROUND(OFFSET($P280,0,AW$13),15-13*ORÇAMENTO!$AF$7)/$H280*OFFSET(ORÇAMENTO!$X$15,ROW(AW280)-ROW(AW$15),0),
ROUND(ROUND(OFFSET($P280,0,AW$13),15-13*ORÇAMENTO!$AF$7)*OFFSET(ORÇAMENTO!$W$15,ROW(AW280)-ROW(AW$15),0),15-13*ORÇAMENTO!$AF$11)),0)</f>
        <v>0</v>
      </c>
      <c r="AX280" s="545">
        <f ca="1">IF(AND($D280="Serviço",AX$12&lt;&gt;0,$H280&gt;0,OR(AUTOEVENTO&lt;&gt;"manual",$M280&lt;&gt;1)),
IF(Import.TipoArredondamento&lt;&gt;"TransfereGOV",
ROUND(OFFSET($P280,0,AX$13),15-13*ORÇAMENTO!$AF$7)/$H280*OFFSET(ORÇAMENTO!$X$15,ROW(AX280)-ROW(AX$15),0),
ROUND(ROUND(OFFSET($P280,0,AX$13),15-13*ORÇAMENTO!$AF$7)*OFFSET(ORÇAMENTO!$W$15,ROW(AX280)-ROW(AX$15),0),15-13*ORÇAMENTO!$AF$11)),0)</f>
        <v>0</v>
      </c>
      <c r="AY280" s="545">
        <f ca="1">IF(AND($D280="Serviço",AY$12&lt;&gt;0,$H280&gt;0,OR(AUTOEVENTO&lt;&gt;"manual",$M280&lt;&gt;1)),
IF(Import.TipoArredondamento&lt;&gt;"TransfereGOV",
ROUND(OFFSET($P280,0,AY$13),15-13*ORÇAMENTO!$AF$7)/$H280*OFFSET(ORÇAMENTO!$X$15,ROW(AY280)-ROW(AY$15),0),
ROUND(ROUND(OFFSET($P280,0,AY$13),15-13*ORÇAMENTO!$AF$7)*OFFSET(ORÇAMENTO!$W$15,ROW(AY280)-ROW(AY$15),0),15-13*ORÇAMENTO!$AF$11)),0)</f>
        <v>0</v>
      </c>
      <c r="AZ280" s="545">
        <f ca="1">IF(AND($D280="Serviço",AZ$12&lt;&gt;0,$H280&gt;0,OR(AUTOEVENTO&lt;&gt;"manual",$M280&lt;&gt;1)),
IF(Import.TipoArredondamento&lt;&gt;"TransfereGOV",
ROUND(OFFSET($P280,0,AZ$13),15-13*ORÇAMENTO!$AF$7)/$H280*OFFSET(ORÇAMENTO!$X$15,ROW(AZ280)-ROW(AZ$15),0),
ROUND(ROUND(OFFSET($P280,0,AZ$13),15-13*ORÇAMENTO!$AF$7)*OFFSET(ORÇAMENTO!$W$15,ROW(AZ280)-ROW(AZ$15),0),15-13*ORÇAMENTO!$AF$11)),0)</f>
        <v>0</v>
      </c>
      <c r="BA280" s="546">
        <f ca="1">IF(AND($D280="Serviço",BA$12&lt;&gt;0,$H280&gt;0,OR(AUTOEVENTO&lt;&gt;"manual",$M280&lt;&gt;1)),
IF(Import.TipoArredondamento&lt;&gt;"TransfereGOV",
ROUND(OFFSET($P280,0,BA$13),15-13*ORÇAMENTO!$AF$7)/$H280*OFFSET(ORÇAMENTO!$X$15,ROW(BA280)-ROW(BA$15),0),
ROUND(ROUND(OFFSET($P280,0,BA$13),15-13*ORÇAMENTO!$AF$7)*OFFSET(ORÇAMENTO!$W$15,ROW(BA280)-ROW(BA$15),0),15-13*ORÇAMENTO!$AF$11)),0)</f>
        <v>0</v>
      </c>
      <c r="BC280" s="181">
        <f ca="1">IF($D280&lt;&gt;"Serviço",0,IF(AND(AUTOEVENTO="Manual",$M280=1),0,IF(OFFSET(CRONOPLE!$F$14,$M280,BC$13)="",10^12,OFFSET(CRONOPLE!$F$14,$M280,BC$13))))</f>
        <v>9</v>
      </c>
      <c r="BD280" s="181">
        <f ca="1">IF($D280&lt;&gt;"Serviço",0,IF(AND(AUTOEVENTO="Manual",$M280=1),0,IF(OFFSET(CRONOPLE!$F$14,$M280,BD$13)="",10^12,OFFSET(CRONOPLE!$F$14,$M280,BD$13))))</f>
        <v>1000000000000</v>
      </c>
      <c r="BE280" s="181">
        <f ca="1">IF($D280&lt;&gt;"Serviço",0,IF(AND(AUTOEVENTO="Manual",$M280=1),0,IF(OFFSET(CRONOPLE!$F$14,$M280,BE$13)="",10^12,OFFSET(CRONOPLE!$F$14,$M280,BE$13))))</f>
        <v>1000000000000</v>
      </c>
      <c r="BF280" s="181">
        <f ca="1">IF($D280&lt;&gt;"Serviço",0,IF(AND(AUTOEVENTO="Manual",$M280=1),0,IF(OFFSET(CRONOPLE!$F$14,$M280,BF$13)="",10^12,OFFSET(CRONOPLE!$F$14,$M280,BF$13))))</f>
        <v>1000000000000</v>
      </c>
      <c r="BG280" s="181">
        <f ca="1">IF($D280&lt;&gt;"Serviço",0,IF(AND(AUTOEVENTO="Manual",$M280=1),0,IF(OFFSET(CRONOPLE!$F$14,$M280,BG$13)="",10^12,OFFSET(CRONOPLE!$F$14,$M280,BG$13))))</f>
        <v>1000000000000</v>
      </c>
      <c r="BH280" s="181">
        <f ca="1">IF($D280&lt;&gt;"Serviço",0,IF(AND(AUTOEVENTO="Manual",$M280=1),0,IF(OFFSET(CRONOPLE!$F$14,$M280,BH$13)="",10^12,OFFSET(CRONOPLE!$F$14,$M280,BH$13))))</f>
        <v>1000000000000</v>
      </c>
      <c r="BI280" s="181">
        <f ca="1">IF($D280&lt;&gt;"Serviço",0,IF(AND(AUTOEVENTO="Manual",$M280=1),0,IF(OFFSET(CRONOPLE!$F$14,$M280,BI$13)="",10^12,OFFSET(CRONOPLE!$F$14,$M280,BI$13))))</f>
        <v>1000000000000</v>
      </c>
      <c r="BJ280" s="181">
        <f ca="1">IF($D280&lt;&gt;"Serviço",0,IF(AND(AUTOEVENTO="Manual",$M280=1),0,IF(OFFSET(CRONOPLE!$F$14,$M280,BJ$13)="",10^12,OFFSET(CRONOPLE!$F$14,$M280,BJ$13))))</f>
        <v>1000000000000</v>
      </c>
      <c r="BK280" s="181">
        <f ca="1">IF($D280&lt;&gt;"Serviço",0,IF(AND(AUTOEVENTO="Manual",$M280=1),0,IF(OFFSET(CRONOPLE!$F$14,$M280,BK$13)="",10^12,OFFSET(CRONOPLE!$F$14,$M280,BK$13))))</f>
        <v>1000000000000</v>
      </c>
      <c r="BL280" s="181">
        <f ca="1">IF($D280&lt;&gt;"Serviço",0,IF(AND(AUTOEVENTO="Manual",$M280=1),0,IF(OFFSET(CRONOPLE!$F$14,$M280,BL$13)="",10^12,OFFSET(CRONOPLE!$F$14,$M280,BL$13))))</f>
        <v>1000000000000</v>
      </c>
      <c r="BM280" s="181">
        <f ca="1">IF($D280&lt;&gt;"Serviço",0,IF(AND(AUTOEVENTO="Manual",$M280=1),0,IF(OFFSET(CRONOPLE!$F$14,$M280,BM$13)="",10^12,OFFSET(CRONOPLE!$F$14,$M280,BM$13))))</f>
        <v>1000000000000</v>
      </c>
      <c r="BN280" s="181">
        <f ca="1">IF($D280&lt;&gt;"Serviço",0,IF(AND(AUTOEVENTO="Manual",$M280=1),0,IF(OFFSET(CRONOPLE!$F$14,$M280,BN$13)="",10^12,OFFSET(CRONOPLE!$F$14,$M280,BN$13))))</f>
        <v>1000000000000</v>
      </c>
      <c r="BO280" s="181">
        <f ca="1">IF($D280&lt;&gt;"Serviço",0,IF(AND(AUTOEVENTO="Manual",$M280=1),0,IF(OFFSET(CRONOPLE!$F$14,$M280,BO$13)="",10^12,OFFSET(CRONOPLE!$F$14,$M280,BO$13))))</f>
        <v>1000000000000</v>
      </c>
      <c r="BP280" s="181">
        <f ca="1">IF($D280&lt;&gt;"Serviço",0,IF(AND(AUTOEVENTO="Manual",$M280=1),0,IF(OFFSET(CRONOPLE!$F$14,$M280,BP$13)="",10^12,OFFSET(CRONOPLE!$F$14,$M280,BP$13))))</f>
        <v>1000000000000</v>
      </c>
      <c r="BQ280" s="181">
        <f ca="1">IF($D280&lt;&gt;"Serviço",0,IF(AND(AUTOEVENTO="Manual",$M280=1),0,IF(OFFSET(CRONOPLE!$F$14,$M280,BQ$13)="",10^12,OFFSET(CRONOPLE!$F$14,$M280,BQ$13))))</f>
        <v>1000000000000</v>
      </c>
      <c r="BR280" s="181">
        <f ca="1">IF($D280&lt;&gt;"Serviço",0,IF(AND(AUTOEVENTO="Manual",$M280=1),0,IF(OFFSET(CRONOPLE!$F$14,$M280,BR$13)="",10^12,OFFSET(CRONOPLE!$F$14,$M280,BR$13))))</f>
        <v>1000000000000</v>
      </c>
      <c r="BS280" s="181">
        <f ca="1">IF($D280&lt;&gt;"Serviço",0,IF(AND(AUTOEVENTO="Manual",$M280=1),0,IF(OFFSET(CRONOPLE!$F$14,$M280,BS$13)="",10^12,OFFSET(CRONOPLE!$F$14,$M280,BS$13))))</f>
        <v>1000000000000</v>
      </c>
      <c r="BT280" s="181">
        <f ca="1">IF($D280&lt;&gt;"Serviço",0,IF(AND(AUTOEVENTO="Manual",$M280=1),0,IF(OFFSET(CRONOPLE!$F$14,$M280,BT$13)="",10^12,OFFSET(CRONOPLE!$F$14,$M280,BT$13))))</f>
        <v>1000000000000</v>
      </c>
      <c r="BV280" s="182">
        <f ca="1">IF($D280&lt;&gt;"Serviço",0,IF(OR(AND(AUTOEVENTO="Manual",$M280=1),$M280&gt;(ROW(PLE.lastrow)-ROW(PLE.firstrow))),0,IF(OFFSET(PLE!$G$14,$M280,BV$13)="",10^12,OFFSET(PLE!$G$14,$M280,BV$13))))</f>
        <v>1000000000000</v>
      </c>
      <c r="BW280" s="182">
        <f ca="1">IF($D280&lt;&gt;"Serviço",0,IF(OR(AND(AUTOEVENTO="Manual",$M280=1),$M280&gt;(ROW(PLE.lastrow)-ROW(PLE.firstrow))),0,IF(OFFSET(PLE!$G$14,$M280,BW$13)="",10^12,OFFSET(PLE!$G$14,$M280,BW$13))))</f>
        <v>1000000000000</v>
      </c>
      <c r="BX280" s="182">
        <f ca="1">IF($D280&lt;&gt;"Serviço",0,IF(OR(AND(AUTOEVENTO="Manual",$M280=1),$M280&gt;(ROW(PLE.lastrow)-ROW(PLE.firstrow))),0,IF(OFFSET(PLE!$G$14,$M280,BX$13)="",10^12,OFFSET(PLE!$G$14,$M280,BX$13))))</f>
        <v>1000000000000</v>
      </c>
      <c r="BY280" s="182">
        <f ca="1">IF($D280&lt;&gt;"Serviço",0,IF(OR(AND(AUTOEVENTO="Manual",$M280=1),$M280&gt;(ROW(PLE.lastrow)-ROW(PLE.firstrow))),0,IF(OFFSET(PLE!$G$14,$M280,BY$13)="",10^12,OFFSET(PLE!$G$14,$M280,BY$13))))</f>
        <v>1000000000000</v>
      </c>
      <c r="BZ280" s="182">
        <f ca="1">IF($D280&lt;&gt;"Serviço",0,IF(OR(AND(AUTOEVENTO="Manual",$M280=1),$M280&gt;(ROW(PLE.lastrow)-ROW(PLE.firstrow))),0,IF(OFFSET(PLE!$G$14,$M280,BZ$13)="",10^12,OFFSET(PLE!$G$14,$M280,BZ$13))))</f>
        <v>1000000000000</v>
      </c>
      <c r="CA280" s="182">
        <f ca="1">IF($D280&lt;&gt;"Serviço",0,IF(OR(AND(AUTOEVENTO="Manual",$M280=1),$M280&gt;(ROW(PLE.lastrow)-ROW(PLE.firstrow))),0,IF(OFFSET(PLE!$G$14,$M280,CA$13)="",10^12,OFFSET(PLE!$G$14,$M280,CA$13))))</f>
        <v>1000000000000</v>
      </c>
      <c r="CB280" s="182">
        <f ca="1">IF($D280&lt;&gt;"Serviço",0,IF(OR(AND(AUTOEVENTO="Manual",$M280=1),$M280&gt;(ROW(PLE.lastrow)-ROW(PLE.firstrow))),0,IF(OFFSET(PLE!$G$14,$M280,CB$13)="",10^12,OFFSET(PLE!$G$14,$M280,CB$13))))</f>
        <v>1000000000000</v>
      </c>
      <c r="CC280" s="182">
        <f ca="1">IF($D280&lt;&gt;"Serviço",0,IF(OR(AND(AUTOEVENTO="Manual",$M280=1),$M280&gt;(ROW(PLE.lastrow)-ROW(PLE.firstrow))),0,IF(OFFSET(PLE!$G$14,$M280,CC$13)="",10^12,OFFSET(PLE!$G$14,$M280,CC$13))))</f>
        <v>1000000000000</v>
      </c>
      <c r="CD280" s="182">
        <f ca="1">IF($D280&lt;&gt;"Serviço",0,IF(OR(AND(AUTOEVENTO="Manual",$M280=1),$M280&gt;(ROW(PLE.lastrow)-ROW(PLE.firstrow))),0,IF(OFFSET(PLE!$G$14,$M280,CD$13)="",10^12,OFFSET(PLE!$G$14,$M280,CD$13))))</f>
        <v>1000000000000</v>
      </c>
      <c r="CE280" s="182">
        <f ca="1">IF($D280&lt;&gt;"Serviço",0,IF(OR(AND(AUTOEVENTO="Manual",$M280=1),$M280&gt;(ROW(PLE.lastrow)-ROW(PLE.firstrow))),0,IF(OFFSET(PLE!$G$14,$M280,CE$13)="",10^12,OFFSET(PLE!$G$14,$M280,CE$13))))</f>
        <v>1000000000000</v>
      </c>
      <c r="CF280" s="182">
        <f ca="1">IF($D280&lt;&gt;"Serviço",0,IF(OR(AND(AUTOEVENTO="Manual",$M280=1),$M280&gt;(ROW(PLE.lastrow)-ROW(PLE.firstrow))),0,IF(OFFSET(PLE!$G$14,$M280,CF$13)="",10^12,OFFSET(PLE!$G$14,$M280,CF$13))))</f>
        <v>1000000000000</v>
      </c>
      <c r="CG280" s="182">
        <f ca="1">IF($D280&lt;&gt;"Serviço",0,IF(OR(AND(AUTOEVENTO="Manual",$M280=1),$M280&gt;(ROW(PLE.lastrow)-ROW(PLE.firstrow))),0,IF(OFFSET(PLE!$G$14,$M280,CG$13)="",10^12,OFFSET(PLE!$G$14,$M280,CG$13))))</f>
        <v>1000000000000</v>
      </c>
      <c r="CH280" s="182">
        <f ca="1">IF($D280&lt;&gt;"Serviço",0,IF(OR(AND(AUTOEVENTO="Manual",$M280=1),$M280&gt;(ROW(PLE.lastrow)-ROW(PLE.firstrow))),0,IF(OFFSET(PLE!$G$14,$M280,CH$13)="",10^12,OFFSET(PLE!$G$14,$M280,CH$13))))</f>
        <v>1000000000000</v>
      </c>
      <c r="CI280" s="182">
        <f ca="1">IF($D280&lt;&gt;"Serviço",0,IF(OR(AND(AUTOEVENTO="Manual",$M280=1),$M280&gt;(ROW(PLE.lastrow)-ROW(PLE.firstrow))),0,IF(OFFSET(PLE!$G$14,$M280,CI$13)="",10^12,OFFSET(PLE!$G$14,$M280,CI$13))))</f>
        <v>1000000000000</v>
      </c>
      <c r="CJ280" s="182">
        <f ca="1">IF($D280&lt;&gt;"Serviço",0,IF(OR(AND(AUTOEVENTO="Manual",$M280=1),$M280&gt;(ROW(PLE.lastrow)-ROW(PLE.firstrow))),0,IF(OFFSET(PLE!$G$14,$M280,CJ$13)="",10^12,OFFSET(PLE!$G$14,$M280,CJ$13))))</f>
        <v>1000000000000</v>
      </c>
      <c r="CK280" s="182">
        <f ca="1">IF($D280&lt;&gt;"Serviço",0,IF(OR(AND(AUTOEVENTO="Manual",$M280=1),$M280&gt;(ROW(PLE.lastrow)-ROW(PLE.firstrow))),0,IF(OFFSET(PLE!$G$14,$M280,CK$13)="",10^12,OFFSET(PLE!$G$14,$M280,CK$13))))</f>
        <v>1000000000000</v>
      </c>
      <c r="CL280" s="182">
        <f ca="1">IF($D280&lt;&gt;"Serviço",0,IF(OR(AND(AUTOEVENTO="Manual",$M280=1),$M280&gt;(ROW(PLE.lastrow)-ROW(PLE.firstrow))),0,IF(OFFSET(PLE!$G$14,$M280,CL$13)="",10^12,OFFSET(PLE!$G$14,$M280,CL$13))))</f>
        <v>1000000000000</v>
      </c>
      <c r="CM280" s="182">
        <f ca="1">IF($D280&lt;&gt;"Serviço",0,IF(OR(AND(AUTOEVENTO="Manual",$M280=1),$M280&gt;(ROW(PLE.lastrow)-ROW(PLE.firstrow))),0,IF(OFFSET(PLE!$G$14,$M280,CM$13)="",10^12,OFFSET(PLE!$G$14,$M280,CM$13))))</f>
        <v>1000000000000</v>
      </c>
    </row>
    <row r="281" spans="1:91" ht="38.25" x14ac:dyDescent="0.2">
      <c r="A281" s="7" t="str">
        <f t="shared" ca="1" si="12"/>
        <v>232</v>
      </c>
      <c r="B281" s="7" t="str">
        <f ca="1">OFFSET(ORÇAMENTO!C$15,ROW(B281)-ROW(B$15),0)</f>
        <v>S</v>
      </c>
      <c r="C281" s="7" t="str">
        <f ca="1">OFFSET(ORÇAMENTO!L$15,ROW(C281)-ROW(C$15),0)</f>
        <v/>
      </c>
      <c r="D281" s="118" t="str">
        <f ca="1">OFFSET(ORÇAMENTO!N$15,ROW(D281)-ROW(D$15),0)</f>
        <v>Serviço</v>
      </c>
      <c r="E281" s="119" t="str">
        <f ca="1">OFFSET(ORÇAMENTO!O$15,ROW(E281)-ROW(E$15),0)</f>
        <v>-</v>
      </c>
      <c r="F281" s="172" t="str">
        <f ca="1">OFFSET(ORÇAMENTO!R$15,ROW(F281)-ROW(F$15),0)</f>
        <v>(abra o arquivo 'Referência 06-2024.xlsm)</v>
      </c>
      <c r="G281" s="173" t="str">
        <f ca="1">IF($D281&lt;&gt;"Serviço","",OFFSET(ORÇAMENTO!S$15,ROW(G281)-ROW(G$15),0))</f>
        <v>-</v>
      </c>
      <c r="H281" s="124">
        <f ca="1">IF($D281&lt;&gt;"Serviço",0,IF(ACOMPANHAMENTO="BM",ROUND(OFFSET(ORÇAMENTO!AJ$15,ROW(H281)-ROW(H$15),0),15-13*ORÇAMENTO!$AF$7),SUMPRODUCT(($Q$12:$AI$12&lt;&gt;"")*ROUND($Q281:$AI281,15-13*ORÇAMENTO!$AF$7))))</f>
        <v>3</v>
      </c>
      <c r="I281" s="561" t="s">
        <v>1107</v>
      </c>
      <c r="K281" s="174"/>
      <c r="L281" s="175" t="s">
        <v>255</v>
      </c>
      <c r="M281" s="176">
        <f ca="1">IF($D281&lt;&gt;"Serviço","",IF(AUTOEVENTO="manual",$A281,IF(ISERROR(MATCH($A281,$A$15:OFFSET($A281,-1,0),0)),MAX($M$15:OFFSET(M281,-1,0))+1,INDEX($M$15:OFFSET(M281,-1,0),MATCH($A281,$A$15:OFFSET($A281,-1,0),0)))))</f>
        <v>35</v>
      </c>
      <c r="N281" s="177" t="str">
        <f ca="1">IF($D281&lt;&gt;"Serviço","",IF(AUTOEVENTO="Manual",IF($A281=0,"&lt;-- defina o número do agrupador",OFFSET(EVENTOS!$D$14,$A281,0)),OFFSET($F$15,$A281,0)))</f>
        <v>INSTALAÇÃO HIDRÁULICA - TUBULAÇÕES E CONEXÕES DE PVC RÍGIDO</v>
      </c>
      <c r="O281" s="178"/>
      <c r="Q281" s="178">
        <v>3</v>
      </c>
      <c r="R281" s="179"/>
      <c r="S281" s="179"/>
      <c r="T281" s="179"/>
      <c r="U281" s="179"/>
      <c r="V281" s="179"/>
      <c r="W281" s="179"/>
      <c r="X281" s="179"/>
      <c r="Y281" s="179"/>
      <c r="Z281" s="180"/>
      <c r="AA281" s="179"/>
      <c r="AB281" s="179"/>
      <c r="AC281" s="179"/>
      <c r="AD281" s="179"/>
      <c r="AE281" s="179"/>
      <c r="AF281" s="179"/>
      <c r="AG281" s="179"/>
      <c r="AH281" s="180"/>
      <c r="AJ281" s="544">
        <f ca="1">IF(AND($D281="Serviço",AJ$12&lt;&gt;0,$H281&gt;0,OR(AUTOEVENTO&lt;&gt;"manual",$M281&lt;&gt;1)),
IF(Import.TipoArredondamento&lt;&gt;"TransfereGOV",
ROUND(OFFSET($P281,0,AJ$13),15-13*ORÇAMENTO!$AF$7)/$H281*OFFSET(ORÇAMENTO!$X$15,ROW(AJ281)-ROW(AJ$15),0),
ROUND(ROUND(OFFSET($P281,0,AJ$13),15-13*ORÇAMENTO!$AF$7)*OFFSET(ORÇAMENTO!$W$15,ROW(AJ281)-ROW(AJ$15),0),15-13*ORÇAMENTO!$AF$11)),0)</f>
        <v>0</v>
      </c>
      <c r="AK281" s="545">
        <f ca="1">IF(AND($D281="Serviço",AK$12&lt;&gt;0,$H281&gt;0,OR(AUTOEVENTO&lt;&gt;"manual",$M281&lt;&gt;1)),
IF(Import.TipoArredondamento&lt;&gt;"TransfereGOV",
ROUND(OFFSET($P281,0,AK$13),15-13*ORÇAMENTO!$AF$7)/$H281*OFFSET(ORÇAMENTO!$X$15,ROW(AK281)-ROW(AK$15),0),
ROUND(ROUND(OFFSET($P281,0,AK$13),15-13*ORÇAMENTO!$AF$7)*OFFSET(ORÇAMENTO!$W$15,ROW(AK281)-ROW(AK$15),0),15-13*ORÇAMENTO!$AF$11)),0)</f>
        <v>0</v>
      </c>
      <c r="AL281" s="545">
        <f ca="1">IF(AND($D281="Serviço",AL$12&lt;&gt;0,$H281&gt;0,OR(AUTOEVENTO&lt;&gt;"manual",$M281&lt;&gt;1)),
IF(Import.TipoArredondamento&lt;&gt;"TransfereGOV",
ROUND(OFFSET($P281,0,AL$13),15-13*ORÇAMENTO!$AF$7)/$H281*OFFSET(ORÇAMENTO!$X$15,ROW(AL281)-ROW(AL$15),0),
ROUND(ROUND(OFFSET($P281,0,AL$13),15-13*ORÇAMENTO!$AF$7)*OFFSET(ORÇAMENTO!$W$15,ROW(AL281)-ROW(AL$15),0),15-13*ORÇAMENTO!$AF$11)),0)</f>
        <v>0</v>
      </c>
      <c r="AM281" s="545">
        <f ca="1">IF(AND($D281="Serviço",AM$12&lt;&gt;0,$H281&gt;0,OR(AUTOEVENTO&lt;&gt;"manual",$M281&lt;&gt;1)),
IF(Import.TipoArredondamento&lt;&gt;"TransfereGOV",
ROUND(OFFSET($P281,0,AM$13),15-13*ORÇAMENTO!$AF$7)/$H281*OFFSET(ORÇAMENTO!$X$15,ROW(AM281)-ROW(AM$15),0),
ROUND(ROUND(OFFSET($P281,0,AM$13),15-13*ORÇAMENTO!$AF$7)*OFFSET(ORÇAMENTO!$W$15,ROW(AM281)-ROW(AM$15),0),15-13*ORÇAMENTO!$AF$11)),0)</f>
        <v>0</v>
      </c>
      <c r="AN281" s="545">
        <f ca="1">IF(AND($D281="Serviço",AN$12&lt;&gt;0,$H281&gt;0,OR(AUTOEVENTO&lt;&gt;"manual",$M281&lt;&gt;1)),
IF(Import.TipoArredondamento&lt;&gt;"TransfereGOV",
ROUND(OFFSET($P281,0,AN$13),15-13*ORÇAMENTO!$AF$7)/$H281*OFFSET(ORÇAMENTO!$X$15,ROW(AN281)-ROW(AN$15),0),
ROUND(ROUND(OFFSET($P281,0,AN$13),15-13*ORÇAMENTO!$AF$7)*OFFSET(ORÇAMENTO!$W$15,ROW(AN281)-ROW(AN$15),0),15-13*ORÇAMENTO!$AF$11)),0)</f>
        <v>0</v>
      </c>
      <c r="AO281" s="545">
        <f ca="1">IF(AND($D281="Serviço",AO$12&lt;&gt;0,$H281&gt;0,OR(AUTOEVENTO&lt;&gt;"manual",$M281&lt;&gt;1)),
IF(Import.TipoArredondamento&lt;&gt;"TransfereGOV",
ROUND(OFFSET($P281,0,AO$13),15-13*ORÇAMENTO!$AF$7)/$H281*OFFSET(ORÇAMENTO!$X$15,ROW(AO281)-ROW(AO$15),0),
ROUND(ROUND(OFFSET($P281,0,AO$13),15-13*ORÇAMENTO!$AF$7)*OFFSET(ORÇAMENTO!$W$15,ROW(AO281)-ROW(AO$15),0),15-13*ORÇAMENTO!$AF$11)),0)</f>
        <v>0</v>
      </c>
      <c r="AP281" s="545">
        <f ca="1">IF(AND($D281="Serviço",AP$12&lt;&gt;0,$H281&gt;0,OR(AUTOEVENTO&lt;&gt;"manual",$M281&lt;&gt;1)),
IF(Import.TipoArredondamento&lt;&gt;"TransfereGOV",
ROUND(OFFSET($P281,0,AP$13),15-13*ORÇAMENTO!$AF$7)/$H281*OFFSET(ORÇAMENTO!$X$15,ROW(AP281)-ROW(AP$15),0),
ROUND(ROUND(OFFSET($P281,0,AP$13),15-13*ORÇAMENTO!$AF$7)*OFFSET(ORÇAMENTO!$W$15,ROW(AP281)-ROW(AP$15),0),15-13*ORÇAMENTO!$AF$11)),0)</f>
        <v>0</v>
      </c>
      <c r="AQ281" s="545">
        <f ca="1">IF(AND($D281="Serviço",AQ$12&lt;&gt;0,$H281&gt;0,OR(AUTOEVENTO&lt;&gt;"manual",$M281&lt;&gt;1)),
IF(Import.TipoArredondamento&lt;&gt;"TransfereGOV",
ROUND(OFFSET($P281,0,AQ$13),15-13*ORÇAMENTO!$AF$7)/$H281*OFFSET(ORÇAMENTO!$X$15,ROW(AQ281)-ROW(AQ$15),0),
ROUND(ROUND(OFFSET($P281,0,AQ$13),15-13*ORÇAMENTO!$AF$7)*OFFSET(ORÇAMENTO!$W$15,ROW(AQ281)-ROW(AQ$15),0),15-13*ORÇAMENTO!$AF$11)),0)</f>
        <v>0</v>
      </c>
      <c r="AR281" s="545">
        <f ca="1">IF(AND($D281="Serviço",AR$12&lt;&gt;0,$H281&gt;0,OR(AUTOEVENTO&lt;&gt;"manual",$M281&lt;&gt;1)),
IF(Import.TipoArredondamento&lt;&gt;"TransfereGOV",
ROUND(OFFSET($P281,0,AR$13),15-13*ORÇAMENTO!$AF$7)/$H281*OFFSET(ORÇAMENTO!$X$15,ROW(AR281)-ROW(AR$15),0),
ROUND(ROUND(OFFSET($P281,0,AR$13),15-13*ORÇAMENTO!$AF$7)*OFFSET(ORÇAMENTO!$W$15,ROW(AR281)-ROW(AR$15),0),15-13*ORÇAMENTO!$AF$11)),0)</f>
        <v>0</v>
      </c>
      <c r="AS281" s="546">
        <f ca="1">IF(AND($D281="Serviço",AS$12&lt;&gt;0,$H281&gt;0,OR(AUTOEVENTO&lt;&gt;"manual",$M281&lt;&gt;1)),
IF(Import.TipoArredondamento&lt;&gt;"TransfereGOV",
ROUND(OFFSET($P281,0,AS$13),15-13*ORÇAMENTO!$AF$7)/$H281*OFFSET(ORÇAMENTO!$X$15,ROW(AS281)-ROW(AS$15),0),
ROUND(ROUND(OFFSET($P281,0,AS$13),15-13*ORÇAMENTO!$AF$7)*OFFSET(ORÇAMENTO!$W$15,ROW(AS281)-ROW(AS$15),0),15-13*ORÇAMENTO!$AF$11)),0)</f>
        <v>0</v>
      </c>
      <c r="AT281" s="545">
        <f ca="1">IF(AND($D281="Serviço",AT$12&lt;&gt;0,$H281&gt;0,OR(AUTOEVENTO&lt;&gt;"manual",$M281&lt;&gt;1)),
IF(Import.TipoArredondamento&lt;&gt;"TransfereGOV",
ROUND(OFFSET($P281,0,AT$13),15-13*ORÇAMENTO!$AF$7)/$H281*OFFSET(ORÇAMENTO!$X$15,ROW(AT281)-ROW(AT$15),0),
ROUND(ROUND(OFFSET($P281,0,AT$13),15-13*ORÇAMENTO!$AF$7)*OFFSET(ORÇAMENTO!$W$15,ROW(AT281)-ROW(AT$15),0),15-13*ORÇAMENTO!$AF$11)),0)</f>
        <v>0</v>
      </c>
      <c r="AU281" s="545">
        <f ca="1">IF(AND($D281="Serviço",AU$12&lt;&gt;0,$H281&gt;0,OR(AUTOEVENTO&lt;&gt;"manual",$M281&lt;&gt;1)),
IF(Import.TipoArredondamento&lt;&gt;"TransfereGOV",
ROUND(OFFSET($P281,0,AU$13),15-13*ORÇAMENTO!$AF$7)/$H281*OFFSET(ORÇAMENTO!$X$15,ROW(AU281)-ROW(AU$15),0),
ROUND(ROUND(OFFSET($P281,0,AU$13),15-13*ORÇAMENTO!$AF$7)*OFFSET(ORÇAMENTO!$W$15,ROW(AU281)-ROW(AU$15),0),15-13*ORÇAMENTO!$AF$11)),0)</f>
        <v>0</v>
      </c>
      <c r="AV281" s="545">
        <f ca="1">IF(AND($D281="Serviço",AV$12&lt;&gt;0,$H281&gt;0,OR(AUTOEVENTO&lt;&gt;"manual",$M281&lt;&gt;1)),
IF(Import.TipoArredondamento&lt;&gt;"TransfereGOV",
ROUND(OFFSET($P281,0,AV$13),15-13*ORÇAMENTO!$AF$7)/$H281*OFFSET(ORÇAMENTO!$X$15,ROW(AV281)-ROW(AV$15),0),
ROUND(ROUND(OFFSET($P281,0,AV$13),15-13*ORÇAMENTO!$AF$7)*OFFSET(ORÇAMENTO!$W$15,ROW(AV281)-ROW(AV$15),0),15-13*ORÇAMENTO!$AF$11)),0)</f>
        <v>0</v>
      </c>
      <c r="AW281" s="545">
        <f ca="1">IF(AND($D281="Serviço",AW$12&lt;&gt;0,$H281&gt;0,OR(AUTOEVENTO&lt;&gt;"manual",$M281&lt;&gt;1)),
IF(Import.TipoArredondamento&lt;&gt;"TransfereGOV",
ROUND(OFFSET($P281,0,AW$13),15-13*ORÇAMENTO!$AF$7)/$H281*OFFSET(ORÇAMENTO!$X$15,ROW(AW281)-ROW(AW$15),0),
ROUND(ROUND(OFFSET($P281,0,AW$13),15-13*ORÇAMENTO!$AF$7)*OFFSET(ORÇAMENTO!$W$15,ROW(AW281)-ROW(AW$15),0),15-13*ORÇAMENTO!$AF$11)),0)</f>
        <v>0</v>
      </c>
      <c r="AX281" s="545">
        <f ca="1">IF(AND($D281="Serviço",AX$12&lt;&gt;0,$H281&gt;0,OR(AUTOEVENTO&lt;&gt;"manual",$M281&lt;&gt;1)),
IF(Import.TipoArredondamento&lt;&gt;"TransfereGOV",
ROUND(OFFSET($P281,0,AX$13),15-13*ORÇAMENTO!$AF$7)/$H281*OFFSET(ORÇAMENTO!$X$15,ROW(AX281)-ROW(AX$15),0),
ROUND(ROUND(OFFSET($P281,0,AX$13),15-13*ORÇAMENTO!$AF$7)*OFFSET(ORÇAMENTO!$W$15,ROW(AX281)-ROW(AX$15),0),15-13*ORÇAMENTO!$AF$11)),0)</f>
        <v>0</v>
      </c>
      <c r="AY281" s="545">
        <f ca="1">IF(AND($D281="Serviço",AY$12&lt;&gt;0,$H281&gt;0,OR(AUTOEVENTO&lt;&gt;"manual",$M281&lt;&gt;1)),
IF(Import.TipoArredondamento&lt;&gt;"TransfereGOV",
ROUND(OFFSET($P281,0,AY$13),15-13*ORÇAMENTO!$AF$7)/$H281*OFFSET(ORÇAMENTO!$X$15,ROW(AY281)-ROW(AY$15),0),
ROUND(ROUND(OFFSET($P281,0,AY$13),15-13*ORÇAMENTO!$AF$7)*OFFSET(ORÇAMENTO!$W$15,ROW(AY281)-ROW(AY$15),0),15-13*ORÇAMENTO!$AF$11)),0)</f>
        <v>0</v>
      </c>
      <c r="AZ281" s="545">
        <f ca="1">IF(AND($D281="Serviço",AZ$12&lt;&gt;0,$H281&gt;0,OR(AUTOEVENTO&lt;&gt;"manual",$M281&lt;&gt;1)),
IF(Import.TipoArredondamento&lt;&gt;"TransfereGOV",
ROUND(OFFSET($P281,0,AZ$13),15-13*ORÇAMENTO!$AF$7)/$H281*OFFSET(ORÇAMENTO!$X$15,ROW(AZ281)-ROW(AZ$15),0),
ROUND(ROUND(OFFSET($P281,0,AZ$13),15-13*ORÇAMENTO!$AF$7)*OFFSET(ORÇAMENTO!$W$15,ROW(AZ281)-ROW(AZ$15),0),15-13*ORÇAMENTO!$AF$11)),0)</f>
        <v>0</v>
      </c>
      <c r="BA281" s="546">
        <f ca="1">IF(AND($D281="Serviço",BA$12&lt;&gt;0,$H281&gt;0,OR(AUTOEVENTO&lt;&gt;"manual",$M281&lt;&gt;1)),
IF(Import.TipoArredondamento&lt;&gt;"TransfereGOV",
ROUND(OFFSET($P281,0,BA$13),15-13*ORÇAMENTO!$AF$7)/$H281*OFFSET(ORÇAMENTO!$X$15,ROW(BA281)-ROW(BA$15),0),
ROUND(ROUND(OFFSET($P281,0,BA$13),15-13*ORÇAMENTO!$AF$7)*OFFSET(ORÇAMENTO!$W$15,ROW(BA281)-ROW(BA$15),0),15-13*ORÇAMENTO!$AF$11)),0)</f>
        <v>0</v>
      </c>
      <c r="BC281" s="181">
        <f ca="1">IF($D281&lt;&gt;"Serviço",0,IF(AND(AUTOEVENTO="Manual",$M281=1),0,IF(OFFSET(CRONOPLE!$F$14,$M281,BC$13)="",10^12,OFFSET(CRONOPLE!$F$14,$M281,BC$13))))</f>
        <v>9</v>
      </c>
      <c r="BD281" s="181">
        <f ca="1">IF($D281&lt;&gt;"Serviço",0,IF(AND(AUTOEVENTO="Manual",$M281=1),0,IF(OFFSET(CRONOPLE!$F$14,$M281,BD$13)="",10^12,OFFSET(CRONOPLE!$F$14,$M281,BD$13))))</f>
        <v>1000000000000</v>
      </c>
      <c r="BE281" s="181">
        <f ca="1">IF($D281&lt;&gt;"Serviço",0,IF(AND(AUTOEVENTO="Manual",$M281=1),0,IF(OFFSET(CRONOPLE!$F$14,$M281,BE$13)="",10^12,OFFSET(CRONOPLE!$F$14,$M281,BE$13))))</f>
        <v>1000000000000</v>
      </c>
      <c r="BF281" s="181">
        <f ca="1">IF($D281&lt;&gt;"Serviço",0,IF(AND(AUTOEVENTO="Manual",$M281=1),0,IF(OFFSET(CRONOPLE!$F$14,$M281,BF$13)="",10^12,OFFSET(CRONOPLE!$F$14,$M281,BF$13))))</f>
        <v>1000000000000</v>
      </c>
      <c r="BG281" s="181">
        <f ca="1">IF($D281&lt;&gt;"Serviço",0,IF(AND(AUTOEVENTO="Manual",$M281=1),0,IF(OFFSET(CRONOPLE!$F$14,$M281,BG$13)="",10^12,OFFSET(CRONOPLE!$F$14,$M281,BG$13))))</f>
        <v>1000000000000</v>
      </c>
      <c r="BH281" s="181">
        <f ca="1">IF($D281&lt;&gt;"Serviço",0,IF(AND(AUTOEVENTO="Manual",$M281=1),0,IF(OFFSET(CRONOPLE!$F$14,$M281,BH$13)="",10^12,OFFSET(CRONOPLE!$F$14,$M281,BH$13))))</f>
        <v>1000000000000</v>
      </c>
      <c r="BI281" s="181">
        <f ca="1">IF($D281&lt;&gt;"Serviço",0,IF(AND(AUTOEVENTO="Manual",$M281=1),0,IF(OFFSET(CRONOPLE!$F$14,$M281,BI$13)="",10^12,OFFSET(CRONOPLE!$F$14,$M281,BI$13))))</f>
        <v>1000000000000</v>
      </c>
      <c r="BJ281" s="181">
        <f ca="1">IF($D281&lt;&gt;"Serviço",0,IF(AND(AUTOEVENTO="Manual",$M281=1),0,IF(OFFSET(CRONOPLE!$F$14,$M281,BJ$13)="",10^12,OFFSET(CRONOPLE!$F$14,$M281,BJ$13))))</f>
        <v>1000000000000</v>
      </c>
      <c r="BK281" s="181">
        <f ca="1">IF($D281&lt;&gt;"Serviço",0,IF(AND(AUTOEVENTO="Manual",$M281=1),0,IF(OFFSET(CRONOPLE!$F$14,$M281,BK$13)="",10^12,OFFSET(CRONOPLE!$F$14,$M281,BK$13))))</f>
        <v>1000000000000</v>
      </c>
      <c r="BL281" s="181">
        <f ca="1">IF($D281&lt;&gt;"Serviço",0,IF(AND(AUTOEVENTO="Manual",$M281=1),0,IF(OFFSET(CRONOPLE!$F$14,$M281,BL$13)="",10^12,OFFSET(CRONOPLE!$F$14,$M281,BL$13))))</f>
        <v>1000000000000</v>
      </c>
      <c r="BM281" s="181">
        <f ca="1">IF($D281&lt;&gt;"Serviço",0,IF(AND(AUTOEVENTO="Manual",$M281=1),0,IF(OFFSET(CRONOPLE!$F$14,$M281,BM$13)="",10^12,OFFSET(CRONOPLE!$F$14,$M281,BM$13))))</f>
        <v>1000000000000</v>
      </c>
      <c r="BN281" s="181">
        <f ca="1">IF($D281&lt;&gt;"Serviço",0,IF(AND(AUTOEVENTO="Manual",$M281=1),0,IF(OFFSET(CRONOPLE!$F$14,$M281,BN$13)="",10^12,OFFSET(CRONOPLE!$F$14,$M281,BN$13))))</f>
        <v>1000000000000</v>
      </c>
      <c r="BO281" s="181">
        <f ca="1">IF($D281&lt;&gt;"Serviço",0,IF(AND(AUTOEVENTO="Manual",$M281=1),0,IF(OFFSET(CRONOPLE!$F$14,$M281,BO$13)="",10^12,OFFSET(CRONOPLE!$F$14,$M281,BO$13))))</f>
        <v>1000000000000</v>
      </c>
      <c r="BP281" s="181">
        <f ca="1">IF($D281&lt;&gt;"Serviço",0,IF(AND(AUTOEVENTO="Manual",$M281=1),0,IF(OFFSET(CRONOPLE!$F$14,$M281,BP$13)="",10^12,OFFSET(CRONOPLE!$F$14,$M281,BP$13))))</f>
        <v>1000000000000</v>
      </c>
      <c r="BQ281" s="181">
        <f ca="1">IF($D281&lt;&gt;"Serviço",0,IF(AND(AUTOEVENTO="Manual",$M281=1),0,IF(OFFSET(CRONOPLE!$F$14,$M281,BQ$13)="",10^12,OFFSET(CRONOPLE!$F$14,$M281,BQ$13))))</f>
        <v>1000000000000</v>
      </c>
      <c r="BR281" s="181">
        <f ca="1">IF($D281&lt;&gt;"Serviço",0,IF(AND(AUTOEVENTO="Manual",$M281=1),0,IF(OFFSET(CRONOPLE!$F$14,$M281,BR$13)="",10^12,OFFSET(CRONOPLE!$F$14,$M281,BR$13))))</f>
        <v>1000000000000</v>
      </c>
      <c r="BS281" s="181">
        <f ca="1">IF($D281&lt;&gt;"Serviço",0,IF(AND(AUTOEVENTO="Manual",$M281=1),0,IF(OFFSET(CRONOPLE!$F$14,$M281,BS$13)="",10^12,OFFSET(CRONOPLE!$F$14,$M281,BS$13))))</f>
        <v>1000000000000</v>
      </c>
      <c r="BT281" s="181">
        <f ca="1">IF($D281&lt;&gt;"Serviço",0,IF(AND(AUTOEVENTO="Manual",$M281=1),0,IF(OFFSET(CRONOPLE!$F$14,$M281,BT$13)="",10^12,OFFSET(CRONOPLE!$F$14,$M281,BT$13))))</f>
        <v>1000000000000</v>
      </c>
      <c r="BV281" s="182">
        <f ca="1">IF($D281&lt;&gt;"Serviço",0,IF(OR(AND(AUTOEVENTO="Manual",$M281=1),$M281&gt;(ROW(PLE.lastrow)-ROW(PLE.firstrow))),0,IF(OFFSET(PLE!$G$14,$M281,BV$13)="",10^12,OFFSET(PLE!$G$14,$M281,BV$13))))</f>
        <v>1000000000000</v>
      </c>
      <c r="BW281" s="182">
        <f ca="1">IF($D281&lt;&gt;"Serviço",0,IF(OR(AND(AUTOEVENTO="Manual",$M281=1),$M281&gt;(ROW(PLE.lastrow)-ROW(PLE.firstrow))),0,IF(OFFSET(PLE!$G$14,$M281,BW$13)="",10^12,OFFSET(PLE!$G$14,$M281,BW$13))))</f>
        <v>1000000000000</v>
      </c>
      <c r="BX281" s="182">
        <f ca="1">IF($D281&lt;&gt;"Serviço",0,IF(OR(AND(AUTOEVENTO="Manual",$M281=1),$M281&gt;(ROW(PLE.lastrow)-ROW(PLE.firstrow))),0,IF(OFFSET(PLE!$G$14,$M281,BX$13)="",10^12,OFFSET(PLE!$G$14,$M281,BX$13))))</f>
        <v>1000000000000</v>
      </c>
      <c r="BY281" s="182">
        <f ca="1">IF($D281&lt;&gt;"Serviço",0,IF(OR(AND(AUTOEVENTO="Manual",$M281=1),$M281&gt;(ROW(PLE.lastrow)-ROW(PLE.firstrow))),0,IF(OFFSET(PLE!$G$14,$M281,BY$13)="",10^12,OFFSET(PLE!$G$14,$M281,BY$13))))</f>
        <v>1000000000000</v>
      </c>
      <c r="BZ281" s="182">
        <f ca="1">IF($D281&lt;&gt;"Serviço",0,IF(OR(AND(AUTOEVENTO="Manual",$M281=1),$M281&gt;(ROW(PLE.lastrow)-ROW(PLE.firstrow))),0,IF(OFFSET(PLE!$G$14,$M281,BZ$13)="",10^12,OFFSET(PLE!$G$14,$M281,BZ$13))))</f>
        <v>1000000000000</v>
      </c>
      <c r="CA281" s="182">
        <f ca="1">IF($D281&lt;&gt;"Serviço",0,IF(OR(AND(AUTOEVENTO="Manual",$M281=1),$M281&gt;(ROW(PLE.lastrow)-ROW(PLE.firstrow))),0,IF(OFFSET(PLE!$G$14,$M281,CA$13)="",10^12,OFFSET(PLE!$G$14,$M281,CA$13))))</f>
        <v>1000000000000</v>
      </c>
      <c r="CB281" s="182">
        <f ca="1">IF($D281&lt;&gt;"Serviço",0,IF(OR(AND(AUTOEVENTO="Manual",$M281=1),$M281&gt;(ROW(PLE.lastrow)-ROW(PLE.firstrow))),0,IF(OFFSET(PLE!$G$14,$M281,CB$13)="",10^12,OFFSET(PLE!$G$14,$M281,CB$13))))</f>
        <v>1000000000000</v>
      </c>
      <c r="CC281" s="182">
        <f ca="1">IF($D281&lt;&gt;"Serviço",0,IF(OR(AND(AUTOEVENTO="Manual",$M281=1),$M281&gt;(ROW(PLE.lastrow)-ROW(PLE.firstrow))),0,IF(OFFSET(PLE!$G$14,$M281,CC$13)="",10^12,OFFSET(PLE!$G$14,$M281,CC$13))))</f>
        <v>1000000000000</v>
      </c>
      <c r="CD281" s="182">
        <f ca="1">IF($D281&lt;&gt;"Serviço",0,IF(OR(AND(AUTOEVENTO="Manual",$M281=1),$M281&gt;(ROW(PLE.lastrow)-ROW(PLE.firstrow))),0,IF(OFFSET(PLE!$G$14,$M281,CD$13)="",10^12,OFFSET(PLE!$G$14,$M281,CD$13))))</f>
        <v>1000000000000</v>
      </c>
      <c r="CE281" s="182">
        <f ca="1">IF($D281&lt;&gt;"Serviço",0,IF(OR(AND(AUTOEVENTO="Manual",$M281=1),$M281&gt;(ROW(PLE.lastrow)-ROW(PLE.firstrow))),0,IF(OFFSET(PLE!$G$14,$M281,CE$13)="",10^12,OFFSET(PLE!$G$14,$M281,CE$13))))</f>
        <v>1000000000000</v>
      </c>
      <c r="CF281" s="182">
        <f ca="1">IF($D281&lt;&gt;"Serviço",0,IF(OR(AND(AUTOEVENTO="Manual",$M281=1),$M281&gt;(ROW(PLE.lastrow)-ROW(PLE.firstrow))),0,IF(OFFSET(PLE!$G$14,$M281,CF$13)="",10^12,OFFSET(PLE!$G$14,$M281,CF$13))))</f>
        <v>1000000000000</v>
      </c>
      <c r="CG281" s="182">
        <f ca="1">IF($D281&lt;&gt;"Serviço",0,IF(OR(AND(AUTOEVENTO="Manual",$M281=1),$M281&gt;(ROW(PLE.lastrow)-ROW(PLE.firstrow))),0,IF(OFFSET(PLE!$G$14,$M281,CG$13)="",10^12,OFFSET(PLE!$G$14,$M281,CG$13))))</f>
        <v>1000000000000</v>
      </c>
      <c r="CH281" s="182">
        <f ca="1">IF($D281&lt;&gt;"Serviço",0,IF(OR(AND(AUTOEVENTO="Manual",$M281=1),$M281&gt;(ROW(PLE.lastrow)-ROW(PLE.firstrow))),0,IF(OFFSET(PLE!$G$14,$M281,CH$13)="",10^12,OFFSET(PLE!$G$14,$M281,CH$13))))</f>
        <v>1000000000000</v>
      </c>
      <c r="CI281" s="182">
        <f ca="1">IF($D281&lt;&gt;"Serviço",0,IF(OR(AND(AUTOEVENTO="Manual",$M281=1),$M281&gt;(ROW(PLE.lastrow)-ROW(PLE.firstrow))),0,IF(OFFSET(PLE!$G$14,$M281,CI$13)="",10^12,OFFSET(PLE!$G$14,$M281,CI$13))))</f>
        <v>1000000000000</v>
      </c>
      <c r="CJ281" s="182">
        <f ca="1">IF($D281&lt;&gt;"Serviço",0,IF(OR(AND(AUTOEVENTO="Manual",$M281=1),$M281&gt;(ROW(PLE.lastrow)-ROW(PLE.firstrow))),0,IF(OFFSET(PLE!$G$14,$M281,CJ$13)="",10^12,OFFSET(PLE!$G$14,$M281,CJ$13))))</f>
        <v>1000000000000</v>
      </c>
      <c r="CK281" s="182">
        <f ca="1">IF($D281&lt;&gt;"Serviço",0,IF(OR(AND(AUTOEVENTO="Manual",$M281=1),$M281&gt;(ROW(PLE.lastrow)-ROW(PLE.firstrow))),0,IF(OFFSET(PLE!$G$14,$M281,CK$13)="",10^12,OFFSET(PLE!$G$14,$M281,CK$13))))</f>
        <v>1000000000000</v>
      </c>
      <c r="CL281" s="182">
        <f ca="1">IF($D281&lt;&gt;"Serviço",0,IF(OR(AND(AUTOEVENTO="Manual",$M281=1),$M281&gt;(ROW(PLE.lastrow)-ROW(PLE.firstrow))),0,IF(OFFSET(PLE!$G$14,$M281,CL$13)="",10^12,OFFSET(PLE!$G$14,$M281,CL$13))))</f>
        <v>1000000000000</v>
      </c>
      <c r="CM281" s="182">
        <f ca="1">IF($D281&lt;&gt;"Serviço",0,IF(OR(AND(AUTOEVENTO="Manual",$M281=1),$M281&gt;(ROW(PLE.lastrow)-ROW(PLE.firstrow))),0,IF(OFFSET(PLE!$G$14,$M281,CM$13)="",10^12,OFFSET(PLE!$G$14,$M281,CM$13))))</f>
        <v>1000000000000</v>
      </c>
    </row>
    <row r="282" spans="1:91" ht="38.25" x14ac:dyDescent="0.2">
      <c r="A282" s="7" t="str">
        <f t="shared" ca="1" si="12"/>
        <v>232</v>
      </c>
      <c r="B282" s="7" t="str">
        <f ca="1">OFFSET(ORÇAMENTO!C$15,ROW(B282)-ROW(B$15),0)</f>
        <v>S</v>
      </c>
      <c r="C282" s="7" t="str">
        <f ca="1">OFFSET(ORÇAMENTO!L$15,ROW(C282)-ROW(C$15),0)</f>
        <v/>
      </c>
      <c r="D282" s="118" t="str">
        <f ca="1">OFFSET(ORÇAMENTO!N$15,ROW(D282)-ROW(D$15),0)</f>
        <v>Serviço</v>
      </c>
      <c r="E282" s="119" t="str">
        <f ca="1">OFFSET(ORÇAMENTO!O$15,ROW(E282)-ROW(E$15),0)</f>
        <v>-</v>
      </c>
      <c r="F282" s="172" t="str">
        <f ca="1">OFFSET(ORÇAMENTO!R$15,ROW(F282)-ROW(F$15),0)</f>
        <v>(abra o arquivo 'Referência 06-2024.xlsm)</v>
      </c>
      <c r="G282" s="173" t="str">
        <f ca="1">IF($D282&lt;&gt;"Serviço","",OFFSET(ORÇAMENTO!S$15,ROW(G282)-ROW(G$15),0))</f>
        <v>-</v>
      </c>
      <c r="H282" s="124">
        <f ca="1">IF($D282&lt;&gt;"Serviço",0,IF(ACOMPANHAMENTO="BM",ROUND(OFFSET(ORÇAMENTO!AJ$15,ROW(H282)-ROW(H$15),0),15-13*ORÇAMENTO!$AF$7),SUMPRODUCT(($Q$12:$AI$12&lt;&gt;"")*ROUND($Q282:$AI282,15-13*ORÇAMENTO!$AF$7))))</f>
        <v>1</v>
      </c>
      <c r="I282" s="561" t="s">
        <v>1107</v>
      </c>
      <c r="K282" s="174"/>
      <c r="L282" s="175" t="s">
        <v>255</v>
      </c>
      <c r="M282" s="176">
        <f ca="1">IF($D282&lt;&gt;"Serviço","",IF(AUTOEVENTO="manual",$A282,IF(ISERROR(MATCH($A282,$A$15:OFFSET($A282,-1,0),0)),MAX($M$15:OFFSET(M282,-1,0))+1,INDEX($M$15:OFFSET(M282,-1,0),MATCH($A282,$A$15:OFFSET($A282,-1,0),0)))))</f>
        <v>35</v>
      </c>
      <c r="N282" s="177" t="str">
        <f ca="1">IF($D282&lt;&gt;"Serviço","",IF(AUTOEVENTO="Manual",IF($A282=0,"&lt;-- defina o número do agrupador",OFFSET(EVENTOS!$D$14,$A282,0)),OFFSET($F$15,$A282,0)))</f>
        <v>INSTALAÇÃO HIDRÁULICA - TUBULAÇÕES E CONEXÕES DE PVC RÍGIDO</v>
      </c>
      <c r="O282" s="178"/>
      <c r="Q282" s="178">
        <v>1</v>
      </c>
      <c r="R282" s="179"/>
      <c r="S282" s="179"/>
      <c r="T282" s="179"/>
      <c r="U282" s="179"/>
      <c r="V282" s="179"/>
      <c r="W282" s="179"/>
      <c r="X282" s="179"/>
      <c r="Y282" s="179"/>
      <c r="Z282" s="180"/>
      <c r="AA282" s="179"/>
      <c r="AB282" s="179"/>
      <c r="AC282" s="179"/>
      <c r="AD282" s="179"/>
      <c r="AE282" s="179"/>
      <c r="AF282" s="179"/>
      <c r="AG282" s="179"/>
      <c r="AH282" s="180"/>
      <c r="AJ282" s="544">
        <f ca="1">IF(AND($D282="Serviço",AJ$12&lt;&gt;0,$H282&gt;0,OR(AUTOEVENTO&lt;&gt;"manual",$M282&lt;&gt;1)),
IF(Import.TipoArredondamento&lt;&gt;"TransfereGOV",
ROUND(OFFSET($P282,0,AJ$13),15-13*ORÇAMENTO!$AF$7)/$H282*OFFSET(ORÇAMENTO!$X$15,ROW(AJ282)-ROW(AJ$15),0),
ROUND(ROUND(OFFSET($P282,0,AJ$13),15-13*ORÇAMENTO!$AF$7)*OFFSET(ORÇAMENTO!$W$15,ROW(AJ282)-ROW(AJ$15),0),15-13*ORÇAMENTO!$AF$11)),0)</f>
        <v>0</v>
      </c>
      <c r="AK282" s="545">
        <f ca="1">IF(AND($D282="Serviço",AK$12&lt;&gt;0,$H282&gt;0,OR(AUTOEVENTO&lt;&gt;"manual",$M282&lt;&gt;1)),
IF(Import.TipoArredondamento&lt;&gt;"TransfereGOV",
ROUND(OFFSET($P282,0,AK$13),15-13*ORÇAMENTO!$AF$7)/$H282*OFFSET(ORÇAMENTO!$X$15,ROW(AK282)-ROW(AK$15),0),
ROUND(ROUND(OFFSET($P282,0,AK$13),15-13*ORÇAMENTO!$AF$7)*OFFSET(ORÇAMENTO!$W$15,ROW(AK282)-ROW(AK$15),0),15-13*ORÇAMENTO!$AF$11)),0)</f>
        <v>0</v>
      </c>
      <c r="AL282" s="545">
        <f ca="1">IF(AND($D282="Serviço",AL$12&lt;&gt;0,$H282&gt;0,OR(AUTOEVENTO&lt;&gt;"manual",$M282&lt;&gt;1)),
IF(Import.TipoArredondamento&lt;&gt;"TransfereGOV",
ROUND(OFFSET($P282,0,AL$13),15-13*ORÇAMENTO!$AF$7)/$H282*OFFSET(ORÇAMENTO!$X$15,ROW(AL282)-ROW(AL$15),0),
ROUND(ROUND(OFFSET($P282,0,AL$13),15-13*ORÇAMENTO!$AF$7)*OFFSET(ORÇAMENTO!$W$15,ROW(AL282)-ROW(AL$15),0),15-13*ORÇAMENTO!$AF$11)),0)</f>
        <v>0</v>
      </c>
      <c r="AM282" s="545">
        <f ca="1">IF(AND($D282="Serviço",AM$12&lt;&gt;0,$H282&gt;0,OR(AUTOEVENTO&lt;&gt;"manual",$M282&lt;&gt;1)),
IF(Import.TipoArredondamento&lt;&gt;"TransfereGOV",
ROUND(OFFSET($P282,0,AM$13),15-13*ORÇAMENTO!$AF$7)/$H282*OFFSET(ORÇAMENTO!$X$15,ROW(AM282)-ROW(AM$15),0),
ROUND(ROUND(OFFSET($P282,0,AM$13),15-13*ORÇAMENTO!$AF$7)*OFFSET(ORÇAMENTO!$W$15,ROW(AM282)-ROW(AM$15),0),15-13*ORÇAMENTO!$AF$11)),0)</f>
        <v>0</v>
      </c>
      <c r="AN282" s="545">
        <f ca="1">IF(AND($D282="Serviço",AN$12&lt;&gt;0,$H282&gt;0,OR(AUTOEVENTO&lt;&gt;"manual",$M282&lt;&gt;1)),
IF(Import.TipoArredondamento&lt;&gt;"TransfereGOV",
ROUND(OFFSET($P282,0,AN$13),15-13*ORÇAMENTO!$AF$7)/$H282*OFFSET(ORÇAMENTO!$X$15,ROW(AN282)-ROW(AN$15),0),
ROUND(ROUND(OFFSET($P282,0,AN$13),15-13*ORÇAMENTO!$AF$7)*OFFSET(ORÇAMENTO!$W$15,ROW(AN282)-ROW(AN$15),0),15-13*ORÇAMENTO!$AF$11)),0)</f>
        <v>0</v>
      </c>
      <c r="AO282" s="545">
        <f ca="1">IF(AND($D282="Serviço",AO$12&lt;&gt;0,$H282&gt;0,OR(AUTOEVENTO&lt;&gt;"manual",$M282&lt;&gt;1)),
IF(Import.TipoArredondamento&lt;&gt;"TransfereGOV",
ROUND(OFFSET($P282,0,AO$13),15-13*ORÇAMENTO!$AF$7)/$H282*OFFSET(ORÇAMENTO!$X$15,ROW(AO282)-ROW(AO$15),0),
ROUND(ROUND(OFFSET($P282,0,AO$13),15-13*ORÇAMENTO!$AF$7)*OFFSET(ORÇAMENTO!$W$15,ROW(AO282)-ROW(AO$15),0),15-13*ORÇAMENTO!$AF$11)),0)</f>
        <v>0</v>
      </c>
      <c r="AP282" s="545">
        <f ca="1">IF(AND($D282="Serviço",AP$12&lt;&gt;0,$H282&gt;0,OR(AUTOEVENTO&lt;&gt;"manual",$M282&lt;&gt;1)),
IF(Import.TipoArredondamento&lt;&gt;"TransfereGOV",
ROUND(OFFSET($P282,0,AP$13),15-13*ORÇAMENTO!$AF$7)/$H282*OFFSET(ORÇAMENTO!$X$15,ROW(AP282)-ROW(AP$15),0),
ROUND(ROUND(OFFSET($P282,0,AP$13),15-13*ORÇAMENTO!$AF$7)*OFFSET(ORÇAMENTO!$W$15,ROW(AP282)-ROW(AP$15),0),15-13*ORÇAMENTO!$AF$11)),0)</f>
        <v>0</v>
      </c>
      <c r="AQ282" s="545">
        <f ca="1">IF(AND($D282="Serviço",AQ$12&lt;&gt;0,$H282&gt;0,OR(AUTOEVENTO&lt;&gt;"manual",$M282&lt;&gt;1)),
IF(Import.TipoArredondamento&lt;&gt;"TransfereGOV",
ROUND(OFFSET($P282,0,AQ$13),15-13*ORÇAMENTO!$AF$7)/$H282*OFFSET(ORÇAMENTO!$X$15,ROW(AQ282)-ROW(AQ$15),0),
ROUND(ROUND(OFFSET($P282,0,AQ$13),15-13*ORÇAMENTO!$AF$7)*OFFSET(ORÇAMENTO!$W$15,ROW(AQ282)-ROW(AQ$15),0),15-13*ORÇAMENTO!$AF$11)),0)</f>
        <v>0</v>
      </c>
      <c r="AR282" s="545">
        <f ca="1">IF(AND($D282="Serviço",AR$12&lt;&gt;0,$H282&gt;0,OR(AUTOEVENTO&lt;&gt;"manual",$M282&lt;&gt;1)),
IF(Import.TipoArredondamento&lt;&gt;"TransfereGOV",
ROUND(OFFSET($P282,0,AR$13),15-13*ORÇAMENTO!$AF$7)/$H282*OFFSET(ORÇAMENTO!$X$15,ROW(AR282)-ROW(AR$15),0),
ROUND(ROUND(OFFSET($P282,0,AR$13),15-13*ORÇAMENTO!$AF$7)*OFFSET(ORÇAMENTO!$W$15,ROW(AR282)-ROW(AR$15),0),15-13*ORÇAMENTO!$AF$11)),0)</f>
        <v>0</v>
      </c>
      <c r="AS282" s="546">
        <f ca="1">IF(AND($D282="Serviço",AS$12&lt;&gt;0,$H282&gt;0,OR(AUTOEVENTO&lt;&gt;"manual",$M282&lt;&gt;1)),
IF(Import.TipoArredondamento&lt;&gt;"TransfereGOV",
ROUND(OFFSET($P282,0,AS$13),15-13*ORÇAMENTO!$AF$7)/$H282*OFFSET(ORÇAMENTO!$X$15,ROW(AS282)-ROW(AS$15),0),
ROUND(ROUND(OFFSET($P282,0,AS$13),15-13*ORÇAMENTO!$AF$7)*OFFSET(ORÇAMENTO!$W$15,ROW(AS282)-ROW(AS$15),0),15-13*ORÇAMENTO!$AF$11)),0)</f>
        <v>0</v>
      </c>
      <c r="AT282" s="545">
        <f ca="1">IF(AND($D282="Serviço",AT$12&lt;&gt;0,$H282&gt;0,OR(AUTOEVENTO&lt;&gt;"manual",$M282&lt;&gt;1)),
IF(Import.TipoArredondamento&lt;&gt;"TransfereGOV",
ROUND(OFFSET($P282,0,AT$13),15-13*ORÇAMENTO!$AF$7)/$H282*OFFSET(ORÇAMENTO!$X$15,ROW(AT282)-ROW(AT$15),0),
ROUND(ROUND(OFFSET($P282,0,AT$13),15-13*ORÇAMENTO!$AF$7)*OFFSET(ORÇAMENTO!$W$15,ROW(AT282)-ROW(AT$15),0),15-13*ORÇAMENTO!$AF$11)),0)</f>
        <v>0</v>
      </c>
      <c r="AU282" s="545">
        <f ca="1">IF(AND($D282="Serviço",AU$12&lt;&gt;0,$H282&gt;0,OR(AUTOEVENTO&lt;&gt;"manual",$M282&lt;&gt;1)),
IF(Import.TipoArredondamento&lt;&gt;"TransfereGOV",
ROUND(OFFSET($P282,0,AU$13),15-13*ORÇAMENTO!$AF$7)/$H282*OFFSET(ORÇAMENTO!$X$15,ROW(AU282)-ROW(AU$15),0),
ROUND(ROUND(OFFSET($P282,0,AU$13),15-13*ORÇAMENTO!$AF$7)*OFFSET(ORÇAMENTO!$W$15,ROW(AU282)-ROW(AU$15),0),15-13*ORÇAMENTO!$AF$11)),0)</f>
        <v>0</v>
      </c>
      <c r="AV282" s="545">
        <f ca="1">IF(AND($D282="Serviço",AV$12&lt;&gt;0,$H282&gt;0,OR(AUTOEVENTO&lt;&gt;"manual",$M282&lt;&gt;1)),
IF(Import.TipoArredondamento&lt;&gt;"TransfereGOV",
ROUND(OFFSET($P282,0,AV$13),15-13*ORÇAMENTO!$AF$7)/$H282*OFFSET(ORÇAMENTO!$X$15,ROW(AV282)-ROW(AV$15),0),
ROUND(ROUND(OFFSET($P282,0,AV$13),15-13*ORÇAMENTO!$AF$7)*OFFSET(ORÇAMENTO!$W$15,ROW(AV282)-ROW(AV$15),0),15-13*ORÇAMENTO!$AF$11)),0)</f>
        <v>0</v>
      </c>
      <c r="AW282" s="545">
        <f ca="1">IF(AND($D282="Serviço",AW$12&lt;&gt;0,$H282&gt;0,OR(AUTOEVENTO&lt;&gt;"manual",$M282&lt;&gt;1)),
IF(Import.TipoArredondamento&lt;&gt;"TransfereGOV",
ROUND(OFFSET($P282,0,AW$13),15-13*ORÇAMENTO!$AF$7)/$H282*OFFSET(ORÇAMENTO!$X$15,ROW(AW282)-ROW(AW$15),0),
ROUND(ROUND(OFFSET($P282,0,AW$13),15-13*ORÇAMENTO!$AF$7)*OFFSET(ORÇAMENTO!$W$15,ROW(AW282)-ROW(AW$15),0),15-13*ORÇAMENTO!$AF$11)),0)</f>
        <v>0</v>
      </c>
      <c r="AX282" s="545">
        <f ca="1">IF(AND($D282="Serviço",AX$12&lt;&gt;0,$H282&gt;0,OR(AUTOEVENTO&lt;&gt;"manual",$M282&lt;&gt;1)),
IF(Import.TipoArredondamento&lt;&gt;"TransfereGOV",
ROUND(OFFSET($P282,0,AX$13),15-13*ORÇAMENTO!$AF$7)/$H282*OFFSET(ORÇAMENTO!$X$15,ROW(AX282)-ROW(AX$15),0),
ROUND(ROUND(OFFSET($P282,0,AX$13),15-13*ORÇAMENTO!$AF$7)*OFFSET(ORÇAMENTO!$W$15,ROW(AX282)-ROW(AX$15),0),15-13*ORÇAMENTO!$AF$11)),0)</f>
        <v>0</v>
      </c>
      <c r="AY282" s="545">
        <f ca="1">IF(AND($D282="Serviço",AY$12&lt;&gt;0,$H282&gt;0,OR(AUTOEVENTO&lt;&gt;"manual",$M282&lt;&gt;1)),
IF(Import.TipoArredondamento&lt;&gt;"TransfereGOV",
ROUND(OFFSET($P282,0,AY$13),15-13*ORÇAMENTO!$AF$7)/$H282*OFFSET(ORÇAMENTO!$X$15,ROW(AY282)-ROW(AY$15),0),
ROUND(ROUND(OFFSET($P282,0,AY$13),15-13*ORÇAMENTO!$AF$7)*OFFSET(ORÇAMENTO!$W$15,ROW(AY282)-ROW(AY$15),0),15-13*ORÇAMENTO!$AF$11)),0)</f>
        <v>0</v>
      </c>
      <c r="AZ282" s="545">
        <f ca="1">IF(AND($D282="Serviço",AZ$12&lt;&gt;0,$H282&gt;0,OR(AUTOEVENTO&lt;&gt;"manual",$M282&lt;&gt;1)),
IF(Import.TipoArredondamento&lt;&gt;"TransfereGOV",
ROUND(OFFSET($P282,0,AZ$13),15-13*ORÇAMENTO!$AF$7)/$H282*OFFSET(ORÇAMENTO!$X$15,ROW(AZ282)-ROW(AZ$15),0),
ROUND(ROUND(OFFSET($P282,0,AZ$13),15-13*ORÇAMENTO!$AF$7)*OFFSET(ORÇAMENTO!$W$15,ROW(AZ282)-ROW(AZ$15),0),15-13*ORÇAMENTO!$AF$11)),0)</f>
        <v>0</v>
      </c>
      <c r="BA282" s="546">
        <f ca="1">IF(AND($D282="Serviço",BA$12&lt;&gt;0,$H282&gt;0,OR(AUTOEVENTO&lt;&gt;"manual",$M282&lt;&gt;1)),
IF(Import.TipoArredondamento&lt;&gt;"TransfereGOV",
ROUND(OFFSET($P282,0,BA$13),15-13*ORÇAMENTO!$AF$7)/$H282*OFFSET(ORÇAMENTO!$X$15,ROW(BA282)-ROW(BA$15),0),
ROUND(ROUND(OFFSET($P282,0,BA$13),15-13*ORÇAMENTO!$AF$7)*OFFSET(ORÇAMENTO!$W$15,ROW(BA282)-ROW(BA$15),0),15-13*ORÇAMENTO!$AF$11)),0)</f>
        <v>0</v>
      </c>
      <c r="BC282" s="181">
        <f ca="1">IF($D282&lt;&gt;"Serviço",0,IF(AND(AUTOEVENTO="Manual",$M282=1),0,IF(OFFSET(CRONOPLE!$F$14,$M282,BC$13)="",10^12,OFFSET(CRONOPLE!$F$14,$M282,BC$13))))</f>
        <v>9</v>
      </c>
      <c r="BD282" s="181">
        <f ca="1">IF($D282&lt;&gt;"Serviço",0,IF(AND(AUTOEVENTO="Manual",$M282=1),0,IF(OFFSET(CRONOPLE!$F$14,$M282,BD$13)="",10^12,OFFSET(CRONOPLE!$F$14,$M282,BD$13))))</f>
        <v>1000000000000</v>
      </c>
      <c r="BE282" s="181">
        <f ca="1">IF($D282&lt;&gt;"Serviço",0,IF(AND(AUTOEVENTO="Manual",$M282=1),0,IF(OFFSET(CRONOPLE!$F$14,$M282,BE$13)="",10^12,OFFSET(CRONOPLE!$F$14,$M282,BE$13))))</f>
        <v>1000000000000</v>
      </c>
      <c r="BF282" s="181">
        <f ca="1">IF($D282&lt;&gt;"Serviço",0,IF(AND(AUTOEVENTO="Manual",$M282=1),0,IF(OFFSET(CRONOPLE!$F$14,$M282,BF$13)="",10^12,OFFSET(CRONOPLE!$F$14,$M282,BF$13))))</f>
        <v>1000000000000</v>
      </c>
      <c r="BG282" s="181">
        <f ca="1">IF($D282&lt;&gt;"Serviço",0,IF(AND(AUTOEVENTO="Manual",$M282=1),0,IF(OFFSET(CRONOPLE!$F$14,$M282,BG$13)="",10^12,OFFSET(CRONOPLE!$F$14,$M282,BG$13))))</f>
        <v>1000000000000</v>
      </c>
      <c r="BH282" s="181">
        <f ca="1">IF($D282&lt;&gt;"Serviço",0,IF(AND(AUTOEVENTO="Manual",$M282=1),0,IF(OFFSET(CRONOPLE!$F$14,$M282,BH$13)="",10^12,OFFSET(CRONOPLE!$F$14,$M282,BH$13))))</f>
        <v>1000000000000</v>
      </c>
      <c r="BI282" s="181">
        <f ca="1">IF($D282&lt;&gt;"Serviço",0,IF(AND(AUTOEVENTO="Manual",$M282=1),0,IF(OFFSET(CRONOPLE!$F$14,$M282,BI$13)="",10^12,OFFSET(CRONOPLE!$F$14,$M282,BI$13))))</f>
        <v>1000000000000</v>
      </c>
      <c r="BJ282" s="181">
        <f ca="1">IF($D282&lt;&gt;"Serviço",0,IF(AND(AUTOEVENTO="Manual",$M282=1),0,IF(OFFSET(CRONOPLE!$F$14,$M282,BJ$13)="",10^12,OFFSET(CRONOPLE!$F$14,$M282,BJ$13))))</f>
        <v>1000000000000</v>
      </c>
      <c r="BK282" s="181">
        <f ca="1">IF($D282&lt;&gt;"Serviço",0,IF(AND(AUTOEVENTO="Manual",$M282=1),0,IF(OFFSET(CRONOPLE!$F$14,$M282,BK$13)="",10^12,OFFSET(CRONOPLE!$F$14,$M282,BK$13))))</f>
        <v>1000000000000</v>
      </c>
      <c r="BL282" s="181">
        <f ca="1">IF($D282&lt;&gt;"Serviço",0,IF(AND(AUTOEVENTO="Manual",$M282=1),0,IF(OFFSET(CRONOPLE!$F$14,$M282,BL$13)="",10^12,OFFSET(CRONOPLE!$F$14,$M282,BL$13))))</f>
        <v>1000000000000</v>
      </c>
      <c r="BM282" s="181">
        <f ca="1">IF($D282&lt;&gt;"Serviço",0,IF(AND(AUTOEVENTO="Manual",$M282=1),0,IF(OFFSET(CRONOPLE!$F$14,$M282,BM$13)="",10^12,OFFSET(CRONOPLE!$F$14,$M282,BM$13))))</f>
        <v>1000000000000</v>
      </c>
      <c r="BN282" s="181">
        <f ca="1">IF($D282&lt;&gt;"Serviço",0,IF(AND(AUTOEVENTO="Manual",$M282=1),0,IF(OFFSET(CRONOPLE!$F$14,$M282,BN$13)="",10^12,OFFSET(CRONOPLE!$F$14,$M282,BN$13))))</f>
        <v>1000000000000</v>
      </c>
      <c r="BO282" s="181">
        <f ca="1">IF($D282&lt;&gt;"Serviço",0,IF(AND(AUTOEVENTO="Manual",$M282=1),0,IF(OFFSET(CRONOPLE!$F$14,$M282,BO$13)="",10^12,OFFSET(CRONOPLE!$F$14,$M282,BO$13))))</f>
        <v>1000000000000</v>
      </c>
      <c r="BP282" s="181">
        <f ca="1">IF($D282&lt;&gt;"Serviço",0,IF(AND(AUTOEVENTO="Manual",$M282=1),0,IF(OFFSET(CRONOPLE!$F$14,$M282,BP$13)="",10^12,OFFSET(CRONOPLE!$F$14,$M282,BP$13))))</f>
        <v>1000000000000</v>
      </c>
      <c r="BQ282" s="181">
        <f ca="1">IF($D282&lt;&gt;"Serviço",0,IF(AND(AUTOEVENTO="Manual",$M282=1),0,IF(OFFSET(CRONOPLE!$F$14,$M282,BQ$13)="",10^12,OFFSET(CRONOPLE!$F$14,$M282,BQ$13))))</f>
        <v>1000000000000</v>
      </c>
      <c r="BR282" s="181">
        <f ca="1">IF($D282&lt;&gt;"Serviço",0,IF(AND(AUTOEVENTO="Manual",$M282=1),0,IF(OFFSET(CRONOPLE!$F$14,$M282,BR$13)="",10^12,OFFSET(CRONOPLE!$F$14,$M282,BR$13))))</f>
        <v>1000000000000</v>
      </c>
      <c r="BS282" s="181">
        <f ca="1">IF($D282&lt;&gt;"Serviço",0,IF(AND(AUTOEVENTO="Manual",$M282=1),0,IF(OFFSET(CRONOPLE!$F$14,$M282,BS$13)="",10^12,OFFSET(CRONOPLE!$F$14,$M282,BS$13))))</f>
        <v>1000000000000</v>
      </c>
      <c r="BT282" s="181">
        <f ca="1">IF($D282&lt;&gt;"Serviço",0,IF(AND(AUTOEVENTO="Manual",$M282=1),0,IF(OFFSET(CRONOPLE!$F$14,$M282,BT$13)="",10^12,OFFSET(CRONOPLE!$F$14,$M282,BT$13))))</f>
        <v>1000000000000</v>
      </c>
      <c r="BV282" s="182">
        <f ca="1">IF($D282&lt;&gt;"Serviço",0,IF(OR(AND(AUTOEVENTO="Manual",$M282=1),$M282&gt;(ROW(PLE.lastrow)-ROW(PLE.firstrow))),0,IF(OFFSET(PLE!$G$14,$M282,BV$13)="",10^12,OFFSET(PLE!$G$14,$M282,BV$13))))</f>
        <v>1000000000000</v>
      </c>
      <c r="BW282" s="182">
        <f ca="1">IF($D282&lt;&gt;"Serviço",0,IF(OR(AND(AUTOEVENTO="Manual",$M282=1),$M282&gt;(ROW(PLE.lastrow)-ROW(PLE.firstrow))),0,IF(OFFSET(PLE!$G$14,$M282,BW$13)="",10^12,OFFSET(PLE!$G$14,$M282,BW$13))))</f>
        <v>1000000000000</v>
      </c>
      <c r="BX282" s="182">
        <f ca="1">IF($D282&lt;&gt;"Serviço",0,IF(OR(AND(AUTOEVENTO="Manual",$M282=1),$M282&gt;(ROW(PLE.lastrow)-ROW(PLE.firstrow))),0,IF(OFFSET(PLE!$G$14,$M282,BX$13)="",10^12,OFFSET(PLE!$G$14,$M282,BX$13))))</f>
        <v>1000000000000</v>
      </c>
      <c r="BY282" s="182">
        <f ca="1">IF($D282&lt;&gt;"Serviço",0,IF(OR(AND(AUTOEVENTO="Manual",$M282=1),$M282&gt;(ROW(PLE.lastrow)-ROW(PLE.firstrow))),0,IF(OFFSET(PLE!$G$14,$M282,BY$13)="",10^12,OFFSET(PLE!$G$14,$M282,BY$13))))</f>
        <v>1000000000000</v>
      </c>
      <c r="BZ282" s="182">
        <f ca="1">IF($D282&lt;&gt;"Serviço",0,IF(OR(AND(AUTOEVENTO="Manual",$M282=1),$M282&gt;(ROW(PLE.lastrow)-ROW(PLE.firstrow))),0,IF(OFFSET(PLE!$G$14,$M282,BZ$13)="",10^12,OFFSET(PLE!$G$14,$M282,BZ$13))))</f>
        <v>1000000000000</v>
      </c>
      <c r="CA282" s="182">
        <f ca="1">IF($D282&lt;&gt;"Serviço",0,IF(OR(AND(AUTOEVENTO="Manual",$M282=1),$M282&gt;(ROW(PLE.lastrow)-ROW(PLE.firstrow))),0,IF(OFFSET(PLE!$G$14,$M282,CA$13)="",10^12,OFFSET(PLE!$G$14,$M282,CA$13))))</f>
        <v>1000000000000</v>
      </c>
      <c r="CB282" s="182">
        <f ca="1">IF($D282&lt;&gt;"Serviço",0,IF(OR(AND(AUTOEVENTO="Manual",$M282=1),$M282&gt;(ROW(PLE.lastrow)-ROW(PLE.firstrow))),0,IF(OFFSET(PLE!$G$14,$M282,CB$13)="",10^12,OFFSET(PLE!$G$14,$M282,CB$13))))</f>
        <v>1000000000000</v>
      </c>
      <c r="CC282" s="182">
        <f ca="1">IF($D282&lt;&gt;"Serviço",0,IF(OR(AND(AUTOEVENTO="Manual",$M282=1),$M282&gt;(ROW(PLE.lastrow)-ROW(PLE.firstrow))),0,IF(OFFSET(PLE!$G$14,$M282,CC$13)="",10^12,OFFSET(PLE!$G$14,$M282,CC$13))))</f>
        <v>1000000000000</v>
      </c>
      <c r="CD282" s="182">
        <f ca="1">IF($D282&lt;&gt;"Serviço",0,IF(OR(AND(AUTOEVENTO="Manual",$M282=1),$M282&gt;(ROW(PLE.lastrow)-ROW(PLE.firstrow))),0,IF(OFFSET(PLE!$G$14,$M282,CD$13)="",10^12,OFFSET(PLE!$G$14,$M282,CD$13))))</f>
        <v>1000000000000</v>
      </c>
      <c r="CE282" s="182">
        <f ca="1">IF($D282&lt;&gt;"Serviço",0,IF(OR(AND(AUTOEVENTO="Manual",$M282=1),$M282&gt;(ROW(PLE.lastrow)-ROW(PLE.firstrow))),0,IF(OFFSET(PLE!$G$14,$M282,CE$13)="",10^12,OFFSET(PLE!$G$14,$M282,CE$13))))</f>
        <v>1000000000000</v>
      </c>
      <c r="CF282" s="182">
        <f ca="1">IF($D282&lt;&gt;"Serviço",0,IF(OR(AND(AUTOEVENTO="Manual",$M282=1),$M282&gt;(ROW(PLE.lastrow)-ROW(PLE.firstrow))),0,IF(OFFSET(PLE!$G$14,$M282,CF$13)="",10^12,OFFSET(PLE!$G$14,$M282,CF$13))))</f>
        <v>1000000000000</v>
      </c>
      <c r="CG282" s="182">
        <f ca="1">IF($D282&lt;&gt;"Serviço",0,IF(OR(AND(AUTOEVENTO="Manual",$M282=1),$M282&gt;(ROW(PLE.lastrow)-ROW(PLE.firstrow))),0,IF(OFFSET(PLE!$G$14,$M282,CG$13)="",10^12,OFFSET(PLE!$G$14,$M282,CG$13))))</f>
        <v>1000000000000</v>
      </c>
      <c r="CH282" s="182">
        <f ca="1">IF($D282&lt;&gt;"Serviço",0,IF(OR(AND(AUTOEVENTO="Manual",$M282=1),$M282&gt;(ROW(PLE.lastrow)-ROW(PLE.firstrow))),0,IF(OFFSET(PLE!$G$14,$M282,CH$13)="",10^12,OFFSET(PLE!$G$14,$M282,CH$13))))</f>
        <v>1000000000000</v>
      </c>
      <c r="CI282" s="182">
        <f ca="1">IF($D282&lt;&gt;"Serviço",0,IF(OR(AND(AUTOEVENTO="Manual",$M282=1),$M282&gt;(ROW(PLE.lastrow)-ROW(PLE.firstrow))),0,IF(OFFSET(PLE!$G$14,$M282,CI$13)="",10^12,OFFSET(PLE!$G$14,$M282,CI$13))))</f>
        <v>1000000000000</v>
      </c>
      <c r="CJ282" s="182">
        <f ca="1">IF($D282&lt;&gt;"Serviço",0,IF(OR(AND(AUTOEVENTO="Manual",$M282=1),$M282&gt;(ROW(PLE.lastrow)-ROW(PLE.firstrow))),0,IF(OFFSET(PLE!$G$14,$M282,CJ$13)="",10^12,OFFSET(PLE!$G$14,$M282,CJ$13))))</f>
        <v>1000000000000</v>
      </c>
      <c r="CK282" s="182">
        <f ca="1">IF($D282&lt;&gt;"Serviço",0,IF(OR(AND(AUTOEVENTO="Manual",$M282=1),$M282&gt;(ROW(PLE.lastrow)-ROW(PLE.firstrow))),0,IF(OFFSET(PLE!$G$14,$M282,CK$13)="",10^12,OFFSET(PLE!$G$14,$M282,CK$13))))</f>
        <v>1000000000000</v>
      </c>
      <c r="CL282" s="182">
        <f ca="1">IF($D282&lt;&gt;"Serviço",0,IF(OR(AND(AUTOEVENTO="Manual",$M282=1),$M282&gt;(ROW(PLE.lastrow)-ROW(PLE.firstrow))),0,IF(OFFSET(PLE!$G$14,$M282,CL$13)="",10^12,OFFSET(PLE!$G$14,$M282,CL$13))))</f>
        <v>1000000000000</v>
      </c>
      <c r="CM282" s="182">
        <f ca="1">IF($D282&lt;&gt;"Serviço",0,IF(OR(AND(AUTOEVENTO="Manual",$M282=1),$M282&gt;(ROW(PLE.lastrow)-ROW(PLE.firstrow))),0,IF(OFFSET(PLE!$G$14,$M282,CM$13)="",10^12,OFFSET(PLE!$G$14,$M282,CM$13))))</f>
        <v>1000000000000</v>
      </c>
    </row>
    <row r="283" spans="1:91" ht="38.25" x14ac:dyDescent="0.2">
      <c r="A283" s="7" t="str">
        <f t="shared" ca="1" si="12"/>
        <v>232</v>
      </c>
      <c r="B283" s="7" t="str">
        <f ca="1">OFFSET(ORÇAMENTO!C$15,ROW(B283)-ROW(B$15),0)</f>
        <v>S</v>
      </c>
      <c r="C283" s="7" t="str">
        <f ca="1">OFFSET(ORÇAMENTO!L$15,ROW(C283)-ROW(C$15),0)</f>
        <v/>
      </c>
      <c r="D283" s="118" t="str">
        <f ca="1">OFFSET(ORÇAMENTO!N$15,ROW(D283)-ROW(D$15),0)</f>
        <v>Serviço</v>
      </c>
      <c r="E283" s="119" t="str">
        <f ca="1">OFFSET(ORÇAMENTO!O$15,ROW(E283)-ROW(E$15),0)</f>
        <v>-</v>
      </c>
      <c r="F283" s="172" t="str">
        <f ca="1">OFFSET(ORÇAMENTO!R$15,ROW(F283)-ROW(F$15),0)</f>
        <v>(abra o arquivo 'Referência 06-2024.xlsm)</v>
      </c>
      <c r="G283" s="173" t="str">
        <f ca="1">IF($D283&lt;&gt;"Serviço","",OFFSET(ORÇAMENTO!S$15,ROW(G283)-ROW(G$15),0))</f>
        <v>-</v>
      </c>
      <c r="H283" s="124">
        <f ca="1">IF($D283&lt;&gt;"Serviço",0,IF(ACOMPANHAMENTO="BM",ROUND(OFFSET(ORÇAMENTO!AJ$15,ROW(H283)-ROW(H$15),0),15-13*ORÇAMENTO!$AF$7),SUMPRODUCT(($Q$12:$AI$12&lt;&gt;"")*ROUND($Q283:$AI283,15-13*ORÇAMENTO!$AF$7))))</f>
        <v>24</v>
      </c>
      <c r="I283" s="561" t="s">
        <v>1107</v>
      </c>
      <c r="K283" s="174"/>
      <c r="L283" s="175" t="s">
        <v>255</v>
      </c>
      <c r="M283" s="176">
        <f ca="1">IF($D283&lt;&gt;"Serviço","",IF(AUTOEVENTO="manual",$A283,IF(ISERROR(MATCH($A283,$A$15:OFFSET($A283,-1,0),0)),MAX($M$15:OFFSET(M283,-1,0))+1,INDEX($M$15:OFFSET(M283,-1,0),MATCH($A283,$A$15:OFFSET($A283,-1,0),0)))))</f>
        <v>35</v>
      </c>
      <c r="N283" s="177" t="str">
        <f ca="1">IF($D283&lt;&gt;"Serviço","",IF(AUTOEVENTO="Manual",IF($A283=0,"&lt;-- defina o número do agrupador",OFFSET(EVENTOS!$D$14,$A283,0)),OFFSET($F$15,$A283,0)))</f>
        <v>INSTALAÇÃO HIDRÁULICA - TUBULAÇÕES E CONEXÕES DE PVC RÍGIDO</v>
      </c>
      <c r="O283" s="178"/>
      <c r="Q283" s="178">
        <v>24</v>
      </c>
      <c r="R283" s="179"/>
      <c r="S283" s="179"/>
      <c r="T283" s="179"/>
      <c r="U283" s="179"/>
      <c r="V283" s="179"/>
      <c r="W283" s="179"/>
      <c r="X283" s="179"/>
      <c r="Y283" s="179"/>
      <c r="Z283" s="180"/>
      <c r="AA283" s="179"/>
      <c r="AB283" s="179"/>
      <c r="AC283" s="179"/>
      <c r="AD283" s="179"/>
      <c r="AE283" s="179"/>
      <c r="AF283" s="179"/>
      <c r="AG283" s="179"/>
      <c r="AH283" s="180"/>
      <c r="AJ283" s="544">
        <f ca="1">IF(AND($D283="Serviço",AJ$12&lt;&gt;0,$H283&gt;0,OR(AUTOEVENTO&lt;&gt;"manual",$M283&lt;&gt;1)),
IF(Import.TipoArredondamento&lt;&gt;"TransfereGOV",
ROUND(OFFSET($P283,0,AJ$13),15-13*ORÇAMENTO!$AF$7)/$H283*OFFSET(ORÇAMENTO!$X$15,ROW(AJ283)-ROW(AJ$15),0),
ROUND(ROUND(OFFSET($P283,0,AJ$13),15-13*ORÇAMENTO!$AF$7)*OFFSET(ORÇAMENTO!$W$15,ROW(AJ283)-ROW(AJ$15),0),15-13*ORÇAMENTO!$AF$11)),0)</f>
        <v>0</v>
      </c>
      <c r="AK283" s="545">
        <f ca="1">IF(AND($D283="Serviço",AK$12&lt;&gt;0,$H283&gt;0,OR(AUTOEVENTO&lt;&gt;"manual",$M283&lt;&gt;1)),
IF(Import.TipoArredondamento&lt;&gt;"TransfereGOV",
ROUND(OFFSET($P283,0,AK$13),15-13*ORÇAMENTO!$AF$7)/$H283*OFFSET(ORÇAMENTO!$X$15,ROW(AK283)-ROW(AK$15),0),
ROUND(ROUND(OFFSET($P283,0,AK$13),15-13*ORÇAMENTO!$AF$7)*OFFSET(ORÇAMENTO!$W$15,ROW(AK283)-ROW(AK$15),0),15-13*ORÇAMENTO!$AF$11)),0)</f>
        <v>0</v>
      </c>
      <c r="AL283" s="545">
        <f ca="1">IF(AND($D283="Serviço",AL$12&lt;&gt;0,$H283&gt;0,OR(AUTOEVENTO&lt;&gt;"manual",$M283&lt;&gt;1)),
IF(Import.TipoArredondamento&lt;&gt;"TransfereGOV",
ROUND(OFFSET($P283,0,AL$13),15-13*ORÇAMENTO!$AF$7)/$H283*OFFSET(ORÇAMENTO!$X$15,ROW(AL283)-ROW(AL$15),0),
ROUND(ROUND(OFFSET($P283,0,AL$13),15-13*ORÇAMENTO!$AF$7)*OFFSET(ORÇAMENTO!$W$15,ROW(AL283)-ROW(AL$15),0),15-13*ORÇAMENTO!$AF$11)),0)</f>
        <v>0</v>
      </c>
      <c r="AM283" s="545">
        <f ca="1">IF(AND($D283="Serviço",AM$12&lt;&gt;0,$H283&gt;0,OR(AUTOEVENTO&lt;&gt;"manual",$M283&lt;&gt;1)),
IF(Import.TipoArredondamento&lt;&gt;"TransfereGOV",
ROUND(OFFSET($P283,0,AM$13),15-13*ORÇAMENTO!$AF$7)/$H283*OFFSET(ORÇAMENTO!$X$15,ROW(AM283)-ROW(AM$15),0),
ROUND(ROUND(OFFSET($P283,0,AM$13),15-13*ORÇAMENTO!$AF$7)*OFFSET(ORÇAMENTO!$W$15,ROW(AM283)-ROW(AM$15),0),15-13*ORÇAMENTO!$AF$11)),0)</f>
        <v>0</v>
      </c>
      <c r="AN283" s="545">
        <f ca="1">IF(AND($D283="Serviço",AN$12&lt;&gt;0,$H283&gt;0,OR(AUTOEVENTO&lt;&gt;"manual",$M283&lt;&gt;1)),
IF(Import.TipoArredondamento&lt;&gt;"TransfereGOV",
ROUND(OFFSET($P283,0,AN$13),15-13*ORÇAMENTO!$AF$7)/$H283*OFFSET(ORÇAMENTO!$X$15,ROW(AN283)-ROW(AN$15),0),
ROUND(ROUND(OFFSET($P283,0,AN$13),15-13*ORÇAMENTO!$AF$7)*OFFSET(ORÇAMENTO!$W$15,ROW(AN283)-ROW(AN$15),0),15-13*ORÇAMENTO!$AF$11)),0)</f>
        <v>0</v>
      </c>
      <c r="AO283" s="545">
        <f ca="1">IF(AND($D283="Serviço",AO$12&lt;&gt;0,$H283&gt;0,OR(AUTOEVENTO&lt;&gt;"manual",$M283&lt;&gt;1)),
IF(Import.TipoArredondamento&lt;&gt;"TransfereGOV",
ROUND(OFFSET($P283,0,AO$13),15-13*ORÇAMENTO!$AF$7)/$H283*OFFSET(ORÇAMENTO!$X$15,ROW(AO283)-ROW(AO$15),0),
ROUND(ROUND(OFFSET($P283,0,AO$13),15-13*ORÇAMENTO!$AF$7)*OFFSET(ORÇAMENTO!$W$15,ROW(AO283)-ROW(AO$15),0),15-13*ORÇAMENTO!$AF$11)),0)</f>
        <v>0</v>
      </c>
      <c r="AP283" s="545">
        <f ca="1">IF(AND($D283="Serviço",AP$12&lt;&gt;0,$H283&gt;0,OR(AUTOEVENTO&lt;&gt;"manual",$M283&lt;&gt;1)),
IF(Import.TipoArredondamento&lt;&gt;"TransfereGOV",
ROUND(OFFSET($P283,0,AP$13),15-13*ORÇAMENTO!$AF$7)/$H283*OFFSET(ORÇAMENTO!$X$15,ROW(AP283)-ROW(AP$15),0),
ROUND(ROUND(OFFSET($P283,0,AP$13),15-13*ORÇAMENTO!$AF$7)*OFFSET(ORÇAMENTO!$W$15,ROW(AP283)-ROW(AP$15),0),15-13*ORÇAMENTO!$AF$11)),0)</f>
        <v>0</v>
      </c>
      <c r="AQ283" s="545">
        <f ca="1">IF(AND($D283="Serviço",AQ$12&lt;&gt;0,$H283&gt;0,OR(AUTOEVENTO&lt;&gt;"manual",$M283&lt;&gt;1)),
IF(Import.TipoArredondamento&lt;&gt;"TransfereGOV",
ROUND(OFFSET($P283,0,AQ$13),15-13*ORÇAMENTO!$AF$7)/$H283*OFFSET(ORÇAMENTO!$X$15,ROW(AQ283)-ROW(AQ$15),0),
ROUND(ROUND(OFFSET($P283,0,AQ$13),15-13*ORÇAMENTO!$AF$7)*OFFSET(ORÇAMENTO!$W$15,ROW(AQ283)-ROW(AQ$15),0),15-13*ORÇAMENTO!$AF$11)),0)</f>
        <v>0</v>
      </c>
      <c r="AR283" s="545">
        <f ca="1">IF(AND($D283="Serviço",AR$12&lt;&gt;0,$H283&gt;0,OR(AUTOEVENTO&lt;&gt;"manual",$M283&lt;&gt;1)),
IF(Import.TipoArredondamento&lt;&gt;"TransfereGOV",
ROUND(OFFSET($P283,0,AR$13),15-13*ORÇAMENTO!$AF$7)/$H283*OFFSET(ORÇAMENTO!$X$15,ROW(AR283)-ROW(AR$15),0),
ROUND(ROUND(OFFSET($P283,0,AR$13),15-13*ORÇAMENTO!$AF$7)*OFFSET(ORÇAMENTO!$W$15,ROW(AR283)-ROW(AR$15),0),15-13*ORÇAMENTO!$AF$11)),0)</f>
        <v>0</v>
      </c>
      <c r="AS283" s="546">
        <f ca="1">IF(AND($D283="Serviço",AS$12&lt;&gt;0,$H283&gt;0,OR(AUTOEVENTO&lt;&gt;"manual",$M283&lt;&gt;1)),
IF(Import.TipoArredondamento&lt;&gt;"TransfereGOV",
ROUND(OFFSET($P283,0,AS$13),15-13*ORÇAMENTO!$AF$7)/$H283*OFFSET(ORÇAMENTO!$X$15,ROW(AS283)-ROW(AS$15),0),
ROUND(ROUND(OFFSET($P283,0,AS$13),15-13*ORÇAMENTO!$AF$7)*OFFSET(ORÇAMENTO!$W$15,ROW(AS283)-ROW(AS$15),0),15-13*ORÇAMENTO!$AF$11)),0)</f>
        <v>0</v>
      </c>
      <c r="AT283" s="545">
        <f ca="1">IF(AND($D283="Serviço",AT$12&lt;&gt;0,$H283&gt;0,OR(AUTOEVENTO&lt;&gt;"manual",$M283&lt;&gt;1)),
IF(Import.TipoArredondamento&lt;&gt;"TransfereGOV",
ROUND(OFFSET($P283,0,AT$13),15-13*ORÇAMENTO!$AF$7)/$H283*OFFSET(ORÇAMENTO!$X$15,ROW(AT283)-ROW(AT$15),0),
ROUND(ROUND(OFFSET($P283,0,AT$13),15-13*ORÇAMENTO!$AF$7)*OFFSET(ORÇAMENTO!$W$15,ROW(AT283)-ROW(AT$15),0),15-13*ORÇAMENTO!$AF$11)),0)</f>
        <v>0</v>
      </c>
      <c r="AU283" s="545">
        <f ca="1">IF(AND($D283="Serviço",AU$12&lt;&gt;0,$H283&gt;0,OR(AUTOEVENTO&lt;&gt;"manual",$M283&lt;&gt;1)),
IF(Import.TipoArredondamento&lt;&gt;"TransfereGOV",
ROUND(OFFSET($P283,0,AU$13),15-13*ORÇAMENTO!$AF$7)/$H283*OFFSET(ORÇAMENTO!$X$15,ROW(AU283)-ROW(AU$15),0),
ROUND(ROUND(OFFSET($P283,0,AU$13),15-13*ORÇAMENTO!$AF$7)*OFFSET(ORÇAMENTO!$W$15,ROW(AU283)-ROW(AU$15),0),15-13*ORÇAMENTO!$AF$11)),0)</f>
        <v>0</v>
      </c>
      <c r="AV283" s="545">
        <f ca="1">IF(AND($D283="Serviço",AV$12&lt;&gt;0,$H283&gt;0,OR(AUTOEVENTO&lt;&gt;"manual",$M283&lt;&gt;1)),
IF(Import.TipoArredondamento&lt;&gt;"TransfereGOV",
ROUND(OFFSET($P283,0,AV$13),15-13*ORÇAMENTO!$AF$7)/$H283*OFFSET(ORÇAMENTO!$X$15,ROW(AV283)-ROW(AV$15),0),
ROUND(ROUND(OFFSET($P283,0,AV$13),15-13*ORÇAMENTO!$AF$7)*OFFSET(ORÇAMENTO!$W$15,ROW(AV283)-ROW(AV$15),0),15-13*ORÇAMENTO!$AF$11)),0)</f>
        <v>0</v>
      </c>
      <c r="AW283" s="545">
        <f ca="1">IF(AND($D283="Serviço",AW$12&lt;&gt;0,$H283&gt;0,OR(AUTOEVENTO&lt;&gt;"manual",$M283&lt;&gt;1)),
IF(Import.TipoArredondamento&lt;&gt;"TransfereGOV",
ROUND(OFFSET($P283,0,AW$13),15-13*ORÇAMENTO!$AF$7)/$H283*OFFSET(ORÇAMENTO!$X$15,ROW(AW283)-ROW(AW$15),0),
ROUND(ROUND(OFFSET($P283,0,AW$13),15-13*ORÇAMENTO!$AF$7)*OFFSET(ORÇAMENTO!$W$15,ROW(AW283)-ROW(AW$15),0),15-13*ORÇAMENTO!$AF$11)),0)</f>
        <v>0</v>
      </c>
      <c r="AX283" s="545">
        <f ca="1">IF(AND($D283="Serviço",AX$12&lt;&gt;0,$H283&gt;0,OR(AUTOEVENTO&lt;&gt;"manual",$M283&lt;&gt;1)),
IF(Import.TipoArredondamento&lt;&gt;"TransfereGOV",
ROUND(OFFSET($P283,0,AX$13),15-13*ORÇAMENTO!$AF$7)/$H283*OFFSET(ORÇAMENTO!$X$15,ROW(AX283)-ROW(AX$15),0),
ROUND(ROUND(OFFSET($P283,0,AX$13),15-13*ORÇAMENTO!$AF$7)*OFFSET(ORÇAMENTO!$W$15,ROW(AX283)-ROW(AX$15),0),15-13*ORÇAMENTO!$AF$11)),0)</f>
        <v>0</v>
      </c>
      <c r="AY283" s="545">
        <f ca="1">IF(AND($D283="Serviço",AY$12&lt;&gt;0,$H283&gt;0,OR(AUTOEVENTO&lt;&gt;"manual",$M283&lt;&gt;1)),
IF(Import.TipoArredondamento&lt;&gt;"TransfereGOV",
ROUND(OFFSET($P283,0,AY$13),15-13*ORÇAMENTO!$AF$7)/$H283*OFFSET(ORÇAMENTO!$X$15,ROW(AY283)-ROW(AY$15),0),
ROUND(ROUND(OFFSET($P283,0,AY$13),15-13*ORÇAMENTO!$AF$7)*OFFSET(ORÇAMENTO!$W$15,ROW(AY283)-ROW(AY$15),0),15-13*ORÇAMENTO!$AF$11)),0)</f>
        <v>0</v>
      </c>
      <c r="AZ283" s="545">
        <f ca="1">IF(AND($D283="Serviço",AZ$12&lt;&gt;0,$H283&gt;0,OR(AUTOEVENTO&lt;&gt;"manual",$M283&lt;&gt;1)),
IF(Import.TipoArredondamento&lt;&gt;"TransfereGOV",
ROUND(OFFSET($P283,0,AZ$13),15-13*ORÇAMENTO!$AF$7)/$H283*OFFSET(ORÇAMENTO!$X$15,ROW(AZ283)-ROW(AZ$15),0),
ROUND(ROUND(OFFSET($P283,0,AZ$13),15-13*ORÇAMENTO!$AF$7)*OFFSET(ORÇAMENTO!$W$15,ROW(AZ283)-ROW(AZ$15),0),15-13*ORÇAMENTO!$AF$11)),0)</f>
        <v>0</v>
      </c>
      <c r="BA283" s="546">
        <f ca="1">IF(AND($D283="Serviço",BA$12&lt;&gt;0,$H283&gt;0,OR(AUTOEVENTO&lt;&gt;"manual",$M283&lt;&gt;1)),
IF(Import.TipoArredondamento&lt;&gt;"TransfereGOV",
ROUND(OFFSET($P283,0,BA$13),15-13*ORÇAMENTO!$AF$7)/$H283*OFFSET(ORÇAMENTO!$X$15,ROW(BA283)-ROW(BA$15),0),
ROUND(ROUND(OFFSET($P283,0,BA$13),15-13*ORÇAMENTO!$AF$7)*OFFSET(ORÇAMENTO!$W$15,ROW(BA283)-ROW(BA$15),0),15-13*ORÇAMENTO!$AF$11)),0)</f>
        <v>0</v>
      </c>
      <c r="BC283" s="181">
        <f ca="1">IF($D283&lt;&gt;"Serviço",0,IF(AND(AUTOEVENTO="Manual",$M283=1),0,IF(OFFSET(CRONOPLE!$F$14,$M283,BC$13)="",10^12,OFFSET(CRONOPLE!$F$14,$M283,BC$13))))</f>
        <v>9</v>
      </c>
      <c r="BD283" s="181">
        <f ca="1">IF($D283&lt;&gt;"Serviço",0,IF(AND(AUTOEVENTO="Manual",$M283=1),0,IF(OFFSET(CRONOPLE!$F$14,$M283,BD$13)="",10^12,OFFSET(CRONOPLE!$F$14,$M283,BD$13))))</f>
        <v>1000000000000</v>
      </c>
      <c r="BE283" s="181">
        <f ca="1">IF($D283&lt;&gt;"Serviço",0,IF(AND(AUTOEVENTO="Manual",$M283=1),0,IF(OFFSET(CRONOPLE!$F$14,$M283,BE$13)="",10^12,OFFSET(CRONOPLE!$F$14,$M283,BE$13))))</f>
        <v>1000000000000</v>
      </c>
      <c r="BF283" s="181">
        <f ca="1">IF($D283&lt;&gt;"Serviço",0,IF(AND(AUTOEVENTO="Manual",$M283=1),0,IF(OFFSET(CRONOPLE!$F$14,$M283,BF$13)="",10^12,OFFSET(CRONOPLE!$F$14,$M283,BF$13))))</f>
        <v>1000000000000</v>
      </c>
      <c r="BG283" s="181">
        <f ca="1">IF($D283&lt;&gt;"Serviço",0,IF(AND(AUTOEVENTO="Manual",$M283=1),0,IF(OFFSET(CRONOPLE!$F$14,$M283,BG$13)="",10^12,OFFSET(CRONOPLE!$F$14,$M283,BG$13))))</f>
        <v>1000000000000</v>
      </c>
      <c r="BH283" s="181">
        <f ca="1">IF($D283&lt;&gt;"Serviço",0,IF(AND(AUTOEVENTO="Manual",$M283=1),0,IF(OFFSET(CRONOPLE!$F$14,$M283,BH$13)="",10^12,OFFSET(CRONOPLE!$F$14,$M283,BH$13))))</f>
        <v>1000000000000</v>
      </c>
      <c r="BI283" s="181">
        <f ca="1">IF($D283&lt;&gt;"Serviço",0,IF(AND(AUTOEVENTO="Manual",$M283=1),0,IF(OFFSET(CRONOPLE!$F$14,$M283,BI$13)="",10^12,OFFSET(CRONOPLE!$F$14,$M283,BI$13))))</f>
        <v>1000000000000</v>
      </c>
      <c r="BJ283" s="181">
        <f ca="1">IF($D283&lt;&gt;"Serviço",0,IF(AND(AUTOEVENTO="Manual",$M283=1),0,IF(OFFSET(CRONOPLE!$F$14,$M283,BJ$13)="",10^12,OFFSET(CRONOPLE!$F$14,$M283,BJ$13))))</f>
        <v>1000000000000</v>
      </c>
      <c r="BK283" s="181">
        <f ca="1">IF($D283&lt;&gt;"Serviço",0,IF(AND(AUTOEVENTO="Manual",$M283=1),0,IF(OFFSET(CRONOPLE!$F$14,$M283,BK$13)="",10^12,OFFSET(CRONOPLE!$F$14,$M283,BK$13))))</f>
        <v>1000000000000</v>
      </c>
      <c r="BL283" s="181">
        <f ca="1">IF($D283&lt;&gt;"Serviço",0,IF(AND(AUTOEVENTO="Manual",$M283=1),0,IF(OFFSET(CRONOPLE!$F$14,$M283,BL$13)="",10^12,OFFSET(CRONOPLE!$F$14,$M283,BL$13))))</f>
        <v>1000000000000</v>
      </c>
      <c r="BM283" s="181">
        <f ca="1">IF($D283&lt;&gt;"Serviço",0,IF(AND(AUTOEVENTO="Manual",$M283=1),0,IF(OFFSET(CRONOPLE!$F$14,$M283,BM$13)="",10^12,OFFSET(CRONOPLE!$F$14,$M283,BM$13))))</f>
        <v>1000000000000</v>
      </c>
      <c r="BN283" s="181">
        <f ca="1">IF($D283&lt;&gt;"Serviço",0,IF(AND(AUTOEVENTO="Manual",$M283=1),0,IF(OFFSET(CRONOPLE!$F$14,$M283,BN$13)="",10^12,OFFSET(CRONOPLE!$F$14,$M283,BN$13))))</f>
        <v>1000000000000</v>
      </c>
      <c r="BO283" s="181">
        <f ca="1">IF($D283&lt;&gt;"Serviço",0,IF(AND(AUTOEVENTO="Manual",$M283=1),0,IF(OFFSET(CRONOPLE!$F$14,$M283,BO$13)="",10^12,OFFSET(CRONOPLE!$F$14,$M283,BO$13))))</f>
        <v>1000000000000</v>
      </c>
      <c r="BP283" s="181">
        <f ca="1">IF($D283&lt;&gt;"Serviço",0,IF(AND(AUTOEVENTO="Manual",$M283=1),0,IF(OFFSET(CRONOPLE!$F$14,$M283,BP$13)="",10^12,OFFSET(CRONOPLE!$F$14,$M283,BP$13))))</f>
        <v>1000000000000</v>
      </c>
      <c r="BQ283" s="181">
        <f ca="1">IF($D283&lt;&gt;"Serviço",0,IF(AND(AUTOEVENTO="Manual",$M283=1),0,IF(OFFSET(CRONOPLE!$F$14,$M283,BQ$13)="",10^12,OFFSET(CRONOPLE!$F$14,$M283,BQ$13))))</f>
        <v>1000000000000</v>
      </c>
      <c r="BR283" s="181">
        <f ca="1">IF($D283&lt;&gt;"Serviço",0,IF(AND(AUTOEVENTO="Manual",$M283=1),0,IF(OFFSET(CRONOPLE!$F$14,$M283,BR$13)="",10^12,OFFSET(CRONOPLE!$F$14,$M283,BR$13))))</f>
        <v>1000000000000</v>
      </c>
      <c r="BS283" s="181">
        <f ca="1">IF($D283&lt;&gt;"Serviço",0,IF(AND(AUTOEVENTO="Manual",$M283=1),0,IF(OFFSET(CRONOPLE!$F$14,$M283,BS$13)="",10^12,OFFSET(CRONOPLE!$F$14,$M283,BS$13))))</f>
        <v>1000000000000</v>
      </c>
      <c r="BT283" s="181">
        <f ca="1">IF($D283&lt;&gt;"Serviço",0,IF(AND(AUTOEVENTO="Manual",$M283=1),0,IF(OFFSET(CRONOPLE!$F$14,$M283,BT$13)="",10^12,OFFSET(CRONOPLE!$F$14,$M283,BT$13))))</f>
        <v>1000000000000</v>
      </c>
      <c r="BV283" s="182">
        <f ca="1">IF($D283&lt;&gt;"Serviço",0,IF(OR(AND(AUTOEVENTO="Manual",$M283=1),$M283&gt;(ROW(PLE.lastrow)-ROW(PLE.firstrow))),0,IF(OFFSET(PLE!$G$14,$M283,BV$13)="",10^12,OFFSET(PLE!$G$14,$M283,BV$13))))</f>
        <v>1000000000000</v>
      </c>
      <c r="BW283" s="182">
        <f ca="1">IF($D283&lt;&gt;"Serviço",0,IF(OR(AND(AUTOEVENTO="Manual",$M283=1),$M283&gt;(ROW(PLE.lastrow)-ROW(PLE.firstrow))),0,IF(OFFSET(PLE!$G$14,$M283,BW$13)="",10^12,OFFSET(PLE!$G$14,$M283,BW$13))))</f>
        <v>1000000000000</v>
      </c>
      <c r="BX283" s="182">
        <f ca="1">IF($D283&lt;&gt;"Serviço",0,IF(OR(AND(AUTOEVENTO="Manual",$M283=1),$M283&gt;(ROW(PLE.lastrow)-ROW(PLE.firstrow))),0,IF(OFFSET(PLE!$G$14,$M283,BX$13)="",10^12,OFFSET(PLE!$G$14,$M283,BX$13))))</f>
        <v>1000000000000</v>
      </c>
      <c r="BY283" s="182">
        <f ca="1">IF($D283&lt;&gt;"Serviço",0,IF(OR(AND(AUTOEVENTO="Manual",$M283=1),$M283&gt;(ROW(PLE.lastrow)-ROW(PLE.firstrow))),0,IF(OFFSET(PLE!$G$14,$M283,BY$13)="",10^12,OFFSET(PLE!$G$14,$M283,BY$13))))</f>
        <v>1000000000000</v>
      </c>
      <c r="BZ283" s="182">
        <f ca="1">IF($D283&lt;&gt;"Serviço",0,IF(OR(AND(AUTOEVENTO="Manual",$M283=1),$M283&gt;(ROW(PLE.lastrow)-ROW(PLE.firstrow))),0,IF(OFFSET(PLE!$G$14,$M283,BZ$13)="",10^12,OFFSET(PLE!$G$14,$M283,BZ$13))))</f>
        <v>1000000000000</v>
      </c>
      <c r="CA283" s="182">
        <f ca="1">IF($D283&lt;&gt;"Serviço",0,IF(OR(AND(AUTOEVENTO="Manual",$M283=1),$M283&gt;(ROW(PLE.lastrow)-ROW(PLE.firstrow))),0,IF(OFFSET(PLE!$G$14,$M283,CA$13)="",10^12,OFFSET(PLE!$G$14,$M283,CA$13))))</f>
        <v>1000000000000</v>
      </c>
      <c r="CB283" s="182">
        <f ca="1">IF($D283&lt;&gt;"Serviço",0,IF(OR(AND(AUTOEVENTO="Manual",$M283=1),$M283&gt;(ROW(PLE.lastrow)-ROW(PLE.firstrow))),0,IF(OFFSET(PLE!$G$14,$M283,CB$13)="",10^12,OFFSET(PLE!$G$14,$M283,CB$13))))</f>
        <v>1000000000000</v>
      </c>
      <c r="CC283" s="182">
        <f ca="1">IF($D283&lt;&gt;"Serviço",0,IF(OR(AND(AUTOEVENTO="Manual",$M283=1),$M283&gt;(ROW(PLE.lastrow)-ROW(PLE.firstrow))),0,IF(OFFSET(PLE!$G$14,$M283,CC$13)="",10^12,OFFSET(PLE!$G$14,$M283,CC$13))))</f>
        <v>1000000000000</v>
      </c>
      <c r="CD283" s="182">
        <f ca="1">IF($D283&lt;&gt;"Serviço",0,IF(OR(AND(AUTOEVENTO="Manual",$M283=1),$M283&gt;(ROW(PLE.lastrow)-ROW(PLE.firstrow))),0,IF(OFFSET(PLE!$G$14,$M283,CD$13)="",10^12,OFFSET(PLE!$G$14,$M283,CD$13))))</f>
        <v>1000000000000</v>
      </c>
      <c r="CE283" s="182">
        <f ca="1">IF($D283&lt;&gt;"Serviço",0,IF(OR(AND(AUTOEVENTO="Manual",$M283=1),$M283&gt;(ROW(PLE.lastrow)-ROW(PLE.firstrow))),0,IF(OFFSET(PLE!$G$14,$M283,CE$13)="",10^12,OFFSET(PLE!$G$14,$M283,CE$13))))</f>
        <v>1000000000000</v>
      </c>
      <c r="CF283" s="182">
        <f ca="1">IF($D283&lt;&gt;"Serviço",0,IF(OR(AND(AUTOEVENTO="Manual",$M283=1),$M283&gt;(ROW(PLE.lastrow)-ROW(PLE.firstrow))),0,IF(OFFSET(PLE!$G$14,$M283,CF$13)="",10^12,OFFSET(PLE!$G$14,$M283,CF$13))))</f>
        <v>1000000000000</v>
      </c>
      <c r="CG283" s="182">
        <f ca="1">IF($D283&lt;&gt;"Serviço",0,IF(OR(AND(AUTOEVENTO="Manual",$M283=1),$M283&gt;(ROW(PLE.lastrow)-ROW(PLE.firstrow))),0,IF(OFFSET(PLE!$G$14,$M283,CG$13)="",10^12,OFFSET(PLE!$G$14,$M283,CG$13))))</f>
        <v>1000000000000</v>
      </c>
      <c r="CH283" s="182">
        <f ca="1">IF($D283&lt;&gt;"Serviço",0,IF(OR(AND(AUTOEVENTO="Manual",$M283=1),$M283&gt;(ROW(PLE.lastrow)-ROW(PLE.firstrow))),0,IF(OFFSET(PLE!$G$14,$M283,CH$13)="",10^12,OFFSET(PLE!$G$14,$M283,CH$13))))</f>
        <v>1000000000000</v>
      </c>
      <c r="CI283" s="182">
        <f ca="1">IF($D283&lt;&gt;"Serviço",0,IF(OR(AND(AUTOEVENTO="Manual",$M283=1),$M283&gt;(ROW(PLE.lastrow)-ROW(PLE.firstrow))),0,IF(OFFSET(PLE!$G$14,$M283,CI$13)="",10^12,OFFSET(PLE!$G$14,$M283,CI$13))))</f>
        <v>1000000000000</v>
      </c>
      <c r="CJ283" s="182">
        <f ca="1">IF($D283&lt;&gt;"Serviço",0,IF(OR(AND(AUTOEVENTO="Manual",$M283=1),$M283&gt;(ROW(PLE.lastrow)-ROW(PLE.firstrow))),0,IF(OFFSET(PLE!$G$14,$M283,CJ$13)="",10^12,OFFSET(PLE!$G$14,$M283,CJ$13))))</f>
        <v>1000000000000</v>
      </c>
      <c r="CK283" s="182">
        <f ca="1">IF($D283&lt;&gt;"Serviço",0,IF(OR(AND(AUTOEVENTO="Manual",$M283=1),$M283&gt;(ROW(PLE.lastrow)-ROW(PLE.firstrow))),0,IF(OFFSET(PLE!$G$14,$M283,CK$13)="",10^12,OFFSET(PLE!$G$14,$M283,CK$13))))</f>
        <v>1000000000000</v>
      </c>
      <c r="CL283" s="182">
        <f ca="1">IF($D283&lt;&gt;"Serviço",0,IF(OR(AND(AUTOEVENTO="Manual",$M283=1),$M283&gt;(ROW(PLE.lastrow)-ROW(PLE.firstrow))),0,IF(OFFSET(PLE!$G$14,$M283,CL$13)="",10^12,OFFSET(PLE!$G$14,$M283,CL$13))))</f>
        <v>1000000000000</v>
      </c>
      <c r="CM283" s="182">
        <f ca="1">IF($D283&lt;&gt;"Serviço",0,IF(OR(AND(AUTOEVENTO="Manual",$M283=1),$M283&gt;(ROW(PLE.lastrow)-ROW(PLE.firstrow))),0,IF(OFFSET(PLE!$G$14,$M283,CM$13)="",10^12,OFFSET(PLE!$G$14,$M283,CM$13))))</f>
        <v>1000000000000</v>
      </c>
    </row>
    <row r="284" spans="1:91" ht="38.25" x14ac:dyDescent="0.2">
      <c r="A284" s="7" t="str">
        <f t="shared" ca="1" si="12"/>
        <v>232</v>
      </c>
      <c r="B284" s="7" t="str">
        <f ca="1">OFFSET(ORÇAMENTO!C$15,ROW(B284)-ROW(B$15),0)</f>
        <v>S</v>
      </c>
      <c r="C284" s="7" t="str">
        <f ca="1">OFFSET(ORÇAMENTO!L$15,ROW(C284)-ROW(C$15),0)</f>
        <v/>
      </c>
      <c r="D284" s="118" t="str">
        <f ca="1">OFFSET(ORÇAMENTO!N$15,ROW(D284)-ROW(D$15),0)</f>
        <v>Serviço</v>
      </c>
      <c r="E284" s="119" t="str">
        <f ca="1">OFFSET(ORÇAMENTO!O$15,ROW(E284)-ROW(E$15),0)</f>
        <v>-</v>
      </c>
      <c r="F284" s="172" t="str">
        <f ca="1">OFFSET(ORÇAMENTO!R$15,ROW(F284)-ROW(F$15),0)</f>
        <v>(abra o arquivo 'Referência 06-2024.xlsm)</v>
      </c>
      <c r="G284" s="173" t="str">
        <f ca="1">IF($D284&lt;&gt;"Serviço","",OFFSET(ORÇAMENTO!S$15,ROW(G284)-ROW(G$15),0))</f>
        <v>-</v>
      </c>
      <c r="H284" s="124">
        <f ca="1">IF($D284&lt;&gt;"Serviço",0,IF(ACOMPANHAMENTO="BM",ROUND(OFFSET(ORÇAMENTO!AJ$15,ROW(H284)-ROW(H$15),0),15-13*ORÇAMENTO!$AF$7),SUMPRODUCT(($Q$12:$AI$12&lt;&gt;"")*ROUND($Q284:$AI284,15-13*ORÇAMENTO!$AF$7))))</f>
        <v>4</v>
      </c>
      <c r="I284" s="561" t="s">
        <v>1107</v>
      </c>
      <c r="K284" s="174"/>
      <c r="L284" s="175" t="s">
        <v>255</v>
      </c>
      <c r="M284" s="176">
        <f ca="1">IF($D284&lt;&gt;"Serviço","",IF(AUTOEVENTO="manual",$A284,IF(ISERROR(MATCH($A284,$A$15:OFFSET($A284,-1,0),0)),MAX($M$15:OFFSET(M284,-1,0))+1,INDEX($M$15:OFFSET(M284,-1,0),MATCH($A284,$A$15:OFFSET($A284,-1,0),0)))))</f>
        <v>35</v>
      </c>
      <c r="N284" s="177" t="str">
        <f ca="1">IF($D284&lt;&gt;"Serviço","",IF(AUTOEVENTO="Manual",IF($A284=0,"&lt;-- defina o número do agrupador",OFFSET(EVENTOS!$D$14,$A284,0)),OFFSET($F$15,$A284,0)))</f>
        <v>INSTALAÇÃO HIDRÁULICA - TUBULAÇÕES E CONEXÕES DE PVC RÍGIDO</v>
      </c>
      <c r="O284" s="178"/>
      <c r="Q284" s="178">
        <v>4</v>
      </c>
      <c r="R284" s="179"/>
      <c r="S284" s="179"/>
      <c r="T284" s="179"/>
      <c r="U284" s="179"/>
      <c r="V284" s="179"/>
      <c r="W284" s="179"/>
      <c r="X284" s="179"/>
      <c r="Y284" s="179"/>
      <c r="Z284" s="180"/>
      <c r="AA284" s="179"/>
      <c r="AB284" s="179"/>
      <c r="AC284" s="179"/>
      <c r="AD284" s="179"/>
      <c r="AE284" s="179"/>
      <c r="AF284" s="179"/>
      <c r="AG284" s="179"/>
      <c r="AH284" s="180"/>
      <c r="AJ284" s="544">
        <f ca="1">IF(AND($D284="Serviço",AJ$12&lt;&gt;0,$H284&gt;0,OR(AUTOEVENTO&lt;&gt;"manual",$M284&lt;&gt;1)),
IF(Import.TipoArredondamento&lt;&gt;"TransfereGOV",
ROUND(OFFSET($P284,0,AJ$13),15-13*ORÇAMENTO!$AF$7)/$H284*OFFSET(ORÇAMENTO!$X$15,ROW(AJ284)-ROW(AJ$15),0),
ROUND(ROUND(OFFSET($P284,0,AJ$13),15-13*ORÇAMENTO!$AF$7)*OFFSET(ORÇAMENTO!$W$15,ROW(AJ284)-ROW(AJ$15),0),15-13*ORÇAMENTO!$AF$11)),0)</f>
        <v>0</v>
      </c>
      <c r="AK284" s="545">
        <f ca="1">IF(AND($D284="Serviço",AK$12&lt;&gt;0,$H284&gt;0,OR(AUTOEVENTO&lt;&gt;"manual",$M284&lt;&gt;1)),
IF(Import.TipoArredondamento&lt;&gt;"TransfereGOV",
ROUND(OFFSET($P284,0,AK$13),15-13*ORÇAMENTO!$AF$7)/$H284*OFFSET(ORÇAMENTO!$X$15,ROW(AK284)-ROW(AK$15),0),
ROUND(ROUND(OFFSET($P284,0,AK$13),15-13*ORÇAMENTO!$AF$7)*OFFSET(ORÇAMENTO!$W$15,ROW(AK284)-ROW(AK$15),0),15-13*ORÇAMENTO!$AF$11)),0)</f>
        <v>0</v>
      </c>
      <c r="AL284" s="545">
        <f ca="1">IF(AND($D284="Serviço",AL$12&lt;&gt;0,$H284&gt;0,OR(AUTOEVENTO&lt;&gt;"manual",$M284&lt;&gt;1)),
IF(Import.TipoArredondamento&lt;&gt;"TransfereGOV",
ROUND(OFFSET($P284,0,AL$13),15-13*ORÇAMENTO!$AF$7)/$H284*OFFSET(ORÇAMENTO!$X$15,ROW(AL284)-ROW(AL$15),0),
ROUND(ROUND(OFFSET($P284,0,AL$13),15-13*ORÇAMENTO!$AF$7)*OFFSET(ORÇAMENTO!$W$15,ROW(AL284)-ROW(AL$15),0),15-13*ORÇAMENTO!$AF$11)),0)</f>
        <v>0</v>
      </c>
      <c r="AM284" s="545">
        <f ca="1">IF(AND($D284="Serviço",AM$12&lt;&gt;0,$H284&gt;0,OR(AUTOEVENTO&lt;&gt;"manual",$M284&lt;&gt;1)),
IF(Import.TipoArredondamento&lt;&gt;"TransfereGOV",
ROUND(OFFSET($P284,0,AM$13),15-13*ORÇAMENTO!$AF$7)/$H284*OFFSET(ORÇAMENTO!$X$15,ROW(AM284)-ROW(AM$15),0),
ROUND(ROUND(OFFSET($P284,0,AM$13),15-13*ORÇAMENTO!$AF$7)*OFFSET(ORÇAMENTO!$W$15,ROW(AM284)-ROW(AM$15),0),15-13*ORÇAMENTO!$AF$11)),0)</f>
        <v>0</v>
      </c>
      <c r="AN284" s="545">
        <f ca="1">IF(AND($D284="Serviço",AN$12&lt;&gt;0,$H284&gt;0,OR(AUTOEVENTO&lt;&gt;"manual",$M284&lt;&gt;1)),
IF(Import.TipoArredondamento&lt;&gt;"TransfereGOV",
ROUND(OFFSET($P284,0,AN$13),15-13*ORÇAMENTO!$AF$7)/$H284*OFFSET(ORÇAMENTO!$X$15,ROW(AN284)-ROW(AN$15),0),
ROUND(ROUND(OFFSET($P284,0,AN$13),15-13*ORÇAMENTO!$AF$7)*OFFSET(ORÇAMENTO!$W$15,ROW(AN284)-ROW(AN$15),0),15-13*ORÇAMENTO!$AF$11)),0)</f>
        <v>0</v>
      </c>
      <c r="AO284" s="545">
        <f ca="1">IF(AND($D284="Serviço",AO$12&lt;&gt;0,$H284&gt;0,OR(AUTOEVENTO&lt;&gt;"manual",$M284&lt;&gt;1)),
IF(Import.TipoArredondamento&lt;&gt;"TransfereGOV",
ROUND(OFFSET($P284,0,AO$13),15-13*ORÇAMENTO!$AF$7)/$H284*OFFSET(ORÇAMENTO!$X$15,ROW(AO284)-ROW(AO$15),0),
ROUND(ROUND(OFFSET($P284,0,AO$13),15-13*ORÇAMENTO!$AF$7)*OFFSET(ORÇAMENTO!$W$15,ROW(AO284)-ROW(AO$15),0),15-13*ORÇAMENTO!$AF$11)),0)</f>
        <v>0</v>
      </c>
      <c r="AP284" s="545">
        <f ca="1">IF(AND($D284="Serviço",AP$12&lt;&gt;0,$H284&gt;0,OR(AUTOEVENTO&lt;&gt;"manual",$M284&lt;&gt;1)),
IF(Import.TipoArredondamento&lt;&gt;"TransfereGOV",
ROUND(OFFSET($P284,0,AP$13),15-13*ORÇAMENTO!$AF$7)/$H284*OFFSET(ORÇAMENTO!$X$15,ROW(AP284)-ROW(AP$15),0),
ROUND(ROUND(OFFSET($P284,0,AP$13),15-13*ORÇAMENTO!$AF$7)*OFFSET(ORÇAMENTO!$W$15,ROW(AP284)-ROW(AP$15),0),15-13*ORÇAMENTO!$AF$11)),0)</f>
        <v>0</v>
      </c>
      <c r="AQ284" s="545">
        <f ca="1">IF(AND($D284="Serviço",AQ$12&lt;&gt;0,$H284&gt;0,OR(AUTOEVENTO&lt;&gt;"manual",$M284&lt;&gt;1)),
IF(Import.TipoArredondamento&lt;&gt;"TransfereGOV",
ROUND(OFFSET($P284,0,AQ$13),15-13*ORÇAMENTO!$AF$7)/$H284*OFFSET(ORÇAMENTO!$X$15,ROW(AQ284)-ROW(AQ$15),0),
ROUND(ROUND(OFFSET($P284,0,AQ$13),15-13*ORÇAMENTO!$AF$7)*OFFSET(ORÇAMENTO!$W$15,ROW(AQ284)-ROW(AQ$15),0),15-13*ORÇAMENTO!$AF$11)),0)</f>
        <v>0</v>
      </c>
      <c r="AR284" s="545">
        <f ca="1">IF(AND($D284="Serviço",AR$12&lt;&gt;0,$H284&gt;0,OR(AUTOEVENTO&lt;&gt;"manual",$M284&lt;&gt;1)),
IF(Import.TipoArredondamento&lt;&gt;"TransfereGOV",
ROUND(OFFSET($P284,0,AR$13),15-13*ORÇAMENTO!$AF$7)/$H284*OFFSET(ORÇAMENTO!$X$15,ROW(AR284)-ROW(AR$15),0),
ROUND(ROUND(OFFSET($P284,0,AR$13),15-13*ORÇAMENTO!$AF$7)*OFFSET(ORÇAMENTO!$W$15,ROW(AR284)-ROW(AR$15),0),15-13*ORÇAMENTO!$AF$11)),0)</f>
        <v>0</v>
      </c>
      <c r="AS284" s="546">
        <f ca="1">IF(AND($D284="Serviço",AS$12&lt;&gt;0,$H284&gt;0,OR(AUTOEVENTO&lt;&gt;"manual",$M284&lt;&gt;1)),
IF(Import.TipoArredondamento&lt;&gt;"TransfereGOV",
ROUND(OFFSET($P284,0,AS$13),15-13*ORÇAMENTO!$AF$7)/$H284*OFFSET(ORÇAMENTO!$X$15,ROW(AS284)-ROW(AS$15),0),
ROUND(ROUND(OFFSET($P284,0,AS$13),15-13*ORÇAMENTO!$AF$7)*OFFSET(ORÇAMENTO!$W$15,ROW(AS284)-ROW(AS$15),0),15-13*ORÇAMENTO!$AF$11)),0)</f>
        <v>0</v>
      </c>
      <c r="AT284" s="545">
        <f ca="1">IF(AND($D284="Serviço",AT$12&lt;&gt;0,$H284&gt;0,OR(AUTOEVENTO&lt;&gt;"manual",$M284&lt;&gt;1)),
IF(Import.TipoArredondamento&lt;&gt;"TransfereGOV",
ROUND(OFFSET($P284,0,AT$13),15-13*ORÇAMENTO!$AF$7)/$H284*OFFSET(ORÇAMENTO!$X$15,ROW(AT284)-ROW(AT$15),0),
ROUND(ROUND(OFFSET($P284,0,AT$13),15-13*ORÇAMENTO!$AF$7)*OFFSET(ORÇAMENTO!$W$15,ROW(AT284)-ROW(AT$15),0),15-13*ORÇAMENTO!$AF$11)),0)</f>
        <v>0</v>
      </c>
      <c r="AU284" s="545">
        <f ca="1">IF(AND($D284="Serviço",AU$12&lt;&gt;0,$H284&gt;0,OR(AUTOEVENTO&lt;&gt;"manual",$M284&lt;&gt;1)),
IF(Import.TipoArredondamento&lt;&gt;"TransfereGOV",
ROUND(OFFSET($P284,0,AU$13),15-13*ORÇAMENTO!$AF$7)/$H284*OFFSET(ORÇAMENTO!$X$15,ROW(AU284)-ROW(AU$15),0),
ROUND(ROUND(OFFSET($P284,0,AU$13),15-13*ORÇAMENTO!$AF$7)*OFFSET(ORÇAMENTO!$W$15,ROW(AU284)-ROW(AU$15),0),15-13*ORÇAMENTO!$AF$11)),0)</f>
        <v>0</v>
      </c>
      <c r="AV284" s="545">
        <f ca="1">IF(AND($D284="Serviço",AV$12&lt;&gt;0,$H284&gt;0,OR(AUTOEVENTO&lt;&gt;"manual",$M284&lt;&gt;1)),
IF(Import.TipoArredondamento&lt;&gt;"TransfereGOV",
ROUND(OFFSET($P284,0,AV$13),15-13*ORÇAMENTO!$AF$7)/$H284*OFFSET(ORÇAMENTO!$X$15,ROW(AV284)-ROW(AV$15),0),
ROUND(ROUND(OFFSET($P284,0,AV$13),15-13*ORÇAMENTO!$AF$7)*OFFSET(ORÇAMENTO!$W$15,ROW(AV284)-ROW(AV$15),0),15-13*ORÇAMENTO!$AF$11)),0)</f>
        <v>0</v>
      </c>
      <c r="AW284" s="545">
        <f ca="1">IF(AND($D284="Serviço",AW$12&lt;&gt;0,$H284&gt;0,OR(AUTOEVENTO&lt;&gt;"manual",$M284&lt;&gt;1)),
IF(Import.TipoArredondamento&lt;&gt;"TransfereGOV",
ROUND(OFFSET($P284,0,AW$13),15-13*ORÇAMENTO!$AF$7)/$H284*OFFSET(ORÇAMENTO!$X$15,ROW(AW284)-ROW(AW$15),0),
ROUND(ROUND(OFFSET($P284,0,AW$13),15-13*ORÇAMENTO!$AF$7)*OFFSET(ORÇAMENTO!$W$15,ROW(AW284)-ROW(AW$15),0),15-13*ORÇAMENTO!$AF$11)),0)</f>
        <v>0</v>
      </c>
      <c r="AX284" s="545">
        <f ca="1">IF(AND($D284="Serviço",AX$12&lt;&gt;0,$H284&gt;0,OR(AUTOEVENTO&lt;&gt;"manual",$M284&lt;&gt;1)),
IF(Import.TipoArredondamento&lt;&gt;"TransfereGOV",
ROUND(OFFSET($P284,0,AX$13),15-13*ORÇAMENTO!$AF$7)/$H284*OFFSET(ORÇAMENTO!$X$15,ROW(AX284)-ROW(AX$15),0),
ROUND(ROUND(OFFSET($P284,0,AX$13),15-13*ORÇAMENTO!$AF$7)*OFFSET(ORÇAMENTO!$W$15,ROW(AX284)-ROW(AX$15),0),15-13*ORÇAMENTO!$AF$11)),0)</f>
        <v>0</v>
      </c>
      <c r="AY284" s="545">
        <f ca="1">IF(AND($D284="Serviço",AY$12&lt;&gt;0,$H284&gt;0,OR(AUTOEVENTO&lt;&gt;"manual",$M284&lt;&gt;1)),
IF(Import.TipoArredondamento&lt;&gt;"TransfereGOV",
ROUND(OFFSET($P284,0,AY$13),15-13*ORÇAMENTO!$AF$7)/$H284*OFFSET(ORÇAMENTO!$X$15,ROW(AY284)-ROW(AY$15),0),
ROUND(ROUND(OFFSET($P284,0,AY$13),15-13*ORÇAMENTO!$AF$7)*OFFSET(ORÇAMENTO!$W$15,ROW(AY284)-ROW(AY$15),0),15-13*ORÇAMENTO!$AF$11)),0)</f>
        <v>0</v>
      </c>
      <c r="AZ284" s="545">
        <f ca="1">IF(AND($D284="Serviço",AZ$12&lt;&gt;0,$H284&gt;0,OR(AUTOEVENTO&lt;&gt;"manual",$M284&lt;&gt;1)),
IF(Import.TipoArredondamento&lt;&gt;"TransfereGOV",
ROUND(OFFSET($P284,0,AZ$13),15-13*ORÇAMENTO!$AF$7)/$H284*OFFSET(ORÇAMENTO!$X$15,ROW(AZ284)-ROW(AZ$15),0),
ROUND(ROUND(OFFSET($P284,0,AZ$13),15-13*ORÇAMENTO!$AF$7)*OFFSET(ORÇAMENTO!$W$15,ROW(AZ284)-ROW(AZ$15),0),15-13*ORÇAMENTO!$AF$11)),0)</f>
        <v>0</v>
      </c>
      <c r="BA284" s="546">
        <f ca="1">IF(AND($D284="Serviço",BA$12&lt;&gt;0,$H284&gt;0,OR(AUTOEVENTO&lt;&gt;"manual",$M284&lt;&gt;1)),
IF(Import.TipoArredondamento&lt;&gt;"TransfereGOV",
ROUND(OFFSET($P284,0,BA$13),15-13*ORÇAMENTO!$AF$7)/$H284*OFFSET(ORÇAMENTO!$X$15,ROW(BA284)-ROW(BA$15),0),
ROUND(ROUND(OFFSET($P284,0,BA$13),15-13*ORÇAMENTO!$AF$7)*OFFSET(ORÇAMENTO!$W$15,ROW(BA284)-ROW(BA$15),0),15-13*ORÇAMENTO!$AF$11)),0)</f>
        <v>0</v>
      </c>
      <c r="BC284" s="181">
        <f ca="1">IF($D284&lt;&gt;"Serviço",0,IF(AND(AUTOEVENTO="Manual",$M284=1),0,IF(OFFSET(CRONOPLE!$F$14,$M284,BC$13)="",10^12,OFFSET(CRONOPLE!$F$14,$M284,BC$13))))</f>
        <v>9</v>
      </c>
      <c r="BD284" s="181">
        <f ca="1">IF($D284&lt;&gt;"Serviço",0,IF(AND(AUTOEVENTO="Manual",$M284=1),0,IF(OFFSET(CRONOPLE!$F$14,$M284,BD$13)="",10^12,OFFSET(CRONOPLE!$F$14,$M284,BD$13))))</f>
        <v>1000000000000</v>
      </c>
      <c r="BE284" s="181">
        <f ca="1">IF($D284&lt;&gt;"Serviço",0,IF(AND(AUTOEVENTO="Manual",$M284=1),0,IF(OFFSET(CRONOPLE!$F$14,$M284,BE$13)="",10^12,OFFSET(CRONOPLE!$F$14,$M284,BE$13))))</f>
        <v>1000000000000</v>
      </c>
      <c r="BF284" s="181">
        <f ca="1">IF($D284&lt;&gt;"Serviço",0,IF(AND(AUTOEVENTO="Manual",$M284=1),0,IF(OFFSET(CRONOPLE!$F$14,$M284,BF$13)="",10^12,OFFSET(CRONOPLE!$F$14,$M284,BF$13))))</f>
        <v>1000000000000</v>
      </c>
      <c r="BG284" s="181">
        <f ca="1">IF($D284&lt;&gt;"Serviço",0,IF(AND(AUTOEVENTO="Manual",$M284=1),0,IF(OFFSET(CRONOPLE!$F$14,$M284,BG$13)="",10^12,OFFSET(CRONOPLE!$F$14,$M284,BG$13))))</f>
        <v>1000000000000</v>
      </c>
      <c r="BH284" s="181">
        <f ca="1">IF($D284&lt;&gt;"Serviço",0,IF(AND(AUTOEVENTO="Manual",$M284=1),0,IF(OFFSET(CRONOPLE!$F$14,$M284,BH$13)="",10^12,OFFSET(CRONOPLE!$F$14,$M284,BH$13))))</f>
        <v>1000000000000</v>
      </c>
      <c r="BI284" s="181">
        <f ca="1">IF($D284&lt;&gt;"Serviço",0,IF(AND(AUTOEVENTO="Manual",$M284=1),0,IF(OFFSET(CRONOPLE!$F$14,$M284,BI$13)="",10^12,OFFSET(CRONOPLE!$F$14,$M284,BI$13))))</f>
        <v>1000000000000</v>
      </c>
      <c r="BJ284" s="181">
        <f ca="1">IF($D284&lt;&gt;"Serviço",0,IF(AND(AUTOEVENTO="Manual",$M284=1),0,IF(OFFSET(CRONOPLE!$F$14,$M284,BJ$13)="",10^12,OFFSET(CRONOPLE!$F$14,$M284,BJ$13))))</f>
        <v>1000000000000</v>
      </c>
      <c r="BK284" s="181">
        <f ca="1">IF($D284&lt;&gt;"Serviço",0,IF(AND(AUTOEVENTO="Manual",$M284=1),0,IF(OFFSET(CRONOPLE!$F$14,$M284,BK$13)="",10^12,OFFSET(CRONOPLE!$F$14,$M284,BK$13))))</f>
        <v>1000000000000</v>
      </c>
      <c r="BL284" s="181">
        <f ca="1">IF($D284&lt;&gt;"Serviço",0,IF(AND(AUTOEVENTO="Manual",$M284=1),0,IF(OFFSET(CRONOPLE!$F$14,$M284,BL$13)="",10^12,OFFSET(CRONOPLE!$F$14,$M284,BL$13))))</f>
        <v>1000000000000</v>
      </c>
      <c r="BM284" s="181">
        <f ca="1">IF($D284&lt;&gt;"Serviço",0,IF(AND(AUTOEVENTO="Manual",$M284=1),0,IF(OFFSET(CRONOPLE!$F$14,$M284,BM$13)="",10^12,OFFSET(CRONOPLE!$F$14,$M284,BM$13))))</f>
        <v>1000000000000</v>
      </c>
      <c r="BN284" s="181">
        <f ca="1">IF($D284&lt;&gt;"Serviço",0,IF(AND(AUTOEVENTO="Manual",$M284=1),0,IF(OFFSET(CRONOPLE!$F$14,$M284,BN$13)="",10^12,OFFSET(CRONOPLE!$F$14,$M284,BN$13))))</f>
        <v>1000000000000</v>
      </c>
      <c r="BO284" s="181">
        <f ca="1">IF($D284&lt;&gt;"Serviço",0,IF(AND(AUTOEVENTO="Manual",$M284=1),0,IF(OFFSET(CRONOPLE!$F$14,$M284,BO$13)="",10^12,OFFSET(CRONOPLE!$F$14,$M284,BO$13))))</f>
        <v>1000000000000</v>
      </c>
      <c r="BP284" s="181">
        <f ca="1">IF($D284&lt;&gt;"Serviço",0,IF(AND(AUTOEVENTO="Manual",$M284=1),0,IF(OFFSET(CRONOPLE!$F$14,$M284,BP$13)="",10^12,OFFSET(CRONOPLE!$F$14,$M284,BP$13))))</f>
        <v>1000000000000</v>
      </c>
      <c r="BQ284" s="181">
        <f ca="1">IF($D284&lt;&gt;"Serviço",0,IF(AND(AUTOEVENTO="Manual",$M284=1),0,IF(OFFSET(CRONOPLE!$F$14,$M284,BQ$13)="",10^12,OFFSET(CRONOPLE!$F$14,$M284,BQ$13))))</f>
        <v>1000000000000</v>
      </c>
      <c r="BR284" s="181">
        <f ca="1">IF($D284&lt;&gt;"Serviço",0,IF(AND(AUTOEVENTO="Manual",$M284=1),0,IF(OFFSET(CRONOPLE!$F$14,$M284,BR$13)="",10^12,OFFSET(CRONOPLE!$F$14,$M284,BR$13))))</f>
        <v>1000000000000</v>
      </c>
      <c r="BS284" s="181">
        <f ca="1">IF($D284&lt;&gt;"Serviço",0,IF(AND(AUTOEVENTO="Manual",$M284=1),0,IF(OFFSET(CRONOPLE!$F$14,$M284,BS$13)="",10^12,OFFSET(CRONOPLE!$F$14,$M284,BS$13))))</f>
        <v>1000000000000</v>
      </c>
      <c r="BT284" s="181">
        <f ca="1">IF($D284&lt;&gt;"Serviço",0,IF(AND(AUTOEVENTO="Manual",$M284=1),0,IF(OFFSET(CRONOPLE!$F$14,$M284,BT$13)="",10^12,OFFSET(CRONOPLE!$F$14,$M284,BT$13))))</f>
        <v>1000000000000</v>
      </c>
      <c r="BV284" s="182">
        <f ca="1">IF($D284&lt;&gt;"Serviço",0,IF(OR(AND(AUTOEVENTO="Manual",$M284=1),$M284&gt;(ROW(PLE.lastrow)-ROW(PLE.firstrow))),0,IF(OFFSET(PLE!$G$14,$M284,BV$13)="",10^12,OFFSET(PLE!$G$14,$M284,BV$13))))</f>
        <v>1000000000000</v>
      </c>
      <c r="BW284" s="182">
        <f ca="1">IF($D284&lt;&gt;"Serviço",0,IF(OR(AND(AUTOEVENTO="Manual",$M284=1),$M284&gt;(ROW(PLE.lastrow)-ROW(PLE.firstrow))),0,IF(OFFSET(PLE!$G$14,$M284,BW$13)="",10^12,OFFSET(PLE!$G$14,$M284,BW$13))))</f>
        <v>1000000000000</v>
      </c>
      <c r="BX284" s="182">
        <f ca="1">IF($D284&lt;&gt;"Serviço",0,IF(OR(AND(AUTOEVENTO="Manual",$M284=1),$M284&gt;(ROW(PLE.lastrow)-ROW(PLE.firstrow))),0,IF(OFFSET(PLE!$G$14,$M284,BX$13)="",10^12,OFFSET(PLE!$G$14,$M284,BX$13))))</f>
        <v>1000000000000</v>
      </c>
      <c r="BY284" s="182">
        <f ca="1">IF($D284&lt;&gt;"Serviço",0,IF(OR(AND(AUTOEVENTO="Manual",$M284=1),$M284&gt;(ROW(PLE.lastrow)-ROW(PLE.firstrow))),0,IF(OFFSET(PLE!$G$14,$M284,BY$13)="",10^12,OFFSET(PLE!$G$14,$M284,BY$13))))</f>
        <v>1000000000000</v>
      </c>
      <c r="BZ284" s="182">
        <f ca="1">IF($D284&lt;&gt;"Serviço",0,IF(OR(AND(AUTOEVENTO="Manual",$M284=1),$M284&gt;(ROW(PLE.lastrow)-ROW(PLE.firstrow))),0,IF(OFFSET(PLE!$G$14,$M284,BZ$13)="",10^12,OFFSET(PLE!$G$14,$M284,BZ$13))))</f>
        <v>1000000000000</v>
      </c>
      <c r="CA284" s="182">
        <f ca="1">IF($D284&lt;&gt;"Serviço",0,IF(OR(AND(AUTOEVENTO="Manual",$M284=1),$M284&gt;(ROW(PLE.lastrow)-ROW(PLE.firstrow))),0,IF(OFFSET(PLE!$G$14,$M284,CA$13)="",10^12,OFFSET(PLE!$G$14,$M284,CA$13))))</f>
        <v>1000000000000</v>
      </c>
      <c r="CB284" s="182">
        <f ca="1">IF($D284&lt;&gt;"Serviço",0,IF(OR(AND(AUTOEVENTO="Manual",$M284=1),$M284&gt;(ROW(PLE.lastrow)-ROW(PLE.firstrow))),0,IF(OFFSET(PLE!$G$14,$M284,CB$13)="",10^12,OFFSET(PLE!$G$14,$M284,CB$13))))</f>
        <v>1000000000000</v>
      </c>
      <c r="CC284" s="182">
        <f ca="1">IF($D284&lt;&gt;"Serviço",0,IF(OR(AND(AUTOEVENTO="Manual",$M284=1),$M284&gt;(ROW(PLE.lastrow)-ROW(PLE.firstrow))),0,IF(OFFSET(PLE!$G$14,$M284,CC$13)="",10^12,OFFSET(PLE!$G$14,$M284,CC$13))))</f>
        <v>1000000000000</v>
      </c>
      <c r="CD284" s="182">
        <f ca="1">IF($D284&lt;&gt;"Serviço",0,IF(OR(AND(AUTOEVENTO="Manual",$M284=1),$M284&gt;(ROW(PLE.lastrow)-ROW(PLE.firstrow))),0,IF(OFFSET(PLE!$G$14,$M284,CD$13)="",10^12,OFFSET(PLE!$G$14,$M284,CD$13))))</f>
        <v>1000000000000</v>
      </c>
      <c r="CE284" s="182">
        <f ca="1">IF($D284&lt;&gt;"Serviço",0,IF(OR(AND(AUTOEVENTO="Manual",$M284=1),$M284&gt;(ROW(PLE.lastrow)-ROW(PLE.firstrow))),0,IF(OFFSET(PLE!$G$14,$M284,CE$13)="",10^12,OFFSET(PLE!$G$14,$M284,CE$13))))</f>
        <v>1000000000000</v>
      </c>
      <c r="CF284" s="182">
        <f ca="1">IF($D284&lt;&gt;"Serviço",0,IF(OR(AND(AUTOEVENTO="Manual",$M284=1),$M284&gt;(ROW(PLE.lastrow)-ROW(PLE.firstrow))),0,IF(OFFSET(PLE!$G$14,$M284,CF$13)="",10^12,OFFSET(PLE!$G$14,$M284,CF$13))))</f>
        <v>1000000000000</v>
      </c>
      <c r="CG284" s="182">
        <f ca="1">IF($D284&lt;&gt;"Serviço",0,IF(OR(AND(AUTOEVENTO="Manual",$M284=1),$M284&gt;(ROW(PLE.lastrow)-ROW(PLE.firstrow))),0,IF(OFFSET(PLE!$G$14,$M284,CG$13)="",10^12,OFFSET(PLE!$G$14,$M284,CG$13))))</f>
        <v>1000000000000</v>
      </c>
      <c r="CH284" s="182">
        <f ca="1">IF($D284&lt;&gt;"Serviço",0,IF(OR(AND(AUTOEVENTO="Manual",$M284=1),$M284&gt;(ROW(PLE.lastrow)-ROW(PLE.firstrow))),0,IF(OFFSET(PLE!$G$14,$M284,CH$13)="",10^12,OFFSET(PLE!$G$14,$M284,CH$13))))</f>
        <v>1000000000000</v>
      </c>
      <c r="CI284" s="182">
        <f ca="1">IF($D284&lt;&gt;"Serviço",0,IF(OR(AND(AUTOEVENTO="Manual",$M284=1),$M284&gt;(ROW(PLE.lastrow)-ROW(PLE.firstrow))),0,IF(OFFSET(PLE!$G$14,$M284,CI$13)="",10^12,OFFSET(PLE!$G$14,$M284,CI$13))))</f>
        <v>1000000000000</v>
      </c>
      <c r="CJ284" s="182">
        <f ca="1">IF($D284&lt;&gt;"Serviço",0,IF(OR(AND(AUTOEVENTO="Manual",$M284=1),$M284&gt;(ROW(PLE.lastrow)-ROW(PLE.firstrow))),0,IF(OFFSET(PLE!$G$14,$M284,CJ$13)="",10^12,OFFSET(PLE!$G$14,$M284,CJ$13))))</f>
        <v>1000000000000</v>
      </c>
      <c r="CK284" s="182">
        <f ca="1">IF($D284&lt;&gt;"Serviço",0,IF(OR(AND(AUTOEVENTO="Manual",$M284=1),$M284&gt;(ROW(PLE.lastrow)-ROW(PLE.firstrow))),0,IF(OFFSET(PLE!$G$14,$M284,CK$13)="",10^12,OFFSET(PLE!$G$14,$M284,CK$13))))</f>
        <v>1000000000000</v>
      </c>
      <c r="CL284" s="182">
        <f ca="1">IF($D284&lt;&gt;"Serviço",0,IF(OR(AND(AUTOEVENTO="Manual",$M284=1),$M284&gt;(ROW(PLE.lastrow)-ROW(PLE.firstrow))),0,IF(OFFSET(PLE!$G$14,$M284,CL$13)="",10^12,OFFSET(PLE!$G$14,$M284,CL$13))))</f>
        <v>1000000000000</v>
      </c>
      <c r="CM284" s="182">
        <f ca="1">IF($D284&lt;&gt;"Serviço",0,IF(OR(AND(AUTOEVENTO="Manual",$M284=1),$M284&gt;(ROW(PLE.lastrow)-ROW(PLE.firstrow))),0,IF(OFFSET(PLE!$G$14,$M284,CM$13)="",10^12,OFFSET(PLE!$G$14,$M284,CM$13))))</f>
        <v>1000000000000</v>
      </c>
    </row>
    <row r="285" spans="1:91" ht="12.75" x14ac:dyDescent="0.2">
      <c r="A285" s="7" t="str">
        <f t="shared" ca="1" si="12"/>
        <v>270.</v>
      </c>
      <c r="B285" s="7">
        <f ca="1">OFFSET(ORÇAMENTO!C$15,ROW(B285)-ROW(B$15),0)</f>
        <v>2</v>
      </c>
      <c r="C285" s="7" t="str">
        <f ca="1">OFFSET(ORÇAMENTO!L$15,ROW(C285)-ROW(C$15),0)</f>
        <v>F</v>
      </c>
      <c r="D285" s="118" t="str">
        <f ca="1">OFFSET(ORÇAMENTO!N$15,ROW(D285)-ROW(D$15),0)</f>
        <v>Nível 2</v>
      </c>
      <c r="E285" s="119" t="str">
        <f ca="1">OFFSET(ORÇAMENTO!O$15,ROW(E285)-ROW(E$15),0)</f>
        <v>1.35.</v>
      </c>
      <c r="F285" s="172" t="str">
        <f ca="1">OFFSET(ORÇAMENTO!R$15,ROW(F285)-ROW(F$15),0)</f>
        <v>INSTALAÇÃO HIDRÁULICA - TUBULAÇÕES E CONEXÕES DE METAL</v>
      </c>
      <c r="G285" s="173" t="str">
        <f ca="1">IF($D285&lt;&gt;"Serviço","",OFFSET(ORÇAMENTO!S$15,ROW(G285)-ROW(G$15),0))</f>
        <v/>
      </c>
      <c r="H285" s="124">
        <f ca="1">IF($D285&lt;&gt;"Serviço",0,IF(ACOMPANHAMENTO="BM",ROUND(OFFSET(ORÇAMENTO!AJ$15,ROW(H285)-ROW(H$15),0),15-13*ORÇAMENTO!$AF$7),SUMPRODUCT(($Q$12:$AI$12&lt;&gt;"")*ROUND($Q285:$AI285,15-13*ORÇAMENTO!$AF$7))))</f>
        <v>0</v>
      </c>
      <c r="I285" s="561"/>
      <c r="K285" s="174"/>
      <c r="L285" s="175" t="s">
        <v>255</v>
      </c>
      <c r="M285" s="176" t="str">
        <f ca="1">IF($D285&lt;&gt;"Serviço","",IF(AUTOEVENTO="manual",$A285,IF(ISERROR(MATCH($A285,$A$15:OFFSET($A285,-1,0),0)),MAX($M$15:OFFSET(M285,-1,0))+1,INDEX($M$15:OFFSET(M285,-1,0),MATCH($A285,$A$15:OFFSET($A285,-1,0),0)))))</f>
        <v/>
      </c>
      <c r="N285" s="177" t="str">
        <f ca="1">IF($D285&lt;&gt;"Serviço","",IF(AUTOEVENTO="Manual",IF($A285=0,"&lt;-- defina o número do agrupador",OFFSET(EVENTOS!$D$14,$A285,0)),OFFSET($F$15,$A285,0)))</f>
        <v/>
      </c>
      <c r="O285" s="178"/>
      <c r="Q285" s="178">
        <v>0</v>
      </c>
      <c r="R285" s="179"/>
      <c r="S285" s="179"/>
      <c r="T285" s="179"/>
      <c r="U285" s="179"/>
      <c r="V285" s="179"/>
      <c r="W285" s="179"/>
      <c r="X285" s="179"/>
      <c r="Y285" s="179"/>
      <c r="Z285" s="180"/>
      <c r="AA285" s="179"/>
      <c r="AB285" s="179"/>
      <c r="AC285" s="179"/>
      <c r="AD285" s="179"/>
      <c r="AE285" s="179"/>
      <c r="AF285" s="179"/>
      <c r="AG285" s="179"/>
      <c r="AH285" s="180"/>
      <c r="AJ285" s="544">
        <f ca="1">IF(AND($D285="Serviço",AJ$12&lt;&gt;0,$H285&gt;0,OR(AUTOEVENTO&lt;&gt;"manual",$M285&lt;&gt;1)),
IF(Import.TipoArredondamento&lt;&gt;"TransfereGOV",
ROUND(OFFSET($P285,0,AJ$13),15-13*ORÇAMENTO!$AF$7)/$H285*OFFSET(ORÇAMENTO!$X$15,ROW(AJ285)-ROW(AJ$15),0),
ROUND(ROUND(OFFSET($P285,0,AJ$13),15-13*ORÇAMENTO!$AF$7)*OFFSET(ORÇAMENTO!$W$15,ROW(AJ285)-ROW(AJ$15),0),15-13*ORÇAMENTO!$AF$11)),0)</f>
        <v>0</v>
      </c>
      <c r="AK285" s="545">
        <f ca="1">IF(AND($D285="Serviço",AK$12&lt;&gt;0,$H285&gt;0,OR(AUTOEVENTO&lt;&gt;"manual",$M285&lt;&gt;1)),
IF(Import.TipoArredondamento&lt;&gt;"TransfereGOV",
ROUND(OFFSET($P285,0,AK$13),15-13*ORÇAMENTO!$AF$7)/$H285*OFFSET(ORÇAMENTO!$X$15,ROW(AK285)-ROW(AK$15),0),
ROUND(ROUND(OFFSET($P285,0,AK$13),15-13*ORÇAMENTO!$AF$7)*OFFSET(ORÇAMENTO!$W$15,ROW(AK285)-ROW(AK$15),0),15-13*ORÇAMENTO!$AF$11)),0)</f>
        <v>0</v>
      </c>
      <c r="AL285" s="545">
        <f ca="1">IF(AND($D285="Serviço",AL$12&lt;&gt;0,$H285&gt;0,OR(AUTOEVENTO&lt;&gt;"manual",$M285&lt;&gt;1)),
IF(Import.TipoArredondamento&lt;&gt;"TransfereGOV",
ROUND(OFFSET($P285,0,AL$13),15-13*ORÇAMENTO!$AF$7)/$H285*OFFSET(ORÇAMENTO!$X$15,ROW(AL285)-ROW(AL$15),0),
ROUND(ROUND(OFFSET($P285,0,AL$13),15-13*ORÇAMENTO!$AF$7)*OFFSET(ORÇAMENTO!$W$15,ROW(AL285)-ROW(AL$15),0),15-13*ORÇAMENTO!$AF$11)),0)</f>
        <v>0</v>
      </c>
      <c r="AM285" s="545">
        <f ca="1">IF(AND($D285="Serviço",AM$12&lt;&gt;0,$H285&gt;0,OR(AUTOEVENTO&lt;&gt;"manual",$M285&lt;&gt;1)),
IF(Import.TipoArredondamento&lt;&gt;"TransfereGOV",
ROUND(OFFSET($P285,0,AM$13),15-13*ORÇAMENTO!$AF$7)/$H285*OFFSET(ORÇAMENTO!$X$15,ROW(AM285)-ROW(AM$15),0),
ROUND(ROUND(OFFSET($P285,0,AM$13),15-13*ORÇAMENTO!$AF$7)*OFFSET(ORÇAMENTO!$W$15,ROW(AM285)-ROW(AM$15),0),15-13*ORÇAMENTO!$AF$11)),0)</f>
        <v>0</v>
      </c>
      <c r="AN285" s="545">
        <f ca="1">IF(AND($D285="Serviço",AN$12&lt;&gt;0,$H285&gt;0,OR(AUTOEVENTO&lt;&gt;"manual",$M285&lt;&gt;1)),
IF(Import.TipoArredondamento&lt;&gt;"TransfereGOV",
ROUND(OFFSET($P285,0,AN$13),15-13*ORÇAMENTO!$AF$7)/$H285*OFFSET(ORÇAMENTO!$X$15,ROW(AN285)-ROW(AN$15),0),
ROUND(ROUND(OFFSET($P285,0,AN$13),15-13*ORÇAMENTO!$AF$7)*OFFSET(ORÇAMENTO!$W$15,ROW(AN285)-ROW(AN$15),0),15-13*ORÇAMENTO!$AF$11)),0)</f>
        <v>0</v>
      </c>
      <c r="AO285" s="545">
        <f ca="1">IF(AND($D285="Serviço",AO$12&lt;&gt;0,$H285&gt;0,OR(AUTOEVENTO&lt;&gt;"manual",$M285&lt;&gt;1)),
IF(Import.TipoArredondamento&lt;&gt;"TransfereGOV",
ROUND(OFFSET($P285,0,AO$13),15-13*ORÇAMENTO!$AF$7)/$H285*OFFSET(ORÇAMENTO!$X$15,ROW(AO285)-ROW(AO$15),0),
ROUND(ROUND(OFFSET($P285,0,AO$13),15-13*ORÇAMENTO!$AF$7)*OFFSET(ORÇAMENTO!$W$15,ROW(AO285)-ROW(AO$15),0),15-13*ORÇAMENTO!$AF$11)),0)</f>
        <v>0</v>
      </c>
      <c r="AP285" s="545">
        <f ca="1">IF(AND($D285="Serviço",AP$12&lt;&gt;0,$H285&gt;0,OR(AUTOEVENTO&lt;&gt;"manual",$M285&lt;&gt;1)),
IF(Import.TipoArredondamento&lt;&gt;"TransfereGOV",
ROUND(OFFSET($P285,0,AP$13),15-13*ORÇAMENTO!$AF$7)/$H285*OFFSET(ORÇAMENTO!$X$15,ROW(AP285)-ROW(AP$15),0),
ROUND(ROUND(OFFSET($P285,0,AP$13),15-13*ORÇAMENTO!$AF$7)*OFFSET(ORÇAMENTO!$W$15,ROW(AP285)-ROW(AP$15),0),15-13*ORÇAMENTO!$AF$11)),0)</f>
        <v>0</v>
      </c>
      <c r="AQ285" s="545">
        <f ca="1">IF(AND($D285="Serviço",AQ$12&lt;&gt;0,$H285&gt;0,OR(AUTOEVENTO&lt;&gt;"manual",$M285&lt;&gt;1)),
IF(Import.TipoArredondamento&lt;&gt;"TransfereGOV",
ROUND(OFFSET($P285,0,AQ$13),15-13*ORÇAMENTO!$AF$7)/$H285*OFFSET(ORÇAMENTO!$X$15,ROW(AQ285)-ROW(AQ$15),0),
ROUND(ROUND(OFFSET($P285,0,AQ$13),15-13*ORÇAMENTO!$AF$7)*OFFSET(ORÇAMENTO!$W$15,ROW(AQ285)-ROW(AQ$15),0),15-13*ORÇAMENTO!$AF$11)),0)</f>
        <v>0</v>
      </c>
      <c r="AR285" s="545">
        <f ca="1">IF(AND($D285="Serviço",AR$12&lt;&gt;0,$H285&gt;0,OR(AUTOEVENTO&lt;&gt;"manual",$M285&lt;&gt;1)),
IF(Import.TipoArredondamento&lt;&gt;"TransfereGOV",
ROUND(OFFSET($P285,0,AR$13),15-13*ORÇAMENTO!$AF$7)/$H285*OFFSET(ORÇAMENTO!$X$15,ROW(AR285)-ROW(AR$15),0),
ROUND(ROUND(OFFSET($P285,0,AR$13),15-13*ORÇAMENTO!$AF$7)*OFFSET(ORÇAMENTO!$W$15,ROW(AR285)-ROW(AR$15),0),15-13*ORÇAMENTO!$AF$11)),0)</f>
        <v>0</v>
      </c>
      <c r="AS285" s="546">
        <f ca="1">IF(AND($D285="Serviço",AS$12&lt;&gt;0,$H285&gt;0,OR(AUTOEVENTO&lt;&gt;"manual",$M285&lt;&gt;1)),
IF(Import.TipoArredondamento&lt;&gt;"TransfereGOV",
ROUND(OFFSET($P285,0,AS$13),15-13*ORÇAMENTO!$AF$7)/$H285*OFFSET(ORÇAMENTO!$X$15,ROW(AS285)-ROW(AS$15),0),
ROUND(ROUND(OFFSET($P285,0,AS$13),15-13*ORÇAMENTO!$AF$7)*OFFSET(ORÇAMENTO!$W$15,ROW(AS285)-ROW(AS$15),0),15-13*ORÇAMENTO!$AF$11)),0)</f>
        <v>0</v>
      </c>
      <c r="AT285" s="545">
        <f ca="1">IF(AND($D285="Serviço",AT$12&lt;&gt;0,$H285&gt;0,OR(AUTOEVENTO&lt;&gt;"manual",$M285&lt;&gt;1)),
IF(Import.TipoArredondamento&lt;&gt;"TransfereGOV",
ROUND(OFFSET($P285,0,AT$13),15-13*ORÇAMENTO!$AF$7)/$H285*OFFSET(ORÇAMENTO!$X$15,ROW(AT285)-ROW(AT$15),0),
ROUND(ROUND(OFFSET($P285,0,AT$13),15-13*ORÇAMENTO!$AF$7)*OFFSET(ORÇAMENTO!$W$15,ROW(AT285)-ROW(AT$15),0),15-13*ORÇAMENTO!$AF$11)),0)</f>
        <v>0</v>
      </c>
      <c r="AU285" s="545">
        <f ca="1">IF(AND($D285="Serviço",AU$12&lt;&gt;0,$H285&gt;0,OR(AUTOEVENTO&lt;&gt;"manual",$M285&lt;&gt;1)),
IF(Import.TipoArredondamento&lt;&gt;"TransfereGOV",
ROUND(OFFSET($P285,0,AU$13),15-13*ORÇAMENTO!$AF$7)/$H285*OFFSET(ORÇAMENTO!$X$15,ROW(AU285)-ROW(AU$15),0),
ROUND(ROUND(OFFSET($P285,0,AU$13),15-13*ORÇAMENTO!$AF$7)*OFFSET(ORÇAMENTO!$W$15,ROW(AU285)-ROW(AU$15),0),15-13*ORÇAMENTO!$AF$11)),0)</f>
        <v>0</v>
      </c>
      <c r="AV285" s="545">
        <f ca="1">IF(AND($D285="Serviço",AV$12&lt;&gt;0,$H285&gt;0,OR(AUTOEVENTO&lt;&gt;"manual",$M285&lt;&gt;1)),
IF(Import.TipoArredondamento&lt;&gt;"TransfereGOV",
ROUND(OFFSET($P285,0,AV$13),15-13*ORÇAMENTO!$AF$7)/$H285*OFFSET(ORÇAMENTO!$X$15,ROW(AV285)-ROW(AV$15),0),
ROUND(ROUND(OFFSET($P285,0,AV$13),15-13*ORÇAMENTO!$AF$7)*OFFSET(ORÇAMENTO!$W$15,ROW(AV285)-ROW(AV$15),0),15-13*ORÇAMENTO!$AF$11)),0)</f>
        <v>0</v>
      </c>
      <c r="AW285" s="545">
        <f ca="1">IF(AND($D285="Serviço",AW$12&lt;&gt;0,$H285&gt;0,OR(AUTOEVENTO&lt;&gt;"manual",$M285&lt;&gt;1)),
IF(Import.TipoArredondamento&lt;&gt;"TransfereGOV",
ROUND(OFFSET($P285,0,AW$13),15-13*ORÇAMENTO!$AF$7)/$H285*OFFSET(ORÇAMENTO!$X$15,ROW(AW285)-ROW(AW$15),0),
ROUND(ROUND(OFFSET($P285,0,AW$13),15-13*ORÇAMENTO!$AF$7)*OFFSET(ORÇAMENTO!$W$15,ROW(AW285)-ROW(AW$15),0),15-13*ORÇAMENTO!$AF$11)),0)</f>
        <v>0</v>
      </c>
      <c r="AX285" s="545">
        <f ca="1">IF(AND($D285="Serviço",AX$12&lt;&gt;0,$H285&gt;0,OR(AUTOEVENTO&lt;&gt;"manual",$M285&lt;&gt;1)),
IF(Import.TipoArredondamento&lt;&gt;"TransfereGOV",
ROUND(OFFSET($P285,0,AX$13),15-13*ORÇAMENTO!$AF$7)/$H285*OFFSET(ORÇAMENTO!$X$15,ROW(AX285)-ROW(AX$15),0),
ROUND(ROUND(OFFSET($P285,0,AX$13),15-13*ORÇAMENTO!$AF$7)*OFFSET(ORÇAMENTO!$W$15,ROW(AX285)-ROW(AX$15),0),15-13*ORÇAMENTO!$AF$11)),0)</f>
        <v>0</v>
      </c>
      <c r="AY285" s="545">
        <f ca="1">IF(AND($D285="Serviço",AY$12&lt;&gt;0,$H285&gt;0,OR(AUTOEVENTO&lt;&gt;"manual",$M285&lt;&gt;1)),
IF(Import.TipoArredondamento&lt;&gt;"TransfereGOV",
ROUND(OFFSET($P285,0,AY$13),15-13*ORÇAMENTO!$AF$7)/$H285*OFFSET(ORÇAMENTO!$X$15,ROW(AY285)-ROW(AY$15),0),
ROUND(ROUND(OFFSET($P285,0,AY$13),15-13*ORÇAMENTO!$AF$7)*OFFSET(ORÇAMENTO!$W$15,ROW(AY285)-ROW(AY$15),0),15-13*ORÇAMENTO!$AF$11)),0)</f>
        <v>0</v>
      </c>
      <c r="AZ285" s="545">
        <f ca="1">IF(AND($D285="Serviço",AZ$12&lt;&gt;0,$H285&gt;0,OR(AUTOEVENTO&lt;&gt;"manual",$M285&lt;&gt;1)),
IF(Import.TipoArredondamento&lt;&gt;"TransfereGOV",
ROUND(OFFSET($P285,0,AZ$13),15-13*ORÇAMENTO!$AF$7)/$H285*OFFSET(ORÇAMENTO!$X$15,ROW(AZ285)-ROW(AZ$15),0),
ROUND(ROUND(OFFSET($P285,0,AZ$13),15-13*ORÇAMENTO!$AF$7)*OFFSET(ORÇAMENTO!$W$15,ROW(AZ285)-ROW(AZ$15),0),15-13*ORÇAMENTO!$AF$11)),0)</f>
        <v>0</v>
      </c>
      <c r="BA285" s="546">
        <f ca="1">IF(AND($D285="Serviço",BA$12&lt;&gt;0,$H285&gt;0,OR(AUTOEVENTO&lt;&gt;"manual",$M285&lt;&gt;1)),
IF(Import.TipoArredondamento&lt;&gt;"TransfereGOV",
ROUND(OFFSET($P285,0,BA$13),15-13*ORÇAMENTO!$AF$7)/$H285*OFFSET(ORÇAMENTO!$X$15,ROW(BA285)-ROW(BA$15),0),
ROUND(ROUND(OFFSET($P285,0,BA$13),15-13*ORÇAMENTO!$AF$7)*OFFSET(ORÇAMENTO!$W$15,ROW(BA285)-ROW(BA$15),0),15-13*ORÇAMENTO!$AF$11)),0)</f>
        <v>0</v>
      </c>
      <c r="BC285" s="181">
        <f ca="1">IF($D285&lt;&gt;"Serviço",0,IF(AND(AUTOEVENTO="Manual",$M285=1),0,IF(OFFSET(CRONOPLE!$F$14,$M285,BC$13)="",10^12,OFFSET(CRONOPLE!$F$14,$M285,BC$13))))</f>
        <v>0</v>
      </c>
      <c r="BD285" s="181">
        <f ca="1">IF($D285&lt;&gt;"Serviço",0,IF(AND(AUTOEVENTO="Manual",$M285=1),0,IF(OFFSET(CRONOPLE!$F$14,$M285,BD$13)="",10^12,OFFSET(CRONOPLE!$F$14,$M285,BD$13))))</f>
        <v>0</v>
      </c>
      <c r="BE285" s="181">
        <f ca="1">IF($D285&lt;&gt;"Serviço",0,IF(AND(AUTOEVENTO="Manual",$M285=1),0,IF(OFFSET(CRONOPLE!$F$14,$M285,BE$13)="",10^12,OFFSET(CRONOPLE!$F$14,$M285,BE$13))))</f>
        <v>0</v>
      </c>
      <c r="BF285" s="181">
        <f ca="1">IF($D285&lt;&gt;"Serviço",0,IF(AND(AUTOEVENTO="Manual",$M285=1),0,IF(OFFSET(CRONOPLE!$F$14,$M285,BF$13)="",10^12,OFFSET(CRONOPLE!$F$14,$M285,BF$13))))</f>
        <v>0</v>
      </c>
      <c r="BG285" s="181">
        <f ca="1">IF($D285&lt;&gt;"Serviço",0,IF(AND(AUTOEVENTO="Manual",$M285=1),0,IF(OFFSET(CRONOPLE!$F$14,$M285,BG$13)="",10^12,OFFSET(CRONOPLE!$F$14,$M285,BG$13))))</f>
        <v>0</v>
      </c>
      <c r="BH285" s="181">
        <f ca="1">IF($D285&lt;&gt;"Serviço",0,IF(AND(AUTOEVENTO="Manual",$M285=1),0,IF(OFFSET(CRONOPLE!$F$14,$M285,BH$13)="",10^12,OFFSET(CRONOPLE!$F$14,$M285,BH$13))))</f>
        <v>0</v>
      </c>
      <c r="BI285" s="181">
        <f ca="1">IF($D285&lt;&gt;"Serviço",0,IF(AND(AUTOEVENTO="Manual",$M285=1),0,IF(OFFSET(CRONOPLE!$F$14,$M285,BI$13)="",10^12,OFFSET(CRONOPLE!$F$14,$M285,BI$13))))</f>
        <v>0</v>
      </c>
      <c r="BJ285" s="181">
        <f ca="1">IF($D285&lt;&gt;"Serviço",0,IF(AND(AUTOEVENTO="Manual",$M285=1),0,IF(OFFSET(CRONOPLE!$F$14,$M285,BJ$13)="",10^12,OFFSET(CRONOPLE!$F$14,$M285,BJ$13))))</f>
        <v>0</v>
      </c>
      <c r="BK285" s="181">
        <f ca="1">IF($D285&lt;&gt;"Serviço",0,IF(AND(AUTOEVENTO="Manual",$M285=1),0,IF(OFFSET(CRONOPLE!$F$14,$M285,BK$13)="",10^12,OFFSET(CRONOPLE!$F$14,$M285,BK$13))))</f>
        <v>0</v>
      </c>
      <c r="BL285" s="181">
        <f ca="1">IF($D285&lt;&gt;"Serviço",0,IF(AND(AUTOEVENTO="Manual",$M285=1),0,IF(OFFSET(CRONOPLE!$F$14,$M285,BL$13)="",10^12,OFFSET(CRONOPLE!$F$14,$M285,BL$13))))</f>
        <v>0</v>
      </c>
      <c r="BM285" s="181">
        <f ca="1">IF($D285&lt;&gt;"Serviço",0,IF(AND(AUTOEVENTO="Manual",$M285=1),0,IF(OFFSET(CRONOPLE!$F$14,$M285,BM$13)="",10^12,OFFSET(CRONOPLE!$F$14,$M285,BM$13))))</f>
        <v>0</v>
      </c>
      <c r="BN285" s="181">
        <f ca="1">IF($D285&lt;&gt;"Serviço",0,IF(AND(AUTOEVENTO="Manual",$M285=1),0,IF(OFFSET(CRONOPLE!$F$14,$M285,BN$13)="",10^12,OFFSET(CRONOPLE!$F$14,$M285,BN$13))))</f>
        <v>0</v>
      </c>
      <c r="BO285" s="181">
        <f ca="1">IF($D285&lt;&gt;"Serviço",0,IF(AND(AUTOEVENTO="Manual",$M285=1),0,IF(OFFSET(CRONOPLE!$F$14,$M285,BO$13)="",10^12,OFFSET(CRONOPLE!$F$14,$M285,BO$13))))</f>
        <v>0</v>
      </c>
      <c r="BP285" s="181">
        <f ca="1">IF($D285&lt;&gt;"Serviço",0,IF(AND(AUTOEVENTO="Manual",$M285=1),0,IF(OFFSET(CRONOPLE!$F$14,$M285,BP$13)="",10^12,OFFSET(CRONOPLE!$F$14,$M285,BP$13))))</f>
        <v>0</v>
      </c>
      <c r="BQ285" s="181">
        <f ca="1">IF($D285&lt;&gt;"Serviço",0,IF(AND(AUTOEVENTO="Manual",$M285=1),0,IF(OFFSET(CRONOPLE!$F$14,$M285,BQ$13)="",10^12,OFFSET(CRONOPLE!$F$14,$M285,BQ$13))))</f>
        <v>0</v>
      </c>
      <c r="BR285" s="181">
        <f ca="1">IF($D285&lt;&gt;"Serviço",0,IF(AND(AUTOEVENTO="Manual",$M285=1),0,IF(OFFSET(CRONOPLE!$F$14,$M285,BR$13)="",10^12,OFFSET(CRONOPLE!$F$14,$M285,BR$13))))</f>
        <v>0</v>
      </c>
      <c r="BS285" s="181">
        <f ca="1">IF($D285&lt;&gt;"Serviço",0,IF(AND(AUTOEVENTO="Manual",$M285=1),0,IF(OFFSET(CRONOPLE!$F$14,$M285,BS$13)="",10^12,OFFSET(CRONOPLE!$F$14,$M285,BS$13))))</f>
        <v>0</v>
      </c>
      <c r="BT285" s="181">
        <f ca="1">IF($D285&lt;&gt;"Serviço",0,IF(AND(AUTOEVENTO="Manual",$M285=1),0,IF(OFFSET(CRONOPLE!$F$14,$M285,BT$13)="",10^12,OFFSET(CRONOPLE!$F$14,$M285,BT$13))))</f>
        <v>0</v>
      </c>
      <c r="BV285" s="182">
        <f ca="1">IF($D285&lt;&gt;"Serviço",0,IF(OR(AND(AUTOEVENTO="Manual",$M285=1),$M285&gt;(ROW(PLE.lastrow)-ROW(PLE.firstrow))),0,IF(OFFSET(PLE!$G$14,$M285,BV$13)="",10^12,OFFSET(PLE!$G$14,$M285,BV$13))))</f>
        <v>0</v>
      </c>
      <c r="BW285" s="182">
        <f ca="1">IF($D285&lt;&gt;"Serviço",0,IF(OR(AND(AUTOEVENTO="Manual",$M285=1),$M285&gt;(ROW(PLE.lastrow)-ROW(PLE.firstrow))),0,IF(OFFSET(PLE!$G$14,$M285,BW$13)="",10^12,OFFSET(PLE!$G$14,$M285,BW$13))))</f>
        <v>0</v>
      </c>
      <c r="BX285" s="182">
        <f ca="1">IF($D285&lt;&gt;"Serviço",0,IF(OR(AND(AUTOEVENTO="Manual",$M285=1),$M285&gt;(ROW(PLE.lastrow)-ROW(PLE.firstrow))),0,IF(OFFSET(PLE!$G$14,$M285,BX$13)="",10^12,OFFSET(PLE!$G$14,$M285,BX$13))))</f>
        <v>0</v>
      </c>
      <c r="BY285" s="182">
        <f ca="1">IF($D285&lt;&gt;"Serviço",0,IF(OR(AND(AUTOEVENTO="Manual",$M285=1),$M285&gt;(ROW(PLE.lastrow)-ROW(PLE.firstrow))),0,IF(OFFSET(PLE!$G$14,$M285,BY$13)="",10^12,OFFSET(PLE!$G$14,$M285,BY$13))))</f>
        <v>0</v>
      </c>
      <c r="BZ285" s="182">
        <f ca="1">IF($D285&lt;&gt;"Serviço",0,IF(OR(AND(AUTOEVENTO="Manual",$M285=1),$M285&gt;(ROW(PLE.lastrow)-ROW(PLE.firstrow))),0,IF(OFFSET(PLE!$G$14,$M285,BZ$13)="",10^12,OFFSET(PLE!$G$14,$M285,BZ$13))))</f>
        <v>0</v>
      </c>
      <c r="CA285" s="182">
        <f ca="1">IF($D285&lt;&gt;"Serviço",0,IF(OR(AND(AUTOEVENTO="Manual",$M285=1),$M285&gt;(ROW(PLE.lastrow)-ROW(PLE.firstrow))),0,IF(OFFSET(PLE!$G$14,$M285,CA$13)="",10^12,OFFSET(PLE!$G$14,$M285,CA$13))))</f>
        <v>0</v>
      </c>
      <c r="CB285" s="182">
        <f ca="1">IF($D285&lt;&gt;"Serviço",0,IF(OR(AND(AUTOEVENTO="Manual",$M285=1),$M285&gt;(ROW(PLE.lastrow)-ROW(PLE.firstrow))),0,IF(OFFSET(PLE!$G$14,$M285,CB$13)="",10^12,OFFSET(PLE!$G$14,$M285,CB$13))))</f>
        <v>0</v>
      </c>
      <c r="CC285" s="182">
        <f ca="1">IF($D285&lt;&gt;"Serviço",0,IF(OR(AND(AUTOEVENTO="Manual",$M285=1),$M285&gt;(ROW(PLE.lastrow)-ROW(PLE.firstrow))),0,IF(OFFSET(PLE!$G$14,$M285,CC$13)="",10^12,OFFSET(PLE!$G$14,$M285,CC$13))))</f>
        <v>0</v>
      </c>
      <c r="CD285" s="182">
        <f ca="1">IF($D285&lt;&gt;"Serviço",0,IF(OR(AND(AUTOEVENTO="Manual",$M285=1),$M285&gt;(ROW(PLE.lastrow)-ROW(PLE.firstrow))),0,IF(OFFSET(PLE!$G$14,$M285,CD$13)="",10^12,OFFSET(PLE!$G$14,$M285,CD$13))))</f>
        <v>0</v>
      </c>
      <c r="CE285" s="182">
        <f ca="1">IF($D285&lt;&gt;"Serviço",0,IF(OR(AND(AUTOEVENTO="Manual",$M285=1),$M285&gt;(ROW(PLE.lastrow)-ROW(PLE.firstrow))),0,IF(OFFSET(PLE!$G$14,$M285,CE$13)="",10^12,OFFSET(PLE!$G$14,$M285,CE$13))))</f>
        <v>0</v>
      </c>
      <c r="CF285" s="182">
        <f ca="1">IF($D285&lt;&gt;"Serviço",0,IF(OR(AND(AUTOEVENTO="Manual",$M285=1),$M285&gt;(ROW(PLE.lastrow)-ROW(PLE.firstrow))),0,IF(OFFSET(PLE!$G$14,$M285,CF$13)="",10^12,OFFSET(PLE!$G$14,$M285,CF$13))))</f>
        <v>0</v>
      </c>
      <c r="CG285" s="182">
        <f ca="1">IF($D285&lt;&gt;"Serviço",0,IF(OR(AND(AUTOEVENTO="Manual",$M285=1),$M285&gt;(ROW(PLE.lastrow)-ROW(PLE.firstrow))),0,IF(OFFSET(PLE!$G$14,$M285,CG$13)="",10^12,OFFSET(PLE!$G$14,$M285,CG$13))))</f>
        <v>0</v>
      </c>
      <c r="CH285" s="182">
        <f ca="1">IF($D285&lt;&gt;"Serviço",0,IF(OR(AND(AUTOEVENTO="Manual",$M285=1),$M285&gt;(ROW(PLE.lastrow)-ROW(PLE.firstrow))),0,IF(OFFSET(PLE!$G$14,$M285,CH$13)="",10^12,OFFSET(PLE!$G$14,$M285,CH$13))))</f>
        <v>0</v>
      </c>
      <c r="CI285" s="182">
        <f ca="1">IF($D285&lt;&gt;"Serviço",0,IF(OR(AND(AUTOEVENTO="Manual",$M285=1),$M285&gt;(ROW(PLE.lastrow)-ROW(PLE.firstrow))),0,IF(OFFSET(PLE!$G$14,$M285,CI$13)="",10^12,OFFSET(PLE!$G$14,$M285,CI$13))))</f>
        <v>0</v>
      </c>
      <c r="CJ285" s="182">
        <f ca="1">IF($D285&lt;&gt;"Serviço",0,IF(OR(AND(AUTOEVENTO="Manual",$M285=1),$M285&gt;(ROW(PLE.lastrow)-ROW(PLE.firstrow))),0,IF(OFFSET(PLE!$G$14,$M285,CJ$13)="",10^12,OFFSET(PLE!$G$14,$M285,CJ$13))))</f>
        <v>0</v>
      </c>
      <c r="CK285" s="182">
        <f ca="1">IF($D285&lt;&gt;"Serviço",0,IF(OR(AND(AUTOEVENTO="Manual",$M285=1),$M285&gt;(ROW(PLE.lastrow)-ROW(PLE.firstrow))),0,IF(OFFSET(PLE!$G$14,$M285,CK$13)="",10^12,OFFSET(PLE!$G$14,$M285,CK$13))))</f>
        <v>0</v>
      </c>
      <c r="CL285" s="182">
        <f ca="1">IF($D285&lt;&gt;"Serviço",0,IF(OR(AND(AUTOEVENTO="Manual",$M285=1),$M285&gt;(ROW(PLE.lastrow)-ROW(PLE.firstrow))),0,IF(OFFSET(PLE!$G$14,$M285,CL$13)="",10^12,OFFSET(PLE!$G$14,$M285,CL$13))))</f>
        <v>0</v>
      </c>
      <c r="CM285" s="182">
        <f ca="1">IF($D285&lt;&gt;"Serviço",0,IF(OR(AND(AUTOEVENTO="Manual",$M285=1),$M285&gt;(ROW(PLE.lastrow)-ROW(PLE.firstrow))),0,IF(OFFSET(PLE!$G$14,$M285,CM$13)="",10^12,OFFSET(PLE!$G$14,$M285,CM$13))))</f>
        <v>0</v>
      </c>
    </row>
    <row r="286" spans="1:91" ht="38.25" x14ac:dyDescent="0.2">
      <c r="A286" s="7" t="str">
        <f t="shared" ca="1" si="12"/>
        <v>270</v>
      </c>
      <c r="B286" s="7" t="str">
        <f ca="1">OFFSET(ORÇAMENTO!C$15,ROW(B286)-ROW(B$15),0)</f>
        <v>S</v>
      </c>
      <c r="C286" s="7" t="str">
        <f ca="1">OFFSET(ORÇAMENTO!L$15,ROW(C286)-ROW(C$15),0)</f>
        <v/>
      </c>
      <c r="D286" s="118" t="str">
        <f ca="1">OFFSET(ORÇAMENTO!N$15,ROW(D286)-ROW(D$15),0)</f>
        <v>Serviço</v>
      </c>
      <c r="E286" s="119" t="str">
        <f ca="1">OFFSET(ORÇAMENTO!O$15,ROW(E286)-ROW(E$15),0)</f>
        <v>-</v>
      </c>
      <c r="F286" s="172" t="str">
        <f ca="1">OFFSET(ORÇAMENTO!R$15,ROW(F286)-ROW(F$15),0)</f>
        <v>(abra o arquivo 'Referência 06-2024.xlsm)</v>
      </c>
      <c r="G286" s="173" t="str">
        <f ca="1">IF($D286&lt;&gt;"Serviço","",OFFSET(ORÇAMENTO!S$15,ROW(G286)-ROW(G$15),0))</f>
        <v>-</v>
      </c>
      <c r="H286" s="124">
        <f ca="1">IF($D286&lt;&gt;"Serviço",0,IF(ACOMPANHAMENTO="BM",ROUND(OFFSET(ORÇAMENTO!AJ$15,ROW(H286)-ROW(H$15),0),15-13*ORÇAMENTO!$AF$7),SUMPRODUCT(($Q$12:$AI$12&lt;&gt;"")*ROUND($Q286:$AI286,15-13*ORÇAMENTO!$AF$7))))</f>
        <v>8</v>
      </c>
      <c r="I286" s="561" t="s">
        <v>1107</v>
      </c>
      <c r="K286" s="174"/>
      <c r="L286" s="175" t="s">
        <v>255</v>
      </c>
      <c r="M286" s="176">
        <f ca="1">IF($D286&lt;&gt;"Serviço","",IF(AUTOEVENTO="manual",$A286,IF(ISERROR(MATCH($A286,$A$15:OFFSET($A286,-1,0),0)),MAX($M$15:OFFSET(M286,-1,0))+1,INDEX($M$15:OFFSET(M286,-1,0),MATCH($A286,$A$15:OFFSET($A286,-1,0),0)))))</f>
        <v>36</v>
      </c>
      <c r="N286" s="177" t="str">
        <f ca="1">IF($D286&lt;&gt;"Serviço","",IF(AUTOEVENTO="Manual",IF($A286=0,"&lt;-- defina o número do agrupador",OFFSET(EVENTOS!$D$14,$A286,0)),OFFSET($F$15,$A286,0)))</f>
        <v>INSTALAÇÃO HIDRÁULICA - TUBULAÇÕES E CONEXÕES DE METAL</v>
      </c>
      <c r="O286" s="178"/>
      <c r="Q286" s="178">
        <v>8</v>
      </c>
      <c r="R286" s="179"/>
      <c r="S286" s="179"/>
      <c r="T286" s="179"/>
      <c r="U286" s="179"/>
      <c r="V286" s="179"/>
      <c r="W286" s="179"/>
      <c r="X286" s="179"/>
      <c r="Y286" s="179"/>
      <c r="Z286" s="180"/>
      <c r="AA286" s="179"/>
      <c r="AB286" s="179"/>
      <c r="AC286" s="179"/>
      <c r="AD286" s="179"/>
      <c r="AE286" s="179"/>
      <c r="AF286" s="179"/>
      <c r="AG286" s="179"/>
      <c r="AH286" s="180"/>
      <c r="AJ286" s="544">
        <f ca="1">IF(AND($D286="Serviço",AJ$12&lt;&gt;0,$H286&gt;0,OR(AUTOEVENTO&lt;&gt;"manual",$M286&lt;&gt;1)),
IF(Import.TipoArredondamento&lt;&gt;"TransfereGOV",
ROUND(OFFSET($P286,0,AJ$13),15-13*ORÇAMENTO!$AF$7)/$H286*OFFSET(ORÇAMENTO!$X$15,ROW(AJ286)-ROW(AJ$15),0),
ROUND(ROUND(OFFSET($P286,0,AJ$13),15-13*ORÇAMENTO!$AF$7)*OFFSET(ORÇAMENTO!$W$15,ROW(AJ286)-ROW(AJ$15),0),15-13*ORÇAMENTO!$AF$11)),0)</f>
        <v>0</v>
      </c>
      <c r="AK286" s="545">
        <f ca="1">IF(AND($D286="Serviço",AK$12&lt;&gt;0,$H286&gt;0,OR(AUTOEVENTO&lt;&gt;"manual",$M286&lt;&gt;1)),
IF(Import.TipoArredondamento&lt;&gt;"TransfereGOV",
ROUND(OFFSET($P286,0,AK$13),15-13*ORÇAMENTO!$AF$7)/$H286*OFFSET(ORÇAMENTO!$X$15,ROW(AK286)-ROW(AK$15),0),
ROUND(ROUND(OFFSET($P286,0,AK$13),15-13*ORÇAMENTO!$AF$7)*OFFSET(ORÇAMENTO!$W$15,ROW(AK286)-ROW(AK$15),0),15-13*ORÇAMENTO!$AF$11)),0)</f>
        <v>0</v>
      </c>
      <c r="AL286" s="545">
        <f ca="1">IF(AND($D286="Serviço",AL$12&lt;&gt;0,$H286&gt;0,OR(AUTOEVENTO&lt;&gt;"manual",$M286&lt;&gt;1)),
IF(Import.TipoArredondamento&lt;&gt;"TransfereGOV",
ROUND(OFFSET($P286,0,AL$13),15-13*ORÇAMENTO!$AF$7)/$H286*OFFSET(ORÇAMENTO!$X$15,ROW(AL286)-ROW(AL$15),0),
ROUND(ROUND(OFFSET($P286,0,AL$13),15-13*ORÇAMENTO!$AF$7)*OFFSET(ORÇAMENTO!$W$15,ROW(AL286)-ROW(AL$15),0),15-13*ORÇAMENTO!$AF$11)),0)</f>
        <v>0</v>
      </c>
      <c r="AM286" s="545">
        <f ca="1">IF(AND($D286="Serviço",AM$12&lt;&gt;0,$H286&gt;0,OR(AUTOEVENTO&lt;&gt;"manual",$M286&lt;&gt;1)),
IF(Import.TipoArredondamento&lt;&gt;"TransfereGOV",
ROUND(OFFSET($P286,0,AM$13),15-13*ORÇAMENTO!$AF$7)/$H286*OFFSET(ORÇAMENTO!$X$15,ROW(AM286)-ROW(AM$15),0),
ROUND(ROUND(OFFSET($P286,0,AM$13),15-13*ORÇAMENTO!$AF$7)*OFFSET(ORÇAMENTO!$W$15,ROW(AM286)-ROW(AM$15),0),15-13*ORÇAMENTO!$AF$11)),0)</f>
        <v>0</v>
      </c>
      <c r="AN286" s="545">
        <f ca="1">IF(AND($D286="Serviço",AN$12&lt;&gt;0,$H286&gt;0,OR(AUTOEVENTO&lt;&gt;"manual",$M286&lt;&gt;1)),
IF(Import.TipoArredondamento&lt;&gt;"TransfereGOV",
ROUND(OFFSET($P286,0,AN$13),15-13*ORÇAMENTO!$AF$7)/$H286*OFFSET(ORÇAMENTO!$X$15,ROW(AN286)-ROW(AN$15),0),
ROUND(ROUND(OFFSET($P286,0,AN$13),15-13*ORÇAMENTO!$AF$7)*OFFSET(ORÇAMENTO!$W$15,ROW(AN286)-ROW(AN$15),0),15-13*ORÇAMENTO!$AF$11)),0)</f>
        <v>0</v>
      </c>
      <c r="AO286" s="545">
        <f ca="1">IF(AND($D286="Serviço",AO$12&lt;&gt;0,$H286&gt;0,OR(AUTOEVENTO&lt;&gt;"manual",$M286&lt;&gt;1)),
IF(Import.TipoArredondamento&lt;&gt;"TransfereGOV",
ROUND(OFFSET($P286,0,AO$13),15-13*ORÇAMENTO!$AF$7)/$H286*OFFSET(ORÇAMENTO!$X$15,ROW(AO286)-ROW(AO$15),0),
ROUND(ROUND(OFFSET($P286,0,AO$13),15-13*ORÇAMENTO!$AF$7)*OFFSET(ORÇAMENTO!$W$15,ROW(AO286)-ROW(AO$15),0),15-13*ORÇAMENTO!$AF$11)),0)</f>
        <v>0</v>
      </c>
      <c r="AP286" s="545">
        <f ca="1">IF(AND($D286="Serviço",AP$12&lt;&gt;0,$H286&gt;0,OR(AUTOEVENTO&lt;&gt;"manual",$M286&lt;&gt;1)),
IF(Import.TipoArredondamento&lt;&gt;"TransfereGOV",
ROUND(OFFSET($P286,0,AP$13),15-13*ORÇAMENTO!$AF$7)/$H286*OFFSET(ORÇAMENTO!$X$15,ROW(AP286)-ROW(AP$15),0),
ROUND(ROUND(OFFSET($P286,0,AP$13),15-13*ORÇAMENTO!$AF$7)*OFFSET(ORÇAMENTO!$W$15,ROW(AP286)-ROW(AP$15),0),15-13*ORÇAMENTO!$AF$11)),0)</f>
        <v>0</v>
      </c>
      <c r="AQ286" s="545">
        <f ca="1">IF(AND($D286="Serviço",AQ$12&lt;&gt;0,$H286&gt;0,OR(AUTOEVENTO&lt;&gt;"manual",$M286&lt;&gt;1)),
IF(Import.TipoArredondamento&lt;&gt;"TransfereGOV",
ROUND(OFFSET($P286,0,AQ$13),15-13*ORÇAMENTO!$AF$7)/$H286*OFFSET(ORÇAMENTO!$X$15,ROW(AQ286)-ROW(AQ$15),0),
ROUND(ROUND(OFFSET($P286,0,AQ$13),15-13*ORÇAMENTO!$AF$7)*OFFSET(ORÇAMENTO!$W$15,ROW(AQ286)-ROW(AQ$15),0),15-13*ORÇAMENTO!$AF$11)),0)</f>
        <v>0</v>
      </c>
      <c r="AR286" s="545">
        <f ca="1">IF(AND($D286="Serviço",AR$12&lt;&gt;0,$H286&gt;0,OR(AUTOEVENTO&lt;&gt;"manual",$M286&lt;&gt;1)),
IF(Import.TipoArredondamento&lt;&gt;"TransfereGOV",
ROUND(OFFSET($P286,0,AR$13),15-13*ORÇAMENTO!$AF$7)/$H286*OFFSET(ORÇAMENTO!$X$15,ROW(AR286)-ROW(AR$15),0),
ROUND(ROUND(OFFSET($P286,0,AR$13),15-13*ORÇAMENTO!$AF$7)*OFFSET(ORÇAMENTO!$W$15,ROW(AR286)-ROW(AR$15),0),15-13*ORÇAMENTO!$AF$11)),0)</f>
        <v>0</v>
      </c>
      <c r="AS286" s="546">
        <f ca="1">IF(AND($D286="Serviço",AS$12&lt;&gt;0,$H286&gt;0,OR(AUTOEVENTO&lt;&gt;"manual",$M286&lt;&gt;1)),
IF(Import.TipoArredondamento&lt;&gt;"TransfereGOV",
ROUND(OFFSET($P286,0,AS$13),15-13*ORÇAMENTO!$AF$7)/$H286*OFFSET(ORÇAMENTO!$X$15,ROW(AS286)-ROW(AS$15),0),
ROUND(ROUND(OFFSET($P286,0,AS$13),15-13*ORÇAMENTO!$AF$7)*OFFSET(ORÇAMENTO!$W$15,ROW(AS286)-ROW(AS$15),0),15-13*ORÇAMENTO!$AF$11)),0)</f>
        <v>0</v>
      </c>
      <c r="AT286" s="545">
        <f ca="1">IF(AND($D286="Serviço",AT$12&lt;&gt;0,$H286&gt;0,OR(AUTOEVENTO&lt;&gt;"manual",$M286&lt;&gt;1)),
IF(Import.TipoArredondamento&lt;&gt;"TransfereGOV",
ROUND(OFFSET($P286,0,AT$13),15-13*ORÇAMENTO!$AF$7)/$H286*OFFSET(ORÇAMENTO!$X$15,ROW(AT286)-ROW(AT$15),0),
ROUND(ROUND(OFFSET($P286,0,AT$13),15-13*ORÇAMENTO!$AF$7)*OFFSET(ORÇAMENTO!$W$15,ROW(AT286)-ROW(AT$15),0),15-13*ORÇAMENTO!$AF$11)),0)</f>
        <v>0</v>
      </c>
      <c r="AU286" s="545">
        <f ca="1">IF(AND($D286="Serviço",AU$12&lt;&gt;0,$H286&gt;0,OR(AUTOEVENTO&lt;&gt;"manual",$M286&lt;&gt;1)),
IF(Import.TipoArredondamento&lt;&gt;"TransfereGOV",
ROUND(OFFSET($P286,0,AU$13),15-13*ORÇAMENTO!$AF$7)/$H286*OFFSET(ORÇAMENTO!$X$15,ROW(AU286)-ROW(AU$15),0),
ROUND(ROUND(OFFSET($P286,0,AU$13),15-13*ORÇAMENTO!$AF$7)*OFFSET(ORÇAMENTO!$W$15,ROW(AU286)-ROW(AU$15),0),15-13*ORÇAMENTO!$AF$11)),0)</f>
        <v>0</v>
      </c>
      <c r="AV286" s="545">
        <f ca="1">IF(AND($D286="Serviço",AV$12&lt;&gt;0,$H286&gt;0,OR(AUTOEVENTO&lt;&gt;"manual",$M286&lt;&gt;1)),
IF(Import.TipoArredondamento&lt;&gt;"TransfereGOV",
ROUND(OFFSET($P286,0,AV$13),15-13*ORÇAMENTO!$AF$7)/$H286*OFFSET(ORÇAMENTO!$X$15,ROW(AV286)-ROW(AV$15),0),
ROUND(ROUND(OFFSET($P286,0,AV$13),15-13*ORÇAMENTO!$AF$7)*OFFSET(ORÇAMENTO!$W$15,ROW(AV286)-ROW(AV$15),0),15-13*ORÇAMENTO!$AF$11)),0)</f>
        <v>0</v>
      </c>
      <c r="AW286" s="545">
        <f ca="1">IF(AND($D286="Serviço",AW$12&lt;&gt;0,$H286&gt;0,OR(AUTOEVENTO&lt;&gt;"manual",$M286&lt;&gt;1)),
IF(Import.TipoArredondamento&lt;&gt;"TransfereGOV",
ROUND(OFFSET($P286,0,AW$13),15-13*ORÇAMENTO!$AF$7)/$H286*OFFSET(ORÇAMENTO!$X$15,ROW(AW286)-ROW(AW$15),0),
ROUND(ROUND(OFFSET($P286,0,AW$13),15-13*ORÇAMENTO!$AF$7)*OFFSET(ORÇAMENTO!$W$15,ROW(AW286)-ROW(AW$15),0),15-13*ORÇAMENTO!$AF$11)),0)</f>
        <v>0</v>
      </c>
      <c r="AX286" s="545">
        <f ca="1">IF(AND($D286="Serviço",AX$12&lt;&gt;0,$H286&gt;0,OR(AUTOEVENTO&lt;&gt;"manual",$M286&lt;&gt;1)),
IF(Import.TipoArredondamento&lt;&gt;"TransfereGOV",
ROUND(OFFSET($P286,0,AX$13),15-13*ORÇAMENTO!$AF$7)/$H286*OFFSET(ORÇAMENTO!$X$15,ROW(AX286)-ROW(AX$15),0),
ROUND(ROUND(OFFSET($P286,0,AX$13),15-13*ORÇAMENTO!$AF$7)*OFFSET(ORÇAMENTO!$W$15,ROW(AX286)-ROW(AX$15),0),15-13*ORÇAMENTO!$AF$11)),0)</f>
        <v>0</v>
      </c>
      <c r="AY286" s="545">
        <f ca="1">IF(AND($D286="Serviço",AY$12&lt;&gt;0,$H286&gt;0,OR(AUTOEVENTO&lt;&gt;"manual",$M286&lt;&gt;1)),
IF(Import.TipoArredondamento&lt;&gt;"TransfereGOV",
ROUND(OFFSET($P286,0,AY$13),15-13*ORÇAMENTO!$AF$7)/$H286*OFFSET(ORÇAMENTO!$X$15,ROW(AY286)-ROW(AY$15),0),
ROUND(ROUND(OFFSET($P286,0,AY$13),15-13*ORÇAMENTO!$AF$7)*OFFSET(ORÇAMENTO!$W$15,ROW(AY286)-ROW(AY$15),0),15-13*ORÇAMENTO!$AF$11)),0)</f>
        <v>0</v>
      </c>
      <c r="AZ286" s="545">
        <f ca="1">IF(AND($D286="Serviço",AZ$12&lt;&gt;0,$H286&gt;0,OR(AUTOEVENTO&lt;&gt;"manual",$M286&lt;&gt;1)),
IF(Import.TipoArredondamento&lt;&gt;"TransfereGOV",
ROUND(OFFSET($P286,0,AZ$13),15-13*ORÇAMENTO!$AF$7)/$H286*OFFSET(ORÇAMENTO!$X$15,ROW(AZ286)-ROW(AZ$15),0),
ROUND(ROUND(OFFSET($P286,0,AZ$13),15-13*ORÇAMENTO!$AF$7)*OFFSET(ORÇAMENTO!$W$15,ROW(AZ286)-ROW(AZ$15),0),15-13*ORÇAMENTO!$AF$11)),0)</f>
        <v>0</v>
      </c>
      <c r="BA286" s="546">
        <f ca="1">IF(AND($D286="Serviço",BA$12&lt;&gt;0,$H286&gt;0,OR(AUTOEVENTO&lt;&gt;"manual",$M286&lt;&gt;1)),
IF(Import.TipoArredondamento&lt;&gt;"TransfereGOV",
ROUND(OFFSET($P286,0,BA$13),15-13*ORÇAMENTO!$AF$7)/$H286*OFFSET(ORÇAMENTO!$X$15,ROW(BA286)-ROW(BA$15),0),
ROUND(ROUND(OFFSET($P286,0,BA$13),15-13*ORÇAMENTO!$AF$7)*OFFSET(ORÇAMENTO!$W$15,ROW(BA286)-ROW(BA$15),0),15-13*ORÇAMENTO!$AF$11)),0)</f>
        <v>0</v>
      </c>
      <c r="BC286" s="181">
        <f ca="1">IF($D286&lt;&gt;"Serviço",0,IF(AND(AUTOEVENTO="Manual",$M286=1),0,IF(OFFSET(CRONOPLE!$F$14,$M286,BC$13)="",10^12,OFFSET(CRONOPLE!$F$14,$M286,BC$13))))</f>
        <v>9</v>
      </c>
      <c r="BD286" s="181">
        <f ca="1">IF($D286&lt;&gt;"Serviço",0,IF(AND(AUTOEVENTO="Manual",$M286=1),0,IF(OFFSET(CRONOPLE!$F$14,$M286,BD$13)="",10^12,OFFSET(CRONOPLE!$F$14,$M286,BD$13))))</f>
        <v>1000000000000</v>
      </c>
      <c r="BE286" s="181">
        <f ca="1">IF($D286&lt;&gt;"Serviço",0,IF(AND(AUTOEVENTO="Manual",$M286=1),0,IF(OFFSET(CRONOPLE!$F$14,$M286,BE$13)="",10^12,OFFSET(CRONOPLE!$F$14,$M286,BE$13))))</f>
        <v>1000000000000</v>
      </c>
      <c r="BF286" s="181">
        <f ca="1">IF($D286&lt;&gt;"Serviço",0,IF(AND(AUTOEVENTO="Manual",$M286=1),0,IF(OFFSET(CRONOPLE!$F$14,$M286,BF$13)="",10^12,OFFSET(CRONOPLE!$F$14,$M286,BF$13))))</f>
        <v>1000000000000</v>
      </c>
      <c r="BG286" s="181">
        <f ca="1">IF($D286&lt;&gt;"Serviço",0,IF(AND(AUTOEVENTO="Manual",$M286=1),0,IF(OFFSET(CRONOPLE!$F$14,$M286,BG$13)="",10^12,OFFSET(CRONOPLE!$F$14,$M286,BG$13))))</f>
        <v>1000000000000</v>
      </c>
      <c r="BH286" s="181">
        <f ca="1">IF($D286&lt;&gt;"Serviço",0,IF(AND(AUTOEVENTO="Manual",$M286=1),0,IF(OFFSET(CRONOPLE!$F$14,$M286,BH$13)="",10^12,OFFSET(CRONOPLE!$F$14,$M286,BH$13))))</f>
        <v>1000000000000</v>
      </c>
      <c r="BI286" s="181">
        <f ca="1">IF($D286&lt;&gt;"Serviço",0,IF(AND(AUTOEVENTO="Manual",$M286=1),0,IF(OFFSET(CRONOPLE!$F$14,$M286,BI$13)="",10^12,OFFSET(CRONOPLE!$F$14,$M286,BI$13))))</f>
        <v>1000000000000</v>
      </c>
      <c r="BJ286" s="181">
        <f ca="1">IF($D286&lt;&gt;"Serviço",0,IF(AND(AUTOEVENTO="Manual",$M286=1),0,IF(OFFSET(CRONOPLE!$F$14,$M286,BJ$13)="",10^12,OFFSET(CRONOPLE!$F$14,$M286,BJ$13))))</f>
        <v>1000000000000</v>
      </c>
      <c r="BK286" s="181">
        <f ca="1">IF($D286&lt;&gt;"Serviço",0,IF(AND(AUTOEVENTO="Manual",$M286=1),0,IF(OFFSET(CRONOPLE!$F$14,$M286,BK$13)="",10^12,OFFSET(CRONOPLE!$F$14,$M286,BK$13))))</f>
        <v>1000000000000</v>
      </c>
      <c r="BL286" s="181">
        <f ca="1">IF($D286&lt;&gt;"Serviço",0,IF(AND(AUTOEVENTO="Manual",$M286=1),0,IF(OFFSET(CRONOPLE!$F$14,$M286,BL$13)="",10^12,OFFSET(CRONOPLE!$F$14,$M286,BL$13))))</f>
        <v>1000000000000</v>
      </c>
      <c r="BM286" s="181">
        <f ca="1">IF($D286&lt;&gt;"Serviço",0,IF(AND(AUTOEVENTO="Manual",$M286=1),0,IF(OFFSET(CRONOPLE!$F$14,$M286,BM$13)="",10^12,OFFSET(CRONOPLE!$F$14,$M286,BM$13))))</f>
        <v>1000000000000</v>
      </c>
      <c r="BN286" s="181">
        <f ca="1">IF($D286&lt;&gt;"Serviço",0,IF(AND(AUTOEVENTO="Manual",$M286=1),0,IF(OFFSET(CRONOPLE!$F$14,$M286,BN$13)="",10^12,OFFSET(CRONOPLE!$F$14,$M286,BN$13))))</f>
        <v>1000000000000</v>
      </c>
      <c r="BO286" s="181">
        <f ca="1">IF($D286&lt;&gt;"Serviço",0,IF(AND(AUTOEVENTO="Manual",$M286=1),0,IF(OFFSET(CRONOPLE!$F$14,$M286,BO$13)="",10^12,OFFSET(CRONOPLE!$F$14,$M286,BO$13))))</f>
        <v>1000000000000</v>
      </c>
      <c r="BP286" s="181">
        <f ca="1">IF($D286&lt;&gt;"Serviço",0,IF(AND(AUTOEVENTO="Manual",$M286=1),0,IF(OFFSET(CRONOPLE!$F$14,$M286,BP$13)="",10^12,OFFSET(CRONOPLE!$F$14,$M286,BP$13))))</f>
        <v>1000000000000</v>
      </c>
      <c r="BQ286" s="181">
        <f ca="1">IF($D286&lt;&gt;"Serviço",0,IF(AND(AUTOEVENTO="Manual",$M286=1),0,IF(OFFSET(CRONOPLE!$F$14,$M286,BQ$13)="",10^12,OFFSET(CRONOPLE!$F$14,$M286,BQ$13))))</f>
        <v>1000000000000</v>
      </c>
      <c r="BR286" s="181">
        <f ca="1">IF($D286&lt;&gt;"Serviço",0,IF(AND(AUTOEVENTO="Manual",$M286=1),0,IF(OFFSET(CRONOPLE!$F$14,$M286,BR$13)="",10^12,OFFSET(CRONOPLE!$F$14,$M286,BR$13))))</f>
        <v>1000000000000</v>
      </c>
      <c r="BS286" s="181">
        <f ca="1">IF($D286&lt;&gt;"Serviço",0,IF(AND(AUTOEVENTO="Manual",$M286=1),0,IF(OFFSET(CRONOPLE!$F$14,$M286,BS$13)="",10^12,OFFSET(CRONOPLE!$F$14,$M286,BS$13))))</f>
        <v>1000000000000</v>
      </c>
      <c r="BT286" s="181">
        <f ca="1">IF($D286&lt;&gt;"Serviço",0,IF(AND(AUTOEVENTO="Manual",$M286=1),0,IF(OFFSET(CRONOPLE!$F$14,$M286,BT$13)="",10^12,OFFSET(CRONOPLE!$F$14,$M286,BT$13))))</f>
        <v>1000000000000</v>
      </c>
      <c r="BV286" s="182">
        <f ca="1">IF($D286&lt;&gt;"Serviço",0,IF(OR(AND(AUTOEVENTO="Manual",$M286=1),$M286&gt;(ROW(PLE.lastrow)-ROW(PLE.firstrow))),0,IF(OFFSET(PLE!$G$14,$M286,BV$13)="",10^12,OFFSET(PLE!$G$14,$M286,BV$13))))</f>
        <v>1000000000000</v>
      </c>
      <c r="BW286" s="182">
        <f ca="1">IF($D286&lt;&gt;"Serviço",0,IF(OR(AND(AUTOEVENTO="Manual",$M286=1),$M286&gt;(ROW(PLE.lastrow)-ROW(PLE.firstrow))),0,IF(OFFSET(PLE!$G$14,$M286,BW$13)="",10^12,OFFSET(PLE!$G$14,$M286,BW$13))))</f>
        <v>1000000000000</v>
      </c>
      <c r="BX286" s="182">
        <f ca="1">IF($D286&lt;&gt;"Serviço",0,IF(OR(AND(AUTOEVENTO="Manual",$M286=1),$M286&gt;(ROW(PLE.lastrow)-ROW(PLE.firstrow))),0,IF(OFFSET(PLE!$G$14,$M286,BX$13)="",10^12,OFFSET(PLE!$G$14,$M286,BX$13))))</f>
        <v>1000000000000</v>
      </c>
      <c r="BY286" s="182">
        <f ca="1">IF($D286&lt;&gt;"Serviço",0,IF(OR(AND(AUTOEVENTO="Manual",$M286=1),$M286&gt;(ROW(PLE.lastrow)-ROW(PLE.firstrow))),0,IF(OFFSET(PLE!$G$14,$M286,BY$13)="",10^12,OFFSET(PLE!$G$14,$M286,BY$13))))</f>
        <v>1000000000000</v>
      </c>
      <c r="BZ286" s="182">
        <f ca="1">IF($D286&lt;&gt;"Serviço",0,IF(OR(AND(AUTOEVENTO="Manual",$M286=1),$M286&gt;(ROW(PLE.lastrow)-ROW(PLE.firstrow))),0,IF(OFFSET(PLE!$G$14,$M286,BZ$13)="",10^12,OFFSET(PLE!$G$14,$M286,BZ$13))))</f>
        <v>1000000000000</v>
      </c>
      <c r="CA286" s="182">
        <f ca="1">IF($D286&lt;&gt;"Serviço",0,IF(OR(AND(AUTOEVENTO="Manual",$M286=1),$M286&gt;(ROW(PLE.lastrow)-ROW(PLE.firstrow))),0,IF(OFFSET(PLE!$G$14,$M286,CA$13)="",10^12,OFFSET(PLE!$G$14,$M286,CA$13))))</f>
        <v>1000000000000</v>
      </c>
      <c r="CB286" s="182">
        <f ca="1">IF($D286&lt;&gt;"Serviço",0,IF(OR(AND(AUTOEVENTO="Manual",$M286=1),$M286&gt;(ROW(PLE.lastrow)-ROW(PLE.firstrow))),0,IF(OFFSET(PLE!$G$14,$M286,CB$13)="",10^12,OFFSET(PLE!$G$14,$M286,CB$13))))</f>
        <v>1000000000000</v>
      </c>
      <c r="CC286" s="182">
        <f ca="1">IF($D286&lt;&gt;"Serviço",0,IF(OR(AND(AUTOEVENTO="Manual",$M286=1),$M286&gt;(ROW(PLE.lastrow)-ROW(PLE.firstrow))),0,IF(OFFSET(PLE!$G$14,$M286,CC$13)="",10^12,OFFSET(PLE!$G$14,$M286,CC$13))))</f>
        <v>1000000000000</v>
      </c>
      <c r="CD286" s="182">
        <f ca="1">IF($D286&lt;&gt;"Serviço",0,IF(OR(AND(AUTOEVENTO="Manual",$M286=1),$M286&gt;(ROW(PLE.lastrow)-ROW(PLE.firstrow))),0,IF(OFFSET(PLE!$G$14,$M286,CD$13)="",10^12,OFFSET(PLE!$G$14,$M286,CD$13))))</f>
        <v>1000000000000</v>
      </c>
      <c r="CE286" s="182">
        <f ca="1">IF($D286&lt;&gt;"Serviço",0,IF(OR(AND(AUTOEVENTO="Manual",$M286=1),$M286&gt;(ROW(PLE.lastrow)-ROW(PLE.firstrow))),0,IF(OFFSET(PLE!$G$14,$M286,CE$13)="",10^12,OFFSET(PLE!$G$14,$M286,CE$13))))</f>
        <v>1000000000000</v>
      </c>
      <c r="CF286" s="182">
        <f ca="1">IF($D286&lt;&gt;"Serviço",0,IF(OR(AND(AUTOEVENTO="Manual",$M286=1),$M286&gt;(ROW(PLE.lastrow)-ROW(PLE.firstrow))),0,IF(OFFSET(PLE!$G$14,$M286,CF$13)="",10^12,OFFSET(PLE!$G$14,$M286,CF$13))))</f>
        <v>1000000000000</v>
      </c>
      <c r="CG286" s="182">
        <f ca="1">IF($D286&lt;&gt;"Serviço",0,IF(OR(AND(AUTOEVENTO="Manual",$M286=1),$M286&gt;(ROW(PLE.lastrow)-ROW(PLE.firstrow))),0,IF(OFFSET(PLE!$G$14,$M286,CG$13)="",10^12,OFFSET(PLE!$G$14,$M286,CG$13))))</f>
        <v>1000000000000</v>
      </c>
      <c r="CH286" s="182">
        <f ca="1">IF($D286&lt;&gt;"Serviço",0,IF(OR(AND(AUTOEVENTO="Manual",$M286=1),$M286&gt;(ROW(PLE.lastrow)-ROW(PLE.firstrow))),0,IF(OFFSET(PLE!$G$14,$M286,CH$13)="",10^12,OFFSET(PLE!$G$14,$M286,CH$13))))</f>
        <v>1000000000000</v>
      </c>
      <c r="CI286" s="182">
        <f ca="1">IF($D286&lt;&gt;"Serviço",0,IF(OR(AND(AUTOEVENTO="Manual",$M286=1),$M286&gt;(ROW(PLE.lastrow)-ROW(PLE.firstrow))),0,IF(OFFSET(PLE!$G$14,$M286,CI$13)="",10^12,OFFSET(PLE!$G$14,$M286,CI$13))))</f>
        <v>1000000000000</v>
      </c>
      <c r="CJ286" s="182">
        <f ca="1">IF($D286&lt;&gt;"Serviço",0,IF(OR(AND(AUTOEVENTO="Manual",$M286=1),$M286&gt;(ROW(PLE.lastrow)-ROW(PLE.firstrow))),0,IF(OFFSET(PLE!$G$14,$M286,CJ$13)="",10^12,OFFSET(PLE!$G$14,$M286,CJ$13))))</f>
        <v>1000000000000</v>
      </c>
      <c r="CK286" s="182">
        <f ca="1">IF($D286&lt;&gt;"Serviço",0,IF(OR(AND(AUTOEVENTO="Manual",$M286=1),$M286&gt;(ROW(PLE.lastrow)-ROW(PLE.firstrow))),0,IF(OFFSET(PLE!$G$14,$M286,CK$13)="",10^12,OFFSET(PLE!$G$14,$M286,CK$13))))</f>
        <v>1000000000000</v>
      </c>
      <c r="CL286" s="182">
        <f ca="1">IF($D286&lt;&gt;"Serviço",0,IF(OR(AND(AUTOEVENTO="Manual",$M286=1),$M286&gt;(ROW(PLE.lastrow)-ROW(PLE.firstrow))),0,IF(OFFSET(PLE!$G$14,$M286,CL$13)="",10^12,OFFSET(PLE!$G$14,$M286,CL$13))))</f>
        <v>1000000000000</v>
      </c>
      <c r="CM286" s="182">
        <f ca="1">IF($D286&lt;&gt;"Serviço",0,IF(OR(AND(AUTOEVENTO="Manual",$M286=1),$M286&gt;(ROW(PLE.lastrow)-ROW(PLE.firstrow))),0,IF(OFFSET(PLE!$G$14,$M286,CM$13)="",10^12,OFFSET(PLE!$G$14,$M286,CM$13))))</f>
        <v>1000000000000</v>
      </c>
    </row>
    <row r="287" spans="1:91" ht="38.25" x14ac:dyDescent="0.2">
      <c r="A287" s="7" t="str">
        <f t="shared" ca="1" si="12"/>
        <v>270</v>
      </c>
      <c r="B287" s="7" t="str">
        <f ca="1">OFFSET(ORÇAMENTO!C$15,ROW(B287)-ROW(B$15),0)</f>
        <v>S</v>
      </c>
      <c r="C287" s="7" t="str">
        <f ca="1">OFFSET(ORÇAMENTO!L$15,ROW(C287)-ROW(C$15),0)</f>
        <v/>
      </c>
      <c r="D287" s="118" t="str">
        <f ca="1">OFFSET(ORÇAMENTO!N$15,ROW(D287)-ROW(D$15),0)</f>
        <v>Serviço</v>
      </c>
      <c r="E287" s="119" t="str">
        <f ca="1">OFFSET(ORÇAMENTO!O$15,ROW(E287)-ROW(E$15),0)</f>
        <v>-</v>
      </c>
      <c r="F287" s="172" t="str">
        <f ca="1">OFFSET(ORÇAMENTO!R$15,ROW(F287)-ROW(F$15),0)</f>
        <v>(abra o arquivo 'Referência 06-2024.xlsm)</v>
      </c>
      <c r="G287" s="173" t="str">
        <f ca="1">IF($D287&lt;&gt;"Serviço","",OFFSET(ORÇAMENTO!S$15,ROW(G287)-ROW(G$15),0))</f>
        <v>-</v>
      </c>
      <c r="H287" s="124">
        <f ca="1">IF($D287&lt;&gt;"Serviço",0,IF(ACOMPANHAMENTO="BM",ROUND(OFFSET(ORÇAMENTO!AJ$15,ROW(H287)-ROW(H$15),0),15-13*ORÇAMENTO!$AF$7),SUMPRODUCT(($Q$12:$AI$12&lt;&gt;"")*ROUND($Q287:$AI287,15-13*ORÇAMENTO!$AF$7))))</f>
        <v>16</v>
      </c>
      <c r="I287" s="561" t="s">
        <v>1107</v>
      </c>
      <c r="K287" s="174"/>
      <c r="L287" s="175" t="s">
        <v>255</v>
      </c>
      <c r="M287" s="176">
        <f ca="1">IF($D287&lt;&gt;"Serviço","",IF(AUTOEVENTO="manual",$A287,IF(ISERROR(MATCH($A287,$A$15:OFFSET($A287,-1,0),0)),MAX($M$15:OFFSET(M287,-1,0))+1,INDEX($M$15:OFFSET(M287,-1,0),MATCH($A287,$A$15:OFFSET($A287,-1,0),0)))))</f>
        <v>36</v>
      </c>
      <c r="N287" s="177" t="str">
        <f ca="1">IF($D287&lt;&gt;"Serviço","",IF(AUTOEVENTO="Manual",IF($A287=0,"&lt;-- defina o número do agrupador",OFFSET(EVENTOS!$D$14,$A287,0)),OFFSET($F$15,$A287,0)))</f>
        <v>INSTALAÇÃO HIDRÁULICA - TUBULAÇÕES E CONEXÕES DE METAL</v>
      </c>
      <c r="O287" s="178"/>
      <c r="Q287" s="178">
        <v>16</v>
      </c>
      <c r="R287" s="179"/>
      <c r="S287" s="179"/>
      <c r="T287" s="179"/>
      <c r="U287" s="179"/>
      <c r="V287" s="179"/>
      <c r="W287" s="179"/>
      <c r="X287" s="179"/>
      <c r="Y287" s="179"/>
      <c r="Z287" s="180"/>
      <c r="AA287" s="179"/>
      <c r="AB287" s="179"/>
      <c r="AC287" s="179"/>
      <c r="AD287" s="179"/>
      <c r="AE287" s="179"/>
      <c r="AF287" s="179"/>
      <c r="AG287" s="179"/>
      <c r="AH287" s="180"/>
      <c r="AJ287" s="544">
        <f ca="1">IF(AND($D287="Serviço",AJ$12&lt;&gt;0,$H287&gt;0,OR(AUTOEVENTO&lt;&gt;"manual",$M287&lt;&gt;1)),
IF(Import.TipoArredondamento&lt;&gt;"TransfereGOV",
ROUND(OFFSET($P287,0,AJ$13),15-13*ORÇAMENTO!$AF$7)/$H287*OFFSET(ORÇAMENTO!$X$15,ROW(AJ287)-ROW(AJ$15),0),
ROUND(ROUND(OFFSET($P287,0,AJ$13),15-13*ORÇAMENTO!$AF$7)*OFFSET(ORÇAMENTO!$W$15,ROW(AJ287)-ROW(AJ$15),0),15-13*ORÇAMENTO!$AF$11)),0)</f>
        <v>0</v>
      </c>
      <c r="AK287" s="545">
        <f ca="1">IF(AND($D287="Serviço",AK$12&lt;&gt;0,$H287&gt;0,OR(AUTOEVENTO&lt;&gt;"manual",$M287&lt;&gt;1)),
IF(Import.TipoArredondamento&lt;&gt;"TransfereGOV",
ROUND(OFFSET($P287,0,AK$13),15-13*ORÇAMENTO!$AF$7)/$H287*OFFSET(ORÇAMENTO!$X$15,ROW(AK287)-ROW(AK$15),0),
ROUND(ROUND(OFFSET($P287,0,AK$13),15-13*ORÇAMENTO!$AF$7)*OFFSET(ORÇAMENTO!$W$15,ROW(AK287)-ROW(AK$15),0),15-13*ORÇAMENTO!$AF$11)),0)</f>
        <v>0</v>
      </c>
      <c r="AL287" s="545">
        <f ca="1">IF(AND($D287="Serviço",AL$12&lt;&gt;0,$H287&gt;0,OR(AUTOEVENTO&lt;&gt;"manual",$M287&lt;&gt;1)),
IF(Import.TipoArredondamento&lt;&gt;"TransfereGOV",
ROUND(OFFSET($P287,0,AL$13),15-13*ORÇAMENTO!$AF$7)/$H287*OFFSET(ORÇAMENTO!$X$15,ROW(AL287)-ROW(AL$15),0),
ROUND(ROUND(OFFSET($P287,0,AL$13),15-13*ORÇAMENTO!$AF$7)*OFFSET(ORÇAMENTO!$W$15,ROW(AL287)-ROW(AL$15),0),15-13*ORÇAMENTO!$AF$11)),0)</f>
        <v>0</v>
      </c>
      <c r="AM287" s="545">
        <f ca="1">IF(AND($D287="Serviço",AM$12&lt;&gt;0,$H287&gt;0,OR(AUTOEVENTO&lt;&gt;"manual",$M287&lt;&gt;1)),
IF(Import.TipoArredondamento&lt;&gt;"TransfereGOV",
ROUND(OFFSET($P287,0,AM$13),15-13*ORÇAMENTO!$AF$7)/$H287*OFFSET(ORÇAMENTO!$X$15,ROW(AM287)-ROW(AM$15),0),
ROUND(ROUND(OFFSET($P287,0,AM$13),15-13*ORÇAMENTO!$AF$7)*OFFSET(ORÇAMENTO!$W$15,ROW(AM287)-ROW(AM$15),0),15-13*ORÇAMENTO!$AF$11)),0)</f>
        <v>0</v>
      </c>
      <c r="AN287" s="545">
        <f ca="1">IF(AND($D287="Serviço",AN$12&lt;&gt;0,$H287&gt;0,OR(AUTOEVENTO&lt;&gt;"manual",$M287&lt;&gt;1)),
IF(Import.TipoArredondamento&lt;&gt;"TransfereGOV",
ROUND(OFFSET($P287,0,AN$13),15-13*ORÇAMENTO!$AF$7)/$H287*OFFSET(ORÇAMENTO!$X$15,ROW(AN287)-ROW(AN$15),0),
ROUND(ROUND(OFFSET($P287,0,AN$13),15-13*ORÇAMENTO!$AF$7)*OFFSET(ORÇAMENTO!$W$15,ROW(AN287)-ROW(AN$15),0),15-13*ORÇAMENTO!$AF$11)),0)</f>
        <v>0</v>
      </c>
      <c r="AO287" s="545">
        <f ca="1">IF(AND($D287="Serviço",AO$12&lt;&gt;0,$H287&gt;0,OR(AUTOEVENTO&lt;&gt;"manual",$M287&lt;&gt;1)),
IF(Import.TipoArredondamento&lt;&gt;"TransfereGOV",
ROUND(OFFSET($P287,0,AO$13),15-13*ORÇAMENTO!$AF$7)/$H287*OFFSET(ORÇAMENTO!$X$15,ROW(AO287)-ROW(AO$15),0),
ROUND(ROUND(OFFSET($P287,0,AO$13),15-13*ORÇAMENTO!$AF$7)*OFFSET(ORÇAMENTO!$W$15,ROW(AO287)-ROW(AO$15),0),15-13*ORÇAMENTO!$AF$11)),0)</f>
        <v>0</v>
      </c>
      <c r="AP287" s="545">
        <f ca="1">IF(AND($D287="Serviço",AP$12&lt;&gt;0,$H287&gt;0,OR(AUTOEVENTO&lt;&gt;"manual",$M287&lt;&gt;1)),
IF(Import.TipoArredondamento&lt;&gt;"TransfereGOV",
ROUND(OFFSET($P287,0,AP$13),15-13*ORÇAMENTO!$AF$7)/$H287*OFFSET(ORÇAMENTO!$X$15,ROW(AP287)-ROW(AP$15),0),
ROUND(ROUND(OFFSET($P287,0,AP$13),15-13*ORÇAMENTO!$AF$7)*OFFSET(ORÇAMENTO!$W$15,ROW(AP287)-ROW(AP$15),0),15-13*ORÇAMENTO!$AF$11)),0)</f>
        <v>0</v>
      </c>
      <c r="AQ287" s="545">
        <f ca="1">IF(AND($D287="Serviço",AQ$12&lt;&gt;0,$H287&gt;0,OR(AUTOEVENTO&lt;&gt;"manual",$M287&lt;&gt;1)),
IF(Import.TipoArredondamento&lt;&gt;"TransfereGOV",
ROUND(OFFSET($P287,0,AQ$13),15-13*ORÇAMENTO!$AF$7)/$H287*OFFSET(ORÇAMENTO!$X$15,ROW(AQ287)-ROW(AQ$15),0),
ROUND(ROUND(OFFSET($P287,0,AQ$13),15-13*ORÇAMENTO!$AF$7)*OFFSET(ORÇAMENTO!$W$15,ROW(AQ287)-ROW(AQ$15),0),15-13*ORÇAMENTO!$AF$11)),0)</f>
        <v>0</v>
      </c>
      <c r="AR287" s="545">
        <f ca="1">IF(AND($D287="Serviço",AR$12&lt;&gt;0,$H287&gt;0,OR(AUTOEVENTO&lt;&gt;"manual",$M287&lt;&gt;1)),
IF(Import.TipoArredondamento&lt;&gt;"TransfereGOV",
ROUND(OFFSET($P287,0,AR$13),15-13*ORÇAMENTO!$AF$7)/$H287*OFFSET(ORÇAMENTO!$X$15,ROW(AR287)-ROW(AR$15),0),
ROUND(ROUND(OFFSET($P287,0,AR$13),15-13*ORÇAMENTO!$AF$7)*OFFSET(ORÇAMENTO!$W$15,ROW(AR287)-ROW(AR$15),0),15-13*ORÇAMENTO!$AF$11)),0)</f>
        <v>0</v>
      </c>
      <c r="AS287" s="546">
        <f ca="1">IF(AND($D287="Serviço",AS$12&lt;&gt;0,$H287&gt;0,OR(AUTOEVENTO&lt;&gt;"manual",$M287&lt;&gt;1)),
IF(Import.TipoArredondamento&lt;&gt;"TransfereGOV",
ROUND(OFFSET($P287,0,AS$13),15-13*ORÇAMENTO!$AF$7)/$H287*OFFSET(ORÇAMENTO!$X$15,ROW(AS287)-ROW(AS$15),0),
ROUND(ROUND(OFFSET($P287,0,AS$13),15-13*ORÇAMENTO!$AF$7)*OFFSET(ORÇAMENTO!$W$15,ROW(AS287)-ROW(AS$15),0),15-13*ORÇAMENTO!$AF$11)),0)</f>
        <v>0</v>
      </c>
      <c r="AT287" s="545">
        <f ca="1">IF(AND($D287="Serviço",AT$12&lt;&gt;0,$H287&gt;0,OR(AUTOEVENTO&lt;&gt;"manual",$M287&lt;&gt;1)),
IF(Import.TipoArredondamento&lt;&gt;"TransfereGOV",
ROUND(OFFSET($P287,0,AT$13),15-13*ORÇAMENTO!$AF$7)/$H287*OFFSET(ORÇAMENTO!$X$15,ROW(AT287)-ROW(AT$15),0),
ROUND(ROUND(OFFSET($P287,0,AT$13),15-13*ORÇAMENTO!$AF$7)*OFFSET(ORÇAMENTO!$W$15,ROW(AT287)-ROW(AT$15),0),15-13*ORÇAMENTO!$AF$11)),0)</f>
        <v>0</v>
      </c>
      <c r="AU287" s="545">
        <f ca="1">IF(AND($D287="Serviço",AU$12&lt;&gt;0,$H287&gt;0,OR(AUTOEVENTO&lt;&gt;"manual",$M287&lt;&gt;1)),
IF(Import.TipoArredondamento&lt;&gt;"TransfereGOV",
ROUND(OFFSET($P287,0,AU$13),15-13*ORÇAMENTO!$AF$7)/$H287*OFFSET(ORÇAMENTO!$X$15,ROW(AU287)-ROW(AU$15),0),
ROUND(ROUND(OFFSET($P287,0,AU$13),15-13*ORÇAMENTO!$AF$7)*OFFSET(ORÇAMENTO!$W$15,ROW(AU287)-ROW(AU$15),0),15-13*ORÇAMENTO!$AF$11)),0)</f>
        <v>0</v>
      </c>
      <c r="AV287" s="545">
        <f ca="1">IF(AND($D287="Serviço",AV$12&lt;&gt;0,$H287&gt;0,OR(AUTOEVENTO&lt;&gt;"manual",$M287&lt;&gt;1)),
IF(Import.TipoArredondamento&lt;&gt;"TransfereGOV",
ROUND(OFFSET($P287,0,AV$13),15-13*ORÇAMENTO!$AF$7)/$H287*OFFSET(ORÇAMENTO!$X$15,ROW(AV287)-ROW(AV$15),0),
ROUND(ROUND(OFFSET($P287,0,AV$13),15-13*ORÇAMENTO!$AF$7)*OFFSET(ORÇAMENTO!$W$15,ROW(AV287)-ROW(AV$15),0),15-13*ORÇAMENTO!$AF$11)),0)</f>
        <v>0</v>
      </c>
      <c r="AW287" s="545">
        <f ca="1">IF(AND($D287="Serviço",AW$12&lt;&gt;0,$H287&gt;0,OR(AUTOEVENTO&lt;&gt;"manual",$M287&lt;&gt;1)),
IF(Import.TipoArredondamento&lt;&gt;"TransfereGOV",
ROUND(OFFSET($P287,0,AW$13),15-13*ORÇAMENTO!$AF$7)/$H287*OFFSET(ORÇAMENTO!$X$15,ROW(AW287)-ROW(AW$15),0),
ROUND(ROUND(OFFSET($P287,0,AW$13),15-13*ORÇAMENTO!$AF$7)*OFFSET(ORÇAMENTO!$W$15,ROW(AW287)-ROW(AW$15),0),15-13*ORÇAMENTO!$AF$11)),0)</f>
        <v>0</v>
      </c>
      <c r="AX287" s="545">
        <f ca="1">IF(AND($D287="Serviço",AX$12&lt;&gt;0,$H287&gt;0,OR(AUTOEVENTO&lt;&gt;"manual",$M287&lt;&gt;1)),
IF(Import.TipoArredondamento&lt;&gt;"TransfereGOV",
ROUND(OFFSET($P287,0,AX$13),15-13*ORÇAMENTO!$AF$7)/$H287*OFFSET(ORÇAMENTO!$X$15,ROW(AX287)-ROW(AX$15),0),
ROUND(ROUND(OFFSET($P287,0,AX$13),15-13*ORÇAMENTO!$AF$7)*OFFSET(ORÇAMENTO!$W$15,ROW(AX287)-ROW(AX$15),0),15-13*ORÇAMENTO!$AF$11)),0)</f>
        <v>0</v>
      </c>
      <c r="AY287" s="545">
        <f ca="1">IF(AND($D287="Serviço",AY$12&lt;&gt;0,$H287&gt;0,OR(AUTOEVENTO&lt;&gt;"manual",$M287&lt;&gt;1)),
IF(Import.TipoArredondamento&lt;&gt;"TransfereGOV",
ROUND(OFFSET($P287,0,AY$13),15-13*ORÇAMENTO!$AF$7)/$H287*OFFSET(ORÇAMENTO!$X$15,ROW(AY287)-ROW(AY$15),0),
ROUND(ROUND(OFFSET($P287,0,AY$13),15-13*ORÇAMENTO!$AF$7)*OFFSET(ORÇAMENTO!$W$15,ROW(AY287)-ROW(AY$15),0),15-13*ORÇAMENTO!$AF$11)),0)</f>
        <v>0</v>
      </c>
      <c r="AZ287" s="545">
        <f ca="1">IF(AND($D287="Serviço",AZ$12&lt;&gt;0,$H287&gt;0,OR(AUTOEVENTO&lt;&gt;"manual",$M287&lt;&gt;1)),
IF(Import.TipoArredondamento&lt;&gt;"TransfereGOV",
ROUND(OFFSET($P287,0,AZ$13),15-13*ORÇAMENTO!$AF$7)/$H287*OFFSET(ORÇAMENTO!$X$15,ROW(AZ287)-ROW(AZ$15),0),
ROUND(ROUND(OFFSET($P287,0,AZ$13),15-13*ORÇAMENTO!$AF$7)*OFFSET(ORÇAMENTO!$W$15,ROW(AZ287)-ROW(AZ$15),0),15-13*ORÇAMENTO!$AF$11)),0)</f>
        <v>0</v>
      </c>
      <c r="BA287" s="546">
        <f ca="1">IF(AND($D287="Serviço",BA$12&lt;&gt;0,$H287&gt;0,OR(AUTOEVENTO&lt;&gt;"manual",$M287&lt;&gt;1)),
IF(Import.TipoArredondamento&lt;&gt;"TransfereGOV",
ROUND(OFFSET($P287,0,BA$13),15-13*ORÇAMENTO!$AF$7)/$H287*OFFSET(ORÇAMENTO!$X$15,ROW(BA287)-ROW(BA$15),0),
ROUND(ROUND(OFFSET($P287,0,BA$13),15-13*ORÇAMENTO!$AF$7)*OFFSET(ORÇAMENTO!$W$15,ROW(BA287)-ROW(BA$15),0),15-13*ORÇAMENTO!$AF$11)),0)</f>
        <v>0</v>
      </c>
      <c r="BC287" s="181">
        <f ca="1">IF($D287&lt;&gt;"Serviço",0,IF(AND(AUTOEVENTO="Manual",$M287=1),0,IF(OFFSET(CRONOPLE!$F$14,$M287,BC$13)="",10^12,OFFSET(CRONOPLE!$F$14,$M287,BC$13))))</f>
        <v>9</v>
      </c>
      <c r="BD287" s="181">
        <f ca="1">IF($D287&lt;&gt;"Serviço",0,IF(AND(AUTOEVENTO="Manual",$M287=1),0,IF(OFFSET(CRONOPLE!$F$14,$M287,BD$13)="",10^12,OFFSET(CRONOPLE!$F$14,$M287,BD$13))))</f>
        <v>1000000000000</v>
      </c>
      <c r="BE287" s="181">
        <f ca="1">IF($D287&lt;&gt;"Serviço",0,IF(AND(AUTOEVENTO="Manual",$M287=1),0,IF(OFFSET(CRONOPLE!$F$14,$M287,BE$13)="",10^12,OFFSET(CRONOPLE!$F$14,$M287,BE$13))))</f>
        <v>1000000000000</v>
      </c>
      <c r="BF287" s="181">
        <f ca="1">IF($D287&lt;&gt;"Serviço",0,IF(AND(AUTOEVENTO="Manual",$M287=1),0,IF(OFFSET(CRONOPLE!$F$14,$M287,BF$13)="",10^12,OFFSET(CRONOPLE!$F$14,$M287,BF$13))))</f>
        <v>1000000000000</v>
      </c>
      <c r="BG287" s="181">
        <f ca="1">IF($D287&lt;&gt;"Serviço",0,IF(AND(AUTOEVENTO="Manual",$M287=1),0,IF(OFFSET(CRONOPLE!$F$14,$M287,BG$13)="",10^12,OFFSET(CRONOPLE!$F$14,$M287,BG$13))))</f>
        <v>1000000000000</v>
      </c>
      <c r="BH287" s="181">
        <f ca="1">IF($D287&lt;&gt;"Serviço",0,IF(AND(AUTOEVENTO="Manual",$M287=1),0,IF(OFFSET(CRONOPLE!$F$14,$M287,BH$13)="",10^12,OFFSET(CRONOPLE!$F$14,$M287,BH$13))))</f>
        <v>1000000000000</v>
      </c>
      <c r="BI287" s="181">
        <f ca="1">IF($D287&lt;&gt;"Serviço",0,IF(AND(AUTOEVENTO="Manual",$M287=1),0,IF(OFFSET(CRONOPLE!$F$14,$M287,BI$13)="",10^12,OFFSET(CRONOPLE!$F$14,$M287,BI$13))))</f>
        <v>1000000000000</v>
      </c>
      <c r="BJ287" s="181">
        <f ca="1">IF($D287&lt;&gt;"Serviço",0,IF(AND(AUTOEVENTO="Manual",$M287=1),0,IF(OFFSET(CRONOPLE!$F$14,$M287,BJ$13)="",10^12,OFFSET(CRONOPLE!$F$14,$M287,BJ$13))))</f>
        <v>1000000000000</v>
      </c>
      <c r="BK287" s="181">
        <f ca="1">IF($D287&lt;&gt;"Serviço",0,IF(AND(AUTOEVENTO="Manual",$M287=1),0,IF(OFFSET(CRONOPLE!$F$14,$M287,BK$13)="",10^12,OFFSET(CRONOPLE!$F$14,$M287,BK$13))))</f>
        <v>1000000000000</v>
      </c>
      <c r="BL287" s="181">
        <f ca="1">IF($D287&lt;&gt;"Serviço",0,IF(AND(AUTOEVENTO="Manual",$M287=1),0,IF(OFFSET(CRONOPLE!$F$14,$M287,BL$13)="",10^12,OFFSET(CRONOPLE!$F$14,$M287,BL$13))))</f>
        <v>1000000000000</v>
      </c>
      <c r="BM287" s="181">
        <f ca="1">IF($D287&lt;&gt;"Serviço",0,IF(AND(AUTOEVENTO="Manual",$M287=1),0,IF(OFFSET(CRONOPLE!$F$14,$M287,BM$13)="",10^12,OFFSET(CRONOPLE!$F$14,$M287,BM$13))))</f>
        <v>1000000000000</v>
      </c>
      <c r="BN287" s="181">
        <f ca="1">IF($D287&lt;&gt;"Serviço",0,IF(AND(AUTOEVENTO="Manual",$M287=1),0,IF(OFFSET(CRONOPLE!$F$14,$M287,BN$13)="",10^12,OFFSET(CRONOPLE!$F$14,$M287,BN$13))))</f>
        <v>1000000000000</v>
      </c>
      <c r="BO287" s="181">
        <f ca="1">IF($D287&lt;&gt;"Serviço",0,IF(AND(AUTOEVENTO="Manual",$M287=1),0,IF(OFFSET(CRONOPLE!$F$14,$M287,BO$13)="",10^12,OFFSET(CRONOPLE!$F$14,$M287,BO$13))))</f>
        <v>1000000000000</v>
      </c>
      <c r="BP287" s="181">
        <f ca="1">IF($D287&lt;&gt;"Serviço",0,IF(AND(AUTOEVENTO="Manual",$M287=1),0,IF(OFFSET(CRONOPLE!$F$14,$M287,BP$13)="",10^12,OFFSET(CRONOPLE!$F$14,$M287,BP$13))))</f>
        <v>1000000000000</v>
      </c>
      <c r="BQ287" s="181">
        <f ca="1">IF($D287&lt;&gt;"Serviço",0,IF(AND(AUTOEVENTO="Manual",$M287=1),0,IF(OFFSET(CRONOPLE!$F$14,$M287,BQ$13)="",10^12,OFFSET(CRONOPLE!$F$14,$M287,BQ$13))))</f>
        <v>1000000000000</v>
      </c>
      <c r="BR287" s="181">
        <f ca="1">IF($D287&lt;&gt;"Serviço",0,IF(AND(AUTOEVENTO="Manual",$M287=1),0,IF(OFFSET(CRONOPLE!$F$14,$M287,BR$13)="",10^12,OFFSET(CRONOPLE!$F$14,$M287,BR$13))))</f>
        <v>1000000000000</v>
      </c>
      <c r="BS287" s="181">
        <f ca="1">IF($D287&lt;&gt;"Serviço",0,IF(AND(AUTOEVENTO="Manual",$M287=1),0,IF(OFFSET(CRONOPLE!$F$14,$M287,BS$13)="",10^12,OFFSET(CRONOPLE!$F$14,$M287,BS$13))))</f>
        <v>1000000000000</v>
      </c>
      <c r="BT287" s="181">
        <f ca="1">IF($D287&lt;&gt;"Serviço",0,IF(AND(AUTOEVENTO="Manual",$M287=1),0,IF(OFFSET(CRONOPLE!$F$14,$M287,BT$13)="",10^12,OFFSET(CRONOPLE!$F$14,$M287,BT$13))))</f>
        <v>1000000000000</v>
      </c>
      <c r="BV287" s="182">
        <f ca="1">IF($D287&lt;&gt;"Serviço",0,IF(OR(AND(AUTOEVENTO="Manual",$M287=1),$M287&gt;(ROW(PLE.lastrow)-ROW(PLE.firstrow))),0,IF(OFFSET(PLE!$G$14,$M287,BV$13)="",10^12,OFFSET(PLE!$G$14,$M287,BV$13))))</f>
        <v>1000000000000</v>
      </c>
      <c r="BW287" s="182">
        <f ca="1">IF($D287&lt;&gt;"Serviço",0,IF(OR(AND(AUTOEVENTO="Manual",$M287=1),$M287&gt;(ROW(PLE.lastrow)-ROW(PLE.firstrow))),0,IF(OFFSET(PLE!$G$14,$M287,BW$13)="",10^12,OFFSET(PLE!$G$14,$M287,BW$13))))</f>
        <v>1000000000000</v>
      </c>
      <c r="BX287" s="182">
        <f ca="1">IF($D287&lt;&gt;"Serviço",0,IF(OR(AND(AUTOEVENTO="Manual",$M287=1),$M287&gt;(ROW(PLE.lastrow)-ROW(PLE.firstrow))),0,IF(OFFSET(PLE!$G$14,$M287,BX$13)="",10^12,OFFSET(PLE!$G$14,$M287,BX$13))))</f>
        <v>1000000000000</v>
      </c>
      <c r="BY287" s="182">
        <f ca="1">IF($D287&lt;&gt;"Serviço",0,IF(OR(AND(AUTOEVENTO="Manual",$M287=1),$M287&gt;(ROW(PLE.lastrow)-ROW(PLE.firstrow))),0,IF(OFFSET(PLE!$G$14,$M287,BY$13)="",10^12,OFFSET(PLE!$G$14,$M287,BY$13))))</f>
        <v>1000000000000</v>
      </c>
      <c r="BZ287" s="182">
        <f ca="1">IF($D287&lt;&gt;"Serviço",0,IF(OR(AND(AUTOEVENTO="Manual",$M287=1),$M287&gt;(ROW(PLE.lastrow)-ROW(PLE.firstrow))),0,IF(OFFSET(PLE!$G$14,$M287,BZ$13)="",10^12,OFFSET(PLE!$G$14,$M287,BZ$13))))</f>
        <v>1000000000000</v>
      </c>
      <c r="CA287" s="182">
        <f ca="1">IF($D287&lt;&gt;"Serviço",0,IF(OR(AND(AUTOEVENTO="Manual",$M287=1),$M287&gt;(ROW(PLE.lastrow)-ROW(PLE.firstrow))),0,IF(OFFSET(PLE!$G$14,$M287,CA$13)="",10^12,OFFSET(PLE!$G$14,$M287,CA$13))))</f>
        <v>1000000000000</v>
      </c>
      <c r="CB287" s="182">
        <f ca="1">IF($D287&lt;&gt;"Serviço",0,IF(OR(AND(AUTOEVENTO="Manual",$M287=1),$M287&gt;(ROW(PLE.lastrow)-ROW(PLE.firstrow))),0,IF(OFFSET(PLE!$G$14,$M287,CB$13)="",10^12,OFFSET(PLE!$G$14,$M287,CB$13))))</f>
        <v>1000000000000</v>
      </c>
      <c r="CC287" s="182">
        <f ca="1">IF($D287&lt;&gt;"Serviço",0,IF(OR(AND(AUTOEVENTO="Manual",$M287=1),$M287&gt;(ROW(PLE.lastrow)-ROW(PLE.firstrow))),0,IF(OFFSET(PLE!$G$14,$M287,CC$13)="",10^12,OFFSET(PLE!$G$14,$M287,CC$13))))</f>
        <v>1000000000000</v>
      </c>
      <c r="CD287" s="182">
        <f ca="1">IF($D287&lt;&gt;"Serviço",0,IF(OR(AND(AUTOEVENTO="Manual",$M287=1),$M287&gt;(ROW(PLE.lastrow)-ROW(PLE.firstrow))),0,IF(OFFSET(PLE!$G$14,$M287,CD$13)="",10^12,OFFSET(PLE!$G$14,$M287,CD$13))))</f>
        <v>1000000000000</v>
      </c>
      <c r="CE287" s="182">
        <f ca="1">IF($D287&lt;&gt;"Serviço",0,IF(OR(AND(AUTOEVENTO="Manual",$M287=1),$M287&gt;(ROW(PLE.lastrow)-ROW(PLE.firstrow))),0,IF(OFFSET(PLE!$G$14,$M287,CE$13)="",10^12,OFFSET(PLE!$G$14,$M287,CE$13))))</f>
        <v>1000000000000</v>
      </c>
      <c r="CF287" s="182">
        <f ca="1">IF($D287&lt;&gt;"Serviço",0,IF(OR(AND(AUTOEVENTO="Manual",$M287=1),$M287&gt;(ROW(PLE.lastrow)-ROW(PLE.firstrow))),0,IF(OFFSET(PLE!$G$14,$M287,CF$13)="",10^12,OFFSET(PLE!$G$14,$M287,CF$13))))</f>
        <v>1000000000000</v>
      </c>
      <c r="CG287" s="182">
        <f ca="1">IF($D287&lt;&gt;"Serviço",0,IF(OR(AND(AUTOEVENTO="Manual",$M287=1),$M287&gt;(ROW(PLE.lastrow)-ROW(PLE.firstrow))),0,IF(OFFSET(PLE!$G$14,$M287,CG$13)="",10^12,OFFSET(PLE!$G$14,$M287,CG$13))))</f>
        <v>1000000000000</v>
      </c>
      <c r="CH287" s="182">
        <f ca="1">IF($D287&lt;&gt;"Serviço",0,IF(OR(AND(AUTOEVENTO="Manual",$M287=1),$M287&gt;(ROW(PLE.lastrow)-ROW(PLE.firstrow))),0,IF(OFFSET(PLE!$G$14,$M287,CH$13)="",10^12,OFFSET(PLE!$G$14,$M287,CH$13))))</f>
        <v>1000000000000</v>
      </c>
      <c r="CI287" s="182">
        <f ca="1">IF($D287&lt;&gt;"Serviço",0,IF(OR(AND(AUTOEVENTO="Manual",$M287=1),$M287&gt;(ROW(PLE.lastrow)-ROW(PLE.firstrow))),0,IF(OFFSET(PLE!$G$14,$M287,CI$13)="",10^12,OFFSET(PLE!$G$14,$M287,CI$13))))</f>
        <v>1000000000000</v>
      </c>
      <c r="CJ287" s="182">
        <f ca="1">IF($D287&lt;&gt;"Serviço",0,IF(OR(AND(AUTOEVENTO="Manual",$M287=1),$M287&gt;(ROW(PLE.lastrow)-ROW(PLE.firstrow))),0,IF(OFFSET(PLE!$G$14,$M287,CJ$13)="",10^12,OFFSET(PLE!$G$14,$M287,CJ$13))))</f>
        <v>1000000000000</v>
      </c>
      <c r="CK287" s="182">
        <f ca="1">IF($D287&lt;&gt;"Serviço",0,IF(OR(AND(AUTOEVENTO="Manual",$M287=1),$M287&gt;(ROW(PLE.lastrow)-ROW(PLE.firstrow))),0,IF(OFFSET(PLE!$G$14,$M287,CK$13)="",10^12,OFFSET(PLE!$G$14,$M287,CK$13))))</f>
        <v>1000000000000</v>
      </c>
      <c r="CL287" s="182">
        <f ca="1">IF($D287&lt;&gt;"Serviço",0,IF(OR(AND(AUTOEVENTO="Manual",$M287=1),$M287&gt;(ROW(PLE.lastrow)-ROW(PLE.firstrow))),0,IF(OFFSET(PLE!$G$14,$M287,CL$13)="",10^12,OFFSET(PLE!$G$14,$M287,CL$13))))</f>
        <v>1000000000000</v>
      </c>
      <c r="CM287" s="182">
        <f ca="1">IF($D287&lt;&gt;"Serviço",0,IF(OR(AND(AUTOEVENTO="Manual",$M287=1),$M287&gt;(ROW(PLE.lastrow)-ROW(PLE.firstrow))),0,IF(OFFSET(PLE!$G$14,$M287,CM$13)="",10^12,OFFSET(PLE!$G$14,$M287,CM$13))))</f>
        <v>1000000000000</v>
      </c>
    </row>
    <row r="288" spans="1:91" ht="38.25" x14ac:dyDescent="0.2">
      <c r="A288" s="7" t="str">
        <f t="shared" ca="1" si="12"/>
        <v>270</v>
      </c>
      <c r="B288" s="7" t="str">
        <f ca="1">OFFSET(ORÇAMENTO!C$15,ROW(B288)-ROW(B$15),0)</f>
        <v>S</v>
      </c>
      <c r="C288" s="7" t="str">
        <f ca="1">OFFSET(ORÇAMENTO!L$15,ROW(C288)-ROW(C$15),0)</f>
        <v/>
      </c>
      <c r="D288" s="118" t="str">
        <f ca="1">OFFSET(ORÇAMENTO!N$15,ROW(D288)-ROW(D$15),0)</f>
        <v>Serviço</v>
      </c>
      <c r="E288" s="119" t="str">
        <f ca="1">OFFSET(ORÇAMENTO!O$15,ROW(E288)-ROW(E$15),0)</f>
        <v>-</v>
      </c>
      <c r="F288" s="172" t="str">
        <f ca="1">OFFSET(ORÇAMENTO!R$15,ROW(F288)-ROW(F$15),0)</f>
        <v>(abra o arquivo 'Referência 06-2024.xlsm)</v>
      </c>
      <c r="G288" s="173" t="str">
        <f ca="1">IF($D288&lt;&gt;"Serviço","",OFFSET(ORÇAMENTO!S$15,ROW(G288)-ROW(G$15),0))</f>
        <v>-</v>
      </c>
      <c r="H288" s="124">
        <f ca="1">IF($D288&lt;&gt;"Serviço",0,IF(ACOMPANHAMENTO="BM",ROUND(OFFSET(ORÇAMENTO!AJ$15,ROW(H288)-ROW(H$15),0),15-13*ORÇAMENTO!$AF$7),SUMPRODUCT(($Q$12:$AI$12&lt;&gt;"")*ROUND($Q288:$AI288,15-13*ORÇAMENTO!$AF$7))))</f>
        <v>39</v>
      </c>
      <c r="I288" s="561" t="s">
        <v>1107</v>
      </c>
      <c r="K288" s="174"/>
      <c r="L288" s="175" t="s">
        <v>255</v>
      </c>
      <c r="M288" s="176">
        <f ca="1">IF($D288&lt;&gt;"Serviço","",IF(AUTOEVENTO="manual",$A288,IF(ISERROR(MATCH($A288,$A$15:OFFSET($A288,-1,0),0)),MAX($M$15:OFFSET(M288,-1,0))+1,INDEX($M$15:OFFSET(M288,-1,0),MATCH($A288,$A$15:OFFSET($A288,-1,0),0)))))</f>
        <v>36</v>
      </c>
      <c r="N288" s="177" t="str">
        <f ca="1">IF($D288&lt;&gt;"Serviço","",IF(AUTOEVENTO="Manual",IF($A288=0,"&lt;-- defina o número do agrupador",OFFSET(EVENTOS!$D$14,$A288,0)),OFFSET($F$15,$A288,0)))</f>
        <v>INSTALAÇÃO HIDRÁULICA - TUBULAÇÕES E CONEXÕES DE METAL</v>
      </c>
      <c r="O288" s="178"/>
      <c r="Q288" s="178">
        <v>39</v>
      </c>
      <c r="R288" s="179"/>
      <c r="S288" s="179"/>
      <c r="T288" s="179"/>
      <c r="U288" s="179"/>
      <c r="V288" s="179"/>
      <c r="W288" s="179"/>
      <c r="X288" s="179"/>
      <c r="Y288" s="179"/>
      <c r="Z288" s="180"/>
      <c r="AA288" s="179"/>
      <c r="AB288" s="179"/>
      <c r="AC288" s="179"/>
      <c r="AD288" s="179"/>
      <c r="AE288" s="179"/>
      <c r="AF288" s="179"/>
      <c r="AG288" s="179"/>
      <c r="AH288" s="180"/>
      <c r="AJ288" s="544">
        <f ca="1">IF(AND($D288="Serviço",AJ$12&lt;&gt;0,$H288&gt;0,OR(AUTOEVENTO&lt;&gt;"manual",$M288&lt;&gt;1)),
IF(Import.TipoArredondamento&lt;&gt;"TransfereGOV",
ROUND(OFFSET($P288,0,AJ$13),15-13*ORÇAMENTO!$AF$7)/$H288*OFFSET(ORÇAMENTO!$X$15,ROW(AJ288)-ROW(AJ$15),0),
ROUND(ROUND(OFFSET($P288,0,AJ$13),15-13*ORÇAMENTO!$AF$7)*OFFSET(ORÇAMENTO!$W$15,ROW(AJ288)-ROW(AJ$15),0),15-13*ORÇAMENTO!$AF$11)),0)</f>
        <v>0</v>
      </c>
      <c r="AK288" s="545">
        <f ca="1">IF(AND($D288="Serviço",AK$12&lt;&gt;0,$H288&gt;0,OR(AUTOEVENTO&lt;&gt;"manual",$M288&lt;&gt;1)),
IF(Import.TipoArredondamento&lt;&gt;"TransfereGOV",
ROUND(OFFSET($P288,0,AK$13),15-13*ORÇAMENTO!$AF$7)/$H288*OFFSET(ORÇAMENTO!$X$15,ROW(AK288)-ROW(AK$15),0),
ROUND(ROUND(OFFSET($P288,0,AK$13),15-13*ORÇAMENTO!$AF$7)*OFFSET(ORÇAMENTO!$W$15,ROW(AK288)-ROW(AK$15),0),15-13*ORÇAMENTO!$AF$11)),0)</f>
        <v>0</v>
      </c>
      <c r="AL288" s="545">
        <f ca="1">IF(AND($D288="Serviço",AL$12&lt;&gt;0,$H288&gt;0,OR(AUTOEVENTO&lt;&gt;"manual",$M288&lt;&gt;1)),
IF(Import.TipoArredondamento&lt;&gt;"TransfereGOV",
ROUND(OFFSET($P288,0,AL$13),15-13*ORÇAMENTO!$AF$7)/$H288*OFFSET(ORÇAMENTO!$X$15,ROW(AL288)-ROW(AL$15),0),
ROUND(ROUND(OFFSET($P288,0,AL$13),15-13*ORÇAMENTO!$AF$7)*OFFSET(ORÇAMENTO!$W$15,ROW(AL288)-ROW(AL$15),0),15-13*ORÇAMENTO!$AF$11)),0)</f>
        <v>0</v>
      </c>
      <c r="AM288" s="545">
        <f ca="1">IF(AND($D288="Serviço",AM$12&lt;&gt;0,$H288&gt;0,OR(AUTOEVENTO&lt;&gt;"manual",$M288&lt;&gt;1)),
IF(Import.TipoArredondamento&lt;&gt;"TransfereGOV",
ROUND(OFFSET($P288,0,AM$13),15-13*ORÇAMENTO!$AF$7)/$H288*OFFSET(ORÇAMENTO!$X$15,ROW(AM288)-ROW(AM$15),0),
ROUND(ROUND(OFFSET($P288,0,AM$13),15-13*ORÇAMENTO!$AF$7)*OFFSET(ORÇAMENTO!$W$15,ROW(AM288)-ROW(AM$15),0),15-13*ORÇAMENTO!$AF$11)),0)</f>
        <v>0</v>
      </c>
      <c r="AN288" s="545">
        <f ca="1">IF(AND($D288="Serviço",AN$12&lt;&gt;0,$H288&gt;0,OR(AUTOEVENTO&lt;&gt;"manual",$M288&lt;&gt;1)),
IF(Import.TipoArredondamento&lt;&gt;"TransfereGOV",
ROUND(OFFSET($P288,0,AN$13),15-13*ORÇAMENTO!$AF$7)/$H288*OFFSET(ORÇAMENTO!$X$15,ROW(AN288)-ROW(AN$15),0),
ROUND(ROUND(OFFSET($P288,0,AN$13),15-13*ORÇAMENTO!$AF$7)*OFFSET(ORÇAMENTO!$W$15,ROW(AN288)-ROW(AN$15),0),15-13*ORÇAMENTO!$AF$11)),0)</f>
        <v>0</v>
      </c>
      <c r="AO288" s="545">
        <f ca="1">IF(AND($D288="Serviço",AO$12&lt;&gt;0,$H288&gt;0,OR(AUTOEVENTO&lt;&gt;"manual",$M288&lt;&gt;1)),
IF(Import.TipoArredondamento&lt;&gt;"TransfereGOV",
ROUND(OFFSET($P288,0,AO$13),15-13*ORÇAMENTO!$AF$7)/$H288*OFFSET(ORÇAMENTO!$X$15,ROW(AO288)-ROW(AO$15),0),
ROUND(ROUND(OFFSET($P288,0,AO$13),15-13*ORÇAMENTO!$AF$7)*OFFSET(ORÇAMENTO!$W$15,ROW(AO288)-ROW(AO$15),0),15-13*ORÇAMENTO!$AF$11)),0)</f>
        <v>0</v>
      </c>
      <c r="AP288" s="545">
        <f ca="1">IF(AND($D288="Serviço",AP$12&lt;&gt;0,$H288&gt;0,OR(AUTOEVENTO&lt;&gt;"manual",$M288&lt;&gt;1)),
IF(Import.TipoArredondamento&lt;&gt;"TransfereGOV",
ROUND(OFFSET($P288,0,AP$13),15-13*ORÇAMENTO!$AF$7)/$H288*OFFSET(ORÇAMENTO!$X$15,ROW(AP288)-ROW(AP$15),0),
ROUND(ROUND(OFFSET($P288,0,AP$13),15-13*ORÇAMENTO!$AF$7)*OFFSET(ORÇAMENTO!$W$15,ROW(AP288)-ROW(AP$15),0),15-13*ORÇAMENTO!$AF$11)),0)</f>
        <v>0</v>
      </c>
      <c r="AQ288" s="545">
        <f ca="1">IF(AND($D288="Serviço",AQ$12&lt;&gt;0,$H288&gt;0,OR(AUTOEVENTO&lt;&gt;"manual",$M288&lt;&gt;1)),
IF(Import.TipoArredondamento&lt;&gt;"TransfereGOV",
ROUND(OFFSET($P288,0,AQ$13),15-13*ORÇAMENTO!$AF$7)/$H288*OFFSET(ORÇAMENTO!$X$15,ROW(AQ288)-ROW(AQ$15),0),
ROUND(ROUND(OFFSET($P288,0,AQ$13),15-13*ORÇAMENTO!$AF$7)*OFFSET(ORÇAMENTO!$W$15,ROW(AQ288)-ROW(AQ$15),0),15-13*ORÇAMENTO!$AF$11)),0)</f>
        <v>0</v>
      </c>
      <c r="AR288" s="545">
        <f ca="1">IF(AND($D288="Serviço",AR$12&lt;&gt;0,$H288&gt;0,OR(AUTOEVENTO&lt;&gt;"manual",$M288&lt;&gt;1)),
IF(Import.TipoArredondamento&lt;&gt;"TransfereGOV",
ROUND(OFFSET($P288,0,AR$13),15-13*ORÇAMENTO!$AF$7)/$H288*OFFSET(ORÇAMENTO!$X$15,ROW(AR288)-ROW(AR$15),0),
ROUND(ROUND(OFFSET($P288,0,AR$13),15-13*ORÇAMENTO!$AF$7)*OFFSET(ORÇAMENTO!$W$15,ROW(AR288)-ROW(AR$15),0),15-13*ORÇAMENTO!$AF$11)),0)</f>
        <v>0</v>
      </c>
      <c r="AS288" s="546">
        <f ca="1">IF(AND($D288="Serviço",AS$12&lt;&gt;0,$H288&gt;0,OR(AUTOEVENTO&lt;&gt;"manual",$M288&lt;&gt;1)),
IF(Import.TipoArredondamento&lt;&gt;"TransfereGOV",
ROUND(OFFSET($P288,0,AS$13),15-13*ORÇAMENTO!$AF$7)/$H288*OFFSET(ORÇAMENTO!$X$15,ROW(AS288)-ROW(AS$15),0),
ROUND(ROUND(OFFSET($P288,0,AS$13),15-13*ORÇAMENTO!$AF$7)*OFFSET(ORÇAMENTO!$W$15,ROW(AS288)-ROW(AS$15),0),15-13*ORÇAMENTO!$AF$11)),0)</f>
        <v>0</v>
      </c>
      <c r="AT288" s="545">
        <f ca="1">IF(AND($D288="Serviço",AT$12&lt;&gt;0,$H288&gt;0,OR(AUTOEVENTO&lt;&gt;"manual",$M288&lt;&gt;1)),
IF(Import.TipoArredondamento&lt;&gt;"TransfereGOV",
ROUND(OFFSET($P288,0,AT$13),15-13*ORÇAMENTO!$AF$7)/$H288*OFFSET(ORÇAMENTO!$X$15,ROW(AT288)-ROW(AT$15),0),
ROUND(ROUND(OFFSET($P288,0,AT$13),15-13*ORÇAMENTO!$AF$7)*OFFSET(ORÇAMENTO!$W$15,ROW(AT288)-ROW(AT$15),0),15-13*ORÇAMENTO!$AF$11)),0)</f>
        <v>0</v>
      </c>
      <c r="AU288" s="545">
        <f ca="1">IF(AND($D288="Serviço",AU$12&lt;&gt;0,$H288&gt;0,OR(AUTOEVENTO&lt;&gt;"manual",$M288&lt;&gt;1)),
IF(Import.TipoArredondamento&lt;&gt;"TransfereGOV",
ROUND(OFFSET($P288,0,AU$13),15-13*ORÇAMENTO!$AF$7)/$H288*OFFSET(ORÇAMENTO!$X$15,ROW(AU288)-ROW(AU$15),0),
ROUND(ROUND(OFFSET($P288,0,AU$13),15-13*ORÇAMENTO!$AF$7)*OFFSET(ORÇAMENTO!$W$15,ROW(AU288)-ROW(AU$15),0),15-13*ORÇAMENTO!$AF$11)),0)</f>
        <v>0</v>
      </c>
      <c r="AV288" s="545">
        <f ca="1">IF(AND($D288="Serviço",AV$12&lt;&gt;0,$H288&gt;0,OR(AUTOEVENTO&lt;&gt;"manual",$M288&lt;&gt;1)),
IF(Import.TipoArredondamento&lt;&gt;"TransfereGOV",
ROUND(OFFSET($P288,0,AV$13),15-13*ORÇAMENTO!$AF$7)/$H288*OFFSET(ORÇAMENTO!$X$15,ROW(AV288)-ROW(AV$15),0),
ROUND(ROUND(OFFSET($P288,0,AV$13),15-13*ORÇAMENTO!$AF$7)*OFFSET(ORÇAMENTO!$W$15,ROW(AV288)-ROW(AV$15),0),15-13*ORÇAMENTO!$AF$11)),0)</f>
        <v>0</v>
      </c>
      <c r="AW288" s="545">
        <f ca="1">IF(AND($D288="Serviço",AW$12&lt;&gt;0,$H288&gt;0,OR(AUTOEVENTO&lt;&gt;"manual",$M288&lt;&gt;1)),
IF(Import.TipoArredondamento&lt;&gt;"TransfereGOV",
ROUND(OFFSET($P288,0,AW$13),15-13*ORÇAMENTO!$AF$7)/$H288*OFFSET(ORÇAMENTO!$X$15,ROW(AW288)-ROW(AW$15),0),
ROUND(ROUND(OFFSET($P288,0,AW$13),15-13*ORÇAMENTO!$AF$7)*OFFSET(ORÇAMENTO!$W$15,ROW(AW288)-ROW(AW$15),0),15-13*ORÇAMENTO!$AF$11)),0)</f>
        <v>0</v>
      </c>
      <c r="AX288" s="545">
        <f ca="1">IF(AND($D288="Serviço",AX$12&lt;&gt;0,$H288&gt;0,OR(AUTOEVENTO&lt;&gt;"manual",$M288&lt;&gt;1)),
IF(Import.TipoArredondamento&lt;&gt;"TransfereGOV",
ROUND(OFFSET($P288,0,AX$13),15-13*ORÇAMENTO!$AF$7)/$H288*OFFSET(ORÇAMENTO!$X$15,ROW(AX288)-ROW(AX$15),0),
ROUND(ROUND(OFFSET($P288,0,AX$13),15-13*ORÇAMENTO!$AF$7)*OFFSET(ORÇAMENTO!$W$15,ROW(AX288)-ROW(AX$15),0),15-13*ORÇAMENTO!$AF$11)),0)</f>
        <v>0</v>
      </c>
      <c r="AY288" s="545">
        <f ca="1">IF(AND($D288="Serviço",AY$12&lt;&gt;0,$H288&gt;0,OR(AUTOEVENTO&lt;&gt;"manual",$M288&lt;&gt;1)),
IF(Import.TipoArredondamento&lt;&gt;"TransfereGOV",
ROUND(OFFSET($P288,0,AY$13),15-13*ORÇAMENTO!$AF$7)/$H288*OFFSET(ORÇAMENTO!$X$15,ROW(AY288)-ROW(AY$15),0),
ROUND(ROUND(OFFSET($P288,0,AY$13),15-13*ORÇAMENTO!$AF$7)*OFFSET(ORÇAMENTO!$W$15,ROW(AY288)-ROW(AY$15),0),15-13*ORÇAMENTO!$AF$11)),0)</f>
        <v>0</v>
      </c>
      <c r="AZ288" s="545">
        <f ca="1">IF(AND($D288="Serviço",AZ$12&lt;&gt;0,$H288&gt;0,OR(AUTOEVENTO&lt;&gt;"manual",$M288&lt;&gt;1)),
IF(Import.TipoArredondamento&lt;&gt;"TransfereGOV",
ROUND(OFFSET($P288,0,AZ$13),15-13*ORÇAMENTO!$AF$7)/$H288*OFFSET(ORÇAMENTO!$X$15,ROW(AZ288)-ROW(AZ$15),0),
ROUND(ROUND(OFFSET($P288,0,AZ$13),15-13*ORÇAMENTO!$AF$7)*OFFSET(ORÇAMENTO!$W$15,ROW(AZ288)-ROW(AZ$15),0),15-13*ORÇAMENTO!$AF$11)),0)</f>
        <v>0</v>
      </c>
      <c r="BA288" s="546">
        <f ca="1">IF(AND($D288="Serviço",BA$12&lt;&gt;0,$H288&gt;0,OR(AUTOEVENTO&lt;&gt;"manual",$M288&lt;&gt;1)),
IF(Import.TipoArredondamento&lt;&gt;"TransfereGOV",
ROUND(OFFSET($P288,0,BA$13),15-13*ORÇAMENTO!$AF$7)/$H288*OFFSET(ORÇAMENTO!$X$15,ROW(BA288)-ROW(BA$15),0),
ROUND(ROUND(OFFSET($P288,0,BA$13),15-13*ORÇAMENTO!$AF$7)*OFFSET(ORÇAMENTO!$W$15,ROW(BA288)-ROW(BA$15),0),15-13*ORÇAMENTO!$AF$11)),0)</f>
        <v>0</v>
      </c>
      <c r="BC288" s="181">
        <f ca="1">IF($D288&lt;&gt;"Serviço",0,IF(AND(AUTOEVENTO="Manual",$M288=1),0,IF(OFFSET(CRONOPLE!$F$14,$M288,BC$13)="",10^12,OFFSET(CRONOPLE!$F$14,$M288,BC$13))))</f>
        <v>9</v>
      </c>
      <c r="BD288" s="181">
        <f ca="1">IF($D288&lt;&gt;"Serviço",0,IF(AND(AUTOEVENTO="Manual",$M288=1),0,IF(OFFSET(CRONOPLE!$F$14,$M288,BD$13)="",10^12,OFFSET(CRONOPLE!$F$14,$M288,BD$13))))</f>
        <v>1000000000000</v>
      </c>
      <c r="BE288" s="181">
        <f ca="1">IF($D288&lt;&gt;"Serviço",0,IF(AND(AUTOEVENTO="Manual",$M288=1),0,IF(OFFSET(CRONOPLE!$F$14,$M288,BE$13)="",10^12,OFFSET(CRONOPLE!$F$14,$M288,BE$13))))</f>
        <v>1000000000000</v>
      </c>
      <c r="BF288" s="181">
        <f ca="1">IF($D288&lt;&gt;"Serviço",0,IF(AND(AUTOEVENTO="Manual",$M288=1),0,IF(OFFSET(CRONOPLE!$F$14,$M288,BF$13)="",10^12,OFFSET(CRONOPLE!$F$14,$M288,BF$13))))</f>
        <v>1000000000000</v>
      </c>
      <c r="BG288" s="181">
        <f ca="1">IF($D288&lt;&gt;"Serviço",0,IF(AND(AUTOEVENTO="Manual",$M288=1),0,IF(OFFSET(CRONOPLE!$F$14,$M288,BG$13)="",10^12,OFFSET(CRONOPLE!$F$14,$M288,BG$13))))</f>
        <v>1000000000000</v>
      </c>
      <c r="BH288" s="181">
        <f ca="1">IF($D288&lt;&gt;"Serviço",0,IF(AND(AUTOEVENTO="Manual",$M288=1),0,IF(OFFSET(CRONOPLE!$F$14,$M288,BH$13)="",10^12,OFFSET(CRONOPLE!$F$14,$M288,BH$13))))</f>
        <v>1000000000000</v>
      </c>
      <c r="BI288" s="181">
        <f ca="1">IF($D288&lt;&gt;"Serviço",0,IF(AND(AUTOEVENTO="Manual",$M288=1),0,IF(OFFSET(CRONOPLE!$F$14,$M288,BI$13)="",10^12,OFFSET(CRONOPLE!$F$14,$M288,BI$13))))</f>
        <v>1000000000000</v>
      </c>
      <c r="BJ288" s="181">
        <f ca="1">IF($D288&lt;&gt;"Serviço",0,IF(AND(AUTOEVENTO="Manual",$M288=1),0,IF(OFFSET(CRONOPLE!$F$14,$M288,BJ$13)="",10^12,OFFSET(CRONOPLE!$F$14,$M288,BJ$13))))</f>
        <v>1000000000000</v>
      </c>
      <c r="BK288" s="181">
        <f ca="1">IF($D288&lt;&gt;"Serviço",0,IF(AND(AUTOEVENTO="Manual",$M288=1),0,IF(OFFSET(CRONOPLE!$F$14,$M288,BK$13)="",10^12,OFFSET(CRONOPLE!$F$14,$M288,BK$13))))</f>
        <v>1000000000000</v>
      </c>
      <c r="BL288" s="181">
        <f ca="1">IF($D288&lt;&gt;"Serviço",0,IF(AND(AUTOEVENTO="Manual",$M288=1),0,IF(OFFSET(CRONOPLE!$F$14,$M288,BL$13)="",10^12,OFFSET(CRONOPLE!$F$14,$M288,BL$13))))</f>
        <v>1000000000000</v>
      </c>
      <c r="BM288" s="181">
        <f ca="1">IF($D288&lt;&gt;"Serviço",0,IF(AND(AUTOEVENTO="Manual",$M288=1),0,IF(OFFSET(CRONOPLE!$F$14,$M288,BM$13)="",10^12,OFFSET(CRONOPLE!$F$14,$M288,BM$13))))</f>
        <v>1000000000000</v>
      </c>
      <c r="BN288" s="181">
        <f ca="1">IF($D288&lt;&gt;"Serviço",0,IF(AND(AUTOEVENTO="Manual",$M288=1),0,IF(OFFSET(CRONOPLE!$F$14,$M288,BN$13)="",10^12,OFFSET(CRONOPLE!$F$14,$M288,BN$13))))</f>
        <v>1000000000000</v>
      </c>
      <c r="BO288" s="181">
        <f ca="1">IF($D288&lt;&gt;"Serviço",0,IF(AND(AUTOEVENTO="Manual",$M288=1),0,IF(OFFSET(CRONOPLE!$F$14,$M288,BO$13)="",10^12,OFFSET(CRONOPLE!$F$14,$M288,BO$13))))</f>
        <v>1000000000000</v>
      </c>
      <c r="BP288" s="181">
        <f ca="1">IF($D288&lt;&gt;"Serviço",0,IF(AND(AUTOEVENTO="Manual",$M288=1),0,IF(OFFSET(CRONOPLE!$F$14,$M288,BP$13)="",10^12,OFFSET(CRONOPLE!$F$14,$M288,BP$13))))</f>
        <v>1000000000000</v>
      </c>
      <c r="BQ288" s="181">
        <f ca="1">IF($D288&lt;&gt;"Serviço",0,IF(AND(AUTOEVENTO="Manual",$M288=1),0,IF(OFFSET(CRONOPLE!$F$14,$M288,BQ$13)="",10^12,OFFSET(CRONOPLE!$F$14,$M288,BQ$13))))</f>
        <v>1000000000000</v>
      </c>
      <c r="BR288" s="181">
        <f ca="1">IF($D288&lt;&gt;"Serviço",0,IF(AND(AUTOEVENTO="Manual",$M288=1),0,IF(OFFSET(CRONOPLE!$F$14,$M288,BR$13)="",10^12,OFFSET(CRONOPLE!$F$14,$M288,BR$13))))</f>
        <v>1000000000000</v>
      </c>
      <c r="BS288" s="181">
        <f ca="1">IF($D288&lt;&gt;"Serviço",0,IF(AND(AUTOEVENTO="Manual",$M288=1),0,IF(OFFSET(CRONOPLE!$F$14,$M288,BS$13)="",10^12,OFFSET(CRONOPLE!$F$14,$M288,BS$13))))</f>
        <v>1000000000000</v>
      </c>
      <c r="BT288" s="181">
        <f ca="1">IF($D288&lt;&gt;"Serviço",0,IF(AND(AUTOEVENTO="Manual",$M288=1),0,IF(OFFSET(CRONOPLE!$F$14,$M288,BT$13)="",10^12,OFFSET(CRONOPLE!$F$14,$M288,BT$13))))</f>
        <v>1000000000000</v>
      </c>
      <c r="BV288" s="182">
        <f ca="1">IF($D288&lt;&gt;"Serviço",0,IF(OR(AND(AUTOEVENTO="Manual",$M288=1),$M288&gt;(ROW(PLE.lastrow)-ROW(PLE.firstrow))),0,IF(OFFSET(PLE!$G$14,$M288,BV$13)="",10^12,OFFSET(PLE!$G$14,$M288,BV$13))))</f>
        <v>1000000000000</v>
      </c>
      <c r="BW288" s="182">
        <f ca="1">IF($D288&lt;&gt;"Serviço",0,IF(OR(AND(AUTOEVENTO="Manual",$M288=1),$M288&gt;(ROW(PLE.lastrow)-ROW(PLE.firstrow))),0,IF(OFFSET(PLE!$G$14,$M288,BW$13)="",10^12,OFFSET(PLE!$G$14,$M288,BW$13))))</f>
        <v>1000000000000</v>
      </c>
      <c r="BX288" s="182">
        <f ca="1">IF($D288&lt;&gt;"Serviço",0,IF(OR(AND(AUTOEVENTO="Manual",$M288=1),$M288&gt;(ROW(PLE.lastrow)-ROW(PLE.firstrow))),0,IF(OFFSET(PLE!$G$14,$M288,BX$13)="",10^12,OFFSET(PLE!$G$14,$M288,BX$13))))</f>
        <v>1000000000000</v>
      </c>
      <c r="BY288" s="182">
        <f ca="1">IF($D288&lt;&gt;"Serviço",0,IF(OR(AND(AUTOEVENTO="Manual",$M288=1),$M288&gt;(ROW(PLE.lastrow)-ROW(PLE.firstrow))),0,IF(OFFSET(PLE!$G$14,$M288,BY$13)="",10^12,OFFSET(PLE!$G$14,$M288,BY$13))))</f>
        <v>1000000000000</v>
      </c>
      <c r="BZ288" s="182">
        <f ca="1">IF($D288&lt;&gt;"Serviço",0,IF(OR(AND(AUTOEVENTO="Manual",$M288=1),$M288&gt;(ROW(PLE.lastrow)-ROW(PLE.firstrow))),0,IF(OFFSET(PLE!$G$14,$M288,BZ$13)="",10^12,OFFSET(PLE!$G$14,$M288,BZ$13))))</f>
        <v>1000000000000</v>
      </c>
      <c r="CA288" s="182">
        <f ca="1">IF($D288&lt;&gt;"Serviço",0,IF(OR(AND(AUTOEVENTO="Manual",$M288=1),$M288&gt;(ROW(PLE.lastrow)-ROW(PLE.firstrow))),0,IF(OFFSET(PLE!$G$14,$M288,CA$13)="",10^12,OFFSET(PLE!$G$14,$M288,CA$13))))</f>
        <v>1000000000000</v>
      </c>
      <c r="CB288" s="182">
        <f ca="1">IF($D288&lt;&gt;"Serviço",0,IF(OR(AND(AUTOEVENTO="Manual",$M288=1),$M288&gt;(ROW(PLE.lastrow)-ROW(PLE.firstrow))),0,IF(OFFSET(PLE!$G$14,$M288,CB$13)="",10^12,OFFSET(PLE!$G$14,$M288,CB$13))))</f>
        <v>1000000000000</v>
      </c>
      <c r="CC288" s="182">
        <f ca="1">IF($D288&lt;&gt;"Serviço",0,IF(OR(AND(AUTOEVENTO="Manual",$M288=1),$M288&gt;(ROW(PLE.lastrow)-ROW(PLE.firstrow))),0,IF(OFFSET(PLE!$G$14,$M288,CC$13)="",10^12,OFFSET(PLE!$G$14,$M288,CC$13))))</f>
        <v>1000000000000</v>
      </c>
      <c r="CD288" s="182">
        <f ca="1">IF($D288&lt;&gt;"Serviço",0,IF(OR(AND(AUTOEVENTO="Manual",$M288=1),$M288&gt;(ROW(PLE.lastrow)-ROW(PLE.firstrow))),0,IF(OFFSET(PLE!$G$14,$M288,CD$13)="",10^12,OFFSET(PLE!$G$14,$M288,CD$13))))</f>
        <v>1000000000000</v>
      </c>
      <c r="CE288" s="182">
        <f ca="1">IF($D288&lt;&gt;"Serviço",0,IF(OR(AND(AUTOEVENTO="Manual",$M288=1),$M288&gt;(ROW(PLE.lastrow)-ROW(PLE.firstrow))),0,IF(OFFSET(PLE!$G$14,$M288,CE$13)="",10^12,OFFSET(PLE!$G$14,$M288,CE$13))))</f>
        <v>1000000000000</v>
      </c>
      <c r="CF288" s="182">
        <f ca="1">IF($D288&lt;&gt;"Serviço",0,IF(OR(AND(AUTOEVENTO="Manual",$M288=1),$M288&gt;(ROW(PLE.lastrow)-ROW(PLE.firstrow))),0,IF(OFFSET(PLE!$G$14,$M288,CF$13)="",10^12,OFFSET(PLE!$G$14,$M288,CF$13))))</f>
        <v>1000000000000</v>
      </c>
      <c r="CG288" s="182">
        <f ca="1">IF($D288&lt;&gt;"Serviço",0,IF(OR(AND(AUTOEVENTO="Manual",$M288=1),$M288&gt;(ROW(PLE.lastrow)-ROW(PLE.firstrow))),0,IF(OFFSET(PLE!$G$14,$M288,CG$13)="",10^12,OFFSET(PLE!$G$14,$M288,CG$13))))</f>
        <v>1000000000000</v>
      </c>
      <c r="CH288" s="182">
        <f ca="1">IF($D288&lt;&gt;"Serviço",0,IF(OR(AND(AUTOEVENTO="Manual",$M288=1),$M288&gt;(ROW(PLE.lastrow)-ROW(PLE.firstrow))),0,IF(OFFSET(PLE!$G$14,$M288,CH$13)="",10^12,OFFSET(PLE!$G$14,$M288,CH$13))))</f>
        <v>1000000000000</v>
      </c>
      <c r="CI288" s="182">
        <f ca="1">IF($D288&lt;&gt;"Serviço",0,IF(OR(AND(AUTOEVENTO="Manual",$M288=1),$M288&gt;(ROW(PLE.lastrow)-ROW(PLE.firstrow))),0,IF(OFFSET(PLE!$G$14,$M288,CI$13)="",10^12,OFFSET(PLE!$G$14,$M288,CI$13))))</f>
        <v>1000000000000</v>
      </c>
      <c r="CJ288" s="182">
        <f ca="1">IF($D288&lt;&gt;"Serviço",0,IF(OR(AND(AUTOEVENTO="Manual",$M288=1),$M288&gt;(ROW(PLE.lastrow)-ROW(PLE.firstrow))),0,IF(OFFSET(PLE!$G$14,$M288,CJ$13)="",10^12,OFFSET(PLE!$G$14,$M288,CJ$13))))</f>
        <v>1000000000000</v>
      </c>
      <c r="CK288" s="182">
        <f ca="1">IF($D288&lt;&gt;"Serviço",0,IF(OR(AND(AUTOEVENTO="Manual",$M288=1),$M288&gt;(ROW(PLE.lastrow)-ROW(PLE.firstrow))),0,IF(OFFSET(PLE!$G$14,$M288,CK$13)="",10^12,OFFSET(PLE!$G$14,$M288,CK$13))))</f>
        <v>1000000000000</v>
      </c>
      <c r="CL288" s="182">
        <f ca="1">IF($D288&lt;&gt;"Serviço",0,IF(OR(AND(AUTOEVENTO="Manual",$M288=1),$M288&gt;(ROW(PLE.lastrow)-ROW(PLE.firstrow))),0,IF(OFFSET(PLE!$G$14,$M288,CL$13)="",10^12,OFFSET(PLE!$G$14,$M288,CL$13))))</f>
        <v>1000000000000</v>
      </c>
      <c r="CM288" s="182">
        <f ca="1">IF($D288&lt;&gt;"Serviço",0,IF(OR(AND(AUTOEVENTO="Manual",$M288=1),$M288&gt;(ROW(PLE.lastrow)-ROW(PLE.firstrow))),0,IF(OFFSET(PLE!$G$14,$M288,CM$13)="",10^12,OFFSET(PLE!$G$14,$M288,CM$13))))</f>
        <v>1000000000000</v>
      </c>
    </row>
    <row r="289" spans="1:91" ht="38.25" x14ac:dyDescent="0.2">
      <c r="A289" s="7" t="str">
        <f t="shared" ca="1" si="12"/>
        <v>270</v>
      </c>
      <c r="B289" s="7" t="str">
        <f ca="1">OFFSET(ORÇAMENTO!C$15,ROW(B289)-ROW(B$15),0)</f>
        <v>S</v>
      </c>
      <c r="C289" s="7" t="str">
        <f ca="1">OFFSET(ORÇAMENTO!L$15,ROW(C289)-ROW(C$15),0)</f>
        <v/>
      </c>
      <c r="D289" s="118" t="str">
        <f ca="1">OFFSET(ORÇAMENTO!N$15,ROW(D289)-ROW(D$15),0)</f>
        <v>Serviço</v>
      </c>
      <c r="E289" s="119" t="str">
        <f ca="1">OFFSET(ORÇAMENTO!O$15,ROW(E289)-ROW(E$15),0)</f>
        <v>-</v>
      </c>
      <c r="F289" s="172" t="str">
        <f ca="1">OFFSET(ORÇAMENTO!R$15,ROW(F289)-ROW(F$15),0)</f>
        <v>(abra o arquivo 'Referência 06-2024.xlsm)</v>
      </c>
      <c r="G289" s="173" t="str">
        <f ca="1">IF($D289&lt;&gt;"Serviço","",OFFSET(ORÇAMENTO!S$15,ROW(G289)-ROW(G$15),0))</f>
        <v>-</v>
      </c>
      <c r="H289" s="124">
        <f ca="1">IF($D289&lt;&gt;"Serviço",0,IF(ACOMPANHAMENTO="BM",ROUND(OFFSET(ORÇAMENTO!AJ$15,ROW(H289)-ROW(H$15),0),15-13*ORÇAMENTO!$AF$7),SUMPRODUCT(($Q$12:$AI$12&lt;&gt;"")*ROUND($Q289:$AI289,15-13*ORÇAMENTO!$AF$7))))</f>
        <v>13</v>
      </c>
      <c r="I289" s="561" t="s">
        <v>1107</v>
      </c>
      <c r="K289" s="174"/>
      <c r="L289" s="175" t="s">
        <v>255</v>
      </c>
      <c r="M289" s="176">
        <f ca="1">IF($D289&lt;&gt;"Serviço","",IF(AUTOEVENTO="manual",$A289,IF(ISERROR(MATCH($A289,$A$15:OFFSET($A289,-1,0),0)),MAX($M$15:OFFSET(M289,-1,0))+1,INDEX($M$15:OFFSET(M289,-1,0),MATCH($A289,$A$15:OFFSET($A289,-1,0),0)))))</f>
        <v>36</v>
      </c>
      <c r="N289" s="177" t="str">
        <f ca="1">IF($D289&lt;&gt;"Serviço","",IF(AUTOEVENTO="Manual",IF($A289=0,"&lt;-- defina o número do agrupador",OFFSET(EVENTOS!$D$14,$A289,0)),OFFSET($F$15,$A289,0)))</f>
        <v>INSTALAÇÃO HIDRÁULICA - TUBULAÇÕES E CONEXÕES DE METAL</v>
      </c>
      <c r="O289" s="178"/>
      <c r="Q289" s="178">
        <v>13</v>
      </c>
      <c r="R289" s="179"/>
      <c r="S289" s="179"/>
      <c r="T289" s="179"/>
      <c r="U289" s="179"/>
      <c r="V289" s="179"/>
      <c r="W289" s="179"/>
      <c r="X289" s="179"/>
      <c r="Y289" s="179"/>
      <c r="Z289" s="180"/>
      <c r="AA289" s="179"/>
      <c r="AB289" s="179"/>
      <c r="AC289" s="179"/>
      <c r="AD289" s="179"/>
      <c r="AE289" s="179"/>
      <c r="AF289" s="179"/>
      <c r="AG289" s="179"/>
      <c r="AH289" s="180"/>
      <c r="AJ289" s="544">
        <f ca="1">IF(AND($D289="Serviço",AJ$12&lt;&gt;0,$H289&gt;0,OR(AUTOEVENTO&lt;&gt;"manual",$M289&lt;&gt;1)),
IF(Import.TipoArredondamento&lt;&gt;"TransfereGOV",
ROUND(OFFSET($P289,0,AJ$13),15-13*ORÇAMENTO!$AF$7)/$H289*OFFSET(ORÇAMENTO!$X$15,ROW(AJ289)-ROW(AJ$15),0),
ROUND(ROUND(OFFSET($P289,0,AJ$13),15-13*ORÇAMENTO!$AF$7)*OFFSET(ORÇAMENTO!$W$15,ROW(AJ289)-ROW(AJ$15),0),15-13*ORÇAMENTO!$AF$11)),0)</f>
        <v>0</v>
      </c>
      <c r="AK289" s="545">
        <f ca="1">IF(AND($D289="Serviço",AK$12&lt;&gt;0,$H289&gt;0,OR(AUTOEVENTO&lt;&gt;"manual",$M289&lt;&gt;1)),
IF(Import.TipoArredondamento&lt;&gt;"TransfereGOV",
ROUND(OFFSET($P289,0,AK$13),15-13*ORÇAMENTO!$AF$7)/$H289*OFFSET(ORÇAMENTO!$X$15,ROW(AK289)-ROW(AK$15),0),
ROUND(ROUND(OFFSET($P289,0,AK$13),15-13*ORÇAMENTO!$AF$7)*OFFSET(ORÇAMENTO!$W$15,ROW(AK289)-ROW(AK$15),0),15-13*ORÇAMENTO!$AF$11)),0)</f>
        <v>0</v>
      </c>
      <c r="AL289" s="545">
        <f ca="1">IF(AND($D289="Serviço",AL$12&lt;&gt;0,$H289&gt;0,OR(AUTOEVENTO&lt;&gt;"manual",$M289&lt;&gt;1)),
IF(Import.TipoArredondamento&lt;&gt;"TransfereGOV",
ROUND(OFFSET($P289,0,AL$13),15-13*ORÇAMENTO!$AF$7)/$H289*OFFSET(ORÇAMENTO!$X$15,ROW(AL289)-ROW(AL$15),0),
ROUND(ROUND(OFFSET($P289,0,AL$13),15-13*ORÇAMENTO!$AF$7)*OFFSET(ORÇAMENTO!$W$15,ROW(AL289)-ROW(AL$15),0),15-13*ORÇAMENTO!$AF$11)),0)</f>
        <v>0</v>
      </c>
      <c r="AM289" s="545">
        <f ca="1">IF(AND($D289="Serviço",AM$12&lt;&gt;0,$H289&gt;0,OR(AUTOEVENTO&lt;&gt;"manual",$M289&lt;&gt;1)),
IF(Import.TipoArredondamento&lt;&gt;"TransfereGOV",
ROUND(OFFSET($P289,0,AM$13),15-13*ORÇAMENTO!$AF$7)/$H289*OFFSET(ORÇAMENTO!$X$15,ROW(AM289)-ROW(AM$15),0),
ROUND(ROUND(OFFSET($P289,0,AM$13),15-13*ORÇAMENTO!$AF$7)*OFFSET(ORÇAMENTO!$W$15,ROW(AM289)-ROW(AM$15),0),15-13*ORÇAMENTO!$AF$11)),0)</f>
        <v>0</v>
      </c>
      <c r="AN289" s="545">
        <f ca="1">IF(AND($D289="Serviço",AN$12&lt;&gt;0,$H289&gt;0,OR(AUTOEVENTO&lt;&gt;"manual",$M289&lt;&gt;1)),
IF(Import.TipoArredondamento&lt;&gt;"TransfereGOV",
ROUND(OFFSET($P289,0,AN$13),15-13*ORÇAMENTO!$AF$7)/$H289*OFFSET(ORÇAMENTO!$X$15,ROW(AN289)-ROW(AN$15),0),
ROUND(ROUND(OFFSET($P289,0,AN$13),15-13*ORÇAMENTO!$AF$7)*OFFSET(ORÇAMENTO!$W$15,ROW(AN289)-ROW(AN$15),0),15-13*ORÇAMENTO!$AF$11)),0)</f>
        <v>0</v>
      </c>
      <c r="AO289" s="545">
        <f ca="1">IF(AND($D289="Serviço",AO$12&lt;&gt;0,$H289&gt;0,OR(AUTOEVENTO&lt;&gt;"manual",$M289&lt;&gt;1)),
IF(Import.TipoArredondamento&lt;&gt;"TransfereGOV",
ROUND(OFFSET($P289,0,AO$13),15-13*ORÇAMENTO!$AF$7)/$H289*OFFSET(ORÇAMENTO!$X$15,ROW(AO289)-ROW(AO$15),0),
ROUND(ROUND(OFFSET($P289,0,AO$13),15-13*ORÇAMENTO!$AF$7)*OFFSET(ORÇAMENTO!$W$15,ROW(AO289)-ROW(AO$15),0),15-13*ORÇAMENTO!$AF$11)),0)</f>
        <v>0</v>
      </c>
      <c r="AP289" s="545">
        <f ca="1">IF(AND($D289="Serviço",AP$12&lt;&gt;0,$H289&gt;0,OR(AUTOEVENTO&lt;&gt;"manual",$M289&lt;&gt;1)),
IF(Import.TipoArredondamento&lt;&gt;"TransfereGOV",
ROUND(OFFSET($P289,0,AP$13),15-13*ORÇAMENTO!$AF$7)/$H289*OFFSET(ORÇAMENTO!$X$15,ROW(AP289)-ROW(AP$15),0),
ROUND(ROUND(OFFSET($P289,0,AP$13),15-13*ORÇAMENTO!$AF$7)*OFFSET(ORÇAMENTO!$W$15,ROW(AP289)-ROW(AP$15),0),15-13*ORÇAMENTO!$AF$11)),0)</f>
        <v>0</v>
      </c>
      <c r="AQ289" s="545">
        <f ca="1">IF(AND($D289="Serviço",AQ$12&lt;&gt;0,$H289&gt;0,OR(AUTOEVENTO&lt;&gt;"manual",$M289&lt;&gt;1)),
IF(Import.TipoArredondamento&lt;&gt;"TransfereGOV",
ROUND(OFFSET($P289,0,AQ$13),15-13*ORÇAMENTO!$AF$7)/$H289*OFFSET(ORÇAMENTO!$X$15,ROW(AQ289)-ROW(AQ$15),0),
ROUND(ROUND(OFFSET($P289,0,AQ$13),15-13*ORÇAMENTO!$AF$7)*OFFSET(ORÇAMENTO!$W$15,ROW(AQ289)-ROW(AQ$15),0),15-13*ORÇAMENTO!$AF$11)),0)</f>
        <v>0</v>
      </c>
      <c r="AR289" s="545">
        <f ca="1">IF(AND($D289="Serviço",AR$12&lt;&gt;0,$H289&gt;0,OR(AUTOEVENTO&lt;&gt;"manual",$M289&lt;&gt;1)),
IF(Import.TipoArredondamento&lt;&gt;"TransfereGOV",
ROUND(OFFSET($P289,0,AR$13),15-13*ORÇAMENTO!$AF$7)/$H289*OFFSET(ORÇAMENTO!$X$15,ROW(AR289)-ROW(AR$15),0),
ROUND(ROUND(OFFSET($P289,0,AR$13),15-13*ORÇAMENTO!$AF$7)*OFFSET(ORÇAMENTO!$W$15,ROW(AR289)-ROW(AR$15),0),15-13*ORÇAMENTO!$AF$11)),0)</f>
        <v>0</v>
      </c>
      <c r="AS289" s="546">
        <f ca="1">IF(AND($D289="Serviço",AS$12&lt;&gt;0,$H289&gt;0,OR(AUTOEVENTO&lt;&gt;"manual",$M289&lt;&gt;1)),
IF(Import.TipoArredondamento&lt;&gt;"TransfereGOV",
ROUND(OFFSET($P289,0,AS$13),15-13*ORÇAMENTO!$AF$7)/$H289*OFFSET(ORÇAMENTO!$X$15,ROW(AS289)-ROW(AS$15),0),
ROUND(ROUND(OFFSET($P289,0,AS$13),15-13*ORÇAMENTO!$AF$7)*OFFSET(ORÇAMENTO!$W$15,ROW(AS289)-ROW(AS$15),0),15-13*ORÇAMENTO!$AF$11)),0)</f>
        <v>0</v>
      </c>
      <c r="AT289" s="545">
        <f ca="1">IF(AND($D289="Serviço",AT$12&lt;&gt;0,$H289&gt;0,OR(AUTOEVENTO&lt;&gt;"manual",$M289&lt;&gt;1)),
IF(Import.TipoArredondamento&lt;&gt;"TransfereGOV",
ROUND(OFFSET($P289,0,AT$13),15-13*ORÇAMENTO!$AF$7)/$H289*OFFSET(ORÇAMENTO!$X$15,ROW(AT289)-ROW(AT$15),0),
ROUND(ROUND(OFFSET($P289,0,AT$13),15-13*ORÇAMENTO!$AF$7)*OFFSET(ORÇAMENTO!$W$15,ROW(AT289)-ROW(AT$15),0),15-13*ORÇAMENTO!$AF$11)),0)</f>
        <v>0</v>
      </c>
      <c r="AU289" s="545">
        <f ca="1">IF(AND($D289="Serviço",AU$12&lt;&gt;0,$H289&gt;0,OR(AUTOEVENTO&lt;&gt;"manual",$M289&lt;&gt;1)),
IF(Import.TipoArredondamento&lt;&gt;"TransfereGOV",
ROUND(OFFSET($P289,0,AU$13),15-13*ORÇAMENTO!$AF$7)/$H289*OFFSET(ORÇAMENTO!$X$15,ROW(AU289)-ROW(AU$15),0),
ROUND(ROUND(OFFSET($P289,0,AU$13),15-13*ORÇAMENTO!$AF$7)*OFFSET(ORÇAMENTO!$W$15,ROW(AU289)-ROW(AU$15),0),15-13*ORÇAMENTO!$AF$11)),0)</f>
        <v>0</v>
      </c>
      <c r="AV289" s="545">
        <f ca="1">IF(AND($D289="Serviço",AV$12&lt;&gt;0,$H289&gt;0,OR(AUTOEVENTO&lt;&gt;"manual",$M289&lt;&gt;1)),
IF(Import.TipoArredondamento&lt;&gt;"TransfereGOV",
ROUND(OFFSET($P289,0,AV$13),15-13*ORÇAMENTO!$AF$7)/$H289*OFFSET(ORÇAMENTO!$X$15,ROW(AV289)-ROW(AV$15),0),
ROUND(ROUND(OFFSET($P289,0,AV$13),15-13*ORÇAMENTO!$AF$7)*OFFSET(ORÇAMENTO!$W$15,ROW(AV289)-ROW(AV$15),0),15-13*ORÇAMENTO!$AF$11)),0)</f>
        <v>0</v>
      </c>
      <c r="AW289" s="545">
        <f ca="1">IF(AND($D289="Serviço",AW$12&lt;&gt;0,$H289&gt;0,OR(AUTOEVENTO&lt;&gt;"manual",$M289&lt;&gt;1)),
IF(Import.TipoArredondamento&lt;&gt;"TransfereGOV",
ROUND(OFFSET($P289,0,AW$13),15-13*ORÇAMENTO!$AF$7)/$H289*OFFSET(ORÇAMENTO!$X$15,ROW(AW289)-ROW(AW$15),0),
ROUND(ROUND(OFFSET($P289,0,AW$13),15-13*ORÇAMENTO!$AF$7)*OFFSET(ORÇAMENTO!$W$15,ROW(AW289)-ROW(AW$15),0),15-13*ORÇAMENTO!$AF$11)),0)</f>
        <v>0</v>
      </c>
      <c r="AX289" s="545">
        <f ca="1">IF(AND($D289="Serviço",AX$12&lt;&gt;0,$H289&gt;0,OR(AUTOEVENTO&lt;&gt;"manual",$M289&lt;&gt;1)),
IF(Import.TipoArredondamento&lt;&gt;"TransfereGOV",
ROUND(OFFSET($P289,0,AX$13),15-13*ORÇAMENTO!$AF$7)/$H289*OFFSET(ORÇAMENTO!$X$15,ROW(AX289)-ROW(AX$15),0),
ROUND(ROUND(OFFSET($P289,0,AX$13),15-13*ORÇAMENTO!$AF$7)*OFFSET(ORÇAMENTO!$W$15,ROW(AX289)-ROW(AX$15),0),15-13*ORÇAMENTO!$AF$11)),0)</f>
        <v>0</v>
      </c>
      <c r="AY289" s="545">
        <f ca="1">IF(AND($D289="Serviço",AY$12&lt;&gt;0,$H289&gt;0,OR(AUTOEVENTO&lt;&gt;"manual",$M289&lt;&gt;1)),
IF(Import.TipoArredondamento&lt;&gt;"TransfereGOV",
ROUND(OFFSET($P289,0,AY$13),15-13*ORÇAMENTO!$AF$7)/$H289*OFFSET(ORÇAMENTO!$X$15,ROW(AY289)-ROW(AY$15),0),
ROUND(ROUND(OFFSET($P289,0,AY$13),15-13*ORÇAMENTO!$AF$7)*OFFSET(ORÇAMENTO!$W$15,ROW(AY289)-ROW(AY$15),0),15-13*ORÇAMENTO!$AF$11)),0)</f>
        <v>0</v>
      </c>
      <c r="AZ289" s="545">
        <f ca="1">IF(AND($D289="Serviço",AZ$12&lt;&gt;0,$H289&gt;0,OR(AUTOEVENTO&lt;&gt;"manual",$M289&lt;&gt;1)),
IF(Import.TipoArredondamento&lt;&gt;"TransfereGOV",
ROUND(OFFSET($P289,0,AZ$13),15-13*ORÇAMENTO!$AF$7)/$H289*OFFSET(ORÇAMENTO!$X$15,ROW(AZ289)-ROW(AZ$15),0),
ROUND(ROUND(OFFSET($P289,0,AZ$13),15-13*ORÇAMENTO!$AF$7)*OFFSET(ORÇAMENTO!$W$15,ROW(AZ289)-ROW(AZ$15),0),15-13*ORÇAMENTO!$AF$11)),0)</f>
        <v>0</v>
      </c>
      <c r="BA289" s="546">
        <f ca="1">IF(AND($D289="Serviço",BA$12&lt;&gt;0,$H289&gt;0,OR(AUTOEVENTO&lt;&gt;"manual",$M289&lt;&gt;1)),
IF(Import.TipoArredondamento&lt;&gt;"TransfereGOV",
ROUND(OFFSET($P289,0,BA$13),15-13*ORÇAMENTO!$AF$7)/$H289*OFFSET(ORÇAMENTO!$X$15,ROW(BA289)-ROW(BA$15),0),
ROUND(ROUND(OFFSET($P289,0,BA$13),15-13*ORÇAMENTO!$AF$7)*OFFSET(ORÇAMENTO!$W$15,ROW(BA289)-ROW(BA$15),0),15-13*ORÇAMENTO!$AF$11)),0)</f>
        <v>0</v>
      </c>
      <c r="BC289" s="181">
        <f ca="1">IF($D289&lt;&gt;"Serviço",0,IF(AND(AUTOEVENTO="Manual",$M289=1),0,IF(OFFSET(CRONOPLE!$F$14,$M289,BC$13)="",10^12,OFFSET(CRONOPLE!$F$14,$M289,BC$13))))</f>
        <v>9</v>
      </c>
      <c r="BD289" s="181">
        <f ca="1">IF($D289&lt;&gt;"Serviço",0,IF(AND(AUTOEVENTO="Manual",$M289=1),0,IF(OFFSET(CRONOPLE!$F$14,$M289,BD$13)="",10^12,OFFSET(CRONOPLE!$F$14,$M289,BD$13))))</f>
        <v>1000000000000</v>
      </c>
      <c r="BE289" s="181">
        <f ca="1">IF($D289&lt;&gt;"Serviço",0,IF(AND(AUTOEVENTO="Manual",$M289=1),0,IF(OFFSET(CRONOPLE!$F$14,$M289,BE$13)="",10^12,OFFSET(CRONOPLE!$F$14,$M289,BE$13))))</f>
        <v>1000000000000</v>
      </c>
      <c r="BF289" s="181">
        <f ca="1">IF($D289&lt;&gt;"Serviço",0,IF(AND(AUTOEVENTO="Manual",$M289=1),0,IF(OFFSET(CRONOPLE!$F$14,$M289,BF$13)="",10^12,OFFSET(CRONOPLE!$F$14,$M289,BF$13))))</f>
        <v>1000000000000</v>
      </c>
      <c r="BG289" s="181">
        <f ca="1">IF($D289&lt;&gt;"Serviço",0,IF(AND(AUTOEVENTO="Manual",$M289=1),0,IF(OFFSET(CRONOPLE!$F$14,$M289,BG$13)="",10^12,OFFSET(CRONOPLE!$F$14,$M289,BG$13))))</f>
        <v>1000000000000</v>
      </c>
      <c r="BH289" s="181">
        <f ca="1">IF($D289&lt;&gt;"Serviço",0,IF(AND(AUTOEVENTO="Manual",$M289=1),0,IF(OFFSET(CRONOPLE!$F$14,$M289,BH$13)="",10^12,OFFSET(CRONOPLE!$F$14,$M289,BH$13))))</f>
        <v>1000000000000</v>
      </c>
      <c r="BI289" s="181">
        <f ca="1">IF($D289&lt;&gt;"Serviço",0,IF(AND(AUTOEVENTO="Manual",$M289=1),0,IF(OFFSET(CRONOPLE!$F$14,$M289,BI$13)="",10^12,OFFSET(CRONOPLE!$F$14,$M289,BI$13))))</f>
        <v>1000000000000</v>
      </c>
      <c r="BJ289" s="181">
        <f ca="1">IF($D289&lt;&gt;"Serviço",0,IF(AND(AUTOEVENTO="Manual",$M289=1),0,IF(OFFSET(CRONOPLE!$F$14,$M289,BJ$13)="",10^12,OFFSET(CRONOPLE!$F$14,$M289,BJ$13))))</f>
        <v>1000000000000</v>
      </c>
      <c r="BK289" s="181">
        <f ca="1">IF($D289&lt;&gt;"Serviço",0,IF(AND(AUTOEVENTO="Manual",$M289=1),0,IF(OFFSET(CRONOPLE!$F$14,$M289,BK$13)="",10^12,OFFSET(CRONOPLE!$F$14,$M289,BK$13))))</f>
        <v>1000000000000</v>
      </c>
      <c r="BL289" s="181">
        <f ca="1">IF($D289&lt;&gt;"Serviço",0,IF(AND(AUTOEVENTO="Manual",$M289=1),0,IF(OFFSET(CRONOPLE!$F$14,$M289,BL$13)="",10^12,OFFSET(CRONOPLE!$F$14,$M289,BL$13))))</f>
        <v>1000000000000</v>
      </c>
      <c r="BM289" s="181">
        <f ca="1">IF($D289&lt;&gt;"Serviço",0,IF(AND(AUTOEVENTO="Manual",$M289=1),0,IF(OFFSET(CRONOPLE!$F$14,$M289,BM$13)="",10^12,OFFSET(CRONOPLE!$F$14,$M289,BM$13))))</f>
        <v>1000000000000</v>
      </c>
      <c r="BN289" s="181">
        <f ca="1">IF($D289&lt;&gt;"Serviço",0,IF(AND(AUTOEVENTO="Manual",$M289=1),0,IF(OFFSET(CRONOPLE!$F$14,$M289,BN$13)="",10^12,OFFSET(CRONOPLE!$F$14,$M289,BN$13))))</f>
        <v>1000000000000</v>
      </c>
      <c r="BO289" s="181">
        <f ca="1">IF($D289&lt;&gt;"Serviço",0,IF(AND(AUTOEVENTO="Manual",$M289=1),0,IF(OFFSET(CRONOPLE!$F$14,$M289,BO$13)="",10^12,OFFSET(CRONOPLE!$F$14,$M289,BO$13))))</f>
        <v>1000000000000</v>
      </c>
      <c r="BP289" s="181">
        <f ca="1">IF($D289&lt;&gt;"Serviço",0,IF(AND(AUTOEVENTO="Manual",$M289=1),0,IF(OFFSET(CRONOPLE!$F$14,$M289,BP$13)="",10^12,OFFSET(CRONOPLE!$F$14,$M289,BP$13))))</f>
        <v>1000000000000</v>
      </c>
      <c r="BQ289" s="181">
        <f ca="1">IF($D289&lt;&gt;"Serviço",0,IF(AND(AUTOEVENTO="Manual",$M289=1),0,IF(OFFSET(CRONOPLE!$F$14,$M289,BQ$13)="",10^12,OFFSET(CRONOPLE!$F$14,$M289,BQ$13))))</f>
        <v>1000000000000</v>
      </c>
      <c r="BR289" s="181">
        <f ca="1">IF($D289&lt;&gt;"Serviço",0,IF(AND(AUTOEVENTO="Manual",$M289=1),0,IF(OFFSET(CRONOPLE!$F$14,$M289,BR$13)="",10^12,OFFSET(CRONOPLE!$F$14,$M289,BR$13))))</f>
        <v>1000000000000</v>
      </c>
      <c r="BS289" s="181">
        <f ca="1">IF($D289&lt;&gt;"Serviço",0,IF(AND(AUTOEVENTO="Manual",$M289=1),0,IF(OFFSET(CRONOPLE!$F$14,$M289,BS$13)="",10^12,OFFSET(CRONOPLE!$F$14,$M289,BS$13))))</f>
        <v>1000000000000</v>
      </c>
      <c r="BT289" s="181">
        <f ca="1">IF($D289&lt;&gt;"Serviço",0,IF(AND(AUTOEVENTO="Manual",$M289=1),0,IF(OFFSET(CRONOPLE!$F$14,$M289,BT$13)="",10^12,OFFSET(CRONOPLE!$F$14,$M289,BT$13))))</f>
        <v>1000000000000</v>
      </c>
      <c r="BV289" s="182">
        <f ca="1">IF($D289&lt;&gt;"Serviço",0,IF(OR(AND(AUTOEVENTO="Manual",$M289=1),$M289&gt;(ROW(PLE.lastrow)-ROW(PLE.firstrow))),0,IF(OFFSET(PLE!$G$14,$M289,BV$13)="",10^12,OFFSET(PLE!$G$14,$M289,BV$13))))</f>
        <v>1000000000000</v>
      </c>
      <c r="BW289" s="182">
        <f ca="1">IF($D289&lt;&gt;"Serviço",0,IF(OR(AND(AUTOEVENTO="Manual",$M289=1),$M289&gt;(ROW(PLE.lastrow)-ROW(PLE.firstrow))),0,IF(OFFSET(PLE!$G$14,$M289,BW$13)="",10^12,OFFSET(PLE!$G$14,$M289,BW$13))))</f>
        <v>1000000000000</v>
      </c>
      <c r="BX289" s="182">
        <f ca="1">IF($D289&lt;&gt;"Serviço",0,IF(OR(AND(AUTOEVENTO="Manual",$M289=1),$M289&gt;(ROW(PLE.lastrow)-ROW(PLE.firstrow))),0,IF(OFFSET(PLE!$G$14,$M289,BX$13)="",10^12,OFFSET(PLE!$G$14,$M289,BX$13))))</f>
        <v>1000000000000</v>
      </c>
      <c r="BY289" s="182">
        <f ca="1">IF($D289&lt;&gt;"Serviço",0,IF(OR(AND(AUTOEVENTO="Manual",$M289=1),$M289&gt;(ROW(PLE.lastrow)-ROW(PLE.firstrow))),0,IF(OFFSET(PLE!$G$14,$M289,BY$13)="",10^12,OFFSET(PLE!$G$14,$M289,BY$13))))</f>
        <v>1000000000000</v>
      </c>
      <c r="BZ289" s="182">
        <f ca="1">IF($D289&lt;&gt;"Serviço",0,IF(OR(AND(AUTOEVENTO="Manual",$M289=1),$M289&gt;(ROW(PLE.lastrow)-ROW(PLE.firstrow))),0,IF(OFFSET(PLE!$G$14,$M289,BZ$13)="",10^12,OFFSET(PLE!$G$14,$M289,BZ$13))))</f>
        <v>1000000000000</v>
      </c>
      <c r="CA289" s="182">
        <f ca="1">IF($D289&lt;&gt;"Serviço",0,IF(OR(AND(AUTOEVENTO="Manual",$M289=1),$M289&gt;(ROW(PLE.lastrow)-ROW(PLE.firstrow))),0,IF(OFFSET(PLE!$G$14,$M289,CA$13)="",10^12,OFFSET(PLE!$G$14,$M289,CA$13))))</f>
        <v>1000000000000</v>
      </c>
      <c r="CB289" s="182">
        <f ca="1">IF($D289&lt;&gt;"Serviço",0,IF(OR(AND(AUTOEVENTO="Manual",$M289=1),$M289&gt;(ROW(PLE.lastrow)-ROW(PLE.firstrow))),0,IF(OFFSET(PLE!$G$14,$M289,CB$13)="",10^12,OFFSET(PLE!$G$14,$M289,CB$13))))</f>
        <v>1000000000000</v>
      </c>
      <c r="CC289" s="182">
        <f ca="1">IF($D289&lt;&gt;"Serviço",0,IF(OR(AND(AUTOEVENTO="Manual",$M289=1),$M289&gt;(ROW(PLE.lastrow)-ROW(PLE.firstrow))),0,IF(OFFSET(PLE!$G$14,$M289,CC$13)="",10^12,OFFSET(PLE!$G$14,$M289,CC$13))))</f>
        <v>1000000000000</v>
      </c>
      <c r="CD289" s="182">
        <f ca="1">IF($D289&lt;&gt;"Serviço",0,IF(OR(AND(AUTOEVENTO="Manual",$M289=1),$M289&gt;(ROW(PLE.lastrow)-ROW(PLE.firstrow))),0,IF(OFFSET(PLE!$G$14,$M289,CD$13)="",10^12,OFFSET(PLE!$G$14,$M289,CD$13))))</f>
        <v>1000000000000</v>
      </c>
      <c r="CE289" s="182">
        <f ca="1">IF($D289&lt;&gt;"Serviço",0,IF(OR(AND(AUTOEVENTO="Manual",$M289=1),$M289&gt;(ROW(PLE.lastrow)-ROW(PLE.firstrow))),0,IF(OFFSET(PLE!$G$14,$M289,CE$13)="",10^12,OFFSET(PLE!$G$14,$M289,CE$13))))</f>
        <v>1000000000000</v>
      </c>
      <c r="CF289" s="182">
        <f ca="1">IF($D289&lt;&gt;"Serviço",0,IF(OR(AND(AUTOEVENTO="Manual",$M289=1),$M289&gt;(ROW(PLE.lastrow)-ROW(PLE.firstrow))),0,IF(OFFSET(PLE!$G$14,$M289,CF$13)="",10^12,OFFSET(PLE!$G$14,$M289,CF$13))))</f>
        <v>1000000000000</v>
      </c>
      <c r="CG289" s="182">
        <f ca="1">IF($D289&lt;&gt;"Serviço",0,IF(OR(AND(AUTOEVENTO="Manual",$M289=1),$M289&gt;(ROW(PLE.lastrow)-ROW(PLE.firstrow))),0,IF(OFFSET(PLE!$G$14,$M289,CG$13)="",10^12,OFFSET(PLE!$G$14,$M289,CG$13))))</f>
        <v>1000000000000</v>
      </c>
      <c r="CH289" s="182">
        <f ca="1">IF($D289&lt;&gt;"Serviço",0,IF(OR(AND(AUTOEVENTO="Manual",$M289=1),$M289&gt;(ROW(PLE.lastrow)-ROW(PLE.firstrow))),0,IF(OFFSET(PLE!$G$14,$M289,CH$13)="",10^12,OFFSET(PLE!$G$14,$M289,CH$13))))</f>
        <v>1000000000000</v>
      </c>
      <c r="CI289" s="182">
        <f ca="1">IF($D289&lt;&gt;"Serviço",0,IF(OR(AND(AUTOEVENTO="Manual",$M289=1),$M289&gt;(ROW(PLE.lastrow)-ROW(PLE.firstrow))),0,IF(OFFSET(PLE!$G$14,$M289,CI$13)="",10^12,OFFSET(PLE!$G$14,$M289,CI$13))))</f>
        <v>1000000000000</v>
      </c>
      <c r="CJ289" s="182">
        <f ca="1">IF($D289&lt;&gt;"Serviço",0,IF(OR(AND(AUTOEVENTO="Manual",$M289=1),$M289&gt;(ROW(PLE.lastrow)-ROW(PLE.firstrow))),0,IF(OFFSET(PLE!$G$14,$M289,CJ$13)="",10^12,OFFSET(PLE!$G$14,$M289,CJ$13))))</f>
        <v>1000000000000</v>
      </c>
      <c r="CK289" s="182">
        <f ca="1">IF($D289&lt;&gt;"Serviço",0,IF(OR(AND(AUTOEVENTO="Manual",$M289=1),$M289&gt;(ROW(PLE.lastrow)-ROW(PLE.firstrow))),0,IF(OFFSET(PLE!$G$14,$M289,CK$13)="",10^12,OFFSET(PLE!$G$14,$M289,CK$13))))</f>
        <v>1000000000000</v>
      </c>
      <c r="CL289" s="182">
        <f ca="1">IF($D289&lt;&gt;"Serviço",0,IF(OR(AND(AUTOEVENTO="Manual",$M289=1),$M289&gt;(ROW(PLE.lastrow)-ROW(PLE.firstrow))),0,IF(OFFSET(PLE!$G$14,$M289,CL$13)="",10^12,OFFSET(PLE!$G$14,$M289,CL$13))))</f>
        <v>1000000000000</v>
      </c>
      <c r="CM289" s="182">
        <f ca="1">IF($D289&lt;&gt;"Serviço",0,IF(OR(AND(AUTOEVENTO="Manual",$M289=1),$M289&gt;(ROW(PLE.lastrow)-ROW(PLE.firstrow))),0,IF(OFFSET(PLE!$G$14,$M289,CM$13)="",10^12,OFFSET(PLE!$G$14,$M289,CM$13))))</f>
        <v>1000000000000</v>
      </c>
    </row>
    <row r="290" spans="1:91" ht="38.25" x14ac:dyDescent="0.2">
      <c r="A290" s="7" t="str">
        <f t="shared" ca="1" si="12"/>
        <v>270</v>
      </c>
      <c r="B290" s="7" t="str">
        <f ca="1">OFFSET(ORÇAMENTO!C$15,ROW(B290)-ROW(B$15),0)</f>
        <v>S</v>
      </c>
      <c r="C290" s="7" t="str">
        <f ca="1">OFFSET(ORÇAMENTO!L$15,ROW(C290)-ROW(C$15),0)</f>
        <v/>
      </c>
      <c r="D290" s="118" t="str">
        <f ca="1">OFFSET(ORÇAMENTO!N$15,ROW(D290)-ROW(D$15),0)</f>
        <v>Serviço</v>
      </c>
      <c r="E290" s="119" t="str">
        <f ca="1">OFFSET(ORÇAMENTO!O$15,ROW(E290)-ROW(E$15),0)</f>
        <v>-</v>
      </c>
      <c r="F290" s="172" t="str">
        <f ca="1">OFFSET(ORÇAMENTO!R$15,ROW(F290)-ROW(F$15),0)</f>
        <v>(abra o arquivo 'Referência 06-2024.xlsm)</v>
      </c>
      <c r="G290" s="173" t="str">
        <f ca="1">IF($D290&lt;&gt;"Serviço","",OFFSET(ORÇAMENTO!S$15,ROW(G290)-ROW(G$15),0))</f>
        <v>-</v>
      </c>
      <c r="H290" s="124">
        <f ca="1">IF($D290&lt;&gt;"Serviço",0,IF(ACOMPANHAMENTO="BM",ROUND(OFFSET(ORÇAMENTO!AJ$15,ROW(H290)-ROW(H$15),0),15-13*ORÇAMENTO!$AF$7),SUMPRODUCT(($Q$12:$AI$12&lt;&gt;"")*ROUND($Q290:$AI290,15-13*ORÇAMENTO!$AF$7))))</f>
        <v>1</v>
      </c>
      <c r="I290" s="561" t="s">
        <v>1107</v>
      </c>
      <c r="K290" s="174"/>
      <c r="L290" s="175" t="s">
        <v>255</v>
      </c>
      <c r="M290" s="176">
        <f ca="1">IF($D290&lt;&gt;"Serviço","",IF(AUTOEVENTO="manual",$A290,IF(ISERROR(MATCH($A290,$A$15:OFFSET($A290,-1,0),0)),MAX($M$15:OFFSET(M290,-1,0))+1,INDEX($M$15:OFFSET(M290,-1,0),MATCH($A290,$A$15:OFFSET($A290,-1,0),0)))))</f>
        <v>36</v>
      </c>
      <c r="N290" s="177" t="str">
        <f ca="1">IF($D290&lt;&gt;"Serviço","",IF(AUTOEVENTO="Manual",IF($A290=0,"&lt;-- defina o número do agrupador",OFFSET(EVENTOS!$D$14,$A290,0)),OFFSET($F$15,$A290,0)))</f>
        <v>INSTALAÇÃO HIDRÁULICA - TUBULAÇÕES E CONEXÕES DE METAL</v>
      </c>
      <c r="O290" s="178"/>
      <c r="Q290" s="178">
        <v>1</v>
      </c>
      <c r="R290" s="179"/>
      <c r="S290" s="179"/>
      <c r="T290" s="179"/>
      <c r="U290" s="179"/>
      <c r="V290" s="179"/>
      <c r="W290" s="179"/>
      <c r="X290" s="179"/>
      <c r="Y290" s="179"/>
      <c r="Z290" s="180"/>
      <c r="AA290" s="179"/>
      <c r="AB290" s="179"/>
      <c r="AC290" s="179"/>
      <c r="AD290" s="179"/>
      <c r="AE290" s="179"/>
      <c r="AF290" s="179"/>
      <c r="AG290" s="179"/>
      <c r="AH290" s="180"/>
      <c r="AJ290" s="544">
        <f ca="1">IF(AND($D290="Serviço",AJ$12&lt;&gt;0,$H290&gt;0,OR(AUTOEVENTO&lt;&gt;"manual",$M290&lt;&gt;1)),
IF(Import.TipoArredondamento&lt;&gt;"TransfereGOV",
ROUND(OFFSET($P290,0,AJ$13),15-13*ORÇAMENTO!$AF$7)/$H290*OFFSET(ORÇAMENTO!$X$15,ROW(AJ290)-ROW(AJ$15),0),
ROUND(ROUND(OFFSET($P290,0,AJ$13),15-13*ORÇAMENTO!$AF$7)*OFFSET(ORÇAMENTO!$W$15,ROW(AJ290)-ROW(AJ$15),0),15-13*ORÇAMENTO!$AF$11)),0)</f>
        <v>0</v>
      </c>
      <c r="AK290" s="545">
        <f ca="1">IF(AND($D290="Serviço",AK$12&lt;&gt;0,$H290&gt;0,OR(AUTOEVENTO&lt;&gt;"manual",$M290&lt;&gt;1)),
IF(Import.TipoArredondamento&lt;&gt;"TransfereGOV",
ROUND(OFFSET($P290,0,AK$13),15-13*ORÇAMENTO!$AF$7)/$H290*OFFSET(ORÇAMENTO!$X$15,ROW(AK290)-ROW(AK$15),0),
ROUND(ROUND(OFFSET($P290,0,AK$13),15-13*ORÇAMENTO!$AF$7)*OFFSET(ORÇAMENTO!$W$15,ROW(AK290)-ROW(AK$15),0),15-13*ORÇAMENTO!$AF$11)),0)</f>
        <v>0</v>
      </c>
      <c r="AL290" s="545">
        <f ca="1">IF(AND($D290="Serviço",AL$12&lt;&gt;0,$H290&gt;0,OR(AUTOEVENTO&lt;&gt;"manual",$M290&lt;&gt;1)),
IF(Import.TipoArredondamento&lt;&gt;"TransfereGOV",
ROUND(OFFSET($P290,0,AL$13),15-13*ORÇAMENTO!$AF$7)/$H290*OFFSET(ORÇAMENTO!$X$15,ROW(AL290)-ROW(AL$15),0),
ROUND(ROUND(OFFSET($P290,0,AL$13),15-13*ORÇAMENTO!$AF$7)*OFFSET(ORÇAMENTO!$W$15,ROW(AL290)-ROW(AL$15),0),15-13*ORÇAMENTO!$AF$11)),0)</f>
        <v>0</v>
      </c>
      <c r="AM290" s="545">
        <f ca="1">IF(AND($D290="Serviço",AM$12&lt;&gt;0,$H290&gt;0,OR(AUTOEVENTO&lt;&gt;"manual",$M290&lt;&gt;1)),
IF(Import.TipoArredondamento&lt;&gt;"TransfereGOV",
ROUND(OFFSET($P290,0,AM$13),15-13*ORÇAMENTO!$AF$7)/$H290*OFFSET(ORÇAMENTO!$X$15,ROW(AM290)-ROW(AM$15),0),
ROUND(ROUND(OFFSET($P290,0,AM$13),15-13*ORÇAMENTO!$AF$7)*OFFSET(ORÇAMENTO!$W$15,ROW(AM290)-ROW(AM$15),0),15-13*ORÇAMENTO!$AF$11)),0)</f>
        <v>0</v>
      </c>
      <c r="AN290" s="545">
        <f ca="1">IF(AND($D290="Serviço",AN$12&lt;&gt;0,$H290&gt;0,OR(AUTOEVENTO&lt;&gt;"manual",$M290&lt;&gt;1)),
IF(Import.TipoArredondamento&lt;&gt;"TransfereGOV",
ROUND(OFFSET($P290,0,AN$13),15-13*ORÇAMENTO!$AF$7)/$H290*OFFSET(ORÇAMENTO!$X$15,ROW(AN290)-ROW(AN$15),0),
ROUND(ROUND(OFFSET($P290,0,AN$13),15-13*ORÇAMENTO!$AF$7)*OFFSET(ORÇAMENTO!$W$15,ROW(AN290)-ROW(AN$15),0),15-13*ORÇAMENTO!$AF$11)),0)</f>
        <v>0</v>
      </c>
      <c r="AO290" s="545">
        <f ca="1">IF(AND($D290="Serviço",AO$12&lt;&gt;0,$H290&gt;0,OR(AUTOEVENTO&lt;&gt;"manual",$M290&lt;&gt;1)),
IF(Import.TipoArredondamento&lt;&gt;"TransfereGOV",
ROUND(OFFSET($P290,0,AO$13),15-13*ORÇAMENTO!$AF$7)/$H290*OFFSET(ORÇAMENTO!$X$15,ROW(AO290)-ROW(AO$15),0),
ROUND(ROUND(OFFSET($P290,0,AO$13),15-13*ORÇAMENTO!$AF$7)*OFFSET(ORÇAMENTO!$W$15,ROW(AO290)-ROW(AO$15),0),15-13*ORÇAMENTO!$AF$11)),0)</f>
        <v>0</v>
      </c>
      <c r="AP290" s="545">
        <f ca="1">IF(AND($D290="Serviço",AP$12&lt;&gt;0,$H290&gt;0,OR(AUTOEVENTO&lt;&gt;"manual",$M290&lt;&gt;1)),
IF(Import.TipoArredondamento&lt;&gt;"TransfereGOV",
ROUND(OFFSET($P290,0,AP$13),15-13*ORÇAMENTO!$AF$7)/$H290*OFFSET(ORÇAMENTO!$X$15,ROW(AP290)-ROW(AP$15),0),
ROUND(ROUND(OFFSET($P290,0,AP$13),15-13*ORÇAMENTO!$AF$7)*OFFSET(ORÇAMENTO!$W$15,ROW(AP290)-ROW(AP$15),0),15-13*ORÇAMENTO!$AF$11)),0)</f>
        <v>0</v>
      </c>
      <c r="AQ290" s="545">
        <f ca="1">IF(AND($D290="Serviço",AQ$12&lt;&gt;0,$H290&gt;0,OR(AUTOEVENTO&lt;&gt;"manual",$M290&lt;&gt;1)),
IF(Import.TipoArredondamento&lt;&gt;"TransfereGOV",
ROUND(OFFSET($P290,0,AQ$13),15-13*ORÇAMENTO!$AF$7)/$H290*OFFSET(ORÇAMENTO!$X$15,ROW(AQ290)-ROW(AQ$15),0),
ROUND(ROUND(OFFSET($P290,0,AQ$13),15-13*ORÇAMENTO!$AF$7)*OFFSET(ORÇAMENTO!$W$15,ROW(AQ290)-ROW(AQ$15),0),15-13*ORÇAMENTO!$AF$11)),0)</f>
        <v>0</v>
      </c>
      <c r="AR290" s="545">
        <f ca="1">IF(AND($D290="Serviço",AR$12&lt;&gt;0,$H290&gt;0,OR(AUTOEVENTO&lt;&gt;"manual",$M290&lt;&gt;1)),
IF(Import.TipoArredondamento&lt;&gt;"TransfereGOV",
ROUND(OFFSET($P290,0,AR$13),15-13*ORÇAMENTO!$AF$7)/$H290*OFFSET(ORÇAMENTO!$X$15,ROW(AR290)-ROW(AR$15),0),
ROUND(ROUND(OFFSET($P290,0,AR$13),15-13*ORÇAMENTO!$AF$7)*OFFSET(ORÇAMENTO!$W$15,ROW(AR290)-ROW(AR$15),0),15-13*ORÇAMENTO!$AF$11)),0)</f>
        <v>0</v>
      </c>
      <c r="AS290" s="546">
        <f ca="1">IF(AND($D290="Serviço",AS$12&lt;&gt;0,$H290&gt;0,OR(AUTOEVENTO&lt;&gt;"manual",$M290&lt;&gt;1)),
IF(Import.TipoArredondamento&lt;&gt;"TransfereGOV",
ROUND(OFFSET($P290,0,AS$13),15-13*ORÇAMENTO!$AF$7)/$H290*OFFSET(ORÇAMENTO!$X$15,ROW(AS290)-ROW(AS$15),0),
ROUND(ROUND(OFFSET($P290,0,AS$13),15-13*ORÇAMENTO!$AF$7)*OFFSET(ORÇAMENTO!$W$15,ROW(AS290)-ROW(AS$15),0),15-13*ORÇAMENTO!$AF$11)),0)</f>
        <v>0</v>
      </c>
      <c r="AT290" s="545">
        <f ca="1">IF(AND($D290="Serviço",AT$12&lt;&gt;0,$H290&gt;0,OR(AUTOEVENTO&lt;&gt;"manual",$M290&lt;&gt;1)),
IF(Import.TipoArredondamento&lt;&gt;"TransfereGOV",
ROUND(OFFSET($P290,0,AT$13),15-13*ORÇAMENTO!$AF$7)/$H290*OFFSET(ORÇAMENTO!$X$15,ROW(AT290)-ROW(AT$15),0),
ROUND(ROUND(OFFSET($P290,0,AT$13),15-13*ORÇAMENTO!$AF$7)*OFFSET(ORÇAMENTO!$W$15,ROW(AT290)-ROW(AT$15),0),15-13*ORÇAMENTO!$AF$11)),0)</f>
        <v>0</v>
      </c>
      <c r="AU290" s="545">
        <f ca="1">IF(AND($D290="Serviço",AU$12&lt;&gt;0,$H290&gt;0,OR(AUTOEVENTO&lt;&gt;"manual",$M290&lt;&gt;1)),
IF(Import.TipoArredondamento&lt;&gt;"TransfereGOV",
ROUND(OFFSET($P290,0,AU$13),15-13*ORÇAMENTO!$AF$7)/$H290*OFFSET(ORÇAMENTO!$X$15,ROW(AU290)-ROW(AU$15),0),
ROUND(ROUND(OFFSET($P290,0,AU$13),15-13*ORÇAMENTO!$AF$7)*OFFSET(ORÇAMENTO!$W$15,ROW(AU290)-ROW(AU$15),0),15-13*ORÇAMENTO!$AF$11)),0)</f>
        <v>0</v>
      </c>
      <c r="AV290" s="545">
        <f ca="1">IF(AND($D290="Serviço",AV$12&lt;&gt;0,$H290&gt;0,OR(AUTOEVENTO&lt;&gt;"manual",$M290&lt;&gt;1)),
IF(Import.TipoArredondamento&lt;&gt;"TransfereGOV",
ROUND(OFFSET($P290,0,AV$13),15-13*ORÇAMENTO!$AF$7)/$H290*OFFSET(ORÇAMENTO!$X$15,ROW(AV290)-ROW(AV$15),0),
ROUND(ROUND(OFFSET($P290,0,AV$13),15-13*ORÇAMENTO!$AF$7)*OFFSET(ORÇAMENTO!$W$15,ROW(AV290)-ROW(AV$15),0),15-13*ORÇAMENTO!$AF$11)),0)</f>
        <v>0</v>
      </c>
      <c r="AW290" s="545">
        <f ca="1">IF(AND($D290="Serviço",AW$12&lt;&gt;0,$H290&gt;0,OR(AUTOEVENTO&lt;&gt;"manual",$M290&lt;&gt;1)),
IF(Import.TipoArredondamento&lt;&gt;"TransfereGOV",
ROUND(OFFSET($P290,0,AW$13),15-13*ORÇAMENTO!$AF$7)/$H290*OFFSET(ORÇAMENTO!$X$15,ROW(AW290)-ROW(AW$15),0),
ROUND(ROUND(OFFSET($P290,0,AW$13),15-13*ORÇAMENTO!$AF$7)*OFFSET(ORÇAMENTO!$W$15,ROW(AW290)-ROW(AW$15),0),15-13*ORÇAMENTO!$AF$11)),0)</f>
        <v>0</v>
      </c>
      <c r="AX290" s="545">
        <f ca="1">IF(AND($D290="Serviço",AX$12&lt;&gt;0,$H290&gt;0,OR(AUTOEVENTO&lt;&gt;"manual",$M290&lt;&gt;1)),
IF(Import.TipoArredondamento&lt;&gt;"TransfereGOV",
ROUND(OFFSET($P290,0,AX$13),15-13*ORÇAMENTO!$AF$7)/$H290*OFFSET(ORÇAMENTO!$X$15,ROW(AX290)-ROW(AX$15),0),
ROUND(ROUND(OFFSET($P290,0,AX$13),15-13*ORÇAMENTO!$AF$7)*OFFSET(ORÇAMENTO!$W$15,ROW(AX290)-ROW(AX$15),0),15-13*ORÇAMENTO!$AF$11)),0)</f>
        <v>0</v>
      </c>
      <c r="AY290" s="545">
        <f ca="1">IF(AND($D290="Serviço",AY$12&lt;&gt;0,$H290&gt;0,OR(AUTOEVENTO&lt;&gt;"manual",$M290&lt;&gt;1)),
IF(Import.TipoArredondamento&lt;&gt;"TransfereGOV",
ROUND(OFFSET($P290,0,AY$13),15-13*ORÇAMENTO!$AF$7)/$H290*OFFSET(ORÇAMENTO!$X$15,ROW(AY290)-ROW(AY$15),0),
ROUND(ROUND(OFFSET($P290,0,AY$13),15-13*ORÇAMENTO!$AF$7)*OFFSET(ORÇAMENTO!$W$15,ROW(AY290)-ROW(AY$15),0),15-13*ORÇAMENTO!$AF$11)),0)</f>
        <v>0</v>
      </c>
      <c r="AZ290" s="545">
        <f ca="1">IF(AND($D290="Serviço",AZ$12&lt;&gt;0,$H290&gt;0,OR(AUTOEVENTO&lt;&gt;"manual",$M290&lt;&gt;1)),
IF(Import.TipoArredondamento&lt;&gt;"TransfereGOV",
ROUND(OFFSET($P290,0,AZ$13),15-13*ORÇAMENTO!$AF$7)/$H290*OFFSET(ORÇAMENTO!$X$15,ROW(AZ290)-ROW(AZ$15),0),
ROUND(ROUND(OFFSET($P290,0,AZ$13),15-13*ORÇAMENTO!$AF$7)*OFFSET(ORÇAMENTO!$W$15,ROW(AZ290)-ROW(AZ$15),0),15-13*ORÇAMENTO!$AF$11)),0)</f>
        <v>0</v>
      </c>
      <c r="BA290" s="546">
        <f ca="1">IF(AND($D290="Serviço",BA$12&lt;&gt;0,$H290&gt;0,OR(AUTOEVENTO&lt;&gt;"manual",$M290&lt;&gt;1)),
IF(Import.TipoArredondamento&lt;&gt;"TransfereGOV",
ROUND(OFFSET($P290,0,BA$13),15-13*ORÇAMENTO!$AF$7)/$H290*OFFSET(ORÇAMENTO!$X$15,ROW(BA290)-ROW(BA$15),0),
ROUND(ROUND(OFFSET($P290,0,BA$13),15-13*ORÇAMENTO!$AF$7)*OFFSET(ORÇAMENTO!$W$15,ROW(BA290)-ROW(BA$15),0),15-13*ORÇAMENTO!$AF$11)),0)</f>
        <v>0</v>
      </c>
      <c r="BC290" s="181">
        <f ca="1">IF($D290&lt;&gt;"Serviço",0,IF(AND(AUTOEVENTO="Manual",$M290=1),0,IF(OFFSET(CRONOPLE!$F$14,$M290,BC$13)="",10^12,OFFSET(CRONOPLE!$F$14,$M290,BC$13))))</f>
        <v>9</v>
      </c>
      <c r="BD290" s="181">
        <f ca="1">IF($D290&lt;&gt;"Serviço",0,IF(AND(AUTOEVENTO="Manual",$M290=1),0,IF(OFFSET(CRONOPLE!$F$14,$M290,BD$13)="",10^12,OFFSET(CRONOPLE!$F$14,$M290,BD$13))))</f>
        <v>1000000000000</v>
      </c>
      <c r="BE290" s="181">
        <f ca="1">IF($D290&lt;&gt;"Serviço",0,IF(AND(AUTOEVENTO="Manual",$M290=1),0,IF(OFFSET(CRONOPLE!$F$14,$M290,BE$13)="",10^12,OFFSET(CRONOPLE!$F$14,$M290,BE$13))))</f>
        <v>1000000000000</v>
      </c>
      <c r="BF290" s="181">
        <f ca="1">IF($D290&lt;&gt;"Serviço",0,IF(AND(AUTOEVENTO="Manual",$M290=1),0,IF(OFFSET(CRONOPLE!$F$14,$M290,BF$13)="",10^12,OFFSET(CRONOPLE!$F$14,$M290,BF$13))))</f>
        <v>1000000000000</v>
      </c>
      <c r="BG290" s="181">
        <f ca="1">IF($D290&lt;&gt;"Serviço",0,IF(AND(AUTOEVENTO="Manual",$M290=1),0,IF(OFFSET(CRONOPLE!$F$14,$M290,BG$13)="",10^12,OFFSET(CRONOPLE!$F$14,$M290,BG$13))))</f>
        <v>1000000000000</v>
      </c>
      <c r="BH290" s="181">
        <f ca="1">IF($D290&lt;&gt;"Serviço",0,IF(AND(AUTOEVENTO="Manual",$M290=1),0,IF(OFFSET(CRONOPLE!$F$14,$M290,BH$13)="",10^12,OFFSET(CRONOPLE!$F$14,$M290,BH$13))))</f>
        <v>1000000000000</v>
      </c>
      <c r="BI290" s="181">
        <f ca="1">IF($D290&lt;&gt;"Serviço",0,IF(AND(AUTOEVENTO="Manual",$M290=1),0,IF(OFFSET(CRONOPLE!$F$14,$M290,BI$13)="",10^12,OFFSET(CRONOPLE!$F$14,$M290,BI$13))))</f>
        <v>1000000000000</v>
      </c>
      <c r="BJ290" s="181">
        <f ca="1">IF($D290&lt;&gt;"Serviço",0,IF(AND(AUTOEVENTO="Manual",$M290=1),0,IF(OFFSET(CRONOPLE!$F$14,$M290,BJ$13)="",10^12,OFFSET(CRONOPLE!$F$14,$M290,BJ$13))))</f>
        <v>1000000000000</v>
      </c>
      <c r="BK290" s="181">
        <f ca="1">IF($D290&lt;&gt;"Serviço",0,IF(AND(AUTOEVENTO="Manual",$M290=1),0,IF(OFFSET(CRONOPLE!$F$14,$M290,BK$13)="",10^12,OFFSET(CRONOPLE!$F$14,$M290,BK$13))))</f>
        <v>1000000000000</v>
      </c>
      <c r="BL290" s="181">
        <f ca="1">IF($D290&lt;&gt;"Serviço",0,IF(AND(AUTOEVENTO="Manual",$M290=1),0,IF(OFFSET(CRONOPLE!$F$14,$M290,BL$13)="",10^12,OFFSET(CRONOPLE!$F$14,$M290,BL$13))))</f>
        <v>1000000000000</v>
      </c>
      <c r="BM290" s="181">
        <f ca="1">IF($D290&lt;&gt;"Serviço",0,IF(AND(AUTOEVENTO="Manual",$M290=1),0,IF(OFFSET(CRONOPLE!$F$14,$M290,BM$13)="",10^12,OFFSET(CRONOPLE!$F$14,$M290,BM$13))))</f>
        <v>1000000000000</v>
      </c>
      <c r="BN290" s="181">
        <f ca="1">IF($D290&lt;&gt;"Serviço",0,IF(AND(AUTOEVENTO="Manual",$M290=1),0,IF(OFFSET(CRONOPLE!$F$14,$M290,BN$13)="",10^12,OFFSET(CRONOPLE!$F$14,$M290,BN$13))))</f>
        <v>1000000000000</v>
      </c>
      <c r="BO290" s="181">
        <f ca="1">IF($D290&lt;&gt;"Serviço",0,IF(AND(AUTOEVENTO="Manual",$M290=1),0,IF(OFFSET(CRONOPLE!$F$14,$M290,BO$13)="",10^12,OFFSET(CRONOPLE!$F$14,$M290,BO$13))))</f>
        <v>1000000000000</v>
      </c>
      <c r="BP290" s="181">
        <f ca="1">IF($D290&lt;&gt;"Serviço",0,IF(AND(AUTOEVENTO="Manual",$M290=1),0,IF(OFFSET(CRONOPLE!$F$14,$M290,BP$13)="",10^12,OFFSET(CRONOPLE!$F$14,$M290,BP$13))))</f>
        <v>1000000000000</v>
      </c>
      <c r="BQ290" s="181">
        <f ca="1">IF($D290&lt;&gt;"Serviço",0,IF(AND(AUTOEVENTO="Manual",$M290=1),0,IF(OFFSET(CRONOPLE!$F$14,$M290,BQ$13)="",10^12,OFFSET(CRONOPLE!$F$14,$M290,BQ$13))))</f>
        <v>1000000000000</v>
      </c>
      <c r="BR290" s="181">
        <f ca="1">IF($D290&lt;&gt;"Serviço",0,IF(AND(AUTOEVENTO="Manual",$M290=1),0,IF(OFFSET(CRONOPLE!$F$14,$M290,BR$13)="",10^12,OFFSET(CRONOPLE!$F$14,$M290,BR$13))))</f>
        <v>1000000000000</v>
      </c>
      <c r="BS290" s="181">
        <f ca="1">IF($D290&lt;&gt;"Serviço",0,IF(AND(AUTOEVENTO="Manual",$M290=1),0,IF(OFFSET(CRONOPLE!$F$14,$M290,BS$13)="",10^12,OFFSET(CRONOPLE!$F$14,$M290,BS$13))))</f>
        <v>1000000000000</v>
      </c>
      <c r="BT290" s="181">
        <f ca="1">IF($D290&lt;&gt;"Serviço",0,IF(AND(AUTOEVENTO="Manual",$M290=1),0,IF(OFFSET(CRONOPLE!$F$14,$M290,BT$13)="",10^12,OFFSET(CRONOPLE!$F$14,$M290,BT$13))))</f>
        <v>1000000000000</v>
      </c>
      <c r="BV290" s="182">
        <f ca="1">IF($D290&lt;&gt;"Serviço",0,IF(OR(AND(AUTOEVENTO="Manual",$M290=1),$M290&gt;(ROW(PLE.lastrow)-ROW(PLE.firstrow))),0,IF(OFFSET(PLE!$G$14,$M290,BV$13)="",10^12,OFFSET(PLE!$G$14,$M290,BV$13))))</f>
        <v>1000000000000</v>
      </c>
      <c r="BW290" s="182">
        <f ca="1">IF($D290&lt;&gt;"Serviço",0,IF(OR(AND(AUTOEVENTO="Manual",$M290=1),$M290&gt;(ROW(PLE.lastrow)-ROW(PLE.firstrow))),0,IF(OFFSET(PLE!$G$14,$M290,BW$13)="",10^12,OFFSET(PLE!$G$14,$M290,BW$13))))</f>
        <v>1000000000000</v>
      </c>
      <c r="BX290" s="182">
        <f ca="1">IF($D290&lt;&gt;"Serviço",0,IF(OR(AND(AUTOEVENTO="Manual",$M290=1),$M290&gt;(ROW(PLE.lastrow)-ROW(PLE.firstrow))),0,IF(OFFSET(PLE!$G$14,$M290,BX$13)="",10^12,OFFSET(PLE!$G$14,$M290,BX$13))))</f>
        <v>1000000000000</v>
      </c>
      <c r="BY290" s="182">
        <f ca="1">IF($D290&lt;&gt;"Serviço",0,IF(OR(AND(AUTOEVENTO="Manual",$M290=1),$M290&gt;(ROW(PLE.lastrow)-ROW(PLE.firstrow))),0,IF(OFFSET(PLE!$G$14,$M290,BY$13)="",10^12,OFFSET(PLE!$G$14,$M290,BY$13))))</f>
        <v>1000000000000</v>
      </c>
      <c r="BZ290" s="182">
        <f ca="1">IF($D290&lt;&gt;"Serviço",0,IF(OR(AND(AUTOEVENTO="Manual",$M290=1),$M290&gt;(ROW(PLE.lastrow)-ROW(PLE.firstrow))),0,IF(OFFSET(PLE!$G$14,$M290,BZ$13)="",10^12,OFFSET(PLE!$G$14,$M290,BZ$13))))</f>
        <v>1000000000000</v>
      </c>
      <c r="CA290" s="182">
        <f ca="1">IF($D290&lt;&gt;"Serviço",0,IF(OR(AND(AUTOEVENTO="Manual",$M290=1),$M290&gt;(ROW(PLE.lastrow)-ROW(PLE.firstrow))),0,IF(OFFSET(PLE!$G$14,$M290,CA$13)="",10^12,OFFSET(PLE!$G$14,$M290,CA$13))))</f>
        <v>1000000000000</v>
      </c>
      <c r="CB290" s="182">
        <f ca="1">IF($D290&lt;&gt;"Serviço",0,IF(OR(AND(AUTOEVENTO="Manual",$M290=1),$M290&gt;(ROW(PLE.lastrow)-ROW(PLE.firstrow))),0,IF(OFFSET(PLE!$G$14,$M290,CB$13)="",10^12,OFFSET(PLE!$G$14,$M290,CB$13))))</f>
        <v>1000000000000</v>
      </c>
      <c r="CC290" s="182">
        <f ca="1">IF($D290&lt;&gt;"Serviço",0,IF(OR(AND(AUTOEVENTO="Manual",$M290=1),$M290&gt;(ROW(PLE.lastrow)-ROW(PLE.firstrow))),0,IF(OFFSET(PLE!$G$14,$M290,CC$13)="",10^12,OFFSET(PLE!$G$14,$M290,CC$13))))</f>
        <v>1000000000000</v>
      </c>
      <c r="CD290" s="182">
        <f ca="1">IF($D290&lt;&gt;"Serviço",0,IF(OR(AND(AUTOEVENTO="Manual",$M290=1),$M290&gt;(ROW(PLE.lastrow)-ROW(PLE.firstrow))),0,IF(OFFSET(PLE!$G$14,$M290,CD$13)="",10^12,OFFSET(PLE!$G$14,$M290,CD$13))))</f>
        <v>1000000000000</v>
      </c>
      <c r="CE290" s="182">
        <f ca="1">IF($D290&lt;&gt;"Serviço",0,IF(OR(AND(AUTOEVENTO="Manual",$M290=1),$M290&gt;(ROW(PLE.lastrow)-ROW(PLE.firstrow))),0,IF(OFFSET(PLE!$G$14,$M290,CE$13)="",10^12,OFFSET(PLE!$G$14,$M290,CE$13))))</f>
        <v>1000000000000</v>
      </c>
      <c r="CF290" s="182">
        <f ca="1">IF($D290&lt;&gt;"Serviço",0,IF(OR(AND(AUTOEVENTO="Manual",$M290=1),$M290&gt;(ROW(PLE.lastrow)-ROW(PLE.firstrow))),0,IF(OFFSET(PLE!$G$14,$M290,CF$13)="",10^12,OFFSET(PLE!$G$14,$M290,CF$13))))</f>
        <v>1000000000000</v>
      </c>
      <c r="CG290" s="182">
        <f ca="1">IF($D290&lt;&gt;"Serviço",0,IF(OR(AND(AUTOEVENTO="Manual",$M290=1),$M290&gt;(ROW(PLE.lastrow)-ROW(PLE.firstrow))),0,IF(OFFSET(PLE!$G$14,$M290,CG$13)="",10^12,OFFSET(PLE!$G$14,$M290,CG$13))))</f>
        <v>1000000000000</v>
      </c>
      <c r="CH290" s="182">
        <f ca="1">IF($D290&lt;&gt;"Serviço",0,IF(OR(AND(AUTOEVENTO="Manual",$M290=1),$M290&gt;(ROW(PLE.lastrow)-ROW(PLE.firstrow))),0,IF(OFFSET(PLE!$G$14,$M290,CH$13)="",10^12,OFFSET(PLE!$G$14,$M290,CH$13))))</f>
        <v>1000000000000</v>
      </c>
      <c r="CI290" s="182">
        <f ca="1">IF($D290&lt;&gt;"Serviço",0,IF(OR(AND(AUTOEVENTO="Manual",$M290=1),$M290&gt;(ROW(PLE.lastrow)-ROW(PLE.firstrow))),0,IF(OFFSET(PLE!$G$14,$M290,CI$13)="",10^12,OFFSET(PLE!$G$14,$M290,CI$13))))</f>
        <v>1000000000000</v>
      </c>
      <c r="CJ290" s="182">
        <f ca="1">IF($D290&lt;&gt;"Serviço",0,IF(OR(AND(AUTOEVENTO="Manual",$M290=1),$M290&gt;(ROW(PLE.lastrow)-ROW(PLE.firstrow))),0,IF(OFFSET(PLE!$G$14,$M290,CJ$13)="",10^12,OFFSET(PLE!$G$14,$M290,CJ$13))))</f>
        <v>1000000000000</v>
      </c>
      <c r="CK290" s="182">
        <f ca="1">IF($D290&lt;&gt;"Serviço",0,IF(OR(AND(AUTOEVENTO="Manual",$M290=1),$M290&gt;(ROW(PLE.lastrow)-ROW(PLE.firstrow))),0,IF(OFFSET(PLE!$G$14,$M290,CK$13)="",10^12,OFFSET(PLE!$G$14,$M290,CK$13))))</f>
        <v>1000000000000</v>
      </c>
      <c r="CL290" s="182">
        <f ca="1">IF($D290&lt;&gt;"Serviço",0,IF(OR(AND(AUTOEVENTO="Manual",$M290=1),$M290&gt;(ROW(PLE.lastrow)-ROW(PLE.firstrow))),0,IF(OFFSET(PLE!$G$14,$M290,CL$13)="",10^12,OFFSET(PLE!$G$14,$M290,CL$13))))</f>
        <v>1000000000000</v>
      </c>
      <c r="CM290" s="182">
        <f ca="1">IF($D290&lt;&gt;"Serviço",0,IF(OR(AND(AUTOEVENTO="Manual",$M290=1),$M290&gt;(ROW(PLE.lastrow)-ROW(PLE.firstrow))),0,IF(OFFSET(PLE!$G$14,$M290,CM$13)="",10^12,OFFSET(PLE!$G$14,$M290,CM$13))))</f>
        <v>1000000000000</v>
      </c>
    </row>
    <row r="291" spans="1:91" ht="38.25" x14ac:dyDescent="0.2">
      <c r="A291" s="7" t="str">
        <f t="shared" ca="1" si="12"/>
        <v>270</v>
      </c>
      <c r="B291" s="7" t="str">
        <f ca="1">OFFSET(ORÇAMENTO!C$15,ROW(B291)-ROW(B$15),0)</f>
        <v>S</v>
      </c>
      <c r="C291" s="7" t="str">
        <f ca="1">OFFSET(ORÇAMENTO!L$15,ROW(C291)-ROW(C$15),0)</f>
        <v/>
      </c>
      <c r="D291" s="118" t="str">
        <f ca="1">OFFSET(ORÇAMENTO!N$15,ROW(D291)-ROW(D$15),0)</f>
        <v>Serviço</v>
      </c>
      <c r="E291" s="119" t="str">
        <f ca="1">OFFSET(ORÇAMENTO!O$15,ROW(E291)-ROW(E$15),0)</f>
        <v>-</v>
      </c>
      <c r="F291" s="172" t="str">
        <f ca="1">OFFSET(ORÇAMENTO!R$15,ROW(F291)-ROW(F$15),0)</f>
        <v>(abra o arquivo 'Referência 06-2024.xlsm)</v>
      </c>
      <c r="G291" s="173" t="str">
        <f ca="1">IF($D291&lt;&gt;"Serviço","",OFFSET(ORÇAMENTO!S$15,ROW(G291)-ROW(G$15),0))</f>
        <v>-</v>
      </c>
      <c r="H291" s="124">
        <f ca="1">IF($D291&lt;&gt;"Serviço",0,IF(ACOMPANHAMENTO="BM",ROUND(OFFSET(ORÇAMENTO!AJ$15,ROW(H291)-ROW(H$15),0),15-13*ORÇAMENTO!$AF$7),SUMPRODUCT(($Q$12:$AI$12&lt;&gt;"")*ROUND($Q291:$AI291,15-13*ORÇAMENTO!$AF$7))))</f>
        <v>1</v>
      </c>
      <c r="I291" s="561" t="s">
        <v>1107</v>
      </c>
      <c r="K291" s="174"/>
      <c r="L291" s="175" t="s">
        <v>255</v>
      </c>
      <c r="M291" s="176">
        <f ca="1">IF($D291&lt;&gt;"Serviço","",IF(AUTOEVENTO="manual",$A291,IF(ISERROR(MATCH($A291,$A$15:OFFSET($A291,-1,0),0)),MAX($M$15:OFFSET(M291,-1,0))+1,INDEX($M$15:OFFSET(M291,-1,0),MATCH($A291,$A$15:OFFSET($A291,-1,0),0)))))</f>
        <v>36</v>
      </c>
      <c r="N291" s="177" t="str">
        <f ca="1">IF($D291&lt;&gt;"Serviço","",IF(AUTOEVENTO="Manual",IF($A291=0,"&lt;-- defina o número do agrupador",OFFSET(EVENTOS!$D$14,$A291,0)),OFFSET($F$15,$A291,0)))</f>
        <v>INSTALAÇÃO HIDRÁULICA - TUBULAÇÕES E CONEXÕES DE METAL</v>
      </c>
      <c r="O291" s="178"/>
      <c r="Q291" s="178">
        <v>1</v>
      </c>
      <c r="R291" s="179"/>
      <c r="S291" s="179"/>
      <c r="T291" s="179"/>
      <c r="U291" s="179"/>
      <c r="V291" s="179"/>
      <c r="W291" s="179"/>
      <c r="X291" s="179"/>
      <c r="Y291" s="179"/>
      <c r="Z291" s="180"/>
      <c r="AA291" s="179"/>
      <c r="AB291" s="179"/>
      <c r="AC291" s="179"/>
      <c r="AD291" s="179"/>
      <c r="AE291" s="179"/>
      <c r="AF291" s="179"/>
      <c r="AG291" s="179"/>
      <c r="AH291" s="180"/>
      <c r="AJ291" s="544">
        <f ca="1">IF(AND($D291="Serviço",AJ$12&lt;&gt;0,$H291&gt;0,OR(AUTOEVENTO&lt;&gt;"manual",$M291&lt;&gt;1)),
IF(Import.TipoArredondamento&lt;&gt;"TransfereGOV",
ROUND(OFFSET($P291,0,AJ$13),15-13*ORÇAMENTO!$AF$7)/$H291*OFFSET(ORÇAMENTO!$X$15,ROW(AJ291)-ROW(AJ$15),0),
ROUND(ROUND(OFFSET($P291,0,AJ$13),15-13*ORÇAMENTO!$AF$7)*OFFSET(ORÇAMENTO!$W$15,ROW(AJ291)-ROW(AJ$15),0),15-13*ORÇAMENTO!$AF$11)),0)</f>
        <v>0</v>
      </c>
      <c r="AK291" s="545">
        <f ca="1">IF(AND($D291="Serviço",AK$12&lt;&gt;0,$H291&gt;0,OR(AUTOEVENTO&lt;&gt;"manual",$M291&lt;&gt;1)),
IF(Import.TipoArredondamento&lt;&gt;"TransfereGOV",
ROUND(OFFSET($P291,0,AK$13),15-13*ORÇAMENTO!$AF$7)/$H291*OFFSET(ORÇAMENTO!$X$15,ROW(AK291)-ROW(AK$15),0),
ROUND(ROUND(OFFSET($P291,0,AK$13),15-13*ORÇAMENTO!$AF$7)*OFFSET(ORÇAMENTO!$W$15,ROW(AK291)-ROW(AK$15),0),15-13*ORÇAMENTO!$AF$11)),0)</f>
        <v>0</v>
      </c>
      <c r="AL291" s="545">
        <f ca="1">IF(AND($D291="Serviço",AL$12&lt;&gt;0,$H291&gt;0,OR(AUTOEVENTO&lt;&gt;"manual",$M291&lt;&gt;1)),
IF(Import.TipoArredondamento&lt;&gt;"TransfereGOV",
ROUND(OFFSET($P291,0,AL$13),15-13*ORÇAMENTO!$AF$7)/$H291*OFFSET(ORÇAMENTO!$X$15,ROW(AL291)-ROW(AL$15),0),
ROUND(ROUND(OFFSET($P291,0,AL$13),15-13*ORÇAMENTO!$AF$7)*OFFSET(ORÇAMENTO!$W$15,ROW(AL291)-ROW(AL$15),0),15-13*ORÇAMENTO!$AF$11)),0)</f>
        <v>0</v>
      </c>
      <c r="AM291" s="545">
        <f ca="1">IF(AND($D291="Serviço",AM$12&lt;&gt;0,$H291&gt;0,OR(AUTOEVENTO&lt;&gt;"manual",$M291&lt;&gt;1)),
IF(Import.TipoArredondamento&lt;&gt;"TransfereGOV",
ROUND(OFFSET($P291,0,AM$13),15-13*ORÇAMENTO!$AF$7)/$H291*OFFSET(ORÇAMENTO!$X$15,ROW(AM291)-ROW(AM$15),0),
ROUND(ROUND(OFFSET($P291,0,AM$13),15-13*ORÇAMENTO!$AF$7)*OFFSET(ORÇAMENTO!$W$15,ROW(AM291)-ROW(AM$15),0),15-13*ORÇAMENTO!$AF$11)),0)</f>
        <v>0</v>
      </c>
      <c r="AN291" s="545">
        <f ca="1">IF(AND($D291="Serviço",AN$12&lt;&gt;0,$H291&gt;0,OR(AUTOEVENTO&lt;&gt;"manual",$M291&lt;&gt;1)),
IF(Import.TipoArredondamento&lt;&gt;"TransfereGOV",
ROUND(OFFSET($P291,0,AN$13),15-13*ORÇAMENTO!$AF$7)/$H291*OFFSET(ORÇAMENTO!$X$15,ROW(AN291)-ROW(AN$15),0),
ROUND(ROUND(OFFSET($P291,0,AN$13),15-13*ORÇAMENTO!$AF$7)*OFFSET(ORÇAMENTO!$W$15,ROW(AN291)-ROW(AN$15),0),15-13*ORÇAMENTO!$AF$11)),0)</f>
        <v>0</v>
      </c>
      <c r="AO291" s="545">
        <f ca="1">IF(AND($D291="Serviço",AO$12&lt;&gt;0,$H291&gt;0,OR(AUTOEVENTO&lt;&gt;"manual",$M291&lt;&gt;1)),
IF(Import.TipoArredondamento&lt;&gt;"TransfereGOV",
ROUND(OFFSET($P291,0,AO$13),15-13*ORÇAMENTO!$AF$7)/$H291*OFFSET(ORÇAMENTO!$X$15,ROW(AO291)-ROW(AO$15),0),
ROUND(ROUND(OFFSET($P291,0,AO$13),15-13*ORÇAMENTO!$AF$7)*OFFSET(ORÇAMENTO!$W$15,ROW(AO291)-ROW(AO$15),0),15-13*ORÇAMENTO!$AF$11)),0)</f>
        <v>0</v>
      </c>
      <c r="AP291" s="545">
        <f ca="1">IF(AND($D291="Serviço",AP$12&lt;&gt;0,$H291&gt;0,OR(AUTOEVENTO&lt;&gt;"manual",$M291&lt;&gt;1)),
IF(Import.TipoArredondamento&lt;&gt;"TransfereGOV",
ROUND(OFFSET($P291,0,AP$13),15-13*ORÇAMENTO!$AF$7)/$H291*OFFSET(ORÇAMENTO!$X$15,ROW(AP291)-ROW(AP$15),0),
ROUND(ROUND(OFFSET($P291,0,AP$13),15-13*ORÇAMENTO!$AF$7)*OFFSET(ORÇAMENTO!$W$15,ROW(AP291)-ROW(AP$15),0),15-13*ORÇAMENTO!$AF$11)),0)</f>
        <v>0</v>
      </c>
      <c r="AQ291" s="545">
        <f ca="1">IF(AND($D291="Serviço",AQ$12&lt;&gt;0,$H291&gt;0,OR(AUTOEVENTO&lt;&gt;"manual",$M291&lt;&gt;1)),
IF(Import.TipoArredondamento&lt;&gt;"TransfereGOV",
ROUND(OFFSET($P291,0,AQ$13),15-13*ORÇAMENTO!$AF$7)/$H291*OFFSET(ORÇAMENTO!$X$15,ROW(AQ291)-ROW(AQ$15),0),
ROUND(ROUND(OFFSET($P291,0,AQ$13),15-13*ORÇAMENTO!$AF$7)*OFFSET(ORÇAMENTO!$W$15,ROW(AQ291)-ROW(AQ$15),0),15-13*ORÇAMENTO!$AF$11)),0)</f>
        <v>0</v>
      </c>
      <c r="AR291" s="545">
        <f ca="1">IF(AND($D291="Serviço",AR$12&lt;&gt;0,$H291&gt;0,OR(AUTOEVENTO&lt;&gt;"manual",$M291&lt;&gt;1)),
IF(Import.TipoArredondamento&lt;&gt;"TransfereGOV",
ROUND(OFFSET($P291,0,AR$13),15-13*ORÇAMENTO!$AF$7)/$H291*OFFSET(ORÇAMENTO!$X$15,ROW(AR291)-ROW(AR$15),0),
ROUND(ROUND(OFFSET($P291,0,AR$13),15-13*ORÇAMENTO!$AF$7)*OFFSET(ORÇAMENTO!$W$15,ROW(AR291)-ROW(AR$15),0),15-13*ORÇAMENTO!$AF$11)),0)</f>
        <v>0</v>
      </c>
      <c r="AS291" s="546">
        <f ca="1">IF(AND($D291="Serviço",AS$12&lt;&gt;0,$H291&gt;0,OR(AUTOEVENTO&lt;&gt;"manual",$M291&lt;&gt;1)),
IF(Import.TipoArredondamento&lt;&gt;"TransfereGOV",
ROUND(OFFSET($P291,0,AS$13),15-13*ORÇAMENTO!$AF$7)/$H291*OFFSET(ORÇAMENTO!$X$15,ROW(AS291)-ROW(AS$15),0),
ROUND(ROUND(OFFSET($P291,0,AS$13),15-13*ORÇAMENTO!$AF$7)*OFFSET(ORÇAMENTO!$W$15,ROW(AS291)-ROW(AS$15),0),15-13*ORÇAMENTO!$AF$11)),0)</f>
        <v>0</v>
      </c>
      <c r="AT291" s="545">
        <f ca="1">IF(AND($D291="Serviço",AT$12&lt;&gt;0,$H291&gt;0,OR(AUTOEVENTO&lt;&gt;"manual",$M291&lt;&gt;1)),
IF(Import.TipoArredondamento&lt;&gt;"TransfereGOV",
ROUND(OFFSET($P291,0,AT$13),15-13*ORÇAMENTO!$AF$7)/$H291*OFFSET(ORÇAMENTO!$X$15,ROW(AT291)-ROW(AT$15),0),
ROUND(ROUND(OFFSET($P291,0,AT$13),15-13*ORÇAMENTO!$AF$7)*OFFSET(ORÇAMENTO!$W$15,ROW(AT291)-ROW(AT$15),0),15-13*ORÇAMENTO!$AF$11)),0)</f>
        <v>0</v>
      </c>
      <c r="AU291" s="545">
        <f ca="1">IF(AND($D291="Serviço",AU$12&lt;&gt;0,$H291&gt;0,OR(AUTOEVENTO&lt;&gt;"manual",$M291&lt;&gt;1)),
IF(Import.TipoArredondamento&lt;&gt;"TransfereGOV",
ROUND(OFFSET($P291,0,AU$13),15-13*ORÇAMENTO!$AF$7)/$H291*OFFSET(ORÇAMENTO!$X$15,ROW(AU291)-ROW(AU$15),0),
ROUND(ROUND(OFFSET($P291,0,AU$13),15-13*ORÇAMENTO!$AF$7)*OFFSET(ORÇAMENTO!$W$15,ROW(AU291)-ROW(AU$15),0),15-13*ORÇAMENTO!$AF$11)),0)</f>
        <v>0</v>
      </c>
      <c r="AV291" s="545">
        <f ca="1">IF(AND($D291="Serviço",AV$12&lt;&gt;0,$H291&gt;0,OR(AUTOEVENTO&lt;&gt;"manual",$M291&lt;&gt;1)),
IF(Import.TipoArredondamento&lt;&gt;"TransfereGOV",
ROUND(OFFSET($P291,0,AV$13),15-13*ORÇAMENTO!$AF$7)/$H291*OFFSET(ORÇAMENTO!$X$15,ROW(AV291)-ROW(AV$15),0),
ROUND(ROUND(OFFSET($P291,0,AV$13),15-13*ORÇAMENTO!$AF$7)*OFFSET(ORÇAMENTO!$W$15,ROW(AV291)-ROW(AV$15),0),15-13*ORÇAMENTO!$AF$11)),0)</f>
        <v>0</v>
      </c>
      <c r="AW291" s="545">
        <f ca="1">IF(AND($D291="Serviço",AW$12&lt;&gt;0,$H291&gt;0,OR(AUTOEVENTO&lt;&gt;"manual",$M291&lt;&gt;1)),
IF(Import.TipoArredondamento&lt;&gt;"TransfereGOV",
ROUND(OFFSET($P291,0,AW$13),15-13*ORÇAMENTO!$AF$7)/$H291*OFFSET(ORÇAMENTO!$X$15,ROW(AW291)-ROW(AW$15),0),
ROUND(ROUND(OFFSET($P291,0,AW$13),15-13*ORÇAMENTO!$AF$7)*OFFSET(ORÇAMENTO!$W$15,ROW(AW291)-ROW(AW$15),0),15-13*ORÇAMENTO!$AF$11)),0)</f>
        <v>0</v>
      </c>
      <c r="AX291" s="545">
        <f ca="1">IF(AND($D291="Serviço",AX$12&lt;&gt;0,$H291&gt;0,OR(AUTOEVENTO&lt;&gt;"manual",$M291&lt;&gt;1)),
IF(Import.TipoArredondamento&lt;&gt;"TransfereGOV",
ROUND(OFFSET($P291,0,AX$13),15-13*ORÇAMENTO!$AF$7)/$H291*OFFSET(ORÇAMENTO!$X$15,ROW(AX291)-ROW(AX$15),0),
ROUND(ROUND(OFFSET($P291,0,AX$13),15-13*ORÇAMENTO!$AF$7)*OFFSET(ORÇAMENTO!$W$15,ROW(AX291)-ROW(AX$15),0),15-13*ORÇAMENTO!$AF$11)),0)</f>
        <v>0</v>
      </c>
      <c r="AY291" s="545">
        <f ca="1">IF(AND($D291="Serviço",AY$12&lt;&gt;0,$H291&gt;0,OR(AUTOEVENTO&lt;&gt;"manual",$M291&lt;&gt;1)),
IF(Import.TipoArredondamento&lt;&gt;"TransfereGOV",
ROUND(OFFSET($P291,0,AY$13),15-13*ORÇAMENTO!$AF$7)/$H291*OFFSET(ORÇAMENTO!$X$15,ROW(AY291)-ROW(AY$15),0),
ROUND(ROUND(OFFSET($P291,0,AY$13),15-13*ORÇAMENTO!$AF$7)*OFFSET(ORÇAMENTO!$W$15,ROW(AY291)-ROW(AY$15),0),15-13*ORÇAMENTO!$AF$11)),0)</f>
        <v>0</v>
      </c>
      <c r="AZ291" s="545">
        <f ca="1">IF(AND($D291="Serviço",AZ$12&lt;&gt;0,$H291&gt;0,OR(AUTOEVENTO&lt;&gt;"manual",$M291&lt;&gt;1)),
IF(Import.TipoArredondamento&lt;&gt;"TransfereGOV",
ROUND(OFFSET($P291,0,AZ$13),15-13*ORÇAMENTO!$AF$7)/$H291*OFFSET(ORÇAMENTO!$X$15,ROW(AZ291)-ROW(AZ$15),0),
ROUND(ROUND(OFFSET($P291,0,AZ$13),15-13*ORÇAMENTO!$AF$7)*OFFSET(ORÇAMENTO!$W$15,ROW(AZ291)-ROW(AZ$15),0),15-13*ORÇAMENTO!$AF$11)),0)</f>
        <v>0</v>
      </c>
      <c r="BA291" s="546">
        <f ca="1">IF(AND($D291="Serviço",BA$12&lt;&gt;0,$H291&gt;0,OR(AUTOEVENTO&lt;&gt;"manual",$M291&lt;&gt;1)),
IF(Import.TipoArredondamento&lt;&gt;"TransfereGOV",
ROUND(OFFSET($P291,0,BA$13),15-13*ORÇAMENTO!$AF$7)/$H291*OFFSET(ORÇAMENTO!$X$15,ROW(BA291)-ROW(BA$15),0),
ROUND(ROUND(OFFSET($P291,0,BA$13),15-13*ORÇAMENTO!$AF$7)*OFFSET(ORÇAMENTO!$W$15,ROW(BA291)-ROW(BA$15),0),15-13*ORÇAMENTO!$AF$11)),0)</f>
        <v>0</v>
      </c>
      <c r="BC291" s="181">
        <f ca="1">IF($D291&lt;&gt;"Serviço",0,IF(AND(AUTOEVENTO="Manual",$M291=1),0,IF(OFFSET(CRONOPLE!$F$14,$M291,BC$13)="",10^12,OFFSET(CRONOPLE!$F$14,$M291,BC$13))))</f>
        <v>9</v>
      </c>
      <c r="BD291" s="181">
        <f ca="1">IF($D291&lt;&gt;"Serviço",0,IF(AND(AUTOEVENTO="Manual",$M291=1),0,IF(OFFSET(CRONOPLE!$F$14,$M291,BD$13)="",10^12,OFFSET(CRONOPLE!$F$14,$M291,BD$13))))</f>
        <v>1000000000000</v>
      </c>
      <c r="BE291" s="181">
        <f ca="1">IF($D291&lt;&gt;"Serviço",0,IF(AND(AUTOEVENTO="Manual",$M291=1),0,IF(OFFSET(CRONOPLE!$F$14,$M291,BE$13)="",10^12,OFFSET(CRONOPLE!$F$14,$M291,BE$13))))</f>
        <v>1000000000000</v>
      </c>
      <c r="BF291" s="181">
        <f ca="1">IF($D291&lt;&gt;"Serviço",0,IF(AND(AUTOEVENTO="Manual",$M291=1),0,IF(OFFSET(CRONOPLE!$F$14,$M291,BF$13)="",10^12,OFFSET(CRONOPLE!$F$14,$M291,BF$13))))</f>
        <v>1000000000000</v>
      </c>
      <c r="BG291" s="181">
        <f ca="1">IF($D291&lt;&gt;"Serviço",0,IF(AND(AUTOEVENTO="Manual",$M291=1),0,IF(OFFSET(CRONOPLE!$F$14,$M291,BG$13)="",10^12,OFFSET(CRONOPLE!$F$14,$M291,BG$13))))</f>
        <v>1000000000000</v>
      </c>
      <c r="BH291" s="181">
        <f ca="1">IF($D291&lt;&gt;"Serviço",0,IF(AND(AUTOEVENTO="Manual",$M291=1),0,IF(OFFSET(CRONOPLE!$F$14,$M291,BH$13)="",10^12,OFFSET(CRONOPLE!$F$14,$M291,BH$13))))</f>
        <v>1000000000000</v>
      </c>
      <c r="BI291" s="181">
        <f ca="1">IF($D291&lt;&gt;"Serviço",0,IF(AND(AUTOEVENTO="Manual",$M291=1),0,IF(OFFSET(CRONOPLE!$F$14,$M291,BI$13)="",10^12,OFFSET(CRONOPLE!$F$14,$M291,BI$13))))</f>
        <v>1000000000000</v>
      </c>
      <c r="BJ291" s="181">
        <f ca="1">IF($D291&lt;&gt;"Serviço",0,IF(AND(AUTOEVENTO="Manual",$M291=1),0,IF(OFFSET(CRONOPLE!$F$14,$M291,BJ$13)="",10^12,OFFSET(CRONOPLE!$F$14,$M291,BJ$13))))</f>
        <v>1000000000000</v>
      </c>
      <c r="BK291" s="181">
        <f ca="1">IF($D291&lt;&gt;"Serviço",0,IF(AND(AUTOEVENTO="Manual",$M291=1),0,IF(OFFSET(CRONOPLE!$F$14,$M291,BK$13)="",10^12,OFFSET(CRONOPLE!$F$14,$M291,BK$13))))</f>
        <v>1000000000000</v>
      </c>
      <c r="BL291" s="181">
        <f ca="1">IF($D291&lt;&gt;"Serviço",0,IF(AND(AUTOEVENTO="Manual",$M291=1),0,IF(OFFSET(CRONOPLE!$F$14,$M291,BL$13)="",10^12,OFFSET(CRONOPLE!$F$14,$M291,BL$13))))</f>
        <v>1000000000000</v>
      </c>
      <c r="BM291" s="181">
        <f ca="1">IF($D291&lt;&gt;"Serviço",0,IF(AND(AUTOEVENTO="Manual",$M291=1),0,IF(OFFSET(CRONOPLE!$F$14,$M291,BM$13)="",10^12,OFFSET(CRONOPLE!$F$14,$M291,BM$13))))</f>
        <v>1000000000000</v>
      </c>
      <c r="BN291" s="181">
        <f ca="1">IF($D291&lt;&gt;"Serviço",0,IF(AND(AUTOEVENTO="Manual",$M291=1),0,IF(OFFSET(CRONOPLE!$F$14,$M291,BN$13)="",10^12,OFFSET(CRONOPLE!$F$14,$M291,BN$13))))</f>
        <v>1000000000000</v>
      </c>
      <c r="BO291" s="181">
        <f ca="1">IF($D291&lt;&gt;"Serviço",0,IF(AND(AUTOEVENTO="Manual",$M291=1),0,IF(OFFSET(CRONOPLE!$F$14,$M291,BO$13)="",10^12,OFFSET(CRONOPLE!$F$14,$M291,BO$13))))</f>
        <v>1000000000000</v>
      </c>
      <c r="BP291" s="181">
        <f ca="1">IF($D291&lt;&gt;"Serviço",0,IF(AND(AUTOEVENTO="Manual",$M291=1),0,IF(OFFSET(CRONOPLE!$F$14,$M291,BP$13)="",10^12,OFFSET(CRONOPLE!$F$14,$M291,BP$13))))</f>
        <v>1000000000000</v>
      </c>
      <c r="BQ291" s="181">
        <f ca="1">IF($D291&lt;&gt;"Serviço",0,IF(AND(AUTOEVENTO="Manual",$M291=1),0,IF(OFFSET(CRONOPLE!$F$14,$M291,BQ$13)="",10^12,OFFSET(CRONOPLE!$F$14,$M291,BQ$13))))</f>
        <v>1000000000000</v>
      </c>
      <c r="BR291" s="181">
        <f ca="1">IF($D291&lt;&gt;"Serviço",0,IF(AND(AUTOEVENTO="Manual",$M291=1),0,IF(OFFSET(CRONOPLE!$F$14,$M291,BR$13)="",10^12,OFFSET(CRONOPLE!$F$14,$M291,BR$13))))</f>
        <v>1000000000000</v>
      </c>
      <c r="BS291" s="181">
        <f ca="1">IF($D291&lt;&gt;"Serviço",0,IF(AND(AUTOEVENTO="Manual",$M291=1),0,IF(OFFSET(CRONOPLE!$F$14,$M291,BS$13)="",10^12,OFFSET(CRONOPLE!$F$14,$M291,BS$13))))</f>
        <v>1000000000000</v>
      </c>
      <c r="BT291" s="181">
        <f ca="1">IF($D291&lt;&gt;"Serviço",0,IF(AND(AUTOEVENTO="Manual",$M291=1),0,IF(OFFSET(CRONOPLE!$F$14,$M291,BT$13)="",10^12,OFFSET(CRONOPLE!$F$14,$M291,BT$13))))</f>
        <v>1000000000000</v>
      </c>
      <c r="BV291" s="182">
        <f ca="1">IF($D291&lt;&gt;"Serviço",0,IF(OR(AND(AUTOEVENTO="Manual",$M291=1),$M291&gt;(ROW(PLE.lastrow)-ROW(PLE.firstrow))),0,IF(OFFSET(PLE!$G$14,$M291,BV$13)="",10^12,OFFSET(PLE!$G$14,$M291,BV$13))))</f>
        <v>1000000000000</v>
      </c>
      <c r="BW291" s="182">
        <f ca="1">IF($D291&lt;&gt;"Serviço",0,IF(OR(AND(AUTOEVENTO="Manual",$M291=1),$M291&gt;(ROW(PLE.lastrow)-ROW(PLE.firstrow))),0,IF(OFFSET(PLE!$G$14,$M291,BW$13)="",10^12,OFFSET(PLE!$G$14,$M291,BW$13))))</f>
        <v>1000000000000</v>
      </c>
      <c r="BX291" s="182">
        <f ca="1">IF($D291&lt;&gt;"Serviço",0,IF(OR(AND(AUTOEVENTO="Manual",$M291=1),$M291&gt;(ROW(PLE.lastrow)-ROW(PLE.firstrow))),0,IF(OFFSET(PLE!$G$14,$M291,BX$13)="",10^12,OFFSET(PLE!$G$14,$M291,BX$13))))</f>
        <v>1000000000000</v>
      </c>
      <c r="BY291" s="182">
        <f ca="1">IF($D291&lt;&gt;"Serviço",0,IF(OR(AND(AUTOEVENTO="Manual",$M291=1),$M291&gt;(ROW(PLE.lastrow)-ROW(PLE.firstrow))),0,IF(OFFSET(PLE!$G$14,$M291,BY$13)="",10^12,OFFSET(PLE!$G$14,$M291,BY$13))))</f>
        <v>1000000000000</v>
      </c>
      <c r="BZ291" s="182">
        <f ca="1">IF($D291&lt;&gt;"Serviço",0,IF(OR(AND(AUTOEVENTO="Manual",$M291=1),$M291&gt;(ROW(PLE.lastrow)-ROW(PLE.firstrow))),0,IF(OFFSET(PLE!$G$14,$M291,BZ$13)="",10^12,OFFSET(PLE!$G$14,$M291,BZ$13))))</f>
        <v>1000000000000</v>
      </c>
      <c r="CA291" s="182">
        <f ca="1">IF($D291&lt;&gt;"Serviço",0,IF(OR(AND(AUTOEVENTO="Manual",$M291=1),$M291&gt;(ROW(PLE.lastrow)-ROW(PLE.firstrow))),0,IF(OFFSET(PLE!$G$14,$M291,CA$13)="",10^12,OFFSET(PLE!$G$14,$M291,CA$13))))</f>
        <v>1000000000000</v>
      </c>
      <c r="CB291" s="182">
        <f ca="1">IF($D291&lt;&gt;"Serviço",0,IF(OR(AND(AUTOEVENTO="Manual",$M291=1),$M291&gt;(ROW(PLE.lastrow)-ROW(PLE.firstrow))),0,IF(OFFSET(PLE!$G$14,$M291,CB$13)="",10^12,OFFSET(PLE!$G$14,$M291,CB$13))))</f>
        <v>1000000000000</v>
      </c>
      <c r="CC291" s="182">
        <f ca="1">IF($D291&lt;&gt;"Serviço",0,IF(OR(AND(AUTOEVENTO="Manual",$M291=1),$M291&gt;(ROW(PLE.lastrow)-ROW(PLE.firstrow))),0,IF(OFFSET(PLE!$G$14,$M291,CC$13)="",10^12,OFFSET(PLE!$G$14,$M291,CC$13))))</f>
        <v>1000000000000</v>
      </c>
      <c r="CD291" s="182">
        <f ca="1">IF($D291&lt;&gt;"Serviço",0,IF(OR(AND(AUTOEVENTO="Manual",$M291=1),$M291&gt;(ROW(PLE.lastrow)-ROW(PLE.firstrow))),0,IF(OFFSET(PLE!$G$14,$M291,CD$13)="",10^12,OFFSET(PLE!$G$14,$M291,CD$13))))</f>
        <v>1000000000000</v>
      </c>
      <c r="CE291" s="182">
        <f ca="1">IF($D291&lt;&gt;"Serviço",0,IF(OR(AND(AUTOEVENTO="Manual",$M291=1),$M291&gt;(ROW(PLE.lastrow)-ROW(PLE.firstrow))),0,IF(OFFSET(PLE!$G$14,$M291,CE$13)="",10^12,OFFSET(PLE!$G$14,$M291,CE$13))))</f>
        <v>1000000000000</v>
      </c>
      <c r="CF291" s="182">
        <f ca="1">IF($D291&lt;&gt;"Serviço",0,IF(OR(AND(AUTOEVENTO="Manual",$M291=1),$M291&gt;(ROW(PLE.lastrow)-ROW(PLE.firstrow))),0,IF(OFFSET(PLE!$G$14,$M291,CF$13)="",10^12,OFFSET(PLE!$G$14,$M291,CF$13))))</f>
        <v>1000000000000</v>
      </c>
      <c r="CG291" s="182">
        <f ca="1">IF($D291&lt;&gt;"Serviço",0,IF(OR(AND(AUTOEVENTO="Manual",$M291=1),$M291&gt;(ROW(PLE.lastrow)-ROW(PLE.firstrow))),0,IF(OFFSET(PLE!$G$14,$M291,CG$13)="",10^12,OFFSET(PLE!$G$14,$M291,CG$13))))</f>
        <v>1000000000000</v>
      </c>
      <c r="CH291" s="182">
        <f ca="1">IF($D291&lt;&gt;"Serviço",0,IF(OR(AND(AUTOEVENTO="Manual",$M291=1),$M291&gt;(ROW(PLE.lastrow)-ROW(PLE.firstrow))),0,IF(OFFSET(PLE!$G$14,$M291,CH$13)="",10^12,OFFSET(PLE!$G$14,$M291,CH$13))))</f>
        <v>1000000000000</v>
      </c>
      <c r="CI291" s="182">
        <f ca="1">IF($D291&lt;&gt;"Serviço",0,IF(OR(AND(AUTOEVENTO="Manual",$M291=1),$M291&gt;(ROW(PLE.lastrow)-ROW(PLE.firstrow))),0,IF(OFFSET(PLE!$G$14,$M291,CI$13)="",10^12,OFFSET(PLE!$G$14,$M291,CI$13))))</f>
        <v>1000000000000</v>
      </c>
      <c r="CJ291" s="182">
        <f ca="1">IF($D291&lt;&gt;"Serviço",0,IF(OR(AND(AUTOEVENTO="Manual",$M291=1),$M291&gt;(ROW(PLE.lastrow)-ROW(PLE.firstrow))),0,IF(OFFSET(PLE!$G$14,$M291,CJ$13)="",10^12,OFFSET(PLE!$G$14,$M291,CJ$13))))</f>
        <v>1000000000000</v>
      </c>
      <c r="CK291" s="182">
        <f ca="1">IF($D291&lt;&gt;"Serviço",0,IF(OR(AND(AUTOEVENTO="Manual",$M291=1),$M291&gt;(ROW(PLE.lastrow)-ROW(PLE.firstrow))),0,IF(OFFSET(PLE!$G$14,$M291,CK$13)="",10^12,OFFSET(PLE!$G$14,$M291,CK$13))))</f>
        <v>1000000000000</v>
      </c>
      <c r="CL291" s="182">
        <f ca="1">IF($D291&lt;&gt;"Serviço",0,IF(OR(AND(AUTOEVENTO="Manual",$M291=1),$M291&gt;(ROW(PLE.lastrow)-ROW(PLE.firstrow))),0,IF(OFFSET(PLE!$G$14,$M291,CL$13)="",10^12,OFFSET(PLE!$G$14,$M291,CL$13))))</f>
        <v>1000000000000</v>
      </c>
      <c r="CM291" s="182">
        <f ca="1">IF($D291&lt;&gt;"Serviço",0,IF(OR(AND(AUTOEVENTO="Manual",$M291=1),$M291&gt;(ROW(PLE.lastrow)-ROW(PLE.firstrow))),0,IF(OFFSET(PLE!$G$14,$M291,CM$13)="",10^12,OFFSET(PLE!$G$14,$M291,CM$13))))</f>
        <v>1000000000000</v>
      </c>
    </row>
    <row r="292" spans="1:91" ht="38.25" x14ac:dyDescent="0.2">
      <c r="A292" s="7" t="str">
        <f t="shared" ca="1" si="12"/>
        <v>270</v>
      </c>
      <c r="B292" s="7" t="str">
        <f ca="1">OFFSET(ORÇAMENTO!C$15,ROW(B292)-ROW(B$15),0)</f>
        <v>S</v>
      </c>
      <c r="C292" s="7" t="str">
        <f ca="1">OFFSET(ORÇAMENTO!L$15,ROW(C292)-ROW(C$15),0)</f>
        <v/>
      </c>
      <c r="D292" s="118" t="str">
        <f ca="1">OFFSET(ORÇAMENTO!N$15,ROW(D292)-ROW(D$15),0)</f>
        <v>Serviço</v>
      </c>
      <c r="E292" s="119" t="str">
        <f ca="1">OFFSET(ORÇAMENTO!O$15,ROW(E292)-ROW(E$15),0)</f>
        <v>-</v>
      </c>
      <c r="F292" s="172" t="str">
        <f ca="1">OFFSET(ORÇAMENTO!R$15,ROW(F292)-ROW(F$15),0)</f>
        <v>(abra o arquivo 'Referência 06-2024.xlsm)</v>
      </c>
      <c r="G292" s="173" t="str">
        <f ca="1">IF($D292&lt;&gt;"Serviço","",OFFSET(ORÇAMENTO!S$15,ROW(G292)-ROW(G$15),0))</f>
        <v>-</v>
      </c>
      <c r="H292" s="124">
        <f ca="1">IF($D292&lt;&gt;"Serviço",0,IF(ACOMPANHAMENTO="BM",ROUND(OFFSET(ORÇAMENTO!AJ$15,ROW(H292)-ROW(H$15),0),15-13*ORÇAMENTO!$AF$7),SUMPRODUCT(($Q$12:$AI$12&lt;&gt;"")*ROUND($Q292:$AI292,15-13*ORÇAMENTO!$AF$7))))</f>
        <v>1</v>
      </c>
      <c r="I292" s="561" t="s">
        <v>1107</v>
      </c>
      <c r="K292" s="174"/>
      <c r="L292" s="175" t="s">
        <v>255</v>
      </c>
      <c r="M292" s="176">
        <f ca="1">IF($D292&lt;&gt;"Serviço","",IF(AUTOEVENTO="manual",$A292,IF(ISERROR(MATCH($A292,$A$15:OFFSET($A292,-1,0),0)),MAX($M$15:OFFSET(M292,-1,0))+1,INDEX($M$15:OFFSET(M292,-1,0),MATCH($A292,$A$15:OFFSET($A292,-1,0),0)))))</f>
        <v>36</v>
      </c>
      <c r="N292" s="177" t="str">
        <f ca="1">IF($D292&lt;&gt;"Serviço","",IF(AUTOEVENTO="Manual",IF($A292=0,"&lt;-- defina o número do agrupador",OFFSET(EVENTOS!$D$14,$A292,0)),OFFSET($F$15,$A292,0)))</f>
        <v>INSTALAÇÃO HIDRÁULICA - TUBULAÇÕES E CONEXÕES DE METAL</v>
      </c>
      <c r="O292" s="178"/>
      <c r="Q292" s="178">
        <v>1</v>
      </c>
      <c r="R292" s="179"/>
      <c r="S292" s="179"/>
      <c r="T292" s="179"/>
      <c r="U292" s="179"/>
      <c r="V292" s="179"/>
      <c r="W292" s="179"/>
      <c r="X292" s="179"/>
      <c r="Y292" s="179"/>
      <c r="Z292" s="180"/>
      <c r="AA292" s="179"/>
      <c r="AB292" s="179"/>
      <c r="AC292" s="179"/>
      <c r="AD292" s="179"/>
      <c r="AE292" s="179"/>
      <c r="AF292" s="179"/>
      <c r="AG292" s="179"/>
      <c r="AH292" s="180"/>
      <c r="AJ292" s="544">
        <f ca="1">IF(AND($D292="Serviço",AJ$12&lt;&gt;0,$H292&gt;0,OR(AUTOEVENTO&lt;&gt;"manual",$M292&lt;&gt;1)),
IF(Import.TipoArredondamento&lt;&gt;"TransfereGOV",
ROUND(OFFSET($P292,0,AJ$13),15-13*ORÇAMENTO!$AF$7)/$H292*OFFSET(ORÇAMENTO!$X$15,ROW(AJ292)-ROW(AJ$15),0),
ROUND(ROUND(OFFSET($P292,0,AJ$13),15-13*ORÇAMENTO!$AF$7)*OFFSET(ORÇAMENTO!$W$15,ROW(AJ292)-ROW(AJ$15),0),15-13*ORÇAMENTO!$AF$11)),0)</f>
        <v>0</v>
      </c>
      <c r="AK292" s="545">
        <f ca="1">IF(AND($D292="Serviço",AK$12&lt;&gt;0,$H292&gt;0,OR(AUTOEVENTO&lt;&gt;"manual",$M292&lt;&gt;1)),
IF(Import.TipoArredondamento&lt;&gt;"TransfereGOV",
ROUND(OFFSET($P292,0,AK$13),15-13*ORÇAMENTO!$AF$7)/$H292*OFFSET(ORÇAMENTO!$X$15,ROW(AK292)-ROW(AK$15),0),
ROUND(ROUND(OFFSET($P292,0,AK$13),15-13*ORÇAMENTO!$AF$7)*OFFSET(ORÇAMENTO!$W$15,ROW(AK292)-ROW(AK$15),0),15-13*ORÇAMENTO!$AF$11)),0)</f>
        <v>0</v>
      </c>
      <c r="AL292" s="545">
        <f ca="1">IF(AND($D292="Serviço",AL$12&lt;&gt;0,$H292&gt;0,OR(AUTOEVENTO&lt;&gt;"manual",$M292&lt;&gt;1)),
IF(Import.TipoArredondamento&lt;&gt;"TransfereGOV",
ROUND(OFFSET($P292,0,AL$13),15-13*ORÇAMENTO!$AF$7)/$H292*OFFSET(ORÇAMENTO!$X$15,ROW(AL292)-ROW(AL$15),0),
ROUND(ROUND(OFFSET($P292,0,AL$13),15-13*ORÇAMENTO!$AF$7)*OFFSET(ORÇAMENTO!$W$15,ROW(AL292)-ROW(AL$15),0),15-13*ORÇAMENTO!$AF$11)),0)</f>
        <v>0</v>
      </c>
      <c r="AM292" s="545">
        <f ca="1">IF(AND($D292="Serviço",AM$12&lt;&gt;0,$H292&gt;0,OR(AUTOEVENTO&lt;&gt;"manual",$M292&lt;&gt;1)),
IF(Import.TipoArredondamento&lt;&gt;"TransfereGOV",
ROUND(OFFSET($P292,0,AM$13),15-13*ORÇAMENTO!$AF$7)/$H292*OFFSET(ORÇAMENTO!$X$15,ROW(AM292)-ROW(AM$15),0),
ROUND(ROUND(OFFSET($P292,0,AM$13),15-13*ORÇAMENTO!$AF$7)*OFFSET(ORÇAMENTO!$W$15,ROW(AM292)-ROW(AM$15),0),15-13*ORÇAMENTO!$AF$11)),0)</f>
        <v>0</v>
      </c>
      <c r="AN292" s="545">
        <f ca="1">IF(AND($D292="Serviço",AN$12&lt;&gt;0,$H292&gt;0,OR(AUTOEVENTO&lt;&gt;"manual",$M292&lt;&gt;1)),
IF(Import.TipoArredondamento&lt;&gt;"TransfereGOV",
ROUND(OFFSET($P292,0,AN$13),15-13*ORÇAMENTO!$AF$7)/$H292*OFFSET(ORÇAMENTO!$X$15,ROW(AN292)-ROW(AN$15),0),
ROUND(ROUND(OFFSET($P292,0,AN$13),15-13*ORÇAMENTO!$AF$7)*OFFSET(ORÇAMENTO!$W$15,ROW(AN292)-ROW(AN$15),0),15-13*ORÇAMENTO!$AF$11)),0)</f>
        <v>0</v>
      </c>
      <c r="AO292" s="545">
        <f ca="1">IF(AND($D292="Serviço",AO$12&lt;&gt;0,$H292&gt;0,OR(AUTOEVENTO&lt;&gt;"manual",$M292&lt;&gt;1)),
IF(Import.TipoArredondamento&lt;&gt;"TransfereGOV",
ROUND(OFFSET($P292,0,AO$13),15-13*ORÇAMENTO!$AF$7)/$H292*OFFSET(ORÇAMENTO!$X$15,ROW(AO292)-ROW(AO$15),0),
ROUND(ROUND(OFFSET($P292,0,AO$13),15-13*ORÇAMENTO!$AF$7)*OFFSET(ORÇAMENTO!$W$15,ROW(AO292)-ROW(AO$15),0),15-13*ORÇAMENTO!$AF$11)),0)</f>
        <v>0</v>
      </c>
      <c r="AP292" s="545">
        <f ca="1">IF(AND($D292="Serviço",AP$12&lt;&gt;0,$H292&gt;0,OR(AUTOEVENTO&lt;&gt;"manual",$M292&lt;&gt;1)),
IF(Import.TipoArredondamento&lt;&gt;"TransfereGOV",
ROUND(OFFSET($P292,0,AP$13),15-13*ORÇAMENTO!$AF$7)/$H292*OFFSET(ORÇAMENTO!$X$15,ROW(AP292)-ROW(AP$15),0),
ROUND(ROUND(OFFSET($P292,0,AP$13),15-13*ORÇAMENTO!$AF$7)*OFFSET(ORÇAMENTO!$W$15,ROW(AP292)-ROW(AP$15),0),15-13*ORÇAMENTO!$AF$11)),0)</f>
        <v>0</v>
      </c>
      <c r="AQ292" s="545">
        <f ca="1">IF(AND($D292="Serviço",AQ$12&lt;&gt;0,$H292&gt;0,OR(AUTOEVENTO&lt;&gt;"manual",$M292&lt;&gt;1)),
IF(Import.TipoArredondamento&lt;&gt;"TransfereGOV",
ROUND(OFFSET($P292,0,AQ$13),15-13*ORÇAMENTO!$AF$7)/$H292*OFFSET(ORÇAMENTO!$X$15,ROW(AQ292)-ROW(AQ$15),0),
ROUND(ROUND(OFFSET($P292,0,AQ$13),15-13*ORÇAMENTO!$AF$7)*OFFSET(ORÇAMENTO!$W$15,ROW(AQ292)-ROW(AQ$15),0),15-13*ORÇAMENTO!$AF$11)),0)</f>
        <v>0</v>
      </c>
      <c r="AR292" s="545">
        <f ca="1">IF(AND($D292="Serviço",AR$12&lt;&gt;0,$H292&gt;0,OR(AUTOEVENTO&lt;&gt;"manual",$M292&lt;&gt;1)),
IF(Import.TipoArredondamento&lt;&gt;"TransfereGOV",
ROUND(OFFSET($P292,0,AR$13),15-13*ORÇAMENTO!$AF$7)/$H292*OFFSET(ORÇAMENTO!$X$15,ROW(AR292)-ROW(AR$15),0),
ROUND(ROUND(OFFSET($P292,0,AR$13),15-13*ORÇAMENTO!$AF$7)*OFFSET(ORÇAMENTO!$W$15,ROW(AR292)-ROW(AR$15),0),15-13*ORÇAMENTO!$AF$11)),0)</f>
        <v>0</v>
      </c>
      <c r="AS292" s="546">
        <f ca="1">IF(AND($D292="Serviço",AS$12&lt;&gt;0,$H292&gt;0,OR(AUTOEVENTO&lt;&gt;"manual",$M292&lt;&gt;1)),
IF(Import.TipoArredondamento&lt;&gt;"TransfereGOV",
ROUND(OFFSET($P292,0,AS$13),15-13*ORÇAMENTO!$AF$7)/$H292*OFFSET(ORÇAMENTO!$X$15,ROW(AS292)-ROW(AS$15),0),
ROUND(ROUND(OFFSET($P292,0,AS$13),15-13*ORÇAMENTO!$AF$7)*OFFSET(ORÇAMENTO!$W$15,ROW(AS292)-ROW(AS$15),0),15-13*ORÇAMENTO!$AF$11)),0)</f>
        <v>0</v>
      </c>
      <c r="AT292" s="545">
        <f ca="1">IF(AND($D292="Serviço",AT$12&lt;&gt;0,$H292&gt;0,OR(AUTOEVENTO&lt;&gt;"manual",$M292&lt;&gt;1)),
IF(Import.TipoArredondamento&lt;&gt;"TransfereGOV",
ROUND(OFFSET($P292,0,AT$13),15-13*ORÇAMENTO!$AF$7)/$H292*OFFSET(ORÇAMENTO!$X$15,ROW(AT292)-ROW(AT$15),0),
ROUND(ROUND(OFFSET($P292,0,AT$13),15-13*ORÇAMENTO!$AF$7)*OFFSET(ORÇAMENTO!$W$15,ROW(AT292)-ROW(AT$15),0),15-13*ORÇAMENTO!$AF$11)),0)</f>
        <v>0</v>
      </c>
      <c r="AU292" s="545">
        <f ca="1">IF(AND($D292="Serviço",AU$12&lt;&gt;0,$H292&gt;0,OR(AUTOEVENTO&lt;&gt;"manual",$M292&lt;&gt;1)),
IF(Import.TipoArredondamento&lt;&gt;"TransfereGOV",
ROUND(OFFSET($P292,0,AU$13),15-13*ORÇAMENTO!$AF$7)/$H292*OFFSET(ORÇAMENTO!$X$15,ROW(AU292)-ROW(AU$15),0),
ROUND(ROUND(OFFSET($P292,0,AU$13),15-13*ORÇAMENTO!$AF$7)*OFFSET(ORÇAMENTO!$W$15,ROW(AU292)-ROW(AU$15),0),15-13*ORÇAMENTO!$AF$11)),0)</f>
        <v>0</v>
      </c>
      <c r="AV292" s="545">
        <f ca="1">IF(AND($D292="Serviço",AV$12&lt;&gt;0,$H292&gt;0,OR(AUTOEVENTO&lt;&gt;"manual",$M292&lt;&gt;1)),
IF(Import.TipoArredondamento&lt;&gt;"TransfereGOV",
ROUND(OFFSET($P292,0,AV$13),15-13*ORÇAMENTO!$AF$7)/$H292*OFFSET(ORÇAMENTO!$X$15,ROW(AV292)-ROW(AV$15),0),
ROUND(ROUND(OFFSET($P292,0,AV$13),15-13*ORÇAMENTO!$AF$7)*OFFSET(ORÇAMENTO!$W$15,ROW(AV292)-ROW(AV$15),0),15-13*ORÇAMENTO!$AF$11)),0)</f>
        <v>0</v>
      </c>
      <c r="AW292" s="545">
        <f ca="1">IF(AND($D292="Serviço",AW$12&lt;&gt;0,$H292&gt;0,OR(AUTOEVENTO&lt;&gt;"manual",$M292&lt;&gt;1)),
IF(Import.TipoArredondamento&lt;&gt;"TransfereGOV",
ROUND(OFFSET($P292,0,AW$13),15-13*ORÇAMENTO!$AF$7)/$H292*OFFSET(ORÇAMENTO!$X$15,ROW(AW292)-ROW(AW$15),0),
ROUND(ROUND(OFFSET($P292,0,AW$13),15-13*ORÇAMENTO!$AF$7)*OFFSET(ORÇAMENTO!$W$15,ROW(AW292)-ROW(AW$15),0),15-13*ORÇAMENTO!$AF$11)),0)</f>
        <v>0</v>
      </c>
      <c r="AX292" s="545">
        <f ca="1">IF(AND($D292="Serviço",AX$12&lt;&gt;0,$H292&gt;0,OR(AUTOEVENTO&lt;&gt;"manual",$M292&lt;&gt;1)),
IF(Import.TipoArredondamento&lt;&gt;"TransfereGOV",
ROUND(OFFSET($P292,0,AX$13),15-13*ORÇAMENTO!$AF$7)/$H292*OFFSET(ORÇAMENTO!$X$15,ROW(AX292)-ROW(AX$15),0),
ROUND(ROUND(OFFSET($P292,0,AX$13),15-13*ORÇAMENTO!$AF$7)*OFFSET(ORÇAMENTO!$W$15,ROW(AX292)-ROW(AX$15),0),15-13*ORÇAMENTO!$AF$11)),0)</f>
        <v>0</v>
      </c>
      <c r="AY292" s="545">
        <f ca="1">IF(AND($D292="Serviço",AY$12&lt;&gt;0,$H292&gt;0,OR(AUTOEVENTO&lt;&gt;"manual",$M292&lt;&gt;1)),
IF(Import.TipoArredondamento&lt;&gt;"TransfereGOV",
ROUND(OFFSET($P292,0,AY$13),15-13*ORÇAMENTO!$AF$7)/$H292*OFFSET(ORÇAMENTO!$X$15,ROW(AY292)-ROW(AY$15),0),
ROUND(ROUND(OFFSET($P292,0,AY$13),15-13*ORÇAMENTO!$AF$7)*OFFSET(ORÇAMENTO!$W$15,ROW(AY292)-ROW(AY$15),0),15-13*ORÇAMENTO!$AF$11)),0)</f>
        <v>0</v>
      </c>
      <c r="AZ292" s="545">
        <f ca="1">IF(AND($D292="Serviço",AZ$12&lt;&gt;0,$H292&gt;0,OR(AUTOEVENTO&lt;&gt;"manual",$M292&lt;&gt;1)),
IF(Import.TipoArredondamento&lt;&gt;"TransfereGOV",
ROUND(OFFSET($P292,0,AZ$13),15-13*ORÇAMENTO!$AF$7)/$H292*OFFSET(ORÇAMENTO!$X$15,ROW(AZ292)-ROW(AZ$15),0),
ROUND(ROUND(OFFSET($P292,0,AZ$13),15-13*ORÇAMENTO!$AF$7)*OFFSET(ORÇAMENTO!$W$15,ROW(AZ292)-ROW(AZ$15),0),15-13*ORÇAMENTO!$AF$11)),0)</f>
        <v>0</v>
      </c>
      <c r="BA292" s="546">
        <f ca="1">IF(AND($D292="Serviço",BA$12&lt;&gt;0,$H292&gt;0,OR(AUTOEVENTO&lt;&gt;"manual",$M292&lt;&gt;1)),
IF(Import.TipoArredondamento&lt;&gt;"TransfereGOV",
ROUND(OFFSET($P292,0,BA$13),15-13*ORÇAMENTO!$AF$7)/$H292*OFFSET(ORÇAMENTO!$X$15,ROW(BA292)-ROW(BA$15),0),
ROUND(ROUND(OFFSET($P292,0,BA$13),15-13*ORÇAMENTO!$AF$7)*OFFSET(ORÇAMENTO!$W$15,ROW(BA292)-ROW(BA$15),0),15-13*ORÇAMENTO!$AF$11)),0)</f>
        <v>0</v>
      </c>
      <c r="BC292" s="181">
        <f ca="1">IF($D292&lt;&gt;"Serviço",0,IF(AND(AUTOEVENTO="Manual",$M292=1),0,IF(OFFSET(CRONOPLE!$F$14,$M292,BC$13)="",10^12,OFFSET(CRONOPLE!$F$14,$M292,BC$13))))</f>
        <v>9</v>
      </c>
      <c r="BD292" s="181">
        <f ca="1">IF($D292&lt;&gt;"Serviço",0,IF(AND(AUTOEVENTO="Manual",$M292=1),0,IF(OFFSET(CRONOPLE!$F$14,$M292,BD$13)="",10^12,OFFSET(CRONOPLE!$F$14,$M292,BD$13))))</f>
        <v>1000000000000</v>
      </c>
      <c r="BE292" s="181">
        <f ca="1">IF($D292&lt;&gt;"Serviço",0,IF(AND(AUTOEVENTO="Manual",$M292=1),0,IF(OFFSET(CRONOPLE!$F$14,$M292,BE$13)="",10^12,OFFSET(CRONOPLE!$F$14,$M292,BE$13))))</f>
        <v>1000000000000</v>
      </c>
      <c r="BF292" s="181">
        <f ca="1">IF($D292&lt;&gt;"Serviço",0,IF(AND(AUTOEVENTO="Manual",$M292=1),0,IF(OFFSET(CRONOPLE!$F$14,$M292,BF$13)="",10^12,OFFSET(CRONOPLE!$F$14,$M292,BF$13))))</f>
        <v>1000000000000</v>
      </c>
      <c r="BG292" s="181">
        <f ca="1">IF($D292&lt;&gt;"Serviço",0,IF(AND(AUTOEVENTO="Manual",$M292=1),0,IF(OFFSET(CRONOPLE!$F$14,$M292,BG$13)="",10^12,OFFSET(CRONOPLE!$F$14,$M292,BG$13))))</f>
        <v>1000000000000</v>
      </c>
      <c r="BH292" s="181">
        <f ca="1">IF($D292&lt;&gt;"Serviço",0,IF(AND(AUTOEVENTO="Manual",$M292=1),0,IF(OFFSET(CRONOPLE!$F$14,$M292,BH$13)="",10^12,OFFSET(CRONOPLE!$F$14,$M292,BH$13))))</f>
        <v>1000000000000</v>
      </c>
      <c r="BI292" s="181">
        <f ca="1">IF($D292&lt;&gt;"Serviço",0,IF(AND(AUTOEVENTO="Manual",$M292=1),0,IF(OFFSET(CRONOPLE!$F$14,$M292,BI$13)="",10^12,OFFSET(CRONOPLE!$F$14,$M292,BI$13))))</f>
        <v>1000000000000</v>
      </c>
      <c r="BJ292" s="181">
        <f ca="1">IF($D292&lt;&gt;"Serviço",0,IF(AND(AUTOEVENTO="Manual",$M292=1),0,IF(OFFSET(CRONOPLE!$F$14,$M292,BJ$13)="",10^12,OFFSET(CRONOPLE!$F$14,$M292,BJ$13))))</f>
        <v>1000000000000</v>
      </c>
      <c r="BK292" s="181">
        <f ca="1">IF($D292&lt;&gt;"Serviço",0,IF(AND(AUTOEVENTO="Manual",$M292=1),0,IF(OFFSET(CRONOPLE!$F$14,$M292,BK$13)="",10^12,OFFSET(CRONOPLE!$F$14,$M292,BK$13))))</f>
        <v>1000000000000</v>
      </c>
      <c r="BL292" s="181">
        <f ca="1">IF($D292&lt;&gt;"Serviço",0,IF(AND(AUTOEVENTO="Manual",$M292=1),0,IF(OFFSET(CRONOPLE!$F$14,$M292,BL$13)="",10^12,OFFSET(CRONOPLE!$F$14,$M292,BL$13))))</f>
        <v>1000000000000</v>
      </c>
      <c r="BM292" s="181">
        <f ca="1">IF($D292&lt;&gt;"Serviço",0,IF(AND(AUTOEVENTO="Manual",$M292=1),0,IF(OFFSET(CRONOPLE!$F$14,$M292,BM$13)="",10^12,OFFSET(CRONOPLE!$F$14,$M292,BM$13))))</f>
        <v>1000000000000</v>
      </c>
      <c r="BN292" s="181">
        <f ca="1">IF($D292&lt;&gt;"Serviço",0,IF(AND(AUTOEVENTO="Manual",$M292=1),0,IF(OFFSET(CRONOPLE!$F$14,$M292,BN$13)="",10^12,OFFSET(CRONOPLE!$F$14,$M292,BN$13))))</f>
        <v>1000000000000</v>
      </c>
      <c r="BO292" s="181">
        <f ca="1">IF($D292&lt;&gt;"Serviço",0,IF(AND(AUTOEVENTO="Manual",$M292=1),0,IF(OFFSET(CRONOPLE!$F$14,$M292,BO$13)="",10^12,OFFSET(CRONOPLE!$F$14,$M292,BO$13))))</f>
        <v>1000000000000</v>
      </c>
      <c r="BP292" s="181">
        <f ca="1">IF($D292&lt;&gt;"Serviço",0,IF(AND(AUTOEVENTO="Manual",$M292=1),0,IF(OFFSET(CRONOPLE!$F$14,$M292,BP$13)="",10^12,OFFSET(CRONOPLE!$F$14,$M292,BP$13))))</f>
        <v>1000000000000</v>
      </c>
      <c r="BQ292" s="181">
        <f ca="1">IF($D292&lt;&gt;"Serviço",0,IF(AND(AUTOEVENTO="Manual",$M292=1),0,IF(OFFSET(CRONOPLE!$F$14,$M292,BQ$13)="",10^12,OFFSET(CRONOPLE!$F$14,$M292,BQ$13))))</f>
        <v>1000000000000</v>
      </c>
      <c r="BR292" s="181">
        <f ca="1">IF($D292&lt;&gt;"Serviço",0,IF(AND(AUTOEVENTO="Manual",$M292=1),0,IF(OFFSET(CRONOPLE!$F$14,$M292,BR$13)="",10^12,OFFSET(CRONOPLE!$F$14,$M292,BR$13))))</f>
        <v>1000000000000</v>
      </c>
      <c r="BS292" s="181">
        <f ca="1">IF($D292&lt;&gt;"Serviço",0,IF(AND(AUTOEVENTO="Manual",$M292=1),0,IF(OFFSET(CRONOPLE!$F$14,$M292,BS$13)="",10^12,OFFSET(CRONOPLE!$F$14,$M292,BS$13))))</f>
        <v>1000000000000</v>
      </c>
      <c r="BT292" s="181">
        <f ca="1">IF($D292&lt;&gt;"Serviço",0,IF(AND(AUTOEVENTO="Manual",$M292=1),0,IF(OFFSET(CRONOPLE!$F$14,$M292,BT$13)="",10^12,OFFSET(CRONOPLE!$F$14,$M292,BT$13))))</f>
        <v>1000000000000</v>
      </c>
      <c r="BV292" s="182">
        <f ca="1">IF($D292&lt;&gt;"Serviço",0,IF(OR(AND(AUTOEVENTO="Manual",$M292=1),$M292&gt;(ROW(PLE.lastrow)-ROW(PLE.firstrow))),0,IF(OFFSET(PLE!$G$14,$M292,BV$13)="",10^12,OFFSET(PLE!$G$14,$M292,BV$13))))</f>
        <v>1000000000000</v>
      </c>
      <c r="BW292" s="182">
        <f ca="1">IF($D292&lt;&gt;"Serviço",0,IF(OR(AND(AUTOEVENTO="Manual",$M292=1),$M292&gt;(ROW(PLE.lastrow)-ROW(PLE.firstrow))),0,IF(OFFSET(PLE!$G$14,$M292,BW$13)="",10^12,OFFSET(PLE!$G$14,$M292,BW$13))))</f>
        <v>1000000000000</v>
      </c>
      <c r="BX292" s="182">
        <f ca="1">IF($D292&lt;&gt;"Serviço",0,IF(OR(AND(AUTOEVENTO="Manual",$M292=1),$M292&gt;(ROW(PLE.lastrow)-ROW(PLE.firstrow))),0,IF(OFFSET(PLE!$G$14,$M292,BX$13)="",10^12,OFFSET(PLE!$G$14,$M292,BX$13))))</f>
        <v>1000000000000</v>
      </c>
      <c r="BY292" s="182">
        <f ca="1">IF($D292&lt;&gt;"Serviço",0,IF(OR(AND(AUTOEVENTO="Manual",$M292=1),$M292&gt;(ROW(PLE.lastrow)-ROW(PLE.firstrow))),0,IF(OFFSET(PLE!$G$14,$M292,BY$13)="",10^12,OFFSET(PLE!$G$14,$M292,BY$13))))</f>
        <v>1000000000000</v>
      </c>
      <c r="BZ292" s="182">
        <f ca="1">IF($D292&lt;&gt;"Serviço",0,IF(OR(AND(AUTOEVENTO="Manual",$M292=1),$M292&gt;(ROW(PLE.lastrow)-ROW(PLE.firstrow))),0,IF(OFFSET(PLE!$G$14,$M292,BZ$13)="",10^12,OFFSET(PLE!$G$14,$M292,BZ$13))))</f>
        <v>1000000000000</v>
      </c>
      <c r="CA292" s="182">
        <f ca="1">IF($D292&lt;&gt;"Serviço",0,IF(OR(AND(AUTOEVENTO="Manual",$M292=1),$M292&gt;(ROW(PLE.lastrow)-ROW(PLE.firstrow))),0,IF(OFFSET(PLE!$G$14,$M292,CA$13)="",10^12,OFFSET(PLE!$G$14,$M292,CA$13))))</f>
        <v>1000000000000</v>
      </c>
      <c r="CB292" s="182">
        <f ca="1">IF($D292&lt;&gt;"Serviço",0,IF(OR(AND(AUTOEVENTO="Manual",$M292=1),$M292&gt;(ROW(PLE.lastrow)-ROW(PLE.firstrow))),0,IF(OFFSET(PLE!$G$14,$M292,CB$13)="",10^12,OFFSET(PLE!$G$14,$M292,CB$13))))</f>
        <v>1000000000000</v>
      </c>
      <c r="CC292" s="182">
        <f ca="1">IF($D292&lt;&gt;"Serviço",0,IF(OR(AND(AUTOEVENTO="Manual",$M292=1),$M292&gt;(ROW(PLE.lastrow)-ROW(PLE.firstrow))),0,IF(OFFSET(PLE!$G$14,$M292,CC$13)="",10^12,OFFSET(PLE!$G$14,$M292,CC$13))))</f>
        <v>1000000000000</v>
      </c>
      <c r="CD292" s="182">
        <f ca="1">IF($D292&lt;&gt;"Serviço",0,IF(OR(AND(AUTOEVENTO="Manual",$M292=1),$M292&gt;(ROW(PLE.lastrow)-ROW(PLE.firstrow))),0,IF(OFFSET(PLE!$G$14,$M292,CD$13)="",10^12,OFFSET(PLE!$G$14,$M292,CD$13))))</f>
        <v>1000000000000</v>
      </c>
      <c r="CE292" s="182">
        <f ca="1">IF($D292&lt;&gt;"Serviço",0,IF(OR(AND(AUTOEVENTO="Manual",$M292=1),$M292&gt;(ROW(PLE.lastrow)-ROW(PLE.firstrow))),0,IF(OFFSET(PLE!$G$14,$M292,CE$13)="",10^12,OFFSET(PLE!$G$14,$M292,CE$13))))</f>
        <v>1000000000000</v>
      </c>
      <c r="CF292" s="182">
        <f ca="1">IF($D292&lt;&gt;"Serviço",0,IF(OR(AND(AUTOEVENTO="Manual",$M292=1),$M292&gt;(ROW(PLE.lastrow)-ROW(PLE.firstrow))),0,IF(OFFSET(PLE!$G$14,$M292,CF$13)="",10^12,OFFSET(PLE!$G$14,$M292,CF$13))))</f>
        <v>1000000000000</v>
      </c>
      <c r="CG292" s="182">
        <f ca="1">IF($D292&lt;&gt;"Serviço",0,IF(OR(AND(AUTOEVENTO="Manual",$M292=1),$M292&gt;(ROW(PLE.lastrow)-ROW(PLE.firstrow))),0,IF(OFFSET(PLE!$G$14,$M292,CG$13)="",10^12,OFFSET(PLE!$G$14,$M292,CG$13))))</f>
        <v>1000000000000</v>
      </c>
      <c r="CH292" s="182">
        <f ca="1">IF($D292&lt;&gt;"Serviço",0,IF(OR(AND(AUTOEVENTO="Manual",$M292=1),$M292&gt;(ROW(PLE.lastrow)-ROW(PLE.firstrow))),0,IF(OFFSET(PLE!$G$14,$M292,CH$13)="",10^12,OFFSET(PLE!$G$14,$M292,CH$13))))</f>
        <v>1000000000000</v>
      </c>
      <c r="CI292" s="182">
        <f ca="1">IF($D292&lt;&gt;"Serviço",0,IF(OR(AND(AUTOEVENTO="Manual",$M292=1),$M292&gt;(ROW(PLE.lastrow)-ROW(PLE.firstrow))),0,IF(OFFSET(PLE!$G$14,$M292,CI$13)="",10^12,OFFSET(PLE!$G$14,$M292,CI$13))))</f>
        <v>1000000000000</v>
      </c>
      <c r="CJ292" s="182">
        <f ca="1">IF($D292&lt;&gt;"Serviço",0,IF(OR(AND(AUTOEVENTO="Manual",$M292=1),$M292&gt;(ROW(PLE.lastrow)-ROW(PLE.firstrow))),0,IF(OFFSET(PLE!$G$14,$M292,CJ$13)="",10^12,OFFSET(PLE!$G$14,$M292,CJ$13))))</f>
        <v>1000000000000</v>
      </c>
      <c r="CK292" s="182">
        <f ca="1">IF($D292&lt;&gt;"Serviço",0,IF(OR(AND(AUTOEVENTO="Manual",$M292=1),$M292&gt;(ROW(PLE.lastrow)-ROW(PLE.firstrow))),0,IF(OFFSET(PLE!$G$14,$M292,CK$13)="",10^12,OFFSET(PLE!$G$14,$M292,CK$13))))</f>
        <v>1000000000000</v>
      </c>
      <c r="CL292" s="182">
        <f ca="1">IF($D292&lt;&gt;"Serviço",0,IF(OR(AND(AUTOEVENTO="Manual",$M292=1),$M292&gt;(ROW(PLE.lastrow)-ROW(PLE.firstrow))),0,IF(OFFSET(PLE!$G$14,$M292,CL$13)="",10^12,OFFSET(PLE!$G$14,$M292,CL$13))))</f>
        <v>1000000000000</v>
      </c>
      <c r="CM292" s="182">
        <f ca="1">IF($D292&lt;&gt;"Serviço",0,IF(OR(AND(AUTOEVENTO="Manual",$M292=1),$M292&gt;(ROW(PLE.lastrow)-ROW(PLE.firstrow))),0,IF(OFFSET(PLE!$G$14,$M292,CM$13)="",10^12,OFFSET(PLE!$G$14,$M292,CM$13))))</f>
        <v>1000000000000</v>
      </c>
    </row>
    <row r="293" spans="1:91" ht="12.75" x14ac:dyDescent="0.2">
      <c r="A293" s="7" t="str">
        <f t="shared" ca="1" si="12"/>
        <v>278.</v>
      </c>
      <c r="B293" s="7">
        <f ca="1">OFFSET(ORÇAMENTO!C$15,ROW(B293)-ROW(B$15),0)</f>
        <v>2</v>
      </c>
      <c r="C293" s="7" t="str">
        <f ca="1">OFFSET(ORÇAMENTO!L$15,ROW(C293)-ROW(C$15),0)</f>
        <v>F</v>
      </c>
      <c r="D293" s="118" t="str">
        <f ca="1">OFFSET(ORÇAMENTO!N$15,ROW(D293)-ROW(D$15),0)</f>
        <v>Nível 2</v>
      </c>
      <c r="E293" s="119" t="str">
        <f ca="1">OFFSET(ORÇAMENTO!O$15,ROW(E293)-ROW(E$15),0)</f>
        <v>1.36.</v>
      </c>
      <c r="F293" s="172" t="str">
        <f ca="1">OFFSET(ORÇAMENTO!R$15,ROW(F293)-ROW(F$15),0)</f>
        <v>INSTALAÇÃO HIDRÁULICA - RESERVATÓRIO 30.000 L</v>
      </c>
      <c r="G293" s="173" t="str">
        <f ca="1">IF($D293&lt;&gt;"Serviço","",OFFSET(ORÇAMENTO!S$15,ROW(G293)-ROW(G$15),0))</f>
        <v/>
      </c>
      <c r="H293" s="124">
        <f ca="1">IF($D293&lt;&gt;"Serviço",0,IF(ACOMPANHAMENTO="BM",ROUND(OFFSET(ORÇAMENTO!AJ$15,ROW(H293)-ROW(H$15),0),15-13*ORÇAMENTO!$AF$7),SUMPRODUCT(($Q$12:$AI$12&lt;&gt;"")*ROUND($Q293:$AI293,15-13*ORÇAMENTO!$AF$7))))</f>
        <v>0</v>
      </c>
      <c r="I293" s="561"/>
      <c r="K293" s="174"/>
      <c r="L293" s="175" t="s">
        <v>255</v>
      </c>
      <c r="M293" s="176" t="str">
        <f ca="1">IF($D293&lt;&gt;"Serviço","",IF(AUTOEVENTO="manual",$A293,IF(ISERROR(MATCH($A293,$A$15:OFFSET($A293,-1,0),0)),MAX($M$15:OFFSET(M293,-1,0))+1,INDEX($M$15:OFFSET(M293,-1,0),MATCH($A293,$A$15:OFFSET($A293,-1,0),0)))))</f>
        <v/>
      </c>
      <c r="N293" s="177" t="str">
        <f ca="1">IF($D293&lt;&gt;"Serviço","",IF(AUTOEVENTO="Manual",IF($A293=0,"&lt;-- defina o número do agrupador",OFFSET(EVENTOS!$D$14,$A293,0)),OFFSET($F$15,$A293,0)))</f>
        <v/>
      </c>
      <c r="O293" s="178"/>
      <c r="Q293" s="178">
        <v>0</v>
      </c>
      <c r="R293" s="179"/>
      <c r="S293" s="179"/>
      <c r="T293" s="179"/>
      <c r="U293" s="179"/>
      <c r="V293" s="179"/>
      <c r="W293" s="179"/>
      <c r="X293" s="179"/>
      <c r="Y293" s="179"/>
      <c r="Z293" s="180"/>
      <c r="AA293" s="179"/>
      <c r="AB293" s="179"/>
      <c r="AC293" s="179"/>
      <c r="AD293" s="179"/>
      <c r="AE293" s="179"/>
      <c r="AF293" s="179"/>
      <c r="AG293" s="179"/>
      <c r="AH293" s="180"/>
      <c r="AJ293" s="544">
        <f ca="1">IF(AND($D293="Serviço",AJ$12&lt;&gt;0,$H293&gt;0,OR(AUTOEVENTO&lt;&gt;"manual",$M293&lt;&gt;1)),
IF(Import.TipoArredondamento&lt;&gt;"TransfereGOV",
ROUND(OFFSET($P293,0,AJ$13),15-13*ORÇAMENTO!$AF$7)/$H293*OFFSET(ORÇAMENTO!$X$15,ROW(AJ293)-ROW(AJ$15),0),
ROUND(ROUND(OFFSET($P293,0,AJ$13),15-13*ORÇAMENTO!$AF$7)*OFFSET(ORÇAMENTO!$W$15,ROW(AJ293)-ROW(AJ$15),0),15-13*ORÇAMENTO!$AF$11)),0)</f>
        <v>0</v>
      </c>
      <c r="AK293" s="545">
        <f ca="1">IF(AND($D293="Serviço",AK$12&lt;&gt;0,$H293&gt;0,OR(AUTOEVENTO&lt;&gt;"manual",$M293&lt;&gt;1)),
IF(Import.TipoArredondamento&lt;&gt;"TransfereGOV",
ROUND(OFFSET($P293,0,AK$13),15-13*ORÇAMENTO!$AF$7)/$H293*OFFSET(ORÇAMENTO!$X$15,ROW(AK293)-ROW(AK$15),0),
ROUND(ROUND(OFFSET($P293,0,AK$13),15-13*ORÇAMENTO!$AF$7)*OFFSET(ORÇAMENTO!$W$15,ROW(AK293)-ROW(AK$15),0),15-13*ORÇAMENTO!$AF$11)),0)</f>
        <v>0</v>
      </c>
      <c r="AL293" s="545">
        <f ca="1">IF(AND($D293="Serviço",AL$12&lt;&gt;0,$H293&gt;0,OR(AUTOEVENTO&lt;&gt;"manual",$M293&lt;&gt;1)),
IF(Import.TipoArredondamento&lt;&gt;"TransfereGOV",
ROUND(OFFSET($P293,0,AL$13),15-13*ORÇAMENTO!$AF$7)/$H293*OFFSET(ORÇAMENTO!$X$15,ROW(AL293)-ROW(AL$15),0),
ROUND(ROUND(OFFSET($P293,0,AL$13),15-13*ORÇAMENTO!$AF$7)*OFFSET(ORÇAMENTO!$W$15,ROW(AL293)-ROW(AL$15),0),15-13*ORÇAMENTO!$AF$11)),0)</f>
        <v>0</v>
      </c>
      <c r="AM293" s="545">
        <f ca="1">IF(AND($D293="Serviço",AM$12&lt;&gt;0,$H293&gt;0,OR(AUTOEVENTO&lt;&gt;"manual",$M293&lt;&gt;1)),
IF(Import.TipoArredondamento&lt;&gt;"TransfereGOV",
ROUND(OFFSET($P293,0,AM$13),15-13*ORÇAMENTO!$AF$7)/$H293*OFFSET(ORÇAMENTO!$X$15,ROW(AM293)-ROW(AM$15),0),
ROUND(ROUND(OFFSET($P293,0,AM$13),15-13*ORÇAMENTO!$AF$7)*OFFSET(ORÇAMENTO!$W$15,ROW(AM293)-ROW(AM$15),0),15-13*ORÇAMENTO!$AF$11)),0)</f>
        <v>0</v>
      </c>
      <c r="AN293" s="545">
        <f ca="1">IF(AND($D293="Serviço",AN$12&lt;&gt;0,$H293&gt;0,OR(AUTOEVENTO&lt;&gt;"manual",$M293&lt;&gt;1)),
IF(Import.TipoArredondamento&lt;&gt;"TransfereGOV",
ROUND(OFFSET($P293,0,AN$13),15-13*ORÇAMENTO!$AF$7)/$H293*OFFSET(ORÇAMENTO!$X$15,ROW(AN293)-ROW(AN$15),0),
ROUND(ROUND(OFFSET($P293,0,AN$13),15-13*ORÇAMENTO!$AF$7)*OFFSET(ORÇAMENTO!$W$15,ROW(AN293)-ROW(AN$15),0),15-13*ORÇAMENTO!$AF$11)),0)</f>
        <v>0</v>
      </c>
      <c r="AO293" s="545">
        <f ca="1">IF(AND($D293="Serviço",AO$12&lt;&gt;0,$H293&gt;0,OR(AUTOEVENTO&lt;&gt;"manual",$M293&lt;&gt;1)),
IF(Import.TipoArredondamento&lt;&gt;"TransfereGOV",
ROUND(OFFSET($P293,0,AO$13),15-13*ORÇAMENTO!$AF$7)/$H293*OFFSET(ORÇAMENTO!$X$15,ROW(AO293)-ROW(AO$15),0),
ROUND(ROUND(OFFSET($P293,0,AO$13),15-13*ORÇAMENTO!$AF$7)*OFFSET(ORÇAMENTO!$W$15,ROW(AO293)-ROW(AO$15),0),15-13*ORÇAMENTO!$AF$11)),0)</f>
        <v>0</v>
      </c>
      <c r="AP293" s="545">
        <f ca="1">IF(AND($D293="Serviço",AP$12&lt;&gt;0,$H293&gt;0,OR(AUTOEVENTO&lt;&gt;"manual",$M293&lt;&gt;1)),
IF(Import.TipoArredondamento&lt;&gt;"TransfereGOV",
ROUND(OFFSET($P293,0,AP$13),15-13*ORÇAMENTO!$AF$7)/$H293*OFFSET(ORÇAMENTO!$X$15,ROW(AP293)-ROW(AP$15),0),
ROUND(ROUND(OFFSET($P293,0,AP$13),15-13*ORÇAMENTO!$AF$7)*OFFSET(ORÇAMENTO!$W$15,ROW(AP293)-ROW(AP$15),0),15-13*ORÇAMENTO!$AF$11)),0)</f>
        <v>0</v>
      </c>
      <c r="AQ293" s="545">
        <f ca="1">IF(AND($D293="Serviço",AQ$12&lt;&gt;0,$H293&gt;0,OR(AUTOEVENTO&lt;&gt;"manual",$M293&lt;&gt;1)),
IF(Import.TipoArredondamento&lt;&gt;"TransfereGOV",
ROUND(OFFSET($P293,0,AQ$13),15-13*ORÇAMENTO!$AF$7)/$H293*OFFSET(ORÇAMENTO!$X$15,ROW(AQ293)-ROW(AQ$15),0),
ROUND(ROUND(OFFSET($P293,0,AQ$13),15-13*ORÇAMENTO!$AF$7)*OFFSET(ORÇAMENTO!$W$15,ROW(AQ293)-ROW(AQ$15),0),15-13*ORÇAMENTO!$AF$11)),0)</f>
        <v>0</v>
      </c>
      <c r="AR293" s="545">
        <f ca="1">IF(AND($D293="Serviço",AR$12&lt;&gt;0,$H293&gt;0,OR(AUTOEVENTO&lt;&gt;"manual",$M293&lt;&gt;1)),
IF(Import.TipoArredondamento&lt;&gt;"TransfereGOV",
ROUND(OFFSET($P293,0,AR$13),15-13*ORÇAMENTO!$AF$7)/$H293*OFFSET(ORÇAMENTO!$X$15,ROW(AR293)-ROW(AR$15),0),
ROUND(ROUND(OFFSET($P293,0,AR$13),15-13*ORÇAMENTO!$AF$7)*OFFSET(ORÇAMENTO!$W$15,ROW(AR293)-ROW(AR$15),0),15-13*ORÇAMENTO!$AF$11)),0)</f>
        <v>0</v>
      </c>
      <c r="AS293" s="546">
        <f ca="1">IF(AND($D293="Serviço",AS$12&lt;&gt;0,$H293&gt;0,OR(AUTOEVENTO&lt;&gt;"manual",$M293&lt;&gt;1)),
IF(Import.TipoArredondamento&lt;&gt;"TransfereGOV",
ROUND(OFFSET($P293,0,AS$13),15-13*ORÇAMENTO!$AF$7)/$H293*OFFSET(ORÇAMENTO!$X$15,ROW(AS293)-ROW(AS$15),0),
ROUND(ROUND(OFFSET($P293,0,AS$13),15-13*ORÇAMENTO!$AF$7)*OFFSET(ORÇAMENTO!$W$15,ROW(AS293)-ROW(AS$15),0),15-13*ORÇAMENTO!$AF$11)),0)</f>
        <v>0</v>
      </c>
      <c r="AT293" s="545">
        <f ca="1">IF(AND($D293="Serviço",AT$12&lt;&gt;0,$H293&gt;0,OR(AUTOEVENTO&lt;&gt;"manual",$M293&lt;&gt;1)),
IF(Import.TipoArredondamento&lt;&gt;"TransfereGOV",
ROUND(OFFSET($P293,0,AT$13),15-13*ORÇAMENTO!$AF$7)/$H293*OFFSET(ORÇAMENTO!$X$15,ROW(AT293)-ROW(AT$15),0),
ROUND(ROUND(OFFSET($P293,0,AT$13),15-13*ORÇAMENTO!$AF$7)*OFFSET(ORÇAMENTO!$W$15,ROW(AT293)-ROW(AT$15),0),15-13*ORÇAMENTO!$AF$11)),0)</f>
        <v>0</v>
      </c>
      <c r="AU293" s="545">
        <f ca="1">IF(AND($D293="Serviço",AU$12&lt;&gt;0,$H293&gt;0,OR(AUTOEVENTO&lt;&gt;"manual",$M293&lt;&gt;1)),
IF(Import.TipoArredondamento&lt;&gt;"TransfereGOV",
ROUND(OFFSET($P293,0,AU$13),15-13*ORÇAMENTO!$AF$7)/$H293*OFFSET(ORÇAMENTO!$X$15,ROW(AU293)-ROW(AU$15),0),
ROUND(ROUND(OFFSET($P293,0,AU$13),15-13*ORÇAMENTO!$AF$7)*OFFSET(ORÇAMENTO!$W$15,ROW(AU293)-ROW(AU$15),0),15-13*ORÇAMENTO!$AF$11)),0)</f>
        <v>0</v>
      </c>
      <c r="AV293" s="545">
        <f ca="1">IF(AND($D293="Serviço",AV$12&lt;&gt;0,$H293&gt;0,OR(AUTOEVENTO&lt;&gt;"manual",$M293&lt;&gt;1)),
IF(Import.TipoArredondamento&lt;&gt;"TransfereGOV",
ROUND(OFFSET($P293,0,AV$13),15-13*ORÇAMENTO!$AF$7)/$H293*OFFSET(ORÇAMENTO!$X$15,ROW(AV293)-ROW(AV$15),0),
ROUND(ROUND(OFFSET($P293,0,AV$13),15-13*ORÇAMENTO!$AF$7)*OFFSET(ORÇAMENTO!$W$15,ROW(AV293)-ROW(AV$15),0),15-13*ORÇAMENTO!$AF$11)),0)</f>
        <v>0</v>
      </c>
      <c r="AW293" s="545">
        <f ca="1">IF(AND($D293="Serviço",AW$12&lt;&gt;0,$H293&gt;0,OR(AUTOEVENTO&lt;&gt;"manual",$M293&lt;&gt;1)),
IF(Import.TipoArredondamento&lt;&gt;"TransfereGOV",
ROUND(OFFSET($P293,0,AW$13),15-13*ORÇAMENTO!$AF$7)/$H293*OFFSET(ORÇAMENTO!$X$15,ROW(AW293)-ROW(AW$15),0),
ROUND(ROUND(OFFSET($P293,0,AW$13),15-13*ORÇAMENTO!$AF$7)*OFFSET(ORÇAMENTO!$W$15,ROW(AW293)-ROW(AW$15),0),15-13*ORÇAMENTO!$AF$11)),0)</f>
        <v>0</v>
      </c>
      <c r="AX293" s="545">
        <f ca="1">IF(AND($D293="Serviço",AX$12&lt;&gt;0,$H293&gt;0,OR(AUTOEVENTO&lt;&gt;"manual",$M293&lt;&gt;1)),
IF(Import.TipoArredondamento&lt;&gt;"TransfereGOV",
ROUND(OFFSET($P293,0,AX$13),15-13*ORÇAMENTO!$AF$7)/$H293*OFFSET(ORÇAMENTO!$X$15,ROW(AX293)-ROW(AX$15),0),
ROUND(ROUND(OFFSET($P293,0,AX$13),15-13*ORÇAMENTO!$AF$7)*OFFSET(ORÇAMENTO!$W$15,ROW(AX293)-ROW(AX$15),0),15-13*ORÇAMENTO!$AF$11)),0)</f>
        <v>0</v>
      </c>
      <c r="AY293" s="545">
        <f ca="1">IF(AND($D293="Serviço",AY$12&lt;&gt;0,$H293&gt;0,OR(AUTOEVENTO&lt;&gt;"manual",$M293&lt;&gt;1)),
IF(Import.TipoArredondamento&lt;&gt;"TransfereGOV",
ROUND(OFFSET($P293,0,AY$13),15-13*ORÇAMENTO!$AF$7)/$H293*OFFSET(ORÇAMENTO!$X$15,ROW(AY293)-ROW(AY$15),0),
ROUND(ROUND(OFFSET($P293,0,AY$13),15-13*ORÇAMENTO!$AF$7)*OFFSET(ORÇAMENTO!$W$15,ROW(AY293)-ROW(AY$15),0),15-13*ORÇAMENTO!$AF$11)),0)</f>
        <v>0</v>
      </c>
      <c r="AZ293" s="545">
        <f ca="1">IF(AND($D293="Serviço",AZ$12&lt;&gt;0,$H293&gt;0,OR(AUTOEVENTO&lt;&gt;"manual",$M293&lt;&gt;1)),
IF(Import.TipoArredondamento&lt;&gt;"TransfereGOV",
ROUND(OFFSET($P293,0,AZ$13),15-13*ORÇAMENTO!$AF$7)/$H293*OFFSET(ORÇAMENTO!$X$15,ROW(AZ293)-ROW(AZ$15),0),
ROUND(ROUND(OFFSET($P293,0,AZ$13),15-13*ORÇAMENTO!$AF$7)*OFFSET(ORÇAMENTO!$W$15,ROW(AZ293)-ROW(AZ$15),0),15-13*ORÇAMENTO!$AF$11)),0)</f>
        <v>0</v>
      </c>
      <c r="BA293" s="546">
        <f ca="1">IF(AND($D293="Serviço",BA$12&lt;&gt;0,$H293&gt;0,OR(AUTOEVENTO&lt;&gt;"manual",$M293&lt;&gt;1)),
IF(Import.TipoArredondamento&lt;&gt;"TransfereGOV",
ROUND(OFFSET($P293,0,BA$13),15-13*ORÇAMENTO!$AF$7)/$H293*OFFSET(ORÇAMENTO!$X$15,ROW(BA293)-ROW(BA$15),0),
ROUND(ROUND(OFFSET($P293,0,BA$13),15-13*ORÇAMENTO!$AF$7)*OFFSET(ORÇAMENTO!$W$15,ROW(BA293)-ROW(BA$15),0),15-13*ORÇAMENTO!$AF$11)),0)</f>
        <v>0</v>
      </c>
      <c r="BC293" s="181">
        <f ca="1">IF($D293&lt;&gt;"Serviço",0,IF(AND(AUTOEVENTO="Manual",$M293=1),0,IF(OFFSET(CRONOPLE!$F$14,$M293,BC$13)="",10^12,OFFSET(CRONOPLE!$F$14,$M293,BC$13))))</f>
        <v>0</v>
      </c>
      <c r="BD293" s="181">
        <f ca="1">IF($D293&lt;&gt;"Serviço",0,IF(AND(AUTOEVENTO="Manual",$M293=1),0,IF(OFFSET(CRONOPLE!$F$14,$M293,BD$13)="",10^12,OFFSET(CRONOPLE!$F$14,$M293,BD$13))))</f>
        <v>0</v>
      </c>
      <c r="BE293" s="181">
        <f ca="1">IF($D293&lt;&gt;"Serviço",0,IF(AND(AUTOEVENTO="Manual",$M293=1),0,IF(OFFSET(CRONOPLE!$F$14,$M293,BE$13)="",10^12,OFFSET(CRONOPLE!$F$14,$M293,BE$13))))</f>
        <v>0</v>
      </c>
      <c r="BF293" s="181">
        <f ca="1">IF($D293&lt;&gt;"Serviço",0,IF(AND(AUTOEVENTO="Manual",$M293=1),0,IF(OFFSET(CRONOPLE!$F$14,$M293,BF$13)="",10^12,OFFSET(CRONOPLE!$F$14,$M293,BF$13))))</f>
        <v>0</v>
      </c>
      <c r="BG293" s="181">
        <f ca="1">IF($D293&lt;&gt;"Serviço",0,IF(AND(AUTOEVENTO="Manual",$M293=1),0,IF(OFFSET(CRONOPLE!$F$14,$M293,BG$13)="",10^12,OFFSET(CRONOPLE!$F$14,$M293,BG$13))))</f>
        <v>0</v>
      </c>
      <c r="BH293" s="181">
        <f ca="1">IF($D293&lt;&gt;"Serviço",0,IF(AND(AUTOEVENTO="Manual",$M293=1),0,IF(OFFSET(CRONOPLE!$F$14,$M293,BH$13)="",10^12,OFFSET(CRONOPLE!$F$14,$M293,BH$13))))</f>
        <v>0</v>
      </c>
      <c r="BI293" s="181">
        <f ca="1">IF($D293&lt;&gt;"Serviço",0,IF(AND(AUTOEVENTO="Manual",$M293=1),0,IF(OFFSET(CRONOPLE!$F$14,$M293,BI$13)="",10^12,OFFSET(CRONOPLE!$F$14,$M293,BI$13))))</f>
        <v>0</v>
      </c>
      <c r="BJ293" s="181">
        <f ca="1">IF($D293&lt;&gt;"Serviço",0,IF(AND(AUTOEVENTO="Manual",$M293=1),0,IF(OFFSET(CRONOPLE!$F$14,$M293,BJ$13)="",10^12,OFFSET(CRONOPLE!$F$14,$M293,BJ$13))))</f>
        <v>0</v>
      </c>
      <c r="BK293" s="181">
        <f ca="1">IF($D293&lt;&gt;"Serviço",0,IF(AND(AUTOEVENTO="Manual",$M293=1),0,IF(OFFSET(CRONOPLE!$F$14,$M293,BK$13)="",10^12,OFFSET(CRONOPLE!$F$14,$M293,BK$13))))</f>
        <v>0</v>
      </c>
      <c r="BL293" s="181">
        <f ca="1">IF($D293&lt;&gt;"Serviço",0,IF(AND(AUTOEVENTO="Manual",$M293=1),0,IF(OFFSET(CRONOPLE!$F$14,$M293,BL$13)="",10^12,OFFSET(CRONOPLE!$F$14,$M293,BL$13))))</f>
        <v>0</v>
      </c>
      <c r="BM293" s="181">
        <f ca="1">IF($D293&lt;&gt;"Serviço",0,IF(AND(AUTOEVENTO="Manual",$M293=1),0,IF(OFFSET(CRONOPLE!$F$14,$M293,BM$13)="",10^12,OFFSET(CRONOPLE!$F$14,$M293,BM$13))))</f>
        <v>0</v>
      </c>
      <c r="BN293" s="181">
        <f ca="1">IF($D293&lt;&gt;"Serviço",0,IF(AND(AUTOEVENTO="Manual",$M293=1),0,IF(OFFSET(CRONOPLE!$F$14,$M293,BN$13)="",10^12,OFFSET(CRONOPLE!$F$14,$M293,BN$13))))</f>
        <v>0</v>
      </c>
      <c r="BO293" s="181">
        <f ca="1">IF($D293&lt;&gt;"Serviço",0,IF(AND(AUTOEVENTO="Manual",$M293=1),0,IF(OFFSET(CRONOPLE!$F$14,$M293,BO$13)="",10^12,OFFSET(CRONOPLE!$F$14,$M293,BO$13))))</f>
        <v>0</v>
      </c>
      <c r="BP293" s="181">
        <f ca="1">IF($D293&lt;&gt;"Serviço",0,IF(AND(AUTOEVENTO="Manual",$M293=1),0,IF(OFFSET(CRONOPLE!$F$14,$M293,BP$13)="",10^12,OFFSET(CRONOPLE!$F$14,$M293,BP$13))))</f>
        <v>0</v>
      </c>
      <c r="BQ293" s="181">
        <f ca="1">IF($D293&lt;&gt;"Serviço",0,IF(AND(AUTOEVENTO="Manual",$M293=1),0,IF(OFFSET(CRONOPLE!$F$14,$M293,BQ$13)="",10^12,OFFSET(CRONOPLE!$F$14,$M293,BQ$13))))</f>
        <v>0</v>
      </c>
      <c r="BR293" s="181">
        <f ca="1">IF($D293&lt;&gt;"Serviço",0,IF(AND(AUTOEVENTO="Manual",$M293=1),0,IF(OFFSET(CRONOPLE!$F$14,$M293,BR$13)="",10^12,OFFSET(CRONOPLE!$F$14,$M293,BR$13))))</f>
        <v>0</v>
      </c>
      <c r="BS293" s="181">
        <f ca="1">IF($D293&lt;&gt;"Serviço",0,IF(AND(AUTOEVENTO="Manual",$M293=1),0,IF(OFFSET(CRONOPLE!$F$14,$M293,BS$13)="",10^12,OFFSET(CRONOPLE!$F$14,$M293,BS$13))))</f>
        <v>0</v>
      </c>
      <c r="BT293" s="181">
        <f ca="1">IF($D293&lt;&gt;"Serviço",0,IF(AND(AUTOEVENTO="Manual",$M293=1),0,IF(OFFSET(CRONOPLE!$F$14,$M293,BT$13)="",10^12,OFFSET(CRONOPLE!$F$14,$M293,BT$13))))</f>
        <v>0</v>
      </c>
      <c r="BV293" s="182">
        <f ca="1">IF($D293&lt;&gt;"Serviço",0,IF(OR(AND(AUTOEVENTO="Manual",$M293=1),$M293&gt;(ROW(PLE.lastrow)-ROW(PLE.firstrow))),0,IF(OFFSET(PLE!$G$14,$M293,BV$13)="",10^12,OFFSET(PLE!$G$14,$M293,BV$13))))</f>
        <v>0</v>
      </c>
      <c r="BW293" s="182">
        <f ca="1">IF($D293&lt;&gt;"Serviço",0,IF(OR(AND(AUTOEVENTO="Manual",$M293=1),$M293&gt;(ROW(PLE.lastrow)-ROW(PLE.firstrow))),0,IF(OFFSET(PLE!$G$14,$M293,BW$13)="",10^12,OFFSET(PLE!$G$14,$M293,BW$13))))</f>
        <v>0</v>
      </c>
      <c r="BX293" s="182">
        <f ca="1">IF($D293&lt;&gt;"Serviço",0,IF(OR(AND(AUTOEVENTO="Manual",$M293=1),$M293&gt;(ROW(PLE.lastrow)-ROW(PLE.firstrow))),0,IF(OFFSET(PLE!$G$14,$M293,BX$13)="",10^12,OFFSET(PLE!$G$14,$M293,BX$13))))</f>
        <v>0</v>
      </c>
      <c r="BY293" s="182">
        <f ca="1">IF($D293&lt;&gt;"Serviço",0,IF(OR(AND(AUTOEVENTO="Manual",$M293=1),$M293&gt;(ROW(PLE.lastrow)-ROW(PLE.firstrow))),0,IF(OFFSET(PLE!$G$14,$M293,BY$13)="",10^12,OFFSET(PLE!$G$14,$M293,BY$13))))</f>
        <v>0</v>
      </c>
      <c r="BZ293" s="182">
        <f ca="1">IF($D293&lt;&gt;"Serviço",0,IF(OR(AND(AUTOEVENTO="Manual",$M293=1),$M293&gt;(ROW(PLE.lastrow)-ROW(PLE.firstrow))),0,IF(OFFSET(PLE!$G$14,$M293,BZ$13)="",10^12,OFFSET(PLE!$G$14,$M293,BZ$13))))</f>
        <v>0</v>
      </c>
      <c r="CA293" s="182">
        <f ca="1">IF($D293&lt;&gt;"Serviço",0,IF(OR(AND(AUTOEVENTO="Manual",$M293=1),$M293&gt;(ROW(PLE.lastrow)-ROW(PLE.firstrow))),0,IF(OFFSET(PLE!$G$14,$M293,CA$13)="",10^12,OFFSET(PLE!$G$14,$M293,CA$13))))</f>
        <v>0</v>
      </c>
      <c r="CB293" s="182">
        <f ca="1">IF($D293&lt;&gt;"Serviço",0,IF(OR(AND(AUTOEVENTO="Manual",$M293=1),$M293&gt;(ROW(PLE.lastrow)-ROW(PLE.firstrow))),0,IF(OFFSET(PLE!$G$14,$M293,CB$13)="",10^12,OFFSET(PLE!$G$14,$M293,CB$13))))</f>
        <v>0</v>
      </c>
      <c r="CC293" s="182">
        <f ca="1">IF($D293&lt;&gt;"Serviço",0,IF(OR(AND(AUTOEVENTO="Manual",$M293=1),$M293&gt;(ROW(PLE.lastrow)-ROW(PLE.firstrow))),0,IF(OFFSET(PLE!$G$14,$M293,CC$13)="",10^12,OFFSET(PLE!$G$14,$M293,CC$13))))</f>
        <v>0</v>
      </c>
      <c r="CD293" s="182">
        <f ca="1">IF($D293&lt;&gt;"Serviço",0,IF(OR(AND(AUTOEVENTO="Manual",$M293=1),$M293&gt;(ROW(PLE.lastrow)-ROW(PLE.firstrow))),0,IF(OFFSET(PLE!$G$14,$M293,CD$13)="",10^12,OFFSET(PLE!$G$14,$M293,CD$13))))</f>
        <v>0</v>
      </c>
      <c r="CE293" s="182">
        <f ca="1">IF($D293&lt;&gt;"Serviço",0,IF(OR(AND(AUTOEVENTO="Manual",$M293=1),$M293&gt;(ROW(PLE.lastrow)-ROW(PLE.firstrow))),0,IF(OFFSET(PLE!$G$14,$M293,CE$13)="",10^12,OFFSET(PLE!$G$14,$M293,CE$13))))</f>
        <v>0</v>
      </c>
      <c r="CF293" s="182">
        <f ca="1">IF($D293&lt;&gt;"Serviço",0,IF(OR(AND(AUTOEVENTO="Manual",$M293=1),$M293&gt;(ROW(PLE.lastrow)-ROW(PLE.firstrow))),0,IF(OFFSET(PLE!$G$14,$M293,CF$13)="",10^12,OFFSET(PLE!$G$14,$M293,CF$13))))</f>
        <v>0</v>
      </c>
      <c r="CG293" s="182">
        <f ca="1">IF($D293&lt;&gt;"Serviço",0,IF(OR(AND(AUTOEVENTO="Manual",$M293=1),$M293&gt;(ROW(PLE.lastrow)-ROW(PLE.firstrow))),0,IF(OFFSET(PLE!$G$14,$M293,CG$13)="",10^12,OFFSET(PLE!$G$14,$M293,CG$13))))</f>
        <v>0</v>
      </c>
      <c r="CH293" s="182">
        <f ca="1">IF($D293&lt;&gt;"Serviço",0,IF(OR(AND(AUTOEVENTO="Manual",$M293=1),$M293&gt;(ROW(PLE.lastrow)-ROW(PLE.firstrow))),0,IF(OFFSET(PLE!$G$14,$M293,CH$13)="",10^12,OFFSET(PLE!$G$14,$M293,CH$13))))</f>
        <v>0</v>
      </c>
      <c r="CI293" s="182">
        <f ca="1">IF($D293&lt;&gt;"Serviço",0,IF(OR(AND(AUTOEVENTO="Manual",$M293=1),$M293&gt;(ROW(PLE.lastrow)-ROW(PLE.firstrow))),0,IF(OFFSET(PLE!$G$14,$M293,CI$13)="",10^12,OFFSET(PLE!$G$14,$M293,CI$13))))</f>
        <v>0</v>
      </c>
      <c r="CJ293" s="182">
        <f ca="1">IF($D293&lt;&gt;"Serviço",0,IF(OR(AND(AUTOEVENTO="Manual",$M293=1),$M293&gt;(ROW(PLE.lastrow)-ROW(PLE.firstrow))),0,IF(OFFSET(PLE!$G$14,$M293,CJ$13)="",10^12,OFFSET(PLE!$G$14,$M293,CJ$13))))</f>
        <v>0</v>
      </c>
      <c r="CK293" s="182">
        <f ca="1">IF($D293&lt;&gt;"Serviço",0,IF(OR(AND(AUTOEVENTO="Manual",$M293=1),$M293&gt;(ROW(PLE.lastrow)-ROW(PLE.firstrow))),0,IF(OFFSET(PLE!$G$14,$M293,CK$13)="",10^12,OFFSET(PLE!$G$14,$M293,CK$13))))</f>
        <v>0</v>
      </c>
      <c r="CL293" s="182">
        <f ca="1">IF($D293&lt;&gt;"Serviço",0,IF(OR(AND(AUTOEVENTO="Manual",$M293=1),$M293&gt;(ROW(PLE.lastrow)-ROW(PLE.firstrow))),0,IF(OFFSET(PLE!$G$14,$M293,CL$13)="",10^12,OFFSET(PLE!$G$14,$M293,CL$13))))</f>
        <v>0</v>
      </c>
      <c r="CM293" s="182">
        <f ca="1">IF($D293&lt;&gt;"Serviço",0,IF(OR(AND(AUTOEVENTO="Manual",$M293=1),$M293&gt;(ROW(PLE.lastrow)-ROW(PLE.firstrow))),0,IF(OFFSET(PLE!$G$14,$M293,CM$13)="",10^12,OFFSET(PLE!$G$14,$M293,CM$13))))</f>
        <v>0</v>
      </c>
    </row>
    <row r="294" spans="1:91" ht="51" x14ac:dyDescent="0.2">
      <c r="A294" s="7" t="str">
        <f t="shared" ca="1" si="12"/>
        <v>278</v>
      </c>
      <c r="B294" s="7" t="str">
        <f ca="1">OFFSET(ORÇAMENTO!C$15,ROW(B294)-ROW(B$15),0)</f>
        <v>S</v>
      </c>
      <c r="C294" s="7" t="str">
        <f ca="1">OFFSET(ORÇAMENTO!L$15,ROW(C294)-ROW(C$15),0)</f>
        <v/>
      </c>
      <c r="D294" s="118" t="str">
        <f ca="1">OFFSET(ORÇAMENTO!N$15,ROW(D294)-ROW(D$15),0)</f>
        <v>Serviço</v>
      </c>
      <c r="E294" s="119" t="str">
        <f ca="1">OFFSET(ORÇAMENTO!O$15,ROW(E294)-ROW(E$15),0)</f>
        <v>-</v>
      </c>
      <c r="F294" s="172" t="str">
        <f ca="1">OFFSET(ORÇAMENTO!R$15,ROW(F294)-ROW(F$15),0)</f>
        <v>(abra o arquivo 'Referência 06-2024.xlsm)</v>
      </c>
      <c r="G294" s="173" t="str">
        <f ca="1">IF($D294&lt;&gt;"Serviço","",OFFSET(ORÇAMENTO!S$15,ROW(G294)-ROW(G$15),0))</f>
        <v>-</v>
      </c>
      <c r="H294" s="124">
        <f ca="1">IF($D294&lt;&gt;"Serviço",0,IF(ACOMPANHAMENTO="BM",ROUND(OFFSET(ORÇAMENTO!AJ$15,ROW(H294)-ROW(H$15),0),15-13*ORÇAMENTO!$AF$7),SUMPRODUCT(($Q$12:$AI$12&lt;&gt;"")*ROUND($Q294:$AI294,15-13*ORÇAMENTO!$AF$7))))</f>
        <v>1</v>
      </c>
      <c r="I294" s="561" t="s">
        <v>1107</v>
      </c>
      <c r="K294" s="174"/>
      <c r="L294" s="175" t="s">
        <v>255</v>
      </c>
      <c r="M294" s="176">
        <f ca="1">IF($D294&lt;&gt;"Serviço","",IF(AUTOEVENTO="manual",$A294,IF(ISERROR(MATCH($A294,$A$15:OFFSET($A294,-1,0),0)),MAX($M$15:OFFSET(M294,-1,0))+1,INDEX($M$15:OFFSET(M294,-1,0),MATCH($A294,$A$15:OFFSET($A294,-1,0),0)))))</f>
        <v>37</v>
      </c>
      <c r="N294" s="177" t="str">
        <f ca="1">IF($D294&lt;&gt;"Serviço","",IF(AUTOEVENTO="Manual",IF($A294=0,"&lt;-- defina o número do agrupador",OFFSET(EVENTOS!$D$14,$A294,0)),OFFSET($F$15,$A294,0)))</f>
        <v>INSTALAÇÃO HIDRÁULICA - RESERVATÓRIO 30.000 L</v>
      </c>
      <c r="O294" s="178"/>
      <c r="Q294" s="178">
        <v>1</v>
      </c>
      <c r="R294" s="179"/>
      <c r="S294" s="179"/>
      <c r="T294" s="179"/>
      <c r="U294" s="179"/>
      <c r="V294" s="179"/>
      <c r="W294" s="179"/>
      <c r="X294" s="179"/>
      <c r="Y294" s="179"/>
      <c r="Z294" s="180"/>
      <c r="AA294" s="179"/>
      <c r="AB294" s="179"/>
      <c r="AC294" s="179"/>
      <c r="AD294" s="179"/>
      <c r="AE294" s="179"/>
      <c r="AF294" s="179"/>
      <c r="AG294" s="179"/>
      <c r="AH294" s="180"/>
      <c r="AJ294" s="544">
        <f ca="1">IF(AND($D294="Serviço",AJ$12&lt;&gt;0,$H294&gt;0,OR(AUTOEVENTO&lt;&gt;"manual",$M294&lt;&gt;1)),
IF(Import.TipoArredondamento&lt;&gt;"TransfereGOV",
ROUND(OFFSET($P294,0,AJ$13),15-13*ORÇAMENTO!$AF$7)/$H294*OFFSET(ORÇAMENTO!$X$15,ROW(AJ294)-ROW(AJ$15),0),
ROUND(ROUND(OFFSET($P294,0,AJ$13),15-13*ORÇAMENTO!$AF$7)*OFFSET(ORÇAMENTO!$W$15,ROW(AJ294)-ROW(AJ$15),0),15-13*ORÇAMENTO!$AF$11)),0)</f>
        <v>0</v>
      </c>
      <c r="AK294" s="545">
        <f ca="1">IF(AND($D294="Serviço",AK$12&lt;&gt;0,$H294&gt;0,OR(AUTOEVENTO&lt;&gt;"manual",$M294&lt;&gt;1)),
IF(Import.TipoArredondamento&lt;&gt;"TransfereGOV",
ROUND(OFFSET($P294,0,AK$13),15-13*ORÇAMENTO!$AF$7)/$H294*OFFSET(ORÇAMENTO!$X$15,ROW(AK294)-ROW(AK$15),0),
ROUND(ROUND(OFFSET($P294,0,AK$13),15-13*ORÇAMENTO!$AF$7)*OFFSET(ORÇAMENTO!$W$15,ROW(AK294)-ROW(AK$15),0),15-13*ORÇAMENTO!$AF$11)),0)</f>
        <v>0</v>
      </c>
      <c r="AL294" s="545">
        <f ca="1">IF(AND($D294="Serviço",AL$12&lt;&gt;0,$H294&gt;0,OR(AUTOEVENTO&lt;&gt;"manual",$M294&lt;&gt;1)),
IF(Import.TipoArredondamento&lt;&gt;"TransfereGOV",
ROUND(OFFSET($P294,0,AL$13),15-13*ORÇAMENTO!$AF$7)/$H294*OFFSET(ORÇAMENTO!$X$15,ROW(AL294)-ROW(AL$15),0),
ROUND(ROUND(OFFSET($P294,0,AL$13),15-13*ORÇAMENTO!$AF$7)*OFFSET(ORÇAMENTO!$W$15,ROW(AL294)-ROW(AL$15),0),15-13*ORÇAMENTO!$AF$11)),0)</f>
        <v>0</v>
      </c>
      <c r="AM294" s="545">
        <f ca="1">IF(AND($D294="Serviço",AM$12&lt;&gt;0,$H294&gt;0,OR(AUTOEVENTO&lt;&gt;"manual",$M294&lt;&gt;1)),
IF(Import.TipoArredondamento&lt;&gt;"TransfereGOV",
ROUND(OFFSET($P294,0,AM$13),15-13*ORÇAMENTO!$AF$7)/$H294*OFFSET(ORÇAMENTO!$X$15,ROW(AM294)-ROW(AM$15),0),
ROUND(ROUND(OFFSET($P294,0,AM$13),15-13*ORÇAMENTO!$AF$7)*OFFSET(ORÇAMENTO!$W$15,ROW(AM294)-ROW(AM$15),0),15-13*ORÇAMENTO!$AF$11)),0)</f>
        <v>0</v>
      </c>
      <c r="AN294" s="545">
        <f ca="1">IF(AND($D294="Serviço",AN$12&lt;&gt;0,$H294&gt;0,OR(AUTOEVENTO&lt;&gt;"manual",$M294&lt;&gt;1)),
IF(Import.TipoArredondamento&lt;&gt;"TransfereGOV",
ROUND(OFFSET($P294,0,AN$13),15-13*ORÇAMENTO!$AF$7)/$H294*OFFSET(ORÇAMENTO!$X$15,ROW(AN294)-ROW(AN$15),0),
ROUND(ROUND(OFFSET($P294,0,AN$13),15-13*ORÇAMENTO!$AF$7)*OFFSET(ORÇAMENTO!$W$15,ROW(AN294)-ROW(AN$15),0),15-13*ORÇAMENTO!$AF$11)),0)</f>
        <v>0</v>
      </c>
      <c r="AO294" s="545">
        <f ca="1">IF(AND($D294="Serviço",AO$12&lt;&gt;0,$H294&gt;0,OR(AUTOEVENTO&lt;&gt;"manual",$M294&lt;&gt;1)),
IF(Import.TipoArredondamento&lt;&gt;"TransfereGOV",
ROUND(OFFSET($P294,0,AO$13),15-13*ORÇAMENTO!$AF$7)/$H294*OFFSET(ORÇAMENTO!$X$15,ROW(AO294)-ROW(AO$15),0),
ROUND(ROUND(OFFSET($P294,0,AO$13),15-13*ORÇAMENTO!$AF$7)*OFFSET(ORÇAMENTO!$W$15,ROW(AO294)-ROW(AO$15),0),15-13*ORÇAMENTO!$AF$11)),0)</f>
        <v>0</v>
      </c>
      <c r="AP294" s="545">
        <f ca="1">IF(AND($D294="Serviço",AP$12&lt;&gt;0,$H294&gt;0,OR(AUTOEVENTO&lt;&gt;"manual",$M294&lt;&gt;1)),
IF(Import.TipoArredondamento&lt;&gt;"TransfereGOV",
ROUND(OFFSET($P294,0,AP$13),15-13*ORÇAMENTO!$AF$7)/$H294*OFFSET(ORÇAMENTO!$X$15,ROW(AP294)-ROW(AP$15),0),
ROUND(ROUND(OFFSET($P294,0,AP$13),15-13*ORÇAMENTO!$AF$7)*OFFSET(ORÇAMENTO!$W$15,ROW(AP294)-ROW(AP$15),0),15-13*ORÇAMENTO!$AF$11)),0)</f>
        <v>0</v>
      </c>
      <c r="AQ294" s="545">
        <f ca="1">IF(AND($D294="Serviço",AQ$12&lt;&gt;0,$H294&gt;0,OR(AUTOEVENTO&lt;&gt;"manual",$M294&lt;&gt;1)),
IF(Import.TipoArredondamento&lt;&gt;"TransfereGOV",
ROUND(OFFSET($P294,0,AQ$13),15-13*ORÇAMENTO!$AF$7)/$H294*OFFSET(ORÇAMENTO!$X$15,ROW(AQ294)-ROW(AQ$15),0),
ROUND(ROUND(OFFSET($P294,0,AQ$13),15-13*ORÇAMENTO!$AF$7)*OFFSET(ORÇAMENTO!$W$15,ROW(AQ294)-ROW(AQ$15),0),15-13*ORÇAMENTO!$AF$11)),0)</f>
        <v>0</v>
      </c>
      <c r="AR294" s="545">
        <f ca="1">IF(AND($D294="Serviço",AR$12&lt;&gt;0,$H294&gt;0,OR(AUTOEVENTO&lt;&gt;"manual",$M294&lt;&gt;1)),
IF(Import.TipoArredondamento&lt;&gt;"TransfereGOV",
ROUND(OFFSET($P294,0,AR$13),15-13*ORÇAMENTO!$AF$7)/$H294*OFFSET(ORÇAMENTO!$X$15,ROW(AR294)-ROW(AR$15),0),
ROUND(ROUND(OFFSET($P294,0,AR$13),15-13*ORÇAMENTO!$AF$7)*OFFSET(ORÇAMENTO!$W$15,ROW(AR294)-ROW(AR$15),0),15-13*ORÇAMENTO!$AF$11)),0)</f>
        <v>0</v>
      </c>
      <c r="AS294" s="546">
        <f ca="1">IF(AND($D294="Serviço",AS$12&lt;&gt;0,$H294&gt;0,OR(AUTOEVENTO&lt;&gt;"manual",$M294&lt;&gt;1)),
IF(Import.TipoArredondamento&lt;&gt;"TransfereGOV",
ROUND(OFFSET($P294,0,AS$13),15-13*ORÇAMENTO!$AF$7)/$H294*OFFSET(ORÇAMENTO!$X$15,ROW(AS294)-ROW(AS$15),0),
ROUND(ROUND(OFFSET($P294,0,AS$13),15-13*ORÇAMENTO!$AF$7)*OFFSET(ORÇAMENTO!$W$15,ROW(AS294)-ROW(AS$15),0),15-13*ORÇAMENTO!$AF$11)),0)</f>
        <v>0</v>
      </c>
      <c r="AT294" s="545">
        <f ca="1">IF(AND($D294="Serviço",AT$12&lt;&gt;0,$H294&gt;0,OR(AUTOEVENTO&lt;&gt;"manual",$M294&lt;&gt;1)),
IF(Import.TipoArredondamento&lt;&gt;"TransfereGOV",
ROUND(OFFSET($P294,0,AT$13),15-13*ORÇAMENTO!$AF$7)/$H294*OFFSET(ORÇAMENTO!$X$15,ROW(AT294)-ROW(AT$15),0),
ROUND(ROUND(OFFSET($P294,0,AT$13),15-13*ORÇAMENTO!$AF$7)*OFFSET(ORÇAMENTO!$W$15,ROW(AT294)-ROW(AT$15),0),15-13*ORÇAMENTO!$AF$11)),0)</f>
        <v>0</v>
      </c>
      <c r="AU294" s="545">
        <f ca="1">IF(AND($D294="Serviço",AU$12&lt;&gt;0,$H294&gt;0,OR(AUTOEVENTO&lt;&gt;"manual",$M294&lt;&gt;1)),
IF(Import.TipoArredondamento&lt;&gt;"TransfereGOV",
ROUND(OFFSET($P294,0,AU$13),15-13*ORÇAMENTO!$AF$7)/$H294*OFFSET(ORÇAMENTO!$X$15,ROW(AU294)-ROW(AU$15),0),
ROUND(ROUND(OFFSET($P294,0,AU$13),15-13*ORÇAMENTO!$AF$7)*OFFSET(ORÇAMENTO!$W$15,ROW(AU294)-ROW(AU$15),0),15-13*ORÇAMENTO!$AF$11)),0)</f>
        <v>0</v>
      </c>
      <c r="AV294" s="545">
        <f ca="1">IF(AND($D294="Serviço",AV$12&lt;&gt;0,$H294&gt;0,OR(AUTOEVENTO&lt;&gt;"manual",$M294&lt;&gt;1)),
IF(Import.TipoArredondamento&lt;&gt;"TransfereGOV",
ROUND(OFFSET($P294,0,AV$13),15-13*ORÇAMENTO!$AF$7)/$H294*OFFSET(ORÇAMENTO!$X$15,ROW(AV294)-ROW(AV$15),0),
ROUND(ROUND(OFFSET($P294,0,AV$13),15-13*ORÇAMENTO!$AF$7)*OFFSET(ORÇAMENTO!$W$15,ROW(AV294)-ROW(AV$15),0),15-13*ORÇAMENTO!$AF$11)),0)</f>
        <v>0</v>
      </c>
      <c r="AW294" s="545">
        <f ca="1">IF(AND($D294="Serviço",AW$12&lt;&gt;0,$H294&gt;0,OR(AUTOEVENTO&lt;&gt;"manual",$M294&lt;&gt;1)),
IF(Import.TipoArredondamento&lt;&gt;"TransfereGOV",
ROUND(OFFSET($P294,0,AW$13),15-13*ORÇAMENTO!$AF$7)/$H294*OFFSET(ORÇAMENTO!$X$15,ROW(AW294)-ROW(AW$15),0),
ROUND(ROUND(OFFSET($P294,0,AW$13),15-13*ORÇAMENTO!$AF$7)*OFFSET(ORÇAMENTO!$W$15,ROW(AW294)-ROW(AW$15),0),15-13*ORÇAMENTO!$AF$11)),0)</f>
        <v>0</v>
      </c>
      <c r="AX294" s="545">
        <f ca="1">IF(AND($D294="Serviço",AX$12&lt;&gt;0,$H294&gt;0,OR(AUTOEVENTO&lt;&gt;"manual",$M294&lt;&gt;1)),
IF(Import.TipoArredondamento&lt;&gt;"TransfereGOV",
ROUND(OFFSET($P294,0,AX$13),15-13*ORÇAMENTO!$AF$7)/$H294*OFFSET(ORÇAMENTO!$X$15,ROW(AX294)-ROW(AX$15),0),
ROUND(ROUND(OFFSET($P294,0,AX$13),15-13*ORÇAMENTO!$AF$7)*OFFSET(ORÇAMENTO!$W$15,ROW(AX294)-ROW(AX$15),0),15-13*ORÇAMENTO!$AF$11)),0)</f>
        <v>0</v>
      </c>
      <c r="AY294" s="545">
        <f ca="1">IF(AND($D294="Serviço",AY$12&lt;&gt;0,$H294&gt;0,OR(AUTOEVENTO&lt;&gt;"manual",$M294&lt;&gt;1)),
IF(Import.TipoArredondamento&lt;&gt;"TransfereGOV",
ROUND(OFFSET($P294,0,AY$13),15-13*ORÇAMENTO!$AF$7)/$H294*OFFSET(ORÇAMENTO!$X$15,ROW(AY294)-ROW(AY$15),0),
ROUND(ROUND(OFFSET($P294,0,AY$13),15-13*ORÇAMENTO!$AF$7)*OFFSET(ORÇAMENTO!$W$15,ROW(AY294)-ROW(AY$15),0),15-13*ORÇAMENTO!$AF$11)),0)</f>
        <v>0</v>
      </c>
      <c r="AZ294" s="545">
        <f ca="1">IF(AND($D294="Serviço",AZ$12&lt;&gt;0,$H294&gt;0,OR(AUTOEVENTO&lt;&gt;"manual",$M294&lt;&gt;1)),
IF(Import.TipoArredondamento&lt;&gt;"TransfereGOV",
ROUND(OFFSET($P294,0,AZ$13),15-13*ORÇAMENTO!$AF$7)/$H294*OFFSET(ORÇAMENTO!$X$15,ROW(AZ294)-ROW(AZ$15),0),
ROUND(ROUND(OFFSET($P294,0,AZ$13),15-13*ORÇAMENTO!$AF$7)*OFFSET(ORÇAMENTO!$W$15,ROW(AZ294)-ROW(AZ$15),0),15-13*ORÇAMENTO!$AF$11)),0)</f>
        <v>0</v>
      </c>
      <c r="BA294" s="546">
        <f ca="1">IF(AND($D294="Serviço",BA$12&lt;&gt;0,$H294&gt;0,OR(AUTOEVENTO&lt;&gt;"manual",$M294&lt;&gt;1)),
IF(Import.TipoArredondamento&lt;&gt;"TransfereGOV",
ROUND(OFFSET($P294,0,BA$13),15-13*ORÇAMENTO!$AF$7)/$H294*OFFSET(ORÇAMENTO!$X$15,ROW(BA294)-ROW(BA$15),0),
ROUND(ROUND(OFFSET($P294,0,BA$13),15-13*ORÇAMENTO!$AF$7)*OFFSET(ORÇAMENTO!$W$15,ROW(BA294)-ROW(BA$15),0),15-13*ORÇAMENTO!$AF$11)),0)</f>
        <v>0</v>
      </c>
      <c r="BC294" s="181">
        <f ca="1">IF($D294&lt;&gt;"Serviço",0,IF(AND(AUTOEVENTO="Manual",$M294=1),0,IF(OFFSET(CRONOPLE!$F$14,$M294,BC$13)="",10^12,OFFSET(CRONOPLE!$F$14,$M294,BC$13))))</f>
        <v>9</v>
      </c>
      <c r="BD294" s="181">
        <f ca="1">IF($D294&lt;&gt;"Serviço",0,IF(AND(AUTOEVENTO="Manual",$M294=1),0,IF(OFFSET(CRONOPLE!$F$14,$M294,BD$13)="",10^12,OFFSET(CRONOPLE!$F$14,$M294,BD$13))))</f>
        <v>1000000000000</v>
      </c>
      <c r="BE294" s="181">
        <f ca="1">IF($D294&lt;&gt;"Serviço",0,IF(AND(AUTOEVENTO="Manual",$M294=1),0,IF(OFFSET(CRONOPLE!$F$14,$M294,BE$13)="",10^12,OFFSET(CRONOPLE!$F$14,$M294,BE$13))))</f>
        <v>1000000000000</v>
      </c>
      <c r="BF294" s="181">
        <f ca="1">IF($D294&lt;&gt;"Serviço",0,IF(AND(AUTOEVENTO="Manual",$M294=1),0,IF(OFFSET(CRONOPLE!$F$14,$M294,BF$13)="",10^12,OFFSET(CRONOPLE!$F$14,$M294,BF$13))))</f>
        <v>1000000000000</v>
      </c>
      <c r="BG294" s="181">
        <f ca="1">IF($D294&lt;&gt;"Serviço",0,IF(AND(AUTOEVENTO="Manual",$M294=1),0,IF(OFFSET(CRONOPLE!$F$14,$M294,BG$13)="",10^12,OFFSET(CRONOPLE!$F$14,$M294,BG$13))))</f>
        <v>1000000000000</v>
      </c>
      <c r="BH294" s="181">
        <f ca="1">IF($D294&lt;&gt;"Serviço",0,IF(AND(AUTOEVENTO="Manual",$M294=1),0,IF(OFFSET(CRONOPLE!$F$14,$M294,BH$13)="",10^12,OFFSET(CRONOPLE!$F$14,$M294,BH$13))))</f>
        <v>1000000000000</v>
      </c>
      <c r="BI294" s="181">
        <f ca="1">IF($D294&lt;&gt;"Serviço",0,IF(AND(AUTOEVENTO="Manual",$M294=1),0,IF(OFFSET(CRONOPLE!$F$14,$M294,BI$13)="",10^12,OFFSET(CRONOPLE!$F$14,$M294,BI$13))))</f>
        <v>1000000000000</v>
      </c>
      <c r="BJ294" s="181">
        <f ca="1">IF($D294&lt;&gt;"Serviço",0,IF(AND(AUTOEVENTO="Manual",$M294=1),0,IF(OFFSET(CRONOPLE!$F$14,$M294,BJ$13)="",10^12,OFFSET(CRONOPLE!$F$14,$M294,BJ$13))))</f>
        <v>1000000000000</v>
      </c>
      <c r="BK294" s="181">
        <f ca="1">IF($D294&lt;&gt;"Serviço",0,IF(AND(AUTOEVENTO="Manual",$M294=1),0,IF(OFFSET(CRONOPLE!$F$14,$M294,BK$13)="",10^12,OFFSET(CRONOPLE!$F$14,$M294,BK$13))))</f>
        <v>1000000000000</v>
      </c>
      <c r="BL294" s="181">
        <f ca="1">IF($D294&lt;&gt;"Serviço",0,IF(AND(AUTOEVENTO="Manual",$M294=1),0,IF(OFFSET(CRONOPLE!$F$14,$M294,BL$13)="",10^12,OFFSET(CRONOPLE!$F$14,$M294,BL$13))))</f>
        <v>1000000000000</v>
      </c>
      <c r="BM294" s="181">
        <f ca="1">IF($D294&lt;&gt;"Serviço",0,IF(AND(AUTOEVENTO="Manual",$M294=1),0,IF(OFFSET(CRONOPLE!$F$14,$M294,BM$13)="",10^12,OFFSET(CRONOPLE!$F$14,$M294,BM$13))))</f>
        <v>1000000000000</v>
      </c>
      <c r="BN294" s="181">
        <f ca="1">IF($D294&lt;&gt;"Serviço",0,IF(AND(AUTOEVENTO="Manual",$M294=1),0,IF(OFFSET(CRONOPLE!$F$14,$M294,BN$13)="",10^12,OFFSET(CRONOPLE!$F$14,$M294,BN$13))))</f>
        <v>1000000000000</v>
      </c>
      <c r="BO294" s="181">
        <f ca="1">IF($D294&lt;&gt;"Serviço",0,IF(AND(AUTOEVENTO="Manual",$M294=1),0,IF(OFFSET(CRONOPLE!$F$14,$M294,BO$13)="",10^12,OFFSET(CRONOPLE!$F$14,$M294,BO$13))))</f>
        <v>1000000000000</v>
      </c>
      <c r="BP294" s="181">
        <f ca="1">IF($D294&lt;&gt;"Serviço",0,IF(AND(AUTOEVENTO="Manual",$M294=1),0,IF(OFFSET(CRONOPLE!$F$14,$M294,BP$13)="",10^12,OFFSET(CRONOPLE!$F$14,$M294,BP$13))))</f>
        <v>1000000000000</v>
      </c>
      <c r="BQ294" s="181">
        <f ca="1">IF($D294&lt;&gt;"Serviço",0,IF(AND(AUTOEVENTO="Manual",$M294=1),0,IF(OFFSET(CRONOPLE!$F$14,$M294,BQ$13)="",10^12,OFFSET(CRONOPLE!$F$14,$M294,BQ$13))))</f>
        <v>1000000000000</v>
      </c>
      <c r="BR294" s="181">
        <f ca="1">IF($D294&lt;&gt;"Serviço",0,IF(AND(AUTOEVENTO="Manual",$M294=1),0,IF(OFFSET(CRONOPLE!$F$14,$M294,BR$13)="",10^12,OFFSET(CRONOPLE!$F$14,$M294,BR$13))))</f>
        <v>1000000000000</v>
      </c>
      <c r="BS294" s="181">
        <f ca="1">IF($D294&lt;&gt;"Serviço",0,IF(AND(AUTOEVENTO="Manual",$M294=1),0,IF(OFFSET(CRONOPLE!$F$14,$M294,BS$13)="",10^12,OFFSET(CRONOPLE!$F$14,$M294,BS$13))))</f>
        <v>1000000000000</v>
      </c>
      <c r="BT294" s="181">
        <f ca="1">IF($D294&lt;&gt;"Serviço",0,IF(AND(AUTOEVENTO="Manual",$M294=1),0,IF(OFFSET(CRONOPLE!$F$14,$M294,BT$13)="",10^12,OFFSET(CRONOPLE!$F$14,$M294,BT$13))))</f>
        <v>1000000000000</v>
      </c>
      <c r="BV294" s="182">
        <f ca="1">IF($D294&lt;&gt;"Serviço",0,IF(OR(AND(AUTOEVENTO="Manual",$M294=1),$M294&gt;(ROW(PLE.lastrow)-ROW(PLE.firstrow))),0,IF(OFFSET(PLE!$G$14,$M294,BV$13)="",10^12,OFFSET(PLE!$G$14,$M294,BV$13))))</f>
        <v>1000000000000</v>
      </c>
      <c r="BW294" s="182">
        <f ca="1">IF($D294&lt;&gt;"Serviço",0,IF(OR(AND(AUTOEVENTO="Manual",$M294=1),$M294&gt;(ROW(PLE.lastrow)-ROW(PLE.firstrow))),0,IF(OFFSET(PLE!$G$14,$M294,BW$13)="",10^12,OFFSET(PLE!$G$14,$M294,BW$13))))</f>
        <v>1000000000000</v>
      </c>
      <c r="BX294" s="182">
        <f ca="1">IF($D294&lt;&gt;"Serviço",0,IF(OR(AND(AUTOEVENTO="Manual",$M294=1),$M294&gt;(ROW(PLE.lastrow)-ROW(PLE.firstrow))),0,IF(OFFSET(PLE!$G$14,$M294,BX$13)="",10^12,OFFSET(PLE!$G$14,$M294,BX$13))))</f>
        <v>1000000000000</v>
      </c>
      <c r="BY294" s="182">
        <f ca="1">IF($D294&lt;&gt;"Serviço",0,IF(OR(AND(AUTOEVENTO="Manual",$M294=1),$M294&gt;(ROW(PLE.lastrow)-ROW(PLE.firstrow))),0,IF(OFFSET(PLE!$G$14,$M294,BY$13)="",10^12,OFFSET(PLE!$G$14,$M294,BY$13))))</f>
        <v>1000000000000</v>
      </c>
      <c r="BZ294" s="182">
        <f ca="1">IF($D294&lt;&gt;"Serviço",0,IF(OR(AND(AUTOEVENTO="Manual",$M294=1),$M294&gt;(ROW(PLE.lastrow)-ROW(PLE.firstrow))),0,IF(OFFSET(PLE!$G$14,$M294,BZ$13)="",10^12,OFFSET(PLE!$G$14,$M294,BZ$13))))</f>
        <v>1000000000000</v>
      </c>
      <c r="CA294" s="182">
        <f ca="1">IF($D294&lt;&gt;"Serviço",0,IF(OR(AND(AUTOEVENTO="Manual",$M294=1),$M294&gt;(ROW(PLE.lastrow)-ROW(PLE.firstrow))),0,IF(OFFSET(PLE!$G$14,$M294,CA$13)="",10^12,OFFSET(PLE!$G$14,$M294,CA$13))))</f>
        <v>1000000000000</v>
      </c>
      <c r="CB294" s="182">
        <f ca="1">IF($D294&lt;&gt;"Serviço",0,IF(OR(AND(AUTOEVENTO="Manual",$M294=1),$M294&gt;(ROW(PLE.lastrow)-ROW(PLE.firstrow))),0,IF(OFFSET(PLE!$G$14,$M294,CB$13)="",10^12,OFFSET(PLE!$G$14,$M294,CB$13))))</f>
        <v>1000000000000</v>
      </c>
      <c r="CC294" s="182">
        <f ca="1">IF($D294&lt;&gt;"Serviço",0,IF(OR(AND(AUTOEVENTO="Manual",$M294=1),$M294&gt;(ROW(PLE.lastrow)-ROW(PLE.firstrow))),0,IF(OFFSET(PLE!$G$14,$M294,CC$13)="",10^12,OFFSET(PLE!$G$14,$M294,CC$13))))</f>
        <v>1000000000000</v>
      </c>
      <c r="CD294" s="182">
        <f ca="1">IF($D294&lt;&gt;"Serviço",0,IF(OR(AND(AUTOEVENTO="Manual",$M294=1),$M294&gt;(ROW(PLE.lastrow)-ROW(PLE.firstrow))),0,IF(OFFSET(PLE!$G$14,$M294,CD$13)="",10^12,OFFSET(PLE!$G$14,$M294,CD$13))))</f>
        <v>1000000000000</v>
      </c>
      <c r="CE294" s="182">
        <f ca="1">IF($D294&lt;&gt;"Serviço",0,IF(OR(AND(AUTOEVENTO="Manual",$M294=1),$M294&gt;(ROW(PLE.lastrow)-ROW(PLE.firstrow))),0,IF(OFFSET(PLE!$G$14,$M294,CE$13)="",10^12,OFFSET(PLE!$G$14,$M294,CE$13))))</f>
        <v>1000000000000</v>
      </c>
      <c r="CF294" s="182">
        <f ca="1">IF($D294&lt;&gt;"Serviço",0,IF(OR(AND(AUTOEVENTO="Manual",$M294=1),$M294&gt;(ROW(PLE.lastrow)-ROW(PLE.firstrow))),0,IF(OFFSET(PLE!$G$14,$M294,CF$13)="",10^12,OFFSET(PLE!$G$14,$M294,CF$13))))</f>
        <v>1000000000000</v>
      </c>
      <c r="CG294" s="182">
        <f ca="1">IF($D294&lt;&gt;"Serviço",0,IF(OR(AND(AUTOEVENTO="Manual",$M294=1),$M294&gt;(ROW(PLE.lastrow)-ROW(PLE.firstrow))),0,IF(OFFSET(PLE!$G$14,$M294,CG$13)="",10^12,OFFSET(PLE!$G$14,$M294,CG$13))))</f>
        <v>1000000000000</v>
      </c>
      <c r="CH294" s="182">
        <f ca="1">IF($D294&lt;&gt;"Serviço",0,IF(OR(AND(AUTOEVENTO="Manual",$M294=1),$M294&gt;(ROW(PLE.lastrow)-ROW(PLE.firstrow))),0,IF(OFFSET(PLE!$G$14,$M294,CH$13)="",10^12,OFFSET(PLE!$G$14,$M294,CH$13))))</f>
        <v>1000000000000</v>
      </c>
      <c r="CI294" s="182">
        <f ca="1">IF($D294&lt;&gt;"Serviço",0,IF(OR(AND(AUTOEVENTO="Manual",$M294=1),$M294&gt;(ROW(PLE.lastrow)-ROW(PLE.firstrow))),0,IF(OFFSET(PLE!$G$14,$M294,CI$13)="",10^12,OFFSET(PLE!$G$14,$M294,CI$13))))</f>
        <v>1000000000000</v>
      </c>
      <c r="CJ294" s="182">
        <f ca="1">IF($D294&lt;&gt;"Serviço",0,IF(OR(AND(AUTOEVENTO="Manual",$M294=1),$M294&gt;(ROW(PLE.lastrow)-ROW(PLE.firstrow))),0,IF(OFFSET(PLE!$G$14,$M294,CJ$13)="",10^12,OFFSET(PLE!$G$14,$M294,CJ$13))))</f>
        <v>1000000000000</v>
      </c>
      <c r="CK294" s="182">
        <f ca="1">IF($D294&lt;&gt;"Serviço",0,IF(OR(AND(AUTOEVENTO="Manual",$M294=1),$M294&gt;(ROW(PLE.lastrow)-ROW(PLE.firstrow))),0,IF(OFFSET(PLE!$G$14,$M294,CK$13)="",10^12,OFFSET(PLE!$G$14,$M294,CK$13))))</f>
        <v>1000000000000</v>
      </c>
      <c r="CL294" s="182">
        <f ca="1">IF($D294&lt;&gt;"Serviço",0,IF(OR(AND(AUTOEVENTO="Manual",$M294=1),$M294&gt;(ROW(PLE.lastrow)-ROW(PLE.firstrow))),0,IF(OFFSET(PLE!$G$14,$M294,CL$13)="",10^12,OFFSET(PLE!$G$14,$M294,CL$13))))</f>
        <v>1000000000000</v>
      </c>
      <c r="CM294" s="182">
        <f ca="1">IF($D294&lt;&gt;"Serviço",0,IF(OR(AND(AUTOEVENTO="Manual",$M294=1),$M294&gt;(ROW(PLE.lastrow)-ROW(PLE.firstrow))),0,IF(OFFSET(PLE!$G$14,$M294,CM$13)="",10^12,OFFSET(PLE!$G$14,$M294,CM$13))))</f>
        <v>1000000000000</v>
      </c>
    </row>
    <row r="295" spans="1:91" ht="12.75" x14ac:dyDescent="0.2">
      <c r="A295" s="7" t="str">
        <f t="shared" ca="1" si="12"/>
        <v>280.</v>
      </c>
      <c r="B295" s="7">
        <f ca="1">OFFSET(ORÇAMENTO!C$15,ROW(B295)-ROW(B$15),0)</f>
        <v>2</v>
      </c>
      <c r="C295" s="7" t="str">
        <f ca="1">OFFSET(ORÇAMENTO!L$15,ROW(C295)-ROW(C$15),0)</f>
        <v>F</v>
      </c>
      <c r="D295" s="118" t="str">
        <f ca="1">OFFSET(ORÇAMENTO!N$15,ROW(D295)-ROW(D$15),0)</f>
        <v>Nível 2</v>
      </c>
      <c r="E295" s="119" t="str">
        <f ca="1">OFFSET(ORÇAMENTO!O$15,ROW(E295)-ROW(E$15),0)</f>
        <v>1.37.</v>
      </c>
      <c r="F295" s="172" t="str">
        <f ca="1">OFFSET(ORÇAMENTO!R$15,ROW(F295)-ROW(F$15),0)</f>
        <v>INSTALAÇÃO HIDRÁULICA - SISTEMA DE REUSO DE ÁGUA</v>
      </c>
      <c r="G295" s="173" t="str">
        <f ca="1">IF($D295&lt;&gt;"Serviço","",OFFSET(ORÇAMENTO!S$15,ROW(G295)-ROW(G$15),0))</f>
        <v/>
      </c>
      <c r="H295" s="124">
        <f ca="1">IF($D295&lt;&gt;"Serviço",0,IF(ACOMPANHAMENTO="BM",ROUND(OFFSET(ORÇAMENTO!AJ$15,ROW(H295)-ROW(H$15),0),15-13*ORÇAMENTO!$AF$7),SUMPRODUCT(($Q$12:$AI$12&lt;&gt;"")*ROUND($Q295:$AI295,15-13*ORÇAMENTO!$AF$7))))</f>
        <v>0</v>
      </c>
      <c r="I295" s="561"/>
      <c r="K295" s="174"/>
      <c r="L295" s="175" t="s">
        <v>255</v>
      </c>
      <c r="M295" s="176" t="str">
        <f ca="1">IF($D295&lt;&gt;"Serviço","",IF(AUTOEVENTO="manual",$A295,IF(ISERROR(MATCH($A295,$A$15:OFFSET($A295,-1,0),0)),MAX($M$15:OFFSET(M295,-1,0))+1,INDEX($M$15:OFFSET(M295,-1,0),MATCH($A295,$A$15:OFFSET($A295,-1,0),0)))))</f>
        <v/>
      </c>
      <c r="N295" s="177" t="str">
        <f ca="1">IF($D295&lt;&gt;"Serviço","",IF(AUTOEVENTO="Manual",IF($A295=0,"&lt;-- defina o número do agrupador",OFFSET(EVENTOS!$D$14,$A295,0)),OFFSET($F$15,$A295,0)))</f>
        <v/>
      </c>
      <c r="O295" s="178"/>
      <c r="Q295" s="178">
        <v>0</v>
      </c>
      <c r="R295" s="179"/>
      <c r="S295" s="179"/>
      <c r="T295" s="179"/>
      <c r="U295" s="179"/>
      <c r="V295" s="179"/>
      <c r="W295" s="179"/>
      <c r="X295" s="179"/>
      <c r="Y295" s="179"/>
      <c r="Z295" s="180"/>
      <c r="AA295" s="179"/>
      <c r="AB295" s="179"/>
      <c r="AC295" s="179"/>
      <c r="AD295" s="179"/>
      <c r="AE295" s="179"/>
      <c r="AF295" s="179"/>
      <c r="AG295" s="179"/>
      <c r="AH295" s="180"/>
      <c r="AJ295" s="544">
        <f ca="1">IF(AND($D295="Serviço",AJ$12&lt;&gt;0,$H295&gt;0,OR(AUTOEVENTO&lt;&gt;"manual",$M295&lt;&gt;1)),
IF(Import.TipoArredondamento&lt;&gt;"TransfereGOV",
ROUND(OFFSET($P295,0,AJ$13),15-13*ORÇAMENTO!$AF$7)/$H295*OFFSET(ORÇAMENTO!$X$15,ROW(AJ295)-ROW(AJ$15),0),
ROUND(ROUND(OFFSET($P295,0,AJ$13),15-13*ORÇAMENTO!$AF$7)*OFFSET(ORÇAMENTO!$W$15,ROW(AJ295)-ROW(AJ$15),0),15-13*ORÇAMENTO!$AF$11)),0)</f>
        <v>0</v>
      </c>
      <c r="AK295" s="545">
        <f ca="1">IF(AND($D295="Serviço",AK$12&lt;&gt;0,$H295&gt;0,OR(AUTOEVENTO&lt;&gt;"manual",$M295&lt;&gt;1)),
IF(Import.TipoArredondamento&lt;&gt;"TransfereGOV",
ROUND(OFFSET($P295,0,AK$13),15-13*ORÇAMENTO!$AF$7)/$H295*OFFSET(ORÇAMENTO!$X$15,ROW(AK295)-ROW(AK$15),0),
ROUND(ROUND(OFFSET($P295,0,AK$13),15-13*ORÇAMENTO!$AF$7)*OFFSET(ORÇAMENTO!$W$15,ROW(AK295)-ROW(AK$15),0),15-13*ORÇAMENTO!$AF$11)),0)</f>
        <v>0</v>
      </c>
      <c r="AL295" s="545">
        <f ca="1">IF(AND($D295="Serviço",AL$12&lt;&gt;0,$H295&gt;0,OR(AUTOEVENTO&lt;&gt;"manual",$M295&lt;&gt;1)),
IF(Import.TipoArredondamento&lt;&gt;"TransfereGOV",
ROUND(OFFSET($P295,0,AL$13),15-13*ORÇAMENTO!$AF$7)/$H295*OFFSET(ORÇAMENTO!$X$15,ROW(AL295)-ROW(AL$15),0),
ROUND(ROUND(OFFSET($P295,0,AL$13),15-13*ORÇAMENTO!$AF$7)*OFFSET(ORÇAMENTO!$W$15,ROW(AL295)-ROW(AL$15),0),15-13*ORÇAMENTO!$AF$11)),0)</f>
        <v>0</v>
      </c>
      <c r="AM295" s="545">
        <f ca="1">IF(AND($D295="Serviço",AM$12&lt;&gt;0,$H295&gt;0,OR(AUTOEVENTO&lt;&gt;"manual",$M295&lt;&gt;1)),
IF(Import.TipoArredondamento&lt;&gt;"TransfereGOV",
ROUND(OFFSET($P295,0,AM$13),15-13*ORÇAMENTO!$AF$7)/$H295*OFFSET(ORÇAMENTO!$X$15,ROW(AM295)-ROW(AM$15),0),
ROUND(ROUND(OFFSET($P295,0,AM$13),15-13*ORÇAMENTO!$AF$7)*OFFSET(ORÇAMENTO!$W$15,ROW(AM295)-ROW(AM$15),0),15-13*ORÇAMENTO!$AF$11)),0)</f>
        <v>0</v>
      </c>
      <c r="AN295" s="545">
        <f ca="1">IF(AND($D295="Serviço",AN$12&lt;&gt;0,$H295&gt;0,OR(AUTOEVENTO&lt;&gt;"manual",$M295&lt;&gt;1)),
IF(Import.TipoArredondamento&lt;&gt;"TransfereGOV",
ROUND(OFFSET($P295,0,AN$13),15-13*ORÇAMENTO!$AF$7)/$H295*OFFSET(ORÇAMENTO!$X$15,ROW(AN295)-ROW(AN$15),0),
ROUND(ROUND(OFFSET($P295,0,AN$13),15-13*ORÇAMENTO!$AF$7)*OFFSET(ORÇAMENTO!$W$15,ROW(AN295)-ROW(AN$15),0),15-13*ORÇAMENTO!$AF$11)),0)</f>
        <v>0</v>
      </c>
      <c r="AO295" s="545">
        <f ca="1">IF(AND($D295="Serviço",AO$12&lt;&gt;0,$H295&gt;0,OR(AUTOEVENTO&lt;&gt;"manual",$M295&lt;&gt;1)),
IF(Import.TipoArredondamento&lt;&gt;"TransfereGOV",
ROUND(OFFSET($P295,0,AO$13),15-13*ORÇAMENTO!$AF$7)/$H295*OFFSET(ORÇAMENTO!$X$15,ROW(AO295)-ROW(AO$15),0),
ROUND(ROUND(OFFSET($P295,0,AO$13),15-13*ORÇAMENTO!$AF$7)*OFFSET(ORÇAMENTO!$W$15,ROW(AO295)-ROW(AO$15),0),15-13*ORÇAMENTO!$AF$11)),0)</f>
        <v>0</v>
      </c>
      <c r="AP295" s="545">
        <f ca="1">IF(AND($D295="Serviço",AP$12&lt;&gt;0,$H295&gt;0,OR(AUTOEVENTO&lt;&gt;"manual",$M295&lt;&gt;1)),
IF(Import.TipoArredondamento&lt;&gt;"TransfereGOV",
ROUND(OFFSET($P295,0,AP$13),15-13*ORÇAMENTO!$AF$7)/$H295*OFFSET(ORÇAMENTO!$X$15,ROW(AP295)-ROW(AP$15),0),
ROUND(ROUND(OFFSET($P295,0,AP$13),15-13*ORÇAMENTO!$AF$7)*OFFSET(ORÇAMENTO!$W$15,ROW(AP295)-ROW(AP$15),0),15-13*ORÇAMENTO!$AF$11)),0)</f>
        <v>0</v>
      </c>
      <c r="AQ295" s="545">
        <f ca="1">IF(AND($D295="Serviço",AQ$12&lt;&gt;0,$H295&gt;0,OR(AUTOEVENTO&lt;&gt;"manual",$M295&lt;&gt;1)),
IF(Import.TipoArredondamento&lt;&gt;"TransfereGOV",
ROUND(OFFSET($P295,0,AQ$13),15-13*ORÇAMENTO!$AF$7)/$H295*OFFSET(ORÇAMENTO!$X$15,ROW(AQ295)-ROW(AQ$15),0),
ROUND(ROUND(OFFSET($P295,0,AQ$13),15-13*ORÇAMENTO!$AF$7)*OFFSET(ORÇAMENTO!$W$15,ROW(AQ295)-ROW(AQ$15),0),15-13*ORÇAMENTO!$AF$11)),0)</f>
        <v>0</v>
      </c>
      <c r="AR295" s="545">
        <f ca="1">IF(AND($D295="Serviço",AR$12&lt;&gt;0,$H295&gt;0,OR(AUTOEVENTO&lt;&gt;"manual",$M295&lt;&gt;1)),
IF(Import.TipoArredondamento&lt;&gt;"TransfereGOV",
ROUND(OFFSET($P295,0,AR$13),15-13*ORÇAMENTO!$AF$7)/$H295*OFFSET(ORÇAMENTO!$X$15,ROW(AR295)-ROW(AR$15),0),
ROUND(ROUND(OFFSET($P295,0,AR$13),15-13*ORÇAMENTO!$AF$7)*OFFSET(ORÇAMENTO!$W$15,ROW(AR295)-ROW(AR$15),0),15-13*ORÇAMENTO!$AF$11)),0)</f>
        <v>0</v>
      </c>
      <c r="AS295" s="546">
        <f ca="1">IF(AND($D295="Serviço",AS$12&lt;&gt;0,$H295&gt;0,OR(AUTOEVENTO&lt;&gt;"manual",$M295&lt;&gt;1)),
IF(Import.TipoArredondamento&lt;&gt;"TransfereGOV",
ROUND(OFFSET($P295,0,AS$13),15-13*ORÇAMENTO!$AF$7)/$H295*OFFSET(ORÇAMENTO!$X$15,ROW(AS295)-ROW(AS$15),0),
ROUND(ROUND(OFFSET($P295,0,AS$13),15-13*ORÇAMENTO!$AF$7)*OFFSET(ORÇAMENTO!$W$15,ROW(AS295)-ROW(AS$15),0),15-13*ORÇAMENTO!$AF$11)),0)</f>
        <v>0</v>
      </c>
      <c r="AT295" s="545">
        <f ca="1">IF(AND($D295="Serviço",AT$12&lt;&gt;0,$H295&gt;0,OR(AUTOEVENTO&lt;&gt;"manual",$M295&lt;&gt;1)),
IF(Import.TipoArredondamento&lt;&gt;"TransfereGOV",
ROUND(OFFSET($P295,0,AT$13),15-13*ORÇAMENTO!$AF$7)/$H295*OFFSET(ORÇAMENTO!$X$15,ROW(AT295)-ROW(AT$15),0),
ROUND(ROUND(OFFSET($P295,0,AT$13),15-13*ORÇAMENTO!$AF$7)*OFFSET(ORÇAMENTO!$W$15,ROW(AT295)-ROW(AT$15),0),15-13*ORÇAMENTO!$AF$11)),0)</f>
        <v>0</v>
      </c>
      <c r="AU295" s="545">
        <f ca="1">IF(AND($D295="Serviço",AU$12&lt;&gt;0,$H295&gt;0,OR(AUTOEVENTO&lt;&gt;"manual",$M295&lt;&gt;1)),
IF(Import.TipoArredondamento&lt;&gt;"TransfereGOV",
ROUND(OFFSET($P295,0,AU$13),15-13*ORÇAMENTO!$AF$7)/$H295*OFFSET(ORÇAMENTO!$X$15,ROW(AU295)-ROW(AU$15),0),
ROUND(ROUND(OFFSET($P295,0,AU$13),15-13*ORÇAMENTO!$AF$7)*OFFSET(ORÇAMENTO!$W$15,ROW(AU295)-ROW(AU$15),0),15-13*ORÇAMENTO!$AF$11)),0)</f>
        <v>0</v>
      </c>
      <c r="AV295" s="545">
        <f ca="1">IF(AND($D295="Serviço",AV$12&lt;&gt;0,$H295&gt;0,OR(AUTOEVENTO&lt;&gt;"manual",$M295&lt;&gt;1)),
IF(Import.TipoArredondamento&lt;&gt;"TransfereGOV",
ROUND(OFFSET($P295,0,AV$13),15-13*ORÇAMENTO!$AF$7)/$H295*OFFSET(ORÇAMENTO!$X$15,ROW(AV295)-ROW(AV$15),0),
ROUND(ROUND(OFFSET($P295,0,AV$13),15-13*ORÇAMENTO!$AF$7)*OFFSET(ORÇAMENTO!$W$15,ROW(AV295)-ROW(AV$15),0),15-13*ORÇAMENTO!$AF$11)),0)</f>
        <v>0</v>
      </c>
      <c r="AW295" s="545">
        <f ca="1">IF(AND($D295="Serviço",AW$12&lt;&gt;0,$H295&gt;0,OR(AUTOEVENTO&lt;&gt;"manual",$M295&lt;&gt;1)),
IF(Import.TipoArredondamento&lt;&gt;"TransfereGOV",
ROUND(OFFSET($P295,0,AW$13),15-13*ORÇAMENTO!$AF$7)/$H295*OFFSET(ORÇAMENTO!$X$15,ROW(AW295)-ROW(AW$15),0),
ROUND(ROUND(OFFSET($P295,0,AW$13),15-13*ORÇAMENTO!$AF$7)*OFFSET(ORÇAMENTO!$W$15,ROW(AW295)-ROW(AW$15),0),15-13*ORÇAMENTO!$AF$11)),0)</f>
        <v>0</v>
      </c>
      <c r="AX295" s="545">
        <f ca="1">IF(AND($D295="Serviço",AX$12&lt;&gt;0,$H295&gt;0,OR(AUTOEVENTO&lt;&gt;"manual",$M295&lt;&gt;1)),
IF(Import.TipoArredondamento&lt;&gt;"TransfereGOV",
ROUND(OFFSET($P295,0,AX$13),15-13*ORÇAMENTO!$AF$7)/$H295*OFFSET(ORÇAMENTO!$X$15,ROW(AX295)-ROW(AX$15),0),
ROUND(ROUND(OFFSET($P295,0,AX$13),15-13*ORÇAMENTO!$AF$7)*OFFSET(ORÇAMENTO!$W$15,ROW(AX295)-ROW(AX$15),0),15-13*ORÇAMENTO!$AF$11)),0)</f>
        <v>0</v>
      </c>
      <c r="AY295" s="545">
        <f ca="1">IF(AND($D295="Serviço",AY$12&lt;&gt;0,$H295&gt;0,OR(AUTOEVENTO&lt;&gt;"manual",$M295&lt;&gt;1)),
IF(Import.TipoArredondamento&lt;&gt;"TransfereGOV",
ROUND(OFFSET($P295,0,AY$13),15-13*ORÇAMENTO!$AF$7)/$H295*OFFSET(ORÇAMENTO!$X$15,ROW(AY295)-ROW(AY$15),0),
ROUND(ROUND(OFFSET($P295,0,AY$13),15-13*ORÇAMENTO!$AF$7)*OFFSET(ORÇAMENTO!$W$15,ROW(AY295)-ROW(AY$15),0),15-13*ORÇAMENTO!$AF$11)),0)</f>
        <v>0</v>
      </c>
      <c r="AZ295" s="545">
        <f ca="1">IF(AND($D295="Serviço",AZ$12&lt;&gt;0,$H295&gt;0,OR(AUTOEVENTO&lt;&gt;"manual",$M295&lt;&gt;1)),
IF(Import.TipoArredondamento&lt;&gt;"TransfereGOV",
ROUND(OFFSET($P295,0,AZ$13),15-13*ORÇAMENTO!$AF$7)/$H295*OFFSET(ORÇAMENTO!$X$15,ROW(AZ295)-ROW(AZ$15),0),
ROUND(ROUND(OFFSET($P295,0,AZ$13),15-13*ORÇAMENTO!$AF$7)*OFFSET(ORÇAMENTO!$W$15,ROW(AZ295)-ROW(AZ$15),0),15-13*ORÇAMENTO!$AF$11)),0)</f>
        <v>0</v>
      </c>
      <c r="BA295" s="546">
        <f ca="1">IF(AND($D295="Serviço",BA$12&lt;&gt;0,$H295&gt;0,OR(AUTOEVENTO&lt;&gt;"manual",$M295&lt;&gt;1)),
IF(Import.TipoArredondamento&lt;&gt;"TransfereGOV",
ROUND(OFFSET($P295,0,BA$13),15-13*ORÇAMENTO!$AF$7)/$H295*OFFSET(ORÇAMENTO!$X$15,ROW(BA295)-ROW(BA$15),0),
ROUND(ROUND(OFFSET($P295,0,BA$13),15-13*ORÇAMENTO!$AF$7)*OFFSET(ORÇAMENTO!$W$15,ROW(BA295)-ROW(BA$15),0),15-13*ORÇAMENTO!$AF$11)),0)</f>
        <v>0</v>
      </c>
      <c r="BC295" s="181">
        <f ca="1">IF($D295&lt;&gt;"Serviço",0,IF(AND(AUTOEVENTO="Manual",$M295=1),0,IF(OFFSET(CRONOPLE!$F$14,$M295,BC$13)="",10^12,OFFSET(CRONOPLE!$F$14,$M295,BC$13))))</f>
        <v>0</v>
      </c>
      <c r="BD295" s="181">
        <f ca="1">IF($D295&lt;&gt;"Serviço",0,IF(AND(AUTOEVENTO="Manual",$M295=1),0,IF(OFFSET(CRONOPLE!$F$14,$M295,BD$13)="",10^12,OFFSET(CRONOPLE!$F$14,$M295,BD$13))))</f>
        <v>0</v>
      </c>
      <c r="BE295" s="181">
        <f ca="1">IF($D295&lt;&gt;"Serviço",0,IF(AND(AUTOEVENTO="Manual",$M295=1),0,IF(OFFSET(CRONOPLE!$F$14,$M295,BE$13)="",10^12,OFFSET(CRONOPLE!$F$14,$M295,BE$13))))</f>
        <v>0</v>
      </c>
      <c r="BF295" s="181">
        <f ca="1">IF($D295&lt;&gt;"Serviço",0,IF(AND(AUTOEVENTO="Manual",$M295=1),0,IF(OFFSET(CRONOPLE!$F$14,$M295,BF$13)="",10^12,OFFSET(CRONOPLE!$F$14,$M295,BF$13))))</f>
        <v>0</v>
      </c>
      <c r="BG295" s="181">
        <f ca="1">IF($D295&lt;&gt;"Serviço",0,IF(AND(AUTOEVENTO="Manual",$M295=1),0,IF(OFFSET(CRONOPLE!$F$14,$M295,BG$13)="",10^12,OFFSET(CRONOPLE!$F$14,$M295,BG$13))))</f>
        <v>0</v>
      </c>
      <c r="BH295" s="181">
        <f ca="1">IF($D295&lt;&gt;"Serviço",0,IF(AND(AUTOEVENTO="Manual",$M295=1),0,IF(OFFSET(CRONOPLE!$F$14,$M295,BH$13)="",10^12,OFFSET(CRONOPLE!$F$14,$M295,BH$13))))</f>
        <v>0</v>
      </c>
      <c r="BI295" s="181">
        <f ca="1">IF($D295&lt;&gt;"Serviço",0,IF(AND(AUTOEVENTO="Manual",$M295=1),0,IF(OFFSET(CRONOPLE!$F$14,$M295,BI$13)="",10^12,OFFSET(CRONOPLE!$F$14,$M295,BI$13))))</f>
        <v>0</v>
      </c>
      <c r="BJ295" s="181">
        <f ca="1">IF($D295&lt;&gt;"Serviço",0,IF(AND(AUTOEVENTO="Manual",$M295=1),0,IF(OFFSET(CRONOPLE!$F$14,$M295,BJ$13)="",10^12,OFFSET(CRONOPLE!$F$14,$M295,BJ$13))))</f>
        <v>0</v>
      </c>
      <c r="BK295" s="181">
        <f ca="1">IF($D295&lt;&gt;"Serviço",0,IF(AND(AUTOEVENTO="Manual",$M295=1),0,IF(OFFSET(CRONOPLE!$F$14,$M295,BK$13)="",10^12,OFFSET(CRONOPLE!$F$14,$M295,BK$13))))</f>
        <v>0</v>
      </c>
      <c r="BL295" s="181">
        <f ca="1">IF($D295&lt;&gt;"Serviço",0,IF(AND(AUTOEVENTO="Manual",$M295=1),0,IF(OFFSET(CRONOPLE!$F$14,$M295,BL$13)="",10^12,OFFSET(CRONOPLE!$F$14,$M295,BL$13))))</f>
        <v>0</v>
      </c>
      <c r="BM295" s="181">
        <f ca="1">IF($D295&lt;&gt;"Serviço",0,IF(AND(AUTOEVENTO="Manual",$M295=1),0,IF(OFFSET(CRONOPLE!$F$14,$M295,BM$13)="",10^12,OFFSET(CRONOPLE!$F$14,$M295,BM$13))))</f>
        <v>0</v>
      </c>
      <c r="BN295" s="181">
        <f ca="1">IF($D295&lt;&gt;"Serviço",0,IF(AND(AUTOEVENTO="Manual",$M295=1),0,IF(OFFSET(CRONOPLE!$F$14,$M295,BN$13)="",10^12,OFFSET(CRONOPLE!$F$14,$M295,BN$13))))</f>
        <v>0</v>
      </c>
      <c r="BO295" s="181">
        <f ca="1">IF($D295&lt;&gt;"Serviço",0,IF(AND(AUTOEVENTO="Manual",$M295=1),0,IF(OFFSET(CRONOPLE!$F$14,$M295,BO$13)="",10^12,OFFSET(CRONOPLE!$F$14,$M295,BO$13))))</f>
        <v>0</v>
      </c>
      <c r="BP295" s="181">
        <f ca="1">IF($D295&lt;&gt;"Serviço",0,IF(AND(AUTOEVENTO="Manual",$M295=1),0,IF(OFFSET(CRONOPLE!$F$14,$M295,BP$13)="",10^12,OFFSET(CRONOPLE!$F$14,$M295,BP$13))))</f>
        <v>0</v>
      </c>
      <c r="BQ295" s="181">
        <f ca="1">IF($D295&lt;&gt;"Serviço",0,IF(AND(AUTOEVENTO="Manual",$M295=1),0,IF(OFFSET(CRONOPLE!$F$14,$M295,BQ$13)="",10^12,OFFSET(CRONOPLE!$F$14,$M295,BQ$13))))</f>
        <v>0</v>
      </c>
      <c r="BR295" s="181">
        <f ca="1">IF($D295&lt;&gt;"Serviço",0,IF(AND(AUTOEVENTO="Manual",$M295=1),0,IF(OFFSET(CRONOPLE!$F$14,$M295,BR$13)="",10^12,OFFSET(CRONOPLE!$F$14,$M295,BR$13))))</f>
        <v>0</v>
      </c>
      <c r="BS295" s="181">
        <f ca="1">IF($D295&lt;&gt;"Serviço",0,IF(AND(AUTOEVENTO="Manual",$M295=1),0,IF(OFFSET(CRONOPLE!$F$14,$M295,BS$13)="",10^12,OFFSET(CRONOPLE!$F$14,$M295,BS$13))))</f>
        <v>0</v>
      </c>
      <c r="BT295" s="181">
        <f ca="1">IF($D295&lt;&gt;"Serviço",0,IF(AND(AUTOEVENTO="Manual",$M295=1),0,IF(OFFSET(CRONOPLE!$F$14,$M295,BT$13)="",10^12,OFFSET(CRONOPLE!$F$14,$M295,BT$13))))</f>
        <v>0</v>
      </c>
      <c r="BV295" s="182">
        <f ca="1">IF($D295&lt;&gt;"Serviço",0,IF(OR(AND(AUTOEVENTO="Manual",$M295=1),$M295&gt;(ROW(PLE.lastrow)-ROW(PLE.firstrow))),0,IF(OFFSET(PLE!$G$14,$M295,BV$13)="",10^12,OFFSET(PLE!$G$14,$M295,BV$13))))</f>
        <v>0</v>
      </c>
      <c r="BW295" s="182">
        <f ca="1">IF($D295&lt;&gt;"Serviço",0,IF(OR(AND(AUTOEVENTO="Manual",$M295=1),$M295&gt;(ROW(PLE.lastrow)-ROW(PLE.firstrow))),0,IF(OFFSET(PLE!$G$14,$M295,BW$13)="",10^12,OFFSET(PLE!$G$14,$M295,BW$13))))</f>
        <v>0</v>
      </c>
      <c r="BX295" s="182">
        <f ca="1">IF($D295&lt;&gt;"Serviço",0,IF(OR(AND(AUTOEVENTO="Manual",$M295=1),$M295&gt;(ROW(PLE.lastrow)-ROW(PLE.firstrow))),0,IF(OFFSET(PLE!$G$14,$M295,BX$13)="",10^12,OFFSET(PLE!$G$14,$M295,BX$13))))</f>
        <v>0</v>
      </c>
      <c r="BY295" s="182">
        <f ca="1">IF($D295&lt;&gt;"Serviço",0,IF(OR(AND(AUTOEVENTO="Manual",$M295=1),$M295&gt;(ROW(PLE.lastrow)-ROW(PLE.firstrow))),0,IF(OFFSET(PLE!$G$14,$M295,BY$13)="",10^12,OFFSET(PLE!$G$14,$M295,BY$13))))</f>
        <v>0</v>
      </c>
      <c r="BZ295" s="182">
        <f ca="1">IF($D295&lt;&gt;"Serviço",0,IF(OR(AND(AUTOEVENTO="Manual",$M295=1),$M295&gt;(ROW(PLE.lastrow)-ROW(PLE.firstrow))),0,IF(OFFSET(PLE!$G$14,$M295,BZ$13)="",10^12,OFFSET(PLE!$G$14,$M295,BZ$13))))</f>
        <v>0</v>
      </c>
      <c r="CA295" s="182">
        <f ca="1">IF($D295&lt;&gt;"Serviço",0,IF(OR(AND(AUTOEVENTO="Manual",$M295=1),$M295&gt;(ROW(PLE.lastrow)-ROW(PLE.firstrow))),0,IF(OFFSET(PLE!$G$14,$M295,CA$13)="",10^12,OFFSET(PLE!$G$14,$M295,CA$13))))</f>
        <v>0</v>
      </c>
      <c r="CB295" s="182">
        <f ca="1">IF($D295&lt;&gt;"Serviço",0,IF(OR(AND(AUTOEVENTO="Manual",$M295=1),$M295&gt;(ROW(PLE.lastrow)-ROW(PLE.firstrow))),0,IF(OFFSET(PLE!$G$14,$M295,CB$13)="",10^12,OFFSET(PLE!$G$14,$M295,CB$13))))</f>
        <v>0</v>
      </c>
      <c r="CC295" s="182">
        <f ca="1">IF($D295&lt;&gt;"Serviço",0,IF(OR(AND(AUTOEVENTO="Manual",$M295=1),$M295&gt;(ROW(PLE.lastrow)-ROW(PLE.firstrow))),0,IF(OFFSET(PLE!$G$14,$M295,CC$13)="",10^12,OFFSET(PLE!$G$14,$M295,CC$13))))</f>
        <v>0</v>
      </c>
      <c r="CD295" s="182">
        <f ca="1">IF($D295&lt;&gt;"Serviço",0,IF(OR(AND(AUTOEVENTO="Manual",$M295=1),$M295&gt;(ROW(PLE.lastrow)-ROW(PLE.firstrow))),0,IF(OFFSET(PLE!$G$14,$M295,CD$13)="",10^12,OFFSET(PLE!$G$14,$M295,CD$13))))</f>
        <v>0</v>
      </c>
      <c r="CE295" s="182">
        <f ca="1">IF($D295&lt;&gt;"Serviço",0,IF(OR(AND(AUTOEVENTO="Manual",$M295=1),$M295&gt;(ROW(PLE.lastrow)-ROW(PLE.firstrow))),0,IF(OFFSET(PLE!$G$14,$M295,CE$13)="",10^12,OFFSET(PLE!$G$14,$M295,CE$13))))</f>
        <v>0</v>
      </c>
      <c r="CF295" s="182">
        <f ca="1">IF($D295&lt;&gt;"Serviço",0,IF(OR(AND(AUTOEVENTO="Manual",$M295=1),$M295&gt;(ROW(PLE.lastrow)-ROW(PLE.firstrow))),0,IF(OFFSET(PLE!$G$14,$M295,CF$13)="",10^12,OFFSET(PLE!$G$14,$M295,CF$13))))</f>
        <v>0</v>
      </c>
      <c r="CG295" s="182">
        <f ca="1">IF($D295&lt;&gt;"Serviço",0,IF(OR(AND(AUTOEVENTO="Manual",$M295=1),$M295&gt;(ROW(PLE.lastrow)-ROW(PLE.firstrow))),0,IF(OFFSET(PLE!$G$14,$M295,CG$13)="",10^12,OFFSET(PLE!$G$14,$M295,CG$13))))</f>
        <v>0</v>
      </c>
      <c r="CH295" s="182">
        <f ca="1">IF($D295&lt;&gt;"Serviço",0,IF(OR(AND(AUTOEVENTO="Manual",$M295=1),$M295&gt;(ROW(PLE.lastrow)-ROW(PLE.firstrow))),0,IF(OFFSET(PLE!$G$14,$M295,CH$13)="",10^12,OFFSET(PLE!$G$14,$M295,CH$13))))</f>
        <v>0</v>
      </c>
      <c r="CI295" s="182">
        <f ca="1">IF($D295&lt;&gt;"Serviço",0,IF(OR(AND(AUTOEVENTO="Manual",$M295=1),$M295&gt;(ROW(PLE.lastrow)-ROW(PLE.firstrow))),0,IF(OFFSET(PLE!$G$14,$M295,CI$13)="",10^12,OFFSET(PLE!$G$14,$M295,CI$13))))</f>
        <v>0</v>
      </c>
      <c r="CJ295" s="182">
        <f ca="1">IF($D295&lt;&gt;"Serviço",0,IF(OR(AND(AUTOEVENTO="Manual",$M295=1),$M295&gt;(ROW(PLE.lastrow)-ROW(PLE.firstrow))),0,IF(OFFSET(PLE!$G$14,$M295,CJ$13)="",10^12,OFFSET(PLE!$G$14,$M295,CJ$13))))</f>
        <v>0</v>
      </c>
      <c r="CK295" s="182">
        <f ca="1">IF($D295&lt;&gt;"Serviço",0,IF(OR(AND(AUTOEVENTO="Manual",$M295=1),$M295&gt;(ROW(PLE.lastrow)-ROW(PLE.firstrow))),0,IF(OFFSET(PLE!$G$14,$M295,CK$13)="",10^12,OFFSET(PLE!$G$14,$M295,CK$13))))</f>
        <v>0</v>
      </c>
      <c r="CL295" s="182">
        <f ca="1">IF($D295&lt;&gt;"Serviço",0,IF(OR(AND(AUTOEVENTO="Manual",$M295=1),$M295&gt;(ROW(PLE.lastrow)-ROW(PLE.firstrow))),0,IF(OFFSET(PLE!$G$14,$M295,CL$13)="",10^12,OFFSET(PLE!$G$14,$M295,CL$13))))</f>
        <v>0</v>
      </c>
      <c r="CM295" s="182">
        <f ca="1">IF($D295&lt;&gt;"Serviço",0,IF(OR(AND(AUTOEVENTO="Manual",$M295=1),$M295&gt;(ROW(PLE.lastrow)-ROW(PLE.firstrow))),0,IF(OFFSET(PLE!$G$14,$M295,CM$13)="",10^12,OFFSET(PLE!$G$14,$M295,CM$13))))</f>
        <v>0</v>
      </c>
    </row>
    <row r="296" spans="1:91" ht="25.5" x14ac:dyDescent="0.2">
      <c r="A296" s="7" t="str">
        <f t="shared" ca="1" si="12"/>
        <v>280</v>
      </c>
      <c r="B296" s="7" t="str">
        <f ca="1">OFFSET(ORÇAMENTO!C$15,ROW(B296)-ROW(B$15),0)</f>
        <v>S</v>
      </c>
      <c r="C296" s="7" t="str">
        <f ca="1">OFFSET(ORÇAMENTO!L$15,ROW(C296)-ROW(C$15),0)</f>
        <v/>
      </c>
      <c r="D296" s="118" t="str">
        <f ca="1">OFFSET(ORÇAMENTO!N$15,ROW(D296)-ROW(D$15),0)</f>
        <v>Serviço</v>
      </c>
      <c r="E296" s="119" t="str">
        <f ca="1">OFFSET(ORÇAMENTO!O$15,ROW(E296)-ROW(E$15),0)</f>
        <v>-</v>
      </c>
      <c r="F296" s="172" t="str">
        <f ca="1">OFFSET(ORÇAMENTO!R$15,ROW(F296)-ROW(F$15),0)</f>
        <v>(abra o arquivo 'Referência 06-2024.xlsm)</v>
      </c>
      <c r="G296" s="173" t="str">
        <f ca="1">IF($D296&lt;&gt;"Serviço","",OFFSET(ORÇAMENTO!S$15,ROW(G296)-ROW(G$15),0))</f>
        <v>-</v>
      </c>
      <c r="H296" s="124">
        <f ca="1">IF($D296&lt;&gt;"Serviço",0,IF(ACOMPANHAMENTO="BM",ROUND(OFFSET(ORÇAMENTO!AJ$15,ROW(H296)-ROW(H$15),0),15-13*ORÇAMENTO!$AF$7),SUMPRODUCT(($Q$12:$AI$12&lt;&gt;"")*ROUND($Q296:$AI296,15-13*ORÇAMENTO!$AF$7))))</f>
        <v>6</v>
      </c>
      <c r="I296" s="561" t="s">
        <v>1107</v>
      </c>
      <c r="K296" s="174"/>
      <c r="L296" s="175" t="s">
        <v>255</v>
      </c>
      <c r="M296" s="176">
        <f ca="1">IF($D296&lt;&gt;"Serviço","",IF(AUTOEVENTO="manual",$A296,IF(ISERROR(MATCH($A296,$A$15:OFFSET($A296,-1,0),0)),MAX($M$15:OFFSET(M296,-1,0))+1,INDEX($M$15:OFFSET(M296,-1,0),MATCH($A296,$A$15:OFFSET($A296,-1,0),0)))))</f>
        <v>38</v>
      </c>
      <c r="N296" s="177" t="str">
        <f ca="1">IF($D296&lt;&gt;"Serviço","",IF(AUTOEVENTO="Manual",IF($A296=0,"&lt;-- defina o número do agrupador",OFFSET(EVENTOS!$D$14,$A296,0)),OFFSET($F$15,$A296,0)))</f>
        <v>INSTALAÇÃO HIDRÁULICA - SISTEMA DE REUSO DE ÁGUA</v>
      </c>
      <c r="O296" s="178"/>
      <c r="Q296" s="178">
        <v>6</v>
      </c>
      <c r="R296" s="179"/>
      <c r="S296" s="179"/>
      <c r="T296" s="179"/>
      <c r="U296" s="179"/>
      <c r="V296" s="179"/>
      <c r="W296" s="179"/>
      <c r="X296" s="179"/>
      <c r="Y296" s="179"/>
      <c r="Z296" s="180"/>
      <c r="AA296" s="179"/>
      <c r="AB296" s="179"/>
      <c r="AC296" s="179"/>
      <c r="AD296" s="179"/>
      <c r="AE296" s="179"/>
      <c r="AF296" s="179"/>
      <c r="AG296" s="179"/>
      <c r="AH296" s="180"/>
      <c r="AJ296" s="544">
        <f ca="1">IF(AND($D296="Serviço",AJ$12&lt;&gt;0,$H296&gt;0,OR(AUTOEVENTO&lt;&gt;"manual",$M296&lt;&gt;1)),
IF(Import.TipoArredondamento&lt;&gt;"TransfereGOV",
ROUND(OFFSET($P296,0,AJ$13),15-13*ORÇAMENTO!$AF$7)/$H296*OFFSET(ORÇAMENTO!$X$15,ROW(AJ296)-ROW(AJ$15),0),
ROUND(ROUND(OFFSET($P296,0,AJ$13),15-13*ORÇAMENTO!$AF$7)*OFFSET(ORÇAMENTO!$W$15,ROW(AJ296)-ROW(AJ$15),0),15-13*ORÇAMENTO!$AF$11)),0)</f>
        <v>0</v>
      </c>
      <c r="AK296" s="545">
        <f ca="1">IF(AND($D296="Serviço",AK$12&lt;&gt;0,$H296&gt;0,OR(AUTOEVENTO&lt;&gt;"manual",$M296&lt;&gt;1)),
IF(Import.TipoArredondamento&lt;&gt;"TransfereGOV",
ROUND(OFFSET($P296,0,AK$13),15-13*ORÇAMENTO!$AF$7)/$H296*OFFSET(ORÇAMENTO!$X$15,ROW(AK296)-ROW(AK$15),0),
ROUND(ROUND(OFFSET($P296,0,AK$13),15-13*ORÇAMENTO!$AF$7)*OFFSET(ORÇAMENTO!$W$15,ROW(AK296)-ROW(AK$15),0),15-13*ORÇAMENTO!$AF$11)),0)</f>
        <v>0</v>
      </c>
      <c r="AL296" s="545">
        <f ca="1">IF(AND($D296="Serviço",AL$12&lt;&gt;0,$H296&gt;0,OR(AUTOEVENTO&lt;&gt;"manual",$M296&lt;&gt;1)),
IF(Import.TipoArredondamento&lt;&gt;"TransfereGOV",
ROUND(OFFSET($P296,0,AL$13),15-13*ORÇAMENTO!$AF$7)/$H296*OFFSET(ORÇAMENTO!$X$15,ROW(AL296)-ROW(AL$15),0),
ROUND(ROUND(OFFSET($P296,0,AL$13),15-13*ORÇAMENTO!$AF$7)*OFFSET(ORÇAMENTO!$W$15,ROW(AL296)-ROW(AL$15),0),15-13*ORÇAMENTO!$AF$11)),0)</f>
        <v>0</v>
      </c>
      <c r="AM296" s="545">
        <f ca="1">IF(AND($D296="Serviço",AM$12&lt;&gt;0,$H296&gt;0,OR(AUTOEVENTO&lt;&gt;"manual",$M296&lt;&gt;1)),
IF(Import.TipoArredondamento&lt;&gt;"TransfereGOV",
ROUND(OFFSET($P296,0,AM$13),15-13*ORÇAMENTO!$AF$7)/$H296*OFFSET(ORÇAMENTO!$X$15,ROW(AM296)-ROW(AM$15),0),
ROUND(ROUND(OFFSET($P296,0,AM$13),15-13*ORÇAMENTO!$AF$7)*OFFSET(ORÇAMENTO!$W$15,ROW(AM296)-ROW(AM$15),0),15-13*ORÇAMENTO!$AF$11)),0)</f>
        <v>0</v>
      </c>
      <c r="AN296" s="545">
        <f ca="1">IF(AND($D296="Serviço",AN$12&lt;&gt;0,$H296&gt;0,OR(AUTOEVENTO&lt;&gt;"manual",$M296&lt;&gt;1)),
IF(Import.TipoArredondamento&lt;&gt;"TransfereGOV",
ROUND(OFFSET($P296,0,AN$13),15-13*ORÇAMENTO!$AF$7)/$H296*OFFSET(ORÇAMENTO!$X$15,ROW(AN296)-ROW(AN$15),0),
ROUND(ROUND(OFFSET($P296,0,AN$13),15-13*ORÇAMENTO!$AF$7)*OFFSET(ORÇAMENTO!$W$15,ROW(AN296)-ROW(AN$15),0),15-13*ORÇAMENTO!$AF$11)),0)</f>
        <v>0</v>
      </c>
      <c r="AO296" s="545">
        <f ca="1">IF(AND($D296="Serviço",AO$12&lt;&gt;0,$H296&gt;0,OR(AUTOEVENTO&lt;&gt;"manual",$M296&lt;&gt;1)),
IF(Import.TipoArredondamento&lt;&gt;"TransfereGOV",
ROUND(OFFSET($P296,0,AO$13),15-13*ORÇAMENTO!$AF$7)/$H296*OFFSET(ORÇAMENTO!$X$15,ROW(AO296)-ROW(AO$15),0),
ROUND(ROUND(OFFSET($P296,0,AO$13),15-13*ORÇAMENTO!$AF$7)*OFFSET(ORÇAMENTO!$W$15,ROW(AO296)-ROW(AO$15),0),15-13*ORÇAMENTO!$AF$11)),0)</f>
        <v>0</v>
      </c>
      <c r="AP296" s="545">
        <f ca="1">IF(AND($D296="Serviço",AP$12&lt;&gt;0,$H296&gt;0,OR(AUTOEVENTO&lt;&gt;"manual",$M296&lt;&gt;1)),
IF(Import.TipoArredondamento&lt;&gt;"TransfereGOV",
ROUND(OFFSET($P296,0,AP$13),15-13*ORÇAMENTO!$AF$7)/$H296*OFFSET(ORÇAMENTO!$X$15,ROW(AP296)-ROW(AP$15),0),
ROUND(ROUND(OFFSET($P296,0,AP$13),15-13*ORÇAMENTO!$AF$7)*OFFSET(ORÇAMENTO!$W$15,ROW(AP296)-ROW(AP$15),0),15-13*ORÇAMENTO!$AF$11)),0)</f>
        <v>0</v>
      </c>
      <c r="AQ296" s="545">
        <f ca="1">IF(AND($D296="Serviço",AQ$12&lt;&gt;0,$H296&gt;0,OR(AUTOEVENTO&lt;&gt;"manual",$M296&lt;&gt;1)),
IF(Import.TipoArredondamento&lt;&gt;"TransfereGOV",
ROUND(OFFSET($P296,0,AQ$13),15-13*ORÇAMENTO!$AF$7)/$H296*OFFSET(ORÇAMENTO!$X$15,ROW(AQ296)-ROW(AQ$15),0),
ROUND(ROUND(OFFSET($P296,0,AQ$13),15-13*ORÇAMENTO!$AF$7)*OFFSET(ORÇAMENTO!$W$15,ROW(AQ296)-ROW(AQ$15),0),15-13*ORÇAMENTO!$AF$11)),0)</f>
        <v>0</v>
      </c>
      <c r="AR296" s="545">
        <f ca="1">IF(AND($D296="Serviço",AR$12&lt;&gt;0,$H296&gt;0,OR(AUTOEVENTO&lt;&gt;"manual",$M296&lt;&gt;1)),
IF(Import.TipoArredondamento&lt;&gt;"TransfereGOV",
ROUND(OFFSET($P296,0,AR$13),15-13*ORÇAMENTO!$AF$7)/$H296*OFFSET(ORÇAMENTO!$X$15,ROW(AR296)-ROW(AR$15),0),
ROUND(ROUND(OFFSET($P296,0,AR$13),15-13*ORÇAMENTO!$AF$7)*OFFSET(ORÇAMENTO!$W$15,ROW(AR296)-ROW(AR$15),0),15-13*ORÇAMENTO!$AF$11)),0)</f>
        <v>0</v>
      </c>
      <c r="AS296" s="546">
        <f ca="1">IF(AND($D296="Serviço",AS$12&lt;&gt;0,$H296&gt;0,OR(AUTOEVENTO&lt;&gt;"manual",$M296&lt;&gt;1)),
IF(Import.TipoArredondamento&lt;&gt;"TransfereGOV",
ROUND(OFFSET($P296,0,AS$13),15-13*ORÇAMENTO!$AF$7)/$H296*OFFSET(ORÇAMENTO!$X$15,ROW(AS296)-ROW(AS$15),0),
ROUND(ROUND(OFFSET($P296,0,AS$13),15-13*ORÇAMENTO!$AF$7)*OFFSET(ORÇAMENTO!$W$15,ROW(AS296)-ROW(AS$15),0),15-13*ORÇAMENTO!$AF$11)),0)</f>
        <v>0</v>
      </c>
      <c r="AT296" s="545">
        <f ca="1">IF(AND($D296="Serviço",AT$12&lt;&gt;0,$H296&gt;0,OR(AUTOEVENTO&lt;&gt;"manual",$M296&lt;&gt;1)),
IF(Import.TipoArredondamento&lt;&gt;"TransfereGOV",
ROUND(OFFSET($P296,0,AT$13),15-13*ORÇAMENTO!$AF$7)/$H296*OFFSET(ORÇAMENTO!$X$15,ROW(AT296)-ROW(AT$15),0),
ROUND(ROUND(OFFSET($P296,0,AT$13),15-13*ORÇAMENTO!$AF$7)*OFFSET(ORÇAMENTO!$W$15,ROW(AT296)-ROW(AT$15),0),15-13*ORÇAMENTO!$AF$11)),0)</f>
        <v>0</v>
      </c>
      <c r="AU296" s="545">
        <f ca="1">IF(AND($D296="Serviço",AU$12&lt;&gt;0,$H296&gt;0,OR(AUTOEVENTO&lt;&gt;"manual",$M296&lt;&gt;1)),
IF(Import.TipoArredondamento&lt;&gt;"TransfereGOV",
ROUND(OFFSET($P296,0,AU$13),15-13*ORÇAMENTO!$AF$7)/$H296*OFFSET(ORÇAMENTO!$X$15,ROW(AU296)-ROW(AU$15),0),
ROUND(ROUND(OFFSET($P296,0,AU$13),15-13*ORÇAMENTO!$AF$7)*OFFSET(ORÇAMENTO!$W$15,ROW(AU296)-ROW(AU$15),0),15-13*ORÇAMENTO!$AF$11)),0)</f>
        <v>0</v>
      </c>
      <c r="AV296" s="545">
        <f ca="1">IF(AND($D296="Serviço",AV$12&lt;&gt;0,$H296&gt;0,OR(AUTOEVENTO&lt;&gt;"manual",$M296&lt;&gt;1)),
IF(Import.TipoArredondamento&lt;&gt;"TransfereGOV",
ROUND(OFFSET($P296,0,AV$13),15-13*ORÇAMENTO!$AF$7)/$H296*OFFSET(ORÇAMENTO!$X$15,ROW(AV296)-ROW(AV$15),0),
ROUND(ROUND(OFFSET($P296,0,AV$13),15-13*ORÇAMENTO!$AF$7)*OFFSET(ORÇAMENTO!$W$15,ROW(AV296)-ROW(AV$15),0),15-13*ORÇAMENTO!$AF$11)),0)</f>
        <v>0</v>
      </c>
      <c r="AW296" s="545">
        <f ca="1">IF(AND($D296="Serviço",AW$12&lt;&gt;0,$H296&gt;0,OR(AUTOEVENTO&lt;&gt;"manual",$M296&lt;&gt;1)),
IF(Import.TipoArredondamento&lt;&gt;"TransfereGOV",
ROUND(OFFSET($P296,0,AW$13),15-13*ORÇAMENTO!$AF$7)/$H296*OFFSET(ORÇAMENTO!$X$15,ROW(AW296)-ROW(AW$15),0),
ROUND(ROUND(OFFSET($P296,0,AW$13),15-13*ORÇAMENTO!$AF$7)*OFFSET(ORÇAMENTO!$W$15,ROW(AW296)-ROW(AW$15),0),15-13*ORÇAMENTO!$AF$11)),0)</f>
        <v>0</v>
      </c>
      <c r="AX296" s="545">
        <f ca="1">IF(AND($D296="Serviço",AX$12&lt;&gt;0,$H296&gt;0,OR(AUTOEVENTO&lt;&gt;"manual",$M296&lt;&gt;1)),
IF(Import.TipoArredondamento&lt;&gt;"TransfereGOV",
ROUND(OFFSET($P296,0,AX$13),15-13*ORÇAMENTO!$AF$7)/$H296*OFFSET(ORÇAMENTO!$X$15,ROW(AX296)-ROW(AX$15),0),
ROUND(ROUND(OFFSET($P296,0,AX$13),15-13*ORÇAMENTO!$AF$7)*OFFSET(ORÇAMENTO!$W$15,ROW(AX296)-ROW(AX$15),0),15-13*ORÇAMENTO!$AF$11)),0)</f>
        <v>0</v>
      </c>
      <c r="AY296" s="545">
        <f ca="1">IF(AND($D296="Serviço",AY$12&lt;&gt;0,$H296&gt;0,OR(AUTOEVENTO&lt;&gt;"manual",$M296&lt;&gt;1)),
IF(Import.TipoArredondamento&lt;&gt;"TransfereGOV",
ROUND(OFFSET($P296,0,AY$13),15-13*ORÇAMENTO!$AF$7)/$H296*OFFSET(ORÇAMENTO!$X$15,ROW(AY296)-ROW(AY$15),0),
ROUND(ROUND(OFFSET($P296,0,AY$13),15-13*ORÇAMENTO!$AF$7)*OFFSET(ORÇAMENTO!$W$15,ROW(AY296)-ROW(AY$15),0),15-13*ORÇAMENTO!$AF$11)),0)</f>
        <v>0</v>
      </c>
      <c r="AZ296" s="545">
        <f ca="1">IF(AND($D296="Serviço",AZ$12&lt;&gt;0,$H296&gt;0,OR(AUTOEVENTO&lt;&gt;"manual",$M296&lt;&gt;1)),
IF(Import.TipoArredondamento&lt;&gt;"TransfereGOV",
ROUND(OFFSET($P296,0,AZ$13),15-13*ORÇAMENTO!$AF$7)/$H296*OFFSET(ORÇAMENTO!$X$15,ROW(AZ296)-ROW(AZ$15),0),
ROUND(ROUND(OFFSET($P296,0,AZ$13),15-13*ORÇAMENTO!$AF$7)*OFFSET(ORÇAMENTO!$W$15,ROW(AZ296)-ROW(AZ$15),0),15-13*ORÇAMENTO!$AF$11)),0)</f>
        <v>0</v>
      </c>
      <c r="BA296" s="546">
        <f ca="1">IF(AND($D296="Serviço",BA$12&lt;&gt;0,$H296&gt;0,OR(AUTOEVENTO&lt;&gt;"manual",$M296&lt;&gt;1)),
IF(Import.TipoArredondamento&lt;&gt;"TransfereGOV",
ROUND(OFFSET($P296,0,BA$13),15-13*ORÇAMENTO!$AF$7)/$H296*OFFSET(ORÇAMENTO!$X$15,ROW(BA296)-ROW(BA$15),0),
ROUND(ROUND(OFFSET($P296,0,BA$13),15-13*ORÇAMENTO!$AF$7)*OFFSET(ORÇAMENTO!$W$15,ROW(BA296)-ROW(BA$15),0),15-13*ORÇAMENTO!$AF$11)),0)</f>
        <v>0</v>
      </c>
      <c r="BC296" s="181">
        <f ca="1">IF($D296&lt;&gt;"Serviço",0,IF(AND(AUTOEVENTO="Manual",$M296=1),0,IF(OFFSET(CRONOPLE!$F$14,$M296,BC$13)="",10^12,OFFSET(CRONOPLE!$F$14,$M296,BC$13))))</f>
        <v>9</v>
      </c>
      <c r="BD296" s="181">
        <f ca="1">IF($D296&lt;&gt;"Serviço",0,IF(AND(AUTOEVENTO="Manual",$M296=1),0,IF(OFFSET(CRONOPLE!$F$14,$M296,BD$13)="",10^12,OFFSET(CRONOPLE!$F$14,$M296,BD$13))))</f>
        <v>1000000000000</v>
      </c>
      <c r="BE296" s="181">
        <f ca="1">IF($D296&lt;&gt;"Serviço",0,IF(AND(AUTOEVENTO="Manual",$M296=1),0,IF(OFFSET(CRONOPLE!$F$14,$M296,BE$13)="",10^12,OFFSET(CRONOPLE!$F$14,$M296,BE$13))))</f>
        <v>1000000000000</v>
      </c>
      <c r="BF296" s="181">
        <f ca="1">IF($D296&lt;&gt;"Serviço",0,IF(AND(AUTOEVENTO="Manual",$M296=1),0,IF(OFFSET(CRONOPLE!$F$14,$M296,BF$13)="",10^12,OFFSET(CRONOPLE!$F$14,$M296,BF$13))))</f>
        <v>1000000000000</v>
      </c>
      <c r="BG296" s="181">
        <f ca="1">IF($D296&lt;&gt;"Serviço",0,IF(AND(AUTOEVENTO="Manual",$M296=1),0,IF(OFFSET(CRONOPLE!$F$14,$M296,BG$13)="",10^12,OFFSET(CRONOPLE!$F$14,$M296,BG$13))))</f>
        <v>1000000000000</v>
      </c>
      <c r="BH296" s="181">
        <f ca="1">IF($D296&lt;&gt;"Serviço",0,IF(AND(AUTOEVENTO="Manual",$M296=1),0,IF(OFFSET(CRONOPLE!$F$14,$M296,BH$13)="",10^12,OFFSET(CRONOPLE!$F$14,$M296,BH$13))))</f>
        <v>1000000000000</v>
      </c>
      <c r="BI296" s="181">
        <f ca="1">IF($D296&lt;&gt;"Serviço",0,IF(AND(AUTOEVENTO="Manual",$M296=1),0,IF(OFFSET(CRONOPLE!$F$14,$M296,BI$13)="",10^12,OFFSET(CRONOPLE!$F$14,$M296,BI$13))))</f>
        <v>1000000000000</v>
      </c>
      <c r="BJ296" s="181">
        <f ca="1">IF($D296&lt;&gt;"Serviço",0,IF(AND(AUTOEVENTO="Manual",$M296=1),0,IF(OFFSET(CRONOPLE!$F$14,$M296,BJ$13)="",10^12,OFFSET(CRONOPLE!$F$14,$M296,BJ$13))))</f>
        <v>1000000000000</v>
      </c>
      <c r="BK296" s="181">
        <f ca="1">IF($D296&lt;&gt;"Serviço",0,IF(AND(AUTOEVENTO="Manual",$M296=1),0,IF(OFFSET(CRONOPLE!$F$14,$M296,BK$13)="",10^12,OFFSET(CRONOPLE!$F$14,$M296,BK$13))))</f>
        <v>1000000000000</v>
      </c>
      <c r="BL296" s="181">
        <f ca="1">IF($D296&lt;&gt;"Serviço",0,IF(AND(AUTOEVENTO="Manual",$M296=1),0,IF(OFFSET(CRONOPLE!$F$14,$M296,BL$13)="",10^12,OFFSET(CRONOPLE!$F$14,$M296,BL$13))))</f>
        <v>1000000000000</v>
      </c>
      <c r="BM296" s="181">
        <f ca="1">IF($D296&lt;&gt;"Serviço",0,IF(AND(AUTOEVENTO="Manual",$M296=1),0,IF(OFFSET(CRONOPLE!$F$14,$M296,BM$13)="",10^12,OFFSET(CRONOPLE!$F$14,$M296,BM$13))))</f>
        <v>1000000000000</v>
      </c>
      <c r="BN296" s="181">
        <f ca="1">IF($D296&lt;&gt;"Serviço",0,IF(AND(AUTOEVENTO="Manual",$M296=1),0,IF(OFFSET(CRONOPLE!$F$14,$M296,BN$13)="",10^12,OFFSET(CRONOPLE!$F$14,$M296,BN$13))))</f>
        <v>1000000000000</v>
      </c>
      <c r="BO296" s="181">
        <f ca="1">IF($D296&lt;&gt;"Serviço",0,IF(AND(AUTOEVENTO="Manual",$M296=1),0,IF(OFFSET(CRONOPLE!$F$14,$M296,BO$13)="",10^12,OFFSET(CRONOPLE!$F$14,$M296,BO$13))))</f>
        <v>1000000000000</v>
      </c>
      <c r="BP296" s="181">
        <f ca="1">IF($D296&lt;&gt;"Serviço",0,IF(AND(AUTOEVENTO="Manual",$M296=1),0,IF(OFFSET(CRONOPLE!$F$14,$M296,BP$13)="",10^12,OFFSET(CRONOPLE!$F$14,$M296,BP$13))))</f>
        <v>1000000000000</v>
      </c>
      <c r="BQ296" s="181">
        <f ca="1">IF($D296&lt;&gt;"Serviço",0,IF(AND(AUTOEVENTO="Manual",$M296=1),0,IF(OFFSET(CRONOPLE!$F$14,$M296,BQ$13)="",10^12,OFFSET(CRONOPLE!$F$14,$M296,BQ$13))))</f>
        <v>1000000000000</v>
      </c>
      <c r="BR296" s="181">
        <f ca="1">IF($D296&lt;&gt;"Serviço",0,IF(AND(AUTOEVENTO="Manual",$M296=1),0,IF(OFFSET(CRONOPLE!$F$14,$M296,BR$13)="",10^12,OFFSET(CRONOPLE!$F$14,$M296,BR$13))))</f>
        <v>1000000000000</v>
      </c>
      <c r="BS296" s="181">
        <f ca="1">IF($D296&lt;&gt;"Serviço",0,IF(AND(AUTOEVENTO="Manual",$M296=1),0,IF(OFFSET(CRONOPLE!$F$14,$M296,BS$13)="",10^12,OFFSET(CRONOPLE!$F$14,$M296,BS$13))))</f>
        <v>1000000000000</v>
      </c>
      <c r="BT296" s="181">
        <f ca="1">IF($D296&lt;&gt;"Serviço",0,IF(AND(AUTOEVENTO="Manual",$M296=1),0,IF(OFFSET(CRONOPLE!$F$14,$M296,BT$13)="",10^12,OFFSET(CRONOPLE!$F$14,$M296,BT$13))))</f>
        <v>1000000000000</v>
      </c>
      <c r="BV296" s="182">
        <f ca="1">IF($D296&lt;&gt;"Serviço",0,IF(OR(AND(AUTOEVENTO="Manual",$M296=1),$M296&gt;(ROW(PLE.lastrow)-ROW(PLE.firstrow))),0,IF(OFFSET(PLE!$G$14,$M296,BV$13)="",10^12,OFFSET(PLE!$G$14,$M296,BV$13))))</f>
        <v>1000000000000</v>
      </c>
      <c r="BW296" s="182">
        <f ca="1">IF($D296&lt;&gt;"Serviço",0,IF(OR(AND(AUTOEVENTO="Manual",$M296=1),$M296&gt;(ROW(PLE.lastrow)-ROW(PLE.firstrow))),0,IF(OFFSET(PLE!$G$14,$M296,BW$13)="",10^12,OFFSET(PLE!$G$14,$M296,BW$13))))</f>
        <v>1000000000000</v>
      </c>
      <c r="BX296" s="182">
        <f ca="1">IF($D296&lt;&gt;"Serviço",0,IF(OR(AND(AUTOEVENTO="Manual",$M296=1),$M296&gt;(ROW(PLE.lastrow)-ROW(PLE.firstrow))),0,IF(OFFSET(PLE!$G$14,$M296,BX$13)="",10^12,OFFSET(PLE!$G$14,$M296,BX$13))))</f>
        <v>1000000000000</v>
      </c>
      <c r="BY296" s="182">
        <f ca="1">IF($D296&lt;&gt;"Serviço",0,IF(OR(AND(AUTOEVENTO="Manual",$M296=1),$M296&gt;(ROW(PLE.lastrow)-ROW(PLE.firstrow))),0,IF(OFFSET(PLE!$G$14,$M296,BY$13)="",10^12,OFFSET(PLE!$G$14,$M296,BY$13))))</f>
        <v>1000000000000</v>
      </c>
      <c r="BZ296" s="182">
        <f ca="1">IF($D296&lt;&gt;"Serviço",0,IF(OR(AND(AUTOEVENTO="Manual",$M296=1),$M296&gt;(ROW(PLE.lastrow)-ROW(PLE.firstrow))),0,IF(OFFSET(PLE!$G$14,$M296,BZ$13)="",10^12,OFFSET(PLE!$G$14,$M296,BZ$13))))</f>
        <v>1000000000000</v>
      </c>
      <c r="CA296" s="182">
        <f ca="1">IF($D296&lt;&gt;"Serviço",0,IF(OR(AND(AUTOEVENTO="Manual",$M296=1),$M296&gt;(ROW(PLE.lastrow)-ROW(PLE.firstrow))),0,IF(OFFSET(PLE!$G$14,$M296,CA$13)="",10^12,OFFSET(PLE!$G$14,$M296,CA$13))))</f>
        <v>1000000000000</v>
      </c>
      <c r="CB296" s="182">
        <f ca="1">IF($D296&lt;&gt;"Serviço",0,IF(OR(AND(AUTOEVENTO="Manual",$M296=1),$M296&gt;(ROW(PLE.lastrow)-ROW(PLE.firstrow))),0,IF(OFFSET(PLE!$G$14,$M296,CB$13)="",10^12,OFFSET(PLE!$G$14,$M296,CB$13))))</f>
        <v>1000000000000</v>
      </c>
      <c r="CC296" s="182">
        <f ca="1">IF($D296&lt;&gt;"Serviço",0,IF(OR(AND(AUTOEVENTO="Manual",$M296=1),$M296&gt;(ROW(PLE.lastrow)-ROW(PLE.firstrow))),0,IF(OFFSET(PLE!$G$14,$M296,CC$13)="",10^12,OFFSET(PLE!$G$14,$M296,CC$13))))</f>
        <v>1000000000000</v>
      </c>
      <c r="CD296" s="182">
        <f ca="1">IF($D296&lt;&gt;"Serviço",0,IF(OR(AND(AUTOEVENTO="Manual",$M296=1),$M296&gt;(ROW(PLE.lastrow)-ROW(PLE.firstrow))),0,IF(OFFSET(PLE!$G$14,$M296,CD$13)="",10^12,OFFSET(PLE!$G$14,$M296,CD$13))))</f>
        <v>1000000000000</v>
      </c>
      <c r="CE296" s="182">
        <f ca="1">IF($D296&lt;&gt;"Serviço",0,IF(OR(AND(AUTOEVENTO="Manual",$M296=1),$M296&gt;(ROW(PLE.lastrow)-ROW(PLE.firstrow))),0,IF(OFFSET(PLE!$G$14,$M296,CE$13)="",10^12,OFFSET(PLE!$G$14,$M296,CE$13))))</f>
        <v>1000000000000</v>
      </c>
      <c r="CF296" s="182">
        <f ca="1">IF($D296&lt;&gt;"Serviço",0,IF(OR(AND(AUTOEVENTO="Manual",$M296=1),$M296&gt;(ROW(PLE.lastrow)-ROW(PLE.firstrow))),0,IF(OFFSET(PLE!$G$14,$M296,CF$13)="",10^12,OFFSET(PLE!$G$14,$M296,CF$13))))</f>
        <v>1000000000000</v>
      </c>
      <c r="CG296" s="182">
        <f ca="1">IF($D296&lt;&gt;"Serviço",0,IF(OR(AND(AUTOEVENTO="Manual",$M296=1),$M296&gt;(ROW(PLE.lastrow)-ROW(PLE.firstrow))),0,IF(OFFSET(PLE!$G$14,$M296,CG$13)="",10^12,OFFSET(PLE!$G$14,$M296,CG$13))))</f>
        <v>1000000000000</v>
      </c>
      <c r="CH296" s="182">
        <f ca="1">IF($D296&lt;&gt;"Serviço",0,IF(OR(AND(AUTOEVENTO="Manual",$M296=1),$M296&gt;(ROW(PLE.lastrow)-ROW(PLE.firstrow))),0,IF(OFFSET(PLE!$G$14,$M296,CH$13)="",10^12,OFFSET(PLE!$G$14,$M296,CH$13))))</f>
        <v>1000000000000</v>
      </c>
      <c r="CI296" s="182">
        <f ca="1">IF($D296&lt;&gt;"Serviço",0,IF(OR(AND(AUTOEVENTO="Manual",$M296=1),$M296&gt;(ROW(PLE.lastrow)-ROW(PLE.firstrow))),0,IF(OFFSET(PLE!$G$14,$M296,CI$13)="",10^12,OFFSET(PLE!$G$14,$M296,CI$13))))</f>
        <v>1000000000000</v>
      </c>
      <c r="CJ296" s="182">
        <f ca="1">IF($D296&lt;&gt;"Serviço",0,IF(OR(AND(AUTOEVENTO="Manual",$M296=1),$M296&gt;(ROW(PLE.lastrow)-ROW(PLE.firstrow))),0,IF(OFFSET(PLE!$G$14,$M296,CJ$13)="",10^12,OFFSET(PLE!$G$14,$M296,CJ$13))))</f>
        <v>1000000000000</v>
      </c>
      <c r="CK296" s="182">
        <f ca="1">IF($D296&lt;&gt;"Serviço",0,IF(OR(AND(AUTOEVENTO="Manual",$M296=1),$M296&gt;(ROW(PLE.lastrow)-ROW(PLE.firstrow))),0,IF(OFFSET(PLE!$G$14,$M296,CK$13)="",10^12,OFFSET(PLE!$G$14,$M296,CK$13))))</f>
        <v>1000000000000</v>
      </c>
      <c r="CL296" s="182">
        <f ca="1">IF($D296&lt;&gt;"Serviço",0,IF(OR(AND(AUTOEVENTO="Manual",$M296=1),$M296&gt;(ROW(PLE.lastrow)-ROW(PLE.firstrow))),0,IF(OFFSET(PLE!$G$14,$M296,CL$13)="",10^12,OFFSET(PLE!$G$14,$M296,CL$13))))</f>
        <v>1000000000000</v>
      </c>
      <c r="CM296" s="182">
        <f ca="1">IF($D296&lt;&gt;"Serviço",0,IF(OR(AND(AUTOEVENTO="Manual",$M296=1),$M296&gt;(ROW(PLE.lastrow)-ROW(PLE.firstrow))),0,IF(OFFSET(PLE!$G$14,$M296,CM$13)="",10^12,OFFSET(PLE!$G$14,$M296,CM$13))))</f>
        <v>1000000000000</v>
      </c>
    </row>
    <row r="297" spans="1:91" ht="25.5" x14ac:dyDescent="0.2">
      <c r="A297" s="7" t="str">
        <f t="shared" ca="1" si="12"/>
        <v>280</v>
      </c>
      <c r="B297" s="7" t="str">
        <f ca="1">OFFSET(ORÇAMENTO!C$15,ROW(B297)-ROW(B$15),0)</f>
        <v>S</v>
      </c>
      <c r="C297" s="7" t="str">
        <f ca="1">OFFSET(ORÇAMENTO!L$15,ROW(C297)-ROW(C$15),0)</f>
        <v/>
      </c>
      <c r="D297" s="118" t="str">
        <f ca="1">OFFSET(ORÇAMENTO!N$15,ROW(D297)-ROW(D$15),0)</f>
        <v>Serviço</v>
      </c>
      <c r="E297" s="119" t="str">
        <f ca="1">OFFSET(ORÇAMENTO!O$15,ROW(E297)-ROW(E$15),0)</f>
        <v>-</v>
      </c>
      <c r="F297" s="172" t="str">
        <f ca="1">OFFSET(ORÇAMENTO!R$15,ROW(F297)-ROW(F$15),0)</f>
        <v>(abra o arquivo 'Referência 06-2024.xlsm)</v>
      </c>
      <c r="G297" s="173" t="str">
        <f ca="1">IF($D297&lt;&gt;"Serviço","",OFFSET(ORÇAMENTO!S$15,ROW(G297)-ROW(G$15),0))</f>
        <v>-</v>
      </c>
      <c r="H297" s="124">
        <f ca="1">IF($D297&lt;&gt;"Serviço",0,IF(ACOMPANHAMENTO="BM",ROUND(OFFSET(ORÇAMENTO!AJ$15,ROW(H297)-ROW(H$15),0),15-13*ORÇAMENTO!$AF$7),SUMPRODUCT(($Q$12:$AI$12&lt;&gt;"")*ROUND($Q297:$AI297,15-13*ORÇAMENTO!$AF$7))))</f>
        <v>2</v>
      </c>
      <c r="I297" s="561" t="s">
        <v>1107</v>
      </c>
      <c r="K297" s="174"/>
      <c r="L297" s="175" t="s">
        <v>255</v>
      </c>
      <c r="M297" s="176">
        <f ca="1">IF($D297&lt;&gt;"Serviço","",IF(AUTOEVENTO="manual",$A297,IF(ISERROR(MATCH($A297,$A$15:OFFSET($A297,-1,0),0)),MAX($M$15:OFFSET(M297,-1,0))+1,INDEX($M$15:OFFSET(M297,-1,0),MATCH($A297,$A$15:OFFSET($A297,-1,0),0)))))</f>
        <v>38</v>
      </c>
      <c r="N297" s="177" t="str">
        <f ca="1">IF($D297&lt;&gt;"Serviço","",IF(AUTOEVENTO="Manual",IF($A297=0,"&lt;-- defina o número do agrupador",OFFSET(EVENTOS!$D$14,$A297,0)),OFFSET($F$15,$A297,0)))</f>
        <v>INSTALAÇÃO HIDRÁULICA - SISTEMA DE REUSO DE ÁGUA</v>
      </c>
      <c r="O297" s="178"/>
      <c r="Q297" s="178">
        <v>2</v>
      </c>
      <c r="R297" s="179"/>
      <c r="S297" s="179"/>
      <c r="T297" s="179"/>
      <c r="U297" s="179"/>
      <c r="V297" s="179"/>
      <c r="W297" s="179"/>
      <c r="X297" s="179"/>
      <c r="Y297" s="179"/>
      <c r="Z297" s="180"/>
      <c r="AA297" s="179"/>
      <c r="AB297" s="179"/>
      <c r="AC297" s="179"/>
      <c r="AD297" s="179"/>
      <c r="AE297" s="179"/>
      <c r="AF297" s="179"/>
      <c r="AG297" s="179"/>
      <c r="AH297" s="180"/>
      <c r="AJ297" s="544">
        <f ca="1">IF(AND($D297="Serviço",AJ$12&lt;&gt;0,$H297&gt;0,OR(AUTOEVENTO&lt;&gt;"manual",$M297&lt;&gt;1)),
IF(Import.TipoArredondamento&lt;&gt;"TransfereGOV",
ROUND(OFFSET($P297,0,AJ$13),15-13*ORÇAMENTO!$AF$7)/$H297*OFFSET(ORÇAMENTO!$X$15,ROW(AJ297)-ROW(AJ$15),0),
ROUND(ROUND(OFFSET($P297,0,AJ$13),15-13*ORÇAMENTO!$AF$7)*OFFSET(ORÇAMENTO!$W$15,ROW(AJ297)-ROW(AJ$15),0),15-13*ORÇAMENTO!$AF$11)),0)</f>
        <v>0</v>
      </c>
      <c r="AK297" s="545">
        <f ca="1">IF(AND($D297="Serviço",AK$12&lt;&gt;0,$H297&gt;0,OR(AUTOEVENTO&lt;&gt;"manual",$M297&lt;&gt;1)),
IF(Import.TipoArredondamento&lt;&gt;"TransfereGOV",
ROUND(OFFSET($P297,0,AK$13),15-13*ORÇAMENTO!$AF$7)/$H297*OFFSET(ORÇAMENTO!$X$15,ROW(AK297)-ROW(AK$15),0),
ROUND(ROUND(OFFSET($P297,0,AK$13),15-13*ORÇAMENTO!$AF$7)*OFFSET(ORÇAMENTO!$W$15,ROW(AK297)-ROW(AK$15),0),15-13*ORÇAMENTO!$AF$11)),0)</f>
        <v>0</v>
      </c>
      <c r="AL297" s="545">
        <f ca="1">IF(AND($D297="Serviço",AL$12&lt;&gt;0,$H297&gt;0,OR(AUTOEVENTO&lt;&gt;"manual",$M297&lt;&gt;1)),
IF(Import.TipoArredondamento&lt;&gt;"TransfereGOV",
ROUND(OFFSET($P297,0,AL$13),15-13*ORÇAMENTO!$AF$7)/$H297*OFFSET(ORÇAMENTO!$X$15,ROW(AL297)-ROW(AL$15),0),
ROUND(ROUND(OFFSET($P297,0,AL$13),15-13*ORÇAMENTO!$AF$7)*OFFSET(ORÇAMENTO!$W$15,ROW(AL297)-ROW(AL$15),0),15-13*ORÇAMENTO!$AF$11)),0)</f>
        <v>0</v>
      </c>
      <c r="AM297" s="545">
        <f ca="1">IF(AND($D297="Serviço",AM$12&lt;&gt;0,$H297&gt;0,OR(AUTOEVENTO&lt;&gt;"manual",$M297&lt;&gt;1)),
IF(Import.TipoArredondamento&lt;&gt;"TransfereGOV",
ROUND(OFFSET($P297,0,AM$13),15-13*ORÇAMENTO!$AF$7)/$H297*OFFSET(ORÇAMENTO!$X$15,ROW(AM297)-ROW(AM$15),0),
ROUND(ROUND(OFFSET($P297,0,AM$13),15-13*ORÇAMENTO!$AF$7)*OFFSET(ORÇAMENTO!$W$15,ROW(AM297)-ROW(AM$15),0),15-13*ORÇAMENTO!$AF$11)),0)</f>
        <v>0</v>
      </c>
      <c r="AN297" s="545">
        <f ca="1">IF(AND($D297="Serviço",AN$12&lt;&gt;0,$H297&gt;0,OR(AUTOEVENTO&lt;&gt;"manual",$M297&lt;&gt;1)),
IF(Import.TipoArredondamento&lt;&gt;"TransfereGOV",
ROUND(OFFSET($P297,0,AN$13),15-13*ORÇAMENTO!$AF$7)/$H297*OFFSET(ORÇAMENTO!$X$15,ROW(AN297)-ROW(AN$15),0),
ROUND(ROUND(OFFSET($P297,0,AN$13),15-13*ORÇAMENTO!$AF$7)*OFFSET(ORÇAMENTO!$W$15,ROW(AN297)-ROW(AN$15),0),15-13*ORÇAMENTO!$AF$11)),0)</f>
        <v>0</v>
      </c>
      <c r="AO297" s="545">
        <f ca="1">IF(AND($D297="Serviço",AO$12&lt;&gt;0,$H297&gt;0,OR(AUTOEVENTO&lt;&gt;"manual",$M297&lt;&gt;1)),
IF(Import.TipoArredondamento&lt;&gt;"TransfereGOV",
ROUND(OFFSET($P297,0,AO$13),15-13*ORÇAMENTO!$AF$7)/$H297*OFFSET(ORÇAMENTO!$X$15,ROW(AO297)-ROW(AO$15),0),
ROUND(ROUND(OFFSET($P297,0,AO$13),15-13*ORÇAMENTO!$AF$7)*OFFSET(ORÇAMENTO!$W$15,ROW(AO297)-ROW(AO$15),0),15-13*ORÇAMENTO!$AF$11)),0)</f>
        <v>0</v>
      </c>
      <c r="AP297" s="545">
        <f ca="1">IF(AND($D297="Serviço",AP$12&lt;&gt;0,$H297&gt;0,OR(AUTOEVENTO&lt;&gt;"manual",$M297&lt;&gt;1)),
IF(Import.TipoArredondamento&lt;&gt;"TransfereGOV",
ROUND(OFFSET($P297,0,AP$13),15-13*ORÇAMENTO!$AF$7)/$H297*OFFSET(ORÇAMENTO!$X$15,ROW(AP297)-ROW(AP$15),0),
ROUND(ROUND(OFFSET($P297,0,AP$13),15-13*ORÇAMENTO!$AF$7)*OFFSET(ORÇAMENTO!$W$15,ROW(AP297)-ROW(AP$15),0),15-13*ORÇAMENTO!$AF$11)),0)</f>
        <v>0</v>
      </c>
      <c r="AQ297" s="545">
        <f ca="1">IF(AND($D297="Serviço",AQ$12&lt;&gt;0,$H297&gt;0,OR(AUTOEVENTO&lt;&gt;"manual",$M297&lt;&gt;1)),
IF(Import.TipoArredondamento&lt;&gt;"TransfereGOV",
ROUND(OFFSET($P297,0,AQ$13),15-13*ORÇAMENTO!$AF$7)/$H297*OFFSET(ORÇAMENTO!$X$15,ROW(AQ297)-ROW(AQ$15),0),
ROUND(ROUND(OFFSET($P297,0,AQ$13),15-13*ORÇAMENTO!$AF$7)*OFFSET(ORÇAMENTO!$W$15,ROW(AQ297)-ROW(AQ$15),0),15-13*ORÇAMENTO!$AF$11)),0)</f>
        <v>0</v>
      </c>
      <c r="AR297" s="545">
        <f ca="1">IF(AND($D297="Serviço",AR$12&lt;&gt;0,$H297&gt;0,OR(AUTOEVENTO&lt;&gt;"manual",$M297&lt;&gt;1)),
IF(Import.TipoArredondamento&lt;&gt;"TransfereGOV",
ROUND(OFFSET($P297,0,AR$13),15-13*ORÇAMENTO!$AF$7)/$H297*OFFSET(ORÇAMENTO!$X$15,ROW(AR297)-ROW(AR$15),0),
ROUND(ROUND(OFFSET($P297,0,AR$13),15-13*ORÇAMENTO!$AF$7)*OFFSET(ORÇAMENTO!$W$15,ROW(AR297)-ROW(AR$15),0),15-13*ORÇAMENTO!$AF$11)),0)</f>
        <v>0</v>
      </c>
      <c r="AS297" s="546">
        <f ca="1">IF(AND($D297="Serviço",AS$12&lt;&gt;0,$H297&gt;0,OR(AUTOEVENTO&lt;&gt;"manual",$M297&lt;&gt;1)),
IF(Import.TipoArredondamento&lt;&gt;"TransfereGOV",
ROUND(OFFSET($P297,0,AS$13),15-13*ORÇAMENTO!$AF$7)/$H297*OFFSET(ORÇAMENTO!$X$15,ROW(AS297)-ROW(AS$15),0),
ROUND(ROUND(OFFSET($P297,0,AS$13),15-13*ORÇAMENTO!$AF$7)*OFFSET(ORÇAMENTO!$W$15,ROW(AS297)-ROW(AS$15),0),15-13*ORÇAMENTO!$AF$11)),0)</f>
        <v>0</v>
      </c>
      <c r="AT297" s="545">
        <f ca="1">IF(AND($D297="Serviço",AT$12&lt;&gt;0,$H297&gt;0,OR(AUTOEVENTO&lt;&gt;"manual",$M297&lt;&gt;1)),
IF(Import.TipoArredondamento&lt;&gt;"TransfereGOV",
ROUND(OFFSET($P297,0,AT$13),15-13*ORÇAMENTO!$AF$7)/$H297*OFFSET(ORÇAMENTO!$X$15,ROW(AT297)-ROW(AT$15),0),
ROUND(ROUND(OFFSET($P297,0,AT$13),15-13*ORÇAMENTO!$AF$7)*OFFSET(ORÇAMENTO!$W$15,ROW(AT297)-ROW(AT$15),0),15-13*ORÇAMENTO!$AF$11)),0)</f>
        <v>0</v>
      </c>
      <c r="AU297" s="545">
        <f ca="1">IF(AND($D297="Serviço",AU$12&lt;&gt;0,$H297&gt;0,OR(AUTOEVENTO&lt;&gt;"manual",$M297&lt;&gt;1)),
IF(Import.TipoArredondamento&lt;&gt;"TransfereGOV",
ROUND(OFFSET($P297,0,AU$13),15-13*ORÇAMENTO!$AF$7)/$H297*OFFSET(ORÇAMENTO!$X$15,ROW(AU297)-ROW(AU$15),0),
ROUND(ROUND(OFFSET($P297,0,AU$13),15-13*ORÇAMENTO!$AF$7)*OFFSET(ORÇAMENTO!$W$15,ROW(AU297)-ROW(AU$15),0),15-13*ORÇAMENTO!$AF$11)),0)</f>
        <v>0</v>
      </c>
      <c r="AV297" s="545">
        <f ca="1">IF(AND($D297="Serviço",AV$12&lt;&gt;0,$H297&gt;0,OR(AUTOEVENTO&lt;&gt;"manual",$M297&lt;&gt;1)),
IF(Import.TipoArredondamento&lt;&gt;"TransfereGOV",
ROUND(OFFSET($P297,0,AV$13),15-13*ORÇAMENTO!$AF$7)/$H297*OFFSET(ORÇAMENTO!$X$15,ROW(AV297)-ROW(AV$15),0),
ROUND(ROUND(OFFSET($P297,0,AV$13),15-13*ORÇAMENTO!$AF$7)*OFFSET(ORÇAMENTO!$W$15,ROW(AV297)-ROW(AV$15),0),15-13*ORÇAMENTO!$AF$11)),0)</f>
        <v>0</v>
      </c>
      <c r="AW297" s="545">
        <f ca="1">IF(AND($D297="Serviço",AW$12&lt;&gt;0,$H297&gt;0,OR(AUTOEVENTO&lt;&gt;"manual",$M297&lt;&gt;1)),
IF(Import.TipoArredondamento&lt;&gt;"TransfereGOV",
ROUND(OFFSET($P297,0,AW$13),15-13*ORÇAMENTO!$AF$7)/$H297*OFFSET(ORÇAMENTO!$X$15,ROW(AW297)-ROW(AW$15),0),
ROUND(ROUND(OFFSET($P297,0,AW$13),15-13*ORÇAMENTO!$AF$7)*OFFSET(ORÇAMENTO!$W$15,ROW(AW297)-ROW(AW$15),0),15-13*ORÇAMENTO!$AF$11)),0)</f>
        <v>0</v>
      </c>
      <c r="AX297" s="545">
        <f ca="1">IF(AND($D297="Serviço",AX$12&lt;&gt;0,$H297&gt;0,OR(AUTOEVENTO&lt;&gt;"manual",$M297&lt;&gt;1)),
IF(Import.TipoArredondamento&lt;&gt;"TransfereGOV",
ROUND(OFFSET($P297,0,AX$13),15-13*ORÇAMENTO!$AF$7)/$H297*OFFSET(ORÇAMENTO!$X$15,ROW(AX297)-ROW(AX$15),0),
ROUND(ROUND(OFFSET($P297,0,AX$13),15-13*ORÇAMENTO!$AF$7)*OFFSET(ORÇAMENTO!$W$15,ROW(AX297)-ROW(AX$15),0),15-13*ORÇAMENTO!$AF$11)),0)</f>
        <v>0</v>
      </c>
      <c r="AY297" s="545">
        <f ca="1">IF(AND($D297="Serviço",AY$12&lt;&gt;0,$H297&gt;0,OR(AUTOEVENTO&lt;&gt;"manual",$M297&lt;&gt;1)),
IF(Import.TipoArredondamento&lt;&gt;"TransfereGOV",
ROUND(OFFSET($P297,0,AY$13),15-13*ORÇAMENTO!$AF$7)/$H297*OFFSET(ORÇAMENTO!$X$15,ROW(AY297)-ROW(AY$15),0),
ROUND(ROUND(OFFSET($P297,0,AY$13),15-13*ORÇAMENTO!$AF$7)*OFFSET(ORÇAMENTO!$W$15,ROW(AY297)-ROW(AY$15),0),15-13*ORÇAMENTO!$AF$11)),0)</f>
        <v>0</v>
      </c>
      <c r="AZ297" s="545">
        <f ca="1">IF(AND($D297="Serviço",AZ$12&lt;&gt;0,$H297&gt;0,OR(AUTOEVENTO&lt;&gt;"manual",$M297&lt;&gt;1)),
IF(Import.TipoArredondamento&lt;&gt;"TransfereGOV",
ROUND(OFFSET($P297,0,AZ$13),15-13*ORÇAMENTO!$AF$7)/$H297*OFFSET(ORÇAMENTO!$X$15,ROW(AZ297)-ROW(AZ$15),0),
ROUND(ROUND(OFFSET($P297,0,AZ$13),15-13*ORÇAMENTO!$AF$7)*OFFSET(ORÇAMENTO!$W$15,ROW(AZ297)-ROW(AZ$15),0),15-13*ORÇAMENTO!$AF$11)),0)</f>
        <v>0</v>
      </c>
      <c r="BA297" s="546">
        <f ca="1">IF(AND($D297="Serviço",BA$12&lt;&gt;0,$H297&gt;0,OR(AUTOEVENTO&lt;&gt;"manual",$M297&lt;&gt;1)),
IF(Import.TipoArredondamento&lt;&gt;"TransfereGOV",
ROUND(OFFSET($P297,0,BA$13),15-13*ORÇAMENTO!$AF$7)/$H297*OFFSET(ORÇAMENTO!$X$15,ROW(BA297)-ROW(BA$15),0),
ROUND(ROUND(OFFSET($P297,0,BA$13),15-13*ORÇAMENTO!$AF$7)*OFFSET(ORÇAMENTO!$W$15,ROW(BA297)-ROW(BA$15),0),15-13*ORÇAMENTO!$AF$11)),0)</f>
        <v>0</v>
      </c>
      <c r="BC297" s="181">
        <f ca="1">IF($D297&lt;&gt;"Serviço",0,IF(AND(AUTOEVENTO="Manual",$M297=1),0,IF(OFFSET(CRONOPLE!$F$14,$M297,BC$13)="",10^12,OFFSET(CRONOPLE!$F$14,$M297,BC$13))))</f>
        <v>9</v>
      </c>
      <c r="BD297" s="181">
        <f ca="1">IF($D297&lt;&gt;"Serviço",0,IF(AND(AUTOEVENTO="Manual",$M297=1),0,IF(OFFSET(CRONOPLE!$F$14,$M297,BD$13)="",10^12,OFFSET(CRONOPLE!$F$14,$M297,BD$13))))</f>
        <v>1000000000000</v>
      </c>
      <c r="BE297" s="181">
        <f ca="1">IF($D297&lt;&gt;"Serviço",0,IF(AND(AUTOEVENTO="Manual",$M297=1),0,IF(OFFSET(CRONOPLE!$F$14,$M297,BE$13)="",10^12,OFFSET(CRONOPLE!$F$14,$M297,BE$13))))</f>
        <v>1000000000000</v>
      </c>
      <c r="BF297" s="181">
        <f ca="1">IF($D297&lt;&gt;"Serviço",0,IF(AND(AUTOEVENTO="Manual",$M297=1),0,IF(OFFSET(CRONOPLE!$F$14,$M297,BF$13)="",10^12,OFFSET(CRONOPLE!$F$14,$M297,BF$13))))</f>
        <v>1000000000000</v>
      </c>
      <c r="BG297" s="181">
        <f ca="1">IF($D297&lt;&gt;"Serviço",0,IF(AND(AUTOEVENTO="Manual",$M297=1),0,IF(OFFSET(CRONOPLE!$F$14,$M297,BG$13)="",10^12,OFFSET(CRONOPLE!$F$14,$M297,BG$13))))</f>
        <v>1000000000000</v>
      </c>
      <c r="BH297" s="181">
        <f ca="1">IF($D297&lt;&gt;"Serviço",0,IF(AND(AUTOEVENTO="Manual",$M297=1),0,IF(OFFSET(CRONOPLE!$F$14,$M297,BH$13)="",10^12,OFFSET(CRONOPLE!$F$14,$M297,BH$13))))</f>
        <v>1000000000000</v>
      </c>
      <c r="BI297" s="181">
        <f ca="1">IF($D297&lt;&gt;"Serviço",0,IF(AND(AUTOEVENTO="Manual",$M297=1),0,IF(OFFSET(CRONOPLE!$F$14,$M297,BI$13)="",10^12,OFFSET(CRONOPLE!$F$14,$M297,BI$13))))</f>
        <v>1000000000000</v>
      </c>
      <c r="BJ297" s="181">
        <f ca="1">IF($D297&lt;&gt;"Serviço",0,IF(AND(AUTOEVENTO="Manual",$M297=1),0,IF(OFFSET(CRONOPLE!$F$14,$M297,BJ$13)="",10^12,OFFSET(CRONOPLE!$F$14,$M297,BJ$13))))</f>
        <v>1000000000000</v>
      </c>
      <c r="BK297" s="181">
        <f ca="1">IF($D297&lt;&gt;"Serviço",0,IF(AND(AUTOEVENTO="Manual",$M297=1),0,IF(OFFSET(CRONOPLE!$F$14,$M297,BK$13)="",10^12,OFFSET(CRONOPLE!$F$14,$M297,BK$13))))</f>
        <v>1000000000000</v>
      </c>
      <c r="BL297" s="181">
        <f ca="1">IF($D297&lt;&gt;"Serviço",0,IF(AND(AUTOEVENTO="Manual",$M297=1),0,IF(OFFSET(CRONOPLE!$F$14,$M297,BL$13)="",10^12,OFFSET(CRONOPLE!$F$14,$M297,BL$13))))</f>
        <v>1000000000000</v>
      </c>
      <c r="BM297" s="181">
        <f ca="1">IF($D297&lt;&gt;"Serviço",0,IF(AND(AUTOEVENTO="Manual",$M297=1),0,IF(OFFSET(CRONOPLE!$F$14,$M297,BM$13)="",10^12,OFFSET(CRONOPLE!$F$14,$M297,BM$13))))</f>
        <v>1000000000000</v>
      </c>
      <c r="BN297" s="181">
        <f ca="1">IF($D297&lt;&gt;"Serviço",0,IF(AND(AUTOEVENTO="Manual",$M297=1),0,IF(OFFSET(CRONOPLE!$F$14,$M297,BN$13)="",10^12,OFFSET(CRONOPLE!$F$14,$M297,BN$13))))</f>
        <v>1000000000000</v>
      </c>
      <c r="BO297" s="181">
        <f ca="1">IF($D297&lt;&gt;"Serviço",0,IF(AND(AUTOEVENTO="Manual",$M297=1),0,IF(OFFSET(CRONOPLE!$F$14,$M297,BO$13)="",10^12,OFFSET(CRONOPLE!$F$14,$M297,BO$13))))</f>
        <v>1000000000000</v>
      </c>
      <c r="BP297" s="181">
        <f ca="1">IF($D297&lt;&gt;"Serviço",0,IF(AND(AUTOEVENTO="Manual",$M297=1),0,IF(OFFSET(CRONOPLE!$F$14,$M297,BP$13)="",10^12,OFFSET(CRONOPLE!$F$14,$M297,BP$13))))</f>
        <v>1000000000000</v>
      </c>
      <c r="BQ297" s="181">
        <f ca="1">IF($D297&lt;&gt;"Serviço",0,IF(AND(AUTOEVENTO="Manual",$M297=1),0,IF(OFFSET(CRONOPLE!$F$14,$M297,BQ$13)="",10^12,OFFSET(CRONOPLE!$F$14,$M297,BQ$13))))</f>
        <v>1000000000000</v>
      </c>
      <c r="BR297" s="181">
        <f ca="1">IF($D297&lt;&gt;"Serviço",0,IF(AND(AUTOEVENTO="Manual",$M297=1),0,IF(OFFSET(CRONOPLE!$F$14,$M297,BR$13)="",10^12,OFFSET(CRONOPLE!$F$14,$M297,BR$13))))</f>
        <v>1000000000000</v>
      </c>
      <c r="BS297" s="181">
        <f ca="1">IF($D297&lt;&gt;"Serviço",0,IF(AND(AUTOEVENTO="Manual",$M297=1),0,IF(OFFSET(CRONOPLE!$F$14,$M297,BS$13)="",10^12,OFFSET(CRONOPLE!$F$14,$M297,BS$13))))</f>
        <v>1000000000000</v>
      </c>
      <c r="BT297" s="181">
        <f ca="1">IF($D297&lt;&gt;"Serviço",0,IF(AND(AUTOEVENTO="Manual",$M297=1),0,IF(OFFSET(CRONOPLE!$F$14,$M297,BT$13)="",10^12,OFFSET(CRONOPLE!$F$14,$M297,BT$13))))</f>
        <v>1000000000000</v>
      </c>
      <c r="BV297" s="182">
        <f ca="1">IF($D297&lt;&gt;"Serviço",0,IF(OR(AND(AUTOEVENTO="Manual",$M297=1),$M297&gt;(ROW(PLE.lastrow)-ROW(PLE.firstrow))),0,IF(OFFSET(PLE!$G$14,$M297,BV$13)="",10^12,OFFSET(PLE!$G$14,$M297,BV$13))))</f>
        <v>1000000000000</v>
      </c>
      <c r="BW297" s="182">
        <f ca="1">IF($D297&lt;&gt;"Serviço",0,IF(OR(AND(AUTOEVENTO="Manual",$M297=1),$M297&gt;(ROW(PLE.lastrow)-ROW(PLE.firstrow))),0,IF(OFFSET(PLE!$G$14,$M297,BW$13)="",10^12,OFFSET(PLE!$G$14,$M297,BW$13))))</f>
        <v>1000000000000</v>
      </c>
      <c r="BX297" s="182">
        <f ca="1">IF($D297&lt;&gt;"Serviço",0,IF(OR(AND(AUTOEVENTO="Manual",$M297=1),$M297&gt;(ROW(PLE.lastrow)-ROW(PLE.firstrow))),0,IF(OFFSET(PLE!$G$14,$M297,BX$13)="",10^12,OFFSET(PLE!$G$14,$M297,BX$13))))</f>
        <v>1000000000000</v>
      </c>
      <c r="BY297" s="182">
        <f ca="1">IF($D297&lt;&gt;"Serviço",0,IF(OR(AND(AUTOEVENTO="Manual",$M297=1),$M297&gt;(ROW(PLE.lastrow)-ROW(PLE.firstrow))),0,IF(OFFSET(PLE!$G$14,$M297,BY$13)="",10^12,OFFSET(PLE!$G$14,$M297,BY$13))))</f>
        <v>1000000000000</v>
      </c>
      <c r="BZ297" s="182">
        <f ca="1">IF($D297&lt;&gt;"Serviço",0,IF(OR(AND(AUTOEVENTO="Manual",$M297=1),$M297&gt;(ROW(PLE.lastrow)-ROW(PLE.firstrow))),0,IF(OFFSET(PLE!$G$14,$M297,BZ$13)="",10^12,OFFSET(PLE!$G$14,$M297,BZ$13))))</f>
        <v>1000000000000</v>
      </c>
      <c r="CA297" s="182">
        <f ca="1">IF($D297&lt;&gt;"Serviço",0,IF(OR(AND(AUTOEVENTO="Manual",$M297=1),$M297&gt;(ROW(PLE.lastrow)-ROW(PLE.firstrow))),0,IF(OFFSET(PLE!$G$14,$M297,CA$13)="",10^12,OFFSET(PLE!$G$14,$M297,CA$13))))</f>
        <v>1000000000000</v>
      </c>
      <c r="CB297" s="182">
        <f ca="1">IF($D297&lt;&gt;"Serviço",0,IF(OR(AND(AUTOEVENTO="Manual",$M297=1),$M297&gt;(ROW(PLE.lastrow)-ROW(PLE.firstrow))),0,IF(OFFSET(PLE!$G$14,$M297,CB$13)="",10^12,OFFSET(PLE!$G$14,$M297,CB$13))))</f>
        <v>1000000000000</v>
      </c>
      <c r="CC297" s="182">
        <f ca="1">IF($D297&lt;&gt;"Serviço",0,IF(OR(AND(AUTOEVENTO="Manual",$M297=1),$M297&gt;(ROW(PLE.lastrow)-ROW(PLE.firstrow))),0,IF(OFFSET(PLE!$G$14,$M297,CC$13)="",10^12,OFFSET(PLE!$G$14,$M297,CC$13))))</f>
        <v>1000000000000</v>
      </c>
      <c r="CD297" s="182">
        <f ca="1">IF($D297&lt;&gt;"Serviço",0,IF(OR(AND(AUTOEVENTO="Manual",$M297=1),$M297&gt;(ROW(PLE.lastrow)-ROW(PLE.firstrow))),0,IF(OFFSET(PLE!$G$14,$M297,CD$13)="",10^12,OFFSET(PLE!$G$14,$M297,CD$13))))</f>
        <v>1000000000000</v>
      </c>
      <c r="CE297" s="182">
        <f ca="1">IF($D297&lt;&gt;"Serviço",0,IF(OR(AND(AUTOEVENTO="Manual",$M297=1),$M297&gt;(ROW(PLE.lastrow)-ROW(PLE.firstrow))),0,IF(OFFSET(PLE!$G$14,$M297,CE$13)="",10^12,OFFSET(PLE!$G$14,$M297,CE$13))))</f>
        <v>1000000000000</v>
      </c>
      <c r="CF297" s="182">
        <f ca="1">IF($D297&lt;&gt;"Serviço",0,IF(OR(AND(AUTOEVENTO="Manual",$M297=1),$M297&gt;(ROW(PLE.lastrow)-ROW(PLE.firstrow))),0,IF(OFFSET(PLE!$G$14,$M297,CF$13)="",10^12,OFFSET(PLE!$G$14,$M297,CF$13))))</f>
        <v>1000000000000</v>
      </c>
      <c r="CG297" s="182">
        <f ca="1">IF($D297&lt;&gt;"Serviço",0,IF(OR(AND(AUTOEVENTO="Manual",$M297=1),$M297&gt;(ROW(PLE.lastrow)-ROW(PLE.firstrow))),0,IF(OFFSET(PLE!$G$14,$M297,CG$13)="",10^12,OFFSET(PLE!$G$14,$M297,CG$13))))</f>
        <v>1000000000000</v>
      </c>
      <c r="CH297" s="182">
        <f ca="1">IF($D297&lt;&gt;"Serviço",0,IF(OR(AND(AUTOEVENTO="Manual",$M297=1),$M297&gt;(ROW(PLE.lastrow)-ROW(PLE.firstrow))),0,IF(OFFSET(PLE!$G$14,$M297,CH$13)="",10^12,OFFSET(PLE!$G$14,$M297,CH$13))))</f>
        <v>1000000000000</v>
      </c>
      <c r="CI297" s="182">
        <f ca="1">IF($D297&lt;&gt;"Serviço",0,IF(OR(AND(AUTOEVENTO="Manual",$M297=1),$M297&gt;(ROW(PLE.lastrow)-ROW(PLE.firstrow))),0,IF(OFFSET(PLE!$G$14,$M297,CI$13)="",10^12,OFFSET(PLE!$G$14,$M297,CI$13))))</f>
        <v>1000000000000</v>
      </c>
      <c r="CJ297" s="182">
        <f ca="1">IF($D297&lt;&gt;"Serviço",0,IF(OR(AND(AUTOEVENTO="Manual",$M297=1),$M297&gt;(ROW(PLE.lastrow)-ROW(PLE.firstrow))),0,IF(OFFSET(PLE!$G$14,$M297,CJ$13)="",10^12,OFFSET(PLE!$G$14,$M297,CJ$13))))</f>
        <v>1000000000000</v>
      </c>
      <c r="CK297" s="182">
        <f ca="1">IF($D297&lt;&gt;"Serviço",0,IF(OR(AND(AUTOEVENTO="Manual",$M297=1),$M297&gt;(ROW(PLE.lastrow)-ROW(PLE.firstrow))),0,IF(OFFSET(PLE!$G$14,$M297,CK$13)="",10^12,OFFSET(PLE!$G$14,$M297,CK$13))))</f>
        <v>1000000000000</v>
      </c>
      <c r="CL297" s="182">
        <f ca="1">IF($D297&lt;&gt;"Serviço",0,IF(OR(AND(AUTOEVENTO="Manual",$M297=1),$M297&gt;(ROW(PLE.lastrow)-ROW(PLE.firstrow))),0,IF(OFFSET(PLE!$G$14,$M297,CL$13)="",10^12,OFFSET(PLE!$G$14,$M297,CL$13))))</f>
        <v>1000000000000</v>
      </c>
      <c r="CM297" s="182">
        <f ca="1">IF($D297&lt;&gt;"Serviço",0,IF(OR(AND(AUTOEVENTO="Manual",$M297=1),$M297&gt;(ROW(PLE.lastrow)-ROW(PLE.firstrow))),0,IF(OFFSET(PLE!$G$14,$M297,CM$13)="",10^12,OFFSET(PLE!$G$14,$M297,CM$13))))</f>
        <v>1000000000000</v>
      </c>
    </row>
    <row r="298" spans="1:91" ht="38.25" x14ac:dyDescent="0.2">
      <c r="A298" s="7" t="str">
        <f t="shared" ca="1" si="12"/>
        <v>280</v>
      </c>
      <c r="B298" s="7" t="str">
        <f ca="1">OFFSET(ORÇAMENTO!C$15,ROW(B298)-ROW(B$15),0)</f>
        <v>S</v>
      </c>
      <c r="C298" s="7" t="str">
        <f ca="1">OFFSET(ORÇAMENTO!L$15,ROW(C298)-ROW(C$15),0)</f>
        <v/>
      </c>
      <c r="D298" s="118" t="str">
        <f ca="1">OFFSET(ORÇAMENTO!N$15,ROW(D298)-ROW(D$15),0)</f>
        <v>Serviço</v>
      </c>
      <c r="E298" s="119" t="str">
        <f ca="1">OFFSET(ORÇAMENTO!O$15,ROW(E298)-ROW(E$15),0)</f>
        <v>-</v>
      </c>
      <c r="F298" s="172" t="str">
        <f ca="1">OFFSET(ORÇAMENTO!R$15,ROW(F298)-ROW(F$15),0)</f>
        <v>(abra o arquivo 'Referência 06-2024.xlsm)</v>
      </c>
      <c r="G298" s="173" t="str">
        <f ca="1">IF($D298&lt;&gt;"Serviço","",OFFSET(ORÇAMENTO!S$15,ROW(G298)-ROW(G$15),0))</f>
        <v>-</v>
      </c>
      <c r="H298" s="124">
        <f ca="1">IF($D298&lt;&gt;"Serviço",0,IF(ACOMPANHAMENTO="BM",ROUND(OFFSET(ORÇAMENTO!AJ$15,ROW(H298)-ROW(H$15),0),15-13*ORÇAMENTO!$AF$7),SUMPRODUCT(($Q$12:$AI$12&lt;&gt;"")*ROUND($Q298:$AI298,15-13*ORÇAMENTO!$AF$7))))</f>
        <v>10</v>
      </c>
      <c r="I298" s="561" t="s">
        <v>1107</v>
      </c>
      <c r="K298" s="174"/>
      <c r="L298" s="175" t="s">
        <v>255</v>
      </c>
      <c r="M298" s="176">
        <f ca="1">IF($D298&lt;&gt;"Serviço","",IF(AUTOEVENTO="manual",$A298,IF(ISERROR(MATCH($A298,$A$15:OFFSET($A298,-1,0),0)),MAX($M$15:OFFSET(M298,-1,0))+1,INDEX($M$15:OFFSET(M298,-1,0),MATCH($A298,$A$15:OFFSET($A298,-1,0),0)))))</f>
        <v>38</v>
      </c>
      <c r="N298" s="177" t="str">
        <f ca="1">IF($D298&lt;&gt;"Serviço","",IF(AUTOEVENTO="Manual",IF($A298=0,"&lt;-- defina o número do agrupador",OFFSET(EVENTOS!$D$14,$A298,0)),OFFSET($F$15,$A298,0)))</f>
        <v>INSTALAÇÃO HIDRÁULICA - SISTEMA DE REUSO DE ÁGUA</v>
      </c>
      <c r="O298" s="178"/>
      <c r="Q298" s="178">
        <v>10</v>
      </c>
      <c r="R298" s="179"/>
      <c r="S298" s="179"/>
      <c r="T298" s="179"/>
      <c r="U298" s="179"/>
      <c r="V298" s="179"/>
      <c r="W298" s="179"/>
      <c r="X298" s="179"/>
      <c r="Y298" s="179"/>
      <c r="Z298" s="180"/>
      <c r="AA298" s="179"/>
      <c r="AB298" s="179"/>
      <c r="AC298" s="179"/>
      <c r="AD298" s="179"/>
      <c r="AE298" s="179"/>
      <c r="AF298" s="179"/>
      <c r="AG298" s="179"/>
      <c r="AH298" s="180"/>
      <c r="AJ298" s="544">
        <f ca="1">IF(AND($D298="Serviço",AJ$12&lt;&gt;0,$H298&gt;0,OR(AUTOEVENTO&lt;&gt;"manual",$M298&lt;&gt;1)),
IF(Import.TipoArredondamento&lt;&gt;"TransfereGOV",
ROUND(OFFSET($P298,0,AJ$13),15-13*ORÇAMENTO!$AF$7)/$H298*OFFSET(ORÇAMENTO!$X$15,ROW(AJ298)-ROW(AJ$15),0),
ROUND(ROUND(OFFSET($P298,0,AJ$13),15-13*ORÇAMENTO!$AF$7)*OFFSET(ORÇAMENTO!$W$15,ROW(AJ298)-ROW(AJ$15),0),15-13*ORÇAMENTO!$AF$11)),0)</f>
        <v>0</v>
      </c>
      <c r="AK298" s="545">
        <f ca="1">IF(AND($D298="Serviço",AK$12&lt;&gt;0,$H298&gt;0,OR(AUTOEVENTO&lt;&gt;"manual",$M298&lt;&gt;1)),
IF(Import.TipoArredondamento&lt;&gt;"TransfereGOV",
ROUND(OFFSET($P298,0,AK$13),15-13*ORÇAMENTO!$AF$7)/$H298*OFFSET(ORÇAMENTO!$X$15,ROW(AK298)-ROW(AK$15),0),
ROUND(ROUND(OFFSET($P298,0,AK$13),15-13*ORÇAMENTO!$AF$7)*OFFSET(ORÇAMENTO!$W$15,ROW(AK298)-ROW(AK$15),0),15-13*ORÇAMENTO!$AF$11)),0)</f>
        <v>0</v>
      </c>
      <c r="AL298" s="545">
        <f ca="1">IF(AND($D298="Serviço",AL$12&lt;&gt;0,$H298&gt;0,OR(AUTOEVENTO&lt;&gt;"manual",$M298&lt;&gt;1)),
IF(Import.TipoArredondamento&lt;&gt;"TransfereGOV",
ROUND(OFFSET($P298,0,AL$13),15-13*ORÇAMENTO!$AF$7)/$H298*OFFSET(ORÇAMENTO!$X$15,ROW(AL298)-ROW(AL$15),0),
ROUND(ROUND(OFFSET($P298,0,AL$13),15-13*ORÇAMENTO!$AF$7)*OFFSET(ORÇAMENTO!$W$15,ROW(AL298)-ROW(AL$15),0),15-13*ORÇAMENTO!$AF$11)),0)</f>
        <v>0</v>
      </c>
      <c r="AM298" s="545">
        <f ca="1">IF(AND($D298="Serviço",AM$12&lt;&gt;0,$H298&gt;0,OR(AUTOEVENTO&lt;&gt;"manual",$M298&lt;&gt;1)),
IF(Import.TipoArredondamento&lt;&gt;"TransfereGOV",
ROUND(OFFSET($P298,0,AM$13),15-13*ORÇAMENTO!$AF$7)/$H298*OFFSET(ORÇAMENTO!$X$15,ROW(AM298)-ROW(AM$15),0),
ROUND(ROUND(OFFSET($P298,0,AM$13),15-13*ORÇAMENTO!$AF$7)*OFFSET(ORÇAMENTO!$W$15,ROW(AM298)-ROW(AM$15),0),15-13*ORÇAMENTO!$AF$11)),0)</f>
        <v>0</v>
      </c>
      <c r="AN298" s="545">
        <f ca="1">IF(AND($D298="Serviço",AN$12&lt;&gt;0,$H298&gt;0,OR(AUTOEVENTO&lt;&gt;"manual",$M298&lt;&gt;1)),
IF(Import.TipoArredondamento&lt;&gt;"TransfereGOV",
ROUND(OFFSET($P298,0,AN$13),15-13*ORÇAMENTO!$AF$7)/$H298*OFFSET(ORÇAMENTO!$X$15,ROW(AN298)-ROW(AN$15),0),
ROUND(ROUND(OFFSET($P298,0,AN$13),15-13*ORÇAMENTO!$AF$7)*OFFSET(ORÇAMENTO!$W$15,ROW(AN298)-ROW(AN$15),0),15-13*ORÇAMENTO!$AF$11)),0)</f>
        <v>0</v>
      </c>
      <c r="AO298" s="545">
        <f ca="1">IF(AND($D298="Serviço",AO$12&lt;&gt;0,$H298&gt;0,OR(AUTOEVENTO&lt;&gt;"manual",$M298&lt;&gt;1)),
IF(Import.TipoArredondamento&lt;&gt;"TransfereGOV",
ROUND(OFFSET($P298,0,AO$13),15-13*ORÇAMENTO!$AF$7)/$H298*OFFSET(ORÇAMENTO!$X$15,ROW(AO298)-ROW(AO$15),0),
ROUND(ROUND(OFFSET($P298,0,AO$13),15-13*ORÇAMENTO!$AF$7)*OFFSET(ORÇAMENTO!$W$15,ROW(AO298)-ROW(AO$15),0),15-13*ORÇAMENTO!$AF$11)),0)</f>
        <v>0</v>
      </c>
      <c r="AP298" s="545">
        <f ca="1">IF(AND($D298="Serviço",AP$12&lt;&gt;0,$H298&gt;0,OR(AUTOEVENTO&lt;&gt;"manual",$M298&lt;&gt;1)),
IF(Import.TipoArredondamento&lt;&gt;"TransfereGOV",
ROUND(OFFSET($P298,0,AP$13),15-13*ORÇAMENTO!$AF$7)/$H298*OFFSET(ORÇAMENTO!$X$15,ROW(AP298)-ROW(AP$15),0),
ROUND(ROUND(OFFSET($P298,0,AP$13),15-13*ORÇAMENTO!$AF$7)*OFFSET(ORÇAMENTO!$W$15,ROW(AP298)-ROW(AP$15),0),15-13*ORÇAMENTO!$AF$11)),0)</f>
        <v>0</v>
      </c>
      <c r="AQ298" s="545">
        <f ca="1">IF(AND($D298="Serviço",AQ$12&lt;&gt;0,$H298&gt;0,OR(AUTOEVENTO&lt;&gt;"manual",$M298&lt;&gt;1)),
IF(Import.TipoArredondamento&lt;&gt;"TransfereGOV",
ROUND(OFFSET($P298,0,AQ$13),15-13*ORÇAMENTO!$AF$7)/$H298*OFFSET(ORÇAMENTO!$X$15,ROW(AQ298)-ROW(AQ$15),0),
ROUND(ROUND(OFFSET($P298,0,AQ$13),15-13*ORÇAMENTO!$AF$7)*OFFSET(ORÇAMENTO!$W$15,ROW(AQ298)-ROW(AQ$15),0),15-13*ORÇAMENTO!$AF$11)),0)</f>
        <v>0</v>
      </c>
      <c r="AR298" s="545">
        <f ca="1">IF(AND($D298="Serviço",AR$12&lt;&gt;0,$H298&gt;0,OR(AUTOEVENTO&lt;&gt;"manual",$M298&lt;&gt;1)),
IF(Import.TipoArredondamento&lt;&gt;"TransfereGOV",
ROUND(OFFSET($P298,0,AR$13),15-13*ORÇAMENTO!$AF$7)/$H298*OFFSET(ORÇAMENTO!$X$15,ROW(AR298)-ROW(AR$15),0),
ROUND(ROUND(OFFSET($P298,0,AR$13),15-13*ORÇAMENTO!$AF$7)*OFFSET(ORÇAMENTO!$W$15,ROW(AR298)-ROW(AR$15),0),15-13*ORÇAMENTO!$AF$11)),0)</f>
        <v>0</v>
      </c>
      <c r="AS298" s="546">
        <f ca="1">IF(AND($D298="Serviço",AS$12&lt;&gt;0,$H298&gt;0,OR(AUTOEVENTO&lt;&gt;"manual",$M298&lt;&gt;1)),
IF(Import.TipoArredondamento&lt;&gt;"TransfereGOV",
ROUND(OFFSET($P298,0,AS$13),15-13*ORÇAMENTO!$AF$7)/$H298*OFFSET(ORÇAMENTO!$X$15,ROW(AS298)-ROW(AS$15),0),
ROUND(ROUND(OFFSET($P298,0,AS$13),15-13*ORÇAMENTO!$AF$7)*OFFSET(ORÇAMENTO!$W$15,ROW(AS298)-ROW(AS$15),0),15-13*ORÇAMENTO!$AF$11)),0)</f>
        <v>0</v>
      </c>
      <c r="AT298" s="545">
        <f ca="1">IF(AND($D298="Serviço",AT$12&lt;&gt;0,$H298&gt;0,OR(AUTOEVENTO&lt;&gt;"manual",$M298&lt;&gt;1)),
IF(Import.TipoArredondamento&lt;&gt;"TransfereGOV",
ROUND(OFFSET($P298,0,AT$13),15-13*ORÇAMENTO!$AF$7)/$H298*OFFSET(ORÇAMENTO!$X$15,ROW(AT298)-ROW(AT$15),0),
ROUND(ROUND(OFFSET($P298,0,AT$13),15-13*ORÇAMENTO!$AF$7)*OFFSET(ORÇAMENTO!$W$15,ROW(AT298)-ROW(AT$15),0),15-13*ORÇAMENTO!$AF$11)),0)</f>
        <v>0</v>
      </c>
      <c r="AU298" s="545">
        <f ca="1">IF(AND($D298="Serviço",AU$12&lt;&gt;0,$H298&gt;0,OR(AUTOEVENTO&lt;&gt;"manual",$M298&lt;&gt;1)),
IF(Import.TipoArredondamento&lt;&gt;"TransfereGOV",
ROUND(OFFSET($P298,0,AU$13),15-13*ORÇAMENTO!$AF$7)/$H298*OFFSET(ORÇAMENTO!$X$15,ROW(AU298)-ROW(AU$15),0),
ROUND(ROUND(OFFSET($P298,0,AU$13),15-13*ORÇAMENTO!$AF$7)*OFFSET(ORÇAMENTO!$W$15,ROW(AU298)-ROW(AU$15),0),15-13*ORÇAMENTO!$AF$11)),0)</f>
        <v>0</v>
      </c>
      <c r="AV298" s="545">
        <f ca="1">IF(AND($D298="Serviço",AV$12&lt;&gt;0,$H298&gt;0,OR(AUTOEVENTO&lt;&gt;"manual",$M298&lt;&gt;1)),
IF(Import.TipoArredondamento&lt;&gt;"TransfereGOV",
ROUND(OFFSET($P298,0,AV$13),15-13*ORÇAMENTO!$AF$7)/$H298*OFFSET(ORÇAMENTO!$X$15,ROW(AV298)-ROW(AV$15),0),
ROUND(ROUND(OFFSET($P298,0,AV$13),15-13*ORÇAMENTO!$AF$7)*OFFSET(ORÇAMENTO!$W$15,ROW(AV298)-ROW(AV$15),0),15-13*ORÇAMENTO!$AF$11)),0)</f>
        <v>0</v>
      </c>
      <c r="AW298" s="545">
        <f ca="1">IF(AND($D298="Serviço",AW$12&lt;&gt;0,$H298&gt;0,OR(AUTOEVENTO&lt;&gt;"manual",$M298&lt;&gt;1)),
IF(Import.TipoArredondamento&lt;&gt;"TransfereGOV",
ROUND(OFFSET($P298,0,AW$13),15-13*ORÇAMENTO!$AF$7)/$H298*OFFSET(ORÇAMENTO!$X$15,ROW(AW298)-ROW(AW$15),0),
ROUND(ROUND(OFFSET($P298,0,AW$13),15-13*ORÇAMENTO!$AF$7)*OFFSET(ORÇAMENTO!$W$15,ROW(AW298)-ROW(AW$15),0),15-13*ORÇAMENTO!$AF$11)),0)</f>
        <v>0</v>
      </c>
      <c r="AX298" s="545">
        <f ca="1">IF(AND($D298="Serviço",AX$12&lt;&gt;0,$H298&gt;0,OR(AUTOEVENTO&lt;&gt;"manual",$M298&lt;&gt;1)),
IF(Import.TipoArredondamento&lt;&gt;"TransfereGOV",
ROUND(OFFSET($P298,0,AX$13),15-13*ORÇAMENTO!$AF$7)/$H298*OFFSET(ORÇAMENTO!$X$15,ROW(AX298)-ROW(AX$15),0),
ROUND(ROUND(OFFSET($P298,0,AX$13),15-13*ORÇAMENTO!$AF$7)*OFFSET(ORÇAMENTO!$W$15,ROW(AX298)-ROW(AX$15),0),15-13*ORÇAMENTO!$AF$11)),0)</f>
        <v>0</v>
      </c>
      <c r="AY298" s="545">
        <f ca="1">IF(AND($D298="Serviço",AY$12&lt;&gt;0,$H298&gt;0,OR(AUTOEVENTO&lt;&gt;"manual",$M298&lt;&gt;1)),
IF(Import.TipoArredondamento&lt;&gt;"TransfereGOV",
ROUND(OFFSET($P298,0,AY$13),15-13*ORÇAMENTO!$AF$7)/$H298*OFFSET(ORÇAMENTO!$X$15,ROW(AY298)-ROW(AY$15),0),
ROUND(ROUND(OFFSET($P298,0,AY$13),15-13*ORÇAMENTO!$AF$7)*OFFSET(ORÇAMENTO!$W$15,ROW(AY298)-ROW(AY$15),0),15-13*ORÇAMENTO!$AF$11)),0)</f>
        <v>0</v>
      </c>
      <c r="AZ298" s="545">
        <f ca="1">IF(AND($D298="Serviço",AZ$12&lt;&gt;0,$H298&gt;0,OR(AUTOEVENTO&lt;&gt;"manual",$M298&lt;&gt;1)),
IF(Import.TipoArredondamento&lt;&gt;"TransfereGOV",
ROUND(OFFSET($P298,0,AZ$13),15-13*ORÇAMENTO!$AF$7)/$H298*OFFSET(ORÇAMENTO!$X$15,ROW(AZ298)-ROW(AZ$15),0),
ROUND(ROUND(OFFSET($P298,0,AZ$13),15-13*ORÇAMENTO!$AF$7)*OFFSET(ORÇAMENTO!$W$15,ROW(AZ298)-ROW(AZ$15),0),15-13*ORÇAMENTO!$AF$11)),0)</f>
        <v>0</v>
      </c>
      <c r="BA298" s="546">
        <f ca="1">IF(AND($D298="Serviço",BA$12&lt;&gt;0,$H298&gt;0,OR(AUTOEVENTO&lt;&gt;"manual",$M298&lt;&gt;1)),
IF(Import.TipoArredondamento&lt;&gt;"TransfereGOV",
ROUND(OFFSET($P298,0,BA$13),15-13*ORÇAMENTO!$AF$7)/$H298*OFFSET(ORÇAMENTO!$X$15,ROW(BA298)-ROW(BA$15),0),
ROUND(ROUND(OFFSET($P298,0,BA$13),15-13*ORÇAMENTO!$AF$7)*OFFSET(ORÇAMENTO!$W$15,ROW(BA298)-ROW(BA$15),0),15-13*ORÇAMENTO!$AF$11)),0)</f>
        <v>0</v>
      </c>
      <c r="BC298" s="181">
        <f ca="1">IF($D298&lt;&gt;"Serviço",0,IF(AND(AUTOEVENTO="Manual",$M298=1),0,IF(OFFSET(CRONOPLE!$F$14,$M298,BC$13)="",10^12,OFFSET(CRONOPLE!$F$14,$M298,BC$13))))</f>
        <v>9</v>
      </c>
      <c r="BD298" s="181">
        <f ca="1">IF($D298&lt;&gt;"Serviço",0,IF(AND(AUTOEVENTO="Manual",$M298=1),0,IF(OFFSET(CRONOPLE!$F$14,$M298,BD$13)="",10^12,OFFSET(CRONOPLE!$F$14,$M298,BD$13))))</f>
        <v>1000000000000</v>
      </c>
      <c r="BE298" s="181">
        <f ca="1">IF($D298&lt;&gt;"Serviço",0,IF(AND(AUTOEVENTO="Manual",$M298=1),0,IF(OFFSET(CRONOPLE!$F$14,$M298,BE$13)="",10^12,OFFSET(CRONOPLE!$F$14,$M298,BE$13))))</f>
        <v>1000000000000</v>
      </c>
      <c r="BF298" s="181">
        <f ca="1">IF($D298&lt;&gt;"Serviço",0,IF(AND(AUTOEVENTO="Manual",$M298=1),0,IF(OFFSET(CRONOPLE!$F$14,$M298,BF$13)="",10^12,OFFSET(CRONOPLE!$F$14,$M298,BF$13))))</f>
        <v>1000000000000</v>
      </c>
      <c r="BG298" s="181">
        <f ca="1">IF($D298&lt;&gt;"Serviço",0,IF(AND(AUTOEVENTO="Manual",$M298=1),0,IF(OFFSET(CRONOPLE!$F$14,$M298,BG$13)="",10^12,OFFSET(CRONOPLE!$F$14,$M298,BG$13))))</f>
        <v>1000000000000</v>
      </c>
      <c r="BH298" s="181">
        <f ca="1">IF($D298&lt;&gt;"Serviço",0,IF(AND(AUTOEVENTO="Manual",$M298=1),0,IF(OFFSET(CRONOPLE!$F$14,$M298,BH$13)="",10^12,OFFSET(CRONOPLE!$F$14,$M298,BH$13))))</f>
        <v>1000000000000</v>
      </c>
      <c r="BI298" s="181">
        <f ca="1">IF($D298&lt;&gt;"Serviço",0,IF(AND(AUTOEVENTO="Manual",$M298=1),0,IF(OFFSET(CRONOPLE!$F$14,$M298,BI$13)="",10^12,OFFSET(CRONOPLE!$F$14,$M298,BI$13))))</f>
        <v>1000000000000</v>
      </c>
      <c r="BJ298" s="181">
        <f ca="1">IF($D298&lt;&gt;"Serviço",0,IF(AND(AUTOEVENTO="Manual",$M298=1),0,IF(OFFSET(CRONOPLE!$F$14,$M298,BJ$13)="",10^12,OFFSET(CRONOPLE!$F$14,$M298,BJ$13))))</f>
        <v>1000000000000</v>
      </c>
      <c r="BK298" s="181">
        <f ca="1">IF($D298&lt;&gt;"Serviço",0,IF(AND(AUTOEVENTO="Manual",$M298=1),0,IF(OFFSET(CRONOPLE!$F$14,$M298,BK$13)="",10^12,OFFSET(CRONOPLE!$F$14,$M298,BK$13))))</f>
        <v>1000000000000</v>
      </c>
      <c r="BL298" s="181">
        <f ca="1">IF($D298&lt;&gt;"Serviço",0,IF(AND(AUTOEVENTO="Manual",$M298=1),0,IF(OFFSET(CRONOPLE!$F$14,$M298,BL$13)="",10^12,OFFSET(CRONOPLE!$F$14,$M298,BL$13))))</f>
        <v>1000000000000</v>
      </c>
      <c r="BM298" s="181">
        <f ca="1">IF($D298&lt;&gt;"Serviço",0,IF(AND(AUTOEVENTO="Manual",$M298=1),0,IF(OFFSET(CRONOPLE!$F$14,$M298,BM$13)="",10^12,OFFSET(CRONOPLE!$F$14,$M298,BM$13))))</f>
        <v>1000000000000</v>
      </c>
      <c r="BN298" s="181">
        <f ca="1">IF($D298&lt;&gt;"Serviço",0,IF(AND(AUTOEVENTO="Manual",$M298=1),0,IF(OFFSET(CRONOPLE!$F$14,$M298,BN$13)="",10^12,OFFSET(CRONOPLE!$F$14,$M298,BN$13))))</f>
        <v>1000000000000</v>
      </c>
      <c r="BO298" s="181">
        <f ca="1">IF($D298&lt;&gt;"Serviço",0,IF(AND(AUTOEVENTO="Manual",$M298=1),0,IF(OFFSET(CRONOPLE!$F$14,$M298,BO$13)="",10^12,OFFSET(CRONOPLE!$F$14,$M298,BO$13))))</f>
        <v>1000000000000</v>
      </c>
      <c r="BP298" s="181">
        <f ca="1">IF($D298&lt;&gt;"Serviço",0,IF(AND(AUTOEVENTO="Manual",$M298=1),0,IF(OFFSET(CRONOPLE!$F$14,$M298,BP$13)="",10^12,OFFSET(CRONOPLE!$F$14,$M298,BP$13))))</f>
        <v>1000000000000</v>
      </c>
      <c r="BQ298" s="181">
        <f ca="1">IF($D298&lt;&gt;"Serviço",0,IF(AND(AUTOEVENTO="Manual",$M298=1),0,IF(OFFSET(CRONOPLE!$F$14,$M298,BQ$13)="",10^12,OFFSET(CRONOPLE!$F$14,$M298,BQ$13))))</f>
        <v>1000000000000</v>
      </c>
      <c r="BR298" s="181">
        <f ca="1">IF($D298&lt;&gt;"Serviço",0,IF(AND(AUTOEVENTO="Manual",$M298=1),0,IF(OFFSET(CRONOPLE!$F$14,$M298,BR$13)="",10^12,OFFSET(CRONOPLE!$F$14,$M298,BR$13))))</f>
        <v>1000000000000</v>
      </c>
      <c r="BS298" s="181">
        <f ca="1">IF($D298&lt;&gt;"Serviço",0,IF(AND(AUTOEVENTO="Manual",$M298=1),0,IF(OFFSET(CRONOPLE!$F$14,$M298,BS$13)="",10^12,OFFSET(CRONOPLE!$F$14,$M298,BS$13))))</f>
        <v>1000000000000</v>
      </c>
      <c r="BT298" s="181">
        <f ca="1">IF($D298&lt;&gt;"Serviço",0,IF(AND(AUTOEVENTO="Manual",$M298=1),0,IF(OFFSET(CRONOPLE!$F$14,$M298,BT$13)="",10^12,OFFSET(CRONOPLE!$F$14,$M298,BT$13))))</f>
        <v>1000000000000</v>
      </c>
      <c r="BV298" s="182">
        <f ca="1">IF($D298&lt;&gt;"Serviço",0,IF(OR(AND(AUTOEVENTO="Manual",$M298=1),$M298&gt;(ROW(PLE.lastrow)-ROW(PLE.firstrow))),0,IF(OFFSET(PLE!$G$14,$M298,BV$13)="",10^12,OFFSET(PLE!$G$14,$M298,BV$13))))</f>
        <v>1000000000000</v>
      </c>
      <c r="BW298" s="182">
        <f ca="1">IF($D298&lt;&gt;"Serviço",0,IF(OR(AND(AUTOEVENTO="Manual",$M298=1),$M298&gt;(ROW(PLE.lastrow)-ROW(PLE.firstrow))),0,IF(OFFSET(PLE!$G$14,$M298,BW$13)="",10^12,OFFSET(PLE!$G$14,$M298,BW$13))))</f>
        <v>1000000000000</v>
      </c>
      <c r="BX298" s="182">
        <f ca="1">IF($D298&lt;&gt;"Serviço",0,IF(OR(AND(AUTOEVENTO="Manual",$M298=1),$M298&gt;(ROW(PLE.lastrow)-ROW(PLE.firstrow))),0,IF(OFFSET(PLE!$G$14,$M298,BX$13)="",10^12,OFFSET(PLE!$G$14,$M298,BX$13))))</f>
        <v>1000000000000</v>
      </c>
      <c r="BY298" s="182">
        <f ca="1">IF($D298&lt;&gt;"Serviço",0,IF(OR(AND(AUTOEVENTO="Manual",$M298=1),$M298&gt;(ROW(PLE.lastrow)-ROW(PLE.firstrow))),0,IF(OFFSET(PLE!$G$14,$M298,BY$13)="",10^12,OFFSET(PLE!$G$14,$M298,BY$13))))</f>
        <v>1000000000000</v>
      </c>
      <c r="BZ298" s="182">
        <f ca="1">IF($D298&lt;&gt;"Serviço",0,IF(OR(AND(AUTOEVENTO="Manual",$M298=1),$M298&gt;(ROW(PLE.lastrow)-ROW(PLE.firstrow))),0,IF(OFFSET(PLE!$G$14,$M298,BZ$13)="",10^12,OFFSET(PLE!$G$14,$M298,BZ$13))))</f>
        <v>1000000000000</v>
      </c>
      <c r="CA298" s="182">
        <f ca="1">IF($D298&lt;&gt;"Serviço",0,IF(OR(AND(AUTOEVENTO="Manual",$M298=1),$M298&gt;(ROW(PLE.lastrow)-ROW(PLE.firstrow))),0,IF(OFFSET(PLE!$G$14,$M298,CA$13)="",10^12,OFFSET(PLE!$G$14,$M298,CA$13))))</f>
        <v>1000000000000</v>
      </c>
      <c r="CB298" s="182">
        <f ca="1">IF($D298&lt;&gt;"Serviço",0,IF(OR(AND(AUTOEVENTO="Manual",$M298=1),$M298&gt;(ROW(PLE.lastrow)-ROW(PLE.firstrow))),0,IF(OFFSET(PLE!$G$14,$M298,CB$13)="",10^12,OFFSET(PLE!$G$14,$M298,CB$13))))</f>
        <v>1000000000000</v>
      </c>
      <c r="CC298" s="182">
        <f ca="1">IF($D298&lt;&gt;"Serviço",0,IF(OR(AND(AUTOEVENTO="Manual",$M298=1),$M298&gt;(ROW(PLE.lastrow)-ROW(PLE.firstrow))),0,IF(OFFSET(PLE!$G$14,$M298,CC$13)="",10^12,OFFSET(PLE!$G$14,$M298,CC$13))))</f>
        <v>1000000000000</v>
      </c>
      <c r="CD298" s="182">
        <f ca="1">IF($D298&lt;&gt;"Serviço",0,IF(OR(AND(AUTOEVENTO="Manual",$M298=1),$M298&gt;(ROW(PLE.lastrow)-ROW(PLE.firstrow))),0,IF(OFFSET(PLE!$G$14,$M298,CD$13)="",10^12,OFFSET(PLE!$G$14,$M298,CD$13))))</f>
        <v>1000000000000</v>
      </c>
      <c r="CE298" s="182">
        <f ca="1">IF($D298&lt;&gt;"Serviço",0,IF(OR(AND(AUTOEVENTO="Manual",$M298=1),$M298&gt;(ROW(PLE.lastrow)-ROW(PLE.firstrow))),0,IF(OFFSET(PLE!$G$14,$M298,CE$13)="",10^12,OFFSET(PLE!$G$14,$M298,CE$13))))</f>
        <v>1000000000000</v>
      </c>
      <c r="CF298" s="182">
        <f ca="1">IF($D298&lt;&gt;"Serviço",0,IF(OR(AND(AUTOEVENTO="Manual",$M298=1),$M298&gt;(ROW(PLE.lastrow)-ROW(PLE.firstrow))),0,IF(OFFSET(PLE!$G$14,$M298,CF$13)="",10^12,OFFSET(PLE!$G$14,$M298,CF$13))))</f>
        <v>1000000000000</v>
      </c>
      <c r="CG298" s="182">
        <f ca="1">IF($D298&lt;&gt;"Serviço",0,IF(OR(AND(AUTOEVENTO="Manual",$M298=1),$M298&gt;(ROW(PLE.lastrow)-ROW(PLE.firstrow))),0,IF(OFFSET(PLE!$G$14,$M298,CG$13)="",10^12,OFFSET(PLE!$G$14,$M298,CG$13))))</f>
        <v>1000000000000</v>
      </c>
      <c r="CH298" s="182">
        <f ca="1">IF($D298&lt;&gt;"Serviço",0,IF(OR(AND(AUTOEVENTO="Manual",$M298=1),$M298&gt;(ROW(PLE.lastrow)-ROW(PLE.firstrow))),0,IF(OFFSET(PLE!$G$14,$M298,CH$13)="",10^12,OFFSET(PLE!$G$14,$M298,CH$13))))</f>
        <v>1000000000000</v>
      </c>
      <c r="CI298" s="182">
        <f ca="1">IF($D298&lt;&gt;"Serviço",0,IF(OR(AND(AUTOEVENTO="Manual",$M298=1),$M298&gt;(ROW(PLE.lastrow)-ROW(PLE.firstrow))),0,IF(OFFSET(PLE!$G$14,$M298,CI$13)="",10^12,OFFSET(PLE!$G$14,$M298,CI$13))))</f>
        <v>1000000000000</v>
      </c>
      <c r="CJ298" s="182">
        <f ca="1">IF($D298&lt;&gt;"Serviço",0,IF(OR(AND(AUTOEVENTO="Manual",$M298=1),$M298&gt;(ROW(PLE.lastrow)-ROW(PLE.firstrow))),0,IF(OFFSET(PLE!$G$14,$M298,CJ$13)="",10^12,OFFSET(PLE!$G$14,$M298,CJ$13))))</f>
        <v>1000000000000</v>
      </c>
      <c r="CK298" s="182">
        <f ca="1">IF($D298&lt;&gt;"Serviço",0,IF(OR(AND(AUTOEVENTO="Manual",$M298=1),$M298&gt;(ROW(PLE.lastrow)-ROW(PLE.firstrow))),0,IF(OFFSET(PLE!$G$14,$M298,CK$13)="",10^12,OFFSET(PLE!$G$14,$M298,CK$13))))</f>
        <v>1000000000000</v>
      </c>
      <c r="CL298" s="182">
        <f ca="1">IF($D298&lt;&gt;"Serviço",0,IF(OR(AND(AUTOEVENTO="Manual",$M298=1),$M298&gt;(ROW(PLE.lastrow)-ROW(PLE.firstrow))),0,IF(OFFSET(PLE!$G$14,$M298,CL$13)="",10^12,OFFSET(PLE!$G$14,$M298,CL$13))))</f>
        <v>1000000000000</v>
      </c>
      <c r="CM298" s="182">
        <f ca="1">IF($D298&lt;&gt;"Serviço",0,IF(OR(AND(AUTOEVENTO="Manual",$M298=1),$M298&gt;(ROW(PLE.lastrow)-ROW(PLE.firstrow))),0,IF(OFFSET(PLE!$G$14,$M298,CM$13)="",10^12,OFFSET(PLE!$G$14,$M298,CM$13))))</f>
        <v>1000000000000</v>
      </c>
    </row>
    <row r="299" spans="1:91" ht="25.5" x14ac:dyDescent="0.2">
      <c r="A299" s="7" t="str">
        <f t="shared" ca="1" si="12"/>
        <v>280</v>
      </c>
      <c r="B299" s="7" t="str">
        <f ca="1">OFFSET(ORÇAMENTO!C$15,ROW(B299)-ROW(B$15),0)</f>
        <v>S</v>
      </c>
      <c r="C299" s="7" t="str">
        <f ca="1">OFFSET(ORÇAMENTO!L$15,ROW(C299)-ROW(C$15),0)</f>
        <v/>
      </c>
      <c r="D299" s="118" t="str">
        <f ca="1">OFFSET(ORÇAMENTO!N$15,ROW(D299)-ROW(D$15),0)</f>
        <v>Serviço</v>
      </c>
      <c r="E299" s="119" t="str">
        <f ca="1">OFFSET(ORÇAMENTO!O$15,ROW(E299)-ROW(E$15),0)</f>
        <v>-</v>
      </c>
      <c r="F299" s="172" t="str">
        <f ca="1">OFFSET(ORÇAMENTO!R$15,ROW(F299)-ROW(F$15),0)</f>
        <v>(abra o arquivo 'Referência 06-2024.xlsm)</v>
      </c>
      <c r="G299" s="173" t="str">
        <f ca="1">IF($D299&lt;&gt;"Serviço","",OFFSET(ORÇAMENTO!S$15,ROW(G299)-ROW(G$15),0))</f>
        <v>-</v>
      </c>
      <c r="H299" s="124">
        <f ca="1">IF($D299&lt;&gt;"Serviço",0,IF(ACOMPANHAMENTO="BM",ROUND(OFFSET(ORÇAMENTO!AJ$15,ROW(H299)-ROW(H$15),0),15-13*ORÇAMENTO!$AF$7),SUMPRODUCT(($Q$12:$AI$12&lt;&gt;"")*ROUND($Q299:$AI299,15-13*ORÇAMENTO!$AF$7))))</f>
        <v>5</v>
      </c>
      <c r="I299" s="561" t="s">
        <v>1107</v>
      </c>
      <c r="K299" s="174"/>
      <c r="L299" s="175" t="s">
        <v>255</v>
      </c>
      <c r="M299" s="176">
        <f ca="1">IF($D299&lt;&gt;"Serviço","",IF(AUTOEVENTO="manual",$A299,IF(ISERROR(MATCH($A299,$A$15:OFFSET($A299,-1,0),0)),MAX($M$15:OFFSET(M299,-1,0))+1,INDEX($M$15:OFFSET(M299,-1,0),MATCH($A299,$A$15:OFFSET($A299,-1,0),0)))))</f>
        <v>38</v>
      </c>
      <c r="N299" s="177" t="str">
        <f ca="1">IF($D299&lt;&gt;"Serviço","",IF(AUTOEVENTO="Manual",IF($A299=0,"&lt;-- defina o número do agrupador",OFFSET(EVENTOS!$D$14,$A299,0)),OFFSET($F$15,$A299,0)))</f>
        <v>INSTALAÇÃO HIDRÁULICA - SISTEMA DE REUSO DE ÁGUA</v>
      </c>
      <c r="O299" s="178"/>
      <c r="Q299" s="178">
        <v>5</v>
      </c>
      <c r="R299" s="179"/>
      <c r="S299" s="179"/>
      <c r="T299" s="179"/>
      <c r="U299" s="179"/>
      <c r="V299" s="179"/>
      <c r="W299" s="179"/>
      <c r="X299" s="179"/>
      <c r="Y299" s="179"/>
      <c r="Z299" s="180"/>
      <c r="AA299" s="179"/>
      <c r="AB299" s="179"/>
      <c r="AC299" s="179"/>
      <c r="AD299" s="179"/>
      <c r="AE299" s="179"/>
      <c r="AF299" s="179"/>
      <c r="AG299" s="179"/>
      <c r="AH299" s="180"/>
      <c r="AJ299" s="544">
        <f ca="1">IF(AND($D299="Serviço",AJ$12&lt;&gt;0,$H299&gt;0,OR(AUTOEVENTO&lt;&gt;"manual",$M299&lt;&gt;1)),
IF(Import.TipoArredondamento&lt;&gt;"TransfereGOV",
ROUND(OFFSET($P299,0,AJ$13),15-13*ORÇAMENTO!$AF$7)/$H299*OFFSET(ORÇAMENTO!$X$15,ROW(AJ299)-ROW(AJ$15),0),
ROUND(ROUND(OFFSET($P299,0,AJ$13),15-13*ORÇAMENTO!$AF$7)*OFFSET(ORÇAMENTO!$W$15,ROW(AJ299)-ROW(AJ$15),0),15-13*ORÇAMENTO!$AF$11)),0)</f>
        <v>0</v>
      </c>
      <c r="AK299" s="545">
        <f ca="1">IF(AND($D299="Serviço",AK$12&lt;&gt;0,$H299&gt;0,OR(AUTOEVENTO&lt;&gt;"manual",$M299&lt;&gt;1)),
IF(Import.TipoArredondamento&lt;&gt;"TransfereGOV",
ROUND(OFFSET($P299,0,AK$13),15-13*ORÇAMENTO!$AF$7)/$H299*OFFSET(ORÇAMENTO!$X$15,ROW(AK299)-ROW(AK$15),0),
ROUND(ROUND(OFFSET($P299,0,AK$13),15-13*ORÇAMENTO!$AF$7)*OFFSET(ORÇAMENTO!$W$15,ROW(AK299)-ROW(AK$15),0),15-13*ORÇAMENTO!$AF$11)),0)</f>
        <v>0</v>
      </c>
      <c r="AL299" s="545">
        <f ca="1">IF(AND($D299="Serviço",AL$12&lt;&gt;0,$H299&gt;0,OR(AUTOEVENTO&lt;&gt;"manual",$M299&lt;&gt;1)),
IF(Import.TipoArredondamento&lt;&gt;"TransfereGOV",
ROUND(OFFSET($P299,0,AL$13),15-13*ORÇAMENTO!$AF$7)/$H299*OFFSET(ORÇAMENTO!$X$15,ROW(AL299)-ROW(AL$15),0),
ROUND(ROUND(OFFSET($P299,0,AL$13),15-13*ORÇAMENTO!$AF$7)*OFFSET(ORÇAMENTO!$W$15,ROW(AL299)-ROW(AL$15),0),15-13*ORÇAMENTO!$AF$11)),0)</f>
        <v>0</v>
      </c>
      <c r="AM299" s="545">
        <f ca="1">IF(AND($D299="Serviço",AM$12&lt;&gt;0,$H299&gt;0,OR(AUTOEVENTO&lt;&gt;"manual",$M299&lt;&gt;1)),
IF(Import.TipoArredondamento&lt;&gt;"TransfereGOV",
ROUND(OFFSET($P299,0,AM$13),15-13*ORÇAMENTO!$AF$7)/$H299*OFFSET(ORÇAMENTO!$X$15,ROW(AM299)-ROW(AM$15),0),
ROUND(ROUND(OFFSET($P299,0,AM$13),15-13*ORÇAMENTO!$AF$7)*OFFSET(ORÇAMENTO!$W$15,ROW(AM299)-ROW(AM$15),0),15-13*ORÇAMENTO!$AF$11)),0)</f>
        <v>0</v>
      </c>
      <c r="AN299" s="545">
        <f ca="1">IF(AND($D299="Serviço",AN$12&lt;&gt;0,$H299&gt;0,OR(AUTOEVENTO&lt;&gt;"manual",$M299&lt;&gt;1)),
IF(Import.TipoArredondamento&lt;&gt;"TransfereGOV",
ROUND(OFFSET($P299,0,AN$13),15-13*ORÇAMENTO!$AF$7)/$H299*OFFSET(ORÇAMENTO!$X$15,ROW(AN299)-ROW(AN$15),0),
ROUND(ROUND(OFFSET($P299,0,AN$13),15-13*ORÇAMENTO!$AF$7)*OFFSET(ORÇAMENTO!$W$15,ROW(AN299)-ROW(AN$15),0),15-13*ORÇAMENTO!$AF$11)),0)</f>
        <v>0</v>
      </c>
      <c r="AO299" s="545">
        <f ca="1">IF(AND($D299="Serviço",AO$12&lt;&gt;0,$H299&gt;0,OR(AUTOEVENTO&lt;&gt;"manual",$M299&lt;&gt;1)),
IF(Import.TipoArredondamento&lt;&gt;"TransfereGOV",
ROUND(OFFSET($P299,0,AO$13),15-13*ORÇAMENTO!$AF$7)/$H299*OFFSET(ORÇAMENTO!$X$15,ROW(AO299)-ROW(AO$15),0),
ROUND(ROUND(OFFSET($P299,0,AO$13),15-13*ORÇAMENTO!$AF$7)*OFFSET(ORÇAMENTO!$W$15,ROW(AO299)-ROW(AO$15),0),15-13*ORÇAMENTO!$AF$11)),0)</f>
        <v>0</v>
      </c>
      <c r="AP299" s="545">
        <f ca="1">IF(AND($D299="Serviço",AP$12&lt;&gt;0,$H299&gt;0,OR(AUTOEVENTO&lt;&gt;"manual",$M299&lt;&gt;1)),
IF(Import.TipoArredondamento&lt;&gt;"TransfereGOV",
ROUND(OFFSET($P299,0,AP$13),15-13*ORÇAMENTO!$AF$7)/$H299*OFFSET(ORÇAMENTO!$X$15,ROW(AP299)-ROW(AP$15),0),
ROUND(ROUND(OFFSET($P299,0,AP$13),15-13*ORÇAMENTO!$AF$7)*OFFSET(ORÇAMENTO!$W$15,ROW(AP299)-ROW(AP$15),0),15-13*ORÇAMENTO!$AF$11)),0)</f>
        <v>0</v>
      </c>
      <c r="AQ299" s="545">
        <f ca="1">IF(AND($D299="Serviço",AQ$12&lt;&gt;0,$H299&gt;0,OR(AUTOEVENTO&lt;&gt;"manual",$M299&lt;&gt;1)),
IF(Import.TipoArredondamento&lt;&gt;"TransfereGOV",
ROUND(OFFSET($P299,0,AQ$13),15-13*ORÇAMENTO!$AF$7)/$H299*OFFSET(ORÇAMENTO!$X$15,ROW(AQ299)-ROW(AQ$15),0),
ROUND(ROUND(OFFSET($P299,0,AQ$13),15-13*ORÇAMENTO!$AF$7)*OFFSET(ORÇAMENTO!$W$15,ROW(AQ299)-ROW(AQ$15),0),15-13*ORÇAMENTO!$AF$11)),0)</f>
        <v>0</v>
      </c>
      <c r="AR299" s="545">
        <f ca="1">IF(AND($D299="Serviço",AR$12&lt;&gt;0,$H299&gt;0,OR(AUTOEVENTO&lt;&gt;"manual",$M299&lt;&gt;1)),
IF(Import.TipoArredondamento&lt;&gt;"TransfereGOV",
ROUND(OFFSET($P299,0,AR$13),15-13*ORÇAMENTO!$AF$7)/$H299*OFFSET(ORÇAMENTO!$X$15,ROW(AR299)-ROW(AR$15),0),
ROUND(ROUND(OFFSET($P299,0,AR$13),15-13*ORÇAMENTO!$AF$7)*OFFSET(ORÇAMENTO!$W$15,ROW(AR299)-ROW(AR$15),0),15-13*ORÇAMENTO!$AF$11)),0)</f>
        <v>0</v>
      </c>
      <c r="AS299" s="546">
        <f ca="1">IF(AND($D299="Serviço",AS$12&lt;&gt;0,$H299&gt;0,OR(AUTOEVENTO&lt;&gt;"manual",$M299&lt;&gt;1)),
IF(Import.TipoArredondamento&lt;&gt;"TransfereGOV",
ROUND(OFFSET($P299,0,AS$13),15-13*ORÇAMENTO!$AF$7)/$H299*OFFSET(ORÇAMENTO!$X$15,ROW(AS299)-ROW(AS$15),0),
ROUND(ROUND(OFFSET($P299,0,AS$13),15-13*ORÇAMENTO!$AF$7)*OFFSET(ORÇAMENTO!$W$15,ROW(AS299)-ROW(AS$15),0),15-13*ORÇAMENTO!$AF$11)),0)</f>
        <v>0</v>
      </c>
      <c r="AT299" s="545">
        <f ca="1">IF(AND($D299="Serviço",AT$12&lt;&gt;0,$H299&gt;0,OR(AUTOEVENTO&lt;&gt;"manual",$M299&lt;&gt;1)),
IF(Import.TipoArredondamento&lt;&gt;"TransfereGOV",
ROUND(OFFSET($P299,0,AT$13),15-13*ORÇAMENTO!$AF$7)/$H299*OFFSET(ORÇAMENTO!$X$15,ROW(AT299)-ROW(AT$15),0),
ROUND(ROUND(OFFSET($P299,0,AT$13),15-13*ORÇAMENTO!$AF$7)*OFFSET(ORÇAMENTO!$W$15,ROW(AT299)-ROW(AT$15),0),15-13*ORÇAMENTO!$AF$11)),0)</f>
        <v>0</v>
      </c>
      <c r="AU299" s="545">
        <f ca="1">IF(AND($D299="Serviço",AU$12&lt;&gt;0,$H299&gt;0,OR(AUTOEVENTO&lt;&gt;"manual",$M299&lt;&gt;1)),
IF(Import.TipoArredondamento&lt;&gt;"TransfereGOV",
ROUND(OFFSET($P299,0,AU$13),15-13*ORÇAMENTO!$AF$7)/$H299*OFFSET(ORÇAMENTO!$X$15,ROW(AU299)-ROW(AU$15),0),
ROUND(ROUND(OFFSET($P299,0,AU$13),15-13*ORÇAMENTO!$AF$7)*OFFSET(ORÇAMENTO!$W$15,ROW(AU299)-ROW(AU$15),0),15-13*ORÇAMENTO!$AF$11)),0)</f>
        <v>0</v>
      </c>
      <c r="AV299" s="545">
        <f ca="1">IF(AND($D299="Serviço",AV$12&lt;&gt;0,$H299&gt;0,OR(AUTOEVENTO&lt;&gt;"manual",$M299&lt;&gt;1)),
IF(Import.TipoArredondamento&lt;&gt;"TransfereGOV",
ROUND(OFFSET($P299,0,AV$13),15-13*ORÇAMENTO!$AF$7)/$H299*OFFSET(ORÇAMENTO!$X$15,ROW(AV299)-ROW(AV$15),0),
ROUND(ROUND(OFFSET($P299,0,AV$13),15-13*ORÇAMENTO!$AF$7)*OFFSET(ORÇAMENTO!$W$15,ROW(AV299)-ROW(AV$15),0),15-13*ORÇAMENTO!$AF$11)),0)</f>
        <v>0</v>
      </c>
      <c r="AW299" s="545">
        <f ca="1">IF(AND($D299="Serviço",AW$12&lt;&gt;0,$H299&gt;0,OR(AUTOEVENTO&lt;&gt;"manual",$M299&lt;&gt;1)),
IF(Import.TipoArredondamento&lt;&gt;"TransfereGOV",
ROUND(OFFSET($P299,0,AW$13),15-13*ORÇAMENTO!$AF$7)/$H299*OFFSET(ORÇAMENTO!$X$15,ROW(AW299)-ROW(AW$15),0),
ROUND(ROUND(OFFSET($P299,0,AW$13),15-13*ORÇAMENTO!$AF$7)*OFFSET(ORÇAMENTO!$W$15,ROW(AW299)-ROW(AW$15),0),15-13*ORÇAMENTO!$AF$11)),0)</f>
        <v>0</v>
      </c>
      <c r="AX299" s="545">
        <f ca="1">IF(AND($D299="Serviço",AX$12&lt;&gt;0,$H299&gt;0,OR(AUTOEVENTO&lt;&gt;"manual",$M299&lt;&gt;1)),
IF(Import.TipoArredondamento&lt;&gt;"TransfereGOV",
ROUND(OFFSET($P299,0,AX$13),15-13*ORÇAMENTO!$AF$7)/$H299*OFFSET(ORÇAMENTO!$X$15,ROW(AX299)-ROW(AX$15),0),
ROUND(ROUND(OFFSET($P299,0,AX$13),15-13*ORÇAMENTO!$AF$7)*OFFSET(ORÇAMENTO!$W$15,ROW(AX299)-ROW(AX$15),0),15-13*ORÇAMENTO!$AF$11)),0)</f>
        <v>0</v>
      </c>
      <c r="AY299" s="545">
        <f ca="1">IF(AND($D299="Serviço",AY$12&lt;&gt;0,$H299&gt;0,OR(AUTOEVENTO&lt;&gt;"manual",$M299&lt;&gt;1)),
IF(Import.TipoArredondamento&lt;&gt;"TransfereGOV",
ROUND(OFFSET($P299,0,AY$13),15-13*ORÇAMENTO!$AF$7)/$H299*OFFSET(ORÇAMENTO!$X$15,ROW(AY299)-ROW(AY$15),0),
ROUND(ROUND(OFFSET($P299,0,AY$13),15-13*ORÇAMENTO!$AF$7)*OFFSET(ORÇAMENTO!$W$15,ROW(AY299)-ROW(AY$15),0),15-13*ORÇAMENTO!$AF$11)),0)</f>
        <v>0</v>
      </c>
      <c r="AZ299" s="545">
        <f ca="1">IF(AND($D299="Serviço",AZ$12&lt;&gt;0,$H299&gt;0,OR(AUTOEVENTO&lt;&gt;"manual",$M299&lt;&gt;1)),
IF(Import.TipoArredondamento&lt;&gt;"TransfereGOV",
ROUND(OFFSET($P299,0,AZ$13),15-13*ORÇAMENTO!$AF$7)/$H299*OFFSET(ORÇAMENTO!$X$15,ROW(AZ299)-ROW(AZ$15),0),
ROUND(ROUND(OFFSET($P299,0,AZ$13),15-13*ORÇAMENTO!$AF$7)*OFFSET(ORÇAMENTO!$W$15,ROW(AZ299)-ROW(AZ$15),0),15-13*ORÇAMENTO!$AF$11)),0)</f>
        <v>0</v>
      </c>
      <c r="BA299" s="546">
        <f ca="1">IF(AND($D299="Serviço",BA$12&lt;&gt;0,$H299&gt;0,OR(AUTOEVENTO&lt;&gt;"manual",$M299&lt;&gt;1)),
IF(Import.TipoArredondamento&lt;&gt;"TransfereGOV",
ROUND(OFFSET($P299,0,BA$13),15-13*ORÇAMENTO!$AF$7)/$H299*OFFSET(ORÇAMENTO!$X$15,ROW(BA299)-ROW(BA$15),0),
ROUND(ROUND(OFFSET($P299,0,BA$13),15-13*ORÇAMENTO!$AF$7)*OFFSET(ORÇAMENTO!$W$15,ROW(BA299)-ROW(BA$15),0),15-13*ORÇAMENTO!$AF$11)),0)</f>
        <v>0</v>
      </c>
      <c r="BC299" s="181">
        <f ca="1">IF($D299&lt;&gt;"Serviço",0,IF(AND(AUTOEVENTO="Manual",$M299=1),0,IF(OFFSET(CRONOPLE!$F$14,$M299,BC$13)="",10^12,OFFSET(CRONOPLE!$F$14,$M299,BC$13))))</f>
        <v>9</v>
      </c>
      <c r="BD299" s="181">
        <f ca="1">IF($D299&lt;&gt;"Serviço",0,IF(AND(AUTOEVENTO="Manual",$M299=1),0,IF(OFFSET(CRONOPLE!$F$14,$M299,BD$13)="",10^12,OFFSET(CRONOPLE!$F$14,$M299,BD$13))))</f>
        <v>1000000000000</v>
      </c>
      <c r="BE299" s="181">
        <f ca="1">IF($D299&lt;&gt;"Serviço",0,IF(AND(AUTOEVENTO="Manual",$M299=1),0,IF(OFFSET(CRONOPLE!$F$14,$M299,BE$13)="",10^12,OFFSET(CRONOPLE!$F$14,$M299,BE$13))))</f>
        <v>1000000000000</v>
      </c>
      <c r="BF299" s="181">
        <f ca="1">IF($D299&lt;&gt;"Serviço",0,IF(AND(AUTOEVENTO="Manual",$M299=1),0,IF(OFFSET(CRONOPLE!$F$14,$M299,BF$13)="",10^12,OFFSET(CRONOPLE!$F$14,$M299,BF$13))))</f>
        <v>1000000000000</v>
      </c>
      <c r="BG299" s="181">
        <f ca="1">IF($D299&lt;&gt;"Serviço",0,IF(AND(AUTOEVENTO="Manual",$M299=1),0,IF(OFFSET(CRONOPLE!$F$14,$M299,BG$13)="",10^12,OFFSET(CRONOPLE!$F$14,$M299,BG$13))))</f>
        <v>1000000000000</v>
      </c>
      <c r="BH299" s="181">
        <f ca="1">IF($D299&lt;&gt;"Serviço",0,IF(AND(AUTOEVENTO="Manual",$M299=1),0,IF(OFFSET(CRONOPLE!$F$14,$M299,BH$13)="",10^12,OFFSET(CRONOPLE!$F$14,$M299,BH$13))))</f>
        <v>1000000000000</v>
      </c>
      <c r="BI299" s="181">
        <f ca="1">IF($D299&lt;&gt;"Serviço",0,IF(AND(AUTOEVENTO="Manual",$M299=1),0,IF(OFFSET(CRONOPLE!$F$14,$M299,BI$13)="",10^12,OFFSET(CRONOPLE!$F$14,$M299,BI$13))))</f>
        <v>1000000000000</v>
      </c>
      <c r="BJ299" s="181">
        <f ca="1">IF($D299&lt;&gt;"Serviço",0,IF(AND(AUTOEVENTO="Manual",$M299=1),0,IF(OFFSET(CRONOPLE!$F$14,$M299,BJ$13)="",10^12,OFFSET(CRONOPLE!$F$14,$M299,BJ$13))))</f>
        <v>1000000000000</v>
      </c>
      <c r="BK299" s="181">
        <f ca="1">IF($D299&lt;&gt;"Serviço",0,IF(AND(AUTOEVENTO="Manual",$M299=1),0,IF(OFFSET(CRONOPLE!$F$14,$M299,BK$13)="",10^12,OFFSET(CRONOPLE!$F$14,$M299,BK$13))))</f>
        <v>1000000000000</v>
      </c>
      <c r="BL299" s="181">
        <f ca="1">IF($D299&lt;&gt;"Serviço",0,IF(AND(AUTOEVENTO="Manual",$M299=1),0,IF(OFFSET(CRONOPLE!$F$14,$M299,BL$13)="",10^12,OFFSET(CRONOPLE!$F$14,$M299,BL$13))))</f>
        <v>1000000000000</v>
      </c>
      <c r="BM299" s="181">
        <f ca="1">IF($D299&lt;&gt;"Serviço",0,IF(AND(AUTOEVENTO="Manual",$M299=1),0,IF(OFFSET(CRONOPLE!$F$14,$M299,BM$13)="",10^12,OFFSET(CRONOPLE!$F$14,$M299,BM$13))))</f>
        <v>1000000000000</v>
      </c>
      <c r="BN299" s="181">
        <f ca="1">IF($D299&lt;&gt;"Serviço",0,IF(AND(AUTOEVENTO="Manual",$M299=1),0,IF(OFFSET(CRONOPLE!$F$14,$M299,BN$13)="",10^12,OFFSET(CRONOPLE!$F$14,$M299,BN$13))))</f>
        <v>1000000000000</v>
      </c>
      <c r="BO299" s="181">
        <f ca="1">IF($D299&lt;&gt;"Serviço",0,IF(AND(AUTOEVENTO="Manual",$M299=1),0,IF(OFFSET(CRONOPLE!$F$14,$M299,BO$13)="",10^12,OFFSET(CRONOPLE!$F$14,$M299,BO$13))))</f>
        <v>1000000000000</v>
      </c>
      <c r="BP299" s="181">
        <f ca="1">IF($D299&lt;&gt;"Serviço",0,IF(AND(AUTOEVENTO="Manual",$M299=1),0,IF(OFFSET(CRONOPLE!$F$14,$M299,BP$13)="",10^12,OFFSET(CRONOPLE!$F$14,$M299,BP$13))))</f>
        <v>1000000000000</v>
      </c>
      <c r="BQ299" s="181">
        <f ca="1">IF($D299&lt;&gt;"Serviço",0,IF(AND(AUTOEVENTO="Manual",$M299=1),0,IF(OFFSET(CRONOPLE!$F$14,$M299,BQ$13)="",10^12,OFFSET(CRONOPLE!$F$14,$M299,BQ$13))))</f>
        <v>1000000000000</v>
      </c>
      <c r="BR299" s="181">
        <f ca="1">IF($D299&lt;&gt;"Serviço",0,IF(AND(AUTOEVENTO="Manual",$M299=1),0,IF(OFFSET(CRONOPLE!$F$14,$M299,BR$13)="",10^12,OFFSET(CRONOPLE!$F$14,$M299,BR$13))))</f>
        <v>1000000000000</v>
      </c>
      <c r="BS299" s="181">
        <f ca="1">IF($D299&lt;&gt;"Serviço",0,IF(AND(AUTOEVENTO="Manual",$M299=1),0,IF(OFFSET(CRONOPLE!$F$14,$M299,BS$13)="",10^12,OFFSET(CRONOPLE!$F$14,$M299,BS$13))))</f>
        <v>1000000000000</v>
      </c>
      <c r="BT299" s="181">
        <f ca="1">IF($D299&lt;&gt;"Serviço",0,IF(AND(AUTOEVENTO="Manual",$M299=1),0,IF(OFFSET(CRONOPLE!$F$14,$M299,BT$13)="",10^12,OFFSET(CRONOPLE!$F$14,$M299,BT$13))))</f>
        <v>1000000000000</v>
      </c>
      <c r="BV299" s="182">
        <f ca="1">IF($D299&lt;&gt;"Serviço",0,IF(OR(AND(AUTOEVENTO="Manual",$M299=1),$M299&gt;(ROW(PLE.lastrow)-ROW(PLE.firstrow))),0,IF(OFFSET(PLE!$G$14,$M299,BV$13)="",10^12,OFFSET(PLE!$G$14,$M299,BV$13))))</f>
        <v>1000000000000</v>
      </c>
      <c r="BW299" s="182">
        <f ca="1">IF($D299&lt;&gt;"Serviço",0,IF(OR(AND(AUTOEVENTO="Manual",$M299=1),$M299&gt;(ROW(PLE.lastrow)-ROW(PLE.firstrow))),0,IF(OFFSET(PLE!$G$14,$M299,BW$13)="",10^12,OFFSET(PLE!$G$14,$M299,BW$13))))</f>
        <v>1000000000000</v>
      </c>
      <c r="BX299" s="182">
        <f ca="1">IF($D299&lt;&gt;"Serviço",0,IF(OR(AND(AUTOEVENTO="Manual",$M299=1),$M299&gt;(ROW(PLE.lastrow)-ROW(PLE.firstrow))),0,IF(OFFSET(PLE!$G$14,$M299,BX$13)="",10^12,OFFSET(PLE!$G$14,$M299,BX$13))))</f>
        <v>1000000000000</v>
      </c>
      <c r="BY299" s="182">
        <f ca="1">IF($D299&lt;&gt;"Serviço",0,IF(OR(AND(AUTOEVENTO="Manual",$M299=1),$M299&gt;(ROW(PLE.lastrow)-ROW(PLE.firstrow))),0,IF(OFFSET(PLE!$G$14,$M299,BY$13)="",10^12,OFFSET(PLE!$G$14,$M299,BY$13))))</f>
        <v>1000000000000</v>
      </c>
      <c r="BZ299" s="182">
        <f ca="1">IF($D299&lt;&gt;"Serviço",0,IF(OR(AND(AUTOEVENTO="Manual",$M299=1),$M299&gt;(ROW(PLE.lastrow)-ROW(PLE.firstrow))),0,IF(OFFSET(PLE!$G$14,$M299,BZ$13)="",10^12,OFFSET(PLE!$G$14,$M299,BZ$13))))</f>
        <v>1000000000000</v>
      </c>
      <c r="CA299" s="182">
        <f ca="1">IF($D299&lt;&gt;"Serviço",0,IF(OR(AND(AUTOEVENTO="Manual",$M299=1),$M299&gt;(ROW(PLE.lastrow)-ROW(PLE.firstrow))),0,IF(OFFSET(PLE!$G$14,$M299,CA$13)="",10^12,OFFSET(PLE!$G$14,$M299,CA$13))))</f>
        <v>1000000000000</v>
      </c>
      <c r="CB299" s="182">
        <f ca="1">IF($D299&lt;&gt;"Serviço",0,IF(OR(AND(AUTOEVENTO="Manual",$M299=1),$M299&gt;(ROW(PLE.lastrow)-ROW(PLE.firstrow))),0,IF(OFFSET(PLE!$G$14,$M299,CB$13)="",10^12,OFFSET(PLE!$G$14,$M299,CB$13))))</f>
        <v>1000000000000</v>
      </c>
      <c r="CC299" s="182">
        <f ca="1">IF($D299&lt;&gt;"Serviço",0,IF(OR(AND(AUTOEVENTO="Manual",$M299=1),$M299&gt;(ROW(PLE.lastrow)-ROW(PLE.firstrow))),0,IF(OFFSET(PLE!$G$14,$M299,CC$13)="",10^12,OFFSET(PLE!$G$14,$M299,CC$13))))</f>
        <v>1000000000000</v>
      </c>
      <c r="CD299" s="182">
        <f ca="1">IF($D299&lt;&gt;"Serviço",0,IF(OR(AND(AUTOEVENTO="Manual",$M299=1),$M299&gt;(ROW(PLE.lastrow)-ROW(PLE.firstrow))),0,IF(OFFSET(PLE!$G$14,$M299,CD$13)="",10^12,OFFSET(PLE!$G$14,$M299,CD$13))))</f>
        <v>1000000000000</v>
      </c>
      <c r="CE299" s="182">
        <f ca="1">IF($D299&lt;&gt;"Serviço",0,IF(OR(AND(AUTOEVENTO="Manual",$M299=1),$M299&gt;(ROW(PLE.lastrow)-ROW(PLE.firstrow))),0,IF(OFFSET(PLE!$G$14,$M299,CE$13)="",10^12,OFFSET(PLE!$G$14,$M299,CE$13))))</f>
        <v>1000000000000</v>
      </c>
      <c r="CF299" s="182">
        <f ca="1">IF($D299&lt;&gt;"Serviço",0,IF(OR(AND(AUTOEVENTO="Manual",$M299=1),$M299&gt;(ROW(PLE.lastrow)-ROW(PLE.firstrow))),0,IF(OFFSET(PLE!$G$14,$M299,CF$13)="",10^12,OFFSET(PLE!$G$14,$M299,CF$13))))</f>
        <v>1000000000000</v>
      </c>
      <c r="CG299" s="182">
        <f ca="1">IF($D299&lt;&gt;"Serviço",0,IF(OR(AND(AUTOEVENTO="Manual",$M299=1),$M299&gt;(ROW(PLE.lastrow)-ROW(PLE.firstrow))),0,IF(OFFSET(PLE!$G$14,$M299,CG$13)="",10^12,OFFSET(PLE!$G$14,$M299,CG$13))))</f>
        <v>1000000000000</v>
      </c>
      <c r="CH299" s="182">
        <f ca="1">IF($D299&lt;&gt;"Serviço",0,IF(OR(AND(AUTOEVENTO="Manual",$M299=1),$M299&gt;(ROW(PLE.lastrow)-ROW(PLE.firstrow))),0,IF(OFFSET(PLE!$G$14,$M299,CH$13)="",10^12,OFFSET(PLE!$G$14,$M299,CH$13))))</f>
        <v>1000000000000</v>
      </c>
      <c r="CI299" s="182">
        <f ca="1">IF($D299&lt;&gt;"Serviço",0,IF(OR(AND(AUTOEVENTO="Manual",$M299=1),$M299&gt;(ROW(PLE.lastrow)-ROW(PLE.firstrow))),0,IF(OFFSET(PLE!$G$14,$M299,CI$13)="",10^12,OFFSET(PLE!$G$14,$M299,CI$13))))</f>
        <v>1000000000000</v>
      </c>
      <c r="CJ299" s="182">
        <f ca="1">IF($D299&lt;&gt;"Serviço",0,IF(OR(AND(AUTOEVENTO="Manual",$M299=1),$M299&gt;(ROW(PLE.lastrow)-ROW(PLE.firstrow))),0,IF(OFFSET(PLE!$G$14,$M299,CJ$13)="",10^12,OFFSET(PLE!$G$14,$M299,CJ$13))))</f>
        <v>1000000000000</v>
      </c>
      <c r="CK299" s="182">
        <f ca="1">IF($D299&lt;&gt;"Serviço",0,IF(OR(AND(AUTOEVENTO="Manual",$M299=1),$M299&gt;(ROW(PLE.lastrow)-ROW(PLE.firstrow))),0,IF(OFFSET(PLE!$G$14,$M299,CK$13)="",10^12,OFFSET(PLE!$G$14,$M299,CK$13))))</f>
        <v>1000000000000</v>
      </c>
      <c r="CL299" s="182">
        <f ca="1">IF($D299&lt;&gt;"Serviço",0,IF(OR(AND(AUTOEVENTO="Manual",$M299=1),$M299&gt;(ROW(PLE.lastrow)-ROW(PLE.firstrow))),0,IF(OFFSET(PLE!$G$14,$M299,CL$13)="",10^12,OFFSET(PLE!$G$14,$M299,CL$13))))</f>
        <v>1000000000000</v>
      </c>
      <c r="CM299" s="182">
        <f ca="1">IF($D299&lt;&gt;"Serviço",0,IF(OR(AND(AUTOEVENTO="Manual",$M299=1),$M299&gt;(ROW(PLE.lastrow)-ROW(PLE.firstrow))),0,IF(OFFSET(PLE!$G$14,$M299,CM$13)="",10^12,OFFSET(PLE!$G$14,$M299,CM$13))))</f>
        <v>1000000000000</v>
      </c>
    </row>
    <row r="300" spans="1:91" ht="25.5" x14ac:dyDescent="0.2">
      <c r="A300" s="7" t="str">
        <f t="shared" ca="1" si="12"/>
        <v>285.</v>
      </c>
      <c r="B300" s="7">
        <f ca="1">OFFSET(ORÇAMENTO!C$15,ROW(B300)-ROW(B$15),0)</f>
        <v>2</v>
      </c>
      <c r="C300" s="7" t="str">
        <f ca="1">OFFSET(ORÇAMENTO!L$15,ROW(C300)-ROW(C$15),0)</f>
        <v>F</v>
      </c>
      <c r="D300" s="118" t="str">
        <f ca="1">OFFSET(ORÇAMENTO!N$15,ROW(D300)-ROW(D$15),0)</f>
        <v>Nível 2</v>
      </c>
      <c r="E300" s="119" t="str">
        <f ca="1">OFFSET(ORÇAMENTO!O$15,ROW(E300)-ROW(E$15),0)</f>
        <v>1.38.</v>
      </c>
      <c r="F300" s="172" t="str">
        <f ca="1">OFFSET(ORÇAMENTO!R$15,ROW(F300)-ROW(F$15),0)</f>
        <v>DRENAGEM DE ÁGUAS PLUVIAIS - TUBULAÇÕES E CONEXÕES DE PVC</v>
      </c>
      <c r="G300" s="173" t="str">
        <f ca="1">IF($D300&lt;&gt;"Serviço","",OFFSET(ORÇAMENTO!S$15,ROW(G300)-ROW(G$15),0))</f>
        <v/>
      </c>
      <c r="H300" s="124">
        <f ca="1">IF($D300&lt;&gt;"Serviço",0,IF(ACOMPANHAMENTO="BM",ROUND(OFFSET(ORÇAMENTO!AJ$15,ROW(H300)-ROW(H$15),0),15-13*ORÇAMENTO!$AF$7),SUMPRODUCT(($Q$12:$AI$12&lt;&gt;"")*ROUND($Q300:$AI300,15-13*ORÇAMENTO!$AF$7))))</f>
        <v>0</v>
      </c>
      <c r="I300" s="561"/>
      <c r="K300" s="174"/>
      <c r="L300" s="175" t="s">
        <v>255</v>
      </c>
      <c r="M300" s="176" t="str">
        <f ca="1">IF($D300&lt;&gt;"Serviço","",IF(AUTOEVENTO="manual",$A300,IF(ISERROR(MATCH($A300,$A$15:OFFSET($A300,-1,0),0)),MAX($M$15:OFFSET(M300,-1,0))+1,INDEX($M$15:OFFSET(M300,-1,0),MATCH($A300,$A$15:OFFSET($A300,-1,0),0)))))</f>
        <v/>
      </c>
      <c r="N300" s="177" t="str">
        <f ca="1">IF($D300&lt;&gt;"Serviço","",IF(AUTOEVENTO="Manual",IF($A300=0,"&lt;-- defina o número do agrupador",OFFSET(EVENTOS!$D$14,$A300,0)),OFFSET($F$15,$A300,0)))</f>
        <v/>
      </c>
      <c r="O300" s="178"/>
      <c r="Q300" s="178">
        <v>0</v>
      </c>
      <c r="R300" s="179"/>
      <c r="S300" s="179"/>
      <c r="T300" s="179"/>
      <c r="U300" s="179"/>
      <c r="V300" s="179"/>
      <c r="W300" s="179"/>
      <c r="X300" s="179"/>
      <c r="Y300" s="179"/>
      <c r="Z300" s="180"/>
      <c r="AA300" s="179"/>
      <c r="AB300" s="179"/>
      <c r="AC300" s="179"/>
      <c r="AD300" s="179"/>
      <c r="AE300" s="179"/>
      <c r="AF300" s="179"/>
      <c r="AG300" s="179"/>
      <c r="AH300" s="180"/>
      <c r="AJ300" s="544">
        <f ca="1">IF(AND($D300="Serviço",AJ$12&lt;&gt;0,$H300&gt;0,OR(AUTOEVENTO&lt;&gt;"manual",$M300&lt;&gt;1)),
IF(Import.TipoArredondamento&lt;&gt;"TransfereGOV",
ROUND(OFFSET($P300,0,AJ$13),15-13*ORÇAMENTO!$AF$7)/$H300*OFFSET(ORÇAMENTO!$X$15,ROW(AJ300)-ROW(AJ$15),0),
ROUND(ROUND(OFFSET($P300,0,AJ$13),15-13*ORÇAMENTO!$AF$7)*OFFSET(ORÇAMENTO!$W$15,ROW(AJ300)-ROW(AJ$15),0),15-13*ORÇAMENTO!$AF$11)),0)</f>
        <v>0</v>
      </c>
      <c r="AK300" s="545">
        <f ca="1">IF(AND($D300="Serviço",AK$12&lt;&gt;0,$H300&gt;0,OR(AUTOEVENTO&lt;&gt;"manual",$M300&lt;&gt;1)),
IF(Import.TipoArredondamento&lt;&gt;"TransfereGOV",
ROUND(OFFSET($P300,0,AK$13),15-13*ORÇAMENTO!$AF$7)/$H300*OFFSET(ORÇAMENTO!$X$15,ROW(AK300)-ROW(AK$15),0),
ROUND(ROUND(OFFSET($P300,0,AK$13),15-13*ORÇAMENTO!$AF$7)*OFFSET(ORÇAMENTO!$W$15,ROW(AK300)-ROW(AK$15),0),15-13*ORÇAMENTO!$AF$11)),0)</f>
        <v>0</v>
      </c>
      <c r="AL300" s="545">
        <f ca="1">IF(AND($D300="Serviço",AL$12&lt;&gt;0,$H300&gt;0,OR(AUTOEVENTO&lt;&gt;"manual",$M300&lt;&gt;1)),
IF(Import.TipoArredondamento&lt;&gt;"TransfereGOV",
ROUND(OFFSET($P300,0,AL$13),15-13*ORÇAMENTO!$AF$7)/$H300*OFFSET(ORÇAMENTO!$X$15,ROW(AL300)-ROW(AL$15),0),
ROUND(ROUND(OFFSET($P300,0,AL$13),15-13*ORÇAMENTO!$AF$7)*OFFSET(ORÇAMENTO!$W$15,ROW(AL300)-ROW(AL$15),0),15-13*ORÇAMENTO!$AF$11)),0)</f>
        <v>0</v>
      </c>
      <c r="AM300" s="545">
        <f ca="1">IF(AND($D300="Serviço",AM$12&lt;&gt;0,$H300&gt;0,OR(AUTOEVENTO&lt;&gt;"manual",$M300&lt;&gt;1)),
IF(Import.TipoArredondamento&lt;&gt;"TransfereGOV",
ROUND(OFFSET($P300,0,AM$13),15-13*ORÇAMENTO!$AF$7)/$H300*OFFSET(ORÇAMENTO!$X$15,ROW(AM300)-ROW(AM$15),0),
ROUND(ROUND(OFFSET($P300,0,AM$13),15-13*ORÇAMENTO!$AF$7)*OFFSET(ORÇAMENTO!$W$15,ROW(AM300)-ROW(AM$15),0),15-13*ORÇAMENTO!$AF$11)),0)</f>
        <v>0</v>
      </c>
      <c r="AN300" s="545">
        <f ca="1">IF(AND($D300="Serviço",AN$12&lt;&gt;0,$H300&gt;0,OR(AUTOEVENTO&lt;&gt;"manual",$M300&lt;&gt;1)),
IF(Import.TipoArredondamento&lt;&gt;"TransfereGOV",
ROUND(OFFSET($P300,0,AN$13),15-13*ORÇAMENTO!$AF$7)/$H300*OFFSET(ORÇAMENTO!$X$15,ROW(AN300)-ROW(AN$15),0),
ROUND(ROUND(OFFSET($P300,0,AN$13),15-13*ORÇAMENTO!$AF$7)*OFFSET(ORÇAMENTO!$W$15,ROW(AN300)-ROW(AN$15),0),15-13*ORÇAMENTO!$AF$11)),0)</f>
        <v>0</v>
      </c>
      <c r="AO300" s="545">
        <f ca="1">IF(AND($D300="Serviço",AO$12&lt;&gt;0,$H300&gt;0,OR(AUTOEVENTO&lt;&gt;"manual",$M300&lt;&gt;1)),
IF(Import.TipoArredondamento&lt;&gt;"TransfereGOV",
ROUND(OFFSET($P300,0,AO$13),15-13*ORÇAMENTO!$AF$7)/$H300*OFFSET(ORÇAMENTO!$X$15,ROW(AO300)-ROW(AO$15),0),
ROUND(ROUND(OFFSET($P300,0,AO$13),15-13*ORÇAMENTO!$AF$7)*OFFSET(ORÇAMENTO!$W$15,ROW(AO300)-ROW(AO$15),0),15-13*ORÇAMENTO!$AF$11)),0)</f>
        <v>0</v>
      </c>
      <c r="AP300" s="545">
        <f ca="1">IF(AND($D300="Serviço",AP$12&lt;&gt;0,$H300&gt;0,OR(AUTOEVENTO&lt;&gt;"manual",$M300&lt;&gt;1)),
IF(Import.TipoArredondamento&lt;&gt;"TransfereGOV",
ROUND(OFFSET($P300,0,AP$13),15-13*ORÇAMENTO!$AF$7)/$H300*OFFSET(ORÇAMENTO!$X$15,ROW(AP300)-ROW(AP$15),0),
ROUND(ROUND(OFFSET($P300,0,AP$13),15-13*ORÇAMENTO!$AF$7)*OFFSET(ORÇAMENTO!$W$15,ROW(AP300)-ROW(AP$15),0),15-13*ORÇAMENTO!$AF$11)),0)</f>
        <v>0</v>
      </c>
      <c r="AQ300" s="545">
        <f ca="1">IF(AND($D300="Serviço",AQ$12&lt;&gt;0,$H300&gt;0,OR(AUTOEVENTO&lt;&gt;"manual",$M300&lt;&gt;1)),
IF(Import.TipoArredondamento&lt;&gt;"TransfereGOV",
ROUND(OFFSET($P300,0,AQ$13),15-13*ORÇAMENTO!$AF$7)/$H300*OFFSET(ORÇAMENTO!$X$15,ROW(AQ300)-ROW(AQ$15),0),
ROUND(ROUND(OFFSET($P300,0,AQ$13),15-13*ORÇAMENTO!$AF$7)*OFFSET(ORÇAMENTO!$W$15,ROW(AQ300)-ROW(AQ$15),0),15-13*ORÇAMENTO!$AF$11)),0)</f>
        <v>0</v>
      </c>
      <c r="AR300" s="545">
        <f ca="1">IF(AND($D300="Serviço",AR$12&lt;&gt;0,$H300&gt;0,OR(AUTOEVENTO&lt;&gt;"manual",$M300&lt;&gt;1)),
IF(Import.TipoArredondamento&lt;&gt;"TransfereGOV",
ROUND(OFFSET($P300,0,AR$13),15-13*ORÇAMENTO!$AF$7)/$H300*OFFSET(ORÇAMENTO!$X$15,ROW(AR300)-ROW(AR$15),0),
ROUND(ROUND(OFFSET($P300,0,AR$13),15-13*ORÇAMENTO!$AF$7)*OFFSET(ORÇAMENTO!$W$15,ROW(AR300)-ROW(AR$15),0),15-13*ORÇAMENTO!$AF$11)),0)</f>
        <v>0</v>
      </c>
      <c r="AS300" s="546">
        <f ca="1">IF(AND($D300="Serviço",AS$12&lt;&gt;0,$H300&gt;0,OR(AUTOEVENTO&lt;&gt;"manual",$M300&lt;&gt;1)),
IF(Import.TipoArredondamento&lt;&gt;"TransfereGOV",
ROUND(OFFSET($P300,0,AS$13),15-13*ORÇAMENTO!$AF$7)/$H300*OFFSET(ORÇAMENTO!$X$15,ROW(AS300)-ROW(AS$15),0),
ROUND(ROUND(OFFSET($P300,0,AS$13),15-13*ORÇAMENTO!$AF$7)*OFFSET(ORÇAMENTO!$W$15,ROW(AS300)-ROW(AS$15),0),15-13*ORÇAMENTO!$AF$11)),0)</f>
        <v>0</v>
      </c>
      <c r="AT300" s="545">
        <f ca="1">IF(AND($D300="Serviço",AT$12&lt;&gt;0,$H300&gt;0,OR(AUTOEVENTO&lt;&gt;"manual",$M300&lt;&gt;1)),
IF(Import.TipoArredondamento&lt;&gt;"TransfereGOV",
ROUND(OFFSET($P300,0,AT$13),15-13*ORÇAMENTO!$AF$7)/$H300*OFFSET(ORÇAMENTO!$X$15,ROW(AT300)-ROW(AT$15),0),
ROUND(ROUND(OFFSET($P300,0,AT$13),15-13*ORÇAMENTO!$AF$7)*OFFSET(ORÇAMENTO!$W$15,ROW(AT300)-ROW(AT$15),0),15-13*ORÇAMENTO!$AF$11)),0)</f>
        <v>0</v>
      </c>
      <c r="AU300" s="545">
        <f ca="1">IF(AND($D300="Serviço",AU$12&lt;&gt;0,$H300&gt;0,OR(AUTOEVENTO&lt;&gt;"manual",$M300&lt;&gt;1)),
IF(Import.TipoArredondamento&lt;&gt;"TransfereGOV",
ROUND(OFFSET($P300,0,AU$13),15-13*ORÇAMENTO!$AF$7)/$H300*OFFSET(ORÇAMENTO!$X$15,ROW(AU300)-ROW(AU$15),0),
ROUND(ROUND(OFFSET($P300,0,AU$13),15-13*ORÇAMENTO!$AF$7)*OFFSET(ORÇAMENTO!$W$15,ROW(AU300)-ROW(AU$15),0),15-13*ORÇAMENTO!$AF$11)),0)</f>
        <v>0</v>
      </c>
      <c r="AV300" s="545">
        <f ca="1">IF(AND($D300="Serviço",AV$12&lt;&gt;0,$H300&gt;0,OR(AUTOEVENTO&lt;&gt;"manual",$M300&lt;&gt;1)),
IF(Import.TipoArredondamento&lt;&gt;"TransfereGOV",
ROUND(OFFSET($P300,0,AV$13),15-13*ORÇAMENTO!$AF$7)/$H300*OFFSET(ORÇAMENTO!$X$15,ROW(AV300)-ROW(AV$15),0),
ROUND(ROUND(OFFSET($P300,0,AV$13),15-13*ORÇAMENTO!$AF$7)*OFFSET(ORÇAMENTO!$W$15,ROW(AV300)-ROW(AV$15),0),15-13*ORÇAMENTO!$AF$11)),0)</f>
        <v>0</v>
      </c>
      <c r="AW300" s="545">
        <f ca="1">IF(AND($D300="Serviço",AW$12&lt;&gt;0,$H300&gt;0,OR(AUTOEVENTO&lt;&gt;"manual",$M300&lt;&gt;1)),
IF(Import.TipoArredondamento&lt;&gt;"TransfereGOV",
ROUND(OFFSET($P300,0,AW$13),15-13*ORÇAMENTO!$AF$7)/$H300*OFFSET(ORÇAMENTO!$X$15,ROW(AW300)-ROW(AW$15),0),
ROUND(ROUND(OFFSET($P300,0,AW$13),15-13*ORÇAMENTO!$AF$7)*OFFSET(ORÇAMENTO!$W$15,ROW(AW300)-ROW(AW$15),0),15-13*ORÇAMENTO!$AF$11)),0)</f>
        <v>0</v>
      </c>
      <c r="AX300" s="545">
        <f ca="1">IF(AND($D300="Serviço",AX$12&lt;&gt;0,$H300&gt;0,OR(AUTOEVENTO&lt;&gt;"manual",$M300&lt;&gt;1)),
IF(Import.TipoArredondamento&lt;&gt;"TransfereGOV",
ROUND(OFFSET($P300,0,AX$13),15-13*ORÇAMENTO!$AF$7)/$H300*OFFSET(ORÇAMENTO!$X$15,ROW(AX300)-ROW(AX$15),0),
ROUND(ROUND(OFFSET($P300,0,AX$13),15-13*ORÇAMENTO!$AF$7)*OFFSET(ORÇAMENTO!$W$15,ROW(AX300)-ROW(AX$15),0),15-13*ORÇAMENTO!$AF$11)),0)</f>
        <v>0</v>
      </c>
      <c r="AY300" s="545">
        <f ca="1">IF(AND($D300="Serviço",AY$12&lt;&gt;0,$H300&gt;0,OR(AUTOEVENTO&lt;&gt;"manual",$M300&lt;&gt;1)),
IF(Import.TipoArredondamento&lt;&gt;"TransfereGOV",
ROUND(OFFSET($P300,0,AY$13),15-13*ORÇAMENTO!$AF$7)/$H300*OFFSET(ORÇAMENTO!$X$15,ROW(AY300)-ROW(AY$15),0),
ROUND(ROUND(OFFSET($P300,0,AY$13),15-13*ORÇAMENTO!$AF$7)*OFFSET(ORÇAMENTO!$W$15,ROW(AY300)-ROW(AY$15),0),15-13*ORÇAMENTO!$AF$11)),0)</f>
        <v>0</v>
      </c>
      <c r="AZ300" s="545">
        <f ca="1">IF(AND($D300="Serviço",AZ$12&lt;&gt;0,$H300&gt;0,OR(AUTOEVENTO&lt;&gt;"manual",$M300&lt;&gt;1)),
IF(Import.TipoArredondamento&lt;&gt;"TransfereGOV",
ROUND(OFFSET($P300,0,AZ$13),15-13*ORÇAMENTO!$AF$7)/$H300*OFFSET(ORÇAMENTO!$X$15,ROW(AZ300)-ROW(AZ$15),0),
ROUND(ROUND(OFFSET($P300,0,AZ$13),15-13*ORÇAMENTO!$AF$7)*OFFSET(ORÇAMENTO!$W$15,ROW(AZ300)-ROW(AZ$15),0),15-13*ORÇAMENTO!$AF$11)),0)</f>
        <v>0</v>
      </c>
      <c r="BA300" s="546">
        <f ca="1">IF(AND($D300="Serviço",BA$12&lt;&gt;0,$H300&gt;0,OR(AUTOEVENTO&lt;&gt;"manual",$M300&lt;&gt;1)),
IF(Import.TipoArredondamento&lt;&gt;"TransfereGOV",
ROUND(OFFSET($P300,0,BA$13),15-13*ORÇAMENTO!$AF$7)/$H300*OFFSET(ORÇAMENTO!$X$15,ROW(BA300)-ROW(BA$15),0),
ROUND(ROUND(OFFSET($P300,0,BA$13),15-13*ORÇAMENTO!$AF$7)*OFFSET(ORÇAMENTO!$W$15,ROW(BA300)-ROW(BA$15),0),15-13*ORÇAMENTO!$AF$11)),0)</f>
        <v>0</v>
      </c>
      <c r="BC300" s="181">
        <f ca="1">IF($D300&lt;&gt;"Serviço",0,IF(AND(AUTOEVENTO="Manual",$M300=1),0,IF(OFFSET(CRONOPLE!$F$14,$M300,BC$13)="",10^12,OFFSET(CRONOPLE!$F$14,$M300,BC$13))))</f>
        <v>0</v>
      </c>
      <c r="BD300" s="181">
        <f ca="1">IF($D300&lt;&gt;"Serviço",0,IF(AND(AUTOEVENTO="Manual",$M300=1),0,IF(OFFSET(CRONOPLE!$F$14,$M300,BD$13)="",10^12,OFFSET(CRONOPLE!$F$14,$M300,BD$13))))</f>
        <v>0</v>
      </c>
      <c r="BE300" s="181">
        <f ca="1">IF($D300&lt;&gt;"Serviço",0,IF(AND(AUTOEVENTO="Manual",$M300=1),0,IF(OFFSET(CRONOPLE!$F$14,$M300,BE$13)="",10^12,OFFSET(CRONOPLE!$F$14,$M300,BE$13))))</f>
        <v>0</v>
      </c>
      <c r="BF300" s="181">
        <f ca="1">IF($D300&lt;&gt;"Serviço",0,IF(AND(AUTOEVENTO="Manual",$M300=1),0,IF(OFFSET(CRONOPLE!$F$14,$M300,BF$13)="",10^12,OFFSET(CRONOPLE!$F$14,$M300,BF$13))))</f>
        <v>0</v>
      </c>
      <c r="BG300" s="181">
        <f ca="1">IF($D300&lt;&gt;"Serviço",0,IF(AND(AUTOEVENTO="Manual",$M300=1),0,IF(OFFSET(CRONOPLE!$F$14,$M300,BG$13)="",10^12,OFFSET(CRONOPLE!$F$14,$M300,BG$13))))</f>
        <v>0</v>
      </c>
      <c r="BH300" s="181">
        <f ca="1">IF($D300&lt;&gt;"Serviço",0,IF(AND(AUTOEVENTO="Manual",$M300=1),0,IF(OFFSET(CRONOPLE!$F$14,$M300,BH$13)="",10^12,OFFSET(CRONOPLE!$F$14,$M300,BH$13))))</f>
        <v>0</v>
      </c>
      <c r="BI300" s="181">
        <f ca="1">IF($D300&lt;&gt;"Serviço",0,IF(AND(AUTOEVENTO="Manual",$M300=1),0,IF(OFFSET(CRONOPLE!$F$14,$M300,BI$13)="",10^12,OFFSET(CRONOPLE!$F$14,$M300,BI$13))))</f>
        <v>0</v>
      </c>
      <c r="BJ300" s="181">
        <f ca="1">IF($D300&lt;&gt;"Serviço",0,IF(AND(AUTOEVENTO="Manual",$M300=1),0,IF(OFFSET(CRONOPLE!$F$14,$M300,BJ$13)="",10^12,OFFSET(CRONOPLE!$F$14,$M300,BJ$13))))</f>
        <v>0</v>
      </c>
      <c r="BK300" s="181">
        <f ca="1">IF($D300&lt;&gt;"Serviço",0,IF(AND(AUTOEVENTO="Manual",$M300=1),0,IF(OFFSET(CRONOPLE!$F$14,$M300,BK$13)="",10^12,OFFSET(CRONOPLE!$F$14,$M300,BK$13))))</f>
        <v>0</v>
      </c>
      <c r="BL300" s="181">
        <f ca="1">IF($D300&lt;&gt;"Serviço",0,IF(AND(AUTOEVENTO="Manual",$M300=1),0,IF(OFFSET(CRONOPLE!$F$14,$M300,BL$13)="",10^12,OFFSET(CRONOPLE!$F$14,$M300,BL$13))))</f>
        <v>0</v>
      </c>
      <c r="BM300" s="181">
        <f ca="1">IF($D300&lt;&gt;"Serviço",0,IF(AND(AUTOEVENTO="Manual",$M300=1),0,IF(OFFSET(CRONOPLE!$F$14,$M300,BM$13)="",10^12,OFFSET(CRONOPLE!$F$14,$M300,BM$13))))</f>
        <v>0</v>
      </c>
      <c r="BN300" s="181">
        <f ca="1">IF($D300&lt;&gt;"Serviço",0,IF(AND(AUTOEVENTO="Manual",$M300=1),0,IF(OFFSET(CRONOPLE!$F$14,$M300,BN$13)="",10^12,OFFSET(CRONOPLE!$F$14,$M300,BN$13))))</f>
        <v>0</v>
      </c>
      <c r="BO300" s="181">
        <f ca="1">IF($D300&lt;&gt;"Serviço",0,IF(AND(AUTOEVENTO="Manual",$M300=1),0,IF(OFFSET(CRONOPLE!$F$14,$M300,BO$13)="",10^12,OFFSET(CRONOPLE!$F$14,$M300,BO$13))))</f>
        <v>0</v>
      </c>
      <c r="BP300" s="181">
        <f ca="1">IF($D300&lt;&gt;"Serviço",0,IF(AND(AUTOEVENTO="Manual",$M300=1),0,IF(OFFSET(CRONOPLE!$F$14,$M300,BP$13)="",10^12,OFFSET(CRONOPLE!$F$14,$M300,BP$13))))</f>
        <v>0</v>
      </c>
      <c r="BQ300" s="181">
        <f ca="1">IF($D300&lt;&gt;"Serviço",0,IF(AND(AUTOEVENTO="Manual",$M300=1),0,IF(OFFSET(CRONOPLE!$F$14,$M300,BQ$13)="",10^12,OFFSET(CRONOPLE!$F$14,$M300,BQ$13))))</f>
        <v>0</v>
      </c>
      <c r="BR300" s="181">
        <f ca="1">IF($D300&lt;&gt;"Serviço",0,IF(AND(AUTOEVENTO="Manual",$M300=1),0,IF(OFFSET(CRONOPLE!$F$14,$M300,BR$13)="",10^12,OFFSET(CRONOPLE!$F$14,$M300,BR$13))))</f>
        <v>0</v>
      </c>
      <c r="BS300" s="181">
        <f ca="1">IF($D300&lt;&gt;"Serviço",0,IF(AND(AUTOEVENTO="Manual",$M300=1),0,IF(OFFSET(CRONOPLE!$F$14,$M300,BS$13)="",10^12,OFFSET(CRONOPLE!$F$14,$M300,BS$13))))</f>
        <v>0</v>
      </c>
      <c r="BT300" s="181">
        <f ca="1">IF($D300&lt;&gt;"Serviço",0,IF(AND(AUTOEVENTO="Manual",$M300=1),0,IF(OFFSET(CRONOPLE!$F$14,$M300,BT$13)="",10^12,OFFSET(CRONOPLE!$F$14,$M300,BT$13))))</f>
        <v>0</v>
      </c>
      <c r="BV300" s="182">
        <f ca="1">IF($D300&lt;&gt;"Serviço",0,IF(OR(AND(AUTOEVENTO="Manual",$M300=1),$M300&gt;(ROW(PLE.lastrow)-ROW(PLE.firstrow))),0,IF(OFFSET(PLE!$G$14,$M300,BV$13)="",10^12,OFFSET(PLE!$G$14,$M300,BV$13))))</f>
        <v>0</v>
      </c>
      <c r="BW300" s="182">
        <f ca="1">IF($D300&lt;&gt;"Serviço",0,IF(OR(AND(AUTOEVENTO="Manual",$M300=1),$M300&gt;(ROW(PLE.lastrow)-ROW(PLE.firstrow))),0,IF(OFFSET(PLE!$G$14,$M300,BW$13)="",10^12,OFFSET(PLE!$G$14,$M300,BW$13))))</f>
        <v>0</v>
      </c>
      <c r="BX300" s="182">
        <f ca="1">IF($D300&lt;&gt;"Serviço",0,IF(OR(AND(AUTOEVENTO="Manual",$M300=1),$M300&gt;(ROW(PLE.lastrow)-ROW(PLE.firstrow))),0,IF(OFFSET(PLE!$G$14,$M300,BX$13)="",10^12,OFFSET(PLE!$G$14,$M300,BX$13))))</f>
        <v>0</v>
      </c>
      <c r="BY300" s="182">
        <f ca="1">IF($D300&lt;&gt;"Serviço",0,IF(OR(AND(AUTOEVENTO="Manual",$M300=1),$M300&gt;(ROW(PLE.lastrow)-ROW(PLE.firstrow))),0,IF(OFFSET(PLE!$G$14,$M300,BY$13)="",10^12,OFFSET(PLE!$G$14,$M300,BY$13))))</f>
        <v>0</v>
      </c>
      <c r="BZ300" s="182">
        <f ca="1">IF($D300&lt;&gt;"Serviço",0,IF(OR(AND(AUTOEVENTO="Manual",$M300=1),$M300&gt;(ROW(PLE.lastrow)-ROW(PLE.firstrow))),0,IF(OFFSET(PLE!$G$14,$M300,BZ$13)="",10^12,OFFSET(PLE!$G$14,$M300,BZ$13))))</f>
        <v>0</v>
      </c>
      <c r="CA300" s="182">
        <f ca="1">IF($D300&lt;&gt;"Serviço",0,IF(OR(AND(AUTOEVENTO="Manual",$M300=1),$M300&gt;(ROW(PLE.lastrow)-ROW(PLE.firstrow))),0,IF(OFFSET(PLE!$G$14,$M300,CA$13)="",10^12,OFFSET(PLE!$G$14,$M300,CA$13))))</f>
        <v>0</v>
      </c>
      <c r="CB300" s="182">
        <f ca="1">IF($D300&lt;&gt;"Serviço",0,IF(OR(AND(AUTOEVENTO="Manual",$M300=1),$M300&gt;(ROW(PLE.lastrow)-ROW(PLE.firstrow))),0,IF(OFFSET(PLE!$G$14,$M300,CB$13)="",10^12,OFFSET(PLE!$G$14,$M300,CB$13))))</f>
        <v>0</v>
      </c>
      <c r="CC300" s="182">
        <f ca="1">IF($D300&lt;&gt;"Serviço",0,IF(OR(AND(AUTOEVENTO="Manual",$M300=1),$M300&gt;(ROW(PLE.lastrow)-ROW(PLE.firstrow))),0,IF(OFFSET(PLE!$G$14,$M300,CC$13)="",10^12,OFFSET(PLE!$G$14,$M300,CC$13))))</f>
        <v>0</v>
      </c>
      <c r="CD300" s="182">
        <f ca="1">IF($D300&lt;&gt;"Serviço",0,IF(OR(AND(AUTOEVENTO="Manual",$M300=1),$M300&gt;(ROW(PLE.lastrow)-ROW(PLE.firstrow))),0,IF(OFFSET(PLE!$G$14,$M300,CD$13)="",10^12,OFFSET(PLE!$G$14,$M300,CD$13))))</f>
        <v>0</v>
      </c>
      <c r="CE300" s="182">
        <f ca="1">IF($D300&lt;&gt;"Serviço",0,IF(OR(AND(AUTOEVENTO="Manual",$M300=1),$M300&gt;(ROW(PLE.lastrow)-ROW(PLE.firstrow))),0,IF(OFFSET(PLE!$G$14,$M300,CE$13)="",10^12,OFFSET(PLE!$G$14,$M300,CE$13))))</f>
        <v>0</v>
      </c>
      <c r="CF300" s="182">
        <f ca="1">IF($D300&lt;&gt;"Serviço",0,IF(OR(AND(AUTOEVENTO="Manual",$M300=1),$M300&gt;(ROW(PLE.lastrow)-ROW(PLE.firstrow))),0,IF(OFFSET(PLE!$G$14,$M300,CF$13)="",10^12,OFFSET(PLE!$G$14,$M300,CF$13))))</f>
        <v>0</v>
      </c>
      <c r="CG300" s="182">
        <f ca="1">IF($D300&lt;&gt;"Serviço",0,IF(OR(AND(AUTOEVENTO="Manual",$M300=1),$M300&gt;(ROW(PLE.lastrow)-ROW(PLE.firstrow))),0,IF(OFFSET(PLE!$G$14,$M300,CG$13)="",10^12,OFFSET(PLE!$G$14,$M300,CG$13))))</f>
        <v>0</v>
      </c>
      <c r="CH300" s="182">
        <f ca="1">IF($D300&lt;&gt;"Serviço",0,IF(OR(AND(AUTOEVENTO="Manual",$M300=1),$M300&gt;(ROW(PLE.lastrow)-ROW(PLE.firstrow))),0,IF(OFFSET(PLE!$G$14,$M300,CH$13)="",10^12,OFFSET(PLE!$G$14,$M300,CH$13))))</f>
        <v>0</v>
      </c>
      <c r="CI300" s="182">
        <f ca="1">IF($D300&lt;&gt;"Serviço",0,IF(OR(AND(AUTOEVENTO="Manual",$M300=1),$M300&gt;(ROW(PLE.lastrow)-ROW(PLE.firstrow))),0,IF(OFFSET(PLE!$G$14,$M300,CI$13)="",10^12,OFFSET(PLE!$G$14,$M300,CI$13))))</f>
        <v>0</v>
      </c>
      <c r="CJ300" s="182">
        <f ca="1">IF($D300&lt;&gt;"Serviço",0,IF(OR(AND(AUTOEVENTO="Manual",$M300=1),$M300&gt;(ROW(PLE.lastrow)-ROW(PLE.firstrow))),0,IF(OFFSET(PLE!$G$14,$M300,CJ$13)="",10^12,OFFSET(PLE!$G$14,$M300,CJ$13))))</f>
        <v>0</v>
      </c>
      <c r="CK300" s="182">
        <f ca="1">IF($D300&lt;&gt;"Serviço",0,IF(OR(AND(AUTOEVENTO="Manual",$M300=1),$M300&gt;(ROW(PLE.lastrow)-ROW(PLE.firstrow))),0,IF(OFFSET(PLE!$G$14,$M300,CK$13)="",10^12,OFFSET(PLE!$G$14,$M300,CK$13))))</f>
        <v>0</v>
      </c>
      <c r="CL300" s="182">
        <f ca="1">IF($D300&lt;&gt;"Serviço",0,IF(OR(AND(AUTOEVENTO="Manual",$M300=1),$M300&gt;(ROW(PLE.lastrow)-ROW(PLE.firstrow))),0,IF(OFFSET(PLE!$G$14,$M300,CL$13)="",10^12,OFFSET(PLE!$G$14,$M300,CL$13))))</f>
        <v>0</v>
      </c>
      <c r="CM300" s="182">
        <f ca="1">IF($D300&lt;&gt;"Serviço",0,IF(OR(AND(AUTOEVENTO="Manual",$M300=1),$M300&gt;(ROW(PLE.lastrow)-ROW(PLE.firstrow))),0,IF(OFFSET(PLE!$G$14,$M300,CM$13)="",10^12,OFFSET(PLE!$G$14,$M300,CM$13))))</f>
        <v>0</v>
      </c>
    </row>
    <row r="301" spans="1:91" ht="38.25" x14ac:dyDescent="0.2">
      <c r="A301" s="7" t="str">
        <f t="shared" ca="1" si="12"/>
        <v>285</v>
      </c>
      <c r="B301" s="7" t="str">
        <f ca="1">OFFSET(ORÇAMENTO!C$15,ROW(B301)-ROW(B$15),0)</f>
        <v>S</v>
      </c>
      <c r="C301" s="7" t="str">
        <f ca="1">OFFSET(ORÇAMENTO!L$15,ROW(C301)-ROW(C$15),0)</f>
        <v/>
      </c>
      <c r="D301" s="118" t="str">
        <f ca="1">OFFSET(ORÇAMENTO!N$15,ROW(D301)-ROW(D$15),0)</f>
        <v>Serviço</v>
      </c>
      <c r="E301" s="119" t="str">
        <f ca="1">OFFSET(ORÇAMENTO!O$15,ROW(E301)-ROW(E$15),0)</f>
        <v>-</v>
      </c>
      <c r="F301" s="172" t="str">
        <f ca="1">OFFSET(ORÇAMENTO!R$15,ROW(F301)-ROW(F$15),0)</f>
        <v>(abra o arquivo 'Referência 06-2024.xlsm)</v>
      </c>
      <c r="G301" s="173" t="str">
        <f ca="1">IF($D301&lt;&gt;"Serviço","",OFFSET(ORÇAMENTO!S$15,ROW(G301)-ROW(G$15),0))</f>
        <v>-</v>
      </c>
      <c r="H301" s="124">
        <f ca="1">IF($D301&lt;&gt;"Serviço",0,IF(ACOMPANHAMENTO="BM",ROUND(OFFSET(ORÇAMENTO!AJ$15,ROW(H301)-ROW(H$15),0),15-13*ORÇAMENTO!$AF$7),SUMPRODUCT(($Q$12:$AI$12&lt;&gt;"")*ROUND($Q301:$AI301,15-13*ORÇAMENTO!$AF$7))))</f>
        <v>164.6</v>
      </c>
      <c r="I301" s="561" t="s">
        <v>1107</v>
      </c>
      <c r="K301" s="174"/>
      <c r="L301" s="175" t="s">
        <v>255</v>
      </c>
      <c r="M301" s="176">
        <f ca="1">IF($D301&lt;&gt;"Serviço","",IF(AUTOEVENTO="manual",$A301,IF(ISERROR(MATCH($A301,$A$15:OFFSET($A301,-1,0),0)),MAX($M$15:OFFSET(M301,-1,0))+1,INDEX($M$15:OFFSET(M301,-1,0),MATCH($A301,$A$15:OFFSET($A301,-1,0),0)))))</f>
        <v>39</v>
      </c>
      <c r="N301" s="177" t="str">
        <f ca="1">IF($D301&lt;&gt;"Serviço","",IF(AUTOEVENTO="Manual",IF($A301=0,"&lt;-- defina o número do agrupador",OFFSET(EVENTOS!$D$14,$A301,0)),OFFSET($F$15,$A301,0)))</f>
        <v>DRENAGEM DE ÁGUAS PLUVIAIS - TUBULAÇÕES E CONEXÕES DE PVC</v>
      </c>
      <c r="O301" s="178"/>
      <c r="Q301" s="178">
        <v>164.6</v>
      </c>
      <c r="R301" s="179"/>
      <c r="S301" s="179"/>
      <c r="T301" s="179"/>
      <c r="U301" s="179"/>
      <c r="V301" s="179"/>
      <c r="W301" s="179"/>
      <c r="X301" s="179"/>
      <c r="Y301" s="179"/>
      <c r="Z301" s="180"/>
      <c r="AA301" s="179"/>
      <c r="AB301" s="179"/>
      <c r="AC301" s="179"/>
      <c r="AD301" s="179"/>
      <c r="AE301" s="179"/>
      <c r="AF301" s="179"/>
      <c r="AG301" s="179"/>
      <c r="AH301" s="180"/>
      <c r="AJ301" s="544">
        <f ca="1">IF(AND($D301="Serviço",AJ$12&lt;&gt;0,$H301&gt;0,OR(AUTOEVENTO&lt;&gt;"manual",$M301&lt;&gt;1)),
IF(Import.TipoArredondamento&lt;&gt;"TransfereGOV",
ROUND(OFFSET($P301,0,AJ$13),15-13*ORÇAMENTO!$AF$7)/$H301*OFFSET(ORÇAMENTO!$X$15,ROW(AJ301)-ROW(AJ$15),0),
ROUND(ROUND(OFFSET($P301,0,AJ$13),15-13*ORÇAMENTO!$AF$7)*OFFSET(ORÇAMENTO!$W$15,ROW(AJ301)-ROW(AJ$15),0),15-13*ORÇAMENTO!$AF$11)),0)</f>
        <v>0</v>
      </c>
      <c r="AK301" s="545">
        <f ca="1">IF(AND($D301="Serviço",AK$12&lt;&gt;0,$H301&gt;0,OR(AUTOEVENTO&lt;&gt;"manual",$M301&lt;&gt;1)),
IF(Import.TipoArredondamento&lt;&gt;"TransfereGOV",
ROUND(OFFSET($P301,0,AK$13),15-13*ORÇAMENTO!$AF$7)/$H301*OFFSET(ORÇAMENTO!$X$15,ROW(AK301)-ROW(AK$15),0),
ROUND(ROUND(OFFSET($P301,0,AK$13),15-13*ORÇAMENTO!$AF$7)*OFFSET(ORÇAMENTO!$W$15,ROW(AK301)-ROW(AK$15),0),15-13*ORÇAMENTO!$AF$11)),0)</f>
        <v>0</v>
      </c>
      <c r="AL301" s="545">
        <f ca="1">IF(AND($D301="Serviço",AL$12&lt;&gt;0,$H301&gt;0,OR(AUTOEVENTO&lt;&gt;"manual",$M301&lt;&gt;1)),
IF(Import.TipoArredondamento&lt;&gt;"TransfereGOV",
ROUND(OFFSET($P301,0,AL$13),15-13*ORÇAMENTO!$AF$7)/$H301*OFFSET(ORÇAMENTO!$X$15,ROW(AL301)-ROW(AL$15),0),
ROUND(ROUND(OFFSET($P301,0,AL$13),15-13*ORÇAMENTO!$AF$7)*OFFSET(ORÇAMENTO!$W$15,ROW(AL301)-ROW(AL$15),0),15-13*ORÇAMENTO!$AF$11)),0)</f>
        <v>0</v>
      </c>
      <c r="AM301" s="545">
        <f ca="1">IF(AND($D301="Serviço",AM$12&lt;&gt;0,$H301&gt;0,OR(AUTOEVENTO&lt;&gt;"manual",$M301&lt;&gt;1)),
IF(Import.TipoArredondamento&lt;&gt;"TransfereGOV",
ROUND(OFFSET($P301,0,AM$13),15-13*ORÇAMENTO!$AF$7)/$H301*OFFSET(ORÇAMENTO!$X$15,ROW(AM301)-ROW(AM$15),0),
ROUND(ROUND(OFFSET($P301,0,AM$13),15-13*ORÇAMENTO!$AF$7)*OFFSET(ORÇAMENTO!$W$15,ROW(AM301)-ROW(AM$15),0),15-13*ORÇAMENTO!$AF$11)),0)</f>
        <v>0</v>
      </c>
      <c r="AN301" s="545">
        <f ca="1">IF(AND($D301="Serviço",AN$12&lt;&gt;0,$H301&gt;0,OR(AUTOEVENTO&lt;&gt;"manual",$M301&lt;&gt;1)),
IF(Import.TipoArredondamento&lt;&gt;"TransfereGOV",
ROUND(OFFSET($P301,0,AN$13),15-13*ORÇAMENTO!$AF$7)/$H301*OFFSET(ORÇAMENTO!$X$15,ROW(AN301)-ROW(AN$15),0),
ROUND(ROUND(OFFSET($P301,0,AN$13),15-13*ORÇAMENTO!$AF$7)*OFFSET(ORÇAMENTO!$W$15,ROW(AN301)-ROW(AN$15),0),15-13*ORÇAMENTO!$AF$11)),0)</f>
        <v>0</v>
      </c>
      <c r="AO301" s="545">
        <f ca="1">IF(AND($D301="Serviço",AO$12&lt;&gt;0,$H301&gt;0,OR(AUTOEVENTO&lt;&gt;"manual",$M301&lt;&gt;1)),
IF(Import.TipoArredondamento&lt;&gt;"TransfereGOV",
ROUND(OFFSET($P301,0,AO$13),15-13*ORÇAMENTO!$AF$7)/$H301*OFFSET(ORÇAMENTO!$X$15,ROW(AO301)-ROW(AO$15),0),
ROUND(ROUND(OFFSET($P301,0,AO$13),15-13*ORÇAMENTO!$AF$7)*OFFSET(ORÇAMENTO!$W$15,ROW(AO301)-ROW(AO$15),0),15-13*ORÇAMENTO!$AF$11)),0)</f>
        <v>0</v>
      </c>
      <c r="AP301" s="545">
        <f ca="1">IF(AND($D301="Serviço",AP$12&lt;&gt;0,$H301&gt;0,OR(AUTOEVENTO&lt;&gt;"manual",$M301&lt;&gt;1)),
IF(Import.TipoArredondamento&lt;&gt;"TransfereGOV",
ROUND(OFFSET($P301,0,AP$13),15-13*ORÇAMENTO!$AF$7)/$H301*OFFSET(ORÇAMENTO!$X$15,ROW(AP301)-ROW(AP$15),0),
ROUND(ROUND(OFFSET($P301,0,AP$13),15-13*ORÇAMENTO!$AF$7)*OFFSET(ORÇAMENTO!$W$15,ROW(AP301)-ROW(AP$15),0),15-13*ORÇAMENTO!$AF$11)),0)</f>
        <v>0</v>
      </c>
      <c r="AQ301" s="545">
        <f ca="1">IF(AND($D301="Serviço",AQ$12&lt;&gt;0,$H301&gt;0,OR(AUTOEVENTO&lt;&gt;"manual",$M301&lt;&gt;1)),
IF(Import.TipoArredondamento&lt;&gt;"TransfereGOV",
ROUND(OFFSET($P301,0,AQ$13),15-13*ORÇAMENTO!$AF$7)/$H301*OFFSET(ORÇAMENTO!$X$15,ROW(AQ301)-ROW(AQ$15),0),
ROUND(ROUND(OFFSET($P301,0,AQ$13),15-13*ORÇAMENTO!$AF$7)*OFFSET(ORÇAMENTO!$W$15,ROW(AQ301)-ROW(AQ$15),0),15-13*ORÇAMENTO!$AF$11)),0)</f>
        <v>0</v>
      </c>
      <c r="AR301" s="545">
        <f ca="1">IF(AND($D301="Serviço",AR$12&lt;&gt;0,$H301&gt;0,OR(AUTOEVENTO&lt;&gt;"manual",$M301&lt;&gt;1)),
IF(Import.TipoArredondamento&lt;&gt;"TransfereGOV",
ROUND(OFFSET($P301,0,AR$13),15-13*ORÇAMENTO!$AF$7)/$H301*OFFSET(ORÇAMENTO!$X$15,ROW(AR301)-ROW(AR$15),0),
ROUND(ROUND(OFFSET($P301,0,AR$13),15-13*ORÇAMENTO!$AF$7)*OFFSET(ORÇAMENTO!$W$15,ROW(AR301)-ROW(AR$15),0),15-13*ORÇAMENTO!$AF$11)),0)</f>
        <v>0</v>
      </c>
      <c r="AS301" s="546">
        <f ca="1">IF(AND($D301="Serviço",AS$12&lt;&gt;0,$H301&gt;0,OR(AUTOEVENTO&lt;&gt;"manual",$M301&lt;&gt;1)),
IF(Import.TipoArredondamento&lt;&gt;"TransfereGOV",
ROUND(OFFSET($P301,0,AS$13),15-13*ORÇAMENTO!$AF$7)/$H301*OFFSET(ORÇAMENTO!$X$15,ROW(AS301)-ROW(AS$15),0),
ROUND(ROUND(OFFSET($P301,0,AS$13),15-13*ORÇAMENTO!$AF$7)*OFFSET(ORÇAMENTO!$W$15,ROW(AS301)-ROW(AS$15),0),15-13*ORÇAMENTO!$AF$11)),0)</f>
        <v>0</v>
      </c>
      <c r="AT301" s="545">
        <f ca="1">IF(AND($D301="Serviço",AT$12&lt;&gt;0,$H301&gt;0,OR(AUTOEVENTO&lt;&gt;"manual",$M301&lt;&gt;1)),
IF(Import.TipoArredondamento&lt;&gt;"TransfereGOV",
ROUND(OFFSET($P301,0,AT$13),15-13*ORÇAMENTO!$AF$7)/$H301*OFFSET(ORÇAMENTO!$X$15,ROW(AT301)-ROW(AT$15),0),
ROUND(ROUND(OFFSET($P301,0,AT$13),15-13*ORÇAMENTO!$AF$7)*OFFSET(ORÇAMENTO!$W$15,ROW(AT301)-ROW(AT$15),0),15-13*ORÇAMENTO!$AF$11)),0)</f>
        <v>0</v>
      </c>
      <c r="AU301" s="545">
        <f ca="1">IF(AND($D301="Serviço",AU$12&lt;&gt;0,$H301&gt;0,OR(AUTOEVENTO&lt;&gt;"manual",$M301&lt;&gt;1)),
IF(Import.TipoArredondamento&lt;&gt;"TransfereGOV",
ROUND(OFFSET($P301,0,AU$13),15-13*ORÇAMENTO!$AF$7)/$H301*OFFSET(ORÇAMENTO!$X$15,ROW(AU301)-ROW(AU$15),0),
ROUND(ROUND(OFFSET($P301,0,AU$13),15-13*ORÇAMENTO!$AF$7)*OFFSET(ORÇAMENTO!$W$15,ROW(AU301)-ROW(AU$15),0),15-13*ORÇAMENTO!$AF$11)),0)</f>
        <v>0</v>
      </c>
      <c r="AV301" s="545">
        <f ca="1">IF(AND($D301="Serviço",AV$12&lt;&gt;0,$H301&gt;0,OR(AUTOEVENTO&lt;&gt;"manual",$M301&lt;&gt;1)),
IF(Import.TipoArredondamento&lt;&gt;"TransfereGOV",
ROUND(OFFSET($P301,0,AV$13),15-13*ORÇAMENTO!$AF$7)/$H301*OFFSET(ORÇAMENTO!$X$15,ROW(AV301)-ROW(AV$15),0),
ROUND(ROUND(OFFSET($P301,0,AV$13),15-13*ORÇAMENTO!$AF$7)*OFFSET(ORÇAMENTO!$W$15,ROW(AV301)-ROW(AV$15),0),15-13*ORÇAMENTO!$AF$11)),0)</f>
        <v>0</v>
      </c>
      <c r="AW301" s="545">
        <f ca="1">IF(AND($D301="Serviço",AW$12&lt;&gt;0,$H301&gt;0,OR(AUTOEVENTO&lt;&gt;"manual",$M301&lt;&gt;1)),
IF(Import.TipoArredondamento&lt;&gt;"TransfereGOV",
ROUND(OFFSET($P301,0,AW$13),15-13*ORÇAMENTO!$AF$7)/$H301*OFFSET(ORÇAMENTO!$X$15,ROW(AW301)-ROW(AW$15),0),
ROUND(ROUND(OFFSET($P301,0,AW$13),15-13*ORÇAMENTO!$AF$7)*OFFSET(ORÇAMENTO!$W$15,ROW(AW301)-ROW(AW$15),0),15-13*ORÇAMENTO!$AF$11)),0)</f>
        <v>0</v>
      </c>
      <c r="AX301" s="545">
        <f ca="1">IF(AND($D301="Serviço",AX$12&lt;&gt;0,$H301&gt;0,OR(AUTOEVENTO&lt;&gt;"manual",$M301&lt;&gt;1)),
IF(Import.TipoArredondamento&lt;&gt;"TransfereGOV",
ROUND(OFFSET($P301,0,AX$13),15-13*ORÇAMENTO!$AF$7)/$H301*OFFSET(ORÇAMENTO!$X$15,ROW(AX301)-ROW(AX$15),0),
ROUND(ROUND(OFFSET($P301,0,AX$13),15-13*ORÇAMENTO!$AF$7)*OFFSET(ORÇAMENTO!$W$15,ROW(AX301)-ROW(AX$15),0),15-13*ORÇAMENTO!$AF$11)),0)</f>
        <v>0</v>
      </c>
      <c r="AY301" s="545">
        <f ca="1">IF(AND($D301="Serviço",AY$12&lt;&gt;0,$H301&gt;0,OR(AUTOEVENTO&lt;&gt;"manual",$M301&lt;&gt;1)),
IF(Import.TipoArredondamento&lt;&gt;"TransfereGOV",
ROUND(OFFSET($P301,0,AY$13),15-13*ORÇAMENTO!$AF$7)/$H301*OFFSET(ORÇAMENTO!$X$15,ROW(AY301)-ROW(AY$15),0),
ROUND(ROUND(OFFSET($P301,0,AY$13),15-13*ORÇAMENTO!$AF$7)*OFFSET(ORÇAMENTO!$W$15,ROW(AY301)-ROW(AY$15),0),15-13*ORÇAMENTO!$AF$11)),0)</f>
        <v>0</v>
      </c>
      <c r="AZ301" s="545">
        <f ca="1">IF(AND($D301="Serviço",AZ$12&lt;&gt;0,$H301&gt;0,OR(AUTOEVENTO&lt;&gt;"manual",$M301&lt;&gt;1)),
IF(Import.TipoArredondamento&lt;&gt;"TransfereGOV",
ROUND(OFFSET($P301,0,AZ$13),15-13*ORÇAMENTO!$AF$7)/$H301*OFFSET(ORÇAMENTO!$X$15,ROW(AZ301)-ROW(AZ$15),0),
ROUND(ROUND(OFFSET($P301,0,AZ$13),15-13*ORÇAMENTO!$AF$7)*OFFSET(ORÇAMENTO!$W$15,ROW(AZ301)-ROW(AZ$15),0),15-13*ORÇAMENTO!$AF$11)),0)</f>
        <v>0</v>
      </c>
      <c r="BA301" s="546">
        <f ca="1">IF(AND($D301="Serviço",BA$12&lt;&gt;0,$H301&gt;0,OR(AUTOEVENTO&lt;&gt;"manual",$M301&lt;&gt;1)),
IF(Import.TipoArredondamento&lt;&gt;"TransfereGOV",
ROUND(OFFSET($P301,0,BA$13),15-13*ORÇAMENTO!$AF$7)/$H301*OFFSET(ORÇAMENTO!$X$15,ROW(BA301)-ROW(BA$15),0),
ROUND(ROUND(OFFSET($P301,0,BA$13),15-13*ORÇAMENTO!$AF$7)*OFFSET(ORÇAMENTO!$W$15,ROW(BA301)-ROW(BA$15),0),15-13*ORÇAMENTO!$AF$11)),0)</f>
        <v>0</v>
      </c>
      <c r="BC301" s="181">
        <f ca="1">IF($D301&lt;&gt;"Serviço",0,IF(AND(AUTOEVENTO="Manual",$M301=1),0,IF(OFFSET(CRONOPLE!$F$14,$M301,BC$13)="",10^12,OFFSET(CRONOPLE!$F$14,$M301,BC$13))))</f>
        <v>9</v>
      </c>
      <c r="BD301" s="181">
        <f ca="1">IF($D301&lt;&gt;"Serviço",0,IF(AND(AUTOEVENTO="Manual",$M301=1),0,IF(OFFSET(CRONOPLE!$F$14,$M301,BD$13)="",10^12,OFFSET(CRONOPLE!$F$14,$M301,BD$13))))</f>
        <v>1000000000000</v>
      </c>
      <c r="BE301" s="181">
        <f ca="1">IF($D301&lt;&gt;"Serviço",0,IF(AND(AUTOEVENTO="Manual",$M301=1),0,IF(OFFSET(CRONOPLE!$F$14,$M301,BE$13)="",10^12,OFFSET(CRONOPLE!$F$14,$M301,BE$13))))</f>
        <v>1000000000000</v>
      </c>
      <c r="BF301" s="181">
        <f ca="1">IF($D301&lt;&gt;"Serviço",0,IF(AND(AUTOEVENTO="Manual",$M301=1),0,IF(OFFSET(CRONOPLE!$F$14,$M301,BF$13)="",10^12,OFFSET(CRONOPLE!$F$14,$M301,BF$13))))</f>
        <v>1000000000000</v>
      </c>
      <c r="BG301" s="181">
        <f ca="1">IF($D301&lt;&gt;"Serviço",0,IF(AND(AUTOEVENTO="Manual",$M301=1),0,IF(OFFSET(CRONOPLE!$F$14,$M301,BG$13)="",10^12,OFFSET(CRONOPLE!$F$14,$M301,BG$13))))</f>
        <v>1000000000000</v>
      </c>
      <c r="BH301" s="181">
        <f ca="1">IF($D301&lt;&gt;"Serviço",0,IF(AND(AUTOEVENTO="Manual",$M301=1),0,IF(OFFSET(CRONOPLE!$F$14,$M301,BH$13)="",10^12,OFFSET(CRONOPLE!$F$14,$M301,BH$13))))</f>
        <v>1000000000000</v>
      </c>
      <c r="BI301" s="181">
        <f ca="1">IF($D301&lt;&gt;"Serviço",0,IF(AND(AUTOEVENTO="Manual",$M301=1),0,IF(OFFSET(CRONOPLE!$F$14,$M301,BI$13)="",10^12,OFFSET(CRONOPLE!$F$14,$M301,BI$13))))</f>
        <v>1000000000000</v>
      </c>
      <c r="BJ301" s="181">
        <f ca="1">IF($D301&lt;&gt;"Serviço",0,IF(AND(AUTOEVENTO="Manual",$M301=1),0,IF(OFFSET(CRONOPLE!$F$14,$M301,BJ$13)="",10^12,OFFSET(CRONOPLE!$F$14,$M301,BJ$13))))</f>
        <v>1000000000000</v>
      </c>
      <c r="BK301" s="181">
        <f ca="1">IF($D301&lt;&gt;"Serviço",0,IF(AND(AUTOEVENTO="Manual",$M301=1),0,IF(OFFSET(CRONOPLE!$F$14,$M301,BK$13)="",10^12,OFFSET(CRONOPLE!$F$14,$M301,BK$13))))</f>
        <v>1000000000000</v>
      </c>
      <c r="BL301" s="181">
        <f ca="1">IF($D301&lt;&gt;"Serviço",0,IF(AND(AUTOEVENTO="Manual",$M301=1),0,IF(OFFSET(CRONOPLE!$F$14,$M301,BL$13)="",10^12,OFFSET(CRONOPLE!$F$14,$M301,BL$13))))</f>
        <v>1000000000000</v>
      </c>
      <c r="BM301" s="181">
        <f ca="1">IF($D301&lt;&gt;"Serviço",0,IF(AND(AUTOEVENTO="Manual",$M301=1),0,IF(OFFSET(CRONOPLE!$F$14,$M301,BM$13)="",10^12,OFFSET(CRONOPLE!$F$14,$M301,BM$13))))</f>
        <v>1000000000000</v>
      </c>
      <c r="BN301" s="181">
        <f ca="1">IF($D301&lt;&gt;"Serviço",0,IF(AND(AUTOEVENTO="Manual",$M301=1),0,IF(OFFSET(CRONOPLE!$F$14,$M301,BN$13)="",10^12,OFFSET(CRONOPLE!$F$14,$M301,BN$13))))</f>
        <v>1000000000000</v>
      </c>
      <c r="BO301" s="181">
        <f ca="1">IF($D301&lt;&gt;"Serviço",0,IF(AND(AUTOEVENTO="Manual",$M301=1),0,IF(OFFSET(CRONOPLE!$F$14,$M301,BO$13)="",10^12,OFFSET(CRONOPLE!$F$14,$M301,BO$13))))</f>
        <v>1000000000000</v>
      </c>
      <c r="BP301" s="181">
        <f ca="1">IF($D301&lt;&gt;"Serviço",0,IF(AND(AUTOEVENTO="Manual",$M301=1),0,IF(OFFSET(CRONOPLE!$F$14,$M301,BP$13)="",10^12,OFFSET(CRONOPLE!$F$14,$M301,BP$13))))</f>
        <v>1000000000000</v>
      </c>
      <c r="BQ301" s="181">
        <f ca="1">IF($D301&lt;&gt;"Serviço",0,IF(AND(AUTOEVENTO="Manual",$M301=1),0,IF(OFFSET(CRONOPLE!$F$14,$M301,BQ$13)="",10^12,OFFSET(CRONOPLE!$F$14,$M301,BQ$13))))</f>
        <v>1000000000000</v>
      </c>
      <c r="BR301" s="181">
        <f ca="1">IF($D301&lt;&gt;"Serviço",0,IF(AND(AUTOEVENTO="Manual",$M301=1),0,IF(OFFSET(CRONOPLE!$F$14,$M301,BR$13)="",10^12,OFFSET(CRONOPLE!$F$14,$M301,BR$13))))</f>
        <v>1000000000000</v>
      </c>
      <c r="BS301" s="181">
        <f ca="1">IF($D301&lt;&gt;"Serviço",0,IF(AND(AUTOEVENTO="Manual",$M301=1),0,IF(OFFSET(CRONOPLE!$F$14,$M301,BS$13)="",10^12,OFFSET(CRONOPLE!$F$14,$M301,BS$13))))</f>
        <v>1000000000000</v>
      </c>
      <c r="BT301" s="181">
        <f ca="1">IF($D301&lt;&gt;"Serviço",0,IF(AND(AUTOEVENTO="Manual",$M301=1),0,IF(OFFSET(CRONOPLE!$F$14,$M301,BT$13)="",10^12,OFFSET(CRONOPLE!$F$14,$M301,BT$13))))</f>
        <v>1000000000000</v>
      </c>
      <c r="BV301" s="182">
        <f ca="1">IF($D301&lt;&gt;"Serviço",0,IF(OR(AND(AUTOEVENTO="Manual",$M301=1),$M301&gt;(ROW(PLE.lastrow)-ROW(PLE.firstrow))),0,IF(OFFSET(PLE!$G$14,$M301,BV$13)="",10^12,OFFSET(PLE!$G$14,$M301,BV$13))))</f>
        <v>1000000000000</v>
      </c>
      <c r="BW301" s="182">
        <f ca="1">IF($D301&lt;&gt;"Serviço",0,IF(OR(AND(AUTOEVENTO="Manual",$M301=1),$M301&gt;(ROW(PLE.lastrow)-ROW(PLE.firstrow))),0,IF(OFFSET(PLE!$G$14,$M301,BW$13)="",10^12,OFFSET(PLE!$G$14,$M301,BW$13))))</f>
        <v>1000000000000</v>
      </c>
      <c r="BX301" s="182">
        <f ca="1">IF($D301&lt;&gt;"Serviço",0,IF(OR(AND(AUTOEVENTO="Manual",$M301=1),$M301&gt;(ROW(PLE.lastrow)-ROW(PLE.firstrow))),0,IF(OFFSET(PLE!$G$14,$M301,BX$13)="",10^12,OFFSET(PLE!$G$14,$M301,BX$13))))</f>
        <v>1000000000000</v>
      </c>
      <c r="BY301" s="182">
        <f ca="1">IF($D301&lt;&gt;"Serviço",0,IF(OR(AND(AUTOEVENTO="Manual",$M301=1),$M301&gt;(ROW(PLE.lastrow)-ROW(PLE.firstrow))),0,IF(OFFSET(PLE!$G$14,$M301,BY$13)="",10^12,OFFSET(PLE!$G$14,$M301,BY$13))))</f>
        <v>1000000000000</v>
      </c>
      <c r="BZ301" s="182">
        <f ca="1">IF($D301&lt;&gt;"Serviço",0,IF(OR(AND(AUTOEVENTO="Manual",$M301=1),$M301&gt;(ROW(PLE.lastrow)-ROW(PLE.firstrow))),0,IF(OFFSET(PLE!$G$14,$M301,BZ$13)="",10^12,OFFSET(PLE!$G$14,$M301,BZ$13))))</f>
        <v>1000000000000</v>
      </c>
      <c r="CA301" s="182">
        <f ca="1">IF($D301&lt;&gt;"Serviço",0,IF(OR(AND(AUTOEVENTO="Manual",$M301=1),$M301&gt;(ROW(PLE.lastrow)-ROW(PLE.firstrow))),0,IF(OFFSET(PLE!$G$14,$M301,CA$13)="",10^12,OFFSET(PLE!$G$14,$M301,CA$13))))</f>
        <v>1000000000000</v>
      </c>
      <c r="CB301" s="182">
        <f ca="1">IF($D301&lt;&gt;"Serviço",0,IF(OR(AND(AUTOEVENTO="Manual",$M301=1),$M301&gt;(ROW(PLE.lastrow)-ROW(PLE.firstrow))),0,IF(OFFSET(PLE!$G$14,$M301,CB$13)="",10^12,OFFSET(PLE!$G$14,$M301,CB$13))))</f>
        <v>1000000000000</v>
      </c>
      <c r="CC301" s="182">
        <f ca="1">IF($D301&lt;&gt;"Serviço",0,IF(OR(AND(AUTOEVENTO="Manual",$M301=1),$M301&gt;(ROW(PLE.lastrow)-ROW(PLE.firstrow))),0,IF(OFFSET(PLE!$G$14,$M301,CC$13)="",10^12,OFFSET(PLE!$G$14,$M301,CC$13))))</f>
        <v>1000000000000</v>
      </c>
      <c r="CD301" s="182">
        <f ca="1">IF($D301&lt;&gt;"Serviço",0,IF(OR(AND(AUTOEVENTO="Manual",$M301=1),$M301&gt;(ROW(PLE.lastrow)-ROW(PLE.firstrow))),0,IF(OFFSET(PLE!$G$14,$M301,CD$13)="",10^12,OFFSET(PLE!$G$14,$M301,CD$13))))</f>
        <v>1000000000000</v>
      </c>
      <c r="CE301" s="182">
        <f ca="1">IF($D301&lt;&gt;"Serviço",0,IF(OR(AND(AUTOEVENTO="Manual",$M301=1),$M301&gt;(ROW(PLE.lastrow)-ROW(PLE.firstrow))),0,IF(OFFSET(PLE!$G$14,$M301,CE$13)="",10^12,OFFSET(PLE!$G$14,$M301,CE$13))))</f>
        <v>1000000000000</v>
      </c>
      <c r="CF301" s="182">
        <f ca="1">IF($D301&lt;&gt;"Serviço",0,IF(OR(AND(AUTOEVENTO="Manual",$M301=1),$M301&gt;(ROW(PLE.lastrow)-ROW(PLE.firstrow))),0,IF(OFFSET(PLE!$G$14,$M301,CF$13)="",10^12,OFFSET(PLE!$G$14,$M301,CF$13))))</f>
        <v>1000000000000</v>
      </c>
      <c r="CG301" s="182">
        <f ca="1">IF($D301&lt;&gt;"Serviço",0,IF(OR(AND(AUTOEVENTO="Manual",$M301=1),$M301&gt;(ROW(PLE.lastrow)-ROW(PLE.firstrow))),0,IF(OFFSET(PLE!$G$14,$M301,CG$13)="",10^12,OFFSET(PLE!$G$14,$M301,CG$13))))</f>
        <v>1000000000000</v>
      </c>
      <c r="CH301" s="182">
        <f ca="1">IF($D301&lt;&gt;"Serviço",0,IF(OR(AND(AUTOEVENTO="Manual",$M301=1),$M301&gt;(ROW(PLE.lastrow)-ROW(PLE.firstrow))),0,IF(OFFSET(PLE!$G$14,$M301,CH$13)="",10^12,OFFSET(PLE!$G$14,$M301,CH$13))))</f>
        <v>1000000000000</v>
      </c>
      <c r="CI301" s="182">
        <f ca="1">IF($D301&lt;&gt;"Serviço",0,IF(OR(AND(AUTOEVENTO="Manual",$M301=1),$M301&gt;(ROW(PLE.lastrow)-ROW(PLE.firstrow))),0,IF(OFFSET(PLE!$G$14,$M301,CI$13)="",10^12,OFFSET(PLE!$G$14,$M301,CI$13))))</f>
        <v>1000000000000</v>
      </c>
      <c r="CJ301" s="182">
        <f ca="1">IF($D301&lt;&gt;"Serviço",0,IF(OR(AND(AUTOEVENTO="Manual",$M301=1),$M301&gt;(ROW(PLE.lastrow)-ROW(PLE.firstrow))),0,IF(OFFSET(PLE!$G$14,$M301,CJ$13)="",10^12,OFFSET(PLE!$G$14,$M301,CJ$13))))</f>
        <v>1000000000000</v>
      </c>
      <c r="CK301" s="182">
        <f ca="1">IF($D301&lt;&gt;"Serviço",0,IF(OR(AND(AUTOEVENTO="Manual",$M301=1),$M301&gt;(ROW(PLE.lastrow)-ROW(PLE.firstrow))),0,IF(OFFSET(PLE!$G$14,$M301,CK$13)="",10^12,OFFSET(PLE!$G$14,$M301,CK$13))))</f>
        <v>1000000000000</v>
      </c>
      <c r="CL301" s="182">
        <f ca="1">IF($D301&lt;&gt;"Serviço",0,IF(OR(AND(AUTOEVENTO="Manual",$M301=1),$M301&gt;(ROW(PLE.lastrow)-ROW(PLE.firstrow))),0,IF(OFFSET(PLE!$G$14,$M301,CL$13)="",10^12,OFFSET(PLE!$G$14,$M301,CL$13))))</f>
        <v>1000000000000</v>
      </c>
      <c r="CM301" s="182">
        <f ca="1">IF($D301&lt;&gt;"Serviço",0,IF(OR(AND(AUTOEVENTO="Manual",$M301=1),$M301&gt;(ROW(PLE.lastrow)-ROW(PLE.firstrow))),0,IF(OFFSET(PLE!$G$14,$M301,CM$13)="",10^12,OFFSET(PLE!$G$14,$M301,CM$13))))</f>
        <v>1000000000000</v>
      </c>
    </row>
    <row r="302" spans="1:91" ht="38.25" x14ac:dyDescent="0.2">
      <c r="A302" s="7" t="str">
        <f t="shared" ca="1" si="12"/>
        <v>285</v>
      </c>
      <c r="B302" s="7" t="str">
        <f ca="1">OFFSET(ORÇAMENTO!C$15,ROW(B302)-ROW(B$15),0)</f>
        <v>S</v>
      </c>
      <c r="C302" s="7" t="str">
        <f ca="1">OFFSET(ORÇAMENTO!L$15,ROW(C302)-ROW(C$15),0)</f>
        <v/>
      </c>
      <c r="D302" s="118" t="str">
        <f ca="1">OFFSET(ORÇAMENTO!N$15,ROW(D302)-ROW(D$15),0)</f>
        <v>Serviço</v>
      </c>
      <c r="E302" s="119" t="str">
        <f ca="1">OFFSET(ORÇAMENTO!O$15,ROW(E302)-ROW(E$15),0)</f>
        <v>-</v>
      </c>
      <c r="F302" s="172" t="str">
        <f ca="1">OFFSET(ORÇAMENTO!R$15,ROW(F302)-ROW(F$15),0)</f>
        <v>(abra o arquivo 'Referência 06-2024.xlsm)</v>
      </c>
      <c r="G302" s="173" t="str">
        <f ca="1">IF($D302&lt;&gt;"Serviço","",OFFSET(ORÇAMENTO!S$15,ROW(G302)-ROW(G$15),0))</f>
        <v>-</v>
      </c>
      <c r="H302" s="124">
        <f ca="1">IF($D302&lt;&gt;"Serviço",0,IF(ACOMPANHAMENTO="BM",ROUND(OFFSET(ORÇAMENTO!AJ$15,ROW(H302)-ROW(H$15),0),15-13*ORÇAMENTO!$AF$7),SUMPRODUCT(($Q$12:$AI$12&lt;&gt;"")*ROUND($Q302:$AI302,15-13*ORÇAMENTO!$AF$7))))</f>
        <v>65.7</v>
      </c>
      <c r="I302" s="561" t="s">
        <v>1107</v>
      </c>
      <c r="K302" s="174"/>
      <c r="L302" s="175" t="s">
        <v>255</v>
      </c>
      <c r="M302" s="176">
        <f ca="1">IF($D302&lt;&gt;"Serviço","",IF(AUTOEVENTO="manual",$A302,IF(ISERROR(MATCH($A302,$A$15:OFFSET($A302,-1,0),0)),MAX($M$15:OFFSET(M302,-1,0))+1,INDEX($M$15:OFFSET(M302,-1,0),MATCH($A302,$A$15:OFFSET($A302,-1,0),0)))))</f>
        <v>39</v>
      </c>
      <c r="N302" s="177" t="str">
        <f ca="1">IF($D302&lt;&gt;"Serviço","",IF(AUTOEVENTO="Manual",IF($A302=0,"&lt;-- defina o número do agrupador",OFFSET(EVENTOS!$D$14,$A302,0)),OFFSET($F$15,$A302,0)))</f>
        <v>DRENAGEM DE ÁGUAS PLUVIAIS - TUBULAÇÕES E CONEXÕES DE PVC</v>
      </c>
      <c r="O302" s="178"/>
      <c r="Q302" s="178">
        <v>65.7</v>
      </c>
      <c r="R302" s="179"/>
      <c r="S302" s="179"/>
      <c r="T302" s="179"/>
      <c r="U302" s="179"/>
      <c r="V302" s="179"/>
      <c r="W302" s="179"/>
      <c r="X302" s="179"/>
      <c r="Y302" s="179"/>
      <c r="Z302" s="180"/>
      <c r="AA302" s="179"/>
      <c r="AB302" s="179"/>
      <c r="AC302" s="179"/>
      <c r="AD302" s="179"/>
      <c r="AE302" s="179"/>
      <c r="AF302" s="179"/>
      <c r="AG302" s="179"/>
      <c r="AH302" s="180"/>
      <c r="AJ302" s="544">
        <f ca="1">IF(AND($D302="Serviço",AJ$12&lt;&gt;0,$H302&gt;0,OR(AUTOEVENTO&lt;&gt;"manual",$M302&lt;&gt;1)),
IF(Import.TipoArredondamento&lt;&gt;"TransfereGOV",
ROUND(OFFSET($P302,0,AJ$13),15-13*ORÇAMENTO!$AF$7)/$H302*OFFSET(ORÇAMENTO!$X$15,ROW(AJ302)-ROW(AJ$15),0),
ROUND(ROUND(OFFSET($P302,0,AJ$13),15-13*ORÇAMENTO!$AF$7)*OFFSET(ORÇAMENTO!$W$15,ROW(AJ302)-ROW(AJ$15),0),15-13*ORÇAMENTO!$AF$11)),0)</f>
        <v>0</v>
      </c>
      <c r="AK302" s="545">
        <f ca="1">IF(AND($D302="Serviço",AK$12&lt;&gt;0,$H302&gt;0,OR(AUTOEVENTO&lt;&gt;"manual",$M302&lt;&gt;1)),
IF(Import.TipoArredondamento&lt;&gt;"TransfereGOV",
ROUND(OFFSET($P302,0,AK$13),15-13*ORÇAMENTO!$AF$7)/$H302*OFFSET(ORÇAMENTO!$X$15,ROW(AK302)-ROW(AK$15),0),
ROUND(ROUND(OFFSET($P302,0,AK$13),15-13*ORÇAMENTO!$AF$7)*OFFSET(ORÇAMENTO!$W$15,ROW(AK302)-ROW(AK$15),0),15-13*ORÇAMENTO!$AF$11)),0)</f>
        <v>0</v>
      </c>
      <c r="AL302" s="545">
        <f ca="1">IF(AND($D302="Serviço",AL$12&lt;&gt;0,$H302&gt;0,OR(AUTOEVENTO&lt;&gt;"manual",$M302&lt;&gt;1)),
IF(Import.TipoArredondamento&lt;&gt;"TransfereGOV",
ROUND(OFFSET($P302,0,AL$13),15-13*ORÇAMENTO!$AF$7)/$H302*OFFSET(ORÇAMENTO!$X$15,ROW(AL302)-ROW(AL$15),0),
ROUND(ROUND(OFFSET($P302,0,AL$13),15-13*ORÇAMENTO!$AF$7)*OFFSET(ORÇAMENTO!$W$15,ROW(AL302)-ROW(AL$15),0),15-13*ORÇAMENTO!$AF$11)),0)</f>
        <v>0</v>
      </c>
      <c r="AM302" s="545">
        <f ca="1">IF(AND($D302="Serviço",AM$12&lt;&gt;0,$H302&gt;0,OR(AUTOEVENTO&lt;&gt;"manual",$M302&lt;&gt;1)),
IF(Import.TipoArredondamento&lt;&gt;"TransfereGOV",
ROUND(OFFSET($P302,0,AM$13),15-13*ORÇAMENTO!$AF$7)/$H302*OFFSET(ORÇAMENTO!$X$15,ROW(AM302)-ROW(AM$15),0),
ROUND(ROUND(OFFSET($P302,0,AM$13),15-13*ORÇAMENTO!$AF$7)*OFFSET(ORÇAMENTO!$W$15,ROW(AM302)-ROW(AM$15),0),15-13*ORÇAMENTO!$AF$11)),0)</f>
        <v>0</v>
      </c>
      <c r="AN302" s="545">
        <f ca="1">IF(AND($D302="Serviço",AN$12&lt;&gt;0,$H302&gt;0,OR(AUTOEVENTO&lt;&gt;"manual",$M302&lt;&gt;1)),
IF(Import.TipoArredondamento&lt;&gt;"TransfereGOV",
ROUND(OFFSET($P302,0,AN$13),15-13*ORÇAMENTO!$AF$7)/$H302*OFFSET(ORÇAMENTO!$X$15,ROW(AN302)-ROW(AN$15),0),
ROUND(ROUND(OFFSET($P302,0,AN$13),15-13*ORÇAMENTO!$AF$7)*OFFSET(ORÇAMENTO!$W$15,ROW(AN302)-ROW(AN$15),0),15-13*ORÇAMENTO!$AF$11)),0)</f>
        <v>0</v>
      </c>
      <c r="AO302" s="545">
        <f ca="1">IF(AND($D302="Serviço",AO$12&lt;&gt;0,$H302&gt;0,OR(AUTOEVENTO&lt;&gt;"manual",$M302&lt;&gt;1)),
IF(Import.TipoArredondamento&lt;&gt;"TransfereGOV",
ROUND(OFFSET($P302,0,AO$13),15-13*ORÇAMENTO!$AF$7)/$H302*OFFSET(ORÇAMENTO!$X$15,ROW(AO302)-ROW(AO$15),0),
ROUND(ROUND(OFFSET($P302,0,AO$13),15-13*ORÇAMENTO!$AF$7)*OFFSET(ORÇAMENTO!$W$15,ROW(AO302)-ROW(AO$15),0),15-13*ORÇAMENTO!$AF$11)),0)</f>
        <v>0</v>
      </c>
      <c r="AP302" s="545">
        <f ca="1">IF(AND($D302="Serviço",AP$12&lt;&gt;0,$H302&gt;0,OR(AUTOEVENTO&lt;&gt;"manual",$M302&lt;&gt;1)),
IF(Import.TipoArredondamento&lt;&gt;"TransfereGOV",
ROUND(OFFSET($P302,0,AP$13),15-13*ORÇAMENTO!$AF$7)/$H302*OFFSET(ORÇAMENTO!$X$15,ROW(AP302)-ROW(AP$15),0),
ROUND(ROUND(OFFSET($P302,0,AP$13),15-13*ORÇAMENTO!$AF$7)*OFFSET(ORÇAMENTO!$W$15,ROW(AP302)-ROW(AP$15),0),15-13*ORÇAMENTO!$AF$11)),0)</f>
        <v>0</v>
      </c>
      <c r="AQ302" s="545">
        <f ca="1">IF(AND($D302="Serviço",AQ$12&lt;&gt;0,$H302&gt;0,OR(AUTOEVENTO&lt;&gt;"manual",$M302&lt;&gt;1)),
IF(Import.TipoArredondamento&lt;&gt;"TransfereGOV",
ROUND(OFFSET($P302,0,AQ$13),15-13*ORÇAMENTO!$AF$7)/$H302*OFFSET(ORÇAMENTO!$X$15,ROW(AQ302)-ROW(AQ$15),0),
ROUND(ROUND(OFFSET($P302,0,AQ$13),15-13*ORÇAMENTO!$AF$7)*OFFSET(ORÇAMENTO!$W$15,ROW(AQ302)-ROW(AQ$15),0),15-13*ORÇAMENTO!$AF$11)),0)</f>
        <v>0</v>
      </c>
      <c r="AR302" s="545">
        <f ca="1">IF(AND($D302="Serviço",AR$12&lt;&gt;0,$H302&gt;0,OR(AUTOEVENTO&lt;&gt;"manual",$M302&lt;&gt;1)),
IF(Import.TipoArredondamento&lt;&gt;"TransfereGOV",
ROUND(OFFSET($P302,0,AR$13),15-13*ORÇAMENTO!$AF$7)/$H302*OFFSET(ORÇAMENTO!$X$15,ROW(AR302)-ROW(AR$15),0),
ROUND(ROUND(OFFSET($P302,0,AR$13),15-13*ORÇAMENTO!$AF$7)*OFFSET(ORÇAMENTO!$W$15,ROW(AR302)-ROW(AR$15),0),15-13*ORÇAMENTO!$AF$11)),0)</f>
        <v>0</v>
      </c>
      <c r="AS302" s="546">
        <f ca="1">IF(AND($D302="Serviço",AS$12&lt;&gt;0,$H302&gt;0,OR(AUTOEVENTO&lt;&gt;"manual",$M302&lt;&gt;1)),
IF(Import.TipoArredondamento&lt;&gt;"TransfereGOV",
ROUND(OFFSET($P302,0,AS$13),15-13*ORÇAMENTO!$AF$7)/$H302*OFFSET(ORÇAMENTO!$X$15,ROW(AS302)-ROW(AS$15),0),
ROUND(ROUND(OFFSET($P302,0,AS$13),15-13*ORÇAMENTO!$AF$7)*OFFSET(ORÇAMENTO!$W$15,ROW(AS302)-ROW(AS$15),0),15-13*ORÇAMENTO!$AF$11)),0)</f>
        <v>0</v>
      </c>
      <c r="AT302" s="545">
        <f ca="1">IF(AND($D302="Serviço",AT$12&lt;&gt;0,$H302&gt;0,OR(AUTOEVENTO&lt;&gt;"manual",$M302&lt;&gt;1)),
IF(Import.TipoArredondamento&lt;&gt;"TransfereGOV",
ROUND(OFFSET($P302,0,AT$13),15-13*ORÇAMENTO!$AF$7)/$H302*OFFSET(ORÇAMENTO!$X$15,ROW(AT302)-ROW(AT$15),0),
ROUND(ROUND(OFFSET($P302,0,AT$13),15-13*ORÇAMENTO!$AF$7)*OFFSET(ORÇAMENTO!$W$15,ROW(AT302)-ROW(AT$15),0),15-13*ORÇAMENTO!$AF$11)),0)</f>
        <v>0</v>
      </c>
      <c r="AU302" s="545">
        <f ca="1">IF(AND($D302="Serviço",AU$12&lt;&gt;0,$H302&gt;0,OR(AUTOEVENTO&lt;&gt;"manual",$M302&lt;&gt;1)),
IF(Import.TipoArredondamento&lt;&gt;"TransfereGOV",
ROUND(OFFSET($P302,0,AU$13),15-13*ORÇAMENTO!$AF$7)/$H302*OFFSET(ORÇAMENTO!$X$15,ROW(AU302)-ROW(AU$15),0),
ROUND(ROUND(OFFSET($P302,0,AU$13),15-13*ORÇAMENTO!$AF$7)*OFFSET(ORÇAMENTO!$W$15,ROW(AU302)-ROW(AU$15),0),15-13*ORÇAMENTO!$AF$11)),0)</f>
        <v>0</v>
      </c>
      <c r="AV302" s="545">
        <f ca="1">IF(AND($D302="Serviço",AV$12&lt;&gt;0,$H302&gt;0,OR(AUTOEVENTO&lt;&gt;"manual",$M302&lt;&gt;1)),
IF(Import.TipoArredondamento&lt;&gt;"TransfereGOV",
ROUND(OFFSET($P302,0,AV$13),15-13*ORÇAMENTO!$AF$7)/$H302*OFFSET(ORÇAMENTO!$X$15,ROW(AV302)-ROW(AV$15),0),
ROUND(ROUND(OFFSET($P302,0,AV$13),15-13*ORÇAMENTO!$AF$7)*OFFSET(ORÇAMENTO!$W$15,ROW(AV302)-ROW(AV$15),0),15-13*ORÇAMENTO!$AF$11)),0)</f>
        <v>0</v>
      </c>
      <c r="AW302" s="545">
        <f ca="1">IF(AND($D302="Serviço",AW$12&lt;&gt;0,$H302&gt;0,OR(AUTOEVENTO&lt;&gt;"manual",$M302&lt;&gt;1)),
IF(Import.TipoArredondamento&lt;&gt;"TransfereGOV",
ROUND(OFFSET($P302,0,AW$13),15-13*ORÇAMENTO!$AF$7)/$H302*OFFSET(ORÇAMENTO!$X$15,ROW(AW302)-ROW(AW$15),0),
ROUND(ROUND(OFFSET($P302,0,AW$13),15-13*ORÇAMENTO!$AF$7)*OFFSET(ORÇAMENTO!$W$15,ROW(AW302)-ROW(AW$15),0),15-13*ORÇAMENTO!$AF$11)),0)</f>
        <v>0</v>
      </c>
      <c r="AX302" s="545">
        <f ca="1">IF(AND($D302="Serviço",AX$12&lt;&gt;0,$H302&gt;0,OR(AUTOEVENTO&lt;&gt;"manual",$M302&lt;&gt;1)),
IF(Import.TipoArredondamento&lt;&gt;"TransfereGOV",
ROUND(OFFSET($P302,0,AX$13),15-13*ORÇAMENTO!$AF$7)/$H302*OFFSET(ORÇAMENTO!$X$15,ROW(AX302)-ROW(AX$15),0),
ROUND(ROUND(OFFSET($P302,0,AX$13),15-13*ORÇAMENTO!$AF$7)*OFFSET(ORÇAMENTO!$W$15,ROW(AX302)-ROW(AX$15),0),15-13*ORÇAMENTO!$AF$11)),0)</f>
        <v>0</v>
      </c>
      <c r="AY302" s="545">
        <f ca="1">IF(AND($D302="Serviço",AY$12&lt;&gt;0,$H302&gt;0,OR(AUTOEVENTO&lt;&gt;"manual",$M302&lt;&gt;1)),
IF(Import.TipoArredondamento&lt;&gt;"TransfereGOV",
ROUND(OFFSET($P302,0,AY$13),15-13*ORÇAMENTO!$AF$7)/$H302*OFFSET(ORÇAMENTO!$X$15,ROW(AY302)-ROW(AY$15),0),
ROUND(ROUND(OFFSET($P302,0,AY$13),15-13*ORÇAMENTO!$AF$7)*OFFSET(ORÇAMENTO!$W$15,ROW(AY302)-ROW(AY$15),0),15-13*ORÇAMENTO!$AF$11)),0)</f>
        <v>0</v>
      </c>
      <c r="AZ302" s="545">
        <f ca="1">IF(AND($D302="Serviço",AZ$12&lt;&gt;0,$H302&gt;0,OR(AUTOEVENTO&lt;&gt;"manual",$M302&lt;&gt;1)),
IF(Import.TipoArredondamento&lt;&gt;"TransfereGOV",
ROUND(OFFSET($P302,0,AZ$13),15-13*ORÇAMENTO!$AF$7)/$H302*OFFSET(ORÇAMENTO!$X$15,ROW(AZ302)-ROW(AZ$15),0),
ROUND(ROUND(OFFSET($P302,0,AZ$13),15-13*ORÇAMENTO!$AF$7)*OFFSET(ORÇAMENTO!$W$15,ROW(AZ302)-ROW(AZ$15),0),15-13*ORÇAMENTO!$AF$11)),0)</f>
        <v>0</v>
      </c>
      <c r="BA302" s="546">
        <f ca="1">IF(AND($D302="Serviço",BA$12&lt;&gt;0,$H302&gt;0,OR(AUTOEVENTO&lt;&gt;"manual",$M302&lt;&gt;1)),
IF(Import.TipoArredondamento&lt;&gt;"TransfereGOV",
ROUND(OFFSET($P302,0,BA$13),15-13*ORÇAMENTO!$AF$7)/$H302*OFFSET(ORÇAMENTO!$X$15,ROW(BA302)-ROW(BA$15),0),
ROUND(ROUND(OFFSET($P302,0,BA$13),15-13*ORÇAMENTO!$AF$7)*OFFSET(ORÇAMENTO!$W$15,ROW(BA302)-ROW(BA$15),0),15-13*ORÇAMENTO!$AF$11)),0)</f>
        <v>0</v>
      </c>
      <c r="BC302" s="181">
        <f ca="1">IF($D302&lt;&gt;"Serviço",0,IF(AND(AUTOEVENTO="Manual",$M302=1),0,IF(OFFSET(CRONOPLE!$F$14,$M302,BC$13)="",10^12,OFFSET(CRONOPLE!$F$14,$M302,BC$13))))</f>
        <v>9</v>
      </c>
      <c r="BD302" s="181">
        <f ca="1">IF($D302&lt;&gt;"Serviço",0,IF(AND(AUTOEVENTO="Manual",$M302=1),0,IF(OFFSET(CRONOPLE!$F$14,$M302,BD$13)="",10^12,OFFSET(CRONOPLE!$F$14,$M302,BD$13))))</f>
        <v>1000000000000</v>
      </c>
      <c r="BE302" s="181">
        <f ca="1">IF($D302&lt;&gt;"Serviço",0,IF(AND(AUTOEVENTO="Manual",$M302=1),0,IF(OFFSET(CRONOPLE!$F$14,$M302,BE$13)="",10^12,OFFSET(CRONOPLE!$F$14,$M302,BE$13))))</f>
        <v>1000000000000</v>
      </c>
      <c r="BF302" s="181">
        <f ca="1">IF($D302&lt;&gt;"Serviço",0,IF(AND(AUTOEVENTO="Manual",$M302=1),0,IF(OFFSET(CRONOPLE!$F$14,$M302,BF$13)="",10^12,OFFSET(CRONOPLE!$F$14,$M302,BF$13))))</f>
        <v>1000000000000</v>
      </c>
      <c r="BG302" s="181">
        <f ca="1">IF($D302&lt;&gt;"Serviço",0,IF(AND(AUTOEVENTO="Manual",$M302=1),0,IF(OFFSET(CRONOPLE!$F$14,$M302,BG$13)="",10^12,OFFSET(CRONOPLE!$F$14,$M302,BG$13))))</f>
        <v>1000000000000</v>
      </c>
      <c r="BH302" s="181">
        <f ca="1">IF($D302&lt;&gt;"Serviço",0,IF(AND(AUTOEVENTO="Manual",$M302=1),0,IF(OFFSET(CRONOPLE!$F$14,$M302,BH$13)="",10^12,OFFSET(CRONOPLE!$F$14,$M302,BH$13))))</f>
        <v>1000000000000</v>
      </c>
      <c r="BI302" s="181">
        <f ca="1">IF($D302&lt;&gt;"Serviço",0,IF(AND(AUTOEVENTO="Manual",$M302=1),0,IF(OFFSET(CRONOPLE!$F$14,$M302,BI$13)="",10^12,OFFSET(CRONOPLE!$F$14,$M302,BI$13))))</f>
        <v>1000000000000</v>
      </c>
      <c r="BJ302" s="181">
        <f ca="1">IF($D302&lt;&gt;"Serviço",0,IF(AND(AUTOEVENTO="Manual",$M302=1),0,IF(OFFSET(CRONOPLE!$F$14,$M302,BJ$13)="",10^12,OFFSET(CRONOPLE!$F$14,$M302,BJ$13))))</f>
        <v>1000000000000</v>
      </c>
      <c r="BK302" s="181">
        <f ca="1">IF($D302&lt;&gt;"Serviço",0,IF(AND(AUTOEVENTO="Manual",$M302=1),0,IF(OFFSET(CRONOPLE!$F$14,$M302,BK$13)="",10^12,OFFSET(CRONOPLE!$F$14,$M302,BK$13))))</f>
        <v>1000000000000</v>
      </c>
      <c r="BL302" s="181">
        <f ca="1">IF($D302&lt;&gt;"Serviço",0,IF(AND(AUTOEVENTO="Manual",$M302=1),0,IF(OFFSET(CRONOPLE!$F$14,$M302,BL$13)="",10^12,OFFSET(CRONOPLE!$F$14,$M302,BL$13))))</f>
        <v>1000000000000</v>
      </c>
      <c r="BM302" s="181">
        <f ca="1">IF($D302&lt;&gt;"Serviço",0,IF(AND(AUTOEVENTO="Manual",$M302=1),0,IF(OFFSET(CRONOPLE!$F$14,$M302,BM$13)="",10^12,OFFSET(CRONOPLE!$F$14,$M302,BM$13))))</f>
        <v>1000000000000</v>
      </c>
      <c r="BN302" s="181">
        <f ca="1">IF($D302&lt;&gt;"Serviço",0,IF(AND(AUTOEVENTO="Manual",$M302=1),0,IF(OFFSET(CRONOPLE!$F$14,$M302,BN$13)="",10^12,OFFSET(CRONOPLE!$F$14,$M302,BN$13))))</f>
        <v>1000000000000</v>
      </c>
      <c r="BO302" s="181">
        <f ca="1">IF($D302&lt;&gt;"Serviço",0,IF(AND(AUTOEVENTO="Manual",$M302=1),0,IF(OFFSET(CRONOPLE!$F$14,$M302,BO$13)="",10^12,OFFSET(CRONOPLE!$F$14,$M302,BO$13))))</f>
        <v>1000000000000</v>
      </c>
      <c r="BP302" s="181">
        <f ca="1">IF($D302&lt;&gt;"Serviço",0,IF(AND(AUTOEVENTO="Manual",$M302=1),0,IF(OFFSET(CRONOPLE!$F$14,$M302,BP$13)="",10^12,OFFSET(CRONOPLE!$F$14,$M302,BP$13))))</f>
        <v>1000000000000</v>
      </c>
      <c r="BQ302" s="181">
        <f ca="1">IF($D302&lt;&gt;"Serviço",0,IF(AND(AUTOEVENTO="Manual",$M302=1),0,IF(OFFSET(CRONOPLE!$F$14,$M302,BQ$13)="",10^12,OFFSET(CRONOPLE!$F$14,$M302,BQ$13))))</f>
        <v>1000000000000</v>
      </c>
      <c r="BR302" s="181">
        <f ca="1">IF($D302&lt;&gt;"Serviço",0,IF(AND(AUTOEVENTO="Manual",$M302=1),0,IF(OFFSET(CRONOPLE!$F$14,$M302,BR$13)="",10^12,OFFSET(CRONOPLE!$F$14,$M302,BR$13))))</f>
        <v>1000000000000</v>
      </c>
      <c r="BS302" s="181">
        <f ca="1">IF($D302&lt;&gt;"Serviço",0,IF(AND(AUTOEVENTO="Manual",$M302=1),0,IF(OFFSET(CRONOPLE!$F$14,$M302,BS$13)="",10^12,OFFSET(CRONOPLE!$F$14,$M302,BS$13))))</f>
        <v>1000000000000</v>
      </c>
      <c r="BT302" s="181">
        <f ca="1">IF($D302&lt;&gt;"Serviço",0,IF(AND(AUTOEVENTO="Manual",$M302=1),0,IF(OFFSET(CRONOPLE!$F$14,$M302,BT$13)="",10^12,OFFSET(CRONOPLE!$F$14,$M302,BT$13))))</f>
        <v>1000000000000</v>
      </c>
      <c r="BV302" s="182">
        <f ca="1">IF($D302&lt;&gt;"Serviço",0,IF(OR(AND(AUTOEVENTO="Manual",$M302=1),$M302&gt;(ROW(PLE.lastrow)-ROW(PLE.firstrow))),0,IF(OFFSET(PLE!$G$14,$M302,BV$13)="",10^12,OFFSET(PLE!$G$14,$M302,BV$13))))</f>
        <v>1000000000000</v>
      </c>
      <c r="BW302" s="182">
        <f ca="1">IF($D302&lt;&gt;"Serviço",0,IF(OR(AND(AUTOEVENTO="Manual",$M302=1),$M302&gt;(ROW(PLE.lastrow)-ROW(PLE.firstrow))),0,IF(OFFSET(PLE!$G$14,$M302,BW$13)="",10^12,OFFSET(PLE!$G$14,$M302,BW$13))))</f>
        <v>1000000000000</v>
      </c>
      <c r="BX302" s="182">
        <f ca="1">IF($D302&lt;&gt;"Serviço",0,IF(OR(AND(AUTOEVENTO="Manual",$M302=1),$M302&gt;(ROW(PLE.lastrow)-ROW(PLE.firstrow))),0,IF(OFFSET(PLE!$G$14,$M302,BX$13)="",10^12,OFFSET(PLE!$G$14,$M302,BX$13))))</f>
        <v>1000000000000</v>
      </c>
      <c r="BY302" s="182">
        <f ca="1">IF($D302&lt;&gt;"Serviço",0,IF(OR(AND(AUTOEVENTO="Manual",$M302=1),$M302&gt;(ROW(PLE.lastrow)-ROW(PLE.firstrow))),0,IF(OFFSET(PLE!$G$14,$M302,BY$13)="",10^12,OFFSET(PLE!$G$14,$M302,BY$13))))</f>
        <v>1000000000000</v>
      </c>
      <c r="BZ302" s="182">
        <f ca="1">IF($D302&lt;&gt;"Serviço",0,IF(OR(AND(AUTOEVENTO="Manual",$M302=1),$M302&gt;(ROW(PLE.lastrow)-ROW(PLE.firstrow))),0,IF(OFFSET(PLE!$G$14,$M302,BZ$13)="",10^12,OFFSET(PLE!$G$14,$M302,BZ$13))))</f>
        <v>1000000000000</v>
      </c>
      <c r="CA302" s="182">
        <f ca="1">IF($D302&lt;&gt;"Serviço",0,IF(OR(AND(AUTOEVENTO="Manual",$M302=1),$M302&gt;(ROW(PLE.lastrow)-ROW(PLE.firstrow))),0,IF(OFFSET(PLE!$G$14,$M302,CA$13)="",10^12,OFFSET(PLE!$G$14,$M302,CA$13))))</f>
        <v>1000000000000</v>
      </c>
      <c r="CB302" s="182">
        <f ca="1">IF($D302&lt;&gt;"Serviço",0,IF(OR(AND(AUTOEVENTO="Manual",$M302=1),$M302&gt;(ROW(PLE.lastrow)-ROW(PLE.firstrow))),0,IF(OFFSET(PLE!$G$14,$M302,CB$13)="",10^12,OFFSET(PLE!$G$14,$M302,CB$13))))</f>
        <v>1000000000000</v>
      </c>
      <c r="CC302" s="182">
        <f ca="1">IF($D302&lt;&gt;"Serviço",0,IF(OR(AND(AUTOEVENTO="Manual",$M302=1),$M302&gt;(ROW(PLE.lastrow)-ROW(PLE.firstrow))),0,IF(OFFSET(PLE!$G$14,$M302,CC$13)="",10^12,OFFSET(PLE!$G$14,$M302,CC$13))))</f>
        <v>1000000000000</v>
      </c>
      <c r="CD302" s="182">
        <f ca="1">IF($D302&lt;&gt;"Serviço",0,IF(OR(AND(AUTOEVENTO="Manual",$M302=1),$M302&gt;(ROW(PLE.lastrow)-ROW(PLE.firstrow))),0,IF(OFFSET(PLE!$G$14,$M302,CD$13)="",10^12,OFFSET(PLE!$G$14,$M302,CD$13))))</f>
        <v>1000000000000</v>
      </c>
      <c r="CE302" s="182">
        <f ca="1">IF($D302&lt;&gt;"Serviço",0,IF(OR(AND(AUTOEVENTO="Manual",$M302=1),$M302&gt;(ROW(PLE.lastrow)-ROW(PLE.firstrow))),0,IF(OFFSET(PLE!$G$14,$M302,CE$13)="",10^12,OFFSET(PLE!$G$14,$M302,CE$13))))</f>
        <v>1000000000000</v>
      </c>
      <c r="CF302" s="182">
        <f ca="1">IF($D302&lt;&gt;"Serviço",0,IF(OR(AND(AUTOEVENTO="Manual",$M302=1),$M302&gt;(ROW(PLE.lastrow)-ROW(PLE.firstrow))),0,IF(OFFSET(PLE!$G$14,$M302,CF$13)="",10^12,OFFSET(PLE!$G$14,$M302,CF$13))))</f>
        <v>1000000000000</v>
      </c>
      <c r="CG302" s="182">
        <f ca="1">IF($D302&lt;&gt;"Serviço",0,IF(OR(AND(AUTOEVENTO="Manual",$M302=1),$M302&gt;(ROW(PLE.lastrow)-ROW(PLE.firstrow))),0,IF(OFFSET(PLE!$G$14,$M302,CG$13)="",10^12,OFFSET(PLE!$G$14,$M302,CG$13))))</f>
        <v>1000000000000</v>
      </c>
      <c r="CH302" s="182">
        <f ca="1">IF($D302&lt;&gt;"Serviço",0,IF(OR(AND(AUTOEVENTO="Manual",$M302=1),$M302&gt;(ROW(PLE.lastrow)-ROW(PLE.firstrow))),0,IF(OFFSET(PLE!$G$14,$M302,CH$13)="",10^12,OFFSET(PLE!$G$14,$M302,CH$13))))</f>
        <v>1000000000000</v>
      </c>
      <c r="CI302" s="182">
        <f ca="1">IF($D302&lt;&gt;"Serviço",0,IF(OR(AND(AUTOEVENTO="Manual",$M302=1),$M302&gt;(ROW(PLE.lastrow)-ROW(PLE.firstrow))),0,IF(OFFSET(PLE!$G$14,$M302,CI$13)="",10^12,OFFSET(PLE!$G$14,$M302,CI$13))))</f>
        <v>1000000000000</v>
      </c>
      <c r="CJ302" s="182">
        <f ca="1">IF($D302&lt;&gt;"Serviço",0,IF(OR(AND(AUTOEVENTO="Manual",$M302=1),$M302&gt;(ROW(PLE.lastrow)-ROW(PLE.firstrow))),0,IF(OFFSET(PLE!$G$14,$M302,CJ$13)="",10^12,OFFSET(PLE!$G$14,$M302,CJ$13))))</f>
        <v>1000000000000</v>
      </c>
      <c r="CK302" s="182">
        <f ca="1">IF($D302&lt;&gt;"Serviço",0,IF(OR(AND(AUTOEVENTO="Manual",$M302=1),$M302&gt;(ROW(PLE.lastrow)-ROW(PLE.firstrow))),0,IF(OFFSET(PLE!$G$14,$M302,CK$13)="",10^12,OFFSET(PLE!$G$14,$M302,CK$13))))</f>
        <v>1000000000000</v>
      </c>
      <c r="CL302" s="182">
        <f ca="1">IF($D302&lt;&gt;"Serviço",0,IF(OR(AND(AUTOEVENTO="Manual",$M302=1),$M302&gt;(ROW(PLE.lastrow)-ROW(PLE.firstrow))),0,IF(OFFSET(PLE!$G$14,$M302,CL$13)="",10^12,OFFSET(PLE!$G$14,$M302,CL$13))))</f>
        <v>1000000000000</v>
      </c>
      <c r="CM302" s="182">
        <f ca="1">IF($D302&lt;&gt;"Serviço",0,IF(OR(AND(AUTOEVENTO="Manual",$M302=1),$M302&gt;(ROW(PLE.lastrow)-ROW(PLE.firstrow))),0,IF(OFFSET(PLE!$G$14,$M302,CM$13)="",10^12,OFFSET(PLE!$G$14,$M302,CM$13))))</f>
        <v>1000000000000</v>
      </c>
    </row>
    <row r="303" spans="1:91" ht="38.25" x14ac:dyDescent="0.2">
      <c r="A303" s="7" t="str">
        <f t="shared" ca="1" si="12"/>
        <v>285</v>
      </c>
      <c r="B303" s="7" t="str">
        <f ca="1">OFFSET(ORÇAMENTO!C$15,ROW(B303)-ROW(B$15),0)</f>
        <v>S</v>
      </c>
      <c r="C303" s="7" t="str">
        <f ca="1">OFFSET(ORÇAMENTO!L$15,ROW(C303)-ROW(C$15),0)</f>
        <v/>
      </c>
      <c r="D303" s="118" t="str">
        <f ca="1">OFFSET(ORÇAMENTO!N$15,ROW(D303)-ROW(D$15),0)</f>
        <v>Serviço</v>
      </c>
      <c r="E303" s="119" t="str">
        <f ca="1">OFFSET(ORÇAMENTO!O$15,ROW(E303)-ROW(E$15),0)</f>
        <v>-</v>
      </c>
      <c r="F303" s="172" t="str">
        <f ca="1">OFFSET(ORÇAMENTO!R$15,ROW(F303)-ROW(F$15),0)</f>
        <v>(abra o arquivo 'Referência 06-2024.xlsm)</v>
      </c>
      <c r="G303" s="173" t="str">
        <f ca="1">IF($D303&lt;&gt;"Serviço","",OFFSET(ORÇAMENTO!S$15,ROW(G303)-ROW(G$15),0))</f>
        <v>-</v>
      </c>
      <c r="H303" s="124">
        <f ca="1">IF($D303&lt;&gt;"Serviço",0,IF(ACOMPANHAMENTO="BM",ROUND(OFFSET(ORÇAMENTO!AJ$15,ROW(H303)-ROW(H$15),0),15-13*ORÇAMENTO!$AF$7),SUMPRODUCT(($Q$12:$AI$12&lt;&gt;"")*ROUND($Q303:$AI303,15-13*ORÇAMENTO!$AF$7))))</f>
        <v>39.700000000000003</v>
      </c>
      <c r="I303" s="561" t="s">
        <v>1107</v>
      </c>
      <c r="K303" s="174"/>
      <c r="L303" s="175" t="s">
        <v>255</v>
      </c>
      <c r="M303" s="176">
        <f ca="1">IF($D303&lt;&gt;"Serviço","",IF(AUTOEVENTO="manual",$A303,IF(ISERROR(MATCH($A303,$A$15:OFFSET($A303,-1,0),0)),MAX($M$15:OFFSET(M303,-1,0))+1,INDEX($M$15:OFFSET(M303,-1,0),MATCH($A303,$A$15:OFFSET($A303,-1,0),0)))))</f>
        <v>39</v>
      </c>
      <c r="N303" s="177" t="str">
        <f ca="1">IF($D303&lt;&gt;"Serviço","",IF(AUTOEVENTO="Manual",IF($A303=0,"&lt;-- defina o número do agrupador",OFFSET(EVENTOS!$D$14,$A303,0)),OFFSET($F$15,$A303,0)))</f>
        <v>DRENAGEM DE ÁGUAS PLUVIAIS - TUBULAÇÕES E CONEXÕES DE PVC</v>
      </c>
      <c r="O303" s="178"/>
      <c r="Q303" s="178">
        <v>39.700000000000003</v>
      </c>
      <c r="R303" s="179"/>
      <c r="S303" s="179"/>
      <c r="T303" s="179"/>
      <c r="U303" s="179"/>
      <c r="V303" s="179"/>
      <c r="W303" s="179"/>
      <c r="X303" s="179"/>
      <c r="Y303" s="179"/>
      <c r="Z303" s="180"/>
      <c r="AA303" s="179"/>
      <c r="AB303" s="179"/>
      <c r="AC303" s="179"/>
      <c r="AD303" s="179"/>
      <c r="AE303" s="179"/>
      <c r="AF303" s="179"/>
      <c r="AG303" s="179"/>
      <c r="AH303" s="180"/>
      <c r="AJ303" s="544">
        <f ca="1">IF(AND($D303="Serviço",AJ$12&lt;&gt;0,$H303&gt;0,OR(AUTOEVENTO&lt;&gt;"manual",$M303&lt;&gt;1)),
IF(Import.TipoArredondamento&lt;&gt;"TransfereGOV",
ROUND(OFFSET($P303,0,AJ$13),15-13*ORÇAMENTO!$AF$7)/$H303*OFFSET(ORÇAMENTO!$X$15,ROW(AJ303)-ROW(AJ$15),0),
ROUND(ROUND(OFFSET($P303,0,AJ$13),15-13*ORÇAMENTO!$AF$7)*OFFSET(ORÇAMENTO!$W$15,ROW(AJ303)-ROW(AJ$15),0),15-13*ORÇAMENTO!$AF$11)),0)</f>
        <v>0</v>
      </c>
      <c r="AK303" s="545">
        <f ca="1">IF(AND($D303="Serviço",AK$12&lt;&gt;0,$H303&gt;0,OR(AUTOEVENTO&lt;&gt;"manual",$M303&lt;&gt;1)),
IF(Import.TipoArredondamento&lt;&gt;"TransfereGOV",
ROUND(OFFSET($P303,0,AK$13),15-13*ORÇAMENTO!$AF$7)/$H303*OFFSET(ORÇAMENTO!$X$15,ROW(AK303)-ROW(AK$15),0),
ROUND(ROUND(OFFSET($P303,0,AK$13),15-13*ORÇAMENTO!$AF$7)*OFFSET(ORÇAMENTO!$W$15,ROW(AK303)-ROW(AK$15),0),15-13*ORÇAMENTO!$AF$11)),0)</f>
        <v>0</v>
      </c>
      <c r="AL303" s="545">
        <f ca="1">IF(AND($D303="Serviço",AL$12&lt;&gt;0,$H303&gt;0,OR(AUTOEVENTO&lt;&gt;"manual",$M303&lt;&gt;1)),
IF(Import.TipoArredondamento&lt;&gt;"TransfereGOV",
ROUND(OFFSET($P303,0,AL$13),15-13*ORÇAMENTO!$AF$7)/$H303*OFFSET(ORÇAMENTO!$X$15,ROW(AL303)-ROW(AL$15),0),
ROUND(ROUND(OFFSET($P303,0,AL$13),15-13*ORÇAMENTO!$AF$7)*OFFSET(ORÇAMENTO!$W$15,ROW(AL303)-ROW(AL$15),0),15-13*ORÇAMENTO!$AF$11)),0)</f>
        <v>0</v>
      </c>
      <c r="AM303" s="545">
        <f ca="1">IF(AND($D303="Serviço",AM$12&lt;&gt;0,$H303&gt;0,OR(AUTOEVENTO&lt;&gt;"manual",$M303&lt;&gt;1)),
IF(Import.TipoArredondamento&lt;&gt;"TransfereGOV",
ROUND(OFFSET($P303,0,AM$13),15-13*ORÇAMENTO!$AF$7)/$H303*OFFSET(ORÇAMENTO!$X$15,ROW(AM303)-ROW(AM$15),0),
ROUND(ROUND(OFFSET($P303,0,AM$13),15-13*ORÇAMENTO!$AF$7)*OFFSET(ORÇAMENTO!$W$15,ROW(AM303)-ROW(AM$15),0),15-13*ORÇAMENTO!$AF$11)),0)</f>
        <v>0</v>
      </c>
      <c r="AN303" s="545">
        <f ca="1">IF(AND($D303="Serviço",AN$12&lt;&gt;0,$H303&gt;0,OR(AUTOEVENTO&lt;&gt;"manual",$M303&lt;&gt;1)),
IF(Import.TipoArredondamento&lt;&gt;"TransfereGOV",
ROUND(OFFSET($P303,0,AN$13),15-13*ORÇAMENTO!$AF$7)/$H303*OFFSET(ORÇAMENTO!$X$15,ROW(AN303)-ROW(AN$15),0),
ROUND(ROUND(OFFSET($P303,0,AN$13),15-13*ORÇAMENTO!$AF$7)*OFFSET(ORÇAMENTO!$W$15,ROW(AN303)-ROW(AN$15),0),15-13*ORÇAMENTO!$AF$11)),0)</f>
        <v>0</v>
      </c>
      <c r="AO303" s="545">
        <f ca="1">IF(AND($D303="Serviço",AO$12&lt;&gt;0,$H303&gt;0,OR(AUTOEVENTO&lt;&gt;"manual",$M303&lt;&gt;1)),
IF(Import.TipoArredondamento&lt;&gt;"TransfereGOV",
ROUND(OFFSET($P303,0,AO$13),15-13*ORÇAMENTO!$AF$7)/$H303*OFFSET(ORÇAMENTO!$X$15,ROW(AO303)-ROW(AO$15),0),
ROUND(ROUND(OFFSET($P303,0,AO$13),15-13*ORÇAMENTO!$AF$7)*OFFSET(ORÇAMENTO!$W$15,ROW(AO303)-ROW(AO$15),0),15-13*ORÇAMENTO!$AF$11)),0)</f>
        <v>0</v>
      </c>
      <c r="AP303" s="545">
        <f ca="1">IF(AND($D303="Serviço",AP$12&lt;&gt;0,$H303&gt;0,OR(AUTOEVENTO&lt;&gt;"manual",$M303&lt;&gt;1)),
IF(Import.TipoArredondamento&lt;&gt;"TransfereGOV",
ROUND(OFFSET($P303,0,AP$13),15-13*ORÇAMENTO!$AF$7)/$H303*OFFSET(ORÇAMENTO!$X$15,ROW(AP303)-ROW(AP$15),0),
ROUND(ROUND(OFFSET($P303,0,AP$13),15-13*ORÇAMENTO!$AF$7)*OFFSET(ORÇAMENTO!$W$15,ROW(AP303)-ROW(AP$15),0),15-13*ORÇAMENTO!$AF$11)),0)</f>
        <v>0</v>
      </c>
      <c r="AQ303" s="545">
        <f ca="1">IF(AND($D303="Serviço",AQ$12&lt;&gt;0,$H303&gt;0,OR(AUTOEVENTO&lt;&gt;"manual",$M303&lt;&gt;1)),
IF(Import.TipoArredondamento&lt;&gt;"TransfereGOV",
ROUND(OFFSET($P303,0,AQ$13),15-13*ORÇAMENTO!$AF$7)/$H303*OFFSET(ORÇAMENTO!$X$15,ROW(AQ303)-ROW(AQ$15),0),
ROUND(ROUND(OFFSET($P303,0,AQ$13),15-13*ORÇAMENTO!$AF$7)*OFFSET(ORÇAMENTO!$W$15,ROW(AQ303)-ROW(AQ$15),0),15-13*ORÇAMENTO!$AF$11)),0)</f>
        <v>0</v>
      </c>
      <c r="AR303" s="545">
        <f ca="1">IF(AND($D303="Serviço",AR$12&lt;&gt;0,$H303&gt;0,OR(AUTOEVENTO&lt;&gt;"manual",$M303&lt;&gt;1)),
IF(Import.TipoArredondamento&lt;&gt;"TransfereGOV",
ROUND(OFFSET($P303,0,AR$13),15-13*ORÇAMENTO!$AF$7)/$H303*OFFSET(ORÇAMENTO!$X$15,ROW(AR303)-ROW(AR$15),0),
ROUND(ROUND(OFFSET($P303,0,AR$13),15-13*ORÇAMENTO!$AF$7)*OFFSET(ORÇAMENTO!$W$15,ROW(AR303)-ROW(AR$15),0),15-13*ORÇAMENTO!$AF$11)),0)</f>
        <v>0</v>
      </c>
      <c r="AS303" s="546">
        <f ca="1">IF(AND($D303="Serviço",AS$12&lt;&gt;0,$H303&gt;0,OR(AUTOEVENTO&lt;&gt;"manual",$M303&lt;&gt;1)),
IF(Import.TipoArredondamento&lt;&gt;"TransfereGOV",
ROUND(OFFSET($P303,0,AS$13),15-13*ORÇAMENTO!$AF$7)/$H303*OFFSET(ORÇAMENTO!$X$15,ROW(AS303)-ROW(AS$15),0),
ROUND(ROUND(OFFSET($P303,0,AS$13),15-13*ORÇAMENTO!$AF$7)*OFFSET(ORÇAMENTO!$W$15,ROW(AS303)-ROW(AS$15),0),15-13*ORÇAMENTO!$AF$11)),0)</f>
        <v>0</v>
      </c>
      <c r="AT303" s="545">
        <f ca="1">IF(AND($D303="Serviço",AT$12&lt;&gt;0,$H303&gt;0,OR(AUTOEVENTO&lt;&gt;"manual",$M303&lt;&gt;1)),
IF(Import.TipoArredondamento&lt;&gt;"TransfereGOV",
ROUND(OFFSET($P303,0,AT$13),15-13*ORÇAMENTO!$AF$7)/$H303*OFFSET(ORÇAMENTO!$X$15,ROW(AT303)-ROW(AT$15),0),
ROUND(ROUND(OFFSET($P303,0,AT$13),15-13*ORÇAMENTO!$AF$7)*OFFSET(ORÇAMENTO!$W$15,ROW(AT303)-ROW(AT$15),0),15-13*ORÇAMENTO!$AF$11)),0)</f>
        <v>0</v>
      </c>
      <c r="AU303" s="545">
        <f ca="1">IF(AND($D303="Serviço",AU$12&lt;&gt;0,$H303&gt;0,OR(AUTOEVENTO&lt;&gt;"manual",$M303&lt;&gt;1)),
IF(Import.TipoArredondamento&lt;&gt;"TransfereGOV",
ROUND(OFFSET($P303,0,AU$13),15-13*ORÇAMENTO!$AF$7)/$H303*OFFSET(ORÇAMENTO!$X$15,ROW(AU303)-ROW(AU$15),0),
ROUND(ROUND(OFFSET($P303,0,AU$13),15-13*ORÇAMENTO!$AF$7)*OFFSET(ORÇAMENTO!$W$15,ROW(AU303)-ROW(AU$15),0),15-13*ORÇAMENTO!$AF$11)),0)</f>
        <v>0</v>
      </c>
      <c r="AV303" s="545">
        <f ca="1">IF(AND($D303="Serviço",AV$12&lt;&gt;0,$H303&gt;0,OR(AUTOEVENTO&lt;&gt;"manual",$M303&lt;&gt;1)),
IF(Import.TipoArredondamento&lt;&gt;"TransfereGOV",
ROUND(OFFSET($P303,0,AV$13),15-13*ORÇAMENTO!$AF$7)/$H303*OFFSET(ORÇAMENTO!$X$15,ROW(AV303)-ROW(AV$15),0),
ROUND(ROUND(OFFSET($P303,0,AV$13),15-13*ORÇAMENTO!$AF$7)*OFFSET(ORÇAMENTO!$W$15,ROW(AV303)-ROW(AV$15),0),15-13*ORÇAMENTO!$AF$11)),0)</f>
        <v>0</v>
      </c>
      <c r="AW303" s="545">
        <f ca="1">IF(AND($D303="Serviço",AW$12&lt;&gt;0,$H303&gt;0,OR(AUTOEVENTO&lt;&gt;"manual",$M303&lt;&gt;1)),
IF(Import.TipoArredondamento&lt;&gt;"TransfereGOV",
ROUND(OFFSET($P303,0,AW$13),15-13*ORÇAMENTO!$AF$7)/$H303*OFFSET(ORÇAMENTO!$X$15,ROW(AW303)-ROW(AW$15),0),
ROUND(ROUND(OFFSET($P303,0,AW$13),15-13*ORÇAMENTO!$AF$7)*OFFSET(ORÇAMENTO!$W$15,ROW(AW303)-ROW(AW$15),0),15-13*ORÇAMENTO!$AF$11)),0)</f>
        <v>0</v>
      </c>
      <c r="AX303" s="545">
        <f ca="1">IF(AND($D303="Serviço",AX$12&lt;&gt;0,$H303&gt;0,OR(AUTOEVENTO&lt;&gt;"manual",$M303&lt;&gt;1)),
IF(Import.TipoArredondamento&lt;&gt;"TransfereGOV",
ROUND(OFFSET($P303,0,AX$13),15-13*ORÇAMENTO!$AF$7)/$H303*OFFSET(ORÇAMENTO!$X$15,ROW(AX303)-ROW(AX$15),0),
ROUND(ROUND(OFFSET($P303,0,AX$13),15-13*ORÇAMENTO!$AF$7)*OFFSET(ORÇAMENTO!$W$15,ROW(AX303)-ROW(AX$15),0),15-13*ORÇAMENTO!$AF$11)),0)</f>
        <v>0</v>
      </c>
      <c r="AY303" s="545">
        <f ca="1">IF(AND($D303="Serviço",AY$12&lt;&gt;0,$H303&gt;0,OR(AUTOEVENTO&lt;&gt;"manual",$M303&lt;&gt;1)),
IF(Import.TipoArredondamento&lt;&gt;"TransfereGOV",
ROUND(OFFSET($P303,0,AY$13),15-13*ORÇAMENTO!$AF$7)/$H303*OFFSET(ORÇAMENTO!$X$15,ROW(AY303)-ROW(AY$15),0),
ROUND(ROUND(OFFSET($P303,0,AY$13),15-13*ORÇAMENTO!$AF$7)*OFFSET(ORÇAMENTO!$W$15,ROW(AY303)-ROW(AY$15),0),15-13*ORÇAMENTO!$AF$11)),0)</f>
        <v>0</v>
      </c>
      <c r="AZ303" s="545">
        <f ca="1">IF(AND($D303="Serviço",AZ$12&lt;&gt;0,$H303&gt;0,OR(AUTOEVENTO&lt;&gt;"manual",$M303&lt;&gt;1)),
IF(Import.TipoArredondamento&lt;&gt;"TransfereGOV",
ROUND(OFFSET($P303,0,AZ$13),15-13*ORÇAMENTO!$AF$7)/$H303*OFFSET(ORÇAMENTO!$X$15,ROW(AZ303)-ROW(AZ$15),0),
ROUND(ROUND(OFFSET($P303,0,AZ$13),15-13*ORÇAMENTO!$AF$7)*OFFSET(ORÇAMENTO!$W$15,ROW(AZ303)-ROW(AZ$15),0),15-13*ORÇAMENTO!$AF$11)),0)</f>
        <v>0</v>
      </c>
      <c r="BA303" s="546">
        <f ca="1">IF(AND($D303="Serviço",BA$12&lt;&gt;0,$H303&gt;0,OR(AUTOEVENTO&lt;&gt;"manual",$M303&lt;&gt;1)),
IF(Import.TipoArredondamento&lt;&gt;"TransfereGOV",
ROUND(OFFSET($P303,0,BA$13),15-13*ORÇAMENTO!$AF$7)/$H303*OFFSET(ORÇAMENTO!$X$15,ROW(BA303)-ROW(BA$15),0),
ROUND(ROUND(OFFSET($P303,0,BA$13),15-13*ORÇAMENTO!$AF$7)*OFFSET(ORÇAMENTO!$W$15,ROW(BA303)-ROW(BA$15),0),15-13*ORÇAMENTO!$AF$11)),0)</f>
        <v>0</v>
      </c>
      <c r="BC303" s="181">
        <f ca="1">IF($D303&lt;&gt;"Serviço",0,IF(AND(AUTOEVENTO="Manual",$M303=1),0,IF(OFFSET(CRONOPLE!$F$14,$M303,BC$13)="",10^12,OFFSET(CRONOPLE!$F$14,$M303,BC$13))))</f>
        <v>9</v>
      </c>
      <c r="BD303" s="181">
        <f ca="1">IF($D303&lt;&gt;"Serviço",0,IF(AND(AUTOEVENTO="Manual",$M303=1),0,IF(OFFSET(CRONOPLE!$F$14,$M303,BD$13)="",10^12,OFFSET(CRONOPLE!$F$14,$M303,BD$13))))</f>
        <v>1000000000000</v>
      </c>
      <c r="BE303" s="181">
        <f ca="1">IF($D303&lt;&gt;"Serviço",0,IF(AND(AUTOEVENTO="Manual",$M303=1),0,IF(OFFSET(CRONOPLE!$F$14,$M303,BE$13)="",10^12,OFFSET(CRONOPLE!$F$14,$M303,BE$13))))</f>
        <v>1000000000000</v>
      </c>
      <c r="BF303" s="181">
        <f ca="1">IF($D303&lt;&gt;"Serviço",0,IF(AND(AUTOEVENTO="Manual",$M303=1),0,IF(OFFSET(CRONOPLE!$F$14,$M303,BF$13)="",10^12,OFFSET(CRONOPLE!$F$14,$M303,BF$13))))</f>
        <v>1000000000000</v>
      </c>
      <c r="BG303" s="181">
        <f ca="1">IF($D303&lt;&gt;"Serviço",0,IF(AND(AUTOEVENTO="Manual",$M303=1),0,IF(OFFSET(CRONOPLE!$F$14,$M303,BG$13)="",10^12,OFFSET(CRONOPLE!$F$14,$M303,BG$13))))</f>
        <v>1000000000000</v>
      </c>
      <c r="BH303" s="181">
        <f ca="1">IF($D303&lt;&gt;"Serviço",0,IF(AND(AUTOEVENTO="Manual",$M303=1),0,IF(OFFSET(CRONOPLE!$F$14,$M303,BH$13)="",10^12,OFFSET(CRONOPLE!$F$14,$M303,BH$13))))</f>
        <v>1000000000000</v>
      </c>
      <c r="BI303" s="181">
        <f ca="1">IF($D303&lt;&gt;"Serviço",0,IF(AND(AUTOEVENTO="Manual",$M303=1),0,IF(OFFSET(CRONOPLE!$F$14,$M303,BI$13)="",10^12,OFFSET(CRONOPLE!$F$14,$M303,BI$13))))</f>
        <v>1000000000000</v>
      </c>
      <c r="BJ303" s="181">
        <f ca="1">IF($D303&lt;&gt;"Serviço",0,IF(AND(AUTOEVENTO="Manual",$M303=1),0,IF(OFFSET(CRONOPLE!$F$14,$M303,BJ$13)="",10^12,OFFSET(CRONOPLE!$F$14,$M303,BJ$13))))</f>
        <v>1000000000000</v>
      </c>
      <c r="BK303" s="181">
        <f ca="1">IF($D303&lt;&gt;"Serviço",0,IF(AND(AUTOEVENTO="Manual",$M303=1),0,IF(OFFSET(CRONOPLE!$F$14,$M303,BK$13)="",10^12,OFFSET(CRONOPLE!$F$14,$M303,BK$13))))</f>
        <v>1000000000000</v>
      </c>
      <c r="BL303" s="181">
        <f ca="1">IF($D303&lt;&gt;"Serviço",0,IF(AND(AUTOEVENTO="Manual",$M303=1),0,IF(OFFSET(CRONOPLE!$F$14,$M303,BL$13)="",10^12,OFFSET(CRONOPLE!$F$14,$M303,BL$13))))</f>
        <v>1000000000000</v>
      </c>
      <c r="BM303" s="181">
        <f ca="1">IF($D303&lt;&gt;"Serviço",0,IF(AND(AUTOEVENTO="Manual",$M303=1),0,IF(OFFSET(CRONOPLE!$F$14,$M303,BM$13)="",10^12,OFFSET(CRONOPLE!$F$14,$M303,BM$13))))</f>
        <v>1000000000000</v>
      </c>
      <c r="BN303" s="181">
        <f ca="1">IF($D303&lt;&gt;"Serviço",0,IF(AND(AUTOEVENTO="Manual",$M303=1),0,IF(OFFSET(CRONOPLE!$F$14,$M303,BN$13)="",10^12,OFFSET(CRONOPLE!$F$14,$M303,BN$13))))</f>
        <v>1000000000000</v>
      </c>
      <c r="BO303" s="181">
        <f ca="1">IF($D303&lt;&gt;"Serviço",0,IF(AND(AUTOEVENTO="Manual",$M303=1),0,IF(OFFSET(CRONOPLE!$F$14,$M303,BO$13)="",10^12,OFFSET(CRONOPLE!$F$14,$M303,BO$13))))</f>
        <v>1000000000000</v>
      </c>
      <c r="BP303" s="181">
        <f ca="1">IF($D303&lt;&gt;"Serviço",0,IF(AND(AUTOEVENTO="Manual",$M303=1),0,IF(OFFSET(CRONOPLE!$F$14,$M303,BP$13)="",10^12,OFFSET(CRONOPLE!$F$14,$M303,BP$13))))</f>
        <v>1000000000000</v>
      </c>
      <c r="BQ303" s="181">
        <f ca="1">IF($D303&lt;&gt;"Serviço",0,IF(AND(AUTOEVENTO="Manual",$M303=1),0,IF(OFFSET(CRONOPLE!$F$14,$M303,BQ$13)="",10^12,OFFSET(CRONOPLE!$F$14,$M303,BQ$13))))</f>
        <v>1000000000000</v>
      </c>
      <c r="BR303" s="181">
        <f ca="1">IF($D303&lt;&gt;"Serviço",0,IF(AND(AUTOEVENTO="Manual",$M303=1),0,IF(OFFSET(CRONOPLE!$F$14,$M303,BR$13)="",10^12,OFFSET(CRONOPLE!$F$14,$M303,BR$13))))</f>
        <v>1000000000000</v>
      </c>
      <c r="BS303" s="181">
        <f ca="1">IF($D303&lt;&gt;"Serviço",0,IF(AND(AUTOEVENTO="Manual",$M303=1),0,IF(OFFSET(CRONOPLE!$F$14,$M303,BS$13)="",10^12,OFFSET(CRONOPLE!$F$14,$M303,BS$13))))</f>
        <v>1000000000000</v>
      </c>
      <c r="BT303" s="181">
        <f ca="1">IF($D303&lt;&gt;"Serviço",0,IF(AND(AUTOEVENTO="Manual",$M303=1),0,IF(OFFSET(CRONOPLE!$F$14,$M303,BT$13)="",10^12,OFFSET(CRONOPLE!$F$14,$M303,BT$13))))</f>
        <v>1000000000000</v>
      </c>
      <c r="BV303" s="182">
        <f ca="1">IF($D303&lt;&gt;"Serviço",0,IF(OR(AND(AUTOEVENTO="Manual",$M303=1),$M303&gt;(ROW(PLE.lastrow)-ROW(PLE.firstrow))),0,IF(OFFSET(PLE!$G$14,$M303,BV$13)="",10^12,OFFSET(PLE!$G$14,$M303,BV$13))))</f>
        <v>1000000000000</v>
      </c>
      <c r="BW303" s="182">
        <f ca="1">IF($D303&lt;&gt;"Serviço",0,IF(OR(AND(AUTOEVENTO="Manual",$M303=1),$M303&gt;(ROW(PLE.lastrow)-ROW(PLE.firstrow))),0,IF(OFFSET(PLE!$G$14,$M303,BW$13)="",10^12,OFFSET(PLE!$G$14,$M303,BW$13))))</f>
        <v>1000000000000</v>
      </c>
      <c r="BX303" s="182">
        <f ca="1">IF($D303&lt;&gt;"Serviço",0,IF(OR(AND(AUTOEVENTO="Manual",$M303=1),$M303&gt;(ROW(PLE.lastrow)-ROW(PLE.firstrow))),0,IF(OFFSET(PLE!$G$14,$M303,BX$13)="",10^12,OFFSET(PLE!$G$14,$M303,BX$13))))</f>
        <v>1000000000000</v>
      </c>
      <c r="BY303" s="182">
        <f ca="1">IF($D303&lt;&gt;"Serviço",0,IF(OR(AND(AUTOEVENTO="Manual",$M303=1),$M303&gt;(ROW(PLE.lastrow)-ROW(PLE.firstrow))),0,IF(OFFSET(PLE!$G$14,$M303,BY$13)="",10^12,OFFSET(PLE!$G$14,$M303,BY$13))))</f>
        <v>1000000000000</v>
      </c>
      <c r="BZ303" s="182">
        <f ca="1">IF($D303&lt;&gt;"Serviço",0,IF(OR(AND(AUTOEVENTO="Manual",$M303=1),$M303&gt;(ROW(PLE.lastrow)-ROW(PLE.firstrow))),0,IF(OFFSET(PLE!$G$14,$M303,BZ$13)="",10^12,OFFSET(PLE!$G$14,$M303,BZ$13))))</f>
        <v>1000000000000</v>
      </c>
      <c r="CA303" s="182">
        <f ca="1">IF($D303&lt;&gt;"Serviço",0,IF(OR(AND(AUTOEVENTO="Manual",$M303=1),$M303&gt;(ROW(PLE.lastrow)-ROW(PLE.firstrow))),0,IF(OFFSET(PLE!$G$14,$M303,CA$13)="",10^12,OFFSET(PLE!$G$14,$M303,CA$13))))</f>
        <v>1000000000000</v>
      </c>
      <c r="CB303" s="182">
        <f ca="1">IF($D303&lt;&gt;"Serviço",0,IF(OR(AND(AUTOEVENTO="Manual",$M303=1),$M303&gt;(ROW(PLE.lastrow)-ROW(PLE.firstrow))),0,IF(OFFSET(PLE!$G$14,$M303,CB$13)="",10^12,OFFSET(PLE!$G$14,$M303,CB$13))))</f>
        <v>1000000000000</v>
      </c>
      <c r="CC303" s="182">
        <f ca="1">IF($D303&lt;&gt;"Serviço",0,IF(OR(AND(AUTOEVENTO="Manual",$M303=1),$M303&gt;(ROW(PLE.lastrow)-ROW(PLE.firstrow))),0,IF(OFFSET(PLE!$G$14,$M303,CC$13)="",10^12,OFFSET(PLE!$G$14,$M303,CC$13))))</f>
        <v>1000000000000</v>
      </c>
      <c r="CD303" s="182">
        <f ca="1">IF($D303&lt;&gt;"Serviço",0,IF(OR(AND(AUTOEVENTO="Manual",$M303=1),$M303&gt;(ROW(PLE.lastrow)-ROW(PLE.firstrow))),0,IF(OFFSET(PLE!$G$14,$M303,CD$13)="",10^12,OFFSET(PLE!$G$14,$M303,CD$13))))</f>
        <v>1000000000000</v>
      </c>
      <c r="CE303" s="182">
        <f ca="1">IF($D303&lt;&gt;"Serviço",0,IF(OR(AND(AUTOEVENTO="Manual",$M303=1),$M303&gt;(ROW(PLE.lastrow)-ROW(PLE.firstrow))),0,IF(OFFSET(PLE!$G$14,$M303,CE$13)="",10^12,OFFSET(PLE!$G$14,$M303,CE$13))))</f>
        <v>1000000000000</v>
      </c>
      <c r="CF303" s="182">
        <f ca="1">IF($D303&lt;&gt;"Serviço",0,IF(OR(AND(AUTOEVENTO="Manual",$M303=1),$M303&gt;(ROW(PLE.lastrow)-ROW(PLE.firstrow))),0,IF(OFFSET(PLE!$G$14,$M303,CF$13)="",10^12,OFFSET(PLE!$G$14,$M303,CF$13))))</f>
        <v>1000000000000</v>
      </c>
      <c r="CG303" s="182">
        <f ca="1">IF($D303&lt;&gt;"Serviço",0,IF(OR(AND(AUTOEVENTO="Manual",$M303=1),$M303&gt;(ROW(PLE.lastrow)-ROW(PLE.firstrow))),0,IF(OFFSET(PLE!$G$14,$M303,CG$13)="",10^12,OFFSET(PLE!$G$14,$M303,CG$13))))</f>
        <v>1000000000000</v>
      </c>
      <c r="CH303" s="182">
        <f ca="1">IF($D303&lt;&gt;"Serviço",0,IF(OR(AND(AUTOEVENTO="Manual",$M303=1),$M303&gt;(ROW(PLE.lastrow)-ROW(PLE.firstrow))),0,IF(OFFSET(PLE!$G$14,$M303,CH$13)="",10^12,OFFSET(PLE!$G$14,$M303,CH$13))))</f>
        <v>1000000000000</v>
      </c>
      <c r="CI303" s="182">
        <f ca="1">IF($D303&lt;&gt;"Serviço",0,IF(OR(AND(AUTOEVENTO="Manual",$M303=1),$M303&gt;(ROW(PLE.lastrow)-ROW(PLE.firstrow))),0,IF(OFFSET(PLE!$G$14,$M303,CI$13)="",10^12,OFFSET(PLE!$G$14,$M303,CI$13))))</f>
        <v>1000000000000</v>
      </c>
      <c r="CJ303" s="182">
        <f ca="1">IF($D303&lt;&gt;"Serviço",0,IF(OR(AND(AUTOEVENTO="Manual",$M303=1),$M303&gt;(ROW(PLE.lastrow)-ROW(PLE.firstrow))),0,IF(OFFSET(PLE!$G$14,$M303,CJ$13)="",10^12,OFFSET(PLE!$G$14,$M303,CJ$13))))</f>
        <v>1000000000000</v>
      </c>
      <c r="CK303" s="182">
        <f ca="1">IF($D303&lt;&gt;"Serviço",0,IF(OR(AND(AUTOEVENTO="Manual",$M303=1),$M303&gt;(ROW(PLE.lastrow)-ROW(PLE.firstrow))),0,IF(OFFSET(PLE!$G$14,$M303,CK$13)="",10^12,OFFSET(PLE!$G$14,$M303,CK$13))))</f>
        <v>1000000000000</v>
      </c>
      <c r="CL303" s="182">
        <f ca="1">IF($D303&lt;&gt;"Serviço",0,IF(OR(AND(AUTOEVENTO="Manual",$M303=1),$M303&gt;(ROW(PLE.lastrow)-ROW(PLE.firstrow))),0,IF(OFFSET(PLE!$G$14,$M303,CL$13)="",10^12,OFFSET(PLE!$G$14,$M303,CL$13))))</f>
        <v>1000000000000</v>
      </c>
      <c r="CM303" s="182">
        <f ca="1">IF($D303&lt;&gt;"Serviço",0,IF(OR(AND(AUTOEVENTO="Manual",$M303=1),$M303&gt;(ROW(PLE.lastrow)-ROW(PLE.firstrow))),0,IF(OFFSET(PLE!$G$14,$M303,CM$13)="",10^12,OFFSET(PLE!$G$14,$M303,CM$13))))</f>
        <v>1000000000000</v>
      </c>
    </row>
    <row r="304" spans="1:91" ht="38.25" x14ac:dyDescent="0.2">
      <c r="A304" s="7" t="str">
        <f t="shared" ca="1" si="12"/>
        <v>285</v>
      </c>
      <c r="B304" s="7" t="str">
        <f ca="1">OFFSET(ORÇAMENTO!C$15,ROW(B304)-ROW(B$15),0)</f>
        <v>S</v>
      </c>
      <c r="C304" s="7" t="str">
        <f ca="1">OFFSET(ORÇAMENTO!L$15,ROW(C304)-ROW(C$15),0)</f>
        <v/>
      </c>
      <c r="D304" s="118" t="str">
        <f ca="1">OFFSET(ORÇAMENTO!N$15,ROW(D304)-ROW(D$15),0)</f>
        <v>Serviço</v>
      </c>
      <c r="E304" s="119" t="str">
        <f ca="1">OFFSET(ORÇAMENTO!O$15,ROW(E304)-ROW(E$15),0)</f>
        <v>-</v>
      </c>
      <c r="F304" s="172" t="str">
        <f ca="1">OFFSET(ORÇAMENTO!R$15,ROW(F304)-ROW(F$15),0)</f>
        <v>(abra o arquivo 'Referência 06-2024.xlsm)</v>
      </c>
      <c r="G304" s="173" t="str">
        <f ca="1">IF($D304&lt;&gt;"Serviço","",OFFSET(ORÇAMENTO!S$15,ROW(G304)-ROW(G$15),0))</f>
        <v>-</v>
      </c>
      <c r="H304" s="124">
        <f ca="1">IF($D304&lt;&gt;"Serviço",0,IF(ACOMPANHAMENTO="BM",ROUND(OFFSET(ORÇAMENTO!AJ$15,ROW(H304)-ROW(H$15),0),15-13*ORÇAMENTO!$AF$7),SUMPRODUCT(($Q$12:$AI$12&lt;&gt;"")*ROUND($Q304:$AI304,15-13*ORÇAMENTO!$AF$7))))</f>
        <v>62.8</v>
      </c>
      <c r="I304" s="561" t="s">
        <v>1107</v>
      </c>
      <c r="K304" s="174"/>
      <c r="L304" s="175" t="s">
        <v>255</v>
      </c>
      <c r="M304" s="176">
        <f ca="1">IF($D304&lt;&gt;"Serviço","",IF(AUTOEVENTO="manual",$A304,IF(ISERROR(MATCH($A304,$A$15:OFFSET($A304,-1,0),0)),MAX($M$15:OFFSET(M304,-1,0))+1,INDEX($M$15:OFFSET(M304,-1,0),MATCH($A304,$A$15:OFFSET($A304,-1,0),0)))))</f>
        <v>39</v>
      </c>
      <c r="N304" s="177" t="str">
        <f ca="1">IF($D304&lt;&gt;"Serviço","",IF(AUTOEVENTO="Manual",IF($A304=0,"&lt;-- defina o número do agrupador",OFFSET(EVENTOS!$D$14,$A304,0)),OFFSET($F$15,$A304,0)))</f>
        <v>DRENAGEM DE ÁGUAS PLUVIAIS - TUBULAÇÕES E CONEXÕES DE PVC</v>
      </c>
      <c r="O304" s="178"/>
      <c r="Q304" s="178">
        <v>62.8</v>
      </c>
      <c r="R304" s="179"/>
      <c r="S304" s="179"/>
      <c r="T304" s="179"/>
      <c r="U304" s="179"/>
      <c r="V304" s="179"/>
      <c r="W304" s="179"/>
      <c r="X304" s="179"/>
      <c r="Y304" s="179"/>
      <c r="Z304" s="180"/>
      <c r="AA304" s="179"/>
      <c r="AB304" s="179"/>
      <c r="AC304" s="179"/>
      <c r="AD304" s="179"/>
      <c r="AE304" s="179"/>
      <c r="AF304" s="179"/>
      <c r="AG304" s="179"/>
      <c r="AH304" s="180"/>
      <c r="AJ304" s="544">
        <f ca="1">IF(AND($D304="Serviço",AJ$12&lt;&gt;0,$H304&gt;0,OR(AUTOEVENTO&lt;&gt;"manual",$M304&lt;&gt;1)),
IF(Import.TipoArredondamento&lt;&gt;"TransfereGOV",
ROUND(OFFSET($P304,0,AJ$13),15-13*ORÇAMENTO!$AF$7)/$H304*OFFSET(ORÇAMENTO!$X$15,ROW(AJ304)-ROW(AJ$15),0),
ROUND(ROUND(OFFSET($P304,0,AJ$13),15-13*ORÇAMENTO!$AF$7)*OFFSET(ORÇAMENTO!$W$15,ROW(AJ304)-ROW(AJ$15),0),15-13*ORÇAMENTO!$AF$11)),0)</f>
        <v>0</v>
      </c>
      <c r="AK304" s="545">
        <f ca="1">IF(AND($D304="Serviço",AK$12&lt;&gt;0,$H304&gt;0,OR(AUTOEVENTO&lt;&gt;"manual",$M304&lt;&gt;1)),
IF(Import.TipoArredondamento&lt;&gt;"TransfereGOV",
ROUND(OFFSET($P304,0,AK$13),15-13*ORÇAMENTO!$AF$7)/$H304*OFFSET(ORÇAMENTO!$X$15,ROW(AK304)-ROW(AK$15),0),
ROUND(ROUND(OFFSET($P304,0,AK$13),15-13*ORÇAMENTO!$AF$7)*OFFSET(ORÇAMENTO!$W$15,ROW(AK304)-ROW(AK$15),0),15-13*ORÇAMENTO!$AF$11)),0)</f>
        <v>0</v>
      </c>
      <c r="AL304" s="545">
        <f ca="1">IF(AND($D304="Serviço",AL$12&lt;&gt;0,$H304&gt;0,OR(AUTOEVENTO&lt;&gt;"manual",$M304&lt;&gt;1)),
IF(Import.TipoArredondamento&lt;&gt;"TransfereGOV",
ROUND(OFFSET($P304,0,AL$13),15-13*ORÇAMENTO!$AF$7)/$H304*OFFSET(ORÇAMENTO!$X$15,ROW(AL304)-ROW(AL$15),0),
ROUND(ROUND(OFFSET($P304,0,AL$13),15-13*ORÇAMENTO!$AF$7)*OFFSET(ORÇAMENTO!$W$15,ROW(AL304)-ROW(AL$15),0),15-13*ORÇAMENTO!$AF$11)),0)</f>
        <v>0</v>
      </c>
      <c r="AM304" s="545">
        <f ca="1">IF(AND($D304="Serviço",AM$12&lt;&gt;0,$H304&gt;0,OR(AUTOEVENTO&lt;&gt;"manual",$M304&lt;&gt;1)),
IF(Import.TipoArredondamento&lt;&gt;"TransfereGOV",
ROUND(OFFSET($P304,0,AM$13),15-13*ORÇAMENTO!$AF$7)/$H304*OFFSET(ORÇAMENTO!$X$15,ROW(AM304)-ROW(AM$15),0),
ROUND(ROUND(OFFSET($P304,0,AM$13),15-13*ORÇAMENTO!$AF$7)*OFFSET(ORÇAMENTO!$W$15,ROW(AM304)-ROW(AM$15),0),15-13*ORÇAMENTO!$AF$11)),0)</f>
        <v>0</v>
      </c>
      <c r="AN304" s="545">
        <f ca="1">IF(AND($D304="Serviço",AN$12&lt;&gt;0,$H304&gt;0,OR(AUTOEVENTO&lt;&gt;"manual",$M304&lt;&gt;1)),
IF(Import.TipoArredondamento&lt;&gt;"TransfereGOV",
ROUND(OFFSET($P304,0,AN$13),15-13*ORÇAMENTO!$AF$7)/$H304*OFFSET(ORÇAMENTO!$X$15,ROW(AN304)-ROW(AN$15),0),
ROUND(ROUND(OFFSET($P304,0,AN$13),15-13*ORÇAMENTO!$AF$7)*OFFSET(ORÇAMENTO!$W$15,ROW(AN304)-ROW(AN$15),0),15-13*ORÇAMENTO!$AF$11)),0)</f>
        <v>0</v>
      </c>
      <c r="AO304" s="545">
        <f ca="1">IF(AND($D304="Serviço",AO$12&lt;&gt;0,$H304&gt;0,OR(AUTOEVENTO&lt;&gt;"manual",$M304&lt;&gt;1)),
IF(Import.TipoArredondamento&lt;&gt;"TransfereGOV",
ROUND(OFFSET($P304,0,AO$13),15-13*ORÇAMENTO!$AF$7)/$H304*OFFSET(ORÇAMENTO!$X$15,ROW(AO304)-ROW(AO$15),0),
ROUND(ROUND(OFFSET($P304,0,AO$13),15-13*ORÇAMENTO!$AF$7)*OFFSET(ORÇAMENTO!$W$15,ROW(AO304)-ROW(AO$15),0),15-13*ORÇAMENTO!$AF$11)),0)</f>
        <v>0</v>
      </c>
      <c r="AP304" s="545">
        <f ca="1">IF(AND($D304="Serviço",AP$12&lt;&gt;0,$H304&gt;0,OR(AUTOEVENTO&lt;&gt;"manual",$M304&lt;&gt;1)),
IF(Import.TipoArredondamento&lt;&gt;"TransfereGOV",
ROUND(OFFSET($P304,0,AP$13),15-13*ORÇAMENTO!$AF$7)/$H304*OFFSET(ORÇAMENTO!$X$15,ROW(AP304)-ROW(AP$15),0),
ROUND(ROUND(OFFSET($P304,0,AP$13),15-13*ORÇAMENTO!$AF$7)*OFFSET(ORÇAMENTO!$W$15,ROW(AP304)-ROW(AP$15),0),15-13*ORÇAMENTO!$AF$11)),0)</f>
        <v>0</v>
      </c>
      <c r="AQ304" s="545">
        <f ca="1">IF(AND($D304="Serviço",AQ$12&lt;&gt;0,$H304&gt;0,OR(AUTOEVENTO&lt;&gt;"manual",$M304&lt;&gt;1)),
IF(Import.TipoArredondamento&lt;&gt;"TransfereGOV",
ROUND(OFFSET($P304,0,AQ$13),15-13*ORÇAMENTO!$AF$7)/$H304*OFFSET(ORÇAMENTO!$X$15,ROW(AQ304)-ROW(AQ$15),0),
ROUND(ROUND(OFFSET($P304,0,AQ$13),15-13*ORÇAMENTO!$AF$7)*OFFSET(ORÇAMENTO!$W$15,ROW(AQ304)-ROW(AQ$15),0),15-13*ORÇAMENTO!$AF$11)),0)</f>
        <v>0</v>
      </c>
      <c r="AR304" s="545">
        <f ca="1">IF(AND($D304="Serviço",AR$12&lt;&gt;0,$H304&gt;0,OR(AUTOEVENTO&lt;&gt;"manual",$M304&lt;&gt;1)),
IF(Import.TipoArredondamento&lt;&gt;"TransfereGOV",
ROUND(OFFSET($P304,0,AR$13),15-13*ORÇAMENTO!$AF$7)/$H304*OFFSET(ORÇAMENTO!$X$15,ROW(AR304)-ROW(AR$15),0),
ROUND(ROUND(OFFSET($P304,0,AR$13),15-13*ORÇAMENTO!$AF$7)*OFFSET(ORÇAMENTO!$W$15,ROW(AR304)-ROW(AR$15),0),15-13*ORÇAMENTO!$AF$11)),0)</f>
        <v>0</v>
      </c>
      <c r="AS304" s="546">
        <f ca="1">IF(AND($D304="Serviço",AS$12&lt;&gt;0,$H304&gt;0,OR(AUTOEVENTO&lt;&gt;"manual",$M304&lt;&gt;1)),
IF(Import.TipoArredondamento&lt;&gt;"TransfereGOV",
ROUND(OFFSET($P304,0,AS$13),15-13*ORÇAMENTO!$AF$7)/$H304*OFFSET(ORÇAMENTO!$X$15,ROW(AS304)-ROW(AS$15),0),
ROUND(ROUND(OFFSET($P304,0,AS$13),15-13*ORÇAMENTO!$AF$7)*OFFSET(ORÇAMENTO!$W$15,ROW(AS304)-ROW(AS$15),0),15-13*ORÇAMENTO!$AF$11)),0)</f>
        <v>0</v>
      </c>
      <c r="AT304" s="545">
        <f ca="1">IF(AND($D304="Serviço",AT$12&lt;&gt;0,$H304&gt;0,OR(AUTOEVENTO&lt;&gt;"manual",$M304&lt;&gt;1)),
IF(Import.TipoArredondamento&lt;&gt;"TransfereGOV",
ROUND(OFFSET($P304,0,AT$13),15-13*ORÇAMENTO!$AF$7)/$H304*OFFSET(ORÇAMENTO!$X$15,ROW(AT304)-ROW(AT$15),0),
ROUND(ROUND(OFFSET($P304,0,AT$13),15-13*ORÇAMENTO!$AF$7)*OFFSET(ORÇAMENTO!$W$15,ROW(AT304)-ROW(AT$15),0),15-13*ORÇAMENTO!$AF$11)),0)</f>
        <v>0</v>
      </c>
      <c r="AU304" s="545">
        <f ca="1">IF(AND($D304="Serviço",AU$12&lt;&gt;0,$H304&gt;0,OR(AUTOEVENTO&lt;&gt;"manual",$M304&lt;&gt;1)),
IF(Import.TipoArredondamento&lt;&gt;"TransfereGOV",
ROUND(OFFSET($P304,0,AU$13),15-13*ORÇAMENTO!$AF$7)/$H304*OFFSET(ORÇAMENTO!$X$15,ROW(AU304)-ROW(AU$15),0),
ROUND(ROUND(OFFSET($P304,0,AU$13),15-13*ORÇAMENTO!$AF$7)*OFFSET(ORÇAMENTO!$W$15,ROW(AU304)-ROW(AU$15),0),15-13*ORÇAMENTO!$AF$11)),0)</f>
        <v>0</v>
      </c>
      <c r="AV304" s="545">
        <f ca="1">IF(AND($D304="Serviço",AV$12&lt;&gt;0,$H304&gt;0,OR(AUTOEVENTO&lt;&gt;"manual",$M304&lt;&gt;1)),
IF(Import.TipoArredondamento&lt;&gt;"TransfereGOV",
ROUND(OFFSET($P304,0,AV$13),15-13*ORÇAMENTO!$AF$7)/$H304*OFFSET(ORÇAMENTO!$X$15,ROW(AV304)-ROW(AV$15),0),
ROUND(ROUND(OFFSET($P304,0,AV$13),15-13*ORÇAMENTO!$AF$7)*OFFSET(ORÇAMENTO!$W$15,ROW(AV304)-ROW(AV$15),0),15-13*ORÇAMENTO!$AF$11)),0)</f>
        <v>0</v>
      </c>
      <c r="AW304" s="545">
        <f ca="1">IF(AND($D304="Serviço",AW$12&lt;&gt;0,$H304&gt;0,OR(AUTOEVENTO&lt;&gt;"manual",$M304&lt;&gt;1)),
IF(Import.TipoArredondamento&lt;&gt;"TransfereGOV",
ROUND(OFFSET($P304,0,AW$13),15-13*ORÇAMENTO!$AF$7)/$H304*OFFSET(ORÇAMENTO!$X$15,ROW(AW304)-ROW(AW$15),0),
ROUND(ROUND(OFFSET($P304,0,AW$13),15-13*ORÇAMENTO!$AF$7)*OFFSET(ORÇAMENTO!$W$15,ROW(AW304)-ROW(AW$15),0),15-13*ORÇAMENTO!$AF$11)),0)</f>
        <v>0</v>
      </c>
      <c r="AX304" s="545">
        <f ca="1">IF(AND($D304="Serviço",AX$12&lt;&gt;0,$H304&gt;0,OR(AUTOEVENTO&lt;&gt;"manual",$M304&lt;&gt;1)),
IF(Import.TipoArredondamento&lt;&gt;"TransfereGOV",
ROUND(OFFSET($P304,0,AX$13),15-13*ORÇAMENTO!$AF$7)/$H304*OFFSET(ORÇAMENTO!$X$15,ROW(AX304)-ROW(AX$15),0),
ROUND(ROUND(OFFSET($P304,0,AX$13),15-13*ORÇAMENTO!$AF$7)*OFFSET(ORÇAMENTO!$W$15,ROW(AX304)-ROW(AX$15),0),15-13*ORÇAMENTO!$AF$11)),0)</f>
        <v>0</v>
      </c>
      <c r="AY304" s="545">
        <f ca="1">IF(AND($D304="Serviço",AY$12&lt;&gt;0,$H304&gt;0,OR(AUTOEVENTO&lt;&gt;"manual",$M304&lt;&gt;1)),
IF(Import.TipoArredondamento&lt;&gt;"TransfereGOV",
ROUND(OFFSET($P304,0,AY$13),15-13*ORÇAMENTO!$AF$7)/$H304*OFFSET(ORÇAMENTO!$X$15,ROW(AY304)-ROW(AY$15),0),
ROUND(ROUND(OFFSET($P304,0,AY$13),15-13*ORÇAMENTO!$AF$7)*OFFSET(ORÇAMENTO!$W$15,ROW(AY304)-ROW(AY$15),0),15-13*ORÇAMENTO!$AF$11)),0)</f>
        <v>0</v>
      </c>
      <c r="AZ304" s="545">
        <f ca="1">IF(AND($D304="Serviço",AZ$12&lt;&gt;0,$H304&gt;0,OR(AUTOEVENTO&lt;&gt;"manual",$M304&lt;&gt;1)),
IF(Import.TipoArredondamento&lt;&gt;"TransfereGOV",
ROUND(OFFSET($P304,0,AZ$13),15-13*ORÇAMENTO!$AF$7)/$H304*OFFSET(ORÇAMENTO!$X$15,ROW(AZ304)-ROW(AZ$15),0),
ROUND(ROUND(OFFSET($P304,0,AZ$13),15-13*ORÇAMENTO!$AF$7)*OFFSET(ORÇAMENTO!$W$15,ROW(AZ304)-ROW(AZ$15),0),15-13*ORÇAMENTO!$AF$11)),0)</f>
        <v>0</v>
      </c>
      <c r="BA304" s="546">
        <f ca="1">IF(AND($D304="Serviço",BA$12&lt;&gt;0,$H304&gt;0,OR(AUTOEVENTO&lt;&gt;"manual",$M304&lt;&gt;1)),
IF(Import.TipoArredondamento&lt;&gt;"TransfereGOV",
ROUND(OFFSET($P304,0,BA$13),15-13*ORÇAMENTO!$AF$7)/$H304*OFFSET(ORÇAMENTO!$X$15,ROW(BA304)-ROW(BA$15),0),
ROUND(ROUND(OFFSET($P304,0,BA$13),15-13*ORÇAMENTO!$AF$7)*OFFSET(ORÇAMENTO!$W$15,ROW(BA304)-ROW(BA$15),0),15-13*ORÇAMENTO!$AF$11)),0)</f>
        <v>0</v>
      </c>
      <c r="BC304" s="181">
        <f ca="1">IF($D304&lt;&gt;"Serviço",0,IF(AND(AUTOEVENTO="Manual",$M304=1),0,IF(OFFSET(CRONOPLE!$F$14,$M304,BC$13)="",10^12,OFFSET(CRONOPLE!$F$14,$M304,BC$13))))</f>
        <v>9</v>
      </c>
      <c r="BD304" s="181">
        <f ca="1">IF($D304&lt;&gt;"Serviço",0,IF(AND(AUTOEVENTO="Manual",$M304=1),0,IF(OFFSET(CRONOPLE!$F$14,$M304,BD$13)="",10^12,OFFSET(CRONOPLE!$F$14,$M304,BD$13))))</f>
        <v>1000000000000</v>
      </c>
      <c r="BE304" s="181">
        <f ca="1">IF($D304&lt;&gt;"Serviço",0,IF(AND(AUTOEVENTO="Manual",$M304=1),0,IF(OFFSET(CRONOPLE!$F$14,$M304,BE$13)="",10^12,OFFSET(CRONOPLE!$F$14,$M304,BE$13))))</f>
        <v>1000000000000</v>
      </c>
      <c r="BF304" s="181">
        <f ca="1">IF($D304&lt;&gt;"Serviço",0,IF(AND(AUTOEVENTO="Manual",$M304=1),0,IF(OFFSET(CRONOPLE!$F$14,$M304,BF$13)="",10^12,OFFSET(CRONOPLE!$F$14,$M304,BF$13))))</f>
        <v>1000000000000</v>
      </c>
      <c r="BG304" s="181">
        <f ca="1">IF($D304&lt;&gt;"Serviço",0,IF(AND(AUTOEVENTO="Manual",$M304=1),0,IF(OFFSET(CRONOPLE!$F$14,$M304,BG$13)="",10^12,OFFSET(CRONOPLE!$F$14,$M304,BG$13))))</f>
        <v>1000000000000</v>
      </c>
      <c r="BH304" s="181">
        <f ca="1">IF($D304&lt;&gt;"Serviço",0,IF(AND(AUTOEVENTO="Manual",$M304=1),0,IF(OFFSET(CRONOPLE!$F$14,$M304,BH$13)="",10^12,OFFSET(CRONOPLE!$F$14,$M304,BH$13))))</f>
        <v>1000000000000</v>
      </c>
      <c r="BI304" s="181">
        <f ca="1">IF($D304&lt;&gt;"Serviço",0,IF(AND(AUTOEVENTO="Manual",$M304=1),0,IF(OFFSET(CRONOPLE!$F$14,$M304,BI$13)="",10^12,OFFSET(CRONOPLE!$F$14,$M304,BI$13))))</f>
        <v>1000000000000</v>
      </c>
      <c r="BJ304" s="181">
        <f ca="1">IF($D304&lt;&gt;"Serviço",0,IF(AND(AUTOEVENTO="Manual",$M304=1),0,IF(OFFSET(CRONOPLE!$F$14,$M304,BJ$13)="",10^12,OFFSET(CRONOPLE!$F$14,$M304,BJ$13))))</f>
        <v>1000000000000</v>
      </c>
      <c r="BK304" s="181">
        <f ca="1">IF($D304&lt;&gt;"Serviço",0,IF(AND(AUTOEVENTO="Manual",$M304=1),0,IF(OFFSET(CRONOPLE!$F$14,$M304,BK$13)="",10^12,OFFSET(CRONOPLE!$F$14,$M304,BK$13))))</f>
        <v>1000000000000</v>
      </c>
      <c r="BL304" s="181">
        <f ca="1">IF($D304&lt;&gt;"Serviço",0,IF(AND(AUTOEVENTO="Manual",$M304=1),0,IF(OFFSET(CRONOPLE!$F$14,$M304,BL$13)="",10^12,OFFSET(CRONOPLE!$F$14,$M304,BL$13))))</f>
        <v>1000000000000</v>
      </c>
      <c r="BM304" s="181">
        <f ca="1">IF($D304&lt;&gt;"Serviço",0,IF(AND(AUTOEVENTO="Manual",$M304=1),0,IF(OFFSET(CRONOPLE!$F$14,$M304,BM$13)="",10^12,OFFSET(CRONOPLE!$F$14,$M304,BM$13))))</f>
        <v>1000000000000</v>
      </c>
      <c r="BN304" s="181">
        <f ca="1">IF($D304&lt;&gt;"Serviço",0,IF(AND(AUTOEVENTO="Manual",$M304=1),0,IF(OFFSET(CRONOPLE!$F$14,$M304,BN$13)="",10^12,OFFSET(CRONOPLE!$F$14,$M304,BN$13))))</f>
        <v>1000000000000</v>
      </c>
      <c r="BO304" s="181">
        <f ca="1">IF($D304&lt;&gt;"Serviço",0,IF(AND(AUTOEVENTO="Manual",$M304=1),0,IF(OFFSET(CRONOPLE!$F$14,$M304,BO$13)="",10^12,OFFSET(CRONOPLE!$F$14,$M304,BO$13))))</f>
        <v>1000000000000</v>
      </c>
      <c r="BP304" s="181">
        <f ca="1">IF($D304&lt;&gt;"Serviço",0,IF(AND(AUTOEVENTO="Manual",$M304=1),0,IF(OFFSET(CRONOPLE!$F$14,$M304,BP$13)="",10^12,OFFSET(CRONOPLE!$F$14,$M304,BP$13))))</f>
        <v>1000000000000</v>
      </c>
      <c r="BQ304" s="181">
        <f ca="1">IF($D304&lt;&gt;"Serviço",0,IF(AND(AUTOEVENTO="Manual",$M304=1),0,IF(OFFSET(CRONOPLE!$F$14,$M304,BQ$13)="",10^12,OFFSET(CRONOPLE!$F$14,$M304,BQ$13))))</f>
        <v>1000000000000</v>
      </c>
      <c r="BR304" s="181">
        <f ca="1">IF($D304&lt;&gt;"Serviço",0,IF(AND(AUTOEVENTO="Manual",$M304=1),0,IF(OFFSET(CRONOPLE!$F$14,$M304,BR$13)="",10^12,OFFSET(CRONOPLE!$F$14,$M304,BR$13))))</f>
        <v>1000000000000</v>
      </c>
      <c r="BS304" s="181">
        <f ca="1">IF($D304&lt;&gt;"Serviço",0,IF(AND(AUTOEVENTO="Manual",$M304=1),0,IF(OFFSET(CRONOPLE!$F$14,$M304,BS$13)="",10^12,OFFSET(CRONOPLE!$F$14,$M304,BS$13))))</f>
        <v>1000000000000</v>
      </c>
      <c r="BT304" s="181">
        <f ca="1">IF($D304&lt;&gt;"Serviço",0,IF(AND(AUTOEVENTO="Manual",$M304=1),0,IF(OFFSET(CRONOPLE!$F$14,$M304,BT$13)="",10^12,OFFSET(CRONOPLE!$F$14,$M304,BT$13))))</f>
        <v>1000000000000</v>
      </c>
      <c r="BV304" s="182">
        <f ca="1">IF($D304&lt;&gt;"Serviço",0,IF(OR(AND(AUTOEVENTO="Manual",$M304=1),$M304&gt;(ROW(PLE.lastrow)-ROW(PLE.firstrow))),0,IF(OFFSET(PLE!$G$14,$M304,BV$13)="",10^12,OFFSET(PLE!$G$14,$M304,BV$13))))</f>
        <v>1000000000000</v>
      </c>
      <c r="BW304" s="182">
        <f ca="1">IF($D304&lt;&gt;"Serviço",0,IF(OR(AND(AUTOEVENTO="Manual",$M304=1),$M304&gt;(ROW(PLE.lastrow)-ROW(PLE.firstrow))),0,IF(OFFSET(PLE!$G$14,$M304,BW$13)="",10^12,OFFSET(PLE!$G$14,$M304,BW$13))))</f>
        <v>1000000000000</v>
      </c>
      <c r="BX304" s="182">
        <f ca="1">IF($D304&lt;&gt;"Serviço",0,IF(OR(AND(AUTOEVENTO="Manual",$M304=1),$M304&gt;(ROW(PLE.lastrow)-ROW(PLE.firstrow))),0,IF(OFFSET(PLE!$G$14,$M304,BX$13)="",10^12,OFFSET(PLE!$G$14,$M304,BX$13))))</f>
        <v>1000000000000</v>
      </c>
      <c r="BY304" s="182">
        <f ca="1">IF($D304&lt;&gt;"Serviço",0,IF(OR(AND(AUTOEVENTO="Manual",$M304=1),$M304&gt;(ROW(PLE.lastrow)-ROW(PLE.firstrow))),0,IF(OFFSET(PLE!$G$14,$M304,BY$13)="",10^12,OFFSET(PLE!$G$14,$M304,BY$13))))</f>
        <v>1000000000000</v>
      </c>
      <c r="BZ304" s="182">
        <f ca="1">IF($D304&lt;&gt;"Serviço",0,IF(OR(AND(AUTOEVENTO="Manual",$M304=1),$M304&gt;(ROW(PLE.lastrow)-ROW(PLE.firstrow))),0,IF(OFFSET(PLE!$G$14,$M304,BZ$13)="",10^12,OFFSET(PLE!$G$14,$M304,BZ$13))))</f>
        <v>1000000000000</v>
      </c>
      <c r="CA304" s="182">
        <f ca="1">IF($D304&lt;&gt;"Serviço",0,IF(OR(AND(AUTOEVENTO="Manual",$M304=1),$M304&gt;(ROW(PLE.lastrow)-ROW(PLE.firstrow))),0,IF(OFFSET(PLE!$G$14,$M304,CA$13)="",10^12,OFFSET(PLE!$G$14,$M304,CA$13))))</f>
        <v>1000000000000</v>
      </c>
      <c r="CB304" s="182">
        <f ca="1">IF($D304&lt;&gt;"Serviço",0,IF(OR(AND(AUTOEVENTO="Manual",$M304=1),$M304&gt;(ROW(PLE.lastrow)-ROW(PLE.firstrow))),0,IF(OFFSET(PLE!$G$14,$M304,CB$13)="",10^12,OFFSET(PLE!$G$14,$M304,CB$13))))</f>
        <v>1000000000000</v>
      </c>
      <c r="CC304" s="182">
        <f ca="1">IF($D304&lt;&gt;"Serviço",0,IF(OR(AND(AUTOEVENTO="Manual",$M304=1),$M304&gt;(ROW(PLE.lastrow)-ROW(PLE.firstrow))),0,IF(OFFSET(PLE!$G$14,$M304,CC$13)="",10^12,OFFSET(PLE!$G$14,$M304,CC$13))))</f>
        <v>1000000000000</v>
      </c>
      <c r="CD304" s="182">
        <f ca="1">IF($D304&lt;&gt;"Serviço",0,IF(OR(AND(AUTOEVENTO="Manual",$M304=1),$M304&gt;(ROW(PLE.lastrow)-ROW(PLE.firstrow))),0,IF(OFFSET(PLE!$G$14,$M304,CD$13)="",10^12,OFFSET(PLE!$G$14,$M304,CD$13))))</f>
        <v>1000000000000</v>
      </c>
      <c r="CE304" s="182">
        <f ca="1">IF($D304&lt;&gt;"Serviço",0,IF(OR(AND(AUTOEVENTO="Manual",$M304=1),$M304&gt;(ROW(PLE.lastrow)-ROW(PLE.firstrow))),0,IF(OFFSET(PLE!$G$14,$M304,CE$13)="",10^12,OFFSET(PLE!$G$14,$M304,CE$13))))</f>
        <v>1000000000000</v>
      </c>
      <c r="CF304" s="182">
        <f ca="1">IF($D304&lt;&gt;"Serviço",0,IF(OR(AND(AUTOEVENTO="Manual",$M304=1),$M304&gt;(ROW(PLE.lastrow)-ROW(PLE.firstrow))),0,IF(OFFSET(PLE!$G$14,$M304,CF$13)="",10^12,OFFSET(PLE!$G$14,$M304,CF$13))))</f>
        <v>1000000000000</v>
      </c>
      <c r="CG304" s="182">
        <f ca="1">IF($D304&lt;&gt;"Serviço",0,IF(OR(AND(AUTOEVENTO="Manual",$M304=1),$M304&gt;(ROW(PLE.lastrow)-ROW(PLE.firstrow))),0,IF(OFFSET(PLE!$G$14,$M304,CG$13)="",10^12,OFFSET(PLE!$G$14,$M304,CG$13))))</f>
        <v>1000000000000</v>
      </c>
      <c r="CH304" s="182">
        <f ca="1">IF($D304&lt;&gt;"Serviço",0,IF(OR(AND(AUTOEVENTO="Manual",$M304=1),$M304&gt;(ROW(PLE.lastrow)-ROW(PLE.firstrow))),0,IF(OFFSET(PLE!$G$14,$M304,CH$13)="",10^12,OFFSET(PLE!$G$14,$M304,CH$13))))</f>
        <v>1000000000000</v>
      </c>
      <c r="CI304" s="182">
        <f ca="1">IF($D304&lt;&gt;"Serviço",0,IF(OR(AND(AUTOEVENTO="Manual",$M304=1),$M304&gt;(ROW(PLE.lastrow)-ROW(PLE.firstrow))),0,IF(OFFSET(PLE!$G$14,$M304,CI$13)="",10^12,OFFSET(PLE!$G$14,$M304,CI$13))))</f>
        <v>1000000000000</v>
      </c>
      <c r="CJ304" s="182">
        <f ca="1">IF($D304&lt;&gt;"Serviço",0,IF(OR(AND(AUTOEVENTO="Manual",$M304=1),$M304&gt;(ROW(PLE.lastrow)-ROW(PLE.firstrow))),0,IF(OFFSET(PLE!$G$14,$M304,CJ$13)="",10^12,OFFSET(PLE!$G$14,$M304,CJ$13))))</f>
        <v>1000000000000</v>
      </c>
      <c r="CK304" s="182">
        <f ca="1">IF($D304&lt;&gt;"Serviço",0,IF(OR(AND(AUTOEVENTO="Manual",$M304=1),$M304&gt;(ROW(PLE.lastrow)-ROW(PLE.firstrow))),0,IF(OFFSET(PLE!$G$14,$M304,CK$13)="",10^12,OFFSET(PLE!$G$14,$M304,CK$13))))</f>
        <v>1000000000000</v>
      </c>
      <c r="CL304" s="182">
        <f ca="1">IF($D304&lt;&gt;"Serviço",0,IF(OR(AND(AUTOEVENTO="Manual",$M304=1),$M304&gt;(ROW(PLE.lastrow)-ROW(PLE.firstrow))),0,IF(OFFSET(PLE!$G$14,$M304,CL$13)="",10^12,OFFSET(PLE!$G$14,$M304,CL$13))))</f>
        <v>1000000000000</v>
      </c>
      <c r="CM304" s="182">
        <f ca="1">IF($D304&lt;&gt;"Serviço",0,IF(OR(AND(AUTOEVENTO="Manual",$M304=1),$M304&gt;(ROW(PLE.lastrow)-ROW(PLE.firstrow))),0,IF(OFFSET(PLE!$G$14,$M304,CM$13)="",10^12,OFFSET(PLE!$G$14,$M304,CM$13))))</f>
        <v>1000000000000</v>
      </c>
    </row>
    <row r="305" spans="1:91" ht="38.25" x14ac:dyDescent="0.2">
      <c r="A305" s="7" t="str">
        <f t="shared" ca="1" si="12"/>
        <v>285</v>
      </c>
      <c r="B305" s="7" t="str">
        <f ca="1">OFFSET(ORÇAMENTO!C$15,ROW(B305)-ROW(B$15),0)</f>
        <v>S</v>
      </c>
      <c r="C305" s="7" t="str">
        <f ca="1">OFFSET(ORÇAMENTO!L$15,ROW(C305)-ROW(C$15),0)</f>
        <v/>
      </c>
      <c r="D305" s="118" t="str">
        <f ca="1">OFFSET(ORÇAMENTO!N$15,ROW(D305)-ROW(D$15),0)</f>
        <v>Serviço</v>
      </c>
      <c r="E305" s="119" t="str">
        <f ca="1">OFFSET(ORÇAMENTO!O$15,ROW(E305)-ROW(E$15),0)</f>
        <v>-</v>
      </c>
      <c r="F305" s="172" t="str">
        <f ca="1">OFFSET(ORÇAMENTO!R$15,ROW(F305)-ROW(F$15),0)</f>
        <v>(abra o arquivo 'Referência 06-2024.xlsm)</v>
      </c>
      <c r="G305" s="173" t="str">
        <f ca="1">IF($D305&lt;&gt;"Serviço","",OFFSET(ORÇAMENTO!S$15,ROW(G305)-ROW(G$15),0))</f>
        <v>-</v>
      </c>
      <c r="H305" s="124">
        <f ca="1">IF($D305&lt;&gt;"Serviço",0,IF(ACOMPANHAMENTO="BM",ROUND(OFFSET(ORÇAMENTO!AJ$15,ROW(H305)-ROW(H$15),0),15-13*ORÇAMENTO!$AF$7),SUMPRODUCT(($Q$12:$AI$12&lt;&gt;"")*ROUND($Q305:$AI305,15-13*ORÇAMENTO!$AF$7))))</f>
        <v>32.4</v>
      </c>
      <c r="I305" s="561" t="s">
        <v>1107</v>
      </c>
      <c r="K305" s="174"/>
      <c r="L305" s="175" t="s">
        <v>255</v>
      </c>
      <c r="M305" s="176">
        <f ca="1">IF($D305&lt;&gt;"Serviço","",IF(AUTOEVENTO="manual",$A305,IF(ISERROR(MATCH($A305,$A$15:OFFSET($A305,-1,0),0)),MAX($M$15:OFFSET(M305,-1,0))+1,INDEX($M$15:OFFSET(M305,-1,0),MATCH($A305,$A$15:OFFSET($A305,-1,0),0)))))</f>
        <v>39</v>
      </c>
      <c r="N305" s="177" t="str">
        <f ca="1">IF($D305&lt;&gt;"Serviço","",IF(AUTOEVENTO="Manual",IF($A305=0,"&lt;-- defina o número do agrupador",OFFSET(EVENTOS!$D$14,$A305,0)),OFFSET($F$15,$A305,0)))</f>
        <v>DRENAGEM DE ÁGUAS PLUVIAIS - TUBULAÇÕES E CONEXÕES DE PVC</v>
      </c>
      <c r="O305" s="178"/>
      <c r="Q305" s="178">
        <v>32.4</v>
      </c>
      <c r="R305" s="179"/>
      <c r="S305" s="179"/>
      <c r="T305" s="179"/>
      <c r="U305" s="179"/>
      <c r="V305" s="179"/>
      <c r="W305" s="179"/>
      <c r="X305" s="179"/>
      <c r="Y305" s="179"/>
      <c r="Z305" s="180"/>
      <c r="AA305" s="179"/>
      <c r="AB305" s="179"/>
      <c r="AC305" s="179"/>
      <c r="AD305" s="179"/>
      <c r="AE305" s="179"/>
      <c r="AF305" s="179"/>
      <c r="AG305" s="179"/>
      <c r="AH305" s="180"/>
      <c r="AJ305" s="544">
        <f ca="1">IF(AND($D305="Serviço",AJ$12&lt;&gt;0,$H305&gt;0,OR(AUTOEVENTO&lt;&gt;"manual",$M305&lt;&gt;1)),
IF(Import.TipoArredondamento&lt;&gt;"TransfereGOV",
ROUND(OFFSET($P305,0,AJ$13),15-13*ORÇAMENTO!$AF$7)/$H305*OFFSET(ORÇAMENTO!$X$15,ROW(AJ305)-ROW(AJ$15),0),
ROUND(ROUND(OFFSET($P305,0,AJ$13),15-13*ORÇAMENTO!$AF$7)*OFFSET(ORÇAMENTO!$W$15,ROW(AJ305)-ROW(AJ$15),0),15-13*ORÇAMENTO!$AF$11)),0)</f>
        <v>0</v>
      </c>
      <c r="AK305" s="545">
        <f ca="1">IF(AND($D305="Serviço",AK$12&lt;&gt;0,$H305&gt;0,OR(AUTOEVENTO&lt;&gt;"manual",$M305&lt;&gt;1)),
IF(Import.TipoArredondamento&lt;&gt;"TransfereGOV",
ROUND(OFFSET($P305,0,AK$13),15-13*ORÇAMENTO!$AF$7)/$H305*OFFSET(ORÇAMENTO!$X$15,ROW(AK305)-ROW(AK$15),0),
ROUND(ROUND(OFFSET($P305,0,AK$13),15-13*ORÇAMENTO!$AF$7)*OFFSET(ORÇAMENTO!$W$15,ROW(AK305)-ROW(AK$15),0),15-13*ORÇAMENTO!$AF$11)),0)</f>
        <v>0</v>
      </c>
      <c r="AL305" s="545">
        <f ca="1">IF(AND($D305="Serviço",AL$12&lt;&gt;0,$H305&gt;0,OR(AUTOEVENTO&lt;&gt;"manual",$M305&lt;&gt;1)),
IF(Import.TipoArredondamento&lt;&gt;"TransfereGOV",
ROUND(OFFSET($P305,0,AL$13),15-13*ORÇAMENTO!$AF$7)/$H305*OFFSET(ORÇAMENTO!$X$15,ROW(AL305)-ROW(AL$15),0),
ROUND(ROUND(OFFSET($P305,0,AL$13),15-13*ORÇAMENTO!$AF$7)*OFFSET(ORÇAMENTO!$W$15,ROW(AL305)-ROW(AL$15),0),15-13*ORÇAMENTO!$AF$11)),0)</f>
        <v>0</v>
      </c>
      <c r="AM305" s="545">
        <f ca="1">IF(AND($D305="Serviço",AM$12&lt;&gt;0,$H305&gt;0,OR(AUTOEVENTO&lt;&gt;"manual",$M305&lt;&gt;1)),
IF(Import.TipoArredondamento&lt;&gt;"TransfereGOV",
ROUND(OFFSET($P305,0,AM$13),15-13*ORÇAMENTO!$AF$7)/$H305*OFFSET(ORÇAMENTO!$X$15,ROW(AM305)-ROW(AM$15),0),
ROUND(ROUND(OFFSET($P305,0,AM$13),15-13*ORÇAMENTO!$AF$7)*OFFSET(ORÇAMENTO!$W$15,ROW(AM305)-ROW(AM$15),0),15-13*ORÇAMENTO!$AF$11)),0)</f>
        <v>0</v>
      </c>
      <c r="AN305" s="545">
        <f ca="1">IF(AND($D305="Serviço",AN$12&lt;&gt;0,$H305&gt;0,OR(AUTOEVENTO&lt;&gt;"manual",$M305&lt;&gt;1)),
IF(Import.TipoArredondamento&lt;&gt;"TransfereGOV",
ROUND(OFFSET($P305,0,AN$13),15-13*ORÇAMENTO!$AF$7)/$H305*OFFSET(ORÇAMENTO!$X$15,ROW(AN305)-ROW(AN$15),0),
ROUND(ROUND(OFFSET($P305,0,AN$13),15-13*ORÇAMENTO!$AF$7)*OFFSET(ORÇAMENTO!$W$15,ROW(AN305)-ROW(AN$15),0),15-13*ORÇAMENTO!$AF$11)),0)</f>
        <v>0</v>
      </c>
      <c r="AO305" s="545">
        <f ca="1">IF(AND($D305="Serviço",AO$12&lt;&gt;0,$H305&gt;0,OR(AUTOEVENTO&lt;&gt;"manual",$M305&lt;&gt;1)),
IF(Import.TipoArredondamento&lt;&gt;"TransfereGOV",
ROUND(OFFSET($P305,0,AO$13),15-13*ORÇAMENTO!$AF$7)/$H305*OFFSET(ORÇAMENTO!$X$15,ROW(AO305)-ROW(AO$15),0),
ROUND(ROUND(OFFSET($P305,0,AO$13),15-13*ORÇAMENTO!$AF$7)*OFFSET(ORÇAMENTO!$W$15,ROW(AO305)-ROW(AO$15),0),15-13*ORÇAMENTO!$AF$11)),0)</f>
        <v>0</v>
      </c>
      <c r="AP305" s="545">
        <f ca="1">IF(AND($D305="Serviço",AP$12&lt;&gt;0,$H305&gt;0,OR(AUTOEVENTO&lt;&gt;"manual",$M305&lt;&gt;1)),
IF(Import.TipoArredondamento&lt;&gt;"TransfereGOV",
ROUND(OFFSET($P305,0,AP$13),15-13*ORÇAMENTO!$AF$7)/$H305*OFFSET(ORÇAMENTO!$X$15,ROW(AP305)-ROW(AP$15),0),
ROUND(ROUND(OFFSET($P305,0,AP$13),15-13*ORÇAMENTO!$AF$7)*OFFSET(ORÇAMENTO!$W$15,ROW(AP305)-ROW(AP$15),0),15-13*ORÇAMENTO!$AF$11)),0)</f>
        <v>0</v>
      </c>
      <c r="AQ305" s="545">
        <f ca="1">IF(AND($D305="Serviço",AQ$12&lt;&gt;0,$H305&gt;0,OR(AUTOEVENTO&lt;&gt;"manual",$M305&lt;&gt;1)),
IF(Import.TipoArredondamento&lt;&gt;"TransfereGOV",
ROUND(OFFSET($P305,0,AQ$13),15-13*ORÇAMENTO!$AF$7)/$H305*OFFSET(ORÇAMENTO!$X$15,ROW(AQ305)-ROW(AQ$15),0),
ROUND(ROUND(OFFSET($P305,0,AQ$13),15-13*ORÇAMENTO!$AF$7)*OFFSET(ORÇAMENTO!$W$15,ROW(AQ305)-ROW(AQ$15),0),15-13*ORÇAMENTO!$AF$11)),0)</f>
        <v>0</v>
      </c>
      <c r="AR305" s="545">
        <f ca="1">IF(AND($D305="Serviço",AR$12&lt;&gt;0,$H305&gt;0,OR(AUTOEVENTO&lt;&gt;"manual",$M305&lt;&gt;1)),
IF(Import.TipoArredondamento&lt;&gt;"TransfereGOV",
ROUND(OFFSET($P305,0,AR$13),15-13*ORÇAMENTO!$AF$7)/$H305*OFFSET(ORÇAMENTO!$X$15,ROW(AR305)-ROW(AR$15),0),
ROUND(ROUND(OFFSET($P305,0,AR$13),15-13*ORÇAMENTO!$AF$7)*OFFSET(ORÇAMENTO!$W$15,ROW(AR305)-ROW(AR$15),0),15-13*ORÇAMENTO!$AF$11)),0)</f>
        <v>0</v>
      </c>
      <c r="AS305" s="546">
        <f ca="1">IF(AND($D305="Serviço",AS$12&lt;&gt;0,$H305&gt;0,OR(AUTOEVENTO&lt;&gt;"manual",$M305&lt;&gt;1)),
IF(Import.TipoArredondamento&lt;&gt;"TransfereGOV",
ROUND(OFFSET($P305,0,AS$13),15-13*ORÇAMENTO!$AF$7)/$H305*OFFSET(ORÇAMENTO!$X$15,ROW(AS305)-ROW(AS$15),0),
ROUND(ROUND(OFFSET($P305,0,AS$13),15-13*ORÇAMENTO!$AF$7)*OFFSET(ORÇAMENTO!$W$15,ROW(AS305)-ROW(AS$15),0),15-13*ORÇAMENTO!$AF$11)),0)</f>
        <v>0</v>
      </c>
      <c r="AT305" s="545">
        <f ca="1">IF(AND($D305="Serviço",AT$12&lt;&gt;0,$H305&gt;0,OR(AUTOEVENTO&lt;&gt;"manual",$M305&lt;&gt;1)),
IF(Import.TipoArredondamento&lt;&gt;"TransfereGOV",
ROUND(OFFSET($P305,0,AT$13),15-13*ORÇAMENTO!$AF$7)/$H305*OFFSET(ORÇAMENTO!$X$15,ROW(AT305)-ROW(AT$15),0),
ROUND(ROUND(OFFSET($P305,0,AT$13),15-13*ORÇAMENTO!$AF$7)*OFFSET(ORÇAMENTO!$W$15,ROW(AT305)-ROW(AT$15),0),15-13*ORÇAMENTO!$AF$11)),0)</f>
        <v>0</v>
      </c>
      <c r="AU305" s="545">
        <f ca="1">IF(AND($D305="Serviço",AU$12&lt;&gt;0,$H305&gt;0,OR(AUTOEVENTO&lt;&gt;"manual",$M305&lt;&gt;1)),
IF(Import.TipoArredondamento&lt;&gt;"TransfereGOV",
ROUND(OFFSET($P305,0,AU$13),15-13*ORÇAMENTO!$AF$7)/$H305*OFFSET(ORÇAMENTO!$X$15,ROW(AU305)-ROW(AU$15),0),
ROUND(ROUND(OFFSET($P305,0,AU$13),15-13*ORÇAMENTO!$AF$7)*OFFSET(ORÇAMENTO!$W$15,ROW(AU305)-ROW(AU$15),0),15-13*ORÇAMENTO!$AF$11)),0)</f>
        <v>0</v>
      </c>
      <c r="AV305" s="545">
        <f ca="1">IF(AND($D305="Serviço",AV$12&lt;&gt;0,$H305&gt;0,OR(AUTOEVENTO&lt;&gt;"manual",$M305&lt;&gt;1)),
IF(Import.TipoArredondamento&lt;&gt;"TransfereGOV",
ROUND(OFFSET($P305,0,AV$13),15-13*ORÇAMENTO!$AF$7)/$H305*OFFSET(ORÇAMENTO!$X$15,ROW(AV305)-ROW(AV$15),0),
ROUND(ROUND(OFFSET($P305,0,AV$13),15-13*ORÇAMENTO!$AF$7)*OFFSET(ORÇAMENTO!$W$15,ROW(AV305)-ROW(AV$15),0),15-13*ORÇAMENTO!$AF$11)),0)</f>
        <v>0</v>
      </c>
      <c r="AW305" s="545">
        <f ca="1">IF(AND($D305="Serviço",AW$12&lt;&gt;0,$H305&gt;0,OR(AUTOEVENTO&lt;&gt;"manual",$M305&lt;&gt;1)),
IF(Import.TipoArredondamento&lt;&gt;"TransfereGOV",
ROUND(OFFSET($P305,0,AW$13),15-13*ORÇAMENTO!$AF$7)/$H305*OFFSET(ORÇAMENTO!$X$15,ROW(AW305)-ROW(AW$15),0),
ROUND(ROUND(OFFSET($P305,0,AW$13),15-13*ORÇAMENTO!$AF$7)*OFFSET(ORÇAMENTO!$W$15,ROW(AW305)-ROW(AW$15),0),15-13*ORÇAMENTO!$AF$11)),0)</f>
        <v>0</v>
      </c>
      <c r="AX305" s="545">
        <f ca="1">IF(AND($D305="Serviço",AX$12&lt;&gt;0,$H305&gt;0,OR(AUTOEVENTO&lt;&gt;"manual",$M305&lt;&gt;1)),
IF(Import.TipoArredondamento&lt;&gt;"TransfereGOV",
ROUND(OFFSET($P305,0,AX$13),15-13*ORÇAMENTO!$AF$7)/$H305*OFFSET(ORÇAMENTO!$X$15,ROW(AX305)-ROW(AX$15),0),
ROUND(ROUND(OFFSET($P305,0,AX$13),15-13*ORÇAMENTO!$AF$7)*OFFSET(ORÇAMENTO!$W$15,ROW(AX305)-ROW(AX$15),0),15-13*ORÇAMENTO!$AF$11)),0)</f>
        <v>0</v>
      </c>
      <c r="AY305" s="545">
        <f ca="1">IF(AND($D305="Serviço",AY$12&lt;&gt;0,$H305&gt;0,OR(AUTOEVENTO&lt;&gt;"manual",$M305&lt;&gt;1)),
IF(Import.TipoArredondamento&lt;&gt;"TransfereGOV",
ROUND(OFFSET($P305,0,AY$13),15-13*ORÇAMENTO!$AF$7)/$H305*OFFSET(ORÇAMENTO!$X$15,ROW(AY305)-ROW(AY$15),0),
ROUND(ROUND(OFFSET($P305,0,AY$13),15-13*ORÇAMENTO!$AF$7)*OFFSET(ORÇAMENTO!$W$15,ROW(AY305)-ROW(AY$15),0),15-13*ORÇAMENTO!$AF$11)),0)</f>
        <v>0</v>
      </c>
      <c r="AZ305" s="545">
        <f ca="1">IF(AND($D305="Serviço",AZ$12&lt;&gt;0,$H305&gt;0,OR(AUTOEVENTO&lt;&gt;"manual",$M305&lt;&gt;1)),
IF(Import.TipoArredondamento&lt;&gt;"TransfereGOV",
ROUND(OFFSET($P305,0,AZ$13),15-13*ORÇAMENTO!$AF$7)/$H305*OFFSET(ORÇAMENTO!$X$15,ROW(AZ305)-ROW(AZ$15),0),
ROUND(ROUND(OFFSET($P305,0,AZ$13),15-13*ORÇAMENTO!$AF$7)*OFFSET(ORÇAMENTO!$W$15,ROW(AZ305)-ROW(AZ$15),0),15-13*ORÇAMENTO!$AF$11)),0)</f>
        <v>0</v>
      </c>
      <c r="BA305" s="546">
        <f ca="1">IF(AND($D305="Serviço",BA$12&lt;&gt;0,$H305&gt;0,OR(AUTOEVENTO&lt;&gt;"manual",$M305&lt;&gt;1)),
IF(Import.TipoArredondamento&lt;&gt;"TransfereGOV",
ROUND(OFFSET($P305,0,BA$13),15-13*ORÇAMENTO!$AF$7)/$H305*OFFSET(ORÇAMENTO!$X$15,ROW(BA305)-ROW(BA$15),0),
ROUND(ROUND(OFFSET($P305,0,BA$13),15-13*ORÇAMENTO!$AF$7)*OFFSET(ORÇAMENTO!$W$15,ROW(BA305)-ROW(BA$15),0),15-13*ORÇAMENTO!$AF$11)),0)</f>
        <v>0</v>
      </c>
      <c r="BC305" s="181">
        <f ca="1">IF($D305&lt;&gt;"Serviço",0,IF(AND(AUTOEVENTO="Manual",$M305=1),0,IF(OFFSET(CRONOPLE!$F$14,$M305,BC$13)="",10^12,OFFSET(CRONOPLE!$F$14,$M305,BC$13))))</f>
        <v>9</v>
      </c>
      <c r="BD305" s="181">
        <f ca="1">IF($D305&lt;&gt;"Serviço",0,IF(AND(AUTOEVENTO="Manual",$M305=1),0,IF(OFFSET(CRONOPLE!$F$14,$M305,BD$13)="",10^12,OFFSET(CRONOPLE!$F$14,$M305,BD$13))))</f>
        <v>1000000000000</v>
      </c>
      <c r="BE305" s="181">
        <f ca="1">IF($D305&lt;&gt;"Serviço",0,IF(AND(AUTOEVENTO="Manual",$M305=1),0,IF(OFFSET(CRONOPLE!$F$14,$M305,BE$13)="",10^12,OFFSET(CRONOPLE!$F$14,$M305,BE$13))))</f>
        <v>1000000000000</v>
      </c>
      <c r="BF305" s="181">
        <f ca="1">IF($D305&lt;&gt;"Serviço",0,IF(AND(AUTOEVENTO="Manual",$M305=1),0,IF(OFFSET(CRONOPLE!$F$14,$M305,BF$13)="",10^12,OFFSET(CRONOPLE!$F$14,$M305,BF$13))))</f>
        <v>1000000000000</v>
      </c>
      <c r="BG305" s="181">
        <f ca="1">IF($D305&lt;&gt;"Serviço",0,IF(AND(AUTOEVENTO="Manual",$M305=1),0,IF(OFFSET(CRONOPLE!$F$14,$M305,BG$13)="",10^12,OFFSET(CRONOPLE!$F$14,$M305,BG$13))))</f>
        <v>1000000000000</v>
      </c>
      <c r="BH305" s="181">
        <f ca="1">IF($D305&lt;&gt;"Serviço",0,IF(AND(AUTOEVENTO="Manual",$M305=1),0,IF(OFFSET(CRONOPLE!$F$14,$M305,BH$13)="",10^12,OFFSET(CRONOPLE!$F$14,$M305,BH$13))))</f>
        <v>1000000000000</v>
      </c>
      <c r="BI305" s="181">
        <f ca="1">IF($D305&lt;&gt;"Serviço",0,IF(AND(AUTOEVENTO="Manual",$M305=1),0,IF(OFFSET(CRONOPLE!$F$14,$M305,BI$13)="",10^12,OFFSET(CRONOPLE!$F$14,$M305,BI$13))))</f>
        <v>1000000000000</v>
      </c>
      <c r="BJ305" s="181">
        <f ca="1">IF($D305&lt;&gt;"Serviço",0,IF(AND(AUTOEVENTO="Manual",$M305=1),0,IF(OFFSET(CRONOPLE!$F$14,$M305,BJ$13)="",10^12,OFFSET(CRONOPLE!$F$14,$M305,BJ$13))))</f>
        <v>1000000000000</v>
      </c>
      <c r="BK305" s="181">
        <f ca="1">IF($D305&lt;&gt;"Serviço",0,IF(AND(AUTOEVENTO="Manual",$M305=1),0,IF(OFFSET(CRONOPLE!$F$14,$M305,BK$13)="",10^12,OFFSET(CRONOPLE!$F$14,$M305,BK$13))))</f>
        <v>1000000000000</v>
      </c>
      <c r="BL305" s="181">
        <f ca="1">IF($D305&lt;&gt;"Serviço",0,IF(AND(AUTOEVENTO="Manual",$M305=1),0,IF(OFFSET(CRONOPLE!$F$14,$M305,BL$13)="",10^12,OFFSET(CRONOPLE!$F$14,$M305,BL$13))))</f>
        <v>1000000000000</v>
      </c>
      <c r="BM305" s="181">
        <f ca="1">IF($D305&lt;&gt;"Serviço",0,IF(AND(AUTOEVENTO="Manual",$M305=1),0,IF(OFFSET(CRONOPLE!$F$14,$M305,BM$13)="",10^12,OFFSET(CRONOPLE!$F$14,$M305,BM$13))))</f>
        <v>1000000000000</v>
      </c>
      <c r="BN305" s="181">
        <f ca="1">IF($D305&lt;&gt;"Serviço",0,IF(AND(AUTOEVENTO="Manual",$M305=1),0,IF(OFFSET(CRONOPLE!$F$14,$M305,BN$13)="",10^12,OFFSET(CRONOPLE!$F$14,$M305,BN$13))))</f>
        <v>1000000000000</v>
      </c>
      <c r="BO305" s="181">
        <f ca="1">IF($D305&lt;&gt;"Serviço",0,IF(AND(AUTOEVENTO="Manual",$M305=1),0,IF(OFFSET(CRONOPLE!$F$14,$M305,BO$13)="",10^12,OFFSET(CRONOPLE!$F$14,$M305,BO$13))))</f>
        <v>1000000000000</v>
      </c>
      <c r="BP305" s="181">
        <f ca="1">IF($D305&lt;&gt;"Serviço",0,IF(AND(AUTOEVENTO="Manual",$M305=1),0,IF(OFFSET(CRONOPLE!$F$14,$M305,BP$13)="",10^12,OFFSET(CRONOPLE!$F$14,$M305,BP$13))))</f>
        <v>1000000000000</v>
      </c>
      <c r="BQ305" s="181">
        <f ca="1">IF($D305&lt;&gt;"Serviço",0,IF(AND(AUTOEVENTO="Manual",$M305=1),0,IF(OFFSET(CRONOPLE!$F$14,$M305,BQ$13)="",10^12,OFFSET(CRONOPLE!$F$14,$M305,BQ$13))))</f>
        <v>1000000000000</v>
      </c>
      <c r="BR305" s="181">
        <f ca="1">IF($D305&lt;&gt;"Serviço",0,IF(AND(AUTOEVENTO="Manual",$M305=1),0,IF(OFFSET(CRONOPLE!$F$14,$M305,BR$13)="",10^12,OFFSET(CRONOPLE!$F$14,$M305,BR$13))))</f>
        <v>1000000000000</v>
      </c>
      <c r="BS305" s="181">
        <f ca="1">IF($D305&lt;&gt;"Serviço",0,IF(AND(AUTOEVENTO="Manual",$M305=1),0,IF(OFFSET(CRONOPLE!$F$14,$M305,BS$13)="",10^12,OFFSET(CRONOPLE!$F$14,$M305,BS$13))))</f>
        <v>1000000000000</v>
      </c>
      <c r="BT305" s="181">
        <f ca="1">IF($D305&lt;&gt;"Serviço",0,IF(AND(AUTOEVENTO="Manual",$M305=1),0,IF(OFFSET(CRONOPLE!$F$14,$M305,BT$13)="",10^12,OFFSET(CRONOPLE!$F$14,$M305,BT$13))))</f>
        <v>1000000000000</v>
      </c>
      <c r="BV305" s="182">
        <f ca="1">IF($D305&lt;&gt;"Serviço",0,IF(OR(AND(AUTOEVENTO="Manual",$M305=1),$M305&gt;(ROW(PLE.lastrow)-ROW(PLE.firstrow))),0,IF(OFFSET(PLE!$G$14,$M305,BV$13)="",10^12,OFFSET(PLE!$G$14,$M305,BV$13))))</f>
        <v>1000000000000</v>
      </c>
      <c r="BW305" s="182">
        <f ca="1">IF($D305&lt;&gt;"Serviço",0,IF(OR(AND(AUTOEVENTO="Manual",$M305=1),$M305&gt;(ROW(PLE.lastrow)-ROW(PLE.firstrow))),0,IF(OFFSET(PLE!$G$14,$M305,BW$13)="",10^12,OFFSET(PLE!$G$14,$M305,BW$13))))</f>
        <v>1000000000000</v>
      </c>
      <c r="BX305" s="182">
        <f ca="1">IF($D305&lt;&gt;"Serviço",0,IF(OR(AND(AUTOEVENTO="Manual",$M305=1),$M305&gt;(ROW(PLE.lastrow)-ROW(PLE.firstrow))),0,IF(OFFSET(PLE!$G$14,$M305,BX$13)="",10^12,OFFSET(PLE!$G$14,$M305,BX$13))))</f>
        <v>1000000000000</v>
      </c>
      <c r="BY305" s="182">
        <f ca="1">IF($D305&lt;&gt;"Serviço",0,IF(OR(AND(AUTOEVENTO="Manual",$M305=1),$M305&gt;(ROW(PLE.lastrow)-ROW(PLE.firstrow))),0,IF(OFFSET(PLE!$G$14,$M305,BY$13)="",10^12,OFFSET(PLE!$G$14,$M305,BY$13))))</f>
        <v>1000000000000</v>
      </c>
      <c r="BZ305" s="182">
        <f ca="1">IF($D305&lt;&gt;"Serviço",0,IF(OR(AND(AUTOEVENTO="Manual",$M305=1),$M305&gt;(ROW(PLE.lastrow)-ROW(PLE.firstrow))),0,IF(OFFSET(PLE!$G$14,$M305,BZ$13)="",10^12,OFFSET(PLE!$G$14,$M305,BZ$13))))</f>
        <v>1000000000000</v>
      </c>
      <c r="CA305" s="182">
        <f ca="1">IF($D305&lt;&gt;"Serviço",0,IF(OR(AND(AUTOEVENTO="Manual",$M305=1),$M305&gt;(ROW(PLE.lastrow)-ROW(PLE.firstrow))),0,IF(OFFSET(PLE!$G$14,$M305,CA$13)="",10^12,OFFSET(PLE!$G$14,$M305,CA$13))))</f>
        <v>1000000000000</v>
      </c>
      <c r="CB305" s="182">
        <f ca="1">IF($D305&lt;&gt;"Serviço",0,IF(OR(AND(AUTOEVENTO="Manual",$M305=1),$M305&gt;(ROW(PLE.lastrow)-ROW(PLE.firstrow))),0,IF(OFFSET(PLE!$G$14,$M305,CB$13)="",10^12,OFFSET(PLE!$G$14,$M305,CB$13))))</f>
        <v>1000000000000</v>
      </c>
      <c r="CC305" s="182">
        <f ca="1">IF($D305&lt;&gt;"Serviço",0,IF(OR(AND(AUTOEVENTO="Manual",$M305=1),$M305&gt;(ROW(PLE.lastrow)-ROW(PLE.firstrow))),0,IF(OFFSET(PLE!$G$14,$M305,CC$13)="",10^12,OFFSET(PLE!$G$14,$M305,CC$13))))</f>
        <v>1000000000000</v>
      </c>
      <c r="CD305" s="182">
        <f ca="1">IF($D305&lt;&gt;"Serviço",0,IF(OR(AND(AUTOEVENTO="Manual",$M305=1),$M305&gt;(ROW(PLE.lastrow)-ROW(PLE.firstrow))),0,IF(OFFSET(PLE!$G$14,$M305,CD$13)="",10^12,OFFSET(PLE!$G$14,$M305,CD$13))))</f>
        <v>1000000000000</v>
      </c>
      <c r="CE305" s="182">
        <f ca="1">IF($D305&lt;&gt;"Serviço",0,IF(OR(AND(AUTOEVENTO="Manual",$M305=1),$M305&gt;(ROW(PLE.lastrow)-ROW(PLE.firstrow))),0,IF(OFFSET(PLE!$G$14,$M305,CE$13)="",10^12,OFFSET(PLE!$G$14,$M305,CE$13))))</f>
        <v>1000000000000</v>
      </c>
      <c r="CF305" s="182">
        <f ca="1">IF($D305&lt;&gt;"Serviço",0,IF(OR(AND(AUTOEVENTO="Manual",$M305=1),$M305&gt;(ROW(PLE.lastrow)-ROW(PLE.firstrow))),0,IF(OFFSET(PLE!$G$14,$M305,CF$13)="",10^12,OFFSET(PLE!$G$14,$M305,CF$13))))</f>
        <v>1000000000000</v>
      </c>
      <c r="CG305" s="182">
        <f ca="1">IF($D305&lt;&gt;"Serviço",0,IF(OR(AND(AUTOEVENTO="Manual",$M305=1),$M305&gt;(ROW(PLE.lastrow)-ROW(PLE.firstrow))),0,IF(OFFSET(PLE!$G$14,$M305,CG$13)="",10^12,OFFSET(PLE!$G$14,$M305,CG$13))))</f>
        <v>1000000000000</v>
      </c>
      <c r="CH305" s="182">
        <f ca="1">IF($D305&lt;&gt;"Serviço",0,IF(OR(AND(AUTOEVENTO="Manual",$M305=1),$M305&gt;(ROW(PLE.lastrow)-ROW(PLE.firstrow))),0,IF(OFFSET(PLE!$G$14,$M305,CH$13)="",10^12,OFFSET(PLE!$G$14,$M305,CH$13))))</f>
        <v>1000000000000</v>
      </c>
      <c r="CI305" s="182">
        <f ca="1">IF($D305&lt;&gt;"Serviço",0,IF(OR(AND(AUTOEVENTO="Manual",$M305=1),$M305&gt;(ROW(PLE.lastrow)-ROW(PLE.firstrow))),0,IF(OFFSET(PLE!$G$14,$M305,CI$13)="",10^12,OFFSET(PLE!$G$14,$M305,CI$13))))</f>
        <v>1000000000000</v>
      </c>
      <c r="CJ305" s="182">
        <f ca="1">IF($D305&lt;&gt;"Serviço",0,IF(OR(AND(AUTOEVENTO="Manual",$M305=1),$M305&gt;(ROW(PLE.lastrow)-ROW(PLE.firstrow))),0,IF(OFFSET(PLE!$G$14,$M305,CJ$13)="",10^12,OFFSET(PLE!$G$14,$M305,CJ$13))))</f>
        <v>1000000000000</v>
      </c>
      <c r="CK305" s="182">
        <f ca="1">IF($D305&lt;&gt;"Serviço",0,IF(OR(AND(AUTOEVENTO="Manual",$M305=1),$M305&gt;(ROW(PLE.lastrow)-ROW(PLE.firstrow))),0,IF(OFFSET(PLE!$G$14,$M305,CK$13)="",10^12,OFFSET(PLE!$G$14,$M305,CK$13))))</f>
        <v>1000000000000</v>
      </c>
      <c r="CL305" s="182">
        <f ca="1">IF($D305&lt;&gt;"Serviço",0,IF(OR(AND(AUTOEVENTO="Manual",$M305=1),$M305&gt;(ROW(PLE.lastrow)-ROW(PLE.firstrow))),0,IF(OFFSET(PLE!$G$14,$M305,CL$13)="",10^12,OFFSET(PLE!$G$14,$M305,CL$13))))</f>
        <v>1000000000000</v>
      </c>
      <c r="CM305" s="182">
        <f ca="1">IF($D305&lt;&gt;"Serviço",0,IF(OR(AND(AUTOEVENTO="Manual",$M305=1),$M305&gt;(ROW(PLE.lastrow)-ROW(PLE.firstrow))),0,IF(OFFSET(PLE!$G$14,$M305,CM$13)="",10^12,OFFSET(PLE!$G$14,$M305,CM$13))))</f>
        <v>1000000000000</v>
      </c>
    </row>
    <row r="306" spans="1:91" ht="38.25" x14ac:dyDescent="0.2">
      <c r="A306" s="7" t="str">
        <f t="shared" ca="1" si="12"/>
        <v>285</v>
      </c>
      <c r="B306" s="7" t="str">
        <f ca="1">OFFSET(ORÇAMENTO!C$15,ROW(B306)-ROW(B$15),0)</f>
        <v>S</v>
      </c>
      <c r="C306" s="7" t="str">
        <f ca="1">OFFSET(ORÇAMENTO!L$15,ROW(C306)-ROW(C$15),0)</f>
        <v/>
      </c>
      <c r="D306" s="118" t="str">
        <f ca="1">OFFSET(ORÇAMENTO!N$15,ROW(D306)-ROW(D$15),0)</f>
        <v>Serviço</v>
      </c>
      <c r="E306" s="119" t="str">
        <f ca="1">OFFSET(ORÇAMENTO!O$15,ROW(E306)-ROW(E$15),0)</f>
        <v>-</v>
      </c>
      <c r="F306" s="172" t="str">
        <f ca="1">OFFSET(ORÇAMENTO!R$15,ROW(F306)-ROW(F$15),0)</f>
        <v>(abra o arquivo 'Referência 06-2024.xlsm)</v>
      </c>
      <c r="G306" s="173" t="str">
        <f ca="1">IF($D306&lt;&gt;"Serviço","",OFFSET(ORÇAMENTO!S$15,ROW(G306)-ROW(G$15),0))</f>
        <v>-</v>
      </c>
      <c r="H306" s="124">
        <f ca="1">IF($D306&lt;&gt;"Serviço",0,IF(ACOMPANHAMENTO="BM",ROUND(OFFSET(ORÇAMENTO!AJ$15,ROW(H306)-ROW(H$15),0),15-13*ORÇAMENTO!$AF$7),SUMPRODUCT(($Q$12:$AI$12&lt;&gt;"")*ROUND($Q306:$AI306,15-13*ORÇAMENTO!$AF$7))))</f>
        <v>6</v>
      </c>
      <c r="I306" s="561" t="s">
        <v>1107</v>
      </c>
      <c r="K306" s="174"/>
      <c r="L306" s="175" t="s">
        <v>255</v>
      </c>
      <c r="M306" s="176">
        <f ca="1">IF($D306&lt;&gt;"Serviço","",IF(AUTOEVENTO="manual",$A306,IF(ISERROR(MATCH($A306,$A$15:OFFSET($A306,-1,0),0)),MAX($M$15:OFFSET(M306,-1,0))+1,INDEX($M$15:OFFSET(M306,-1,0),MATCH($A306,$A$15:OFFSET($A306,-1,0),0)))))</f>
        <v>39</v>
      </c>
      <c r="N306" s="177" t="str">
        <f ca="1">IF($D306&lt;&gt;"Serviço","",IF(AUTOEVENTO="Manual",IF($A306=0,"&lt;-- defina o número do agrupador",OFFSET(EVENTOS!$D$14,$A306,0)),OFFSET($F$15,$A306,0)))</f>
        <v>DRENAGEM DE ÁGUAS PLUVIAIS - TUBULAÇÕES E CONEXÕES DE PVC</v>
      </c>
      <c r="O306" s="178"/>
      <c r="Q306" s="178">
        <v>6</v>
      </c>
      <c r="R306" s="179"/>
      <c r="S306" s="179"/>
      <c r="T306" s="179"/>
      <c r="U306" s="179"/>
      <c r="V306" s="179"/>
      <c r="W306" s="179"/>
      <c r="X306" s="179"/>
      <c r="Y306" s="179"/>
      <c r="Z306" s="180"/>
      <c r="AA306" s="179"/>
      <c r="AB306" s="179"/>
      <c r="AC306" s="179"/>
      <c r="AD306" s="179"/>
      <c r="AE306" s="179"/>
      <c r="AF306" s="179"/>
      <c r="AG306" s="179"/>
      <c r="AH306" s="180"/>
      <c r="AJ306" s="544">
        <f ca="1">IF(AND($D306="Serviço",AJ$12&lt;&gt;0,$H306&gt;0,OR(AUTOEVENTO&lt;&gt;"manual",$M306&lt;&gt;1)),
IF(Import.TipoArredondamento&lt;&gt;"TransfereGOV",
ROUND(OFFSET($P306,0,AJ$13),15-13*ORÇAMENTO!$AF$7)/$H306*OFFSET(ORÇAMENTO!$X$15,ROW(AJ306)-ROW(AJ$15),0),
ROUND(ROUND(OFFSET($P306,0,AJ$13),15-13*ORÇAMENTO!$AF$7)*OFFSET(ORÇAMENTO!$W$15,ROW(AJ306)-ROW(AJ$15),0),15-13*ORÇAMENTO!$AF$11)),0)</f>
        <v>0</v>
      </c>
      <c r="AK306" s="545">
        <f ca="1">IF(AND($D306="Serviço",AK$12&lt;&gt;0,$H306&gt;0,OR(AUTOEVENTO&lt;&gt;"manual",$M306&lt;&gt;1)),
IF(Import.TipoArredondamento&lt;&gt;"TransfereGOV",
ROUND(OFFSET($P306,0,AK$13),15-13*ORÇAMENTO!$AF$7)/$H306*OFFSET(ORÇAMENTO!$X$15,ROW(AK306)-ROW(AK$15),0),
ROUND(ROUND(OFFSET($P306,0,AK$13),15-13*ORÇAMENTO!$AF$7)*OFFSET(ORÇAMENTO!$W$15,ROW(AK306)-ROW(AK$15),0),15-13*ORÇAMENTO!$AF$11)),0)</f>
        <v>0</v>
      </c>
      <c r="AL306" s="545">
        <f ca="1">IF(AND($D306="Serviço",AL$12&lt;&gt;0,$H306&gt;0,OR(AUTOEVENTO&lt;&gt;"manual",$M306&lt;&gt;1)),
IF(Import.TipoArredondamento&lt;&gt;"TransfereGOV",
ROUND(OFFSET($P306,0,AL$13),15-13*ORÇAMENTO!$AF$7)/$H306*OFFSET(ORÇAMENTO!$X$15,ROW(AL306)-ROW(AL$15),0),
ROUND(ROUND(OFFSET($P306,0,AL$13),15-13*ORÇAMENTO!$AF$7)*OFFSET(ORÇAMENTO!$W$15,ROW(AL306)-ROW(AL$15),0),15-13*ORÇAMENTO!$AF$11)),0)</f>
        <v>0</v>
      </c>
      <c r="AM306" s="545">
        <f ca="1">IF(AND($D306="Serviço",AM$12&lt;&gt;0,$H306&gt;0,OR(AUTOEVENTO&lt;&gt;"manual",$M306&lt;&gt;1)),
IF(Import.TipoArredondamento&lt;&gt;"TransfereGOV",
ROUND(OFFSET($P306,0,AM$13),15-13*ORÇAMENTO!$AF$7)/$H306*OFFSET(ORÇAMENTO!$X$15,ROW(AM306)-ROW(AM$15),0),
ROUND(ROUND(OFFSET($P306,0,AM$13),15-13*ORÇAMENTO!$AF$7)*OFFSET(ORÇAMENTO!$W$15,ROW(AM306)-ROW(AM$15),0),15-13*ORÇAMENTO!$AF$11)),0)</f>
        <v>0</v>
      </c>
      <c r="AN306" s="545">
        <f ca="1">IF(AND($D306="Serviço",AN$12&lt;&gt;0,$H306&gt;0,OR(AUTOEVENTO&lt;&gt;"manual",$M306&lt;&gt;1)),
IF(Import.TipoArredondamento&lt;&gt;"TransfereGOV",
ROUND(OFFSET($P306,0,AN$13),15-13*ORÇAMENTO!$AF$7)/$H306*OFFSET(ORÇAMENTO!$X$15,ROW(AN306)-ROW(AN$15),0),
ROUND(ROUND(OFFSET($P306,0,AN$13),15-13*ORÇAMENTO!$AF$7)*OFFSET(ORÇAMENTO!$W$15,ROW(AN306)-ROW(AN$15),0),15-13*ORÇAMENTO!$AF$11)),0)</f>
        <v>0</v>
      </c>
      <c r="AO306" s="545">
        <f ca="1">IF(AND($D306="Serviço",AO$12&lt;&gt;0,$H306&gt;0,OR(AUTOEVENTO&lt;&gt;"manual",$M306&lt;&gt;1)),
IF(Import.TipoArredondamento&lt;&gt;"TransfereGOV",
ROUND(OFFSET($P306,0,AO$13),15-13*ORÇAMENTO!$AF$7)/$H306*OFFSET(ORÇAMENTO!$X$15,ROW(AO306)-ROW(AO$15),0),
ROUND(ROUND(OFFSET($P306,0,AO$13),15-13*ORÇAMENTO!$AF$7)*OFFSET(ORÇAMENTO!$W$15,ROW(AO306)-ROW(AO$15),0),15-13*ORÇAMENTO!$AF$11)),0)</f>
        <v>0</v>
      </c>
      <c r="AP306" s="545">
        <f ca="1">IF(AND($D306="Serviço",AP$12&lt;&gt;0,$H306&gt;0,OR(AUTOEVENTO&lt;&gt;"manual",$M306&lt;&gt;1)),
IF(Import.TipoArredondamento&lt;&gt;"TransfereGOV",
ROUND(OFFSET($P306,0,AP$13),15-13*ORÇAMENTO!$AF$7)/$H306*OFFSET(ORÇAMENTO!$X$15,ROW(AP306)-ROW(AP$15),0),
ROUND(ROUND(OFFSET($P306,0,AP$13),15-13*ORÇAMENTO!$AF$7)*OFFSET(ORÇAMENTO!$W$15,ROW(AP306)-ROW(AP$15),0),15-13*ORÇAMENTO!$AF$11)),0)</f>
        <v>0</v>
      </c>
      <c r="AQ306" s="545">
        <f ca="1">IF(AND($D306="Serviço",AQ$12&lt;&gt;0,$H306&gt;0,OR(AUTOEVENTO&lt;&gt;"manual",$M306&lt;&gt;1)),
IF(Import.TipoArredondamento&lt;&gt;"TransfereGOV",
ROUND(OFFSET($P306,0,AQ$13),15-13*ORÇAMENTO!$AF$7)/$H306*OFFSET(ORÇAMENTO!$X$15,ROW(AQ306)-ROW(AQ$15),0),
ROUND(ROUND(OFFSET($P306,0,AQ$13),15-13*ORÇAMENTO!$AF$7)*OFFSET(ORÇAMENTO!$W$15,ROW(AQ306)-ROW(AQ$15),0),15-13*ORÇAMENTO!$AF$11)),0)</f>
        <v>0</v>
      </c>
      <c r="AR306" s="545">
        <f ca="1">IF(AND($D306="Serviço",AR$12&lt;&gt;0,$H306&gt;0,OR(AUTOEVENTO&lt;&gt;"manual",$M306&lt;&gt;1)),
IF(Import.TipoArredondamento&lt;&gt;"TransfereGOV",
ROUND(OFFSET($P306,0,AR$13),15-13*ORÇAMENTO!$AF$7)/$H306*OFFSET(ORÇAMENTO!$X$15,ROW(AR306)-ROW(AR$15),0),
ROUND(ROUND(OFFSET($P306,0,AR$13),15-13*ORÇAMENTO!$AF$7)*OFFSET(ORÇAMENTO!$W$15,ROW(AR306)-ROW(AR$15),0),15-13*ORÇAMENTO!$AF$11)),0)</f>
        <v>0</v>
      </c>
      <c r="AS306" s="546">
        <f ca="1">IF(AND($D306="Serviço",AS$12&lt;&gt;0,$H306&gt;0,OR(AUTOEVENTO&lt;&gt;"manual",$M306&lt;&gt;1)),
IF(Import.TipoArredondamento&lt;&gt;"TransfereGOV",
ROUND(OFFSET($P306,0,AS$13),15-13*ORÇAMENTO!$AF$7)/$H306*OFFSET(ORÇAMENTO!$X$15,ROW(AS306)-ROW(AS$15),0),
ROUND(ROUND(OFFSET($P306,0,AS$13),15-13*ORÇAMENTO!$AF$7)*OFFSET(ORÇAMENTO!$W$15,ROW(AS306)-ROW(AS$15),0),15-13*ORÇAMENTO!$AF$11)),0)</f>
        <v>0</v>
      </c>
      <c r="AT306" s="545">
        <f ca="1">IF(AND($D306="Serviço",AT$12&lt;&gt;0,$H306&gt;0,OR(AUTOEVENTO&lt;&gt;"manual",$M306&lt;&gt;1)),
IF(Import.TipoArredondamento&lt;&gt;"TransfereGOV",
ROUND(OFFSET($P306,0,AT$13),15-13*ORÇAMENTO!$AF$7)/$H306*OFFSET(ORÇAMENTO!$X$15,ROW(AT306)-ROW(AT$15),0),
ROUND(ROUND(OFFSET($P306,0,AT$13),15-13*ORÇAMENTO!$AF$7)*OFFSET(ORÇAMENTO!$W$15,ROW(AT306)-ROW(AT$15),0),15-13*ORÇAMENTO!$AF$11)),0)</f>
        <v>0</v>
      </c>
      <c r="AU306" s="545">
        <f ca="1">IF(AND($D306="Serviço",AU$12&lt;&gt;0,$H306&gt;0,OR(AUTOEVENTO&lt;&gt;"manual",$M306&lt;&gt;1)),
IF(Import.TipoArredondamento&lt;&gt;"TransfereGOV",
ROUND(OFFSET($P306,0,AU$13),15-13*ORÇAMENTO!$AF$7)/$H306*OFFSET(ORÇAMENTO!$X$15,ROW(AU306)-ROW(AU$15),0),
ROUND(ROUND(OFFSET($P306,0,AU$13),15-13*ORÇAMENTO!$AF$7)*OFFSET(ORÇAMENTO!$W$15,ROW(AU306)-ROW(AU$15),0),15-13*ORÇAMENTO!$AF$11)),0)</f>
        <v>0</v>
      </c>
      <c r="AV306" s="545">
        <f ca="1">IF(AND($D306="Serviço",AV$12&lt;&gt;0,$H306&gt;0,OR(AUTOEVENTO&lt;&gt;"manual",$M306&lt;&gt;1)),
IF(Import.TipoArredondamento&lt;&gt;"TransfereGOV",
ROUND(OFFSET($P306,0,AV$13),15-13*ORÇAMENTO!$AF$7)/$H306*OFFSET(ORÇAMENTO!$X$15,ROW(AV306)-ROW(AV$15),0),
ROUND(ROUND(OFFSET($P306,0,AV$13),15-13*ORÇAMENTO!$AF$7)*OFFSET(ORÇAMENTO!$W$15,ROW(AV306)-ROW(AV$15),0),15-13*ORÇAMENTO!$AF$11)),0)</f>
        <v>0</v>
      </c>
      <c r="AW306" s="545">
        <f ca="1">IF(AND($D306="Serviço",AW$12&lt;&gt;0,$H306&gt;0,OR(AUTOEVENTO&lt;&gt;"manual",$M306&lt;&gt;1)),
IF(Import.TipoArredondamento&lt;&gt;"TransfereGOV",
ROUND(OFFSET($P306,0,AW$13),15-13*ORÇAMENTO!$AF$7)/$H306*OFFSET(ORÇAMENTO!$X$15,ROW(AW306)-ROW(AW$15),0),
ROUND(ROUND(OFFSET($P306,0,AW$13),15-13*ORÇAMENTO!$AF$7)*OFFSET(ORÇAMENTO!$W$15,ROW(AW306)-ROW(AW$15),0),15-13*ORÇAMENTO!$AF$11)),0)</f>
        <v>0</v>
      </c>
      <c r="AX306" s="545">
        <f ca="1">IF(AND($D306="Serviço",AX$12&lt;&gt;0,$H306&gt;0,OR(AUTOEVENTO&lt;&gt;"manual",$M306&lt;&gt;1)),
IF(Import.TipoArredondamento&lt;&gt;"TransfereGOV",
ROUND(OFFSET($P306,0,AX$13),15-13*ORÇAMENTO!$AF$7)/$H306*OFFSET(ORÇAMENTO!$X$15,ROW(AX306)-ROW(AX$15),0),
ROUND(ROUND(OFFSET($P306,0,AX$13),15-13*ORÇAMENTO!$AF$7)*OFFSET(ORÇAMENTO!$W$15,ROW(AX306)-ROW(AX$15),0),15-13*ORÇAMENTO!$AF$11)),0)</f>
        <v>0</v>
      </c>
      <c r="AY306" s="545">
        <f ca="1">IF(AND($D306="Serviço",AY$12&lt;&gt;0,$H306&gt;0,OR(AUTOEVENTO&lt;&gt;"manual",$M306&lt;&gt;1)),
IF(Import.TipoArredondamento&lt;&gt;"TransfereGOV",
ROUND(OFFSET($P306,0,AY$13),15-13*ORÇAMENTO!$AF$7)/$H306*OFFSET(ORÇAMENTO!$X$15,ROW(AY306)-ROW(AY$15),0),
ROUND(ROUND(OFFSET($P306,0,AY$13),15-13*ORÇAMENTO!$AF$7)*OFFSET(ORÇAMENTO!$W$15,ROW(AY306)-ROW(AY$15),0),15-13*ORÇAMENTO!$AF$11)),0)</f>
        <v>0</v>
      </c>
      <c r="AZ306" s="545">
        <f ca="1">IF(AND($D306="Serviço",AZ$12&lt;&gt;0,$H306&gt;0,OR(AUTOEVENTO&lt;&gt;"manual",$M306&lt;&gt;1)),
IF(Import.TipoArredondamento&lt;&gt;"TransfereGOV",
ROUND(OFFSET($P306,0,AZ$13),15-13*ORÇAMENTO!$AF$7)/$H306*OFFSET(ORÇAMENTO!$X$15,ROW(AZ306)-ROW(AZ$15),0),
ROUND(ROUND(OFFSET($P306,0,AZ$13),15-13*ORÇAMENTO!$AF$7)*OFFSET(ORÇAMENTO!$W$15,ROW(AZ306)-ROW(AZ$15),0),15-13*ORÇAMENTO!$AF$11)),0)</f>
        <v>0</v>
      </c>
      <c r="BA306" s="546">
        <f ca="1">IF(AND($D306="Serviço",BA$12&lt;&gt;0,$H306&gt;0,OR(AUTOEVENTO&lt;&gt;"manual",$M306&lt;&gt;1)),
IF(Import.TipoArredondamento&lt;&gt;"TransfereGOV",
ROUND(OFFSET($P306,0,BA$13),15-13*ORÇAMENTO!$AF$7)/$H306*OFFSET(ORÇAMENTO!$X$15,ROW(BA306)-ROW(BA$15),0),
ROUND(ROUND(OFFSET($P306,0,BA$13),15-13*ORÇAMENTO!$AF$7)*OFFSET(ORÇAMENTO!$W$15,ROW(BA306)-ROW(BA$15),0),15-13*ORÇAMENTO!$AF$11)),0)</f>
        <v>0</v>
      </c>
      <c r="BC306" s="181">
        <f ca="1">IF($D306&lt;&gt;"Serviço",0,IF(AND(AUTOEVENTO="Manual",$M306=1),0,IF(OFFSET(CRONOPLE!$F$14,$M306,BC$13)="",10^12,OFFSET(CRONOPLE!$F$14,$M306,BC$13))))</f>
        <v>9</v>
      </c>
      <c r="BD306" s="181">
        <f ca="1">IF($D306&lt;&gt;"Serviço",0,IF(AND(AUTOEVENTO="Manual",$M306=1),0,IF(OFFSET(CRONOPLE!$F$14,$M306,BD$13)="",10^12,OFFSET(CRONOPLE!$F$14,$M306,BD$13))))</f>
        <v>1000000000000</v>
      </c>
      <c r="BE306" s="181">
        <f ca="1">IF($D306&lt;&gt;"Serviço",0,IF(AND(AUTOEVENTO="Manual",$M306=1),0,IF(OFFSET(CRONOPLE!$F$14,$M306,BE$13)="",10^12,OFFSET(CRONOPLE!$F$14,$M306,BE$13))))</f>
        <v>1000000000000</v>
      </c>
      <c r="BF306" s="181">
        <f ca="1">IF($D306&lt;&gt;"Serviço",0,IF(AND(AUTOEVENTO="Manual",$M306=1),0,IF(OFFSET(CRONOPLE!$F$14,$M306,BF$13)="",10^12,OFFSET(CRONOPLE!$F$14,$M306,BF$13))))</f>
        <v>1000000000000</v>
      </c>
      <c r="BG306" s="181">
        <f ca="1">IF($D306&lt;&gt;"Serviço",0,IF(AND(AUTOEVENTO="Manual",$M306=1),0,IF(OFFSET(CRONOPLE!$F$14,$M306,BG$13)="",10^12,OFFSET(CRONOPLE!$F$14,$M306,BG$13))))</f>
        <v>1000000000000</v>
      </c>
      <c r="BH306" s="181">
        <f ca="1">IF($D306&lt;&gt;"Serviço",0,IF(AND(AUTOEVENTO="Manual",$M306=1),0,IF(OFFSET(CRONOPLE!$F$14,$M306,BH$13)="",10^12,OFFSET(CRONOPLE!$F$14,$M306,BH$13))))</f>
        <v>1000000000000</v>
      </c>
      <c r="BI306" s="181">
        <f ca="1">IF($D306&lt;&gt;"Serviço",0,IF(AND(AUTOEVENTO="Manual",$M306=1),0,IF(OFFSET(CRONOPLE!$F$14,$M306,BI$13)="",10^12,OFFSET(CRONOPLE!$F$14,$M306,BI$13))))</f>
        <v>1000000000000</v>
      </c>
      <c r="BJ306" s="181">
        <f ca="1">IF($D306&lt;&gt;"Serviço",0,IF(AND(AUTOEVENTO="Manual",$M306=1),0,IF(OFFSET(CRONOPLE!$F$14,$M306,BJ$13)="",10^12,OFFSET(CRONOPLE!$F$14,$M306,BJ$13))))</f>
        <v>1000000000000</v>
      </c>
      <c r="BK306" s="181">
        <f ca="1">IF($D306&lt;&gt;"Serviço",0,IF(AND(AUTOEVENTO="Manual",$M306=1),0,IF(OFFSET(CRONOPLE!$F$14,$M306,BK$13)="",10^12,OFFSET(CRONOPLE!$F$14,$M306,BK$13))))</f>
        <v>1000000000000</v>
      </c>
      <c r="BL306" s="181">
        <f ca="1">IF($D306&lt;&gt;"Serviço",0,IF(AND(AUTOEVENTO="Manual",$M306=1),0,IF(OFFSET(CRONOPLE!$F$14,$M306,BL$13)="",10^12,OFFSET(CRONOPLE!$F$14,$M306,BL$13))))</f>
        <v>1000000000000</v>
      </c>
      <c r="BM306" s="181">
        <f ca="1">IF($D306&lt;&gt;"Serviço",0,IF(AND(AUTOEVENTO="Manual",$M306=1),0,IF(OFFSET(CRONOPLE!$F$14,$M306,BM$13)="",10^12,OFFSET(CRONOPLE!$F$14,$M306,BM$13))))</f>
        <v>1000000000000</v>
      </c>
      <c r="BN306" s="181">
        <f ca="1">IF($D306&lt;&gt;"Serviço",0,IF(AND(AUTOEVENTO="Manual",$M306=1),0,IF(OFFSET(CRONOPLE!$F$14,$M306,BN$13)="",10^12,OFFSET(CRONOPLE!$F$14,$M306,BN$13))))</f>
        <v>1000000000000</v>
      </c>
      <c r="BO306" s="181">
        <f ca="1">IF($D306&lt;&gt;"Serviço",0,IF(AND(AUTOEVENTO="Manual",$M306=1),0,IF(OFFSET(CRONOPLE!$F$14,$M306,BO$13)="",10^12,OFFSET(CRONOPLE!$F$14,$M306,BO$13))))</f>
        <v>1000000000000</v>
      </c>
      <c r="BP306" s="181">
        <f ca="1">IF($D306&lt;&gt;"Serviço",0,IF(AND(AUTOEVENTO="Manual",$M306=1),0,IF(OFFSET(CRONOPLE!$F$14,$M306,BP$13)="",10^12,OFFSET(CRONOPLE!$F$14,$M306,BP$13))))</f>
        <v>1000000000000</v>
      </c>
      <c r="BQ306" s="181">
        <f ca="1">IF($D306&lt;&gt;"Serviço",0,IF(AND(AUTOEVENTO="Manual",$M306=1),0,IF(OFFSET(CRONOPLE!$F$14,$M306,BQ$13)="",10^12,OFFSET(CRONOPLE!$F$14,$M306,BQ$13))))</f>
        <v>1000000000000</v>
      </c>
      <c r="BR306" s="181">
        <f ca="1">IF($D306&lt;&gt;"Serviço",0,IF(AND(AUTOEVENTO="Manual",$M306=1),0,IF(OFFSET(CRONOPLE!$F$14,$M306,BR$13)="",10^12,OFFSET(CRONOPLE!$F$14,$M306,BR$13))))</f>
        <v>1000000000000</v>
      </c>
      <c r="BS306" s="181">
        <f ca="1">IF($D306&lt;&gt;"Serviço",0,IF(AND(AUTOEVENTO="Manual",$M306=1),0,IF(OFFSET(CRONOPLE!$F$14,$M306,BS$13)="",10^12,OFFSET(CRONOPLE!$F$14,$M306,BS$13))))</f>
        <v>1000000000000</v>
      </c>
      <c r="BT306" s="181">
        <f ca="1">IF($D306&lt;&gt;"Serviço",0,IF(AND(AUTOEVENTO="Manual",$M306=1),0,IF(OFFSET(CRONOPLE!$F$14,$M306,BT$13)="",10^12,OFFSET(CRONOPLE!$F$14,$M306,BT$13))))</f>
        <v>1000000000000</v>
      </c>
      <c r="BV306" s="182">
        <f ca="1">IF($D306&lt;&gt;"Serviço",0,IF(OR(AND(AUTOEVENTO="Manual",$M306=1),$M306&gt;(ROW(PLE.lastrow)-ROW(PLE.firstrow))),0,IF(OFFSET(PLE!$G$14,$M306,BV$13)="",10^12,OFFSET(PLE!$G$14,$M306,BV$13))))</f>
        <v>1000000000000</v>
      </c>
      <c r="BW306" s="182">
        <f ca="1">IF($D306&lt;&gt;"Serviço",0,IF(OR(AND(AUTOEVENTO="Manual",$M306=1),$M306&gt;(ROW(PLE.lastrow)-ROW(PLE.firstrow))),0,IF(OFFSET(PLE!$G$14,$M306,BW$13)="",10^12,OFFSET(PLE!$G$14,$M306,BW$13))))</f>
        <v>1000000000000</v>
      </c>
      <c r="BX306" s="182">
        <f ca="1">IF($D306&lt;&gt;"Serviço",0,IF(OR(AND(AUTOEVENTO="Manual",$M306=1),$M306&gt;(ROW(PLE.lastrow)-ROW(PLE.firstrow))),0,IF(OFFSET(PLE!$G$14,$M306,BX$13)="",10^12,OFFSET(PLE!$G$14,$M306,BX$13))))</f>
        <v>1000000000000</v>
      </c>
      <c r="BY306" s="182">
        <f ca="1">IF($D306&lt;&gt;"Serviço",0,IF(OR(AND(AUTOEVENTO="Manual",$M306=1),$M306&gt;(ROW(PLE.lastrow)-ROW(PLE.firstrow))),0,IF(OFFSET(PLE!$G$14,$M306,BY$13)="",10^12,OFFSET(PLE!$G$14,$M306,BY$13))))</f>
        <v>1000000000000</v>
      </c>
      <c r="BZ306" s="182">
        <f ca="1">IF($D306&lt;&gt;"Serviço",0,IF(OR(AND(AUTOEVENTO="Manual",$M306=1),$M306&gt;(ROW(PLE.lastrow)-ROW(PLE.firstrow))),0,IF(OFFSET(PLE!$G$14,$M306,BZ$13)="",10^12,OFFSET(PLE!$G$14,$M306,BZ$13))))</f>
        <v>1000000000000</v>
      </c>
      <c r="CA306" s="182">
        <f ca="1">IF($D306&lt;&gt;"Serviço",0,IF(OR(AND(AUTOEVENTO="Manual",$M306=1),$M306&gt;(ROW(PLE.lastrow)-ROW(PLE.firstrow))),0,IF(OFFSET(PLE!$G$14,$M306,CA$13)="",10^12,OFFSET(PLE!$G$14,$M306,CA$13))))</f>
        <v>1000000000000</v>
      </c>
      <c r="CB306" s="182">
        <f ca="1">IF($D306&lt;&gt;"Serviço",0,IF(OR(AND(AUTOEVENTO="Manual",$M306=1),$M306&gt;(ROW(PLE.lastrow)-ROW(PLE.firstrow))),0,IF(OFFSET(PLE!$G$14,$M306,CB$13)="",10^12,OFFSET(PLE!$G$14,$M306,CB$13))))</f>
        <v>1000000000000</v>
      </c>
      <c r="CC306" s="182">
        <f ca="1">IF($D306&lt;&gt;"Serviço",0,IF(OR(AND(AUTOEVENTO="Manual",$M306=1),$M306&gt;(ROW(PLE.lastrow)-ROW(PLE.firstrow))),0,IF(OFFSET(PLE!$G$14,$M306,CC$13)="",10^12,OFFSET(PLE!$G$14,$M306,CC$13))))</f>
        <v>1000000000000</v>
      </c>
      <c r="CD306" s="182">
        <f ca="1">IF($D306&lt;&gt;"Serviço",0,IF(OR(AND(AUTOEVENTO="Manual",$M306=1),$M306&gt;(ROW(PLE.lastrow)-ROW(PLE.firstrow))),0,IF(OFFSET(PLE!$G$14,$M306,CD$13)="",10^12,OFFSET(PLE!$G$14,$M306,CD$13))))</f>
        <v>1000000000000</v>
      </c>
      <c r="CE306" s="182">
        <f ca="1">IF($D306&lt;&gt;"Serviço",0,IF(OR(AND(AUTOEVENTO="Manual",$M306=1),$M306&gt;(ROW(PLE.lastrow)-ROW(PLE.firstrow))),0,IF(OFFSET(PLE!$G$14,$M306,CE$13)="",10^12,OFFSET(PLE!$G$14,$M306,CE$13))))</f>
        <v>1000000000000</v>
      </c>
      <c r="CF306" s="182">
        <f ca="1">IF($D306&lt;&gt;"Serviço",0,IF(OR(AND(AUTOEVENTO="Manual",$M306=1),$M306&gt;(ROW(PLE.lastrow)-ROW(PLE.firstrow))),0,IF(OFFSET(PLE!$G$14,$M306,CF$13)="",10^12,OFFSET(PLE!$G$14,$M306,CF$13))))</f>
        <v>1000000000000</v>
      </c>
      <c r="CG306" s="182">
        <f ca="1">IF($D306&lt;&gt;"Serviço",0,IF(OR(AND(AUTOEVENTO="Manual",$M306=1),$M306&gt;(ROW(PLE.lastrow)-ROW(PLE.firstrow))),0,IF(OFFSET(PLE!$G$14,$M306,CG$13)="",10^12,OFFSET(PLE!$G$14,$M306,CG$13))))</f>
        <v>1000000000000</v>
      </c>
      <c r="CH306" s="182">
        <f ca="1">IF($D306&lt;&gt;"Serviço",0,IF(OR(AND(AUTOEVENTO="Manual",$M306=1),$M306&gt;(ROW(PLE.lastrow)-ROW(PLE.firstrow))),0,IF(OFFSET(PLE!$G$14,$M306,CH$13)="",10^12,OFFSET(PLE!$G$14,$M306,CH$13))))</f>
        <v>1000000000000</v>
      </c>
      <c r="CI306" s="182">
        <f ca="1">IF($D306&lt;&gt;"Serviço",0,IF(OR(AND(AUTOEVENTO="Manual",$M306=1),$M306&gt;(ROW(PLE.lastrow)-ROW(PLE.firstrow))),0,IF(OFFSET(PLE!$G$14,$M306,CI$13)="",10^12,OFFSET(PLE!$G$14,$M306,CI$13))))</f>
        <v>1000000000000</v>
      </c>
      <c r="CJ306" s="182">
        <f ca="1">IF($D306&lt;&gt;"Serviço",0,IF(OR(AND(AUTOEVENTO="Manual",$M306=1),$M306&gt;(ROW(PLE.lastrow)-ROW(PLE.firstrow))),0,IF(OFFSET(PLE!$G$14,$M306,CJ$13)="",10^12,OFFSET(PLE!$G$14,$M306,CJ$13))))</f>
        <v>1000000000000</v>
      </c>
      <c r="CK306" s="182">
        <f ca="1">IF($D306&lt;&gt;"Serviço",0,IF(OR(AND(AUTOEVENTO="Manual",$M306=1),$M306&gt;(ROW(PLE.lastrow)-ROW(PLE.firstrow))),0,IF(OFFSET(PLE!$G$14,$M306,CK$13)="",10^12,OFFSET(PLE!$G$14,$M306,CK$13))))</f>
        <v>1000000000000</v>
      </c>
      <c r="CL306" s="182">
        <f ca="1">IF($D306&lt;&gt;"Serviço",0,IF(OR(AND(AUTOEVENTO="Manual",$M306=1),$M306&gt;(ROW(PLE.lastrow)-ROW(PLE.firstrow))),0,IF(OFFSET(PLE!$G$14,$M306,CL$13)="",10^12,OFFSET(PLE!$G$14,$M306,CL$13))))</f>
        <v>1000000000000</v>
      </c>
      <c r="CM306" s="182">
        <f ca="1">IF($D306&lt;&gt;"Serviço",0,IF(OR(AND(AUTOEVENTO="Manual",$M306=1),$M306&gt;(ROW(PLE.lastrow)-ROW(PLE.firstrow))),0,IF(OFFSET(PLE!$G$14,$M306,CM$13)="",10^12,OFFSET(PLE!$G$14,$M306,CM$13))))</f>
        <v>1000000000000</v>
      </c>
    </row>
    <row r="307" spans="1:91" ht="38.25" x14ac:dyDescent="0.2">
      <c r="A307" s="7" t="str">
        <f t="shared" ca="1" si="12"/>
        <v>285</v>
      </c>
      <c r="B307" s="7" t="str">
        <f ca="1">OFFSET(ORÇAMENTO!C$15,ROW(B307)-ROW(B$15),0)</f>
        <v>S</v>
      </c>
      <c r="C307" s="7" t="str">
        <f ca="1">OFFSET(ORÇAMENTO!L$15,ROW(C307)-ROW(C$15),0)</f>
        <v/>
      </c>
      <c r="D307" s="118" t="str">
        <f ca="1">OFFSET(ORÇAMENTO!N$15,ROW(D307)-ROW(D$15),0)</f>
        <v>Serviço</v>
      </c>
      <c r="E307" s="119" t="str">
        <f ca="1">OFFSET(ORÇAMENTO!O$15,ROW(E307)-ROW(E$15),0)</f>
        <v>-</v>
      </c>
      <c r="F307" s="172" t="str">
        <f ca="1">OFFSET(ORÇAMENTO!R$15,ROW(F307)-ROW(F$15),0)</f>
        <v>(abra o arquivo 'Referência 06-2024.xlsm)</v>
      </c>
      <c r="G307" s="173" t="str">
        <f ca="1">IF($D307&lt;&gt;"Serviço","",OFFSET(ORÇAMENTO!S$15,ROW(G307)-ROW(G$15),0))</f>
        <v>-</v>
      </c>
      <c r="H307" s="124">
        <f ca="1">IF($D307&lt;&gt;"Serviço",0,IF(ACOMPANHAMENTO="BM",ROUND(OFFSET(ORÇAMENTO!AJ$15,ROW(H307)-ROW(H$15),0),15-13*ORÇAMENTO!$AF$7),SUMPRODUCT(($Q$12:$AI$12&lt;&gt;"")*ROUND($Q307:$AI307,15-13*ORÇAMENTO!$AF$7))))</f>
        <v>16</v>
      </c>
      <c r="I307" s="561" t="s">
        <v>1107</v>
      </c>
      <c r="K307" s="174"/>
      <c r="L307" s="175" t="s">
        <v>255</v>
      </c>
      <c r="M307" s="176">
        <f ca="1">IF($D307&lt;&gt;"Serviço","",IF(AUTOEVENTO="manual",$A307,IF(ISERROR(MATCH($A307,$A$15:OFFSET($A307,-1,0),0)),MAX($M$15:OFFSET(M307,-1,0))+1,INDEX($M$15:OFFSET(M307,-1,0),MATCH($A307,$A$15:OFFSET($A307,-1,0),0)))))</f>
        <v>39</v>
      </c>
      <c r="N307" s="177" t="str">
        <f ca="1">IF($D307&lt;&gt;"Serviço","",IF(AUTOEVENTO="Manual",IF($A307=0,"&lt;-- defina o número do agrupador",OFFSET(EVENTOS!$D$14,$A307,0)),OFFSET($F$15,$A307,0)))</f>
        <v>DRENAGEM DE ÁGUAS PLUVIAIS - TUBULAÇÕES E CONEXÕES DE PVC</v>
      </c>
      <c r="O307" s="178"/>
      <c r="Q307" s="178">
        <v>16</v>
      </c>
      <c r="R307" s="179"/>
      <c r="S307" s="179"/>
      <c r="T307" s="179"/>
      <c r="U307" s="179"/>
      <c r="V307" s="179"/>
      <c r="W307" s="179"/>
      <c r="X307" s="179"/>
      <c r="Y307" s="179"/>
      <c r="Z307" s="180"/>
      <c r="AA307" s="179"/>
      <c r="AB307" s="179"/>
      <c r="AC307" s="179"/>
      <c r="AD307" s="179"/>
      <c r="AE307" s="179"/>
      <c r="AF307" s="179"/>
      <c r="AG307" s="179"/>
      <c r="AH307" s="180"/>
      <c r="AJ307" s="544">
        <f ca="1">IF(AND($D307="Serviço",AJ$12&lt;&gt;0,$H307&gt;0,OR(AUTOEVENTO&lt;&gt;"manual",$M307&lt;&gt;1)),
IF(Import.TipoArredondamento&lt;&gt;"TransfereGOV",
ROUND(OFFSET($P307,0,AJ$13),15-13*ORÇAMENTO!$AF$7)/$H307*OFFSET(ORÇAMENTO!$X$15,ROW(AJ307)-ROW(AJ$15),0),
ROUND(ROUND(OFFSET($P307,0,AJ$13),15-13*ORÇAMENTO!$AF$7)*OFFSET(ORÇAMENTO!$W$15,ROW(AJ307)-ROW(AJ$15),0),15-13*ORÇAMENTO!$AF$11)),0)</f>
        <v>0</v>
      </c>
      <c r="AK307" s="545">
        <f ca="1">IF(AND($D307="Serviço",AK$12&lt;&gt;0,$H307&gt;0,OR(AUTOEVENTO&lt;&gt;"manual",$M307&lt;&gt;1)),
IF(Import.TipoArredondamento&lt;&gt;"TransfereGOV",
ROUND(OFFSET($P307,0,AK$13),15-13*ORÇAMENTO!$AF$7)/$H307*OFFSET(ORÇAMENTO!$X$15,ROW(AK307)-ROW(AK$15),0),
ROUND(ROUND(OFFSET($P307,0,AK$13),15-13*ORÇAMENTO!$AF$7)*OFFSET(ORÇAMENTO!$W$15,ROW(AK307)-ROW(AK$15),0),15-13*ORÇAMENTO!$AF$11)),0)</f>
        <v>0</v>
      </c>
      <c r="AL307" s="545">
        <f ca="1">IF(AND($D307="Serviço",AL$12&lt;&gt;0,$H307&gt;0,OR(AUTOEVENTO&lt;&gt;"manual",$M307&lt;&gt;1)),
IF(Import.TipoArredondamento&lt;&gt;"TransfereGOV",
ROUND(OFFSET($P307,0,AL$13),15-13*ORÇAMENTO!$AF$7)/$H307*OFFSET(ORÇAMENTO!$X$15,ROW(AL307)-ROW(AL$15),0),
ROUND(ROUND(OFFSET($P307,0,AL$13),15-13*ORÇAMENTO!$AF$7)*OFFSET(ORÇAMENTO!$W$15,ROW(AL307)-ROW(AL$15),0),15-13*ORÇAMENTO!$AF$11)),0)</f>
        <v>0</v>
      </c>
      <c r="AM307" s="545">
        <f ca="1">IF(AND($D307="Serviço",AM$12&lt;&gt;0,$H307&gt;0,OR(AUTOEVENTO&lt;&gt;"manual",$M307&lt;&gt;1)),
IF(Import.TipoArredondamento&lt;&gt;"TransfereGOV",
ROUND(OFFSET($P307,0,AM$13),15-13*ORÇAMENTO!$AF$7)/$H307*OFFSET(ORÇAMENTO!$X$15,ROW(AM307)-ROW(AM$15),0),
ROUND(ROUND(OFFSET($P307,0,AM$13),15-13*ORÇAMENTO!$AF$7)*OFFSET(ORÇAMENTO!$W$15,ROW(AM307)-ROW(AM$15),0),15-13*ORÇAMENTO!$AF$11)),0)</f>
        <v>0</v>
      </c>
      <c r="AN307" s="545">
        <f ca="1">IF(AND($D307="Serviço",AN$12&lt;&gt;0,$H307&gt;0,OR(AUTOEVENTO&lt;&gt;"manual",$M307&lt;&gt;1)),
IF(Import.TipoArredondamento&lt;&gt;"TransfereGOV",
ROUND(OFFSET($P307,0,AN$13),15-13*ORÇAMENTO!$AF$7)/$H307*OFFSET(ORÇAMENTO!$X$15,ROW(AN307)-ROW(AN$15),0),
ROUND(ROUND(OFFSET($P307,0,AN$13),15-13*ORÇAMENTO!$AF$7)*OFFSET(ORÇAMENTO!$W$15,ROW(AN307)-ROW(AN$15),0),15-13*ORÇAMENTO!$AF$11)),0)</f>
        <v>0</v>
      </c>
      <c r="AO307" s="545">
        <f ca="1">IF(AND($D307="Serviço",AO$12&lt;&gt;0,$H307&gt;0,OR(AUTOEVENTO&lt;&gt;"manual",$M307&lt;&gt;1)),
IF(Import.TipoArredondamento&lt;&gt;"TransfereGOV",
ROUND(OFFSET($P307,0,AO$13),15-13*ORÇAMENTO!$AF$7)/$H307*OFFSET(ORÇAMENTO!$X$15,ROW(AO307)-ROW(AO$15),0),
ROUND(ROUND(OFFSET($P307,0,AO$13),15-13*ORÇAMENTO!$AF$7)*OFFSET(ORÇAMENTO!$W$15,ROW(AO307)-ROW(AO$15),0),15-13*ORÇAMENTO!$AF$11)),0)</f>
        <v>0</v>
      </c>
      <c r="AP307" s="545">
        <f ca="1">IF(AND($D307="Serviço",AP$12&lt;&gt;0,$H307&gt;0,OR(AUTOEVENTO&lt;&gt;"manual",$M307&lt;&gt;1)),
IF(Import.TipoArredondamento&lt;&gt;"TransfereGOV",
ROUND(OFFSET($P307,0,AP$13),15-13*ORÇAMENTO!$AF$7)/$H307*OFFSET(ORÇAMENTO!$X$15,ROW(AP307)-ROW(AP$15),0),
ROUND(ROUND(OFFSET($P307,0,AP$13),15-13*ORÇAMENTO!$AF$7)*OFFSET(ORÇAMENTO!$W$15,ROW(AP307)-ROW(AP$15),0),15-13*ORÇAMENTO!$AF$11)),0)</f>
        <v>0</v>
      </c>
      <c r="AQ307" s="545">
        <f ca="1">IF(AND($D307="Serviço",AQ$12&lt;&gt;0,$H307&gt;0,OR(AUTOEVENTO&lt;&gt;"manual",$M307&lt;&gt;1)),
IF(Import.TipoArredondamento&lt;&gt;"TransfereGOV",
ROUND(OFFSET($P307,0,AQ$13),15-13*ORÇAMENTO!$AF$7)/$H307*OFFSET(ORÇAMENTO!$X$15,ROW(AQ307)-ROW(AQ$15),0),
ROUND(ROUND(OFFSET($P307,0,AQ$13),15-13*ORÇAMENTO!$AF$7)*OFFSET(ORÇAMENTO!$W$15,ROW(AQ307)-ROW(AQ$15),0),15-13*ORÇAMENTO!$AF$11)),0)</f>
        <v>0</v>
      </c>
      <c r="AR307" s="545">
        <f ca="1">IF(AND($D307="Serviço",AR$12&lt;&gt;0,$H307&gt;0,OR(AUTOEVENTO&lt;&gt;"manual",$M307&lt;&gt;1)),
IF(Import.TipoArredondamento&lt;&gt;"TransfereGOV",
ROUND(OFFSET($P307,0,AR$13),15-13*ORÇAMENTO!$AF$7)/$H307*OFFSET(ORÇAMENTO!$X$15,ROW(AR307)-ROW(AR$15),0),
ROUND(ROUND(OFFSET($P307,0,AR$13),15-13*ORÇAMENTO!$AF$7)*OFFSET(ORÇAMENTO!$W$15,ROW(AR307)-ROW(AR$15),0),15-13*ORÇAMENTO!$AF$11)),0)</f>
        <v>0</v>
      </c>
      <c r="AS307" s="546">
        <f ca="1">IF(AND($D307="Serviço",AS$12&lt;&gt;0,$H307&gt;0,OR(AUTOEVENTO&lt;&gt;"manual",$M307&lt;&gt;1)),
IF(Import.TipoArredondamento&lt;&gt;"TransfereGOV",
ROUND(OFFSET($P307,0,AS$13),15-13*ORÇAMENTO!$AF$7)/$H307*OFFSET(ORÇAMENTO!$X$15,ROW(AS307)-ROW(AS$15),0),
ROUND(ROUND(OFFSET($P307,0,AS$13),15-13*ORÇAMENTO!$AF$7)*OFFSET(ORÇAMENTO!$W$15,ROW(AS307)-ROW(AS$15),0),15-13*ORÇAMENTO!$AF$11)),0)</f>
        <v>0</v>
      </c>
      <c r="AT307" s="545">
        <f ca="1">IF(AND($D307="Serviço",AT$12&lt;&gt;0,$H307&gt;0,OR(AUTOEVENTO&lt;&gt;"manual",$M307&lt;&gt;1)),
IF(Import.TipoArredondamento&lt;&gt;"TransfereGOV",
ROUND(OFFSET($P307,0,AT$13),15-13*ORÇAMENTO!$AF$7)/$H307*OFFSET(ORÇAMENTO!$X$15,ROW(AT307)-ROW(AT$15),0),
ROUND(ROUND(OFFSET($P307,0,AT$13),15-13*ORÇAMENTO!$AF$7)*OFFSET(ORÇAMENTO!$W$15,ROW(AT307)-ROW(AT$15),0),15-13*ORÇAMENTO!$AF$11)),0)</f>
        <v>0</v>
      </c>
      <c r="AU307" s="545">
        <f ca="1">IF(AND($D307="Serviço",AU$12&lt;&gt;0,$H307&gt;0,OR(AUTOEVENTO&lt;&gt;"manual",$M307&lt;&gt;1)),
IF(Import.TipoArredondamento&lt;&gt;"TransfereGOV",
ROUND(OFFSET($P307,0,AU$13),15-13*ORÇAMENTO!$AF$7)/$H307*OFFSET(ORÇAMENTO!$X$15,ROW(AU307)-ROW(AU$15),0),
ROUND(ROUND(OFFSET($P307,0,AU$13),15-13*ORÇAMENTO!$AF$7)*OFFSET(ORÇAMENTO!$W$15,ROW(AU307)-ROW(AU$15),0),15-13*ORÇAMENTO!$AF$11)),0)</f>
        <v>0</v>
      </c>
      <c r="AV307" s="545">
        <f ca="1">IF(AND($D307="Serviço",AV$12&lt;&gt;0,$H307&gt;0,OR(AUTOEVENTO&lt;&gt;"manual",$M307&lt;&gt;1)),
IF(Import.TipoArredondamento&lt;&gt;"TransfereGOV",
ROUND(OFFSET($P307,0,AV$13),15-13*ORÇAMENTO!$AF$7)/$H307*OFFSET(ORÇAMENTO!$X$15,ROW(AV307)-ROW(AV$15),0),
ROUND(ROUND(OFFSET($P307,0,AV$13),15-13*ORÇAMENTO!$AF$7)*OFFSET(ORÇAMENTO!$W$15,ROW(AV307)-ROW(AV$15),0),15-13*ORÇAMENTO!$AF$11)),0)</f>
        <v>0</v>
      </c>
      <c r="AW307" s="545">
        <f ca="1">IF(AND($D307="Serviço",AW$12&lt;&gt;0,$H307&gt;0,OR(AUTOEVENTO&lt;&gt;"manual",$M307&lt;&gt;1)),
IF(Import.TipoArredondamento&lt;&gt;"TransfereGOV",
ROUND(OFFSET($P307,0,AW$13),15-13*ORÇAMENTO!$AF$7)/$H307*OFFSET(ORÇAMENTO!$X$15,ROW(AW307)-ROW(AW$15),0),
ROUND(ROUND(OFFSET($P307,0,AW$13),15-13*ORÇAMENTO!$AF$7)*OFFSET(ORÇAMENTO!$W$15,ROW(AW307)-ROW(AW$15),0),15-13*ORÇAMENTO!$AF$11)),0)</f>
        <v>0</v>
      </c>
      <c r="AX307" s="545">
        <f ca="1">IF(AND($D307="Serviço",AX$12&lt;&gt;0,$H307&gt;0,OR(AUTOEVENTO&lt;&gt;"manual",$M307&lt;&gt;1)),
IF(Import.TipoArredondamento&lt;&gt;"TransfereGOV",
ROUND(OFFSET($P307,0,AX$13),15-13*ORÇAMENTO!$AF$7)/$H307*OFFSET(ORÇAMENTO!$X$15,ROW(AX307)-ROW(AX$15),0),
ROUND(ROUND(OFFSET($P307,0,AX$13),15-13*ORÇAMENTO!$AF$7)*OFFSET(ORÇAMENTO!$W$15,ROW(AX307)-ROW(AX$15),0),15-13*ORÇAMENTO!$AF$11)),0)</f>
        <v>0</v>
      </c>
      <c r="AY307" s="545">
        <f ca="1">IF(AND($D307="Serviço",AY$12&lt;&gt;0,$H307&gt;0,OR(AUTOEVENTO&lt;&gt;"manual",$M307&lt;&gt;1)),
IF(Import.TipoArredondamento&lt;&gt;"TransfereGOV",
ROUND(OFFSET($P307,0,AY$13),15-13*ORÇAMENTO!$AF$7)/$H307*OFFSET(ORÇAMENTO!$X$15,ROW(AY307)-ROW(AY$15),0),
ROUND(ROUND(OFFSET($P307,0,AY$13),15-13*ORÇAMENTO!$AF$7)*OFFSET(ORÇAMENTO!$W$15,ROW(AY307)-ROW(AY$15),0),15-13*ORÇAMENTO!$AF$11)),0)</f>
        <v>0</v>
      </c>
      <c r="AZ307" s="545">
        <f ca="1">IF(AND($D307="Serviço",AZ$12&lt;&gt;0,$H307&gt;0,OR(AUTOEVENTO&lt;&gt;"manual",$M307&lt;&gt;1)),
IF(Import.TipoArredondamento&lt;&gt;"TransfereGOV",
ROUND(OFFSET($P307,0,AZ$13),15-13*ORÇAMENTO!$AF$7)/$H307*OFFSET(ORÇAMENTO!$X$15,ROW(AZ307)-ROW(AZ$15),0),
ROUND(ROUND(OFFSET($P307,0,AZ$13),15-13*ORÇAMENTO!$AF$7)*OFFSET(ORÇAMENTO!$W$15,ROW(AZ307)-ROW(AZ$15),0),15-13*ORÇAMENTO!$AF$11)),0)</f>
        <v>0</v>
      </c>
      <c r="BA307" s="546">
        <f ca="1">IF(AND($D307="Serviço",BA$12&lt;&gt;0,$H307&gt;0,OR(AUTOEVENTO&lt;&gt;"manual",$M307&lt;&gt;1)),
IF(Import.TipoArredondamento&lt;&gt;"TransfereGOV",
ROUND(OFFSET($P307,0,BA$13),15-13*ORÇAMENTO!$AF$7)/$H307*OFFSET(ORÇAMENTO!$X$15,ROW(BA307)-ROW(BA$15),0),
ROUND(ROUND(OFFSET($P307,0,BA$13),15-13*ORÇAMENTO!$AF$7)*OFFSET(ORÇAMENTO!$W$15,ROW(BA307)-ROW(BA$15),0),15-13*ORÇAMENTO!$AF$11)),0)</f>
        <v>0</v>
      </c>
      <c r="BC307" s="181">
        <f ca="1">IF($D307&lt;&gt;"Serviço",0,IF(AND(AUTOEVENTO="Manual",$M307=1),0,IF(OFFSET(CRONOPLE!$F$14,$M307,BC$13)="",10^12,OFFSET(CRONOPLE!$F$14,$M307,BC$13))))</f>
        <v>9</v>
      </c>
      <c r="BD307" s="181">
        <f ca="1">IF($D307&lt;&gt;"Serviço",0,IF(AND(AUTOEVENTO="Manual",$M307=1),0,IF(OFFSET(CRONOPLE!$F$14,$M307,BD$13)="",10^12,OFFSET(CRONOPLE!$F$14,$M307,BD$13))))</f>
        <v>1000000000000</v>
      </c>
      <c r="BE307" s="181">
        <f ca="1">IF($D307&lt;&gt;"Serviço",0,IF(AND(AUTOEVENTO="Manual",$M307=1),0,IF(OFFSET(CRONOPLE!$F$14,$M307,BE$13)="",10^12,OFFSET(CRONOPLE!$F$14,$M307,BE$13))))</f>
        <v>1000000000000</v>
      </c>
      <c r="BF307" s="181">
        <f ca="1">IF($D307&lt;&gt;"Serviço",0,IF(AND(AUTOEVENTO="Manual",$M307=1),0,IF(OFFSET(CRONOPLE!$F$14,$M307,BF$13)="",10^12,OFFSET(CRONOPLE!$F$14,$M307,BF$13))))</f>
        <v>1000000000000</v>
      </c>
      <c r="BG307" s="181">
        <f ca="1">IF($D307&lt;&gt;"Serviço",0,IF(AND(AUTOEVENTO="Manual",$M307=1),0,IF(OFFSET(CRONOPLE!$F$14,$M307,BG$13)="",10^12,OFFSET(CRONOPLE!$F$14,$M307,BG$13))))</f>
        <v>1000000000000</v>
      </c>
      <c r="BH307" s="181">
        <f ca="1">IF($D307&lt;&gt;"Serviço",0,IF(AND(AUTOEVENTO="Manual",$M307=1),0,IF(OFFSET(CRONOPLE!$F$14,$M307,BH$13)="",10^12,OFFSET(CRONOPLE!$F$14,$M307,BH$13))))</f>
        <v>1000000000000</v>
      </c>
      <c r="BI307" s="181">
        <f ca="1">IF($D307&lt;&gt;"Serviço",0,IF(AND(AUTOEVENTO="Manual",$M307=1),0,IF(OFFSET(CRONOPLE!$F$14,$M307,BI$13)="",10^12,OFFSET(CRONOPLE!$F$14,$M307,BI$13))))</f>
        <v>1000000000000</v>
      </c>
      <c r="BJ307" s="181">
        <f ca="1">IF($D307&lt;&gt;"Serviço",0,IF(AND(AUTOEVENTO="Manual",$M307=1),0,IF(OFFSET(CRONOPLE!$F$14,$M307,BJ$13)="",10^12,OFFSET(CRONOPLE!$F$14,$M307,BJ$13))))</f>
        <v>1000000000000</v>
      </c>
      <c r="BK307" s="181">
        <f ca="1">IF($D307&lt;&gt;"Serviço",0,IF(AND(AUTOEVENTO="Manual",$M307=1),0,IF(OFFSET(CRONOPLE!$F$14,$M307,BK$13)="",10^12,OFFSET(CRONOPLE!$F$14,$M307,BK$13))))</f>
        <v>1000000000000</v>
      </c>
      <c r="BL307" s="181">
        <f ca="1">IF($D307&lt;&gt;"Serviço",0,IF(AND(AUTOEVENTO="Manual",$M307=1),0,IF(OFFSET(CRONOPLE!$F$14,$M307,BL$13)="",10^12,OFFSET(CRONOPLE!$F$14,$M307,BL$13))))</f>
        <v>1000000000000</v>
      </c>
      <c r="BM307" s="181">
        <f ca="1">IF($D307&lt;&gt;"Serviço",0,IF(AND(AUTOEVENTO="Manual",$M307=1),0,IF(OFFSET(CRONOPLE!$F$14,$M307,BM$13)="",10^12,OFFSET(CRONOPLE!$F$14,$M307,BM$13))))</f>
        <v>1000000000000</v>
      </c>
      <c r="BN307" s="181">
        <f ca="1">IF($D307&lt;&gt;"Serviço",0,IF(AND(AUTOEVENTO="Manual",$M307=1),0,IF(OFFSET(CRONOPLE!$F$14,$M307,BN$13)="",10^12,OFFSET(CRONOPLE!$F$14,$M307,BN$13))))</f>
        <v>1000000000000</v>
      </c>
      <c r="BO307" s="181">
        <f ca="1">IF($D307&lt;&gt;"Serviço",0,IF(AND(AUTOEVENTO="Manual",$M307=1),0,IF(OFFSET(CRONOPLE!$F$14,$M307,BO$13)="",10^12,OFFSET(CRONOPLE!$F$14,$M307,BO$13))))</f>
        <v>1000000000000</v>
      </c>
      <c r="BP307" s="181">
        <f ca="1">IF($D307&lt;&gt;"Serviço",0,IF(AND(AUTOEVENTO="Manual",$M307=1),0,IF(OFFSET(CRONOPLE!$F$14,$M307,BP$13)="",10^12,OFFSET(CRONOPLE!$F$14,$M307,BP$13))))</f>
        <v>1000000000000</v>
      </c>
      <c r="BQ307" s="181">
        <f ca="1">IF($D307&lt;&gt;"Serviço",0,IF(AND(AUTOEVENTO="Manual",$M307=1),0,IF(OFFSET(CRONOPLE!$F$14,$M307,BQ$13)="",10^12,OFFSET(CRONOPLE!$F$14,$M307,BQ$13))))</f>
        <v>1000000000000</v>
      </c>
      <c r="BR307" s="181">
        <f ca="1">IF($D307&lt;&gt;"Serviço",0,IF(AND(AUTOEVENTO="Manual",$M307=1),0,IF(OFFSET(CRONOPLE!$F$14,$M307,BR$13)="",10^12,OFFSET(CRONOPLE!$F$14,$M307,BR$13))))</f>
        <v>1000000000000</v>
      </c>
      <c r="BS307" s="181">
        <f ca="1">IF($D307&lt;&gt;"Serviço",0,IF(AND(AUTOEVENTO="Manual",$M307=1),0,IF(OFFSET(CRONOPLE!$F$14,$M307,BS$13)="",10^12,OFFSET(CRONOPLE!$F$14,$M307,BS$13))))</f>
        <v>1000000000000</v>
      </c>
      <c r="BT307" s="181">
        <f ca="1">IF($D307&lt;&gt;"Serviço",0,IF(AND(AUTOEVENTO="Manual",$M307=1),0,IF(OFFSET(CRONOPLE!$F$14,$M307,BT$13)="",10^12,OFFSET(CRONOPLE!$F$14,$M307,BT$13))))</f>
        <v>1000000000000</v>
      </c>
      <c r="BV307" s="182">
        <f ca="1">IF($D307&lt;&gt;"Serviço",0,IF(OR(AND(AUTOEVENTO="Manual",$M307=1),$M307&gt;(ROW(PLE.lastrow)-ROW(PLE.firstrow))),0,IF(OFFSET(PLE!$G$14,$M307,BV$13)="",10^12,OFFSET(PLE!$G$14,$M307,BV$13))))</f>
        <v>1000000000000</v>
      </c>
      <c r="BW307" s="182">
        <f ca="1">IF($D307&lt;&gt;"Serviço",0,IF(OR(AND(AUTOEVENTO="Manual",$M307=1),$M307&gt;(ROW(PLE.lastrow)-ROW(PLE.firstrow))),0,IF(OFFSET(PLE!$G$14,$M307,BW$13)="",10^12,OFFSET(PLE!$G$14,$M307,BW$13))))</f>
        <v>1000000000000</v>
      </c>
      <c r="BX307" s="182">
        <f ca="1">IF($D307&lt;&gt;"Serviço",0,IF(OR(AND(AUTOEVENTO="Manual",$M307=1),$M307&gt;(ROW(PLE.lastrow)-ROW(PLE.firstrow))),0,IF(OFFSET(PLE!$G$14,$M307,BX$13)="",10^12,OFFSET(PLE!$G$14,$M307,BX$13))))</f>
        <v>1000000000000</v>
      </c>
      <c r="BY307" s="182">
        <f ca="1">IF($D307&lt;&gt;"Serviço",0,IF(OR(AND(AUTOEVENTO="Manual",$M307=1),$M307&gt;(ROW(PLE.lastrow)-ROW(PLE.firstrow))),0,IF(OFFSET(PLE!$G$14,$M307,BY$13)="",10^12,OFFSET(PLE!$G$14,$M307,BY$13))))</f>
        <v>1000000000000</v>
      </c>
      <c r="BZ307" s="182">
        <f ca="1">IF($D307&lt;&gt;"Serviço",0,IF(OR(AND(AUTOEVENTO="Manual",$M307=1),$M307&gt;(ROW(PLE.lastrow)-ROW(PLE.firstrow))),0,IF(OFFSET(PLE!$G$14,$M307,BZ$13)="",10^12,OFFSET(PLE!$G$14,$M307,BZ$13))))</f>
        <v>1000000000000</v>
      </c>
      <c r="CA307" s="182">
        <f ca="1">IF($D307&lt;&gt;"Serviço",0,IF(OR(AND(AUTOEVENTO="Manual",$M307=1),$M307&gt;(ROW(PLE.lastrow)-ROW(PLE.firstrow))),0,IF(OFFSET(PLE!$G$14,$M307,CA$13)="",10^12,OFFSET(PLE!$G$14,$M307,CA$13))))</f>
        <v>1000000000000</v>
      </c>
      <c r="CB307" s="182">
        <f ca="1">IF($D307&lt;&gt;"Serviço",0,IF(OR(AND(AUTOEVENTO="Manual",$M307=1),$M307&gt;(ROW(PLE.lastrow)-ROW(PLE.firstrow))),0,IF(OFFSET(PLE!$G$14,$M307,CB$13)="",10^12,OFFSET(PLE!$G$14,$M307,CB$13))))</f>
        <v>1000000000000</v>
      </c>
      <c r="CC307" s="182">
        <f ca="1">IF($D307&lt;&gt;"Serviço",0,IF(OR(AND(AUTOEVENTO="Manual",$M307=1),$M307&gt;(ROW(PLE.lastrow)-ROW(PLE.firstrow))),0,IF(OFFSET(PLE!$G$14,$M307,CC$13)="",10^12,OFFSET(PLE!$G$14,$M307,CC$13))))</f>
        <v>1000000000000</v>
      </c>
      <c r="CD307" s="182">
        <f ca="1">IF($D307&lt;&gt;"Serviço",0,IF(OR(AND(AUTOEVENTO="Manual",$M307=1),$M307&gt;(ROW(PLE.lastrow)-ROW(PLE.firstrow))),0,IF(OFFSET(PLE!$G$14,$M307,CD$13)="",10^12,OFFSET(PLE!$G$14,$M307,CD$13))))</f>
        <v>1000000000000</v>
      </c>
      <c r="CE307" s="182">
        <f ca="1">IF($D307&lt;&gt;"Serviço",0,IF(OR(AND(AUTOEVENTO="Manual",$M307=1),$M307&gt;(ROW(PLE.lastrow)-ROW(PLE.firstrow))),0,IF(OFFSET(PLE!$G$14,$M307,CE$13)="",10^12,OFFSET(PLE!$G$14,$M307,CE$13))))</f>
        <v>1000000000000</v>
      </c>
      <c r="CF307" s="182">
        <f ca="1">IF($D307&lt;&gt;"Serviço",0,IF(OR(AND(AUTOEVENTO="Manual",$M307=1),$M307&gt;(ROW(PLE.lastrow)-ROW(PLE.firstrow))),0,IF(OFFSET(PLE!$G$14,$M307,CF$13)="",10^12,OFFSET(PLE!$G$14,$M307,CF$13))))</f>
        <v>1000000000000</v>
      </c>
      <c r="CG307" s="182">
        <f ca="1">IF($D307&lt;&gt;"Serviço",0,IF(OR(AND(AUTOEVENTO="Manual",$M307=1),$M307&gt;(ROW(PLE.lastrow)-ROW(PLE.firstrow))),0,IF(OFFSET(PLE!$G$14,$M307,CG$13)="",10^12,OFFSET(PLE!$G$14,$M307,CG$13))))</f>
        <v>1000000000000</v>
      </c>
      <c r="CH307" s="182">
        <f ca="1">IF($D307&lt;&gt;"Serviço",0,IF(OR(AND(AUTOEVENTO="Manual",$M307=1),$M307&gt;(ROW(PLE.lastrow)-ROW(PLE.firstrow))),0,IF(OFFSET(PLE!$G$14,$M307,CH$13)="",10^12,OFFSET(PLE!$G$14,$M307,CH$13))))</f>
        <v>1000000000000</v>
      </c>
      <c r="CI307" s="182">
        <f ca="1">IF($D307&lt;&gt;"Serviço",0,IF(OR(AND(AUTOEVENTO="Manual",$M307=1),$M307&gt;(ROW(PLE.lastrow)-ROW(PLE.firstrow))),0,IF(OFFSET(PLE!$G$14,$M307,CI$13)="",10^12,OFFSET(PLE!$G$14,$M307,CI$13))))</f>
        <v>1000000000000</v>
      </c>
      <c r="CJ307" s="182">
        <f ca="1">IF($D307&lt;&gt;"Serviço",0,IF(OR(AND(AUTOEVENTO="Manual",$M307=1),$M307&gt;(ROW(PLE.lastrow)-ROW(PLE.firstrow))),0,IF(OFFSET(PLE!$G$14,$M307,CJ$13)="",10^12,OFFSET(PLE!$G$14,$M307,CJ$13))))</f>
        <v>1000000000000</v>
      </c>
      <c r="CK307" s="182">
        <f ca="1">IF($D307&lt;&gt;"Serviço",0,IF(OR(AND(AUTOEVENTO="Manual",$M307=1),$M307&gt;(ROW(PLE.lastrow)-ROW(PLE.firstrow))),0,IF(OFFSET(PLE!$G$14,$M307,CK$13)="",10^12,OFFSET(PLE!$G$14,$M307,CK$13))))</f>
        <v>1000000000000</v>
      </c>
      <c r="CL307" s="182">
        <f ca="1">IF($D307&lt;&gt;"Serviço",0,IF(OR(AND(AUTOEVENTO="Manual",$M307=1),$M307&gt;(ROW(PLE.lastrow)-ROW(PLE.firstrow))),0,IF(OFFSET(PLE!$G$14,$M307,CL$13)="",10^12,OFFSET(PLE!$G$14,$M307,CL$13))))</f>
        <v>1000000000000</v>
      </c>
      <c r="CM307" s="182">
        <f ca="1">IF($D307&lt;&gt;"Serviço",0,IF(OR(AND(AUTOEVENTO="Manual",$M307=1),$M307&gt;(ROW(PLE.lastrow)-ROW(PLE.firstrow))),0,IF(OFFSET(PLE!$G$14,$M307,CM$13)="",10^12,OFFSET(PLE!$G$14,$M307,CM$13))))</f>
        <v>1000000000000</v>
      </c>
    </row>
    <row r="308" spans="1:91" ht="38.25" x14ac:dyDescent="0.2">
      <c r="A308" s="7" t="str">
        <f t="shared" ca="1" si="12"/>
        <v>285</v>
      </c>
      <c r="B308" s="7" t="str">
        <f ca="1">OFFSET(ORÇAMENTO!C$15,ROW(B308)-ROW(B$15),0)</f>
        <v>S</v>
      </c>
      <c r="C308" s="7" t="str">
        <f ca="1">OFFSET(ORÇAMENTO!L$15,ROW(C308)-ROW(C$15),0)</f>
        <v/>
      </c>
      <c r="D308" s="118" t="str">
        <f ca="1">OFFSET(ORÇAMENTO!N$15,ROW(D308)-ROW(D$15),0)</f>
        <v>Serviço</v>
      </c>
      <c r="E308" s="119" t="str">
        <f ca="1">OFFSET(ORÇAMENTO!O$15,ROW(E308)-ROW(E$15),0)</f>
        <v>-</v>
      </c>
      <c r="F308" s="172" t="str">
        <f ca="1">OFFSET(ORÇAMENTO!R$15,ROW(F308)-ROW(F$15),0)</f>
        <v>(abra o arquivo 'Referência 06-2024.xlsm)</v>
      </c>
      <c r="G308" s="173" t="str">
        <f ca="1">IF($D308&lt;&gt;"Serviço","",OFFSET(ORÇAMENTO!S$15,ROW(G308)-ROW(G$15),0))</f>
        <v>-</v>
      </c>
      <c r="H308" s="124">
        <f ca="1">IF($D308&lt;&gt;"Serviço",0,IF(ACOMPANHAMENTO="BM",ROUND(OFFSET(ORÇAMENTO!AJ$15,ROW(H308)-ROW(H$15),0),15-13*ORÇAMENTO!$AF$7),SUMPRODUCT(($Q$12:$AI$12&lt;&gt;"")*ROUND($Q308:$AI308,15-13*ORÇAMENTO!$AF$7))))</f>
        <v>2</v>
      </c>
      <c r="I308" s="561" t="s">
        <v>1107</v>
      </c>
      <c r="K308" s="174"/>
      <c r="L308" s="175" t="s">
        <v>255</v>
      </c>
      <c r="M308" s="176">
        <f ca="1">IF($D308&lt;&gt;"Serviço","",IF(AUTOEVENTO="manual",$A308,IF(ISERROR(MATCH($A308,$A$15:OFFSET($A308,-1,0),0)),MAX($M$15:OFFSET(M308,-1,0))+1,INDEX($M$15:OFFSET(M308,-1,0),MATCH($A308,$A$15:OFFSET($A308,-1,0),0)))))</f>
        <v>39</v>
      </c>
      <c r="N308" s="177" t="str">
        <f ca="1">IF($D308&lt;&gt;"Serviço","",IF(AUTOEVENTO="Manual",IF($A308=0,"&lt;-- defina o número do agrupador",OFFSET(EVENTOS!$D$14,$A308,0)),OFFSET($F$15,$A308,0)))</f>
        <v>DRENAGEM DE ÁGUAS PLUVIAIS - TUBULAÇÕES E CONEXÕES DE PVC</v>
      </c>
      <c r="O308" s="178"/>
      <c r="Q308" s="178">
        <v>2</v>
      </c>
      <c r="R308" s="179"/>
      <c r="S308" s="179"/>
      <c r="T308" s="179"/>
      <c r="U308" s="179"/>
      <c r="V308" s="179"/>
      <c r="W308" s="179"/>
      <c r="X308" s="179"/>
      <c r="Y308" s="179"/>
      <c r="Z308" s="180"/>
      <c r="AA308" s="179"/>
      <c r="AB308" s="179"/>
      <c r="AC308" s="179"/>
      <c r="AD308" s="179"/>
      <c r="AE308" s="179"/>
      <c r="AF308" s="179"/>
      <c r="AG308" s="179"/>
      <c r="AH308" s="180"/>
      <c r="AJ308" s="544">
        <f ca="1">IF(AND($D308="Serviço",AJ$12&lt;&gt;0,$H308&gt;0,OR(AUTOEVENTO&lt;&gt;"manual",$M308&lt;&gt;1)),
IF(Import.TipoArredondamento&lt;&gt;"TransfereGOV",
ROUND(OFFSET($P308,0,AJ$13),15-13*ORÇAMENTO!$AF$7)/$H308*OFFSET(ORÇAMENTO!$X$15,ROW(AJ308)-ROW(AJ$15),0),
ROUND(ROUND(OFFSET($P308,0,AJ$13),15-13*ORÇAMENTO!$AF$7)*OFFSET(ORÇAMENTO!$W$15,ROW(AJ308)-ROW(AJ$15),0),15-13*ORÇAMENTO!$AF$11)),0)</f>
        <v>0</v>
      </c>
      <c r="AK308" s="545">
        <f ca="1">IF(AND($D308="Serviço",AK$12&lt;&gt;0,$H308&gt;0,OR(AUTOEVENTO&lt;&gt;"manual",$M308&lt;&gt;1)),
IF(Import.TipoArredondamento&lt;&gt;"TransfereGOV",
ROUND(OFFSET($P308,0,AK$13),15-13*ORÇAMENTO!$AF$7)/$H308*OFFSET(ORÇAMENTO!$X$15,ROW(AK308)-ROW(AK$15),0),
ROUND(ROUND(OFFSET($P308,0,AK$13),15-13*ORÇAMENTO!$AF$7)*OFFSET(ORÇAMENTO!$W$15,ROW(AK308)-ROW(AK$15),0),15-13*ORÇAMENTO!$AF$11)),0)</f>
        <v>0</v>
      </c>
      <c r="AL308" s="545">
        <f ca="1">IF(AND($D308="Serviço",AL$12&lt;&gt;0,$H308&gt;0,OR(AUTOEVENTO&lt;&gt;"manual",$M308&lt;&gt;1)),
IF(Import.TipoArredondamento&lt;&gt;"TransfereGOV",
ROUND(OFFSET($P308,0,AL$13),15-13*ORÇAMENTO!$AF$7)/$H308*OFFSET(ORÇAMENTO!$X$15,ROW(AL308)-ROW(AL$15),0),
ROUND(ROUND(OFFSET($P308,0,AL$13),15-13*ORÇAMENTO!$AF$7)*OFFSET(ORÇAMENTO!$W$15,ROW(AL308)-ROW(AL$15),0),15-13*ORÇAMENTO!$AF$11)),0)</f>
        <v>0</v>
      </c>
      <c r="AM308" s="545">
        <f ca="1">IF(AND($D308="Serviço",AM$12&lt;&gt;0,$H308&gt;0,OR(AUTOEVENTO&lt;&gt;"manual",$M308&lt;&gt;1)),
IF(Import.TipoArredondamento&lt;&gt;"TransfereGOV",
ROUND(OFFSET($P308,0,AM$13),15-13*ORÇAMENTO!$AF$7)/$H308*OFFSET(ORÇAMENTO!$X$15,ROW(AM308)-ROW(AM$15),0),
ROUND(ROUND(OFFSET($P308,0,AM$13),15-13*ORÇAMENTO!$AF$7)*OFFSET(ORÇAMENTO!$W$15,ROW(AM308)-ROW(AM$15),0),15-13*ORÇAMENTO!$AF$11)),0)</f>
        <v>0</v>
      </c>
      <c r="AN308" s="545">
        <f ca="1">IF(AND($D308="Serviço",AN$12&lt;&gt;0,$H308&gt;0,OR(AUTOEVENTO&lt;&gt;"manual",$M308&lt;&gt;1)),
IF(Import.TipoArredondamento&lt;&gt;"TransfereGOV",
ROUND(OFFSET($P308,0,AN$13),15-13*ORÇAMENTO!$AF$7)/$H308*OFFSET(ORÇAMENTO!$X$15,ROW(AN308)-ROW(AN$15),0),
ROUND(ROUND(OFFSET($P308,0,AN$13),15-13*ORÇAMENTO!$AF$7)*OFFSET(ORÇAMENTO!$W$15,ROW(AN308)-ROW(AN$15),0),15-13*ORÇAMENTO!$AF$11)),0)</f>
        <v>0</v>
      </c>
      <c r="AO308" s="545">
        <f ca="1">IF(AND($D308="Serviço",AO$12&lt;&gt;0,$H308&gt;0,OR(AUTOEVENTO&lt;&gt;"manual",$M308&lt;&gt;1)),
IF(Import.TipoArredondamento&lt;&gt;"TransfereGOV",
ROUND(OFFSET($P308,0,AO$13),15-13*ORÇAMENTO!$AF$7)/$H308*OFFSET(ORÇAMENTO!$X$15,ROW(AO308)-ROW(AO$15),0),
ROUND(ROUND(OFFSET($P308,0,AO$13),15-13*ORÇAMENTO!$AF$7)*OFFSET(ORÇAMENTO!$W$15,ROW(AO308)-ROW(AO$15),0),15-13*ORÇAMENTO!$AF$11)),0)</f>
        <v>0</v>
      </c>
      <c r="AP308" s="545">
        <f ca="1">IF(AND($D308="Serviço",AP$12&lt;&gt;0,$H308&gt;0,OR(AUTOEVENTO&lt;&gt;"manual",$M308&lt;&gt;1)),
IF(Import.TipoArredondamento&lt;&gt;"TransfereGOV",
ROUND(OFFSET($P308,0,AP$13),15-13*ORÇAMENTO!$AF$7)/$H308*OFFSET(ORÇAMENTO!$X$15,ROW(AP308)-ROW(AP$15),0),
ROUND(ROUND(OFFSET($P308,0,AP$13),15-13*ORÇAMENTO!$AF$7)*OFFSET(ORÇAMENTO!$W$15,ROW(AP308)-ROW(AP$15),0),15-13*ORÇAMENTO!$AF$11)),0)</f>
        <v>0</v>
      </c>
      <c r="AQ308" s="545">
        <f ca="1">IF(AND($D308="Serviço",AQ$12&lt;&gt;0,$H308&gt;0,OR(AUTOEVENTO&lt;&gt;"manual",$M308&lt;&gt;1)),
IF(Import.TipoArredondamento&lt;&gt;"TransfereGOV",
ROUND(OFFSET($P308,0,AQ$13),15-13*ORÇAMENTO!$AF$7)/$H308*OFFSET(ORÇAMENTO!$X$15,ROW(AQ308)-ROW(AQ$15),0),
ROUND(ROUND(OFFSET($P308,0,AQ$13),15-13*ORÇAMENTO!$AF$7)*OFFSET(ORÇAMENTO!$W$15,ROW(AQ308)-ROW(AQ$15),0),15-13*ORÇAMENTO!$AF$11)),0)</f>
        <v>0</v>
      </c>
      <c r="AR308" s="545">
        <f ca="1">IF(AND($D308="Serviço",AR$12&lt;&gt;0,$H308&gt;0,OR(AUTOEVENTO&lt;&gt;"manual",$M308&lt;&gt;1)),
IF(Import.TipoArredondamento&lt;&gt;"TransfereGOV",
ROUND(OFFSET($P308,0,AR$13),15-13*ORÇAMENTO!$AF$7)/$H308*OFFSET(ORÇAMENTO!$X$15,ROW(AR308)-ROW(AR$15),0),
ROUND(ROUND(OFFSET($P308,0,AR$13),15-13*ORÇAMENTO!$AF$7)*OFFSET(ORÇAMENTO!$W$15,ROW(AR308)-ROW(AR$15),0),15-13*ORÇAMENTO!$AF$11)),0)</f>
        <v>0</v>
      </c>
      <c r="AS308" s="546">
        <f ca="1">IF(AND($D308="Serviço",AS$12&lt;&gt;0,$H308&gt;0,OR(AUTOEVENTO&lt;&gt;"manual",$M308&lt;&gt;1)),
IF(Import.TipoArredondamento&lt;&gt;"TransfereGOV",
ROUND(OFFSET($P308,0,AS$13),15-13*ORÇAMENTO!$AF$7)/$H308*OFFSET(ORÇAMENTO!$X$15,ROW(AS308)-ROW(AS$15),0),
ROUND(ROUND(OFFSET($P308,0,AS$13),15-13*ORÇAMENTO!$AF$7)*OFFSET(ORÇAMENTO!$W$15,ROW(AS308)-ROW(AS$15),0),15-13*ORÇAMENTO!$AF$11)),0)</f>
        <v>0</v>
      </c>
      <c r="AT308" s="545">
        <f ca="1">IF(AND($D308="Serviço",AT$12&lt;&gt;0,$H308&gt;0,OR(AUTOEVENTO&lt;&gt;"manual",$M308&lt;&gt;1)),
IF(Import.TipoArredondamento&lt;&gt;"TransfereGOV",
ROUND(OFFSET($P308,0,AT$13),15-13*ORÇAMENTO!$AF$7)/$H308*OFFSET(ORÇAMENTO!$X$15,ROW(AT308)-ROW(AT$15),0),
ROUND(ROUND(OFFSET($P308,0,AT$13),15-13*ORÇAMENTO!$AF$7)*OFFSET(ORÇAMENTO!$W$15,ROW(AT308)-ROW(AT$15),0),15-13*ORÇAMENTO!$AF$11)),0)</f>
        <v>0</v>
      </c>
      <c r="AU308" s="545">
        <f ca="1">IF(AND($D308="Serviço",AU$12&lt;&gt;0,$H308&gt;0,OR(AUTOEVENTO&lt;&gt;"manual",$M308&lt;&gt;1)),
IF(Import.TipoArredondamento&lt;&gt;"TransfereGOV",
ROUND(OFFSET($P308,0,AU$13),15-13*ORÇAMENTO!$AF$7)/$H308*OFFSET(ORÇAMENTO!$X$15,ROW(AU308)-ROW(AU$15),0),
ROUND(ROUND(OFFSET($P308,0,AU$13),15-13*ORÇAMENTO!$AF$7)*OFFSET(ORÇAMENTO!$W$15,ROW(AU308)-ROW(AU$15),0),15-13*ORÇAMENTO!$AF$11)),0)</f>
        <v>0</v>
      </c>
      <c r="AV308" s="545">
        <f ca="1">IF(AND($D308="Serviço",AV$12&lt;&gt;0,$H308&gt;0,OR(AUTOEVENTO&lt;&gt;"manual",$M308&lt;&gt;1)),
IF(Import.TipoArredondamento&lt;&gt;"TransfereGOV",
ROUND(OFFSET($P308,0,AV$13),15-13*ORÇAMENTO!$AF$7)/$H308*OFFSET(ORÇAMENTO!$X$15,ROW(AV308)-ROW(AV$15),0),
ROUND(ROUND(OFFSET($P308,0,AV$13),15-13*ORÇAMENTO!$AF$7)*OFFSET(ORÇAMENTO!$W$15,ROW(AV308)-ROW(AV$15),0),15-13*ORÇAMENTO!$AF$11)),0)</f>
        <v>0</v>
      </c>
      <c r="AW308" s="545">
        <f ca="1">IF(AND($D308="Serviço",AW$12&lt;&gt;0,$H308&gt;0,OR(AUTOEVENTO&lt;&gt;"manual",$M308&lt;&gt;1)),
IF(Import.TipoArredondamento&lt;&gt;"TransfereGOV",
ROUND(OFFSET($P308,0,AW$13),15-13*ORÇAMENTO!$AF$7)/$H308*OFFSET(ORÇAMENTO!$X$15,ROW(AW308)-ROW(AW$15),0),
ROUND(ROUND(OFFSET($P308,0,AW$13),15-13*ORÇAMENTO!$AF$7)*OFFSET(ORÇAMENTO!$W$15,ROW(AW308)-ROW(AW$15),0),15-13*ORÇAMENTO!$AF$11)),0)</f>
        <v>0</v>
      </c>
      <c r="AX308" s="545">
        <f ca="1">IF(AND($D308="Serviço",AX$12&lt;&gt;0,$H308&gt;0,OR(AUTOEVENTO&lt;&gt;"manual",$M308&lt;&gt;1)),
IF(Import.TipoArredondamento&lt;&gt;"TransfereGOV",
ROUND(OFFSET($P308,0,AX$13),15-13*ORÇAMENTO!$AF$7)/$H308*OFFSET(ORÇAMENTO!$X$15,ROW(AX308)-ROW(AX$15),0),
ROUND(ROUND(OFFSET($P308,0,AX$13),15-13*ORÇAMENTO!$AF$7)*OFFSET(ORÇAMENTO!$W$15,ROW(AX308)-ROW(AX$15),0),15-13*ORÇAMENTO!$AF$11)),0)</f>
        <v>0</v>
      </c>
      <c r="AY308" s="545">
        <f ca="1">IF(AND($D308="Serviço",AY$12&lt;&gt;0,$H308&gt;0,OR(AUTOEVENTO&lt;&gt;"manual",$M308&lt;&gt;1)),
IF(Import.TipoArredondamento&lt;&gt;"TransfereGOV",
ROUND(OFFSET($P308,0,AY$13),15-13*ORÇAMENTO!$AF$7)/$H308*OFFSET(ORÇAMENTO!$X$15,ROW(AY308)-ROW(AY$15),0),
ROUND(ROUND(OFFSET($P308,0,AY$13),15-13*ORÇAMENTO!$AF$7)*OFFSET(ORÇAMENTO!$W$15,ROW(AY308)-ROW(AY$15),0),15-13*ORÇAMENTO!$AF$11)),0)</f>
        <v>0</v>
      </c>
      <c r="AZ308" s="545">
        <f ca="1">IF(AND($D308="Serviço",AZ$12&lt;&gt;0,$H308&gt;0,OR(AUTOEVENTO&lt;&gt;"manual",$M308&lt;&gt;1)),
IF(Import.TipoArredondamento&lt;&gt;"TransfereGOV",
ROUND(OFFSET($P308,0,AZ$13),15-13*ORÇAMENTO!$AF$7)/$H308*OFFSET(ORÇAMENTO!$X$15,ROW(AZ308)-ROW(AZ$15),0),
ROUND(ROUND(OFFSET($P308,0,AZ$13),15-13*ORÇAMENTO!$AF$7)*OFFSET(ORÇAMENTO!$W$15,ROW(AZ308)-ROW(AZ$15),0),15-13*ORÇAMENTO!$AF$11)),0)</f>
        <v>0</v>
      </c>
      <c r="BA308" s="546">
        <f ca="1">IF(AND($D308="Serviço",BA$12&lt;&gt;0,$H308&gt;0,OR(AUTOEVENTO&lt;&gt;"manual",$M308&lt;&gt;1)),
IF(Import.TipoArredondamento&lt;&gt;"TransfereGOV",
ROUND(OFFSET($P308,0,BA$13),15-13*ORÇAMENTO!$AF$7)/$H308*OFFSET(ORÇAMENTO!$X$15,ROW(BA308)-ROW(BA$15),0),
ROUND(ROUND(OFFSET($P308,0,BA$13),15-13*ORÇAMENTO!$AF$7)*OFFSET(ORÇAMENTO!$W$15,ROW(BA308)-ROW(BA$15),0),15-13*ORÇAMENTO!$AF$11)),0)</f>
        <v>0</v>
      </c>
      <c r="BC308" s="181">
        <f ca="1">IF($D308&lt;&gt;"Serviço",0,IF(AND(AUTOEVENTO="Manual",$M308=1),0,IF(OFFSET(CRONOPLE!$F$14,$M308,BC$13)="",10^12,OFFSET(CRONOPLE!$F$14,$M308,BC$13))))</f>
        <v>9</v>
      </c>
      <c r="BD308" s="181">
        <f ca="1">IF($D308&lt;&gt;"Serviço",0,IF(AND(AUTOEVENTO="Manual",$M308=1),0,IF(OFFSET(CRONOPLE!$F$14,$M308,BD$13)="",10^12,OFFSET(CRONOPLE!$F$14,$M308,BD$13))))</f>
        <v>1000000000000</v>
      </c>
      <c r="BE308" s="181">
        <f ca="1">IF($D308&lt;&gt;"Serviço",0,IF(AND(AUTOEVENTO="Manual",$M308=1),0,IF(OFFSET(CRONOPLE!$F$14,$M308,BE$13)="",10^12,OFFSET(CRONOPLE!$F$14,$M308,BE$13))))</f>
        <v>1000000000000</v>
      </c>
      <c r="BF308" s="181">
        <f ca="1">IF($D308&lt;&gt;"Serviço",0,IF(AND(AUTOEVENTO="Manual",$M308=1),0,IF(OFFSET(CRONOPLE!$F$14,$M308,BF$13)="",10^12,OFFSET(CRONOPLE!$F$14,$M308,BF$13))))</f>
        <v>1000000000000</v>
      </c>
      <c r="BG308" s="181">
        <f ca="1">IF($D308&lt;&gt;"Serviço",0,IF(AND(AUTOEVENTO="Manual",$M308=1),0,IF(OFFSET(CRONOPLE!$F$14,$M308,BG$13)="",10^12,OFFSET(CRONOPLE!$F$14,$M308,BG$13))))</f>
        <v>1000000000000</v>
      </c>
      <c r="BH308" s="181">
        <f ca="1">IF($D308&lt;&gt;"Serviço",0,IF(AND(AUTOEVENTO="Manual",$M308=1),0,IF(OFFSET(CRONOPLE!$F$14,$M308,BH$13)="",10^12,OFFSET(CRONOPLE!$F$14,$M308,BH$13))))</f>
        <v>1000000000000</v>
      </c>
      <c r="BI308" s="181">
        <f ca="1">IF($D308&lt;&gt;"Serviço",0,IF(AND(AUTOEVENTO="Manual",$M308=1),0,IF(OFFSET(CRONOPLE!$F$14,$M308,BI$13)="",10^12,OFFSET(CRONOPLE!$F$14,$M308,BI$13))))</f>
        <v>1000000000000</v>
      </c>
      <c r="BJ308" s="181">
        <f ca="1">IF($D308&lt;&gt;"Serviço",0,IF(AND(AUTOEVENTO="Manual",$M308=1),0,IF(OFFSET(CRONOPLE!$F$14,$M308,BJ$13)="",10^12,OFFSET(CRONOPLE!$F$14,$M308,BJ$13))))</f>
        <v>1000000000000</v>
      </c>
      <c r="BK308" s="181">
        <f ca="1">IF($D308&lt;&gt;"Serviço",0,IF(AND(AUTOEVENTO="Manual",$M308=1),0,IF(OFFSET(CRONOPLE!$F$14,$M308,BK$13)="",10^12,OFFSET(CRONOPLE!$F$14,$M308,BK$13))))</f>
        <v>1000000000000</v>
      </c>
      <c r="BL308" s="181">
        <f ca="1">IF($D308&lt;&gt;"Serviço",0,IF(AND(AUTOEVENTO="Manual",$M308=1),0,IF(OFFSET(CRONOPLE!$F$14,$M308,BL$13)="",10^12,OFFSET(CRONOPLE!$F$14,$M308,BL$13))))</f>
        <v>1000000000000</v>
      </c>
      <c r="BM308" s="181">
        <f ca="1">IF($D308&lt;&gt;"Serviço",0,IF(AND(AUTOEVENTO="Manual",$M308=1),0,IF(OFFSET(CRONOPLE!$F$14,$M308,BM$13)="",10^12,OFFSET(CRONOPLE!$F$14,$M308,BM$13))))</f>
        <v>1000000000000</v>
      </c>
      <c r="BN308" s="181">
        <f ca="1">IF($D308&lt;&gt;"Serviço",0,IF(AND(AUTOEVENTO="Manual",$M308=1),0,IF(OFFSET(CRONOPLE!$F$14,$M308,BN$13)="",10^12,OFFSET(CRONOPLE!$F$14,$M308,BN$13))))</f>
        <v>1000000000000</v>
      </c>
      <c r="BO308" s="181">
        <f ca="1">IF($D308&lt;&gt;"Serviço",0,IF(AND(AUTOEVENTO="Manual",$M308=1),0,IF(OFFSET(CRONOPLE!$F$14,$M308,BO$13)="",10^12,OFFSET(CRONOPLE!$F$14,$M308,BO$13))))</f>
        <v>1000000000000</v>
      </c>
      <c r="BP308" s="181">
        <f ca="1">IF($D308&lt;&gt;"Serviço",0,IF(AND(AUTOEVENTO="Manual",$M308=1),0,IF(OFFSET(CRONOPLE!$F$14,$M308,BP$13)="",10^12,OFFSET(CRONOPLE!$F$14,$M308,BP$13))))</f>
        <v>1000000000000</v>
      </c>
      <c r="BQ308" s="181">
        <f ca="1">IF($D308&lt;&gt;"Serviço",0,IF(AND(AUTOEVENTO="Manual",$M308=1),0,IF(OFFSET(CRONOPLE!$F$14,$M308,BQ$13)="",10^12,OFFSET(CRONOPLE!$F$14,$M308,BQ$13))))</f>
        <v>1000000000000</v>
      </c>
      <c r="BR308" s="181">
        <f ca="1">IF($D308&lt;&gt;"Serviço",0,IF(AND(AUTOEVENTO="Manual",$M308=1),0,IF(OFFSET(CRONOPLE!$F$14,$M308,BR$13)="",10^12,OFFSET(CRONOPLE!$F$14,$M308,BR$13))))</f>
        <v>1000000000000</v>
      </c>
      <c r="BS308" s="181">
        <f ca="1">IF($D308&lt;&gt;"Serviço",0,IF(AND(AUTOEVENTO="Manual",$M308=1),0,IF(OFFSET(CRONOPLE!$F$14,$M308,BS$13)="",10^12,OFFSET(CRONOPLE!$F$14,$M308,BS$13))))</f>
        <v>1000000000000</v>
      </c>
      <c r="BT308" s="181">
        <f ca="1">IF($D308&lt;&gt;"Serviço",0,IF(AND(AUTOEVENTO="Manual",$M308=1),0,IF(OFFSET(CRONOPLE!$F$14,$M308,BT$13)="",10^12,OFFSET(CRONOPLE!$F$14,$M308,BT$13))))</f>
        <v>1000000000000</v>
      </c>
      <c r="BV308" s="182">
        <f ca="1">IF($D308&lt;&gt;"Serviço",0,IF(OR(AND(AUTOEVENTO="Manual",$M308=1),$M308&gt;(ROW(PLE.lastrow)-ROW(PLE.firstrow))),0,IF(OFFSET(PLE!$G$14,$M308,BV$13)="",10^12,OFFSET(PLE!$G$14,$M308,BV$13))))</f>
        <v>1000000000000</v>
      </c>
      <c r="BW308" s="182">
        <f ca="1">IF($D308&lt;&gt;"Serviço",0,IF(OR(AND(AUTOEVENTO="Manual",$M308=1),$M308&gt;(ROW(PLE.lastrow)-ROW(PLE.firstrow))),0,IF(OFFSET(PLE!$G$14,$M308,BW$13)="",10^12,OFFSET(PLE!$G$14,$M308,BW$13))))</f>
        <v>1000000000000</v>
      </c>
      <c r="BX308" s="182">
        <f ca="1">IF($D308&lt;&gt;"Serviço",0,IF(OR(AND(AUTOEVENTO="Manual",$M308=1),$M308&gt;(ROW(PLE.lastrow)-ROW(PLE.firstrow))),0,IF(OFFSET(PLE!$G$14,$M308,BX$13)="",10^12,OFFSET(PLE!$G$14,$M308,BX$13))))</f>
        <v>1000000000000</v>
      </c>
      <c r="BY308" s="182">
        <f ca="1">IF($D308&lt;&gt;"Serviço",0,IF(OR(AND(AUTOEVENTO="Manual",$M308=1),$M308&gt;(ROW(PLE.lastrow)-ROW(PLE.firstrow))),0,IF(OFFSET(PLE!$G$14,$M308,BY$13)="",10^12,OFFSET(PLE!$G$14,$M308,BY$13))))</f>
        <v>1000000000000</v>
      </c>
      <c r="BZ308" s="182">
        <f ca="1">IF($D308&lt;&gt;"Serviço",0,IF(OR(AND(AUTOEVENTO="Manual",$M308=1),$M308&gt;(ROW(PLE.lastrow)-ROW(PLE.firstrow))),0,IF(OFFSET(PLE!$G$14,$M308,BZ$13)="",10^12,OFFSET(PLE!$G$14,$M308,BZ$13))))</f>
        <v>1000000000000</v>
      </c>
      <c r="CA308" s="182">
        <f ca="1">IF($D308&lt;&gt;"Serviço",0,IF(OR(AND(AUTOEVENTO="Manual",$M308=1),$M308&gt;(ROW(PLE.lastrow)-ROW(PLE.firstrow))),0,IF(OFFSET(PLE!$G$14,$M308,CA$13)="",10^12,OFFSET(PLE!$G$14,$M308,CA$13))))</f>
        <v>1000000000000</v>
      </c>
      <c r="CB308" s="182">
        <f ca="1">IF($D308&lt;&gt;"Serviço",0,IF(OR(AND(AUTOEVENTO="Manual",$M308=1),$M308&gt;(ROW(PLE.lastrow)-ROW(PLE.firstrow))),0,IF(OFFSET(PLE!$G$14,$M308,CB$13)="",10^12,OFFSET(PLE!$G$14,$M308,CB$13))))</f>
        <v>1000000000000</v>
      </c>
      <c r="CC308" s="182">
        <f ca="1">IF($D308&lt;&gt;"Serviço",0,IF(OR(AND(AUTOEVENTO="Manual",$M308=1),$M308&gt;(ROW(PLE.lastrow)-ROW(PLE.firstrow))),0,IF(OFFSET(PLE!$G$14,$M308,CC$13)="",10^12,OFFSET(PLE!$G$14,$M308,CC$13))))</f>
        <v>1000000000000</v>
      </c>
      <c r="CD308" s="182">
        <f ca="1">IF($D308&lt;&gt;"Serviço",0,IF(OR(AND(AUTOEVENTO="Manual",$M308=1),$M308&gt;(ROW(PLE.lastrow)-ROW(PLE.firstrow))),0,IF(OFFSET(PLE!$G$14,$M308,CD$13)="",10^12,OFFSET(PLE!$G$14,$M308,CD$13))))</f>
        <v>1000000000000</v>
      </c>
      <c r="CE308" s="182">
        <f ca="1">IF($D308&lt;&gt;"Serviço",0,IF(OR(AND(AUTOEVENTO="Manual",$M308=1),$M308&gt;(ROW(PLE.lastrow)-ROW(PLE.firstrow))),0,IF(OFFSET(PLE!$G$14,$M308,CE$13)="",10^12,OFFSET(PLE!$G$14,$M308,CE$13))))</f>
        <v>1000000000000</v>
      </c>
      <c r="CF308" s="182">
        <f ca="1">IF($D308&lt;&gt;"Serviço",0,IF(OR(AND(AUTOEVENTO="Manual",$M308=1),$M308&gt;(ROW(PLE.lastrow)-ROW(PLE.firstrow))),0,IF(OFFSET(PLE!$G$14,$M308,CF$13)="",10^12,OFFSET(PLE!$G$14,$M308,CF$13))))</f>
        <v>1000000000000</v>
      </c>
      <c r="CG308" s="182">
        <f ca="1">IF($D308&lt;&gt;"Serviço",0,IF(OR(AND(AUTOEVENTO="Manual",$M308=1),$M308&gt;(ROW(PLE.lastrow)-ROW(PLE.firstrow))),0,IF(OFFSET(PLE!$G$14,$M308,CG$13)="",10^12,OFFSET(PLE!$G$14,$M308,CG$13))))</f>
        <v>1000000000000</v>
      </c>
      <c r="CH308" s="182">
        <f ca="1">IF($D308&lt;&gt;"Serviço",0,IF(OR(AND(AUTOEVENTO="Manual",$M308=1),$M308&gt;(ROW(PLE.lastrow)-ROW(PLE.firstrow))),0,IF(OFFSET(PLE!$G$14,$M308,CH$13)="",10^12,OFFSET(PLE!$G$14,$M308,CH$13))))</f>
        <v>1000000000000</v>
      </c>
      <c r="CI308" s="182">
        <f ca="1">IF($D308&lt;&gt;"Serviço",0,IF(OR(AND(AUTOEVENTO="Manual",$M308=1),$M308&gt;(ROW(PLE.lastrow)-ROW(PLE.firstrow))),0,IF(OFFSET(PLE!$G$14,$M308,CI$13)="",10^12,OFFSET(PLE!$G$14,$M308,CI$13))))</f>
        <v>1000000000000</v>
      </c>
      <c r="CJ308" s="182">
        <f ca="1">IF($D308&lt;&gt;"Serviço",0,IF(OR(AND(AUTOEVENTO="Manual",$M308=1),$M308&gt;(ROW(PLE.lastrow)-ROW(PLE.firstrow))),0,IF(OFFSET(PLE!$G$14,$M308,CJ$13)="",10^12,OFFSET(PLE!$G$14,$M308,CJ$13))))</f>
        <v>1000000000000</v>
      </c>
      <c r="CK308" s="182">
        <f ca="1">IF($D308&lt;&gt;"Serviço",0,IF(OR(AND(AUTOEVENTO="Manual",$M308=1),$M308&gt;(ROW(PLE.lastrow)-ROW(PLE.firstrow))),0,IF(OFFSET(PLE!$G$14,$M308,CK$13)="",10^12,OFFSET(PLE!$G$14,$M308,CK$13))))</f>
        <v>1000000000000</v>
      </c>
      <c r="CL308" s="182">
        <f ca="1">IF($D308&lt;&gt;"Serviço",0,IF(OR(AND(AUTOEVENTO="Manual",$M308=1),$M308&gt;(ROW(PLE.lastrow)-ROW(PLE.firstrow))),0,IF(OFFSET(PLE!$G$14,$M308,CL$13)="",10^12,OFFSET(PLE!$G$14,$M308,CL$13))))</f>
        <v>1000000000000</v>
      </c>
      <c r="CM308" s="182">
        <f ca="1">IF($D308&lt;&gt;"Serviço",0,IF(OR(AND(AUTOEVENTO="Manual",$M308=1),$M308&gt;(ROW(PLE.lastrow)-ROW(PLE.firstrow))),0,IF(OFFSET(PLE!$G$14,$M308,CM$13)="",10^12,OFFSET(PLE!$G$14,$M308,CM$13))))</f>
        <v>1000000000000</v>
      </c>
    </row>
    <row r="309" spans="1:91" ht="38.25" x14ac:dyDescent="0.2">
      <c r="A309" s="7" t="str">
        <f t="shared" ca="1" si="12"/>
        <v>285</v>
      </c>
      <c r="B309" s="7" t="str">
        <f ca="1">OFFSET(ORÇAMENTO!C$15,ROW(B309)-ROW(B$15),0)</f>
        <v>S</v>
      </c>
      <c r="C309" s="7" t="str">
        <f ca="1">OFFSET(ORÇAMENTO!L$15,ROW(C309)-ROW(C$15),0)</f>
        <v/>
      </c>
      <c r="D309" s="118" t="str">
        <f ca="1">OFFSET(ORÇAMENTO!N$15,ROW(D309)-ROW(D$15),0)</f>
        <v>Serviço</v>
      </c>
      <c r="E309" s="119" t="str">
        <f ca="1">OFFSET(ORÇAMENTO!O$15,ROW(E309)-ROW(E$15),0)</f>
        <v>-</v>
      </c>
      <c r="F309" s="172" t="str">
        <f ca="1">OFFSET(ORÇAMENTO!R$15,ROW(F309)-ROW(F$15),0)</f>
        <v>(abra o arquivo 'Referência 06-2024.xlsm)</v>
      </c>
      <c r="G309" s="173" t="str">
        <f ca="1">IF($D309&lt;&gt;"Serviço","",OFFSET(ORÇAMENTO!S$15,ROW(G309)-ROW(G$15),0))</f>
        <v>-</v>
      </c>
      <c r="H309" s="124">
        <f ca="1">IF($D309&lt;&gt;"Serviço",0,IF(ACOMPANHAMENTO="BM",ROUND(OFFSET(ORÇAMENTO!AJ$15,ROW(H309)-ROW(H$15),0),15-13*ORÇAMENTO!$AF$7),SUMPRODUCT(($Q$12:$AI$12&lt;&gt;"")*ROUND($Q309:$AI309,15-13*ORÇAMENTO!$AF$7))))</f>
        <v>45</v>
      </c>
      <c r="I309" s="561" t="s">
        <v>1107</v>
      </c>
      <c r="K309" s="174"/>
      <c r="L309" s="175" t="s">
        <v>255</v>
      </c>
      <c r="M309" s="176">
        <f ca="1">IF($D309&lt;&gt;"Serviço","",IF(AUTOEVENTO="manual",$A309,IF(ISERROR(MATCH($A309,$A$15:OFFSET($A309,-1,0),0)),MAX($M$15:OFFSET(M309,-1,0))+1,INDEX($M$15:OFFSET(M309,-1,0),MATCH($A309,$A$15:OFFSET($A309,-1,0),0)))))</f>
        <v>39</v>
      </c>
      <c r="N309" s="177" t="str">
        <f ca="1">IF($D309&lt;&gt;"Serviço","",IF(AUTOEVENTO="Manual",IF($A309=0,"&lt;-- defina o número do agrupador",OFFSET(EVENTOS!$D$14,$A309,0)),OFFSET($F$15,$A309,0)))</f>
        <v>DRENAGEM DE ÁGUAS PLUVIAIS - TUBULAÇÕES E CONEXÕES DE PVC</v>
      </c>
      <c r="O309" s="178"/>
      <c r="Q309" s="178">
        <v>45</v>
      </c>
      <c r="R309" s="179"/>
      <c r="S309" s="179"/>
      <c r="T309" s="179"/>
      <c r="U309" s="179"/>
      <c r="V309" s="179"/>
      <c r="W309" s="179"/>
      <c r="X309" s="179"/>
      <c r="Y309" s="179"/>
      <c r="Z309" s="180"/>
      <c r="AA309" s="179"/>
      <c r="AB309" s="179"/>
      <c r="AC309" s="179"/>
      <c r="AD309" s="179"/>
      <c r="AE309" s="179"/>
      <c r="AF309" s="179"/>
      <c r="AG309" s="179"/>
      <c r="AH309" s="180"/>
      <c r="AJ309" s="544">
        <f ca="1">IF(AND($D309="Serviço",AJ$12&lt;&gt;0,$H309&gt;0,OR(AUTOEVENTO&lt;&gt;"manual",$M309&lt;&gt;1)),
IF(Import.TipoArredondamento&lt;&gt;"TransfereGOV",
ROUND(OFFSET($P309,0,AJ$13),15-13*ORÇAMENTO!$AF$7)/$H309*OFFSET(ORÇAMENTO!$X$15,ROW(AJ309)-ROW(AJ$15),0),
ROUND(ROUND(OFFSET($P309,0,AJ$13),15-13*ORÇAMENTO!$AF$7)*OFFSET(ORÇAMENTO!$W$15,ROW(AJ309)-ROW(AJ$15),0),15-13*ORÇAMENTO!$AF$11)),0)</f>
        <v>0</v>
      </c>
      <c r="AK309" s="545">
        <f ca="1">IF(AND($D309="Serviço",AK$12&lt;&gt;0,$H309&gt;0,OR(AUTOEVENTO&lt;&gt;"manual",$M309&lt;&gt;1)),
IF(Import.TipoArredondamento&lt;&gt;"TransfereGOV",
ROUND(OFFSET($P309,0,AK$13),15-13*ORÇAMENTO!$AF$7)/$H309*OFFSET(ORÇAMENTO!$X$15,ROW(AK309)-ROW(AK$15),0),
ROUND(ROUND(OFFSET($P309,0,AK$13),15-13*ORÇAMENTO!$AF$7)*OFFSET(ORÇAMENTO!$W$15,ROW(AK309)-ROW(AK$15),0),15-13*ORÇAMENTO!$AF$11)),0)</f>
        <v>0</v>
      </c>
      <c r="AL309" s="545">
        <f ca="1">IF(AND($D309="Serviço",AL$12&lt;&gt;0,$H309&gt;0,OR(AUTOEVENTO&lt;&gt;"manual",$M309&lt;&gt;1)),
IF(Import.TipoArredondamento&lt;&gt;"TransfereGOV",
ROUND(OFFSET($P309,0,AL$13),15-13*ORÇAMENTO!$AF$7)/$H309*OFFSET(ORÇAMENTO!$X$15,ROW(AL309)-ROW(AL$15),0),
ROUND(ROUND(OFFSET($P309,0,AL$13),15-13*ORÇAMENTO!$AF$7)*OFFSET(ORÇAMENTO!$W$15,ROW(AL309)-ROW(AL$15),0),15-13*ORÇAMENTO!$AF$11)),0)</f>
        <v>0</v>
      </c>
      <c r="AM309" s="545">
        <f ca="1">IF(AND($D309="Serviço",AM$12&lt;&gt;0,$H309&gt;0,OR(AUTOEVENTO&lt;&gt;"manual",$M309&lt;&gt;1)),
IF(Import.TipoArredondamento&lt;&gt;"TransfereGOV",
ROUND(OFFSET($P309,0,AM$13),15-13*ORÇAMENTO!$AF$7)/$H309*OFFSET(ORÇAMENTO!$X$15,ROW(AM309)-ROW(AM$15),0),
ROUND(ROUND(OFFSET($P309,0,AM$13),15-13*ORÇAMENTO!$AF$7)*OFFSET(ORÇAMENTO!$W$15,ROW(AM309)-ROW(AM$15),0),15-13*ORÇAMENTO!$AF$11)),0)</f>
        <v>0</v>
      </c>
      <c r="AN309" s="545">
        <f ca="1">IF(AND($D309="Serviço",AN$12&lt;&gt;0,$H309&gt;0,OR(AUTOEVENTO&lt;&gt;"manual",$M309&lt;&gt;1)),
IF(Import.TipoArredondamento&lt;&gt;"TransfereGOV",
ROUND(OFFSET($P309,0,AN$13),15-13*ORÇAMENTO!$AF$7)/$H309*OFFSET(ORÇAMENTO!$X$15,ROW(AN309)-ROW(AN$15),0),
ROUND(ROUND(OFFSET($P309,0,AN$13),15-13*ORÇAMENTO!$AF$7)*OFFSET(ORÇAMENTO!$W$15,ROW(AN309)-ROW(AN$15),0),15-13*ORÇAMENTO!$AF$11)),0)</f>
        <v>0</v>
      </c>
      <c r="AO309" s="545">
        <f ca="1">IF(AND($D309="Serviço",AO$12&lt;&gt;0,$H309&gt;0,OR(AUTOEVENTO&lt;&gt;"manual",$M309&lt;&gt;1)),
IF(Import.TipoArredondamento&lt;&gt;"TransfereGOV",
ROUND(OFFSET($P309,0,AO$13),15-13*ORÇAMENTO!$AF$7)/$H309*OFFSET(ORÇAMENTO!$X$15,ROW(AO309)-ROW(AO$15),0),
ROUND(ROUND(OFFSET($P309,0,AO$13),15-13*ORÇAMENTO!$AF$7)*OFFSET(ORÇAMENTO!$W$15,ROW(AO309)-ROW(AO$15),0),15-13*ORÇAMENTO!$AF$11)),0)</f>
        <v>0</v>
      </c>
      <c r="AP309" s="545">
        <f ca="1">IF(AND($D309="Serviço",AP$12&lt;&gt;0,$H309&gt;0,OR(AUTOEVENTO&lt;&gt;"manual",$M309&lt;&gt;1)),
IF(Import.TipoArredondamento&lt;&gt;"TransfereGOV",
ROUND(OFFSET($P309,0,AP$13),15-13*ORÇAMENTO!$AF$7)/$H309*OFFSET(ORÇAMENTO!$X$15,ROW(AP309)-ROW(AP$15),0),
ROUND(ROUND(OFFSET($P309,0,AP$13),15-13*ORÇAMENTO!$AF$7)*OFFSET(ORÇAMENTO!$W$15,ROW(AP309)-ROW(AP$15),0),15-13*ORÇAMENTO!$AF$11)),0)</f>
        <v>0</v>
      </c>
      <c r="AQ309" s="545">
        <f ca="1">IF(AND($D309="Serviço",AQ$12&lt;&gt;0,$H309&gt;0,OR(AUTOEVENTO&lt;&gt;"manual",$M309&lt;&gt;1)),
IF(Import.TipoArredondamento&lt;&gt;"TransfereGOV",
ROUND(OFFSET($P309,0,AQ$13),15-13*ORÇAMENTO!$AF$7)/$H309*OFFSET(ORÇAMENTO!$X$15,ROW(AQ309)-ROW(AQ$15),0),
ROUND(ROUND(OFFSET($P309,0,AQ$13),15-13*ORÇAMENTO!$AF$7)*OFFSET(ORÇAMENTO!$W$15,ROW(AQ309)-ROW(AQ$15),0),15-13*ORÇAMENTO!$AF$11)),0)</f>
        <v>0</v>
      </c>
      <c r="AR309" s="545">
        <f ca="1">IF(AND($D309="Serviço",AR$12&lt;&gt;0,$H309&gt;0,OR(AUTOEVENTO&lt;&gt;"manual",$M309&lt;&gt;1)),
IF(Import.TipoArredondamento&lt;&gt;"TransfereGOV",
ROUND(OFFSET($P309,0,AR$13),15-13*ORÇAMENTO!$AF$7)/$H309*OFFSET(ORÇAMENTO!$X$15,ROW(AR309)-ROW(AR$15),0),
ROUND(ROUND(OFFSET($P309,0,AR$13),15-13*ORÇAMENTO!$AF$7)*OFFSET(ORÇAMENTO!$W$15,ROW(AR309)-ROW(AR$15),0),15-13*ORÇAMENTO!$AF$11)),0)</f>
        <v>0</v>
      </c>
      <c r="AS309" s="546">
        <f ca="1">IF(AND($D309="Serviço",AS$12&lt;&gt;0,$H309&gt;0,OR(AUTOEVENTO&lt;&gt;"manual",$M309&lt;&gt;1)),
IF(Import.TipoArredondamento&lt;&gt;"TransfereGOV",
ROUND(OFFSET($P309,0,AS$13),15-13*ORÇAMENTO!$AF$7)/$H309*OFFSET(ORÇAMENTO!$X$15,ROW(AS309)-ROW(AS$15),0),
ROUND(ROUND(OFFSET($P309,0,AS$13),15-13*ORÇAMENTO!$AF$7)*OFFSET(ORÇAMENTO!$W$15,ROW(AS309)-ROW(AS$15),0),15-13*ORÇAMENTO!$AF$11)),0)</f>
        <v>0</v>
      </c>
      <c r="AT309" s="545">
        <f ca="1">IF(AND($D309="Serviço",AT$12&lt;&gt;0,$H309&gt;0,OR(AUTOEVENTO&lt;&gt;"manual",$M309&lt;&gt;1)),
IF(Import.TipoArredondamento&lt;&gt;"TransfereGOV",
ROUND(OFFSET($P309,0,AT$13),15-13*ORÇAMENTO!$AF$7)/$H309*OFFSET(ORÇAMENTO!$X$15,ROW(AT309)-ROW(AT$15),0),
ROUND(ROUND(OFFSET($P309,0,AT$13),15-13*ORÇAMENTO!$AF$7)*OFFSET(ORÇAMENTO!$W$15,ROW(AT309)-ROW(AT$15),0),15-13*ORÇAMENTO!$AF$11)),0)</f>
        <v>0</v>
      </c>
      <c r="AU309" s="545">
        <f ca="1">IF(AND($D309="Serviço",AU$12&lt;&gt;0,$H309&gt;0,OR(AUTOEVENTO&lt;&gt;"manual",$M309&lt;&gt;1)),
IF(Import.TipoArredondamento&lt;&gt;"TransfereGOV",
ROUND(OFFSET($P309,0,AU$13),15-13*ORÇAMENTO!$AF$7)/$H309*OFFSET(ORÇAMENTO!$X$15,ROW(AU309)-ROW(AU$15),0),
ROUND(ROUND(OFFSET($P309,0,AU$13),15-13*ORÇAMENTO!$AF$7)*OFFSET(ORÇAMENTO!$W$15,ROW(AU309)-ROW(AU$15),0),15-13*ORÇAMENTO!$AF$11)),0)</f>
        <v>0</v>
      </c>
      <c r="AV309" s="545">
        <f ca="1">IF(AND($D309="Serviço",AV$12&lt;&gt;0,$H309&gt;0,OR(AUTOEVENTO&lt;&gt;"manual",$M309&lt;&gt;1)),
IF(Import.TipoArredondamento&lt;&gt;"TransfereGOV",
ROUND(OFFSET($P309,0,AV$13),15-13*ORÇAMENTO!$AF$7)/$H309*OFFSET(ORÇAMENTO!$X$15,ROW(AV309)-ROW(AV$15),0),
ROUND(ROUND(OFFSET($P309,0,AV$13),15-13*ORÇAMENTO!$AF$7)*OFFSET(ORÇAMENTO!$W$15,ROW(AV309)-ROW(AV$15),0),15-13*ORÇAMENTO!$AF$11)),0)</f>
        <v>0</v>
      </c>
      <c r="AW309" s="545">
        <f ca="1">IF(AND($D309="Serviço",AW$12&lt;&gt;0,$H309&gt;0,OR(AUTOEVENTO&lt;&gt;"manual",$M309&lt;&gt;1)),
IF(Import.TipoArredondamento&lt;&gt;"TransfereGOV",
ROUND(OFFSET($P309,0,AW$13),15-13*ORÇAMENTO!$AF$7)/$H309*OFFSET(ORÇAMENTO!$X$15,ROW(AW309)-ROW(AW$15),0),
ROUND(ROUND(OFFSET($P309,0,AW$13),15-13*ORÇAMENTO!$AF$7)*OFFSET(ORÇAMENTO!$W$15,ROW(AW309)-ROW(AW$15),0),15-13*ORÇAMENTO!$AF$11)),0)</f>
        <v>0</v>
      </c>
      <c r="AX309" s="545">
        <f ca="1">IF(AND($D309="Serviço",AX$12&lt;&gt;0,$H309&gt;0,OR(AUTOEVENTO&lt;&gt;"manual",$M309&lt;&gt;1)),
IF(Import.TipoArredondamento&lt;&gt;"TransfereGOV",
ROUND(OFFSET($P309,0,AX$13),15-13*ORÇAMENTO!$AF$7)/$H309*OFFSET(ORÇAMENTO!$X$15,ROW(AX309)-ROW(AX$15),0),
ROUND(ROUND(OFFSET($P309,0,AX$13),15-13*ORÇAMENTO!$AF$7)*OFFSET(ORÇAMENTO!$W$15,ROW(AX309)-ROW(AX$15),0),15-13*ORÇAMENTO!$AF$11)),0)</f>
        <v>0</v>
      </c>
      <c r="AY309" s="545">
        <f ca="1">IF(AND($D309="Serviço",AY$12&lt;&gt;0,$H309&gt;0,OR(AUTOEVENTO&lt;&gt;"manual",$M309&lt;&gt;1)),
IF(Import.TipoArredondamento&lt;&gt;"TransfereGOV",
ROUND(OFFSET($P309,0,AY$13),15-13*ORÇAMENTO!$AF$7)/$H309*OFFSET(ORÇAMENTO!$X$15,ROW(AY309)-ROW(AY$15),0),
ROUND(ROUND(OFFSET($P309,0,AY$13),15-13*ORÇAMENTO!$AF$7)*OFFSET(ORÇAMENTO!$W$15,ROW(AY309)-ROW(AY$15),0),15-13*ORÇAMENTO!$AF$11)),0)</f>
        <v>0</v>
      </c>
      <c r="AZ309" s="545">
        <f ca="1">IF(AND($D309="Serviço",AZ$12&lt;&gt;0,$H309&gt;0,OR(AUTOEVENTO&lt;&gt;"manual",$M309&lt;&gt;1)),
IF(Import.TipoArredondamento&lt;&gt;"TransfereGOV",
ROUND(OFFSET($P309,0,AZ$13),15-13*ORÇAMENTO!$AF$7)/$H309*OFFSET(ORÇAMENTO!$X$15,ROW(AZ309)-ROW(AZ$15),0),
ROUND(ROUND(OFFSET($P309,0,AZ$13),15-13*ORÇAMENTO!$AF$7)*OFFSET(ORÇAMENTO!$W$15,ROW(AZ309)-ROW(AZ$15),0),15-13*ORÇAMENTO!$AF$11)),0)</f>
        <v>0</v>
      </c>
      <c r="BA309" s="546">
        <f ca="1">IF(AND($D309="Serviço",BA$12&lt;&gt;0,$H309&gt;0,OR(AUTOEVENTO&lt;&gt;"manual",$M309&lt;&gt;1)),
IF(Import.TipoArredondamento&lt;&gt;"TransfereGOV",
ROUND(OFFSET($P309,0,BA$13),15-13*ORÇAMENTO!$AF$7)/$H309*OFFSET(ORÇAMENTO!$X$15,ROW(BA309)-ROW(BA$15),0),
ROUND(ROUND(OFFSET($P309,0,BA$13),15-13*ORÇAMENTO!$AF$7)*OFFSET(ORÇAMENTO!$W$15,ROW(BA309)-ROW(BA$15),0),15-13*ORÇAMENTO!$AF$11)),0)</f>
        <v>0</v>
      </c>
      <c r="BC309" s="181">
        <f ca="1">IF($D309&lt;&gt;"Serviço",0,IF(AND(AUTOEVENTO="Manual",$M309=1),0,IF(OFFSET(CRONOPLE!$F$14,$M309,BC$13)="",10^12,OFFSET(CRONOPLE!$F$14,$M309,BC$13))))</f>
        <v>9</v>
      </c>
      <c r="BD309" s="181">
        <f ca="1">IF($D309&lt;&gt;"Serviço",0,IF(AND(AUTOEVENTO="Manual",$M309=1),0,IF(OFFSET(CRONOPLE!$F$14,$M309,BD$13)="",10^12,OFFSET(CRONOPLE!$F$14,$M309,BD$13))))</f>
        <v>1000000000000</v>
      </c>
      <c r="BE309" s="181">
        <f ca="1">IF($D309&lt;&gt;"Serviço",0,IF(AND(AUTOEVENTO="Manual",$M309=1),0,IF(OFFSET(CRONOPLE!$F$14,$M309,BE$13)="",10^12,OFFSET(CRONOPLE!$F$14,$M309,BE$13))))</f>
        <v>1000000000000</v>
      </c>
      <c r="BF309" s="181">
        <f ca="1">IF($D309&lt;&gt;"Serviço",0,IF(AND(AUTOEVENTO="Manual",$M309=1),0,IF(OFFSET(CRONOPLE!$F$14,$M309,BF$13)="",10^12,OFFSET(CRONOPLE!$F$14,$M309,BF$13))))</f>
        <v>1000000000000</v>
      </c>
      <c r="BG309" s="181">
        <f ca="1">IF($D309&lt;&gt;"Serviço",0,IF(AND(AUTOEVENTO="Manual",$M309=1),0,IF(OFFSET(CRONOPLE!$F$14,$M309,BG$13)="",10^12,OFFSET(CRONOPLE!$F$14,$M309,BG$13))))</f>
        <v>1000000000000</v>
      </c>
      <c r="BH309" s="181">
        <f ca="1">IF($D309&lt;&gt;"Serviço",0,IF(AND(AUTOEVENTO="Manual",$M309=1),0,IF(OFFSET(CRONOPLE!$F$14,$M309,BH$13)="",10^12,OFFSET(CRONOPLE!$F$14,$M309,BH$13))))</f>
        <v>1000000000000</v>
      </c>
      <c r="BI309" s="181">
        <f ca="1">IF($D309&lt;&gt;"Serviço",0,IF(AND(AUTOEVENTO="Manual",$M309=1),0,IF(OFFSET(CRONOPLE!$F$14,$M309,BI$13)="",10^12,OFFSET(CRONOPLE!$F$14,$M309,BI$13))))</f>
        <v>1000000000000</v>
      </c>
      <c r="BJ309" s="181">
        <f ca="1">IF($D309&lt;&gt;"Serviço",0,IF(AND(AUTOEVENTO="Manual",$M309=1),0,IF(OFFSET(CRONOPLE!$F$14,$M309,BJ$13)="",10^12,OFFSET(CRONOPLE!$F$14,$M309,BJ$13))))</f>
        <v>1000000000000</v>
      </c>
      <c r="BK309" s="181">
        <f ca="1">IF($D309&lt;&gt;"Serviço",0,IF(AND(AUTOEVENTO="Manual",$M309=1),0,IF(OFFSET(CRONOPLE!$F$14,$M309,BK$13)="",10^12,OFFSET(CRONOPLE!$F$14,$M309,BK$13))))</f>
        <v>1000000000000</v>
      </c>
      <c r="BL309" s="181">
        <f ca="1">IF($D309&lt;&gt;"Serviço",0,IF(AND(AUTOEVENTO="Manual",$M309=1),0,IF(OFFSET(CRONOPLE!$F$14,$M309,BL$13)="",10^12,OFFSET(CRONOPLE!$F$14,$M309,BL$13))))</f>
        <v>1000000000000</v>
      </c>
      <c r="BM309" s="181">
        <f ca="1">IF($D309&lt;&gt;"Serviço",0,IF(AND(AUTOEVENTO="Manual",$M309=1),0,IF(OFFSET(CRONOPLE!$F$14,$M309,BM$13)="",10^12,OFFSET(CRONOPLE!$F$14,$M309,BM$13))))</f>
        <v>1000000000000</v>
      </c>
      <c r="BN309" s="181">
        <f ca="1">IF($D309&lt;&gt;"Serviço",0,IF(AND(AUTOEVENTO="Manual",$M309=1),0,IF(OFFSET(CRONOPLE!$F$14,$M309,BN$13)="",10^12,OFFSET(CRONOPLE!$F$14,$M309,BN$13))))</f>
        <v>1000000000000</v>
      </c>
      <c r="BO309" s="181">
        <f ca="1">IF($D309&lt;&gt;"Serviço",0,IF(AND(AUTOEVENTO="Manual",$M309=1),0,IF(OFFSET(CRONOPLE!$F$14,$M309,BO$13)="",10^12,OFFSET(CRONOPLE!$F$14,$M309,BO$13))))</f>
        <v>1000000000000</v>
      </c>
      <c r="BP309" s="181">
        <f ca="1">IF($D309&lt;&gt;"Serviço",0,IF(AND(AUTOEVENTO="Manual",$M309=1),0,IF(OFFSET(CRONOPLE!$F$14,$M309,BP$13)="",10^12,OFFSET(CRONOPLE!$F$14,$M309,BP$13))))</f>
        <v>1000000000000</v>
      </c>
      <c r="BQ309" s="181">
        <f ca="1">IF($D309&lt;&gt;"Serviço",0,IF(AND(AUTOEVENTO="Manual",$M309=1),0,IF(OFFSET(CRONOPLE!$F$14,$M309,BQ$13)="",10^12,OFFSET(CRONOPLE!$F$14,$M309,BQ$13))))</f>
        <v>1000000000000</v>
      </c>
      <c r="BR309" s="181">
        <f ca="1">IF($D309&lt;&gt;"Serviço",0,IF(AND(AUTOEVENTO="Manual",$M309=1),0,IF(OFFSET(CRONOPLE!$F$14,$M309,BR$13)="",10^12,OFFSET(CRONOPLE!$F$14,$M309,BR$13))))</f>
        <v>1000000000000</v>
      </c>
      <c r="BS309" s="181">
        <f ca="1">IF($D309&lt;&gt;"Serviço",0,IF(AND(AUTOEVENTO="Manual",$M309=1),0,IF(OFFSET(CRONOPLE!$F$14,$M309,BS$13)="",10^12,OFFSET(CRONOPLE!$F$14,$M309,BS$13))))</f>
        <v>1000000000000</v>
      </c>
      <c r="BT309" s="181">
        <f ca="1">IF($D309&lt;&gt;"Serviço",0,IF(AND(AUTOEVENTO="Manual",$M309=1),0,IF(OFFSET(CRONOPLE!$F$14,$M309,BT$13)="",10^12,OFFSET(CRONOPLE!$F$14,$M309,BT$13))))</f>
        <v>1000000000000</v>
      </c>
      <c r="BV309" s="182">
        <f ca="1">IF($D309&lt;&gt;"Serviço",0,IF(OR(AND(AUTOEVENTO="Manual",$M309=1),$M309&gt;(ROW(PLE.lastrow)-ROW(PLE.firstrow))),0,IF(OFFSET(PLE!$G$14,$M309,BV$13)="",10^12,OFFSET(PLE!$G$14,$M309,BV$13))))</f>
        <v>1000000000000</v>
      </c>
      <c r="BW309" s="182">
        <f ca="1">IF($D309&lt;&gt;"Serviço",0,IF(OR(AND(AUTOEVENTO="Manual",$M309=1),$M309&gt;(ROW(PLE.lastrow)-ROW(PLE.firstrow))),0,IF(OFFSET(PLE!$G$14,$M309,BW$13)="",10^12,OFFSET(PLE!$G$14,$M309,BW$13))))</f>
        <v>1000000000000</v>
      </c>
      <c r="BX309" s="182">
        <f ca="1">IF($D309&lt;&gt;"Serviço",0,IF(OR(AND(AUTOEVENTO="Manual",$M309=1),$M309&gt;(ROW(PLE.lastrow)-ROW(PLE.firstrow))),0,IF(OFFSET(PLE!$G$14,$M309,BX$13)="",10^12,OFFSET(PLE!$G$14,$M309,BX$13))))</f>
        <v>1000000000000</v>
      </c>
      <c r="BY309" s="182">
        <f ca="1">IF($D309&lt;&gt;"Serviço",0,IF(OR(AND(AUTOEVENTO="Manual",$M309=1),$M309&gt;(ROW(PLE.lastrow)-ROW(PLE.firstrow))),0,IF(OFFSET(PLE!$G$14,$M309,BY$13)="",10^12,OFFSET(PLE!$G$14,$M309,BY$13))))</f>
        <v>1000000000000</v>
      </c>
      <c r="BZ309" s="182">
        <f ca="1">IF($D309&lt;&gt;"Serviço",0,IF(OR(AND(AUTOEVENTO="Manual",$M309=1),$M309&gt;(ROW(PLE.lastrow)-ROW(PLE.firstrow))),0,IF(OFFSET(PLE!$G$14,$M309,BZ$13)="",10^12,OFFSET(PLE!$G$14,$M309,BZ$13))))</f>
        <v>1000000000000</v>
      </c>
      <c r="CA309" s="182">
        <f ca="1">IF($D309&lt;&gt;"Serviço",0,IF(OR(AND(AUTOEVENTO="Manual",$M309=1),$M309&gt;(ROW(PLE.lastrow)-ROW(PLE.firstrow))),0,IF(OFFSET(PLE!$G$14,$M309,CA$13)="",10^12,OFFSET(PLE!$G$14,$M309,CA$13))))</f>
        <v>1000000000000</v>
      </c>
      <c r="CB309" s="182">
        <f ca="1">IF($D309&lt;&gt;"Serviço",0,IF(OR(AND(AUTOEVENTO="Manual",$M309=1),$M309&gt;(ROW(PLE.lastrow)-ROW(PLE.firstrow))),0,IF(OFFSET(PLE!$G$14,$M309,CB$13)="",10^12,OFFSET(PLE!$G$14,$M309,CB$13))))</f>
        <v>1000000000000</v>
      </c>
      <c r="CC309" s="182">
        <f ca="1">IF($D309&lt;&gt;"Serviço",0,IF(OR(AND(AUTOEVENTO="Manual",$M309=1),$M309&gt;(ROW(PLE.lastrow)-ROW(PLE.firstrow))),0,IF(OFFSET(PLE!$G$14,$M309,CC$13)="",10^12,OFFSET(PLE!$G$14,$M309,CC$13))))</f>
        <v>1000000000000</v>
      </c>
      <c r="CD309" s="182">
        <f ca="1">IF($D309&lt;&gt;"Serviço",0,IF(OR(AND(AUTOEVENTO="Manual",$M309=1),$M309&gt;(ROW(PLE.lastrow)-ROW(PLE.firstrow))),0,IF(OFFSET(PLE!$G$14,$M309,CD$13)="",10^12,OFFSET(PLE!$G$14,$M309,CD$13))))</f>
        <v>1000000000000</v>
      </c>
      <c r="CE309" s="182">
        <f ca="1">IF($D309&lt;&gt;"Serviço",0,IF(OR(AND(AUTOEVENTO="Manual",$M309=1),$M309&gt;(ROW(PLE.lastrow)-ROW(PLE.firstrow))),0,IF(OFFSET(PLE!$G$14,$M309,CE$13)="",10^12,OFFSET(PLE!$G$14,$M309,CE$13))))</f>
        <v>1000000000000</v>
      </c>
      <c r="CF309" s="182">
        <f ca="1">IF($D309&lt;&gt;"Serviço",0,IF(OR(AND(AUTOEVENTO="Manual",$M309=1),$M309&gt;(ROW(PLE.lastrow)-ROW(PLE.firstrow))),0,IF(OFFSET(PLE!$G$14,$M309,CF$13)="",10^12,OFFSET(PLE!$G$14,$M309,CF$13))))</f>
        <v>1000000000000</v>
      </c>
      <c r="CG309" s="182">
        <f ca="1">IF($D309&lt;&gt;"Serviço",0,IF(OR(AND(AUTOEVENTO="Manual",$M309=1),$M309&gt;(ROW(PLE.lastrow)-ROW(PLE.firstrow))),0,IF(OFFSET(PLE!$G$14,$M309,CG$13)="",10^12,OFFSET(PLE!$G$14,$M309,CG$13))))</f>
        <v>1000000000000</v>
      </c>
      <c r="CH309" s="182">
        <f ca="1">IF($D309&lt;&gt;"Serviço",0,IF(OR(AND(AUTOEVENTO="Manual",$M309=1),$M309&gt;(ROW(PLE.lastrow)-ROW(PLE.firstrow))),0,IF(OFFSET(PLE!$G$14,$M309,CH$13)="",10^12,OFFSET(PLE!$G$14,$M309,CH$13))))</f>
        <v>1000000000000</v>
      </c>
      <c r="CI309" s="182">
        <f ca="1">IF($D309&lt;&gt;"Serviço",0,IF(OR(AND(AUTOEVENTO="Manual",$M309=1),$M309&gt;(ROW(PLE.lastrow)-ROW(PLE.firstrow))),0,IF(OFFSET(PLE!$G$14,$M309,CI$13)="",10^12,OFFSET(PLE!$G$14,$M309,CI$13))))</f>
        <v>1000000000000</v>
      </c>
      <c r="CJ309" s="182">
        <f ca="1">IF($D309&lt;&gt;"Serviço",0,IF(OR(AND(AUTOEVENTO="Manual",$M309=1),$M309&gt;(ROW(PLE.lastrow)-ROW(PLE.firstrow))),0,IF(OFFSET(PLE!$G$14,$M309,CJ$13)="",10^12,OFFSET(PLE!$G$14,$M309,CJ$13))))</f>
        <v>1000000000000</v>
      </c>
      <c r="CK309" s="182">
        <f ca="1">IF($D309&lt;&gt;"Serviço",0,IF(OR(AND(AUTOEVENTO="Manual",$M309=1),$M309&gt;(ROW(PLE.lastrow)-ROW(PLE.firstrow))),0,IF(OFFSET(PLE!$G$14,$M309,CK$13)="",10^12,OFFSET(PLE!$G$14,$M309,CK$13))))</f>
        <v>1000000000000</v>
      </c>
      <c r="CL309" s="182">
        <f ca="1">IF($D309&lt;&gt;"Serviço",0,IF(OR(AND(AUTOEVENTO="Manual",$M309=1),$M309&gt;(ROW(PLE.lastrow)-ROW(PLE.firstrow))),0,IF(OFFSET(PLE!$G$14,$M309,CL$13)="",10^12,OFFSET(PLE!$G$14,$M309,CL$13))))</f>
        <v>1000000000000</v>
      </c>
      <c r="CM309" s="182">
        <f ca="1">IF($D309&lt;&gt;"Serviço",0,IF(OR(AND(AUTOEVENTO="Manual",$M309=1),$M309&gt;(ROW(PLE.lastrow)-ROW(PLE.firstrow))),0,IF(OFFSET(PLE!$G$14,$M309,CM$13)="",10^12,OFFSET(PLE!$G$14,$M309,CM$13))))</f>
        <v>1000000000000</v>
      </c>
    </row>
    <row r="310" spans="1:91" ht="51" x14ac:dyDescent="0.2">
      <c r="A310" s="7" t="str">
        <f t="shared" ca="1" si="12"/>
        <v>285</v>
      </c>
      <c r="B310" s="7" t="str">
        <f ca="1">OFFSET(ORÇAMENTO!C$15,ROW(B310)-ROW(B$15),0)</f>
        <v>S</v>
      </c>
      <c r="C310" s="7" t="str">
        <f ca="1">OFFSET(ORÇAMENTO!L$15,ROW(C310)-ROW(C$15),0)</f>
        <v/>
      </c>
      <c r="D310" s="118" t="str">
        <f ca="1">OFFSET(ORÇAMENTO!N$15,ROW(D310)-ROW(D$15),0)</f>
        <v>Serviço</v>
      </c>
      <c r="E310" s="119" t="str">
        <f ca="1">OFFSET(ORÇAMENTO!O$15,ROW(E310)-ROW(E$15),0)</f>
        <v>-</v>
      </c>
      <c r="F310" s="172" t="str">
        <f ca="1">OFFSET(ORÇAMENTO!R$15,ROW(F310)-ROW(F$15),0)</f>
        <v>(abra o arquivo 'Referência 06-2024.xlsm)</v>
      </c>
      <c r="G310" s="173" t="str">
        <f ca="1">IF($D310&lt;&gt;"Serviço","",OFFSET(ORÇAMENTO!S$15,ROW(G310)-ROW(G$15),0))</f>
        <v>-</v>
      </c>
      <c r="H310" s="124">
        <f ca="1">IF($D310&lt;&gt;"Serviço",0,IF(ACOMPANHAMENTO="BM",ROUND(OFFSET(ORÇAMENTO!AJ$15,ROW(H310)-ROW(H$15),0),15-13*ORÇAMENTO!$AF$7),SUMPRODUCT(($Q$12:$AI$12&lt;&gt;"")*ROUND($Q310:$AI310,15-13*ORÇAMENTO!$AF$7))))</f>
        <v>1</v>
      </c>
      <c r="I310" s="561" t="s">
        <v>1107</v>
      </c>
      <c r="K310" s="174"/>
      <c r="L310" s="175" t="s">
        <v>255</v>
      </c>
      <c r="M310" s="176">
        <f ca="1">IF($D310&lt;&gt;"Serviço","",IF(AUTOEVENTO="manual",$A310,IF(ISERROR(MATCH($A310,$A$15:OFFSET($A310,-1,0),0)),MAX($M$15:OFFSET(M310,-1,0))+1,INDEX($M$15:OFFSET(M310,-1,0),MATCH($A310,$A$15:OFFSET($A310,-1,0),0)))))</f>
        <v>39</v>
      </c>
      <c r="N310" s="177" t="str">
        <f ca="1">IF($D310&lt;&gt;"Serviço","",IF(AUTOEVENTO="Manual",IF($A310=0,"&lt;-- defina o número do agrupador",OFFSET(EVENTOS!$D$14,$A310,0)),OFFSET($F$15,$A310,0)))</f>
        <v>DRENAGEM DE ÁGUAS PLUVIAIS - TUBULAÇÕES E CONEXÕES DE PVC</v>
      </c>
      <c r="O310" s="178"/>
      <c r="Q310" s="178">
        <v>1</v>
      </c>
      <c r="R310" s="179"/>
      <c r="S310" s="179"/>
      <c r="T310" s="179"/>
      <c r="U310" s="179"/>
      <c r="V310" s="179"/>
      <c r="W310" s="179"/>
      <c r="X310" s="179"/>
      <c r="Y310" s="179"/>
      <c r="Z310" s="180"/>
      <c r="AA310" s="179"/>
      <c r="AB310" s="179"/>
      <c r="AC310" s="179"/>
      <c r="AD310" s="179"/>
      <c r="AE310" s="179"/>
      <c r="AF310" s="179"/>
      <c r="AG310" s="179"/>
      <c r="AH310" s="180"/>
      <c r="AJ310" s="544">
        <f ca="1">IF(AND($D310="Serviço",AJ$12&lt;&gt;0,$H310&gt;0,OR(AUTOEVENTO&lt;&gt;"manual",$M310&lt;&gt;1)),
IF(Import.TipoArredondamento&lt;&gt;"TransfereGOV",
ROUND(OFFSET($P310,0,AJ$13),15-13*ORÇAMENTO!$AF$7)/$H310*OFFSET(ORÇAMENTO!$X$15,ROW(AJ310)-ROW(AJ$15),0),
ROUND(ROUND(OFFSET($P310,0,AJ$13),15-13*ORÇAMENTO!$AF$7)*OFFSET(ORÇAMENTO!$W$15,ROW(AJ310)-ROW(AJ$15),0),15-13*ORÇAMENTO!$AF$11)),0)</f>
        <v>0</v>
      </c>
      <c r="AK310" s="545">
        <f ca="1">IF(AND($D310="Serviço",AK$12&lt;&gt;0,$H310&gt;0,OR(AUTOEVENTO&lt;&gt;"manual",$M310&lt;&gt;1)),
IF(Import.TipoArredondamento&lt;&gt;"TransfereGOV",
ROUND(OFFSET($P310,0,AK$13),15-13*ORÇAMENTO!$AF$7)/$H310*OFFSET(ORÇAMENTO!$X$15,ROW(AK310)-ROW(AK$15),0),
ROUND(ROUND(OFFSET($P310,0,AK$13),15-13*ORÇAMENTO!$AF$7)*OFFSET(ORÇAMENTO!$W$15,ROW(AK310)-ROW(AK$15),0),15-13*ORÇAMENTO!$AF$11)),0)</f>
        <v>0</v>
      </c>
      <c r="AL310" s="545">
        <f ca="1">IF(AND($D310="Serviço",AL$12&lt;&gt;0,$H310&gt;0,OR(AUTOEVENTO&lt;&gt;"manual",$M310&lt;&gt;1)),
IF(Import.TipoArredondamento&lt;&gt;"TransfereGOV",
ROUND(OFFSET($P310,0,AL$13),15-13*ORÇAMENTO!$AF$7)/$H310*OFFSET(ORÇAMENTO!$X$15,ROW(AL310)-ROW(AL$15),0),
ROUND(ROUND(OFFSET($P310,0,AL$13),15-13*ORÇAMENTO!$AF$7)*OFFSET(ORÇAMENTO!$W$15,ROW(AL310)-ROW(AL$15),0),15-13*ORÇAMENTO!$AF$11)),0)</f>
        <v>0</v>
      </c>
      <c r="AM310" s="545">
        <f ca="1">IF(AND($D310="Serviço",AM$12&lt;&gt;0,$H310&gt;0,OR(AUTOEVENTO&lt;&gt;"manual",$M310&lt;&gt;1)),
IF(Import.TipoArredondamento&lt;&gt;"TransfereGOV",
ROUND(OFFSET($P310,0,AM$13),15-13*ORÇAMENTO!$AF$7)/$H310*OFFSET(ORÇAMENTO!$X$15,ROW(AM310)-ROW(AM$15),0),
ROUND(ROUND(OFFSET($P310,0,AM$13),15-13*ORÇAMENTO!$AF$7)*OFFSET(ORÇAMENTO!$W$15,ROW(AM310)-ROW(AM$15),0),15-13*ORÇAMENTO!$AF$11)),0)</f>
        <v>0</v>
      </c>
      <c r="AN310" s="545">
        <f ca="1">IF(AND($D310="Serviço",AN$12&lt;&gt;0,$H310&gt;0,OR(AUTOEVENTO&lt;&gt;"manual",$M310&lt;&gt;1)),
IF(Import.TipoArredondamento&lt;&gt;"TransfereGOV",
ROUND(OFFSET($P310,0,AN$13),15-13*ORÇAMENTO!$AF$7)/$H310*OFFSET(ORÇAMENTO!$X$15,ROW(AN310)-ROW(AN$15),0),
ROUND(ROUND(OFFSET($P310,0,AN$13),15-13*ORÇAMENTO!$AF$7)*OFFSET(ORÇAMENTO!$W$15,ROW(AN310)-ROW(AN$15),0),15-13*ORÇAMENTO!$AF$11)),0)</f>
        <v>0</v>
      </c>
      <c r="AO310" s="545">
        <f ca="1">IF(AND($D310="Serviço",AO$12&lt;&gt;0,$H310&gt;0,OR(AUTOEVENTO&lt;&gt;"manual",$M310&lt;&gt;1)),
IF(Import.TipoArredondamento&lt;&gt;"TransfereGOV",
ROUND(OFFSET($P310,0,AO$13),15-13*ORÇAMENTO!$AF$7)/$H310*OFFSET(ORÇAMENTO!$X$15,ROW(AO310)-ROW(AO$15),0),
ROUND(ROUND(OFFSET($P310,0,AO$13),15-13*ORÇAMENTO!$AF$7)*OFFSET(ORÇAMENTO!$W$15,ROW(AO310)-ROW(AO$15),0),15-13*ORÇAMENTO!$AF$11)),0)</f>
        <v>0</v>
      </c>
      <c r="AP310" s="545">
        <f ca="1">IF(AND($D310="Serviço",AP$12&lt;&gt;0,$H310&gt;0,OR(AUTOEVENTO&lt;&gt;"manual",$M310&lt;&gt;1)),
IF(Import.TipoArredondamento&lt;&gt;"TransfereGOV",
ROUND(OFFSET($P310,0,AP$13),15-13*ORÇAMENTO!$AF$7)/$H310*OFFSET(ORÇAMENTO!$X$15,ROW(AP310)-ROW(AP$15),0),
ROUND(ROUND(OFFSET($P310,0,AP$13),15-13*ORÇAMENTO!$AF$7)*OFFSET(ORÇAMENTO!$W$15,ROW(AP310)-ROW(AP$15),0),15-13*ORÇAMENTO!$AF$11)),0)</f>
        <v>0</v>
      </c>
      <c r="AQ310" s="545">
        <f ca="1">IF(AND($D310="Serviço",AQ$12&lt;&gt;0,$H310&gt;0,OR(AUTOEVENTO&lt;&gt;"manual",$M310&lt;&gt;1)),
IF(Import.TipoArredondamento&lt;&gt;"TransfereGOV",
ROUND(OFFSET($P310,0,AQ$13),15-13*ORÇAMENTO!$AF$7)/$H310*OFFSET(ORÇAMENTO!$X$15,ROW(AQ310)-ROW(AQ$15),0),
ROUND(ROUND(OFFSET($P310,0,AQ$13),15-13*ORÇAMENTO!$AF$7)*OFFSET(ORÇAMENTO!$W$15,ROW(AQ310)-ROW(AQ$15),0),15-13*ORÇAMENTO!$AF$11)),0)</f>
        <v>0</v>
      </c>
      <c r="AR310" s="545">
        <f ca="1">IF(AND($D310="Serviço",AR$12&lt;&gt;0,$H310&gt;0,OR(AUTOEVENTO&lt;&gt;"manual",$M310&lt;&gt;1)),
IF(Import.TipoArredondamento&lt;&gt;"TransfereGOV",
ROUND(OFFSET($P310,0,AR$13),15-13*ORÇAMENTO!$AF$7)/$H310*OFFSET(ORÇAMENTO!$X$15,ROW(AR310)-ROW(AR$15),0),
ROUND(ROUND(OFFSET($P310,0,AR$13),15-13*ORÇAMENTO!$AF$7)*OFFSET(ORÇAMENTO!$W$15,ROW(AR310)-ROW(AR$15),0),15-13*ORÇAMENTO!$AF$11)),0)</f>
        <v>0</v>
      </c>
      <c r="AS310" s="546">
        <f ca="1">IF(AND($D310="Serviço",AS$12&lt;&gt;0,$H310&gt;0,OR(AUTOEVENTO&lt;&gt;"manual",$M310&lt;&gt;1)),
IF(Import.TipoArredondamento&lt;&gt;"TransfereGOV",
ROUND(OFFSET($P310,0,AS$13),15-13*ORÇAMENTO!$AF$7)/$H310*OFFSET(ORÇAMENTO!$X$15,ROW(AS310)-ROW(AS$15),0),
ROUND(ROUND(OFFSET($P310,0,AS$13),15-13*ORÇAMENTO!$AF$7)*OFFSET(ORÇAMENTO!$W$15,ROW(AS310)-ROW(AS$15),0),15-13*ORÇAMENTO!$AF$11)),0)</f>
        <v>0</v>
      </c>
      <c r="AT310" s="545">
        <f ca="1">IF(AND($D310="Serviço",AT$12&lt;&gt;0,$H310&gt;0,OR(AUTOEVENTO&lt;&gt;"manual",$M310&lt;&gt;1)),
IF(Import.TipoArredondamento&lt;&gt;"TransfereGOV",
ROUND(OFFSET($P310,0,AT$13),15-13*ORÇAMENTO!$AF$7)/$H310*OFFSET(ORÇAMENTO!$X$15,ROW(AT310)-ROW(AT$15),0),
ROUND(ROUND(OFFSET($P310,0,AT$13),15-13*ORÇAMENTO!$AF$7)*OFFSET(ORÇAMENTO!$W$15,ROW(AT310)-ROW(AT$15),0),15-13*ORÇAMENTO!$AF$11)),0)</f>
        <v>0</v>
      </c>
      <c r="AU310" s="545">
        <f ca="1">IF(AND($D310="Serviço",AU$12&lt;&gt;0,$H310&gt;0,OR(AUTOEVENTO&lt;&gt;"manual",$M310&lt;&gt;1)),
IF(Import.TipoArredondamento&lt;&gt;"TransfereGOV",
ROUND(OFFSET($P310,0,AU$13),15-13*ORÇAMENTO!$AF$7)/$H310*OFFSET(ORÇAMENTO!$X$15,ROW(AU310)-ROW(AU$15),0),
ROUND(ROUND(OFFSET($P310,0,AU$13),15-13*ORÇAMENTO!$AF$7)*OFFSET(ORÇAMENTO!$W$15,ROW(AU310)-ROW(AU$15),0),15-13*ORÇAMENTO!$AF$11)),0)</f>
        <v>0</v>
      </c>
      <c r="AV310" s="545">
        <f ca="1">IF(AND($D310="Serviço",AV$12&lt;&gt;0,$H310&gt;0,OR(AUTOEVENTO&lt;&gt;"manual",$M310&lt;&gt;1)),
IF(Import.TipoArredondamento&lt;&gt;"TransfereGOV",
ROUND(OFFSET($P310,0,AV$13),15-13*ORÇAMENTO!$AF$7)/$H310*OFFSET(ORÇAMENTO!$X$15,ROW(AV310)-ROW(AV$15),0),
ROUND(ROUND(OFFSET($P310,0,AV$13),15-13*ORÇAMENTO!$AF$7)*OFFSET(ORÇAMENTO!$W$15,ROW(AV310)-ROW(AV$15),0),15-13*ORÇAMENTO!$AF$11)),0)</f>
        <v>0</v>
      </c>
      <c r="AW310" s="545">
        <f ca="1">IF(AND($D310="Serviço",AW$12&lt;&gt;0,$H310&gt;0,OR(AUTOEVENTO&lt;&gt;"manual",$M310&lt;&gt;1)),
IF(Import.TipoArredondamento&lt;&gt;"TransfereGOV",
ROUND(OFFSET($P310,0,AW$13),15-13*ORÇAMENTO!$AF$7)/$H310*OFFSET(ORÇAMENTO!$X$15,ROW(AW310)-ROW(AW$15),0),
ROUND(ROUND(OFFSET($P310,0,AW$13),15-13*ORÇAMENTO!$AF$7)*OFFSET(ORÇAMENTO!$W$15,ROW(AW310)-ROW(AW$15),0),15-13*ORÇAMENTO!$AF$11)),0)</f>
        <v>0</v>
      </c>
      <c r="AX310" s="545">
        <f ca="1">IF(AND($D310="Serviço",AX$12&lt;&gt;0,$H310&gt;0,OR(AUTOEVENTO&lt;&gt;"manual",$M310&lt;&gt;1)),
IF(Import.TipoArredondamento&lt;&gt;"TransfereGOV",
ROUND(OFFSET($P310,0,AX$13),15-13*ORÇAMENTO!$AF$7)/$H310*OFFSET(ORÇAMENTO!$X$15,ROW(AX310)-ROW(AX$15),0),
ROUND(ROUND(OFFSET($P310,0,AX$13),15-13*ORÇAMENTO!$AF$7)*OFFSET(ORÇAMENTO!$W$15,ROW(AX310)-ROW(AX$15),0),15-13*ORÇAMENTO!$AF$11)),0)</f>
        <v>0</v>
      </c>
      <c r="AY310" s="545">
        <f ca="1">IF(AND($D310="Serviço",AY$12&lt;&gt;0,$H310&gt;0,OR(AUTOEVENTO&lt;&gt;"manual",$M310&lt;&gt;1)),
IF(Import.TipoArredondamento&lt;&gt;"TransfereGOV",
ROUND(OFFSET($P310,0,AY$13),15-13*ORÇAMENTO!$AF$7)/$H310*OFFSET(ORÇAMENTO!$X$15,ROW(AY310)-ROW(AY$15),0),
ROUND(ROUND(OFFSET($P310,0,AY$13),15-13*ORÇAMENTO!$AF$7)*OFFSET(ORÇAMENTO!$W$15,ROW(AY310)-ROW(AY$15),0),15-13*ORÇAMENTO!$AF$11)),0)</f>
        <v>0</v>
      </c>
      <c r="AZ310" s="545">
        <f ca="1">IF(AND($D310="Serviço",AZ$12&lt;&gt;0,$H310&gt;0,OR(AUTOEVENTO&lt;&gt;"manual",$M310&lt;&gt;1)),
IF(Import.TipoArredondamento&lt;&gt;"TransfereGOV",
ROUND(OFFSET($P310,0,AZ$13),15-13*ORÇAMENTO!$AF$7)/$H310*OFFSET(ORÇAMENTO!$X$15,ROW(AZ310)-ROW(AZ$15),0),
ROUND(ROUND(OFFSET($P310,0,AZ$13),15-13*ORÇAMENTO!$AF$7)*OFFSET(ORÇAMENTO!$W$15,ROW(AZ310)-ROW(AZ$15),0),15-13*ORÇAMENTO!$AF$11)),0)</f>
        <v>0</v>
      </c>
      <c r="BA310" s="546">
        <f ca="1">IF(AND($D310="Serviço",BA$12&lt;&gt;0,$H310&gt;0,OR(AUTOEVENTO&lt;&gt;"manual",$M310&lt;&gt;1)),
IF(Import.TipoArredondamento&lt;&gt;"TransfereGOV",
ROUND(OFFSET($P310,0,BA$13),15-13*ORÇAMENTO!$AF$7)/$H310*OFFSET(ORÇAMENTO!$X$15,ROW(BA310)-ROW(BA$15),0),
ROUND(ROUND(OFFSET($P310,0,BA$13),15-13*ORÇAMENTO!$AF$7)*OFFSET(ORÇAMENTO!$W$15,ROW(BA310)-ROW(BA$15),0),15-13*ORÇAMENTO!$AF$11)),0)</f>
        <v>0</v>
      </c>
      <c r="BC310" s="181">
        <f ca="1">IF($D310&lt;&gt;"Serviço",0,IF(AND(AUTOEVENTO="Manual",$M310=1),0,IF(OFFSET(CRONOPLE!$F$14,$M310,BC$13)="",10^12,OFFSET(CRONOPLE!$F$14,$M310,BC$13))))</f>
        <v>9</v>
      </c>
      <c r="BD310" s="181">
        <f ca="1">IF($D310&lt;&gt;"Serviço",0,IF(AND(AUTOEVENTO="Manual",$M310=1),0,IF(OFFSET(CRONOPLE!$F$14,$M310,BD$13)="",10^12,OFFSET(CRONOPLE!$F$14,$M310,BD$13))))</f>
        <v>1000000000000</v>
      </c>
      <c r="BE310" s="181">
        <f ca="1">IF($D310&lt;&gt;"Serviço",0,IF(AND(AUTOEVENTO="Manual",$M310=1),0,IF(OFFSET(CRONOPLE!$F$14,$M310,BE$13)="",10^12,OFFSET(CRONOPLE!$F$14,$M310,BE$13))))</f>
        <v>1000000000000</v>
      </c>
      <c r="BF310" s="181">
        <f ca="1">IF($D310&lt;&gt;"Serviço",0,IF(AND(AUTOEVENTO="Manual",$M310=1),0,IF(OFFSET(CRONOPLE!$F$14,$M310,BF$13)="",10^12,OFFSET(CRONOPLE!$F$14,$M310,BF$13))))</f>
        <v>1000000000000</v>
      </c>
      <c r="BG310" s="181">
        <f ca="1">IF($D310&lt;&gt;"Serviço",0,IF(AND(AUTOEVENTO="Manual",$M310=1),0,IF(OFFSET(CRONOPLE!$F$14,$M310,BG$13)="",10^12,OFFSET(CRONOPLE!$F$14,$M310,BG$13))))</f>
        <v>1000000000000</v>
      </c>
      <c r="BH310" s="181">
        <f ca="1">IF($D310&lt;&gt;"Serviço",0,IF(AND(AUTOEVENTO="Manual",$M310=1),0,IF(OFFSET(CRONOPLE!$F$14,$M310,BH$13)="",10^12,OFFSET(CRONOPLE!$F$14,$M310,BH$13))))</f>
        <v>1000000000000</v>
      </c>
      <c r="BI310" s="181">
        <f ca="1">IF($D310&lt;&gt;"Serviço",0,IF(AND(AUTOEVENTO="Manual",$M310=1),0,IF(OFFSET(CRONOPLE!$F$14,$M310,BI$13)="",10^12,OFFSET(CRONOPLE!$F$14,$M310,BI$13))))</f>
        <v>1000000000000</v>
      </c>
      <c r="BJ310" s="181">
        <f ca="1">IF($D310&lt;&gt;"Serviço",0,IF(AND(AUTOEVENTO="Manual",$M310=1),0,IF(OFFSET(CRONOPLE!$F$14,$M310,BJ$13)="",10^12,OFFSET(CRONOPLE!$F$14,$M310,BJ$13))))</f>
        <v>1000000000000</v>
      </c>
      <c r="BK310" s="181">
        <f ca="1">IF($D310&lt;&gt;"Serviço",0,IF(AND(AUTOEVENTO="Manual",$M310=1),0,IF(OFFSET(CRONOPLE!$F$14,$M310,BK$13)="",10^12,OFFSET(CRONOPLE!$F$14,$M310,BK$13))))</f>
        <v>1000000000000</v>
      </c>
      <c r="BL310" s="181">
        <f ca="1">IF($D310&lt;&gt;"Serviço",0,IF(AND(AUTOEVENTO="Manual",$M310=1),0,IF(OFFSET(CRONOPLE!$F$14,$M310,BL$13)="",10^12,OFFSET(CRONOPLE!$F$14,$M310,BL$13))))</f>
        <v>1000000000000</v>
      </c>
      <c r="BM310" s="181">
        <f ca="1">IF($D310&lt;&gt;"Serviço",0,IF(AND(AUTOEVENTO="Manual",$M310=1),0,IF(OFFSET(CRONOPLE!$F$14,$M310,BM$13)="",10^12,OFFSET(CRONOPLE!$F$14,$M310,BM$13))))</f>
        <v>1000000000000</v>
      </c>
      <c r="BN310" s="181">
        <f ca="1">IF($D310&lt;&gt;"Serviço",0,IF(AND(AUTOEVENTO="Manual",$M310=1),0,IF(OFFSET(CRONOPLE!$F$14,$M310,BN$13)="",10^12,OFFSET(CRONOPLE!$F$14,$M310,BN$13))))</f>
        <v>1000000000000</v>
      </c>
      <c r="BO310" s="181">
        <f ca="1">IF($D310&lt;&gt;"Serviço",0,IF(AND(AUTOEVENTO="Manual",$M310=1),0,IF(OFFSET(CRONOPLE!$F$14,$M310,BO$13)="",10^12,OFFSET(CRONOPLE!$F$14,$M310,BO$13))))</f>
        <v>1000000000000</v>
      </c>
      <c r="BP310" s="181">
        <f ca="1">IF($D310&lt;&gt;"Serviço",0,IF(AND(AUTOEVENTO="Manual",$M310=1),0,IF(OFFSET(CRONOPLE!$F$14,$M310,BP$13)="",10^12,OFFSET(CRONOPLE!$F$14,$M310,BP$13))))</f>
        <v>1000000000000</v>
      </c>
      <c r="BQ310" s="181">
        <f ca="1">IF($D310&lt;&gt;"Serviço",0,IF(AND(AUTOEVENTO="Manual",$M310=1),0,IF(OFFSET(CRONOPLE!$F$14,$M310,BQ$13)="",10^12,OFFSET(CRONOPLE!$F$14,$M310,BQ$13))))</f>
        <v>1000000000000</v>
      </c>
      <c r="BR310" s="181">
        <f ca="1">IF($D310&lt;&gt;"Serviço",0,IF(AND(AUTOEVENTO="Manual",$M310=1),0,IF(OFFSET(CRONOPLE!$F$14,$M310,BR$13)="",10^12,OFFSET(CRONOPLE!$F$14,$M310,BR$13))))</f>
        <v>1000000000000</v>
      </c>
      <c r="BS310" s="181">
        <f ca="1">IF($D310&lt;&gt;"Serviço",0,IF(AND(AUTOEVENTO="Manual",$M310=1),0,IF(OFFSET(CRONOPLE!$F$14,$M310,BS$13)="",10^12,OFFSET(CRONOPLE!$F$14,$M310,BS$13))))</f>
        <v>1000000000000</v>
      </c>
      <c r="BT310" s="181">
        <f ca="1">IF($D310&lt;&gt;"Serviço",0,IF(AND(AUTOEVENTO="Manual",$M310=1),0,IF(OFFSET(CRONOPLE!$F$14,$M310,BT$13)="",10^12,OFFSET(CRONOPLE!$F$14,$M310,BT$13))))</f>
        <v>1000000000000</v>
      </c>
      <c r="BV310" s="182">
        <f ca="1">IF($D310&lt;&gt;"Serviço",0,IF(OR(AND(AUTOEVENTO="Manual",$M310=1),$M310&gt;(ROW(PLE.lastrow)-ROW(PLE.firstrow))),0,IF(OFFSET(PLE!$G$14,$M310,BV$13)="",10^12,OFFSET(PLE!$G$14,$M310,BV$13))))</f>
        <v>1000000000000</v>
      </c>
      <c r="BW310" s="182">
        <f ca="1">IF($D310&lt;&gt;"Serviço",0,IF(OR(AND(AUTOEVENTO="Manual",$M310=1),$M310&gt;(ROW(PLE.lastrow)-ROW(PLE.firstrow))),0,IF(OFFSET(PLE!$G$14,$M310,BW$13)="",10^12,OFFSET(PLE!$G$14,$M310,BW$13))))</f>
        <v>1000000000000</v>
      </c>
      <c r="BX310" s="182">
        <f ca="1">IF($D310&lt;&gt;"Serviço",0,IF(OR(AND(AUTOEVENTO="Manual",$M310=1),$M310&gt;(ROW(PLE.lastrow)-ROW(PLE.firstrow))),0,IF(OFFSET(PLE!$G$14,$M310,BX$13)="",10^12,OFFSET(PLE!$G$14,$M310,BX$13))))</f>
        <v>1000000000000</v>
      </c>
      <c r="BY310" s="182">
        <f ca="1">IF($D310&lt;&gt;"Serviço",0,IF(OR(AND(AUTOEVENTO="Manual",$M310=1),$M310&gt;(ROW(PLE.lastrow)-ROW(PLE.firstrow))),0,IF(OFFSET(PLE!$G$14,$M310,BY$13)="",10^12,OFFSET(PLE!$G$14,$M310,BY$13))))</f>
        <v>1000000000000</v>
      </c>
      <c r="BZ310" s="182">
        <f ca="1">IF($D310&lt;&gt;"Serviço",0,IF(OR(AND(AUTOEVENTO="Manual",$M310=1),$M310&gt;(ROW(PLE.lastrow)-ROW(PLE.firstrow))),0,IF(OFFSET(PLE!$G$14,$M310,BZ$13)="",10^12,OFFSET(PLE!$G$14,$M310,BZ$13))))</f>
        <v>1000000000000</v>
      </c>
      <c r="CA310" s="182">
        <f ca="1">IF($D310&lt;&gt;"Serviço",0,IF(OR(AND(AUTOEVENTO="Manual",$M310=1),$M310&gt;(ROW(PLE.lastrow)-ROW(PLE.firstrow))),0,IF(OFFSET(PLE!$G$14,$M310,CA$13)="",10^12,OFFSET(PLE!$G$14,$M310,CA$13))))</f>
        <v>1000000000000</v>
      </c>
      <c r="CB310" s="182">
        <f ca="1">IF($D310&lt;&gt;"Serviço",0,IF(OR(AND(AUTOEVENTO="Manual",$M310=1),$M310&gt;(ROW(PLE.lastrow)-ROW(PLE.firstrow))),0,IF(OFFSET(PLE!$G$14,$M310,CB$13)="",10^12,OFFSET(PLE!$G$14,$M310,CB$13))))</f>
        <v>1000000000000</v>
      </c>
      <c r="CC310" s="182">
        <f ca="1">IF($D310&lt;&gt;"Serviço",0,IF(OR(AND(AUTOEVENTO="Manual",$M310=1),$M310&gt;(ROW(PLE.lastrow)-ROW(PLE.firstrow))),0,IF(OFFSET(PLE!$G$14,$M310,CC$13)="",10^12,OFFSET(PLE!$G$14,$M310,CC$13))))</f>
        <v>1000000000000</v>
      </c>
      <c r="CD310" s="182">
        <f ca="1">IF($D310&lt;&gt;"Serviço",0,IF(OR(AND(AUTOEVENTO="Manual",$M310=1),$M310&gt;(ROW(PLE.lastrow)-ROW(PLE.firstrow))),0,IF(OFFSET(PLE!$G$14,$M310,CD$13)="",10^12,OFFSET(PLE!$G$14,$M310,CD$13))))</f>
        <v>1000000000000</v>
      </c>
      <c r="CE310" s="182">
        <f ca="1">IF($D310&lt;&gt;"Serviço",0,IF(OR(AND(AUTOEVENTO="Manual",$M310=1),$M310&gt;(ROW(PLE.lastrow)-ROW(PLE.firstrow))),0,IF(OFFSET(PLE!$G$14,$M310,CE$13)="",10^12,OFFSET(PLE!$G$14,$M310,CE$13))))</f>
        <v>1000000000000</v>
      </c>
      <c r="CF310" s="182">
        <f ca="1">IF($D310&lt;&gt;"Serviço",0,IF(OR(AND(AUTOEVENTO="Manual",$M310=1),$M310&gt;(ROW(PLE.lastrow)-ROW(PLE.firstrow))),0,IF(OFFSET(PLE!$G$14,$M310,CF$13)="",10^12,OFFSET(PLE!$G$14,$M310,CF$13))))</f>
        <v>1000000000000</v>
      </c>
      <c r="CG310" s="182">
        <f ca="1">IF($D310&lt;&gt;"Serviço",0,IF(OR(AND(AUTOEVENTO="Manual",$M310=1),$M310&gt;(ROW(PLE.lastrow)-ROW(PLE.firstrow))),0,IF(OFFSET(PLE!$G$14,$M310,CG$13)="",10^12,OFFSET(PLE!$G$14,$M310,CG$13))))</f>
        <v>1000000000000</v>
      </c>
      <c r="CH310" s="182">
        <f ca="1">IF($D310&lt;&gt;"Serviço",0,IF(OR(AND(AUTOEVENTO="Manual",$M310=1),$M310&gt;(ROW(PLE.lastrow)-ROW(PLE.firstrow))),0,IF(OFFSET(PLE!$G$14,$M310,CH$13)="",10^12,OFFSET(PLE!$G$14,$M310,CH$13))))</f>
        <v>1000000000000</v>
      </c>
      <c r="CI310" s="182">
        <f ca="1">IF($D310&lt;&gt;"Serviço",0,IF(OR(AND(AUTOEVENTO="Manual",$M310=1),$M310&gt;(ROW(PLE.lastrow)-ROW(PLE.firstrow))),0,IF(OFFSET(PLE!$G$14,$M310,CI$13)="",10^12,OFFSET(PLE!$G$14,$M310,CI$13))))</f>
        <v>1000000000000</v>
      </c>
      <c r="CJ310" s="182">
        <f ca="1">IF($D310&lt;&gt;"Serviço",0,IF(OR(AND(AUTOEVENTO="Manual",$M310=1),$M310&gt;(ROW(PLE.lastrow)-ROW(PLE.firstrow))),0,IF(OFFSET(PLE!$G$14,$M310,CJ$13)="",10^12,OFFSET(PLE!$G$14,$M310,CJ$13))))</f>
        <v>1000000000000</v>
      </c>
      <c r="CK310" s="182">
        <f ca="1">IF($D310&lt;&gt;"Serviço",0,IF(OR(AND(AUTOEVENTO="Manual",$M310=1),$M310&gt;(ROW(PLE.lastrow)-ROW(PLE.firstrow))),0,IF(OFFSET(PLE!$G$14,$M310,CK$13)="",10^12,OFFSET(PLE!$G$14,$M310,CK$13))))</f>
        <v>1000000000000</v>
      </c>
      <c r="CL310" s="182">
        <f ca="1">IF($D310&lt;&gt;"Serviço",0,IF(OR(AND(AUTOEVENTO="Manual",$M310=1),$M310&gt;(ROW(PLE.lastrow)-ROW(PLE.firstrow))),0,IF(OFFSET(PLE!$G$14,$M310,CL$13)="",10^12,OFFSET(PLE!$G$14,$M310,CL$13))))</f>
        <v>1000000000000</v>
      </c>
      <c r="CM310" s="182">
        <f ca="1">IF($D310&lt;&gt;"Serviço",0,IF(OR(AND(AUTOEVENTO="Manual",$M310=1),$M310&gt;(ROW(PLE.lastrow)-ROW(PLE.firstrow))),0,IF(OFFSET(PLE!$G$14,$M310,CM$13)="",10^12,OFFSET(PLE!$G$14,$M310,CM$13))))</f>
        <v>1000000000000</v>
      </c>
    </row>
    <row r="311" spans="1:91" ht="38.25" x14ac:dyDescent="0.2">
      <c r="A311" s="7" t="str">
        <f t="shared" ca="1" si="12"/>
        <v>285</v>
      </c>
      <c r="B311" s="7" t="str">
        <f ca="1">OFFSET(ORÇAMENTO!C$15,ROW(B311)-ROW(B$15),0)</f>
        <v>S</v>
      </c>
      <c r="C311" s="7" t="str">
        <f ca="1">OFFSET(ORÇAMENTO!L$15,ROW(C311)-ROW(C$15),0)</f>
        <v/>
      </c>
      <c r="D311" s="118" t="str">
        <f ca="1">OFFSET(ORÇAMENTO!N$15,ROW(D311)-ROW(D$15),0)</f>
        <v>Serviço</v>
      </c>
      <c r="E311" s="119" t="str">
        <f ca="1">OFFSET(ORÇAMENTO!O$15,ROW(E311)-ROW(E$15),0)</f>
        <v>-</v>
      </c>
      <c r="F311" s="172" t="str">
        <f ca="1">OFFSET(ORÇAMENTO!R$15,ROW(F311)-ROW(F$15),0)</f>
        <v>(abra o arquivo 'Referência 06-2024.xlsm)</v>
      </c>
      <c r="G311" s="173" t="str">
        <f ca="1">IF($D311&lt;&gt;"Serviço","",OFFSET(ORÇAMENTO!S$15,ROW(G311)-ROW(G$15),0))</f>
        <v>-</v>
      </c>
      <c r="H311" s="124">
        <f ca="1">IF($D311&lt;&gt;"Serviço",0,IF(ACOMPANHAMENTO="BM",ROUND(OFFSET(ORÇAMENTO!AJ$15,ROW(H311)-ROW(H$15),0),15-13*ORÇAMENTO!$AF$7),SUMPRODUCT(($Q$12:$AI$12&lt;&gt;"")*ROUND($Q311:$AI311,15-13*ORÇAMENTO!$AF$7))))</f>
        <v>3</v>
      </c>
      <c r="I311" s="561" t="s">
        <v>1107</v>
      </c>
      <c r="K311" s="174"/>
      <c r="L311" s="175" t="s">
        <v>255</v>
      </c>
      <c r="M311" s="176">
        <f ca="1">IF($D311&lt;&gt;"Serviço","",IF(AUTOEVENTO="manual",$A311,IF(ISERROR(MATCH($A311,$A$15:OFFSET($A311,-1,0),0)),MAX($M$15:OFFSET(M311,-1,0))+1,INDEX($M$15:OFFSET(M311,-1,0),MATCH($A311,$A$15:OFFSET($A311,-1,0),0)))))</f>
        <v>39</v>
      </c>
      <c r="N311" s="177" t="str">
        <f ca="1">IF($D311&lt;&gt;"Serviço","",IF(AUTOEVENTO="Manual",IF($A311=0,"&lt;-- defina o número do agrupador",OFFSET(EVENTOS!$D$14,$A311,0)),OFFSET($F$15,$A311,0)))</f>
        <v>DRENAGEM DE ÁGUAS PLUVIAIS - TUBULAÇÕES E CONEXÕES DE PVC</v>
      </c>
      <c r="O311" s="178"/>
      <c r="Q311" s="178">
        <v>3</v>
      </c>
      <c r="R311" s="179"/>
      <c r="S311" s="179"/>
      <c r="T311" s="179"/>
      <c r="U311" s="179"/>
      <c r="V311" s="179"/>
      <c r="W311" s="179"/>
      <c r="X311" s="179"/>
      <c r="Y311" s="179"/>
      <c r="Z311" s="180"/>
      <c r="AA311" s="179"/>
      <c r="AB311" s="179"/>
      <c r="AC311" s="179"/>
      <c r="AD311" s="179"/>
      <c r="AE311" s="179"/>
      <c r="AF311" s="179"/>
      <c r="AG311" s="179"/>
      <c r="AH311" s="180"/>
      <c r="AJ311" s="544">
        <f ca="1">IF(AND($D311="Serviço",AJ$12&lt;&gt;0,$H311&gt;0,OR(AUTOEVENTO&lt;&gt;"manual",$M311&lt;&gt;1)),
IF(Import.TipoArredondamento&lt;&gt;"TransfereGOV",
ROUND(OFFSET($P311,0,AJ$13),15-13*ORÇAMENTO!$AF$7)/$H311*OFFSET(ORÇAMENTO!$X$15,ROW(AJ311)-ROW(AJ$15),0),
ROUND(ROUND(OFFSET($P311,0,AJ$13),15-13*ORÇAMENTO!$AF$7)*OFFSET(ORÇAMENTO!$W$15,ROW(AJ311)-ROW(AJ$15),0),15-13*ORÇAMENTO!$AF$11)),0)</f>
        <v>0</v>
      </c>
      <c r="AK311" s="545">
        <f ca="1">IF(AND($D311="Serviço",AK$12&lt;&gt;0,$H311&gt;0,OR(AUTOEVENTO&lt;&gt;"manual",$M311&lt;&gt;1)),
IF(Import.TipoArredondamento&lt;&gt;"TransfereGOV",
ROUND(OFFSET($P311,0,AK$13),15-13*ORÇAMENTO!$AF$7)/$H311*OFFSET(ORÇAMENTO!$X$15,ROW(AK311)-ROW(AK$15),0),
ROUND(ROUND(OFFSET($P311,0,AK$13),15-13*ORÇAMENTO!$AF$7)*OFFSET(ORÇAMENTO!$W$15,ROW(AK311)-ROW(AK$15),0),15-13*ORÇAMENTO!$AF$11)),0)</f>
        <v>0</v>
      </c>
      <c r="AL311" s="545">
        <f ca="1">IF(AND($D311="Serviço",AL$12&lt;&gt;0,$H311&gt;0,OR(AUTOEVENTO&lt;&gt;"manual",$M311&lt;&gt;1)),
IF(Import.TipoArredondamento&lt;&gt;"TransfereGOV",
ROUND(OFFSET($P311,0,AL$13),15-13*ORÇAMENTO!$AF$7)/$H311*OFFSET(ORÇAMENTO!$X$15,ROW(AL311)-ROW(AL$15),0),
ROUND(ROUND(OFFSET($P311,0,AL$13),15-13*ORÇAMENTO!$AF$7)*OFFSET(ORÇAMENTO!$W$15,ROW(AL311)-ROW(AL$15),0),15-13*ORÇAMENTO!$AF$11)),0)</f>
        <v>0</v>
      </c>
      <c r="AM311" s="545">
        <f ca="1">IF(AND($D311="Serviço",AM$12&lt;&gt;0,$H311&gt;0,OR(AUTOEVENTO&lt;&gt;"manual",$M311&lt;&gt;1)),
IF(Import.TipoArredondamento&lt;&gt;"TransfereGOV",
ROUND(OFFSET($P311,0,AM$13),15-13*ORÇAMENTO!$AF$7)/$H311*OFFSET(ORÇAMENTO!$X$15,ROW(AM311)-ROW(AM$15),0),
ROUND(ROUND(OFFSET($P311,0,AM$13),15-13*ORÇAMENTO!$AF$7)*OFFSET(ORÇAMENTO!$W$15,ROW(AM311)-ROW(AM$15),0),15-13*ORÇAMENTO!$AF$11)),0)</f>
        <v>0</v>
      </c>
      <c r="AN311" s="545">
        <f ca="1">IF(AND($D311="Serviço",AN$12&lt;&gt;0,$H311&gt;0,OR(AUTOEVENTO&lt;&gt;"manual",$M311&lt;&gt;1)),
IF(Import.TipoArredondamento&lt;&gt;"TransfereGOV",
ROUND(OFFSET($P311,0,AN$13),15-13*ORÇAMENTO!$AF$7)/$H311*OFFSET(ORÇAMENTO!$X$15,ROW(AN311)-ROW(AN$15),0),
ROUND(ROUND(OFFSET($P311,0,AN$13),15-13*ORÇAMENTO!$AF$7)*OFFSET(ORÇAMENTO!$W$15,ROW(AN311)-ROW(AN$15),0),15-13*ORÇAMENTO!$AF$11)),0)</f>
        <v>0</v>
      </c>
      <c r="AO311" s="545">
        <f ca="1">IF(AND($D311="Serviço",AO$12&lt;&gt;0,$H311&gt;0,OR(AUTOEVENTO&lt;&gt;"manual",$M311&lt;&gt;1)),
IF(Import.TipoArredondamento&lt;&gt;"TransfereGOV",
ROUND(OFFSET($P311,0,AO$13),15-13*ORÇAMENTO!$AF$7)/$H311*OFFSET(ORÇAMENTO!$X$15,ROW(AO311)-ROW(AO$15),0),
ROUND(ROUND(OFFSET($P311,0,AO$13),15-13*ORÇAMENTO!$AF$7)*OFFSET(ORÇAMENTO!$W$15,ROW(AO311)-ROW(AO$15),0),15-13*ORÇAMENTO!$AF$11)),0)</f>
        <v>0</v>
      </c>
      <c r="AP311" s="545">
        <f ca="1">IF(AND($D311="Serviço",AP$12&lt;&gt;0,$H311&gt;0,OR(AUTOEVENTO&lt;&gt;"manual",$M311&lt;&gt;1)),
IF(Import.TipoArredondamento&lt;&gt;"TransfereGOV",
ROUND(OFFSET($P311,0,AP$13),15-13*ORÇAMENTO!$AF$7)/$H311*OFFSET(ORÇAMENTO!$X$15,ROW(AP311)-ROW(AP$15),0),
ROUND(ROUND(OFFSET($P311,0,AP$13),15-13*ORÇAMENTO!$AF$7)*OFFSET(ORÇAMENTO!$W$15,ROW(AP311)-ROW(AP$15),0),15-13*ORÇAMENTO!$AF$11)),0)</f>
        <v>0</v>
      </c>
      <c r="AQ311" s="545">
        <f ca="1">IF(AND($D311="Serviço",AQ$12&lt;&gt;0,$H311&gt;0,OR(AUTOEVENTO&lt;&gt;"manual",$M311&lt;&gt;1)),
IF(Import.TipoArredondamento&lt;&gt;"TransfereGOV",
ROUND(OFFSET($P311,0,AQ$13),15-13*ORÇAMENTO!$AF$7)/$H311*OFFSET(ORÇAMENTO!$X$15,ROW(AQ311)-ROW(AQ$15),0),
ROUND(ROUND(OFFSET($P311,0,AQ$13),15-13*ORÇAMENTO!$AF$7)*OFFSET(ORÇAMENTO!$W$15,ROW(AQ311)-ROW(AQ$15),0),15-13*ORÇAMENTO!$AF$11)),0)</f>
        <v>0</v>
      </c>
      <c r="AR311" s="545">
        <f ca="1">IF(AND($D311="Serviço",AR$12&lt;&gt;0,$H311&gt;0,OR(AUTOEVENTO&lt;&gt;"manual",$M311&lt;&gt;1)),
IF(Import.TipoArredondamento&lt;&gt;"TransfereGOV",
ROUND(OFFSET($P311,0,AR$13),15-13*ORÇAMENTO!$AF$7)/$H311*OFFSET(ORÇAMENTO!$X$15,ROW(AR311)-ROW(AR$15),0),
ROUND(ROUND(OFFSET($P311,0,AR$13),15-13*ORÇAMENTO!$AF$7)*OFFSET(ORÇAMENTO!$W$15,ROW(AR311)-ROW(AR$15),0),15-13*ORÇAMENTO!$AF$11)),0)</f>
        <v>0</v>
      </c>
      <c r="AS311" s="546">
        <f ca="1">IF(AND($D311="Serviço",AS$12&lt;&gt;0,$H311&gt;0,OR(AUTOEVENTO&lt;&gt;"manual",$M311&lt;&gt;1)),
IF(Import.TipoArredondamento&lt;&gt;"TransfereGOV",
ROUND(OFFSET($P311,0,AS$13),15-13*ORÇAMENTO!$AF$7)/$H311*OFFSET(ORÇAMENTO!$X$15,ROW(AS311)-ROW(AS$15),0),
ROUND(ROUND(OFFSET($P311,0,AS$13),15-13*ORÇAMENTO!$AF$7)*OFFSET(ORÇAMENTO!$W$15,ROW(AS311)-ROW(AS$15),0),15-13*ORÇAMENTO!$AF$11)),0)</f>
        <v>0</v>
      </c>
      <c r="AT311" s="545">
        <f ca="1">IF(AND($D311="Serviço",AT$12&lt;&gt;0,$H311&gt;0,OR(AUTOEVENTO&lt;&gt;"manual",$M311&lt;&gt;1)),
IF(Import.TipoArredondamento&lt;&gt;"TransfereGOV",
ROUND(OFFSET($P311,0,AT$13),15-13*ORÇAMENTO!$AF$7)/$H311*OFFSET(ORÇAMENTO!$X$15,ROW(AT311)-ROW(AT$15),0),
ROUND(ROUND(OFFSET($P311,0,AT$13),15-13*ORÇAMENTO!$AF$7)*OFFSET(ORÇAMENTO!$W$15,ROW(AT311)-ROW(AT$15),0),15-13*ORÇAMENTO!$AF$11)),0)</f>
        <v>0</v>
      </c>
      <c r="AU311" s="545">
        <f ca="1">IF(AND($D311="Serviço",AU$12&lt;&gt;0,$H311&gt;0,OR(AUTOEVENTO&lt;&gt;"manual",$M311&lt;&gt;1)),
IF(Import.TipoArredondamento&lt;&gt;"TransfereGOV",
ROUND(OFFSET($P311,0,AU$13),15-13*ORÇAMENTO!$AF$7)/$H311*OFFSET(ORÇAMENTO!$X$15,ROW(AU311)-ROW(AU$15),0),
ROUND(ROUND(OFFSET($P311,0,AU$13),15-13*ORÇAMENTO!$AF$7)*OFFSET(ORÇAMENTO!$W$15,ROW(AU311)-ROW(AU$15),0),15-13*ORÇAMENTO!$AF$11)),0)</f>
        <v>0</v>
      </c>
      <c r="AV311" s="545">
        <f ca="1">IF(AND($D311="Serviço",AV$12&lt;&gt;0,$H311&gt;0,OR(AUTOEVENTO&lt;&gt;"manual",$M311&lt;&gt;1)),
IF(Import.TipoArredondamento&lt;&gt;"TransfereGOV",
ROUND(OFFSET($P311,0,AV$13),15-13*ORÇAMENTO!$AF$7)/$H311*OFFSET(ORÇAMENTO!$X$15,ROW(AV311)-ROW(AV$15),0),
ROUND(ROUND(OFFSET($P311,0,AV$13),15-13*ORÇAMENTO!$AF$7)*OFFSET(ORÇAMENTO!$W$15,ROW(AV311)-ROW(AV$15),0),15-13*ORÇAMENTO!$AF$11)),0)</f>
        <v>0</v>
      </c>
      <c r="AW311" s="545">
        <f ca="1">IF(AND($D311="Serviço",AW$12&lt;&gt;0,$H311&gt;0,OR(AUTOEVENTO&lt;&gt;"manual",$M311&lt;&gt;1)),
IF(Import.TipoArredondamento&lt;&gt;"TransfereGOV",
ROUND(OFFSET($P311,0,AW$13),15-13*ORÇAMENTO!$AF$7)/$H311*OFFSET(ORÇAMENTO!$X$15,ROW(AW311)-ROW(AW$15),0),
ROUND(ROUND(OFFSET($P311,0,AW$13),15-13*ORÇAMENTO!$AF$7)*OFFSET(ORÇAMENTO!$W$15,ROW(AW311)-ROW(AW$15),0),15-13*ORÇAMENTO!$AF$11)),0)</f>
        <v>0</v>
      </c>
      <c r="AX311" s="545">
        <f ca="1">IF(AND($D311="Serviço",AX$12&lt;&gt;0,$H311&gt;0,OR(AUTOEVENTO&lt;&gt;"manual",$M311&lt;&gt;1)),
IF(Import.TipoArredondamento&lt;&gt;"TransfereGOV",
ROUND(OFFSET($P311,0,AX$13),15-13*ORÇAMENTO!$AF$7)/$H311*OFFSET(ORÇAMENTO!$X$15,ROW(AX311)-ROW(AX$15),0),
ROUND(ROUND(OFFSET($P311,0,AX$13),15-13*ORÇAMENTO!$AF$7)*OFFSET(ORÇAMENTO!$W$15,ROW(AX311)-ROW(AX$15),0),15-13*ORÇAMENTO!$AF$11)),0)</f>
        <v>0</v>
      </c>
      <c r="AY311" s="545">
        <f ca="1">IF(AND($D311="Serviço",AY$12&lt;&gt;0,$H311&gt;0,OR(AUTOEVENTO&lt;&gt;"manual",$M311&lt;&gt;1)),
IF(Import.TipoArredondamento&lt;&gt;"TransfereGOV",
ROUND(OFFSET($P311,0,AY$13),15-13*ORÇAMENTO!$AF$7)/$H311*OFFSET(ORÇAMENTO!$X$15,ROW(AY311)-ROW(AY$15),0),
ROUND(ROUND(OFFSET($P311,0,AY$13),15-13*ORÇAMENTO!$AF$7)*OFFSET(ORÇAMENTO!$W$15,ROW(AY311)-ROW(AY$15),0),15-13*ORÇAMENTO!$AF$11)),0)</f>
        <v>0</v>
      </c>
      <c r="AZ311" s="545">
        <f ca="1">IF(AND($D311="Serviço",AZ$12&lt;&gt;0,$H311&gt;0,OR(AUTOEVENTO&lt;&gt;"manual",$M311&lt;&gt;1)),
IF(Import.TipoArredondamento&lt;&gt;"TransfereGOV",
ROUND(OFFSET($P311,0,AZ$13),15-13*ORÇAMENTO!$AF$7)/$H311*OFFSET(ORÇAMENTO!$X$15,ROW(AZ311)-ROW(AZ$15),0),
ROUND(ROUND(OFFSET($P311,0,AZ$13),15-13*ORÇAMENTO!$AF$7)*OFFSET(ORÇAMENTO!$W$15,ROW(AZ311)-ROW(AZ$15),0),15-13*ORÇAMENTO!$AF$11)),0)</f>
        <v>0</v>
      </c>
      <c r="BA311" s="546">
        <f ca="1">IF(AND($D311="Serviço",BA$12&lt;&gt;0,$H311&gt;0,OR(AUTOEVENTO&lt;&gt;"manual",$M311&lt;&gt;1)),
IF(Import.TipoArredondamento&lt;&gt;"TransfereGOV",
ROUND(OFFSET($P311,0,BA$13),15-13*ORÇAMENTO!$AF$7)/$H311*OFFSET(ORÇAMENTO!$X$15,ROW(BA311)-ROW(BA$15),0),
ROUND(ROUND(OFFSET($P311,0,BA$13),15-13*ORÇAMENTO!$AF$7)*OFFSET(ORÇAMENTO!$W$15,ROW(BA311)-ROW(BA$15),0),15-13*ORÇAMENTO!$AF$11)),0)</f>
        <v>0</v>
      </c>
      <c r="BC311" s="181">
        <f ca="1">IF($D311&lt;&gt;"Serviço",0,IF(AND(AUTOEVENTO="Manual",$M311=1),0,IF(OFFSET(CRONOPLE!$F$14,$M311,BC$13)="",10^12,OFFSET(CRONOPLE!$F$14,$M311,BC$13))))</f>
        <v>9</v>
      </c>
      <c r="BD311" s="181">
        <f ca="1">IF($D311&lt;&gt;"Serviço",0,IF(AND(AUTOEVENTO="Manual",$M311=1),0,IF(OFFSET(CRONOPLE!$F$14,$M311,BD$13)="",10^12,OFFSET(CRONOPLE!$F$14,$M311,BD$13))))</f>
        <v>1000000000000</v>
      </c>
      <c r="BE311" s="181">
        <f ca="1">IF($D311&lt;&gt;"Serviço",0,IF(AND(AUTOEVENTO="Manual",$M311=1),0,IF(OFFSET(CRONOPLE!$F$14,$M311,BE$13)="",10^12,OFFSET(CRONOPLE!$F$14,$M311,BE$13))))</f>
        <v>1000000000000</v>
      </c>
      <c r="BF311" s="181">
        <f ca="1">IF($D311&lt;&gt;"Serviço",0,IF(AND(AUTOEVENTO="Manual",$M311=1),0,IF(OFFSET(CRONOPLE!$F$14,$M311,BF$13)="",10^12,OFFSET(CRONOPLE!$F$14,$M311,BF$13))))</f>
        <v>1000000000000</v>
      </c>
      <c r="BG311" s="181">
        <f ca="1">IF($D311&lt;&gt;"Serviço",0,IF(AND(AUTOEVENTO="Manual",$M311=1),0,IF(OFFSET(CRONOPLE!$F$14,$M311,BG$13)="",10^12,OFFSET(CRONOPLE!$F$14,$M311,BG$13))))</f>
        <v>1000000000000</v>
      </c>
      <c r="BH311" s="181">
        <f ca="1">IF($D311&lt;&gt;"Serviço",0,IF(AND(AUTOEVENTO="Manual",$M311=1),0,IF(OFFSET(CRONOPLE!$F$14,$M311,BH$13)="",10^12,OFFSET(CRONOPLE!$F$14,$M311,BH$13))))</f>
        <v>1000000000000</v>
      </c>
      <c r="BI311" s="181">
        <f ca="1">IF($D311&lt;&gt;"Serviço",0,IF(AND(AUTOEVENTO="Manual",$M311=1),0,IF(OFFSET(CRONOPLE!$F$14,$M311,BI$13)="",10^12,OFFSET(CRONOPLE!$F$14,$M311,BI$13))))</f>
        <v>1000000000000</v>
      </c>
      <c r="BJ311" s="181">
        <f ca="1">IF($D311&lt;&gt;"Serviço",0,IF(AND(AUTOEVENTO="Manual",$M311=1),0,IF(OFFSET(CRONOPLE!$F$14,$M311,BJ$13)="",10^12,OFFSET(CRONOPLE!$F$14,$M311,BJ$13))))</f>
        <v>1000000000000</v>
      </c>
      <c r="BK311" s="181">
        <f ca="1">IF($D311&lt;&gt;"Serviço",0,IF(AND(AUTOEVENTO="Manual",$M311=1),0,IF(OFFSET(CRONOPLE!$F$14,$M311,BK$13)="",10^12,OFFSET(CRONOPLE!$F$14,$M311,BK$13))))</f>
        <v>1000000000000</v>
      </c>
      <c r="BL311" s="181">
        <f ca="1">IF($D311&lt;&gt;"Serviço",0,IF(AND(AUTOEVENTO="Manual",$M311=1),0,IF(OFFSET(CRONOPLE!$F$14,$M311,BL$13)="",10^12,OFFSET(CRONOPLE!$F$14,$M311,BL$13))))</f>
        <v>1000000000000</v>
      </c>
      <c r="BM311" s="181">
        <f ca="1">IF($D311&lt;&gt;"Serviço",0,IF(AND(AUTOEVENTO="Manual",$M311=1),0,IF(OFFSET(CRONOPLE!$F$14,$M311,BM$13)="",10^12,OFFSET(CRONOPLE!$F$14,$M311,BM$13))))</f>
        <v>1000000000000</v>
      </c>
      <c r="BN311" s="181">
        <f ca="1">IF($D311&lt;&gt;"Serviço",0,IF(AND(AUTOEVENTO="Manual",$M311=1),0,IF(OFFSET(CRONOPLE!$F$14,$M311,BN$13)="",10^12,OFFSET(CRONOPLE!$F$14,$M311,BN$13))))</f>
        <v>1000000000000</v>
      </c>
      <c r="BO311" s="181">
        <f ca="1">IF($D311&lt;&gt;"Serviço",0,IF(AND(AUTOEVENTO="Manual",$M311=1),0,IF(OFFSET(CRONOPLE!$F$14,$M311,BO$13)="",10^12,OFFSET(CRONOPLE!$F$14,$M311,BO$13))))</f>
        <v>1000000000000</v>
      </c>
      <c r="BP311" s="181">
        <f ca="1">IF($D311&lt;&gt;"Serviço",0,IF(AND(AUTOEVENTO="Manual",$M311=1),0,IF(OFFSET(CRONOPLE!$F$14,$M311,BP$13)="",10^12,OFFSET(CRONOPLE!$F$14,$M311,BP$13))))</f>
        <v>1000000000000</v>
      </c>
      <c r="BQ311" s="181">
        <f ca="1">IF($D311&lt;&gt;"Serviço",0,IF(AND(AUTOEVENTO="Manual",$M311=1),0,IF(OFFSET(CRONOPLE!$F$14,$M311,BQ$13)="",10^12,OFFSET(CRONOPLE!$F$14,$M311,BQ$13))))</f>
        <v>1000000000000</v>
      </c>
      <c r="BR311" s="181">
        <f ca="1">IF($D311&lt;&gt;"Serviço",0,IF(AND(AUTOEVENTO="Manual",$M311=1),0,IF(OFFSET(CRONOPLE!$F$14,$M311,BR$13)="",10^12,OFFSET(CRONOPLE!$F$14,$M311,BR$13))))</f>
        <v>1000000000000</v>
      </c>
      <c r="BS311" s="181">
        <f ca="1">IF($D311&lt;&gt;"Serviço",0,IF(AND(AUTOEVENTO="Manual",$M311=1),0,IF(OFFSET(CRONOPLE!$F$14,$M311,BS$13)="",10^12,OFFSET(CRONOPLE!$F$14,$M311,BS$13))))</f>
        <v>1000000000000</v>
      </c>
      <c r="BT311" s="181">
        <f ca="1">IF($D311&lt;&gt;"Serviço",0,IF(AND(AUTOEVENTO="Manual",$M311=1),0,IF(OFFSET(CRONOPLE!$F$14,$M311,BT$13)="",10^12,OFFSET(CRONOPLE!$F$14,$M311,BT$13))))</f>
        <v>1000000000000</v>
      </c>
      <c r="BV311" s="182">
        <f ca="1">IF($D311&lt;&gt;"Serviço",0,IF(OR(AND(AUTOEVENTO="Manual",$M311=1),$M311&gt;(ROW(PLE.lastrow)-ROW(PLE.firstrow))),0,IF(OFFSET(PLE!$G$14,$M311,BV$13)="",10^12,OFFSET(PLE!$G$14,$M311,BV$13))))</f>
        <v>1000000000000</v>
      </c>
      <c r="BW311" s="182">
        <f ca="1">IF($D311&lt;&gt;"Serviço",0,IF(OR(AND(AUTOEVENTO="Manual",$M311=1),$M311&gt;(ROW(PLE.lastrow)-ROW(PLE.firstrow))),0,IF(OFFSET(PLE!$G$14,$M311,BW$13)="",10^12,OFFSET(PLE!$G$14,$M311,BW$13))))</f>
        <v>1000000000000</v>
      </c>
      <c r="BX311" s="182">
        <f ca="1">IF($D311&lt;&gt;"Serviço",0,IF(OR(AND(AUTOEVENTO="Manual",$M311=1),$M311&gt;(ROW(PLE.lastrow)-ROW(PLE.firstrow))),0,IF(OFFSET(PLE!$G$14,$M311,BX$13)="",10^12,OFFSET(PLE!$G$14,$M311,BX$13))))</f>
        <v>1000000000000</v>
      </c>
      <c r="BY311" s="182">
        <f ca="1">IF($D311&lt;&gt;"Serviço",0,IF(OR(AND(AUTOEVENTO="Manual",$M311=1),$M311&gt;(ROW(PLE.lastrow)-ROW(PLE.firstrow))),0,IF(OFFSET(PLE!$G$14,$M311,BY$13)="",10^12,OFFSET(PLE!$G$14,$M311,BY$13))))</f>
        <v>1000000000000</v>
      </c>
      <c r="BZ311" s="182">
        <f ca="1">IF($D311&lt;&gt;"Serviço",0,IF(OR(AND(AUTOEVENTO="Manual",$M311=1),$M311&gt;(ROW(PLE.lastrow)-ROW(PLE.firstrow))),0,IF(OFFSET(PLE!$G$14,$M311,BZ$13)="",10^12,OFFSET(PLE!$G$14,$M311,BZ$13))))</f>
        <v>1000000000000</v>
      </c>
      <c r="CA311" s="182">
        <f ca="1">IF($D311&lt;&gt;"Serviço",0,IF(OR(AND(AUTOEVENTO="Manual",$M311=1),$M311&gt;(ROW(PLE.lastrow)-ROW(PLE.firstrow))),0,IF(OFFSET(PLE!$G$14,$M311,CA$13)="",10^12,OFFSET(PLE!$G$14,$M311,CA$13))))</f>
        <v>1000000000000</v>
      </c>
      <c r="CB311" s="182">
        <f ca="1">IF($D311&lt;&gt;"Serviço",0,IF(OR(AND(AUTOEVENTO="Manual",$M311=1),$M311&gt;(ROW(PLE.lastrow)-ROW(PLE.firstrow))),0,IF(OFFSET(PLE!$G$14,$M311,CB$13)="",10^12,OFFSET(PLE!$G$14,$M311,CB$13))))</f>
        <v>1000000000000</v>
      </c>
      <c r="CC311" s="182">
        <f ca="1">IF($D311&lt;&gt;"Serviço",0,IF(OR(AND(AUTOEVENTO="Manual",$M311=1),$M311&gt;(ROW(PLE.lastrow)-ROW(PLE.firstrow))),0,IF(OFFSET(PLE!$G$14,$M311,CC$13)="",10^12,OFFSET(PLE!$G$14,$M311,CC$13))))</f>
        <v>1000000000000</v>
      </c>
      <c r="CD311" s="182">
        <f ca="1">IF($D311&lt;&gt;"Serviço",0,IF(OR(AND(AUTOEVENTO="Manual",$M311=1),$M311&gt;(ROW(PLE.lastrow)-ROW(PLE.firstrow))),0,IF(OFFSET(PLE!$G$14,$M311,CD$13)="",10^12,OFFSET(PLE!$G$14,$M311,CD$13))))</f>
        <v>1000000000000</v>
      </c>
      <c r="CE311" s="182">
        <f ca="1">IF($D311&lt;&gt;"Serviço",0,IF(OR(AND(AUTOEVENTO="Manual",$M311=1),$M311&gt;(ROW(PLE.lastrow)-ROW(PLE.firstrow))),0,IF(OFFSET(PLE!$G$14,$M311,CE$13)="",10^12,OFFSET(PLE!$G$14,$M311,CE$13))))</f>
        <v>1000000000000</v>
      </c>
      <c r="CF311" s="182">
        <f ca="1">IF($D311&lt;&gt;"Serviço",0,IF(OR(AND(AUTOEVENTO="Manual",$M311=1),$M311&gt;(ROW(PLE.lastrow)-ROW(PLE.firstrow))),0,IF(OFFSET(PLE!$G$14,$M311,CF$13)="",10^12,OFFSET(PLE!$G$14,$M311,CF$13))))</f>
        <v>1000000000000</v>
      </c>
      <c r="CG311" s="182">
        <f ca="1">IF($D311&lt;&gt;"Serviço",0,IF(OR(AND(AUTOEVENTO="Manual",$M311=1),$M311&gt;(ROW(PLE.lastrow)-ROW(PLE.firstrow))),0,IF(OFFSET(PLE!$G$14,$M311,CG$13)="",10^12,OFFSET(PLE!$G$14,$M311,CG$13))))</f>
        <v>1000000000000</v>
      </c>
      <c r="CH311" s="182">
        <f ca="1">IF($D311&lt;&gt;"Serviço",0,IF(OR(AND(AUTOEVENTO="Manual",$M311=1),$M311&gt;(ROW(PLE.lastrow)-ROW(PLE.firstrow))),0,IF(OFFSET(PLE!$G$14,$M311,CH$13)="",10^12,OFFSET(PLE!$G$14,$M311,CH$13))))</f>
        <v>1000000000000</v>
      </c>
      <c r="CI311" s="182">
        <f ca="1">IF($D311&lt;&gt;"Serviço",0,IF(OR(AND(AUTOEVENTO="Manual",$M311=1),$M311&gt;(ROW(PLE.lastrow)-ROW(PLE.firstrow))),0,IF(OFFSET(PLE!$G$14,$M311,CI$13)="",10^12,OFFSET(PLE!$G$14,$M311,CI$13))))</f>
        <v>1000000000000</v>
      </c>
      <c r="CJ311" s="182">
        <f ca="1">IF($D311&lt;&gt;"Serviço",0,IF(OR(AND(AUTOEVENTO="Manual",$M311=1),$M311&gt;(ROW(PLE.lastrow)-ROW(PLE.firstrow))),0,IF(OFFSET(PLE!$G$14,$M311,CJ$13)="",10^12,OFFSET(PLE!$G$14,$M311,CJ$13))))</f>
        <v>1000000000000</v>
      </c>
      <c r="CK311" s="182">
        <f ca="1">IF($D311&lt;&gt;"Serviço",0,IF(OR(AND(AUTOEVENTO="Manual",$M311=1),$M311&gt;(ROW(PLE.lastrow)-ROW(PLE.firstrow))),0,IF(OFFSET(PLE!$G$14,$M311,CK$13)="",10^12,OFFSET(PLE!$G$14,$M311,CK$13))))</f>
        <v>1000000000000</v>
      </c>
      <c r="CL311" s="182">
        <f ca="1">IF($D311&lt;&gt;"Serviço",0,IF(OR(AND(AUTOEVENTO="Manual",$M311=1),$M311&gt;(ROW(PLE.lastrow)-ROW(PLE.firstrow))),0,IF(OFFSET(PLE!$G$14,$M311,CL$13)="",10^12,OFFSET(PLE!$G$14,$M311,CL$13))))</f>
        <v>1000000000000</v>
      </c>
      <c r="CM311" s="182">
        <f ca="1">IF($D311&lt;&gt;"Serviço",0,IF(OR(AND(AUTOEVENTO="Manual",$M311=1),$M311&gt;(ROW(PLE.lastrow)-ROW(PLE.firstrow))),0,IF(OFFSET(PLE!$G$14,$M311,CM$13)="",10^12,OFFSET(PLE!$G$14,$M311,CM$13))))</f>
        <v>1000000000000</v>
      </c>
    </row>
    <row r="312" spans="1:91" ht="38.25" x14ac:dyDescent="0.2">
      <c r="A312" s="7" t="str">
        <f t="shared" ca="1" si="12"/>
        <v>285</v>
      </c>
      <c r="B312" s="7" t="str">
        <f ca="1">OFFSET(ORÇAMENTO!C$15,ROW(B312)-ROW(B$15),0)</f>
        <v>S</v>
      </c>
      <c r="C312" s="7" t="str">
        <f ca="1">OFFSET(ORÇAMENTO!L$15,ROW(C312)-ROW(C$15),0)</f>
        <v/>
      </c>
      <c r="D312" s="118" t="str">
        <f ca="1">OFFSET(ORÇAMENTO!N$15,ROW(D312)-ROW(D$15),0)</f>
        <v>Serviço</v>
      </c>
      <c r="E312" s="119" t="str">
        <f ca="1">OFFSET(ORÇAMENTO!O$15,ROW(E312)-ROW(E$15),0)</f>
        <v>-</v>
      </c>
      <c r="F312" s="172" t="str">
        <f ca="1">OFFSET(ORÇAMENTO!R$15,ROW(F312)-ROW(F$15),0)</f>
        <v>(abra o arquivo 'Referência 06-2024.xlsm)</v>
      </c>
      <c r="G312" s="173" t="str">
        <f ca="1">IF($D312&lt;&gt;"Serviço","",OFFSET(ORÇAMENTO!S$15,ROW(G312)-ROW(G$15),0))</f>
        <v>-</v>
      </c>
      <c r="H312" s="124">
        <f ca="1">IF($D312&lt;&gt;"Serviço",0,IF(ACOMPANHAMENTO="BM",ROUND(OFFSET(ORÇAMENTO!AJ$15,ROW(H312)-ROW(H$15),0),15-13*ORÇAMENTO!$AF$7),SUMPRODUCT(($Q$12:$AI$12&lt;&gt;"")*ROUND($Q312:$AI312,15-13*ORÇAMENTO!$AF$7))))</f>
        <v>2</v>
      </c>
      <c r="I312" s="561" t="s">
        <v>1107</v>
      </c>
      <c r="K312" s="174"/>
      <c r="L312" s="175" t="s">
        <v>255</v>
      </c>
      <c r="M312" s="176">
        <f ca="1">IF($D312&lt;&gt;"Serviço","",IF(AUTOEVENTO="manual",$A312,IF(ISERROR(MATCH($A312,$A$15:OFFSET($A312,-1,0),0)),MAX($M$15:OFFSET(M312,-1,0))+1,INDEX($M$15:OFFSET(M312,-1,0),MATCH($A312,$A$15:OFFSET($A312,-1,0),0)))))</f>
        <v>39</v>
      </c>
      <c r="N312" s="177" t="str">
        <f ca="1">IF($D312&lt;&gt;"Serviço","",IF(AUTOEVENTO="Manual",IF($A312=0,"&lt;-- defina o número do agrupador",OFFSET(EVENTOS!$D$14,$A312,0)),OFFSET($F$15,$A312,0)))</f>
        <v>DRENAGEM DE ÁGUAS PLUVIAIS - TUBULAÇÕES E CONEXÕES DE PVC</v>
      </c>
      <c r="O312" s="178"/>
      <c r="Q312" s="178">
        <v>2</v>
      </c>
      <c r="R312" s="179"/>
      <c r="S312" s="179"/>
      <c r="T312" s="179"/>
      <c r="U312" s="179"/>
      <c r="V312" s="179"/>
      <c r="W312" s="179"/>
      <c r="X312" s="179"/>
      <c r="Y312" s="179"/>
      <c r="Z312" s="180"/>
      <c r="AA312" s="179"/>
      <c r="AB312" s="179"/>
      <c r="AC312" s="179"/>
      <c r="AD312" s="179"/>
      <c r="AE312" s="179"/>
      <c r="AF312" s="179"/>
      <c r="AG312" s="179"/>
      <c r="AH312" s="180"/>
      <c r="AJ312" s="544">
        <f ca="1">IF(AND($D312="Serviço",AJ$12&lt;&gt;0,$H312&gt;0,OR(AUTOEVENTO&lt;&gt;"manual",$M312&lt;&gt;1)),
IF(Import.TipoArredondamento&lt;&gt;"TransfereGOV",
ROUND(OFFSET($P312,0,AJ$13),15-13*ORÇAMENTO!$AF$7)/$H312*OFFSET(ORÇAMENTO!$X$15,ROW(AJ312)-ROW(AJ$15),0),
ROUND(ROUND(OFFSET($P312,0,AJ$13),15-13*ORÇAMENTO!$AF$7)*OFFSET(ORÇAMENTO!$W$15,ROW(AJ312)-ROW(AJ$15),0),15-13*ORÇAMENTO!$AF$11)),0)</f>
        <v>0</v>
      </c>
      <c r="AK312" s="545">
        <f ca="1">IF(AND($D312="Serviço",AK$12&lt;&gt;0,$H312&gt;0,OR(AUTOEVENTO&lt;&gt;"manual",$M312&lt;&gt;1)),
IF(Import.TipoArredondamento&lt;&gt;"TransfereGOV",
ROUND(OFFSET($P312,0,AK$13),15-13*ORÇAMENTO!$AF$7)/$H312*OFFSET(ORÇAMENTO!$X$15,ROW(AK312)-ROW(AK$15),0),
ROUND(ROUND(OFFSET($P312,0,AK$13),15-13*ORÇAMENTO!$AF$7)*OFFSET(ORÇAMENTO!$W$15,ROW(AK312)-ROW(AK$15),0),15-13*ORÇAMENTO!$AF$11)),0)</f>
        <v>0</v>
      </c>
      <c r="AL312" s="545">
        <f ca="1">IF(AND($D312="Serviço",AL$12&lt;&gt;0,$H312&gt;0,OR(AUTOEVENTO&lt;&gt;"manual",$M312&lt;&gt;1)),
IF(Import.TipoArredondamento&lt;&gt;"TransfereGOV",
ROUND(OFFSET($P312,0,AL$13),15-13*ORÇAMENTO!$AF$7)/$H312*OFFSET(ORÇAMENTO!$X$15,ROW(AL312)-ROW(AL$15),0),
ROUND(ROUND(OFFSET($P312,0,AL$13),15-13*ORÇAMENTO!$AF$7)*OFFSET(ORÇAMENTO!$W$15,ROW(AL312)-ROW(AL$15),0),15-13*ORÇAMENTO!$AF$11)),0)</f>
        <v>0</v>
      </c>
      <c r="AM312" s="545">
        <f ca="1">IF(AND($D312="Serviço",AM$12&lt;&gt;0,$H312&gt;0,OR(AUTOEVENTO&lt;&gt;"manual",$M312&lt;&gt;1)),
IF(Import.TipoArredondamento&lt;&gt;"TransfereGOV",
ROUND(OFFSET($P312,0,AM$13),15-13*ORÇAMENTO!$AF$7)/$H312*OFFSET(ORÇAMENTO!$X$15,ROW(AM312)-ROW(AM$15),0),
ROUND(ROUND(OFFSET($P312,0,AM$13),15-13*ORÇAMENTO!$AF$7)*OFFSET(ORÇAMENTO!$W$15,ROW(AM312)-ROW(AM$15),0),15-13*ORÇAMENTO!$AF$11)),0)</f>
        <v>0</v>
      </c>
      <c r="AN312" s="545">
        <f ca="1">IF(AND($D312="Serviço",AN$12&lt;&gt;0,$H312&gt;0,OR(AUTOEVENTO&lt;&gt;"manual",$M312&lt;&gt;1)),
IF(Import.TipoArredondamento&lt;&gt;"TransfereGOV",
ROUND(OFFSET($P312,0,AN$13),15-13*ORÇAMENTO!$AF$7)/$H312*OFFSET(ORÇAMENTO!$X$15,ROW(AN312)-ROW(AN$15),0),
ROUND(ROUND(OFFSET($P312,0,AN$13),15-13*ORÇAMENTO!$AF$7)*OFFSET(ORÇAMENTO!$W$15,ROW(AN312)-ROW(AN$15),0),15-13*ORÇAMENTO!$AF$11)),0)</f>
        <v>0</v>
      </c>
      <c r="AO312" s="545">
        <f ca="1">IF(AND($D312="Serviço",AO$12&lt;&gt;0,$H312&gt;0,OR(AUTOEVENTO&lt;&gt;"manual",$M312&lt;&gt;1)),
IF(Import.TipoArredondamento&lt;&gt;"TransfereGOV",
ROUND(OFFSET($P312,0,AO$13),15-13*ORÇAMENTO!$AF$7)/$H312*OFFSET(ORÇAMENTO!$X$15,ROW(AO312)-ROW(AO$15),0),
ROUND(ROUND(OFFSET($P312,0,AO$13),15-13*ORÇAMENTO!$AF$7)*OFFSET(ORÇAMENTO!$W$15,ROW(AO312)-ROW(AO$15),0),15-13*ORÇAMENTO!$AF$11)),0)</f>
        <v>0</v>
      </c>
      <c r="AP312" s="545">
        <f ca="1">IF(AND($D312="Serviço",AP$12&lt;&gt;0,$H312&gt;0,OR(AUTOEVENTO&lt;&gt;"manual",$M312&lt;&gt;1)),
IF(Import.TipoArredondamento&lt;&gt;"TransfereGOV",
ROUND(OFFSET($P312,0,AP$13),15-13*ORÇAMENTO!$AF$7)/$H312*OFFSET(ORÇAMENTO!$X$15,ROW(AP312)-ROW(AP$15),0),
ROUND(ROUND(OFFSET($P312,0,AP$13),15-13*ORÇAMENTO!$AF$7)*OFFSET(ORÇAMENTO!$W$15,ROW(AP312)-ROW(AP$15),0),15-13*ORÇAMENTO!$AF$11)),0)</f>
        <v>0</v>
      </c>
      <c r="AQ312" s="545">
        <f ca="1">IF(AND($D312="Serviço",AQ$12&lt;&gt;0,$H312&gt;0,OR(AUTOEVENTO&lt;&gt;"manual",$M312&lt;&gt;1)),
IF(Import.TipoArredondamento&lt;&gt;"TransfereGOV",
ROUND(OFFSET($P312,0,AQ$13),15-13*ORÇAMENTO!$AF$7)/$H312*OFFSET(ORÇAMENTO!$X$15,ROW(AQ312)-ROW(AQ$15),0),
ROUND(ROUND(OFFSET($P312,0,AQ$13),15-13*ORÇAMENTO!$AF$7)*OFFSET(ORÇAMENTO!$W$15,ROW(AQ312)-ROW(AQ$15),0),15-13*ORÇAMENTO!$AF$11)),0)</f>
        <v>0</v>
      </c>
      <c r="AR312" s="545">
        <f ca="1">IF(AND($D312="Serviço",AR$12&lt;&gt;0,$H312&gt;0,OR(AUTOEVENTO&lt;&gt;"manual",$M312&lt;&gt;1)),
IF(Import.TipoArredondamento&lt;&gt;"TransfereGOV",
ROUND(OFFSET($P312,0,AR$13),15-13*ORÇAMENTO!$AF$7)/$H312*OFFSET(ORÇAMENTO!$X$15,ROW(AR312)-ROW(AR$15),0),
ROUND(ROUND(OFFSET($P312,0,AR$13),15-13*ORÇAMENTO!$AF$7)*OFFSET(ORÇAMENTO!$W$15,ROW(AR312)-ROW(AR$15),0),15-13*ORÇAMENTO!$AF$11)),0)</f>
        <v>0</v>
      </c>
      <c r="AS312" s="546">
        <f ca="1">IF(AND($D312="Serviço",AS$12&lt;&gt;0,$H312&gt;0,OR(AUTOEVENTO&lt;&gt;"manual",$M312&lt;&gt;1)),
IF(Import.TipoArredondamento&lt;&gt;"TransfereGOV",
ROUND(OFFSET($P312,0,AS$13),15-13*ORÇAMENTO!$AF$7)/$H312*OFFSET(ORÇAMENTO!$X$15,ROW(AS312)-ROW(AS$15),0),
ROUND(ROUND(OFFSET($P312,0,AS$13),15-13*ORÇAMENTO!$AF$7)*OFFSET(ORÇAMENTO!$W$15,ROW(AS312)-ROW(AS$15),0),15-13*ORÇAMENTO!$AF$11)),0)</f>
        <v>0</v>
      </c>
      <c r="AT312" s="545">
        <f ca="1">IF(AND($D312="Serviço",AT$12&lt;&gt;0,$H312&gt;0,OR(AUTOEVENTO&lt;&gt;"manual",$M312&lt;&gt;1)),
IF(Import.TipoArredondamento&lt;&gt;"TransfereGOV",
ROUND(OFFSET($P312,0,AT$13),15-13*ORÇAMENTO!$AF$7)/$H312*OFFSET(ORÇAMENTO!$X$15,ROW(AT312)-ROW(AT$15),0),
ROUND(ROUND(OFFSET($P312,0,AT$13),15-13*ORÇAMENTO!$AF$7)*OFFSET(ORÇAMENTO!$W$15,ROW(AT312)-ROW(AT$15),0),15-13*ORÇAMENTO!$AF$11)),0)</f>
        <v>0</v>
      </c>
      <c r="AU312" s="545">
        <f ca="1">IF(AND($D312="Serviço",AU$12&lt;&gt;0,$H312&gt;0,OR(AUTOEVENTO&lt;&gt;"manual",$M312&lt;&gt;1)),
IF(Import.TipoArredondamento&lt;&gt;"TransfereGOV",
ROUND(OFFSET($P312,0,AU$13),15-13*ORÇAMENTO!$AF$7)/$H312*OFFSET(ORÇAMENTO!$X$15,ROW(AU312)-ROW(AU$15),0),
ROUND(ROUND(OFFSET($P312,0,AU$13),15-13*ORÇAMENTO!$AF$7)*OFFSET(ORÇAMENTO!$W$15,ROW(AU312)-ROW(AU$15),0),15-13*ORÇAMENTO!$AF$11)),0)</f>
        <v>0</v>
      </c>
      <c r="AV312" s="545">
        <f ca="1">IF(AND($D312="Serviço",AV$12&lt;&gt;0,$H312&gt;0,OR(AUTOEVENTO&lt;&gt;"manual",$M312&lt;&gt;1)),
IF(Import.TipoArredondamento&lt;&gt;"TransfereGOV",
ROUND(OFFSET($P312,0,AV$13),15-13*ORÇAMENTO!$AF$7)/$H312*OFFSET(ORÇAMENTO!$X$15,ROW(AV312)-ROW(AV$15),0),
ROUND(ROUND(OFFSET($P312,0,AV$13),15-13*ORÇAMENTO!$AF$7)*OFFSET(ORÇAMENTO!$W$15,ROW(AV312)-ROW(AV$15),0),15-13*ORÇAMENTO!$AF$11)),0)</f>
        <v>0</v>
      </c>
      <c r="AW312" s="545">
        <f ca="1">IF(AND($D312="Serviço",AW$12&lt;&gt;0,$H312&gt;0,OR(AUTOEVENTO&lt;&gt;"manual",$M312&lt;&gt;1)),
IF(Import.TipoArredondamento&lt;&gt;"TransfereGOV",
ROUND(OFFSET($P312,0,AW$13),15-13*ORÇAMENTO!$AF$7)/$H312*OFFSET(ORÇAMENTO!$X$15,ROW(AW312)-ROW(AW$15),0),
ROUND(ROUND(OFFSET($P312,0,AW$13),15-13*ORÇAMENTO!$AF$7)*OFFSET(ORÇAMENTO!$W$15,ROW(AW312)-ROW(AW$15),0),15-13*ORÇAMENTO!$AF$11)),0)</f>
        <v>0</v>
      </c>
      <c r="AX312" s="545">
        <f ca="1">IF(AND($D312="Serviço",AX$12&lt;&gt;0,$H312&gt;0,OR(AUTOEVENTO&lt;&gt;"manual",$M312&lt;&gt;1)),
IF(Import.TipoArredondamento&lt;&gt;"TransfereGOV",
ROUND(OFFSET($P312,0,AX$13),15-13*ORÇAMENTO!$AF$7)/$H312*OFFSET(ORÇAMENTO!$X$15,ROW(AX312)-ROW(AX$15),0),
ROUND(ROUND(OFFSET($P312,0,AX$13),15-13*ORÇAMENTO!$AF$7)*OFFSET(ORÇAMENTO!$W$15,ROW(AX312)-ROW(AX$15),0),15-13*ORÇAMENTO!$AF$11)),0)</f>
        <v>0</v>
      </c>
      <c r="AY312" s="545">
        <f ca="1">IF(AND($D312="Serviço",AY$12&lt;&gt;0,$H312&gt;0,OR(AUTOEVENTO&lt;&gt;"manual",$M312&lt;&gt;1)),
IF(Import.TipoArredondamento&lt;&gt;"TransfereGOV",
ROUND(OFFSET($P312,0,AY$13),15-13*ORÇAMENTO!$AF$7)/$H312*OFFSET(ORÇAMENTO!$X$15,ROW(AY312)-ROW(AY$15),0),
ROUND(ROUND(OFFSET($P312,0,AY$13),15-13*ORÇAMENTO!$AF$7)*OFFSET(ORÇAMENTO!$W$15,ROW(AY312)-ROW(AY$15),0),15-13*ORÇAMENTO!$AF$11)),0)</f>
        <v>0</v>
      </c>
      <c r="AZ312" s="545">
        <f ca="1">IF(AND($D312="Serviço",AZ$12&lt;&gt;0,$H312&gt;0,OR(AUTOEVENTO&lt;&gt;"manual",$M312&lt;&gt;1)),
IF(Import.TipoArredondamento&lt;&gt;"TransfereGOV",
ROUND(OFFSET($P312,0,AZ$13),15-13*ORÇAMENTO!$AF$7)/$H312*OFFSET(ORÇAMENTO!$X$15,ROW(AZ312)-ROW(AZ$15),0),
ROUND(ROUND(OFFSET($P312,0,AZ$13),15-13*ORÇAMENTO!$AF$7)*OFFSET(ORÇAMENTO!$W$15,ROW(AZ312)-ROW(AZ$15),0),15-13*ORÇAMENTO!$AF$11)),0)</f>
        <v>0</v>
      </c>
      <c r="BA312" s="546">
        <f ca="1">IF(AND($D312="Serviço",BA$12&lt;&gt;0,$H312&gt;0,OR(AUTOEVENTO&lt;&gt;"manual",$M312&lt;&gt;1)),
IF(Import.TipoArredondamento&lt;&gt;"TransfereGOV",
ROUND(OFFSET($P312,0,BA$13),15-13*ORÇAMENTO!$AF$7)/$H312*OFFSET(ORÇAMENTO!$X$15,ROW(BA312)-ROW(BA$15),0),
ROUND(ROUND(OFFSET($P312,0,BA$13),15-13*ORÇAMENTO!$AF$7)*OFFSET(ORÇAMENTO!$W$15,ROW(BA312)-ROW(BA$15),0),15-13*ORÇAMENTO!$AF$11)),0)</f>
        <v>0</v>
      </c>
      <c r="BC312" s="181">
        <f ca="1">IF($D312&lt;&gt;"Serviço",0,IF(AND(AUTOEVENTO="Manual",$M312=1),0,IF(OFFSET(CRONOPLE!$F$14,$M312,BC$13)="",10^12,OFFSET(CRONOPLE!$F$14,$M312,BC$13))))</f>
        <v>9</v>
      </c>
      <c r="BD312" s="181">
        <f ca="1">IF($D312&lt;&gt;"Serviço",0,IF(AND(AUTOEVENTO="Manual",$M312=1),0,IF(OFFSET(CRONOPLE!$F$14,$M312,BD$13)="",10^12,OFFSET(CRONOPLE!$F$14,$M312,BD$13))))</f>
        <v>1000000000000</v>
      </c>
      <c r="BE312" s="181">
        <f ca="1">IF($D312&lt;&gt;"Serviço",0,IF(AND(AUTOEVENTO="Manual",$M312=1),0,IF(OFFSET(CRONOPLE!$F$14,$M312,BE$13)="",10^12,OFFSET(CRONOPLE!$F$14,$M312,BE$13))))</f>
        <v>1000000000000</v>
      </c>
      <c r="BF312" s="181">
        <f ca="1">IF($D312&lt;&gt;"Serviço",0,IF(AND(AUTOEVENTO="Manual",$M312=1),0,IF(OFFSET(CRONOPLE!$F$14,$M312,BF$13)="",10^12,OFFSET(CRONOPLE!$F$14,$M312,BF$13))))</f>
        <v>1000000000000</v>
      </c>
      <c r="BG312" s="181">
        <f ca="1">IF($D312&lt;&gt;"Serviço",0,IF(AND(AUTOEVENTO="Manual",$M312=1),0,IF(OFFSET(CRONOPLE!$F$14,$M312,BG$13)="",10^12,OFFSET(CRONOPLE!$F$14,$M312,BG$13))))</f>
        <v>1000000000000</v>
      </c>
      <c r="BH312" s="181">
        <f ca="1">IF($D312&lt;&gt;"Serviço",0,IF(AND(AUTOEVENTO="Manual",$M312=1),0,IF(OFFSET(CRONOPLE!$F$14,$M312,BH$13)="",10^12,OFFSET(CRONOPLE!$F$14,$M312,BH$13))))</f>
        <v>1000000000000</v>
      </c>
      <c r="BI312" s="181">
        <f ca="1">IF($D312&lt;&gt;"Serviço",0,IF(AND(AUTOEVENTO="Manual",$M312=1),0,IF(OFFSET(CRONOPLE!$F$14,$M312,BI$13)="",10^12,OFFSET(CRONOPLE!$F$14,$M312,BI$13))))</f>
        <v>1000000000000</v>
      </c>
      <c r="BJ312" s="181">
        <f ca="1">IF($D312&lt;&gt;"Serviço",0,IF(AND(AUTOEVENTO="Manual",$M312=1),0,IF(OFFSET(CRONOPLE!$F$14,$M312,BJ$13)="",10^12,OFFSET(CRONOPLE!$F$14,$M312,BJ$13))))</f>
        <v>1000000000000</v>
      </c>
      <c r="BK312" s="181">
        <f ca="1">IF($D312&lt;&gt;"Serviço",0,IF(AND(AUTOEVENTO="Manual",$M312=1),0,IF(OFFSET(CRONOPLE!$F$14,$M312,BK$13)="",10^12,OFFSET(CRONOPLE!$F$14,$M312,BK$13))))</f>
        <v>1000000000000</v>
      </c>
      <c r="BL312" s="181">
        <f ca="1">IF($D312&lt;&gt;"Serviço",0,IF(AND(AUTOEVENTO="Manual",$M312=1),0,IF(OFFSET(CRONOPLE!$F$14,$M312,BL$13)="",10^12,OFFSET(CRONOPLE!$F$14,$M312,BL$13))))</f>
        <v>1000000000000</v>
      </c>
      <c r="BM312" s="181">
        <f ca="1">IF($D312&lt;&gt;"Serviço",0,IF(AND(AUTOEVENTO="Manual",$M312=1),0,IF(OFFSET(CRONOPLE!$F$14,$M312,BM$13)="",10^12,OFFSET(CRONOPLE!$F$14,$M312,BM$13))))</f>
        <v>1000000000000</v>
      </c>
      <c r="BN312" s="181">
        <f ca="1">IF($D312&lt;&gt;"Serviço",0,IF(AND(AUTOEVENTO="Manual",$M312=1),0,IF(OFFSET(CRONOPLE!$F$14,$M312,BN$13)="",10^12,OFFSET(CRONOPLE!$F$14,$M312,BN$13))))</f>
        <v>1000000000000</v>
      </c>
      <c r="BO312" s="181">
        <f ca="1">IF($D312&lt;&gt;"Serviço",0,IF(AND(AUTOEVENTO="Manual",$M312=1),0,IF(OFFSET(CRONOPLE!$F$14,$M312,BO$13)="",10^12,OFFSET(CRONOPLE!$F$14,$M312,BO$13))))</f>
        <v>1000000000000</v>
      </c>
      <c r="BP312" s="181">
        <f ca="1">IF($D312&lt;&gt;"Serviço",0,IF(AND(AUTOEVENTO="Manual",$M312=1),0,IF(OFFSET(CRONOPLE!$F$14,$M312,BP$13)="",10^12,OFFSET(CRONOPLE!$F$14,$M312,BP$13))))</f>
        <v>1000000000000</v>
      </c>
      <c r="BQ312" s="181">
        <f ca="1">IF($D312&lt;&gt;"Serviço",0,IF(AND(AUTOEVENTO="Manual",$M312=1),0,IF(OFFSET(CRONOPLE!$F$14,$M312,BQ$13)="",10^12,OFFSET(CRONOPLE!$F$14,$M312,BQ$13))))</f>
        <v>1000000000000</v>
      </c>
      <c r="BR312" s="181">
        <f ca="1">IF($D312&lt;&gt;"Serviço",0,IF(AND(AUTOEVENTO="Manual",$M312=1),0,IF(OFFSET(CRONOPLE!$F$14,$M312,BR$13)="",10^12,OFFSET(CRONOPLE!$F$14,$M312,BR$13))))</f>
        <v>1000000000000</v>
      </c>
      <c r="BS312" s="181">
        <f ca="1">IF($D312&lt;&gt;"Serviço",0,IF(AND(AUTOEVENTO="Manual",$M312=1),0,IF(OFFSET(CRONOPLE!$F$14,$M312,BS$13)="",10^12,OFFSET(CRONOPLE!$F$14,$M312,BS$13))))</f>
        <v>1000000000000</v>
      </c>
      <c r="BT312" s="181">
        <f ca="1">IF($D312&lt;&gt;"Serviço",0,IF(AND(AUTOEVENTO="Manual",$M312=1),0,IF(OFFSET(CRONOPLE!$F$14,$M312,BT$13)="",10^12,OFFSET(CRONOPLE!$F$14,$M312,BT$13))))</f>
        <v>1000000000000</v>
      </c>
      <c r="BV312" s="182">
        <f ca="1">IF($D312&lt;&gt;"Serviço",0,IF(OR(AND(AUTOEVENTO="Manual",$M312=1),$M312&gt;(ROW(PLE.lastrow)-ROW(PLE.firstrow))),0,IF(OFFSET(PLE!$G$14,$M312,BV$13)="",10^12,OFFSET(PLE!$G$14,$M312,BV$13))))</f>
        <v>1000000000000</v>
      </c>
      <c r="BW312" s="182">
        <f ca="1">IF($D312&lt;&gt;"Serviço",0,IF(OR(AND(AUTOEVENTO="Manual",$M312=1),$M312&gt;(ROW(PLE.lastrow)-ROW(PLE.firstrow))),0,IF(OFFSET(PLE!$G$14,$M312,BW$13)="",10^12,OFFSET(PLE!$G$14,$M312,BW$13))))</f>
        <v>1000000000000</v>
      </c>
      <c r="BX312" s="182">
        <f ca="1">IF($D312&lt;&gt;"Serviço",0,IF(OR(AND(AUTOEVENTO="Manual",$M312=1),$M312&gt;(ROW(PLE.lastrow)-ROW(PLE.firstrow))),0,IF(OFFSET(PLE!$G$14,$M312,BX$13)="",10^12,OFFSET(PLE!$G$14,$M312,BX$13))))</f>
        <v>1000000000000</v>
      </c>
      <c r="BY312" s="182">
        <f ca="1">IF($D312&lt;&gt;"Serviço",0,IF(OR(AND(AUTOEVENTO="Manual",$M312=1),$M312&gt;(ROW(PLE.lastrow)-ROW(PLE.firstrow))),0,IF(OFFSET(PLE!$G$14,$M312,BY$13)="",10^12,OFFSET(PLE!$G$14,$M312,BY$13))))</f>
        <v>1000000000000</v>
      </c>
      <c r="BZ312" s="182">
        <f ca="1">IF($D312&lt;&gt;"Serviço",0,IF(OR(AND(AUTOEVENTO="Manual",$M312=1),$M312&gt;(ROW(PLE.lastrow)-ROW(PLE.firstrow))),0,IF(OFFSET(PLE!$G$14,$M312,BZ$13)="",10^12,OFFSET(PLE!$G$14,$M312,BZ$13))))</f>
        <v>1000000000000</v>
      </c>
      <c r="CA312" s="182">
        <f ca="1">IF($D312&lt;&gt;"Serviço",0,IF(OR(AND(AUTOEVENTO="Manual",$M312=1),$M312&gt;(ROW(PLE.lastrow)-ROW(PLE.firstrow))),0,IF(OFFSET(PLE!$G$14,$M312,CA$13)="",10^12,OFFSET(PLE!$G$14,$M312,CA$13))))</f>
        <v>1000000000000</v>
      </c>
      <c r="CB312" s="182">
        <f ca="1">IF($D312&lt;&gt;"Serviço",0,IF(OR(AND(AUTOEVENTO="Manual",$M312=1),$M312&gt;(ROW(PLE.lastrow)-ROW(PLE.firstrow))),0,IF(OFFSET(PLE!$G$14,$M312,CB$13)="",10^12,OFFSET(PLE!$G$14,$M312,CB$13))))</f>
        <v>1000000000000</v>
      </c>
      <c r="CC312" s="182">
        <f ca="1">IF($D312&lt;&gt;"Serviço",0,IF(OR(AND(AUTOEVENTO="Manual",$M312=1),$M312&gt;(ROW(PLE.lastrow)-ROW(PLE.firstrow))),0,IF(OFFSET(PLE!$G$14,$M312,CC$13)="",10^12,OFFSET(PLE!$G$14,$M312,CC$13))))</f>
        <v>1000000000000</v>
      </c>
      <c r="CD312" s="182">
        <f ca="1">IF($D312&lt;&gt;"Serviço",0,IF(OR(AND(AUTOEVENTO="Manual",$M312=1),$M312&gt;(ROW(PLE.lastrow)-ROW(PLE.firstrow))),0,IF(OFFSET(PLE!$G$14,$M312,CD$13)="",10^12,OFFSET(PLE!$G$14,$M312,CD$13))))</f>
        <v>1000000000000</v>
      </c>
      <c r="CE312" s="182">
        <f ca="1">IF($D312&lt;&gt;"Serviço",0,IF(OR(AND(AUTOEVENTO="Manual",$M312=1),$M312&gt;(ROW(PLE.lastrow)-ROW(PLE.firstrow))),0,IF(OFFSET(PLE!$G$14,$M312,CE$13)="",10^12,OFFSET(PLE!$G$14,$M312,CE$13))))</f>
        <v>1000000000000</v>
      </c>
      <c r="CF312" s="182">
        <f ca="1">IF($D312&lt;&gt;"Serviço",0,IF(OR(AND(AUTOEVENTO="Manual",$M312=1),$M312&gt;(ROW(PLE.lastrow)-ROW(PLE.firstrow))),0,IF(OFFSET(PLE!$G$14,$M312,CF$13)="",10^12,OFFSET(PLE!$G$14,$M312,CF$13))))</f>
        <v>1000000000000</v>
      </c>
      <c r="CG312" s="182">
        <f ca="1">IF($D312&lt;&gt;"Serviço",0,IF(OR(AND(AUTOEVENTO="Manual",$M312=1),$M312&gt;(ROW(PLE.lastrow)-ROW(PLE.firstrow))),0,IF(OFFSET(PLE!$G$14,$M312,CG$13)="",10^12,OFFSET(PLE!$G$14,$M312,CG$13))))</f>
        <v>1000000000000</v>
      </c>
      <c r="CH312" s="182">
        <f ca="1">IF($D312&lt;&gt;"Serviço",0,IF(OR(AND(AUTOEVENTO="Manual",$M312=1),$M312&gt;(ROW(PLE.lastrow)-ROW(PLE.firstrow))),0,IF(OFFSET(PLE!$G$14,$M312,CH$13)="",10^12,OFFSET(PLE!$G$14,$M312,CH$13))))</f>
        <v>1000000000000</v>
      </c>
      <c r="CI312" s="182">
        <f ca="1">IF($D312&lt;&gt;"Serviço",0,IF(OR(AND(AUTOEVENTO="Manual",$M312=1),$M312&gt;(ROW(PLE.lastrow)-ROW(PLE.firstrow))),0,IF(OFFSET(PLE!$G$14,$M312,CI$13)="",10^12,OFFSET(PLE!$G$14,$M312,CI$13))))</f>
        <v>1000000000000</v>
      </c>
      <c r="CJ312" s="182">
        <f ca="1">IF($D312&lt;&gt;"Serviço",0,IF(OR(AND(AUTOEVENTO="Manual",$M312=1),$M312&gt;(ROW(PLE.lastrow)-ROW(PLE.firstrow))),0,IF(OFFSET(PLE!$G$14,$M312,CJ$13)="",10^12,OFFSET(PLE!$G$14,$M312,CJ$13))))</f>
        <v>1000000000000</v>
      </c>
      <c r="CK312" s="182">
        <f ca="1">IF($D312&lt;&gt;"Serviço",0,IF(OR(AND(AUTOEVENTO="Manual",$M312=1),$M312&gt;(ROW(PLE.lastrow)-ROW(PLE.firstrow))),0,IF(OFFSET(PLE!$G$14,$M312,CK$13)="",10^12,OFFSET(PLE!$G$14,$M312,CK$13))))</f>
        <v>1000000000000</v>
      </c>
      <c r="CL312" s="182">
        <f ca="1">IF($D312&lt;&gt;"Serviço",0,IF(OR(AND(AUTOEVENTO="Manual",$M312=1),$M312&gt;(ROW(PLE.lastrow)-ROW(PLE.firstrow))),0,IF(OFFSET(PLE!$G$14,$M312,CL$13)="",10^12,OFFSET(PLE!$G$14,$M312,CL$13))))</f>
        <v>1000000000000</v>
      </c>
      <c r="CM312" s="182">
        <f ca="1">IF($D312&lt;&gt;"Serviço",0,IF(OR(AND(AUTOEVENTO="Manual",$M312=1),$M312&gt;(ROW(PLE.lastrow)-ROW(PLE.firstrow))),0,IF(OFFSET(PLE!$G$14,$M312,CM$13)="",10^12,OFFSET(PLE!$G$14,$M312,CM$13))))</f>
        <v>1000000000000</v>
      </c>
    </row>
    <row r="313" spans="1:91" ht="38.25" x14ac:dyDescent="0.2">
      <c r="A313" s="7" t="str">
        <f t="shared" ca="1" si="12"/>
        <v>285</v>
      </c>
      <c r="B313" s="7" t="str">
        <f ca="1">OFFSET(ORÇAMENTO!C$15,ROW(B313)-ROW(B$15),0)</f>
        <v>S</v>
      </c>
      <c r="C313" s="7" t="str">
        <f ca="1">OFFSET(ORÇAMENTO!L$15,ROW(C313)-ROW(C$15),0)</f>
        <v/>
      </c>
      <c r="D313" s="118" t="str">
        <f ca="1">OFFSET(ORÇAMENTO!N$15,ROW(D313)-ROW(D$15),0)</f>
        <v>Serviço</v>
      </c>
      <c r="E313" s="119" t="str">
        <f ca="1">OFFSET(ORÇAMENTO!O$15,ROW(E313)-ROW(E$15),0)</f>
        <v>-</v>
      </c>
      <c r="F313" s="172" t="str">
        <f ca="1">OFFSET(ORÇAMENTO!R$15,ROW(F313)-ROW(F$15),0)</f>
        <v>(abra o arquivo 'Referência 06-2024.xlsm)</v>
      </c>
      <c r="G313" s="173" t="str">
        <f ca="1">IF($D313&lt;&gt;"Serviço","",OFFSET(ORÇAMENTO!S$15,ROW(G313)-ROW(G$15),0))</f>
        <v>-</v>
      </c>
      <c r="H313" s="124">
        <f ca="1">IF($D313&lt;&gt;"Serviço",0,IF(ACOMPANHAMENTO="BM",ROUND(OFFSET(ORÇAMENTO!AJ$15,ROW(H313)-ROW(H$15),0),15-13*ORÇAMENTO!$AF$7),SUMPRODUCT(($Q$12:$AI$12&lt;&gt;"")*ROUND($Q313:$AI313,15-13*ORÇAMENTO!$AF$7))))</f>
        <v>2</v>
      </c>
      <c r="I313" s="561" t="s">
        <v>1107</v>
      </c>
      <c r="K313" s="174"/>
      <c r="L313" s="175" t="s">
        <v>255</v>
      </c>
      <c r="M313" s="176">
        <f ca="1">IF($D313&lt;&gt;"Serviço","",IF(AUTOEVENTO="manual",$A313,IF(ISERROR(MATCH($A313,$A$15:OFFSET($A313,-1,0),0)),MAX($M$15:OFFSET(M313,-1,0))+1,INDEX($M$15:OFFSET(M313,-1,0),MATCH($A313,$A$15:OFFSET($A313,-1,0),0)))))</f>
        <v>39</v>
      </c>
      <c r="N313" s="177" t="str">
        <f ca="1">IF($D313&lt;&gt;"Serviço","",IF(AUTOEVENTO="Manual",IF($A313=0,"&lt;-- defina o número do agrupador",OFFSET(EVENTOS!$D$14,$A313,0)),OFFSET($F$15,$A313,0)))</f>
        <v>DRENAGEM DE ÁGUAS PLUVIAIS - TUBULAÇÕES E CONEXÕES DE PVC</v>
      </c>
      <c r="O313" s="178"/>
      <c r="Q313" s="178">
        <v>2</v>
      </c>
      <c r="R313" s="179"/>
      <c r="S313" s="179"/>
      <c r="T313" s="179"/>
      <c r="U313" s="179"/>
      <c r="V313" s="179"/>
      <c r="W313" s="179"/>
      <c r="X313" s="179"/>
      <c r="Y313" s="179"/>
      <c r="Z313" s="180"/>
      <c r="AA313" s="179"/>
      <c r="AB313" s="179"/>
      <c r="AC313" s="179"/>
      <c r="AD313" s="179"/>
      <c r="AE313" s="179"/>
      <c r="AF313" s="179"/>
      <c r="AG313" s="179"/>
      <c r="AH313" s="180"/>
      <c r="AJ313" s="544">
        <f ca="1">IF(AND($D313="Serviço",AJ$12&lt;&gt;0,$H313&gt;0,OR(AUTOEVENTO&lt;&gt;"manual",$M313&lt;&gt;1)),
IF(Import.TipoArredondamento&lt;&gt;"TransfereGOV",
ROUND(OFFSET($P313,0,AJ$13),15-13*ORÇAMENTO!$AF$7)/$H313*OFFSET(ORÇAMENTO!$X$15,ROW(AJ313)-ROW(AJ$15),0),
ROUND(ROUND(OFFSET($P313,0,AJ$13),15-13*ORÇAMENTO!$AF$7)*OFFSET(ORÇAMENTO!$W$15,ROW(AJ313)-ROW(AJ$15),0),15-13*ORÇAMENTO!$AF$11)),0)</f>
        <v>0</v>
      </c>
      <c r="AK313" s="545">
        <f ca="1">IF(AND($D313="Serviço",AK$12&lt;&gt;0,$H313&gt;0,OR(AUTOEVENTO&lt;&gt;"manual",$M313&lt;&gt;1)),
IF(Import.TipoArredondamento&lt;&gt;"TransfereGOV",
ROUND(OFFSET($P313,0,AK$13),15-13*ORÇAMENTO!$AF$7)/$H313*OFFSET(ORÇAMENTO!$X$15,ROW(AK313)-ROW(AK$15),0),
ROUND(ROUND(OFFSET($P313,0,AK$13),15-13*ORÇAMENTO!$AF$7)*OFFSET(ORÇAMENTO!$W$15,ROW(AK313)-ROW(AK$15),0),15-13*ORÇAMENTO!$AF$11)),0)</f>
        <v>0</v>
      </c>
      <c r="AL313" s="545">
        <f ca="1">IF(AND($D313="Serviço",AL$12&lt;&gt;0,$H313&gt;0,OR(AUTOEVENTO&lt;&gt;"manual",$M313&lt;&gt;1)),
IF(Import.TipoArredondamento&lt;&gt;"TransfereGOV",
ROUND(OFFSET($P313,0,AL$13),15-13*ORÇAMENTO!$AF$7)/$H313*OFFSET(ORÇAMENTO!$X$15,ROW(AL313)-ROW(AL$15),0),
ROUND(ROUND(OFFSET($P313,0,AL$13),15-13*ORÇAMENTO!$AF$7)*OFFSET(ORÇAMENTO!$W$15,ROW(AL313)-ROW(AL$15),0),15-13*ORÇAMENTO!$AF$11)),0)</f>
        <v>0</v>
      </c>
      <c r="AM313" s="545">
        <f ca="1">IF(AND($D313="Serviço",AM$12&lt;&gt;0,$H313&gt;0,OR(AUTOEVENTO&lt;&gt;"manual",$M313&lt;&gt;1)),
IF(Import.TipoArredondamento&lt;&gt;"TransfereGOV",
ROUND(OFFSET($P313,0,AM$13),15-13*ORÇAMENTO!$AF$7)/$H313*OFFSET(ORÇAMENTO!$X$15,ROW(AM313)-ROW(AM$15),0),
ROUND(ROUND(OFFSET($P313,0,AM$13),15-13*ORÇAMENTO!$AF$7)*OFFSET(ORÇAMENTO!$W$15,ROW(AM313)-ROW(AM$15),0),15-13*ORÇAMENTO!$AF$11)),0)</f>
        <v>0</v>
      </c>
      <c r="AN313" s="545">
        <f ca="1">IF(AND($D313="Serviço",AN$12&lt;&gt;0,$H313&gt;0,OR(AUTOEVENTO&lt;&gt;"manual",$M313&lt;&gt;1)),
IF(Import.TipoArredondamento&lt;&gt;"TransfereGOV",
ROUND(OFFSET($P313,0,AN$13),15-13*ORÇAMENTO!$AF$7)/$H313*OFFSET(ORÇAMENTO!$X$15,ROW(AN313)-ROW(AN$15),0),
ROUND(ROUND(OFFSET($P313,0,AN$13),15-13*ORÇAMENTO!$AF$7)*OFFSET(ORÇAMENTO!$W$15,ROW(AN313)-ROW(AN$15),0),15-13*ORÇAMENTO!$AF$11)),0)</f>
        <v>0</v>
      </c>
      <c r="AO313" s="545">
        <f ca="1">IF(AND($D313="Serviço",AO$12&lt;&gt;0,$H313&gt;0,OR(AUTOEVENTO&lt;&gt;"manual",$M313&lt;&gt;1)),
IF(Import.TipoArredondamento&lt;&gt;"TransfereGOV",
ROUND(OFFSET($P313,0,AO$13),15-13*ORÇAMENTO!$AF$7)/$H313*OFFSET(ORÇAMENTO!$X$15,ROW(AO313)-ROW(AO$15),0),
ROUND(ROUND(OFFSET($P313,0,AO$13),15-13*ORÇAMENTO!$AF$7)*OFFSET(ORÇAMENTO!$W$15,ROW(AO313)-ROW(AO$15),0),15-13*ORÇAMENTO!$AF$11)),0)</f>
        <v>0</v>
      </c>
      <c r="AP313" s="545">
        <f ca="1">IF(AND($D313="Serviço",AP$12&lt;&gt;0,$H313&gt;0,OR(AUTOEVENTO&lt;&gt;"manual",$M313&lt;&gt;1)),
IF(Import.TipoArredondamento&lt;&gt;"TransfereGOV",
ROUND(OFFSET($P313,0,AP$13),15-13*ORÇAMENTO!$AF$7)/$H313*OFFSET(ORÇAMENTO!$X$15,ROW(AP313)-ROW(AP$15),0),
ROUND(ROUND(OFFSET($P313,0,AP$13),15-13*ORÇAMENTO!$AF$7)*OFFSET(ORÇAMENTO!$W$15,ROW(AP313)-ROW(AP$15),0),15-13*ORÇAMENTO!$AF$11)),0)</f>
        <v>0</v>
      </c>
      <c r="AQ313" s="545">
        <f ca="1">IF(AND($D313="Serviço",AQ$12&lt;&gt;0,$H313&gt;0,OR(AUTOEVENTO&lt;&gt;"manual",$M313&lt;&gt;1)),
IF(Import.TipoArredondamento&lt;&gt;"TransfereGOV",
ROUND(OFFSET($P313,0,AQ$13),15-13*ORÇAMENTO!$AF$7)/$H313*OFFSET(ORÇAMENTO!$X$15,ROW(AQ313)-ROW(AQ$15),0),
ROUND(ROUND(OFFSET($P313,0,AQ$13),15-13*ORÇAMENTO!$AF$7)*OFFSET(ORÇAMENTO!$W$15,ROW(AQ313)-ROW(AQ$15),0),15-13*ORÇAMENTO!$AF$11)),0)</f>
        <v>0</v>
      </c>
      <c r="AR313" s="545">
        <f ca="1">IF(AND($D313="Serviço",AR$12&lt;&gt;0,$H313&gt;0,OR(AUTOEVENTO&lt;&gt;"manual",$M313&lt;&gt;1)),
IF(Import.TipoArredondamento&lt;&gt;"TransfereGOV",
ROUND(OFFSET($P313,0,AR$13),15-13*ORÇAMENTO!$AF$7)/$H313*OFFSET(ORÇAMENTO!$X$15,ROW(AR313)-ROW(AR$15),0),
ROUND(ROUND(OFFSET($P313,0,AR$13),15-13*ORÇAMENTO!$AF$7)*OFFSET(ORÇAMENTO!$W$15,ROW(AR313)-ROW(AR$15),0),15-13*ORÇAMENTO!$AF$11)),0)</f>
        <v>0</v>
      </c>
      <c r="AS313" s="546">
        <f ca="1">IF(AND($D313="Serviço",AS$12&lt;&gt;0,$H313&gt;0,OR(AUTOEVENTO&lt;&gt;"manual",$M313&lt;&gt;1)),
IF(Import.TipoArredondamento&lt;&gt;"TransfereGOV",
ROUND(OFFSET($P313,0,AS$13),15-13*ORÇAMENTO!$AF$7)/$H313*OFFSET(ORÇAMENTO!$X$15,ROW(AS313)-ROW(AS$15),0),
ROUND(ROUND(OFFSET($P313,0,AS$13),15-13*ORÇAMENTO!$AF$7)*OFFSET(ORÇAMENTO!$W$15,ROW(AS313)-ROW(AS$15),0),15-13*ORÇAMENTO!$AF$11)),0)</f>
        <v>0</v>
      </c>
      <c r="AT313" s="545">
        <f ca="1">IF(AND($D313="Serviço",AT$12&lt;&gt;0,$H313&gt;0,OR(AUTOEVENTO&lt;&gt;"manual",$M313&lt;&gt;1)),
IF(Import.TipoArredondamento&lt;&gt;"TransfereGOV",
ROUND(OFFSET($P313,0,AT$13),15-13*ORÇAMENTO!$AF$7)/$H313*OFFSET(ORÇAMENTO!$X$15,ROW(AT313)-ROW(AT$15),0),
ROUND(ROUND(OFFSET($P313,0,AT$13),15-13*ORÇAMENTO!$AF$7)*OFFSET(ORÇAMENTO!$W$15,ROW(AT313)-ROW(AT$15),0),15-13*ORÇAMENTO!$AF$11)),0)</f>
        <v>0</v>
      </c>
      <c r="AU313" s="545">
        <f ca="1">IF(AND($D313="Serviço",AU$12&lt;&gt;0,$H313&gt;0,OR(AUTOEVENTO&lt;&gt;"manual",$M313&lt;&gt;1)),
IF(Import.TipoArredondamento&lt;&gt;"TransfereGOV",
ROUND(OFFSET($P313,0,AU$13),15-13*ORÇAMENTO!$AF$7)/$H313*OFFSET(ORÇAMENTO!$X$15,ROW(AU313)-ROW(AU$15),0),
ROUND(ROUND(OFFSET($P313,0,AU$13),15-13*ORÇAMENTO!$AF$7)*OFFSET(ORÇAMENTO!$W$15,ROW(AU313)-ROW(AU$15),0),15-13*ORÇAMENTO!$AF$11)),0)</f>
        <v>0</v>
      </c>
      <c r="AV313" s="545">
        <f ca="1">IF(AND($D313="Serviço",AV$12&lt;&gt;0,$H313&gt;0,OR(AUTOEVENTO&lt;&gt;"manual",$M313&lt;&gt;1)),
IF(Import.TipoArredondamento&lt;&gt;"TransfereGOV",
ROUND(OFFSET($P313,0,AV$13),15-13*ORÇAMENTO!$AF$7)/$H313*OFFSET(ORÇAMENTO!$X$15,ROW(AV313)-ROW(AV$15),0),
ROUND(ROUND(OFFSET($P313,0,AV$13),15-13*ORÇAMENTO!$AF$7)*OFFSET(ORÇAMENTO!$W$15,ROW(AV313)-ROW(AV$15),0),15-13*ORÇAMENTO!$AF$11)),0)</f>
        <v>0</v>
      </c>
      <c r="AW313" s="545">
        <f ca="1">IF(AND($D313="Serviço",AW$12&lt;&gt;0,$H313&gt;0,OR(AUTOEVENTO&lt;&gt;"manual",$M313&lt;&gt;1)),
IF(Import.TipoArredondamento&lt;&gt;"TransfereGOV",
ROUND(OFFSET($P313,0,AW$13),15-13*ORÇAMENTO!$AF$7)/$H313*OFFSET(ORÇAMENTO!$X$15,ROW(AW313)-ROW(AW$15),0),
ROUND(ROUND(OFFSET($P313,0,AW$13),15-13*ORÇAMENTO!$AF$7)*OFFSET(ORÇAMENTO!$W$15,ROW(AW313)-ROW(AW$15),0),15-13*ORÇAMENTO!$AF$11)),0)</f>
        <v>0</v>
      </c>
      <c r="AX313" s="545">
        <f ca="1">IF(AND($D313="Serviço",AX$12&lt;&gt;0,$H313&gt;0,OR(AUTOEVENTO&lt;&gt;"manual",$M313&lt;&gt;1)),
IF(Import.TipoArredondamento&lt;&gt;"TransfereGOV",
ROUND(OFFSET($P313,0,AX$13),15-13*ORÇAMENTO!$AF$7)/$H313*OFFSET(ORÇAMENTO!$X$15,ROW(AX313)-ROW(AX$15),0),
ROUND(ROUND(OFFSET($P313,0,AX$13),15-13*ORÇAMENTO!$AF$7)*OFFSET(ORÇAMENTO!$W$15,ROW(AX313)-ROW(AX$15),0),15-13*ORÇAMENTO!$AF$11)),0)</f>
        <v>0</v>
      </c>
      <c r="AY313" s="545">
        <f ca="1">IF(AND($D313="Serviço",AY$12&lt;&gt;0,$H313&gt;0,OR(AUTOEVENTO&lt;&gt;"manual",$M313&lt;&gt;1)),
IF(Import.TipoArredondamento&lt;&gt;"TransfereGOV",
ROUND(OFFSET($P313,0,AY$13),15-13*ORÇAMENTO!$AF$7)/$H313*OFFSET(ORÇAMENTO!$X$15,ROW(AY313)-ROW(AY$15),0),
ROUND(ROUND(OFFSET($P313,0,AY$13),15-13*ORÇAMENTO!$AF$7)*OFFSET(ORÇAMENTO!$W$15,ROW(AY313)-ROW(AY$15),0),15-13*ORÇAMENTO!$AF$11)),0)</f>
        <v>0</v>
      </c>
      <c r="AZ313" s="545">
        <f ca="1">IF(AND($D313="Serviço",AZ$12&lt;&gt;0,$H313&gt;0,OR(AUTOEVENTO&lt;&gt;"manual",$M313&lt;&gt;1)),
IF(Import.TipoArredondamento&lt;&gt;"TransfereGOV",
ROUND(OFFSET($P313,0,AZ$13),15-13*ORÇAMENTO!$AF$7)/$H313*OFFSET(ORÇAMENTO!$X$15,ROW(AZ313)-ROW(AZ$15),0),
ROUND(ROUND(OFFSET($P313,0,AZ$13),15-13*ORÇAMENTO!$AF$7)*OFFSET(ORÇAMENTO!$W$15,ROW(AZ313)-ROW(AZ$15),0),15-13*ORÇAMENTO!$AF$11)),0)</f>
        <v>0</v>
      </c>
      <c r="BA313" s="546">
        <f ca="1">IF(AND($D313="Serviço",BA$12&lt;&gt;0,$H313&gt;0,OR(AUTOEVENTO&lt;&gt;"manual",$M313&lt;&gt;1)),
IF(Import.TipoArredondamento&lt;&gt;"TransfereGOV",
ROUND(OFFSET($P313,0,BA$13),15-13*ORÇAMENTO!$AF$7)/$H313*OFFSET(ORÇAMENTO!$X$15,ROW(BA313)-ROW(BA$15),0),
ROUND(ROUND(OFFSET($P313,0,BA$13),15-13*ORÇAMENTO!$AF$7)*OFFSET(ORÇAMENTO!$W$15,ROW(BA313)-ROW(BA$15),0),15-13*ORÇAMENTO!$AF$11)),0)</f>
        <v>0</v>
      </c>
      <c r="BC313" s="181">
        <f ca="1">IF($D313&lt;&gt;"Serviço",0,IF(AND(AUTOEVENTO="Manual",$M313=1),0,IF(OFFSET(CRONOPLE!$F$14,$M313,BC$13)="",10^12,OFFSET(CRONOPLE!$F$14,$M313,BC$13))))</f>
        <v>9</v>
      </c>
      <c r="BD313" s="181">
        <f ca="1">IF($D313&lt;&gt;"Serviço",0,IF(AND(AUTOEVENTO="Manual",$M313=1),0,IF(OFFSET(CRONOPLE!$F$14,$M313,BD$13)="",10^12,OFFSET(CRONOPLE!$F$14,$M313,BD$13))))</f>
        <v>1000000000000</v>
      </c>
      <c r="BE313" s="181">
        <f ca="1">IF($D313&lt;&gt;"Serviço",0,IF(AND(AUTOEVENTO="Manual",$M313=1),0,IF(OFFSET(CRONOPLE!$F$14,$M313,BE$13)="",10^12,OFFSET(CRONOPLE!$F$14,$M313,BE$13))))</f>
        <v>1000000000000</v>
      </c>
      <c r="BF313" s="181">
        <f ca="1">IF($D313&lt;&gt;"Serviço",0,IF(AND(AUTOEVENTO="Manual",$M313=1),0,IF(OFFSET(CRONOPLE!$F$14,$M313,BF$13)="",10^12,OFFSET(CRONOPLE!$F$14,$M313,BF$13))))</f>
        <v>1000000000000</v>
      </c>
      <c r="BG313" s="181">
        <f ca="1">IF($D313&lt;&gt;"Serviço",0,IF(AND(AUTOEVENTO="Manual",$M313=1),0,IF(OFFSET(CRONOPLE!$F$14,$M313,BG$13)="",10^12,OFFSET(CRONOPLE!$F$14,$M313,BG$13))))</f>
        <v>1000000000000</v>
      </c>
      <c r="BH313" s="181">
        <f ca="1">IF($D313&lt;&gt;"Serviço",0,IF(AND(AUTOEVENTO="Manual",$M313=1),0,IF(OFFSET(CRONOPLE!$F$14,$M313,BH$13)="",10^12,OFFSET(CRONOPLE!$F$14,$M313,BH$13))))</f>
        <v>1000000000000</v>
      </c>
      <c r="BI313" s="181">
        <f ca="1">IF($D313&lt;&gt;"Serviço",0,IF(AND(AUTOEVENTO="Manual",$M313=1),0,IF(OFFSET(CRONOPLE!$F$14,$M313,BI$13)="",10^12,OFFSET(CRONOPLE!$F$14,$M313,BI$13))))</f>
        <v>1000000000000</v>
      </c>
      <c r="BJ313" s="181">
        <f ca="1">IF($D313&lt;&gt;"Serviço",0,IF(AND(AUTOEVENTO="Manual",$M313=1),0,IF(OFFSET(CRONOPLE!$F$14,$M313,BJ$13)="",10^12,OFFSET(CRONOPLE!$F$14,$M313,BJ$13))))</f>
        <v>1000000000000</v>
      </c>
      <c r="BK313" s="181">
        <f ca="1">IF($D313&lt;&gt;"Serviço",0,IF(AND(AUTOEVENTO="Manual",$M313=1),0,IF(OFFSET(CRONOPLE!$F$14,$M313,BK$13)="",10^12,OFFSET(CRONOPLE!$F$14,$M313,BK$13))))</f>
        <v>1000000000000</v>
      </c>
      <c r="BL313" s="181">
        <f ca="1">IF($D313&lt;&gt;"Serviço",0,IF(AND(AUTOEVENTO="Manual",$M313=1),0,IF(OFFSET(CRONOPLE!$F$14,$M313,BL$13)="",10^12,OFFSET(CRONOPLE!$F$14,$M313,BL$13))))</f>
        <v>1000000000000</v>
      </c>
      <c r="BM313" s="181">
        <f ca="1">IF($D313&lt;&gt;"Serviço",0,IF(AND(AUTOEVENTO="Manual",$M313=1),0,IF(OFFSET(CRONOPLE!$F$14,$M313,BM$13)="",10^12,OFFSET(CRONOPLE!$F$14,$M313,BM$13))))</f>
        <v>1000000000000</v>
      </c>
      <c r="BN313" s="181">
        <f ca="1">IF($D313&lt;&gt;"Serviço",0,IF(AND(AUTOEVENTO="Manual",$M313=1),0,IF(OFFSET(CRONOPLE!$F$14,$M313,BN$13)="",10^12,OFFSET(CRONOPLE!$F$14,$M313,BN$13))))</f>
        <v>1000000000000</v>
      </c>
      <c r="BO313" s="181">
        <f ca="1">IF($D313&lt;&gt;"Serviço",0,IF(AND(AUTOEVENTO="Manual",$M313=1),0,IF(OFFSET(CRONOPLE!$F$14,$M313,BO$13)="",10^12,OFFSET(CRONOPLE!$F$14,$M313,BO$13))))</f>
        <v>1000000000000</v>
      </c>
      <c r="BP313" s="181">
        <f ca="1">IF($D313&lt;&gt;"Serviço",0,IF(AND(AUTOEVENTO="Manual",$M313=1),0,IF(OFFSET(CRONOPLE!$F$14,$M313,BP$13)="",10^12,OFFSET(CRONOPLE!$F$14,$M313,BP$13))))</f>
        <v>1000000000000</v>
      </c>
      <c r="BQ313" s="181">
        <f ca="1">IF($D313&lt;&gt;"Serviço",0,IF(AND(AUTOEVENTO="Manual",$M313=1),0,IF(OFFSET(CRONOPLE!$F$14,$M313,BQ$13)="",10^12,OFFSET(CRONOPLE!$F$14,$M313,BQ$13))))</f>
        <v>1000000000000</v>
      </c>
      <c r="BR313" s="181">
        <f ca="1">IF($D313&lt;&gt;"Serviço",0,IF(AND(AUTOEVENTO="Manual",$M313=1),0,IF(OFFSET(CRONOPLE!$F$14,$M313,BR$13)="",10^12,OFFSET(CRONOPLE!$F$14,$M313,BR$13))))</f>
        <v>1000000000000</v>
      </c>
      <c r="BS313" s="181">
        <f ca="1">IF($D313&lt;&gt;"Serviço",0,IF(AND(AUTOEVENTO="Manual",$M313=1),0,IF(OFFSET(CRONOPLE!$F$14,$M313,BS$13)="",10^12,OFFSET(CRONOPLE!$F$14,$M313,BS$13))))</f>
        <v>1000000000000</v>
      </c>
      <c r="BT313" s="181">
        <f ca="1">IF($D313&lt;&gt;"Serviço",0,IF(AND(AUTOEVENTO="Manual",$M313=1),0,IF(OFFSET(CRONOPLE!$F$14,$M313,BT$13)="",10^12,OFFSET(CRONOPLE!$F$14,$M313,BT$13))))</f>
        <v>1000000000000</v>
      </c>
      <c r="BV313" s="182">
        <f ca="1">IF($D313&lt;&gt;"Serviço",0,IF(OR(AND(AUTOEVENTO="Manual",$M313=1),$M313&gt;(ROW(PLE.lastrow)-ROW(PLE.firstrow))),0,IF(OFFSET(PLE!$G$14,$M313,BV$13)="",10^12,OFFSET(PLE!$G$14,$M313,BV$13))))</f>
        <v>1000000000000</v>
      </c>
      <c r="BW313" s="182">
        <f ca="1">IF($D313&lt;&gt;"Serviço",0,IF(OR(AND(AUTOEVENTO="Manual",$M313=1),$M313&gt;(ROW(PLE.lastrow)-ROW(PLE.firstrow))),0,IF(OFFSET(PLE!$G$14,$M313,BW$13)="",10^12,OFFSET(PLE!$G$14,$M313,BW$13))))</f>
        <v>1000000000000</v>
      </c>
      <c r="BX313" s="182">
        <f ca="1">IF($D313&lt;&gt;"Serviço",0,IF(OR(AND(AUTOEVENTO="Manual",$M313=1),$M313&gt;(ROW(PLE.lastrow)-ROW(PLE.firstrow))),0,IF(OFFSET(PLE!$G$14,$M313,BX$13)="",10^12,OFFSET(PLE!$G$14,$M313,BX$13))))</f>
        <v>1000000000000</v>
      </c>
      <c r="BY313" s="182">
        <f ca="1">IF($D313&lt;&gt;"Serviço",0,IF(OR(AND(AUTOEVENTO="Manual",$M313=1),$M313&gt;(ROW(PLE.lastrow)-ROW(PLE.firstrow))),0,IF(OFFSET(PLE!$G$14,$M313,BY$13)="",10^12,OFFSET(PLE!$G$14,$M313,BY$13))))</f>
        <v>1000000000000</v>
      </c>
      <c r="BZ313" s="182">
        <f ca="1">IF($D313&lt;&gt;"Serviço",0,IF(OR(AND(AUTOEVENTO="Manual",$M313=1),$M313&gt;(ROW(PLE.lastrow)-ROW(PLE.firstrow))),0,IF(OFFSET(PLE!$G$14,$M313,BZ$13)="",10^12,OFFSET(PLE!$G$14,$M313,BZ$13))))</f>
        <v>1000000000000</v>
      </c>
      <c r="CA313" s="182">
        <f ca="1">IF($D313&lt;&gt;"Serviço",0,IF(OR(AND(AUTOEVENTO="Manual",$M313=1),$M313&gt;(ROW(PLE.lastrow)-ROW(PLE.firstrow))),0,IF(OFFSET(PLE!$G$14,$M313,CA$13)="",10^12,OFFSET(PLE!$G$14,$M313,CA$13))))</f>
        <v>1000000000000</v>
      </c>
      <c r="CB313" s="182">
        <f ca="1">IF($D313&lt;&gt;"Serviço",0,IF(OR(AND(AUTOEVENTO="Manual",$M313=1),$M313&gt;(ROW(PLE.lastrow)-ROW(PLE.firstrow))),0,IF(OFFSET(PLE!$G$14,$M313,CB$13)="",10^12,OFFSET(PLE!$G$14,$M313,CB$13))))</f>
        <v>1000000000000</v>
      </c>
      <c r="CC313" s="182">
        <f ca="1">IF($D313&lt;&gt;"Serviço",0,IF(OR(AND(AUTOEVENTO="Manual",$M313=1),$M313&gt;(ROW(PLE.lastrow)-ROW(PLE.firstrow))),0,IF(OFFSET(PLE!$G$14,$M313,CC$13)="",10^12,OFFSET(PLE!$G$14,$M313,CC$13))))</f>
        <v>1000000000000</v>
      </c>
      <c r="CD313" s="182">
        <f ca="1">IF($D313&lt;&gt;"Serviço",0,IF(OR(AND(AUTOEVENTO="Manual",$M313=1),$M313&gt;(ROW(PLE.lastrow)-ROW(PLE.firstrow))),0,IF(OFFSET(PLE!$G$14,$M313,CD$13)="",10^12,OFFSET(PLE!$G$14,$M313,CD$13))))</f>
        <v>1000000000000</v>
      </c>
      <c r="CE313" s="182">
        <f ca="1">IF($D313&lt;&gt;"Serviço",0,IF(OR(AND(AUTOEVENTO="Manual",$M313=1),$M313&gt;(ROW(PLE.lastrow)-ROW(PLE.firstrow))),0,IF(OFFSET(PLE!$G$14,$M313,CE$13)="",10^12,OFFSET(PLE!$G$14,$M313,CE$13))))</f>
        <v>1000000000000</v>
      </c>
      <c r="CF313" s="182">
        <f ca="1">IF($D313&lt;&gt;"Serviço",0,IF(OR(AND(AUTOEVENTO="Manual",$M313=1),$M313&gt;(ROW(PLE.lastrow)-ROW(PLE.firstrow))),0,IF(OFFSET(PLE!$G$14,$M313,CF$13)="",10^12,OFFSET(PLE!$G$14,$M313,CF$13))))</f>
        <v>1000000000000</v>
      </c>
      <c r="CG313" s="182">
        <f ca="1">IF($D313&lt;&gt;"Serviço",0,IF(OR(AND(AUTOEVENTO="Manual",$M313=1),$M313&gt;(ROW(PLE.lastrow)-ROW(PLE.firstrow))),0,IF(OFFSET(PLE!$G$14,$M313,CG$13)="",10^12,OFFSET(PLE!$G$14,$M313,CG$13))))</f>
        <v>1000000000000</v>
      </c>
      <c r="CH313" s="182">
        <f ca="1">IF($D313&lt;&gt;"Serviço",0,IF(OR(AND(AUTOEVENTO="Manual",$M313=1),$M313&gt;(ROW(PLE.lastrow)-ROW(PLE.firstrow))),0,IF(OFFSET(PLE!$G$14,$M313,CH$13)="",10^12,OFFSET(PLE!$G$14,$M313,CH$13))))</f>
        <v>1000000000000</v>
      </c>
      <c r="CI313" s="182">
        <f ca="1">IF($D313&lt;&gt;"Serviço",0,IF(OR(AND(AUTOEVENTO="Manual",$M313=1),$M313&gt;(ROW(PLE.lastrow)-ROW(PLE.firstrow))),0,IF(OFFSET(PLE!$G$14,$M313,CI$13)="",10^12,OFFSET(PLE!$G$14,$M313,CI$13))))</f>
        <v>1000000000000</v>
      </c>
      <c r="CJ313" s="182">
        <f ca="1">IF($D313&lt;&gt;"Serviço",0,IF(OR(AND(AUTOEVENTO="Manual",$M313=1),$M313&gt;(ROW(PLE.lastrow)-ROW(PLE.firstrow))),0,IF(OFFSET(PLE!$G$14,$M313,CJ$13)="",10^12,OFFSET(PLE!$G$14,$M313,CJ$13))))</f>
        <v>1000000000000</v>
      </c>
      <c r="CK313" s="182">
        <f ca="1">IF($D313&lt;&gt;"Serviço",0,IF(OR(AND(AUTOEVENTO="Manual",$M313=1),$M313&gt;(ROW(PLE.lastrow)-ROW(PLE.firstrow))),0,IF(OFFSET(PLE!$G$14,$M313,CK$13)="",10^12,OFFSET(PLE!$G$14,$M313,CK$13))))</f>
        <v>1000000000000</v>
      </c>
      <c r="CL313" s="182">
        <f ca="1">IF($D313&lt;&gt;"Serviço",0,IF(OR(AND(AUTOEVENTO="Manual",$M313=1),$M313&gt;(ROW(PLE.lastrow)-ROW(PLE.firstrow))),0,IF(OFFSET(PLE!$G$14,$M313,CL$13)="",10^12,OFFSET(PLE!$G$14,$M313,CL$13))))</f>
        <v>1000000000000</v>
      </c>
      <c r="CM313" s="182">
        <f ca="1">IF($D313&lt;&gt;"Serviço",0,IF(OR(AND(AUTOEVENTO="Manual",$M313=1),$M313&gt;(ROW(PLE.lastrow)-ROW(PLE.firstrow))),0,IF(OFFSET(PLE!$G$14,$M313,CM$13)="",10^12,OFFSET(PLE!$G$14,$M313,CM$13))))</f>
        <v>1000000000000</v>
      </c>
    </row>
    <row r="314" spans="1:91" ht="38.25" x14ac:dyDescent="0.2">
      <c r="A314" s="7" t="str">
        <f t="shared" ca="1" si="12"/>
        <v>285</v>
      </c>
      <c r="B314" s="7" t="str">
        <f ca="1">OFFSET(ORÇAMENTO!C$15,ROW(B314)-ROW(B$15),0)</f>
        <v>S</v>
      </c>
      <c r="C314" s="7" t="str">
        <f ca="1">OFFSET(ORÇAMENTO!L$15,ROW(C314)-ROW(C$15),0)</f>
        <v/>
      </c>
      <c r="D314" s="118" t="str">
        <f ca="1">OFFSET(ORÇAMENTO!N$15,ROW(D314)-ROW(D$15),0)</f>
        <v>Serviço</v>
      </c>
      <c r="E314" s="119" t="str">
        <f ca="1">OFFSET(ORÇAMENTO!O$15,ROW(E314)-ROW(E$15),0)</f>
        <v>-</v>
      </c>
      <c r="F314" s="172" t="str">
        <f ca="1">OFFSET(ORÇAMENTO!R$15,ROW(F314)-ROW(F$15),0)</f>
        <v>(abra o arquivo 'Referência 06-2024.xlsm)</v>
      </c>
      <c r="G314" s="173" t="str">
        <f ca="1">IF($D314&lt;&gt;"Serviço","",OFFSET(ORÇAMENTO!S$15,ROW(G314)-ROW(G$15),0))</f>
        <v>-</v>
      </c>
      <c r="H314" s="124">
        <f ca="1">IF($D314&lt;&gt;"Serviço",0,IF(ACOMPANHAMENTO="BM",ROUND(OFFSET(ORÇAMENTO!AJ$15,ROW(H314)-ROW(H$15),0),15-13*ORÇAMENTO!$AF$7),SUMPRODUCT(($Q$12:$AI$12&lt;&gt;"")*ROUND($Q314:$AI314,15-13*ORÇAMENTO!$AF$7))))</f>
        <v>2</v>
      </c>
      <c r="I314" s="561" t="s">
        <v>1107</v>
      </c>
      <c r="K314" s="174"/>
      <c r="L314" s="175" t="s">
        <v>255</v>
      </c>
      <c r="M314" s="176">
        <f ca="1">IF($D314&lt;&gt;"Serviço","",IF(AUTOEVENTO="manual",$A314,IF(ISERROR(MATCH($A314,$A$15:OFFSET($A314,-1,0),0)),MAX($M$15:OFFSET(M314,-1,0))+1,INDEX($M$15:OFFSET(M314,-1,0),MATCH($A314,$A$15:OFFSET($A314,-1,0),0)))))</f>
        <v>39</v>
      </c>
      <c r="N314" s="177" t="str">
        <f ca="1">IF($D314&lt;&gt;"Serviço","",IF(AUTOEVENTO="Manual",IF($A314=0,"&lt;-- defina o número do agrupador",OFFSET(EVENTOS!$D$14,$A314,0)),OFFSET($F$15,$A314,0)))</f>
        <v>DRENAGEM DE ÁGUAS PLUVIAIS - TUBULAÇÕES E CONEXÕES DE PVC</v>
      </c>
      <c r="O314" s="178"/>
      <c r="Q314" s="178">
        <v>2</v>
      </c>
      <c r="R314" s="179"/>
      <c r="S314" s="179"/>
      <c r="T314" s="179"/>
      <c r="U314" s="179"/>
      <c r="V314" s="179"/>
      <c r="W314" s="179"/>
      <c r="X314" s="179"/>
      <c r="Y314" s="179"/>
      <c r="Z314" s="180"/>
      <c r="AA314" s="179"/>
      <c r="AB314" s="179"/>
      <c r="AC314" s="179"/>
      <c r="AD314" s="179"/>
      <c r="AE314" s="179"/>
      <c r="AF314" s="179"/>
      <c r="AG314" s="179"/>
      <c r="AH314" s="180"/>
      <c r="AJ314" s="544">
        <f ca="1">IF(AND($D314="Serviço",AJ$12&lt;&gt;0,$H314&gt;0,OR(AUTOEVENTO&lt;&gt;"manual",$M314&lt;&gt;1)),
IF(Import.TipoArredondamento&lt;&gt;"TransfereGOV",
ROUND(OFFSET($P314,0,AJ$13),15-13*ORÇAMENTO!$AF$7)/$H314*OFFSET(ORÇAMENTO!$X$15,ROW(AJ314)-ROW(AJ$15),0),
ROUND(ROUND(OFFSET($P314,0,AJ$13),15-13*ORÇAMENTO!$AF$7)*OFFSET(ORÇAMENTO!$W$15,ROW(AJ314)-ROW(AJ$15),0),15-13*ORÇAMENTO!$AF$11)),0)</f>
        <v>0</v>
      </c>
      <c r="AK314" s="545">
        <f ca="1">IF(AND($D314="Serviço",AK$12&lt;&gt;0,$H314&gt;0,OR(AUTOEVENTO&lt;&gt;"manual",$M314&lt;&gt;1)),
IF(Import.TipoArredondamento&lt;&gt;"TransfereGOV",
ROUND(OFFSET($P314,0,AK$13),15-13*ORÇAMENTO!$AF$7)/$H314*OFFSET(ORÇAMENTO!$X$15,ROW(AK314)-ROW(AK$15),0),
ROUND(ROUND(OFFSET($P314,0,AK$13),15-13*ORÇAMENTO!$AF$7)*OFFSET(ORÇAMENTO!$W$15,ROW(AK314)-ROW(AK$15),0),15-13*ORÇAMENTO!$AF$11)),0)</f>
        <v>0</v>
      </c>
      <c r="AL314" s="545">
        <f ca="1">IF(AND($D314="Serviço",AL$12&lt;&gt;0,$H314&gt;0,OR(AUTOEVENTO&lt;&gt;"manual",$M314&lt;&gt;1)),
IF(Import.TipoArredondamento&lt;&gt;"TransfereGOV",
ROUND(OFFSET($P314,0,AL$13),15-13*ORÇAMENTO!$AF$7)/$H314*OFFSET(ORÇAMENTO!$X$15,ROW(AL314)-ROW(AL$15),0),
ROUND(ROUND(OFFSET($P314,0,AL$13),15-13*ORÇAMENTO!$AF$7)*OFFSET(ORÇAMENTO!$W$15,ROW(AL314)-ROW(AL$15),0),15-13*ORÇAMENTO!$AF$11)),0)</f>
        <v>0</v>
      </c>
      <c r="AM314" s="545">
        <f ca="1">IF(AND($D314="Serviço",AM$12&lt;&gt;0,$H314&gt;0,OR(AUTOEVENTO&lt;&gt;"manual",$M314&lt;&gt;1)),
IF(Import.TipoArredondamento&lt;&gt;"TransfereGOV",
ROUND(OFFSET($P314,0,AM$13),15-13*ORÇAMENTO!$AF$7)/$H314*OFFSET(ORÇAMENTO!$X$15,ROW(AM314)-ROW(AM$15),0),
ROUND(ROUND(OFFSET($P314,0,AM$13),15-13*ORÇAMENTO!$AF$7)*OFFSET(ORÇAMENTO!$W$15,ROW(AM314)-ROW(AM$15),0),15-13*ORÇAMENTO!$AF$11)),0)</f>
        <v>0</v>
      </c>
      <c r="AN314" s="545">
        <f ca="1">IF(AND($D314="Serviço",AN$12&lt;&gt;0,$H314&gt;0,OR(AUTOEVENTO&lt;&gt;"manual",$M314&lt;&gt;1)),
IF(Import.TipoArredondamento&lt;&gt;"TransfereGOV",
ROUND(OFFSET($P314,0,AN$13),15-13*ORÇAMENTO!$AF$7)/$H314*OFFSET(ORÇAMENTO!$X$15,ROW(AN314)-ROW(AN$15),0),
ROUND(ROUND(OFFSET($P314,0,AN$13),15-13*ORÇAMENTO!$AF$7)*OFFSET(ORÇAMENTO!$W$15,ROW(AN314)-ROW(AN$15),0),15-13*ORÇAMENTO!$AF$11)),0)</f>
        <v>0</v>
      </c>
      <c r="AO314" s="545">
        <f ca="1">IF(AND($D314="Serviço",AO$12&lt;&gt;0,$H314&gt;0,OR(AUTOEVENTO&lt;&gt;"manual",$M314&lt;&gt;1)),
IF(Import.TipoArredondamento&lt;&gt;"TransfereGOV",
ROUND(OFFSET($P314,0,AO$13),15-13*ORÇAMENTO!$AF$7)/$H314*OFFSET(ORÇAMENTO!$X$15,ROW(AO314)-ROW(AO$15),0),
ROUND(ROUND(OFFSET($P314,0,AO$13),15-13*ORÇAMENTO!$AF$7)*OFFSET(ORÇAMENTO!$W$15,ROW(AO314)-ROW(AO$15),0),15-13*ORÇAMENTO!$AF$11)),0)</f>
        <v>0</v>
      </c>
      <c r="AP314" s="545">
        <f ca="1">IF(AND($D314="Serviço",AP$12&lt;&gt;0,$H314&gt;0,OR(AUTOEVENTO&lt;&gt;"manual",$M314&lt;&gt;1)),
IF(Import.TipoArredondamento&lt;&gt;"TransfereGOV",
ROUND(OFFSET($P314,0,AP$13),15-13*ORÇAMENTO!$AF$7)/$H314*OFFSET(ORÇAMENTO!$X$15,ROW(AP314)-ROW(AP$15),0),
ROUND(ROUND(OFFSET($P314,0,AP$13),15-13*ORÇAMENTO!$AF$7)*OFFSET(ORÇAMENTO!$W$15,ROW(AP314)-ROW(AP$15),0),15-13*ORÇAMENTO!$AF$11)),0)</f>
        <v>0</v>
      </c>
      <c r="AQ314" s="545">
        <f ca="1">IF(AND($D314="Serviço",AQ$12&lt;&gt;0,$H314&gt;0,OR(AUTOEVENTO&lt;&gt;"manual",$M314&lt;&gt;1)),
IF(Import.TipoArredondamento&lt;&gt;"TransfereGOV",
ROUND(OFFSET($P314,0,AQ$13),15-13*ORÇAMENTO!$AF$7)/$H314*OFFSET(ORÇAMENTO!$X$15,ROW(AQ314)-ROW(AQ$15),0),
ROUND(ROUND(OFFSET($P314,0,AQ$13),15-13*ORÇAMENTO!$AF$7)*OFFSET(ORÇAMENTO!$W$15,ROW(AQ314)-ROW(AQ$15),0),15-13*ORÇAMENTO!$AF$11)),0)</f>
        <v>0</v>
      </c>
      <c r="AR314" s="545">
        <f ca="1">IF(AND($D314="Serviço",AR$12&lt;&gt;0,$H314&gt;0,OR(AUTOEVENTO&lt;&gt;"manual",$M314&lt;&gt;1)),
IF(Import.TipoArredondamento&lt;&gt;"TransfereGOV",
ROUND(OFFSET($P314,0,AR$13),15-13*ORÇAMENTO!$AF$7)/$H314*OFFSET(ORÇAMENTO!$X$15,ROW(AR314)-ROW(AR$15),0),
ROUND(ROUND(OFFSET($P314,0,AR$13),15-13*ORÇAMENTO!$AF$7)*OFFSET(ORÇAMENTO!$W$15,ROW(AR314)-ROW(AR$15),0),15-13*ORÇAMENTO!$AF$11)),0)</f>
        <v>0</v>
      </c>
      <c r="AS314" s="546">
        <f ca="1">IF(AND($D314="Serviço",AS$12&lt;&gt;0,$H314&gt;0,OR(AUTOEVENTO&lt;&gt;"manual",$M314&lt;&gt;1)),
IF(Import.TipoArredondamento&lt;&gt;"TransfereGOV",
ROUND(OFFSET($P314,0,AS$13),15-13*ORÇAMENTO!$AF$7)/$H314*OFFSET(ORÇAMENTO!$X$15,ROW(AS314)-ROW(AS$15),0),
ROUND(ROUND(OFFSET($P314,0,AS$13),15-13*ORÇAMENTO!$AF$7)*OFFSET(ORÇAMENTO!$W$15,ROW(AS314)-ROW(AS$15),0),15-13*ORÇAMENTO!$AF$11)),0)</f>
        <v>0</v>
      </c>
      <c r="AT314" s="545">
        <f ca="1">IF(AND($D314="Serviço",AT$12&lt;&gt;0,$H314&gt;0,OR(AUTOEVENTO&lt;&gt;"manual",$M314&lt;&gt;1)),
IF(Import.TipoArredondamento&lt;&gt;"TransfereGOV",
ROUND(OFFSET($P314,0,AT$13),15-13*ORÇAMENTO!$AF$7)/$H314*OFFSET(ORÇAMENTO!$X$15,ROW(AT314)-ROW(AT$15),0),
ROUND(ROUND(OFFSET($P314,0,AT$13),15-13*ORÇAMENTO!$AF$7)*OFFSET(ORÇAMENTO!$W$15,ROW(AT314)-ROW(AT$15),0),15-13*ORÇAMENTO!$AF$11)),0)</f>
        <v>0</v>
      </c>
      <c r="AU314" s="545">
        <f ca="1">IF(AND($D314="Serviço",AU$12&lt;&gt;0,$H314&gt;0,OR(AUTOEVENTO&lt;&gt;"manual",$M314&lt;&gt;1)),
IF(Import.TipoArredondamento&lt;&gt;"TransfereGOV",
ROUND(OFFSET($P314,0,AU$13),15-13*ORÇAMENTO!$AF$7)/$H314*OFFSET(ORÇAMENTO!$X$15,ROW(AU314)-ROW(AU$15),0),
ROUND(ROUND(OFFSET($P314,0,AU$13),15-13*ORÇAMENTO!$AF$7)*OFFSET(ORÇAMENTO!$W$15,ROW(AU314)-ROW(AU$15),0),15-13*ORÇAMENTO!$AF$11)),0)</f>
        <v>0</v>
      </c>
      <c r="AV314" s="545">
        <f ca="1">IF(AND($D314="Serviço",AV$12&lt;&gt;0,$H314&gt;0,OR(AUTOEVENTO&lt;&gt;"manual",$M314&lt;&gt;1)),
IF(Import.TipoArredondamento&lt;&gt;"TransfereGOV",
ROUND(OFFSET($P314,0,AV$13),15-13*ORÇAMENTO!$AF$7)/$H314*OFFSET(ORÇAMENTO!$X$15,ROW(AV314)-ROW(AV$15),0),
ROUND(ROUND(OFFSET($P314,0,AV$13),15-13*ORÇAMENTO!$AF$7)*OFFSET(ORÇAMENTO!$W$15,ROW(AV314)-ROW(AV$15),0),15-13*ORÇAMENTO!$AF$11)),0)</f>
        <v>0</v>
      </c>
      <c r="AW314" s="545">
        <f ca="1">IF(AND($D314="Serviço",AW$12&lt;&gt;0,$H314&gt;0,OR(AUTOEVENTO&lt;&gt;"manual",$M314&lt;&gt;1)),
IF(Import.TipoArredondamento&lt;&gt;"TransfereGOV",
ROUND(OFFSET($P314,0,AW$13),15-13*ORÇAMENTO!$AF$7)/$H314*OFFSET(ORÇAMENTO!$X$15,ROW(AW314)-ROW(AW$15),0),
ROUND(ROUND(OFFSET($P314,0,AW$13),15-13*ORÇAMENTO!$AF$7)*OFFSET(ORÇAMENTO!$W$15,ROW(AW314)-ROW(AW$15),0),15-13*ORÇAMENTO!$AF$11)),0)</f>
        <v>0</v>
      </c>
      <c r="AX314" s="545">
        <f ca="1">IF(AND($D314="Serviço",AX$12&lt;&gt;0,$H314&gt;0,OR(AUTOEVENTO&lt;&gt;"manual",$M314&lt;&gt;1)),
IF(Import.TipoArredondamento&lt;&gt;"TransfereGOV",
ROUND(OFFSET($P314,0,AX$13),15-13*ORÇAMENTO!$AF$7)/$H314*OFFSET(ORÇAMENTO!$X$15,ROW(AX314)-ROW(AX$15),0),
ROUND(ROUND(OFFSET($P314,0,AX$13),15-13*ORÇAMENTO!$AF$7)*OFFSET(ORÇAMENTO!$W$15,ROW(AX314)-ROW(AX$15),0),15-13*ORÇAMENTO!$AF$11)),0)</f>
        <v>0</v>
      </c>
      <c r="AY314" s="545">
        <f ca="1">IF(AND($D314="Serviço",AY$12&lt;&gt;0,$H314&gt;0,OR(AUTOEVENTO&lt;&gt;"manual",$M314&lt;&gt;1)),
IF(Import.TipoArredondamento&lt;&gt;"TransfereGOV",
ROUND(OFFSET($P314,0,AY$13),15-13*ORÇAMENTO!$AF$7)/$H314*OFFSET(ORÇAMENTO!$X$15,ROW(AY314)-ROW(AY$15),0),
ROUND(ROUND(OFFSET($P314,0,AY$13),15-13*ORÇAMENTO!$AF$7)*OFFSET(ORÇAMENTO!$W$15,ROW(AY314)-ROW(AY$15),0),15-13*ORÇAMENTO!$AF$11)),0)</f>
        <v>0</v>
      </c>
      <c r="AZ314" s="545">
        <f ca="1">IF(AND($D314="Serviço",AZ$12&lt;&gt;0,$H314&gt;0,OR(AUTOEVENTO&lt;&gt;"manual",$M314&lt;&gt;1)),
IF(Import.TipoArredondamento&lt;&gt;"TransfereGOV",
ROUND(OFFSET($P314,0,AZ$13),15-13*ORÇAMENTO!$AF$7)/$H314*OFFSET(ORÇAMENTO!$X$15,ROW(AZ314)-ROW(AZ$15),0),
ROUND(ROUND(OFFSET($P314,0,AZ$13),15-13*ORÇAMENTO!$AF$7)*OFFSET(ORÇAMENTO!$W$15,ROW(AZ314)-ROW(AZ$15),0),15-13*ORÇAMENTO!$AF$11)),0)</f>
        <v>0</v>
      </c>
      <c r="BA314" s="546">
        <f ca="1">IF(AND($D314="Serviço",BA$12&lt;&gt;0,$H314&gt;0,OR(AUTOEVENTO&lt;&gt;"manual",$M314&lt;&gt;1)),
IF(Import.TipoArredondamento&lt;&gt;"TransfereGOV",
ROUND(OFFSET($P314,0,BA$13),15-13*ORÇAMENTO!$AF$7)/$H314*OFFSET(ORÇAMENTO!$X$15,ROW(BA314)-ROW(BA$15),0),
ROUND(ROUND(OFFSET($P314,0,BA$13),15-13*ORÇAMENTO!$AF$7)*OFFSET(ORÇAMENTO!$W$15,ROW(BA314)-ROW(BA$15),0),15-13*ORÇAMENTO!$AF$11)),0)</f>
        <v>0</v>
      </c>
      <c r="BC314" s="181">
        <f ca="1">IF($D314&lt;&gt;"Serviço",0,IF(AND(AUTOEVENTO="Manual",$M314=1),0,IF(OFFSET(CRONOPLE!$F$14,$M314,BC$13)="",10^12,OFFSET(CRONOPLE!$F$14,$M314,BC$13))))</f>
        <v>9</v>
      </c>
      <c r="BD314" s="181">
        <f ca="1">IF($D314&lt;&gt;"Serviço",0,IF(AND(AUTOEVENTO="Manual",$M314=1),0,IF(OFFSET(CRONOPLE!$F$14,$M314,BD$13)="",10^12,OFFSET(CRONOPLE!$F$14,$M314,BD$13))))</f>
        <v>1000000000000</v>
      </c>
      <c r="BE314" s="181">
        <f ca="1">IF($D314&lt;&gt;"Serviço",0,IF(AND(AUTOEVENTO="Manual",$M314=1),0,IF(OFFSET(CRONOPLE!$F$14,$M314,BE$13)="",10^12,OFFSET(CRONOPLE!$F$14,$M314,BE$13))))</f>
        <v>1000000000000</v>
      </c>
      <c r="BF314" s="181">
        <f ca="1">IF($D314&lt;&gt;"Serviço",0,IF(AND(AUTOEVENTO="Manual",$M314=1),0,IF(OFFSET(CRONOPLE!$F$14,$M314,BF$13)="",10^12,OFFSET(CRONOPLE!$F$14,$M314,BF$13))))</f>
        <v>1000000000000</v>
      </c>
      <c r="BG314" s="181">
        <f ca="1">IF($D314&lt;&gt;"Serviço",0,IF(AND(AUTOEVENTO="Manual",$M314=1),0,IF(OFFSET(CRONOPLE!$F$14,$M314,BG$13)="",10^12,OFFSET(CRONOPLE!$F$14,$M314,BG$13))))</f>
        <v>1000000000000</v>
      </c>
      <c r="BH314" s="181">
        <f ca="1">IF($D314&lt;&gt;"Serviço",0,IF(AND(AUTOEVENTO="Manual",$M314=1),0,IF(OFFSET(CRONOPLE!$F$14,$M314,BH$13)="",10^12,OFFSET(CRONOPLE!$F$14,$M314,BH$13))))</f>
        <v>1000000000000</v>
      </c>
      <c r="BI314" s="181">
        <f ca="1">IF($D314&lt;&gt;"Serviço",0,IF(AND(AUTOEVENTO="Manual",$M314=1),0,IF(OFFSET(CRONOPLE!$F$14,$M314,BI$13)="",10^12,OFFSET(CRONOPLE!$F$14,$M314,BI$13))))</f>
        <v>1000000000000</v>
      </c>
      <c r="BJ314" s="181">
        <f ca="1">IF($D314&lt;&gt;"Serviço",0,IF(AND(AUTOEVENTO="Manual",$M314=1),0,IF(OFFSET(CRONOPLE!$F$14,$M314,BJ$13)="",10^12,OFFSET(CRONOPLE!$F$14,$M314,BJ$13))))</f>
        <v>1000000000000</v>
      </c>
      <c r="BK314" s="181">
        <f ca="1">IF($D314&lt;&gt;"Serviço",0,IF(AND(AUTOEVENTO="Manual",$M314=1),0,IF(OFFSET(CRONOPLE!$F$14,$M314,BK$13)="",10^12,OFFSET(CRONOPLE!$F$14,$M314,BK$13))))</f>
        <v>1000000000000</v>
      </c>
      <c r="BL314" s="181">
        <f ca="1">IF($D314&lt;&gt;"Serviço",0,IF(AND(AUTOEVENTO="Manual",$M314=1),0,IF(OFFSET(CRONOPLE!$F$14,$M314,BL$13)="",10^12,OFFSET(CRONOPLE!$F$14,$M314,BL$13))))</f>
        <v>1000000000000</v>
      </c>
      <c r="BM314" s="181">
        <f ca="1">IF($D314&lt;&gt;"Serviço",0,IF(AND(AUTOEVENTO="Manual",$M314=1),0,IF(OFFSET(CRONOPLE!$F$14,$M314,BM$13)="",10^12,OFFSET(CRONOPLE!$F$14,$M314,BM$13))))</f>
        <v>1000000000000</v>
      </c>
      <c r="BN314" s="181">
        <f ca="1">IF($D314&lt;&gt;"Serviço",0,IF(AND(AUTOEVENTO="Manual",$M314=1),0,IF(OFFSET(CRONOPLE!$F$14,$M314,BN$13)="",10^12,OFFSET(CRONOPLE!$F$14,$M314,BN$13))))</f>
        <v>1000000000000</v>
      </c>
      <c r="BO314" s="181">
        <f ca="1">IF($D314&lt;&gt;"Serviço",0,IF(AND(AUTOEVENTO="Manual",$M314=1),0,IF(OFFSET(CRONOPLE!$F$14,$M314,BO$13)="",10^12,OFFSET(CRONOPLE!$F$14,$M314,BO$13))))</f>
        <v>1000000000000</v>
      </c>
      <c r="BP314" s="181">
        <f ca="1">IF($D314&lt;&gt;"Serviço",0,IF(AND(AUTOEVENTO="Manual",$M314=1),0,IF(OFFSET(CRONOPLE!$F$14,$M314,BP$13)="",10^12,OFFSET(CRONOPLE!$F$14,$M314,BP$13))))</f>
        <v>1000000000000</v>
      </c>
      <c r="BQ314" s="181">
        <f ca="1">IF($D314&lt;&gt;"Serviço",0,IF(AND(AUTOEVENTO="Manual",$M314=1),0,IF(OFFSET(CRONOPLE!$F$14,$M314,BQ$13)="",10^12,OFFSET(CRONOPLE!$F$14,$M314,BQ$13))))</f>
        <v>1000000000000</v>
      </c>
      <c r="BR314" s="181">
        <f ca="1">IF($D314&lt;&gt;"Serviço",0,IF(AND(AUTOEVENTO="Manual",$M314=1),0,IF(OFFSET(CRONOPLE!$F$14,$M314,BR$13)="",10^12,OFFSET(CRONOPLE!$F$14,$M314,BR$13))))</f>
        <v>1000000000000</v>
      </c>
      <c r="BS314" s="181">
        <f ca="1">IF($D314&lt;&gt;"Serviço",0,IF(AND(AUTOEVENTO="Manual",$M314=1),0,IF(OFFSET(CRONOPLE!$F$14,$M314,BS$13)="",10^12,OFFSET(CRONOPLE!$F$14,$M314,BS$13))))</f>
        <v>1000000000000</v>
      </c>
      <c r="BT314" s="181">
        <f ca="1">IF($D314&lt;&gt;"Serviço",0,IF(AND(AUTOEVENTO="Manual",$M314=1),0,IF(OFFSET(CRONOPLE!$F$14,$M314,BT$13)="",10^12,OFFSET(CRONOPLE!$F$14,$M314,BT$13))))</f>
        <v>1000000000000</v>
      </c>
      <c r="BV314" s="182">
        <f ca="1">IF($D314&lt;&gt;"Serviço",0,IF(OR(AND(AUTOEVENTO="Manual",$M314=1),$M314&gt;(ROW(PLE.lastrow)-ROW(PLE.firstrow))),0,IF(OFFSET(PLE!$G$14,$M314,BV$13)="",10^12,OFFSET(PLE!$G$14,$M314,BV$13))))</f>
        <v>1000000000000</v>
      </c>
      <c r="BW314" s="182">
        <f ca="1">IF($D314&lt;&gt;"Serviço",0,IF(OR(AND(AUTOEVENTO="Manual",$M314=1),$M314&gt;(ROW(PLE.lastrow)-ROW(PLE.firstrow))),0,IF(OFFSET(PLE!$G$14,$M314,BW$13)="",10^12,OFFSET(PLE!$G$14,$M314,BW$13))))</f>
        <v>1000000000000</v>
      </c>
      <c r="BX314" s="182">
        <f ca="1">IF($D314&lt;&gt;"Serviço",0,IF(OR(AND(AUTOEVENTO="Manual",$M314=1),$M314&gt;(ROW(PLE.lastrow)-ROW(PLE.firstrow))),0,IF(OFFSET(PLE!$G$14,$M314,BX$13)="",10^12,OFFSET(PLE!$G$14,$M314,BX$13))))</f>
        <v>1000000000000</v>
      </c>
      <c r="BY314" s="182">
        <f ca="1">IF($D314&lt;&gt;"Serviço",0,IF(OR(AND(AUTOEVENTO="Manual",$M314=1),$M314&gt;(ROW(PLE.lastrow)-ROW(PLE.firstrow))),0,IF(OFFSET(PLE!$G$14,$M314,BY$13)="",10^12,OFFSET(PLE!$G$14,$M314,BY$13))))</f>
        <v>1000000000000</v>
      </c>
      <c r="BZ314" s="182">
        <f ca="1">IF($D314&lt;&gt;"Serviço",0,IF(OR(AND(AUTOEVENTO="Manual",$M314=1),$M314&gt;(ROW(PLE.lastrow)-ROW(PLE.firstrow))),0,IF(OFFSET(PLE!$G$14,$M314,BZ$13)="",10^12,OFFSET(PLE!$G$14,$M314,BZ$13))))</f>
        <v>1000000000000</v>
      </c>
      <c r="CA314" s="182">
        <f ca="1">IF($D314&lt;&gt;"Serviço",0,IF(OR(AND(AUTOEVENTO="Manual",$M314=1),$M314&gt;(ROW(PLE.lastrow)-ROW(PLE.firstrow))),0,IF(OFFSET(PLE!$G$14,$M314,CA$13)="",10^12,OFFSET(PLE!$G$14,$M314,CA$13))))</f>
        <v>1000000000000</v>
      </c>
      <c r="CB314" s="182">
        <f ca="1">IF($D314&lt;&gt;"Serviço",0,IF(OR(AND(AUTOEVENTO="Manual",$M314=1),$M314&gt;(ROW(PLE.lastrow)-ROW(PLE.firstrow))),0,IF(OFFSET(PLE!$G$14,$M314,CB$13)="",10^12,OFFSET(PLE!$G$14,$M314,CB$13))))</f>
        <v>1000000000000</v>
      </c>
      <c r="CC314" s="182">
        <f ca="1">IF($D314&lt;&gt;"Serviço",0,IF(OR(AND(AUTOEVENTO="Manual",$M314=1),$M314&gt;(ROW(PLE.lastrow)-ROW(PLE.firstrow))),0,IF(OFFSET(PLE!$G$14,$M314,CC$13)="",10^12,OFFSET(PLE!$G$14,$M314,CC$13))))</f>
        <v>1000000000000</v>
      </c>
      <c r="CD314" s="182">
        <f ca="1">IF($D314&lt;&gt;"Serviço",0,IF(OR(AND(AUTOEVENTO="Manual",$M314=1),$M314&gt;(ROW(PLE.lastrow)-ROW(PLE.firstrow))),0,IF(OFFSET(PLE!$G$14,$M314,CD$13)="",10^12,OFFSET(PLE!$G$14,$M314,CD$13))))</f>
        <v>1000000000000</v>
      </c>
      <c r="CE314" s="182">
        <f ca="1">IF($D314&lt;&gt;"Serviço",0,IF(OR(AND(AUTOEVENTO="Manual",$M314=1),$M314&gt;(ROW(PLE.lastrow)-ROW(PLE.firstrow))),0,IF(OFFSET(PLE!$G$14,$M314,CE$13)="",10^12,OFFSET(PLE!$G$14,$M314,CE$13))))</f>
        <v>1000000000000</v>
      </c>
      <c r="CF314" s="182">
        <f ca="1">IF($D314&lt;&gt;"Serviço",0,IF(OR(AND(AUTOEVENTO="Manual",$M314=1),$M314&gt;(ROW(PLE.lastrow)-ROW(PLE.firstrow))),0,IF(OFFSET(PLE!$G$14,$M314,CF$13)="",10^12,OFFSET(PLE!$G$14,$M314,CF$13))))</f>
        <v>1000000000000</v>
      </c>
      <c r="CG314" s="182">
        <f ca="1">IF($D314&lt;&gt;"Serviço",0,IF(OR(AND(AUTOEVENTO="Manual",$M314=1),$M314&gt;(ROW(PLE.lastrow)-ROW(PLE.firstrow))),0,IF(OFFSET(PLE!$G$14,$M314,CG$13)="",10^12,OFFSET(PLE!$G$14,$M314,CG$13))))</f>
        <v>1000000000000</v>
      </c>
      <c r="CH314" s="182">
        <f ca="1">IF($D314&lt;&gt;"Serviço",0,IF(OR(AND(AUTOEVENTO="Manual",$M314=1),$M314&gt;(ROW(PLE.lastrow)-ROW(PLE.firstrow))),0,IF(OFFSET(PLE!$G$14,$M314,CH$13)="",10^12,OFFSET(PLE!$G$14,$M314,CH$13))))</f>
        <v>1000000000000</v>
      </c>
      <c r="CI314" s="182">
        <f ca="1">IF($D314&lt;&gt;"Serviço",0,IF(OR(AND(AUTOEVENTO="Manual",$M314=1),$M314&gt;(ROW(PLE.lastrow)-ROW(PLE.firstrow))),0,IF(OFFSET(PLE!$G$14,$M314,CI$13)="",10^12,OFFSET(PLE!$G$14,$M314,CI$13))))</f>
        <v>1000000000000</v>
      </c>
      <c r="CJ314" s="182">
        <f ca="1">IF($D314&lt;&gt;"Serviço",0,IF(OR(AND(AUTOEVENTO="Manual",$M314=1),$M314&gt;(ROW(PLE.lastrow)-ROW(PLE.firstrow))),0,IF(OFFSET(PLE!$G$14,$M314,CJ$13)="",10^12,OFFSET(PLE!$G$14,$M314,CJ$13))))</f>
        <v>1000000000000</v>
      </c>
      <c r="CK314" s="182">
        <f ca="1">IF($D314&lt;&gt;"Serviço",0,IF(OR(AND(AUTOEVENTO="Manual",$M314=1),$M314&gt;(ROW(PLE.lastrow)-ROW(PLE.firstrow))),0,IF(OFFSET(PLE!$G$14,$M314,CK$13)="",10^12,OFFSET(PLE!$G$14,$M314,CK$13))))</f>
        <v>1000000000000</v>
      </c>
      <c r="CL314" s="182">
        <f ca="1">IF($D314&lt;&gt;"Serviço",0,IF(OR(AND(AUTOEVENTO="Manual",$M314=1),$M314&gt;(ROW(PLE.lastrow)-ROW(PLE.firstrow))),0,IF(OFFSET(PLE!$G$14,$M314,CL$13)="",10^12,OFFSET(PLE!$G$14,$M314,CL$13))))</f>
        <v>1000000000000</v>
      </c>
      <c r="CM314" s="182">
        <f ca="1">IF($D314&lt;&gt;"Serviço",0,IF(OR(AND(AUTOEVENTO="Manual",$M314=1),$M314&gt;(ROW(PLE.lastrow)-ROW(PLE.firstrow))),0,IF(OFFSET(PLE!$G$14,$M314,CM$13)="",10^12,OFFSET(PLE!$G$14,$M314,CM$13))))</f>
        <v>1000000000000</v>
      </c>
    </row>
    <row r="315" spans="1:91" ht="38.25" x14ac:dyDescent="0.2">
      <c r="A315" s="7" t="str">
        <f ca="1">IF(AUTOEVENTO="Manual",IF(K315&lt;&gt;"",MIN(VALUE(LEFT(K315,FIND(".",K315)-1)),COUNTA(EVENTOS.Lista)),0),IF(OR($B315&gt;AUTOEVENTO,$B315="S",$B315=0),SUBSTITUTE(OFFSET($A315,-1,0),IF($D315="Serviço",".",""),""),ROW(A315)-ROW($A$15)&amp;"."))</f>
        <v>285</v>
      </c>
      <c r="B315" s="7" t="str">
        <f ca="1">OFFSET(ORÇAMENTO!C$15,ROW(B315)-ROW(B$15),0)</f>
        <v>S</v>
      </c>
      <c r="C315" s="7" t="str">
        <f ca="1">OFFSET(ORÇAMENTO!L$15,ROW(C315)-ROW(C$15),0)</f>
        <v/>
      </c>
      <c r="D315" s="118" t="str">
        <f ca="1">OFFSET(ORÇAMENTO!N$15,ROW(D315)-ROW(D$15),0)</f>
        <v>Serviço</v>
      </c>
      <c r="E315" s="119" t="str">
        <f ca="1">OFFSET(ORÇAMENTO!O$15,ROW(E315)-ROW(E$15),0)</f>
        <v>-</v>
      </c>
      <c r="F315" s="172" t="str">
        <f ca="1">OFFSET(ORÇAMENTO!R$15,ROW(F315)-ROW(F$15),0)</f>
        <v>(abra o arquivo 'Referência 06-2024.xlsm)</v>
      </c>
      <c r="G315" s="173" t="str">
        <f ca="1">IF($D315&lt;&gt;"Serviço","",OFFSET(ORÇAMENTO!S$15,ROW(G315)-ROW(G$15),0))</f>
        <v>-</v>
      </c>
      <c r="H315" s="124">
        <f ca="1">IF($D315&lt;&gt;"Serviço",0,IF(ACOMPANHAMENTO="BM",ROUND(OFFSET(ORÇAMENTO!AJ$15,ROW(H315)-ROW(H$15),0),15-13*ORÇAMENTO!$AF$7),SUMPRODUCT(($Q$12:$AI$12&lt;&gt;"")*ROUND($Q315:$AI315,15-13*ORÇAMENTO!$AF$7))))</f>
        <v>6</v>
      </c>
      <c r="I315" s="561" t="s">
        <v>1107</v>
      </c>
      <c r="K315" s="174"/>
      <c r="L315" s="175" t="s">
        <v>255</v>
      </c>
      <c r="M315" s="176">
        <f ca="1">IF($D315&lt;&gt;"Serviço","",IF(AUTOEVENTO="manual",$A315,IF(ISERROR(MATCH($A315,$A$15:OFFSET($A315,-1,0),0)),MAX($M$15:OFFSET(M315,-1,0))+1,INDEX($M$15:OFFSET(M315,-1,0),MATCH($A315,$A$15:OFFSET($A315,-1,0),0)))))</f>
        <v>39</v>
      </c>
      <c r="N315" s="177" t="str">
        <f ca="1">IF($D315&lt;&gt;"Serviço","",IF(AUTOEVENTO="Manual",IF($A315=0,"&lt;-- defina o número do agrupador",OFFSET(EVENTOS!$D$14,$A315,0)),OFFSET($F$15,$A315,0)))</f>
        <v>DRENAGEM DE ÁGUAS PLUVIAIS - TUBULAÇÕES E CONEXÕES DE PVC</v>
      </c>
      <c r="O315" s="178"/>
      <c r="Q315" s="178">
        <v>6</v>
      </c>
      <c r="R315" s="179"/>
      <c r="S315" s="179"/>
      <c r="T315" s="179"/>
      <c r="U315" s="179"/>
      <c r="V315" s="179"/>
      <c r="W315" s="179"/>
      <c r="X315" s="179"/>
      <c r="Y315" s="179"/>
      <c r="Z315" s="180"/>
      <c r="AA315" s="179"/>
      <c r="AB315" s="179"/>
      <c r="AC315" s="179"/>
      <c r="AD315" s="179"/>
      <c r="AE315" s="179"/>
      <c r="AF315" s="179"/>
      <c r="AG315" s="179"/>
      <c r="AH315" s="180"/>
      <c r="AJ315" s="544">
        <f ca="1">IF(AND($D315="Serviço",AJ$12&lt;&gt;0,$H315&gt;0,OR(AUTOEVENTO&lt;&gt;"manual",$M315&lt;&gt;1)),
IF(Import.TipoArredondamento&lt;&gt;"TransfereGOV",
ROUND(OFFSET($P315,0,AJ$13),15-13*ORÇAMENTO!$AF$7)/$H315*OFFSET(ORÇAMENTO!$X$15,ROW(AJ315)-ROW(AJ$15),0),
ROUND(ROUND(OFFSET($P315,0,AJ$13),15-13*ORÇAMENTO!$AF$7)*OFFSET(ORÇAMENTO!$W$15,ROW(AJ315)-ROW(AJ$15),0),15-13*ORÇAMENTO!$AF$11)),0)</f>
        <v>0</v>
      </c>
      <c r="AK315" s="545">
        <f ca="1">IF(AND($D315="Serviço",AK$12&lt;&gt;0,$H315&gt;0,OR(AUTOEVENTO&lt;&gt;"manual",$M315&lt;&gt;1)),
IF(Import.TipoArredondamento&lt;&gt;"TransfereGOV",
ROUND(OFFSET($P315,0,AK$13),15-13*ORÇAMENTO!$AF$7)/$H315*OFFSET(ORÇAMENTO!$X$15,ROW(AK315)-ROW(AK$15),0),
ROUND(ROUND(OFFSET($P315,0,AK$13),15-13*ORÇAMENTO!$AF$7)*OFFSET(ORÇAMENTO!$W$15,ROW(AK315)-ROW(AK$15),0),15-13*ORÇAMENTO!$AF$11)),0)</f>
        <v>0</v>
      </c>
      <c r="AL315" s="545">
        <f ca="1">IF(AND($D315="Serviço",AL$12&lt;&gt;0,$H315&gt;0,OR(AUTOEVENTO&lt;&gt;"manual",$M315&lt;&gt;1)),
IF(Import.TipoArredondamento&lt;&gt;"TransfereGOV",
ROUND(OFFSET($P315,0,AL$13),15-13*ORÇAMENTO!$AF$7)/$H315*OFFSET(ORÇAMENTO!$X$15,ROW(AL315)-ROW(AL$15),0),
ROUND(ROUND(OFFSET($P315,0,AL$13),15-13*ORÇAMENTO!$AF$7)*OFFSET(ORÇAMENTO!$W$15,ROW(AL315)-ROW(AL$15),0),15-13*ORÇAMENTO!$AF$11)),0)</f>
        <v>0</v>
      </c>
      <c r="AM315" s="545">
        <f ca="1">IF(AND($D315="Serviço",AM$12&lt;&gt;0,$H315&gt;0,OR(AUTOEVENTO&lt;&gt;"manual",$M315&lt;&gt;1)),
IF(Import.TipoArredondamento&lt;&gt;"TransfereGOV",
ROUND(OFFSET($P315,0,AM$13),15-13*ORÇAMENTO!$AF$7)/$H315*OFFSET(ORÇAMENTO!$X$15,ROW(AM315)-ROW(AM$15),0),
ROUND(ROUND(OFFSET($P315,0,AM$13),15-13*ORÇAMENTO!$AF$7)*OFFSET(ORÇAMENTO!$W$15,ROW(AM315)-ROW(AM$15),0),15-13*ORÇAMENTO!$AF$11)),0)</f>
        <v>0</v>
      </c>
      <c r="AN315" s="545">
        <f ca="1">IF(AND($D315="Serviço",AN$12&lt;&gt;0,$H315&gt;0,OR(AUTOEVENTO&lt;&gt;"manual",$M315&lt;&gt;1)),
IF(Import.TipoArredondamento&lt;&gt;"TransfereGOV",
ROUND(OFFSET($P315,0,AN$13),15-13*ORÇAMENTO!$AF$7)/$H315*OFFSET(ORÇAMENTO!$X$15,ROW(AN315)-ROW(AN$15),0),
ROUND(ROUND(OFFSET($P315,0,AN$13),15-13*ORÇAMENTO!$AF$7)*OFFSET(ORÇAMENTO!$W$15,ROW(AN315)-ROW(AN$15),0),15-13*ORÇAMENTO!$AF$11)),0)</f>
        <v>0</v>
      </c>
      <c r="AO315" s="545">
        <f ca="1">IF(AND($D315="Serviço",AO$12&lt;&gt;0,$H315&gt;0,OR(AUTOEVENTO&lt;&gt;"manual",$M315&lt;&gt;1)),
IF(Import.TipoArredondamento&lt;&gt;"TransfereGOV",
ROUND(OFFSET($P315,0,AO$13),15-13*ORÇAMENTO!$AF$7)/$H315*OFFSET(ORÇAMENTO!$X$15,ROW(AO315)-ROW(AO$15),0),
ROUND(ROUND(OFFSET($P315,0,AO$13),15-13*ORÇAMENTO!$AF$7)*OFFSET(ORÇAMENTO!$W$15,ROW(AO315)-ROW(AO$15),0),15-13*ORÇAMENTO!$AF$11)),0)</f>
        <v>0</v>
      </c>
      <c r="AP315" s="545">
        <f ca="1">IF(AND($D315="Serviço",AP$12&lt;&gt;0,$H315&gt;0,OR(AUTOEVENTO&lt;&gt;"manual",$M315&lt;&gt;1)),
IF(Import.TipoArredondamento&lt;&gt;"TransfereGOV",
ROUND(OFFSET($P315,0,AP$13),15-13*ORÇAMENTO!$AF$7)/$H315*OFFSET(ORÇAMENTO!$X$15,ROW(AP315)-ROW(AP$15),0),
ROUND(ROUND(OFFSET($P315,0,AP$13),15-13*ORÇAMENTO!$AF$7)*OFFSET(ORÇAMENTO!$W$15,ROW(AP315)-ROW(AP$15),0),15-13*ORÇAMENTO!$AF$11)),0)</f>
        <v>0</v>
      </c>
      <c r="AQ315" s="545">
        <f ca="1">IF(AND($D315="Serviço",AQ$12&lt;&gt;0,$H315&gt;0,OR(AUTOEVENTO&lt;&gt;"manual",$M315&lt;&gt;1)),
IF(Import.TipoArredondamento&lt;&gt;"TransfereGOV",
ROUND(OFFSET($P315,0,AQ$13),15-13*ORÇAMENTO!$AF$7)/$H315*OFFSET(ORÇAMENTO!$X$15,ROW(AQ315)-ROW(AQ$15),0),
ROUND(ROUND(OFFSET($P315,0,AQ$13),15-13*ORÇAMENTO!$AF$7)*OFFSET(ORÇAMENTO!$W$15,ROW(AQ315)-ROW(AQ$15),0),15-13*ORÇAMENTO!$AF$11)),0)</f>
        <v>0</v>
      </c>
      <c r="AR315" s="545">
        <f ca="1">IF(AND($D315="Serviço",AR$12&lt;&gt;0,$H315&gt;0,OR(AUTOEVENTO&lt;&gt;"manual",$M315&lt;&gt;1)),
IF(Import.TipoArredondamento&lt;&gt;"TransfereGOV",
ROUND(OFFSET($P315,0,AR$13),15-13*ORÇAMENTO!$AF$7)/$H315*OFFSET(ORÇAMENTO!$X$15,ROW(AR315)-ROW(AR$15),0),
ROUND(ROUND(OFFSET($P315,0,AR$13),15-13*ORÇAMENTO!$AF$7)*OFFSET(ORÇAMENTO!$W$15,ROW(AR315)-ROW(AR$15),0),15-13*ORÇAMENTO!$AF$11)),0)</f>
        <v>0</v>
      </c>
      <c r="AS315" s="546">
        <f ca="1">IF(AND($D315="Serviço",AS$12&lt;&gt;0,$H315&gt;0,OR(AUTOEVENTO&lt;&gt;"manual",$M315&lt;&gt;1)),
IF(Import.TipoArredondamento&lt;&gt;"TransfereGOV",
ROUND(OFFSET($P315,0,AS$13),15-13*ORÇAMENTO!$AF$7)/$H315*OFFSET(ORÇAMENTO!$X$15,ROW(AS315)-ROW(AS$15),0),
ROUND(ROUND(OFFSET($P315,0,AS$13),15-13*ORÇAMENTO!$AF$7)*OFFSET(ORÇAMENTO!$W$15,ROW(AS315)-ROW(AS$15),0),15-13*ORÇAMENTO!$AF$11)),0)</f>
        <v>0</v>
      </c>
      <c r="AT315" s="545">
        <f ca="1">IF(AND($D315="Serviço",AT$12&lt;&gt;0,$H315&gt;0,OR(AUTOEVENTO&lt;&gt;"manual",$M315&lt;&gt;1)),
IF(Import.TipoArredondamento&lt;&gt;"TransfereGOV",
ROUND(OFFSET($P315,0,AT$13),15-13*ORÇAMENTO!$AF$7)/$H315*OFFSET(ORÇAMENTO!$X$15,ROW(AT315)-ROW(AT$15),0),
ROUND(ROUND(OFFSET($P315,0,AT$13),15-13*ORÇAMENTO!$AF$7)*OFFSET(ORÇAMENTO!$W$15,ROW(AT315)-ROW(AT$15),0),15-13*ORÇAMENTO!$AF$11)),0)</f>
        <v>0</v>
      </c>
      <c r="AU315" s="545">
        <f ca="1">IF(AND($D315="Serviço",AU$12&lt;&gt;0,$H315&gt;0,OR(AUTOEVENTO&lt;&gt;"manual",$M315&lt;&gt;1)),
IF(Import.TipoArredondamento&lt;&gt;"TransfereGOV",
ROUND(OFFSET($P315,0,AU$13),15-13*ORÇAMENTO!$AF$7)/$H315*OFFSET(ORÇAMENTO!$X$15,ROW(AU315)-ROW(AU$15),0),
ROUND(ROUND(OFFSET($P315,0,AU$13),15-13*ORÇAMENTO!$AF$7)*OFFSET(ORÇAMENTO!$W$15,ROW(AU315)-ROW(AU$15),0),15-13*ORÇAMENTO!$AF$11)),0)</f>
        <v>0</v>
      </c>
      <c r="AV315" s="545">
        <f ca="1">IF(AND($D315="Serviço",AV$12&lt;&gt;0,$H315&gt;0,OR(AUTOEVENTO&lt;&gt;"manual",$M315&lt;&gt;1)),
IF(Import.TipoArredondamento&lt;&gt;"TransfereGOV",
ROUND(OFFSET($P315,0,AV$13),15-13*ORÇAMENTO!$AF$7)/$H315*OFFSET(ORÇAMENTO!$X$15,ROW(AV315)-ROW(AV$15),0),
ROUND(ROUND(OFFSET($P315,0,AV$13),15-13*ORÇAMENTO!$AF$7)*OFFSET(ORÇAMENTO!$W$15,ROW(AV315)-ROW(AV$15),0),15-13*ORÇAMENTO!$AF$11)),0)</f>
        <v>0</v>
      </c>
      <c r="AW315" s="545">
        <f ca="1">IF(AND($D315="Serviço",AW$12&lt;&gt;0,$H315&gt;0,OR(AUTOEVENTO&lt;&gt;"manual",$M315&lt;&gt;1)),
IF(Import.TipoArredondamento&lt;&gt;"TransfereGOV",
ROUND(OFFSET($P315,0,AW$13),15-13*ORÇAMENTO!$AF$7)/$H315*OFFSET(ORÇAMENTO!$X$15,ROW(AW315)-ROW(AW$15),0),
ROUND(ROUND(OFFSET($P315,0,AW$13),15-13*ORÇAMENTO!$AF$7)*OFFSET(ORÇAMENTO!$W$15,ROW(AW315)-ROW(AW$15),0),15-13*ORÇAMENTO!$AF$11)),0)</f>
        <v>0</v>
      </c>
      <c r="AX315" s="545">
        <f ca="1">IF(AND($D315="Serviço",AX$12&lt;&gt;0,$H315&gt;0,OR(AUTOEVENTO&lt;&gt;"manual",$M315&lt;&gt;1)),
IF(Import.TipoArredondamento&lt;&gt;"TransfereGOV",
ROUND(OFFSET($P315,0,AX$13),15-13*ORÇAMENTO!$AF$7)/$H315*OFFSET(ORÇAMENTO!$X$15,ROW(AX315)-ROW(AX$15),0),
ROUND(ROUND(OFFSET($P315,0,AX$13),15-13*ORÇAMENTO!$AF$7)*OFFSET(ORÇAMENTO!$W$15,ROW(AX315)-ROW(AX$15),0),15-13*ORÇAMENTO!$AF$11)),0)</f>
        <v>0</v>
      </c>
      <c r="AY315" s="545">
        <f ca="1">IF(AND($D315="Serviço",AY$12&lt;&gt;0,$H315&gt;0,OR(AUTOEVENTO&lt;&gt;"manual",$M315&lt;&gt;1)),
IF(Import.TipoArredondamento&lt;&gt;"TransfereGOV",
ROUND(OFFSET($P315,0,AY$13),15-13*ORÇAMENTO!$AF$7)/$H315*OFFSET(ORÇAMENTO!$X$15,ROW(AY315)-ROW(AY$15),0),
ROUND(ROUND(OFFSET($P315,0,AY$13),15-13*ORÇAMENTO!$AF$7)*OFFSET(ORÇAMENTO!$W$15,ROW(AY315)-ROW(AY$15),0),15-13*ORÇAMENTO!$AF$11)),0)</f>
        <v>0</v>
      </c>
      <c r="AZ315" s="545">
        <f ca="1">IF(AND($D315="Serviço",AZ$12&lt;&gt;0,$H315&gt;0,OR(AUTOEVENTO&lt;&gt;"manual",$M315&lt;&gt;1)),
IF(Import.TipoArredondamento&lt;&gt;"TransfereGOV",
ROUND(OFFSET($P315,0,AZ$13),15-13*ORÇAMENTO!$AF$7)/$H315*OFFSET(ORÇAMENTO!$X$15,ROW(AZ315)-ROW(AZ$15),0),
ROUND(ROUND(OFFSET($P315,0,AZ$13),15-13*ORÇAMENTO!$AF$7)*OFFSET(ORÇAMENTO!$W$15,ROW(AZ315)-ROW(AZ$15),0),15-13*ORÇAMENTO!$AF$11)),0)</f>
        <v>0</v>
      </c>
      <c r="BA315" s="546">
        <f ca="1">IF(AND($D315="Serviço",BA$12&lt;&gt;0,$H315&gt;0,OR(AUTOEVENTO&lt;&gt;"manual",$M315&lt;&gt;1)),
IF(Import.TipoArredondamento&lt;&gt;"TransfereGOV",
ROUND(OFFSET($P315,0,BA$13),15-13*ORÇAMENTO!$AF$7)/$H315*OFFSET(ORÇAMENTO!$X$15,ROW(BA315)-ROW(BA$15),0),
ROUND(ROUND(OFFSET($P315,0,BA$13),15-13*ORÇAMENTO!$AF$7)*OFFSET(ORÇAMENTO!$W$15,ROW(BA315)-ROW(BA$15),0),15-13*ORÇAMENTO!$AF$11)),0)</f>
        <v>0</v>
      </c>
      <c r="BC315" s="181">
        <f ca="1">IF($D315&lt;&gt;"Serviço",0,IF(AND(AUTOEVENTO="Manual",$M315=1),0,IF(OFFSET(CRONOPLE!$F$14,$M315,BC$13)="",10^12,OFFSET(CRONOPLE!$F$14,$M315,BC$13))))</f>
        <v>9</v>
      </c>
      <c r="BD315" s="181">
        <f ca="1">IF($D315&lt;&gt;"Serviço",0,IF(AND(AUTOEVENTO="Manual",$M315=1),0,IF(OFFSET(CRONOPLE!$F$14,$M315,BD$13)="",10^12,OFFSET(CRONOPLE!$F$14,$M315,BD$13))))</f>
        <v>1000000000000</v>
      </c>
      <c r="BE315" s="181">
        <f ca="1">IF($D315&lt;&gt;"Serviço",0,IF(AND(AUTOEVENTO="Manual",$M315=1),0,IF(OFFSET(CRONOPLE!$F$14,$M315,BE$13)="",10^12,OFFSET(CRONOPLE!$F$14,$M315,BE$13))))</f>
        <v>1000000000000</v>
      </c>
      <c r="BF315" s="181">
        <f ca="1">IF($D315&lt;&gt;"Serviço",0,IF(AND(AUTOEVENTO="Manual",$M315=1),0,IF(OFFSET(CRONOPLE!$F$14,$M315,BF$13)="",10^12,OFFSET(CRONOPLE!$F$14,$M315,BF$13))))</f>
        <v>1000000000000</v>
      </c>
      <c r="BG315" s="181">
        <f ca="1">IF($D315&lt;&gt;"Serviço",0,IF(AND(AUTOEVENTO="Manual",$M315=1),0,IF(OFFSET(CRONOPLE!$F$14,$M315,BG$13)="",10^12,OFFSET(CRONOPLE!$F$14,$M315,BG$13))))</f>
        <v>1000000000000</v>
      </c>
      <c r="BH315" s="181">
        <f ca="1">IF($D315&lt;&gt;"Serviço",0,IF(AND(AUTOEVENTO="Manual",$M315=1),0,IF(OFFSET(CRONOPLE!$F$14,$M315,BH$13)="",10^12,OFFSET(CRONOPLE!$F$14,$M315,BH$13))))</f>
        <v>1000000000000</v>
      </c>
      <c r="BI315" s="181">
        <f ca="1">IF($D315&lt;&gt;"Serviço",0,IF(AND(AUTOEVENTO="Manual",$M315=1),0,IF(OFFSET(CRONOPLE!$F$14,$M315,BI$13)="",10^12,OFFSET(CRONOPLE!$F$14,$M315,BI$13))))</f>
        <v>1000000000000</v>
      </c>
      <c r="BJ315" s="181">
        <f ca="1">IF($D315&lt;&gt;"Serviço",0,IF(AND(AUTOEVENTO="Manual",$M315=1),0,IF(OFFSET(CRONOPLE!$F$14,$M315,BJ$13)="",10^12,OFFSET(CRONOPLE!$F$14,$M315,BJ$13))))</f>
        <v>1000000000000</v>
      </c>
      <c r="BK315" s="181">
        <f ca="1">IF($D315&lt;&gt;"Serviço",0,IF(AND(AUTOEVENTO="Manual",$M315=1),0,IF(OFFSET(CRONOPLE!$F$14,$M315,BK$13)="",10^12,OFFSET(CRONOPLE!$F$14,$M315,BK$13))))</f>
        <v>1000000000000</v>
      </c>
      <c r="BL315" s="181">
        <f ca="1">IF($D315&lt;&gt;"Serviço",0,IF(AND(AUTOEVENTO="Manual",$M315=1),0,IF(OFFSET(CRONOPLE!$F$14,$M315,BL$13)="",10^12,OFFSET(CRONOPLE!$F$14,$M315,BL$13))))</f>
        <v>1000000000000</v>
      </c>
      <c r="BM315" s="181">
        <f ca="1">IF($D315&lt;&gt;"Serviço",0,IF(AND(AUTOEVENTO="Manual",$M315=1),0,IF(OFFSET(CRONOPLE!$F$14,$M315,BM$13)="",10^12,OFFSET(CRONOPLE!$F$14,$M315,BM$13))))</f>
        <v>1000000000000</v>
      </c>
      <c r="BN315" s="181">
        <f ca="1">IF($D315&lt;&gt;"Serviço",0,IF(AND(AUTOEVENTO="Manual",$M315=1),0,IF(OFFSET(CRONOPLE!$F$14,$M315,BN$13)="",10^12,OFFSET(CRONOPLE!$F$14,$M315,BN$13))))</f>
        <v>1000000000000</v>
      </c>
      <c r="BO315" s="181">
        <f ca="1">IF($D315&lt;&gt;"Serviço",0,IF(AND(AUTOEVENTO="Manual",$M315=1),0,IF(OFFSET(CRONOPLE!$F$14,$M315,BO$13)="",10^12,OFFSET(CRONOPLE!$F$14,$M315,BO$13))))</f>
        <v>1000000000000</v>
      </c>
      <c r="BP315" s="181">
        <f ca="1">IF($D315&lt;&gt;"Serviço",0,IF(AND(AUTOEVENTO="Manual",$M315=1),0,IF(OFFSET(CRONOPLE!$F$14,$M315,BP$13)="",10^12,OFFSET(CRONOPLE!$F$14,$M315,BP$13))))</f>
        <v>1000000000000</v>
      </c>
      <c r="BQ315" s="181">
        <f ca="1">IF($D315&lt;&gt;"Serviço",0,IF(AND(AUTOEVENTO="Manual",$M315=1),0,IF(OFFSET(CRONOPLE!$F$14,$M315,BQ$13)="",10^12,OFFSET(CRONOPLE!$F$14,$M315,BQ$13))))</f>
        <v>1000000000000</v>
      </c>
      <c r="BR315" s="181">
        <f ca="1">IF($D315&lt;&gt;"Serviço",0,IF(AND(AUTOEVENTO="Manual",$M315=1),0,IF(OFFSET(CRONOPLE!$F$14,$M315,BR$13)="",10^12,OFFSET(CRONOPLE!$F$14,$M315,BR$13))))</f>
        <v>1000000000000</v>
      </c>
      <c r="BS315" s="181">
        <f ca="1">IF($D315&lt;&gt;"Serviço",0,IF(AND(AUTOEVENTO="Manual",$M315=1),0,IF(OFFSET(CRONOPLE!$F$14,$M315,BS$13)="",10^12,OFFSET(CRONOPLE!$F$14,$M315,BS$13))))</f>
        <v>1000000000000</v>
      </c>
      <c r="BT315" s="181">
        <f ca="1">IF($D315&lt;&gt;"Serviço",0,IF(AND(AUTOEVENTO="Manual",$M315=1),0,IF(OFFSET(CRONOPLE!$F$14,$M315,BT$13)="",10^12,OFFSET(CRONOPLE!$F$14,$M315,BT$13))))</f>
        <v>1000000000000</v>
      </c>
      <c r="BV315" s="182">
        <f ca="1">IF($D315&lt;&gt;"Serviço",0,IF(OR(AND(AUTOEVENTO="Manual",$M315=1),$M315&gt;(ROW(PLE.lastrow)-ROW(PLE.firstrow))),0,IF(OFFSET(PLE!$G$14,$M315,BV$13)="",10^12,OFFSET(PLE!$G$14,$M315,BV$13))))</f>
        <v>1000000000000</v>
      </c>
      <c r="BW315" s="182">
        <f ca="1">IF($D315&lt;&gt;"Serviço",0,IF(OR(AND(AUTOEVENTO="Manual",$M315=1),$M315&gt;(ROW(PLE.lastrow)-ROW(PLE.firstrow))),0,IF(OFFSET(PLE!$G$14,$M315,BW$13)="",10^12,OFFSET(PLE!$G$14,$M315,BW$13))))</f>
        <v>1000000000000</v>
      </c>
      <c r="BX315" s="182">
        <f ca="1">IF($D315&lt;&gt;"Serviço",0,IF(OR(AND(AUTOEVENTO="Manual",$M315=1),$M315&gt;(ROW(PLE.lastrow)-ROW(PLE.firstrow))),0,IF(OFFSET(PLE!$G$14,$M315,BX$13)="",10^12,OFFSET(PLE!$G$14,$M315,BX$13))))</f>
        <v>1000000000000</v>
      </c>
      <c r="BY315" s="182">
        <f ca="1">IF($D315&lt;&gt;"Serviço",0,IF(OR(AND(AUTOEVENTO="Manual",$M315=1),$M315&gt;(ROW(PLE.lastrow)-ROW(PLE.firstrow))),0,IF(OFFSET(PLE!$G$14,$M315,BY$13)="",10^12,OFFSET(PLE!$G$14,$M315,BY$13))))</f>
        <v>1000000000000</v>
      </c>
      <c r="BZ315" s="182">
        <f ca="1">IF($D315&lt;&gt;"Serviço",0,IF(OR(AND(AUTOEVENTO="Manual",$M315=1),$M315&gt;(ROW(PLE.lastrow)-ROW(PLE.firstrow))),0,IF(OFFSET(PLE!$G$14,$M315,BZ$13)="",10^12,OFFSET(PLE!$G$14,$M315,BZ$13))))</f>
        <v>1000000000000</v>
      </c>
      <c r="CA315" s="182">
        <f ca="1">IF($D315&lt;&gt;"Serviço",0,IF(OR(AND(AUTOEVENTO="Manual",$M315=1),$M315&gt;(ROW(PLE.lastrow)-ROW(PLE.firstrow))),0,IF(OFFSET(PLE!$G$14,$M315,CA$13)="",10^12,OFFSET(PLE!$G$14,$M315,CA$13))))</f>
        <v>1000000000000</v>
      </c>
      <c r="CB315" s="182">
        <f ca="1">IF($D315&lt;&gt;"Serviço",0,IF(OR(AND(AUTOEVENTO="Manual",$M315=1),$M315&gt;(ROW(PLE.lastrow)-ROW(PLE.firstrow))),0,IF(OFFSET(PLE!$G$14,$M315,CB$13)="",10^12,OFFSET(PLE!$G$14,$M315,CB$13))))</f>
        <v>1000000000000</v>
      </c>
      <c r="CC315" s="182">
        <f ca="1">IF($D315&lt;&gt;"Serviço",0,IF(OR(AND(AUTOEVENTO="Manual",$M315=1),$M315&gt;(ROW(PLE.lastrow)-ROW(PLE.firstrow))),0,IF(OFFSET(PLE!$G$14,$M315,CC$13)="",10^12,OFFSET(PLE!$G$14,$M315,CC$13))))</f>
        <v>1000000000000</v>
      </c>
      <c r="CD315" s="182">
        <f ca="1">IF($D315&lt;&gt;"Serviço",0,IF(OR(AND(AUTOEVENTO="Manual",$M315=1),$M315&gt;(ROW(PLE.lastrow)-ROW(PLE.firstrow))),0,IF(OFFSET(PLE!$G$14,$M315,CD$13)="",10^12,OFFSET(PLE!$G$14,$M315,CD$13))))</f>
        <v>1000000000000</v>
      </c>
      <c r="CE315" s="182">
        <f ca="1">IF($D315&lt;&gt;"Serviço",0,IF(OR(AND(AUTOEVENTO="Manual",$M315=1),$M315&gt;(ROW(PLE.lastrow)-ROW(PLE.firstrow))),0,IF(OFFSET(PLE!$G$14,$M315,CE$13)="",10^12,OFFSET(PLE!$G$14,$M315,CE$13))))</f>
        <v>1000000000000</v>
      </c>
      <c r="CF315" s="182">
        <f ca="1">IF($D315&lt;&gt;"Serviço",0,IF(OR(AND(AUTOEVENTO="Manual",$M315=1),$M315&gt;(ROW(PLE.lastrow)-ROW(PLE.firstrow))),0,IF(OFFSET(PLE!$G$14,$M315,CF$13)="",10^12,OFFSET(PLE!$G$14,$M315,CF$13))))</f>
        <v>1000000000000</v>
      </c>
      <c r="CG315" s="182">
        <f ca="1">IF($D315&lt;&gt;"Serviço",0,IF(OR(AND(AUTOEVENTO="Manual",$M315=1),$M315&gt;(ROW(PLE.lastrow)-ROW(PLE.firstrow))),0,IF(OFFSET(PLE!$G$14,$M315,CG$13)="",10^12,OFFSET(PLE!$G$14,$M315,CG$13))))</f>
        <v>1000000000000</v>
      </c>
      <c r="CH315" s="182">
        <f ca="1">IF($D315&lt;&gt;"Serviço",0,IF(OR(AND(AUTOEVENTO="Manual",$M315=1),$M315&gt;(ROW(PLE.lastrow)-ROW(PLE.firstrow))),0,IF(OFFSET(PLE!$G$14,$M315,CH$13)="",10^12,OFFSET(PLE!$G$14,$M315,CH$13))))</f>
        <v>1000000000000</v>
      </c>
      <c r="CI315" s="182">
        <f ca="1">IF($D315&lt;&gt;"Serviço",0,IF(OR(AND(AUTOEVENTO="Manual",$M315=1),$M315&gt;(ROW(PLE.lastrow)-ROW(PLE.firstrow))),0,IF(OFFSET(PLE!$G$14,$M315,CI$13)="",10^12,OFFSET(PLE!$G$14,$M315,CI$13))))</f>
        <v>1000000000000</v>
      </c>
      <c r="CJ315" s="182">
        <f ca="1">IF($D315&lt;&gt;"Serviço",0,IF(OR(AND(AUTOEVENTO="Manual",$M315=1),$M315&gt;(ROW(PLE.lastrow)-ROW(PLE.firstrow))),0,IF(OFFSET(PLE!$G$14,$M315,CJ$13)="",10^12,OFFSET(PLE!$G$14,$M315,CJ$13))))</f>
        <v>1000000000000</v>
      </c>
      <c r="CK315" s="182">
        <f ca="1">IF($D315&lt;&gt;"Serviço",0,IF(OR(AND(AUTOEVENTO="Manual",$M315=1),$M315&gt;(ROW(PLE.lastrow)-ROW(PLE.firstrow))),0,IF(OFFSET(PLE!$G$14,$M315,CK$13)="",10^12,OFFSET(PLE!$G$14,$M315,CK$13))))</f>
        <v>1000000000000</v>
      </c>
      <c r="CL315" s="182">
        <f ca="1">IF($D315&lt;&gt;"Serviço",0,IF(OR(AND(AUTOEVENTO="Manual",$M315=1),$M315&gt;(ROW(PLE.lastrow)-ROW(PLE.firstrow))),0,IF(OFFSET(PLE!$G$14,$M315,CL$13)="",10^12,OFFSET(PLE!$G$14,$M315,CL$13))))</f>
        <v>1000000000000</v>
      </c>
      <c r="CM315" s="182">
        <f ca="1">IF($D315&lt;&gt;"Serviço",0,IF(OR(AND(AUTOEVENTO="Manual",$M315=1),$M315&gt;(ROW(PLE.lastrow)-ROW(PLE.firstrow))),0,IF(OFFSET(PLE!$G$14,$M315,CM$13)="",10^12,OFFSET(PLE!$G$14,$M315,CM$13))))</f>
        <v>1000000000000</v>
      </c>
    </row>
    <row r="316" spans="1:91" ht="12.75" x14ac:dyDescent="0.2">
      <c r="A316" s="7" t="str">
        <f ca="1">IF(AUTOEVENTO="Manual",IF(K316&lt;&gt;"",MIN(VALUE(LEFT(K316,FIND(".",K316)-1)),COUNTA(EVENTOS.Lista)),0),IF(OR($B316&gt;AUTOEVENTO,$B316="S",$B316=0),SUBSTITUTE(OFFSET($A316,-1,0),IF($D316="Serviço",".",""),""),ROW(A316)-ROW($A$15)&amp;"."))</f>
        <v>301.</v>
      </c>
      <c r="B316" s="7">
        <f ca="1">OFFSET(ORÇAMENTO!C$15,ROW(B316)-ROW(B$15),0)</f>
        <v>2</v>
      </c>
      <c r="C316" s="7" t="str">
        <f ca="1">OFFSET(ORÇAMENTO!L$15,ROW(C316)-ROW(C$15),0)</f>
        <v>F</v>
      </c>
      <c r="D316" s="118" t="str">
        <f ca="1">OFFSET(ORÇAMENTO!N$15,ROW(D316)-ROW(D$15),0)</f>
        <v>Nível 2</v>
      </c>
      <c r="E316" s="119" t="str">
        <f ca="1">OFFSET(ORÇAMENTO!O$15,ROW(E316)-ROW(E$15),0)</f>
        <v>1.39.</v>
      </c>
      <c r="F316" s="172" t="str">
        <f ca="1">OFFSET(ORÇAMENTO!R$15,ROW(F316)-ROW(F$15),0)</f>
        <v>DRENAGEM DE ÁGUAS PLUVIAIS - ACESSÓRIOS</v>
      </c>
      <c r="G316" s="173" t="str">
        <f ca="1">IF($D316&lt;&gt;"Serviço","",OFFSET(ORÇAMENTO!S$15,ROW(G316)-ROW(G$15),0))</f>
        <v/>
      </c>
      <c r="H316" s="124">
        <f ca="1">IF($D316&lt;&gt;"Serviço",0,IF(ACOMPANHAMENTO="BM",ROUND(OFFSET(ORÇAMENTO!AJ$15,ROW(H316)-ROW(H$15),0),15-13*ORÇAMENTO!$AF$7),SUMPRODUCT(($Q$12:$AI$12&lt;&gt;"")*ROUND($Q316:$AI316,15-13*ORÇAMENTO!$AF$7))))</f>
        <v>0</v>
      </c>
      <c r="I316" s="561"/>
      <c r="K316" s="174"/>
      <c r="L316" s="175" t="s">
        <v>255</v>
      </c>
      <c r="M316" s="176" t="str">
        <f ca="1">IF($D316&lt;&gt;"Serviço","",IF(AUTOEVENTO="manual",$A316,IF(ISERROR(MATCH($A316,$A$15:OFFSET($A316,-1,0),0)),MAX($M$15:OFFSET(M316,-1,0))+1,INDEX($M$15:OFFSET(M316,-1,0),MATCH($A316,$A$15:OFFSET($A316,-1,0),0)))))</f>
        <v/>
      </c>
      <c r="N316" s="177" t="str">
        <f ca="1">IF($D316&lt;&gt;"Serviço","",IF(AUTOEVENTO="Manual",IF($A316=0,"&lt;-- defina o número do agrupador",OFFSET(EVENTOS!$D$14,$A316,0)),OFFSET($F$15,$A316,0)))</f>
        <v/>
      </c>
      <c r="O316" s="178"/>
      <c r="Q316" s="178">
        <v>0</v>
      </c>
      <c r="R316" s="179"/>
      <c r="S316" s="179"/>
      <c r="T316" s="179"/>
      <c r="U316" s="179"/>
      <c r="V316" s="179"/>
      <c r="W316" s="179"/>
      <c r="X316" s="179"/>
      <c r="Y316" s="179"/>
      <c r="Z316" s="180"/>
      <c r="AA316" s="179"/>
      <c r="AB316" s="179"/>
      <c r="AC316" s="179"/>
      <c r="AD316" s="179"/>
      <c r="AE316" s="179"/>
      <c r="AF316" s="179"/>
      <c r="AG316" s="179"/>
      <c r="AH316" s="180"/>
      <c r="AJ316" s="544">
        <f ca="1">IF(AND($D316="Serviço",AJ$12&lt;&gt;0,$H316&gt;0,OR(AUTOEVENTO&lt;&gt;"manual",$M316&lt;&gt;1)),
IF(Import.TipoArredondamento&lt;&gt;"TransfereGOV",
ROUND(OFFSET($P316,0,AJ$13),15-13*ORÇAMENTO!$AF$7)/$H316*OFFSET(ORÇAMENTO!$X$15,ROW(AJ316)-ROW(AJ$15),0),
ROUND(ROUND(OFFSET($P316,0,AJ$13),15-13*ORÇAMENTO!$AF$7)*OFFSET(ORÇAMENTO!$W$15,ROW(AJ316)-ROW(AJ$15),0),15-13*ORÇAMENTO!$AF$11)),0)</f>
        <v>0</v>
      </c>
      <c r="AK316" s="545">
        <f ca="1">IF(AND($D316="Serviço",AK$12&lt;&gt;0,$H316&gt;0,OR(AUTOEVENTO&lt;&gt;"manual",$M316&lt;&gt;1)),
IF(Import.TipoArredondamento&lt;&gt;"TransfereGOV",
ROUND(OFFSET($P316,0,AK$13),15-13*ORÇAMENTO!$AF$7)/$H316*OFFSET(ORÇAMENTO!$X$15,ROW(AK316)-ROW(AK$15),0),
ROUND(ROUND(OFFSET($P316,0,AK$13),15-13*ORÇAMENTO!$AF$7)*OFFSET(ORÇAMENTO!$W$15,ROW(AK316)-ROW(AK$15),0),15-13*ORÇAMENTO!$AF$11)),0)</f>
        <v>0</v>
      </c>
      <c r="AL316" s="545">
        <f ca="1">IF(AND($D316="Serviço",AL$12&lt;&gt;0,$H316&gt;0,OR(AUTOEVENTO&lt;&gt;"manual",$M316&lt;&gt;1)),
IF(Import.TipoArredondamento&lt;&gt;"TransfereGOV",
ROUND(OFFSET($P316,0,AL$13),15-13*ORÇAMENTO!$AF$7)/$H316*OFFSET(ORÇAMENTO!$X$15,ROW(AL316)-ROW(AL$15),0),
ROUND(ROUND(OFFSET($P316,0,AL$13),15-13*ORÇAMENTO!$AF$7)*OFFSET(ORÇAMENTO!$W$15,ROW(AL316)-ROW(AL$15),0),15-13*ORÇAMENTO!$AF$11)),0)</f>
        <v>0</v>
      </c>
      <c r="AM316" s="545">
        <f ca="1">IF(AND($D316="Serviço",AM$12&lt;&gt;0,$H316&gt;0,OR(AUTOEVENTO&lt;&gt;"manual",$M316&lt;&gt;1)),
IF(Import.TipoArredondamento&lt;&gt;"TransfereGOV",
ROUND(OFFSET($P316,0,AM$13),15-13*ORÇAMENTO!$AF$7)/$H316*OFFSET(ORÇAMENTO!$X$15,ROW(AM316)-ROW(AM$15),0),
ROUND(ROUND(OFFSET($P316,0,AM$13),15-13*ORÇAMENTO!$AF$7)*OFFSET(ORÇAMENTO!$W$15,ROW(AM316)-ROW(AM$15),0),15-13*ORÇAMENTO!$AF$11)),0)</f>
        <v>0</v>
      </c>
      <c r="AN316" s="545">
        <f ca="1">IF(AND($D316="Serviço",AN$12&lt;&gt;0,$H316&gt;0,OR(AUTOEVENTO&lt;&gt;"manual",$M316&lt;&gt;1)),
IF(Import.TipoArredondamento&lt;&gt;"TransfereGOV",
ROUND(OFFSET($P316,0,AN$13),15-13*ORÇAMENTO!$AF$7)/$H316*OFFSET(ORÇAMENTO!$X$15,ROW(AN316)-ROW(AN$15),0),
ROUND(ROUND(OFFSET($P316,0,AN$13),15-13*ORÇAMENTO!$AF$7)*OFFSET(ORÇAMENTO!$W$15,ROW(AN316)-ROW(AN$15),0),15-13*ORÇAMENTO!$AF$11)),0)</f>
        <v>0</v>
      </c>
      <c r="AO316" s="545">
        <f ca="1">IF(AND($D316="Serviço",AO$12&lt;&gt;0,$H316&gt;0,OR(AUTOEVENTO&lt;&gt;"manual",$M316&lt;&gt;1)),
IF(Import.TipoArredondamento&lt;&gt;"TransfereGOV",
ROUND(OFFSET($P316,0,AO$13),15-13*ORÇAMENTO!$AF$7)/$H316*OFFSET(ORÇAMENTO!$X$15,ROW(AO316)-ROW(AO$15),0),
ROUND(ROUND(OFFSET($P316,0,AO$13),15-13*ORÇAMENTO!$AF$7)*OFFSET(ORÇAMENTO!$W$15,ROW(AO316)-ROW(AO$15),0),15-13*ORÇAMENTO!$AF$11)),0)</f>
        <v>0</v>
      </c>
      <c r="AP316" s="545">
        <f ca="1">IF(AND($D316="Serviço",AP$12&lt;&gt;0,$H316&gt;0,OR(AUTOEVENTO&lt;&gt;"manual",$M316&lt;&gt;1)),
IF(Import.TipoArredondamento&lt;&gt;"TransfereGOV",
ROUND(OFFSET($P316,0,AP$13),15-13*ORÇAMENTO!$AF$7)/$H316*OFFSET(ORÇAMENTO!$X$15,ROW(AP316)-ROW(AP$15),0),
ROUND(ROUND(OFFSET($P316,0,AP$13),15-13*ORÇAMENTO!$AF$7)*OFFSET(ORÇAMENTO!$W$15,ROW(AP316)-ROW(AP$15),0),15-13*ORÇAMENTO!$AF$11)),0)</f>
        <v>0</v>
      </c>
      <c r="AQ316" s="545">
        <f ca="1">IF(AND($D316="Serviço",AQ$12&lt;&gt;0,$H316&gt;0,OR(AUTOEVENTO&lt;&gt;"manual",$M316&lt;&gt;1)),
IF(Import.TipoArredondamento&lt;&gt;"TransfereGOV",
ROUND(OFFSET($P316,0,AQ$13),15-13*ORÇAMENTO!$AF$7)/$H316*OFFSET(ORÇAMENTO!$X$15,ROW(AQ316)-ROW(AQ$15),0),
ROUND(ROUND(OFFSET($P316,0,AQ$13),15-13*ORÇAMENTO!$AF$7)*OFFSET(ORÇAMENTO!$W$15,ROW(AQ316)-ROW(AQ$15),0),15-13*ORÇAMENTO!$AF$11)),0)</f>
        <v>0</v>
      </c>
      <c r="AR316" s="545">
        <f ca="1">IF(AND($D316="Serviço",AR$12&lt;&gt;0,$H316&gt;0,OR(AUTOEVENTO&lt;&gt;"manual",$M316&lt;&gt;1)),
IF(Import.TipoArredondamento&lt;&gt;"TransfereGOV",
ROUND(OFFSET($P316,0,AR$13),15-13*ORÇAMENTO!$AF$7)/$H316*OFFSET(ORÇAMENTO!$X$15,ROW(AR316)-ROW(AR$15),0),
ROUND(ROUND(OFFSET($P316,0,AR$13),15-13*ORÇAMENTO!$AF$7)*OFFSET(ORÇAMENTO!$W$15,ROW(AR316)-ROW(AR$15),0),15-13*ORÇAMENTO!$AF$11)),0)</f>
        <v>0</v>
      </c>
      <c r="AS316" s="546">
        <f ca="1">IF(AND($D316="Serviço",AS$12&lt;&gt;0,$H316&gt;0,OR(AUTOEVENTO&lt;&gt;"manual",$M316&lt;&gt;1)),
IF(Import.TipoArredondamento&lt;&gt;"TransfereGOV",
ROUND(OFFSET($P316,0,AS$13),15-13*ORÇAMENTO!$AF$7)/$H316*OFFSET(ORÇAMENTO!$X$15,ROW(AS316)-ROW(AS$15),0),
ROUND(ROUND(OFFSET($P316,0,AS$13),15-13*ORÇAMENTO!$AF$7)*OFFSET(ORÇAMENTO!$W$15,ROW(AS316)-ROW(AS$15),0),15-13*ORÇAMENTO!$AF$11)),0)</f>
        <v>0</v>
      </c>
      <c r="AT316" s="545">
        <f ca="1">IF(AND($D316="Serviço",AT$12&lt;&gt;0,$H316&gt;0,OR(AUTOEVENTO&lt;&gt;"manual",$M316&lt;&gt;1)),
IF(Import.TipoArredondamento&lt;&gt;"TransfereGOV",
ROUND(OFFSET($P316,0,AT$13),15-13*ORÇAMENTO!$AF$7)/$H316*OFFSET(ORÇAMENTO!$X$15,ROW(AT316)-ROW(AT$15),0),
ROUND(ROUND(OFFSET($P316,0,AT$13),15-13*ORÇAMENTO!$AF$7)*OFFSET(ORÇAMENTO!$W$15,ROW(AT316)-ROW(AT$15),0),15-13*ORÇAMENTO!$AF$11)),0)</f>
        <v>0</v>
      </c>
      <c r="AU316" s="545">
        <f ca="1">IF(AND($D316="Serviço",AU$12&lt;&gt;0,$H316&gt;0,OR(AUTOEVENTO&lt;&gt;"manual",$M316&lt;&gt;1)),
IF(Import.TipoArredondamento&lt;&gt;"TransfereGOV",
ROUND(OFFSET($P316,0,AU$13),15-13*ORÇAMENTO!$AF$7)/$H316*OFFSET(ORÇAMENTO!$X$15,ROW(AU316)-ROW(AU$15),0),
ROUND(ROUND(OFFSET($P316,0,AU$13),15-13*ORÇAMENTO!$AF$7)*OFFSET(ORÇAMENTO!$W$15,ROW(AU316)-ROW(AU$15),0),15-13*ORÇAMENTO!$AF$11)),0)</f>
        <v>0</v>
      </c>
      <c r="AV316" s="545">
        <f ca="1">IF(AND($D316="Serviço",AV$12&lt;&gt;0,$H316&gt;0,OR(AUTOEVENTO&lt;&gt;"manual",$M316&lt;&gt;1)),
IF(Import.TipoArredondamento&lt;&gt;"TransfereGOV",
ROUND(OFFSET($P316,0,AV$13),15-13*ORÇAMENTO!$AF$7)/$H316*OFFSET(ORÇAMENTO!$X$15,ROW(AV316)-ROW(AV$15),0),
ROUND(ROUND(OFFSET($P316,0,AV$13),15-13*ORÇAMENTO!$AF$7)*OFFSET(ORÇAMENTO!$W$15,ROW(AV316)-ROW(AV$15),0),15-13*ORÇAMENTO!$AF$11)),0)</f>
        <v>0</v>
      </c>
      <c r="AW316" s="545">
        <f ca="1">IF(AND($D316="Serviço",AW$12&lt;&gt;0,$H316&gt;0,OR(AUTOEVENTO&lt;&gt;"manual",$M316&lt;&gt;1)),
IF(Import.TipoArredondamento&lt;&gt;"TransfereGOV",
ROUND(OFFSET($P316,0,AW$13),15-13*ORÇAMENTO!$AF$7)/$H316*OFFSET(ORÇAMENTO!$X$15,ROW(AW316)-ROW(AW$15),0),
ROUND(ROUND(OFFSET($P316,0,AW$13),15-13*ORÇAMENTO!$AF$7)*OFFSET(ORÇAMENTO!$W$15,ROW(AW316)-ROW(AW$15),0),15-13*ORÇAMENTO!$AF$11)),0)</f>
        <v>0</v>
      </c>
      <c r="AX316" s="545">
        <f ca="1">IF(AND($D316="Serviço",AX$12&lt;&gt;0,$H316&gt;0,OR(AUTOEVENTO&lt;&gt;"manual",$M316&lt;&gt;1)),
IF(Import.TipoArredondamento&lt;&gt;"TransfereGOV",
ROUND(OFFSET($P316,0,AX$13),15-13*ORÇAMENTO!$AF$7)/$H316*OFFSET(ORÇAMENTO!$X$15,ROW(AX316)-ROW(AX$15),0),
ROUND(ROUND(OFFSET($P316,0,AX$13),15-13*ORÇAMENTO!$AF$7)*OFFSET(ORÇAMENTO!$W$15,ROW(AX316)-ROW(AX$15),0),15-13*ORÇAMENTO!$AF$11)),0)</f>
        <v>0</v>
      </c>
      <c r="AY316" s="545">
        <f ca="1">IF(AND($D316="Serviço",AY$12&lt;&gt;0,$H316&gt;0,OR(AUTOEVENTO&lt;&gt;"manual",$M316&lt;&gt;1)),
IF(Import.TipoArredondamento&lt;&gt;"TransfereGOV",
ROUND(OFFSET($P316,0,AY$13),15-13*ORÇAMENTO!$AF$7)/$H316*OFFSET(ORÇAMENTO!$X$15,ROW(AY316)-ROW(AY$15),0),
ROUND(ROUND(OFFSET($P316,0,AY$13),15-13*ORÇAMENTO!$AF$7)*OFFSET(ORÇAMENTO!$W$15,ROW(AY316)-ROW(AY$15),0),15-13*ORÇAMENTO!$AF$11)),0)</f>
        <v>0</v>
      </c>
      <c r="AZ316" s="545">
        <f ca="1">IF(AND($D316="Serviço",AZ$12&lt;&gt;0,$H316&gt;0,OR(AUTOEVENTO&lt;&gt;"manual",$M316&lt;&gt;1)),
IF(Import.TipoArredondamento&lt;&gt;"TransfereGOV",
ROUND(OFFSET($P316,0,AZ$13),15-13*ORÇAMENTO!$AF$7)/$H316*OFFSET(ORÇAMENTO!$X$15,ROW(AZ316)-ROW(AZ$15),0),
ROUND(ROUND(OFFSET($P316,0,AZ$13),15-13*ORÇAMENTO!$AF$7)*OFFSET(ORÇAMENTO!$W$15,ROW(AZ316)-ROW(AZ$15),0),15-13*ORÇAMENTO!$AF$11)),0)</f>
        <v>0</v>
      </c>
      <c r="BA316" s="546">
        <f ca="1">IF(AND($D316="Serviço",BA$12&lt;&gt;0,$H316&gt;0,OR(AUTOEVENTO&lt;&gt;"manual",$M316&lt;&gt;1)),
IF(Import.TipoArredondamento&lt;&gt;"TransfereGOV",
ROUND(OFFSET($P316,0,BA$13),15-13*ORÇAMENTO!$AF$7)/$H316*OFFSET(ORÇAMENTO!$X$15,ROW(BA316)-ROW(BA$15),0),
ROUND(ROUND(OFFSET($P316,0,BA$13),15-13*ORÇAMENTO!$AF$7)*OFFSET(ORÇAMENTO!$W$15,ROW(BA316)-ROW(BA$15),0),15-13*ORÇAMENTO!$AF$11)),0)</f>
        <v>0</v>
      </c>
      <c r="BC316" s="181">
        <f ca="1">IF($D316&lt;&gt;"Serviço",0,IF(AND(AUTOEVENTO="Manual",$M316=1),0,IF(OFFSET(CRONOPLE!$F$14,$M316,BC$13)="",10^12,OFFSET(CRONOPLE!$F$14,$M316,BC$13))))</f>
        <v>0</v>
      </c>
      <c r="BD316" s="181">
        <f ca="1">IF($D316&lt;&gt;"Serviço",0,IF(AND(AUTOEVENTO="Manual",$M316=1),0,IF(OFFSET(CRONOPLE!$F$14,$M316,BD$13)="",10^12,OFFSET(CRONOPLE!$F$14,$M316,BD$13))))</f>
        <v>0</v>
      </c>
      <c r="BE316" s="181">
        <f ca="1">IF($D316&lt;&gt;"Serviço",0,IF(AND(AUTOEVENTO="Manual",$M316=1),0,IF(OFFSET(CRONOPLE!$F$14,$M316,BE$13)="",10^12,OFFSET(CRONOPLE!$F$14,$M316,BE$13))))</f>
        <v>0</v>
      </c>
      <c r="BF316" s="181">
        <f ca="1">IF($D316&lt;&gt;"Serviço",0,IF(AND(AUTOEVENTO="Manual",$M316=1),0,IF(OFFSET(CRONOPLE!$F$14,$M316,BF$13)="",10^12,OFFSET(CRONOPLE!$F$14,$M316,BF$13))))</f>
        <v>0</v>
      </c>
      <c r="BG316" s="181">
        <f ca="1">IF($D316&lt;&gt;"Serviço",0,IF(AND(AUTOEVENTO="Manual",$M316=1),0,IF(OFFSET(CRONOPLE!$F$14,$M316,BG$13)="",10^12,OFFSET(CRONOPLE!$F$14,$M316,BG$13))))</f>
        <v>0</v>
      </c>
      <c r="BH316" s="181">
        <f ca="1">IF($D316&lt;&gt;"Serviço",0,IF(AND(AUTOEVENTO="Manual",$M316=1),0,IF(OFFSET(CRONOPLE!$F$14,$M316,BH$13)="",10^12,OFFSET(CRONOPLE!$F$14,$M316,BH$13))))</f>
        <v>0</v>
      </c>
      <c r="BI316" s="181">
        <f ca="1">IF($D316&lt;&gt;"Serviço",0,IF(AND(AUTOEVENTO="Manual",$M316=1),0,IF(OFFSET(CRONOPLE!$F$14,$M316,BI$13)="",10^12,OFFSET(CRONOPLE!$F$14,$M316,BI$13))))</f>
        <v>0</v>
      </c>
      <c r="BJ316" s="181">
        <f ca="1">IF($D316&lt;&gt;"Serviço",0,IF(AND(AUTOEVENTO="Manual",$M316=1),0,IF(OFFSET(CRONOPLE!$F$14,$M316,BJ$13)="",10^12,OFFSET(CRONOPLE!$F$14,$M316,BJ$13))))</f>
        <v>0</v>
      </c>
      <c r="BK316" s="181">
        <f ca="1">IF($D316&lt;&gt;"Serviço",0,IF(AND(AUTOEVENTO="Manual",$M316=1),0,IF(OFFSET(CRONOPLE!$F$14,$M316,BK$13)="",10^12,OFFSET(CRONOPLE!$F$14,$M316,BK$13))))</f>
        <v>0</v>
      </c>
      <c r="BL316" s="181">
        <f ca="1">IF($D316&lt;&gt;"Serviço",0,IF(AND(AUTOEVENTO="Manual",$M316=1),0,IF(OFFSET(CRONOPLE!$F$14,$M316,BL$13)="",10^12,OFFSET(CRONOPLE!$F$14,$M316,BL$13))))</f>
        <v>0</v>
      </c>
      <c r="BM316" s="181">
        <f ca="1">IF($D316&lt;&gt;"Serviço",0,IF(AND(AUTOEVENTO="Manual",$M316=1),0,IF(OFFSET(CRONOPLE!$F$14,$M316,BM$13)="",10^12,OFFSET(CRONOPLE!$F$14,$M316,BM$13))))</f>
        <v>0</v>
      </c>
      <c r="BN316" s="181">
        <f ca="1">IF($D316&lt;&gt;"Serviço",0,IF(AND(AUTOEVENTO="Manual",$M316=1),0,IF(OFFSET(CRONOPLE!$F$14,$M316,BN$13)="",10^12,OFFSET(CRONOPLE!$F$14,$M316,BN$13))))</f>
        <v>0</v>
      </c>
      <c r="BO316" s="181">
        <f ca="1">IF($D316&lt;&gt;"Serviço",0,IF(AND(AUTOEVENTO="Manual",$M316=1),0,IF(OFFSET(CRONOPLE!$F$14,$M316,BO$13)="",10^12,OFFSET(CRONOPLE!$F$14,$M316,BO$13))))</f>
        <v>0</v>
      </c>
      <c r="BP316" s="181">
        <f ca="1">IF($D316&lt;&gt;"Serviço",0,IF(AND(AUTOEVENTO="Manual",$M316=1),0,IF(OFFSET(CRONOPLE!$F$14,$M316,BP$13)="",10^12,OFFSET(CRONOPLE!$F$14,$M316,BP$13))))</f>
        <v>0</v>
      </c>
      <c r="BQ316" s="181">
        <f ca="1">IF($D316&lt;&gt;"Serviço",0,IF(AND(AUTOEVENTO="Manual",$M316=1),0,IF(OFFSET(CRONOPLE!$F$14,$M316,BQ$13)="",10^12,OFFSET(CRONOPLE!$F$14,$M316,BQ$13))))</f>
        <v>0</v>
      </c>
      <c r="BR316" s="181">
        <f ca="1">IF($D316&lt;&gt;"Serviço",0,IF(AND(AUTOEVENTO="Manual",$M316=1),0,IF(OFFSET(CRONOPLE!$F$14,$M316,BR$13)="",10^12,OFFSET(CRONOPLE!$F$14,$M316,BR$13))))</f>
        <v>0</v>
      </c>
      <c r="BS316" s="181">
        <f ca="1">IF($D316&lt;&gt;"Serviço",0,IF(AND(AUTOEVENTO="Manual",$M316=1),0,IF(OFFSET(CRONOPLE!$F$14,$M316,BS$13)="",10^12,OFFSET(CRONOPLE!$F$14,$M316,BS$13))))</f>
        <v>0</v>
      </c>
      <c r="BT316" s="181">
        <f ca="1">IF($D316&lt;&gt;"Serviço",0,IF(AND(AUTOEVENTO="Manual",$M316=1),0,IF(OFFSET(CRONOPLE!$F$14,$M316,BT$13)="",10^12,OFFSET(CRONOPLE!$F$14,$M316,BT$13))))</f>
        <v>0</v>
      </c>
      <c r="BV316" s="182">
        <f ca="1">IF($D316&lt;&gt;"Serviço",0,IF(OR(AND(AUTOEVENTO="Manual",$M316=1),$M316&gt;(ROW(PLE.lastrow)-ROW(PLE.firstrow))),0,IF(OFFSET(PLE!$G$14,$M316,BV$13)="",10^12,OFFSET(PLE!$G$14,$M316,BV$13))))</f>
        <v>0</v>
      </c>
      <c r="BW316" s="182">
        <f ca="1">IF($D316&lt;&gt;"Serviço",0,IF(OR(AND(AUTOEVENTO="Manual",$M316=1),$M316&gt;(ROW(PLE.lastrow)-ROW(PLE.firstrow))),0,IF(OFFSET(PLE!$G$14,$M316,BW$13)="",10^12,OFFSET(PLE!$G$14,$M316,BW$13))))</f>
        <v>0</v>
      </c>
      <c r="BX316" s="182">
        <f ca="1">IF($D316&lt;&gt;"Serviço",0,IF(OR(AND(AUTOEVENTO="Manual",$M316=1),$M316&gt;(ROW(PLE.lastrow)-ROW(PLE.firstrow))),0,IF(OFFSET(PLE!$G$14,$M316,BX$13)="",10^12,OFFSET(PLE!$G$14,$M316,BX$13))))</f>
        <v>0</v>
      </c>
      <c r="BY316" s="182">
        <f ca="1">IF($D316&lt;&gt;"Serviço",0,IF(OR(AND(AUTOEVENTO="Manual",$M316=1),$M316&gt;(ROW(PLE.lastrow)-ROW(PLE.firstrow))),0,IF(OFFSET(PLE!$G$14,$M316,BY$13)="",10^12,OFFSET(PLE!$G$14,$M316,BY$13))))</f>
        <v>0</v>
      </c>
      <c r="BZ316" s="182">
        <f ca="1">IF($D316&lt;&gt;"Serviço",0,IF(OR(AND(AUTOEVENTO="Manual",$M316=1),$M316&gt;(ROW(PLE.lastrow)-ROW(PLE.firstrow))),0,IF(OFFSET(PLE!$G$14,$M316,BZ$13)="",10^12,OFFSET(PLE!$G$14,$M316,BZ$13))))</f>
        <v>0</v>
      </c>
      <c r="CA316" s="182">
        <f ca="1">IF($D316&lt;&gt;"Serviço",0,IF(OR(AND(AUTOEVENTO="Manual",$M316=1),$M316&gt;(ROW(PLE.lastrow)-ROW(PLE.firstrow))),0,IF(OFFSET(PLE!$G$14,$M316,CA$13)="",10^12,OFFSET(PLE!$G$14,$M316,CA$13))))</f>
        <v>0</v>
      </c>
      <c r="CB316" s="182">
        <f ca="1">IF($D316&lt;&gt;"Serviço",0,IF(OR(AND(AUTOEVENTO="Manual",$M316=1),$M316&gt;(ROW(PLE.lastrow)-ROW(PLE.firstrow))),0,IF(OFFSET(PLE!$G$14,$M316,CB$13)="",10^12,OFFSET(PLE!$G$14,$M316,CB$13))))</f>
        <v>0</v>
      </c>
      <c r="CC316" s="182">
        <f ca="1">IF($D316&lt;&gt;"Serviço",0,IF(OR(AND(AUTOEVENTO="Manual",$M316=1),$M316&gt;(ROW(PLE.lastrow)-ROW(PLE.firstrow))),0,IF(OFFSET(PLE!$G$14,$M316,CC$13)="",10^12,OFFSET(PLE!$G$14,$M316,CC$13))))</f>
        <v>0</v>
      </c>
      <c r="CD316" s="182">
        <f ca="1">IF($D316&lt;&gt;"Serviço",0,IF(OR(AND(AUTOEVENTO="Manual",$M316=1),$M316&gt;(ROW(PLE.lastrow)-ROW(PLE.firstrow))),0,IF(OFFSET(PLE!$G$14,$M316,CD$13)="",10^12,OFFSET(PLE!$G$14,$M316,CD$13))))</f>
        <v>0</v>
      </c>
      <c r="CE316" s="182">
        <f ca="1">IF($D316&lt;&gt;"Serviço",0,IF(OR(AND(AUTOEVENTO="Manual",$M316=1),$M316&gt;(ROW(PLE.lastrow)-ROW(PLE.firstrow))),0,IF(OFFSET(PLE!$G$14,$M316,CE$13)="",10^12,OFFSET(PLE!$G$14,$M316,CE$13))))</f>
        <v>0</v>
      </c>
      <c r="CF316" s="182">
        <f ca="1">IF($D316&lt;&gt;"Serviço",0,IF(OR(AND(AUTOEVENTO="Manual",$M316=1),$M316&gt;(ROW(PLE.lastrow)-ROW(PLE.firstrow))),0,IF(OFFSET(PLE!$G$14,$M316,CF$13)="",10^12,OFFSET(PLE!$G$14,$M316,CF$13))))</f>
        <v>0</v>
      </c>
      <c r="CG316" s="182">
        <f ca="1">IF($D316&lt;&gt;"Serviço",0,IF(OR(AND(AUTOEVENTO="Manual",$M316=1),$M316&gt;(ROW(PLE.lastrow)-ROW(PLE.firstrow))),0,IF(OFFSET(PLE!$G$14,$M316,CG$13)="",10^12,OFFSET(PLE!$G$14,$M316,CG$13))))</f>
        <v>0</v>
      </c>
      <c r="CH316" s="182">
        <f ca="1">IF($D316&lt;&gt;"Serviço",0,IF(OR(AND(AUTOEVENTO="Manual",$M316=1),$M316&gt;(ROW(PLE.lastrow)-ROW(PLE.firstrow))),0,IF(OFFSET(PLE!$G$14,$M316,CH$13)="",10^12,OFFSET(PLE!$G$14,$M316,CH$13))))</f>
        <v>0</v>
      </c>
      <c r="CI316" s="182">
        <f ca="1">IF($D316&lt;&gt;"Serviço",0,IF(OR(AND(AUTOEVENTO="Manual",$M316=1),$M316&gt;(ROW(PLE.lastrow)-ROW(PLE.firstrow))),0,IF(OFFSET(PLE!$G$14,$M316,CI$13)="",10^12,OFFSET(PLE!$G$14,$M316,CI$13))))</f>
        <v>0</v>
      </c>
      <c r="CJ316" s="182">
        <f ca="1">IF($D316&lt;&gt;"Serviço",0,IF(OR(AND(AUTOEVENTO="Manual",$M316=1),$M316&gt;(ROW(PLE.lastrow)-ROW(PLE.firstrow))),0,IF(OFFSET(PLE!$G$14,$M316,CJ$13)="",10^12,OFFSET(PLE!$G$14,$M316,CJ$13))))</f>
        <v>0</v>
      </c>
      <c r="CK316" s="182">
        <f ca="1">IF($D316&lt;&gt;"Serviço",0,IF(OR(AND(AUTOEVENTO="Manual",$M316=1),$M316&gt;(ROW(PLE.lastrow)-ROW(PLE.firstrow))),0,IF(OFFSET(PLE!$G$14,$M316,CK$13)="",10^12,OFFSET(PLE!$G$14,$M316,CK$13))))</f>
        <v>0</v>
      </c>
      <c r="CL316" s="182">
        <f ca="1">IF($D316&lt;&gt;"Serviço",0,IF(OR(AND(AUTOEVENTO="Manual",$M316=1),$M316&gt;(ROW(PLE.lastrow)-ROW(PLE.firstrow))),0,IF(OFFSET(PLE!$G$14,$M316,CL$13)="",10^12,OFFSET(PLE!$G$14,$M316,CL$13))))</f>
        <v>0</v>
      </c>
      <c r="CM316" s="182">
        <f ca="1">IF($D316&lt;&gt;"Serviço",0,IF(OR(AND(AUTOEVENTO="Manual",$M316=1),$M316&gt;(ROW(PLE.lastrow)-ROW(PLE.firstrow))),0,IF(OFFSET(PLE!$G$14,$M316,CM$13)="",10^12,OFFSET(PLE!$G$14,$M316,CM$13))))</f>
        <v>0</v>
      </c>
    </row>
    <row r="317" spans="1:91" ht="38.25" x14ac:dyDescent="0.2">
      <c r="A317" s="7" t="str">
        <f t="shared" ca="1" si="12"/>
        <v>301</v>
      </c>
      <c r="B317" s="7" t="str">
        <f ca="1">OFFSET(ORÇAMENTO!C$15,ROW(B317)-ROW(B$15),0)</f>
        <v>S</v>
      </c>
      <c r="C317" s="7" t="str">
        <f ca="1">OFFSET(ORÇAMENTO!L$15,ROW(C317)-ROW(C$15),0)</f>
        <v/>
      </c>
      <c r="D317" s="118" t="str">
        <f ca="1">OFFSET(ORÇAMENTO!N$15,ROW(D317)-ROW(D$15),0)</f>
        <v>Serviço</v>
      </c>
      <c r="E317" s="119" t="str">
        <f ca="1">OFFSET(ORÇAMENTO!O$15,ROW(E317)-ROW(E$15),0)</f>
        <v>-</v>
      </c>
      <c r="F317" s="172" t="str">
        <f ca="1">OFFSET(ORÇAMENTO!R$15,ROW(F317)-ROW(F$15),0)</f>
        <v>(abra o arquivo 'Referência 06-2024.xlsm)</v>
      </c>
      <c r="G317" s="173" t="str">
        <f ca="1">IF($D317&lt;&gt;"Serviço","",OFFSET(ORÇAMENTO!S$15,ROW(G317)-ROW(G$15),0))</f>
        <v>-</v>
      </c>
      <c r="H317" s="124">
        <f ca="1">IF($D317&lt;&gt;"Serviço",0,IF(ACOMPANHAMENTO="BM",ROUND(OFFSET(ORÇAMENTO!AJ$15,ROW(H317)-ROW(H$15),0),15-13*ORÇAMENTO!$AF$7),SUMPRODUCT(($Q$12:$AI$12&lt;&gt;"")*ROUND($Q317:$AI317,15-13*ORÇAMENTO!$AF$7))))</f>
        <v>13</v>
      </c>
      <c r="I317" s="561" t="s">
        <v>1107</v>
      </c>
      <c r="K317" s="174"/>
      <c r="L317" s="175" t="s">
        <v>255</v>
      </c>
      <c r="M317" s="176">
        <f ca="1">IF($D317&lt;&gt;"Serviço","",IF(AUTOEVENTO="manual",$A317,IF(ISERROR(MATCH($A317,$A$15:OFFSET($A317,-1,0),0)),MAX($M$15:OFFSET(M317,-1,0))+1,INDEX($M$15:OFFSET(M317,-1,0),MATCH($A317,$A$15:OFFSET($A317,-1,0),0)))))</f>
        <v>40</v>
      </c>
      <c r="N317" s="177" t="str">
        <f ca="1">IF($D317&lt;&gt;"Serviço","",IF(AUTOEVENTO="Manual",IF($A317=0,"&lt;-- defina o número do agrupador",OFFSET(EVENTOS!$D$14,$A317,0)),OFFSET($F$15,$A317,0)))</f>
        <v>DRENAGEM DE ÁGUAS PLUVIAIS - ACESSÓRIOS</v>
      </c>
      <c r="O317" s="178"/>
      <c r="Q317" s="178">
        <v>13</v>
      </c>
      <c r="R317" s="179"/>
      <c r="S317" s="179"/>
      <c r="T317" s="179"/>
      <c r="U317" s="179"/>
      <c r="V317" s="179"/>
      <c r="W317" s="179"/>
      <c r="X317" s="179"/>
      <c r="Y317" s="179"/>
      <c r="Z317" s="180"/>
      <c r="AA317" s="179"/>
      <c r="AB317" s="179"/>
      <c r="AC317" s="179"/>
      <c r="AD317" s="179"/>
      <c r="AE317" s="179"/>
      <c r="AF317" s="179"/>
      <c r="AG317" s="179"/>
      <c r="AH317" s="180"/>
      <c r="AJ317" s="544">
        <f ca="1">IF(AND($D317="Serviço",AJ$12&lt;&gt;0,$H317&gt;0,OR(AUTOEVENTO&lt;&gt;"manual",$M317&lt;&gt;1)),
IF(Import.TipoArredondamento&lt;&gt;"TransfereGOV",
ROUND(OFFSET($P317,0,AJ$13),15-13*ORÇAMENTO!$AF$7)/$H317*OFFSET(ORÇAMENTO!$X$15,ROW(AJ317)-ROW(AJ$15),0),
ROUND(ROUND(OFFSET($P317,0,AJ$13),15-13*ORÇAMENTO!$AF$7)*OFFSET(ORÇAMENTO!$W$15,ROW(AJ317)-ROW(AJ$15),0),15-13*ORÇAMENTO!$AF$11)),0)</f>
        <v>0</v>
      </c>
      <c r="AK317" s="545">
        <f ca="1">IF(AND($D317="Serviço",AK$12&lt;&gt;0,$H317&gt;0,OR(AUTOEVENTO&lt;&gt;"manual",$M317&lt;&gt;1)),
IF(Import.TipoArredondamento&lt;&gt;"TransfereGOV",
ROUND(OFFSET($P317,0,AK$13),15-13*ORÇAMENTO!$AF$7)/$H317*OFFSET(ORÇAMENTO!$X$15,ROW(AK317)-ROW(AK$15),0),
ROUND(ROUND(OFFSET($P317,0,AK$13),15-13*ORÇAMENTO!$AF$7)*OFFSET(ORÇAMENTO!$W$15,ROW(AK317)-ROW(AK$15),0),15-13*ORÇAMENTO!$AF$11)),0)</f>
        <v>0</v>
      </c>
      <c r="AL317" s="545">
        <f ca="1">IF(AND($D317="Serviço",AL$12&lt;&gt;0,$H317&gt;0,OR(AUTOEVENTO&lt;&gt;"manual",$M317&lt;&gt;1)),
IF(Import.TipoArredondamento&lt;&gt;"TransfereGOV",
ROUND(OFFSET($P317,0,AL$13),15-13*ORÇAMENTO!$AF$7)/$H317*OFFSET(ORÇAMENTO!$X$15,ROW(AL317)-ROW(AL$15),0),
ROUND(ROUND(OFFSET($P317,0,AL$13),15-13*ORÇAMENTO!$AF$7)*OFFSET(ORÇAMENTO!$W$15,ROW(AL317)-ROW(AL$15),0),15-13*ORÇAMENTO!$AF$11)),0)</f>
        <v>0</v>
      </c>
      <c r="AM317" s="545">
        <f ca="1">IF(AND($D317="Serviço",AM$12&lt;&gt;0,$H317&gt;0,OR(AUTOEVENTO&lt;&gt;"manual",$M317&lt;&gt;1)),
IF(Import.TipoArredondamento&lt;&gt;"TransfereGOV",
ROUND(OFFSET($P317,0,AM$13),15-13*ORÇAMENTO!$AF$7)/$H317*OFFSET(ORÇAMENTO!$X$15,ROW(AM317)-ROW(AM$15),0),
ROUND(ROUND(OFFSET($P317,0,AM$13),15-13*ORÇAMENTO!$AF$7)*OFFSET(ORÇAMENTO!$W$15,ROW(AM317)-ROW(AM$15),0),15-13*ORÇAMENTO!$AF$11)),0)</f>
        <v>0</v>
      </c>
      <c r="AN317" s="545">
        <f ca="1">IF(AND($D317="Serviço",AN$12&lt;&gt;0,$H317&gt;0,OR(AUTOEVENTO&lt;&gt;"manual",$M317&lt;&gt;1)),
IF(Import.TipoArredondamento&lt;&gt;"TransfereGOV",
ROUND(OFFSET($P317,0,AN$13),15-13*ORÇAMENTO!$AF$7)/$H317*OFFSET(ORÇAMENTO!$X$15,ROW(AN317)-ROW(AN$15),0),
ROUND(ROUND(OFFSET($P317,0,AN$13),15-13*ORÇAMENTO!$AF$7)*OFFSET(ORÇAMENTO!$W$15,ROW(AN317)-ROW(AN$15),0),15-13*ORÇAMENTO!$AF$11)),0)</f>
        <v>0</v>
      </c>
      <c r="AO317" s="545">
        <f ca="1">IF(AND($D317="Serviço",AO$12&lt;&gt;0,$H317&gt;0,OR(AUTOEVENTO&lt;&gt;"manual",$M317&lt;&gt;1)),
IF(Import.TipoArredondamento&lt;&gt;"TransfereGOV",
ROUND(OFFSET($P317,0,AO$13),15-13*ORÇAMENTO!$AF$7)/$H317*OFFSET(ORÇAMENTO!$X$15,ROW(AO317)-ROW(AO$15),0),
ROUND(ROUND(OFFSET($P317,0,AO$13),15-13*ORÇAMENTO!$AF$7)*OFFSET(ORÇAMENTO!$W$15,ROW(AO317)-ROW(AO$15),0),15-13*ORÇAMENTO!$AF$11)),0)</f>
        <v>0</v>
      </c>
      <c r="AP317" s="545">
        <f ca="1">IF(AND($D317="Serviço",AP$12&lt;&gt;0,$H317&gt;0,OR(AUTOEVENTO&lt;&gt;"manual",$M317&lt;&gt;1)),
IF(Import.TipoArredondamento&lt;&gt;"TransfereGOV",
ROUND(OFFSET($P317,0,AP$13),15-13*ORÇAMENTO!$AF$7)/$H317*OFFSET(ORÇAMENTO!$X$15,ROW(AP317)-ROW(AP$15),0),
ROUND(ROUND(OFFSET($P317,0,AP$13),15-13*ORÇAMENTO!$AF$7)*OFFSET(ORÇAMENTO!$W$15,ROW(AP317)-ROW(AP$15),0),15-13*ORÇAMENTO!$AF$11)),0)</f>
        <v>0</v>
      </c>
      <c r="AQ317" s="545">
        <f ca="1">IF(AND($D317="Serviço",AQ$12&lt;&gt;0,$H317&gt;0,OR(AUTOEVENTO&lt;&gt;"manual",$M317&lt;&gt;1)),
IF(Import.TipoArredondamento&lt;&gt;"TransfereGOV",
ROUND(OFFSET($P317,0,AQ$13),15-13*ORÇAMENTO!$AF$7)/$H317*OFFSET(ORÇAMENTO!$X$15,ROW(AQ317)-ROW(AQ$15),0),
ROUND(ROUND(OFFSET($P317,0,AQ$13),15-13*ORÇAMENTO!$AF$7)*OFFSET(ORÇAMENTO!$W$15,ROW(AQ317)-ROW(AQ$15),0),15-13*ORÇAMENTO!$AF$11)),0)</f>
        <v>0</v>
      </c>
      <c r="AR317" s="545">
        <f ca="1">IF(AND($D317="Serviço",AR$12&lt;&gt;0,$H317&gt;0,OR(AUTOEVENTO&lt;&gt;"manual",$M317&lt;&gt;1)),
IF(Import.TipoArredondamento&lt;&gt;"TransfereGOV",
ROUND(OFFSET($P317,0,AR$13),15-13*ORÇAMENTO!$AF$7)/$H317*OFFSET(ORÇAMENTO!$X$15,ROW(AR317)-ROW(AR$15),0),
ROUND(ROUND(OFFSET($P317,0,AR$13),15-13*ORÇAMENTO!$AF$7)*OFFSET(ORÇAMENTO!$W$15,ROW(AR317)-ROW(AR$15),0),15-13*ORÇAMENTO!$AF$11)),0)</f>
        <v>0</v>
      </c>
      <c r="AS317" s="546">
        <f ca="1">IF(AND($D317="Serviço",AS$12&lt;&gt;0,$H317&gt;0,OR(AUTOEVENTO&lt;&gt;"manual",$M317&lt;&gt;1)),
IF(Import.TipoArredondamento&lt;&gt;"TransfereGOV",
ROUND(OFFSET($P317,0,AS$13),15-13*ORÇAMENTO!$AF$7)/$H317*OFFSET(ORÇAMENTO!$X$15,ROW(AS317)-ROW(AS$15),0),
ROUND(ROUND(OFFSET($P317,0,AS$13),15-13*ORÇAMENTO!$AF$7)*OFFSET(ORÇAMENTO!$W$15,ROW(AS317)-ROW(AS$15),0),15-13*ORÇAMENTO!$AF$11)),0)</f>
        <v>0</v>
      </c>
      <c r="AT317" s="545">
        <f ca="1">IF(AND($D317="Serviço",AT$12&lt;&gt;0,$H317&gt;0,OR(AUTOEVENTO&lt;&gt;"manual",$M317&lt;&gt;1)),
IF(Import.TipoArredondamento&lt;&gt;"TransfereGOV",
ROUND(OFFSET($P317,0,AT$13),15-13*ORÇAMENTO!$AF$7)/$H317*OFFSET(ORÇAMENTO!$X$15,ROW(AT317)-ROW(AT$15),0),
ROUND(ROUND(OFFSET($P317,0,AT$13),15-13*ORÇAMENTO!$AF$7)*OFFSET(ORÇAMENTO!$W$15,ROW(AT317)-ROW(AT$15),0),15-13*ORÇAMENTO!$AF$11)),0)</f>
        <v>0</v>
      </c>
      <c r="AU317" s="545">
        <f ca="1">IF(AND($D317="Serviço",AU$12&lt;&gt;0,$H317&gt;0,OR(AUTOEVENTO&lt;&gt;"manual",$M317&lt;&gt;1)),
IF(Import.TipoArredondamento&lt;&gt;"TransfereGOV",
ROUND(OFFSET($P317,0,AU$13),15-13*ORÇAMENTO!$AF$7)/$H317*OFFSET(ORÇAMENTO!$X$15,ROW(AU317)-ROW(AU$15),0),
ROUND(ROUND(OFFSET($P317,0,AU$13),15-13*ORÇAMENTO!$AF$7)*OFFSET(ORÇAMENTO!$W$15,ROW(AU317)-ROW(AU$15),0),15-13*ORÇAMENTO!$AF$11)),0)</f>
        <v>0</v>
      </c>
      <c r="AV317" s="545">
        <f ca="1">IF(AND($D317="Serviço",AV$12&lt;&gt;0,$H317&gt;0,OR(AUTOEVENTO&lt;&gt;"manual",$M317&lt;&gt;1)),
IF(Import.TipoArredondamento&lt;&gt;"TransfereGOV",
ROUND(OFFSET($P317,0,AV$13),15-13*ORÇAMENTO!$AF$7)/$H317*OFFSET(ORÇAMENTO!$X$15,ROW(AV317)-ROW(AV$15),0),
ROUND(ROUND(OFFSET($P317,0,AV$13),15-13*ORÇAMENTO!$AF$7)*OFFSET(ORÇAMENTO!$W$15,ROW(AV317)-ROW(AV$15),0),15-13*ORÇAMENTO!$AF$11)),0)</f>
        <v>0</v>
      </c>
      <c r="AW317" s="545">
        <f ca="1">IF(AND($D317="Serviço",AW$12&lt;&gt;0,$H317&gt;0,OR(AUTOEVENTO&lt;&gt;"manual",$M317&lt;&gt;1)),
IF(Import.TipoArredondamento&lt;&gt;"TransfereGOV",
ROUND(OFFSET($P317,0,AW$13),15-13*ORÇAMENTO!$AF$7)/$H317*OFFSET(ORÇAMENTO!$X$15,ROW(AW317)-ROW(AW$15),0),
ROUND(ROUND(OFFSET($P317,0,AW$13),15-13*ORÇAMENTO!$AF$7)*OFFSET(ORÇAMENTO!$W$15,ROW(AW317)-ROW(AW$15),0),15-13*ORÇAMENTO!$AF$11)),0)</f>
        <v>0</v>
      </c>
      <c r="AX317" s="545">
        <f ca="1">IF(AND($D317="Serviço",AX$12&lt;&gt;0,$H317&gt;0,OR(AUTOEVENTO&lt;&gt;"manual",$M317&lt;&gt;1)),
IF(Import.TipoArredondamento&lt;&gt;"TransfereGOV",
ROUND(OFFSET($P317,0,AX$13),15-13*ORÇAMENTO!$AF$7)/$H317*OFFSET(ORÇAMENTO!$X$15,ROW(AX317)-ROW(AX$15),0),
ROUND(ROUND(OFFSET($P317,0,AX$13),15-13*ORÇAMENTO!$AF$7)*OFFSET(ORÇAMENTO!$W$15,ROW(AX317)-ROW(AX$15),0),15-13*ORÇAMENTO!$AF$11)),0)</f>
        <v>0</v>
      </c>
      <c r="AY317" s="545">
        <f ca="1">IF(AND($D317="Serviço",AY$12&lt;&gt;0,$H317&gt;0,OR(AUTOEVENTO&lt;&gt;"manual",$M317&lt;&gt;1)),
IF(Import.TipoArredondamento&lt;&gt;"TransfereGOV",
ROUND(OFFSET($P317,0,AY$13),15-13*ORÇAMENTO!$AF$7)/$H317*OFFSET(ORÇAMENTO!$X$15,ROW(AY317)-ROW(AY$15),0),
ROUND(ROUND(OFFSET($P317,0,AY$13),15-13*ORÇAMENTO!$AF$7)*OFFSET(ORÇAMENTO!$W$15,ROW(AY317)-ROW(AY$15),0),15-13*ORÇAMENTO!$AF$11)),0)</f>
        <v>0</v>
      </c>
      <c r="AZ317" s="545">
        <f ca="1">IF(AND($D317="Serviço",AZ$12&lt;&gt;0,$H317&gt;0,OR(AUTOEVENTO&lt;&gt;"manual",$M317&lt;&gt;1)),
IF(Import.TipoArredondamento&lt;&gt;"TransfereGOV",
ROUND(OFFSET($P317,0,AZ$13),15-13*ORÇAMENTO!$AF$7)/$H317*OFFSET(ORÇAMENTO!$X$15,ROW(AZ317)-ROW(AZ$15),0),
ROUND(ROUND(OFFSET($P317,0,AZ$13),15-13*ORÇAMENTO!$AF$7)*OFFSET(ORÇAMENTO!$W$15,ROW(AZ317)-ROW(AZ$15),0),15-13*ORÇAMENTO!$AF$11)),0)</f>
        <v>0</v>
      </c>
      <c r="BA317" s="546">
        <f ca="1">IF(AND($D317="Serviço",BA$12&lt;&gt;0,$H317&gt;0,OR(AUTOEVENTO&lt;&gt;"manual",$M317&lt;&gt;1)),
IF(Import.TipoArredondamento&lt;&gt;"TransfereGOV",
ROUND(OFFSET($P317,0,BA$13),15-13*ORÇAMENTO!$AF$7)/$H317*OFFSET(ORÇAMENTO!$X$15,ROW(BA317)-ROW(BA$15),0),
ROUND(ROUND(OFFSET($P317,0,BA$13),15-13*ORÇAMENTO!$AF$7)*OFFSET(ORÇAMENTO!$W$15,ROW(BA317)-ROW(BA$15),0),15-13*ORÇAMENTO!$AF$11)),0)</f>
        <v>0</v>
      </c>
      <c r="BC317" s="181">
        <f ca="1">IF($D317&lt;&gt;"Serviço",0,IF(AND(AUTOEVENTO="Manual",$M317=1),0,IF(OFFSET(CRONOPLE!$F$14,$M317,BC$13)="",10^12,OFFSET(CRONOPLE!$F$14,$M317,BC$13))))</f>
        <v>9</v>
      </c>
      <c r="BD317" s="181">
        <f ca="1">IF($D317&lt;&gt;"Serviço",0,IF(AND(AUTOEVENTO="Manual",$M317=1),0,IF(OFFSET(CRONOPLE!$F$14,$M317,BD$13)="",10^12,OFFSET(CRONOPLE!$F$14,$M317,BD$13))))</f>
        <v>1000000000000</v>
      </c>
      <c r="BE317" s="181">
        <f ca="1">IF($D317&lt;&gt;"Serviço",0,IF(AND(AUTOEVENTO="Manual",$M317=1),0,IF(OFFSET(CRONOPLE!$F$14,$M317,BE$13)="",10^12,OFFSET(CRONOPLE!$F$14,$M317,BE$13))))</f>
        <v>1000000000000</v>
      </c>
      <c r="BF317" s="181">
        <f ca="1">IF($D317&lt;&gt;"Serviço",0,IF(AND(AUTOEVENTO="Manual",$M317=1),0,IF(OFFSET(CRONOPLE!$F$14,$M317,BF$13)="",10^12,OFFSET(CRONOPLE!$F$14,$M317,BF$13))))</f>
        <v>1000000000000</v>
      </c>
      <c r="BG317" s="181">
        <f ca="1">IF($D317&lt;&gt;"Serviço",0,IF(AND(AUTOEVENTO="Manual",$M317=1),0,IF(OFFSET(CRONOPLE!$F$14,$M317,BG$13)="",10^12,OFFSET(CRONOPLE!$F$14,$M317,BG$13))))</f>
        <v>1000000000000</v>
      </c>
      <c r="BH317" s="181">
        <f ca="1">IF($D317&lt;&gt;"Serviço",0,IF(AND(AUTOEVENTO="Manual",$M317=1),0,IF(OFFSET(CRONOPLE!$F$14,$M317,BH$13)="",10^12,OFFSET(CRONOPLE!$F$14,$M317,BH$13))))</f>
        <v>1000000000000</v>
      </c>
      <c r="BI317" s="181">
        <f ca="1">IF($D317&lt;&gt;"Serviço",0,IF(AND(AUTOEVENTO="Manual",$M317=1),0,IF(OFFSET(CRONOPLE!$F$14,$M317,BI$13)="",10^12,OFFSET(CRONOPLE!$F$14,$M317,BI$13))))</f>
        <v>1000000000000</v>
      </c>
      <c r="BJ317" s="181">
        <f ca="1">IF($D317&lt;&gt;"Serviço",0,IF(AND(AUTOEVENTO="Manual",$M317=1),0,IF(OFFSET(CRONOPLE!$F$14,$M317,BJ$13)="",10^12,OFFSET(CRONOPLE!$F$14,$M317,BJ$13))))</f>
        <v>1000000000000</v>
      </c>
      <c r="BK317" s="181">
        <f ca="1">IF($D317&lt;&gt;"Serviço",0,IF(AND(AUTOEVENTO="Manual",$M317=1),0,IF(OFFSET(CRONOPLE!$F$14,$M317,BK$13)="",10^12,OFFSET(CRONOPLE!$F$14,$M317,BK$13))))</f>
        <v>1000000000000</v>
      </c>
      <c r="BL317" s="181">
        <f ca="1">IF($D317&lt;&gt;"Serviço",0,IF(AND(AUTOEVENTO="Manual",$M317=1),0,IF(OFFSET(CRONOPLE!$F$14,$M317,BL$13)="",10^12,OFFSET(CRONOPLE!$F$14,$M317,BL$13))))</f>
        <v>1000000000000</v>
      </c>
      <c r="BM317" s="181">
        <f ca="1">IF($D317&lt;&gt;"Serviço",0,IF(AND(AUTOEVENTO="Manual",$M317=1),0,IF(OFFSET(CRONOPLE!$F$14,$M317,BM$13)="",10^12,OFFSET(CRONOPLE!$F$14,$M317,BM$13))))</f>
        <v>1000000000000</v>
      </c>
      <c r="BN317" s="181">
        <f ca="1">IF($D317&lt;&gt;"Serviço",0,IF(AND(AUTOEVENTO="Manual",$M317=1),0,IF(OFFSET(CRONOPLE!$F$14,$M317,BN$13)="",10^12,OFFSET(CRONOPLE!$F$14,$M317,BN$13))))</f>
        <v>1000000000000</v>
      </c>
      <c r="BO317" s="181">
        <f ca="1">IF($D317&lt;&gt;"Serviço",0,IF(AND(AUTOEVENTO="Manual",$M317=1),0,IF(OFFSET(CRONOPLE!$F$14,$M317,BO$13)="",10^12,OFFSET(CRONOPLE!$F$14,$M317,BO$13))))</f>
        <v>1000000000000</v>
      </c>
      <c r="BP317" s="181">
        <f ca="1">IF($D317&lt;&gt;"Serviço",0,IF(AND(AUTOEVENTO="Manual",$M317=1),0,IF(OFFSET(CRONOPLE!$F$14,$M317,BP$13)="",10^12,OFFSET(CRONOPLE!$F$14,$M317,BP$13))))</f>
        <v>1000000000000</v>
      </c>
      <c r="BQ317" s="181">
        <f ca="1">IF($D317&lt;&gt;"Serviço",0,IF(AND(AUTOEVENTO="Manual",$M317=1),0,IF(OFFSET(CRONOPLE!$F$14,$M317,BQ$13)="",10^12,OFFSET(CRONOPLE!$F$14,$M317,BQ$13))))</f>
        <v>1000000000000</v>
      </c>
      <c r="BR317" s="181">
        <f ca="1">IF($D317&lt;&gt;"Serviço",0,IF(AND(AUTOEVENTO="Manual",$M317=1),0,IF(OFFSET(CRONOPLE!$F$14,$M317,BR$13)="",10^12,OFFSET(CRONOPLE!$F$14,$M317,BR$13))))</f>
        <v>1000000000000</v>
      </c>
      <c r="BS317" s="181">
        <f ca="1">IF($D317&lt;&gt;"Serviço",0,IF(AND(AUTOEVENTO="Manual",$M317=1),0,IF(OFFSET(CRONOPLE!$F$14,$M317,BS$13)="",10^12,OFFSET(CRONOPLE!$F$14,$M317,BS$13))))</f>
        <v>1000000000000</v>
      </c>
      <c r="BT317" s="181">
        <f ca="1">IF($D317&lt;&gt;"Serviço",0,IF(AND(AUTOEVENTO="Manual",$M317=1),0,IF(OFFSET(CRONOPLE!$F$14,$M317,BT$13)="",10^12,OFFSET(CRONOPLE!$F$14,$M317,BT$13))))</f>
        <v>1000000000000</v>
      </c>
      <c r="BV317" s="182">
        <f ca="1">IF($D317&lt;&gt;"Serviço",0,IF(OR(AND(AUTOEVENTO="Manual",$M317=1),$M317&gt;(ROW(PLE.lastrow)-ROW(PLE.firstrow))),0,IF(OFFSET(PLE!$G$14,$M317,BV$13)="",10^12,OFFSET(PLE!$G$14,$M317,BV$13))))</f>
        <v>1000000000000</v>
      </c>
      <c r="BW317" s="182">
        <f ca="1">IF($D317&lt;&gt;"Serviço",0,IF(OR(AND(AUTOEVENTO="Manual",$M317=1),$M317&gt;(ROW(PLE.lastrow)-ROW(PLE.firstrow))),0,IF(OFFSET(PLE!$G$14,$M317,BW$13)="",10^12,OFFSET(PLE!$G$14,$M317,BW$13))))</f>
        <v>1000000000000</v>
      </c>
      <c r="BX317" s="182">
        <f ca="1">IF($D317&lt;&gt;"Serviço",0,IF(OR(AND(AUTOEVENTO="Manual",$M317=1),$M317&gt;(ROW(PLE.lastrow)-ROW(PLE.firstrow))),0,IF(OFFSET(PLE!$G$14,$M317,BX$13)="",10^12,OFFSET(PLE!$G$14,$M317,BX$13))))</f>
        <v>1000000000000</v>
      </c>
      <c r="BY317" s="182">
        <f ca="1">IF($D317&lt;&gt;"Serviço",0,IF(OR(AND(AUTOEVENTO="Manual",$M317=1),$M317&gt;(ROW(PLE.lastrow)-ROW(PLE.firstrow))),0,IF(OFFSET(PLE!$G$14,$M317,BY$13)="",10^12,OFFSET(PLE!$G$14,$M317,BY$13))))</f>
        <v>1000000000000</v>
      </c>
      <c r="BZ317" s="182">
        <f ca="1">IF($D317&lt;&gt;"Serviço",0,IF(OR(AND(AUTOEVENTO="Manual",$M317=1),$M317&gt;(ROW(PLE.lastrow)-ROW(PLE.firstrow))),0,IF(OFFSET(PLE!$G$14,$M317,BZ$13)="",10^12,OFFSET(PLE!$G$14,$M317,BZ$13))))</f>
        <v>1000000000000</v>
      </c>
      <c r="CA317" s="182">
        <f ca="1">IF($D317&lt;&gt;"Serviço",0,IF(OR(AND(AUTOEVENTO="Manual",$M317=1),$M317&gt;(ROW(PLE.lastrow)-ROW(PLE.firstrow))),0,IF(OFFSET(PLE!$G$14,$M317,CA$13)="",10^12,OFFSET(PLE!$G$14,$M317,CA$13))))</f>
        <v>1000000000000</v>
      </c>
      <c r="CB317" s="182">
        <f ca="1">IF($D317&lt;&gt;"Serviço",0,IF(OR(AND(AUTOEVENTO="Manual",$M317=1),$M317&gt;(ROW(PLE.lastrow)-ROW(PLE.firstrow))),0,IF(OFFSET(PLE!$G$14,$M317,CB$13)="",10^12,OFFSET(PLE!$G$14,$M317,CB$13))))</f>
        <v>1000000000000</v>
      </c>
      <c r="CC317" s="182">
        <f ca="1">IF($D317&lt;&gt;"Serviço",0,IF(OR(AND(AUTOEVENTO="Manual",$M317=1),$M317&gt;(ROW(PLE.lastrow)-ROW(PLE.firstrow))),0,IF(OFFSET(PLE!$G$14,$M317,CC$13)="",10^12,OFFSET(PLE!$G$14,$M317,CC$13))))</f>
        <v>1000000000000</v>
      </c>
      <c r="CD317" s="182">
        <f ca="1">IF($D317&lt;&gt;"Serviço",0,IF(OR(AND(AUTOEVENTO="Manual",$M317=1),$M317&gt;(ROW(PLE.lastrow)-ROW(PLE.firstrow))),0,IF(OFFSET(PLE!$G$14,$M317,CD$13)="",10^12,OFFSET(PLE!$G$14,$M317,CD$13))))</f>
        <v>1000000000000</v>
      </c>
      <c r="CE317" s="182">
        <f ca="1">IF($D317&lt;&gt;"Serviço",0,IF(OR(AND(AUTOEVENTO="Manual",$M317=1),$M317&gt;(ROW(PLE.lastrow)-ROW(PLE.firstrow))),0,IF(OFFSET(PLE!$G$14,$M317,CE$13)="",10^12,OFFSET(PLE!$G$14,$M317,CE$13))))</f>
        <v>1000000000000</v>
      </c>
      <c r="CF317" s="182">
        <f ca="1">IF($D317&lt;&gt;"Serviço",0,IF(OR(AND(AUTOEVENTO="Manual",$M317=1),$M317&gt;(ROW(PLE.lastrow)-ROW(PLE.firstrow))),0,IF(OFFSET(PLE!$G$14,$M317,CF$13)="",10^12,OFFSET(PLE!$G$14,$M317,CF$13))))</f>
        <v>1000000000000</v>
      </c>
      <c r="CG317" s="182">
        <f ca="1">IF($D317&lt;&gt;"Serviço",0,IF(OR(AND(AUTOEVENTO="Manual",$M317=1),$M317&gt;(ROW(PLE.lastrow)-ROW(PLE.firstrow))),0,IF(OFFSET(PLE!$G$14,$M317,CG$13)="",10^12,OFFSET(PLE!$G$14,$M317,CG$13))))</f>
        <v>1000000000000</v>
      </c>
      <c r="CH317" s="182">
        <f ca="1">IF($D317&lt;&gt;"Serviço",0,IF(OR(AND(AUTOEVENTO="Manual",$M317=1),$M317&gt;(ROW(PLE.lastrow)-ROW(PLE.firstrow))),0,IF(OFFSET(PLE!$G$14,$M317,CH$13)="",10^12,OFFSET(PLE!$G$14,$M317,CH$13))))</f>
        <v>1000000000000</v>
      </c>
      <c r="CI317" s="182">
        <f ca="1">IF($D317&lt;&gt;"Serviço",0,IF(OR(AND(AUTOEVENTO="Manual",$M317=1),$M317&gt;(ROW(PLE.lastrow)-ROW(PLE.firstrow))),0,IF(OFFSET(PLE!$G$14,$M317,CI$13)="",10^12,OFFSET(PLE!$G$14,$M317,CI$13))))</f>
        <v>1000000000000</v>
      </c>
      <c r="CJ317" s="182">
        <f ca="1">IF($D317&lt;&gt;"Serviço",0,IF(OR(AND(AUTOEVENTO="Manual",$M317=1),$M317&gt;(ROW(PLE.lastrow)-ROW(PLE.firstrow))),0,IF(OFFSET(PLE!$G$14,$M317,CJ$13)="",10^12,OFFSET(PLE!$G$14,$M317,CJ$13))))</f>
        <v>1000000000000</v>
      </c>
      <c r="CK317" s="182">
        <f ca="1">IF($D317&lt;&gt;"Serviço",0,IF(OR(AND(AUTOEVENTO="Manual",$M317=1),$M317&gt;(ROW(PLE.lastrow)-ROW(PLE.firstrow))),0,IF(OFFSET(PLE!$G$14,$M317,CK$13)="",10^12,OFFSET(PLE!$G$14,$M317,CK$13))))</f>
        <v>1000000000000</v>
      </c>
      <c r="CL317" s="182">
        <f ca="1">IF($D317&lt;&gt;"Serviço",0,IF(OR(AND(AUTOEVENTO="Manual",$M317=1),$M317&gt;(ROW(PLE.lastrow)-ROW(PLE.firstrow))),0,IF(OFFSET(PLE!$G$14,$M317,CL$13)="",10^12,OFFSET(PLE!$G$14,$M317,CL$13))))</f>
        <v>1000000000000</v>
      </c>
      <c r="CM317" s="182">
        <f ca="1">IF($D317&lt;&gt;"Serviço",0,IF(OR(AND(AUTOEVENTO="Manual",$M317=1),$M317&gt;(ROW(PLE.lastrow)-ROW(PLE.firstrow))),0,IF(OFFSET(PLE!$G$14,$M317,CM$13)="",10^12,OFFSET(PLE!$G$14,$M317,CM$13))))</f>
        <v>1000000000000</v>
      </c>
    </row>
    <row r="318" spans="1:91" ht="38.25" x14ac:dyDescent="0.2">
      <c r="A318" s="7" t="str">
        <f t="shared" ca="1" si="12"/>
        <v>301</v>
      </c>
      <c r="B318" s="7" t="str">
        <f ca="1">OFFSET(ORÇAMENTO!C$15,ROW(B318)-ROW(B$15),0)</f>
        <v>S</v>
      </c>
      <c r="C318" s="7" t="str">
        <f ca="1">OFFSET(ORÇAMENTO!L$15,ROW(C318)-ROW(C$15),0)</f>
        <v/>
      </c>
      <c r="D318" s="118" t="str">
        <f ca="1">OFFSET(ORÇAMENTO!N$15,ROW(D318)-ROW(D$15),0)</f>
        <v>Serviço</v>
      </c>
      <c r="E318" s="119" t="str">
        <f ca="1">OFFSET(ORÇAMENTO!O$15,ROW(E318)-ROW(E$15),0)</f>
        <v>-</v>
      </c>
      <c r="F318" s="172" t="str">
        <f ca="1">OFFSET(ORÇAMENTO!R$15,ROW(F318)-ROW(F$15),0)</f>
        <v>(abra o arquivo 'Referência 06-2024.xlsm)</v>
      </c>
      <c r="G318" s="173" t="str">
        <f ca="1">IF($D318&lt;&gt;"Serviço","",OFFSET(ORÇAMENTO!S$15,ROW(G318)-ROW(G$15),0))</f>
        <v>-</v>
      </c>
      <c r="H318" s="124">
        <f ca="1">IF($D318&lt;&gt;"Serviço",0,IF(ACOMPANHAMENTO="BM",ROUND(OFFSET(ORÇAMENTO!AJ$15,ROW(H318)-ROW(H$15),0),15-13*ORÇAMENTO!$AF$7),SUMPRODUCT(($Q$12:$AI$12&lt;&gt;"")*ROUND($Q318:$AI318,15-13*ORÇAMENTO!$AF$7))))</f>
        <v>11</v>
      </c>
      <c r="I318" s="561" t="s">
        <v>1107</v>
      </c>
      <c r="K318" s="174"/>
      <c r="L318" s="175" t="s">
        <v>255</v>
      </c>
      <c r="M318" s="176">
        <f ca="1">IF($D318&lt;&gt;"Serviço","",IF(AUTOEVENTO="manual",$A318,IF(ISERROR(MATCH($A318,$A$15:OFFSET($A318,-1,0),0)),MAX($M$15:OFFSET(M318,-1,0))+1,INDEX($M$15:OFFSET(M318,-1,0),MATCH($A318,$A$15:OFFSET($A318,-1,0),0)))))</f>
        <v>40</v>
      </c>
      <c r="N318" s="177" t="str">
        <f ca="1">IF($D318&lt;&gt;"Serviço","",IF(AUTOEVENTO="Manual",IF($A318=0,"&lt;-- defina o número do agrupador",OFFSET(EVENTOS!$D$14,$A318,0)),OFFSET($F$15,$A318,0)))</f>
        <v>DRENAGEM DE ÁGUAS PLUVIAIS - ACESSÓRIOS</v>
      </c>
      <c r="O318" s="178"/>
      <c r="Q318" s="178">
        <v>11</v>
      </c>
      <c r="R318" s="179"/>
      <c r="S318" s="179"/>
      <c r="T318" s="179"/>
      <c r="U318" s="179"/>
      <c r="V318" s="179"/>
      <c r="W318" s="179"/>
      <c r="X318" s="179"/>
      <c r="Y318" s="179"/>
      <c r="Z318" s="180"/>
      <c r="AA318" s="179"/>
      <c r="AB318" s="179"/>
      <c r="AC318" s="179"/>
      <c r="AD318" s="179"/>
      <c r="AE318" s="179"/>
      <c r="AF318" s="179"/>
      <c r="AG318" s="179"/>
      <c r="AH318" s="180"/>
      <c r="AJ318" s="544">
        <f ca="1">IF(AND($D318="Serviço",AJ$12&lt;&gt;0,$H318&gt;0,OR(AUTOEVENTO&lt;&gt;"manual",$M318&lt;&gt;1)),
IF(Import.TipoArredondamento&lt;&gt;"TransfereGOV",
ROUND(OFFSET($P318,0,AJ$13),15-13*ORÇAMENTO!$AF$7)/$H318*OFFSET(ORÇAMENTO!$X$15,ROW(AJ318)-ROW(AJ$15),0),
ROUND(ROUND(OFFSET($P318,0,AJ$13),15-13*ORÇAMENTO!$AF$7)*OFFSET(ORÇAMENTO!$W$15,ROW(AJ318)-ROW(AJ$15),0),15-13*ORÇAMENTO!$AF$11)),0)</f>
        <v>0</v>
      </c>
      <c r="AK318" s="545">
        <f ca="1">IF(AND($D318="Serviço",AK$12&lt;&gt;0,$H318&gt;0,OR(AUTOEVENTO&lt;&gt;"manual",$M318&lt;&gt;1)),
IF(Import.TipoArredondamento&lt;&gt;"TransfereGOV",
ROUND(OFFSET($P318,0,AK$13),15-13*ORÇAMENTO!$AF$7)/$H318*OFFSET(ORÇAMENTO!$X$15,ROW(AK318)-ROW(AK$15),0),
ROUND(ROUND(OFFSET($P318,0,AK$13),15-13*ORÇAMENTO!$AF$7)*OFFSET(ORÇAMENTO!$W$15,ROW(AK318)-ROW(AK$15),0),15-13*ORÇAMENTO!$AF$11)),0)</f>
        <v>0</v>
      </c>
      <c r="AL318" s="545">
        <f ca="1">IF(AND($D318="Serviço",AL$12&lt;&gt;0,$H318&gt;0,OR(AUTOEVENTO&lt;&gt;"manual",$M318&lt;&gt;1)),
IF(Import.TipoArredondamento&lt;&gt;"TransfereGOV",
ROUND(OFFSET($P318,0,AL$13),15-13*ORÇAMENTO!$AF$7)/$H318*OFFSET(ORÇAMENTO!$X$15,ROW(AL318)-ROW(AL$15),0),
ROUND(ROUND(OFFSET($P318,0,AL$13),15-13*ORÇAMENTO!$AF$7)*OFFSET(ORÇAMENTO!$W$15,ROW(AL318)-ROW(AL$15),0),15-13*ORÇAMENTO!$AF$11)),0)</f>
        <v>0</v>
      </c>
      <c r="AM318" s="545">
        <f ca="1">IF(AND($D318="Serviço",AM$12&lt;&gt;0,$H318&gt;0,OR(AUTOEVENTO&lt;&gt;"manual",$M318&lt;&gt;1)),
IF(Import.TipoArredondamento&lt;&gt;"TransfereGOV",
ROUND(OFFSET($P318,0,AM$13),15-13*ORÇAMENTO!$AF$7)/$H318*OFFSET(ORÇAMENTO!$X$15,ROW(AM318)-ROW(AM$15),0),
ROUND(ROUND(OFFSET($P318,0,AM$13),15-13*ORÇAMENTO!$AF$7)*OFFSET(ORÇAMENTO!$W$15,ROW(AM318)-ROW(AM$15),0),15-13*ORÇAMENTO!$AF$11)),0)</f>
        <v>0</v>
      </c>
      <c r="AN318" s="545">
        <f ca="1">IF(AND($D318="Serviço",AN$12&lt;&gt;0,$H318&gt;0,OR(AUTOEVENTO&lt;&gt;"manual",$M318&lt;&gt;1)),
IF(Import.TipoArredondamento&lt;&gt;"TransfereGOV",
ROUND(OFFSET($P318,0,AN$13),15-13*ORÇAMENTO!$AF$7)/$H318*OFFSET(ORÇAMENTO!$X$15,ROW(AN318)-ROW(AN$15),0),
ROUND(ROUND(OFFSET($P318,0,AN$13),15-13*ORÇAMENTO!$AF$7)*OFFSET(ORÇAMENTO!$W$15,ROW(AN318)-ROW(AN$15),0),15-13*ORÇAMENTO!$AF$11)),0)</f>
        <v>0</v>
      </c>
      <c r="AO318" s="545">
        <f ca="1">IF(AND($D318="Serviço",AO$12&lt;&gt;0,$H318&gt;0,OR(AUTOEVENTO&lt;&gt;"manual",$M318&lt;&gt;1)),
IF(Import.TipoArredondamento&lt;&gt;"TransfereGOV",
ROUND(OFFSET($P318,0,AO$13),15-13*ORÇAMENTO!$AF$7)/$H318*OFFSET(ORÇAMENTO!$X$15,ROW(AO318)-ROW(AO$15),0),
ROUND(ROUND(OFFSET($P318,0,AO$13),15-13*ORÇAMENTO!$AF$7)*OFFSET(ORÇAMENTO!$W$15,ROW(AO318)-ROW(AO$15),0),15-13*ORÇAMENTO!$AF$11)),0)</f>
        <v>0</v>
      </c>
      <c r="AP318" s="545">
        <f ca="1">IF(AND($D318="Serviço",AP$12&lt;&gt;0,$H318&gt;0,OR(AUTOEVENTO&lt;&gt;"manual",$M318&lt;&gt;1)),
IF(Import.TipoArredondamento&lt;&gt;"TransfereGOV",
ROUND(OFFSET($P318,0,AP$13),15-13*ORÇAMENTO!$AF$7)/$H318*OFFSET(ORÇAMENTO!$X$15,ROW(AP318)-ROW(AP$15),0),
ROUND(ROUND(OFFSET($P318,0,AP$13),15-13*ORÇAMENTO!$AF$7)*OFFSET(ORÇAMENTO!$W$15,ROW(AP318)-ROW(AP$15),0),15-13*ORÇAMENTO!$AF$11)),0)</f>
        <v>0</v>
      </c>
      <c r="AQ318" s="545">
        <f ca="1">IF(AND($D318="Serviço",AQ$12&lt;&gt;0,$H318&gt;0,OR(AUTOEVENTO&lt;&gt;"manual",$M318&lt;&gt;1)),
IF(Import.TipoArredondamento&lt;&gt;"TransfereGOV",
ROUND(OFFSET($P318,0,AQ$13),15-13*ORÇAMENTO!$AF$7)/$H318*OFFSET(ORÇAMENTO!$X$15,ROW(AQ318)-ROW(AQ$15),0),
ROUND(ROUND(OFFSET($P318,0,AQ$13),15-13*ORÇAMENTO!$AF$7)*OFFSET(ORÇAMENTO!$W$15,ROW(AQ318)-ROW(AQ$15),0),15-13*ORÇAMENTO!$AF$11)),0)</f>
        <v>0</v>
      </c>
      <c r="AR318" s="545">
        <f ca="1">IF(AND($D318="Serviço",AR$12&lt;&gt;0,$H318&gt;0,OR(AUTOEVENTO&lt;&gt;"manual",$M318&lt;&gt;1)),
IF(Import.TipoArredondamento&lt;&gt;"TransfereGOV",
ROUND(OFFSET($P318,0,AR$13),15-13*ORÇAMENTO!$AF$7)/$H318*OFFSET(ORÇAMENTO!$X$15,ROW(AR318)-ROW(AR$15),0),
ROUND(ROUND(OFFSET($P318,0,AR$13),15-13*ORÇAMENTO!$AF$7)*OFFSET(ORÇAMENTO!$W$15,ROW(AR318)-ROW(AR$15),0),15-13*ORÇAMENTO!$AF$11)),0)</f>
        <v>0</v>
      </c>
      <c r="AS318" s="546">
        <f ca="1">IF(AND($D318="Serviço",AS$12&lt;&gt;0,$H318&gt;0,OR(AUTOEVENTO&lt;&gt;"manual",$M318&lt;&gt;1)),
IF(Import.TipoArredondamento&lt;&gt;"TransfereGOV",
ROUND(OFFSET($P318,0,AS$13),15-13*ORÇAMENTO!$AF$7)/$H318*OFFSET(ORÇAMENTO!$X$15,ROW(AS318)-ROW(AS$15),0),
ROUND(ROUND(OFFSET($P318,0,AS$13),15-13*ORÇAMENTO!$AF$7)*OFFSET(ORÇAMENTO!$W$15,ROW(AS318)-ROW(AS$15),0),15-13*ORÇAMENTO!$AF$11)),0)</f>
        <v>0</v>
      </c>
      <c r="AT318" s="545">
        <f ca="1">IF(AND($D318="Serviço",AT$12&lt;&gt;0,$H318&gt;0,OR(AUTOEVENTO&lt;&gt;"manual",$M318&lt;&gt;1)),
IF(Import.TipoArredondamento&lt;&gt;"TransfereGOV",
ROUND(OFFSET($P318,0,AT$13),15-13*ORÇAMENTO!$AF$7)/$H318*OFFSET(ORÇAMENTO!$X$15,ROW(AT318)-ROW(AT$15),0),
ROUND(ROUND(OFFSET($P318,0,AT$13),15-13*ORÇAMENTO!$AF$7)*OFFSET(ORÇAMENTO!$W$15,ROW(AT318)-ROW(AT$15),0),15-13*ORÇAMENTO!$AF$11)),0)</f>
        <v>0</v>
      </c>
      <c r="AU318" s="545">
        <f ca="1">IF(AND($D318="Serviço",AU$12&lt;&gt;0,$H318&gt;0,OR(AUTOEVENTO&lt;&gt;"manual",$M318&lt;&gt;1)),
IF(Import.TipoArredondamento&lt;&gt;"TransfereGOV",
ROUND(OFFSET($P318,0,AU$13),15-13*ORÇAMENTO!$AF$7)/$H318*OFFSET(ORÇAMENTO!$X$15,ROW(AU318)-ROW(AU$15),0),
ROUND(ROUND(OFFSET($P318,0,AU$13),15-13*ORÇAMENTO!$AF$7)*OFFSET(ORÇAMENTO!$W$15,ROW(AU318)-ROW(AU$15),0),15-13*ORÇAMENTO!$AF$11)),0)</f>
        <v>0</v>
      </c>
      <c r="AV318" s="545">
        <f ca="1">IF(AND($D318="Serviço",AV$12&lt;&gt;0,$H318&gt;0,OR(AUTOEVENTO&lt;&gt;"manual",$M318&lt;&gt;1)),
IF(Import.TipoArredondamento&lt;&gt;"TransfereGOV",
ROUND(OFFSET($P318,0,AV$13),15-13*ORÇAMENTO!$AF$7)/$H318*OFFSET(ORÇAMENTO!$X$15,ROW(AV318)-ROW(AV$15),0),
ROUND(ROUND(OFFSET($P318,0,AV$13),15-13*ORÇAMENTO!$AF$7)*OFFSET(ORÇAMENTO!$W$15,ROW(AV318)-ROW(AV$15),0),15-13*ORÇAMENTO!$AF$11)),0)</f>
        <v>0</v>
      </c>
      <c r="AW318" s="545">
        <f ca="1">IF(AND($D318="Serviço",AW$12&lt;&gt;0,$H318&gt;0,OR(AUTOEVENTO&lt;&gt;"manual",$M318&lt;&gt;1)),
IF(Import.TipoArredondamento&lt;&gt;"TransfereGOV",
ROUND(OFFSET($P318,0,AW$13),15-13*ORÇAMENTO!$AF$7)/$H318*OFFSET(ORÇAMENTO!$X$15,ROW(AW318)-ROW(AW$15),0),
ROUND(ROUND(OFFSET($P318,0,AW$13),15-13*ORÇAMENTO!$AF$7)*OFFSET(ORÇAMENTO!$W$15,ROW(AW318)-ROW(AW$15),0),15-13*ORÇAMENTO!$AF$11)),0)</f>
        <v>0</v>
      </c>
      <c r="AX318" s="545">
        <f ca="1">IF(AND($D318="Serviço",AX$12&lt;&gt;0,$H318&gt;0,OR(AUTOEVENTO&lt;&gt;"manual",$M318&lt;&gt;1)),
IF(Import.TipoArredondamento&lt;&gt;"TransfereGOV",
ROUND(OFFSET($P318,0,AX$13),15-13*ORÇAMENTO!$AF$7)/$H318*OFFSET(ORÇAMENTO!$X$15,ROW(AX318)-ROW(AX$15),0),
ROUND(ROUND(OFFSET($P318,0,AX$13),15-13*ORÇAMENTO!$AF$7)*OFFSET(ORÇAMENTO!$W$15,ROW(AX318)-ROW(AX$15),0),15-13*ORÇAMENTO!$AF$11)),0)</f>
        <v>0</v>
      </c>
      <c r="AY318" s="545">
        <f ca="1">IF(AND($D318="Serviço",AY$12&lt;&gt;0,$H318&gt;0,OR(AUTOEVENTO&lt;&gt;"manual",$M318&lt;&gt;1)),
IF(Import.TipoArredondamento&lt;&gt;"TransfereGOV",
ROUND(OFFSET($P318,0,AY$13),15-13*ORÇAMENTO!$AF$7)/$H318*OFFSET(ORÇAMENTO!$X$15,ROW(AY318)-ROW(AY$15),0),
ROUND(ROUND(OFFSET($P318,0,AY$13),15-13*ORÇAMENTO!$AF$7)*OFFSET(ORÇAMENTO!$W$15,ROW(AY318)-ROW(AY$15),0),15-13*ORÇAMENTO!$AF$11)),0)</f>
        <v>0</v>
      </c>
      <c r="AZ318" s="545">
        <f ca="1">IF(AND($D318="Serviço",AZ$12&lt;&gt;0,$H318&gt;0,OR(AUTOEVENTO&lt;&gt;"manual",$M318&lt;&gt;1)),
IF(Import.TipoArredondamento&lt;&gt;"TransfereGOV",
ROUND(OFFSET($P318,0,AZ$13),15-13*ORÇAMENTO!$AF$7)/$H318*OFFSET(ORÇAMENTO!$X$15,ROW(AZ318)-ROW(AZ$15),0),
ROUND(ROUND(OFFSET($P318,0,AZ$13),15-13*ORÇAMENTO!$AF$7)*OFFSET(ORÇAMENTO!$W$15,ROW(AZ318)-ROW(AZ$15),0),15-13*ORÇAMENTO!$AF$11)),0)</f>
        <v>0</v>
      </c>
      <c r="BA318" s="546">
        <f ca="1">IF(AND($D318="Serviço",BA$12&lt;&gt;0,$H318&gt;0,OR(AUTOEVENTO&lt;&gt;"manual",$M318&lt;&gt;1)),
IF(Import.TipoArredondamento&lt;&gt;"TransfereGOV",
ROUND(OFFSET($P318,0,BA$13),15-13*ORÇAMENTO!$AF$7)/$H318*OFFSET(ORÇAMENTO!$X$15,ROW(BA318)-ROW(BA$15),0),
ROUND(ROUND(OFFSET($P318,0,BA$13),15-13*ORÇAMENTO!$AF$7)*OFFSET(ORÇAMENTO!$W$15,ROW(BA318)-ROW(BA$15),0),15-13*ORÇAMENTO!$AF$11)),0)</f>
        <v>0</v>
      </c>
      <c r="BC318" s="181">
        <f ca="1">IF($D318&lt;&gt;"Serviço",0,IF(AND(AUTOEVENTO="Manual",$M318=1),0,IF(OFFSET(CRONOPLE!$F$14,$M318,BC$13)="",10^12,OFFSET(CRONOPLE!$F$14,$M318,BC$13))))</f>
        <v>9</v>
      </c>
      <c r="BD318" s="181">
        <f ca="1">IF($D318&lt;&gt;"Serviço",0,IF(AND(AUTOEVENTO="Manual",$M318=1),0,IF(OFFSET(CRONOPLE!$F$14,$M318,BD$13)="",10^12,OFFSET(CRONOPLE!$F$14,$M318,BD$13))))</f>
        <v>1000000000000</v>
      </c>
      <c r="BE318" s="181">
        <f ca="1">IF($D318&lt;&gt;"Serviço",0,IF(AND(AUTOEVENTO="Manual",$M318=1),0,IF(OFFSET(CRONOPLE!$F$14,$M318,BE$13)="",10^12,OFFSET(CRONOPLE!$F$14,$M318,BE$13))))</f>
        <v>1000000000000</v>
      </c>
      <c r="BF318" s="181">
        <f ca="1">IF($D318&lt;&gt;"Serviço",0,IF(AND(AUTOEVENTO="Manual",$M318=1),0,IF(OFFSET(CRONOPLE!$F$14,$M318,BF$13)="",10^12,OFFSET(CRONOPLE!$F$14,$M318,BF$13))))</f>
        <v>1000000000000</v>
      </c>
      <c r="BG318" s="181">
        <f ca="1">IF($D318&lt;&gt;"Serviço",0,IF(AND(AUTOEVENTO="Manual",$M318=1),0,IF(OFFSET(CRONOPLE!$F$14,$M318,BG$13)="",10^12,OFFSET(CRONOPLE!$F$14,$M318,BG$13))))</f>
        <v>1000000000000</v>
      </c>
      <c r="BH318" s="181">
        <f ca="1">IF($D318&lt;&gt;"Serviço",0,IF(AND(AUTOEVENTO="Manual",$M318=1),0,IF(OFFSET(CRONOPLE!$F$14,$M318,BH$13)="",10^12,OFFSET(CRONOPLE!$F$14,$M318,BH$13))))</f>
        <v>1000000000000</v>
      </c>
      <c r="BI318" s="181">
        <f ca="1">IF($D318&lt;&gt;"Serviço",0,IF(AND(AUTOEVENTO="Manual",$M318=1),0,IF(OFFSET(CRONOPLE!$F$14,$M318,BI$13)="",10^12,OFFSET(CRONOPLE!$F$14,$M318,BI$13))))</f>
        <v>1000000000000</v>
      </c>
      <c r="BJ318" s="181">
        <f ca="1">IF($D318&lt;&gt;"Serviço",0,IF(AND(AUTOEVENTO="Manual",$M318=1),0,IF(OFFSET(CRONOPLE!$F$14,$M318,BJ$13)="",10^12,OFFSET(CRONOPLE!$F$14,$M318,BJ$13))))</f>
        <v>1000000000000</v>
      </c>
      <c r="BK318" s="181">
        <f ca="1">IF($D318&lt;&gt;"Serviço",0,IF(AND(AUTOEVENTO="Manual",$M318=1),0,IF(OFFSET(CRONOPLE!$F$14,$M318,BK$13)="",10^12,OFFSET(CRONOPLE!$F$14,$M318,BK$13))))</f>
        <v>1000000000000</v>
      </c>
      <c r="BL318" s="181">
        <f ca="1">IF($D318&lt;&gt;"Serviço",0,IF(AND(AUTOEVENTO="Manual",$M318=1),0,IF(OFFSET(CRONOPLE!$F$14,$M318,BL$13)="",10^12,OFFSET(CRONOPLE!$F$14,$M318,BL$13))))</f>
        <v>1000000000000</v>
      </c>
      <c r="BM318" s="181">
        <f ca="1">IF($D318&lt;&gt;"Serviço",0,IF(AND(AUTOEVENTO="Manual",$M318=1),0,IF(OFFSET(CRONOPLE!$F$14,$M318,BM$13)="",10^12,OFFSET(CRONOPLE!$F$14,$M318,BM$13))))</f>
        <v>1000000000000</v>
      </c>
      <c r="BN318" s="181">
        <f ca="1">IF($D318&lt;&gt;"Serviço",0,IF(AND(AUTOEVENTO="Manual",$M318=1),0,IF(OFFSET(CRONOPLE!$F$14,$M318,BN$13)="",10^12,OFFSET(CRONOPLE!$F$14,$M318,BN$13))))</f>
        <v>1000000000000</v>
      </c>
      <c r="BO318" s="181">
        <f ca="1">IF($D318&lt;&gt;"Serviço",0,IF(AND(AUTOEVENTO="Manual",$M318=1),0,IF(OFFSET(CRONOPLE!$F$14,$M318,BO$13)="",10^12,OFFSET(CRONOPLE!$F$14,$M318,BO$13))))</f>
        <v>1000000000000</v>
      </c>
      <c r="BP318" s="181">
        <f ca="1">IF($D318&lt;&gt;"Serviço",0,IF(AND(AUTOEVENTO="Manual",$M318=1),0,IF(OFFSET(CRONOPLE!$F$14,$M318,BP$13)="",10^12,OFFSET(CRONOPLE!$F$14,$M318,BP$13))))</f>
        <v>1000000000000</v>
      </c>
      <c r="BQ318" s="181">
        <f ca="1">IF($D318&lt;&gt;"Serviço",0,IF(AND(AUTOEVENTO="Manual",$M318=1),0,IF(OFFSET(CRONOPLE!$F$14,$M318,BQ$13)="",10^12,OFFSET(CRONOPLE!$F$14,$M318,BQ$13))))</f>
        <v>1000000000000</v>
      </c>
      <c r="BR318" s="181">
        <f ca="1">IF($D318&lt;&gt;"Serviço",0,IF(AND(AUTOEVENTO="Manual",$M318=1),0,IF(OFFSET(CRONOPLE!$F$14,$M318,BR$13)="",10^12,OFFSET(CRONOPLE!$F$14,$M318,BR$13))))</f>
        <v>1000000000000</v>
      </c>
      <c r="BS318" s="181">
        <f ca="1">IF($D318&lt;&gt;"Serviço",0,IF(AND(AUTOEVENTO="Manual",$M318=1),0,IF(OFFSET(CRONOPLE!$F$14,$M318,BS$13)="",10^12,OFFSET(CRONOPLE!$F$14,$M318,BS$13))))</f>
        <v>1000000000000</v>
      </c>
      <c r="BT318" s="181">
        <f ca="1">IF($D318&lt;&gt;"Serviço",0,IF(AND(AUTOEVENTO="Manual",$M318=1),0,IF(OFFSET(CRONOPLE!$F$14,$M318,BT$13)="",10^12,OFFSET(CRONOPLE!$F$14,$M318,BT$13))))</f>
        <v>1000000000000</v>
      </c>
      <c r="BV318" s="182">
        <f ca="1">IF($D318&lt;&gt;"Serviço",0,IF(OR(AND(AUTOEVENTO="Manual",$M318=1),$M318&gt;(ROW(PLE.lastrow)-ROW(PLE.firstrow))),0,IF(OFFSET(PLE!$G$14,$M318,BV$13)="",10^12,OFFSET(PLE!$G$14,$M318,BV$13))))</f>
        <v>1000000000000</v>
      </c>
      <c r="BW318" s="182">
        <f ca="1">IF($D318&lt;&gt;"Serviço",0,IF(OR(AND(AUTOEVENTO="Manual",$M318=1),$M318&gt;(ROW(PLE.lastrow)-ROW(PLE.firstrow))),0,IF(OFFSET(PLE!$G$14,$M318,BW$13)="",10^12,OFFSET(PLE!$G$14,$M318,BW$13))))</f>
        <v>1000000000000</v>
      </c>
      <c r="BX318" s="182">
        <f ca="1">IF($D318&lt;&gt;"Serviço",0,IF(OR(AND(AUTOEVENTO="Manual",$M318=1),$M318&gt;(ROW(PLE.lastrow)-ROW(PLE.firstrow))),0,IF(OFFSET(PLE!$G$14,$M318,BX$13)="",10^12,OFFSET(PLE!$G$14,$M318,BX$13))))</f>
        <v>1000000000000</v>
      </c>
      <c r="BY318" s="182">
        <f ca="1">IF($D318&lt;&gt;"Serviço",0,IF(OR(AND(AUTOEVENTO="Manual",$M318=1),$M318&gt;(ROW(PLE.lastrow)-ROW(PLE.firstrow))),0,IF(OFFSET(PLE!$G$14,$M318,BY$13)="",10^12,OFFSET(PLE!$G$14,$M318,BY$13))))</f>
        <v>1000000000000</v>
      </c>
      <c r="BZ318" s="182">
        <f ca="1">IF($D318&lt;&gt;"Serviço",0,IF(OR(AND(AUTOEVENTO="Manual",$M318=1),$M318&gt;(ROW(PLE.lastrow)-ROW(PLE.firstrow))),0,IF(OFFSET(PLE!$G$14,$M318,BZ$13)="",10^12,OFFSET(PLE!$G$14,$M318,BZ$13))))</f>
        <v>1000000000000</v>
      </c>
      <c r="CA318" s="182">
        <f ca="1">IF($D318&lt;&gt;"Serviço",0,IF(OR(AND(AUTOEVENTO="Manual",$M318=1),$M318&gt;(ROW(PLE.lastrow)-ROW(PLE.firstrow))),0,IF(OFFSET(PLE!$G$14,$M318,CA$13)="",10^12,OFFSET(PLE!$G$14,$M318,CA$13))))</f>
        <v>1000000000000</v>
      </c>
      <c r="CB318" s="182">
        <f ca="1">IF($D318&lt;&gt;"Serviço",0,IF(OR(AND(AUTOEVENTO="Manual",$M318=1),$M318&gt;(ROW(PLE.lastrow)-ROW(PLE.firstrow))),0,IF(OFFSET(PLE!$G$14,$M318,CB$13)="",10^12,OFFSET(PLE!$G$14,$M318,CB$13))))</f>
        <v>1000000000000</v>
      </c>
      <c r="CC318" s="182">
        <f ca="1">IF($D318&lt;&gt;"Serviço",0,IF(OR(AND(AUTOEVENTO="Manual",$M318=1),$M318&gt;(ROW(PLE.lastrow)-ROW(PLE.firstrow))),0,IF(OFFSET(PLE!$G$14,$M318,CC$13)="",10^12,OFFSET(PLE!$G$14,$M318,CC$13))))</f>
        <v>1000000000000</v>
      </c>
      <c r="CD318" s="182">
        <f ca="1">IF($D318&lt;&gt;"Serviço",0,IF(OR(AND(AUTOEVENTO="Manual",$M318=1),$M318&gt;(ROW(PLE.lastrow)-ROW(PLE.firstrow))),0,IF(OFFSET(PLE!$G$14,$M318,CD$13)="",10^12,OFFSET(PLE!$G$14,$M318,CD$13))))</f>
        <v>1000000000000</v>
      </c>
      <c r="CE318" s="182">
        <f ca="1">IF($D318&lt;&gt;"Serviço",0,IF(OR(AND(AUTOEVENTO="Manual",$M318=1),$M318&gt;(ROW(PLE.lastrow)-ROW(PLE.firstrow))),0,IF(OFFSET(PLE!$G$14,$M318,CE$13)="",10^12,OFFSET(PLE!$G$14,$M318,CE$13))))</f>
        <v>1000000000000</v>
      </c>
      <c r="CF318" s="182">
        <f ca="1">IF($D318&lt;&gt;"Serviço",0,IF(OR(AND(AUTOEVENTO="Manual",$M318=1),$M318&gt;(ROW(PLE.lastrow)-ROW(PLE.firstrow))),0,IF(OFFSET(PLE!$G$14,$M318,CF$13)="",10^12,OFFSET(PLE!$G$14,$M318,CF$13))))</f>
        <v>1000000000000</v>
      </c>
      <c r="CG318" s="182">
        <f ca="1">IF($D318&lt;&gt;"Serviço",0,IF(OR(AND(AUTOEVENTO="Manual",$M318=1),$M318&gt;(ROW(PLE.lastrow)-ROW(PLE.firstrow))),0,IF(OFFSET(PLE!$G$14,$M318,CG$13)="",10^12,OFFSET(PLE!$G$14,$M318,CG$13))))</f>
        <v>1000000000000</v>
      </c>
      <c r="CH318" s="182">
        <f ca="1">IF($D318&lt;&gt;"Serviço",0,IF(OR(AND(AUTOEVENTO="Manual",$M318=1),$M318&gt;(ROW(PLE.lastrow)-ROW(PLE.firstrow))),0,IF(OFFSET(PLE!$G$14,$M318,CH$13)="",10^12,OFFSET(PLE!$G$14,$M318,CH$13))))</f>
        <v>1000000000000</v>
      </c>
      <c r="CI318" s="182">
        <f ca="1">IF($D318&lt;&gt;"Serviço",0,IF(OR(AND(AUTOEVENTO="Manual",$M318=1),$M318&gt;(ROW(PLE.lastrow)-ROW(PLE.firstrow))),0,IF(OFFSET(PLE!$G$14,$M318,CI$13)="",10^12,OFFSET(PLE!$G$14,$M318,CI$13))))</f>
        <v>1000000000000</v>
      </c>
      <c r="CJ318" s="182">
        <f ca="1">IF($D318&lt;&gt;"Serviço",0,IF(OR(AND(AUTOEVENTO="Manual",$M318=1),$M318&gt;(ROW(PLE.lastrow)-ROW(PLE.firstrow))),0,IF(OFFSET(PLE!$G$14,$M318,CJ$13)="",10^12,OFFSET(PLE!$G$14,$M318,CJ$13))))</f>
        <v>1000000000000</v>
      </c>
      <c r="CK318" s="182">
        <f ca="1">IF($D318&lt;&gt;"Serviço",0,IF(OR(AND(AUTOEVENTO="Manual",$M318=1),$M318&gt;(ROW(PLE.lastrow)-ROW(PLE.firstrow))),0,IF(OFFSET(PLE!$G$14,$M318,CK$13)="",10^12,OFFSET(PLE!$G$14,$M318,CK$13))))</f>
        <v>1000000000000</v>
      </c>
      <c r="CL318" s="182">
        <f ca="1">IF($D318&lt;&gt;"Serviço",0,IF(OR(AND(AUTOEVENTO="Manual",$M318=1),$M318&gt;(ROW(PLE.lastrow)-ROW(PLE.firstrow))),0,IF(OFFSET(PLE!$G$14,$M318,CL$13)="",10^12,OFFSET(PLE!$G$14,$M318,CL$13))))</f>
        <v>1000000000000</v>
      </c>
      <c r="CM318" s="182">
        <f ca="1">IF($D318&lt;&gt;"Serviço",0,IF(OR(AND(AUTOEVENTO="Manual",$M318=1),$M318&gt;(ROW(PLE.lastrow)-ROW(PLE.firstrow))),0,IF(OFFSET(PLE!$G$14,$M318,CM$13)="",10^12,OFFSET(PLE!$G$14,$M318,CM$13))))</f>
        <v>1000000000000</v>
      </c>
    </row>
    <row r="319" spans="1:91" ht="12.75" x14ac:dyDescent="0.2">
      <c r="A319" s="7" t="str">
        <f t="shared" ca="1" si="12"/>
        <v>304.</v>
      </c>
      <c r="B319" s="7">
        <f ca="1">OFFSET(ORÇAMENTO!C$15,ROW(B319)-ROW(B$15),0)</f>
        <v>2</v>
      </c>
      <c r="C319" s="7" t="str">
        <f ca="1">OFFSET(ORÇAMENTO!L$15,ROW(C319)-ROW(C$15),0)</f>
        <v>F</v>
      </c>
      <c r="D319" s="118" t="str">
        <f ca="1">OFFSET(ORÇAMENTO!N$15,ROW(D319)-ROW(D$15),0)</f>
        <v>Nível 2</v>
      </c>
      <c r="E319" s="119" t="str">
        <f ca="1">OFFSET(ORÇAMENTO!O$15,ROW(E319)-ROW(E$15),0)</f>
        <v>1.40.</v>
      </c>
      <c r="F319" s="172" t="str">
        <f ca="1">OFFSET(ORÇAMENTO!R$15,ROW(F319)-ROW(F$15),0)</f>
        <v>INSTALAÇÃO SANITÁRIA - TUBULAÇÕES E CONEXÕES</v>
      </c>
      <c r="G319" s="173" t="str">
        <f ca="1">IF($D319&lt;&gt;"Serviço","",OFFSET(ORÇAMENTO!S$15,ROW(G319)-ROW(G$15),0))</f>
        <v/>
      </c>
      <c r="H319" s="124">
        <f ca="1">IF($D319&lt;&gt;"Serviço",0,IF(ACOMPANHAMENTO="BM",ROUND(OFFSET(ORÇAMENTO!AJ$15,ROW(H319)-ROW(H$15),0),15-13*ORÇAMENTO!$AF$7),SUMPRODUCT(($Q$12:$AI$12&lt;&gt;"")*ROUND($Q319:$AI319,15-13*ORÇAMENTO!$AF$7))))</f>
        <v>0</v>
      </c>
      <c r="I319" s="561"/>
      <c r="K319" s="174"/>
      <c r="L319" s="175" t="s">
        <v>255</v>
      </c>
      <c r="M319" s="176" t="str">
        <f ca="1">IF($D319&lt;&gt;"Serviço","",IF(AUTOEVENTO="manual",$A319,IF(ISERROR(MATCH($A319,$A$15:OFFSET($A319,-1,0),0)),MAX($M$15:OFFSET(M319,-1,0))+1,INDEX($M$15:OFFSET(M319,-1,0),MATCH($A319,$A$15:OFFSET($A319,-1,0),0)))))</f>
        <v/>
      </c>
      <c r="N319" s="177" t="str">
        <f ca="1">IF($D319&lt;&gt;"Serviço","",IF(AUTOEVENTO="Manual",IF($A319=0,"&lt;-- defina o número do agrupador",OFFSET(EVENTOS!$D$14,$A319,0)),OFFSET($F$15,$A319,0)))</f>
        <v/>
      </c>
      <c r="O319" s="178"/>
      <c r="Q319" s="178">
        <v>0</v>
      </c>
      <c r="R319" s="179"/>
      <c r="S319" s="179"/>
      <c r="T319" s="179"/>
      <c r="U319" s="179"/>
      <c r="V319" s="179"/>
      <c r="W319" s="179"/>
      <c r="X319" s="179"/>
      <c r="Y319" s="179"/>
      <c r="Z319" s="180"/>
      <c r="AA319" s="179"/>
      <c r="AB319" s="179"/>
      <c r="AC319" s="179"/>
      <c r="AD319" s="179"/>
      <c r="AE319" s="179"/>
      <c r="AF319" s="179"/>
      <c r="AG319" s="179"/>
      <c r="AH319" s="180"/>
      <c r="AJ319" s="544">
        <f ca="1">IF(AND($D319="Serviço",AJ$12&lt;&gt;0,$H319&gt;0,OR(AUTOEVENTO&lt;&gt;"manual",$M319&lt;&gt;1)),
IF(Import.TipoArredondamento&lt;&gt;"TransfereGOV",
ROUND(OFFSET($P319,0,AJ$13),15-13*ORÇAMENTO!$AF$7)/$H319*OFFSET(ORÇAMENTO!$X$15,ROW(AJ319)-ROW(AJ$15),0),
ROUND(ROUND(OFFSET($P319,0,AJ$13),15-13*ORÇAMENTO!$AF$7)*OFFSET(ORÇAMENTO!$W$15,ROW(AJ319)-ROW(AJ$15),0),15-13*ORÇAMENTO!$AF$11)),0)</f>
        <v>0</v>
      </c>
      <c r="AK319" s="545">
        <f ca="1">IF(AND($D319="Serviço",AK$12&lt;&gt;0,$H319&gt;0,OR(AUTOEVENTO&lt;&gt;"manual",$M319&lt;&gt;1)),
IF(Import.TipoArredondamento&lt;&gt;"TransfereGOV",
ROUND(OFFSET($P319,0,AK$13),15-13*ORÇAMENTO!$AF$7)/$H319*OFFSET(ORÇAMENTO!$X$15,ROW(AK319)-ROW(AK$15),0),
ROUND(ROUND(OFFSET($P319,0,AK$13),15-13*ORÇAMENTO!$AF$7)*OFFSET(ORÇAMENTO!$W$15,ROW(AK319)-ROW(AK$15),0),15-13*ORÇAMENTO!$AF$11)),0)</f>
        <v>0</v>
      </c>
      <c r="AL319" s="545">
        <f ca="1">IF(AND($D319="Serviço",AL$12&lt;&gt;0,$H319&gt;0,OR(AUTOEVENTO&lt;&gt;"manual",$M319&lt;&gt;1)),
IF(Import.TipoArredondamento&lt;&gt;"TransfereGOV",
ROUND(OFFSET($P319,0,AL$13),15-13*ORÇAMENTO!$AF$7)/$H319*OFFSET(ORÇAMENTO!$X$15,ROW(AL319)-ROW(AL$15),0),
ROUND(ROUND(OFFSET($P319,0,AL$13),15-13*ORÇAMENTO!$AF$7)*OFFSET(ORÇAMENTO!$W$15,ROW(AL319)-ROW(AL$15),0),15-13*ORÇAMENTO!$AF$11)),0)</f>
        <v>0</v>
      </c>
      <c r="AM319" s="545">
        <f ca="1">IF(AND($D319="Serviço",AM$12&lt;&gt;0,$H319&gt;0,OR(AUTOEVENTO&lt;&gt;"manual",$M319&lt;&gt;1)),
IF(Import.TipoArredondamento&lt;&gt;"TransfereGOV",
ROUND(OFFSET($P319,0,AM$13),15-13*ORÇAMENTO!$AF$7)/$H319*OFFSET(ORÇAMENTO!$X$15,ROW(AM319)-ROW(AM$15),0),
ROUND(ROUND(OFFSET($P319,0,AM$13),15-13*ORÇAMENTO!$AF$7)*OFFSET(ORÇAMENTO!$W$15,ROW(AM319)-ROW(AM$15),0),15-13*ORÇAMENTO!$AF$11)),0)</f>
        <v>0</v>
      </c>
      <c r="AN319" s="545">
        <f ca="1">IF(AND($D319="Serviço",AN$12&lt;&gt;0,$H319&gt;0,OR(AUTOEVENTO&lt;&gt;"manual",$M319&lt;&gt;1)),
IF(Import.TipoArredondamento&lt;&gt;"TransfereGOV",
ROUND(OFFSET($P319,0,AN$13),15-13*ORÇAMENTO!$AF$7)/$H319*OFFSET(ORÇAMENTO!$X$15,ROW(AN319)-ROW(AN$15),0),
ROUND(ROUND(OFFSET($P319,0,AN$13),15-13*ORÇAMENTO!$AF$7)*OFFSET(ORÇAMENTO!$W$15,ROW(AN319)-ROW(AN$15),0),15-13*ORÇAMENTO!$AF$11)),0)</f>
        <v>0</v>
      </c>
      <c r="AO319" s="545">
        <f ca="1">IF(AND($D319="Serviço",AO$12&lt;&gt;0,$H319&gt;0,OR(AUTOEVENTO&lt;&gt;"manual",$M319&lt;&gt;1)),
IF(Import.TipoArredondamento&lt;&gt;"TransfereGOV",
ROUND(OFFSET($P319,0,AO$13),15-13*ORÇAMENTO!$AF$7)/$H319*OFFSET(ORÇAMENTO!$X$15,ROW(AO319)-ROW(AO$15),0),
ROUND(ROUND(OFFSET($P319,0,AO$13),15-13*ORÇAMENTO!$AF$7)*OFFSET(ORÇAMENTO!$W$15,ROW(AO319)-ROW(AO$15),0),15-13*ORÇAMENTO!$AF$11)),0)</f>
        <v>0</v>
      </c>
      <c r="AP319" s="545">
        <f ca="1">IF(AND($D319="Serviço",AP$12&lt;&gt;0,$H319&gt;0,OR(AUTOEVENTO&lt;&gt;"manual",$M319&lt;&gt;1)),
IF(Import.TipoArredondamento&lt;&gt;"TransfereGOV",
ROUND(OFFSET($P319,0,AP$13),15-13*ORÇAMENTO!$AF$7)/$H319*OFFSET(ORÇAMENTO!$X$15,ROW(AP319)-ROW(AP$15),0),
ROUND(ROUND(OFFSET($P319,0,AP$13),15-13*ORÇAMENTO!$AF$7)*OFFSET(ORÇAMENTO!$W$15,ROW(AP319)-ROW(AP$15),0),15-13*ORÇAMENTO!$AF$11)),0)</f>
        <v>0</v>
      </c>
      <c r="AQ319" s="545">
        <f ca="1">IF(AND($D319="Serviço",AQ$12&lt;&gt;0,$H319&gt;0,OR(AUTOEVENTO&lt;&gt;"manual",$M319&lt;&gt;1)),
IF(Import.TipoArredondamento&lt;&gt;"TransfereGOV",
ROUND(OFFSET($P319,0,AQ$13),15-13*ORÇAMENTO!$AF$7)/$H319*OFFSET(ORÇAMENTO!$X$15,ROW(AQ319)-ROW(AQ$15),0),
ROUND(ROUND(OFFSET($P319,0,AQ$13),15-13*ORÇAMENTO!$AF$7)*OFFSET(ORÇAMENTO!$W$15,ROW(AQ319)-ROW(AQ$15),0),15-13*ORÇAMENTO!$AF$11)),0)</f>
        <v>0</v>
      </c>
      <c r="AR319" s="545">
        <f ca="1">IF(AND($D319="Serviço",AR$12&lt;&gt;0,$H319&gt;0,OR(AUTOEVENTO&lt;&gt;"manual",$M319&lt;&gt;1)),
IF(Import.TipoArredondamento&lt;&gt;"TransfereGOV",
ROUND(OFFSET($P319,0,AR$13),15-13*ORÇAMENTO!$AF$7)/$H319*OFFSET(ORÇAMENTO!$X$15,ROW(AR319)-ROW(AR$15),0),
ROUND(ROUND(OFFSET($P319,0,AR$13),15-13*ORÇAMENTO!$AF$7)*OFFSET(ORÇAMENTO!$W$15,ROW(AR319)-ROW(AR$15),0),15-13*ORÇAMENTO!$AF$11)),0)</f>
        <v>0</v>
      </c>
      <c r="AS319" s="546">
        <f ca="1">IF(AND($D319="Serviço",AS$12&lt;&gt;0,$H319&gt;0,OR(AUTOEVENTO&lt;&gt;"manual",$M319&lt;&gt;1)),
IF(Import.TipoArredondamento&lt;&gt;"TransfereGOV",
ROUND(OFFSET($P319,0,AS$13),15-13*ORÇAMENTO!$AF$7)/$H319*OFFSET(ORÇAMENTO!$X$15,ROW(AS319)-ROW(AS$15),0),
ROUND(ROUND(OFFSET($P319,0,AS$13),15-13*ORÇAMENTO!$AF$7)*OFFSET(ORÇAMENTO!$W$15,ROW(AS319)-ROW(AS$15),0),15-13*ORÇAMENTO!$AF$11)),0)</f>
        <v>0</v>
      </c>
      <c r="AT319" s="545">
        <f ca="1">IF(AND($D319="Serviço",AT$12&lt;&gt;0,$H319&gt;0,OR(AUTOEVENTO&lt;&gt;"manual",$M319&lt;&gt;1)),
IF(Import.TipoArredondamento&lt;&gt;"TransfereGOV",
ROUND(OFFSET($P319,0,AT$13),15-13*ORÇAMENTO!$AF$7)/$H319*OFFSET(ORÇAMENTO!$X$15,ROW(AT319)-ROW(AT$15),0),
ROUND(ROUND(OFFSET($P319,0,AT$13),15-13*ORÇAMENTO!$AF$7)*OFFSET(ORÇAMENTO!$W$15,ROW(AT319)-ROW(AT$15),0),15-13*ORÇAMENTO!$AF$11)),0)</f>
        <v>0</v>
      </c>
      <c r="AU319" s="545">
        <f ca="1">IF(AND($D319="Serviço",AU$12&lt;&gt;0,$H319&gt;0,OR(AUTOEVENTO&lt;&gt;"manual",$M319&lt;&gt;1)),
IF(Import.TipoArredondamento&lt;&gt;"TransfereGOV",
ROUND(OFFSET($P319,0,AU$13),15-13*ORÇAMENTO!$AF$7)/$H319*OFFSET(ORÇAMENTO!$X$15,ROW(AU319)-ROW(AU$15),0),
ROUND(ROUND(OFFSET($P319,0,AU$13),15-13*ORÇAMENTO!$AF$7)*OFFSET(ORÇAMENTO!$W$15,ROW(AU319)-ROW(AU$15),0),15-13*ORÇAMENTO!$AF$11)),0)</f>
        <v>0</v>
      </c>
      <c r="AV319" s="545">
        <f ca="1">IF(AND($D319="Serviço",AV$12&lt;&gt;0,$H319&gt;0,OR(AUTOEVENTO&lt;&gt;"manual",$M319&lt;&gt;1)),
IF(Import.TipoArredondamento&lt;&gt;"TransfereGOV",
ROUND(OFFSET($P319,0,AV$13),15-13*ORÇAMENTO!$AF$7)/$H319*OFFSET(ORÇAMENTO!$X$15,ROW(AV319)-ROW(AV$15),0),
ROUND(ROUND(OFFSET($P319,0,AV$13),15-13*ORÇAMENTO!$AF$7)*OFFSET(ORÇAMENTO!$W$15,ROW(AV319)-ROW(AV$15),0),15-13*ORÇAMENTO!$AF$11)),0)</f>
        <v>0</v>
      </c>
      <c r="AW319" s="545">
        <f ca="1">IF(AND($D319="Serviço",AW$12&lt;&gt;0,$H319&gt;0,OR(AUTOEVENTO&lt;&gt;"manual",$M319&lt;&gt;1)),
IF(Import.TipoArredondamento&lt;&gt;"TransfereGOV",
ROUND(OFFSET($P319,0,AW$13),15-13*ORÇAMENTO!$AF$7)/$H319*OFFSET(ORÇAMENTO!$X$15,ROW(AW319)-ROW(AW$15),0),
ROUND(ROUND(OFFSET($P319,0,AW$13),15-13*ORÇAMENTO!$AF$7)*OFFSET(ORÇAMENTO!$W$15,ROW(AW319)-ROW(AW$15),0),15-13*ORÇAMENTO!$AF$11)),0)</f>
        <v>0</v>
      </c>
      <c r="AX319" s="545">
        <f ca="1">IF(AND($D319="Serviço",AX$12&lt;&gt;0,$H319&gt;0,OR(AUTOEVENTO&lt;&gt;"manual",$M319&lt;&gt;1)),
IF(Import.TipoArredondamento&lt;&gt;"TransfereGOV",
ROUND(OFFSET($P319,0,AX$13),15-13*ORÇAMENTO!$AF$7)/$H319*OFFSET(ORÇAMENTO!$X$15,ROW(AX319)-ROW(AX$15),0),
ROUND(ROUND(OFFSET($P319,0,AX$13),15-13*ORÇAMENTO!$AF$7)*OFFSET(ORÇAMENTO!$W$15,ROW(AX319)-ROW(AX$15),0),15-13*ORÇAMENTO!$AF$11)),0)</f>
        <v>0</v>
      </c>
      <c r="AY319" s="545">
        <f ca="1">IF(AND($D319="Serviço",AY$12&lt;&gt;0,$H319&gt;0,OR(AUTOEVENTO&lt;&gt;"manual",$M319&lt;&gt;1)),
IF(Import.TipoArredondamento&lt;&gt;"TransfereGOV",
ROUND(OFFSET($P319,0,AY$13),15-13*ORÇAMENTO!$AF$7)/$H319*OFFSET(ORÇAMENTO!$X$15,ROW(AY319)-ROW(AY$15),0),
ROUND(ROUND(OFFSET($P319,0,AY$13),15-13*ORÇAMENTO!$AF$7)*OFFSET(ORÇAMENTO!$W$15,ROW(AY319)-ROW(AY$15),0),15-13*ORÇAMENTO!$AF$11)),0)</f>
        <v>0</v>
      </c>
      <c r="AZ319" s="545">
        <f ca="1">IF(AND($D319="Serviço",AZ$12&lt;&gt;0,$H319&gt;0,OR(AUTOEVENTO&lt;&gt;"manual",$M319&lt;&gt;1)),
IF(Import.TipoArredondamento&lt;&gt;"TransfereGOV",
ROUND(OFFSET($P319,0,AZ$13),15-13*ORÇAMENTO!$AF$7)/$H319*OFFSET(ORÇAMENTO!$X$15,ROW(AZ319)-ROW(AZ$15),0),
ROUND(ROUND(OFFSET($P319,0,AZ$13),15-13*ORÇAMENTO!$AF$7)*OFFSET(ORÇAMENTO!$W$15,ROW(AZ319)-ROW(AZ$15),0),15-13*ORÇAMENTO!$AF$11)),0)</f>
        <v>0</v>
      </c>
      <c r="BA319" s="546">
        <f ca="1">IF(AND($D319="Serviço",BA$12&lt;&gt;0,$H319&gt;0,OR(AUTOEVENTO&lt;&gt;"manual",$M319&lt;&gt;1)),
IF(Import.TipoArredondamento&lt;&gt;"TransfereGOV",
ROUND(OFFSET($P319,0,BA$13),15-13*ORÇAMENTO!$AF$7)/$H319*OFFSET(ORÇAMENTO!$X$15,ROW(BA319)-ROW(BA$15),0),
ROUND(ROUND(OFFSET($P319,0,BA$13),15-13*ORÇAMENTO!$AF$7)*OFFSET(ORÇAMENTO!$W$15,ROW(BA319)-ROW(BA$15),0),15-13*ORÇAMENTO!$AF$11)),0)</f>
        <v>0</v>
      </c>
      <c r="BC319" s="181">
        <f ca="1">IF($D319&lt;&gt;"Serviço",0,IF(AND(AUTOEVENTO="Manual",$M319=1),0,IF(OFFSET(CRONOPLE!$F$14,$M319,BC$13)="",10^12,OFFSET(CRONOPLE!$F$14,$M319,BC$13))))</f>
        <v>0</v>
      </c>
      <c r="BD319" s="181">
        <f ca="1">IF($D319&lt;&gt;"Serviço",0,IF(AND(AUTOEVENTO="Manual",$M319=1),0,IF(OFFSET(CRONOPLE!$F$14,$M319,BD$13)="",10^12,OFFSET(CRONOPLE!$F$14,$M319,BD$13))))</f>
        <v>0</v>
      </c>
      <c r="BE319" s="181">
        <f ca="1">IF($D319&lt;&gt;"Serviço",0,IF(AND(AUTOEVENTO="Manual",$M319=1),0,IF(OFFSET(CRONOPLE!$F$14,$M319,BE$13)="",10^12,OFFSET(CRONOPLE!$F$14,$M319,BE$13))))</f>
        <v>0</v>
      </c>
      <c r="BF319" s="181">
        <f ca="1">IF($D319&lt;&gt;"Serviço",0,IF(AND(AUTOEVENTO="Manual",$M319=1),0,IF(OFFSET(CRONOPLE!$F$14,$M319,BF$13)="",10^12,OFFSET(CRONOPLE!$F$14,$M319,BF$13))))</f>
        <v>0</v>
      </c>
      <c r="BG319" s="181">
        <f ca="1">IF($D319&lt;&gt;"Serviço",0,IF(AND(AUTOEVENTO="Manual",$M319=1),0,IF(OFFSET(CRONOPLE!$F$14,$M319,BG$13)="",10^12,OFFSET(CRONOPLE!$F$14,$M319,BG$13))))</f>
        <v>0</v>
      </c>
      <c r="BH319" s="181">
        <f ca="1">IF($D319&lt;&gt;"Serviço",0,IF(AND(AUTOEVENTO="Manual",$M319=1),0,IF(OFFSET(CRONOPLE!$F$14,$M319,BH$13)="",10^12,OFFSET(CRONOPLE!$F$14,$M319,BH$13))))</f>
        <v>0</v>
      </c>
      <c r="BI319" s="181">
        <f ca="1">IF($D319&lt;&gt;"Serviço",0,IF(AND(AUTOEVENTO="Manual",$M319=1),0,IF(OFFSET(CRONOPLE!$F$14,$M319,BI$13)="",10^12,OFFSET(CRONOPLE!$F$14,$M319,BI$13))))</f>
        <v>0</v>
      </c>
      <c r="BJ319" s="181">
        <f ca="1">IF($D319&lt;&gt;"Serviço",0,IF(AND(AUTOEVENTO="Manual",$M319=1),0,IF(OFFSET(CRONOPLE!$F$14,$M319,BJ$13)="",10^12,OFFSET(CRONOPLE!$F$14,$M319,BJ$13))))</f>
        <v>0</v>
      </c>
      <c r="BK319" s="181">
        <f ca="1">IF($D319&lt;&gt;"Serviço",0,IF(AND(AUTOEVENTO="Manual",$M319=1),0,IF(OFFSET(CRONOPLE!$F$14,$M319,BK$13)="",10^12,OFFSET(CRONOPLE!$F$14,$M319,BK$13))))</f>
        <v>0</v>
      </c>
      <c r="BL319" s="181">
        <f ca="1">IF($D319&lt;&gt;"Serviço",0,IF(AND(AUTOEVENTO="Manual",$M319=1),0,IF(OFFSET(CRONOPLE!$F$14,$M319,BL$13)="",10^12,OFFSET(CRONOPLE!$F$14,$M319,BL$13))))</f>
        <v>0</v>
      </c>
      <c r="BM319" s="181">
        <f ca="1">IF($D319&lt;&gt;"Serviço",0,IF(AND(AUTOEVENTO="Manual",$M319=1),0,IF(OFFSET(CRONOPLE!$F$14,$M319,BM$13)="",10^12,OFFSET(CRONOPLE!$F$14,$M319,BM$13))))</f>
        <v>0</v>
      </c>
      <c r="BN319" s="181">
        <f ca="1">IF($D319&lt;&gt;"Serviço",0,IF(AND(AUTOEVENTO="Manual",$M319=1),0,IF(OFFSET(CRONOPLE!$F$14,$M319,BN$13)="",10^12,OFFSET(CRONOPLE!$F$14,$M319,BN$13))))</f>
        <v>0</v>
      </c>
      <c r="BO319" s="181">
        <f ca="1">IF($D319&lt;&gt;"Serviço",0,IF(AND(AUTOEVENTO="Manual",$M319=1),0,IF(OFFSET(CRONOPLE!$F$14,$M319,BO$13)="",10^12,OFFSET(CRONOPLE!$F$14,$M319,BO$13))))</f>
        <v>0</v>
      </c>
      <c r="BP319" s="181">
        <f ca="1">IF($D319&lt;&gt;"Serviço",0,IF(AND(AUTOEVENTO="Manual",$M319=1),0,IF(OFFSET(CRONOPLE!$F$14,$M319,BP$13)="",10^12,OFFSET(CRONOPLE!$F$14,$M319,BP$13))))</f>
        <v>0</v>
      </c>
      <c r="BQ319" s="181">
        <f ca="1">IF($D319&lt;&gt;"Serviço",0,IF(AND(AUTOEVENTO="Manual",$M319=1),0,IF(OFFSET(CRONOPLE!$F$14,$M319,BQ$13)="",10^12,OFFSET(CRONOPLE!$F$14,$M319,BQ$13))))</f>
        <v>0</v>
      </c>
      <c r="BR319" s="181">
        <f ca="1">IF($D319&lt;&gt;"Serviço",0,IF(AND(AUTOEVENTO="Manual",$M319=1),0,IF(OFFSET(CRONOPLE!$F$14,$M319,BR$13)="",10^12,OFFSET(CRONOPLE!$F$14,$M319,BR$13))))</f>
        <v>0</v>
      </c>
      <c r="BS319" s="181">
        <f ca="1">IF($D319&lt;&gt;"Serviço",0,IF(AND(AUTOEVENTO="Manual",$M319=1),0,IF(OFFSET(CRONOPLE!$F$14,$M319,BS$13)="",10^12,OFFSET(CRONOPLE!$F$14,$M319,BS$13))))</f>
        <v>0</v>
      </c>
      <c r="BT319" s="181">
        <f ca="1">IF($D319&lt;&gt;"Serviço",0,IF(AND(AUTOEVENTO="Manual",$M319=1),0,IF(OFFSET(CRONOPLE!$F$14,$M319,BT$13)="",10^12,OFFSET(CRONOPLE!$F$14,$M319,BT$13))))</f>
        <v>0</v>
      </c>
      <c r="BV319" s="182">
        <f ca="1">IF($D319&lt;&gt;"Serviço",0,IF(OR(AND(AUTOEVENTO="Manual",$M319=1),$M319&gt;(ROW(PLE.lastrow)-ROW(PLE.firstrow))),0,IF(OFFSET(PLE!$G$14,$M319,BV$13)="",10^12,OFFSET(PLE!$G$14,$M319,BV$13))))</f>
        <v>0</v>
      </c>
      <c r="BW319" s="182">
        <f ca="1">IF($D319&lt;&gt;"Serviço",0,IF(OR(AND(AUTOEVENTO="Manual",$M319=1),$M319&gt;(ROW(PLE.lastrow)-ROW(PLE.firstrow))),0,IF(OFFSET(PLE!$G$14,$M319,BW$13)="",10^12,OFFSET(PLE!$G$14,$M319,BW$13))))</f>
        <v>0</v>
      </c>
      <c r="BX319" s="182">
        <f ca="1">IF($D319&lt;&gt;"Serviço",0,IF(OR(AND(AUTOEVENTO="Manual",$M319=1),$M319&gt;(ROW(PLE.lastrow)-ROW(PLE.firstrow))),0,IF(OFFSET(PLE!$G$14,$M319,BX$13)="",10^12,OFFSET(PLE!$G$14,$M319,BX$13))))</f>
        <v>0</v>
      </c>
      <c r="BY319" s="182">
        <f ca="1">IF($D319&lt;&gt;"Serviço",0,IF(OR(AND(AUTOEVENTO="Manual",$M319=1),$M319&gt;(ROW(PLE.lastrow)-ROW(PLE.firstrow))),0,IF(OFFSET(PLE!$G$14,$M319,BY$13)="",10^12,OFFSET(PLE!$G$14,$M319,BY$13))))</f>
        <v>0</v>
      </c>
      <c r="BZ319" s="182">
        <f ca="1">IF($D319&lt;&gt;"Serviço",0,IF(OR(AND(AUTOEVENTO="Manual",$M319=1),$M319&gt;(ROW(PLE.lastrow)-ROW(PLE.firstrow))),0,IF(OFFSET(PLE!$G$14,$M319,BZ$13)="",10^12,OFFSET(PLE!$G$14,$M319,BZ$13))))</f>
        <v>0</v>
      </c>
      <c r="CA319" s="182">
        <f ca="1">IF($D319&lt;&gt;"Serviço",0,IF(OR(AND(AUTOEVENTO="Manual",$M319=1),$M319&gt;(ROW(PLE.lastrow)-ROW(PLE.firstrow))),0,IF(OFFSET(PLE!$G$14,$M319,CA$13)="",10^12,OFFSET(PLE!$G$14,$M319,CA$13))))</f>
        <v>0</v>
      </c>
      <c r="CB319" s="182">
        <f ca="1">IF($D319&lt;&gt;"Serviço",0,IF(OR(AND(AUTOEVENTO="Manual",$M319=1),$M319&gt;(ROW(PLE.lastrow)-ROW(PLE.firstrow))),0,IF(OFFSET(PLE!$G$14,$M319,CB$13)="",10^12,OFFSET(PLE!$G$14,$M319,CB$13))))</f>
        <v>0</v>
      </c>
      <c r="CC319" s="182">
        <f ca="1">IF($D319&lt;&gt;"Serviço",0,IF(OR(AND(AUTOEVENTO="Manual",$M319=1),$M319&gt;(ROW(PLE.lastrow)-ROW(PLE.firstrow))),0,IF(OFFSET(PLE!$G$14,$M319,CC$13)="",10^12,OFFSET(PLE!$G$14,$M319,CC$13))))</f>
        <v>0</v>
      </c>
      <c r="CD319" s="182">
        <f ca="1">IF($D319&lt;&gt;"Serviço",0,IF(OR(AND(AUTOEVENTO="Manual",$M319=1),$M319&gt;(ROW(PLE.lastrow)-ROW(PLE.firstrow))),0,IF(OFFSET(PLE!$G$14,$M319,CD$13)="",10^12,OFFSET(PLE!$G$14,$M319,CD$13))))</f>
        <v>0</v>
      </c>
      <c r="CE319" s="182">
        <f ca="1">IF($D319&lt;&gt;"Serviço",0,IF(OR(AND(AUTOEVENTO="Manual",$M319=1),$M319&gt;(ROW(PLE.lastrow)-ROW(PLE.firstrow))),0,IF(OFFSET(PLE!$G$14,$M319,CE$13)="",10^12,OFFSET(PLE!$G$14,$M319,CE$13))))</f>
        <v>0</v>
      </c>
      <c r="CF319" s="182">
        <f ca="1">IF($D319&lt;&gt;"Serviço",0,IF(OR(AND(AUTOEVENTO="Manual",$M319=1),$M319&gt;(ROW(PLE.lastrow)-ROW(PLE.firstrow))),0,IF(OFFSET(PLE!$G$14,$M319,CF$13)="",10^12,OFFSET(PLE!$G$14,$M319,CF$13))))</f>
        <v>0</v>
      </c>
      <c r="CG319" s="182">
        <f ca="1">IF($D319&lt;&gt;"Serviço",0,IF(OR(AND(AUTOEVENTO="Manual",$M319=1),$M319&gt;(ROW(PLE.lastrow)-ROW(PLE.firstrow))),0,IF(OFFSET(PLE!$G$14,$M319,CG$13)="",10^12,OFFSET(PLE!$G$14,$M319,CG$13))))</f>
        <v>0</v>
      </c>
      <c r="CH319" s="182">
        <f ca="1">IF($D319&lt;&gt;"Serviço",0,IF(OR(AND(AUTOEVENTO="Manual",$M319=1),$M319&gt;(ROW(PLE.lastrow)-ROW(PLE.firstrow))),0,IF(OFFSET(PLE!$G$14,$M319,CH$13)="",10^12,OFFSET(PLE!$G$14,$M319,CH$13))))</f>
        <v>0</v>
      </c>
      <c r="CI319" s="182">
        <f ca="1">IF($D319&lt;&gt;"Serviço",0,IF(OR(AND(AUTOEVENTO="Manual",$M319=1),$M319&gt;(ROW(PLE.lastrow)-ROW(PLE.firstrow))),0,IF(OFFSET(PLE!$G$14,$M319,CI$13)="",10^12,OFFSET(PLE!$G$14,$M319,CI$13))))</f>
        <v>0</v>
      </c>
      <c r="CJ319" s="182">
        <f ca="1">IF($D319&lt;&gt;"Serviço",0,IF(OR(AND(AUTOEVENTO="Manual",$M319=1),$M319&gt;(ROW(PLE.lastrow)-ROW(PLE.firstrow))),0,IF(OFFSET(PLE!$G$14,$M319,CJ$13)="",10^12,OFFSET(PLE!$G$14,$M319,CJ$13))))</f>
        <v>0</v>
      </c>
      <c r="CK319" s="182">
        <f ca="1">IF($D319&lt;&gt;"Serviço",0,IF(OR(AND(AUTOEVENTO="Manual",$M319=1),$M319&gt;(ROW(PLE.lastrow)-ROW(PLE.firstrow))),0,IF(OFFSET(PLE!$G$14,$M319,CK$13)="",10^12,OFFSET(PLE!$G$14,$M319,CK$13))))</f>
        <v>0</v>
      </c>
      <c r="CL319" s="182">
        <f ca="1">IF($D319&lt;&gt;"Serviço",0,IF(OR(AND(AUTOEVENTO="Manual",$M319=1),$M319&gt;(ROW(PLE.lastrow)-ROW(PLE.firstrow))),0,IF(OFFSET(PLE!$G$14,$M319,CL$13)="",10^12,OFFSET(PLE!$G$14,$M319,CL$13))))</f>
        <v>0</v>
      </c>
      <c r="CM319" s="182">
        <f ca="1">IF($D319&lt;&gt;"Serviço",0,IF(OR(AND(AUTOEVENTO="Manual",$M319=1),$M319&gt;(ROW(PLE.lastrow)-ROW(PLE.firstrow))),0,IF(OFFSET(PLE!$G$14,$M319,CM$13)="",10^12,OFFSET(PLE!$G$14,$M319,CM$13))))</f>
        <v>0</v>
      </c>
    </row>
    <row r="320" spans="1:91" ht="38.25" x14ac:dyDescent="0.2">
      <c r="A320" s="7" t="str">
        <f t="shared" ca="1" si="12"/>
        <v>304</v>
      </c>
      <c r="B320" s="7" t="str">
        <f ca="1">OFFSET(ORÇAMENTO!C$15,ROW(B320)-ROW(B$15),0)</f>
        <v>S</v>
      </c>
      <c r="C320" s="7" t="str">
        <f ca="1">OFFSET(ORÇAMENTO!L$15,ROW(C320)-ROW(C$15),0)</f>
        <v/>
      </c>
      <c r="D320" s="118" t="str">
        <f ca="1">OFFSET(ORÇAMENTO!N$15,ROW(D320)-ROW(D$15),0)</f>
        <v>Serviço</v>
      </c>
      <c r="E320" s="119" t="str">
        <f ca="1">OFFSET(ORÇAMENTO!O$15,ROW(E320)-ROW(E$15),0)</f>
        <v>-</v>
      </c>
      <c r="F320" s="172" t="str">
        <f ca="1">OFFSET(ORÇAMENTO!R$15,ROW(F320)-ROW(F$15),0)</f>
        <v>(abra o arquivo 'Referência 06-2024.xlsm)</v>
      </c>
      <c r="G320" s="173" t="str">
        <f ca="1">IF($D320&lt;&gt;"Serviço","",OFFSET(ORÇAMENTO!S$15,ROW(G320)-ROW(G$15),0))</f>
        <v>-</v>
      </c>
      <c r="H320" s="124">
        <f ca="1">IF($D320&lt;&gt;"Serviço",0,IF(ACOMPANHAMENTO="BM",ROUND(OFFSET(ORÇAMENTO!AJ$15,ROW(H320)-ROW(H$15),0),15-13*ORÇAMENTO!$AF$7),SUMPRODUCT(($Q$12:$AI$12&lt;&gt;"")*ROUND($Q320:$AI320,15-13*ORÇAMENTO!$AF$7))))</f>
        <v>88.7</v>
      </c>
      <c r="I320" s="561" t="s">
        <v>1107</v>
      </c>
      <c r="K320" s="174"/>
      <c r="L320" s="175" t="s">
        <v>255</v>
      </c>
      <c r="M320" s="176">
        <f ca="1">IF($D320&lt;&gt;"Serviço","",IF(AUTOEVENTO="manual",$A320,IF(ISERROR(MATCH($A320,$A$15:OFFSET($A320,-1,0),0)),MAX($M$15:OFFSET(M320,-1,0))+1,INDEX($M$15:OFFSET(M320,-1,0),MATCH($A320,$A$15:OFFSET($A320,-1,0),0)))))</f>
        <v>41</v>
      </c>
      <c r="N320" s="177" t="str">
        <f ca="1">IF($D320&lt;&gt;"Serviço","",IF(AUTOEVENTO="Manual",IF($A320=0,"&lt;-- defina o número do agrupador",OFFSET(EVENTOS!$D$14,$A320,0)),OFFSET($F$15,$A320,0)))</f>
        <v>INSTALAÇÃO SANITÁRIA - TUBULAÇÕES E CONEXÕES</v>
      </c>
      <c r="O320" s="178"/>
      <c r="Q320" s="178">
        <v>88.7</v>
      </c>
      <c r="R320" s="179"/>
      <c r="S320" s="179"/>
      <c r="T320" s="179"/>
      <c r="U320" s="179"/>
      <c r="V320" s="179"/>
      <c r="W320" s="179"/>
      <c r="X320" s="179"/>
      <c r="Y320" s="179"/>
      <c r="Z320" s="180"/>
      <c r="AA320" s="179"/>
      <c r="AB320" s="179"/>
      <c r="AC320" s="179"/>
      <c r="AD320" s="179"/>
      <c r="AE320" s="179"/>
      <c r="AF320" s="179"/>
      <c r="AG320" s="179"/>
      <c r="AH320" s="180"/>
      <c r="AJ320" s="544">
        <f ca="1">IF(AND($D320="Serviço",AJ$12&lt;&gt;0,$H320&gt;0,OR(AUTOEVENTO&lt;&gt;"manual",$M320&lt;&gt;1)),
IF(Import.TipoArredondamento&lt;&gt;"TransfereGOV",
ROUND(OFFSET($P320,0,AJ$13),15-13*ORÇAMENTO!$AF$7)/$H320*OFFSET(ORÇAMENTO!$X$15,ROW(AJ320)-ROW(AJ$15),0),
ROUND(ROUND(OFFSET($P320,0,AJ$13),15-13*ORÇAMENTO!$AF$7)*OFFSET(ORÇAMENTO!$W$15,ROW(AJ320)-ROW(AJ$15),0),15-13*ORÇAMENTO!$AF$11)),0)</f>
        <v>0</v>
      </c>
      <c r="AK320" s="545">
        <f ca="1">IF(AND($D320="Serviço",AK$12&lt;&gt;0,$H320&gt;0,OR(AUTOEVENTO&lt;&gt;"manual",$M320&lt;&gt;1)),
IF(Import.TipoArredondamento&lt;&gt;"TransfereGOV",
ROUND(OFFSET($P320,0,AK$13),15-13*ORÇAMENTO!$AF$7)/$H320*OFFSET(ORÇAMENTO!$X$15,ROW(AK320)-ROW(AK$15),0),
ROUND(ROUND(OFFSET($P320,0,AK$13),15-13*ORÇAMENTO!$AF$7)*OFFSET(ORÇAMENTO!$W$15,ROW(AK320)-ROW(AK$15),0),15-13*ORÇAMENTO!$AF$11)),0)</f>
        <v>0</v>
      </c>
      <c r="AL320" s="545">
        <f ca="1">IF(AND($D320="Serviço",AL$12&lt;&gt;0,$H320&gt;0,OR(AUTOEVENTO&lt;&gt;"manual",$M320&lt;&gt;1)),
IF(Import.TipoArredondamento&lt;&gt;"TransfereGOV",
ROUND(OFFSET($P320,0,AL$13),15-13*ORÇAMENTO!$AF$7)/$H320*OFFSET(ORÇAMENTO!$X$15,ROW(AL320)-ROW(AL$15),0),
ROUND(ROUND(OFFSET($P320,0,AL$13),15-13*ORÇAMENTO!$AF$7)*OFFSET(ORÇAMENTO!$W$15,ROW(AL320)-ROW(AL$15),0),15-13*ORÇAMENTO!$AF$11)),0)</f>
        <v>0</v>
      </c>
      <c r="AM320" s="545">
        <f ca="1">IF(AND($D320="Serviço",AM$12&lt;&gt;0,$H320&gt;0,OR(AUTOEVENTO&lt;&gt;"manual",$M320&lt;&gt;1)),
IF(Import.TipoArredondamento&lt;&gt;"TransfereGOV",
ROUND(OFFSET($P320,0,AM$13),15-13*ORÇAMENTO!$AF$7)/$H320*OFFSET(ORÇAMENTO!$X$15,ROW(AM320)-ROW(AM$15),0),
ROUND(ROUND(OFFSET($P320,0,AM$13),15-13*ORÇAMENTO!$AF$7)*OFFSET(ORÇAMENTO!$W$15,ROW(AM320)-ROW(AM$15),0),15-13*ORÇAMENTO!$AF$11)),0)</f>
        <v>0</v>
      </c>
      <c r="AN320" s="545">
        <f ca="1">IF(AND($D320="Serviço",AN$12&lt;&gt;0,$H320&gt;0,OR(AUTOEVENTO&lt;&gt;"manual",$M320&lt;&gt;1)),
IF(Import.TipoArredondamento&lt;&gt;"TransfereGOV",
ROUND(OFFSET($P320,0,AN$13),15-13*ORÇAMENTO!$AF$7)/$H320*OFFSET(ORÇAMENTO!$X$15,ROW(AN320)-ROW(AN$15),0),
ROUND(ROUND(OFFSET($P320,0,AN$13),15-13*ORÇAMENTO!$AF$7)*OFFSET(ORÇAMENTO!$W$15,ROW(AN320)-ROW(AN$15),0),15-13*ORÇAMENTO!$AF$11)),0)</f>
        <v>0</v>
      </c>
      <c r="AO320" s="545">
        <f ca="1">IF(AND($D320="Serviço",AO$12&lt;&gt;0,$H320&gt;0,OR(AUTOEVENTO&lt;&gt;"manual",$M320&lt;&gt;1)),
IF(Import.TipoArredondamento&lt;&gt;"TransfereGOV",
ROUND(OFFSET($P320,0,AO$13),15-13*ORÇAMENTO!$AF$7)/$H320*OFFSET(ORÇAMENTO!$X$15,ROW(AO320)-ROW(AO$15),0),
ROUND(ROUND(OFFSET($P320,0,AO$13),15-13*ORÇAMENTO!$AF$7)*OFFSET(ORÇAMENTO!$W$15,ROW(AO320)-ROW(AO$15),0),15-13*ORÇAMENTO!$AF$11)),0)</f>
        <v>0</v>
      </c>
      <c r="AP320" s="545">
        <f ca="1">IF(AND($D320="Serviço",AP$12&lt;&gt;0,$H320&gt;0,OR(AUTOEVENTO&lt;&gt;"manual",$M320&lt;&gt;1)),
IF(Import.TipoArredondamento&lt;&gt;"TransfereGOV",
ROUND(OFFSET($P320,0,AP$13),15-13*ORÇAMENTO!$AF$7)/$H320*OFFSET(ORÇAMENTO!$X$15,ROW(AP320)-ROW(AP$15),0),
ROUND(ROUND(OFFSET($P320,0,AP$13),15-13*ORÇAMENTO!$AF$7)*OFFSET(ORÇAMENTO!$W$15,ROW(AP320)-ROW(AP$15),0),15-13*ORÇAMENTO!$AF$11)),0)</f>
        <v>0</v>
      </c>
      <c r="AQ320" s="545">
        <f ca="1">IF(AND($D320="Serviço",AQ$12&lt;&gt;0,$H320&gt;0,OR(AUTOEVENTO&lt;&gt;"manual",$M320&lt;&gt;1)),
IF(Import.TipoArredondamento&lt;&gt;"TransfereGOV",
ROUND(OFFSET($P320,0,AQ$13),15-13*ORÇAMENTO!$AF$7)/$H320*OFFSET(ORÇAMENTO!$X$15,ROW(AQ320)-ROW(AQ$15),0),
ROUND(ROUND(OFFSET($P320,0,AQ$13),15-13*ORÇAMENTO!$AF$7)*OFFSET(ORÇAMENTO!$W$15,ROW(AQ320)-ROW(AQ$15),0),15-13*ORÇAMENTO!$AF$11)),0)</f>
        <v>0</v>
      </c>
      <c r="AR320" s="545">
        <f ca="1">IF(AND($D320="Serviço",AR$12&lt;&gt;0,$H320&gt;0,OR(AUTOEVENTO&lt;&gt;"manual",$M320&lt;&gt;1)),
IF(Import.TipoArredondamento&lt;&gt;"TransfereGOV",
ROUND(OFFSET($P320,0,AR$13),15-13*ORÇAMENTO!$AF$7)/$H320*OFFSET(ORÇAMENTO!$X$15,ROW(AR320)-ROW(AR$15),0),
ROUND(ROUND(OFFSET($P320,0,AR$13),15-13*ORÇAMENTO!$AF$7)*OFFSET(ORÇAMENTO!$W$15,ROW(AR320)-ROW(AR$15),0),15-13*ORÇAMENTO!$AF$11)),0)</f>
        <v>0</v>
      </c>
      <c r="AS320" s="546">
        <f ca="1">IF(AND($D320="Serviço",AS$12&lt;&gt;0,$H320&gt;0,OR(AUTOEVENTO&lt;&gt;"manual",$M320&lt;&gt;1)),
IF(Import.TipoArredondamento&lt;&gt;"TransfereGOV",
ROUND(OFFSET($P320,0,AS$13),15-13*ORÇAMENTO!$AF$7)/$H320*OFFSET(ORÇAMENTO!$X$15,ROW(AS320)-ROW(AS$15),0),
ROUND(ROUND(OFFSET($P320,0,AS$13),15-13*ORÇAMENTO!$AF$7)*OFFSET(ORÇAMENTO!$W$15,ROW(AS320)-ROW(AS$15),0),15-13*ORÇAMENTO!$AF$11)),0)</f>
        <v>0</v>
      </c>
      <c r="AT320" s="545">
        <f ca="1">IF(AND($D320="Serviço",AT$12&lt;&gt;0,$H320&gt;0,OR(AUTOEVENTO&lt;&gt;"manual",$M320&lt;&gt;1)),
IF(Import.TipoArredondamento&lt;&gt;"TransfereGOV",
ROUND(OFFSET($P320,0,AT$13),15-13*ORÇAMENTO!$AF$7)/$H320*OFFSET(ORÇAMENTO!$X$15,ROW(AT320)-ROW(AT$15),0),
ROUND(ROUND(OFFSET($P320,0,AT$13),15-13*ORÇAMENTO!$AF$7)*OFFSET(ORÇAMENTO!$W$15,ROW(AT320)-ROW(AT$15),0),15-13*ORÇAMENTO!$AF$11)),0)</f>
        <v>0</v>
      </c>
      <c r="AU320" s="545">
        <f ca="1">IF(AND($D320="Serviço",AU$12&lt;&gt;0,$H320&gt;0,OR(AUTOEVENTO&lt;&gt;"manual",$M320&lt;&gt;1)),
IF(Import.TipoArredondamento&lt;&gt;"TransfereGOV",
ROUND(OFFSET($P320,0,AU$13),15-13*ORÇAMENTO!$AF$7)/$H320*OFFSET(ORÇAMENTO!$X$15,ROW(AU320)-ROW(AU$15),0),
ROUND(ROUND(OFFSET($P320,0,AU$13),15-13*ORÇAMENTO!$AF$7)*OFFSET(ORÇAMENTO!$W$15,ROW(AU320)-ROW(AU$15),0),15-13*ORÇAMENTO!$AF$11)),0)</f>
        <v>0</v>
      </c>
      <c r="AV320" s="545">
        <f ca="1">IF(AND($D320="Serviço",AV$12&lt;&gt;0,$H320&gt;0,OR(AUTOEVENTO&lt;&gt;"manual",$M320&lt;&gt;1)),
IF(Import.TipoArredondamento&lt;&gt;"TransfereGOV",
ROUND(OFFSET($P320,0,AV$13),15-13*ORÇAMENTO!$AF$7)/$H320*OFFSET(ORÇAMENTO!$X$15,ROW(AV320)-ROW(AV$15),0),
ROUND(ROUND(OFFSET($P320,0,AV$13),15-13*ORÇAMENTO!$AF$7)*OFFSET(ORÇAMENTO!$W$15,ROW(AV320)-ROW(AV$15),0),15-13*ORÇAMENTO!$AF$11)),0)</f>
        <v>0</v>
      </c>
      <c r="AW320" s="545">
        <f ca="1">IF(AND($D320="Serviço",AW$12&lt;&gt;0,$H320&gt;0,OR(AUTOEVENTO&lt;&gt;"manual",$M320&lt;&gt;1)),
IF(Import.TipoArredondamento&lt;&gt;"TransfereGOV",
ROUND(OFFSET($P320,0,AW$13),15-13*ORÇAMENTO!$AF$7)/$H320*OFFSET(ORÇAMENTO!$X$15,ROW(AW320)-ROW(AW$15),0),
ROUND(ROUND(OFFSET($P320,0,AW$13),15-13*ORÇAMENTO!$AF$7)*OFFSET(ORÇAMENTO!$W$15,ROW(AW320)-ROW(AW$15),0),15-13*ORÇAMENTO!$AF$11)),0)</f>
        <v>0</v>
      </c>
      <c r="AX320" s="545">
        <f ca="1">IF(AND($D320="Serviço",AX$12&lt;&gt;0,$H320&gt;0,OR(AUTOEVENTO&lt;&gt;"manual",$M320&lt;&gt;1)),
IF(Import.TipoArredondamento&lt;&gt;"TransfereGOV",
ROUND(OFFSET($P320,0,AX$13),15-13*ORÇAMENTO!$AF$7)/$H320*OFFSET(ORÇAMENTO!$X$15,ROW(AX320)-ROW(AX$15),0),
ROUND(ROUND(OFFSET($P320,0,AX$13),15-13*ORÇAMENTO!$AF$7)*OFFSET(ORÇAMENTO!$W$15,ROW(AX320)-ROW(AX$15),0),15-13*ORÇAMENTO!$AF$11)),0)</f>
        <v>0</v>
      </c>
      <c r="AY320" s="545">
        <f ca="1">IF(AND($D320="Serviço",AY$12&lt;&gt;0,$H320&gt;0,OR(AUTOEVENTO&lt;&gt;"manual",$M320&lt;&gt;1)),
IF(Import.TipoArredondamento&lt;&gt;"TransfereGOV",
ROUND(OFFSET($P320,0,AY$13),15-13*ORÇAMENTO!$AF$7)/$H320*OFFSET(ORÇAMENTO!$X$15,ROW(AY320)-ROW(AY$15),0),
ROUND(ROUND(OFFSET($P320,0,AY$13),15-13*ORÇAMENTO!$AF$7)*OFFSET(ORÇAMENTO!$W$15,ROW(AY320)-ROW(AY$15),0),15-13*ORÇAMENTO!$AF$11)),0)</f>
        <v>0</v>
      </c>
      <c r="AZ320" s="545">
        <f ca="1">IF(AND($D320="Serviço",AZ$12&lt;&gt;0,$H320&gt;0,OR(AUTOEVENTO&lt;&gt;"manual",$M320&lt;&gt;1)),
IF(Import.TipoArredondamento&lt;&gt;"TransfereGOV",
ROUND(OFFSET($P320,0,AZ$13),15-13*ORÇAMENTO!$AF$7)/$H320*OFFSET(ORÇAMENTO!$X$15,ROW(AZ320)-ROW(AZ$15),0),
ROUND(ROUND(OFFSET($P320,0,AZ$13),15-13*ORÇAMENTO!$AF$7)*OFFSET(ORÇAMENTO!$W$15,ROW(AZ320)-ROW(AZ$15),0),15-13*ORÇAMENTO!$AF$11)),0)</f>
        <v>0</v>
      </c>
      <c r="BA320" s="546">
        <f ca="1">IF(AND($D320="Serviço",BA$12&lt;&gt;0,$H320&gt;0,OR(AUTOEVENTO&lt;&gt;"manual",$M320&lt;&gt;1)),
IF(Import.TipoArredondamento&lt;&gt;"TransfereGOV",
ROUND(OFFSET($P320,0,BA$13),15-13*ORÇAMENTO!$AF$7)/$H320*OFFSET(ORÇAMENTO!$X$15,ROW(BA320)-ROW(BA$15),0),
ROUND(ROUND(OFFSET($P320,0,BA$13),15-13*ORÇAMENTO!$AF$7)*OFFSET(ORÇAMENTO!$W$15,ROW(BA320)-ROW(BA$15),0),15-13*ORÇAMENTO!$AF$11)),0)</f>
        <v>0</v>
      </c>
      <c r="BC320" s="181">
        <f ca="1">IF($D320&lt;&gt;"Serviço",0,IF(AND(AUTOEVENTO="Manual",$M320=1),0,IF(OFFSET(CRONOPLE!$F$14,$M320,BC$13)="",10^12,OFFSET(CRONOPLE!$F$14,$M320,BC$13))))</f>
        <v>9</v>
      </c>
      <c r="BD320" s="181">
        <f ca="1">IF($D320&lt;&gt;"Serviço",0,IF(AND(AUTOEVENTO="Manual",$M320=1),0,IF(OFFSET(CRONOPLE!$F$14,$M320,BD$13)="",10^12,OFFSET(CRONOPLE!$F$14,$M320,BD$13))))</f>
        <v>1000000000000</v>
      </c>
      <c r="BE320" s="181">
        <f ca="1">IF($D320&lt;&gt;"Serviço",0,IF(AND(AUTOEVENTO="Manual",$M320=1),0,IF(OFFSET(CRONOPLE!$F$14,$M320,BE$13)="",10^12,OFFSET(CRONOPLE!$F$14,$M320,BE$13))))</f>
        <v>1000000000000</v>
      </c>
      <c r="BF320" s="181">
        <f ca="1">IF($D320&lt;&gt;"Serviço",0,IF(AND(AUTOEVENTO="Manual",$M320=1),0,IF(OFFSET(CRONOPLE!$F$14,$M320,BF$13)="",10^12,OFFSET(CRONOPLE!$F$14,$M320,BF$13))))</f>
        <v>1000000000000</v>
      </c>
      <c r="BG320" s="181">
        <f ca="1">IF($D320&lt;&gt;"Serviço",0,IF(AND(AUTOEVENTO="Manual",$M320=1),0,IF(OFFSET(CRONOPLE!$F$14,$M320,BG$13)="",10^12,OFFSET(CRONOPLE!$F$14,$M320,BG$13))))</f>
        <v>1000000000000</v>
      </c>
      <c r="BH320" s="181">
        <f ca="1">IF($D320&lt;&gt;"Serviço",0,IF(AND(AUTOEVENTO="Manual",$M320=1),0,IF(OFFSET(CRONOPLE!$F$14,$M320,BH$13)="",10^12,OFFSET(CRONOPLE!$F$14,$M320,BH$13))))</f>
        <v>1000000000000</v>
      </c>
      <c r="BI320" s="181">
        <f ca="1">IF($D320&lt;&gt;"Serviço",0,IF(AND(AUTOEVENTO="Manual",$M320=1),0,IF(OFFSET(CRONOPLE!$F$14,$M320,BI$13)="",10^12,OFFSET(CRONOPLE!$F$14,$M320,BI$13))))</f>
        <v>1000000000000</v>
      </c>
      <c r="BJ320" s="181">
        <f ca="1">IF($D320&lt;&gt;"Serviço",0,IF(AND(AUTOEVENTO="Manual",$M320=1),0,IF(OFFSET(CRONOPLE!$F$14,$M320,BJ$13)="",10^12,OFFSET(CRONOPLE!$F$14,$M320,BJ$13))))</f>
        <v>1000000000000</v>
      </c>
      <c r="BK320" s="181">
        <f ca="1">IF($D320&lt;&gt;"Serviço",0,IF(AND(AUTOEVENTO="Manual",$M320=1),0,IF(OFFSET(CRONOPLE!$F$14,$M320,BK$13)="",10^12,OFFSET(CRONOPLE!$F$14,$M320,BK$13))))</f>
        <v>1000000000000</v>
      </c>
      <c r="BL320" s="181">
        <f ca="1">IF($D320&lt;&gt;"Serviço",0,IF(AND(AUTOEVENTO="Manual",$M320=1),0,IF(OFFSET(CRONOPLE!$F$14,$M320,BL$13)="",10^12,OFFSET(CRONOPLE!$F$14,$M320,BL$13))))</f>
        <v>1000000000000</v>
      </c>
      <c r="BM320" s="181">
        <f ca="1">IF($D320&lt;&gt;"Serviço",0,IF(AND(AUTOEVENTO="Manual",$M320=1),0,IF(OFFSET(CRONOPLE!$F$14,$M320,BM$13)="",10^12,OFFSET(CRONOPLE!$F$14,$M320,BM$13))))</f>
        <v>1000000000000</v>
      </c>
      <c r="BN320" s="181">
        <f ca="1">IF($D320&lt;&gt;"Serviço",0,IF(AND(AUTOEVENTO="Manual",$M320=1),0,IF(OFFSET(CRONOPLE!$F$14,$M320,BN$13)="",10^12,OFFSET(CRONOPLE!$F$14,$M320,BN$13))))</f>
        <v>1000000000000</v>
      </c>
      <c r="BO320" s="181">
        <f ca="1">IF($D320&lt;&gt;"Serviço",0,IF(AND(AUTOEVENTO="Manual",$M320=1),0,IF(OFFSET(CRONOPLE!$F$14,$M320,BO$13)="",10^12,OFFSET(CRONOPLE!$F$14,$M320,BO$13))))</f>
        <v>1000000000000</v>
      </c>
      <c r="BP320" s="181">
        <f ca="1">IF($D320&lt;&gt;"Serviço",0,IF(AND(AUTOEVENTO="Manual",$M320=1),0,IF(OFFSET(CRONOPLE!$F$14,$M320,BP$13)="",10^12,OFFSET(CRONOPLE!$F$14,$M320,BP$13))))</f>
        <v>1000000000000</v>
      </c>
      <c r="BQ320" s="181">
        <f ca="1">IF($D320&lt;&gt;"Serviço",0,IF(AND(AUTOEVENTO="Manual",$M320=1),0,IF(OFFSET(CRONOPLE!$F$14,$M320,BQ$13)="",10^12,OFFSET(CRONOPLE!$F$14,$M320,BQ$13))))</f>
        <v>1000000000000</v>
      </c>
      <c r="BR320" s="181">
        <f ca="1">IF($D320&lt;&gt;"Serviço",0,IF(AND(AUTOEVENTO="Manual",$M320=1),0,IF(OFFSET(CRONOPLE!$F$14,$M320,BR$13)="",10^12,OFFSET(CRONOPLE!$F$14,$M320,BR$13))))</f>
        <v>1000000000000</v>
      </c>
      <c r="BS320" s="181">
        <f ca="1">IF($D320&lt;&gt;"Serviço",0,IF(AND(AUTOEVENTO="Manual",$M320=1),0,IF(OFFSET(CRONOPLE!$F$14,$M320,BS$13)="",10^12,OFFSET(CRONOPLE!$F$14,$M320,BS$13))))</f>
        <v>1000000000000</v>
      </c>
      <c r="BT320" s="181">
        <f ca="1">IF($D320&lt;&gt;"Serviço",0,IF(AND(AUTOEVENTO="Manual",$M320=1),0,IF(OFFSET(CRONOPLE!$F$14,$M320,BT$13)="",10^12,OFFSET(CRONOPLE!$F$14,$M320,BT$13))))</f>
        <v>1000000000000</v>
      </c>
      <c r="BV320" s="182">
        <f ca="1">IF($D320&lt;&gt;"Serviço",0,IF(OR(AND(AUTOEVENTO="Manual",$M320=1),$M320&gt;(ROW(PLE.lastrow)-ROW(PLE.firstrow))),0,IF(OFFSET(PLE!$G$14,$M320,BV$13)="",10^12,OFFSET(PLE!$G$14,$M320,BV$13))))</f>
        <v>1000000000000</v>
      </c>
      <c r="BW320" s="182">
        <f ca="1">IF($D320&lt;&gt;"Serviço",0,IF(OR(AND(AUTOEVENTO="Manual",$M320=1),$M320&gt;(ROW(PLE.lastrow)-ROW(PLE.firstrow))),0,IF(OFFSET(PLE!$G$14,$M320,BW$13)="",10^12,OFFSET(PLE!$G$14,$M320,BW$13))))</f>
        <v>1000000000000</v>
      </c>
      <c r="BX320" s="182">
        <f ca="1">IF($D320&lt;&gt;"Serviço",0,IF(OR(AND(AUTOEVENTO="Manual",$M320=1),$M320&gt;(ROW(PLE.lastrow)-ROW(PLE.firstrow))),0,IF(OFFSET(PLE!$G$14,$M320,BX$13)="",10^12,OFFSET(PLE!$G$14,$M320,BX$13))))</f>
        <v>1000000000000</v>
      </c>
      <c r="BY320" s="182">
        <f ca="1">IF($D320&lt;&gt;"Serviço",0,IF(OR(AND(AUTOEVENTO="Manual",$M320=1),$M320&gt;(ROW(PLE.lastrow)-ROW(PLE.firstrow))),0,IF(OFFSET(PLE!$G$14,$M320,BY$13)="",10^12,OFFSET(PLE!$G$14,$M320,BY$13))))</f>
        <v>1000000000000</v>
      </c>
      <c r="BZ320" s="182">
        <f ca="1">IF($D320&lt;&gt;"Serviço",0,IF(OR(AND(AUTOEVENTO="Manual",$M320=1),$M320&gt;(ROW(PLE.lastrow)-ROW(PLE.firstrow))),0,IF(OFFSET(PLE!$G$14,$M320,BZ$13)="",10^12,OFFSET(PLE!$G$14,$M320,BZ$13))))</f>
        <v>1000000000000</v>
      </c>
      <c r="CA320" s="182">
        <f ca="1">IF($D320&lt;&gt;"Serviço",0,IF(OR(AND(AUTOEVENTO="Manual",$M320=1),$M320&gt;(ROW(PLE.lastrow)-ROW(PLE.firstrow))),0,IF(OFFSET(PLE!$G$14,$M320,CA$13)="",10^12,OFFSET(PLE!$G$14,$M320,CA$13))))</f>
        <v>1000000000000</v>
      </c>
      <c r="CB320" s="182">
        <f ca="1">IF($D320&lt;&gt;"Serviço",0,IF(OR(AND(AUTOEVENTO="Manual",$M320=1),$M320&gt;(ROW(PLE.lastrow)-ROW(PLE.firstrow))),0,IF(OFFSET(PLE!$G$14,$M320,CB$13)="",10^12,OFFSET(PLE!$G$14,$M320,CB$13))))</f>
        <v>1000000000000</v>
      </c>
      <c r="CC320" s="182">
        <f ca="1">IF($D320&lt;&gt;"Serviço",0,IF(OR(AND(AUTOEVENTO="Manual",$M320=1),$M320&gt;(ROW(PLE.lastrow)-ROW(PLE.firstrow))),0,IF(OFFSET(PLE!$G$14,$M320,CC$13)="",10^12,OFFSET(PLE!$G$14,$M320,CC$13))))</f>
        <v>1000000000000</v>
      </c>
      <c r="CD320" s="182">
        <f ca="1">IF($D320&lt;&gt;"Serviço",0,IF(OR(AND(AUTOEVENTO="Manual",$M320=1),$M320&gt;(ROW(PLE.lastrow)-ROW(PLE.firstrow))),0,IF(OFFSET(PLE!$G$14,$M320,CD$13)="",10^12,OFFSET(PLE!$G$14,$M320,CD$13))))</f>
        <v>1000000000000</v>
      </c>
      <c r="CE320" s="182">
        <f ca="1">IF($D320&lt;&gt;"Serviço",0,IF(OR(AND(AUTOEVENTO="Manual",$M320=1),$M320&gt;(ROW(PLE.lastrow)-ROW(PLE.firstrow))),0,IF(OFFSET(PLE!$G$14,$M320,CE$13)="",10^12,OFFSET(PLE!$G$14,$M320,CE$13))))</f>
        <v>1000000000000</v>
      </c>
      <c r="CF320" s="182">
        <f ca="1">IF($D320&lt;&gt;"Serviço",0,IF(OR(AND(AUTOEVENTO="Manual",$M320=1),$M320&gt;(ROW(PLE.lastrow)-ROW(PLE.firstrow))),0,IF(OFFSET(PLE!$G$14,$M320,CF$13)="",10^12,OFFSET(PLE!$G$14,$M320,CF$13))))</f>
        <v>1000000000000</v>
      </c>
      <c r="CG320" s="182">
        <f ca="1">IF($D320&lt;&gt;"Serviço",0,IF(OR(AND(AUTOEVENTO="Manual",$M320=1),$M320&gt;(ROW(PLE.lastrow)-ROW(PLE.firstrow))),0,IF(OFFSET(PLE!$G$14,$M320,CG$13)="",10^12,OFFSET(PLE!$G$14,$M320,CG$13))))</f>
        <v>1000000000000</v>
      </c>
      <c r="CH320" s="182">
        <f ca="1">IF($D320&lt;&gt;"Serviço",0,IF(OR(AND(AUTOEVENTO="Manual",$M320=1),$M320&gt;(ROW(PLE.lastrow)-ROW(PLE.firstrow))),0,IF(OFFSET(PLE!$G$14,$M320,CH$13)="",10^12,OFFSET(PLE!$G$14,$M320,CH$13))))</f>
        <v>1000000000000</v>
      </c>
      <c r="CI320" s="182">
        <f ca="1">IF($D320&lt;&gt;"Serviço",0,IF(OR(AND(AUTOEVENTO="Manual",$M320=1),$M320&gt;(ROW(PLE.lastrow)-ROW(PLE.firstrow))),0,IF(OFFSET(PLE!$G$14,$M320,CI$13)="",10^12,OFFSET(PLE!$G$14,$M320,CI$13))))</f>
        <v>1000000000000</v>
      </c>
      <c r="CJ320" s="182">
        <f ca="1">IF($D320&lt;&gt;"Serviço",0,IF(OR(AND(AUTOEVENTO="Manual",$M320=1),$M320&gt;(ROW(PLE.lastrow)-ROW(PLE.firstrow))),0,IF(OFFSET(PLE!$G$14,$M320,CJ$13)="",10^12,OFFSET(PLE!$G$14,$M320,CJ$13))))</f>
        <v>1000000000000</v>
      </c>
      <c r="CK320" s="182">
        <f ca="1">IF($D320&lt;&gt;"Serviço",0,IF(OR(AND(AUTOEVENTO="Manual",$M320=1),$M320&gt;(ROW(PLE.lastrow)-ROW(PLE.firstrow))),0,IF(OFFSET(PLE!$G$14,$M320,CK$13)="",10^12,OFFSET(PLE!$G$14,$M320,CK$13))))</f>
        <v>1000000000000</v>
      </c>
      <c r="CL320" s="182">
        <f ca="1">IF($D320&lt;&gt;"Serviço",0,IF(OR(AND(AUTOEVENTO="Manual",$M320=1),$M320&gt;(ROW(PLE.lastrow)-ROW(PLE.firstrow))),0,IF(OFFSET(PLE!$G$14,$M320,CL$13)="",10^12,OFFSET(PLE!$G$14,$M320,CL$13))))</f>
        <v>1000000000000</v>
      </c>
      <c r="CM320" s="182">
        <f ca="1">IF($D320&lt;&gt;"Serviço",0,IF(OR(AND(AUTOEVENTO="Manual",$M320=1),$M320&gt;(ROW(PLE.lastrow)-ROW(PLE.firstrow))),0,IF(OFFSET(PLE!$G$14,$M320,CM$13)="",10^12,OFFSET(PLE!$G$14,$M320,CM$13))))</f>
        <v>1000000000000</v>
      </c>
    </row>
    <row r="321" spans="1:91" ht="38.25" x14ac:dyDescent="0.2">
      <c r="A321" s="7" t="str">
        <f t="shared" ca="1" si="12"/>
        <v>304</v>
      </c>
      <c r="B321" s="7" t="str">
        <f ca="1">OFFSET(ORÇAMENTO!C$15,ROW(B321)-ROW(B$15),0)</f>
        <v>S</v>
      </c>
      <c r="C321" s="7" t="str">
        <f ca="1">OFFSET(ORÇAMENTO!L$15,ROW(C321)-ROW(C$15),0)</f>
        <v/>
      </c>
      <c r="D321" s="118" t="str">
        <f ca="1">OFFSET(ORÇAMENTO!N$15,ROW(D321)-ROW(D$15),0)</f>
        <v>Serviço</v>
      </c>
      <c r="E321" s="119" t="str">
        <f ca="1">OFFSET(ORÇAMENTO!O$15,ROW(E321)-ROW(E$15),0)</f>
        <v>-</v>
      </c>
      <c r="F321" s="172" t="str">
        <f ca="1">OFFSET(ORÇAMENTO!R$15,ROW(F321)-ROW(F$15),0)</f>
        <v>(abra o arquivo 'Referência 06-2024.xlsm)</v>
      </c>
      <c r="G321" s="173" t="str">
        <f ca="1">IF($D321&lt;&gt;"Serviço","",OFFSET(ORÇAMENTO!S$15,ROW(G321)-ROW(G$15),0))</f>
        <v>-</v>
      </c>
      <c r="H321" s="124">
        <f ca="1">IF($D321&lt;&gt;"Serviço",0,IF(ACOMPANHAMENTO="BM",ROUND(OFFSET(ORÇAMENTO!AJ$15,ROW(H321)-ROW(H$15),0),15-13*ORÇAMENTO!$AF$7),SUMPRODUCT(($Q$12:$AI$12&lt;&gt;"")*ROUND($Q321:$AI321,15-13*ORÇAMENTO!$AF$7))))</f>
        <v>207.2</v>
      </c>
      <c r="I321" s="561" t="s">
        <v>1107</v>
      </c>
      <c r="K321" s="174"/>
      <c r="L321" s="175" t="s">
        <v>255</v>
      </c>
      <c r="M321" s="176">
        <f ca="1">IF($D321&lt;&gt;"Serviço","",IF(AUTOEVENTO="manual",$A321,IF(ISERROR(MATCH($A321,$A$15:OFFSET($A321,-1,0),0)),MAX($M$15:OFFSET(M321,-1,0))+1,INDEX($M$15:OFFSET(M321,-1,0),MATCH($A321,$A$15:OFFSET($A321,-1,0),0)))))</f>
        <v>41</v>
      </c>
      <c r="N321" s="177" t="str">
        <f ca="1">IF($D321&lt;&gt;"Serviço","",IF(AUTOEVENTO="Manual",IF($A321=0,"&lt;-- defina o número do agrupador",OFFSET(EVENTOS!$D$14,$A321,0)),OFFSET($F$15,$A321,0)))</f>
        <v>INSTALAÇÃO SANITÁRIA - TUBULAÇÕES E CONEXÕES</v>
      </c>
      <c r="O321" s="178"/>
      <c r="Q321" s="178">
        <v>207.2</v>
      </c>
      <c r="R321" s="179"/>
      <c r="S321" s="179"/>
      <c r="T321" s="179"/>
      <c r="U321" s="179"/>
      <c r="V321" s="179"/>
      <c r="W321" s="179"/>
      <c r="X321" s="179"/>
      <c r="Y321" s="179"/>
      <c r="Z321" s="180"/>
      <c r="AA321" s="179"/>
      <c r="AB321" s="179"/>
      <c r="AC321" s="179"/>
      <c r="AD321" s="179"/>
      <c r="AE321" s="179"/>
      <c r="AF321" s="179"/>
      <c r="AG321" s="179"/>
      <c r="AH321" s="180"/>
      <c r="AJ321" s="544">
        <f ca="1">IF(AND($D321="Serviço",AJ$12&lt;&gt;0,$H321&gt;0,OR(AUTOEVENTO&lt;&gt;"manual",$M321&lt;&gt;1)),
IF(Import.TipoArredondamento&lt;&gt;"TransfereGOV",
ROUND(OFFSET($P321,0,AJ$13),15-13*ORÇAMENTO!$AF$7)/$H321*OFFSET(ORÇAMENTO!$X$15,ROW(AJ321)-ROW(AJ$15),0),
ROUND(ROUND(OFFSET($P321,0,AJ$13),15-13*ORÇAMENTO!$AF$7)*OFFSET(ORÇAMENTO!$W$15,ROW(AJ321)-ROW(AJ$15),0),15-13*ORÇAMENTO!$AF$11)),0)</f>
        <v>0</v>
      </c>
      <c r="AK321" s="545">
        <f ca="1">IF(AND($D321="Serviço",AK$12&lt;&gt;0,$H321&gt;0,OR(AUTOEVENTO&lt;&gt;"manual",$M321&lt;&gt;1)),
IF(Import.TipoArredondamento&lt;&gt;"TransfereGOV",
ROUND(OFFSET($P321,0,AK$13),15-13*ORÇAMENTO!$AF$7)/$H321*OFFSET(ORÇAMENTO!$X$15,ROW(AK321)-ROW(AK$15),0),
ROUND(ROUND(OFFSET($P321,0,AK$13),15-13*ORÇAMENTO!$AF$7)*OFFSET(ORÇAMENTO!$W$15,ROW(AK321)-ROW(AK$15),0),15-13*ORÇAMENTO!$AF$11)),0)</f>
        <v>0</v>
      </c>
      <c r="AL321" s="545">
        <f ca="1">IF(AND($D321="Serviço",AL$12&lt;&gt;0,$H321&gt;0,OR(AUTOEVENTO&lt;&gt;"manual",$M321&lt;&gt;1)),
IF(Import.TipoArredondamento&lt;&gt;"TransfereGOV",
ROUND(OFFSET($P321,0,AL$13),15-13*ORÇAMENTO!$AF$7)/$H321*OFFSET(ORÇAMENTO!$X$15,ROW(AL321)-ROW(AL$15),0),
ROUND(ROUND(OFFSET($P321,0,AL$13),15-13*ORÇAMENTO!$AF$7)*OFFSET(ORÇAMENTO!$W$15,ROW(AL321)-ROW(AL$15),0),15-13*ORÇAMENTO!$AF$11)),0)</f>
        <v>0</v>
      </c>
      <c r="AM321" s="545">
        <f ca="1">IF(AND($D321="Serviço",AM$12&lt;&gt;0,$H321&gt;0,OR(AUTOEVENTO&lt;&gt;"manual",$M321&lt;&gt;1)),
IF(Import.TipoArredondamento&lt;&gt;"TransfereGOV",
ROUND(OFFSET($P321,0,AM$13),15-13*ORÇAMENTO!$AF$7)/$H321*OFFSET(ORÇAMENTO!$X$15,ROW(AM321)-ROW(AM$15),0),
ROUND(ROUND(OFFSET($P321,0,AM$13),15-13*ORÇAMENTO!$AF$7)*OFFSET(ORÇAMENTO!$W$15,ROW(AM321)-ROW(AM$15),0),15-13*ORÇAMENTO!$AF$11)),0)</f>
        <v>0</v>
      </c>
      <c r="AN321" s="545">
        <f ca="1">IF(AND($D321="Serviço",AN$12&lt;&gt;0,$H321&gt;0,OR(AUTOEVENTO&lt;&gt;"manual",$M321&lt;&gt;1)),
IF(Import.TipoArredondamento&lt;&gt;"TransfereGOV",
ROUND(OFFSET($P321,0,AN$13),15-13*ORÇAMENTO!$AF$7)/$H321*OFFSET(ORÇAMENTO!$X$15,ROW(AN321)-ROW(AN$15),0),
ROUND(ROUND(OFFSET($P321,0,AN$13),15-13*ORÇAMENTO!$AF$7)*OFFSET(ORÇAMENTO!$W$15,ROW(AN321)-ROW(AN$15),0),15-13*ORÇAMENTO!$AF$11)),0)</f>
        <v>0</v>
      </c>
      <c r="AO321" s="545">
        <f ca="1">IF(AND($D321="Serviço",AO$12&lt;&gt;0,$H321&gt;0,OR(AUTOEVENTO&lt;&gt;"manual",$M321&lt;&gt;1)),
IF(Import.TipoArredondamento&lt;&gt;"TransfereGOV",
ROUND(OFFSET($P321,0,AO$13),15-13*ORÇAMENTO!$AF$7)/$H321*OFFSET(ORÇAMENTO!$X$15,ROW(AO321)-ROW(AO$15),0),
ROUND(ROUND(OFFSET($P321,0,AO$13),15-13*ORÇAMENTO!$AF$7)*OFFSET(ORÇAMENTO!$W$15,ROW(AO321)-ROW(AO$15),0),15-13*ORÇAMENTO!$AF$11)),0)</f>
        <v>0</v>
      </c>
      <c r="AP321" s="545">
        <f ca="1">IF(AND($D321="Serviço",AP$12&lt;&gt;0,$H321&gt;0,OR(AUTOEVENTO&lt;&gt;"manual",$M321&lt;&gt;1)),
IF(Import.TipoArredondamento&lt;&gt;"TransfereGOV",
ROUND(OFFSET($P321,0,AP$13),15-13*ORÇAMENTO!$AF$7)/$H321*OFFSET(ORÇAMENTO!$X$15,ROW(AP321)-ROW(AP$15),0),
ROUND(ROUND(OFFSET($P321,0,AP$13),15-13*ORÇAMENTO!$AF$7)*OFFSET(ORÇAMENTO!$W$15,ROW(AP321)-ROW(AP$15),0),15-13*ORÇAMENTO!$AF$11)),0)</f>
        <v>0</v>
      </c>
      <c r="AQ321" s="545">
        <f ca="1">IF(AND($D321="Serviço",AQ$12&lt;&gt;0,$H321&gt;0,OR(AUTOEVENTO&lt;&gt;"manual",$M321&lt;&gt;1)),
IF(Import.TipoArredondamento&lt;&gt;"TransfereGOV",
ROUND(OFFSET($P321,0,AQ$13),15-13*ORÇAMENTO!$AF$7)/$H321*OFFSET(ORÇAMENTO!$X$15,ROW(AQ321)-ROW(AQ$15),0),
ROUND(ROUND(OFFSET($P321,0,AQ$13),15-13*ORÇAMENTO!$AF$7)*OFFSET(ORÇAMENTO!$W$15,ROW(AQ321)-ROW(AQ$15),0),15-13*ORÇAMENTO!$AF$11)),0)</f>
        <v>0</v>
      </c>
      <c r="AR321" s="545">
        <f ca="1">IF(AND($D321="Serviço",AR$12&lt;&gt;0,$H321&gt;0,OR(AUTOEVENTO&lt;&gt;"manual",$M321&lt;&gt;1)),
IF(Import.TipoArredondamento&lt;&gt;"TransfereGOV",
ROUND(OFFSET($P321,0,AR$13),15-13*ORÇAMENTO!$AF$7)/$H321*OFFSET(ORÇAMENTO!$X$15,ROW(AR321)-ROW(AR$15),0),
ROUND(ROUND(OFFSET($P321,0,AR$13),15-13*ORÇAMENTO!$AF$7)*OFFSET(ORÇAMENTO!$W$15,ROW(AR321)-ROW(AR$15),0),15-13*ORÇAMENTO!$AF$11)),0)</f>
        <v>0</v>
      </c>
      <c r="AS321" s="546">
        <f ca="1">IF(AND($D321="Serviço",AS$12&lt;&gt;0,$H321&gt;0,OR(AUTOEVENTO&lt;&gt;"manual",$M321&lt;&gt;1)),
IF(Import.TipoArredondamento&lt;&gt;"TransfereGOV",
ROUND(OFFSET($P321,0,AS$13),15-13*ORÇAMENTO!$AF$7)/$H321*OFFSET(ORÇAMENTO!$X$15,ROW(AS321)-ROW(AS$15),0),
ROUND(ROUND(OFFSET($P321,0,AS$13),15-13*ORÇAMENTO!$AF$7)*OFFSET(ORÇAMENTO!$W$15,ROW(AS321)-ROW(AS$15),0),15-13*ORÇAMENTO!$AF$11)),0)</f>
        <v>0</v>
      </c>
      <c r="AT321" s="545">
        <f ca="1">IF(AND($D321="Serviço",AT$12&lt;&gt;0,$H321&gt;0,OR(AUTOEVENTO&lt;&gt;"manual",$M321&lt;&gt;1)),
IF(Import.TipoArredondamento&lt;&gt;"TransfereGOV",
ROUND(OFFSET($P321,0,AT$13),15-13*ORÇAMENTO!$AF$7)/$H321*OFFSET(ORÇAMENTO!$X$15,ROW(AT321)-ROW(AT$15),0),
ROUND(ROUND(OFFSET($P321,0,AT$13),15-13*ORÇAMENTO!$AF$7)*OFFSET(ORÇAMENTO!$W$15,ROW(AT321)-ROW(AT$15),0),15-13*ORÇAMENTO!$AF$11)),0)</f>
        <v>0</v>
      </c>
      <c r="AU321" s="545">
        <f ca="1">IF(AND($D321="Serviço",AU$12&lt;&gt;0,$H321&gt;0,OR(AUTOEVENTO&lt;&gt;"manual",$M321&lt;&gt;1)),
IF(Import.TipoArredondamento&lt;&gt;"TransfereGOV",
ROUND(OFFSET($P321,0,AU$13),15-13*ORÇAMENTO!$AF$7)/$H321*OFFSET(ORÇAMENTO!$X$15,ROW(AU321)-ROW(AU$15),0),
ROUND(ROUND(OFFSET($P321,0,AU$13),15-13*ORÇAMENTO!$AF$7)*OFFSET(ORÇAMENTO!$W$15,ROW(AU321)-ROW(AU$15),0),15-13*ORÇAMENTO!$AF$11)),0)</f>
        <v>0</v>
      </c>
      <c r="AV321" s="545">
        <f ca="1">IF(AND($D321="Serviço",AV$12&lt;&gt;0,$H321&gt;0,OR(AUTOEVENTO&lt;&gt;"manual",$M321&lt;&gt;1)),
IF(Import.TipoArredondamento&lt;&gt;"TransfereGOV",
ROUND(OFFSET($P321,0,AV$13),15-13*ORÇAMENTO!$AF$7)/$H321*OFFSET(ORÇAMENTO!$X$15,ROW(AV321)-ROW(AV$15),0),
ROUND(ROUND(OFFSET($P321,0,AV$13),15-13*ORÇAMENTO!$AF$7)*OFFSET(ORÇAMENTO!$W$15,ROW(AV321)-ROW(AV$15),0),15-13*ORÇAMENTO!$AF$11)),0)</f>
        <v>0</v>
      </c>
      <c r="AW321" s="545">
        <f ca="1">IF(AND($D321="Serviço",AW$12&lt;&gt;0,$H321&gt;0,OR(AUTOEVENTO&lt;&gt;"manual",$M321&lt;&gt;1)),
IF(Import.TipoArredondamento&lt;&gt;"TransfereGOV",
ROUND(OFFSET($P321,0,AW$13),15-13*ORÇAMENTO!$AF$7)/$H321*OFFSET(ORÇAMENTO!$X$15,ROW(AW321)-ROW(AW$15),0),
ROUND(ROUND(OFFSET($P321,0,AW$13),15-13*ORÇAMENTO!$AF$7)*OFFSET(ORÇAMENTO!$W$15,ROW(AW321)-ROW(AW$15),0),15-13*ORÇAMENTO!$AF$11)),0)</f>
        <v>0</v>
      </c>
      <c r="AX321" s="545">
        <f ca="1">IF(AND($D321="Serviço",AX$12&lt;&gt;0,$H321&gt;0,OR(AUTOEVENTO&lt;&gt;"manual",$M321&lt;&gt;1)),
IF(Import.TipoArredondamento&lt;&gt;"TransfereGOV",
ROUND(OFFSET($P321,0,AX$13),15-13*ORÇAMENTO!$AF$7)/$H321*OFFSET(ORÇAMENTO!$X$15,ROW(AX321)-ROW(AX$15),0),
ROUND(ROUND(OFFSET($P321,0,AX$13),15-13*ORÇAMENTO!$AF$7)*OFFSET(ORÇAMENTO!$W$15,ROW(AX321)-ROW(AX$15),0),15-13*ORÇAMENTO!$AF$11)),0)</f>
        <v>0</v>
      </c>
      <c r="AY321" s="545">
        <f ca="1">IF(AND($D321="Serviço",AY$12&lt;&gt;0,$H321&gt;0,OR(AUTOEVENTO&lt;&gt;"manual",$M321&lt;&gt;1)),
IF(Import.TipoArredondamento&lt;&gt;"TransfereGOV",
ROUND(OFFSET($P321,0,AY$13),15-13*ORÇAMENTO!$AF$7)/$H321*OFFSET(ORÇAMENTO!$X$15,ROW(AY321)-ROW(AY$15),0),
ROUND(ROUND(OFFSET($P321,0,AY$13),15-13*ORÇAMENTO!$AF$7)*OFFSET(ORÇAMENTO!$W$15,ROW(AY321)-ROW(AY$15),0),15-13*ORÇAMENTO!$AF$11)),0)</f>
        <v>0</v>
      </c>
      <c r="AZ321" s="545">
        <f ca="1">IF(AND($D321="Serviço",AZ$12&lt;&gt;0,$H321&gt;0,OR(AUTOEVENTO&lt;&gt;"manual",$M321&lt;&gt;1)),
IF(Import.TipoArredondamento&lt;&gt;"TransfereGOV",
ROUND(OFFSET($P321,0,AZ$13),15-13*ORÇAMENTO!$AF$7)/$H321*OFFSET(ORÇAMENTO!$X$15,ROW(AZ321)-ROW(AZ$15),0),
ROUND(ROUND(OFFSET($P321,0,AZ$13),15-13*ORÇAMENTO!$AF$7)*OFFSET(ORÇAMENTO!$W$15,ROW(AZ321)-ROW(AZ$15),0),15-13*ORÇAMENTO!$AF$11)),0)</f>
        <v>0</v>
      </c>
      <c r="BA321" s="546">
        <f ca="1">IF(AND($D321="Serviço",BA$12&lt;&gt;0,$H321&gt;0,OR(AUTOEVENTO&lt;&gt;"manual",$M321&lt;&gt;1)),
IF(Import.TipoArredondamento&lt;&gt;"TransfereGOV",
ROUND(OFFSET($P321,0,BA$13),15-13*ORÇAMENTO!$AF$7)/$H321*OFFSET(ORÇAMENTO!$X$15,ROW(BA321)-ROW(BA$15),0),
ROUND(ROUND(OFFSET($P321,0,BA$13),15-13*ORÇAMENTO!$AF$7)*OFFSET(ORÇAMENTO!$W$15,ROW(BA321)-ROW(BA$15),0),15-13*ORÇAMENTO!$AF$11)),0)</f>
        <v>0</v>
      </c>
      <c r="BC321" s="181">
        <f ca="1">IF($D321&lt;&gt;"Serviço",0,IF(AND(AUTOEVENTO="Manual",$M321=1),0,IF(OFFSET(CRONOPLE!$F$14,$M321,BC$13)="",10^12,OFFSET(CRONOPLE!$F$14,$M321,BC$13))))</f>
        <v>9</v>
      </c>
      <c r="BD321" s="181">
        <f ca="1">IF($D321&lt;&gt;"Serviço",0,IF(AND(AUTOEVENTO="Manual",$M321=1),0,IF(OFFSET(CRONOPLE!$F$14,$M321,BD$13)="",10^12,OFFSET(CRONOPLE!$F$14,$M321,BD$13))))</f>
        <v>1000000000000</v>
      </c>
      <c r="BE321" s="181">
        <f ca="1">IF($D321&lt;&gt;"Serviço",0,IF(AND(AUTOEVENTO="Manual",$M321=1),0,IF(OFFSET(CRONOPLE!$F$14,$M321,BE$13)="",10^12,OFFSET(CRONOPLE!$F$14,$M321,BE$13))))</f>
        <v>1000000000000</v>
      </c>
      <c r="BF321" s="181">
        <f ca="1">IF($D321&lt;&gt;"Serviço",0,IF(AND(AUTOEVENTO="Manual",$M321=1),0,IF(OFFSET(CRONOPLE!$F$14,$M321,BF$13)="",10^12,OFFSET(CRONOPLE!$F$14,$M321,BF$13))))</f>
        <v>1000000000000</v>
      </c>
      <c r="BG321" s="181">
        <f ca="1">IF($D321&lt;&gt;"Serviço",0,IF(AND(AUTOEVENTO="Manual",$M321=1),0,IF(OFFSET(CRONOPLE!$F$14,$M321,BG$13)="",10^12,OFFSET(CRONOPLE!$F$14,$M321,BG$13))))</f>
        <v>1000000000000</v>
      </c>
      <c r="BH321" s="181">
        <f ca="1">IF($D321&lt;&gt;"Serviço",0,IF(AND(AUTOEVENTO="Manual",$M321=1),0,IF(OFFSET(CRONOPLE!$F$14,$M321,BH$13)="",10^12,OFFSET(CRONOPLE!$F$14,$M321,BH$13))))</f>
        <v>1000000000000</v>
      </c>
      <c r="BI321" s="181">
        <f ca="1">IF($D321&lt;&gt;"Serviço",0,IF(AND(AUTOEVENTO="Manual",$M321=1),0,IF(OFFSET(CRONOPLE!$F$14,$M321,BI$13)="",10^12,OFFSET(CRONOPLE!$F$14,$M321,BI$13))))</f>
        <v>1000000000000</v>
      </c>
      <c r="BJ321" s="181">
        <f ca="1">IF($D321&lt;&gt;"Serviço",0,IF(AND(AUTOEVENTO="Manual",$M321=1),0,IF(OFFSET(CRONOPLE!$F$14,$M321,BJ$13)="",10^12,OFFSET(CRONOPLE!$F$14,$M321,BJ$13))))</f>
        <v>1000000000000</v>
      </c>
      <c r="BK321" s="181">
        <f ca="1">IF($D321&lt;&gt;"Serviço",0,IF(AND(AUTOEVENTO="Manual",$M321=1),0,IF(OFFSET(CRONOPLE!$F$14,$M321,BK$13)="",10^12,OFFSET(CRONOPLE!$F$14,$M321,BK$13))))</f>
        <v>1000000000000</v>
      </c>
      <c r="BL321" s="181">
        <f ca="1">IF($D321&lt;&gt;"Serviço",0,IF(AND(AUTOEVENTO="Manual",$M321=1),0,IF(OFFSET(CRONOPLE!$F$14,$M321,BL$13)="",10^12,OFFSET(CRONOPLE!$F$14,$M321,BL$13))))</f>
        <v>1000000000000</v>
      </c>
      <c r="BM321" s="181">
        <f ca="1">IF($D321&lt;&gt;"Serviço",0,IF(AND(AUTOEVENTO="Manual",$M321=1),0,IF(OFFSET(CRONOPLE!$F$14,$M321,BM$13)="",10^12,OFFSET(CRONOPLE!$F$14,$M321,BM$13))))</f>
        <v>1000000000000</v>
      </c>
      <c r="BN321" s="181">
        <f ca="1">IF($D321&lt;&gt;"Serviço",0,IF(AND(AUTOEVENTO="Manual",$M321=1),0,IF(OFFSET(CRONOPLE!$F$14,$M321,BN$13)="",10^12,OFFSET(CRONOPLE!$F$14,$M321,BN$13))))</f>
        <v>1000000000000</v>
      </c>
      <c r="BO321" s="181">
        <f ca="1">IF($D321&lt;&gt;"Serviço",0,IF(AND(AUTOEVENTO="Manual",$M321=1),0,IF(OFFSET(CRONOPLE!$F$14,$M321,BO$13)="",10^12,OFFSET(CRONOPLE!$F$14,$M321,BO$13))))</f>
        <v>1000000000000</v>
      </c>
      <c r="BP321" s="181">
        <f ca="1">IF($D321&lt;&gt;"Serviço",0,IF(AND(AUTOEVENTO="Manual",$M321=1),0,IF(OFFSET(CRONOPLE!$F$14,$M321,BP$13)="",10^12,OFFSET(CRONOPLE!$F$14,$M321,BP$13))))</f>
        <v>1000000000000</v>
      </c>
      <c r="BQ321" s="181">
        <f ca="1">IF($D321&lt;&gt;"Serviço",0,IF(AND(AUTOEVENTO="Manual",$M321=1),0,IF(OFFSET(CRONOPLE!$F$14,$M321,BQ$13)="",10^12,OFFSET(CRONOPLE!$F$14,$M321,BQ$13))))</f>
        <v>1000000000000</v>
      </c>
      <c r="BR321" s="181">
        <f ca="1">IF($D321&lt;&gt;"Serviço",0,IF(AND(AUTOEVENTO="Manual",$M321=1),0,IF(OFFSET(CRONOPLE!$F$14,$M321,BR$13)="",10^12,OFFSET(CRONOPLE!$F$14,$M321,BR$13))))</f>
        <v>1000000000000</v>
      </c>
      <c r="BS321" s="181">
        <f ca="1">IF($D321&lt;&gt;"Serviço",0,IF(AND(AUTOEVENTO="Manual",$M321=1),0,IF(OFFSET(CRONOPLE!$F$14,$M321,BS$13)="",10^12,OFFSET(CRONOPLE!$F$14,$M321,BS$13))))</f>
        <v>1000000000000</v>
      </c>
      <c r="BT321" s="181">
        <f ca="1">IF($D321&lt;&gt;"Serviço",0,IF(AND(AUTOEVENTO="Manual",$M321=1),0,IF(OFFSET(CRONOPLE!$F$14,$M321,BT$13)="",10^12,OFFSET(CRONOPLE!$F$14,$M321,BT$13))))</f>
        <v>1000000000000</v>
      </c>
      <c r="BV321" s="182">
        <f ca="1">IF($D321&lt;&gt;"Serviço",0,IF(OR(AND(AUTOEVENTO="Manual",$M321=1),$M321&gt;(ROW(PLE.lastrow)-ROW(PLE.firstrow))),0,IF(OFFSET(PLE!$G$14,$M321,BV$13)="",10^12,OFFSET(PLE!$G$14,$M321,BV$13))))</f>
        <v>1000000000000</v>
      </c>
      <c r="BW321" s="182">
        <f ca="1">IF($D321&lt;&gt;"Serviço",0,IF(OR(AND(AUTOEVENTO="Manual",$M321=1),$M321&gt;(ROW(PLE.lastrow)-ROW(PLE.firstrow))),0,IF(OFFSET(PLE!$G$14,$M321,BW$13)="",10^12,OFFSET(PLE!$G$14,$M321,BW$13))))</f>
        <v>1000000000000</v>
      </c>
      <c r="BX321" s="182">
        <f ca="1">IF($D321&lt;&gt;"Serviço",0,IF(OR(AND(AUTOEVENTO="Manual",$M321=1),$M321&gt;(ROW(PLE.lastrow)-ROW(PLE.firstrow))),0,IF(OFFSET(PLE!$G$14,$M321,BX$13)="",10^12,OFFSET(PLE!$G$14,$M321,BX$13))))</f>
        <v>1000000000000</v>
      </c>
      <c r="BY321" s="182">
        <f ca="1">IF($D321&lt;&gt;"Serviço",0,IF(OR(AND(AUTOEVENTO="Manual",$M321=1),$M321&gt;(ROW(PLE.lastrow)-ROW(PLE.firstrow))),0,IF(OFFSET(PLE!$G$14,$M321,BY$13)="",10^12,OFFSET(PLE!$G$14,$M321,BY$13))))</f>
        <v>1000000000000</v>
      </c>
      <c r="BZ321" s="182">
        <f ca="1">IF($D321&lt;&gt;"Serviço",0,IF(OR(AND(AUTOEVENTO="Manual",$M321=1),$M321&gt;(ROW(PLE.lastrow)-ROW(PLE.firstrow))),0,IF(OFFSET(PLE!$G$14,$M321,BZ$13)="",10^12,OFFSET(PLE!$G$14,$M321,BZ$13))))</f>
        <v>1000000000000</v>
      </c>
      <c r="CA321" s="182">
        <f ca="1">IF($D321&lt;&gt;"Serviço",0,IF(OR(AND(AUTOEVENTO="Manual",$M321=1),$M321&gt;(ROW(PLE.lastrow)-ROW(PLE.firstrow))),0,IF(OFFSET(PLE!$G$14,$M321,CA$13)="",10^12,OFFSET(PLE!$G$14,$M321,CA$13))))</f>
        <v>1000000000000</v>
      </c>
      <c r="CB321" s="182">
        <f ca="1">IF($D321&lt;&gt;"Serviço",0,IF(OR(AND(AUTOEVENTO="Manual",$M321=1),$M321&gt;(ROW(PLE.lastrow)-ROW(PLE.firstrow))),0,IF(OFFSET(PLE!$G$14,$M321,CB$13)="",10^12,OFFSET(PLE!$G$14,$M321,CB$13))))</f>
        <v>1000000000000</v>
      </c>
      <c r="CC321" s="182">
        <f ca="1">IF($D321&lt;&gt;"Serviço",0,IF(OR(AND(AUTOEVENTO="Manual",$M321=1),$M321&gt;(ROW(PLE.lastrow)-ROW(PLE.firstrow))),0,IF(OFFSET(PLE!$G$14,$M321,CC$13)="",10^12,OFFSET(PLE!$G$14,$M321,CC$13))))</f>
        <v>1000000000000</v>
      </c>
      <c r="CD321" s="182">
        <f ca="1">IF($D321&lt;&gt;"Serviço",0,IF(OR(AND(AUTOEVENTO="Manual",$M321=1),$M321&gt;(ROW(PLE.lastrow)-ROW(PLE.firstrow))),0,IF(OFFSET(PLE!$G$14,$M321,CD$13)="",10^12,OFFSET(PLE!$G$14,$M321,CD$13))))</f>
        <v>1000000000000</v>
      </c>
      <c r="CE321" s="182">
        <f ca="1">IF($D321&lt;&gt;"Serviço",0,IF(OR(AND(AUTOEVENTO="Manual",$M321=1),$M321&gt;(ROW(PLE.lastrow)-ROW(PLE.firstrow))),0,IF(OFFSET(PLE!$G$14,$M321,CE$13)="",10^12,OFFSET(PLE!$G$14,$M321,CE$13))))</f>
        <v>1000000000000</v>
      </c>
      <c r="CF321" s="182">
        <f ca="1">IF($D321&lt;&gt;"Serviço",0,IF(OR(AND(AUTOEVENTO="Manual",$M321=1),$M321&gt;(ROW(PLE.lastrow)-ROW(PLE.firstrow))),0,IF(OFFSET(PLE!$G$14,$M321,CF$13)="",10^12,OFFSET(PLE!$G$14,$M321,CF$13))))</f>
        <v>1000000000000</v>
      </c>
      <c r="CG321" s="182">
        <f ca="1">IF($D321&lt;&gt;"Serviço",0,IF(OR(AND(AUTOEVENTO="Manual",$M321=1),$M321&gt;(ROW(PLE.lastrow)-ROW(PLE.firstrow))),0,IF(OFFSET(PLE!$G$14,$M321,CG$13)="",10^12,OFFSET(PLE!$G$14,$M321,CG$13))))</f>
        <v>1000000000000</v>
      </c>
      <c r="CH321" s="182">
        <f ca="1">IF($D321&lt;&gt;"Serviço",0,IF(OR(AND(AUTOEVENTO="Manual",$M321=1),$M321&gt;(ROW(PLE.lastrow)-ROW(PLE.firstrow))),0,IF(OFFSET(PLE!$G$14,$M321,CH$13)="",10^12,OFFSET(PLE!$G$14,$M321,CH$13))))</f>
        <v>1000000000000</v>
      </c>
      <c r="CI321" s="182">
        <f ca="1">IF($D321&lt;&gt;"Serviço",0,IF(OR(AND(AUTOEVENTO="Manual",$M321=1),$M321&gt;(ROW(PLE.lastrow)-ROW(PLE.firstrow))),0,IF(OFFSET(PLE!$G$14,$M321,CI$13)="",10^12,OFFSET(PLE!$G$14,$M321,CI$13))))</f>
        <v>1000000000000</v>
      </c>
      <c r="CJ321" s="182">
        <f ca="1">IF($D321&lt;&gt;"Serviço",0,IF(OR(AND(AUTOEVENTO="Manual",$M321=1),$M321&gt;(ROW(PLE.lastrow)-ROW(PLE.firstrow))),0,IF(OFFSET(PLE!$G$14,$M321,CJ$13)="",10^12,OFFSET(PLE!$G$14,$M321,CJ$13))))</f>
        <v>1000000000000</v>
      </c>
      <c r="CK321" s="182">
        <f ca="1">IF($D321&lt;&gt;"Serviço",0,IF(OR(AND(AUTOEVENTO="Manual",$M321=1),$M321&gt;(ROW(PLE.lastrow)-ROW(PLE.firstrow))),0,IF(OFFSET(PLE!$G$14,$M321,CK$13)="",10^12,OFFSET(PLE!$G$14,$M321,CK$13))))</f>
        <v>1000000000000</v>
      </c>
      <c r="CL321" s="182">
        <f ca="1">IF($D321&lt;&gt;"Serviço",0,IF(OR(AND(AUTOEVENTO="Manual",$M321=1),$M321&gt;(ROW(PLE.lastrow)-ROW(PLE.firstrow))),0,IF(OFFSET(PLE!$G$14,$M321,CL$13)="",10^12,OFFSET(PLE!$G$14,$M321,CL$13))))</f>
        <v>1000000000000</v>
      </c>
      <c r="CM321" s="182">
        <f ca="1">IF($D321&lt;&gt;"Serviço",0,IF(OR(AND(AUTOEVENTO="Manual",$M321=1),$M321&gt;(ROW(PLE.lastrow)-ROW(PLE.firstrow))),0,IF(OFFSET(PLE!$G$14,$M321,CM$13)="",10^12,OFFSET(PLE!$G$14,$M321,CM$13))))</f>
        <v>1000000000000</v>
      </c>
    </row>
    <row r="322" spans="1:91" ht="38.25" x14ac:dyDescent="0.2">
      <c r="A322" s="7" t="str">
        <f t="shared" ca="1" si="12"/>
        <v>304</v>
      </c>
      <c r="B322" s="7" t="str">
        <f ca="1">OFFSET(ORÇAMENTO!C$15,ROW(B322)-ROW(B$15),0)</f>
        <v>S</v>
      </c>
      <c r="C322" s="7" t="str">
        <f ca="1">OFFSET(ORÇAMENTO!L$15,ROW(C322)-ROW(C$15),0)</f>
        <v/>
      </c>
      <c r="D322" s="118" t="str">
        <f ca="1">OFFSET(ORÇAMENTO!N$15,ROW(D322)-ROW(D$15),0)</f>
        <v>Serviço</v>
      </c>
      <c r="E322" s="119" t="str">
        <f ca="1">OFFSET(ORÇAMENTO!O$15,ROW(E322)-ROW(E$15),0)</f>
        <v>-</v>
      </c>
      <c r="F322" s="172" t="str">
        <f ca="1">OFFSET(ORÇAMENTO!R$15,ROW(F322)-ROW(F$15),0)</f>
        <v>(abra o arquivo 'Referência 06-2024.xlsm)</v>
      </c>
      <c r="G322" s="173" t="str">
        <f ca="1">IF($D322&lt;&gt;"Serviço","",OFFSET(ORÇAMENTO!S$15,ROW(G322)-ROW(G$15),0))</f>
        <v>-</v>
      </c>
      <c r="H322" s="124">
        <f ca="1">IF($D322&lt;&gt;"Serviço",0,IF(ACOMPANHAMENTO="BM",ROUND(OFFSET(ORÇAMENTO!AJ$15,ROW(H322)-ROW(H$15),0),15-13*ORÇAMENTO!$AF$7),SUMPRODUCT(($Q$12:$AI$12&lt;&gt;"")*ROUND($Q322:$AI322,15-13*ORÇAMENTO!$AF$7))))</f>
        <v>21.1</v>
      </c>
      <c r="I322" s="561" t="s">
        <v>1107</v>
      </c>
      <c r="K322" s="174"/>
      <c r="L322" s="175" t="s">
        <v>255</v>
      </c>
      <c r="M322" s="176">
        <f ca="1">IF($D322&lt;&gt;"Serviço","",IF(AUTOEVENTO="manual",$A322,IF(ISERROR(MATCH($A322,$A$15:OFFSET($A322,-1,0),0)),MAX($M$15:OFFSET(M322,-1,0))+1,INDEX($M$15:OFFSET(M322,-1,0),MATCH($A322,$A$15:OFFSET($A322,-1,0),0)))))</f>
        <v>41</v>
      </c>
      <c r="N322" s="177" t="str">
        <f ca="1">IF($D322&lt;&gt;"Serviço","",IF(AUTOEVENTO="Manual",IF($A322=0,"&lt;-- defina o número do agrupador",OFFSET(EVENTOS!$D$14,$A322,0)),OFFSET($F$15,$A322,0)))</f>
        <v>INSTALAÇÃO SANITÁRIA - TUBULAÇÕES E CONEXÕES</v>
      </c>
      <c r="O322" s="178"/>
      <c r="Q322" s="178">
        <v>21.1</v>
      </c>
      <c r="R322" s="179"/>
      <c r="S322" s="179"/>
      <c r="T322" s="179"/>
      <c r="U322" s="179"/>
      <c r="V322" s="179"/>
      <c r="W322" s="179"/>
      <c r="X322" s="179"/>
      <c r="Y322" s="179"/>
      <c r="Z322" s="180"/>
      <c r="AA322" s="179"/>
      <c r="AB322" s="179"/>
      <c r="AC322" s="179"/>
      <c r="AD322" s="179"/>
      <c r="AE322" s="179"/>
      <c r="AF322" s="179"/>
      <c r="AG322" s="179"/>
      <c r="AH322" s="180"/>
      <c r="AJ322" s="544">
        <f ca="1">IF(AND($D322="Serviço",AJ$12&lt;&gt;0,$H322&gt;0,OR(AUTOEVENTO&lt;&gt;"manual",$M322&lt;&gt;1)),
IF(Import.TipoArredondamento&lt;&gt;"TransfereGOV",
ROUND(OFFSET($P322,0,AJ$13),15-13*ORÇAMENTO!$AF$7)/$H322*OFFSET(ORÇAMENTO!$X$15,ROW(AJ322)-ROW(AJ$15),0),
ROUND(ROUND(OFFSET($P322,0,AJ$13),15-13*ORÇAMENTO!$AF$7)*OFFSET(ORÇAMENTO!$W$15,ROW(AJ322)-ROW(AJ$15),0),15-13*ORÇAMENTO!$AF$11)),0)</f>
        <v>0</v>
      </c>
      <c r="AK322" s="545">
        <f ca="1">IF(AND($D322="Serviço",AK$12&lt;&gt;0,$H322&gt;0,OR(AUTOEVENTO&lt;&gt;"manual",$M322&lt;&gt;1)),
IF(Import.TipoArredondamento&lt;&gt;"TransfereGOV",
ROUND(OFFSET($P322,0,AK$13),15-13*ORÇAMENTO!$AF$7)/$H322*OFFSET(ORÇAMENTO!$X$15,ROW(AK322)-ROW(AK$15),0),
ROUND(ROUND(OFFSET($P322,0,AK$13),15-13*ORÇAMENTO!$AF$7)*OFFSET(ORÇAMENTO!$W$15,ROW(AK322)-ROW(AK$15),0),15-13*ORÇAMENTO!$AF$11)),0)</f>
        <v>0</v>
      </c>
      <c r="AL322" s="545">
        <f ca="1">IF(AND($D322="Serviço",AL$12&lt;&gt;0,$H322&gt;0,OR(AUTOEVENTO&lt;&gt;"manual",$M322&lt;&gt;1)),
IF(Import.TipoArredondamento&lt;&gt;"TransfereGOV",
ROUND(OFFSET($P322,0,AL$13),15-13*ORÇAMENTO!$AF$7)/$H322*OFFSET(ORÇAMENTO!$X$15,ROW(AL322)-ROW(AL$15),0),
ROUND(ROUND(OFFSET($P322,0,AL$13),15-13*ORÇAMENTO!$AF$7)*OFFSET(ORÇAMENTO!$W$15,ROW(AL322)-ROW(AL$15),0),15-13*ORÇAMENTO!$AF$11)),0)</f>
        <v>0</v>
      </c>
      <c r="AM322" s="545">
        <f ca="1">IF(AND($D322="Serviço",AM$12&lt;&gt;0,$H322&gt;0,OR(AUTOEVENTO&lt;&gt;"manual",$M322&lt;&gt;1)),
IF(Import.TipoArredondamento&lt;&gt;"TransfereGOV",
ROUND(OFFSET($P322,0,AM$13),15-13*ORÇAMENTO!$AF$7)/$H322*OFFSET(ORÇAMENTO!$X$15,ROW(AM322)-ROW(AM$15),0),
ROUND(ROUND(OFFSET($P322,0,AM$13),15-13*ORÇAMENTO!$AF$7)*OFFSET(ORÇAMENTO!$W$15,ROW(AM322)-ROW(AM$15),0),15-13*ORÇAMENTO!$AF$11)),0)</f>
        <v>0</v>
      </c>
      <c r="AN322" s="545">
        <f ca="1">IF(AND($D322="Serviço",AN$12&lt;&gt;0,$H322&gt;0,OR(AUTOEVENTO&lt;&gt;"manual",$M322&lt;&gt;1)),
IF(Import.TipoArredondamento&lt;&gt;"TransfereGOV",
ROUND(OFFSET($P322,0,AN$13),15-13*ORÇAMENTO!$AF$7)/$H322*OFFSET(ORÇAMENTO!$X$15,ROW(AN322)-ROW(AN$15),0),
ROUND(ROUND(OFFSET($P322,0,AN$13),15-13*ORÇAMENTO!$AF$7)*OFFSET(ORÇAMENTO!$W$15,ROW(AN322)-ROW(AN$15),0),15-13*ORÇAMENTO!$AF$11)),0)</f>
        <v>0</v>
      </c>
      <c r="AO322" s="545">
        <f ca="1">IF(AND($D322="Serviço",AO$12&lt;&gt;0,$H322&gt;0,OR(AUTOEVENTO&lt;&gt;"manual",$M322&lt;&gt;1)),
IF(Import.TipoArredondamento&lt;&gt;"TransfereGOV",
ROUND(OFFSET($P322,0,AO$13),15-13*ORÇAMENTO!$AF$7)/$H322*OFFSET(ORÇAMENTO!$X$15,ROW(AO322)-ROW(AO$15),0),
ROUND(ROUND(OFFSET($P322,0,AO$13),15-13*ORÇAMENTO!$AF$7)*OFFSET(ORÇAMENTO!$W$15,ROW(AO322)-ROW(AO$15),0),15-13*ORÇAMENTO!$AF$11)),0)</f>
        <v>0</v>
      </c>
      <c r="AP322" s="545">
        <f ca="1">IF(AND($D322="Serviço",AP$12&lt;&gt;0,$H322&gt;0,OR(AUTOEVENTO&lt;&gt;"manual",$M322&lt;&gt;1)),
IF(Import.TipoArredondamento&lt;&gt;"TransfereGOV",
ROUND(OFFSET($P322,0,AP$13),15-13*ORÇAMENTO!$AF$7)/$H322*OFFSET(ORÇAMENTO!$X$15,ROW(AP322)-ROW(AP$15),0),
ROUND(ROUND(OFFSET($P322,0,AP$13),15-13*ORÇAMENTO!$AF$7)*OFFSET(ORÇAMENTO!$W$15,ROW(AP322)-ROW(AP$15),0),15-13*ORÇAMENTO!$AF$11)),0)</f>
        <v>0</v>
      </c>
      <c r="AQ322" s="545">
        <f ca="1">IF(AND($D322="Serviço",AQ$12&lt;&gt;0,$H322&gt;0,OR(AUTOEVENTO&lt;&gt;"manual",$M322&lt;&gt;1)),
IF(Import.TipoArredondamento&lt;&gt;"TransfereGOV",
ROUND(OFFSET($P322,0,AQ$13),15-13*ORÇAMENTO!$AF$7)/$H322*OFFSET(ORÇAMENTO!$X$15,ROW(AQ322)-ROW(AQ$15),0),
ROUND(ROUND(OFFSET($P322,0,AQ$13),15-13*ORÇAMENTO!$AF$7)*OFFSET(ORÇAMENTO!$W$15,ROW(AQ322)-ROW(AQ$15),0),15-13*ORÇAMENTO!$AF$11)),0)</f>
        <v>0</v>
      </c>
      <c r="AR322" s="545">
        <f ca="1">IF(AND($D322="Serviço",AR$12&lt;&gt;0,$H322&gt;0,OR(AUTOEVENTO&lt;&gt;"manual",$M322&lt;&gt;1)),
IF(Import.TipoArredondamento&lt;&gt;"TransfereGOV",
ROUND(OFFSET($P322,0,AR$13),15-13*ORÇAMENTO!$AF$7)/$H322*OFFSET(ORÇAMENTO!$X$15,ROW(AR322)-ROW(AR$15),0),
ROUND(ROUND(OFFSET($P322,0,AR$13),15-13*ORÇAMENTO!$AF$7)*OFFSET(ORÇAMENTO!$W$15,ROW(AR322)-ROW(AR$15),0),15-13*ORÇAMENTO!$AF$11)),0)</f>
        <v>0</v>
      </c>
      <c r="AS322" s="546">
        <f ca="1">IF(AND($D322="Serviço",AS$12&lt;&gt;0,$H322&gt;0,OR(AUTOEVENTO&lt;&gt;"manual",$M322&lt;&gt;1)),
IF(Import.TipoArredondamento&lt;&gt;"TransfereGOV",
ROUND(OFFSET($P322,0,AS$13),15-13*ORÇAMENTO!$AF$7)/$H322*OFFSET(ORÇAMENTO!$X$15,ROW(AS322)-ROW(AS$15),0),
ROUND(ROUND(OFFSET($P322,0,AS$13),15-13*ORÇAMENTO!$AF$7)*OFFSET(ORÇAMENTO!$W$15,ROW(AS322)-ROW(AS$15),0),15-13*ORÇAMENTO!$AF$11)),0)</f>
        <v>0</v>
      </c>
      <c r="AT322" s="545">
        <f ca="1">IF(AND($D322="Serviço",AT$12&lt;&gt;0,$H322&gt;0,OR(AUTOEVENTO&lt;&gt;"manual",$M322&lt;&gt;1)),
IF(Import.TipoArredondamento&lt;&gt;"TransfereGOV",
ROUND(OFFSET($P322,0,AT$13),15-13*ORÇAMENTO!$AF$7)/$H322*OFFSET(ORÇAMENTO!$X$15,ROW(AT322)-ROW(AT$15),0),
ROUND(ROUND(OFFSET($P322,0,AT$13),15-13*ORÇAMENTO!$AF$7)*OFFSET(ORÇAMENTO!$W$15,ROW(AT322)-ROW(AT$15),0),15-13*ORÇAMENTO!$AF$11)),0)</f>
        <v>0</v>
      </c>
      <c r="AU322" s="545">
        <f ca="1">IF(AND($D322="Serviço",AU$12&lt;&gt;0,$H322&gt;0,OR(AUTOEVENTO&lt;&gt;"manual",$M322&lt;&gt;1)),
IF(Import.TipoArredondamento&lt;&gt;"TransfereGOV",
ROUND(OFFSET($P322,0,AU$13),15-13*ORÇAMENTO!$AF$7)/$H322*OFFSET(ORÇAMENTO!$X$15,ROW(AU322)-ROW(AU$15),0),
ROUND(ROUND(OFFSET($P322,0,AU$13),15-13*ORÇAMENTO!$AF$7)*OFFSET(ORÇAMENTO!$W$15,ROW(AU322)-ROW(AU$15),0),15-13*ORÇAMENTO!$AF$11)),0)</f>
        <v>0</v>
      </c>
      <c r="AV322" s="545">
        <f ca="1">IF(AND($D322="Serviço",AV$12&lt;&gt;0,$H322&gt;0,OR(AUTOEVENTO&lt;&gt;"manual",$M322&lt;&gt;1)),
IF(Import.TipoArredondamento&lt;&gt;"TransfereGOV",
ROUND(OFFSET($P322,0,AV$13),15-13*ORÇAMENTO!$AF$7)/$H322*OFFSET(ORÇAMENTO!$X$15,ROW(AV322)-ROW(AV$15),0),
ROUND(ROUND(OFFSET($P322,0,AV$13),15-13*ORÇAMENTO!$AF$7)*OFFSET(ORÇAMENTO!$W$15,ROW(AV322)-ROW(AV$15),0),15-13*ORÇAMENTO!$AF$11)),0)</f>
        <v>0</v>
      </c>
      <c r="AW322" s="545">
        <f ca="1">IF(AND($D322="Serviço",AW$12&lt;&gt;0,$H322&gt;0,OR(AUTOEVENTO&lt;&gt;"manual",$M322&lt;&gt;1)),
IF(Import.TipoArredondamento&lt;&gt;"TransfereGOV",
ROUND(OFFSET($P322,0,AW$13),15-13*ORÇAMENTO!$AF$7)/$H322*OFFSET(ORÇAMENTO!$X$15,ROW(AW322)-ROW(AW$15),0),
ROUND(ROUND(OFFSET($P322,0,AW$13),15-13*ORÇAMENTO!$AF$7)*OFFSET(ORÇAMENTO!$W$15,ROW(AW322)-ROW(AW$15),0),15-13*ORÇAMENTO!$AF$11)),0)</f>
        <v>0</v>
      </c>
      <c r="AX322" s="545">
        <f ca="1">IF(AND($D322="Serviço",AX$12&lt;&gt;0,$H322&gt;0,OR(AUTOEVENTO&lt;&gt;"manual",$M322&lt;&gt;1)),
IF(Import.TipoArredondamento&lt;&gt;"TransfereGOV",
ROUND(OFFSET($P322,0,AX$13),15-13*ORÇAMENTO!$AF$7)/$H322*OFFSET(ORÇAMENTO!$X$15,ROW(AX322)-ROW(AX$15),0),
ROUND(ROUND(OFFSET($P322,0,AX$13),15-13*ORÇAMENTO!$AF$7)*OFFSET(ORÇAMENTO!$W$15,ROW(AX322)-ROW(AX$15),0),15-13*ORÇAMENTO!$AF$11)),0)</f>
        <v>0</v>
      </c>
      <c r="AY322" s="545">
        <f ca="1">IF(AND($D322="Serviço",AY$12&lt;&gt;0,$H322&gt;0,OR(AUTOEVENTO&lt;&gt;"manual",$M322&lt;&gt;1)),
IF(Import.TipoArredondamento&lt;&gt;"TransfereGOV",
ROUND(OFFSET($P322,0,AY$13),15-13*ORÇAMENTO!$AF$7)/$H322*OFFSET(ORÇAMENTO!$X$15,ROW(AY322)-ROW(AY$15),0),
ROUND(ROUND(OFFSET($P322,0,AY$13),15-13*ORÇAMENTO!$AF$7)*OFFSET(ORÇAMENTO!$W$15,ROW(AY322)-ROW(AY$15),0),15-13*ORÇAMENTO!$AF$11)),0)</f>
        <v>0</v>
      </c>
      <c r="AZ322" s="545">
        <f ca="1">IF(AND($D322="Serviço",AZ$12&lt;&gt;0,$H322&gt;0,OR(AUTOEVENTO&lt;&gt;"manual",$M322&lt;&gt;1)),
IF(Import.TipoArredondamento&lt;&gt;"TransfereGOV",
ROUND(OFFSET($P322,0,AZ$13),15-13*ORÇAMENTO!$AF$7)/$H322*OFFSET(ORÇAMENTO!$X$15,ROW(AZ322)-ROW(AZ$15),0),
ROUND(ROUND(OFFSET($P322,0,AZ$13),15-13*ORÇAMENTO!$AF$7)*OFFSET(ORÇAMENTO!$W$15,ROW(AZ322)-ROW(AZ$15),0),15-13*ORÇAMENTO!$AF$11)),0)</f>
        <v>0</v>
      </c>
      <c r="BA322" s="546">
        <f ca="1">IF(AND($D322="Serviço",BA$12&lt;&gt;0,$H322&gt;0,OR(AUTOEVENTO&lt;&gt;"manual",$M322&lt;&gt;1)),
IF(Import.TipoArredondamento&lt;&gt;"TransfereGOV",
ROUND(OFFSET($P322,0,BA$13),15-13*ORÇAMENTO!$AF$7)/$H322*OFFSET(ORÇAMENTO!$X$15,ROW(BA322)-ROW(BA$15),0),
ROUND(ROUND(OFFSET($P322,0,BA$13),15-13*ORÇAMENTO!$AF$7)*OFFSET(ORÇAMENTO!$W$15,ROW(BA322)-ROW(BA$15),0),15-13*ORÇAMENTO!$AF$11)),0)</f>
        <v>0</v>
      </c>
      <c r="BC322" s="181">
        <f ca="1">IF($D322&lt;&gt;"Serviço",0,IF(AND(AUTOEVENTO="Manual",$M322=1),0,IF(OFFSET(CRONOPLE!$F$14,$M322,BC$13)="",10^12,OFFSET(CRONOPLE!$F$14,$M322,BC$13))))</f>
        <v>9</v>
      </c>
      <c r="BD322" s="181">
        <f ca="1">IF($D322&lt;&gt;"Serviço",0,IF(AND(AUTOEVENTO="Manual",$M322=1),0,IF(OFFSET(CRONOPLE!$F$14,$M322,BD$13)="",10^12,OFFSET(CRONOPLE!$F$14,$M322,BD$13))))</f>
        <v>1000000000000</v>
      </c>
      <c r="BE322" s="181">
        <f ca="1">IF($D322&lt;&gt;"Serviço",0,IF(AND(AUTOEVENTO="Manual",$M322=1),0,IF(OFFSET(CRONOPLE!$F$14,$M322,BE$13)="",10^12,OFFSET(CRONOPLE!$F$14,$M322,BE$13))))</f>
        <v>1000000000000</v>
      </c>
      <c r="BF322" s="181">
        <f ca="1">IF($D322&lt;&gt;"Serviço",0,IF(AND(AUTOEVENTO="Manual",$M322=1),0,IF(OFFSET(CRONOPLE!$F$14,$M322,BF$13)="",10^12,OFFSET(CRONOPLE!$F$14,$M322,BF$13))))</f>
        <v>1000000000000</v>
      </c>
      <c r="BG322" s="181">
        <f ca="1">IF($D322&lt;&gt;"Serviço",0,IF(AND(AUTOEVENTO="Manual",$M322=1),0,IF(OFFSET(CRONOPLE!$F$14,$M322,BG$13)="",10^12,OFFSET(CRONOPLE!$F$14,$M322,BG$13))))</f>
        <v>1000000000000</v>
      </c>
      <c r="BH322" s="181">
        <f ca="1">IF($D322&lt;&gt;"Serviço",0,IF(AND(AUTOEVENTO="Manual",$M322=1),0,IF(OFFSET(CRONOPLE!$F$14,$M322,BH$13)="",10^12,OFFSET(CRONOPLE!$F$14,$M322,BH$13))))</f>
        <v>1000000000000</v>
      </c>
      <c r="BI322" s="181">
        <f ca="1">IF($D322&lt;&gt;"Serviço",0,IF(AND(AUTOEVENTO="Manual",$M322=1),0,IF(OFFSET(CRONOPLE!$F$14,$M322,BI$13)="",10^12,OFFSET(CRONOPLE!$F$14,$M322,BI$13))))</f>
        <v>1000000000000</v>
      </c>
      <c r="BJ322" s="181">
        <f ca="1">IF($D322&lt;&gt;"Serviço",0,IF(AND(AUTOEVENTO="Manual",$M322=1),0,IF(OFFSET(CRONOPLE!$F$14,$M322,BJ$13)="",10^12,OFFSET(CRONOPLE!$F$14,$M322,BJ$13))))</f>
        <v>1000000000000</v>
      </c>
      <c r="BK322" s="181">
        <f ca="1">IF($D322&lt;&gt;"Serviço",0,IF(AND(AUTOEVENTO="Manual",$M322=1),0,IF(OFFSET(CRONOPLE!$F$14,$M322,BK$13)="",10^12,OFFSET(CRONOPLE!$F$14,$M322,BK$13))))</f>
        <v>1000000000000</v>
      </c>
      <c r="BL322" s="181">
        <f ca="1">IF($D322&lt;&gt;"Serviço",0,IF(AND(AUTOEVENTO="Manual",$M322=1),0,IF(OFFSET(CRONOPLE!$F$14,$M322,BL$13)="",10^12,OFFSET(CRONOPLE!$F$14,$M322,BL$13))))</f>
        <v>1000000000000</v>
      </c>
      <c r="BM322" s="181">
        <f ca="1">IF($D322&lt;&gt;"Serviço",0,IF(AND(AUTOEVENTO="Manual",$M322=1),0,IF(OFFSET(CRONOPLE!$F$14,$M322,BM$13)="",10^12,OFFSET(CRONOPLE!$F$14,$M322,BM$13))))</f>
        <v>1000000000000</v>
      </c>
      <c r="BN322" s="181">
        <f ca="1">IF($D322&lt;&gt;"Serviço",0,IF(AND(AUTOEVENTO="Manual",$M322=1),0,IF(OFFSET(CRONOPLE!$F$14,$M322,BN$13)="",10^12,OFFSET(CRONOPLE!$F$14,$M322,BN$13))))</f>
        <v>1000000000000</v>
      </c>
      <c r="BO322" s="181">
        <f ca="1">IF($D322&lt;&gt;"Serviço",0,IF(AND(AUTOEVENTO="Manual",$M322=1),0,IF(OFFSET(CRONOPLE!$F$14,$M322,BO$13)="",10^12,OFFSET(CRONOPLE!$F$14,$M322,BO$13))))</f>
        <v>1000000000000</v>
      </c>
      <c r="BP322" s="181">
        <f ca="1">IF($D322&lt;&gt;"Serviço",0,IF(AND(AUTOEVENTO="Manual",$M322=1),0,IF(OFFSET(CRONOPLE!$F$14,$M322,BP$13)="",10^12,OFFSET(CRONOPLE!$F$14,$M322,BP$13))))</f>
        <v>1000000000000</v>
      </c>
      <c r="BQ322" s="181">
        <f ca="1">IF($D322&lt;&gt;"Serviço",0,IF(AND(AUTOEVENTO="Manual",$M322=1),0,IF(OFFSET(CRONOPLE!$F$14,$M322,BQ$13)="",10^12,OFFSET(CRONOPLE!$F$14,$M322,BQ$13))))</f>
        <v>1000000000000</v>
      </c>
      <c r="BR322" s="181">
        <f ca="1">IF($D322&lt;&gt;"Serviço",0,IF(AND(AUTOEVENTO="Manual",$M322=1),0,IF(OFFSET(CRONOPLE!$F$14,$M322,BR$13)="",10^12,OFFSET(CRONOPLE!$F$14,$M322,BR$13))))</f>
        <v>1000000000000</v>
      </c>
      <c r="BS322" s="181">
        <f ca="1">IF($D322&lt;&gt;"Serviço",0,IF(AND(AUTOEVENTO="Manual",$M322=1),0,IF(OFFSET(CRONOPLE!$F$14,$M322,BS$13)="",10^12,OFFSET(CRONOPLE!$F$14,$M322,BS$13))))</f>
        <v>1000000000000</v>
      </c>
      <c r="BT322" s="181">
        <f ca="1">IF($D322&lt;&gt;"Serviço",0,IF(AND(AUTOEVENTO="Manual",$M322=1),0,IF(OFFSET(CRONOPLE!$F$14,$M322,BT$13)="",10^12,OFFSET(CRONOPLE!$F$14,$M322,BT$13))))</f>
        <v>1000000000000</v>
      </c>
      <c r="BV322" s="182">
        <f ca="1">IF($D322&lt;&gt;"Serviço",0,IF(OR(AND(AUTOEVENTO="Manual",$M322=1),$M322&gt;(ROW(PLE.lastrow)-ROW(PLE.firstrow))),0,IF(OFFSET(PLE!$G$14,$M322,BV$13)="",10^12,OFFSET(PLE!$G$14,$M322,BV$13))))</f>
        <v>1000000000000</v>
      </c>
      <c r="BW322" s="182">
        <f ca="1">IF($D322&lt;&gt;"Serviço",0,IF(OR(AND(AUTOEVENTO="Manual",$M322=1),$M322&gt;(ROW(PLE.lastrow)-ROW(PLE.firstrow))),0,IF(OFFSET(PLE!$G$14,$M322,BW$13)="",10^12,OFFSET(PLE!$G$14,$M322,BW$13))))</f>
        <v>1000000000000</v>
      </c>
      <c r="BX322" s="182">
        <f ca="1">IF($D322&lt;&gt;"Serviço",0,IF(OR(AND(AUTOEVENTO="Manual",$M322=1),$M322&gt;(ROW(PLE.lastrow)-ROW(PLE.firstrow))),0,IF(OFFSET(PLE!$G$14,$M322,BX$13)="",10^12,OFFSET(PLE!$G$14,$M322,BX$13))))</f>
        <v>1000000000000</v>
      </c>
      <c r="BY322" s="182">
        <f ca="1">IF($D322&lt;&gt;"Serviço",0,IF(OR(AND(AUTOEVENTO="Manual",$M322=1),$M322&gt;(ROW(PLE.lastrow)-ROW(PLE.firstrow))),0,IF(OFFSET(PLE!$G$14,$M322,BY$13)="",10^12,OFFSET(PLE!$G$14,$M322,BY$13))))</f>
        <v>1000000000000</v>
      </c>
      <c r="BZ322" s="182">
        <f ca="1">IF($D322&lt;&gt;"Serviço",0,IF(OR(AND(AUTOEVENTO="Manual",$M322=1),$M322&gt;(ROW(PLE.lastrow)-ROW(PLE.firstrow))),0,IF(OFFSET(PLE!$G$14,$M322,BZ$13)="",10^12,OFFSET(PLE!$G$14,$M322,BZ$13))))</f>
        <v>1000000000000</v>
      </c>
      <c r="CA322" s="182">
        <f ca="1">IF($D322&lt;&gt;"Serviço",0,IF(OR(AND(AUTOEVENTO="Manual",$M322=1),$M322&gt;(ROW(PLE.lastrow)-ROW(PLE.firstrow))),0,IF(OFFSET(PLE!$G$14,$M322,CA$13)="",10^12,OFFSET(PLE!$G$14,$M322,CA$13))))</f>
        <v>1000000000000</v>
      </c>
      <c r="CB322" s="182">
        <f ca="1">IF($D322&lt;&gt;"Serviço",0,IF(OR(AND(AUTOEVENTO="Manual",$M322=1),$M322&gt;(ROW(PLE.lastrow)-ROW(PLE.firstrow))),0,IF(OFFSET(PLE!$G$14,$M322,CB$13)="",10^12,OFFSET(PLE!$G$14,$M322,CB$13))))</f>
        <v>1000000000000</v>
      </c>
      <c r="CC322" s="182">
        <f ca="1">IF($D322&lt;&gt;"Serviço",0,IF(OR(AND(AUTOEVENTO="Manual",$M322=1),$M322&gt;(ROW(PLE.lastrow)-ROW(PLE.firstrow))),0,IF(OFFSET(PLE!$G$14,$M322,CC$13)="",10^12,OFFSET(PLE!$G$14,$M322,CC$13))))</f>
        <v>1000000000000</v>
      </c>
      <c r="CD322" s="182">
        <f ca="1">IF($D322&lt;&gt;"Serviço",0,IF(OR(AND(AUTOEVENTO="Manual",$M322=1),$M322&gt;(ROW(PLE.lastrow)-ROW(PLE.firstrow))),0,IF(OFFSET(PLE!$G$14,$M322,CD$13)="",10^12,OFFSET(PLE!$G$14,$M322,CD$13))))</f>
        <v>1000000000000</v>
      </c>
      <c r="CE322" s="182">
        <f ca="1">IF($D322&lt;&gt;"Serviço",0,IF(OR(AND(AUTOEVENTO="Manual",$M322=1),$M322&gt;(ROW(PLE.lastrow)-ROW(PLE.firstrow))),0,IF(OFFSET(PLE!$G$14,$M322,CE$13)="",10^12,OFFSET(PLE!$G$14,$M322,CE$13))))</f>
        <v>1000000000000</v>
      </c>
      <c r="CF322" s="182">
        <f ca="1">IF($D322&lt;&gt;"Serviço",0,IF(OR(AND(AUTOEVENTO="Manual",$M322=1),$M322&gt;(ROW(PLE.lastrow)-ROW(PLE.firstrow))),0,IF(OFFSET(PLE!$G$14,$M322,CF$13)="",10^12,OFFSET(PLE!$G$14,$M322,CF$13))))</f>
        <v>1000000000000</v>
      </c>
      <c r="CG322" s="182">
        <f ca="1">IF($D322&lt;&gt;"Serviço",0,IF(OR(AND(AUTOEVENTO="Manual",$M322=1),$M322&gt;(ROW(PLE.lastrow)-ROW(PLE.firstrow))),0,IF(OFFSET(PLE!$G$14,$M322,CG$13)="",10^12,OFFSET(PLE!$G$14,$M322,CG$13))))</f>
        <v>1000000000000</v>
      </c>
      <c r="CH322" s="182">
        <f ca="1">IF($D322&lt;&gt;"Serviço",0,IF(OR(AND(AUTOEVENTO="Manual",$M322=1),$M322&gt;(ROW(PLE.lastrow)-ROW(PLE.firstrow))),0,IF(OFFSET(PLE!$G$14,$M322,CH$13)="",10^12,OFFSET(PLE!$G$14,$M322,CH$13))))</f>
        <v>1000000000000</v>
      </c>
      <c r="CI322" s="182">
        <f ca="1">IF($D322&lt;&gt;"Serviço",0,IF(OR(AND(AUTOEVENTO="Manual",$M322=1),$M322&gt;(ROW(PLE.lastrow)-ROW(PLE.firstrow))),0,IF(OFFSET(PLE!$G$14,$M322,CI$13)="",10^12,OFFSET(PLE!$G$14,$M322,CI$13))))</f>
        <v>1000000000000</v>
      </c>
      <c r="CJ322" s="182">
        <f ca="1">IF($D322&lt;&gt;"Serviço",0,IF(OR(AND(AUTOEVENTO="Manual",$M322=1),$M322&gt;(ROW(PLE.lastrow)-ROW(PLE.firstrow))),0,IF(OFFSET(PLE!$G$14,$M322,CJ$13)="",10^12,OFFSET(PLE!$G$14,$M322,CJ$13))))</f>
        <v>1000000000000</v>
      </c>
      <c r="CK322" s="182">
        <f ca="1">IF($D322&lt;&gt;"Serviço",0,IF(OR(AND(AUTOEVENTO="Manual",$M322=1),$M322&gt;(ROW(PLE.lastrow)-ROW(PLE.firstrow))),0,IF(OFFSET(PLE!$G$14,$M322,CK$13)="",10^12,OFFSET(PLE!$G$14,$M322,CK$13))))</f>
        <v>1000000000000</v>
      </c>
      <c r="CL322" s="182">
        <f ca="1">IF($D322&lt;&gt;"Serviço",0,IF(OR(AND(AUTOEVENTO="Manual",$M322=1),$M322&gt;(ROW(PLE.lastrow)-ROW(PLE.firstrow))),0,IF(OFFSET(PLE!$G$14,$M322,CL$13)="",10^12,OFFSET(PLE!$G$14,$M322,CL$13))))</f>
        <v>1000000000000</v>
      </c>
      <c r="CM322" s="182">
        <f ca="1">IF($D322&lt;&gt;"Serviço",0,IF(OR(AND(AUTOEVENTO="Manual",$M322=1),$M322&gt;(ROW(PLE.lastrow)-ROW(PLE.firstrow))),0,IF(OFFSET(PLE!$G$14,$M322,CM$13)="",10^12,OFFSET(PLE!$G$14,$M322,CM$13))))</f>
        <v>1000000000000</v>
      </c>
    </row>
    <row r="323" spans="1:91" ht="38.25" x14ac:dyDescent="0.2">
      <c r="A323" s="7" t="str">
        <f t="shared" ca="1" si="12"/>
        <v>304</v>
      </c>
      <c r="B323" s="7" t="str">
        <f ca="1">OFFSET(ORÇAMENTO!C$15,ROW(B323)-ROW(B$15),0)</f>
        <v>S</v>
      </c>
      <c r="C323" s="7" t="str">
        <f ca="1">OFFSET(ORÇAMENTO!L$15,ROW(C323)-ROW(C$15),0)</f>
        <v/>
      </c>
      <c r="D323" s="118" t="str">
        <f ca="1">OFFSET(ORÇAMENTO!N$15,ROW(D323)-ROW(D$15),0)</f>
        <v>Serviço</v>
      </c>
      <c r="E323" s="119" t="str">
        <f ca="1">OFFSET(ORÇAMENTO!O$15,ROW(E323)-ROW(E$15),0)</f>
        <v>-</v>
      </c>
      <c r="F323" s="172" t="str">
        <f ca="1">OFFSET(ORÇAMENTO!R$15,ROW(F323)-ROW(F$15),0)</f>
        <v>(abra o arquivo 'Referência 06-2024.xlsm)</v>
      </c>
      <c r="G323" s="173" t="str">
        <f ca="1">IF($D323&lt;&gt;"Serviço","",OFFSET(ORÇAMENTO!S$15,ROW(G323)-ROW(G$15),0))</f>
        <v>-</v>
      </c>
      <c r="H323" s="124">
        <f ca="1">IF($D323&lt;&gt;"Serviço",0,IF(ACOMPANHAMENTO="BM",ROUND(OFFSET(ORÇAMENTO!AJ$15,ROW(H323)-ROW(H$15),0),15-13*ORÇAMENTO!$AF$7),SUMPRODUCT(($Q$12:$AI$12&lt;&gt;"")*ROUND($Q323:$AI323,15-13*ORÇAMENTO!$AF$7))))</f>
        <v>252.1</v>
      </c>
      <c r="I323" s="561" t="s">
        <v>1107</v>
      </c>
      <c r="K323" s="174"/>
      <c r="L323" s="175" t="s">
        <v>255</v>
      </c>
      <c r="M323" s="176">
        <f ca="1">IF($D323&lt;&gt;"Serviço","",IF(AUTOEVENTO="manual",$A323,IF(ISERROR(MATCH($A323,$A$15:OFFSET($A323,-1,0),0)),MAX($M$15:OFFSET(M323,-1,0))+1,INDEX($M$15:OFFSET(M323,-1,0),MATCH($A323,$A$15:OFFSET($A323,-1,0),0)))))</f>
        <v>41</v>
      </c>
      <c r="N323" s="177" t="str">
        <f ca="1">IF($D323&lt;&gt;"Serviço","",IF(AUTOEVENTO="Manual",IF($A323=0,"&lt;-- defina o número do agrupador",OFFSET(EVENTOS!$D$14,$A323,0)),OFFSET($F$15,$A323,0)))</f>
        <v>INSTALAÇÃO SANITÁRIA - TUBULAÇÕES E CONEXÕES</v>
      </c>
      <c r="O323" s="178"/>
      <c r="Q323" s="178">
        <v>252.1</v>
      </c>
      <c r="R323" s="179"/>
      <c r="S323" s="179"/>
      <c r="T323" s="179"/>
      <c r="U323" s="179"/>
      <c r="V323" s="179"/>
      <c r="W323" s="179"/>
      <c r="X323" s="179"/>
      <c r="Y323" s="179"/>
      <c r="Z323" s="180"/>
      <c r="AA323" s="179"/>
      <c r="AB323" s="179"/>
      <c r="AC323" s="179"/>
      <c r="AD323" s="179"/>
      <c r="AE323" s="179"/>
      <c r="AF323" s="179"/>
      <c r="AG323" s="179"/>
      <c r="AH323" s="180"/>
      <c r="AJ323" s="544">
        <f ca="1">IF(AND($D323="Serviço",AJ$12&lt;&gt;0,$H323&gt;0,OR(AUTOEVENTO&lt;&gt;"manual",$M323&lt;&gt;1)),
IF(Import.TipoArredondamento&lt;&gt;"TransfereGOV",
ROUND(OFFSET($P323,0,AJ$13),15-13*ORÇAMENTO!$AF$7)/$H323*OFFSET(ORÇAMENTO!$X$15,ROW(AJ323)-ROW(AJ$15),0),
ROUND(ROUND(OFFSET($P323,0,AJ$13),15-13*ORÇAMENTO!$AF$7)*OFFSET(ORÇAMENTO!$W$15,ROW(AJ323)-ROW(AJ$15),0),15-13*ORÇAMENTO!$AF$11)),0)</f>
        <v>0</v>
      </c>
      <c r="AK323" s="545">
        <f ca="1">IF(AND($D323="Serviço",AK$12&lt;&gt;0,$H323&gt;0,OR(AUTOEVENTO&lt;&gt;"manual",$M323&lt;&gt;1)),
IF(Import.TipoArredondamento&lt;&gt;"TransfereGOV",
ROUND(OFFSET($P323,0,AK$13),15-13*ORÇAMENTO!$AF$7)/$H323*OFFSET(ORÇAMENTO!$X$15,ROW(AK323)-ROW(AK$15),0),
ROUND(ROUND(OFFSET($P323,0,AK$13),15-13*ORÇAMENTO!$AF$7)*OFFSET(ORÇAMENTO!$W$15,ROW(AK323)-ROW(AK$15),0),15-13*ORÇAMENTO!$AF$11)),0)</f>
        <v>0</v>
      </c>
      <c r="AL323" s="545">
        <f ca="1">IF(AND($D323="Serviço",AL$12&lt;&gt;0,$H323&gt;0,OR(AUTOEVENTO&lt;&gt;"manual",$M323&lt;&gt;1)),
IF(Import.TipoArredondamento&lt;&gt;"TransfereGOV",
ROUND(OFFSET($P323,0,AL$13),15-13*ORÇAMENTO!$AF$7)/$H323*OFFSET(ORÇAMENTO!$X$15,ROW(AL323)-ROW(AL$15),0),
ROUND(ROUND(OFFSET($P323,0,AL$13),15-13*ORÇAMENTO!$AF$7)*OFFSET(ORÇAMENTO!$W$15,ROW(AL323)-ROW(AL$15),0),15-13*ORÇAMENTO!$AF$11)),0)</f>
        <v>0</v>
      </c>
      <c r="AM323" s="545">
        <f ca="1">IF(AND($D323="Serviço",AM$12&lt;&gt;0,$H323&gt;0,OR(AUTOEVENTO&lt;&gt;"manual",$M323&lt;&gt;1)),
IF(Import.TipoArredondamento&lt;&gt;"TransfereGOV",
ROUND(OFFSET($P323,0,AM$13),15-13*ORÇAMENTO!$AF$7)/$H323*OFFSET(ORÇAMENTO!$X$15,ROW(AM323)-ROW(AM$15),0),
ROUND(ROUND(OFFSET($P323,0,AM$13),15-13*ORÇAMENTO!$AF$7)*OFFSET(ORÇAMENTO!$W$15,ROW(AM323)-ROW(AM$15),0),15-13*ORÇAMENTO!$AF$11)),0)</f>
        <v>0</v>
      </c>
      <c r="AN323" s="545">
        <f ca="1">IF(AND($D323="Serviço",AN$12&lt;&gt;0,$H323&gt;0,OR(AUTOEVENTO&lt;&gt;"manual",$M323&lt;&gt;1)),
IF(Import.TipoArredondamento&lt;&gt;"TransfereGOV",
ROUND(OFFSET($P323,0,AN$13),15-13*ORÇAMENTO!$AF$7)/$H323*OFFSET(ORÇAMENTO!$X$15,ROW(AN323)-ROW(AN$15),0),
ROUND(ROUND(OFFSET($P323,0,AN$13),15-13*ORÇAMENTO!$AF$7)*OFFSET(ORÇAMENTO!$W$15,ROW(AN323)-ROW(AN$15),0),15-13*ORÇAMENTO!$AF$11)),0)</f>
        <v>0</v>
      </c>
      <c r="AO323" s="545">
        <f ca="1">IF(AND($D323="Serviço",AO$12&lt;&gt;0,$H323&gt;0,OR(AUTOEVENTO&lt;&gt;"manual",$M323&lt;&gt;1)),
IF(Import.TipoArredondamento&lt;&gt;"TransfereGOV",
ROUND(OFFSET($P323,0,AO$13),15-13*ORÇAMENTO!$AF$7)/$H323*OFFSET(ORÇAMENTO!$X$15,ROW(AO323)-ROW(AO$15),0),
ROUND(ROUND(OFFSET($P323,0,AO$13),15-13*ORÇAMENTO!$AF$7)*OFFSET(ORÇAMENTO!$W$15,ROW(AO323)-ROW(AO$15),0),15-13*ORÇAMENTO!$AF$11)),0)</f>
        <v>0</v>
      </c>
      <c r="AP323" s="545">
        <f ca="1">IF(AND($D323="Serviço",AP$12&lt;&gt;0,$H323&gt;0,OR(AUTOEVENTO&lt;&gt;"manual",$M323&lt;&gt;1)),
IF(Import.TipoArredondamento&lt;&gt;"TransfereGOV",
ROUND(OFFSET($P323,0,AP$13),15-13*ORÇAMENTO!$AF$7)/$H323*OFFSET(ORÇAMENTO!$X$15,ROW(AP323)-ROW(AP$15),0),
ROUND(ROUND(OFFSET($P323,0,AP$13),15-13*ORÇAMENTO!$AF$7)*OFFSET(ORÇAMENTO!$W$15,ROW(AP323)-ROW(AP$15),0),15-13*ORÇAMENTO!$AF$11)),0)</f>
        <v>0</v>
      </c>
      <c r="AQ323" s="545">
        <f ca="1">IF(AND($D323="Serviço",AQ$12&lt;&gt;0,$H323&gt;0,OR(AUTOEVENTO&lt;&gt;"manual",$M323&lt;&gt;1)),
IF(Import.TipoArredondamento&lt;&gt;"TransfereGOV",
ROUND(OFFSET($P323,0,AQ$13),15-13*ORÇAMENTO!$AF$7)/$H323*OFFSET(ORÇAMENTO!$X$15,ROW(AQ323)-ROW(AQ$15),0),
ROUND(ROUND(OFFSET($P323,0,AQ$13),15-13*ORÇAMENTO!$AF$7)*OFFSET(ORÇAMENTO!$W$15,ROW(AQ323)-ROW(AQ$15),0),15-13*ORÇAMENTO!$AF$11)),0)</f>
        <v>0</v>
      </c>
      <c r="AR323" s="545">
        <f ca="1">IF(AND($D323="Serviço",AR$12&lt;&gt;0,$H323&gt;0,OR(AUTOEVENTO&lt;&gt;"manual",$M323&lt;&gt;1)),
IF(Import.TipoArredondamento&lt;&gt;"TransfereGOV",
ROUND(OFFSET($P323,0,AR$13),15-13*ORÇAMENTO!$AF$7)/$H323*OFFSET(ORÇAMENTO!$X$15,ROW(AR323)-ROW(AR$15),0),
ROUND(ROUND(OFFSET($P323,0,AR$13),15-13*ORÇAMENTO!$AF$7)*OFFSET(ORÇAMENTO!$W$15,ROW(AR323)-ROW(AR$15),0),15-13*ORÇAMENTO!$AF$11)),0)</f>
        <v>0</v>
      </c>
      <c r="AS323" s="546">
        <f ca="1">IF(AND($D323="Serviço",AS$12&lt;&gt;0,$H323&gt;0,OR(AUTOEVENTO&lt;&gt;"manual",$M323&lt;&gt;1)),
IF(Import.TipoArredondamento&lt;&gt;"TransfereGOV",
ROUND(OFFSET($P323,0,AS$13),15-13*ORÇAMENTO!$AF$7)/$H323*OFFSET(ORÇAMENTO!$X$15,ROW(AS323)-ROW(AS$15),0),
ROUND(ROUND(OFFSET($P323,0,AS$13),15-13*ORÇAMENTO!$AF$7)*OFFSET(ORÇAMENTO!$W$15,ROW(AS323)-ROW(AS$15),0),15-13*ORÇAMENTO!$AF$11)),0)</f>
        <v>0</v>
      </c>
      <c r="AT323" s="545">
        <f ca="1">IF(AND($D323="Serviço",AT$12&lt;&gt;0,$H323&gt;0,OR(AUTOEVENTO&lt;&gt;"manual",$M323&lt;&gt;1)),
IF(Import.TipoArredondamento&lt;&gt;"TransfereGOV",
ROUND(OFFSET($P323,0,AT$13),15-13*ORÇAMENTO!$AF$7)/$H323*OFFSET(ORÇAMENTO!$X$15,ROW(AT323)-ROW(AT$15),0),
ROUND(ROUND(OFFSET($P323,0,AT$13),15-13*ORÇAMENTO!$AF$7)*OFFSET(ORÇAMENTO!$W$15,ROW(AT323)-ROW(AT$15),0),15-13*ORÇAMENTO!$AF$11)),0)</f>
        <v>0</v>
      </c>
      <c r="AU323" s="545">
        <f ca="1">IF(AND($D323="Serviço",AU$12&lt;&gt;0,$H323&gt;0,OR(AUTOEVENTO&lt;&gt;"manual",$M323&lt;&gt;1)),
IF(Import.TipoArredondamento&lt;&gt;"TransfereGOV",
ROUND(OFFSET($P323,0,AU$13),15-13*ORÇAMENTO!$AF$7)/$H323*OFFSET(ORÇAMENTO!$X$15,ROW(AU323)-ROW(AU$15),0),
ROUND(ROUND(OFFSET($P323,0,AU$13),15-13*ORÇAMENTO!$AF$7)*OFFSET(ORÇAMENTO!$W$15,ROW(AU323)-ROW(AU$15),0),15-13*ORÇAMENTO!$AF$11)),0)</f>
        <v>0</v>
      </c>
      <c r="AV323" s="545">
        <f ca="1">IF(AND($D323="Serviço",AV$12&lt;&gt;0,$H323&gt;0,OR(AUTOEVENTO&lt;&gt;"manual",$M323&lt;&gt;1)),
IF(Import.TipoArredondamento&lt;&gt;"TransfereGOV",
ROUND(OFFSET($P323,0,AV$13),15-13*ORÇAMENTO!$AF$7)/$H323*OFFSET(ORÇAMENTO!$X$15,ROW(AV323)-ROW(AV$15),0),
ROUND(ROUND(OFFSET($P323,0,AV$13),15-13*ORÇAMENTO!$AF$7)*OFFSET(ORÇAMENTO!$W$15,ROW(AV323)-ROW(AV$15),0),15-13*ORÇAMENTO!$AF$11)),0)</f>
        <v>0</v>
      </c>
      <c r="AW323" s="545">
        <f ca="1">IF(AND($D323="Serviço",AW$12&lt;&gt;0,$H323&gt;0,OR(AUTOEVENTO&lt;&gt;"manual",$M323&lt;&gt;1)),
IF(Import.TipoArredondamento&lt;&gt;"TransfereGOV",
ROUND(OFFSET($P323,0,AW$13),15-13*ORÇAMENTO!$AF$7)/$H323*OFFSET(ORÇAMENTO!$X$15,ROW(AW323)-ROW(AW$15),0),
ROUND(ROUND(OFFSET($P323,0,AW$13),15-13*ORÇAMENTO!$AF$7)*OFFSET(ORÇAMENTO!$W$15,ROW(AW323)-ROW(AW$15),0),15-13*ORÇAMENTO!$AF$11)),0)</f>
        <v>0</v>
      </c>
      <c r="AX323" s="545">
        <f ca="1">IF(AND($D323="Serviço",AX$12&lt;&gt;0,$H323&gt;0,OR(AUTOEVENTO&lt;&gt;"manual",$M323&lt;&gt;1)),
IF(Import.TipoArredondamento&lt;&gt;"TransfereGOV",
ROUND(OFFSET($P323,0,AX$13),15-13*ORÇAMENTO!$AF$7)/$H323*OFFSET(ORÇAMENTO!$X$15,ROW(AX323)-ROW(AX$15),0),
ROUND(ROUND(OFFSET($P323,0,AX$13),15-13*ORÇAMENTO!$AF$7)*OFFSET(ORÇAMENTO!$W$15,ROW(AX323)-ROW(AX$15),0),15-13*ORÇAMENTO!$AF$11)),0)</f>
        <v>0</v>
      </c>
      <c r="AY323" s="545">
        <f ca="1">IF(AND($D323="Serviço",AY$12&lt;&gt;0,$H323&gt;0,OR(AUTOEVENTO&lt;&gt;"manual",$M323&lt;&gt;1)),
IF(Import.TipoArredondamento&lt;&gt;"TransfereGOV",
ROUND(OFFSET($P323,0,AY$13),15-13*ORÇAMENTO!$AF$7)/$H323*OFFSET(ORÇAMENTO!$X$15,ROW(AY323)-ROW(AY$15),0),
ROUND(ROUND(OFFSET($P323,0,AY$13),15-13*ORÇAMENTO!$AF$7)*OFFSET(ORÇAMENTO!$W$15,ROW(AY323)-ROW(AY$15),0),15-13*ORÇAMENTO!$AF$11)),0)</f>
        <v>0</v>
      </c>
      <c r="AZ323" s="545">
        <f ca="1">IF(AND($D323="Serviço",AZ$12&lt;&gt;0,$H323&gt;0,OR(AUTOEVENTO&lt;&gt;"manual",$M323&lt;&gt;1)),
IF(Import.TipoArredondamento&lt;&gt;"TransfereGOV",
ROUND(OFFSET($P323,0,AZ$13),15-13*ORÇAMENTO!$AF$7)/$H323*OFFSET(ORÇAMENTO!$X$15,ROW(AZ323)-ROW(AZ$15),0),
ROUND(ROUND(OFFSET($P323,0,AZ$13),15-13*ORÇAMENTO!$AF$7)*OFFSET(ORÇAMENTO!$W$15,ROW(AZ323)-ROW(AZ$15),0),15-13*ORÇAMENTO!$AF$11)),0)</f>
        <v>0</v>
      </c>
      <c r="BA323" s="546">
        <f ca="1">IF(AND($D323="Serviço",BA$12&lt;&gt;0,$H323&gt;0,OR(AUTOEVENTO&lt;&gt;"manual",$M323&lt;&gt;1)),
IF(Import.TipoArredondamento&lt;&gt;"TransfereGOV",
ROUND(OFFSET($P323,0,BA$13),15-13*ORÇAMENTO!$AF$7)/$H323*OFFSET(ORÇAMENTO!$X$15,ROW(BA323)-ROW(BA$15),0),
ROUND(ROUND(OFFSET($P323,0,BA$13),15-13*ORÇAMENTO!$AF$7)*OFFSET(ORÇAMENTO!$W$15,ROW(BA323)-ROW(BA$15),0),15-13*ORÇAMENTO!$AF$11)),0)</f>
        <v>0</v>
      </c>
      <c r="BC323" s="181">
        <f ca="1">IF($D323&lt;&gt;"Serviço",0,IF(AND(AUTOEVENTO="Manual",$M323=1),0,IF(OFFSET(CRONOPLE!$F$14,$M323,BC$13)="",10^12,OFFSET(CRONOPLE!$F$14,$M323,BC$13))))</f>
        <v>9</v>
      </c>
      <c r="BD323" s="181">
        <f ca="1">IF($D323&lt;&gt;"Serviço",0,IF(AND(AUTOEVENTO="Manual",$M323=1),0,IF(OFFSET(CRONOPLE!$F$14,$M323,BD$13)="",10^12,OFFSET(CRONOPLE!$F$14,$M323,BD$13))))</f>
        <v>1000000000000</v>
      </c>
      <c r="BE323" s="181">
        <f ca="1">IF($D323&lt;&gt;"Serviço",0,IF(AND(AUTOEVENTO="Manual",$M323=1),0,IF(OFFSET(CRONOPLE!$F$14,$M323,BE$13)="",10^12,OFFSET(CRONOPLE!$F$14,$M323,BE$13))))</f>
        <v>1000000000000</v>
      </c>
      <c r="BF323" s="181">
        <f ca="1">IF($D323&lt;&gt;"Serviço",0,IF(AND(AUTOEVENTO="Manual",$M323=1),0,IF(OFFSET(CRONOPLE!$F$14,$M323,BF$13)="",10^12,OFFSET(CRONOPLE!$F$14,$M323,BF$13))))</f>
        <v>1000000000000</v>
      </c>
      <c r="BG323" s="181">
        <f ca="1">IF($D323&lt;&gt;"Serviço",0,IF(AND(AUTOEVENTO="Manual",$M323=1),0,IF(OFFSET(CRONOPLE!$F$14,$M323,BG$13)="",10^12,OFFSET(CRONOPLE!$F$14,$M323,BG$13))))</f>
        <v>1000000000000</v>
      </c>
      <c r="BH323" s="181">
        <f ca="1">IF($D323&lt;&gt;"Serviço",0,IF(AND(AUTOEVENTO="Manual",$M323=1),0,IF(OFFSET(CRONOPLE!$F$14,$M323,BH$13)="",10^12,OFFSET(CRONOPLE!$F$14,$M323,BH$13))))</f>
        <v>1000000000000</v>
      </c>
      <c r="BI323" s="181">
        <f ca="1">IF($D323&lt;&gt;"Serviço",0,IF(AND(AUTOEVENTO="Manual",$M323=1),0,IF(OFFSET(CRONOPLE!$F$14,$M323,BI$13)="",10^12,OFFSET(CRONOPLE!$F$14,$M323,BI$13))))</f>
        <v>1000000000000</v>
      </c>
      <c r="BJ323" s="181">
        <f ca="1">IF($D323&lt;&gt;"Serviço",0,IF(AND(AUTOEVENTO="Manual",$M323=1),0,IF(OFFSET(CRONOPLE!$F$14,$M323,BJ$13)="",10^12,OFFSET(CRONOPLE!$F$14,$M323,BJ$13))))</f>
        <v>1000000000000</v>
      </c>
      <c r="BK323" s="181">
        <f ca="1">IF($D323&lt;&gt;"Serviço",0,IF(AND(AUTOEVENTO="Manual",$M323=1),0,IF(OFFSET(CRONOPLE!$F$14,$M323,BK$13)="",10^12,OFFSET(CRONOPLE!$F$14,$M323,BK$13))))</f>
        <v>1000000000000</v>
      </c>
      <c r="BL323" s="181">
        <f ca="1">IF($D323&lt;&gt;"Serviço",0,IF(AND(AUTOEVENTO="Manual",$M323=1),0,IF(OFFSET(CRONOPLE!$F$14,$M323,BL$13)="",10^12,OFFSET(CRONOPLE!$F$14,$M323,BL$13))))</f>
        <v>1000000000000</v>
      </c>
      <c r="BM323" s="181">
        <f ca="1">IF($D323&lt;&gt;"Serviço",0,IF(AND(AUTOEVENTO="Manual",$M323=1),0,IF(OFFSET(CRONOPLE!$F$14,$M323,BM$13)="",10^12,OFFSET(CRONOPLE!$F$14,$M323,BM$13))))</f>
        <v>1000000000000</v>
      </c>
      <c r="BN323" s="181">
        <f ca="1">IF($D323&lt;&gt;"Serviço",0,IF(AND(AUTOEVENTO="Manual",$M323=1),0,IF(OFFSET(CRONOPLE!$F$14,$M323,BN$13)="",10^12,OFFSET(CRONOPLE!$F$14,$M323,BN$13))))</f>
        <v>1000000000000</v>
      </c>
      <c r="BO323" s="181">
        <f ca="1">IF($D323&lt;&gt;"Serviço",0,IF(AND(AUTOEVENTO="Manual",$M323=1),0,IF(OFFSET(CRONOPLE!$F$14,$M323,BO$13)="",10^12,OFFSET(CRONOPLE!$F$14,$M323,BO$13))))</f>
        <v>1000000000000</v>
      </c>
      <c r="BP323" s="181">
        <f ca="1">IF($D323&lt;&gt;"Serviço",0,IF(AND(AUTOEVENTO="Manual",$M323=1),0,IF(OFFSET(CRONOPLE!$F$14,$M323,BP$13)="",10^12,OFFSET(CRONOPLE!$F$14,$M323,BP$13))))</f>
        <v>1000000000000</v>
      </c>
      <c r="BQ323" s="181">
        <f ca="1">IF($D323&lt;&gt;"Serviço",0,IF(AND(AUTOEVENTO="Manual",$M323=1),0,IF(OFFSET(CRONOPLE!$F$14,$M323,BQ$13)="",10^12,OFFSET(CRONOPLE!$F$14,$M323,BQ$13))))</f>
        <v>1000000000000</v>
      </c>
      <c r="BR323" s="181">
        <f ca="1">IF($D323&lt;&gt;"Serviço",0,IF(AND(AUTOEVENTO="Manual",$M323=1),0,IF(OFFSET(CRONOPLE!$F$14,$M323,BR$13)="",10^12,OFFSET(CRONOPLE!$F$14,$M323,BR$13))))</f>
        <v>1000000000000</v>
      </c>
      <c r="BS323" s="181">
        <f ca="1">IF($D323&lt;&gt;"Serviço",0,IF(AND(AUTOEVENTO="Manual",$M323=1),0,IF(OFFSET(CRONOPLE!$F$14,$M323,BS$13)="",10^12,OFFSET(CRONOPLE!$F$14,$M323,BS$13))))</f>
        <v>1000000000000</v>
      </c>
      <c r="BT323" s="181">
        <f ca="1">IF($D323&lt;&gt;"Serviço",0,IF(AND(AUTOEVENTO="Manual",$M323=1),0,IF(OFFSET(CRONOPLE!$F$14,$M323,BT$13)="",10^12,OFFSET(CRONOPLE!$F$14,$M323,BT$13))))</f>
        <v>1000000000000</v>
      </c>
      <c r="BV323" s="182">
        <f ca="1">IF($D323&lt;&gt;"Serviço",0,IF(OR(AND(AUTOEVENTO="Manual",$M323=1),$M323&gt;(ROW(PLE.lastrow)-ROW(PLE.firstrow))),0,IF(OFFSET(PLE!$G$14,$M323,BV$13)="",10^12,OFFSET(PLE!$G$14,$M323,BV$13))))</f>
        <v>1000000000000</v>
      </c>
      <c r="BW323" s="182">
        <f ca="1">IF($D323&lt;&gt;"Serviço",0,IF(OR(AND(AUTOEVENTO="Manual",$M323=1),$M323&gt;(ROW(PLE.lastrow)-ROW(PLE.firstrow))),0,IF(OFFSET(PLE!$G$14,$M323,BW$13)="",10^12,OFFSET(PLE!$G$14,$M323,BW$13))))</f>
        <v>1000000000000</v>
      </c>
      <c r="BX323" s="182">
        <f ca="1">IF($D323&lt;&gt;"Serviço",0,IF(OR(AND(AUTOEVENTO="Manual",$M323=1),$M323&gt;(ROW(PLE.lastrow)-ROW(PLE.firstrow))),0,IF(OFFSET(PLE!$G$14,$M323,BX$13)="",10^12,OFFSET(PLE!$G$14,$M323,BX$13))))</f>
        <v>1000000000000</v>
      </c>
      <c r="BY323" s="182">
        <f ca="1">IF($D323&lt;&gt;"Serviço",0,IF(OR(AND(AUTOEVENTO="Manual",$M323=1),$M323&gt;(ROW(PLE.lastrow)-ROW(PLE.firstrow))),0,IF(OFFSET(PLE!$G$14,$M323,BY$13)="",10^12,OFFSET(PLE!$G$14,$M323,BY$13))))</f>
        <v>1000000000000</v>
      </c>
      <c r="BZ323" s="182">
        <f ca="1">IF($D323&lt;&gt;"Serviço",0,IF(OR(AND(AUTOEVENTO="Manual",$M323=1),$M323&gt;(ROW(PLE.lastrow)-ROW(PLE.firstrow))),0,IF(OFFSET(PLE!$G$14,$M323,BZ$13)="",10^12,OFFSET(PLE!$G$14,$M323,BZ$13))))</f>
        <v>1000000000000</v>
      </c>
      <c r="CA323" s="182">
        <f ca="1">IF($D323&lt;&gt;"Serviço",0,IF(OR(AND(AUTOEVENTO="Manual",$M323=1),$M323&gt;(ROW(PLE.lastrow)-ROW(PLE.firstrow))),0,IF(OFFSET(PLE!$G$14,$M323,CA$13)="",10^12,OFFSET(PLE!$G$14,$M323,CA$13))))</f>
        <v>1000000000000</v>
      </c>
      <c r="CB323" s="182">
        <f ca="1">IF($D323&lt;&gt;"Serviço",0,IF(OR(AND(AUTOEVENTO="Manual",$M323=1),$M323&gt;(ROW(PLE.lastrow)-ROW(PLE.firstrow))),0,IF(OFFSET(PLE!$G$14,$M323,CB$13)="",10^12,OFFSET(PLE!$G$14,$M323,CB$13))))</f>
        <v>1000000000000</v>
      </c>
      <c r="CC323" s="182">
        <f ca="1">IF($D323&lt;&gt;"Serviço",0,IF(OR(AND(AUTOEVENTO="Manual",$M323=1),$M323&gt;(ROW(PLE.lastrow)-ROW(PLE.firstrow))),0,IF(OFFSET(PLE!$G$14,$M323,CC$13)="",10^12,OFFSET(PLE!$G$14,$M323,CC$13))))</f>
        <v>1000000000000</v>
      </c>
      <c r="CD323" s="182">
        <f ca="1">IF($D323&lt;&gt;"Serviço",0,IF(OR(AND(AUTOEVENTO="Manual",$M323=1),$M323&gt;(ROW(PLE.lastrow)-ROW(PLE.firstrow))),0,IF(OFFSET(PLE!$G$14,$M323,CD$13)="",10^12,OFFSET(PLE!$G$14,$M323,CD$13))))</f>
        <v>1000000000000</v>
      </c>
      <c r="CE323" s="182">
        <f ca="1">IF($D323&lt;&gt;"Serviço",0,IF(OR(AND(AUTOEVENTO="Manual",$M323=1),$M323&gt;(ROW(PLE.lastrow)-ROW(PLE.firstrow))),0,IF(OFFSET(PLE!$G$14,$M323,CE$13)="",10^12,OFFSET(PLE!$G$14,$M323,CE$13))))</f>
        <v>1000000000000</v>
      </c>
      <c r="CF323" s="182">
        <f ca="1">IF($D323&lt;&gt;"Serviço",0,IF(OR(AND(AUTOEVENTO="Manual",$M323=1),$M323&gt;(ROW(PLE.lastrow)-ROW(PLE.firstrow))),0,IF(OFFSET(PLE!$G$14,$M323,CF$13)="",10^12,OFFSET(PLE!$G$14,$M323,CF$13))))</f>
        <v>1000000000000</v>
      </c>
      <c r="CG323" s="182">
        <f ca="1">IF($D323&lt;&gt;"Serviço",0,IF(OR(AND(AUTOEVENTO="Manual",$M323=1),$M323&gt;(ROW(PLE.lastrow)-ROW(PLE.firstrow))),0,IF(OFFSET(PLE!$G$14,$M323,CG$13)="",10^12,OFFSET(PLE!$G$14,$M323,CG$13))))</f>
        <v>1000000000000</v>
      </c>
      <c r="CH323" s="182">
        <f ca="1">IF($D323&lt;&gt;"Serviço",0,IF(OR(AND(AUTOEVENTO="Manual",$M323=1),$M323&gt;(ROW(PLE.lastrow)-ROW(PLE.firstrow))),0,IF(OFFSET(PLE!$G$14,$M323,CH$13)="",10^12,OFFSET(PLE!$G$14,$M323,CH$13))))</f>
        <v>1000000000000</v>
      </c>
      <c r="CI323" s="182">
        <f ca="1">IF($D323&lt;&gt;"Serviço",0,IF(OR(AND(AUTOEVENTO="Manual",$M323=1),$M323&gt;(ROW(PLE.lastrow)-ROW(PLE.firstrow))),0,IF(OFFSET(PLE!$G$14,$M323,CI$13)="",10^12,OFFSET(PLE!$G$14,$M323,CI$13))))</f>
        <v>1000000000000</v>
      </c>
      <c r="CJ323" s="182">
        <f ca="1">IF($D323&lt;&gt;"Serviço",0,IF(OR(AND(AUTOEVENTO="Manual",$M323=1),$M323&gt;(ROW(PLE.lastrow)-ROW(PLE.firstrow))),0,IF(OFFSET(PLE!$G$14,$M323,CJ$13)="",10^12,OFFSET(PLE!$G$14,$M323,CJ$13))))</f>
        <v>1000000000000</v>
      </c>
      <c r="CK323" s="182">
        <f ca="1">IF($D323&lt;&gt;"Serviço",0,IF(OR(AND(AUTOEVENTO="Manual",$M323=1),$M323&gt;(ROW(PLE.lastrow)-ROW(PLE.firstrow))),0,IF(OFFSET(PLE!$G$14,$M323,CK$13)="",10^12,OFFSET(PLE!$G$14,$M323,CK$13))))</f>
        <v>1000000000000</v>
      </c>
      <c r="CL323" s="182">
        <f ca="1">IF($D323&lt;&gt;"Serviço",0,IF(OR(AND(AUTOEVENTO="Manual",$M323=1),$M323&gt;(ROW(PLE.lastrow)-ROW(PLE.firstrow))),0,IF(OFFSET(PLE!$G$14,$M323,CL$13)="",10^12,OFFSET(PLE!$G$14,$M323,CL$13))))</f>
        <v>1000000000000</v>
      </c>
      <c r="CM323" s="182">
        <f ca="1">IF($D323&lt;&gt;"Serviço",0,IF(OR(AND(AUTOEVENTO="Manual",$M323=1),$M323&gt;(ROW(PLE.lastrow)-ROW(PLE.firstrow))),0,IF(OFFSET(PLE!$G$14,$M323,CM$13)="",10^12,OFFSET(PLE!$G$14,$M323,CM$13))))</f>
        <v>1000000000000</v>
      </c>
    </row>
    <row r="324" spans="1:91" ht="38.25" x14ac:dyDescent="0.2">
      <c r="A324" s="7" t="str">
        <f t="shared" ca="1" si="12"/>
        <v>304</v>
      </c>
      <c r="B324" s="7" t="str">
        <f ca="1">OFFSET(ORÇAMENTO!C$15,ROW(B324)-ROW(B$15),0)</f>
        <v>S</v>
      </c>
      <c r="C324" s="7" t="str">
        <f ca="1">OFFSET(ORÇAMENTO!L$15,ROW(C324)-ROW(C$15),0)</f>
        <v/>
      </c>
      <c r="D324" s="118" t="str">
        <f ca="1">OFFSET(ORÇAMENTO!N$15,ROW(D324)-ROW(D$15),0)</f>
        <v>Serviço</v>
      </c>
      <c r="E324" s="119" t="str">
        <f ca="1">OFFSET(ORÇAMENTO!O$15,ROW(E324)-ROW(E$15),0)</f>
        <v>-</v>
      </c>
      <c r="F324" s="172" t="str">
        <f ca="1">OFFSET(ORÇAMENTO!R$15,ROW(F324)-ROW(F$15),0)</f>
        <v>(abra o arquivo 'Referência 06-2024.xlsm)</v>
      </c>
      <c r="G324" s="173" t="str">
        <f ca="1">IF($D324&lt;&gt;"Serviço","",OFFSET(ORÇAMENTO!S$15,ROW(G324)-ROW(G$15),0))</f>
        <v>-</v>
      </c>
      <c r="H324" s="124">
        <f ca="1">IF($D324&lt;&gt;"Serviço",0,IF(ACOMPANHAMENTO="BM",ROUND(OFFSET(ORÇAMENTO!AJ$15,ROW(H324)-ROW(H$15),0),15-13*ORÇAMENTO!$AF$7),SUMPRODUCT(($Q$12:$AI$12&lt;&gt;"")*ROUND($Q324:$AI324,15-13*ORÇAMENTO!$AF$7))))</f>
        <v>39</v>
      </c>
      <c r="I324" s="561" t="s">
        <v>1107</v>
      </c>
      <c r="K324" s="174"/>
      <c r="L324" s="175" t="s">
        <v>255</v>
      </c>
      <c r="M324" s="176">
        <f ca="1">IF($D324&lt;&gt;"Serviço","",IF(AUTOEVENTO="manual",$A324,IF(ISERROR(MATCH($A324,$A$15:OFFSET($A324,-1,0),0)),MAX($M$15:OFFSET(M324,-1,0))+1,INDEX($M$15:OFFSET(M324,-1,0),MATCH($A324,$A$15:OFFSET($A324,-1,0),0)))))</f>
        <v>41</v>
      </c>
      <c r="N324" s="177" t="str">
        <f ca="1">IF($D324&lt;&gt;"Serviço","",IF(AUTOEVENTO="Manual",IF($A324=0,"&lt;-- defina o número do agrupador",OFFSET(EVENTOS!$D$14,$A324,0)),OFFSET($F$15,$A324,0)))</f>
        <v>INSTALAÇÃO SANITÁRIA - TUBULAÇÕES E CONEXÕES</v>
      </c>
      <c r="O324" s="178"/>
      <c r="Q324" s="178">
        <v>39</v>
      </c>
      <c r="R324" s="179"/>
      <c r="S324" s="179"/>
      <c r="T324" s="179"/>
      <c r="U324" s="179"/>
      <c r="V324" s="179"/>
      <c r="W324" s="179"/>
      <c r="X324" s="179"/>
      <c r="Y324" s="179"/>
      <c r="Z324" s="180"/>
      <c r="AA324" s="179"/>
      <c r="AB324" s="179"/>
      <c r="AC324" s="179"/>
      <c r="AD324" s="179"/>
      <c r="AE324" s="179"/>
      <c r="AF324" s="179"/>
      <c r="AG324" s="179"/>
      <c r="AH324" s="180"/>
      <c r="AJ324" s="544">
        <f ca="1">IF(AND($D324="Serviço",AJ$12&lt;&gt;0,$H324&gt;0,OR(AUTOEVENTO&lt;&gt;"manual",$M324&lt;&gt;1)),
IF(Import.TipoArredondamento&lt;&gt;"TransfereGOV",
ROUND(OFFSET($P324,0,AJ$13),15-13*ORÇAMENTO!$AF$7)/$H324*OFFSET(ORÇAMENTO!$X$15,ROW(AJ324)-ROW(AJ$15),0),
ROUND(ROUND(OFFSET($P324,0,AJ$13),15-13*ORÇAMENTO!$AF$7)*OFFSET(ORÇAMENTO!$W$15,ROW(AJ324)-ROW(AJ$15),0),15-13*ORÇAMENTO!$AF$11)),0)</f>
        <v>0</v>
      </c>
      <c r="AK324" s="545">
        <f ca="1">IF(AND($D324="Serviço",AK$12&lt;&gt;0,$H324&gt;0,OR(AUTOEVENTO&lt;&gt;"manual",$M324&lt;&gt;1)),
IF(Import.TipoArredondamento&lt;&gt;"TransfereGOV",
ROUND(OFFSET($P324,0,AK$13),15-13*ORÇAMENTO!$AF$7)/$H324*OFFSET(ORÇAMENTO!$X$15,ROW(AK324)-ROW(AK$15),0),
ROUND(ROUND(OFFSET($P324,0,AK$13),15-13*ORÇAMENTO!$AF$7)*OFFSET(ORÇAMENTO!$W$15,ROW(AK324)-ROW(AK$15),0),15-13*ORÇAMENTO!$AF$11)),0)</f>
        <v>0</v>
      </c>
      <c r="AL324" s="545">
        <f ca="1">IF(AND($D324="Serviço",AL$12&lt;&gt;0,$H324&gt;0,OR(AUTOEVENTO&lt;&gt;"manual",$M324&lt;&gt;1)),
IF(Import.TipoArredondamento&lt;&gt;"TransfereGOV",
ROUND(OFFSET($P324,0,AL$13),15-13*ORÇAMENTO!$AF$7)/$H324*OFFSET(ORÇAMENTO!$X$15,ROW(AL324)-ROW(AL$15),0),
ROUND(ROUND(OFFSET($P324,0,AL$13),15-13*ORÇAMENTO!$AF$7)*OFFSET(ORÇAMENTO!$W$15,ROW(AL324)-ROW(AL$15),0),15-13*ORÇAMENTO!$AF$11)),0)</f>
        <v>0</v>
      </c>
      <c r="AM324" s="545">
        <f ca="1">IF(AND($D324="Serviço",AM$12&lt;&gt;0,$H324&gt;0,OR(AUTOEVENTO&lt;&gt;"manual",$M324&lt;&gt;1)),
IF(Import.TipoArredondamento&lt;&gt;"TransfereGOV",
ROUND(OFFSET($P324,0,AM$13),15-13*ORÇAMENTO!$AF$7)/$H324*OFFSET(ORÇAMENTO!$X$15,ROW(AM324)-ROW(AM$15),0),
ROUND(ROUND(OFFSET($P324,0,AM$13),15-13*ORÇAMENTO!$AF$7)*OFFSET(ORÇAMENTO!$W$15,ROW(AM324)-ROW(AM$15),0),15-13*ORÇAMENTO!$AF$11)),0)</f>
        <v>0</v>
      </c>
      <c r="AN324" s="545">
        <f ca="1">IF(AND($D324="Serviço",AN$12&lt;&gt;0,$H324&gt;0,OR(AUTOEVENTO&lt;&gt;"manual",$M324&lt;&gt;1)),
IF(Import.TipoArredondamento&lt;&gt;"TransfereGOV",
ROUND(OFFSET($P324,0,AN$13),15-13*ORÇAMENTO!$AF$7)/$H324*OFFSET(ORÇAMENTO!$X$15,ROW(AN324)-ROW(AN$15),0),
ROUND(ROUND(OFFSET($P324,0,AN$13),15-13*ORÇAMENTO!$AF$7)*OFFSET(ORÇAMENTO!$W$15,ROW(AN324)-ROW(AN$15),0),15-13*ORÇAMENTO!$AF$11)),0)</f>
        <v>0</v>
      </c>
      <c r="AO324" s="545">
        <f ca="1">IF(AND($D324="Serviço",AO$12&lt;&gt;0,$H324&gt;0,OR(AUTOEVENTO&lt;&gt;"manual",$M324&lt;&gt;1)),
IF(Import.TipoArredondamento&lt;&gt;"TransfereGOV",
ROUND(OFFSET($P324,0,AO$13),15-13*ORÇAMENTO!$AF$7)/$H324*OFFSET(ORÇAMENTO!$X$15,ROW(AO324)-ROW(AO$15),0),
ROUND(ROUND(OFFSET($P324,0,AO$13),15-13*ORÇAMENTO!$AF$7)*OFFSET(ORÇAMENTO!$W$15,ROW(AO324)-ROW(AO$15),0),15-13*ORÇAMENTO!$AF$11)),0)</f>
        <v>0</v>
      </c>
      <c r="AP324" s="545">
        <f ca="1">IF(AND($D324="Serviço",AP$12&lt;&gt;0,$H324&gt;0,OR(AUTOEVENTO&lt;&gt;"manual",$M324&lt;&gt;1)),
IF(Import.TipoArredondamento&lt;&gt;"TransfereGOV",
ROUND(OFFSET($P324,0,AP$13),15-13*ORÇAMENTO!$AF$7)/$H324*OFFSET(ORÇAMENTO!$X$15,ROW(AP324)-ROW(AP$15),0),
ROUND(ROUND(OFFSET($P324,0,AP$13),15-13*ORÇAMENTO!$AF$7)*OFFSET(ORÇAMENTO!$W$15,ROW(AP324)-ROW(AP$15),0),15-13*ORÇAMENTO!$AF$11)),0)</f>
        <v>0</v>
      </c>
      <c r="AQ324" s="545">
        <f ca="1">IF(AND($D324="Serviço",AQ$12&lt;&gt;0,$H324&gt;0,OR(AUTOEVENTO&lt;&gt;"manual",$M324&lt;&gt;1)),
IF(Import.TipoArredondamento&lt;&gt;"TransfereGOV",
ROUND(OFFSET($P324,0,AQ$13),15-13*ORÇAMENTO!$AF$7)/$H324*OFFSET(ORÇAMENTO!$X$15,ROW(AQ324)-ROW(AQ$15),0),
ROUND(ROUND(OFFSET($P324,0,AQ$13),15-13*ORÇAMENTO!$AF$7)*OFFSET(ORÇAMENTO!$W$15,ROW(AQ324)-ROW(AQ$15),0),15-13*ORÇAMENTO!$AF$11)),0)</f>
        <v>0</v>
      </c>
      <c r="AR324" s="545">
        <f ca="1">IF(AND($D324="Serviço",AR$12&lt;&gt;0,$H324&gt;0,OR(AUTOEVENTO&lt;&gt;"manual",$M324&lt;&gt;1)),
IF(Import.TipoArredondamento&lt;&gt;"TransfereGOV",
ROUND(OFFSET($P324,0,AR$13),15-13*ORÇAMENTO!$AF$7)/$H324*OFFSET(ORÇAMENTO!$X$15,ROW(AR324)-ROW(AR$15),0),
ROUND(ROUND(OFFSET($P324,0,AR$13),15-13*ORÇAMENTO!$AF$7)*OFFSET(ORÇAMENTO!$W$15,ROW(AR324)-ROW(AR$15),0),15-13*ORÇAMENTO!$AF$11)),0)</f>
        <v>0</v>
      </c>
      <c r="AS324" s="546">
        <f ca="1">IF(AND($D324="Serviço",AS$12&lt;&gt;0,$H324&gt;0,OR(AUTOEVENTO&lt;&gt;"manual",$M324&lt;&gt;1)),
IF(Import.TipoArredondamento&lt;&gt;"TransfereGOV",
ROUND(OFFSET($P324,0,AS$13),15-13*ORÇAMENTO!$AF$7)/$H324*OFFSET(ORÇAMENTO!$X$15,ROW(AS324)-ROW(AS$15),0),
ROUND(ROUND(OFFSET($P324,0,AS$13),15-13*ORÇAMENTO!$AF$7)*OFFSET(ORÇAMENTO!$W$15,ROW(AS324)-ROW(AS$15),0),15-13*ORÇAMENTO!$AF$11)),0)</f>
        <v>0</v>
      </c>
      <c r="AT324" s="545">
        <f ca="1">IF(AND($D324="Serviço",AT$12&lt;&gt;0,$H324&gt;0,OR(AUTOEVENTO&lt;&gt;"manual",$M324&lt;&gt;1)),
IF(Import.TipoArredondamento&lt;&gt;"TransfereGOV",
ROUND(OFFSET($P324,0,AT$13),15-13*ORÇAMENTO!$AF$7)/$H324*OFFSET(ORÇAMENTO!$X$15,ROW(AT324)-ROW(AT$15),0),
ROUND(ROUND(OFFSET($P324,0,AT$13),15-13*ORÇAMENTO!$AF$7)*OFFSET(ORÇAMENTO!$W$15,ROW(AT324)-ROW(AT$15),0),15-13*ORÇAMENTO!$AF$11)),0)</f>
        <v>0</v>
      </c>
      <c r="AU324" s="545">
        <f ca="1">IF(AND($D324="Serviço",AU$12&lt;&gt;0,$H324&gt;0,OR(AUTOEVENTO&lt;&gt;"manual",$M324&lt;&gt;1)),
IF(Import.TipoArredondamento&lt;&gt;"TransfereGOV",
ROUND(OFFSET($P324,0,AU$13),15-13*ORÇAMENTO!$AF$7)/$H324*OFFSET(ORÇAMENTO!$X$15,ROW(AU324)-ROW(AU$15),0),
ROUND(ROUND(OFFSET($P324,0,AU$13),15-13*ORÇAMENTO!$AF$7)*OFFSET(ORÇAMENTO!$W$15,ROW(AU324)-ROW(AU$15),0),15-13*ORÇAMENTO!$AF$11)),0)</f>
        <v>0</v>
      </c>
      <c r="AV324" s="545">
        <f ca="1">IF(AND($D324="Serviço",AV$12&lt;&gt;0,$H324&gt;0,OR(AUTOEVENTO&lt;&gt;"manual",$M324&lt;&gt;1)),
IF(Import.TipoArredondamento&lt;&gt;"TransfereGOV",
ROUND(OFFSET($P324,0,AV$13),15-13*ORÇAMENTO!$AF$7)/$H324*OFFSET(ORÇAMENTO!$X$15,ROW(AV324)-ROW(AV$15),0),
ROUND(ROUND(OFFSET($P324,0,AV$13),15-13*ORÇAMENTO!$AF$7)*OFFSET(ORÇAMENTO!$W$15,ROW(AV324)-ROW(AV$15),0),15-13*ORÇAMENTO!$AF$11)),0)</f>
        <v>0</v>
      </c>
      <c r="AW324" s="545">
        <f ca="1">IF(AND($D324="Serviço",AW$12&lt;&gt;0,$H324&gt;0,OR(AUTOEVENTO&lt;&gt;"manual",$M324&lt;&gt;1)),
IF(Import.TipoArredondamento&lt;&gt;"TransfereGOV",
ROUND(OFFSET($P324,0,AW$13),15-13*ORÇAMENTO!$AF$7)/$H324*OFFSET(ORÇAMENTO!$X$15,ROW(AW324)-ROW(AW$15),0),
ROUND(ROUND(OFFSET($P324,0,AW$13),15-13*ORÇAMENTO!$AF$7)*OFFSET(ORÇAMENTO!$W$15,ROW(AW324)-ROW(AW$15),0),15-13*ORÇAMENTO!$AF$11)),0)</f>
        <v>0</v>
      </c>
      <c r="AX324" s="545">
        <f ca="1">IF(AND($D324="Serviço",AX$12&lt;&gt;0,$H324&gt;0,OR(AUTOEVENTO&lt;&gt;"manual",$M324&lt;&gt;1)),
IF(Import.TipoArredondamento&lt;&gt;"TransfereGOV",
ROUND(OFFSET($P324,0,AX$13),15-13*ORÇAMENTO!$AF$7)/$H324*OFFSET(ORÇAMENTO!$X$15,ROW(AX324)-ROW(AX$15),0),
ROUND(ROUND(OFFSET($P324,0,AX$13),15-13*ORÇAMENTO!$AF$7)*OFFSET(ORÇAMENTO!$W$15,ROW(AX324)-ROW(AX$15),0),15-13*ORÇAMENTO!$AF$11)),0)</f>
        <v>0</v>
      </c>
      <c r="AY324" s="545">
        <f ca="1">IF(AND($D324="Serviço",AY$12&lt;&gt;0,$H324&gt;0,OR(AUTOEVENTO&lt;&gt;"manual",$M324&lt;&gt;1)),
IF(Import.TipoArredondamento&lt;&gt;"TransfereGOV",
ROUND(OFFSET($P324,0,AY$13),15-13*ORÇAMENTO!$AF$7)/$H324*OFFSET(ORÇAMENTO!$X$15,ROW(AY324)-ROW(AY$15),0),
ROUND(ROUND(OFFSET($P324,0,AY$13),15-13*ORÇAMENTO!$AF$7)*OFFSET(ORÇAMENTO!$W$15,ROW(AY324)-ROW(AY$15),0),15-13*ORÇAMENTO!$AF$11)),0)</f>
        <v>0</v>
      </c>
      <c r="AZ324" s="545">
        <f ca="1">IF(AND($D324="Serviço",AZ$12&lt;&gt;0,$H324&gt;0,OR(AUTOEVENTO&lt;&gt;"manual",$M324&lt;&gt;1)),
IF(Import.TipoArredondamento&lt;&gt;"TransfereGOV",
ROUND(OFFSET($P324,0,AZ$13),15-13*ORÇAMENTO!$AF$7)/$H324*OFFSET(ORÇAMENTO!$X$15,ROW(AZ324)-ROW(AZ$15),0),
ROUND(ROUND(OFFSET($P324,0,AZ$13),15-13*ORÇAMENTO!$AF$7)*OFFSET(ORÇAMENTO!$W$15,ROW(AZ324)-ROW(AZ$15),0),15-13*ORÇAMENTO!$AF$11)),0)</f>
        <v>0</v>
      </c>
      <c r="BA324" s="546">
        <f ca="1">IF(AND($D324="Serviço",BA$12&lt;&gt;0,$H324&gt;0,OR(AUTOEVENTO&lt;&gt;"manual",$M324&lt;&gt;1)),
IF(Import.TipoArredondamento&lt;&gt;"TransfereGOV",
ROUND(OFFSET($P324,0,BA$13),15-13*ORÇAMENTO!$AF$7)/$H324*OFFSET(ORÇAMENTO!$X$15,ROW(BA324)-ROW(BA$15),0),
ROUND(ROUND(OFFSET($P324,0,BA$13),15-13*ORÇAMENTO!$AF$7)*OFFSET(ORÇAMENTO!$W$15,ROW(BA324)-ROW(BA$15),0),15-13*ORÇAMENTO!$AF$11)),0)</f>
        <v>0</v>
      </c>
      <c r="BC324" s="181">
        <f ca="1">IF($D324&lt;&gt;"Serviço",0,IF(AND(AUTOEVENTO="Manual",$M324=1),0,IF(OFFSET(CRONOPLE!$F$14,$M324,BC$13)="",10^12,OFFSET(CRONOPLE!$F$14,$M324,BC$13))))</f>
        <v>9</v>
      </c>
      <c r="BD324" s="181">
        <f ca="1">IF($D324&lt;&gt;"Serviço",0,IF(AND(AUTOEVENTO="Manual",$M324=1),0,IF(OFFSET(CRONOPLE!$F$14,$M324,BD$13)="",10^12,OFFSET(CRONOPLE!$F$14,$M324,BD$13))))</f>
        <v>1000000000000</v>
      </c>
      <c r="BE324" s="181">
        <f ca="1">IF($D324&lt;&gt;"Serviço",0,IF(AND(AUTOEVENTO="Manual",$M324=1),0,IF(OFFSET(CRONOPLE!$F$14,$M324,BE$13)="",10^12,OFFSET(CRONOPLE!$F$14,$M324,BE$13))))</f>
        <v>1000000000000</v>
      </c>
      <c r="BF324" s="181">
        <f ca="1">IF($D324&lt;&gt;"Serviço",0,IF(AND(AUTOEVENTO="Manual",$M324=1),0,IF(OFFSET(CRONOPLE!$F$14,$M324,BF$13)="",10^12,OFFSET(CRONOPLE!$F$14,$M324,BF$13))))</f>
        <v>1000000000000</v>
      </c>
      <c r="BG324" s="181">
        <f ca="1">IF($D324&lt;&gt;"Serviço",0,IF(AND(AUTOEVENTO="Manual",$M324=1),0,IF(OFFSET(CRONOPLE!$F$14,$M324,BG$13)="",10^12,OFFSET(CRONOPLE!$F$14,$M324,BG$13))))</f>
        <v>1000000000000</v>
      </c>
      <c r="BH324" s="181">
        <f ca="1">IF($D324&lt;&gt;"Serviço",0,IF(AND(AUTOEVENTO="Manual",$M324=1),0,IF(OFFSET(CRONOPLE!$F$14,$M324,BH$13)="",10^12,OFFSET(CRONOPLE!$F$14,$M324,BH$13))))</f>
        <v>1000000000000</v>
      </c>
      <c r="BI324" s="181">
        <f ca="1">IF($D324&lt;&gt;"Serviço",0,IF(AND(AUTOEVENTO="Manual",$M324=1),0,IF(OFFSET(CRONOPLE!$F$14,$M324,BI$13)="",10^12,OFFSET(CRONOPLE!$F$14,$M324,BI$13))))</f>
        <v>1000000000000</v>
      </c>
      <c r="BJ324" s="181">
        <f ca="1">IF($D324&lt;&gt;"Serviço",0,IF(AND(AUTOEVENTO="Manual",$M324=1),0,IF(OFFSET(CRONOPLE!$F$14,$M324,BJ$13)="",10^12,OFFSET(CRONOPLE!$F$14,$M324,BJ$13))))</f>
        <v>1000000000000</v>
      </c>
      <c r="BK324" s="181">
        <f ca="1">IF($D324&lt;&gt;"Serviço",0,IF(AND(AUTOEVENTO="Manual",$M324=1),0,IF(OFFSET(CRONOPLE!$F$14,$M324,BK$13)="",10^12,OFFSET(CRONOPLE!$F$14,$M324,BK$13))))</f>
        <v>1000000000000</v>
      </c>
      <c r="BL324" s="181">
        <f ca="1">IF($D324&lt;&gt;"Serviço",0,IF(AND(AUTOEVENTO="Manual",$M324=1),0,IF(OFFSET(CRONOPLE!$F$14,$M324,BL$13)="",10^12,OFFSET(CRONOPLE!$F$14,$M324,BL$13))))</f>
        <v>1000000000000</v>
      </c>
      <c r="BM324" s="181">
        <f ca="1">IF($D324&lt;&gt;"Serviço",0,IF(AND(AUTOEVENTO="Manual",$M324=1),0,IF(OFFSET(CRONOPLE!$F$14,$M324,BM$13)="",10^12,OFFSET(CRONOPLE!$F$14,$M324,BM$13))))</f>
        <v>1000000000000</v>
      </c>
      <c r="BN324" s="181">
        <f ca="1">IF($D324&lt;&gt;"Serviço",0,IF(AND(AUTOEVENTO="Manual",$M324=1),0,IF(OFFSET(CRONOPLE!$F$14,$M324,BN$13)="",10^12,OFFSET(CRONOPLE!$F$14,$M324,BN$13))))</f>
        <v>1000000000000</v>
      </c>
      <c r="BO324" s="181">
        <f ca="1">IF($D324&lt;&gt;"Serviço",0,IF(AND(AUTOEVENTO="Manual",$M324=1),0,IF(OFFSET(CRONOPLE!$F$14,$M324,BO$13)="",10^12,OFFSET(CRONOPLE!$F$14,$M324,BO$13))))</f>
        <v>1000000000000</v>
      </c>
      <c r="BP324" s="181">
        <f ca="1">IF($D324&lt;&gt;"Serviço",0,IF(AND(AUTOEVENTO="Manual",$M324=1),0,IF(OFFSET(CRONOPLE!$F$14,$M324,BP$13)="",10^12,OFFSET(CRONOPLE!$F$14,$M324,BP$13))))</f>
        <v>1000000000000</v>
      </c>
      <c r="BQ324" s="181">
        <f ca="1">IF($D324&lt;&gt;"Serviço",0,IF(AND(AUTOEVENTO="Manual",$M324=1),0,IF(OFFSET(CRONOPLE!$F$14,$M324,BQ$13)="",10^12,OFFSET(CRONOPLE!$F$14,$M324,BQ$13))))</f>
        <v>1000000000000</v>
      </c>
      <c r="BR324" s="181">
        <f ca="1">IF($D324&lt;&gt;"Serviço",0,IF(AND(AUTOEVENTO="Manual",$M324=1),0,IF(OFFSET(CRONOPLE!$F$14,$M324,BR$13)="",10^12,OFFSET(CRONOPLE!$F$14,$M324,BR$13))))</f>
        <v>1000000000000</v>
      </c>
      <c r="BS324" s="181">
        <f ca="1">IF($D324&lt;&gt;"Serviço",0,IF(AND(AUTOEVENTO="Manual",$M324=1),0,IF(OFFSET(CRONOPLE!$F$14,$M324,BS$13)="",10^12,OFFSET(CRONOPLE!$F$14,$M324,BS$13))))</f>
        <v>1000000000000</v>
      </c>
      <c r="BT324" s="181">
        <f ca="1">IF($D324&lt;&gt;"Serviço",0,IF(AND(AUTOEVENTO="Manual",$M324=1),0,IF(OFFSET(CRONOPLE!$F$14,$M324,BT$13)="",10^12,OFFSET(CRONOPLE!$F$14,$M324,BT$13))))</f>
        <v>1000000000000</v>
      </c>
      <c r="BV324" s="182">
        <f ca="1">IF($D324&lt;&gt;"Serviço",0,IF(OR(AND(AUTOEVENTO="Manual",$M324=1),$M324&gt;(ROW(PLE.lastrow)-ROW(PLE.firstrow))),0,IF(OFFSET(PLE!$G$14,$M324,BV$13)="",10^12,OFFSET(PLE!$G$14,$M324,BV$13))))</f>
        <v>1000000000000</v>
      </c>
      <c r="BW324" s="182">
        <f ca="1">IF($D324&lt;&gt;"Serviço",0,IF(OR(AND(AUTOEVENTO="Manual",$M324=1),$M324&gt;(ROW(PLE.lastrow)-ROW(PLE.firstrow))),0,IF(OFFSET(PLE!$G$14,$M324,BW$13)="",10^12,OFFSET(PLE!$G$14,$M324,BW$13))))</f>
        <v>1000000000000</v>
      </c>
      <c r="BX324" s="182">
        <f ca="1">IF($D324&lt;&gt;"Serviço",0,IF(OR(AND(AUTOEVENTO="Manual",$M324=1),$M324&gt;(ROW(PLE.lastrow)-ROW(PLE.firstrow))),0,IF(OFFSET(PLE!$G$14,$M324,BX$13)="",10^12,OFFSET(PLE!$G$14,$M324,BX$13))))</f>
        <v>1000000000000</v>
      </c>
      <c r="BY324" s="182">
        <f ca="1">IF($D324&lt;&gt;"Serviço",0,IF(OR(AND(AUTOEVENTO="Manual",$M324=1),$M324&gt;(ROW(PLE.lastrow)-ROW(PLE.firstrow))),0,IF(OFFSET(PLE!$G$14,$M324,BY$13)="",10^12,OFFSET(PLE!$G$14,$M324,BY$13))))</f>
        <v>1000000000000</v>
      </c>
      <c r="BZ324" s="182">
        <f ca="1">IF($D324&lt;&gt;"Serviço",0,IF(OR(AND(AUTOEVENTO="Manual",$M324=1),$M324&gt;(ROW(PLE.lastrow)-ROW(PLE.firstrow))),0,IF(OFFSET(PLE!$G$14,$M324,BZ$13)="",10^12,OFFSET(PLE!$G$14,$M324,BZ$13))))</f>
        <v>1000000000000</v>
      </c>
      <c r="CA324" s="182">
        <f ca="1">IF($D324&lt;&gt;"Serviço",0,IF(OR(AND(AUTOEVENTO="Manual",$M324=1),$M324&gt;(ROW(PLE.lastrow)-ROW(PLE.firstrow))),0,IF(OFFSET(PLE!$G$14,$M324,CA$13)="",10^12,OFFSET(PLE!$G$14,$M324,CA$13))))</f>
        <v>1000000000000</v>
      </c>
      <c r="CB324" s="182">
        <f ca="1">IF($D324&lt;&gt;"Serviço",0,IF(OR(AND(AUTOEVENTO="Manual",$M324=1),$M324&gt;(ROW(PLE.lastrow)-ROW(PLE.firstrow))),0,IF(OFFSET(PLE!$G$14,$M324,CB$13)="",10^12,OFFSET(PLE!$G$14,$M324,CB$13))))</f>
        <v>1000000000000</v>
      </c>
      <c r="CC324" s="182">
        <f ca="1">IF($D324&lt;&gt;"Serviço",0,IF(OR(AND(AUTOEVENTO="Manual",$M324=1),$M324&gt;(ROW(PLE.lastrow)-ROW(PLE.firstrow))),0,IF(OFFSET(PLE!$G$14,$M324,CC$13)="",10^12,OFFSET(PLE!$G$14,$M324,CC$13))))</f>
        <v>1000000000000</v>
      </c>
      <c r="CD324" s="182">
        <f ca="1">IF($D324&lt;&gt;"Serviço",0,IF(OR(AND(AUTOEVENTO="Manual",$M324=1),$M324&gt;(ROW(PLE.lastrow)-ROW(PLE.firstrow))),0,IF(OFFSET(PLE!$G$14,$M324,CD$13)="",10^12,OFFSET(PLE!$G$14,$M324,CD$13))))</f>
        <v>1000000000000</v>
      </c>
      <c r="CE324" s="182">
        <f ca="1">IF($D324&lt;&gt;"Serviço",0,IF(OR(AND(AUTOEVENTO="Manual",$M324=1),$M324&gt;(ROW(PLE.lastrow)-ROW(PLE.firstrow))),0,IF(OFFSET(PLE!$G$14,$M324,CE$13)="",10^12,OFFSET(PLE!$G$14,$M324,CE$13))))</f>
        <v>1000000000000</v>
      </c>
      <c r="CF324" s="182">
        <f ca="1">IF($D324&lt;&gt;"Serviço",0,IF(OR(AND(AUTOEVENTO="Manual",$M324=1),$M324&gt;(ROW(PLE.lastrow)-ROW(PLE.firstrow))),0,IF(OFFSET(PLE!$G$14,$M324,CF$13)="",10^12,OFFSET(PLE!$G$14,$M324,CF$13))))</f>
        <v>1000000000000</v>
      </c>
      <c r="CG324" s="182">
        <f ca="1">IF($D324&lt;&gt;"Serviço",0,IF(OR(AND(AUTOEVENTO="Manual",$M324=1),$M324&gt;(ROW(PLE.lastrow)-ROW(PLE.firstrow))),0,IF(OFFSET(PLE!$G$14,$M324,CG$13)="",10^12,OFFSET(PLE!$G$14,$M324,CG$13))))</f>
        <v>1000000000000</v>
      </c>
      <c r="CH324" s="182">
        <f ca="1">IF($D324&lt;&gt;"Serviço",0,IF(OR(AND(AUTOEVENTO="Manual",$M324=1),$M324&gt;(ROW(PLE.lastrow)-ROW(PLE.firstrow))),0,IF(OFFSET(PLE!$G$14,$M324,CH$13)="",10^12,OFFSET(PLE!$G$14,$M324,CH$13))))</f>
        <v>1000000000000</v>
      </c>
      <c r="CI324" s="182">
        <f ca="1">IF($D324&lt;&gt;"Serviço",0,IF(OR(AND(AUTOEVENTO="Manual",$M324=1),$M324&gt;(ROW(PLE.lastrow)-ROW(PLE.firstrow))),0,IF(OFFSET(PLE!$G$14,$M324,CI$13)="",10^12,OFFSET(PLE!$G$14,$M324,CI$13))))</f>
        <v>1000000000000</v>
      </c>
      <c r="CJ324" s="182">
        <f ca="1">IF($D324&lt;&gt;"Serviço",0,IF(OR(AND(AUTOEVENTO="Manual",$M324=1),$M324&gt;(ROW(PLE.lastrow)-ROW(PLE.firstrow))),0,IF(OFFSET(PLE!$G$14,$M324,CJ$13)="",10^12,OFFSET(PLE!$G$14,$M324,CJ$13))))</f>
        <v>1000000000000</v>
      </c>
      <c r="CK324" s="182">
        <f ca="1">IF($D324&lt;&gt;"Serviço",0,IF(OR(AND(AUTOEVENTO="Manual",$M324=1),$M324&gt;(ROW(PLE.lastrow)-ROW(PLE.firstrow))),0,IF(OFFSET(PLE!$G$14,$M324,CK$13)="",10^12,OFFSET(PLE!$G$14,$M324,CK$13))))</f>
        <v>1000000000000</v>
      </c>
      <c r="CL324" s="182">
        <f ca="1">IF($D324&lt;&gt;"Serviço",0,IF(OR(AND(AUTOEVENTO="Manual",$M324=1),$M324&gt;(ROW(PLE.lastrow)-ROW(PLE.firstrow))),0,IF(OFFSET(PLE!$G$14,$M324,CL$13)="",10^12,OFFSET(PLE!$G$14,$M324,CL$13))))</f>
        <v>1000000000000</v>
      </c>
      <c r="CM324" s="182">
        <f ca="1">IF($D324&lt;&gt;"Serviço",0,IF(OR(AND(AUTOEVENTO="Manual",$M324=1),$M324&gt;(ROW(PLE.lastrow)-ROW(PLE.firstrow))),0,IF(OFFSET(PLE!$G$14,$M324,CM$13)="",10^12,OFFSET(PLE!$G$14,$M324,CM$13))))</f>
        <v>1000000000000</v>
      </c>
    </row>
    <row r="325" spans="1:91" ht="38.25" x14ac:dyDescent="0.2">
      <c r="A325" s="7" t="str">
        <f t="shared" ca="1" si="12"/>
        <v>304</v>
      </c>
      <c r="B325" s="7" t="str">
        <f ca="1">OFFSET(ORÇAMENTO!C$15,ROW(B325)-ROW(B$15),0)</f>
        <v>S</v>
      </c>
      <c r="C325" s="7" t="str">
        <f ca="1">OFFSET(ORÇAMENTO!L$15,ROW(C325)-ROW(C$15),0)</f>
        <v/>
      </c>
      <c r="D325" s="118" t="str">
        <f ca="1">OFFSET(ORÇAMENTO!N$15,ROW(D325)-ROW(D$15),0)</f>
        <v>Serviço</v>
      </c>
      <c r="E325" s="119" t="str">
        <f ca="1">OFFSET(ORÇAMENTO!O$15,ROW(E325)-ROW(E$15),0)</f>
        <v>-</v>
      </c>
      <c r="F325" s="172" t="str">
        <f ca="1">OFFSET(ORÇAMENTO!R$15,ROW(F325)-ROW(F$15),0)</f>
        <v>(abra o arquivo 'Referência 06-2024.xlsm)</v>
      </c>
      <c r="G325" s="173" t="str">
        <f ca="1">IF($D325&lt;&gt;"Serviço","",OFFSET(ORÇAMENTO!S$15,ROW(G325)-ROW(G$15),0))</f>
        <v>-</v>
      </c>
      <c r="H325" s="124">
        <f ca="1">IF($D325&lt;&gt;"Serviço",0,IF(ACOMPANHAMENTO="BM",ROUND(OFFSET(ORÇAMENTO!AJ$15,ROW(H325)-ROW(H$15),0),15-13*ORÇAMENTO!$AF$7),SUMPRODUCT(($Q$12:$AI$12&lt;&gt;"")*ROUND($Q325:$AI325,15-13*ORÇAMENTO!$AF$7))))</f>
        <v>40</v>
      </c>
      <c r="I325" s="561" t="s">
        <v>1107</v>
      </c>
      <c r="K325" s="174"/>
      <c r="L325" s="175" t="s">
        <v>255</v>
      </c>
      <c r="M325" s="176">
        <f ca="1">IF($D325&lt;&gt;"Serviço","",IF(AUTOEVENTO="manual",$A325,IF(ISERROR(MATCH($A325,$A$15:OFFSET($A325,-1,0),0)),MAX($M$15:OFFSET(M325,-1,0))+1,INDEX($M$15:OFFSET(M325,-1,0),MATCH($A325,$A$15:OFFSET($A325,-1,0),0)))))</f>
        <v>41</v>
      </c>
      <c r="N325" s="177" t="str">
        <f ca="1">IF($D325&lt;&gt;"Serviço","",IF(AUTOEVENTO="Manual",IF($A325=0,"&lt;-- defina o número do agrupador",OFFSET(EVENTOS!$D$14,$A325,0)),OFFSET($F$15,$A325,0)))</f>
        <v>INSTALAÇÃO SANITÁRIA - TUBULAÇÕES E CONEXÕES</v>
      </c>
      <c r="O325" s="178"/>
      <c r="Q325" s="178">
        <v>40</v>
      </c>
      <c r="R325" s="179"/>
      <c r="S325" s="179"/>
      <c r="T325" s="179"/>
      <c r="U325" s="179"/>
      <c r="V325" s="179"/>
      <c r="W325" s="179"/>
      <c r="X325" s="179"/>
      <c r="Y325" s="179"/>
      <c r="Z325" s="180"/>
      <c r="AA325" s="179"/>
      <c r="AB325" s="179"/>
      <c r="AC325" s="179"/>
      <c r="AD325" s="179"/>
      <c r="AE325" s="179"/>
      <c r="AF325" s="179"/>
      <c r="AG325" s="179"/>
      <c r="AH325" s="180"/>
      <c r="AJ325" s="544">
        <f ca="1">IF(AND($D325="Serviço",AJ$12&lt;&gt;0,$H325&gt;0,OR(AUTOEVENTO&lt;&gt;"manual",$M325&lt;&gt;1)),
IF(Import.TipoArredondamento&lt;&gt;"TransfereGOV",
ROUND(OFFSET($P325,0,AJ$13),15-13*ORÇAMENTO!$AF$7)/$H325*OFFSET(ORÇAMENTO!$X$15,ROW(AJ325)-ROW(AJ$15),0),
ROUND(ROUND(OFFSET($P325,0,AJ$13),15-13*ORÇAMENTO!$AF$7)*OFFSET(ORÇAMENTO!$W$15,ROW(AJ325)-ROW(AJ$15),0),15-13*ORÇAMENTO!$AF$11)),0)</f>
        <v>0</v>
      </c>
      <c r="AK325" s="545">
        <f ca="1">IF(AND($D325="Serviço",AK$12&lt;&gt;0,$H325&gt;0,OR(AUTOEVENTO&lt;&gt;"manual",$M325&lt;&gt;1)),
IF(Import.TipoArredondamento&lt;&gt;"TransfereGOV",
ROUND(OFFSET($P325,0,AK$13),15-13*ORÇAMENTO!$AF$7)/$H325*OFFSET(ORÇAMENTO!$X$15,ROW(AK325)-ROW(AK$15),0),
ROUND(ROUND(OFFSET($P325,0,AK$13),15-13*ORÇAMENTO!$AF$7)*OFFSET(ORÇAMENTO!$W$15,ROW(AK325)-ROW(AK$15),0),15-13*ORÇAMENTO!$AF$11)),0)</f>
        <v>0</v>
      </c>
      <c r="AL325" s="545">
        <f ca="1">IF(AND($D325="Serviço",AL$12&lt;&gt;0,$H325&gt;0,OR(AUTOEVENTO&lt;&gt;"manual",$M325&lt;&gt;1)),
IF(Import.TipoArredondamento&lt;&gt;"TransfereGOV",
ROUND(OFFSET($P325,0,AL$13),15-13*ORÇAMENTO!$AF$7)/$H325*OFFSET(ORÇAMENTO!$X$15,ROW(AL325)-ROW(AL$15),0),
ROUND(ROUND(OFFSET($P325,0,AL$13),15-13*ORÇAMENTO!$AF$7)*OFFSET(ORÇAMENTO!$W$15,ROW(AL325)-ROW(AL$15),0),15-13*ORÇAMENTO!$AF$11)),0)</f>
        <v>0</v>
      </c>
      <c r="AM325" s="545">
        <f ca="1">IF(AND($D325="Serviço",AM$12&lt;&gt;0,$H325&gt;0,OR(AUTOEVENTO&lt;&gt;"manual",$M325&lt;&gt;1)),
IF(Import.TipoArredondamento&lt;&gt;"TransfereGOV",
ROUND(OFFSET($P325,0,AM$13),15-13*ORÇAMENTO!$AF$7)/$H325*OFFSET(ORÇAMENTO!$X$15,ROW(AM325)-ROW(AM$15),0),
ROUND(ROUND(OFFSET($P325,0,AM$13),15-13*ORÇAMENTO!$AF$7)*OFFSET(ORÇAMENTO!$W$15,ROW(AM325)-ROW(AM$15),0),15-13*ORÇAMENTO!$AF$11)),0)</f>
        <v>0</v>
      </c>
      <c r="AN325" s="545">
        <f ca="1">IF(AND($D325="Serviço",AN$12&lt;&gt;0,$H325&gt;0,OR(AUTOEVENTO&lt;&gt;"manual",$M325&lt;&gt;1)),
IF(Import.TipoArredondamento&lt;&gt;"TransfereGOV",
ROUND(OFFSET($P325,0,AN$13),15-13*ORÇAMENTO!$AF$7)/$H325*OFFSET(ORÇAMENTO!$X$15,ROW(AN325)-ROW(AN$15),0),
ROUND(ROUND(OFFSET($P325,0,AN$13),15-13*ORÇAMENTO!$AF$7)*OFFSET(ORÇAMENTO!$W$15,ROW(AN325)-ROW(AN$15),0),15-13*ORÇAMENTO!$AF$11)),0)</f>
        <v>0</v>
      </c>
      <c r="AO325" s="545">
        <f ca="1">IF(AND($D325="Serviço",AO$12&lt;&gt;0,$H325&gt;0,OR(AUTOEVENTO&lt;&gt;"manual",$M325&lt;&gt;1)),
IF(Import.TipoArredondamento&lt;&gt;"TransfereGOV",
ROUND(OFFSET($P325,0,AO$13),15-13*ORÇAMENTO!$AF$7)/$H325*OFFSET(ORÇAMENTO!$X$15,ROW(AO325)-ROW(AO$15),0),
ROUND(ROUND(OFFSET($P325,0,AO$13),15-13*ORÇAMENTO!$AF$7)*OFFSET(ORÇAMENTO!$W$15,ROW(AO325)-ROW(AO$15),0),15-13*ORÇAMENTO!$AF$11)),0)</f>
        <v>0</v>
      </c>
      <c r="AP325" s="545">
        <f ca="1">IF(AND($D325="Serviço",AP$12&lt;&gt;0,$H325&gt;0,OR(AUTOEVENTO&lt;&gt;"manual",$M325&lt;&gt;1)),
IF(Import.TipoArredondamento&lt;&gt;"TransfereGOV",
ROUND(OFFSET($P325,0,AP$13),15-13*ORÇAMENTO!$AF$7)/$H325*OFFSET(ORÇAMENTO!$X$15,ROW(AP325)-ROW(AP$15),0),
ROUND(ROUND(OFFSET($P325,0,AP$13),15-13*ORÇAMENTO!$AF$7)*OFFSET(ORÇAMENTO!$W$15,ROW(AP325)-ROW(AP$15),0),15-13*ORÇAMENTO!$AF$11)),0)</f>
        <v>0</v>
      </c>
      <c r="AQ325" s="545">
        <f ca="1">IF(AND($D325="Serviço",AQ$12&lt;&gt;0,$H325&gt;0,OR(AUTOEVENTO&lt;&gt;"manual",$M325&lt;&gt;1)),
IF(Import.TipoArredondamento&lt;&gt;"TransfereGOV",
ROUND(OFFSET($P325,0,AQ$13),15-13*ORÇAMENTO!$AF$7)/$H325*OFFSET(ORÇAMENTO!$X$15,ROW(AQ325)-ROW(AQ$15),0),
ROUND(ROUND(OFFSET($P325,0,AQ$13),15-13*ORÇAMENTO!$AF$7)*OFFSET(ORÇAMENTO!$W$15,ROW(AQ325)-ROW(AQ$15),0),15-13*ORÇAMENTO!$AF$11)),0)</f>
        <v>0</v>
      </c>
      <c r="AR325" s="545">
        <f ca="1">IF(AND($D325="Serviço",AR$12&lt;&gt;0,$H325&gt;0,OR(AUTOEVENTO&lt;&gt;"manual",$M325&lt;&gt;1)),
IF(Import.TipoArredondamento&lt;&gt;"TransfereGOV",
ROUND(OFFSET($P325,0,AR$13),15-13*ORÇAMENTO!$AF$7)/$H325*OFFSET(ORÇAMENTO!$X$15,ROW(AR325)-ROW(AR$15),0),
ROUND(ROUND(OFFSET($P325,0,AR$13),15-13*ORÇAMENTO!$AF$7)*OFFSET(ORÇAMENTO!$W$15,ROW(AR325)-ROW(AR$15),0),15-13*ORÇAMENTO!$AF$11)),0)</f>
        <v>0</v>
      </c>
      <c r="AS325" s="546">
        <f ca="1">IF(AND($D325="Serviço",AS$12&lt;&gt;0,$H325&gt;0,OR(AUTOEVENTO&lt;&gt;"manual",$M325&lt;&gt;1)),
IF(Import.TipoArredondamento&lt;&gt;"TransfereGOV",
ROUND(OFFSET($P325,0,AS$13),15-13*ORÇAMENTO!$AF$7)/$H325*OFFSET(ORÇAMENTO!$X$15,ROW(AS325)-ROW(AS$15),0),
ROUND(ROUND(OFFSET($P325,0,AS$13),15-13*ORÇAMENTO!$AF$7)*OFFSET(ORÇAMENTO!$W$15,ROW(AS325)-ROW(AS$15),0),15-13*ORÇAMENTO!$AF$11)),0)</f>
        <v>0</v>
      </c>
      <c r="AT325" s="545">
        <f ca="1">IF(AND($D325="Serviço",AT$12&lt;&gt;0,$H325&gt;0,OR(AUTOEVENTO&lt;&gt;"manual",$M325&lt;&gt;1)),
IF(Import.TipoArredondamento&lt;&gt;"TransfereGOV",
ROUND(OFFSET($P325,0,AT$13),15-13*ORÇAMENTO!$AF$7)/$H325*OFFSET(ORÇAMENTO!$X$15,ROW(AT325)-ROW(AT$15),0),
ROUND(ROUND(OFFSET($P325,0,AT$13),15-13*ORÇAMENTO!$AF$7)*OFFSET(ORÇAMENTO!$W$15,ROW(AT325)-ROW(AT$15),0),15-13*ORÇAMENTO!$AF$11)),0)</f>
        <v>0</v>
      </c>
      <c r="AU325" s="545">
        <f ca="1">IF(AND($D325="Serviço",AU$12&lt;&gt;0,$H325&gt;0,OR(AUTOEVENTO&lt;&gt;"manual",$M325&lt;&gt;1)),
IF(Import.TipoArredondamento&lt;&gt;"TransfereGOV",
ROUND(OFFSET($P325,0,AU$13),15-13*ORÇAMENTO!$AF$7)/$H325*OFFSET(ORÇAMENTO!$X$15,ROW(AU325)-ROW(AU$15),0),
ROUND(ROUND(OFFSET($P325,0,AU$13),15-13*ORÇAMENTO!$AF$7)*OFFSET(ORÇAMENTO!$W$15,ROW(AU325)-ROW(AU$15),0),15-13*ORÇAMENTO!$AF$11)),0)</f>
        <v>0</v>
      </c>
      <c r="AV325" s="545">
        <f ca="1">IF(AND($D325="Serviço",AV$12&lt;&gt;0,$H325&gt;0,OR(AUTOEVENTO&lt;&gt;"manual",$M325&lt;&gt;1)),
IF(Import.TipoArredondamento&lt;&gt;"TransfereGOV",
ROUND(OFFSET($P325,0,AV$13),15-13*ORÇAMENTO!$AF$7)/$H325*OFFSET(ORÇAMENTO!$X$15,ROW(AV325)-ROW(AV$15),0),
ROUND(ROUND(OFFSET($P325,0,AV$13),15-13*ORÇAMENTO!$AF$7)*OFFSET(ORÇAMENTO!$W$15,ROW(AV325)-ROW(AV$15),0),15-13*ORÇAMENTO!$AF$11)),0)</f>
        <v>0</v>
      </c>
      <c r="AW325" s="545">
        <f ca="1">IF(AND($D325="Serviço",AW$12&lt;&gt;0,$H325&gt;0,OR(AUTOEVENTO&lt;&gt;"manual",$M325&lt;&gt;1)),
IF(Import.TipoArredondamento&lt;&gt;"TransfereGOV",
ROUND(OFFSET($P325,0,AW$13),15-13*ORÇAMENTO!$AF$7)/$H325*OFFSET(ORÇAMENTO!$X$15,ROW(AW325)-ROW(AW$15),0),
ROUND(ROUND(OFFSET($P325,0,AW$13),15-13*ORÇAMENTO!$AF$7)*OFFSET(ORÇAMENTO!$W$15,ROW(AW325)-ROW(AW$15),0),15-13*ORÇAMENTO!$AF$11)),0)</f>
        <v>0</v>
      </c>
      <c r="AX325" s="545">
        <f ca="1">IF(AND($D325="Serviço",AX$12&lt;&gt;0,$H325&gt;0,OR(AUTOEVENTO&lt;&gt;"manual",$M325&lt;&gt;1)),
IF(Import.TipoArredondamento&lt;&gt;"TransfereGOV",
ROUND(OFFSET($P325,0,AX$13),15-13*ORÇAMENTO!$AF$7)/$H325*OFFSET(ORÇAMENTO!$X$15,ROW(AX325)-ROW(AX$15),0),
ROUND(ROUND(OFFSET($P325,0,AX$13),15-13*ORÇAMENTO!$AF$7)*OFFSET(ORÇAMENTO!$W$15,ROW(AX325)-ROW(AX$15),0),15-13*ORÇAMENTO!$AF$11)),0)</f>
        <v>0</v>
      </c>
      <c r="AY325" s="545">
        <f ca="1">IF(AND($D325="Serviço",AY$12&lt;&gt;0,$H325&gt;0,OR(AUTOEVENTO&lt;&gt;"manual",$M325&lt;&gt;1)),
IF(Import.TipoArredondamento&lt;&gt;"TransfereGOV",
ROUND(OFFSET($P325,0,AY$13),15-13*ORÇAMENTO!$AF$7)/$H325*OFFSET(ORÇAMENTO!$X$15,ROW(AY325)-ROW(AY$15),0),
ROUND(ROUND(OFFSET($P325,0,AY$13),15-13*ORÇAMENTO!$AF$7)*OFFSET(ORÇAMENTO!$W$15,ROW(AY325)-ROW(AY$15),0),15-13*ORÇAMENTO!$AF$11)),0)</f>
        <v>0</v>
      </c>
      <c r="AZ325" s="545">
        <f ca="1">IF(AND($D325="Serviço",AZ$12&lt;&gt;0,$H325&gt;0,OR(AUTOEVENTO&lt;&gt;"manual",$M325&lt;&gt;1)),
IF(Import.TipoArredondamento&lt;&gt;"TransfereGOV",
ROUND(OFFSET($P325,0,AZ$13),15-13*ORÇAMENTO!$AF$7)/$H325*OFFSET(ORÇAMENTO!$X$15,ROW(AZ325)-ROW(AZ$15),0),
ROUND(ROUND(OFFSET($P325,0,AZ$13),15-13*ORÇAMENTO!$AF$7)*OFFSET(ORÇAMENTO!$W$15,ROW(AZ325)-ROW(AZ$15),0),15-13*ORÇAMENTO!$AF$11)),0)</f>
        <v>0</v>
      </c>
      <c r="BA325" s="546">
        <f ca="1">IF(AND($D325="Serviço",BA$12&lt;&gt;0,$H325&gt;0,OR(AUTOEVENTO&lt;&gt;"manual",$M325&lt;&gt;1)),
IF(Import.TipoArredondamento&lt;&gt;"TransfereGOV",
ROUND(OFFSET($P325,0,BA$13),15-13*ORÇAMENTO!$AF$7)/$H325*OFFSET(ORÇAMENTO!$X$15,ROW(BA325)-ROW(BA$15),0),
ROUND(ROUND(OFFSET($P325,0,BA$13),15-13*ORÇAMENTO!$AF$7)*OFFSET(ORÇAMENTO!$W$15,ROW(BA325)-ROW(BA$15),0),15-13*ORÇAMENTO!$AF$11)),0)</f>
        <v>0</v>
      </c>
      <c r="BC325" s="181">
        <f ca="1">IF($D325&lt;&gt;"Serviço",0,IF(AND(AUTOEVENTO="Manual",$M325=1),0,IF(OFFSET(CRONOPLE!$F$14,$M325,BC$13)="",10^12,OFFSET(CRONOPLE!$F$14,$M325,BC$13))))</f>
        <v>9</v>
      </c>
      <c r="BD325" s="181">
        <f ca="1">IF($D325&lt;&gt;"Serviço",0,IF(AND(AUTOEVENTO="Manual",$M325=1),0,IF(OFFSET(CRONOPLE!$F$14,$M325,BD$13)="",10^12,OFFSET(CRONOPLE!$F$14,$M325,BD$13))))</f>
        <v>1000000000000</v>
      </c>
      <c r="BE325" s="181">
        <f ca="1">IF($D325&lt;&gt;"Serviço",0,IF(AND(AUTOEVENTO="Manual",$M325=1),0,IF(OFFSET(CRONOPLE!$F$14,$M325,BE$13)="",10^12,OFFSET(CRONOPLE!$F$14,$M325,BE$13))))</f>
        <v>1000000000000</v>
      </c>
      <c r="BF325" s="181">
        <f ca="1">IF($D325&lt;&gt;"Serviço",0,IF(AND(AUTOEVENTO="Manual",$M325=1),0,IF(OFFSET(CRONOPLE!$F$14,$M325,BF$13)="",10^12,OFFSET(CRONOPLE!$F$14,$M325,BF$13))))</f>
        <v>1000000000000</v>
      </c>
      <c r="BG325" s="181">
        <f ca="1">IF($D325&lt;&gt;"Serviço",0,IF(AND(AUTOEVENTO="Manual",$M325=1),0,IF(OFFSET(CRONOPLE!$F$14,$M325,BG$13)="",10^12,OFFSET(CRONOPLE!$F$14,$M325,BG$13))))</f>
        <v>1000000000000</v>
      </c>
      <c r="BH325" s="181">
        <f ca="1">IF($D325&lt;&gt;"Serviço",0,IF(AND(AUTOEVENTO="Manual",$M325=1),0,IF(OFFSET(CRONOPLE!$F$14,$M325,BH$13)="",10^12,OFFSET(CRONOPLE!$F$14,$M325,BH$13))))</f>
        <v>1000000000000</v>
      </c>
      <c r="BI325" s="181">
        <f ca="1">IF($D325&lt;&gt;"Serviço",0,IF(AND(AUTOEVENTO="Manual",$M325=1),0,IF(OFFSET(CRONOPLE!$F$14,$M325,BI$13)="",10^12,OFFSET(CRONOPLE!$F$14,$M325,BI$13))))</f>
        <v>1000000000000</v>
      </c>
      <c r="BJ325" s="181">
        <f ca="1">IF($D325&lt;&gt;"Serviço",0,IF(AND(AUTOEVENTO="Manual",$M325=1),0,IF(OFFSET(CRONOPLE!$F$14,$M325,BJ$13)="",10^12,OFFSET(CRONOPLE!$F$14,$M325,BJ$13))))</f>
        <v>1000000000000</v>
      </c>
      <c r="BK325" s="181">
        <f ca="1">IF($D325&lt;&gt;"Serviço",0,IF(AND(AUTOEVENTO="Manual",$M325=1),0,IF(OFFSET(CRONOPLE!$F$14,$M325,BK$13)="",10^12,OFFSET(CRONOPLE!$F$14,$M325,BK$13))))</f>
        <v>1000000000000</v>
      </c>
      <c r="BL325" s="181">
        <f ca="1">IF($D325&lt;&gt;"Serviço",0,IF(AND(AUTOEVENTO="Manual",$M325=1),0,IF(OFFSET(CRONOPLE!$F$14,$M325,BL$13)="",10^12,OFFSET(CRONOPLE!$F$14,$M325,BL$13))))</f>
        <v>1000000000000</v>
      </c>
      <c r="BM325" s="181">
        <f ca="1">IF($D325&lt;&gt;"Serviço",0,IF(AND(AUTOEVENTO="Manual",$M325=1),0,IF(OFFSET(CRONOPLE!$F$14,$M325,BM$13)="",10^12,OFFSET(CRONOPLE!$F$14,$M325,BM$13))))</f>
        <v>1000000000000</v>
      </c>
      <c r="BN325" s="181">
        <f ca="1">IF($D325&lt;&gt;"Serviço",0,IF(AND(AUTOEVENTO="Manual",$M325=1),0,IF(OFFSET(CRONOPLE!$F$14,$M325,BN$13)="",10^12,OFFSET(CRONOPLE!$F$14,$M325,BN$13))))</f>
        <v>1000000000000</v>
      </c>
      <c r="BO325" s="181">
        <f ca="1">IF($D325&lt;&gt;"Serviço",0,IF(AND(AUTOEVENTO="Manual",$M325=1),0,IF(OFFSET(CRONOPLE!$F$14,$M325,BO$13)="",10^12,OFFSET(CRONOPLE!$F$14,$M325,BO$13))))</f>
        <v>1000000000000</v>
      </c>
      <c r="BP325" s="181">
        <f ca="1">IF($D325&lt;&gt;"Serviço",0,IF(AND(AUTOEVENTO="Manual",$M325=1),0,IF(OFFSET(CRONOPLE!$F$14,$M325,BP$13)="",10^12,OFFSET(CRONOPLE!$F$14,$M325,BP$13))))</f>
        <v>1000000000000</v>
      </c>
      <c r="BQ325" s="181">
        <f ca="1">IF($D325&lt;&gt;"Serviço",0,IF(AND(AUTOEVENTO="Manual",$M325=1),0,IF(OFFSET(CRONOPLE!$F$14,$M325,BQ$13)="",10^12,OFFSET(CRONOPLE!$F$14,$M325,BQ$13))))</f>
        <v>1000000000000</v>
      </c>
      <c r="BR325" s="181">
        <f ca="1">IF($D325&lt;&gt;"Serviço",0,IF(AND(AUTOEVENTO="Manual",$M325=1),0,IF(OFFSET(CRONOPLE!$F$14,$M325,BR$13)="",10^12,OFFSET(CRONOPLE!$F$14,$M325,BR$13))))</f>
        <v>1000000000000</v>
      </c>
      <c r="BS325" s="181">
        <f ca="1">IF($D325&lt;&gt;"Serviço",0,IF(AND(AUTOEVENTO="Manual",$M325=1),0,IF(OFFSET(CRONOPLE!$F$14,$M325,BS$13)="",10^12,OFFSET(CRONOPLE!$F$14,$M325,BS$13))))</f>
        <v>1000000000000</v>
      </c>
      <c r="BT325" s="181">
        <f ca="1">IF($D325&lt;&gt;"Serviço",0,IF(AND(AUTOEVENTO="Manual",$M325=1),0,IF(OFFSET(CRONOPLE!$F$14,$M325,BT$13)="",10^12,OFFSET(CRONOPLE!$F$14,$M325,BT$13))))</f>
        <v>1000000000000</v>
      </c>
      <c r="BV325" s="182">
        <f ca="1">IF($D325&lt;&gt;"Serviço",0,IF(OR(AND(AUTOEVENTO="Manual",$M325=1),$M325&gt;(ROW(PLE.lastrow)-ROW(PLE.firstrow))),0,IF(OFFSET(PLE!$G$14,$M325,BV$13)="",10^12,OFFSET(PLE!$G$14,$M325,BV$13))))</f>
        <v>1000000000000</v>
      </c>
      <c r="BW325" s="182">
        <f ca="1">IF($D325&lt;&gt;"Serviço",0,IF(OR(AND(AUTOEVENTO="Manual",$M325=1),$M325&gt;(ROW(PLE.lastrow)-ROW(PLE.firstrow))),0,IF(OFFSET(PLE!$G$14,$M325,BW$13)="",10^12,OFFSET(PLE!$G$14,$M325,BW$13))))</f>
        <v>1000000000000</v>
      </c>
      <c r="BX325" s="182">
        <f ca="1">IF($D325&lt;&gt;"Serviço",0,IF(OR(AND(AUTOEVENTO="Manual",$M325=1),$M325&gt;(ROW(PLE.lastrow)-ROW(PLE.firstrow))),0,IF(OFFSET(PLE!$G$14,$M325,BX$13)="",10^12,OFFSET(PLE!$G$14,$M325,BX$13))))</f>
        <v>1000000000000</v>
      </c>
      <c r="BY325" s="182">
        <f ca="1">IF($D325&lt;&gt;"Serviço",0,IF(OR(AND(AUTOEVENTO="Manual",$M325=1),$M325&gt;(ROW(PLE.lastrow)-ROW(PLE.firstrow))),0,IF(OFFSET(PLE!$G$14,$M325,BY$13)="",10^12,OFFSET(PLE!$G$14,$M325,BY$13))))</f>
        <v>1000000000000</v>
      </c>
      <c r="BZ325" s="182">
        <f ca="1">IF($D325&lt;&gt;"Serviço",0,IF(OR(AND(AUTOEVENTO="Manual",$M325=1),$M325&gt;(ROW(PLE.lastrow)-ROW(PLE.firstrow))),0,IF(OFFSET(PLE!$G$14,$M325,BZ$13)="",10^12,OFFSET(PLE!$G$14,$M325,BZ$13))))</f>
        <v>1000000000000</v>
      </c>
      <c r="CA325" s="182">
        <f ca="1">IF($D325&lt;&gt;"Serviço",0,IF(OR(AND(AUTOEVENTO="Manual",$M325=1),$M325&gt;(ROW(PLE.lastrow)-ROW(PLE.firstrow))),0,IF(OFFSET(PLE!$G$14,$M325,CA$13)="",10^12,OFFSET(PLE!$G$14,$M325,CA$13))))</f>
        <v>1000000000000</v>
      </c>
      <c r="CB325" s="182">
        <f ca="1">IF($D325&lt;&gt;"Serviço",0,IF(OR(AND(AUTOEVENTO="Manual",$M325=1),$M325&gt;(ROW(PLE.lastrow)-ROW(PLE.firstrow))),0,IF(OFFSET(PLE!$G$14,$M325,CB$13)="",10^12,OFFSET(PLE!$G$14,$M325,CB$13))))</f>
        <v>1000000000000</v>
      </c>
      <c r="CC325" s="182">
        <f ca="1">IF($D325&lt;&gt;"Serviço",0,IF(OR(AND(AUTOEVENTO="Manual",$M325=1),$M325&gt;(ROW(PLE.lastrow)-ROW(PLE.firstrow))),0,IF(OFFSET(PLE!$G$14,$M325,CC$13)="",10^12,OFFSET(PLE!$G$14,$M325,CC$13))))</f>
        <v>1000000000000</v>
      </c>
      <c r="CD325" s="182">
        <f ca="1">IF($D325&lt;&gt;"Serviço",0,IF(OR(AND(AUTOEVENTO="Manual",$M325=1),$M325&gt;(ROW(PLE.lastrow)-ROW(PLE.firstrow))),0,IF(OFFSET(PLE!$G$14,$M325,CD$13)="",10^12,OFFSET(PLE!$G$14,$M325,CD$13))))</f>
        <v>1000000000000</v>
      </c>
      <c r="CE325" s="182">
        <f ca="1">IF($D325&lt;&gt;"Serviço",0,IF(OR(AND(AUTOEVENTO="Manual",$M325=1),$M325&gt;(ROW(PLE.lastrow)-ROW(PLE.firstrow))),0,IF(OFFSET(PLE!$G$14,$M325,CE$13)="",10^12,OFFSET(PLE!$G$14,$M325,CE$13))))</f>
        <v>1000000000000</v>
      </c>
      <c r="CF325" s="182">
        <f ca="1">IF($D325&lt;&gt;"Serviço",0,IF(OR(AND(AUTOEVENTO="Manual",$M325=1),$M325&gt;(ROW(PLE.lastrow)-ROW(PLE.firstrow))),0,IF(OFFSET(PLE!$G$14,$M325,CF$13)="",10^12,OFFSET(PLE!$G$14,$M325,CF$13))))</f>
        <v>1000000000000</v>
      </c>
      <c r="CG325" s="182">
        <f ca="1">IF($D325&lt;&gt;"Serviço",0,IF(OR(AND(AUTOEVENTO="Manual",$M325=1),$M325&gt;(ROW(PLE.lastrow)-ROW(PLE.firstrow))),0,IF(OFFSET(PLE!$G$14,$M325,CG$13)="",10^12,OFFSET(PLE!$G$14,$M325,CG$13))))</f>
        <v>1000000000000</v>
      </c>
      <c r="CH325" s="182">
        <f ca="1">IF($D325&lt;&gt;"Serviço",0,IF(OR(AND(AUTOEVENTO="Manual",$M325=1),$M325&gt;(ROW(PLE.lastrow)-ROW(PLE.firstrow))),0,IF(OFFSET(PLE!$G$14,$M325,CH$13)="",10^12,OFFSET(PLE!$G$14,$M325,CH$13))))</f>
        <v>1000000000000</v>
      </c>
      <c r="CI325" s="182">
        <f ca="1">IF($D325&lt;&gt;"Serviço",0,IF(OR(AND(AUTOEVENTO="Manual",$M325=1),$M325&gt;(ROW(PLE.lastrow)-ROW(PLE.firstrow))),0,IF(OFFSET(PLE!$G$14,$M325,CI$13)="",10^12,OFFSET(PLE!$G$14,$M325,CI$13))))</f>
        <v>1000000000000</v>
      </c>
      <c r="CJ325" s="182">
        <f ca="1">IF($D325&lt;&gt;"Serviço",0,IF(OR(AND(AUTOEVENTO="Manual",$M325=1),$M325&gt;(ROW(PLE.lastrow)-ROW(PLE.firstrow))),0,IF(OFFSET(PLE!$G$14,$M325,CJ$13)="",10^12,OFFSET(PLE!$G$14,$M325,CJ$13))))</f>
        <v>1000000000000</v>
      </c>
      <c r="CK325" s="182">
        <f ca="1">IF($D325&lt;&gt;"Serviço",0,IF(OR(AND(AUTOEVENTO="Manual",$M325=1),$M325&gt;(ROW(PLE.lastrow)-ROW(PLE.firstrow))),0,IF(OFFSET(PLE!$G$14,$M325,CK$13)="",10^12,OFFSET(PLE!$G$14,$M325,CK$13))))</f>
        <v>1000000000000</v>
      </c>
      <c r="CL325" s="182">
        <f ca="1">IF($D325&lt;&gt;"Serviço",0,IF(OR(AND(AUTOEVENTO="Manual",$M325=1),$M325&gt;(ROW(PLE.lastrow)-ROW(PLE.firstrow))),0,IF(OFFSET(PLE!$G$14,$M325,CL$13)="",10^12,OFFSET(PLE!$G$14,$M325,CL$13))))</f>
        <v>1000000000000</v>
      </c>
      <c r="CM325" s="182">
        <f ca="1">IF($D325&lt;&gt;"Serviço",0,IF(OR(AND(AUTOEVENTO="Manual",$M325=1),$M325&gt;(ROW(PLE.lastrow)-ROW(PLE.firstrow))),0,IF(OFFSET(PLE!$G$14,$M325,CM$13)="",10^12,OFFSET(PLE!$G$14,$M325,CM$13))))</f>
        <v>1000000000000</v>
      </c>
    </row>
    <row r="326" spans="1:91" ht="38.25" x14ac:dyDescent="0.2">
      <c r="A326" s="7" t="str">
        <f t="shared" ca="1" si="12"/>
        <v>304</v>
      </c>
      <c r="B326" s="7" t="str">
        <f ca="1">OFFSET(ORÇAMENTO!C$15,ROW(B326)-ROW(B$15),0)</f>
        <v>S</v>
      </c>
      <c r="C326" s="7" t="str">
        <f ca="1">OFFSET(ORÇAMENTO!L$15,ROW(C326)-ROW(C$15),0)</f>
        <v/>
      </c>
      <c r="D326" s="118" t="str">
        <f ca="1">OFFSET(ORÇAMENTO!N$15,ROW(D326)-ROW(D$15),0)</f>
        <v>Serviço</v>
      </c>
      <c r="E326" s="119" t="str">
        <f ca="1">OFFSET(ORÇAMENTO!O$15,ROW(E326)-ROW(E$15),0)</f>
        <v>-</v>
      </c>
      <c r="F326" s="172" t="str">
        <f ca="1">OFFSET(ORÇAMENTO!R$15,ROW(F326)-ROW(F$15),0)</f>
        <v>(abra o arquivo 'Referência 06-2024.xlsm)</v>
      </c>
      <c r="G326" s="173" t="str">
        <f ca="1">IF($D326&lt;&gt;"Serviço","",OFFSET(ORÇAMENTO!S$15,ROW(G326)-ROW(G$15),0))</f>
        <v>-</v>
      </c>
      <c r="H326" s="124">
        <f ca="1">IF($D326&lt;&gt;"Serviço",0,IF(ACOMPANHAMENTO="BM",ROUND(OFFSET(ORÇAMENTO!AJ$15,ROW(H326)-ROW(H$15),0),15-13*ORÇAMENTO!$AF$7),SUMPRODUCT(($Q$12:$AI$12&lt;&gt;"")*ROUND($Q326:$AI326,15-13*ORÇAMENTO!$AF$7))))</f>
        <v>60</v>
      </c>
      <c r="I326" s="561" t="s">
        <v>1107</v>
      </c>
      <c r="K326" s="174"/>
      <c r="L326" s="175" t="s">
        <v>255</v>
      </c>
      <c r="M326" s="176">
        <f ca="1">IF($D326&lt;&gt;"Serviço","",IF(AUTOEVENTO="manual",$A326,IF(ISERROR(MATCH($A326,$A$15:OFFSET($A326,-1,0),0)),MAX($M$15:OFFSET(M326,-1,0))+1,INDEX($M$15:OFFSET(M326,-1,0),MATCH($A326,$A$15:OFFSET($A326,-1,0),0)))))</f>
        <v>41</v>
      </c>
      <c r="N326" s="177" t="str">
        <f ca="1">IF($D326&lt;&gt;"Serviço","",IF(AUTOEVENTO="Manual",IF($A326=0,"&lt;-- defina o número do agrupador",OFFSET(EVENTOS!$D$14,$A326,0)),OFFSET($F$15,$A326,0)))</f>
        <v>INSTALAÇÃO SANITÁRIA - TUBULAÇÕES E CONEXÕES</v>
      </c>
      <c r="O326" s="178"/>
      <c r="Q326" s="178">
        <v>60</v>
      </c>
      <c r="R326" s="179"/>
      <c r="S326" s="179"/>
      <c r="T326" s="179"/>
      <c r="U326" s="179"/>
      <c r="V326" s="179"/>
      <c r="W326" s="179"/>
      <c r="X326" s="179"/>
      <c r="Y326" s="179"/>
      <c r="Z326" s="180"/>
      <c r="AA326" s="179"/>
      <c r="AB326" s="179"/>
      <c r="AC326" s="179"/>
      <c r="AD326" s="179"/>
      <c r="AE326" s="179"/>
      <c r="AF326" s="179"/>
      <c r="AG326" s="179"/>
      <c r="AH326" s="180"/>
      <c r="AJ326" s="544">
        <f ca="1">IF(AND($D326="Serviço",AJ$12&lt;&gt;0,$H326&gt;0,OR(AUTOEVENTO&lt;&gt;"manual",$M326&lt;&gt;1)),
IF(Import.TipoArredondamento&lt;&gt;"TransfereGOV",
ROUND(OFFSET($P326,0,AJ$13),15-13*ORÇAMENTO!$AF$7)/$H326*OFFSET(ORÇAMENTO!$X$15,ROW(AJ326)-ROW(AJ$15),0),
ROUND(ROUND(OFFSET($P326,0,AJ$13),15-13*ORÇAMENTO!$AF$7)*OFFSET(ORÇAMENTO!$W$15,ROW(AJ326)-ROW(AJ$15),0),15-13*ORÇAMENTO!$AF$11)),0)</f>
        <v>0</v>
      </c>
      <c r="AK326" s="545">
        <f ca="1">IF(AND($D326="Serviço",AK$12&lt;&gt;0,$H326&gt;0,OR(AUTOEVENTO&lt;&gt;"manual",$M326&lt;&gt;1)),
IF(Import.TipoArredondamento&lt;&gt;"TransfereGOV",
ROUND(OFFSET($P326,0,AK$13),15-13*ORÇAMENTO!$AF$7)/$H326*OFFSET(ORÇAMENTO!$X$15,ROW(AK326)-ROW(AK$15),0),
ROUND(ROUND(OFFSET($P326,0,AK$13),15-13*ORÇAMENTO!$AF$7)*OFFSET(ORÇAMENTO!$W$15,ROW(AK326)-ROW(AK$15),0),15-13*ORÇAMENTO!$AF$11)),0)</f>
        <v>0</v>
      </c>
      <c r="AL326" s="545">
        <f ca="1">IF(AND($D326="Serviço",AL$12&lt;&gt;0,$H326&gt;0,OR(AUTOEVENTO&lt;&gt;"manual",$M326&lt;&gt;1)),
IF(Import.TipoArredondamento&lt;&gt;"TransfereGOV",
ROUND(OFFSET($P326,0,AL$13),15-13*ORÇAMENTO!$AF$7)/$H326*OFFSET(ORÇAMENTO!$X$15,ROW(AL326)-ROW(AL$15),0),
ROUND(ROUND(OFFSET($P326,0,AL$13),15-13*ORÇAMENTO!$AF$7)*OFFSET(ORÇAMENTO!$W$15,ROW(AL326)-ROW(AL$15),0),15-13*ORÇAMENTO!$AF$11)),0)</f>
        <v>0</v>
      </c>
      <c r="AM326" s="545">
        <f ca="1">IF(AND($D326="Serviço",AM$12&lt;&gt;0,$H326&gt;0,OR(AUTOEVENTO&lt;&gt;"manual",$M326&lt;&gt;1)),
IF(Import.TipoArredondamento&lt;&gt;"TransfereGOV",
ROUND(OFFSET($P326,0,AM$13),15-13*ORÇAMENTO!$AF$7)/$H326*OFFSET(ORÇAMENTO!$X$15,ROW(AM326)-ROW(AM$15),0),
ROUND(ROUND(OFFSET($P326,0,AM$13),15-13*ORÇAMENTO!$AF$7)*OFFSET(ORÇAMENTO!$W$15,ROW(AM326)-ROW(AM$15),0),15-13*ORÇAMENTO!$AF$11)),0)</f>
        <v>0</v>
      </c>
      <c r="AN326" s="545">
        <f ca="1">IF(AND($D326="Serviço",AN$12&lt;&gt;0,$H326&gt;0,OR(AUTOEVENTO&lt;&gt;"manual",$M326&lt;&gt;1)),
IF(Import.TipoArredondamento&lt;&gt;"TransfereGOV",
ROUND(OFFSET($P326,0,AN$13),15-13*ORÇAMENTO!$AF$7)/$H326*OFFSET(ORÇAMENTO!$X$15,ROW(AN326)-ROW(AN$15),0),
ROUND(ROUND(OFFSET($P326,0,AN$13),15-13*ORÇAMENTO!$AF$7)*OFFSET(ORÇAMENTO!$W$15,ROW(AN326)-ROW(AN$15),0),15-13*ORÇAMENTO!$AF$11)),0)</f>
        <v>0</v>
      </c>
      <c r="AO326" s="545">
        <f ca="1">IF(AND($D326="Serviço",AO$12&lt;&gt;0,$H326&gt;0,OR(AUTOEVENTO&lt;&gt;"manual",$M326&lt;&gt;1)),
IF(Import.TipoArredondamento&lt;&gt;"TransfereGOV",
ROUND(OFFSET($P326,0,AO$13),15-13*ORÇAMENTO!$AF$7)/$H326*OFFSET(ORÇAMENTO!$X$15,ROW(AO326)-ROW(AO$15),0),
ROUND(ROUND(OFFSET($P326,0,AO$13),15-13*ORÇAMENTO!$AF$7)*OFFSET(ORÇAMENTO!$W$15,ROW(AO326)-ROW(AO$15),0),15-13*ORÇAMENTO!$AF$11)),0)</f>
        <v>0</v>
      </c>
      <c r="AP326" s="545">
        <f ca="1">IF(AND($D326="Serviço",AP$12&lt;&gt;0,$H326&gt;0,OR(AUTOEVENTO&lt;&gt;"manual",$M326&lt;&gt;1)),
IF(Import.TipoArredondamento&lt;&gt;"TransfereGOV",
ROUND(OFFSET($P326,0,AP$13),15-13*ORÇAMENTO!$AF$7)/$H326*OFFSET(ORÇAMENTO!$X$15,ROW(AP326)-ROW(AP$15),0),
ROUND(ROUND(OFFSET($P326,0,AP$13),15-13*ORÇAMENTO!$AF$7)*OFFSET(ORÇAMENTO!$W$15,ROW(AP326)-ROW(AP$15),0),15-13*ORÇAMENTO!$AF$11)),0)</f>
        <v>0</v>
      </c>
      <c r="AQ326" s="545">
        <f ca="1">IF(AND($D326="Serviço",AQ$12&lt;&gt;0,$H326&gt;0,OR(AUTOEVENTO&lt;&gt;"manual",$M326&lt;&gt;1)),
IF(Import.TipoArredondamento&lt;&gt;"TransfereGOV",
ROUND(OFFSET($P326,0,AQ$13),15-13*ORÇAMENTO!$AF$7)/$H326*OFFSET(ORÇAMENTO!$X$15,ROW(AQ326)-ROW(AQ$15),0),
ROUND(ROUND(OFFSET($P326,0,AQ$13),15-13*ORÇAMENTO!$AF$7)*OFFSET(ORÇAMENTO!$W$15,ROW(AQ326)-ROW(AQ$15),0),15-13*ORÇAMENTO!$AF$11)),0)</f>
        <v>0</v>
      </c>
      <c r="AR326" s="545">
        <f ca="1">IF(AND($D326="Serviço",AR$12&lt;&gt;0,$H326&gt;0,OR(AUTOEVENTO&lt;&gt;"manual",$M326&lt;&gt;1)),
IF(Import.TipoArredondamento&lt;&gt;"TransfereGOV",
ROUND(OFFSET($P326,0,AR$13),15-13*ORÇAMENTO!$AF$7)/$H326*OFFSET(ORÇAMENTO!$X$15,ROW(AR326)-ROW(AR$15),0),
ROUND(ROUND(OFFSET($P326,0,AR$13),15-13*ORÇAMENTO!$AF$7)*OFFSET(ORÇAMENTO!$W$15,ROW(AR326)-ROW(AR$15),0),15-13*ORÇAMENTO!$AF$11)),0)</f>
        <v>0</v>
      </c>
      <c r="AS326" s="546">
        <f ca="1">IF(AND($D326="Serviço",AS$12&lt;&gt;0,$H326&gt;0,OR(AUTOEVENTO&lt;&gt;"manual",$M326&lt;&gt;1)),
IF(Import.TipoArredondamento&lt;&gt;"TransfereGOV",
ROUND(OFFSET($P326,0,AS$13),15-13*ORÇAMENTO!$AF$7)/$H326*OFFSET(ORÇAMENTO!$X$15,ROW(AS326)-ROW(AS$15),0),
ROUND(ROUND(OFFSET($P326,0,AS$13),15-13*ORÇAMENTO!$AF$7)*OFFSET(ORÇAMENTO!$W$15,ROW(AS326)-ROW(AS$15),0),15-13*ORÇAMENTO!$AF$11)),0)</f>
        <v>0</v>
      </c>
      <c r="AT326" s="545">
        <f ca="1">IF(AND($D326="Serviço",AT$12&lt;&gt;0,$H326&gt;0,OR(AUTOEVENTO&lt;&gt;"manual",$M326&lt;&gt;1)),
IF(Import.TipoArredondamento&lt;&gt;"TransfereGOV",
ROUND(OFFSET($P326,0,AT$13),15-13*ORÇAMENTO!$AF$7)/$H326*OFFSET(ORÇAMENTO!$X$15,ROW(AT326)-ROW(AT$15),0),
ROUND(ROUND(OFFSET($P326,0,AT$13),15-13*ORÇAMENTO!$AF$7)*OFFSET(ORÇAMENTO!$W$15,ROW(AT326)-ROW(AT$15),0),15-13*ORÇAMENTO!$AF$11)),0)</f>
        <v>0</v>
      </c>
      <c r="AU326" s="545">
        <f ca="1">IF(AND($D326="Serviço",AU$12&lt;&gt;0,$H326&gt;0,OR(AUTOEVENTO&lt;&gt;"manual",$M326&lt;&gt;1)),
IF(Import.TipoArredondamento&lt;&gt;"TransfereGOV",
ROUND(OFFSET($P326,0,AU$13),15-13*ORÇAMENTO!$AF$7)/$H326*OFFSET(ORÇAMENTO!$X$15,ROW(AU326)-ROW(AU$15),0),
ROUND(ROUND(OFFSET($P326,0,AU$13),15-13*ORÇAMENTO!$AF$7)*OFFSET(ORÇAMENTO!$W$15,ROW(AU326)-ROW(AU$15),0),15-13*ORÇAMENTO!$AF$11)),0)</f>
        <v>0</v>
      </c>
      <c r="AV326" s="545">
        <f ca="1">IF(AND($D326="Serviço",AV$12&lt;&gt;0,$H326&gt;0,OR(AUTOEVENTO&lt;&gt;"manual",$M326&lt;&gt;1)),
IF(Import.TipoArredondamento&lt;&gt;"TransfereGOV",
ROUND(OFFSET($P326,0,AV$13),15-13*ORÇAMENTO!$AF$7)/$H326*OFFSET(ORÇAMENTO!$X$15,ROW(AV326)-ROW(AV$15),0),
ROUND(ROUND(OFFSET($P326,0,AV$13),15-13*ORÇAMENTO!$AF$7)*OFFSET(ORÇAMENTO!$W$15,ROW(AV326)-ROW(AV$15),0),15-13*ORÇAMENTO!$AF$11)),0)</f>
        <v>0</v>
      </c>
      <c r="AW326" s="545">
        <f ca="1">IF(AND($D326="Serviço",AW$12&lt;&gt;0,$H326&gt;0,OR(AUTOEVENTO&lt;&gt;"manual",$M326&lt;&gt;1)),
IF(Import.TipoArredondamento&lt;&gt;"TransfereGOV",
ROUND(OFFSET($P326,0,AW$13),15-13*ORÇAMENTO!$AF$7)/$H326*OFFSET(ORÇAMENTO!$X$15,ROW(AW326)-ROW(AW$15),0),
ROUND(ROUND(OFFSET($P326,0,AW$13),15-13*ORÇAMENTO!$AF$7)*OFFSET(ORÇAMENTO!$W$15,ROW(AW326)-ROW(AW$15),0),15-13*ORÇAMENTO!$AF$11)),0)</f>
        <v>0</v>
      </c>
      <c r="AX326" s="545">
        <f ca="1">IF(AND($D326="Serviço",AX$12&lt;&gt;0,$H326&gt;0,OR(AUTOEVENTO&lt;&gt;"manual",$M326&lt;&gt;1)),
IF(Import.TipoArredondamento&lt;&gt;"TransfereGOV",
ROUND(OFFSET($P326,0,AX$13),15-13*ORÇAMENTO!$AF$7)/$H326*OFFSET(ORÇAMENTO!$X$15,ROW(AX326)-ROW(AX$15),0),
ROUND(ROUND(OFFSET($P326,0,AX$13),15-13*ORÇAMENTO!$AF$7)*OFFSET(ORÇAMENTO!$W$15,ROW(AX326)-ROW(AX$15),0),15-13*ORÇAMENTO!$AF$11)),0)</f>
        <v>0</v>
      </c>
      <c r="AY326" s="545">
        <f ca="1">IF(AND($D326="Serviço",AY$12&lt;&gt;0,$H326&gt;0,OR(AUTOEVENTO&lt;&gt;"manual",$M326&lt;&gt;1)),
IF(Import.TipoArredondamento&lt;&gt;"TransfereGOV",
ROUND(OFFSET($P326,0,AY$13),15-13*ORÇAMENTO!$AF$7)/$H326*OFFSET(ORÇAMENTO!$X$15,ROW(AY326)-ROW(AY$15),0),
ROUND(ROUND(OFFSET($P326,0,AY$13),15-13*ORÇAMENTO!$AF$7)*OFFSET(ORÇAMENTO!$W$15,ROW(AY326)-ROW(AY$15),0),15-13*ORÇAMENTO!$AF$11)),0)</f>
        <v>0</v>
      </c>
      <c r="AZ326" s="545">
        <f ca="1">IF(AND($D326="Serviço",AZ$12&lt;&gt;0,$H326&gt;0,OR(AUTOEVENTO&lt;&gt;"manual",$M326&lt;&gt;1)),
IF(Import.TipoArredondamento&lt;&gt;"TransfereGOV",
ROUND(OFFSET($P326,0,AZ$13),15-13*ORÇAMENTO!$AF$7)/$H326*OFFSET(ORÇAMENTO!$X$15,ROW(AZ326)-ROW(AZ$15),0),
ROUND(ROUND(OFFSET($P326,0,AZ$13),15-13*ORÇAMENTO!$AF$7)*OFFSET(ORÇAMENTO!$W$15,ROW(AZ326)-ROW(AZ$15),0),15-13*ORÇAMENTO!$AF$11)),0)</f>
        <v>0</v>
      </c>
      <c r="BA326" s="546">
        <f ca="1">IF(AND($D326="Serviço",BA$12&lt;&gt;0,$H326&gt;0,OR(AUTOEVENTO&lt;&gt;"manual",$M326&lt;&gt;1)),
IF(Import.TipoArredondamento&lt;&gt;"TransfereGOV",
ROUND(OFFSET($P326,0,BA$13),15-13*ORÇAMENTO!$AF$7)/$H326*OFFSET(ORÇAMENTO!$X$15,ROW(BA326)-ROW(BA$15),0),
ROUND(ROUND(OFFSET($P326,0,BA$13),15-13*ORÇAMENTO!$AF$7)*OFFSET(ORÇAMENTO!$W$15,ROW(BA326)-ROW(BA$15),0),15-13*ORÇAMENTO!$AF$11)),0)</f>
        <v>0</v>
      </c>
      <c r="BC326" s="181">
        <f ca="1">IF($D326&lt;&gt;"Serviço",0,IF(AND(AUTOEVENTO="Manual",$M326=1),0,IF(OFFSET(CRONOPLE!$F$14,$M326,BC$13)="",10^12,OFFSET(CRONOPLE!$F$14,$M326,BC$13))))</f>
        <v>9</v>
      </c>
      <c r="BD326" s="181">
        <f ca="1">IF($D326&lt;&gt;"Serviço",0,IF(AND(AUTOEVENTO="Manual",$M326=1),0,IF(OFFSET(CRONOPLE!$F$14,$M326,BD$13)="",10^12,OFFSET(CRONOPLE!$F$14,$M326,BD$13))))</f>
        <v>1000000000000</v>
      </c>
      <c r="BE326" s="181">
        <f ca="1">IF($D326&lt;&gt;"Serviço",0,IF(AND(AUTOEVENTO="Manual",$M326=1),0,IF(OFFSET(CRONOPLE!$F$14,$M326,BE$13)="",10^12,OFFSET(CRONOPLE!$F$14,$M326,BE$13))))</f>
        <v>1000000000000</v>
      </c>
      <c r="BF326" s="181">
        <f ca="1">IF($D326&lt;&gt;"Serviço",0,IF(AND(AUTOEVENTO="Manual",$M326=1),0,IF(OFFSET(CRONOPLE!$F$14,$M326,BF$13)="",10^12,OFFSET(CRONOPLE!$F$14,$M326,BF$13))))</f>
        <v>1000000000000</v>
      </c>
      <c r="BG326" s="181">
        <f ca="1">IF($D326&lt;&gt;"Serviço",0,IF(AND(AUTOEVENTO="Manual",$M326=1),0,IF(OFFSET(CRONOPLE!$F$14,$M326,BG$13)="",10^12,OFFSET(CRONOPLE!$F$14,$M326,BG$13))))</f>
        <v>1000000000000</v>
      </c>
      <c r="BH326" s="181">
        <f ca="1">IF($D326&lt;&gt;"Serviço",0,IF(AND(AUTOEVENTO="Manual",$M326=1),0,IF(OFFSET(CRONOPLE!$F$14,$M326,BH$13)="",10^12,OFFSET(CRONOPLE!$F$14,$M326,BH$13))))</f>
        <v>1000000000000</v>
      </c>
      <c r="BI326" s="181">
        <f ca="1">IF($D326&lt;&gt;"Serviço",0,IF(AND(AUTOEVENTO="Manual",$M326=1),0,IF(OFFSET(CRONOPLE!$F$14,$M326,BI$13)="",10^12,OFFSET(CRONOPLE!$F$14,$M326,BI$13))))</f>
        <v>1000000000000</v>
      </c>
      <c r="BJ326" s="181">
        <f ca="1">IF($D326&lt;&gt;"Serviço",0,IF(AND(AUTOEVENTO="Manual",$M326=1),0,IF(OFFSET(CRONOPLE!$F$14,$M326,BJ$13)="",10^12,OFFSET(CRONOPLE!$F$14,$M326,BJ$13))))</f>
        <v>1000000000000</v>
      </c>
      <c r="BK326" s="181">
        <f ca="1">IF($D326&lt;&gt;"Serviço",0,IF(AND(AUTOEVENTO="Manual",$M326=1),0,IF(OFFSET(CRONOPLE!$F$14,$M326,BK$13)="",10^12,OFFSET(CRONOPLE!$F$14,$M326,BK$13))))</f>
        <v>1000000000000</v>
      </c>
      <c r="BL326" s="181">
        <f ca="1">IF($D326&lt;&gt;"Serviço",0,IF(AND(AUTOEVENTO="Manual",$M326=1),0,IF(OFFSET(CRONOPLE!$F$14,$M326,BL$13)="",10^12,OFFSET(CRONOPLE!$F$14,$M326,BL$13))))</f>
        <v>1000000000000</v>
      </c>
      <c r="BM326" s="181">
        <f ca="1">IF($D326&lt;&gt;"Serviço",0,IF(AND(AUTOEVENTO="Manual",$M326=1),0,IF(OFFSET(CRONOPLE!$F$14,$M326,BM$13)="",10^12,OFFSET(CRONOPLE!$F$14,$M326,BM$13))))</f>
        <v>1000000000000</v>
      </c>
      <c r="BN326" s="181">
        <f ca="1">IF($D326&lt;&gt;"Serviço",0,IF(AND(AUTOEVENTO="Manual",$M326=1),0,IF(OFFSET(CRONOPLE!$F$14,$M326,BN$13)="",10^12,OFFSET(CRONOPLE!$F$14,$M326,BN$13))))</f>
        <v>1000000000000</v>
      </c>
      <c r="BO326" s="181">
        <f ca="1">IF($D326&lt;&gt;"Serviço",0,IF(AND(AUTOEVENTO="Manual",$M326=1),0,IF(OFFSET(CRONOPLE!$F$14,$M326,BO$13)="",10^12,OFFSET(CRONOPLE!$F$14,$M326,BO$13))))</f>
        <v>1000000000000</v>
      </c>
      <c r="BP326" s="181">
        <f ca="1">IF($D326&lt;&gt;"Serviço",0,IF(AND(AUTOEVENTO="Manual",$M326=1),0,IF(OFFSET(CRONOPLE!$F$14,$M326,BP$13)="",10^12,OFFSET(CRONOPLE!$F$14,$M326,BP$13))))</f>
        <v>1000000000000</v>
      </c>
      <c r="BQ326" s="181">
        <f ca="1">IF($D326&lt;&gt;"Serviço",0,IF(AND(AUTOEVENTO="Manual",$M326=1),0,IF(OFFSET(CRONOPLE!$F$14,$M326,BQ$13)="",10^12,OFFSET(CRONOPLE!$F$14,$M326,BQ$13))))</f>
        <v>1000000000000</v>
      </c>
      <c r="BR326" s="181">
        <f ca="1">IF($D326&lt;&gt;"Serviço",0,IF(AND(AUTOEVENTO="Manual",$M326=1),0,IF(OFFSET(CRONOPLE!$F$14,$M326,BR$13)="",10^12,OFFSET(CRONOPLE!$F$14,$M326,BR$13))))</f>
        <v>1000000000000</v>
      </c>
      <c r="BS326" s="181">
        <f ca="1">IF($D326&lt;&gt;"Serviço",0,IF(AND(AUTOEVENTO="Manual",$M326=1),0,IF(OFFSET(CRONOPLE!$F$14,$M326,BS$13)="",10^12,OFFSET(CRONOPLE!$F$14,$M326,BS$13))))</f>
        <v>1000000000000</v>
      </c>
      <c r="BT326" s="181">
        <f ca="1">IF($D326&lt;&gt;"Serviço",0,IF(AND(AUTOEVENTO="Manual",$M326=1),0,IF(OFFSET(CRONOPLE!$F$14,$M326,BT$13)="",10^12,OFFSET(CRONOPLE!$F$14,$M326,BT$13))))</f>
        <v>1000000000000</v>
      </c>
      <c r="BV326" s="182">
        <f ca="1">IF($D326&lt;&gt;"Serviço",0,IF(OR(AND(AUTOEVENTO="Manual",$M326=1),$M326&gt;(ROW(PLE.lastrow)-ROW(PLE.firstrow))),0,IF(OFFSET(PLE!$G$14,$M326,BV$13)="",10^12,OFFSET(PLE!$G$14,$M326,BV$13))))</f>
        <v>1000000000000</v>
      </c>
      <c r="BW326" s="182">
        <f ca="1">IF($D326&lt;&gt;"Serviço",0,IF(OR(AND(AUTOEVENTO="Manual",$M326=1),$M326&gt;(ROW(PLE.lastrow)-ROW(PLE.firstrow))),0,IF(OFFSET(PLE!$G$14,$M326,BW$13)="",10^12,OFFSET(PLE!$G$14,$M326,BW$13))))</f>
        <v>1000000000000</v>
      </c>
      <c r="BX326" s="182">
        <f ca="1">IF($D326&lt;&gt;"Serviço",0,IF(OR(AND(AUTOEVENTO="Manual",$M326=1),$M326&gt;(ROW(PLE.lastrow)-ROW(PLE.firstrow))),0,IF(OFFSET(PLE!$G$14,$M326,BX$13)="",10^12,OFFSET(PLE!$G$14,$M326,BX$13))))</f>
        <v>1000000000000</v>
      </c>
      <c r="BY326" s="182">
        <f ca="1">IF($D326&lt;&gt;"Serviço",0,IF(OR(AND(AUTOEVENTO="Manual",$M326=1),$M326&gt;(ROW(PLE.lastrow)-ROW(PLE.firstrow))),0,IF(OFFSET(PLE!$G$14,$M326,BY$13)="",10^12,OFFSET(PLE!$G$14,$M326,BY$13))))</f>
        <v>1000000000000</v>
      </c>
      <c r="BZ326" s="182">
        <f ca="1">IF($D326&lt;&gt;"Serviço",0,IF(OR(AND(AUTOEVENTO="Manual",$M326=1),$M326&gt;(ROW(PLE.lastrow)-ROW(PLE.firstrow))),0,IF(OFFSET(PLE!$G$14,$M326,BZ$13)="",10^12,OFFSET(PLE!$G$14,$M326,BZ$13))))</f>
        <v>1000000000000</v>
      </c>
      <c r="CA326" s="182">
        <f ca="1">IF($D326&lt;&gt;"Serviço",0,IF(OR(AND(AUTOEVENTO="Manual",$M326=1),$M326&gt;(ROW(PLE.lastrow)-ROW(PLE.firstrow))),0,IF(OFFSET(PLE!$G$14,$M326,CA$13)="",10^12,OFFSET(PLE!$G$14,$M326,CA$13))))</f>
        <v>1000000000000</v>
      </c>
      <c r="CB326" s="182">
        <f ca="1">IF($D326&lt;&gt;"Serviço",0,IF(OR(AND(AUTOEVENTO="Manual",$M326=1),$M326&gt;(ROW(PLE.lastrow)-ROW(PLE.firstrow))),0,IF(OFFSET(PLE!$G$14,$M326,CB$13)="",10^12,OFFSET(PLE!$G$14,$M326,CB$13))))</f>
        <v>1000000000000</v>
      </c>
      <c r="CC326" s="182">
        <f ca="1">IF($D326&lt;&gt;"Serviço",0,IF(OR(AND(AUTOEVENTO="Manual",$M326=1),$M326&gt;(ROW(PLE.lastrow)-ROW(PLE.firstrow))),0,IF(OFFSET(PLE!$G$14,$M326,CC$13)="",10^12,OFFSET(PLE!$G$14,$M326,CC$13))))</f>
        <v>1000000000000</v>
      </c>
      <c r="CD326" s="182">
        <f ca="1">IF($D326&lt;&gt;"Serviço",0,IF(OR(AND(AUTOEVENTO="Manual",$M326=1),$M326&gt;(ROW(PLE.lastrow)-ROW(PLE.firstrow))),0,IF(OFFSET(PLE!$G$14,$M326,CD$13)="",10^12,OFFSET(PLE!$G$14,$M326,CD$13))))</f>
        <v>1000000000000</v>
      </c>
      <c r="CE326" s="182">
        <f ca="1">IF($D326&lt;&gt;"Serviço",0,IF(OR(AND(AUTOEVENTO="Manual",$M326=1),$M326&gt;(ROW(PLE.lastrow)-ROW(PLE.firstrow))),0,IF(OFFSET(PLE!$G$14,$M326,CE$13)="",10^12,OFFSET(PLE!$G$14,$M326,CE$13))))</f>
        <v>1000000000000</v>
      </c>
      <c r="CF326" s="182">
        <f ca="1">IF($D326&lt;&gt;"Serviço",0,IF(OR(AND(AUTOEVENTO="Manual",$M326=1),$M326&gt;(ROW(PLE.lastrow)-ROW(PLE.firstrow))),0,IF(OFFSET(PLE!$G$14,$M326,CF$13)="",10^12,OFFSET(PLE!$G$14,$M326,CF$13))))</f>
        <v>1000000000000</v>
      </c>
      <c r="CG326" s="182">
        <f ca="1">IF($D326&lt;&gt;"Serviço",0,IF(OR(AND(AUTOEVENTO="Manual",$M326=1),$M326&gt;(ROW(PLE.lastrow)-ROW(PLE.firstrow))),0,IF(OFFSET(PLE!$G$14,$M326,CG$13)="",10^12,OFFSET(PLE!$G$14,$M326,CG$13))))</f>
        <v>1000000000000</v>
      </c>
      <c r="CH326" s="182">
        <f ca="1">IF($D326&lt;&gt;"Serviço",0,IF(OR(AND(AUTOEVENTO="Manual",$M326=1),$M326&gt;(ROW(PLE.lastrow)-ROW(PLE.firstrow))),0,IF(OFFSET(PLE!$G$14,$M326,CH$13)="",10^12,OFFSET(PLE!$G$14,$M326,CH$13))))</f>
        <v>1000000000000</v>
      </c>
      <c r="CI326" s="182">
        <f ca="1">IF($D326&lt;&gt;"Serviço",0,IF(OR(AND(AUTOEVENTO="Manual",$M326=1),$M326&gt;(ROW(PLE.lastrow)-ROW(PLE.firstrow))),0,IF(OFFSET(PLE!$G$14,$M326,CI$13)="",10^12,OFFSET(PLE!$G$14,$M326,CI$13))))</f>
        <v>1000000000000</v>
      </c>
      <c r="CJ326" s="182">
        <f ca="1">IF($D326&lt;&gt;"Serviço",0,IF(OR(AND(AUTOEVENTO="Manual",$M326=1),$M326&gt;(ROW(PLE.lastrow)-ROW(PLE.firstrow))),0,IF(OFFSET(PLE!$G$14,$M326,CJ$13)="",10^12,OFFSET(PLE!$G$14,$M326,CJ$13))))</f>
        <v>1000000000000</v>
      </c>
      <c r="CK326" s="182">
        <f ca="1">IF($D326&lt;&gt;"Serviço",0,IF(OR(AND(AUTOEVENTO="Manual",$M326=1),$M326&gt;(ROW(PLE.lastrow)-ROW(PLE.firstrow))),0,IF(OFFSET(PLE!$G$14,$M326,CK$13)="",10^12,OFFSET(PLE!$G$14,$M326,CK$13))))</f>
        <v>1000000000000</v>
      </c>
      <c r="CL326" s="182">
        <f ca="1">IF($D326&lt;&gt;"Serviço",0,IF(OR(AND(AUTOEVENTO="Manual",$M326=1),$M326&gt;(ROW(PLE.lastrow)-ROW(PLE.firstrow))),0,IF(OFFSET(PLE!$G$14,$M326,CL$13)="",10^12,OFFSET(PLE!$G$14,$M326,CL$13))))</f>
        <v>1000000000000</v>
      </c>
      <c r="CM326" s="182">
        <f ca="1">IF($D326&lt;&gt;"Serviço",0,IF(OR(AND(AUTOEVENTO="Manual",$M326=1),$M326&gt;(ROW(PLE.lastrow)-ROW(PLE.firstrow))),0,IF(OFFSET(PLE!$G$14,$M326,CM$13)="",10^12,OFFSET(PLE!$G$14,$M326,CM$13))))</f>
        <v>1000000000000</v>
      </c>
    </row>
    <row r="327" spans="1:91" ht="38.25" x14ac:dyDescent="0.2">
      <c r="A327" s="7" t="str">
        <f t="shared" ca="1" si="12"/>
        <v>304</v>
      </c>
      <c r="B327" s="7" t="str">
        <f ca="1">OFFSET(ORÇAMENTO!C$15,ROW(B327)-ROW(B$15),0)</f>
        <v>S</v>
      </c>
      <c r="C327" s="7" t="str">
        <f ca="1">OFFSET(ORÇAMENTO!L$15,ROW(C327)-ROW(C$15),0)</f>
        <v/>
      </c>
      <c r="D327" s="118" t="str">
        <f ca="1">OFFSET(ORÇAMENTO!N$15,ROW(D327)-ROW(D$15),0)</f>
        <v>Serviço</v>
      </c>
      <c r="E327" s="119" t="str">
        <f ca="1">OFFSET(ORÇAMENTO!O$15,ROW(E327)-ROW(E$15),0)</f>
        <v>-</v>
      </c>
      <c r="F327" s="172" t="str">
        <f ca="1">OFFSET(ORÇAMENTO!R$15,ROW(F327)-ROW(F$15),0)</f>
        <v>(abra o arquivo 'Referência 06-2024.xlsm)</v>
      </c>
      <c r="G327" s="173" t="str">
        <f ca="1">IF($D327&lt;&gt;"Serviço","",OFFSET(ORÇAMENTO!S$15,ROW(G327)-ROW(G$15),0))</f>
        <v>-</v>
      </c>
      <c r="H327" s="124">
        <f ca="1">IF($D327&lt;&gt;"Serviço",0,IF(ACOMPANHAMENTO="BM",ROUND(OFFSET(ORÇAMENTO!AJ$15,ROW(H327)-ROW(H$15),0),15-13*ORÇAMENTO!$AF$7),SUMPRODUCT(($Q$12:$AI$12&lt;&gt;"")*ROUND($Q327:$AI327,15-13*ORÇAMENTO!$AF$7))))</f>
        <v>4</v>
      </c>
      <c r="I327" s="561" t="s">
        <v>1107</v>
      </c>
      <c r="K327" s="174"/>
      <c r="L327" s="175" t="s">
        <v>255</v>
      </c>
      <c r="M327" s="176">
        <f ca="1">IF($D327&lt;&gt;"Serviço","",IF(AUTOEVENTO="manual",$A327,IF(ISERROR(MATCH($A327,$A$15:OFFSET($A327,-1,0),0)),MAX($M$15:OFFSET(M327,-1,0))+1,INDEX($M$15:OFFSET(M327,-1,0),MATCH($A327,$A$15:OFFSET($A327,-1,0),0)))))</f>
        <v>41</v>
      </c>
      <c r="N327" s="177" t="str">
        <f ca="1">IF($D327&lt;&gt;"Serviço","",IF(AUTOEVENTO="Manual",IF($A327=0,"&lt;-- defina o número do agrupador",OFFSET(EVENTOS!$D$14,$A327,0)),OFFSET($F$15,$A327,0)))</f>
        <v>INSTALAÇÃO SANITÁRIA - TUBULAÇÕES E CONEXÕES</v>
      </c>
      <c r="O327" s="178"/>
      <c r="Q327" s="178">
        <v>4</v>
      </c>
      <c r="R327" s="179"/>
      <c r="S327" s="179"/>
      <c r="T327" s="179"/>
      <c r="U327" s="179"/>
      <c r="V327" s="179"/>
      <c r="W327" s="179"/>
      <c r="X327" s="179"/>
      <c r="Y327" s="179"/>
      <c r="Z327" s="180"/>
      <c r="AA327" s="179"/>
      <c r="AB327" s="179"/>
      <c r="AC327" s="179"/>
      <c r="AD327" s="179"/>
      <c r="AE327" s="179"/>
      <c r="AF327" s="179"/>
      <c r="AG327" s="179"/>
      <c r="AH327" s="180"/>
      <c r="AJ327" s="544">
        <f ca="1">IF(AND($D327="Serviço",AJ$12&lt;&gt;0,$H327&gt;0,OR(AUTOEVENTO&lt;&gt;"manual",$M327&lt;&gt;1)),
IF(Import.TipoArredondamento&lt;&gt;"TransfereGOV",
ROUND(OFFSET($P327,0,AJ$13),15-13*ORÇAMENTO!$AF$7)/$H327*OFFSET(ORÇAMENTO!$X$15,ROW(AJ327)-ROW(AJ$15),0),
ROUND(ROUND(OFFSET($P327,0,AJ$13),15-13*ORÇAMENTO!$AF$7)*OFFSET(ORÇAMENTO!$W$15,ROW(AJ327)-ROW(AJ$15),0),15-13*ORÇAMENTO!$AF$11)),0)</f>
        <v>0</v>
      </c>
      <c r="AK327" s="545">
        <f ca="1">IF(AND($D327="Serviço",AK$12&lt;&gt;0,$H327&gt;0,OR(AUTOEVENTO&lt;&gt;"manual",$M327&lt;&gt;1)),
IF(Import.TipoArredondamento&lt;&gt;"TransfereGOV",
ROUND(OFFSET($P327,0,AK$13),15-13*ORÇAMENTO!$AF$7)/$H327*OFFSET(ORÇAMENTO!$X$15,ROW(AK327)-ROW(AK$15),0),
ROUND(ROUND(OFFSET($P327,0,AK$13),15-13*ORÇAMENTO!$AF$7)*OFFSET(ORÇAMENTO!$W$15,ROW(AK327)-ROW(AK$15),0),15-13*ORÇAMENTO!$AF$11)),0)</f>
        <v>0</v>
      </c>
      <c r="AL327" s="545">
        <f ca="1">IF(AND($D327="Serviço",AL$12&lt;&gt;0,$H327&gt;0,OR(AUTOEVENTO&lt;&gt;"manual",$M327&lt;&gt;1)),
IF(Import.TipoArredondamento&lt;&gt;"TransfereGOV",
ROUND(OFFSET($P327,0,AL$13),15-13*ORÇAMENTO!$AF$7)/$H327*OFFSET(ORÇAMENTO!$X$15,ROW(AL327)-ROW(AL$15),0),
ROUND(ROUND(OFFSET($P327,0,AL$13),15-13*ORÇAMENTO!$AF$7)*OFFSET(ORÇAMENTO!$W$15,ROW(AL327)-ROW(AL$15),0),15-13*ORÇAMENTO!$AF$11)),0)</f>
        <v>0</v>
      </c>
      <c r="AM327" s="545">
        <f ca="1">IF(AND($D327="Serviço",AM$12&lt;&gt;0,$H327&gt;0,OR(AUTOEVENTO&lt;&gt;"manual",$M327&lt;&gt;1)),
IF(Import.TipoArredondamento&lt;&gt;"TransfereGOV",
ROUND(OFFSET($P327,0,AM$13),15-13*ORÇAMENTO!$AF$7)/$H327*OFFSET(ORÇAMENTO!$X$15,ROW(AM327)-ROW(AM$15),0),
ROUND(ROUND(OFFSET($P327,0,AM$13),15-13*ORÇAMENTO!$AF$7)*OFFSET(ORÇAMENTO!$W$15,ROW(AM327)-ROW(AM$15),0),15-13*ORÇAMENTO!$AF$11)),0)</f>
        <v>0</v>
      </c>
      <c r="AN327" s="545">
        <f ca="1">IF(AND($D327="Serviço",AN$12&lt;&gt;0,$H327&gt;0,OR(AUTOEVENTO&lt;&gt;"manual",$M327&lt;&gt;1)),
IF(Import.TipoArredondamento&lt;&gt;"TransfereGOV",
ROUND(OFFSET($P327,0,AN$13),15-13*ORÇAMENTO!$AF$7)/$H327*OFFSET(ORÇAMENTO!$X$15,ROW(AN327)-ROW(AN$15),0),
ROUND(ROUND(OFFSET($P327,0,AN$13),15-13*ORÇAMENTO!$AF$7)*OFFSET(ORÇAMENTO!$W$15,ROW(AN327)-ROW(AN$15),0),15-13*ORÇAMENTO!$AF$11)),0)</f>
        <v>0</v>
      </c>
      <c r="AO327" s="545">
        <f ca="1">IF(AND($D327="Serviço",AO$12&lt;&gt;0,$H327&gt;0,OR(AUTOEVENTO&lt;&gt;"manual",$M327&lt;&gt;1)),
IF(Import.TipoArredondamento&lt;&gt;"TransfereGOV",
ROUND(OFFSET($P327,0,AO$13),15-13*ORÇAMENTO!$AF$7)/$H327*OFFSET(ORÇAMENTO!$X$15,ROW(AO327)-ROW(AO$15),0),
ROUND(ROUND(OFFSET($P327,0,AO$13),15-13*ORÇAMENTO!$AF$7)*OFFSET(ORÇAMENTO!$W$15,ROW(AO327)-ROW(AO$15),0),15-13*ORÇAMENTO!$AF$11)),0)</f>
        <v>0</v>
      </c>
      <c r="AP327" s="545">
        <f ca="1">IF(AND($D327="Serviço",AP$12&lt;&gt;0,$H327&gt;0,OR(AUTOEVENTO&lt;&gt;"manual",$M327&lt;&gt;1)),
IF(Import.TipoArredondamento&lt;&gt;"TransfereGOV",
ROUND(OFFSET($P327,0,AP$13),15-13*ORÇAMENTO!$AF$7)/$H327*OFFSET(ORÇAMENTO!$X$15,ROW(AP327)-ROW(AP$15),0),
ROUND(ROUND(OFFSET($P327,0,AP$13),15-13*ORÇAMENTO!$AF$7)*OFFSET(ORÇAMENTO!$W$15,ROW(AP327)-ROW(AP$15),0),15-13*ORÇAMENTO!$AF$11)),0)</f>
        <v>0</v>
      </c>
      <c r="AQ327" s="545">
        <f ca="1">IF(AND($D327="Serviço",AQ$12&lt;&gt;0,$H327&gt;0,OR(AUTOEVENTO&lt;&gt;"manual",$M327&lt;&gt;1)),
IF(Import.TipoArredondamento&lt;&gt;"TransfereGOV",
ROUND(OFFSET($P327,0,AQ$13),15-13*ORÇAMENTO!$AF$7)/$H327*OFFSET(ORÇAMENTO!$X$15,ROW(AQ327)-ROW(AQ$15),0),
ROUND(ROUND(OFFSET($P327,0,AQ$13),15-13*ORÇAMENTO!$AF$7)*OFFSET(ORÇAMENTO!$W$15,ROW(AQ327)-ROW(AQ$15),0),15-13*ORÇAMENTO!$AF$11)),0)</f>
        <v>0</v>
      </c>
      <c r="AR327" s="545">
        <f ca="1">IF(AND($D327="Serviço",AR$12&lt;&gt;0,$H327&gt;0,OR(AUTOEVENTO&lt;&gt;"manual",$M327&lt;&gt;1)),
IF(Import.TipoArredondamento&lt;&gt;"TransfereGOV",
ROUND(OFFSET($P327,0,AR$13),15-13*ORÇAMENTO!$AF$7)/$H327*OFFSET(ORÇAMENTO!$X$15,ROW(AR327)-ROW(AR$15),0),
ROUND(ROUND(OFFSET($P327,0,AR$13),15-13*ORÇAMENTO!$AF$7)*OFFSET(ORÇAMENTO!$W$15,ROW(AR327)-ROW(AR$15),0),15-13*ORÇAMENTO!$AF$11)),0)</f>
        <v>0</v>
      </c>
      <c r="AS327" s="546">
        <f ca="1">IF(AND($D327="Serviço",AS$12&lt;&gt;0,$H327&gt;0,OR(AUTOEVENTO&lt;&gt;"manual",$M327&lt;&gt;1)),
IF(Import.TipoArredondamento&lt;&gt;"TransfereGOV",
ROUND(OFFSET($P327,0,AS$13),15-13*ORÇAMENTO!$AF$7)/$H327*OFFSET(ORÇAMENTO!$X$15,ROW(AS327)-ROW(AS$15),0),
ROUND(ROUND(OFFSET($P327,0,AS$13),15-13*ORÇAMENTO!$AF$7)*OFFSET(ORÇAMENTO!$W$15,ROW(AS327)-ROW(AS$15),0),15-13*ORÇAMENTO!$AF$11)),0)</f>
        <v>0</v>
      </c>
      <c r="AT327" s="545">
        <f ca="1">IF(AND($D327="Serviço",AT$12&lt;&gt;0,$H327&gt;0,OR(AUTOEVENTO&lt;&gt;"manual",$M327&lt;&gt;1)),
IF(Import.TipoArredondamento&lt;&gt;"TransfereGOV",
ROUND(OFFSET($P327,0,AT$13),15-13*ORÇAMENTO!$AF$7)/$H327*OFFSET(ORÇAMENTO!$X$15,ROW(AT327)-ROW(AT$15),0),
ROUND(ROUND(OFFSET($P327,0,AT$13),15-13*ORÇAMENTO!$AF$7)*OFFSET(ORÇAMENTO!$W$15,ROW(AT327)-ROW(AT$15),0),15-13*ORÇAMENTO!$AF$11)),0)</f>
        <v>0</v>
      </c>
      <c r="AU327" s="545">
        <f ca="1">IF(AND($D327="Serviço",AU$12&lt;&gt;0,$H327&gt;0,OR(AUTOEVENTO&lt;&gt;"manual",$M327&lt;&gt;1)),
IF(Import.TipoArredondamento&lt;&gt;"TransfereGOV",
ROUND(OFFSET($P327,0,AU$13),15-13*ORÇAMENTO!$AF$7)/$H327*OFFSET(ORÇAMENTO!$X$15,ROW(AU327)-ROW(AU$15),0),
ROUND(ROUND(OFFSET($P327,0,AU$13),15-13*ORÇAMENTO!$AF$7)*OFFSET(ORÇAMENTO!$W$15,ROW(AU327)-ROW(AU$15),0),15-13*ORÇAMENTO!$AF$11)),0)</f>
        <v>0</v>
      </c>
      <c r="AV327" s="545">
        <f ca="1">IF(AND($D327="Serviço",AV$12&lt;&gt;0,$H327&gt;0,OR(AUTOEVENTO&lt;&gt;"manual",$M327&lt;&gt;1)),
IF(Import.TipoArredondamento&lt;&gt;"TransfereGOV",
ROUND(OFFSET($P327,0,AV$13),15-13*ORÇAMENTO!$AF$7)/$H327*OFFSET(ORÇAMENTO!$X$15,ROW(AV327)-ROW(AV$15),0),
ROUND(ROUND(OFFSET($P327,0,AV$13),15-13*ORÇAMENTO!$AF$7)*OFFSET(ORÇAMENTO!$W$15,ROW(AV327)-ROW(AV$15),0),15-13*ORÇAMENTO!$AF$11)),0)</f>
        <v>0</v>
      </c>
      <c r="AW327" s="545">
        <f ca="1">IF(AND($D327="Serviço",AW$12&lt;&gt;0,$H327&gt;0,OR(AUTOEVENTO&lt;&gt;"manual",$M327&lt;&gt;1)),
IF(Import.TipoArredondamento&lt;&gt;"TransfereGOV",
ROUND(OFFSET($P327,0,AW$13),15-13*ORÇAMENTO!$AF$7)/$H327*OFFSET(ORÇAMENTO!$X$15,ROW(AW327)-ROW(AW$15),0),
ROUND(ROUND(OFFSET($P327,0,AW$13),15-13*ORÇAMENTO!$AF$7)*OFFSET(ORÇAMENTO!$W$15,ROW(AW327)-ROW(AW$15),0),15-13*ORÇAMENTO!$AF$11)),0)</f>
        <v>0</v>
      </c>
      <c r="AX327" s="545">
        <f ca="1">IF(AND($D327="Serviço",AX$12&lt;&gt;0,$H327&gt;0,OR(AUTOEVENTO&lt;&gt;"manual",$M327&lt;&gt;1)),
IF(Import.TipoArredondamento&lt;&gt;"TransfereGOV",
ROUND(OFFSET($P327,0,AX$13),15-13*ORÇAMENTO!$AF$7)/$H327*OFFSET(ORÇAMENTO!$X$15,ROW(AX327)-ROW(AX$15),0),
ROUND(ROUND(OFFSET($P327,0,AX$13),15-13*ORÇAMENTO!$AF$7)*OFFSET(ORÇAMENTO!$W$15,ROW(AX327)-ROW(AX$15),0),15-13*ORÇAMENTO!$AF$11)),0)</f>
        <v>0</v>
      </c>
      <c r="AY327" s="545">
        <f ca="1">IF(AND($D327="Serviço",AY$12&lt;&gt;0,$H327&gt;0,OR(AUTOEVENTO&lt;&gt;"manual",$M327&lt;&gt;1)),
IF(Import.TipoArredondamento&lt;&gt;"TransfereGOV",
ROUND(OFFSET($P327,0,AY$13),15-13*ORÇAMENTO!$AF$7)/$H327*OFFSET(ORÇAMENTO!$X$15,ROW(AY327)-ROW(AY$15),0),
ROUND(ROUND(OFFSET($P327,0,AY$13),15-13*ORÇAMENTO!$AF$7)*OFFSET(ORÇAMENTO!$W$15,ROW(AY327)-ROW(AY$15),0),15-13*ORÇAMENTO!$AF$11)),0)</f>
        <v>0</v>
      </c>
      <c r="AZ327" s="545">
        <f ca="1">IF(AND($D327="Serviço",AZ$12&lt;&gt;0,$H327&gt;0,OR(AUTOEVENTO&lt;&gt;"manual",$M327&lt;&gt;1)),
IF(Import.TipoArredondamento&lt;&gt;"TransfereGOV",
ROUND(OFFSET($P327,0,AZ$13),15-13*ORÇAMENTO!$AF$7)/$H327*OFFSET(ORÇAMENTO!$X$15,ROW(AZ327)-ROW(AZ$15),0),
ROUND(ROUND(OFFSET($P327,0,AZ$13),15-13*ORÇAMENTO!$AF$7)*OFFSET(ORÇAMENTO!$W$15,ROW(AZ327)-ROW(AZ$15),0),15-13*ORÇAMENTO!$AF$11)),0)</f>
        <v>0</v>
      </c>
      <c r="BA327" s="546">
        <f ca="1">IF(AND($D327="Serviço",BA$12&lt;&gt;0,$H327&gt;0,OR(AUTOEVENTO&lt;&gt;"manual",$M327&lt;&gt;1)),
IF(Import.TipoArredondamento&lt;&gt;"TransfereGOV",
ROUND(OFFSET($P327,0,BA$13),15-13*ORÇAMENTO!$AF$7)/$H327*OFFSET(ORÇAMENTO!$X$15,ROW(BA327)-ROW(BA$15),0),
ROUND(ROUND(OFFSET($P327,0,BA$13),15-13*ORÇAMENTO!$AF$7)*OFFSET(ORÇAMENTO!$W$15,ROW(BA327)-ROW(BA$15),0),15-13*ORÇAMENTO!$AF$11)),0)</f>
        <v>0</v>
      </c>
      <c r="BC327" s="181">
        <f ca="1">IF($D327&lt;&gt;"Serviço",0,IF(AND(AUTOEVENTO="Manual",$M327=1),0,IF(OFFSET(CRONOPLE!$F$14,$M327,BC$13)="",10^12,OFFSET(CRONOPLE!$F$14,$M327,BC$13))))</f>
        <v>9</v>
      </c>
      <c r="BD327" s="181">
        <f ca="1">IF($D327&lt;&gt;"Serviço",0,IF(AND(AUTOEVENTO="Manual",$M327=1),0,IF(OFFSET(CRONOPLE!$F$14,$M327,BD$13)="",10^12,OFFSET(CRONOPLE!$F$14,$M327,BD$13))))</f>
        <v>1000000000000</v>
      </c>
      <c r="BE327" s="181">
        <f ca="1">IF($D327&lt;&gt;"Serviço",0,IF(AND(AUTOEVENTO="Manual",$M327=1),0,IF(OFFSET(CRONOPLE!$F$14,$M327,BE$13)="",10^12,OFFSET(CRONOPLE!$F$14,$M327,BE$13))))</f>
        <v>1000000000000</v>
      </c>
      <c r="BF327" s="181">
        <f ca="1">IF($D327&lt;&gt;"Serviço",0,IF(AND(AUTOEVENTO="Manual",$M327=1),0,IF(OFFSET(CRONOPLE!$F$14,$M327,BF$13)="",10^12,OFFSET(CRONOPLE!$F$14,$M327,BF$13))))</f>
        <v>1000000000000</v>
      </c>
      <c r="BG327" s="181">
        <f ca="1">IF($D327&lt;&gt;"Serviço",0,IF(AND(AUTOEVENTO="Manual",$M327=1),0,IF(OFFSET(CRONOPLE!$F$14,$M327,BG$13)="",10^12,OFFSET(CRONOPLE!$F$14,$M327,BG$13))))</f>
        <v>1000000000000</v>
      </c>
      <c r="BH327" s="181">
        <f ca="1">IF($D327&lt;&gt;"Serviço",0,IF(AND(AUTOEVENTO="Manual",$M327=1),0,IF(OFFSET(CRONOPLE!$F$14,$M327,BH$13)="",10^12,OFFSET(CRONOPLE!$F$14,$M327,BH$13))))</f>
        <v>1000000000000</v>
      </c>
      <c r="BI327" s="181">
        <f ca="1">IF($D327&lt;&gt;"Serviço",0,IF(AND(AUTOEVENTO="Manual",$M327=1),0,IF(OFFSET(CRONOPLE!$F$14,$M327,BI$13)="",10^12,OFFSET(CRONOPLE!$F$14,$M327,BI$13))))</f>
        <v>1000000000000</v>
      </c>
      <c r="BJ327" s="181">
        <f ca="1">IF($D327&lt;&gt;"Serviço",0,IF(AND(AUTOEVENTO="Manual",$M327=1),0,IF(OFFSET(CRONOPLE!$F$14,$M327,BJ$13)="",10^12,OFFSET(CRONOPLE!$F$14,$M327,BJ$13))))</f>
        <v>1000000000000</v>
      </c>
      <c r="BK327" s="181">
        <f ca="1">IF($D327&lt;&gt;"Serviço",0,IF(AND(AUTOEVENTO="Manual",$M327=1),0,IF(OFFSET(CRONOPLE!$F$14,$M327,BK$13)="",10^12,OFFSET(CRONOPLE!$F$14,$M327,BK$13))))</f>
        <v>1000000000000</v>
      </c>
      <c r="BL327" s="181">
        <f ca="1">IF($D327&lt;&gt;"Serviço",0,IF(AND(AUTOEVENTO="Manual",$M327=1),0,IF(OFFSET(CRONOPLE!$F$14,$M327,BL$13)="",10^12,OFFSET(CRONOPLE!$F$14,$M327,BL$13))))</f>
        <v>1000000000000</v>
      </c>
      <c r="BM327" s="181">
        <f ca="1">IF($D327&lt;&gt;"Serviço",0,IF(AND(AUTOEVENTO="Manual",$M327=1),0,IF(OFFSET(CRONOPLE!$F$14,$M327,BM$13)="",10^12,OFFSET(CRONOPLE!$F$14,$M327,BM$13))))</f>
        <v>1000000000000</v>
      </c>
      <c r="BN327" s="181">
        <f ca="1">IF($D327&lt;&gt;"Serviço",0,IF(AND(AUTOEVENTO="Manual",$M327=1),0,IF(OFFSET(CRONOPLE!$F$14,$M327,BN$13)="",10^12,OFFSET(CRONOPLE!$F$14,$M327,BN$13))))</f>
        <v>1000000000000</v>
      </c>
      <c r="BO327" s="181">
        <f ca="1">IF($D327&lt;&gt;"Serviço",0,IF(AND(AUTOEVENTO="Manual",$M327=1),0,IF(OFFSET(CRONOPLE!$F$14,$M327,BO$13)="",10^12,OFFSET(CRONOPLE!$F$14,$M327,BO$13))))</f>
        <v>1000000000000</v>
      </c>
      <c r="BP327" s="181">
        <f ca="1">IF($D327&lt;&gt;"Serviço",0,IF(AND(AUTOEVENTO="Manual",$M327=1),0,IF(OFFSET(CRONOPLE!$F$14,$M327,BP$13)="",10^12,OFFSET(CRONOPLE!$F$14,$M327,BP$13))))</f>
        <v>1000000000000</v>
      </c>
      <c r="BQ327" s="181">
        <f ca="1">IF($D327&lt;&gt;"Serviço",0,IF(AND(AUTOEVENTO="Manual",$M327=1),0,IF(OFFSET(CRONOPLE!$F$14,$M327,BQ$13)="",10^12,OFFSET(CRONOPLE!$F$14,$M327,BQ$13))))</f>
        <v>1000000000000</v>
      </c>
      <c r="BR327" s="181">
        <f ca="1">IF($D327&lt;&gt;"Serviço",0,IF(AND(AUTOEVENTO="Manual",$M327=1),0,IF(OFFSET(CRONOPLE!$F$14,$M327,BR$13)="",10^12,OFFSET(CRONOPLE!$F$14,$M327,BR$13))))</f>
        <v>1000000000000</v>
      </c>
      <c r="BS327" s="181">
        <f ca="1">IF($D327&lt;&gt;"Serviço",0,IF(AND(AUTOEVENTO="Manual",$M327=1),0,IF(OFFSET(CRONOPLE!$F$14,$M327,BS$13)="",10^12,OFFSET(CRONOPLE!$F$14,$M327,BS$13))))</f>
        <v>1000000000000</v>
      </c>
      <c r="BT327" s="181">
        <f ca="1">IF($D327&lt;&gt;"Serviço",0,IF(AND(AUTOEVENTO="Manual",$M327=1),0,IF(OFFSET(CRONOPLE!$F$14,$M327,BT$13)="",10^12,OFFSET(CRONOPLE!$F$14,$M327,BT$13))))</f>
        <v>1000000000000</v>
      </c>
      <c r="BV327" s="182">
        <f ca="1">IF($D327&lt;&gt;"Serviço",0,IF(OR(AND(AUTOEVENTO="Manual",$M327=1),$M327&gt;(ROW(PLE.lastrow)-ROW(PLE.firstrow))),0,IF(OFFSET(PLE!$G$14,$M327,BV$13)="",10^12,OFFSET(PLE!$G$14,$M327,BV$13))))</f>
        <v>1000000000000</v>
      </c>
      <c r="BW327" s="182">
        <f ca="1">IF($D327&lt;&gt;"Serviço",0,IF(OR(AND(AUTOEVENTO="Manual",$M327=1),$M327&gt;(ROW(PLE.lastrow)-ROW(PLE.firstrow))),0,IF(OFFSET(PLE!$G$14,$M327,BW$13)="",10^12,OFFSET(PLE!$G$14,$M327,BW$13))))</f>
        <v>1000000000000</v>
      </c>
      <c r="BX327" s="182">
        <f ca="1">IF($D327&lt;&gt;"Serviço",0,IF(OR(AND(AUTOEVENTO="Manual",$M327=1),$M327&gt;(ROW(PLE.lastrow)-ROW(PLE.firstrow))),0,IF(OFFSET(PLE!$G$14,$M327,BX$13)="",10^12,OFFSET(PLE!$G$14,$M327,BX$13))))</f>
        <v>1000000000000</v>
      </c>
      <c r="BY327" s="182">
        <f ca="1">IF($D327&lt;&gt;"Serviço",0,IF(OR(AND(AUTOEVENTO="Manual",$M327=1),$M327&gt;(ROW(PLE.lastrow)-ROW(PLE.firstrow))),0,IF(OFFSET(PLE!$G$14,$M327,BY$13)="",10^12,OFFSET(PLE!$G$14,$M327,BY$13))))</f>
        <v>1000000000000</v>
      </c>
      <c r="BZ327" s="182">
        <f ca="1">IF($D327&lt;&gt;"Serviço",0,IF(OR(AND(AUTOEVENTO="Manual",$M327=1),$M327&gt;(ROW(PLE.lastrow)-ROW(PLE.firstrow))),0,IF(OFFSET(PLE!$G$14,$M327,BZ$13)="",10^12,OFFSET(PLE!$G$14,$M327,BZ$13))))</f>
        <v>1000000000000</v>
      </c>
      <c r="CA327" s="182">
        <f ca="1">IF($D327&lt;&gt;"Serviço",0,IF(OR(AND(AUTOEVENTO="Manual",$M327=1),$M327&gt;(ROW(PLE.lastrow)-ROW(PLE.firstrow))),0,IF(OFFSET(PLE!$G$14,$M327,CA$13)="",10^12,OFFSET(PLE!$G$14,$M327,CA$13))))</f>
        <v>1000000000000</v>
      </c>
      <c r="CB327" s="182">
        <f ca="1">IF($D327&lt;&gt;"Serviço",0,IF(OR(AND(AUTOEVENTO="Manual",$M327=1),$M327&gt;(ROW(PLE.lastrow)-ROW(PLE.firstrow))),0,IF(OFFSET(PLE!$G$14,$M327,CB$13)="",10^12,OFFSET(PLE!$G$14,$M327,CB$13))))</f>
        <v>1000000000000</v>
      </c>
      <c r="CC327" s="182">
        <f ca="1">IF($D327&lt;&gt;"Serviço",0,IF(OR(AND(AUTOEVENTO="Manual",$M327=1),$M327&gt;(ROW(PLE.lastrow)-ROW(PLE.firstrow))),0,IF(OFFSET(PLE!$G$14,$M327,CC$13)="",10^12,OFFSET(PLE!$G$14,$M327,CC$13))))</f>
        <v>1000000000000</v>
      </c>
      <c r="CD327" s="182">
        <f ca="1">IF($D327&lt;&gt;"Serviço",0,IF(OR(AND(AUTOEVENTO="Manual",$M327=1),$M327&gt;(ROW(PLE.lastrow)-ROW(PLE.firstrow))),0,IF(OFFSET(PLE!$G$14,$M327,CD$13)="",10^12,OFFSET(PLE!$G$14,$M327,CD$13))))</f>
        <v>1000000000000</v>
      </c>
      <c r="CE327" s="182">
        <f ca="1">IF($D327&lt;&gt;"Serviço",0,IF(OR(AND(AUTOEVENTO="Manual",$M327=1),$M327&gt;(ROW(PLE.lastrow)-ROW(PLE.firstrow))),0,IF(OFFSET(PLE!$G$14,$M327,CE$13)="",10^12,OFFSET(PLE!$G$14,$M327,CE$13))))</f>
        <v>1000000000000</v>
      </c>
      <c r="CF327" s="182">
        <f ca="1">IF($D327&lt;&gt;"Serviço",0,IF(OR(AND(AUTOEVENTO="Manual",$M327=1),$M327&gt;(ROW(PLE.lastrow)-ROW(PLE.firstrow))),0,IF(OFFSET(PLE!$G$14,$M327,CF$13)="",10^12,OFFSET(PLE!$G$14,$M327,CF$13))))</f>
        <v>1000000000000</v>
      </c>
      <c r="CG327" s="182">
        <f ca="1">IF($D327&lt;&gt;"Serviço",0,IF(OR(AND(AUTOEVENTO="Manual",$M327=1),$M327&gt;(ROW(PLE.lastrow)-ROW(PLE.firstrow))),0,IF(OFFSET(PLE!$G$14,$M327,CG$13)="",10^12,OFFSET(PLE!$G$14,$M327,CG$13))))</f>
        <v>1000000000000</v>
      </c>
      <c r="CH327" s="182">
        <f ca="1">IF($D327&lt;&gt;"Serviço",0,IF(OR(AND(AUTOEVENTO="Manual",$M327=1),$M327&gt;(ROW(PLE.lastrow)-ROW(PLE.firstrow))),0,IF(OFFSET(PLE!$G$14,$M327,CH$13)="",10^12,OFFSET(PLE!$G$14,$M327,CH$13))))</f>
        <v>1000000000000</v>
      </c>
      <c r="CI327" s="182">
        <f ca="1">IF($D327&lt;&gt;"Serviço",0,IF(OR(AND(AUTOEVENTO="Manual",$M327=1),$M327&gt;(ROW(PLE.lastrow)-ROW(PLE.firstrow))),0,IF(OFFSET(PLE!$G$14,$M327,CI$13)="",10^12,OFFSET(PLE!$G$14,$M327,CI$13))))</f>
        <v>1000000000000</v>
      </c>
      <c r="CJ327" s="182">
        <f ca="1">IF($D327&lt;&gt;"Serviço",0,IF(OR(AND(AUTOEVENTO="Manual",$M327=1),$M327&gt;(ROW(PLE.lastrow)-ROW(PLE.firstrow))),0,IF(OFFSET(PLE!$G$14,$M327,CJ$13)="",10^12,OFFSET(PLE!$G$14,$M327,CJ$13))))</f>
        <v>1000000000000</v>
      </c>
      <c r="CK327" s="182">
        <f ca="1">IF($D327&lt;&gt;"Serviço",0,IF(OR(AND(AUTOEVENTO="Manual",$M327=1),$M327&gt;(ROW(PLE.lastrow)-ROW(PLE.firstrow))),0,IF(OFFSET(PLE!$G$14,$M327,CK$13)="",10^12,OFFSET(PLE!$G$14,$M327,CK$13))))</f>
        <v>1000000000000</v>
      </c>
      <c r="CL327" s="182">
        <f ca="1">IF($D327&lt;&gt;"Serviço",0,IF(OR(AND(AUTOEVENTO="Manual",$M327=1),$M327&gt;(ROW(PLE.lastrow)-ROW(PLE.firstrow))),0,IF(OFFSET(PLE!$G$14,$M327,CL$13)="",10^12,OFFSET(PLE!$G$14,$M327,CL$13))))</f>
        <v>1000000000000</v>
      </c>
      <c r="CM327" s="182">
        <f ca="1">IF($D327&lt;&gt;"Serviço",0,IF(OR(AND(AUTOEVENTO="Manual",$M327=1),$M327&gt;(ROW(PLE.lastrow)-ROW(PLE.firstrow))),0,IF(OFFSET(PLE!$G$14,$M327,CM$13)="",10^12,OFFSET(PLE!$G$14,$M327,CM$13))))</f>
        <v>1000000000000</v>
      </c>
    </row>
    <row r="328" spans="1:91" ht="38.25" x14ac:dyDescent="0.2">
      <c r="A328" s="7" t="str">
        <f t="shared" ca="1" si="12"/>
        <v>304</v>
      </c>
      <c r="B328" s="7" t="str">
        <f ca="1">OFFSET(ORÇAMENTO!C$15,ROW(B328)-ROW(B$15),0)</f>
        <v>S</v>
      </c>
      <c r="C328" s="7" t="str">
        <f ca="1">OFFSET(ORÇAMENTO!L$15,ROW(C328)-ROW(C$15),0)</f>
        <v/>
      </c>
      <c r="D328" s="118" t="str">
        <f ca="1">OFFSET(ORÇAMENTO!N$15,ROW(D328)-ROW(D$15),0)</f>
        <v>Serviço</v>
      </c>
      <c r="E328" s="119" t="str">
        <f ca="1">OFFSET(ORÇAMENTO!O$15,ROW(E328)-ROW(E$15),0)</f>
        <v>-</v>
      </c>
      <c r="F328" s="172" t="str">
        <f ca="1">OFFSET(ORÇAMENTO!R$15,ROW(F328)-ROW(F$15),0)</f>
        <v>(abra o arquivo 'Referência 06-2024.xlsm)</v>
      </c>
      <c r="G328" s="173" t="str">
        <f ca="1">IF($D328&lt;&gt;"Serviço","",OFFSET(ORÇAMENTO!S$15,ROW(G328)-ROW(G$15),0))</f>
        <v>-</v>
      </c>
      <c r="H328" s="124">
        <f ca="1">IF($D328&lt;&gt;"Serviço",0,IF(ACOMPANHAMENTO="BM",ROUND(OFFSET(ORÇAMENTO!AJ$15,ROW(H328)-ROW(H$15),0),15-13*ORÇAMENTO!$AF$7),SUMPRODUCT(($Q$12:$AI$12&lt;&gt;"")*ROUND($Q328:$AI328,15-13*ORÇAMENTO!$AF$7))))</f>
        <v>7</v>
      </c>
      <c r="I328" s="561" t="s">
        <v>1107</v>
      </c>
      <c r="K328" s="174"/>
      <c r="L328" s="175" t="s">
        <v>255</v>
      </c>
      <c r="M328" s="176">
        <f ca="1">IF($D328&lt;&gt;"Serviço","",IF(AUTOEVENTO="manual",$A328,IF(ISERROR(MATCH($A328,$A$15:OFFSET($A328,-1,0),0)),MAX($M$15:OFFSET(M328,-1,0))+1,INDEX($M$15:OFFSET(M328,-1,0),MATCH($A328,$A$15:OFFSET($A328,-1,0),0)))))</f>
        <v>41</v>
      </c>
      <c r="N328" s="177" t="str">
        <f ca="1">IF($D328&lt;&gt;"Serviço","",IF(AUTOEVENTO="Manual",IF($A328=0,"&lt;-- defina o número do agrupador",OFFSET(EVENTOS!$D$14,$A328,0)),OFFSET($F$15,$A328,0)))</f>
        <v>INSTALAÇÃO SANITÁRIA - TUBULAÇÕES E CONEXÕES</v>
      </c>
      <c r="O328" s="178"/>
      <c r="Q328" s="178">
        <v>7</v>
      </c>
      <c r="R328" s="179"/>
      <c r="S328" s="179"/>
      <c r="T328" s="179"/>
      <c r="U328" s="179"/>
      <c r="V328" s="179"/>
      <c r="W328" s="179"/>
      <c r="X328" s="179"/>
      <c r="Y328" s="179"/>
      <c r="Z328" s="180"/>
      <c r="AA328" s="179"/>
      <c r="AB328" s="179"/>
      <c r="AC328" s="179"/>
      <c r="AD328" s="179"/>
      <c r="AE328" s="179"/>
      <c r="AF328" s="179"/>
      <c r="AG328" s="179"/>
      <c r="AH328" s="180"/>
      <c r="AJ328" s="544">
        <f ca="1">IF(AND($D328="Serviço",AJ$12&lt;&gt;0,$H328&gt;0,OR(AUTOEVENTO&lt;&gt;"manual",$M328&lt;&gt;1)),
IF(Import.TipoArredondamento&lt;&gt;"TransfereGOV",
ROUND(OFFSET($P328,0,AJ$13),15-13*ORÇAMENTO!$AF$7)/$H328*OFFSET(ORÇAMENTO!$X$15,ROW(AJ328)-ROW(AJ$15),0),
ROUND(ROUND(OFFSET($P328,0,AJ$13),15-13*ORÇAMENTO!$AF$7)*OFFSET(ORÇAMENTO!$W$15,ROW(AJ328)-ROW(AJ$15),0),15-13*ORÇAMENTO!$AF$11)),0)</f>
        <v>0</v>
      </c>
      <c r="AK328" s="545">
        <f ca="1">IF(AND($D328="Serviço",AK$12&lt;&gt;0,$H328&gt;0,OR(AUTOEVENTO&lt;&gt;"manual",$M328&lt;&gt;1)),
IF(Import.TipoArredondamento&lt;&gt;"TransfereGOV",
ROUND(OFFSET($P328,0,AK$13),15-13*ORÇAMENTO!$AF$7)/$H328*OFFSET(ORÇAMENTO!$X$15,ROW(AK328)-ROW(AK$15),0),
ROUND(ROUND(OFFSET($P328,0,AK$13),15-13*ORÇAMENTO!$AF$7)*OFFSET(ORÇAMENTO!$W$15,ROW(AK328)-ROW(AK$15),0),15-13*ORÇAMENTO!$AF$11)),0)</f>
        <v>0</v>
      </c>
      <c r="AL328" s="545">
        <f ca="1">IF(AND($D328="Serviço",AL$12&lt;&gt;0,$H328&gt;0,OR(AUTOEVENTO&lt;&gt;"manual",$M328&lt;&gt;1)),
IF(Import.TipoArredondamento&lt;&gt;"TransfereGOV",
ROUND(OFFSET($P328,0,AL$13),15-13*ORÇAMENTO!$AF$7)/$H328*OFFSET(ORÇAMENTO!$X$15,ROW(AL328)-ROW(AL$15),0),
ROUND(ROUND(OFFSET($P328,0,AL$13),15-13*ORÇAMENTO!$AF$7)*OFFSET(ORÇAMENTO!$W$15,ROW(AL328)-ROW(AL$15),0),15-13*ORÇAMENTO!$AF$11)),0)</f>
        <v>0</v>
      </c>
      <c r="AM328" s="545">
        <f ca="1">IF(AND($D328="Serviço",AM$12&lt;&gt;0,$H328&gt;0,OR(AUTOEVENTO&lt;&gt;"manual",$M328&lt;&gt;1)),
IF(Import.TipoArredondamento&lt;&gt;"TransfereGOV",
ROUND(OFFSET($P328,0,AM$13),15-13*ORÇAMENTO!$AF$7)/$H328*OFFSET(ORÇAMENTO!$X$15,ROW(AM328)-ROW(AM$15),0),
ROUND(ROUND(OFFSET($P328,0,AM$13),15-13*ORÇAMENTO!$AF$7)*OFFSET(ORÇAMENTO!$W$15,ROW(AM328)-ROW(AM$15),0),15-13*ORÇAMENTO!$AF$11)),0)</f>
        <v>0</v>
      </c>
      <c r="AN328" s="545">
        <f ca="1">IF(AND($D328="Serviço",AN$12&lt;&gt;0,$H328&gt;0,OR(AUTOEVENTO&lt;&gt;"manual",$M328&lt;&gt;1)),
IF(Import.TipoArredondamento&lt;&gt;"TransfereGOV",
ROUND(OFFSET($P328,0,AN$13),15-13*ORÇAMENTO!$AF$7)/$H328*OFFSET(ORÇAMENTO!$X$15,ROW(AN328)-ROW(AN$15),0),
ROUND(ROUND(OFFSET($P328,0,AN$13),15-13*ORÇAMENTO!$AF$7)*OFFSET(ORÇAMENTO!$W$15,ROW(AN328)-ROW(AN$15),0),15-13*ORÇAMENTO!$AF$11)),0)</f>
        <v>0</v>
      </c>
      <c r="AO328" s="545">
        <f ca="1">IF(AND($D328="Serviço",AO$12&lt;&gt;0,$H328&gt;0,OR(AUTOEVENTO&lt;&gt;"manual",$M328&lt;&gt;1)),
IF(Import.TipoArredondamento&lt;&gt;"TransfereGOV",
ROUND(OFFSET($P328,0,AO$13),15-13*ORÇAMENTO!$AF$7)/$H328*OFFSET(ORÇAMENTO!$X$15,ROW(AO328)-ROW(AO$15),0),
ROUND(ROUND(OFFSET($P328,0,AO$13),15-13*ORÇAMENTO!$AF$7)*OFFSET(ORÇAMENTO!$W$15,ROW(AO328)-ROW(AO$15),0),15-13*ORÇAMENTO!$AF$11)),0)</f>
        <v>0</v>
      </c>
      <c r="AP328" s="545">
        <f ca="1">IF(AND($D328="Serviço",AP$12&lt;&gt;0,$H328&gt;0,OR(AUTOEVENTO&lt;&gt;"manual",$M328&lt;&gt;1)),
IF(Import.TipoArredondamento&lt;&gt;"TransfereGOV",
ROUND(OFFSET($P328,0,AP$13),15-13*ORÇAMENTO!$AF$7)/$H328*OFFSET(ORÇAMENTO!$X$15,ROW(AP328)-ROW(AP$15),0),
ROUND(ROUND(OFFSET($P328,0,AP$13),15-13*ORÇAMENTO!$AF$7)*OFFSET(ORÇAMENTO!$W$15,ROW(AP328)-ROW(AP$15),0),15-13*ORÇAMENTO!$AF$11)),0)</f>
        <v>0</v>
      </c>
      <c r="AQ328" s="545">
        <f ca="1">IF(AND($D328="Serviço",AQ$12&lt;&gt;0,$H328&gt;0,OR(AUTOEVENTO&lt;&gt;"manual",$M328&lt;&gt;1)),
IF(Import.TipoArredondamento&lt;&gt;"TransfereGOV",
ROUND(OFFSET($P328,0,AQ$13),15-13*ORÇAMENTO!$AF$7)/$H328*OFFSET(ORÇAMENTO!$X$15,ROW(AQ328)-ROW(AQ$15),0),
ROUND(ROUND(OFFSET($P328,0,AQ$13),15-13*ORÇAMENTO!$AF$7)*OFFSET(ORÇAMENTO!$W$15,ROW(AQ328)-ROW(AQ$15),0),15-13*ORÇAMENTO!$AF$11)),0)</f>
        <v>0</v>
      </c>
      <c r="AR328" s="545">
        <f ca="1">IF(AND($D328="Serviço",AR$12&lt;&gt;0,$H328&gt;0,OR(AUTOEVENTO&lt;&gt;"manual",$M328&lt;&gt;1)),
IF(Import.TipoArredondamento&lt;&gt;"TransfereGOV",
ROUND(OFFSET($P328,0,AR$13),15-13*ORÇAMENTO!$AF$7)/$H328*OFFSET(ORÇAMENTO!$X$15,ROW(AR328)-ROW(AR$15),0),
ROUND(ROUND(OFFSET($P328,0,AR$13),15-13*ORÇAMENTO!$AF$7)*OFFSET(ORÇAMENTO!$W$15,ROW(AR328)-ROW(AR$15),0),15-13*ORÇAMENTO!$AF$11)),0)</f>
        <v>0</v>
      </c>
      <c r="AS328" s="546">
        <f ca="1">IF(AND($D328="Serviço",AS$12&lt;&gt;0,$H328&gt;0,OR(AUTOEVENTO&lt;&gt;"manual",$M328&lt;&gt;1)),
IF(Import.TipoArredondamento&lt;&gt;"TransfereGOV",
ROUND(OFFSET($P328,0,AS$13),15-13*ORÇAMENTO!$AF$7)/$H328*OFFSET(ORÇAMENTO!$X$15,ROW(AS328)-ROW(AS$15),0),
ROUND(ROUND(OFFSET($P328,0,AS$13),15-13*ORÇAMENTO!$AF$7)*OFFSET(ORÇAMENTO!$W$15,ROW(AS328)-ROW(AS$15),0),15-13*ORÇAMENTO!$AF$11)),0)</f>
        <v>0</v>
      </c>
      <c r="AT328" s="545">
        <f ca="1">IF(AND($D328="Serviço",AT$12&lt;&gt;0,$H328&gt;0,OR(AUTOEVENTO&lt;&gt;"manual",$M328&lt;&gt;1)),
IF(Import.TipoArredondamento&lt;&gt;"TransfereGOV",
ROUND(OFFSET($P328,0,AT$13),15-13*ORÇAMENTO!$AF$7)/$H328*OFFSET(ORÇAMENTO!$X$15,ROW(AT328)-ROW(AT$15),0),
ROUND(ROUND(OFFSET($P328,0,AT$13),15-13*ORÇAMENTO!$AF$7)*OFFSET(ORÇAMENTO!$W$15,ROW(AT328)-ROW(AT$15),0),15-13*ORÇAMENTO!$AF$11)),0)</f>
        <v>0</v>
      </c>
      <c r="AU328" s="545">
        <f ca="1">IF(AND($D328="Serviço",AU$12&lt;&gt;0,$H328&gt;0,OR(AUTOEVENTO&lt;&gt;"manual",$M328&lt;&gt;1)),
IF(Import.TipoArredondamento&lt;&gt;"TransfereGOV",
ROUND(OFFSET($P328,0,AU$13),15-13*ORÇAMENTO!$AF$7)/$H328*OFFSET(ORÇAMENTO!$X$15,ROW(AU328)-ROW(AU$15),0),
ROUND(ROUND(OFFSET($P328,0,AU$13),15-13*ORÇAMENTO!$AF$7)*OFFSET(ORÇAMENTO!$W$15,ROW(AU328)-ROW(AU$15),0),15-13*ORÇAMENTO!$AF$11)),0)</f>
        <v>0</v>
      </c>
      <c r="AV328" s="545">
        <f ca="1">IF(AND($D328="Serviço",AV$12&lt;&gt;0,$H328&gt;0,OR(AUTOEVENTO&lt;&gt;"manual",$M328&lt;&gt;1)),
IF(Import.TipoArredondamento&lt;&gt;"TransfereGOV",
ROUND(OFFSET($P328,0,AV$13),15-13*ORÇAMENTO!$AF$7)/$H328*OFFSET(ORÇAMENTO!$X$15,ROW(AV328)-ROW(AV$15),0),
ROUND(ROUND(OFFSET($P328,0,AV$13),15-13*ORÇAMENTO!$AF$7)*OFFSET(ORÇAMENTO!$W$15,ROW(AV328)-ROW(AV$15),0),15-13*ORÇAMENTO!$AF$11)),0)</f>
        <v>0</v>
      </c>
      <c r="AW328" s="545">
        <f ca="1">IF(AND($D328="Serviço",AW$12&lt;&gt;0,$H328&gt;0,OR(AUTOEVENTO&lt;&gt;"manual",$M328&lt;&gt;1)),
IF(Import.TipoArredondamento&lt;&gt;"TransfereGOV",
ROUND(OFFSET($P328,0,AW$13),15-13*ORÇAMENTO!$AF$7)/$H328*OFFSET(ORÇAMENTO!$X$15,ROW(AW328)-ROW(AW$15),0),
ROUND(ROUND(OFFSET($P328,0,AW$13),15-13*ORÇAMENTO!$AF$7)*OFFSET(ORÇAMENTO!$W$15,ROW(AW328)-ROW(AW$15),0),15-13*ORÇAMENTO!$AF$11)),0)</f>
        <v>0</v>
      </c>
      <c r="AX328" s="545">
        <f ca="1">IF(AND($D328="Serviço",AX$12&lt;&gt;0,$H328&gt;0,OR(AUTOEVENTO&lt;&gt;"manual",$M328&lt;&gt;1)),
IF(Import.TipoArredondamento&lt;&gt;"TransfereGOV",
ROUND(OFFSET($P328,0,AX$13),15-13*ORÇAMENTO!$AF$7)/$H328*OFFSET(ORÇAMENTO!$X$15,ROW(AX328)-ROW(AX$15),0),
ROUND(ROUND(OFFSET($P328,0,AX$13),15-13*ORÇAMENTO!$AF$7)*OFFSET(ORÇAMENTO!$W$15,ROW(AX328)-ROW(AX$15),0),15-13*ORÇAMENTO!$AF$11)),0)</f>
        <v>0</v>
      </c>
      <c r="AY328" s="545">
        <f ca="1">IF(AND($D328="Serviço",AY$12&lt;&gt;0,$H328&gt;0,OR(AUTOEVENTO&lt;&gt;"manual",$M328&lt;&gt;1)),
IF(Import.TipoArredondamento&lt;&gt;"TransfereGOV",
ROUND(OFFSET($P328,0,AY$13),15-13*ORÇAMENTO!$AF$7)/$H328*OFFSET(ORÇAMENTO!$X$15,ROW(AY328)-ROW(AY$15),0),
ROUND(ROUND(OFFSET($P328,0,AY$13),15-13*ORÇAMENTO!$AF$7)*OFFSET(ORÇAMENTO!$W$15,ROW(AY328)-ROW(AY$15),0),15-13*ORÇAMENTO!$AF$11)),0)</f>
        <v>0</v>
      </c>
      <c r="AZ328" s="545">
        <f ca="1">IF(AND($D328="Serviço",AZ$12&lt;&gt;0,$H328&gt;0,OR(AUTOEVENTO&lt;&gt;"manual",$M328&lt;&gt;1)),
IF(Import.TipoArredondamento&lt;&gt;"TransfereGOV",
ROUND(OFFSET($P328,0,AZ$13),15-13*ORÇAMENTO!$AF$7)/$H328*OFFSET(ORÇAMENTO!$X$15,ROW(AZ328)-ROW(AZ$15),0),
ROUND(ROUND(OFFSET($P328,0,AZ$13),15-13*ORÇAMENTO!$AF$7)*OFFSET(ORÇAMENTO!$W$15,ROW(AZ328)-ROW(AZ$15),0),15-13*ORÇAMENTO!$AF$11)),0)</f>
        <v>0</v>
      </c>
      <c r="BA328" s="546">
        <f ca="1">IF(AND($D328="Serviço",BA$12&lt;&gt;0,$H328&gt;0,OR(AUTOEVENTO&lt;&gt;"manual",$M328&lt;&gt;1)),
IF(Import.TipoArredondamento&lt;&gt;"TransfereGOV",
ROUND(OFFSET($P328,0,BA$13),15-13*ORÇAMENTO!$AF$7)/$H328*OFFSET(ORÇAMENTO!$X$15,ROW(BA328)-ROW(BA$15),0),
ROUND(ROUND(OFFSET($P328,0,BA$13),15-13*ORÇAMENTO!$AF$7)*OFFSET(ORÇAMENTO!$W$15,ROW(BA328)-ROW(BA$15),0),15-13*ORÇAMENTO!$AF$11)),0)</f>
        <v>0</v>
      </c>
      <c r="BC328" s="181">
        <f ca="1">IF($D328&lt;&gt;"Serviço",0,IF(AND(AUTOEVENTO="Manual",$M328=1),0,IF(OFFSET(CRONOPLE!$F$14,$M328,BC$13)="",10^12,OFFSET(CRONOPLE!$F$14,$M328,BC$13))))</f>
        <v>9</v>
      </c>
      <c r="BD328" s="181">
        <f ca="1">IF($D328&lt;&gt;"Serviço",0,IF(AND(AUTOEVENTO="Manual",$M328=1),0,IF(OFFSET(CRONOPLE!$F$14,$M328,BD$13)="",10^12,OFFSET(CRONOPLE!$F$14,$M328,BD$13))))</f>
        <v>1000000000000</v>
      </c>
      <c r="BE328" s="181">
        <f ca="1">IF($D328&lt;&gt;"Serviço",0,IF(AND(AUTOEVENTO="Manual",$M328=1),0,IF(OFFSET(CRONOPLE!$F$14,$M328,BE$13)="",10^12,OFFSET(CRONOPLE!$F$14,$M328,BE$13))))</f>
        <v>1000000000000</v>
      </c>
      <c r="BF328" s="181">
        <f ca="1">IF($D328&lt;&gt;"Serviço",0,IF(AND(AUTOEVENTO="Manual",$M328=1),0,IF(OFFSET(CRONOPLE!$F$14,$M328,BF$13)="",10^12,OFFSET(CRONOPLE!$F$14,$M328,BF$13))))</f>
        <v>1000000000000</v>
      </c>
      <c r="BG328" s="181">
        <f ca="1">IF($D328&lt;&gt;"Serviço",0,IF(AND(AUTOEVENTO="Manual",$M328=1),0,IF(OFFSET(CRONOPLE!$F$14,$M328,BG$13)="",10^12,OFFSET(CRONOPLE!$F$14,$M328,BG$13))))</f>
        <v>1000000000000</v>
      </c>
      <c r="BH328" s="181">
        <f ca="1">IF($D328&lt;&gt;"Serviço",0,IF(AND(AUTOEVENTO="Manual",$M328=1),0,IF(OFFSET(CRONOPLE!$F$14,$M328,BH$13)="",10^12,OFFSET(CRONOPLE!$F$14,$M328,BH$13))))</f>
        <v>1000000000000</v>
      </c>
      <c r="BI328" s="181">
        <f ca="1">IF($D328&lt;&gt;"Serviço",0,IF(AND(AUTOEVENTO="Manual",$M328=1),0,IF(OFFSET(CRONOPLE!$F$14,$M328,BI$13)="",10^12,OFFSET(CRONOPLE!$F$14,$M328,BI$13))))</f>
        <v>1000000000000</v>
      </c>
      <c r="BJ328" s="181">
        <f ca="1">IF($D328&lt;&gt;"Serviço",0,IF(AND(AUTOEVENTO="Manual",$M328=1),0,IF(OFFSET(CRONOPLE!$F$14,$M328,BJ$13)="",10^12,OFFSET(CRONOPLE!$F$14,$M328,BJ$13))))</f>
        <v>1000000000000</v>
      </c>
      <c r="BK328" s="181">
        <f ca="1">IF($D328&lt;&gt;"Serviço",0,IF(AND(AUTOEVENTO="Manual",$M328=1),0,IF(OFFSET(CRONOPLE!$F$14,$M328,BK$13)="",10^12,OFFSET(CRONOPLE!$F$14,$M328,BK$13))))</f>
        <v>1000000000000</v>
      </c>
      <c r="BL328" s="181">
        <f ca="1">IF($D328&lt;&gt;"Serviço",0,IF(AND(AUTOEVENTO="Manual",$M328=1),0,IF(OFFSET(CRONOPLE!$F$14,$M328,BL$13)="",10^12,OFFSET(CRONOPLE!$F$14,$M328,BL$13))))</f>
        <v>1000000000000</v>
      </c>
      <c r="BM328" s="181">
        <f ca="1">IF($D328&lt;&gt;"Serviço",0,IF(AND(AUTOEVENTO="Manual",$M328=1),0,IF(OFFSET(CRONOPLE!$F$14,$M328,BM$13)="",10^12,OFFSET(CRONOPLE!$F$14,$M328,BM$13))))</f>
        <v>1000000000000</v>
      </c>
      <c r="BN328" s="181">
        <f ca="1">IF($D328&lt;&gt;"Serviço",0,IF(AND(AUTOEVENTO="Manual",$M328=1),0,IF(OFFSET(CRONOPLE!$F$14,$M328,BN$13)="",10^12,OFFSET(CRONOPLE!$F$14,$M328,BN$13))))</f>
        <v>1000000000000</v>
      </c>
      <c r="BO328" s="181">
        <f ca="1">IF($D328&lt;&gt;"Serviço",0,IF(AND(AUTOEVENTO="Manual",$M328=1),0,IF(OFFSET(CRONOPLE!$F$14,$M328,BO$13)="",10^12,OFFSET(CRONOPLE!$F$14,$M328,BO$13))))</f>
        <v>1000000000000</v>
      </c>
      <c r="BP328" s="181">
        <f ca="1">IF($D328&lt;&gt;"Serviço",0,IF(AND(AUTOEVENTO="Manual",$M328=1),0,IF(OFFSET(CRONOPLE!$F$14,$M328,BP$13)="",10^12,OFFSET(CRONOPLE!$F$14,$M328,BP$13))))</f>
        <v>1000000000000</v>
      </c>
      <c r="BQ328" s="181">
        <f ca="1">IF($D328&lt;&gt;"Serviço",0,IF(AND(AUTOEVENTO="Manual",$M328=1),0,IF(OFFSET(CRONOPLE!$F$14,$M328,BQ$13)="",10^12,OFFSET(CRONOPLE!$F$14,$M328,BQ$13))))</f>
        <v>1000000000000</v>
      </c>
      <c r="BR328" s="181">
        <f ca="1">IF($D328&lt;&gt;"Serviço",0,IF(AND(AUTOEVENTO="Manual",$M328=1),0,IF(OFFSET(CRONOPLE!$F$14,$M328,BR$13)="",10^12,OFFSET(CRONOPLE!$F$14,$M328,BR$13))))</f>
        <v>1000000000000</v>
      </c>
      <c r="BS328" s="181">
        <f ca="1">IF($D328&lt;&gt;"Serviço",0,IF(AND(AUTOEVENTO="Manual",$M328=1),0,IF(OFFSET(CRONOPLE!$F$14,$M328,BS$13)="",10^12,OFFSET(CRONOPLE!$F$14,$M328,BS$13))))</f>
        <v>1000000000000</v>
      </c>
      <c r="BT328" s="181">
        <f ca="1">IF($D328&lt;&gt;"Serviço",0,IF(AND(AUTOEVENTO="Manual",$M328=1),0,IF(OFFSET(CRONOPLE!$F$14,$M328,BT$13)="",10^12,OFFSET(CRONOPLE!$F$14,$M328,BT$13))))</f>
        <v>1000000000000</v>
      </c>
      <c r="BV328" s="182">
        <f ca="1">IF($D328&lt;&gt;"Serviço",0,IF(OR(AND(AUTOEVENTO="Manual",$M328=1),$M328&gt;(ROW(PLE.lastrow)-ROW(PLE.firstrow))),0,IF(OFFSET(PLE!$G$14,$M328,BV$13)="",10^12,OFFSET(PLE!$G$14,$M328,BV$13))))</f>
        <v>1000000000000</v>
      </c>
      <c r="BW328" s="182">
        <f ca="1">IF($D328&lt;&gt;"Serviço",0,IF(OR(AND(AUTOEVENTO="Manual",$M328=1),$M328&gt;(ROW(PLE.lastrow)-ROW(PLE.firstrow))),0,IF(OFFSET(PLE!$G$14,$M328,BW$13)="",10^12,OFFSET(PLE!$G$14,$M328,BW$13))))</f>
        <v>1000000000000</v>
      </c>
      <c r="BX328" s="182">
        <f ca="1">IF($D328&lt;&gt;"Serviço",0,IF(OR(AND(AUTOEVENTO="Manual",$M328=1),$M328&gt;(ROW(PLE.lastrow)-ROW(PLE.firstrow))),0,IF(OFFSET(PLE!$G$14,$M328,BX$13)="",10^12,OFFSET(PLE!$G$14,$M328,BX$13))))</f>
        <v>1000000000000</v>
      </c>
      <c r="BY328" s="182">
        <f ca="1">IF($D328&lt;&gt;"Serviço",0,IF(OR(AND(AUTOEVENTO="Manual",$M328=1),$M328&gt;(ROW(PLE.lastrow)-ROW(PLE.firstrow))),0,IF(OFFSET(PLE!$G$14,$M328,BY$13)="",10^12,OFFSET(PLE!$G$14,$M328,BY$13))))</f>
        <v>1000000000000</v>
      </c>
      <c r="BZ328" s="182">
        <f ca="1">IF($D328&lt;&gt;"Serviço",0,IF(OR(AND(AUTOEVENTO="Manual",$M328=1),$M328&gt;(ROW(PLE.lastrow)-ROW(PLE.firstrow))),0,IF(OFFSET(PLE!$G$14,$M328,BZ$13)="",10^12,OFFSET(PLE!$G$14,$M328,BZ$13))))</f>
        <v>1000000000000</v>
      </c>
      <c r="CA328" s="182">
        <f ca="1">IF($D328&lt;&gt;"Serviço",0,IF(OR(AND(AUTOEVENTO="Manual",$M328=1),$M328&gt;(ROW(PLE.lastrow)-ROW(PLE.firstrow))),0,IF(OFFSET(PLE!$G$14,$M328,CA$13)="",10^12,OFFSET(PLE!$G$14,$M328,CA$13))))</f>
        <v>1000000000000</v>
      </c>
      <c r="CB328" s="182">
        <f ca="1">IF($D328&lt;&gt;"Serviço",0,IF(OR(AND(AUTOEVENTO="Manual",$M328=1),$M328&gt;(ROW(PLE.lastrow)-ROW(PLE.firstrow))),0,IF(OFFSET(PLE!$G$14,$M328,CB$13)="",10^12,OFFSET(PLE!$G$14,$M328,CB$13))))</f>
        <v>1000000000000</v>
      </c>
      <c r="CC328" s="182">
        <f ca="1">IF($D328&lt;&gt;"Serviço",0,IF(OR(AND(AUTOEVENTO="Manual",$M328=1),$M328&gt;(ROW(PLE.lastrow)-ROW(PLE.firstrow))),0,IF(OFFSET(PLE!$G$14,$M328,CC$13)="",10^12,OFFSET(PLE!$G$14,$M328,CC$13))))</f>
        <v>1000000000000</v>
      </c>
      <c r="CD328" s="182">
        <f ca="1">IF($D328&lt;&gt;"Serviço",0,IF(OR(AND(AUTOEVENTO="Manual",$M328=1),$M328&gt;(ROW(PLE.lastrow)-ROW(PLE.firstrow))),0,IF(OFFSET(PLE!$G$14,$M328,CD$13)="",10^12,OFFSET(PLE!$G$14,$M328,CD$13))))</f>
        <v>1000000000000</v>
      </c>
      <c r="CE328" s="182">
        <f ca="1">IF($D328&lt;&gt;"Serviço",0,IF(OR(AND(AUTOEVENTO="Manual",$M328=1),$M328&gt;(ROW(PLE.lastrow)-ROW(PLE.firstrow))),0,IF(OFFSET(PLE!$G$14,$M328,CE$13)="",10^12,OFFSET(PLE!$G$14,$M328,CE$13))))</f>
        <v>1000000000000</v>
      </c>
      <c r="CF328" s="182">
        <f ca="1">IF($D328&lt;&gt;"Serviço",0,IF(OR(AND(AUTOEVENTO="Manual",$M328=1),$M328&gt;(ROW(PLE.lastrow)-ROW(PLE.firstrow))),0,IF(OFFSET(PLE!$G$14,$M328,CF$13)="",10^12,OFFSET(PLE!$G$14,$M328,CF$13))))</f>
        <v>1000000000000</v>
      </c>
      <c r="CG328" s="182">
        <f ca="1">IF($D328&lt;&gt;"Serviço",0,IF(OR(AND(AUTOEVENTO="Manual",$M328=1),$M328&gt;(ROW(PLE.lastrow)-ROW(PLE.firstrow))),0,IF(OFFSET(PLE!$G$14,$M328,CG$13)="",10^12,OFFSET(PLE!$G$14,$M328,CG$13))))</f>
        <v>1000000000000</v>
      </c>
      <c r="CH328" s="182">
        <f ca="1">IF($D328&lt;&gt;"Serviço",0,IF(OR(AND(AUTOEVENTO="Manual",$M328=1),$M328&gt;(ROW(PLE.lastrow)-ROW(PLE.firstrow))),0,IF(OFFSET(PLE!$G$14,$M328,CH$13)="",10^12,OFFSET(PLE!$G$14,$M328,CH$13))))</f>
        <v>1000000000000</v>
      </c>
      <c r="CI328" s="182">
        <f ca="1">IF($D328&lt;&gt;"Serviço",0,IF(OR(AND(AUTOEVENTO="Manual",$M328=1),$M328&gt;(ROW(PLE.lastrow)-ROW(PLE.firstrow))),0,IF(OFFSET(PLE!$G$14,$M328,CI$13)="",10^12,OFFSET(PLE!$G$14,$M328,CI$13))))</f>
        <v>1000000000000</v>
      </c>
      <c r="CJ328" s="182">
        <f ca="1">IF($D328&lt;&gt;"Serviço",0,IF(OR(AND(AUTOEVENTO="Manual",$M328=1),$M328&gt;(ROW(PLE.lastrow)-ROW(PLE.firstrow))),0,IF(OFFSET(PLE!$G$14,$M328,CJ$13)="",10^12,OFFSET(PLE!$G$14,$M328,CJ$13))))</f>
        <v>1000000000000</v>
      </c>
      <c r="CK328" s="182">
        <f ca="1">IF($D328&lt;&gt;"Serviço",0,IF(OR(AND(AUTOEVENTO="Manual",$M328=1),$M328&gt;(ROW(PLE.lastrow)-ROW(PLE.firstrow))),0,IF(OFFSET(PLE!$G$14,$M328,CK$13)="",10^12,OFFSET(PLE!$G$14,$M328,CK$13))))</f>
        <v>1000000000000</v>
      </c>
      <c r="CL328" s="182">
        <f ca="1">IF($D328&lt;&gt;"Serviço",0,IF(OR(AND(AUTOEVENTO="Manual",$M328=1),$M328&gt;(ROW(PLE.lastrow)-ROW(PLE.firstrow))),0,IF(OFFSET(PLE!$G$14,$M328,CL$13)="",10^12,OFFSET(PLE!$G$14,$M328,CL$13))))</f>
        <v>1000000000000</v>
      </c>
      <c r="CM328" s="182">
        <f ca="1">IF($D328&lt;&gt;"Serviço",0,IF(OR(AND(AUTOEVENTO="Manual",$M328=1),$M328&gt;(ROW(PLE.lastrow)-ROW(PLE.firstrow))),0,IF(OFFSET(PLE!$G$14,$M328,CM$13)="",10^12,OFFSET(PLE!$G$14,$M328,CM$13))))</f>
        <v>1000000000000</v>
      </c>
    </row>
    <row r="329" spans="1:91" ht="38.25" x14ac:dyDescent="0.2">
      <c r="A329" s="7" t="str">
        <f t="shared" ca="1" si="12"/>
        <v>304</v>
      </c>
      <c r="B329" s="7" t="str">
        <f ca="1">OFFSET(ORÇAMENTO!C$15,ROW(B329)-ROW(B$15),0)</f>
        <v>S</v>
      </c>
      <c r="C329" s="7" t="str">
        <f ca="1">OFFSET(ORÇAMENTO!L$15,ROW(C329)-ROW(C$15),0)</f>
        <v/>
      </c>
      <c r="D329" s="118" t="str">
        <f ca="1">OFFSET(ORÇAMENTO!N$15,ROW(D329)-ROW(D$15),0)</f>
        <v>Serviço</v>
      </c>
      <c r="E329" s="119" t="str">
        <f ca="1">OFFSET(ORÇAMENTO!O$15,ROW(E329)-ROW(E$15),0)</f>
        <v>-</v>
      </c>
      <c r="F329" s="172" t="str">
        <f ca="1">OFFSET(ORÇAMENTO!R$15,ROW(F329)-ROW(F$15),0)</f>
        <v>(abra o arquivo 'Referência 06-2024.xlsm)</v>
      </c>
      <c r="G329" s="173" t="str">
        <f ca="1">IF($D329&lt;&gt;"Serviço","",OFFSET(ORÇAMENTO!S$15,ROW(G329)-ROW(G$15),0))</f>
        <v>-</v>
      </c>
      <c r="H329" s="124">
        <f ca="1">IF($D329&lt;&gt;"Serviço",0,IF(ACOMPANHAMENTO="BM",ROUND(OFFSET(ORÇAMENTO!AJ$15,ROW(H329)-ROW(H$15),0),15-13*ORÇAMENTO!$AF$7),SUMPRODUCT(($Q$12:$AI$12&lt;&gt;"")*ROUND($Q329:$AI329,15-13*ORÇAMENTO!$AF$7))))</f>
        <v>3</v>
      </c>
      <c r="I329" s="561" t="s">
        <v>1107</v>
      </c>
      <c r="K329" s="174"/>
      <c r="L329" s="175" t="s">
        <v>255</v>
      </c>
      <c r="M329" s="176">
        <f ca="1">IF($D329&lt;&gt;"Serviço","",IF(AUTOEVENTO="manual",$A329,IF(ISERROR(MATCH($A329,$A$15:OFFSET($A329,-1,0),0)),MAX($M$15:OFFSET(M329,-1,0))+1,INDEX($M$15:OFFSET(M329,-1,0),MATCH($A329,$A$15:OFFSET($A329,-1,0),0)))))</f>
        <v>41</v>
      </c>
      <c r="N329" s="177" t="str">
        <f ca="1">IF($D329&lt;&gt;"Serviço","",IF(AUTOEVENTO="Manual",IF($A329=0,"&lt;-- defina o número do agrupador",OFFSET(EVENTOS!$D$14,$A329,0)),OFFSET($F$15,$A329,0)))</f>
        <v>INSTALAÇÃO SANITÁRIA - TUBULAÇÕES E CONEXÕES</v>
      </c>
      <c r="O329" s="178"/>
      <c r="Q329" s="178">
        <v>3</v>
      </c>
      <c r="R329" s="179"/>
      <c r="S329" s="179"/>
      <c r="T329" s="179"/>
      <c r="U329" s="179"/>
      <c r="V329" s="179"/>
      <c r="W329" s="179"/>
      <c r="X329" s="179"/>
      <c r="Y329" s="179"/>
      <c r="Z329" s="180"/>
      <c r="AA329" s="179"/>
      <c r="AB329" s="179"/>
      <c r="AC329" s="179"/>
      <c r="AD329" s="179"/>
      <c r="AE329" s="179"/>
      <c r="AF329" s="179"/>
      <c r="AG329" s="179"/>
      <c r="AH329" s="180"/>
      <c r="AJ329" s="544">
        <f ca="1">IF(AND($D329="Serviço",AJ$12&lt;&gt;0,$H329&gt;0,OR(AUTOEVENTO&lt;&gt;"manual",$M329&lt;&gt;1)),
IF(Import.TipoArredondamento&lt;&gt;"TransfereGOV",
ROUND(OFFSET($P329,0,AJ$13),15-13*ORÇAMENTO!$AF$7)/$H329*OFFSET(ORÇAMENTO!$X$15,ROW(AJ329)-ROW(AJ$15),0),
ROUND(ROUND(OFFSET($P329,0,AJ$13),15-13*ORÇAMENTO!$AF$7)*OFFSET(ORÇAMENTO!$W$15,ROW(AJ329)-ROW(AJ$15),0),15-13*ORÇAMENTO!$AF$11)),0)</f>
        <v>0</v>
      </c>
      <c r="AK329" s="545">
        <f ca="1">IF(AND($D329="Serviço",AK$12&lt;&gt;0,$H329&gt;0,OR(AUTOEVENTO&lt;&gt;"manual",$M329&lt;&gt;1)),
IF(Import.TipoArredondamento&lt;&gt;"TransfereGOV",
ROUND(OFFSET($P329,0,AK$13),15-13*ORÇAMENTO!$AF$7)/$H329*OFFSET(ORÇAMENTO!$X$15,ROW(AK329)-ROW(AK$15),0),
ROUND(ROUND(OFFSET($P329,0,AK$13),15-13*ORÇAMENTO!$AF$7)*OFFSET(ORÇAMENTO!$W$15,ROW(AK329)-ROW(AK$15),0),15-13*ORÇAMENTO!$AF$11)),0)</f>
        <v>0</v>
      </c>
      <c r="AL329" s="545">
        <f ca="1">IF(AND($D329="Serviço",AL$12&lt;&gt;0,$H329&gt;0,OR(AUTOEVENTO&lt;&gt;"manual",$M329&lt;&gt;1)),
IF(Import.TipoArredondamento&lt;&gt;"TransfereGOV",
ROUND(OFFSET($P329,0,AL$13),15-13*ORÇAMENTO!$AF$7)/$H329*OFFSET(ORÇAMENTO!$X$15,ROW(AL329)-ROW(AL$15),0),
ROUND(ROUND(OFFSET($P329,0,AL$13),15-13*ORÇAMENTO!$AF$7)*OFFSET(ORÇAMENTO!$W$15,ROW(AL329)-ROW(AL$15),0),15-13*ORÇAMENTO!$AF$11)),0)</f>
        <v>0</v>
      </c>
      <c r="AM329" s="545">
        <f ca="1">IF(AND($D329="Serviço",AM$12&lt;&gt;0,$H329&gt;0,OR(AUTOEVENTO&lt;&gt;"manual",$M329&lt;&gt;1)),
IF(Import.TipoArredondamento&lt;&gt;"TransfereGOV",
ROUND(OFFSET($P329,0,AM$13),15-13*ORÇAMENTO!$AF$7)/$H329*OFFSET(ORÇAMENTO!$X$15,ROW(AM329)-ROW(AM$15),0),
ROUND(ROUND(OFFSET($P329,0,AM$13),15-13*ORÇAMENTO!$AF$7)*OFFSET(ORÇAMENTO!$W$15,ROW(AM329)-ROW(AM$15),0),15-13*ORÇAMENTO!$AF$11)),0)</f>
        <v>0</v>
      </c>
      <c r="AN329" s="545">
        <f ca="1">IF(AND($D329="Serviço",AN$12&lt;&gt;0,$H329&gt;0,OR(AUTOEVENTO&lt;&gt;"manual",$M329&lt;&gt;1)),
IF(Import.TipoArredondamento&lt;&gt;"TransfereGOV",
ROUND(OFFSET($P329,0,AN$13),15-13*ORÇAMENTO!$AF$7)/$H329*OFFSET(ORÇAMENTO!$X$15,ROW(AN329)-ROW(AN$15),0),
ROUND(ROUND(OFFSET($P329,0,AN$13),15-13*ORÇAMENTO!$AF$7)*OFFSET(ORÇAMENTO!$W$15,ROW(AN329)-ROW(AN$15),0),15-13*ORÇAMENTO!$AF$11)),0)</f>
        <v>0</v>
      </c>
      <c r="AO329" s="545">
        <f ca="1">IF(AND($D329="Serviço",AO$12&lt;&gt;0,$H329&gt;0,OR(AUTOEVENTO&lt;&gt;"manual",$M329&lt;&gt;1)),
IF(Import.TipoArredondamento&lt;&gt;"TransfereGOV",
ROUND(OFFSET($P329,0,AO$13),15-13*ORÇAMENTO!$AF$7)/$H329*OFFSET(ORÇAMENTO!$X$15,ROW(AO329)-ROW(AO$15),0),
ROUND(ROUND(OFFSET($P329,0,AO$13),15-13*ORÇAMENTO!$AF$7)*OFFSET(ORÇAMENTO!$W$15,ROW(AO329)-ROW(AO$15),0),15-13*ORÇAMENTO!$AF$11)),0)</f>
        <v>0</v>
      </c>
      <c r="AP329" s="545">
        <f ca="1">IF(AND($D329="Serviço",AP$12&lt;&gt;0,$H329&gt;0,OR(AUTOEVENTO&lt;&gt;"manual",$M329&lt;&gt;1)),
IF(Import.TipoArredondamento&lt;&gt;"TransfereGOV",
ROUND(OFFSET($P329,0,AP$13),15-13*ORÇAMENTO!$AF$7)/$H329*OFFSET(ORÇAMENTO!$X$15,ROW(AP329)-ROW(AP$15),0),
ROUND(ROUND(OFFSET($P329,0,AP$13),15-13*ORÇAMENTO!$AF$7)*OFFSET(ORÇAMENTO!$W$15,ROW(AP329)-ROW(AP$15),0),15-13*ORÇAMENTO!$AF$11)),0)</f>
        <v>0</v>
      </c>
      <c r="AQ329" s="545">
        <f ca="1">IF(AND($D329="Serviço",AQ$12&lt;&gt;0,$H329&gt;0,OR(AUTOEVENTO&lt;&gt;"manual",$M329&lt;&gt;1)),
IF(Import.TipoArredondamento&lt;&gt;"TransfereGOV",
ROUND(OFFSET($P329,0,AQ$13),15-13*ORÇAMENTO!$AF$7)/$H329*OFFSET(ORÇAMENTO!$X$15,ROW(AQ329)-ROW(AQ$15),0),
ROUND(ROUND(OFFSET($P329,0,AQ$13),15-13*ORÇAMENTO!$AF$7)*OFFSET(ORÇAMENTO!$W$15,ROW(AQ329)-ROW(AQ$15),0),15-13*ORÇAMENTO!$AF$11)),0)</f>
        <v>0</v>
      </c>
      <c r="AR329" s="545">
        <f ca="1">IF(AND($D329="Serviço",AR$12&lt;&gt;0,$H329&gt;0,OR(AUTOEVENTO&lt;&gt;"manual",$M329&lt;&gt;1)),
IF(Import.TipoArredondamento&lt;&gt;"TransfereGOV",
ROUND(OFFSET($P329,0,AR$13),15-13*ORÇAMENTO!$AF$7)/$H329*OFFSET(ORÇAMENTO!$X$15,ROW(AR329)-ROW(AR$15),0),
ROUND(ROUND(OFFSET($P329,0,AR$13),15-13*ORÇAMENTO!$AF$7)*OFFSET(ORÇAMENTO!$W$15,ROW(AR329)-ROW(AR$15),0),15-13*ORÇAMENTO!$AF$11)),0)</f>
        <v>0</v>
      </c>
      <c r="AS329" s="546">
        <f ca="1">IF(AND($D329="Serviço",AS$12&lt;&gt;0,$H329&gt;0,OR(AUTOEVENTO&lt;&gt;"manual",$M329&lt;&gt;1)),
IF(Import.TipoArredondamento&lt;&gt;"TransfereGOV",
ROUND(OFFSET($P329,0,AS$13),15-13*ORÇAMENTO!$AF$7)/$H329*OFFSET(ORÇAMENTO!$X$15,ROW(AS329)-ROW(AS$15),0),
ROUND(ROUND(OFFSET($P329,0,AS$13),15-13*ORÇAMENTO!$AF$7)*OFFSET(ORÇAMENTO!$W$15,ROW(AS329)-ROW(AS$15),0),15-13*ORÇAMENTO!$AF$11)),0)</f>
        <v>0</v>
      </c>
      <c r="AT329" s="545">
        <f ca="1">IF(AND($D329="Serviço",AT$12&lt;&gt;0,$H329&gt;0,OR(AUTOEVENTO&lt;&gt;"manual",$M329&lt;&gt;1)),
IF(Import.TipoArredondamento&lt;&gt;"TransfereGOV",
ROUND(OFFSET($P329,0,AT$13),15-13*ORÇAMENTO!$AF$7)/$H329*OFFSET(ORÇAMENTO!$X$15,ROW(AT329)-ROW(AT$15),0),
ROUND(ROUND(OFFSET($P329,0,AT$13),15-13*ORÇAMENTO!$AF$7)*OFFSET(ORÇAMENTO!$W$15,ROW(AT329)-ROW(AT$15),0),15-13*ORÇAMENTO!$AF$11)),0)</f>
        <v>0</v>
      </c>
      <c r="AU329" s="545">
        <f ca="1">IF(AND($D329="Serviço",AU$12&lt;&gt;0,$H329&gt;0,OR(AUTOEVENTO&lt;&gt;"manual",$M329&lt;&gt;1)),
IF(Import.TipoArredondamento&lt;&gt;"TransfereGOV",
ROUND(OFFSET($P329,0,AU$13),15-13*ORÇAMENTO!$AF$7)/$H329*OFFSET(ORÇAMENTO!$X$15,ROW(AU329)-ROW(AU$15),0),
ROUND(ROUND(OFFSET($P329,0,AU$13),15-13*ORÇAMENTO!$AF$7)*OFFSET(ORÇAMENTO!$W$15,ROW(AU329)-ROW(AU$15),0),15-13*ORÇAMENTO!$AF$11)),0)</f>
        <v>0</v>
      </c>
      <c r="AV329" s="545">
        <f ca="1">IF(AND($D329="Serviço",AV$12&lt;&gt;0,$H329&gt;0,OR(AUTOEVENTO&lt;&gt;"manual",$M329&lt;&gt;1)),
IF(Import.TipoArredondamento&lt;&gt;"TransfereGOV",
ROUND(OFFSET($P329,0,AV$13),15-13*ORÇAMENTO!$AF$7)/$H329*OFFSET(ORÇAMENTO!$X$15,ROW(AV329)-ROW(AV$15),0),
ROUND(ROUND(OFFSET($P329,0,AV$13),15-13*ORÇAMENTO!$AF$7)*OFFSET(ORÇAMENTO!$W$15,ROW(AV329)-ROW(AV$15),0),15-13*ORÇAMENTO!$AF$11)),0)</f>
        <v>0</v>
      </c>
      <c r="AW329" s="545">
        <f ca="1">IF(AND($D329="Serviço",AW$12&lt;&gt;0,$H329&gt;0,OR(AUTOEVENTO&lt;&gt;"manual",$M329&lt;&gt;1)),
IF(Import.TipoArredondamento&lt;&gt;"TransfereGOV",
ROUND(OFFSET($P329,0,AW$13),15-13*ORÇAMENTO!$AF$7)/$H329*OFFSET(ORÇAMENTO!$X$15,ROW(AW329)-ROW(AW$15),0),
ROUND(ROUND(OFFSET($P329,0,AW$13),15-13*ORÇAMENTO!$AF$7)*OFFSET(ORÇAMENTO!$W$15,ROW(AW329)-ROW(AW$15),0),15-13*ORÇAMENTO!$AF$11)),0)</f>
        <v>0</v>
      </c>
      <c r="AX329" s="545">
        <f ca="1">IF(AND($D329="Serviço",AX$12&lt;&gt;0,$H329&gt;0,OR(AUTOEVENTO&lt;&gt;"manual",$M329&lt;&gt;1)),
IF(Import.TipoArredondamento&lt;&gt;"TransfereGOV",
ROUND(OFFSET($P329,0,AX$13),15-13*ORÇAMENTO!$AF$7)/$H329*OFFSET(ORÇAMENTO!$X$15,ROW(AX329)-ROW(AX$15),0),
ROUND(ROUND(OFFSET($P329,0,AX$13),15-13*ORÇAMENTO!$AF$7)*OFFSET(ORÇAMENTO!$W$15,ROW(AX329)-ROW(AX$15),0),15-13*ORÇAMENTO!$AF$11)),0)</f>
        <v>0</v>
      </c>
      <c r="AY329" s="545">
        <f ca="1">IF(AND($D329="Serviço",AY$12&lt;&gt;0,$H329&gt;0,OR(AUTOEVENTO&lt;&gt;"manual",$M329&lt;&gt;1)),
IF(Import.TipoArredondamento&lt;&gt;"TransfereGOV",
ROUND(OFFSET($P329,0,AY$13),15-13*ORÇAMENTO!$AF$7)/$H329*OFFSET(ORÇAMENTO!$X$15,ROW(AY329)-ROW(AY$15),0),
ROUND(ROUND(OFFSET($P329,0,AY$13),15-13*ORÇAMENTO!$AF$7)*OFFSET(ORÇAMENTO!$W$15,ROW(AY329)-ROW(AY$15),0),15-13*ORÇAMENTO!$AF$11)),0)</f>
        <v>0</v>
      </c>
      <c r="AZ329" s="545">
        <f ca="1">IF(AND($D329="Serviço",AZ$12&lt;&gt;0,$H329&gt;0,OR(AUTOEVENTO&lt;&gt;"manual",$M329&lt;&gt;1)),
IF(Import.TipoArredondamento&lt;&gt;"TransfereGOV",
ROUND(OFFSET($P329,0,AZ$13),15-13*ORÇAMENTO!$AF$7)/$H329*OFFSET(ORÇAMENTO!$X$15,ROW(AZ329)-ROW(AZ$15),0),
ROUND(ROUND(OFFSET($P329,0,AZ$13),15-13*ORÇAMENTO!$AF$7)*OFFSET(ORÇAMENTO!$W$15,ROW(AZ329)-ROW(AZ$15),0),15-13*ORÇAMENTO!$AF$11)),0)</f>
        <v>0</v>
      </c>
      <c r="BA329" s="546">
        <f ca="1">IF(AND($D329="Serviço",BA$12&lt;&gt;0,$H329&gt;0,OR(AUTOEVENTO&lt;&gt;"manual",$M329&lt;&gt;1)),
IF(Import.TipoArredondamento&lt;&gt;"TransfereGOV",
ROUND(OFFSET($P329,0,BA$13),15-13*ORÇAMENTO!$AF$7)/$H329*OFFSET(ORÇAMENTO!$X$15,ROW(BA329)-ROW(BA$15),0),
ROUND(ROUND(OFFSET($P329,0,BA$13),15-13*ORÇAMENTO!$AF$7)*OFFSET(ORÇAMENTO!$W$15,ROW(BA329)-ROW(BA$15),0),15-13*ORÇAMENTO!$AF$11)),0)</f>
        <v>0</v>
      </c>
      <c r="BC329" s="181">
        <f ca="1">IF($D329&lt;&gt;"Serviço",0,IF(AND(AUTOEVENTO="Manual",$M329=1),0,IF(OFFSET(CRONOPLE!$F$14,$M329,BC$13)="",10^12,OFFSET(CRONOPLE!$F$14,$M329,BC$13))))</f>
        <v>9</v>
      </c>
      <c r="BD329" s="181">
        <f ca="1">IF($D329&lt;&gt;"Serviço",0,IF(AND(AUTOEVENTO="Manual",$M329=1),0,IF(OFFSET(CRONOPLE!$F$14,$M329,BD$13)="",10^12,OFFSET(CRONOPLE!$F$14,$M329,BD$13))))</f>
        <v>1000000000000</v>
      </c>
      <c r="BE329" s="181">
        <f ca="1">IF($D329&lt;&gt;"Serviço",0,IF(AND(AUTOEVENTO="Manual",$M329=1),0,IF(OFFSET(CRONOPLE!$F$14,$M329,BE$13)="",10^12,OFFSET(CRONOPLE!$F$14,$M329,BE$13))))</f>
        <v>1000000000000</v>
      </c>
      <c r="BF329" s="181">
        <f ca="1">IF($D329&lt;&gt;"Serviço",0,IF(AND(AUTOEVENTO="Manual",$M329=1),0,IF(OFFSET(CRONOPLE!$F$14,$M329,BF$13)="",10^12,OFFSET(CRONOPLE!$F$14,$M329,BF$13))))</f>
        <v>1000000000000</v>
      </c>
      <c r="BG329" s="181">
        <f ca="1">IF($D329&lt;&gt;"Serviço",0,IF(AND(AUTOEVENTO="Manual",$M329=1),0,IF(OFFSET(CRONOPLE!$F$14,$M329,BG$13)="",10^12,OFFSET(CRONOPLE!$F$14,$M329,BG$13))))</f>
        <v>1000000000000</v>
      </c>
      <c r="BH329" s="181">
        <f ca="1">IF($D329&lt;&gt;"Serviço",0,IF(AND(AUTOEVENTO="Manual",$M329=1),0,IF(OFFSET(CRONOPLE!$F$14,$M329,BH$13)="",10^12,OFFSET(CRONOPLE!$F$14,$M329,BH$13))))</f>
        <v>1000000000000</v>
      </c>
      <c r="BI329" s="181">
        <f ca="1">IF($D329&lt;&gt;"Serviço",0,IF(AND(AUTOEVENTO="Manual",$M329=1),0,IF(OFFSET(CRONOPLE!$F$14,$M329,BI$13)="",10^12,OFFSET(CRONOPLE!$F$14,$M329,BI$13))))</f>
        <v>1000000000000</v>
      </c>
      <c r="BJ329" s="181">
        <f ca="1">IF($D329&lt;&gt;"Serviço",0,IF(AND(AUTOEVENTO="Manual",$M329=1),0,IF(OFFSET(CRONOPLE!$F$14,$M329,BJ$13)="",10^12,OFFSET(CRONOPLE!$F$14,$M329,BJ$13))))</f>
        <v>1000000000000</v>
      </c>
      <c r="BK329" s="181">
        <f ca="1">IF($D329&lt;&gt;"Serviço",0,IF(AND(AUTOEVENTO="Manual",$M329=1),0,IF(OFFSET(CRONOPLE!$F$14,$M329,BK$13)="",10^12,OFFSET(CRONOPLE!$F$14,$M329,BK$13))))</f>
        <v>1000000000000</v>
      </c>
      <c r="BL329" s="181">
        <f ca="1">IF($D329&lt;&gt;"Serviço",0,IF(AND(AUTOEVENTO="Manual",$M329=1),0,IF(OFFSET(CRONOPLE!$F$14,$M329,BL$13)="",10^12,OFFSET(CRONOPLE!$F$14,$M329,BL$13))))</f>
        <v>1000000000000</v>
      </c>
      <c r="BM329" s="181">
        <f ca="1">IF($D329&lt;&gt;"Serviço",0,IF(AND(AUTOEVENTO="Manual",$M329=1),0,IF(OFFSET(CRONOPLE!$F$14,$M329,BM$13)="",10^12,OFFSET(CRONOPLE!$F$14,$M329,BM$13))))</f>
        <v>1000000000000</v>
      </c>
      <c r="BN329" s="181">
        <f ca="1">IF($D329&lt;&gt;"Serviço",0,IF(AND(AUTOEVENTO="Manual",$M329=1),0,IF(OFFSET(CRONOPLE!$F$14,$M329,BN$13)="",10^12,OFFSET(CRONOPLE!$F$14,$M329,BN$13))))</f>
        <v>1000000000000</v>
      </c>
      <c r="BO329" s="181">
        <f ca="1">IF($D329&lt;&gt;"Serviço",0,IF(AND(AUTOEVENTO="Manual",$M329=1),0,IF(OFFSET(CRONOPLE!$F$14,$M329,BO$13)="",10^12,OFFSET(CRONOPLE!$F$14,$M329,BO$13))))</f>
        <v>1000000000000</v>
      </c>
      <c r="BP329" s="181">
        <f ca="1">IF($D329&lt;&gt;"Serviço",0,IF(AND(AUTOEVENTO="Manual",$M329=1),0,IF(OFFSET(CRONOPLE!$F$14,$M329,BP$13)="",10^12,OFFSET(CRONOPLE!$F$14,$M329,BP$13))))</f>
        <v>1000000000000</v>
      </c>
      <c r="BQ329" s="181">
        <f ca="1">IF($D329&lt;&gt;"Serviço",0,IF(AND(AUTOEVENTO="Manual",$M329=1),0,IF(OFFSET(CRONOPLE!$F$14,$M329,BQ$13)="",10^12,OFFSET(CRONOPLE!$F$14,$M329,BQ$13))))</f>
        <v>1000000000000</v>
      </c>
      <c r="BR329" s="181">
        <f ca="1">IF($D329&lt;&gt;"Serviço",0,IF(AND(AUTOEVENTO="Manual",$M329=1),0,IF(OFFSET(CRONOPLE!$F$14,$M329,BR$13)="",10^12,OFFSET(CRONOPLE!$F$14,$M329,BR$13))))</f>
        <v>1000000000000</v>
      </c>
      <c r="BS329" s="181">
        <f ca="1">IF($D329&lt;&gt;"Serviço",0,IF(AND(AUTOEVENTO="Manual",$M329=1),0,IF(OFFSET(CRONOPLE!$F$14,$M329,BS$13)="",10^12,OFFSET(CRONOPLE!$F$14,$M329,BS$13))))</f>
        <v>1000000000000</v>
      </c>
      <c r="BT329" s="181">
        <f ca="1">IF($D329&lt;&gt;"Serviço",0,IF(AND(AUTOEVENTO="Manual",$M329=1),0,IF(OFFSET(CRONOPLE!$F$14,$M329,BT$13)="",10^12,OFFSET(CRONOPLE!$F$14,$M329,BT$13))))</f>
        <v>1000000000000</v>
      </c>
      <c r="BV329" s="182">
        <f ca="1">IF($D329&lt;&gt;"Serviço",0,IF(OR(AND(AUTOEVENTO="Manual",$M329=1),$M329&gt;(ROW(PLE.lastrow)-ROW(PLE.firstrow))),0,IF(OFFSET(PLE!$G$14,$M329,BV$13)="",10^12,OFFSET(PLE!$G$14,$M329,BV$13))))</f>
        <v>1000000000000</v>
      </c>
      <c r="BW329" s="182">
        <f ca="1">IF($D329&lt;&gt;"Serviço",0,IF(OR(AND(AUTOEVENTO="Manual",$M329=1),$M329&gt;(ROW(PLE.lastrow)-ROW(PLE.firstrow))),0,IF(OFFSET(PLE!$G$14,$M329,BW$13)="",10^12,OFFSET(PLE!$G$14,$M329,BW$13))))</f>
        <v>1000000000000</v>
      </c>
      <c r="BX329" s="182">
        <f ca="1">IF($D329&lt;&gt;"Serviço",0,IF(OR(AND(AUTOEVENTO="Manual",$M329=1),$M329&gt;(ROW(PLE.lastrow)-ROW(PLE.firstrow))),0,IF(OFFSET(PLE!$G$14,$M329,BX$13)="",10^12,OFFSET(PLE!$G$14,$M329,BX$13))))</f>
        <v>1000000000000</v>
      </c>
      <c r="BY329" s="182">
        <f ca="1">IF($D329&lt;&gt;"Serviço",0,IF(OR(AND(AUTOEVENTO="Manual",$M329=1),$M329&gt;(ROW(PLE.lastrow)-ROW(PLE.firstrow))),0,IF(OFFSET(PLE!$G$14,$M329,BY$13)="",10^12,OFFSET(PLE!$G$14,$M329,BY$13))))</f>
        <v>1000000000000</v>
      </c>
      <c r="BZ329" s="182">
        <f ca="1">IF($D329&lt;&gt;"Serviço",0,IF(OR(AND(AUTOEVENTO="Manual",$M329=1),$M329&gt;(ROW(PLE.lastrow)-ROW(PLE.firstrow))),0,IF(OFFSET(PLE!$G$14,$M329,BZ$13)="",10^12,OFFSET(PLE!$G$14,$M329,BZ$13))))</f>
        <v>1000000000000</v>
      </c>
      <c r="CA329" s="182">
        <f ca="1">IF($D329&lt;&gt;"Serviço",0,IF(OR(AND(AUTOEVENTO="Manual",$M329=1),$M329&gt;(ROW(PLE.lastrow)-ROW(PLE.firstrow))),0,IF(OFFSET(PLE!$G$14,$M329,CA$13)="",10^12,OFFSET(PLE!$G$14,$M329,CA$13))))</f>
        <v>1000000000000</v>
      </c>
      <c r="CB329" s="182">
        <f ca="1">IF($D329&lt;&gt;"Serviço",0,IF(OR(AND(AUTOEVENTO="Manual",$M329=1),$M329&gt;(ROW(PLE.lastrow)-ROW(PLE.firstrow))),0,IF(OFFSET(PLE!$G$14,$M329,CB$13)="",10^12,OFFSET(PLE!$G$14,$M329,CB$13))))</f>
        <v>1000000000000</v>
      </c>
      <c r="CC329" s="182">
        <f ca="1">IF($D329&lt;&gt;"Serviço",0,IF(OR(AND(AUTOEVENTO="Manual",$M329=1),$M329&gt;(ROW(PLE.lastrow)-ROW(PLE.firstrow))),0,IF(OFFSET(PLE!$G$14,$M329,CC$13)="",10^12,OFFSET(PLE!$G$14,$M329,CC$13))))</f>
        <v>1000000000000</v>
      </c>
      <c r="CD329" s="182">
        <f ca="1">IF($D329&lt;&gt;"Serviço",0,IF(OR(AND(AUTOEVENTO="Manual",$M329=1),$M329&gt;(ROW(PLE.lastrow)-ROW(PLE.firstrow))),0,IF(OFFSET(PLE!$G$14,$M329,CD$13)="",10^12,OFFSET(PLE!$G$14,$M329,CD$13))))</f>
        <v>1000000000000</v>
      </c>
      <c r="CE329" s="182">
        <f ca="1">IF($D329&lt;&gt;"Serviço",0,IF(OR(AND(AUTOEVENTO="Manual",$M329=1),$M329&gt;(ROW(PLE.lastrow)-ROW(PLE.firstrow))),0,IF(OFFSET(PLE!$G$14,$M329,CE$13)="",10^12,OFFSET(PLE!$G$14,$M329,CE$13))))</f>
        <v>1000000000000</v>
      </c>
      <c r="CF329" s="182">
        <f ca="1">IF($D329&lt;&gt;"Serviço",0,IF(OR(AND(AUTOEVENTO="Manual",$M329=1),$M329&gt;(ROW(PLE.lastrow)-ROW(PLE.firstrow))),0,IF(OFFSET(PLE!$G$14,$M329,CF$13)="",10^12,OFFSET(PLE!$G$14,$M329,CF$13))))</f>
        <v>1000000000000</v>
      </c>
      <c r="CG329" s="182">
        <f ca="1">IF($D329&lt;&gt;"Serviço",0,IF(OR(AND(AUTOEVENTO="Manual",$M329=1),$M329&gt;(ROW(PLE.lastrow)-ROW(PLE.firstrow))),0,IF(OFFSET(PLE!$G$14,$M329,CG$13)="",10^12,OFFSET(PLE!$G$14,$M329,CG$13))))</f>
        <v>1000000000000</v>
      </c>
      <c r="CH329" s="182">
        <f ca="1">IF($D329&lt;&gt;"Serviço",0,IF(OR(AND(AUTOEVENTO="Manual",$M329=1),$M329&gt;(ROW(PLE.lastrow)-ROW(PLE.firstrow))),0,IF(OFFSET(PLE!$G$14,$M329,CH$13)="",10^12,OFFSET(PLE!$G$14,$M329,CH$13))))</f>
        <v>1000000000000</v>
      </c>
      <c r="CI329" s="182">
        <f ca="1">IF($D329&lt;&gt;"Serviço",0,IF(OR(AND(AUTOEVENTO="Manual",$M329=1),$M329&gt;(ROW(PLE.lastrow)-ROW(PLE.firstrow))),0,IF(OFFSET(PLE!$G$14,$M329,CI$13)="",10^12,OFFSET(PLE!$G$14,$M329,CI$13))))</f>
        <v>1000000000000</v>
      </c>
      <c r="CJ329" s="182">
        <f ca="1">IF($D329&lt;&gt;"Serviço",0,IF(OR(AND(AUTOEVENTO="Manual",$M329=1),$M329&gt;(ROW(PLE.lastrow)-ROW(PLE.firstrow))),0,IF(OFFSET(PLE!$G$14,$M329,CJ$13)="",10^12,OFFSET(PLE!$G$14,$M329,CJ$13))))</f>
        <v>1000000000000</v>
      </c>
      <c r="CK329" s="182">
        <f ca="1">IF($D329&lt;&gt;"Serviço",0,IF(OR(AND(AUTOEVENTO="Manual",$M329=1),$M329&gt;(ROW(PLE.lastrow)-ROW(PLE.firstrow))),0,IF(OFFSET(PLE!$G$14,$M329,CK$13)="",10^12,OFFSET(PLE!$G$14,$M329,CK$13))))</f>
        <v>1000000000000</v>
      </c>
      <c r="CL329" s="182">
        <f ca="1">IF($D329&lt;&gt;"Serviço",0,IF(OR(AND(AUTOEVENTO="Manual",$M329=1),$M329&gt;(ROW(PLE.lastrow)-ROW(PLE.firstrow))),0,IF(OFFSET(PLE!$G$14,$M329,CL$13)="",10^12,OFFSET(PLE!$G$14,$M329,CL$13))))</f>
        <v>1000000000000</v>
      </c>
      <c r="CM329" s="182">
        <f ca="1">IF($D329&lt;&gt;"Serviço",0,IF(OR(AND(AUTOEVENTO="Manual",$M329=1),$M329&gt;(ROW(PLE.lastrow)-ROW(PLE.firstrow))),0,IF(OFFSET(PLE!$G$14,$M329,CM$13)="",10^12,OFFSET(PLE!$G$14,$M329,CM$13))))</f>
        <v>1000000000000</v>
      </c>
    </row>
    <row r="330" spans="1:91" ht="38.25" x14ac:dyDescent="0.2">
      <c r="A330" s="7" t="str">
        <f t="shared" ca="1" si="12"/>
        <v>304</v>
      </c>
      <c r="B330" s="7" t="str">
        <f ca="1">OFFSET(ORÇAMENTO!C$15,ROW(B330)-ROW(B$15),0)</f>
        <v>S</v>
      </c>
      <c r="C330" s="7" t="str">
        <f ca="1">OFFSET(ORÇAMENTO!L$15,ROW(C330)-ROW(C$15),0)</f>
        <v/>
      </c>
      <c r="D330" s="118" t="str">
        <f ca="1">OFFSET(ORÇAMENTO!N$15,ROW(D330)-ROW(D$15),0)</f>
        <v>Serviço</v>
      </c>
      <c r="E330" s="119" t="str">
        <f ca="1">OFFSET(ORÇAMENTO!O$15,ROW(E330)-ROW(E$15),0)</f>
        <v>-</v>
      </c>
      <c r="F330" s="172" t="str">
        <f ca="1">OFFSET(ORÇAMENTO!R$15,ROW(F330)-ROW(F$15),0)</f>
        <v>(abra o arquivo 'Referência 06-2024.xlsm)</v>
      </c>
      <c r="G330" s="173" t="str">
        <f ca="1">IF($D330&lt;&gt;"Serviço","",OFFSET(ORÇAMENTO!S$15,ROW(G330)-ROW(G$15),0))</f>
        <v>-</v>
      </c>
      <c r="H330" s="124">
        <f ca="1">IF($D330&lt;&gt;"Serviço",0,IF(ACOMPANHAMENTO="BM",ROUND(OFFSET(ORÇAMENTO!AJ$15,ROW(H330)-ROW(H$15),0),15-13*ORÇAMENTO!$AF$7),SUMPRODUCT(($Q$12:$AI$12&lt;&gt;"")*ROUND($Q330:$AI330,15-13*ORÇAMENTO!$AF$7))))</f>
        <v>15</v>
      </c>
      <c r="I330" s="561" t="s">
        <v>1107</v>
      </c>
      <c r="K330" s="174"/>
      <c r="L330" s="175" t="s">
        <v>255</v>
      </c>
      <c r="M330" s="176">
        <f ca="1">IF($D330&lt;&gt;"Serviço","",IF(AUTOEVENTO="manual",$A330,IF(ISERROR(MATCH($A330,$A$15:OFFSET($A330,-1,0),0)),MAX($M$15:OFFSET(M330,-1,0))+1,INDEX($M$15:OFFSET(M330,-1,0),MATCH($A330,$A$15:OFFSET($A330,-1,0),0)))))</f>
        <v>41</v>
      </c>
      <c r="N330" s="177" t="str">
        <f ca="1">IF($D330&lt;&gt;"Serviço","",IF(AUTOEVENTO="Manual",IF($A330=0,"&lt;-- defina o número do agrupador",OFFSET(EVENTOS!$D$14,$A330,0)),OFFSET($F$15,$A330,0)))</f>
        <v>INSTALAÇÃO SANITÁRIA - TUBULAÇÕES E CONEXÕES</v>
      </c>
      <c r="O330" s="178"/>
      <c r="Q330" s="178">
        <v>15</v>
      </c>
      <c r="R330" s="179"/>
      <c r="S330" s="179"/>
      <c r="T330" s="179"/>
      <c r="U330" s="179"/>
      <c r="V330" s="179"/>
      <c r="W330" s="179"/>
      <c r="X330" s="179"/>
      <c r="Y330" s="179"/>
      <c r="Z330" s="180"/>
      <c r="AA330" s="179"/>
      <c r="AB330" s="179"/>
      <c r="AC330" s="179"/>
      <c r="AD330" s="179"/>
      <c r="AE330" s="179"/>
      <c r="AF330" s="179"/>
      <c r="AG330" s="179"/>
      <c r="AH330" s="180"/>
      <c r="AJ330" s="544">
        <f ca="1">IF(AND($D330="Serviço",AJ$12&lt;&gt;0,$H330&gt;0,OR(AUTOEVENTO&lt;&gt;"manual",$M330&lt;&gt;1)),
IF(Import.TipoArredondamento&lt;&gt;"TransfereGOV",
ROUND(OFFSET($P330,0,AJ$13),15-13*ORÇAMENTO!$AF$7)/$H330*OFFSET(ORÇAMENTO!$X$15,ROW(AJ330)-ROW(AJ$15),0),
ROUND(ROUND(OFFSET($P330,0,AJ$13),15-13*ORÇAMENTO!$AF$7)*OFFSET(ORÇAMENTO!$W$15,ROW(AJ330)-ROW(AJ$15),0),15-13*ORÇAMENTO!$AF$11)),0)</f>
        <v>0</v>
      </c>
      <c r="AK330" s="545">
        <f ca="1">IF(AND($D330="Serviço",AK$12&lt;&gt;0,$H330&gt;0,OR(AUTOEVENTO&lt;&gt;"manual",$M330&lt;&gt;1)),
IF(Import.TipoArredondamento&lt;&gt;"TransfereGOV",
ROUND(OFFSET($P330,0,AK$13),15-13*ORÇAMENTO!$AF$7)/$H330*OFFSET(ORÇAMENTO!$X$15,ROW(AK330)-ROW(AK$15),0),
ROUND(ROUND(OFFSET($P330,0,AK$13),15-13*ORÇAMENTO!$AF$7)*OFFSET(ORÇAMENTO!$W$15,ROW(AK330)-ROW(AK$15),0),15-13*ORÇAMENTO!$AF$11)),0)</f>
        <v>0</v>
      </c>
      <c r="AL330" s="545">
        <f ca="1">IF(AND($D330="Serviço",AL$12&lt;&gt;0,$H330&gt;0,OR(AUTOEVENTO&lt;&gt;"manual",$M330&lt;&gt;1)),
IF(Import.TipoArredondamento&lt;&gt;"TransfereGOV",
ROUND(OFFSET($P330,0,AL$13),15-13*ORÇAMENTO!$AF$7)/$H330*OFFSET(ORÇAMENTO!$X$15,ROW(AL330)-ROW(AL$15),0),
ROUND(ROUND(OFFSET($P330,0,AL$13),15-13*ORÇAMENTO!$AF$7)*OFFSET(ORÇAMENTO!$W$15,ROW(AL330)-ROW(AL$15),0),15-13*ORÇAMENTO!$AF$11)),0)</f>
        <v>0</v>
      </c>
      <c r="AM330" s="545">
        <f ca="1">IF(AND($D330="Serviço",AM$12&lt;&gt;0,$H330&gt;0,OR(AUTOEVENTO&lt;&gt;"manual",$M330&lt;&gt;1)),
IF(Import.TipoArredondamento&lt;&gt;"TransfereGOV",
ROUND(OFFSET($P330,0,AM$13),15-13*ORÇAMENTO!$AF$7)/$H330*OFFSET(ORÇAMENTO!$X$15,ROW(AM330)-ROW(AM$15),0),
ROUND(ROUND(OFFSET($P330,0,AM$13),15-13*ORÇAMENTO!$AF$7)*OFFSET(ORÇAMENTO!$W$15,ROW(AM330)-ROW(AM$15),0),15-13*ORÇAMENTO!$AF$11)),0)</f>
        <v>0</v>
      </c>
      <c r="AN330" s="545">
        <f ca="1">IF(AND($D330="Serviço",AN$12&lt;&gt;0,$H330&gt;0,OR(AUTOEVENTO&lt;&gt;"manual",$M330&lt;&gt;1)),
IF(Import.TipoArredondamento&lt;&gt;"TransfereGOV",
ROUND(OFFSET($P330,0,AN$13),15-13*ORÇAMENTO!$AF$7)/$H330*OFFSET(ORÇAMENTO!$X$15,ROW(AN330)-ROW(AN$15),0),
ROUND(ROUND(OFFSET($P330,0,AN$13),15-13*ORÇAMENTO!$AF$7)*OFFSET(ORÇAMENTO!$W$15,ROW(AN330)-ROW(AN$15),0),15-13*ORÇAMENTO!$AF$11)),0)</f>
        <v>0</v>
      </c>
      <c r="AO330" s="545">
        <f ca="1">IF(AND($D330="Serviço",AO$12&lt;&gt;0,$H330&gt;0,OR(AUTOEVENTO&lt;&gt;"manual",$M330&lt;&gt;1)),
IF(Import.TipoArredondamento&lt;&gt;"TransfereGOV",
ROUND(OFFSET($P330,0,AO$13),15-13*ORÇAMENTO!$AF$7)/$H330*OFFSET(ORÇAMENTO!$X$15,ROW(AO330)-ROW(AO$15),0),
ROUND(ROUND(OFFSET($P330,0,AO$13),15-13*ORÇAMENTO!$AF$7)*OFFSET(ORÇAMENTO!$W$15,ROW(AO330)-ROW(AO$15),0),15-13*ORÇAMENTO!$AF$11)),0)</f>
        <v>0</v>
      </c>
      <c r="AP330" s="545">
        <f ca="1">IF(AND($D330="Serviço",AP$12&lt;&gt;0,$H330&gt;0,OR(AUTOEVENTO&lt;&gt;"manual",$M330&lt;&gt;1)),
IF(Import.TipoArredondamento&lt;&gt;"TransfereGOV",
ROUND(OFFSET($P330,0,AP$13),15-13*ORÇAMENTO!$AF$7)/$H330*OFFSET(ORÇAMENTO!$X$15,ROW(AP330)-ROW(AP$15),0),
ROUND(ROUND(OFFSET($P330,0,AP$13),15-13*ORÇAMENTO!$AF$7)*OFFSET(ORÇAMENTO!$W$15,ROW(AP330)-ROW(AP$15),0),15-13*ORÇAMENTO!$AF$11)),0)</f>
        <v>0</v>
      </c>
      <c r="AQ330" s="545">
        <f ca="1">IF(AND($D330="Serviço",AQ$12&lt;&gt;0,$H330&gt;0,OR(AUTOEVENTO&lt;&gt;"manual",$M330&lt;&gt;1)),
IF(Import.TipoArredondamento&lt;&gt;"TransfereGOV",
ROUND(OFFSET($P330,0,AQ$13),15-13*ORÇAMENTO!$AF$7)/$H330*OFFSET(ORÇAMENTO!$X$15,ROW(AQ330)-ROW(AQ$15),0),
ROUND(ROUND(OFFSET($P330,0,AQ$13),15-13*ORÇAMENTO!$AF$7)*OFFSET(ORÇAMENTO!$W$15,ROW(AQ330)-ROW(AQ$15),0),15-13*ORÇAMENTO!$AF$11)),0)</f>
        <v>0</v>
      </c>
      <c r="AR330" s="545">
        <f ca="1">IF(AND($D330="Serviço",AR$12&lt;&gt;0,$H330&gt;0,OR(AUTOEVENTO&lt;&gt;"manual",$M330&lt;&gt;1)),
IF(Import.TipoArredondamento&lt;&gt;"TransfereGOV",
ROUND(OFFSET($P330,0,AR$13),15-13*ORÇAMENTO!$AF$7)/$H330*OFFSET(ORÇAMENTO!$X$15,ROW(AR330)-ROW(AR$15),0),
ROUND(ROUND(OFFSET($P330,0,AR$13),15-13*ORÇAMENTO!$AF$7)*OFFSET(ORÇAMENTO!$W$15,ROW(AR330)-ROW(AR$15),0),15-13*ORÇAMENTO!$AF$11)),0)</f>
        <v>0</v>
      </c>
      <c r="AS330" s="546">
        <f ca="1">IF(AND($D330="Serviço",AS$12&lt;&gt;0,$H330&gt;0,OR(AUTOEVENTO&lt;&gt;"manual",$M330&lt;&gt;1)),
IF(Import.TipoArredondamento&lt;&gt;"TransfereGOV",
ROUND(OFFSET($P330,0,AS$13),15-13*ORÇAMENTO!$AF$7)/$H330*OFFSET(ORÇAMENTO!$X$15,ROW(AS330)-ROW(AS$15),0),
ROUND(ROUND(OFFSET($P330,0,AS$13),15-13*ORÇAMENTO!$AF$7)*OFFSET(ORÇAMENTO!$W$15,ROW(AS330)-ROW(AS$15),0),15-13*ORÇAMENTO!$AF$11)),0)</f>
        <v>0</v>
      </c>
      <c r="AT330" s="545">
        <f ca="1">IF(AND($D330="Serviço",AT$12&lt;&gt;0,$H330&gt;0,OR(AUTOEVENTO&lt;&gt;"manual",$M330&lt;&gt;1)),
IF(Import.TipoArredondamento&lt;&gt;"TransfereGOV",
ROUND(OFFSET($P330,0,AT$13),15-13*ORÇAMENTO!$AF$7)/$H330*OFFSET(ORÇAMENTO!$X$15,ROW(AT330)-ROW(AT$15),0),
ROUND(ROUND(OFFSET($P330,0,AT$13),15-13*ORÇAMENTO!$AF$7)*OFFSET(ORÇAMENTO!$W$15,ROW(AT330)-ROW(AT$15),0),15-13*ORÇAMENTO!$AF$11)),0)</f>
        <v>0</v>
      </c>
      <c r="AU330" s="545">
        <f ca="1">IF(AND($D330="Serviço",AU$12&lt;&gt;0,$H330&gt;0,OR(AUTOEVENTO&lt;&gt;"manual",$M330&lt;&gt;1)),
IF(Import.TipoArredondamento&lt;&gt;"TransfereGOV",
ROUND(OFFSET($P330,0,AU$13),15-13*ORÇAMENTO!$AF$7)/$H330*OFFSET(ORÇAMENTO!$X$15,ROW(AU330)-ROW(AU$15),0),
ROUND(ROUND(OFFSET($P330,0,AU$13),15-13*ORÇAMENTO!$AF$7)*OFFSET(ORÇAMENTO!$W$15,ROW(AU330)-ROW(AU$15),0),15-13*ORÇAMENTO!$AF$11)),0)</f>
        <v>0</v>
      </c>
      <c r="AV330" s="545">
        <f ca="1">IF(AND($D330="Serviço",AV$12&lt;&gt;0,$H330&gt;0,OR(AUTOEVENTO&lt;&gt;"manual",$M330&lt;&gt;1)),
IF(Import.TipoArredondamento&lt;&gt;"TransfereGOV",
ROUND(OFFSET($P330,0,AV$13),15-13*ORÇAMENTO!$AF$7)/$H330*OFFSET(ORÇAMENTO!$X$15,ROW(AV330)-ROW(AV$15),0),
ROUND(ROUND(OFFSET($P330,0,AV$13),15-13*ORÇAMENTO!$AF$7)*OFFSET(ORÇAMENTO!$W$15,ROW(AV330)-ROW(AV$15),0),15-13*ORÇAMENTO!$AF$11)),0)</f>
        <v>0</v>
      </c>
      <c r="AW330" s="545">
        <f ca="1">IF(AND($D330="Serviço",AW$12&lt;&gt;0,$H330&gt;0,OR(AUTOEVENTO&lt;&gt;"manual",$M330&lt;&gt;1)),
IF(Import.TipoArredondamento&lt;&gt;"TransfereGOV",
ROUND(OFFSET($P330,0,AW$13),15-13*ORÇAMENTO!$AF$7)/$H330*OFFSET(ORÇAMENTO!$X$15,ROW(AW330)-ROW(AW$15),0),
ROUND(ROUND(OFFSET($P330,0,AW$13),15-13*ORÇAMENTO!$AF$7)*OFFSET(ORÇAMENTO!$W$15,ROW(AW330)-ROW(AW$15),0),15-13*ORÇAMENTO!$AF$11)),0)</f>
        <v>0</v>
      </c>
      <c r="AX330" s="545">
        <f ca="1">IF(AND($D330="Serviço",AX$12&lt;&gt;0,$H330&gt;0,OR(AUTOEVENTO&lt;&gt;"manual",$M330&lt;&gt;1)),
IF(Import.TipoArredondamento&lt;&gt;"TransfereGOV",
ROUND(OFFSET($P330,0,AX$13),15-13*ORÇAMENTO!$AF$7)/$H330*OFFSET(ORÇAMENTO!$X$15,ROW(AX330)-ROW(AX$15),0),
ROUND(ROUND(OFFSET($P330,0,AX$13),15-13*ORÇAMENTO!$AF$7)*OFFSET(ORÇAMENTO!$W$15,ROW(AX330)-ROW(AX$15),0),15-13*ORÇAMENTO!$AF$11)),0)</f>
        <v>0</v>
      </c>
      <c r="AY330" s="545">
        <f ca="1">IF(AND($D330="Serviço",AY$12&lt;&gt;0,$H330&gt;0,OR(AUTOEVENTO&lt;&gt;"manual",$M330&lt;&gt;1)),
IF(Import.TipoArredondamento&lt;&gt;"TransfereGOV",
ROUND(OFFSET($P330,0,AY$13),15-13*ORÇAMENTO!$AF$7)/$H330*OFFSET(ORÇAMENTO!$X$15,ROW(AY330)-ROW(AY$15),0),
ROUND(ROUND(OFFSET($P330,0,AY$13),15-13*ORÇAMENTO!$AF$7)*OFFSET(ORÇAMENTO!$W$15,ROW(AY330)-ROW(AY$15),0),15-13*ORÇAMENTO!$AF$11)),0)</f>
        <v>0</v>
      </c>
      <c r="AZ330" s="545">
        <f ca="1">IF(AND($D330="Serviço",AZ$12&lt;&gt;0,$H330&gt;0,OR(AUTOEVENTO&lt;&gt;"manual",$M330&lt;&gt;1)),
IF(Import.TipoArredondamento&lt;&gt;"TransfereGOV",
ROUND(OFFSET($P330,0,AZ$13),15-13*ORÇAMENTO!$AF$7)/$H330*OFFSET(ORÇAMENTO!$X$15,ROW(AZ330)-ROW(AZ$15),0),
ROUND(ROUND(OFFSET($P330,0,AZ$13),15-13*ORÇAMENTO!$AF$7)*OFFSET(ORÇAMENTO!$W$15,ROW(AZ330)-ROW(AZ$15),0),15-13*ORÇAMENTO!$AF$11)),0)</f>
        <v>0</v>
      </c>
      <c r="BA330" s="546">
        <f ca="1">IF(AND($D330="Serviço",BA$12&lt;&gt;0,$H330&gt;0,OR(AUTOEVENTO&lt;&gt;"manual",$M330&lt;&gt;1)),
IF(Import.TipoArredondamento&lt;&gt;"TransfereGOV",
ROUND(OFFSET($P330,0,BA$13),15-13*ORÇAMENTO!$AF$7)/$H330*OFFSET(ORÇAMENTO!$X$15,ROW(BA330)-ROW(BA$15),0),
ROUND(ROUND(OFFSET($P330,0,BA$13),15-13*ORÇAMENTO!$AF$7)*OFFSET(ORÇAMENTO!$W$15,ROW(BA330)-ROW(BA$15),0),15-13*ORÇAMENTO!$AF$11)),0)</f>
        <v>0</v>
      </c>
      <c r="BC330" s="181">
        <f ca="1">IF($D330&lt;&gt;"Serviço",0,IF(AND(AUTOEVENTO="Manual",$M330=1),0,IF(OFFSET(CRONOPLE!$F$14,$M330,BC$13)="",10^12,OFFSET(CRONOPLE!$F$14,$M330,BC$13))))</f>
        <v>9</v>
      </c>
      <c r="BD330" s="181">
        <f ca="1">IF($D330&lt;&gt;"Serviço",0,IF(AND(AUTOEVENTO="Manual",$M330=1),0,IF(OFFSET(CRONOPLE!$F$14,$M330,BD$13)="",10^12,OFFSET(CRONOPLE!$F$14,$M330,BD$13))))</f>
        <v>1000000000000</v>
      </c>
      <c r="BE330" s="181">
        <f ca="1">IF($D330&lt;&gt;"Serviço",0,IF(AND(AUTOEVENTO="Manual",$M330=1),0,IF(OFFSET(CRONOPLE!$F$14,$M330,BE$13)="",10^12,OFFSET(CRONOPLE!$F$14,$M330,BE$13))))</f>
        <v>1000000000000</v>
      </c>
      <c r="BF330" s="181">
        <f ca="1">IF($D330&lt;&gt;"Serviço",0,IF(AND(AUTOEVENTO="Manual",$M330=1),0,IF(OFFSET(CRONOPLE!$F$14,$M330,BF$13)="",10^12,OFFSET(CRONOPLE!$F$14,$M330,BF$13))))</f>
        <v>1000000000000</v>
      </c>
      <c r="BG330" s="181">
        <f ca="1">IF($D330&lt;&gt;"Serviço",0,IF(AND(AUTOEVENTO="Manual",$M330=1),0,IF(OFFSET(CRONOPLE!$F$14,$M330,BG$13)="",10^12,OFFSET(CRONOPLE!$F$14,$M330,BG$13))))</f>
        <v>1000000000000</v>
      </c>
      <c r="BH330" s="181">
        <f ca="1">IF($D330&lt;&gt;"Serviço",0,IF(AND(AUTOEVENTO="Manual",$M330=1),0,IF(OFFSET(CRONOPLE!$F$14,$M330,BH$13)="",10^12,OFFSET(CRONOPLE!$F$14,$M330,BH$13))))</f>
        <v>1000000000000</v>
      </c>
      <c r="BI330" s="181">
        <f ca="1">IF($D330&lt;&gt;"Serviço",0,IF(AND(AUTOEVENTO="Manual",$M330=1),0,IF(OFFSET(CRONOPLE!$F$14,$M330,BI$13)="",10^12,OFFSET(CRONOPLE!$F$14,$M330,BI$13))))</f>
        <v>1000000000000</v>
      </c>
      <c r="BJ330" s="181">
        <f ca="1">IF($D330&lt;&gt;"Serviço",0,IF(AND(AUTOEVENTO="Manual",$M330=1),0,IF(OFFSET(CRONOPLE!$F$14,$M330,BJ$13)="",10^12,OFFSET(CRONOPLE!$F$14,$M330,BJ$13))))</f>
        <v>1000000000000</v>
      </c>
      <c r="BK330" s="181">
        <f ca="1">IF($D330&lt;&gt;"Serviço",0,IF(AND(AUTOEVENTO="Manual",$M330=1),0,IF(OFFSET(CRONOPLE!$F$14,$M330,BK$13)="",10^12,OFFSET(CRONOPLE!$F$14,$M330,BK$13))))</f>
        <v>1000000000000</v>
      </c>
      <c r="BL330" s="181">
        <f ca="1">IF($D330&lt;&gt;"Serviço",0,IF(AND(AUTOEVENTO="Manual",$M330=1),0,IF(OFFSET(CRONOPLE!$F$14,$M330,BL$13)="",10^12,OFFSET(CRONOPLE!$F$14,$M330,BL$13))))</f>
        <v>1000000000000</v>
      </c>
      <c r="BM330" s="181">
        <f ca="1">IF($D330&lt;&gt;"Serviço",0,IF(AND(AUTOEVENTO="Manual",$M330=1),0,IF(OFFSET(CRONOPLE!$F$14,$M330,BM$13)="",10^12,OFFSET(CRONOPLE!$F$14,$M330,BM$13))))</f>
        <v>1000000000000</v>
      </c>
      <c r="BN330" s="181">
        <f ca="1">IF($D330&lt;&gt;"Serviço",0,IF(AND(AUTOEVENTO="Manual",$M330=1),0,IF(OFFSET(CRONOPLE!$F$14,$M330,BN$13)="",10^12,OFFSET(CRONOPLE!$F$14,$M330,BN$13))))</f>
        <v>1000000000000</v>
      </c>
      <c r="BO330" s="181">
        <f ca="1">IF($D330&lt;&gt;"Serviço",0,IF(AND(AUTOEVENTO="Manual",$M330=1),0,IF(OFFSET(CRONOPLE!$F$14,$M330,BO$13)="",10^12,OFFSET(CRONOPLE!$F$14,$M330,BO$13))))</f>
        <v>1000000000000</v>
      </c>
      <c r="BP330" s="181">
        <f ca="1">IF($D330&lt;&gt;"Serviço",0,IF(AND(AUTOEVENTO="Manual",$M330=1),0,IF(OFFSET(CRONOPLE!$F$14,$M330,BP$13)="",10^12,OFFSET(CRONOPLE!$F$14,$M330,BP$13))))</f>
        <v>1000000000000</v>
      </c>
      <c r="BQ330" s="181">
        <f ca="1">IF($D330&lt;&gt;"Serviço",0,IF(AND(AUTOEVENTO="Manual",$M330=1),0,IF(OFFSET(CRONOPLE!$F$14,$M330,BQ$13)="",10^12,OFFSET(CRONOPLE!$F$14,$M330,BQ$13))))</f>
        <v>1000000000000</v>
      </c>
      <c r="BR330" s="181">
        <f ca="1">IF($D330&lt;&gt;"Serviço",0,IF(AND(AUTOEVENTO="Manual",$M330=1),0,IF(OFFSET(CRONOPLE!$F$14,$M330,BR$13)="",10^12,OFFSET(CRONOPLE!$F$14,$M330,BR$13))))</f>
        <v>1000000000000</v>
      </c>
      <c r="BS330" s="181">
        <f ca="1">IF($D330&lt;&gt;"Serviço",0,IF(AND(AUTOEVENTO="Manual",$M330=1),0,IF(OFFSET(CRONOPLE!$F$14,$M330,BS$13)="",10^12,OFFSET(CRONOPLE!$F$14,$M330,BS$13))))</f>
        <v>1000000000000</v>
      </c>
      <c r="BT330" s="181">
        <f ca="1">IF($D330&lt;&gt;"Serviço",0,IF(AND(AUTOEVENTO="Manual",$M330=1),0,IF(OFFSET(CRONOPLE!$F$14,$M330,BT$13)="",10^12,OFFSET(CRONOPLE!$F$14,$M330,BT$13))))</f>
        <v>1000000000000</v>
      </c>
      <c r="BV330" s="182">
        <f ca="1">IF($D330&lt;&gt;"Serviço",0,IF(OR(AND(AUTOEVENTO="Manual",$M330=1),$M330&gt;(ROW(PLE.lastrow)-ROW(PLE.firstrow))),0,IF(OFFSET(PLE!$G$14,$M330,BV$13)="",10^12,OFFSET(PLE!$G$14,$M330,BV$13))))</f>
        <v>1000000000000</v>
      </c>
      <c r="BW330" s="182">
        <f ca="1">IF($D330&lt;&gt;"Serviço",0,IF(OR(AND(AUTOEVENTO="Manual",$M330=1),$M330&gt;(ROW(PLE.lastrow)-ROW(PLE.firstrow))),0,IF(OFFSET(PLE!$G$14,$M330,BW$13)="",10^12,OFFSET(PLE!$G$14,$M330,BW$13))))</f>
        <v>1000000000000</v>
      </c>
      <c r="BX330" s="182">
        <f ca="1">IF($D330&lt;&gt;"Serviço",0,IF(OR(AND(AUTOEVENTO="Manual",$M330=1),$M330&gt;(ROW(PLE.lastrow)-ROW(PLE.firstrow))),0,IF(OFFSET(PLE!$G$14,$M330,BX$13)="",10^12,OFFSET(PLE!$G$14,$M330,BX$13))))</f>
        <v>1000000000000</v>
      </c>
      <c r="BY330" s="182">
        <f ca="1">IF($D330&lt;&gt;"Serviço",0,IF(OR(AND(AUTOEVENTO="Manual",$M330=1),$M330&gt;(ROW(PLE.lastrow)-ROW(PLE.firstrow))),0,IF(OFFSET(PLE!$G$14,$M330,BY$13)="",10^12,OFFSET(PLE!$G$14,$M330,BY$13))))</f>
        <v>1000000000000</v>
      </c>
      <c r="BZ330" s="182">
        <f ca="1">IF($D330&lt;&gt;"Serviço",0,IF(OR(AND(AUTOEVENTO="Manual",$M330=1),$M330&gt;(ROW(PLE.lastrow)-ROW(PLE.firstrow))),0,IF(OFFSET(PLE!$G$14,$M330,BZ$13)="",10^12,OFFSET(PLE!$G$14,$M330,BZ$13))))</f>
        <v>1000000000000</v>
      </c>
      <c r="CA330" s="182">
        <f ca="1">IF($D330&lt;&gt;"Serviço",0,IF(OR(AND(AUTOEVENTO="Manual",$M330=1),$M330&gt;(ROW(PLE.lastrow)-ROW(PLE.firstrow))),0,IF(OFFSET(PLE!$G$14,$M330,CA$13)="",10^12,OFFSET(PLE!$G$14,$M330,CA$13))))</f>
        <v>1000000000000</v>
      </c>
      <c r="CB330" s="182">
        <f ca="1">IF($D330&lt;&gt;"Serviço",0,IF(OR(AND(AUTOEVENTO="Manual",$M330=1),$M330&gt;(ROW(PLE.lastrow)-ROW(PLE.firstrow))),0,IF(OFFSET(PLE!$G$14,$M330,CB$13)="",10^12,OFFSET(PLE!$G$14,$M330,CB$13))))</f>
        <v>1000000000000</v>
      </c>
      <c r="CC330" s="182">
        <f ca="1">IF($D330&lt;&gt;"Serviço",0,IF(OR(AND(AUTOEVENTO="Manual",$M330=1),$M330&gt;(ROW(PLE.lastrow)-ROW(PLE.firstrow))),0,IF(OFFSET(PLE!$G$14,$M330,CC$13)="",10^12,OFFSET(PLE!$G$14,$M330,CC$13))))</f>
        <v>1000000000000</v>
      </c>
      <c r="CD330" s="182">
        <f ca="1">IF($D330&lt;&gt;"Serviço",0,IF(OR(AND(AUTOEVENTO="Manual",$M330=1),$M330&gt;(ROW(PLE.lastrow)-ROW(PLE.firstrow))),0,IF(OFFSET(PLE!$G$14,$M330,CD$13)="",10^12,OFFSET(PLE!$G$14,$M330,CD$13))))</f>
        <v>1000000000000</v>
      </c>
      <c r="CE330" s="182">
        <f ca="1">IF($D330&lt;&gt;"Serviço",0,IF(OR(AND(AUTOEVENTO="Manual",$M330=1),$M330&gt;(ROW(PLE.lastrow)-ROW(PLE.firstrow))),0,IF(OFFSET(PLE!$G$14,$M330,CE$13)="",10^12,OFFSET(PLE!$G$14,$M330,CE$13))))</f>
        <v>1000000000000</v>
      </c>
      <c r="CF330" s="182">
        <f ca="1">IF($D330&lt;&gt;"Serviço",0,IF(OR(AND(AUTOEVENTO="Manual",$M330=1),$M330&gt;(ROW(PLE.lastrow)-ROW(PLE.firstrow))),0,IF(OFFSET(PLE!$G$14,$M330,CF$13)="",10^12,OFFSET(PLE!$G$14,$M330,CF$13))))</f>
        <v>1000000000000</v>
      </c>
      <c r="CG330" s="182">
        <f ca="1">IF($D330&lt;&gt;"Serviço",0,IF(OR(AND(AUTOEVENTO="Manual",$M330=1),$M330&gt;(ROW(PLE.lastrow)-ROW(PLE.firstrow))),0,IF(OFFSET(PLE!$G$14,$M330,CG$13)="",10^12,OFFSET(PLE!$G$14,$M330,CG$13))))</f>
        <v>1000000000000</v>
      </c>
      <c r="CH330" s="182">
        <f ca="1">IF($D330&lt;&gt;"Serviço",0,IF(OR(AND(AUTOEVENTO="Manual",$M330=1),$M330&gt;(ROW(PLE.lastrow)-ROW(PLE.firstrow))),0,IF(OFFSET(PLE!$G$14,$M330,CH$13)="",10^12,OFFSET(PLE!$G$14,$M330,CH$13))))</f>
        <v>1000000000000</v>
      </c>
      <c r="CI330" s="182">
        <f ca="1">IF($D330&lt;&gt;"Serviço",0,IF(OR(AND(AUTOEVENTO="Manual",$M330=1),$M330&gt;(ROW(PLE.lastrow)-ROW(PLE.firstrow))),0,IF(OFFSET(PLE!$G$14,$M330,CI$13)="",10^12,OFFSET(PLE!$G$14,$M330,CI$13))))</f>
        <v>1000000000000</v>
      </c>
      <c r="CJ330" s="182">
        <f ca="1">IF($D330&lt;&gt;"Serviço",0,IF(OR(AND(AUTOEVENTO="Manual",$M330=1),$M330&gt;(ROW(PLE.lastrow)-ROW(PLE.firstrow))),0,IF(OFFSET(PLE!$G$14,$M330,CJ$13)="",10^12,OFFSET(PLE!$G$14,$M330,CJ$13))))</f>
        <v>1000000000000</v>
      </c>
      <c r="CK330" s="182">
        <f ca="1">IF($D330&lt;&gt;"Serviço",0,IF(OR(AND(AUTOEVENTO="Manual",$M330=1),$M330&gt;(ROW(PLE.lastrow)-ROW(PLE.firstrow))),0,IF(OFFSET(PLE!$G$14,$M330,CK$13)="",10^12,OFFSET(PLE!$G$14,$M330,CK$13))))</f>
        <v>1000000000000</v>
      </c>
      <c r="CL330" s="182">
        <f ca="1">IF($D330&lt;&gt;"Serviço",0,IF(OR(AND(AUTOEVENTO="Manual",$M330=1),$M330&gt;(ROW(PLE.lastrow)-ROW(PLE.firstrow))),0,IF(OFFSET(PLE!$G$14,$M330,CL$13)="",10^12,OFFSET(PLE!$G$14,$M330,CL$13))))</f>
        <v>1000000000000</v>
      </c>
      <c r="CM330" s="182">
        <f ca="1">IF($D330&lt;&gt;"Serviço",0,IF(OR(AND(AUTOEVENTO="Manual",$M330=1),$M330&gt;(ROW(PLE.lastrow)-ROW(PLE.firstrow))),0,IF(OFFSET(PLE!$G$14,$M330,CM$13)="",10^12,OFFSET(PLE!$G$14,$M330,CM$13))))</f>
        <v>1000000000000</v>
      </c>
    </row>
    <row r="331" spans="1:91" ht="38.25" x14ac:dyDescent="0.2">
      <c r="A331" s="7" t="str">
        <f t="shared" ca="1" si="12"/>
        <v>304</v>
      </c>
      <c r="B331" s="7" t="str">
        <f ca="1">OFFSET(ORÇAMENTO!C$15,ROW(B331)-ROW(B$15),0)</f>
        <v>S</v>
      </c>
      <c r="C331" s="7" t="str">
        <f ca="1">OFFSET(ORÇAMENTO!L$15,ROW(C331)-ROW(C$15),0)</f>
        <v/>
      </c>
      <c r="D331" s="118" t="str">
        <f ca="1">OFFSET(ORÇAMENTO!N$15,ROW(D331)-ROW(D$15),0)</f>
        <v>Serviço</v>
      </c>
      <c r="E331" s="119" t="str">
        <f ca="1">OFFSET(ORÇAMENTO!O$15,ROW(E331)-ROW(E$15),0)</f>
        <v>-</v>
      </c>
      <c r="F331" s="172" t="str">
        <f ca="1">OFFSET(ORÇAMENTO!R$15,ROW(F331)-ROW(F$15),0)</f>
        <v>(abra o arquivo 'Referência 06-2024.xlsm)</v>
      </c>
      <c r="G331" s="173" t="str">
        <f ca="1">IF($D331&lt;&gt;"Serviço","",OFFSET(ORÇAMENTO!S$15,ROW(G331)-ROW(G$15),0))</f>
        <v>-</v>
      </c>
      <c r="H331" s="124">
        <f ca="1">IF($D331&lt;&gt;"Serviço",0,IF(ACOMPANHAMENTO="BM",ROUND(OFFSET(ORÇAMENTO!AJ$15,ROW(H331)-ROW(H$15),0),15-13*ORÇAMENTO!$AF$7),SUMPRODUCT(($Q$12:$AI$12&lt;&gt;"")*ROUND($Q331:$AI331,15-13*ORÇAMENTO!$AF$7))))</f>
        <v>51</v>
      </c>
      <c r="I331" s="561" t="s">
        <v>1107</v>
      </c>
      <c r="K331" s="174"/>
      <c r="L331" s="175" t="s">
        <v>255</v>
      </c>
      <c r="M331" s="176">
        <f ca="1">IF($D331&lt;&gt;"Serviço","",IF(AUTOEVENTO="manual",$A331,IF(ISERROR(MATCH($A331,$A$15:OFFSET($A331,-1,0),0)),MAX($M$15:OFFSET(M331,-1,0))+1,INDEX($M$15:OFFSET(M331,-1,0),MATCH($A331,$A$15:OFFSET($A331,-1,0),0)))))</f>
        <v>41</v>
      </c>
      <c r="N331" s="177" t="str">
        <f ca="1">IF($D331&lt;&gt;"Serviço","",IF(AUTOEVENTO="Manual",IF($A331=0,"&lt;-- defina o número do agrupador",OFFSET(EVENTOS!$D$14,$A331,0)),OFFSET($F$15,$A331,0)))</f>
        <v>INSTALAÇÃO SANITÁRIA - TUBULAÇÕES E CONEXÕES</v>
      </c>
      <c r="O331" s="178"/>
      <c r="Q331" s="178">
        <v>51</v>
      </c>
      <c r="R331" s="179"/>
      <c r="S331" s="179"/>
      <c r="T331" s="179"/>
      <c r="U331" s="179"/>
      <c r="V331" s="179"/>
      <c r="W331" s="179"/>
      <c r="X331" s="179"/>
      <c r="Y331" s="179"/>
      <c r="Z331" s="180"/>
      <c r="AA331" s="179"/>
      <c r="AB331" s="179"/>
      <c r="AC331" s="179"/>
      <c r="AD331" s="179"/>
      <c r="AE331" s="179"/>
      <c r="AF331" s="179"/>
      <c r="AG331" s="179"/>
      <c r="AH331" s="180"/>
      <c r="AJ331" s="544">
        <f ca="1">IF(AND($D331="Serviço",AJ$12&lt;&gt;0,$H331&gt;0,OR(AUTOEVENTO&lt;&gt;"manual",$M331&lt;&gt;1)),
IF(Import.TipoArredondamento&lt;&gt;"TransfereGOV",
ROUND(OFFSET($P331,0,AJ$13),15-13*ORÇAMENTO!$AF$7)/$H331*OFFSET(ORÇAMENTO!$X$15,ROW(AJ331)-ROW(AJ$15),0),
ROUND(ROUND(OFFSET($P331,0,AJ$13),15-13*ORÇAMENTO!$AF$7)*OFFSET(ORÇAMENTO!$W$15,ROW(AJ331)-ROW(AJ$15),0),15-13*ORÇAMENTO!$AF$11)),0)</f>
        <v>0</v>
      </c>
      <c r="AK331" s="545">
        <f ca="1">IF(AND($D331="Serviço",AK$12&lt;&gt;0,$H331&gt;0,OR(AUTOEVENTO&lt;&gt;"manual",$M331&lt;&gt;1)),
IF(Import.TipoArredondamento&lt;&gt;"TransfereGOV",
ROUND(OFFSET($P331,0,AK$13),15-13*ORÇAMENTO!$AF$7)/$H331*OFFSET(ORÇAMENTO!$X$15,ROW(AK331)-ROW(AK$15),0),
ROUND(ROUND(OFFSET($P331,0,AK$13),15-13*ORÇAMENTO!$AF$7)*OFFSET(ORÇAMENTO!$W$15,ROW(AK331)-ROW(AK$15),0),15-13*ORÇAMENTO!$AF$11)),0)</f>
        <v>0</v>
      </c>
      <c r="AL331" s="545">
        <f ca="1">IF(AND($D331="Serviço",AL$12&lt;&gt;0,$H331&gt;0,OR(AUTOEVENTO&lt;&gt;"manual",$M331&lt;&gt;1)),
IF(Import.TipoArredondamento&lt;&gt;"TransfereGOV",
ROUND(OFFSET($P331,0,AL$13),15-13*ORÇAMENTO!$AF$7)/$H331*OFFSET(ORÇAMENTO!$X$15,ROW(AL331)-ROW(AL$15),0),
ROUND(ROUND(OFFSET($P331,0,AL$13),15-13*ORÇAMENTO!$AF$7)*OFFSET(ORÇAMENTO!$W$15,ROW(AL331)-ROW(AL$15),0),15-13*ORÇAMENTO!$AF$11)),0)</f>
        <v>0</v>
      </c>
      <c r="AM331" s="545">
        <f ca="1">IF(AND($D331="Serviço",AM$12&lt;&gt;0,$H331&gt;0,OR(AUTOEVENTO&lt;&gt;"manual",$M331&lt;&gt;1)),
IF(Import.TipoArredondamento&lt;&gt;"TransfereGOV",
ROUND(OFFSET($P331,0,AM$13),15-13*ORÇAMENTO!$AF$7)/$H331*OFFSET(ORÇAMENTO!$X$15,ROW(AM331)-ROW(AM$15),0),
ROUND(ROUND(OFFSET($P331,0,AM$13),15-13*ORÇAMENTO!$AF$7)*OFFSET(ORÇAMENTO!$W$15,ROW(AM331)-ROW(AM$15),0),15-13*ORÇAMENTO!$AF$11)),0)</f>
        <v>0</v>
      </c>
      <c r="AN331" s="545">
        <f ca="1">IF(AND($D331="Serviço",AN$12&lt;&gt;0,$H331&gt;0,OR(AUTOEVENTO&lt;&gt;"manual",$M331&lt;&gt;1)),
IF(Import.TipoArredondamento&lt;&gt;"TransfereGOV",
ROUND(OFFSET($P331,0,AN$13),15-13*ORÇAMENTO!$AF$7)/$H331*OFFSET(ORÇAMENTO!$X$15,ROW(AN331)-ROW(AN$15),0),
ROUND(ROUND(OFFSET($P331,0,AN$13),15-13*ORÇAMENTO!$AF$7)*OFFSET(ORÇAMENTO!$W$15,ROW(AN331)-ROW(AN$15),0),15-13*ORÇAMENTO!$AF$11)),0)</f>
        <v>0</v>
      </c>
      <c r="AO331" s="545">
        <f ca="1">IF(AND($D331="Serviço",AO$12&lt;&gt;0,$H331&gt;0,OR(AUTOEVENTO&lt;&gt;"manual",$M331&lt;&gt;1)),
IF(Import.TipoArredondamento&lt;&gt;"TransfereGOV",
ROUND(OFFSET($P331,0,AO$13),15-13*ORÇAMENTO!$AF$7)/$H331*OFFSET(ORÇAMENTO!$X$15,ROW(AO331)-ROW(AO$15),0),
ROUND(ROUND(OFFSET($P331,0,AO$13),15-13*ORÇAMENTO!$AF$7)*OFFSET(ORÇAMENTO!$W$15,ROW(AO331)-ROW(AO$15),0),15-13*ORÇAMENTO!$AF$11)),0)</f>
        <v>0</v>
      </c>
      <c r="AP331" s="545">
        <f ca="1">IF(AND($D331="Serviço",AP$12&lt;&gt;0,$H331&gt;0,OR(AUTOEVENTO&lt;&gt;"manual",$M331&lt;&gt;1)),
IF(Import.TipoArredondamento&lt;&gt;"TransfereGOV",
ROUND(OFFSET($P331,0,AP$13),15-13*ORÇAMENTO!$AF$7)/$H331*OFFSET(ORÇAMENTO!$X$15,ROW(AP331)-ROW(AP$15),0),
ROUND(ROUND(OFFSET($P331,0,AP$13),15-13*ORÇAMENTO!$AF$7)*OFFSET(ORÇAMENTO!$W$15,ROW(AP331)-ROW(AP$15),0),15-13*ORÇAMENTO!$AF$11)),0)</f>
        <v>0</v>
      </c>
      <c r="AQ331" s="545">
        <f ca="1">IF(AND($D331="Serviço",AQ$12&lt;&gt;0,$H331&gt;0,OR(AUTOEVENTO&lt;&gt;"manual",$M331&lt;&gt;1)),
IF(Import.TipoArredondamento&lt;&gt;"TransfereGOV",
ROUND(OFFSET($P331,0,AQ$13),15-13*ORÇAMENTO!$AF$7)/$H331*OFFSET(ORÇAMENTO!$X$15,ROW(AQ331)-ROW(AQ$15),0),
ROUND(ROUND(OFFSET($P331,0,AQ$13),15-13*ORÇAMENTO!$AF$7)*OFFSET(ORÇAMENTO!$W$15,ROW(AQ331)-ROW(AQ$15),0),15-13*ORÇAMENTO!$AF$11)),0)</f>
        <v>0</v>
      </c>
      <c r="AR331" s="545">
        <f ca="1">IF(AND($D331="Serviço",AR$12&lt;&gt;0,$H331&gt;0,OR(AUTOEVENTO&lt;&gt;"manual",$M331&lt;&gt;1)),
IF(Import.TipoArredondamento&lt;&gt;"TransfereGOV",
ROUND(OFFSET($P331,0,AR$13),15-13*ORÇAMENTO!$AF$7)/$H331*OFFSET(ORÇAMENTO!$X$15,ROW(AR331)-ROW(AR$15),0),
ROUND(ROUND(OFFSET($P331,0,AR$13),15-13*ORÇAMENTO!$AF$7)*OFFSET(ORÇAMENTO!$W$15,ROW(AR331)-ROW(AR$15),0),15-13*ORÇAMENTO!$AF$11)),0)</f>
        <v>0</v>
      </c>
      <c r="AS331" s="546">
        <f ca="1">IF(AND($D331="Serviço",AS$12&lt;&gt;0,$H331&gt;0,OR(AUTOEVENTO&lt;&gt;"manual",$M331&lt;&gt;1)),
IF(Import.TipoArredondamento&lt;&gt;"TransfereGOV",
ROUND(OFFSET($P331,0,AS$13),15-13*ORÇAMENTO!$AF$7)/$H331*OFFSET(ORÇAMENTO!$X$15,ROW(AS331)-ROW(AS$15),0),
ROUND(ROUND(OFFSET($P331,0,AS$13),15-13*ORÇAMENTO!$AF$7)*OFFSET(ORÇAMENTO!$W$15,ROW(AS331)-ROW(AS$15),0),15-13*ORÇAMENTO!$AF$11)),0)</f>
        <v>0</v>
      </c>
      <c r="AT331" s="545">
        <f ca="1">IF(AND($D331="Serviço",AT$12&lt;&gt;0,$H331&gt;0,OR(AUTOEVENTO&lt;&gt;"manual",$M331&lt;&gt;1)),
IF(Import.TipoArredondamento&lt;&gt;"TransfereGOV",
ROUND(OFFSET($P331,0,AT$13),15-13*ORÇAMENTO!$AF$7)/$H331*OFFSET(ORÇAMENTO!$X$15,ROW(AT331)-ROW(AT$15),0),
ROUND(ROUND(OFFSET($P331,0,AT$13),15-13*ORÇAMENTO!$AF$7)*OFFSET(ORÇAMENTO!$W$15,ROW(AT331)-ROW(AT$15),0),15-13*ORÇAMENTO!$AF$11)),0)</f>
        <v>0</v>
      </c>
      <c r="AU331" s="545">
        <f ca="1">IF(AND($D331="Serviço",AU$12&lt;&gt;0,$H331&gt;0,OR(AUTOEVENTO&lt;&gt;"manual",$M331&lt;&gt;1)),
IF(Import.TipoArredondamento&lt;&gt;"TransfereGOV",
ROUND(OFFSET($P331,0,AU$13),15-13*ORÇAMENTO!$AF$7)/$H331*OFFSET(ORÇAMENTO!$X$15,ROW(AU331)-ROW(AU$15),0),
ROUND(ROUND(OFFSET($P331,0,AU$13),15-13*ORÇAMENTO!$AF$7)*OFFSET(ORÇAMENTO!$W$15,ROW(AU331)-ROW(AU$15),0),15-13*ORÇAMENTO!$AF$11)),0)</f>
        <v>0</v>
      </c>
      <c r="AV331" s="545">
        <f ca="1">IF(AND($D331="Serviço",AV$12&lt;&gt;0,$H331&gt;0,OR(AUTOEVENTO&lt;&gt;"manual",$M331&lt;&gt;1)),
IF(Import.TipoArredondamento&lt;&gt;"TransfereGOV",
ROUND(OFFSET($P331,0,AV$13),15-13*ORÇAMENTO!$AF$7)/$H331*OFFSET(ORÇAMENTO!$X$15,ROW(AV331)-ROW(AV$15),0),
ROUND(ROUND(OFFSET($P331,0,AV$13),15-13*ORÇAMENTO!$AF$7)*OFFSET(ORÇAMENTO!$W$15,ROW(AV331)-ROW(AV$15),0),15-13*ORÇAMENTO!$AF$11)),0)</f>
        <v>0</v>
      </c>
      <c r="AW331" s="545">
        <f ca="1">IF(AND($D331="Serviço",AW$12&lt;&gt;0,$H331&gt;0,OR(AUTOEVENTO&lt;&gt;"manual",$M331&lt;&gt;1)),
IF(Import.TipoArredondamento&lt;&gt;"TransfereGOV",
ROUND(OFFSET($P331,0,AW$13),15-13*ORÇAMENTO!$AF$7)/$H331*OFFSET(ORÇAMENTO!$X$15,ROW(AW331)-ROW(AW$15),0),
ROUND(ROUND(OFFSET($P331,0,AW$13),15-13*ORÇAMENTO!$AF$7)*OFFSET(ORÇAMENTO!$W$15,ROW(AW331)-ROW(AW$15),0),15-13*ORÇAMENTO!$AF$11)),0)</f>
        <v>0</v>
      </c>
      <c r="AX331" s="545">
        <f ca="1">IF(AND($D331="Serviço",AX$12&lt;&gt;0,$H331&gt;0,OR(AUTOEVENTO&lt;&gt;"manual",$M331&lt;&gt;1)),
IF(Import.TipoArredondamento&lt;&gt;"TransfereGOV",
ROUND(OFFSET($P331,0,AX$13),15-13*ORÇAMENTO!$AF$7)/$H331*OFFSET(ORÇAMENTO!$X$15,ROW(AX331)-ROW(AX$15),0),
ROUND(ROUND(OFFSET($P331,0,AX$13),15-13*ORÇAMENTO!$AF$7)*OFFSET(ORÇAMENTO!$W$15,ROW(AX331)-ROW(AX$15),0),15-13*ORÇAMENTO!$AF$11)),0)</f>
        <v>0</v>
      </c>
      <c r="AY331" s="545">
        <f ca="1">IF(AND($D331="Serviço",AY$12&lt;&gt;0,$H331&gt;0,OR(AUTOEVENTO&lt;&gt;"manual",$M331&lt;&gt;1)),
IF(Import.TipoArredondamento&lt;&gt;"TransfereGOV",
ROUND(OFFSET($P331,0,AY$13),15-13*ORÇAMENTO!$AF$7)/$H331*OFFSET(ORÇAMENTO!$X$15,ROW(AY331)-ROW(AY$15),0),
ROUND(ROUND(OFFSET($P331,0,AY$13),15-13*ORÇAMENTO!$AF$7)*OFFSET(ORÇAMENTO!$W$15,ROW(AY331)-ROW(AY$15),0),15-13*ORÇAMENTO!$AF$11)),0)</f>
        <v>0</v>
      </c>
      <c r="AZ331" s="545">
        <f ca="1">IF(AND($D331="Serviço",AZ$12&lt;&gt;0,$H331&gt;0,OR(AUTOEVENTO&lt;&gt;"manual",$M331&lt;&gt;1)),
IF(Import.TipoArredondamento&lt;&gt;"TransfereGOV",
ROUND(OFFSET($P331,0,AZ$13),15-13*ORÇAMENTO!$AF$7)/$H331*OFFSET(ORÇAMENTO!$X$15,ROW(AZ331)-ROW(AZ$15),0),
ROUND(ROUND(OFFSET($P331,0,AZ$13),15-13*ORÇAMENTO!$AF$7)*OFFSET(ORÇAMENTO!$W$15,ROW(AZ331)-ROW(AZ$15),0),15-13*ORÇAMENTO!$AF$11)),0)</f>
        <v>0</v>
      </c>
      <c r="BA331" s="546">
        <f ca="1">IF(AND($D331="Serviço",BA$12&lt;&gt;0,$H331&gt;0,OR(AUTOEVENTO&lt;&gt;"manual",$M331&lt;&gt;1)),
IF(Import.TipoArredondamento&lt;&gt;"TransfereGOV",
ROUND(OFFSET($P331,0,BA$13),15-13*ORÇAMENTO!$AF$7)/$H331*OFFSET(ORÇAMENTO!$X$15,ROW(BA331)-ROW(BA$15),0),
ROUND(ROUND(OFFSET($P331,0,BA$13),15-13*ORÇAMENTO!$AF$7)*OFFSET(ORÇAMENTO!$W$15,ROW(BA331)-ROW(BA$15),0),15-13*ORÇAMENTO!$AF$11)),0)</f>
        <v>0</v>
      </c>
      <c r="BC331" s="181">
        <f ca="1">IF($D331&lt;&gt;"Serviço",0,IF(AND(AUTOEVENTO="Manual",$M331=1),0,IF(OFFSET(CRONOPLE!$F$14,$M331,BC$13)="",10^12,OFFSET(CRONOPLE!$F$14,$M331,BC$13))))</f>
        <v>9</v>
      </c>
      <c r="BD331" s="181">
        <f ca="1">IF($D331&lt;&gt;"Serviço",0,IF(AND(AUTOEVENTO="Manual",$M331=1),0,IF(OFFSET(CRONOPLE!$F$14,$M331,BD$13)="",10^12,OFFSET(CRONOPLE!$F$14,$M331,BD$13))))</f>
        <v>1000000000000</v>
      </c>
      <c r="BE331" s="181">
        <f ca="1">IF($D331&lt;&gt;"Serviço",0,IF(AND(AUTOEVENTO="Manual",$M331=1),0,IF(OFFSET(CRONOPLE!$F$14,$M331,BE$13)="",10^12,OFFSET(CRONOPLE!$F$14,$M331,BE$13))))</f>
        <v>1000000000000</v>
      </c>
      <c r="BF331" s="181">
        <f ca="1">IF($D331&lt;&gt;"Serviço",0,IF(AND(AUTOEVENTO="Manual",$M331=1),0,IF(OFFSET(CRONOPLE!$F$14,$M331,BF$13)="",10^12,OFFSET(CRONOPLE!$F$14,$M331,BF$13))))</f>
        <v>1000000000000</v>
      </c>
      <c r="BG331" s="181">
        <f ca="1">IF($D331&lt;&gt;"Serviço",0,IF(AND(AUTOEVENTO="Manual",$M331=1),0,IF(OFFSET(CRONOPLE!$F$14,$M331,BG$13)="",10^12,OFFSET(CRONOPLE!$F$14,$M331,BG$13))))</f>
        <v>1000000000000</v>
      </c>
      <c r="BH331" s="181">
        <f ca="1">IF($D331&lt;&gt;"Serviço",0,IF(AND(AUTOEVENTO="Manual",$M331=1),0,IF(OFFSET(CRONOPLE!$F$14,$M331,BH$13)="",10^12,OFFSET(CRONOPLE!$F$14,$M331,BH$13))))</f>
        <v>1000000000000</v>
      </c>
      <c r="BI331" s="181">
        <f ca="1">IF($D331&lt;&gt;"Serviço",0,IF(AND(AUTOEVENTO="Manual",$M331=1),0,IF(OFFSET(CRONOPLE!$F$14,$M331,BI$13)="",10^12,OFFSET(CRONOPLE!$F$14,$M331,BI$13))))</f>
        <v>1000000000000</v>
      </c>
      <c r="BJ331" s="181">
        <f ca="1">IF($D331&lt;&gt;"Serviço",0,IF(AND(AUTOEVENTO="Manual",$M331=1),0,IF(OFFSET(CRONOPLE!$F$14,$M331,BJ$13)="",10^12,OFFSET(CRONOPLE!$F$14,$M331,BJ$13))))</f>
        <v>1000000000000</v>
      </c>
      <c r="BK331" s="181">
        <f ca="1">IF($D331&lt;&gt;"Serviço",0,IF(AND(AUTOEVENTO="Manual",$M331=1),0,IF(OFFSET(CRONOPLE!$F$14,$M331,BK$13)="",10^12,OFFSET(CRONOPLE!$F$14,$M331,BK$13))))</f>
        <v>1000000000000</v>
      </c>
      <c r="BL331" s="181">
        <f ca="1">IF($D331&lt;&gt;"Serviço",0,IF(AND(AUTOEVENTO="Manual",$M331=1),0,IF(OFFSET(CRONOPLE!$F$14,$M331,BL$13)="",10^12,OFFSET(CRONOPLE!$F$14,$M331,BL$13))))</f>
        <v>1000000000000</v>
      </c>
      <c r="BM331" s="181">
        <f ca="1">IF($D331&lt;&gt;"Serviço",0,IF(AND(AUTOEVENTO="Manual",$M331=1),0,IF(OFFSET(CRONOPLE!$F$14,$M331,BM$13)="",10^12,OFFSET(CRONOPLE!$F$14,$M331,BM$13))))</f>
        <v>1000000000000</v>
      </c>
      <c r="BN331" s="181">
        <f ca="1">IF($D331&lt;&gt;"Serviço",0,IF(AND(AUTOEVENTO="Manual",$M331=1),0,IF(OFFSET(CRONOPLE!$F$14,$M331,BN$13)="",10^12,OFFSET(CRONOPLE!$F$14,$M331,BN$13))))</f>
        <v>1000000000000</v>
      </c>
      <c r="BO331" s="181">
        <f ca="1">IF($D331&lt;&gt;"Serviço",0,IF(AND(AUTOEVENTO="Manual",$M331=1),0,IF(OFFSET(CRONOPLE!$F$14,$M331,BO$13)="",10^12,OFFSET(CRONOPLE!$F$14,$M331,BO$13))))</f>
        <v>1000000000000</v>
      </c>
      <c r="BP331" s="181">
        <f ca="1">IF($D331&lt;&gt;"Serviço",0,IF(AND(AUTOEVENTO="Manual",$M331=1),0,IF(OFFSET(CRONOPLE!$F$14,$M331,BP$13)="",10^12,OFFSET(CRONOPLE!$F$14,$M331,BP$13))))</f>
        <v>1000000000000</v>
      </c>
      <c r="BQ331" s="181">
        <f ca="1">IF($D331&lt;&gt;"Serviço",0,IF(AND(AUTOEVENTO="Manual",$M331=1),0,IF(OFFSET(CRONOPLE!$F$14,$M331,BQ$13)="",10^12,OFFSET(CRONOPLE!$F$14,$M331,BQ$13))))</f>
        <v>1000000000000</v>
      </c>
      <c r="BR331" s="181">
        <f ca="1">IF($D331&lt;&gt;"Serviço",0,IF(AND(AUTOEVENTO="Manual",$M331=1),0,IF(OFFSET(CRONOPLE!$F$14,$M331,BR$13)="",10^12,OFFSET(CRONOPLE!$F$14,$M331,BR$13))))</f>
        <v>1000000000000</v>
      </c>
      <c r="BS331" s="181">
        <f ca="1">IF($D331&lt;&gt;"Serviço",0,IF(AND(AUTOEVENTO="Manual",$M331=1),0,IF(OFFSET(CRONOPLE!$F$14,$M331,BS$13)="",10^12,OFFSET(CRONOPLE!$F$14,$M331,BS$13))))</f>
        <v>1000000000000</v>
      </c>
      <c r="BT331" s="181">
        <f ca="1">IF($D331&lt;&gt;"Serviço",0,IF(AND(AUTOEVENTO="Manual",$M331=1),0,IF(OFFSET(CRONOPLE!$F$14,$M331,BT$13)="",10^12,OFFSET(CRONOPLE!$F$14,$M331,BT$13))))</f>
        <v>1000000000000</v>
      </c>
      <c r="BV331" s="182">
        <f ca="1">IF($D331&lt;&gt;"Serviço",0,IF(OR(AND(AUTOEVENTO="Manual",$M331=1),$M331&gt;(ROW(PLE.lastrow)-ROW(PLE.firstrow))),0,IF(OFFSET(PLE!$G$14,$M331,BV$13)="",10^12,OFFSET(PLE!$G$14,$M331,BV$13))))</f>
        <v>1000000000000</v>
      </c>
      <c r="BW331" s="182">
        <f ca="1">IF($D331&lt;&gt;"Serviço",0,IF(OR(AND(AUTOEVENTO="Manual",$M331=1),$M331&gt;(ROW(PLE.lastrow)-ROW(PLE.firstrow))),0,IF(OFFSET(PLE!$G$14,$M331,BW$13)="",10^12,OFFSET(PLE!$G$14,$M331,BW$13))))</f>
        <v>1000000000000</v>
      </c>
      <c r="BX331" s="182">
        <f ca="1">IF($D331&lt;&gt;"Serviço",0,IF(OR(AND(AUTOEVENTO="Manual",$M331=1),$M331&gt;(ROW(PLE.lastrow)-ROW(PLE.firstrow))),0,IF(OFFSET(PLE!$G$14,$M331,BX$13)="",10^12,OFFSET(PLE!$G$14,$M331,BX$13))))</f>
        <v>1000000000000</v>
      </c>
      <c r="BY331" s="182">
        <f ca="1">IF($D331&lt;&gt;"Serviço",0,IF(OR(AND(AUTOEVENTO="Manual",$M331=1),$M331&gt;(ROW(PLE.lastrow)-ROW(PLE.firstrow))),0,IF(OFFSET(PLE!$G$14,$M331,BY$13)="",10^12,OFFSET(PLE!$G$14,$M331,BY$13))))</f>
        <v>1000000000000</v>
      </c>
      <c r="BZ331" s="182">
        <f ca="1">IF($D331&lt;&gt;"Serviço",0,IF(OR(AND(AUTOEVENTO="Manual",$M331=1),$M331&gt;(ROW(PLE.lastrow)-ROW(PLE.firstrow))),0,IF(OFFSET(PLE!$G$14,$M331,BZ$13)="",10^12,OFFSET(PLE!$G$14,$M331,BZ$13))))</f>
        <v>1000000000000</v>
      </c>
      <c r="CA331" s="182">
        <f ca="1">IF($D331&lt;&gt;"Serviço",0,IF(OR(AND(AUTOEVENTO="Manual",$M331=1),$M331&gt;(ROW(PLE.lastrow)-ROW(PLE.firstrow))),0,IF(OFFSET(PLE!$G$14,$M331,CA$13)="",10^12,OFFSET(PLE!$G$14,$M331,CA$13))))</f>
        <v>1000000000000</v>
      </c>
      <c r="CB331" s="182">
        <f ca="1">IF($D331&lt;&gt;"Serviço",0,IF(OR(AND(AUTOEVENTO="Manual",$M331=1),$M331&gt;(ROW(PLE.lastrow)-ROW(PLE.firstrow))),0,IF(OFFSET(PLE!$G$14,$M331,CB$13)="",10^12,OFFSET(PLE!$G$14,$M331,CB$13))))</f>
        <v>1000000000000</v>
      </c>
      <c r="CC331" s="182">
        <f ca="1">IF($D331&lt;&gt;"Serviço",0,IF(OR(AND(AUTOEVENTO="Manual",$M331=1),$M331&gt;(ROW(PLE.lastrow)-ROW(PLE.firstrow))),0,IF(OFFSET(PLE!$G$14,$M331,CC$13)="",10^12,OFFSET(PLE!$G$14,$M331,CC$13))))</f>
        <v>1000000000000</v>
      </c>
      <c r="CD331" s="182">
        <f ca="1">IF($D331&lt;&gt;"Serviço",0,IF(OR(AND(AUTOEVENTO="Manual",$M331=1),$M331&gt;(ROW(PLE.lastrow)-ROW(PLE.firstrow))),0,IF(OFFSET(PLE!$G$14,$M331,CD$13)="",10^12,OFFSET(PLE!$G$14,$M331,CD$13))))</f>
        <v>1000000000000</v>
      </c>
      <c r="CE331" s="182">
        <f ca="1">IF($D331&lt;&gt;"Serviço",0,IF(OR(AND(AUTOEVENTO="Manual",$M331=1),$M331&gt;(ROW(PLE.lastrow)-ROW(PLE.firstrow))),0,IF(OFFSET(PLE!$G$14,$M331,CE$13)="",10^12,OFFSET(PLE!$G$14,$M331,CE$13))))</f>
        <v>1000000000000</v>
      </c>
      <c r="CF331" s="182">
        <f ca="1">IF($D331&lt;&gt;"Serviço",0,IF(OR(AND(AUTOEVENTO="Manual",$M331=1),$M331&gt;(ROW(PLE.lastrow)-ROW(PLE.firstrow))),0,IF(OFFSET(PLE!$G$14,$M331,CF$13)="",10^12,OFFSET(PLE!$G$14,$M331,CF$13))))</f>
        <v>1000000000000</v>
      </c>
      <c r="CG331" s="182">
        <f ca="1">IF($D331&lt;&gt;"Serviço",0,IF(OR(AND(AUTOEVENTO="Manual",$M331=1),$M331&gt;(ROW(PLE.lastrow)-ROW(PLE.firstrow))),0,IF(OFFSET(PLE!$G$14,$M331,CG$13)="",10^12,OFFSET(PLE!$G$14,$M331,CG$13))))</f>
        <v>1000000000000</v>
      </c>
      <c r="CH331" s="182">
        <f ca="1">IF($D331&lt;&gt;"Serviço",0,IF(OR(AND(AUTOEVENTO="Manual",$M331=1),$M331&gt;(ROW(PLE.lastrow)-ROW(PLE.firstrow))),0,IF(OFFSET(PLE!$G$14,$M331,CH$13)="",10^12,OFFSET(PLE!$G$14,$M331,CH$13))))</f>
        <v>1000000000000</v>
      </c>
      <c r="CI331" s="182">
        <f ca="1">IF($D331&lt;&gt;"Serviço",0,IF(OR(AND(AUTOEVENTO="Manual",$M331=1),$M331&gt;(ROW(PLE.lastrow)-ROW(PLE.firstrow))),0,IF(OFFSET(PLE!$G$14,$M331,CI$13)="",10^12,OFFSET(PLE!$G$14,$M331,CI$13))))</f>
        <v>1000000000000</v>
      </c>
      <c r="CJ331" s="182">
        <f ca="1">IF($D331&lt;&gt;"Serviço",0,IF(OR(AND(AUTOEVENTO="Manual",$M331=1),$M331&gt;(ROW(PLE.lastrow)-ROW(PLE.firstrow))),0,IF(OFFSET(PLE!$G$14,$M331,CJ$13)="",10^12,OFFSET(PLE!$G$14,$M331,CJ$13))))</f>
        <v>1000000000000</v>
      </c>
      <c r="CK331" s="182">
        <f ca="1">IF($D331&lt;&gt;"Serviço",0,IF(OR(AND(AUTOEVENTO="Manual",$M331=1),$M331&gt;(ROW(PLE.lastrow)-ROW(PLE.firstrow))),0,IF(OFFSET(PLE!$G$14,$M331,CK$13)="",10^12,OFFSET(PLE!$G$14,$M331,CK$13))))</f>
        <v>1000000000000</v>
      </c>
      <c r="CL331" s="182">
        <f ca="1">IF($D331&lt;&gt;"Serviço",0,IF(OR(AND(AUTOEVENTO="Manual",$M331=1),$M331&gt;(ROW(PLE.lastrow)-ROW(PLE.firstrow))),0,IF(OFFSET(PLE!$G$14,$M331,CL$13)="",10^12,OFFSET(PLE!$G$14,$M331,CL$13))))</f>
        <v>1000000000000</v>
      </c>
      <c r="CM331" s="182">
        <f ca="1">IF($D331&lt;&gt;"Serviço",0,IF(OR(AND(AUTOEVENTO="Manual",$M331=1),$M331&gt;(ROW(PLE.lastrow)-ROW(PLE.firstrow))),0,IF(OFFSET(PLE!$G$14,$M331,CM$13)="",10^12,OFFSET(PLE!$G$14,$M331,CM$13))))</f>
        <v>1000000000000</v>
      </c>
    </row>
    <row r="332" spans="1:91" ht="38.25" x14ac:dyDescent="0.2">
      <c r="A332" s="7" t="str">
        <f t="shared" ca="1" si="12"/>
        <v>304</v>
      </c>
      <c r="B332" s="7" t="str">
        <f ca="1">OFFSET(ORÇAMENTO!C$15,ROW(B332)-ROW(B$15),0)</f>
        <v>S</v>
      </c>
      <c r="C332" s="7" t="str">
        <f ca="1">OFFSET(ORÇAMENTO!L$15,ROW(C332)-ROW(C$15),0)</f>
        <v/>
      </c>
      <c r="D332" s="118" t="str">
        <f ca="1">OFFSET(ORÇAMENTO!N$15,ROW(D332)-ROW(D$15),0)</f>
        <v>Serviço</v>
      </c>
      <c r="E332" s="119" t="str">
        <f ca="1">OFFSET(ORÇAMENTO!O$15,ROW(E332)-ROW(E$15),0)</f>
        <v>-</v>
      </c>
      <c r="F332" s="172" t="str">
        <f ca="1">OFFSET(ORÇAMENTO!R$15,ROW(F332)-ROW(F$15),0)</f>
        <v>(abra o arquivo 'Referência 06-2024.xlsm)</v>
      </c>
      <c r="G332" s="173" t="str">
        <f ca="1">IF($D332&lt;&gt;"Serviço","",OFFSET(ORÇAMENTO!S$15,ROW(G332)-ROW(G$15),0))</f>
        <v>-</v>
      </c>
      <c r="H332" s="124">
        <f ca="1">IF($D332&lt;&gt;"Serviço",0,IF(ACOMPANHAMENTO="BM",ROUND(OFFSET(ORÇAMENTO!AJ$15,ROW(H332)-ROW(H$15),0),15-13*ORÇAMENTO!$AF$7),SUMPRODUCT(($Q$12:$AI$12&lt;&gt;"")*ROUND($Q332:$AI332,15-13*ORÇAMENTO!$AF$7))))</f>
        <v>46</v>
      </c>
      <c r="I332" s="561" t="s">
        <v>1107</v>
      </c>
      <c r="K332" s="174"/>
      <c r="L332" s="175" t="s">
        <v>255</v>
      </c>
      <c r="M332" s="176">
        <f ca="1">IF($D332&lt;&gt;"Serviço","",IF(AUTOEVENTO="manual",$A332,IF(ISERROR(MATCH($A332,$A$15:OFFSET($A332,-1,0),0)),MAX($M$15:OFFSET(M332,-1,0))+1,INDEX($M$15:OFFSET(M332,-1,0),MATCH($A332,$A$15:OFFSET($A332,-1,0),0)))))</f>
        <v>41</v>
      </c>
      <c r="N332" s="177" t="str">
        <f ca="1">IF($D332&lt;&gt;"Serviço","",IF(AUTOEVENTO="Manual",IF($A332=0,"&lt;-- defina o número do agrupador",OFFSET(EVENTOS!$D$14,$A332,0)),OFFSET($F$15,$A332,0)))</f>
        <v>INSTALAÇÃO SANITÁRIA - TUBULAÇÕES E CONEXÕES</v>
      </c>
      <c r="O332" s="178"/>
      <c r="Q332" s="178">
        <v>46</v>
      </c>
      <c r="R332" s="179"/>
      <c r="S332" s="179"/>
      <c r="T332" s="179"/>
      <c r="U332" s="179"/>
      <c r="V332" s="179"/>
      <c r="W332" s="179"/>
      <c r="X332" s="179"/>
      <c r="Y332" s="179"/>
      <c r="Z332" s="180"/>
      <c r="AA332" s="179"/>
      <c r="AB332" s="179"/>
      <c r="AC332" s="179"/>
      <c r="AD332" s="179"/>
      <c r="AE332" s="179"/>
      <c r="AF332" s="179"/>
      <c r="AG332" s="179"/>
      <c r="AH332" s="180"/>
      <c r="AJ332" s="544">
        <f ca="1">IF(AND($D332="Serviço",AJ$12&lt;&gt;0,$H332&gt;0,OR(AUTOEVENTO&lt;&gt;"manual",$M332&lt;&gt;1)),
IF(Import.TipoArredondamento&lt;&gt;"TransfereGOV",
ROUND(OFFSET($P332,0,AJ$13),15-13*ORÇAMENTO!$AF$7)/$H332*OFFSET(ORÇAMENTO!$X$15,ROW(AJ332)-ROW(AJ$15),0),
ROUND(ROUND(OFFSET($P332,0,AJ$13),15-13*ORÇAMENTO!$AF$7)*OFFSET(ORÇAMENTO!$W$15,ROW(AJ332)-ROW(AJ$15),0),15-13*ORÇAMENTO!$AF$11)),0)</f>
        <v>0</v>
      </c>
      <c r="AK332" s="545">
        <f ca="1">IF(AND($D332="Serviço",AK$12&lt;&gt;0,$H332&gt;0,OR(AUTOEVENTO&lt;&gt;"manual",$M332&lt;&gt;1)),
IF(Import.TipoArredondamento&lt;&gt;"TransfereGOV",
ROUND(OFFSET($P332,0,AK$13),15-13*ORÇAMENTO!$AF$7)/$H332*OFFSET(ORÇAMENTO!$X$15,ROW(AK332)-ROW(AK$15),0),
ROUND(ROUND(OFFSET($P332,0,AK$13),15-13*ORÇAMENTO!$AF$7)*OFFSET(ORÇAMENTO!$W$15,ROW(AK332)-ROW(AK$15),0),15-13*ORÇAMENTO!$AF$11)),0)</f>
        <v>0</v>
      </c>
      <c r="AL332" s="545">
        <f ca="1">IF(AND($D332="Serviço",AL$12&lt;&gt;0,$H332&gt;0,OR(AUTOEVENTO&lt;&gt;"manual",$M332&lt;&gt;1)),
IF(Import.TipoArredondamento&lt;&gt;"TransfereGOV",
ROUND(OFFSET($P332,0,AL$13),15-13*ORÇAMENTO!$AF$7)/$H332*OFFSET(ORÇAMENTO!$X$15,ROW(AL332)-ROW(AL$15),0),
ROUND(ROUND(OFFSET($P332,0,AL$13),15-13*ORÇAMENTO!$AF$7)*OFFSET(ORÇAMENTO!$W$15,ROW(AL332)-ROW(AL$15),0),15-13*ORÇAMENTO!$AF$11)),0)</f>
        <v>0</v>
      </c>
      <c r="AM332" s="545">
        <f ca="1">IF(AND($D332="Serviço",AM$12&lt;&gt;0,$H332&gt;0,OR(AUTOEVENTO&lt;&gt;"manual",$M332&lt;&gt;1)),
IF(Import.TipoArredondamento&lt;&gt;"TransfereGOV",
ROUND(OFFSET($P332,0,AM$13),15-13*ORÇAMENTO!$AF$7)/$H332*OFFSET(ORÇAMENTO!$X$15,ROW(AM332)-ROW(AM$15),0),
ROUND(ROUND(OFFSET($P332,0,AM$13),15-13*ORÇAMENTO!$AF$7)*OFFSET(ORÇAMENTO!$W$15,ROW(AM332)-ROW(AM$15),0),15-13*ORÇAMENTO!$AF$11)),0)</f>
        <v>0</v>
      </c>
      <c r="AN332" s="545">
        <f ca="1">IF(AND($D332="Serviço",AN$12&lt;&gt;0,$H332&gt;0,OR(AUTOEVENTO&lt;&gt;"manual",$M332&lt;&gt;1)),
IF(Import.TipoArredondamento&lt;&gt;"TransfereGOV",
ROUND(OFFSET($P332,0,AN$13),15-13*ORÇAMENTO!$AF$7)/$H332*OFFSET(ORÇAMENTO!$X$15,ROW(AN332)-ROW(AN$15),0),
ROUND(ROUND(OFFSET($P332,0,AN$13),15-13*ORÇAMENTO!$AF$7)*OFFSET(ORÇAMENTO!$W$15,ROW(AN332)-ROW(AN$15),0),15-13*ORÇAMENTO!$AF$11)),0)</f>
        <v>0</v>
      </c>
      <c r="AO332" s="545">
        <f ca="1">IF(AND($D332="Serviço",AO$12&lt;&gt;0,$H332&gt;0,OR(AUTOEVENTO&lt;&gt;"manual",$M332&lt;&gt;1)),
IF(Import.TipoArredondamento&lt;&gt;"TransfereGOV",
ROUND(OFFSET($P332,0,AO$13),15-13*ORÇAMENTO!$AF$7)/$H332*OFFSET(ORÇAMENTO!$X$15,ROW(AO332)-ROW(AO$15),0),
ROUND(ROUND(OFFSET($P332,0,AO$13),15-13*ORÇAMENTO!$AF$7)*OFFSET(ORÇAMENTO!$W$15,ROW(AO332)-ROW(AO$15),0),15-13*ORÇAMENTO!$AF$11)),0)</f>
        <v>0</v>
      </c>
      <c r="AP332" s="545">
        <f ca="1">IF(AND($D332="Serviço",AP$12&lt;&gt;0,$H332&gt;0,OR(AUTOEVENTO&lt;&gt;"manual",$M332&lt;&gt;1)),
IF(Import.TipoArredondamento&lt;&gt;"TransfereGOV",
ROUND(OFFSET($P332,0,AP$13),15-13*ORÇAMENTO!$AF$7)/$H332*OFFSET(ORÇAMENTO!$X$15,ROW(AP332)-ROW(AP$15),0),
ROUND(ROUND(OFFSET($P332,0,AP$13),15-13*ORÇAMENTO!$AF$7)*OFFSET(ORÇAMENTO!$W$15,ROW(AP332)-ROW(AP$15),0),15-13*ORÇAMENTO!$AF$11)),0)</f>
        <v>0</v>
      </c>
      <c r="AQ332" s="545">
        <f ca="1">IF(AND($D332="Serviço",AQ$12&lt;&gt;0,$H332&gt;0,OR(AUTOEVENTO&lt;&gt;"manual",$M332&lt;&gt;1)),
IF(Import.TipoArredondamento&lt;&gt;"TransfereGOV",
ROUND(OFFSET($P332,0,AQ$13),15-13*ORÇAMENTO!$AF$7)/$H332*OFFSET(ORÇAMENTO!$X$15,ROW(AQ332)-ROW(AQ$15),0),
ROUND(ROUND(OFFSET($P332,0,AQ$13),15-13*ORÇAMENTO!$AF$7)*OFFSET(ORÇAMENTO!$W$15,ROW(AQ332)-ROW(AQ$15),0),15-13*ORÇAMENTO!$AF$11)),0)</f>
        <v>0</v>
      </c>
      <c r="AR332" s="545">
        <f ca="1">IF(AND($D332="Serviço",AR$12&lt;&gt;0,$H332&gt;0,OR(AUTOEVENTO&lt;&gt;"manual",$M332&lt;&gt;1)),
IF(Import.TipoArredondamento&lt;&gt;"TransfereGOV",
ROUND(OFFSET($P332,0,AR$13),15-13*ORÇAMENTO!$AF$7)/$H332*OFFSET(ORÇAMENTO!$X$15,ROW(AR332)-ROW(AR$15),0),
ROUND(ROUND(OFFSET($P332,0,AR$13),15-13*ORÇAMENTO!$AF$7)*OFFSET(ORÇAMENTO!$W$15,ROW(AR332)-ROW(AR$15),0),15-13*ORÇAMENTO!$AF$11)),0)</f>
        <v>0</v>
      </c>
      <c r="AS332" s="546">
        <f ca="1">IF(AND($D332="Serviço",AS$12&lt;&gt;0,$H332&gt;0,OR(AUTOEVENTO&lt;&gt;"manual",$M332&lt;&gt;1)),
IF(Import.TipoArredondamento&lt;&gt;"TransfereGOV",
ROUND(OFFSET($P332,0,AS$13),15-13*ORÇAMENTO!$AF$7)/$H332*OFFSET(ORÇAMENTO!$X$15,ROW(AS332)-ROW(AS$15),0),
ROUND(ROUND(OFFSET($P332,0,AS$13),15-13*ORÇAMENTO!$AF$7)*OFFSET(ORÇAMENTO!$W$15,ROW(AS332)-ROW(AS$15),0),15-13*ORÇAMENTO!$AF$11)),0)</f>
        <v>0</v>
      </c>
      <c r="AT332" s="545">
        <f ca="1">IF(AND($D332="Serviço",AT$12&lt;&gt;0,$H332&gt;0,OR(AUTOEVENTO&lt;&gt;"manual",$M332&lt;&gt;1)),
IF(Import.TipoArredondamento&lt;&gt;"TransfereGOV",
ROUND(OFFSET($P332,0,AT$13),15-13*ORÇAMENTO!$AF$7)/$H332*OFFSET(ORÇAMENTO!$X$15,ROW(AT332)-ROW(AT$15),0),
ROUND(ROUND(OFFSET($P332,0,AT$13),15-13*ORÇAMENTO!$AF$7)*OFFSET(ORÇAMENTO!$W$15,ROW(AT332)-ROW(AT$15),0),15-13*ORÇAMENTO!$AF$11)),0)</f>
        <v>0</v>
      </c>
      <c r="AU332" s="545">
        <f ca="1">IF(AND($D332="Serviço",AU$12&lt;&gt;0,$H332&gt;0,OR(AUTOEVENTO&lt;&gt;"manual",$M332&lt;&gt;1)),
IF(Import.TipoArredondamento&lt;&gt;"TransfereGOV",
ROUND(OFFSET($P332,0,AU$13),15-13*ORÇAMENTO!$AF$7)/$H332*OFFSET(ORÇAMENTO!$X$15,ROW(AU332)-ROW(AU$15),0),
ROUND(ROUND(OFFSET($P332,0,AU$13),15-13*ORÇAMENTO!$AF$7)*OFFSET(ORÇAMENTO!$W$15,ROW(AU332)-ROW(AU$15),0),15-13*ORÇAMENTO!$AF$11)),0)</f>
        <v>0</v>
      </c>
      <c r="AV332" s="545">
        <f ca="1">IF(AND($D332="Serviço",AV$12&lt;&gt;0,$H332&gt;0,OR(AUTOEVENTO&lt;&gt;"manual",$M332&lt;&gt;1)),
IF(Import.TipoArredondamento&lt;&gt;"TransfereGOV",
ROUND(OFFSET($P332,0,AV$13),15-13*ORÇAMENTO!$AF$7)/$H332*OFFSET(ORÇAMENTO!$X$15,ROW(AV332)-ROW(AV$15),0),
ROUND(ROUND(OFFSET($P332,0,AV$13),15-13*ORÇAMENTO!$AF$7)*OFFSET(ORÇAMENTO!$W$15,ROW(AV332)-ROW(AV$15),0),15-13*ORÇAMENTO!$AF$11)),0)</f>
        <v>0</v>
      </c>
      <c r="AW332" s="545">
        <f ca="1">IF(AND($D332="Serviço",AW$12&lt;&gt;0,$H332&gt;0,OR(AUTOEVENTO&lt;&gt;"manual",$M332&lt;&gt;1)),
IF(Import.TipoArredondamento&lt;&gt;"TransfereGOV",
ROUND(OFFSET($P332,0,AW$13),15-13*ORÇAMENTO!$AF$7)/$H332*OFFSET(ORÇAMENTO!$X$15,ROW(AW332)-ROW(AW$15),0),
ROUND(ROUND(OFFSET($P332,0,AW$13),15-13*ORÇAMENTO!$AF$7)*OFFSET(ORÇAMENTO!$W$15,ROW(AW332)-ROW(AW$15),0),15-13*ORÇAMENTO!$AF$11)),0)</f>
        <v>0</v>
      </c>
      <c r="AX332" s="545">
        <f ca="1">IF(AND($D332="Serviço",AX$12&lt;&gt;0,$H332&gt;0,OR(AUTOEVENTO&lt;&gt;"manual",$M332&lt;&gt;1)),
IF(Import.TipoArredondamento&lt;&gt;"TransfereGOV",
ROUND(OFFSET($P332,0,AX$13),15-13*ORÇAMENTO!$AF$7)/$H332*OFFSET(ORÇAMENTO!$X$15,ROW(AX332)-ROW(AX$15),0),
ROUND(ROUND(OFFSET($P332,0,AX$13),15-13*ORÇAMENTO!$AF$7)*OFFSET(ORÇAMENTO!$W$15,ROW(AX332)-ROW(AX$15),0),15-13*ORÇAMENTO!$AF$11)),0)</f>
        <v>0</v>
      </c>
      <c r="AY332" s="545">
        <f ca="1">IF(AND($D332="Serviço",AY$12&lt;&gt;0,$H332&gt;0,OR(AUTOEVENTO&lt;&gt;"manual",$M332&lt;&gt;1)),
IF(Import.TipoArredondamento&lt;&gt;"TransfereGOV",
ROUND(OFFSET($P332,0,AY$13),15-13*ORÇAMENTO!$AF$7)/$H332*OFFSET(ORÇAMENTO!$X$15,ROW(AY332)-ROW(AY$15),0),
ROUND(ROUND(OFFSET($P332,0,AY$13),15-13*ORÇAMENTO!$AF$7)*OFFSET(ORÇAMENTO!$W$15,ROW(AY332)-ROW(AY$15),0),15-13*ORÇAMENTO!$AF$11)),0)</f>
        <v>0</v>
      </c>
      <c r="AZ332" s="545">
        <f ca="1">IF(AND($D332="Serviço",AZ$12&lt;&gt;0,$H332&gt;0,OR(AUTOEVENTO&lt;&gt;"manual",$M332&lt;&gt;1)),
IF(Import.TipoArredondamento&lt;&gt;"TransfereGOV",
ROUND(OFFSET($P332,0,AZ$13),15-13*ORÇAMENTO!$AF$7)/$H332*OFFSET(ORÇAMENTO!$X$15,ROW(AZ332)-ROW(AZ$15),0),
ROUND(ROUND(OFFSET($P332,0,AZ$13),15-13*ORÇAMENTO!$AF$7)*OFFSET(ORÇAMENTO!$W$15,ROW(AZ332)-ROW(AZ$15),0),15-13*ORÇAMENTO!$AF$11)),0)</f>
        <v>0</v>
      </c>
      <c r="BA332" s="546">
        <f ca="1">IF(AND($D332="Serviço",BA$12&lt;&gt;0,$H332&gt;0,OR(AUTOEVENTO&lt;&gt;"manual",$M332&lt;&gt;1)),
IF(Import.TipoArredondamento&lt;&gt;"TransfereGOV",
ROUND(OFFSET($P332,0,BA$13),15-13*ORÇAMENTO!$AF$7)/$H332*OFFSET(ORÇAMENTO!$X$15,ROW(BA332)-ROW(BA$15),0),
ROUND(ROUND(OFFSET($P332,0,BA$13),15-13*ORÇAMENTO!$AF$7)*OFFSET(ORÇAMENTO!$W$15,ROW(BA332)-ROW(BA$15),0),15-13*ORÇAMENTO!$AF$11)),0)</f>
        <v>0</v>
      </c>
      <c r="BC332" s="181">
        <f ca="1">IF($D332&lt;&gt;"Serviço",0,IF(AND(AUTOEVENTO="Manual",$M332=1),0,IF(OFFSET(CRONOPLE!$F$14,$M332,BC$13)="",10^12,OFFSET(CRONOPLE!$F$14,$M332,BC$13))))</f>
        <v>9</v>
      </c>
      <c r="BD332" s="181">
        <f ca="1">IF($D332&lt;&gt;"Serviço",0,IF(AND(AUTOEVENTO="Manual",$M332=1),0,IF(OFFSET(CRONOPLE!$F$14,$M332,BD$13)="",10^12,OFFSET(CRONOPLE!$F$14,$M332,BD$13))))</f>
        <v>1000000000000</v>
      </c>
      <c r="BE332" s="181">
        <f ca="1">IF($D332&lt;&gt;"Serviço",0,IF(AND(AUTOEVENTO="Manual",$M332=1),0,IF(OFFSET(CRONOPLE!$F$14,$M332,BE$13)="",10^12,OFFSET(CRONOPLE!$F$14,$M332,BE$13))))</f>
        <v>1000000000000</v>
      </c>
      <c r="BF332" s="181">
        <f ca="1">IF($D332&lt;&gt;"Serviço",0,IF(AND(AUTOEVENTO="Manual",$M332=1),0,IF(OFFSET(CRONOPLE!$F$14,$M332,BF$13)="",10^12,OFFSET(CRONOPLE!$F$14,$M332,BF$13))))</f>
        <v>1000000000000</v>
      </c>
      <c r="BG332" s="181">
        <f ca="1">IF($D332&lt;&gt;"Serviço",0,IF(AND(AUTOEVENTO="Manual",$M332=1),0,IF(OFFSET(CRONOPLE!$F$14,$M332,BG$13)="",10^12,OFFSET(CRONOPLE!$F$14,$M332,BG$13))))</f>
        <v>1000000000000</v>
      </c>
      <c r="BH332" s="181">
        <f ca="1">IF($D332&lt;&gt;"Serviço",0,IF(AND(AUTOEVENTO="Manual",$M332=1),0,IF(OFFSET(CRONOPLE!$F$14,$M332,BH$13)="",10^12,OFFSET(CRONOPLE!$F$14,$M332,BH$13))))</f>
        <v>1000000000000</v>
      </c>
      <c r="BI332" s="181">
        <f ca="1">IF($D332&lt;&gt;"Serviço",0,IF(AND(AUTOEVENTO="Manual",$M332=1),0,IF(OFFSET(CRONOPLE!$F$14,$M332,BI$13)="",10^12,OFFSET(CRONOPLE!$F$14,$M332,BI$13))))</f>
        <v>1000000000000</v>
      </c>
      <c r="BJ332" s="181">
        <f ca="1">IF($D332&lt;&gt;"Serviço",0,IF(AND(AUTOEVENTO="Manual",$M332=1),0,IF(OFFSET(CRONOPLE!$F$14,$M332,BJ$13)="",10^12,OFFSET(CRONOPLE!$F$14,$M332,BJ$13))))</f>
        <v>1000000000000</v>
      </c>
      <c r="BK332" s="181">
        <f ca="1">IF($D332&lt;&gt;"Serviço",0,IF(AND(AUTOEVENTO="Manual",$M332=1),0,IF(OFFSET(CRONOPLE!$F$14,$M332,BK$13)="",10^12,OFFSET(CRONOPLE!$F$14,$M332,BK$13))))</f>
        <v>1000000000000</v>
      </c>
      <c r="BL332" s="181">
        <f ca="1">IF($D332&lt;&gt;"Serviço",0,IF(AND(AUTOEVENTO="Manual",$M332=1),0,IF(OFFSET(CRONOPLE!$F$14,$M332,BL$13)="",10^12,OFFSET(CRONOPLE!$F$14,$M332,BL$13))))</f>
        <v>1000000000000</v>
      </c>
      <c r="BM332" s="181">
        <f ca="1">IF($D332&lt;&gt;"Serviço",0,IF(AND(AUTOEVENTO="Manual",$M332=1),0,IF(OFFSET(CRONOPLE!$F$14,$M332,BM$13)="",10^12,OFFSET(CRONOPLE!$F$14,$M332,BM$13))))</f>
        <v>1000000000000</v>
      </c>
      <c r="BN332" s="181">
        <f ca="1">IF($D332&lt;&gt;"Serviço",0,IF(AND(AUTOEVENTO="Manual",$M332=1),0,IF(OFFSET(CRONOPLE!$F$14,$M332,BN$13)="",10^12,OFFSET(CRONOPLE!$F$14,$M332,BN$13))))</f>
        <v>1000000000000</v>
      </c>
      <c r="BO332" s="181">
        <f ca="1">IF($D332&lt;&gt;"Serviço",0,IF(AND(AUTOEVENTO="Manual",$M332=1),0,IF(OFFSET(CRONOPLE!$F$14,$M332,BO$13)="",10^12,OFFSET(CRONOPLE!$F$14,$M332,BO$13))))</f>
        <v>1000000000000</v>
      </c>
      <c r="BP332" s="181">
        <f ca="1">IF($D332&lt;&gt;"Serviço",0,IF(AND(AUTOEVENTO="Manual",$M332=1),0,IF(OFFSET(CRONOPLE!$F$14,$M332,BP$13)="",10^12,OFFSET(CRONOPLE!$F$14,$M332,BP$13))))</f>
        <v>1000000000000</v>
      </c>
      <c r="BQ332" s="181">
        <f ca="1">IF($D332&lt;&gt;"Serviço",0,IF(AND(AUTOEVENTO="Manual",$M332=1),0,IF(OFFSET(CRONOPLE!$F$14,$M332,BQ$13)="",10^12,OFFSET(CRONOPLE!$F$14,$M332,BQ$13))))</f>
        <v>1000000000000</v>
      </c>
      <c r="BR332" s="181">
        <f ca="1">IF($D332&lt;&gt;"Serviço",0,IF(AND(AUTOEVENTO="Manual",$M332=1),0,IF(OFFSET(CRONOPLE!$F$14,$M332,BR$13)="",10^12,OFFSET(CRONOPLE!$F$14,$M332,BR$13))))</f>
        <v>1000000000000</v>
      </c>
      <c r="BS332" s="181">
        <f ca="1">IF($D332&lt;&gt;"Serviço",0,IF(AND(AUTOEVENTO="Manual",$M332=1),0,IF(OFFSET(CRONOPLE!$F$14,$M332,BS$13)="",10^12,OFFSET(CRONOPLE!$F$14,$M332,BS$13))))</f>
        <v>1000000000000</v>
      </c>
      <c r="BT332" s="181">
        <f ca="1">IF($D332&lt;&gt;"Serviço",0,IF(AND(AUTOEVENTO="Manual",$M332=1),0,IF(OFFSET(CRONOPLE!$F$14,$M332,BT$13)="",10^12,OFFSET(CRONOPLE!$F$14,$M332,BT$13))))</f>
        <v>1000000000000</v>
      </c>
      <c r="BV332" s="182">
        <f ca="1">IF($D332&lt;&gt;"Serviço",0,IF(OR(AND(AUTOEVENTO="Manual",$M332=1),$M332&gt;(ROW(PLE.lastrow)-ROW(PLE.firstrow))),0,IF(OFFSET(PLE!$G$14,$M332,BV$13)="",10^12,OFFSET(PLE!$G$14,$M332,BV$13))))</f>
        <v>1000000000000</v>
      </c>
      <c r="BW332" s="182">
        <f ca="1">IF($D332&lt;&gt;"Serviço",0,IF(OR(AND(AUTOEVENTO="Manual",$M332=1),$M332&gt;(ROW(PLE.lastrow)-ROW(PLE.firstrow))),0,IF(OFFSET(PLE!$G$14,$M332,BW$13)="",10^12,OFFSET(PLE!$G$14,$M332,BW$13))))</f>
        <v>1000000000000</v>
      </c>
      <c r="BX332" s="182">
        <f ca="1">IF($D332&lt;&gt;"Serviço",0,IF(OR(AND(AUTOEVENTO="Manual",$M332=1),$M332&gt;(ROW(PLE.lastrow)-ROW(PLE.firstrow))),0,IF(OFFSET(PLE!$G$14,$M332,BX$13)="",10^12,OFFSET(PLE!$G$14,$M332,BX$13))))</f>
        <v>1000000000000</v>
      </c>
      <c r="BY332" s="182">
        <f ca="1">IF($D332&lt;&gt;"Serviço",0,IF(OR(AND(AUTOEVENTO="Manual",$M332=1),$M332&gt;(ROW(PLE.lastrow)-ROW(PLE.firstrow))),0,IF(OFFSET(PLE!$G$14,$M332,BY$13)="",10^12,OFFSET(PLE!$G$14,$M332,BY$13))))</f>
        <v>1000000000000</v>
      </c>
      <c r="BZ332" s="182">
        <f ca="1">IF($D332&lt;&gt;"Serviço",0,IF(OR(AND(AUTOEVENTO="Manual",$M332=1),$M332&gt;(ROW(PLE.lastrow)-ROW(PLE.firstrow))),0,IF(OFFSET(PLE!$G$14,$M332,BZ$13)="",10^12,OFFSET(PLE!$G$14,$M332,BZ$13))))</f>
        <v>1000000000000</v>
      </c>
      <c r="CA332" s="182">
        <f ca="1">IF($D332&lt;&gt;"Serviço",0,IF(OR(AND(AUTOEVENTO="Manual",$M332=1),$M332&gt;(ROW(PLE.lastrow)-ROW(PLE.firstrow))),0,IF(OFFSET(PLE!$G$14,$M332,CA$13)="",10^12,OFFSET(PLE!$G$14,$M332,CA$13))))</f>
        <v>1000000000000</v>
      </c>
      <c r="CB332" s="182">
        <f ca="1">IF($D332&lt;&gt;"Serviço",0,IF(OR(AND(AUTOEVENTO="Manual",$M332=1),$M332&gt;(ROW(PLE.lastrow)-ROW(PLE.firstrow))),0,IF(OFFSET(PLE!$G$14,$M332,CB$13)="",10^12,OFFSET(PLE!$G$14,$M332,CB$13))))</f>
        <v>1000000000000</v>
      </c>
      <c r="CC332" s="182">
        <f ca="1">IF($D332&lt;&gt;"Serviço",0,IF(OR(AND(AUTOEVENTO="Manual",$M332=1),$M332&gt;(ROW(PLE.lastrow)-ROW(PLE.firstrow))),0,IF(OFFSET(PLE!$G$14,$M332,CC$13)="",10^12,OFFSET(PLE!$G$14,$M332,CC$13))))</f>
        <v>1000000000000</v>
      </c>
      <c r="CD332" s="182">
        <f ca="1">IF($D332&lt;&gt;"Serviço",0,IF(OR(AND(AUTOEVENTO="Manual",$M332=1),$M332&gt;(ROW(PLE.lastrow)-ROW(PLE.firstrow))),0,IF(OFFSET(PLE!$G$14,$M332,CD$13)="",10^12,OFFSET(PLE!$G$14,$M332,CD$13))))</f>
        <v>1000000000000</v>
      </c>
      <c r="CE332" s="182">
        <f ca="1">IF($D332&lt;&gt;"Serviço",0,IF(OR(AND(AUTOEVENTO="Manual",$M332=1),$M332&gt;(ROW(PLE.lastrow)-ROW(PLE.firstrow))),0,IF(OFFSET(PLE!$G$14,$M332,CE$13)="",10^12,OFFSET(PLE!$G$14,$M332,CE$13))))</f>
        <v>1000000000000</v>
      </c>
      <c r="CF332" s="182">
        <f ca="1">IF($D332&lt;&gt;"Serviço",0,IF(OR(AND(AUTOEVENTO="Manual",$M332=1),$M332&gt;(ROW(PLE.lastrow)-ROW(PLE.firstrow))),0,IF(OFFSET(PLE!$G$14,$M332,CF$13)="",10^12,OFFSET(PLE!$G$14,$M332,CF$13))))</f>
        <v>1000000000000</v>
      </c>
      <c r="CG332" s="182">
        <f ca="1">IF($D332&lt;&gt;"Serviço",0,IF(OR(AND(AUTOEVENTO="Manual",$M332=1),$M332&gt;(ROW(PLE.lastrow)-ROW(PLE.firstrow))),0,IF(OFFSET(PLE!$G$14,$M332,CG$13)="",10^12,OFFSET(PLE!$G$14,$M332,CG$13))))</f>
        <v>1000000000000</v>
      </c>
      <c r="CH332" s="182">
        <f ca="1">IF($D332&lt;&gt;"Serviço",0,IF(OR(AND(AUTOEVENTO="Manual",$M332=1),$M332&gt;(ROW(PLE.lastrow)-ROW(PLE.firstrow))),0,IF(OFFSET(PLE!$G$14,$M332,CH$13)="",10^12,OFFSET(PLE!$G$14,$M332,CH$13))))</f>
        <v>1000000000000</v>
      </c>
      <c r="CI332" s="182">
        <f ca="1">IF($D332&lt;&gt;"Serviço",0,IF(OR(AND(AUTOEVENTO="Manual",$M332=1),$M332&gt;(ROW(PLE.lastrow)-ROW(PLE.firstrow))),0,IF(OFFSET(PLE!$G$14,$M332,CI$13)="",10^12,OFFSET(PLE!$G$14,$M332,CI$13))))</f>
        <v>1000000000000</v>
      </c>
      <c r="CJ332" s="182">
        <f ca="1">IF($D332&lt;&gt;"Serviço",0,IF(OR(AND(AUTOEVENTO="Manual",$M332=1),$M332&gt;(ROW(PLE.lastrow)-ROW(PLE.firstrow))),0,IF(OFFSET(PLE!$G$14,$M332,CJ$13)="",10^12,OFFSET(PLE!$G$14,$M332,CJ$13))))</f>
        <v>1000000000000</v>
      </c>
      <c r="CK332" s="182">
        <f ca="1">IF($D332&lt;&gt;"Serviço",0,IF(OR(AND(AUTOEVENTO="Manual",$M332=1),$M332&gt;(ROW(PLE.lastrow)-ROW(PLE.firstrow))),0,IF(OFFSET(PLE!$G$14,$M332,CK$13)="",10^12,OFFSET(PLE!$G$14,$M332,CK$13))))</f>
        <v>1000000000000</v>
      </c>
      <c r="CL332" s="182">
        <f ca="1">IF($D332&lt;&gt;"Serviço",0,IF(OR(AND(AUTOEVENTO="Manual",$M332=1),$M332&gt;(ROW(PLE.lastrow)-ROW(PLE.firstrow))),0,IF(OFFSET(PLE!$G$14,$M332,CL$13)="",10^12,OFFSET(PLE!$G$14,$M332,CL$13))))</f>
        <v>1000000000000</v>
      </c>
      <c r="CM332" s="182">
        <f ca="1">IF($D332&lt;&gt;"Serviço",0,IF(OR(AND(AUTOEVENTO="Manual",$M332=1),$M332&gt;(ROW(PLE.lastrow)-ROW(PLE.firstrow))),0,IF(OFFSET(PLE!$G$14,$M332,CM$13)="",10^12,OFFSET(PLE!$G$14,$M332,CM$13))))</f>
        <v>1000000000000</v>
      </c>
    </row>
    <row r="333" spans="1:91" ht="51" x14ac:dyDescent="0.2">
      <c r="A333" s="7" t="str">
        <f t="shared" ca="1" si="12"/>
        <v>304</v>
      </c>
      <c r="B333" s="7" t="str">
        <f ca="1">OFFSET(ORÇAMENTO!C$15,ROW(B333)-ROW(B$15),0)</f>
        <v>S</v>
      </c>
      <c r="C333" s="7" t="str">
        <f ca="1">OFFSET(ORÇAMENTO!L$15,ROW(C333)-ROW(C$15),0)</f>
        <v/>
      </c>
      <c r="D333" s="118" t="str">
        <f ca="1">OFFSET(ORÇAMENTO!N$15,ROW(D333)-ROW(D$15),0)</f>
        <v>Serviço</v>
      </c>
      <c r="E333" s="119" t="str">
        <f ca="1">OFFSET(ORÇAMENTO!O$15,ROW(E333)-ROW(E$15),0)</f>
        <v>-</v>
      </c>
      <c r="F333" s="172" t="str">
        <f ca="1">OFFSET(ORÇAMENTO!R$15,ROW(F333)-ROW(F$15),0)</f>
        <v>(abra o arquivo 'Referência 06-2024.xlsm)</v>
      </c>
      <c r="G333" s="173" t="str">
        <f ca="1">IF($D333&lt;&gt;"Serviço","",OFFSET(ORÇAMENTO!S$15,ROW(G333)-ROW(G$15),0))</f>
        <v>-</v>
      </c>
      <c r="H333" s="124">
        <f ca="1">IF($D333&lt;&gt;"Serviço",0,IF(ACOMPANHAMENTO="BM",ROUND(OFFSET(ORÇAMENTO!AJ$15,ROW(H333)-ROW(H$15),0),15-13*ORÇAMENTO!$AF$7),SUMPRODUCT(($Q$12:$AI$12&lt;&gt;"")*ROUND($Q333:$AI333,15-13*ORÇAMENTO!$AF$7))))</f>
        <v>24</v>
      </c>
      <c r="I333" s="561" t="s">
        <v>1107</v>
      </c>
      <c r="K333" s="174"/>
      <c r="L333" s="175" t="s">
        <v>255</v>
      </c>
      <c r="M333" s="176">
        <f ca="1">IF($D333&lt;&gt;"Serviço","",IF(AUTOEVENTO="manual",$A333,IF(ISERROR(MATCH($A333,$A$15:OFFSET($A333,-1,0),0)),MAX($M$15:OFFSET(M333,-1,0))+1,INDEX($M$15:OFFSET(M333,-1,0),MATCH($A333,$A$15:OFFSET($A333,-1,0),0)))))</f>
        <v>41</v>
      </c>
      <c r="N333" s="177" t="str">
        <f ca="1">IF($D333&lt;&gt;"Serviço","",IF(AUTOEVENTO="Manual",IF($A333=0,"&lt;-- defina o número do agrupador",OFFSET(EVENTOS!$D$14,$A333,0)),OFFSET($F$15,$A333,0)))</f>
        <v>INSTALAÇÃO SANITÁRIA - TUBULAÇÕES E CONEXÕES</v>
      </c>
      <c r="O333" s="178"/>
      <c r="Q333" s="178">
        <v>24</v>
      </c>
      <c r="R333" s="179"/>
      <c r="S333" s="179"/>
      <c r="T333" s="179"/>
      <c r="U333" s="179"/>
      <c r="V333" s="179"/>
      <c r="W333" s="179"/>
      <c r="X333" s="179"/>
      <c r="Y333" s="179"/>
      <c r="Z333" s="180"/>
      <c r="AA333" s="179"/>
      <c r="AB333" s="179"/>
      <c r="AC333" s="179"/>
      <c r="AD333" s="179"/>
      <c r="AE333" s="179"/>
      <c r="AF333" s="179"/>
      <c r="AG333" s="179"/>
      <c r="AH333" s="180"/>
      <c r="AJ333" s="544">
        <f ca="1">IF(AND($D333="Serviço",AJ$12&lt;&gt;0,$H333&gt;0,OR(AUTOEVENTO&lt;&gt;"manual",$M333&lt;&gt;1)),
IF(Import.TipoArredondamento&lt;&gt;"TransfereGOV",
ROUND(OFFSET($P333,0,AJ$13),15-13*ORÇAMENTO!$AF$7)/$H333*OFFSET(ORÇAMENTO!$X$15,ROW(AJ333)-ROW(AJ$15),0),
ROUND(ROUND(OFFSET($P333,0,AJ$13),15-13*ORÇAMENTO!$AF$7)*OFFSET(ORÇAMENTO!$W$15,ROW(AJ333)-ROW(AJ$15),0),15-13*ORÇAMENTO!$AF$11)),0)</f>
        <v>0</v>
      </c>
      <c r="AK333" s="545">
        <f ca="1">IF(AND($D333="Serviço",AK$12&lt;&gt;0,$H333&gt;0,OR(AUTOEVENTO&lt;&gt;"manual",$M333&lt;&gt;1)),
IF(Import.TipoArredondamento&lt;&gt;"TransfereGOV",
ROUND(OFFSET($P333,0,AK$13),15-13*ORÇAMENTO!$AF$7)/$H333*OFFSET(ORÇAMENTO!$X$15,ROW(AK333)-ROW(AK$15),0),
ROUND(ROUND(OFFSET($P333,0,AK$13),15-13*ORÇAMENTO!$AF$7)*OFFSET(ORÇAMENTO!$W$15,ROW(AK333)-ROW(AK$15),0),15-13*ORÇAMENTO!$AF$11)),0)</f>
        <v>0</v>
      </c>
      <c r="AL333" s="545">
        <f ca="1">IF(AND($D333="Serviço",AL$12&lt;&gt;0,$H333&gt;0,OR(AUTOEVENTO&lt;&gt;"manual",$M333&lt;&gt;1)),
IF(Import.TipoArredondamento&lt;&gt;"TransfereGOV",
ROUND(OFFSET($P333,0,AL$13),15-13*ORÇAMENTO!$AF$7)/$H333*OFFSET(ORÇAMENTO!$X$15,ROW(AL333)-ROW(AL$15),0),
ROUND(ROUND(OFFSET($P333,0,AL$13),15-13*ORÇAMENTO!$AF$7)*OFFSET(ORÇAMENTO!$W$15,ROW(AL333)-ROW(AL$15),0),15-13*ORÇAMENTO!$AF$11)),0)</f>
        <v>0</v>
      </c>
      <c r="AM333" s="545">
        <f ca="1">IF(AND($D333="Serviço",AM$12&lt;&gt;0,$H333&gt;0,OR(AUTOEVENTO&lt;&gt;"manual",$M333&lt;&gt;1)),
IF(Import.TipoArredondamento&lt;&gt;"TransfereGOV",
ROUND(OFFSET($P333,0,AM$13),15-13*ORÇAMENTO!$AF$7)/$H333*OFFSET(ORÇAMENTO!$X$15,ROW(AM333)-ROW(AM$15),0),
ROUND(ROUND(OFFSET($P333,0,AM$13),15-13*ORÇAMENTO!$AF$7)*OFFSET(ORÇAMENTO!$W$15,ROW(AM333)-ROW(AM$15),0),15-13*ORÇAMENTO!$AF$11)),0)</f>
        <v>0</v>
      </c>
      <c r="AN333" s="545">
        <f ca="1">IF(AND($D333="Serviço",AN$12&lt;&gt;0,$H333&gt;0,OR(AUTOEVENTO&lt;&gt;"manual",$M333&lt;&gt;1)),
IF(Import.TipoArredondamento&lt;&gt;"TransfereGOV",
ROUND(OFFSET($P333,0,AN$13),15-13*ORÇAMENTO!$AF$7)/$H333*OFFSET(ORÇAMENTO!$X$15,ROW(AN333)-ROW(AN$15),0),
ROUND(ROUND(OFFSET($P333,0,AN$13),15-13*ORÇAMENTO!$AF$7)*OFFSET(ORÇAMENTO!$W$15,ROW(AN333)-ROW(AN$15),0),15-13*ORÇAMENTO!$AF$11)),0)</f>
        <v>0</v>
      </c>
      <c r="AO333" s="545">
        <f ca="1">IF(AND($D333="Serviço",AO$12&lt;&gt;0,$H333&gt;0,OR(AUTOEVENTO&lt;&gt;"manual",$M333&lt;&gt;1)),
IF(Import.TipoArredondamento&lt;&gt;"TransfereGOV",
ROUND(OFFSET($P333,0,AO$13),15-13*ORÇAMENTO!$AF$7)/$H333*OFFSET(ORÇAMENTO!$X$15,ROW(AO333)-ROW(AO$15),0),
ROUND(ROUND(OFFSET($P333,0,AO$13),15-13*ORÇAMENTO!$AF$7)*OFFSET(ORÇAMENTO!$W$15,ROW(AO333)-ROW(AO$15),0),15-13*ORÇAMENTO!$AF$11)),0)</f>
        <v>0</v>
      </c>
      <c r="AP333" s="545">
        <f ca="1">IF(AND($D333="Serviço",AP$12&lt;&gt;0,$H333&gt;0,OR(AUTOEVENTO&lt;&gt;"manual",$M333&lt;&gt;1)),
IF(Import.TipoArredondamento&lt;&gt;"TransfereGOV",
ROUND(OFFSET($P333,0,AP$13),15-13*ORÇAMENTO!$AF$7)/$H333*OFFSET(ORÇAMENTO!$X$15,ROW(AP333)-ROW(AP$15),0),
ROUND(ROUND(OFFSET($P333,0,AP$13),15-13*ORÇAMENTO!$AF$7)*OFFSET(ORÇAMENTO!$W$15,ROW(AP333)-ROW(AP$15),0),15-13*ORÇAMENTO!$AF$11)),0)</f>
        <v>0</v>
      </c>
      <c r="AQ333" s="545">
        <f ca="1">IF(AND($D333="Serviço",AQ$12&lt;&gt;0,$H333&gt;0,OR(AUTOEVENTO&lt;&gt;"manual",$M333&lt;&gt;1)),
IF(Import.TipoArredondamento&lt;&gt;"TransfereGOV",
ROUND(OFFSET($P333,0,AQ$13),15-13*ORÇAMENTO!$AF$7)/$H333*OFFSET(ORÇAMENTO!$X$15,ROW(AQ333)-ROW(AQ$15),0),
ROUND(ROUND(OFFSET($P333,0,AQ$13),15-13*ORÇAMENTO!$AF$7)*OFFSET(ORÇAMENTO!$W$15,ROW(AQ333)-ROW(AQ$15),0),15-13*ORÇAMENTO!$AF$11)),0)</f>
        <v>0</v>
      </c>
      <c r="AR333" s="545">
        <f ca="1">IF(AND($D333="Serviço",AR$12&lt;&gt;0,$H333&gt;0,OR(AUTOEVENTO&lt;&gt;"manual",$M333&lt;&gt;1)),
IF(Import.TipoArredondamento&lt;&gt;"TransfereGOV",
ROUND(OFFSET($P333,0,AR$13),15-13*ORÇAMENTO!$AF$7)/$H333*OFFSET(ORÇAMENTO!$X$15,ROW(AR333)-ROW(AR$15),0),
ROUND(ROUND(OFFSET($P333,0,AR$13),15-13*ORÇAMENTO!$AF$7)*OFFSET(ORÇAMENTO!$W$15,ROW(AR333)-ROW(AR$15),0),15-13*ORÇAMENTO!$AF$11)),0)</f>
        <v>0</v>
      </c>
      <c r="AS333" s="546">
        <f ca="1">IF(AND($D333="Serviço",AS$12&lt;&gt;0,$H333&gt;0,OR(AUTOEVENTO&lt;&gt;"manual",$M333&lt;&gt;1)),
IF(Import.TipoArredondamento&lt;&gt;"TransfereGOV",
ROUND(OFFSET($P333,0,AS$13),15-13*ORÇAMENTO!$AF$7)/$H333*OFFSET(ORÇAMENTO!$X$15,ROW(AS333)-ROW(AS$15),0),
ROUND(ROUND(OFFSET($P333,0,AS$13),15-13*ORÇAMENTO!$AF$7)*OFFSET(ORÇAMENTO!$W$15,ROW(AS333)-ROW(AS$15),0),15-13*ORÇAMENTO!$AF$11)),0)</f>
        <v>0</v>
      </c>
      <c r="AT333" s="545">
        <f ca="1">IF(AND($D333="Serviço",AT$12&lt;&gt;0,$H333&gt;0,OR(AUTOEVENTO&lt;&gt;"manual",$M333&lt;&gt;1)),
IF(Import.TipoArredondamento&lt;&gt;"TransfereGOV",
ROUND(OFFSET($P333,0,AT$13),15-13*ORÇAMENTO!$AF$7)/$H333*OFFSET(ORÇAMENTO!$X$15,ROW(AT333)-ROW(AT$15),0),
ROUND(ROUND(OFFSET($P333,0,AT$13),15-13*ORÇAMENTO!$AF$7)*OFFSET(ORÇAMENTO!$W$15,ROW(AT333)-ROW(AT$15),0),15-13*ORÇAMENTO!$AF$11)),0)</f>
        <v>0</v>
      </c>
      <c r="AU333" s="545">
        <f ca="1">IF(AND($D333="Serviço",AU$12&lt;&gt;0,$H333&gt;0,OR(AUTOEVENTO&lt;&gt;"manual",$M333&lt;&gt;1)),
IF(Import.TipoArredondamento&lt;&gt;"TransfereGOV",
ROUND(OFFSET($P333,0,AU$13),15-13*ORÇAMENTO!$AF$7)/$H333*OFFSET(ORÇAMENTO!$X$15,ROW(AU333)-ROW(AU$15),0),
ROUND(ROUND(OFFSET($P333,0,AU$13),15-13*ORÇAMENTO!$AF$7)*OFFSET(ORÇAMENTO!$W$15,ROW(AU333)-ROW(AU$15),0),15-13*ORÇAMENTO!$AF$11)),0)</f>
        <v>0</v>
      </c>
      <c r="AV333" s="545">
        <f ca="1">IF(AND($D333="Serviço",AV$12&lt;&gt;0,$H333&gt;0,OR(AUTOEVENTO&lt;&gt;"manual",$M333&lt;&gt;1)),
IF(Import.TipoArredondamento&lt;&gt;"TransfereGOV",
ROUND(OFFSET($P333,0,AV$13),15-13*ORÇAMENTO!$AF$7)/$H333*OFFSET(ORÇAMENTO!$X$15,ROW(AV333)-ROW(AV$15),0),
ROUND(ROUND(OFFSET($P333,0,AV$13),15-13*ORÇAMENTO!$AF$7)*OFFSET(ORÇAMENTO!$W$15,ROW(AV333)-ROW(AV$15),0),15-13*ORÇAMENTO!$AF$11)),0)</f>
        <v>0</v>
      </c>
      <c r="AW333" s="545">
        <f ca="1">IF(AND($D333="Serviço",AW$12&lt;&gt;0,$H333&gt;0,OR(AUTOEVENTO&lt;&gt;"manual",$M333&lt;&gt;1)),
IF(Import.TipoArredondamento&lt;&gt;"TransfereGOV",
ROUND(OFFSET($P333,0,AW$13),15-13*ORÇAMENTO!$AF$7)/$H333*OFFSET(ORÇAMENTO!$X$15,ROW(AW333)-ROW(AW$15),0),
ROUND(ROUND(OFFSET($P333,0,AW$13),15-13*ORÇAMENTO!$AF$7)*OFFSET(ORÇAMENTO!$W$15,ROW(AW333)-ROW(AW$15),0),15-13*ORÇAMENTO!$AF$11)),0)</f>
        <v>0</v>
      </c>
      <c r="AX333" s="545">
        <f ca="1">IF(AND($D333="Serviço",AX$12&lt;&gt;0,$H333&gt;0,OR(AUTOEVENTO&lt;&gt;"manual",$M333&lt;&gt;1)),
IF(Import.TipoArredondamento&lt;&gt;"TransfereGOV",
ROUND(OFFSET($P333,0,AX$13),15-13*ORÇAMENTO!$AF$7)/$H333*OFFSET(ORÇAMENTO!$X$15,ROW(AX333)-ROW(AX$15),0),
ROUND(ROUND(OFFSET($P333,0,AX$13),15-13*ORÇAMENTO!$AF$7)*OFFSET(ORÇAMENTO!$W$15,ROW(AX333)-ROW(AX$15),0),15-13*ORÇAMENTO!$AF$11)),0)</f>
        <v>0</v>
      </c>
      <c r="AY333" s="545">
        <f ca="1">IF(AND($D333="Serviço",AY$12&lt;&gt;0,$H333&gt;0,OR(AUTOEVENTO&lt;&gt;"manual",$M333&lt;&gt;1)),
IF(Import.TipoArredondamento&lt;&gt;"TransfereGOV",
ROUND(OFFSET($P333,0,AY$13),15-13*ORÇAMENTO!$AF$7)/$H333*OFFSET(ORÇAMENTO!$X$15,ROW(AY333)-ROW(AY$15),0),
ROUND(ROUND(OFFSET($P333,0,AY$13),15-13*ORÇAMENTO!$AF$7)*OFFSET(ORÇAMENTO!$W$15,ROW(AY333)-ROW(AY$15),0),15-13*ORÇAMENTO!$AF$11)),0)</f>
        <v>0</v>
      </c>
      <c r="AZ333" s="545">
        <f ca="1">IF(AND($D333="Serviço",AZ$12&lt;&gt;0,$H333&gt;0,OR(AUTOEVENTO&lt;&gt;"manual",$M333&lt;&gt;1)),
IF(Import.TipoArredondamento&lt;&gt;"TransfereGOV",
ROUND(OFFSET($P333,0,AZ$13),15-13*ORÇAMENTO!$AF$7)/$H333*OFFSET(ORÇAMENTO!$X$15,ROW(AZ333)-ROW(AZ$15),0),
ROUND(ROUND(OFFSET($P333,0,AZ$13),15-13*ORÇAMENTO!$AF$7)*OFFSET(ORÇAMENTO!$W$15,ROW(AZ333)-ROW(AZ$15),0),15-13*ORÇAMENTO!$AF$11)),0)</f>
        <v>0</v>
      </c>
      <c r="BA333" s="546">
        <f ca="1">IF(AND($D333="Serviço",BA$12&lt;&gt;0,$H333&gt;0,OR(AUTOEVENTO&lt;&gt;"manual",$M333&lt;&gt;1)),
IF(Import.TipoArredondamento&lt;&gt;"TransfereGOV",
ROUND(OFFSET($P333,0,BA$13),15-13*ORÇAMENTO!$AF$7)/$H333*OFFSET(ORÇAMENTO!$X$15,ROW(BA333)-ROW(BA$15),0),
ROUND(ROUND(OFFSET($P333,0,BA$13),15-13*ORÇAMENTO!$AF$7)*OFFSET(ORÇAMENTO!$W$15,ROW(BA333)-ROW(BA$15),0),15-13*ORÇAMENTO!$AF$11)),0)</f>
        <v>0</v>
      </c>
      <c r="BC333" s="181">
        <f ca="1">IF($D333&lt;&gt;"Serviço",0,IF(AND(AUTOEVENTO="Manual",$M333=1),0,IF(OFFSET(CRONOPLE!$F$14,$M333,BC$13)="",10^12,OFFSET(CRONOPLE!$F$14,$M333,BC$13))))</f>
        <v>9</v>
      </c>
      <c r="BD333" s="181">
        <f ca="1">IF($D333&lt;&gt;"Serviço",0,IF(AND(AUTOEVENTO="Manual",$M333=1),0,IF(OFFSET(CRONOPLE!$F$14,$M333,BD$13)="",10^12,OFFSET(CRONOPLE!$F$14,$M333,BD$13))))</f>
        <v>1000000000000</v>
      </c>
      <c r="BE333" s="181">
        <f ca="1">IF($D333&lt;&gt;"Serviço",0,IF(AND(AUTOEVENTO="Manual",$M333=1),0,IF(OFFSET(CRONOPLE!$F$14,$M333,BE$13)="",10^12,OFFSET(CRONOPLE!$F$14,$M333,BE$13))))</f>
        <v>1000000000000</v>
      </c>
      <c r="BF333" s="181">
        <f ca="1">IF($D333&lt;&gt;"Serviço",0,IF(AND(AUTOEVENTO="Manual",$M333=1),0,IF(OFFSET(CRONOPLE!$F$14,$M333,BF$13)="",10^12,OFFSET(CRONOPLE!$F$14,$M333,BF$13))))</f>
        <v>1000000000000</v>
      </c>
      <c r="BG333" s="181">
        <f ca="1">IF($D333&lt;&gt;"Serviço",0,IF(AND(AUTOEVENTO="Manual",$M333=1),0,IF(OFFSET(CRONOPLE!$F$14,$M333,BG$13)="",10^12,OFFSET(CRONOPLE!$F$14,$M333,BG$13))))</f>
        <v>1000000000000</v>
      </c>
      <c r="BH333" s="181">
        <f ca="1">IF($D333&lt;&gt;"Serviço",0,IF(AND(AUTOEVENTO="Manual",$M333=1),0,IF(OFFSET(CRONOPLE!$F$14,$M333,BH$13)="",10^12,OFFSET(CRONOPLE!$F$14,$M333,BH$13))))</f>
        <v>1000000000000</v>
      </c>
      <c r="BI333" s="181">
        <f ca="1">IF($D333&lt;&gt;"Serviço",0,IF(AND(AUTOEVENTO="Manual",$M333=1),0,IF(OFFSET(CRONOPLE!$F$14,$M333,BI$13)="",10^12,OFFSET(CRONOPLE!$F$14,$M333,BI$13))))</f>
        <v>1000000000000</v>
      </c>
      <c r="BJ333" s="181">
        <f ca="1">IF($D333&lt;&gt;"Serviço",0,IF(AND(AUTOEVENTO="Manual",$M333=1),0,IF(OFFSET(CRONOPLE!$F$14,$M333,BJ$13)="",10^12,OFFSET(CRONOPLE!$F$14,$M333,BJ$13))))</f>
        <v>1000000000000</v>
      </c>
      <c r="BK333" s="181">
        <f ca="1">IF($D333&lt;&gt;"Serviço",0,IF(AND(AUTOEVENTO="Manual",$M333=1),0,IF(OFFSET(CRONOPLE!$F$14,$M333,BK$13)="",10^12,OFFSET(CRONOPLE!$F$14,$M333,BK$13))))</f>
        <v>1000000000000</v>
      </c>
      <c r="BL333" s="181">
        <f ca="1">IF($D333&lt;&gt;"Serviço",0,IF(AND(AUTOEVENTO="Manual",$M333=1),0,IF(OFFSET(CRONOPLE!$F$14,$M333,BL$13)="",10^12,OFFSET(CRONOPLE!$F$14,$M333,BL$13))))</f>
        <v>1000000000000</v>
      </c>
      <c r="BM333" s="181">
        <f ca="1">IF($D333&lt;&gt;"Serviço",0,IF(AND(AUTOEVENTO="Manual",$M333=1),0,IF(OFFSET(CRONOPLE!$F$14,$M333,BM$13)="",10^12,OFFSET(CRONOPLE!$F$14,$M333,BM$13))))</f>
        <v>1000000000000</v>
      </c>
      <c r="BN333" s="181">
        <f ca="1">IF($D333&lt;&gt;"Serviço",0,IF(AND(AUTOEVENTO="Manual",$M333=1),0,IF(OFFSET(CRONOPLE!$F$14,$M333,BN$13)="",10^12,OFFSET(CRONOPLE!$F$14,$M333,BN$13))))</f>
        <v>1000000000000</v>
      </c>
      <c r="BO333" s="181">
        <f ca="1">IF($D333&lt;&gt;"Serviço",0,IF(AND(AUTOEVENTO="Manual",$M333=1),0,IF(OFFSET(CRONOPLE!$F$14,$M333,BO$13)="",10^12,OFFSET(CRONOPLE!$F$14,$M333,BO$13))))</f>
        <v>1000000000000</v>
      </c>
      <c r="BP333" s="181">
        <f ca="1">IF($D333&lt;&gt;"Serviço",0,IF(AND(AUTOEVENTO="Manual",$M333=1),0,IF(OFFSET(CRONOPLE!$F$14,$M333,BP$13)="",10^12,OFFSET(CRONOPLE!$F$14,$M333,BP$13))))</f>
        <v>1000000000000</v>
      </c>
      <c r="BQ333" s="181">
        <f ca="1">IF($D333&lt;&gt;"Serviço",0,IF(AND(AUTOEVENTO="Manual",$M333=1),0,IF(OFFSET(CRONOPLE!$F$14,$M333,BQ$13)="",10^12,OFFSET(CRONOPLE!$F$14,$M333,BQ$13))))</f>
        <v>1000000000000</v>
      </c>
      <c r="BR333" s="181">
        <f ca="1">IF($D333&lt;&gt;"Serviço",0,IF(AND(AUTOEVENTO="Manual",$M333=1),0,IF(OFFSET(CRONOPLE!$F$14,$M333,BR$13)="",10^12,OFFSET(CRONOPLE!$F$14,$M333,BR$13))))</f>
        <v>1000000000000</v>
      </c>
      <c r="BS333" s="181">
        <f ca="1">IF($D333&lt;&gt;"Serviço",0,IF(AND(AUTOEVENTO="Manual",$M333=1),0,IF(OFFSET(CRONOPLE!$F$14,$M333,BS$13)="",10^12,OFFSET(CRONOPLE!$F$14,$M333,BS$13))))</f>
        <v>1000000000000</v>
      </c>
      <c r="BT333" s="181">
        <f ca="1">IF($D333&lt;&gt;"Serviço",0,IF(AND(AUTOEVENTO="Manual",$M333=1),0,IF(OFFSET(CRONOPLE!$F$14,$M333,BT$13)="",10^12,OFFSET(CRONOPLE!$F$14,$M333,BT$13))))</f>
        <v>1000000000000</v>
      </c>
      <c r="BV333" s="182">
        <f ca="1">IF($D333&lt;&gt;"Serviço",0,IF(OR(AND(AUTOEVENTO="Manual",$M333=1),$M333&gt;(ROW(PLE.lastrow)-ROW(PLE.firstrow))),0,IF(OFFSET(PLE!$G$14,$M333,BV$13)="",10^12,OFFSET(PLE!$G$14,$M333,BV$13))))</f>
        <v>1000000000000</v>
      </c>
      <c r="BW333" s="182">
        <f ca="1">IF($D333&lt;&gt;"Serviço",0,IF(OR(AND(AUTOEVENTO="Manual",$M333=1),$M333&gt;(ROW(PLE.lastrow)-ROW(PLE.firstrow))),0,IF(OFFSET(PLE!$G$14,$M333,BW$13)="",10^12,OFFSET(PLE!$G$14,$M333,BW$13))))</f>
        <v>1000000000000</v>
      </c>
      <c r="BX333" s="182">
        <f ca="1">IF($D333&lt;&gt;"Serviço",0,IF(OR(AND(AUTOEVENTO="Manual",$M333=1),$M333&gt;(ROW(PLE.lastrow)-ROW(PLE.firstrow))),0,IF(OFFSET(PLE!$G$14,$M333,BX$13)="",10^12,OFFSET(PLE!$G$14,$M333,BX$13))))</f>
        <v>1000000000000</v>
      </c>
      <c r="BY333" s="182">
        <f ca="1">IF($D333&lt;&gt;"Serviço",0,IF(OR(AND(AUTOEVENTO="Manual",$M333=1),$M333&gt;(ROW(PLE.lastrow)-ROW(PLE.firstrow))),0,IF(OFFSET(PLE!$G$14,$M333,BY$13)="",10^12,OFFSET(PLE!$G$14,$M333,BY$13))))</f>
        <v>1000000000000</v>
      </c>
      <c r="BZ333" s="182">
        <f ca="1">IF($D333&lt;&gt;"Serviço",0,IF(OR(AND(AUTOEVENTO="Manual",$M333=1),$M333&gt;(ROW(PLE.lastrow)-ROW(PLE.firstrow))),0,IF(OFFSET(PLE!$G$14,$M333,BZ$13)="",10^12,OFFSET(PLE!$G$14,$M333,BZ$13))))</f>
        <v>1000000000000</v>
      </c>
      <c r="CA333" s="182">
        <f ca="1">IF($D333&lt;&gt;"Serviço",0,IF(OR(AND(AUTOEVENTO="Manual",$M333=1),$M333&gt;(ROW(PLE.lastrow)-ROW(PLE.firstrow))),0,IF(OFFSET(PLE!$G$14,$M333,CA$13)="",10^12,OFFSET(PLE!$G$14,$M333,CA$13))))</f>
        <v>1000000000000</v>
      </c>
      <c r="CB333" s="182">
        <f ca="1">IF($D333&lt;&gt;"Serviço",0,IF(OR(AND(AUTOEVENTO="Manual",$M333=1),$M333&gt;(ROW(PLE.lastrow)-ROW(PLE.firstrow))),0,IF(OFFSET(PLE!$G$14,$M333,CB$13)="",10^12,OFFSET(PLE!$G$14,$M333,CB$13))))</f>
        <v>1000000000000</v>
      </c>
      <c r="CC333" s="182">
        <f ca="1">IF($D333&lt;&gt;"Serviço",0,IF(OR(AND(AUTOEVENTO="Manual",$M333=1),$M333&gt;(ROW(PLE.lastrow)-ROW(PLE.firstrow))),0,IF(OFFSET(PLE!$G$14,$M333,CC$13)="",10^12,OFFSET(PLE!$G$14,$M333,CC$13))))</f>
        <v>1000000000000</v>
      </c>
      <c r="CD333" s="182">
        <f ca="1">IF($D333&lt;&gt;"Serviço",0,IF(OR(AND(AUTOEVENTO="Manual",$M333=1),$M333&gt;(ROW(PLE.lastrow)-ROW(PLE.firstrow))),0,IF(OFFSET(PLE!$G$14,$M333,CD$13)="",10^12,OFFSET(PLE!$G$14,$M333,CD$13))))</f>
        <v>1000000000000</v>
      </c>
      <c r="CE333" s="182">
        <f ca="1">IF($D333&lt;&gt;"Serviço",0,IF(OR(AND(AUTOEVENTO="Manual",$M333=1),$M333&gt;(ROW(PLE.lastrow)-ROW(PLE.firstrow))),0,IF(OFFSET(PLE!$G$14,$M333,CE$13)="",10^12,OFFSET(PLE!$G$14,$M333,CE$13))))</f>
        <v>1000000000000</v>
      </c>
      <c r="CF333" s="182">
        <f ca="1">IF($D333&lt;&gt;"Serviço",0,IF(OR(AND(AUTOEVENTO="Manual",$M333=1),$M333&gt;(ROW(PLE.lastrow)-ROW(PLE.firstrow))),0,IF(OFFSET(PLE!$G$14,$M333,CF$13)="",10^12,OFFSET(PLE!$G$14,$M333,CF$13))))</f>
        <v>1000000000000</v>
      </c>
      <c r="CG333" s="182">
        <f ca="1">IF($D333&lt;&gt;"Serviço",0,IF(OR(AND(AUTOEVENTO="Manual",$M333=1),$M333&gt;(ROW(PLE.lastrow)-ROW(PLE.firstrow))),0,IF(OFFSET(PLE!$G$14,$M333,CG$13)="",10^12,OFFSET(PLE!$G$14,$M333,CG$13))))</f>
        <v>1000000000000</v>
      </c>
      <c r="CH333" s="182">
        <f ca="1">IF($D333&lt;&gt;"Serviço",0,IF(OR(AND(AUTOEVENTO="Manual",$M333=1),$M333&gt;(ROW(PLE.lastrow)-ROW(PLE.firstrow))),0,IF(OFFSET(PLE!$G$14,$M333,CH$13)="",10^12,OFFSET(PLE!$G$14,$M333,CH$13))))</f>
        <v>1000000000000</v>
      </c>
      <c r="CI333" s="182">
        <f ca="1">IF($D333&lt;&gt;"Serviço",0,IF(OR(AND(AUTOEVENTO="Manual",$M333=1),$M333&gt;(ROW(PLE.lastrow)-ROW(PLE.firstrow))),0,IF(OFFSET(PLE!$G$14,$M333,CI$13)="",10^12,OFFSET(PLE!$G$14,$M333,CI$13))))</f>
        <v>1000000000000</v>
      </c>
      <c r="CJ333" s="182">
        <f ca="1">IF($D333&lt;&gt;"Serviço",0,IF(OR(AND(AUTOEVENTO="Manual",$M333=1),$M333&gt;(ROW(PLE.lastrow)-ROW(PLE.firstrow))),0,IF(OFFSET(PLE!$G$14,$M333,CJ$13)="",10^12,OFFSET(PLE!$G$14,$M333,CJ$13))))</f>
        <v>1000000000000</v>
      </c>
      <c r="CK333" s="182">
        <f ca="1">IF($D333&lt;&gt;"Serviço",0,IF(OR(AND(AUTOEVENTO="Manual",$M333=1),$M333&gt;(ROW(PLE.lastrow)-ROW(PLE.firstrow))),0,IF(OFFSET(PLE!$G$14,$M333,CK$13)="",10^12,OFFSET(PLE!$G$14,$M333,CK$13))))</f>
        <v>1000000000000</v>
      </c>
      <c r="CL333" s="182">
        <f ca="1">IF($D333&lt;&gt;"Serviço",0,IF(OR(AND(AUTOEVENTO="Manual",$M333=1),$M333&gt;(ROW(PLE.lastrow)-ROW(PLE.firstrow))),0,IF(OFFSET(PLE!$G$14,$M333,CL$13)="",10^12,OFFSET(PLE!$G$14,$M333,CL$13))))</f>
        <v>1000000000000</v>
      </c>
      <c r="CM333" s="182">
        <f ca="1">IF($D333&lt;&gt;"Serviço",0,IF(OR(AND(AUTOEVENTO="Manual",$M333=1),$M333&gt;(ROW(PLE.lastrow)-ROW(PLE.firstrow))),0,IF(OFFSET(PLE!$G$14,$M333,CM$13)="",10^12,OFFSET(PLE!$G$14,$M333,CM$13))))</f>
        <v>1000000000000</v>
      </c>
    </row>
    <row r="334" spans="1:91" ht="38.25" x14ac:dyDescent="0.2">
      <c r="A334" s="7" t="str">
        <f t="shared" ca="1" si="12"/>
        <v>304</v>
      </c>
      <c r="B334" s="7" t="str">
        <f ca="1">OFFSET(ORÇAMENTO!C$15,ROW(B334)-ROW(B$15),0)</f>
        <v>S</v>
      </c>
      <c r="C334" s="7" t="str">
        <f ca="1">OFFSET(ORÇAMENTO!L$15,ROW(C334)-ROW(C$15),0)</f>
        <v/>
      </c>
      <c r="D334" s="118" t="str">
        <f ca="1">OFFSET(ORÇAMENTO!N$15,ROW(D334)-ROW(D$15),0)</f>
        <v>Serviço</v>
      </c>
      <c r="E334" s="119" t="str">
        <f ca="1">OFFSET(ORÇAMENTO!O$15,ROW(E334)-ROW(E$15),0)</f>
        <v>-</v>
      </c>
      <c r="F334" s="172" t="str">
        <f ca="1">OFFSET(ORÇAMENTO!R$15,ROW(F334)-ROW(F$15),0)</f>
        <v>(abra o arquivo 'Referência 06-2024.xlsm)</v>
      </c>
      <c r="G334" s="173" t="str">
        <f ca="1">IF($D334&lt;&gt;"Serviço","",OFFSET(ORÇAMENTO!S$15,ROW(G334)-ROW(G$15),0))</f>
        <v>-</v>
      </c>
      <c r="H334" s="124">
        <f ca="1">IF($D334&lt;&gt;"Serviço",0,IF(ACOMPANHAMENTO="BM",ROUND(OFFSET(ORÇAMENTO!AJ$15,ROW(H334)-ROW(H$15),0),15-13*ORÇAMENTO!$AF$7),SUMPRODUCT(($Q$12:$AI$12&lt;&gt;"")*ROUND($Q334:$AI334,15-13*ORÇAMENTO!$AF$7))))</f>
        <v>24</v>
      </c>
      <c r="I334" s="561" t="s">
        <v>1107</v>
      </c>
      <c r="K334" s="174"/>
      <c r="L334" s="175" t="s">
        <v>255</v>
      </c>
      <c r="M334" s="176">
        <f ca="1">IF($D334&lt;&gt;"Serviço","",IF(AUTOEVENTO="manual",$A334,IF(ISERROR(MATCH($A334,$A$15:OFFSET($A334,-1,0),0)),MAX($M$15:OFFSET(M334,-1,0))+1,INDEX($M$15:OFFSET(M334,-1,0),MATCH($A334,$A$15:OFFSET($A334,-1,0),0)))))</f>
        <v>41</v>
      </c>
      <c r="N334" s="177" t="str">
        <f ca="1">IF($D334&lt;&gt;"Serviço","",IF(AUTOEVENTO="Manual",IF($A334=0,"&lt;-- defina o número do agrupador",OFFSET(EVENTOS!$D$14,$A334,0)),OFFSET($F$15,$A334,0)))</f>
        <v>INSTALAÇÃO SANITÁRIA - TUBULAÇÕES E CONEXÕES</v>
      </c>
      <c r="O334" s="178"/>
      <c r="Q334" s="178">
        <v>24</v>
      </c>
      <c r="R334" s="179"/>
      <c r="S334" s="179"/>
      <c r="T334" s="179"/>
      <c r="U334" s="179"/>
      <c r="V334" s="179"/>
      <c r="W334" s="179"/>
      <c r="X334" s="179"/>
      <c r="Y334" s="179"/>
      <c r="Z334" s="180"/>
      <c r="AA334" s="179"/>
      <c r="AB334" s="179"/>
      <c r="AC334" s="179"/>
      <c r="AD334" s="179"/>
      <c r="AE334" s="179"/>
      <c r="AF334" s="179"/>
      <c r="AG334" s="179"/>
      <c r="AH334" s="180"/>
      <c r="AJ334" s="544">
        <f ca="1">IF(AND($D334="Serviço",AJ$12&lt;&gt;0,$H334&gt;0,OR(AUTOEVENTO&lt;&gt;"manual",$M334&lt;&gt;1)),
IF(Import.TipoArredondamento&lt;&gt;"TransfereGOV",
ROUND(OFFSET($P334,0,AJ$13),15-13*ORÇAMENTO!$AF$7)/$H334*OFFSET(ORÇAMENTO!$X$15,ROW(AJ334)-ROW(AJ$15),0),
ROUND(ROUND(OFFSET($P334,0,AJ$13),15-13*ORÇAMENTO!$AF$7)*OFFSET(ORÇAMENTO!$W$15,ROW(AJ334)-ROW(AJ$15),0),15-13*ORÇAMENTO!$AF$11)),0)</f>
        <v>0</v>
      </c>
      <c r="AK334" s="545">
        <f ca="1">IF(AND($D334="Serviço",AK$12&lt;&gt;0,$H334&gt;0,OR(AUTOEVENTO&lt;&gt;"manual",$M334&lt;&gt;1)),
IF(Import.TipoArredondamento&lt;&gt;"TransfereGOV",
ROUND(OFFSET($P334,0,AK$13),15-13*ORÇAMENTO!$AF$7)/$H334*OFFSET(ORÇAMENTO!$X$15,ROW(AK334)-ROW(AK$15),0),
ROUND(ROUND(OFFSET($P334,0,AK$13),15-13*ORÇAMENTO!$AF$7)*OFFSET(ORÇAMENTO!$W$15,ROW(AK334)-ROW(AK$15),0),15-13*ORÇAMENTO!$AF$11)),0)</f>
        <v>0</v>
      </c>
      <c r="AL334" s="545">
        <f ca="1">IF(AND($D334="Serviço",AL$12&lt;&gt;0,$H334&gt;0,OR(AUTOEVENTO&lt;&gt;"manual",$M334&lt;&gt;1)),
IF(Import.TipoArredondamento&lt;&gt;"TransfereGOV",
ROUND(OFFSET($P334,0,AL$13),15-13*ORÇAMENTO!$AF$7)/$H334*OFFSET(ORÇAMENTO!$X$15,ROW(AL334)-ROW(AL$15),0),
ROUND(ROUND(OFFSET($P334,0,AL$13),15-13*ORÇAMENTO!$AF$7)*OFFSET(ORÇAMENTO!$W$15,ROW(AL334)-ROW(AL$15),0),15-13*ORÇAMENTO!$AF$11)),0)</f>
        <v>0</v>
      </c>
      <c r="AM334" s="545">
        <f ca="1">IF(AND($D334="Serviço",AM$12&lt;&gt;0,$H334&gt;0,OR(AUTOEVENTO&lt;&gt;"manual",$M334&lt;&gt;1)),
IF(Import.TipoArredondamento&lt;&gt;"TransfereGOV",
ROUND(OFFSET($P334,0,AM$13),15-13*ORÇAMENTO!$AF$7)/$H334*OFFSET(ORÇAMENTO!$X$15,ROW(AM334)-ROW(AM$15),0),
ROUND(ROUND(OFFSET($P334,0,AM$13),15-13*ORÇAMENTO!$AF$7)*OFFSET(ORÇAMENTO!$W$15,ROW(AM334)-ROW(AM$15),0),15-13*ORÇAMENTO!$AF$11)),0)</f>
        <v>0</v>
      </c>
      <c r="AN334" s="545">
        <f ca="1">IF(AND($D334="Serviço",AN$12&lt;&gt;0,$H334&gt;0,OR(AUTOEVENTO&lt;&gt;"manual",$M334&lt;&gt;1)),
IF(Import.TipoArredondamento&lt;&gt;"TransfereGOV",
ROUND(OFFSET($P334,0,AN$13),15-13*ORÇAMENTO!$AF$7)/$H334*OFFSET(ORÇAMENTO!$X$15,ROW(AN334)-ROW(AN$15),0),
ROUND(ROUND(OFFSET($P334,0,AN$13),15-13*ORÇAMENTO!$AF$7)*OFFSET(ORÇAMENTO!$W$15,ROW(AN334)-ROW(AN$15),0),15-13*ORÇAMENTO!$AF$11)),0)</f>
        <v>0</v>
      </c>
      <c r="AO334" s="545">
        <f ca="1">IF(AND($D334="Serviço",AO$12&lt;&gt;0,$H334&gt;0,OR(AUTOEVENTO&lt;&gt;"manual",$M334&lt;&gt;1)),
IF(Import.TipoArredondamento&lt;&gt;"TransfereGOV",
ROUND(OFFSET($P334,0,AO$13),15-13*ORÇAMENTO!$AF$7)/$H334*OFFSET(ORÇAMENTO!$X$15,ROW(AO334)-ROW(AO$15),0),
ROUND(ROUND(OFFSET($P334,0,AO$13),15-13*ORÇAMENTO!$AF$7)*OFFSET(ORÇAMENTO!$W$15,ROW(AO334)-ROW(AO$15),0),15-13*ORÇAMENTO!$AF$11)),0)</f>
        <v>0</v>
      </c>
      <c r="AP334" s="545">
        <f ca="1">IF(AND($D334="Serviço",AP$12&lt;&gt;0,$H334&gt;0,OR(AUTOEVENTO&lt;&gt;"manual",$M334&lt;&gt;1)),
IF(Import.TipoArredondamento&lt;&gt;"TransfereGOV",
ROUND(OFFSET($P334,0,AP$13),15-13*ORÇAMENTO!$AF$7)/$H334*OFFSET(ORÇAMENTO!$X$15,ROW(AP334)-ROW(AP$15),0),
ROUND(ROUND(OFFSET($P334,0,AP$13),15-13*ORÇAMENTO!$AF$7)*OFFSET(ORÇAMENTO!$W$15,ROW(AP334)-ROW(AP$15),0),15-13*ORÇAMENTO!$AF$11)),0)</f>
        <v>0</v>
      </c>
      <c r="AQ334" s="545">
        <f ca="1">IF(AND($D334="Serviço",AQ$12&lt;&gt;0,$H334&gt;0,OR(AUTOEVENTO&lt;&gt;"manual",$M334&lt;&gt;1)),
IF(Import.TipoArredondamento&lt;&gt;"TransfereGOV",
ROUND(OFFSET($P334,0,AQ$13),15-13*ORÇAMENTO!$AF$7)/$H334*OFFSET(ORÇAMENTO!$X$15,ROW(AQ334)-ROW(AQ$15),0),
ROUND(ROUND(OFFSET($P334,0,AQ$13),15-13*ORÇAMENTO!$AF$7)*OFFSET(ORÇAMENTO!$W$15,ROW(AQ334)-ROW(AQ$15),0),15-13*ORÇAMENTO!$AF$11)),0)</f>
        <v>0</v>
      </c>
      <c r="AR334" s="545">
        <f ca="1">IF(AND($D334="Serviço",AR$12&lt;&gt;0,$H334&gt;0,OR(AUTOEVENTO&lt;&gt;"manual",$M334&lt;&gt;1)),
IF(Import.TipoArredondamento&lt;&gt;"TransfereGOV",
ROUND(OFFSET($P334,0,AR$13),15-13*ORÇAMENTO!$AF$7)/$H334*OFFSET(ORÇAMENTO!$X$15,ROW(AR334)-ROW(AR$15),0),
ROUND(ROUND(OFFSET($P334,0,AR$13),15-13*ORÇAMENTO!$AF$7)*OFFSET(ORÇAMENTO!$W$15,ROW(AR334)-ROW(AR$15),0),15-13*ORÇAMENTO!$AF$11)),0)</f>
        <v>0</v>
      </c>
      <c r="AS334" s="546">
        <f ca="1">IF(AND($D334="Serviço",AS$12&lt;&gt;0,$H334&gt;0,OR(AUTOEVENTO&lt;&gt;"manual",$M334&lt;&gt;1)),
IF(Import.TipoArredondamento&lt;&gt;"TransfereGOV",
ROUND(OFFSET($P334,0,AS$13),15-13*ORÇAMENTO!$AF$7)/$H334*OFFSET(ORÇAMENTO!$X$15,ROW(AS334)-ROW(AS$15),0),
ROUND(ROUND(OFFSET($P334,0,AS$13),15-13*ORÇAMENTO!$AF$7)*OFFSET(ORÇAMENTO!$W$15,ROW(AS334)-ROW(AS$15),0),15-13*ORÇAMENTO!$AF$11)),0)</f>
        <v>0</v>
      </c>
      <c r="AT334" s="545">
        <f ca="1">IF(AND($D334="Serviço",AT$12&lt;&gt;0,$H334&gt;0,OR(AUTOEVENTO&lt;&gt;"manual",$M334&lt;&gt;1)),
IF(Import.TipoArredondamento&lt;&gt;"TransfereGOV",
ROUND(OFFSET($P334,0,AT$13),15-13*ORÇAMENTO!$AF$7)/$H334*OFFSET(ORÇAMENTO!$X$15,ROW(AT334)-ROW(AT$15),0),
ROUND(ROUND(OFFSET($P334,0,AT$13),15-13*ORÇAMENTO!$AF$7)*OFFSET(ORÇAMENTO!$W$15,ROW(AT334)-ROW(AT$15),0),15-13*ORÇAMENTO!$AF$11)),0)</f>
        <v>0</v>
      </c>
      <c r="AU334" s="545">
        <f ca="1">IF(AND($D334="Serviço",AU$12&lt;&gt;0,$H334&gt;0,OR(AUTOEVENTO&lt;&gt;"manual",$M334&lt;&gt;1)),
IF(Import.TipoArredondamento&lt;&gt;"TransfereGOV",
ROUND(OFFSET($P334,0,AU$13),15-13*ORÇAMENTO!$AF$7)/$H334*OFFSET(ORÇAMENTO!$X$15,ROW(AU334)-ROW(AU$15),0),
ROUND(ROUND(OFFSET($P334,0,AU$13),15-13*ORÇAMENTO!$AF$7)*OFFSET(ORÇAMENTO!$W$15,ROW(AU334)-ROW(AU$15),0),15-13*ORÇAMENTO!$AF$11)),0)</f>
        <v>0</v>
      </c>
      <c r="AV334" s="545">
        <f ca="1">IF(AND($D334="Serviço",AV$12&lt;&gt;0,$H334&gt;0,OR(AUTOEVENTO&lt;&gt;"manual",$M334&lt;&gt;1)),
IF(Import.TipoArredondamento&lt;&gt;"TransfereGOV",
ROUND(OFFSET($P334,0,AV$13),15-13*ORÇAMENTO!$AF$7)/$H334*OFFSET(ORÇAMENTO!$X$15,ROW(AV334)-ROW(AV$15),0),
ROUND(ROUND(OFFSET($P334,0,AV$13),15-13*ORÇAMENTO!$AF$7)*OFFSET(ORÇAMENTO!$W$15,ROW(AV334)-ROW(AV$15),0),15-13*ORÇAMENTO!$AF$11)),0)</f>
        <v>0</v>
      </c>
      <c r="AW334" s="545">
        <f ca="1">IF(AND($D334="Serviço",AW$12&lt;&gt;0,$H334&gt;0,OR(AUTOEVENTO&lt;&gt;"manual",$M334&lt;&gt;1)),
IF(Import.TipoArredondamento&lt;&gt;"TransfereGOV",
ROUND(OFFSET($P334,0,AW$13),15-13*ORÇAMENTO!$AF$7)/$H334*OFFSET(ORÇAMENTO!$X$15,ROW(AW334)-ROW(AW$15),0),
ROUND(ROUND(OFFSET($P334,0,AW$13),15-13*ORÇAMENTO!$AF$7)*OFFSET(ORÇAMENTO!$W$15,ROW(AW334)-ROW(AW$15),0),15-13*ORÇAMENTO!$AF$11)),0)</f>
        <v>0</v>
      </c>
      <c r="AX334" s="545">
        <f ca="1">IF(AND($D334="Serviço",AX$12&lt;&gt;0,$H334&gt;0,OR(AUTOEVENTO&lt;&gt;"manual",$M334&lt;&gt;1)),
IF(Import.TipoArredondamento&lt;&gt;"TransfereGOV",
ROUND(OFFSET($P334,0,AX$13),15-13*ORÇAMENTO!$AF$7)/$H334*OFFSET(ORÇAMENTO!$X$15,ROW(AX334)-ROW(AX$15),0),
ROUND(ROUND(OFFSET($P334,0,AX$13),15-13*ORÇAMENTO!$AF$7)*OFFSET(ORÇAMENTO!$W$15,ROW(AX334)-ROW(AX$15),0),15-13*ORÇAMENTO!$AF$11)),0)</f>
        <v>0</v>
      </c>
      <c r="AY334" s="545">
        <f ca="1">IF(AND($D334="Serviço",AY$12&lt;&gt;0,$H334&gt;0,OR(AUTOEVENTO&lt;&gt;"manual",$M334&lt;&gt;1)),
IF(Import.TipoArredondamento&lt;&gt;"TransfereGOV",
ROUND(OFFSET($P334,0,AY$13),15-13*ORÇAMENTO!$AF$7)/$H334*OFFSET(ORÇAMENTO!$X$15,ROW(AY334)-ROW(AY$15),0),
ROUND(ROUND(OFFSET($P334,0,AY$13),15-13*ORÇAMENTO!$AF$7)*OFFSET(ORÇAMENTO!$W$15,ROW(AY334)-ROW(AY$15),0),15-13*ORÇAMENTO!$AF$11)),0)</f>
        <v>0</v>
      </c>
      <c r="AZ334" s="545">
        <f ca="1">IF(AND($D334="Serviço",AZ$12&lt;&gt;0,$H334&gt;0,OR(AUTOEVENTO&lt;&gt;"manual",$M334&lt;&gt;1)),
IF(Import.TipoArredondamento&lt;&gt;"TransfereGOV",
ROUND(OFFSET($P334,0,AZ$13),15-13*ORÇAMENTO!$AF$7)/$H334*OFFSET(ORÇAMENTO!$X$15,ROW(AZ334)-ROW(AZ$15),0),
ROUND(ROUND(OFFSET($P334,0,AZ$13),15-13*ORÇAMENTO!$AF$7)*OFFSET(ORÇAMENTO!$W$15,ROW(AZ334)-ROW(AZ$15),0),15-13*ORÇAMENTO!$AF$11)),0)</f>
        <v>0</v>
      </c>
      <c r="BA334" s="546">
        <f ca="1">IF(AND($D334="Serviço",BA$12&lt;&gt;0,$H334&gt;0,OR(AUTOEVENTO&lt;&gt;"manual",$M334&lt;&gt;1)),
IF(Import.TipoArredondamento&lt;&gt;"TransfereGOV",
ROUND(OFFSET($P334,0,BA$13),15-13*ORÇAMENTO!$AF$7)/$H334*OFFSET(ORÇAMENTO!$X$15,ROW(BA334)-ROW(BA$15),0),
ROUND(ROUND(OFFSET($P334,0,BA$13),15-13*ORÇAMENTO!$AF$7)*OFFSET(ORÇAMENTO!$W$15,ROW(BA334)-ROW(BA$15),0),15-13*ORÇAMENTO!$AF$11)),0)</f>
        <v>0</v>
      </c>
      <c r="BC334" s="181">
        <f ca="1">IF($D334&lt;&gt;"Serviço",0,IF(AND(AUTOEVENTO="Manual",$M334=1),0,IF(OFFSET(CRONOPLE!$F$14,$M334,BC$13)="",10^12,OFFSET(CRONOPLE!$F$14,$M334,BC$13))))</f>
        <v>9</v>
      </c>
      <c r="BD334" s="181">
        <f ca="1">IF($D334&lt;&gt;"Serviço",0,IF(AND(AUTOEVENTO="Manual",$M334=1),0,IF(OFFSET(CRONOPLE!$F$14,$M334,BD$13)="",10^12,OFFSET(CRONOPLE!$F$14,$M334,BD$13))))</f>
        <v>1000000000000</v>
      </c>
      <c r="BE334" s="181">
        <f ca="1">IF($D334&lt;&gt;"Serviço",0,IF(AND(AUTOEVENTO="Manual",$M334=1),0,IF(OFFSET(CRONOPLE!$F$14,$M334,BE$13)="",10^12,OFFSET(CRONOPLE!$F$14,$M334,BE$13))))</f>
        <v>1000000000000</v>
      </c>
      <c r="BF334" s="181">
        <f ca="1">IF($D334&lt;&gt;"Serviço",0,IF(AND(AUTOEVENTO="Manual",$M334=1),0,IF(OFFSET(CRONOPLE!$F$14,$M334,BF$13)="",10^12,OFFSET(CRONOPLE!$F$14,$M334,BF$13))))</f>
        <v>1000000000000</v>
      </c>
      <c r="BG334" s="181">
        <f ca="1">IF($D334&lt;&gt;"Serviço",0,IF(AND(AUTOEVENTO="Manual",$M334=1),0,IF(OFFSET(CRONOPLE!$F$14,$M334,BG$13)="",10^12,OFFSET(CRONOPLE!$F$14,$M334,BG$13))))</f>
        <v>1000000000000</v>
      </c>
      <c r="BH334" s="181">
        <f ca="1">IF($D334&lt;&gt;"Serviço",0,IF(AND(AUTOEVENTO="Manual",$M334=1),0,IF(OFFSET(CRONOPLE!$F$14,$M334,BH$13)="",10^12,OFFSET(CRONOPLE!$F$14,$M334,BH$13))))</f>
        <v>1000000000000</v>
      </c>
      <c r="BI334" s="181">
        <f ca="1">IF($D334&lt;&gt;"Serviço",0,IF(AND(AUTOEVENTO="Manual",$M334=1),0,IF(OFFSET(CRONOPLE!$F$14,$M334,BI$13)="",10^12,OFFSET(CRONOPLE!$F$14,$M334,BI$13))))</f>
        <v>1000000000000</v>
      </c>
      <c r="BJ334" s="181">
        <f ca="1">IF($D334&lt;&gt;"Serviço",0,IF(AND(AUTOEVENTO="Manual",$M334=1),0,IF(OFFSET(CRONOPLE!$F$14,$M334,BJ$13)="",10^12,OFFSET(CRONOPLE!$F$14,$M334,BJ$13))))</f>
        <v>1000000000000</v>
      </c>
      <c r="BK334" s="181">
        <f ca="1">IF($D334&lt;&gt;"Serviço",0,IF(AND(AUTOEVENTO="Manual",$M334=1),0,IF(OFFSET(CRONOPLE!$F$14,$M334,BK$13)="",10^12,OFFSET(CRONOPLE!$F$14,$M334,BK$13))))</f>
        <v>1000000000000</v>
      </c>
      <c r="BL334" s="181">
        <f ca="1">IF($D334&lt;&gt;"Serviço",0,IF(AND(AUTOEVENTO="Manual",$M334=1),0,IF(OFFSET(CRONOPLE!$F$14,$M334,BL$13)="",10^12,OFFSET(CRONOPLE!$F$14,$M334,BL$13))))</f>
        <v>1000000000000</v>
      </c>
      <c r="BM334" s="181">
        <f ca="1">IF($D334&lt;&gt;"Serviço",0,IF(AND(AUTOEVENTO="Manual",$M334=1),0,IF(OFFSET(CRONOPLE!$F$14,$M334,BM$13)="",10^12,OFFSET(CRONOPLE!$F$14,$M334,BM$13))))</f>
        <v>1000000000000</v>
      </c>
      <c r="BN334" s="181">
        <f ca="1">IF($D334&lt;&gt;"Serviço",0,IF(AND(AUTOEVENTO="Manual",$M334=1),0,IF(OFFSET(CRONOPLE!$F$14,$M334,BN$13)="",10^12,OFFSET(CRONOPLE!$F$14,$M334,BN$13))))</f>
        <v>1000000000000</v>
      </c>
      <c r="BO334" s="181">
        <f ca="1">IF($D334&lt;&gt;"Serviço",0,IF(AND(AUTOEVENTO="Manual",$M334=1),0,IF(OFFSET(CRONOPLE!$F$14,$M334,BO$13)="",10^12,OFFSET(CRONOPLE!$F$14,$M334,BO$13))))</f>
        <v>1000000000000</v>
      </c>
      <c r="BP334" s="181">
        <f ca="1">IF($D334&lt;&gt;"Serviço",0,IF(AND(AUTOEVENTO="Manual",$M334=1),0,IF(OFFSET(CRONOPLE!$F$14,$M334,BP$13)="",10^12,OFFSET(CRONOPLE!$F$14,$M334,BP$13))))</f>
        <v>1000000000000</v>
      </c>
      <c r="BQ334" s="181">
        <f ca="1">IF($D334&lt;&gt;"Serviço",0,IF(AND(AUTOEVENTO="Manual",$M334=1),0,IF(OFFSET(CRONOPLE!$F$14,$M334,BQ$13)="",10^12,OFFSET(CRONOPLE!$F$14,$M334,BQ$13))))</f>
        <v>1000000000000</v>
      </c>
      <c r="BR334" s="181">
        <f ca="1">IF($D334&lt;&gt;"Serviço",0,IF(AND(AUTOEVENTO="Manual",$M334=1),0,IF(OFFSET(CRONOPLE!$F$14,$M334,BR$13)="",10^12,OFFSET(CRONOPLE!$F$14,$M334,BR$13))))</f>
        <v>1000000000000</v>
      </c>
      <c r="BS334" s="181">
        <f ca="1">IF($D334&lt;&gt;"Serviço",0,IF(AND(AUTOEVENTO="Manual",$M334=1),0,IF(OFFSET(CRONOPLE!$F$14,$M334,BS$13)="",10^12,OFFSET(CRONOPLE!$F$14,$M334,BS$13))))</f>
        <v>1000000000000</v>
      </c>
      <c r="BT334" s="181">
        <f ca="1">IF($D334&lt;&gt;"Serviço",0,IF(AND(AUTOEVENTO="Manual",$M334=1),0,IF(OFFSET(CRONOPLE!$F$14,$M334,BT$13)="",10^12,OFFSET(CRONOPLE!$F$14,$M334,BT$13))))</f>
        <v>1000000000000</v>
      </c>
      <c r="BV334" s="182">
        <f ca="1">IF($D334&lt;&gt;"Serviço",0,IF(OR(AND(AUTOEVENTO="Manual",$M334=1),$M334&gt;(ROW(PLE.lastrow)-ROW(PLE.firstrow))),0,IF(OFFSET(PLE!$G$14,$M334,BV$13)="",10^12,OFFSET(PLE!$G$14,$M334,BV$13))))</f>
        <v>1000000000000</v>
      </c>
      <c r="BW334" s="182">
        <f ca="1">IF($D334&lt;&gt;"Serviço",0,IF(OR(AND(AUTOEVENTO="Manual",$M334=1),$M334&gt;(ROW(PLE.lastrow)-ROW(PLE.firstrow))),0,IF(OFFSET(PLE!$G$14,$M334,BW$13)="",10^12,OFFSET(PLE!$G$14,$M334,BW$13))))</f>
        <v>1000000000000</v>
      </c>
      <c r="BX334" s="182">
        <f ca="1">IF($D334&lt;&gt;"Serviço",0,IF(OR(AND(AUTOEVENTO="Manual",$M334=1),$M334&gt;(ROW(PLE.lastrow)-ROW(PLE.firstrow))),0,IF(OFFSET(PLE!$G$14,$M334,BX$13)="",10^12,OFFSET(PLE!$G$14,$M334,BX$13))))</f>
        <v>1000000000000</v>
      </c>
      <c r="BY334" s="182">
        <f ca="1">IF($D334&lt;&gt;"Serviço",0,IF(OR(AND(AUTOEVENTO="Manual",$M334=1),$M334&gt;(ROW(PLE.lastrow)-ROW(PLE.firstrow))),0,IF(OFFSET(PLE!$G$14,$M334,BY$13)="",10^12,OFFSET(PLE!$G$14,$M334,BY$13))))</f>
        <v>1000000000000</v>
      </c>
      <c r="BZ334" s="182">
        <f ca="1">IF($D334&lt;&gt;"Serviço",0,IF(OR(AND(AUTOEVENTO="Manual",$M334=1),$M334&gt;(ROW(PLE.lastrow)-ROW(PLE.firstrow))),0,IF(OFFSET(PLE!$G$14,$M334,BZ$13)="",10^12,OFFSET(PLE!$G$14,$M334,BZ$13))))</f>
        <v>1000000000000</v>
      </c>
      <c r="CA334" s="182">
        <f ca="1">IF($D334&lt;&gt;"Serviço",0,IF(OR(AND(AUTOEVENTO="Manual",$M334=1),$M334&gt;(ROW(PLE.lastrow)-ROW(PLE.firstrow))),0,IF(OFFSET(PLE!$G$14,$M334,CA$13)="",10^12,OFFSET(PLE!$G$14,$M334,CA$13))))</f>
        <v>1000000000000</v>
      </c>
      <c r="CB334" s="182">
        <f ca="1">IF($D334&lt;&gt;"Serviço",0,IF(OR(AND(AUTOEVENTO="Manual",$M334=1),$M334&gt;(ROW(PLE.lastrow)-ROW(PLE.firstrow))),0,IF(OFFSET(PLE!$G$14,$M334,CB$13)="",10^12,OFFSET(PLE!$G$14,$M334,CB$13))))</f>
        <v>1000000000000</v>
      </c>
      <c r="CC334" s="182">
        <f ca="1">IF($D334&lt;&gt;"Serviço",0,IF(OR(AND(AUTOEVENTO="Manual",$M334=1),$M334&gt;(ROW(PLE.lastrow)-ROW(PLE.firstrow))),0,IF(OFFSET(PLE!$G$14,$M334,CC$13)="",10^12,OFFSET(PLE!$G$14,$M334,CC$13))))</f>
        <v>1000000000000</v>
      </c>
      <c r="CD334" s="182">
        <f ca="1">IF($D334&lt;&gt;"Serviço",0,IF(OR(AND(AUTOEVENTO="Manual",$M334=1),$M334&gt;(ROW(PLE.lastrow)-ROW(PLE.firstrow))),0,IF(OFFSET(PLE!$G$14,$M334,CD$13)="",10^12,OFFSET(PLE!$G$14,$M334,CD$13))))</f>
        <v>1000000000000</v>
      </c>
      <c r="CE334" s="182">
        <f ca="1">IF($D334&lt;&gt;"Serviço",0,IF(OR(AND(AUTOEVENTO="Manual",$M334=1),$M334&gt;(ROW(PLE.lastrow)-ROW(PLE.firstrow))),0,IF(OFFSET(PLE!$G$14,$M334,CE$13)="",10^12,OFFSET(PLE!$G$14,$M334,CE$13))))</f>
        <v>1000000000000</v>
      </c>
      <c r="CF334" s="182">
        <f ca="1">IF($D334&lt;&gt;"Serviço",0,IF(OR(AND(AUTOEVENTO="Manual",$M334=1),$M334&gt;(ROW(PLE.lastrow)-ROW(PLE.firstrow))),0,IF(OFFSET(PLE!$G$14,$M334,CF$13)="",10^12,OFFSET(PLE!$G$14,$M334,CF$13))))</f>
        <v>1000000000000</v>
      </c>
      <c r="CG334" s="182">
        <f ca="1">IF($D334&lt;&gt;"Serviço",0,IF(OR(AND(AUTOEVENTO="Manual",$M334=1),$M334&gt;(ROW(PLE.lastrow)-ROW(PLE.firstrow))),0,IF(OFFSET(PLE!$G$14,$M334,CG$13)="",10^12,OFFSET(PLE!$G$14,$M334,CG$13))))</f>
        <v>1000000000000</v>
      </c>
      <c r="CH334" s="182">
        <f ca="1">IF($D334&lt;&gt;"Serviço",0,IF(OR(AND(AUTOEVENTO="Manual",$M334=1),$M334&gt;(ROW(PLE.lastrow)-ROW(PLE.firstrow))),0,IF(OFFSET(PLE!$G$14,$M334,CH$13)="",10^12,OFFSET(PLE!$G$14,$M334,CH$13))))</f>
        <v>1000000000000</v>
      </c>
      <c r="CI334" s="182">
        <f ca="1">IF($D334&lt;&gt;"Serviço",0,IF(OR(AND(AUTOEVENTO="Manual",$M334=1),$M334&gt;(ROW(PLE.lastrow)-ROW(PLE.firstrow))),0,IF(OFFSET(PLE!$G$14,$M334,CI$13)="",10^12,OFFSET(PLE!$G$14,$M334,CI$13))))</f>
        <v>1000000000000</v>
      </c>
      <c r="CJ334" s="182">
        <f ca="1">IF($D334&lt;&gt;"Serviço",0,IF(OR(AND(AUTOEVENTO="Manual",$M334=1),$M334&gt;(ROW(PLE.lastrow)-ROW(PLE.firstrow))),0,IF(OFFSET(PLE!$G$14,$M334,CJ$13)="",10^12,OFFSET(PLE!$G$14,$M334,CJ$13))))</f>
        <v>1000000000000</v>
      </c>
      <c r="CK334" s="182">
        <f ca="1">IF($D334&lt;&gt;"Serviço",0,IF(OR(AND(AUTOEVENTO="Manual",$M334=1),$M334&gt;(ROW(PLE.lastrow)-ROW(PLE.firstrow))),0,IF(OFFSET(PLE!$G$14,$M334,CK$13)="",10^12,OFFSET(PLE!$G$14,$M334,CK$13))))</f>
        <v>1000000000000</v>
      </c>
      <c r="CL334" s="182">
        <f ca="1">IF($D334&lt;&gt;"Serviço",0,IF(OR(AND(AUTOEVENTO="Manual",$M334=1),$M334&gt;(ROW(PLE.lastrow)-ROW(PLE.firstrow))),0,IF(OFFSET(PLE!$G$14,$M334,CL$13)="",10^12,OFFSET(PLE!$G$14,$M334,CL$13))))</f>
        <v>1000000000000</v>
      </c>
      <c r="CM334" s="182">
        <f ca="1">IF($D334&lt;&gt;"Serviço",0,IF(OR(AND(AUTOEVENTO="Manual",$M334=1),$M334&gt;(ROW(PLE.lastrow)-ROW(PLE.firstrow))),0,IF(OFFSET(PLE!$G$14,$M334,CM$13)="",10^12,OFFSET(PLE!$G$14,$M334,CM$13))))</f>
        <v>1000000000000</v>
      </c>
    </row>
    <row r="335" spans="1:91" ht="38.25" x14ac:dyDescent="0.2">
      <c r="A335" s="7" t="str">
        <f t="shared" ca="1" si="12"/>
        <v>304</v>
      </c>
      <c r="B335" s="7" t="str">
        <f ca="1">OFFSET(ORÇAMENTO!C$15,ROW(B335)-ROW(B$15),0)</f>
        <v>S</v>
      </c>
      <c r="C335" s="7" t="str">
        <f ca="1">OFFSET(ORÇAMENTO!L$15,ROW(C335)-ROW(C$15),0)</f>
        <v/>
      </c>
      <c r="D335" s="118" t="str">
        <f ca="1">OFFSET(ORÇAMENTO!N$15,ROW(D335)-ROW(D$15),0)</f>
        <v>Serviço</v>
      </c>
      <c r="E335" s="119" t="str">
        <f ca="1">OFFSET(ORÇAMENTO!O$15,ROW(E335)-ROW(E$15),0)</f>
        <v>-</v>
      </c>
      <c r="F335" s="172" t="str">
        <f ca="1">OFFSET(ORÇAMENTO!R$15,ROW(F335)-ROW(F$15),0)</f>
        <v>(abra o arquivo 'Referência 06-2024.xlsm)</v>
      </c>
      <c r="G335" s="173" t="str">
        <f ca="1">IF($D335&lt;&gt;"Serviço","",OFFSET(ORÇAMENTO!S$15,ROW(G335)-ROW(G$15),0))</f>
        <v>-</v>
      </c>
      <c r="H335" s="124">
        <f ca="1">IF($D335&lt;&gt;"Serviço",0,IF(ACOMPANHAMENTO="BM",ROUND(OFFSET(ORÇAMENTO!AJ$15,ROW(H335)-ROW(H$15),0),15-13*ORÇAMENTO!$AF$7),SUMPRODUCT(($Q$12:$AI$12&lt;&gt;"")*ROUND($Q335:$AI335,15-13*ORÇAMENTO!$AF$7))))</f>
        <v>74</v>
      </c>
      <c r="I335" s="561" t="s">
        <v>1107</v>
      </c>
      <c r="K335" s="174"/>
      <c r="L335" s="175" t="s">
        <v>255</v>
      </c>
      <c r="M335" s="176">
        <f ca="1">IF($D335&lt;&gt;"Serviço","",IF(AUTOEVENTO="manual",$A335,IF(ISERROR(MATCH($A335,$A$15:OFFSET($A335,-1,0),0)),MAX($M$15:OFFSET(M335,-1,0))+1,INDEX($M$15:OFFSET(M335,-1,0),MATCH($A335,$A$15:OFFSET($A335,-1,0),0)))))</f>
        <v>41</v>
      </c>
      <c r="N335" s="177" t="str">
        <f ca="1">IF($D335&lt;&gt;"Serviço","",IF(AUTOEVENTO="Manual",IF($A335=0,"&lt;-- defina o número do agrupador",OFFSET(EVENTOS!$D$14,$A335,0)),OFFSET($F$15,$A335,0)))</f>
        <v>INSTALAÇÃO SANITÁRIA - TUBULAÇÕES E CONEXÕES</v>
      </c>
      <c r="O335" s="178"/>
      <c r="Q335" s="178">
        <v>74</v>
      </c>
      <c r="R335" s="179"/>
      <c r="S335" s="179"/>
      <c r="T335" s="179"/>
      <c r="U335" s="179"/>
      <c r="V335" s="179"/>
      <c r="W335" s="179"/>
      <c r="X335" s="179"/>
      <c r="Y335" s="179"/>
      <c r="Z335" s="180"/>
      <c r="AA335" s="179"/>
      <c r="AB335" s="179"/>
      <c r="AC335" s="179"/>
      <c r="AD335" s="179"/>
      <c r="AE335" s="179"/>
      <c r="AF335" s="179"/>
      <c r="AG335" s="179"/>
      <c r="AH335" s="180"/>
      <c r="AJ335" s="544">
        <f ca="1">IF(AND($D335="Serviço",AJ$12&lt;&gt;0,$H335&gt;0,OR(AUTOEVENTO&lt;&gt;"manual",$M335&lt;&gt;1)),
IF(Import.TipoArredondamento&lt;&gt;"TransfereGOV",
ROUND(OFFSET($P335,0,AJ$13),15-13*ORÇAMENTO!$AF$7)/$H335*OFFSET(ORÇAMENTO!$X$15,ROW(AJ335)-ROW(AJ$15),0),
ROUND(ROUND(OFFSET($P335,0,AJ$13),15-13*ORÇAMENTO!$AF$7)*OFFSET(ORÇAMENTO!$W$15,ROW(AJ335)-ROW(AJ$15),0),15-13*ORÇAMENTO!$AF$11)),0)</f>
        <v>0</v>
      </c>
      <c r="AK335" s="545">
        <f ca="1">IF(AND($D335="Serviço",AK$12&lt;&gt;0,$H335&gt;0,OR(AUTOEVENTO&lt;&gt;"manual",$M335&lt;&gt;1)),
IF(Import.TipoArredondamento&lt;&gt;"TransfereGOV",
ROUND(OFFSET($P335,0,AK$13),15-13*ORÇAMENTO!$AF$7)/$H335*OFFSET(ORÇAMENTO!$X$15,ROW(AK335)-ROW(AK$15),0),
ROUND(ROUND(OFFSET($P335,0,AK$13),15-13*ORÇAMENTO!$AF$7)*OFFSET(ORÇAMENTO!$W$15,ROW(AK335)-ROW(AK$15),0),15-13*ORÇAMENTO!$AF$11)),0)</f>
        <v>0</v>
      </c>
      <c r="AL335" s="545">
        <f ca="1">IF(AND($D335="Serviço",AL$12&lt;&gt;0,$H335&gt;0,OR(AUTOEVENTO&lt;&gt;"manual",$M335&lt;&gt;1)),
IF(Import.TipoArredondamento&lt;&gt;"TransfereGOV",
ROUND(OFFSET($P335,0,AL$13),15-13*ORÇAMENTO!$AF$7)/$H335*OFFSET(ORÇAMENTO!$X$15,ROW(AL335)-ROW(AL$15),0),
ROUND(ROUND(OFFSET($P335,0,AL$13),15-13*ORÇAMENTO!$AF$7)*OFFSET(ORÇAMENTO!$W$15,ROW(AL335)-ROW(AL$15),0),15-13*ORÇAMENTO!$AF$11)),0)</f>
        <v>0</v>
      </c>
      <c r="AM335" s="545">
        <f ca="1">IF(AND($D335="Serviço",AM$12&lt;&gt;0,$H335&gt;0,OR(AUTOEVENTO&lt;&gt;"manual",$M335&lt;&gt;1)),
IF(Import.TipoArredondamento&lt;&gt;"TransfereGOV",
ROUND(OFFSET($P335,0,AM$13),15-13*ORÇAMENTO!$AF$7)/$H335*OFFSET(ORÇAMENTO!$X$15,ROW(AM335)-ROW(AM$15),0),
ROUND(ROUND(OFFSET($P335,0,AM$13),15-13*ORÇAMENTO!$AF$7)*OFFSET(ORÇAMENTO!$W$15,ROW(AM335)-ROW(AM$15),0),15-13*ORÇAMENTO!$AF$11)),0)</f>
        <v>0</v>
      </c>
      <c r="AN335" s="545">
        <f ca="1">IF(AND($D335="Serviço",AN$12&lt;&gt;0,$H335&gt;0,OR(AUTOEVENTO&lt;&gt;"manual",$M335&lt;&gt;1)),
IF(Import.TipoArredondamento&lt;&gt;"TransfereGOV",
ROUND(OFFSET($P335,0,AN$13),15-13*ORÇAMENTO!$AF$7)/$H335*OFFSET(ORÇAMENTO!$X$15,ROW(AN335)-ROW(AN$15),0),
ROUND(ROUND(OFFSET($P335,0,AN$13),15-13*ORÇAMENTO!$AF$7)*OFFSET(ORÇAMENTO!$W$15,ROW(AN335)-ROW(AN$15),0),15-13*ORÇAMENTO!$AF$11)),0)</f>
        <v>0</v>
      </c>
      <c r="AO335" s="545">
        <f ca="1">IF(AND($D335="Serviço",AO$12&lt;&gt;0,$H335&gt;0,OR(AUTOEVENTO&lt;&gt;"manual",$M335&lt;&gt;1)),
IF(Import.TipoArredondamento&lt;&gt;"TransfereGOV",
ROUND(OFFSET($P335,0,AO$13),15-13*ORÇAMENTO!$AF$7)/$H335*OFFSET(ORÇAMENTO!$X$15,ROW(AO335)-ROW(AO$15),0),
ROUND(ROUND(OFFSET($P335,0,AO$13),15-13*ORÇAMENTO!$AF$7)*OFFSET(ORÇAMENTO!$W$15,ROW(AO335)-ROW(AO$15),0),15-13*ORÇAMENTO!$AF$11)),0)</f>
        <v>0</v>
      </c>
      <c r="AP335" s="545">
        <f ca="1">IF(AND($D335="Serviço",AP$12&lt;&gt;0,$H335&gt;0,OR(AUTOEVENTO&lt;&gt;"manual",$M335&lt;&gt;1)),
IF(Import.TipoArredondamento&lt;&gt;"TransfereGOV",
ROUND(OFFSET($P335,0,AP$13),15-13*ORÇAMENTO!$AF$7)/$H335*OFFSET(ORÇAMENTO!$X$15,ROW(AP335)-ROW(AP$15),0),
ROUND(ROUND(OFFSET($P335,0,AP$13),15-13*ORÇAMENTO!$AF$7)*OFFSET(ORÇAMENTO!$W$15,ROW(AP335)-ROW(AP$15),0),15-13*ORÇAMENTO!$AF$11)),0)</f>
        <v>0</v>
      </c>
      <c r="AQ335" s="545">
        <f ca="1">IF(AND($D335="Serviço",AQ$12&lt;&gt;0,$H335&gt;0,OR(AUTOEVENTO&lt;&gt;"manual",$M335&lt;&gt;1)),
IF(Import.TipoArredondamento&lt;&gt;"TransfereGOV",
ROUND(OFFSET($P335,0,AQ$13),15-13*ORÇAMENTO!$AF$7)/$H335*OFFSET(ORÇAMENTO!$X$15,ROW(AQ335)-ROW(AQ$15),0),
ROUND(ROUND(OFFSET($P335,0,AQ$13),15-13*ORÇAMENTO!$AF$7)*OFFSET(ORÇAMENTO!$W$15,ROW(AQ335)-ROW(AQ$15),0),15-13*ORÇAMENTO!$AF$11)),0)</f>
        <v>0</v>
      </c>
      <c r="AR335" s="545">
        <f ca="1">IF(AND($D335="Serviço",AR$12&lt;&gt;0,$H335&gt;0,OR(AUTOEVENTO&lt;&gt;"manual",$M335&lt;&gt;1)),
IF(Import.TipoArredondamento&lt;&gt;"TransfereGOV",
ROUND(OFFSET($P335,0,AR$13),15-13*ORÇAMENTO!$AF$7)/$H335*OFFSET(ORÇAMENTO!$X$15,ROW(AR335)-ROW(AR$15),0),
ROUND(ROUND(OFFSET($P335,0,AR$13),15-13*ORÇAMENTO!$AF$7)*OFFSET(ORÇAMENTO!$W$15,ROW(AR335)-ROW(AR$15),0),15-13*ORÇAMENTO!$AF$11)),0)</f>
        <v>0</v>
      </c>
      <c r="AS335" s="546">
        <f ca="1">IF(AND($D335="Serviço",AS$12&lt;&gt;0,$H335&gt;0,OR(AUTOEVENTO&lt;&gt;"manual",$M335&lt;&gt;1)),
IF(Import.TipoArredondamento&lt;&gt;"TransfereGOV",
ROUND(OFFSET($P335,0,AS$13),15-13*ORÇAMENTO!$AF$7)/$H335*OFFSET(ORÇAMENTO!$X$15,ROW(AS335)-ROW(AS$15),0),
ROUND(ROUND(OFFSET($P335,0,AS$13),15-13*ORÇAMENTO!$AF$7)*OFFSET(ORÇAMENTO!$W$15,ROW(AS335)-ROW(AS$15),0),15-13*ORÇAMENTO!$AF$11)),0)</f>
        <v>0</v>
      </c>
      <c r="AT335" s="545">
        <f ca="1">IF(AND($D335="Serviço",AT$12&lt;&gt;0,$H335&gt;0,OR(AUTOEVENTO&lt;&gt;"manual",$M335&lt;&gt;1)),
IF(Import.TipoArredondamento&lt;&gt;"TransfereGOV",
ROUND(OFFSET($P335,0,AT$13),15-13*ORÇAMENTO!$AF$7)/$H335*OFFSET(ORÇAMENTO!$X$15,ROW(AT335)-ROW(AT$15),0),
ROUND(ROUND(OFFSET($P335,0,AT$13),15-13*ORÇAMENTO!$AF$7)*OFFSET(ORÇAMENTO!$W$15,ROW(AT335)-ROW(AT$15),0),15-13*ORÇAMENTO!$AF$11)),0)</f>
        <v>0</v>
      </c>
      <c r="AU335" s="545">
        <f ca="1">IF(AND($D335="Serviço",AU$12&lt;&gt;0,$H335&gt;0,OR(AUTOEVENTO&lt;&gt;"manual",$M335&lt;&gt;1)),
IF(Import.TipoArredondamento&lt;&gt;"TransfereGOV",
ROUND(OFFSET($P335,0,AU$13),15-13*ORÇAMENTO!$AF$7)/$H335*OFFSET(ORÇAMENTO!$X$15,ROW(AU335)-ROW(AU$15),0),
ROUND(ROUND(OFFSET($P335,0,AU$13),15-13*ORÇAMENTO!$AF$7)*OFFSET(ORÇAMENTO!$W$15,ROW(AU335)-ROW(AU$15),0),15-13*ORÇAMENTO!$AF$11)),0)</f>
        <v>0</v>
      </c>
      <c r="AV335" s="545">
        <f ca="1">IF(AND($D335="Serviço",AV$12&lt;&gt;0,$H335&gt;0,OR(AUTOEVENTO&lt;&gt;"manual",$M335&lt;&gt;1)),
IF(Import.TipoArredondamento&lt;&gt;"TransfereGOV",
ROUND(OFFSET($P335,0,AV$13),15-13*ORÇAMENTO!$AF$7)/$H335*OFFSET(ORÇAMENTO!$X$15,ROW(AV335)-ROW(AV$15),0),
ROUND(ROUND(OFFSET($P335,0,AV$13),15-13*ORÇAMENTO!$AF$7)*OFFSET(ORÇAMENTO!$W$15,ROW(AV335)-ROW(AV$15),0),15-13*ORÇAMENTO!$AF$11)),0)</f>
        <v>0</v>
      </c>
      <c r="AW335" s="545">
        <f ca="1">IF(AND($D335="Serviço",AW$12&lt;&gt;0,$H335&gt;0,OR(AUTOEVENTO&lt;&gt;"manual",$M335&lt;&gt;1)),
IF(Import.TipoArredondamento&lt;&gt;"TransfereGOV",
ROUND(OFFSET($P335,0,AW$13),15-13*ORÇAMENTO!$AF$7)/$H335*OFFSET(ORÇAMENTO!$X$15,ROW(AW335)-ROW(AW$15),0),
ROUND(ROUND(OFFSET($P335,0,AW$13),15-13*ORÇAMENTO!$AF$7)*OFFSET(ORÇAMENTO!$W$15,ROW(AW335)-ROW(AW$15),0),15-13*ORÇAMENTO!$AF$11)),0)</f>
        <v>0</v>
      </c>
      <c r="AX335" s="545">
        <f ca="1">IF(AND($D335="Serviço",AX$12&lt;&gt;0,$H335&gt;0,OR(AUTOEVENTO&lt;&gt;"manual",$M335&lt;&gt;1)),
IF(Import.TipoArredondamento&lt;&gt;"TransfereGOV",
ROUND(OFFSET($P335,0,AX$13),15-13*ORÇAMENTO!$AF$7)/$H335*OFFSET(ORÇAMENTO!$X$15,ROW(AX335)-ROW(AX$15),0),
ROUND(ROUND(OFFSET($P335,0,AX$13),15-13*ORÇAMENTO!$AF$7)*OFFSET(ORÇAMENTO!$W$15,ROW(AX335)-ROW(AX$15),0),15-13*ORÇAMENTO!$AF$11)),0)</f>
        <v>0</v>
      </c>
      <c r="AY335" s="545">
        <f ca="1">IF(AND($D335="Serviço",AY$12&lt;&gt;0,$H335&gt;0,OR(AUTOEVENTO&lt;&gt;"manual",$M335&lt;&gt;1)),
IF(Import.TipoArredondamento&lt;&gt;"TransfereGOV",
ROUND(OFFSET($P335,0,AY$13),15-13*ORÇAMENTO!$AF$7)/$H335*OFFSET(ORÇAMENTO!$X$15,ROW(AY335)-ROW(AY$15),0),
ROUND(ROUND(OFFSET($P335,0,AY$13),15-13*ORÇAMENTO!$AF$7)*OFFSET(ORÇAMENTO!$W$15,ROW(AY335)-ROW(AY$15),0),15-13*ORÇAMENTO!$AF$11)),0)</f>
        <v>0</v>
      </c>
      <c r="AZ335" s="545">
        <f ca="1">IF(AND($D335="Serviço",AZ$12&lt;&gt;0,$H335&gt;0,OR(AUTOEVENTO&lt;&gt;"manual",$M335&lt;&gt;1)),
IF(Import.TipoArredondamento&lt;&gt;"TransfereGOV",
ROUND(OFFSET($P335,0,AZ$13),15-13*ORÇAMENTO!$AF$7)/$H335*OFFSET(ORÇAMENTO!$X$15,ROW(AZ335)-ROW(AZ$15),0),
ROUND(ROUND(OFFSET($P335,0,AZ$13),15-13*ORÇAMENTO!$AF$7)*OFFSET(ORÇAMENTO!$W$15,ROW(AZ335)-ROW(AZ$15),0),15-13*ORÇAMENTO!$AF$11)),0)</f>
        <v>0</v>
      </c>
      <c r="BA335" s="546">
        <f ca="1">IF(AND($D335="Serviço",BA$12&lt;&gt;0,$H335&gt;0,OR(AUTOEVENTO&lt;&gt;"manual",$M335&lt;&gt;1)),
IF(Import.TipoArredondamento&lt;&gt;"TransfereGOV",
ROUND(OFFSET($P335,0,BA$13),15-13*ORÇAMENTO!$AF$7)/$H335*OFFSET(ORÇAMENTO!$X$15,ROW(BA335)-ROW(BA$15),0),
ROUND(ROUND(OFFSET($P335,0,BA$13),15-13*ORÇAMENTO!$AF$7)*OFFSET(ORÇAMENTO!$W$15,ROW(BA335)-ROW(BA$15),0),15-13*ORÇAMENTO!$AF$11)),0)</f>
        <v>0</v>
      </c>
      <c r="BC335" s="181">
        <f ca="1">IF($D335&lt;&gt;"Serviço",0,IF(AND(AUTOEVENTO="Manual",$M335=1),0,IF(OFFSET(CRONOPLE!$F$14,$M335,BC$13)="",10^12,OFFSET(CRONOPLE!$F$14,$M335,BC$13))))</f>
        <v>9</v>
      </c>
      <c r="BD335" s="181">
        <f ca="1">IF($D335&lt;&gt;"Serviço",0,IF(AND(AUTOEVENTO="Manual",$M335=1),0,IF(OFFSET(CRONOPLE!$F$14,$M335,BD$13)="",10^12,OFFSET(CRONOPLE!$F$14,$M335,BD$13))))</f>
        <v>1000000000000</v>
      </c>
      <c r="BE335" s="181">
        <f ca="1">IF($D335&lt;&gt;"Serviço",0,IF(AND(AUTOEVENTO="Manual",$M335=1),0,IF(OFFSET(CRONOPLE!$F$14,$M335,BE$13)="",10^12,OFFSET(CRONOPLE!$F$14,$M335,BE$13))))</f>
        <v>1000000000000</v>
      </c>
      <c r="BF335" s="181">
        <f ca="1">IF($D335&lt;&gt;"Serviço",0,IF(AND(AUTOEVENTO="Manual",$M335=1),0,IF(OFFSET(CRONOPLE!$F$14,$M335,BF$13)="",10^12,OFFSET(CRONOPLE!$F$14,$M335,BF$13))))</f>
        <v>1000000000000</v>
      </c>
      <c r="BG335" s="181">
        <f ca="1">IF($D335&lt;&gt;"Serviço",0,IF(AND(AUTOEVENTO="Manual",$M335=1),0,IF(OFFSET(CRONOPLE!$F$14,$M335,BG$13)="",10^12,OFFSET(CRONOPLE!$F$14,$M335,BG$13))))</f>
        <v>1000000000000</v>
      </c>
      <c r="BH335" s="181">
        <f ca="1">IF($D335&lt;&gt;"Serviço",0,IF(AND(AUTOEVENTO="Manual",$M335=1),0,IF(OFFSET(CRONOPLE!$F$14,$M335,BH$13)="",10^12,OFFSET(CRONOPLE!$F$14,$M335,BH$13))))</f>
        <v>1000000000000</v>
      </c>
      <c r="BI335" s="181">
        <f ca="1">IF($D335&lt;&gt;"Serviço",0,IF(AND(AUTOEVENTO="Manual",$M335=1),0,IF(OFFSET(CRONOPLE!$F$14,$M335,BI$13)="",10^12,OFFSET(CRONOPLE!$F$14,$M335,BI$13))))</f>
        <v>1000000000000</v>
      </c>
      <c r="BJ335" s="181">
        <f ca="1">IF($D335&lt;&gt;"Serviço",0,IF(AND(AUTOEVENTO="Manual",$M335=1),0,IF(OFFSET(CRONOPLE!$F$14,$M335,BJ$13)="",10^12,OFFSET(CRONOPLE!$F$14,$M335,BJ$13))))</f>
        <v>1000000000000</v>
      </c>
      <c r="BK335" s="181">
        <f ca="1">IF($D335&lt;&gt;"Serviço",0,IF(AND(AUTOEVENTO="Manual",$M335=1),0,IF(OFFSET(CRONOPLE!$F$14,$M335,BK$13)="",10^12,OFFSET(CRONOPLE!$F$14,$M335,BK$13))))</f>
        <v>1000000000000</v>
      </c>
      <c r="BL335" s="181">
        <f ca="1">IF($D335&lt;&gt;"Serviço",0,IF(AND(AUTOEVENTO="Manual",$M335=1),0,IF(OFFSET(CRONOPLE!$F$14,$M335,BL$13)="",10^12,OFFSET(CRONOPLE!$F$14,$M335,BL$13))))</f>
        <v>1000000000000</v>
      </c>
      <c r="BM335" s="181">
        <f ca="1">IF($D335&lt;&gt;"Serviço",0,IF(AND(AUTOEVENTO="Manual",$M335=1),0,IF(OFFSET(CRONOPLE!$F$14,$M335,BM$13)="",10^12,OFFSET(CRONOPLE!$F$14,$M335,BM$13))))</f>
        <v>1000000000000</v>
      </c>
      <c r="BN335" s="181">
        <f ca="1">IF($D335&lt;&gt;"Serviço",0,IF(AND(AUTOEVENTO="Manual",$M335=1),0,IF(OFFSET(CRONOPLE!$F$14,$M335,BN$13)="",10^12,OFFSET(CRONOPLE!$F$14,$M335,BN$13))))</f>
        <v>1000000000000</v>
      </c>
      <c r="BO335" s="181">
        <f ca="1">IF($D335&lt;&gt;"Serviço",0,IF(AND(AUTOEVENTO="Manual",$M335=1),0,IF(OFFSET(CRONOPLE!$F$14,$M335,BO$13)="",10^12,OFFSET(CRONOPLE!$F$14,$M335,BO$13))))</f>
        <v>1000000000000</v>
      </c>
      <c r="BP335" s="181">
        <f ca="1">IF($D335&lt;&gt;"Serviço",0,IF(AND(AUTOEVENTO="Manual",$M335=1),0,IF(OFFSET(CRONOPLE!$F$14,$M335,BP$13)="",10^12,OFFSET(CRONOPLE!$F$14,$M335,BP$13))))</f>
        <v>1000000000000</v>
      </c>
      <c r="BQ335" s="181">
        <f ca="1">IF($D335&lt;&gt;"Serviço",0,IF(AND(AUTOEVENTO="Manual",$M335=1),0,IF(OFFSET(CRONOPLE!$F$14,$M335,BQ$13)="",10^12,OFFSET(CRONOPLE!$F$14,$M335,BQ$13))))</f>
        <v>1000000000000</v>
      </c>
      <c r="BR335" s="181">
        <f ca="1">IF($D335&lt;&gt;"Serviço",0,IF(AND(AUTOEVENTO="Manual",$M335=1),0,IF(OFFSET(CRONOPLE!$F$14,$M335,BR$13)="",10^12,OFFSET(CRONOPLE!$F$14,$M335,BR$13))))</f>
        <v>1000000000000</v>
      </c>
      <c r="BS335" s="181">
        <f ca="1">IF($D335&lt;&gt;"Serviço",0,IF(AND(AUTOEVENTO="Manual",$M335=1),0,IF(OFFSET(CRONOPLE!$F$14,$M335,BS$13)="",10^12,OFFSET(CRONOPLE!$F$14,$M335,BS$13))))</f>
        <v>1000000000000</v>
      </c>
      <c r="BT335" s="181">
        <f ca="1">IF($D335&lt;&gt;"Serviço",0,IF(AND(AUTOEVENTO="Manual",$M335=1),0,IF(OFFSET(CRONOPLE!$F$14,$M335,BT$13)="",10^12,OFFSET(CRONOPLE!$F$14,$M335,BT$13))))</f>
        <v>1000000000000</v>
      </c>
      <c r="BV335" s="182">
        <f ca="1">IF($D335&lt;&gt;"Serviço",0,IF(OR(AND(AUTOEVENTO="Manual",$M335=1),$M335&gt;(ROW(PLE.lastrow)-ROW(PLE.firstrow))),0,IF(OFFSET(PLE!$G$14,$M335,BV$13)="",10^12,OFFSET(PLE!$G$14,$M335,BV$13))))</f>
        <v>1000000000000</v>
      </c>
      <c r="BW335" s="182">
        <f ca="1">IF($D335&lt;&gt;"Serviço",0,IF(OR(AND(AUTOEVENTO="Manual",$M335=1),$M335&gt;(ROW(PLE.lastrow)-ROW(PLE.firstrow))),0,IF(OFFSET(PLE!$G$14,$M335,BW$13)="",10^12,OFFSET(PLE!$G$14,$M335,BW$13))))</f>
        <v>1000000000000</v>
      </c>
      <c r="BX335" s="182">
        <f ca="1">IF($D335&lt;&gt;"Serviço",0,IF(OR(AND(AUTOEVENTO="Manual",$M335=1),$M335&gt;(ROW(PLE.lastrow)-ROW(PLE.firstrow))),0,IF(OFFSET(PLE!$G$14,$M335,BX$13)="",10^12,OFFSET(PLE!$G$14,$M335,BX$13))))</f>
        <v>1000000000000</v>
      </c>
      <c r="BY335" s="182">
        <f ca="1">IF($D335&lt;&gt;"Serviço",0,IF(OR(AND(AUTOEVENTO="Manual",$M335=1),$M335&gt;(ROW(PLE.lastrow)-ROW(PLE.firstrow))),0,IF(OFFSET(PLE!$G$14,$M335,BY$13)="",10^12,OFFSET(PLE!$G$14,$M335,BY$13))))</f>
        <v>1000000000000</v>
      </c>
      <c r="BZ335" s="182">
        <f ca="1">IF($D335&lt;&gt;"Serviço",0,IF(OR(AND(AUTOEVENTO="Manual",$M335=1),$M335&gt;(ROW(PLE.lastrow)-ROW(PLE.firstrow))),0,IF(OFFSET(PLE!$G$14,$M335,BZ$13)="",10^12,OFFSET(PLE!$G$14,$M335,BZ$13))))</f>
        <v>1000000000000</v>
      </c>
      <c r="CA335" s="182">
        <f ca="1">IF($D335&lt;&gt;"Serviço",0,IF(OR(AND(AUTOEVENTO="Manual",$M335=1),$M335&gt;(ROW(PLE.lastrow)-ROW(PLE.firstrow))),0,IF(OFFSET(PLE!$G$14,$M335,CA$13)="",10^12,OFFSET(PLE!$G$14,$M335,CA$13))))</f>
        <v>1000000000000</v>
      </c>
      <c r="CB335" s="182">
        <f ca="1">IF($D335&lt;&gt;"Serviço",0,IF(OR(AND(AUTOEVENTO="Manual",$M335=1),$M335&gt;(ROW(PLE.lastrow)-ROW(PLE.firstrow))),0,IF(OFFSET(PLE!$G$14,$M335,CB$13)="",10^12,OFFSET(PLE!$G$14,$M335,CB$13))))</f>
        <v>1000000000000</v>
      </c>
      <c r="CC335" s="182">
        <f ca="1">IF($D335&lt;&gt;"Serviço",0,IF(OR(AND(AUTOEVENTO="Manual",$M335=1),$M335&gt;(ROW(PLE.lastrow)-ROW(PLE.firstrow))),0,IF(OFFSET(PLE!$G$14,$M335,CC$13)="",10^12,OFFSET(PLE!$G$14,$M335,CC$13))))</f>
        <v>1000000000000</v>
      </c>
      <c r="CD335" s="182">
        <f ca="1">IF($D335&lt;&gt;"Serviço",0,IF(OR(AND(AUTOEVENTO="Manual",$M335=1),$M335&gt;(ROW(PLE.lastrow)-ROW(PLE.firstrow))),0,IF(OFFSET(PLE!$G$14,$M335,CD$13)="",10^12,OFFSET(PLE!$G$14,$M335,CD$13))))</f>
        <v>1000000000000</v>
      </c>
      <c r="CE335" s="182">
        <f ca="1">IF($D335&lt;&gt;"Serviço",0,IF(OR(AND(AUTOEVENTO="Manual",$M335=1),$M335&gt;(ROW(PLE.lastrow)-ROW(PLE.firstrow))),0,IF(OFFSET(PLE!$G$14,$M335,CE$13)="",10^12,OFFSET(PLE!$G$14,$M335,CE$13))))</f>
        <v>1000000000000</v>
      </c>
      <c r="CF335" s="182">
        <f ca="1">IF($D335&lt;&gt;"Serviço",0,IF(OR(AND(AUTOEVENTO="Manual",$M335=1),$M335&gt;(ROW(PLE.lastrow)-ROW(PLE.firstrow))),0,IF(OFFSET(PLE!$G$14,$M335,CF$13)="",10^12,OFFSET(PLE!$G$14,$M335,CF$13))))</f>
        <v>1000000000000</v>
      </c>
      <c r="CG335" s="182">
        <f ca="1">IF($D335&lt;&gt;"Serviço",0,IF(OR(AND(AUTOEVENTO="Manual",$M335=1),$M335&gt;(ROW(PLE.lastrow)-ROW(PLE.firstrow))),0,IF(OFFSET(PLE!$G$14,$M335,CG$13)="",10^12,OFFSET(PLE!$G$14,$M335,CG$13))))</f>
        <v>1000000000000</v>
      </c>
      <c r="CH335" s="182">
        <f ca="1">IF($D335&lt;&gt;"Serviço",0,IF(OR(AND(AUTOEVENTO="Manual",$M335=1),$M335&gt;(ROW(PLE.lastrow)-ROW(PLE.firstrow))),0,IF(OFFSET(PLE!$G$14,$M335,CH$13)="",10^12,OFFSET(PLE!$G$14,$M335,CH$13))))</f>
        <v>1000000000000</v>
      </c>
      <c r="CI335" s="182">
        <f ca="1">IF($D335&lt;&gt;"Serviço",0,IF(OR(AND(AUTOEVENTO="Manual",$M335=1),$M335&gt;(ROW(PLE.lastrow)-ROW(PLE.firstrow))),0,IF(OFFSET(PLE!$G$14,$M335,CI$13)="",10^12,OFFSET(PLE!$G$14,$M335,CI$13))))</f>
        <v>1000000000000</v>
      </c>
      <c r="CJ335" s="182">
        <f ca="1">IF($D335&lt;&gt;"Serviço",0,IF(OR(AND(AUTOEVENTO="Manual",$M335=1),$M335&gt;(ROW(PLE.lastrow)-ROW(PLE.firstrow))),0,IF(OFFSET(PLE!$G$14,$M335,CJ$13)="",10^12,OFFSET(PLE!$G$14,$M335,CJ$13))))</f>
        <v>1000000000000</v>
      </c>
      <c r="CK335" s="182">
        <f ca="1">IF($D335&lt;&gt;"Serviço",0,IF(OR(AND(AUTOEVENTO="Manual",$M335=1),$M335&gt;(ROW(PLE.lastrow)-ROW(PLE.firstrow))),0,IF(OFFSET(PLE!$G$14,$M335,CK$13)="",10^12,OFFSET(PLE!$G$14,$M335,CK$13))))</f>
        <v>1000000000000</v>
      </c>
      <c r="CL335" s="182">
        <f ca="1">IF($D335&lt;&gt;"Serviço",0,IF(OR(AND(AUTOEVENTO="Manual",$M335=1),$M335&gt;(ROW(PLE.lastrow)-ROW(PLE.firstrow))),0,IF(OFFSET(PLE!$G$14,$M335,CL$13)="",10^12,OFFSET(PLE!$G$14,$M335,CL$13))))</f>
        <v>1000000000000</v>
      </c>
      <c r="CM335" s="182">
        <f ca="1">IF($D335&lt;&gt;"Serviço",0,IF(OR(AND(AUTOEVENTO="Manual",$M335=1),$M335&gt;(ROW(PLE.lastrow)-ROW(PLE.firstrow))),0,IF(OFFSET(PLE!$G$14,$M335,CM$13)="",10^12,OFFSET(PLE!$G$14,$M335,CM$13))))</f>
        <v>1000000000000</v>
      </c>
    </row>
    <row r="336" spans="1:91" ht="38.25" x14ac:dyDescent="0.2">
      <c r="A336" s="7" t="str">
        <f t="shared" ca="1" si="12"/>
        <v>304</v>
      </c>
      <c r="B336" s="7" t="str">
        <f ca="1">OFFSET(ORÇAMENTO!C$15,ROW(B336)-ROW(B$15),0)</f>
        <v>S</v>
      </c>
      <c r="C336" s="7" t="str">
        <f ca="1">OFFSET(ORÇAMENTO!L$15,ROW(C336)-ROW(C$15),0)</f>
        <v/>
      </c>
      <c r="D336" s="118" t="str">
        <f ca="1">OFFSET(ORÇAMENTO!N$15,ROW(D336)-ROW(D$15),0)</f>
        <v>Serviço</v>
      </c>
      <c r="E336" s="119" t="str">
        <f ca="1">OFFSET(ORÇAMENTO!O$15,ROW(E336)-ROW(E$15),0)</f>
        <v>-</v>
      </c>
      <c r="F336" s="172" t="str">
        <f ca="1">OFFSET(ORÇAMENTO!R$15,ROW(F336)-ROW(F$15),0)</f>
        <v>(abra o arquivo 'Referência 06-2024.xlsm)</v>
      </c>
      <c r="G336" s="173" t="str">
        <f ca="1">IF($D336&lt;&gt;"Serviço","",OFFSET(ORÇAMENTO!S$15,ROW(G336)-ROW(G$15),0))</f>
        <v>-</v>
      </c>
      <c r="H336" s="124">
        <f ca="1">IF($D336&lt;&gt;"Serviço",0,IF(ACOMPANHAMENTO="BM",ROUND(OFFSET(ORÇAMENTO!AJ$15,ROW(H336)-ROW(H$15),0),15-13*ORÇAMENTO!$AF$7),SUMPRODUCT(($Q$12:$AI$12&lt;&gt;"")*ROUND($Q336:$AI336,15-13*ORÇAMENTO!$AF$7))))</f>
        <v>8</v>
      </c>
      <c r="I336" s="561" t="s">
        <v>1107</v>
      </c>
      <c r="K336" s="174"/>
      <c r="L336" s="175" t="s">
        <v>255</v>
      </c>
      <c r="M336" s="176">
        <f ca="1">IF($D336&lt;&gt;"Serviço","",IF(AUTOEVENTO="manual",$A336,IF(ISERROR(MATCH($A336,$A$15:OFFSET($A336,-1,0),0)),MAX($M$15:OFFSET(M336,-1,0))+1,INDEX($M$15:OFFSET(M336,-1,0),MATCH($A336,$A$15:OFFSET($A336,-1,0),0)))))</f>
        <v>41</v>
      </c>
      <c r="N336" s="177" t="str">
        <f ca="1">IF($D336&lt;&gt;"Serviço","",IF(AUTOEVENTO="Manual",IF($A336=0,"&lt;-- defina o número do agrupador",OFFSET(EVENTOS!$D$14,$A336,0)),OFFSET($F$15,$A336,0)))</f>
        <v>INSTALAÇÃO SANITÁRIA - TUBULAÇÕES E CONEXÕES</v>
      </c>
      <c r="O336" s="178"/>
      <c r="Q336" s="178">
        <v>8</v>
      </c>
      <c r="R336" s="179"/>
      <c r="S336" s="179"/>
      <c r="T336" s="179"/>
      <c r="U336" s="179"/>
      <c r="V336" s="179"/>
      <c r="W336" s="179"/>
      <c r="X336" s="179"/>
      <c r="Y336" s="179"/>
      <c r="Z336" s="180"/>
      <c r="AA336" s="179"/>
      <c r="AB336" s="179"/>
      <c r="AC336" s="179"/>
      <c r="AD336" s="179"/>
      <c r="AE336" s="179"/>
      <c r="AF336" s="179"/>
      <c r="AG336" s="179"/>
      <c r="AH336" s="180"/>
      <c r="AJ336" s="544">
        <f ca="1">IF(AND($D336="Serviço",AJ$12&lt;&gt;0,$H336&gt;0,OR(AUTOEVENTO&lt;&gt;"manual",$M336&lt;&gt;1)),
IF(Import.TipoArredondamento&lt;&gt;"TransfereGOV",
ROUND(OFFSET($P336,0,AJ$13),15-13*ORÇAMENTO!$AF$7)/$H336*OFFSET(ORÇAMENTO!$X$15,ROW(AJ336)-ROW(AJ$15),0),
ROUND(ROUND(OFFSET($P336,0,AJ$13),15-13*ORÇAMENTO!$AF$7)*OFFSET(ORÇAMENTO!$W$15,ROW(AJ336)-ROW(AJ$15),0),15-13*ORÇAMENTO!$AF$11)),0)</f>
        <v>0</v>
      </c>
      <c r="AK336" s="545">
        <f ca="1">IF(AND($D336="Serviço",AK$12&lt;&gt;0,$H336&gt;0,OR(AUTOEVENTO&lt;&gt;"manual",$M336&lt;&gt;1)),
IF(Import.TipoArredondamento&lt;&gt;"TransfereGOV",
ROUND(OFFSET($P336,0,AK$13),15-13*ORÇAMENTO!$AF$7)/$H336*OFFSET(ORÇAMENTO!$X$15,ROW(AK336)-ROW(AK$15),0),
ROUND(ROUND(OFFSET($P336,0,AK$13),15-13*ORÇAMENTO!$AF$7)*OFFSET(ORÇAMENTO!$W$15,ROW(AK336)-ROW(AK$15),0),15-13*ORÇAMENTO!$AF$11)),0)</f>
        <v>0</v>
      </c>
      <c r="AL336" s="545">
        <f ca="1">IF(AND($D336="Serviço",AL$12&lt;&gt;0,$H336&gt;0,OR(AUTOEVENTO&lt;&gt;"manual",$M336&lt;&gt;1)),
IF(Import.TipoArredondamento&lt;&gt;"TransfereGOV",
ROUND(OFFSET($P336,0,AL$13),15-13*ORÇAMENTO!$AF$7)/$H336*OFFSET(ORÇAMENTO!$X$15,ROW(AL336)-ROW(AL$15),0),
ROUND(ROUND(OFFSET($P336,0,AL$13),15-13*ORÇAMENTO!$AF$7)*OFFSET(ORÇAMENTO!$W$15,ROW(AL336)-ROW(AL$15),0),15-13*ORÇAMENTO!$AF$11)),0)</f>
        <v>0</v>
      </c>
      <c r="AM336" s="545">
        <f ca="1">IF(AND($D336="Serviço",AM$12&lt;&gt;0,$H336&gt;0,OR(AUTOEVENTO&lt;&gt;"manual",$M336&lt;&gt;1)),
IF(Import.TipoArredondamento&lt;&gt;"TransfereGOV",
ROUND(OFFSET($P336,0,AM$13),15-13*ORÇAMENTO!$AF$7)/$H336*OFFSET(ORÇAMENTO!$X$15,ROW(AM336)-ROW(AM$15),0),
ROUND(ROUND(OFFSET($P336,0,AM$13),15-13*ORÇAMENTO!$AF$7)*OFFSET(ORÇAMENTO!$W$15,ROW(AM336)-ROW(AM$15),0),15-13*ORÇAMENTO!$AF$11)),0)</f>
        <v>0</v>
      </c>
      <c r="AN336" s="545">
        <f ca="1">IF(AND($D336="Serviço",AN$12&lt;&gt;0,$H336&gt;0,OR(AUTOEVENTO&lt;&gt;"manual",$M336&lt;&gt;1)),
IF(Import.TipoArredondamento&lt;&gt;"TransfereGOV",
ROUND(OFFSET($P336,0,AN$13),15-13*ORÇAMENTO!$AF$7)/$H336*OFFSET(ORÇAMENTO!$X$15,ROW(AN336)-ROW(AN$15),0),
ROUND(ROUND(OFFSET($P336,0,AN$13),15-13*ORÇAMENTO!$AF$7)*OFFSET(ORÇAMENTO!$W$15,ROW(AN336)-ROW(AN$15),0),15-13*ORÇAMENTO!$AF$11)),0)</f>
        <v>0</v>
      </c>
      <c r="AO336" s="545">
        <f ca="1">IF(AND($D336="Serviço",AO$12&lt;&gt;0,$H336&gt;0,OR(AUTOEVENTO&lt;&gt;"manual",$M336&lt;&gt;1)),
IF(Import.TipoArredondamento&lt;&gt;"TransfereGOV",
ROUND(OFFSET($P336,0,AO$13),15-13*ORÇAMENTO!$AF$7)/$H336*OFFSET(ORÇAMENTO!$X$15,ROW(AO336)-ROW(AO$15),0),
ROUND(ROUND(OFFSET($P336,0,AO$13),15-13*ORÇAMENTO!$AF$7)*OFFSET(ORÇAMENTO!$W$15,ROW(AO336)-ROW(AO$15),0),15-13*ORÇAMENTO!$AF$11)),0)</f>
        <v>0</v>
      </c>
      <c r="AP336" s="545">
        <f ca="1">IF(AND($D336="Serviço",AP$12&lt;&gt;0,$H336&gt;0,OR(AUTOEVENTO&lt;&gt;"manual",$M336&lt;&gt;1)),
IF(Import.TipoArredondamento&lt;&gt;"TransfereGOV",
ROUND(OFFSET($P336,0,AP$13),15-13*ORÇAMENTO!$AF$7)/$H336*OFFSET(ORÇAMENTO!$X$15,ROW(AP336)-ROW(AP$15),0),
ROUND(ROUND(OFFSET($P336,0,AP$13),15-13*ORÇAMENTO!$AF$7)*OFFSET(ORÇAMENTO!$W$15,ROW(AP336)-ROW(AP$15),0),15-13*ORÇAMENTO!$AF$11)),0)</f>
        <v>0</v>
      </c>
      <c r="AQ336" s="545">
        <f ca="1">IF(AND($D336="Serviço",AQ$12&lt;&gt;0,$H336&gt;0,OR(AUTOEVENTO&lt;&gt;"manual",$M336&lt;&gt;1)),
IF(Import.TipoArredondamento&lt;&gt;"TransfereGOV",
ROUND(OFFSET($P336,0,AQ$13),15-13*ORÇAMENTO!$AF$7)/$H336*OFFSET(ORÇAMENTO!$X$15,ROW(AQ336)-ROW(AQ$15),0),
ROUND(ROUND(OFFSET($P336,0,AQ$13),15-13*ORÇAMENTO!$AF$7)*OFFSET(ORÇAMENTO!$W$15,ROW(AQ336)-ROW(AQ$15),0),15-13*ORÇAMENTO!$AF$11)),0)</f>
        <v>0</v>
      </c>
      <c r="AR336" s="545">
        <f ca="1">IF(AND($D336="Serviço",AR$12&lt;&gt;0,$H336&gt;0,OR(AUTOEVENTO&lt;&gt;"manual",$M336&lt;&gt;1)),
IF(Import.TipoArredondamento&lt;&gt;"TransfereGOV",
ROUND(OFFSET($P336,0,AR$13),15-13*ORÇAMENTO!$AF$7)/$H336*OFFSET(ORÇAMENTO!$X$15,ROW(AR336)-ROW(AR$15),0),
ROUND(ROUND(OFFSET($P336,0,AR$13),15-13*ORÇAMENTO!$AF$7)*OFFSET(ORÇAMENTO!$W$15,ROW(AR336)-ROW(AR$15),0),15-13*ORÇAMENTO!$AF$11)),0)</f>
        <v>0</v>
      </c>
      <c r="AS336" s="546">
        <f ca="1">IF(AND($D336="Serviço",AS$12&lt;&gt;0,$H336&gt;0,OR(AUTOEVENTO&lt;&gt;"manual",$M336&lt;&gt;1)),
IF(Import.TipoArredondamento&lt;&gt;"TransfereGOV",
ROUND(OFFSET($P336,0,AS$13),15-13*ORÇAMENTO!$AF$7)/$H336*OFFSET(ORÇAMENTO!$X$15,ROW(AS336)-ROW(AS$15),0),
ROUND(ROUND(OFFSET($P336,0,AS$13),15-13*ORÇAMENTO!$AF$7)*OFFSET(ORÇAMENTO!$W$15,ROW(AS336)-ROW(AS$15),0),15-13*ORÇAMENTO!$AF$11)),0)</f>
        <v>0</v>
      </c>
      <c r="AT336" s="545">
        <f ca="1">IF(AND($D336="Serviço",AT$12&lt;&gt;0,$H336&gt;0,OR(AUTOEVENTO&lt;&gt;"manual",$M336&lt;&gt;1)),
IF(Import.TipoArredondamento&lt;&gt;"TransfereGOV",
ROUND(OFFSET($P336,0,AT$13),15-13*ORÇAMENTO!$AF$7)/$H336*OFFSET(ORÇAMENTO!$X$15,ROW(AT336)-ROW(AT$15),0),
ROUND(ROUND(OFFSET($P336,0,AT$13),15-13*ORÇAMENTO!$AF$7)*OFFSET(ORÇAMENTO!$W$15,ROW(AT336)-ROW(AT$15),0),15-13*ORÇAMENTO!$AF$11)),0)</f>
        <v>0</v>
      </c>
      <c r="AU336" s="545">
        <f ca="1">IF(AND($D336="Serviço",AU$12&lt;&gt;0,$H336&gt;0,OR(AUTOEVENTO&lt;&gt;"manual",$M336&lt;&gt;1)),
IF(Import.TipoArredondamento&lt;&gt;"TransfereGOV",
ROUND(OFFSET($P336,0,AU$13),15-13*ORÇAMENTO!$AF$7)/$H336*OFFSET(ORÇAMENTO!$X$15,ROW(AU336)-ROW(AU$15),0),
ROUND(ROUND(OFFSET($P336,0,AU$13),15-13*ORÇAMENTO!$AF$7)*OFFSET(ORÇAMENTO!$W$15,ROW(AU336)-ROW(AU$15),0),15-13*ORÇAMENTO!$AF$11)),0)</f>
        <v>0</v>
      </c>
      <c r="AV336" s="545">
        <f ca="1">IF(AND($D336="Serviço",AV$12&lt;&gt;0,$H336&gt;0,OR(AUTOEVENTO&lt;&gt;"manual",$M336&lt;&gt;1)),
IF(Import.TipoArredondamento&lt;&gt;"TransfereGOV",
ROUND(OFFSET($P336,0,AV$13),15-13*ORÇAMENTO!$AF$7)/$H336*OFFSET(ORÇAMENTO!$X$15,ROW(AV336)-ROW(AV$15),0),
ROUND(ROUND(OFFSET($P336,0,AV$13),15-13*ORÇAMENTO!$AF$7)*OFFSET(ORÇAMENTO!$W$15,ROW(AV336)-ROW(AV$15),0),15-13*ORÇAMENTO!$AF$11)),0)</f>
        <v>0</v>
      </c>
      <c r="AW336" s="545">
        <f ca="1">IF(AND($D336="Serviço",AW$12&lt;&gt;0,$H336&gt;0,OR(AUTOEVENTO&lt;&gt;"manual",$M336&lt;&gt;1)),
IF(Import.TipoArredondamento&lt;&gt;"TransfereGOV",
ROUND(OFFSET($P336,0,AW$13),15-13*ORÇAMENTO!$AF$7)/$H336*OFFSET(ORÇAMENTO!$X$15,ROW(AW336)-ROW(AW$15),0),
ROUND(ROUND(OFFSET($P336,0,AW$13),15-13*ORÇAMENTO!$AF$7)*OFFSET(ORÇAMENTO!$W$15,ROW(AW336)-ROW(AW$15),0),15-13*ORÇAMENTO!$AF$11)),0)</f>
        <v>0</v>
      </c>
      <c r="AX336" s="545">
        <f ca="1">IF(AND($D336="Serviço",AX$12&lt;&gt;0,$H336&gt;0,OR(AUTOEVENTO&lt;&gt;"manual",$M336&lt;&gt;1)),
IF(Import.TipoArredondamento&lt;&gt;"TransfereGOV",
ROUND(OFFSET($P336,0,AX$13),15-13*ORÇAMENTO!$AF$7)/$H336*OFFSET(ORÇAMENTO!$X$15,ROW(AX336)-ROW(AX$15),0),
ROUND(ROUND(OFFSET($P336,0,AX$13),15-13*ORÇAMENTO!$AF$7)*OFFSET(ORÇAMENTO!$W$15,ROW(AX336)-ROW(AX$15),0),15-13*ORÇAMENTO!$AF$11)),0)</f>
        <v>0</v>
      </c>
      <c r="AY336" s="545">
        <f ca="1">IF(AND($D336="Serviço",AY$12&lt;&gt;0,$H336&gt;0,OR(AUTOEVENTO&lt;&gt;"manual",$M336&lt;&gt;1)),
IF(Import.TipoArredondamento&lt;&gt;"TransfereGOV",
ROUND(OFFSET($P336,0,AY$13),15-13*ORÇAMENTO!$AF$7)/$H336*OFFSET(ORÇAMENTO!$X$15,ROW(AY336)-ROW(AY$15),0),
ROUND(ROUND(OFFSET($P336,0,AY$13),15-13*ORÇAMENTO!$AF$7)*OFFSET(ORÇAMENTO!$W$15,ROW(AY336)-ROW(AY$15),0),15-13*ORÇAMENTO!$AF$11)),0)</f>
        <v>0</v>
      </c>
      <c r="AZ336" s="545">
        <f ca="1">IF(AND($D336="Serviço",AZ$12&lt;&gt;0,$H336&gt;0,OR(AUTOEVENTO&lt;&gt;"manual",$M336&lt;&gt;1)),
IF(Import.TipoArredondamento&lt;&gt;"TransfereGOV",
ROUND(OFFSET($P336,0,AZ$13),15-13*ORÇAMENTO!$AF$7)/$H336*OFFSET(ORÇAMENTO!$X$15,ROW(AZ336)-ROW(AZ$15),0),
ROUND(ROUND(OFFSET($P336,0,AZ$13),15-13*ORÇAMENTO!$AF$7)*OFFSET(ORÇAMENTO!$W$15,ROW(AZ336)-ROW(AZ$15),0),15-13*ORÇAMENTO!$AF$11)),0)</f>
        <v>0</v>
      </c>
      <c r="BA336" s="546">
        <f ca="1">IF(AND($D336="Serviço",BA$12&lt;&gt;0,$H336&gt;0,OR(AUTOEVENTO&lt;&gt;"manual",$M336&lt;&gt;1)),
IF(Import.TipoArredondamento&lt;&gt;"TransfereGOV",
ROUND(OFFSET($P336,0,BA$13),15-13*ORÇAMENTO!$AF$7)/$H336*OFFSET(ORÇAMENTO!$X$15,ROW(BA336)-ROW(BA$15),0),
ROUND(ROUND(OFFSET($P336,0,BA$13),15-13*ORÇAMENTO!$AF$7)*OFFSET(ORÇAMENTO!$W$15,ROW(BA336)-ROW(BA$15),0),15-13*ORÇAMENTO!$AF$11)),0)</f>
        <v>0</v>
      </c>
      <c r="BC336" s="181">
        <f ca="1">IF($D336&lt;&gt;"Serviço",0,IF(AND(AUTOEVENTO="Manual",$M336=1),0,IF(OFFSET(CRONOPLE!$F$14,$M336,BC$13)="",10^12,OFFSET(CRONOPLE!$F$14,$M336,BC$13))))</f>
        <v>9</v>
      </c>
      <c r="BD336" s="181">
        <f ca="1">IF($D336&lt;&gt;"Serviço",0,IF(AND(AUTOEVENTO="Manual",$M336=1),0,IF(OFFSET(CRONOPLE!$F$14,$M336,BD$13)="",10^12,OFFSET(CRONOPLE!$F$14,$M336,BD$13))))</f>
        <v>1000000000000</v>
      </c>
      <c r="BE336" s="181">
        <f ca="1">IF($D336&lt;&gt;"Serviço",0,IF(AND(AUTOEVENTO="Manual",$M336=1),0,IF(OFFSET(CRONOPLE!$F$14,$M336,BE$13)="",10^12,OFFSET(CRONOPLE!$F$14,$M336,BE$13))))</f>
        <v>1000000000000</v>
      </c>
      <c r="BF336" s="181">
        <f ca="1">IF($D336&lt;&gt;"Serviço",0,IF(AND(AUTOEVENTO="Manual",$M336=1),0,IF(OFFSET(CRONOPLE!$F$14,$M336,BF$13)="",10^12,OFFSET(CRONOPLE!$F$14,$M336,BF$13))))</f>
        <v>1000000000000</v>
      </c>
      <c r="BG336" s="181">
        <f ca="1">IF($D336&lt;&gt;"Serviço",0,IF(AND(AUTOEVENTO="Manual",$M336=1),0,IF(OFFSET(CRONOPLE!$F$14,$M336,BG$13)="",10^12,OFFSET(CRONOPLE!$F$14,$M336,BG$13))))</f>
        <v>1000000000000</v>
      </c>
      <c r="BH336" s="181">
        <f ca="1">IF($D336&lt;&gt;"Serviço",0,IF(AND(AUTOEVENTO="Manual",$M336=1),0,IF(OFFSET(CRONOPLE!$F$14,$M336,BH$13)="",10^12,OFFSET(CRONOPLE!$F$14,$M336,BH$13))))</f>
        <v>1000000000000</v>
      </c>
      <c r="BI336" s="181">
        <f ca="1">IF($D336&lt;&gt;"Serviço",0,IF(AND(AUTOEVENTO="Manual",$M336=1),0,IF(OFFSET(CRONOPLE!$F$14,$M336,BI$13)="",10^12,OFFSET(CRONOPLE!$F$14,$M336,BI$13))))</f>
        <v>1000000000000</v>
      </c>
      <c r="BJ336" s="181">
        <f ca="1">IF($D336&lt;&gt;"Serviço",0,IF(AND(AUTOEVENTO="Manual",$M336=1),0,IF(OFFSET(CRONOPLE!$F$14,$M336,BJ$13)="",10^12,OFFSET(CRONOPLE!$F$14,$M336,BJ$13))))</f>
        <v>1000000000000</v>
      </c>
      <c r="BK336" s="181">
        <f ca="1">IF($D336&lt;&gt;"Serviço",0,IF(AND(AUTOEVENTO="Manual",$M336=1),0,IF(OFFSET(CRONOPLE!$F$14,$M336,BK$13)="",10^12,OFFSET(CRONOPLE!$F$14,$M336,BK$13))))</f>
        <v>1000000000000</v>
      </c>
      <c r="BL336" s="181">
        <f ca="1">IF($D336&lt;&gt;"Serviço",0,IF(AND(AUTOEVENTO="Manual",$M336=1),0,IF(OFFSET(CRONOPLE!$F$14,$M336,BL$13)="",10^12,OFFSET(CRONOPLE!$F$14,$M336,BL$13))))</f>
        <v>1000000000000</v>
      </c>
      <c r="BM336" s="181">
        <f ca="1">IF($D336&lt;&gt;"Serviço",0,IF(AND(AUTOEVENTO="Manual",$M336=1),0,IF(OFFSET(CRONOPLE!$F$14,$M336,BM$13)="",10^12,OFFSET(CRONOPLE!$F$14,$M336,BM$13))))</f>
        <v>1000000000000</v>
      </c>
      <c r="BN336" s="181">
        <f ca="1">IF($D336&lt;&gt;"Serviço",0,IF(AND(AUTOEVENTO="Manual",$M336=1),0,IF(OFFSET(CRONOPLE!$F$14,$M336,BN$13)="",10^12,OFFSET(CRONOPLE!$F$14,$M336,BN$13))))</f>
        <v>1000000000000</v>
      </c>
      <c r="BO336" s="181">
        <f ca="1">IF($D336&lt;&gt;"Serviço",0,IF(AND(AUTOEVENTO="Manual",$M336=1),0,IF(OFFSET(CRONOPLE!$F$14,$M336,BO$13)="",10^12,OFFSET(CRONOPLE!$F$14,$M336,BO$13))))</f>
        <v>1000000000000</v>
      </c>
      <c r="BP336" s="181">
        <f ca="1">IF($D336&lt;&gt;"Serviço",0,IF(AND(AUTOEVENTO="Manual",$M336=1),0,IF(OFFSET(CRONOPLE!$F$14,$M336,BP$13)="",10^12,OFFSET(CRONOPLE!$F$14,$M336,BP$13))))</f>
        <v>1000000000000</v>
      </c>
      <c r="BQ336" s="181">
        <f ca="1">IF($D336&lt;&gt;"Serviço",0,IF(AND(AUTOEVENTO="Manual",$M336=1),0,IF(OFFSET(CRONOPLE!$F$14,$M336,BQ$13)="",10^12,OFFSET(CRONOPLE!$F$14,$M336,BQ$13))))</f>
        <v>1000000000000</v>
      </c>
      <c r="BR336" s="181">
        <f ca="1">IF($D336&lt;&gt;"Serviço",0,IF(AND(AUTOEVENTO="Manual",$M336=1),0,IF(OFFSET(CRONOPLE!$F$14,$M336,BR$13)="",10^12,OFFSET(CRONOPLE!$F$14,$M336,BR$13))))</f>
        <v>1000000000000</v>
      </c>
      <c r="BS336" s="181">
        <f ca="1">IF($D336&lt;&gt;"Serviço",0,IF(AND(AUTOEVENTO="Manual",$M336=1),0,IF(OFFSET(CRONOPLE!$F$14,$M336,BS$13)="",10^12,OFFSET(CRONOPLE!$F$14,$M336,BS$13))))</f>
        <v>1000000000000</v>
      </c>
      <c r="BT336" s="181">
        <f ca="1">IF($D336&lt;&gt;"Serviço",0,IF(AND(AUTOEVENTO="Manual",$M336=1),0,IF(OFFSET(CRONOPLE!$F$14,$M336,BT$13)="",10^12,OFFSET(CRONOPLE!$F$14,$M336,BT$13))))</f>
        <v>1000000000000</v>
      </c>
      <c r="BV336" s="182">
        <f ca="1">IF($D336&lt;&gt;"Serviço",0,IF(OR(AND(AUTOEVENTO="Manual",$M336=1),$M336&gt;(ROW(PLE.lastrow)-ROW(PLE.firstrow))),0,IF(OFFSET(PLE!$G$14,$M336,BV$13)="",10^12,OFFSET(PLE!$G$14,$M336,BV$13))))</f>
        <v>1000000000000</v>
      </c>
      <c r="BW336" s="182">
        <f ca="1">IF($D336&lt;&gt;"Serviço",0,IF(OR(AND(AUTOEVENTO="Manual",$M336=1),$M336&gt;(ROW(PLE.lastrow)-ROW(PLE.firstrow))),0,IF(OFFSET(PLE!$G$14,$M336,BW$13)="",10^12,OFFSET(PLE!$G$14,$M336,BW$13))))</f>
        <v>1000000000000</v>
      </c>
      <c r="BX336" s="182">
        <f ca="1">IF($D336&lt;&gt;"Serviço",0,IF(OR(AND(AUTOEVENTO="Manual",$M336=1),$M336&gt;(ROW(PLE.lastrow)-ROW(PLE.firstrow))),0,IF(OFFSET(PLE!$G$14,$M336,BX$13)="",10^12,OFFSET(PLE!$G$14,$M336,BX$13))))</f>
        <v>1000000000000</v>
      </c>
      <c r="BY336" s="182">
        <f ca="1">IF($D336&lt;&gt;"Serviço",0,IF(OR(AND(AUTOEVENTO="Manual",$M336=1),$M336&gt;(ROW(PLE.lastrow)-ROW(PLE.firstrow))),0,IF(OFFSET(PLE!$G$14,$M336,BY$13)="",10^12,OFFSET(PLE!$G$14,$M336,BY$13))))</f>
        <v>1000000000000</v>
      </c>
      <c r="BZ336" s="182">
        <f ca="1">IF($D336&lt;&gt;"Serviço",0,IF(OR(AND(AUTOEVENTO="Manual",$M336=1),$M336&gt;(ROW(PLE.lastrow)-ROW(PLE.firstrow))),0,IF(OFFSET(PLE!$G$14,$M336,BZ$13)="",10^12,OFFSET(PLE!$G$14,$M336,BZ$13))))</f>
        <v>1000000000000</v>
      </c>
      <c r="CA336" s="182">
        <f ca="1">IF($D336&lt;&gt;"Serviço",0,IF(OR(AND(AUTOEVENTO="Manual",$M336=1),$M336&gt;(ROW(PLE.lastrow)-ROW(PLE.firstrow))),0,IF(OFFSET(PLE!$G$14,$M336,CA$13)="",10^12,OFFSET(PLE!$G$14,$M336,CA$13))))</f>
        <v>1000000000000</v>
      </c>
      <c r="CB336" s="182">
        <f ca="1">IF($D336&lt;&gt;"Serviço",0,IF(OR(AND(AUTOEVENTO="Manual",$M336=1),$M336&gt;(ROW(PLE.lastrow)-ROW(PLE.firstrow))),0,IF(OFFSET(PLE!$G$14,$M336,CB$13)="",10^12,OFFSET(PLE!$G$14,$M336,CB$13))))</f>
        <v>1000000000000</v>
      </c>
      <c r="CC336" s="182">
        <f ca="1">IF($D336&lt;&gt;"Serviço",0,IF(OR(AND(AUTOEVENTO="Manual",$M336=1),$M336&gt;(ROW(PLE.lastrow)-ROW(PLE.firstrow))),0,IF(OFFSET(PLE!$G$14,$M336,CC$13)="",10^12,OFFSET(PLE!$G$14,$M336,CC$13))))</f>
        <v>1000000000000</v>
      </c>
      <c r="CD336" s="182">
        <f ca="1">IF($D336&lt;&gt;"Serviço",0,IF(OR(AND(AUTOEVENTO="Manual",$M336=1),$M336&gt;(ROW(PLE.lastrow)-ROW(PLE.firstrow))),0,IF(OFFSET(PLE!$G$14,$M336,CD$13)="",10^12,OFFSET(PLE!$G$14,$M336,CD$13))))</f>
        <v>1000000000000</v>
      </c>
      <c r="CE336" s="182">
        <f ca="1">IF($D336&lt;&gt;"Serviço",0,IF(OR(AND(AUTOEVENTO="Manual",$M336=1),$M336&gt;(ROW(PLE.lastrow)-ROW(PLE.firstrow))),0,IF(OFFSET(PLE!$G$14,$M336,CE$13)="",10^12,OFFSET(PLE!$G$14,$M336,CE$13))))</f>
        <v>1000000000000</v>
      </c>
      <c r="CF336" s="182">
        <f ca="1">IF($D336&lt;&gt;"Serviço",0,IF(OR(AND(AUTOEVENTO="Manual",$M336=1),$M336&gt;(ROW(PLE.lastrow)-ROW(PLE.firstrow))),0,IF(OFFSET(PLE!$G$14,$M336,CF$13)="",10^12,OFFSET(PLE!$G$14,$M336,CF$13))))</f>
        <v>1000000000000</v>
      </c>
      <c r="CG336" s="182">
        <f ca="1">IF($D336&lt;&gt;"Serviço",0,IF(OR(AND(AUTOEVENTO="Manual",$M336=1),$M336&gt;(ROW(PLE.lastrow)-ROW(PLE.firstrow))),0,IF(OFFSET(PLE!$G$14,$M336,CG$13)="",10^12,OFFSET(PLE!$G$14,$M336,CG$13))))</f>
        <v>1000000000000</v>
      </c>
      <c r="CH336" s="182">
        <f ca="1">IF($D336&lt;&gt;"Serviço",0,IF(OR(AND(AUTOEVENTO="Manual",$M336=1),$M336&gt;(ROW(PLE.lastrow)-ROW(PLE.firstrow))),0,IF(OFFSET(PLE!$G$14,$M336,CH$13)="",10^12,OFFSET(PLE!$G$14,$M336,CH$13))))</f>
        <v>1000000000000</v>
      </c>
      <c r="CI336" s="182">
        <f ca="1">IF($D336&lt;&gt;"Serviço",0,IF(OR(AND(AUTOEVENTO="Manual",$M336=1),$M336&gt;(ROW(PLE.lastrow)-ROW(PLE.firstrow))),0,IF(OFFSET(PLE!$G$14,$M336,CI$13)="",10^12,OFFSET(PLE!$G$14,$M336,CI$13))))</f>
        <v>1000000000000</v>
      </c>
      <c r="CJ336" s="182">
        <f ca="1">IF($D336&lt;&gt;"Serviço",0,IF(OR(AND(AUTOEVENTO="Manual",$M336=1),$M336&gt;(ROW(PLE.lastrow)-ROW(PLE.firstrow))),0,IF(OFFSET(PLE!$G$14,$M336,CJ$13)="",10^12,OFFSET(PLE!$G$14,$M336,CJ$13))))</f>
        <v>1000000000000</v>
      </c>
      <c r="CK336" s="182">
        <f ca="1">IF($D336&lt;&gt;"Serviço",0,IF(OR(AND(AUTOEVENTO="Manual",$M336=1),$M336&gt;(ROW(PLE.lastrow)-ROW(PLE.firstrow))),0,IF(OFFSET(PLE!$G$14,$M336,CK$13)="",10^12,OFFSET(PLE!$G$14,$M336,CK$13))))</f>
        <v>1000000000000</v>
      </c>
      <c r="CL336" s="182">
        <f ca="1">IF($D336&lt;&gt;"Serviço",0,IF(OR(AND(AUTOEVENTO="Manual",$M336=1),$M336&gt;(ROW(PLE.lastrow)-ROW(PLE.firstrow))),0,IF(OFFSET(PLE!$G$14,$M336,CL$13)="",10^12,OFFSET(PLE!$G$14,$M336,CL$13))))</f>
        <v>1000000000000</v>
      </c>
      <c r="CM336" s="182">
        <f ca="1">IF($D336&lt;&gt;"Serviço",0,IF(OR(AND(AUTOEVENTO="Manual",$M336=1),$M336&gt;(ROW(PLE.lastrow)-ROW(PLE.firstrow))),0,IF(OFFSET(PLE!$G$14,$M336,CM$13)="",10^12,OFFSET(PLE!$G$14,$M336,CM$13))))</f>
        <v>1000000000000</v>
      </c>
    </row>
    <row r="337" spans="1:91" ht="25.5" x14ac:dyDescent="0.2">
      <c r="A337" s="7" t="str">
        <f t="shared" ca="1" si="12"/>
        <v>304</v>
      </c>
      <c r="B337" s="7" t="str">
        <f ca="1">OFFSET(ORÇAMENTO!C$15,ROW(B337)-ROW(B$15),0)</f>
        <v>S</v>
      </c>
      <c r="C337" s="7" t="str">
        <f ca="1">OFFSET(ORÇAMENTO!L$15,ROW(C337)-ROW(C$15),0)</f>
        <v/>
      </c>
      <c r="D337" s="118" t="str">
        <f ca="1">OFFSET(ORÇAMENTO!N$15,ROW(D337)-ROW(D$15),0)</f>
        <v>Serviço</v>
      </c>
      <c r="E337" s="119" t="str">
        <f ca="1">OFFSET(ORÇAMENTO!O$15,ROW(E337)-ROW(E$15),0)</f>
        <v>-</v>
      </c>
      <c r="F337" s="172" t="str">
        <f ca="1">OFFSET(ORÇAMENTO!R$15,ROW(F337)-ROW(F$15),0)</f>
        <v>(abra o arquivo 'Referência 06-2024.xlsm)</v>
      </c>
      <c r="G337" s="173" t="str">
        <f ca="1">IF($D337&lt;&gt;"Serviço","",OFFSET(ORÇAMENTO!S$15,ROW(G337)-ROW(G$15),0))</f>
        <v>-</v>
      </c>
      <c r="H337" s="124">
        <f ca="1">IF($D337&lt;&gt;"Serviço",0,IF(ACOMPANHAMENTO="BM",ROUND(OFFSET(ORÇAMENTO!AJ$15,ROW(H337)-ROW(H$15),0),15-13*ORÇAMENTO!$AF$7),SUMPRODUCT(($Q$12:$AI$12&lt;&gt;"")*ROUND($Q337:$AI337,15-13*ORÇAMENTO!$AF$7))))</f>
        <v>5</v>
      </c>
      <c r="I337" s="561" t="s">
        <v>1107</v>
      </c>
      <c r="K337" s="174"/>
      <c r="L337" s="175" t="s">
        <v>255</v>
      </c>
      <c r="M337" s="176">
        <f ca="1">IF($D337&lt;&gt;"Serviço","",IF(AUTOEVENTO="manual",$A337,IF(ISERROR(MATCH($A337,$A$15:OFFSET($A337,-1,0),0)),MAX($M$15:OFFSET(M337,-1,0))+1,INDEX($M$15:OFFSET(M337,-1,0),MATCH($A337,$A$15:OFFSET($A337,-1,0),0)))))</f>
        <v>41</v>
      </c>
      <c r="N337" s="177" t="str">
        <f ca="1">IF($D337&lt;&gt;"Serviço","",IF(AUTOEVENTO="Manual",IF($A337=0,"&lt;-- defina o número do agrupador",OFFSET(EVENTOS!$D$14,$A337,0)),OFFSET($F$15,$A337,0)))</f>
        <v>INSTALAÇÃO SANITÁRIA - TUBULAÇÕES E CONEXÕES</v>
      </c>
      <c r="O337" s="178"/>
      <c r="Q337" s="178">
        <v>5</v>
      </c>
      <c r="R337" s="179"/>
      <c r="S337" s="179"/>
      <c r="T337" s="179"/>
      <c r="U337" s="179"/>
      <c r="V337" s="179"/>
      <c r="W337" s="179"/>
      <c r="X337" s="179"/>
      <c r="Y337" s="179"/>
      <c r="Z337" s="180"/>
      <c r="AA337" s="179"/>
      <c r="AB337" s="179"/>
      <c r="AC337" s="179"/>
      <c r="AD337" s="179"/>
      <c r="AE337" s="179"/>
      <c r="AF337" s="179"/>
      <c r="AG337" s="179"/>
      <c r="AH337" s="180"/>
      <c r="AJ337" s="544">
        <f ca="1">IF(AND($D337="Serviço",AJ$12&lt;&gt;0,$H337&gt;0,OR(AUTOEVENTO&lt;&gt;"manual",$M337&lt;&gt;1)),
IF(Import.TipoArredondamento&lt;&gt;"TransfereGOV",
ROUND(OFFSET($P337,0,AJ$13),15-13*ORÇAMENTO!$AF$7)/$H337*OFFSET(ORÇAMENTO!$X$15,ROW(AJ337)-ROW(AJ$15),0),
ROUND(ROUND(OFFSET($P337,0,AJ$13),15-13*ORÇAMENTO!$AF$7)*OFFSET(ORÇAMENTO!$W$15,ROW(AJ337)-ROW(AJ$15),0),15-13*ORÇAMENTO!$AF$11)),0)</f>
        <v>0</v>
      </c>
      <c r="AK337" s="545">
        <f ca="1">IF(AND($D337="Serviço",AK$12&lt;&gt;0,$H337&gt;0,OR(AUTOEVENTO&lt;&gt;"manual",$M337&lt;&gt;1)),
IF(Import.TipoArredondamento&lt;&gt;"TransfereGOV",
ROUND(OFFSET($P337,0,AK$13),15-13*ORÇAMENTO!$AF$7)/$H337*OFFSET(ORÇAMENTO!$X$15,ROW(AK337)-ROW(AK$15),0),
ROUND(ROUND(OFFSET($P337,0,AK$13),15-13*ORÇAMENTO!$AF$7)*OFFSET(ORÇAMENTO!$W$15,ROW(AK337)-ROW(AK$15),0),15-13*ORÇAMENTO!$AF$11)),0)</f>
        <v>0</v>
      </c>
      <c r="AL337" s="545">
        <f ca="1">IF(AND($D337="Serviço",AL$12&lt;&gt;0,$H337&gt;0,OR(AUTOEVENTO&lt;&gt;"manual",$M337&lt;&gt;1)),
IF(Import.TipoArredondamento&lt;&gt;"TransfereGOV",
ROUND(OFFSET($P337,0,AL$13),15-13*ORÇAMENTO!$AF$7)/$H337*OFFSET(ORÇAMENTO!$X$15,ROW(AL337)-ROW(AL$15),0),
ROUND(ROUND(OFFSET($P337,0,AL$13),15-13*ORÇAMENTO!$AF$7)*OFFSET(ORÇAMENTO!$W$15,ROW(AL337)-ROW(AL$15),0),15-13*ORÇAMENTO!$AF$11)),0)</f>
        <v>0</v>
      </c>
      <c r="AM337" s="545">
        <f ca="1">IF(AND($D337="Serviço",AM$12&lt;&gt;0,$H337&gt;0,OR(AUTOEVENTO&lt;&gt;"manual",$M337&lt;&gt;1)),
IF(Import.TipoArredondamento&lt;&gt;"TransfereGOV",
ROUND(OFFSET($P337,0,AM$13),15-13*ORÇAMENTO!$AF$7)/$H337*OFFSET(ORÇAMENTO!$X$15,ROW(AM337)-ROW(AM$15),0),
ROUND(ROUND(OFFSET($P337,0,AM$13),15-13*ORÇAMENTO!$AF$7)*OFFSET(ORÇAMENTO!$W$15,ROW(AM337)-ROW(AM$15),0),15-13*ORÇAMENTO!$AF$11)),0)</f>
        <v>0</v>
      </c>
      <c r="AN337" s="545">
        <f ca="1">IF(AND($D337="Serviço",AN$12&lt;&gt;0,$H337&gt;0,OR(AUTOEVENTO&lt;&gt;"manual",$M337&lt;&gt;1)),
IF(Import.TipoArredondamento&lt;&gt;"TransfereGOV",
ROUND(OFFSET($P337,0,AN$13),15-13*ORÇAMENTO!$AF$7)/$H337*OFFSET(ORÇAMENTO!$X$15,ROW(AN337)-ROW(AN$15),0),
ROUND(ROUND(OFFSET($P337,0,AN$13),15-13*ORÇAMENTO!$AF$7)*OFFSET(ORÇAMENTO!$W$15,ROW(AN337)-ROW(AN$15),0),15-13*ORÇAMENTO!$AF$11)),0)</f>
        <v>0</v>
      </c>
      <c r="AO337" s="545">
        <f ca="1">IF(AND($D337="Serviço",AO$12&lt;&gt;0,$H337&gt;0,OR(AUTOEVENTO&lt;&gt;"manual",$M337&lt;&gt;1)),
IF(Import.TipoArredondamento&lt;&gt;"TransfereGOV",
ROUND(OFFSET($P337,0,AO$13),15-13*ORÇAMENTO!$AF$7)/$H337*OFFSET(ORÇAMENTO!$X$15,ROW(AO337)-ROW(AO$15),0),
ROUND(ROUND(OFFSET($P337,0,AO$13),15-13*ORÇAMENTO!$AF$7)*OFFSET(ORÇAMENTO!$W$15,ROW(AO337)-ROW(AO$15),0),15-13*ORÇAMENTO!$AF$11)),0)</f>
        <v>0</v>
      </c>
      <c r="AP337" s="545">
        <f ca="1">IF(AND($D337="Serviço",AP$12&lt;&gt;0,$H337&gt;0,OR(AUTOEVENTO&lt;&gt;"manual",$M337&lt;&gt;1)),
IF(Import.TipoArredondamento&lt;&gt;"TransfereGOV",
ROUND(OFFSET($P337,0,AP$13),15-13*ORÇAMENTO!$AF$7)/$H337*OFFSET(ORÇAMENTO!$X$15,ROW(AP337)-ROW(AP$15),0),
ROUND(ROUND(OFFSET($P337,0,AP$13),15-13*ORÇAMENTO!$AF$7)*OFFSET(ORÇAMENTO!$W$15,ROW(AP337)-ROW(AP$15),0),15-13*ORÇAMENTO!$AF$11)),0)</f>
        <v>0</v>
      </c>
      <c r="AQ337" s="545">
        <f ca="1">IF(AND($D337="Serviço",AQ$12&lt;&gt;0,$H337&gt;0,OR(AUTOEVENTO&lt;&gt;"manual",$M337&lt;&gt;1)),
IF(Import.TipoArredondamento&lt;&gt;"TransfereGOV",
ROUND(OFFSET($P337,0,AQ$13),15-13*ORÇAMENTO!$AF$7)/$H337*OFFSET(ORÇAMENTO!$X$15,ROW(AQ337)-ROW(AQ$15),0),
ROUND(ROUND(OFFSET($P337,0,AQ$13),15-13*ORÇAMENTO!$AF$7)*OFFSET(ORÇAMENTO!$W$15,ROW(AQ337)-ROW(AQ$15),0),15-13*ORÇAMENTO!$AF$11)),0)</f>
        <v>0</v>
      </c>
      <c r="AR337" s="545">
        <f ca="1">IF(AND($D337="Serviço",AR$12&lt;&gt;0,$H337&gt;0,OR(AUTOEVENTO&lt;&gt;"manual",$M337&lt;&gt;1)),
IF(Import.TipoArredondamento&lt;&gt;"TransfereGOV",
ROUND(OFFSET($P337,0,AR$13),15-13*ORÇAMENTO!$AF$7)/$H337*OFFSET(ORÇAMENTO!$X$15,ROW(AR337)-ROW(AR$15),0),
ROUND(ROUND(OFFSET($P337,0,AR$13),15-13*ORÇAMENTO!$AF$7)*OFFSET(ORÇAMENTO!$W$15,ROW(AR337)-ROW(AR$15),0),15-13*ORÇAMENTO!$AF$11)),0)</f>
        <v>0</v>
      </c>
      <c r="AS337" s="546">
        <f ca="1">IF(AND($D337="Serviço",AS$12&lt;&gt;0,$H337&gt;0,OR(AUTOEVENTO&lt;&gt;"manual",$M337&lt;&gt;1)),
IF(Import.TipoArredondamento&lt;&gt;"TransfereGOV",
ROUND(OFFSET($P337,0,AS$13),15-13*ORÇAMENTO!$AF$7)/$H337*OFFSET(ORÇAMENTO!$X$15,ROW(AS337)-ROW(AS$15),0),
ROUND(ROUND(OFFSET($P337,0,AS$13),15-13*ORÇAMENTO!$AF$7)*OFFSET(ORÇAMENTO!$W$15,ROW(AS337)-ROW(AS$15),0),15-13*ORÇAMENTO!$AF$11)),0)</f>
        <v>0</v>
      </c>
      <c r="AT337" s="545">
        <f ca="1">IF(AND($D337="Serviço",AT$12&lt;&gt;0,$H337&gt;0,OR(AUTOEVENTO&lt;&gt;"manual",$M337&lt;&gt;1)),
IF(Import.TipoArredondamento&lt;&gt;"TransfereGOV",
ROUND(OFFSET($P337,0,AT$13),15-13*ORÇAMENTO!$AF$7)/$H337*OFFSET(ORÇAMENTO!$X$15,ROW(AT337)-ROW(AT$15),0),
ROUND(ROUND(OFFSET($P337,0,AT$13),15-13*ORÇAMENTO!$AF$7)*OFFSET(ORÇAMENTO!$W$15,ROW(AT337)-ROW(AT$15),0),15-13*ORÇAMENTO!$AF$11)),0)</f>
        <v>0</v>
      </c>
      <c r="AU337" s="545">
        <f ca="1">IF(AND($D337="Serviço",AU$12&lt;&gt;0,$H337&gt;0,OR(AUTOEVENTO&lt;&gt;"manual",$M337&lt;&gt;1)),
IF(Import.TipoArredondamento&lt;&gt;"TransfereGOV",
ROUND(OFFSET($P337,0,AU$13),15-13*ORÇAMENTO!$AF$7)/$H337*OFFSET(ORÇAMENTO!$X$15,ROW(AU337)-ROW(AU$15),0),
ROUND(ROUND(OFFSET($P337,0,AU$13),15-13*ORÇAMENTO!$AF$7)*OFFSET(ORÇAMENTO!$W$15,ROW(AU337)-ROW(AU$15),0),15-13*ORÇAMENTO!$AF$11)),0)</f>
        <v>0</v>
      </c>
      <c r="AV337" s="545">
        <f ca="1">IF(AND($D337="Serviço",AV$12&lt;&gt;0,$H337&gt;0,OR(AUTOEVENTO&lt;&gt;"manual",$M337&lt;&gt;1)),
IF(Import.TipoArredondamento&lt;&gt;"TransfereGOV",
ROUND(OFFSET($P337,0,AV$13),15-13*ORÇAMENTO!$AF$7)/$H337*OFFSET(ORÇAMENTO!$X$15,ROW(AV337)-ROW(AV$15),0),
ROUND(ROUND(OFFSET($P337,0,AV$13),15-13*ORÇAMENTO!$AF$7)*OFFSET(ORÇAMENTO!$W$15,ROW(AV337)-ROW(AV$15),0),15-13*ORÇAMENTO!$AF$11)),0)</f>
        <v>0</v>
      </c>
      <c r="AW337" s="545">
        <f ca="1">IF(AND($D337="Serviço",AW$12&lt;&gt;0,$H337&gt;0,OR(AUTOEVENTO&lt;&gt;"manual",$M337&lt;&gt;1)),
IF(Import.TipoArredondamento&lt;&gt;"TransfereGOV",
ROUND(OFFSET($P337,0,AW$13),15-13*ORÇAMENTO!$AF$7)/$H337*OFFSET(ORÇAMENTO!$X$15,ROW(AW337)-ROW(AW$15),0),
ROUND(ROUND(OFFSET($P337,0,AW$13),15-13*ORÇAMENTO!$AF$7)*OFFSET(ORÇAMENTO!$W$15,ROW(AW337)-ROW(AW$15),0),15-13*ORÇAMENTO!$AF$11)),0)</f>
        <v>0</v>
      </c>
      <c r="AX337" s="545">
        <f ca="1">IF(AND($D337="Serviço",AX$12&lt;&gt;0,$H337&gt;0,OR(AUTOEVENTO&lt;&gt;"manual",$M337&lt;&gt;1)),
IF(Import.TipoArredondamento&lt;&gt;"TransfereGOV",
ROUND(OFFSET($P337,0,AX$13),15-13*ORÇAMENTO!$AF$7)/$H337*OFFSET(ORÇAMENTO!$X$15,ROW(AX337)-ROW(AX$15),0),
ROUND(ROUND(OFFSET($P337,0,AX$13),15-13*ORÇAMENTO!$AF$7)*OFFSET(ORÇAMENTO!$W$15,ROW(AX337)-ROW(AX$15),0),15-13*ORÇAMENTO!$AF$11)),0)</f>
        <v>0</v>
      </c>
      <c r="AY337" s="545">
        <f ca="1">IF(AND($D337="Serviço",AY$12&lt;&gt;0,$H337&gt;0,OR(AUTOEVENTO&lt;&gt;"manual",$M337&lt;&gt;1)),
IF(Import.TipoArredondamento&lt;&gt;"TransfereGOV",
ROUND(OFFSET($P337,0,AY$13),15-13*ORÇAMENTO!$AF$7)/$H337*OFFSET(ORÇAMENTO!$X$15,ROW(AY337)-ROW(AY$15),0),
ROUND(ROUND(OFFSET($P337,0,AY$13),15-13*ORÇAMENTO!$AF$7)*OFFSET(ORÇAMENTO!$W$15,ROW(AY337)-ROW(AY$15),0),15-13*ORÇAMENTO!$AF$11)),0)</f>
        <v>0</v>
      </c>
      <c r="AZ337" s="545">
        <f ca="1">IF(AND($D337="Serviço",AZ$12&lt;&gt;0,$H337&gt;0,OR(AUTOEVENTO&lt;&gt;"manual",$M337&lt;&gt;1)),
IF(Import.TipoArredondamento&lt;&gt;"TransfereGOV",
ROUND(OFFSET($P337,0,AZ$13),15-13*ORÇAMENTO!$AF$7)/$H337*OFFSET(ORÇAMENTO!$X$15,ROW(AZ337)-ROW(AZ$15),0),
ROUND(ROUND(OFFSET($P337,0,AZ$13),15-13*ORÇAMENTO!$AF$7)*OFFSET(ORÇAMENTO!$W$15,ROW(AZ337)-ROW(AZ$15),0),15-13*ORÇAMENTO!$AF$11)),0)</f>
        <v>0</v>
      </c>
      <c r="BA337" s="546">
        <f ca="1">IF(AND($D337="Serviço",BA$12&lt;&gt;0,$H337&gt;0,OR(AUTOEVENTO&lt;&gt;"manual",$M337&lt;&gt;1)),
IF(Import.TipoArredondamento&lt;&gt;"TransfereGOV",
ROUND(OFFSET($P337,0,BA$13),15-13*ORÇAMENTO!$AF$7)/$H337*OFFSET(ORÇAMENTO!$X$15,ROW(BA337)-ROW(BA$15),0),
ROUND(ROUND(OFFSET($P337,0,BA$13),15-13*ORÇAMENTO!$AF$7)*OFFSET(ORÇAMENTO!$W$15,ROW(BA337)-ROW(BA$15),0),15-13*ORÇAMENTO!$AF$11)),0)</f>
        <v>0</v>
      </c>
      <c r="BC337" s="181">
        <f ca="1">IF($D337&lt;&gt;"Serviço",0,IF(AND(AUTOEVENTO="Manual",$M337=1),0,IF(OFFSET(CRONOPLE!$F$14,$M337,BC$13)="",10^12,OFFSET(CRONOPLE!$F$14,$M337,BC$13))))</f>
        <v>9</v>
      </c>
      <c r="BD337" s="181">
        <f ca="1">IF($D337&lt;&gt;"Serviço",0,IF(AND(AUTOEVENTO="Manual",$M337=1),0,IF(OFFSET(CRONOPLE!$F$14,$M337,BD$13)="",10^12,OFFSET(CRONOPLE!$F$14,$M337,BD$13))))</f>
        <v>1000000000000</v>
      </c>
      <c r="BE337" s="181">
        <f ca="1">IF($D337&lt;&gt;"Serviço",0,IF(AND(AUTOEVENTO="Manual",$M337=1),0,IF(OFFSET(CRONOPLE!$F$14,$M337,BE$13)="",10^12,OFFSET(CRONOPLE!$F$14,$M337,BE$13))))</f>
        <v>1000000000000</v>
      </c>
      <c r="BF337" s="181">
        <f ca="1">IF($D337&lt;&gt;"Serviço",0,IF(AND(AUTOEVENTO="Manual",$M337=1),0,IF(OFFSET(CRONOPLE!$F$14,$M337,BF$13)="",10^12,OFFSET(CRONOPLE!$F$14,$M337,BF$13))))</f>
        <v>1000000000000</v>
      </c>
      <c r="BG337" s="181">
        <f ca="1">IF($D337&lt;&gt;"Serviço",0,IF(AND(AUTOEVENTO="Manual",$M337=1),0,IF(OFFSET(CRONOPLE!$F$14,$M337,BG$13)="",10^12,OFFSET(CRONOPLE!$F$14,$M337,BG$13))))</f>
        <v>1000000000000</v>
      </c>
      <c r="BH337" s="181">
        <f ca="1">IF($D337&lt;&gt;"Serviço",0,IF(AND(AUTOEVENTO="Manual",$M337=1),0,IF(OFFSET(CRONOPLE!$F$14,$M337,BH$13)="",10^12,OFFSET(CRONOPLE!$F$14,$M337,BH$13))))</f>
        <v>1000000000000</v>
      </c>
      <c r="BI337" s="181">
        <f ca="1">IF($D337&lt;&gt;"Serviço",0,IF(AND(AUTOEVENTO="Manual",$M337=1),0,IF(OFFSET(CRONOPLE!$F$14,$M337,BI$13)="",10^12,OFFSET(CRONOPLE!$F$14,$M337,BI$13))))</f>
        <v>1000000000000</v>
      </c>
      <c r="BJ337" s="181">
        <f ca="1">IF($D337&lt;&gt;"Serviço",0,IF(AND(AUTOEVENTO="Manual",$M337=1),0,IF(OFFSET(CRONOPLE!$F$14,$M337,BJ$13)="",10^12,OFFSET(CRONOPLE!$F$14,$M337,BJ$13))))</f>
        <v>1000000000000</v>
      </c>
      <c r="BK337" s="181">
        <f ca="1">IF($D337&lt;&gt;"Serviço",0,IF(AND(AUTOEVENTO="Manual",$M337=1),0,IF(OFFSET(CRONOPLE!$F$14,$M337,BK$13)="",10^12,OFFSET(CRONOPLE!$F$14,$M337,BK$13))))</f>
        <v>1000000000000</v>
      </c>
      <c r="BL337" s="181">
        <f ca="1">IF($D337&lt;&gt;"Serviço",0,IF(AND(AUTOEVENTO="Manual",$M337=1),0,IF(OFFSET(CRONOPLE!$F$14,$M337,BL$13)="",10^12,OFFSET(CRONOPLE!$F$14,$M337,BL$13))))</f>
        <v>1000000000000</v>
      </c>
      <c r="BM337" s="181">
        <f ca="1">IF($D337&lt;&gt;"Serviço",0,IF(AND(AUTOEVENTO="Manual",$M337=1),0,IF(OFFSET(CRONOPLE!$F$14,$M337,BM$13)="",10^12,OFFSET(CRONOPLE!$F$14,$M337,BM$13))))</f>
        <v>1000000000000</v>
      </c>
      <c r="BN337" s="181">
        <f ca="1">IF($D337&lt;&gt;"Serviço",0,IF(AND(AUTOEVENTO="Manual",$M337=1),0,IF(OFFSET(CRONOPLE!$F$14,$M337,BN$13)="",10^12,OFFSET(CRONOPLE!$F$14,$M337,BN$13))))</f>
        <v>1000000000000</v>
      </c>
      <c r="BO337" s="181">
        <f ca="1">IF($D337&lt;&gt;"Serviço",0,IF(AND(AUTOEVENTO="Manual",$M337=1),0,IF(OFFSET(CRONOPLE!$F$14,$M337,BO$13)="",10^12,OFFSET(CRONOPLE!$F$14,$M337,BO$13))))</f>
        <v>1000000000000</v>
      </c>
      <c r="BP337" s="181">
        <f ca="1">IF($D337&lt;&gt;"Serviço",0,IF(AND(AUTOEVENTO="Manual",$M337=1),0,IF(OFFSET(CRONOPLE!$F$14,$M337,BP$13)="",10^12,OFFSET(CRONOPLE!$F$14,$M337,BP$13))))</f>
        <v>1000000000000</v>
      </c>
      <c r="BQ337" s="181">
        <f ca="1">IF($D337&lt;&gt;"Serviço",0,IF(AND(AUTOEVENTO="Manual",$M337=1),0,IF(OFFSET(CRONOPLE!$F$14,$M337,BQ$13)="",10^12,OFFSET(CRONOPLE!$F$14,$M337,BQ$13))))</f>
        <v>1000000000000</v>
      </c>
      <c r="BR337" s="181">
        <f ca="1">IF($D337&lt;&gt;"Serviço",0,IF(AND(AUTOEVENTO="Manual",$M337=1),0,IF(OFFSET(CRONOPLE!$F$14,$M337,BR$13)="",10^12,OFFSET(CRONOPLE!$F$14,$M337,BR$13))))</f>
        <v>1000000000000</v>
      </c>
      <c r="BS337" s="181">
        <f ca="1">IF($D337&lt;&gt;"Serviço",0,IF(AND(AUTOEVENTO="Manual",$M337=1),0,IF(OFFSET(CRONOPLE!$F$14,$M337,BS$13)="",10^12,OFFSET(CRONOPLE!$F$14,$M337,BS$13))))</f>
        <v>1000000000000</v>
      </c>
      <c r="BT337" s="181">
        <f ca="1">IF($D337&lt;&gt;"Serviço",0,IF(AND(AUTOEVENTO="Manual",$M337=1),0,IF(OFFSET(CRONOPLE!$F$14,$M337,BT$13)="",10^12,OFFSET(CRONOPLE!$F$14,$M337,BT$13))))</f>
        <v>1000000000000</v>
      </c>
      <c r="BV337" s="182">
        <f ca="1">IF($D337&lt;&gt;"Serviço",0,IF(OR(AND(AUTOEVENTO="Manual",$M337=1),$M337&gt;(ROW(PLE.lastrow)-ROW(PLE.firstrow))),0,IF(OFFSET(PLE!$G$14,$M337,BV$13)="",10^12,OFFSET(PLE!$G$14,$M337,BV$13))))</f>
        <v>1000000000000</v>
      </c>
      <c r="BW337" s="182">
        <f ca="1">IF($D337&lt;&gt;"Serviço",0,IF(OR(AND(AUTOEVENTO="Manual",$M337=1),$M337&gt;(ROW(PLE.lastrow)-ROW(PLE.firstrow))),0,IF(OFFSET(PLE!$G$14,$M337,BW$13)="",10^12,OFFSET(PLE!$G$14,$M337,BW$13))))</f>
        <v>1000000000000</v>
      </c>
      <c r="BX337" s="182">
        <f ca="1">IF($D337&lt;&gt;"Serviço",0,IF(OR(AND(AUTOEVENTO="Manual",$M337=1),$M337&gt;(ROW(PLE.lastrow)-ROW(PLE.firstrow))),0,IF(OFFSET(PLE!$G$14,$M337,BX$13)="",10^12,OFFSET(PLE!$G$14,$M337,BX$13))))</f>
        <v>1000000000000</v>
      </c>
      <c r="BY337" s="182">
        <f ca="1">IF($D337&lt;&gt;"Serviço",0,IF(OR(AND(AUTOEVENTO="Manual",$M337=1),$M337&gt;(ROW(PLE.lastrow)-ROW(PLE.firstrow))),0,IF(OFFSET(PLE!$G$14,$M337,BY$13)="",10^12,OFFSET(PLE!$G$14,$M337,BY$13))))</f>
        <v>1000000000000</v>
      </c>
      <c r="BZ337" s="182">
        <f ca="1">IF($D337&lt;&gt;"Serviço",0,IF(OR(AND(AUTOEVENTO="Manual",$M337=1),$M337&gt;(ROW(PLE.lastrow)-ROW(PLE.firstrow))),0,IF(OFFSET(PLE!$G$14,$M337,BZ$13)="",10^12,OFFSET(PLE!$G$14,$M337,BZ$13))))</f>
        <v>1000000000000</v>
      </c>
      <c r="CA337" s="182">
        <f ca="1">IF($D337&lt;&gt;"Serviço",0,IF(OR(AND(AUTOEVENTO="Manual",$M337=1),$M337&gt;(ROW(PLE.lastrow)-ROW(PLE.firstrow))),0,IF(OFFSET(PLE!$G$14,$M337,CA$13)="",10^12,OFFSET(PLE!$G$14,$M337,CA$13))))</f>
        <v>1000000000000</v>
      </c>
      <c r="CB337" s="182">
        <f ca="1">IF($D337&lt;&gt;"Serviço",0,IF(OR(AND(AUTOEVENTO="Manual",$M337=1),$M337&gt;(ROW(PLE.lastrow)-ROW(PLE.firstrow))),0,IF(OFFSET(PLE!$G$14,$M337,CB$13)="",10^12,OFFSET(PLE!$G$14,$M337,CB$13))))</f>
        <v>1000000000000</v>
      </c>
      <c r="CC337" s="182">
        <f ca="1">IF($D337&lt;&gt;"Serviço",0,IF(OR(AND(AUTOEVENTO="Manual",$M337=1),$M337&gt;(ROW(PLE.lastrow)-ROW(PLE.firstrow))),0,IF(OFFSET(PLE!$G$14,$M337,CC$13)="",10^12,OFFSET(PLE!$G$14,$M337,CC$13))))</f>
        <v>1000000000000</v>
      </c>
      <c r="CD337" s="182">
        <f ca="1">IF($D337&lt;&gt;"Serviço",0,IF(OR(AND(AUTOEVENTO="Manual",$M337=1),$M337&gt;(ROW(PLE.lastrow)-ROW(PLE.firstrow))),0,IF(OFFSET(PLE!$G$14,$M337,CD$13)="",10^12,OFFSET(PLE!$G$14,$M337,CD$13))))</f>
        <v>1000000000000</v>
      </c>
      <c r="CE337" s="182">
        <f ca="1">IF($D337&lt;&gt;"Serviço",0,IF(OR(AND(AUTOEVENTO="Manual",$M337=1),$M337&gt;(ROW(PLE.lastrow)-ROW(PLE.firstrow))),0,IF(OFFSET(PLE!$G$14,$M337,CE$13)="",10^12,OFFSET(PLE!$G$14,$M337,CE$13))))</f>
        <v>1000000000000</v>
      </c>
      <c r="CF337" s="182">
        <f ca="1">IF($D337&lt;&gt;"Serviço",0,IF(OR(AND(AUTOEVENTO="Manual",$M337=1),$M337&gt;(ROW(PLE.lastrow)-ROW(PLE.firstrow))),0,IF(OFFSET(PLE!$G$14,$M337,CF$13)="",10^12,OFFSET(PLE!$G$14,$M337,CF$13))))</f>
        <v>1000000000000</v>
      </c>
      <c r="CG337" s="182">
        <f ca="1">IF($D337&lt;&gt;"Serviço",0,IF(OR(AND(AUTOEVENTO="Manual",$M337=1),$M337&gt;(ROW(PLE.lastrow)-ROW(PLE.firstrow))),0,IF(OFFSET(PLE!$G$14,$M337,CG$13)="",10^12,OFFSET(PLE!$G$14,$M337,CG$13))))</f>
        <v>1000000000000</v>
      </c>
      <c r="CH337" s="182">
        <f ca="1">IF($D337&lt;&gt;"Serviço",0,IF(OR(AND(AUTOEVENTO="Manual",$M337=1),$M337&gt;(ROW(PLE.lastrow)-ROW(PLE.firstrow))),0,IF(OFFSET(PLE!$G$14,$M337,CH$13)="",10^12,OFFSET(PLE!$G$14,$M337,CH$13))))</f>
        <v>1000000000000</v>
      </c>
      <c r="CI337" s="182">
        <f ca="1">IF($D337&lt;&gt;"Serviço",0,IF(OR(AND(AUTOEVENTO="Manual",$M337=1),$M337&gt;(ROW(PLE.lastrow)-ROW(PLE.firstrow))),0,IF(OFFSET(PLE!$G$14,$M337,CI$13)="",10^12,OFFSET(PLE!$G$14,$M337,CI$13))))</f>
        <v>1000000000000</v>
      </c>
      <c r="CJ337" s="182">
        <f ca="1">IF($D337&lt;&gt;"Serviço",0,IF(OR(AND(AUTOEVENTO="Manual",$M337=1),$M337&gt;(ROW(PLE.lastrow)-ROW(PLE.firstrow))),0,IF(OFFSET(PLE!$G$14,$M337,CJ$13)="",10^12,OFFSET(PLE!$G$14,$M337,CJ$13))))</f>
        <v>1000000000000</v>
      </c>
      <c r="CK337" s="182">
        <f ca="1">IF($D337&lt;&gt;"Serviço",0,IF(OR(AND(AUTOEVENTO="Manual",$M337=1),$M337&gt;(ROW(PLE.lastrow)-ROW(PLE.firstrow))),0,IF(OFFSET(PLE!$G$14,$M337,CK$13)="",10^12,OFFSET(PLE!$G$14,$M337,CK$13))))</f>
        <v>1000000000000</v>
      </c>
      <c r="CL337" s="182">
        <f ca="1">IF($D337&lt;&gt;"Serviço",0,IF(OR(AND(AUTOEVENTO="Manual",$M337=1),$M337&gt;(ROW(PLE.lastrow)-ROW(PLE.firstrow))),0,IF(OFFSET(PLE!$G$14,$M337,CL$13)="",10^12,OFFSET(PLE!$G$14,$M337,CL$13))))</f>
        <v>1000000000000</v>
      </c>
      <c r="CM337" s="182">
        <f ca="1">IF($D337&lt;&gt;"Serviço",0,IF(OR(AND(AUTOEVENTO="Manual",$M337=1),$M337&gt;(ROW(PLE.lastrow)-ROW(PLE.firstrow))),0,IF(OFFSET(PLE!$G$14,$M337,CM$13)="",10^12,OFFSET(PLE!$G$14,$M337,CM$13))))</f>
        <v>1000000000000</v>
      </c>
    </row>
    <row r="338" spans="1:91" ht="38.25" x14ac:dyDescent="0.2">
      <c r="A338" s="7" t="str">
        <f t="shared" ca="1" si="12"/>
        <v>304</v>
      </c>
      <c r="B338" s="7" t="str">
        <f ca="1">OFFSET(ORÇAMENTO!C$15,ROW(B338)-ROW(B$15),0)</f>
        <v>S</v>
      </c>
      <c r="C338" s="7" t="str">
        <f ca="1">OFFSET(ORÇAMENTO!L$15,ROW(C338)-ROW(C$15),0)</f>
        <v/>
      </c>
      <c r="D338" s="118" t="str">
        <f ca="1">OFFSET(ORÇAMENTO!N$15,ROW(D338)-ROW(D$15),0)</f>
        <v>Serviço</v>
      </c>
      <c r="E338" s="119" t="str">
        <f ca="1">OFFSET(ORÇAMENTO!O$15,ROW(E338)-ROW(E$15),0)</f>
        <v>-</v>
      </c>
      <c r="F338" s="172" t="str">
        <f ca="1">OFFSET(ORÇAMENTO!R$15,ROW(F338)-ROW(F$15),0)</f>
        <v>(abra o arquivo 'Referência 06-2024.xlsm)</v>
      </c>
      <c r="G338" s="173" t="str">
        <f ca="1">IF($D338&lt;&gt;"Serviço","",OFFSET(ORÇAMENTO!S$15,ROW(G338)-ROW(G$15),0))</f>
        <v>-</v>
      </c>
      <c r="H338" s="124">
        <f ca="1">IF($D338&lt;&gt;"Serviço",0,IF(ACOMPANHAMENTO="BM",ROUND(OFFSET(ORÇAMENTO!AJ$15,ROW(H338)-ROW(H$15),0),15-13*ORÇAMENTO!$AF$7),SUMPRODUCT(($Q$12:$AI$12&lt;&gt;"")*ROUND($Q338:$AI338,15-13*ORÇAMENTO!$AF$7))))</f>
        <v>3</v>
      </c>
      <c r="I338" s="561" t="s">
        <v>1107</v>
      </c>
      <c r="K338" s="174"/>
      <c r="L338" s="175" t="s">
        <v>255</v>
      </c>
      <c r="M338" s="176">
        <f ca="1">IF($D338&lt;&gt;"Serviço","",IF(AUTOEVENTO="manual",$A338,IF(ISERROR(MATCH($A338,$A$15:OFFSET($A338,-1,0),0)),MAX($M$15:OFFSET(M338,-1,0))+1,INDEX($M$15:OFFSET(M338,-1,0),MATCH($A338,$A$15:OFFSET($A338,-1,0),0)))))</f>
        <v>41</v>
      </c>
      <c r="N338" s="177" t="str">
        <f ca="1">IF($D338&lt;&gt;"Serviço","",IF(AUTOEVENTO="Manual",IF($A338=0,"&lt;-- defina o número do agrupador",OFFSET(EVENTOS!$D$14,$A338,0)),OFFSET($F$15,$A338,0)))</f>
        <v>INSTALAÇÃO SANITÁRIA - TUBULAÇÕES E CONEXÕES</v>
      </c>
      <c r="O338" s="178"/>
      <c r="Q338" s="178">
        <v>3</v>
      </c>
      <c r="R338" s="179"/>
      <c r="S338" s="179"/>
      <c r="T338" s="179"/>
      <c r="U338" s="179"/>
      <c r="V338" s="179"/>
      <c r="W338" s="179"/>
      <c r="X338" s="179"/>
      <c r="Y338" s="179"/>
      <c r="Z338" s="180"/>
      <c r="AA338" s="179"/>
      <c r="AB338" s="179"/>
      <c r="AC338" s="179"/>
      <c r="AD338" s="179"/>
      <c r="AE338" s="179"/>
      <c r="AF338" s="179"/>
      <c r="AG338" s="179"/>
      <c r="AH338" s="180"/>
      <c r="AJ338" s="544">
        <f ca="1">IF(AND($D338="Serviço",AJ$12&lt;&gt;0,$H338&gt;0,OR(AUTOEVENTO&lt;&gt;"manual",$M338&lt;&gt;1)),
IF(Import.TipoArredondamento&lt;&gt;"TransfereGOV",
ROUND(OFFSET($P338,0,AJ$13),15-13*ORÇAMENTO!$AF$7)/$H338*OFFSET(ORÇAMENTO!$X$15,ROW(AJ338)-ROW(AJ$15),0),
ROUND(ROUND(OFFSET($P338,0,AJ$13),15-13*ORÇAMENTO!$AF$7)*OFFSET(ORÇAMENTO!$W$15,ROW(AJ338)-ROW(AJ$15),0),15-13*ORÇAMENTO!$AF$11)),0)</f>
        <v>0</v>
      </c>
      <c r="AK338" s="545">
        <f ca="1">IF(AND($D338="Serviço",AK$12&lt;&gt;0,$H338&gt;0,OR(AUTOEVENTO&lt;&gt;"manual",$M338&lt;&gt;1)),
IF(Import.TipoArredondamento&lt;&gt;"TransfereGOV",
ROUND(OFFSET($P338,0,AK$13),15-13*ORÇAMENTO!$AF$7)/$H338*OFFSET(ORÇAMENTO!$X$15,ROW(AK338)-ROW(AK$15),0),
ROUND(ROUND(OFFSET($P338,0,AK$13),15-13*ORÇAMENTO!$AF$7)*OFFSET(ORÇAMENTO!$W$15,ROW(AK338)-ROW(AK$15),0),15-13*ORÇAMENTO!$AF$11)),0)</f>
        <v>0</v>
      </c>
      <c r="AL338" s="545">
        <f ca="1">IF(AND($D338="Serviço",AL$12&lt;&gt;0,$H338&gt;0,OR(AUTOEVENTO&lt;&gt;"manual",$M338&lt;&gt;1)),
IF(Import.TipoArredondamento&lt;&gt;"TransfereGOV",
ROUND(OFFSET($P338,0,AL$13),15-13*ORÇAMENTO!$AF$7)/$H338*OFFSET(ORÇAMENTO!$X$15,ROW(AL338)-ROW(AL$15),0),
ROUND(ROUND(OFFSET($P338,0,AL$13),15-13*ORÇAMENTO!$AF$7)*OFFSET(ORÇAMENTO!$W$15,ROW(AL338)-ROW(AL$15),0),15-13*ORÇAMENTO!$AF$11)),0)</f>
        <v>0</v>
      </c>
      <c r="AM338" s="545">
        <f ca="1">IF(AND($D338="Serviço",AM$12&lt;&gt;0,$H338&gt;0,OR(AUTOEVENTO&lt;&gt;"manual",$M338&lt;&gt;1)),
IF(Import.TipoArredondamento&lt;&gt;"TransfereGOV",
ROUND(OFFSET($P338,0,AM$13),15-13*ORÇAMENTO!$AF$7)/$H338*OFFSET(ORÇAMENTO!$X$15,ROW(AM338)-ROW(AM$15),0),
ROUND(ROUND(OFFSET($P338,0,AM$13),15-13*ORÇAMENTO!$AF$7)*OFFSET(ORÇAMENTO!$W$15,ROW(AM338)-ROW(AM$15),0),15-13*ORÇAMENTO!$AF$11)),0)</f>
        <v>0</v>
      </c>
      <c r="AN338" s="545">
        <f ca="1">IF(AND($D338="Serviço",AN$12&lt;&gt;0,$H338&gt;0,OR(AUTOEVENTO&lt;&gt;"manual",$M338&lt;&gt;1)),
IF(Import.TipoArredondamento&lt;&gt;"TransfereGOV",
ROUND(OFFSET($P338,0,AN$13),15-13*ORÇAMENTO!$AF$7)/$H338*OFFSET(ORÇAMENTO!$X$15,ROW(AN338)-ROW(AN$15),0),
ROUND(ROUND(OFFSET($P338,0,AN$13),15-13*ORÇAMENTO!$AF$7)*OFFSET(ORÇAMENTO!$W$15,ROW(AN338)-ROW(AN$15),0),15-13*ORÇAMENTO!$AF$11)),0)</f>
        <v>0</v>
      </c>
      <c r="AO338" s="545">
        <f ca="1">IF(AND($D338="Serviço",AO$12&lt;&gt;0,$H338&gt;0,OR(AUTOEVENTO&lt;&gt;"manual",$M338&lt;&gt;1)),
IF(Import.TipoArredondamento&lt;&gt;"TransfereGOV",
ROUND(OFFSET($P338,0,AO$13),15-13*ORÇAMENTO!$AF$7)/$H338*OFFSET(ORÇAMENTO!$X$15,ROW(AO338)-ROW(AO$15),0),
ROUND(ROUND(OFFSET($P338,0,AO$13),15-13*ORÇAMENTO!$AF$7)*OFFSET(ORÇAMENTO!$W$15,ROW(AO338)-ROW(AO$15),0),15-13*ORÇAMENTO!$AF$11)),0)</f>
        <v>0</v>
      </c>
      <c r="AP338" s="545">
        <f ca="1">IF(AND($D338="Serviço",AP$12&lt;&gt;0,$H338&gt;0,OR(AUTOEVENTO&lt;&gt;"manual",$M338&lt;&gt;1)),
IF(Import.TipoArredondamento&lt;&gt;"TransfereGOV",
ROUND(OFFSET($P338,0,AP$13),15-13*ORÇAMENTO!$AF$7)/$H338*OFFSET(ORÇAMENTO!$X$15,ROW(AP338)-ROW(AP$15),0),
ROUND(ROUND(OFFSET($P338,0,AP$13),15-13*ORÇAMENTO!$AF$7)*OFFSET(ORÇAMENTO!$W$15,ROW(AP338)-ROW(AP$15),0),15-13*ORÇAMENTO!$AF$11)),0)</f>
        <v>0</v>
      </c>
      <c r="AQ338" s="545">
        <f ca="1">IF(AND($D338="Serviço",AQ$12&lt;&gt;0,$H338&gt;0,OR(AUTOEVENTO&lt;&gt;"manual",$M338&lt;&gt;1)),
IF(Import.TipoArredondamento&lt;&gt;"TransfereGOV",
ROUND(OFFSET($P338,0,AQ$13),15-13*ORÇAMENTO!$AF$7)/$H338*OFFSET(ORÇAMENTO!$X$15,ROW(AQ338)-ROW(AQ$15),0),
ROUND(ROUND(OFFSET($P338,0,AQ$13),15-13*ORÇAMENTO!$AF$7)*OFFSET(ORÇAMENTO!$W$15,ROW(AQ338)-ROW(AQ$15),0),15-13*ORÇAMENTO!$AF$11)),0)</f>
        <v>0</v>
      </c>
      <c r="AR338" s="545">
        <f ca="1">IF(AND($D338="Serviço",AR$12&lt;&gt;0,$H338&gt;0,OR(AUTOEVENTO&lt;&gt;"manual",$M338&lt;&gt;1)),
IF(Import.TipoArredondamento&lt;&gt;"TransfereGOV",
ROUND(OFFSET($P338,0,AR$13),15-13*ORÇAMENTO!$AF$7)/$H338*OFFSET(ORÇAMENTO!$X$15,ROW(AR338)-ROW(AR$15),0),
ROUND(ROUND(OFFSET($P338,0,AR$13),15-13*ORÇAMENTO!$AF$7)*OFFSET(ORÇAMENTO!$W$15,ROW(AR338)-ROW(AR$15),0),15-13*ORÇAMENTO!$AF$11)),0)</f>
        <v>0</v>
      </c>
      <c r="AS338" s="546">
        <f ca="1">IF(AND($D338="Serviço",AS$12&lt;&gt;0,$H338&gt;0,OR(AUTOEVENTO&lt;&gt;"manual",$M338&lt;&gt;1)),
IF(Import.TipoArredondamento&lt;&gt;"TransfereGOV",
ROUND(OFFSET($P338,0,AS$13),15-13*ORÇAMENTO!$AF$7)/$H338*OFFSET(ORÇAMENTO!$X$15,ROW(AS338)-ROW(AS$15),0),
ROUND(ROUND(OFFSET($P338,0,AS$13),15-13*ORÇAMENTO!$AF$7)*OFFSET(ORÇAMENTO!$W$15,ROW(AS338)-ROW(AS$15),0),15-13*ORÇAMENTO!$AF$11)),0)</f>
        <v>0</v>
      </c>
      <c r="AT338" s="545">
        <f ca="1">IF(AND($D338="Serviço",AT$12&lt;&gt;0,$H338&gt;0,OR(AUTOEVENTO&lt;&gt;"manual",$M338&lt;&gt;1)),
IF(Import.TipoArredondamento&lt;&gt;"TransfereGOV",
ROUND(OFFSET($P338,0,AT$13),15-13*ORÇAMENTO!$AF$7)/$H338*OFFSET(ORÇAMENTO!$X$15,ROW(AT338)-ROW(AT$15),0),
ROUND(ROUND(OFFSET($P338,0,AT$13),15-13*ORÇAMENTO!$AF$7)*OFFSET(ORÇAMENTO!$W$15,ROW(AT338)-ROW(AT$15),0),15-13*ORÇAMENTO!$AF$11)),0)</f>
        <v>0</v>
      </c>
      <c r="AU338" s="545">
        <f ca="1">IF(AND($D338="Serviço",AU$12&lt;&gt;0,$H338&gt;0,OR(AUTOEVENTO&lt;&gt;"manual",$M338&lt;&gt;1)),
IF(Import.TipoArredondamento&lt;&gt;"TransfereGOV",
ROUND(OFFSET($P338,0,AU$13),15-13*ORÇAMENTO!$AF$7)/$H338*OFFSET(ORÇAMENTO!$X$15,ROW(AU338)-ROW(AU$15),0),
ROUND(ROUND(OFFSET($P338,0,AU$13),15-13*ORÇAMENTO!$AF$7)*OFFSET(ORÇAMENTO!$W$15,ROW(AU338)-ROW(AU$15),0),15-13*ORÇAMENTO!$AF$11)),0)</f>
        <v>0</v>
      </c>
      <c r="AV338" s="545">
        <f ca="1">IF(AND($D338="Serviço",AV$12&lt;&gt;0,$H338&gt;0,OR(AUTOEVENTO&lt;&gt;"manual",$M338&lt;&gt;1)),
IF(Import.TipoArredondamento&lt;&gt;"TransfereGOV",
ROUND(OFFSET($P338,0,AV$13),15-13*ORÇAMENTO!$AF$7)/$H338*OFFSET(ORÇAMENTO!$X$15,ROW(AV338)-ROW(AV$15),0),
ROUND(ROUND(OFFSET($P338,0,AV$13),15-13*ORÇAMENTO!$AF$7)*OFFSET(ORÇAMENTO!$W$15,ROW(AV338)-ROW(AV$15),0),15-13*ORÇAMENTO!$AF$11)),0)</f>
        <v>0</v>
      </c>
      <c r="AW338" s="545">
        <f ca="1">IF(AND($D338="Serviço",AW$12&lt;&gt;0,$H338&gt;0,OR(AUTOEVENTO&lt;&gt;"manual",$M338&lt;&gt;1)),
IF(Import.TipoArredondamento&lt;&gt;"TransfereGOV",
ROUND(OFFSET($P338,0,AW$13),15-13*ORÇAMENTO!$AF$7)/$H338*OFFSET(ORÇAMENTO!$X$15,ROW(AW338)-ROW(AW$15),0),
ROUND(ROUND(OFFSET($P338,0,AW$13),15-13*ORÇAMENTO!$AF$7)*OFFSET(ORÇAMENTO!$W$15,ROW(AW338)-ROW(AW$15),0),15-13*ORÇAMENTO!$AF$11)),0)</f>
        <v>0</v>
      </c>
      <c r="AX338" s="545">
        <f ca="1">IF(AND($D338="Serviço",AX$12&lt;&gt;0,$H338&gt;0,OR(AUTOEVENTO&lt;&gt;"manual",$M338&lt;&gt;1)),
IF(Import.TipoArredondamento&lt;&gt;"TransfereGOV",
ROUND(OFFSET($P338,0,AX$13),15-13*ORÇAMENTO!$AF$7)/$H338*OFFSET(ORÇAMENTO!$X$15,ROW(AX338)-ROW(AX$15),0),
ROUND(ROUND(OFFSET($P338,0,AX$13),15-13*ORÇAMENTO!$AF$7)*OFFSET(ORÇAMENTO!$W$15,ROW(AX338)-ROW(AX$15),0),15-13*ORÇAMENTO!$AF$11)),0)</f>
        <v>0</v>
      </c>
      <c r="AY338" s="545">
        <f ca="1">IF(AND($D338="Serviço",AY$12&lt;&gt;0,$H338&gt;0,OR(AUTOEVENTO&lt;&gt;"manual",$M338&lt;&gt;1)),
IF(Import.TipoArredondamento&lt;&gt;"TransfereGOV",
ROUND(OFFSET($P338,0,AY$13),15-13*ORÇAMENTO!$AF$7)/$H338*OFFSET(ORÇAMENTO!$X$15,ROW(AY338)-ROW(AY$15),0),
ROUND(ROUND(OFFSET($P338,0,AY$13),15-13*ORÇAMENTO!$AF$7)*OFFSET(ORÇAMENTO!$W$15,ROW(AY338)-ROW(AY$15),0),15-13*ORÇAMENTO!$AF$11)),0)</f>
        <v>0</v>
      </c>
      <c r="AZ338" s="545">
        <f ca="1">IF(AND($D338="Serviço",AZ$12&lt;&gt;0,$H338&gt;0,OR(AUTOEVENTO&lt;&gt;"manual",$M338&lt;&gt;1)),
IF(Import.TipoArredondamento&lt;&gt;"TransfereGOV",
ROUND(OFFSET($P338,0,AZ$13),15-13*ORÇAMENTO!$AF$7)/$H338*OFFSET(ORÇAMENTO!$X$15,ROW(AZ338)-ROW(AZ$15),0),
ROUND(ROUND(OFFSET($P338,0,AZ$13),15-13*ORÇAMENTO!$AF$7)*OFFSET(ORÇAMENTO!$W$15,ROW(AZ338)-ROW(AZ$15),0),15-13*ORÇAMENTO!$AF$11)),0)</f>
        <v>0</v>
      </c>
      <c r="BA338" s="546">
        <f ca="1">IF(AND($D338="Serviço",BA$12&lt;&gt;0,$H338&gt;0,OR(AUTOEVENTO&lt;&gt;"manual",$M338&lt;&gt;1)),
IF(Import.TipoArredondamento&lt;&gt;"TransfereGOV",
ROUND(OFFSET($P338,0,BA$13),15-13*ORÇAMENTO!$AF$7)/$H338*OFFSET(ORÇAMENTO!$X$15,ROW(BA338)-ROW(BA$15),0),
ROUND(ROUND(OFFSET($P338,0,BA$13),15-13*ORÇAMENTO!$AF$7)*OFFSET(ORÇAMENTO!$W$15,ROW(BA338)-ROW(BA$15),0),15-13*ORÇAMENTO!$AF$11)),0)</f>
        <v>0</v>
      </c>
      <c r="BC338" s="181">
        <f ca="1">IF($D338&lt;&gt;"Serviço",0,IF(AND(AUTOEVENTO="Manual",$M338=1),0,IF(OFFSET(CRONOPLE!$F$14,$M338,BC$13)="",10^12,OFFSET(CRONOPLE!$F$14,$M338,BC$13))))</f>
        <v>9</v>
      </c>
      <c r="BD338" s="181">
        <f ca="1">IF($D338&lt;&gt;"Serviço",0,IF(AND(AUTOEVENTO="Manual",$M338=1),0,IF(OFFSET(CRONOPLE!$F$14,$M338,BD$13)="",10^12,OFFSET(CRONOPLE!$F$14,$M338,BD$13))))</f>
        <v>1000000000000</v>
      </c>
      <c r="BE338" s="181">
        <f ca="1">IF($D338&lt;&gt;"Serviço",0,IF(AND(AUTOEVENTO="Manual",$M338=1),0,IF(OFFSET(CRONOPLE!$F$14,$M338,BE$13)="",10^12,OFFSET(CRONOPLE!$F$14,$M338,BE$13))))</f>
        <v>1000000000000</v>
      </c>
      <c r="BF338" s="181">
        <f ca="1">IF($D338&lt;&gt;"Serviço",0,IF(AND(AUTOEVENTO="Manual",$M338=1),0,IF(OFFSET(CRONOPLE!$F$14,$M338,BF$13)="",10^12,OFFSET(CRONOPLE!$F$14,$M338,BF$13))))</f>
        <v>1000000000000</v>
      </c>
      <c r="BG338" s="181">
        <f ca="1">IF($D338&lt;&gt;"Serviço",0,IF(AND(AUTOEVENTO="Manual",$M338=1),0,IF(OFFSET(CRONOPLE!$F$14,$M338,BG$13)="",10^12,OFFSET(CRONOPLE!$F$14,$M338,BG$13))))</f>
        <v>1000000000000</v>
      </c>
      <c r="BH338" s="181">
        <f ca="1">IF($D338&lt;&gt;"Serviço",0,IF(AND(AUTOEVENTO="Manual",$M338=1),0,IF(OFFSET(CRONOPLE!$F$14,$M338,BH$13)="",10^12,OFFSET(CRONOPLE!$F$14,$M338,BH$13))))</f>
        <v>1000000000000</v>
      </c>
      <c r="BI338" s="181">
        <f ca="1">IF($D338&lt;&gt;"Serviço",0,IF(AND(AUTOEVENTO="Manual",$M338=1),0,IF(OFFSET(CRONOPLE!$F$14,$M338,BI$13)="",10^12,OFFSET(CRONOPLE!$F$14,$M338,BI$13))))</f>
        <v>1000000000000</v>
      </c>
      <c r="BJ338" s="181">
        <f ca="1">IF($D338&lt;&gt;"Serviço",0,IF(AND(AUTOEVENTO="Manual",$M338=1),0,IF(OFFSET(CRONOPLE!$F$14,$M338,BJ$13)="",10^12,OFFSET(CRONOPLE!$F$14,$M338,BJ$13))))</f>
        <v>1000000000000</v>
      </c>
      <c r="BK338" s="181">
        <f ca="1">IF($D338&lt;&gt;"Serviço",0,IF(AND(AUTOEVENTO="Manual",$M338=1),0,IF(OFFSET(CRONOPLE!$F$14,$M338,BK$13)="",10^12,OFFSET(CRONOPLE!$F$14,$M338,BK$13))))</f>
        <v>1000000000000</v>
      </c>
      <c r="BL338" s="181">
        <f ca="1">IF($D338&lt;&gt;"Serviço",0,IF(AND(AUTOEVENTO="Manual",$M338=1),0,IF(OFFSET(CRONOPLE!$F$14,$M338,BL$13)="",10^12,OFFSET(CRONOPLE!$F$14,$M338,BL$13))))</f>
        <v>1000000000000</v>
      </c>
      <c r="BM338" s="181">
        <f ca="1">IF($D338&lt;&gt;"Serviço",0,IF(AND(AUTOEVENTO="Manual",$M338=1),0,IF(OFFSET(CRONOPLE!$F$14,$M338,BM$13)="",10^12,OFFSET(CRONOPLE!$F$14,$M338,BM$13))))</f>
        <v>1000000000000</v>
      </c>
      <c r="BN338" s="181">
        <f ca="1">IF($D338&lt;&gt;"Serviço",0,IF(AND(AUTOEVENTO="Manual",$M338=1),0,IF(OFFSET(CRONOPLE!$F$14,$M338,BN$13)="",10^12,OFFSET(CRONOPLE!$F$14,$M338,BN$13))))</f>
        <v>1000000000000</v>
      </c>
      <c r="BO338" s="181">
        <f ca="1">IF($D338&lt;&gt;"Serviço",0,IF(AND(AUTOEVENTO="Manual",$M338=1),0,IF(OFFSET(CRONOPLE!$F$14,$M338,BO$13)="",10^12,OFFSET(CRONOPLE!$F$14,$M338,BO$13))))</f>
        <v>1000000000000</v>
      </c>
      <c r="BP338" s="181">
        <f ca="1">IF($D338&lt;&gt;"Serviço",0,IF(AND(AUTOEVENTO="Manual",$M338=1),0,IF(OFFSET(CRONOPLE!$F$14,$M338,BP$13)="",10^12,OFFSET(CRONOPLE!$F$14,$M338,BP$13))))</f>
        <v>1000000000000</v>
      </c>
      <c r="BQ338" s="181">
        <f ca="1">IF($D338&lt;&gt;"Serviço",0,IF(AND(AUTOEVENTO="Manual",$M338=1),0,IF(OFFSET(CRONOPLE!$F$14,$M338,BQ$13)="",10^12,OFFSET(CRONOPLE!$F$14,$M338,BQ$13))))</f>
        <v>1000000000000</v>
      </c>
      <c r="BR338" s="181">
        <f ca="1">IF($D338&lt;&gt;"Serviço",0,IF(AND(AUTOEVENTO="Manual",$M338=1),0,IF(OFFSET(CRONOPLE!$F$14,$M338,BR$13)="",10^12,OFFSET(CRONOPLE!$F$14,$M338,BR$13))))</f>
        <v>1000000000000</v>
      </c>
      <c r="BS338" s="181">
        <f ca="1">IF($D338&lt;&gt;"Serviço",0,IF(AND(AUTOEVENTO="Manual",$M338=1),0,IF(OFFSET(CRONOPLE!$F$14,$M338,BS$13)="",10^12,OFFSET(CRONOPLE!$F$14,$M338,BS$13))))</f>
        <v>1000000000000</v>
      </c>
      <c r="BT338" s="181">
        <f ca="1">IF($D338&lt;&gt;"Serviço",0,IF(AND(AUTOEVENTO="Manual",$M338=1),0,IF(OFFSET(CRONOPLE!$F$14,$M338,BT$13)="",10^12,OFFSET(CRONOPLE!$F$14,$M338,BT$13))))</f>
        <v>1000000000000</v>
      </c>
      <c r="BV338" s="182">
        <f ca="1">IF($D338&lt;&gt;"Serviço",0,IF(OR(AND(AUTOEVENTO="Manual",$M338=1),$M338&gt;(ROW(PLE.lastrow)-ROW(PLE.firstrow))),0,IF(OFFSET(PLE!$G$14,$M338,BV$13)="",10^12,OFFSET(PLE!$G$14,$M338,BV$13))))</f>
        <v>1000000000000</v>
      </c>
      <c r="BW338" s="182">
        <f ca="1">IF($D338&lt;&gt;"Serviço",0,IF(OR(AND(AUTOEVENTO="Manual",$M338=1),$M338&gt;(ROW(PLE.lastrow)-ROW(PLE.firstrow))),0,IF(OFFSET(PLE!$G$14,$M338,BW$13)="",10^12,OFFSET(PLE!$G$14,$M338,BW$13))))</f>
        <v>1000000000000</v>
      </c>
      <c r="BX338" s="182">
        <f ca="1">IF($D338&lt;&gt;"Serviço",0,IF(OR(AND(AUTOEVENTO="Manual",$M338=1),$M338&gt;(ROW(PLE.lastrow)-ROW(PLE.firstrow))),0,IF(OFFSET(PLE!$G$14,$M338,BX$13)="",10^12,OFFSET(PLE!$G$14,$M338,BX$13))))</f>
        <v>1000000000000</v>
      </c>
      <c r="BY338" s="182">
        <f ca="1">IF($D338&lt;&gt;"Serviço",0,IF(OR(AND(AUTOEVENTO="Manual",$M338=1),$M338&gt;(ROW(PLE.lastrow)-ROW(PLE.firstrow))),0,IF(OFFSET(PLE!$G$14,$M338,BY$13)="",10^12,OFFSET(PLE!$G$14,$M338,BY$13))))</f>
        <v>1000000000000</v>
      </c>
      <c r="BZ338" s="182">
        <f ca="1">IF($D338&lt;&gt;"Serviço",0,IF(OR(AND(AUTOEVENTO="Manual",$M338=1),$M338&gt;(ROW(PLE.lastrow)-ROW(PLE.firstrow))),0,IF(OFFSET(PLE!$G$14,$M338,BZ$13)="",10^12,OFFSET(PLE!$G$14,$M338,BZ$13))))</f>
        <v>1000000000000</v>
      </c>
      <c r="CA338" s="182">
        <f ca="1">IF($D338&lt;&gt;"Serviço",0,IF(OR(AND(AUTOEVENTO="Manual",$M338=1),$M338&gt;(ROW(PLE.lastrow)-ROW(PLE.firstrow))),0,IF(OFFSET(PLE!$G$14,$M338,CA$13)="",10^12,OFFSET(PLE!$G$14,$M338,CA$13))))</f>
        <v>1000000000000</v>
      </c>
      <c r="CB338" s="182">
        <f ca="1">IF($D338&lt;&gt;"Serviço",0,IF(OR(AND(AUTOEVENTO="Manual",$M338=1),$M338&gt;(ROW(PLE.lastrow)-ROW(PLE.firstrow))),0,IF(OFFSET(PLE!$G$14,$M338,CB$13)="",10^12,OFFSET(PLE!$G$14,$M338,CB$13))))</f>
        <v>1000000000000</v>
      </c>
      <c r="CC338" s="182">
        <f ca="1">IF($D338&lt;&gt;"Serviço",0,IF(OR(AND(AUTOEVENTO="Manual",$M338=1),$M338&gt;(ROW(PLE.lastrow)-ROW(PLE.firstrow))),0,IF(OFFSET(PLE!$G$14,$M338,CC$13)="",10^12,OFFSET(PLE!$G$14,$M338,CC$13))))</f>
        <v>1000000000000</v>
      </c>
      <c r="CD338" s="182">
        <f ca="1">IF($D338&lt;&gt;"Serviço",0,IF(OR(AND(AUTOEVENTO="Manual",$M338=1),$M338&gt;(ROW(PLE.lastrow)-ROW(PLE.firstrow))),0,IF(OFFSET(PLE!$G$14,$M338,CD$13)="",10^12,OFFSET(PLE!$G$14,$M338,CD$13))))</f>
        <v>1000000000000</v>
      </c>
      <c r="CE338" s="182">
        <f ca="1">IF($D338&lt;&gt;"Serviço",0,IF(OR(AND(AUTOEVENTO="Manual",$M338=1),$M338&gt;(ROW(PLE.lastrow)-ROW(PLE.firstrow))),0,IF(OFFSET(PLE!$G$14,$M338,CE$13)="",10^12,OFFSET(PLE!$G$14,$M338,CE$13))))</f>
        <v>1000000000000</v>
      </c>
      <c r="CF338" s="182">
        <f ca="1">IF($D338&lt;&gt;"Serviço",0,IF(OR(AND(AUTOEVENTO="Manual",$M338=1),$M338&gt;(ROW(PLE.lastrow)-ROW(PLE.firstrow))),0,IF(OFFSET(PLE!$G$14,$M338,CF$13)="",10^12,OFFSET(PLE!$G$14,$M338,CF$13))))</f>
        <v>1000000000000</v>
      </c>
      <c r="CG338" s="182">
        <f ca="1">IF($D338&lt;&gt;"Serviço",0,IF(OR(AND(AUTOEVENTO="Manual",$M338=1),$M338&gt;(ROW(PLE.lastrow)-ROW(PLE.firstrow))),0,IF(OFFSET(PLE!$G$14,$M338,CG$13)="",10^12,OFFSET(PLE!$G$14,$M338,CG$13))))</f>
        <v>1000000000000</v>
      </c>
      <c r="CH338" s="182">
        <f ca="1">IF($D338&lt;&gt;"Serviço",0,IF(OR(AND(AUTOEVENTO="Manual",$M338=1),$M338&gt;(ROW(PLE.lastrow)-ROW(PLE.firstrow))),0,IF(OFFSET(PLE!$G$14,$M338,CH$13)="",10^12,OFFSET(PLE!$G$14,$M338,CH$13))))</f>
        <v>1000000000000</v>
      </c>
      <c r="CI338" s="182">
        <f ca="1">IF($D338&lt;&gt;"Serviço",0,IF(OR(AND(AUTOEVENTO="Manual",$M338=1),$M338&gt;(ROW(PLE.lastrow)-ROW(PLE.firstrow))),0,IF(OFFSET(PLE!$G$14,$M338,CI$13)="",10^12,OFFSET(PLE!$G$14,$M338,CI$13))))</f>
        <v>1000000000000</v>
      </c>
      <c r="CJ338" s="182">
        <f ca="1">IF($D338&lt;&gt;"Serviço",0,IF(OR(AND(AUTOEVENTO="Manual",$M338=1),$M338&gt;(ROW(PLE.lastrow)-ROW(PLE.firstrow))),0,IF(OFFSET(PLE!$G$14,$M338,CJ$13)="",10^12,OFFSET(PLE!$G$14,$M338,CJ$13))))</f>
        <v>1000000000000</v>
      </c>
      <c r="CK338" s="182">
        <f ca="1">IF($D338&lt;&gt;"Serviço",0,IF(OR(AND(AUTOEVENTO="Manual",$M338=1),$M338&gt;(ROW(PLE.lastrow)-ROW(PLE.firstrow))),0,IF(OFFSET(PLE!$G$14,$M338,CK$13)="",10^12,OFFSET(PLE!$G$14,$M338,CK$13))))</f>
        <v>1000000000000</v>
      </c>
      <c r="CL338" s="182">
        <f ca="1">IF($D338&lt;&gt;"Serviço",0,IF(OR(AND(AUTOEVENTO="Manual",$M338=1),$M338&gt;(ROW(PLE.lastrow)-ROW(PLE.firstrow))),0,IF(OFFSET(PLE!$G$14,$M338,CL$13)="",10^12,OFFSET(PLE!$G$14,$M338,CL$13))))</f>
        <v>1000000000000</v>
      </c>
      <c r="CM338" s="182">
        <f ca="1">IF($D338&lt;&gt;"Serviço",0,IF(OR(AND(AUTOEVENTO="Manual",$M338=1),$M338&gt;(ROW(PLE.lastrow)-ROW(PLE.firstrow))),0,IF(OFFSET(PLE!$G$14,$M338,CM$13)="",10^12,OFFSET(PLE!$G$14,$M338,CM$13))))</f>
        <v>1000000000000</v>
      </c>
    </row>
    <row r="339" spans="1:91" ht="38.25" x14ac:dyDescent="0.2">
      <c r="A339" s="7" t="str">
        <f t="shared" ca="1" si="12"/>
        <v>304</v>
      </c>
      <c r="B339" s="7" t="str">
        <f ca="1">OFFSET(ORÇAMENTO!C$15,ROW(B339)-ROW(B$15),0)</f>
        <v>S</v>
      </c>
      <c r="C339" s="7" t="str">
        <f ca="1">OFFSET(ORÇAMENTO!L$15,ROW(C339)-ROW(C$15),0)</f>
        <v/>
      </c>
      <c r="D339" s="118" t="str">
        <f ca="1">OFFSET(ORÇAMENTO!N$15,ROW(D339)-ROW(D$15),0)</f>
        <v>Serviço</v>
      </c>
      <c r="E339" s="119" t="str">
        <f ca="1">OFFSET(ORÇAMENTO!O$15,ROW(E339)-ROW(E$15),0)</f>
        <v>-</v>
      </c>
      <c r="F339" s="172" t="str">
        <f ca="1">OFFSET(ORÇAMENTO!R$15,ROW(F339)-ROW(F$15),0)</f>
        <v>(abra o arquivo 'Referência 06-2024.xlsm)</v>
      </c>
      <c r="G339" s="173" t="str">
        <f ca="1">IF($D339&lt;&gt;"Serviço","",OFFSET(ORÇAMENTO!S$15,ROW(G339)-ROW(G$15),0))</f>
        <v>-</v>
      </c>
      <c r="H339" s="124">
        <f ca="1">IF($D339&lt;&gt;"Serviço",0,IF(ACOMPANHAMENTO="BM",ROUND(OFFSET(ORÇAMENTO!AJ$15,ROW(H339)-ROW(H$15),0),15-13*ORÇAMENTO!$AF$7),SUMPRODUCT(($Q$12:$AI$12&lt;&gt;"")*ROUND($Q339:$AI339,15-13*ORÇAMENTO!$AF$7))))</f>
        <v>13</v>
      </c>
      <c r="I339" s="561" t="s">
        <v>1107</v>
      </c>
      <c r="K339" s="174"/>
      <c r="L339" s="175" t="s">
        <v>255</v>
      </c>
      <c r="M339" s="176">
        <f ca="1">IF($D339&lt;&gt;"Serviço","",IF(AUTOEVENTO="manual",$A339,IF(ISERROR(MATCH($A339,$A$15:OFFSET($A339,-1,0),0)),MAX($M$15:OFFSET(M339,-1,0))+1,INDEX($M$15:OFFSET(M339,-1,0),MATCH($A339,$A$15:OFFSET($A339,-1,0),0)))))</f>
        <v>41</v>
      </c>
      <c r="N339" s="177" t="str">
        <f ca="1">IF($D339&lt;&gt;"Serviço","",IF(AUTOEVENTO="Manual",IF($A339=0,"&lt;-- defina o número do agrupador",OFFSET(EVENTOS!$D$14,$A339,0)),OFFSET($F$15,$A339,0)))</f>
        <v>INSTALAÇÃO SANITÁRIA - TUBULAÇÕES E CONEXÕES</v>
      </c>
      <c r="O339" s="178"/>
      <c r="Q339" s="178">
        <v>13</v>
      </c>
      <c r="R339" s="179"/>
      <c r="S339" s="179"/>
      <c r="T339" s="179"/>
      <c r="U339" s="179"/>
      <c r="V339" s="179"/>
      <c r="W339" s="179"/>
      <c r="X339" s="179"/>
      <c r="Y339" s="179"/>
      <c r="Z339" s="180"/>
      <c r="AA339" s="179"/>
      <c r="AB339" s="179"/>
      <c r="AC339" s="179"/>
      <c r="AD339" s="179"/>
      <c r="AE339" s="179"/>
      <c r="AF339" s="179"/>
      <c r="AG339" s="179"/>
      <c r="AH339" s="180"/>
      <c r="AJ339" s="544">
        <f ca="1">IF(AND($D339="Serviço",AJ$12&lt;&gt;0,$H339&gt;0,OR(AUTOEVENTO&lt;&gt;"manual",$M339&lt;&gt;1)),
IF(Import.TipoArredondamento&lt;&gt;"TransfereGOV",
ROUND(OFFSET($P339,0,AJ$13),15-13*ORÇAMENTO!$AF$7)/$H339*OFFSET(ORÇAMENTO!$X$15,ROW(AJ339)-ROW(AJ$15),0),
ROUND(ROUND(OFFSET($P339,0,AJ$13),15-13*ORÇAMENTO!$AF$7)*OFFSET(ORÇAMENTO!$W$15,ROW(AJ339)-ROW(AJ$15),0),15-13*ORÇAMENTO!$AF$11)),0)</f>
        <v>0</v>
      </c>
      <c r="AK339" s="545">
        <f ca="1">IF(AND($D339="Serviço",AK$12&lt;&gt;0,$H339&gt;0,OR(AUTOEVENTO&lt;&gt;"manual",$M339&lt;&gt;1)),
IF(Import.TipoArredondamento&lt;&gt;"TransfereGOV",
ROUND(OFFSET($P339,0,AK$13),15-13*ORÇAMENTO!$AF$7)/$H339*OFFSET(ORÇAMENTO!$X$15,ROW(AK339)-ROW(AK$15),0),
ROUND(ROUND(OFFSET($P339,0,AK$13),15-13*ORÇAMENTO!$AF$7)*OFFSET(ORÇAMENTO!$W$15,ROW(AK339)-ROW(AK$15),0),15-13*ORÇAMENTO!$AF$11)),0)</f>
        <v>0</v>
      </c>
      <c r="AL339" s="545">
        <f ca="1">IF(AND($D339="Serviço",AL$12&lt;&gt;0,$H339&gt;0,OR(AUTOEVENTO&lt;&gt;"manual",$M339&lt;&gt;1)),
IF(Import.TipoArredondamento&lt;&gt;"TransfereGOV",
ROUND(OFFSET($P339,0,AL$13),15-13*ORÇAMENTO!$AF$7)/$H339*OFFSET(ORÇAMENTO!$X$15,ROW(AL339)-ROW(AL$15),0),
ROUND(ROUND(OFFSET($P339,0,AL$13),15-13*ORÇAMENTO!$AF$7)*OFFSET(ORÇAMENTO!$W$15,ROW(AL339)-ROW(AL$15),0),15-13*ORÇAMENTO!$AF$11)),0)</f>
        <v>0</v>
      </c>
      <c r="AM339" s="545">
        <f ca="1">IF(AND($D339="Serviço",AM$12&lt;&gt;0,$H339&gt;0,OR(AUTOEVENTO&lt;&gt;"manual",$M339&lt;&gt;1)),
IF(Import.TipoArredondamento&lt;&gt;"TransfereGOV",
ROUND(OFFSET($P339,0,AM$13),15-13*ORÇAMENTO!$AF$7)/$H339*OFFSET(ORÇAMENTO!$X$15,ROW(AM339)-ROW(AM$15),0),
ROUND(ROUND(OFFSET($P339,0,AM$13),15-13*ORÇAMENTO!$AF$7)*OFFSET(ORÇAMENTO!$W$15,ROW(AM339)-ROW(AM$15),0),15-13*ORÇAMENTO!$AF$11)),0)</f>
        <v>0</v>
      </c>
      <c r="AN339" s="545">
        <f ca="1">IF(AND($D339="Serviço",AN$12&lt;&gt;0,$H339&gt;0,OR(AUTOEVENTO&lt;&gt;"manual",$M339&lt;&gt;1)),
IF(Import.TipoArredondamento&lt;&gt;"TransfereGOV",
ROUND(OFFSET($P339,0,AN$13),15-13*ORÇAMENTO!$AF$7)/$H339*OFFSET(ORÇAMENTO!$X$15,ROW(AN339)-ROW(AN$15),0),
ROUND(ROUND(OFFSET($P339,0,AN$13),15-13*ORÇAMENTO!$AF$7)*OFFSET(ORÇAMENTO!$W$15,ROW(AN339)-ROW(AN$15),0),15-13*ORÇAMENTO!$AF$11)),0)</f>
        <v>0</v>
      </c>
      <c r="AO339" s="545">
        <f ca="1">IF(AND($D339="Serviço",AO$12&lt;&gt;0,$H339&gt;0,OR(AUTOEVENTO&lt;&gt;"manual",$M339&lt;&gt;1)),
IF(Import.TipoArredondamento&lt;&gt;"TransfereGOV",
ROUND(OFFSET($P339,0,AO$13),15-13*ORÇAMENTO!$AF$7)/$H339*OFFSET(ORÇAMENTO!$X$15,ROW(AO339)-ROW(AO$15),0),
ROUND(ROUND(OFFSET($P339,0,AO$13),15-13*ORÇAMENTO!$AF$7)*OFFSET(ORÇAMENTO!$W$15,ROW(AO339)-ROW(AO$15),0),15-13*ORÇAMENTO!$AF$11)),0)</f>
        <v>0</v>
      </c>
      <c r="AP339" s="545">
        <f ca="1">IF(AND($D339="Serviço",AP$12&lt;&gt;0,$H339&gt;0,OR(AUTOEVENTO&lt;&gt;"manual",$M339&lt;&gt;1)),
IF(Import.TipoArredondamento&lt;&gt;"TransfereGOV",
ROUND(OFFSET($P339,0,AP$13),15-13*ORÇAMENTO!$AF$7)/$H339*OFFSET(ORÇAMENTO!$X$15,ROW(AP339)-ROW(AP$15),0),
ROUND(ROUND(OFFSET($P339,0,AP$13),15-13*ORÇAMENTO!$AF$7)*OFFSET(ORÇAMENTO!$W$15,ROW(AP339)-ROW(AP$15),0),15-13*ORÇAMENTO!$AF$11)),0)</f>
        <v>0</v>
      </c>
      <c r="AQ339" s="545">
        <f ca="1">IF(AND($D339="Serviço",AQ$12&lt;&gt;0,$H339&gt;0,OR(AUTOEVENTO&lt;&gt;"manual",$M339&lt;&gt;1)),
IF(Import.TipoArredondamento&lt;&gt;"TransfereGOV",
ROUND(OFFSET($P339,0,AQ$13),15-13*ORÇAMENTO!$AF$7)/$H339*OFFSET(ORÇAMENTO!$X$15,ROW(AQ339)-ROW(AQ$15),0),
ROUND(ROUND(OFFSET($P339,0,AQ$13),15-13*ORÇAMENTO!$AF$7)*OFFSET(ORÇAMENTO!$W$15,ROW(AQ339)-ROW(AQ$15),0),15-13*ORÇAMENTO!$AF$11)),0)</f>
        <v>0</v>
      </c>
      <c r="AR339" s="545">
        <f ca="1">IF(AND($D339="Serviço",AR$12&lt;&gt;0,$H339&gt;0,OR(AUTOEVENTO&lt;&gt;"manual",$M339&lt;&gt;1)),
IF(Import.TipoArredondamento&lt;&gt;"TransfereGOV",
ROUND(OFFSET($P339,0,AR$13),15-13*ORÇAMENTO!$AF$7)/$H339*OFFSET(ORÇAMENTO!$X$15,ROW(AR339)-ROW(AR$15),0),
ROUND(ROUND(OFFSET($P339,0,AR$13),15-13*ORÇAMENTO!$AF$7)*OFFSET(ORÇAMENTO!$W$15,ROW(AR339)-ROW(AR$15),0),15-13*ORÇAMENTO!$AF$11)),0)</f>
        <v>0</v>
      </c>
      <c r="AS339" s="546">
        <f ca="1">IF(AND($D339="Serviço",AS$12&lt;&gt;0,$H339&gt;0,OR(AUTOEVENTO&lt;&gt;"manual",$M339&lt;&gt;1)),
IF(Import.TipoArredondamento&lt;&gt;"TransfereGOV",
ROUND(OFFSET($P339,0,AS$13),15-13*ORÇAMENTO!$AF$7)/$H339*OFFSET(ORÇAMENTO!$X$15,ROW(AS339)-ROW(AS$15),0),
ROUND(ROUND(OFFSET($P339,0,AS$13),15-13*ORÇAMENTO!$AF$7)*OFFSET(ORÇAMENTO!$W$15,ROW(AS339)-ROW(AS$15),0),15-13*ORÇAMENTO!$AF$11)),0)</f>
        <v>0</v>
      </c>
      <c r="AT339" s="545">
        <f ca="1">IF(AND($D339="Serviço",AT$12&lt;&gt;0,$H339&gt;0,OR(AUTOEVENTO&lt;&gt;"manual",$M339&lt;&gt;1)),
IF(Import.TipoArredondamento&lt;&gt;"TransfereGOV",
ROUND(OFFSET($P339,0,AT$13),15-13*ORÇAMENTO!$AF$7)/$H339*OFFSET(ORÇAMENTO!$X$15,ROW(AT339)-ROW(AT$15),0),
ROUND(ROUND(OFFSET($P339,0,AT$13),15-13*ORÇAMENTO!$AF$7)*OFFSET(ORÇAMENTO!$W$15,ROW(AT339)-ROW(AT$15),0),15-13*ORÇAMENTO!$AF$11)),0)</f>
        <v>0</v>
      </c>
      <c r="AU339" s="545">
        <f ca="1">IF(AND($D339="Serviço",AU$12&lt;&gt;0,$H339&gt;0,OR(AUTOEVENTO&lt;&gt;"manual",$M339&lt;&gt;1)),
IF(Import.TipoArredondamento&lt;&gt;"TransfereGOV",
ROUND(OFFSET($P339,0,AU$13),15-13*ORÇAMENTO!$AF$7)/$H339*OFFSET(ORÇAMENTO!$X$15,ROW(AU339)-ROW(AU$15),0),
ROUND(ROUND(OFFSET($P339,0,AU$13),15-13*ORÇAMENTO!$AF$7)*OFFSET(ORÇAMENTO!$W$15,ROW(AU339)-ROW(AU$15),0),15-13*ORÇAMENTO!$AF$11)),0)</f>
        <v>0</v>
      </c>
      <c r="AV339" s="545">
        <f ca="1">IF(AND($D339="Serviço",AV$12&lt;&gt;0,$H339&gt;0,OR(AUTOEVENTO&lt;&gt;"manual",$M339&lt;&gt;1)),
IF(Import.TipoArredondamento&lt;&gt;"TransfereGOV",
ROUND(OFFSET($P339,0,AV$13),15-13*ORÇAMENTO!$AF$7)/$H339*OFFSET(ORÇAMENTO!$X$15,ROW(AV339)-ROW(AV$15),0),
ROUND(ROUND(OFFSET($P339,0,AV$13),15-13*ORÇAMENTO!$AF$7)*OFFSET(ORÇAMENTO!$W$15,ROW(AV339)-ROW(AV$15),0),15-13*ORÇAMENTO!$AF$11)),0)</f>
        <v>0</v>
      </c>
      <c r="AW339" s="545">
        <f ca="1">IF(AND($D339="Serviço",AW$12&lt;&gt;0,$H339&gt;0,OR(AUTOEVENTO&lt;&gt;"manual",$M339&lt;&gt;1)),
IF(Import.TipoArredondamento&lt;&gt;"TransfereGOV",
ROUND(OFFSET($P339,0,AW$13),15-13*ORÇAMENTO!$AF$7)/$H339*OFFSET(ORÇAMENTO!$X$15,ROW(AW339)-ROW(AW$15),0),
ROUND(ROUND(OFFSET($P339,0,AW$13),15-13*ORÇAMENTO!$AF$7)*OFFSET(ORÇAMENTO!$W$15,ROW(AW339)-ROW(AW$15),0),15-13*ORÇAMENTO!$AF$11)),0)</f>
        <v>0</v>
      </c>
      <c r="AX339" s="545">
        <f ca="1">IF(AND($D339="Serviço",AX$12&lt;&gt;0,$H339&gt;0,OR(AUTOEVENTO&lt;&gt;"manual",$M339&lt;&gt;1)),
IF(Import.TipoArredondamento&lt;&gt;"TransfereGOV",
ROUND(OFFSET($P339,0,AX$13),15-13*ORÇAMENTO!$AF$7)/$H339*OFFSET(ORÇAMENTO!$X$15,ROW(AX339)-ROW(AX$15),0),
ROUND(ROUND(OFFSET($P339,0,AX$13),15-13*ORÇAMENTO!$AF$7)*OFFSET(ORÇAMENTO!$W$15,ROW(AX339)-ROW(AX$15),0),15-13*ORÇAMENTO!$AF$11)),0)</f>
        <v>0</v>
      </c>
      <c r="AY339" s="545">
        <f ca="1">IF(AND($D339="Serviço",AY$12&lt;&gt;0,$H339&gt;0,OR(AUTOEVENTO&lt;&gt;"manual",$M339&lt;&gt;1)),
IF(Import.TipoArredondamento&lt;&gt;"TransfereGOV",
ROUND(OFFSET($P339,0,AY$13),15-13*ORÇAMENTO!$AF$7)/$H339*OFFSET(ORÇAMENTO!$X$15,ROW(AY339)-ROW(AY$15),0),
ROUND(ROUND(OFFSET($P339,0,AY$13),15-13*ORÇAMENTO!$AF$7)*OFFSET(ORÇAMENTO!$W$15,ROW(AY339)-ROW(AY$15),0),15-13*ORÇAMENTO!$AF$11)),0)</f>
        <v>0</v>
      </c>
      <c r="AZ339" s="545">
        <f ca="1">IF(AND($D339="Serviço",AZ$12&lt;&gt;0,$H339&gt;0,OR(AUTOEVENTO&lt;&gt;"manual",$M339&lt;&gt;1)),
IF(Import.TipoArredondamento&lt;&gt;"TransfereGOV",
ROUND(OFFSET($P339,0,AZ$13),15-13*ORÇAMENTO!$AF$7)/$H339*OFFSET(ORÇAMENTO!$X$15,ROW(AZ339)-ROW(AZ$15),0),
ROUND(ROUND(OFFSET($P339,0,AZ$13),15-13*ORÇAMENTO!$AF$7)*OFFSET(ORÇAMENTO!$W$15,ROW(AZ339)-ROW(AZ$15),0),15-13*ORÇAMENTO!$AF$11)),0)</f>
        <v>0</v>
      </c>
      <c r="BA339" s="546">
        <f ca="1">IF(AND($D339="Serviço",BA$12&lt;&gt;0,$H339&gt;0,OR(AUTOEVENTO&lt;&gt;"manual",$M339&lt;&gt;1)),
IF(Import.TipoArredondamento&lt;&gt;"TransfereGOV",
ROUND(OFFSET($P339,0,BA$13),15-13*ORÇAMENTO!$AF$7)/$H339*OFFSET(ORÇAMENTO!$X$15,ROW(BA339)-ROW(BA$15),0),
ROUND(ROUND(OFFSET($P339,0,BA$13),15-13*ORÇAMENTO!$AF$7)*OFFSET(ORÇAMENTO!$W$15,ROW(BA339)-ROW(BA$15),0),15-13*ORÇAMENTO!$AF$11)),0)</f>
        <v>0</v>
      </c>
      <c r="BC339" s="181">
        <f ca="1">IF($D339&lt;&gt;"Serviço",0,IF(AND(AUTOEVENTO="Manual",$M339=1),0,IF(OFFSET(CRONOPLE!$F$14,$M339,BC$13)="",10^12,OFFSET(CRONOPLE!$F$14,$M339,BC$13))))</f>
        <v>9</v>
      </c>
      <c r="BD339" s="181">
        <f ca="1">IF($D339&lt;&gt;"Serviço",0,IF(AND(AUTOEVENTO="Manual",$M339=1),0,IF(OFFSET(CRONOPLE!$F$14,$M339,BD$13)="",10^12,OFFSET(CRONOPLE!$F$14,$M339,BD$13))))</f>
        <v>1000000000000</v>
      </c>
      <c r="BE339" s="181">
        <f ca="1">IF($D339&lt;&gt;"Serviço",0,IF(AND(AUTOEVENTO="Manual",$M339=1),0,IF(OFFSET(CRONOPLE!$F$14,$M339,BE$13)="",10^12,OFFSET(CRONOPLE!$F$14,$M339,BE$13))))</f>
        <v>1000000000000</v>
      </c>
      <c r="BF339" s="181">
        <f ca="1">IF($D339&lt;&gt;"Serviço",0,IF(AND(AUTOEVENTO="Manual",$M339=1),0,IF(OFFSET(CRONOPLE!$F$14,$M339,BF$13)="",10^12,OFFSET(CRONOPLE!$F$14,$M339,BF$13))))</f>
        <v>1000000000000</v>
      </c>
      <c r="BG339" s="181">
        <f ca="1">IF($D339&lt;&gt;"Serviço",0,IF(AND(AUTOEVENTO="Manual",$M339=1),0,IF(OFFSET(CRONOPLE!$F$14,$M339,BG$13)="",10^12,OFFSET(CRONOPLE!$F$14,$M339,BG$13))))</f>
        <v>1000000000000</v>
      </c>
      <c r="BH339" s="181">
        <f ca="1">IF($D339&lt;&gt;"Serviço",0,IF(AND(AUTOEVENTO="Manual",$M339=1),0,IF(OFFSET(CRONOPLE!$F$14,$M339,BH$13)="",10^12,OFFSET(CRONOPLE!$F$14,$M339,BH$13))))</f>
        <v>1000000000000</v>
      </c>
      <c r="BI339" s="181">
        <f ca="1">IF($D339&lt;&gt;"Serviço",0,IF(AND(AUTOEVENTO="Manual",$M339=1),0,IF(OFFSET(CRONOPLE!$F$14,$M339,BI$13)="",10^12,OFFSET(CRONOPLE!$F$14,$M339,BI$13))))</f>
        <v>1000000000000</v>
      </c>
      <c r="BJ339" s="181">
        <f ca="1">IF($D339&lt;&gt;"Serviço",0,IF(AND(AUTOEVENTO="Manual",$M339=1),0,IF(OFFSET(CRONOPLE!$F$14,$M339,BJ$13)="",10^12,OFFSET(CRONOPLE!$F$14,$M339,BJ$13))))</f>
        <v>1000000000000</v>
      </c>
      <c r="BK339" s="181">
        <f ca="1">IF($D339&lt;&gt;"Serviço",0,IF(AND(AUTOEVENTO="Manual",$M339=1),0,IF(OFFSET(CRONOPLE!$F$14,$M339,BK$13)="",10^12,OFFSET(CRONOPLE!$F$14,$M339,BK$13))))</f>
        <v>1000000000000</v>
      </c>
      <c r="BL339" s="181">
        <f ca="1">IF($D339&lt;&gt;"Serviço",0,IF(AND(AUTOEVENTO="Manual",$M339=1),0,IF(OFFSET(CRONOPLE!$F$14,$M339,BL$13)="",10^12,OFFSET(CRONOPLE!$F$14,$M339,BL$13))))</f>
        <v>1000000000000</v>
      </c>
      <c r="BM339" s="181">
        <f ca="1">IF($D339&lt;&gt;"Serviço",0,IF(AND(AUTOEVENTO="Manual",$M339=1),0,IF(OFFSET(CRONOPLE!$F$14,$M339,BM$13)="",10^12,OFFSET(CRONOPLE!$F$14,$M339,BM$13))))</f>
        <v>1000000000000</v>
      </c>
      <c r="BN339" s="181">
        <f ca="1">IF($D339&lt;&gt;"Serviço",0,IF(AND(AUTOEVENTO="Manual",$M339=1),0,IF(OFFSET(CRONOPLE!$F$14,$M339,BN$13)="",10^12,OFFSET(CRONOPLE!$F$14,$M339,BN$13))))</f>
        <v>1000000000000</v>
      </c>
      <c r="BO339" s="181">
        <f ca="1">IF($D339&lt;&gt;"Serviço",0,IF(AND(AUTOEVENTO="Manual",$M339=1),0,IF(OFFSET(CRONOPLE!$F$14,$M339,BO$13)="",10^12,OFFSET(CRONOPLE!$F$14,$M339,BO$13))))</f>
        <v>1000000000000</v>
      </c>
      <c r="BP339" s="181">
        <f ca="1">IF($D339&lt;&gt;"Serviço",0,IF(AND(AUTOEVENTO="Manual",$M339=1),0,IF(OFFSET(CRONOPLE!$F$14,$M339,BP$13)="",10^12,OFFSET(CRONOPLE!$F$14,$M339,BP$13))))</f>
        <v>1000000000000</v>
      </c>
      <c r="BQ339" s="181">
        <f ca="1">IF($D339&lt;&gt;"Serviço",0,IF(AND(AUTOEVENTO="Manual",$M339=1),0,IF(OFFSET(CRONOPLE!$F$14,$M339,BQ$13)="",10^12,OFFSET(CRONOPLE!$F$14,$M339,BQ$13))))</f>
        <v>1000000000000</v>
      </c>
      <c r="BR339" s="181">
        <f ca="1">IF($D339&lt;&gt;"Serviço",0,IF(AND(AUTOEVENTO="Manual",$M339=1),0,IF(OFFSET(CRONOPLE!$F$14,$M339,BR$13)="",10^12,OFFSET(CRONOPLE!$F$14,$M339,BR$13))))</f>
        <v>1000000000000</v>
      </c>
      <c r="BS339" s="181">
        <f ca="1">IF($D339&lt;&gt;"Serviço",0,IF(AND(AUTOEVENTO="Manual",$M339=1),0,IF(OFFSET(CRONOPLE!$F$14,$M339,BS$13)="",10^12,OFFSET(CRONOPLE!$F$14,$M339,BS$13))))</f>
        <v>1000000000000</v>
      </c>
      <c r="BT339" s="181">
        <f ca="1">IF($D339&lt;&gt;"Serviço",0,IF(AND(AUTOEVENTO="Manual",$M339=1),0,IF(OFFSET(CRONOPLE!$F$14,$M339,BT$13)="",10^12,OFFSET(CRONOPLE!$F$14,$M339,BT$13))))</f>
        <v>1000000000000</v>
      </c>
      <c r="BV339" s="182">
        <f ca="1">IF($D339&lt;&gt;"Serviço",0,IF(OR(AND(AUTOEVENTO="Manual",$M339=1),$M339&gt;(ROW(PLE.lastrow)-ROW(PLE.firstrow))),0,IF(OFFSET(PLE!$G$14,$M339,BV$13)="",10^12,OFFSET(PLE!$G$14,$M339,BV$13))))</f>
        <v>1000000000000</v>
      </c>
      <c r="BW339" s="182">
        <f ca="1">IF($D339&lt;&gt;"Serviço",0,IF(OR(AND(AUTOEVENTO="Manual",$M339=1),$M339&gt;(ROW(PLE.lastrow)-ROW(PLE.firstrow))),0,IF(OFFSET(PLE!$G$14,$M339,BW$13)="",10^12,OFFSET(PLE!$G$14,$M339,BW$13))))</f>
        <v>1000000000000</v>
      </c>
      <c r="BX339" s="182">
        <f ca="1">IF($D339&lt;&gt;"Serviço",0,IF(OR(AND(AUTOEVENTO="Manual",$M339=1),$M339&gt;(ROW(PLE.lastrow)-ROW(PLE.firstrow))),0,IF(OFFSET(PLE!$G$14,$M339,BX$13)="",10^12,OFFSET(PLE!$G$14,$M339,BX$13))))</f>
        <v>1000000000000</v>
      </c>
      <c r="BY339" s="182">
        <f ca="1">IF($D339&lt;&gt;"Serviço",0,IF(OR(AND(AUTOEVENTO="Manual",$M339=1),$M339&gt;(ROW(PLE.lastrow)-ROW(PLE.firstrow))),0,IF(OFFSET(PLE!$G$14,$M339,BY$13)="",10^12,OFFSET(PLE!$G$14,$M339,BY$13))))</f>
        <v>1000000000000</v>
      </c>
      <c r="BZ339" s="182">
        <f ca="1">IF($D339&lt;&gt;"Serviço",0,IF(OR(AND(AUTOEVENTO="Manual",$M339=1),$M339&gt;(ROW(PLE.lastrow)-ROW(PLE.firstrow))),0,IF(OFFSET(PLE!$G$14,$M339,BZ$13)="",10^12,OFFSET(PLE!$G$14,$M339,BZ$13))))</f>
        <v>1000000000000</v>
      </c>
      <c r="CA339" s="182">
        <f ca="1">IF($D339&lt;&gt;"Serviço",0,IF(OR(AND(AUTOEVENTO="Manual",$M339=1),$M339&gt;(ROW(PLE.lastrow)-ROW(PLE.firstrow))),0,IF(OFFSET(PLE!$G$14,$M339,CA$13)="",10^12,OFFSET(PLE!$G$14,$M339,CA$13))))</f>
        <v>1000000000000</v>
      </c>
      <c r="CB339" s="182">
        <f ca="1">IF($D339&lt;&gt;"Serviço",0,IF(OR(AND(AUTOEVENTO="Manual",$M339=1),$M339&gt;(ROW(PLE.lastrow)-ROW(PLE.firstrow))),0,IF(OFFSET(PLE!$G$14,$M339,CB$13)="",10^12,OFFSET(PLE!$G$14,$M339,CB$13))))</f>
        <v>1000000000000</v>
      </c>
      <c r="CC339" s="182">
        <f ca="1">IF($D339&lt;&gt;"Serviço",0,IF(OR(AND(AUTOEVENTO="Manual",$M339=1),$M339&gt;(ROW(PLE.lastrow)-ROW(PLE.firstrow))),0,IF(OFFSET(PLE!$G$14,$M339,CC$13)="",10^12,OFFSET(PLE!$G$14,$M339,CC$13))))</f>
        <v>1000000000000</v>
      </c>
      <c r="CD339" s="182">
        <f ca="1">IF($D339&lt;&gt;"Serviço",0,IF(OR(AND(AUTOEVENTO="Manual",$M339=1),$M339&gt;(ROW(PLE.lastrow)-ROW(PLE.firstrow))),0,IF(OFFSET(PLE!$G$14,$M339,CD$13)="",10^12,OFFSET(PLE!$G$14,$M339,CD$13))))</f>
        <v>1000000000000</v>
      </c>
      <c r="CE339" s="182">
        <f ca="1">IF($D339&lt;&gt;"Serviço",0,IF(OR(AND(AUTOEVENTO="Manual",$M339=1),$M339&gt;(ROW(PLE.lastrow)-ROW(PLE.firstrow))),0,IF(OFFSET(PLE!$G$14,$M339,CE$13)="",10^12,OFFSET(PLE!$G$14,$M339,CE$13))))</f>
        <v>1000000000000</v>
      </c>
      <c r="CF339" s="182">
        <f ca="1">IF($D339&lt;&gt;"Serviço",0,IF(OR(AND(AUTOEVENTO="Manual",$M339=1),$M339&gt;(ROW(PLE.lastrow)-ROW(PLE.firstrow))),0,IF(OFFSET(PLE!$G$14,$M339,CF$13)="",10^12,OFFSET(PLE!$G$14,$M339,CF$13))))</f>
        <v>1000000000000</v>
      </c>
      <c r="CG339" s="182">
        <f ca="1">IF($D339&lt;&gt;"Serviço",0,IF(OR(AND(AUTOEVENTO="Manual",$M339=1),$M339&gt;(ROW(PLE.lastrow)-ROW(PLE.firstrow))),0,IF(OFFSET(PLE!$G$14,$M339,CG$13)="",10^12,OFFSET(PLE!$G$14,$M339,CG$13))))</f>
        <v>1000000000000</v>
      </c>
      <c r="CH339" s="182">
        <f ca="1">IF($D339&lt;&gt;"Serviço",0,IF(OR(AND(AUTOEVENTO="Manual",$M339=1),$M339&gt;(ROW(PLE.lastrow)-ROW(PLE.firstrow))),0,IF(OFFSET(PLE!$G$14,$M339,CH$13)="",10^12,OFFSET(PLE!$G$14,$M339,CH$13))))</f>
        <v>1000000000000</v>
      </c>
      <c r="CI339" s="182">
        <f ca="1">IF($D339&lt;&gt;"Serviço",0,IF(OR(AND(AUTOEVENTO="Manual",$M339=1),$M339&gt;(ROW(PLE.lastrow)-ROW(PLE.firstrow))),0,IF(OFFSET(PLE!$G$14,$M339,CI$13)="",10^12,OFFSET(PLE!$G$14,$M339,CI$13))))</f>
        <v>1000000000000</v>
      </c>
      <c r="CJ339" s="182">
        <f ca="1">IF($D339&lt;&gt;"Serviço",0,IF(OR(AND(AUTOEVENTO="Manual",$M339=1),$M339&gt;(ROW(PLE.lastrow)-ROW(PLE.firstrow))),0,IF(OFFSET(PLE!$G$14,$M339,CJ$13)="",10^12,OFFSET(PLE!$G$14,$M339,CJ$13))))</f>
        <v>1000000000000</v>
      </c>
      <c r="CK339" s="182">
        <f ca="1">IF($D339&lt;&gt;"Serviço",0,IF(OR(AND(AUTOEVENTO="Manual",$M339=1),$M339&gt;(ROW(PLE.lastrow)-ROW(PLE.firstrow))),0,IF(OFFSET(PLE!$G$14,$M339,CK$13)="",10^12,OFFSET(PLE!$G$14,$M339,CK$13))))</f>
        <v>1000000000000</v>
      </c>
      <c r="CL339" s="182">
        <f ca="1">IF($D339&lt;&gt;"Serviço",0,IF(OR(AND(AUTOEVENTO="Manual",$M339=1),$M339&gt;(ROW(PLE.lastrow)-ROW(PLE.firstrow))),0,IF(OFFSET(PLE!$G$14,$M339,CL$13)="",10^12,OFFSET(PLE!$G$14,$M339,CL$13))))</f>
        <v>1000000000000</v>
      </c>
      <c r="CM339" s="182">
        <f ca="1">IF($D339&lt;&gt;"Serviço",0,IF(OR(AND(AUTOEVENTO="Manual",$M339=1),$M339&gt;(ROW(PLE.lastrow)-ROW(PLE.firstrow))),0,IF(OFFSET(PLE!$G$14,$M339,CM$13)="",10^12,OFFSET(PLE!$G$14,$M339,CM$13))))</f>
        <v>1000000000000</v>
      </c>
    </row>
    <row r="340" spans="1:91" ht="38.25" x14ac:dyDescent="0.2">
      <c r="A340" s="7" t="str">
        <f t="shared" ca="1" si="12"/>
        <v>304</v>
      </c>
      <c r="B340" s="7" t="str">
        <f ca="1">OFFSET(ORÇAMENTO!C$15,ROW(B340)-ROW(B$15),0)</f>
        <v>S</v>
      </c>
      <c r="C340" s="7" t="str">
        <f ca="1">OFFSET(ORÇAMENTO!L$15,ROW(C340)-ROW(C$15),0)</f>
        <v/>
      </c>
      <c r="D340" s="118" t="str">
        <f ca="1">OFFSET(ORÇAMENTO!N$15,ROW(D340)-ROW(D$15),0)</f>
        <v>Serviço</v>
      </c>
      <c r="E340" s="119" t="str">
        <f ca="1">OFFSET(ORÇAMENTO!O$15,ROW(E340)-ROW(E$15),0)</f>
        <v>-</v>
      </c>
      <c r="F340" s="172" t="str">
        <f ca="1">OFFSET(ORÇAMENTO!R$15,ROW(F340)-ROW(F$15),0)</f>
        <v>(abra o arquivo 'Referência 06-2024.xlsm)</v>
      </c>
      <c r="G340" s="173" t="str">
        <f ca="1">IF($D340&lt;&gt;"Serviço","",OFFSET(ORÇAMENTO!S$15,ROW(G340)-ROW(G$15),0))</f>
        <v>-</v>
      </c>
      <c r="H340" s="124">
        <f ca="1">IF($D340&lt;&gt;"Serviço",0,IF(ACOMPANHAMENTO="BM",ROUND(OFFSET(ORÇAMENTO!AJ$15,ROW(H340)-ROW(H$15),0),15-13*ORÇAMENTO!$AF$7),SUMPRODUCT(($Q$12:$AI$12&lt;&gt;"")*ROUND($Q340:$AI340,15-13*ORÇAMENTO!$AF$7))))</f>
        <v>21</v>
      </c>
      <c r="I340" s="561" t="s">
        <v>1107</v>
      </c>
      <c r="K340" s="174"/>
      <c r="L340" s="175" t="s">
        <v>255</v>
      </c>
      <c r="M340" s="176">
        <f ca="1">IF($D340&lt;&gt;"Serviço","",IF(AUTOEVENTO="manual",$A340,IF(ISERROR(MATCH($A340,$A$15:OFFSET($A340,-1,0),0)),MAX($M$15:OFFSET(M340,-1,0))+1,INDEX($M$15:OFFSET(M340,-1,0),MATCH($A340,$A$15:OFFSET($A340,-1,0),0)))))</f>
        <v>41</v>
      </c>
      <c r="N340" s="177" t="str">
        <f ca="1">IF($D340&lt;&gt;"Serviço","",IF(AUTOEVENTO="Manual",IF($A340=0,"&lt;-- defina o número do agrupador",OFFSET(EVENTOS!$D$14,$A340,0)),OFFSET($F$15,$A340,0)))</f>
        <v>INSTALAÇÃO SANITÁRIA - TUBULAÇÕES E CONEXÕES</v>
      </c>
      <c r="O340" s="178"/>
      <c r="Q340" s="178">
        <v>21</v>
      </c>
      <c r="R340" s="179"/>
      <c r="S340" s="179"/>
      <c r="T340" s="179"/>
      <c r="U340" s="179"/>
      <c r="V340" s="179"/>
      <c r="W340" s="179"/>
      <c r="X340" s="179"/>
      <c r="Y340" s="179"/>
      <c r="Z340" s="180"/>
      <c r="AA340" s="179"/>
      <c r="AB340" s="179"/>
      <c r="AC340" s="179"/>
      <c r="AD340" s="179"/>
      <c r="AE340" s="179"/>
      <c r="AF340" s="179"/>
      <c r="AG340" s="179"/>
      <c r="AH340" s="180"/>
      <c r="AJ340" s="544">
        <f ca="1">IF(AND($D340="Serviço",AJ$12&lt;&gt;0,$H340&gt;0,OR(AUTOEVENTO&lt;&gt;"manual",$M340&lt;&gt;1)),
IF(Import.TipoArredondamento&lt;&gt;"TransfereGOV",
ROUND(OFFSET($P340,0,AJ$13),15-13*ORÇAMENTO!$AF$7)/$H340*OFFSET(ORÇAMENTO!$X$15,ROW(AJ340)-ROW(AJ$15),0),
ROUND(ROUND(OFFSET($P340,0,AJ$13),15-13*ORÇAMENTO!$AF$7)*OFFSET(ORÇAMENTO!$W$15,ROW(AJ340)-ROW(AJ$15),0),15-13*ORÇAMENTO!$AF$11)),0)</f>
        <v>0</v>
      </c>
      <c r="AK340" s="545">
        <f ca="1">IF(AND($D340="Serviço",AK$12&lt;&gt;0,$H340&gt;0,OR(AUTOEVENTO&lt;&gt;"manual",$M340&lt;&gt;1)),
IF(Import.TipoArredondamento&lt;&gt;"TransfereGOV",
ROUND(OFFSET($P340,0,AK$13),15-13*ORÇAMENTO!$AF$7)/$H340*OFFSET(ORÇAMENTO!$X$15,ROW(AK340)-ROW(AK$15),0),
ROUND(ROUND(OFFSET($P340,0,AK$13),15-13*ORÇAMENTO!$AF$7)*OFFSET(ORÇAMENTO!$W$15,ROW(AK340)-ROW(AK$15),0),15-13*ORÇAMENTO!$AF$11)),0)</f>
        <v>0</v>
      </c>
      <c r="AL340" s="545">
        <f ca="1">IF(AND($D340="Serviço",AL$12&lt;&gt;0,$H340&gt;0,OR(AUTOEVENTO&lt;&gt;"manual",$M340&lt;&gt;1)),
IF(Import.TipoArredondamento&lt;&gt;"TransfereGOV",
ROUND(OFFSET($P340,0,AL$13),15-13*ORÇAMENTO!$AF$7)/$H340*OFFSET(ORÇAMENTO!$X$15,ROW(AL340)-ROW(AL$15),0),
ROUND(ROUND(OFFSET($P340,0,AL$13),15-13*ORÇAMENTO!$AF$7)*OFFSET(ORÇAMENTO!$W$15,ROW(AL340)-ROW(AL$15),0),15-13*ORÇAMENTO!$AF$11)),0)</f>
        <v>0</v>
      </c>
      <c r="AM340" s="545">
        <f ca="1">IF(AND($D340="Serviço",AM$12&lt;&gt;0,$H340&gt;0,OR(AUTOEVENTO&lt;&gt;"manual",$M340&lt;&gt;1)),
IF(Import.TipoArredondamento&lt;&gt;"TransfereGOV",
ROUND(OFFSET($P340,0,AM$13),15-13*ORÇAMENTO!$AF$7)/$H340*OFFSET(ORÇAMENTO!$X$15,ROW(AM340)-ROW(AM$15),0),
ROUND(ROUND(OFFSET($P340,0,AM$13),15-13*ORÇAMENTO!$AF$7)*OFFSET(ORÇAMENTO!$W$15,ROW(AM340)-ROW(AM$15),0),15-13*ORÇAMENTO!$AF$11)),0)</f>
        <v>0</v>
      </c>
      <c r="AN340" s="545">
        <f ca="1">IF(AND($D340="Serviço",AN$12&lt;&gt;0,$H340&gt;0,OR(AUTOEVENTO&lt;&gt;"manual",$M340&lt;&gt;1)),
IF(Import.TipoArredondamento&lt;&gt;"TransfereGOV",
ROUND(OFFSET($P340,0,AN$13),15-13*ORÇAMENTO!$AF$7)/$H340*OFFSET(ORÇAMENTO!$X$15,ROW(AN340)-ROW(AN$15),0),
ROUND(ROUND(OFFSET($P340,0,AN$13),15-13*ORÇAMENTO!$AF$7)*OFFSET(ORÇAMENTO!$W$15,ROW(AN340)-ROW(AN$15),0),15-13*ORÇAMENTO!$AF$11)),0)</f>
        <v>0</v>
      </c>
      <c r="AO340" s="545">
        <f ca="1">IF(AND($D340="Serviço",AO$12&lt;&gt;0,$H340&gt;0,OR(AUTOEVENTO&lt;&gt;"manual",$M340&lt;&gt;1)),
IF(Import.TipoArredondamento&lt;&gt;"TransfereGOV",
ROUND(OFFSET($P340,0,AO$13),15-13*ORÇAMENTO!$AF$7)/$H340*OFFSET(ORÇAMENTO!$X$15,ROW(AO340)-ROW(AO$15),0),
ROUND(ROUND(OFFSET($P340,0,AO$13),15-13*ORÇAMENTO!$AF$7)*OFFSET(ORÇAMENTO!$W$15,ROW(AO340)-ROW(AO$15),0),15-13*ORÇAMENTO!$AF$11)),0)</f>
        <v>0</v>
      </c>
      <c r="AP340" s="545">
        <f ca="1">IF(AND($D340="Serviço",AP$12&lt;&gt;0,$H340&gt;0,OR(AUTOEVENTO&lt;&gt;"manual",$M340&lt;&gt;1)),
IF(Import.TipoArredondamento&lt;&gt;"TransfereGOV",
ROUND(OFFSET($P340,0,AP$13),15-13*ORÇAMENTO!$AF$7)/$H340*OFFSET(ORÇAMENTO!$X$15,ROW(AP340)-ROW(AP$15),0),
ROUND(ROUND(OFFSET($P340,0,AP$13),15-13*ORÇAMENTO!$AF$7)*OFFSET(ORÇAMENTO!$W$15,ROW(AP340)-ROW(AP$15),0),15-13*ORÇAMENTO!$AF$11)),0)</f>
        <v>0</v>
      </c>
      <c r="AQ340" s="545">
        <f ca="1">IF(AND($D340="Serviço",AQ$12&lt;&gt;0,$H340&gt;0,OR(AUTOEVENTO&lt;&gt;"manual",$M340&lt;&gt;1)),
IF(Import.TipoArredondamento&lt;&gt;"TransfereGOV",
ROUND(OFFSET($P340,0,AQ$13),15-13*ORÇAMENTO!$AF$7)/$H340*OFFSET(ORÇAMENTO!$X$15,ROW(AQ340)-ROW(AQ$15),0),
ROUND(ROUND(OFFSET($P340,0,AQ$13),15-13*ORÇAMENTO!$AF$7)*OFFSET(ORÇAMENTO!$W$15,ROW(AQ340)-ROW(AQ$15),0),15-13*ORÇAMENTO!$AF$11)),0)</f>
        <v>0</v>
      </c>
      <c r="AR340" s="545">
        <f ca="1">IF(AND($D340="Serviço",AR$12&lt;&gt;0,$H340&gt;0,OR(AUTOEVENTO&lt;&gt;"manual",$M340&lt;&gt;1)),
IF(Import.TipoArredondamento&lt;&gt;"TransfereGOV",
ROUND(OFFSET($P340,0,AR$13),15-13*ORÇAMENTO!$AF$7)/$H340*OFFSET(ORÇAMENTO!$X$15,ROW(AR340)-ROW(AR$15),0),
ROUND(ROUND(OFFSET($P340,0,AR$13),15-13*ORÇAMENTO!$AF$7)*OFFSET(ORÇAMENTO!$W$15,ROW(AR340)-ROW(AR$15),0),15-13*ORÇAMENTO!$AF$11)),0)</f>
        <v>0</v>
      </c>
      <c r="AS340" s="546">
        <f ca="1">IF(AND($D340="Serviço",AS$12&lt;&gt;0,$H340&gt;0,OR(AUTOEVENTO&lt;&gt;"manual",$M340&lt;&gt;1)),
IF(Import.TipoArredondamento&lt;&gt;"TransfereGOV",
ROUND(OFFSET($P340,0,AS$13),15-13*ORÇAMENTO!$AF$7)/$H340*OFFSET(ORÇAMENTO!$X$15,ROW(AS340)-ROW(AS$15),0),
ROUND(ROUND(OFFSET($P340,0,AS$13),15-13*ORÇAMENTO!$AF$7)*OFFSET(ORÇAMENTO!$W$15,ROW(AS340)-ROW(AS$15),0),15-13*ORÇAMENTO!$AF$11)),0)</f>
        <v>0</v>
      </c>
      <c r="AT340" s="545">
        <f ca="1">IF(AND($D340="Serviço",AT$12&lt;&gt;0,$H340&gt;0,OR(AUTOEVENTO&lt;&gt;"manual",$M340&lt;&gt;1)),
IF(Import.TipoArredondamento&lt;&gt;"TransfereGOV",
ROUND(OFFSET($P340,0,AT$13),15-13*ORÇAMENTO!$AF$7)/$H340*OFFSET(ORÇAMENTO!$X$15,ROW(AT340)-ROW(AT$15),0),
ROUND(ROUND(OFFSET($P340,0,AT$13),15-13*ORÇAMENTO!$AF$7)*OFFSET(ORÇAMENTO!$W$15,ROW(AT340)-ROW(AT$15),0),15-13*ORÇAMENTO!$AF$11)),0)</f>
        <v>0</v>
      </c>
      <c r="AU340" s="545">
        <f ca="1">IF(AND($D340="Serviço",AU$12&lt;&gt;0,$H340&gt;0,OR(AUTOEVENTO&lt;&gt;"manual",$M340&lt;&gt;1)),
IF(Import.TipoArredondamento&lt;&gt;"TransfereGOV",
ROUND(OFFSET($P340,0,AU$13),15-13*ORÇAMENTO!$AF$7)/$H340*OFFSET(ORÇAMENTO!$X$15,ROW(AU340)-ROW(AU$15),0),
ROUND(ROUND(OFFSET($P340,0,AU$13),15-13*ORÇAMENTO!$AF$7)*OFFSET(ORÇAMENTO!$W$15,ROW(AU340)-ROW(AU$15),0),15-13*ORÇAMENTO!$AF$11)),0)</f>
        <v>0</v>
      </c>
      <c r="AV340" s="545">
        <f ca="1">IF(AND($D340="Serviço",AV$12&lt;&gt;0,$H340&gt;0,OR(AUTOEVENTO&lt;&gt;"manual",$M340&lt;&gt;1)),
IF(Import.TipoArredondamento&lt;&gt;"TransfereGOV",
ROUND(OFFSET($P340,0,AV$13),15-13*ORÇAMENTO!$AF$7)/$H340*OFFSET(ORÇAMENTO!$X$15,ROW(AV340)-ROW(AV$15),0),
ROUND(ROUND(OFFSET($P340,0,AV$13),15-13*ORÇAMENTO!$AF$7)*OFFSET(ORÇAMENTO!$W$15,ROW(AV340)-ROW(AV$15),0),15-13*ORÇAMENTO!$AF$11)),0)</f>
        <v>0</v>
      </c>
      <c r="AW340" s="545">
        <f ca="1">IF(AND($D340="Serviço",AW$12&lt;&gt;0,$H340&gt;0,OR(AUTOEVENTO&lt;&gt;"manual",$M340&lt;&gt;1)),
IF(Import.TipoArredondamento&lt;&gt;"TransfereGOV",
ROUND(OFFSET($P340,0,AW$13),15-13*ORÇAMENTO!$AF$7)/$H340*OFFSET(ORÇAMENTO!$X$15,ROW(AW340)-ROW(AW$15),0),
ROUND(ROUND(OFFSET($P340,0,AW$13),15-13*ORÇAMENTO!$AF$7)*OFFSET(ORÇAMENTO!$W$15,ROW(AW340)-ROW(AW$15),0),15-13*ORÇAMENTO!$AF$11)),0)</f>
        <v>0</v>
      </c>
      <c r="AX340" s="545">
        <f ca="1">IF(AND($D340="Serviço",AX$12&lt;&gt;0,$H340&gt;0,OR(AUTOEVENTO&lt;&gt;"manual",$M340&lt;&gt;1)),
IF(Import.TipoArredondamento&lt;&gt;"TransfereGOV",
ROUND(OFFSET($P340,0,AX$13),15-13*ORÇAMENTO!$AF$7)/$H340*OFFSET(ORÇAMENTO!$X$15,ROW(AX340)-ROW(AX$15),0),
ROUND(ROUND(OFFSET($P340,0,AX$13),15-13*ORÇAMENTO!$AF$7)*OFFSET(ORÇAMENTO!$W$15,ROW(AX340)-ROW(AX$15),0),15-13*ORÇAMENTO!$AF$11)),0)</f>
        <v>0</v>
      </c>
      <c r="AY340" s="545">
        <f ca="1">IF(AND($D340="Serviço",AY$12&lt;&gt;0,$H340&gt;0,OR(AUTOEVENTO&lt;&gt;"manual",$M340&lt;&gt;1)),
IF(Import.TipoArredondamento&lt;&gt;"TransfereGOV",
ROUND(OFFSET($P340,0,AY$13),15-13*ORÇAMENTO!$AF$7)/$H340*OFFSET(ORÇAMENTO!$X$15,ROW(AY340)-ROW(AY$15),0),
ROUND(ROUND(OFFSET($P340,0,AY$13),15-13*ORÇAMENTO!$AF$7)*OFFSET(ORÇAMENTO!$W$15,ROW(AY340)-ROW(AY$15),0),15-13*ORÇAMENTO!$AF$11)),0)</f>
        <v>0</v>
      </c>
      <c r="AZ340" s="545">
        <f ca="1">IF(AND($D340="Serviço",AZ$12&lt;&gt;0,$H340&gt;0,OR(AUTOEVENTO&lt;&gt;"manual",$M340&lt;&gt;1)),
IF(Import.TipoArredondamento&lt;&gt;"TransfereGOV",
ROUND(OFFSET($P340,0,AZ$13),15-13*ORÇAMENTO!$AF$7)/$H340*OFFSET(ORÇAMENTO!$X$15,ROW(AZ340)-ROW(AZ$15),0),
ROUND(ROUND(OFFSET($P340,0,AZ$13),15-13*ORÇAMENTO!$AF$7)*OFFSET(ORÇAMENTO!$W$15,ROW(AZ340)-ROW(AZ$15),0),15-13*ORÇAMENTO!$AF$11)),0)</f>
        <v>0</v>
      </c>
      <c r="BA340" s="546">
        <f ca="1">IF(AND($D340="Serviço",BA$12&lt;&gt;0,$H340&gt;0,OR(AUTOEVENTO&lt;&gt;"manual",$M340&lt;&gt;1)),
IF(Import.TipoArredondamento&lt;&gt;"TransfereGOV",
ROUND(OFFSET($P340,0,BA$13),15-13*ORÇAMENTO!$AF$7)/$H340*OFFSET(ORÇAMENTO!$X$15,ROW(BA340)-ROW(BA$15),0),
ROUND(ROUND(OFFSET($P340,0,BA$13),15-13*ORÇAMENTO!$AF$7)*OFFSET(ORÇAMENTO!$W$15,ROW(BA340)-ROW(BA$15),0),15-13*ORÇAMENTO!$AF$11)),0)</f>
        <v>0</v>
      </c>
      <c r="BC340" s="181">
        <f ca="1">IF($D340&lt;&gt;"Serviço",0,IF(AND(AUTOEVENTO="Manual",$M340=1),0,IF(OFFSET(CRONOPLE!$F$14,$M340,BC$13)="",10^12,OFFSET(CRONOPLE!$F$14,$M340,BC$13))))</f>
        <v>9</v>
      </c>
      <c r="BD340" s="181">
        <f ca="1">IF($D340&lt;&gt;"Serviço",0,IF(AND(AUTOEVENTO="Manual",$M340=1),0,IF(OFFSET(CRONOPLE!$F$14,$M340,BD$13)="",10^12,OFFSET(CRONOPLE!$F$14,$M340,BD$13))))</f>
        <v>1000000000000</v>
      </c>
      <c r="BE340" s="181">
        <f ca="1">IF($D340&lt;&gt;"Serviço",0,IF(AND(AUTOEVENTO="Manual",$M340=1),0,IF(OFFSET(CRONOPLE!$F$14,$M340,BE$13)="",10^12,OFFSET(CRONOPLE!$F$14,$M340,BE$13))))</f>
        <v>1000000000000</v>
      </c>
      <c r="BF340" s="181">
        <f ca="1">IF($D340&lt;&gt;"Serviço",0,IF(AND(AUTOEVENTO="Manual",$M340=1),0,IF(OFFSET(CRONOPLE!$F$14,$M340,BF$13)="",10^12,OFFSET(CRONOPLE!$F$14,$M340,BF$13))))</f>
        <v>1000000000000</v>
      </c>
      <c r="BG340" s="181">
        <f ca="1">IF($D340&lt;&gt;"Serviço",0,IF(AND(AUTOEVENTO="Manual",$M340=1),0,IF(OFFSET(CRONOPLE!$F$14,$M340,BG$13)="",10^12,OFFSET(CRONOPLE!$F$14,$M340,BG$13))))</f>
        <v>1000000000000</v>
      </c>
      <c r="BH340" s="181">
        <f ca="1">IF($D340&lt;&gt;"Serviço",0,IF(AND(AUTOEVENTO="Manual",$M340=1),0,IF(OFFSET(CRONOPLE!$F$14,$M340,BH$13)="",10^12,OFFSET(CRONOPLE!$F$14,$M340,BH$13))))</f>
        <v>1000000000000</v>
      </c>
      <c r="BI340" s="181">
        <f ca="1">IF($D340&lt;&gt;"Serviço",0,IF(AND(AUTOEVENTO="Manual",$M340=1),0,IF(OFFSET(CRONOPLE!$F$14,$M340,BI$13)="",10^12,OFFSET(CRONOPLE!$F$14,$M340,BI$13))))</f>
        <v>1000000000000</v>
      </c>
      <c r="BJ340" s="181">
        <f ca="1">IF($D340&lt;&gt;"Serviço",0,IF(AND(AUTOEVENTO="Manual",$M340=1),0,IF(OFFSET(CRONOPLE!$F$14,$M340,BJ$13)="",10^12,OFFSET(CRONOPLE!$F$14,$M340,BJ$13))))</f>
        <v>1000000000000</v>
      </c>
      <c r="BK340" s="181">
        <f ca="1">IF($D340&lt;&gt;"Serviço",0,IF(AND(AUTOEVENTO="Manual",$M340=1),0,IF(OFFSET(CRONOPLE!$F$14,$M340,BK$13)="",10^12,OFFSET(CRONOPLE!$F$14,$M340,BK$13))))</f>
        <v>1000000000000</v>
      </c>
      <c r="BL340" s="181">
        <f ca="1">IF($D340&lt;&gt;"Serviço",0,IF(AND(AUTOEVENTO="Manual",$M340=1),0,IF(OFFSET(CRONOPLE!$F$14,$M340,BL$13)="",10^12,OFFSET(CRONOPLE!$F$14,$M340,BL$13))))</f>
        <v>1000000000000</v>
      </c>
      <c r="BM340" s="181">
        <f ca="1">IF($D340&lt;&gt;"Serviço",0,IF(AND(AUTOEVENTO="Manual",$M340=1),0,IF(OFFSET(CRONOPLE!$F$14,$M340,BM$13)="",10^12,OFFSET(CRONOPLE!$F$14,$M340,BM$13))))</f>
        <v>1000000000000</v>
      </c>
      <c r="BN340" s="181">
        <f ca="1">IF($D340&lt;&gt;"Serviço",0,IF(AND(AUTOEVENTO="Manual",$M340=1),0,IF(OFFSET(CRONOPLE!$F$14,$M340,BN$13)="",10^12,OFFSET(CRONOPLE!$F$14,$M340,BN$13))))</f>
        <v>1000000000000</v>
      </c>
      <c r="BO340" s="181">
        <f ca="1">IF($D340&lt;&gt;"Serviço",0,IF(AND(AUTOEVENTO="Manual",$M340=1),0,IF(OFFSET(CRONOPLE!$F$14,$M340,BO$13)="",10^12,OFFSET(CRONOPLE!$F$14,$M340,BO$13))))</f>
        <v>1000000000000</v>
      </c>
      <c r="BP340" s="181">
        <f ca="1">IF($D340&lt;&gt;"Serviço",0,IF(AND(AUTOEVENTO="Manual",$M340=1),0,IF(OFFSET(CRONOPLE!$F$14,$M340,BP$13)="",10^12,OFFSET(CRONOPLE!$F$14,$M340,BP$13))))</f>
        <v>1000000000000</v>
      </c>
      <c r="BQ340" s="181">
        <f ca="1">IF($D340&lt;&gt;"Serviço",0,IF(AND(AUTOEVENTO="Manual",$M340=1),0,IF(OFFSET(CRONOPLE!$F$14,$M340,BQ$13)="",10^12,OFFSET(CRONOPLE!$F$14,$M340,BQ$13))))</f>
        <v>1000000000000</v>
      </c>
      <c r="BR340" s="181">
        <f ca="1">IF($D340&lt;&gt;"Serviço",0,IF(AND(AUTOEVENTO="Manual",$M340=1),0,IF(OFFSET(CRONOPLE!$F$14,$M340,BR$13)="",10^12,OFFSET(CRONOPLE!$F$14,$M340,BR$13))))</f>
        <v>1000000000000</v>
      </c>
      <c r="BS340" s="181">
        <f ca="1">IF($D340&lt;&gt;"Serviço",0,IF(AND(AUTOEVENTO="Manual",$M340=1),0,IF(OFFSET(CRONOPLE!$F$14,$M340,BS$13)="",10^12,OFFSET(CRONOPLE!$F$14,$M340,BS$13))))</f>
        <v>1000000000000</v>
      </c>
      <c r="BT340" s="181">
        <f ca="1">IF($D340&lt;&gt;"Serviço",0,IF(AND(AUTOEVENTO="Manual",$M340=1),0,IF(OFFSET(CRONOPLE!$F$14,$M340,BT$13)="",10^12,OFFSET(CRONOPLE!$F$14,$M340,BT$13))))</f>
        <v>1000000000000</v>
      </c>
      <c r="BV340" s="182">
        <f ca="1">IF($D340&lt;&gt;"Serviço",0,IF(OR(AND(AUTOEVENTO="Manual",$M340=1),$M340&gt;(ROW(PLE.lastrow)-ROW(PLE.firstrow))),0,IF(OFFSET(PLE!$G$14,$M340,BV$13)="",10^12,OFFSET(PLE!$G$14,$M340,BV$13))))</f>
        <v>1000000000000</v>
      </c>
      <c r="BW340" s="182">
        <f ca="1">IF($D340&lt;&gt;"Serviço",0,IF(OR(AND(AUTOEVENTO="Manual",$M340=1),$M340&gt;(ROW(PLE.lastrow)-ROW(PLE.firstrow))),0,IF(OFFSET(PLE!$G$14,$M340,BW$13)="",10^12,OFFSET(PLE!$G$14,$M340,BW$13))))</f>
        <v>1000000000000</v>
      </c>
      <c r="BX340" s="182">
        <f ca="1">IF($D340&lt;&gt;"Serviço",0,IF(OR(AND(AUTOEVENTO="Manual",$M340=1),$M340&gt;(ROW(PLE.lastrow)-ROW(PLE.firstrow))),0,IF(OFFSET(PLE!$G$14,$M340,BX$13)="",10^12,OFFSET(PLE!$G$14,$M340,BX$13))))</f>
        <v>1000000000000</v>
      </c>
      <c r="BY340" s="182">
        <f ca="1">IF($D340&lt;&gt;"Serviço",0,IF(OR(AND(AUTOEVENTO="Manual",$M340=1),$M340&gt;(ROW(PLE.lastrow)-ROW(PLE.firstrow))),0,IF(OFFSET(PLE!$G$14,$M340,BY$13)="",10^12,OFFSET(PLE!$G$14,$M340,BY$13))))</f>
        <v>1000000000000</v>
      </c>
      <c r="BZ340" s="182">
        <f ca="1">IF($D340&lt;&gt;"Serviço",0,IF(OR(AND(AUTOEVENTO="Manual",$M340=1),$M340&gt;(ROW(PLE.lastrow)-ROW(PLE.firstrow))),0,IF(OFFSET(PLE!$G$14,$M340,BZ$13)="",10^12,OFFSET(PLE!$G$14,$M340,BZ$13))))</f>
        <v>1000000000000</v>
      </c>
      <c r="CA340" s="182">
        <f ca="1">IF($D340&lt;&gt;"Serviço",0,IF(OR(AND(AUTOEVENTO="Manual",$M340=1),$M340&gt;(ROW(PLE.lastrow)-ROW(PLE.firstrow))),0,IF(OFFSET(PLE!$G$14,$M340,CA$13)="",10^12,OFFSET(PLE!$G$14,$M340,CA$13))))</f>
        <v>1000000000000</v>
      </c>
      <c r="CB340" s="182">
        <f ca="1">IF($D340&lt;&gt;"Serviço",0,IF(OR(AND(AUTOEVENTO="Manual",$M340=1),$M340&gt;(ROW(PLE.lastrow)-ROW(PLE.firstrow))),0,IF(OFFSET(PLE!$G$14,$M340,CB$13)="",10^12,OFFSET(PLE!$G$14,$M340,CB$13))))</f>
        <v>1000000000000</v>
      </c>
      <c r="CC340" s="182">
        <f ca="1">IF($D340&lt;&gt;"Serviço",0,IF(OR(AND(AUTOEVENTO="Manual",$M340=1),$M340&gt;(ROW(PLE.lastrow)-ROW(PLE.firstrow))),0,IF(OFFSET(PLE!$G$14,$M340,CC$13)="",10^12,OFFSET(PLE!$G$14,$M340,CC$13))))</f>
        <v>1000000000000</v>
      </c>
      <c r="CD340" s="182">
        <f ca="1">IF($D340&lt;&gt;"Serviço",0,IF(OR(AND(AUTOEVENTO="Manual",$M340=1),$M340&gt;(ROW(PLE.lastrow)-ROW(PLE.firstrow))),0,IF(OFFSET(PLE!$G$14,$M340,CD$13)="",10^12,OFFSET(PLE!$G$14,$M340,CD$13))))</f>
        <v>1000000000000</v>
      </c>
      <c r="CE340" s="182">
        <f ca="1">IF($D340&lt;&gt;"Serviço",0,IF(OR(AND(AUTOEVENTO="Manual",$M340=1),$M340&gt;(ROW(PLE.lastrow)-ROW(PLE.firstrow))),0,IF(OFFSET(PLE!$G$14,$M340,CE$13)="",10^12,OFFSET(PLE!$G$14,$M340,CE$13))))</f>
        <v>1000000000000</v>
      </c>
      <c r="CF340" s="182">
        <f ca="1">IF($D340&lt;&gt;"Serviço",0,IF(OR(AND(AUTOEVENTO="Manual",$M340=1),$M340&gt;(ROW(PLE.lastrow)-ROW(PLE.firstrow))),0,IF(OFFSET(PLE!$G$14,$M340,CF$13)="",10^12,OFFSET(PLE!$G$14,$M340,CF$13))))</f>
        <v>1000000000000</v>
      </c>
      <c r="CG340" s="182">
        <f ca="1">IF($D340&lt;&gt;"Serviço",0,IF(OR(AND(AUTOEVENTO="Manual",$M340=1),$M340&gt;(ROW(PLE.lastrow)-ROW(PLE.firstrow))),0,IF(OFFSET(PLE!$G$14,$M340,CG$13)="",10^12,OFFSET(PLE!$G$14,$M340,CG$13))))</f>
        <v>1000000000000</v>
      </c>
      <c r="CH340" s="182">
        <f ca="1">IF($D340&lt;&gt;"Serviço",0,IF(OR(AND(AUTOEVENTO="Manual",$M340=1),$M340&gt;(ROW(PLE.lastrow)-ROW(PLE.firstrow))),0,IF(OFFSET(PLE!$G$14,$M340,CH$13)="",10^12,OFFSET(PLE!$G$14,$M340,CH$13))))</f>
        <v>1000000000000</v>
      </c>
      <c r="CI340" s="182">
        <f ca="1">IF($D340&lt;&gt;"Serviço",0,IF(OR(AND(AUTOEVENTO="Manual",$M340=1),$M340&gt;(ROW(PLE.lastrow)-ROW(PLE.firstrow))),0,IF(OFFSET(PLE!$G$14,$M340,CI$13)="",10^12,OFFSET(PLE!$G$14,$M340,CI$13))))</f>
        <v>1000000000000</v>
      </c>
      <c r="CJ340" s="182">
        <f ca="1">IF($D340&lt;&gt;"Serviço",0,IF(OR(AND(AUTOEVENTO="Manual",$M340=1),$M340&gt;(ROW(PLE.lastrow)-ROW(PLE.firstrow))),0,IF(OFFSET(PLE!$G$14,$M340,CJ$13)="",10^12,OFFSET(PLE!$G$14,$M340,CJ$13))))</f>
        <v>1000000000000</v>
      </c>
      <c r="CK340" s="182">
        <f ca="1">IF($D340&lt;&gt;"Serviço",0,IF(OR(AND(AUTOEVENTO="Manual",$M340=1),$M340&gt;(ROW(PLE.lastrow)-ROW(PLE.firstrow))),0,IF(OFFSET(PLE!$G$14,$M340,CK$13)="",10^12,OFFSET(PLE!$G$14,$M340,CK$13))))</f>
        <v>1000000000000</v>
      </c>
      <c r="CL340" s="182">
        <f ca="1">IF($D340&lt;&gt;"Serviço",0,IF(OR(AND(AUTOEVENTO="Manual",$M340=1),$M340&gt;(ROW(PLE.lastrow)-ROW(PLE.firstrow))),0,IF(OFFSET(PLE!$G$14,$M340,CL$13)="",10^12,OFFSET(PLE!$G$14,$M340,CL$13))))</f>
        <v>1000000000000</v>
      </c>
      <c r="CM340" s="182">
        <f ca="1">IF($D340&lt;&gt;"Serviço",0,IF(OR(AND(AUTOEVENTO="Manual",$M340=1),$M340&gt;(ROW(PLE.lastrow)-ROW(PLE.firstrow))),0,IF(OFFSET(PLE!$G$14,$M340,CM$13)="",10^12,OFFSET(PLE!$G$14,$M340,CM$13))))</f>
        <v>1000000000000</v>
      </c>
    </row>
    <row r="341" spans="1:91" ht="38.25" x14ac:dyDescent="0.2">
      <c r="A341" s="7" t="str">
        <f t="shared" ca="1" si="12"/>
        <v>304</v>
      </c>
      <c r="B341" s="7" t="str">
        <f ca="1">OFFSET(ORÇAMENTO!C$15,ROW(B341)-ROW(B$15),0)</f>
        <v>S</v>
      </c>
      <c r="C341" s="7" t="str">
        <f ca="1">OFFSET(ORÇAMENTO!L$15,ROW(C341)-ROW(C$15),0)</f>
        <v/>
      </c>
      <c r="D341" s="118" t="str">
        <f ca="1">OFFSET(ORÇAMENTO!N$15,ROW(D341)-ROW(D$15),0)</f>
        <v>Serviço</v>
      </c>
      <c r="E341" s="119" t="str">
        <f ca="1">OFFSET(ORÇAMENTO!O$15,ROW(E341)-ROW(E$15),0)</f>
        <v>-</v>
      </c>
      <c r="F341" s="172" t="str">
        <f ca="1">OFFSET(ORÇAMENTO!R$15,ROW(F341)-ROW(F$15),0)</f>
        <v>(abra o arquivo 'Referência 06-2024.xlsm)</v>
      </c>
      <c r="G341" s="173" t="str">
        <f ca="1">IF($D341&lt;&gt;"Serviço","",OFFSET(ORÇAMENTO!S$15,ROW(G341)-ROW(G$15),0))</f>
        <v>-</v>
      </c>
      <c r="H341" s="124">
        <f ca="1">IF($D341&lt;&gt;"Serviço",0,IF(ACOMPANHAMENTO="BM",ROUND(OFFSET(ORÇAMENTO!AJ$15,ROW(H341)-ROW(H$15),0),15-13*ORÇAMENTO!$AF$7),SUMPRODUCT(($Q$12:$AI$12&lt;&gt;"")*ROUND($Q341:$AI341,15-13*ORÇAMENTO!$AF$7))))</f>
        <v>9</v>
      </c>
      <c r="I341" s="561" t="s">
        <v>1107</v>
      </c>
      <c r="K341" s="174"/>
      <c r="L341" s="175" t="s">
        <v>255</v>
      </c>
      <c r="M341" s="176">
        <f ca="1">IF($D341&lt;&gt;"Serviço","",IF(AUTOEVENTO="manual",$A341,IF(ISERROR(MATCH($A341,$A$15:OFFSET($A341,-1,0),0)),MAX($M$15:OFFSET(M341,-1,0))+1,INDEX($M$15:OFFSET(M341,-1,0),MATCH($A341,$A$15:OFFSET($A341,-1,0),0)))))</f>
        <v>41</v>
      </c>
      <c r="N341" s="177" t="str">
        <f ca="1">IF($D341&lt;&gt;"Serviço","",IF(AUTOEVENTO="Manual",IF($A341=0,"&lt;-- defina o número do agrupador",OFFSET(EVENTOS!$D$14,$A341,0)),OFFSET($F$15,$A341,0)))</f>
        <v>INSTALAÇÃO SANITÁRIA - TUBULAÇÕES E CONEXÕES</v>
      </c>
      <c r="O341" s="178"/>
      <c r="Q341" s="178">
        <v>9</v>
      </c>
      <c r="R341" s="179"/>
      <c r="S341" s="179"/>
      <c r="T341" s="179"/>
      <c r="U341" s="179"/>
      <c r="V341" s="179"/>
      <c r="W341" s="179"/>
      <c r="X341" s="179"/>
      <c r="Y341" s="179"/>
      <c r="Z341" s="180"/>
      <c r="AA341" s="179"/>
      <c r="AB341" s="179"/>
      <c r="AC341" s="179"/>
      <c r="AD341" s="179"/>
      <c r="AE341" s="179"/>
      <c r="AF341" s="179"/>
      <c r="AG341" s="179"/>
      <c r="AH341" s="180"/>
      <c r="AJ341" s="544">
        <f ca="1">IF(AND($D341="Serviço",AJ$12&lt;&gt;0,$H341&gt;0,OR(AUTOEVENTO&lt;&gt;"manual",$M341&lt;&gt;1)),
IF(Import.TipoArredondamento&lt;&gt;"TransfereGOV",
ROUND(OFFSET($P341,0,AJ$13),15-13*ORÇAMENTO!$AF$7)/$H341*OFFSET(ORÇAMENTO!$X$15,ROW(AJ341)-ROW(AJ$15),0),
ROUND(ROUND(OFFSET($P341,0,AJ$13),15-13*ORÇAMENTO!$AF$7)*OFFSET(ORÇAMENTO!$W$15,ROW(AJ341)-ROW(AJ$15),0),15-13*ORÇAMENTO!$AF$11)),0)</f>
        <v>0</v>
      </c>
      <c r="AK341" s="545">
        <f ca="1">IF(AND($D341="Serviço",AK$12&lt;&gt;0,$H341&gt;0,OR(AUTOEVENTO&lt;&gt;"manual",$M341&lt;&gt;1)),
IF(Import.TipoArredondamento&lt;&gt;"TransfereGOV",
ROUND(OFFSET($P341,0,AK$13),15-13*ORÇAMENTO!$AF$7)/$H341*OFFSET(ORÇAMENTO!$X$15,ROW(AK341)-ROW(AK$15),0),
ROUND(ROUND(OFFSET($P341,0,AK$13),15-13*ORÇAMENTO!$AF$7)*OFFSET(ORÇAMENTO!$W$15,ROW(AK341)-ROW(AK$15),0),15-13*ORÇAMENTO!$AF$11)),0)</f>
        <v>0</v>
      </c>
      <c r="AL341" s="545">
        <f ca="1">IF(AND($D341="Serviço",AL$12&lt;&gt;0,$H341&gt;0,OR(AUTOEVENTO&lt;&gt;"manual",$M341&lt;&gt;1)),
IF(Import.TipoArredondamento&lt;&gt;"TransfereGOV",
ROUND(OFFSET($P341,0,AL$13),15-13*ORÇAMENTO!$AF$7)/$H341*OFFSET(ORÇAMENTO!$X$15,ROW(AL341)-ROW(AL$15),0),
ROUND(ROUND(OFFSET($P341,0,AL$13),15-13*ORÇAMENTO!$AF$7)*OFFSET(ORÇAMENTO!$W$15,ROW(AL341)-ROW(AL$15),0),15-13*ORÇAMENTO!$AF$11)),0)</f>
        <v>0</v>
      </c>
      <c r="AM341" s="545">
        <f ca="1">IF(AND($D341="Serviço",AM$12&lt;&gt;0,$H341&gt;0,OR(AUTOEVENTO&lt;&gt;"manual",$M341&lt;&gt;1)),
IF(Import.TipoArredondamento&lt;&gt;"TransfereGOV",
ROUND(OFFSET($P341,0,AM$13),15-13*ORÇAMENTO!$AF$7)/$H341*OFFSET(ORÇAMENTO!$X$15,ROW(AM341)-ROW(AM$15),0),
ROUND(ROUND(OFFSET($P341,0,AM$13),15-13*ORÇAMENTO!$AF$7)*OFFSET(ORÇAMENTO!$W$15,ROW(AM341)-ROW(AM$15),0),15-13*ORÇAMENTO!$AF$11)),0)</f>
        <v>0</v>
      </c>
      <c r="AN341" s="545">
        <f ca="1">IF(AND($D341="Serviço",AN$12&lt;&gt;0,$H341&gt;0,OR(AUTOEVENTO&lt;&gt;"manual",$M341&lt;&gt;1)),
IF(Import.TipoArredondamento&lt;&gt;"TransfereGOV",
ROUND(OFFSET($P341,0,AN$13),15-13*ORÇAMENTO!$AF$7)/$H341*OFFSET(ORÇAMENTO!$X$15,ROW(AN341)-ROW(AN$15),0),
ROUND(ROUND(OFFSET($P341,0,AN$13),15-13*ORÇAMENTO!$AF$7)*OFFSET(ORÇAMENTO!$W$15,ROW(AN341)-ROW(AN$15),0),15-13*ORÇAMENTO!$AF$11)),0)</f>
        <v>0</v>
      </c>
      <c r="AO341" s="545">
        <f ca="1">IF(AND($D341="Serviço",AO$12&lt;&gt;0,$H341&gt;0,OR(AUTOEVENTO&lt;&gt;"manual",$M341&lt;&gt;1)),
IF(Import.TipoArredondamento&lt;&gt;"TransfereGOV",
ROUND(OFFSET($P341,0,AO$13),15-13*ORÇAMENTO!$AF$7)/$H341*OFFSET(ORÇAMENTO!$X$15,ROW(AO341)-ROW(AO$15),0),
ROUND(ROUND(OFFSET($P341,0,AO$13),15-13*ORÇAMENTO!$AF$7)*OFFSET(ORÇAMENTO!$W$15,ROW(AO341)-ROW(AO$15),0),15-13*ORÇAMENTO!$AF$11)),0)</f>
        <v>0</v>
      </c>
      <c r="AP341" s="545">
        <f ca="1">IF(AND($D341="Serviço",AP$12&lt;&gt;0,$H341&gt;0,OR(AUTOEVENTO&lt;&gt;"manual",$M341&lt;&gt;1)),
IF(Import.TipoArredondamento&lt;&gt;"TransfereGOV",
ROUND(OFFSET($P341,0,AP$13),15-13*ORÇAMENTO!$AF$7)/$H341*OFFSET(ORÇAMENTO!$X$15,ROW(AP341)-ROW(AP$15),0),
ROUND(ROUND(OFFSET($P341,0,AP$13),15-13*ORÇAMENTO!$AF$7)*OFFSET(ORÇAMENTO!$W$15,ROW(AP341)-ROW(AP$15),0),15-13*ORÇAMENTO!$AF$11)),0)</f>
        <v>0</v>
      </c>
      <c r="AQ341" s="545">
        <f ca="1">IF(AND($D341="Serviço",AQ$12&lt;&gt;0,$H341&gt;0,OR(AUTOEVENTO&lt;&gt;"manual",$M341&lt;&gt;1)),
IF(Import.TipoArredondamento&lt;&gt;"TransfereGOV",
ROUND(OFFSET($P341,0,AQ$13),15-13*ORÇAMENTO!$AF$7)/$H341*OFFSET(ORÇAMENTO!$X$15,ROW(AQ341)-ROW(AQ$15),0),
ROUND(ROUND(OFFSET($P341,0,AQ$13),15-13*ORÇAMENTO!$AF$7)*OFFSET(ORÇAMENTO!$W$15,ROW(AQ341)-ROW(AQ$15),0),15-13*ORÇAMENTO!$AF$11)),0)</f>
        <v>0</v>
      </c>
      <c r="AR341" s="545">
        <f ca="1">IF(AND($D341="Serviço",AR$12&lt;&gt;0,$H341&gt;0,OR(AUTOEVENTO&lt;&gt;"manual",$M341&lt;&gt;1)),
IF(Import.TipoArredondamento&lt;&gt;"TransfereGOV",
ROUND(OFFSET($P341,0,AR$13),15-13*ORÇAMENTO!$AF$7)/$H341*OFFSET(ORÇAMENTO!$X$15,ROW(AR341)-ROW(AR$15),0),
ROUND(ROUND(OFFSET($P341,0,AR$13),15-13*ORÇAMENTO!$AF$7)*OFFSET(ORÇAMENTO!$W$15,ROW(AR341)-ROW(AR$15),0),15-13*ORÇAMENTO!$AF$11)),0)</f>
        <v>0</v>
      </c>
      <c r="AS341" s="546">
        <f ca="1">IF(AND($D341="Serviço",AS$12&lt;&gt;0,$H341&gt;0,OR(AUTOEVENTO&lt;&gt;"manual",$M341&lt;&gt;1)),
IF(Import.TipoArredondamento&lt;&gt;"TransfereGOV",
ROUND(OFFSET($P341,0,AS$13),15-13*ORÇAMENTO!$AF$7)/$H341*OFFSET(ORÇAMENTO!$X$15,ROW(AS341)-ROW(AS$15),0),
ROUND(ROUND(OFFSET($P341,0,AS$13),15-13*ORÇAMENTO!$AF$7)*OFFSET(ORÇAMENTO!$W$15,ROW(AS341)-ROW(AS$15),0),15-13*ORÇAMENTO!$AF$11)),0)</f>
        <v>0</v>
      </c>
      <c r="AT341" s="545">
        <f ca="1">IF(AND($D341="Serviço",AT$12&lt;&gt;0,$H341&gt;0,OR(AUTOEVENTO&lt;&gt;"manual",$M341&lt;&gt;1)),
IF(Import.TipoArredondamento&lt;&gt;"TransfereGOV",
ROUND(OFFSET($P341,0,AT$13),15-13*ORÇAMENTO!$AF$7)/$H341*OFFSET(ORÇAMENTO!$X$15,ROW(AT341)-ROW(AT$15),0),
ROUND(ROUND(OFFSET($P341,0,AT$13),15-13*ORÇAMENTO!$AF$7)*OFFSET(ORÇAMENTO!$W$15,ROW(AT341)-ROW(AT$15),0),15-13*ORÇAMENTO!$AF$11)),0)</f>
        <v>0</v>
      </c>
      <c r="AU341" s="545">
        <f ca="1">IF(AND($D341="Serviço",AU$12&lt;&gt;0,$H341&gt;0,OR(AUTOEVENTO&lt;&gt;"manual",$M341&lt;&gt;1)),
IF(Import.TipoArredondamento&lt;&gt;"TransfereGOV",
ROUND(OFFSET($P341,0,AU$13),15-13*ORÇAMENTO!$AF$7)/$H341*OFFSET(ORÇAMENTO!$X$15,ROW(AU341)-ROW(AU$15),0),
ROUND(ROUND(OFFSET($P341,0,AU$13),15-13*ORÇAMENTO!$AF$7)*OFFSET(ORÇAMENTO!$W$15,ROW(AU341)-ROW(AU$15),0),15-13*ORÇAMENTO!$AF$11)),0)</f>
        <v>0</v>
      </c>
      <c r="AV341" s="545">
        <f ca="1">IF(AND($D341="Serviço",AV$12&lt;&gt;0,$H341&gt;0,OR(AUTOEVENTO&lt;&gt;"manual",$M341&lt;&gt;1)),
IF(Import.TipoArredondamento&lt;&gt;"TransfereGOV",
ROUND(OFFSET($P341,0,AV$13),15-13*ORÇAMENTO!$AF$7)/$H341*OFFSET(ORÇAMENTO!$X$15,ROW(AV341)-ROW(AV$15),0),
ROUND(ROUND(OFFSET($P341,0,AV$13),15-13*ORÇAMENTO!$AF$7)*OFFSET(ORÇAMENTO!$W$15,ROW(AV341)-ROW(AV$15),0),15-13*ORÇAMENTO!$AF$11)),0)</f>
        <v>0</v>
      </c>
      <c r="AW341" s="545">
        <f ca="1">IF(AND($D341="Serviço",AW$12&lt;&gt;0,$H341&gt;0,OR(AUTOEVENTO&lt;&gt;"manual",$M341&lt;&gt;1)),
IF(Import.TipoArredondamento&lt;&gt;"TransfereGOV",
ROUND(OFFSET($P341,0,AW$13),15-13*ORÇAMENTO!$AF$7)/$H341*OFFSET(ORÇAMENTO!$X$15,ROW(AW341)-ROW(AW$15),0),
ROUND(ROUND(OFFSET($P341,0,AW$13),15-13*ORÇAMENTO!$AF$7)*OFFSET(ORÇAMENTO!$W$15,ROW(AW341)-ROW(AW$15),0),15-13*ORÇAMENTO!$AF$11)),0)</f>
        <v>0</v>
      </c>
      <c r="AX341" s="545">
        <f ca="1">IF(AND($D341="Serviço",AX$12&lt;&gt;0,$H341&gt;0,OR(AUTOEVENTO&lt;&gt;"manual",$M341&lt;&gt;1)),
IF(Import.TipoArredondamento&lt;&gt;"TransfereGOV",
ROUND(OFFSET($P341,0,AX$13),15-13*ORÇAMENTO!$AF$7)/$H341*OFFSET(ORÇAMENTO!$X$15,ROW(AX341)-ROW(AX$15),0),
ROUND(ROUND(OFFSET($P341,0,AX$13),15-13*ORÇAMENTO!$AF$7)*OFFSET(ORÇAMENTO!$W$15,ROW(AX341)-ROW(AX$15),0),15-13*ORÇAMENTO!$AF$11)),0)</f>
        <v>0</v>
      </c>
      <c r="AY341" s="545">
        <f ca="1">IF(AND($D341="Serviço",AY$12&lt;&gt;0,$H341&gt;0,OR(AUTOEVENTO&lt;&gt;"manual",$M341&lt;&gt;1)),
IF(Import.TipoArredondamento&lt;&gt;"TransfereGOV",
ROUND(OFFSET($P341,0,AY$13),15-13*ORÇAMENTO!$AF$7)/$H341*OFFSET(ORÇAMENTO!$X$15,ROW(AY341)-ROW(AY$15),0),
ROUND(ROUND(OFFSET($P341,0,AY$13),15-13*ORÇAMENTO!$AF$7)*OFFSET(ORÇAMENTO!$W$15,ROW(AY341)-ROW(AY$15),0),15-13*ORÇAMENTO!$AF$11)),0)</f>
        <v>0</v>
      </c>
      <c r="AZ341" s="545">
        <f ca="1">IF(AND($D341="Serviço",AZ$12&lt;&gt;0,$H341&gt;0,OR(AUTOEVENTO&lt;&gt;"manual",$M341&lt;&gt;1)),
IF(Import.TipoArredondamento&lt;&gt;"TransfereGOV",
ROUND(OFFSET($P341,0,AZ$13),15-13*ORÇAMENTO!$AF$7)/$H341*OFFSET(ORÇAMENTO!$X$15,ROW(AZ341)-ROW(AZ$15),0),
ROUND(ROUND(OFFSET($P341,0,AZ$13),15-13*ORÇAMENTO!$AF$7)*OFFSET(ORÇAMENTO!$W$15,ROW(AZ341)-ROW(AZ$15),0),15-13*ORÇAMENTO!$AF$11)),0)</f>
        <v>0</v>
      </c>
      <c r="BA341" s="546">
        <f ca="1">IF(AND($D341="Serviço",BA$12&lt;&gt;0,$H341&gt;0,OR(AUTOEVENTO&lt;&gt;"manual",$M341&lt;&gt;1)),
IF(Import.TipoArredondamento&lt;&gt;"TransfereGOV",
ROUND(OFFSET($P341,0,BA$13),15-13*ORÇAMENTO!$AF$7)/$H341*OFFSET(ORÇAMENTO!$X$15,ROW(BA341)-ROW(BA$15),0),
ROUND(ROUND(OFFSET($P341,0,BA$13),15-13*ORÇAMENTO!$AF$7)*OFFSET(ORÇAMENTO!$W$15,ROW(BA341)-ROW(BA$15),0),15-13*ORÇAMENTO!$AF$11)),0)</f>
        <v>0</v>
      </c>
      <c r="BC341" s="181">
        <f ca="1">IF($D341&lt;&gt;"Serviço",0,IF(AND(AUTOEVENTO="Manual",$M341=1),0,IF(OFFSET(CRONOPLE!$F$14,$M341,BC$13)="",10^12,OFFSET(CRONOPLE!$F$14,$M341,BC$13))))</f>
        <v>9</v>
      </c>
      <c r="BD341" s="181">
        <f ca="1">IF($D341&lt;&gt;"Serviço",0,IF(AND(AUTOEVENTO="Manual",$M341=1),0,IF(OFFSET(CRONOPLE!$F$14,$M341,BD$13)="",10^12,OFFSET(CRONOPLE!$F$14,$M341,BD$13))))</f>
        <v>1000000000000</v>
      </c>
      <c r="BE341" s="181">
        <f ca="1">IF($D341&lt;&gt;"Serviço",0,IF(AND(AUTOEVENTO="Manual",$M341=1),0,IF(OFFSET(CRONOPLE!$F$14,$M341,BE$13)="",10^12,OFFSET(CRONOPLE!$F$14,$M341,BE$13))))</f>
        <v>1000000000000</v>
      </c>
      <c r="BF341" s="181">
        <f ca="1">IF($D341&lt;&gt;"Serviço",0,IF(AND(AUTOEVENTO="Manual",$M341=1),0,IF(OFFSET(CRONOPLE!$F$14,$M341,BF$13)="",10^12,OFFSET(CRONOPLE!$F$14,$M341,BF$13))))</f>
        <v>1000000000000</v>
      </c>
      <c r="BG341" s="181">
        <f ca="1">IF($D341&lt;&gt;"Serviço",0,IF(AND(AUTOEVENTO="Manual",$M341=1),0,IF(OFFSET(CRONOPLE!$F$14,$M341,BG$13)="",10^12,OFFSET(CRONOPLE!$F$14,$M341,BG$13))))</f>
        <v>1000000000000</v>
      </c>
      <c r="BH341" s="181">
        <f ca="1">IF($D341&lt;&gt;"Serviço",0,IF(AND(AUTOEVENTO="Manual",$M341=1),0,IF(OFFSET(CRONOPLE!$F$14,$M341,BH$13)="",10^12,OFFSET(CRONOPLE!$F$14,$M341,BH$13))))</f>
        <v>1000000000000</v>
      </c>
      <c r="BI341" s="181">
        <f ca="1">IF($D341&lt;&gt;"Serviço",0,IF(AND(AUTOEVENTO="Manual",$M341=1),0,IF(OFFSET(CRONOPLE!$F$14,$M341,BI$13)="",10^12,OFFSET(CRONOPLE!$F$14,$M341,BI$13))))</f>
        <v>1000000000000</v>
      </c>
      <c r="BJ341" s="181">
        <f ca="1">IF($D341&lt;&gt;"Serviço",0,IF(AND(AUTOEVENTO="Manual",$M341=1),0,IF(OFFSET(CRONOPLE!$F$14,$M341,BJ$13)="",10^12,OFFSET(CRONOPLE!$F$14,$M341,BJ$13))))</f>
        <v>1000000000000</v>
      </c>
      <c r="BK341" s="181">
        <f ca="1">IF($D341&lt;&gt;"Serviço",0,IF(AND(AUTOEVENTO="Manual",$M341=1),0,IF(OFFSET(CRONOPLE!$F$14,$M341,BK$13)="",10^12,OFFSET(CRONOPLE!$F$14,$M341,BK$13))))</f>
        <v>1000000000000</v>
      </c>
      <c r="BL341" s="181">
        <f ca="1">IF($D341&lt;&gt;"Serviço",0,IF(AND(AUTOEVENTO="Manual",$M341=1),0,IF(OFFSET(CRONOPLE!$F$14,$M341,BL$13)="",10^12,OFFSET(CRONOPLE!$F$14,$M341,BL$13))))</f>
        <v>1000000000000</v>
      </c>
      <c r="BM341" s="181">
        <f ca="1">IF($D341&lt;&gt;"Serviço",0,IF(AND(AUTOEVENTO="Manual",$M341=1),0,IF(OFFSET(CRONOPLE!$F$14,$M341,BM$13)="",10^12,OFFSET(CRONOPLE!$F$14,$M341,BM$13))))</f>
        <v>1000000000000</v>
      </c>
      <c r="BN341" s="181">
        <f ca="1">IF($D341&lt;&gt;"Serviço",0,IF(AND(AUTOEVENTO="Manual",$M341=1),0,IF(OFFSET(CRONOPLE!$F$14,$M341,BN$13)="",10^12,OFFSET(CRONOPLE!$F$14,$M341,BN$13))))</f>
        <v>1000000000000</v>
      </c>
      <c r="BO341" s="181">
        <f ca="1">IF($D341&lt;&gt;"Serviço",0,IF(AND(AUTOEVENTO="Manual",$M341=1),0,IF(OFFSET(CRONOPLE!$F$14,$M341,BO$13)="",10^12,OFFSET(CRONOPLE!$F$14,$M341,BO$13))))</f>
        <v>1000000000000</v>
      </c>
      <c r="BP341" s="181">
        <f ca="1">IF($D341&lt;&gt;"Serviço",0,IF(AND(AUTOEVENTO="Manual",$M341=1),0,IF(OFFSET(CRONOPLE!$F$14,$M341,BP$13)="",10^12,OFFSET(CRONOPLE!$F$14,$M341,BP$13))))</f>
        <v>1000000000000</v>
      </c>
      <c r="BQ341" s="181">
        <f ca="1">IF($D341&lt;&gt;"Serviço",0,IF(AND(AUTOEVENTO="Manual",$M341=1),0,IF(OFFSET(CRONOPLE!$F$14,$M341,BQ$13)="",10^12,OFFSET(CRONOPLE!$F$14,$M341,BQ$13))))</f>
        <v>1000000000000</v>
      </c>
      <c r="BR341" s="181">
        <f ca="1">IF($D341&lt;&gt;"Serviço",0,IF(AND(AUTOEVENTO="Manual",$M341=1),0,IF(OFFSET(CRONOPLE!$F$14,$M341,BR$13)="",10^12,OFFSET(CRONOPLE!$F$14,$M341,BR$13))))</f>
        <v>1000000000000</v>
      </c>
      <c r="BS341" s="181">
        <f ca="1">IF($D341&lt;&gt;"Serviço",0,IF(AND(AUTOEVENTO="Manual",$M341=1),0,IF(OFFSET(CRONOPLE!$F$14,$M341,BS$13)="",10^12,OFFSET(CRONOPLE!$F$14,$M341,BS$13))))</f>
        <v>1000000000000</v>
      </c>
      <c r="BT341" s="181">
        <f ca="1">IF($D341&lt;&gt;"Serviço",0,IF(AND(AUTOEVENTO="Manual",$M341=1),0,IF(OFFSET(CRONOPLE!$F$14,$M341,BT$13)="",10^12,OFFSET(CRONOPLE!$F$14,$M341,BT$13))))</f>
        <v>1000000000000</v>
      </c>
      <c r="BV341" s="182">
        <f ca="1">IF($D341&lt;&gt;"Serviço",0,IF(OR(AND(AUTOEVENTO="Manual",$M341=1),$M341&gt;(ROW(PLE.lastrow)-ROW(PLE.firstrow))),0,IF(OFFSET(PLE!$G$14,$M341,BV$13)="",10^12,OFFSET(PLE!$G$14,$M341,BV$13))))</f>
        <v>1000000000000</v>
      </c>
      <c r="BW341" s="182">
        <f ca="1">IF($D341&lt;&gt;"Serviço",0,IF(OR(AND(AUTOEVENTO="Manual",$M341=1),$M341&gt;(ROW(PLE.lastrow)-ROW(PLE.firstrow))),0,IF(OFFSET(PLE!$G$14,$M341,BW$13)="",10^12,OFFSET(PLE!$G$14,$M341,BW$13))))</f>
        <v>1000000000000</v>
      </c>
      <c r="BX341" s="182">
        <f ca="1">IF($D341&lt;&gt;"Serviço",0,IF(OR(AND(AUTOEVENTO="Manual",$M341=1),$M341&gt;(ROW(PLE.lastrow)-ROW(PLE.firstrow))),0,IF(OFFSET(PLE!$G$14,$M341,BX$13)="",10^12,OFFSET(PLE!$G$14,$M341,BX$13))))</f>
        <v>1000000000000</v>
      </c>
      <c r="BY341" s="182">
        <f ca="1">IF($D341&lt;&gt;"Serviço",0,IF(OR(AND(AUTOEVENTO="Manual",$M341=1),$M341&gt;(ROW(PLE.lastrow)-ROW(PLE.firstrow))),0,IF(OFFSET(PLE!$G$14,$M341,BY$13)="",10^12,OFFSET(PLE!$G$14,$M341,BY$13))))</f>
        <v>1000000000000</v>
      </c>
      <c r="BZ341" s="182">
        <f ca="1">IF($D341&lt;&gt;"Serviço",0,IF(OR(AND(AUTOEVENTO="Manual",$M341=1),$M341&gt;(ROW(PLE.lastrow)-ROW(PLE.firstrow))),0,IF(OFFSET(PLE!$G$14,$M341,BZ$13)="",10^12,OFFSET(PLE!$G$14,$M341,BZ$13))))</f>
        <v>1000000000000</v>
      </c>
      <c r="CA341" s="182">
        <f ca="1">IF($D341&lt;&gt;"Serviço",0,IF(OR(AND(AUTOEVENTO="Manual",$M341=1),$M341&gt;(ROW(PLE.lastrow)-ROW(PLE.firstrow))),0,IF(OFFSET(PLE!$G$14,$M341,CA$13)="",10^12,OFFSET(PLE!$G$14,$M341,CA$13))))</f>
        <v>1000000000000</v>
      </c>
      <c r="CB341" s="182">
        <f ca="1">IF($D341&lt;&gt;"Serviço",0,IF(OR(AND(AUTOEVENTO="Manual",$M341=1),$M341&gt;(ROW(PLE.lastrow)-ROW(PLE.firstrow))),0,IF(OFFSET(PLE!$G$14,$M341,CB$13)="",10^12,OFFSET(PLE!$G$14,$M341,CB$13))))</f>
        <v>1000000000000</v>
      </c>
      <c r="CC341" s="182">
        <f ca="1">IF($D341&lt;&gt;"Serviço",0,IF(OR(AND(AUTOEVENTO="Manual",$M341=1),$M341&gt;(ROW(PLE.lastrow)-ROW(PLE.firstrow))),0,IF(OFFSET(PLE!$G$14,$M341,CC$13)="",10^12,OFFSET(PLE!$G$14,$M341,CC$13))))</f>
        <v>1000000000000</v>
      </c>
      <c r="CD341" s="182">
        <f ca="1">IF($D341&lt;&gt;"Serviço",0,IF(OR(AND(AUTOEVENTO="Manual",$M341=1),$M341&gt;(ROW(PLE.lastrow)-ROW(PLE.firstrow))),0,IF(OFFSET(PLE!$G$14,$M341,CD$13)="",10^12,OFFSET(PLE!$G$14,$M341,CD$13))))</f>
        <v>1000000000000</v>
      </c>
      <c r="CE341" s="182">
        <f ca="1">IF($D341&lt;&gt;"Serviço",0,IF(OR(AND(AUTOEVENTO="Manual",$M341=1),$M341&gt;(ROW(PLE.lastrow)-ROW(PLE.firstrow))),0,IF(OFFSET(PLE!$G$14,$M341,CE$13)="",10^12,OFFSET(PLE!$G$14,$M341,CE$13))))</f>
        <v>1000000000000</v>
      </c>
      <c r="CF341" s="182">
        <f ca="1">IF($D341&lt;&gt;"Serviço",0,IF(OR(AND(AUTOEVENTO="Manual",$M341=1),$M341&gt;(ROW(PLE.lastrow)-ROW(PLE.firstrow))),0,IF(OFFSET(PLE!$G$14,$M341,CF$13)="",10^12,OFFSET(PLE!$G$14,$M341,CF$13))))</f>
        <v>1000000000000</v>
      </c>
      <c r="CG341" s="182">
        <f ca="1">IF($D341&lt;&gt;"Serviço",0,IF(OR(AND(AUTOEVENTO="Manual",$M341=1),$M341&gt;(ROW(PLE.lastrow)-ROW(PLE.firstrow))),0,IF(OFFSET(PLE!$G$14,$M341,CG$13)="",10^12,OFFSET(PLE!$G$14,$M341,CG$13))))</f>
        <v>1000000000000</v>
      </c>
      <c r="CH341" s="182">
        <f ca="1">IF($D341&lt;&gt;"Serviço",0,IF(OR(AND(AUTOEVENTO="Manual",$M341=1),$M341&gt;(ROW(PLE.lastrow)-ROW(PLE.firstrow))),0,IF(OFFSET(PLE!$G$14,$M341,CH$13)="",10^12,OFFSET(PLE!$G$14,$M341,CH$13))))</f>
        <v>1000000000000</v>
      </c>
      <c r="CI341" s="182">
        <f ca="1">IF($D341&lt;&gt;"Serviço",0,IF(OR(AND(AUTOEVENTO="Manual",$M341=1),$M341&gt;(ROW(PLE.lastrow)-ROW(PLE.firstrow))),0,IF(OFFSET(PLE!$G$14,$M341,CI$13)="",10^12,OFFSET(PLE!$G$14,$M341,CI$13))))</f>
        <v>1000000000000</v>
      </c>
      <c r="CJ341" s="182">
        <f ca="1">IF($D341&lt;&gt;"Serviço",0,IF(OR(AND(AUTOEVENTO="Manual",$M341=1),$M341&gt;(ROW(PLE.lastrow)-ROW(PLE.firstrow))),0,IF(OFFSET(PLE!$G$14,$M341,CJ$13)="",10^12,OFFSET(PLE!$G$14,$M341,CJ$13))))</f>
        <v>1000000000000</v>
      </c>
      <c r="CK341" s="182">
        <f ca="1">IF($D341&lt;&gt;"Serviço",0,IF(OR(AND(AUTOEVENTO="Manual",$M341=1),$M341&gt;(ROW(PLE.lastrow)-ROW(PLE.firstrow))),0,IF(OFFSET(PLE!$G$14,$M341,CK$13)="",10^12,OFFSET(PLE!$G$14,$M341,CK$13))))</f>
        <v>1000000000000</v>
      </c>
      <c r="CL341" s="182">
        <f ca="1">IF($D341&lt;&gt;"Serviço",0,IF(OR(AND(AUTOEVENTO="Manual",$M341=1),$M341&gt;(ROW(PLE.lastrow)-ROW(PLE.firstrow))),0,IF(OFFSET(PLE!$G$14,$M341,CL$13)="",10^12,OFFSET(PLE!$G$14,$M341,CL$13))))</f>
        <v>1000000000000</v>
      </c>
      <c r="CM341" s="182">
        <f ca="1">IF($D341&lt;&gt;"Serviço",0,IF(OR(AND(AUTOEVENTO="Manual",$M341=1),$M341&gt;(ROW(PLE.lastrow)-ROW(PLE.firstrow))),0,IF(OFFSET(PLE!$G$14,$M341,CM$13)="",10^12,OFFSET(PLE!$G$14,$M341,CM$13))))</f>
        <v>1000000000000</v>
      </c>
    </row>
    <row r="342" spans="1:91" ht="38.25" x14ac:dyDescent="0.2">
      <c r="A342" s="7" t="str">
        <f t="shared" ca="1" si="12"/>
        <v>304</v>
      </c>
      <c r="B342" s="7" t="str">
        <f ca="1">OFFSET(ORÇAMENTO!C$15,ROW(B342)-ROW(B$15),0)</f>
        <v>S</v>
      </c>
      <c r="C342" s="7" t="str">
        <f ca="1">OFFSET(ORÇAMENTO!L$15,ROW(C342)-ROW(C$15),0)</f>
        <v/>
      </c>
      <c r="D342" s="118" t="str">
        <f ca="1">OFFSET(ORÇAMENTO!N$15,ROW(D342)-ROW(D$15),0)</f>
        <v>Serviço</v>
      </c>
      <c r="E342" s="119" t="str">
        <f ca="1">OFFSET(ORÇAMENTO!O$15,ROW(E342)-ROW(E$15),0)</f>
        <v>-</v>
      </c>
      <c r="F342" s="172" t="str">
        <f ca="1">OFFSET(ORÇAMENTO!R$15,ROW(F342)-ROW(F$15),0)</f>
        <v>(abra o arquivo 'Referência 06-2024.xlsm)</v>
      </c>
      <c r="G342" s="173" t="str">
        <f ca="1">IF($D342&lt;&gt;"Serviço","",OFFSET(ORÇAMENTO!S$15,ROW(G342)-ROW(G$15),0))</f>
        <v>-</v>
      </c>
      <c r="H342" s="124">
        <f ca="1">IF($D342&lt;&gt;"Serviço",0,IF(ACOMPANHAMENTO="BM",ROUND(OFFSET(ORÇAMENTO!AJ$15,ROW(H342)-ROW(H$15),0),15-13*ORÇAMENTO!$AF$7),SUMPRODUCT(($Q$12:$AI$12&lt;&gt;"")*ROUND($Q342:$AI342,15-13*ORÇAMENTO!$AF$7))))</f>
        <v>6</v>
      </c>
      <c r="I342" s="561" t="s">
        <v>1107</v>
      </c>
      <c r="K342" s="174"/>
      <c r="L342" s="175" t="s">
        <v>255</v>
      </c>
      <c r="M342" s="176">
        <f ca="1">IF($D342&lt;&gt;"Serviço","",IF(AUTOEVENTO="manual",$A342,IF(ISERROR(MATCH($A342,$A$15:OFFSET($A342,-1,0),0)),MAX($M$15:OFFSET(M342,-1,0))+1,INDEX($M$15:OFFSET(M342,-1,0),MATCH($A342,$A$15:OFFSET($A342,-1,0),0)))))</f>
        <v>41</v>
      </c>
      <c r="N342" s="177" t="str">
        <f ca="1">IF($D342&lt;&gt;"Serviço","",IF(AUTOEVENTO="Manual",IF($A342=0,"&lt;-- defina o número do agrupador",OFFSET(EVENTOS!$D$14,$A342,0)),OFFSET($F$15,$A342,0)))</f>
        <v>INSTALAÇÃO SANITÁRIA - TUBULAÇÕES E CONEXÕES</v>
      </c>
      <c r="O342" s="178"/>
      <c r="Q342" s="178">
        <v>6</v>
      </c>
      <c r="R342" s="179"/>
      <c r="S342" s="179"/>
      <c r="T342" s="179"/>
      <c r="U342" s="179"/>
      <c r="V342" s="179"/>
      <c r="W342" s="179"/>
      <c r="X342" s="179"/>
      <c r="Y342" s="179"/>
      <c r="Z342" s="180"/>
      <c r="AA342" s="179"/>
      <c r="AB342" s="179"/>
      <c r="AC342" s="179"/>
      <c r="AD342" s="179"/>
      <c r="AE342" s="179"/>
      <c r="AF342" s="179"/>
      <c r="AG342" s="179"/>
      <c r="AH342" s="180"/>
      <c r="AJ342" s="544">
        <f ca="1">IF(AND($D342="Serviço",AJ$12&lt;&gt;0,$H342&gt;0,OR(AUTOEVENTO&lt;&gt;"manual",$M342&lt;&gt;1)),
IF(Import.TipoArredondamento&lt;&gt;"TransfereGOV",
ROUND(OFFSET($P342,0,AJ$13),15-13*ORÇAMENTO!$AF$7)/$H342*OFFSET(ORÇAMENTO!$X$15,ROW(AJ342)-ROW(AJ$15),0),
ROUND(ROUND(OFFSET($P342,0,AJ$13),15-13*ORÇAMENTO!$AF$7)*OFFSET(ORÇAMENTO!$W$15,ROW(AJ342)-ROW(AJ$15),0),15-13*ORÇAMENTO!$AF$11)),0)</f>
        <v>0</v>
      </c>
      <c r="AK342" s="545">
        <f ca="1">IF(AND($D342="Serviço",AK$12&lt;&gt;0,$H342&gt;0,OR(AUTOEVENTO&lt;&gt;"manual",$M342&lt;&gt;1)),
IF(Import.TipoArredondamento&lt;&gt;"TransfereGOV",
ROUND(OFFSET($P342,0,AK$13),15-13*ORÇAMENTO!$AF$7)/$H342*OFFSET(ORÇAMENTO!$X$15,ROW(AK342)-ROW(AK$15),0),
ROUND(ROUND(OFFSET($P342,0,AK$13),15-13*ORÇAMENTO!$AF$7)*OFFSET(ORÇAMENTO!$W$15,ROW(AK342)-ROW(AK$15),0),15-13*ORÇAMENTO!$AF$11)),0)</f>
        <v>0</v>
      </c>
      <c r="AL342" s="545">
        <f ca="1">IF(AND($D342="Serviço",AL$12&lt;&gt;0,$H342&gt;0,OR(AUTOEVENTO&lt;&gt;"manual",$M342&lt;&gt;1)),
IF(Import.TipoArredondamento&lt;&gt;"TransfereGOV",
ROUND(OFFSET($P342,0,AL$13),15-13*ORÇAMENTO!$AF$7)/$H342*OFFSET(ORÇAMENTO!$X$15,ROW(AL342)-ROW(AL$15),0),
ROUND(ROUND(OFFSET($P342,0,AL$13),15-13*ORÇAMENTO!$AF$7)*OFFSET(ORÇAMENTO!$W$15,ROW(AL342)-ROW(AL$15),0),15-13*ORÇAMENTO!$AF$11)),0)</f>
        <v>0</v>
      </c>
      <c r="AM342" s="545">
        <f ca="1">IF(AND($D342="Serviço",AM$12&lt;&gt;0,$H342&gt;0,OR(AUTOEVENTO&lt;&gt;"manual",$M342&lt;&gt;1)),
IF(Import.TipoArredondamento&lt;&gt;"TransfereGOV",
ROUND(OFFSET($P342,0,AM$13),15-13*ORÇAMENTO!$AF$7)/$H342*OFFSET(ORÇAMENTO!$X$15,ROW(AM342)-ROW(AM$15),0),
ROUND(ROUND(OFFSET($P342,0,AM$13),15-13*ORÇAMENTO!$AF$7)*OFFSET(ORÇAMENTO!$W$15,ROW(AM342)-ROW(AM$15),0),15-13*ORÇAMENTO!$AF$11)),0)</f>
        <v>0</v>
      </c>
      <c r="AN342" s="545">
        <f ca="1">IF(AND($D342="Serviço",AN$12&lt;&gt;0,$H342&gt;0,OR(AUTOEVENTO&lt;&gt;"manual",$M342&lt;&gt;1)),
IF(Import.TipoArredondamento&lt;&gt;"TransfereGOV",
ROUND(OFFSET($P342,0,AN$13),15-13*ORÇAMENTO!$AF$7)/$H342*OFFSET(ORÇAMENTO!$X$15,ROW(AN342)-ROW(AN$15),0),
ROUND(ROUND(OFFSET($P342,0,AN$13),15-13*ORÇAMENTO!$AF$7)*OFFSET(ORÇAMENTO!$W$15,ROW(AN342)-ROW(AN$15),0),15-13*ORÇAMENTO!$AF$11)),0)</f>
        <v>0</v>
      </c>
      <c r="AO342" s="545">
        <f ca="1">IF(AND($D342="Serviço",AO$12&lt;&gt;0,$H342&gt;0,OR(AUTOEVENTO&lt;&gt;"manual",$M342&lt;&gt;1)),
IF(Import.TipoArredondamento&lt;&gt;"TransfereGOV",
ROUND(OFFSET($P342,0,AO$13),15-13*ORÇAMENTO!$AF$7)/$H342*OFFSET(ORÇAMENTO!$X$15,ROW(AO342)-ROW(AO$15),0),
ROUND(ROUND(OFFSET($P342,0,AO$13),15-13*ORÇAMENTO!$AF$7)*OFFSET(ORÇAMENTO!$W$15,ROW(AO342)-ROW(AO$15),0),15-13*ORÇAMENTO!$AF$11)),0)</f>
        <v>0</v>
      </c>
      <c r="AP342" s="545">
        <f ca="1">IF(AND($D342="Serviço",AP$12&lt;&gt;0,$H342&gt;0,OR(AUTOEVENTO&lt;&gt;"manual",$M342&lt;&gt;1)),
IF(Import.TipoArredondamento&lt;&gt;"TransfereGOV",
ROUND(OFFSET($P342,0,AP$13),15-13*ORÇAMENTO!$AF$7)/$H342*OFFSET(ORÇAMENTO!$X$15,ROW(AP342)-ROW(AP$15),0),
ROUND(ROUND(OFFSET($P342,0,AP$13),15-13*ORÇAMENTO!$AF$7)*OFFSET(ORÇAMENTO!$W$15,ROW(AP342)-ROW(AP$15),0),15-13*ORÇAMENTO!$AF$11)),0)</f>
        <v>0</v>
      </c>
      <c r="AQ342" s="545">
        <f ca="1">IF(AND($D342="Serviço",AQ$12&lt;&gt;0,$H342&gt;0,OR(AUTOEVENTO&lt;&gt;"manual",$M342&lt;&gt;1)),
IF(Import.TipoArredondamento&lt;&gt;"TransfereGOV",
ROUND(OFFSET($P342,0,AQ$13),15-13*ORÇAMENTO!$AF$7)/$H342*OFFSET(ORÇAMENTO!$X$15,ROW(AQ342)-ROW(AQ$15),0),
ROUND(ROUND(OFFSET($P342,0,AQ$13),15-13*ORÇAMENTO!$AF$7)*OFFSET(ORÇAMENTO!$W$15,ROW(AQ342)-ROW(AQ$15),0),15-13*ORÇAMENTO!$AF$11)),0)</f>
        <v>0</v>
      </c>
      <c r="AR342" s="545">
        <f ca="1">IF(AND($D342="Serviço",AR$12&lt;&gt;0,$H342&gt;0,OR(AUTOEVENTO&lt;&gt;"manual",$M342&lt;&gt;1)),
IF(Import.TipoArredondamento&lt;&gt;"TransfereGOV",
ROUND(OFFSET($P342,0,AR$13),15-13*ORÇAMENTO!$AF$7)/$H342*OFFSET(ORÇAMENTO!$X$15,ROW(AR342)-ROW(AR$15),0),
ROUND(ROUND(OFFSET($P342,0,AR$13),15-13*ORÇAMENTO!$AF$7)*OFFSET(ORÇAMENTO!$W$15,ROW(AR342)-ROW(AR$15),0),15-13*ORÇAMENTO!$AF$11)),0)</f>
        <v>0</v>
      </c>
      <c r="AS342" s="546">
        <f ca="1">IF(AND($D342="Serviço",AS$12&lt;&gt;0,$H342&gt;0,OR(AUTOEVENTO&lt;&gt;"manual",$M342&lt;&gt;1)),
IF(Import.TipoArredondamento&lt;&gt;"TransfereGOV",
ROUND(OFFSET($P342,0,AS$13),15-13*ORÇAMENTO!$AF$7)/$H342*OFFSET(ORÇAMENTO!$X$15,ROW(AS342)-ROW(AS$15),0),
ROUND(ROUND(OFFSET($P342,0,AS$13),15-13*ORÇAMENTO!$AF$7)*OFFSET(ORÇAMENTO!$W$15,ROW(AS342)-ROW(AS$15),0),15-13*ORÇAMENTO!$AF$11)),0)</f>
        <v>0</v>
      </c>
      <c r="AT342" s="545">
        <f ca="1">IF(AND($D342="Serviço",AT$12&lt;&gt;0,$H342&gt;0,OR(AUTOEVENTO&lt;&gt;"manual",$M342&lt;&gt;1)),
IF(Import.TipoArredondamento&lt;&gt;"TransfereGOV",
ROUND(OFFSET($P342,0,AT$13),15-13*ORÇAMENTO!$AF$7)/$H342*OFFSET(ORÇAMENTO!$X$15,ROW(AT342)-ROW(AT$15),0),
ROUND(ROUND(OFFSET($P342,0,AT$13),15-13*ORÇAMENTO!$AF$7)*OFFSET(ORÇAMENTO!$W$15,ROW(AT342)-ROW(AT$15),0),15-13*ORÇAMENTO!$AF$11)),0)</f>
        <v>0</v>
      </c>
      <c r="AU342" s="545">
        <f ca="1">IF(AND($D342="Serviço",AU$12&lt;&gt;0,$H342&gt;0,OR(AUTOEVENTO&lt;&gt;"manual",$M342&lt;&gt;1)),
IF(Import.TipoArredondamento&lt;&gt;"TransfereGOV",
ROUND(OFFSET($P342,0,AU$13),15-13*ORÇAMENTO!$AF$7)/$H342*OFFSET(ORÇAMENTO!$X$15,ROW(AU342)-ROW(AU$15),0),
ROUND(ROUND(OFFSET($P342,0,AU$13),15-13*ORÇAMENTO!$AF$7)*OFFSET(ORÇAMENTO!$W$15,ROW(AU342)-ROW(AU$15),0),15-13*ORÇAMENTO!$AF$11)),0)</f>
        <v>0</v>
      </c>
      <c r="AV342" s="545">
        <f ca="1">IF(AND($D342="Serviço",AV$12&lt;&gt;0,$H342&gt;0,OR(AUTOEVENTO&lt;&gt;"manual",$M342&lt;&gt;1)),
IF(Import.TipoArredondamento&lt;&gt;"TransfereGOV",
ROUND(OFFSET($P342,0,AV$13),15-13*ORÇAMENTO!$AF$7)/$H342*OFFSET(ORÇAMENTO!$X$15,ROW(AV342)-ROW(AV$15),0),
ROUND(ROUND(OFFSET($P342,0,AV$13),15-13*ORÇAMENTO!$AF$7)*OFFSET(ORÇAMENTO!$W$15,ROW(AV342)-ROW(AV$15),0),15-13*ORÇAMENTO!$AF$11)),0)</f>
        <v>0</v>
      </c>
      <c r="AW342" s="545">
        <f ca="1">IF(AND($D342="Serviço",AW$12&lt;&gt;0,$H342&gt;0,OR(AUTOEVENTO&lt;&gt;"manual",$M342&lt;&gt;1)),
IF(Import.TipoArredondamento&lt;&gt;"TransfereGOV",
ROUND(OFFSET($P342,0,AW$13),15-13*ORÇAMENTO!$AF$7)/$H342*OFFSET(ORÇAMENTO!$X$15,ROW(AW342)-ROW(AW$15),0),
ROUND(ROUND(OFFSET($P342,0,AW$13),15-13*ORÇAMENTO!$AF$7)*OFFSET(ORÇAMENTO!$W$15,ROW(AW342)-ROW(AW$15),0),15-13*ORÇAMENTO!$AF$11)),0)</f>
        <v>0</v>
      </c>
      <c r="AX342" s="545">
        <f ca="1">IF(AND($D342="Serviço",AX$12&lt;&gt;0,$H342&gt;0,OR(AUTOEVENTO&lt;&gt;"manual",$M342&lt;&gt;1)),
IF(Import.TipoArredondamento&lt;&gt;"TransfereGOV",
ROUND(OFFSET($P342,0,AX$13),15-13*ORÇAMENTO!$AF$7)/$H342*OFFSET(ORÇAMENTO!$X$15,ROW(AX342)-ROW(AX$15),0),
ROUND(ROUND(OFFSET($P342,0,AX$13),15-13*ORÇAMENTO!$AF$7)*OFFSET(ORÇAMENTO!$W$15,ROW(AX342)-ROW(AX$15),0),15-13*ORÇAMENTO!$AF$11)),0)</f>
        <v>0</v>
      </c>
      <c r="AY342" s="545">
        <f ca="1">IF(AND($D342="Serviço",AY$12&lt;&gt;0,$H342&gt;0,OR(AUTOEVENTO&lt;&gt;"manual",$M342&lt;&gt;1)),
IF(Import.TipoArredondamento&lt;&gt;"TransfereGOV",
ROUND(OFFSET($P342,0,AY$13),15-13*ORÇAMENTO!$AF$7)/$H342*OFFSET(ORÇAMENTO!$X$15,ROW(AY342)-ROW(AY$15),0),
ROUND(ROUND(OFFSET($P342,0,AY$13),15-13*ORÇAMENTO!$AF$7)*OFFSET(ORÇAMENTO!$W$15,ROW(AY342)-ROW(AY$15),0),15-13*ORÇAMENTO!$AF$11)),0)</f>
        <v>0</v>
      </c>
      <c r="AZ342" s="545">
        <f ca="1">IF(AND($D342="Serviço",AZ$12&lt;&gt;0,$H342&gt;0,OR(AUTOEVENTO&lt;&gt;"manual",$M342&lt;&gt;1)),
IF(Import.TipoArredondamento&lt;&gt;"TransfereGOV",
ROUND(OFFSET($P342,0,AZ$13),15-13*ORÇAMENTO!$AF$7)/$H342*OFFSET(ORÇAMENTO!$X$15,ROW(AZ342)-ROW(AZ$15),0),
ROUND(ROUND(OFFSET($P342,0,AZ$13),15-13*ORÇAMENTO!$AF$7)*OFFSET(ORÇAMENTO!$W$15,ROW(AZ342)-ROW(AZ$15),0),15-13*ORÇAMENTO!$AF$11)),0)</f>
        <v>0</v>
      </c>
      <c r="BA342" s="546">
        <f ca="1">IF(AND($D342="Serviço",BA$12&lt;&gt;0,$H342&gt;0,OR(AUTOEVENTO&lt;&gt;"manual",$M342&lt;&gt;1)),
IF(Import.TipoArredondamento&lt;&gt;"TransfereGOV",
ROUND(OFFSET($P342,0,BA$13),15-13*ORÇAMENTO!$AF$7)/$H342*OFFSET(ORÇAMENTO!$X$15,ROW(BA342)-ROW(BA$15),0),
ROUND(ROUND(OFFSET($P342,0,BA$13),15-13*ORÇAMENTO!$AF$7)*OFFSET(ORÇAMENTO!$W$15,ROW(BA342)-ROW(BA$15),0),15-13*ORÇAMENTO!$AF$11)),0)</f>
        <v>0</v>
      </c>
      <c r="BC342" s="181">
        <f ca="1">IF($D342&lt;&gt;"Serviço",0,IF(AND(AUTOEVENTO="Manual",$M342=1),0,IF(OFFSET(CRONOPLE!$F$14,$M342,BC$13)="",10^12,OFFSET(CRONOPLE!$F$14,$M342,BC$13))))</f>
        <v>9</v>
      </c>
      <c r="BD342" s="181">
        <f ca="1">IF($D342&lt;&gt;"Serviço",0,IF(AND(AUTOEVENTO="Manual",$M342=1),0,IF(OFFSET(CRONOPLE!$F$14,$M342,BD$13)="",10^12,OFFSET(CRONOPLE!$F$14,$M342,BD$13))))</f>
        <v>1000000000000</v>
      </c>
      <c r="BE342" s="181">
        <f ca="1">IF($D342&lt;&gt;"Serviço",0,IF(AND(AUTOEVENTO="Manual",$M342=1),0,IF(OFFSET(CRONOPLE!$F$14,$M342,BE$13)="",10^12,OFFSET(CRONOPLE!$F$14,$M342,BE$13))))</f>
        <v>1000000000000</v>
      </c>
      <c r="BF342" s="181">
        <f ca="1">IF($D342&lt;&gt;"Serviço",0,IF(AND(AUTOEVENTO="Manual",$M342=1),0,IF(OFFSET(CRONOPLE!$F$14,$M342,BF$13)="",10^12,OFFSET(CRONOPLE!$F$14,$M342,BF$13))))</f>
        <v>1000000000000</v>
      </c>
      <c r="BG342" s="181">
        <f ca="1">IF($D342&lt;&gt;"Serviço",0,IF(AND(AUTOEVENTO="Manual",$M342=1),0,IF(OFFSET(CRONOPLE!$F$14,$M342,BG$13)="",10^12,OFFSET(CRONOPLE!$F$14,$M342,BG$13))))</f>
        <v>1000000000000</v>
      </c>
      <c r="BH342" s="181">
        <f ca="1">IF($D342&lt;&gt;"Serviço",0,IF(AND(AUTOEVENTO="Manual",$M342=1),0,IF(OFFSET(CRONOPLE!$F$14,$M342,BH$13)="",10^12,OFFSET(CRONOPLE!$F$14,$M342,BH$13))))</f>
        <v>1000000000000</v>
      </c>
      <c r="BI342" s="181">
        <f ca="1">IF($D342&lt;&gt;"Serviço",0,IF(AND(AUTOEVENTO="Manual",$M342=1),0,IF(OFFSET(CRONOPLE!$F$14,$M342,BI$13)="",10^12,OFFSET(CRONOPLE!$F$14,$M342,BI$13))))</f>
        <v>1000000000000</v>
      </c>
      <c r="BJ342" s="181">
        <f ca="1">IF($D342&lt;&gt;"Serviço",0,IF(AND(AUTOEVENTO="Manual",$M342=1),0,IF(OFFSET(CRONOPLE!$F$14,$M342,BJ$13)="",10^12,OFFSET(CRONOPLE!$F$14,$M342,BJ$13))))</f>
        <v>1000000000000</v>
      </c>
      <c r="BK342" s="181">
        <f ca="1">IF($D342&lt;&gt;"Serviço",0,IF(AND(AUTOEVENTO="Manual",$M342=1),0,IF(OFFSET(CRONOPLE!$F$14,$M342,BK$13)="",10^12,OFFSET(CRONOPLE!$F$14,$M342,BK$13))))</f>
        <v>1000000000000</v>
      </c>
      <c r="BL342" s="181">
        <f ca="1">IF($D342&lt;&gt;"Serviço",0,IF(AND(AUTOEVENTO="Manual",$M342=1),0,IF(OFFSET(CRONOPLE!$F$14,$M342,BL$13)="",10^12,OFFSET(CRONOPLE!$F$14,$M342,BL$13))))</f>
        <v>1000000000000</v>
      </c>
      <c r="BM342" s="181">
        <f ca="1">IF($D342&lt;&gt;"Serviço",0,IF(AND(AUTOEVENTO="Manual",$M342=1),0,IF(OFFSET(CRONOPLE!$F$14,$M342,BM$13)="",10^12,OFFSET(CRONOPLE!$F$14,$M342,BM$13))))</f>
        <v>1000000000000</v>
      </c>
      <c r="BN342" s="181">
        <f ca="1">IF($D342&lt;&gt;"Serviço",0,IF(AND(AUTOEVENTO="Manual",$M342=1),0,IF(OFFSET(CRONOPLE!$F$14,$M342,BN$13)="",10^12,OFFSET(CRONOPLE!$F$14,$M342,BN$13))))</f>
        <v>1000000000000</v>
      </c>
      <c r="BO342" s="181">
        <f ca="1">IF($D342&lt;&gt;"Serviço",0,IF(AND(AUTOEVENTO="Manual",$M342=1),0,IF(OFFSET(CRONOPLE!$F$14,$M342,BO$13)="",10^12,OFFSET(CRONOPLE!$F$14,$M342,BO$13))))</f>
        <v>1000000000000</v>
      </c>
      <c r="BP342" s="181">
        <f ca="1">IF($D342&lt;&gt;"Serviço",0,IF(AND(AUTOEVENTO="Manual",$M342=1),0,IF(OFFSET(CRONOPLE!$F$14,$M342,BP$13)="",10^12,OFFSET(CRONOPLE!$F$14,$M342,BP$13))))</f>
        <v>1000000000000</v>
      </c>
      <c r="BQ342" s="181">
        <f ca="1">IF($D342&lt;&gt;"Serviço",0,IF(AND(AUTOEVENTO="Manual",$M342=1),0,IF(OFFSET(CRONOPLE!$F$14,$M342,BQ$13)="",10^12,OFFSET(CRONOPLE!$F$14,$M342,BQ$13))))</f>
        <v>1000000000000</v>
      </c>
      <c r="BR342" s="181">
        <f ca="1">IF($D342&lt;&gt;"Serviço",0,IF(AND(AUTOEVENTO="Manual",$M342=1),0,IF(OFFSET(CRONOPLE!$F$14,$M342,BR$13)="",10^12,OFFSET(CRONOPLE!$F$14,$M342,BR$13))))</f>
        <v>1000000000000</v>
      </c>
      <c r="BS342" s="181">
        <f ca="1">IF($D342&lt;&gt;"Serviço",0,IF(AND(AUTOEVENTO="Manual",$M342=1),0,IF(OFFSET(CRONOPLE!$F$14,$M342,BS$13)="",10^12,OFFSET(CRONOPLE!$F$14,$M342,BS$13))))</f>
        <v>1000000000000</v>
      </c>
      <c r="BT342" s="181">
        <f ca="1">IF($D342&lt;&gt;"Serviço",0,IF(AND(AUTOEVENTO="Manual",$M342=1),0,IF(OFFSET(CRONOPLE!$F$14,$M342,BT$13)="",10^12,OFFSET(CRONOPLE!$F$14,$M342,BT$13))))</f>
        <v>1000000000000</v>
      </c>
      <c r="BV342" s="182">
        <f ca="1">IF($D342&lt;&gt;"Serviço",0,IF(OR(AND(AUTOEVENTO="Manual",$M342=1),$M342&gt;(ROW(PLE.lastrow)-ROW(PLE.firstrow))),0,IF(OFFSET(PLE!$G$14,$M342,BV$13)="",10^12,OFFSET(PLE!$G$14,$M342,BV$13))))</f>
        <v>1000000000000</v>
      </c>
      <c r="BW342" s="182">
        <f ca="1">IF($D342&lt;&gt;"Serviço",0,IF(OR(AND(AUTOEVENTO="Manual",$M342=1),$M342&gt;(ROW(PLE.lastrow)-ROW(PLE.firstrow))),0,IF(OFFSET(PLE!$G$14,$M342,BW$13)="",10^12,OFFSET(PLE!$G$14,$M342,BW$13))))</f>
        <v>1000000000000</v>
      </c>
      <c r="BX342" s="182">
        <f ca="1">IF($D342&lt;&gt;"Serviço",0,IF(OR(AND(AUTOEVENTO="Manual",$M342=1),$M342&gt;(ROW(PLE.lastrow)-ROW(PLE.firstrow))),0,IF(OFFSET(PLE!$G$14,$M342,BX$13)="",10^12,OFFSET(PLE!$G$14,$M342,BX$13))))</f>
        <v>1000000000000</v>
      </c>
      <c r="BY342" s="182">
        <f ca="1">IF($D342&lt;&gt;"Serviço",0,IF(OR(AND(AUTOEVENTO="Manual",$M342=1),$M342&gt;(ROW(PLE.lastrow)-ROW(PLE.firstrow))),0,IF(OFFSET(PLE!$G$14,$M342,BY$13)="",10^12,OFFSET(PLE!$G$14,$M342,BY$13))))</f>
        <v>1000000000000</v>
      </c>
      <c r="BZ342" s="182">
        <f ca="1">IF($D342&lt;&gt;"Serviço",0,IF(OR(AND(AUTOEVENTO="Manual",$M342=1),$M342&gt;(ROW(PLE.lastrow)-ROW(PLE.firstrow))),0,IF(OFFSET(PLE!$G$14,$M342,BZ$13)="",10^12,OFFSET(PLE!$G$14,$M342,BZ$13))))</f>
        <v>1000000000000</v>
      </c>
      <c r="CA342" s="182">
        <f ca="1">IF($D342&lt;&gt;"Serviço",0,IF(OR(AND(AUTOEVENTO="Manual",$M342=1),$M342&gt;(ROW(PLE.lastrow)-ROW(PLE.firstrow))),0,IF(OFFSET(PLE!$G$14,$M342,CA$13)="",10^12,OFFSET(PLE!$G$14,$M342,CA$13))))</f>
        <v>1000000000000</v>
      </c>
      <c r="CB342" s="182">
        <f ca="1">IF($D342&lt;&gt;"Serviço",0,IF(OR(AND(AUTOEVENTO="Manual",$M342=1),$M342&gt;(ROW(PLE.lastrow)-ROW(PLE.firstrow))),0,IF(OFFSET(PLE!$G$14,$M342,CB$13)="",10^12,OFFSET(PLE!$G$14,$M342,CB$13))))</f>
        <v>1000000000000</v>
      </c>
      <c r="CC342" s="182">
        <f ca="1">IF($D342&lt;&gt;"Serviço",0,IF(OR(AND(AUTOEVENTO="Manual",$M342=1),$M342&gt;(ROW(PLE.lastrow)-ROW(PLE.firstrow))),0,IF(OFFSET(PLE!$G$14,$M342,CC$13)="",10^12,OFFSET(PLE!$G$14,$M342,CC$13))))</f>
        <v>1000000000000</v>
      </c>
      <c r="CD342" s="182">
        <f ca="1">IF($D342&lt;&gt;"Serviço",0,IF(OR(AND(AUTOEVENTO="Manual",$M342=1),$M342&gt;(ROW(PLE.lastrow)-ROW(PLE.firstrow))),0,IF(OFFSET(PLE!$G$14,$M342,CD$13)="",10^12,OFFSET(PLE!$G$14,$M342,CD$13))))</f>
        <v>1000000000000</v>
      </c>
      <c r="CE342" s="182">
        <f ca="1">IF($D342&lt;&gt;"Serviço",0,IF(OR(AND(AUTOEVENTO="Manual",$M342=1),$M342&gt;(ROW(PLE.lastrow)-ROW(PLE.firstrow))),0,IF(OFFSET(PLE!$G$14,$M342,CE$13)="",10^12,OFFSET(PLE!$G$14,$M342,CE$13))))</f>
        <v>1000000000000</v>
      </c>
      <c r="CF342" s="182">
        <f ca="1">IF($D342&lt;&gt;"Serviço",0,IF(OR(AND(AUTOEVENTO="Manual",$M342=1),$M342&gt;(ROW(PLE.lastrow)-ROW(PLE.firstrow))),0,IF(OFFSET(PLE!$G$14,$M342,CF$13)="",10^12,OFFSET(PLE!$G$14,$M342,CF$13))))</f>
        <v>1000000000000</v>
      </c>
      <c r="CG342" s="182">
        <f ca="1">IF($D342&lt;&gt;"Serviço",0,IF(OR(AND(AUTOEVENTO="Manual",$M342=1),$M342&gt;(ROW(PLE.lastrow)-ROW(PLE.firstrow))),0,IF(OFFSET(PLE!$G$14,$M342,CG$13)="",10^12,OFFSET(PLE!$G$14,$M342,CG$13))))</f>
        <v>1000000000000</v>
      </c>
      <c r="CH342" s="182">
        <f ca="1">IF($D342&lt;&gt;"Serviço",0,IF(OR(AND(AUTOEVENTO="Manual",$M342=1),$M342&gt;(ROW(PLE.lastrow)-ROW(PLE.firstrow))),0,IF(OFFSET(PLE!$G$14,$M342,CH$13)="",10^12,OFFSET(PLE!$G$14,$M342,CH$13))))</f>
        <v>1000000000000</v>
      </c>
      <c r="CI342" s="182">
        <f ca="1">IF($D342&lt;&gt;"Serviço",0,IF(OR(AND(AUTOEVENTO="Manual",$M342=1),$M342&gt;(ROW(PLE.lastrow)-ROW(PLE.firstrow))),0,IF(OFFSET(PLE!$G$14,$M342,CI$13)="",10^12,OFFSET(PLE!$G$14,$M342,CI$13))))</f>
        <v>1000000000000</v>
      </c>
      <c r="CJ342" s="182">
        <f ca="1">IF($D342&lt;&gt;"Serviço",0,IF(OR(AND(AUTOEVENTO="Manual",$M342=1),$M342&gt;(ROW(PLE.lastrow)-ROW(PLE.firstrow))),0,IF(OFFSET(PLE!$G$14,$M342,CJ$13)="",10^12,OFFSET(PLE!$G$14,$M342,CJ$13))))</f>
        <v>1000000000000</v>
      </c>
      <c r="CK342" s="182">
        <f ca="1">IF($D342&lt;&gt;"Serviço",0,IF(OR(AND(AUTOEVENTO="Manual",$M342=1),$M342&gt;(ROW(PLE.lastrow)-ROW(PLE.firstrow))),0,IF(OFFSET(PLE!$G$14,$M342,CK$13)="",10^12,OFFSET(PLE!$G$14,$M342,CK$13))))</f>
        <v>1000000000000</v>
      </c>
      <c r="CL342" s="182">
        <f ca="1">IF($D342&lt;&gt;"Serviço",0,IF(OR(AND(AUTOEVENTO="Manual",$M342=1),$M342&gt;(ROW(PLE.lastrow)-ROW(PLE.firstrow))),0,IF(OFFSET(PLE!$G$14,$M342,CL$13)="",10^12,OFFSET(PLE!$G$14,$M342,CL$13))))</f>
        <v>1000000000000</v>
      </c>
      <c r="CM342" s="182">
        <f ca="1">IF($D342&lt;&gt;"Serviço",0,IF(OR(AND(AUTOEVENTO="Manual",$M342=1),$M342&gt;(ROW(PLE.lastrow)-ROW(PLE.firstrow))),0,IF(OFFSET(PLE!$G$14,$M342,CM$13)="",10^12,OFFSET(PLE!$G$14,$M342,CM$13))))</f>
        <v>1000000000000</v>
      </c>
    </row>
    <row r="343" spans="1:91" ht="38.25" x14ac:dyDescent="0.2">
      <c r="A343" s="7" t="str">
        <f t="shared" ca="1" si="12"/>
        <v>304</v>
      </c>
      <c r="B343" s="7" t="str">
        <f ca="1">OFFSET(ORÇAMENTO!C$15,ROW(B343)-ROW(B$15),0)</f>
        <v>S</v>
      </c>
      <c r="C343" s="7" t="str">
        <f ca="1">OFFSET(ORÇAMENTO!L$15,ROW(C343)-ROW(C$15),0)</f>
        <v/>
      </c>
      <c r="D343" s="118" t="str">
        <f ca="1">OFFSET(ORÇAMENTO!N$15,ROW(D343)-ROW(D$15),0)</f>
        <v>Serviço</v>
      </c>
      <c r="E343" s="119" t="str">
        <f ca="1">OFFSET(ORÇAMENTO!O$15,ROW(E343)-ROW(E$15),0)</f>
        <v>-</v>
      </c>
      <c r="F343" s="172" t="str">
        <f ca="1">OFFSET(ORÇAMENTO!R$15,ROW(F343)-ROW(F$15),0)</f>
        <v>(abra o arquivo 'Referência 06-2024.xlsm)</v>
      </c>
      <c r="G343" s="173" t="str">
        <f ca="1">IF($D343&lt;&gt;"Serviço","",OFFSET(ORÇAMENTO!S$15,ROW(G343)-ROW(G$15),0))</f>
        <v>-</v>
      </c>
      <c r="H343" s="124">
        <f ca="1">IF($D343&lt;&gt;"Serviço",0,IF(ACOMPANHAMENTO="BM",ROUND(OFFSET(ORÇAMENTO!AJ$15,ROW(H343)-ROW(H$15),0),15-13*ORÇAMENTO!$AF$7),SUMPRODUCT(($Q$12:$AI$12&lt;&gt;"")*ROUND($Q343:$AI343,15-13*ORÇAMENTO!$AF$7))))</f>
        <v>16</v>
      </c>
      <c r="I343" s="561" t="s">
        <v>1107</v>
      </c>
      <c r="K343" s="174"/>
      <c r="L343" s="175" t="s">
        <v>255</v>
      </c>
      <c r="M343" s="176">
        <f ca="1">IF($D343&lt;&gt;"Serviço","",IF(AUTOEVENTO="manual",$A343,IF(ISERROR(MATCH($A343,$A$15:OFFSET($A343,-1,0),0)),MAX($M$15:OFFSET(M343,-1,0))+1,INDEX($M$15:OFFSET(M343,-1,0),MATCH($A343,$A$15:OFFSET($A343,-1,0),0)))))</f>
        <v>41</v>
      </c>
      <c r="N343" s="177" t="str">
        <f ca="1">IF($D343&lt;&gt;"Serviço","",IF(AUTOEVENTO="Manual",IF($A343=0,"&lt;-- defina o número do agrupador",OFFSET(EVENTOS!$D$14,$A343,0)),OFFSET($F$15,$A343,0)))</f>
        <v>INSTALAÇÃO SANITÁRIA - TUBULAÇÕES E CONEXÕES</v>
      </c>
      <c r="O343" s="178"/>
      <c r="Q343" s="178">
        <v>16</v>
      </c>
      <c r="R343" s="179"/>
      <c r="S343" s="179"/>
      <c r="T343" s="179"/>
      <c r="U343" s="179"/>
      <c r="V343" s="179"/>
      <c r="W343" s="179"/>
      <c r="X343" s="179"/>
      <c r="Y343" s="179"/>
      <c r="Z343" s="180"/>
      <c r="AA343" s="179"/>
      <c r="AB343" s="179"/>
      <c r="AC343" s="179"/>
      <c r="AD343" s="179"/>
      <c r="AE343" s="179"/>
      <c r="AF343" s="179"/>
      <c r="AG343" s="179"/>
      <c r="AH343" s="180"/>
      <c r="AJ343" s="544">
        <f ca="1">IF(AND($D343="Serviço",AJ$12&lt;&gt;0,$H343&gt;0,OR(AUTOEVENTO&lt;&gt;"manual",$M343&lt;&gt;1)),
IF(Import.TipoArredondamento&lt;&gt;"TransfereGOV",
ROUND(OFFSET($P343,0,AJ$13),15-13*ORÇAMENTO!$AF$7)/$H343*OFFSET(ORÇAMENTO!$X$15,ROW(AJ343)-ROW(AJ$15),0),
ROUND(ROUND(OFFSET($P343,0,AJ$13),15-13*ORÇAMENTO!$AF$7)*OFFSET(ORÇAMENTO!$W$15,ROW(AJ343)-ROW(AJ$15),0),15-13*ORÇAMENTO!$AF$11)),0)</f>
        <v>0</v>
      </c>
      <c r="AK343" s="545">
        <f ca="1">IF(AND($D343="Serviço",AK$12&lt;&gt;0,$H343&gt;0,OR(AUTOEVENTO&lt;&gt;"manual",$M343&lt;&gt;1)),
IF(Import.TipoArredondamento&lt;&gt;"TransfereGOV",
ROUND(OFFSET($P343,0,AK$13),15-13*ORÇAMENTO!$AF$7)/$H343*OFFSET(ORÇAMENTO!$X$15,ROW(AK343)-ROW(AK$15),0),
ROUND(ROUND(OFFSET($P343,0,AK$13),15-13*ORÇAMENTO!$AF$7)*OFFSET(ORÇAMENTO!$W$15,ROW(AK343)-ROW(AK$15),0),15-13*ORÇAMENTO!$AF$11)),0)</f>
        <v>0</v>
      </c>
      <c r="AL343" s="545">
        <f ca="1">IF(AND($D343="Serviço",AL$12&lt;&gt;0,$H343&gt;0,OR(AUTOEVENTO&lt;&gt;"manual",$M343&lt;&gt;1)),
IF(Import.TipoArredondamento&lt;&gt;"TransfereGOV",
ROUND(OFFSET($P343,0,AL$13),15-13*ORÇAMENTO!$AF$7)/$H343*OFFSET(ORÇAMENTO!$X$15,ROW(AL343)-ROW(AL$15),0),
ROUND(ROUND(OFFSET($P343,0,AL$13),15-13*ORÇAMENTO!$AF$7)*OFFSET(ORÇAMENTO!$W$15,ROW(AL343)-ROW(AL$15),0),15-13*ORÇAMENTO!$AF$11)),0)</f>
        <v>0</v>
      </c>
      <c r="AM343" s="545">
        <f ca="1">IF(AND($D343="Serviço",AM$12&lt;&gt;0,$H343&gt;0,OR(AUTOEVENTO&lt;&gt;"manual",$M343&lt;&gt;1)),
IF(Import.TipoArredondamento&lt;&gt;"TransfereGOV",
ROUND(OFFSET($P343,0,AM$13),15-13*ORÇAMENTO!$AF$7)/$H343*OFFSET(ORÇAMENTO!$X$15,ROW(AM343)-ROW(AM$15),0),
ROUND(ROUND(OFFSET($P343,0,AM$13),15-13*ORÇAMENTO!$AF$7)*OFFSET(ORÇAMENTO!$W$15,ROW(AM343)-ROW(AM$15),0),15-13*ORÇAMENTO!$AF$11)),0)</f>
        <v>0</v>
      </c>
      <c r="AN343" s="545">
        <f ca="1">IF(AND($D343="Serviço",AN$12&lt;&gt;0,$H343&gt;0,OR(AUTOEVENTO&lt;&gt;"manual",$M343&lt;&gt;1)),
IF(Import.TipoArredondamento&lt;&gt;"TransfereGOV",
ROUND(OFFSET($P343,0,AN$13),15-13*ORÇAMENTO!$AF$7)/$H343*OFFSET(ORÇAMENTO!$X$15,ROW(AN343)-ROW(AN$15),0),
ROUND(ROUND(OFFSET($P343,0,AN$13),15-13*ORÇAMENTO!$AF$7)*OFFSET(ORÇAMENTO!$W$15,ROW(AN343)-ROW(AN$15),0),15-13*ORÇAMENTO!$AF$11)),0)</f>
        <v>0</v>
      </c>
      <c r="AO343" s="545">
        <f ca="1">IF(AND($D343="Serviço",AO$12&lt;&gt;0,$H343&gt;0,OR(AUTOEVENTO&lt;&gt;"manual",$M343&lt;&gt;1)),
IF(Import.TipoArredondamento&lt;&gt;"TransfereGOV",
ROUND(OFFSET($P343,0,AO$13),15-13*ORÇAMENTO!$AF$7)/$H343*OFFSET(ORÇAMENTO!$X$15,ROW(AO343)-ROW(AO$15),0),
ROUND(ROUND(OFFSET($P343,0,AO$13),15-13*ORÇAMENTO!$AF$7)*OFFSET(ORÇAMENTO!$W$15,ROW(AO343)-ROW(AO$15),0),15-13*ORÇAMENTO!$AF$11)),0)</f>
        <v>0</v>
      </c>
      <c r="AP343" s="545">
        <f ca="1">IF(AND($D343="Serviço",AP$12&lt;&gt;0,$H343&gt;0,OR(AUTOEVENTO&lt;&gt;"manual",$M343&lt;&gt;1)),
IF(Import.TipoArredondamento&lt;&gt;"TransfereGOV",
ROUND(OFFSET($P343,0,AP$13),15-13*ORÇAMENTO!$AF$7)/$H343*OFFSET(ORÇAMENTO!$X$15,ROW(AP343)-ROW(AP$15),0),
ROUND(ROUND(OFFSET($P343,0,AP$13),15-13*ORÇAMENTO!$AF$7)*OFFSET(ORÇAMENTO!$W$15,ROW(AP343)-ROW(AP$15),0),15-13*ORÇAMENTO!$AF$11)),0)</f>
        <v>0</v>
      </c>
      <c r="AQ343" s="545">
        <f ca="1">IF(AND($D343="Serviço",AQ$12&lt;&gt;0,$H343&gt;0,OR(AUTOEVENTO&lt;&gt;"manual",$M343&lt;&gt;1)),
IF(Import.TipoArredondamento&lt;&gt;"TransfereGOV",
ROUND(OFFSET($P343,0,AQ$13),15-13*ORÇAMENTO!$AF$7)/$H343*OFFSET(ORÇAMENTO!$X$15,ROW(AQ343)-ROW(AQ$15),0),
ROUND(ROUND(OFFSET($P343,0,AQ$13),15-13*ORÇAMENTO!$AF$7)*OFFSET(ORÇAMENTO!$W$15,ROW(AQ343)-ROW(AQ$15),0),15-13*ORÇAMENTO!$AF$11)),0)</f>
        <v>0</v>
      </c>
      <c r="AR343" s="545">
        <f ca="1">IF(AND($D343="Serviço",AR$12&lt;&gt;0,$H343&gt;0,OR(AUTOEVENTO&lt;&gt;"manual",$M343&lt;&gt;1)),
IF(Import.TipoArredondamento&lt;&gt;"TransfereGOV",
ROUND(OFFSET($P343,0,AR$13),15-13*ORÇAMENTO!$AF$7)/$H343*OFFSET(ORÇAMENTO!$X$15,ROW(AR343)-ROW(AR$15),0),
ROUND(ROUND(OFFSET($P343,0,AR$13),15-13*ORÇAMENTO!$AF$7)*OFFSET(ORÇAMENTO!$W$15,ROW(AR343)-ROW(AR$15),0),15-13*ORÇAMENTO!$AF$11)),0)</f>
        <v>0</v>
      </c>
      <c r="AS343" s="546">
        <f ca="1">IF(AND($D343="Serviço",AS$12&lt;&gt;0,$H343&gt;0,OR(AUTOEVENTO&lt;&gt;"manual",$M343&lt;&gt;1)),
IF(Import.TipoArredondamento&lt;&gt;"TransfereGOV",
ROUND(OFFSET($P343,0,AS$13),15-13*ORÇAMENTO!$AF$7)/$H343*OFFSET(ORÇAMENTO!$X$15,ROW(AS343)-ROW(AS$15),0),
ROUND(ROUND(OFFSET($P343,0,AS$13),15-13*ORÇAMENTO!$AF$7)*OFFSET(ORÇAMENTO!$W$15,ROW(AS343)-ROW(AS$15),0),15-13*ORÇAMENTO!$AF$11)),0)</f>
        <v>0</v>
      </c>
      <c r="AT343" s="545">
        <f ca="1">IF(AND($D343="Serviço",AT$12&lt;&gt;0,$H343&gt;0,OR(AUTOEVENTO&lt;&gt;"manual",$M343&lt;&gt;1)),
IF(Import.TipoArredondamento&lt;&gt;"TransfereGOV",
ROUND(OFFSET($P343,0,AT$13),15-13*ORÇAMENTO!$AF$7)/$H343*OFFSET(ORÇAMENTO!$X$15,ROW(AT343)-ROW(AT$15),0),
ROUND(ROUND(OFFSET($P343,0,AT$13),15-13*ORÇAMENTO!$AF$7)*OFFSET(ORÇAMENTO!$W$15,ROW(AT343)-ROW(AT$15),0),15-13*ORÇAMENTO!$AF$11)),0)</f>
        <v>0</v>
      </c>
      <c r="AU343" s="545">
        <f ca="1">IF(AND($D343="Serviço",AU$12&lt;&gt;0,$H343&gt;0,OR(AUTOEVENTO&lt;&gt;"manual",$M343&lt;&gt;1)),
IF(Import.TipoArredondamento&lt;&gt;"TransfereGOV",
ROUND(OFFSET($P343,0,AU$13),15-13*ORÇAMENTO!$AF$7)/$H343*OFFSET(ORÇAMENTO!$X$15,ROW(AU343)-ROW(AU$15),0),
ROUND(ROUND(OFFSET($P343,0,AU$13),15-13*ORÇAMENTO!$AF$7)*OFFSET(ORÇAMENTO!$W$15,ROW(AU343)-ROW(AU$15),0),15-13*ORÇAMENTO!$AF$11)),0)</f>
        <v>0</v>
      </c>
      <c r="AV343" s="545">
        <f ca="1">IF(AND($D343="Serviço",AV$12&lt;&gt;0,$H343&gt;0,OR(AUTOEVENTO&lt;&gt;"manual",$M343&lt;&gt;1)),
IF(Import.TipoArredondamento&lt;&gt;"TransfereGOV",
ROUND(OFFSET($P343,0,AV$13),15-13*ORÇAMENTO!$AF$7)/$H343*OFFSET(ORÇAMENTO!$X$15,ROW(AV343)-ROW(AV$15),0),
ROUND(ROUND(OFFSET($P343,0,AV$13),15-13*ORÇAMENTO!$AF$7)*OFFSET(ORÇAMENTO!$W$15,ROW(AV343)-ROW(AV$15),0),15-13*ORÇAMENTO!$AF$11)),0)</f>
        <v>0</v>
      </c>
      <c r="AW343" s="545">
        <f ca="1">IF(AND($D343="Serviço",AW$12&lt;&gt;0,$H343&gt;0,OR(AUTOEVENTO&lt;&gt;"manual",$M343&lt;&gt;1)),
IF(Import.TipoArredondamento&lt;&gt;"TransfereGOV",
ROUND(OFFSET($P343,0,AW$13),15-13*ORÇAMENTO!$AF$7)/$H343*OFFSET(ORÇAMENTO!$X$15,ROW(AW343)-ROW(AW$15),0),
ROUND(ROUND(OFFSET($P343,0,AW$13),15-13*ORÇAMENTO!$AF$7)*OFFSET(ORÇAMENTO!$W$15,ROW(AW343)-ROW(AW$15),0),15-13*ORÇAMENTO!$AF$11)),0)</f>
        <v>0</v>
      </c>
      <c r="AX343" s="545">
        <f ca="1">IF(AND($D343="Serviço",AX$12&lt;&gt;0,$H343&gt;0,OR(AUTOEVENTO&lt;&gt;"manual",$M343&lt;&gt;1)),
IF(Import.TipoArredondamento&lt;&gt;"TransfereGOV",
ROUND(OFFSET($P343,0,AX$13),15-13*ORÇAMENTO!$AF$7)/$H343*OFFSET(ORÇAMENTO!$X$15,ROW(AX343)-ROW(AX$15),0),
ROUND(ROUND(OFFSET($P343,0,AX$13),15-13*ORÇAMENTO!$AF$7)*OFFSET(ORÇAMENTO!$W$15,ROW(AX343)-ROW(AX$15),0),15-13*ORÇAMENTO!$AF$11)),0)</f>
        <v>0</v>
      </c>
      <c r="AY343" s="545">
        <f ca="1">IF(AND($D343="Serviço",AY$12&lt;&gt;0,$H343&gt;0,OR(AUTOEVENTO&lt;&gt;"manual",$M343&lt;&gt;1)),
IF(Import.TipoArredondamento&lt;&gt;"TransfereGOV",
ROUND(OFFSET($P343,0,AY$13),15-13*ORÇAMENTO!$AF$7)/$H343*OFFSET(ORÇAMENTO!$X$15,ROW(AY343)-ROW(AY$15),0),
ROUND(ROUND(OFFSET($P343,0,AY$13),15-13*ORÇAMENTO!$AF$7)*OFFSET(ORÇAMENTO!$W$15,ROW(AY343)-ROW(AY$15),0),15-13*ORÇAMENTO!$AF$11)),0)</f>
        <v>0</v>
      </c>
      <c r="AZ343" s="545">
        <f ca="1">IF(AND($D343="Serviço",AZ$12&lt;&gt;0,$H343&gt;0,OR(AUTOEVENTO&lt;&gt;"manual",$M343&lt;&gt;1)),
IF(Import.TipoArredondamento&lt;&gt;"TransfereGOV",
ROUND(OFFSET($P343,0,AZ$13),15-13*ORÇAMENTO!$AF$7)/$H343*OFFSET(ORÇAMENTO!$X$15,ROW(AZ343)-ROW(AZ$15),0),
ROUND(ROUND(OFFSET($P343,0,AZ$13),15-13*ORÇAMENTO!$AF$7)*OFFSET(ORÇAMENTO!$W$15,ROW(AZ343)-ROW(AZ$15),0),15-13*ORÇAMENTO!$AF$11)),0)</f>
        <v>0</v>
      </c>
      <c r="BA343" s="546">
        <f ca="1">IF(AND($D343="Serviço",BA$12&lt;&gt;0,$H343&gt;0,OR(AUTOEVENTO&lt;&gt;"manual",$M343&lt;&gt;1)),
IF(Import.TipoArredondamento&lt;&gt;"TransfereGOV",
ROUND(OFFSET($P343,0,BA$13),15-13*ORÇAMENTO!$AF$7)/$H343*OFFSET(ORÇAMENTO!$X$15,ROW(BA343)-ROW(BA$15),0),
ROUND(ROUND(OFFSET($P343,0,BA$13),15-13*ORÇAMENTO!$AF$7)*OFFSET(ORÇAMENTO!$W$15,ROW(BA343)-ROW(BA$15),0),15-13*ORÇAMENTO!$AF$11)),0)</f>
        <v>0</v>
      </c>
      <c r="BC343" s="181">
        <f ca="1">IF($D343&lt;&gt;"Serviço",0,IF(AND(AUTOEVENTO="Manual",$M343=1),0,IF(OFFSET(CRONOPLE!$F$14,$M343,BC$13)="",10^12,OFFSET(CRONOPLE!$F$14,$M343,BC$13))))</f>
        <v>9</v>
      </c>
      <c r="BD343" s="181">
        <f ca="1">IF($D343&lt;&gt;"Serviço",0,IF(AND(AUTOEVENTO="Manual",$M343=1),0,IF(OFFSET(CRONOPLE!$F$14,$M343,BD$13)="",10^12,OFFSET(CRONOPLE!$F$14,$M343,BD$13))))</f>
        <v>1000000000000</v>
      </c>
      <c r="BE343" s="181">
        <f ca="1">IF($D343&lt;&gt;"Serviço",0,IF(AND(AUTOEVENTO="Manual",$M343=1),0,IF(OFFSET(CRONOPLE!$F$14,$M343,BE$13)="",10^12,OFFSET(CRONOPLE!$F$14,$M343,BE$13))))</f>
        <v>1000000000000</v>
      </c>
      <c r="BF343" s="181">
        <f ca="1">IF($D343&lt;&gt;"Serviço",0,IF(AND(AUTOEVENTO="Manual",$M343=1),0,IF(OFFSET(CRONOPLE!$F$14,$M343,BF$13)="",10^12,OFFSET(CRONOPLE!$F$14,$M343,BF$13))))</f>
        <v>1000000000000</v>
      </c>
      <c r="BG343" s="181">
        <f ca="1">IF($D343&lt;&gt;"Serviço",0,IF(AND(AUTOEVENTO="Manual",$M343=1),0,IF(OFFSET(CRONOPLE!$F$14,$M343,BG$13)="",10^12,OFFSET(CRONOPLE!$F$14,$M343,BG$13))))</f>
        <v>1000000000000</v>
      </c>
      <c r="BH343" s="181">
        <f ca="1">IF($D343&lt;&gt;"Serviço",0,IF(AND(AUTOEVENTO="Manual",$M343=1),0,IF(OFFSET(CRONOPLE!$F$14,$M343,BH$13)="",10^12,OFFSET(CRONOPLE!$F$14,$M343,BH$13))))</f>
        <v>1000000000000</v>
      </c>
      <c r="BI343" s="181">
        <f ca="1">IF($D343&lt;&gt;"Serviço",0,IF(AND(AUTOEVENTO="Manual",$M343=1),0,IF(OFFSET(CRONOPLE!$F$14,$M343,BI$13)="",10^12,OFFSET(CRONOPLE!$F$14,$M343,BI$13))))</f>
        <v>1000000000000</v>
      </c>
      <c r="BJ343" s="181">
        <f ca="1">IF($D343&lt;&gt;"Serviço",0,IF(AND(AUTOEVENTO="Manual",$M343=1),0,IF(OFFSET(CRONOPLE!$F$14,$M343,BJ$13)="",10^12,OFFSET(CRONOPLE!$F$14,$M343,BJ$13))))</f>
        <v>1000000000000</v>
      </c>
      <c r="BK343" s="181">
        <f ca="1">IF($D343&lt;&gt;"Serviço",0,IF(AND(AUTOEVENTO="Manual",$M343=1),0,IF(OFFSET(CRONOPLE!$F$14,$M343,BK$13)="",10^12,OFFSET(CRONOPLE!$F$14,$M343,BK$13))))</f>
        <v>1000000000000</v>
      </c>
      <c r="BL343" s="181">
        <f ca="1">IF($D343&lt;&gt;"Serviço",0,IF(AND(AUTOEVENTO="Manual",$M343=1),0,IF(OFFSET(CRONOPLE!$F$14,$M343,BL$13)="",10^12,OFFSET(CRONOPLE!$F$14,$M343,BL$13))))</f>
        <v>1000000000000</v>
      </c>
      <c r="BM343" s="181">
        <f ca="1">IF($D343&lt;&gt;"Serviço",0,IF(AND(AUTOEVENTO="Manual",$M343=1),0,IF(OFFSET(CRONOPLE!$F$14,$M343,BM$13)="",10^12,OFFSET(CRONOPLE!$F$14,$M343,BM$13))))</f>
        <v>1000000000000</v>
      </c>
      <c r="BN343" s="181">
        <f ca="1">IF($D343&lt;&gt;"Serviço",0,IF(AND(AUTOEVENTO="Manual",$M343=1),0,IF(OFFSET(CRONOPLE!$F$14,$M343,BN$13)="",10^12,OFFSET(CRONOPLE!$F$14,$M343,BN$13))))</f>
        <v>1000000000000</v>
      </c>
      <c r="BO343" s="181">
        <f ca="1">IF($D343&lt;&gt;"Serviço",0,IF(AND(AUTOEVENTO="Manual",$M343=1),0,IF(OFFSET(CRONOPLE!$F$14,$M343,BO$13)="",10^12,OFFSET(CRONOPLE!$F$14,$M343,BO$13))))</f>
        <v>1000000000000</v>
      </c>
      <c r="BP343" s="181">
        <f ca="1">IF($D343&lt;&gt;"Serviço",0,IF(AND(AUTOEVENTO="Manual",$M343=1),0,IF(OFFSET(CRONOPLE!$F$14,$M343,BP$13)="",10^12,OFFSET(CRONOPLE!$F$14,$M343,BP$13))))</f>
        <v>1000000000000</v>
      </c>
      <c r="BQ343" s="181">
        <f ca="1">IF($D343&lt;&gt;"Serviço",0,IF(AND(AUTOEVENTO="Manual",$M343=1),0,IF(OFFSET(CRONOPLE!$F$14,$M343,BQ$13)="",10^12,OFFSET(CRONOPLE!$F$14,$M343,BQ$13))))</f>
        <v>1000000000000</v>
      </c>
      <c r="BR343" s="181">
        <f ca="1">IF($D343&lt;&gt;"Serviço",0,IF(AND(AUTOEVENTO="Manual",$M343=1),0,IF(OFFSET(CRONOPLE!$F$14,$M343,BR$13)="",10^12,OFFSET(CRONOPLE!$F$14,$M343,BR$13))))</f>
        <v>1000000000000</v>
      </c>
      <c r="BS343" s="181">
        <f ca="1">IF($D343&lt;&gt;"Serviço",0,IF(AND(AUTOEVENTO="Manual",$M343=1),0,IF(OFFSET(CRONOPLE!$F$14,$M343,BS$13)="",10^12,OFFSET(CRONOPLE!$F$14,$M343,BS$13))))</f>
        <v>1000000000000</v>
      </c>
      <c r="BT343" s="181">
        <f ca="1">IF($D343&lt;&gt;"Serviço",0,IF(AND(AUTOEVENTO="Manual",$M343=1),0,IF(OFFSET(CRONOPLE!$F$14,$M343,BT$13)="",10^12,OFFSET(CRONOPLE!$F$14,$M343,BT$13))))</f>
        <v>1000000000000</v>
      </c>
      <c r="BV343" s="182">
        <f ca="1">IF($D343&lt;&gt;"Serviço",0,IF(OR(AND(AUTOEVENTO="Manual",$M343=1),$M343&gt;(ROW(PLE.lastrow)-ROW(PLE.firstrow))),0,IF(OFFSET(PLE!$G$14,$M343,BV$13)="",10^12,OFFSET(PLE!$G$14,$M343,BV$13))))</f>
        <v>1000000000000</v>
      </c>
      <c r="BW343" s="182">
        <f ca="1">IF($D343&lt;&gt;"Serviço",0,IF(OR(AND(AUTOEVENTO="Manual",$M343=1),$M343&gt;(ROW(PLE.lastrow)-ROW(PLE.firstrow))),0,IF(OFFSET(PLE!$G$14,$M343,BW$13)="",10^12,OFFSET(PLE!$G$14,$M343,BW$13))))</f>
        <v>1000000000000</v>
      </c>
      <c r="BX343" s="182">
        <f ca="1">IF($D343&lt;&gt;"Serviço",0,IF(OR(AND(AUTOEVENTO="Manual",$M343=1),$M343&gt;(ROW(PLE.lastrow)-ROW(PLE.firstrow))),0,IF(OFFSET(PLE!$G$14,$M343,BX$13)="",10^12,OFFSET(PLE!$G$14,$M343,BX$13))))</f>
        <v>1000000000000</v>
      </c>
      <c r="BY343" s="182">
        <f ca="1">IF($D343&lt;&gt;"Serviço",0,IF(OR(AND(AUTOEVENTO="Manual",$M343=1),$M343&gt;(ROW(PLE.lastrow)-ROW(PLE.firstrow))),0,IF(OFFSET(PLE!$G$14,$M343,BY$13)="",10^12,OFFSET(PLE!$G$14,$M343,BY$13))))</f>
        <v>1000000000000</v>
      </c>
      <c r="BZ343" s="182">
        <f ca="1">IF($D343&lt;&gt;"Serviço",0,IF(OR(AND(AUTOEVENTO="Manual",$M343=1),$M343&gt;(ROW(PLE.lastrow)-ROW(PLE.firstrow))),0,IF(OFFSET(PLE!$G$14,$M343,BZ$13)="",10^12,OFFSET(PLE!$G$14,$M343,BZ$13))))</f>
        <v>1000000000000</v>
      </c>
      <c r="CA343" s="182">
        <f ca="1">IF($D343&lt;&gt;"Serviço",0,IF(OR(AND(AUTOEVENTO="Manual",$M343=1),$M343&gt;(ROW(PLE.lastrow)-ROW(PLE.firstrow))),0,IF(OFFSET(PLE!$G$14,$M343,CA$13)="",10^12,OFFSET(PLE!$G$14,$M343,CA$13))))</f>
        <v>1000000000000</v>
      </c>
      <c r="CB343" s="182">
        <f ca="1">IF($D343&lt;&gt;"Serviço",0,IF(OR(AND(AUTOEVENTO="Manual",$M343=1),$M343&gt;(ROW(PLE.lastrow)-ROW(PLE.firstrow))),0,IF(OFFSET(PLE!$G$14,$M343,CB$13)="",10^12,OFFSET(PLE!$G$14,$M343,CB$13))))</f>
        <v>1000000000000</v>
      </c>
      <c r="CC343" s="182">
        <f ca="1">IF($D343&lt;&gt;"Serviço",0,IF(OR(AND(AUTOEVENTO="Manual",$M343=1),$M343&gt;(ROW(PLE.lastrow)-ROW(PLE.firstrow))),0,IF(OFFSET(PLE!$G$14,$M343,CC$13)="",10^12,OFFSET(PLE!$G$14,$M343,CC$13))))</f>
        <v>1000000000000</v>
      </c>
      <c r="CD343" s="182">
        <f ca="1">IF($D343&lt;&gt;"Serviço",0,IF(OR(AND(AUTOEVENTO="Manual",$M343=1),$M343&gt;(ROW(PLE.lastrow)-ROW(PLE.firstrow))),0,IF(OFFSET(PLE!$G$14,$M343,CD$13)="",10^12,OFFSET(PLE!$G$14,$M343,CD$13))))</f>
        <v>1000000000000</v>
      </c>
      <c r="CE343" s="182">
        <f ca="1">IF($D343&lt;&gt;"Serviço",0,IF(OR(AND(AUTOEVENTO="Manual",$M343=1),$M343&gt;(ROW(PLE.lastrow)-ROW(PLE.firstrow))),0,IF(OFFSET(PLE!$G$14,$M343,CE$13)="",10^12,OFFSET(PLE!$G$14,$M343,CE$13))))</f>
        <v>1000000000000</v>
      </c>
      <c r="CF343" s="182">
        <f ca="1">IF($D343&lt;&gt;"Serviço",0,IF(OR(AND(AUTOEVENTO="Manual",$M343=1),$M343&gt;(ROW(PLE.lastrow)-ROW(PLE.firstrow))),0,IF(OFFSET(PLE!$G$14,$M343,CF$13)="",10^12,OFFSET(PLE!$G$14,$M343,CF$13))))</f>
        <v>1000000000000</v>
      </c>
      <c r="CG343" s="182">
        <f ca="1">IF($D343&lt;&gt;"Serviço",0,IF(OR(AND(AUTOEVENTO="Manual",$M343=1),$M343&gt;(ROW(PLE.lastrow)-ROW(PLE.firstrow))),0,IF(OFFSET(PLE!$G$14,$M343,CG$13)="",10^12,OFFSET(PLE!$G$14,$M343,CG$13))))</f>
        <v>1000000000000</v>
      </c>
      <c r="CH343" s="182">
        <f ca="1">IF($D343&lt;&gt;"Serviço",0,IF(OR(AND(AUTOEVENTO="Manual",$M343=1),$M343&gt;(ROW(PLE.lastrow)-ROW(PLE.firstrow))),0,IF(OFFSET(PLE!$G$14,$M343,CH$13)="",10^12,OFFSET(PLE!$G$14,$M343,CH$13))))</f>
        <v>1000000000000</v>
      </c>
      <c r="CI343" s="182">
        <f ca="1">IF($D343&lt;&gt;"Serviço",0,IF(OR(AND(AUTOEVENTO="Manual",$M343=1),$M343&gt;(ROW(PLE.lastrow)-ROW(PLE.firstrow))),0,IF(OFFSET(PLE!$G$14,$M343,CI$13)="",10^12,OFFSET(PLE!$G$14,$M343,CI$13))))</f>
        <v>1000000000000</v>
      </c>
      <c r="CJ343" s="182">
        <f ca="1">IF($D343&lt;&gt;"Serviço",0,IF(OR(AND(AUTOEVENTO="Manual",$M343=1),$M343&gt;(ROW(PLE.lastrow)-ROW(PLE.firstrow))),0,IF(OFFSET(PLE!$G$14,$M343,CJ$13)="",10^12,OFFSET(PLE!$G$14,$M343,CJ$13))))</f>
        <v>1000000000000</v>
      </c>
      <c r="CK343" s="182">
        <f ca="1">IF($D343&lt;&gt;"Serviço",0,IF(OR(AND(AUTOEVENTO="Manual",$M343=1),$M343&gt;(ROW(PLE.lastrow)-ROW(PLE.firstrow))),0,IF(OFFSET(PLE!$G$14,$M343,CK$13)="",10^12,OFFSET(PLE!$G$14,$M343,CK$13))))</f>
        <v>1000000000000</v>
      </c>
      <c r="CL343" s="182">
        <f ca="1">IF($D343&lt;&gt;"Serviço",0,IF(OR(AND(AUTOEVENTO="Manual",$M343=1),$M343&gt;(ROW(PLE.lastrow)-ROW(PLE.firstrow))),0,IF(OFFSET(PLE!$G$14,$M343,CL$13)="",10^12,OFFSET(PLE!$G$14,$M343,CL$13))))</f>
        <v>1000000000000</v>
      </c>
      <c r="CM343" s="182">
        <f ca="1">IF($D343&lt;&gt;"Serviço",0,IF(OR(AND(AUTOEVENTO="Manual",$M343=1),$M343&gt;(ROW(PLE.lastrow)-ROW(PLE.firstrow))),0,IF(OFFSET(PLE!$G$14,$M343,CM$13)="",10^12,OFFSET(PLE!$G$14,$M343,CM$13))))</f>
        <v>1000000000000</v>
      </c>
    </row>
    <row r="344" spans="1:91" ht="38.25" x14ac:dyDescent="0.2">
      <c r="A344" s="7" t="str">
        <f t="shared" ca="1" si="12"/>
        <v>304</v>
      </c>
      <c r="B344" s="7" t="str">
        <f ca="1">OFFSET(ORÇAMENTO!C$15,ROW(B344)-ROW(B$15),0)</f>
        <v>S</v>
      </c>
      <c r="C344" s="7" t="str">
        <f ca="1">OFFSET(ORÇAMENTO!L$15,ROW(C344)-ROW(C$15),0)</f>
        <v/>
      </c>
      <c r="D344" s="118" t="str">
        <f ca="1">OFFSET(ORÇAMENTO!N$15,ROW(D344)-ROW(D$15),0)</f>
        <v>Serviço</v>
      </c>
      <c r="E344" s="119" t="str">
        <f ca="1">OFFSET(ORÇAMENTO!O$15,ROW(E344)-ROW(E$15),0)</f>
        <v>-</v>
      </c>
      <c r="F344" s="172" t="str">
        <f ca="1">OFFSET(ORÇAMENTO!R$15,ROW(F344)-ROW(F$15),0)</f>
        <v>(abra o arquivo 'Referência 06-2024.xlsm)</v>
      </c>
      <c r="G344" s="173" t="str">
        <f ca="1">IF($D344&lt;&gt;"Serviço","",OFFSET(ORÇAMENTO!S$15,ROW(G344)-ROW(G$15),0))</f>
        <v>-</v>
      </c>
      <c r="H344" s="124">
        <f ca="1">IF($D344&lt;&gt;"Serviço",0,IF(ACOMPANHAMENTO="BM",ROUND(OFFSET(ORÇAMENTO!AJ$15,ROW(H344)-ROW(H$15),0),15-13*ORÇAMENTO!$AF$7),SUMPRODUCT(($Q$12:$AI$12&lt;&gt;"")*ROUND($Q344:$AI344,15-13*ORÇAMENTO!$AF$7))))</f>
        <v>2</v>
      </c>
      <c r="I344" s="561" t="s">
        <v>1107</v>
      </c>
      <c r="K344" s="174"/>
      <c r="L344" s="175" t="s">
        <v>255</v>
      </c>
      <c r="M344" s="176">
        <f ca="1">IF($D344&lt;&gt;"Serviço","",IF(AUTOEVENTO="manual",$A344,IF(ISERROR(MATCH($A344,$A$15:OFFSET($A344,-1,0),0)),MAX($M$15:OFFSET(M344,-1,0))+1,INDEX($M$15:OFFSET(M344,-1,0),MATCH($A344,$A$15:OFFSET($A344,-1,0),0)))))</f>
        <v>41</v>
      </c>
      <c r="N344" s="177" t="str">
        <f ca="1">IF($D344&lt;&gt;"Serviço","",IF(AUTOEVENTO="Manual",IF($A344=0,"&lt;-- defina o número do agrupador",OFFSET(EVENTOS!$D$14,$A344,0)),OFFSET($F$15,$A344,0)))</f>
        <v>INSTALAÇÃO SANITÁRIA - TUBULAÇÕES E CONEXÕES</v>
      </c>
      <c r="O344" s="178"/>
      <c r="Q344" s="178">
        <v>2</v>
      </c>
      <c r="R344" s="179"/>
      <c r="S344" s="179"/>
      <c r="T344" s="179"/>
      <c r="U344" s="179"/>
      <c r="V344" s="179"/>
      <c r="W344" s="179"/>
      <c r="X344" s="179"/>
      <c r="Y344" s="179"/>
      <c r="Z344" s="180"/>
      <c r="AA344" s="179"/>
      <c r="AB344" s="179"/>
      <c r="AC344" s="179"/>
      <c r="AD344" s="179"/>
      <c r="AE344" s="179"/>
      <c r="AF344" s="179"/>
      <c r="AG344" s="179"/>
      <c r="AH344" s="180"/>
      <c r="AJ344" s="544">
        <f ca="1">IF(AND($D344="Serviço",AJ$12&lt;&gt;0,$H344&gt;0,OR(AUTOEVENTO&lt;&gt;"manual",$M344&lt;&gt;1)),
IF(Import.TipoArredondamento&lt;&gt;"TransfereGOV",
ROUND(OFFSET($P344,0,AJ$13),15-13*ORÇAMENTO!$AF$7)/$H344*OFFSET(ORÇAMENTO!$X$15,ROW(AJ344)-ROW(AJ$15),0),
ROUND(ROUND(OFFSET($P344,0,AJ$13),15-13*ORÇAMENTO!$AF$7)*OFFSET(ORÇAMENTO!$W$15,ROW(AJ344)-ROW(AJ$15),0),15-13*ORÇAMENTO!$AF$11)),0)</f>
        <v>0</v>
      </c>
      <c r="AK344" s="545">
        <f ca="1">IF(AND($D344="Serviço",AK$12&lt;&gt;0,$H344&gt;0,OR(AUTOEVENTO&lt;&gt;"manual",$M344&lt;&gt;1)),
IF(Import.TipoArredondamento&lt;&gt;"TransfereGOV",
ROUND(OFFSET($P344,0,AK$13),15-13*ORÇAMENTO!$AF$7)/$H344*OFFSET(ORÇAMENTO!$X$15,ROW(AK344)-ROW(AK$15),0),
ROUND(ROUND(OFFSET($P344,0,AK$13),15-13*ORÇAMENTO!$AF$7)*OFFSET(ORÇAMENTO!$W$15,ROW(AK344)-ROW(AK$15),0),15-13*ORÇAMENTO!$AF$11)),0)</f>
        <v>0</v>
      </c>
      <c r="AL344" s="545">
        <f ca="1">IF(AND($D344="Serviço",AL$12&lt;&gt;0,$H344&gt;0,OR(AUTOEVENTO&lt;&gt;"manual",$M344&lt;&gt;1)),
IF(Import.TipoArredondamento&lt;&gt;"TransfereGOV",
ROUND(OFFSET($P344,0,AL$13),15-13*ORÇAMENTO!$AF$7)/$H344*OFFSET(ORÇAMENTO!$X$15,ROW(AL344)-ROW(AL$15),0),
ROUND(ROUND(OFFSET($P344,0,AL$13),15-13*ORÇAMENTO!$AF$7)*OFFSET(ORÇAMENTO!$W$15,ROW(AL344)-ROW(AL$15),0),15-13*ORÇAMENTO!$AF$11)),0)</f>
        <v>0</v>
      </c>
      <c r="AM344" s="545">
        <f ca="1">IF(AND($D344="Serviço",AM$12&lt;&gt;0,$H344&gt;0,OR(AUTOEVENTO&lt;&gt;"manual",$M344&lt;&gt;1)),
IF(Import.TipoArredondamento&lt;&gt;"TransfereGOV",
ROUND(OFFSET($P344,0,AM$13),15-13*ORÇAMENTO!$AF$7)/$H344*OFFSET(ORÇAMENTO!$X$15,ROW(AM344)-ROW(AM$15),0),
ROUND(ROUND(OFFSET($P344,0,AM$13),15-13*ORÇAMENTO!$AF$7)*OFFSET(ORÇAMENTO!$W$15,ROW(AM344)-ROW(AM$15),0),15-13*ORÇAMENTO!$AF$11)),0)</f>
        <v>0</v>
      </c>
      <c r="AN344" s="545">
        <f ca="1">IF(AND($D344="Serviço",AN$12&lt;&gt;0,$H344&gt;0,OR(AUTOEVENTO&lt;&gt;"manual",$M344&lt;&gt;1)),
IF(Import.TipoArredondamento&lt;&gt;"TransfereGOV",
ROUND(OFFSET($P344,0,AN$13),15-13*ORÇAMENTO!$AF$7)/$H344*OFFSET(ORÇAMENTO!$X$15,ROW(AN344)-ROW(AN$15),0),
ROUND(ROUND(OFFSET($P344,0,AN$13),15-13*ORÇAMENTO!$AF$7)*OFFSET(ORÇAMENTO!$W$15,ROW(AN344)-ROW(AN$15),0),15-13*ORÇAMENTO!$AF$11)),0)</f>
        <v>0</v>
      </c>
      <c r="AO344" s="545">
        <f ca="1">IF(AND($D344="Serviço",AO$12&lt;&gt;0,$H344&gt;0,OR(AUTOEVENTO&lt;&gt;"manual",$M344&lt;&gt;1)),
IF(Import.TipoArredondamento&lt;&gt;"TransfereGOV",
ROUND(OFFSET($P344,0,AO$13),15-13*ORÇAMENTO!$AF$7)/$H344*OFFSET(ORÇAMENTO!$X$15,ROW(AO344)-ROW(AO$15),0),
ROUND(ROUND(OFFSET($P344,0,AO$13),15-13*ORÇAMENTO!$AF$7)*OFFSET(ORÇAMENTO!$W$15,ROW(AO344)-ROW(AO$15),0),15-13*ORÇAMENTO!$AF$11)),0)</f>
        <v>0</v>
      </c>
      <c r="AP344" s="545">
        <f ca="1">IF(AND($D344="Serviço",AP$12&lt;&gt;0,$H344&gt;0,OR(AUTOEVENTO&lt;&gt;"manual",$M344&lt;&gt;1)),
IF(Import.TipoArredondamento&lt;&gt;"TransfereGOV",
ROUND(OFFSET($P344,0,AP$13),15-13*ORÇAMENTO!$AF$7)/$H344*OFFSET(ORÇAMENTO!$X$15,ROW(AP344)-ROW(AP$15),0),
ROUND(ROUND(OFFSET($P344,0,AP$13),15-13*ORÇAMENTO!$AF$7)*OFFSET(ORÇAMENTO!$W$15,ROW(AP344)-ROW(AP$15),0),15-13*ORÇAMENTO!$AF$11)),0)</f>
        <v>0</v>
      </c>
      <c r="AQ344" s="545">
        <f ca="1">IF(AND($D344="Serviço",AQ$12&lt;&gt;0,$H344&gt;0,OR(AUTOEVENTO&lt;&gt;"manual",$M344&lt;&gt;1)),
IF(Import.TipoArredondamento&lt;&gt;"TransfereGOV",
ROUND(OFFSET($P344,0,AQ$13),15-13*ORÇAMENTO!$AF$7)/$H344*OFFSET(ORÇAMENTO!$X$15,ROW(AQ344)-ROW(AQ$15),0),
ROUND(ROUND(OFFSET($P344,0,AQ$13),15-13*ORÇAMENTO!$AF$7)*OFFSET(ORÇAMENTO!$W$15,ROW(AQ344)-ROW(AQ$15),0),15-13*ORÇAMENTO!$AF$11)),0)</f>
        <v>0</v>
      </c>
      <c r="AR344" s="545">
        <f ca="1">IF(AND($D344="Serviço",AR$12&lt;&gt;0,$H344&gt;0,OR(AUTOEVENTO&lt;&gt;"manual",$M344&lt;&gt;1)),
IF(Import.TipoArredondamento&lt;&gt;"TransfereGOV",
ROUND(OFFSET($P344,0,AR$13),15-13*ORÇAMENTO!$AF$7)/$H344*OFFSET(ORÇAMENTO!$X$15,ROW(AR344)-ROW(AR$15),0),
ROUND(ROUND(OFFSET($P344,0,AR$13),15-13*ORÇAMENTO!$AF$7)*OFFSET(ORÇAMENTO!$W$15,ROW(AR344)-ROW(AR$15),0),15-13*ORÇAMENTO!$AF$11)),0)</f>
        <v>0</v>
      </c>
      <c r="AS344" s="546">
        <f ca="1">IF(AND($D344="Serviço",AS$12&lt;&gt;0,$H344&gt;0,OR(AUTOEVENTO&lt;&gt;"manual",$M344&lt;&gt;1)),
IF(Import.TipoArredondamento&lt;&gt;"TransfereGOV",
ROUND(OFFSET($P344,0,AS$13),15-13*ORÇAMENTO!$AF$7)/$H344*OFFSET(ORÇAMENTO!$X$15,ROW(AS344)-ROW(AS$15),0),
ROUND(ROUND(OFFSET($P344,0,AS$13),15-13*ORÇAMENTO!$AF$7)*OFFSET(ORÇAMENTO!$W$15,ROW(AS344)-ROW(AS$15),0),15-13*ORÇAMENTO!$AF$11)),0)</f>
        <v>0</v>
      </c>
      <c r="AT344" s="545">
        <f ca="1">IF(AND($D344="Serviço",AT$12&lt;&gt;0,$H344&gt;0,OR(AUTOEVENTO&lt;&gt;"manual",$M344&lt;&gt;1)),
IF(Import.TipoArredondamento&lt;&gt;"TransfereGOV",
ROUND(OFFSET($P344,0,AT$13),15-13*ORÇAMENTO!$AF$7)/$H344*OFFSET(ORÇAMENTO!$X$15,ROW(AT344)-ROW(AT$15),0),
ROUND(ROUND(OFFSET($P344,0,AT$13),15-13*ORÇAMENTO!$AF$7)*OFFSET(ORÇAMENTO!$W$15,ROW(AT344)-ROW(AT$15),0),15-13*ORÇAMENTO!$AF$11)),0)</f>
        <v>0</v>
      </c>
      <c r="AU344" s="545">
        <f ca="1">IF(AND($D344="Serviço",AU$12&lt;&gt;0,$H344&gt;0,OR(AUTOEVENTO&lt;&gt;"manual",$M344&lt;&gt;1)),
IF(Import.TipoArredondamento&lt;&gt;"TransfereGOV",
ROUND(OFFSET($P344,0,AU$13),15-13*ORÇAMENTO!$AF$7)/$H344*OFFSET(ORÇAMENTO!$X$15,ROW(AU344)-ROW(AU$15),0),
ROUND(ROUND(OFFSET($P344,0,AU$13),15-13*ORÇAMENTO!$AF$7)*OFFSET(ORÇAMENTO!$W$15,ROW(AU344)-ROW(AU$15),0),15-13*ORÇAMENTO!$AF$11)),0)</f>
        <v>0</v>
      </c>
      <c r="AV344" s="545">
        <f ca="1">IF(AND($D344="Serviço",AV$12&lt;&gt;0,$H344&gt;0,OR(AUTOEVENTO&lt;&gt;"manual",$M344&lt;&gt;1)),
IF(Import.TipoArredondamento&lt;&gt;"TransfereGOV",
ROUND(OFFSET($P344,0,AV$13),15-13*ORÇAMENTO!$AF$7)/$H344*OFFSET(ORÇAMENTO!$X$15,ROW(AV344)-ROW(AV$15),0),
ROUND(ROUND(OFFSET($P344,0,AV$13),15-13*ORÇAMENTO!$AF$7)*OFFSET(ORÇAMENTO!$W$15,ROW(AV344)-ROW(AV$15),0),15-13*ORÇAMENTO!$AF$11)),0)</f>
        <v>0</v>
      </c>
      <c r="AW344" s="545">
        <f ca="1">IF(AND($D344="Serviço",AW$12&lt;&gt;0,$H344&gt;0,OR(AUTOEVENTO&lt;&gt;"manual",$M344&lt;&gt;1)),
IF(Import.TipoArredondamento&lt;&gt;"TransfereGOV",
ROUND(OFFSET($P344,0,AW$13),15-13*ORÇAMENTO!$AF$7)/$H344*OFFSET(ORÇAMENTO!$X$15,ROW(AW344)-ROW(AW$15),0),
ROUND(ROUND(OFFSET($P344,0,AW$13),15-13*ORÇAMENTO!$AF$7)*OFFSET(ORÇAMENTO!$W$15,ROW(AW344)-ROW(AW$15),0),15-13*ORÇAMENTO!$AF$11)),0)</f>
        <v>0</v>
      </c>
      <c r="AX344" s="545">
        <f ca="1">IF(AND($D344="Serviço",AX$12&lt;&gt;0,$H344&gt;0,OR(AUTOEVENTO&lt;&gt;"manual",$M344&lt;&gt;1)),
IF(Import.TipoArredondamento&lt;&gt;"TransfereGOV",
ROUND(OFFSET($P344,0,AX$13),15-13*ORÇAMENTO!$AF$7)/$H344*OFFSET(ORÇAMENTO!$X$15,ROW(AX344)-ROW(AX$15),0),
ROUND(ROUND(OFFSET($P344,0,AX$13),15-13*ORÇAMENTO!$AF$7)*OFFSET(ORÇAMENTO!$W$15,ROW(AX344)-ROW(AX$15),0),15-13*ORÇAMENTO!$AF$11)),0)</f>
        <v>0</v>
      </c>
      <c r="AY344" s="545">
        <f ca="1">IF(AND($D344="Serviço",AY$12&lt;&gt;0,$H344&gt;0,OR(AUTOEVENTO&lt;&gt;"manual",$M344&lt;&gt;1)),
IF(Import.TipoArredondamento&lt;&gt;"TransfereGOV",
ROUND(OFFSET($P344,0,AY$13),15-13*ORÇAMENTO!$AF$7)/$H344*OFFSET(ORÇAMENTO!$X$15,ROW(AY344)-ROW(AY$15),0),
ROUND(ROUND(OFFSET($P344,0,AY$13),15-13*ORÇAMENTO!$AF$7)*OFFSET(ORÇAMENTO!$W$15,ROW(AY344)-ROW(AY$15),0),15-13*ORÇAMENTO!$AF$11)),0)</f>
        <v>0</v>
      </c>
      <c r="AZ344" s="545">
        <f ca="1">IF(AND($D344="Serviço",AZ$12&lt;&gt;0,$H344&gt;0,OR(AUTOEVENTO&lt;&gt;"manual",$M344&lt;&gt;1)),
IF(Import.TipoArredondamento&lt;&gt;"TransfereGOV",
ROUND(OFFSET($P344,0,AZ$13),15-13*ORÇAMENTO!$AF$7)/$H344*OFFSET(ORÇAMENTO!$X$15,ROW(AZ344)-ROW(AZ$15),0),
ROUND(ROUND(OFFSET($P344,0,AZ$13),15-13*ORÇAMENTO!$AF$7)*OFFSET(ORÇAMENTO!$W$15,ROW(AZ344)-ROW(AZ$15),0),15-13*ORÇAMENTO!$AF$11)),0)</f>
        <v>0</v>
      </c>
      <c r="BA344" s="546">
        <f ca="1">IF(AND($D344="Serviço",BA$12&lt;&gt;0,$H344&gt;0,OR(AUTOEVENTO&lt;&gt;"manual",$M344&lt;&gt;1)),
IF(Import.TipoArredondamento&lt;&gt;"TransfereGOV",
ROUND(OFFSET($P344,0,BA$13),15-13*ORÇAMENTO!$AF$7)/$H344*OFFSET(ORÇAMENTO!$X$15,ROW(BA344)-ROW(BA$15),0),
ROUND(ROUND(OFFSET($P344,0,BA$13),15-13*ORÇAMENTO!$AF$7)*OFFSET(ORÇAMENTO!$W$15,ROW(BA344)-ROW(BA$15),0),15-13*ORÇAMENTO!$AF$11)),0)</f>
        <v>0</v>
      </c>
      <c r="BC344" s="181">
        <f ca="1">IF($D344&lt;&gt;"Serviço",0,IF(AND(AUTOEVENTO="Manual",$M344=1),0,IF(OFFSET(CRONOPLE!$F$14,$M344,BC$13)="",10^12,OFFSET(CRONOPLE!$F$14,$M344,BC$13))))</f>
        <v>9</v>
      </c>
      <c r="BD344" s="181">
        <f ca="1">IF($D344&lt;&gt;"Serviço",0,IF(AND(AUTOEVENTO="Manual",$M344=1),0,IF(OFFSET(CRONOPLE!$F$14,$M344,BD$13)="",10^12,OFFSET(CRONOPLE!$F$14,$M344,BD$13))))</f>
        <v>1000000000000</v>
      </c>
      <c r="BE344" s="181">
        <f ca="1">IF($D344&lt;&gt;"Serviço",0,IF(AND(AUTOEVENTO="Manual",$M344=1),0,IF(OFFSET(CRONOPLE!$F$14,$M344,BE$13)="",10^12,OFFSET(CRONOPLE!$F$14,$M344,BE$13))))</f>
        <v>1000000000000</v>
      </c>
      <c r="BF344" s="181">
        <f ca="1">IF($D344&lt;&gt;"Serviço",0,IF(AND(AUTOEVENTO="Manual",$M344=1),0,IF(OFFSET(CRONOPLE!$F$14,$M344,BF$13)="",10^12,OFFSET(CRONOPLE!$F$14,$M344,BF$13))))</f>
        <v>1000000000000</v>
      </c>
      <c r="BG344" s="181">
        <f ca="1">IF($D344&lt;&gt;"Serviço",0,IF(AND(AUTOEVENTO="Manual",$M344=1),0,IF(OFFSET(CRONOPLE!$F$14,$M344,BG$13)="",10^12,OFFSET(CRONOPLE!$F$14,$M344,BG$13))))</f>
        <v>1000000000000</v>
      </c>
      <c r="BH344" s="181">
        <f ca="1">IF($D344&lt;&gt;"Serviço",0,IF(AND(AUTOEVENTO="Manual",$M344=1),0,IF(OFFSET(CRONOPLE!$F$14,$M344,BH$13)="",10^12,OFFSET(CRONOPLE!$F$14,$M344,BH$13))))</f>
        <v>1000000000000</v>
      </c>
      <c r="BI344" s="181">
        <f ca="1">IF($D344&lt;&gt;"Serviço",0,IF(AND(AUTOEVENTO="Manual",$M344=1),0,IF(OFFSET(CRONOPLE!$F$14,$M344,BI$13)="",10^12,OFFSET(CRONOPLE!$F$14,$M344,BI$13))))</f>
        <v>1000000000000</v>
      </c>
      <c r="BJ344" s="181">
        <f ca="1">IF($D344&lt;&gt;"Serviço",0,IF(AND(AUTOEVENTO="Manual",$M344=1),0,IF(OFFSET(CRONOPLE!$F$14,$M344,BJ$13)="",10^12,OFFSET(CRONOPLE!$F$14,$M344,BJ$13))))</f>
        <v>1000000000000</v>
      </c>
      <c r="BK344" s="181">
        <f ca="1">IF($D344&lt;&gt;"Serviço",0,IF(AND(AUTOEVENTO="Manual",$M344=1),0,IF(OFFSET(CRONOPLE!$F$14,$M344,BK$13)="",10^12,OFFSET(CRONOPLE!$F$14,$M344,BK$13))))</f>
        <v>1000000000000</v>
      </c>
      <c r="BL344" s="181">
        <f ca="1">IF($D344&lt;&gt;"Serviço",0,IF(AND(AUTOEVENTO="Manual",$M344=1),0,IF(OFFSET(CRONOPLE!$F$14,$M344,BL$13)="",10^12,OFFSET(CRONOPLE!$F$14,$M344,BL$13))))</f>
        <v>1000000000000</v>
      </c>
      <c r="BM344" s="181">
        <f ca="1">IF($D344&lt;&gt;"Serviço",0,IF(AND(AUTOEVENTO="Manual",$M344=1),0,IF(OFFSET(CRONOPLE!$F$14,$M344,BM$13)="",10^12,OFFSET(CRONOPLE!$F$14,$M344,BM$13))))</f>
        <v>1000000000000</v>
      </c>
      <c r="BN344" s="181">
        <f ca="1">IF($D344&lt;&gt;"Serviço",0,IF(AND(AUTOEVENTO="Manual",$M344=1),0,IF(OFFSET(CRONOPLE!$F$14,$M344,BN$13)="",10^12,OFFSET(CRONOPLE!$F$14,$M344,BN$13))))</f>
        <v>1000000000000</v>
      </c>
      <c r="BO344" s="181">
        <f ca="1">IF($D344&lt;&gt;"Serviço",0,IF(AND(AUTOEVENTO="Manual",$M344=1),0,IF(OFFSET(CRONOPLE!$F$14,$M344,BO$13)="",10^12,OFFSET(CRONOPLE!$F$14,$M344,BO$13))))</f>
        <v>1000000000000</v>
      </c>
      <c r="BP344" s="181">
        <f ca="1">IF($D344&lt;&gt;"Serviço",0,IF(AND(AUTOEVENTO="Manual",$M344=1),0,IF(OFFSET(CRONOPLE!$F$14,$M344,BP$13)="",10^12,OFFSET(CRONOPLE!$F$14,$M344,BP$13))))</f>
        <v>1000000000000</v>
      </c>
      <c r="BQ344" s="181">
        <f ca="1">IF($D344&lt;&gt;"Serviço",0,IF(AND(AUTOEVENTO="Manual",$M344=1),0,IF(OFFSET(CRONOPLE!$F$14,$M344,BQ$13)="",10^12,OFFSET(CRONOPLE!$F$14,$M344,BQ$13))))</f>
        <v>1000000000000</v>
      </c>
      <c r="BR344" s="181">
        <f ca="1">IF($D344&lt;&gt;"Serviço",0,IF(AND(AUTOEVENTO="Manual",$M344=1),0,IF(OFFSET(CRONOPLE!$F$14,$M344,BR$13)="",10^12,OFFSET(CRONOPLE!$F$14,$M344,BR$13))))</f>
        <v>1000000000000</v>
      </c>
      <c r="BS344" s="181">
        <f ca="1">IF($D344&lt;&gt;"Serviço",0,IF(AND(AUTOEVENTO="Manual",$M344=1),0,IF(OFFSET(CRONOPLE!$F$14,$M344,BS$13)="",10^12,OFFSET(CRONOPLE!$F$14,$M344,BS$13))))</f>
        <v>1000000000000</v>
      </c>
      <c r="BT344" s="181">
        <f ca="1">IF($D344&lt;&gt;"Serviço",0,IF(AND(AUTOEVENTO="Manual",$M344=1),0,IF(OFFSET(CRONOPLE!$F$14,$M344,BT$13)="",10^12,OFFSET(CRONOPLE!$F$14,$M344,BT$13))))</f>
        <v>1000000000000</v>
      </c>
      <c r="BV344" s="182">
        <f ca="1">IF($D344&lt;&gt;"Serviço",0,IF(OR(AND(AUTOEVENTO="Manual",$M344=1),$M344&gt;(ROW(PLE.lastrow)-ROW(PLE.firstrow))),0,IF(OFFSET(PLE!$G$14,$M344,BV$13)="",10^12,OFFSET(PLE!$G$14,$M344,BV$13))))</f>
        <v>1000000000000</v>
      </c>
      <c r="BW344" s="182">
        <f ca="1">IF($D344&lt;&gt;"Serviço",0,IF(OR(AND(AUTOEVENTO="Manual",$M344=1),$M344&gt;(ROW(PLE.lastrow)-ROW(PLE.firstrow))),0,IF(OFFSET(PLE!$G$14,$M344,BW$13)="",10^12,OFFSET(PLE!$G$14,$M344,BW$13))))</f>
        <v>1000000000000</v>
      </c>
      <c r="BX344" s="182">
        <f ca="1">IF($D344&lt;&gt;"Serviço",0,IF(OR(AND(AUTOEVENTO="Manual",$M344=1),$M344&gt;(ROW(PLE.lastrow)-ROW(PLE.firstrow))),0,IF(OFFSET(PLE!$G$14,$M344,BX$13)="",10^12,OFFSET(PLE!$G$14,$M344,BX$13))))</f>
        <v>1000000000000</v>
      </c>
      <c r="BY344" s="182">
        <f ca="1">IF($D344&lt;&gt;"Serviço",0,IF(OR(AND(AUTOEVENTO="Manual",$M344=1),$M344&gt;(ROW(PLE.lastrow)-ROW(PLE.firstrow))),0,IF(OFFSET(PLE!$G$14,$M344,BY$13)="",10^12,OFFSET(PLE!$G$14,$M344,BY$13))))</f>
        <v>1000000000000</v>
      </c>
      <c r="BZ344" s="182">
        <f ca="1">IF($D344&lt;&gt;"Serviço",0,IF(OR(AND(AUTOEVENTO="Manual",$M344=1),$M344&gt;(ROW(PLE.lastrow)-ROW(PLE.firstrow))),0,IF(OFFSET(PLE!$G$14,$M344,BZ$13)="",10^12,OFFSET(PLE!$G$14,$M344,BZ$13))))</f>
        <v>1000000000000</v>
      </c>
      <c r="CA344" s="182">
        <f ca="1">IF($D344&lt;&gt;"Serviço",0,IF(OR(AND(AUTOEVENTO="Manual",$M344=1),$M344&gt;(ROW(PLE.lastrow)-ROW(PLE.firstrow))),0,IF(OFFSET(PLE!$G$14,$M344,CA$13)="",10^12,OFFSET(PLE!$G$14,$M344,CA$13))))</f>
        <v>1000000000000</v>
      </c>
      <c r="CB344" s="182">
        <f ca="1">IF($D344&lt;&gt;"Serviço",0,IF(OR(AND(AUTOEVENTO="Manual",$M344=1),$M344&gt;(ROW(PLE.lastrow)-ROW(PLE.firstrow))),0,IF(OFFSET(PLE!$G$14,$M344,CB$13)="",10^12,OFFSET(PLE!$G$14,$M344,CB$13))))</f>
        <v>1000000000000</v>
      </c>
      <c r="CC344" s="182">
        <f ca="1">IF($D344&lt;&gt;"Serviço",0,IF(OR(AND(AUTOEVENTO="Manual",$M344=1),$M344&gt;(ROW(PLE.lastrow)-ROW(PLE.firstrow))),0,IF(OFFSET(PLE!$G$14,$M344,CC$13)="",10^12,OFFSET(PLE!$G$14,$M344,CC$13))))</f>
        <v>1000000000000</v>
      </c>
      <c r="CD344" s="182">
        <f ca="1">IF($D344&lt;&gt;"Serviço",0,IF(OR(AND(AUTOEVENTO="Manual",$M344=1),$M344&gt;(ROW(PLE.lastrow)-ROW(PLE.firstrow))),0,IF(OFFSET(PLE!$G$14,$M344,CD$13)="",10^12,OFFSET(PLE!$G$14,$M344,CD$13))))</f>
        <v>1000000000000</v>
      </c>
      <c r="CE344" s="182">
        <f ca="1">IF($D344&lt;&gt;"Serviço",0,IF(OR(AND(AUTOEVENTO="Manual",$M344=1),$M344&gt;(ROW(PLE.lastrow)-ROW(PLE.firstrow))),0,IF(OFFSET(PLE!$G$14,$M344,CE$13)="",10^12,OFFSET(PLE!$G$14,$M344,CE$13))))</f>
        <v>1000000000000</v>
      </c>
      <c r="CF344" s="182">
        <f ca="1">IF($D344&lt;&gt;"Serviço",0,IF(OR(AND(AUTOEVENTO="Manual",$M344=1),$M344&gt;(ROW(PLE.lastrow)-ROW(PLE.firstrow))),0,IF(OFFSET(PLE!$G$14,$M344,CF$13)="",10^12,OFFSET(PLE!$G$14,$M344,CF$13))))</f>
        <v>1000000000000</v>
      </c>
      <c r="CG344" s="182">
        <f ca="1">IF($D344&lt;&gt;"Serviço",0,IF(OR(AND(AUTOEVENTO="Manual",$M344=1),$M344&gt;(ROW(PLE.lastrow)-ROW(PLE.firstrow))),0,IF(OFFSET(PLE!$G$14,$M344,CG$13)="",10^12,OFFSET(PLE!$G$14,$M344,CG$13))))</f>
        <v>1000000000000</v>
      </c>
      <c r="CH344" s="182">
        <f ca="1">IF($D344&lt;&gt;"Serviço",0,IF(OR(AND(AUTOEVENTO="Manual",$M344=1),$M344&gt;(ROW(PLE.lastrow)-ROW(PLE.firstrow))),0,IF(OFFSET(PLE!$G$14,$M344,CH$13)="",10^12,OFFSET(PLE!$G$14,$M344,CH$13))))</f>
        <v>1000000000000</v>
      </c>
      <c r="CI344" s="182">
        <f ca="1">IF($D344&lt;&gt;"Serviço",0,IF(OR(AND(AUTOEVENTO="Manual",$M344=1),$M344&gt;(ROW(PLE.lastrow)-ROW(PLE.firstrow))),0,IF(OFFSET(PLE!$G$14,$M344,CI$13)="",10^12,OFFSET(PLE!$G$14,$M344,CI$13))))</f>
        <v>1000000000000</v>
      </c>
      <c r="CJ344" s="182">
        <f ca="1">IF($D344&lt;&gt;"Serviço",0,IF(OR(AND(AUTOEVENTO="Manual",$M344=1),$M344&gt;(ROW(PLE.lastrow)-ROW(PLE.firstrow))),0,IF(OFFSET(PLE!$G$14,$M344,CJ$13)="",10^12,OFFSET(PLE!$G$14,$M344,CJ$13))))</f>
        <v>1000000000000</v>
      </c>
      <c r="CK344" s="182">
        <f ca="1">IF($D344&lt;&gt;"Serviço",0,IF(OR(AND(AUTOEVENTO="Manual",$M344=1),$M344&gt;(ROW(PLE.lastrow)-ROW(PLE.firstrow))),0,IF(OFFSET(PLE!$G$14,$M344,CK$13)="",10^12,OFFSET(PLE!$G$14,$M344,CK$13))))</f>
        <v>1000000000000</v>
      </c>
      <c r="CL344" s="182">
        <f ca="1">IF($D344&lt;&gt;"Serviço",0,IF(OR(AND(AUTOEVENTO="Manual",$M344=1),$M344&gt;(ROW(PLE.lastrow)-ROW(PLE.firstrow))),0,IF(OFFSET(PLE!$G$14,$M344,CL$13)="",10^12,OFFSET(PLE!$G$14,$M344,CL$13))))</f>
        <v>1000000000000</v>
      </c>
      <c r="CM344" s="182">
        <f ca="1">IF($D344&lt;&gt;"Serviço",0,IF(OR(AND(AUTOEVENTO="Manual",$M344=1),$M344&gt;(ROW(PLE.lastrow)-ROW(PLE.firstrow))),0,IF(OFFSET(PLE!$G$14,$M344,CM$13)="",10^12,OFFSET(PLE!$G$14,$M344,CM$13))))</f>
        <v>1000000000000</v>
      </c>
    </row>
    <row r="345" spans="1:91" ht="38.25" x14ac:dyDescent="0.2">
      <c r="A345" s="7" t="str">
        <f t="shared" ca="1" si="12"/>
        <v>304</v>
      </c>
      <c r="B345" s="7" t="str">
        <f ca="1">OFFSET(ORÇAMENTO!C$15,ROW(B345)-ROW(B$15),0)</f>
        <v>S</v>
      </c>
      <c r="C345" s="7" t="str">
        <f ca="1">OFFSET(ORÇAMENTO!L$15,ROW(C345)-ROW(C$15),0)</f>
        <v/>
      </c>
      <c r="D345" s="118" t="str">
        <f ca="1">OFFSET(ORÇAMENTO!N$15,ROW(D345)-ROW(D$15),0)</f>
        <v>Serviço</v>
      </c>
      <c r="E345" s="119" t="str">
        <f ca="1">OFFSET(ORÇAMENTO!O$15,ROW(E345)-ROW(E$15),0)</f>
        <v>-</v>
      </c>
      <c r="F345" s="172" t="str">
        <f ca="1">OFFSET(ORÇAMENTO!R$15,ROW(F345)-ROW(F$15),0)</f>
        <v>(abra o arquivo 'Referência 06-2024.xlsm)</v>
      </c>
      <c r="G345" s="173" t="str">
        <f ca="1">IF($D345&lt;&gt;"Serviço","",OFFSET(ORÇAMENTO!S$15,ROW(G345)-ROW(G$15),0))</f>
        <v>-</v>
      </c>
      <c r="H345" s="124">
        <f ca="1">IF($D345&lt;&gt;"Serviço",0,IF(ACOMPANHAMENTO="BM",ROUND(OFFSET(ORÇAMENTO!AJ$15,ROW(H345)-ROW(H$15),0),15-13*ORÇAMENTO!$AF$7),SUMPRODUCT(($Q$12:$AI$12&lt;&gt;"")*ROUND($Q345:$AI345,15-13*ORÇAMENTO!$AF$7))))</f>
        <v>1</v>
      </c>
      <c r="I345" s="561" t="s">
        <v>1107</v>
      </c>
      <c r="K345" s="174"/>
      <c r="L345" s="175" t="s">
        <v>255</v>
      </c>
      <c r="M345" s="176">
        <f ca="1">IF($D345&lt;&gt;"Serviço","",IF(AUTOEVENTO="manual",$A345,IF(ISERROR(MATCH($A345,$A$15:OFFSET($A345,-1,0),0)),MAX($M$15:OFFSET(M345,-1,0))+1,INDEX($M$15:OFFSET(M345,-1,0),MATCH($A345,$A$15:OFFSET($A345,-1,0),0)))))</f>
        <v>41</v>
      </c>
      <c r="N345" s="177" t="str">
        <f ca="1">IF($D345&lt;&gt;"Serviço","",IF(AUTOEVENTO="Manual",IF($A345=0,"&lt;-- defina o número do agrupador",OFFSET(EVENTOS!$D$14,$A345,0)),OFFSET($F$15,$A345,0)))</f>
        <v>INSTALAÇÃO SANITÁRIA - TUBULAÇÕES E CONEXÕES</v>
      </c>
      <c r="O345" s="178"/>
      <c r="Q345" s="178">
        <v>1</v>
      </c>
      <c r="R345" s="179"/>
      <c r="S345" s="179"/>
      <c r="T345" s="179"/>
      <c r="U345" s="179"/>
      <c r="V345" s="179"/>
      <c r="W345" s="179"/>
      <c r="X345" s="179"/>
      <c r="Y345" s="179"/>
      <c r="Z345" s="180"/>
      <c r="AA345" s="179"/>
      <c r="AB345" s="179"/>
      <c r="AC345" s="179"/>
      <c r="AD345" s="179"/>
      <c r="AE345" s="179"/>
      <c r="AF345" s="179"/>
      <c r="AG345" s="179"/>
      <c r="AH345" s="180"/>
      <c r="AJ345" s="544">
        <f ca="1">IF(AND($D345="Serviço",AJ$12&lt;&gt;0,$H345&gt;0,OR(AUTOEVENTO&lt;&gt;"manual",$M345&lt;&gt;1)),
IF(Import.TipoArredondamento&lt;&gt;"TransfereGOV",
ROUND(OFFSET($P345,0,AJ$13),15-13*ORÇAMENTO!$AF$7)/$H345*OFFSET(ORÇAMENTO!$X$15,ROW(AJ345)-ROW(AJ$15),0),
ROUND(ROUND(OFFSET($P345,0,AJ$13),15-13*ORÇAMENTO!$AF$7)*OFFSET(ORÇAMENTO!$W$15,ROW(AJ345)-ROW(AJ$15),0),15-13*ORÇAMENTO!$AF$11)),0)</f>
        <v>0</v>
      </c>
      <c r="AK345" s="545">
        <f ca="1">IF(AND($D345="Serviço",AK$12&lt;&gt;0,$H345&gt;0,OR(AUTOEVENTO&lt;&gt;"manual",$M345&lt;&gt;1)),
IF(Import.TipoArredondamento&lt;&gt;"TransfereGOV",
ROUND(OFFSET($P345,0,AK$13),15-13*ORÇAMENTO!$AF$7)/$H345*OFFSET(ORÇAMENTO!$X$15,ROW(AK345)-ROW(AK$15),0),
ROUND(ROUND(OFFSET($P345,0,AK$13),15-13*ORÇAMENTO!$AF$7)*OFFSET(ORÇAMENTO!$W$15,ROW(AK345)-ROW(AK$15),0),15-13*ORÇAMENTO!$AF$11)),0)</f>
        <v>0</v>
      </c>
      <c r="AL345" s="545">
        <f ca="1">IF(AND($D345="Serviço",AL$12&lt;&gt;0,$H345&gt;0,OR(AUTOEVENTO&lt;&gt;"manual",$M345&lt;&gt;1)),
IF(Import.TipoArredondamento&lt;&gt;"TransfereGOV",
ROUND(OFFSET($P345,0,AL$13),15-13*ORÇAMENTO!$AF$7)/$H345*OFFSET(ORÇAMENTO!$X$15,ROW(AL345)-ROW(AL$15),0),
ROUND(ROUND(OFFSET($P345,0,AL$13),15-13*ORÇAMENTO!$AF$7)*OFFSET(ORÇAMENTO!$W$15,ROW(AL345)-ROW(AL$15),0),15-13*ORÇAMENTO!$AF$11)),0)</f>
        <v>0</v>
      </c>
      <c r="AM345" s="545">
        <f ca="1">IF(AND($D345="Serviço",AM$12&lt;&gt;0,$H345&gt;0,OR(AUTOEVENTO&lt;&gt;"manual",$M345&lt;&gt;1)),
IF(Import.TipoArredondamento&lt;&gt;"TransfereGOV",
ROUND(OFFSET($P345,0,AM$13),15-13*ORÇAMENTO!$AF$7)/$H345*OFFSET(ORÇAMENTO!$X$15,ROW(AM345)-ROW(AM$15),0),
ROUND(ROUND(OFFSET($P345,0,AM$13),15-13*ORÇAMENTO!$AF$7)*OFFSET(ORÇAMENTO!$W$15,ROW(AM345)-ROW(AM$15),0),15-13*ORÇAMENTO!$AF$11)),0)</f>
        <v>0</v>
      </c>
      <c r="AN345" s="545">
        <f ca="1">IF(AND($D345="Serviço",AN$12&lt;&gt;0,$H345&gt;0,OR(AUTOEVENTO&lt;&gt;"manual",$M345&lt;&gt;1)),
IF(Import.TipoArredondamento&lt;&gt;"TransfereGOV",
ROUND(OFFSET($P345,0,AN$13),15-13*ORÇAMENTO!$AF$7)/$H345*OFFSET(ORÇAMENTO!$X$15,ROW(AN345)-ROW(AN$15),0),
ROUND(ROUND(OFFSET($P345,0,AN$13),15-13*ORÇAMENTO!$AF$7)*OFFSET(ORÇAMENTO!$W$15,ROW(AN345)-ROW(AN$15),0),15-13*ORÇAMENTO!$AF$11)),0)</f>
        <v>0</v>
      </c>
      <c r="AO345" s="545">
        <f ca="1">IF(AND($D345="Serviço",AO$12&lt;&gt;0,$H345&gt;0,OR(AUTOEVENTO&lt;&gt;"manual",$M345&lt;&gt;1)),
IF(Import.TipoArredondamento&lt;&gt;"TransfereGOV",
ROUND(OFFSET($P345,0,AO$13),15-13*ORÇAMENTO!$AF$7)/$H345*OFFSET(ORÇAMENTO!$X$15,ROW(AO345)-ROW(AO$15),0),
ROUND(ROUND(OFFSET($P345,0,AO$13),15-13*ORÇAMENTO!$AF$7)*OFFSET(ORÇAMENTO!$W$15,ROW(AO345)-ROW(AO$15),0),15-13*ORÇAMENTO!$AF$11)),0)</f>
        <v>0</v>
      </c>
      <c r="AP345" s="545">
        <f ca="1">IF(AND($D345="Serviço",AP$12&lt;&gt;0,$H345&gt;0,OR(AUTOEVENTO&lt;&gt;"manual",$M345&lt;&gt;1)),
IF(Import.TipoArredondamento&lt;&gt;"TransfereGOV",
ROUND(OFFSET($P345,0,AP$13),15-13*ORÇAMENTO!$AF$7)/$H345*OFFSET(ORÇAMENTO!$X$15,ROW(AP345)-ROW(AP$15),0),
ROUND(ROUND(OFFSET($P345,0,AP$13),15-13*ORÇAMENTO!$AF$7)*OFFSET(ORÇAMENTO!$W$15,ROW(AP345)-ROW(AP$15),0),15-13*ORÇAMENTO!$AF$11)),0)</f>
        <v>0</v>
      </c>
      <c r="AQ345" s="545">
        <f ca="1">IF(AND($D345="Serviço",AQ$12&lt;&gt;0,$H345&gt;0,OR(AUTOEVENTO&lt;&gt;"manual",$M345&lt;&gt;1)),
IF(Import.TipoArredondamento&lt;&gt;"TransfereGOV",
ROUND(OFFSET($P345,0,AQ$13),15-13*ORÇAMENTO!$AF$7)/$H345*OFFSET(ORÇAMENTO!$X$15,ROW(AQ345)-ROW(AQ$15),0),
ROUND(ROUND(OFFSET($P345,0,AQ$13),15-13*ORÇAMENTO!$AF$7)*OFFSET(ORÇAMENTO!$W$15,ROW(AQ345)-ROW(AQ$15),0),15-13*ORÇAMENTO!$AF$11)),0)</f>
        <v>0</v>
      </c>
      <c r="AR345" s="545">
        <f ca="1">IF(AND($D345="Serviço",AR$12&lt;&gt;0,$H345&gt;0,OR(AUTOEVENTO&lt;&gt;"manual",$M345&lt;&gt;1)),
IF(Import.TipoArredondamento&lt;&gt;"TransfereGOV",
ROUND(OFFSET($P345,0,AR$13),15-13*ORÇAMENTO!$AF$7)/$H345*OFFSET(ORÇAMENTO!$X$15,ROW(AR345)-ROW(AR$15),0),
ROUND(ROUND(OFFSET($P345,0,AR$13),15-13*ORÇAMENTO!$AF$7)*OFFSET(ORÇAMENTO!$W$15,ROW(AR345)-ROW(AR$15),0),15-13*ORÇAMENTO!$AF$11)),0)</f>
        <v>0</v>
      </c>
      <c r="AS345" s="546">
        <f ca="1">IF(AND($D345="Serviço",AS$12&lt;&gt;0,$H345&gt;0,OR(AUTOEVENTO&lt;&gt;"manual",$M345&lt;&gt;1)),
IF(Import.TipoArredondamento&lt;&gt;"TransfereGOV",
ROUND(OFFSET($P345,0,AS$13),15-13*ORÇAMENTO!$AF$7)/$H345*OFFSET(ORÇAMENTO!$X$15,ROW(AS345)-ROW(AS$15),0),
ROUND(ROUND(OFFSET($P345,0,AS$13),15-13*ORÇAMENTO!$AF$7)*OFFSET(ORÇAMENTO!$W$15,ROW(AS345)-ROW(AS$15),0),15-13*ORÇAMENTO!$AF$11)),0)</f>
        <v>0</v>
      </c>
      <c r="AT345" s="545">
        <f ca="1">IF(AND($D345="Serviço",AT$12&lt;&gt;0,$H345&gt;0,OR(AUTOEVENTO&lt;&gt;"manual",$M345&lt;&gt;1)),
IF(Import.TipoArredondamento&lt;&gt;"TransfereGOV",
ROUND(OFFSET($P345,0,AT$13),15-13*ORÇAMENTO!$AF$7)/$H345*OFFSET(ORÇAMENTO!$X$15,ROW(AT345)-ROW(AT$15),0),
ROUND(ROUND(OFFSET($P345,0,AT$13),15-13*ORÇAMENTO!$AF$7)*OFFSET(ORÇAMENTO!$W$15,ROW(AT345)-ROW(AT$15),0),15-13*ORÇAMENTO!$AF$11)),0)</f>
        <v>0</v>
      </c>
      <c r="AU345" s="545">
        <f ca="1">IF(AND($D345="Serviço",AU$12&lt;&gt;0,$H345&gt;0,OR(AUTOEVENTO&lt;&gt;"manual",$M345&lt;&gt;1)),
IF(Import.TipoArredondamento&lt;&gt;"TransfereGOV",
ROUND(OFFSET($P345,0,AU$13),15-13*ORÇAMENTO!$AF$7)/$H345*OFFSET(ORÇAMENTO!$X$15,ROW(AU345)-ROW(AU$15),0),
ROUND(ROUND(OFFSET($P345,0,AU$13),15-13*ORÇAMENTO!$AF$7)*OFFSET(ORÇAMENTO!$W$15,ROW(AU345)-ROW(AU$15),0),15-13*ORÇAMENTO!$AF$11)),0)</f>
        <v>0</v>
      </c>
      <c r="AV345" s="545">
        <f ca="1">IF(AND($D345="Serviço",AV$12&lt;&gt;0,$H345&gt;0,OR(AUTOEVENTO&lt;&gt;"manual",$M345&lt;&gt;1)),
IF(Import.TipoArredondamento&lt;&gt;"TransfereGOV",
ROUND(OFFSET($P345,0,AV$13),15-13*ORÇAMENTO!$AF$7)/$H345*OFFSET(ORÇAMENTO!$X$15,ROW(AV345)-ROW(AV$15),0),
ROUND(ROUND(OFFSET($P345,0,AV$13),15-13*ORÇAMENTO!$AF$7)*OFFSET(ORÇAMENTO!$W$15,ROW(AV345)-ROW(AV$15),0),15-13*ORÇAMENTO!$AF$11)),0)</f>
        <v>0</v>
      </c>
      <c r="AW345" s="545">
        <f ca="1">IF(AND($D345="Serviço",AW$12&lt;&gt;0,$H345&gt;0,OR(AUTOEVENTO&lt;&gt;"manual",$M345&lt;&gt;1)),
IF(Import.TipoArredondamento&lt;&gt;"TransfereGOV",
ROUND(OFFSET($P345,0,AW$13),15-13*ORÇAMENTO!$AF$7)/$H345*OFFSET(ORÇAMENTO!$X$15,ROW(AW345)-ROW(AW$15),0),
ROUND(ROUND(OFFSET($P345,0,AW$13),15-13*ORÇAMENTO!$AF$7)*OFFSET(ORÇAMENTO!$W$15,ROW(AW345)-ROW(AW$15),0),15-13*ORÇAMENTO!$AF$11)),0)</f>
        <v>0</v>
      </c>
      <c r="AX345" s="545">
        <f ca="1">IF(AND($D345="Serviço",AX$12&lt;&gt;0,$H345&gt;0,OR(AUTOEVENTO&lt;&gt;"manual",$M345&lt;&gt;1)),
IF(Import.TipoArredondamento&lt;&gt;"TransfereGOV",
ROUND(OFFSET($P345,0,AX$13),15-13*ORÇAMENTO!$AF$7)/$H345*OFFSET(ORÇAMENTO!$X$15,ROW(AX345)-ROW(AX$15),0),
ROUND(ROUND(OFFSET($P345,0,AX$13),15-13*ORÇAMENTO!$AF$7)*OFFSET(ORÇAMENTO!$W$15,ROW(AX345)-ROW(AX$15),0),15-13*ORÇAMENTO!$AF$11)),0)</f>
        <v>0</v>
      </c>
      <c r="AY345" s="545">
        <f ca="1">IF(AND($D345="Serviço",AY$12&lt;&gt;0,$H345&gt;0,OR(AUTOEVENTO&lt;&gt;"manual",$M345&lt;&gt;1)),
IF(Import.TipoArredondamento&lt;&gt;"TransfereGOV",
ROUND(OFFSET($P345,0,AY$13),15-13*ORÇAMENTO!$AF$7)/$H345*OFFSET(ORÇAMENTO!$X$15,ROW(AY345)-ROW(AY$15),0),
ROUND(ROUND(OFFSET($P345,0,AY$13),15-13*ORÇAMENTO!$AF$7)*OFFSET(ORÇAMENTO!$W$15,ROW(AY345)-ROW(AY$15),0),15-13*ORÇAMENTO!$AF$11)),0)</f>
        <v>0</v>
      </c>
      <c r="AZ345" s="545">
        <f ca="1">IF(AND($D345="Serviço",AZ$12&lt;&gt;0,$H345&gt;0,OR(AUTOEVENTO&lt;&gt;"manual",$M345&lt;&gt;1)),
IF(Import.TipoArredondamento&lt;&gt;"TransfereGOV",
ROUND(OFFSET($P345,0,AZ$13),15-13*ORÇAMENTO!$AF$7)/$H345*OFFSET(ORÇAMENTO!$X$15,ROW(AZ345)-ROW(AZ$15),0),
ROUND(ROUND(OFFSET($P345,0,AZ$13),15-13*ORÇAMENTO!$AF$7)*OFFSET(ORÇAMENTO!$W$15,ROW(AZ345)-ROW(AZ$15),0),15-13*ORÇAMENTO!$AF$11)),0)</f>
        <v>0</v>
      </c>
      <c r="BA345" s="546">
        <f ca="1">IF(AND($D345="Serviço",BA$12&lt;&gt;0,$H345&gt;0,OR(AUTOEVENTO&lt;&gt;"manual",$M345&lt;&gt;1)),
IF(Import.TipoArredondamento&lt;&gt;"TransfereGOV",
ROUND(OFFSET($P345,0,BA$13),15-13*ORÇAMENTO!$AF$7)/$H345*OFFSET(ORÇAMENTO!$X$15,ROW(BA345)-ROW(BA$15),0),
ROUND(ROUND(OFFSET($P345,0,BA$13),15-13*ORÇAMENTO!$AF$7)*OFFSET(ORÇAMENTO!$W$15,ROW(BA345)-ROW(BA$15),0),15-13*ORÇAMENTO!$AF$11)),0)</f>
        <v>0</v>
      </c>
      <c r="BC345" s="181">
        <f ca="1">IF($D345&lt;&gt;"Serviço",0,IF(AND(AUTOEVENTO="Manual",$M345=1),0,IF(OFFSET(CRONOPLE!$F$14,$M345,BC$13)="",10^12,OFFSET(CRONOPLE!$F$14,$M345,BC$13))))</f>
        <v>9</v>
      </c>
      <c r="BD345" s="181">
        <f ca="1">IF($D345&lt;&gt;"Serviço",0,IF(AND(AUTOEVENTO="Manual",$M345=1),0,IF(OFFSET(CRONOPLE!$F$14,$M345,BD$13)="",10^12,OFFSET(CRONOPLE!$F$14,$M345,BD$13))))</f>
        <v>1000000000000</v>
      </c>
      <c r="BE345" s="181">
        <f ca="1">IF($D345&lt;&gt;"Serviço",0,IF(AND(AUTOEVENTO="Manual",$M345=1),0,IF(OFFSET(CRONOPLE!$F$14,$M345,BE$13)="",10^12,OFFSET(CRONOPLE!$F$14,$M345,BE$13))))</f>
        <v>1000000000000</v>
      </c>
      <c r="BF345" s="181">
        <f ca="1">IF($D345&lt;&gt;"Serviço",0,IF(AND(AUTOEVENTO="Manual",$M345=1),0,IF(OFFSET(CRONOPLE!$F$14,$M345,BF$13)="",10^12,OFFSET(CRONOPLE!$F$14,$M345,BF$13))))</f>
        <v>1000000000000</v>
      </c>
      <c r="BG345" s="181">
        <f ca="1">IF($D345&lt;&gt;"Serviço",0,IF(AND(AUTOEVENTO="Manual",$M345=1),0,IF(OFFSET(CRONOPLE!$F$14,$M345,BG$13)="",10^12,OFFSET(CRONOPLE!$F$14,$M345,BG$13))))</f>
        <v>1000000000000</v>
      </c>
      <c r="BH345" s="181">
        <f ca="1">IF($D345&lt;&gt;"Serviço",0,IF(AND(AUTOEVENTO="Manual",$M345=1),0,IF(OFFSET(CRONOPLE!$F$14,$M345,BH$13)="",10^12,OFFSET(CRONOPLE!$F$14,$M345,BH$13))))</f>
        <v>1000000000000</v>
      </c>
      <c r="BI345" s="181">
        <f ca="1">IF($D345&lt;&gt;"Serviço",0,IF(AND(AUTOEVENTO="Manual",$M345=1),0,IF(OFFSET(CRONOPLE!$F$14,$M345,BI$13)="",10^12,OFFSET(CRONOPLE!$F$14,$M345,BI$13))))</f>
        <v>1000000000000</v>
      </c>
      <c r="BJ345" s="181">
        <f ca="1">IF($D345&lt;&gt;"Serviço",0,IF(AND(AUTOEVENTO="Manual",$M345=1),0,IF(OFFSET(CRONOPLE!$F$14,$M345,BJ$13)="",10^12,OFFSET(CRONOPLE!$F$14,$M345,BJ$13))))</f>
        <v>1000000000000</v>
      </c>
      <c r="BK345" s="181">
        <f ca="1">IF($D345&lt;&gt;"Serviço",0,IF(AND(AUTOEVENTO="Manual",$M345=1),0,IF(OFFSET(CRONOPLE!$F$14,$M345,BK$13)="",10^12,OFFSET(CRONOPLE!$F$14,$M345,BK$13))))</f>
        <v>1000000000000</v>
      </c>
      <c r="BL345" s="181">
        <f ca="1">IF($D345&lt;&gt;"Serviço",0,IF(AND(AUTOEVENTO="Manual",$M345=1),0,IF(OFFSET(CRONOPLE!$F$14,$M345,BL$13)="",10^12,OFFSET(CRONOPLE!$F$14,$M345,BL$13))))</f>
        <v>1000000000000</v>
      </c>
      <c r="BM345" s="181">
        <f ca="1">IF($D345&lt;&gt;"Serviço",0,IF(AND(AUTOEVENTO="Manual",$M345=1),0,IF(OFFSET(CRONOPLE!$F$14,$M345,BM$13)="",10^12,OFFSET(CRONOPLE!$F$14,$M345,BM$13))))</f>
        <v>1000000000000</v>
      </c>
      <c r="BN345" s="181">
        <f ca="1">IF($D345&lt;&gt;"Serviço",0,IF(AND(AUTOEVENTO="Manual",$M345=1),0,IF(OFFSET(CRONOPLE!$F$14,$M345,BN$13)="",10^12,OFFSET(CRONOPLE!$F$14,$M345,BN$13))))</f>
        <v>1000000000000</v>
      </c>
      <c r="BO345" s="181">
        <f ca="1">IF($D345&lt;&gt;"Serviço",0,IF(AND(AUTOEVENTO="Manual",$M345=1),0,IF(OFFSET(CRONOPLE!$F$14,$M345,BO$13)="",10^12,OFFSET(CRONOPLE!$F$14,$M345,BO$13))))</f>
        <v>1000000000000</v>
      </c>
      <c r="BP345" s="181">
        <f ca="1">IF($D345&lt;&gt;"Serviço",0,IF(AND(AUTOEVENTO="Manual",$M345=1),0,IF(OFFSET(CRONOPLE!$F$14,$M345,BP$13)="",10^12,OFFSET(CRONOPLE!$F$14,$M345,BP$13))))</f>
        <v>1000000000000</v>
      </c>
      <c r="BQ345" s="181">
        <f ca="1">IF($D345&lt;&gt;"Serviço",0,IF(AND(AUTOEVENTO="Manual",$M345=1),0,IF(OFFSET(CRONOPLE!$F$14,$M345,BQ$13)="",10^12,OFFSET(CRONOPLE!$F$14,$M345,BQ$13))))</f>
        <v>1000000000000</v>
      </c>
      <c r="BR345" s="181">
        <f ca="1">IF($D345&lt;&gt;"Serviço",0,IF(AND(AUTOEVENTO="Manual",$M345=1),0,IF(OFFSET(CRONOPLE!$F$14,$M345,BR$13)="",10^12,OFFSET(CRONOPLE!$F$14,$M345,BR$13))))</f>
        <v>1000000000000</v>
      </c>
      <c r="BS345" s="181">
        <f ca="1">IF($D345&lt;&gt;"Serviço",0,IF(AND(AUTOEVENTO="Manual",$M345=1),0,IF(OFFSET(CRONOPLE!$F$14,$M345,BS$13)="",10^12,OFFSET(CRONOPLE!$F$14,$M345,BS$13))))</f>
        <v>1000000000000</v>
      </c>
      <c r="BT345" s="181">
        <f ca="1">IF($D345&lt;&gt;"Serviço",0,IF(AND(AUTOEVENTO="Manual",$M345=1),0,IF(OFFSET(CRONOPLE!$F$14,$M345,BT$13)="",10^12,OFFSET(CRONOPLE!$F$14,$M345,BT$13))))</f>
        <v>1000000000000</v>
      </c>
      <c r="BV345" s="182">
        <f ca="1">IF($D345&lt;&gt;"Serviço",0,IF(OR(AND(AUTOEVENTO="Manual",$M345=1),$M345&gt;(ROW(PLE.lastrow)-ROW(PLE.firstrow))),0,IF(OFFSET(PLE!$G$14,$M345,BV$13)="",10^12,OFFSET(PLE!$G$14,$M345,BV$13))))</f>
        <v>1000000000000</v>
      </c>
      <c r="BW345" s="182">
        <f ca="1">IF($D345&lt;&gt;"Serviço",0,IF(OR(AND(AUTOEVENTO="Manual",$M345=1),$M345&gt;(ROW(PLE.lastrow)-ROW(PLE.firstrow))),0,IF(OFFSET(PLE!$G$14,$M345,BW$13)="",10^12,OFFSET(PLE!$G$14,$M345,BW$13))))</f>
        <v>1000000000000</v>
      </c>
      <c r="BX345" s="182">
        <f ca="1">IF($D345&lt;&gt;"Serviço",0,IF(OR(AND(AUTOEVENTO="Manual",$M345=1),$M345&gt;(ROW(PLE.lastrow)-ROW(PLE.firstrow))),0,IF(OFFSET(PLE!$G$14,$M345,BX$13)="",10^12,OFFSET(PLE!$G$14,$M345,BX$13))))</f>
        <v>1000000000000</v>
      </c>
      <c r="BY345" s="182">
        <f ca="1">IF($D345&lt;&gt;"Serviço",0,IF(OR(AND(AUTOEVENTO="Manual",$M345=1),$M345&gt;(ROW(PLE.lastrow)-ROW(PLE.firstrow))),0,IF(OFFSET(PLE!$G$14,$M345,BY$13)="",10^12,OFFSET(PLE!$G$14,$M345,BY$13))))</f>
        <v>1000000000000</v>
      </c>
      <c r="BZ345" s="182">
        <f ca="1">IF($D345&lt;&gt;"Serviço",0,IF(OR(AND(AUTOEVENTO="Manual",$M345=1),$M345&gt;(ROW(PLE.lastrow)-ROW(PLE.firstrow))),0,IF(OFFSET(PLE!$G$14,$M345,BZ$13)="",10^12,OFFSET(PLE!$G$14,$M345,BZ$13))))</f>
        <v>1000000000000</v>
      </c>
      <c r="CA345" s="182">
        <f ca="1">IF($D345&lt;&gt;"Serviço",0,IF(OR(AND(AUTOEVENTO="Manual",$M345=1),$M345&gt;(ROW(PLE.lastrow)-ROW(PLE.firstrow))),0,IF(OFFSET(PLE!$G$14,$M345,CA$13)="",10^12,OFFSET(PLE!$G$14,$M345,CA$13))))</f>
        <v>1000000000000</v>
      </c>
      <c r="CB345" s="182">
        <f ca="1">IF($D345&lt;&gt;"Serviço",0,IF(OR(AND(AUTOEVENTO="Manual",$M345=1),$M345&gt;(ROW(PLE.lastrow)-ROW(PLE.firstrow))),0,IF(OFFSET(PLE!$G$14,$M345,CB$13)="",10^12,OFFSET(PLE!$G$14,$M345,CB$13))))</f>
        <v>1000000000000</v>
      </c>
      <c r="CC345" s="182">
        <f ca="1">IF($D345&lt;&gt;"Serviço",0,IF(OR(AND(AUTOEVENTO="Manual",$M345=1),$M345&gt;(ROW(PLE.lastrow)-ROW(PLE.firstrow))),0,IF(OFFSET(PLE!$G$14,$M345,CC$13)="",10^12,OFFSET(PLE!$G$14,$M345,CC$13))))</f>
        <v>1000000000000</v>
      </c>
      <c r="CD345" s="182">
        <f ca="1">IF($D345&lt;&gt;"Serviço",0,IF(OR(AND(AUTOEVENTO="Manual",$M345=1),$M345&gt;(ROW(PLE.lastrow)-ROW(PLE.firstrow))),0,IF(OFFSET(PLE!$G$14,$M345,CD$13)="",10^12,OFFSET(PLE!$G$14,$M345,CD$13))))</f>
        <v>1000000000000</v>
      </c>
      <c r="CE345" s="182">
        <f ca="1">IF($D345&lt;&gt;"Serviço",0,IF(OR(AND(AUTOEVENTO="Manual",$M345=1),$M345&gt;(ROW(PLE.lastrow)-ROW(PLE.firstrow))),0,IF(OFFSET(PLE!$G$14,$M345,CE$13)="",10^12,OFFSET(PLE!$G$14,$M345,CE$13))))</f>
        <v>1000000000000</v>
      </c>
      <c r="CF345" s="182">
        <f ca="1">IF($D345&lt;&gt;"Serviço",0,IF(OR(AND(AUTOEVENTO="Manual",$M345=1),$M345&gt;(ROW(PLE.lastrow)-ROW(PLE.firstrow))),0,IF(OFFSET(PLE!$G$14,$M345,CF$13)="",10^12,OFFSET(PLE!$G$14,$M345,CF$13))))</f>
        <v>1000000000000</v>
      </c>
      <c r="CG345" s="182">
        <f ca="1">IF($D345&lt;&gt;"Serviço",0,IF(OR(AND(AUTOEVENTO="Manual",$M345=1),$M345&gt;(ROW(PLE.lastrow)-ROW(PLE.firstrow))),0,IF(OFFSET(PLE!$G$14,$M345,CG$13)="",10^12,OFFSET(PLE!$G$14,$M345,CG$13))))</f>
        <v>1000000000000</v>
      </c>
      <c r="CH345" s="182">
        <f ca="1">IF($D345&lt;&gt;"Serviço",0,IF(OR(AND(AUTOEVENTO="Manual",$M345=1),$M345&gt;(ROW(PLE.lastrow)-ROW(PLE.firstrow))),0,IF(OFFSET(PLE!$G$14,$M345,CH$13)="",10^12,OFFSET(PLE!$G$14,$M345,CH$13))))</f>
        <v>1000000000000</v>
      </c>
      <c r="CI345" s="182">
        <f ca="1">IF($D345&lt;&gt;"Serviço",0,IF(OR(AND(AUTOEVENTO="Manual",$M345=1),$M345&gt;(ROW(PLE.lastrow)-ROW(PLE.firstrow))),0,IF(OFFSET(PLE!$G$14,$M345,CI$13)="",10^12,OFFSET(PLE!$G$14,$M345,CI$13))))</f>
        <v>1000000000000</v>
      </c>
      <c r="CJ345" s="182">
        <f ca="1">IF($D345&lt;&gt;"Serviço",0,IF(OR(AND(AUTOEVENTO="Manual",$M345=1),$M345&gt;(ROW(PLE.lastrow)-ROW(PLE.firstrow))),0,IF(OFFSET(PLE!$G$14,$M345,CJ$13)="",10^12,OFFSET(PLE!$G$14,$M345,CJ$13))))</f>
        <v>1000000000000</v>
      </c>
      <c r="CK345" s="182">
        <f ca="1">IF($D345&lt;&gt;"Serviço",0,IF(OR(AND(AUTOEVENTO="Manual",$M345=1),$M345&gt;(ROW(PLE.lastrow)-ROW(PLE.firstrow))),0,IF(OFFSET(PLE!$G$14,$M345,CK$13)="",10^12,OFFSET(PLE!$G$14,$M345,CK$13))))</f>
        <v>1000000000000</v>
      </c>
      <c r="CL345" s="182">
        <f ca="1">IF($D345&lt;&gt;"Serviço",0,IF(OR(AND(AUTOEVENTO="Manual",$M345=1),$M345&gt;(ROW(PLE.lastrow)-ROW(PLE.firstrow))),0,IF(OFFSET(PLE!$G$14,$M345,CL$13)="",10^12,OFFSET(PLE!$G$14,$M345,CL$13))))</f>
        <v>1000000000000</v>
      </c>
      <c r="CM345" s="182">
        <f ca="1">IF($D345&lt;&gt;"Serviço",0,IF(OR(AND(AUTOEVENTO="Manual",$M345=1),$M345&gt;(ROW(PLE.lastrow)-ROW(PLE.firstrow))),0,IF(OFFSET(PLE!$G$14,$M345,CM$13)="",10^12,OFFSET(PLE!$G$14,$M345,CM$13))))</f>
        <v>1000000000000</v>
      </c>
    </row>
    <row r="346" spans="1:91" ht="38.25" x14ac:dyDescent="0.2">
      <c r="A346" s="7" t="str">
        <f t="shared" ca="1" si="12"/>
        <v>304</v>
      </c>
      <c r="B346" s="7" t="str">
        <f ca="1">OFFSET(ORÇAMENTO!C$15,ROW(B346)-ROW(B$15),0)</f>
        <v>S</v>
      </c>
      <c r="C346" s="7" t="str">
        <f ca="1">OFFSET(ORÇAMENTO!L$15,ROW(C346)-ROW(C$15),0)</f>
        <v/>
      </c>
      <c r="D346" s="118" t="str">
        <f ca="1">OFFSET(ORÇAMENTO!N$15,ROW(D346)-ROW(D$15),0)</f>
        <v>Serviço</v>
      </c>
      <c r="E346" s="119" t="str">
        <f ca="1">OFFSET(ORÇAMENTO!O$15,ROW(E346)-ROW(E$15),0)</f>
        <v>-</v>
      </c>
      <c r="F346" s="172" t="str">
        <f ca="1">OFFSET(ORÇAMENTO!R$15,ROW(F346)-ROW(F$15),0)</f>
        <v>(abra o arquivo 'Referência 06-2024.xlsm)</v>
      </c>
      <c r="G346" s="173" t="str">
        <f ca="1">IF($D346&lt;&gt;"Serviço","",OFFSET(ORÇAMENTO!S$15,ROW(G346)-ROW(G$15),0))</f>
        <v>-</v>
      </c>
      <c r="H346" s="124">
        <f ca="1">IF($D346&lt;&gt;"Serviço",0,IF(ACOMPANHAMENTO="BM",ROUND(OFFSET(ORÇAMENTO!AJ$15,ROW(H346)-ROW(H$15),0),15-13*ORÇAMENTO!$AF$7),SUMPRODUCT(($Q$12:$AI$12&lt;&gt;"")*ROUND($Q346:$AI346,15-13*ORÇAMENTO!$AF$7))))</f>
        <v>17</v>
      </c>
      <c r="I346" s="561" t="s">
        <v>1107</v>
      </c>
      <c r="K346" s="174"/>
      <c r="L346" s="175" t="s">
        <v>255</v>
      </c>
      <c r="M346" s="176">
        <f ca="1">IF($D346&lt;&gt;"Serviço","",IF(AUTOEVENTO="manual",$A346,IF(ISERROR(MATCH($A346,$A$15:OFFSET($A346,-1,0),0)),MAX($M$15:OFFSET(M346,-1,0))+1,INDEX($M$15:OFFSET(M346,-1,0),MATCH($A346,$A$15:OFFSET($A346,-1,0),0)))))</f>
        <v>41</v>
      </c>
      <c r="N346" s="177" t="str">
        <f ca="1">IF($D346&lt;&gt;"Serviço","",IF(AUTOEVENTO="Manual",IF($A346=0,"&lt;-- defina o número do agrupador",OFFSET(EVENTOS!$D$14,$A346,0)),OFFSET($F$15,$A346,0)))</f>
        <v>INSTALAÇÃO SANITÁRIA - TUBULAÇÕES E CONEXÕES</v>
      </c>
      <c r="O346" s="178"/>
      <c r="Q346" s="178">
        <v>17</v>
      </c>
      <c r="R346" s="179"/>
      <c r="S346" s="179"/>
      <c r="T346" s="179"/>
      <c r="U346" s="179"/>
      <c r="V346" s="179"/>
      <c r="W346" s="179"/>
      <c r="X346" s="179"/>
      <c r="Y346" s="179"/>
      <c r="Z346" s="180"/>
      <c r="AA346" s="179"/>
      <c r="AB346" s="179"/>
      <c r="AC346" s="179"/>
      <c r="AD346" s="179"/>
      <c r="AE346" s="179"/>
      <c r="AF346" s="179"/>
      <c r="AG346" s="179"/>
      <c r="AH346" s="180"/>
      <c r="AJ346" s="544">
        <f ca="1">IF(AND($D346="Serviço",AJ$12&lt;&gt;0,$H346&gt;0,OR(AUTOEVENTO&lt;&gt;"manual",$M346&lt;&gt;1)),
IF(Import.TipoArredondamento&lt;&gt;"TransfereGOV",
ROUND(OFFSET($P346,0,AJ$13),15-13*ORÇAMENTO!$AF$7)/$H346*OFFSET(ORÇAMENTO!$X$15,ROW(AJ346)-ROW(AJ$15),0),
ROUND(ROUND(OFFSET($P346,0,AJ$13),15-13*ORÇAMENTO!$AF$7)*OFFSET(ORÇAMENTO!$W$15,ROW(AJ346)-ROW(AJ$15),0),15-13*ORÇAMENTO!$AF$11)),0)</f>
        <v>0</v>
      </c>
      <c r="AK346" s="545">
        <f ca="1">IF(AND($D346="Serviço",AK$12&lt;&gt;0,$H346&gt;0,OR(AUTOEVENTO&lt;&gt;"manual",$M346&lt;&gt;1)),
IF(Import.TipoArredondamento&lt;&gt;"TransfereGOV",
ROUND(OFFSET($P346,0,AK$13),15-13*ORÇAMENTO!$AF$7)/$H346*OFFSET(ORÇAMENTO!$X$15,ROW(AK346)-ROW(AK$15),0),
ROUND(ROUND(OFFSET($P346,0,AK$13),15-13*ORÇAMENTO!$AF$7)*OFFSET(ORÇAMENTO!$W$15,ROW(AK346)-ROW(AK$15),0),15-13*ORÇAMENTO!$AF$11)),0)</f>
        <v>0</v>
      </c>
      <c r="AL346" s="545">
        <f ca="1">IF(AND($D346="Serviço",AL$12&lt;&gt;0,$H346&gt;0,OR(AUTOEVENTO&lt;&gt;"manual",$M346&lt;&gt;1)),
IF(Import.TipoArredondamento&lt;&gt;"TransfereGOV",
ROUND(OFFSET($P346,0,AL$13),15-13*ORÇAMENTO!$AF$7)/$H346*OFFSET(ORÇAMENTO!$X$15,ROW(AL346)-ROW(AL$15),0),
ROUND(ROUND(OFFSET($P346,0,AL$13),15-13*ORÇAMENTO!$AF$7)*OFFSET(ORÇAMENTO!$W$15,ROW(AL346)-ROW(AL$15),0),15-13*ORÇAMENTO!$AF$11)),0)</f>
        <v>0</v>
      </c>
      <c r="AM346" s="545">
        <f ca="1">IF(AND($D346="Serviço",AM$12&lt;&gt;0,$H346&gt;0,OR(AUTOEVENTO&lt;&gt;"manual",$M346&lt;&gt;1)),
IF(Import.TipoArredondamento&lt;&gt;"TransfereGOV",
ROUND(OFFSET($P346,0,AM$13),15-13*ORÇAMENTO!$AF$7)/$H346*OFFSET(ORÇAMENTO!$X$15,ROW(AM346)-ROW(AM$15),0),
ROUND(ROUND(OFFSET($P346,0,AM$13),15-13*ORÇAMENTO!$AF$7)*OFFSET(ORÇAMENTO!$W$15,ROW(AM346)-ROW(AM$15),0),15-13*ORÇAMENTO!$AF$11)),0)</f>
        <v>0</v>
      </c>
      <c r="AN346" s="545">
        <f ca="1">IF(AND($D346="Serviço",AN$12&lt;&gt;0,$H346&gt;0,OR(AUTOEVENTO&lt;&gt;"manual",$M346&lt;&gt;1)),
IF(Import.TipoArredondamento&lt;&gt;"TransfereGOV",
ROUND(OFFSET($P346,0,AN$13),15-13*ORÇAMENTO!$AF$7)/$H346*OFFSET(ORÇAMENTO!$X$15,ROW(AN346)-ROW(AN$15),0),
ROUND(ROUND(OFFSET($P346,0,AN$13),15-13*ORÇAMENTO!$AF$7)*OFFSET(ORÇAMENTO!$W$15,ROW(AN346)-ROW(AN$15),0),15-13*ORÇAMENTO!$AF$11)),0)</f>
        <v>0</v>
      </c>
      <c r="AO346" s="545">
        <f ca="1">IF(AND($D346="Serviço",AO$12&lt;&gt;0,$H346&gt;0,OR(AUTOEVENTO&lt;&gt;"manual",$M346&lt;&gt;1)),
IF(Import.TipoArredondamento&lt;&gt;"TransfereGOV",
ROUND(OFFSET($P346,0,AO$13),15-13*ORÇAMENTO!$AF$7)/$H346*OFFSET(ORÇAMENTO!$X$15,ROW(AO346)-ROW(AO$15),0),
ROUND(ROUND(OFFSET($P346,0,AO$13),15-13*ORÇAMENTO!$AF$7)*OFFSET(ORÇAMENTO!$W$15,ROW(AO346)-ROW(AO$15),0),15-13*ORÇAMENTO!$AF$11)),0)</f>
        <v>0</v>
      </c>
      <c r="AP346" s="545">
        <f ca="1">IF(AND($D346="Serviço",AP$12&lt;&gt;0,$H346&gt;0,OR(AUTOEVENTO&lt;&gt;"manual",$M346&lt;&gt;1)),
IF(Import.TipoArredondamento&lt;&gt;"TransfereGOV",
ROUND(OFFSET($P346,0,AP$13),15-13*ORÇAMENTO!$AF$7)/$H346*OFFSET(ORÇAMENTO!$X$15,ROW(AP346)-ROW(AP$15),0),
ROUND(ROUND(OFFSET($P346,0,AP$13),15-13*ORÇAMENTO!$AF$7)*OFFSET(ORÇAMENTO!$W$15,ROW(AP346)-ROW(AP$15),0),15-13*ORÇAMENTO!$AF$11)),0)</f>
        <v>0</v>
      </c>
      <c r="AQ346" s="545">
        <f ca="1">IF(AND($D346="Serviço",AQ$12&lt;&gt;0,$H346&gt;0,OR(AUTOEVENTO&lt;&gt;"manual",$M346&lt;&gt;1)),
IF(Import.TipoArredondamento&lt;&gt;"TransfereGOV",
ROUND(OFFSET($P346,0,AQ$13),15-13*ORÇAMENTO!$AF$7)/$H346*OFFSET(ORÇAMENTO!$X$15,ROW(AQ346)-ROW(AQ$15),0),
ROUND(ROUND(OFFSET($P346,0,AQ$13),15-13*ORÇAMENTO!$AF$7)*OFFSET(ORÇAMENTO!$W$15,ROW(AQ346)-ROW(AQ$15),0),15-13*ORÇAMENTO!$AF$11)),0)</f>
        <v>0</v>
      </c>
      <c r="AR346" s="545">
        <f ca="1">IF(AND($D346="Serviço",AR$12&lt;&gt;0,$H346&gt;0,OR(AUTOEVENTO&lt;&gt;"manual",$M346&lt;&gt;1)),
IF(Import.TipoArredondamento&lt;&gt;"TransfereGOV",
ROUND(OFFSET($P346,0,AR$13),15-13*ORÇAMENTO!$AF$7)/$H346*OFFSET(ORÇAMENTO!$X$15,ROW(AR346)-ROW(AR$15),0),
ROUND(ROUND(OFFSET($P346,0,AR$13),15-13*ORÇAMENTO!$AF$7)*OFFSET(ORÇAMENTO!$W$15,ROW(AR346)-ROW(AR$15),0),15-13*ORÇAMENTO!$AF$11)),0)</f>
        <v>0</v>
      </c>
      <c r="AS346" s="546">
        <f ca="1">IF(AND($D346="Serviço",AS$12&lt;&gt;0,$H346&gt;0,OR(AUTOEVENTO&lt;&gt;"manual",$M346&lt;&gt;1)),
IF(Import.TipoArredondamento&lt;&gt;"TransfereGOV",
ROUND(OFFSET($P346,0,AS$13),15-13*ORÇAMENTO!$AF$7)/$H346*OFFSET(ORÇAMENTO!$X$15,ROW(AS346)-ROW(AS$15),0),
ROUND(ROUND(OFFSET($P346,0,AS$13),15-13*ORÇAMENTO!$AF$7)*OFFSET(ORÇAMENTO!$W$15,ROW(AS346)-ROW(AS$15),0),15-13*ORÇAMENTO!$AF$11)),0)</f>
        <v>0</v>
      </c>
      <c r="AT346" s="545">
        <f ca="1">IF(AND($D346="Serviço",AT$12&lt;&gt;0,$H346&gt;0,OR(AUTOEVENTO&lt;&gt;"manual",$M346&lt;&gt;1)),
IF(Import.TipoArredondamento&lt;&gt;"TransfereGOV",
ROUND(OFFSET($P346,0,AT$13),15-13*ORÇAMENTO!$AF$7)/$H346*OFFSET(ORÇAMENTO!$X$15,ROW(AT346)-ROW(AT$15),0),
ROUND(ROUND(OFFSET($P346,0,AT$13),15-13*ORÇAMENTO!$AF$7)*OFFSET(ORÇAMENTO!$W$15,ROW(AT346)-ROW(AT$15),0),15-13*ORÇAMENTO!$AF$11)),0)</f>
        <v>0</v>
      </c>
      <c r="AU346" s="545">
        <f ca="1">IF(AND($D346="Serviço",AU$12&lt;&gt;0,$H346&gt;0,OR(AUTOEVENTO&lt;&gt;"manual",$M346&lt;&gt;1)),
IF(Import.TipoArredondamento&lt;&gt;"TransfereGOV",
ROUND(OFFSET($P346,0,AU$13),15-13*ORÇAMENTO!$AF$7)/$H346*OFFSET(ORÇAMENTO!$X$15,ROW(AU346)-ROW(AU$15),0),
ROUND(ROUND(OFFSET($P346,0,AU$13),15-13*ORÇAMENTO!$AF$7)*OFFSET(ORÇAMENTO!$W$15,ROW(AU346)-ROW(AU$15),0),15-13*ORÇAMENTO!$AF$11)),0)</f>
        <v>0</v>
      </c>
      <c r="AV346" s="545">
        <f ca="1">IF(AND($D346="Serviço",AV$12&lt;&gt;0,$H346&gt;0,OR(AUTOEVENTO&lt;&gt;"manual",$M346&lt;&gt;1)),
IF(Import.TipoArredondamento&lt;&gt;"TransfereGOV",
ROUND(OFFSET($P346,0,AV$13),15-13*ORÇAMENTO!$AF$7)/$H346*OFFSET(ORÇAMENTO!$X$15,ROW(AV346)-ROW(AV$15),0),
ROUND(ROUND(OFFSET($P346,0,AV$13),15-13*ORÇAMENTO!$AF$7)*OFFSET(ORÇAMENTO!$W$15,ROW(AV346)-ROW(AV$15),0),15-13*ORÇAMENTO!$AF$11)),0)</f>
        <v>0</v>
      </c>
      <c r="AW346" s="545">
        <f ca="1">IF(AND($D346="Serviço",AW$12&lt;&gt;0,$H346&gt;0,OR(AUTOEVENTO&lt;&gt;"manual",$M346&lt;&gt;1)),
IF(Import.TipoArredondamento&lt;&gt;"TransfereGOV",
ROUND(OFFSET($P346,0,AW$13),15-13*ORÇAMENTO!$AF$7)/$H346*OFFSET(ORÇAMENTO!$X$15,ROW(AW346)-ROW(AW$15),0),
ROUND(ROUND(OFFSET($P346,0,AW$13),15-13*ORÇAMENTO!$AF$7)*OFFSET(ORÇAMENTO!$W$15,ROW(AW346)-ROW(AW$15),0),15-13*ORÇAMENTO!$AF$11)),0)</f>
        <v>0</v>
      </c>
      <c r="AX346" s="545">
        <f ca="1">IF(AND($D346="Serviço",AX$12&lt;&gt;0,$H346&gt;0,OR(AUTOEVENTO&lt;&gt;"manual",$M346&lt;&gt;1)),
IF(Import.TipoArredondamento&lt;&gt;"TransfereGOV",
ROUND(OFFSET($P346,0,AX$13),15-13*ORÇAMENTO!$AF$7)/$H346*OFFSET(ORÇAMENTO!$X$15,ROW(AX346)-ROW(AX$15),0),
ROUND(ROUND(OFFSET($P346,0,AX$13),15-13*ORÇAMENTO!$AF$7)*OFFSET(ORÇAMENTO!$W$15,ROW(AX346)-ROW(AX$15),0),15-13*ORÇAMENTO!$AF$11)),0)</f>
        <v>0</v>
      </c>
      <c r="AY346" s="545">
        <f ca="1">IF(AND($D346="Serviço",AY$12&lt;&gt;0,$H346&gt;0,OR(AUTOEVENTO&lt;&gt;"manual",$M346&lt;&gt;1)),
IF(Import.TipoArredondamento&lt;&gt;"TransfereGOV",
ROUND(OFFSET($P346,0,AY$13),15-13*ORÇAMENTO!$AF$7)/$H346*OFFSET(ORÇAMENTO!$X$15,ROW(AY346)-ROW(AY$15),0),
ROUND(ROUND(OFFSET($P346,0,AY$13),15-13*ORÇAMENTO!$AF$7)*OFFSET(ORÇAMENTO!$W$15,ROW(AY346)-ROW(AY$15),0),15-13*ORÇAMENTO!$AF$11)),0)</f>
        <v>0</v>
      </c>
      <c r="AZ346" s="545">
        <f ca="1">IF(AND($D346="Serviço",AZ$12&lt;&gt;0,$H346&gt;0,OR(AUTOEVENTO&lt;&gt;"manual",$M346&lt;&gt;1)),
IF(Import.TipoArredondamento&lt;&gt;"TransfereGOV",
ROUND(OFFSET($P346,0,AZ$13),15-13*ORÇAMENTO!$AF$7)/$H346*OFFSET(ORÇAMENTO!$X$15,ROW(AZ346)-ROW(AZ$15),0),
ROUND(ROUND(OFFSET($P346,0,AZ$13),15-13*ORÇAMENTO!$AF$7)*OFFSET(ORÇAMENTO!$W$15,ROW(AZ346)-ROW(AZ$15),0),15-13*ORÇAMENTO!$AF$11)),0)</f>
        <v>0</v>
      </c>
      <c r="BA346" s="546">
        <f ca="1">IF(AND($D346="Serviço",BA$12&lt;&gt;0,$H346&gt;0,OR(AUTOEVENTO&lt;&gt;"manual",$M346&lt;&gt;1)),
IF(Import.TipoArredondamento&lt;&gt;"TransfereGOV",
ROUND(OFFSET($P346,0,BA$13),15-13*ORÇAMENTO!$AF$7)/$H346*OFFSET(ORÇAMENTO!$X$15,ROW(BA346)-ROW(BA$15),0),
ROUND(ROUND(OFFSET($P346,0,BA$13),15-13*ORÇAMENTO!$AF$7)*OFFSET(ORÇAMENTO!$W$15,ROW(BA346)-ROW(BA$15),0),15-13*ORÇAMENTO!$AF$11)),0)</f>
        <v>0</v>
      </c>
      <c r="BC346" s="181">
        <f ca="1">IF($D346&lt;&gt;"Serviço",0,IF(AND(AUTOEVENTO="Manual",$M346=1),0,IF(OFFSET(CRONOPLE!$F$14,$M346,BC$13)="",10^12,OFFSET(CRONOPLE!$F$14,$M346,BC$13))))</f>
        <v>9</v>
      </c>
      <c r="BD346" s="181">
        <f ca="1">IF($D346&lt;&gt;"Serviço",0,IF(AND(AUTOEVENTO="Manual",$M346=1),0,IF(OFFSET(CRONOPLE!$F$14,$M346,BD$13)="",10^12,OFFSET(CRONOPLE!$F$14,$M346,BD$13))))</f>
        <v>1000000000000</v>
      </c>
      <c r="BE346" s="181">
        <f ca="1">IF($D346&lt;&gt;"Serviço",0,IF(AND(AUTOEVENTO="Manual",$M346=1),0,IF(OFFSET(CRONOPLE!$F$14,$M346,BE$13)="",10^12,OFFSET(CRONOPLE!$F$14,$M346,BE$13))))</f>
        <v>1000000000000</v>
      </c>
      <c r="BF346" s="181">
        <f ca="1">IF($D346&lt;&gt;"Serviço",0,IF(AND(AUTOEVENTO="Manual",$M346=1),0,IF(OFFSET(CRONOPLE!$F$14,$M346,BF$13)="",10^12,OFFSET(CRONOPLE!$F$14,$M346,BF$13))))</f>
        <v>1000000000000</v>
      </c>
      <c r="BG346" s="181">
        <f ca="1">IF($D346&lt;&gt;"Serviço",0,IF(AND(AUTOEVENTO="Manual",$M346=1),0,IF(OFFSET(CRONOPLE!$F$14,$M346,BG$13)="",10^12,OFFSET(CRONOPLE!$F$14,$M346,BG$13))))</f>
        <v>1000000000000</v>
      </c>
      <c r="BH346" s="181">
        <f ca="1">IF($D346&lt;&gt;"Serviço",0,IF(AND(AUTOEVENTO="Manual",$M346=1),0,IF(OFFSET(CRONOPLE!$F$14,$M346,BH$13)="",10^12,OFFSET(CRONOPLE!$F$14,$M346,BH$13))))</f>
        <v>1000000000000</v>
      </c>
      <c r="BI346" s="181">
        <f ca="1">IF($D346&lt;&gt;"Serviço",0,IF(AND(AUTOEVENTO="Manual",$M346=1),0,IF(OFFSET(CRONOPLE!$F$14,$M346,BI$13)="",10^12,OFFSET(CRONOPLE!$F$14,$M346,BI$13))))</f>
        <v>1000000000000</v>
      </c>
      <c r="BJ346" s="181">
        <f ca="1">IF($D346&lt;&gt;"Serviço",0,IF(AND(AUTOEVENTO="Manual",$M346=1),0,IF(OFFSET(CRONOPLE!$F$14,$M346,BJ$13)="",10^12,OFFSET(CRONOPLE!$F$14,$M346,BJ$13))))</f>
        <v>1000000000000</v>
      </c>
      <c r="BK346" s="181">
        <f ca="1">IF($D346&lt;&gt;"Serviço",0,IF(AND(AUTOEVENTO="Manual",$M346=1),0,IF(OFFSET(CRONOPLE!$F$14,$M346,BK$13)="",10^12,OFFSET(CRONOPLE!$F$14,$M346,BK$13))))</f>
        <v>1000000000000</v>
      </c>
      <c r="BL346" s="181">
        <f ca="1">IF($D346&lt;&gt;"Serviço",0,IF(AND(AUTOEVENTO="Manual",$M346=1),0,IF(OFFSET(CRONOPLE!$F$14,$M346,BL$13)="",10^12,OFFSET(CRONOPLE!$F$14,$M346,BL$13))))</f>
        <v>1000000000000</v>
      </c>
      <c r="BM346" s="181">
        <f ca="1">IF($D346&lt;&gt;"Serviço",0,IF(AND(AUTOEVENTO="Manual",$M346=1),0,IF(OFFSET(CRONOPLE!$F$14,$M346,BM$13)="",10^12,OFFSET(CRONOPLE!$F$14,$M346,BM$13))))</f>
        <v>1000000000000</v>
      </c>
      <c r="BN346" s="181">
        <f ca="1">IF($D346&lt;&gt;"Serviço",0,IF(AND(AUTOEVENTO="Manual",$M346=1),0,IF(OFFSET(CRONOPLE!$F$14,$M346,BN$13)="",10^12,OFFSET(CRONOPLE!$F$14,$M346,BN$13))))</f>
        <v>1000000000000</v>
      </c>
      <c r="BO346" s="181">
        <f ca="1">IF($D346&lt;&gt;"Serviço",0,IF(AND(AUTOEVENTO="Manual",$M346=1),0,IF(OFFSET(CRONOPLE!$F$14,$M346,BO$13)="",10^12,OFFSET(CRONOPLE!$F$14,$M346,BO$13))))</f>
        <v>1000000000000</v>
      </c>
      <c r="BP346" s="181">
        <f ca="1">IF($D346&lt;&gt;"Serviço",0,IF(AND(AUTOEVENTO="Manual",$M346=1),0,IF(OFFSET(CRONOPLE!$F$14,$M346,BP$13)="",10^12,OFFSET(CRONOPLE!$F$14,$M346,BP$13))))</f>
        <v>1000000000000</v>
      </c>
      <c r="BQ346" s="181">
        <f ca="1">IF($D346&lt;&gt;"Serviço",0,IF(AND(AUTOEVENTO="Manual",$M346=1),0,IF(OFFSET(CRONOPLE!$F$14,$M346,BQ$13)="",10^12,OFFSET(CRONOPLE!$F$14,$M346,BQ$13))))</f>
        <v>1000000000000</v>
      </c>
      <c r="BR346" s="181">
        <f ca="1">IF($D346&lt;&gt;"Serviço",0,IF(AND(AUTOEVENTO="Manual",$M346=1),0,IF(OFFSET(CRONOPLE!$F$14,$M346,BR$13)="",10^12,OFFSET(CRONOPLE!$F$14,$M346,BR$13))))</f>
        <v>1000000000000</v>
      </c>
      <c r="BS346" s="181">
        <f ca="1">IF($D346&lt;&gt;"Serviço",0,IF(AND(AUTOEVENTO="Manual",$M346=1),0,IF(OFFSET(CRONOPLE!$F$14,$M346,BS$13)="",10^12,OFFSET(CRONOPLE!$F$14,$M346,BS$13))))</f>
        <v>1000000000000</v>
      </c>
      <c r="BT346" s="181">
        <f ca="1">IF($D346&lt;&gt;"Serviço",0,IF(AND(AUTOEVENTO="Manual",$M346=1),0,IF(OFFSET(CRONOPLE!$F$14,$M346,BT$13)="",10^12,OFFSET(CRONOPLE!$F$14,$M346,BT$13))))</f>
        <v>1000000000000</v>
      </c>
      <c r="BV346" s="182">
        <f ca="1">IF($D346&lt;&gt;"Serviço",0,IF(OR(AND(AUTOEVENTO="Manual",$M346=1),$M346&gt;(ROW(PLE.lastrow)-ROW(PLE.firstrow))),0,IF(OFFSET(PLE!$G$14,$M346,BV$13)="",10^12,OFFSET(PLE!$G$14,$M346,BV$13))))</f>
        <v>1000000000000</v>
      </c>
      <c r="BW346" s="182">
        <f ca="1">IF($D346&lt;&gt;"Serviço",0,IF(OR(AND(AUTOEVENTO="Manual",$M346=1),$M346&gt;(ROW(PLE.lastrow)-ROW(PLE.firstrow))),0,IF(OFFSET(PLE!$G$14,$M346,BW$13)="",10^12,OFFSET(PLE!$G$14,$M346,BW$13))))</f>
        <v>1000000000000</v>
      </c>
      <c r="BX346" s="182">
        <f ca="1">IF($D346&lt;&gt;"Serviço",0,IF(OR(AND(AUTOEVENTO="Manual",$M346=1),$M346&gt;(ROW(PLE.lastrow)-ROW(PLE.firstrow))),0,IF(OFFSET(PLE!$G$14,$M346,BX$13)="",10^12,OFFSET(PLE!$G$14,$M346,BX$13))))</f>
        <v>1000000000000</v>
      </c>
      <c r="BY346" s="182">
        <f ca="1">IF($D346&lt;&gt;"Serviço",0,IF(OR(AND(AUTOEVENTO="Manual",$M346=1),$M346&gt;(ROW(PLE.lastrow)-ROW(PLE.firstrow))),0,IF(OFFSET(PLE!$G$14,$M346,BY$13)="",10^12,OFFSET(PLE!$G$14,$M346,BY$13))))</f>
        <v>1000000000000</v>
      </c>
      <c r="BZ346" s="182">
        <f ca="1">IF($D346&lt;&gt;"Serviço",0,IF(OR(AND(AUTOEVENTO="Manual",$M346=1),$M346&gt;(ROW(PLE.lastrow)-ROW(PLE.firstrow))),0,IF(OFFSET(PLE!$G$14,$M346,BZ$13)="",10^12,OFFSET(PLE!$G$14,$M346,BZ$13))))</f>
        <v>1000000000000</v>
      </c>
      <c r="CA346" s="182">
        <f ca="1">IF($D346&lt;&gt;"Serviço",0,IF(OR(AND(AUTOEVENTO="Manual",$M346=1),$M346&gt;(ROW(PLE.lastrow)-ROW(PLE.firstrow))),0,IF(OFFSET(PLE!$G$14,$M346,CA$13)="",10^12,OFFSET(PLE!$G$14,$M346,CA$13))))</f>
        <v>1000000000000</v>
      </c>
      <c r="CB346" s="182">
        <f ca="1">IF($D346&lt;&gt;"Serviço",0,IF(OR(AND(AUTOEVENTO="Manual",$M346=1),$M346&gt;(ROW(PLE.lastrow)-ROW(PLE.firstrow))),0,IF(OFFSET(PLE!$G$14,$M346,CB$13)="",10^12,OFFSET(PLE!$G$14,$M346,CB$13))))</f>
        <v>1000000000000</v>
      </c>
      <c r="CC346" s="182">
        <f ca="1">IF($D346&lt;&gt;"Serviço",0,IF(OR(AND(AUTOEVENTO="Manual",$M346=1),$M346&gt;(ROW(PLE.lastrow)-ROW(PLE.firstrow))),0,IF(OFFSET(PLE!$G$14,$M346,CC$13)="",10^12,OFFSET(PLE!$G$14,$M346,CC$13))))</f>
        <v>1000000000000</v>
      </c>
      <c r="CD346" s="182">
        <f ca="1">IF($D346&lt;&gt;"Serviço",0,IF(OR(AND(AUTOEVENTO="Manual",$M346=1),$M346&gt;(ROW(PLE.lastrow)-ROW(PLE.firstrow))),0,IF(OFFSET(PLE!$G$14,$M346,CD$13)="",10^12,OFFSET(PLE!$G$14,$M346,CD$13))))</f>
        <v>1000000000000</v>
      </c>
      <c r="CE346" s="182">
        <f ca="1">IF($D346&lt;&gt;"Serviço",0,IF(OR(AND(AUTOEVENTO="Manual",$M346=1),$M346&gt;(ROW(PLE.lastrow)-ROW(PLE.firstrow))),0,IF(OFFSET(PLE!$G$14,$M346,CE$13)="",10^12,OFFSET(PLE!$G$14,$M346,CE$13))))</f>
        <v>1000000000000</v>
      </c>
      <c r="CF346" s="182">
        <f ca="1">IF($D346&lt;&gt;"Serviço",0,IF(OR(AND(AUTOEVENTO="Manual",$M346=1),$M346&gt;(ROW(PLE.lastrow)-ROW(PLE.firstrow))),0,IF(OFFSET(PLE!$G$14,$M346,CF$13)="",10^12,OFFSET(PLE!$G$14,$M346,CF$13))))</f>
        <v>1000000000000</v>
      </c>
      <c r="CG346" s="182">
        <f ca="1">IF($D346&lt;&gt;"Serviço",0,IF(OR(AND(AUTOEVENTO="Manual",$M346=1),$M346&gt;(ROW(PLE.lastrow)-ROW(PLE.firstrow))),0,IF(OFFSET(PLE!$G$14,$M346,CG$13)="",10^12,OFFSET(PLE!$G$14,$M346,CG$13))))</f>
        <v>1000000000000</v>
      </c>
      <c r="CH346" s="182">
        <f ca="1">IF($D346&lt;&gt;"Serviço",0,IF(OR(AND(AUTOEVENTO="Manual",$M346=1),$M346&gt;(ROW(PLE.lastrow)-ROW(PLE.firstrow))),0,IF(OFFSET(PLE!$G$14,$M346,CH$13)="",10^12,OFFSET(PLE!$G$14,$M346,CH$13))))</f>
        <v>1000000000000</v>
      </c>
      <c r="CI346" s="182">
        <f ca="1">IF($D346&lt;&gt;"Serviço",0,IF(OR(AND(AUTOEVENTO="Manual",$M346=1),$M346&gt;(ROW(PLE.lastrow)-ROW(PLE.firstrow))),0,IF(OFFSET(PLE!$G$14,$M346,CI$13)="",10^12,OFFSET(PLE!$G$14,$M346,CI$13))))</f>
        <v>1000000000000</v>
      </c>
      <c r="CJ346" s="182">
        <f ca="1">IF($D346&lt;&gt;"Serviço",0,IF(OR(AND(AUTOEVENTO="Manual",$M346=1),$M346&gt;(ROW(PLE.lastrow)-ROW(PLE.firstrow))),0,IF(OFFSET(PLE!$G$14,$M346,CJ$13)="",10^12,OFFSET(PLE!$G$14,$M346,CJ$13))))</f>
        <v>1000000000000</v>
      </c>
      <c r="CK346" s="182">
        <f ca="1">IF($D346&lt;&gt;"Serviço",0,IF(OR(AND(AUTOEVENTO="Manual",$M346=1),$M346&gt;(ROW(PLE.lastrow)-ROW(PLE.firstrow))),0,IF(OFFSET(PLE!$G$14,$M346,CK$13)="",10^12,OFFSET(PLE!$G$14,$M346,CK$13))))</f>
        <v>1000000000000</v>
      </c>
      <c r="CL346" s="182">
        <f ca="1">IF($D346&lt;&gt;"Serviço",0,IF(OR(AND(AUTOEVENTO="Manual",$M346=1),$M346&gt;(ROW(PLE.lastrow)-ROW(PLE.firstrow))),0,IF(OFFSET(PLE!$G$14,$M346,CL$13)="",10^12,OFFSET(PLE!$G$14,$M346,CL$13))))</f>
        <v>1000000000000</v>
      </c>
      <c r="CM346" s="182">
        <f ca="1">IF($D346&lt;&gt;"Serviço",0,IF(OR(AND(AUTOEVENTO="Manual",$M346=1),$M346&gt;(ROW(PLE.lastrow)-ROW(PLE.firstrow))),0,IF(OFFSET(PLE!$G$14,$M346,CM$13)="",10^12,OFFSET(PLE!$G$14,$M346,CM$13))))</f>
        <v>1000000000000</v>
      </c>
    </row>
    <row r="347" spans="1:91" ht="38.25" x14ac:dyDescent="0.2">
      <c r="A347" s="7" t="str">
        <f t="shared" ca="1" si="12"/>
        <v>304</v>
      </c>
      <c r="B347" s="7" t="str">
        <f ca="1">OFFSET(ORÇAMENTO!C$15,ROW(B347)-ROW(B$15),0)</f>
        <v>S</v>
      </c>
      <c r="C347" s="7" t="str">
        <f ca="1">OFFSET(ORÇAMENTO!L$15,ROW(C347)-ROW(C$15),0)</f>
        <v/>
      </c>
      <c r="D347" s="118" t="str">
        <f ca="1">OFFSET(ORÇAMENTO!N$15,ROW(D347)-ROW(D$15),0)</f>
        <v>Serviço</v>
      </c>
      <c r="E347" s="119" t="str">
        <f ca="1">OFFSET(ORÇAMENTO!O$15,ROW(E347)-ROW(E$15),0)</f>
        <v>-</v>
      </c>
      <c r="F347" s="172" t="str">
        <f ca="1">OFFSET(ORÇAMENTO!R$15,ROW(F347)-ROW(F$15),0)</f>
        <v>(abra o arquivo 'Referência 06-2024.xlsm)</v>
      </c>
      <c r="G347" s="173" t="str">
        <f ca="1">IF($D347&lt;&gt;"Serviço","",OFFSET(ORÇAMENTO!S$15,ROW(G347)-ROW(G$15),0))</f>
        <v>-</v>
      </c>
      <c r="H347" s="124">
        <f ca="1">IF($D347&lt;&gt;"Serviço",0,IF(ACOMPANHAMENTO="BM",ROUND(OFFSET(ORÇAMENTO!AJ$15,ROW(H347)-ROW(H$15),0),15-13*ORÇAMENTO!$AF$7),SUMPRODUCT(($Q$12:$AI$12&lt;&gt;"")*ROUND($Q347:$AI347,15-13*ORÇAMENTO!$AF$7))))</f>
        <v>4</v>
      </c>
      <c r="I347" s="561" t="s">
        <v>1107</v>
      </c>
      <c r="K347" s="174"/>
      <c r="L347" s="175" t="s">
        <v>255</v>
      </c>
      <c r="M347" s="176">
        <f ca="1">IF($D347&lt;&gt;"Serviço","",IF(AUTOEVENTO="manual",$A347,IF(ISERROR(MATCH($A347,$A$15:OFFSET($A347,-1,0),0)),MAX($M$15:OFFSET(M347,-1,0))+1,INDEX($M$15:OFFSET(M347,-1,0),MATCH($A347,$A$15:OFFSET($A347,-1,0),0)))))</f>
        <v>41</v>
      </c>
      <c r="N347" s="177" t="str">
        <f ca="1">IF($D347&lt;&gt;"Serviço","",IF(AUTOEVENTO="Manual",IF($A347=0,"&lt;-- defina o número do agrupador",OFFSET(EVENTOS!$D$14,$A347,0)),OFFSET($F$15,$A347,0)))</f>
        <v>INSTALAÇÃO SANITÁRIA - TUBULAÇÕES E CONEXÕES</v>
      </c>
      <c r="O347" s="178"/>
      <c r="Q347" s="178">
        <v>4</v>
      </c>
      <c r="R347" s="179"/>
      <c r="S347" s="179"/>
      <c r="T347" s="179"/>
      <c r="U347" s="179"/>
      <c r="V347" s="179"/>
      <c r="W347" s="179"/>
      <c r="X347" s="179"/>
      <c r="Y347" s="179"/>
      <c r="Z347" s="180"/>
      <c r="AA347" s="179"/>
      <c r="AB347" s="179"/>
      <c r="AC347" s="179"/>
      <c r="AD347" s="179"/>
      <c r="AE347" s="179"/>
      <c r="AF347" s="179"/>
      <c r="AG347" s="179"/>
      <c r="AH347" s="180"/>
      <c r="AJ347" s="544">
        <f ca="1">IF(AND($D347="Serviço",AJ$12&lt;&gt;0,$H347&gt;0,OR(AUTOEVENTO&lt;&gt;"manual",$M347&lt;&gt;1)),
IF(Import.TipoArredondamento&lt;&gt;"TransfereGOV",
ROUND(OFFSET($P347,0,AJ$13),15-13*ORÇAMENTO!$AF$7)/$H347*OFFSET(ORÇAMENTO!$X$15,ROW(AJ347)-ROW(AJ$15),0),
ROUND(ROUND(OFFSET($P347,0,AJ$13),15-13*ORÇAMENTO!$AF$7)*OFFSET(ORÇAMENTO!$W$15,ROW(AJ347)-ROW(AJ$15),0),15-13*ORÇAMENTO!$AF$11)),0)</f>
        <v>0</v>
      </c>
      <c r="AK347" s="545">
        <f ca="1">IF(AND($D347="Serviço",AK$12&lt;&gt;0,$H347&gt;0,OR(AUTOEVENTO&lt;&gt;"manual",$M347&lt;&gt;1)),
IF(Import.TipoArredondamento&lt;&gt;"TransfereGOV",
ROUND(OFFSET($P347,0,AK$13),15-13*ORÇAMENTO!$AF$7)/$H347*OFFSET(ORÇAMENTO!$X$15,ROW(AK347)-ROW(AK$15),0),
ROUND(ROUND(OFFSET($P347,0,AK$13),15-13*ORÇAMENTO!$AF$7)*OFFSET(ORÇAMENTO!$W$15,ROW(AK347)-ROW(AK$15),0),15-13*ORÇAMENTO!$AF$11)),0)</f>
        <v>0</v>
      </c>
      <c r="AL347" s="545">
        <f ca="1">IF(AND($D347="Serviço",AL$12&lt;&gt;0,$H347&gt;0,OR(AUTOEVENTO&lt;&gt;"manual",$M347&lt;&gt;1)),
IF(Import.TipoArredondamento&lt;&gt;"TransfereGOV",
ROUND(OFFSET($P347,0,AL$13),15-13*ORÇAMENTO!$AF$7)/$H347*OFFSET(ORÇAMENTO!$X$15,ROW(AL347)-ROW(AL$15),0),
ROUND(ROUND(OFFSET($P347,0,AL$13),15-13*ORÇAMENTO!$AF$7)*OFFSET(ORÇAMENTO!$W$15,ROW(AL347)-ROW(AL$15),0),15-13*ORÇAMENTO!$AF$11)),0)</f>
        <v>0</v>
      </c>
      <c r="AM347" s="545">
        <f ca="1">IF(AND($D347="Serviço",AM$12&lt;&gt;0,$H347&gt;0,OR(AUTOEVENTO&lt;&gt;"manual",$M347&lt;&gt;1)),
IF(Import.TipoArredondamento&lt;&gt;"TransfereGOV",
ROUND(OFFSET($P347,0,AM$13),15-13*ORÇAMENTO!$AF$7)/$H347*OFFSET(ORÇAMENTO!$X$15,ROW(AM347)-ROW(AM$15),0),
ROUND(ROUND(OFFSET($P347,0,AM$13),15-13*ORÇAMENTO!$AF$7)*OFFSET(ORÇAMENTO!$W$15,ROW(AM347)-ROW(AM$15),0),15-13*ORÇAMENTO!$AF$11)),0)</f>
        <v>0</v>
      </c>
      <c r="AN347" s="545">
        <f ca="1">IF(AND($D347="Serviço",AN$12&lt;&gt;0,$H347&gt;0,OR(AUTOEVENTO&lt;&gt;"manual",$M347&lt;&gt;1)),
IF(Import.TipoArredondamento&lt;&gt;"TransfereGOV",
ROUND(OFFSET($P347,0,AN$13),15-13*ORÇAMENTO!$AF$7)/$H347*OFFSET(ORÇAMENTO!$X$15,ROW(AN347)-ROW(AN$15),0),
ROUND(ROUND(OFFSET($P347,0,AN$13),15-13*ORÇAMENTO!$AF$7)*OFFSET(ORÇAMENTO!$W$15,ROW(AN347)-ROW(AN$15),0),15-13*ORÇAMENTO!$AF$11)),0)</f>
        <v>0</v>
      </c>
      <c r="AO347" s="545">
        <f ca="1">IF(AND($D347="Serviço",AO$12&lt;&gt;0,$H347&gt;0,OR(AUTOEVENTO&lt;&gt;"manual",$M347&lt;&gt;1)),
IF(Import.TipoArredondamento&lt;&gt;"TransfereGOV",
ROUND(OFFSET($P347,0,AO$13),15-13*ORÇAMENTO!$AF$7)/$H347*OFFSET(ORÇAMENTO!$X$15,ROW(AO347)-ROW(AO$15),0),
ROUND(ROUND(OFFSET($P347,0,AO$13),15-13*ORÇAMENTO!$AF$7)*OFFSET(ORÇAMENTO!$W$15,ROW(AO347)-ROW(AO$15),0),15-13*ORÇAMENTO!$AF$11)),0)</f>
        <v>0</v>
      </c>
      <c r="AP347" s="545">
        <f ca="1">IF(AND($D347="Serviço",AP$12&lt;&gt;0,$H347&gt;0,OR(AUTOEVENTO&lt;&gt;"manual",$M347&lt;&gt;1)),
IF(Import.TipoArredondamento&lt;&gt;"TransfereGOV",
ROUND(OFFSET($P347,0,AP$13),15-13*ORÇAMENTO!$AF$7)/$H347*OFFSET(ORÇAMENTO!$X$15,ROW(AP347)-ROW(AP$15),0),
ROUND(ROUND(OFFSET($P347,0,AP$13),15-13*ORÇAMENTO!$AF$7)*OFFSET(ORÇAMENTO!$W$15,ROW(AP347)-ROW(AP$15),0),15-13*ORÇAMENTO!$AF$11)),0)</f>
        <v>0</v>
      </c>
      <c r="AQ347" s="545">
        <f ca="1">IF(AND($D347="Serviço",AQ$12&lt;&gt;0,$H347&gt;0,OR(AUTOEVENTO&lt;&gt;"manual",$M347&lt;&gt;1)),
IF(Import.TipoArredondamento&lt;&gt;"TransfereGOV",
ROUND(OFFSET($P347,0,AQ$13),15-13*ORÇAMENTO!$AF$7)/$H347*OFFSET(ORÇAMENTO!$X$15,ROW(AQ347)-ROW(AQ$15),0),
ROUND(ROUND(OFFSET($P347,0,AQ$13),15-13*ORÇAMENTO!$AF$7)*OFFSET(ORÇAMENTO!$W$15,ROW(AQ347)-ROW(AQ$15),0),15-13*ORÇAMENTO!$AF$11)),0)</f>
        <v>0</v>
      </c>
      <c r="AR347" s="545">
        <f ca="1">IF(AND($D347="Serviço",AR$12&lt;&gt;0,$H347&gt;0,OR(AUTOEVENTO&lt;&gt;"manual",$M347&lt;&gt;1)),
IF(Import.TipoArredondamento&lt;&gt;"TransfereGOV",
ROUND(OFFSET($P347,0,AR$13),15-13*ORÇAMENTO!$AF$7)/$H347*OFFSET(ORÇAMENTO!$X$15,ROW(AR347)-ROW(AR$15),0),
ROUND(ROUND(OFFSET($P347,0,AR$13),15-13*ORÇAMENTO!$AF$7)*OFFSET(ORÇAMENTO!$W$15,ROW(AR347)-ROW(AR$15),0),15-13*ORÇAMENTO!$AF$11)),0)</f>
        <v>0</v>
      </c>
      <c r="AS347" s="546">
        <f ca="1">IF(AND($D347="Serviço",AS$12&lt;&gt;0,$H347&gt;0,OR(AUTOEVENTO&lt;&gt;"manual",$M347&lt;&gt;1)),
IF(Import.TipoArredondamento&lt;&gt;"TransfereGOV",
ROUND(OFFSET($P347,0,AS$13),15-13*ORÇAMENTO!$AF$7)/$H347*OFFSET(ORÇAMENTO!$X$15,ROW(AS347)-ROW(AS$15),0),
ROUND(ROUND(OFFSET($P347,0,AS$13),15-13*ORÇAMENTO!$AF$7)*OFFSET(ORÇAMENTO!$W$15,ROW(AS347)-ROW(AS$15),0),15-13*ORÇAMENTO!$AF$11)),0)</f>
        <v>0</v>
      </c>
      <c r="AT347" s="545">
        <f ca="1">IF(AND($D347="Serviço",AT$12&lt;&gt;0,$H347&gt;0,OR(AUTOEVENTO&lt;&gt;"manual",$M347&lt;&gt;1)),
IF(Import.TipoArredondamento&lt;&gt;"TransfereGOV",
ROUND(OFFSET($P347,0,AT$13),15-13*ORÇAMENTO!$AF$7)/$H347*OFFSET(ORÇAMENTO!$X$15,ROW(AT347)-ROW(AT$15),0),
ROUND(ROUND(OFFSET($P347,0,AT$13),15-13*ORÇAMENTO!$AF$7)*OFFSET(ORÇAMENTO!$W$15,ROW(AT347)-ROW(AT$15),0),15-13*ORÇAMENTO!$AF$11)),0)</f>
        <v>0</v>
      </c>
      <c r="AU347" s="545">
        <f ca="1">IF(AND($D347="Serviço",AU$12&lt;&gt;0,$H347&gt;0,OR(AUTOEVENTO&lt;&gt;"manual",$M347&lt;&gt;1)),
IF(Import.TipoArredondamento&lt;&gt;"TransfereGOV",
ROUND(OFFSET($P347,0,AU$13),15-13*ORÇAMENTO!$AF$7)/$H347*OFFSET(ORÇAMENTO!$X$15,ROW(AU347)-ROW(AU$15),0),
ROUND(ROUND(OFFSET($P347,0,AU$13),15-13*ORÇAMENTO!$AF$7)*OFFSET(ORÇAMENTO!$W$15,ROW(AU347)-ROW(AU$15),0),15-13*ORÇAMENTO!$AF$11)),0)</f>
        <v>0</v>
      </c>
      <c r="AV347" s="545">
        <f ca="1">IF(AND($D347="Serviço",AV$12&lt;&gt;0,$H347&gt;0,OR(AUTOEVENTO&lt;&gt;"manual",$M347&lt;&gt;1)),
IF(Import.TipoArredondamento&lt;&gt;"TransfereGOV",
ROUND(OFFSET($P347,0,AV$13),15-13*ORÇAMENTO!$AF$7)/$H347*OFFSET(ORÇAMENTO!$X$15,ROW(AV347)-ROW(AV$15),0),
ROUND(ROUND(OFFSET($P347,0,AV$13),15-13*ORÇAMENTO!$AF$7)*OFFSET(ORÇAMENTO!$W$15,ROW(AV347)-ROW(AV$15),0),15-13*ORÇAMENTO!$AF$11)),0)</f>
        <v>0</v>
      </c>
      <c r="AW347" s="545">
        <f ca="1">IF(AND($D347="Serviço",AW$12&lt;&gt;0,$H347&gt;0,OR(AUTOEVENTO&lt;&gt;"manual",$M347&lt;&gt;1)),
IF(Import.TipoArredondamento&lt;&gt;"TransfereGOV",
ROUND(OFFSET($P347,0,AW$13),15-13*ORÇAMENTO!$AF$7)/$H347*OFFSET(ORÇAMENTO!$X$15,ROW(AW347)-ROW(AW$15),0),
ROUND(ROUND(OFFSET($P347,0,AW$13),15-13*ORÇAMENTO!$AF$7)*OFFSET(ORÇAMENTO!$W$15,ROW(AW347)-ROW(AW$15),0),15-13*ORÇAMENTO!$AF$11)),0)</f>
        <v>0</v>
      </c>
      <c r="AX347" s="545">
        <f ca="1">IF(AND($D347="Serviço",AX$12&lt;&gt;0,$H347&gt;0,OR(AUTOEVENTO&lt;&gt;"manual",$M347&lt;&gt;1)),
IF(Import.TipoArredondamento&lt;&gt;"TransfereGOV",
ROUND(OFFSET($P347,0,AX$13),15-13*ORÇAMENTO!$AF$7)/$H347*OFFSET(ORÇAMENTO!$X$15,ROW(AX347)-ROW(AX$15),0),
ROUND(ROUND(OFFSET($P347,0,AX$13),15-13*ORÇAMENTO!$AF$7)*OFFSET(ORÇAMENTO!$W$15,ROW(AX347)-ROW(AX$15),0),15-13*ORÇAMENTO!$AF$11)),0)</f>
        <v>0</v>
      </c>
      <c r="AY347" s="545">
        <f ca="1">IF(AND($D347="Serviço",AY$12&lt;&gt;0,$H347&gt;0,OR(AUTOEVENTO&lt;&gt;"manual",$M347&lt;&gt;1)),
IF(Import.TipoArredondamento&lt;&gt;"TransfereGOV",
ROUND(OFFSET($P347,0,AY$13),15-13*ORÇAMENTO!$AF$7)/$H347*OFFSET(ORÇAMENTO!$X$15,ROW(AY347)-ROW(AY$15),0),
ROUND(ROUND(OFFSET($P347,0,AY$13),15-13*ORÇAMENTO!$AF$7)*OFFSET(ORÇAMENTO!$W$15,ROW(AY347)-ROW(AY$15),0),15-13*ORÇAMENTO!$AF$11)),0)</f>
        <v>0</v>
      </c>
      <c r="AZ347" s="545">
        <f ca="1">IF(AND($D347="Serviço",AZ$12&lt;&gt;0,$H347&gt;0,OR(AUTOEVENTO&lt;&gt;"manual",$M347&lt;&gt;1)),
IF(Import.TipoArredondamento&lt;&gt;"TransfereGOV",
ROUND(OFFSET($P347,0,AZ$13),15-13*ORÇAMENTO!$AF$7)/$H347*OFFSET(ORÇAMENTO!$X$15,ROW(AZ347)-ROW(AZ$15),0),
ROUND(ROUND(OFFSET($P347,0,AZ$13),15-13*ORÇAMENTO!$AF$7)*OFFSET(ORÇAMENTO!$W$15,ROW(AZ347)-ROW(AZ$15),0),15-13*ORÇAMENTO!$AF$11)),0)</f>
        <v>0</v>
      </c>
      <c r="BA347" s="546">
        <f ca="1">IF(AND($D347="Serviço",BA$12&lt;&gt;0,$H347&gt;0,OR(AUTOEVENTO&lt;&gt;"manual",$M347&lt;&gt;1)),
IF(Import.TipoArredondamento&lt;&gt;"TransfereGOV",
ROUND(OFFSET($P347,0,BA$13),15-13*ORÇAMENTO!$AF$7)/$H347*OFFSET(ORÇAMENTO!$X$15,ROW(BA347)-ROW(BA$15),0),
ROUND(ROUND(OFFSET($P347,0,BA$13),15-13*ORÇAMENTO!$AF$7)*OFFSET(ORÇAMENTO!$W$15,ROW(BA347)-ROW(BA$15),0),15-13*ORÇAMENTO!$AF$11)),0)</f>
        <v>0</v>
      </c>
      <c r="BC347" s="181">
        <f ca="1">IF($D347&lt;&gt;"Serviço",0,IF(AND(AUTOEVENTO="Manual",$M347=1),0,IF(OFFSET(CRONOPLE!$F$14,$M347,BC$13)="",10^12,OFFSET(CRONOPLE!$F$14,$M347,BC$13))))</f>
        <v>9</v>
      </c>
      <c r="BD347" s="181">
        <f ca="1">IF($D347&lt;&gt;"Serviço",0,IF(AND(AUTOEVENTO="Manual",$M347=1),0,IF(OFFSET(CRONOPLE!$F$14,$M347,BD$13)="",10^12,OFFSET(CRONOPLE!$F$14,$M347,BD$13))))</f>
        <v>1000000000000</v>
      </c>
      <c r="BE347" s="181">
        <f ca="1">IF($D347&lt;&gt;"Serviço",0,IF(AND(AUTOEVENTO="Manual",$M347=1),0,IF(OFFSET(CRONOPLE!$F$14,$M347,BE$13)="",10^12,OFFSET(CRONOPLE!$F$14,$M347,BE$13))))</f>
        <v>1000000000000</v>
      </c>
      <c r="BF347" s="181">
        <f ca="1">IF($D347&lt;&gt;"Serviço",0,IF(AND(AUTOEVENTO="Manual",$M347=1),0,IF(OFFSET(CRONOPLE!$F$14,$M347,BF$13)="",10^12,OFFSET(CRONOPLE!$F$14,$M347,BF$13))))</f>
        <v>1000000000000</v>
      </c>
      <c r="BG347" s="181">
        <f ca="1">IF($D347&lt;&gt;"Serviço",0,IF(AND(AUTOEVENTO="Manual",$M347=1),0,IF(OFFSET(CRONOPLE!$F$14,$M347,BG$13)="",10^12,OFFSET(CRONOPLE!$F$14,$M347,BG$13))))</f>
        <v>1000000000000</v>
      </c>
      <c r="BH347" s="181">
        <f ca="1">IF($D347&lt;&gt;"Serviço",0,IF(AND(AUTOEVENTO="Manual",$M347=1),0,IF(OFFSET(CRONOPLE!$F$14,$M347,BH$13)="",10^12,OFFSET(CRONOPLE!$F$14,$M347,BH$13))))</f>
        <v>1000000000000</v>
      </c>
      <c r="BI347" s="181">
        <f ca="1">IF($D347&lt;&gt;"Serviço",0,IF(AND(AUTOEVENTO="Manual",$M347=1),0,IF(OFFSET(CRONOPLE!$F$14,$M347,BI$13)="",10^12,OFFSET(CRONOPLE!$F$14,$M347,BI$13))))</f>
        <v>1000000000000</v>
      </c>
      <c r="BJ347" s="181">
        <f ca="1">IF($D347&lt;&gt;"Serviço",0,IF(AND(AUTOEVENTO="Manual",$M347=1),0,IF(OFFSET(CRONOPLE!$F$14,$M347,BJ$13)="",10^12,OFFSET(CRONOPLE!$F$14,$M347,BJ$13))))</f>
        <v>1000000000000</v>
      </c>
      <c r="BK347" s="181">
        <f ca="1">IF($D347&lt;&gt;"Serviço",0,IF(AND(AUTOEVENTO="Manual",$M347=1),0,IF(OFFSET(CRONOPLE!$F$14,$M347,BK$13)="",10^12,OFFSET(CRONOPLE!$F$14,$M347,BK$13))))</f>
        <v>1000000000000</v>
      </c>
      <c r="BL347" s="181">
        <f ca="1">IF($D347&lt;&gt;"Serviço",0,IF(AND(AUTOEVENTO="Manual",$M347=1),0,IF(OFFSET(CRONOPLE!$F$14,$M347,BL$13)="",10^12,OFFSET(CRONOPLE!$F$14,$M347,BL$13))))</f>
        <v>1000000000000</v>
      </c>
      <c r="BM347" s="181">
        <f ca="1">IF($D347&lt;&gt;"Serviço",0,IF(AND(AUTOEVENTO="Manual",$M347=1),0,IF(OFFSET(CRONOPLE!$F$14,$M347,BM$13)="",10^12,OFFSET(CRONOPLE!$F$14,$M347,BM$13))))</f>
        <v>1000000000000</v>
      </c>
      <c r="BN347" s="181">
        <f ca="1">IF($D347&lt;&gt;"Serviço",0,IF(AND(AUTOEVENTO="Manual",$M347=1),0,IF(OFFSET(CRONOPLE!$F$14,$M347,BN$13)="",10^12,OFFSET(CRONOPLE!$F$14,$M347,BN$13))))</f>
        <v>1000000000000</v>
      </c>
      <c r="BO347" s="181">
        <f ca="1">IF($D347&lt;&gt;"Serviço",0,IF(AND(AUTOEVENTO="Manual",$M347=1),0,IF(OFFSET(CRONOPLE!$F$14,$M347,BO$13)="",10^12,OFFSET(CRONOPLE!$F$14,$M347,BO$13))))</f>
        <v>1000000000000</v>
      </c>
      <c r="BP347" s="181">
        <f ca="1">IF($D347&lt;&gt;"Serviço",0,IF(AND(AUTOEVENTO="Manual",$M347=1),0,IF(OFFSET(CRONOPLE!$F$14,$M347,BP$13)="",10^12,OFFSET(CRONOPLE!$F$14,$M347,BP$13))))</f>
        <v>1000000000000</v>
      </c>
      <c r="BQ347" s="181">
        <f ca="1">IF($D347&lt;&gt;"Serviço",0,IF(AND(AUTOEVENTO="Manual",$M347=1),0,IF(OFFSET(CRONOPLE!$F$14,$M347,BQ$13)="",10^12,OFFSET(CRONOPLE!$F$14,$M347,BQ$13))))</f>
        <v>1000000000000</v>
      </c>
      <c r="BR347" s="181">
        <f ca="1">IF($D347&lt;&gt;"Serviço",0,IF(AND(AUTOEVENTO="Manual",$M347=1),0,IF(OFFSET(CRONOPLE!$F$14,$M347,BR$13)="",10^12,OFFSET(CRONOPLE!$F$14,$M347,BR$13))))</f>
        <v>1000000000000</v>
      </c>
      <c r="BS347" s="181">
        <f ca="1">IF($D347&lt;&gt;"Serviço",0,IF(AND(AUTOEVENTO="Manual",$M347=1),0,IF(OFFSET(CRONOPLE!$F$14,$M347,BS$13)="",10^12,OFFSET(CRONOPLE!$F$14,$M347,BS$13))))</f>
        <v>1000000000000</v>
      </c>
      <c r="BT347" s="181">
        <f ca="1">IF($D347&lt;&gt;"Serviço",0,IF(AND(AUTOEVENTO="Manual",$M347=1),0,IF(OFFSET(CRONOPLE!$F$14,$M347,BT$13)="",10^12,OFFSET(CRONOPLE!$F$14,$M347,BT$13))))</f>
        <v>1000000000000</v>
      </c>
      <c r="BV347" s="182">
        <f ca="1">IF($D347&lt;&gt;"Serviço",0,IF(OR(AND(AUTOEVENTO="Manual",$M347=1),$M347&gt;(ROW(PLE.lastrow)-ROW(PLE.firstrow))),0,IF(OFFSET(PLE!$G$14,$M347,BV$13)="",10^12,OFFSET(PLE!$G$14,$M347,BV$13))))</f>
        <v>1000000000000</v>
      </c>
      <c r="BW347" s="182">
        <f ca="1">IF($D347&lt;&gt;"Serviço",0,IF(OR(AND(AUTOEVENTO="Manual",$M347=1),$M347&gt;(ROW(PLE.lastrow)-ROW(PLE.firstrow))),0,IF(OFFSET(PLE!$G$14,$M347,BW$13)="",10^12,OFFSET(PLE!$G$14,$M347,BW$13))))</f>
        <v>1000000000000</v>
      </c>
      <c r="BX347" s="182">
        <f ca="1">IF($D347&lt;&gt;"Serviço",0,IF(OR(AND(AUTOEVENTO="Manual",$M347=1),$M347&gt;(ROW(PLE.lastrow)-ROW(PLE.firstrow))),0,IF(OFFSET(PLE!$G$14,$M347,BX$13)="",10^12,OFFSET(PLE!$G$14,$M347,BX$13))))</f>
        <v>1000000000000</v>
      </c>
      <c r="BY347" s="182">
        <f ca="1">IF($D347&lt;&gt;"Serviço",0,IF(OR(AND(AUTOEVENTO="Manual",$M347=1),$M347&gt;(ROW(PLE.lastrow)-ROW(PLE.firstrow))),0,IF(OFFSET(PLE!$G$14,$M347,BY$13)="",10^12,OFFSET(PLE!$G$14,$M347,BY$13))))</f>
        <v>1000000000000</v>
      </c>
      <c r="BZ347" s="182">
        <f ca="1">IF($D347&lt;&gt;"Serviço",0,IF(OR(AND(AUTOEVENTO="Manual",$M347=1),$M347&gt;(ROW(PLE.lastrow)-ROW(PLE.firstrow))),0,IF(OFFSET(PLE!$G$14,$M347,BZ$13)="",10^12,OFFSET(PLE!$G$14,$M347,BZ$13))))</f>
        <v>1000000000000</v>
      </c>
      <c r="CA347" s="182">
        <f ca="1">IF($D347&lt;&gt;"Serviço",0,IF(OR(AND(AUTOEVENTO="Manual",$M347=1),$M347&gt;(ROW(PLE.lastrow)-ROW(PLE.firstrow))),0,IF(OFFSET(PLE!$G$14,$M347,CA$13)="",10^12,OFFSET(PLE!$G$14,$M347,CA$13))))</f>
        <v>1000000000000</v>
      </c>
      <c r="CB347" s="182">
        <f ca="1">IF($D347&lt;&gt;"Serviço",0,IF(OR(AND(AUTOEVENTO="Manual",$M347=1),$M347&gt;(ROW(PLE.lastrow)-ROW(PLE.firstrow))),0,IF(OFFSET(PLE!$G$14,$M347,CB$13)="",10^12,OFFSET(PLE!$G$14,$M347,CB$13))))</f>
        <v>1000000000000</v>
      </c>
      <c r="CC347" s="182">
        <f ca="1">IF($D347&lt;&gt;"Serviço",0,IF(OR(AND(AUTOEVENTO="Manual",$M347=1),$M347&gt;(ROW(PLE.lastrow)-ROW(PLE.firstrow))),0,IF(OFFSET(PLE!$G$14,$M347,CC$13)="",10^12,OFFSET(PLE!$G$14,$M347,CC$13))))</f>
        <v>1000000000000</v>
      </c>
      <c r="CD347" s="182">
        <f ca="1">IF($D347&lt;&gt;"Serviço",0,IF(OR(AND(AUTOEVENTO="Manual",$M347=1),$M347&gt;(ROW(PLE.lastrow)-ROW(PLE.firstrow))),0,IF(OFFSET(PLE!$G$14,$M347,CD$13)="",10^12,OFFSET(PLE!$G$14,$M347,CD$13))))</f>
        <v>1000000000000</v>
      </c>
      <c r="CE347" s="182">
        <f ca="1">IF($D347&lt;&gt;"Serviço",0,IF(OR(AND(AUTOEVENTO="Manual",$M347=1),$M347&gt;(ROW(PLE.lastrow)-ROW(PLE.firstrow))),0,IF(OFFSET(PLE!$G$14,$M347,CE$13)="",10^12,OFFSET(PLE!$G$14,$M347,CE$13))))</f>
        <v>1000000000000</v>
      </c>
      <c r="CF347" s="182">
        <f ca="1">IF($D347&lt;&gt;"Serviço",0,IF(OR(AND(AUTOEVENTO="Manual",$M347=1),$M347&gt;(ROW(PLE.lastrow)-ROW(PLE.firstrow))),0,IF(OFFSET(PLE!$G$14,$M347,CF$13)="",10^12,OFFSET(PLE!$G$14,$M347,CF$13))))</f>
        <v>1000000000000</v>
      </c>
      <c r="CG347" s="182">
        <f ca="1">IF($D347&lt;&gt;"Serviço",0,IF(OR(AND(AUTOEVENTO="Manual",$M347=1),$M347&gt;(ROW(PLE.lastrow)-ROW(PLE.firstrow))),0,IF(OFFSET(PLE!$G$14,$M347,CG$13)="",10^12,OFFSET(PLE!$G$14,$M347,CG$13))))</f>
        <v>1000000000000</v>
      </c>
      <c r="CH347" s="182">
        <f ca="1">IF($D347&lt;&gt;"Serviço",0,IF(OR(AND(AUTOEVENTO="Manual",$M347=1),$M347&gt;(ROW(PLE.lastrow)-ROW(PLE.firstrow))),0,IF(OFFSET(PLE!$G$14,$M347,CH$13)="",10^12,OFFSET(PLE!$G$14,$M347,CH$13))))</f>
        <v>1000000000000</v>
      </c>
      <c r="CI347" s="182">
        <f ca="1">IF($D347&lt;&gt;"Serviço",0,IF(OR(AND(AUTOEVENTO="Manual",$M347=1),$M347&gt;(ROW(PLE.lastrow)-ROW(PLE.firstrow))),0,IF(OFFSET(PLE!$G$14,$M347,CI$13)="",10^12,OFFSET(PLE!$G$14,$M347,CI$13))))</f>
        <v>1000000000000</v>
      </c>
      <c r="CJ347" s="182">
        <f ca="1">IF($D347&lt;&gt;"Serviço",0,IF(OR(AND(AUTOEVENTO="Manual",$M347=1),$M347&gt;(ROW(PLE.lastrow)-ROW(PLE.firstrow))),0,IF(OFFSET(PLE!$G$14,$M347,CJ$13)="",10^12,OFFSET(PLE!$G$14,$M347,CJ$13))))</f>
        <v>1000000000000</v>
      </c>
      <c r="CK347" s="182">
        <f ca="1">IF($D347&lt;&gt;"Serviço",0,IF(OR(AND(AUTOEVENTO="Manual",$M347=1),$M347&gt;(ROW(PLE.lastrow)-ROW(PLE.firstrow))),0,IF(OFFSET(PLE!$G$14,$M347,CK$13)="",10^12,OFFSET(PLE!$G$14,$M347,CK$13))))</f>
        <v>1000000000000</v>
      </c>
      <c r="CL347" s="182">
        <f ca="1">IF($D347&lt;&gt;"Serviço",0,IF(OR(AND(AUTOEVENTO="Manual",$M347=1),$M347&gt;(ROW(PLE.lastrow)-ROW(PLE.firstrow))),0,IF(OFFSET(PLE!$G$14,$M347,CL$13)="",10^12,OFFSET(PLE!$G$14,$M347,CL$13))))</f>
        <v>1000000000000</v>
      </c>
      <c r="CM347" s="182">
        <f ca="1">IF($D347&lt;&gt;"Serviço",0,IF(OR(AND(AUTOEVENTO="Manual",$M347=1),$M347&gt;(ROW(PLE.lastrow)-ROW(PLE.firstrow))),0,IF(OFFSET(PLE!$G$14,$M347,CM$13)="",10^12,OFFSET(PLE!$G$14,$M347,CM$13))))</f>
        <v>1000000000000</v>
      </c>
    </row>
    <row r="348" spans="1:91" ht="38.25" x14ac:dyDescent="0.2">
      <c r="A348" s="7" t="str">
        <f t="shared" ca="1" si="12"/>
        <v>304</v>
      </c>
      <c r="B348" s="7" t="str">
        <f ca="1">OFFSET(ORÇAMENTO!C$15,ROW(B348)-ROW(B$15),0)</f>
        <v>S</v>
      </c>
      <c r="C348" s="7" t="str">
        <f ca="1">OFFSET(ORÇAMENTO!L$15,ROW(C348)-ROW(C$15),0)</f>
        <v/>
      </c>
      <c r="D348" s="118" t="str">
        <f ca="1">OFFSET(ORÇAMENTO!N$15,ROW(D348)-ROW(D$15),0)</f>
        <v>Serviço</v>
      </c>
      <c r="E348" s="119" t="str">
        <f ca="1">OFFSET(ORÇAMENTO!O$15,ROW(E348)-ROW(E$15),0)</f>
        <v>-</v>
      </c>
      <c r="F348" s="172" t="str">
        <f ca="1">OFFSET(ORÇAMENTO!R$15,ROW(F348)-ROW(F$15),0)</f>
        <v>(abra o arquivo 'Referência 06-2024.xlsm)</v>
      </c>
      <c r="G348" s="173" t="str">
        <f ca="1">IF($D348&lt;&gt;"Serviço","",OFFSET(ORÇAMENTO!S$15,ROW(G348)-ROW(G$15),0))</f>
        <v>-</v>
      </c>
      <c r="H348" s="124">
        <f ca="1">IF($D348&lt;&gt;"Serviço",0,IF(ACOMPANHAMENTO="BM",ROUND(OFFSET(ORÇAMENTO!AJ$15,ROW(H348)-ROW(H$15),0),15-13*ORÇAMENTO!$AF$7),SUMPRODUCT(($Q$12:$AI$12&lt;&gt;"")*ROUND($Q348:$AI348,15-13*ORÇAMENTO!$AF$7))))</f>
        <v>28</v>
      </c>
      <c r="I348" s="561" t="s">
        <v>1107</v>
      </c>
      <c r="K348" s="174"/>
      <c r="L348" s="175" t="s">
        <v>255</v>
      </c>
      <c r="M348" s="176">
        <f ca="1">IF($D348&lt;&gt;"Serviço","",IF(AUTOEVENTO="manual",$A348,IF(ISERROR(MATCH($A348,$A$15:OFFSET($A348,-1,0),0)),MAX($M$15:OFFSET(M348,-1,0))+1,INDEX($M$15:OFFSET(M348,-1,0),MATCH($A348,$A$15:OFFSET($A348,-1,0),0)))))</f>
        <v>41</v>
      </c>
      <c r="N348" s="177" t="str">
        <f ca="1">IF($D348&lt;&gt;"Serviço","",IF(AUTOEVENTO="Manual",IF($A348=0,"&lt;-- defina o número do agrupador",OFFSET(EVENTOS!$D$14,$A348,0)),OFFSET($F$15,$A348,0)))</f>
        <v>INSTALAÇÃO SANITÁRIA - TUBULAÇÕES E CONEXÕES</v>
      </c>
      <c r="O348" s="178"/>
      <c r="Q348" s="178">
        <v>28</v>
      </c>
      <c r="R348" s="179"/>
      <c r="S348" s="179"/>
      <c r="T348" s="179"/>
      <c r="U348" s="179"/>
      <c r="V348" s="179"/>
      <c r="W348" s="179"/>
      <c r="X348" s="179"/>
      <c r="Y348" s="179"/>
      <c r="Z348" s="180"/>
      <c r="AA348" s="179"/>
      <c r="AB348" s="179"/>
      <c r="AC348" s="179"/>
      <c r="AD348" s="179"/>
      <c r="AE348" s="179"/>
      <c r="AF348" s="179"/>
      <c r="AG348" s="179"/>
      <c r="AH348" s="180"/>
      <c r="AJ348" s="544">
        <f ca="1">IF(AND($D348="Serviço",AJ$12&lt;&gt;0,$H348&gt;0,OR(AUTOEVENTO&lt;&gt;"manual",$M348&lt;&gt;1)),
IF(Import.TipoArredondamento&lt;&gt;"TransfereGOV",
ROUND(OFFSET($P348,0,AJ$13),15-13*ORÇAMENTO!$AF$7)/$H348*OFFSET(ORÇAMENTO!$X$15,ROW(AJ348)-ROW(AJ$15),0),
ROUND(ROUND(OFFSET($P348,0,AJ$13),15-13*ORÇAMENTO!$AF$7)*OFFSET(ORÇAMENTO!$W$15,ROW(AJ348)-ROW(AJ$15),0),15-13*ORÇAMENTO!$AF$11)),0)</f>
        <v>0</v>
      </c>
      <c r="AK348" s="545">
        <f ca="1">IF(AND($D348="Serviço",AK$12&lt;&gt;0,$H348&gt;0,OR(AUTOEVENTO&lt;&gt;"manual",$M348&lt;&gt;1)),
IF(Import.TipoArredondamento&lt;&gt;"TransfereGOV",
ROUND(OFFSET($P348,0,AK$13),15-13*ORÇAMENTO!$AF$7)/$H348*OFFSET(ORÇAMENTO!$X$15,ROW(AK348)-ROW(AK$15),0),
ROUND(ROUND(OFFSET($P348,0,AK$13),15-13*ORÇAMENTO!$AF$7)*OFFSET(ORÇAMENTO!$W$15,ROW(AK348)-ROW(AK$15),0),15-13*ORÇAMENTO!$AF$11)),0)</f>
        <v>0</v>
      </c>
      <c r="AL348" s="545">
        <f ca="1">IF(AND($D348="Serviço",AL$12&lt;&gt;0,$H348&gt;0,OR(AUTOEVENTO&lt;&gt;"manual",$M348&lt;&gt;1)),
IF(Import.TipoArredondamento&lt;&gt;"TransfereGOV",
ROUND(OFFSET($P348,0,AL$13),15-13*ORÇAMENTO!$AF$7)/$H348*OFFSET(ORÇAMENTO!$X$15,ROW(AL348)-ROW(AL$15),0),
ROUND(ROUND(OFFSET($P348,0,AL$13),15-13*ORÇAMENTO!$AF$7)*OFFSET(ORÇAMENTO!$W$15,ROW(AL348)-ROW(AL$15),0),15-13*ORÇAMENTO!$AF$11)),0)</f>
        <v>0</v>
      </c>
      <c r="AM348" s="545">
        <f ca="1">IF(AND($D348="Serviço",AM$12&lt;&gt;0,$H348&gt;0,OR(AUTOEVENTO&lt;&gt;"manual",$M348&lt;&gt;1)),
IF(Import.TipoArredondamento&lt;&gt;"TransfereGOV",
ROUND(OFFSET($P348,0,AM$13),15-13*ORÇAMENTO!$AF$7)/$H348*OFFSET(ORÇAMENTO!$X$15,ROW(AM348)-ROW(AM$15),0),
ROUND(ROUND(OFFSET($P348,0,AM$13),15-13*ORÇAMENTO!$AF$7)*OFFSET(ORÇAMENTO!$W$15,ROW(AM348)-ROW(AM$15),0),15-13*ORÇAMENTO!$AF$11)),0)</f>
        <v>0</v>
      </c>
      <c r="AN348" s="545">
        <f ca="1">IF(AND($D348="Serviço",AN$12&lt;&gt;0,$H348&gt;0,OR(AUTOEVENTO&lt;&gt;"manual",$M348&lt;&gt;1)),
IF(Import.TipoArredondamento&lt;&gt;"TransfereGOV",
ROUND(OFFSET($P348,0,AN$13),15-13*ORÇAMENTO!$AF$7)/$H348*OFFSET(ORÇAMENTO!$X$15,ROW(AN348)-ROW(AN$15),0),
ROUND(ROUND(OFFSET($P348,0,AN$13),15-13*ORÇAMENTO!$AF$7)*OFFSET(ORÇAMENTO!$W$15,ROW(AN348)-ROW(AN$15),0),15-13*ORÇAMENTO!$AF$11)),0)</f>
        <v>0</v>
      </c>
      <c r="AO348" s="545">
        <f ca="1">IF(AND($D348="Serviço",AO$12&lt;&gt;0,$H348&gt;0,OR(AUTOEVENTO&lt;&gt;"manual",$M348&lt;&gt;1)),
IF(Import.TipoArredondamento&lt;&gt;"TransfereGOV",
ROUND(OFFSET($P348,0,AO$13),15-13*ORÇAMENTO!$AF$7)/$H348*OFFSET(ORÇAMENTO!$X$15,ROW(AO348)-ROW(AO$15),0),
ROUND(ROUND(OFFSET($P348,0,AO$13),15-13*ORÇAMENTO!$AF$7)*OFFSET(ORÇAMENTO!$W$15,ROW(AO348)-ROW(AO$15),0),15-13*ORÇAMENTO!$AF$11)),0)</f>
        <v>0</v>
      </c>
      <c r="AP348" s="545">
        <f ca="1">IF(AND($D348="Serviço",AP$12&lt;&gt;0,$H348&gt;0,OR(AUTOEVENTO&lt;&gt;"manual",$M348&lt;&gt;1)),
IF(Import.TipoArredondamento&lt;&gt;"TransfereGOV",
ROUND(OFFSET($P348,0,AP$13),15-13*ORÇAMENTO!$AF$7)/$H348*OFFSET(ORÇAMENTO!$X$15,ROW(AP348)-ROW(AP$15),0),
ROUND(ROUND(OFFSET($P348,0,AP$13),15-13*ORÇAMENTO!$AF$7)*OFFSET(ORÇAMENTO!$W$15,ROW(AP348)-ROW(AP$15),0),15-13*ORÇAMENTO!$AF$11)),0)</f>
        <v>0</v>
      </c>
      <c r="AQ348" s="545">
        <f ca="1">IF(AND($D348="Serviço",AQ$12&lt;&gt;0,$H348&gt;0,OR(AUTOEVENTO&lt;&gt;"manual",$M348&lt;&gt;1)),
IF(Import.TipoArredondamento&lt;&gt;"TransfereGOV",
ROUND(OFFSET($P348,0,AQ$13),15-13*ORÇAMENTO!$AF$7)/$H348*OFFSET(ORÇAMENTO!$X$15,ROW(AQ348)-ROW(AQ$15),0),
ROUND(ROUND(OFFSET($P348,0,AQ$13),15-13*ORÇAMENTO!$AF$7)*OFFSET(ORÇAMENTO!$W$15,ROW(AQ348)-ROW(AQ$15),0),15-13*ORÇAMENTO!$AF$11)),0)</f>
        <v>0</v>
      </c>
      <c r="AR348" s="545">
        <f ca="1">IF(AND($D348="Serviço",AR$12&lt;&gt;0,$H348&gt;0,OR(AUTOEVENTO&lt;&gt;"manual",$M348&lt;&gt;1)),
IF(Import.TipoArredondamento&lt;&gt;"TransfereGOV",
ROUND(OFFSET($P348,0,AR$13),15-13*ORÇAMENTO!$AF$7)/$H348*OFFSET(ORÇAMENTO!$X$15,ROW(AR348)-ROW(AR$15),0),
ROUND(ROUND(OFFSET($P348,0,AR$13),15-13*ORÇAMENTO!$AF$7)*OFFSET(ORÇAMENTO!$W$15,ROW(AR348)-ROW(AR$15),0),15-13*ORÇAMENTO!$AF$11)),0)</f>
        <v>0</v>
      </c>
      <c r="AS348" s="546">
        <f ca="1">IF(AND($D348="Serviço",AS$12&lt;&gt;0,$H348&gt;0,OR(AUTOEVENTO&lt;&gt;"manual",$M348&lt;&gt;1)),
IF(Import.TipoArredondamento&lt;&gt;"TransfereGOV",
ROUND(OFFSET($P348,0,AS$13),15-13*ORÇAMENTO!$AF$7)/$H348*OFFSET(ORÇAMENTO!$X$15,ROW(AS348)-ROW(AS$15),0),
ROUND(ROUND(OFFSET($P348,0,AS$13),15-13*ORÇAMENTO!$AF$7)*OFFSET(ORÇAMENTO!$W$15,ROW(AS348)-ROW(AS$15),0),15-13*ORÇAMENTO!$AF$11)),0)</f>
        <v>0</v>
      </c>
      <c r="AT348" s="545">
        <f ca="1">IF(AND($D348="Serviço",AT$12&lt;&gt;0,$H348&gt;0,OR(AUTOEVENTO&lt;&gt;"manual",$M348&lt;&gt;1)),
IF(Import.TipoArredondamento&lt;&gt;"TransfereGOV",
ROUND(OFFSET($P348,0,AT$13),15-13*ORÇAMENTO!$AF$7)/$H348*OFFSET(ORÇAMENTO!$X$15,ROW(AT348)-ROW(AT$15),0),
ROUND(ROUND(OFFSET($P348,0,AT$13),15-13*ORÇAMENTO!$AF$7)*OFFSET(ORÇAMENTO!$W$15,ROW(AT348)-ROW(AT$15),0),15-13*ORÇAMENTO!$AF$11)),0)</f>
        <v>0</v>
      </c>
      <c r="AU348" s="545">
        <f ca="1">IF(AND($D348="Serviço",AU$12&lt;&gt;0,$H348&gt;0,OR(AUTOEVENTO&lt;&gt;"manual",$M348&lt;&gt;1)),
IF(Import.TipoArredondamento&lt;&gt;"TransfereGOV",
ROUND(OFFSET($P348,0,AU$13),15-13*ORÇAMENTO!$AF$7)/$H348*OFFSET(ORÇAMENTO!$X$15,ROW(AU348)-ROW(AU$15),0),
ROUND(ROUND(OFFSET($P348,0,AU$13),15-13*ORÇAMENTO!$AF$7)*OFFSET(ORÇAMENTO!$W$15,ROW(AU348)-ROW(AU$15),0),15-13*ORÇAMENTO!$AF$11)),0)</f>
        <v>0</v>
      </c>
      <c r="AV348" s="545">
        <f ca="1">IF(AND($D348="Serviço",AV$12&lt;&gt;0,$H348&gt;0,OR(AUTOEVENTO&lt;&gt;"manual",$M348&lt;&gt;1)),
IF(Import.TipoArredondamento&lt;&gt;"TransfereGOV",
ROUND(OFFSET($P348,0,AV$13),15-13*ORÇAMENTO!$AF$7)/$H348*OFFSET(ORÇAMENTO!$X$15,ROW(AV348)-ROW(AV$15),0),
ROUND(ROUND(OFFSET($P348,0,AV$13),15-13*ORÇAMENTO!$AF$7)*OFFSET(ORÇAMENTO!$W$15,ROW(AV348)-ROW(AV$15),0),15-13*ORÇAMENTO!$AF$11)),0)</f>
        <v>0</v>
      </c>
      <c r="AW348" s="545">
        <f ca="1">IF(AND($D348="Serviço",AW$12&lt;&gt;0,$H348&gt;0,OR(AUTOEVENTO&lt;&gt;"manual",$M348&lt;&gt;1)),
IF(Import.TipoArredondamento&lt;&gt;"TransfereGOV",
ROUND(OFFSET($P348,0,AW$13),15-13*ORÇAMENTO!$AF$7)/$H348*OFFSET(ORÇAMENTO!$X$15,ROW(AW348)-ROW(AW$15),0),
ROUND(ROUND(OFFSET($P348,0,AW$13),15-13*ORÇAMENTO!$AF$7)*OFFSET(ORÇAMENTO!$W$15,ROW(AW348)-ROW(AW$15),0),15-13*ORÇAMENTO!$AF$11)),0)</f>
        <v>0</v>
      </c>
      <c r="AX348" s="545">
        <f ca="1">IF(AND($D348="Serviço",AX$12&lt;&gt;0,$H348&gt;0,OR(AUTOEVENTO&lt;&gt;"manual",$M348&lt;&gt;1)),
IF(Import.TipoArredondamento&lt;&gt;"TransfereGOV",
ROUND(OFFSET($P348,0,AX$13),15-13*ORÇAMENTO!$AF$7)/$H348*OFFSET(ORÇAMENTO!$X$15,ROW(AX348)-ROW(AX$15),0),
ROUND(ROUND(OFFSET($P348,0,AX$13),15-13*ORÇAMENTO!$AF$7)*OFFSET(ORÇAMENTO!$W$15,ROW(AX348)-ROW(AX$15),0),15-13*ORÇAMENTO!$AF$11)),0)</f>
        <v>0</v>
      </c>
      <c r="AY348" s="545">
        <f ca="1">IF(AND($D348="Serviço",AY$12&lt;&gt;0,$H348&gt;0,OR(AUTOEVENTO&lt;&gt;"manual",$M348&lt;&gt;1)),
IF(Import.TipoArredondamento&lt;&gt;"TransfereGOV",
ROUND(OFFSET($P348,0,AY$13),15-13*ORÇAMENTO!$AF$7)/$H348*OFFSET(ORÇAMENTO!$X$15,ROW(AY348)-ROW(AY$15),0),
ROUND(ROUND(OFFSET($P348,0,AY$13),15-13*ORÇAMENTO!$AF$7)*OFFSET(ORÇAMENTO!$W$15,ROW(AY348)-ROW(AY$15),0),15-13*ORÇAMENTO!$AF$11)),0)</f>
        <v>0</v>
      </c>
      <c r="AZ348" s="545">
        <f ca="1">IF(AND($D348="Serviço",AZ$12&lt;&gt;0,$H348&gt;0,OR(AUTOEVENTO&lt;&gt;"manual",$M348&lt;&gt;1)),
IF(Import.TipoArredondamento&lt;&gt;"TransfereGOV",
ROUND(OFFSET($P348,0,AZ$13),15-13*ORÇAMENTO!$AF$7)/$H348*OFFSET(ORÇAMENTO!$X$15,ROW(AZ348)-ROW(AZ$15),0),
ROUND(ROUND(OFFSET($P348,0,AZ$13),15-13*ORÇAMENTO!$AF$7)*OFFSET(ORÇAMENTO!$W$15,ROW(AZ348)-ROW(AZ$15),0),15-13*ORÇAMENTO!$AF$11)),0)</f>
        <v>0</v>
      </c>
      <c r="BA348" s="546">
        <f ca="1">IF(AND($D348="Serviço",BA$12&lt;&gt;0,$H348&gt;0,OR(AUTOEVENTO&lt;&gt;"manual",$M348&lt;&gt;1)),
IF(Import.TipoArredondamento&lt;&gt;"TransfereGOV",
ROUND(OFFSET($P348,0,BA$13),15-13*ORÇAMENTO!$AF$7)/$H348*OFFSET(ORÇAMENTO!$X$15,ROW(BA348)-ROW(BA$15),0),
ROUND(ROUND(OFFSET($P348,0,BA$13),15-13*ORÇAMENTO!$AF$7)*OFFSET(ORÇAMENTO!$W$15,ROW(BA348)-ROW(BA$15),0),15-13*ORÇAMENTO!$AF$11)),0)</f>
        <v>0</v>
      </c>
      <c r="BC348" s="181">
        <f ca="1">IF($D348&lt;&gt;"Serviço",0,IF(AND(AUTOEVENTO="Manual",$M348=1),0,IF(OFFSET(CRONOPLE!$F$14,$M348,BC$13)="",10^12,OFFSET(CRONOPLE!$F$14,$M348,BC$13))))</f>
        <v>9</v>
      </c>
      <c r="BD348" s="181">
        <f ca="1">IF($D348&lt;&gt;"Serviço",0,IF(AND(AUTOEVENTO="Manual",$M348=1),0,IF(OFFSET(CRONOPLE!$F$14,$M348,BD$13)="",10^12,OFFSET(CRONOPLE!$F$14,$M348,BD$13))))</f>
        <v>1000000000000</v>
      </c>
      <c r="BE348" s="181">
        <f ca="1">IF($D348&lt;&gt;"Serviço",0,IF(AND(AUTOEVENTO="Manual",$M348=1),0,IF(OFFSET(CRONOPLE!$F$14,$M348,BE$13)="",10^12,OFFSET(CRONOPLE!$F$14,$M348,BE$13))))</f>
        <v>1000000000000</v>
      </c>
      <c r="BF348" s="181">
        <f ca="1">IF($D348&lt;&gt;"Serviço",0,IF(AND(AUTOEVENTO="Manual",$M348=1),0,IF(OFFSET(CRONOPLE!$F$14,$M348,BF$13)="",10^12,OFFSET(CRONOPLE!$F$14,$M348,BF$13))))</f>
        <v>1000000000000</v>
      </c>
      <c r="BG348" s="181">
        <f ca="1">IF($D348&lt;&gt;"Serviço",0,IF(AND(AUTOEVENTO="Manual",$M348=1),0,IF(OFFSET(CRONOPLE!$F$14,$M348,BG$13)="",10^12,OFFSET(CRONOPLE!$F$14,$M348,BG$13))))</f>
        <v>1000000000000</v>
      </c>
      <c r="BH348" s="181">
        <f ca="1">IF($D348&lt;&gt;"Serviço",0,IF(AND(AUTOEVENTO="Manual",$M348=1),0,IF(OFFSET(CRONOPLE!$F$14,$M348,BH$13)="",10^12,OFFSET(CRONOPLE!$F$14,$M348,BH$13))))</f>
        <v>1000000000000</v>
      </c>
      <c r="BI348" s="181">
        <f ca="1">IF($D348&lt;&gt;"Serviço",0,IF(AND(AUTOEVENTO="Manual",$M348=1),0,IF(OFFSET(CRONOPLE!$F$14,$M348,BI$13)="",10^12,OFFSET(CRONOPLE!$F$14,$M348,BI$13))))</f>
        <v>1000000000000</v>
      </c>
      <c r="BJ348" s="181">
        <f ca="1">IF($D348&lt;&gt;"Serviço",0,IF(AND(AUTOEVENTO="Manual",$M348=1),0,IF(OFFSET(CRONOPLE!$F$14,$M348,BJ$13)="",10^12,OFFSET(CRONOPLE!$F$14,$M348,BJ$13))))</f>
        <v>1000000000000</v>
      </c>
      <c r="BK348" s="181">
        <f ca="1">IF($D348&lt;&gt;"Serviço",0,IF(AND(AUTOEVENTO="Manual",$M348=1),0,IF(OFFSET(CRONOPLE!$F$14,$M348,BK$13)="",10^12,OFFSET(CRONOPLE!$F$14,$M348,BK$13))))</f>
        <v>1000000000000</v>
      </c>
      <c r="BL348" s="181">
        <f ca="1">IF($D348&lt;&gt;"Serviço",0,IF(AND(AUTOEVENTO="Manual",$M348=1),0,IF(OFFSET(CRONOPLE!$F$14,$M348,BL$13)="",10^12,OFFSET(CRONOPLE!$F$14,$M348,BL$13))))</f>
        <v>1000000000000</v>
      </c>
      <c r="BM348" s="181">
        <f ca="1">IF($D348&lt;&gt;"Serviço",0,IF(AND(AUTOEVENTO="Manual",$M348=1),0,IF(OFFSET(CRONOPLE!$F$14,$M348,BM$13)="",10^12,OFFSET(CRONOPLE!$F$14,$M348,BM$13))))</f>
        <v>1000000000000</v>
      </c>
      <c r="BN348" s="181">
        <f ca="1">IF($D348&lt;&gt;"Serviço",0,IF(AND(AUTOEVENTO="Manual",$M348=1),0,IF(OFFSET(CRONOPLE!$F$14,$M348,BN$13)="",10^12,OFFSET(CRONOPLE!$F$14,$M348,BN$13))))</f>
        <v>1000000000000</v>
      </c>
      <c r="BO348" s="181">
        <f ca="1">IF($D348&lt;&gt;"Serviço",0,IF(AND(AUTOEVENTO="Manual",$M348=1),0,IF(OFFSET(CRONOPLE!$F$14,$M348,BO$13)="",10^12,OFFSET(CRONOPLE!$F$14,$M348,BO$13))))</f>
        <v>1000000000000</v>
      </c>
      <c r="BP348" s="181">
        <f ca="1">IF($D348&lt;&gt;"Serviço",0,IF(AND(AUTOEVENTO="Manual",$M348=1),0,IF(OFFSET(CRONOPLE!$F$14,$M348,BP$13)="",10^12,OFFSET(CRONOPLE!$F$14,$M348,BP$13))))</f>
        <v>1000000000000</v>
      </c>
      <c r="BQ348" s="181">
        <f ca="1">IF($D348&lt;&gt;"Serviço",0,IF(AND(AUTOEVENTO="Manual",$M348=1),0,IF(OFFSET(CRONOPLE!$F$14,$M348,BQ$13)="",10^12,OFFSET(CRONOPLE!$F$14,$M348,BQ$13))))</f>
        <v>1000000000000</v>
      </c>
      <c r="BR348" s="181">
        <f ca="1">IF($D348&lt;&gt;"Serviço",0,IF(AND(AUTOEVENTO="Manual",$M348=1),0,IF(OFFSET(CRONOPLE!$F$14,$M348,BR$13)="",10^12,OFFSET(CRONOPLE!$F$14,$M348,BR$13))))</f>
        <v>1000000000000</v>
      </c>
      <c r="BS348" s="181">
        <f ca="1">IF($D348&lt;&gt;"Serviço",0,IF(AND(AUTOEVENTO="Manual",$M348=1),0,IF(OFFSET(CRONOPLE!$F$14,$M348,BS$13)="",10^12,OFFSET(CRONOPLE!$F$14,$M348,BS$13))))</f>
        <v>1000000000000</v>
      </c>
      <c r="BT348" s="181">
        <f ca="1">IF($D348&lt;&gt;"Serviço",0,IF(AND(AUTOEVENTO="Manual",$M348=1),0,IF(OFFSET(CRONOPLE!$F$14,$M348,BT$13)="",10^12,OFFSET(CRONOPLE!$F$14,$M348,BT$13))))</f>
        <v>1000000000000</v>
      </c>
      <c r="BV348" s="182">
        <f ca="1">IF($D348&lt;&gt;"Serviço",0,IF(OR(AND(AUTOEVENTO="Manual",$M348=1),$M348&gt;(ROW(PLE.lastrow)-ROW(PLE.firstrow))),0,IF(OFFSET(PLE!$G$14,$M348,BV$13)="",10^12,OFFSET(PLE!$G$14,$M348,BV$13))))</f>
        <v>1000000000000</v>
      </c>
      <c r="BW348" s="182">
        <f ca="1">IF($D348&lt;&gt;"Serviço",0,IF(OR(AND(AUTOEVENTO="Manual",$M348=1),$M348&gt;(ROW(PLE.lastrow)-ROW(PLE.firstrow))),0,IF(OFFSET(PLE!$G$14,$M348,BW$13)="",10^12,OFFSET(PLE!$G$14,$M348,BW$13))))</f>
        <v>1000000000000</v>
      </c>
      <c r="BX348" s="182">
        <f ca="1">IF($D348&lt;&gt;"Serviço",0,IF(OR(AND(AUTOEVENTO="Manual",$M348=1),$M348&gt;(ROW(PLE.lastrow)-ROW(PLE.firstrow))),0,IF(OFFSET(PLE!$G$14,$M348,BX$13)="",10^12,OFFSET(PLE!$G$14,$M348,BX$13))))</f>
        <v>1000000000000</v>
      </c>
      <c r="BY348" s="182">
        <f ca="1">IF($D348&lt;&gt;"Serviço",0,IF(OR(AND(AUTOEVENTO="Manual",$M348=1),$M348&gt;(ROW(PLE.lastrow)-ROW(PLE.firstrow))),0,IF(OFFSET(PLE!$G$14,$M348,BY$13)="",10^12,OFFSET(PLE!$G$14,$M348,BY$13))))</f>
        <v>1000000000000</v>
      </c>
      <c r="BZ348" s="182">
        <f ca="1">IF($D348&lt;&gt;"Serviço",0,IF(OR(AND(AUTOEVENTO="Manual",$M348=1),$M348&gt;(ROW(PLE.lastrow)-ROW(PLE.firstrow))),0,IF(OFFSET(PLE!$G$14,$M348,BZ$13)="",10^12,OFFSET(PLE!$G$14,$M348,BZ$13))))</f>
        <v>1000000000000</v>
      </c>
      <c r="CA348" s="182">
        <f ca="1">IF($D348&lt;&gt;"Serviço",0,IF(OR(AND(AUTOEVENTO="Manual",$M348=1),$M348&gt;(ROW(PLE.lastrow)-ROW(PLE.firstrow))),0,IF(OFFSET(PLE!$G$14,$M348,CA$13)="",10^12,OFFSET(PLE!$G$14,$M348,CA$13))))</f>
        <v>1000000000000</v>
      </c>
      <c r="CB348" s="182">
        <f ca="1">IF($D348&lt;&gt;"Serviço",0,IF(OR(AND(AUTOEVENTO="Manual",$M348=1),$M348&gt;(ROW(PLE.lastrow)-ROW(PLE.firstrow))),0,IF(OFFSET(PLE!$G$14,$M348,CB$13)="",10^12,OFFSET(PLE!$G$14,$M348,CB$13))))</f>
        <v>1000000000000</v>
      </c>
      <c r="CC348" s="182">
        <f ca="1">IF($D348&lt;&gt;"Serviço",0,IF(OR(AND(AUTOEVENTO="Manual",$M348=1),$M348&gt;(ROW(PLE.lastrow)-ROW(PLE.firstrow))),0,IF(OFFSET(PLE!$G$14,$M348,CC$13)="",10^12,OFFSET(PLE!$G$14,$M348,CC$13))))</f>
        <v>1000000000000</v>
      </c>
      <c r="CD348" s="182">
        <f ca="1">IF($D348&lt;&gt;"Serviço",0,IF(OR(AND(AUTOEVENTO="Manual",$M348=1),$M348&gt;(ROW(PLE.lastrow)-ROW(PLE.firstrow))),0,IF(OFFSET(PLE!$G$14,$M348,CD$13)="",10^12,OFFSET(PLE!$G$14,$M348,CD$13))))</f>
        <v>1000000000000</v>
      </c>
      <c r="CE348" s="182">
        <f ca="1">IF($D348&lt;&gt;"Serviço",0,IF(OR(AND(AUTOEVENTO="Manual",$M348=1),$M348&gt;(ROW(PLE.lastrow)-ROW(PLE.firstrow))),0,IF(OFFSET(PLE!$G$14,$M348,CE$13)="",10^12,OFFSET(PLE!$G$14,$M348,CE$13))))</f>
        <v>1000000000000</v>
      </c>
      <c r="CF348" s="182">
        <f ca="1">IF($D348&lt;&gt;"Serviço",0,IF(OR(AND(AUTOEVENTO="Manual",$M348=1),$M348&gt;(ROW(PLE.lastrow)-ROW(PLE.firstrow))),0,IF(OFFSET(PLE!$G$14,$M348,CF$13)="",10^12,OFFSET(PLE!$G$14,$M348,CF$13))))</f>
        <v>1000000000000</v>
      </c>
      <c r="CG348" s="182">
        <f ca="1">IF($D348&lt;&gt;"Serviço",0,IF(OR(AND(AUTOEVENTO="Manual",$M348=1),$M348&gt;(ROW(PLE.lastrow)-ROW(PLE.firstrow))),0,IF(OFFSET(PLE!$G$14,$M348,CG$13)="",10^12,OFFSET(PLE!$G$14,$M348,CG$13))))</f>
        <v>1000000000000</v>
      </c>
      <c r="CH348" s="182">
        <f ca="1">IF($D348&lt;&gt;"Serviço",0,IF(OR(AND(AUTOEVENTO="Manual",$M348=1),$M348&gt;(ROW(PLE.lastrow)-ROW(PLE.firstrow))),0,IF(OFFSET(PLE!$G$14,$M348,CH$13)="",10^12,OFFSET(PLE!$G$14,$M348,CH$13))))</f>
        <v>1000000000000</v>
      </c>
      <c r="CI348" s="182">
        <f ca="1">IF($D348&lt;&gt;"Serviço",0,IF(OR(AND(AUTOEVENTO="Manual",$M348=1),$M348&gt;(ROW(PLE.lastrow)-ROW(PLE.firstrow))),0,IF(OFFSET(PLE!$G$14,$M348,CI$13)="",10^12,OFFSET(PLE!$G$14,$M348,CI$13))))</f>
        <v>1000000000000</v>
      </c>
      <c r="CJ348" s="182">
        <f ca="1">IF($D348&lt;&gt;"Serviço",0,IF(OR(AND(AUTOEVENTO="Manual",$M348=1),$M348&gt;(ROW(PLE.lastrow)-ROW(PLE.firstrow))),0,IF(OFFSET(PLE!$G$14,$M348,CJ$13)="",10^12,OFFSET(PLE!$G$14,$M348,CJ$13))))</f>
        <v>1000000000000</v>
      </c>
      <c r="CK348" s="182">
        <f ca="1">IF($D348&lt;&gt;"Serviço",0,IF(OR(AND(AUTOEVENTO="Manual",$M348=1),$M348&gt;(ROW(PLE.lastrow)-ROW(PLE.firstrow))),0,IF(OFFSET(PLE!$G$14,$M348,CK$13)="",10^12,OFFSET(PLE!$G$14,$M348,CK$13))))</f>
        <v>1000000000000</v>
      </c>
      <c r="CL348" s="182">
        <f ca="1">IF($D348&lt;&gt;"Serviço",0,IF(OR(AND(AUTOEVENTO="Manual",$M348=1),$M348&gt;(ROW(PLE.lastrow)-ROW(PLE.firstrow))),0,IF(OFFSET(PLE!$G$14,$M348,CL$13)="",10^12,OFFSET(PLE!$G$14,$M348,CL$13))))</f>
        <v>1000000000000</v>
      </c>
      <c r="CM348" s="182">
        <f ca="1">IF($D348&lt;&gt;"Serviço",0,IF(OR(AND(AUTOEVENTO="Manual",$M348=1),$M348&gt;(ROW(PLE.lastrow)-ROW(PLE.firstrow))),0,IF(OFFSET(PLE!$G$14,$M348,CM$13)="",10^12,OFFSET(PLE!$G$14,$M348,CM$13))))</f>
        <v>1000000000000</v>
      </c>
    </row>
    <row r="349" spans="1:91" ht="12.75" x14ac:dyDescent="0.2">
      <c r="A349" s="7" t="str">
        <f t="shared" ca="1" si="12"/>
        <v>334.</v>
      </c>
      <c r="B349" s="7">
        <f ca="1">OFFSET(ORÇAMENTO!C$15,ROW(B349)-ROW(B$15),0)</f>
        <v>2</v>
      </c>
      <c r="C349" s="7" t="str">
        <f ca="1">OFFSET(ORÇAMENTO!L$15,ROW(C349)-ROW(C$15),0)</f>
        <v>F</v>
      </c>
      <c r="D349" s="118" t="str">
        <f ca="1">OFFSET(ORÇAMENTO!N$15,ROW(D349)-ROW(D$15),0)</f>
        <v>Nível 2</v>
      </c>
      <c r="E349" s="119" t="str">
        <f ca="1">OFFSET(ORÇAMENTO!O$15,ROW(E349)-ROW(E$15),0)</f>
        <v>1.41.</v>
      </c>
      <c r="F349" s="172" t="str">
        <f ca="1">OFFSET(ORÇAMENTO!R$15,ROW(F349)-ROW(F$15),0)</f>
        <v>INSTALAÇÃO SANITÁRIA - UNIDADE DE TRATAMENTO</v>
      </c>
      <c r="G349" s="173" t="str">
        <f ca="1">IF($D349&lt;&gt;"Serviço","",OFFSET(ORÇAMENTO!S$15,ROW(G349)-ROW(G$15),0))</f>
        <v/>
      </c>
      <c r="H349" s="124">
        <f ca="1">IF($D349&lt;&gt;"Serviço",0,IF(ACOMPANHAMENTO="BM",ROUND(OFFSET(ORÇAMENTO!AJ$15,ROW(H349)-ROW(H$15),0),15-13*ORÇAMENTO!$AF$7),SUMPRODUCT(($Q$12:$AI$12&lt;&gt;"")*ROUND($Q349:$AI349,15-13*ORÇAMENTO!$AF$7))))</f>
        <v>0</v>
      </c>
      <c r="I349" s="561"/>
      <c r="K349" s="174"/>
      <c r="L349" s="175" t="s">
        <v>255</v>
      </c>
      <c r="M349" s="176" t="str">
        <f ca="1">IF($D349&lt;&gt;"Serviço","",IF(AUTOEVENTO="manual",$A349,IF(ISERROR(MATCH($A349,$A$15:OFFSET($A349,-1,0),0)),MAX($M$15:OFFSET(M349,-1,0))+1,INDEX($M$15:OFFSET(M349,-1,0),MATCH($A349,$A$15:OFFSET($A349,-1,0),0)))))</f>
        <v/>
      </c>
      <c r="N349" s="177" t="str">
        <f ca="1">IF($D349&lt;&gt;"Serviço","",IF(AUTOEVENTO="Manual",IF($A349=0,"&lt;-- defina o número do agrupador",OFFSET(EVENTOS!$D$14,$A349,0)),OFFSET($F$15,$A349,0)))</f>
        <v/>
      </c>
      <c r="O349" s="178"/>
      <c r="Q349" s="178">
        <v>0</v>
      </c>
      <c r="R349" s="179"/>
      <c r="S349" s="179"/>
      <c r="T349" s="179"/>
      <c r="U349" s="179"/>
      <c r="V349" s="179"/>
      <c r="W349" s="179"/>
      <c r="X349" s="179"/>
      <c r="Y349" s="179"/>
      <c r="Z349" s="180"/>
      <c r="AA349" s="179"/>
      <c r="AB349" s="179"/>
      <c r="AC349" s="179"/>
      <c r="AD349" s="179"/>
      <c r="AE349" s="179"/>
      <c r="AF349" s="179"/>
      <c r="AG349" s="179"/>
      <c r="AH349" s="180"/>
      <c r="AJ349" s="544">
        <f ca="1">IF(AND($D349="Serviço",AJ$12&lt;&gt;0,$H349&gt;0,OR(AUTOEVENTO&lt;&gt;"manual",$M349&lt;&gt;1)),
IF(Import.TipoArredondamento&lt;&gt;"TransfereGOV",
ROUND(OFFSET($P349,0,AJ$13),15-13*ORÇAMENTO!$AF$7)/$H349*OFFSET(ORÇAMENTO!$X$15,ROW(AJ349)-ROW(AJ$15),0),
ROUND(ROUND(OFFSET($P349,0,AJ$13),15-13*ORÇAMENTO!$AF$7)*OFFSET(ORÇAMENTO!$W$15,ROW(AJ349)-ROW(AJ$15),0),15-13*ORÇAMENTO!$AF$11)),0)</f>
        <v>0</v>
      </c>
      <c r="AK349" s="545">
        <f ca="1">IF(AND($D349="Serviço",AK$12&lt;&gt;0,$H349&gt;0,OR(AUTOEVENTO&lt;&gt;"manual",$M349&lt;&gt;1)),
IF(Import.TipoArredondamento&lt;&gt;"TransfereGOV",
ROUND(OFFSET($P349,0,AK$13),15-13*ORÇAMENTO!$AF$7)/$H349*OFFSET(ORÇAMENTO!$X$15,ROW(AK349)-ROW(AK$15),0),
ROUND(ROUND(OFFSET($P349,0,AK$13),15-13*ORÇAMENTO!$AF$7)*OFFSET(ORÇAMENTO!$W$15,ROW(AK349)-ROW(AK$15),0),15-13*ORÇAMENTO!$AF$11)),0)</f>
        <v>0</v>
      </c>
      <c r="AL349" s="545">
        <f ca="1">IF(AND($D349="Serviço",AL$12&lt;&gt;0,$H349&gt;0,OR(AUTOEVENTO&lt;&gt;"manual",$M349&lt;&gt;1)),
IF(Import.TipoArredondamento&lt;&gt;"TransfereGOV",
ROUND(OFFSET($P349,0,AL$13),15-13*ORÇAMENTO!$AF$7)/$H349*OFFSET(ORÇAMENTO!$X$15,ROW(AL349)-ROW(AL$15),0),
ROUND(ROUND(OFFSET($P349,0,AL$13),15-13*ORÇAMENTO!$AF$7)*OFFSET(ORÇAMENTO!$W$15,ROW(AL349)-ROW(AL$15),0),15-13*ORÇAMENTO!$AF$11)),0)</f>
        <v>0</v>
      </c>
      <c r="AM349" s="545">
        <f ca="1">IF(AND($D349="Serviço",AM$12&lt;&gt;0,$H349&gt;0,OR(AUTOEVENTO&lt;&gt;"manual",$M349&lt;&gt;1)),
IF(Import.TipoArredondamento&lt;&gt;"TransfereGOV",
ROUND(OFFSET($P349,0,AM$13),15-13*ORÇAMENTO!$AF$7)/$H349*OFFSET(ORÇAMENTO!$X$15,ROW(AM349)-ROW(AM$15),0),
ROUND(ROUND(OFFSET($P349,0,AM$13),15-13*ORÇAMENTO!$AF$7)*OFFSET(ORÇAMENTO!$W$15,ROW(AM349)-ROW(AM$15),0),15-13*ORÇAMENTO!$AF$11)),0)</f>
        <v>0</v>
      </c>
      <c r="AN349" s="545">
        <f ca="1">IF(AND($D349="Serviço",AN$12&lt;&gt;0,$H349&gt;0,OR(AUTOEVENTO&lt;&gt;"manual",$M349&lt;&gt;1)),
IF(Import.TipoArredondamento&lt;&gt;"TransfereGOV",
ROUND(OFFSET($P349,0,AN$13),15-13*ORÇAMENTO!$AF$7)/$H349*OFFSET(ORÇAMENTO!$X$15,ROW(AN349)-ROW(AN$15),0),
ROUND(ROUND(OFFSET($P349,0,AN$13),15-13*ORÇAMENTO!$AF$7)*OFFSET(ORÇAMENTO!$W$15,ROW(AN349)-ROW(AN$15),0),15-13*ORÇAMENTO!$AF$11)),0)</f>
        <v>0</v>
      </c>
      <c r="AO349" s="545">
        <f ca="1">IF(AND($D349="Serviço",AO$12&lt;&gt;0,$H349&gt;0,OR(AUTOEVENTO&lt;&gt;"manual",$M349&lt;&gt;1)),
IF(Import.TipoArredondamento&lt;&gt;"TransfereGOV",
ROUND(OFFSET($P349,0,AO$13),15-13*ORÇAMENTO!$AF$7)/$H349*OFFSET(ORÇAMENTO!$X$15,ROW(AO349)-ROW(AO$15),0),
ROUND(ROUND(OFFSET($P349,0,AO$13),15-13*ORÇAMENTO!$AF$7)*OFFSET(ORÇAMENTO!$W$15,ROW(AO349)-ROW(AO$15),0),15-13*ORÇAMENTO!$AF$11)),0)</f>
        <v>0</v>
      </c>
      <c r="AP349" s="545">
        <f ca="1">IF(AND($D349="Serviço",AP$12&lt;&gt;0,$H349&gt;0,OR(AUTOEVENTO&lt;&gt;"manual",$M349&lt;&gt;1)),
IF(Import.TipoArredondamento&lt;&gt;"TransfereGOV",
ROUND(OFFSET($P349,0,AP$13),15-13*ORÇAMENTO!$AF$7)/$H349*OFFSET(ORÇAMENTO!$X$15,ROW(AP349)-ROW(AP$15),0),
ROUND(ROUND(OFFSET($P349,0,AP$13),15-13*ORÇAMENTO!$AF$7)*OFFSET(ORÇAMENTO!$W$15,ROW(AP349)-ROW(AP$15),0),15-13*ORÇAMENTO!$AF$11)),0)</f>
        <v>0</v>
      </c>
      <c r="AQ349" s="545">
        <f ca="1">IF(AND($D349="Serviço",AQ$12&lt;&gt;0,$H349&gt;0,OR(AUTOEVENTO&lt;&gt;"manual",$M349&lt;&gt;1)),
IF(Import.TipoArredondamento&lt;&gt;"TransfereGOV",
ROUND(OFFSET($P349,0,AQ$13),15-13*ORÇAMENTO!$AF$7)/$H349*OFFSET(ORÇAMENTO!$X$15,ROW(AQ349)-ROW(AQ$15),0),
ROUND(ROUND(OFFSET($P349,0,AQ$13),15-13*ORÇAMENTO!$AF$7)*OFFSET(ORÇAMENTO!$W$15,ROW(AQ349)-ROW(AQ$15),0),15-13*ORÇAMENTO!$AF$11)),0)</f>
        <v>0</v>
      </c>
      <c r="AR349" s="545">
        <f ca="1">IF(AND($D349="Serviço",AR$12&lt;&gt;0,$H349&gt;0,OR(AUTOEVENTO&lt;&gt;"manual",$M349&lt;&gt;1)),
IF(Import.TipoArredondamento&lt;&gt;"TransfereGOV",
ROUND(OFFSET($P349,0,AR$13),15-13*ORÇAMENTO!$AF$7)/$H349*OFFSET(ORÇAMENTO!$X$15,ROW(AR349)-ROW(AR$15),0),
ROUND(ROUND(OFFSET($P349,0,AR$13),15-13*ORÇAMENTO!$AF$7)*OFFSET(ORÇAMENTO!$W$15,ROW(AR349)-ROW(AR$15),0),15-13*ORÇAMENTO!$AF$11)),0)</f>
        <v>0</v>
      </c>
      <c r="AS349" s="546">
        <f ca="1">IF(AND($D349="Serviço",AS$12&lt;&gt;0,$H349&gt;0,OR(AUTOEVENTO&lt;&gt;"manual",$M349&lt;&gt;1)),
IF(Import.TipoArredondamento&lt;&gt;"TransfereGOV",
ROUND(OFFSET($P349,0,AS$13),15-13*ORÇAMENTO!$AF$7)/$H349*OFFSET(ORÇAMENTO!$X$15,ROW(AS349)-ROW(AS$15),0),
ROUND(ROUND(OFFSET($P349,0,AS$13),15-13*ORÇAMENTO!$AF$7)*OFFSET(ORÇAMENTO!$W$15,ROW(AS349)-ROW(AS$15),0),15-13*ORÇAMENTO!$AF$11)),0)</f>
        <v>0</v>
      </c>
      <c r="AT349" s="545">
        <f ca="1">IF(AND($D349="Serviço",AT$12&lt;&gt;0,$H349&gt;0,OR(AUTOEVENTO&lt;&gt;"manual",$M349&lt;&gt;1)),
IF(Import.TipoArredondamento&lt;&gt;"TransfereGOV",
ROUND(OFFSET($P349,0,AT$13),15-13*ORÇAMENTO!$AF$7)/$H349*OFFSET(ORÇAMENTO!$X$15,ROW(AT349)-ROW(AT$15),0),
ROUND(ROUND(OFFSET($P349,0,AT$13),15-13*ORÇAMENTO!$AF$7)*OFFSET(ORÇAMENTO!$W$15,ROW(AT349)-ROW(AT$15),0),15-13*ORÇAMENTO!$AF$11)),0)</f>
        <v>0</v>
      </c>
      <c r="AU349" s="545">
        <f ca="1">IF(AND($D349="Serviço",AU$12&lt;&gt;0,$H349&gt;0,OR(AUTOEVENTO&lt;&gt;"manual",$M349&lt;&gt;1)),
IF(Import.TipoArredondamento&lt;&gt;"TransfereGOV",
ROUND(OFFSET($P349,0,AU$13),15-13*ORÇAMENTO!$AF$7)/$H349*OFFSET(ORÇAMENTO!$X$15,ROW(AU349)-ROW(AU$15),0),
ROUND(ROUND(OFFSET($P349,0,AU$13),15-13*ORÇAMENTO!$AF$7)*OFFSET(ORÇAMENTO!$W$15,ROW(AU349)-ROW(AU$15),0),15-13*ORÇAMENTO!$AF$11)),0)</f>
        <v>0</v>
      </c>
      <c r="AV349" s="545">
        <f ca="1">IF(AND($D349="Serviço",AV$12&lt;&gt;0,$H349&gt;0,OR(AUTOEVENTO&lt;&gt;"manual",$M349&lt;&gt;1)),
IF(Import.TipoArredondamento&lt;&gt;"TransfereGOV",
ROUND(OFFSET($P349,0,AV$13),15-13*ORÇAMENTO!$AF$7)/$H349*OFFSET(ORÇAMENTO!$X$15,ROW(AV349)-ROW(AV$15),0),
ROUND(ROUND(OFFSET($P349,0,AV$13),15-13*ORÇAMENTO!$AF$7)*OFFSET(ORÇAMENTO!$W$15,ROW(AV349)-ROW(AV$15),0),15-13*ORÇAMENTO!$AF$11)),0)</f>
        <v>0</v>
      </c>
      <c r="AW349" s="545">
        <f ca="1">IF(AND($D349="Serviço",AW$12&lt;&gt;0,$H349&gt;0,OR(AUTOEVENTO&lt;&gt;"manual",$M349&lt;&gt;1)),
IF(Import.TipoArredondamento&lt;&gt;"TransfereGOV",
ROUND(OFFSET($P349,0,AW$13),15-13*ORÇAMENTO!$AF$7)/$H349*OFFSET(ORÇAMENTO!$X$15,ROW(AW349)-ROW(AW$15),0),
ROUND(ROUND(OFFSET($P349,0,AW$13),15-13*ORÇAMENTO!$AF$7)*OFFSET(ORÇAMENTO!$W$15,ROW(AW349)-ROW(AW$15),0),15-13*ORÇAMENTO!$AF$11)),0)</f>
        <v>0</v>
      </c>
      <c r="AX349" s="545">
        <f ca="1">IF(AND($D349="Serviço",AX$12&lt;&gt;0,$H349&gt;0,OR(AUTOEVENTO&lt;&gt;"manual",$M349&lt;&gt;1)),
IF(Import.TipoArredondamento&lt;&gt;"TransfereGOV",
ROUND(OFFSET($P349,0,AX$13),15-13*ORÇAMENTO!$AF$7)/$H349*OFFSET(ORÇAMENTO!$X$15,ROW(AX349)-ROW(AX$15),0),
ROUND(ROUND(OFFSET($P349,0,AX$13),15-13*ORÇAMENTO!$AF$7)*OFFSET(ORÇAMENTO!$W$15,ROW(AX349)-ROW(AX$15),0),15-13*ORÇAMENTO!$AF$11)),0)</f>
        <v>0</v>
      </c>
      <c r="AY349" s="545">
        <f ca="1">IF(AND($D349="Serviço",AY$12&lt;&gt;0,$H349&gt;0,OR(AUTOEVENTO&lt;&gt;"manual",$M349&lt;&gt;1)),
IF(Import.TipoArredondamento&lt;&gt;"TransfereGOV",
ROUND(OFFSET($P349,0,AY$13),15-13*ORÇAMENTO!$AF$7)/$H349*OFFSET(ORÇAMENTO!$X$15,ROW(AY349)-ROW(AY$15),0),
ROUND(ROUND(OFFSET($P349,0,AY$13),15-13*ORÇAMENTO!$AF$7)*OFFSET(ORÇAMENTO!$W$15,ROW(AY349)-ROW(AY$15),0),15-13*ORÇAMENTO!$AF$11)),0)</f>
        <v>0</v>
      </c>
      <c r="AZ349" s="545">
        <f ca="1">IF(AND($D349="Serviço",AZ$12&lt;&gt;0,$H349&gt;0,OR(AUTOEVENTO&lt;&gt;"manual",$M349&lt;&gt;1)),
IF(Import.TipoArredondamento&lt;&gt;"TransfereGOV",
ROUND(OFFSET($P349,0,AZ$13),15-13*ORÇAMENTO!$AF$7)/$H349*OFFSET(ORÇAMENTO!$X$15,ROW(AZ349)-ROW(AZ$15),0),
ROUND(ROUND(OFFSET($P349,0,AZ$13),15-13*ORÇAMENTO!$AF$7)*OFFSET(ORÇAMENTO!$W$15,ROW(AZ349)-ROW(AZ$15),0),15-13*ORÇAMENTO!$AF$11)),0)</f>
        <v>0</v>
      </c>
      <c r="BA349" s="546">
        <f ca="1">IF(AND($D349="Serviço",BA$12&lt;&gt;0,$H349&gt;0,OR(AUTOEVENTO&lt;&gt;"manual",$M349&lt;&gt;1)),
IF(Import.TipoArredondamento&lt;&gt;"TransfereGOV",
ROUND(OFFSET($P349,0,BA$13),15-13*ORÇAMENTO!$AF$7)/$H349*OFFSET(ORÇAMENTO!$X$15,ROW(BA349)-ROW(BA$15),0),
ROUND(ROUND(OFFSET($P349,0,BA$13),15-13*ORÇAMENTO!$AF$7)*OFFSET(ORÇAMENTO!$W$15,ROW(BA349)-ROW(BA$15),0),15-13*ORÇAMENTO!$AF$11)),0)</f>
        <v>0</v>
      </c>
      <c r="BC349" s="181">
        <f ca="1">IF($D349&lt;&gt;"Serviço",0,IF(AND(AUTOEVENTO="Manual",$M349=1),0,IF(OFFSET(CRONOPLE!$F$14,$M349,BC$13)="",10^12,OFFSET(CRONOPLE!$F$14,$M349,BC$13))))</f>
        <v>0</v>
      </c>
      <c r="BD349" s="181">
        <f ca="1">IF($D349&lt;&gt;"Serviço",0,IF(AND(AUTOEVENTO="Manual",$M349=1),0,IF(OFFSET(CRONOPLE!$F$14,$M349,BD$13)="",10^12,OFFSET(CRONOPLE!$F$14,$M349,BD$13))))</f>
        <v>0</v>
      </c>
      <c r="BE349" s="181">
        <f ca="1">IF($D349&lt;&gt;"Serviço",0,IF(AND(AUTOEVENTO="Manual",$M349=1),0,IF(OFFSET(CRONOPLE!$F$14,$M349,BE$13)="",10^12,OFFSET(CRONOPLE!$F$14,$M349,BE$13))))</f>
        <v>0</v>
      </c>
      <c r="BF349" s="181">
        <f ca="1">IF($D349&lt;&gt;"Serviço",0,IF(AND(AUTOEVENTO="Manual",$M349=1),0,IF(OFFSET(CRONOPLE!$F$14,$M349,BF$13)="",10^12,OFFSET(CRONOPLE!$F$14,$M349,BF$13))))</f>
        <v>0</v>
      </c>
      <c r="BG349" s="181">
        <f ca="1">IF($D349&lt;&gt;"Serviço",0,IF(AND(AUTOEVENTO="Manual",$M349=1),0,IF(OFFSET(CRONOPLE!$F$14,$M349,BG$13)="",10^12,OFFSET(CRONOPLE!$F$14,$M349,BG$13))))</f>
        <v>0</v>
      </c>
      <c r="BH349" s="181">
        <f ca="1">IF($D349&lt;&gt;"Serviço",0,IF(AND(AUTOEVENTO="Manual",$M349=1),0,IF(OFFSET(CRONOPLE!$F$14,$M349,BH$13)="",10^12,OFFSET(CRONOPLE!$F$14,$M349,BH$13))))</f>
        <v>0</v>
      </c>
      <c r="BI349" s="181">
        <f ca="1">IF($D349&lt;&gt;"Serviço",0,IF(AND(AUTOEVENTO="Manual",$M349=1),0,IF(OFFSET(CRONOPLE!$F$14,$M349,BI$13)="",10^12,OFFSET(CRONOPLE!$F$14,$M349,BI$13))))</f>
        <v>0</v>
      </c>
      <c r="BJ349" s="181">
        <f ca="1">IF($D349&lt;&gt;"Serviço",0,IF(AND(AUTOEVENTO="Manual",$M349=1),0,IF(OFFSET(CRONOPLE!$F$14,$M349,BJ$13)="",10^12,OFFSET(CRONOPLE!$F$14,$M349,BJ$13))))</f>
        <v>0</v>
      </c>
      <c r="BK349" s="181">
        <f ca="1">IF($D349&lt;&gt;"Serviço",0,IF(AND(AUTOEVENTO="Manual",$M349=1),0,IF(OFFSET(CRONOPLE!$F$14,$M349,BK$13)="",10^12,OFFSET(CRONOPLE!$F$14,$M349,BK$13))))</f>
        <v>0</v>
      </c>
      <c r="BL349" s="181">
        <f ca="1">IF($D349&lt;&gt;"Serviço",0,IF(AND(AUTOEVENTO="Manual",$M349=1),0,IF(OFFSET(CRONOPLE!$F$14,$M349,BL$13)="",10^12,OFFSET(CRONOPLE!$F$14,$M349,BL$13))))</f>
        <v>0</v>
      </c>
      <c r="BM349" s="181">
        <f ca="1">IF($D349&lt;&gt;"Serviço",0,IF(AND(AUTOEVENTO="Manual",$M349=1),0,IF(OFFSET(CRONOPLE!$F$14,$M349,BM$13)="",10^12,OFFSET(CRONOPLE!$F$14,$M349,BM$13))))</f>
        <v>0</v>
      </c>
      <c r="BN349" s="181">
        <f ca="1">IF($D349&lt;&gt;"Serviço",0,IF(AND(AUTOEVENTO="Manual",$M349=1),0,IF(OFFSET(CRONOPLE!$F$14,$M349,BN$13)="",10^12,OFFSET(CRONOPLE!$F$14,$M349,BN$13))))</f>
        <v>0</v>
      </c>
      <c r="BO349" s="181">
        <f ca="1">IF($D349&lt;&gt;"Serviço",0,IF(AND(AUTOEVENTO="Manual",$M349=1),0,IF(OFFSET(CRONOPLE!$F$14,$M349,BO$13)="",10^12,OFFSET(CRONOPLE!$F$14,$M349,BO$13))))</f>
        <v>0</v>
      </c>
      <c r="BP349" s="181">
        <f ca="1">IF($D349&lt;&gt;"Serviço",0,IF(AND(AUTOEVENTO="Manual",$M349=1),0,IF(OFFSET(CRONOPLE!$F$14,$M349,BP$13)="",10^12,OFFSET(CRONOPLE!$F$14,$M349,BP$13))))</f>
        <v>0</v>
      </c>
      <c r="BQ349" s="181">
        <f ca="1">IF($D349&lt;&gt;"Serviço",0,IF(AND(AUTOEVENTO="Manual",$M349=1),0,IF(OFFSET(CRONOPLE!$F$14,$M349,BQ$13)="",10^12,OFFSET(CRONOPLE!$F$14,$M349,BQ$13))))</f>
        <v>0</v>
      </c>
      <c r="BR349" s="181">
        <f ca="1">IF($D349&lt;&gt;"Serviço",0,IF(AND(AUTOEVENTO="Manual",$M349=1),0,IF(OFFSET(CRONOPLE!$F$14,$M349,BR$13)="",10^12,OFFSET(CRONOPLE!$F$14,$M349,BR$13))))</f>
        <v>0</v>
      </c>
      <c r="BS349" s="181">
        <f ca="1">IF($D349&lt;&gt;"Serviço",0,IF(AND(AUTOEVENTO="Manual",$M349=1),0,IF(OFFSET(CRONOPLE!$F$14,$M349,BS$13)="",10^12,OFFSET(CRONOPLE!$F$14,$M349,BS$13))))</f>
        <v>0</v>
      </c>
      <c r="BT349" s="181">
        <f ca="1">IF($D349&lt;&gt;"Serviço",0,IF(AND(AUTOEVENTO="Manual",$M349=1),0,IF(OFFSET(CRONOPLE!$F$14,$M349,BT$13)="",10^12,OFFSET(CRONOPLE!$F$14,$M349,BT$13))))</f>
        <v>0</v>
      </c>
      <c r="BV349" s="182">
        <f ca="1">IF($D349&lt;&gt;"Serviço",0,IF(OR(AND(AUTOEVENTO="Manual",$M349=1),$M349&gt;(ROW(PLE.lastrow)-ROW(PLE.firstrow))),0,IF(OFFSET(PLE!$G$14,$M349,BV$13)="",10^12,OFFSET(PLE!$G$14,$M349,BV$13))))</f>
        <v>0</v>
      </c>
      <c r="BW349" s="182">
        <f ca="1">IF($D349&lt;&gt;"Serviço",0,IF(OR(AND(AUTOEVENTO="Manual",$M349=1),$M349&gt;(ROW(PLE.lastrow)-ROW(PLE.firstrow))),0,IF(OFFSET(PLE!$G$14,$M349,BW$13)="",10^12,OFFSET(PLE!$G$14,$M349,BW$13))))</f>
        <v>0</v>
      </c>
      <c r="BX349" s="182">
        <f ca="1">IF($D349&lt;&gt;"Serviço",0,IF(OR(AND(AUTOEVENTO="Manual",$M349=1),$M349&gt;(ROW(PLE.lastrow)-ROW(PLE.firstrow))),0,IF(OFFSET(PLE!$G$14,$M349,BX$13)="",10^12,OFFSET(PLE!$G$14,$M349,BX$13))))</f>
        <v>0</v>
      </c>
      <c r="BY349" s="182">
        <f ca="1">IF($D349&lt;&gt;"Serviço",0,IF(OR(AND(AUTOEVENTO="Manual",$M349=1),$M349&gt;(ROW(PLE.lastrow)-ROW(PLE.firstrow))),0,IF(OFFSET(PLE!$G$14,$M349,BY$13)="",10^12,OFFSET(PLE!$G$14,$M349,BY$13))))</f>
        <v>0</v>
      </c>
      <c r="BZ349" s="182">
        <f ca="1">IF($D349&lt;&gt;"Serviço",0,IF(OR(AND(AUTOEVENTO="Manual",$M349=1),$M349&gt;(ROW(PLE.lastrow)-ROW(PLE.firstrow))),0,IF(OFFSET(PLE!$G$14,$M349,BZ$13)="",10^12,OFFSET(PLE!$G$14,$M349,BZ$13))))</f>
        <v>0</v>
      </c>
      <c r="CA349" s="182">
        <f ca="1">IF($D349&lt;&gt;"Serviço",0,IF(OR(AND(AUTOEVENTO="Manual",$M349=1),$M349&gt;(ROW(PLE.lastrow)-ROW(PLE.firstrow))),0,IF(OFFSET(PLE!$G$14,$M349,CA$13)="",10^12,OFFSET(PLE!$G$14,$M349,CA$13))))</f>
        <v>0</v>
      </c>
      <c r="CB349" s="182">
        <f ca="1">IF($D349&lt;&gt;"Serviço",0,IF(OR(AND(AUTOEVENTO="Manual",$M349=1),$M349&gt;(ROW(PLE.lastrow)-ROW(PLE.firstrow))),0,IF(OFFSET(PLE!$G$14,$M349,CB$13)="",10^12,OFFSET(PLE!$G$14,$M349,CB$13))))</f>
        <v>0</v>
      </c>
      <c r="CC349" s="182">
        <f ca="1">IF($D349&lt;&gt;"Serviço",0,IF(OR(AND(AUTOEVENTO="Manual",$M349=1),$M349&gt;(ROW(PLE.lastrow)-ROW(PLE.firstrow))),0,IF(OFFSET(PLE!$G$14,$M349,CC$13)="",10^12,OFFSET(PLE!$G$14,$M349,CC$13))))</f>
        <v>0</v>
      </c>
      <c r="CD349" s="182">
        <f ca="1">IF($D349&lt;&gt;"Serviço",0,IF(OR(AND(AUTOEVENTO="Manual",$M349=1),$M349&gt;(ROW(PLE.lastrow)-ROW(PLE.firstrow))),0,IF(OFFSET(PLE!$G$14,$M349,CD$13)="",10^12,OFFSET(PLE!$G$14,$M349,CD$13))))</f>
        <v>0</v>
      </c>
      <c r="CE349" s="182">
        <f ca="1">IF($D349&lt;&gt;"Serviço",0,IF(OR(AND(AUTOEVENTO="Manual",$M349=1),$M349&gt;(ROW(PLE.lastrow)-ROW(PLE.firstrow))),0,IF(OFFSET(PLE!$G$14,$M349,CE$13)="",10^12,OFFSET(PLE!$G$14,$M349,CE$13))))</f>
        <v>0</v>
      </c>
      <c r="CF349" s="182">
        <f ca="1">IF($D349&lt;&gt;"Serviço",0,IF(OR(AND(AUTOEVENTO="Manual",$M349=1),$M349&gt;(ROW(PLE.lastrow)-ROW(PLE.firstrow))),0,IF(OFFSET(PLE!$G$14,$M349,CF$13)="",10^12,OFFSET(PLE!$G$14,$M349,CF$13))))</f>
        <v>0</v>
      </c>
      <c r="CG349" s="182">
        <f ca="1">IF($D349&lt;&gt;"Serviço",0,IF(OR(AND(AUTOEVENTO="Manual",$M349=1),$M349&gt;(ROW(PLE.lastrow)-ROW(PLE.firstrow))),0,IF(OFFSET(PLE!$G$14,$M349,CG$13)="",10^12,OFFSET(PLE!$G$14,$M349,CG$13))))</f>
        <v>0</v>
      </c>
      <c r="CH349" s="182">
        <f ca="1">IF($D349&lt;&gt;"Serviço",0,IF(OR(AND(AUTOEVENTO="Manual",$M349=1),$M349&gt;(ROW(PLE.lastrow)-ROW(PLE.firstrow))),0,IF(OFFSET(PLE!$G$14,$M349,CH$13)="",10^12,OFFSET(PLE!$G$14,$M349,CH$13))))</f>
        <v>0</v>
      </c>
      <c r="CI349" s="182">
        <f ca="1">IF($D349&lt;&gt;"Serviço",0,IF(OR(AND(AUTOEVENTO="Manual",$M349=1),$M349&gt;(ROW(PLE.lastrow)-ROW(PLE.firstrow))),0,IF(OFFSET(PLE!$G$14,$M349,CI$13)="",10^12,OFFSET(PLE!$G$14,$M349,CI$13))))</f>
        <v>0</v>
      </c>
      <c r="CJ349" s="182">
        <f ca="1">IF($D349&lt;&gt;"Serviço",0,IF(OR(AND(AUTOEVENTO="Manual",$M349=1),$M349&gt;(ROW(PLE.lastrow)-ROW(PLE.firstrow))),0,IF(OFFSET(PLE!$G$14,$M349,CJ$13)="",10^12,OFFSET(PLE!$G$14,$M349,CJ$13))))</f>
        <v>0</v>
      </c>
      <c r="CK349" s="182">
        <f ca="1">IF($D349&lt;&gt;"Serviço",0,IF(OR(AND(AUTOEVENTO="Manual",$M349=1),$M349&gt;(ROW(PLE.lastrow)-ROW(PLE.firstrow))),0,IF(OFFSET(PLE!$G$14,$M349,CK$13)="",10^12,OFFSET(PLE!$G$14,$M349,CK$13))))</f>
        <v>0</v>
      </c>
      <c r="CL349" s="182">
        <f ca="1">IF($D349&lt;&gt;"Serviço",0,IF(OR(AND(AUTOEVENTO="Manual",$M349=1),$M349&gt;(ROW(PLE.lastrow)-ROW(PLE.firstrow))),0,IF(OFFSET(PLE!$G$14,$M349,CL$13)="",10^12,OFFSET(PLE!$G$14,$M349,CL$13))))</f>
        <v>0</v>
      </c>
      <c r="CM349" s="182">
        <f ca="1">IF($D349&lt;&gt;"Serviço",0,IF(OR(AND(AUTOEVENTO="Manual",$M349=1),$M349&gt;(ROW(PLE.lastrow)-ROW(PLE.firstrow))),0,IF(OFFSET(PLE!$G$14,$M349,CM$13)="",10^12,OFFSET(PLE!$G$14,$M349,CM$13))))</f>
        <v>0</v>
      </c>
    </row>
    <row r="350" spans="1:91" ht="38.25" x14ac:dyDescent="0.2">
      <c r="A350" s="7" t="str">
        <f t="shared" ca="1" si="12"/>
        <v>334</v>
      </c>
      <c r="B350" s="7" t="str">
        <f ca="1">OFFSET(ORÇAMENTO!C$15,ROW(B350)-ROW(B$15),0)</f>
        <v>S</v>
      </c>
      <c r="C350" s="7" t="str">
        <f ca="1">OFFSET(ORÇAMENTO!L$15,ROW(C350)-ROW(C$15),0)</f>
        <v/>
      </c>
      <c r="D350" s="118" t="str">
        <f ca="1">OFFSET(ORÇAMENTO!N$15,ROW(D350)-ROW(D$15),0)</f>
        <v>Serviço</v>
      </c>
      <c r="E350" s="119" t="str">
        <f ca="1">OFFSET(ORÇAMENTO!O$15,ROW(E350)-ROW(E$15),0)</f>
        <v>-</v>
      </c>
      <c r="F350" s="172" t="str">
        <f ca="1">OFFSET(ORÇAMENTO!R$15,ROW(F350)-ROW(F$15),0)</f>
        <v>(abra o arquivo 'Referência 06-2024.xlsm)</v>
      </c>
      <c r="G350" s="173" t="str">
        <f ca="1">IF($D350&lt;&gt;"Serviço","",OFFSET(ORÇAMENTO!S$15,ROW(G350)-ROW(G$15),0))</f>
        <v>-</v>
      </c>
      <c r="H350" s="124">
        <f ca="1">IF($D350&lt;&gt;"Serviço",0,IF(ACOMPANHAMENTO="BM",ROUND(OFFSET(ORÇAMENTO!AJ$15,ROW(H350)-ROW(H$15),0),15-13*ORÇAMENTO!$AF$7),SUMPRODUCT(($Q$12:$AI$12&lt;&gt;"")*ROUND($Q350:$AI350,15-13*ORÇAMENTO!$AF$7))))</f>
        <v>1</v>
      </c>
      <c r="I350" s="561" t="s">
        <v>1107</v>
      </c>
      <c r="K350" s="174"/>
      <c r="L350" s="175" t="s">
        <v>255</v>
      </c>
      <c r="M350" s="176">
        <f ca="1">IF($D350&lt;&gt;"Serviço","",IF(AUTOEVENTO="manual",$A350,IF(ISERROR(MATCH($A350,$A$15:OFFSET($A350,-1,0),0)),MAX($M$15:OFFSET(M350,-1,0))+1,INDEX($M$15:OFFSET(M350,-1,0),MATCH($A350,$A$15:OFFSET($A350,-1,0),0)))))</f>
        <v>42</v>
      </c>
      <c r="N350" s="177" t="str">
        <f ca="1">IF($D350&lt;&gt;"Serviço","",IF(AUTOEVENTO="Manual",IF($A350=0,"&lt;-- defina o número do agrupador",OFFSET(EVENTOS!$D$14,$A350,0)),OFFSET($F$15,$A350,0)))</f>
        <v>INSTALAÇÃO SANITÁRIA - UNIDADE DE TRATAMENTO</v>
      </c>
      <c r="O350" s="178"/>
      <c r="Q350" s="178">
        <v>1</v>
      </c>
      <c r="R350" s="179"/>
      <c r="S350" s="179"/>
      <c r="T350" s="179"/>
      <c r="U350" s="179"/>
      <c r="V350" s="179"/>
      <c r="W350" s="179"/>
      <c r="X350" s="179"/>
      <c r="Y350" s="179"/>
      <c r="Z350" s="180"/>
      <c r="AA350" s="179"/>
      <c r="AB350" s="179"/>
      <c r="AC350" s="179"/>
      <c r="AD350" s="179"/>
      <c r="AE350" s="179"/>
      <c r="AF350" s="179"/>
      <c r="AG350" s="179"/>
      <c r="AH350" s="180"/>
      <c r="AJ350" s="544">
        <f ca="1">IF(AND($D350="Serviço",AJ$12&lt;&gt;0,$H350&gt;0,OR(AUTOEVENTO&lt;&gt;"manual",$M350&lt;&gt;1)),
IF(Import.TipoArredondamento&lt;&gt;"TransfereGOV",
ROUND(OFFSET($P350,0,AJ$13),15-13*ORÇAMENTO!$AF$7)/$H350*OFFSET(ORÇAMENTO!$X$15,ROW(AJ350)-ROW(AJ$15),0),
ROUND(ROUND(OFFSET($P350,0,AJ$13),15-13*ORÇAMENTO!$AF$7)*OFFSET(ORÇAMENTO!$W$15,ROW(AJ350)-ROW(AJ$15),0),15-13*ORÇAMENTO!$AF$11)),0)</f>
        <v>0</v>
      </c>
      <c r="AK350" s="545">
        <f ca="1">IF(AND($D350="Serviço",AK$12&lt;&gt;0,$H350&gt;0,OR(AUTOEVENTO&lt;&gt;"manual",$M350&lt;&gt;1)),
IF(Import.TipoArredondamento&lt;&gt;"TransfereGOV",
ROUND(OFFSET($P350,0,AK$13),15-13*ORÇAMENTO!$AF$7)/$H350*OFFSET(ORÇAMENTO!$X$15,ROW(AK350)-ROW(AK$15),0),
ROUND(ROUND(OFFSET($P350,0,AK$13),15-13*ORÇAMENTO!$AF$7)*OFFSET(ORÇAMENTO!$W$15,ROW(AK350)-ROW(AK$15),0),15-13*ORÇAMENTO!$AF$11)),0)</f>
        <v>0</v>
      </c>
      <c r="AL350" s="545">
        <f ca="1">IF(AND($D350="Serviço",AL$12&lt;&gt;0,$H350&gt;0,OR(AUTOEVENTO&lt;&gt;"manual",$M350&lt;&gt;1)),
IF(Import.TipoArredondamento&lt;&gt;"TransfereGOV",
ROUND(OFFSET($P350,0,AL$13),15-13*ORÇAMENTO!$AF$7)/$H350*OFFSET(ORÇAMENTO!$X$15,ROW(AL350)-ROW(AL$15),0),
ROUND(ROUND(OFFSET($P350,0,AL$13),15-13*ORÇAMENTO!$AF$7)*OFFSET(ORÇAMENTO!$W$15,ROW(AL350)-ROW(AL$15),0),15-13*ORÇAMENTO!$AF$11)),0)</f>
        <v>0</v>
      </c>
      <c r="AM350" s="545">
        <f ca="1">IF(AND($D350="Serviço",AM$12&lt;&gt;0,$H350&gt;0,OR(AUTOEVENTO&lt;&gt;"manual",$M350&lt;&gt;1)),
IF(Import.TipoArredondamento&lt;&gt;"TransfereGOV",
ROUND(OFFSET($P350,0,AM$13),15-13*ORÇAMENTO!$AF$7)/$H350*OFFSET(ORÇAMENTO!$X$15,ROW(AM350)-ROW(AM$15),0),
ROUND(ROUND(OFFSET($P350,0,AM$13),15-13*ORÇAMENTO!$AF$7)*OFFSET(ORÇAMENTO!$W$15,ROW(AM350)-ROW(AM$15),0),15-13*ORÇAMENTO!$AF$11)),0)</f>
        <v>0</v>
      </c>
      <c r="AN350" s="545">
        <f ca="1">IF(AND($D350="Serviço",AN$12&lt;&gt;0,$H350&gt;0,OR(AUTOEVENTO&lt;&gt;"manual",$M350&lt;&gt;1)),
IF(Import.TipoArredondamento&lt;&gt;"TransfereGOV",
ROUND(OFFSET($P350,0,AN$13),15-13*ORÇAMENTO!$AF$7)/$H350*OFFSET(ORÇAMENTO!$X$15,ROW(AN350)-ROW(AN$15),0),
ROUND(ROUND(OFFSET($P350,0,AN$13),15-13*ORÇAMENTO!$AF$7)*OFFSET(ORÇAMENTO!$W$15,ROW(AN350)-ROW(AN$15),0),15-13*ORÇAMENTO!$AF$11)),0)</f>
        <v>0</v>
      </c>
      <c r="AO350" s="545">
        <f ca="1">IF(AND($D350="Serviço",AO$12&lt;&gt;0,$H350&gt;0,OR(AUTOEVENTO&lt;&gt;"manual",$M350&lt;&gt;1)),
IF(Import.TipoArredondamento&lt;&gt;"TransfereGOV",
ROUND(OFFSET($P350,0,AO$13),15-13*ORÇAMENTO!$AF$7)/$H350*OFFSET(ORÇAMENTO!$X$15,ROW(AO350)-ROW(AO$15),0),
ROUND(ROUND(OFFSET($P350,0,AO$13),15-13*ORÇAMENTO!$AF$7)*OFFSET(ORÇAMENTO!$W$15,ROW(AO350)-ROW(AO$15),0),15-13*ORÇAMENTO!$AF$11)),0)</f>
        <v>0</v>
      </c>
      <c r="AP350" s="545">
        <f ca="1">IF(AND($D350="Serviço",AP$12&lt;&gt;0,$H350&gt;0,OR(AUTOEVENTO&lt;&gt;"manual",$M350&lt;&gt;1)),
IF(Import.TipoArredondamento&lt;&gt;"TransfereGOV",
ROUND(OFFSET($P350,0,AP$13),15-13*ORÇAMENTO!$AF$7)/$H350*OFFSET(ORÇAMENTO!$X$15,ROW(AP350)-ROW(AP$15),0),
ROUND(ROUND(OFFSET($P350,0,AP$13),15-13*ORÇAMENTO!$AF$7)*OFFSET(ORÇAMENTO!$W$15,ROW(AP350)-ROW(AP$15),0),15-13*ORÇAMENTO!$AF$11)),0)</f>
        <v>0</v>
      </c>
      <c r="AQ350" s="545">
        <f ca="1">IF(AND($D350="Serviço",AQ$12&lt;&gt;0,$H350&gt;0,OR(AUTOEVENTO&lt;&gt;"manual",$M350&lt;&gt;1)),
IF(Import.TipoArredondamento&lt;&gt;"TransfereGOV",
ROUND(OFFSET($P350,0,AQ$13),15-13*ORÇAMENTO!$AF$7)/$H350*OFFSET(ORÇAMENTO!$X$15,ROW(AQ350)-ROW(AQ$15),0),
ROUND(ROUND(OFFSET($P350,0,AQ$13),15-13*ORÇAMENTO!$AF$7)*OFFSET(ORÇAMENTO!$W$15,ROW(AQ350)-ROW(AQ$15),0),15-13*ORÇAMENTO!$AF$11)),0)</f>
        <v>0</v>
      </c>
      <c r="AR350" s="545">
        <f ca="1">IF(AND($D350="Serviço",AR$12&lt;&gt;0,$H350&gt;0,OR(AUTOEVENTO&lt;&gt;"manual",$M350&lt;&gt;1)),
IF(Import.TipoArredondamento&lt;&gt;"TransfereGOV",
ROUND(OFFSET($P350,0,AR$13),15-13*ORÇAMENTO!$AF$7)/$H350*OFFSET(ORÇAMENTO!$X$15,ROW(AR350)-ROW(AR$15),0),
ROUND(ROUND(OFFSET($P350,0,AR$13),15-13*ORÇAMENTO!$AF$7)*OFFSET(ORÇAMENTO!$W$15,ROW(AR350)-ROW(AR$15),0),15-13*ORÇAMENTO!$AF$11)),0)</f>
        <v>0</v>
      </c>
      <c r="AS350" s="546">
        <f ca="1">IF(AND($D350="Serviço",AS$12&lt;&gt;0,$H350&gt;0,OR(AUTOEVENTO&lt;&gt;"manual",$M350&lt;&gt;1)),
IF(Import.TipoArredondamento&lt;&gt;"TransfereGOV",
ROUND(OFFSET($P350,0,AS$13),15-13*ORÇAMENTO!$AF$7)/$H350*OFFSET(ORÇAMENTO!$X$15,ROW(AS350)-ROW(AS$15),0),
ROUND(ROUND(OFFSET($P350,0,AS$13),15-13*ORÇAMENTO!$AF$7)*OFFSET(ORÇAMENTO!$W$15,ROW(AS350)-ROW(AS$15),0),15-13*ORÇAMENTO!$AF$11)),0)</f>
        <v>0</v>
      </c>
      <c r="AT350" s="545">
        <f ca="1">IF(AND($D350="Serviço",AT$12&lt;&gt;0,$H350&gt;0,OR(AUTOEVENTO&lt;&gt;"manual",$M350&lt;&gt;1)),
IF(Import.TipoArredondamento&lt;&gt;"TransfereGOV",
ROUND(OFFSET($P350,0,AT$13),15-13*ORÇAMENTO!$AF$7)/$H350*OFFSET(ORÇAMENTO!$X$15,ROW(AT350)-ROW(AT$15),0),
ROUND(ROUND(OFFSET($P350,0,AT$13),15-13*ORÇAMENTO!$AF$7)*OFFSET(ORÇAMENTO!$W$15,ROW(AT350)-ROW(AT$15),0),15-13*ORÇAMENTO!$AF$11)),0)</f>
        <v>0</v>
      </c>
      <c r="AU350" s="545">
        <f ca="1">IF(AND($D350="Serviço",AU$12&lt;&gt;0,$H350&gt;0,OR(AUTOEVENTO&lt;&gt;"manual",$M350&lt;&gt;1)),
IF(Import.TipoArredondamento&lt;&gt;"TransfereGOV",
ROUND(OFFSET($P350,0,AU$13),15-13*ORÇAMENTO!$AF$7)/$H350*OFFSET(ORÇAMENTO!$X$15,ROW(AU350)-ROW(AU$15),0),
ROUND(ROUND(OFFSET($P350,0,AU$13),15-13*ORÇAMENTO!$AF$7)*OFFSET(ORÇAMENTO!$W$15,ROW(AU350)-ROW(AU$15),0),15-13*ORÇAMENTO!$AF$11)),0)</f>
        <v>0</v>
      </c>
      <c r="AV350" s="545">
        <f ca="1">IF(AND($D350="Serviço",AV$12&lt;&gt;0,$H350&gt;0,OR(AUTOEVENTO&lt;&gt;"manual",$M350&lt;&gt;1)),
IF(Import.TipoArredondamento&lt;&gt;"TransfereGOV",
ROUND(OFFSET($P350,0,AV$13),15-13*ORÇAMENTO!$AF$7)/$H350*OFFSET(ORÇAMENTO!$X$15,ROW(AV350)-ROW(AV$15),0),
ROUND(ROUND(OFFSET($P350,0,AV$13),15-13*ORÇAMENTO!$AF$7)*OFFSET(ORÇAMENTO!$W$15,ROW(AV350)-ROW(AV$15),0),15-13*ORÇAMENTO!$AF$11)),0)</f>
        <v>0</v>
      </c>
      <c r="AW350" s="545">
        <f ca="1">IF(AND($D350="Serviço",AW$12&lt;&gt;0,$H350&gt;0,OR(AUTOEVENTO&lt;&gt;"manual",$M350&lt;&gt;1)),
IF(Import.TipoArredondamento&lt;&gt;"TransfereGOV",
ROUND(OFFSET($P350,0,AW$13),15-13*ORÇAMENTO!$AF$7)/$H350*OFFSET(ORÇAMENTO!$X$15,ROW(AW350)-ROW(AW$15),0),
ROUND(ROUND(OFFSET($P350,0,AW$13),15-13*ORÇAMENTO!$AF$7)*OFFSET(ORÇAMENTO!$W$15,ROW(AW350)-ROW(AW$15),0),15-13*ORÇAMENTO!$AF$11)),0)</f>
        <v>0</v>
      </c>
      <c r="AX350" s="545">
        <f ca="1">IF(AND($D350="Serviço",AX$12&lt;&gt;0,$H350&gt;0,OR(AUTOEVENTO&lt;&gt;"manual",$M350&lt;&gt;1)),
IF(Import.TipoArredondamento&lt;&gt;"TransfereGOV",
ROUND(OFFSET($P350,0,AX$13),15-13*ORÇAMENTO!$AF$7)/$H350*OFFSET(ORÇAMENTO!$X$15,ROW(AX350)-ROW(AX$15),0),
ROUND(ROUND(OFFSET($P350,0,AX$13),15-13*ORÇAMENTO!$AF$7)*OFFSET(ORÇAMENTO!$W$15,ROW(AX350)-ROW(AX$15),0),15-13*ORÇAMENTO!$AF$11)),0)</f>
        <v>0</v>
      </c>
      <c r="AY350" s="545">
        <f ca="1">IF(AND($D350="Serviço",AY$12&lt;&gt;0,$H350&gt;0,OR(AUTOEVENTO&lt;&gt;"manual",$M350&lt;&gt;1)),
IF(Import.TipoArredondamento&lt;&gt;"TransfereGOV",
ROUND(OFFSET($P350,0,AY$13),15-13*ORÇAMENTO!$AF$7)/$H350*OFFSET(ORÇAMENTO!$X$15,ROW(AY350)-ROW(AY$15),0),
ROUND(ROUND(OFFSET($P350,0,AY$13),15-13*ORÇAMENTO!$AF$7)*OFFSET(ORÇAMENTO!$W$15,ROW(AY350)-ROW(AY$15),0),15-13*ORÇAMENTO!$AF$11)),0)</f>
        <v>0</v>
      </c>
      <c r="AZ350" s="545">
        <f ca="1">IF(AND($D350="Serviço",AZ$12&lt;&gt;0,$H350&gt;0,OR(AUTOEVENTO&lt;&gt;"manual",$M350&lt;&gt;1)),
IF(Import.TipoArredondamento&lt;&gt;"TransfereGOV",
ROUND(OFFSET($P350,0,AZ$13),15-13*ORÇAMENTO!$AF$7)/$H350*OFFSET(ORÇAMENTO!$X$15,ROW(AZ350)-ROW(AZ$15),0),
ROUND(ROUND(OFFSET($P350,0,AZ$13),15-13*ORÇAMENTO!$AF$7)*OFFSET(ORÇAMENTO!$W$15,ROW(AZ350)-ROW(AZ$15),0),15-13*ORÇAMENTO!$AF$11)),0)</f>
        <v>0</v>
      </c>
      <c r="BA350" s="546">
        <f ca="1">IF(AND($D350="Serviço",BA$12&lt;&gt;0,$H350&gt;0,OR(AUTOEVENTO&lt;&gt;"manual",$M350&lt;&gt;1)),
IF(Import.TipoArredondamento&lt;&gt;"TransfereGOV",
ROUND(OFFSET($P350,0,BA$13),15-13*ORÇAMENTO!$AF$7)/$H350*OFFSET(ORÇAMENTO!$X$15,ROW(BA350)-ROW(BA$15),0),
ROUND(ROUND(OFFSET($P350,0,BA$13),15-13*ORÇAMENTO!$AF$7)*OFFSET(ORÇAMENTO!$W$15,ROW(BA350)-ROW(BA$15),0),15-13*ORÇAMENTO!$AF$11)),0)</f>
        <v>0</v>
      </c>
      <c r="BC350" s="181">
        <f ca="1">IF($D350&lt;&gt;"Serviço",0,IF(AND(AUTOEVENTO="Manual",$M350=1),0,IF(OFFSET(CRONOPLE!$F$14,$M350,BC$13)="",10^12,OFFSET(CRONOPLE!$F$14,$M350,BC$13))))</f>
        <v>10</v>
      </c>
      <c r="BD350" s="181">
        <f ca="1">IF($D350&lt;&gt;"Serviço",0,IF(AND(AUTOEVENTO="Manual",$M350=1),0,IF(OFFSET(CRONOPLE!$F$14,$M350,BD$13)="",10^12,OFFSET(CRONOPLE!$F$14,$M350,BD$13))))</f>
        <v>1000000000000</v>
      </c>
      <c r="BE350" s="181">
        <f ca="1">IF($D350&lt;&gt;"Serviço",0,IF(AND(AUTOEVENTO="Manual",$M350=1),0,IF(OFFSET(CRONOPLE!$F$14,$M350,BE$13)="",10^12,OFFSET(CRONOPLE!$F$14,$M350,BE$13))))</f>
        <v>1000000000000</v>
      </c>
      <c r="BF350" s="181">
        <f ca="1">IF($D350&lt;&gt;"Serviço",0,IF(AND(AUTOEVENTO="Manual",$M350=1),0,IF(OFFSET(CRONOPLE!$F$14,$M350,BF$13)="",10^12,OFFSET(CRONOPLE!$F$14,$M350,BF$13))))</f>
        <v>1000000000000</v>
      </c>
      <c r="BG350" s="181">
        <f ca="1">IF($D350&lt;&gt;"Serviço",0,IF(AND(AUTOEVENTO="Manual",$M350=1),0,IF(OFFSET(CRONOPLE!$F$14,$M350,BG$13)="",10^12,OFFSET(CRONOPLE!$F$14,$M350,BG$13))))</f>
        <v>1000000000000</v>
      </c>
      <c r="BH350" s="181">
        <f ca="1">IF($D350&lt;&gt;"Serviço",0,IF(AND(AUTOEVENTO="Manual",$M350=1),0,IF(OFFSET(CRONOPLE!$F$14,$M350,BH$13)="",10^12,OFFSET(CRONOPLE!$F$14,$M350,BH$13))))</f>
        <v>1000000000000</v>
      </c>
      <c r="BI350" s="181">
        <f ca="1">IF($D350&lt;&gt;"Serviço",0,IF(AND(AUTOEVENTO="Manual",$M350=1),0,IF(OFFSET(CRONOPLE!$F$14,$M350,BI$13)="",10^12,OFFSET(CRONOPLE!$F$14,$M350,BI$13))))</f>
        <v>1000000000000</v>
      </c>
      <c r="BJ350" s="181">
        <f ca="1">IF($D350&lt;&gt;"Serviço",0,IF(AND(AUTOEVENTO="Manual",$M350=1),0,IF(OFFSET(CRONOPLE!$F$14,$M350,BJ$13)="",10^12,OFFSET(CRONOPLE!$F$14,$M350,BJ$13))))</f>
        <v>1000000000000</v>
      </c>
      <c r="BK350" s="181">
        <f ca="1">IF($D350&lt;&gt;"Serviço",0,IF(AND(AUTOEVENTO="Manual",$M350=1),0,IF(OFFSET(CRONOPLE!$F$14,$M350,BK$13)="",10^12,OFFSET(CRONOPLE!$F$14,$M350,BK$13))))</f>
        <v>1000000000000</v>
      </c>
      <c r="BL350" s="181">
        <f ca="1">IF($D350&lt;&gt;"Serviço",0,IF(AND(AUTOEVENTO="Manual",$M350=1),0,IF(OFFSET(CRONOPLE!$F$14,$M350,BL$13)="",10^12,OFFSET(CRONOPLE!$F$14,$M350,BL$13))))</f>
        <v>1000000000000</v>
      </c>
      <c r="BM350" s="181">
        <f ca="1">IF($D350&lt;&gt;"Serviço",0,IF(AND(AUTOEVENTO="Manual",$M350=1),0,IF(OFFSET(CRONOPLE!$F$14,$M350,BM$13)="",10^12,OFFSET(CRONOPLE!$F$14,$M350,BM$13))))</f>
        <v>1000000000000</v>
      </c>
      <c r="BN350" s="181">
        <f ca="1">IF($D350&lt;&gt;"Serviço",0,IF(AND(AUTOEVENTO="Manual",$M350=1),0,IF(OFFSET(CRONOPLE!$F$14,$M350,BN$13)="",10^12,OFFSET(CRONOPLE!$F$14,$M350,BN$13))))</f>
        <v>1000000000000</v>
      </c>
      <c r="BO350" s="181">
        <f ca="1">IF($D350&lt;&gt;"Serviço",0,IF(AND(AUTOEVENTO="Manual",$M350=1),0,IF(OFFSET(CRONOPLE!$F$14,$M350,BO$13)="",10^12,OFFSET(CRONOPLE!$F$14,$M350,BO$13))))</f>
        <v>1000000000000</v>
      </c>
      <c r="BP350" s="181">
        <f ca="1">IF($D350&lt;&gt;"Serviço",0,IF(AND(AUTOEVENTO="Manual",$M350=1),0,IF(OFFSET(CRONOPLE!$F$14,$M350,BP$13)="",10^12,OFFSET(CRONOPLE!$F$14,$M350,BP$13))))</f>
        <v>1000000000000</v>
      </c>
      <c r="BQ350" s="181">
        <f ca="1">IF($D350&lt;&gt;"Serviço",0,IF(AND(AUTOEVENTO="Manual",$M350=1),0,IF(OFFSET(CRONOPLE!$F$14,$M350,BQ$13)="",10^12,OFFSET(CRONOPLE!$F$14,$M350,BQ$13))))</f>
        <v>1000000000000</v>
      </c>
      <c r="BR350" s="181">
        <f ca="1">IF($D350&lt;&gt;"Serviço",0,IF(AND(AUTOEVENTO="Manual",$M350=1),0,IF(OFFSET(CRONOPLE!$F$14,$M350,BR$13)="",10^12,OFFSET(CRONOPLE!$F$14,$M350,BR$13))))</f>
        <v>1000000000000</v>
      </c>
      <c r="BS350" s="181">
        <f ca="1">IF($D350&lt;&gt;"Serviço",0,IF(AND(AUTOEVENTO="Manual",$M350=1),0,IF(OFFSET(CRONOPLE!$F$14,$M350,BS$13)="",10^12,OFFSET(CRONOPLE!$F$14,$M350,BS$13))))</f>
        <v>1000000000000</v>
      </c>
      <c r="BT350" s="181">
        <f ca="1">IF($D350&lt;&gt;"Serviço",0,IF(AND(AUTOEVENTO="Manual",$M350=1),0,IF(OFFSET(CRONOPLE!$F$14,$M350,BT$13)="",10^12,OFFSET(CRONOPLE!$F$14,$M350,BT$13))))</f>
        <v>1000000000000</v>
      </c>
      <c r="BV350" s="182">
        <f ca="1">IF($D350&lt;&gt;"Serviço",0,IF(OR(AND(AUTOEVENTO="Manual",$M350=1),$M350&gt;(ROW(PLE.lastrow)-ROW(PLE.firstrow))),0,IF(OFFSET(PLE!$G$14,$M350,BV$13)="",10^12,OFFSET(PLE!$G$14,$M350,BV$13))))</f>
        <v>1000000000000</v>
      </c>
      <c r="BW350" s="182">
        <f ca="1">IF($D350&lt;&gt;"Serviço",0,IF(OR(AND(AUTOEVENTO="Manual",$M350=1),$M350&gt;(ROW(PLE.lastrow)-ROW(PLE.firstrow))),0,IF(OFFSET(PLE!$G$14,$M350,BW$13)="",10^12,OFFSET(PLE!$G$14,$M350,BW$13))))</f>
        <v>1000000000000</v>
      </c>
      <c r="BX350" s="182">
        <f ca="1">IF($D350&lt;&gt;"Serviço",0,IF(OR(AND(AUTOEVENTO="Manual",$M350=1),$M350&gt;(ROW(PLE.lastrow)-ROW(PLE.firstrow))),0,IF(OFFSET(PLE!$G$14,$M350,BX$13)="",10^12,OFFSET(PLE!$G$14,$M350,BX$13))))</f>
        <v>1000000000000</v>
      </c>
      <c r="BY350" s="182">
        <f ca="1">IF($D350&lt;&gt;"Serviço",0,IF(OR(AND(AUTOEVENTO="Manual",$M350=1),$M350&gt;(ROW(PLE.lastrow)-ROW(PLE.firstrow))),0,IF(OFFSET(PLE!$G$14,$M350,BY$13)="",10^12,OFFSET(PLE!$G$14,$M350,BY$13))))</f>
        <v>1000000000000</v>
      </c>
      <c r="BZ350" s="182">
        <f ca="1">IF($D350&lt;&gt;"Serviço",0,IF(OR(AND(AUTOEVENTO="Manual",$M350=1),$M350&gt;(ROW(PLE.lastrow)-ROW(PLE.firstrow))),0,IF(OFFSET(PLE!$G$14,$M350,BZ$13)="",10^12,OFFSET(PLE!$G$14,$M350,BZ$13))))</f>
        <v>1000000000000</v>
      </c>
      <c r="CA350" s="182">
        <f ca="1">IF($D350&lt;&gt;"Serviço",0,IF(OR(AND(AUTOEVENTO="Manual",$M350=1),$M350&gt;(ROW(PLE.lastrow)-ROW(PLE.firstrow))),0,IF(OFFSET(PLE!$G$14,$M350,CA$13)="",10^12,OFFSET(PLE!$G$14,$M350,CA$13))))</f>
        <v>1000000000000</v>
      </c>
      <c r="CB350" s="182">
        <f ca="1">IF($D350&lt;&gt;"Serviço",0,IF(OR(AND(AUTOEVENTO="Manual",$M350=1),$M350&gt;(ROW(PLE.lastrow)-ROW(PLE.firstrow))),0,IF(OFFSET(PLE!$G$14,$M350,CB$13)="",10^12,OFFSET(PLE!$G$14,$M350,CB$13))))</f>
        <v>1000000000000</v>
      </c>
      <c r="CC350" s="182">
        <f ca="1">IF($D350&lt;&gt;"Serviço",0,IF(OR(AND(AUTOEVENTO="Manual",$M350=1),$M350&gt;(ROW(PLE.lastrow)-ROW(PLE.firstrow))),0,IF(OFFSET(PLE!$G$14,$M350,CC$13)="",10^12,OFFSET(PLE!$G$14,$M350,CC$13))))</f>
        <v>1000000000000</v>
      </c>
      <c r="CD350" s="182">
        <f ca="1">IF($D350&lt;&gt;"Serviço",0,IF(OR(AND(AUTOEVENTO="Manual",$M350=1),$M350&gt;(ROW(PLE.lastrow)-ROW(PLE.firstrow))),0,IF(OFFSET(PLE!$G$14,$M350,CD$13)="",10^12,OFFSET(PLE!$G$14,$M350,CD$13))))</f>
        <v>1000000000000</v>
      </c>
      <c r="CE350" s="182">
        <f ca="1">IF($D350&lt;&gt;"Serviço",0,IF(OR(AND(AUTOEVENTO="Manual",$M350=1),$M350&gt;(ROW(PLE.lastrow)-ROW(PLE.firstrow))),0,IF(OFFSET(PLE!$G$14,$M350,CE$13)="",10^12,OFFSET(PLE!$G$14,$M350,CE$13))))</f>
        <v>1000000000000</v>
      </c>
      <c r="CF350" s="182">
        <f ca="1">IF($D350&lt;&gt;"Serviço",0,IF(OR(AND(AUTOEVENTO="Manual",$M350=1),$M350&gt;(ROW(PLE.lastrow)-ROW(PLE.firstrow))),0,IF(OFFSET(PLE!$G$14,$M350,CF$13)="",10^12,OFFSET(PLE!$G$14,$M350,CF$13))))</f>
        <v>1000000000000</v>
      </c>
      <c r="CG350" s="182">
        <f ca="1">IF($D350&lt;&gt;"Serviço",0,IF(OR(AND(AUTOEVENTO="Manual",$M350=1),$M350&gt;(ROW(PLE.lastrow)-ROW(PLE.firstrow))),0,IF(OFFSET(PLE!$G$14,$M350,CG$13)="",10^12,OFFSET(PLE!$G$14,$M350,CG$13))))</f>
        <v>1000000000000</v>
      </c>
      <c r="CH350" s="182">
        <f ca="1">IF($D350&lt;&gt;"Serviço",0,IF(OR(AND(AUTOEVENTO="Manual",$M350=1),$M350&gt;(ROW(PLE.lastrow)-ROW(PLE.firstrow))),0,IF(OFFSET(PLE!$G$14,$M350,CH$13)="",10^12,OFFSET(PLE!$G$14,$M350,CH$13))))</f>
        <v>1000000000000</v>
      </c>
      <c r="CI350" s="182">
        <f ca="1">IF($D350&lt;&gt;"Serviço",0,IF(OR(AND(AUTOEVENTO="Manual",$M350=1),$M350&gt;(ROW(PLE.lastrow)-ROW(PLE.firstrow))),0,IF(OFFSET(PLE!$G$14,$M350,CI$13)="",10^12,OFFSET(PLE!$G$14,$M350,CI$13))))</f>
        <v>1000000000000</v>
      </c>
      <c r="CJ350" s="182">
        <f ca="1">IF($D350&lt;&gt;"Serviço",0,IF(OR(AND(AUTOEVENTO="Manual",$M350=1),$M350&gt;(ROW(PLE.lastrow)-ROW(PLE.firstrow))),0,IF(OFFSET(PLE!$G$14,$M350,CJ$13)="",10^12,OFFSET(PLE!$G$14,$M350,CJ$13))))</f>
        <v>1000000000000</v>
      </c>
      <c r="CK350" s="182">
        <f ca="1">IF($D350&lt;&gt;"Serviço",0,IF(OR(AND(AUTOEVENTO="Manual",$M350=1),$M350&gt;(ROW(PLE.lastrow)-ROW(PLE.firstrow))),0,IF(OFFSET(PLE!$G$14,$M350,CK$13)="",10^12,OFFSET(PLE!$G$14,$M350,CK$13))))</f>
        <v>1000000000000</v>
      </c>
      <c r="CL350" s="182">
        <f ca="1">IF($D350&lt;&gt;"Serviço",0,IF(OR(AND(AUTOEVENTO="Manual",$M350=1),$M350&gt;(ROW(PLE.lastrow)-ROW(PLE.firstrow))),0,IF(OFFSET(PLE!$G$14,$M350,CL$13)="",10^12,OFFSET(PLE!$G$14,$M350,CL$13))))</f>
        <v>1000000000000</v>
      </c>
      <c r="CM350" s="182">
        <f ca="1">IF($D350&lt;&gt;"Serviço",0,IF(OR(AND(AUTOEVENTO="Manual",$M350=1),$M350&gt;(ROW(PLE.lastrow)-ROW(PLE.firstrow))),0,IF(OFFSET(PLE!$G$14,$M350,CM$13)="",10^12,OFFSET(PLE!$G$14,$M350,CM$13))))</f>
        <v>1000000000000</v>
      </c>
    </row>
    <row r="351" spans="1:91" ht="38.25" x14ac:dyDescent="0.2">
      <c r="A351" s="7" t="str">
        <f t="shared" ca="1" si="12"/>
        <v>334</v>
      </c>
      <c r="B351" s="7" t="str">
        <f ca="1">OFFSET(ORÇAMENTO!C$15,ROW(B351)-ROW(B$15),0)</f>
        <v>S</v>
      </c>
      <c r="C351" s="7" t="str">
        <f ca="1">OFFSET(ORÇAMENTO!L$15,ROW(C351)-ROW(C$15),0)</f>
        <v/>
      </c>
      <c r="D351" s="118" t="str">
        <f ca="1">OFFSET(ORÇAMENTO!N$15,ROW(D351)-ROW(D$15),0)</f>
        <v>Serviço</v>
      </c>
      <c r="E351" s="119" t="str">
        <f ca="1">OFFSET(ORÇAMENTO!O$15,ROW(E351)-ROW(E$15),0)</f>
        <v>-</v>
      </c>
      <c r="F351" s="172" t="str">
        <f ca="1">OFFSET(ORÇAMENTO!R$15,ROW(F351)-ROW(F$15),0)</f>
        <v>(abra o arquivo 'Referência 06-2024.xlsm)</v>
      </c>
      <c r="G351" s="173" t="str">
        <f ca="1">IF($D351&lt;&gt;"Serviço","",OFFSET(ORÇAMENTO!S$15,ROW(G351)-ROW(G$15),0))</f>
        <v>-</v>
      </c>
      <c r="H351" s="124">
        <f ca="1">IF($D351&lt;&gt;"Serviço",0,IF(ACOMPANHAMENTO="BM",ROUND(OFFSET(ORÇAMENTO!AJ$15,ROW(H351)-ROW(H$15),0),15-13*ORÇAMENTO!$AF$7),SUMPRODUCT(($Q$12:$AI$12&lt;&gt;"")*ROUND($Q351:$AI351,15-13*ORÇAMENTO!$AF$7))))</f>
        <v>1</v>
      </c>
      <c r="I351" s="561" t="s">
        <v>1107</v>
      </c>
      <c r="K351" s="174"/>
      <c r="L351" s="175" t="s">
        <v>255</v>
      </c>
      <c r="M351" s="176">
        <f ca="1">IF($D351&lt;&gt;"Serviço","",IF(AUTOEVENTO="manual",$A351,IF(ISERROR(MATCH($A351,$A$15:OFFSET($A351,-1,0),0)),MAX($M$15:OFFSET(M351,-1,0))+1,INDEX($M$15:OFFSET(M351,-1,0),MATCH($A351,$A$15:OFFSET($A351,-1,0),0)))))</f>
        <v>42</v>
      </c>
      <c r="N351" s="177" t="str">
        <f ca="1">IF($D351&lt;&gt;"Serviço","",IF(AUTOEVENTO="Manual",IF($A351=0,"&lt;-- defina o número do agrupador",OFFSET(EVENTOS!$D$14,$A351,0)),OFFSET($F$15,$A351,0)))</f>
        <v>INSTALAÇÃO SANITÁRIA - UNIDADE DE TRATAMENTO</v>
      </c>
      <c r="O351" s="178"/>
      <c r="Q351" s="178">
        <v>1</v>
      </c>
      <c r="R351" s="179"/>
      <c r="S351" s="179"/>
      <c r="T351" s="179"/>
      <c r="U351" s="179"/>
      <c r="V351" s="179"/>
      <c r="W351" s="179"/>
      <c r="X351" s="179"/>
      <c r="Y351" s="179"/>
      <c r="Z351" s="180"/>
      <c r="AA351" s="179"/>
      <c r="AB351" s="179"/>
      <c r="AC351" s="179"/>
      <c r="AD351" s="179"/>
      <c r="AE351" s="179"/>
      <c r="AF351" s="179"/>
      <c r="AG351" s="179"/>
      <c r="AH351" s="180"/>
      <c r="AJ351" s="544">
        <f ca="1">IF(AND($D351="Serviço",AJ$12&lt;&gt;0,$H351&gt;0,OR(AUTOEVENTO&lt;&gt;"manual",$M351&lt;&gt;1)),
IF(Import.TipoArredondamento&lt;&gt;"TransfereGOV",
ROUND(OFFSET($P351,0,AJ$13),15-13*ORÇAMENTO!$AF$7)/$H351*OFFSET(ORÇAMENTO!$X$15,ROW(AJ351)-ROW(AJ$15),0),
ROUND(ROUND(OFFSET($P351,0,AJ$13),15-13*ORÇAMENTO!$AF$7)*OFFSET(ORÇAMENTO!$W$15,ROW(AJ351)-ROW(AJ$15),0),15-13*ORÇAMENTO!$AF$11)),0)</f>
        <v>0</v>
      </c>
      <c r="AK351" s="545">
        <f ca="1">IF(AND($D351="Serviço",AK$12&lt;&gt;0,$H351&gt;0,OR(AUTOEVENTO&lt;&gt;"manual",$M351&lt;&gt;1)),
IF(Import.TipoArredondamento&lt;&gt;"TransfereGOV",
ROUND(OFFSET($P351,0,AK$13),15-13*ORÇAMENTO!$AF$7)/$H351*OFFSET(ORÇAMENTO!$X$15,ROW(AK351)-ROW(AK$15),0),
ROUND(ROUND(OFFSET($P351,0,AK$13),15-13*ORÇAMENTO!$AF$7)*OFFSET(ORÇAMENTO!$W$15,ROW(AK351)-ROW(AK$15),0),15-13*ORÇAMENTO!$AF$11)),0)</f>
        <v>0</v>
      </c>
      <c r="AL351" s="545">
        <f ca="1">IF(AND($D351="Serviço",AL$12&lt;&gt;0,$H351&gt;0,OR(AUTOEVENTO&lt;&gt;"manual",$M351&lt;&gt;1)),
IF(Import.TipoArredondamento&lt;&gt;"TransfereGOV",
ROUND(OFFSET($P351,0,AL$13),15-13*ORÇAMENTO!$AF$7)/$H351*OFFSET(ORÇAMENTO!$X$15,ROW(AL351)-ROW(AL$15),0),
ROUND(ROUND(OFFSET($P351,0,AL$13),15-13*ORÇAMENTO!$AF$7)*OFFSET(ORÇAMENTO!$W$15,ROW(AL351)-ROW(AL$15),0),15-13*ORÇAMENTO!$AF$11)),0)</f>
        <v>0</v>
      </c>
      <c r="AM351" s="545">
        <f ca="1">IF(AND($D351="Serviço",AM$12&lt;&gt;0,$H351&gt;0,OR(AUTOEVENTO&lt;&gt;"manual",$M351&lt;&gt;1)),
IF(Import.TipoArredondamento&lt;&gt;"TransfereGOV",
ROUND(OFFSET($P351,0,AM$13),15-13*ORÇAMENTO!$AF$7)/$H351*OFFSET(ORÇAMENTO!$X$15,ROW(AM351)-ROW(AM$15),0),
ROUND(ROUND(OFFSET($P351,0,AM$13),15-13*ORÇAMENTO!$AF$7)*OFFSET(ORÇAMENTO!$W$15,ROW(AM351)-ROW(AM$15),0),15-13*ORÇAMENTO!$AF$11)),0)</f>
        <v>0</v>
      </c>
      <c r="AN351" s="545">
        <f ca="1">IF(AND($D351="Serviço",AN$12&lt;&gt;0,$H351&gt;0,OR(AUTOEVENTO&lt;&gt;"manual",$M351&lt;&gt;1)),
IF(Import.TipoArredondamento&lt;&gt;"TransfereGOV",
ROUND(OFFSET($P351,0,AN$13),15-13*ORÇAMENTO!$AF$7)/$H351*OFFSET(ORÇAMENTO!$X$15,ROW(AN351)-ROW(AN$15),0),
ROUND(ROUND(OFFSET($P351,0,AN$13),15-13*ORÇAMENTO!$AF$7)*OFFSET(ORÇAMENTO!$W$15,ROW(AN351)-ROW(AN$15),0),15-13*ORÇAMENTO!$AF$11)),0)</f>
        <v>0</v>
      </c>
      <c r="AO351" s="545">
        <f ca="1">IF(AND($D351="Serviço",AO$12&lt;&gt;0,$H351&gt;0,OR(AUTOEVENTO&lt;&gt;"manual",$M351&lt;&gt;1)),
IF(Import.TipoArredondamento&lt;&gt;"TransfereGOV",
ROUND(OFFSET($P351,0,AO$13),15-13*ORÇAMENTO!$AF$7)/$H351*OFFSET(ORÇAMENTO!$X$15,ROW(AO351)-ROW(AO$15),0),
ROUND(ROUND(OFFSET($P351,0,AO$13),15-13*ORÇAMENTO!$AF$7)*OFFSET(ORÇAMENTO!$W$15,ROW(AO351)-ROW(AO$15),0),15-13*ORÇAMENTO!$AF$11)),0)</f>
        <v>0</v>
      </c>
      <c r="AP351" s="545">
        <f ca="1">IF(AND($D351="Serviço",AP$12&lt;&gt;0,$H351&gt;0,OR(AUTOEVENTO&lt;&gt;"manual",$M351&lt;&gt;1)),
IF(Import.TipoArredondamento&lt;&gt;"TransfereGOV",
ROUND(OFFSET($P351,0,AP$13),15-13*ORÇAMENTO!$AF$7)/$H351*OFFSET(ORÇAMENTO!$X$15,ROW(AP351)-ROW(AP$15),0),
ROUND(ROUND(OFFSET($P351,0,AP$13),15-13*ORÇAMENTO!$AF$7)*OFFSET(ORÇAMENTO!$W$15,ROW(AP351)-ROW(AP$15),0),15-13*ORÇAMENTO!$AF$11)),0)</f>
        <v>0</v>
      </c>
      <c r="AQ351" s="545">
        <f ca="1">IF(AND($D351="Serviço",AQ$12&lt;&gt;0,$H351&gt;0,OR(AUTOEVENTO&lt;&gt;"manual",$M351&lt;&gt;1)),
IF(Import.TipoArredondamento&lt;&gt;"TransfereGOV",
ROUND(OFFSET($P351,0,AQ$13),15-13*ORÇAMENTO!$AF$7)/$H351*OFFSET(ORÇAMENTO!$X$15,ROW(AQ351)-ROW(AQ$15),0),
ROUND(ROUND(OFFSET($P351,0,AQ$13),15-13*ORÇAMENTO!$AF$7)*OFFSET(ORÇAMENTO!$W$15,ROW(AQ351)-ROW(AQ$15),0),15-13*ORÇAMENTO!$AF$11)),0)</f>
        <v>0</v>
      </c>
      <c r="AR351" s="545">
        <f ca="1">IF(AND($D351="Serviço",AR$12&lt;&gt;0,$H351&gt;0,OR(AUTOEVENTO&lt;&gt;"manual",$M351&lt;&gt;1)),
IF(Import.TipoArredondamento&lt;&gt;"TransfereGOV",
ROUND(OFFSET($P351,0,AR$13),15-13*ORÇAMENTO!$AF$7)/$H351*OFFSET(ORÇAMENTO!$X$15,ROW(AR351)-ROW(AR$15),0),
ROUND(ROUND(OFFSET($P351,0,AR$13),15-13*ORÇAMENTO!$AF$7)*OFFSET(ORÇAMENTO!$W$15,ROW(AR351)-ROW(AR$15),0),15-13*ORÇAMENTO!$AF$11)),0)</f>
        <v>0</v>
      </c>
      <c r="AS351" s="546">
        <f ca="1">IF(AND($D351="Serviço",AS$12&lt;&gt;0,$H351&gt;0,OR(AUTOEVENTO&lt;&gt;"manual",$M351&lt;&gt;1)),
IF(Import.TipoArredondamento&lt;&gt;"TransfereGOV",
ROUND(OFFSET($P351,0,AS$13),15-13*ORÇAMENTO!$AF$7)/$H351*OFFSET(ORÇAMENTO!$X$15,ROW(AS351)-ROW(AS$15),0),
ROUND(ROUND(OFFSET($P351,0,AS$13),15-13*ORÇAMENTO!$AF$7)*OFFSET(ORÇAMENTO!$W$15,ROW(AS351)-ROW(AS$15),0),15-13*ORÇAMENTO!$AF$11)),0)</f>
        <v>0</v>
      </c>
      <c r="AT351" s="545">
        <f ca="1">IF(AND($D351="Serviço",AT$12&lt;&gt;0,$H351&gt;0,OR(AUTOEVENTO&lt;&gt;"manual",$M351&lt;&gt;1)),
IF(Import.TipoArredondamento&lt;&gt;"TransfereGOV",
ROUND(OFFSET($P351,0,AT$13),15-13*ORÇAMENTO!$AF$7)/$H351*OFFSET(ORÇAMENTO!$X$15,ROW(AT351)-ROW(AT$15),0),
ROUND(ROUND(OFFSET($P351,0,AT$13),15-13*ORÇAMENTO!$AF$7)*OFFSET(ORÇAMENTO!$W$15,ROW(AT351)-ROW(AT$15),0),15-13*ORÇAMENTO!$AF$11)),0)</f>
        <v>0</v>
      </c>
      <c r="AU351" s="545">
        <f ca="1">IF(AND($D351="Serviço",AU$12&lt;&gt;0,$H351&gt;0,OR(AUTOEVENTO&lt;&gt;"manual",$M351&lt;&gt;1)),
IF(Import.TipoArredondamento&lt;&gt;"TransfereGOV",
ROUND(OFFSET($P351,0,AU$13),15-13*ORÇAMENTO!$AF$7)/$H351*OFFSET(ORÇAMENTO!$X$15,ROW(AU351)-ROW(AU$15),0),
ROUND(ROUND(OFFSET($P351,0,AU$13),15-13*ORÇAMENTO!$AF$7)*OFFSET(ORÇAMENTO!$W$15,ROW(AU351)-ROW(AU$15),0),15-13*ORÇAMENTO!$AF$11)),0)</f>
        <v>0</v>
      </c>
      <c r="AV351" s="545">
        <f ca="1">IF(AND($D351="Serviço",AV$12&lt;&gt;0,$H351&gt;0,OR(AUTOEVENTO&lt;&gt;"manual",$M351&lt;&gt;1)),
IF(Import.TipoArredondamento&lt;&gt;"TransfereGOV",
ROUND(OFFSET($P351,0,AV$13),15-13*ORÇAMENTO!$AF$7)/$H351*OFFSET(ORÇAMENTO!$X$15,ROW(AV351)-ROW(AV$15),0),
ROUND(ROUND(OFFSET($P351,0,AV$13),15-13*ORÇAMENTO!$AF$7)*OFFSET(ORÇAMENTO!$W$15,ROW(AV351)-ROW(AV$15),0),15-13*ORÇAMENTO!$AF$11)),0)</f>
        <v>0</v>
      </c>
      <c r="AW351" s="545">
        <f ca="1">IF(AND($D351="Serviço",AW$12&lt;&gt;0,$H351&gt;0,OR(AUTOEVENTO&lt;&gt;"manual",$M351&lt;&gt;1)),
IF(Import.TipoArredondamento&lt;&gt;"TransfereGOV",
ROUND(OFFSET($P351,0,AW$13),15-13*ORÇAMENTO!$AF$7)/$H351*OFFSET(ORÇAMENTO!$X$15,ROW(AW351)-ROW(AW$15),0),
ROUND(ROUND(OFFSET($P351,0,AW$13),15-13*ORÇAMENTO!$AF$7)*OFFSET(ORÇAMENTO!$W$15,ROW(AW351)-ROW(AW$15),0),15-13*ORÇAMENTO!$AF$11)),0)</f>
        <v>0</v>
      </c>
      <c r="AX351" s="545">
        <f ca="1">IF(AND($D351="Serviço",AX$12&lt;&gt;0,$H351&gt;0,OR(AUTOEVENTO&lt;&gt;"manual",$M351&lt;&gt;1)),
IF(Import.TipoArredondamento&lt;&gt;"TransfereGOV",
ROUND(OFFSET($P351,0,AX$13),15-13*ORÇAMENTO!$AF$7)/$H351*OFFSET(ORÇAMENTO!$X$15,ROW(AX351)-ROW(AX$15),0),
ROUND(ROUND(OFFSET($P351,0,AX$13),15-13*ORÇAMENTO!$AF$7)*OFFSET(ORÇAMENTO!$W$15,ROW(AX351)-ROW(AX$15),0),15-13*ORÇAMENTO!$AF$11)),0)</f>
        <v>0</v>
      </c>
      <c r="AY351" s="545">
        <f ca="1">IF(AND($D351="Serviço",AY$12&lt;&gt;0,$H351&gt;0,OR(AUTOEVENTO&lt;&gt;"manual",$M351&lt;&gt;1)),
IF(Import.TipoArredondamento&lt;&gt;"TransfereGOV",
ROUND(OFFSET($P351,0,AY$13),15-13*ORÇAMENTO!$AF$7)/$H351*OFFSET(ORÇAMENTO!$X$15,ROW(AY351)-ROW(AY$15),0),
ROUND(ROUND(OFFSET($P351,0,AY$13),15-13*ORÇAMENTO!$AF$7)*OFFSET(ORÇAMENTO!$W$15,ROW(AY351)-ROW(AY$15),0),15-13*ORÇAMENTO!$AF$11)),0)</f>
        <v>0</v>
      </c>
      <c r="AZ351" s="545">
        <f ca="1">IF(AND($D351="Serviço",AZ$12&lt;&gt;0,$H351&gt;0,OR(AUTOEVENTO&lt;&gt;"manual",$M351&lt;&gt;1)),
IF(Import.TipoArredondamento&lt;&gt;"TransfereGOV",
ROUND(OFFSET($P351,0,AZ$13),15-13*ORÇAMENTO!$AF$7)/$H351*OFFSET(ORÇAMENTO!$X$15,ROW(AZ351)-ROW(AZ$15),0),
ROUND(ROUND(OFFSET($P351,0,AZ$13),15-13*ORÇAMENTO!$AF$7)*OFFSET(ORÇAMENTO!$W$15,ROW(AZ351)-ROW(AZ$15),0),15-13*ORÇAMENTO!$AF$11)),0)</f>
        <v>0</v>
      </c>
      <c r="BA351" s="546">
        <f ca="1">IF(AND($D351="Serviço",BA$12&lt;&gt;0,$H351&gt;0,OR(AUTOEVENTO&lt;&gt;"manual",$M351&lt;&gt;1)),
IF(Import.TipoArredondamento&lt;&gt;"TransfereGOV",
ROUND(OFFSET($P351,0,BA$13),15-13*ORÇAMENTO!$AF$7)/$H351*OFFSET(ORÇAMENTO!$X$15,ROW(BA351)-ROW(BA$15),0),
ROUND(ROUND(OFFSET($P351,0,BA$13),15-13*ORÇAMENTO!$AF$7)*OFFSET(ORÇAMENTO!$W$15,ROW(BA351)-ROW(BA$15),0),15-13*ORÇAMENTO!$AF$11)),0)</f>
        <v>0</v>
      </c>
      <c r="BC351" s="181">
        <f ca="1">IF($D351&lt;&gt;"Serviço",0,IF(AND(AUTOEVENTO="Manual",$M351=1),0,IF(OFFSET(CRONOPLE!$F$14,$M351,BC$13)="",10^12,OFFSET(CRONOPLE!$F$14,$M351,BC$13))))</f>
        <v>10</v>
      </c>
      <c r="BD351" s="181">
        <f ca="1">IF($D351&lt;&gt;"Serviço",0,IF(AND(AUTOEVENTO="Manual",$M351=1),0,IF(OFFSET(CRONOPLE!$F$14,$M351,BD$13)="",10^12,OFFSET(CRONOPLE!$F$14,$M351,BD$13))))</f>
        <v>1000000000000</v>
      </c>
      <c r="BE351" s="181">
        <f ca="1">IF($D351&lt;&gt;"Serviço",0,IF(AND(AUTOEVENTO="Manual",$M351=1),0,IF(OFFSET(CRONOPLE!$F$14,$M351,BE$13)="",10^12,OFFSET(CRONOPLE!$F$14,$M351,BE$13))))</f>
        <v>1000000000000</v>
      </c>
      <c r="BF351" s="181">
        <f ca="1">IF($D351&lt;&gt;"Serviço",0,IF(AND(AUTOEVENTO="Manual",$M351=1),0,IF(OFFSET(CRONOPLE!$F$14,$M351,BF$13)="",10^12,OFFSET(CRONOPLE!$F$14,$M351,BF$13))))</f>
        <v>1000000000000</v>
      </c>
      <c r="BG351" s="181">
        <f ca="1">IF($D351&lt;&gt;"Serviço",0,IF(AND(AUTOEVENTO="Manual",$M351=1),0,IF(OFFSET(CRONOPLE!$F$14,$M351,BG$13)="",10^12,OFFSET(CRONOPLE!$F$14,$M351,BG$13))))</f>
        <v>1000000000000</v>
      </c>
      <c r="BH351" s="181">
        <f ca="1">IF($D351&lt;&gt;"Serviço",0,IF(AND(AUTOEVENTO="Manual",$M351=1),0,IF(OFFSET(CRONOPLE!$F$14,$M351,BH$13)="",10^12,OFFSET(CRONOPLE!$F$14,$M351,BH$13))))</f>
        <v>1000000000000</v>
      </c>
      <c r="BI351" s="181">
        <f ca="1">IF($D351&lt;&gt;"Serviço",0,IF(AND(AUTOEVENTO="Manual",$M351=1),0,IF(OFFSET(CRONOPLE!$F$14,$M351,BI$13)="",10^12,OFFSET(CRONOPLE!$F$14,$M351,BI$13))))</f>
        <v>1000000000000</v>
      </c>
      <c r="BJ351" s="181">
        <f ca="1">IF($D351&lt;&gt;"Serviço",0,IF(AND(AUTOEVENTO="Manual",$M351=1),0,IF(OFFSET(CRONOPLE!$F$14,$M351,BJ$13)="",10^12,OFFSET(CRONOPLE!$F$14,$M351,BJ$13))))</f>
        <v>1000000000000</v>
      </c>
      <c r="BK351" s="181">
        <f ca="1">IF($D351&lt;&gt;"Serviço",0,IF(AND(AUTOEVENTO="Manual",$M351=1),0,IF(OFFSET(CRONOPLE!$F$14,$M351,BK$13)="",10^12,OFFSET(CRONOPLE!$F$14,$M351,BK$13))))</f>
        <v>1000000000000</v>
      </c>
      <c r="BL351" s="181">
        <f ca="1">IF($D351&lt;&gt;"Serviço",0,IF(AND(AUTOEVENTO="Manual",$M351=1),0,IF(OFFSET(CRONOPLE!$F$14,$M351,BL$13)="",10^12,OFFSET(CRONOPLE!$F$14,$M351,BL$13))))</f>
        <v>1000000000000</v>
      </c>
      <c r="BM351" s="181">
        <f ca="1">IF($D351&lt;&gt;"Serviço",0,IF(AND(AUTOEVENTO="Manual",$M351=1),0,IF(OFFSET(CRONOPLE!$F$14,$M351,BM$13)="",10^12,OFFSET(CRONOPLE!$F$14,$M351,BM$13))))</f>
        <v>1000000000000</v>
      </c>
      <c r="BN351" s="181">
        <f ca="1">IF($D351&lt;&gt;"Serviço",0,IF(AND(AUTOEVENTO="Manual",$M351=1),0,IF(OFFSET(CRONOPLE!$F$14,$M351,BN$13)="",10^12,OFFSET(CRONOPLE!$F$14,$M351,BN$13))))</f>
        <v>1000000000000</v>
      </c>
      <c r="BO351" s="181">
        <f ca="1">IF($D351&lt;&gt;"Serviço",0,IF(AND(AUTOEVENTO="Manual",$M351=1),0,IF(OFFSET(CRONOPLE!$F$14,$M351,BO$13)="",10^12,OFFSET(CRONOPLE!$F$14,$M351,BO$13))))</f>
        <v>1000000000000</v>
      </c>
      <c r="BP351" s="181">
        <f ca="1">IF($D351&lt;&gt;"Serviço",0,IF(AND(AUTOEVENTO="Manual",$M351=1),0,IF(OFFSET(CRONOPLE!$F$14,$M351,BP$13)="",10^12,OFFSET(CRONOPLE!$F$14,$M351,BP$13))))</f>
        <v>1000000000000</v>
      </c>
      <c r="BQ351" s="181">
        <f ca="1">IF($D351&lt;&gt;"Serviço",0,IF(AND(AUTOEVENTO="Manual",$M351=1),0,IF(OFFSET(CRONOPLE!$F$14,$M351,BQ$13)="",10^12,OFFSET(CRONOPLE!$F$14,$M351,BQ$13))))</f>
        <v>1000000000000</v>
      </c>
      <c r="BR351" s="181">
        <f ca="1">IF($D351&lt;&gt;"Serviço",0,IF(AND(AUTOEVENTO="Manual",$M351=1),0,IF(OFFSET(CRONOPLE!$F$14,$M351,BR$13)="",10^12,OFFSET(CRONOPLE!$F$14,$M351,BR$13))))</f>
        <v>1000000000000</v>
      </c>
      <c r="BS351" s="181">
        <f ca="1">IF($D351&lt;&gt;"Serviço",0,IF(AND(AUTOEVENTO="Manual",$M351=1),0,IF(OFFSET(CRONOPLE!$F$14,$M351,BS$13)="",10^12,OFFSET(CRONOPLE!$F$14,$M351,BS$13))))</f>
        <v>1000000000000</v>
      </c>
      <c r="BT351" s="181">
        <f ca="1">IF($D351&lt;&gt;"Serviço",0,IF(AND(AUTOEVENTO="Manual",$M351=1),0,IF(OFFSET(CRONOPLE!$F$14,$M351,BT$13)="",10^12,OFFSET(CRONOPLE!$F$14,$M351,BT$13))))</f>
        <v>1000000000000</v>
      </c>
      <c r="BV351" s="182">
        <f ca="1">IF($D351&lt;&gt;"Serviço",0,IF(OR(AND(AUTOEVENTO="Manual",$M351=1),$M351&gt;(ROW(PLE.lastrow)-ROW(PLE.firstrow))),0,IF(OFFSET(PLE!$G$14,$M351,BV$13)="",10^12,OFFSET(PLE!$G$14,$M351,BV$13))))</f>
        <v>1000000000000</v>
      </c>
      <c r="BW351" s="182">
        <f ca="1">IF($D351&lt;&gt;"Serviço",0,IF(OR(AND(AUTOEVENTO="Manual",$M351=1),$M351&gt;(ROW(PLE.lastrow)-ROW(PLE.firstrow))),0,IF(OFFSET(PLE!$G$14,$M351,BW$13)="",10^12,OFFSET(PLE!$G$14,$M351,BW$13))))</f>
        <v>1000000000000</v>
      </c>
      <c r="BX351" s="182">
        <f ca="1">IF($D351&lt;&gt;"Serviço",0,IF(OR(AND(AUTOEVENTO="Manual",$M351=1),$M351&gt;(ROW(PLE.lastrow)-ROW(PLE.firstrow))),0,IF(OFFSET(PLE!$G$14,$M351,BX$13)="",10^12,OFFSET(PLE!$G$14,$M351,BX$13))))</f>
        <v>1000000000000</v>
      </c>
      <c r="BY351" s="182">
        <f ca="1">IF($D351&lt;&gt;"Serviço",0,IF(OR(AND(AUTOEVENTO="Manual",$M351=1),$M351&gt;(ROW(PLE.lastrow)-ROW(PLE.firstrow))),0,IF(OFFSET(PLE!$G$14,$M351,BY$13)="",10^12,OFFSET(PLE!$G$14,$M351,BY$13))))</f>
        <v>1000000000000</v>
      </c>
      <c r="BZ351" s="182">
        <f ca="1">IF($D351&lt;&gt;"Serviço",0,IF(OR(AND(AUTOEVENTO="Manual",$M351=1),$M351&gt;(ROW(PLE.lastrow)-ROW(PLE.firstrow))),0,IF(OFFSET(PLE!$G$14,$M351,BZ$13)="",10^12,OFFSET(PLE!$G$14,$M351,BZ$13))))</f>
        <v>1000000000000</v>
      </c>
      <c r="CA351" s="182">
        <f ca="1">IF($D351&lt;&gt;"Serviço",0,IF(OR(AND(AUTOEVENTO="Manual",$M351=1),$M351&gt;(ROW(PLE.lastrow)-ROW(PLE.firstrow))),0,IF(OFFSET(PLE!$G$14,$M351,CA$13)="",10^12,OFFSET(PLE!$G$14,$M351,CA$13))))</f>
        <v>1000000000000</v>
      </c>
      <c r="CB351" s="182">
        <f ca="1">IF($D351&lt;&gt;"Serviço",0,IF(OR(AND(AUTOEVENTO="Manual",$M351=1),$M351&gt;(ROW(PLE.lastrow)-ROW(PLE.firstrow))),0,IF(OFFSET(PLE!$G$14,$M351,CB$13)="",10^12,OFFSET(PLE!$G$14,$M351,CB$13))))</f>
        <v>1000000000000</v>
      </c>
      <c r="CC351" s="182">
        <f ca="1">IF($D351&lt;&gt;"Serviço",0,IF(OR(AND(AUTOEVENTO="Manual",$M351=1),$M351&gt;(ROW(PLE.lastrow)-ROW(PLE.firstrow))),0,IF(OFFSET(PLE!$G$14,$M351,CC$13)="",10^12,OFFSET(PLE!$G$14,$M351,CC$13))))</f>
        <v>1000000000000</v>
      </c>
      <c r="CD351" s="182">
        <f ca="1">IF($D351&lt;&gt;"Serviço",0,IF(OR(AND(AUTOEVENTO="Manual",$M351=1),$M351&gt;(ROW(PLE.lastrow)-ROW(PLE.firstrow))),0,IF(OFFSET(PLE!$G$14,$M351,CD$13)="",10^12,OFFSET(PLE!$G$14,$M351,CD$13))))</f>
        <v>1000000000000</v>
      </c>
      <c r="CE351" s="182">
        <f ca="1">IF($D351&lt;&gt;"Serviço",0,IF(OR(AND(AUTOEVENTO="Manual",$M351=1),$M351&gt;(ROW(PLE.lastrow)-ROW(PLE.firstrow))),0,IF(OFFSET(PLE!$G$14,$M351,CE$13)="",10^12,OFFSET(PLE!$G$14,$M351,CE$13))))</f>
        <v>1000000000000</v>
      </c>
      <c r="CF351" s="182">
        <f ca="1">IF($D351&lt;&gt;"Serviço",0,IF(OR(AND(AUTOEVENTO="Manual",$M351=1),$M351&gt;(ROW(PLE.lastrow)-ROW(PLE.firstrow))),0,IF(OFFSET(PLE!$G$14,$M351,CF$13)="",10^12,OFFSET(PLE!$G$14,$M351,CF$13))))</f>
        <v>1000000000000</v>
      </c>
      <c r="CG351" s="182">
        <f ca="1">IF($D351&lt;&gt;"Serviço",0,IF(OR(AND(AUTOEVENTO="Manual",$M351=1),$M351&gt;(ROW(PLE.lastrow)-ROW(PLE.firstrow))),0,IF(OFFSET(PLE!$G$14,$M351,CG$13)="",10^12,OFFSET(PLE!$G$14,$M351,CG$13))))</f>
        <v>1000000000000</v>
      </c>
      <c r="CH351" s="182">
        <f ca="1">IF($D351&lt;&gt;"Serviço",0,IF(OR(AND(AUTOEVENTO="Manual",$M351=1),$M351&gt;(ROW(PLE.lastrow)-ROW(PLE.firstrow))),0,IF(OFFSET(PLE!$G$14,$M351,CH$13)="",10^12,OFFSET(PLE!$G$14,$M351,CH$13))))</f>
        <v>1000000000000</v>
      </c>
      <c r="CI351" s="182">
        <f ca="1">IF($D351&lt;&gt;"Serviço",0,IF(OR(AND(AUTOEVENTO="Manual",$M351=1),$M351&gt;(ROW(PLE.lastrow)-ROW(PLE.firstrow))),0,IF(OFFSET(PLE!$G$14,$M351,CI$13)="",10^12,OFFSET(PLE!$G$14,$M351,CI$13))))</f>
        <v>1000000000000</v>
      </c>
      <c r="CJ351" s="182">
        <f ca="1">IF($D351&lt;&gt;"Serviço",0,IF(OR(AND(AUTOEVENTO="Manual",$M351=1),$M351&gt;(ROW(PLE.lastrow)-ROW(PLE.firstrow))),0,IF(OFFSET(PLE!$G$14,$M351,CJ$13)="",10^12,OFFSET(PLE!$G$14,$M351,CJ$13))))</f>
        <v>1000000000000</v>
      </c>
      <c r="CK351" s="182">
        <f ca="1">IF($D351&lt;&gt;"Serviço",0,IF(OR(AND(AUTOEVENTO="Manual",$M351=1),$M351&gt;(ROW(PLE.lastrow)-ROW(PLE.firstrow))),0,IF(OFFSET(PLE!$G$14,$M351,CK$13)="",10^12,OFFSET(PLE!$G$14,$M351,CK$13))))</f>
        <v>1000000000000</v>
      </c>
      <c r="CL351" s="182">
        <f ca="1">IF($D351&lt;&gt;"Serviço",0,IF(OR(AND(AUTOEVENTO="Manual",$M351=1),$M351&gt;(ROW(PLE.lastrow)-ROW(PLE.firstrow))),0,IF(OFFSET(PLE!$G$14,$M351,CL$13)="",10^12,OFFSET(PLE!$G$14,$M351,CL$13))))</f>
        <v>1000000000000</v>
      </c>
      <c r="CM351" s="182">
        <f ca="1">IF($D351&lt;&gt;"Serviço",0,IF(OR(AND(AUTOEVENTO="Manual",$M351=1),$M351&gt;(ROW(PLE.lastrow)-ROW(PLE.firstrow))),0,IF(OFFSET(PLE!$G$14,$M351,CM$13)="",10^12,OFFSET(PLE!$G$14,$M351,CM$13))))</f>
        <v>1000000000000</v>
      </c>
    </row>
    <row r="352" spans="1:91" ht="38.25" x14ac:dyDescent="0.2">
      <c r="A352" s="7" t="str">
        <f t="shared" ca="1" si="12"/>
        <v>334</v>
      </c>
      <c r="B352" s="7" t="str">
        <f ca="1">OFFSET(ORÇAMENTO!C$15,ROW(B352)-ROW(B$15),0)</f>
        <v>S</v>
      </c>
      <c r="C352" s="7" t="str">
        <f ca="1">OFFSET(ORÇAMENTO!L$15,ROW(C352)-ROW(C$15),0)</f>
        <v/>
      </c>
      <c r="D352" s="118" t="str">
        <f ca="1">OFFSET(ORÇAMENTO!N$15,ROW(D352)-ROW(D$15),0)</f>
        <v>Serviço</v>
      </c>
      <c r="E352" s="119" t="str">
        <f ca="1">OFFSET(ORÇAMENTO!O$15,ROW(E352)-ROW(E$15),0)</f>
        <v>-</v>
      </c>
      <c r="F352" s="172" t="str">
        <f ca="1">OFFSET(ORÇAMENTO!R$15,ROW(F352)-ROW(F$15),0)</f>
        <v>(abra o arquivo 'Referência 06-2024.xlsm)</v>
      </c>
      <c r="G352" s="173" t="str">
        <f ca="1">IF($D352&lt;&gt;"Serviço","",OFFSET(ORÇAMENTO!S$15,ROW(G352)-ROW(G$15),0))</f>
        <v>-</v>
      </c>
      <c r="H352" s="124">
        <f ca="1">IF($D352&lt;&gt;"Serviço",0,IF(ACOMPANHAMENTO="BM",ROUND(OFFSET(ORÇAMENTO!AJ$15,ROW(H352)-ROW(H$15),0),15-13*ORÇAMENTO!$AF$7),SUMPRODUCT(($Q$12:$AI$12&lt;&gt;"")*ROUND($Q352:$AI352,15-13*ORÇAMENTO!$AF$7))))</f>
        <v>1</v>
      </c>
      <c r="I352" s="561" t="s">
        <v>1107</v>
      </c>
      <c r="K352" s="174"/>
      <c r="L352" s="175" t="s">
        <v>255</v>
      </c>
      <c r="M352" s="176">
        <f ca="1">IF($D352&lt;&gt;"Serviço","",IF(AUTOEVENTO="manual",$A352,IF(ISERROR(MATCH($A352,$A$15:OFFSET($A352,-1,0),0)),MAX($M$15:OFFSET(M352,-1,0))+1,INDEX($M$15:OFFSET(M352,-1,0),MATCH($A352,$A$15:OFFSET($A352,-1,0),0)))))</f>
        <v>42</v>
      </c>
      <c r="N352" s="177" t="str">
        <f ca="1">IF($D352&lt;&gt;"Serviço","",IF(AUTOEVENTO="Manual",IF($A352=0,"&lt;-- defina o número do agrupador",OFFSET(EVENTOS!$D$14,$A352,0)),OFFSET($F$15,$A352,0)))</f>
        <v>INSTALAÇÃO SANITÁRIA - UNIDADE DE TRATAMENTO</v>
      </c>
      <c r="O352" s="178"/>
      <c r="Q352" s="178">
        <v>1</v>
      </c>
      <c r="R352" s="179"/>
      <c r="S352" s="179"/>
      <c r="T352" s="179"/>
      <c r="U352" s="179"/>
      <c r="V352" s="179"/>
      <c r="W352" s="179"/>
      <c r="X352" s="179"/>
      <c r="Y352" s="179"/>
      <c r="Z352" s="180"/>
      <c r="AA352" s="179"/>
      <c r="AB352" s="179"/>
      <c r="AC352" s="179"/>
      <c r="AD352" s="179"/>
      <c r="AE352" s="179"/>
      <c r="AF352" s="179"/>
      <c r="AG352" s="179"/>
      <c r="AH352" s="180"/>
      <c r="AJ352" s="544">
        <f ca="1">IF(AND($D352="Serviço",AJ$12&lt;&gt;0,$H352&gt;0,OR(AUTOEVENTO&lt;&gt;"manual",$M352&lt;&gt;1)),
IF(Import.TipoArredondamento&lt;&gt;"TransfereGOV",
ROUND(OFFSET($P352,0,AJ$13),15-13*ORÇAMENTO!$AF$7)/$H352*OFFSET(ORÇAMENTO!$X$15,ROW(AJ352)-ROW(AJ$15),0),
ROUND(ROUND(OFFSET($P352,0,AJ$13),15-13*ORÇAMENTO!$AF$7)*OFFSET(ORÇAMENTO!$W$15,ROW(AJ352)-ROW(AJ$15),0),15-13*ORÇAMENTO!$AF$11)),0)</f>
        <v>0</v>
      </c>
      <c r="AK352" s="545">
        <f ca="1">IF(AND($D352="Serviço",AK$12&lt;&gt;0,$H352&gt;0,OR(AUTOEVENTO&lt;&gt;"manual",$M352&lt;&gt;1)),
IF(Import.TipoArredondamento&lt;&gt;"TransfereGOV",
ROUND(OFFSET($P352,0,AK$13),15-13*ORÇAMENTO!$AF$7)/$H352*OFFSET(ORÇAMENTO!$X$15,ROW(AK352)-ROW(AK$15),0),
ROUND(ROUND(OFFSET($P352,0,AK$13),15-13*ORÇAMENTO!$AF$7)*OFFSET(ORÇAMENTO!$W$15,ROW(AK352)-ROW(AK$15),0),15-13*ORÇAMENTO!$AF$11)),0)</f>
        <v>0</v>
      </c>
      <c r="AL352" s="545">
        <f ca="1">IF(AND($D352="Serviço",AL$12&lt;&gt;0,$H352&gt;0,OR(AUTOEVENTO&lt;&gt;"manual",$M352&lt;&gt;1)),
IF(Import.TipoArredondamento&lt;&gt;"TransfereGOV",
ROUND(OFFSET($P352,0,AL$13),15-13*ORÇAMENTO!$AF$7)/$H352*OFFSET(ORÇAMENTO!$X$15,ROW(AL352)-ROW(AL$15),0),
ROUND(ROUND(OFFSET($P352,0,AL$13),15-13*ORÇAMENTO!$AF$7)*OFFSET(ORÇAMENTO!$W$15,ROW(AL352)-ROW(AL$15),0),15-13*ORÇAMENTO!$AF$11)),0)</f>
        <v>0</v>
      </c>
      <c r="AM352" s="545">
        <f ca="1">IF(AND($D352="Serviço",AM$12&lt;&gt;0,$H352&gt;0,OR(AUTOEVENTO&lt;&gt;"manual",$M352&lt;&gt;1)),
IF(Import.TipoArredondamento&lt;&gt;"TransfereGOV",
ROUND(OFFSET($P352,0,AM$13),15-13*ORÇAMENTO!$AF$7)/$H352*OFFSET(ORÇAMENTO!$X$15,ROW(AM352)-ROW(AM$15),0),
ROUND(ROUND(OFFSET($P352,0,AM$13),15-13*ORÇAMENTO!$AF$7)*OFFSET(ORÇAMENTO!$W$15,ROW(AM352)-ROW(AM$15),0),15-13*ORÇAMENTO!$AF$11)),0)</f>
        <v>0</v>
      </c>
      <c r="AN352" s="545">
        <f ca="1">IF(AND($D352="Serviço",AN$12&lt;&gt;0,$H352&gt;0,OR(AUTOEVENTO&lt;&gt;"manual",$M352&lt;&gt;1)),
IF(Import.TipoArredondamento&lt;&gt;"TransfereGOV",
ROUND(OFFSET($P352,0,AN$13),15-13*ORÇAMENTO!$AF$7)/$H352*OFFSET(ORÇAMENTO!$X$15,ROW(AN352)-ROW(AN$15),0),
ROUND(ROUND(OFFSET($P352,0,AN$13),15-13*ORÇAMENTO!$AF$7)*OFFSET(ORÇAMENTO!$W$15,ROW(AN352)-ROW(AN$15),0),15-13*ORÇAMENTO!$AF$11)),0)</f>
        <v>0</v>
      </c>
      <c r="AO352" s="545">
        <f ca="1">IF(AND($D352="Serviço",AO$12&lt;&gt;0,$H352&gt;0,OR(AUTOEVENTO&lt;&gt;"manual",$M352&lt;&gt;1)),
IF(Import.TipoArredondamento&lt;&gt;"TransfereGOV",
ROUND(OFFSET($P352,0,AO$13),15-13*ORÇAMENTO!$AF$7)/$H352*OFFSET(ORÇAMENTO!$X$15,ROW(AO352)-ROW(AO$15),0),
ROUND(ROUND(OFFSET($P352,0,AO$13),15-13*ORÇAMENTO!$AF$7)*OFFSET(ORÇAMENTO!$W$15,ROW(AO352)-ROW(AO$15),0),15-13*ORÇAMENTO!$AF$11)),0)</f>
        <v>0</v>
      </c>
      <c r="AP352" s="545">
        <f ca="1">IF(AND($D352="Serviço",AP$12&lt;&gt;0,$H352&gt;0,OR(AUTOEVENTO&lt;&gt;"manual",$M352&lt;&gt;1)),
IF(Import.TipoArredondamento&lt;&gt;"TransfereGOV",
ROUND(OFFSET($P352,0,AP$13),15-13*ORÇAMENTO!$AF$7)/$H352*OFFSET(ORÇAMENTO!$X$15,ROW(AP352)-ROW(AP$15),0),
ROUND(ROUND(OFFSET($P352,0,AP$13),15-13*ORÇAMENTO!$AF$7)*OFFSET(ORÇAMENTO!$W$15,ROW(AP352)-ROW(AP$15),0),15-13*ORÇAMENTO!$AF$11)),0)</f>
        <v>0</v>
      </c>
      <c r="AQ352" s="545">
        <f ca="1">IF(AND($D352="Serviço",AQ$12&lt;&gt;0,$H352&gt;0,OR(AUTOEVENTO&lt;&gt;"manual",$M352&lt;&gt;1)),
IF(Import.TipoArredondamento&lt;&gt;"TransfereGOV",
ROUND(OFFSET($P352,0,AQ$13),15-13*ORÇAMENTO!$AF$7)/$H352*OFFSET(ORÇAMENTO!$X$15,ROW(AQ352)-ROW(AQ$15),0),
ROUND(ROUND(OFFSET($P352,0,AQ$13),15-13*ORÇAMENTO!$AF$7)*OFFSET(ORÇAMENTO!$W$15,ROW(AQ352)-ROW(AQ$15),0),15-13*ORÇAMENTO!$AF$11)),0)</f>
        <v>0</v>
      </c>
      <c r="AR352" s="545">
        <f ca="1">IF(AND($D352="Serviço",AR$12&lt;&gt;0,$H352&gt;0,OR(AUTOEVENTO&lt;&gt;"manual",$M352&lt;&gt;1)),
IF(Import.TipoArredondamento&lt;&gt;"TransfereGOV",
ROUND(OFFSET($P352,0,AR$13),15-13*ORÇAMENTO!$AF$7)/$H352*OFFSET(ORÇAMENTO!$X$15,ROW(AR352)-ROW(AR$15),0),
ROUND(ROUND(OFFSET($P352,0,AR$13),15-13*ORÇAMENTO!$AF$7)*OFFSET(ORÇAMENTO!$W$15,ROW(AR352)-ROW(AR$15),0),15-13*ORÇAMENTO!$AF$11)),0)</f>
        <v>0</v>
      </c>
      <c r="AS352" s="546">
        <f ca="1">IF(AND($D352="Serviço",AS$12&lt;&gt;0,$H352&gt;0,OR(AUTOEVENTO&lt;&gt;"manual",$M352&lt;&gt;1)),
IF(Import.TipoArredondamento&lt;&gt;"TransfereGOV",
ROUND(OFFSET($P352,0,AS$13),15-13*ORÇAMENTO!$AF$7)/$H352*OFFSET(ORÇAMENTO!$X$15,ROW(AS352)-ROW(AS$15),0),
ROUND(ROUND(OFFSET($P352,0,AS$13),15-13*ORÇAMENTO!$AF$7)*OFFSET(ORÇAMENTO!$W$15,ROW(AS352)-ROW(AS$15),0),15-13*ORÇAMENTO!$AF$11)),0)</f>
        <v>0</v>
      </c>
      <c r="AT352" s="545">
        <f ca="1">IF(AND($D352="Serviço",AT$12&lt;&gt;0,$H352&gt;0,OR(AUTOEVENTO&lt;&gt;"manual",$M352&lt;&gt;1)),
IF(Import.TipoArredondamento&lt;&gt;"TransfereGOV",
ROUND(OFFSET($P352,0,AT$13),15-13*ORÇAMENTO!$AF$7)/$H352*OFFSET(ORÇAMENTO!$X$15,ROW(AT352)-ROW(AT$15),0),
ROUND(ROUND(OFFSET($P352,0,AT$13),15-13*ORÇAMENTO!$AF$7)*OFFSET(ORÇAMENTO!$W$15,ROW(AT352)-ROW(AT$15),0),15-13*ORÇAMENTO!$AF$11)),0)</f>
        <v>0</v>
      </c>
      <c r="AU352" s="545">
        <f ca="1">IF(AND($D352="Serviço",AU$12&lt;&gt;0,$H352&gt;0,OR(AUTOEVENTO&lt;&gt;"manual",$M352&lt;&gt;1)),
IF(Import.TipoArredondamento&lt;&gt;"TransfereGOV",
ROUND(OFFSET($P352,0,AU$13),15-13*ORÇAMENTO!$AF$7)/$H352*OFFSET(ORÇAMENTO!$X$15,ROW(AU352)-ROW(AU$15),0),
ROUND(ROUND(OFFSET($P352,0,AU$13),15-13*ORÇAMENTO!$AF$7)*OFFSET(ORÇAMENTO!$W$15,ROW(AU352)-ROW(AU$15),0),15-13*ORÇAMENTO!$AF$11)),0)</f>
        <v>0</v>
      </c>
      <c r="AV352" s="545">
        <f ca="1">IF(AND($D352="Serviço",AV$12&lt;&gt;0,$H352&gt;0,OR(AUTOEVENTO&lt;&gt;"manual",$M352&lt;&gt;1)),
IF(Import.TipoArredondamento&lt;&gt;"TransfereGOV",
ROUND(OFFSET($P352,0,AV$13),15-13*ORÇAMENTO!$AF$7)/$H352*OFFSET(ORÇAMENTO!$X$15,ROW(AV352)-ROW(AV$15),0),
ROUND(ROUND(OFFSET($P352,0,AV$13),15-13*ORÇAMENTO!$AF$7)*OFFSET(ORÇAMENTO!$W$15,ROW(AV352)-ROW(AV$15),0),15-13*ORÇAMENTO!$AF$11)),0)</f>
        <v>0</v>
      </c>
      <c r="AW352" s="545">
        <f ca="1">IF(AND($D352="Serviço",AW$12&lt;&gt;0,$H352&gt;0,OR(AUTOEVENTO&lt;&gt;"manual",$M352&lt;&gt;1)),
IF(Import.TipoArredondamento&lt;&gt;"TransfereGOV",
ROUND(OFFSET($P352,0,AW$13),15-13*ORÇAMENTO!$AF$7)/$H352*OFFSET(ORÇAMENTO!$X$15,ROW(AW352)-ROW(AW$15),0),
ROUND(ROUND(OFFSET($P352,0,AW$13),15-13*ORÇAMENTO!$AF$7)*OFFSET(ORÇAMENTO!$W$15,ROW(AW352)-ROW(AW$15),0),15-13*ORÇAMENTO!$AF$11)),0)</f>
        <v>0</v>
      </c>
      <c r="AX352" s="545">
        <f ca="1">IF(AND($D352="Serviço",AX$12&lt;&gt;0,$H352&gt;0,OR(AUTOEVENTO&lt;&gt;"manual",$M352&lt;&gt;1)),
IF(Import.TipoArredondamento&lt;&gt;"TransfereGOV",
ROUND(OFFSET($P352,0,AX$13),15-13*ORÇAMENTO!$AF$7)/$H352*OFFSET(ORÇAMENTO!$X$15,ROW(AX352)-ROW(AX$15),0),
ROUND(ROUND(OFFSET($P352,0,AX$13),15-13*ORÇAMENTO!$AF$7)*OFFSET(ORÇAMENTO!$W$15,ROW(AX352)-ROW(AX$15),0),15-13*ORÇAMENTO!$AF$11)),0)</f>
        <v>0</v>
      </c>
      <c r="AY352" s="545">
        <f ca="1">IF(AND($D352="Serviço",AY$12&lt;&gt;0,$H352&gt;0,OR(AUTOEVENTO&lt;&gt;"manual",$M352&lt;&gt;1)),
IF(Import.TipoArredondamento&lt;&gt;"TransfereGOV",
ROUND(OFFSET($P352,0,AY$13),15-13*ORÇAMENTO!$AF$7)/$H352*OFFSET(ORÇAMENTO!$X$15,ROW(AY352)-ROW(AY$15),0),
ROUND(ROUND(OFFSET($P352,0,AY$13),15-13*ORÇAMENTO!$AF$7)*OFFSET(ORÇAMENTO!$W$15,ROW(AY352)-ROW(AY$15),0),15-13*ORÇAMENTO!$AF$11)),0)</f>
        <v>0</v>
      </c>
      <c r="AZ352" s="545">
        <f ca="1">IF(AND($D352="Serviço",AZ$12&lt;&gt;0,$H352&gt;0,OR(AUTOEVENTO&lt;&gt;"manual",$M352&lt;&gt;1)),
IF(Import.TipoArredondamento&lt;&gt;"TransfereGOV",
ROUND(OFFSET($P352,0,AZ$13),15-13*ORÇAMENTO!$AF$7)/$H352*OFFSET(ORÇAMENTO!$X$15,ROW(AZ352)-ROW(AZ$15),0),
ROUND(ROUND(OFFSET($P352,0,AZ$13),15-13*ORÇAMENTO!$AF$7)*OFFSET(ORÇAMENTO!$W$15,ROW(AZ352)-ROW(AZ$15),0),15-13*ORÇAMENTO!$AF$11)),0)</f>
        <v>0</v>
      </c>
      <c r="BA352" s="546">
        <f ca="1">IF(AND($D352="Serviço",BA$12&lt;&gt;0,$H352&gt;0,OR(AUTOEVENTO&lt;&gt;"manual",$M352&lt;&gt;1)),
IF(Import.TipoArredondamento&lt;&gt;"TransfereGOV",
ROUND(OFFSET($P352,0,BA$13),15-13*ORÇAMENTO!$AF$7)/$H352*OFFSET(ORÇAMENTO!$X$15,ROW(BA352)-ROW(BA$15),0),
ROUND(ROUND(OFFSET($P352,0,BA$13),15-13*ORÇAMENTO!$AF$7)*OFFSET(ORÇAMENTO!$W$15,ROW(BA352)-ROW(BA$15),0),15-13*ORÇAMENTO!$AF$11)),0)</f>
        <v>0</v>
      </c>
      <c r="BC352" s="181">
        <f ca="1">IF($D352&lt;&gt;"Serviço",0,IF(AND(AUTOEVENTO="Manual",$M352=1),0,IF(OFFSET(CRONOPLE!$F$14,$M352,BC$13)="",10^12,OFFSET(CRONOPLE!$F$14,$M352,BC$13))))</f>
        <v>10</v>
      </c>
      <c r="BD352" s="181">
        <f ca="1">IF($D352&lt;&gt;"Serviço",0,IF(AND(AUTOEVENTO="Manual",$M352=1),0,IF(OFFSET(CRONOPLE!$F$14,$M352,BD$13)="",10^12,OFFSET(CRONOPLE!$F$14,$M352,BD$13))))</f>
        <v>1000000000000</v>
      </c>
      <c r="BE352" s="181">
        <f ca="1">IF($D352&lt;&gt;"Serviço",0,IF(AND(AUTOEVENTO="Manual",$M352=1),0,IF(OFFSET(CRONOPLE!$F$14,$M352,BE$13)="",10^12,OFFSET(CRONOPLE!$F$14,$M352,BE$13))))</f>
        <v>1000000000000</v>
      </c>
      <c r="BF352" s="181">
        <f ca="1">IF($D352&lt;&gt;"Serviço",0,IF(AND(AUTOEVENTO="Manual",$M352=1),0,IF(OFFSET(CRONOPLE!$F$14,$M352,BF$13)="",10^12,OFFSET(CRONOPLE!$F$14,$M352,BF$13))))</f>
        <v>1000000000000</v>
      </c>
      <c r="BG352" s="181">
        <f ca="1">IF($D352&lt;&gt;"Serviço",0,IF(AND(AUTOEVENTO="Manual",$M352=1),0,IF(OFFSET(CRONOPLE!$F$14,$M352,BG$13)="",10^12,OFFSET(CRONOPLE!$F$14,$M352,BG$13))))</f>
        <v>1000000000000</v>
      </c>
      <c r="BH352" s="181">
        <f ca="1">IF($D352&lt;&gt;"Serviço",0,IF(AND(AUTOEVENTO="Manual",$M352=1),0,IF(OFFSET(CRONOPLE!$F$14,$M352,BH$13)="",10^12,OFFSET(CRONOPLE!$F$14,$M352,BH$13))))</f>
        <v>1000000000000</v>
      </c>
      <c r="BI352" s="181">
        <f ca="1">IF($D352&lt;&gt;"Serviço",0,IF(AND(AUTOEVENTO="Manual",$M352=1),0,IF(OFFSET(CRONOPLE!$F$14,$M352,BI$13)="",10^12,OFFSET(CRONOPLE!$F$14,$M352,BI$13))))</f>
        <v>1000000000000</v>
      </c>
      <c r="BJ352" s="181">
        <f ca="1">IF($D352&lt;&gt;"Serviço",0,IF(AND(AUTOEVENTO="Manual",$M352=1),0,IF(OFFSET(CRONOPLE!$F$14,$M352,BJ$13)="",10^12,OFFSET(CRONOPLE!$F$14,$M352,BJ$13))))</f>
        <v>1000000000000</v>
      </c>
      <c r="BK352" s="181">
        <f ca="1">IF($D352&lt;&gt;"Serviço",0,IF(AND(AUTOEVENTO="Manual",$M352=1),0,IF(OFFSET(CRONOPLE!$F$14,$M352,BK$13)="",10^12,OFFSET(CRONOPLE!$F$14,$M352,BK$13))))</f>
        <v>1000000000000</v>
      </c>
      <c r="BL352" s="181">
        <f ca="1">IF($D352&lt;&gt;"Serviço",0,IF(AND(AUTOEVENTO="Manual",$M352=1),0,IF(OFFSET(CRONOPLE!$F$14,$M352,BL$13)="",10^12,OFFSET(CRONOPLE!$F$14,$M352,BL$13))))</f>
        <v>1000000000000</v>
      </c>
      <c r="BM352" s="181">
        <f ca="1">IF($D352&lt;&gt;"Serviço",0,IF(AND(AUTOEVENTO="Manual",$M352=1),0,IF(OFFSET(CRONOPLE!$F$14,$M352,BM$13)="",10^12,OFFSET(CRONOPLE!$F$14,$M352,BM$13))))</f>
        <v>1000000000000</v>
      </c>
      <c r="BN352" s="181">
        <f ca="1">IF($D352&lt;&gt;"Serviço",0,IF(AND(AUTOEVENTO="Manual",$M352=1),0,IF(OFFSET(CRONOPLE!$F$14,$M352,BN$13)="",10^12,OFFSET(CRONOPLE!$F$14,$M352,BN$13))))</f>
        <v>1000000000000</v>
      </c>
      <c r="BO352" s="181">
        <f ca="1">IF($D352&lt;&gt;"Serviço",0,IF(AND(AUTOEVENTO="Manual",$M352=1),0,IF(OFFSET(CRONOPLE!$F$14,$M352,BO$13)="",10^12,OFFSET(CRONOPLE!$F$14,$M352,BO$13))))</f>
        <v>1000000000000</v>
      </c>
      <c r="BP352" s="181">
        <f ca="1">IF($D352&lt;&gt;"Serviço",0,IF(AND(AUTOEVENTO="Manual",$M352=1),0,IF(OFFSET(CRONOPLE!$F$14,$M352,BP$13)="",10^12,OFFSET(CRONOPLE!$F$14,$M352,BP$13))))</f>
        <v>1000000000000</v>
      </c>
      <c r="BQ352" s="181">
        <f ca="1">IF($D352&lt;&gt;"Serviço",0,IF(AND(AUTOEVENTO="Manual",$M352=1),0,IF(OFFSET(CRONOPLE!$F$14,$M352,BQ$13)="",10^12,OFFSET(CRONOPLE!$F$14,$M352,BQ$13))))</f>
        <v>1000000000000</v>
      </c>
      <c r="BR352" s="181">
        <f ca="1">IF($D352&lt;&gt;"Serviço",0,IF(AND(AUTOEVENTO="Manual",$M352=1),0,IF(OFFSET(CRONOPLE!$F$14,$M352,BR$13)="",10^12,OFFSET(CRONOPLE!$F$14,$M352,BR$13))))</f>
        <v>1000000000000</v>
      </c>
      <c r="BS352" s="181">
        <f ca="1">IF($D352&lt;&gt;"Serviço",0,IF(AND(AUTOEVENTO="Manual",$M352=1),0,IF(OFFSET(CRONOPLE!$F$14,$M352,BS$13)="",10^12,OFFSET(CRONOPLE!$F$14,$M352,BS$13))))</f>
        <v>1000000000000</v>
      </c>
      <c r="BT352" s="181">
        <f ca="1">IF($D352&lt;&gt;"Serviço",0,IF(AND(AUTOEVENTO="Manual",$M352=1),0,IF(OFFSET(CRONOPLE!$F$14,$M352,BT$13)="",10^12,OFFSET(CRONOPLE!$F$14,$M352,BT$13))))</f>
        <v>1000000000000</v>
      </c>
      <c r="BV352" s="182">
        <f ca="1">IF($D352&lt;&gt;"Serviço",0,IF(OR(AND(AUTOEVENTO="Manual",$M352=1),$M352&gt;(ROW(PLE.lastrow)-ROW(PLE.firstrow))),0,IF(OFFSET(PLE!$G$14,$M352,BV$13)="",10^12,OFFSET(PLE!$G$14,$M352,BV$13))))</f>
        <v>1000000000000</v>
      </c>
      <c r="BW352" s="182">
        <f ca="1">IF($D352&lt;&gt;"Serviço",0,IF(OR(AND(AUTOEVENTO="Manual",$M352=1),$M352&gt;(ROW(PLE.lastrow)-ROW(PLE.firstrow))),0,IF(OFFSET(PLE!$G$14,$M352,BW$13)="",10^12,OFFSET(PLE!$G$14,$M352,BW$13))))</f>
        <v>1000000000000</v>
      </c>
      <c r="BX352" s="182">
        <f ca="1">IF($D352&lt;&gt;"Serviço",0,IF(OR(AND(AUTOEVENTO="Manual",$M352=1),$M352&gt;(ROW(PLE.lastrow)-ROW(PLE.firstrow))),0,IF(OFFSET(PLE!$G$14,$M352,BX$13)="",10^12,OFFSET(PLE!$G$14,$M352,BX$13))))</f>
        <v>1000000000000</v>
      </c>
      <c r="BY352" s="182">
        <f ca="1">IF($D352&lt;&gt;"Serviço",0,IF(OR(AND(AUTOEVENTO="Manual",$M352=1),$M352&gt;(ROW(PLE.lastrow)-ROW(PLE.firstrow))),0,IF(OFFSET(PLE!$G$14,$M352,BY$13)="",10^12,OFFSET(PLE!$G$14,$M352,BY$13))))</f>
        <v>1000000000000</v>
      </c>
      <c r="BZ352" s="182">
        <f ca="1">IF($D352&lt;&gt;"Serviço",0,IF(OR(AND(AUTOEVENTO="Manual",$M352=1),$M352&gt;(ROW(PLE.lastrow)-ROW(PLE.firstrow))),0,IF(OFFSET(PLE!$G$14,$M352,BZ$13)="",10^12,OFFSET(PLE!$G$14,$M352,BZ$13))))</f>
        <v>1000000000000</v>
      </c>
      <c r="CA352" s="182">
        <f ca="1">IF($D352&lt;&gt;"Serviço",0,IF(OR(AND(AUTOEVENTO="Manual",$M352=1),$M352&gt;(ROW(PLE.lastrow)-ROW(PLE.firstrow))),0,IF(OFFSET(PLE!$G$14,$M352,CA$13)="",10^12,OFFSET(PLE!$G$14,$M352,CA$13))))</f>
        <v>1000000000000</v>
      </c>
      <c r="CB352" s="182">
        <f ca="1">IF($D352&lt;&gt;"Serviço",0,IF(OR(AND(AUTOEVENTO="Manual",$M352=1),$M352&gt;(ROW(PLE.lastrow)-ROW(PLE.firstrow))),0,IF(OFFSET(PLE!$G$14,$M352,CB$13)="",10^12,OFFSET(PLE!$G$14,$M352,CB$13))))</f>
        <v>1000000000000</v>
      </c>
      <c r="CC352" s="182">
        <f ca="1">IF($D352&lt;&gt;"Serviço",0,IF(OR(AND(AUTOEVENTO="Manual",$M352=1),$M352&gt;(ROW(PLE.lastrow)-ROW(PLE.firstrow))),0,IF(OFFSET(PLE!$G$14,$M352,CC$13)="",10^12,OFFSET(PLE!$G$14,$M352,CC$13))))</f>
        <v>1000000000000</v>
      </c>
      <c r="CD352" s="182">
        <f ca="1">IF($D352&lt;&gt;"Serviço",0,IF(OR(AND(AUTOEVENTO="Manual",$M352=1),$M352&gt;(ROW(PLE.lastrow)-ROW(PLE.firstrow))),0,IF(OFFSET(PLE!$G$14,$M352,CD$13)="",10^12,OFFSET(PLE!$G$14,$M352,CD$13))))</f>
        <v>1000000000000</v>
      </c>
      <c r="CE352" s="182">
        <f ca="1">IF($D352&lt;&gt;"Serviço",0,IF(OR(AND(AUTOEVENTO="Manual",$M352=1),$M352&gt;(ROW(PLE.lastrow)-ROW(PLE.firstrow))),0,IF(OFFSET(PLE!$G$14,$M352,CE$13)="",10^12,OFFSET(PLE!$G$14,$M352,CE$13))))</f>
        <v>1000000000000</v>
      </c>
      <c r="CF352" s="182">
        <f ca="1">IF($D352&lt;&gt;"Serviço",0,IF(OR(AND(AUTOEVENTO="Manual",$M352=1),$M352&gt;(ROW(PLE.lastrow)-ROW(PLE.firstrow))),0,IF(OFFSET(PLE!$G$14,$M352,CF$13)="",10^12,OFFSET(PLE!$G$14,$M352,CF$13))))</f>
        <v>1000000000000</v>
      </c>
      <c r="CG352" s="182">
        <f ca="1">IF($D352&lt;&gt;"Serviço",0,IF(OR(AND(AUTOEVENTO="Manual",$M352=1),$M352&gt;(ROW(PLE.lastrow)-ROW(PLE.firstrow))),0,IF(OFFSET(PLE!$G$14,$M352,CG$13)="",10^12,OFFSET(PLE!$G$14,$M352,CG$13))))</f>
        <v>1000000000000</v>
      </c>
      <c r="CH352" s="182">
        <f ca="1">IF($D352&lt;&gt;"Serviço",0,IF(OR(AND(AUTOEVENTO="Manual",$M352=1),$M352&gt;(ROW(PLE.lastrow)-ROW(PLE.firstrow))),0,IF(OFFSET(PLE!$G$14,$M352,CH$13)="",10^12,OFFSET(PLE!$G$14,$M352,CH$13))))</f>
        <v>1000000000000</v>
      </c>
      <c r="CI352" s="182">
        <f ca="1">IF($D352&lt;&gt;"Serviço",0,IF(OR(AND(AUTOEVENTO="Manual",$M352=1),$M352&gt;(ROW(PLE.lastrow)-ROW(PLE.firstrow))),0,IF(OFFSET(PLE!$G$14,$M352,CI$13)="",10^12,OFFSET(PLE!$G$14,$M352,CI$13))))</f>
        <v>1000000000000</v>
      </c>
      <c r="CJ352" s="182">
        <f ca="1">IF($D352&lt;&gt;"Serviço",0,IF(OR(AND(AUTOEVENTO="Manual",$M352=1),$M352&gt;(ROW(PLE.lastrow)-ROW(PLE.firstrow))),0,IF(OFFSET(PLE!$G$14,$M352,CJ$13)="",10^12,OFFSET(PLE!$G$14,$M352,CJ$13))))</f>
        <v>1000000000000</v>
      </c>
      <c r="CK352" s="182">
        <f ca="1">IF($D352&lt;&gt;"Serviço",0,IF(OR(AND(AUTOEVENTO="Manual",$M352=1),$M352&gt;(ROW(PLE.lastrow)-ROW(PLE.firstrow))),0,IF(OFFSET(PLE!$G$14,$M352,CK$13)="",10^12,OFFSET(PLE!$G$14,$M352,CK$13))))</f>
        <v>1000000000000</v>
      </c>
      <c r="CL352" s="182">
        <f ca="1">IF($D352&lt;&gt;"Serviço",0,IF(OR(AND(AUTOEVENTO="Manual",$M352=1),$M352&gt;(ROW(PLE.lastrow)-ROW(PLE.firstrow))),0,IF(OFFSET(PLE!$G$14,$M352,CL$13)="",10^12,OFFSET(PLE!$G$14,$M352,CL$13))))</f>
        <v>1000000000000</v>
      </c>
      <c r="CM352" s="182">
        <f ca="1">IF($D352&lt;&gt;"Serviço",0,IF(OR(AND(AUTOEVENTO="Manual",$M352=1),$M352&gt;(ROW(PLE.lastrow)-ROW(PLE.firstrow))),0,IF(OFFSET(PLE!$G$14,$M352,CM$13)="",10^12,OFFSET(PLE!$G$14,$M352,CM$13))))</f>
        <v>1000000000000</v>
      </c>
    </row>
    <row r="353" spans="1:91" ht="12.75" x14ac:dyDescent="0.2">
      <c r="A353" s="7" t="str">
        <f t="shared" ca="1" si="12"/>
        <v>338.</v>
      </c>
      <c r="B353" s="7">
        <f ca="1">OFFSET(ORÇAMENTO!C$15,ROW(B353)-ROW(B$15),0)</f>
        <v>2</v>
      </c>
      <c r="C353" s="7" t="str">
        <f ca="1">OFFSET(ORÇAMENTO!L$15,ROW(C353)-ROW(C$15),0)</f>
        <v>F</v>
      </c>
      <c r="D353" s="118" t="str">
        <f ca="1">OFFSET(ORÇAMENTO!N$15,ROW(D353)-ROW(D$15),0)</f>
        <v>Nível 2</v>
      </c>
      <c r="E353" s="119" t="str">
        <f ca="1">OFFSET(ORÇAMENTO!O$15,ROW(E353)-ROW(E$15),0)</f>
        <v>1.42.</v>
      </c>
      <c r="F353" s="172" t="str">
        <f ca="1">OFFSET(ORÇAMENTO!R$15,ROW(F353)-ROW(F$15),0)</f>
        <v>INSTALAÇÃO SANITÁRIA - VENTILAÇÃO</v>
      </c>
      <c r="G353" s="173" t="str">
        <f ca="1">IF($D353&lt;&gt;"Serviço","",OFFSET(ORÇAMENTO!S$15,ROW(G353)-ROW(G$15),0))</f>
        <v/>
      </c>
      <c r="H353" s="124">
        <f ca="1">IF($D353&lt;&gt;"Serviço",0,IF(ACOMPANHAMENTO="BM",ROUND(OFFSET(ORÇAMENTO!AJ$15,ROW(H353)-ROW(H$15),0),15-13*ORÇAMENTO!$AF$7),SUMPRODUCT(($Q$12:$AI$12&lt;&gt;"")*ROUND($Q353:$AI353,15-13*ORÇAMENTO!$AF$7))))</f>
        <v>0</v>
      </c>
      <c r="I353" s="561"/>
      <c r="K353" s="174"/>
      <c r="L353" s="175" t="s">
        <v>255</v>
      </c>
      <c r="M353" s="176" t="str">
        <f ca="1">IF($D353&lt;&gt;"Serviço","",IF(AUTOEVENTO="manual",$A353,IF(ISERROR(MATCH($A353,$A$15:OFFSET($A353,-1,0),0)),MAX($M$15:OFFSET(M353,-1,0))+1,INDEX($M$15:OFFSET(M353,-1,0),MATCH($A353,$A$15:OFFSET($A353,-1,0),0)))))</f>
        <v/>
      </c>
      <c r="N353" s="177" t="str">
        <f ca="1">IF($D353&lt;&gt;"Serviço","",IF(AUTOEVENTO="Manual",IF($A353=0,"&lt;-- defina o número do agrupador",OFFSET(EVENTOS!$D$14,$A353,0)),OFFSET($F$15,$A353,0)))</f>
        <v/>
      </c>
      <c r="O353" s="178"/>
      <c r="Q353" s="178">
        <v>0</v>
      </c>
      <c r="R353" s="179"/>
      <c r="S353" s="179"/>
      <c r="T353" s="179"/>
      <c r="U353" s="179"/>
      <c r="V353" s="179"/>
      <c r="W353" s="179"/>
      <c r="X353" s="179"/>
      <c r="Y353" s="179"/>
      <c r="Z353" s="180"/>
      <c r="AA353" s="179"/>
      <c r="AB353" s="179"/>
      <c r="AC353" s="179"/>
      <c r="AD353" s="179"/>
      <c r="AE353" s="179"/>
      <c r="AF353" s="179"/>
      <c r="AG353" s="179"/>
      <c r="AH353" s="180"/>
      <c r="AJ353" s="544">
        <f ca="1">IF(AND($D353="Serviço",AJ$12&lt;&gt;0,$H353&gt;0,OR(AUTOEVENTO&lt;&gt;"manual",$M353&lt;&gt;1)),
IF(Import.TipoArredondamento&lt;&gt;"TransfereGOV",
ROUND(OFFSET($P353,0,AJ$13),15-13*ORÇAMENTO!$AF$7)/$H353*OFFSET(ORÇAMENTO!$X$15,ROW(AJ353)-ROW(AJ$15),0),
ROUND(ROUND(OFFSET($P353,0,AJ$13),15-13*ORÇAMENTO!$AF$7)*OFFSET(ORÇAMENTO!$W$15,ROW(AJ353)-ROW(AJ$15),0),15-13*ORÇAMENTO!$AF$11)),0)</f>
        <v>0</v>
      </c>
      <c r="AK353" s="545">
        <f ca="1">IF(AND($D353="Serviço",AK$12&lt;&gt;0,$H353&gt;0,OR(AUTOEVENTO&lt;&gt;"manual",$M353&lt;&gt;1)),
IF(Import.TipoArredondamento&lt;&gt;"TransfereGOV",
ROUND(OFFSET($P353,0,AK$13),15-13*ORÇAMENTO!$AF$7)/$H353*OFFSET(ORÇAMENTO!$X$15,ROW(AK353)-ROW(AK$15),0),
ROUND(ROUND(OFFSET($P353,0,AK$13),15-13*ORÇAMENTO!$AF$7)*OFFSET(ORÇAMENTO!$W$15,ROW(AK353)-ROW(AK$15),0),15-13*ORÇAMENTO!$AF$11)),0)</f>
        <v>0</v>
      </c>
      <c r="AL353" s="545">
        <f ca="1">IF(AND($D353="Serviço",AL$12&lt;&gt;0,$H353&gt;0,OR(AUTOEVENTO&lt;&gt;"manual",$M353&lt;&gt;1)),
IF(Import.TipoArredondamento&lt;&gt;"TransfereGOV",
ROUND(OFFSET($P353,0,AL$13),15-13*ORÇAMENTO!$AF$7)/$H353*OFFSET(ORÇAMENTO!$X$15,ROW(AL353)-ROW(AL$15),0),
ROUND(ROUND(OFFSET($P353,0,AL$13),15-13*ORÇAMENTO!$AF$7)*OFFSET(ORÇAMENTO!$W$15,ROW(AL353)-ROW(AL$15),0),15-13*ORÇAMENTO!$AF$11)),0)</f>
        <v>0</v>
      </c>
      <c r="AM353" s="545">
        <f ca="1">IF(AND($D353="Serviço",AM$12&lt;&gt;0,$H353&gt;0,OR(AUTOEVENTO&lt;&gt;"manual",$M353&lt;&gt;1)),
IF(Import.TipoArredondamento&lt;&gt;"TransfereGOV",
ROUND(OFFSET($P353,0,AM$13),15-13*ORÇAMENTO!$AF$7)/$H353*OFFSET(ORÇAMENTO!$X$15,ROW(AM353)-ROW(AM$15),0),
ROUND(ROUND(OFFSET($P353,0,AM$13),15-13*ORÇAMENTO!$AF$7)*OFFSET(ORÇAMENTO!$W$15,ROW(AM353)-ROW(AM$15),0),15-13*ORÇAMENTO!$AF$11)),0)</f>
        <v>0</v>
      </c>
      <c r="AN353" s="545">
        <f ca="1">IF(AND($D353="Serviço",AN$12&lt;&gt;0,$H353&gt;0,OR(AUTOEVENTO&lt;&gt;"manual",$M353&lt;&gt;1)),
IF(Import.TipoArredondamento&lt;&gt;"TransfereGOV",
ROUND(OFFSET($P353,0,AN$13),15-13*ORÇAMENTO!$AF$7)/$H353*OFFSET(ORÇAMENTO!$X$15,ROW(AN353)-ROW(AN$15),0),
ROUND(ROUND(OFFSET($P353,0,AN$13),15-13*ORÇAMENTO!$AF$7)*OFFSET(ORÇAMENTO!$W$15,ROW(AN353)-ROW(AN$15),0),15-13*ORÇAMENTO!$AF$11)),0)</f>
        <v>0</v>
      </c>
      <c r="AO353" s="545">
        <f ca="1">IF(AND($D353="Serviço",AO$12&lt;&gt;0,$H353&gt;0,OR(AUTOEVENTO&lt;&gt;"manual",$M353&lt;&gt;1)),
IF(Import.TipoArredondamento&lt;&gt;"TransfereGOV",
ROUND(OFFSET($P353,0,AO$13),15-13*ORÇAMENTO!$AF$7)/$H353*OFFSET(ORÇAMENTO!$X$15,ROW(AO353)-ROW(AO$15),0),
ROUND(ROUND(OFFSET($P353,0,AO$13),15-13*ORÇAMENTO!$AF$7)*OFFSET(ORÇAMENTO!$W$15,ROW(AO353)-ROW(AO$15),0),15-13*ORÇAMENTO!$AF$11)),0)</f>
        <v>0</v>
      </c>
      <c r="AP353" s="545">
        <f ca="1">IF(AND($D353="Serviço",AP$12&lt;&gt;0,$H353&gt;0,OR(AUTOEVENTO&lt;&gt;"manual",$M353&lt;&gt;1)),
IF(Import.TipoArredondamento&lt;&gt;"TransfereGOV",
ROUND(OFFSET($P353,0,AP$13),15-13*ORÇAMENTO!$AF$7)/$H353*OFFSET(ORÇAMENTO!$X$15,ROW(AP353)-ROW(AP$15),0),
ROUND(ROUND(OFFSET($P353,0,AP$13),15-13*ORÇAMENTO!$AF$7)*OFFSET(ORÇAMENTO!$W$15,ROW(AP353)-ROW(AP$15),0),15-13*ORÇAMENTO!$AF$11)),0)</f>
        <v>0</v>
      </c>
      <c r="AQ353" s="545">
        <f ca="1">IF(AND($D353="Serviço",AQ$12&lt;&gt;0,$H353&gt;0,OR(AUTOEVENTO&lt;&gt;"manual",$M353&lt;&gt;1)),
IF(Import.TipoArredondamento&lt;&gt;"TransfereGOV",
ROUND(OFFSET($P353,0,AQ$13),15-13*ORÇAMENTO!$AF$7)/$H353*OFFSET(ORÇAMENTO!$X$15,ROW(AQ353)-ROW(AQ$15),0),
ROUND(ROUND(OFFSET($P353,0,AQ$13),15-13*ORÇAMENTO!$AF$7)*OFFSET(ORÇAMENTO!$W$15,ROW(AQ353)-ROW(AQ$15),0),15-13*ORÇAMENTO!$AF$11)),0)</f>
        <v>0</v>
      </c>
      <c r="AR353" s="545">
        <f ca="1">IF(AND($D353="Serviço",AR$12&lt;&gt;0,$H353&gt;0,OR(AUTOEVENTO&lt;&gt;"manual",$M353&lt;&gt;1)),
IF(Import.TipoArredondamento&lt;&gt;"TransfereGOV",
ROUND(OFFSET($P353,0,AR$13),15-13*ORÇAMENTO!$AF$7)/$H353*OFFSET(ORÇAMENTO!$X$15,ROW(AR353)-ROW(AR$15),0),
ROUND(ROUND(OFFSET($P353,0,AR$13),15-13*ORÇAMENTO!$AF$7)*OFFSET(ORÇAMENTO!$W$15,ROW(AR353)-ROW(AR$15),0),15-13*ORÇAMENTO!$AF$11)),0)</f>
        <v>0</v>
      </c>
      <c r="AS353" s="546">
        <f ca="1">IF(AND($D353="Serviço",AS$12&lt;&gt;0,$H353&gt;0,OR(AUTOEVENTO&lt;&gt;"manual",$M353&lt;&gt;1)),
IF(Import.TipoArredondamento&lt;&gt;"TransfereGOV",
ROUND(OFFSET($P353,0,AS$13),15-13*ORÇAMENTO!$AF$7)/$H353*OFFSET(ORÇAMENTO!$X$15,ROW(AS353)-ROW(AS$15),0),
ROUND(ROUND(OFFSET($P353,0,AS$13),15-13*ORÇAMENTO!$AF$7)*OFFSET(ORÇAMENTO!$W$15,ROW(AS353)-ROW(AS$15),0),15-13*ORÇAMENTO!$AF$11)),0)</f>
        <v>0</v>
      </c>
      <c r="AT353" s="545">
        <f ca="1">IF(AND($D353="Serviço",AT$12&lt;&gt;0,$H353&gt;0,OR(AUTOEVENTO&lt;&gt;"manual",$M353&lt;&gt;1)),
IF(Import.TipoArredondamento&lt;&gt;"TransfereGOV",
ROUND(OFFSET($P353,0,AT$13),15-13*ORÇAMENTO!$AF$7)/$H353*OFFSET(ORÇAMENTO!$X$15,ROW(AT353)-ROW(AT$15),0),
ROUND(ROUND(OFFSET($P353,0,AT$13),15-13*ORÇAMENTO!$AF$7)*OFFSET(ORÇAMENTO!$W$15,ROW(AT353)-ROW(AT$15),0),15-13*ORÇAMENTO!$AF$11)),0)</f>
        <v>0</v>
      </c>
      <c r="AU353" s="545">
        <f ca="1">IF(AND($D353="Serviço",AU$12&lt;&gt;0,$H353&gt;0,OR(AUTOEVENTO&lt;&gt;"manual",$M353&lt;&gt;1)),
IF(Import.TipoArredondamento&lt;&gt;"TransfereGOV",
ROUND(OFFSET($P353,0,AU$13),15-13*ORÇAMENTO!$AF$7)/$H353*OFFSET(ORÇAMENTO!$X$15,ROW(AU353)-ROW(AU$15),0),
ROUND(ROUND(OFFSET($P353,0,AU$13),15-13*ORÇAMENTO!$AF$7)*OFFSET(ORÇAMENTO!$W$15,ROW(AU353)-ROW(AU$15),0),15-13*ORÇAMENTO!$AF$11)),0)</f>
        <v>0</v>
      </c>
      <c r="AV353" s="545">
        <f ca="1">IF(AND($D353="Serviço",AV$12&lt;&gt;0,$H353&gt;0,OR(AUTOEVENTO&lt;&gt;"manual",$M353&lt;&gt;1)),
IF(Import.TipoArredondamento&lt;&gt;"TransfereGOV",
ROUND(OFFSET($P353,0,AV$13),15-13*ORÇAMENTO!$AF$7)/$H353*OFFSET(ORÇAMENTO!$X$15,ROW(AV353)-ROW(AV$15),0),
ROUND(ROUND(OFFSET($P353,0,AV$13),15-13*ORÇAMENTO!$AF$7)*OFFSET(ORÇAMENTO!$W$15,ROW(AV353)-ROW(AV$15),0),15-13*ORÇAMENTO!$AF$11)),0)</f>
        <v>0</v>
      </c>
      <c r="AW353" s="545">
        <f ca="1">IF(AND($D353="Serviço",AW$12&lt;&gt;0,$H353&gt;0,OR(AUTOEVENTO&lt;&gt;"manual",$M353&lt;&gt;1)),
IF(Import.TipoArredondamento&lt;&gt;"TransfereGOV",
ROUND(OFFSET($P353,0,AW$13),15-13*ORÇAMENTO!$AF$7)/$H353*OFFSET(ORÇAMENTO!$X$15,ROW(AW353)-ROW(AW$15),0),
ROUND(ROUND(OFFSET($P353,0,AW$13),15-13*ORÇAMENTO!$AF$7)*OFFSET(ORÇAMENTO!$W$15,ROW(AW353)-ROW(AW$15),0),15-13*ORÇAMENTO!$AF$11)),0)</f>
        <v>0</v>
      </c>
      <c r="AX353" s="545">
        <f ca="1">IF(AND($D353="Serviço",AX$12&lt;&gt;0,$H353&gt;0,OR(AUTOEVENTO&lt;&gt;"manual",$M353&lt;&gt;1)),
IF(Import.TipoArredondamento&lt;&gt;"TransfereGOV",
ROUND(OFFSET($P353,0,AX$13),15-13*ORÇAMENTO!$AF$7)/$H353*OFFSET(ORÇAMENTO!$X$15,ROW(AX353)-ROW(AX$15),0),
ROUND(ROUND(OFFSET($P353,0,AX$13),15-13*ORÇAMENTO!$AF$7)*OFFSET(ORÇAMENTO!$W$15,ROW(AX353)-ROW(AX$15),0),15-13*ORÇAMENTO!$AF$11)),0)</f>
        <v>0</v>
      </c>
      <c r="AY353" s="545">
        <f ca="1">IF(AND($D353="Serviço",AY$12&lt;&gt;0,$H353&gt;0,OR(AUTOEVENTO&lt;&gt;"manual",$M353&lt;&gt;1)),
IF(Import.TipoArredondamento&lt;&gt;"TransfereGOV",
ROUND(OFFSET($P353,0,AY$13),15-13*ORÇAMENTO!$AF$7)/$H353*OFFSET(ORÇAMENTO!$X$15,ROW(AY353)-ROW(AY$15),0),
ROUND(ROUND(OFFSET($P353,0,AY$13),15-13*ORÇAMENTO!$AF$7)*OFFSET(ORÇAMENTO!$W$15,ROW(AY353)-ROW(AY$15),0),15-13*ORÇAMENTO!$AF$11)),0)</f>
        <v>0</v>
      </c>
      <c r="AZ353" s="545">
        <f ca="1">IF(AND($D353="Serviço",AZ$12&lt;&gt;0,$H353&gt;0,OR(AUTOEVENTO&lt;&gt;"manual",$M353&lt;&gt;1)),
IF(Import.TipoArredondamento&lt;&gt;"TransfereGOV",
ROUND(OFFSET($P353,0,AZ$13),15-13*ORÇAMENTO!$AF$7)/$H353*OFFSET(ORÇAMENTO!$X$15,ROW(AZ353)-ROW(AZ$15),0),
ROUND(ROUND(OFFSET($P353,0,AZ$13),15-13*ORÇAMENTO!$AF$7)*OFFSET(ORÇAMENTO!$W$15,ROW(AZ353)-ROW(AZ$15),0),15-13*ORÇAMENTO!$AF$11)),0)</f>
        <v>0</v>
      </c>
      <c r="BA353" s="546">
        <f ca="1">IF(AND($D353="Serviço",BA$12&lt;&gt;0,$H353&gt;0,OR(AUTOEVENTO&lt;&gt;"manual",$M353&lt;&gt;1)),
IF(Import.TipoArredondamento&lt;&gt;"TransfereGOV",
ROUND(OFFSET($P353,0,BA$13),15-13*ORÇAMENTO!$AF$7)/$H353*OFFSET(ORÇAMENTO!$X$15,ROW(BA353)-ROW(BA$15),0),
ROUND(ROUND(OFFSET($P353,0,BA$13),15-13*ORÇAMENTO!$AF$7)*OFFSET(ORÇAMENTO!$W$15,ROW(BA353)-ROW(BA$15),0),15-13*ORÇAMENTO!$AF$11)),0)</f>
        <v>0</v>
      </c>
      <c r="BC353" s="181">
        <f ca="1">IF($D353&lt;&gt;"Serviço",0,IF(AND(AUTOEVENTO="Manual",$M353=1),0,IF(OFFSET(CRONOPLE!$F$14,$M353,BC$13)="",10^12,OFFSET(CRONOPLE!$F$14,$M353,BC$13))))</f>
        <v>0</v>
      </c>
      <c r="BD353" s="181">
        <f ca="1">IF($D353&lt;&gt;"Serviço",0,IF(AND(AUTOEVENTO="Manual",$M353=1),0,IF(OFFSET(CRONOPLE!$F$14,$M353,BD$13)="",10^12,OFFSET(CRONOPLE!$F$14,$M353,BD$13))))</f>
        <v>0</v>
      </c>
      <c r="BE353" s="181">
        <f ca="1">IF($D353&lt;&gt;"Serviço",0,IF(AND(AUTOEVENTO="Manual",$M353=1),0,IF(OFFSET(CRONOPLE!$F$14,$M353,BE$13)="",10^12,OFFSET(CRONOPLE!$F$14,$M353,BE$13))))</f>
        <v>0</v>
      </c>
      <c r="BF353" s="181">
        <f ca="1">IF($D353&lt;&gt;"Serviço",0,IF(AND(AUTOEVENTO="Manual",$M353=1),0,IF(OFFSET(CRONOPLE!$F$14,$M353,BF$13)="",10^12,OFFSET(CRONOPLE!$F$14,$M353,BF$13))))</f>
        <v>0</v>
      </c>
      <c r="BG353" s="181">
        <f ca="1">IF($D353&lt;&gt;"Serviço",0,IF(AND(AUTOEVENTO="Manual",$M353=1),0,IF(OFFSET(CRONOPLE!$F$14,$M353,BG$13)="",10^12,OFFSET(CRONOPLE!$F$14,$M353,BG$13))))</f>
        <v>0</v>
      </c>
      <c r="BH353" s="181">
        <f ca="1">IF($D353&lt;&gt;"Serviço",0,IF(AND(AUTOEVENTO="Manual",$M353=1),0,IF(OFFSET(CRONOPLE!$F$14,$M353,BH$13)="",10^12,OFFSET(CRONOPLE!$F$14,$M353,BH$13))))</f>
        <v>0</v>
      </c>
      <c r="BI353" s="181">
        <f ca="1">IF($D353&lt;&gt;"Serviço",0,IF(AND(AUTOEVENTO="Manual",$M353=1),0,IF(OFFSET(CRONOPLE!$F$14,$M353,BI$13)="",10^12,OFFSET(CRONOPLE!$F$14,$M353,BI$13))))</f>
        <v>0</v>
      </c>
      <c r="BJ353" s="181">
        <f ca="1">IF($D353&lt;&gt;"Serviço",0,IF(AND(AUTOEVENTO="Manual",$M353=1),0,IF(OFFSET(CRONOPLE!$F$14,$M353,BJ$13)="",10^12,OFFSET(CRONOPLE!$F$14,$M353,BJ$13))))</f>
        <v>0</v>
      </c>
      <c r="BK353" s="181">
        <f ca="1">IF($D353&lt;&gt;"Serviço",0,IF(AND(AUTOEVENTO="Manual",$M353=1),0,IF(OFFSET(CRONOPLE!$F$14,$M353,BK$13)="",10^12,OFFSET(CRONOPLE!$F$14,$M353,BK$13))))</f>
        <v>0</v>
      </c>
      <c r="BL353" s="181">
        <f ca="1">IF($D353&lt;&gt;"Serviço",0,IF(AND(AUTOEVENTO="Manual",$M353=1),0,IF(OFFSET(CRONOPLE!$F$14,$M353,BL$13)="",10^12,OFFSET(CRONOPLE!$F$14,$M353,BL$13))))</f>
        <v>0</v>
      </c>
      <c r="BM353" s="181">
        <f ca="1">IF($D353&lt;&gt;"Serviço",0,IF(AND(AUTOEVENTO="Manual",$M353=1),0,IF(OFFSET(CRONOPLE!$F$14,$M353,BM$13)="",10^12,OFFSET(CRONOPLE!$F$14,$M353,BM$13))))</f>
        <v>0</v>
      </c>
      <c r="BN353" s="181">
        <f ca="1">IF($D353&lt;&gt;"Serviço",0,IF(AND(AUTOEVENTO="Manual",$M353=1),0,IF(OFFSET(CRONOPLE!$F$14,$M353,BN$13)="",10^12,OFFSET(CRONOPLE!$F$14,$M353,BN$13))))</f>
        <v>0</v>
      </c>
      <c r="BO353" s="181">
        <f ca="1">IF($D353&lt;&gt;"Serviço",0,IF(AND(AUTOEVENTO="Manual",$M353=1),0,IF(OFFSET(CRONOPLE!$F$14,$M353,BO$13)="",10^12,OFFSET(CRONOPLE!$F$14,$M353,BO$13))))</f>
        <v>0</v>
      </c>
      <c r="BP353" s="181">
        <f ca="1">IF($D353&lt;&gt;"Serviço",0,IF(AND(AUTOEVENTO="Manual",$M353=1),0,IF(OFFSET(CRONOPLE!$F$14,$M353,BP$13)="",10^12,OFFSET(CRONOPLE!$F$14,$M353,BP$13))))</f>
        <v>0</v>
      </c>
      <c r="BQ353" s="181">
        <f ca="1">IF($D353&lt;&gt;"Serviço",0,IF(AND(AUTOEVENTO="Manual",$M353=1),0,IF(OFFSET(CRONOPLE!$F$14,$M353,BQ$13)="",10^12,OFFSET(CRONOPLE!$F$14,$M353,BQ$13))))</f>
        <v>0</v>
      </c>
      <c r="BR353" s="181">
        <f ca="1">IF($D353&lt;&gt;"Serviço",0,IF(AND(AUTOEVENTO="Manual",$M353=1),0,IF(OFFSET(CRONOPLE!$F$14,$M353,BR$13)="",10^12,OFFSET(CRONOPLE!$F$14,$M353,BR$13))))</f>
        <v>0</v>
      </c>
      <c r="BS353" s="181">
        <f ca="1">IF($D353&lt;&gt;"Serviço",0,IF(AND(AUTOEVENTO="Manual",$M353=1),0,IF(OFFSET(CRONOPLE!$F$14,$M353,BS$13)="",10^12,OFFSET(CRONOPLE!$F$14,$M353,BS$13))))</f>
        <v>0</v>
      </c>
      <c r="BT353" s="181">
        <f ca="1">IF($D353&lt;&gt;"Serviço",0,IF(AND(AUTOEVENTO="Manual",$M353=1),0,IF(OFFSET(CRONOPLE!$F$14,$M353,BT$13)="",10^12,OFFSET(CRONOPLE!$F$14,$M353,BT$13))))</f>
        <v>0</v>
      </c>
      <c r="BV353" s="182">
        <f ca="1">IF($D353&lt;&gt;"Serviço",0,IF(OR(AND(AUTOEVENTO="Manual",$M353=1),$M353&gt;(ROW(PLE.lastrow)-ROW(PLE.firstrow))),0,IF(OFFSET(PLE!$G$14,$M353,BV$13)="",10^12,OFFSET(PLE!$G$14,$M353,BV$13))))</f>
        <v>0</v>
      </c>
      <c r="BW353" s="182">
        <f ca="1">IF($D353&lt;&gt;"Serviço",0,IF(OR(AND(AUTOEVENTO="Manual",$M353=1),$M353&gt;(ROW(PLE.lastrow)-ROW(PLE.firstrow))),0,IF(OFFSET(PLE!$G$14,$M353,BW$13)="",10^12,OFFSET(PLE!$G$14,$M353,BW$13))))</f>
        <v>0</v>
      </c>
      <c r="BX353" s="182">
        <f ca="1">IF($D353&lt;&gt;"Serviço",0,IF(OR(AND(AUTOEVENTO="Manual",$M353=1),$M353&gt;(ROW(PLE.lastrow)-ROW(PLE.firstrow))),0,IF(OFFSET(PLE!$G$14,$M353,BX$13)="",10^12,OFFSET(PLE!$G$14,$M353,BX$13))))</f>
        <v>0</v>
      </c>
      <c r="BY353" s="182">
        <f ca="1">IF($D353&lt;&gt;"Serviço",0,IF(OR(AND(AUTOEVENTO="Manual",$M353=1),$M353&gt;(ROW(PLE.lastrow)-ROW(PLE.firstrow))),0,IF(OFFSET(PLE!$G$14,$M353,BY$13)="",10^12,OFFSET(PLE!$G$14,$M353,BY$13))))</f>
        <v>0</v>
      </c>
      <c r="BZ353" s="182">
        <f ca="1">IF($D353&lt;&gt;"Serviço",0,IF(OR(AND(AUTOEVENTO="Manual",$M353=1),$M353&gt;(ROW(PLE.lastrow)-ROW(PLE.firstrow))),0,IF(OFFSET(PLE!$G$14,$M353,BZ$13)="",10^12,OFFSET(PLE!$G$14,$M353,BZ$13))))</f>
        <v>0</v>
      </c>
      <c r="CA353" s="182">
        <f ca="1">IF($D353&lt;&gt;"Serviço",0,IF(OR(AND(AUTOEVENTO="Manual",$M353=1),$M353&gt;(ROW(PLE.lastrow)-ROW(PLE.firstrow))),0,IF(OFFSET(PLE!$G$14,$M353,CA$13)="",10^12,OFFSET(PLE!$G$14,$M353,CA$13))))</f>
        <v>0</v>
      </c>
      <c r="CB353" s="182">
        <f ca="1">IF($D353&lt;&gt;"Serviço",0,IF(OR(AND(AUTOEVENTO="Manual",$M353=1),$M353&gt;(ROW(PLE.lastrow)-ROW(PLE.firstrow))),0,IF(OFFSET(PLE!$G$14,$M353,CB$13)="",10^12,OFFSET(PLE!$G$14,$M353,CB$13))))</f>
        <v>0</v>
      </c>
      <c r="CC353" s="182">
        <f ca="1">IF($D353&lt;&gt;"Serviço",0,IF(OR(AND(AUTOEVENTO="Manual",$M353=1),$M353&gt;(ROW(PLE.lastrow)-ROW(PLE.firstrow))),0,IF(OFFSET(PLE!$G$14,$M353,CC$13)="",10^12,OFFSET(PLE!$G$14,$M353,CC$13))))</f>
        <v>0</v>
      </c>
      <c r="CD353" s="182">
        <f ca="1">IF($D353&lt;&gt;"Serviço",0,IF(OR(AND(AUTOEVENTO="Manual",$M353=1),$M353&gt;(ROW(PLE.lastrow)-ROW(PLE.firstrow))),0,IF(OFFSET(PLE!$G$14,$M353,CD$13)="",10^12,OFFSET(PLE!$G$14,$M353,CD$13))))</f>
        <v>0</v>
      </c>
      <c r="CE353" s="182">
        <f ca="1">IF($D353&lt;&gt;"Serviço",0,IF(OR(AND(AUTOEVENTO="Manual",$M353=1),$M353&gt;(ROW(PLE.lastrow)-ROW(PLE.firstrow))),0,IF(OFFSET(PLE!$G$14,$M353,CE$13)="",10^12,OFFSET(PLE!$G$14,$M353,CE$13))))</f>
        <v>0</v>
      </c>
      <c r="CF353" s="182">
        <f ca="1">IF($D353&lt;&gt;"Serviço",0,IF(OR(AND(AUTOEVENTO="Manual",$M353=1),$M353&gt;(ROW(PLE.lastrow)-ROW(PLE.firstrow))),0,IF(OFFSET(PLE!$G$14,$M353,CF$13)="",10^12,OFFSET(PLE!$G$14,$M353,CF$13))))</f>
        <v>0</v>
      </c>
      <c r="CG353" s="182">
        <f ca="1">IF($D353&lt;&gt;"Serviço",0,IF(OR(AND(AUTOEVENTO="Manual",$M353=1),$M353&gt;(ROW(PLE.lastrow)-ROW(PLE.firstrow))),0,IF(OFFSET(PLE!$G$14,$M353,CG$13)="",10^12,OFFSET(PLE!$G$14,$M353,CG$13))))</f>
        <v>0</v>
      </c>
      <c r="CH353" s="182">
        <f ca="1">IF($D353&lt;&gt;"Serviço",0,IF(OR(AND(AUTOEVENTO="Manual",$M353=1),$M353&gt;(ROW(PLE.lastrow)-ROW(PLE.firstrow))),0,IF(OFFSET(PLE!$G$14,$M353,CH$13)="",10^12,OFFSET(PLE!$G$14,$M353,CH$13))))</f>
        <v>0</v>
      </c>
      <c r="CI353" s="182">
        <f ca="1">IF($D353&lt;&gt;"Serviço",0,IF(OR(AND(AUTOEVENTO="Manual",$M353=1),$M353&gt;(ROW(PLE.lastrow)-ROW(PLE.firstrow))),0,IF(OFFSET(PLE!$G$14,$M353,CI$13)="",10^12,OFFSET(PLE!$G$14,$M353,CI$13))))</f>
        <v>0</v>
      </c>
      <c r="CJ353" s="182">
        <f ca="1">IF($D353&lt;&gt;"Serviço",0,IF(OR(AND(AUTOEVENTO="Manual",$M353=1),$M353&gt;(ROW(PLE.lastrow)-ROW(PLE.firstrow))),0,IF(OFFSET(PLE!$G$14,$M353,CJ$13)="",10^12,OFFSET(PLE!$G$14,$M353,CJ$13))))</f>
        <v>0</v>
      </c>
      <c r="CK353" s="182">
        <f ca="1">IF($D353&lt;&gt;"Serviço",0,IF(OR(AND(AUTOEVENTO="Manual",$M353=1),$M353&gt;(ROW(PLE.lastrow)-ROW(PLE.firstrow))),0,IF(OFFSET(PLE!$G$14,$M353,CK$13)="",10^12,OFFSET(PLE!$G$14,$M353,CK$13))))</f>
        <v>0</v>
      </c>
      <c r="CL353" s="182">
        <f ca="1">IF($D353&lt;&gt;"Serviço",0,IF(OR(AND(AUTOEVENTO="Manual",$M353=1),$M353&gt;(ROW(PLE.lastrow)-ROW(PLE.firstrow))),0,IF(OFFSET(PLE!$G$14,$M353,CL$13)="",10^12,OFFSET(PLE!$G$14,$M353,CL$13))))</f>
        <v>0</v>
      </c>
      <c r="CM353" s="182">
        <f ca="1">IF($D353&lt;&gt;"Serviço",0,IF(OR(AND(AUTOEVENTO="Manual",$M353=1),$M353&gt;(ROW(PLE.lastrow)-ROW(PLE.firstrow))),0,IF(OFFSET(PLE!$G$14,$M353,CM$13)="",10^12,OFFSET(PLE!$G$14,$M353,CM$13))))</f>
        <v>0</v>
      </c>
    </row>
    <row r="354" spans="1:91" ht="38.25" x14ac:dyDescent="0.2">
      <c r="A354" s="7" t="str">
        <f t="shared" ca="1" si="12"/>
        <v>338</v>
      </c>
      <c r="B354" s="7" t="str">
        <f ca="1">OFFSET(ORÇAMENTO!C$15,ROW(B354)-ROW(B$15),0)</f>
        <v>S</v>
      </c>
      <c r="C354" s="7" t="str">
        <f ca="1">OFFSET(ORÇAMENTO!L$15,ROW(C354)-ROW(C$15),0)</f>
        <v/>
      </c>
      <c r="D354" s="118" t="str">
        <f ca="1">OFFSET(ORÇAMENTO!N$15,ROW(D354)-ROW(D$15),0)</f>
        <v>Serviço</v>
      </c>
      <c r="E354" s="119" t="str">
        <f ca="1">OFFSET(ORÇAMENTO!O$15,ROW(E354)-ROW(E$15),0)</f>
        <v>-</v>
      </c>
      <c r="F354" s="172" t="str">
        <f ca="1">OFFSET(ORÇAMENTO!R$15,ROW(F354)-ROW(F$15),0)</f>
        <v>(abra o arquivo 'Referência 06-2024.xlsm)</v>
      </c>
      <c r="G354" s="173" t="str">
        <f ca="1">IF($D354&lt;&gt;"Serviço","",OFFSET(ORÇAMENTO!S$15,ROW(G354)-ROW(G$15),0))</f>
        <v>-</v>
      </c>
      <c r="H354" s="124">
        <f ca="1">IF($D354&lt;&gt;"Serviço",0,IF(ACOMPANHAMENTO="BM",ROUND(OFFSET(ORÇAMENTO!AJ$15,ROW(H354)-ROW(H$15),0),15-13*ORÇAMENTO!$AF$7),SUMPRODUCT(($Q$12:$AI$12&lt;&gt;"")*ROUND($Q354:$AI354,15-13*ORÇAMENTO!$AF$7))))</f>
        <v>46</v>
      </c>
      <c r="I354" s="561" t="s">
        <v>1107</v>
      </c>
      <c r="K354" s="174"/>
      <c r="L354" s="175" t="s">
        <v>255</v>
      </c>
      <c r="M354" s="176">
        <f ca="1">IF($D354&lt;&gt;"Serviço","",IF(AUTOEVENTO="manual",$A354,IF(ISERROR(MATCH($A354,$A$15:OFFSET($A354,-1,0),0)),MAX($M$15:OFFSET(M354,-1,0))+1,INDEX($M$15:OFFSET(M354,-1,0),MATCH($A354,$A$15:OFFSET($A354,-1,0),0)))))</f>
        <v>43</v>
      </c>
      <c r="N354" s="177" t="str">
        <f ca="1">IF($D354&lt;&gt;"Serviço","",IF(AUTOEVENTO="Manual",IF($A354=0,"&lt;-- defina o número do agrupador",OFFSET(EVENTOS!$D$14,$A354,0)),OFFSET($F$15,$A354,0)))</f>
        <v>INSTALAÇÃO SANITÁRIA - VENTILAÇÃO</v>
      </c>
      <c r="O354" s="178"/>
      <c r="Q354" s="178">
        <v>46</v>
      </c>
      <c r="R354" s="179"/>
      <c r="S354" s="179"/>
      <c r="T354" s="179"/>
      <c r="U354" s="179"/>
      <c r="V354" s="179"/>
      <c r="W354" s="179"/>
      <c r="X354" s="179"/>
      <c r="Y354" s="179"/>
      <c r="Z354" s="180"/>
      <c r="AA354" s="179"/>
      <c r="AB354" s="179"/>
      <c r="AC354" s="179"/>
      <c r="AD354" s="179"/>
      <c r="AE354" s="179"/>
      <c r="AF354" s="179"/>
      <c r="AG354" s="179"/>
      <c r="AH354" s="180"/>
      <c r="AJ354" s="544">
        <f ca="1">IF(AND($D354="Serviço",AJ$12&lt;&gt;0,$H354&gt;0,OR(AUTOEVENTO&lt;&gt;"manual",$M354&lt;&gt;1)),
IF(Import.TipoArredondamento&lt;&gt;"TransfereGOV",
ROUND(OFFSET($P354,0,AJ$13),15-13*ORÇAMENTO!$AF$7)/$H354*OFFSET(ORÇAMENTO!$X$15,ROW(AJ354)-ROW(AJ$15),0),
ROUND(ROUND(OFFSET($P354,0,AJ$13),15-13*ORÇAMENTO!$AF$7)*OFFSET(ORÇAMENTO!$W$15,ROW(AJ354)-ROW(AJ$15),0),15-13*ORÇAMENTO!$AF$11)),0)</f>
        <v>0</v>
      </c>
      <c r="AK354" s="545">
        <f ca="1">IF(AND($D354="Serviço",AK$12&lt;&gt;0,$H354&gt;0,OR(AUTOEVENTO&lt;&gt;"manual",$M354&lt;&gt;1)),
IF(Import.TipoArredondamento&lt;&gt;"TransfereGOV",
ROUND(OFFSET($P354,0,AK$13),15-13*ORÇAMENTO!$AF$7)/$H354*OFFSET(ORÇAMENTO!$X$15,ROW(AK354)-ROW(AK$15),0),
ROUND(ROUND(OFFSET($P354,0,AK$13),15-13*ORÇAMENTO!$AF$7)*OFFSET(ORÇAMENTO!$W$15,ROW(AK354)-ROW(AK$15),0),15-13*ORÇAMENTO!$AF$11)),0)</f>
        <v>0</v>
      </c>
      <c r="AL354" s="545">
        <f ca="1">IF(AND($D354="Serviço",AL$12&lt;&gt;0,$H354&gt;0,OR(AUTOEVENTO&lt;&gt;"manual",$M354&lt;&gt;1)),
IF(Import.TipoArredondamento&lt;&gt;"TransfereGOV",
ROUND(OFFSET($P354,0,AL$13),15-13*ORÇAMENTO!$AF$7)/$H354*OFFSET(ORÇAMENTO!$X$15,ROW(AL354)-ROW(AL$15),0),
ROUND(ROUND(OFFSET($P354,0,AL$13),15-13*ORÇAMENTO!$AF$7)*OFFSET(ORÇAMENTO!$W$15,ROW(AL354)-ROW(AL$15),0),15-13*ORÇAMENTO!$AF$11)),0)</f>
        <v>0</v>
      </c>
      <c r="AM354" s="545">
        <f ca="1">IF(AND($D354="Serviço",AM$12&lt;&gt;0,$H354&gt;0,OR(AUTOEVENTO&lt;&gt;"manual",$M354&lt;&gt;1)),
IF(Import.TipoArredondamento&lt;&gt;"TransfereGOV",
ROUND(OFFSET($P354,0,AM$13),15-13*ORÇAMENTO!$AF$7)/$H354*OFFSET(ORÇAMENTO!$X$15,ROW(AM354)-ROW(AM$15),0),
ROUND(ROUND(OFFSET($P354,0,AM$13),15-13*ORÇAMENTO!$AF$7)*OFFSET(ORÇAMENTO!$W$15,ROW(AM354)-ROW(AM$15),0),15-13*ORÇAMENTO!$AF$11)),0)</f>
        <v>0</v>
      </c>
      <c r="AN354" s="545">
        <f ca="1">IF(AND($D354="Serviço",AN$12&lt;&gt;0,$H354&gt;0,OR(AUTOEVENTO&lt;&gt;"manual",$M354&lt;&gt;1)),
IF(Import.TipoArredondamento&lt;&gt;"TransfereGOV",
ROUND(OFFSET($P354,0,AN$13),15-13*ORÇAMENTO!$AF$7)/$H354*OFFSET(ORÇAMENTO!$X$15,ROW(AN354)-ROW(AN$15),0),
ROUND(ROUND(OFFSET($P354,0,AN$13),15-13*ORÇAMENTO!$AF$7)*OFFSET(ORÇAMENTO!$W$15,ROW(AN354)-ROW(AN$15),0),15-13*ORÇAMENTO!$AF$11)),0)</f>
        <v>0</v>
      </c>
      <c r="AO354" s="545">
        <f ca="1">IF(AND($D354="Serviço",AO$12&lt;&gt;0,$H354&gt;0,OR(AUTOEVENTO&lt;&gt;"manual",$M354&lt;&gt;1)),
IF(Import.TipoArredondamento&lt;&gt;"TransfereGOV",
ROUND(OFFSET($P354,0,AO$13),15-13*ORÇAMENTO!$AF$7)/$H354*OFFSET(ORÇAMENTO!$X$15,ROW(AO354)-ROW(AO$15),0),
ROUND(ROUND(OFFSET($P354,0,AO$13),15-13*ORÇAMENTO!$AF$7)*OFFSET(ORÇAMENTO!$W$15,ROW(AO354)-ROW(AO$15),0),15-13*ORÇAMENTO!$AF$11)),0)</f>
        <v>0</v>
      </c>
      <c r="AP354" s="545">
        <f ca="1">IF(AND($D354="Serviço",AP$12&lt;&gt;0,$H354&gt;0,OR(AUTOEVENTO&lt;&gt;"manual",$M354&lt;&gt;1)),
IF(Import.TipoArredondamento&lt;&gt;"TransfereGOV",
ROUND(OFFSET($P354,0,AP$13),15-13*ORÇAMENTO!$AF$7)/$H354*OFFSET(ORÇAMENTO!$X$15,ROW(AP354)-ROW(AP$15),0),
ROUND(ROUND(OFFSET($P354,0,AP$13),15-13*ORÇAMENTO!$AF$7)*OFFSET(ORÇAMENTO!$W$15,ROW(AP354)-ROW(AP$15),0),15-13*ORÇAMENTO!$AF$11)),0)</f>
        <v>0</v>
      </c>
      <c r="AQ354" s="545">
        <f ca="1">IF(AND($D354="Serviço",AQ$12&lt;&gt;0,$H354&gt;0,OR(AUTOEVENTO&lt;&gt;"manual",$M354&lt;&gt;1)),
IF(Import.TipoArredondamento&lt;&gt;"TransfereGOV",
ROUND(OFFSET($P354,0,AQ$13),15-13*ORÇAMENTO!$AF$7)/$H354*OFFSET(ORÇAMENTO!$X$15,ROW(AQ354)-ROW(AQ$15),0),
ROUND(ROUND(OFFSET($P354,0,AQ$13),15-13*ORÇAMENTO!$AF$7)*OFFSET(ORÇAMENTO!$W$15,ROW(AQ354)-ROW(AQ$15),0),15-13*ORÇAMENTO!$AF$11)),0)</f>
        <v>0</v>
      </c>
      <c r="AR354" s="545">
        <f ca="1">IF(AND($D354="Serviço",AR$12&lt;&gt;0,$H354&gt;0,OR(AUTOEVENTO&lt;&gt;"manual",$M354&lt;&gt;1)),
IF(Import.TipoArredondamento&lt;&gt;"TransfereGOV",
ROUND(OFFSET($P354,0,AR$13),15-13*ORÇAMENTO!$AF$7)/$H354*OFFSET(ORÇAMENTO!$X$15,ROW(AR354)-ROW(AR$15),0),
ROUND(ROUND(OFFSET($P354,0,AR$13),15-13*ORÇAMENTO!$AF$7)*OFFSET(ORÇAMENTO!$W$15,ROW(AR354)-ROW(AR$15),0),15-13*ORÇAMENTO!$AF$11)),0)</f>
        <v>0</v>
      </c>
      <c r="AS354" s="546">
        <f ca="1">IF(AND($D354="Serviço",AS$12&lt;&gt;0,$H354&gt;0,OR(AUTOEVENTO&lt;&gt;"manual",$M354&lt;&gt;1)),
IF(Import.TipoArredondamento&lt;&gt;"TransfereGOV",
ROUND(OFFSET($P354,0,AS$13),15-13*ORÇAMENTO!$AF$7)/$H354*OFFSET(ORÇAMENTO!$X$15,ROW(AS354)-ROW(AS$15),0),
ROUND(ROUND(OFFSET($P354,0,AS$13),15-13*ORÇAMENTO!$AF$7)*OFFSET(ORÇAMENTO!$W$15,ROW(AS354)-ROW(AS$15),0),15-13*ORÇAMENTO!$AF$11)),0)</f>
        <v>0</v>
      </c>
      <c r="AT354" s="545">
        <f ca="1">IF(AND($D354="Serviço",AT$12&lt;&gt;0,$H354&gt;0,OR(AUTOEVENTO&lt;&gt;"manual",$M354&lt;&gt;1)),
IF(Import.TipoArredondamento&lt;&gt;"TransfereGOV",
ROUND(OFFSET($P354,0,AT$13),15-13*ORÇAMENTO!$AF$7)/$H354*OFFSET(ORÇAMENTO!$X$15,ROW(AT354)-ROW(AT$15),0),
ROUND(ROUND(OFFSET($P354,0,AT$13),15-13*ORÇAMENTO!$AF$7)*OFFSET(ORÇAMENTO!$W$15,ROW(AT354)-ROW(AT$15),0),15-13*ORÇAMENTO!$AF$11)),0)</f>
        <v>0</v>
      </c>
      <c r="AU354" s="545">
        <f ca="1">IF(AND($D354="Serviço",AU$12&lt;&gt;0,$H354&gt;0,OR(AUTOEVENTO&lt;&gt;"manual",$M354&lt;&gt;1)),
IF(Import.TipoArredondamento&lt;&gt;"TransfereGOV",
ROUND(OFFSET($P354,0,AU$13),15-13*ORÇAMENTO!$AF$7)/$H354*OFFSET(ORÇAMENTO!$X$15,ROW(AU354)-ROW(AU$15),0),
ROUND(ROUND(OFFSET($P354,0,AU$13),15-13*ORÇAMENTO!$AF$7)*OFFSET(ORÇAMENTO!$W$15,ROW(AU354)-ROW(AU$15),0),15-13*ORÇAMENTO!$AF$11)),0)</f>
        <v>0</v>
      </c>
      <c r="AV354" s="545">
        <f ca="1">IF(AND($D354="Serviço",AV$12&lt;&gt;0,$H354&gt;0,OR(AUTOEVENTO&lt;&gt;"manual",$M354&lt;&gt;1)),
IF(Import.TipoArredondamento&lt;&gt;"TransfereGOV",
ROUND(OFFSET($P354,0,AV$13),15-13*ORÇAMENTO!$AF$7)/$H354*OFFSET(ORÇAMENTO!$X$15,ROW(AV354)-ROW(AV$15),0),
ROUND(ROUND(OFFSET($P354,0,AV$13),15-13*ORÇAMENTO!$AF$7)*OFFSET(ORÇAMENTO!$W$15,ROW(AV354)-ROW(AV$15),0),15-13*ORÇAMENTO!$AF$11)),0)</f>
        <v>0</v>
      </c>
      <c r="AW354" s="545">
        <f ca="1">IF(AND($D354="Serviço",AW$12&lt;&gt;0,$H354&gt;0,OR(AUTOEVENTO&lt;&gt;"manual",$M354&lt;&gt;1)),
IF(Import.TipoArredondamento&lt;&gt;"TransfereGOV",
ROUND(OFFSET($P354,0,AW$13),15-13*ORÇAMENTO!$AF$7)/$H354*OFFSET(ORÇAMENTO!$X$15,ROW(AW354)-ROW(AW$15),0),
ROUND(ROUND(OFFSET($P354,0,AW$13),15-13*ORÇAMENTO!$AF$7)*OFFSET(ORÇAMENTO!$W$15,ROW(AW354)-ROW(AW$15),0),15-13*ORÇAMENTO!$AF$11)),0)</f>
        <v>0</v>
      </c>
      <c r="AX354" s="545">
        <f ca="1">IF(AND($D354="Serviço",AX$12&lt;&gt;0,$H354&gt;0,OR(AUTOEVENTO&lt;&gt;"manual",$M354&lt;&gt;1)),
IF(Import.TipoArredondamento&lt;&gt;"TransfereGOV",
ROUND(OFFSET($P354,0,AX$13),15-13*ORÇAMENTO!$AF$7)/$H354*OFFSET(ORÇAMENTO!$X$15,ROW(AX354)-ROW(AX$15),0),
ROUND(ROUND(OFFSET($P354,0,AX$13),15-13*ORÇAMENTO!$AF$7)*OFFSET(ORÇAMENTO!$W$15,ROW(AX354)-ROW(AX$15),0),15-13*ORÇAMENTO!$AF$11)),0)</f>
        <v>0</v>
      </c>
      <c r="AY354" s="545">
        <f ca="1">IF(AND($D354="Serviço",AY$12&lt;&gt;0,$H354&gt;0,OR(AUTOEVENTO&lt;&gt;"manual",$M354&lt;&gt;1)),
IF(Import.TipoArredondamento&lt;&gt;"TransfereGOV",
ROUND(OFFSET($P354,0,AY$13),15-13*ORÇAMENTO!$AF$7)/$H354*OFFSET(ORÇAMENTO!$X$15,ROW(AY354)-ROW(AY$15),0),
ROUND(ROUND(OFFSET($P354,0,AY$13),15-13*ORÇAMENTO!$AF$7)*OFFSET(ORÇAMENTO!$W$15,ROW(AY354)-ROW(AY$15),0),15-13*ORÇAMENTO!$AF$11)),0)</f>
        <v>0</v>
      </c>
      <c r="AZ354" s="545">
        <f ca="1">IF(AND($D354="Serviço",AZ$12&lt;&gt;0,$H354&gt;0,OR(AUTOEVENTO&lt;&gt;"manual",$M354&lt;&gt;1)),
IF(Import.TipoArredondamento&lt;&gt;"TransfereGOV",
ROUND(OFFSET($P354,0,AZ$13),15-13*ORÇAMENTO!$AF$7)/$H354*OFFSET(ORÇAMENTO!$X$15,ROW(AZ354)-ROW(AZ$15),0),
ROUND(ROUND(OFFSET($P354,0,AZ$13),15-13*ORÇAMENTO!$AF$7)*OFFSET(ORÇAMENTO!$W$15,ROW(AZ354)-ROW(AZ$15),0),15-13*ORÇAMENTO!$AF$11)),0)</f>
        <v>0</v>
      </c>
      <c r="BA354" s="546">
        <f ca="1">IF(AND($D354="Serviço",BA$12&lt;&gt;0,$H354&gt;0,OR(AUTOEVENTO&lt;&gt;"manual",$M354&lt;&gt;1)),
IF(Import.TipoArredondamento&lt;&gt;"TransfereGOV",
ROUND(OFFSET($P354,0,BA$13),15-13*ORÇAMENTO!$AF$7)/$H354*OFFSET(ORÇAMENTO!$X$15,ROW(BA354)-ROW(BA$15),0),
ROUND(ROUND(OFFSET($P354,0,BA$13),15-13*ORÇAMENTO!$AF$7)*OFFSET(ORÇAMENTO!$W$15,ROW(BA354)-ROW(BA$15),0),15-13*ORÇAMENTO!$AF$11)),0)</f>
        <v>0</v>
      </c>
      <c r="BC354" s="181">
        <f ca="1">IF($D354&lt;&gt;"Serviço",0,IF(AND(AUTOEVENTO="Manual",$M354=1),0,IF(OFFSET(CRONOPLE!$F$14,$M354,BC$13)="",10^12,OFFSET(CRONOPLE!$F$14,$M354,BC$13))))</f>
        <v>10</v>
      </c>
      <c r="BD354" s="181">
        <f ca="1">IF($D354&lt;&gt;"Serviço",0,IF(AND(AUTOEVENTO="Manual",$M354=1),0,IF(OFFSET(CRONOPLE!$F$14,$M354,BD$13)="",10^12,OFFSET(CRONOPLE!$F$14,$M354,BD$13))))</f>
        <v>1000000000000</v>
      </c>
      <c r="BE354" s="181">
        <f ca="1">IF($D354&lt;&gt;"Serviço",0,IF(AND(AUTOEVENTO="Manual",$M354=1),0,IF(OFFSET(CRONOPLE!$F$14,$M354,BE$13)="",10^12,OFFSET(CRONOPLE!$F$14,$M354,BE$13))))</f>
        <v>1000000000000</v>
      </c>
      <c r="BF354" s="181">
        <f ca="1">IF($D354&lt;&gt;"Serviço",0,IF(AND(AUTOEVENTO="Manual",$M354=1),0,IF(OFFSET(CRONOPLE!$F$14,$M354,BF$13)="",10^12,OFFSET(CRONOPLE!$F$14,$M354,BF$13))))</f>
        <v>1000000000000</v>
      </c>
      <c r="BG354" s="181">
        <f ca="1">IF($D354&lt;&gt;"Serviço",0,IF(AND(AUTOEVENTO="Manual",$M354=1),0,IF(OFFSET(CRONOPLE!$F$14,$M354,BG$13)="",10^12,OFFSET(CRONOPLE!$F$14,$M354,BG$13))))</f>
        <v>1000000000000</v>
      </c>
      <c r="BH354" s="181">
        <f ca="1">IF($D354&lt;&gt;"Serviço",0,IF(AND(AUTOEVENTO="Manual",$M354=1),0,IF(OFFSET(CRONOPLE!$F$14,$M354,BH$13)="",10^12,OFFSET(CRONOPLE!$F$14,$M354,BH$13))))</f>
        <v>1000000000000</v>
      </c>
      <c r="BI354" s="181">
        <f ca="1">IF($D354&lt;&gt;"Serviço",0,IF(AND(AUTOEVENTO="Manual",$M354=1),0,IF(OFFSET(CRONOPLE!$F$14,$M354,BI$13)="",10^12,OFFSET(CRONOPLE!$F$14,$M354,BI$13))))</f>
        <v>1000000000000</v>
      </c>
      <c r="BJ354" s="181">
        <f ca="1">IF($D354&lt;&gt;"Serviço",0,IF(AND(AUTOEVENTO="Manual",$M354=1),0,IF(OFFSET(CRONOPLE!$F$14,$M354,BJ$13)="",10^12,OFFSET(CRONOPLE!$F$14,$M354,BJ$13))))</f>
        <v>1000000000000</v>
      </c>
      <c r="BK354" s="181">
        <f ca="1">IF($D354&lt;&gt;"Serviço",0,IF(AND(AUTOEVENTO="Manual",$M354=1),0,IF(OFFSET(CRONOPLE!$F$14,$M354,BK$13)="",10^12,OFFSET(CRONOPLE!$F$14,$M354,BK$13))))</f>
        <v>1000000000000</v>
      </c>
      <c r="BL354" s="181">
        <f ca="1">IF($D354&lt;&gt;"Serviço",0,IF(AND(AUTOEVENTO="Manual",$M354=1),0,IF(OFFSET(CRONOPLE!$F$14,$M354,BL$13)="",10^12,OFFSET(CRONOPLE!$F$14,$M354,BL$13))))</f>
        <v>1000000000000</v>
      </c>
      <c r="BM354" s="181">
        <f ca="1">IF($D354&lt;&gt;"Serviço",0,IF(AND(AUTOEVENTO="Manual",$M354=1),0,IF(OFFSET(CRONOPLE!$F$14,$M354,BM$13)="",10^12,OFFSET(CRONOPLE!$F$14,$M354,BM$13))))</f>
        <v>1000000000000</v>
      </c>
      <c r="BN354" s="181">
        <f ca="1">IF($D354&lt;&gt;"Serviço",0,IF(AND(AUTOEVENTO="Manual",$M354=1),0,IF(OFFSET(CRONOPLE!$F$14,$M354,BN$13)="",10^12,OFFSET(CRONOPLE!$F$14,$M354,BN$13))))</f>
        <v>1000000000000</v>
      </c>
      <c r="BO354" s="181">
        <f ca="1">IF($D354&lt;&gt;"Serviço",0,IF(AND(AUTOEVENTO="Manual",$M354=1),0,IF(OFFSET(CRONOPLE!$F$14,$M354,BO$13)="",10^12,OFFSET(CRONOPLE!$F$14,$M354,BO$13))))</f>
        <v>1000000000000</v>
      </c>
      <c r="BP354" s="181">
        <f ca="1">IF($D354&lt;&gt;"Serviço",0,IF(AND(AUTOEVENTO="Manual",$M354=1),0,IF(OFFSET(CRONOPLE!$F$14,$M354,BP$13)="",10^12,OFFSET(CRONOPLE!$F$14,$M354,BP$13))))</f>
        <v>1000000000000</v>
      </c>
      <c r="BQ354" s="181">
        <f ca="1">IF($D354&lt;&gt;"Serviço",0,IF(AND(AUTOEVENTO="Manual",$M354=1),0,IF(OFFSET(CRONOPLE!$F$14,$M354,BQ$13)="",10^12,OFFSET(CRONOPLE!$F$14,$M354,BQ$13))))</f>
        <v>1000000000000</v>
      </c>
      <c r="BR354" s="181">
        <f ca="1">IF($D354&lt;&gt;"Serviço",0,IF(AND(AUTOEVENTO="Manual",$M354=1),0,IF(OFFSET(CRONOPLE!$F$14,$M354,BR$13)="",10^12,OFFSET(CRONOPLE!$F$14,$M354,BR$13))))</f>
        <v>1000000000000</v>
      </c>
      <c r="BS354" s="181">
        <f ca="1">IF($D354&lt;&gt;"Serviço",0,IF(AND(AUTOEVENTO="Manual",$M354=1),0,IF(OFFSET(CRONOPLE!$F$14,$M354,BS$13)="",10^12,OFFSET(CRONOPLE!$F$14,$M354,BS$13))))</f>
        <v>1000000000000</v>
      </c>
      <c r="BT354" s="181">
        <f ca="1">IF($D354&lt;&gt;"Serviço",0,IF(AND(AUTOEVENTO="Manual",$M354=1),0,IF(OFFSET(CRONOPLE!$F$14,$M354,BT$13)="",10^12,OFFSET(CRONOPLE!$F$14,$M354,BT$13))))</f>
        <v>1000000000000</v>
      </c>
      <c r="BV354" s="182">
        <f ca="1">IF($D354&lt;&gt;"Serviço",0,IF(OR(AND(AUTOEVENTO="Manual",$M354=1),$M354&gt;(ROW(PLE.lastrow)-ROW(PLE.firstrow))),0,IF(OFFSET(PLE!$G$14,$M354,BV$13)="",10^12,OFFSET(PLE!$G$14,$M354,BV$13))))</f>
        <v>1000000000000</v>
      </c>
      <c r="BW354" s="182">
        <f ca="1">IF($D354&lt;&gt;"Serviço",0,IF(OR(AND(AUTOEVENTO="Manual",$M354=1),$M354&gt;(ROW(PLE.lastrow)-ROW(PLE.firstrow))),0,IF(OFFSET(PLE!$G$14,$M354,BW$13)="",10^12,OFFSET(PLE!$G$14,$M354,BW$13))))</f>
        <v>1000000000000</v>
      </c>
      <c r="BX354" s="182">
        <f ca="1">IF($D354&lt;&gt;"Serviço",0,IF(OR(AND(AUTOEVENTO="Manual",$M354=1),$M354&gt;(ROW(PLE.lastrow)-ROW(PLE.firstrow))),0,IF(OFFSET(PLE!$G$14,$M354,BX$13)="",10^12,OFFSET(PLE!$G$14,$M354,BX$13))))</f>
        <v>1000000000000</v>
      </c>
      <c r="BY354" s="182">
        <f ca="1">IF($D354&lt;&gt;"Serviço",0,IF(OR(AND(AUTOEVENTO="Manual",$M354=1),$M354&gt;(ROW(PLE.lastrow)-ROW(PLE.firstrow))),0,IF(OFFSET(PLE!$G$14,$M354,BY$13)="",10^12,OFFSET(PLE!$G$14,$M354,BY$13))))</f>
        <v>1000000000000</v>
      </c>
      <c r="BZ354" s="182">
        <f ca="1">IF($D354&lt;&gt;"Serviço",0,IF(OR(AND(AUTOEVENTO="Manual",$M354=1),$M354&gt;(ROW(PLE.lastrow)-ROW(PLE.firstrow))),0,IF(OFFSET(PLE!$G$14,$M354,BZ$13)="",10^12,OFFSET(PLE!$G$14,$M354,BZ$13))))</f>
        <v>1000000000000</v>
      </c>
      <c r="CA354" s="182">
        <f ca="1">IF($D354&lt;&gt;"Serviço",0,IF(OR(AND(AUTOEVENTO="Manual",$M354=1),$M354&gt;(ROW(PLE.lastrow)-ROW(PLE.firstrow))),0,IF(OFFSET(PLE!$G$14,$M354,CA$13)="",10^12,OFFSET(PLE!$G$14,$M354,CA$13))))</f>
        <v>1000000000000</v>
      </c>
      <c r="CB354" s="182">
        <f ca="1">IF($D354&lt;&gt;"Serviço",0,IF(OR(AND(AUTOEVENTO="Manual",$M354=1),$M354&gt;(ROW(PLE.lastrow)-ROW(PLE.firstrow))),0,IF(OFFSET(PLE!$G$14,$M354,CB$13)="",10^12,OFFSET(PLE!$G$14,$M354,CB$13))))</f>
        <v>1000000000000</v>
      </c>
      <c r="CC354" s="182">
        <f ca="1">IF($D354&lt;&gt;"Serviço",0,IF(OR(AND(AUTOEVENTO="Manual",$M354=1),$M354&gt;(ROW(PLE.lastrow)-ROW(PLE.firstrow))),0,IF(OFFSET(PLE!$G$14,$M354,CC$13)="",10^12,OFFSET(PLE!$G$14,$M354,CC$13))))</f>
        <v>1000000000000</v>
      </c>
      <c r="CD354" s="182">
        <f ca="1">IF($D354&lt;&gt;"Serviço",0,IF(OR(AND(AUTOEVENTO="Manual",$M354=1),$M354&gt;(ROW(PLE.lastrow)-ROW(PLE.firstrow))),0,IF(OFFSET(PLE!$G$14,$M354,CD$13)="",10^12,OFFSET(PLE!$G$14,$M354,CD$13))))</f>
        <v>1000000000000</v>
      </c>
      <c r="CE354" s="182">
        <f ca="1">IF($D354&lt;&gt;"Serviço",0,IF(OR(AND(AUTOEVENTO="Manual",$M354=1),$M354&gt;(ROW(PLE.lastrow)-ROW(PLE.firstrow))),0,IF(OFFSET(PLE!$G$14,$M354,CE$13)="",10^12,OFFSET(PLE!$G$14,$M354,CE$13))))</f>
        <v>1000000000000</v>
      </c>
      <c r="CF354" s="182">
        <f ca="1">IF($D354&lt;&gt;"Serviço",0,IF(OR(AND(AUTOEVENTO="Manual",$M354=1),$M354&gt;(ROW(PLE.lastrow)-ROW(PLE.firstrow))),0,IF(OFFSET(PLE!$G$14,$M354,CF$13)="",10^12,OFFSET(PLE!$G$14,$M354,CF$13))))</f>
        <v>1000000000000</v>
      </c>
      <c r="CG354" s="182">
        <f ca="1">IF($D354&lt;&gt;"Serviço",0,IF(OR(AND(AUTOEVENTO="Manual",$M354=1),$M354&gt;(ROW(PLE.lastrow)-ROW(PLE.firstrow))),0,IF(OFFSET(PLE!$G$14,$M354,CG$13)="",10^12,OFFSET(PLE!$G$14,$M354,CG$13))))</f>
        <v>1000000000000</v>
      </c>
      <c r="CH354" s="182">
        <f ca="1">IF($D354&lt;&gt;"Serviço",0,IF(OR(AND(AUTOEVENTO="Manual",$M354=1),$M354&gt;(ROW(PLE.lastrow)-ROW(PLE.firstrow))),0,IF(OFFSET(PLE!$G$14,$M354,CH$13)="",10^12,OFFSET(PLE!$G$14,$M354,CH$13))))</f>
        <v>1000000000000</v>
      </c>
      <c r="CI354" s="182">
        <f ca="1">IF($D354&lt;&gt;"Serviço",0,IF(OR(AND(AUTOEVENTO="Manual",$M354=1),$M354&gt;(ROW(PLE.lastrow)-ROW(PLE.firstrow))),0,IF(OFFSET(PLE!$G$14,$M354,CI$13)="",10^12,OFFSET(PLE!$G$14,$M354,CI$13))))</f>
        <v>1000000000000</v>
      </c>
      <c r="CJ354" s="182">
        <f ca="1">IF($D354&lt;&gt;"Serviço",0,IF(OR(AND(AUTOEVENTO="Manual",$M354=1),$M354&gt;(ROW(PLE.lastrow)-ROW(PLE.firstrow))),0,IF(OFFSET(PLE!$G$14,$M354,CJ$13)="",10^12,OFFSET(PLE!$G$14,$M354,CJ$13))))</f>
        <v>1000000000000</v>
      </c>
      <c r="CK354" s="182">
        <f ca="1">IF($D354&lt;&gt;"Serviço",0,IF(OR(AND(AUTOEVENTO="Manual",$M354=1),$M354&gt;(ROW(PLE.lastrow)-ROW(PLE.firstrow))),0,IF(OFFSET(PLE!$G$14,$M354,CK$13)="",10^12,OFFSET(PLE!$G$14,$M354,CK$13))))</f>
        <v>1000000000000</v>
      </c>
      <c r="CL354" s="182">
        <f ca="1">IF($D354&lt;&gt;"Serviço",0,IF(OR(AND(AUTOEVENTO="Manual",$M354=1),$M354&gt;(ROW(PLE.lastrow)-ROW(PLE.firstrow))),0,IF(OFFSET(PLE!$G$14,$M354,CL$13)="",10^12,OFFSET(PLE!$G$14,$M354,CL$13))))</f>
        <v>1000000000000</v>
      </c>
      <c r="CM354" s="182">
        <f ca="1">IF($D354&lt;&gt;"Serviço",0,IF(OR(AND(AUTOEVENTO="Manual",$M354=1),$M354&gt;(ROW(PLE.lastrow)-ROW(PLE.firstrow))),0,IF(OFFSET(PLE!$G$14,$M354,CM$13)="",10^12,OFFSET(PLE!$G$14,$M354,CM$13))))</f>
        <v>1000000000000</v>
      </c>
    </row>
    <row r="355" spans="1:91" ht="38.25" x14ac:dyDescent="0.2">
      <c r="A355" s="7" t="str">
        <f t="shared" ca="1" si="12"/>
        <v>338</v>
      </c>
      <c r="B355" s="7" t="str">
        <f ca="1">OFFSET(ORÇAMENTO!C$15,ROW(B355)-ROW(B$15),0)</f>
        <v>S</v>
      </c>
      <c r="C355" s="7" t="str">
        <f ca="1">OFFSET(ORÇAMENTO!L$15,ROW(C355)-ROW(C$15),0)</f>
        <v/>
      </c>
      <c r="D355" s="118" t="str">
        <f ca="1">OFFSET(ORÇAMENTO!N$15,ROW(D355)-ROW(D$15),0)</f>
        <v>Serviço</v>
      </c>
      <c r="E355" s="119" t="str">
        <f ca="1">OFFSET(ORÇAMENTO!O$15,ROW(E355)-ROW(E$15),0)</f>
        <v>-</v>
      </c>
      <c r="F355" s="172" t="str">
        <f ca="1">OFFSET(ORÇAMENTO!R$15,ROW(F355)-ROW(F$15),0)</f>
        <v>(abra o arquivo 'Referência 06-2024.xlsm)</v>
      </c>
      <c r="G355" s="173" t="str">
        <f ca="1">IF($D355&lt;&gt;"Serviço","",OFFSET(ORÇAMENTO!S$15,ROW(G355)-ROW(G$15),0))</f>
        <v>-</v>
      </c>
      <c r="H355" s="124">
        <f ca="1">IF($D355&lt;&gt;"Serviço",0,IF(ACOMPANHAMENTO="BM",ROUND(OFFSET(ORÇAMENTO!AJ$15,ROW(H355)-ROW(H$15),0),15-13*ORÇAMENTO!$AF$7),SUMPRODUCT(($Q$12:$AI$12&lt;&gt;"")*ROUND($Q355:$AI355,15-13*ORÇAMENTO!$AF$7))))</f>
        <v>248</v>
      </c>
      <c r="I355" s="561" t="s">
        <v>1107</v>
      </c>
      <c r="K355" s="174"/>
      <c r="L355" s="175" t="s">
        <v>255</v>
      </c>
      <c r="M355" s="176">
        <f ca="1">IF($D355&lt;&gt;"Serviço","",IF(AUTOEVENTO="manual",$A355,IF(ISERROR(MATCH($A355,$A$15:OFFSET($A355,-1,0),0)),MAX($M$15:OFFSET(M355,-1,0))+1,INDEX($M$15:OFFSET(M355,-1,0),MATCH($A355,$A$15:OFFSET($A355,-1,0),0)))))</f>
        <v>43</v>
      </c>
      <c r="N355" s="177" t="str">
        <f ca="1">IF($D355&lt;&gt;"Serviço","",IF(AUTOEVENTO="Manual",IF($A355=0,"&lt;-- defina o número do agrupador",OFFSET(EVENTOS!$D$14,$A355,0)),OFFSET($F$15,$A355,0)))</f>
        <v>INSTALAÇÃO SANITÁRIA - VENTILAÇÃO</v>
      </c>
      <c r="O355" s="178"/>
      <c r="Q355" s="178">
        <v>248</v>
      </c>
      <c r="R355" s="179"/>
      <c r="S355" s="179"/>
      <c r="T355" s="179"/>
      <c r="U355" s="179"/>
      <c r="V355" s="179"/>
      <c r="W355" s="179"/>
      <c r="X355" s="179"/>
      <c r="Y355" s="179"/>
      <c r="Z355" s="180"/>
      <c r="AA355" s="179"/>
      <c r="AB355" s="179"/>
      <c r="AC355" s="179"/>
      <c r="AD355" s="179"/>
      <c r="AE355" s="179"/>
      <c r="AF355" s="179"/>
      <c r="AG355" s="179"/>
      <c r="AH355" s="180"/>
      <c r="AJ355" s="544">
        <f ca="1">IF(AND($D355="Serviço",AJ$12&lt;&gt;0,$H355&gt;0,OR(AUTOEVENTO&lt;&gt;"manual",$M355&lt;&gt;1)),
IF(Import.TipoArredondamento&lt;&gt;"TransfereGOV",
ROUND(OFFSET($P355,0,AJ$13),15-13*ORÇAMENTO!$AF$7)/$H355*OFFSET(ORÇAMENTO!$X$15,ROW(AJ355)-ROW(AJ$15),0),
ROUND(ROUND(OFFSET($P355,0,AJ$13),15-13*ORÇAMENTO!$AF$7)*OFFSET(ORÇAMENTO!$W$15,ROW(AJ355)-ROW(AJ$15),0),15-13*ORÇAMENTO!$AF$11)),0)</f>
        <v>0</v>
      </c>
      <c r="AK355" s="545">
        <f ca="1">IF(AND($D355="Serviço",AK$12&lt;&gt;0,$H355&gt;0,OR(AUTOEVENTO&lt;&gt;"manual",$M355&lt;&gt;1)),
IF(Import.TipoArredondamento&lt;&gt;"TransfereGOV",
ROUND(OFFSET($P355,0,AK$13),15-13*ORÇAMENTO!$AF$7)/$H355*OFFSET(ORÇAMENTO!$X$15,ROW(AK355)-ROW(AK$15),0),
ROUND(ROUND(OFFSET($P355,0,AK$13),15-13*ORÇAMENTO!$AF$7)*OFFSET(ORÇAMENTO!$W$15,ROW(AK355)-ROW(AK$15),0),15-13*ORÇAMENTO!$AF$11)),0)</f>
        <v>0</v>
      </c>
      <c r="AL355" s="545">
        <f ca="1">IF(AND($D355="Serviço",AL$12&lt;&gt;0,$H355&gt;0,OR(AUTOEVENTO&lt;&gt;"manual",$M355&lt;&gt;1)),
IF(Import.TipoArredondamento&lt;&gt;"TransfereGOV",
ROUND(OFFSET($P355,0,AL$13),15-13*ORÇAMENTO!$AF$7)/$H355*OFFSET(ORÇAMENTO!$X$15,ROW(AL355)-ROW(AL$15),0),
ROUND(ROUND(OFFSET($P355,0,AL$13),15-13*ORÇAMENTO!$AF$7)*OFFSET(ORÇAMENTO!$W$15,ROW(AL355)-ROW(AL$15),0),15-13*ORÇAMENTO!$AF$11)),0)</f>
        <v>0</v>
      </c>
      <c r="AM355" s="545">
        <f ca="1">IF(AND($D355="Serviço",AM$12&lt;&gt;0,$H355&gt;0,OR(AUTOEVENTO&lt;&gt;"manual",$M355&lt;&gt;1)),
IF(Import.TipoArredondamento&lt;&gt;"TransfereGOV",
ROUND(OFFSET($P355,0,AM$13),15-13*ORÇAMENTO!$AF$7)/$H355*OFFSET(ORÇAMENTO!$X$15,ROW(AM355)-ROW(AM$15),0),
ROUND(ROUND(OFFSET($P355,0,AM$13),15-13*ORÇAMENTO!$AF$7)*OFFSET(ORÇAMENTO!$W$15,ROW(AM355)-ROW(AM$15),0),15-13*ORÇAMENTO!$AF$11)),0)</f>
        <v>0</v>
      </c>
      <c r="AN355" s="545">
        <f ca="1">IF(AND($D355="Serviço",AN$12&lt;&gt;0,$H355&gt;0,OR(AUTOEVENTO&lt;&gt;"manual",$M355&lt;&gt;1)),
IF(Import.TipoArredondamento&lt;&gt;"TransfereGOV",
ROUND(OFFSET($P355,0,AN$13),15-13*ORÇAMENTO!$AF$7)/$H355*OFFSET(ORÇAMENTO!$X$15,ROW(AN355)-ROW(AN$15),0),
ROUND(ROUND(OFFSET($P355,0,AN$13),15-13*ORÇAMENTO!$AF$7)*OFFSET(ORÇAMENTO!$W$15,ROW(AN355)-ROW(AN$15),0),15-13*ORÇAMENTO!$AF$11)),0)</f>
        <v>0</v>
      </c>
      <c r="AO355" s="545">
        <f ca="1">IF(AND($D355="Serviço",AO$12&lt;&gt;0,$H355&gt;0,OR(AUTOEVENTO&lt;&gt;"manual",$M355&lt;&gt;1)),
IF(Import.TipoArredondamento&lt;&gt;"TransfereGOV",
ROUND(OFFSET($P355,0,AO$13),15-13*ORÇAMENTO!$AF$7)/$H355*OFFSET(ORÇAMENTO!$X$15,ROW(AO355)-ROW(AO$15),0),
ROUND(ROUND(OFFSET($P355,0,AO$13),15-13*ORÇAMENTO!$AF$7)*OFFSET(ORÇAMENTO!$W$15,ROW(AO355)-ROW(AO$15),0),15-13*ORÇAMENTO!$AF$11)),0)</f>
        <v>0</v>
      </c>
      <c r="AP355" s="545">
        <f ca="1">IF(AND($D355="Serviço",AP$12&lt;&gt;0,$H355&gt;0,OR(AUTOEVENTO&lt;&gt;"manual",$M355&lt;&gt;1)),
IF(Import.TipoArredondamento&lt;&gt;"TransfereGOV",
ROUND(OFFSET($P355,0,AP$13),15-13*ORÇAMENTO!$AF$7)/$H355*OFFSET(ORÇAMENTO!$X$15,ROW(AP355)-ROW(AP$15),0),
ROUND(ROUND(OFFSET($P355,0,AP$13),15-13*ORÇAMENTO!$AF$7)*OFFSET(ORÇAMENTO!$W$15,ROW(AP355)-ROW(AP$15),0),15-13*ORÇAMENTO!$AF$11)),0)</f>
        <v>0</v>
      </c>
      <c r="AQ355" s="545">
        <f ca="1">IF(AND($D355="Serviço",AQ$12&lt;&gt;0,$H355&gt;0,OR(AUTOEVENTO&lt;&gt;"manual",$M355&lt;&gt;1)),
IF(Import.TipoArredondamento&lt;&gt;"TransfereGOV",
ROUND(OFFSET($P355,0,AQ$13),15-13*ORÇAMENTO!$AF$7)/$H355*OFFSET(ORÇAMENTO!$X$15,ROW(AQ355)-ROW(AQ$15),0),
ROUND(ROUND(OFFSET($P355,0,AQ$13),15-13*ORÇAMENTO!$AF$7)*OFFSET(ORÇAMENTO!$W$15,ROW(AQ355)-ROW(AQ$15),0),15-13*ORÇAMENTO!$AF$11)),0)</f>
        <v>0</v>
      </c>
      <c r="AR355" s="545">
        <f ca="1">IF(AND($D355="Serviço",AR$12&lt;&gt;0,$H355&gt;0,OR(AUTOEVENTO&lt;&gt;"manual",$M355&lt;&gt;1)),
IF(Import.TipoArredondamento&lt;&gt;"TransfereGOV",
ROUND(OFFSET($P355,0,AR$13),15-13*ORÇAMENTO!$AF$7)/$H355*OFFSET(ORÇAMENTO!$X$15,ROW(AR355)-ROW(AR$15),0),
ROUND(ROUND(OFFSET($P355,0,AR$13),15-13*ORÇAMENTO!$AF$7)*OFFSET(ORÇAMENTO!$W$15,ROW(AR355)-ROW(AR$15),0),15-13*ORÇAMENTO!$AF$11)),0)</f>
        <v>0</v>
      </c>
      <c r="AS355" s="546">
        <f ca="1">IF(AND($D355="Serviço",AS$12&lt;&gt;0,$H355&gt;0,OR(AUTOEVENTO&lt;&gt;"manual",$M355&lt;&gt;1)),
IF(Import.TipoArredondamento&lt;&gt;"TransfereGOV",
ROUND(OFFSET($P355,0,AS$13),15-13*ORÇAMENTO!$AF$7)/$H355*OFFSET(ORÇAMENTO!$X$15,ROW(AS355)-ROW(AS$15),0),
ROUND(ROUND(OFFSET($P355,0,AS$13),15-13*ORÇAMENTO!$AF$7)*OFFSET(ORÇAMENTO!$W$15,ROW(AS355)-ROW(AS$15),0),15-13*ORÇAMENTO!$AF$11)),0)</f>
        <v>0</v>
      </c>
      <c r="AT355" s="545">
        <f ca="1">IF(AND($D355="Serviço",AT$12&lt;&gt;0,$H355&gt;0,OR(AUTOEVENTO&lt;&gt;"manual",$M355&lt;&gt;1)),
IF(Import.TipoArredondamento&lt;&gt;"TransfereGOV",
ROUND(OFFSET($P355,0,AT$13),15-13*ORÇAMENTO!$AF$7)/$H355*OFFSET(ORÇAMENTO!$X$15,ROW(AT355)-ROW(AT$15),0),
ROUND(ROUND(OFFSET($P355,0,AT$13),15-13*ORÇAMENTO!$AF$7)*OFFSET(ORÇAMENTO!$W$15,ROW(AT355)-ROW(AT$15),0),15-13*ORÇAMENTO!$AF$11)),0)</f>
        <v>0</v>
      </c>
      <c r="AU355" s="545">
        <f ca="1">IF(AND($D355="Serviço",AU$12&lt;&gt;0,$H355&gt;0,OR(AUTOEVENTO&lt;&gt;"manual",$M355&lt;&gt;1)),
IF(Import.TipoArredondamento&lt;&gt;"TransfereGOV",
ROUND(OFFSET($P355,0,AU$13),15-13*ORÇAMENTO!$AF$7)/$H355*OFFSET(ORÇAMENTO!$X$15,ROW(AU355)-ROW(AU$15),0),
ROUND(ROUND(OFFSET($P355,0,AU$13),15-13*ORÇAMENTO!$AF$7)*OFFSET(ORÇAMENTO!$W$15,ROW(AU355)-ROW(AU$15),0),15-13*ORÇAMENTO!$AF$11)),0)</f>
        <v>0</v>
      </c>
      <c r="AV355" s="545">
        <f ca="1">IF(AND($D355="Serviço",AV$12&lt;&gt;0,$H355&gt;0,OR(AUTOEVENTO&lt;&gt;"manual",$M355&lt;&gt;1)),
IF(Import.TipoArredondamento&lt;&gt;"TransfereGOV",
ROUND(OFFSET($P355,0,AV$13),15-13*ORÇAMENTO!$AF$7)/$H355*OFFSET(ORÇAMENTO!$X$15,ROW(AV355)-ROW(AV$15),0),
ROUND(ROUND(OFFSET($P355,0,AV$13),15-13*ORÇAMENTO!$AF$7)*OFFSET(ORÇAMENTO!$W$15,ROW(AV355)-ROW(AV$15),0),15-13*ORÇAMENTO!$AF$11)),0)</f>
        <v>0</v>
      </c>
      <c r="AW355" s="545">
        <f ca="1">IF(AND($D355="Serviço",AW$12&lt;&gt;0,$H355&gt;0,OR(AUTOEVENTO&lt;&gt;"manual",$M355&lt;&gt;1)),
IF(Import.TipoArredondamento&lt;&gt;"TransfereGOV",
ROUND(OFFSET($P355,0,AW$13),15-13*ORÇAMENTO!$AF$7)/$H355*OFFSET(ORÇAMENTO!$X$15,ROW(AW355)-ROW(AW$15),0),
ROUND(ROUND(OFFSET($P355,0,AW$13),15-13*ORÇAMENTO!$AF$7)*OFFSET(ORÇAMENTO!$W$15,ROW(AW355)-ROW(AW$15),0),15-13*ORÇAMENTO!$AF$11)),0)</f>
        <v>0</v>
      </c>
      <c r="AX355" s="545">
        <f ca="1">IF(AND($D355="Serviço",AX$12&lt;&gt;0,$H355&gt;0,OR(AUTOEVENTO&lt;&gt;"manual",$M355&lt;&gt;1)),
IF(Import.TipoArredondamento&lt;&gt;"TransfereGOV",
ROUND(OFFSET($P355,0,AX$13),15-13*ORÇAMENTO!$AF$7)/$H355*OFFSET(ORÇAMENTO!$X$15,ROW(AX355)-ROW(AX$15),0),
ROUND(ROUND(OFFSET($P355,0,AX$13),15-13*ORÇAMENTO!$AF$7)*OFFSET(ORÇAMENTO!$W$15,ROW(AX355)-ROW(AX$15),0),15-13*ORÇAMENTO!$AF$11)),0)</f>
        <v>0</v>
      </c>
      <c r="AY355" s="545">
        <f ca="1">IF(AND($D355="Serviço",AY$12&lt;&gt;0,$H355&gt;0,OR(AUTOEVENTO&lt;&gt;"manual",$M355&lt;&gt;1)),
IF(Import.TipoArredondamento&lt;&gt;"TransfereGOV",
ROUND(OFFSET($P355,0,AY$13),15-13*ORÇAMENTO!$AF$7)/$H355*OFFSET(ORÇAMENTO!$X$15,ROW(AY355)-ROW(AY$15),0),
ROUND(ROUND(OFFSET($P355,0,AY$13),15-13*ORÇAMENTO!$AF$7)*OFFSET(ORÇAMENTO!$W$15,ROW(AY355)-ROW(AY$15),0),15-13*ORÇAMENTO!$AF$11)),0)</f>
        <v>0</v>
      </c>
      <c r="AZ355" s="545">
        <f ca="1">IF(AND($D355="Serviço",AZ$12&lt;&gt;0,$H355&gt;0,OR(AUTOEVENTO&lt;&gt;"manual",$M355&lt;&gt;1)),
IF(Import.TipoArredondamento&lt;&gt;"TransfereGOV",
ROUND(OFFSET($P355,0,AZ$13),15-13*ORÇAMENTO!$AF$7)/$H355*OFFSET(ORÇAMENTO!$X$15,ROW(AZ355)-ROW(AZ$15),0),
ROUND(ROUND(OFFSET($P355,0,AZ$13),15-13*ORÇAMENTO!$AF$7)*OFFSET(ORÇAMENTO!$W$15,ROW(AZ355)-ROW(AZ$15),0),15-13*ORÇAMENTO!$AF$11)),0)</f>
        <v>0</v>
      </c>
      <c r="BA355" s="546">
        <f ca="1">IF(AND($D355="Serviço",BA$12&lt;&gt;0,$H355&gt;0,OR(AUTOEVENTO&lt;&gt;"manual",$M355&lt;&gt;1)),
IF(Import.TipoArredondamento&lt;&gt;"TransfereGOV",
ROUND(OFFSET($P355,0,BA$13),15-13*ORÇAMENTO!$AF$7)/$H355*OFFSET(ORÇAMENTO!$X$15,ROW(BA355)-ROW(BA$15),0),
ROUND(ROUND(OFFSET($P355,0,BA$13),15-13*ORÇAMENTO!$AF$7)*OFFSET(ORÇAMENTO!$W$15,ROW(BA355)-ROW(BA$15),0),15-13*ORÇAMENTO!$AF$11)),0)</f>
        <v>0</v>
      </c>
      <c r="BC355" s="181">
        <f ca="1">IF($D355&lt;&gt;"Serviço",0,IF(AND(AUTOEVENTO="Manual",$M355=1),0,IF(OFFSET(CRONOPLE!$F$14,$M355,BC$13)="",10^12,OFFSET(CRONOPLE!$F$14,$M355,BC$13))))</f>
        <v>10</v>
      </c>
      <c r="BD355" s="181">
        <f ca="1">IF($D355&lt;&gt;"Serviço",0,IF(AND(AUTOEVENTO="Manual",$M355=1),0,IF(OFFSET(CRONOPLE!$F$14,$M355,BD$13)="",10^12,OFFSET(CRONOPLE!$F$14,$M355,BD$13))))</f>
        <v>1000000000000</v>
      </c>
      <c r="BE355" s="181">
        <f ca="1">IF($D355&lt;&gt;"Serviço",0,IF(AND(AUTOEVENTO="Manual",$M355=1),0,IF(OFFSET(CRONOPLE!$F$14,$M355,BE$13)="",10^12,OFFSET(CRONOPLE!$F$14,$M355,BE$13))))</f>
        <v>1000000000000</v>
      </c>
      <c r="BF355" s="181">
        <f ca="1">IF($D355&lt;&gt;"Serviço",0,IF(AND(AUTOEVENTO="Manual",$M355=1),0,IF(OFFSET(CRONOPLE!$F$14,$M355,BF$13)="",10^12,OFFSET(CRONOPLE!$F$14,$M355,BF$13))))</f>
        <v>1000000000000</v>
      </c>
      <c r="BG355" s="181">
        <f ca="1">IF($D355&lt;&gt;"Serviço",0,IF(AND(AUTOEVENTO="Manual",$M355=1),0,IF(OFFSET(CRONOPLE!$F$14,$M355,BG$13)="",10^12,OFFSET(CRONOPLE!$F$14,$M355,BG$13))))</f>
        <v>1000000000000</v>
      </c>
      <c r="BH355" s="181">
        <f ca="1">IF($D355&lt;&gt;"Serviço",0,IF(AND(AUTOEVENTO="Manual",$M355=1),0,IF(OFFSET(CRONOPLE!$F$14,$M355,BH$13)="",10^12,OFFSET(CRONOPLE!$F$14,$M355,BH$13))))</f>
        <v>1000000000000</v>
      </c>
      <c r="BI355" s="181">
        <f ca="1">IF($D355&lt;&gt;"Serviço",0,IF(AND(AUTOEVENTO="Manual",$M355=1),0,IF(OFFSET(CRONOPLE!$F$14,$M355,BI$13)="",10^12,OFFSET(CRONOPLE!$F$14,$M355,BI$13))))</f>
        <v>1000000000000</v>
      </c>
      <c r="BJ355" s="181">
        <f ca="1">IF($D355&lt;&gt;"Serviço",0,IF(AND(AUTOEVENTO="Manual",$M355=1),0,IF(OFFSET(CRONOPLE!$F$14,$M355,BJ$13)="",10^12,OFFSET(CRONOPLE!$F$14,$M355,BJ$13))))</f>
        <v>1000000000000</v>
      </c>
      <c r="BK355" s="181">
        <f ca="1">IF($D355&lt;&gt;"Serviço",0,IF(AND(AUTOEVENTO="Manual",$M355=1),0,IF(OFFSET(CRONOPLE!$F$14,$M355,BK$13)="",10^12,OFFSET(CRONOPLE!$F$14,$M355,BK$13))))</f>
        <v>1000000000000</v>
      </c>
      <c r="BL355" s="181">
        <f ca="1">IF($D355&lt;&gt;"Serviço",0,IF(AND(AUTOEVENTO="Manual",$M355=1),0,IF(OFFSET(CRONOPLE!$F$14,$M355,BL$13)="",10^12,OFFSET(CRONOPLE!$F$14,$M355,BL$13))))</f>
        <v>1000000000000</v>
      </c>
      <c r="BM355" s="181">
        <f ca="1">IF($D355&lt;&gt;"Serviço",0,IF(AND(AUTOEVENTO="Manual",$M355=1),0,IF(OFFSET(CRONOPLE!$F$14,$M355,BM$13)="",10^12,OFFSET(CRONOPLE!$F$14,$M355,BM$13))))</f>
        <v>1000000000000</v>
      </c>
      <c r="BN355" s="181">
        <f ca="1">IF($D355&lt;&gt;"Serviço",0,IF(AND(AUTOEVENTO="Manual",$M355=1),0,IF(OFFSET(CRONOPLE!$F$14,$M355,BN$13)="",10^12,OFFSET(CRONOPLE!$F$14,$M355,BN$13))))</f>
        <v>1000000000000</v>
      </c>
      <c r="BO355" s="181">
        <f ca="1">IF($D355&lt;&gt;"Serviço",0,IF(AND(AUTOEVENTO="Manual",$M355=1),0,IF(OFFSET(CRONOPLE!$F$14,$M355,BO$13)="",10^12,OFFSET(CRONOPLE!$F$14,$M355,BO$13))))</f>
        <v>1000000000000</v>
      </c>
      <c r="BP355" s="181">
        <f ca="1">IF($D355&lt;&gt;"Serviço",0,IF(AND(AUTOEVENTO="Manual",$M355=1),0,IF(OFFSET(CRONOPLE!$F$14,$M355,BP$13)="",10^12,OFFSET(CRONOPLE!$F$14,$M355,BP$13))))</f>
        <v>1000000000000</v>
      </c>
      <c r="BQ355" s="181">
        <f ca="1">IF($D355&lt;&gt;"Serviço",0,IF(AND(AUTOEVENTO="Manual",$M355=1),0,IF(OFFSET(CRONOPLE!$F$14,$M355,BQ$13)="",10^12,OFFSET(CRONOPLE!$F$14,$M355,BQ$13))))</f>
        <v>1000000000000</v>
      </c>
      <c r="BR355" s="181">
        <f ca="1">IF($D355&lt;&gt;"Serviço",0,IF(AND(AUTOEVENTO="Manual",$M355=1),0,IF(OFFSET(CRONOPLE!$F$14,$M355,BR$13)="",10^12,OFFSET(CRONOPLE!$F$14,$M355,BR$13))))</f>
        <v>1000000000000</v>
      </c>
      <c r="BS355" s="181">
        <f ca="1">IF($D355&lt;&gt;"Serviço",0,IF(AND(AUTOEVENTO="Manual",$M355=1),0,IF(OFFSET(CRONOPLE!$F$14,$M355,BS$13)="",10^12,OFFSET(CRONOPLE!$F$14,$M355,BS$13))))</f>
        <v>1000000000000</v>
      </c>
      <c r="BT355" s="181">
        <f ca="1">IF($D355&lt;&gt;"Serviço",0,IF(AND(AUTOEVENTO="Manual",$M355=1),0,IF(OFFSET(CRONOPLE!$F$14,$M355,BT$13)="",10^12,OFFSET(CRONOPLE!$F$14,$M355,BT$13))))</f>
        <v>1000000000000</v>
      </c>
      <c r="BV355" s="182">
        <f ca="1">IF($D355&lt;&gt;"Serviço",0,IF(OR(AND(AUTOEVENTO="Manual",$M355=1),$M355&gt;(ROW(PLE.lastrow)-ROW(PLE.firstrow))),0,IF(OFFSET(PLE!$G$14,$M355,BV$13)="",10^12,OFFSET(PLE!$G$14,$M355,BV$13))))</f>
        <v>1000000000000</v>
      </c>
      <c r="BW355" s="182">
        <f ca="1">IF($D355&lt;&gt;"Serviço",0,IF(OR(AND(AUTOEVENTO="Manual",$M355=1),$M355&gt;(ROW(PLE.lastrow)-ROW(PLE.firstrow))),0,IF(OFFSET(PLE!$G$14,$M355,BW$13)="",10^12,OFFSET(PLE!$G$14,$M355,BW$13))))</f>
        <v>1000000000000</v>
      </c>
      <c r="BX355" s="182">
        <f ca="1">IF($D355&lt;&gt;"Serviço",0,IF(OR(AND(AUTOEVENTO="Manual",$M355=1),$M355&gt;(ROW(PLE.lastrow)-ROW(PLE.firstrow))),0,IF(OFFSET(PLE!$G$14,$M355,BX$13)="",10^12,OFFSET(PLE!$G$14,$M355,BX$13))))</f>
        <v>1000000000000</v>
      </c>
      <c r="BY355" s="182">
        <f ca="1">IF($D355&lt;&gt;"Serviço",0,IF(OR(AND(AUTOEVENTO="Manual",$M355=1),$M355&gt;(ROW(PLE.lastrow)-ROW(PLE.firstrow))),0,IF(OFFSET(PLE!$G$14,$M355,BY$13)="",10^12,OFFSET(PLE!$G$14,$M355,BY$13))))</f>
        <v>1000000000000</v>
      </c>
      <c r="BZ355" s="182">
        <f ca="1">IF($D355&lt;&gt;"Serviço",0,IF(OR(AND(AUTOEVENTO="Manual",$M355=1),$M355&gt;(ROW(PLE.lastrow)-ROW(PLE.firstrow))),0,IF(OFFSET(PLE!$G$14,$M355,BZ$13)="",10^12,OFFSET(PLE!$G$14,$M355,BZ$13))))</f>
        <v>1000000000000</v>
      </c>
      <c r="CA355" s="182">
        <f ca="1">IF($D355&lt;&gt;"Serviço",0,IF(OR(AND(AUTOEVENTO="Manual",$M355=1),$M355&gt;(ROW(PLE.lastrow)-ROW(PLE.firstrow))),0,IF(OFFSET(PLE!$G$14,$M355,CA$13)="",10^12,OFFSET(PLE!$G$14,$M355,CA$13))))</f>
        <v>1000000000000</v>
      </c>
      <c r="CB355" s="182">
        <f ca="1">IF($D355&lt;&gt;"Serviço",0,IF(OR(AND(AUTOEVENTO="Manual",$M355=1),$M355&gt;(ROW(PLE.lastrow)-ROW(PLE.firstrow))),0,IF(OFFSET(PLE!$G$14,$M355,CB$13)="",10^12,OFFSET(PLE!$G$14,$M355,CB$13))))</f>
        <v>1000000000000</v>
      </c>
      <c r="CC355" s="182">
        <f ca="1">IF($D355&lt;&gt;"Serviço",0,IF(OR(AND(AUTOEVENTO="Manual",$M355=1),$M355&gt;(ROW(PLE.lastrow)-ROW(PLE.firstrow))),0,IF(OFFSET(PLE!$G$14,$M355,CC$13)="",10^12,OFFSET(PLE!$G$14,$M355,CC$13))))</f>
        <v>1000000000000</v>
      </c>
      <c r="CD355" s="182">
        <f ca="1">IF($D355&lt;&gt;"Serviço",0,IF(OR(AND(AUTOEVENTO="Manual",$M355=1),$M355&gt;(ROW(PLE.lastrow)-ROW(PLE.firstrow))),0,IF(OFFSET(PLE!$G$14,$M355,CD$13)="",10^12,OFFSET(PLE!$G$14,$M355,CD$13))))</f>
        <v>1000000000000</v>
      </c>
      <c r="CE355" s="182">
        <f ca="1">IF($D355&lt;&gt;"Serviço",0,IF(OR(AND(AUTOEVENTO="Manual",$M355=1),$M355&gt;(ROW(PLE.lastrow)-ROW(PLE.firstrow))),0,IF(OFFSET(PLE!$G$14,$M355,CE$13)="",10^12,OFFSET(PLE!$G$14,$M355,CE$13))))</f>
        <v>1000000000000</v>
      </c>
      <c r="CF355" s="182">
        <f ca="1">IF($D355&lt;&gt;"Serviço",0,IF(OR(AND(AUTOEVENTO="Manual",$M355=1),$M355&gt;(ROW(PLE.lastrow)-ROW(PLE.firstrow))),0,IF(OFFSET(PLE!$G$14,$M355,CF$13)="",10^12,OFFSET(PLE!$G$14,$M355,CF$13))))</f>
        <v>1000000000000</v>
      </c>
      <c r="CG355" s="182">
        <f ca="1">IF($D355&lt;&gt;"Serviço",0,IF(OR(AND(AUTOEVENTO="Manual",$M355=1),$M355&gt;(ROW(PLE.lastrow)-ROW(PLE.firstrow))),0,IF(OFFSET(PLE!$G$14,$M355,CG$13)="",10^12,OFFSET(PLE!$G$14,$M355,CG$13))))</f>
        <v>1000000000000</v>
      </c>
      <c r="CH355" s="182">
        <f ca="1">IF($D355&lt;&gt;"Serviço",0,IF(OR(AND(AUTOEVENTO="Manual",$M355=1),$M355&gt;(ROW(PLE.lastrow)-ROW(PLE.firstrow))),0,IF(OFFSET(PLE!$G$14,$M355,CH$13)="",10^12,OFFSET(PLE!$G$14,$M355,CH$13))))</f>
        <v>1000000000000</v>
      </c>
      <c r="CI355" s="182">
        <f ca="1">IF($D355&lt;&gt;"Serviço",0,IF(OR(AND(AUTOEVENTO="Manual",$M355=1),$M355&gt;(ROW(PLE.lastrow)-ROW(PLE.firstrow))),0,IF(OFFSET(PLE!$G$14,$M355,CI$13)="",10^12,OFFSET(PLE!$G$14,$M355,CI$13))))</f>
        <v>1000000000000</v>
      </c>
      <c r="CJ355" s="182">
        <f ca="1">IF($D355&lt;&gt;"Serviço",0,IF(OR(AND(AUTOEVENTO="Manual",$M355=1),$M355&gt;(ROW(PLE.lastrow)-ROW(PLE.firstrow))),0,IF(OFFSET(PLE!$G$14,$M355,CJ$13)="",10^12,OFFSET(PLE!$G$14,$M355,CJ$13))))</f>
        <v>1000000000000</v>
      </c>
      <c r="CK355" s="182">
        <f ca="1">IF($D355&lt;&gt;"Serviço",0,IF(OR(AND(AUTOEVENTO="Manual",$M355=1),$M355&gt;(ROW(PLE.lastrow)-ROW(PLE.firstrow))),0,IF(OFFSET(PLE!$G$14,$M355,CK$13)="",10^12,OFFSET(PLE!$G$14,$M355,CK$13))))</f>
        <v>1000000000000</v>
      </c>
      <c r="CL355" s="182">
        <f ca="1">IF($D355&lt;&gt;"Serviço",0,IF(OR(AND(AUTOEVENTO="Manual",$M355=1),$M355&gt;(ROW(PLE.lastrow)-ROW(PLE.firstrow))),0,IF(OFFSET(PLE!$G$14,$M355,CL$13)="",10^12,OFFSET(PLE!$G$14,$M355,CL$13))))</f>
        <v>1000000000000</v>
      </c>
      <c r="CM355" s="182">
        <f ca="1">IF($D355&lt;&gt;"Serviço",0,IF(OR(AND(AUTOEVENTO="Manual",$M355=1),$M355&gt;(ROW(PLE.lastrow)-ROW(PLE.firstrow))),0,IF(OFFSET(PLE!$G$14,$M355,CM$13)="",10^12,OFFSET(PLE!$G$14,$M355,CM$13))))</f>
        <v>1000000000000</v>
      </c>
    </row>
    <row r="356" spans="1:91" ht="38.25" x14ac:dyDescent="0.2">
      <c r="A356" s="7" t="str">
        <f t="shared" ca="1" si="12"/>
        <v>338</v>
      </c>
      <c r="B356" s="7" t="str">
        <f ca="1">OFFSET(ORÇAMENTO!C$15,ROW(B356)-ROW(B$15),0)</f>
        <v>S</v>
      </c>
      <c r="C356" s="7" t="str">
        <f ca="1">OFFSET(ORÇAMENTO!L$15,ROW(C356)-ROW(C$15),0)</f>
        <v/>
      </c>
      <c r="D356" s="118" t="str">
        <f ca="1">OFFSET(ORÇAMENTO!N$15,ROW(D356)-ROW(D$15),0)</f>
        <v>Serviço</v>
      </c>
      <c r="E356" s="119" t="str">
        <f ca="1">OFFSET(ORÇAMENTO!O$15,ROW(E356)-ROW(E$15),0)</f>
        <v>-</v>
      </c>
      <c r="F356" s="172" t="str">
        <f ca="1">OFFSET(ORÇAMENTO!R$15,ROW(F356)-ROW(F$15),0)</f>
        <v>(abra o arquivo 'Referência 06-2024.xlsm)</v>
      </c>
      <c r="G356" s="173" t="str">
        <f ca="1">IF($D356&lt;&gt;"Serviço","",OFFSET(ORÇAMENTO!S$15,ROW(G356)-ROW(G$15),0))</f>
        <v>-</v>
      </c>
      <c r="H356" s="124">
        <f ca="1">IF($D356&lt;&gt;"Serviço",0,IF(ACOMPANHAMENTO="BM",ROUND(OFFSET(ORÇAMENTO!AJ$15,ROW(H356)-ROW(H$15),0),15-13*ORÇAMENTO!$AF$7),SUMPRODUCT(($Q$12:$AI$12&lt;&gt;"")*ROUND($Q356:$AI356,15-13*ORÇAMENTO!$AF$7))))</f>
        <v>2</v>
      </c>
      <c r="I356" s="561" t="s">
        <v>1107</v>
      </c>
      <c r="K356" s="174"/>
      <c r="L356" s="175" t="s">
        <v>255</v>
      </c>
      <c r="M356" s="176">
        <f ca="1">IF($D356&lt;&gt;"Serviço","",IF(AUTOEVENTO="manual",$A356,IF(ISERROR(MATCH($A356,$A$15:OFFSET($A356,-1,0),0)),MAX($M$15:OFFSET(M356,-1,0))+1,INDEX($M$15:OFFSET(M356,-1,0),MATCH($A356,$A$15:OFFSET($A356,-1,0),0)))))</f>
        <v>43</v>
      </c>
      <c r="N356" s="177" t="str">
        <f ca="1">IF($D356&lt;&gt;"Serviço","",IF(AUTOEVENTO="Manual",IF($A356=0,"&lt;-- defina o número do agrupador",OFFSET(EVENTOS!$D$14,$A356,0)),OFFSET($F$15,$A356,0)))</f>
        <v>INSTALAÇÃO SANITÁRIA - VENTILAÇÃO</v>
      </c>
      <c r="O356" s="178"/>
      <c r="Q356" s="178">
        <v>2</v>
      </c>
      <c r="R356" s="179"/>
      <c r="S356" s="179"/>
      <c r="T356" s="179"/>
      <c r="U356" s="179"/>
      <c r="V356" s="179"/>
      <c r="W356" s="179"/>
      <c r="X356" s="179"/>
      <c r="Y356" s="179"/>
      <c r="Z356" s="180"/>
      <c r="AA356" s="179"/>
      <c r="AB356" s="179"/>
      <c r="AC356" s="179"/>
      <c r="AD356" s="179"/>
      <c r="AE356" s="179"/>
      <c r="AF356" s="179"/>
      <c r="AG356" s="179"/>
      <c r="AH356" s="180"/>
      <c r="AJ356" s="544">
        <f ca="1">IF(AND($D356="Serviço",AJ$12&lt;&gt;0,$H356&gt;0,OR(AUTOEVENTO&lt;&gt;"manual",$M356&lt;&gt;1)),
IF(Import.TipoArredondamento&lt;&gt;"TransfereGOV",
ROUND(OFFSET($P356,0,AJ$13),15-13*ORÇAMENTO!$AF$7)/$H356*OFFSET(ORÇAMENTO!$X$15,ROW(AJ356)-ROW(AJ$15),0),
ROUND(ROUND(OFFSET($P356,0,AJ$13),15-13*ORÇAMENTO!$AF$7)*OFFSET(ORÇAMENTO!$W$15,ROW(AJ356)-ROW(AJ$15),0),15-13*ORÇAMENTO!$AF$11)),0)</f>
        <v>0</v>
      </c>
      <c r="AK356" s="545">
        <f ca="1">IF(AND($D356="Serviço",AK$12&lt;&gt;0,$H356&gt;0,OR(AUTOEVENTO&lt;&gt;"manual",$M356&lt;&gt;1)),
IF(Import.TipoArredondamento&lt;&gt;"TransfereGOV",
ROUND(OFFSET($P356,0,AK$13),15-13*ORÇAMENTO!$AF$7)/$H356*OFFSET(ORÇAMENTO!$X$15,ROW(AK356)-ROW(AK$15),0),
ROUND(ROUND(OFFSET($P356,0,AK$13),15-13*ORÇAMENTO!$AF$7)*OFFSET(ORÇAMENTO!$W$15,ROW(AK356)-ROW(AK$15),0),15-13*ORÇAMENTO!$AF$11)),0)</f>
        <v>0</v>
      </c>
      <c r="AL356" s="545">
        <f ca="1">IF(AND($D356="Serviço",AL$12&lt;&gt;0,$H356&gt;0,OR(AUTOEVENTO&lt;&gt;"manual",$M356&lt;&gt;1)),
IF(Import.TipoArredondamento&lt;&gt;"TransfereGOV",
ROUND(OFFSET($P356,0,AL$13),15-13*ORÇAMENTO!$AF$7)/$H356*OFFSET(ORÇAMENTO!$X$15,ROW(AL356)-ROW(AL$15),0),
ROUND(ROUND(OFFSET($P356,0,AL$13),15-13*ORÇAMENTO!$AF$7)*OFFSET(ORÇAMENTO!$W$15,ROW(AL356)-ROW(AL$15),0),15-13*ORÇAMENTO!$AF$11)),0)</f>
        <v>0</v>
      </c>
      <c r="AM356" s="545">
        <f ca="1">IF(AND($D356="Serviço",AM$12&lt;&gt;0,$H356&gt;0,OR(AUTOEVENTO&lt;&gt;"manual",$M356&lt;&gt;1)),
IF(Import.TipoArredondamento&lt;&gt;"TransfereGOV",
ROUND(OFFSET($P356,0,AM$13),15-13*ORÇAMENTO!$AF$7)/$H356*OFFSET(ORÇAMENTO!$X$15,ROW(AM356)-ROW(AM$15),0),
ROUND(ROUND(OFFSET($P356,0,AM$13),15-13*ORÇAMENTO!$AF$7)*OFFSET(ORÇAMENTO!$W$15,ROW(AM356)-ROW(AM$15),0),15-13*ORÇAMENTO!$AF$11)),0)</f>
        <v>0</v>
      </c>
      <c r="AN356" s="545">
        <f ca="1">IF(AND($D356="Serviço",AN$12&lt;&gt;0,$H356&gt;0,OR(AUTOEVENTO&lt;&gt;"manual",$M356&lt;&gt;1)),
IF(Import.TipoArredondamento&lt;&gt;"TransfereGOV",
ROUND(OFFSET($P356,0,AN$13),15-13*ORÇAMENTO!$AF$7)/$H356*OFFSET(ORÇAMENTO!$X$15,ROW(AN356)-ROW(AN$15),0),
ROUND(ROUND(OFFSET($P356,0,AN$13),15-13*ORÇAMENTO!$AF$7)*OFFSET(ORÇAMENTO!$W$15,ROW(AN356)-ROW(AN$15),0),15-13*ORÇAMENTO!$AF$11)),0)</f>
        <v>0</v>
      </c>
      <c r="AO356" s="545">
        <f ca="1">IF(AND($D356="Serviço",AO$12&lt;&gt;0,$H356&gt;0,OR(AUTOEVENTO&lt;&gt;"manual",$M356&lt;&gt;1)),
IF(Import.TipoArredondamento&lt;&gt;"TransfereGOV",
ROUND(OFFSET($P356,0,AO$13),15-13*ORÇAMENTO!$AF$7)/$H356*OFFSET(ORÇAMENTO!$X$15,ROW(AO356)-ROW(AO$15),0),
ROUND(ROUND(OFFSET($P356,0,AO$13),15-13*ORÇAMENTO!$AF$7)*OFFSET(ORÇAMENTO!$W$15,ROW(AO356)-ROW(AO$15),0),15-13*ORÇAMENTO!$AF$11)),0)</f>
        <v>0</v>
      </c>
      <c r="AP356" s="545">
        <f ca="1">IF(AND($D356="Serviço",AP$12&lt;&gt;0,$H356&gt;0,OR(AUTOEVENTO&lt;&gt;"manual",$M356&lt;&gt;1)),
IF(Import.TipoArredondamento&lt;&gt;"TransfereGOV",
ROUND(OFFSET($P356,0,AP$13),15-13*ORÇAMENTO!$AF$7)/$H356*OFFSET(ORÇAMENTO!$X$15,ROW(AP356)-ROW(AP$15),0),
ROUND(ROUND(OFFSET($P356,0,AP$13),15-13*ORÇAMENTO!$AF$7)*OFFSET(ORÇAMENTO!$W$15,ROW(AP356)-ROW(AP$15),0),15-13*ORÇAMENTO!$AF$11)),0)</f>
        <v>0</v>
      </c>
      <c r="AQ356" s="545">
        <f ca="1">IF(AND($D356="Serviço",AQ$12&lt;&gt;0,$H356&gt;0,OR(AUTOEVENTO&lt;&gt;"manual",$M356&lt;&gt;1)),
IF(Import.TipoArredondamento&lt;&gt;"TransfereGOV",
ROUND(OFFSET($P356,0,AQ$13),15-13*ORÇAMENTO!$AF$7)/$H356*OFFSET(ORÇAMENTO!$X$15,ROW(AQ356)-ROW(AQ$15),0),
ROUND(ROUND(OFFSET($P356,0,AQ$13),15-13*ORÇAMENTO!$AF$7)*OFFSET(ORÇAMENTO!$W$15,ROW(AQ356)-ROW(AQ$15),0),15-13*ORÇAMENTO!$AF$11)),0)</f>
        <v>0</v>
      </c>
      <c r="AR356" s="545">
        <f ca="1">IF(AND($D356="Serviço",AR$12&lt;&gt;0,$H356&gt;0,OR(AUTOEVENTO&lt;&gt;"manual",$M356&lt;&gt;1)),
IF(Import.TipoArredondamento&lt;&gt;"TransfereGOV",
ROUND(OFFSET($P356,0,AR$13),15-13*ORÇAMENTO!$AF$7)/$H356*OFFSET(ORÇAMENTO!$X$15,ROW(AR356)-ROW(AR$15),0),
ROUND(ROUND(OFFSET($P356,0,AR$13),15-13*ORÇAMENTO!$AF$7)*OFFSET(ORÇAMENTO!$W$15,ROW(AR356)-ROW(AR$15),0),15-13*ORÇAMENTO!$AF$11)),0)</f>
        <v>0</v>
      </c>
      <c r="AS356" s="546">
        <f ca="1">IF(AND($D356="Serviço",AS$12&lt;&gt;0,$H356&gt;0,OR(AUTOEVENTO&lt;&gt;"manual",$M356&lt;&gt;1)),
IF(Import.TipoArredondamento&lt;&gt;"TransfereGOV",
ROUND(OFFSET($P356,0,AS$13),15-13*ORÇAMENTO!$AF$7)/$H356*OFFSET(ORÇAMENTO!$X$15,ROW(AS356)-ROW(AS$15),0),
ROUND(ROUND(OFFSET($P356,0,AS$13),15-13*ORÇAMENTO!$AF$7)*OFFSET(ORÇAMENTO!$W$15,ROW(AS356)-ROW(AS$15),0),15-13*ORÇAMENTO!$AF$11)),0)</f>
        <v>0</v>
      </c>
      <c r="AT356" s="545">
        <f ca="1">IF(AND($D356="Serviço",AT$12&lt;&gt;0,$H356&gt;0,OR(AUTOEVENTO&lt;&gt;"manual",$M356&lt;&gt;1)),
IF(Import.TipoArredondamento&lt;&gt;"TransfereGOV",
ROUND(OFFSET($P356,0,AT$13),15-13*ORÇAMENTO!$AF$7)/$H356*OFFSET(ORÇAMENTO!$X$15,ROW(AT356)-ROW(AT$15),0),
ROUND(ROUND(OFFSET($P356,0,AT$13),15-13*ORÇAMENTO!$AF$7)*OFFSET(ORÇAMENTO!$W$15,ROW(AT356)-ROW(AT$15),0),15-13*ORÇAMENTO!$AF$11)),0)</f>
        <v>0</v>
      </c>
      <c r="AU356" s="545">
        <f ca="1">IF(AND($D356="Serviço",AU$12&lt;&gt;0,$H356&gt;0,OR(AUTOEVENTO&lt;&gt;"manual",$M356&lt;&gt;1)),
IF(Import.TipoArredondamento&lt;&gt;"TransfereGOV",
ROUND(OFFSET($P356,0,AU$13),15-13*ORÇAMENTO!$AF$7)/$H356*OFFSET(ORÇAMENTO!$X$15,ROW(AU356)-ROW(AU$15),0),
ROUND(ROUND(OFFSET($P356,0,AU$13),15-13*ORÇAMENTO!$AF$7)*OFFSET(ORÇAMENTO!$W$15,ROW(AU356)-ROW(AU$15),0),15-13*ORÇAMENTO!$AF$11)),0)</f>
        <v>0</v>
      </c>
      <c r="AV356" s="545">
        <f ca="1">IF(AND($D356="Serviço",AV$12&lt;&gt;0,$H356&gt;0,OR(AUTOEVENTO&lt;&gt;"manual",$M356&lt;&gt;1)),
IF(Import.TipoArredondamento&lt;&gt;"TransfereGOV",
ROUND(OFFSET($P356,0,AV$13),15-13*ORÇAMENTO!$AF$7)/$H356*OFFSET(ORÇAMENTO!$X$15,ROW(AV356)-ROW(AV$15),0),
ROUND(ROUND(OFFSET($P356,0,AV$13),15-13*ORÇAMENTO!$AF$7)*OFFSET(ORÇAMENTO!$W$15,ROW(AV356)-ROW(AV$15),0),15-13*ORÇAMENTO!$AF$11)),0)</f>
        <v>0</v>
      </c>
      <c r="AW356" s="545">
        <f ca="1">IF(AND($D356="Serviço",AW$12&lt;&gt;0,$H356&gt;0,OR(AUTOEVENTO&lt;&gt;"manual",$M356&lt;&gt;1)),
IF(Import.TipoArredondamento&lt;&gt;"TransfereGOV",
ROUND(OFFSET($P356,0,AW$13),15-13*ORÇAMENTO!$AF$7)/$H356*OFFSET(ORÇAMENTO!$X$15,ROW(AW356)-ROW(AW$15),0),
ROUND(ROUND(OFFSET($P356,0,AW$13),15-13*ORÇAMENTO!$AF$7)*OFFSET(ORÇAMENTO!$W$15,ROW(AW356)-ROW(AW$15),0),15-13*ORÇAMENTO!$AF$11)),0)</f>
        <v>0</v>
      </c>
      <c r="AX356" s="545">
        <f ca="1">IF(AND($D356="Serviço",AX$12&lt;&gt;0,$H356&gt;0,OR(AUTOEVENTO&lt;&gt;"manual",$M356&lt;&gt;1)),
IF(Import.TipoArredondamento&lt;&gt;"TransfereGOV",
ROUND(OFFSET($P356,0,AX$13),15-13*ORÇAMENTO!$AF$7)/$H356*OFFSET(ORÇAMENTO!$X$15,ROW(AX356)-ROW(AX$15),0),
ROUND(ROUND(OFFSET($P356,0,AX$13),15-13*ORÇAMENTO!$AF$7)*OFFSET(ORÇAMENTO!$W$15,ROW(AX356)-ROW(AX$15),0),15-13*ORÇAMENTO!$AF$11)),0)</f>
        <v>0</v>
      </c>
      <c r="AY356" s="545">
        <f ca="1">IF(AND($D356="Serviço",AY$12&lt;&gt;0,$H356&gt;0,OR(AUTOEVENTO&lt;&gt;"manual",$M356&lt;&gt;1)),
IF(Import.TipoArredondamento&lt;&gt;"TransfereGOV",
ROUND(OFFSET($P356,0,AY$13),15-13*ORÇAMENTO!$AF$7)/$H356*OFFSET(ORÇAMENTO!$X$15,ROW(AY356)-ROW(AY$15),0),
ROUND(ROUND(OFFSET($P356,0,AY$13),15-13*ORÇAMENTO!$AF$7)*OFFSET(ORÇAMENTO!$W$15,ROW(AY356)-ROW(AY$15),0),15-13*ORÇAMENTO!$AF$11)),0)</f>
        <v>0</v>
      </c>
      <c r="AZ356" s="545">
        <f ca="1">IF(AND($D356="Serviço",AZ$12&lt;&gt;0,$H356&gt;0,OR(AUTOEVENTO&lt;&gt;"manual",$M356&lt;&gt;1)),
IF(Import.TipoArredondamento&lt;&gt;"TransfereGOV",
ROUND(OFFSET($P356,0,AZ$13),15-13*ORÇAMENTO!$AF$7)/$H356*OFFSET(ORÇAMENTO!$X$15,ROW(AZ356)-ROW(AZ$15),0),
ROUND(ROUND(OFFSET($P356,0,AZ$13),15-13*ORÇAMENTO!$AF$7)*OFFSET(ORÇAMENTO!$W$15,ROW(AZ356)-ROW(AZ$15),0),15-13*ORÇAMENTO!$AF$11)),0)</f>
        <v>0</v>
      </c>
      <c r="BA356" s="546">
        <f ca="1">IF(AND($D356="Serviço",BA$12&lt;&gt;0,$H356&gt;0,OR(AUTOEVENTO&lt;&gt;"manual",$M356&lt;&gt;1)),
IF(Import.TipoArredondamento&lt;&gt;"TransfereGOV",
ROUND(OFFSET($P356,0,BA$13),15-13*ORÇAMENTO!$AF$7)/$H356*OFFSET(ORÇAMENTO!$X$15,ROW(BA356)-ROW(BA$15),0),
ROUND(ROUND(OFFSET($P356,0,BA$13),15-13*ORÇAMENTO!$AF$7)*OFFSET(ORÇAMENTO!$W$15,ROW(BA356)-ROW(BA$15),0),15-13*ORÇAMENTO!$AF$11)),0)</f>
        <v>0</v>
      </c>
      <c r="BC356" s="181">
        <f ca="1">IF($D356&lt;&gt;"Serviço",0,IF(AND(AUTOEVENTO="Manual",$M356=1),0,IF(OFFSET(CRONOPLE!$F$14,$M356,BC$13)="",10^12,OFFSET(CRONOPLE!$F$14,$M356,BC$13))))</f>
        <v>10</v>
      </c>
      <c r="BD356" s="181">
        <f ca="1">IF($D356&lt;&gt;"Serviço",0,IF(AND(AUTOEVENTO="Manual",$M356=1),0,IF(OFFSET(CRONOPLE!$F$14,$M356,BD$13)="",10^12,OFFSET(CRONOPLE!$F$14,$M356,BD$13))))</f>
        <v>1000000000000</v>
      </c>
      <c r="BE356" s="181">
        <f ca="1">IF($D356&lt;&gt;"Serviço",0,IF(AND(AUTOEVENTO="Manual",$M356=1),0,IF(OFFSET(CRONOPLE!$F$14,$M356,BE$13)="",10^12,OFFSET(CRONOPLE!$F$14,$M356,BE$13))))</f>
        <v>1000000000000</v>
      </c>
      <c r="BF356" s="181">
        <f ca="1">IF($D356&lt;&gt;"Serviço",0,IF(AND(AUTOEVENTO="Manual",$M356=1),0,IF(OFFSET(CRONOPLE!$F$14,$M356,BF$13)="",10^12,OFFSET(CRONOPLE!$F$14,$M356,BF$13))))</f>
        <v>1000000000000</v>
      </c>
      <c r="BG356" s="181">
        <f ca="1">IF($D356&lt;&gt;"Serviço",0,IF(AND(AUTOEVENTO="Manual",$M356=1),0,IF(OFFSET(CRONOPLE!$F$14,$M356,BG$13)="",10^12,OFFSET(CRONOPLE!$F$14,$M356,BG$13))))</f>
        <v>1000000000000</v>
      </c>
      <c r="BH356" s="181">
        <f ca="1">IF($D356&lt;&gt;"Serviço",0,IF(AND(AUTOEVENTO="Manual",$M356=1),0,IF(OFFSET(CRONOPLE!$F$14,$M356,BH$13)="",10^12,OFFSET(CRONOPLE!$F$14,$M356,BH$13))))</f>
        <v>1000000000000</v>
      </c>
      <c r="BI356" s="181">
        <f ca="1">IF($D356&lt;&gt;"Serviço",0,IF(AND(AUTOEVENTO="Manual",$M356=1),0,IF(OFFSET(CRONOPLE!$F$14,$M356,BI$13)="",10^12,OFFSET(CRONOPLE!$F$14,$M356,BI$13))))</f>
        <v>1000000000000</v>
      </c>
      <c r="BJ356" s="181">
        <f ca="1">IF($D356&lt;&gt;"Serviço",0,IF(AND(AUTOEVENTO="Manual",$M356=1),0,IF(OFFSET(CRONOPLE!$F$14,$M356,BJ$13)="",10^12,OFFSET(CRONOPLE!$F$14,$M356,BJ$13))))</f>
        <v>1000000000000</v>
      </c>
      <c r="BK356" s="181">
        <f ca="1">IF($D356&lt;&gt;"Serviço",0,IF(AND(AUTOEVENTO="Manual",$M356=1),0,IF(OFFSET(CRONOPLE!$F$14,$M356,BK$13)="",10^12,OFFSET(CRONOPLE!$F$14,$M356,BK$13))))</f>
        <v>1000000000000</v>
      </c>
      <c r="BL356" s="181">
        <f ca="1">IF($D356&lt;&gt;"Serviço",0,IF(AND(AUTOEVENTO="Manual",$M356=1),0,IF(OFFSET(CRONOPLE!$F$14,$M356,BL$13)="",10^12,OFFSET(CRONOPLE!$F$14,$M356,BL$13))))</f>
        <v>1000000000000</v>
      </c>
      <c r="BM356" s="181">
        <f ca="1">IF($D356&lt;&gt;"Serviço",0,IF(AND(AUTOEVENTO="Manual",$M356=1),0,IF(OFFSET(CRONOPLE!$F$14,$M356,BM$13)="",10^12,OFFSET(CRONOPLE!$F$14,$M356,BM$13))))</f>
        <v>1000000000000</v>
      </c>
      <c r="BN356" s="181">
        <f ca="1">IF($D356&lt;&gt;"Serviço",0,IF(AND(AUTOEVENTO="Manual",$M356=1),0,IF(OFFSET(CRONOPLE!$F$14,$M356,BN$13)="",10^12,OFFSET(CRONOPLE!$F$14,$M356,BN$13))))</f>
        <v>1000000000000</v>
      </c>
      <c r="BO356" s="181">
        <f ca="1">IF($D356&lt;&gt;"Serviço",0,IF(AND(AUTOEVENTO="Manual",$M356=1),0,IF(OFFSET(CRONOPLE!$F$14,$M356,BO$13)="",10^12,OFFSET(CRONOPLE!$F$14,$M356,BO$13))))</f>
        <v>1000000000000</v>
      </c>
      <c r="BP356" s="181">
        <f ca="1">IF($D356&lt;&gt;"Serviço",0,IF(AND(AUTOEVENTO="Manual",$M356=1),0,IF(OFFSET(CRONOPLE!$F$14,$M356,BP$13)="",10^12,OFFSET(CRONOPLE!$F$14,$M356,BP$13))))</f>
        <v>1000000000000</v>
      </c>
      <c r="BQ356" s="181">
        <f ca="1">IF($D356&lt;&gt;"Serviço",0,IF(AND(AUTOEVENTO="Manual",$M356=1),0,IF(OFFSET(CRONOPLE!$F$14,$M356,BQ$13)="",10^12,OFFSET(CRONOPLE!$F$14,$M356,BQ$13))))</f>
        <v>1000000000000</v>
      </c>
      <c r="BR356" s="181">
        <f ca="1">IF($D356&lt;&gt;"Serviço",0,IF(AND(AUTOEVENTO="Manual",$M356=1),0,IF(OFFSET(CRONOPLE!$F$14,$M356,BR$13)="",10^12,OFFSET(CRONOPLE!$F$14,$M356,BR$13))))</f>
        <v>1000000000000</v>
      </c>
      <c r="BS356" s="181">
        <f ca="1">IF($D356&lt;&gt;"Serviço",0,IF(AND(AUTOEVENTO="Manual",$M356=1),0,IF(OFFSET(CRONOPLE!$F$14,$M356,BS$13)="",10^12,OFFSET(CRONOPLE!$F$14,$M356,BS$13))))</f>
        <v>1000000000000</v>
      </c>
      <c r="BT356" s="181">
        <f ca="1">IF($D356&lt;&gt;"Serviço",0,IF(AND(AUTOEVENTO="Manual",$M356=1),0,IF(OFFSET(CRONOPLE!$F$14,$M356,BT$13)="",10^12,OFFSET(CRONOPLE!$F$14,$M356,BT$13))))</f>
        <v>1000000000000</v>
      </c>
      <c r="BV356" s="182">
        <f ca="1">IF($D356&lt;&gt;"Serviço",0,IF(OR(AND(AUTOEVENTO="Manual",$M356=1),$M356&gt;(ROW(PLE.lastrow)-ROW(PLE.firstrow))),0,IF(OFFSET(PLE!$G$14,$M356,BV$13)="",10^12,OFFSET(PLE!$G$14,$M356,BV$13))))</f>
        <v>1000000000000</v>
      </c>
      <c r="BW356" s="182">
        <f ca="1">IF($D356&lt;&gt;"Serviço",0,IF(OR(AND(AUTOEVENTO="Manual",$M356=1),$M356&gt;(ROW(PLE.lastrow)-ROW(PLE.firstrow))),0,IF(OFFSET(PLE!$G$14,$M356,BW$13)="",10^12,OFFSET(PLE!$G$14,$M356,BW$13))))</f>
        <v>1000000000000</v>
      </c>
      <c r="BX356" s="182">
        <f ca="1">IF($D356&lt;&gt;"Serviço",0,IF(OR(AND(AUTOEVENTO="Manual",$M356=1),$M356&gt;(ROW(PLE.lastrow)-ROW(PLE.firstrow))),0,IF(OFFSET(PLE!$G$14,$M356,BX$13)="",10^12,OFFSET(PLE!$G$14,$M356,BX$13))))</f>
        <v>1000000000000</v>
      </c>
      <c r="BY356" s="182">
        <f ca="1">IF($D356&lt;&gt;"Serviço",0,IF(OR(AND(AUTOEVENTO="Manual",$M356=1),$M356&gt;(ROW(PLE.lastrow)-ROW(PLE.firstrow))),0,IF(OFFSET(PLE!$G$14,$M356,BY$13)="",10^12,OFFSET(PLE!$G$14,$M356,BY$13))))</f>
        <v>1000000000000</v>
      </c>
      <c r="BZ356" s="182">
        <f ca="1">IF($D356&lt;&gt;"Serviço",0,IF(OR(AND(AUTOEVENTO="Manual",$M356=1),$M356&gt;(ROW(PLE.lastrow)-ROW(PLE.firstrow))),0,IF(OFFSET(PLE!$G$14,$M356,BZ$13)="",10^12,OFFSET(PLE!$G$14,$M356,BZ$13))))</f>
        <v>1000000000000</v>
      </c>
      <c r="CA356" s="182">
        <f ca="1">IF($D356&lt;&gt;"Serviço",0,IF(OR(AND(AUTOEVENTO="Manual",$M356=1),$M356&gt;(ROW(PLE.lastrow)-ROW(PLE.firstrow))),0,IF(OFFSET(PLE!$G$14,$M356,CA$13)="",10^12,OFFSET(PLE!$G$14,$M356,CA$13))))</f>
        <v>1000000000000</v>
      </c>
      <c r="CB356" s="182">
        <f ca="1">IF($D356&lt;&gt;"Serviço",0,IF(OR(AND(AUTOEVENTO="Manual",$M356=1),$M356&gt;(ROW(PLE.lastrow)-ROW(PLE.firstrow))),0,IF(OFFSET(PLE!$G$14,$M356,CB$13)="",10^12,OFFSET(PLE!$G$14,$M356,CB$13))))</f>
        <v>1000000000000</v>
      </c>
      <c r="CC356" s="182">
        <f ca="1">IF($D356&lt;&gt;"Serviço",0,IF(OR(AND(AUTOEVENTO="Manual",$M356=1),$M356&gt;(ROW(PLE.lastrow)-ROW(PLE.firstrow))),0,IF(OFFSET(PLE!$G$14,$M356,CC$13)="",10^12,OFFSET(PLE!$G$14,$M356,CC$13))))</f>
        <v>1000000000000</v>
      </c>
      <c r="CD356" s="182">
        <f ca="1">IF($D356&lt;&gt;"Serviço",0,IF(OR(AND(AUTOEVENTO="Manual",$M356=1),$M356&gt;(ROW(PLE.lastrow)-ROW(PLE.firstrow))),0,IF(OFFSET(PLE!$G$14,$M356,CD$13)="",10^12,OFFSET(PLE!$G$14,$M356,CD$13))))</f>
        <v>1000000000000</v>
      </c>
      <c r="CE356" s="182">
        <f ca="1">IF($D356&lt;&gt;"Serviço",0,IF(OR(AND(AUTOEVENTO="Manual",$M356=1),$M356&gt;(ROW(PLE.lastrow)-ROW(PLE.firstrow))),0,IF(OFFSET(PLE!$G$14,$M356,CE$13)="",10^12,OFFSET(PLE!$G$14,$M356,CE$13))))</f>
        <v>1000000000000</v>
      </c>
      <c r="CF356" s="182">
        <f ca="1">IF($D356&lt;&gt;"Serviço",0,IF(OR(AND(AUTOEVENTO="Manual",$M356=1),$M356&gt;(ROW(PLE.lastrow)-ROW(PLE.firstrow))),0,IF(OFFSET(PLE!$G$14,$M356,CF$13)="",10^12,OFFSET(PLE!$G$14,$M356,CF$13))))</f>
        <v>1000000000000</v>
      </c>
      <c r="CG356" s="182">
        <f ca="1">IF($D356&lt;&gt;"Serviço",0,IF(OR(AND(AUTOEVENTO="Manual",$M356=1),$M356&gt;(ROW(PLE.lastrow)-ROW(PLE.firstrow))),0,IF(OFFSET(PLE!$G$14,$M356,CG$13)="",10^12,OFFSET(PLE!$G$14,$M356,CG$13))))</f>
        <v>1000000000000</v>
      </c>
      <c r="CH356" s="182">
        <f ca="1">IF($D356&lt;&gt;"Serviço",0,IF(OR(AND(AUTOEVENTO="Manual",$M356=1),$M356&gt;(ROW(PLE.lastrow)-ROW(PLE.firstrow))),0,IF(OFFSET(PLE!$G$14,$M356,CH$13)="",10^12,OFFSET(PLE!$G$14,$M356,CH$13))))</f>
        <v>1000000000000</v>
      </c>
      <c r="CI356" s="182">
        <f ca="1">IF($D356&lt;&gt;"Serviço",0,IF(OR(AND(AUTOEVENTO="Manual",$M356=1),$M356&gt;(ROW(PLE.lastrow)-ROW(PLE.firstrow))),0,IF(OFFSET(PLE!$G$14,$M356,CI$13)="",10^12,OFFSET(PLE!$G$14,$M356,CI$13))))</f>
        <v>1000000000000</v>
      </c>
      <c r="CJ356" s="182">
        <f ca="1">IF($D356&lt;&gt;"Serviço",0,IF(OR(AND(AUTOEVENTO="Manual",$M356=1),$M356&gt;(ROW(PLE.lastrow)-ROW(PLE.firstrow))),0,IF(OFFSET(PLE!$G$14,$M356,CJ$13)="",10^12,OFFSET(PLE!$G$14,$M356,CJ$13))))</f>
        <v>1000000000000</v>
      </c>
      <c r="CK356" s="182">
        <f ca="1">IF($D356&lt;&gt;"Serviço",0,IF(OR(AND(AUTOEVENTO="Manual",$M356=1),$M356&gt;(ROW(PLE.lastrow)-ROW(PLE.firstrow))),0,IF(OFFSET(PLE!$G$14,$M356,CK$13)="",10^12,OFFSET(PLE!$G$14,$M356,CK$13))))</f>
        <v>1000000000000</v>
      </c>
      <c r="CL356" s="182">
        <f ca="1">IF($D356&lt;&gt;"Serviço",0,IF(OR(AND(AUTOEVENTO="Manual",$M356=1),$M356&gt;(ROW(PLE.lastrow)-ROW(PLE.firstrow))),0,IF(OFFSET(PLE!$G$14,$M356,CL$13)="",10^12,OFFSET(PLE!$G$14,$M356,CL$13))))</f>
        <v>1000000000000</v>
      </c>
      <c r="CM356" s="182">
        <f ca="1">IF($D356&lt;&gt;"Serviço",0,IF(OR(AND(AUTOEVENTO="Manual",$M356=1),$M356&gt;(ROW(PLE.lastrow)-ROW(PLE.firstrow))),0,IF(OFFSET(PLE!$G$14,$M356,CM$13)="",10^12,OFFSET(PLE!$G$14,$M356,CM$13))))</f>
        <v>1000000000000</v>
      </c>
    </row>
    <row r="357" spans="1:91" ht="38.25" x14ac:dyDescent="0.2">
      <c r="A357" s="7" t="str">
        <f t="shared" ca="1" si="12"/>
        <v>338</v>
      </c>
      <c r="B357" s="7" t="str">
        <f ca="1">OFFSET(ORÇAMENTO!C$15,ROW(B357)-ROW(B$15),0)</f>
        <v>S</v>
      </c>
      <c r="C357" s="7" t="str">
        <f ca="1">OFFSET(ORÇAMENTO!L$15,ROW(C357)-ROW(C$15),0)</f>
        <v/>
      </c>
      <c r="D357" s="118" t="str">
        <f ca="1">OFFSET(ORÇAMENTO!N$15,ROW(D357)-ROW(D$15),0)</f>
        <v>Serviço</v>
      </c>
      <c r="E357" s="119" t="str">
        <f ca="1">OFFSET(ORÇAMENTO!O$15,ROW(E357)-ROW(E$15),0)</f>
        <v>-</v>
      </c>
      <c r="F357" s="172" t="str">
        <f ca="1">OFFSET(ORÇAMENTO!R$15,ROW(F357)-ROW(F$15),0)</f>
        <v>(abra o arquivo 'Referência 06-2024.xlsm)</v>
      </c>
      <c r="G357" s="173" t="str">
        <f ca="1">IF($D357&lt;&gt;"Serviço","",OFFSET(ORÇAMENTO!S$15,ROW(G357)-ROW(G$15),0))</f>
        <v>-</v>
      </c>
      <c r="H357" s="124">
        <f ca="1">IF($D357&lt;&gt;"Serviço",0,IF(ACOMPANHAMENTO="BM",ROUND(OFFSET(ORÇAMENTO!AJ$15,ROW(H357)-ROW(H$15),0),15-13*ORÇAMENTO!$AF$7),SUMPRODUCT(($Q$12:$AI$12&lt;&gt;"")*ROUND($Q357:$AI357,15-13*ORÇAMENTO!$AF$7))))</f>
        <v>39</v>
      </c>
      <c r="I357" s="561" t="s">
        <v>1107</v>
      </c>
      <c r="K357" s="174"/>
      <c r="L357" s="175" t="s">
        <v>255</v>
      </c>
      <c r="M357" s="176">
        <f ca="1">IF($D357&lt;&gt;"Serviço","",IF(AUTOEVENTO="manual",$A357,IF(ISERROR(MATCH($A357,$A$15:OFFSET($A357,-1,0),0)),MAX($M$15:OFFSET(M357,-1,0))+1,INDEX($M$15:OFFSET(M357,-1,0),MATCH($A357,$A$15:OFFSET($A357,-1,0),0)))))</f>
        <v>43</v>
      </c>
      <c r="N357" s="177" t="str">
        <f ca="1">IF($D357&lt;&gt;"Serviço","",IF(AUTOEVENTO="Manual",IF($A357=0,"&lt;-- defina o número do agrupador",OFFSET(EVENTOS!$D$14,$A357,0)),OFFSET($F$15,$A357,0)))</f>
        <v>INSTALAÇÃO SANITÁRIA - VENTILAÇÃO</v>
      </c>
      <c r="O357" s="178"/>
      <c r="Q357" s="178">
        <v>39</v>
      </c>
      <c r="R357" s="179"/>
      <c r="S357" s="179"/>
      <c r="T357" s="179"/>
      <c r="U357" s="179"/>
      <c r="V357" s="179"/>
      <c r="W357" s="179"/>
      <c r="X357" s="179"/>
      <c r="Y357" s="179"/>
      <c r="Z357" s="180"/>
      <c r="AA357" s="179"/>
      <c r="AB357" s="179"/>
      <c r="AC357" s="179"/>
      <c r="AD357" s="179"/>
      <c r="AE357" s="179"/>
      <c r="AF357" s="179"/>
      <c r="AG357" s="179"/>
      <c r="AH357" s="180"/>
      <c r="AJ357" s="544">
        <f ca="1">IF(AND($D357="Serviço",AJ$12&lt;&gt;0,$H357&gt;0,OR(AUTOEVENTO&lt;&gt;"manual",$M357&lt;&gt;1)),
IF(Import.TipoArredondamento&lt;&gt;"TransfereGOV",
ROUND(OFFSET($P357,0,AJ$13),15-13*ORÇAMENTO!$AF$7)/$H357*OFFSET(ORÇAMENTO!$X$15,ROW(AJ357)-ROW(AJ$15),0),
ROUND(ROUND(OFFSET($P357,0,AJ$13),15-13*ORÇAMENTO!$AF$7)*OFFSET(ORÇAMENTO!$W$15,ROW(AJ357)-ROW(AJ$15),0),15-13*ORÇAMENTO!$AF$11)),0)</f>
        <v>0</v>
      </c>
      <c r="AK357" s="545">
        <f ca="1">IF(AND($D357="Serviço",AK$12&lt;&gt;0,$H357&gt;0,OR(AUTOEVENTO&lt;&gt;"manual",$M357&lt;&gt;1)),
IF(Import.TipoArredondamento&lt;&gt;"TransfereGOV",
ROUND(OFFSET($P357,0,AK$13),15-13*ORÇAMENTO!$AF$7)/$H357*OFFSET(ORÇAMENTO!$X$15,ROW(AK357)-ROW(AK$15),0),
ROUND(ROUND(OFFSET($P357,0,AK$13),15-13*ORÇAMENTO!$AF$7)*OFFSET(ORÇAMENTO!$W$15,ROW(AK357)-ROW(AK$15),0),15-13*ORÇAMENTO!$AF$11)),0)</f>
        <v>0</v>
      </c>
      <c r="AL357" s="545">
        <f ca="1">IF(AND($D357="Serviço",AL$12&lt;&gt;0,$H357&gt;0,OR(AUTOEVENTO&lt;&gt;"manual",$M357&lt;&gt;1)),
IF(Import.TipoArredondamento&lt;&gt;"TransfereGOV",
ROUND(OFFSET($P357,0,AL$13),15-13*ORÇAMENTO!$AF$7)/$H357*OFFSET(ORÇAMENTO!$X$15,ROW(AL357)-ROW(AL$15),0),
ROUND(ROUND(OFFSET($P357,0,AL$13),15-13*ORÇAMENTO!$AF$7)*OFFSET(ORÇAMENTO!$W$15,ROW(AL357)-ROW(AL$15),0),15-13*ORÇAMENTO!$AF$11)),0)</f>
        <v>0</v>
      </c>
      <c r="AM357" s="545">
        <f ca="1">IF(AND($D357="Serviço",AM$12&lt;&gt;0,$H357&gt;0,OR(AUTOEVENTO&lt;&gt;"manual",$M357&lt;&gt;1)),
IF(Import.TipoArredondamento&lt;&gt;"TransfereGOV",
ROUND(OFFSET($P357,0,AM$13),15-13*ORÇAMENTO!$AF$7)/$H357*OFFSET(ORÇAMENTO!$X$15,ROW(AM357)-ROW(AM$15),0),
ROUND(ROUND(OFFSET($P357,0,AM$13),15-13*ORÇAMENTO!$AF$7)*OFFSET(ORÇAMENTO!$W$15,ROW(AM357)-ROW(AM$15),0),15-13*ORÇAMENTO!$AF$11)),0)</f>
        <v>0</v>
      </c>
      <c r="AN357" s="545">
        <f ca="1">IF(AND($D357="Serviço",AN$12&lt;&gt;0,$H357&gt;0,OR(AUTOEVENTO&lt;&gt;"manual",$M357&lt;&gt;1)),
IF(Import.TipoArredondamento&lt;&gt;"TransfereGOV",
ROUND(OFFSET($P357,0,AN$13),15-13*ORÇAMENTO!$AF$7)/$H357*OFFSET(ORÇAMENTO!$X$15,ROW(AN357)-ROW(AN$15),0),
ROUND(ROUND(OFFSET($P357,0,AN$13),15-13*ORÇAMENTO!$AF$7)*OFFSET(ORÇAMENTO!$W$15,ROW(AN357)-ROW(AN$15),0),15-13*ORÇAMENTO!$AF$11)),0)</f>
        <v>0</v>
      </c>
      <c r="AO357" s="545">
        <f ca="1">IF(AND($D357="Serviço",AO$12&lt;&gt;0,$H357&gt;0,OR(AUTOEVENTO&lt;&gt;"manual",$M357&lt;&gt;1)),
IF(Import.TipoArredondamento&lt;&gt;"TransfereGOV",
ROUND(OFFSET($P357,0,AO$13),15-13*ORÇAMENTO!$AF$7)/$H357*OFFSET(ORÇAMENTO!$X$15,ROW(AO357)-ROW(AO$15),0),
ROUND(ROUND(OFFSET($P357,0,AO$13),15-13*ORÇAMENTO!$AF$7)*OFFSET(ORÇAMENTO!$W$15,ROW(AO357)-ROW(AO$15),0),15-13*ORÇAMENTO!$AF$11)),0)</f>
        <v>0</v>
      </c>
      <c r="AP357" s="545">
        <f ca="1">IF(AND($D357="Serviço",AP$12&lt;&gt;0,$H357&gt;0,OR(AUTOEVENTO&lt;&gt;"manual",$M357&lt;&gt;1)),
IF(Import.TipoArredondamento&lt;&gt;"TransfereGOV",
ROUND(OFFSET($P357,0,AP$13),15-13*ORÇAMENTO!$AF$7)/$H357*OFFSET(ORÇAMENTO!$X$15,ROW(AP357)-ROW(AP$15),0),
ROUND(ROUND(OFFSET($P357,0,AP$13),15-13*ORÇAMENTO!$AF$7)*OFFSET(ORÇAMENTO!$W$15,ROW(AP357)-ROW(AP$15),0),15-13*ORÇAMENTO!$AF$11)),0)</f>
        <v>0</v>
      </c>
      <c r="AQ357" s="545">
        <f ca="1">IF(AND($D357="Serviço",AQ$12&lt;&gt;0,$H357&gt;0,OR(AUTOEVENTO&lt;&gt;"manual",$M357&lt;&gt;1)),
IF(Import.TipoArredondamento&lt;&gt;"TransfereGOV",
ROUND(OFFSET($P357,0,AQ$13),15-13*ORÇAMENTO!$AF$7)/$H357*OFFSET(ORÇAMENTO!$X$15,ROW(AQ357)-ROW(AQ$15),0),
ROUND(ROUND(OFFSET($P357,0,AQ$13),15-13*ORÇAMENTO!$AF$7)*OFFSET(ORÇAMENTO!$W$15,ROW(AQ357)-ROW(AQ$15),0),15-13*ORÇAMENTO!$AF$11)),0)</f>
        <v>0</v>
      </c>
      <c r="AR357" s="545">
        <f ca="1">IF(AND($D357="Serviço",AR$12&lt;&gt;0,$H357&gt;0,OR(AUTOEVENTO&lt;&gt;"manual",$M357&lt;&gt;1)),
IF(Import.TipoArredondamento&lt;&gt;"TransfereGOV",
ROUND(OFFSET($P357,0,AR$13),15-13*ORÇAMENTO!$AF$7)/$H357*OFFSET(ORÇAMENTO!$X$15,ROW(AR357)-ROW(AR$15),0),
ROUND(ROUND(OFFSET($P357,0,AR$13),15-13*ORÇAMENTO!$AF$7)*OFFSET(ORÇAMENTO!$W$15,ROW(AR357)-ROW(AR$15),0),15-13*ORÇAMENTO!$AF$11)),0)</f>
        <v>0</v>
      </c>
      <c r="AS357" s="546">
        <f ca="1">IF(AND($D357="Serviço",AS$12&lt;&gt;0,$H357&gt;0,OR(AUTOEVENTO&lt;&gt;"manual",$M357&lt;&gt;1)),
IF(Import.TipoArredondamento&lt;&gt;"TransfereGOV",
ROUND(OFFSET($P357,0,AS$13),15-13*ORÇAMENTO!$AF$7)/$H357*OFFSET(ORÇAMENTO!$X$15,ROW(AS357)-ROW(AS$15),0),
ROUND(ROUND(OFFSET($P357,0,AS$13),15-13*ORÇAMENTO!$AF$7)*OFFSET(ORÇAMENTO!$W$15,ROW(AS357)-ROW(AS$15),0),15-13*ORÇAMENTO!$AF$11)),0)</f>
        <v>0</v>
      </c>
      <c r="AT357" s="545">
        <f ca="1">IF(AND($D357="Serviço",AT$12&lt;&gt;0,$H357&gt;0,OR(AUTOEVENTO&lt;&gt;"manual",$M357&lt;&gt;1)),
IF(Import.TipoArredondamento&lt;&gt;"TransfereGOV",
ROUND(OFFSET($P357,0,AT$13),15-13*ORÇAMENTO!$AF$7)/$H357*OFFSET(ORÇAMENTO!$X$15,ROW(AT357)-ROW(AT$15),0),
ROUND(ROUND(OFFSET($P357,0,AT$13),15-13*ORÇAMENTO!$AF$7)*OFFSET(ORÇAMENTO!$W$15,ROW(AT357)-ROW(AT$15),0),15-13*ORÇAMENTO!$AF$11)),0)</f>
        <v>0</v>
      </c>
      <c r="AU357" s="545">
        <f ca="1">IF(AND($D357="Serviço",AU$12&lt;&gt;0,$H357&gt;0,OR(AUTOEVENTO&lt;&gt;"manual",$M357&lt;&gt;1)),
IF(Import.TipoArredondamento&lt;&gt;"TransfereGOV",
ROUND(OFFSET($P357,0,AU$13),15-13*ORÇAMENTO!$AF$7)/$H357*OFFSET(ORÇAMENTO!$X$15,ROW(AU357)-ROW(AU$15),0),
ROUND(ROUND(OFFSET($P357,0,AU$13),15-13*ORÇAMENTO!$AF$7)*OFFSET(ORÇAMENTO!$W$15,ROW(AU357)-ROW(AU$15),0),15-13*ORÇAMENTO!$AF$11)),0)</f>
        <v>0</v>
      </c>
      <c r="AV357" s="545">
        <f ca="1">IF(AND($D357="Serviço",AV$12&lt;&gt;0,$H357&gt;0,OR(AUTOEVENTO&lt;&gt;"manual",$M357&lt;&gt;1)),
IF(Import.TipoArredondamento&lt;&gt;"TransfereGOV",
ROUND(OFFSET($P357,0,AV$13),15-13*ORÇAMENTO!$AF$7)/$H357*OFFSET(ORÇAMENTO!$X$15,ROW(AV357)-ROW(AV$15),0),
ROUND(ROUND(OFFSET($P357,0,AV$13),15-13*ORÇAMENTO!$AF$7)*OFFSET(ORÇAMENTO!$W$15,ROW(AV357)-ROW(AV$15),0),15-13*ORÇAMENTO!$AF$11)),0)</f>
        <v>0</v>
      </c>
      <c r="AW357" s="545">
        <f ca="1">IF(AND($D357="Serviço",AW$12&lt;&gt;0,$H357&gt;0,OR(AUTOEVENTO&lt;&gt;"manual",$M357&lt;&gt;1)),
IF(Import.TipoArredondamento&lt;&gt;"TransfereGOV",
ROUND(OFFSET($P357,0,AW$13),15-13*ORÇAMENTO!$AF$7)/$H357*OFFSET(ORÇAMENTO!$X$15,ROW(AW357)-ROW(AW$15),0),
ROUND(ROUND(OFFSET($P357,0,AW$13),15-13*ORÇAMENTO!$AF$7)*OFFSET(ORÇAMENTO!$W$15,ROW(AW357)-ROW(AW$15),0),15-13*ORÇAMENTO!$AF$11)),0)</f>
        <v>0</v>
      </c>
      <c r="AX357" s="545">
        <f ca="1">IF(AND($D357="Serviço",AX$12&lt;&gt;0,$H357&gt;0,OR(AUTOEVENTO&lt;&gt;"manual",$M357&lt;&gt;1)),
IF(Import.TipoArredondamento&lt;&gt;"TransfereGOV",
ROUND(OFFSET($P357,0,AX$13),15-13*ORÇAMENTO!$AF$7)/$H357*OFFSET(ORÇAMENTO!$X$15,ROW(AX357)-ROW(AX$15),0),
ROUND(ROUND(OFFSET($P357,0,AX$13),15-13*ORÇAMENTO!$AF$7)*OFFSET(ORÇAMENTO!$W$15,ROW(AX357)-ROW(AX$15),0),15-13*ORÇAMENTO!$AF$11)),0)</f>
        <v>0</v>
      </c>
      <c r="AY357" s="545">
        <f ca="1">IF(AND($D357="Serviço",AY$12&lt;&gt;0,$H357&gt;0,OR(AUTOEVENTO&lt;&gt;"manual",$M357&lt;&gt;1)),
IF(Import.TipoArredondamento&lt;&gt;"TransfereGOV",
ROUND(OFFSET($P357,0,AY$13),15-13*ORÇAMENTO!$AF$7)/$H357*OFFSET(ORÇAMENTO!$X$15,ROW(AY357)-ROW(AY$15),0),
ROUND(ROUND(OFFSET($P357,0,AY$13),15-13*ORÇAMENTO!$AF$7)*OFFSET(ORÇAMENTO!$W$15,ROW(AY357)-ROW(AY$15),0),15-13*ORÇAMENTO!$AF$11)),0)</f>
        <v>0</v>
      </c>
      <c r="AZ357" s="545">
        <f ca="1">IF(AND($D357="Serviço",AZ$12&lt;&gt;0,$H357&gt;0,OR(AUTOEVENTO&lt;&gt;"manual",$M357&lt;&gt;1)),
IF(Import.TipoArredondamento&lt;&gt;"TransfereGOV",
ROUND(OFFSET($P357,0,AZ$13),15-13*ORÇAMENTO!$AF$7)/$H357*OFFSET(ORÇAMENTO!$X$15,ROW(AZ357)-ROW(AZ$15),0),
ROUND(ROUND(OFFSET($P357,0,AZ$13),15-13*ORÇAMENTO!$AF$7)*OFFSET(ORÇAMENTO!$W$15,ROW(AZ357)-ROW(AZ$15),0),15-13*ORÇAMENTO!$AF$11)),0)</f>
        <v>0</v>
      </c>
      <c r="BA357" s="546">
        <f ca="1">IF(AND($D357="Serviço",BA$12&lt;&gt;0,$H357&gt;0,OR(AUTOEVENTO&lt;&gt;"manual",$M357&lt;&gt;1)),
IF(Import.TipoArredondamento&lt;&gt;"TransfereGOV",
ROUND(OFFSET($P357,0,BA$13),15-13*ORÇAMENTO!$AF$7)/$H357*OFFSET(ORÇAMENTO!$X$15,ROW(BA357)-ROW(BA$15),0),
ROUND(ROUND(OFFSET($P357,0,BA$13),15-13*ORÇAMENTO!$AF$7)*OFFSET(ORÇAMENTO!$W$15,ROW(BA357)-ROW(BA$15),0),15-13*ORÇAMENTO!$AF$11)),0)</f>
        <v>0</v>
      </c>
      <c r="BC357" s="181">
        <f ca="1">IF($D357&lt;&gt;"Serviço",0,IF(AND(AUTOEVENTO="Manual",$M357=1),0,IF(OFFSET(CRONOPLE!$F$14,$M357,BC$13)="",10^12,OFFSET(CRONOPLE!$F$14,$M357,BC$13))))</f>
        <v>10</v>
      </c>
      <c r="BD357" s="181">
        <f ca="1">IF($D357&lt;&gt;"Serviço",0,IF(AND(AUTOEVENTO="Manual",$M357=1),0,IF(OFFSET(CRONOPLE!$F$14,$M357,BD$13)="",10^12,OFFSET(CRONOPLE!$F$14,$M357,BD$13))))</f>
        <v>1000000000000</v>
      </c>
      <c r="BE357" s="181">
        <f ca="1">IF($D357&lt;&gt;"Serviço",0,IF(AND(AUTOEVENTO="Manual",$M357=1),0,IF(OFFSET(CRONOPLE!$F$14,$M357,BE$13)="",10^12,OFFSET(CRONOPLE!$F$14,$M357,BE$13))))</f>
        <v>1000000000000</v>
      </c>
      <c r="BF357" s="181">
        <f ca="1">IF($D357&lt;&gt;"Serviço",0,IF(AND(AUTOEVENTO="Manual",$M357=1),0,IF(OFFSET(CRONOPLE!$F$14,$M357,BF$13)="",10^12,OFFSET(CRONOPLE!$F$14,$M357,BF$13))))</f>
        <v>1000000000000</v>
      </c>
      <c r="BG357" s="181">
        <f ca="1">IF($D357&lt;&gt;"Serviço",0,IF(AND(AUTOEVENTO="Manual",$M357=1),0,IF(OFFSET(CRONOPLE!$F$14,$M357,BG$13)="",10^12,OFFSET(CRONOPLE!$F$14,$M357,BG$13))))</f>
        <v>1000000000000</v>
      </c>
      <c r="BH357" s="181">
        <f ca="1">IF($D357&lt;&gt;"Serviço",0,IF(AND(AUTOEVENTO="Manual",$M357=1),0,IF(OFFSET(CRONOPLE!$F$14,$M357,BH$13)="",10^12,OFFSET(CRONOPLE!$F$14,$M357,BH$13))))</f>
        <v>1000000000000</v>
      </c>
      <c r="BI357" s="181">
        <f ca="1">IF($D357&lt;&gt;"Serviço",0,IF(AND(AUTOEVENTO="Manual",$M357=1),0,IF(OFFSET(CRONOPLE!$F$14,$M357,BI$13)="",10^12,OFFSET(CRONOPLE!$F$14,$M357,BI$13))))</f>
        <v>1000000000000</v>
      </c>
      <c r="BJ357" s="181">
        <f ca="1">IF($D357&lt;&gt;"Serviço",0,IF(AND(AUTOEVENTO="Manual",$M357=1),0,IF(OFFSET(CRONOPLE!$F$14,$M357,BJ$13)="",10^12,OFFSET(CRONOPLE!$F$14,$M357,BJ$13))))</f>
        <v>1000000000000</v>
      </c>
      <c r="BK357" s="181">
        <f ca="1">IF($D357&lt;&gt;"Serviço",0,IF(AND(AUTOEVENTO="Manual",$M357=1),0,IF(OFFSET(CRONOPLE!$F$14,$M357,BK$13)="",10^12,OFFSET(CRONOPLE!$F$14,$M357,BK$13))))</f>
        <v>1000000000000</v>
      </c>
      <c r="BL357" s="181">
        <f ca="1">IF($D357&lt;&gt;"Serviço",0,IF(AND(AUTOEVENTO="Manual",$M357=1),0,IF(OFFSET(CRONOPLE!$F$14,$M357,BL$13)="",10^12,OFFSET(CRONOPLE!$F$14,$M357,BL$13))))</f>
        <v>1000000000000</v>
      </c>
      <c r="BM357" s="181">
        <f ca="1">IF($D357&lt;&gt;"Serviço",0,IF(AND(AUTOEVENTO="Manual",$M357=1),0,IF(OFFSET(CRONOPLE!$F$14,$M357,BM$13)="",10^12,OFFSET(CRONOPLE!$F$14,$M357,BM$13))))</f>
        <v>1000000000000</v>
      </c>
      <c r="BN357" s="181">
        <f ca="1">IF($D357&lt;&gt;"Serviço",0,IF(AND(AUTOEVENTO="Manual",$M357=1),0,IF(OFFSET(CRONOPLE!$F$14,$M357,BN$13)="",10^12,OFFSET(CRONOPLE!$F$14,$M357,BN$13))))</f>
        <v>1000000000000</v>
      </c>
      <c r="BO357" s="181">
        <f ca="1">IF($D357&lt;&gt;"Serviço",0,IF(AND(AUTOEVENTO="Manual",$M357=1),0,IF(OFFSET(CRONOPLE!$F$14,$M357,BO$13)="",10^12,OFFSET(CRONOPLE!$F$14,$M357,BO$13))))</f>
        <v>1000000000000</v>
      </c>
      <c r="BP357" s="181">
        <f ca="1">IF($D357&lt;&gt;"Serviço",0,IF(AND(AUTOEVENTO="Manual",$M357=1),0,IF(OFFSET(CRONOPLE!$F$14,$M357,BP$13)="",10^12,OFFSET(CRONOPLE!$F$14,$M357,BP$13))))</f>
        <v>1000000000000</v>
      </c>
      <c r="BQ357" s="181">
        <f ca="1">IF($D357&lt;&gt;"Serviço",0,IF(AND(AUTOEVENTO="Manual",$M357=1),0,IF(OFFSET(CRONOPLE!$F$14,$M357,BQ$13)="",10^12,OFFSET(CRONOPLE!$F$14,$M357,BQ$13))))</f>
        <v>1000000000000</v>
      </c>
      <c r="BR357" s="181">
        <f ca="1">IF($D357&lt;&gt;"Serviço",0,IF(AND(AUTOEVENTO="Manual",$M357=1),0,IF(OFFSET(CRONOPLE!$F$14,$M357,BR$13)="",10^12,OFFSET(CRONOPLE!$F$14,$M357,BR$13))))</f>
        <v>1000000000000</v>
      </c>
      <c r="BS357" s="181">
        <f ca="1">IF($D357&lt;&gt;"Serviço",0,IF(AND(AUTOEVENTO="Manual",$M357=1),0,IF(OFFSET(CRONOPLE!$F$14,$M357,BS$13)="",10^12,OFFSET(CRONOPLE!$F$14,$M357,BS$13))))</f>
        <v>1000000000000</v>
      </c>
      <c r="BT357" s="181">
        <f ca="1">IF($D357&lt;&gt;"Serviço",0,IF(AND(AUTOEVENTO="Manual",$M357=1),0,IF(OFFSET(CRONOPLE!$F$14,$M357,BT$13)="",10^12,OFFSET(CRONOPLE!$F$14,$M357,BT$13))))</f>
        <v>1000000000000</v>
      </c>
      <c r="BV357" s="182">
        <f ca="1">IF($D357&lt;&gt;"Serviço",0,IF(OR(AND(AUTOEVENTO="Manual",$M357=1),$M357&gt;(ROW(PLE.lastrow)-ROW(PLE.firstrow))),0,IF(OFFSET(PLE!$G$14,$M357,BV$13)="",10^12,OFFSET(PLE!$G$14,$M357,BV$13))))</f>
        <v>1000000000000</v>
      </c>
      <c r="BW357" s="182">
        <f ca="1">IF($D357&lt;&gt;"Serviço",0,IF(OR(AND(AUTOEVENTO="Manual",$M357=1),$M357&gt;(ROW(PLE.lastrow)-ROW(PLE.firstrow))),0,IF(OFFSET(PLE!$G$14,$M357,BW$13)="",10^12,OFFSET(PLE!$G$14,$M357,BW$13))))</f>
        <v>1000000000000</v>
      </c>
      <c r="BX357" s="182">
        <f ca="1">IF($D357&lt;&gt;"Serviço",0,IF(OR(AND(AUTOEVENTO="Manual",$M357=1),$M357&gt;(ROW(PLE.lastrow)-ROW(PLE.firstrow))),0,IF(OFFSET(PLE!$G$14,$M357,BX$13)="",10^12,OFFSET(PLE!$G$14,$M357,BX$13))))</f>
        <v>1000000000000</v>
      </c>
      <c r="BY357" s="182">
        <f ca="1">IF($D357&lt;&gt;"Serviço",0,IF(OR(AND(AUTOEVENTO="Manual",$M357=1),$M357&gt;(ROW(PLE.lastrow)-ROW(PLE.firstrow))),0,IF(OFFSET(PLE!$G$14,$M357,BY$13)="",10^12,OFFSET(PLE!$G$14,$M357,BY$13))))</f>
        <v>1000000000000</v>
      </c>
      <c r="BZ357" s="182">
        <f ca="1">IF($D357&lt;&gt;"Serviço",0,IF(OR(AND(AUTOEVENTO="Manual",$M357=1),$M357&gt;(ROW(PLE.lastrow)-ROW(PLE.firstrow))),0,IF(OFFSET(PLE!$G$14,$M357,BZ$13)="",10^12,OFFSET(PLE!$G$14,$M357,BZ$13))))</f>
        <v>1000000000000</v>
      </c>
      <c r="CA357" s="182">
        <f ca="1">IF($D357&lt;&gt;"Serviço",0,IF(OR(AND(AUTOEVENTO="Manual",$M357=1),$M357&gt;(ROW(PLE.lastrow)-ROW(PLE.firstrow))),0,IF(OFFSET(PLE!$G$14,$M357,CA$13)="",10^12,OFFSET(PLE!$G$14,$M357,CA$13))))</f>
        <v>1000000000000</v>
      </c>
      <c r="CB357" s="182">
        <f ca="1">IF($D357&lt;&gt;"Serviço",0,IF(OR(AND(AUTOEVENTO="Manual",$M357=1),$M357&gt;(ROW(PLE.lastrow)-ROW(PLE.firstrow))),0,IF(OFFSET(PLE!$G$14,$M357,CB$13)="",10^12,OFFSET(PLE!$G$14,$M357,CB$13))))</f>
        <v>1000000000000</v>
      </c>
      <c r="CC357" s="182">
        <f ca="1">IF($D357&lt;&gt;"Serviço",0,IF(OR(AND(AUTOEVENTO="Manual",$M357=1),$M357&gt;(ROW(PLE.lastrow)-ROW(PLE.firstrow))),0,IF(OFFSET(PLE!$G$14,$M357,CC$13)="",10^12,OFFSET(PLE!$G$14,$M357,CC$13))))</f>
        <v>1000000000000</v>
      </c>
      <c r="CD357" s="182">
        <f ca="1">IF($D357&lt;&gt;"Serviço",0,IF(OR(AND(AUTOEVENTO="Manual",$M357=1),$M357&gt;(ROW(PLE.lastrow)-ROW(PLE.firstrow))),0,IF(OFFSET(PLE!$G$14,$M357,CD$13)="",10^12,OFFSET(PLE!$G$14,$M357,CD$13))))</f>
        <v>1000000000000</v>
      </c>
      <c r="CE357" s="182">
        <f ca="1">IF($D357&lt;&gt;"Serviço",0,IF(OR(AND(AUTOEVENTO="Manual",$M357=1),$M357&gt;(ROW(PLE.lastrow)-ROW(PLE.firstrow))),0,IF(OFFSET(PLE!$G$14,$M357,CE$13)="",10^12,OFFSET(PLE!$G$14,$M357,CE$13))))</f>
        <v>1000000000000</v>
      </c>
      <c r="CF357" s="182">
        <f ca="1">IF($D357&lt;&gt;"Serviço",0,IF(OR(AND(AUTOEVENTO="Manual",$M357=1),$M357&gt;(ROW(PLE.lastrow)-ROW(PLE.firstrow))),0,IF(OFFSET(PLE!$G$14,$M357,CF$13)="",10^12,OFFSET(PLE!$G$14,$M357,CF$13))))</f>
        <v>1000000000000</v>
      </c>
      <c r="CG357" s="182">
        <f ca="1">IF($D357&lt;&gt;"Serviço",0,IF(OR(AND(AUTOEVENTO="Manual",$M357=1),$M357&gt;(ROW(PLE.lastrow)-ROW(PLE.firstrow))),0,IF(OFFSET(PLE!$G$14,$M357,CG$13)="",10^12,OFFSET(PLE!$G$14,$M357,CG$13))))</f>
        <v>1000000000000</v>
      </c>
      <c r="CH357" s="182">
        <f ca="1">IF($D357&lt;&gt;"Serviço",0,IF(OR(AND(AUTOEVENTO="Manual",$M357=1),$M357&gt;(ROW(PLE.lastrow)-ROW(PLE.firstrow))),0,IF(OFFSET(PLE!$G$14,$M357,CH$13)="",10^12,OFFSET(PLE!$G$14,$M357,CH$13))))</f>
        <v>1000000000000</v>
      </c>
      <c r="CI357" s="182">
        <f ca="1">IF($D357&lt;&gt;"Serviço",0,IF(OR(AND(AUTOEVENTO="Manual",$M357=1),$M357&gt;(ROW(PLE.lastrow)-ROW(PLE.firstrow))),0,IF(OFFSET(PLE!$G$14,$M357,CI$13)="",10^12,OFFSET(PLE!$G$14,$M357,CI$13))))</f>
        <v>1000000000000</v>
      </c>
      <c r="CJ357" s="182">
        <f ca="1">IF($D357&lt;&gt;"Serviço",0,IF(OR(AND(AUTOEVENTO="Manual",$M357=1),$M357&gt;(ROW(PLE.lastrow)-ROW(PLE.firstrow))),0,IF(OFFSET(PLE!$G$14,$M357,CJ$13)="",10^12,OFFSET(PLE!$G$14,$M357,CJ$13))))</f>
        <v>1000000000000</v>
      </c>
      <c r="CK357" s="182">
        <f ca="1">IF($D357&lt;&gt;"Serviço",0,IF(OR(AND(AUTOEVENTO="Manual",$M357=1),$M357&gt;(ROW(PLE.lastrow)-ROW(PLE.firstrow))),0,IF(OFFSET(PLE!$G$14,$M357,CK$13)="",10^12,OFFSET(PLE!$G$14,$M357,CK$13))))</f>
        <v>1000000000000</v>
      </c>
      <c r="CL357" s="182">
        <f ca="1">IF($D357&lt;&gt;"Serviço",0,IF(OR(AND(AUTOEVENTO="Manual",$M357=1),$M357&gt;(ROW(PLE.lastrow)-ROW(PLE.firstrow))),0,IF(OFFSET(PLE!$G$14,$M357,CL$13)="",10^12,OFFSET(PLE!$G$14,$M357,CL$13))))</f>
        <v>1000000000000</v>
      </c>
      <c r="CM357" s="182">
        <f ca="1">IF($D357&lt;&gt;"Serviço",0,IF(OR(AND(AUTOEVENTO="Manual",$M357=1),$M357&gt;(ROW(PLE.lastrow)-ROW(PLE.firstrow))),0,IF(OFFSET(PLE!$G$14,$M357,CM$13)="",10^12,OFFSET(PLE!$G$14,$M357,CM$13))))</f>
        <v>1000000000000</v>
      </c>
    </row>
    <row r="358" spans="1:91" ht="38.25" x14ac:dyDescent="0.2">
      <c r="A358" s="7" t="str">
        <f t="shared" ca="1" si="12"/>
        <v>338</v>
      </c>
      <c r="B358" s="7" t="str">
        <f ca="1">OFFSET(ORÇAMENTO!C$15,ROW(B358)-ROW(B$15),0)</f>
        <v>S</v>
      </c>
      <c r="C358" s="7" t="str">
        <f ca="1">OFFSET(ORÇAMENTO!L$15,ROW(C358)-ROW(C$15),0)</f>
        <v/>
      </c>
      <c r="D358" s="118" t="str">
        <f ca="1">OFFSET(ORÇAMENTO!N$15,ROW(D358)-ROW(D$15),0)</f>
        <v>Serviço</v>
      </c>
      <c r="E358" s="119" t="str">
        <f ca="1">OFFSET(ORÇAMENTO!O$15,ROW(E358)-ROW(E$15),0)</f>
        <v>-</v>
      </c>
      <c r="F358" s="172" t="str">
        <f ca="1">OFFSET(ORÇAMENTO!R$15,ROW(F358)-ROW(F$15),0)</f>
        <v>(abra o arquivo 'Referência 06-2024.xlsm)</v>
      </c>
      <c r="G358" s="173" t="str">
        <f ca="1">IF($D358&lt;&gt;"Serviço","",OFFSET(ORÇAMENTO!S$15,ROW(G358)-ROW(G$15),0))</f>
        <v>-</v>
      </c>
      <c r="H358" s="124">
        <f ca="1">IF($D358&lt;&gt;"Serviço",0,IF(ACOMPANHAMENTO="BM",ROUND(OFFSET(ORÇAMENTO!AJ$15,ROW(H358)-ROW(H$15),0),15-13*ORÇAMENTO!$AF$7),SUMPRODUCT(($Q$12:$AI$12&lt;&gt;"")*ROUND($Q358:$AI358,15-13*ORÇAMENTO!$AF$7))))</f>
        <v>2</v>
      </c>
      <c r="I358" s="561" t="s">
        <v>1107</v>
      </c>
      <c r="K358" s="174"/>
      <c r="L358" s="175" t="s">
        <v>255</v>
      </c>
      <c r="M358" s="176">
        <f ca="1">IF($D358&lt;&gt;"Serviço","",IF(AUTOEVENTO="manual",$A358,IF(ISERROR(MATCH($A358,$A$15:OFFSET($A358,-1,0),0)),MAX($M$15:OFFSET(M358,-1,0))+1,INDEX($M$15:OFFSET(M358,-1,0),MATCH($A358,$A$15:OFFSET($A358,-1,0),0)))))</f>
        <v>43</v>
      </c>
      <c r="N358" s="177" t="str">
        <f ca="1">IF($D358&lt;&gt;"Serviço","",IF(AUTOEVENTO="Manual",IF($A358=0,"&lt;-- defina o número do agrupador",OFFSET(EVENTOS!$D$14,$A358,0)),OFFSET($F$15,$A358,0)))</f>
        <v>INSTALAÇÃO SANITÁRIA - VENTILAÇÃO</v>
      </c>
      <c r="O358" s="178"/>
      <c r="Q358" s="178">
        <v>2</v>
      </c>
      <c r="R358" s="179"/>
      <c r="S358" s="179"/>
      <c r="T358" s="179"/>
      <c r="U358" s="179"/>
      <c r="V358" s="179"/>
      <c r="W358" s="179"/>
      <c r="X358" s="179"/>
      <c r="Y358" s="179"/>
      <c r="Z358" s="180"/>
      <c r="AA358" s="179"/>
      <c r="AB358" s="179"/>
      <c r="AC358" s="179"/>
      <c r="AD358" s="179"/>
      <c r="AE358" s="179"/>
      <c r="AF358" s="179"/>
      <c r="AG358" s="179"/>
      <c r="AH358" s="180"/>
      <c r="AJ358" s="544">
        <f ca="1">IF(AND($D358="Serviço",AJ$12&lt;&gt;0,$H358&gt;0,OR(AUTOEVENTO&lt;&gt;"manual",$M358&lt;&gt;1)),
IF(Import.TipoArredondamento&lt;&gt;"TransfereGOV",
ROUND(OFFSET($P358,0,AJ$13),15-13*ORÇAMENTO!$AF$7)/$H358*OFFSET(ORÇAMENTO!$X$15,ROW(AJ358)-ROW(AJ$15),0),
ROUND(ROUND(OFFSET($P358,0,AJ$13),15-13*ORÇAMENTO!$AF$7)*OFFSET(ORÇAMENTO!$W$15,ROW(AJ358)-ROW(AJ$15),0),15-13*ORÇAMENTO!$AF$11)),0)</f>
        <v>0</v>
      </c>
      <c r="AK358" s="545">
        <f ca="1">IF(AND($D358="Serviço",AK$12&lt;&gt;0,$H358&gt;0,OR(AUTOEVENTO&lt;&gt;"manual",$M358&lt;&gt;1)),
IF(Import.TipoArredondamento&lt;&gt;"TransfereGOV",
ROUND(OFFSET($P358,0,AK$13),15-13*ORÇAMENTO!$AF$7)/$H358*OFFSET(ORÇAMENTO!$X$15,ROW(AK358)-ROW(AK$15),0),
ROUND(ROUND(OFFSET($P358,0,AK$13),15-13*ORÇAMENTO!$AF$7)*OFFSET(ORÇAMENTO!$W$15,ROW(AK358)-ROW(AK$15),0),15-13*ORÇAMENTO!$AF$11)),0)</f>
        <v>0</v>
      </c>
      <c r="AL358" s="545">
        <f ca="1">IF(AND($D358="Serviço",AL$12&lt;&gt;0,$H358&gt;0,OR(AUTOEVENTO&lt;&gt;"manual",$M358&lt;&gt;1)),
IF(Import.TipoArredondamento&lt;&gt;"TransfereGOV",
ROUND(OFFSET($P358,0,AL$13),15-13*ORÇAMENTO!$AF$7)/$H358*OFFSET(ORÇAMENTO!$X$15,ROW(AL358)-ROW(AL$15),0),
ROUND(ROUND(OFFSET($P358,0,AL$13),15-13*ORÇAMENTO!$AF$7)*OFFSET(ORÇAMENTO!$W$15,ROW(AL358)-ROW(AL$15),0),15-13*ORÇAMENTO!$AF$11)),0)</f>
        <v>0</v>
      </c>
      <c r="AM358" s="545">
        <f ca="1">IF(AND($D358="Serviço",AM$12&lt;&gt;0,$H358&gt;0,OR(AUTOEVENTO&lt;&gt;"manual",$M358&lt;&gt;1)),
IF(Import.TipoArredondamento&lt;&gt;"TransfereGOV",
ROUND(OFFSET($P358,0,AM$13),15-13*ORÇAMENTO!$AF$7)/$H358*OFFSET(ORÇAMENTO!$X$15,ROW(AM358)-ROW(AM$15),0),
ROUND(ROUND(OFFSET($P358,0,AM$13),15-13*ORÇAMENTO!$AF$7)*OFFSET(ORÇAMENTO!$W$15,ROW(AM358)-ROW(AM$15),0),15-13*ORÇAMENTO!$AF$11)),0)</f>
        <v>0</v>
      </c>
      <c r="AN358" s="545">
        <f ca="1">IF(AND($D358="Serviço",AN$12&lt;&gt;0,$H358&gt;0,OR(AUTOEVENTO&lt;&gt;"manual",$M358&lt;&gt;1)),
IF(Import.TipoArredondamento&lt;&gt;"TransfereGOV",
ROUND(OFFSET($P358,0,AN$13),15-13*ORÇAMENTO!$AF$7)/$H358*OFFSET(ORÇAMENTO!$X$15,ROW(AN358)-ROW(AN$15),0),
ROUND(ROUND(OFFSET($P358,0,AN$13),15-13*ORÇAMENTO!$AF$7)*OFFSET(ORÇAMENTO!$W$15,ROW(AN358)-ROW(AN$15),0),15-13*ORÇAMENTO!$AF$11)),0)</f>
        <v>0</v>
      </c>
      <c r="AO358" s="545">
        <f ca="1">IF(AND($D358="Serviço",AO$12&lt;&gt;0,$H358&gt;0,OR(AUTOEVENTO&lt;&gt;"manual",$M358&lt;&gt;1)),
IF(Import.TipoArredondamento&lt;&gt;"TransfereGOV",
ROUND(OFFSET($P358,0,AO$13),15-13*ORÇAMENTO!$AF$7)/$H358*OFFSET(ORÇAMENTO!$X$15,ROW(AO358)-ROW(AO$15),0),
ROUND(ROUND(OFFSET($P358,0,AO$13),15-13*ORÇAMENTO!$AF$7)*OFFSET(ORÇAMENTO!$W$15,ROW(AO358)-ROW(AO$15),0),15-13*ORÇAMENTO!$AF$11)),0)</f>
        <v>0</v>
      </c>
      <c r="AP358" s="545">
        <f ca="1">IF(AND($D358="Serviço",AP$12&lt;&gt;0,$H358&gt;0,OR(AUTOEVENTO&lt;&gt;"manual",$M358&lt;&gt;1)),
IF(Import.TipoArredondamento&lt;&gt;"TransfereGOV",
ROUND(OFFSET($P358,0,AP$13),15-13*ORÇAMENTO!$AF$7)/$H358*OFFSET(ORÇAMENTO!$X$15,ROW(AP358)-ROW(AP$15),0),
ROUND(ROUND(OFFSET($P358,0,AP$13),15-13*ORÇAMENTO!$AF$7)*OFFSET(ORÇAMENTO!$W$15,ROW(AP358)-ROW(AP$15),0),15-13*ORÇAMENTO!$AF$11)),0)</f>
        <v>0</v>
      </c>
      <c r="AQ358" s="545">
        <f ca="1">IF(AND($D358="Serviço",AQ$12&lt;&gt;0,$H358&gt;0,OR(AUTOEVENTO&lt;&gt;"manual",$M358&lt;&gt;1)),
IF(Import.TipoArredondamento&lt;&gt;"TransfereGOV",
ROUND(OFFSET($P358,0,AQ$13),15-13*ORÇAMENTO!$AF$7)/$H358*OFFSET(ORÇAMENTO!$X$15,ROW(AQ358)-ROW(AQ$15),0),
ROUND(ROUND(OFFSET($P358,0,AQ$13),15-13*ORÇAMENTO!$AF$7)*OFFSET(ORÇAMENTO!$W$15,ROW(AQ358)-ROW(AQ$15),0),15-13*ORÇAMENTO!$AF$11)),0)</f>
        <v>0</v>
      </c>
      <c r="AR358" s="545">
        <f ca="1">IF(AND($D358="Serviço",AR$12&lt;&gt;0,$H358&gt;0,OR(AUTOEVENTO&lt;&gt;"manual",$M358&lt;&gt;1)),
IF(Import.TipoArredondamento&lt;&gt;"TransfereGOV",
ROUND(OFFSET($P358,0,AR$13),15-13*ORÇAMENTO!$AF$7)/$H358*OFFSET(ORÇAMENTO!$X$15,ROW(AR358)-ROW(AR$15),0),
ROUND(ROUND(OFFSET($P358,0,AR$13),15-13*ORÇAMENTO!$AF$7)*OFFSET(ORÇAMENTO!$W$15,ROW(AR358)-ROW(AR$15),0),15-13*ORÇAMENTO!$AF$11)),0)</f>
        <v>0</v>
      </c>
      <c r="AS358" s="546">
        <f ca="1">IF(AND($D358="Serviço",AS$12&lt;&gt;0,$H358&gt;0,OR(AUTOEVENTO&lt;&gt;"manual",$M358&lt;&gt;1)),
IF(Import.TipoArredondamento&lt;&gt;"TransfereGOV",
ROUND(OFFSET($P358,0,AS$13),15-13*ORÇAMENTO!$AF$7)/$H358*OFFSET(ORÇAMENTO!$X$15,ROW(AS358)-ROW(AS$15),0),
ROUND(ROUND(OFFSET($P358,0,AS$13),15-13*ORÇAMENTO!$AF$7)*OFFSET(ORÇAMENTO!$W$15,ROW(AS358)-ROW(AS$15),0),15-13*ORÇAMENTO!$AF$11)),0)</f>
        <v>0</v>
      </c>
      <c r="AT358" s="545">
        <f ca="1">IF(AND($D358="Serviço",AT$12&lt;&gt;0,$H358&gt;0,OR(AUTOEVENTO&lt;&gt;"manual",$M358&lt;&gt;1)),
IF(Import.TipoArredondamento&lt;&gt;"TransfereGOV",
ROUND(OFFSET($P358,0,AT$13),15-13*ORÇAMENTO!$AF$7)/$H358*OFFSET(ORÇAMENTO!$X$15,ROW(AT358)-ROW(AT$15),0),
ROUND(ROUND(OFFSET($P358,0,AT$13),15-13*ORÇAMENTO!$AF$7)*OFFSET(ORÇAMENTO!$W$15,ROW(AT358)-ROW(AT$15),0),15-13*ORÇAMENTO!$AF$11)),0)</f>
        <v>0</v>
      </c>
      <c r="AU358" s="545">
        <f ca="1">IF(AND($D358="Serviço",AU$12&lt;&gt;0,$H358&gt;0,OR(AUTOEVENTO&lt;&gt;"manual",$M358&lt;&gt;1)),
IF(Import.TipoArredondamento&lt;&gt;"TransfereGOV",
ROUND(OFFSET($P358,0,AU$13),15-13*ORÇAMENTO!$AF$7)/$H358*OFFSET(ORÇAMENTO!$X$15,ROW(AU358)-ROW(AU$15),0),
ROUND(ROUND(OFFSET($P358,0,AU$13),15-13*ORÇAMENTO!$AF$7)*OFFSET(ORÇAMENTO!$W$15,ROW(AU358)-ROW(AU$15),0),15-13*ORÇAMENTO!$AF$11)),0)</f>
        <v>0</v>
      </c>
      <c r="AV358" s="545">
        <f ca="1">IF(AND($D358="Serviço",AV$12&lt;&gt;0,$H358&gt;0,OR(AUTOEVENTO&lt;&gt;"manual",$M358&lt;&gt;1)),
IF(Import.TipoArredondamento&lt;&gt;"TransfereGOV",
ROUND(OFFSET($P358,0,AV$13),15-13*ORÇAMENTO!$AF$7)/$H358*OFFSET(ORÇAMENTO!$X$15,ROW(AV358)-ROW(AV$15),0),
ROUND(ROUND(OFFSET($P358,0,AV$13),15-13*ORÇAMENTO!$AF$7)*OFFSET(ORÇAMENTO!$W$15,ROW(AV358)-ROW(AV$15),0),15-13*ORÇAMENTO!$AF$11)),0)</f>
        <v>0</v>
      </c>
      <c r="AW358" s="545">
        <f ca="1">IF(AND($D358="Serviço",AW$12&lt;&gt;0,$H358&gt;0,OR(AUTOEVENTO&lt;&gt;"manual",$M358&lt;&gt;1)),
IF(Import.TipoArredondamento&lt;&gt;"TransfereGOV",
ROUND(OFFSET($P358,0,AW$13),15-13*ORÇAMENTO!$AF$7)/$H358*OFFSET(ORÇAMENTO!$X$15,ROW(AW358)-ROW(AW$15),0),
ROUND(ROUND(OFFSET($P358,0,AW$13),15-13*ORÇAMENTO!$AF$7)*OFFSET(ORÇAMENTO!$W$15,ROW(AW358)-ROW(AW$15),0),15-13*ORÇAMENTO!$AF$11)),0)</f>
        <v>0</v>
      </c>
      <c r="AX358" s="545">
        <f ca="1">IF(AND($D358="Serviço",AX$12&lt;&gt;0,$H358&gt;0,OR(AUTOEVENTO&lt;&gt;"manual",$M358&lt;&gt;1)),
IF(Import.TipoArredondamento&lt;&gt;"TransfereGOV",
ROUND(OFFSET($P358,0,AX$13),15-13*ORÇAMENTO!$AF$7)/$H358*OFFSET(ORÇAMENTO!$X$15,ROW(AX358)-ROW(AX$15),0),
ROUND(ROUND(OFFSET($P358,0,AX$13),15-13*ORÇAMENTO!$AF$7)*OFFSET(ORÇAMENTO!$W$15,ROW(AX358)-ROW(AX$15),0),15-13*ORÇAMENTO!$AF$11)),0)</f>
        <v>0</v>
      </c>
      <c r="AY358" s="545">
        <f ca="1">IF(AND($D358="Serviço",AY$12&lt;&gt;0,$H358&gt;0,OR(AUTOEVENTO&lt;&gt;"manual",$M358&lt;&gt;1)),
IF(Import.TipoArredondamento&lt;&gt;"TransfereGOV",
ROUND(OFFSET($P358,0,AY$13),15-13*ORÇAMENTO!$AF$7)/$H358*OFFSET(ORÇAMENTO!$X$15,ROW(AY358)-ROW(AY$15),0),
ROUND(ROUND(OFFSET($P358,0,AY$13),15-13*ORÇAMENTO!$AF$7)*OFFSET(ORÇAMENTO!$W$15,ROW(AY358)-ROW(AY$15),0),15-13*ORÇAMENTO!$AF$11)),0)</f>
        <v>0</v>
      </c>
      <c r="AZ358" s="545">
        <f ca="1">IF(AND($D358="Serviço",AZ$12&lt;&gt;0,$H358&gt;0,OR(AUTOEVENTO&lt;&gt;"manual",$M358&lt;&gt;1)),
IF(Import.TipoArredondamento&lt;&gt;"TransfereGOV",
ROUND(OFFSET($P358,0,AZ$13),15-13*ORÇAMENTO!$AF$7)/$H358*OFFSET(ORÇAMENTO!$X$15,ROW(AZ358)-ROW(AZ$15),0),
ROUND(ROUND(OFFSET($P358,0,AZ$13),15-13*ORÇAMENTO!$AF$7)*OFFSET(ORÇAMENTO!$W$15,ROW(AZ358)-ROW(AZ$15),0),15-13*ORÇAMENTO!$AF$11)),0)</f>
        <v>0</v>
      </c>
      <c r="BA358" s="546">
        <f ca="1">IF(AND($D358="Serviço",BA$12&lt;&gt;0,$H358&gt;0,OR(AUTOEVENTO&lt;&gt;"manual",$M358&lt;&gt;1)),
IF(Import.TipoArredondamento&lt;&gt;"TransfereGOV",
ROUND(OFFSET($P358,0,BA$13),15-13*ORÇAMENTO!$AF$7)/$H358*OFFSET(ORÇAMENTO!$X$15,ROW(BA358)-ROW(BA$15),0),
ROUND(ROUND(OFFSET($P358,0,BA$13),15-13*ORÇAMENTO!$AF$7)*OFFSET(ORÇAMENTO!$W$15,ROW(BA358)-ROW(BA$15),0),15-13*ORÇAMENTO!$AF$11)),0)</f>
        <v>0</v>
      </c>
      <c r="BC358" s="181">
        <f ca="1">IF($D358&lt;&gt;"Serviço",0,IF(AND(AUTOEVENTO="Manual",$M358=1),0,IF(OFFSET(CRONOPLE!$F$14,$M358,BC$13)="",10^12,OFFSET(CRONOPLE!$F$14,$M358,BC$13))))</f>
        <v>10</v>
      </c>
      <c r="BD358" s="181">
        <f ca="1">IF($D358&lt;&gt;"Serviço",0,IF(AND(AUTOEVENTO="Manual",$M358=1),0,IF(OFFSET(CRONOPLE!$F$14,$M358,BD$13)="",10^12,OFFSET(CRONOPLE!$F$14,$M358,BD$13))))</f>
        <v>1000000000000</v>
      </c>
      <c r="BE358" s="181">
        <f ca="1">IF($D358&lt;&gt;"Serviço",0,IF(AND(AUTOEVENTO="Manual",$M358=1),0,IF(OFFSET(CRONOPLE!$F$14,$M358,BE$13)="",10^12,OFFSET(CRONOPLE!$F$14,$M358,BE$13))))</f>
        <v>1000000000000</v>
      </c>
      <c r="BF358" s="181">
        <f ca="1">IF($D358&lt;&gt;"Serviço",0,IF(AND(AUTOEVENTO="Manual",$M358=1),0,IF(OFFSET(CRONOPLE!$F$14,$M358,BF$13)="",10^12,OFFSET(CRONOPLE!$F$14,$M358,BF$13))))</f>
        <v>1000000000000</v>
      </c>
      <c r="BG358" s="181">
        <f ca="1">IF($D358&lt;&gt;"Serviço",0,IF(AND(AUTOEVENTO="Manual",$M358=1),0,IF(OFFSET(CRONOPLE!$F$14,$M358,BG$13)="",10^12,OFFSET(CRONOPLE!$F$14,$M358,BG$13))))</f>
        <v>1000000000000</v>
      </c>
      <c r="BH358" s="181">
        <f ca="1">IF($D358&lt;&gt;"Serviço",0,IF(AND(AUTOEVENTO="Manual",$M358=1),0,IF(OFFSET(CRONOPLE!$F$14,$M358,BH$13)="",10^12,OFFSET(CRONOPLE!$F$14,$M358,BH$13))))</f>
        <v>1000000000000</v>
      </c>
      <c r="BI358" s="181">
        <f ca="1">IF($D358&lt;&gt;"Serviço",0,IF(AND(AUTOEVENTO="Manual",$M358=1),0,IF(OFFSET(CRONOPLE!$F$14,$M358,BI$13)="",10^12,OFFSET(CRONOPLE!$F$14,$M358,BI$13))))</f>
        <v>1000000000000</v>
      </c>
      <c r="BJ358" s="181">
        <f ca="1">IF($D358&lt;&gt;"Serviço",0,IF(AND(AUTOEVENTO="Manual",$M358=1),0,IF(OFFSET(CRONOPLE!$F$14,$M358,BJ$13)="",10^12,OFFSET(CRONOPLE!$F$14,$M358,BJ$13))))</f>
        <v>1000000000000</v>
      </c>
      <c r="BK358" s="181">
        <f ca="1">IF($D358&lt;&gt;"Serviço",0,IF(AND(AUTOEVENTO="Manual",$M358=1),0,IF(OFFSET(CRONOPLE!$F$14,$M358,BK$13)="",10^12,OFFSET(CRONOPLE!$F$14,$M358,BK$13))))</f>
        <v>1000000000000</v>
      </c>
      <c r="BL358" s="181">
        <f ca="1">IF($D358&lt;&gt;"Serviço",0,IF(AND(AUTOEVENTO="Manual",$M358=1),0,IF(OFFSET(CRONOPLE!$F$14,$M358,BL$13)="",10^12,OFFSET(CRONOPLE!$F$14,$M358,BL$13))))</f>
        <v>1000000000000</v>
      </c>
      <c r="BM358" s="181">
        <f ca="1">IF($D358&lt;&gt;"Serviço",0,IF(AND(AUTOEVENTO="Manual",$M358=1),0,IF(OFFSET(CRONOPLE!$F$14,$M358,BM$13)="",10^12,OFFSET(CRONOPLE!$F$14,$M358,BM$13))))</f>
        <v>1000000000000</v>
      </c>
      <c r="BN358" s="181">
        <f ca="1">IF($D358&lt;&gt;"Serviço",0,IF(AND(AUTOEVENTO="Manual",$M358=1),0,IF(OFFSET(CRONOPLE!$F$14,$M358,BN$13)="",10^12,OFFSET(CRONOPLE!$F$14,$M358,BN$13))))</f>
        <v>1000000000000</v>
      </c>
      <c r="BO358" s="181">
        <f ca="1">IF($D358&lt;&gt;"Serviço",0,IF(AND(AUTOEVENTO="Manual",$M358=1),0,IF(OFFSET(CRONOPLE!$F$14,$M358,BO$13)="",10^12,OFFSET(CRONOPLE!$F$14,$M358,BO$13))))</f>
        <v>1000000000000</v>
      </c>
      <c r="BP358" s="181">
        <f ca="1">IF($D358&lt;&gt;"Serviço",0,IF(AND(AUTOEVENTO="Manual",$M358=1),0,IF(OFFSET(CRONOPLE!$F$14,$M358,BP$13)="",10^12,OFFSET(CRONOPLE!$F$14,$M358,BP$13))))</f>
        <v>1000000000000</v>
      </c>
      <c r="BQ358" s="181">
        <f ca="1">IF($D358&lt;&gt;"Serviço",0,IF(AND(AUTOEVENTO="Manual",$M358=1),0,IF(OFFSET(CRONOPLE!$F$14,$M358,BQ$13)="",10^12,OFFSET(CRONOPLE!$F$14,$M358,BQ$13))))</f>
        <v>1000000000000</v>
      </c>
      <c r="BR358" s="181">
        <f ca="1">IF($D358&lt;&gt;"Serviço",0,IF(AND(AUTOEVENTO="Manual",$M358=1),0,IF(OFFSET(CRONOPLE!$F$14,$M358,BR$13)="",10^12,OFFSET(CRONOPLE!$F$14,$M358,BR$13))))</f>
        <v>1000000000000</v>
      </c>
      <c r="BS358" s="181">
        <f ca="1">IF($D358&lt;&gt;"Serviço",0,IF(AND(AUTOEVENTO="Manual",$M358=1),0,IF(OFFSET(CRONOPLE!$F$14,$M358,BS$13)="",10^12,OFFSET(CRONOPLE!$F$14,$M358,BS$13))))</f>
        <v>1000000000000</v>
      </c>
      <c r="BT358" s="181">
        <f ca="1">IF($D358&lt;&gt;"Serviço",0,IF(AND(AUTOEVENTO="Manual",$M358=1),0,IF(OFFSET(CRONOPLE!$F$14,$M358,BT$13)="",10^12,OFFSET(CRONOPLE!$F$14,$M358,BT$13))))</f>
        <v>1000000000000</v>
      </c>
      <c r="BV358" s="182">
        <f ca="1">IF($D358&lt;&gt;"Serviço",0,IF(OR(AND(AUTOEVENTO="Manual",$M358=1),$M358&gt;(ROW(PLE.lastrow)-ROW(PLE.firstrow))),0,IF(OFFSET(PLE!$G$14,$M358,BV$13)="",10^12,OFFSET(PLE!$G$14,$M358,BV$13))))</f>
        <v>1000000000000</v>
      </c>
      <c r="BW358" s="182">
        <f ca="1">IF($D358&lt;&gt;"Serviço",0,IF(OR(AND(AUTOEVENTO="Manual",$M358=1),$M358&gt;(ROW(PLE.lastrow)-ROW(PLE.firstrow))),0,IF(OFFSET(PLE!$G$14,$M358,BW$13)="",10^12,OFFSET(PLE!$G$14,$M358,BW$13))))</f>
        <v>1000000000000</v>
      </c>
      <c r="BX358" s="182">
        <f ca="1">IF($D358&lt;&gt;"Serviço",0,IF(OR(AND(AUTOEVENTO="Manual",$M358=1),$M358&gt;(ROW(PLE.lastrow)-ROW(PLE.firstrow))),0,IF(OFFSET(PLE!$G$14,$M358,BX$13)="",10^12,OFFSET(PLE!$G$14,$M358,BX$13))))</f>
        <v>1000000000000</v>
      </c>
      <c r="BY358" s="182">
        <f ca="1">IF($D358&lt;&gt;"Serviço",0,IF(OR(AND(AUTOEVENTO="Manual",$M358=1),$M358&gt;(ROW(PLE.lastrow)-ROW(PLE.firstrow))),0,IF(OFFSET(PLE!$G$14,$M358,BY$13)="",10^12,OFFSET(PLE!$G$14,$M358,BY$13))))</f>
        <v>1000000000000</v>
      </c>
      <c r="BZ358" s="182">
        <f ca="1">IF($D358&lt;&gt;"Serviço",0,IF(OR(AND(AUTOEVENTO="Manual",$M358=1),$M358&gt;(ROW(PLE.lastrow)-ROW(PLE.firstrow))),0,IF(OFFSET(PLE!$G$14,$M358,BZ$13)="",10^12,OFFSET(PLE!$G$14,$M358,BZ$13))))</f>
        <v>1000000000000</v>
      </c>
      <c r="CA358" s="182">
        <f ca="1">IF($D358&lt;&gt;"Serviço",0,IF(OR(AND(AUTOEVENTO="Manual",$M358=1),$M358&gt;(ROW(PLE.lastrow)-ROW(PLE.firstrow))),0,IF(OFFSET(PLE!$G$14,$M358,CA$13)="",10^12,OFFSET(PLE!$G$14,$M358,CA$13))))</f>
        <v>1000000000000</v>
      </c>
      <c r="CB358" s="182">
        <f ca="1">IF($D358&lt;&gt;"Serviço",0,IF(OR(AND(AUTOEVENTO="Manual",$M358=1),$M358&gt;(ROW(PLE.lastrow)-ROW(PLE.firstrow))),0,IF(OFFSET(PLE!$G$14,$M358,CB$13)="",10^12,OFFSET(PLE!$G$14,$M358,CB$13))))</f>
        <v>1000000000000</v>
      </c>
      <c r="CC358" s="182">
        <f ca="1">IF($D358&lt;&gt;"Serviço",0,IF(OR(AND(AUTOEVENTO="Manual",$M358=1),$M358&gt;(ROW(PLE.lastrow)-ROW(PLE.firstrow))),0,IF(OFFSET(PLE!$G$14,$M358,CC$13)="",10^12,OFFSET(PLE!$G$14,$M358,CC$13))))</f>
        <v>1000000000000</v>
      </c>
      <c r="CD358" s="182">
        <f ca="1">IF($D358&lt;&gt;"Serviço",0,IF(OR(AND(AUTOEVENTO="Manual",$M358=1),$M358&gt;(ROW(PLE.lastrow)-ROW(PLE.firstrow))),0,IF(OFFSET(PLE!$G$14,$M358,CD$13)="",10^12,OFFSET(PLE!$G$14,$M358,CD$13))))</f>
        <v>1000000000000</v>
      </c>
      <c r="CE358" s="182">
        <f ca="1">IF($D358&lt;&gt;"Serviço",0,IF(OR(AND(AUTOEVENTO="Manual",$M358=1),$M358&gt;(ROW(PLE.lastrow)-ROW(PLE.firstrow))),0,IF(OFFSET(PLE!$G$14,$M358,CE$13)="",10^12,OFFSET(PLE!$G$14,$M358,CE$13))))</f>
        <v>1000000000000</v>
      </c>
      <c r="CF358" s="182">
        <f ca="1">IF($D358&lt;&gt;"Serviço",0,IF(OR(AND(AUTOEVENTO="Manual",$M358=1),$M358&gt;(ROW(PLE.lastrow)-ROW(PLE.firstrow))),0,IF(OFFSET(PLE!$G$14,$M358,CF$13)="",10^12,OFFSET(PLE!$G$14,$M358,CF$13))))</f>
        <v>1000000000000</v>
      </c>
      <c r="CG358" s="182">
        <f ca="1">IF($D358&lt;&gt;"Serviço",0,IF(OR(AND(AUTOEVENTO="Manual",$M358=1),$M358&gt;(ROW(PLE.lastrow)-ROW(PLE.firstrow))),0,IF(OFFSET(PLE!$G$14,$M358,CG$13)="",10^12,OFFSET(PLE!$G$14,$M358,CG$13))))</f>
        <v>1000000000000</v>
      </c>
      <c r="CH358" s="182">
        <f ca="1">IF($D358&lt;&gt;"Serviço",0,IF(OR(AND(AUTOEVENTO="Manual",$M358=1),$M358&gt;(ROW(PLE.lastrow)-ROW(PLE.firstrow))),0,IF(OFFSET(PLE!$G$14,$M358,CH$13)="",10^12,OFFSET(PLE!$G$14,$M358,CH$13))))</f>
        <v>1000000000000</v>
      </c>
      <c r="CI358" s="182">
        <f ca="1">IF($D358&lt;&gt;"Serviço",0,IF(OR(AND(AUTOEVENTO="Manual",$M358=1),$M358&gt;(ROW(PLE.lastrow)-ROW(PLE.firstrow))),0,IF(OFFSET(PLE!$G$14,$M358,CI$13)="",10^12,OFFSET(PLE!$G$14,$M358,CI$13))))</f>
        <v>1000000000000</v>
      </c>
      <c r="CJ358" s="182">
        <f ca="1">IF($D358&lt;&gt;"Serviço",0,IF(OR(AND(AUTOEVENTO="Manual",$M358=1),$M358&gt;(ROW(PLE.lastrow)-ROW(PLE.firstrow))),0,IF(OFFSET(PLE!$G$14,$M358,CJ$13)="",10^12,OFFSET(PLE!$G$14,$M358,CJ$13))))</f>
        <v>1000000000000</v>
      </c>
      <c r="CK358" s="182">
        <f ca="1">IF($D358&lt;&gt;"Serviço",0,IF(OR(AND(AUTOEVENTO="Manual",$M358=1),$M358&gt;(ROW(PLE.lastrow)-ROW(PLE.firstrow))),0,IF(OFFSET(PLE!$G$14,$M358,CK$13)="",10^12,OFFSET(PLE!$G$14,$M358,CK$13))))</f>
        <v>1000000000000</v>
      </c>
      <c r="CL358" s="182">
        <f ca="1">IF($D358&lt;&gt;"Serviço",0,IF(OR(AND(AUTOEVENTO="Manual",$M358=1),$M358&gt;(ROW(PLE.lastrow)-ROW(PLE.firstrow))),0,IF(OFFSET(PLE!$G$14,$M358,CL$13)="",10^12,OFFSET(PLE!$G$14,$M358,CL$13))))</f>
        <v>1000000000000</v>
      </c>
      <c r="CM358" s="182">
        <f ca="1">IF($D358&lt;&gt;"Serviço",0,IF(OR(AND(AUTOEVENTO="Manual",$M358=1),$M358&gt;(ROW(PLE.lastrow)-ROW(PLE.firstrow))),0,IF(OFFSET(PLE!$G$14,$M358,CM$13)="",10^12,OFFSET(PLE!$G$14,$M358,CM$13))))</f>
        <v>1000000000000</v>
      </c>
    </row>
    <row r="359" spans="1:91" ht="38.25" x14ac:dyDescent="0.2">
      <c r="A359" s="7" t="str">
        <f t="shared" ca="1" si="12"/>
        <v>338</v>
      </c>
      <c r="B359" s="7" t="str">
        <f ca="1">OFFSET(ORÇAMENTO!C$15,ROW(B359)-ROW(B$15),0)</f>
        <v>S</v>
      </c>
      <c r="C359" s="7" t="str">
        <f ca="1">OFFSET(ORÇAMENTO!L$15,ROW(C359)-ROW(C$15),0)</f>
        <v/>
      </c>
      <c r="D359" s="118" t="str">
        <f ca="1">OFFSET(ORÇAMENTO!N$15,ROW(D359)-ROW(D$15),0)</f>
        <v>Serviço</v>
      </c>
      <c r="E359" s="119" t="str">
        <f ca="1">OFFSET(ORÇAMENTO!O$15,ROW(E359)-ROW(E$15),0)</f>
        <v>-</v>
      </c>
      <c r="F359" s="172" t="str">
        <f ca="1">OFFSET(ORÇAMENTO!R$15,ROW(F359)-ROW(F$15),0)</f>
        <v>(abra o arquivo 'Referência 06-2024.xlsm)</v>
      </c>
      <c r="G359" s="173" t="str">
        <f ca="1">IF($D359&lt;&gt;"Serviço","",OFFSET(ORÇAMENTO!S$15,ROW(G359)-ROW(G$15),0))</f>
        <v>-</v>
      </c>
      <c r="H359" s="124">
        <f ca="1">IF($D359&lt;&gt;"Serviço",0,IF(ACOMPANHAMENTO="BM",ROUND(OFFSET(ORÇAMENTO!AJ$15,ROW(H359)-ROW(H$15),0),15-13*ORÇAMENTO!$AF$7),SUMPRODUCT(($Q$12:$AI$12&lt;&gt;"")*ROUND($Q359:$AI359,15-13*ORÇAMENTO!$AF$7))))</f>
        <v>24</v>
      </c>
      <c r="I359" s="561" t="s">
        <v>1107</v>
      </c>
      <c r="K359" s="174"/>
      <c r="L359" s="175" t="s">
        <v>255</v>
      </c>
      <c r="M359" s="176">
        <f ca="1">IF($D359&lt;&gt;"Serviço","",IF(AUTOEVENTO="manual",$A359,IF(ISERROR(MATCH($A359,$A$15:OFFSET($A359,-1,0),0)),MAX($M$15:OFFSET(M359,-1,0))+1,INDEX($M$15:OFFSET(M359,-1,0),MATCH($A359,$A$15:OFFSET($A359,-1,0),0)))))</f>
        <v>43</v>
      </c>
      <c r="N359" s="177" t="str">
        <f ca="1">IF($D359&lt;&gt;"Serviço","",IF(AUTOEVENTO="Manual",IF($A359=0,"&lt;-- defina o número do agrupador",OFFSET(EVENTOS!$D$14,$A359,0)),OFFSET($F$15,$A359,0)))</f>
        <v>INSTALAÇÃO SANITÁRIA - VENTILAÇÃO</v>
      </c>
      <c r="O359" s="178"/>
      <c r="Q359" s="178">
        <v>24</v>
      </c>
      <c r="R359" s="179"/>
      <c r="S359" s="179"/>
      <c r="T359" s="179"/>
      <c r="U359" s="179"/>
      <c r="V359" s="179"/>
      <c r="W359" s="179"/>
      <c r="X359" s="179"/>
      <c r="Y359" s="179"/>
      <c r="Z359" s="180"/>
      <c r="AA359" s="179"/>
      <c r="AB359" s="179"/>
      <c r="AC359" s="179"/>
      <c r="AD359" s="179"/>
      <c r="AE359" s="179"/>
      <c r="AF359" s="179"/>
      <c r="AG359" s="179"/>
      <c r="AH359" s="180"/>
      <c r="AJ359" s="544">
        <f ca="1">IF(AND($D359="Serviço",AJ$12&lt;&gt;0,$H359&gt;0,OR(AUTOEVENTO&lt;&gt;"manual",$M359&lt;&gt;1)),
IF(Import.TipoArredondamento&lt;&gt;"TransfereGOV",
ROUND(OFFSET($P359,0,AJ$13),15-13*ORÇAMENTO!$AF$7)/$H359*OFFSET(ORÇAMENTO!$X$15,ROW(AJ359)-ROW(AJ$15),0),
ROUND(ROUND(OFFSET($P359,0,AJ$13),15-13*ORÇAMENTO!$AF$7)*OFFSET(ORÇAMENTO!$W$15,ROW(AJ359)-ROW(AJ$15),0),15-13*ORÇAMENTO!$AF$11)),0)</f>
        <v>0</v>
      </c>
      <c r="AK359" s="545">
        <f ca="1">IF(AND($D359="Serviço",AK$12&lt;&gt;0,$H359&gt;0,OR(AUTOEVENTO&lt;&gt;"manual",$M359&lt;&gt;1)),
IF(Import.TipoArredondamento&lt;&gt;"TransfereGOV",
ROUND(OFFSET($P359,0,AK$13),15-13*ORÇAMENTO!$AF$7)/$H359*OFFSET(ORÇAMENTO!$X$15,ROW(AK359)-ROW(AK$15),0),
ROUND(ROUND(OFFSET($P359,0,AK$13),15-13*ORÇAMENTO!$AF$7)*OFFSET(ORÇAMENTO!$W$15,ROW(AK359)-ROW(AK$15),0),15-13*ORÇAMENTO!$AF$11)),0)</f>
        <v>0</v>
      </c>
      <c r="AL359" s="545">
        <f ca="1">IF(AND($D359="Serviço",AL$12&lt;&gt;0,$H359&gt;0,OR(AUTOEVENTO&lt;&gt;"manual",$M359&lt;&gt;1)),
IF(Import.TipoArredondamento&lt;&gt;"TransfereGOV",
ROUND(OFFSET($P359,0,AL$13),15-13*ORÇAMENTO!$AF$7)/$H359*OFFSET(ORÇAMENTO!$X$15,ROW(AL359)-ROW(AL$15),0),
ROUND(ROUND(OFFSET($P359,0,AL$13),15-13*ORÇAMENTO!$AF$7)*OFFSET(ORÇAMENTO!$W$15,ROW(AL359)-ROW(AL$15),0),15-13*ORÇAMENTO!$AF$11)),0)</f>
        <v>0</v>
      </c>
      <c r="AM359" s="545">
        <f ca="1">IF(AND($D359="Serviço",AM$12&lt;&gt;0,$H359&gt;0,OR(AUTOEVENTO&lt;&gt;"manual",$M359&lt;&gt;1)),
IF(Import.TipoArredondamento&lt;&gt;"TransfereGOV",
ROUND(OFFSET($P359,0,AM$13),15-13*ORÇAMENTO!$AF$7)/$H359*OFFSET(ORÇAMENTO!$X$15,ROW(AM359)-ROW(AM$15),0),
ROUND(ROUND(OFFSET($P359,0,AM$13),15-13*ORÇAMENTO!$AF$7)*OFFSET(ORÇAMENTO!$W$15,ROW(AM359)-ROW(AM$15),0),15-13*ORÇAMENTO!$AF$11)),0)</f>
        <v>0</v>
      </c>
      <c r="AN359" s="545">
        <f ca="1">IF(AND($D359="Serviço",AN$12&lt;&gt;0,$H359&gt;0,OR(AUTOEVENTO&lt;&gt;"manual",$M359&lt;&gt;1)),
IF(Import.TipoArredondamento&lt;&gt;"TransfereGOV",
ROUND(OFFSET($P359,0,AN$13),15-13*ORÇAMENTO!$AF$7)/$H359*OFFSET(ORÇAMENTO!$X$15,ROW(AN359)-ROW(AN$15),0),
ROUND(ROUND(OFFSET($P359,0,AN$13),15-13*ORÇAMENTO!$AF$7)*OFFSET(ORÇAMENTO!$W$15,ROW(AN359)-ROW(AN$15),0),15-13*ORÇAMENTO!$AF$11)),0)</f>
        <v>0</v>
      </c>
      <c r="AO359" s="545">
        <f ca="1">IF(AND($D359="Serviço",AO$12&lt;&gt;0,$H359&gt;0,OR(AUTOEVENTO&lt;&gt;"manual",$M359&lt;&gt;1)),
IF(Import.TipoArredondamento&lt;&gt;"TransfereGOV",
ROUND(OFFSET($P359,0,AO$13),15-13*ORÇAMENTO!$AF$7)/$H359*OFFSET(ORÇAMENTO!$X$15,ROW(AO359)-ROW(AO$15),0),
ROUND(ROUND(OFFSET($P359,0,AO$13),15-13*ORÇAMENTO!$AF$7)*OFFSET(ORÇAMENTO!$W$15,ROW(AO359)-ROW(AO$15),0),15-13*ORÇAMENTO!$AF$11)),0)</f>
        <v>0</v>
      </c>
      <c r="AP359" s="545">
        <f ca="1">IF(AND($D359="Serviço",AP$12&lt;&gt;0,$H359&gt;0,OR(AUTOEVENTO&lt;&gt;"manual",$M359&lt;&gt;1)),
IF(Import.TipoArredondamento&lt;&gt;"TransfereGOV",
ROUND(OFFSET($P359,0,AP$13),15-13*ORÇAMENTO!$AF$7)/$H359*OFFSET(ORÇAMENTO!$X$15,ROW(AP359)-ROW(AP$15),0),
ROUND(ROUND(OFFSET($P359,0,AP$13),15-13*ORÇAMENTO!$AF$7)*OFFSET(ORÇAMENTO!$W$15,ROW(AP359)-ROW(AP$15),0),15-13*ORÇAMENTO!$AF$11)),0)</f>
        <v>0</v>
      </c>
      <c r="AQ359" s="545">
        <f ca="1">IF(AND($D359="Serviço",AQ$12&lt;&gt;0,$H359&gt;0,OR(AUTOEVENTO&lt;&gt;"manual",$M359&lt;&gt;1)),
IF(Import.TipoArredondamento&lt;&gt;"TransfereGOV",
ROUND(OFFSET($P359,0,AQ$13),15-13*ORÇAMENTO!$AF$7)/$H359*OFFSET(ORÇAMENTO!$X$15,ROW(AQ359)-ROW(AQ$15),0),
ROUND(ROUND(OFFSET($P359,0,AQ$13),15-13*ORÇAMENTO!$AF$7)*OFFSET(ORÇAMENTO!$W$15,ROW(AQ359)-ROW(AQ$15),0),15-13*ORÇAMENTO!$AF$11)),0)</f>
        <v>0</v>
      </c>
      <c r="AR359" s="545">
        <f ca="1">IF(AND($D359="Serviço",AR$12&lt;&gt;0,$H359&gt;0,OR(AUTOEVENTO&lt;&gt;"manual",$M359&lt;&gt;1)),
IF(Import.TipoArredondamento&lt;&gt;"TransfereGOV",
ROUND(OFFSET($P359,0,AR$13),15-13*ORÇAMENTO!$AF$7)/$H359*OFFSET(ORÇAMENTO!$X$15,ROW(AR359)-ROW(AR$15),0),
ROUND(ROUND(OFFSET($P359,0,AR$13),15-13*ORÇAMENTO!$AF$7)*OFFSET(ORÇAMENTO!$W$15,ROW(AR359)-ROW(AR$15),0),15-13*ORÇAMENTO!$AF$11)),0)</f>
        <v>0</v>
      </c>
      <c r="AS359" s="546">
        <f ca="1">IF(AND($D359="Serviço",AS$12&lt;&gt;0,$H359&gt;0,OR(AUTOEVENTO&lt;&gt;"manual",$M359&lt;&gt;1)),
IF(Import.TipoArredondamento&lt;&gt;"TransfereGOV",
ROUND(OFFSET($P359,0,AS$13),15-13*ORÇAMENTO!$AF$7)/$H359*OFFSET(ORÇAMENTO!$X$15,ROW(AS359)-ROW(AS$15),0),
ROUND(ROUND(OFFSET($P359,0,AS$13),15-13*ORÇAMENTO!$AF$7)*OFFSET(ORÇAMENTO!$W$15,ROW(AS359)-ROW(AS$15),0),15-13*ORÇAMENTO!$AF$11)),0)</f>
        <v>0</v>
      </c>
      <c r="AT359" s="545">
        <f ca="1">IF(AND($D359="Serviço",AT$12&lt;&gt;0,$H359&gt;0,OR(AUTOEVENTO&lt;&gt;"manual",$M359&lt;&gt;1)),
IF(Import.TipoArredondamento&lt;&gt;"TransfereGOV",
ROUND(OFFSET($P359,0,AT$13),15-13*ORÇAMENTO!$AF$7)/$H359*OFFSET(ORÇAMENTO!$X$15,ROW(AT359)-ROW(AT$15),0),
ROUND(ROUND(OFFSET($P359,0,AT$13),15-13*ORÇAMENTO!$AF$7)*OFFSET(ORÇAMENTO!$W$15,ROW(AT359)-ROW(AT$15),0),15-13*ORÇAMENTO!$AF$11)),0)</f>
        <v>0</v>
      </c>
      <c r="AU359" s="545">
        <f ca="1">IF(AND($D359="Serviço",AU$12&lt;&gt;0,$H359&gt;0,OR(AUTOEVENTO&lt;&gt;"manual",$M359&lt;&gt;1)),
IF(Import.TipoArredondamento&lt;&gt;"TransfereGOV",
ROUND(OFFSET($P359,0,AU$13),15-13*ORÇAMENTO!$AF$7)/$H359*OFFSET(ORÇAMENTO!$X$15,ROW(AU359)-ROW(AU$15),0),
ROUND(ROUND(OFFSET($P359,0,AU$13),15-13*ORÇAMENTO!$AF$7)*OFFSET(ORÇAMENTO!$W$15,ROW(AU359)-ROW(AU$15),0),15-13*ORÇAMENTO!$AF$11)),0)</f>
        <v>0</v>
      </c>
      <c r="AV359" s="545">
        <f ca="1">IF(AND($D359="Serviço",AV$12&lt;&gt;0,$H359&gt;0,OR(AUTOEVENTO&lt;&gt;"manual",$M359&lt;&gt;1)),
IF(Import.TipoArredondamento&lt;&gt;"TransfereGOV",
ROUND(OFFSET($P359,0,AV$13),15-13*ORÇAMENTO!$AF$7)/$H359*OFFSET(ORÇAMENTO!$X$15,ROW(AV359)-ROW(AV$15),0),
ROUND(ROUND(OFFSET($P359,0,AV$13),15-13*ORÇAMENTO!$AF$7)*OFFSET(ORÇAMENTO!$W$15,ROW(AV359)-ROW(AV$15),0),15-13*ORÇAMENTO!$AF$11)),0)</f>
        <v>0</v>
      </c>
      <c r="AW359" s="545">
        <f ca="1">IF(AND($D359="Serviço",AW$12&lt;&gt;0,$H359&gt;0,OR(AUTOEVENTO&lt;&gt;"manual",$M359&lt;&gt;1)),
IF(Import.TipoArredondamento&lt;&gt;"TransfereGOV",
ROUND(OFFSET($P359,0,AW$13),15-13*ORÇAMENTO!$AF$7)/$H359*OFFSET(ORÇAMENTO!$X$15,ROW(AW359)-ROW(AW$15),0),
ROUND(ROUND(OFFSET($P359,0,AW$13),15-13*ORÇAMENTO!$AF$7)*OFFSET(ORÇAMENTO!$W$15,ROW(AW359)-ROW(AW$15),0),15-13*ORÇAMENTO!$AF$11)),0)</f>
        <v>0</v>
      </c>
      <c r="AX359" s="545">
        <f ca="1">IF(AND($D359="Serviço",AX$12&lt;&gt;0,$H359&gt;0,OR(AUTOEVENTO&lt;&gt;"manual",$M359&lt;&gt;1)),
IF(Import.TipoArredondamento&lt;&gt;"TransfereGOV",
ROUND(OFFSET($P359,0,AX$13),15-13*ORÇAMENTO!$AF$7)/$H359*OFFSET(ORÇAMENTO!$X$15,ROW(AX359)-ROW(AX$15),0),
ROUND(ROUND(OFFSET($P359,0,AX$13),15-13*ORÇAMENTO!$AF$7)*OFFSET(ORÇAMENTO!$W$15,ROW(AX359)-ROW(AX$15),0),15-13*ORÇAMENTO!$AF$11)),0)</f>
        <v>0</v>
      </c>
      <c r="AY359" s="545">
        <f ca="1">IF(AND($D359="Serviço",AY$12&lt;&gt;0,$H359&gt;0,OR(AUTOEVENTO&lt;&gt;"manual",$M359&lt;&gt;1)),
IF(Import.TipoArredondamento&lt;&gt;"TransfereGOV",
ROUND(OFFSET($P359,0,AY$13),15-13*ORÇAMENTO!$AF$7)/$H359*OFFSET(ORÇAMENTO!$X$15,ROW(AY359)-ROW(AY$15),0),
ROUND(ROUND(OFFSET($P359,0,AY$13),15-13*ORÇAMENTO!$AF$7)*OFFSET(ORÇAMENTO!$W$15,ROW(AY359)-ROW(AY$15),0),15-13*ORÇAMENTO!$AF$11)),0)</f>
        <v>0</v>
      </c>
      <c r="AZ359" s="545">
        <f ca="1">IF(AND($D359="Serviço",AZ$12&lt;&gt;0,$H359&gt;0,OR(AUTOEVENTO&lt;&gt;"manual",$M359&lt;&gt;1)),
IF(Import.TipoArredondamento&lt;&gt;"TransfereGOV",
ROUND(OFFSET($P359,0,AZ$13),15-13*ORÇAMENTO!$AF$7)/$H359*OFFSET(ORÇAMENTO!$X$15,ROW(AZ359)-ROW(AZ$15),0),
ROUND(ROUND(OFFSET($P359,0,AZ$13),15-13*ORÇAMENTO!$AF$7)*OFFSET(ORÇAMENTO!$W$15,ROW(AZ359)-ROW(AZ$15),0),15-13*ORÇAMENTO!$AF$11)),0)</f>
        <v>0</v>
      </c>
      <c r="BA359" s="546">
        <f ca="1">IF(AND($D359="Serviço",BA$12&lt;&gt;0,$H359&gt;0,OR(AUTOEVENTO&lt;&gt;"manual",$M359&lt;&gt;1)),
IF(Import.TipoArredondamento&lt;&gt;"TransfereGOV",
ROUND(OFFSET($P359,0,BA$13),15-13*ORÇAMENTO!$AF$7)/$H359*OFFSET(ORÇAMENTO!$X$15,ROW(BA359)-ROW(BA$15),0),
ROUND(ROUND(OFFSET($P359,0,BA$13),15-13*ORÇAMENTO!$AF$7)*OFFSET(ORÇAMENTO!$W$15,ROW(BA359)-ROW(BA$15),0),15-13*ORÇAMENTO!$AF$11)),0)</f>
        <v>0</v>
      </c>
      <c r="BC359" s="181">
        <f ca="1">IF($D359&lt;&gt;"Serviço",0,IF(AND(AUTOEVENTO="Manual",$M359=1),0,IF(OFFSET(CRONOPLE!$F$14,$M359,BC$13)="",10^12,OFFSET(CRONOPLE!$F$14,$M359,BC$13))))</f>
        <v>10</v>
      </c>
      <c r="BD359" s="181">
        <f ca="1">IF($D359&lt;&gt;"Serviço",0,IF(AND(AUTOEVENTO="Manual",$M359=1),0,IF(OFFSET(CRONOPLE!$F$14,$M359,BD$13)="",10^12,OFFSET(CRONOPLE!$F$14,$M359,BD$13))))</f>
        <v>1000000000000</v>
      </c>
      <c r="BE359" s="181">
        <f ca="1">IF($D359&lt;&gt;"Serviço",0,IF(AND(AUTOEVENTO="Manual",$M359=1),0,IF(OFFSET(CRONOPLE!$F$14,$M359,BE$13)="",10^12,OFFSET(CRONOPLE!$F$14,$M359,BE$13))))</f>
        <v>1000000000000</v>
      </c>
      <c r="BF359" s="181">
        <f ca="1">IF($D359&lt;&gt;"Serviço",0,IF(AND(AUTOEVENTO="Manual",$M359=1),0,IF(OFFSET(CRONOPLE!$F$14,$M359,BF$13)="",10^12,OFFSET(CRONOPLE!$F$14,$M359,BF$13))))</f>
        <v>1000000000000</v>
      </c>
      <c r="BG359" s="181">
        <f ca="1">IF($D359&lt;&gt;"Serviço",0,IF(AND(AUTOEVENTO="Manual",$M359=1),0,IF(OFFSET(CRONOPLE!$F$14,$M359,BG$13)="",10^12,OFFSET(CRONOPLE!$F$14,$M359,BG$13))))</f>
        <v>1000000000000</v>
      </c>
      <c r="BH359" s="181">
        <f ca="1">IF($D359&lt;&gt;"Serviço",0,IF(AND(AUTOEVENTO="Manual",$M359=1),0,IF(OFFSET(CRONOPLE!$F$14,$M359,BH$13)="",10^12,OFFSET(CRONOPLE!$F$14,$M359,BH$13))))</f>
        <v>1000000000000</v>
      </c>
      <c r="BI359" s="181">
        <f ca="1">IF($D359&lt;&gt;"Serviço",0,IF(AND(AUTOEVENTO="Manual",$M359=1),0,IF(OFFSET(CRONOPLE!$F$14,$M359,BI$13)="",10^12,OFFSET(CRONOPLE!$F$14,$M359,BI$13))))</f>
        <v>1000000000000</v>
      </c>
      <c r="BJ359" s="181">
        <f ca="1">IF($D359&lt;&gt;"Serviço",0,IF(AND(AUTOEVENTO="Manual",$M359=1),0,IF(OFFSET(CRONOPLE!$F$14,$M359,BJ$13)="",10^12,OFFSET(CRONOPLE!$F$14,$M359,BJ$13))))</f>
        <v>1000000000000</v>
      </c>
      <c r="BK359" s="181">
        <f ca="1">IF($D359&lt;&gt;"Serviço",0,IF(AND(AUTOEVENTO="Manual",$M359=1),0,IF(OFFSET(CRONOPLE!$F$14,$M359,BK$13)="",10^12,OFFSET(CRONOPLE!$F$14,$M359,BK$13))))</f>
        <v>1000000000000</v>
      </c>
      <c r="BL359" s="181">
        <f ca="1">IF($D359&lt;&gt;"Serviço",0,IF(AND(AUTOEVENTO="Manual",$M359=1),0,IF(OFFSET(CRONOPLE!$F$14,$M359,BL$13)="",10^12,OFFSET(CRONOPLE!$F$14,$M359,BL$13))))</f>
        <v>1000000000000</v>
      </c>
      <c r="BM359" s="181">
        <f ca="1">IF($D359&lt;&gt;"Serviço",0,IF(AND(AUTOEVENTO="Manual",$M359=1),0,IF(OFFSET(CRONOPLE!$F$14,$M359,BM$13)="",10^12,OFFSET(CRONOPLE!$F$14,$M359,BM$13))))</f>
        <v>1000000000000</v>
      </c>
      <c r="BN359" s="181">
        <f ca="1">IF($D359&lt;&gt;"Serviço",0,IF(AND(AUTOEVENTO="Manual",$M359=1),0,IF(OFFSET(CRONOPLE!$F$14,$M359,BN$13)="",10^12,OFFSET(CRONOPLE!$F$14,$M359,BN$13))))</f>
        <v>1000000000000</v>
      </c>
      <c r="BO359" s="181">
        <f ca="1">IF($D359&lt;&gt;"Serviço",0,IF(AND(AUTOEVENTO="Manual",$M359=1),0,IF(OFFSET(CRONOPLE!$F$14,$M359,BO$13)="",10^12,OFFSET(CRONOPLE!$F$14,$M359,BO$13))))</f>
        <v>1000000000000</v>
      </c>
      <c r="BP359" s="181">
        <f ca="1">IF($D359&lt;&gt;"Serviço",0,IF(AND(AUTOEVENTO="Manual",$M359=1),0,IF(OFFSET(CRONOPLE!$F$14,$M359,BP$13)="",10^12,OFFSET(CRONOPLE!$F$14,$M359,BP$13))))</f>
        <v>1000000000000</v>
      </c>
      <c r="BQ359" s="181">
        <f ca="1">IF($D359&lt;&gt;"Serviço",0,IF(AND(AUTOEVENTO="Manual",$M359=1),0,IF(OFFSET(CRONOPLE!$F$14,$M359,BQ$13)="",10^12,OFFSET(CRONOPLE!$F$14,$M359,BQ$13))))</f>
        <v>1000000000000</v>
      </c>
      <c r="BR359" s="181">
        <f ca="1">IF($D359&lt;&gt;"Serviço",0,IF(AND(AUTOEVENTO="Manual",$M359=1),0,IF(OFFSET(CRONOPLE!$F$14,$M359,BR$13)="",10^12,OFFSET(CRONOPLE!$F$14,$M359,BR$13))))</f>
        <v>1000000000000</v>
      </c>
      <c r="BS359" s="181">
        <f ca="1">IF($D359&lt;&gt;"Serviço",0,IF(AND(AUTOEVENTO="Manual",$M359=1),0,IF(OFFSET(CRONOPLE!$F$14,$M359,BS$13)="",10^12,OFFSET(CRONOPLE!$F$14,$M359,BS$13))))</f>
        <v>1000000000000</v>
      </c>
      <c r="BT359" s="181">
        <f ca="1">IF($D359&lt;&gt;"Serviço",0,IF(AND(AUTOEVENTO="Manual",$M359=1),0,IF(OFFSET(CRONOPLE!$F$14,$M359,BT$13)="",10^12,OFFSET(CRONOPLE!$F$14,$M359,BT$13))))</f>
        <v>1000000000000</v>
      </c>
      <c r="BV359" s="182">
        <f ca="1">IF($D359&lt;&gt;"Serviço",0,IF(OR(AND(AUTOEVENTO="Manual",$M359=1),$M359&gt;(ROW(PLE.lastrow)-ROW(PLE.firstrow))),0,IF(OFFSET(PLE!$G$14,$M359,BV$13)="",10^12,OFFSET(PLE!$G$14,$M359,BV$13))))</f>
        <v>1000000000000</v>
      </c>
      <c r="BW359" s="182">
        <f ca="1">IF($D359&lt;&gt;"Serviço",0,IF(OR(AND(AUTOEVENTO="Manual",$M359=1),$M359&gt;(ROW(PLE.lastrow)-ROW(PLE.firstrow))),0,IF(OFFSET(PLE!$G$14,$M359,BW$13)="",10^12,OFFSET(PLE!$G$14,$M359,BW$13))))</f>
        <v>1000000000000</v>
      </c>
      <c r="BX359" s="182">
        <f ca="1">IF($D359&lt;&gt;"Serviço",0,IF(OR(AND(AUTOEVENTO="Manual",$M359=1),$M359&gt;(ROW(PLE.lastrow)-ROW(PLE.firstrow))),0,IF(OFFSET(PLE!$G$14,$M359,BX$13)="",10^12,OFFSET(PLE!$G$14,$M359,BX$13))))</f>
        <v>1000000000000</v>
      </c>
      <c r="BY359" s="182">
        <f ca="1">IF($D359&lt;&gt;"Serviço",0,IF(OR(AND(AUTOEVENTO="Manual",$M359=1),$M359&gt;(ROW(PLE.lastrow)-ROW(PLE.firstrow))),0,IF(OFFSET(PLE!$G$14,$M359,BY$13)="",10^12,OFFSET(PLE!$G$14,$M359,BY$13))))</f>
        <v>1000000000000</v>
      </c>
      <c r="BZ359" s="182">
        <f ca="1">IF($D359&lt;&gt;"Serviço",0,IF(OR(AND(AUTOEVENTO="Manual",$M359=1),$M359&gt;(ROW(PLE.lastrow)-ROW(PLE.firstrow))),0,IF(OFFSET(PLE!$G$14,$M359,BZ$13)="",10^12,OFFSET(PLE!$G$14,$M359,BZ$13))))</f>
        <v>1000000000000</v>
      </c>
      <c r="CA359" s="182">
        <f ca="1">IF($D359&lt;&gt;"Serviço",0,IF(OR(AND(AUTOEVENTO="Manual",$M359=1),$M359&gt;(ROW(PLE.lastrow)-ROW(PLE.firstrow))),0,IF(OFFSET(PLE!$G$14,$M359,CA$13)="",10^12,OFFSET(PLE!$G$14,$M359,CA$13))))</f>
        <v>1000000000000</v>
      </c>
      <c r="CB359" s="182">
        <f ca="1">IF($D359&lt;&gt;"Serviço",0,IF(OR(AND(AUTOEVENTO="Manual",$M359=1),$M359&gt;(ROW(PLE.lastrow)-ROW(PLE.firstrow))),0,IF(OFFSET(PLE!$G$14,$M359,CB$13)="",10^12,OFFSET(PLE!$G$14,$M359,CB$13))))</f>
        <v>1000000000000</v>
      </c>
      <c r="CC359" s="182">
        <f ca="1">IF($D359&lt;&gt;"Serviço",0,IF(OR(AND(AUTOEVENTO="Manual",$M359=1),$M359&gt;(ROW(PLE.lastrow)-ROW(PLE.firstrow))),0,IF(OFFSET(PLE!$G$14,$M359,CC$13)="",10^12,OFFSET(PLE!$G$14,$M359,CC$13))))</f>
        <v>1000000000000</v>
      </c>
      <c r="CD359" s="182">
        <f ca="1">IF($D359&lt;&gt;"Serviço",0,IF(OR(AND(AUTOEVENTO="Manual",$M359=1),$M359&gt;(ROW(PLE.lastrow)-ROW(PLE.firstrow))),0,IF(OFFSET(PLE!$G$14,$M359,CD$13)="",10^12,OFFSET(PLE!$G$14,$M359,CD$13))))</f>
        <v>1000000000000</v>
      </c>
      <c r="CE359" s="182">
        <f ca="1">IF($D359&lt;&gt;"Serviço",0,IF(OR(AND(AUTOEVENTO="Manual",$M359=1),$M359&gt;(ROW(PLE.lastrow)-ROW(PLE.firstrow))),0,IF(OFFSET(PLE!$G$14,$M359,CE$13)="",10^12,OFFSET(PLE!$G$14,$M359,CE$13))))</f>
        <v>1000000000000</v>
      </c>
      <c r="CF359" s="182">
        <f ca="1">IF($D359&lt;&gt;"Serviço",0,IF(OR(AND(AUTOEVENTO="Manual",$M359=1),$M359&gt;(ROW(PLE.lastrow)-ROW(PLE.firstrow))),0,IF(OFFSET(PLE!$G$14,$M359,CF$13)="",10^12,OFFSET(PLE!$G$14,$M359,CF$13))))</f>
        <v>1000000000000</v>
      </c>
      <c r="CG359" s="182">
        <f ca="1">IF($D359&lt;&gt;"Serviço",0,IF(OR(AND(AUTOEVENTO="Manual",$M359=1),$M359&gt;(ROW(PLE.lastrow)-ROW(PLE.firstrow))),0,IF(OFFSET(PLE!$G$14,$M359,CG$13)="",10^12,OFFSET(PLE!$G$14,$M359,CG$13))))</f>
        <v>1000000000000</v>
      </c>
      <c r="CH359" s="182">
        <f ca="1">IF($D359&lt;&gt;"Serviço",0,IF(OR(AND(AUTOEVENTO="Manual",$M359=1),$M359&gt;(ROW(PLE.lastrow)-ROW(PLE.firstrow))),0,IF(OFFSET(PLE!$G$14,$M359,CH$13)="",10^12,OFFSET(PLE!$G$14,$M359,CH$13))))</f>
        <v>1000000000000</v>
      </c>
      <c r="CI359" s="182">
        <f ca="1">IF($D359&lt;&gt;"Serviço",0,IF(OR(AND(AUTOEVENTO="Manual",$M359=1),$M359&gt;(ROW(PLE.lastrow)-ROW(PLE.firstrow))),0,IF(OFFSET(PLE!$G$14,$M359,CI$13)="",10^12,OFFSET(PLE!$G$14,$M359,CI$13))))</f>
        <v>1000000000000</v>
      </c>
      <c r="CJ359" s="182">
        <f ca="1">IF($D359&lt;&gt;"Serviço",0,IF(OR(AND(AUTOEVENTO="Manual",$M359=1),$M359&gt;(ROW(PLE.lastrow)-ROW(PLE.firstrow))),0,IF(OFFSET(PLE!$G$14,$M359,CJ$13)="",10^12,OFFSET(PLE!$G$14,$M359,CJ$13))))</f>
        <v>1000000000000</v>
      </c>
      <c r="CK359" s="182">
        <f ca="1">IF($D359&lt;&gt;"Serviço",0,IF(OR(AND(AUTOEVENTO="Manual",$M359=1),$M359&gt;(ROW(PLE.lastrow)-ROW(PLE.firstrow))),0,IF(OFFSET(PLE!$G$14,$M359,CK$13)="",10^12,OFFSET(PLE!$G$14,$M359,CK$13))))</f>
        <v>1000000000000</v>
      </c>
      <c r="CL359" s="182">
        <f ca="1">IF($D359&lt;&gt;"Serviço",0,IF(OR(AND(AUTOEVENTO="Manual",$M359=1),$M359&gt;(ROW(PLE.lastrow)-ROW(PLE.firstrow))),0,IF(OFFSET(PLE!$G$14,$M359,CL$13)="",10^12,OFFSET(PLE!$G$14,$M359,CL$13))))</f>
        <v>1000000000000</v>
      </c>
      <c r="CM359" s="182">
        <f ca="1">IF($D359&lt;&gt;"Serviço",0,IF(OR(AND(AUTOEVENTO="Manual",$M359=1),$M359&gt;(ROW(PLE.lastrow)-ROW(PLE.firstrow))),0,IF(OFFSET(PLE!$G$14,$M359,CM$13)="",10^12,OFFSET(PLE!$G$14,$M359,CM$13))))</f>
        <v>1000000000000</v>
      </c>
    </row>
    <row r="360" spans="1:91" ht="38.25" x14ac:dyDescent="0.2">
      <c r="A360" s="7" t="str">
        <f t="shared" ca="1" si="12"/>
        <v>338</v>
      </c>
      <c r="B360" s="7" t="str">
        <f ca="1">OFFSET(ORÇAMENTO!C$15,ROW(B360)-ROW(B$15),0)</f>
        <v>S</v>
      </c>
      <c r="C360" s="7" t="str">
        <f ca="1">OFFSET(ORÇAMENTO!L$15,ROW(C360)-ROW(C$15),0)</f>
        <v/>
      </c>
      <c r="D360" s="118" t="str">
        <f ca="1">OFFSET(ORÇAMENTO!N$15,ROW(D360)-ROW(D$15),0)</f>
        <v>Serviço</v>
      </c>
      <c r="E360" s="119" t="str">
        <f ca="1">OFFSET(ORÇAMENTO!O$15,ROW(E360)-ROW(E$15),0)</f>
        <v>-</v>
      </c>
      <c r="F360" s="172" t="str">
        <f ca="1">OFFSET(ORÇAMENTO!R$15,ROW(F360)-ROW(F$15),0)</f>
        <v>(abra o arquivo 'Referência 06-2024.xlsm)</v>
      </c>
      <c r="G360" s="173" t="str">
        <f ca="1">IF($D360&lt;&gt;"Serviço","",OFFSET(ORÇAMENTO!S$15,ROW(G360)-ROW(G$15),0))</f>
        <v>-</v>
      </c>
      <c r="H360" s="124">
        <f ca="1">IF($D360&lt;&gt;"Serviço",0,IF(ACOMPANHAMENTO="BM",ROUND(OFFSET(ORÇAMENTO!AJ$15,ROW(H360)-ROW(H$15),0),15-13*ORÇAMENTO!$AF$7),SUMPRODUCT(($Q$12:$AI$12&lt;&gt;"")*ROUND($Q360:$AI360,15-13*ORÇAMENTO!$AF$7))))</f>
        <v>388.1</v>
      </c>
      <c r="I360" s="561" t="s">
        <v>1107</v>
      </c>
      <c r="K360" s="174"/>
      <c r="L360" s="175" t="s">
        <v>255</v>
      </c>
      <c r="M360" s="176">
        <f ca="1">IF($D360&lt;&gt;"Serviço","",IF(AUTOEVENTO="manual",$A360,IF(ISERROR(MATCH($A360,$A$15:OFFSET($A360,-1,0),0)),MAX($M$15:OFFSET(M360,-1,0))+1,INDEX($M$15:OFFSET(M360,-1,0),MATCH($A360,$A$15:OFFSET($A360,-1,0),0)))))</f>
        <v>43</v>
      </c>
      <c r="N360" s="177" t="str">
        <f ca="1">IF($D360&lt;&gt;"Serviço","",IF(AUTOEVENTO="Manual",IF($A360=0,"&lt;-- defina o número do agrupador",OFFSET(EVENTOS!$D$14,$A360,0)),OFFSET($F$15,$A360,0)))</f>
        <v>INSTALAÇÃO SANITÁRIA - VENTILAÇÃO</v>
      </c>
      <c r="O360" s="178"/>
      <c r="Q360" s="178">
        <v>388.1</v>
      </c>
      <c r="R360" s="179"/>
      <c r="S360" s="179"/>
      <c r="T360" s="179"/>
      <c r="U360" s="179"/>
      <c r="V360" s="179"/>
      <c r="W360" s="179"/>
      <c r="X360" s="179"/>
      <c r="Y360" s="179"/>
      <c r="Z360" s="180"/>
      <c r="AA360" s="179"/>
      <c r="AB360" s="179"/>
      <c r="AC360" s="179"/>
      <c r="AD360" s="179"/>
      <c r="AE360" s="179"/>
      <c r="AF360" s="179"/>
      <c r="AG360" s="179"/>
      <c r="AH360" s="180"/>
      <c r="AJ360" s="544">
        <f ca="1">IF(AND($D360="Serviço",AJ$12&lt;&gt;0,$H360&gt;0,OR(AUTOEVENTO&lt;&gt;"manual",$M360&lt;&gt;1)),
IF(Import.TipoArredondamento&lt;&gt;"TransfereGOV",
ROUND(OFFSET($P360,0,AJ$13),15-13*ORÇAMENTO!$AF$7)/$H360*OFFSET(ORÇAMENTO!$X$15,ROW(AJ360)-ROW(AJ$15),0),
ROUND(ROUND(OFFSET($P360,0,AJ$13),15-13*ORÇAMENTO!$AF$7)*OFFSET(ORÇAMENTO!$W$15,ROW(AJ360)-ROW(AJ$15),0),15-13*ORÇAMENTO!$AF$11)),0)</f>
        <v>0</v>
      </c>
      <c r="AK360" s="545">
        <f ca="1">IF(AND($D360="Serviço",AK$12&lt;&gt;0,$H360&gt;0,OR(AUTOEVENTO&lt;&gt;"manual",$M360&lt;&gt;1)),
IF(Import.TipoArredondamento&lt;&gt;"TransfereGOV",
ROUND(OFFSET($P360,0,AK$13),15-13*ORÇAMENTO!$AF$7)/$H360*OFFSET(ORÇAMENTO!$X$15,ROW(AK360)-ROW(AK$15),0),
ROUND(ROUND(OFFSET($P360,0,AK$13),15-13*ORÇAMENTO!$AF$7)*OFFSET(ORÇAMENTO!$W$15,ROW(AK360)-ROW(AK$15),0),15-13*ORÇAMENTO!$AF$11)),0)</f>
        <v>0</v>
      </c>
      <c r="AL360" s="545">
        <f ca="1">IF(AND($D360="Serviço",AL$12&lt;&gt;0,$H360&gt;0,OR(AUTOEVENTO&lt;&gt;"manual",$M360&lt;&gt;1)),
IF(Import.TipoArredondamento&lt;&gt;"TransfereGOV",
ROUND(OFFSET($P360,0,AL$13),15-13*ORÇAMENTO!$AF$7)/$H360*OFFSET(ORÇAMENTO!$X$15,ROW(AL360)-ROW(AL$15),0),
ROUND(ROUND(OFFSET($P360,0,AL$13),15-13*ORÇAMENTO!$AF$7)*OFFSET(ORÇAMENTO!$W$15,ROW(AL360)-ROW(AL$15),0),15-13*ORÇAMENTO!$AF$11)),0)</f>
        <v>0</v>
      </c>
      <c r="AM360" s="545">
        <f ca="1">IF(AND($D360="Serviço",AM$12&lt;&gt;0,$H360&gt;0,OR(AUTOEVENTO&lt;&gt;"manual",$M360&lt;&gt;1)),
IF(Import.TipoArredondamento&lt;&gt;"TransfereGOV",
ROUND(OFFSET($P360,0,AM$13),15-13*ORÇAMENTO!$AF$7)/$H360*OFFSET(ORÇAMENTO!$X$15,ROW(AM360)-ROW(AM$15),0),
ROUND(ROUND(OFFSET($P360,0,AM$13),15-13*ORÇAMENTO!$AF$7)*OFFSET(ORÇAMENTO!$W$15,ROW(AM360)-ROW(AM$15),0),15-13*ORÇAMENTO!$AF$11)),0)</f>
        <v>0</v>
      </c>
      <c r="AN360" s="545">
        <f ca="1">IF(AND($D360="Serviço",AN$12&lt;&gt;0,$H360&gt;0,OR(AUTOEVENTO&lt;&gt;"manual",$M360&lt;&gt;1)),
IF(Import.TipoArredondamento&lt;&gt;"TransfereGOV",
ROUND(OFFSET($P360,0,AN$13),15-13*ORÇAMENTO!$AF$7)/$H360*OFFSET(ORÇAMENTO!$X$15,ROW(AN360)-ROW(AN$15),0),
ROUND(ROUND(OFFSET($P360,0,AN$13),15-13*ORÇAMENTO!$AF$7)*OFFSET(ORÇAMENTO!$W$15,ROW(AN360)-ROW(AN$15),0),15-13*ORÇAMENTO!$AF$11)),0)</f>
        <v>0</v>
      </c>
      <c r="AO360" s="545">
        <f ca="1">IF(AND($D360="Serviço",AO$12&lt;&gt;0,$H360&gt;0,OR(AUTOEVENTO&lt;&gt;"manual",$M360&lt;&gt;1)),
IF(Import.TipoArredondamento&lt;&gt;"TransfereGOV",
ROUND(OFFSET($P360,0,AO$13),15-13*ORÇAMENTO!$AF$7)/$H360*OFFSET(ORÇAMENTO!$X$15,ROW(AO360)-ROW(AO$15),0),
ROUND(ROUND(OFFSET($P360,0,AO$13),15-13*ORÇAMENTO!$AF$7)*OFFSET(ORÇAMENTO!$W$15,ROW(AO360)-ROW(AO$15),0),15-13*ORÇAMENTO!$AF$11)),0)</f>
        <v>0</v>
      </c>
      <c r="AP360" s="545">
        <f ca="1">IF(AND($D360="Serviço",AP$12&lt;&gt;0,$H360&gt;0,OR(AUTOEVENTO&lt;&gt;"manual",$M360&lt;&gt;1)),
IF(Import.TipoArredondamento&lt;&gt;"TransfereGOV",
ROUND(OFFSET($P360,0,AP$13),15-13*ORÇAMENTO!$AF$7)/$H360*OFFSET(ORÇAMENTO!$X$15,ROW(AP360)-ROW(AP$15),0),
ROUND(ROUND(OFFSET($P360,0,AP$13),15-13*ORÇAMENTO!$AF$7)*OFFSET(ORÇAMENTO!$W$15,ROW(AP360)-ROW(AP$15),0),15-13*ORÇAMENTO!$AF$11)),0)</f>
        <v>0</v>
      </c>
      <c r="AQ360" s="545">
        <f ca="1">IF(AND($D360="Serviço",AQ$12&lt;&gt;0,$H360&gt;0,OR(AUTOEVENTO&lt;&gt;"manual",$M360&lt;&gt;1)),
IF(Import.TipoArredondamento&lt;&gt;"TransfereGOV",
ROUND(OFFSET($P360,0,AQ$13),15-13*ORÇAMENTO!$AF$7)/$H360*OFFSET(ORÇAMENTO!$X$15,ROW(AQ360)-ROW(AQ$15),0),
ROUND(ROUND(OFFSET($P360,0,AQ$13),15-13*ORÇAMENTO!$AF$7)*OFFSET(ORÇAMENTO!$W$15,ROW(AQ360)-ROW(AQ$15),0),15-13*ORÇAMENTO!$AF$11)),0)</f>
        <v>0</v>
      </c>
      <c r="AR360" s="545">
        <f ca="1">IF(AND($D360="Serviço",AR$12&lt;&gt;0,$H360&gt;0,OR(AUTOEVENTO&lt;&gt;"manual",$M360&lt;&gt;1)),
IF(Import.TipoArredondamento&lt;&gt;"TransfereGOV",
ROUND(OFFSET($P360,0,AR$13),15-13*ORÇAMENTO!$AF$7)/$H360*OFFSET(ORÇAMENTO!$X$15,ROW(AR360)-ROW(AR$15),0),
ROUND(ROUND(OFFSET($P360,0,AR$13),15-13*ORÇAMENTO!$AF$7)*OFFSET(ORÇAMENTO!$W$15,ROW(AR360)-ROW(AR$15),0),15-13*ORÇAMENTO!$AF$11)),0)</f>
        <v>0</v>
      </c>
      <c r="AS360" s="546">
        <f ca="1">IF(AND($D360="Serviço",AS$12&lt;&gt;0,$H360&gt;0,OR(AUTOEVENTO&lt;&gt;"manual",$M360&lt;&gt;1)),
IF(Import.TipoArredondamento&lt;&gt;"TransfereGOV",
ROUND(OFFSET($P360,0,AS$13),15-13*ORÇAMENTO!$AF$7)/$H360*OFFSET(ORÇAMENTO!$X$15,ROW(AS360)-ROW(AS$15),0),
ROUND(ROUND(OFFSET($P360,0,AS$13),15-13*ORÇAMENTO!$AF$7)*OFFSET(ORÇAMENTO!$W$15,ROW(AS360)-ROW(AS$15),0),15-13*ORÇAMENTO!$AF$11)),0)</f>
        <v>0</v>
      </c>
      <c r="AT360" s="545">
        <f ca="1">IF(AND($D360="Serviço",AT$12&lt;&gt;0,$H360&gt;0,OR(AUTOEVENTO&lt;&gt;"manual",$M360&lt;&gt;1)),
IF(Import.TipoArredondamento&lt;&gt;"TransfereGOV",
ROUND(OFFSET($P360,0,AT$13),15-13*ORÇAMENTO!$AF$7)/$H360*OFFSET(ORÇAMENTO!$X$15,ROW(AT360)-ROW(AT$15),0),
ROUND(ROUND(OFFSET($P360,0,AT$13),15-13*ORÇAMENTO!$AF$7)*OFFSET(ORÇAMENTO!$W$15,ROW(AT360)-ROW(AT$15),0),15-13*ORÇAMENTO!$AF$11)),0)</f>
        <v>0</v>
      </c>
      <c r="AU360" s="545">
        <f ca="1">IF(AND($D360="Serviço",AU$12&lt;&gt;0,$H360&gt;0,OR(AUTOEVENTO&lt;&gt;"manual",$M360&lt;&gt;1)),
IF(Import.TipoArredondamento&lt;&gt;"TransfereGOV",
ROUND(OFFSET($P360,0,AU$13),15-13*ORÇAMENTO!$AF$7)/$H360*OFFSET(ORÇAMENTO!$X$15,ROW(AU360)-ROW(AU$15),0),
ROUND(ROUND(OFFSET($P360,0,AU$13),15-13*ORÇAMENTO!$AF$7)*OFFSET(ORÇAMENTO!$W$15,ROW(AU360)-ROW(AU$15),0),15-13*ORÇAMENTO!$AF$11)),0)</f>
        <v>0</v>
      </c>
      <c r="AV360" s="545">
        <f ca="1">IF(AND($D360="Serviço",AV$12&lt;&gt;0,$H360&gt;0,OR(AUTOEVENTO&lt;&gt;"manual",$M360&lt;&gt;1)),
IF(Import.TipoArredondamento&lt;&gt;"TransfereGOV",
ROUND(OFFSET($P360,0,AV$13),15-13*ORÇAMENTO!$AF$7)/$H360*OFFSET(ORÇAMENTO!$X$15,ROW(AV360)-ROW(AV$15),0),
ROUND(ROUND(OFFSET($P360,0,AV$13),15-13*ORÇAMENTO!$AF$7)*OFFSET(ORÇAMENTO!$W$15,ROW(AV360)-ROW(AV$15),0),15-13*ORÇAMENTO!$AF$11)),0)</f>
        <v>0</v>
      </c>
      <c r="AW360" s="545">
        <f ca="1">IF(AND($D360="Serviço",AW$12&lt;&gt;0,$H360&gt;0,OR(AUTOEVENTO&lt;&gt;"manual",$M360&lt;&gt;1)),
IF(Import.TipoArredondamento&lt;&gt;"TransfereGOV",
ROUND(OFFSET($P360,0,AW$13),15-13*ORÇAMENTO!$AF$7)/$H360*OFFSET(ORÇAMENTO!$X$15,ROW(AW360)-ROW(AW$15),0),
ROUND(ROUND(OFFSET($P360,0,AW$13),15-13*ORÇAMENTO!$AF$7)*OFFSET(ORÇAMENTO!$W$15,ROW(AW360)-ROW(AW$15),0),15-13*ORÇAMENTO!$AF$11)),0)</f>
        <v>0</v>
      </c>
      <c r="AX360" s="545">
        <f ca="1">IF(AND($D360="Serviço",AX$12&lt;&gt;0,$H360&gt;0,OR(AUTOEVENTO&lt;&gt;"manual",$M360&lt;&gt;1)),
IF(Import.TipoArredondamento&lt;&gt;"TransfereGOV",
ROUND(OFFSET($P360,0,AX$13),15-13*ORÇAMENTO!$AF$7)/$H360*OFFSET(ORÇAMENTO!$X$15,ROW(AX360)-ROW(AX$15),0),
ROUND(ROUND(OFFSET($P360,0,AX$13),15-13*ORÇAMENTO!$AF$7)*OFFSET(ORÇAMENTO!$W$15,ROW(AX360)-ROW(AX$15),0),15-13*ORÇAMENTO!$AF$11)),0)</f>
        <v>0</v>
      </c>
      <c r="AY360" s="545">
        <f ca="1">IF(AND($D360="Serviço",AY$12&lt;&gt;0,$H360&gt;0,OR(AUTOEVENTO&lt;&gt;"manual",$M360&lt;&gt;1)),
IF(Import.TipoArredondamento&lt;&gt;"TransfereGOV",
ROUND(OFFSET($P360,0,AY$13),15-13*ORÇAMENTO!$AF$7)/$H360*OFFSET(ORÇAMENTO!$X$15,ROW(AY360)-ROW(AY$15),0),
ROUND(ROUND(OFFSET($P360,0,AY$13),15-13*ORÇAMENTO!$AF$7)*OFFSET(ORÇAMENTO!$W$15,ROW(AY360)-ROW(AY$15),0),15-13*ORÇAMENTO!$AF$11)),0)</f>
        <v>0</v>
      </c>
      <c r="AZ360" s="545">
        <f ca="1">IF(AND($D360="Serviço",AZ$12&lt;&gt;0,$H360&gt;0,OR(AUTOEVENTO&lt;&gt;"manual",$M360&lt;&gt;1)),
IF(Import.TipoArredondamento&lt;&gt;"TransfereGOV",
ROUND(OFFSET($P360,0,AZ$13),15-13*ORÇAMENTO!$AF$7)/$H360*OFFSET(ORÇAMENTO!$X$15,ROW(AZ360)-ROW(AZ$15),0),
ROUND(ROUND(OFFSET($P360,0,AZ$13),15-13*ORÇAMENTO!$AF$7)*OFFSET(ORÇAMENTO!$W$15,ROW(AZ360)-ROW(AZ$15),0),15-13*ORÇAMENTO!$AF$11)),0)</f>
        <v>0</v>
      </c>
      <c r="BA360" s="546">
        <f ca="1">IF(AND($D360="Serviço",BA$12&lt;&gt;0,$H360&gt;0,OR(AUTOEVENTO&lt;&gt;"manual",$M360&lt;&gt;1)),
IF(Import.TipoArredondamento&lt;&gt;"TransfereGOV",
ROUND(OFFSET($P360,0,BA$13),15-13*ORÇAMENTO!$AF$7)/$H360*OFFSET(ORÇAMENTO!$X$15,ROW(BA360)-ROW(BA$15),0),
ROUND(ROUND(OFFSET($P360,0,BA$13),15-13*ORÇAMENTO!$AF$7)*OFFSET(ORÇAMENTO!$W$15,ROW(BA360)-ROW(BA$15),0),15-13*ORÇAMENTO!$AF$11)),0)</f>
        <v>0</v>
      </c>
      <c r="BC360" s="181">
        <f ca="1">IF($D360&lt;&gt;"Serviço",0,IF(AND(AUTOEVENTO="Manual",$M360=1),0,IF(OFFSET(CRONOPLE!$F$14,$M360,BC$13)="",10^12,OFFSET(CRONOPLE!$F$14,$M360,BC$13))))</f>
        <v>10</v>
      </c>
      <c r="BD360" s="181">
        <f ca="1">IF($D360&lt;&gt;"Serviço",0,IF(AND(AUTOEVENTO="Manual",$M360=1),0,IF(OFFSET(CRONOPLE!$F$14,$M360,BD$13)="",10^12,OFFSET(CRONOPLE!$F$14,$M360,BD$13))))</f>
        <v>1000000000000</v>
      </c>
      <c r="BE360" s="181">
        <f ca="1">IF($D360&lt;&gt;"Serviço",0,IF(AND(AUTOEVENTO="Manual",$M360=1),0,IF(OFFSET(CRONOPLE!$F$14,$M360,BE$13)="",10^12,OFFSET(CRONOPLE!$F$14,$M360,BE$13))))</f>
        <v>1000000000000</v>
      </c>
      <c r="BF360" s="181">
        <f ca="1">IF($D360&lt;&gt;"Serviço",0,IF(AND(AUTOEVENTO="Manual",$M360=1),0,IF(OFFSET(CRONOPLE!$F$14,$M360,BF$13)="",10^12,OFFSET(CRONOPLE!$F$14,$M360,BF$13))))</f>
        <v>1000000000000</v>
      </c>
      <c r="BG360" s="181">
        <f ca="1">IF($D360&lt;&gt;"Serviço",0,IF(AND(AUTOEVENTO="Manual",$M360=1),0,IF(OFFSET(CRONOPLE!$F$14,$M360,BG$13)="",10^12,OFFSET(CRONOPLE!$F$14,$M360,BG$13))))</f>
        <v>1000000000000</v>
      </c>
      <c r="BH360" s="181">
        <f ca="1">IF($D360&lt;&gt;"Serviço",0,IF(AND(AUTOEVENTO="Manual",$M360=1),0,IF(OFFSET(CRONOPLE!$F$14,$M360,BH$13)="",10^12,OFFSET(CRONOPLE!$F$14,$M360,BH$13))))</f>
        <v>1000000000000</v>
      </c>
      <c r="BI360" s="181">
        <f ca="1">IF($D360&lt;&gt;"Serviço",0,IF(AND(AUTOEVENTO="Manual",$M360=1),0,IF(OFFSET(CRONOPLE!$F$14,$M360,BI$13)="",10^12,OFFSET(CRONOPLE!$F$14,$M360,BI$13))))</f>
        <v>1000000000000</v>
      </c>
      <c r="BJ360" s="181">
        <f ca="1">IF($D360&lt;&gt;"Serviço",0,IF(AND(AUTOEVENTO="Manual",$M360=1),0,IF(OFFSET(CRONOPLE!$F$14,$M360,BJ$13)="",10^12,OFFSET(CRONOPLE!$F$14,$M360,BJ$13))))</f>
        <v>1000000000000</v>
      </c>
      <c r="BK360" s="181">
        <f ca="1">IF($D360&lt;&gt;"Serviço",0,IF(AND(AUTOEVENTO="Manual",$M360=1),0,IF(OFFSET(CRONOPLE!$F$14,$M360,BK$13)="",10^12,OFFSET(CRONOPLE!$F$14,$M360,BK$13))))</f>
        <v>1000000000000</v>
      </c>
      <c r="BL360" s="181">
        <f ca="1">IF($D360&lt;&gt;"Serviço",0,IF(AND(AUTOEVENTO="Manual",$M360=1),0,IF(OFFSET(CRONOPLE!$F$14,$M360,BL$13)="",10^12,OFFSET(CRONOPLE!$F$14,$M360,BL$13))))</f>
        <v>1000000000000</v>
      </c>
      <c r="BM360" s="181">
        <f ca="1">IF($D360&lt;&gt;"Serviço",0,IF(AND(AUTOEVENTO="Manual",$M360=1),0,IF(OFFSET(CRONOPLE!$F$14,$M360,BM$13)="",10^12,OFFSET(CRONOPLE!$F$14,$M360,BM$13))))</f>
        <v>1000000000000</v>
      </c>
      <c r="BN360" s="181">
        <f ca="1">IF($D360&lt;&gt;"Serviço",0,IF(AND(AUTOEVENTO="Manual",$M360=1),0,IF(OFFSET(CRONOPLE!$F$14,$M360,BN$13)="",10^12,OFFSET(CRONOPLE!$F$14,$M360,BN$13))))</f>
        <v>1000000000000</v>
      </c>
      <c r="BO360" s="181">
        <f ca="1">IF($D360&lt;&gt;"Serviço",0,IF(AND(AUTOEVENTO="Manual",$M360=1),0,IF(OFFSET(CRONOPLE!$F$14,$M360,BO$13)="",10^12,OFFSET(CRONOPLE!$F$14,$M360,BO$13))))</f>
        <v>1000000000000</v>
      </c>
      <c r="BP360" s="181">
        <f ca="1">IF($D360&lt;&gt;"Serviço",0,IF(AND(AUTOEVENTO="Manual",$M360=1),0,IF(OFFSET(CRONOPLE!$F$14,$M360,BP$13)="",10^12,OFFSET(CRONOPLE!$F$14,$M360,BP$13))))</f>
        <v>1000000000000</v>
      </c>
      <c r="BQ360" s="181">
        <f ca="1">IF($D360&lt;&gt;"Serviço",0,IF(AND(AUTOEVENTO="Manual",$M360=1),0,IF(OFFSET(CRONOPLE!$F$14,$M360,BQ$13)="",10^12,OFFSET(CRONOPLE!$F$14,$M360,BQ$13))))</f>
        <v>1000000000000</v>
      </c>
      <c r="BR360" s="181">
        <f ca="1">IF($D360&lt;&gt;"Serviço",0,IF(AND(AUTOEVENTO="Manual",$M360=1),0,IF(OFFSET(CRONOPLE!$F$14,$M360,BR$13)="",10^12,OFFSET(CRONOPLE!$F$14,$M360,BR$13))))</f>
        <v>1000000000000</v>
      </c>
      <c r="BS360" s="181">
        <f ca="1">IF($D360&lt;&gt;"Serviço",0,IF(AND(AUTOEVENTO="Manual",$M360=1),0,IF(OFFSET(CRONOPLE!$F$14,$M360,BS$13)="",10^12,OFFSET(CRONOPLE!$F$14,$M360,BS$13))))</f>
        <v>1000000000000</v>
      </c>
      <c r="BT360" s="181">
        <f ca="1">IF($D360&lt;&gt;"Serviço",0,IF(AND(AUTOEVENTO="Manual",$M360=1),0,IF(OFFSET(CRONOPLE!$F$14,$M360,BT$13)="",10^12,OFFSET(CRONOPLE!$F$14,$M360,BT$13))))</f>
        <v>1000000000000</v>
      </c>
      <c r="BV360" s="182">
        <f ca="1">IF($D360&lt;&gt;"Serviço",0,IF(OR(AND(AUTOEVENTO="Manual",$M360=1),$M360&gt;(ROW(PLE.lastrow)-ROW(PLE.firstrow))),0,IF(OFFSET(PLE!$G$14,$M360,BV$13)="",10^12,OFFSET(PLE!$G$14,$M360,BV$13))))</f>
        <v>1000000000000</v>
      </c>
      <c r="BW360" s="182">
        <f ca="1">IF($D360&lt;&gt;"Serviço",0,IF(OR(AND(AUTOEVENTO="Manual",$M360=1),$M360&gt;(ROW(PLE.lastrow)-ROW(PLE.firstrow))),0,IF(OFFSET(PLE!$G$14,$M360,BW$13)="",10^12,OFFSET(PLE!$G$14,$M360,BW$13))))</f>
        <v>1000000000000</v>
      </c>
      <c r="BX360" s="182">
        <f ca="1">IF($D360&lt;&gt;"Serviço",0,IF(OR(AND(AUTOEVENTO="Manual",$M360=1),$M360&gt;(ROW(PLE.lastrow)-ROW(PLE.firstrow))),0,IF(OFFSET(PLE!$G$14,$M360,BX$13)="",10^12,OFFSET(PLE!$G$14,$M360,BX$13))))</f>
        <v>1000000000000</v>
      </c>
      <c r="BY360" s="182">
        <f ca="1">IF($D360&lt;&gt;"Serviço",0,IF(OR(AND(AUTOEVENTO="Manual",$M360=1),$M360&gt;(ROW(PLE.lastrow)-ROW(PLE.firstrow))),0,IF(OFFSET(PLE!$G$14,$M360,BY$13)="",10^12,OFFSET(PLE!$G$14,$M360,BY$13))))</f>
        <v>1000000000000</v>
      </c>
      <c r="BZ360" s="182">
        <f ca="1">IF($D360&lt;&gt;"Serviço",0,IF(OR(AND(AUTOEVENTO="Manual",$M360=1),$M360&gt;(ROW(PLE.lastrow)-ROW(PLE.firstrow))),0,IF(OFFSET(PLE!$G$14,$M360,BZ$13)="",10^12,OFFSET(PLE!$G$14,$M360,BZ$13))))</f>
        <v>1000000000000</v>
      </c>
      <c r="CA360" s="182">
        <f ca="1">IF($D360&lt;&gt;"Serviço",0,IF(OR(AND(AUTOEVENTO="Manual",$M360=1),$M360&gt;(ROW(PLE.lastrow)-ROW(PLE.firstrow))),0,IF(OFFSET(PLE!$G$14,$M360,CA$13)="",10^12,OFFSET(PLE!$G$14,$M360,CA$13))))</f>
        <v>1000000000000</v>
      </c>
      <c r="CB360" s="182">
        <f ca="1">IF($D360&lt;&gt;"Serviço",0,IF(OR(AND(AUTOEVENTO="Manual",$M360=1),$M360&gt;(ROW(PLE.lastrow)-ROW(PLE.firstrow))),0,IF(OFFSET(PLE!$G$14,$M360,CB$13)="",10^12,OFFSET(PLE!$G$14,$M360,CB$13))))</f>
        <v>1000000000000</v>
      </c>
      <c r="CC360" s="182">
        <f ca="1">IF($D360&lt;&gt;"Serviço",0,IF(OR(AND(AUTOEVENTO="Manual",$M360=1),$M360&gt;(ROW(PLE.lastrow)-ROW(PLE.firstrow))),0,IF(OFFSET(PLE!$G$14,$M360,CC$13)="",10^12,OFFSET(PLE!$G$14,$M360,CC$13))))</f>
        <v>1000000000000</v>
      </c>
      <c r="CD360" s="182">
        <f ca="1">IF($D360&lt;&gt;"Serviço",0,IF(OR(AND(AUTOEVENTO="Manual",$M360=1),$M360&gt;(ROW(PLE.lastrow)-ROW(PLE.firstrow))),0,IF(OFFSET(PLE!$G$14,$M360,CD$13)="",10^12,OFFSET(PLE!$G$14,$M360,CD$13))))</f>
        <v>1000000000000</v>
      </c>
      <c r="CE360" s="182">
        <f ca="1">IF($D360&lt;&gt;"Serviço",0,IF(OR(AND(AUTOEVENTO="Manual",$M360=1),$M360&gt;(ROW(PLE.lastrow)-ROW(PLE.firstrow))),0,IF(OFFSET(PLE!$G$14,$M360,CE$13)="",10^12,OFFSET(PLE!$G$14,$M360,CE$13))))</f>
        <v>1000000000000</v>
      </c>
      <c r="CF360" s="182">
        <f ca="1">IF($D360&lt;&gt;"Serviço",0,IF(OR(AND(AUTOEVENTO="Manual",$M360=1),$M360&gt;(ROW(PLE.lastrow)-ROW(PLE.firstrow))),0,IF(OFFSET(PLE!$G$14,$M360,CF$13)="",10^12,OFFSET(PLE!$G$14,$M360,CF$13))))</f>
        <v>1000000000000</v>
      </c>
      <c r="CG360" s="182">
        <f ca="1">IF($D360&lt;&gt;"Serviço",0,IF(OR(AND(AUTOEVENTO="Manual",$M360=1),$M360&gt;(ROW(PLE.lastrow)-ROW(PLE.firstrow))),0,IF(OFFSET(PLE!$G$14,$M360,CG$13)="",10^12,OFFSET(PLE!$G$14,$M360,CG$13))))</f>
        <v>1000000000000</v>
      </c>
      <c r="CH360" s="182">
        <f ca="1">IF($D360&lt;&gt;"Serviço",0,IF(OR(AND(AUTOEVENTO="Manual",$M360=1),$M360&gt;(ROW(PLE.lastrow)-ROW(PLE.firstrow))),0,IF(OFFSET(PLE!$G$14,$M360,CH$13)="",10^12,OFFSET(PLE!$G$14,$M360,CH$13))))</f>
        <v>1000000000000</v>
      </c>
      <c r="CI360" s="182">
        <f ca="1">IF($D360&lt;&gt;"Serviço",0,IF(OR(AND(AUTOEVENTO="Manual",$M360=1),$M360&gt;(ROW(PLE.lastrow)-ROW(PLE.firstrow))),0,IF(OFFSET(PLE!$G$14,$M360,CI$13)="",10^12,OFFSET(PLE!$G$14,$M360,CI$13))))</f>
        <v>1000000000000</v>
      </c>
      <c r="CJ360" s="182">
        <f ca="1">IF($D360&lt;&gt;"Serviço",0,IF(OR(AND(AUTOEVENTO="Manual",$M360=1),$M360&gt;(ROW(PLE.lastrow)-ROW(PLE.firstrow))),0,IF(OFFSET(PLE!$G$14,$M360,CJ$13)="",10^12,OFFSET(PLE!$G$14,$M360,CJ$13))))</f>
        <v>1000000000000</v>
      </c>
      <c r="CK360" s="182">
        <f ca="1">IF($D360&lt;&gt;"Serviço",0,IF(OR(AND(AUTOEVENTO="Manual",$M360=1),$M360&gt;(ROW(PLE.lastrow)-ROW(PLE.firstrow))),0,IF(OFFSET(PLE!$G$14,$M360,CK$13)="",10^12,OFFSET(PLE!$G$14,$M360,CK$13))))</f>
        <v>1000000000000</v>
      </c>
      <c r="CL360" s="182">
        <f ca="1">IF($D360&lt;&gt;"Serviço",0,IF(OR(AND(AUTOEVENTO="Manual",$M360=1),$M360&gt;(ROW(PLE.lastrow)-ROW(PLE.firstrow))),0,IF(OFFSET(PLE!$G$14,$M360,CL$13)="",10^12,OFFSET(PLE!$G$14,$M360,CL$13))))</f>
        <v>1000000000000</v>
      </c>
      <c r="CM360" s="182">
        <f ca="1">IF($D360&lt;&gt;"Serviço",0,IF(OR(AND(AUTOEVENTO="Manual",$M360=1),$M360&gt;(ROW(PLE.lastrow)-ROW(PLE.firstrow))),0,IF(OFFSET(PLE!$G$14,$M360,CM$13)="",10^12,OFFSET(PLE!$G$14,$M360,CM$13))))</f>
        <v>1000000000000</v>
      </c>
    </row>
    <row r="361" spans="1:91" ht="38.25" x14ac:dyDescent="0.2">
      <c r="A361" s="7" t="str">
        <f t="shared" ca="1" si="12"/>
        <v>338</v>
      </c>
      <c r="B361" s="7" t="str">
        <f ca="1">OFFSET(ORÇAMENTO!C$15,ROW(B361)-ROW(B$15),0)</f>
        <v>S</v>
      </c>
      <c r="C361" s="7" t="str">
        <f ca="1">OFFSET(ORÇAMENTO!L$15,ROW(C361)-ROW(C$15),0)</f>
        <v/>
      </c>
      <c r="D361" s="118" t="str">
        <f ca="1">OFFSET(ORÇAMENTO!N$15,ROW(D361)-ROW(D$15),0)</f>
        <v>Serviço</v>
      </c>
      <c r="E361" s="119" t="str">
        <f ca="1">OFFSET(ORÇAMENTO!O$15,ROW(E361)-ROW(E$15),0)</f>
        <v>-</v>
      </c>
      <c r="F361" s="172" t="str">
        <f ca="1">OFFSET(ORÇAMENTO!R$15,ROW(F361)-ROW(F$15),0)</f>
        <v>(abra o arquivo 'Referência 06-2024.xlsm)</v>
      </c>
      <c r="G361" s="173" t="str">
        <f ca="1">IF($D361&lt;&gt;"Serviço","",OFFSET(ORÇAMENTO!S$15,ROW(G361)-ROW(G$15),0))</f>
        <v>-</v>
      </c>
      <c r="H361" s="124">
        <f ca="1">IF($D361&lt;&gt;"Serviço",0,IF(ACOMPANHAMENTO="BM",ROUND(OFFSET(ORÇAMENTO!AJ$15,ROW(H361)-ROW(H$15),0),15-13*ORÇAMENTO!$AF$7),SUMPRODUCT(($Q$12:$AI$12&lt;&gt;"")*ROUND($Q361:$AI361,15-13*ORÇAMENTO!$AF$7))))</f>
        <v>2</v>
      </c>
      <c r="I361" s="561" t="s">
        <v>1107</v>
      </c>
      <c r="K361" s="174"/>
      <c r="L361" s="175" t="s">
        <v>255</v>
      </c>
      <c r="M361" s="176">
        <f ca="1">IF($D361&lt;&gt;"Serviço","",IF(AUTOEVENTO="manual",$A361,IF(ISERROR(MATCH($A361,$A$15:OFFSET($A361,-1,0),0)),MAX($M$15:OFFSET(M361,-1,0))+1,INDEX($M$15:OFFSET(M361,-1,0),MATCH($A361,$A$15:OFFSET($A361,-1,0),0)))))</f>
        <v>43</v>
      </c>
      <c r="N361" s="177" t="str">
        <f ca="1">IF($D361&lt;&gt;"Serviço","",IF(AUTOEVENTO="Manual",IF($A361=0,"&lt;-- defina o número do agrupador",OFFSET(EVENTOS!$D$14,$A361,0)),OFFSET($F$15,$A361,0)))</f>
        <v>INSTALAÇÃO SANITÁRIA - VENTILAÇÃO</v>
      </c>
      <c r="O361" s="178"/>
      <c r="Q361" s="178">
        <v>2</v>
      </c>
      <c r="R361" s="179"/>
      <c r="S361" s="179"/>
      <c r="T361" s="179"/>
      <c r="U361" s="179"/>
      <c r="V361" s="179"/>
      <c r="W361" s="179"/>
      <c r="X361" s="179"/>
      <c r="Y361" s="179"/>
      <c r="Z361" s="180"/>
      <c r="AA361" s="179"/>
      <c r="AB361" s="179"/>
      <c r="AC361" s="179"/>
      <c r="AD361" s="179"/>
      <c r="AE361" s="179"/>
      <c r="AF361" s="179"/>
      <c r="AG361" s="179"/>
      <c r="AH361" s="180"/>
      <c r="AJ361" s="544">
        <f ca="1">IF(AND($D361="Serviço",AJ$12&lt;&gt;0,$H361&gt;0,OR(AUTOEVENTO&lt;&gt;"manual",$M361&lt;&gt;1)),
IF(Import.TipoArredondamento&lt;&gt;"TransfereGOV",
ROUND(OFFSET($P361,0,AJ$13),15-13*ORÇAMENTO!$AF$7)/$H361*OFFSET(ORÇAMENTO!$X$15,ROW(AJ361)-ROW(AJ$15),0),
ROUND(ROUND(OFFSET($P361,0,AJ$13),15-13*ORÇAMENTO!$AF$7)*OFFSET(ORÇAMENTO!$W$15,ROW(AJ361)-ROW(AJ$15),0),15-13*ORÇAMENTO!$AF$11)),0)</f>
        <v>0</v>
      </c>
      <c r="AK361" s="545">
        <f ca="1">IF(AND($D361="Serviço",AK$12&lt;&gt;0,$H361&gt;0,OR(AUTOEVENTO&lt;&gt;"manual",$M361&lt;&gt;1)),
IF(Import.TipoArredondamento&lt;&gt;"TransfereGOV",
ROUND(OFFSET($P361,0,AK$13),15-13*ORÇAMENTO!$AF$7)/$H361*OFFSET(ORÇAMENTO!$X$15,ROW(AK361)-ROW(AK$15),0),
ROUND(ROUND(OFFSET($P361,0,AK$13),15-13*ORÇAMENTO!$AF$7)*OFFSET(ORÇAMENTO!$W$15,ROW(AK361)-ROW(AK$15),0),15-13*ORÇAMENTO!$AF$11)),0)</f>
        <v>0</v>
      </c>
      <c r="AL361" s="545">
        <f ca="1">IF(AND($D361="Serviço",AL$12&lt;&gt;0,$H361&gt;0,OR(AUTOEVENTO&lt;&gt;"manual",$M361&lt;&gt;1)),
IF(Import.TipoArredondamento&lt;&gt;"TransfereGOV",
ROUND(OFFSET($P361,0,AL$13),15-13*ORÇAMENTO!$AF$7)/$H361*OFFSET(ORÇAMENTO!$X$15,ROW(AL361)-ROW(AL$15),0),
ROUND(ROUND(OFFSET($P361,0,AL$13),15-13*ORÇAMENTO!$AF$7)*OFFSET(ORÇAMENTO!$W$15,ROW(AL361)-ROW(AL$15),0),15-13*ORÇAMENTO!$AF$11)),0)</f>
        <v>0</v>
      </c>
      <c r="AM361" s="545">
        <f ca="1">IF(AND($D361="Serviço",AM$12&lt;&gt;0,$H361&gt;0,OR(AUTOEVENTO&lt;&gt;"manual",$M361&lt;&gt;1)),
IF(Import.TipoArredondamento&lt;&gt;"TransfereGOV",
ROUND(OFFSET($P361,0,AM$13),15-13*ORÇAMENTO!$AF$7)/$H361*OFFSET(ORÇAMENTO!$X$15,ROW(AM361)-ROW(AM$15),0),
ROUND(ROUND(OFFSET($P361,0,AM$13),15-13*ORÇAMENTO!$AF$7)*OFFSET(ORÇAMENTO!$W$15,ROW(AM361)-ROW(AM$15),0),15-13*ORÇAMENTO!$AF$11)),0)</f>
        <v>0</v>
      </c>
      <c r="AN361" s="545">
        <f ca="1">IF(AND($D361="Serviço",AN$12&lt;&gt;0,$H361&gt;0,OR(AUTOEVENTO&lt;&gt;"manual",$M361&lt;&gt;1)),
IF(Import.TipoArredondamento&lt;&gt;"TransfereGOV",
ROUND(OFFSET($P361,0,AN$13),15-13*ORÇAMENTO!$AF$7)/$H361*OFFSET(ORÇAMENTO!$X$15,ROW(AN361)-ROW(AN$15),0),
ROUND(ROUND(OFFSET($P361,0,AN$13),15-13*ORÇAMENTO!$AF$7)*OFFSET(ORÇAMENTO!$W$15,ROW(AN361)-ROW(AN$15),0),15-13*ORÇAMENTO!$AF$11)),0)</f>
        <v>0</v>
      </c>
      <c r="AO361" s="545">
        <f ca="1">IF(AND($D361="Serviço",AO$12&lt;&gt;0,$H361&gt;0,OR(AUTOEVENTO&lt;&gt;"manual",$M361&lt;&gt;1)),
IF(Import.TipoArredondamento&lt;&gt;"TransfereGOV",
ROUND(OFFSET($P361,0,AO$13),15-13*ORÇAMENTO!$AF$7)/$H361*OFFSET(ORÇAMENTO!$X$15,ROW(AO361)-ROW(AO$15),0),
ROUND(ROUND(OFFSET($P361,0,AO$13),15-13*ORÇAMENTO!$AF$7)*OFFSET(ORÇAMENTO!$W$15,ROW(AO361)-ROW(AO$15),0),15-13*ORÇAMENTO!$AF$11)),0)</f>
        <v>0</v>
      </c>
      <c r="AP361" s="545">
        <f ca="1">IF(AND($D361="Serviço",AP$12&lt;&gt;0,$H361&gt;0,OR(AUTOEVENTO&lt;&gt;"manual",$M361&lt;&gt;1)),
IF(Import.TipoArredondamento&lt;&gt;"TransfereGOV",
ROUND(OFFSET($P361,0,AP$13),15-13*ORÇAMENTO!$AF$7)/$H361*OFFSET(ORÇAMENTO!$X$15,ROW(AP361)-ROW(AP$15),0),
ROUND(ROUND(OFFSET($P361,0,AP$13),15-13*ORÇAMENTO!$AF$7)*OFFSET(ORÇAMENTO!$W$15,ROW(AP361)-ROW(AP$15),0),15-13*ORÇAMENTO!$AF$11)),0)</f>
        <v>0</v>
      </c>
      <c r="AQ361" s="545">
        <f ca="1">IF(AND($D361="Serviço",AQ$12&lt;&gt;0,$H361&gt;0,OR(AUTOEVENTO&lt;&gt;"manual",$M361&lt;&gt;1)),
IF(Import.TipoArredondamento&lt;&gt;"TransfereGOV",
ROUND(OFFSET($P361,0,AQ$13),15-13*ORÇAMENTO!$AF$7)/$H361*OFFSET(ORÇAMENTO!$X$15,ROW(AQ361)-ROW(AQ$15),0),
ROUND(ROUND(OFFSET($P361,0,AQ$13),15-13*ORÇAMENTO!$AF$7)*OFFSET(ORÇAMENTO!$W$15,ROW(AQ361)-ROW(AQ$15),0),15-13*ORÇAMENTO!$AF$11)),0)</f>
        <v>0</v>
      </c>
      <c r="AR361" s="545">
        <f ca="1">IF(AND($D361="Serviço",AR$12&lt;&gt;0,$H361&gt;0,OR(AUTOEVENTO&lt;&gt;"manual",$M361&lt;&gt;1)),
IF(Import.TipoArredondamento&lt;&gt;"TransfereGOV",
ROUND(OFFSET($P361,0,AR$13),15-13*ORÇAMENTO!$AF$7)/$H361*OFFSET(ORÇAMENTO!$X$15,ROW(AR361)-ROW(AR$15),0),
ROUND(ROUND(OFFSET($P361,0,AR$13),15-13*ORÇAMENTO!$AF$7)*OFFSET(ORÇAMENTO!$W$15,ROW(AR361)-ROW(AR$15),0),15-13*ORÇAMENTO!$AF$11)),0)</f>
        <v>0</v>
      </c>
      <c r="AS361" s="546">
        <f ca="1">IF(AND($D361="Serviço",AS$12&lt;&gt;0,$H361&gt;0,OR(AUTOEVENTO&lt;&gt;"manual",$M361&lt;&gt;1)),
IF(Import.TipoArredondamento&lt;&gt;"TransfereGOV",
ROUND(OFFSET($P361,0,AS$13),15-13*ORÇAMENTO!$AF$7)/$H361*OFFSET(ORÇAMENTO!$X$15,ROW(AS361)-ROW(AS$15),0),
ROUND(ROUND(OFFSET($P361,0,AS$13),15-13*ORÇAMENTO!$AF$7)*OFFSET(ORÇAMENTO!$W$15,ROW(AS361)-ROW(AS$15),0),15-13*ORÇAMENTO!$AF$11)),0)</f>
        <v>0</v>
      </c>
      <c r="AT361" s="545">
        <f ca="1">IF(AND($D361="Serviço",AT$12&lt;&gt;0,$H361&gt;0,OR(AUTOEVENTO&lt;&gt;"manual",$M361&lt;&gt;1)),
IF(Import.TipoArredondamento&lt;&gt;"TransfereGOV",
ROUND(OFFSET($P361,0,AT$13),15-13*ORÇAMENTO!$AF$7)/$H361*OFFSET(ORÇAMENTO!$X$15,ROW(AT361)-ROW(AT$15),0),
ROUND(ROUND(OFFSET($P361,0,AT$13),15-13*ORÇAMENTO!$AF$7)*OFFSET(ORÇAMENTO!$W$15,ROW(AT361)-ROW(AT$15),0),15-13*ORÇAMENTO!$AF$11)),0)</f>
        <v>0</v>
      </c>
      <c r="AU361" s="545">
        <f ca="1">IF(AND($D361="Serviço",AU$12&lt;&gt;0,$H361&gt;0,OR(AUTOEVENTO&lt;&gt;"manual",$M361&lt;&gt;1)),
IF(Import.TipoArredondamento&lt;&gt;"TransfereGOV",
ROUND(OFFSET($P361,0,AU$13),15-13*ORÇAMENTO!$AF$7)/$H361*OFFSET(ORÇAMENTO!$X$15,ROW(AU361)-ROW(AU$15),0),
ROUND(ROUND(OFFSET($P361,0,AU$13),15-13*ORÇAMENTO!$AF$7)*OFFSET(ORÇAMENTO!$W$15,ROW(AU361)-ROW(AU$15),0),15-13*ORÇAMENTO!$AF$11)),0)</f>
        <v>0</v>
      </c>
      <c r="AV361" s="545">
        <f ca="1">IF(AND($D361="Serviço",AV$12&lt;&gt;0,$H361&gt;0,OR(AUTOEVENTO&lt;&gt;"manual",$M361&lt;&gt;1)),
IF(Import.TipoArredondamento&lt;&gt;"TransfereGOV",
ROUND(OFFSET($P361,0,AV$13),15-13*ORÇAMENTO!$AF$7)/$H361*OFFSET(ORÇAMENTO!$X$15,ROW(AV361)-ROW(AV$15),0),
ROUND(ROUND(OFFSET($P361,0,AV$13),15-13*ORÇAMENTO!$AF$7)*OFFSET(ORÇAMENTO!$W$15,ROW(AV361)-ROW(AV$15),0),15-13*ORÇAMENTO!$AF$11)),0)</f>
        <v>0</v>
      </c>
      <c r="AW361" s="545">
        <f ca="1">IF(AND($D361="Serviço",AW$12&lt;&gt;0,$H361&gt;0,OR(AUTOEVENTO&lt;&gt;"manual",$M361&lt;&gt;1)),
IF(Import.TipoArredondamento&lt;&gt;"TransfereGOV",
ROUND(OFFSET($P361,0,AW$13),15-13*ORÇAMENTO!$AF$7)/$H361*OFFSET(ORÇAMENTO!$X$15,ROW(AW361)-ROW(AW$15),0),
ROUND(ROUND(OFFSET($P361,0,AW$13),15-13*ORÇAMENTO!$AF$7)*OFFSET(ORÇAMENTO!$W$15,ROW(AW361)-ROW(AW$15),0),15-13*ORÇAMENTO!$AF$11)),0)</f>
        <v>0</v>
      </c>
      <c r="AX361" s="545">
        <f ca="1">IF(AND($D361="Serviço",AX$12&lt;&gt;0,$H361&gt;0,OR(AUTOEVENTO&lt;&gt;"manual",$M361&lt;&gt;1)),
IF(Import.TipoArredondamento&lt;&gt;"TransfereGOV",
ROUND(OFFSET($P361,0,AX$13),15-13*ORÇAMENTO!$AF$7)/$H361*OFFSET(ORÇAMENTO!$X$15,ROW(AX361)-ROW(AX$15),0),
ROUND(ROUND(OFFSET($P361,0,AX$13),15-13*ORÇAMENTO!$AF$7)*OFFSET(ORÇAMENTO!$W$15,ROW(AX361)-ROW(AX$15),0),15-13*ORÇAMENTO!$AF$11)),0)</f>
        <v>0</v>
      </c>
      <c r="AY361" s="545">
        <f ca="1">IF(AND($D361="Serviço",AY$12&lt;&gt;0,$H361&gt;0,OR(AUTOEVENTO&lt;&gt;"manual",$M361&lt;&gt;1)),
IF(Import.TipoArredondamento&lt;&gt;"TransfereGOV",
ROUND(OFFSET($P361,0,AY$13),15-13*ORÇAMENTO!$AF$7)/$H361*OFFSET(ORÇAMENTO!$X$15,ROW(AY361)-ROW(AY$15),0),
ROUND(ROUND(OFFSET($P361,0,AY$13),15-13*ORÇAMENTO!$AF$7)*OFFSET(ORÇAMENTO!$W$15,ROW(AY361)-ROW(AY$15),0),15-13*ORÇAMENTO!$AF$11)),0)</f>
        <v>0</v>
      </c>
      <c r="AZ361" s="545">
        <f ca="1">IF(AND($D361="Serviço",AZ$12&lt;&gt;0,$H361&gt;0,OR(AUTOEVENTO&lt;&gt;"manual",$M361&lt;&gt;1)),
IF(Import.TipoArredondamento&lt;&gt;"TransfereGOV",
ROUND(OFFSET($P361,0,AZ$13),15-13*ORÇAMENTO!$AF$7)/$H361*OFFSET(ORÇAMENTO!$X$15,ROW(AZ361)-ROW(AZ$15),0),
ROUND(ROUND(OFFSET($P361,0,AZ$13),15-13*ORÇAMENTO!$AF$7)*OFFSET(ORÇAMENTO!$W$15,ROW(AZ361)-ROW(AZ$15),0),15-13*ORÇAMENTO!$AF$11)),0)</f>
        <v>0</v>
      </c>
      <c r="BA361" s="546">
        <f ca="1">IF(AND($D361="Serviço",BA$12&lt;&gt;0,$H361&gt;0,OR(AUTOEVENTO&lt;&gt;"manual",$M361&lt;&gt;1)),
IF(Import.TipoArredondamento&lt;&gt;"TransfereGOV",
ROUND(OFFSET($P361,0,BA$13),15-13*ORÇAMENTO!$AF$7)/$H361*OFFSET(ORÇAMENTO!$X$15,ROW(BA361)-ROW(BA$15),0),
ROUND(ROUND(OFFSET($P361,0,BA$13),15-13*ORÇAMENTO!$AF$7)*OFFSET(ORÇAMENTO!$W$15,ROW(BA361)-ROW(BA$15),0),15-13*ORÇAMENTO!$AF$11)),0)</f>
        <v>0</v>
      </c>
      <c r="BC361" s="181">
        <f ca="1">IF($D361&lt;&gt;"Serviço",0,IF(AND(AUTOEVENTO="Manual",$M361=1),0,IF(OFFSET(CRONOPLE!$F$14,$M361,BC$13)="",10^12,OFFSET(CRONOPLE!$F$14,$M361,BC$13))))</f>
        <v>10</v>
      </c>
      <c r="BD361" s="181">
        <f ca="1">IF($D361&lt;&gt;"Serviço",0,IF(AND(AUTOEVENTO="Manual",$M361=1),0,IF(OFFSET(CRONOPLE!$F$14,$M361,BD$13)="",10^12,OFFSET(CRONOPLE!$F$14,$M361,BD$13))))</f>
        <v>1000000000000</v>
      </c>
      <c r="BE361" s="181">
        <f ca="1">IF($D361&lt;&gt;"Serviço",0,IF(AND(AUTOEVENTO="Manual",$M361=1),0,IF(OFFSET(CRONOPLE!$F$14,$M361,BE$13)="",10^12,OFFSET(CRONOPLE!$F$14,$M361,BE$13))))</f>
        <v>1000000000000</v>
      </c>
      <c r="BF361" s="181">
        <f ca="1">IF($D361&lt;&gt;"Serviço",0,IF(AND(AUTOEVENTO="Manual",$M361=1),0,IF(OFFSET(CRONOPLE!$F$14,$M361,BF$13)="",10^12,OFFSET(CRONOPLE!$F$14,$M361,BF$13))))</f>
        <v>1000000000000</v>
      </c>
      <c r="BG361" s="181">
        <f ca="1">IF($D361&lt;&gt;"Serviço",0,IF(AND(AUTOEVENTO="Manual",$M361=1),0,IF(OFFSET(CRONOPLE!$F$14,$M361,BG$13)="",10^12,OFFSET(CRONOPLE!$F$14,$M361,BG$13))))</f>
        <v>1000000000000</v>
      </c>
      <c r="BH361" s="181">
        <f ca="1">IF($D361&lt;&gt;"Serviço",0,IF(AND(AUTOEVENTO="Manual",$M361=1),0,IF(OFFSET(CRONOPLE!$F$14,$M361,BH$13)="",10^12,OFFSET(CRONOPLE!$F$14,$M361,BH$13))))</f>
        <v>1000000000000</v>
      </c>
      <c r="BI361" s="181">
        <f ca="1">IF($D361&lt;&gt;"Serviço",0,IF(AND(AUTOEVENTO="Manual",$M361=1),0,IF(OFFSET(CRONOPLE!$F$14,$M361,BI$13)="",10^12,OFFSET(CRONOPLE!$F$14,$M361,BI$13))))</f>
        <v>1000000000000</v>
      </c>
      <c r="BJ361" s="181">
        <f ca="1">IF($D361&lt;&gt;"Serviço",0,IF(AND(AUTOEVENTO="Manual",$M361=1),0,IF(OFFSET(CRONOPLE!$F$14,$M361,BJ$13)="",10^12,OFFSET(CRONOPLE!$F$14,$M361,BJ$13))))</f>
        <v>1000000000000</v>
      </c>
      <c r="BK361" s="181">
        <f ca="1">IF($D361&lt;&gt;"Serviço",0,IF(AND(AUTOEVENTO="Manual",$M361=1),0,IF(OFFSET(CRONOPLE!$F$14,$M361,BK$13)="",10^12,OFFSET(CRONOPLE!$F$14,$M361,BK$13))))</f>
        <v>1000000000000</v>
      </c>
      <c r="BL361" s="181">
        <f ca="1">IF($D361&lt;&gt;"Serviço",0,IF(AND(AUTOEVENTO="Manual",$M361=1),0,IF(OFFSET(CRONOPLE!$F$14,$M361,BL$13)="",10^12,OFFSET(CRONOPLE!$F$14,$M361,BL$13))))</f>
        <v>1000000000000</v>
      </c>
      <c r="BM361" s="181">
        <f ca="1">IF($D361&lt;&gt;"Serviço",0,IF(AND(AUTOEVENTO="Manual",$M361=1),0,IF(OFFSET(CRONOPLE!$F$14,$M361,BM$13)="",10^12,OFFSET(CRONOPLE!$F$14,$M361,BM$13))))</f>
        <v>1000000000000</v>
      </c>
      <c r="BN361" s="181">
        <f ca="1">IF($D361&lt;&gt;"Serviço",0,IF(AND(AUTOEVENTO="Manual",$M361=1),0,IF(OFFSET(CRONOPLE!$F$14,$M361,BN$13)="",10^12,OFFSET(CRONOPLE!$F$14,$M361,BN$13))))</f>
        <v>1000000000000</v>
      </c>
      <c r="BO361" s="181">
        <f ca="1">IF($D361&lt;&gt;"Serviço",0,IF(AND(AUTOEVENTO="Manual",$M361=1),0,IF(OFFSET(CRONOPLE!$F$14,$M361,BO$13)="",10^12,OFFSET(CRONOPLE!$F$14,$M361,BO$13))))</f>
        <v>1000000000000</v>
      </c>
      <c r="BP361" s="181">
        <f ca="1">IF($D361&lt;&gt;"Serviço",0,IF(AND(AUTOEVENTO="Manual",$M361=1),0,IF(OFFSET(CRONOPLE!$F$14,$M361,BP$13)="",10^12,OFFSET(CRONOPLE!$F$14,$M361,BP$13))))</f>
        <v>1000000000000</v>
      </c>
      <c r="BQ361" s="181">
        <f ca="1">IF($D361&lt;&gt;"Serviço",0,IF(AND(AUTOEVENTO="Manual",$M361=1),0,IF(OFFSET(CRONOPLE!$F$14,$M361,BQ$13)="",10^12,OFFSET(CRONOPLE!$F$14,$M361,BQ$13))))</f>
        <v>1000000000000</v>
      </c>
      <c r="BR361" s="181">
        <f ca="1">IF($D361&lt;&gt;"Serviço",0,IF(AND(AUTOEVENTO="Manual",$M361=1),0,IF(OFFSET(CRONOPLE!$F$14,$M361,BR$13)="",10^12,OFFSET(CRONOPLE!$F$14,$M361,BR$13))))</f>
        <v>1000000000000</v>
      </c>
      <c r="BS361" s="181">
        <f ca="1">IF($D361&lt;&gt;"Serviço",0,IF(AND(AUTOEVENTO="Manual",$M361=1),0,IF(OFFSET(CRONOPLE!$F$14,$M361,BS$13)="",10^12,OFFSET(CRONOPLE!$F$14,$M361,BS$13))))</f>
        <v>1000000000000</v>
      </c>
      <c r="BT361" s="181">
        <f ca="1">IF($D361&lt;&gt;"Serviço",0,IF(AND(AUTOEVENTO="Manual",$M361=1),0,IF(OFFSET(CRONOPLE!$F$14,$M361,BT$13)="",10^12,OFFSET(CRONOPLE!$F$14,$M361,BT$13))))</f>
        <v>1000000000000</v>
      </c>
      <c r="BV361" s="182">
        <f ca="1">IF($D361&lt;&gt;"Serviço",0,IF(OR(AND(AUTOEVENTO="Manual",$M361=1),$M361&gt;(ROW(PLE.lastrow)-ROW(PLE.firstrow))),0,IF(OFFSET(PLE!$G$14,$M361,BV$13)="",10^12,OFFSET(PLE!$G$14,$M361,BV$13))))</f>
        <v>1000000000000</v>
      </c>
      <c r="BW361" s="182">
        <f ca="1">IF($D361&lt;&gt;"Serviço",0,IF(OR(AND(AUTOEVENTO="Manual",$M361=1),$M361&gt;(ROW(PLE.lastrow)-ROW(PLE.firstrow))),0,IF(OFFSET(PLE!$G$14,$M361,BW$13)="",10^12,OFFSET(PLE!$G$14,$M361,BW$13))))</f>
        <v>1000000000000</v>
      </c>
      <c r="BX361" s="182">
        <f ca="1">IF($D361&lt;&gt;"Serviço",0,IF(OR(AND(AUTOEVENTO="Manual",$M361=1),$M361&gt;(ROW(PLE.lastrow)-ROW(PLE.firstrow))),0,IF(OFFSET(PLE!$G$14,$M361,BX$13)="",10^12,OFFSET(PLE!$G$14,$M361,BX$13))))</f>
        <v>1000000000000</v>
      </c>
      <c r="BY361" s="182">
        <f ca="1">IF($D361&lt;&gt;"Serviço",0,IF(OR(AND(AUTOEVENTO="Manual",$M361=1),$M361&gt;(ROW(PLE.lastrow)-ROW(PLE.firstrow))),0,IF(OFFSET(PLE!$G$14,$M361,BY$13)="",10^12,OFFSET(PLE!$G$14,$M361,BY$13))))</f>
        <v>1000000000000</v>
      </c>
      <c r="BZ361" s="182">
        <f ca="1">IF($D361&lt;&gt;"Serviço",0,IF(OR(AND(AUTOEVENTO="Manual",$M361=1),$M361&gt;(ROW(PLE.lastrow)-ROW(PLE.firstrow))),0,IF(OFFSET(PLE!$G$14,$M361,BZ$13)="",10^12,OFFSET(PLE!$G$14,$M361,BZ$13))))</f>
        <v>1000000000000</v>
      </c>
      <c r="CA361" s="182">
        <f ca="1">IF($D361&lt;&gt;"Serviço",0,IF(OR(AND(AUTOEVENTO="Manual",$M361=1),$M361&gt;(ROW(PLE.lastrow)-ROW(PLE.firstrow))),0,IF(OFFSET(PLE!$G$14,$M361,CA$13)="",10^12,OFFSET(PLE!$G$14,$M361,CA$13))))</f>
        <v>1000000000000</v>
      </c>
      <c r="CB361" s="182">
        <f ca="1">IF($D361&lt;&gt;"Serviço",0,IF(OR(AND(AUTOEVENTO="Manual",$M361=1),$M361&gt;(ROW(PLE.lastrow)-ROW(PLE.firstrow))),0,IF(OFFSET(PLE!$G$14,$M361,CB$13)="",10^12,OFFSET(PLE!$G$14,$M361,CB$13))))</f>
        <v>1000000000000</v>
      </c>
      <c r="CC361" s="182">
        <f ca="1">IF($D361&lt;&gt;"Serviço",0,IF(OR(AND(AUTOEVENTO="Manual",$M361=1),$M361&gt;(ROW(PLE.lastrow)-ROW(PLE.firstrow))),0,IF(OFFSET(PLE!$G$14,$M361,CC$13)="",10^12,OFFSET(PLE!$G$14,$M361,CC$13))))</f>
        <v>1000000000000</v>
      </c>
      <c r="CD361" s="182">
        <f ca="1">IF($D361&lt;&gt;"Serviço",0,IF(OR(AND(AUTOEVENTO="Manual",$M361=1),$M361&gt;(ROW(PLE.lastrow)-ROW(PLE.firstrow))),0,IF(OFFSET(PLE!$G$14,$M361,CD$13)="",10^12,OFFSET(PLE!$G$14,$M361,CD$13))))</f>
        <v>1000000000000</v>
      </c>
      <c r="CE361" s="182">
        <f ca="1">IF($D361&lt;&gt;"Serviço",0,IF(OR(AND(AUTOEVENTO="Manual",$M361=1),$M361&gt;(ROW(PLE.lastrow)-ROW(PLE.firstrow))),0,IF(OFFSET(PLE!$G$14,$M361,CE$13)="",10^12,OFFSET(PLE!$G$14,$M361,CE$13))))</f>
        <v>1000000000000</v>
      </c>
      <c r="CF361" s="182">
        <f ca="1">IF($D361&lt;&gt;"Serviço",0,IF(OR(AND(AUTOEVENTO="Manual",$M361=1),$M361&gt;(ROW(PLE.lastrow)-ROW(PLE.firstrow))),0,IF(OFFSET(PLE!$G$14,$M361,CF$13)="",10^12,OFFSET(PLE!$G$14,$M361,CF$13))))</f>
        <v>1000000000000</v>
      </c>
      <c r="CG361" s="182">
        <f ca="1">IF($D361&lt;&gt;"Serviço",0,IF(OR(AND(AUTOEVENTO="Manual",$M361=1),$M361&gt;(ROW(PLE.lastrow)-ROW(PLE.firstrow))),0,IF(OFFSET(PLE!$G$14,$M361,CG$13)="",10^12,OFFSET(PLE!$G$14,$M361,CG$13))))</f>
        <v>1000000000000</v>
      </c>
      <c r="CH361" s="182">
        <f ca="1">IF($D361&lt;&gt;"Serviço",0,IF(OR(AND(AUTOEVENTO="Manual",$M361=1),$M361&gt;(ROW(PLE.lastrow)-ROW(PLE.firstrow))),0,IF(OFFSET(PLE!$G$14,$M361,CH$13)="",10^12,OFFSET(PLE!$G$14,$M361,CH$13))))</f>
        <v>1000000000000</v>
      </c>
      <c r="CI361" s="182">
        <f ca="1">IF($D361&lt;&gt;"Serviço",0,IF(OR(AND(AUTOEVENTO="Manual",$M361=1),$M361&gt;(ROW(PLE.lastrow)-ROW(PLE.firstrow))),0,IF(OFFSET(PLE!$G$14,$M361,CI$13)="",10^12,OFFSET(PLE!$G$14,$M361,CI$13))))</f>
        <v>1000000000000</v>
      </c>
      <c r="CJ361" s="182">
        <f ca="1">IF($D361&lt;&gt;"Serviço",0,IF(OR(AND(AUTOEVENTO="Manual",$M361=1),$M361&gt;(ROW(PLE.lastrow)-ROW(PLE.firstrow))),0,IF(OFFSET(PLE!$G$14,$M361,CJ$13)="",10^12,OFFSET(PLE!$G$14,$M361,CJ$13))))</f>
        <v>1000000000000</v>
      </c>
      <c r="CK361" s="182">
        <f ca="1">IF($D361&lt;&gt;"Serviço",0,IF(OR(AND(AUTOEVENTO="Manual",$M361=1),$M361&gt;(ROW(PLE.lastrow)-ROW(PLE.firstrow))),0,IF(OFFSET(PLE!$G$14,$M361,CK$13)="",10^12,OFFSET(PLE!$G$14,$M361,CK$13))))</f>
        <v>1000000000000</v>
      </c>
      <c r="CL361" s="182">
        <f ca="1">IF($D361&lt;&gt;"Serviço",0,IF(OR(AND(AUTOEVENTO="Manual",$M361=1),$M361&gt;(ROW(PLE.lastrow)-ROW(PLE.firstrow))),0,IF(OFFSET(PLE!$G$14,$M361,CL$13)="",10^12,OFFSET(PLE!$G$14,$M361,CL$13))))</f>
        <v>1000000000000</v>
      </c>
      <c r="CM361" s="182">
        <f ca="1">IF($D361&lt;&gt;"Serviço",0,IF(OR(AND(AUTOEVENTO="Manual",$M361=1),$M361&gt;(ROW(PLE.lastrow)-ROW(PLE.firstrow))),0,IF(OFFSET(PLE!$G$14,$M361,CM$13)="",10^12,OFFSET(PLE!$G$14,$M361,CM$13))))</f>
        <v>1000000000000</v>
      </c>
    </row>
    <row r="362" spans="1:91" ht="38.25" x14ac:dyDescent="0.2">
      <c r="A362" s="7" t="str">
        <f t="shared" ca="1" si="12"/>
        <v>338</v>
      </c>
      <c r="B362" s="7" t="str">
        <f ca="1">OFFSET(ORÇAMENTO!C$15,ROW(B362)-ROW(B$15),0)</f>
        <v>S</v>
      </c>
      <c r="C362" s="7" t="str">
        <f ca="1">OFFSET(ORÇAMENTO!L$15,ROW(C362)-ROW(C$15),0)</f>
        <v/>
      </c>
      <c r="D362" s="118" t="str">
        <f ca="1">OFFSET(ORÇAMENTO!N$15,ROW(D362)-ROW(D$15),0)</f>
        <v>Serviço</v>
      </c>
      <c r="E362" s="119" t="str">
        <f ca="1">OFFSET(ORÇAMENTO!O$15,ROW(E362)-ROW(E$15),0)</f>
        <v>-</v>
      </c>
      <c r="F362" s="172" t="str">
        <f ca="1">OFFSET(ORÇAMENTO!R$15,ROW(F362)-ROW(F$15),0)</f>
        <v>(abra o arquivo 'Referência 06-2024.xlsm)</v>
      </c>
      <c r="G362" s="173" t="str">
        <f ca="1">IF($D362&lt;&gt;"Serviço","",OFFSET(ORÇAMENTO!S$15,ROW(G362)-ROW(G$15),0))</f>
        <v>-</v>
      </c>
      <c r="H362" s="124">
        <f ca="1">IF($D362&lt;&gt;"Serviço",0,IF(ACOMPANHAMENTO="BM",ROUND(OFFSET(ORÇAMENTO!AJ$15,ROW(H362)-ROW(H$15),0),15-13*ORÇAMENTO!$AF$7),SUMPRODUCT(($Q$12:$AI$12&lt;&gt;"")*ROUND($Q362:$AI362,15-13*ORÇAMENTO!$AF$7))))</f>
        <v>6</v>
      </c>
      <c r="I362" s="561" t="s">
        <v>1107</v>
      </c>
      <c r="K362" s="174"/>
      <c r="L362" s="175" t="s">
        <v>255</v>
      </c>
      <c r="M362" s="176">
        <f ca="1">IF($D362&lt;&gt;"Serviço","",IF(AUTOEVENTO="manual",$A362,IF(ISERROR(MATCH($A362,$A$15:OFFSET($A362,-1,0),0)),MAX($M$15:OFFSET(M362,-1,0))+1,INDEX($M$15:OFFSET(M362,-1,0),MATCH($A362,$A$15:OFFSET($A362,-1,0),0)))))</f>
        <v>43</v>
      </c>
      <c r="N362" s="177" t="str">
        <f ca="1">IF($D362&lt;&gt;"Serviço","",IF(AUTOEVENTO="Manual",IF($A362=0,"&lt;-- defina o número do agrupador",OFFSET(EVENTOS!$D$14,$A362,0)),OFFSET($F$15,$A362,0)))</f>
        <v>INSTALAÇÃO SANITÁRIA - VENTILAÇÃO</v>
      </c>
      <c r="O362" s="178"/>
      <c r="Q362" s="178">
        <v>6</v>
      </c>
      <c r="R362" s="179"/>
      <c r="S362" s="179"/>
      <c r="T362" s="179"/>
      <c r="U362" s="179"/>
      <c r="V362" s="179"/>
      <c r="W362" s="179"/>
      <c r="X362" s="179"/>
      <c r="Y362" s="179"/>
      <c r="Z362" s="180"/>
      <c r="AA362" s="179"/>
      <c r="AB362" s="179"/>
      <c r="AC362" s="179"/>
      <c r="AD362" s="179"/>
      <c r="AE362" s="179"/>
      <c r="AF362" s="179"/>
      <c r="AG362" s="179"/>
      <c r="AH362" s="180"/>
      <c r="AJ362" s="544">
        <f ca="1">IF(AND($D362="Serviço",AJ$12&lt;&gt;0,$H362&gt;0,OR(AUTOEVENTO&lt;&gt;"manual",$M362&lt;&gt;1)),
IF(Import.TipoArredondamento&lt;&gt;"TransfereGOV",
ROUND(OFFSET($P362,0,AJ$13),15-13*ORÇAMENTO!$AF$7)/$H362*OFFSET(ORÇAMENTO!$X$15,ROW(AJ362)-ROW(AJ$15),0),
ROUND(ROUND(OFFSET($P362,0,AJ$13),15-13*ORÇAMENTO!$AF$7)*OFFSET(ORÇAMENTO!$W$15,ROW(AJ362)-ROW(AJ$15),0),15-13*ORÇAMENTO!$AF$11)),0)</f>
        <v>0</v>
      </c>
      <c r="AK362" s="545">
        <f ca="1">IF(AND($D362="Serviço",AK$12&lt;&gt;0,$H362&gt;0,OR(AUTOEVENTO&lt;&gt;"manual",$M362&lt;&gt;1)),
IF(Import.TipoArredondamento&lt;&gt;"TransfereGOV",
ROUND(OFFSET($P362,0,AK$13),15-13*ORÇAMENTO!$AF$7)/$H362*OFFSET(ORÇAMENTO!$X$15,ROW(AK362)-ROW(AK$15),0),
ROUND(ROUND(OFFSET($P362,0,AK$13),15-13*ORÇAMENTO!$AF$7)*OFFSET(ORÇAMENTO!$W$15,ROW(AK362)-ROW(AK$15),0),15-13*ORÇAMENTO!$AF$11)),0)</f>
        <v>0</v>
      </c>
      <c r="AL362" s="545">
        <f ca="1">IF(AND($D362="Serviço",AL$12&lt;&gt;0,$H362&gt;0,OR(AUTOEVENTO&lt;&gt;"manual",$M362&lt;&gt;1)),
IF(Import.TipoArredondamento&lt;&gt;"TransfereGOV",
ROUND(OFFSET($P362,0,AL$13),15-13*ORÇAMENTO!$AF$7)/$H362*OFFSET(ORÇAMENTO!$X$15,ROW(AL362)-ROW(AL$15),0),
ROUND(ROUND(OFFSET($P362,0,AL$13),15-13*ORÇAMENTO!$AF$7)*OFFSET(ORÇAMENTO!$W$15,ROW(AL362)-ROW(AL$15),0),15-13*ORÇAMENTO!$AF$11)),0)</f>
        <v>0</v>
      </c>
      <c r="AM362" s="545">
        <f ca="1">IF(AND($D362="Serviço",AM$12&lt;&gt;0,$H362&gt;0,OR(AUTOEVENTO&lt;&gt;"manual",$M362&lt;&gt;1)),
IF(Import.TipoArredondamento&lt;&gt;"TransfereGOV",
ROUND(OFFSET($P362,0,AM$13),15-13*ORÇAMENTO!$AF$7)/$H362*OFFSET(ORÇAMENTO!$X$15,ROW(AM362)-ROW(AM$15),0),
ROUND(ROUND(OFFSET($P362,0,AM$13),15-13*ORÇAMENTO!$AF$7)*OFFSET(ORÇAMENTO!$W$15,ROW(AM362)-ROW(AM$15),0),15-13*ORÇAMENTO!$AF$11)),0)</f>
        <v>0</v>
      </c>
      <c r="AN362" s="545">
        <f ca="1">IF(AND($D362="Serviço",AN$12&lt;&gt;0,$H362&gt;0,OR(AUTOEVENTO&lt;&gt;"manual",$M362&lt;&gt;1)),
IF(Import.TipoArredondamento&lt;&gt;"TransfereGOV",
ROUND(OFFSET($P362,0,AN$13),15-13*ORÇAMENTO!$AF$7)/$H362*OFFSET(ORÇAMENTO!$X$15,ROW(AN362)-ROW(AN$15),0),
ROUND(ROUND(OFFSET($P362,0,AN$13),15-13*ORÇAMENTO!$AF$7)*OFFSET(ORÇAMENTO!$W$15,ROW(AN362)-ROW(AN$15),0),15-13*ORÇAMENTO!$AF$11)),0)</f>
        <v>0</v>
      </c>
      <c r="AO362" s="545">
        <f ca="1">IF(AND($D362="Serviço",AO$12&lt;&gt;0,$H362&gt;0,OR(AUTOEVENTO&lt;&gt;"manual",$M362&lt;&gt;1)),
IF(Import.TipoArredondamento&lt;&gt;"TransfereGOV",
ROUND(OFFSET($P362,0,AO$13),15-13*ORÇAMENTO!$AF$7)/$H362*OFFSET(ORÇAMENTO!$X$15,ROW(AO362)-ROW(AO$15),0),
ROUND(ROUND(OFFSET($P362,0,AO$13),15-13*ORÇAMENTO!$AF$7)*OFFSET(ORÇAMENTO!$W$15,ROW(AO362)-ROW(AO$15),0),15-13*ORÇAMENTO!$AF$11)),0)</f>
        <v>0</v>
      </c>
      <c r="AP362" s="545">
        <f ca="1">IF(AND($D362="Serviço",AP$12&lt;&gt;0,$H362&gt;0,OR(AUTOEVENTO&lt;&gt;"manual",$M362&lt;&gt;1)),
IF(Import.TipoArredondamento&lt;&gt;"TransfereGOV",
ROUND(OFFSET($P362,0,AP$13),15-13*ORÇAMENTO!$AF$7)/$H362*OFFSET(ORÇAMENTO!$X$15,ROW(AP362)-ROW(AP$15),0),
ROUND(ROUND(OFFSET($P362,0,AP$13),15-13*ORÇAMENTO!$AF$7)*OFFSET(ORÇAMENTO!$W$15,ROW(AP362)-ROW(AP$15),0),15-13*ORÇAMENTO!$AF$11)),0)</f>
        <v>0</v>
      </c>
      <c r="AQ362" s="545">
        <f ca="1">IF(AND($D362="Serviço",AQ$12&lt;&gt;0,$H362&gt;0,OR(AUTOEVENTO&lt;&gt;"manual",$M362&lt;&gt;1)),
IF(Import.TipoArredondamento&lt;&gt;"TransfereGOV",
ROUND(OFFSET($P362,0,AQ$13),15-13*ORÇAMENTO!$AF$7)/$H362*OFFSET(ORÇAMENTO!$X$15,ROW(AQ362)-ROW(AQ$15),0),
ROUND(ROUND(OFFSET($P362,0,AQ$13),15-13*ORÇAMENTO!$AF$7)*OFFSET(ORÇAMENTO!$W$15,ROW(AQ362)-ROW(AQ$15),0),15-13*ORÇAMENTO!$AF$11)),0)</f>
        <v>0</v>
      </c>
      <c r="AR362" s="545">
        <f ca="1">IF(AND($D362="Serviço",AR$12&lt;&gt;0,$H362&gt;0,OR(AUTOEVENTO&lt;&gt;"manual",$M362&lt;&gt;1)),
IF(Import.TipoArredondamento&lt;&gt;"TransfereGOV",
ROUND(OFFSET($P362,0,AR$13),15-13*ORÇAMENTO!$AF$7)/$H362*OFFSET(ORÇAMENTO!$X$15,ROW(AR362)-ROW(AR$15),0),
ROUND(ROUND(OFFSET($P362,0,AR$13),15-13*ORÇAMENTO!$AF$7)*OFFSET(ORÇAMENTO!$W$15,ROW(AR362)-ROW(AR$15),0),15-13*ORÇAMENTO!$AF$11)),0)</f>
        <v>0</v>
      </c>
      <c r="AS362" s="546">
        <f ca="1">IF(AND($D362="Serviço",AS$12&lt;&gt;0,$H362&gt;0,OR(AUTOEVENTO&lt;&gt;"manual",$M362&lt;&gt;1)),
IF(Import.TipoArredondamento&lt;&gt;"TransfereGOV",
ROUND(OFFSET($P362,0,AS$13),15-13*ORÇAMENTO!$AF$7)/$H362*OFFSET(ORÇAMENTO!$X$15,ROW(AS362)-ROW(AS$15),0),
ROUND(ROUND(OFFSET($P362,0,AS$13),15-13*ORÇAMENTO!$AF$7)*OFFSET(ORÇAMENTO!$W$15,ROW(AS362)-ROW(AS$15),0),15-13*ORÇAMENTO!$AF$11)),0)</f>
        <v>0</v>
      </c>
      <c r="AT362" s="545">
        <f ca="1">IF(AND($D362="Serviço",AT$12&lt;&gt;0,$H362&gt;0,OR(AUTOEVENTO&lt;&gt;"manual",$M362&lt;&gt;1)),
IF(Import.TipoArredondamento&lt;&gt;"TransfereGOV",
ROUND(OFFSET($P362,0,AT$13),15-13*ORÇAMENTO!$AF$7)/$H362*OFFSET(ORÇAMENTO!$X$15,ROW(AT362)-ROW(AT$15),0),
ROUND(ROUND(OFFSET($P362,0,AT$13),15-13*ORÇAMENTO!$AF$7)*OFFSET(ORÇAMENTO!$W$15,ROW(AT362)-ROW(AT$15),0),15-13*ORÇAMENTO!$AF$11)),0)</f>
        <v>0</v>
      </c>
      <c r="AU362" s="545">
        <f ca="1">IF(AND($D362="Serviço",AU$12&lt;&gt;0,$H362&gt;0,OR(AUTOEVENTO&lt;&gt;"manual",$M362&lt;&gt;1)),
IF(Import.TipoArredondamento&lt;&gt;"TransfereGOV",
ROUND(OFFSET($P362,0,AU$13),15-13*ORÇAMENTO!$AF$7)/$H362*OFFSET(ORÇAMENTO!$X$15,ROW(AU362)-ROW(AU$15),0),
ROUND(ROUND(OFFSET($P362,0,AU$13),15-13*ORÇAMENTO!$AF$7)*OFFSET(ORÇAMENTO!$W$15,ROW(AU362)-ROW(AU$15),0),15-13*ORÇAMENTO!$AF$11)),0)</f>
        <v>0</v>
      </c>
      <c r="AV362" s="545">
        <f ca="1">IF(AND($D362="Serviço",AV$12&lt;&gt;0,$H362&gt;0,OR(AUTOEVENTO&lt;&gt;"manual",$M362&lt;&gt;1)),
IF(Import.TipoArredondamento&lt;&gt;"TransfereGOV",
ROUND(OFFSET($P362,0,AV$13),15-13*ORÇAMENTO!$AF$7)/$H362*OFFSET(ORÇAMENTO!$X$15,ROW(AV362)-ROW(AV$15),0),
ROUND(ROUND(OFFSET($P362,0,AV$13),15-13*ORÇAMENTO!$AF$7)*OFFSET(ORÇAMENTO!$W$15,ROW(AV362)-ROW(AV$15),0),15-13*ORÇAMENTO!$AF$11)),0)</f>
        <v>0</v>
      </c>
      <c r="AW362" s="545">
        <f ca="1">IF(AND($D362="Serviço",AW$12&lt;&gt;0,$H362&gt;0,OR(AUTOEVENTO&lt;&gt;"manual",$M362&lt;&gt;1)),
IF(Import.TipoArredondamento&lt;&gt;"TransfereGOV",
ROUND(OFFSET($P362,0,AW$13),15-13*ORÇAMENTO!$AF$7)/$H362*OFFSET(ORÇAMENTO!$X$15,ROW(AW362)-ROW(AW$15),0),
ROUND(ROUND(OFFSET($P362,0,AW$13),15-13*ORÇAMENTO!$AF$7)*OFFSET(ORÇAMENTO!$W$15,ROW(AW362)-ROW(AW$15),0),15-13*ORÇAMENTO!$AF$11)),0)</f>
        <v>0</v>
      </c>
      <c r="AX362" s="545">
        <f ca="1">IF(AND($D362="Serviço",AX$12&lt;&gt;0,$H362&gt;0,OR(AUTOEVENTO&lt;&gt;"manual",$M362&lt;&gt;1)),
IF(Import.TipoArredondamento&lt;&gt;"TransfereGOV",
ROUND(OFFSET($P362,0,AX$13),15-13*ORÇAMENTO!$AF$7)/$H362*OFFSET(ORÇAMENTO!$X$15,ROW(AX362)-ROW(AX$15),0),
ROUND(ROUND(OFFSET($P362,0,AX$13),15-13*ORÇAMENTO!$AF$7)*OFFSET(ORÇAMENTO!$W$15,ROW(AX362)-ROW(AX$15),0),15-13*ORÇAMENTO!$AF$11)),0)</f>
        <v>0</v>
      </c>
      <c r="AY362" s="545">
        <f ca="1">IF(AND($D362="Serviço",AY$12&lt;&gt;0,$H362&gt;0,OR(AUTOEVENTO&lt;&gt;"manual",$M362&lt;&gt;1)),
IF(Import.TipoArredondamento&lt;&gt;"TransfereGOV",
ROUND(OFFSET($P362,0,AY$13),15-13*ORÇAMENTO!$AF$7)/$H362*OFFSET(ORÇAMENTO!$X$15,ROW(AY362)-ROW(AY$15),0),
ROUND(ROUND(OFFSET($P362,0,AY$13),15-13*ORÇAMENTO!$AF$7)*OFFSET(ORÇAMENTO!$W$15,ROW(AY362)-ROW(AY$15),0),15-13*ORÇAMENTO!$AF$11)),0)</f>
        <v>0</v>
      </c>
      <c r="AZ362" s="545">
        <f ca="1">IF(AND($D362="Serviço",AZ$12&lt;&gt;0,$H362&gt;0,OR(AUTOEVENTO&lt;&gt;"manual",$M362&lt;&gt;1)),
IF(Import.TipoArredondamento&lt;&gt;"TransfereGOV",
ROUND(OFFSET($P362,0,AZ$13),15-13*ORÇAMENTO!$AF$7)/$H362*OFFSET(ORÇAMENTO!$X$15,ROW(AZ362)-ROW(AZ$15),0),
ROUND(ROUND(OFFSET($P362,0,AZ$13),15-13*ORÇAMENTO!$AF$7)*OFFSET(ORÇAMENTO!$W$15,ROW(AZ362)-ROW(AZ$15),0),15-13*ORÇAMENTO!$AF$11)),0)</f>
        <v>0</v>
      </c>
      <c r="BA362" s="546">
        <f ca="1">IF(AND($D362="Serviço",BA$12&lt;&gt;0,$H362&gt;0,OR(AUTOEVENTO&lt;&gt;"manual",$M362&lt;&gt;1)),
IF(Import.TipoArredondamento&lt;&gt;"TransfereGOV",
ROUND(OFFSET($P362,0,BA$13),15-13*ORÇAMENTO!$AF$7)/$H362*OFFSET(ORÇAMENTO!$X$15,ROW(BA362)-ROW(BA$15),0),
ROUND(ROUND(OFFSET($P362,0,BA$13),15-13*ORÇAMENTO!$AF$7)*OFFSET(ORÇAMENTO!$W$15,ROW(BA362)-ROW(BA$15),0),15-13*ORÇAMENTO!$AF$11)),0)</f>
        <v>0</v>
      </c>
      <c r="BC362" s="181">
        <f ca="1">IF($D362&lt;&gt;"Serviço",0,IF(AND(AUTOEVENTO="Manual",$M362=1),0,IF(OFFSET(CRONOPLE!$F$14,$M362,BC$13)="",10^12,OFFSET(CRONOPLE!$F$14,$M362,BC$13))))</f>
        <v>10</v>
      </c>
      <c r="BD362" s="181">
        <f ca="1">IF($D362&lt;&gt;"Serviço",0,IF(AND(AUTOEVENTO="Manual",$M362=1),0,IF(OFFSET(CRONOPLE!$F$14,$M362,BD$13)="",10^12,OFFSET(CRONOPLE!$F$14,$M362,BD$13))))</f>
        <v>1000000000000</v>
      </c>
      <c r="BE362" s="181">
        <f ca="1">IF($D362&lt;&gt;"Serviço",0,IF(AND(AUTOEVENTO="Manual",$M362=1),0,IF(OFFSET(CRONOPLE!$F$14,$M362,BE$13)="",10^12,OFFSET(CRONOPLE!$F$14,$M362,BE$13))))</f>
        <v>1000000000000</v>
      </c>
      <c r="BF362" s="181">
        <f ca="1">IF($D362&lt;&gt;"Serviço",0,IF(AND(AUTOEVENTO="Manual",$M362=1),0,IF(OFFSET(CRONOPLE!$F$14,$M362,BF$13)="",10^12,OFFSET(CRONOPLE!$F$14,$M362,BF$13))))</f>
        <v>1000000000000</v>
      </c>
      <c r="BG362" s="181">
        <f ca="1">IF($D362&lt;&gt;"Serviço",0,IF(AND(AUTOEVENTO="Manual",$M362=1),0,IF(OFFSET(CRONOPLE!$F$14,$M362,BG$13)="",10^12,OFFSET(CRONOPLE!$F$14,$M362,BG$13))))</f>
        <v>1000000000000</v>
      </c>
      <c r="BH362" s="181">
        <f ca="1">IF($D362&lt;&gt;"Serviço",0,IF(AND(AUTOEVENTO="Manual",$M362=1),0,IF(OFFSET(CRONOPLE!$F$14,$M362,BH$13)="",10^12,OFFSET(CRONOPLE!$F$14,$M362,BH$13))))</f>
        <v>1000000000000</v>
      </c>
      <c r="BI362" s="181">
        <f ca="1">IF($D362&lt;&gt;"Serviço",0,IF(AND(AUTOEVENTO="Manual",$M362=1),0,IF(OFFSET(CRONOPLE!$F$14,$M362,BI$13)="",10^12,OFFSET(CRONOPLE!$F$14,$M362,BI$13))))</f>
        <v>1000000000000</v>
      </c>
      <c r="BJ362" s="181">
        <f ca="1">IF($D362&lt;&gt;"Serviço",0,IF(AND(AUTOEVENTO="Manual",$M362=1),0,IF(OFFSET(CRONOPLE!$F$14,$M362,BJ$13)="",10^12,OFFSET(CRONOPLE!$F$14,$M362,BJ$13))))</f>
        <v>1000000000000</v>
      </c>
      <c r="BK362" s="181">
        <f ca="1">IF($D362&lt;&gt;"Serviço",0,IF(AND(AUTOEVENTO="Manual",$M362=1),0,IF(OFFSET(CRONOPLE!$F$14,$M362,BK$13)="",10^12,OFFSET(CRONOPLE!$F$14,$M362,BK$13))))</f>
        <v>1000000000000</v>
      </c>
      <c r="BL362" s="181">
        <f ca="1">IF($D362&lt;&gt;"Serviço",0,IF(AND(AUTOEVENTO="Manual",$M362=1),0,IF(OFFSET(CRONOPLE!$F$14,$M362,BL$13)="",10^12,OFFSET(CRONOPLE!$F$14,$M362,BL$13))))</f>
        <v>1000000000000</v>
      </c>
      <c r="BM362" s="181">
        <f ca="1">IF($D362&lt;&gt;"Serviço",0,IF(AND(AUTOEVENTO="Manual",$M362=1),0,IF(OFFSET(CRONOPLE!$F$14,$M362,BM$13)="",10^12,OFFSET(CRONOPLE!$F$14,$M362,BM$13))))</f>
        <v>1000000000000</v>
      </c>
      <c r="BN362" s="181">
        <f ca="1">IF($D362&lt;&gt;"Serviço",0,IF(AND(AUTOEVENTO="Manual",$M362=1),0,IF(OFFSET(CRONOPLE!$F$14,$M362,BN$13)="",10^12,OFFSET(CRONOPLE!$F$14,$M362,BN$13))))</f>
        <v>1000000000000</v>
      </c>
      <c r="BO362" s="181">
        <f ca="1">IF($D362&lt;&gt;"Serviço",0,IF(AND(AUTOEVENTO="Manual",$M362=1),0,IF(OFFSET(CRONOPLE!$F$14,$M362,BO$13)="",10^12,OFFSET(CRONOPLE!$F$14,$M362,BO$13))))</f>
        <v>1000000000000</v>
      </c>
      <c r="BP362" s="181">
        <f ca="1">IF($D362&lt;&gt;"Serviço",0,IF(AND(AUTOEVENTO="Manual",$M362=1),0,IF(OFFSET(CRONOPLE!$F$14,$M362,BP$13)="",10^12,OFFSET(CRONOPLE!$F$14,$M362,BP$13))))</f>
        <v>1000000000000</v>
      </c>
      <c r="BQ362" s="181">
        <f ca="1">IF($D362&lt;&gt;"Serviço",0,IF(AND(AUTOEVENTO="Manual",$M362=1),0,IF(OFFSET(CRONOPLE!$F$14,$M362,BQ$13)="",10^12,OFFSET(CRONOPLE!$F$14,$M362,BQ$13))))</f>
        <v>1000000000000</v>
      </c>
      <c r="BR362" s="181">
        <f ca="1">IF($D362&lt;&gt;"Serviço",0,IF(AND(AUTOEVENTO="Manual",$M362=1),0,IF(OFFSET(CRONOPLE!$F$14,$M362,BR$13)="",10^12,OFFSET(CRONOPLE!$F$14,$M362,BR$13))))</f>
        <v>1000000000000</v>
      </c>
      <c r="BS362" s="181">
        <f ca="1">IF($D362&lt;&gt;"Serviço",0,IF(AND(AUTOEVENTO="Manual",$M362=1),0,IF(OFFSET(CRONOPLE!$F$14,$M362,BS$13)="",10^12,OFFSET(CRONOPLE!$F$14,$M362,BS$13))))</f>
        <v>1000000000000</v>
      </c>
      <c r="BT362" s="181">
        <f ca="1">IF($D362&lt;&gt;"Serviço",0,IF(AND(AUTOEVENTO="Manual",$M362=1),0,IF(OFFSET(CRONOPLE!$F$14,$M362,BT$13)="",10^12,OFFSET(CRONOPLE!$F$14,$M362,BT$13))))</f>
        <v>1000000000000</v>
      </c>
      <c r="BV362" s="182">
        <f ca="1">IF($D362&lt;&gt;"Serviço",0,IF(OR(AND(AUTOEVENTO="Manual",$M362=1),$M362&gt;(ROW(PLE.lastrow)-ROW(PLE.firstrow))),0,IF(OFFSET(PLE!$G$14,$M362,BV$13)="",10^12,OFFSET(PLE!$G$14,$M362,BV$13))))</f>
        <v>1000000000000</v>
      </c>
      <c r="BW362" s="182">
        <f ca="1">IF($D362&lt;&gt;"Serviço",0,IF(OR(AND(AUTOEVENTO="Manual",$M362=1),$M362&gt;(ROW(PLE.lastrow)-ROW(PLE.firstrow))),0,IF(OFFSET(PLE!$G$14,$M362,BW$13)="",10^12,OFFSET(PLE!$G$14,$M362,BW$13))))</f>
        <v>1000000000000</v>
      </c>
      <c r="BX362" s="182">
        <f ca="1">IF($D362&lt;&gt;"Serviço",0,IF(OR(AND(AUTOEVENTO="Manual",$M362=1),$M362&gt;(ROW(PLE.lastrow)-ROW(PLE.firstrow))),0,IF(OFFSET(PLE!$G$14,$M362,BX$13)="",10^12,OFFSET(PLE!$G$14,$M362,BX$13))))</f>
        <v>1000000000000</v>
      </c>
      <c r="BY362" s="182">
        <f ca="1">IF($D362&lt;&gt;"Serviço",0,IF(OR(AND(AUTOEVENTO="Manual",$M362=1),$M362&gt;(ROW(PLE.lastrow)-ROW(PLE.firstrow))),0,IF(OFFSET(PLE!$G$14,$M362,BY$13)="",10^12,OFFSET(PLE!$G$14,$M362,BY$13))))</f>
        <v>1000000000000</v>
      </c>
      <c r="BZ362" s="182">
        <f ca="1">IF($D362&lt;&gt;"Serviço",0,IF(OR(AND(AUTOEVENTO="Manual",$M362=1),$M362&gt;(ROW(PLE.lastrow)-ROW(PLE.firstrow))),0,IF(OFFSET(PLE!$G$14,$M362,BZ$13)="",10^12,OFFSET(PLE!$G$14,$M362,BZ$13))))</f>
        <v>1000000000000</v>
      </c>
      <c r="CA362" s="182">
        <f ca="1">IF($D362&lt;&gt;"Serviço",0,IF(OR(AND(AUTOEVENTO="Manual",$M362=1),$M362&gt;(ROW(PLE.lastrow)-ROW(PLE.firstrow))),0,IF(OFFSET(PLE!$G$14,$M362,CA$13)="",10^12,OFFSET(PLE!$G$14,$M362,CA$13))))</f>
        <v>1000000000000</v>
      </c>
      <c r="CB362" s="182">
        <f ca="1">IF($D362&lt;&gt;"Serviço",0,IF(OR(AND(AUTOEVENTO="Manual",$M362=1),$M362&gt;(ROW(PLE.lastrow)-ROW(PLE.firstrow))),0,IF(OFFSET(PLE!$G$14,$M362,CB$13)="",10^12,OFFSET(PLE!$G$14,$M362,CB$13))))</f>
        <v>1000000000000</v>
      </c>
      <c r="CC362" s="182">
        <f ca="1">IF($D362&lt;&gt;"Serviço",0,IF(OR(AND(AUTOEVENTO="Manual",$M362=1),$M362&gt;(ROW(PLE.lastrow)-ROW(PLE.firstrow))),0,IF(OFFSET(PLE!$G$14,$M362,CC$13)="",10^12,OFFSET(PLE!$G$14,$M362,CC$13))))</f>
        <v>1000000000000</v>
      </c>
      <c r="CD362" s="182">
        <f ca="1">IF($D362&lt;&gt;"Serviço",0,IF(OR(AND(AUTOEVENTO="Manual",$M362=1),$M362&gt;(ROW(PLE.lastrow)-ROW(PLE.firstrow))),0,IF(OFFSET(PLE!$G$14,$M362,CD$13)="",10^12,OFFSET(PLE!$G$14,$M362,CD$13))))</f>
        <v>1000000000000</v>
      </c>
      <c r="CE362" s="182">
        <f ca="1">IF($D362&lt;&gt;"Serviço",0,IF(OR(AND(AUTOEVENTO="Manual",$M362=1),$M362&gt;(ROW(PLE.lastrow)-ROW(PLE.firstrow))),0,IF(OFFSET(PLE!$G$14,$M362,CE$13)="",10^12,OFFSET(PLE!$G$14,$M362,CE$13))))</f>
        <v>1000000000000</v>
      </c>
      <c r="CF362" s="182">
        <f ca="1">IF($D362&lt;&gt;"Serviço",0,IF(OR(AND(AUTOEVENTO="Manual",$M362=1),$M362&gt;(ROW(PLE.lastrow)-ROW(PLE.firstrow))),0,IF(OFFSET(PLE!$G$14,$M362,CF$13)="",10^12,OFFSET(PLE!$G$14,$M362,CF$13))))</f>
        <v>1000000000000</v>
      </c>
      <c r="CG362" s="182">
        <f ca="1">IF($D362&lt;&gt;"Serviço",0,IF(OR(AND(AUTOEVENTO="Manual",$M362=1),$M362&gt;(ROW(PLE.lastrow)-ROW(PLE.firstrow))),0,IF(OFFSET(PLE!$G$14,$M362,CG$13)="",10^12,OFFSET(PLE!$G$14,$M362,CG$13))))</f>
        <v>1000000000000</v>
      </c>
      <c r="CH362" s="182">
        <f ca="1">IF($D362&lt;&gt;"Serviço",0,IF(OR(AND(AUTOEVENTO="Manual",$M362=1),$M362&gt;(ROW(PLE.lastrow)-ROW(PLE.firstrow))),0,IF(OFFSET(PLE!$G$14,$M362,CH$13)="",10^12,OFFSET(PLE!$G$14,$M362,CH$13))))</f>
        <v>1000000000000</v>
      </c>
      <c r="CI362" s="182">
        <f ca="1">IF($D362&lt;&gt;"Serviço",0,IF(OR(AND(AUTOEVENTO="Manual",$M362=1),$M362&gt;(ROW(PLE.lastrow)-ROW(PLE.firstrow))),0,IF(OFFSET(PLE!$G$14,$M362,CI$13)="",10^12,OFFSET(PLE!$G$14,$M362,CI$13))))</f>
        <v>1000000000000</v>
      </c>
      <c r="CJ362" s="182">
        <f ca="1">IF($D362&lt;&gt;"Serviço",0,IF(OR(AND(AUTOEVENTO="Manual",$M362=1),$M362&gt;(ROW(PLE.lastrow)-ROW(PLE.firstrow))),0,IF(OFFSET(PLE!$G$14,$M362,CJ$13)="",10^12,OFFSET(PLE!$G$14,$M362,CJ$13))))</f>
        <v>1000000000000</v>
      </c>
      <c r="CK362" s="182">
        <f ca="1">IF($D362&lt;&gt;"Serviço",0,IF(OR(AND(AUTOEVENTO="Manual",$M362=1),$M362&gt;(ROW(PLE.lastrow)-ROW(PLE.firstrow))),0,IF(OFFSET(PLE!$G$14,$M362,CK$13)="",10^12,OFFSET(PLE!$G$14,$M362,CK$13))))</f>
        <v>1000000000000</v>
      </c>
      <c r="CL362" s="182">
        <f ca="1">IF($D362&lt;&gt;"Serviço",0,IF(OR(AND(AUTOEVENTO="Manual",$M362=1),$M362&gt;(ROW(PLE.lastrow)-ROW(PLE.firstrow))),0,IF(OFFSET(PLE!$G$14,$M362,CL$13)="",10^12,OFFSET(PLE!$G$14,$M362,CL$13))))</f>
        <v>1000000000000</v>
      </c>
      <c r="CM362" s="182">
        <f ca="1">IF($D362&lt;&gt;"Serviço",0,IF(OR(AND(AUTOEVENTO="Manual",$M362=1),$M362&gt;(ROW(PLE.lastrow)-ROW(PLE.firstrow))),0,IF(OFFSET(PLE!$G$14,$M362,CM$13)="",10^12,OFFSET(PLE!$G$14,$M362,CM$13))))</f>
        <v>1000000000000</v>
      </c>
    </row>
    <row r="363" spans="1:91" ht="38.25" x14ac:dyDescent="0.2">
      <c r="A363" s="7" t="str">
        <f t="shared" ca="1" si="12"/>
        <v>338</v>
      </c>
      <c r="B363" s="7" t="str">
        <f ca="1">OFFSET(ORÇAMENTO!C$15,ROW(B363)-ROW(B$15),0)</f>
        <v>S</v>
      </c>
      <c r="C363" s="7" t="str">
        <f ca="1">OFFSET(ORÇAMENTO!L$15,ROW(C363)-ROW(C$15),0)</f>
        <v/>
      </c>
      <c r="D363" s="118" t="str">
        <f ca="1">OFFSET(ORÇAMENTO!N$15,ROW(D363)-ROW(D$15),0)</f>
        <v>Serviço</v>
      </c>
      <c r="E363" s="119" t="str">
        <f ca="1">OFFSET(ORÇAMENTO!O$15,ROW(E363)-ROW(E$15),0)</f>
        <v>-</v>
      </c>
      <c r="F363" s="172" t="str">
        <f ca="1">OFFSET(ORÇAMENTO!R$15,ROW(F363)-ROW(F$15),0)</f>
        <v>(abra o arquivo 'Referência 06-2024.xlsm)</v>
      </c>
      <c r="G363" s="173" t="str">
        <f ca="1">IF($D363&lt;&gt;"Serviço","",OFFSET(ORÇAMENTO!S$15,ROW(G363)-ROW(G$15),0))</f>
        <v>-</v>
      </c>
      <c r="H363" s="124">
        <f ca="1">IF($D363&lt;&gt;"Serviço",0,IF(ACOMPANHAMENTO="BM",ROUND(OFFSET(ORÇAMENTO!AJ$15,ROW(H363)-ROW(H$15),0),15-13*ORÇAMENTO!$AF$7),SUMPRODUCT(($Q$12:$AI$12&lt;&gt;"")*ROUND($Q363:$AI363,15-13*ORÇAMENTO!$AF$7))))</f>
        <v>56</v>
      </c>
      <c r="I363" s="561" t="s">
        <v>1107</v>
      </c>
      <c r="K363" s="174"/>
      <c r="L363" s="175" t="s">
        <v>255</v>
      </c>
      <c r="M363" s="176">
        <f ca="1">IF($D363&lt;&gt;"Serviço","",IF(AUTOEVENTO="manual",$A363,IF(ISERROR(MATCH($A363,$A$15:OFFSET($A363,-1,0),0)),MAX($M$15:OFFSET(M363,-1,0))+1,INDEX($M$15:OFFSET(M363,-1,0),MATCH($A363,$A$15:OFFSET($A363,-1,0),0)))))</f>
        <v>43</v>
      </c>
      <c r="N363" s="177" t="str">
        <f ca="1">IF($D363&lt;&gt;"Serviço","",IF(AUTOEVENTO="Manual",IF($A363=0,"&lt;-- defina o número do agrupador",OFFSET(EVENTOS!$D$14,$A363,0)),OFFSET($F$15,$A363,0)))</f>
        <v>INSTALAÇÃO SANITÁRIA - VENTILAÇÃO</v>
      </c>
      <c r="O363" s="178"/>
      <c r="Q363" s="178">
        <v>56</v>
      </c>
      <c r="R363" s="179"/>
      <c r="S363" s="179"/>
      <c r="T363" s="179"/>
      <c r="U363" s="179"/>
      <c r="V363" s="179"/>
      <c r="W363" s="179"/>
      <c r="X363" s="179"/>
      <c r="Y363" s="179"/>
      <c r="Z363" s="180"/>
      <c r="AA363" s="179"/>
      <c r="AB363" s="179"/>
      <c r="AC363" s="179"/>
      <c r="AD363" s="179"/>
      <c r="AE363" s="179"/>
      <c r="AF363" s="179"/>
      <c r="AG363" s="179"/>
      <c r="AH363" s="180"/>
      <c r="AJ363" s="544">
        <f ca="1">IF(AND($D363="Serviço",AJ$12&lt;&gt;0,$H363&gt;0,OR(AUTOEVENTO&lt;&gt;"manual",$M363&lt;&gt;1)),
IF(Import.TipoArredondamento&lt;&gt;"TransfereGOV",
ROUND(OFFSET($P363,0,AJ$13),15-13*ORÇAMENTO!$AF$7)/$H363*OFFSET(ORÇAMENTO!$X$15,ROW(AJ363)-ROW(AJ$15),0),
ROUND(ROUND(OFFSET($P363,0,AJ$13),15-13*ORÇAMENTO!$AF$7)*OFFSET(ORÇAMENTO!$W$15,ROW(AJ363)-ROW(AJ$15),0),15-13*ORÇAMENTO!$AF$11)),0)</f>
        <v>0</v>
      </c>
      <c r="AK363" s="545">
        <f ca="1">IF(AND($D363="Serviço",AK$12&lt;&gt;0,$H363&gt;0,OR(AUTOEVENTO&lt;&gt;"manual",$M363&lt;&gt;1)),
IF(Import.TipoArredondamento&lt;&gt;"TransfereGOV",
ROUND(OFFSET($P363,0,AK$13),15-13*ORÇAMENTO!$AF$7)/$H363*OFFSET(ORÇAMENTO!$X$15,ROW(AK363)-ROW(AK$15),0),
ROUND(ROUND(OFFSET($P363,0,AK$13),15-13*ORÇAMENTO!$AF$7)*OFFSET(ORÇAMENTO!$W$15,ROW(AK363)-ROW(AK$15),0),15-13*ORÇAMENTO!$AF$11)),0)</f>
        <v>0</v>
      </c>
      <c r="AL363" s="545">
        <f ca="1">IF(AND($D363="Serviço",AL$12&lt;&gt;0,$H363&gt;0,OR(AUTOEVENTO&lt;&gt;"manual",$M363&lt;&gt;1)),
IF(Import.TipoArredondamento&lt;&gt;"TransfereGOV",
ROUND(OFFSET($P363,0,AL$13),15-13*ORÇAMENTO!$AF$7)/$H363*OFFSET(ORÇAMENTO!$X$15,ROW(AL363)-ROW(AL$15),0),
ROUND(ROUND(OFFSET($P363,0,AL$13),15-13*ORÇAMENTO!$AF$7)*OFFSET(ORÇAMENTO!$W$15,ROW(AL363)-ROW(AL$15),0),15-13*ORÇAMENTO!$AF$11)),0)</f>
        <v>0</v>
      </c>
      <c r="AM363" s="545">
        <f ca="1">IF(AND($D363="Serviço",AM$12&lt;&gt;0,$H363&gt;0,OR(AUTOEVENTO&lt;&gt;"manual",$M363&lt;&gt;1)),
IF(Import.TipoArredondamento&lt;&gt;"TransfereGOV",
ROUND(OFFSET($P363,0,AM$13),15-13*ORÇAMENTO!$AF$7)/$H363*OFFSET(ORÇAMENTO!$X$15,ROW(AM363)-ROW(AM$15),0),
ROUND(ROUND(OFFSET($P363,0,AM$13),15-13*ORÇAMENTO!$AF$7)*OFFSET(ORÇAMENTO!$W$15,ROW(AM363)-ROW(AM$15),0),15-13*ORÇAMENTO!$AF$11)),0)</f>
        <v>0</v>
      </c>
      <c r="AN363" s="545">
        <f ca="1">IF(AND($D363="Serviço",AN$12&lt;&gt;0,$H363&gt;0,OR(AUTOEVENTO&lt;&gt;"manual",$M363&lt;&gt;1)),
IF(Import.TipoArredondamento&lt;&gt;"TransfereGOV",
ROUND(OFFSET($P363,0,AN$13),15-13*ORÇAMENTO!$AF$7)/$H363*OFFSET(ORÇAMENTO!$X$15,ROW(AN363)-ROW(AN$15),0),
ROUND(ROUND(OFFSET($P363,0,AN$13),15-13*ORÇAMENTO!$AF$7)*OFFSET(ORÇAMENTO!$W$15,ROW(AN363)-ROW(AN$15),0),15-13*ORÇAMENTO!$AF$11)),0)</f>
        <v>0</v>
      </c>
      <c r="AO363" s="545">
        <f ca="1">IF(AND($D363="Serviço",AO$12&lt;&gt;0,$H363&gt;0,OR(AUTOEVENTO&lt;&gt;"manual",$M363&lt;&gt;1)),
IF(Import.TipoArredondamento&lt;&gt;"TransfereGOV",
ROUND(OFFSET($P363,0,AO$13),15-13*ORÇAMENTO!$AF$7)/$H363*OFFSET(ORÇAMENTO!$X$15,ROW(AO363)-ROW(AO$15),0),
ROUND(ROUND(OFFSET($P363,0,AO$13),15-13*ORÇAMENTO!$AF$7)*OFFSET(ORÇAMENTO!$W$15,ROW(AO363)-ROW(AO$15),0),15-13*ORÇAMENTO!$AF$11)),0)</f>
        <v>0</v>
      </c>
      <c r="AP363" s="545">
        <f ca="1">IF(AND($D363="Serviço",AP$12&lt;&gt;0,$H363&gt;0,OR(AUTOEVENTO&lt;&gt;"manual",$M363&lt;&gt;1)),
IF(Import.TipoArredondamento&lt;&gt;"TransfereGOV",
ROUND(OFFSET($P363,0,AP$13),15-13*ORÇAMENTO!$AF$7)/$H363*OFFSET(ORÇAMENTO!$X$15,ROW(AP363)-ROW(AP$15),0),
ROUND(ROUND(OFFSET($P363,0,AP$13),15-13*ORÇAMENTO!$AF$7)*OFFSET(ORÇAMENTO!$W$15,ROW(AP363)-ROW(AP$15),0),15-13*ORÇAMENTO!$AF$11)),0)</f>
        <v>0</v>
      </c>
      <c r="AQ363" s="545">
        <f ca="1">IF(AND($D363="Serviço",AQ$12&lt;&gt;0,$H363&gt;0,OR(AUTOEVENTO&lt;&gt;"manual",$M363&lt;&gt;1)),
IF(Import.TipoArredondamento&lt;&gt;"TransfereGOV",
ROUND(OFFSET($P363,0,AQ$13),15-13*ORÇAMENTO!$AF$7)/$H363*OFFSET(ORÇAMENTO!$X$15,ROW(AQ363)-ROW(AQ$15),0),
ROUND(ROUND(OFFSET($P363,0,AQ$13),15-13*ORÇAMENTO!$AF$7)*OFFSET(ORÇAMENTO!$W$15,ROW(AQ363)-ROW(AQ$15),0),15-13*ORÇAMENTO!$AF$11)),0)</f>
        <v>0</v>
      </c>
      <c r="AR363" s="545">
        <f ca="1">IF(AND($D363="Serviço",AR$12&lt;&gt;0,$H363&gt;0,OR(AUTOEVENTO&lt;&gt;"manual",$M363&lt;&gt;1)),
IF(Import.TipoArredondamento&lt;&gt;"TransfereGOV",
ROUND(OFFSET($P363,0,AR$13),15-13*ORÇAMENTO!$AF$7)/$H363*OFFSET(ORÇAMENTO!$X$15,ROW(AR363)-ROW(AR$15),0),
ROUND(ROUND(OFFSET($P363,0,AR$13),15-13*ORÇAMENTO!$AF$7)*OFFSET(ORÇAMENTO!$W$15,ROW(AR363)-ROW(AR$15),0),15-13*ORÇAMENTO!$AF$11)),0)</f>
        <v>0</v>
      </c>
      <c r="AS363" s="546">
        <f ca="1">IF(AND($D363="Serviço",AS$12&lt;&gt;0,$H363&gt;0,OR(AUTOEVENTO&lt;&gt;"manual",$M363&lt;&gt;1)),
IF(Import.TipoArredondamento&lt;&gt;"TransfereGOV",
ROUND(OFFSET($P363,0,AS$13),15-13*ORÇAMENTO!$AF$7)/$H363*OFFSET(ORÇAMENTO!$X$15,ROW(AS363)-ROW(AS$15),0),
ROUND(ROUND(OFFSET($P363,0,AS$13),15-13*ORÇAMENTO!$AF$7)*OFFSET(ORÇAMENTO!$W$15,ROW(AS363)-ROW(AS$15),0),15-13*ORÇAMENTO!$AF$11)),0)</f>
        <v>0</v>
      </c>
      <c r="AT363" s="545">
        <f ca="1">IF(AND($D363="Serviço",AT$12&lt;&gt;0,$H363&gt;0,OR(AUTOEVENTO&lt;&gt;"manual",$M363&lt;&gt;1)),
IF(Import.TipoArredondamento&lt;&gt;"TransfereGOV",
ROUND(OFFSET($P363,0,AT$13),15-13*ORÇAMENTO!$AF$7)/$H363*OFFSET(ORÇAMENTO!$X$15,ROW(AT363)-ROW(AT$15),0),
ROUND(ROUND(OFFSET($P363,0,AT$13),15-13*ORÇAMENTO!$AF$7)*OFFSET(ORÇAMENTO!$W$15,ROW(AT363)-ROW(AT$15),0),15-13*ORÇAMENTO!$AF$11)),0)</f>
        <v>0</v>
      </c>
      <c r="AU363" s="545">
        <f ca="1">IF(AND($D363="Serviço",AU$12&lt;&gt;0,$H363&gt;0,OR(AUTOEVENTO&lt;&gt;"manual",$M363&lt;&gt;1)),
IF(Import.TipoArredondamento&lt;&gt;"TransfereGOV",
ROUND(OFFSET($P363,0,AU$13),15-13*ORÇAMENTO!$AF$7)/$H363*OFFSET(ORÇAMENTO!$X$15,ROW(AU363)-ROW(AU$15),0),
ROUND(ROUND(OFFSET($P363,0,AU$13),15-13*ORÇAMENTO!$AF$7)*OFFSET(ORÇAMENTO!$W$15,ROW(AU363)-ROW(AU$15),0),15-13*ORÇAMENTO!$AF$11)),0)</f>
        <v>0</v>
      </c>
      <c r="AV363" s="545">
        <f ca="1">IF(AND($D363="Serviço",AV$12&lt;&gt;0,$H363&gt;0,OR(AUTOEVENTO&lt;&gt;"manual",$M363&lt;&gt;1)),
IF(Import.TipoArredondamento&lt;&gt;"TransfereGOV",
ROUND(OFFSET($P363,0,AV$13),15-13*ORÇAMENTO!$AF$7)/$H363*OFFSET(ORÇAMENTO!$X$15,ROW(AV363)-ROW(AV$15),0),
ROUND(ROUND(OFFSET($P363,0,AV$13),15-13*ORÇAMENTO!$AF$7)*OFFSET(ORÇAMENTO!$W$15,ROW(AV363)-ROW(AV$15),0),15-13*ORÇAMENTO!$AF$11)),0)</f>
        <v>0</v>
      </c>
      <c r="AW363" s="545">
        <f ca="1">IF(AND($D363="Serviço",AW$12&lt;&gt;0,$H363&gt;0,OR(AUTOEVENTO&lt;&gt;"manual",$M363&lt;&gt;1)),
IF(Import.TipoArredondamento&lt;&gt;"TransfereGOV",
ROUND(OFFSET($P363,0,AW$13),15-13*ORÇAMENTO!$AF$7)/$H363*OFFSET(ORÇAMENTO!$X$15,ROW(AW363)-ROW(AW$15),0),
ROUND(ROUND(OFFSET($P363,0,AW$13),15-13*ORÇAMENTO!$AF$7)*OFFSET(ORÇAMENTO!$W$15,ROW(AW363)-ROW(AW$15),0),15-13*ORÇAMENTO!$AF$11)),0)</f>
        <v>0</v>
      </c>
      <c r="AX363" s="545">
        <f ca="1">IF(AND($D363="Serviço",AX$12&lt;&gt;0,$H363&gt;0,OR(AUTOEVENTO&lt;&gt;"manual",$M363&lt;&gt;1)),
IF(Import.TipoArredondamento&lt;&gt;"TransfereGOV",
ROUND(OFFSET($P363,0,AX$13),15-13*ORÇAMENTO!$AF$7)/$H363*OFFSET(ORÇAMENTO!$X$15,ROW(AX363)-ROW(AX$15),0),
ROUND(ROUND(OFFSET($P363,0,AX$13),15-13*ORÇAMENTO!$AF$7)*OFFSET(ORÇAMENTO!$W$15,ROW(AX363)-ROW(AX$15),0),15-13*ORÇAMENTO!$AF$11)),0)</f>
        <v>0</v>
      </c>
      <c r="AY363" s="545">
        <f ca="1">IF(AND($D363="Serviço",AY$12&lt;&gt;0,$H363&gt;0,OR(AUTOEVENTO&lt;&gt;"manual",$M363&lt;&gt;1)),
IF(Import.TipoArredondamento&lt;&gt;"TransfereGOV",
ROUND(OFFSET($P363,0,AY$13),15-13*ORÇAMENTO!$AF$7)/$H363*OFFSET(ORÇAMENTO!$X$15,ROW(AY363)-ROW(AY$15),0),
ROUND(ROUND(OFFSET($P363,0,AY$13),15-13*ORÇAMENTO!$AF$7)*OFFSET(ORÇAMENTO!$W$15,ROW(AY363)-ROW(AY$15),0),15-13*ORÇAMENTO!$AF$11)),0)</f>
        <v>0</v>
      </c>
      <c r="AZ363" s="545">
        <f ca="1">IF(AND($D363="Serviço",AZ$12&lt;&gt;0,$H363&gt;0,OR(AUTOEVENTO&lt;&gt;"manual",$M363&lt;&gt;1)),
IF(Import.TipoArredondamento&lt;&gt;"TransfereGOV",
ROUND(OFFSET($P363,0,AZ$13),15-13*ORÇAMENTO!$AF$7)/$H363*OFFSET(ORÇAMENTO!$X$15,ROW(AZ363)-ROW(AZ$15),0),
ROUND(ROUND(OFFSET($P363,0,AZ$13),15-13*ORÇAMENTO!$AF$7)*OFFSET(ORÇAMENTO!$W$15,ROW(AZ363)-ROW(AZ$15),0),15-13*ORÇAMENTO!$AF$11)),0)</f>
        <v>0</v>
      </c>
      <c r="BA363" s="546">
        <f ca="1">IF(AND($D363="Serviço",BA$12&lt;&gt;0,$H363&gt;0,OR(AUTOEVENTO&lt;&gt;"manual",$M363&lt;&gt;1)),
IF(Import.TipoArredondamento&lt;&gt;"TransfereGOV",
ROUND(OFFSET($P363,0,BA$13),15-13*ORÇAMENTO!$AF$7)/$H363*OFFSET(ORÇAMENTO!$X$15,ROW(BA363)-ROW(BA$15),0),
ROUND(ROUND(OFFSET($P363,0,BA$13),15-13*ORÇAMENTO!$AF$7)*OFFSET(ORÇAMENTO!$W$15,ROW(BA363)-ROW(BA$15),0),15-13*ORÇAMENTO!$AF$11)),0)</f>
        <v>0</v>
      </c>
      <c r="BC363" s="181">
        <f ca="1">IF($D363&lt;&gt;"Serviço",0,IF(AND(AUTOEVENTO="Manual",$M363=1),0,IF(OFFSET(CRONOPLE!$F$14,$M363,BC$13)="",10^12,OFFSET(CRONOPLE!$F$14,$M363,BC$13))))</f>
        <v>10</v>
      </c>
      <c r="BD363" s="181">
        <f ca="1">IF($D363&lt;&gt;"Serviço",0,IF(AND(AUTOEVENTO="Manual",$M363=1),0,IF(OFFSET(CRONOPLE!$F$14,$M363,BD$13)="",10^12,OFFSET(CRONOPLE!$F$14,$M363,BD$13))))</f>
        <v>1000000000000</v>
      </c>
      <c r="BE363" s="181">
        <f ca="1">IF($D363&lt;&gt;"Serviço",0,IF(AND(AUTOEVENTO="Manual",$M363=1),0,IF(OFFSET(CRONOPLE!$F$14,$M363,BE$13)="",10^12,OFFSET(CRONOPLE!$F$14,$M363,BE$13))))</f>
        <v>1000000000000</v>
      </c>
      <c r="BF363" s="181">
        <f ca="1">IF($D363&lt;&gt;"Serviço",0,IF(AND(AUTOEVENTO="Manual",$M363=1),0,IF(OFFSET(CRONOPLE!$F$14,$M363,BF$13)="",10^12,OFFSET(CRONOPLE!$F$14,$M363,BF$13))))</f>
        <v>1000000000000</v>
      </c>
      <c r="BG363" s="181">
        <f ca="1">IF($D363&lt;&gt;"Serviço",0,IF(AND(AUTOEVENTO="Manual",$M363=1),0,IF(OFFSET(CRONOPLE!$F$14,$M363,BG$13)="",10^12,OFFSET(CRONOPLE!$F$14,$M363,BG$13))))</f>
        <v>1000000000000</v>
      </c>
      <c r="BH363" s="181">
        <f ca="1">IF($D363&lt;&gt;"Serviço",0,IF(AND(AUTOEVENTO="Manual",$M363=1),0,IF(OFFSET(CRONOPLE!$F$14,$M363,BH$13)="",10^12,OFFSET(CRONOPLE!$F$14,$M363,BH$13))))</f>
        <v>1000000000000</v>
      </c>
      <c r="BI363" s="181">
        <f ca="1">IF($D363&lt;&gt;"Serviço",0,IF(AND(AUTOEVENTO="Manual",$M363=1),0,IF(OFFSET(CRONOPLE!$F$14,$M363,BI$13)="",10^12,OFFSET(CRONOPLE!$F$14,$M363,BI$13))))</f>
        <v>1000000000000</v>
      </c>
      <c r="BJ363" s="181">
        <f ca="1">IF($D363&lt;&gt;"Serviço",0,IF(AND(AUTOEVENTO="Manual",$M363=1),0,IF(OFFSET(CRONOPLE!$F$14,$M363,BJ$13)="",10^12,OFFSET(CRONOPLE!$F$14,$M363,BJ$13))))</f>
        <v>1000000000000</v>
      </c>
      <c r="BK363" s="181">
        <f ca="1">IF($D363&lt;&gt;"Serviço",0,IF(AND(AUTOEVENTO="Manual",$M363=1),0,IF(OFFSET(CRONOPLE!$F$14,$M363,BK$13)="",10^12,OFFSET(CRONOPLE!$F$14,$M363,BK$13))))</f>
        <v>1000000000000</v>
      </c>
      <c r="BL363" s="181">
        <f ca="1">IF($D363&lt;&gt;"Serviço",0,IF(AND(AUTOEVENTO="Manual",$M363=1),0,IF(OFFSET(CRONOPLE!$F$14,$M363,BL$13)="",10^12,OFFSET(CRONOPLE!$F$14,$M363,BL$13))))</f>
        <v>1000000000000</v>
      </c>
      <c r="BM363" s="181">
        <f ca="1">IF($D363&lt;&gt;"Serviço",0,IF(AND(AUTOEVENTO="Manual",$M363=1),0,IF(OFFSET(CRONOPLE!$F$14,$M363,BM$13)="",10^12,OFFSET(CRONOPLE!$F$14,$M363,BM$13))))</f>
        <v>1000000000000</v>
      </c>
      <c r="BN363" s="181">
        <f ca="1">IF($D363&lt;&gt;"Serviço",0,IF(AND(AUTOEVENTO="Manual",$M363=1),0,IF(OFFSET(CRONOPLE!$F$14,$M363,BN$13)="",10^12,OFFSET(CRONOPLE!$F$14,$M363,BN$13))))</f>
        <v>1000000000000</v>
      </c>
      <c r="BO363" s="181">
        <f ca="1">IF($D363&lt;&gt;"Serviço",0,IF(AND(AUTOEVENTO="Manual",$M363=1),0,IF(OFFSET(CRONOPLE!$F$14,$M363,BO$13)="",10^12,OFFSET(CRONOPLE!$F$14,$M363,BO$13))))</f>
        <v>1000000000000</v>
      </c>
      <c r="BP363" s="181">
        <f ca="1">IF($D363&lt;&gt;"Serviço",0,IF(AND(AUTOEVENTO="Manual",$M363=1),0,IF(OFFSET(CRONOPLE!$F$14,$M363,BP$13)="",10^12,OFFSET(CRONOPLE!$F$14,$M363,BP$13))))</f>
        <v>1000000000000</v>
      </c>
      <c r="BQ363" s="181">
        <f ca="1">IF($D363&lt;&gt;"Serviço",0,IF(AND(AUTOEVENTO="Manual",$M363=1),0,IF(OFFSET(CRONOPLE!$F$14,$M363,BQ$13)="",10^12,OFFSET(CRONOPLE!$F$14,$M363,BQ$13))))</f>
        <v>1000000000000</v>
      </c>
      <c r="BR363" s="181">
        <f ca="1">IF($D363&lt;&gt;"Serviço",0,IF(AND(AUTOEVENTO="Manual",$M363=1),0,IF(OFFSET(CRONOPLE!$F$14,$M363,BR$13)="",10^12,OFFSET(CRONOPLE!$F$14,$M363,BR$13))))</f>
        <v>1000000000000</v>
      </c>
      <c r="BS363" s="181">
        <f ca="1">IF($D363&lt;&gt;"Serviço",0,IF(AND(AUTOEVENTO="Manual",$M363=1),0,IF(OFFSET(CRONOPLE!$F$14,$M363,BS$13)="",10^12,OFFSET(CRONOPLE!$F$14,$M363,BS$13))))</f>
        <v>1000000000000</v>
      </c>
      <c r="BT363" s="181">
        <f ca="1">IF($D363&lt;&gt;"Serviço",0,IF(AND(AUTOEVENTO="Manual",$M363=1),0,IF(OFFSET(CRONOPLE!$F$14,$M363,BT$13)="",10^12,OFFSET(CRONOPLE!$F$14,$M363,BT$13))))</f>
        <v>1000000000000</v>
      </c>
      <c r="BV363" s="182">
        <f ca="1">IF($D363&lt;&gt;"Serviço",0,IF(OR(AND(AUTOEVENTO="Manual",$M363=1),$M363&gt;(ROW(PLE.lastrow)-ROW(PLE.firstrow))),0,IF(OFFSET(PLE!$G$14,$M363,BV$13)="",10^12,OFFSET(PLE!$G$14,$M363,BV$13))))</f>
        <v>1000000000000</v>
      </c>
      <c r="BW363" s="182">
        <f ca="1">IF($D363&lt;&gt;"Serviço",0,IF(OR(AND(AUTOEVENTO="Manual",$M363=1),$M363&gt;(ROW(PLE.lastrow)-ROW(PLE.firstrow))),0,IF(OFFSET(PLE!$G$14,$M363,BW$13)="",10^12,OFFSET(PLE!$G$14,$M363,BW$13))))</f>
        <v>1000000000000</v>
      </c>
      <c r="BX363" s="182">
        <f ca="1">IF($D363&lt;&gt;"Serviço",0,IF(OR(AND(AUTOEVENTO="Manual",$M363=1),$M363&gt;(ROW(PLE.lastrow)-ROW(PLE.firstrow))),0,IF(OFFSET(PLE!$G$14,$M363,BX$13)="",10^12,OFFSET(PLE!$G$14,$M363,BX$13))))</f>
        <v>1000000000000</v>
      </c>
      <c r="BY363" s="182">
        <f ca="1">IF($D363&lt;&gt;"Serviço",0,IF(OR(AND(AUTOEVENTO="Manual",$M363=1),$M363&gt;(ROW(PLE.lastrow)-ROW(PLE.firstrow))),0,IF(OFFSET(PLE!$G$14,$M363,BY$13)="",10^12,OFFSET(PLE!$G$14,$M363,BY$13))))</f>
        <v>1000000000000</v>
      </c>
      <c r="BZ363" s="182">
        <f ca="1">IF($D363&lt;&gt;"Serviço",0,IF(OR(AND(AUTOEVENTO="Manual",$M363=1),$M363&gt;(ROW(PLE.lastrow)-ROW(PLE.firstrow))),0,IF(OFFSET(PLE!$G$14,$M363,BZ$13)="",10^12,OFFSET(PLE!$G$14,$M363,BZ$13))))</f>
        <v>1000000000000</v>
      </c>
      <c r="CA363" s="182">
        <f ca="1">IF($D363&lt;&gt;"Serviço",0,IF(OR(AND(AUTOEVENTO="Manual",$M363=1),$M363&gt;(ROW(PLE.lastrow)-ROW(PLE.firstrow))),0,IF(OFFSET(PLE!$G$14,$M363,CA$13)="",10^12,OFFSET(PLE!$G$14,$M363,CA$13))))</f>
        <v>1000000000000</v>
      </c>
      <c r="CB363" s="182">
        <f ca="1">IF($D363&lt;&gt;"Serviço",0,IF(OR(AND(AUTOEVENTO="Manual",$M363=1),$M363&gt;(ROW(PLE.lastrow)-ROW(PLE.firstrow))),0,IF(OFFSET(PLE!$G$14,$M363,CB$13)="",10^12,OFFSET(PLE!$G$14,$M363,CB$13))))</f>
        <v>1000000000000</v>
      </c>
      <c r="CC363" s="182">
        <f ca="1">IF($D363&lt;&gt;"Serviço",0,IF(OR(AND(AUTOEVENTO="Manual",$M363=1),$M363&gt;(ROW(PLE.lastrow)-ROW(PLE.firstrow))),0,IF(OFFSET(PLE!$G$14,$M363,CC$13)="",10^12,OFFSET(PLE!$G$14,$M363,CC$13))))</f>
        <v>1000000000000</v>
      </c>
      <c r="CD363" s="182">
        <f ca="1">IF($D363&lt;&gt;"Serviço",0,IF(OR(AND(AUTOEVENTO="Manual",$M363=1),$M363&gt;(ROW(PLE.lastrow)-ROW(PLE.firstrow))),0,IF(OFFSET(PLE!$G$14,$M363,CD$13)="",10^12,OFFSET(PLE!$G$14,$M363,CD$13))))</f>
        <v>1000000000000</v>
      </c>
      <c r="CE363" s="182">
        <f ca="1">IF($D363&lt;&gt;"Serviço",0,IF(OR(AND(AUTOEVENTO="Manual",$M363=1),$M363&gt;(ROW(PLE.lastrow)-ROW(PLE.firstrow))),0,IF(OFFSET(PLE!$G$14,$M363,CE$13)="",10^12,OFFSET(PLE!$G$14,$M363,CE$13))))</f>
        <v>1000000000000</v>
      </c>
      <c r="CF363" s="182">
        <f ca="1">IF($D363&lt;&gt;"Serviço",0,IF(OR(AND(AUTOEVENTO="Manual",$M363=1),$M363&gt;(ROW(PLE.lastrow)-ROW(PLE.firstrow))),0,IF(OFFSET(PLE!$G$14,$M363,CF$13)="",10^12,OFFSET(PLE!$G$14,$M363,CF$13))))</f>
        <v>1000000000000</v>
      </c>
      <c r="CG363" s="182">
        <f ca="1">IF($D363&lt;&gt;"Serviço",0,IF(OR(AND(AUTOEVENTO="Manual",$M363=1),$M363&gt;(ROW(PLE.lastrow)-ROW(PLE.firstrow))),0,IF(OFFSET(PLE!$G$14,$M363,CG$13)="",10^12,OFFSET(PLE!$G$14,$M363,CG$13))))</f>
        <v>1000000000000</v>
      </c>
      <c r="CH363" s="182">
        <f ca="1">IF($D363&lt;&gt;"Serviço",0,IF(OR(AND(AUTOEVENTO="Manual",$M363=1),$M363&gt;(ROW(PLE.lastrow)-ROW(PLE.firstrow))),0,IF(OFFSET(PLE!$G$14,$M363,CH$13)="",10^12,OFFSET(PLE!$G$14,$M363,CH$13))))</f>
        <v>1000000000000</v>
      </c>
      <c r="CI363" s="182">
        <f ca="1">IF($D363&lt;&gt;"Serviço",0,IF(OR(AND(AUTOEVENTO="Manual",$M363=1),$M363&gt;(ROW(PLE.lastrow)-ROW(PLE.firstrow))),0,IF(OFFSET(PLE!$G$14,$M363,CI$13)="",10^12,OFFSET(PLE!$G$14,$M363,CI$13))))</f>
        <v>1000000000000</v>
      </c>
      <c r="CJ363" s="182">
        <f ca="1">IF($D363&lt;&gt;"Serviço",0,IF(OR(AND(AUTOEVENTO="Manual",$M363=1),$M363&gt;(ROW(PLE.lastrow)-ROW(PLE.firstrow))),0,IF(OFFSET(PLE!$G$14,$M363,CJ$13)="",10^12,OFFSET(PLE!$G$14,$M363,CJ$13))))</f>
        <v>1000000000000</v>
      </c>
      <c r="CK363" s="182">
        <f ca="1">IF($D363&lt;&gt;"Serviço",0,IF(OR(AND(AUTOEVENTO="Manual",$M363=1),$M363&gt;(ROW(PLE.lastrow)-ROW(PLE.firstrow))),0,IF(OFFSET(PLE!$G$14,$M363,CK$13)="",10^12,OFFSET(PLE!$G$14,$M363,CK$13))))</f>
        <v>1000000000000</v>
      </c>
      <c r="CL363" s="182">
        <f ca="1">IF($D363&lt;&gt;"Serviço",0,IF(OR(AND(AUTOEVENTO="Manual",$M363=1),$M363&gt;(ROW(PLE.lastrow)-ROW(PLE.firstrow))),0,IF(OFFSET(PLE!$G$14,$M363,CL$13)="",10^12,OFFSET(PLE!$G$14,$M363,CL$13))))</f>
        <v>1000000000000</v>
      </c>
      <c r="CM363" s="182">
        <f ca="1">IF($D363&lt;&gt;"Serviço",0,IF(OR(AND(AUTOEVENTO="Manual",$M363=1),$M363&gt;(ROW(PLE.lastrow)-ROW(PLE.firstrow))),0,IF(OFFSET(PLE!$G$14,$M363,CM$13)="",10^12,OFFSET(PLE!$G$14,$M363,CM$13))))</f>
        <v>1000000000000</v>
      </c>
    </row>
    <row r="364" spans="1:91" ht="25.5" x14ac:dyDescent="0.2">
      <c r="A364" s="7" t="str">
        <f t="shared" ca="1" si="12"/>
        <v>338</v>
      </c>
      <c r="B364" s="7" t="str">
        <f ca="1">OFFSET(ORÇAMENTO!C$15,ROW(B364)-ROW(B$15),0)</f>
        <v>S</v>
      </c>
      <c r="C364" s="7" t="str">
        <f ca="1">OFFSET(ORÇAMENTO!L$15,ROW(C364)-ROW(C$15),0)</f>
        <v/>
      </c>
      <c r="D364" s="118" t="str">
        <f ca="1">OFFSET(ORÇAMENTO!N$15,ROW(D364)-ROW(D$15),0)</f>
        <v>Serviço</v>
      </c>
      <c r="E364" s="119" t="str">
        <f ca="1">OFFSET(ORÇAMENTO!O$15,ROW(E364)-ROW(E$15),0)</f>
        <v>-</v>
      </c>
      <c r="F364" s="172" t="str">
        <f ca="1">OFFSET(ORÇAMENTO!R$15,ROW(F364)-ROW(F$15),0)</f>
        <v>(abra o arquivo 'Referência 06-2024.xlsm)</v>
      </c>
      <c r="G364" s="173" t="str">
        <f ca="1">IF($D364&lt;&gt;"Serviço","",OFFSET(ORÇAMENTO!S$15,ROW(G364)-ROW(G$15),0))</f>
        <v>-</v>
      </c>
      <c r="H364" s="124">
        <f ca="1">IF($D364&lt;&gt;"Serviço",0,IF(ACOMPANHAMENTO="BM",ROUND(OFFSET(ORÇAMENTO!AJ$15,ROW(H364)-ROW(H$15),0),15-13*ORÇAMENTO!$AF$7),SUMPRODUCT(($Q$12:$AI$12&lt;&gt;"")*ROUND($Q364:$AI364,15-13*ORÇAMENTO!$AF$7))))</f>
        <v>7</v>
      </c>
      <c r="I364" s="561" t="s">
        <v>1107</v>
      </c>
      <c r="K364" s="174"/>
      <c r="L364" s="175" t="s">
        <v>255</v>
      </c>
      <c r="M364" s="176">
        <f ca="1">IF($D364&lt;&gt;"Serviço","",IF(AUTOEVENTO="manual",$A364,IF(ISERROR(MATCH($A364,$A$15:OFFSET($A364,-1,0),0)),MAX($M$15:OFFSET(M364,-1,0))+1,INDEX($M$15:OFFSET(M364,-1,0),MATCH($A364,$A$15:OFFSET($A364,-1,0),0)))))</f>
        <v>43</v>
      </c>
      <c r="N364" s="177" t="str">
        <f ca="1">IF($D364&lt;&gt;"Serviço","",IF(AUTOEVENTO="Manual",IF($A364=0,"&lt;-- defina o número do agrupador",OFFSET(EVENTOS!$D$14,$A364,0)),OFFSET($F$15,$A364,0)))</f>
        <v>INSTALAÇÃO SANITÁRIA - VENTILAÇÃO</v>
      </c>
      <c r="O364" s="178"/>
      <c r="Q364" s="178">
        <v>7</v>
      </c>
      <c r="R364" s="179"/>
      <c r="S364" s="179"/>
      <c r="T364" s="179"/>
      <c r="U364" s="179"/>
      <c r="V364" s="179"/>
      <c r="W364" s="179"/>
      <c r="X364" s="179"/>
      <c r="Y364" s="179"/>
      <c r="Z364" s="180"/>
      <c r="AA364" s="179"/>
      <c r="AB364" s="179"/>
      <c r="AC364" s="179"/>
      <c r="AD364" s="179"/>
      <c r="AE364" s="179"/>
      <c r="AF364" s="179"/>
      <c r="AG364" s="179"/>
      <c r="AH364" s="180"/>
      <c r="AJ364" s="544">
        <f ca="1">IF(AND($D364="Serviço",AJ$12&lt;&gt;0,$H364&gt;0,OR(AUTOEVENTO&lt;&gt;"manual",$M364&lt;&gt;1)),
IF(Import.TipoArredondamento&lt;&gt;"TransfereGOV",
ROUND(OFFSET($P364,0,AJ$13),15-13*ORÇAMENTO!$AF$7)/$H364*OFFSET(ORÇAMENTO!$X$15,ROW(AJ364)-ROW(AJ$15),0),
ROUND(ROUND(OFFSET($P364,0,AJ$13),15-13*ORÇAMENTO!$AF$7)*OFFSET(ORÇAMENTO!$W$15,ROW(AJ364)-ROW(AJ$15),0),15-13*ORÇAMENTO!$AF$11)),0)</f>
        <v>0</v>
      </c>
      <c r="AK364" s="545">
        <f ca="1">IF(AND($D364="Serviço",AK$12&lt;&gt;0,$H364&gt;0,OR(AUTOEVENTO&lt;&gt;"manual",$M364&lt;&gt;1)),
IF(Import.TipoArredondamento&lt;&gt;"TransfereGOV",
ROUND(OFFSET($P364,0,AK$13),15-13*ORÇAMENTO!$AF$7)/$H364*OFFSET(ORÇAMENTO!$X$15,ROW(AK364)-ROW(AK$15),0),
ROUND(ROUND(OFFSET($P364,0,AK$13),15-13*ORÇAMENTO!$AF$7)*OFFSET(ORÇAMENTO!$W$15,ROW(AK364)-ROW(AK$15),0),15-13*ORÇAMENTO!$AF$11)),0)</f>
        <v>0</v>
      </c>
      <c r="AL364" s="545">
        <f ca="1">IF(AND($D364="Serviço",AL$12&lt;&gt;0,$H364&gt;0,OR(AUTOEVENTO&lt;&gt;"manual",$M364&lt;&gt;1)),
IF(Import.TipoArredondamento&lt;&gt;"TransfereGOV",
ROUND(OFFSET($P364,0,AL$13),15-13*ORÇAMENTO!$AF$7)/$H364*OFFSET(ORÇAMENTO!$X$15,ROW(AL364)-ROW(AL$15),0),
ROUND(ROUND(OFFSET($P364,0,AL$13),15-13*ORÇAMENTO!$AF$7)*OFFSET(ORÇAMENTO!$W$15,ROW(AL364)-ROW(AL$15),0),15-13*ORÇAMENTO!$AF$11)),0)</f>
        <v>0</v>
      </c>
      <c r="AM364" s="545">
        <f ca="1">IF(AND($D364="Serviço",AM$12&lt;&gt;0,$H364&gt;0,OR(AUTOEVENTO&lt;&gt;"manual",$M364&lt;&gt;1)),
IF(Import.TipoArredondamento&lt;&gt;"TransfereGOV",
ROUND(OFFSET($P364,0,AM$13),15-13*ORÇAMENTO!$AF$7)/$H364*OFFSET(ORÇAMENTO!$X$15,ROW(AM364)-ROW(AM$15),0),
ROUND(ROUND(OFFSET($P364,0,AM$13),15-13*ORÇAMENTO!$AF$7)*OFFSET(ORÇAMENTO!$W$15,ROW(AM364)-ROW(AM$15),0),15-13*ORÇAMENTO!$AF$11)),0)</f>
        <v>0</v>
      </c>
      <c r="AN364" s="545">
        <f ca="1">IF(AND($D364="Serviço",AN$12&lt;&gt;0,$H364&gt;0,OR(AUTOEVENTO&lt;&gt;"manual",$M364&lt;&gt;1)),
IF(Import.TipoArredondamento&lt;&gt;"TransfereGOV",
ROUND(OFFSET($P364,0,AN$13),15-13*ORÇAMENTO!$AF$7)/$H364*OFFSET(ORÇAMENTO!$X$15,ROW(AN364)-ROW(AN$15),0),
ROUND(ROUND(OFFSET($P364,0,AN$13),15-13*ORÇAMENTO!$AF$7)*OFFSET(ORÇAMENTO!$W$15,ROW(AN364)-ROW(AN$15),0),15-13*ORÇAMENTO!$AF$11)),0)</f>
        <v>0</v>
      </c>
      <c r="AO364" s="545">
        <f ca="1">IF(AND($D364="Serviço",AO$12&lt;&gt;0,$H364&gt;0,OR(AUTOEVENTO&lt;&gt;"manual",$M364&lt;&gt;1)),
IF(Import.TipoArredondamento&lt;&gt;"TransfereGOV",
ROUND(OFFSET($P364,0,AO$13),15-13*ORÇAMENTO!$AF$7)/$H364*OFFSET(ORÇAMENTO!$X$15,ROW(AO364)-ROW(AO$15),0),
ROUND(ROUND(OFFSET($P364,0,AO$13),15-13*ORÇAMENTO!$AF$7)*OFFSET(ORÇAMENTO!$W$15,ROW(AO364)-ROW(AO$15),0),15-13*ORÇAMENTO!$AF$11)),0)</f>
        <v>0</v>
      </c>
      <c r="AP364" s="545">
        <f ca="1">IF(AND($D364="Serviço",AP$12&lt;&gt;0,$H364&gt;0,OR(AUTOEVENTO&lt;&gt;"manual",$M364&lt;&gt;1)),
IF(Import.TipoArredondamento&lt;&gt;"TransfereGOV",
ROUND(OFFSET($P364,0,AP$13),15-13*ORÇAMENTO!$AF$7)/$H364*OFFSET(ORÇAMENTO!$X$15,ROW(AP364)-ROW(AP$15),0),
ROUND(ROUND(OFFSET($P364,0,AP$13),15-13*ORÇAMENTO!$AF$7)*OFFSET(ORÇAMENTO!$W$15,ROW(AP364)-ROW(AP$15),0),15-13*ORÇAMENTO!$AF$11)),0)</f>
        <v>0</v>
      </c>
      <c r="AQ364" s="545">
        <f ca="1">IF(AND($D364="Serviço",AQ$12&lt;&gt;0,$H364&gt;0,OR(AUTOEVENTO&lt;&gt;"manual",$M364&lt;&gt;1)),
IF(Import.TipoArredondamento&lt;&gt;"TransfereGOV",
ROUND(OFFSET($P364,0,AQ$13),15-13*ORÇAMENTO!$AF$7)/$H364*OFFSET(ORÇAMENTO!$X$15,ROW(AQ364)-ROW(AQ$15),0),
ROUND(ROUND(OFFSET($P364,0,AQ$13),15-13*ORÇAMENTO!$AF$7)*OFFSET(ORÇAMENTO!$W$15,ROW(AQ364)-ROW(AQ$15),0),15-13*ORÇAMENTO!$AF$11)),0)</f>
        <v>0</v>
      </c>
      <c r="AR364" s="545">
        <f ca="1">IF(AND($D364="Serviço",AR$12&lt;&gt;0,$H364&gt;0,OR(AUTOEVENTO&lt;&gt;"manual",$M364&lt;&gt;1)),
IF(Import.TipoArredondamento&lt;&gt;"TransfereGOV",
ROUND(OFFSET($P364,0,AR$13),15-13*ORÇAMENTO!$AF$7)/$H364*OFFSET(ORÇAMENTO!$X$15,ROW(AR364)-ROW(AR$15),0),
ROUND(ROUND(OFFSET($P364,0,AR$13),15-13*ORÇAMENTO!$AF$7)*OFFSET(ORÇAMENTO!$W$15,ROW(AR364)-ROW(AR$15),0),15-13*ORÇAMENTO!$AF$11)),0)</f>
        <v>0</v>
      </c>
      <c r="AS364" s="546">
        <f ca="1">IF(AND($D364="Serviço",AS$12&lt;&gt;0,$H364&gt;0,OR(AUTOEVENTO&lt;&gt;"manual",$M364&lt;&gt;1)),
IF(Import.TipoArredondamento&lt;&gt;"TransfereGOV",
ROUND(OFFSET($P364,0,AS$13),15-13*ORÇAMENTO!$AF$7)/$H364*OFFSET(ORÇAMENTO!$X$15,ROW(AS364)-ROW(AS$15),0),
ROUND(ROUND(OFFSET($P364,0,AS$13),15-13*ORÇAMENTO!$AF$7)*OFFSET(ORÇAMENTO!$W$15,ROW(AS364)-ROW(AS$15),0),15-13*ORÇAMENTO!$AF$11)),0)</f>
        <v>0</v>
      </c>
      <c r="AT364" s="545">
        <f ca="1">IF(AND($D364="Serviço",AT$12&lt;&gt;0,$H364&gt;0,OR(AUTOEVENTO&lt;&gt;"manual",$M364&lt;&gt;1)),
IF(Import.TipoArredondamento&lt;&gt;"TransfereGOV",
ROUND(OFFSET($P364,0,AT$13),15-13*ORÇAMENTO!$AF$7)/$H364*OFFSET(ORÇAMENTO!$X$15,ROW(AT364)-ROW(AT$15),0),
ROUND(ROUND(OFFSET($P364,0,AT$13),15-13*ORÇAMENTO!$AF$7)*OFFSET(ORÇAMENTO!$W$15,ROW(AT364)-ROW(AT$15),0),15-13*ORÇAMENTO!$AF$11)),0)</f>
        <v>0</v>
      </c>
      <c r="AU364" s="545">
        <f ca="1">IF(AND($D364="Serviço",AU$12&lt;&gt;0,$H364&gt;0,OR(AUTOEVENTO&lt;&gt;"manual",$M364&lt;&gt;1)),
IF(Import.TipoArredondamento&lt;&gt;"TransfereGOV",
ROUND(OFFSET($P364,0,AU$13),15-13*ORÇAMENTO!$AF$7)/$H364*OFFSET(ORÇAMENTO!$X$15,ROW(AU364)-ROW(AU$15),0),
ROUND(ROUND(OFFSET($P364,0,AU$13),15-13*ORÇAMENTO!$AF$7)*OFFSET(ORÇAMENTO!$W$15,ROW(AU364)-ROW(AU$15),0),15-13*ORÇAMENTO!$AF$11)),0)</f>
        <v>0</v>
      </c>
      <c r="AV364" s="545">
        <f ca="1">IF(AND($D364="Serviço",AV$12&lt;&gt;0,$H364&gt;0,OR(AUTOEVENTO&lt;&gt;"manual",$M364&lt;&gt;1)),
IF(Import.TipoArredondamento&lt;&gt;"TransfereGOV",
ROUND(OFFSET($P364,0,AV$13),15-13*ORÇAMENTO!$AF$7)/$H364*OFFSET(ORÇAMENTO!$X$15,ROW(AV364)-ROW(AV$15),0),
ROUND(ROUND(OFFSET($P364,0,AV$13),15-13*ORÇAMENTO!$AF$7)*OFFSET(ORÇAMENTO!$W$15,ROW(AV364)-ROW(AV$15),0),15-13*ORÇAMENTO!$AF$11)),0)</f>
        <v>0</v>
      </c>
      <c r="AW364" s="545">
        <f ca="1">IF(AND($D364="Serviço",AW$12&lt;&gt;0,$H364&gt;0,OR(AUTOEVENTO&lt;&gt;"manual",$M364&lt;&gt;1)),
IF(Import.TipoArredondamento&lt;&gt;"TransfereGOV",
ROUND(OFFSET($P364,0,AW$13),15-13*ORÇAMENTO!$AF$7)/$H364*OFFSET(ORÇAMENTO!$X$15,ROW(AW364)-ROW(AW$15),0),
ROUND(ROUND(OFFSET($P364,0,AW$13),15-13*ORÇAMENTO!$AF$7)*OFFSET(ORÇAMENTO!$W$15,ROW(AW364)-ROW(AW$15),0),15-13*ORÇAMENTO!$AF$11)),0)</f>
        <v>0</v>
      </c>
      <c r="AX364" s="545">
        <f ca="1">IF(AND($D364="Serviço",AX$12&lt;&gt;0,$H364&gt;0,OR(AUTOEVENTO&lt;&gt;"manual",$M364&lt;&gt;1)),
IF(Import.TipoArredondamento&lt;&gt;"TransfereGOV",
ROUND(OFFSET($P364,0,AX$13),15-13*ORÇAMENTO!$AF$7)/$H364*OFFSET(ORÇAMENTO!$X$15,ROW(AX364)-ROW(AX$15),0),
ROUND(ROUND(OFFSET($P364,0,AX$13),15-13*ORÇAMENTO!$AF$7)*OFFSET(ORÇAMENTO!$W$15,ROW(AX364)-ROW(AX$15),0),15-13*ORÇAMENTO!$AF$11)),0)</f>
        <v>0</v>
      </c>
      <c r="AY364" s="545">
        <f ca="1">IF(AND($D364="Serviço",AY$12&lt;&gt;0,$H364&gt;0,OR(AUTOEVENTO&lt;&gt;"manual",$M364&lt;&gt;1)),
IF(Import.TipoArredondamento&lt;&gt;"TransfereGOV",
ROUND(OFFSET($P364,0,AY$13),15-13*ORÇAMENTO!$AF$7)/$H364*OFFSET(ORÇAMENTO!$X$15,ROW(AY364)-ROW(AY$15),0),
ROUND(ROUND(OFFSET($P364,0,AY$13),15-13*ORÇAMENTO!$AF$7)*OFFSET(ORÇAMENTO!$W$15,ROW(AY364)-ROW(AY$15),0),15-13*ORÇAMENTO!$AF$11)),0)</f>
        <v>0</v>
      </c>
      <c r="AZ364" s="545">
        <f ca="1">IF(AND($D364="Serviço",AZ$12&lt;&gt;0,$H364&gt;0,OR(AUTOEVENTO&lt;&gt;"manual",$M364&lt;&gt;1)),
IF(Import.TipoArredondamento&lt;&gt;"TransfereGOV",
ROUND(OFFSET($P364,0,AZ$13),15-13*ORÇAMENTO!$AF$7)/$H364*OFFSET(ORÇAMENTO!$X$15,ROW(AZ364)-ROW(AZ$15),0),
ROUND(ROUND(OFFSET($P364,0,AZ$13),15-13*ORÇAMENTO!$AF$7)*OFFSET(ORÇAMENTO!$W$15,ROW(AZ364)-ROW(AZ$15),0),15-13*ORÇAMENTO!$AF$11)),0)</f>
        <v>0</v>
      </c>
      <c r="BA364" s="546">
        <f ca="1">IF(AND($D364="Serviço",BA$12&lt;&gt;0,$H364&gt;0,OR(AUTOEVENTO&lt;&gt;"manual",$M364&lt;&gt;1)),
IF(Import.TipoArredondamento&lt;&gt;"TransfereGOV",
ROUND(OFFSET($P364,0,BA$13),15-13*ORÇAMENTO!$AF$7)/$H364*OFFSET(ORÇAMENTO!$X$15,ROW(BA364)-ROW(BA$15),0),
ROUND(ROUND(OFFSET($P364,0,BA$13),15-13*ORÇAMENTO!$AF$7)*OFFSET(ORÇAMENTO!$W$15,ROW(BA364)-ROW(BA$15),0),15-13*ORÇAMENTO!$AF$11)),0)</f>
        <v>0</v>
      </c>
      <c r="BC364" s="181">
        <f ca="1">IF($D364&lt;&gt;"Serviço",0,IF(AND(AUTOEVENTO="Manual",$M364=1),0,IF(OFFSET(CRONOPLE!$F$14,$M364,BC$13)="",10^12,OFFSET(CRONOPLE!$F$14,$M364,BC$13))))</f>
        <v>10</v>
      </c>
      <c r="BD364" s="181">
        <f ca="1">IF($D364&lt;&gt;"Serviço",0,IF(AND(AUTOEVENTO="Manual",$M364=1),0,IF(OFFSET(CRONOPLE!$F$14,$M364,BD$13)="",10^12,OFFSET(CRONOPLE!$F$14,$M364,BD$13))))</f>
        <v>1000000000000</v>
      </c>
      <c r="BE364" s="181">
        <f ca="1">IF($D364&lt;&gt;"Serviço",0,IF(AND(AUTOEVENTO="Manual",$M364=1),0,IF(OFFSET(CRONOPLE!$F$14,$M364,BE$13)="",10^12,OFFSET(CRONOPLE!$F$14,$M364,BE$13))))</f>
        <v>1000000000000</v>
      </c>
      <c r="BF364" s="181">
        <f ca="1">IF($D364&lt;&gt;"Serviço",0,IF(AND(AUTOEVENTO="Manual",$M364=1),0,IF(OFFSET(CRONOPLE!$F$14,$M364,BF$13)="",10^12,OFFSET(CRONOPLE!$F$14,$M364,BF$13))))</f>
        <v>1000000000000</v>
      </c>
      <c r="BG364" s="181">
        <f ca="1">IF($D364&lt;&gt;"Serviço",0,IF(AND(AUTOEVENTO="Manual",$M364=1),0,IF(OFFSET(CRONOPLE!$F$14,$M364,BG$13)="",10^12,OFFSET(CRONOPLE!$F$14,$M364,BG$13))))</f>
        <v>1000000000000</v>
      </c>
      <c r="BH364" s="181">
        <f ca="1">IF($D364&lt;&gt;"Serviço",0,IF(AND(AUTOEVENTO="Manual",$M364=1),0,IF(OFFSET(CRONOPLE!$F$14,$M364,BH$13)="",10^12,OFFSET(CRONOPLE!$F$14,$M364,BH$13))))</f>
        <v>1000000000000</v>
      </c>
      <c r="BI364" s="181">
        <f ca="1">IF($D364&lt;&gt;"Serviço",0,IF(AND(AUTOEVENTO="Manual",$M364=1),0,IF(OFFSET(CRONOPLE!$F$14,$M364,BI$13)="",10^12,OFFSET(CRONOPLE!$F$14,$M364,BI$13))))</f>
        <v>1000000000000</v>
      </c>
      <c r="BJ364" s="181">
        <f ca="1">IF($D364&lt;&gt;"Serviço",0,IF(AND(AUTOEVENTO="Manual",$M364=1),0,IF(OFFSET(CRONOPLE!$F$14,$M364,BJ$13)="",10^12,OFFSET(CRONOPLE!$F$14,$M364,BJ$13))))</f>
        <v>1000000000000</v>
      </c>
      <c r="BK364" s="181">
        <f ca="1">IF($D364&lt;&gt;"Serviço",0,IF(AND(AUTOEVENTO="Manual",$M364=1),0,IF(OFFSET(CRONOPLE!$F$14,$M364,BK$13)="",10^12,OFFSET(CRONOPLE!$F$14,$M364,BK$13))))</f>
        <v>1000000000000</v>
      </c>
      <c r="BL364" s="181">
        <f ca="1">IF($D364&lt;&gt;"Serviço",0,IF(AND(AUTOEVENTO="Manual",$M364=1),0,IF(OFFSET(CRONOPLE!$F$14,$M364,BL$13)="",10^12,OFFSET(CRONOPLE!$F$14,$M364,BL$13))))</f>
        <v>1000000000000</v>
      </c>
      <c r="BM364" s="181">
        <f ca="1">IF($D364&lt;&gt;"Serviço",0,IF(AND(AUTOEVENTO="Manual",$M364=1),0,IF(OFFSET(CRONOPLE!$F$14,$M364,BM$13)="",10^12,OFFSET(CRONOPLE!$F$14,$M364,BM$13))))</f>
        <v>1000000000000</v>
      </c>
      <c r="BN364" s="181">
        <f ca="1">IF($D364&lt;&gt;"Serviço",0,IF(AND(AUTOEVENTO="Manual",$M364=1),0,IF(OFFSET(CRONOPLE!$F$14,$M364,BN$13)="",10^12,OFFSET(CRONOPLE!$F$14,$M364,BN$13))))</f>
        <v>1000000000000</v>
      </c>
      <c r="BO364" s="181">
        <f ca="1">IF($D364&lt;&gt;"Serviço",0,IF(AND(AUTOEVENTO="Manual",$M364=1),0,IF(OFFSET(CRONOPLE!$F$14,$M364,BO$13)="",10^12,OFFSET(CRONOPLE!$F$14,$M364,BO$13))))</f>
        <v>1000000000000</v>
      </c>
      <c r="BP364" s="181">
        <f ca="1">IF($D364&lt;&gt;"Serviço",0,IF(AND(AUTOEVENTO="Manual",$M364=1),0,IF(OFFSET(CRONOPLE!$F$14,$M364,BP$13)="",10^12,OFFSET(CRONOPLE!$F$14,$M364,BP$13))))</f>
        <v>1000000000000</v>
      </c>
      <c r="BQ364" s="181">
        <f ca="1">IF($D364&lt;&gt;"Serviço",0,IF(AND(AUTOEVENTO="Manual",$M364=1),0,IF(OFFSET(CRONOPLE!$F$14,$M364,BQ$13)="",10^12,OFFSET(CRONOPLE!$F$14,$M364,BQ$13))))</f>
        <v>1000000000000</v>
      </c>
      <c r="BR364" s="181">
        <f ca="1">IF($D364&lt;&gt;"Serviço",0,IF(AND(AUTOEVENTO="Manual",$M364=1),0,IF(OFFSET(CRONOPLE!$F$14,$M364,BR$13)="",10^12,OFFSET(CRONOPLE!$F$14,$M364,BR$13))))</f>
        <v>1000000000000</v>
      </c>
      <c r="BS364" s="181">
        <f ca="1">IF($D364&lt;&gt;"Serviço",0,IF(AND(AUTOEVENTO="Manual",$M364=1),0,IF(OFFSET(CRONOPLE!$F$14,$M364,BS$13)="",10^12,OFFSET(CRONOPLE!$F$14,$M364,BS$13))))</f>
        <v>1000000000000</v>
      </c>
      <c r="BT364" s="181">
        <f ca="1">IF($D364&lt;&gt;"Serviço",0,IF(AND(AUTOEVENTO="Manual",$M364=1),0,IF(OFFSET(CRONOPLE!$F$14,$M364,BT$13)="",10^12,OFFSET(CRONOPLE!$F$14,$M364,BT$13))))</f>
        <v>1000000000000</v>
      </c>
      <c r="BV364" s="182">
        <f ca="1">IF($D364&lt;&gt;"Serviço",0,IF(OR(AND(AUTOEVENTO="Manual",$M364=1),$M364&gt;(ROW(PLE.lastrow)-ROW(PLE.firstrow))),0,IF(OFFSET(PLE!$G$14,$M364,BV$13)="",10^12,OFFSET(PLE!$G$14,$M364,BV$13))))</f>
        <v>1000000000000</v>
      </c>
      <c r="BW364" s="182">
        <f ca="1">IF($D364&lt;&gt;"Serviço",0,IF(OR(AND(AUTOEVENTO="Manual",$M364=1),$M364&gt;(ROW(PLE.lastrow)-ROW(PLE.firstrow))),0,IF(OFFSET(PLE!$G$14,$M364,BW$13)="",10^12,OFFSET(PLE!$G$14,$M364,BW$13))))</f>
        <v>1000000000000</v>
      </c>
      <c r="BX364" s="182">
        <f ca="1">IF($D364&lt;&gt;"Serviço",0,IF(OR(AND(AUTOEVENTO="Manual",$M364=1),$M364&gt;(ROW(PLE.lastrow)-ROW(PLE.firstrow))),0,IF(OFFSET(PLE!$G$14,$M364,BX$13)="",10^12,OFFSET(PLE!$G$14,$M364,BX$13))))</f>
        <v>1000000000000</v>
      </c>
      <c r="BY364" s="182">
        <f ca="1">IF($D364&lt;&gt;"Serviço",0,IF(OR(AND(AUTOEVENTO="Manual",$M364=1),$M364&gt;(ROW(PLE.lastrow)-ROW(PLE.firstrow))),0,IF(OFFSET(PLE!$G$14,$M364,BY$13)="",10^12,OFFSET(PLE!$G$14,$M364,BY$13))))</f>
        <v>1000000000000</v>
      </c>
      <c r="BZ364" s="182">
        <f ca="1">IF($D364&lt;&gt;"Serviço",0,IF(OR(AND(AUTOEVENTO="Manual",$M364=1),$M364&gt;(ROW(PLE.lastrow)-ROW(PLE.firstrow))),0,IF(OFFSET(PLE!$G$14,$M364,BZ$13)="",10^12,OFFSET(PLE!$G$14,$M364,BZ$13))))</f>
        <v>1000000000000</v>
      </c>
      <c r="CA364" s="182">
        <f ca="1">IF($D364&lt;&gt;"Serviço",0,IF(OR(AND(AUTOEVENTO="Manual",$M364=1),$M364&gt;(ROW(PLE.lastrow)-ROW(PLE.firstrow))),0,IF(OFFSET(PLE!$G$14,$M364,CA$13)="",10^12,OFFSET(PLE!$G$14,$M364,CA$13))))</f>
        <v>1000000000000</v>
      </c>
      <c r="CB364" s="182">
        <f ca="1">IF($D364&lt;&gt;"Serviço",0,IF(OR(AND(AUTOEVENTO="Manual",$M364=1),$M364&gt;(ROW(PLE.lastrow)-ROW(PLE.firstrow))),0,IF(OFFSET(PLE!$G$14,$M364,CB$13)="",10^12,OFFSET(PLE!$G$14,$M364,CB$13))))</f>
        <v>1000000000000</v>
      </c>
      <c r="CC364" s="182">
        <f ca="1">IF($D364&lt;&gt;"Serviço",0,IF(OR(AND(AUTOEVENTO="Manual",$M364=1),$M364&gt;(ROW(PLE.lastrow)-ROW(PLE.firstrow))),0,IF(OFFSET(PLE!$G$14,$M364,CC$13)="",10^12,OFFSET(PLE!$G$14,$M364,CC$13))))</f>
        <v>1000000000000</v>
      </c>
      <c r="CD364" s="182">
        <f ca="1">IF($D364&lt;&gt;"Serviço",0,IF(OR(AND(AUTOEVENTO="Manual",$M364=1),$M364&gt;(ROW(PLE.lastrow)-ROW(PLE.firstrow))),0,IF(OFFSET(PLE!$G$14,$M364,CD$13)="",10^12,OFFSET(PLE!$G$14,$M364,CD$13))))</f>
        <v>1000000000000</v>
      </c>
      <c r="CE364" s="182">
        <f ca="1">IF($D364&lt;&gt;"Serviço",0,IF(OR(AND(AUTOEVENTO="Manual",$M364=1),$M364&gt;(ROW(PLE.lastrow)-ROW(PLE.firstrow))),0,IF(OFFSET(PLE!$G$14,$M364,CE$13)="",10^12,OFFSET(PLE!$G$14,$M364,CE$13))))</f>
        <v>1000000000000</v>
      </c>
      <c r="CF364" s="182">
        <f ca="1">IF($D364&lt;&gt;"Serviço",0,IF(OR(AND(AUTOEVENTO="Manual",$M364=1),$M364&gt;(ROW(PLE.lastrow)-ROW(PLE.firstrow))),0,IF(OFFSET(PLE!$G$14,$M364,CF$13)="",10^12,OFFSET(PLE!$G$14,$M364,CF$13))))</f>
        <v>1000000000000</v>
      </c>
      <c r="CG364" s="182">
        <f ca="1">IF($D364&lt;&gt;"Serviço",0,IF(OR(AND(AUTOEVENTO="Manual",$M364=1),$M364&gt;(ROW(PLE.lastrow)-ROW(PLE.firstrow))),0,IF(OFFSET(PLE!$G$14,$M364,CG$13)="",10^12,OFFSET(PLE!$G$14,$M364,CG$13))))</f>
        <v>1000000000000</v>
      </c>
      <c r="CH364" s="182">
        <f ca="1">IF($D364&lt;&gt;"Serviço",0,IF(OR(AND(AUTOEVENTO="Manual",$M364=1),$M364&gt;(ROW(PLE.lastrow)-ROW(PLE.firstrow))),0,IF(OFFSET(PLE!$G$14,$M364,CH$13)="",10^12,OFFSET(PLE!$G$14,$M364,CH$13))))</f>
        <v>1000000000000</v>
      </c>
      <c r="CI364" s="182">
        <f ca="1">IF($D364&lt;&gt;"Serviço",0,IF(OR(AND(AUTOEVENTO="Manual",$M364=1),$M364&gt;(ROW(PLE.lastrow)-ROW(PLE.firstrow))),0,IF(OFFSET(PLE!$G$14,$M364,CI$13)="",10^12,OFFSET(PLE!$G$14,$M364,CI$13))))</f>
        <v>1000000000000</v>
      </c>
      <c r="CJ364" s="182">
        <f ca="1">IF($D364&lt;&gt;"Serviço",0,IF(OR(AND(AUTOEVENTO="Manual",$M364=1),$M364&gt;(ROW(PLE.lastrow)-ROW(PLE.firstrow))),0,IF(OFFSET(PLE!$G$14,$M364,CJ$13)="",10^12,OFFSET(PLE!$G$14,$M364,CJ$13))))</f>
        <v>1000000000000</v>
      </c>
      <c r="CK364" s="182">
        <f ca="1">IF($D364&lt;&gt;"Serviço",0,IF(OR(AND(AUTOEVENTO="Manual",$M364=1),$M364&gt;(ROW(PLE.lastrow)-ROW(PLE.firstrow))),0,IF(OFFSET(PLE!$G$14,$M364,CK$13)="",10^12,OFFSET(PLE!$G$14,$M364,CK$13))))</f>
        <v>1000000000000</v>
      </c>
      <c r="CL364" s="182">
        <f ca="1">IF($D364&lt;&gt;"Serviço",0,IF(OR(AND(AUTOEVENTO="Manual",$M364=1),$M364&gt;(ROW(PLE.lastrow)-ROW(PLE.firstrow))),0,IF(OFFSET(PLE!$G$14,$M364,CL$13)="",10^12,OFFSET(PLE!$G$14,$M364,CL$13))))</f>
        <v>1000000000000</v>
      </c>
      <c r="CM364" s="182">
        <f ca="1">IF($D364&lt;&gt;"Serviço",0,IF(OR(AND(AUTOEVENTO="Manual",$M364=1),$M364&gt;(ROW(PLE.lastrow)-ROW(PLE.firstrow))),0,IF(OFFSET(PLE!$G$14,$M364,CM$13)="",10^12,OFFSET(PLE!$G$14,$M364,CM$13))))</f>
        <v>1000000000000</v>
      </c>
    </row>
    <row r="365" spans="1:91" ht="12.75" x14ac:dyDescent="0.2">
      <c r="A365" s="7" t="str">
        <f t="shared" ca="1" si="12"/>
        <v>350.</v>
      </c>
      <c r="B365" s="7">
        <f ca="1">OFFSET(ORÇAMENTO!C$15,ROW(B365)-ROW(B$15),0)</f>
        <v>2</v>
      </c>
      <c r="C365" s="7" t="str">
        <f ca="1">OFFSET(ORÇAMENTO!L$15,ROW(C365)-ROW(C$15),0)</f>
        <v>F</v>
      </c>
      <c r="D365" s="118" t="str">
        <f ca="1">OFFSET(ORÇAMENTO!N$15,ROW(D365)-ROW(D$15),0)</f>
        <v>Nível 2</v>
      </c>
      <c r="E365" s="119" t="str">
        <f ca="1">OFFSET(ORÇAMENTO!O$15,ROW(E365)-ROW(E$15),0)</f>
        <v>1.43.</v>
      </c>
      <c r="F365" s="172" t="str">
        <f ca="1">OFFSET(ORÇAMENTO!R$15,ROW(F365)-ROW(F$15),0)</f>
        <v>LOUÇAS, ACESSÓRIOS E METAIS</v>
      </c>
      <c r="G365" s="173" t="str">
        <f ca="1">IF($D365&lt;&gt;"Serviço","",OFFSET(ORÇAMENTO!S$15,ROW(G365)-ROW(G$15),0))</f>
        <v/>
      </c>
      <c r="H365" s="124">
        <f ca="1">IF($D365&lt;&gt;"Serviço",0,IF(ACOMPANHAMENTO="BM",ROUND(OFFSET(ORÇAMENTO!AJ$15,ROW(H365)-ROW(H$15),0),15-13*ORÇAMENTO!$AF$7),SUMPRODUCT(($Q$12:$AI$12&lt;&gt;"")*ROUND($Q365:$AI365,15-13*ORÇAMENTO!$AF$7))))</f>
        <v>0</v>
      </c>
      <c r="I365" s="561"/>
      <c r="K365" s="174"/>
      <c r="L365" s="175" t="s">
        <v>255</v>
      </c>
      <c r="M365" s="176" t="str">
        <f ca="1">IF($D365&lt;&gt;"Serviço","",IF(AUTOEVENTO="manual",$A365,IF(ISERROR(MATCH($A365,$A$15:OFFSET($A365,-1,0),0)),MAX($M$15:OFFSET(M365,-1,0))+1,INDEX($M$15:OFFSET(M365,-1,0),MATCH($A365,$A$15:OFFSET($A365,-1,0),0)))))</f>
        <v/>
      </c>
      <c r="N365" s="177" t="str">
        <f ca="1">IF($D365&lt;&gt;"Serviço","",IF(AUTOEVENTO="Manual",IF($A365=0,"&lt;-- defina o número do agrupador",OFFSET(EVENTOS!$D$14,$A365,0)),OFFSET($F$15,$A365,0)))</f>
        <v/>
      </c>
      <c r="O365" s="178"/>
      <c r="Q365" s="178">
        <v>0</v>
      </c>
      <c r="R365" s="179"/>
      <c r="S365" s="179"/>
      <c r="T365" s="179"/>
      <c r="U365" s="179"/>
      <c r="V365" s="179"/>
      <c r="W365" s="179"/>
      <c r="X365" s="179"/>
      <c r="Y365" s="179"/>
      <c r="Z365" s="180"/>
      <c r="AA365" s="179"/>
      <c r="AB365" s="179"/>
      <c r="AC365" s="179"/>
      <c r="AD365" s="179"/>
      <c r="AE365" s="179"/>
      <c r="AF365" s="179"/>
      <c r="AG365" s="179"/>
      <c r="AH365" s="180"/>
      <c r="AJ365" s="544">
        <f ca="1">IF(AND($D365="Serviço",AJ$12&lt;&gt;0,$H365&gt;0,OR(AUTOEVENTO&lt;&gt;"manual",$M365&lt;&gt;1)),
IF(Import.TipoArredondamento&lt;&gt;"TransfereGOV",
ROUND(OFFSET($P365,0,AJ$13),15-13*ORÇAMENTO!$AF$7)/$H365*OFFSET(ORÇAMENTO!$X$15,ROW(AJ365)-ROW(AJ$15),0),
ROUND(ROUND(OFFSET($P365,0,AJ$13),15-13*ORÇAMENTO!$AF$7)*OFFSET(ORÇAMENTO!$W$15,ROW(AJ365)-ROW(AJ$15),0),15-13*ORÇAMENTO!$AF$11)),0)</f>
        <v>0</v>
      </c>
      <c r="AK365" s="545">
        <f ca="1">IF(AND($D365="Serviço",AK$12&lt;&gt;0,$H365&gt;0,OR(AUTOEVENTO&lt;&gt;"manual",$M365&lt;&gt;1)),
IF(Import.TipoArredondamento&lt;&gt;"TransfereGOV",
ROUND(OFFSET($P365,0,AK$13),15-13*ORÇAMENTO!$AF$7)/$H365*OFFSET(ORÇAMENTO!$X$15,ROW(AK365)-ROW(AK$15),0),
ROUND(ROUND(OFFSET($P365,0,AK$13),15-13*ORÇAMENTO!$AF$7)*OFFSET(ORÇAMENTO!$W$15,ROW(AK365)-ROW(AK$15),0),15-13*ORÇAMENTO!$AF$11)),0)</f>
        <v>0</v>
      </c>
      <c r="AL365" s="545">
        <f ca="1">IF(AND($D365="Serviço",AL$12&lt;&gt;0,$H365&gt;0,OR(AUTOEVENTO&lt;&gt;"manual",$M365&lt;&gt;1)),
IF(Import.TipoArredondamento&lt;&gt;"TransfereGOV",
ROUND(OFFSET($P365,0,AL$13),15-13*ORÇAMENTO!$AF$7)/$H365*OFFSET(ORÇAMENTO!$X$15,ROW(AL365)-ROW(AL$15),0),
ROUND(ROUND(OFFSET($P365,0,AL$13),15-13*ORÇAMENTO!$AF$7)*OFFSET(ORÇAMENTO!$W$15,ROW(AL365)-ROW(AL$15),0),15-13*ORÇAMENTO!$AF$11)),0)</f>
        <v>0</v>
      </c>
      <c r="AM365" s="545">
        <f ca="1">IF(AND($D365="Serviço",AM$12&lt;&gt;0,$H365&gt;0,OR(AUTOEVENTO&lt;&gt;"manual",$M365&lt;&gt;1)),
IF(Import.TipoArredondamento&lt;&gt;"TransfereGOV",
ROUND(OFFSET($P365,0,AM$13),15-13*ORÇAMENTO!$AF$7)/$H365*OFFSET(ORÇAMENTO!$X$15,ROW(AM365)-ROW(AM$15),0),
ROUND(ROUND(OFFSET($P365,0,AM$13),15-13*ORÇAMENTO!$AF$7)*OFFSET(ORÇAMENTO!$W$15,ROW(AM365)-ROW(AM$15),0),15-13*ORÇAMENTO!$AF$11)),0)</f>
        <v>0</v>
      </c>
      <c r="AN365" s="545">
        <f ca="1">IF(AND($D365="Serviço",AN$12&lt;&gt;0,$H365&gt;0,OR(AUTOEVENTO&lt;&gt;"manual",$M365&lt;&gt;1)),
IF(Import.TipoArredondamento&lt;&gt;"TransfereGOV",
ROUND(OFFSET($P365,0,AN$13),15-13*ORÇAMENTO!$AF$7)/$H365*OFFSET(ORÇAMENTO!$X$15,ROW(AN365)-ROW(AN$15),0),
ROUND(ROUND(OFFSET($P365,0,AN$13),15-13*ORÇAMENTO!$AF$7)*OFFSET(ORÇAMENTO!$W$15,ROW(AN365)-ROW(AN$15),0),15-13*ORÇAMENTO!$AF$11)),0)</f>
        <v>0</v>
      </c>
      <c r="AO365" s="545">
        <f ca="1">IF(AND($D365="Serviço",AO$12&lt;&gt;0,$H365&gt;0,OR(AUTOEVENTO&lt;&gt;"manual",$M365&lt;&gt;1)),
IF(Import.TipoArredondamento&lt;&gt;"TransfereGOV",
ROUND(OFFSET($P365,0,AO$13),15-13*ORÇAMENTO!$AF$7)/$H365*OFFSET(ORÇAMENTO!$X$15,ROW(AO365)-ROW(AO$15),0),
ROUND(ROUND(OFFSET($P365,0,AO$13),15-13*ORÇAMENTO!$AF$7)*OFFSET(ORÇAMENTO!$W$15,ROW(AO365)-ROW(AO$15),0),15-13*ORÇAMENTO!$AF$11)),0)</f>
        <v>0</v>
      </c>
      <c r="AP365" s="545">
        <f ca="1">IF(AND($D365="Serviço",AP$12&lt;&gt;0,$H365&gt;0,OR(AUTOEVENTO&lt;&gt;"manual",$M365&lt;&gt;1)),
IF(Import.TipoArredondamento&lt;&gt;"TransfereGOV",
ROUND(OFFSET($P365,0,AP$13),15-13*ORÇAMENTO!$AF$7)/$H365*OFFSET(ORÇAMENTO!$X$15,ROW(AP365)-ROW(AP$15),0),
ROUND(ROUND(OFFSET($P365,0,AP$13),15-13*ORÇAMENTO!$AF$7)*OFFSET(ORÇAMENTO!$W$15,ROW(AP365)-ROW(AP$15),0),15-13*ORÇAMENTO!$AF$11)),0)</f>
        <v>0</v>
      </c>
      <c r="AQ365" s="545">
        <f ca="1">IF(AND($D365="Serviço",AQ$12&lt;&gt;0,$H365&gt;0,OR(AUTOEVENTO&lt;&gt;"manual",$M365&lt;&gt;1)),
IF(Import.TipoArredondamento&lt;&gt;"TransfereGOV",
ROUND(OFFSET($P365,0,AQ$13),15-13*ORÇAMENTO!$AF$7)/$H365*OFFSET(ORÇAMENTO!$X$15,ROW(AQ365)-ROW(AQ$15),0),
ROUND(ROUND(OFFSET($P365,0,AQ$13),15-13*ORÇAMENTO!$AF$7)*OFFSET(ORÇAMENTO!$W$15,ROW(AQ365)-ROW(AQ$15),0),15-13*ORÇAMENTO!$AF$11)),0)</f>
        <v>0</v>
      </c>
      <c r="AR365" s="545">
        <f ca="1">IF(AND($D365="Serviço",AR$12&lt;&gt;0,$H365&gt;0,OR(AUTOEVENTO&lt;&gt;"manual",$M365&lt;&gt;1)),
IF(Import.TipoArredondamento&lt;&gt;"TransfereGOV",
ROUND(OFFSET($P365,0,AR$13),15-13*ORÇAMENTO!$AF$7)/$H365*OFFSET(ORÇAMENTO!$X$15,ROW(AR365)-ROW(AR$15),0),
ROUND(ROUND(OFFSET($P365,0,AR$13),15-13*ORÇAMENTO!$AF$7)*OFFSET(ORÇAMENTO!$W$15,ROW(AR365)-ROW(AR$15),0),15-13*ORÇAMENTO!$AF$11)),0)</f>
        <v>0</v>
      </c>
      <c r="AS365" s="546">
        <f ca="1">IF(AND($D365="Serviço",AS$12&lt;&gt;0,$H365&gt;0,OR(AUTOEVENTO&lt;&gt;"manual",$M365&lt;&gt;1)),
IF(Import.TipoArredondamento&lt;&gt;"TransfereGOV",
ROUND(OFFSET($P365,0,AS$13),15-13*ORÇAMENTO!$AF$7)/$H365*OFFSET(ORÇAMENTO!$X$15,ROW(AS365)-ROW(AS$15),0),
ROUND(ROUND(OFFSET($P365,0,AS$13),15-13*ORÇAMENTO!$AF$7)*OFFSET(ORÇAMENTO!$W$15,ROW(AS365)-ROW(AS$15),0),15-13*ORÇAMENTO!$AF$11)),0)</f>
        <v>0</v>
      </c>
      <c r="AT365" s="545">
        <f ca="1">IF(AND($D365="Serviço",AT$12&lt;&gt;0,$H365&gt;0,OR(AUTOEVENTO&lt;&gt;"manual",$M365&lt;&gt;1)),
IF(Import.TipoArredondamento&lt;&gt;"TransfereGOV",
ROUND(OFFSET($P365,0,AT$13),15-13*ORÇAMENTO!$AF$7)/$H365*OFFSET(ORÇAMENTO!$X$15,ROW(AT365)-ROW(AT$15),0),
ROUND(ROUND(OFFSET($P365,0,AT$13),15-13*ORÇAMENTO!$AF$7)*OFFSET(ORÇAMENTO!$W$15,ROW(AT365)-ROW(AT$15),0),15-13*ORÇAMENTO!$AF$11)),0)</f>
        <v>0</v>
      </c>
      <c r="AU365" s="545">
        <f ca="1">IF(AND($D365="Serviço",AU$12&lt;&gt;0,$H365&gt;0,OR(AUTOEVENTO&lt;&gt;"manual",$M365&lt;&gt;1)),
IF(Import.TipoArredondamento&lt;&gt;"TransfereGOV",
ROUND(OFFSET($P365,0,AU$13),15-13*ORÇAMENTO!$AF$7)/$H365*OFFSET(ORÇAMENTO!$X$15,ROW(AU365)-ROW(AU$15),0),
ROUND(ROUND(OFFSET($P365,0,AU$13),15-13*ORÇAMENTO!$AF$7)*OFFSET(ORÇAMENTO!$W$15,ROW(AU365)-ROW(AU$15),0),15-13*ORÇAMENTO!$AF$11)),0)</f>
        <v>0</v>
      </c>
      <c r="AV365" s="545">
        <f ca="1">IF(AND($D365="Serviço",AV$12&lt;&gt;0,$H365&gt;0,OR(AUTOEVENTO&lt;&gt;"manual",$M365&lt;&gt;1)),
IF(Import.TipoArredondamento&lt;&gt;"TransfereGOV",
ROUND(OFFSET($P365,0,AV$13),15-13*ORÇAMENTO!$AF$7)/$H365*OFFSET(ORÇAMENTO!$X$15,ROW(AV365)-ROW(AV$15),0),
ROUND(ROUND(OFFSET($P365,0,AV$13),15-13*ORÇAMENTO!$AF$7)*OFFSET(ORÇAMENTO!$W$15,ROW(AV365)-ROW(AV$15),0),15-13*ORÇAMENTO!$AF$11)),0)</f>
        <v>0</v>
      </c>
      <c r="AW365" s="545">
        <f ca="1">IF(AND($D365="Serviço",AW$12&lt;&gt;0,$H365&gt;0,OR(AUTOEVENTO&lt;&gt;"manual",$M365&lt;&gt;1)),
IF(Import.TipoArredondamento&lt;&gt;"TransfereGOV",
ROUND(OFFSET($P365,0,AW$13),15-13*ORÇAMENTO!$AF$7)/$H365*OFFSET(ORÇAMENTO!$X$15,ROW(AW365)-ROW(AW$15),0),
ROUND(ROUND(OFFSET($P365,0,AW$13),15-13*ORÇAMENTO!$AF$7)*OFFSET(ORÇAMENTO!$W$15,ROW(AW365)-ROW(AW$15),0),15-13*ORÇAMENTO!$AF$11)),0)</f>
        <v>0</v>
      </c>
      <c r="AX365" s="545">
        <f ca="1">IF(AND($D365="Serviço",AX$12&lt;&gt;0,$H365&gt;0,OR(AUTOEVENTO&lt;&gt;"manual",$M365&lt;&gt;1)),
IF(Import.TipoArredondamento&lt;&gt;"TransfereGOV",
ROUND(OFFSET($P365,0,AX$13),15-13*ORÇAMENTO!$AF$7)/$H365*OFFSET(ORÇAMENTO!$X$15,ROW(AX365)-ROW(AX$15),0),
ROUND(ROUND(OFFSET($P365,0,AX$13),15-13*ORÇAMENTO!$AF$7)*OFFSET(ORÇAMENTO!$W$15,ROW(AX365)-ROW(AX$15),0),15-13*ORÇAMENTO!$AF$11)),0)</f>
        <v>0</v>
      </c>
      <c r="AY365" s="545">
        <f ca="1">IF(AND($D365="Serviço",AY$12&lt;&gt;0,$H365&gt;0,OR(AUTOEVENTO&lt;&gt;"manual",$M365&lt;&gt;1)),
IF(Import.TipoArredondamento&lt;&gt;"TransfereGOV",
ROUND(OFFSET($P365,0,AY$13),15-13*ORÇAMENTO!$AF$7)/$H365*OFFSET(ORÇAMENTO!$X$15,ROW(AY365)-ROW(AY$15),0),
ROUND(ROUND(OFFSET($P365,0,AY$13),15-13*ORÇAMENTO!$AF$7)*OFFSET(ORÇAMENTO!$W$15,ROW(AY365)-ROW(AY$15),0),15-13*ORÇAMENTO!$AF$11)),0)</f>
        <v>0</v>
      </c>
      <c r="AZ365" s="545">
        <f ca="1">IF(AND($D365="Serviço",AZ$12&lt;&gt;0,$H365&gt;0,OR(AUTOEVENTO&lt;&gt;"manual",$M365&lt;&gt;1)),
IF(Import.TipoArredondamento&lt;&gt;"TransfereGOV",
ROUND(OFFSET($P365,0,AZ$13),15-13*ORÇAMENTO!$AF$7)/$H365*OFFSET(ORÇAMENTO!$X$15,ROW(AZ365)-ROW(AZ$15),0),
ROUND(ROUND(OFFSET($P365,0,AZ$13),15-13*ORÇAMENTO!$AF$7)*OFFSET(ORÇAMENTO!$W$15,ROW(AZ365)-ROW(AZ$15),0),15-13*ORÇAMENTO!$AF$11)),0)</f>
        <v>0</v>
      </c>
      <c r="BA365" s="546">
        <f ca="1">IF(AND($D365="Serviço",BA$12&lt;&gt;0,$H365&gt;0,OR(AUTOEVENTO&lt;&gt;"manual",$M365&lt;&gt;1)),
IF(Import.TipoArredondamento&lt;&gt;"TransfereGOV",
ROUND(OFFSET($P365,0,BA$13),15-13*ORÇAMENTO!$AF$7)/$H365*OFFSET(ORÇAMENTO!$X$15,ROW(BA365)-ROW(BA$15),0),
ROUND(ROUND(OFFSET($P365,0,BA$13),15-13*ORÇAMENTO!$AF$7)*OFFSET(ORÇAMENTO!$W$15,ROW(BA365)-ROW(BA$15),0),15-13*ORÇAMENTO!$AF$11)),0)</f>
        <v>0</v>
      </c>
      <c r="BC365" s="181">
        <f ca="1">IF($D365&lt;&gt;"Serviço",0,IF(AND(AUTOEVENTO="Manual",$M365=1),0,IF(OFFSET(CRONOPLE!$F$14,$M365,BC$13)="",10^12,OFFSET(CRONOPLE!$F$14,$M365,BC$13))))</f>
        <v>0</v>
      </c>
      <c r="BD365" s="181">
        <f ca="1">IF($D365&lt;&gt;"Serviço",0,IF(AND(AUTOEVENTO="Manual",$M365=1),0,IF(OFFSET(CRONOPLE!$F$14,$M365,BD$13)="",10^12,OFFSET(CRONOPLE!$F$14,$M365,BD$13))))</f>
        <v>0</v>
      </c>
      <c r="BE365" s="181">
        <f ca="1">IF($D365&lt;&gt;"Serviço",0,IF(AND(AUTOEVENTO="Manual",$M365=1),0,IF(OFFSET(CRONOPLE!$F$14,$M365,BE$13)="",10^12,OFFSET(CRONOPLE!$F$14,$M365,BE$13))))</f>
        <v>0</v>
      </c>
      <c r="BF365" s="181">
        <f ca="1">IF($D365&lt;&gt;"Serviço",0,IF(AND(AUTOEVENTO="Manual",$M365=1),0,IF(OFFSET(CRONOPLE!$F$14,$M365,BF$13)="",10^12,OFFSET(CRONOPLE!$F$14,$M365,BF$13))))</f>
        <v>0</v>
      </c>
      <c r="BG365" s="181">
        <f ca="1">IF($D365&lt;&gt;"Serviço",0,IF(AND(AUTOEVENTO="Manual",$M365=1),0,IF(OFFSET(CRONOPLE!$F$14,$M365,BG$13)="",10^12,OFFSET(CRONOPLE!$F$14,$M365,BG$13))))</f>
        <v>0</v>
      </c>
      <c r="BH365" s="181">
        <f ca="1">IF($D365&lt;&gt;"Serviço",0,IF(AND(AUTOEVENTO="Manual",$M365=1),0,IF(OFFSET(CRONOPLE!$F$14,$M365,BH$13)="",10^12,OFFSET(CRONOPLE!$F$14,$M365,BH$13))))</f>
        <v>0</v>
      </c>
      <c r="BI365" s="181">
        <f ca="1">IF($D365&lt;&gt;"Serviço",0,IF(AND(AUTOEVENTO="Manual",$M365=1),0,IF(OFFSET(CRONOPLE!$F$14,$M365,BI$13)="",10^12,OFFSET(CRONOPLE!$F$14,$M365,BI$13))))</f>
        <v>0</v>
      </c>
      <c r="BJ365" s="181">
        <f ca="1">IF($D365&lt;&gt;"Serviço",0,IF(AND(AUTOEVENTO="Manual",$M365=1),0,IF(OFFSET(CRONOPLE!$F$14,$M365,BJ$13)="",10^12,OFFSET(CRONOPLE!$F$14,$M365,BJ$13))))</f>
        <v>0</v>
      </c>
      <c r="BK365" s="181">
        <f ca="1">IF($D365&lt;&gt;"Serviço",0,IF(AND(AUTOEVENTO="Manual",$M365=1),0,IF(OFFSET(CRONOPLE!$F$14,$M365,BK$13)="",10^12,OFFSET(CRONOPLE!$F$14,$M365,BK$13))))</f>
        <v>0</v>
      </c>
      <c r="BL365" s="181">
        <f ca="1">IF($D365&lt;&gt;"Serviço",0,IF(AND(AUTOEVENTO="Manual",$M365=1),0,IF(OFFSET(CRONOPLE!$F$14,$M365,BL$13)="",10^12,OFFSET(CRONOPLE!$F$14,$M365,BL$13))))</f>
        <v>0</v>
      </c>
      <c r="BM365" s="181">
        <f ca="1">IF($D365&lt;&gt;"Serviço",0,IF(AND(AUTOEVENTO="Manual",$M365=1),0,IF(OFFSET(CRONOPLE!$F$14,$M365,BM$13)="",10^12,OFFSET(CRONOPLE!$F$14,$M365,BM$13))))</f>
        <v>0</v>
      </c>
      <c r="BN365" s="181">
        <f ca="1">IF($D365&lt;&gt;"Serviço",0,IF(AND(AUTOEVENTO="Manual",$M365=1),0,IF(OFFSET(CRONOPLE!$F$14,$M365,BN$13)="",10^12,OFFSET(CRONOPLE!$F$14,$M365,BN$13))))</f>
        <v>0</v>
      </c>
      <c r="BO365" s="181">
        <f ca="1">IF($D365&lt;&gt;"Serviço",0,IF(AND(AUTOEVENTO="Manual",$M365=1),0,IF(OFFSET(CRONOPLE!$F$14,$M365,BO$13)="",10^12,OFFSET(CRONOPLE!$F$14,$M365,BO$13))))</f>
        <v>0</v>
      </c>
      <c r="BP365" s="181">
        <f ca="1">IF($D365&lt;&gt;"Serviço",0,IF(AND(AUTOEVENTO="Manual",$M365=1),0,IF(OFFSET(CRONOPLE!$F$14,$M365,BP$13)="",10^12,OFFSET(CRONOPLE!$F$14,$M365,BP$13))))</f>
        <v>0</v>
      </c>
      <c r="BQ365" s="181">
        <f ca="1">IF($D365&lt;&gt;"Serviço",0,IF(AND(AUTOEVENTO="Manual",$M365=1),0,IF(OFFSET(CRONOPLE!$F$14,$M365,BQ$13)="",10^12,OFFSET(CRONOPLE!$F$14,$M365,BQ$13))))</f>
        <v>0</v>
      </c>
      <c r="BR365" s="181">
        <f ca="1">IF($D365&lt;&gt;"Serviço",0,IF(AND(AUTOEVENTO="Manual",$M365=1),0,IF(OFFSET(CRONOPLE!$F$14,$M365,BR$13)="",10^12,OFFSET(CRONOPLE!$F$14,$M365,BR$13))))</f>
        <v>0</v>
      </c>
      <c r="BS365" s="181">
        <f ca="1">IF($D365&lt;&gt;"Serviço",0,IF(AND(AUTOEVENTO="Manual",$M365=1),0,IF(OFFSET(CRONOPLE!$F$14,$M365,BS$13)="",10^12,OFFSET(CRONOPLE!$F$14,$M365,BS$13))))</f>
        <v>0</v>
      </c>
      <c r="BT365" s="181">
        <f ca="1">IF($D365&lt;&gt;"Serviço",0,IF(AND(AUTOEVENTO="Manual",$M365=1),0,IF(OFFSET(CRONOPLE!$F$14,$M365,BT$13)="",10^12,OFFSET(CRONOPLE!$F$14,$M365,BT$13))))</f>
        <v>0</v>
      </c>
      <c r="BV365" s="182">
        <f ca="1">IF($D365&lt;&gt;"Serviço",0,IF(OR(AND(AUTOEVENTO="Manual",$M365=1),$M365&gt;(ROW(PLE.lastrow)-ROW(PLE.firstrow))),0,IF(OFFSET(PLE!$G$14,$M365,BV$13)="",10^12,OFFSET(PLE!$G$14,$M365,BV$13))))</f>
        <v>0</v>
      </c>
      <c r="BW365" s="182">
        <f ca="1">IF($D365&lt;&gt;"Serviço",0,IF(OR(AND(AUTOEVENTO="Manual",$M365=1),$M365&gt;(ROW(PLE.lastrow)-ROW(PLE.firstrow))),0,IF(OFFSET(PLE!$G$14,$M365,BW$13)="",10^12,OFFSET(PLE!$G$14,$M365,BW$13))))</f>
        <v>0</v>
      </c>
      <c r="BX365" s="182">
        <f ca="1">IF($D365&lt;&gt;"Serviço",0,IF(OR(AND(AUTOEVENTO="Manual",$M365=1),$M365&gt;(ROW(PLE.lastrow)-ROW(PLE.firstrow))),0,IF(OFFSET(PLE!$G$14,$M365,BX$13)="",10^12,OFFSET(PLE!$G$14,$M365,BX$13))))</f>
        <v>0</v>
      </c>
      <c r="BY365" s="182">
        <f ca="1">IF($D365&lt;&gt;"Serviço",0,IF(OR(AND(AUTOEVENTO="Manual",$M365=1),$M365&gt;(ROW(PLE.lastrow)-ROW(PLE.firstrow))),0,IF(OFFSET(PLE!$G$14,$M365,BY$13)="",10^12,OFFSET(PLE!$G$14,$M365,BY$13))))</f>
        <v>0</v>
      </c>
      <c r="BZ365" s="182">
        <f ca="1">IF($D365&lt;&gt;"Serviço",0,IF(OR(AND(AUTOEVENTO="Manual",$M365=1),$M365&gt;(ROW(PLE.lastrow)-ROW(PLE.firstrow))),0,IF(OFFSET(PLE!$G$14,$M365,BZ$13)="",10^12,OFFSET(PLE!$G$14,$M365,BZ$13))))</f>
        <v>0</v>
      </c>
      <c r="CA365" s="182">
        <f ca="1">IF($D365&lt;&gt;"Serviço",0,IF(OR(AND(AUTOEVENTO="Manual",$M365=1),$M365&gt;(ROW(PLE.lastrow)-ROW(PLE.firstrow))),0,IF(OFFSET(PLE!$G$14,$M365,CA$13)="",10^12,OFFSET(PLE!$G$14,$M365,CA$13))))</f>
        <v>0</v>
      </c>
      <c r="CB365" s="182">
        <f ca="1">IF($D365&lt;&gt;"Serviço",0,IF(OR(AND(AUTOEVENTO="Manual",$M365=1),$M365&gt;(ROW(PLE.lastrow)-ROW(PLE.firstrow))),0,IF(OFFSET(PLE!$G$14,$M365,CB$13)="",10^12,OFFSET(PLE!$G$14,$M365,CB$13))))</f>
        <v>0</v>
      </c>
      <c r="CC365" s="182">
        <f ca="1">IF($D365&lt;&gt;"Serviço",0,IF(OR(AND(AUTOEVENTO="Manual",$M365=1),$M365&gt;(ROW(PLE.lastrow)-ROW(PLE.firstrow))),0,IF(OFFSET(PLE!$G$14,$M365,CC$13)="",10^12,OFFSET(PLE!$G$14,$M365,CC$13))))</f>
        <v>0</v>
      </c>
      <c r="CD365" s="182">
        <f ca="1">IF($D365&lt;&gt;"Serviço",0,IF(OR(AND(AUTOEVENTO="Manual",$M365=1),$M365&gt;(ROW(PLE.lastrow)-ROW(PLE.firstrow))),0,IF(OFFSET(PLE!$G$14,$M365,CD$13)="",10^12,OFFSET(PLE!$G$14,$M365,CD$13))))</f>
        <v>0</v>
      </c>
      <c r="CE365" s="182">
        <f ca="1">IF($D365&lt;&gt;"Serviço",0,IF(OR(AND(AUTOEVENTO="Manual",$M365=1),$M365&gt;(ROW(PLE.lastrow)-ROW(PLE.firstrow))),0,IF(OFFSET(PLE!$G$14,$M365,CE$13)="",10^12,OFFSET(PLE!$G$14,$M365,CE$13))))</f>
        <v>0</v>
      </c>
      <c r="CF365" s="182">
        <f ca="1">IF($D365&lt;&gt;"Serviço",0,IF(OR(AND(AUTOEVENTO="Manual",$M365=1),$M365&gt;(ROW(PLE.lastrow)-ROW(PLE.firstrow))),0,IF(OFFSET(PLE!$G$14,$M365,CF$13)="",10^12,OFFSET(PLE!$G$14,$M365,CF$13))))</f>
        <v>0</v>
      </c>
      <c r="CG365" s="182">
        <f ca="1">IF($D365&lt;&gt;"Serviço",0,IF(OR(AND(AUTOEVENTO="Manual",$M365=1),$M365&gt;(ROW(PLE.lastrow)-ROW(PLE.firstrow))),0,IF(OFFSET(PLE!$G$14,$M365,CG$13)="",10^12,OFFSET(PLE!$G$14,$M365,CG$13))))</f>
        <v>0</v>
      </c>
      <c r="CH365" s="182">
        <f ca="1">IF($D365&lt;&gt;"Serviço",0,IF(OR(AND(AUTOEVENTO="Manual",$M365=1),$M365&gt;(ROW(PLE.lastrow)-ROW(PLE.firstrow))),0,IF(OFFSET(PLE!$G$14,$M365,CH$13)="",10^12,OFFSET(PLE!$G$14,$M365,CH$13))))</f>
        <v>0</v>
      </c>
      <c r="CI365" s="182">
        <f ca="1">IF($D365&lt;&gt;"Serviço",0,IF(OR(AND(AUTOEVENTO="Manual",$M365=1),$M365&gt;(ROW(PLE.lastrow)-ROW(PLE.firstrow))),0,IF(OFFSET(PLE!$G$14,$M365,CI$13)="",10^12,OFFSET(PLE!$G$14,$M365,CI$13))))</f>
        <v>0</v>
      </c>
      <c r="CJ365" s="182">
        <f ca="1">IF($D365&lt;&gt;"Serviço",0,IF(OR(AND(AUTOEVENTO="Manual",$M365=1),$M365&gt;(ROW(PLE.lastrow)-ROW(PLE.firstrow))),0,IF(OFFSET(PLE!$G$14,$M365,CJ$13)="",10^12,OFFSET(PLE!$G$14,$M365,CJ$13))))</f>
        <v>0</v>
      </c>
      <c r="CK365" s="182">
        <f ca="1">IF($D365&lt;&gt;"Serviço",0,IF(OR(AND(AUTOEVENTO="Manual",$M365=1),$M365&gt;(ROW(PLE.lastrow)-ROW(PLE.firstrow))),0,IF(OFFSET(PLE!$G$14,$M365,CK$13)="",10^12,OFFSET(PLE!$G$14,$M365,CK$13))))</f>
        <v>0</v>
      </c>
      <c r="CL365" s="182">
        <f ca="1">IF($D365&lt;&gt;"Serviço",0,IF(OR(AND(AUTOEVENTO="Manual",$M365=1),$M365&gt;(ROW(PLE.lastrow)-ROW(PLE.firstrow))),0,IF(OFFSET(PLE!$G$14,$M365,CL$13)="",10^12,OFFSET(PLE!$G$14,$M365,CL$13))))</f>
        <v>0</v>
      </c>
      <c r="CM365" s="182">
        <f ca="1">IF($D365&lt;&gt;"Serviço",0,IF(OR(AND(AUTOEVENTO="Manual",$M365=1),$M365&gt;(ROW(PLE.lastrow)-ROW(PLE.firstrow))),0,IF(OFFSET(PLE!$G$14,$M365,CM$13)="",10^12,OFFSET(PLE!$G$14,$M365,CM$13))))</f>
        <v>0</v>
      </c>
    </row>
    <row r="366" spans="1:91" ht="38.25" x14ac:dyDescent="0.2">
      <c r="A366" s="7" t="str">
        <f t="shared" ca="1" si="12"/>
        <v>350</v>
      </c>
      <c r="B366" s="7" t="str">
        <f ca="1">OFFSET(ORÇAMENTO!C$15,ROW(B366)-ROW(B$15),0)</f>
        <v>S</v>
      </c>
      <c r="C366" s="7" t="str">
        <f ca="1">OFFSET(ORÇAMENTO!L$15,ROW(C366)-ROW(C$15),0)</f>
        <v/>
      </c>
      <c r="D366" s="118" t="str">
        <f ca="1">OFFSET(ORÇAMENTO!N$15,ROW(D366)-ROW(D$15),0)</f>
        <v>Serviço</v>
      </c>
      <c r="E366" s="119" t="str">
        <f ca="1">OFFSET(ORÇAMENTO!O$15,ROW(E366)-ROW(E$15),0)</f>
        <v>-</v>
      </c>
      <c r="F366" s="172" t="str">
        <f ca="1">OFFSET(ORÇAMENTO!R$15,ROW(F366)-ROW(F$15),0)</f>
        <v>(abra o arquivo 'Referência 06-2024.xlsm)</v>
      </c>
      <c r="G366" s="173" t="str">
        <f ca="1">IF($D366&lt;&gt;"Serviço","",OFFSET(ORÇAMENTO!S$15,ROW(G366)-ROW(G$15),0))</f>
        <v>-</v>
      </c>
      <c r="H366" s="124">
        <f ca="1">IF($D366&lt;&gt;"Serviço",0,IF(ACOMPANHAMENTO="BM",ROUND(OFFSET(ORÇAMENTO!AJ$15,ROW(H366)-ROW(H$15),0),15-13*ORÇAMENTO!$AF$7),SUMPRODUCT(($Q$12:$AI$12&lt;&gt;"")*ROUND($Q366:$AI366,15-13*ORÇAMENTO!$AF$7))))</f>
        <v>6</v>
      </c>
      <c r="I366" s="561" t="s">
        <v>1107</v>
      </c>
      <c r="K366" s="174"/>
      <c r="L366" s="175" t="s">
        <v>255</v>
      </c>
      <c r="M366" s="176">
        <f ca="1">IF($D366&lt;&gt;"Serviço","",IF(AUTOEVENTO="manual",$A366,IF(ISERROR(MATCH($A366,$A$15:OFFSET($A366,-1,0),0)),MAX($M$15:OFFSET(M366,-1,0))+1,INDEX($M$15:OFFSET(M366,-1,0),MATCH($A366,$A$15:OFFSET($A366,-1,0),0)))))</f>
        <v>44</v>
      </c>
      <c r="N366" s="177" t="str">
        <f ca="1">IF($D366&lt;&gt;"Serviço","",IF(AUTOEVENTO="Manual",IF($A366=0,"&lt;-- defina o número do agrupador",OFFSET(EVENTOS!$D$14,$A366,0)),OFFSET($F$15,$A366,0)))</f>
        <v>LOUÇAS, ACESSÓRIOS E METAIS</v>
      </c>
      <c r="O366" s="178"/>
      <c r="Q366" s="178">
        <v>6</v>
      </c>
      <c r="R366" s="179"/>
      <c r="S366" s="179"/>
      <c r="T366" s="179"/>
      <c r="U366" s="179"/>
      <c r="V366" s="179"/>
      <c r="W366" s="179"/>
      <c r="X366" s="179"/>
      <c r="Y366" s="179"/>
      <c r="Z366" s="180"/>
      <c r="AA366" s="179"/>
      <c r="AB366" s="179"/>
      <c r="AC366" s="179"/>
      <c r="AD366" s="179"/>
      <c r="AE366" s="179"/>
      <c r="AF366" s="179"/>
      <c r="AG366" s="179"/>
      <c r="AH366" s="180"/>
      <c r="AJ366" s="544">
        <f ca="1">IF(AND($D366="Serviço",AJ$12&lt;&gt;0,$H366&gt;0,OR(AUTOEVENTO&lt;&gt;"manual",$M366&lt;&gt;1)),
IF(Import.TipoArredondamento&lt;&gt;"TransfereGOV",
ROUND(OFFSET($P366,0,AJ$13),15-13*ORÇAMENTO!$AF$7)/$H366*OFFSET(ORÇAMENTO!$X$15,ROW(AJ366)-ROW(AJ$15),0),
ROUND(ROUND(OFFSET($P366,0,AJ$13),15-13*ORÇAMENTO!$AF$7)*OFFSET(ORÇAMENTO!$W$15,ROW(AJ366)-ROW(AJ$15),0),15-13*ORÇAMENTO!$AF$11)),0)</f>
        <v>0</v>
      </c>
      <c r="AK366" s="545">
        <f ca="1">IF(AND($D366="Serviço",AK$12&lt;&gt;0,$H366&gt;0,OR(AUTOEVENTO&lt;&gt;"manual",$M366&lt;&gt;1)),
IF(Import.TipoArredondamento&lt;&gt;"TransfereGOV",
ROUND(OFFSET($P366,0,AK$13),15-13*ORÇAMENTO!$AF$7)/$H366*OFFSET(ORÇAMENTO!$X$15,ROW(AK366)-ROW(AK$15),0),
ROUND(ROUND(OFFSET($P366,0,AK$13),15-13*ORÇAMENTO!$AF$7)*OFFSET(ORÇAMENTO!$W$15,ROW(AK366)-ROW(AK$15),0),15-13*ORÇAMENTO!$AF$11)),0)</f>
        <v>0</v>
      </c>
      <c r="AL366" s="545">
        <f ca="1">IF(AND($D366="Serviço",AL$12&lt;&gt;0,$H366&gt;0,OR(AUTOEVENTO&lt;&gt;"manual",$M366&lt;&gt;1)),
IF(Import.TipoArredondamento&lt;&gt;"TransfereGOV",
ROUND(OFFSET($P366,0,AL$13),15-13*ORÇAMENTO!$AF$7)/$H366*OFFSET(ORÇAMENTO!$X$15,ROW(AL366)-ROW(AL$15),0),
ROUND(ROUND(OFFSET($P366,0,AL$13),15-13*ORÇAMENTO!$AF$7)*OFFSET(ORÇAMENTO!$W$15,ROW(AL366)-ROW(AL$15),0),15-13*ORÇAMENTO!$AF$11)),0)</f>
        <v>0</v>
      </c>
      <c r="AM366" s="545">
        <f ca="1">IF(AND($D366="Serviço",AM$12&lt;&gt;0,$H366&gt;0,OR(AUTOEVENTO&lt;&gt;"manual",$M366&lt;&gt;1)),
IF(Import.TipoArredondamento&lt;&gt;"TransfereGOV",
ROUND(OFFSET($P366,0,AM$13),15-13*ORÇAMENTO!$AF$7)/$H366*OFFSET(ORÇAMENTO!$X$15,ROW(AM366)-ROW(AM$15),0),
ROUND(ROUND(OFFSET($P366,0,AM$13),15-13*ORÇAMENTO!$AF$7)*OFFSET(ORÇAMENTO!$W$15,ROW(AM366)-ROW(AM$15),0),15-13*ORÇAMENTO!$AF$11)),0)</f>
        <v>0</v>
      </c>
      <c r="AN366" s="545">
        <f ca="1">IF(AND($D366="Serviço",AN$12&lt;&gt;0,$H366&gt;0,OR(AUTOEVENTO&lt;&gt;"manual",$M366&lt;&gt;1)),
IF(Import.TipoArredondamento&lt;&gt;"TransfereGOV",
ROUND(OFFSET($P366,0,AN$13),15-13*ORÇAMENTO!$AF$7)/$H366*OFFSET(ORÇAMENTO!$X$15,ROW(AN366)-ROW(AN$15),0),
ROUND(ROUND(OFFSET($P366,0,AN$13),15-13*ORÇAMENTO!$AF$7)*OFFSET(ORÇAMENTO!$W$15,ROW(AN366)-ROW(AN$15),0),15-13*ORÇAMENTO!$AF$11)),0)</f>
        <v>0</v>
      </c>
      <c r="AO366" s="545">
        <f ca="1">IF(AND($D366="Serviço",AO$12&lt;&gt;0,$H366&gt;0,OR(AUTOEVENTO&lt;&gt;"manual",$M366&lt;&gt;1)),
IF(Import.TipoArredondamento&lt;&gt;"TransfereGOV",
ROUND(OFFSET($P366,0,AO$13),15-13*ORÇAMENTO!$AF$7)/$H366*OFFSET(ORÇAMENTO!$X$15,ROW(AO366)-ROW(AO$15),0),
ROUND(ROUND(OFFSET($P366,0,AO$13),15-13*ORÇAMENTO!$AF$7)*OFFSET(ORÇAMENTO!$W$15,ROW(AO366)-ROW(AO$15),0),15-13*ORÇAMENTO!$AF$11)),0)</f>
        <v>0</v>
      </c>
      <c r="AP366" s="545">
        <f ca="1">IF(AND($D366="Serviço",AP$12&lt;&gt;0,$H366&gt;0,OR(AUTOEVENTO&lt;&gt;"manual",$M366&lt;&gt;1)),
IF(Import.TipoArredondamento&lt;&gt;"TransfereGOV",
ROUND(OFFSET($P366,0,AP$13),15-13*ORÇAMENTO!$AF$7)/$H366*OFFSET(ORÇAMENTO!$X$15,ROW(AP366)-ROW(AP$15),0),
ROUND(ROUND(OFFSET($P366,0,AP$13),15-13*ORÇAMENTO!$AF$7)*OFFSET(ORÇAMENTO!$W$15,ROW(AP366)-ROW(AP$15),0),15-13*ORÇAMENTO!$AF$11)),0)</f>
        <v>0</v>
      </c>
      <c r="AQ366" s="545">
        <f ca="1">IF(AND($D366="Serviço",AQ$12&lt;&gt;0,$H366&gt;0,OR(AUTOEVENTO&lt;&gt;"manual",$M366&lt;&gt;1)),
IF(Import.TipoArredondamento&lt;&gt;"TransfereGOV",
ROUND(OFFSET($P366,0,AQ$13),15-13*ORÇAMENTO!$AF$7)/$H366*OFFSET(ORÇAMENTO!$X$15,ROW(AQ366)-ROW(AQ$15),0),
ROUND(ROUND(OFFSET($P366,0,AQ$13),15-13*ORÇAMENTO!$AF$7)*OFFSET(ORÇAMENTO!$W$15,ROW(AQ366)-ROW(AQ$15),0),15-13*ORÇAMENTO!$AF$11)),0)</f>
        <v>0</v>
      </c>
      <c r="AR366" s="545">
        <f ca="1">IF(AND($D366="Serviço",AR$12&lt;&gt;0,$H366&gt;0,OR(AUTOEVENTO&lt;&gt;"manual",$M366&lt;&gt;1)),
IF(Import.TipoArredondamento&lt;&gt;"TransfereGOV",
ROUND(OFFSET($P366,0,AR$13),15-13*ORÇAMENTO!$AF$7)/$H366*OFFSET(ORÇAMENTO!$X$15,ROW(AR366)-ROW(AR$15),0),
ROUND(ROUND(OFFSET($P366,0,AR$13),15-13*ORÇAMENTO!$AF$7)*OFFSET(ORÇAMENTO!$W$15,ROW(AR366)-ROW(AR$15),0),15-13*ORÇAMENTO!$AF$11)),0)</f>
        <v>0</v>
      </c>
      <c r="AS366" s="546">
        <f ca="1">IF(AND($D366="Serviço",AS$12&lt;&gt;0,$H366&gt;0,OR(AUTOEVENTO&lt;&gt;"manual",$M366&lt;&gt;1)),
IF(Import.TipoArredondamento&lt;&gt;"TransfereGOV",
ROUND(OFFSET($P366,0,AS$13),15-13*ORÇAMENTO!$AF$7)/$H366*OFFSET(ORÇAMENTO!$X$15,ROW(AS366)-ROW(AS$15),0),
ROUND(ROUND(OFFSET($P366,0,AS$13),15-13*ORÇAMENTO!$AF$7)*OFFSET(ORÇAMENTO!$W$15,ROW(AS366)-ROW(AS$15),0),15-13*ORÇAMENTO!$AF$11)),0)</f>
        <v>0</v>
      </c>
      <c r="AT366" s="545">
        <f ca="1">IF(AND($D366="Serviço",AT$12&lt;&gt;0,$H366&gt;0,OR(AUTOEVENTO&lt;&gt;"manual",$M366&lt;&gt;1)),
IF(Import.TipoArredondamento&lt;&gt;"TransfereGOV",
ROUND(OFFSET($P366,0,AT$13),15-13*ORÇAMENTO!$AF$7)/$H366*OFFSET(ORÇAMENTO!$X$15,ROW(AT366)-ROW(AT$15),0),
ROUND(ROUND(OFFSET($P366,0,AT$13),15-13*ORÇAMENTO!$AF$7)*OFFSET(ORÇAMENTO!$W$15,ROW(AT366)-ROW(AT$15),0),15-13*ORÇAMENTO!$AF$11)),0)</f>
        <v>0</v>
      </c>
      <c r="AU366" s="545">
        <f ca="1">IF(AND($D366="Serviço",AU$12&lt;&gt;0,$H366&gt;0,OR(AUTOEVENTO&lt;&gt;"manual",$M366&lt;&gt;1)),
IF(Import.TipoArredondamento&lt;&gt;"TransfereGOV",
ROUND(OFFSET($P366,0,AU$13),15-13*ORÇAMENTO!$AF$7)/$H366*OFFSET(ORÇAMENTO!$X$15,ROW(AU366)-ROW(AU$15),0),
ROUND(ROUND(OFFSET($P366,0,AU$13),15-13*ORÇAMENTO!$AF$7)*OFFSET(ORÇAMENTO!$W$15,ROW(AU366)-ROW(AU$15),0),15-13*ORÇAMENTO!$AF$11)),0)</f>
        <v>0</v>
      </c>
      <c r="AV366" s="545">
        <f ca="1">IF(AND($D366="Serviço",AV$12&lt;&gt;0,$H366&gt;0,OR(AUTOEVENTO&lt;&gt;"manual",$M366&lt;&gt;1)),
IF(Import.TipoArredondamento&lt;&gt;"TransfereGOV",
ROUND(OFFSET($P366,0,AV$13),15-13*ORÇAMENTO!$AF$7)/$H366*OFFSET(ORÇAMENTO!$X$15,ROW(AV366)-ROW(AV$15),0),
ROUND(ROUND(OFFSET($P366,0,AV$13),15-13*ORÇAMENTO!$AF$7)*OFFSET(ORÇAMENTO!$W$15,ROW(AV366)-ROW(AV$15),0),15-13*ORÇAMENTO!$AF$11)),0)</f>
        <v>0</v>
      </c>
      <c r="AW366" s="545">
        <f ca="1">IF(AND($D366="Serviço",AW$12&lt;&gt;0,$H366&gt;0,OR(AUTOEVENTO&lt;&gt;"manual",$M366&lt;&gt;1)),
IF(Import.TipoArredondamento&lt;&gt;"TransfereGOV",
ROUND(OFFSET($P366,0,AW$13),15-13*ORÇAMENTO!$AF$7)/$H366*OFFSET(ORÇAMENTO!$X$15,ROW(AW366)-ROW(AW$15),0),
ROUND(ROUND(OFFSET($P366,0,AW$13),15-13*ORÇAMENTO!$AF$7)*OFFSET(ORÇAMENTO!$W$15,ROW(AW366)-ROW(AW$15),0),15-13*ORÇAMENTO!$AF$11)),0)</f>
        <v>0</v>
      </c>
      <c r="AX366" s="545">
        <f ca="1">IF(AND($D366="Serviço",AX$12&lt;&gt;0,$H366&gt;0,OR(AUTOEVENTO&lt;&gt;"manual",$M366&lt;&gt;1)),
IF(Import.TipoArredondamento&lt;&gt;"TransfereGOV",
ROUND(OFFSET($P366,0,AX$13),15-13*ORÇAMENTO!$AF$7)/$H366*OFFSET(ORÇAMENTO!$X$15,ROW(AX366)-ROW(AX$15),0),
ROUND(ROUND(OFFSET($P366,0,AX$13),15-13*ORÇAMENTO!$AF$7)*OFFSET(ORÇAMENTO!$W$15,ROW(AX366)-ROW(AX$15),0),15-13*ORÇAMENTO!$AF$11)),0)</f>
        <v>0</v>
      </c>
      <c r="AY366" s="545">
        <f ca="1">IF(AND($D366="Serviço",AY$12&lt;&gt;0,$H366&gt;0,OR(AUTOEVENTO&lt;&gt;"manual",$M366&lt;&gt;1)),
IF(Import.TipoArredondamento&lt;&gt;"TransfereGOV",
ROUND(OFFSET($P366,0,AY$13),15-13*ORÇAMENTO!$AF$7)/$H366*OFFSET(ORÇAMENTO!$X$15,ROW(AY366)-ROW(AY$15),0),
ROUND(ROUND(OFFSET($P366,0,AY$13),15-13*ORÇAMENTO!$AF$7)*OFFSET(ORÇAMENTO!$W$15,ROW(AY366)-ROW(AY$15),0),15-13*ORÇAMENTO!$AF$11)),0)</f>
        <v>0</v>
      </c>
      <c r="AZ366" s="545">
        <f ca="1">IF(AND($D366="Serviço",AZ$12&lt;&gt;0,$H366&gt;0,OR(AUTOEVENTO&lt;&gt;"manual",$M366&lt;&gt;1)),
IF(Import.TipoArredondamento&lt;&gt;"TransfereGOV",
ROUND(OFFSET($P366,0,AZ$13),15-13*ORÇAMENTO!$AF$7)/$H366*OFFSET(ORÇAMENTO!$X$15,ROW(AZ366)-ROW(AZ$15),0),
ROUND(ROUND(OFFSET($P366,0,AZ$13),15-13*ORÇAMENTO!$AF$7)*OFFSET(ORÇAMENTO!$W$15,ROW(AZ366)-ROW(AZ$15),0),15-13*ORÇAMENTO!$AF$11)),0)</f>
        <v>0</v>
      </c>
      <c r="BA366" s="546">
        <f ca="1">IF(AND($D366="Serviço",BA$12&lt;&gt;0,$H366&gt;0,OR(AUTOEVENTO&lt;&gt;"manual",$M366&lt;&gt;1)),
IF(Import.TipoArredondamento&lt;&gt;"TransfereGOV",
ROUND(OFFSET($P366,0,BA$13),15-13*ORÇAMENTO!$AF$7)/$H366*OFFSET(ORÇAMENTO!$X$15,ROW(BA366)-ROW(BA$15),0),
ROUND(ROUND(OFFSET($P366,0,BA$13),15-13*ORÇAMENTO!$AF$7)*OFFSET(ORÇAMENTO!$W$15,ROW(BA366)-ROW(BA$15),0),15-13*ORÇAMENTO!$AF$11)),0)</f>
        <v>0</v>
      </c>
      <c r="BC366" s="181">
        <f ca="1">IF($D366&lt;&gt;"Serviço",0,IF(AND(AUTOEVENTO="Manual",$M366=1),0,IF(OFFSET(CRONOPLE!$F$14,$M366,BC$13)="",10^12,OFFSET(CRONOPLE!$F$14,$M366,BC$13))))</f>
        <v>10</v>
      </c>
      <c r="BD366" s="181">
        <f ca="1">IF($D366&lt;&gt;"Serviço",0,IF(AND(AUTOEVENTO="Manual",$M366=1),0,IF(OFFSET(CRONOPLE!$F$14,$M366,BD$13)="",10^12,OFFSET(CRONOPLE!$F$14,$M366,BD$13))))</f>
        <v>1000000000000</v>
      </c>
      <c r="BE366" s="181">
        <f ca="1">IF($D366&lt;&gt;"Serviço",0,IF(AND(AUTOEVENTO="Manual",$M366=1),0,IF(OFFSET(CRONOPLE!$F$14,$M366,BE$13)="",10^12,OFFSET(CRONOPLE!$F$14,$M366,BE$13))))</f>
        <v>1000000000000</v>
      </c>
      <c r="BF366" s="181">
        <f ca="1">IF($D366&lt;&gt;"Serviço",0,IF(AND(AUTOEVENTO="Manual",$M366=1),0,IF(OFFSET(CRONOPLE!$F$14,$M366,BF$13)="",10^12,OFFSET(CRONOPLE!$F$14,$M366,BF$13))))</f>
        <v>1000000000000</v>
      </c>
      <c r="BG366" s="181">
        <f ca="1">IF($D366&lt;&gt;"Serviço",0,IF(AND(AUTOEVENTO="Manual",$M366=1),0,IF(OFFSET(CRONOPLE!$F$14,$M366,BG$13)="",10^12,OFFSET(CRONOPLE!$F$14,$M366,BG$13))))</f>
        <v>1000000000000</v>
      </c>
      <c r="BH366" s="181">
        <f ca="1">IF($D366&lt;&gt;"Serviço",0,IF(AND(AUTOEVENTO="Manual",$M366=1),0,IF(OFFSET(CRONOPLE!$F$14,$M366,BH$13)="",10^12,OFFSET(CRONOPLE!$F$14,$M366,BH$13))))</f>
        <v>1000000000000</v>
      </c>
      <c r="BI366" s="181">
        <f ca="1">IF($D366&lt;&gt;"Serviço",0,IF(AND(AUTOEVENTO="Manual",$M366=1),0,IF(OFFSET(CRONOPLE!$F$14,$M366,BI$13)="",10^12,OFFSET(CRONOPLE!$F$14,$M366,BI$13))))</f>
        <v>1000000000000</v>
      </c>
      <c r="BJ366" s="181">
        <f ca="1">IF($D366&lt;&gt;"Serviço",0,IF(AND(AUTOEVENTO="Manual",$M366=1),0,IF(OFFSET(CRONOPLE!$F$14,$M366,BJ$13)="",10^12,OFFSET(CRONOPLE!$F$14,$M366,BJ$13))))</f>
        <v>1000000000000</v>
      </c>
      <c r="BK366" s="181">
        <f ca="1">IF($D366&lt;&gt;"Serviço",0,IF(AND(AUTOEVENTO="Manual",$M366=1),0,IF(OFFSET(CRONOPLE!$F$14,$M366,BK$13)="",10^12,OFFSET(CRONOPLE!$F$14,$M366,BK$13))))</f>
        <v>1000000000000</v>
      </c>
      <c r="BL366" s="181">
        <f ca="1">IF($D366&lt;&gt;"Serviço",0,IF(AND(AUTOEVENTO="Manual",$M366=1),0,IF(OFFSET(CRONOPLE!$F$14,$M366,BL$13)="",10^12,OFFSET(CRONOPLE!$F$14,$M366,BL$13))))</f>
        <v>1000000000000</v>
      </c>
      <c r="BM366" s="181">
        <f ca="1">IF($D366&lt;&gt;"Serviço",0,IF(AND(AUTOEVENTO="Manual",$M366=1),0,IF(OFFSET(CRONOPLE!$F$14,$M366,BM$13)="",10^12,OFFSET(CRONOPLE!$F$14,$M366,BM$13))))</f>
        <v>1000000000000</v>
      </c>
      <c r="BN366" s="181">
        <f ca="1">IF($D366&lt;&gt;"Serviço",0,IF(AND(AUTOEVENTO="Manual",$M366=1),0,IF(OFFSET(CRONOPLE!$F$14,$M366,BN$13)="",10^12,OFFSET(CRONOPLE!$F$14,$M366,BN$13))))</f>
        <v>1000000000000</v>
      </c>
      <c r="BO366" s="181">
        <f ca="1">IF($D366&lt;&gt;"Serviço",0,IF(AND(AUTOEVENTO="Manual",$M366=1),0,IF(OFFSET(CRONOPLE!$F$14,$M366,BO$13)="",10^12,OFFSET(CRONOPLE!$F$14,$M366,BO$13))))</f>
        <v>1000000000000</v>
      </c>
      <c r="BP366" s="181">
        <f ca="1">IF($D366&lt;&gt;"Serviço",0,IF(AND(AUTOEVENTO="Manual",$M366=1),0,IF(OFFSET(CRONOPLE!$F$14,$M366,BP$13)="",10^12,OFFSET(CRONOPLE!$F$14,$M366,BP$13))))</f>
        <v>1000000000000</v>
      </c>
      <c r="BQ366" s="181">
        <f ca="1">IF($D366&lt;&gt;"Serviço",0,IF(AND(AUTOEVENTO="Manual",$M366=1),0,IF(OFFSET(CRONOPLE!$F$14,$M366,BQ$13)="",10^12,OFFSET(CRONOPLE!$F$14,$M366,BQ$13))))</f>
        <v>1000000000000</v>
      </c>
      <c r="BR366" s="181">
        <f ca="1">IF($D366&lt;&gt;"Serviço",0,IF(AND(AUTOEVENTO="Manual",$M366=1),0,IF(OFFSET(CRONOPLE!$F$14,$M366,BR$13)="",10^12,OFFSET(CRONOPLE!$F$14,$M366,BR$13))))</f>
        <v>1000000000000</v>
      </c>
      <c r="BS366" s="181">
        <f ca="1">IF($D366&lt;&gt;"Serviço",0,IF(AND(AUTOEVENTO="Manual",$M366=1),0,IF(OFFSET(CRONOPLE!$F$14,$M366,BS$13)="",10^12,OFFSET(CRONOPLE!$F$14,$M366,BS$13))))</f>
        <v>1000000000000</v>
      </c>
      <c r="BT366" s="181">
        <f ca="1">IF($D366&lt;&gt;"Serviço",0,IF(AND(AUTOEVENTO="Manual",$M366=1),0,IF(OFFSET(CRONOPLE!$F$14,$M366,BT$13)="",10^12,OFFSET(CRONOPLE!$F$14,$M366,BT$13))))</f>
        <v>1000000000000</v>
      </c>
      <c r="BV366" s="182">
        <f ca="1">IF($D366&lt;&gt;"Serviço",0,IF(OR(AND(AUTOEVENTO="Manual",$M366=1),$M366&gt;(ROW(PLE.lastrow)-ROW(PLE.firstrow))),0,IF(OFFSET(PLE!$G$14,$M366,BV$13)="",10^12,OFFSET(PLE!$G$14,$M366,BV$13))))</f>
        <v>1000000000000</v>
      </c>
      <c r="BW366" s="182">
        <f ca="1">IF($D366&lt;&gt;"Serviço",0,IF(OR(AND(AUTOEVENTO="Manual",$M366=1),$M366&gt;(ROW(PLE.lastrow)-ROW(PLE.firstrow))),0,IF(OFFSET(PLE!$G$14,$M366,BW$13)="",10^12,OFFSET(PLE!$G$14,$M366,BW$13))))</f>
        <v>1000000000000</v>
      </c>
      <c r="BX366" s="182">
        <f ca="1">IF($D366&lt;&gt;"Serviço",0,IF(OR(AND(AUTOEVENTO="Manual",$M366=1),$M366&gt;(ROW(PLE.lastrow)-ROW(PLE.firstrow))),0,IF(OFFSET(PLE!$G$14,$M366,BX$13)="",10^12,OFFSET(PLE!$G$14,$M366,BX$13))))</f>
        <v>1000000000000</v>
      </c>
      <c r="BY366" s="182">
        <f ca="1">IF($D366&lt;&gt;"Serviço",0,IF(OR(AND(AUTOEVENTO="Manual",$M366=1),$M366&gt;(ROW(PLE.lastrow)-ROW(PLE.firstrow))),0,IF(OFFSET(PLE!$G$14,$M366,BY$13)="",10^12,OFFSET(PLE!$G$14,$M366,BY$13))))</f>
        <v>1000000000000</v>
      </c>
      <c r="BZ366" s="182">
        <f ca="1">IF($D366&lt;&gt;"Serviço",0,IF(OR(AND(AUTOEVENTO="Manual",$M366=1),$M366&gt;(ROW(PLE.lastrow)-ROW(PLE.firstrow))),0,IF(OFFSET(PLE!$G$14,$M366,BZ$13)="",10^12,OFFSET(PLE!$G$14,$M366,BZ$13))))</f>
        <v>1000000000000</v>
      </c>
      <c r="CA366" s="182">
        <f ca="1">IF($D366&lt;&gt;"Serviço",0,IF(OR(AND(AUTOEVENTO="Manual",$M366=1),$M366&gt;(ROW(PLE.lastrow)-ROW(PLE.firstrow))),0,IF(OFFSET(PLE!$G$14,$M366,CA$13)="",10^12,OFFSET(PLE!$G$14,$M366,CA$13))))</f>
        <v>1000000000000</v>
      </c>
      <c r="CB366" s="182">
        <f ca="1">IF($D366&lt;&gt;"Serviço",0,IF(OR(AND(AUTOEVENTO="Manual",$M366=1),$M366&gt;(ROW(PLE.lastrow)-ROW(PLE.firstrow))),0,IF(OFFSET(PLE!$G$14,$M366,CB$13)="",10^12,OFFSET(PLE!$G$14,$M366,CB$13))))</f>
        <v>1000000000000</v>
      </c>
      <c r="CC366" s="182">
        <f ca="1">IF($D366&lt;&gt;"Serviço",0,IF(OR(AND(AUTOEVENTO="Manual",$M366=1),$M366&gt;(ROW(PLE.lastrow)-ROW(PLE.firstrow))),0,IF(OFFSET(PLE!$G$14,$M366,CC$13)="",10^12,OFFSET(PLE!$G$14,$M366,CC$13))))</f>
        <v>1000000000000</v>
      </c>
      <c r="CD366" s="182">
        <f ca="1">IF($D366&lt;&gt;"Serviço",0,IF(OR(AND(AUTOEVENTO="Manual",$M366=1),$M366&gt;(ROW(PLE.lastrow)-ROW(PLE.firstrow))),0,IF(OFFSET(PLE!$G$14,$M366,CD$13)="",10^12,OFFSET(PLE!$G$14,$M366,CD$13))))</f>
        <v>1000000000000</v>
      </c>
      <c r="CE366" s="182">
        <f ca="1">IF($D366&lt;&gt;"Serviço",0,IF(OR(AND(AUTOEVENTO="Manual",$M366=1),$M366&gt;(ROW(PLE.lastrow)-ROW(PLE.firstrow))),0,IF(OFFSET(PLE!$G$14,$M366,CE$13)="",10^12,OFFSET(PLE!$G$14,$M366,CE$13))))</f>
        <v>1000000000000</v>
      </c>
      <c r="CF366" s="182">
        <f ca="1">IF($D366&lt;&gt;"Serviço",0,IF(OR(AND(AUTOEVENTO="Manual",$M366=1),$M366&gt;(ROW(PLE.lastrow)-ROW(PLE.firstrow))),0,IF(OFFSET(PLE!$G$14,$M366,CF$13)="",10^12,OFFSET(PLE!$G$14,$M366,CF$13))))</f>
        <v>1000000000000</v>
      </c>
      <c r="CG366" s="182">
        <f ca="1">IF($D366&lt;&gt;"Serviço",0,IF(OR(AND(AUTOEVENTO="Manual",$M366=1),$M366&gt;(ROW(PLE.lastrow)-ROW(PLE.firstrow))),0,IF(OFFSET(PLE!$G$14,$M366,CG$13)="",10^12,OFFSET(PLE!$G$14,$M366,CG$13))))</f>
        <v>1000000000000</v>
      </c>
      <c r="CH366" s="182">
        <f ca="1">IF($D366&lt;&gt;"Serviço",0,IF(OR(AND(AUTOEVENTO="Manual",$M366=1),$M366&gt;(ROW(PLE.lastrow)-ROW(PLE.firstrow))),0,IF(OFFSET(PLE!$G$14,$M366,CH$13)="",10^12,OFFSET(PLE!$G$14,$M366,CH$13))))</f>
        <v>1000000000000</v>
      </c>
      <c r="CI366" s="182">
        <f ca="1">IF($D366&lt;&gt;"Serviço",0,IF(OR(AND(AUTOEVENTO="Manual",$M366=1),$M366&gt;(ROW(PLE.lastrow)-ROW(PLE.firstrow))),0,IF(OFFSET(PLE!$G$14,$M366,CI$13)="",10^12,OFFSET(PLE!$G$14,$M366,CI$13))))</f>
        <v>1000000000000</v>
      </c>
      <c r="CJ366" s="182">
        <f ca="1">IF($D366&lt;&gt;"Serviço",0,IF(OR(AND(AUTOEVENTO="Manual",$M366=1),$M366&gt;(ROW(PLE.lastrow)-ROW(PLE.firstrow))),0,IF(OFFSET(PLE!$G$14,$M366,CJ$13)="",10^12,OFFSET(PLE!$G$14,$M366,CJ$13))))</f>
        <v>1000000000000</v>
      </c>
      <c r="CK366" s="182">
        <f ca="1">IF($D366&lt;&gt;"Serviço",0,IF(OR(AND(AUTOEVENTO="Manual",$M366=1),$M366&gt;(ROW(PLE.lastrow)-ROW(PLE.firstrow))),0,IF(OFFSET(PLE!$G$14,$M366,CK$13)="",10^12,OFFSET(PLE!$G$14,$M366,CK$13))))</f>
        <v>1000000000000</v>
      </c>
      <c r="CL366" s="182">
        <f ca="1">IF($D366&lt;&gt;"Serviço",0,IF(OR(AND(AUTOEVENTO="Manual",$M366=1),$M366&gt;(ROW(PLE.lastrow)-ROW(PLE.firstrow))),0,IF(OFFSET(PLE!$G$14,$M366,CL$13)="",10^12,OFFSET(PLE!$G$14,$M366,CL$13))))</f>
        <v>1000000000000</v>
      </c>
      <c r="CM366" s="182">
        <f ca="1">IF($D366&lt;&gt;"Serviço",0,IF(OR(AND(AUTOEVENTO="Manual",$M366=1),$M366&gt;(ROW(PLE.lastrow)-ROW(PLE.firstrow))),0,IF(OFFSET(PLE!$G$14,$M366,CM$13)="",10^12,OFFSET(PLE!$G$14,$M366,CM$13))))</f>
        <v>1000000000000</v>
      </c>
    </row>
    <row r="367" spans="1:91" ht="25.5" x14ac:dyDescent="0.2">
      <c r="A367" s="7" t="str">
        <f t="shared" ca="1" si="12"/>
        <v>350</v>
      </c>
      <c r="B367" s="7" t="str">
        <f ca="1">OFFSET(ORÇAMENTO!C$15,ROW(B367)-ROW(B$15),0)</f>
        <v>S</v>
      </c>
      <c r="C367" s="7" t="str">
        <f ca="1">OFFSET(ORÇAMENTO!L$15,ROW(C367)-ROW(C$15),0)</f>
        <v/>
      </c>
      <c r="D367" s="118" t="str">
        <f ca="1">OFFSET(ORÇAMENTO!N$15,ROW(D367)-ROW(D$15),0)</f>
        <v>Serviço</v>
      </c>
      <c r="E367" s="119" t="str">
        <f ca="1">OFFSET(ORÇAMENTO!O$15,ROW(E367)-ROW(E$15),0)</f>
        <v>-</v>
      </c>
      <c r="F367" s="172" t="str">
        <f ca="1">OFFSET(ORÇAMENTO!R$15,ROW(F367)-ROW(F$15),0)</f>
        <v>(abra o arquivo 'Referência 06-2024.xlsm)</v>
      </c>
      <c r="G367" s="173" t="str">
        <f ca="1">IF($D367&lt;&gt;"Serviço","",OFFSET(ORÇAMENTO!S$15,ROW(G367)-ROW(G$15),0))</f>
        <v>-</v>
      </c>
      <c r="H367" s="124">
        <f ca="1">IF($D367&lt;&gt;"Serviço",0,IF(ACOMPANHAMENTO="BM",ROUND(OFFSET(ORÇAMENTO!AJ$15,ROW(H367)-ROW(H$15),0),15-13*ORÇAMENTO!$AF$7),SUMPRODUCT(($Q$12:$AI$12&lt;&gt;"")*ROUND($Q367:$AI367,15-13*ORÇAMENTO!$AF$7))))</f>
        <v>18</v>
      </c>
      <c r="I367" s="561" t="s">
        <v>1107</v>
      </c>
      <c r="K367" s="174"/>
      <c r="L367" s="175" t="s">
        <v>255</v>
      </c>
      <c r="M367" s="176">
        <f ca="1">IF($D367&lt;&gt;"Serviço","",IF(AUTOEVENTO="manual",$A367,IF(ISERROR(MATCH($A367,$A$15:OFFSET($A367,-1,0),0)),MAX($M$15:OFFSET(M367,-1,0))+1,INDEX($M$15:OFFSET(M367,-1,0),MATCH($A367,$A$15:OFFSET($A367,-1,0),0)))))</f>
        <v>44</v>
      </c>
      <c r="N367" s="177" t="str">
        <f ca="1">IF($D367&lt;&gt;"Serviço","",IF(AUTOEVENTO="Manual",IF($A367=0,"&lt;-- defina o número do agrupador",OFFSET(EVENTOS!$D$14,$A367,0)),OFFSET($F$15,$A367,0)))</f>
        <v>LOUÇAS, ACESSÓRIOS E METAIS</v>
      </c>
      <c r="O367" s="178"/>
      <c r="Q367" s="178">
        <v>18</v>
      </c>
      <c r="R367" s="179"/>
      <c r="S367" s="179"/>
      <c r="T367" s="179"/>
      <c r="U367" s="179"/>
      <c r="V367" s="179"/>
      <c r="W367" s="179"/>
      <c r="X367" s="179"/>
      <c r="Y367" s="179"/>
      <c r="Z367" s="180"/>
      <c r="AA367" s="179"/>
      <c r="AB367" s="179"/>
      <c r="AC367" s="179"/>
      <c r="AD367" s="179"/>
      <c r="AE367" s="179"/>
      <c r="AF367" s="179"/>
      <c r="AG367" s="179"/>
      <c r="AH367" s="180"/>
      <c r="AJ367" s="544">
        <f ca="1">IF(AND($D367="Serviço",AJ$12&lt;&gt;0,$H367&gt;0,OR(AUTOEVENTO&lt;&gt;"manual",$M367&lt;&gt;1)),
IF(Import.TipoArredondamento&lt;&gt;"TransfereGOV",
ROUND(OFFSET($P367,0,AJ$13),15-13*ORÇAMENTO!$AF$7)/$H367*OFFSET(ORÇAMENTO!$X$15,ROW(AJ367)-ROW(AJ$15),0),
ROUND(ROUND(OFFSET($P367,0,AJ$13),15-13*ORÇAMENTO!$AF$7)*OFFSET(ORÇAMENTO!$W$15,ROW(AJ367)-ROW(AJ$15),0),15-13*ORÇAMENTO!$AF$11)),0)</f>
        <v>0</v>
      </c>
      <c r="AK367" s="545">
        <f ca="1">IF(AND($D367="Serviço",AK$12&lt;&gt;0,$H367&gt;0,OR(AUTOEVENTO&lt;&gt;"manual",$M367&lt;&gt;1)),
IF(Import.TipoArredondamento&lt;&gt;"TransfereGOV",
ROUND(OFFSET($P367,0,AK$13),15-13*ORÇAMENTO!$AF$7)/$H367*OFFSET(ORÇAMENTO!$X$15,ROW(AK367)-ROW(AK$15),0),
ROUND(ROUND(OFFSET($P367,0,AK$13),15-13*ORÇAMENTO!$AF$7)*OFFSET(ORÇAMENTO!$W$15,ROW(AK367)-ROW(AK$15),0),15-13*ORÇAMENTO!$AF$11)),0)</f>
        <v>0</v>
      </c>
      <c r="AL367" s="545">
        <f ca="1">IF(AND($D367="Serviço",AL$12&lt;&gt;0,$H367&gt;0,OR(AUTOEVENTO&lt;&gt;"manual",$M367&lt;&gt;1)),
IF(Import.TipoArredondamento&lt;&gt;"TransfereGOV",
ROUND(OFFSET($P367,0,AL$13),15-13*ORÇAMENTO!$AF$7)/$H367*OFFSET(ORÇAMENTO!$X$15,ROW(AL367)-ROW(AL$15),0),
ROUND(ROUND(OFFSET($P367,0,AL$13),15-13*ORÇAMENTO!$AF$7)*OFFSET(ORÇAMENTO!$W$15,ROW(AL367)-ROW(AL$15),0),15-13*ORÇAMENTO!$AF$11)),0)</f>
        <v>0</v>
      </c>
      <c r="AM367" s="545">
        <f ca="1">IF(AND($D367="Serviço",AM$12&lt;&gt;0,$H367&gt;0,OR(AUTOEVENTO&lt;&gt;"manual",$M367&lt;&gt;1)),
IF(Import.TipoArredondamento&lt;&gt;"TransfereGOV",
ROUND(OFFSET($P367,0,AM$13),15-13*ORÇAMENTO!$AF$7)/$H367*OFFSET(ORÇAMENTO!$X$15,ROW(AM367)-ROW(AM$15),0),
ROUND(ROUND(OFFSET($P367,0,AM$13),15-13*ORÇAMENTO!$AF$7)*OFFSET(ORÇAMENTO!$W$15,ROW(AM367)-ROW(AM$15),0),15-13*ORÇAMENTO!$AF$11)),0)</f>
        <v>0</v>
      </c>
      <c r="AN367" s="545">
        <f ca="1">IF(AND($D367="Serviço",AN$12&lt;&gt;0,$H367&gt;0,OR(AUTOEVENTO&lt;&gt;"manual",$M367&lt;&gt;1)),
IF(Import.TipoArredondamento&lt;&gt;"TransfereGOV",
ROUND(OFFSET($P367,0,AN$13),15-13*ORÇAMENTO!$AF$7)/$H367*OFFSET(ORÇAMENTO!$X$15,ROW(AN367)-ROW(AN$15),0),
ROUND(ROUND(OFFSET($P367,0,AN$13),15-13*ORÇAMENTO!$AF$7)*OFFSET(ORÇAMENTO!$W$15,ROW(AN367)-ROW(AN$15),0),15-13*ORÇAMENTO!$AF$11)),0)</f>
        <v>0</v>
      </c>
      <c r="AO367" s="545">
        <f ca="1">IF(AND($D367="Serviço",AO$12&lt;&gt;0,$H367&gt;0,OR(AUTOEVENTO&lt;&gt;"manual",$M367&lt;&gt;1)),
IF(Import.TipoArredondamento&lt;&gt;"TransfereGOV",
ROUND(OFFSET($P367,0,AO$13),15-13*ORÇAMENTO!$AF$7)/$H367*OFFSET(ORÇAMENTO!$X$15,ROW(AO367)-ROW(AO$15),0),
ROUND(ROUND(OFFSET($P367,0,AO$13),15-13*ORÇAMENTO!$AF$7)*OFFSET(ORÇAMENTO!$W$15,ROW(AO367)-ROW(AO$15),0),15-13*ORÇAMENTO!$AF$11)),0)</f>
        <v>0</v>
      </c>
      <c r="AP367" s="545">
        <f ca="1">IF(AND($D367="Serviço",AP$12&lt;&gt;0,$H367&gt;0,OR(AUTOEVENTO&lt;&gt;"manual",$M367&lt;&gt;1)),
IF(Import.TipoArredondamento&lt;&gt;"TransfereGOV",
ROUND(OFFSET($P367,0,AP$13),15-13*ORÇAMENTO!$AF$7)/$H367*OFFSET(ORÇAMENTO!$X$15,ROW(AP367)-ROW(AP$15),0),
ROUND(ROUND(OFFSET($P367,0,AP$13),15-13*ORÇAMENTO!$AF$7)*OFFSET(ORÇAMENTO!$W$15,ROW(AP367)-ROW(AP$15),0),15-13*ORÇAMENTO!$AF$11)),0)</f>
        <v>0</v>
      </c>
      <c r="AQ367" s="545">
        <f ca="1">IF(AND($D367="Serviço",AQ$12&lt;&gt;0,$H367&gt;0,OR(AUTOEVENTO&lt;&gt;"manual",$M367&lt;&gt;1)),
IF(Import.TipoArredondamento&lt;&gt;"TransfereGOV",
ROUND(OFFSET($P367,0,AQ$13),15-13*ORÇAMENTO!$AF$7)/$H367*OFFSET(ORÇAMENTO!$X$15,ROW(AQ367)-ROW(AQ$15),0),
ROUND(ROUND(OFFSET($P367,0,AQ$13),15-13*ORÇAMENTO!$AF$7)*OFFSET(ORÇAMENTO!$W$15,ROW(AQ367)-ROW(AQ$15),0),15-13*ORÇAMENTO!$AF$11)),0)</f>
        <v>0</v>
      </c>
      <c r="AR367" s="545">
        <f ca="1">IF(AND($D367="Serviço",AR$12&lt;&gt;0,$H367&gt;0,OR(AUTOEVENTO&lt;&gt;"manual",$M367&lt;&gt;1)),
IF(Import.TipoArredondamento&lt;&gt;"TransfereGOV",
ROUND(OFFSET($P367,0,AR$13),15-13*ORÇAMENTO!$AF$7)/$H367*OFFSET(ORÇAMENTO!$X$15,ROW(AR367)-ROW(AR$15),0),
ROUND(ROUND(OFFSET($P367,0,AR$13),15-13*ORÇAMENTO!$AF$7)*OFFSET(ORÇAMENTO!$W$15,ROW(AR367)-ROW(AR$15),0),15-13*ORÇAMENTO!$AF$11)),0)</f>
        <v>0</v>
      </c>
      <c r="AS367" s="546">
        <f ca="1">IF(AND($D367="Serviço",AS$12&lt;&gt;0,$H367&gt;0,OR(AUTOEVENTO&lt;&gt;"manual",$M367&lt;&gt;1)),
IF(Import.TipoArredondamento&lt;&gt;"TransfereGOV",
ROUND(OFFSET($P367,0,AS$13),15-13*ORÇAMENTO!$AF$7)/$H367*OFFSET(ORÇAMENTO!$X$15,ROW(AS367)-ROW(AS$15),0),
ROUND(ROUND(OFFSET($P367,0,AS$13),15-13*ORÇAMENTO!$AF$7)*OFFSET(ORÇAMENTO!$W$15,ROW(AS367)-ROW(AS$15),0),15-13*ORÇAMENTO!$AF$11)),0)</f>
        <v>0</v>
      </c>
      <c r="AT367" s="545">
        <f ca="1">IF(AND($D367="Serviço",AT$12&lt;&gt;0,$H367&gt;0,OR(AUTOEVENTO&lt;&gt;"manual",$M367&lt;&gt;1)),
IF(Import.TipoArredondamento&lt;&gt;"TransfereGOV",
ROUND(OFFSET($P367,0,AT$13),15-13*ORÇAMENTO!$AF$7)/$H367*OFFSET(ORÇAMENTO!$X$15,ROW(AT367)-ROW(AT$15),0),
ROUND(ROUND(OFFSET($P367,0,AT$13),15-13*ORÇAMENTO!$AF$7)*OFFSET(ORÇAMENTO!$W$15,ROW(AT367)-ROW(AT$15),0),15-13*ORÇAMENTO!$AF$11)),0)</f>
        <v>0</v>
      </c>
      <c r="AU367" s="545">
        <f ca="1">IF(AND($D367="Serviço",AU$12&lt;&gt;0,$H367&gt;0,OR(AUTOEVENTO&lt;&gt;"manual",$M367&lt;&gt;1)),
IF(Import.TipoArredondamento&lt;&gt;"TransfereGOV",
ROUND(OFFSET($P367,0,AU$13),15-13*ORÇAMENTO!$AF$7)/$H367*OFFSET(ORÇAMENTO!$X$15,ROW(AU367)-ROW(AU$15),0),
ROUND(ROUND(OFFSET($P367,0,AU$13),15-13*ORÇAMENTO!$AF$7)*OFFSET(ORÇAMENTO!$W$15,ROW(AU367)-ROW(AU$15),0),15-13*ORÇAMENTO!$AF$11)),0)</f>
        <v>0</v>
      </c>
      <c r="AV367" s="545">
        <f ca="1">IF(AND($D367="Serviço",AV$12&lt;&gt;0,$H367&gt;0,OR(AUTOEVENTO&lt;&gt;"manual",$M367&lt;&gt;1)),
IF(Import.TipoArredondamento&lt;&gt;"TransfereGOV",
ROUND(OFFSET($P367,0,AV$13),15-13*ORÇAMENTO!$AF$7)/$H367*OFFSET(ORÇAMENTO!$X$15,ROW(AV367)-ROW(AV$15),0),
ROUND(ROUND(OFFSET($P367,0,AV$13),15-13*ORÇAMENTO!$AF$7)*OFFSET(ORÇAMENTO!$W$15,ROW(AV367)-ROW(AV$15),0),15-13*ORÇAMENTO!$AF$11)),0)</f>
        <v>0</v>
      </c>
      <c r="AW367" s="545">
        <f ca="1">IF(AND($D367="Serviço",AW$12&lt;&gt;0,$H367&gt;0,OR(AUTOEVENTO&lt;&gt;"manual",$M367&lt;&gt;1)),
IF(Import.TipoArredondamento&lt;&gt;"TransfereGOV",
ROUND(OFFSET($P367,0,AW$13),15-13*ORÇAMENTO!$AF$7)/$H367*OFFSET(ORÇAMENTO!$X$15,ROW(AW367)-ROW(AW$15),0),
ROUND(ROUND(OFFSET($P367,0,AW$13),15-13*ORÇAMENTO!$AF$7)*OFFSET(ORÇAMENTO!$W$15,ROW(AW367)-ROW(AW$15),0),15-13*ORÇAMENTO!$AF$11)),0)</f>
        <v>0</v>
      </c>
      <c r="AX367" s="545">
        <f ca="1">IF(AND($D367="Serviço",AX$12&lt;&gt;0,$H367&gt;0,OR(AUTOEVENTO&lt;&gt;"manual",$M367&lt;&gt;1)),
IF(Import.TipoArredondamento&lt;&gt;"TransfereGOV",
ROUND(OFFSET($P367,0,AX$13),15-13*ORÇAMENTO!$AF$7)/$H367*OFFSET(ORÇAMENTO!$X$15,ROW(AX367)-ROW(AX$15),0),
ROUND(ROUND(OFFSET($P367,0,AX$13),15-13*ORÇAMENTO!$AF$7)*OFFSET(ORÇAMENTO!$W$15,ROW(AX367)-ROW(AX$15),0),15-13*ORÇAMENTO!$AF$11)),0)</f>
        <v>0</v>
      </c>
      <c r="AY367" s="545">
        <f ca="1">IF(AND($D367="Serviço",AY$12&lt;&gt;0,$H367&gt;0,OR(AUTOEVENTO&lt;&gt;"manual",$M367&lt;&gt;1)),
IF(Import.TipoArredondamento&lt;&gt;"TransfereGOV",
ROUND(OFFSET($P367,0,AY$13),15-13*ORÇAMENTO!$AF$7)/$H367*OFFSET(ORÇAMENTO!$X$15,ROW(AY367)-ROW(AY$15),0),
ROUND(ROUND(OFFSET($P367,0,AY$13),15-13*ORÇAMENTO!$AF$7)*OFFSET(ORÇAMENTO!$W$15,ROW(AY367)-ROW(AY$15),0),15-13*ORÇAMENTO!$AF$11)),0)</f>
        <v>0</v>
      </c>
      <c r="AZ367" s="545">
        <f ca="1">IF(AND($D367="Serviço",AZ$12&lt;&gt;0,$H367&gt;0,OR(AUTOEVENTO&lt;&gt;"manual",$M367&lt;&gt;1)),
IF(Import.TipoArredondamento&lt;&gt;"TransfereGOV",
ROUND(OFFSET($P367,0,AZ$13),15-13*ORÇAMENTO!$AF$7)/$H367*OFFSET(ORÇAMENTO!$X$15,ROW(AZ367)-ROW(AZ$15),0),
ROUND(ROUND(OFFSET($P367,0,AZ$13),15-13*ORÇAMENTO!$AF$7)*OFFSET(ORÇAMENTO!$W$15,ROW(AZ367)-ROW(AZ$15),0),15-13*ORÇAMENTO!$AF$11)),0)</f>
        <v>0</v>
      </c>
      <c r="BA367" s="546">
        <f ca="1">IF(AND($D367="Serviço",BA$12&lt;&gt;0,$H367&gt;0,OR(AUTOEVENTO&lt;&gt;"manual",$M367&lt;&gt;1)),
IF(Import.TipoArredondamento&lt;&gt;"TransfereGOV",
ROUND(OFFSET($P367,0,BA$13),15-13*ORÇAMENTO!$AF$7)/$H367*OFFSET(ORÇAMENTO!$X$15,ROW(BA367)-ROW(BA$15),0),
ROUND(ROUND(OFFSET($P367,0,BA$13),15-13*ORÇAMENTO!$AF$7)*OFFSET(ORÇAMENTO!$W$15,ROW(BA367)-ROW(BA$15),0),15-13*ORÇAMENTO!$AF$11)),0)</f>
        <v>0</v>
      </c>
      <c r="BC367" s="181">
        <f ca="1">IF($D367&lt;&gt;"Serviço",0,IF(AND(AUTOEVENTO="Manual",$M367=1),0,IF(OFFSET(CRONOPLE!$F$14,$M367,BC$13)="",10^12,OFFSET(CRONOPLE!$F$14,$M367,BC$13))))</f>
        <v>10</v>
      </c>
      <c r="BD367" s="181">
        <f ca="1">IF($D367&lt;&gt;"Serviço",0,IF(AND(AUTOEVENTO="Manual",$M367=1),0,IF(OFFSET(CRONOPLE!$F$14,$M367,BD$13)="",10^12,OFFSET(CRONOPLE!$F$14,$M367,BD$13))))</f>
        <v>1000000000000</v>
      </c>
      <c r="BE367" s="181">
        <f ca="1">IF($D367&lt;&gt;"Serviço",0,IF(AND(AUTOEVENTO="Manual",$M367=1),0,IF(OFFSET(CRONOPLE!$F$14,$M367,BE$13)="",10^12,OFFSET(CRONOPLE!$F$14,$M367,BE$13))))</f>
        <v>1000000000000</v>
      </c>
      <c r="BF367" s="181">
        <f ca="1">IF($D367&lt;&gt;"Serviço",0,IF(AND(AUTOEVENTO="Manual",$M367=1),0,IF(OFFSET(CRONOPLE!$F$14,$M367,BF$13)="",10^12,OFFSET(CRONOPLE!$F$14,$M367,BF$13))))</f>
        <v>1000000000000</v>
      </c>
      <c r="BG367" s="181">
        <f ca="1">IF($D367&lt;&gt;"Serviço",0,IF(AND(AUTOEVENTO="Manual",$M367=1),0,IF(OFFSET(CRONOPLE!$F$14,$M367,BG$13)="",10^12,OFFSET(CRONOPLE!$F$14,$M367,BG$13))))</f>
        <v>1000000000000</v>
      </c>
      <c r="BH367" s="181">
        <f ca="1">IF($D367&lt;&gt;"Serviço",0,IF(AND(AUTOEVENTO="Manual",$M367=1),0,IF(OFFSET(CRONOPLE!$F$14,$M367,BH$13)="",10^12,OFFSET(CRONOPLE!$F$14,$M367,BH$13))))</f>
        <v>1000000000000</v>
      </c>
      <c r="BI367" s="181">
        <f ca="1">IF($D367&lt;&gt;"Serviço",0,IF(AND(AUTOEVENTO="Manual",$M367=1),0,IF(OFFSET(CRONOPLE!$F$14,$M367,BI$13)="",10^12,OFFSET(CRONOPLE!$F$14,$M367,BI$13))))</f>
        <v>1000000000000</v>
      </c>
      <c r="BJ367" s="181">
        <f ca="1">IF($D367&lt;&gt;"Serviço",0,IF(AND(AUTOEVENTO="Manual",$M367=1),0,IF(OFFSET(CRONOPLE!$F$14,$M367,BJ$13)="",10^12,OFFSET(CRONOPLE!$F$14,$M367,BJ$13))))</f>
        <v>1000000000000</v>
      </c>
      <c r="BK367" s="181">
        <f ca="1">IF($D367&lt;&gt;"Serviço",0,IF(AND(AUTOEVENTO="Manual",$M367=1),0,IF(OFFSET(CRONOPLE!$F$14,$M367,BK$13)="",10^12,OFFSET(CRONOPLE!$F$14,$M367,BK$13))))</f>
        <v>1000000000000</v>
      </c>
      <c r="BL367" s="181">
        <f ca="1">IF($D367&lt;&gt;"Serviço",0,IF(AND(AUTOEVENTO="Manual",$M367=1),0,IF(OFFSET(CRONOPLE!$F$14,$M367,BL$13)="",10^12,OFFSET(CRONOPLE!$F$14,$M367,BL$13))))</f>
        <v>1000000000000</v>
      </c>
      <c r="BM367" s="181">
        <f ca="1">IF($D367&lt;&gt;"Serviço",0,IF(AND(AUTOEVENTO="Manual",$M367=1),0,IF(OFFSET(CRONOPLE!$F$14,$M367,BM$13)="",10^12,OFFSET(CRONOPLE!$F$14,$M367,BM$13))))</f>
        <v>1000000000000</v>
      </c>
      <c r="BN367" s="181">
        <f ca="1">IF($D367&lt;&gt;"Serviço",0,IF(AND(AUTOEVENTO="Manual",$M367=1),0,IF(OFFSET(CRONOPLE!$F$14,$M367,BN$13)="",10^12,OFFSET(CRONOPLE!$F$14,$M367,BN$13))))</f>
        <v>1000000000000</v>
      </c>
      <c r="BO367" s="181">
        <f ca="1">IF($D367&lt;&gt;"Serviço",0,IF(AND(AUTOEVENTO="Manual",$M367=1),0,IF(OFFSET(CRONOPLE!$F$14,$M367,BO$13)="",10^12,OFFSET(CRONOPLE!$F$14,$M367,BO$13))))</f>
        <v>1000000000000</v>
      </c>
      <c r="BP367" s="181">
        <f ca="1">IF($D367&lt;&gt;"Serviço",0,IF(AND(AUTOEVENTO="Manual",$M367=1),0,IF(OFFSET(CRONOPLE!$F$14,$M367,BP$13)="",10^12,OFFSET(CRONOPLE!$F$14,$M367,BP$13))))</f>
        <v>1000000000000</v>
      </c>
      <c r="BQ367" s="181">
        <f ca="1">IF($D367&lt;&gt;"Serviço",0,IF(AND(AUTOEVENTO="Manual",$M367=1),0,IF(OFFSET(CRONOPLE!$F$14,$M367,BQ$13)="",10^12,OFFSET(CRONOPLE!$F$14,$M367,BQ$13))))</f>
        <v>1000000000000</v>
      </c>
      <c r="BR367" s="181">
        <f ca="1">IF($D367&lt;&gt;"Serviço",0,IF(AND(AUTOEVENTO="Manual",$M367=1),0,IF(OFFSET(CRONOPLE!$F$14,$M367,BR$13)="",10^12,OFFSET(CRONOPLE!$F$14,$M367,BR$13))))</f>
        <v>1000000000000</v>
      </c>
      <c r="BS367" s="181">
        <f ca="1">IF($D367&lt;&gt;"Serviço",0,IF(AND(AUTOEVENTO="Manual",$M367=1),0,IF(OFFSET(CRONOPLE!$F$14,$M367,BS$13)="",10^12,OFFSET(CRONOPLE!$F$14,$M367,BS$13))))</f>
        <v>1000000000000</v>
      </c>
      <c r="BT367" s="181">
        <f ca="1">IF($D367&lt;&gt;"Serviço",0,IF(AND(AUTOEVENTO="Manual",$M367=1),0,IF(OFFSET(CRONOPLE!$F$14,$M367,BT$13)="",10^12,OFFSET(CRONOPLE!$F$14,$M367,BT$13))))</f>
        <v>1000000000000</v>
      </c>
      <c r="BV367" s="182">
        <f ca="1">IF($D367&lt;&gt;"Serviço",0,IF(OR(AND(AUTOEVENTO="Manual",$M367=1),$M367&gt;(ROW(PLE.lastrow)-ROW(PLE.firstrow))),0,IF(OFFSET(PLE!$G$14,$M367,BV$13)="",10^12,OFFSET(PLE!$G$14,$M367,BV$13))))</f>
        <v>1000000000000</v>
      </c>
      <c r="BW367" s="182">
        <f ca="1">IF($D367&lt;&gt;"Serviço",0,IF(OR(AND(AUTOEVENTO="Manual",$M367=1),$M367&gt;(ROW(PLE.lastrow)-ROW(PLE.firstrow))),0,IF(OFFSET(PLE!$G$14,$M367,BW$13)="",10^12,OFFSET(PLE!$G$14,$M367,BW$13))))</f>
        <v>1000000000000</v>
      </c>
      <c r="BX367" s="182">
        <f ca="1">IF($D367&lt;&gt;"Serviço",0,IF(OR(AND(AUTOEVENTO="Manual",$M367=1),$M367&gt;(ROW(PLE.lastrow)-ROW(PLE.firstrow))),0,IF(OFFSET(PLE!$G$14,$M367,BX$13)="",10^12,OFFSET(PLE!$G$14,$M367,BX$13))))</f>
        <v>1000000000000</v>
      </c>
      <c r="BY367" s="182">
        <f ca="1">IF($D367&lt;&gt;"Serviço",0,IF(OR(AND(AUTOEVENTO="Manual",$M367=1),$M367&gt;(ROW(PLE.lastrow)-ROW(PLE.firstrow))),0,IF(OFFSET(PLE!$G$14,$M367,BY$13)="",10^12,OFFSET(PLE!$G$14,$M367,BY$13))))</f>
        <v>1000000000000</v>
      </c>
      <c r="BZ367" s="182">
        <f ca="1">IF($D367&lt;&gt;"Serviço",0,IF(OR(AND(AUTOEVENTO="Manual",$M367=1),$M367&gt;(ROW(PLE.lastrow)-ROW(PLE.firstrow))),0,IF(OFFSET(PLE!$G$14,$M367,BZ$13)="",10^12,OFFSET(PLE!$G$14,$M367,BZ$13))))</f>
        <v>1000000000000</v>
      </c>
      <c r="CA367" s="182">
        <f ca="1">IF($D367&lt;&gt;"Serviço",0,IF(OR(AND(AUTOEVENTO="Manual",$M367=1),$M367&gt;(ROW(PLE.lastrow)-ROW(PLE.firstrow))),0,IF(OFFSET(PLE!$G$14,$M367,CA$13)="",10^12,OFFSET(PLE!$G$14,$M367,CA$13))))</f>
        <v>1000000000000</v>
      </c>
      <c r="CB367" s="182">
        <f ca="1">IF($D367&lt;&gt;"Serviço",0,IF(OR(AND(AUTOEVENTO="Manual",$M367=1),$M367&gt;(ROW(PLE.lastrow)-ROW(PLE.firstrow))),0,IF(OFFSET(PLE!$G$14,$M367,CB$13)="",10^12,OFFSET(PLE!$G$14,$M367,CB$13))))</f>
        <v>1000000000000</v>
      </c>
      <c r="CC367" s="182">
        <f ca="1">IF($D367&lt;&gt;"Serviço",0,IF(OR(AND(AUTOEVENTO="Manual",$M367=1),$M367&gt;(ROW(PLE.lastrow)-ROW(PLE.firstrow))),0,IF(OFFSET(PLE!$G$14,$M367,CC$13)="",10^12,OFFSET(PLE!$G$14,$M367,CC$13))))</f>
        <v>1000000000000</v>
      </c>
      <c r="CD367" s="182">
        <f ca="1">IF($D367&lt;&gt;"Serviço",0,IF(OR(AND(AUTOEVENTO="Manual",$M367=1),$M367&gt;(ROW(PLE.lastrow)-ROW(PLE.firstrow))),0,IF(OFFSET(PLE!$G$14,$M367,CD$13)="",10^12,OFFSET(PLE!$G$14,$M367,CD$13))))</f>
        <v>1000000000000</v>
      </c>
      <c r="CE367" s="182">
        <f ca="1">IF($D367&lt;&gt;"Serviço",0,IF(OR(AND(AUTOEVENTO="Manual",$M367=1),$M367&gt;(ROW(PLE.lastrow)-ROW(PLE.firstrow))),0,IF(OFFSET(PLE!$G$14,$M367,CE$13)="",10^12,OFFSET(PLE!$G$14,$M367,CE$13))))</f>
        <v>1000000000000</v>
      </c>
      <c r="CF367" s="182">
        <f ca="1">IF($D367&lt;&gt;"Serviço",0,IF(OR(AND(AUTOEVENTO="Manual",$M367=1),$M367&gt;(ROW(PLE.lastrow)-ROW(PLE.firstrow))),0,IF(OFFSET(PLE!$G$14,$M367,CF$13)="",10^12,OFFSET(PLE!$G$14,$M367,CF$13))))</f>
        <v>1000000000000</v>
      </c>
      <c r="CG367" s="182">
        <f ca="1">IF($D367&lt;&gt;"Serviço",0,IF(OR(AND(AUTOEVENTO="Manual",$M367=1),$M367&gt;(ROW(PLE.lastrow)-ROW(PLE.firstrow))),0,IF(OFFSET(PLE!$G$14,$M367,CG$13)="",10^12,OFFSET(PLE!$G$14,$M367,CG$13))))</f>
        <v>1000000000000</v>
      </c>
      <c r="CH367" s="182">
        <f ca="1">IF($D367&lt;&gt;"Serviço",0,IF(OR(AND(AUTOEVENTO="Manual",$M367=1),$M367&gt;(ROW(PLE.lastrow)-ROW(PLE.firstrow))),0,IF(OFFSET(PLE!$G$14,$M367,CH$13)="",10^12,OFFSET(PLE!$G$14,$M367,CH$13))))</f>
        <v>1000000000000</v>
      </c>
      <c r="CI367" s="182">
        <f ca="1">IF($D367&lt;&gt;"Serviço",0,IF(OR(AND(AUTOEVENTO="Manual",$M367=1),$M367&gt;(ROW(PLE.lastrow)-ROW(PLE.firstrow))),0,IF(OFFSET(PLE!$G$14,$M367,CI$13)="",10^12,OFFSET(PLE!$G$14,$M367,CI$13))))</f>
        <v>1000000000000</v>
      </c>
      <c r="CJ367" s="182">
        <f ca="1">IF($D367&lt;&gt;"Serviço",0,IF(OR(AND(AUTOEVENTO="Manual",$M367=1),$M367&gt;(ROW(PLE.lastrow)-ROW(PLE.firstrow))),0,IF(OFFSET(PLE!$G$14,$M367,CJ$13)="",10^12,OFFSET(PLE!$G$14,$M367,CJ$13))))</f>
        <v>1000000000000</v>
      </c>
      <c r="CK367" s="182">
        <f ca="1">IF($D367&lt;&gt;"Serviço",0,IF(OR(AND(AUTOEVENTO="Manual",$M367=1),$M367&gt;(ROW(PLE.lastrow)-ROW(PLE.firstrow))),0,IF(OFFSET(PLE!$G$14,$M367,CK$13)="",10^12,OFFSET(PLE!$G$14,$M367,CK$13))))</f>
        <v>1000000000000</v>
      </c>
      <c r="CL367" s="182">
        <f ca="1">IF($D367&lt;&gt;"Serviço",0,IF(OR(AND(AUTOEVENTO="Manual",$M367=1),$M367&gt;(ROW(PLE.lastrow)-ROW(PLE.firstrow))),0,IF(OFFSET(PLE!$G$14,$M367,CL$13)="",10^12,OFFSET(PLE!$G$14,$M367,CL$13))))</f>
        <v>1000000000000</v>
      </c>
      <c r="CM367" s="182">
        <f ca="1">IF($D367&lt;&gt;"Serviço",0,IF(OR(AND(AUTOEVENTO="Manual",$M367=1),$M367&gt;(ROW(PLE.lastrow)-ROW(PLE.firstrow))),0,IF(OFFSET(PLE!$G$14,$M367,CM$13)="",10^12,OFFSET(PLE!$G$14,$M367,CM$13))))</f>
        <v>1000000000000</v>
      </c>
    </row>
    <row r="368" spans="1:91" ht="25.5" x14ac:dyDescent="0.2">
      <c r="A368" s="7" t="str">
        <f t="shared" ca="1" si="12"/>
        <v>350</v>
      </c>
      <c r="B368" s="7" t="str">
        <f ca="1">OFFSET(ORÇAMENTO!C$15,ROW(B368)-ROW(B$15),0)</f>
        <v>S</v>
      </c>
      <c r="C368" s="7" t="str">
        <f ca="1">OFFSET(ORÇAMENTO!L$15,ROW(C368)-ROW(C$15),0)</f>
        <v/>
      </c>
      <c r="D368" s="118" t="str">
        <f ca="1">OFFSET(ORÇAMENTO!N$15,ROW(D368)-ROW(D$15),0)</f>
        <v>Serviço</v>
      </c>
      <c r="E368" s="119" t="str">
        <f ca="1">OFFSET(ORÇAMENTO!O$15,ROW(E368)-ROW(E$15),0)</f>
        <v>-</v>
      </c>
      <c r="F368" s="172" t="str">
        <f ca="1">OFFSET(ORÇAMENTO!R$15,ROW(F368)-ROW(F$15),0)</f>
        <v>(abra o arquivo 'Referência 06-2024.xlsm)</v>
      </c>
      <c r="G368" s="173" t="str">
        <f ca="1">IF($D368&lt;&gt;"Serviço","",OFFSET(ORÇAMENTO!S$15,ROW(G368)-ROW(G$15),0))</f>
        <v>-</v>
      </c>
      <c r="H368" s="124">
        <f ca="1">IF($D368&lt;&gt;"Serviço",0,IF(ACOMPANHAMENTO="BM",ROUND(OFFSET(ORÇAMENTO!AJ$15,ROW(H368)-ROW(H$15),0),15-13*ORÇAMENTO!$AF$7),SUMPRODUCT(($Q$12:$AI$12&lt;&gt;"")*ROUND($Q368:$AI368,15-13*ORÇAMENTO!$AF$7))))</f>
        <v>6</v>
      </c>
      <c r="I368" s="561" t="s">
        <v>1107</v>
      </c>
      <c r="K368" s="174"/>
      <c r="L368" s="175" t="s">
        <v>255</v>
      </c>
      <c r="M368" s="176">
        <f ca="1">IF($D368&lt;&gt;"Serviço","",IF(AUTOEVENTO="manual",$A368,IF(ISERROR(MATCH($A368,$A$15:OFFSET($A368,-1,0),0)),MAX($M$15:OFFSET(M368,-1,0))+1,INDEX($M$15:OFFSET(M368,-1,0),MATCH($A368,$A$15:OFFSET($A368,-1,0),0)))))</f>
        <v>44</v>
      </c>
      <c r="N368" s="177" t="str">
        <f ca="1">IF($D368&lt;&gt;"Serviço","",IF(AUTOEVENTO="Manual",IF($A368=0,"&lt;-- defina o número do agrupador",OFFSET(EVENTOS!$D$14,$A368,0)),OFFSET($F$15,$A368,0)))</f>
        <v>LOUÇAS, ACESSÓRIOS E METAIS</v>
      </c>
      <c r="O368" s="178"/>
      <c r="Q368" s="178">
        <v>6</v>
      </c>
      <c r="R368" s="179"/>
      <c r="S368" s="179"/>
      <c r="T368" s="179"/>
      <c r="U368" s="179"/>
      <c r="V368" s="179"/>
      <c r="W368" s="179"/>
      <c r="X368" s="179"/>
      <c r="Y368" s="179"/>
      <c r="Z368" s="180"/>
      <c r="AA368" s="179"/>
      <c r="AB368" s="179"/>
      <c r="AC368" s="179"/>
      <c r="AD368" s="179"/>
      <c r="AE368" s="179"/>
      <c r="AF368" s="179"/>
      <c r="AG368" s="179"/>
      <c r="AH368" s="180"/>
      <c r="AJ368" s="544">
        <f ca="1">IF(AND($D368="Serviço",AJ$12&lt;&gt;0,$H368&gt;0,OR(AUTOEVENTO&lt;&gt;"manual",$M368&lt;&gt;1)),
IF(Import.TipoArredondamento&lt;&gt;"TransfereGOV",
ROUND(OFFSET($P368,0,AJ$13),15-13*ORÇAMENTO!$AF$7)/$H368*OFFSET(ORÇAMENTO!$X$15,ROW(AJ368)-ROW(AJ$15),0),
ROUND(ROUND(OFFSET($P368,0,AJ$13),15-13*ORÇAMENTO!$AF$7)*OFFSET(ORÇAMENTO!$W$15,ROW(AJ368)-ROW(AJ$15),0),15-13*ORÇAMENTO!$AF$11)),0)</f>
        <v>0</v>
      </c>
      <c r="AK368" s="545">
        <f ca="1">IF(AND($D368="Serviço",AK$12&lt;&gt;0,$H368&gt;0,OR(AUTOEVENTO&lt;&gt;"manual",$M368&lt;&gt;1)),
IF(Import.TipoArredondamento&lt;&gt;"TransfereGOV",
ROUND(OFFSET($P368,0,AK$13),15-13*ORÇAMENTO!$AF$7)/$H368*OFFSET(ORÇAMENTO!$X$15,ROW(AK368)-ROW(AK$15),0),
ROUND(ROUND(OFFSET($P368,0,AK$13),15-13*ORÇAMENTO!$AF$7)*OFFSET(ORÇAMENTO!$W$15,ROW(AK368)-ROW(AK$15),0),15-13*ORÇAMENTO!$AF$11)),0)</f>
        <v>0</v>
      </c>
      <c r="AL368" s="545">
        <f ca="1">IF(AND($D368="Serviço",AL$12&lt;&gt;0,$H368&gt;0,OR(AUTOEVENTO&lt;&gt;"manual",$M368&lt;&gt;1)),
IF(Import.TipoArredondamento&lt;&gt;"TransfereGOV",
ROUND(OFFSET($P368,0,AL$13),15-13*ORÇAMENTO!$AF$7)/$H368*OFFSET(ORÇAMENTO!$X$15,ROW(AL368)-ROW(AL$15),0),
ROUND(ROUND(OFFSET($P368,0,AL$13),15-13*ORÇAMENTO!$AF$7)*OFFSET(ORÇAMENTO!$W$15,ROW(AL368)-ROW(AL$15),0),15-13*ORÇAMENTO!$AF$11)),0)</f>
        <v>0</v>
      </c>
      <c r="AM368" s="545">
        <f ca="1">IF(AND($D368="Serviço",AM$12&lt;&gt;0,$H368&gt;0,OR(AUTOEVENTO&lt;&gt;"manual",$M368&lt;&gt;1)),
IF(Import.TipoArredondamento&lt;&gt;"TransfereGOV",
ROUND(OFFSET($P368,0,AM$13),15-13*ORÇAMENTO!$AF$7)/$H368*OFFSET(ORÇAMENTO!$X$15,ROW(AM368)-ROW(AM$15),0),
ROUND(ROUND(OFFSET($P368,0,AM$13),15-13*ORÇAMENTO!$AF$7)*OFFSET(ORÇAMENTO!$W$15,ROW(AM368)-ROW(AM$15),0),15-13*ORÇAMENTO!$AF$11)),0)</f>
        <v>0</v>
      </c>
      <c r="AN368" s="545">
        <f ca="1">IF(AND($D368="Serviço",AN$12&lt;&gt;0,$H368&gt;0,OR(AUTOEVENTO&lt;&gt;"manual",$M368&lt;&gt;1)),
IF(Import.TipoArredondamento&lt;&gt;"TransfereGOV",
ROUND(OFFSET($P368,0,AN$13),15-13*ORÇAMENTO!$AF$7)/$H368*OFFSET(ORÇAMENTO!$X$15,ROW(AN368)-ROW(AN$15),0),
ROUND(ROUND(OFFSET($P368,0,AN$13),15-13*ORÇAMENTO!$AF$7)*OFFSET(ORÇAMENTO!$W$15,ROW(AN368)-ROW(AN$15),0),15-13*ORÇAMENTO!$AF$11)),0)</f>
        <v>0</v>
      </c>
      <c r="AO368" s="545">
        <f ca="1">IF(AND($D368="Serviço",AO$12&lt;&gt;0,$H368&gt;0,OR(AUTOEVENTO&lt;&gt;"manual",$M368&lt;&gt;1)),
IF(Import.TipoArredondamento&lt;&gt;"TransfereGOV",
ROUND(OFFSET($P368,0,AO$13),15-13*ORÇAMENTO!$AF$7)/$H368*OFFSET(ORÇAMENTO!$X$15,ROW(AO368)-ROW(AO$15),0),
ROUND(ROUND(OFFSET($P368,0,AO$13),15-13*ORÇAMENTO!$AF$7)*OFFSET(ORÇAMENTO!$W$15,ROW(AO368)-ROW(AO$15),0),15-13*ORÇAMENTO!$AF$11)),0)</f>
        <v>0</v>
      </c>
      <c r="AP368" s="545">
        <f ca="1">IF(AND($D368="Serviço",AP$12&lt;&gt;0,$H368&gt;0,OR(AUTOEVENTO&lt;&gt;"manual",$M368&lt;&gt;1)),
IF(Import.TipoArredondamento&lt;&gt;"TransfereGOV",
ROUND(OFFSET($P368,0,AP$13),15-13*ORÇAMENTO!$AF$7)/$H368*OFFSET(ORÇAMENTO!$X$15,ROW(AP368)-ROW(AP$15),0),
ROUND(ROUND(OFFSET($P368,0,AP$13),15-13*ORÇAMENTO!$AF$7)*OFFSET(ORÇAMENTO!$W$15,ROW(AP368)-ROW(AP$15),0),15-13*ORÇAMENTO!$AF$11)),0)</f>
        <v>0</v>
      </c>
      <c r="AQ368" s="545">
        <f ca="1">IF(AND($D368="Serviço",AQ$12&lt;&gt;0,$H368&gt;0,OR(AUTOEVENTO&lt;&gt;"manual",$M368&lt;&gt;1)),
IF(Import.TipoArredondamento&lt;&gt;"TransfereGOV",
ROUND(OFFSET($P368,0,AQ$13),15-13*ORÇAMENTO!$AF$7)/$H368*OFFSET(ORÇAMENTO!$X$15,ROW(AQ368)-ROW(AQ$15),0),
ROUND(ROUND(OFFSET($P368,0,AQ$13),15-13*ORÇAMENTO!$AF$7)*OFFSET(ORÇAMENTO!$W$15,ROW(AQ368)-ROW(AQ$15),0),15-13*ORÇAMENTO!$AF$11)),0)</f>
        <v>0</v>
      </c>
      <c r="AR368" s="545">
        <f ca="1">IF(AND($D368="Serviço",AR$12&lt;&gt;0,$H368&gt;0,OR(AUTOEVENTO&lt;&gt;"manual",$M368&lt;&gt;1)),
IF(Import.TipoArredondamento&lt;&gt;"TransfereGOV",
ROUND(OFFSET($P368,0,AR$13),15-13*ORÇAMENTO!$AF$7)/$H368*OFFSET(ORÇAMENTO!$X$15,ROW(AR368)-ROW(AR$15),0),
ROUND(ROUND(OFFSET($P368,0,AR$13),15-13*ORÇAMENTO!$AF$7)*OFFSET(ORÇAMENTO!$W$15,ROW(AR368)-ROW(AR$15),0),15-13*ORÇAMENTO!$AF$11)),0)</f>
        <v>0</v>
      </c>
      <c r="AS368" s="546">
        <f ca="1">IF(AND($D368="Serviço",AS$12&lt;&gt;0,$H368&gt;0,OR(AUTOEVENTO&lt;&gt;"manual",$M368&lt;&gt;1)),
IF(Import.TipoArredondamento&lt;&gt;"TransfereGOV",
ROUND(OFFSET($P368,0,AS$13),15-13*ORÇAMENTO!$AF$7)/$H368*OFFSET(ORÇAMENTO!$X$15,ROW(AS368)-ROW(AS$15),0),
ROUND(ROUND(OFFSET($P368,0,AS$13),15-13*ORÇAMENTO!$AF$7)*OFFSET(ORÇAMENTO!$W$15,ROW(AS368)-ROW(AS$15),0),15-13*ORÇAMENTO!$AF$11)),0)</f>
        <v>0</v>
      </c>
      <c r="AT368" s="545">
        <f ca="1">IF(AND($D368="Serviço",AT$12&lt;&gt;0,$H368&gt;0,OR(AUTOEVENTO&lt;&gt;"manual",$M368&lt;&gt;1)),
IF(Import.TipoArredondamento&lt;&gt;"TransfereGOV",
ROUND(OFFSET($P368,0,AT$13),15-13*ORÇAMENTO!$AF$7)/$H368*OFFSET(ORÇAMENTO!$X$15,ROW(AT368)-ROW(AT$15),0),
ROUND(ROUND(OFFSET($P368,0,AT$13),15-13*ORÇAMENTO!$AF$7)*OFFSET(ORÇAMENTO!$W$15,ROW(AT368)-ROW(AT$15),0),15-13*ORÇAMENTO!$AF$11)),0)</f>
        <v>0</v>
      </c>
      <c r="AU368" s="545">
        <f ca="1">IF(AND($D368="Serviço",AU$12&lt;&gt;0,$H368&gt;0,OR(AUTOEVENTO&lt;&gt;"manual",$M368&lt;&gt;1)),
IF(Import.TipoArredondamento&lt;&gt;"TransfereGOV",
ROUND(OFFSET($P368,0,AU$13),15-13*ORÇAMENTO!$AF$7)/$H368*OFFSET(ORÇAMENTO!$X$15,ROW(AU368)-ROW(AU$15),0),
ROUND(ROUND(OFFSET($P368,0,AU$13),15-13*ORÇAMENTO!$AF$7)*OFFSET(ORÇAMENTO!$W$15,ROW(AU368)-ROW(AU$15),0),15-13*ORÇAMENTO!$AF$11)),0)</f>
        <v>0</v>
      </c>
      <c r="AV368" s="545">
        <f ca="1">IF(AND($D368="Serviço",AV$12&lt;&gt;0,$H368&gt;0,OR(AUTOEVENTO&lt;&gt;"manual",$M368&lt;&gt;1)),
IF(Import.TipoArredondamento&lt;&gt;"TransfereGOV",
ROUND(OFFSET($P368,0,AV$13),15-13*ORÇAMENTO!$AF$7)/$H368*OFFSET(ORÇAMENTO!$X$15,ROW(AV368)-ROW(AV$15),0),
ROUND(ROUND(OFFSET($P368,0,AV$13),15-13*ORÇAMENTO!$AF$7)*OFFSET(ORÇAMENTO!$W$15,ROW(AV368)-ROW(AV$15),0),15-13*ORÇAMENTO!$AF$11)),0)</f>
        <v>0</v>
      </c>
      <c r="AW368" s="545">
        <f ca="1">IF(AND($D368="Serviço",AW$12&lt;&gt;0,$H368&gt;0,OR(AUTOEVENTO&lt;&gt;"manual",$M368&lt;&gt;1)),
IF(Import.TipoArredondamento&lt;&gt;"TransfereGOV",
ROUND(OFFSET($P368,0,AW$13),15-13*ORÇAMENTO!$AF$7)/$H368*OFFSET(ORÇAMENTO!$X$15,ROW(AW368)-ROW(AW$15),0),
ROUND(ROUND(OFFSET($P368,0,AW$13),15-13*ORÇAMENTO!$AF$7)*OFFSET(ORÇAMENTO!$W$15,ROW(AW368)-ROW(AW$15),0),15-13*ORÇAMENTO!$AF$11)),0)</f>
        <v>0</v>
      </c>
      <c r="AX368" s="545">
        <f ca="1">IF(AND($D368="Serviço",AX$12&lt;&gt;0,$H368&gt;0,OR(AUTOEVENTO&lt;&gt;"manual",$M368&lt;&gt;1)),
IF(Import.TipoArredondamento&lt;&gt;"TransfereGOV",
ROUND(OFFSET($P368,0,AX$13),15-13*ORÇAMENTO!$AF$7)/$H368*OFFSET(ORÇAMENTO!$X$15,ROW(AX368)-ROW(AX$15),0),
ROUND(ROUND(OFFSET($P368,0,AX$13),15-13*ORÇAMENTO!$AF$7)*OFFSET(ORÇAMENTO!$W$15,ROW(AX368)-ROW(AX$15),0),15-13*ORÇAMENTO!$AF$11)),0)</f>
        <v>0</v>
      </c>
      <c r="AY368" s="545">
        <f ca="1">IF(AND($D368="Serviço",AY$12&lt;&gt;0,$H368&gt;0,OR(AUTOEVENTO&lt;&gt;"manual",$M368&lt;&gt;1)),
IF(Import.TipoArredondamento&lt;&gt;"TransfereGOV",
ROUND(OFFSET($P368,0,AY$13),15-13*ORÇAMENTO!$AF$7)/$H368*OFFSET(ORÇAMENTO!$X$15,ROW(AY368)-ROW(AY$15),0),
ROUND(ROUND(OFFSET($P368,0,AY$13),15-13*ORÇAMENTO!$AF$7)*OFFSET(ORÇAMENTO!$W$15,ROW(AY368)-ROW(AY$15),0),15-13*ORÇAMENTO!$AF$11)),0)</f>
        <v>0</v>
      </c>
      <c r="AZ368" s="545">
        <f ca="1">IF(AND($D368="Serviço",AZ$12&lt;&gt;0,$H368&gt;0,OR(AUTOEVENTO&lt;&gt;"manual",$M368&lt;&gt;1)),
IF(Import.TipoArredondamento&lt;&gt;"TransfereGOV",
ROUND(OFFSET($P368,0,AZ$13),15-13*ORÇAMENTO!$AF$7)/$H368*OFFSET(ORÇAMENTO!$X$15,ROW(AZ368)-ROW(AZ$15),0),
ROUND(ROUND(OFFSET($P368,0,AZ$13),15-13*ORÇAMENTO!$AF$7)*OFFSET(ORÇAMENTO!$W$15,ROW(AZ368)-ROW(AZ$15),0),15-13*ORÇAMENTO!$AF$11)),0)</f>
        <v>0</v>
      </c>
      <c r="BA368" s="546">
        <f ca="1">IF(AND($D368="Serviço",BA$12&lt;&gt;0,$H368&gt;0,OR(AUTOEVENTO&lt;&gt;"manual",$M368&lt;&gt;1)),
IF(Import.TipoArredondamento&lt;&gt;"TransfereGOV",
ROUND(OFFSET($P368,0,BA$13),15-13*ORÇAMENTO!$AF$7)/$H368*OFFSET(ORÇAMENTO!$X$15,ROW(BA368)-ROW(BA$15),0),
ROUND(ROUND(OFFSET($P368,0,BA$13),15-13*ORÇAMENTO!$AF$7)*OFFSET(ORÇAMENTO!$W$15,ROW(BA368)-ROW(BA$15),0),15-13*ORÇAMENTO!$AF$11)),0)</f>
        <v>0</v>
      </c>
      <c r="BC368" s="181">
        <f ca="1">IF($D368&lt;&gt;"Serviço",0,IF(AND(AUTOEVENTO="Manual",$M368=1),0,IF(OFFSET(CRONOPLE!$F$14,$M368,BC$13)="",10^12,OFFSET(CRONOPLE!$F$14,$M368,BC$13))))</f>
        <v>10</v>
      </c>
      <c r="BD368" s="181">
        <f ca="1">IF($D368&lt;&gt;"Serviço",0,IF(AND(AUTOEVENTO="Manual",$M368=1),0,IF(OFFSET(CRONOPLE!$F$14,$M368,BD$13)="",10^12,OFFSET(CRONOPLE!$F$14,$M368,BD$13))))</f>
        <v>1000000000000</v>
      </c>
      <c r="BE368" s="181">
        <f ca="1">IF($D368&lt;&gt;"Serviço",0,IF(AND(AUTOEVENTO="Manual",$M368=1),0,IF(OFFSET(CRONOPLE!$F$14,$M368,BE$13)="",10^12,OFFSET(CRONOPLE!$F$14,$M368,BE$13))))</f>
        <v>1000000000000</v>
      </c>
      <c r="BF368" s="181">
        <f ca="1">IF($D368&lt;&gt;"Serviço",0,IF(AND(AUTOEVENTO="Manual",$M368=1),0,IF(OFFSET(CRONOPLE!$F$14,$M368,BF$13)="",10^12,OFFSET(CRONOPLE!$F$14,$M368,BF$13))))</f>
        <v>1000000000000</v>
      </c>
      <c r="BG368" s="181">
        <f ca="1">IF($D368&lt;&gt;"Serviço",0,IF(AND(AUTOEVENTO="Manual",$M368=1),0,IF(OFFSET(CRONOPLE!$F$14,$M368,BG$13)="",10^12,OFFSET(CRONOPLE!$F$14,$M368,BG$13))))</f>
        <v>1000000000000</v>
      </c>
      <c r="BH368" s="181">
        <f ca="1">IF($D368&lt;&gt;"Serviço",0,IF(AND(AUTOEVENTO="Manual",$M368=1),0,IF(OFFSET(CRONOPLE!$F$14,$M368,BH$13)="",10^12,OFFSET(CRONOPLE!$F$14,$M368,BH$13))))</f>
        <v>1000000000000</v>
      </c>
      <c r="BI368" s="181">
        <f ca="1">IF($D368&lt;&gt;"Serviço",0,IF(AND(AUTOEVENTO="Manual",$M368=1),0,IF(OFFSET(CRONOPLE!$F$14,$M368,BI$13)="",10^12,OFFSET(CRONOPLE!$F$14,$M368,BI$13))))</f>
        <v>1000000000000</v>
      </c>
      <c r="BJ368" s="181">
        <f ca="1">IF($D368&lt;&gt;"Serviço",0,IF(AND(AUTOEVENTO="Manual",$M368=1),0,IF(OFFSET(CRONOPLE!$F$14,$M368,BJ$13)="",10^12,OFFSET(CRONOPLE!$F$14,$M368,BJ$13))))</f>
        <v>1000000000000</v>
      </c>
      <c r="BK368" s="181">
        <f ca="1">IF($D368&lt;&gt;"Serviço",0,IF(AND(AUTOEVENTO="Manual",$M368=1),0,IF(OFFSET(CRONOPLE!$F$14,$M368,BK$13)="",10^12,OFFSET(CRONOPLE!$F$14,$M368,BK$13))))</f>
        <v>1000000000000</v>
      </c>
      <c r="BL368" s="181">
        <f ca="1">IF($D368&lt;&gt;"Serviço",0,IF(AND(AUTOEVENTO="Manual",$M368=1),0,IF(OFFSET(CRONOPLE!$F$14,$M368,BL$13)="",10^12,OFFSET(CRONOPLE!$F$14,$M368,BL$13))))</f>
        <v>1000000000000</v>
      </c>
      <c r="BM368" s="181">
        <f ca="1">IF($D368&lt;&gt;"Serviço",0,IF(AND(AUTOEVENTO="Manual",$M368=1),0,IF(OFFSET(CRONOPLE!$F$14,$M368,BM$13)="",10^12,OFFSET(CRONOPLE!$F$14,$M368,BM$13))))</f>
        <v>1000000000000</v>
      </c>
      <c r="BN368" s="181">
        <f ca="1">IF($D368&lt;&gt;"Serviço",0,IF(AND(AUTOEVENTO="Manual",$M368=1),0,IF(OFFSET(CRONOPLE!$F$14,$M368,BN$13)="",10^12,OFFSET(CRONOPLE!$F$14,$M368,BN$13))))</f>
        <v>1000000000000</v>
      </c>
      <c r="BO368" s="181">
        <f ca="1">IF($D368&lt;&gt;"Serviço",0,IF(AND(AUTOEVENTO="Manual",$M368=1),0,IF(OFFSET(CRONOPLE!$F$14,$M368,BO$13)="",10^12,OFFSET(CRONOPLE!$F$14,$M368,BO$13))))</f>
        <v>1000000000000</v>
      </c>
      <c r="BP368" s="181">
        <f ca="1">IF($D368&lt;&gt;"Serviço",0,IF(AND(AUTOEVENTO="Manual",$M368=1),0,IF(OFFSET(CRONOPLE!$F$14,$M368,BP$13)="",10^12,OFFSET(CRONOPLE!$F$14,$M368,BP$13))))</f>
        <v>1000000000000</v>
      </c>
      <c r="BQ368" s="181">
        <f ca="1">IF($D368&lt;&gt;"Serviço",0,IF(AND(AUTOEVENTO="Manual",$M368=1),0,IF(OFFSET(CRONOPLE!$F$14,$M368,BQ$13)="",10^12,OFFSET(CRONOPLE!$F$14,$M368,BQ$13))))</f>
        <v>1000000000000</v>
      </c>
      <c r="BR368" s="181">
        <f ca="1">IF($D368&lt;&gt;"Serviço",0,IF(AND(AUTOEVENTO="Manual",$M368=1),0,IF(OFFSET(CRONOPLE!$F$14,$M368,BR$13)="",10^12,OFFSET(CRONOPLE!$F$14,$M368,BR$13))))</f>
        <v>1000000000000</v>
      </c>
      <c r="BS368" s="181">
        <f ca="1">IF($D368&lt;&gt;"Serviço",0,IF(AND(AUTOEVENTO="Manual",$M368=1),0,IF(OFFSET(CRONOPLE!$F$14,$M368,BS$13)="",10^12,OFFSET(CRONOPLE!$F$14,$M368,BS$13))))</f>
        <v>1000000000000</v>
      </c>
      <c r="BT368" s="181">
        <f ca="1">IF($D368&lt;&gt;"Serviço",0,IF(AND(AUTOEVENTO="Manual",$M368=1),0,IF(OFFSET(CRONOPLE!$F$14,$M368,BT$13)="",10^12,OFFSET(CRONOPLE!$F$14,$M368,BT$13))))</f>
        <v>1000000000000</v>
      </c>
      <c r="BV368" s="182">
        <f ca="1">IF($D368&lt;&gt;"Serviço",0,IF(OR(AND(AUTOEVENTO="Manual",$M368=1),$M368&gt;(ROW(PLE.lastrow)-ROW(PLE.firstrow))),0,IF(OFFSET(PLE!$G$14,$M368,BV$13)="",10^12,OFFSET(PLE!$G$14,$M368,BV$13))))</f>
        <v>1000000000000</v>
      </c>
      <c r="BW368" s="182">
        <f ca="1">IF($D368&lt;&gt;"Serviço",0,IF(OR(AND(AUTOEVENTO="Manual",$M368=1),$M368&gt;(ROW(PLE.lastrow)-ROW(PLE.firstrow))),0,IF(OFFSET(PLE!$G$14,$M368,BW$13)="",10^12,OFFSET(PLE!$G$14,$M368,BW$13))))</f>
        <v>1000000000000</v>
      </c>
      <c r="BX368" s="182">
        <f ca="1">IF($D368&lt;&gt;"Serviço",0,IF(OR(AND(AUTOEVENTO="Manual",$M368=1),$M368&gt;(ROW(PLE.lastrow)-ROW(PLE.firstrow))),0,IF(OFFSET(PLE!$G$14,$M368,BX$13)="",10^12,OFFSET(PLE!$G$14,$M368,BX$13))))</f>
        <v>1000000000000</v>
      </c>
      <c r="BY368" s="182">
        <f ca="1">IF($D368&lt;&gt;"Serviço",0,IF(OR(AND(AUTOEVENTO="Manual",$M368=1),$M368&gt;(ROW(PLE.lastrow)-ROW(PLE.firstrow))),0,IF(OFFSET(PLE!$G$14,$M368,BY$13)="",10^12,OFFSET(PLE!$G$14,$M368,BY$13))))</f>
        <v>1000000000000</v>
      </c>
      <c r="BZ368" s="182">
        <f ca="1">IF($D368&lt;&gt;"Serviço",0,IF(OR(AND(AUTOEVENTO="Manual",$M368=1),$M368&gt;(ROW(PLE.lastrow)-ROW(PLE.firstrow))),0,IF(OFFSET(PLE!$G$14,$M368,BZ$13)="",10^12,OFFSET(PLE!$G$14,$M368,BZ$13))))</f>
        <v>1000000000000</v>
      </c>
      <c r="CA368" s="182">
        <f ca="1">IF($D368&lt;&gt;"Serviço",0,IF(OR(AND(AUTOEVENTO="Manual",$M368=1),$M368&gt;(ROW(PLE.lastrow)-ROW(PLE.firstrow))),0,IF(OFFSET(PLE!$G$14,$M368,CA$13)="",10^12,OFFSET(PLE!$G$14,$M368,CA$13))))</f>
        <v>1000000000000</v>
      </c>
      <c r="CB368" s="182">
        <f ca="1">IF($D368&lt;&gt;"Serviço",0,IF(OR(AND(AUTOEVENTO="Manual",$M368=1),$M368&gt;(ROW(PLE.lastrow)-ROW(PLE.firstrow))),0,IF(OFFSET(PLE!$G$14,$M368,CB$13)="",10^12,OFFSET(PLE!$G$14,$M368,CB$13))))</f>
        <v>1000000000000</v>
      </c>
      <c r="CC368" s="182">
        <f ca="1">IF($D368&lt;&gt;"Serviço",0,IF(OR(AND(AUTOEVENTO="Manual",$M368=1),$M368&gt;(ROW(PLE.lastrow)-ROW(PLE.firstrow))),0,IF(OFFSET(PLE!$G$14,$M368,CC$13)="",10^12,OFFSET(PLE!$G$14,$M368,CC$13))))</f>
        <v>1000000000000</v>
      </c>
      <c r="CD368" s="182">
        <f ca="1">IF($D368&lt;&gt;"Serviço",0,IF(OR(AND(AUTOEVENTO="Manual",$M368=1),$M368&gt;(ROW(PLE.lastrow)-ROW(PLE.firstrow))),0,IF(OFFSET(PLE!$G$14,$M368,CD$13)="",10^12,OFFSET(PLE!$G$14,$M368,CD$13))))</f>
        <v>1000000000000</v>
      </c>
      <c r="CE368" s="182">
        <f ca="1">IF($D368&lt;&gt;"Serviço",0,IF(OR(AND(AUTOEVENTO="Manual",$M368=1),$M368&gt;(ROW(PLE.lastrow)-ROW(PLE.firstrow))),0,IF(OFFSET(PLE!$G$14,$M368,CE$13)="",10^12,OFFSET(PLE!$G$14,$M368,CE$13))))</f>
        <v>1000000000000</v>
      </c>
      <c r="CF368" s="182">
        <f ca="1">IF($D368&lt;&gt;"Serviço",0,IF(OR(AND(AUTOEVENTO="Manual",$M368=1),$M368&gt;(ROW(PLE.lastrow)-ROW(PLE.firstrow))),0,IF(OFFSET(PLE!$G$14,$M368,CF$13)="",10^12,OFFSET(PLE!$G$14,$M368,CF$13))))</f>
        <v>1000000000000</v>
      </c>
      <c r="CG368" s="182">
        <f ca="1">IF($D368&lt;&gt;"Serviço",0,IF(OR(AND(AUTOEVENTO="Manual",$M368=1),$M368&gt;(ROW(PLE.lastrow)-ROW(PLE.firstrow))),0,IF(OFFSET(PLE!$G$14,$M368,CG$13)="",10^12,OFFSET(PLE!$G$14,$M368,CG$13))))</f>
        <v>1000000000000</v>
      </c>
      <c r="CH368" s="182">
        <f ca="1">IF($D368&lt;&gt;"Serviço",0,IF(OR(AND(AUTOEVENTO="Manual",$M368=1),$M368&gt;(ROW(PLE.lastrow)-ROW(PLE.firstrow))),0,IF(OFFSET(PLE!$G$14,$M368,CH$13)="",10^12,OFFSET(PLE!$G$14,$M368,CH$13))))</f>
        <v>1000000000000</v>
      </c>
      <c r="CI368" s="182">
        <f ca="1">IF($D368&lt;&gt;"Serviço",0,IF(OR(AND(AUTOEVENTO="Manual",$M368=1),$M368&gt;(ROW(PLE.lastrow)-ROW(PLE.firstrow))),0,IF(OFFSET(PLE!$G$14,$M368,CI$13)="",10^12,OFFSET(PLE!$G$14,$M368,CI$13))))</f>
        <v>1000000000000</v>
      </c>
      <c r="CJ368" s="182">
        <f ca="1">IF($D368&lt;&gt;"Serviço",0,IF(OR(AND(AUTOEVENTO="Manual",$M368=1),$M368&gt;(ROW(PLE.lastrow)-ROW(PLE.firstrow))),0,IF(OFFSET(PLE!$G$14,$M368,CJ$13)="",10^12,OFFSET(PLE!$G$14,$M368,CJ$13))))</f>
        <v>1000000000000</v>
      </c>
      <c r="CK368" s="182">
        <f ca="1">IF($D368&lt;&gt;"Serviço",0,IF(OR(AND(AUTOEVENTO="Manual",$M368=1),$M368&gt;(ROW(PLE.lastrow)-ROW(PLE.firstrow))),0,IF(OFFSET(PLE!$G$14,$M368,CK$13)="",10^12,OFFSET(PLE!$G$14,$M368,CK$13))))</f>
        <v>1000000000000</v>
      </c>
      <c r="CL368" s="182">
        <f ca="1">IF($D368&lt;&gt;"Serviço",0,IF(OR(AND(AUTOEVENTO="Manual",$M368=1),$M368&gt;(ROW(PLE.lastrow)-ROW(PLE.firstrow))),0,IF(OFFSET(PLE!$G$14,$M368,CL$13)="",10^12,OFFSET(PLE!$G$14,$M368,CL$13))))</f>
        <v>1000000000000</v>
      </c>
      <c r="CM368" s="182">
        <f ca="1">IF($D368&lt;&gt;"Serviço",0,IF(OR(AND(AUTOEVENTO="Manual",$M368=1),$M368&gt;(ROW(PLE.lastrow)-ROW(PLE.firstrow))),0,IF(OFFSET(PLE!$G$14,$M368,CM$13)="",10^12,OFFSET(PLE!$G$14,$M368,CM$13))))</f>
        <v>1000000000000</v>
      </c>
    </row>
    <row r="369" spans="1:91" ht="25.5" x14ac:dyDescent="0.2">
      <c r="A369" s="7" t="str">
        <f t="shared" ca="1" si="12"/>
        <v>350</v>
      </c>
      <c r="B369" s="7" t="str">
        <f ca="1">OFFSET(ORÇAMENTO!C$15,ROW(B369)-ROW(B$15),0)</f>
        <v>S</v>
      </c>
      <c r="C369" s="7" t="str">
        <f ca="1">OFFSET(ORÇAMENTO!L$15,ROW(C369)-ROW(C$15),0)</f>
        <v/>
      </c>
      <c r="D369" s="118" t="str">
        <f ca="1">OFFSET(ORÇAMENTO!N$15,ROW(D369)-ROW(D$15),0)</f>
        <v>Serviço</v>
      </c>
      <c r="E369" s="119" t="str">
        <f ca="1">OFFSET(ORÇAMENTO!O$15,ROW(E369)-ROW(E$15),0)</f>
        <v>-</v>
      </c>
      <c r="F369" s="172" t="str">
        <f ca="1">OFFSET(ORÇAMENTO!R$15,ROW(F369)-ROW(F$15),0)</f>
        <v>(abra o arquivo 'Referência 06-2024.xlsm)</v>
      </c>
      <c r="G369" s="173" t="str">
        <f ca="1">IF($D369&lt;&gt;"Serviço","",OFFSET(ORÇAMENTO!S$15,ROW(G369)-ROW(G$15),0))</f>
        <v>-</v>
      </c>
      <c r="H369" s="124">
        <f ca="1">IF($D369&lt;&gt;"Serviço",0,IF(ACOMPANHAMENTO="BM",ROUND(OFFSET(ORÇAMENTO!AJ$15,ROW(H369)-ROW(H$15),0),15-13*ORÇAMENTO!$AF$7),SUMPRODUCT(($Q$12:$AI$12&lt;&gt;"")*ROUND($Q369:$AI369,15-13*ORÇAMENTO!$AF$7))))</f>
        <v>18</v>
      </c>
      <c r="I369" s="561" t="s">
        <v>1107</v>
      </c>
      <c r="K369" s="174"/>
      <c r="L369" s="175" t="s">
        <v>255</v>
      </c>
      <c r="M369" s="176">
        <f ca="1">IF($D369&lt;&gt;"Serviço","",IF(AUTOEVENTO="manual",$A369,IF(ISERROR(MATCH($A369,$A$15:OFFSET($A369,-1,0),0)),MAX($M$15:OFFSET(M369,-1,0))+1,INDEX($M$15:OFFSET(M369,-1,0),MATCH($A369,$A$15:OFFSET($A369,-1,0),0)))))</f>
        <v>44</v>
      </c>
      <c r="N369" s="177" t="str">
        <f ca="1">IF($D369&lt;&gt;"Serviço","",IF(AUTOEVENTO="Manual",IF($A369=0,"&lt;-- defina o número do agrupador",OFFSET(EVENTOS!$D$14,$A369,0)),OFFSET($F$15,$A369,0)))</f>
        <v>LOUÇAS, ACESSÓRIOS E METAIS</v>
      </c>
      <c r="O369" s="178"/>
      <c r="Q369" s="178">
        <v>18</v>
      </c>
      <c r="R369" s="179"/>
      <c r="S369" s="179"/>
      <c r="T369" s="179"/>
      <c r="U369" s="179"/>
      <c r="V369" s="179"/>
      <c r="W369" s="179"/>
      <c r="X369" s="179"/>
      <c r="Y369" s="179"/>
      <c r="Z369" s="180"/>
      <c r="AA369" s="179"/>
      <c r="AB369" s="179"/>
      <c r="AC369" s="179"/>
      <c r="AD369" s="179"/>
      <c r="AE369" s="179"/>
      <c r="AF369" s="179"/>
      <c r="AG369" s="179"/>
      <c r="AH369" s="180"/>
      <c r="AJ369" s="544">
        <f ca="1">IF(AND($D369="Serviço",AJ$12&lt;&gt;0,$H369&gt;0,OR(AUTOEVENTO&lt;&gt;"manual",$M369&lt;&gt;1)),
IF(Import.TipoArredondamento&lt;&gt;"TransfereGOV",
ROUND(OFFSET($P369,0,AJ$13),15-13*ORÇAMENTO!$AF$7)/$H369*OFFSET(ORÇAMENTO!$X$15,ROW(AJ369)-ROW(AJ$15),0),
ROUND(ROUND(OFFSET($P369,0,AJ$13),15-13*ORÇAMENTO!$AF$7)*OFFSET(ORÇAMENTO!$W$15,ROW(AJ369)-ROW(AJ$15),0),15-13*ORÇAMENTO!$AF$11)),0)</f>
        <v>0</v>
      </c>
      <c r="AK369" s="545">
        <f ca="1">IF(AND($D369="Serviço",AK$12&lt;&gt;0,$H369&gt;0,OR(AUTOEVENTO&lt;&gt;"manual",$M369&lt;&gt;1)),
IF(Import.TipoArredondamento&lt;&gt;"TransfereGOV",
ROUND(OFFSET($P369,0,AK$13),15-13*ORÇAMENTO!$AF$7)/$H369*OFFSET(ORÇAMENTO!$X$15,ROW(AK369)-ROW(AK$15),0),
ROUND(ROUND(OFFSET($P369,0,AK$13),15-13*ORÇAMENTO!$AF$7)*OFFSET(ORÇAMENTO!$W$15,ROW(AK369)-ROW(AK$15),0),15-13*ORÇAMENTO!$AF$11)),0)</f>
        <v>0</v>
      </c>
      <c r="AL369" s="545">
        <f ca="1">IF(AND($D369="Serviço",AL$12&lt;&gt;0,$H369&gt;0,OR(AUTOEVENTO&lt;&gt;"manual",$M369&lt;&gt;1)),
IF(Import.TipoArredondamento&lt;&gt;"TransfereGOV",
ROUND(OFFSET($P369,0,AL$13),15-13*ORÇAMENTO!$AF$7)/$H369*OFFSET(ORÇAMENTO!$X$15,ROW(AL369)-ROW(AL$15),0),
ROUND(ROUND(OFFSET($P369,0,AL$13),15-13*ORÇAMENTO!$AF$7)*OFFSET(ORÇAMENTO!$W$15,ROW(AL369)-ROW(AL$15),0),15-13*ORÇAMENTO!$AF$11)),0)</f>
        <v>0</v>
      </c>
      <c r="AM369" s="545">
        <f ca="1">IF(AND($D369="Serviço",AM$12&lt;&gt;0,$H369&gt;0,OR(AUTOEVENTO&lt;&gt;"manual",$M369&lt;&gt;1)),
IF(Import.TipoArredondamento&lt;&gt;"TransfereGOV",
ROUND(OFFSET($P369,0,AM$13),15-13*ORÇAMENTO!$AF$7)/$H369*OFFSET(ORÇAMENTO!$X$15,ROW(AM369)-ROW(AM$15),0),
ROUND(ROUND(OFFSET($P369,0,AM$13),15-13*ORÇAMENTO!$AF$7)*OFFSET(ORÇAMENTO!$W$15,ROW(AM369)-ROW(AM$15),0),15-13*ORÇAMENTO!$AF$11)),0)</f>
        <v>0</v>
      </c>
      <c r="AN369" s="545">
        <f ca="1">IF(AND($D369="Serviço",AN$12&lt;&gt;0,$H369&gt;0,OR(AUTOEVENTO&lt;&gt;"manual",$M369&lt;&gt;1)),
IF(Import.TipoArredondamento&lt;&gt;"TransfereGOV",
ROUND(OFFSET($P369,0,AN$13),15-13*ORÇAMENTO!$AF$7)/$H369*OFFSET(ORÇAMENTO!$X$15,ROW(AN369)-ROW(AN$15),0),
ROUND(ROUND(OFFSET($P369,0,AN$13),15-13*ORÇAMENTO!$AF$7)*OFFSET(ORÇAMENTO!$W$15,ROW(AN369)-ROW(AN$15),0),15-13*ORÇAMENTO!$AF$11)),0)</f>
        <v>0</v>
      </c>
      <c r="AO369" s="545">
        <f ca="1">IF(AND($D369="Serviço",AO$12&lt;&gt;0,$H369&gt;0,OR(AUTOEVENTO&lt;&gt;"manual",$M369&lt;&gt;1)),
IF(Import.TipoArredondamento&lt;&gt;"TransfereGOV",
ROUND(OFFSET($P369,0,AO$13),15-13*ORÇAMENTO!$AF$7)/$H369*OFFSET(ORÇAMENTO!$X$15,ROW(AO369)-ROW(AO$15),0),
ROUND(ROUND(OFFSET($P369,0,AO$13),15-13*ORÇAMENTO!$AF$7)*OFFSET(ORÇAMENTO!$W$15,ROW(AO369)-ROW(AO$15),0),15-13*ORÇAMENTO!$AF$11)),0)</f>
        <v>0</v>
      </c>
      <c r="AP369" s="545">
        <f ca="1">IF(AND($D369="Serviço",AP$12&lt;&gt;0,$H369&gt;0,OR(AUTOEVENTO&lt;&gt;"manual",$M369&lt;&gt;1)),
IF(Import.TipoArredondamento&lt;&gt;"TransfereGOV",
ROUND(OFFSET($P369,0,AP$13),15-13*ORÇAMENTO!$AF$7)/$H369*OFFSET(ORÇAMENTO!$X$15,ROW(AP369)-ROW(AP$15),0),
ROUND(ROUND(OFFSET($P369,0,AP$13),15-13*ORÇAMENTO!$AF$7)*OFFSET(ORÇAMENTO!$W$15,ROW(AP369)-ROW(AP$15),0),15-13*ORÇAMENTO!$AF$11)),0)</f>
        <v>0</v>
      </c>
      <c r="AQ369" s="545">
        <f ca="1">IF(AND($D369="Serviço",AQ$12&lt;&gt;0,$H369&gt;0,OR(AUTOEVENTO&lt;&gt;"manual",$M369&lt;&gt;1)),
IF(Import.TipoArredondamento&lt;&gt;"TransfereGOV",
ROUND(OFFSET($P369,0,AQ$13),15-13*ORÇAMENTO!$AF$7)/$H369*OFFSET(ORÇAMENTO!$X$15,ROW(AQ369)-ROW(AQ$15),0),
ROUND(ROUND(OFFSET($P369,0,AQ$13),15-13*ORÇAMENTO!$AF$7)*OFFSET(ORÇAMENTO!$W$15,ROW(AQ369)-ROW(AQ$15),0),15-13*ORÇAMENTO!$AF$11)),0)</f>
        <v>0</v>
      </c>
      <c r="AR369" s="545">
        <f ca="1">IF(AND($D369="Serviço",AR$12&lt;&gt;0,$H369&gt;0,OR(AUTOEVENTO&lt;&gt;"manual",$M369&lt;&gt;1)),
IF(Import.TipoArredondamento&lt;&gt;"TransfereGOV",
ROUND(OFFSET($P369,0,AR$13),15-13*ORÇAMENTO!$AF$7)/$H369*OFFSET(ORÇAMENTO!$X$15,ROW(AR369)-ROW(AR$15),0),
ROUND(ROUND(OFFSET($P369,0,AR$13),15-13*ORÇAMENTO!$AF$7)*OFFSET(ORÇAMENTO!$W$15,ROW(AR369)-ROW(AR$15),0),15-13*ORÇAMENTO!$AF$11)),0)</f>
        <v>0</v>
      </c>
      <c r="AS369" s="546">
        <f ca="1">IF(AND($D369="Serviço",AS$12&lt;&gt;0,$H369&gt;0,OR(AUTOEVENTO&lt;&gt;"manual",$M369&lt;&gt;1)),
IF(Import.TipoArredondamento&lt;&gt;"TransfereGOV",
ROUND(OFFSET($P369,0,AS$13),15-13*ORÇAMENTO!$AF$7)/$H369*OFFSET(ORÇAMENTO!$X$15,ROW(AS369)-ROW(AS$15),0),
ROUND(ROUND(OFFSET($P369,0,AS$13),15-13*ORÇAMENTO!$AF$7)*OFFSET(ORÇAMENTO!$W$15,ROW(AS369)-ROW(AS$15),0),15-13*ORÇAMENTO!$AF$11)),0)</f>
        <v>0</v>
      </c>
      <c r="AT369" s="545">
        <f ca="1">IF(AND($D369="Serviço",AT$12&lt;&gt;0,$H369&gt;0,OR(AUTOEVENTO&lt;&gt;"manual",$M369&lt;&gt;1)),
IF(Import.TipoArredondamento&lt;&gt;"TransfereGOV",
ROUND(OFFSET($P369,0,AT$13),15-13*ORÇAMENTO!$AF$7)/$H369*OFFSET(ORÇAMENTO!$X$15,ROW(AT369)-ROW(AT$15),0),
ROUND(ROUND(OFFSET($P369,0,AT$13),15-13*ORÇAMENTO!$AF$7)*OFFSET(ORÇAMENTO!$W$15,ROW(AT369)-ROW(AT$15),0),15-13*ORÇAMENTO!$AF$11)),0)</f>
        <v>0</v>
      </c>
      <c r="AU369" s="545">
        <f ca="1">IF(AND($D369="Serviço",AU$12&lt;&gt;0,$H369&gt;0,OR(AUTOEVENTO&lt;&gt;"manual",$M369&lt;&gt;1)),
IF(Import.TipoArredondamento&lt;&gt;"TransfereGOV",
ROUND(OFFSET($P369,0,AU$13),15-13*ORÇAMENTO!$AF$7)/$H369*OFFSET(ORÇAMENTO!$X$15,ROW(AU369)-ROW(AU$15),0),
ROUND(ROUND(OFFSET($P369,0,AU$13),15-13*ORÇAMENTO!$AF$7)*OFFSET(ORÇAMENTO!$W$15,ROW(AU369)-ROW(AU$15),0),15-13*ORÇAMENTO!$AF$11)),0)</f>
        <v>0</v>
      </c>
      <c r="AV369" s="545">
        <f ca="1">IF(AND($D369="Serviço",AV$12&lt;&gt;0,$H369&gt;0,OR(AUTOEVENTO&lt;&gt;"manual",$M369&lt;&gt;1)),
IF(Import.TipoArredondamento&lt;&gt;"TransfereGOV",
ROUND(OFFSET($P369,0,AV$13),15-13*ORÇAMENTO!$AF$7)/$H369*OFFSET(ORÇAMENTO!$X$15,ROW(AV369)-ROW(AV$15),0),
ROUND(ROUND(OFFSET($P369,0,AV$13),15-13*ORÇAMENTO!$AF$7)*OFFSET(ORÇAMENTO!$W$15,ROW(AV369)-ROW(AV$15),0),15-13*ORÇAMENTO!$AF$11)),0)</f>
        <v>0</v>
      </c>
      <c r="AW369" s="545">
        <f ca="1">IF(AND($D369="Serviço",AW$12&lt;&gt;0,$H369&gt;0,OR(AUTOEVENTO&lt;&gt;"manual",$M369&lt;&gt;1)),
IF(Import.TipoArredondamento&lt;&gt;"TransfereGOV",
ROUND(OFFSET($P369,0,AW$13),15-13*ORÇAMENTO!$AF$7)/$H369*OFFSET(ORÇAMENTO!$X$15,ROW(AW369)-ROW(AW$15),0),
ROUND(ROUND(OFFSET($P369,0,AW$13),15-13*ORÇAMENTO!$AF$7)*OFFSET(ORÇAMENTO!$W$15,ROW(AW369)-ROW(AW$15),0),15-13*ORÇAMENTO!$AF$11)),0)</f>
        <v>0</v>
      </c>
      <c r="AX369" s="545">
        <f ca="1">IF(AND($D369="Serviço",AX$12&lt;&gt;0,$H369&gt;0,OR(AUTOEVENTO&lt;&gt;"manual",$M369&lt;&gt;1)),
IF(Import.TipoArredondamento&lt;&gt;"TransfereGOV",
ROUND(OFFSET($P369,0,AX$13),15-13*ORÇAMENTO!$AF$7)/$H369*OFFSET(ORÇAMENTO!$X$15,ROW(AX369)-ROW(AX$15),0),
ROUND(ROUND(OFFSET($P369,0,AX$13),15-13*ORÇAMENTO!$AF$7)*OFFSET(ORÇAMENTO!$W$15,ROW(AX369)-ROW(AX$15),0),15-13*ORÇAMENTO!$AF$11)),0)</f>
        <v>0</v>
      </c>
      <c r="AY369" s="545">
        <f ca="1">IF(AND($D369="Serviço",AY$12&lt;&gt;0,$H369&gt;0,OR(AUTOEVENTO&lt;&gt;"manual",$M369&lt;&gt;1)),
IF(Import.TipoArredondamento&lt;&gt;"TransfereGOV",
ROUND(OFFSET($P369,0,AY$13),15-13*ORÇAMENTO!$AF$7)/$H369*OFFSET(ORÇAMENTO!$X$15,ROW(AY369)-ROW(AY$15),0),
ROUND(ROUND(OFFSET($P369,0,AY$13),15-13*ORÇAMENTO!$AF$7)*OFFSET(ORÇAMENTO!$W$15,ROW(AY369)-ROW(AY$15),0),15-13*ORÇAMENTO!$AF$11)),0)</f>
        <v>0</v>
      </c>
      <c r="AZ369" s="545">
        <f ca="1">IF(AND($D369="Serviço",AZ$12&lt;&gt;0,$H369&gt;0,OR(AUTOEVENTO&lt;&gt;"manual",$M369&lt;&gt;1)),
IF(Import.TipoArredondamento&lt;&gt;"TransfereGOV",
ROUND(OFFSET($P369,0,AZ$13),15-13*ORÇAMENTO!$AF$7)/$H369*OFFSET(ORÇAMENTO!$X$15,ROW(AZ369)-ROW(AZ$15),0),
ROUND(ROUND(OFFSET($P369,0,AZ$13),15-13*ORÇAMENTO!$AF$7)*OFFSET(ORÇAMENTO!$W$15,ROW(AZ369)-ROW(AZ$15),0),15-13*ORÇAMENTO!$AF$11)),0)</f>
        <v>0</v>
      </c>
      <c r="BA369" s="546">
        <f ca="1">IF(AND($D369="Serviço",BA$12&lt;&gt;0,$H369&gt;0,OR(AUTOEVENTO&lt;&gt;"manual",$M369&lt;&gt;1)),
IF(Import.TipoArredondamento&lt;&gt;"TransfereGOV",
ROUND(OFFSET($P369,0,BA$13),15-13*ORÇAMENTO!$AF$7)/$H369*OFFSET(ORÇAMENTO!$X$15,ROW(BA369)-ROW(BA$15),0),
ROUND(ROUND(OFFSET($P369,0,BA$13),15-13*ORÇAMENTO!$AF$7)*OFFSET(ORÇAMENTO!$W$15,ROW(BA369)-ROW(BA$15),0),15-13*ORÇAMENTO!$AF$11)),0)</f>
        <v>0</v>
      </c>
      <c r="BC369" s="181">
        <f ca="1">IF($D369&lt;&gt;"Serviço",0,IF(AND(AUTOEVENTO="Manual",$M369=1),0,IF(OFFSET(CRONOPLE!$F$14,$M369,BC$13)="",10^12,OFFSET(CRONOPLE!$F$14,$M369,BC$13))))</f>
        <v>10</v>
      </c>
      <c r="BD369" s="181">
        <f ca="1">IF($D369&lt;&gt;"Serviço",0,IF(AND(AUTOEVENTO="Manual",$M369=1),0,IF(OFFSET(CRONOPLE!$F$14,$M369,BD$13)="",10^12,OFFSET(CRONOPLE!$F$14,$M369,BD$13))))</f>
        <v>1000000000000</v>
      </c>
      <c r="BE369" s="181">
        <f ca="1">IF($D369&lt;&gt;"Serviço",0,IF(AND(AUTOEVENTO="Manual",$M369=1),0,IF(OFFSET(CRONOPLE!$F$14,$M369,BE$13)="",10^12,OFFSET(CRONOPLE!$F$14,$M369,BE$13))))</f>
        <v>1000000000000</v>
      </c>
      <c r="BF369" s="181">
        <f ca="1">IF($D369&lt;&gt;"Serviço",0,IF(AND(AUTOEVENTO="Manual",$M369=1),0,IF(OFFSET(CRONOPLE!$F$14,$M369,BF$13)="",10^12,OFFSET(CRONOPLE!$F$14,$M369,BF$13))))</f>
        <v>1000000000000</v>
      </c>
      <c r="BG369" s="181">
        <f ca="1">IF($D369&lt;&gt;"Serviço",0,IF(AND(AUTOEVENTO="Manual",$M369=1),0,IF(OFFSET(CRONOPLE!$F$14,$M369,BG$13)="",10^12,OFFSET(CRONOPLE!$F$14,$M369,BG$13))))</f>
        <v>1000000000000</v>
      </c>
      <c r="BH369" s="181">
        <f ca="1">IF($D369&lt;&gt;"Serviço",0,IF(AND(AUTOEVENTO="Manual",$M369=1),0,IF(OFFSET(CRONOPLE!$F$14,$M369,BH$13)="",10^12,OFFSET(CRONOPLE!$F$14,$M369,BH$13))))</f>
        <v>1000000000000</v>
      </c>
      <c r="BI369" s="181">
        <f ca="1">IF($D369&lt;&gt;"Serviço",0,IF(AND(AUTOEVENTO="Manual",$M369=1),0,IF(OFFSET(CRONOPLE!$F$14,$M369,BI$13)="",10^12,OFFSET(CRONOPLE!$F$14,$M369,BI$13))))</f>
        <v>1000000000000</v>
      </c>
      <c r="BJ369" s="181">
        <f ca="1">IF($D369&lt;&gt;"Serviço",0,IF(AND(AUTOEVENTO="Manual",$M369=1),0,IF(OFFSET(CRONOPLE!$F$14,$M369,BJ$13)="",10^12,OFFSET(CRONOPLE!$F$14,$M369,BJ$13))))</f>
        <v>1000000000000</v>
      </c>
      <c r="BK369" s="181">
        <f ca="1">IF($D369&lt;&gt;"Serviço",0,IF(AND(AUTOEVENTO="Manual",$M369=1),0,IF(OFFSET(CRONOPLE!$F$14,$M369,BK$13)="",10^12,OFFSET(CRONOPLE!$F$14,$M369,BK$13))))</f>
        <v>1000000000000</v>
      </c>
      <c r="BL369" s="181">
        <f ca="1">IF($D369&lt;&gt;"Serviço",0,IF(AND(AUTOEVENTO="Manual",$M369=1),0,IF(OFFSET(CRONOPLE!$F$14,$M369,BL$13)="",10^12,OFFSET(CRONOPLE!$F$14,$M369,BL$13))))</f>
        <v>1000000000000</v>
      </c>
      <c r="BM369" s="181">
        <f ca="1">IF($D369&lt;&gt;"Serviço",0,IF(AND(AUTOEVENTO="Manual",$M369=1),0,IF(OFFSET(CRONOPLE!$F$14,$M369,BM$13)="",10^12,OFFSET(CRONOPLE!$F$14,$M369,BM$13))))</f>
        <v>1000000000000</v>
      </c>
      <c r="BN369" s="181">
        <f ca="1">IF($D369&lt;&gt;"Serviço",0,IF(AND(AUTOEVENTO="Manual",$M369=1),0,IF(OFFSET(CRONOPLE!$F$14,$M369,BN$13)="",10^12,OFFSET(CRONOPLE!$F$14,$M369,BN$13))))</f>
        <v>1000000000000</v>
      </c>
      <c r="BO369" s="181">
        <f ca="1">IF($D369&lt;&gt;"Serviço",0,IF(AND(AUTOEVENTO="Manual",$M369=1),0,IF(OFFSET(CRONOPLE!$F$14,$M369,BO$13)="",10^12,OFFSET(CRONOPLE!$F$14,$M369,BO$13))))</f>
        <v>1000000000000</v>
      </c>
      <c r="BP369" s="181">
        <f ca="1">IF($D369&lt;&gt;"Serviço",0,IF(AND(AUTOEVENTO="Manual",$M369=1),0,IF(OFFSET(CRONOPLE!$F$14,$M369,BP$13)="",10^12,OFFSET(CRONOPLE!$F$14,$M369,BP$13))))</f>
        <v>1000000000000</v>
      </c>
      <c r="BQ369" s="181">
        <f ca="1">IF($D369&lt;&gt;"Serviço",0,IF(AND(AUTOEVENTO="Manual",$M369=1),0,IF(OFFSET(CRONOPLE!$F$14,$M369,BQ$13)="",10^12,OFFSET(CRONOPLE!$F$14,$M369,BQ$13))))</f>
        <v>1000000000000</v>
      </c>
      <c r="BR369" s="181">
        <f ca="1">IF($D369&lt;&gt;"Serviço",0,IF(AND(AUTOEVENTO="Manual",$M369=1),0,IF(OFFSET(CRONOPLE!$F$14,$M369,BR$13)="",10^12,OFFSET(CRONOPLE!$F$14,$M369,BR$13))))</f>
        <v>1000000000000</v>
      </c>
      <c r="BS369" s="181">
        <f ca="1">IF($D369&lt;&gt;"Serviço",0,IF(AND(AUTOEVENTO="Manual",$M369=1),0,IF(OFFSET(CRONOPLE!$F$14,$M369,BS$13)="",10^12,OFFSET(CRONOPLE!$F$14,$M369,BS$13))))</f>
        <v>1000000000000</v>
      </c>
      <c r="BT369" s="181">
        <f ca="1">IF($D369&lt;&gt;"Serviço",0,IF(AND(AUTOEVENTO="Manual",$M369=1),0,IF(OFFSET(CRONOPLE!$F$14,$M369,BT$13)="",10^12,OFFSET(CRONOPLE!$F$14,$M369,BT$13))))</f>
        <v>1000000000000</v>
      </c>
      <c r="BV369" s="182">
        <f ca="1">IF($D369&lt;&gt;"Serviço",0,IF(OR(AND(AUTOEVENTO="Manual",$M369=1),$M369&gt;(ROW(PLE.lastrow)-ROW(PLE.firstrow))),0,IF(OFFSET(PLE!$G$14,$M369,BV$13)="",10^12,OFFSET(PLE!$G$14,$M369,BV$13))))</f>
        <v>1000000000000</v>
      </c>
      <c r="BW369" s="182">
        <f ca="1">IF($D369&lt;&gt;"Serviço",0,IF(OR(AND(AUTOEVENTO="Manual",$M369=1),$M369&gt;(ROW(PLE.lastrow)-ROW(PLE.firstrow))),0,IF(OFFSET(PLE!$G$14,$M369,BW$13)="",10^12,OFFSET(PLE!$G$14,$M369,BW$13))))</f>
        <v>1000000000000</v>
      </c>
      <c r="BX369" s="182">
        <f ca="1">IF($D369&lt;&gt;"Serviço",0,IF(OR(AND(AUTOEVENTO="Manual",$M369=1),$M369&gt;(ROW(PLE.lastrow)-ROW(PLE.firstrow))),0,IF(OFFSET(PLE!$G$14,$M369,BX$13)="",10^12,OFFSET(PLE!$G$14,$M369,BX$13))))</f>
        <v>1000000000000</v>
      </c>
      <c r="BY369" s="182">
        <f ca="1">IF($D369&lt;&gt;"Serviço",0,IF(OR(AND(AUTOEVENTO="Manual",$M369=1),$M369&gt;(ROW(PLE.lastrow)-ROW(PLE.firstrow))),0,IF(OFFSET(PLE!$G$14,$M369,BY$13)="",10^12,OFFSET(PLE!$G$14,$M369,BY$13))))</f>
        <v>1000000000000</v>
      </c>
      <c r="BZ369" s="182">
        <f ca="1">IF($D369&lt;&gt;"Serviço",0,IF(OR(AND(AUTOEVENTO="Manual",$M369=1),$M369&gt;(ROW(PLE.lastrow)-ROW(PLE.firstrow))),0,IF(OFFSET(PLE!$G$14,$M369,BZ$13)="",10^12,OFFSET(PLE!$G$14,$M369,BZ$13))))</f>
        <v>1000000000000</v>
      </c>
      <c r="CA369" s="182">
        <f ca="1">IF($D369&lt;&gt;"Serviço",0,IF(OR(AND(AUTOEVENTO="Manual",$M369=1),$M369&gt;(ROW(PLE.lastrow)-ROW(PLE.firstrow))),0,IF(OFFSET(PLE!$G$14,$M369,CA$13)="",10^12,OFFSET(PLE!$G$14,$M369,CA$13))))</f>
        <v>1000000000000</v>
      </c>
      <c r="CB369" s="182">
        <f ca="1">IF($D369&lt;&gt;"Serviço",0,IF(OR(AND(AUTOEVENTO="Manual",$M369=1),$M369&gt;(ROW(PLE.lastrow)-ROW(PLE.firstrow))),0,IF(OFFSET(PLE!$G$14,$M369,CB$13)="",10^12,OFFSET(PLE!$G$14,$M369,CB$13))))</f>
        <v>1000000000000</v>
      </c>
      <c r="CC369" s="182">
        <f ca="1">IF($D369&lt;&gt;"Serviço",0,IF(OR(AND(AUTOEVENTO="Manual",$M369=1),$M369&gt;(ROW(PLE.lastrow)-ROW(PLE.firstrow))),0,IF(OFFSET(PLE!$G$14,$M369,CC$13)="",10^12,OFFSET(PLE!$G$14,$M369,CC$13))))</f>
        <v>1000000000000</v>
      </c>
      <c r="CD369" s="182">
        <f ca="1">IF($D369&lt;&gt;"Serviço",0,IF(OR(AND(AUTOEVENTO="Manual",$M369=1),$M369&gt;(ROW(PLE.lastrow)-ROW(PLE.firstrow))),0,IF(OFFSET(PLE!$G$14,$M369,CD$13)="",10^12,OFFSET(PLE!$G$14,$M369,CD$13))))</f>
        <v>1000000000000</v>
      </c>
      <c r="CE369" s="182">
        <f ca="1">IF($D369&lt;&gt;"Serviço",0,IF(OR(AND(AUTOEVENTO="Manual",$M369=1),$M369&gt;(ROW(PLE.lastrow)-ROW(PLE.firstrow))),0,IF(OFFSET(PLE!$G$14,$M369,CE$13)="",10^12,OFFSET(PLE!$G$14,$M369,CE$13))))</f>
        <v>1000000000000</v>
      </c>
      <c r="CF369" s="182">
        <f ca="1">IF($D369&lt;&gt;"Serviço",0,IF(OR(AND(AUTOEVENTO="Manual",$M369=1),$M369&gt;(ROW(PLE.lastrow)-ROW(PLE.firstrow))),0,IF(OFFSET(PLE!$G$14,$M369,CF$13)="",10^12,OFFSET(PLE!$G$14,$M369,CF$13))))</f>
        <v>1000000000000</v>
      </c>
      <c r="CG369" s="182">
        <f ca="1">IF($D369&lt;&gt;"Serviço",0,IF(OR(AND(AUTOEVENTO="Manual",$M369=1),$M369&gt;(ROW(PLE.lastrow)-ROW(PLE.firstrow))),0,IF(OFFSET(PLE!$G$14,$M369,CG$13)="",10^12,OFFSET(PLE!$G$14,$M369,CG$13))))</f>
        <v>1000000000000</v>
      </c>
      <c r="CH369" s="182">
        <f ca="1">IF($D369&lt;&gt;"Serviço",0,IF(OR(AND(AUTOEVENTO="Manual",$M369=1),$M369&gt;(ROW(PLE.lastrow)-ROW(PLE.firstrow))),0,IF(OFFSET(PLE!$G$14,$M369,CH$13)="",10^12,OFFSET(PLE!$G$14,$M369,CH$13))))</f>
        <v>1000000000000</v>
      </c>
      <c r="CI369" s="182">
        <f ca="1">IF($D369&lt;&gt;"Serviço",0,IF(OR(AND(AUTOEVENTO="Manual",$M369=1),$M369&gt;(ROW(PLE.lastrow)-ROW(PLE.firstrow))),0,IF(OFFSET(PLE!$G$14,$M369,CI$13)="",10^12,OFFSET(PLE!$G$14,$M369,CI$13))))</f>
        <v>1000000000000</v>
      </c>
      <c r="CJ369" s="182">
        <f ca="1">IF($D369&lt;&gt;"Serviço",0,IF(OR(AND(AUTOEVENTO="Manual",$M369=1),$M369&gt;(ROW(PLE.lastrow)-ROW(PLE.firstrow))),0,IF(OFFSET(PLE!$G$14,$M369,CJ$13)="",10^12,OFFSET(PLE!$G$14,$M369,CJ$13))))</f>
        <v>1000000000000</v>
      </c>
      <c r="CK369" s="182">
        <f ca="1">IF($D369&lt;&gt;"Serviço",0,IF(OR(AND(AUTOEVENTO="Manual",$M369=1),$M369&gt;(ROW(PLE.lastrow)-ROW(PLE.firstrow))),0,IF(OFFSET(PLE!$G$14,$M369,CK$13)="",10^12,OFFSET(PLE!$G$14,$M369,CK$13))))</f>
        <v>1000000000000</v>
      </c>
      <c r="CL369" s="182">
        <f ca="1">IF($D369&lt;&gt;"Serviço",0,IF(OR(AND(AUTOEVENTO="Manual",$M369=1),$M369&gt;(ROW(PLE.lastrow)-ROW(PLE.firstrow))),0,IF(OFFSET(PLE!$G$14,$M369,CL$13)="",10^12,OFFSET(PLE!$G$14,$M369,CL$13))))</f>
        <v>1000000000000</v>
      </c>
      <c r="CM369" s="182">
        <f ca="1">IF($D369&lt;&gt;"Serviço",0,IF(OR(AND(AUTOEVENTO="Manual",$M369=1),$M369&gt;(ROW(PLE.lastrow)-ROW(PLE.firstrow))),0,IF(OFFSET(PLE!$G$14,$M369,CM$13)="",10^12,OFFSET(PLE!$G$14,$M369,CM$13))))</f>
        <v>1000000000000</v>
      </c>
    </row>
    <row r="370" spans="1:91" ht="25.5" x14ac:dyDescent="0.2">
      <c r="A370" s="7" t="str">
        <f t="shared" ca="1" si="12"/>
        <v>350</v>
      </c>
      <c r="B370" s="7" t="str">
        <f ca="1">OFFSET(ORÇAMENTO!C$15,ROW(B370)-ROW(B$15),0)</f>
        <v>S</v>
      </c>
      <c r="C370" s="7" t="str">
        <f ca="1">OFFSET(ORÇAMENTO!L$15,ROW(C370)-ROW(C$15),0)</f>
        <v/>
      </c>
      <c r="D370" s="118" t="str">
        <f ca="1">OFFSET(ORÇAMENTO!N$15,ROW(D370)-ROW(D$15),0)</f>
        <v>Serviço</v>
      </c>
      <c r="E370" s="119" t="str">
        <f ca="1">OFFSET(ORÇAMENTO!O$15,ROW(E370)-ROW(E$15),0)</f>
        <v>-</v>
      </c>
      <c r="F370" s="172" t="str">
        <f ca="1">OFFSET(ORÇAMENTO!R$15,ROW(F370)-ROW(F$15),0)</f>
        <v>(abra o arquivo 'Referência 06-2024.xlsm)</v>
      </c>
      <c r="G370" s="173" t="str">
        <f ca="1">IF($D370&lt;&gt;"Serviço","",OFFSET(ORÇAMENTO!S$15,ROW(G370)-ROW(G$15),0))</f>
        <v>-</v>
      </c>
      <c r="H370" s="124">
        <f ca="1">IF($D370&lt;&gt;"Serviço",0,IF(ACOMPANHAMENTO="BM",ROUND(OFFSET(ORÇAMENTO!AJ$15,ROW(H370)-ROW(H$15),0),15-13*ORÇAMENTO!$AF$7),SUMPRODUCT(($Q$12:$AI$12&lt;&gt;"")*ROUND($Q370:$AI370,15-13*ORÇAMENTO!$AF$7))))</f>
        <v>4</v>
      </c>
      <c r="I370" s="561" t="s">
        <v>1107</v>
      </c>
      <c r="K370" s="174"/>
      <c r="L370" s="175" t="s">
        <v>255</v>
      </c>
      <c r="M370" s="176">
        <f ca="1">IF($D370&lt;&gt;"Serviço","",IF(AUTOEVENTO="manual",$A370,IF(ISERROR(MATCH($A370,$A$15:OFFSET($A370,-1,0),0)),MAX($M$15:OFFSET(M370,-1,0))+1,INDEX($M$15:OFFSET(M370,-1,0),MATCH($A370,$A$15:OFFSET($A370,-1,0),0)))))</f>
        <v>44</v>
      </c>
      <c r="N370" s="177" t="str">
        <f ca="1">IF($D370&lt;&gt;"Serviço","",IF(AUTOEVENTO="Manual",IF($A370=0,"&lt;-- defina o número do agrupador",OFFSET(EVENTOS!$D$14,$A370,0)),OFFSET($F$15,$A370,0)))</f>
        <v>LOUÇAS, ACESSÓRIOS E METAIS</v>
      </c>
      <c r="O370" s="178"/>
      <c r="Q370" s="178">
        <v>4</v>
      </c>
      <c r="R370" s="179"/>
      <c r="S370" s="179"/>
      <c r="T370" s="179"/>
      <c r="U370" s="179"/>
      <c r="V370" s="179"/>
      <c r="W370" s="179"/>
      <c r="X370" s="179"/>
      <c r="Y370" s="179"/>
      <c r="Z370" s="180"/>
      <c r="AA370" s="179"/>
      <c r="AB370" s="179"/>
      <c r="AC370" s="179"/>
      <c r="AD370" s="179"/>
      <c r="AE370" s="179"/>
      <c r="AF370" s="179"/>
      <c r="AG370" s="179"/>
      <c r="AH370" s="180"/>
      <c r="AJ370" s="544">
        <f ca="1">IF(AND($D370="Serviço",AJ$12&lt;&gt;0,$H370&gt;0,OR(AUTOEVENTO&lt;&gt;"manual",$M370&lt;&gt;1)),
IF(Import.TipoArredondamento&lt;&gt;"TransfereGOV",
ROUND(OFFSET($P370,0,AJ$13),15-13*ORÇAMENTO!$AF$7)/$H370*OFFSET(ORÇAMENTO!$X$15,ROW(AJ370)-ROW(AJ$15),0),
ROUND(ROUND(OFFSET($P370,0,AJ$13),15-13*ORÇAMENTO!$AF$7)*OFFSET(ORÇAMENTO!$W$15,ROW(AJ370)-ROW(AJ$15),0),15-13*ORÇAMENTO!$AF$11)),0)</f>
        <v>0</v>
      </c>
      <c r="AK370" s="545">
        <f ca="1">IF(AND($D370="Serviço",AK$12&lt;&gt;0,$H370&gt;0,OR(AUTOEVENTO&lt;&gt;"manual",$M370&lt;&gt;1)),
IF(Import.TipoArredondamento&lt;&gt;"TransfereGOV",
ROUND(OFFSET($P370,0,AK$13),15-13*ORÇAMENTO!$AF$7)/$H370*OFFSET(ORÇAMENTO!$X$15,ROW(AK370)-ROW(AK$15),0),
ROUND(ROUND(OFFSET($P370,0,AK$13),15-13*ORÇAMENTO!$AF$7)*OFFSET(ORÇAMENTO!$W$15,ROW(AK370)-ROW(AK$15),0),15-13*ORÇAMENTO!$AF$11)),0)</f>
        <v>0</v>
      </c>
      <c r="AL370" s="545">
        <f ca="1">IF(AND($D370="Serviço",AL$12&lt;&gt;0,$H370&gt;0,OR(AUTOEVENTO&lt;&gt;"manual",$M370&lt;&gt;1)),
IF(Import.TipoArredondamento&lt;&gt;"TransfereGOV",
ROUND(OFFSET($P370,0,AL$13),15-13*ORÇAMENTO!$AF$7)/$H370*OFFSET(ORÇAMENTO!$X$15,ROW(AL370)-ROW(AL$15),0),
ROUND(ROUND(OFFSET($P370,0,AL$13),15-13*ORÇAMENTO!$AF$7)*OFFSET(ORÇAMENTO!$W$15,ROW(AL370)-ROW(AL$15),0),15-13*ORÇAMENTO!$AF$11)),0)</f>
        <v>0</v>
      </c>
      <c r="AM370" s="545">
        <f ca="1">IF(AND($D370="Serviço",AM$12&lt;&gt;0,$H370&gt;0,OR(AUTOEVENTO&lt;&gt;"manual",$M370&lt;&gt;1)),
IF(Import.TipoArredondamento&lt;&gt;"TransfereGOV",
ROUND(OFFSET($P370,0,AM$13),15-13*ORÇAMENTO!$AF$7)/$H370*OFFSET(ORÇAMENTO!$X$15,ROW(AM370)-ROW(AM$15),0),
ROUND(ROUND(OFFSET($P370,0,AM$13),15-13*ORÇAMENTO!$AF$7)*OFFSET(ORÇAMENTO!$W$15,ROW(AM370)-ROW(AM$15),0),15-13*ORÇAMENTO!$AF$11)),0)</f>
        <v>0</v>
      </c>
      <c r="AN370" s="545">
        <f ca="1">IF(AND($D370="Serviço",AN$12&lt;&gt;0,$H370&gt;0,OR(AUTOEVENTO&lt;&gt;"manual",$M370&lt;&gt;1)),
IF(Import.TipoArredondamento&lt;&gt;"TransfereGOV",
ROUND(OFFSET($P370,0,AN$13),15-13*ORÇAMENTO!$AF$7)/$H370*OFFSET(ORÇAMENTO!$X$15,ROW(AN370)-ROW(AN$15),0),
ROUND(ROUND(OFFSET($P370,0,AN$13),15-13*ORÇAMENTO!$AF$7)*OFFSET(ORÇAMENTO!$W$15,ROW(AN370)-ROW(AN$15),0),15-13*ORÇAMENTO!$AF$11)),0)</f>
        <v>0</v>
      </c>
      <c r="AO370" s="545">
        <f ca="1">IF(AND($D370="Serviço",AO$12&lt;&gt;0,$H370&gt;0,OR(AUTOEVENTO&lt;&gt;"manual",$M370&lt;&gt;1)),
IF(Import.TipoArredondamento&lt;&gt;"TransfereGOV",
ROUND(OFFSET($P370,0,AO$13),15-13*ORÇAMENTO!$AF$7)/$H370*OFFSET(ORÇAMENTO!$X$15,ROW(AO370)-ROW(AO$15),0),
ROUND(ROUND(OFFSET($P370,0,AO$13),15-13*ORÇAMENTO!$AF$7)*OFFSET(ORÇAMENTO!$W$15,ROW(AO370)-ROW(AO$15),0),15-13*ORÇAMENTO!$AF$11)),0)</f>
        <v>0</v>
      </c>
      <c r="AP370" s="545">
        <f ca="1">IF(AND($D370="Serviço",AP$12&lt;&gt;0,$H370&gt;0,OR(AUTOEVENTO&lt;&gt;"manual",$M370&lt;&gt;1)),
IF(Import.TipoArredondamento&lt;&gt;"TransfereGOV",
ROUND(OFFSET($P370,0,AP$13),15-13*ORÇAMENTO!$AF$7)/$H370*OFFSET(ORÇAMENTO!$X$15,ROW(AP370)-ROW(AP$15),0),
ROUND(ROUND(OFFSET($P370,0,AP$13),15-13*ORÇAMENTO!$AF$7)*OFFSET(ORÇAMENTO!$W$15,ROW(AP370)-ROW(AP$15),0),15-13*ORÇAMENTO!$AF$11)),0)</f>
        <v>0</v>
      </c>
      <c r="AQ370" s="545">
        <f ca="1">IF(AND($D370="Serviço",AQ$12&lt;&gt;0,$H370&gt;0,OR(AUTOEVENTO&lt;&gt;"manual",$M370&lt;&gt;1)),
IF(Import.TipoArredondamento&lt;&gt;"TransfereGOV",
ROUND(OFFSET($P370,0,AQ$13),15-13*ORÇAMENTO!$AF$7)/$H370*OFFSET(ORÇAMENTO!$X$15,ROW(AQ370)-ROW(AQ$15),0),
ROUND(ROUND(OFFSET($P370,0,AQ$13),15-13*ORÇAMENTO!$AF$7)*OFFSET(ORÇAMENTO!$W$15,ROW(AQ370)-ROW(AQ$15),0),15-13*ORÇAMENTO!$AF$11)),0)</f>
        <v>0</v>
      </c>
      <c r="AR370" s="545">
        <f ca="1">IF(AND($D370="Serviço",AR$12&lt;&gt;0,$H370&gt;0,OR(AUTOEVENTO&lt;&gt;"manual",$M370&lt;&gt;1)),
IF(Import.TipoArredondamento&lt;&gt;"TransfereGOV",
ROUND(OFFSET($P370,0,AR$13),15-13*ORÇAMENTO!$AF$7)/$H370*OFFSET(ORÇAMENTO!$X$15,ROW(AR370)-ROW(AR$15),0),
ROUND(ROUND(OFFSET($P370,0,AR$13),15-13*ORÇAMENTO!$AF$7)*OFFSET(ORÇAMENTO!$W$15,ROW(AR370)-ROW(AR$15),0),15-13*ORÇAMENTO!$AF$11)),0)</f>
        <v>0</v>
      </c>
      <c r="AS370" s="546">
        <f ca="1">IF(AND($D370="Serviço",AS$12&lt;&gt;0,$H370&gt;0,OR(AUTOEVENTO&lt;&gt;"manual",$M370&lt;&gt;1)),
IF(Import.TipoArredondamento&lt;&gt;"TransfereGOV",
ROUND(OFFSET($P370,0,AS$13),15-13*ORÇAMENTO!$AF$7)/$H370*OFFSET(ORÇAMENTO!$X$15,ROW(AS370)-ROW(AS$15),0),
ROUND(ROUND(OFFSET($P370,0,AS$13),15-13*ORÇAMENTO!$AF$7)*OFFSET(ORÇAMENTO!$W$15,ROW(AS370)-ROW(AS$15),0),15-13*ORÇAMENTO!$AF$11)),0)</f>
        <v>0</v>
      </c>
      <c r="AT370" s="545">
        <f ca="1">IF(AND($D370="Serviço",AT$12&lt;&gt;0,$H370&gt;0,OR(AUTOEVENTO&lt;&gt;"manual",$M370&lt;&gt;1)),
IF(Import.TipoArredondamento&lt;&gt;"TransfereGOV",
ROUND(OFFSET($P370,0,AT$13),15-13*ORÇAMENTO!$AF$7)/$H370*OFFSET(ORÇAMENTO!$X$15,ROW(AT370)-ROW(AT$15),0),
ROUND(ROUND(OFFSET($P370,0,AT$13),15-13*ORÇAMENTO!$AF$7)*OFFSET(ORÇAMENTO!$W$15,ROW(AT370)-ROW(AT$15),0),15-13*ORÇAMENTO!$AF$11)),0)</f>
        <v>0</v>
      </c>
      <c r="AU370" s="545">
        <f ca="1">IF(AND($D370="Serviço",AU$12&lt;&gt;0,$H370&gt;0,OR(AUTOEVENTO&lt;&gt;"manual",$M370&lt;&gt;1)),
IF(Import.TipoArredondamento&lt;&gt;"TransfereGOV",
ROUND(OFFSET($P370,0,AU$13),15-13*ORÇAMENTO!$AF$7)/$H370*OFFSET(ORÇAMENTO!$X$15,ROW(AU370)-ROW(AU$15),0),
ROUND(ROUND(OFFSET($P370,0,AU$13),15-13*ORÇAMENTO!$AF$7)*OFFSET(ORÇAMENTO!$W$15,ROW(AU370)-ROW(AU$15),0),15-13*ORÇAMENTO!$AF$11)),0)</f>
        <v>0</v>
      </c>
      <c r="AV370" s="545">
        <f ca="1">IF(AND($D370="Serviço",AV$12&lt;&gt;0,$H370&gt;0,OR(AUTOEVENTO&lt;&gt;"manual",$M370&lt;&gt;1)),
IF(Import.TipoArredondamento&lt;&gt;"TransfereGOV",
ROUND(OFFSET($P370,0,AV$13),15-13*ORÇAMENTO!$AF$7)/$H370*OFFSET(ORÇAMENTO!$X$15,ROW(AV370)-ROW(AV$15),0),
ROUND(ROUND(OFFSET($P370,0,AV$13),15-13*ORÇAMENTO!$AF$7)*OFFSET(ORÇAMENTO!$W$15,ROW(AV370)-ROW(AV$15),0),15-13*ORÇAMENTO!$AF$11)),0)</f>
        <v>0</v>
      </c>
      <c r="AW370" s="545">
        <f ca="1">IF(AND($D370="Serviço",AW$12&lt;&gt;0,$H370&gt;0,OR(AUTOEVENTO&lt;&gt;"manual",$M370&lt;&gt;1)),
IF(Import.TipoArredondamento&lt;&gt;"TransfereGOV",
ROUND(OFFSET($P370,0,AW$13),15-13*ORÇAMENTO!$AF$7)/$H370*OFFSET(ORÇAMENTO!$X$15,ROW(AW370)-ROW(AW$15),0),
ROUND(ROUND(OFFSET($P370,0,AW$13),15-13*ORÇAMENTO!$AF$7)*OFFSET(ORÇAMENTO!$W$15,ROW(AW370)-ROW(AW$15),0),15-13*ORÇAMENTO!$AF$11)),0)</f>
        <v>0</v>
      </c>
      <c r="AX370" s="545">
        <f ca="1">IF(AND($D370="Serviço",AX$12&lt;&gt;0,$H370&gt;0,OR(AUTOEVENTO&lt;&gt;"manual",$M370&lt;&gt;1)),
IF(Import.TipoArredondamento&lt;&gt;"TransfereGOV",
ROUND(OFFSET($P370,0,AX$13),15-13*ORÇAMENTO!$AF$7)/$H370*OFFSET(ORÇAMENTO!$X$15,ROW(AX370)-ROW(AX$15),0),
ROUND(ROUND(OFFSET($P370,0,AX$13),15-13*ORÇAMENTO!$AF$7)*OFFSET(ORÇAMENTO!$W$15,ROW(AX370)-ROW(AX$15),0),15-13*ORÇAMENTO!$AF$11)),0)</f>
        <v>0</v>
      </c>
      <c r="AY370" s="545">
        <f ca="1">IF(AND($D370="Serviço",AY$12&lt;&gt;0,$H370&gt;0,OR(AUTOEVENTO&lt;&gt;"manual",$M370&lt;&gt;1)),
IF(Import.TipoArredondamento&lt;&gt;"TransfereGOV",
ROUND(OFFSET($P370,0,AY$13),15-13*ORÇAMENTO!$AF$7)/$H370*OFFSET(ORÇAMENTO!$X$15,ROW(AY370)-ROW(AY$15),0),
ROUND(ROUND(OFFSET($P370,0,AY$13),15-13*ORÇAMENTO!$AF$7)*OFFSET(ORÇAMENTO!$W$15,ROW(AY370)-ROW(AY$15),0),15-13*ORÇAMENTO!$AF$11)),0)</f>
        <v>0</v>
      </c>
      <c r="AZ370" s="545">
        <f ca="1">IF(AND($D370="Serviço",AZ$12&lt;&gt;0,$H370&gt;0,OR(AUTOEVENTO&lt;&gt;"manual",$M370&lt;&gt;1)),
IF(Import.TipoArredondamento&lt;&gt;"TransfereGOV",
ROUND(OFFSET($P370,0,AZ$13),15-13*ORÇAMENTO!$AF$7)/$H370*OFFSET(ORÇAMENTO!$X$15,ROW(AZ370)-ROW(AZ$15),0),
ROUND(ROUND(OFFSET($P370,0,AZ$13),15-13*ORÇAMENTO!$AF$7)*OFFSET(ORÇAMENTO!$W$15,ROW(AZ370)-ROW(AZ$15),0),15-13*ORÇAMENTO!$AF$11)),0)</f>
        <v>0</v>
      </c>
      <c r="BA370" s="546">
        <f ca="1">IF(AND($D370="Serviço",BA$12&lt;&gt;0,$H370&gt;0,OR(AUTOEVENTO&lt;&gt;"manual",$M370&lt;&gt;1)),
IF(Import.TipoArredondamento&lt;&gt;"TransfereGOV",
ROUND(OFFSET($P370,0,BA$13),15-13*ORÇAMENTO!$AF$7)/$H370*OFFSET(ORÇAMENTO!$X$15,ROW(BA370)-ROW(BA$15),0),
ROUND(ROUND(OFFSET($P370,0,BA$13),15-13*ORÇAMENTO!$AF$7)*OFFSET(ORÇAMENTO!$W$15,ROW(BA370)-ROW(BA$15),0),15-13*ORÇAMENTO!$AF$11)),0)</f>
        <v>0</v>
      </c>
      <c r="BC370" s="181">
        <f ca="1">IF($D370&lt;&gt;"Serviço",0,IF(AND(AUTOEVENTO="Manual",$M370=1),0,IF(OFFSET(CRONOPLE!$F$14,$M370,BC$13)="",10^12,OFFSET(CRONOPLE!$F$14,$M370,BC$13))))</f>
        <v>10</v>
      </c>
      <c r="BD370" s="181">
        <f ca="1">IF($D370&lt;&gt;"Serviço",0,IF(AND(AUTOEVENTO="Manual",$M370=1),0,IF(OFFSET(CRONOPLE!$F$14,$M370,BD$13)="",10^12,OFFSET(CRONOPLE!$F$14,$M370,BD$13))))</f>
        <v>1000000000000</v>
      </c>
      <c r="BE370" s="181">
        <f ca="1">IF($D370&lt;&gt;"Serviço",0,IF(AND(AUTOEVENTO="Manual",$M370=1),0,IF(OFFSET(CRONOPLE!$F$14,$M370,BE$13)="",10^12,OFFSET(CRONOPLE!$F$14,$M370,BE$13))))</f>
        <v>1000000000000</v>
      </c>
      <c r="BF370" s="181">
        <f ca="1">IF($D370&lt;&gt;"Serviço",0,IF(AND(AUTOEVENTO="Manual",$M370=1),0,IF(OFFSET(CRONOPLE!$F$14,$M370,BF$13)="",10^12,OFFSET(CRONOPLE!$F$14,$M370,BF$13))))</f>
        <v>1000000000000</v>
      </c>
      <c r="BG370" s="181">
        <f ca="1">IF($D370&lt;&gt;"Serviço",0,IF(AND(AUTOEVENTO="Manual",$M370=1),0,IF(OFFSET(CRONOPLE!$F$14,$M370,BG$13)="",10^12,OFFSET(CRONOPLE!$F$14,$M370,BG$13))))</f>
        <v>1000000000000</v>
      </c>
      <c r="BH370" s="181">
        <f ca="1">IF($D370&lt;&gt;"Serviço",0,IF(AND(AUTOEVENTO="Manual",$M370=1),0,IF(OFFSET(CRONOPLE!$F$14,$M370,BH$13)="",10^12,OFFSET(CRONOPLE!$F$14,$M370,BH$13))))</f>
        <v>1000000000000</v>
      </c>
      <c r="BI370" s="181">
        <f ca="1">IF($D370&lt;&gt;"Serviço",0,IF(AND(AUTOEVENTO="Manual",$M370=1),0,IF(OFFSET(CRONOPLE!$F$14,$M370,BI$13)="",10^12,OFFSET(CRONOPLE!$F$14,$M370,BI$13))))</f>
        <v>1000000000000</v>
      </c>
      <c r="BJ370" s="181">
        <f ca="1">IF($D370&lt;&gt;"Serviço",0,IF(AND(AUTOEVENTO="Manual",$M370=1),0,IF(OFFSET(CRONOPLE!$F$14,$M370,BJ$13)="",10^12,OFFSET(CRONOPLE!$F$14,$M370,BJ$13))))</f>
        <v>1000000000000</v>
      </c>
      <c r="BK370" s="181">
        <f ca="1">IF($D370&lt;&gt;"Serviço",0,IF(AND(AUTOEVENTO="Manual",$M370=1),0,IF(OFFSET(CRONOPLE!$F$14,$M370,BK$13)="",10^12,OFFSET(CRONOPLE!$F$14,$M370,BK$13))))</f>
        <v>1000000000000</v>
      </c>
      <c r="BL370" s="181">
        <f ca="1">IF($D370&lt;&gt;"Serviço",0,IF(AND(AUTOEVENTO="Manual",$M370=1),0,IF(OFFSET(CRONOPLE!$F$14,$M370,BL$13)="",10^12,OFFSET(CRONOPLE!$F$14,$M370,BL$13))))</f>
        <v>1000000000000</v>
      </c>
      <c r="BM370" s="181">
        <f ca="1">IF($D370&lt;&gt;"Serviço",0,IF(AND(AUTOEVENTO="Manual",$M370=1),0,IF(OFFSET(CRONOPLE!$F$14,$M370,BM$13)="",10^12,OFFSET(CRONOPLE!$F$14,$M370,BM$13))))</f>
        <v>1000000000000</v>
      </c>
      <c r="BN370" s="181">
        <f ca="1">IF($D370&lt;&gt;"Serviço",0,IF(AND(AUTOEVENTO="Manual",$M370=1),0,IF(OFFSET(CRONOPLE!$F$14,$M370,BN$13)="",10^12,OFFSET(CRONOPLE!$F$14,$M370,BN$13))))</f>
        <v>1000000000000</v>
      </c>
      <c r="BO370" s="181">
        <f ca="1">IF($D370&lt;&gt;"Serviço",0,IF(AND(AUTOEVENTO="Manual",$M370=1),0,IF(OFFSET(CRONOPLE!$F$14,$M370,BO$13)="",10^12,OFFSET(CRONOPLE!$F$14,$M370,BO$13))))</f>
        <v>1000000000000</v>
      </c>
      <c r="BP370" s="181">
        <f ca="1">IF($D370&lt;&gt;"Serviço",0,IF(AND(AUTOEVENTO="Manual",$M370=1),0,IF(OFFSET(CRONOPLE!$F$14,$M370,BP$13)="",10^12,OFFSET(CRONOPLE!$F$14,$M370,BP$13))))</f>
        <v>1000000000000</v>
      </c>
      <c r="BQ370" s="181">
        <f ca="1">IF($D370&lt;&gt;"Serviço",0,IF(AND(AUTOEVENTO="Manual",$M370=1),0,IF(OFFSET(CRONOPLE!$F$14,$M370,BQ$13)="",10^12,OFFSET(CRONOPLE!$F$14,$M370,BQ$13))))</f>
        <v>1000000000000</v>
      </c>
      <c r="BR370" s="181">
        <f ca="1">IF($D370&lt;&gt;"Serviço",0,IF(AND(AUTOEVENTO="Manual",$M370=1),0,IF(OFFSET(CRONOPLE!$F$14,$M370,BR$13)="",10^12,OFFSET(CRONOPLE!$F$14,$M370,BR$13))))</f>
        <v>1000000000000</v>
      </c>
      <c r="BS370" s="181">
        <f ca="1">IF($D370&lt;&gt;"Serviço",0,IF(AND(AUTOEVENTO="Manual",$M370=1),0,IF(OFFSET(CRONOPLE!$F$14,$M370,BS$13)="",10^12,OFFSET(CRONOPLE!$F$14,$M370,BS$13))))</f>
        <v>1000000000000</v>
      </c>
      <c r="BT370" s="181">
        <f ca="1">IF($D370&lt;&gt;"Serviço",0,IF(AND(AUTOEVENTO="Manual",$M370=1),0,IF(OFFSET(CRONOPLE!$F$14,$M370,BT$13)="",10^12,OFFSET(CRONOPLE!$F$14,$M370,BT$13))))</f>
        <v>1000000000000</v>
      </c>
      <c r="BV370" s="182">
        <f ca="1">IF($D370&lt;&gt;"Serviço",0,IF(OR(AND(AUTOEVENTO="Manual",$M370=1),$M370&gt;(ROW(PLE.lastrow)-ROW(PLE.firstrow))),0,IF(OFFSET(PLE!$G$14,$M370,BV$13)="",10^12,OFFSET(PLE!$G$14,$M370,BV$13))))</f>
        <v>1000000000000</v>
      </c>
      <c r="BW370" s="182">
        <f ca="1">IF($D370&lt;&gt;"Serviço",0,IF(OR(AND(AUTOEVENTO="Manual",$M370=1),$M370&gt;(ROW(PLE.lastrow)-ROW(PLE.firstrow))),0,IF(OFFSET(PLE!$G$14,$M370,BW$13)="",10^12,OFFSET(PLE!$G$14,$M370,BW$13))))</f>
        <v>1000000000000</v>
      </c>
      <c r="BX370" s="182">
        <f ca="1">IF($D370&lt;&gt;"Serviço",0,IF(OR(AND(AUTOEVENTO="Manual",$M370=1),$M370&gt;(ROW(PLE.lastrow)-ROW(PLE.firstrow))),0,IF(OFFSET(PLE!$G$14,$M370,BX$13)="",10^12,OFFSET(PLE!$G$14,$M370,BX$13))))</f>
        <v>1000000000000</v>
      </c>
      <c r="BY370" s="182">
        <f ca="1">IF($D370&lt;&gt;"Serviço",0,IF(OR(AND(AUTOEVENTO="Manual",$M370=1),$M370&gt;(ROW(PLE.lastrow)-ROW(PLE.firstrow))),0,IF(OFFSET(PLE!$G$14,$M370,BY$13)="",10^12,OFFSET(PLE!$G$14,$M370,BY$13))))</f>
        <v>1000000000000</v>
      </c>
      <c r="BZ370" s="182">
        <f ca="1">IF($D370&lt;&gt;"Serviço",0,IF(OR(AND(AUTOEVENTO="Manual",$M370=1),$M370&gt;(ROW(PLE.lastrow)-ROW(PLE.firstrow))),0,IF(OFFSET(PLE!$G$14,$M370,BZ$13)="",10^12,OFFSET(PLE!$G$14,$M370,BZ$13))))</f>
        <v>1000000000000</v>
      </c>
      <c r="CA370" s="182">
        <f ca="1">IF($D370&lt;&gt;"Serviço",0,IF(OR(AND(AUTOEVENTO="Manual",$M370=1),$M370&gt;(ROW(PLE.lastrow)-ROW(PLE.firstrow))),0,IF(OFFSET(PLE!$G$14,$M370,CA$13)="",10^12,OFFSET(PLE!$G$14,$M370,CA$13))))</f>
        <v>1000000000000</v>
      </c>
      <c r="CB370" s="182">
        <f ca="1">IF($D370&lt;&gt;"Serviço",0,IF(OR(AND(AUTOEVENTO="Manual",$M370=1),$M370&gt;(ROW(PLE.lastrow)-ROW(PLE.firstrow))),0,IF(OFFSET(PLE!$G$14,$M370,CB$13)="",10^12,OFFSET(PLE!$G$14,$M370,CB$13))))</f>
        <v>1000000000000</v>
      </c>
      <c r="CC370" s="182">
        <f ca="1">IF($D370&lt;&gt;"Serviço",0,IF(OR(AND(AUTOEVENTO="Manual",$M370=1),$M370&gt;(ROW(PLE.lastrow)-ROW(PLE.firstrow))),0,IF(OFFSET(PLE!$G$14,$M370,CC$13)="",10^12,OFFSET(PLE!$G$14,$M370,CC$13))))</f>
        <v>1000000000000</v>
      </c>
      <c r="CD370" s="182">
        <f ca="1">IF($D370&lt;&gt;"Serviço",0,IF(OR(AND(AUTOEVENTO="Manual",$M370=1),$M370&gt;(ROW(PLE.lastrow)-ROW(PLE.firstrow))),0,IF(OFFSET(PLE!$G$14,$M370,CD$13)="",10^12,OFFSET(PLE!$G$14,$M370,CD$13))))</f>
        <v>1000000000000</v>
      </c>
      <c r="CE370" s="182">
        <f ca="1">IF($D370&lt;&gt;"Serviço",0,IF(OR(AND(AUTOEVENTO="Manual",$M370=1),$M370&gt;(ROW(PLE.lastrow)-ROW(PLE.firstrow))),0,IF(OFFSET(PLE!$G$14,$M370,CE$13)="",10^12,OFFSET(PLE!$G$14,$M370,CE$13))))</f>
        <v>1000000000000</v>
      </c>
      <c r="CF370" s="182">
        <f ca="1">IF($D370&lt;&gt;"Serviço",0,IF(OR(AND(AUTOEVENTO="Manual",$M370=1),$M370&gt;(ROW(PLE.lastrow)-ROW(PLE.firstrow))),0,IF(OFFSET(PLE!$G$14,$M370,CF$13)="",10^12,OFFSET(PLE!$G$14,$M370,CF$13))))</f>
        <v>1000000000000</v>
      </c>
      <c r="CG370" s="182">
        <f ca="1">IF($D370&lt;&gt;"Serviço",0,IF(OR(AND(AUTOEVENTO="Manual",$M370=1),$M370&gt;(ROW(PLE.lastrow)-ROW(PLE.firstrow))),0,IF(OFFSET(PLE!$G$14,$M370,CG$13)="",10^12,OFFSET(PLE!$G$14,$M370,CG$13))))</f>
        <v>1000000000000</v>
      </c>
      <c r="CH370" s="182">
        <f ca="1">IF($D370&lt;&gt;"Serviço",0,IF(OR(AND(AUTOEVENTO="Manual",$M370=1),$M370&gt;(ROW(PLE.lastrow)-ROW(PLE.firstrow))),0,IF(OFFSET(PLE!$G$14,$M370,CH$13)="",10^12,OFFSET(PLE!$G$14,$M370,CH$13))))</f>
        <v>1000000000000</v>
      </c>
      <c r="CI370" s="182">
        <f ca="1">IF($D370&lt;&gt;"Serviço",0,IF(OR(AND(AUTOEVENTO="Manual",$M370=1),$M370&gt;(ROW(PLE.lastrow)-ROW(PLE.firstrow))),0,IF(OFFSET(PLE!$G$14,$M370,CI$13)="",10^12,OFFSET(PLE!$G$14,$M370,CI$13))))</f>
        <v>1000000000000</v>
      </c>
      <c r="CJ370" s="182">
        <f ca="1">IF($D370&lt;&gt;"Serviço",0,IF(OR(AND(AUTOEVENTO="Manual",$M370=1),$M370&gt;(ROW(PLE.lastrow)-ROW(PLE.firstrow))),0,IF(OFFSET(PLE!$G$14,$M370,CJ$13)="",10^12,OFFSET(PLE!$G$14,$M370,CJ$13))))</f>
        <v>1000000000000</v>
      </c>
      <c r="CK370" s="182">
        <f ca="1">IF($D370&lt;&gt;"Serviço",0,IF(OR(AND(AUTOEVENTO="Manual",$M370=1),$M370&gt;(ROW(PLE.lastrow)-ROW(PLE.firstrow))),0,IF(OFFSET(PLE!$G$14,$M370,CK$13)="",10^12,OFFSET(PLE!$G$14,$M370,CK$13))))</f>
        <v>1000000000000</v>
      </c>
      <c r="CL370" s="182">
        <f ca="1">IF($D370&lt;&gt;"Serviço",0,IF(OR(AND(AUTOEVENTO="Manual",$M370=1),$M370&gt;(ROW(PLE.lastrow)-ROW(PLE.firstrow))),0,IF(OFFSET(PLE!$G$14,$M370,CL$13)="",10^12,OFFSET(PLE!$G$14,$M370,CL$13))))</f>
        <v>1000000000000</v>
      </c>
      <c r="CM370" s="182">
        <f ca="1">IF($D370&lt;&gt;"Serviço",0,IF(OR(AND(AUTOEVENTO="Manual",$M370=1),$M370&gt;(ROW(PLE.lastrow)-ROW(PLE.firstrow))),0,IF(OFFSET(PLE!$G$14,$M370,CM$13)="",10^12,OFFSET(PLE!$G$14,$M370,CM$13))))</f>
        <v>1000000000000</v>
      </c>
    </row>
    <row r="371" spans="1:91" ht="25.5" x14ac:dyDescent="0.2">
      <c r="A371" s="7" t="str">
        <f t="shared" ca="1" si="12"/>
        <v>350</v>
      </c>
      <c r="B371" s="7" t="str">
        <f ca="1">OFFSET(ORÇAMENTO!C$15,ROW(B371)-ROW(B$15),0)</f>
        <v>S</v>
      </c>
      <c r="C371" s="7" t="str">
        <f ca="1">OFFSET(ORÇAMENTO!L$15,ROW(C371)-ROW(C$15),0)</f>
        <v/>
      </c>
      <c r="D371" s="118" t="str">
        <f ca="1">OFFSET(ORÇAMENTO!N$15,ROW(D371)-ROW(D$15),0)</f>
        <v>Serviço</v>
      </c>
      <c r="E371" s="119" t="str">
        <f ca="1">OFFSET(ORÇAMENTO!O$15,ROW(E371)-ROW(E$15),0)</f>
        <v>-</v>
      </c>
      <c r="F371" s="172" t="str">
        <f ca="1">OFFSET(ORÇAMENTO!R$15,ROW(F371)-ROW(F$15),0)</f>
        <v>(abra o arquivo 'Referência 06-2024.xlsm)</v>
      </c>
      <c r="G371" s="173" t="str">
        <f ca="1">IF($D371&lt;&gt;"Serviço","",OFFSET(ORÇAMENTO!S$15,ROW(G371)-ROW(G$15),0))</f>
        <v>-</v>
      </c>
      <c r="H371" s="124">
        <f ca="1">IF($D371&lt;&gt;"Serviço",0,IF(ACOMPANHAMENTO="BM",ROUND(OFFSET(ORÇAMENTO!AJ$15,ROW(H371)-ROW(H$15),0),15-13*ORÇAMENTO!$AF$7),SUMPRODUCT(($Q$12:$AI$12&lt;&gt;"")*ROUND($Q371:$AI371,15-13*ORÇAMENTO!$AF$7))))</f>
        <v>4</v>
      </c>
      <c r="I371" s="561" t="s">
        <v>1107</v>
      </c>
      <c r="K371" s="174"/>
      <c r="L371" s="175" t="s">
        <v>255</v>
      </c>
      <c r="M371" s="176">
        <f ca="1">IF($D371&lt;&gt;"Serviço","",IF(AUTOEVENTO="manual",$A371,IF(ISERROR(MATCH($A371,$A$15:OFFSET($A371,-1,0),0)),MAX($M$15:OFFSET(M371,-1,0))+1,INDEX($M$15:OFFSET(M371,-1,0),MATCH($A371,$A$15:OFFSET($A371,-1,0),0)))))</f>
        <v>44</v>
      </c>
      <c r="N371" s="177" t="str">
        <f ca="1">IF($D371&lt;&gt;"Serviço","",IF(AUTOEVENTO="Manual",IF($A371=0,"&lt;-- defina o número do agrupador",OFFSET(EVENTOS!$D$14,$A371,0)),OFFSET($F$15,$A371,0)))</f>
        <v>LOUÇAS, ACESSÓRIOS E METAIS</v>
      </c>
      <c r="O371" s="178"/>
      <c r="Q371" s="178">
        <v>4</v>
      </c>
      <c r="R371" s="179"/>
      <c r="S371" s="179"/>
      <c r="T371" s="179"/>
      <c r="U371" s="179"/>
      <c r="V371" s="179"/>
      <c r="W371" s="179"/>
      <c r="X371" s="179"/>
      <c r="Y371" s="179"/>
      <c r="Z371" s="180"/>
      <c r="AA371" s="179"/>
      <c r="AB371" s="179"/>
      <c r="AC371" s="179"/>
      <c r="AD371" s="179"/>
      <c r="AE371" s="179"/>
      <c r="AF371" s="179"/>
      <c r="AG371" s="179"/>
      <c r="AH371" s="180"/>
      <c r="AJ371" s="544">
        <f ca="1">IF(AND($D371="Serviço",AJ$12&lt;&gt;0,$H371&gt;0,OR(AUTOEVENTO&lt;&gt;"manual",$M371&lt;&gt;1)),
IF(Import.TipoArredondamento&lt;&gt;"TransfereGOV",
ROUND(OFFSET($P371,0,AJ$13),15-13*ORÇAMENTO!$AF$7)/$H371*OFFSET(ORÇAMENTO!$X$15,ROW(AJ371)-ROW(AJ$15),0),
ROUND(ROUND(OFFSET($P371,0,AJ$13),15-13*ORÇAMENTO!$AF$7)*OFFSET(ORÇAMENTO!$W$15,ROW(AJ371)-ROW(AJ$15),0),15-13*ORÇAMENTO!$AF$11)),0)</f>
        <v>0</v>
      </c>
      <c r="AK371" s="545">
        <f ca="1">IF(AND($D371="Serviço",AK$12&lt;&gt;0,$H371&gt;0,OR(AUTOEVENTO&lt;&gt;"manual",$M371&lt;&gt;1)),
IF(Import.TipoArredondamento&lt;&gt;"TransfereGOV",
ROUND(OFFSET($P371,0,AK$13),15-13*ORÇAMENTO!$AF$7)/$H371*OFFSET(ORÇAMENTO!$X$15,ROW(AK371)-ROW(AK$15),0),
ROUND(ROUND(OFFSET($P371,0,AK$13),15-13*ORÇAMENTO!$AF$7)*OFFSET(ORÇAMENTO!$W$15,ROW(AK371)-ROW(AK$15),0),15-13*ORÇAMENTO!$AF$11)),0)</f>
        <v>0</v>
      </c>
      <c r="AL371" s="545">
        <f ca="1">IF(AND($D371="Serviço",AL$12&lt;&gt;0,$H371&gt;0,OR(AUTOEVENTO&lt;&gt;"manual",$M371&lt;&gt;1)),
IF(Import.TipoArredondamento&lt;&gt;"TransfereGOV",
ROUND(OFFSET($P371,0,AL$13),15-13*ORÇAMENTO!$AF$7)/$H371*OFFSET(ORÇAMENTO!$X$15,ROW(AL371)-ROW(AL$15),0),
ROUND(ROUND(OFFSET($P371,0,AL$13),15-13*ORÇAMENTO!$AF$7)*OFFSET(ORÇAMENTO!$W$15,ROW(AL371)-ROW(AL$15),0),15-13*ORÇAMENTO!$AF$11)),0)</f>
        <v>0</v>
      </c>
      <c r="AM371" s="545">
        <f ca="1">IF(AND($D371="Serviço",AM$12&lt;&gt;0,$H371&gt;0,OR(AUTOEVENTO&lt;&gt;"manual",$M371&lt;&gt;1)),
IF(Import.TipoArredondamento&lt;&gt;"TransfereGOV",
ROUND(OFFSET($P371,0,AM$13),15-13*ORÇAMENTO!$AF$7)/$H371*OFFSET(ORÇAMENTO!$X$15,ROW(AM371)-ROW(AM$15),0),
ROUND(ROUND(OFFSET($P371,0,AM$13),15-13*ORÇAMENTO!$AF$7)*OFFSET(ORÇAMENTO!$W$15,ROW(AM371)-ROW(AM$15),0),15-13*ORÇAMENTO!$AF$11)),0)</f>
        <v>0</v>
      </c>
      <c r="AN371" s="545">
        <f ca="1">IF(AND($D371="Serviço",AN$12&lt;&gt;0,$H371&gt;0,OR(AUTOEVENTO&lt;&gt;"manual",$M371&lt;&gt;1)),
IF(Import.TipoArredondamento&lt;&gt;"TransfereGOV",
ROUND(OFFSET($P371,0,AN$13),15-13*ORÇAMENTO!$AF$7)/$H371*OFFSET(ORÇAMENTO!$X$15,ROW(AN371)-ROW(AN$15),0),
ROUND(ROUND(OFFSET($P371,0,AN$13),15-13*ORÇAMENTO!$AF$7)*OFFSET(ORÇAMENTO!$W$15,ROW(AN371)-ROW(AN$15),0),15-13*ORÇAMENTO!$AF$11)),0)</f>
        <v>0</v>
      </c>
      <c r="AO371" s="545">
        <f ca="1">IF(AND($D371="Serviço",AO$12&lt;&gt;0,$H371&gt;0,OR(AUTOEVENTO&lt;&gt;"manual",$M371&lt;&gt;1)),
IF(Import.TipoArredondamento&lt;&gt;"TransfereGOV",
ROUND(OFFSET($P371,0,AO$13),15-13*ORÇAMENTO!$AF$7)/$H371*OFFSET(ORÇAMENTO!$X$15,ROW(AO371)-ROW(AO$15),0),
ROUND(ROUND(OFFSET($P371,0,AO$13),15-13*ORÇAMENTO!$AF$7)*OFFSET(ORÇAMENTO!$W$15,ROW(AO371)-ROW(AO$15),0),15-13*ORÇAMENTO!$AF$11)),0)</f>
        <v>0</v>
      </c>
      <c r="AP371" s="545">
        <f ca="1">IF(AND($D371="Serviço",AP$12&lt;&gt;0,$H371&gt;0,OR(AUTOEVENTO&lt;&gt;"manual",$M371&lt;&gt;1)),
IF(Import.TipoArredondamento&lt;&gt;"TransfereGOV",
ROUND(OFFSET($P371,0,AP$13),15-13*ORÇAMENTO!$AF$7)/$H371*OFFSET(ORÇAMENTO!$X$15,ROW(AP371)-ROW(AP$15),0),
ROUND(ROUND(OFFSET($P371,0,AP$13),15-13*ORÇAMENTO!$AF$7)*OFFSET(ORÇAMENTO!$W$15,ROW(AP371)-ROW(AP$15),0),15-13*ORÇAMENTO!$AF$11)),0)</f>
        <v>0</v>
      </c>
      <c r="AQ371" s="545">
        <f ca="1">IF(AND($D371="Serviço",AQ$12&lt;&gt;0,$H371&gt;0,OR(AUTOEVENTO&lt;&gt;"manual",$M371&lt;&gt;1)),
IF(Import.TipoArredondamento&lt;&gt;"TransfereGOV",
ROUND(OFFSET($P371,0,AQ$13),15-13*ORÇAMENTO!$AF$7)/$H371*OFFSET(ORÇAMENTO!$X$15,ROW(AQ371)-ROW(AQ$15),0),
ROUND(ROUND(OFFSET($P371,0,AQ$13),15-13*ORÇAMENTO!$AF$7)*OFFSET(ORÇAMENTO!$W$15,ROW(AQ371)-ROW(AQ$15),0),15-13*ORÇAMENTO!$AF$11)),0)</f>
        <v>0</v>
      </c>
      <c r="AR371" s="545">
        <f ca="1">IF(AND($D371="Serviço",AR$12&lt;&gt;0,$H371&gt;0,OR(AUTOEVENTO&lt;&gt;"manual",$M371&lt;&gt;1)),
IF(Import.TipoArredondamento&lt;&gt;"TransfereGOV",
ROUND(OFFSET($P371,0,AR$13),15-13*ORÇAMENTO!$AF$7)/$H371*OFFSET(ORÇAMENTO!$X$15,ROW(AR371)-ROW(AR$15),0),
ROUND(ROUND(OFFSET($P371,0,AR$13),15-13*ORÇAMENTO!$AF$7)*OFFSET(ORÇAMENTO!$W$15,ROW(AR371)-ROW(AR$15),0),15-13*ORÇAMENTO!$AF$11)),0)</f>
        <v>0</v>
      </c>
      <c r="AS371" s="546">
        <f ca="1">IF(AND($D371="Serviço",AS$12&lt;&gt;0,$H371&gt;0,OR(AUTOEVENTO&lt;&gt;"manual",$M371&lt;&gt;1)),
IF(Import.TipoArredondamento&lt;&gt;"TransfereGOV",
ROUND(OFFSET($P371,0,AS$13),15-13*ORÇAMENTO!$AF$7)/$H371*OFFSET(ORÇAMENTO!$X$15,ROW(AS371)-ROW(AS$15),0),
ROUND(ROUND(OFFSET($P371,0,AS$13),15-13*ORÇAMENTO!$AF$7)*OFFSET(ORÇAMENTO!$W$15,ROW(AS371)-ROW(AS$15),0),15-13*ORÇAMENTO!$AF$11)),0)</f>
        <v>0</v>
      </c>
      <c r="AT371" s="545">
        <f ca="1">IF(AND($D371="Serviço",AT$12&lt;&gt;0,$H371&gt;0,OR(AUTOEVENTO&lt;&gt;"manual",$M371&lt;&gt;1)),
IF(Import.TipoArredondamento&lt;&gt;"TransfereGOV",
ROUND(OFFSET($P371,0,AT$13),15-13*ORÇAMENTO!$AF$7)/$H371*OFFSET(ORÇAMENTO!$X$15,ROW(AT371)-ROW(AT$15),0),
ROUND(ROUND(OFFSET($P371,0,AT$13),15-13*ORÇAMENTO!$AF$7)*OFFSET(ORÇAMENTO!$W$15,ROW(AT371)-ROW(AT$15),0),15-13*ORÇAMENTO!$AF$11)),0)</f>
        <v>0</v>
      </c>
      <c r="AU371" s="545">
        <f ca="1">IF(AND($D371="Serviço",AU$12&lt;&gt;0,$H371&gt;0,OR(AUTOEVENTO&lt;&gt;"manual",$M371&lt;&gt;1)),
IF(Import.TipoArredondamento&lt;&gt;"TransfereGOV",
ROUND(OFFSET($P371,0,AU$13),15-13*ORÇAMENTO!$AF$7)/$H371*OFFSET(ORÇAMENTO!$X$15,ROW(AU371)-ROW(AU$15),0),
ROUND(ROUND(OFFSET($P371,0,AU$13),15-13*ORÇAMENTO!$AF$7)*OFFSET(ORÇAMENTO!$W$15,ROW(AU371)-ROW(AU$15),0),15-13*ORÇAMENTO!$AF$11)),0)</f>
        <v>0</v>
      </c>
      <c r="AV371" s="545">
        <f ca="1">IF(AND($D371="Serviço",AV$12&lt;&gt;0,$H371&gt;0,OR(AUTOEVENTO&lt;&gt;"manual",$M371&lt;&gt;1)),
IF(Import.TipoArredondamento&lt;&gt;"TransfereGOV",
ROUND(OFFSET($P371,0,AV$13),15-13*ORÇAMENTO!$AF$7)/$H371*OFFSET(ORÇAMENTO!$X$15,ROW(AV371)-ROW(AV$15),0),
ROUND(ROUND(OFFSET($P371,0,AV$13),15-13*ORÇAMENTO!$AF$7)*OFFSET(ORÇAMENTO!$W$15,ROW(AV371)-ROW(AV$15),0),15-13*ORÇAMENTO!$AF$11)),0)</f>
        <v>0</v>
      </c>
      <c r="AW371" s="545">
        <f ca="1">IF(AND($D371="Serviço",AW$12&lt;&gt;0,$H371&gt;0,OR(AUTOEVENTO&lt;&gt;"manual",$M371&lt;&gt;1)),
IF(Import.TipoArredondamento&lt;&gt;"TransfereGOV",
ROUND(OFFSET($P371,0,AW$13),15-13*ORÇAMENTO!$AF$7)/$H371*OFFSET(ORÇAMENTO!$X$15,ROW(AW371)-ROW(AW$15),0),
ROUND(ROUND(OFFSET($P371,0,AW$13),15-13*ORÇAMENTO!$AF$7)*OFFSET(ORÇAMENTO!$W$15,ROW(AW371)-ROW(AW$15),0),15-13*ORÇAMENTO!$AF$11)),0)</f>
        <v>0</v>
      </c>
      <c r="AX371" s="545">
        <f ca="1">IF(AND($D371="Serviço",AX$12&lt;&gt;0,$H371&gt;0,OR(AUTOEVENTO&lt;&gt;"manual",$M371&lt;&gt;1)),
IF(Import.TipoArredondamento&lt;&gt;"TransfereGOV",
ROUND(OFFSET($P371,0,AX$13),15-13*ORÇAMENTO!$AF$7)/$H371*OFFSET(ORÇAMENTO!$X$15,ROW(AX371)-ROW(AX$15),0),
ROUND(ROUND(OFFSET($P371,0,AX$13),15-13*ORÇAMENTO!$AF$7)*OFFSET(ORÇAMENTO!$W$15,ROW(AX371)-ROW(AX$15),0),15-13*ORÇAMENTO!$AF$11)),0)</f>
        <v>0</v>
      </c>
      <c r="AY371" s="545">
        <f ca="1">IF(AND($D371="Serviço",AY$12&lt;&gt;0,$H371&gt;0,OR(AUTOEVENTO&lt;&gt;"manual",$M371&lt;&gt;1)),
IF(Import.TipoArredondamento&lt;&gt;"TransfereGOV",
ROUND(OFFSET($P371,0,AY$13),15-13*ORÇAMENTO!$AF$7)/$H371*OFFSET(ORÇAMENTO!$X$15,ROW(AY371)-ROW(AY$15),0),
ROUND(ROUND(OFFSET($P371,0,AY$13),15-13*ORÇAMENTO!$AF$7)*OFFSET(ORÇAMENTO!$W$15,ROW(AY371)-ROW(AY$15),0),15-13*ORÇAMENTO!$AF$11)),0)</f>
        <v>0</v>
      </c>
      <c r="AZ371" s="545">
        <f ca="1">IF(AND($D371="Serviço",AZ$12&lt;&gt;0,$H371&gt;0,OR(AUTOEVENTO&lt;&gt;"manual",$M371&lt;&gt;1)),
IF(Import.TipoArredondamento&lt;&gt;"TransfereGOV",
ROUND(OFFSET($P371,0,AZ$13),15-13*ORÇAMENTO!$AF$7)/$H371*OFFSET(ORÇAMENTO!$X$15,ROW(AZ371)-ROW(AZ$15),0),
ROUND(ROUND(OFFSET($P371,0,AZ$13),15-13*ORÇAMENTO!$AF$7)*OFFSET(ORÇAMENTO!$W$15,ROW(AZ371)-ROW(AZ$15),0),15-13*ORÇAMENTO!$AF$11)),0)</f>
        <v>0</v>
      </c>
      <c r="BA371" s="546">
        <f ca="1">IF(AND($D371="Serviço",BA$12&lt;&gt;0,$H371&gt;0,OR(AUTOEVENTO&lt;&gt;"manual",$M371&lt;&gt;1)),
IF(Import.TipoArredondamento&lt;&gt;"TransfereGOV",
ROUND(OFFSET($P371,0,BA$13),15-13*ORÇAMENTO!$AF$7)/$H371*OFFSET(ORÇAMENTO!$X$15,ROW(BA371)-ROW(BA$15),0),
ROUND(ROUND(OFFSET($P371,0,BA$13),15-13*ORÇAMENTO!$AF$7)*OFFSET(ORÇAMENTO!$W$15,ROW(BA371)-ROW(BA$15),0),15-13*ORÇAMENTO!$AF$11)),0)</f>
        <v>0</v>
      </c>
      <c r="BC371" s="181">
        <f ca="1">IF($D371&lt;&gt;"Serviço",0,IF(AND(AUTOEVENTO="Manual",$M371=1),0,IF(OFFSET(CRONOPLE!$F$14,$M371,BC$13)="",10^12,OFFSET(CRONOPLE!$F$14,$M371,BC$13))))</f>
        <v>10</v>
      </c>
      <c r="BD371" s="181">
        <f ca="1">IF($D371&lt;&gt;"Serviço",0,IF(AND(AUTOEVENTO="Manual",$M371=1),0,IF(OFFSET(CRONOPLE!$F$14,$M371,BD$13)="",10^12,OFFSET(CRONOPLE!$F$14,$M371,BD$13))))</f>
        <v>1000000000000</v>
      </c>
      <c r="BE371" s="181">
        <f ca="1">IF($D371&lt;&gt;"Serviço",0,IF(AND(AUTOEVENTO="Manual",$M371=1),0,IF(OFFSET(CRONOPLE!$F$14,$M371,BE$13)="",10^12,OFFSET(CRONOPLE!$F$14,$M371,BE$13))))</f>
        <v>1000000000000</v>
      </c>
      <c r="BF371" s="181">
        <f ca="1">IF($D371&lt;&gt;"Serviço",0,IF(AND(AUTOEVENTO="Manual",$M371=1),0,IF(OFFSET(CRONOPLE!$F$14,$M371,BF$13)="",10^12,OFFSET(CRONOPLE!$F$14,$M371,BF$13))))</f>
        <v>1000000000000</v>
      </c>
      <c r="BG371" s="181">
        <f ca="1">IF($D371&lt;&gt;"Serviço",0,IF(AND(AUTOEVENTO="Manual",$M371=1),0,IF(OFFSET(CRONOPLE!$F$14,$M371,BG$13)="",10^12,OFFSET(CRONOPLE!$F$14,$M371,BG$13))))</f>
        <v>1000000000000</v>
      </c>
      <c r="BH371" s="181">
        <f ca="1">IF($D371&lt;&gt;"Serviço",0,IF(AND(AUTOEVENTO="Manual",$M371=1),0,IF(OFFSET(CRONOPLE!$F$14,$M371,BH$13)="",10^12,OFFSET(CRONOPLE!$F$14,$M371,BH$13))))</f>
        <v>1000000000000</v>
      </c>
      <c r="BI371" s="181">
        <f ca="1">IF($D371&lt;&gt;"Serviço",0,IF(AND(AUTOEVENTO="Manual",$M371=1),0,IF(OFFSET(CRONOPLE!$F$14,$M371,BI$13)="",10^12,OFFSET(CRONOPLE!$F$14,$M371,BI$13))))</f>
        <v>1000000000000</v>
      </c>
      <c r="BJ371" s="181">
        <f ca="1">IF($D371&lt;&gt;"Serviço",0,IF(AND(AUTOEVENTO="Manual",$M371=1),0,IF(OFFSET(CRONOPLE!$F$14,$M371,BJ$13)="",10^12,OFFSET(CRONOPLE!$F$14,$M371,BJ$13))))</f>
        <v>1000000000000</v>
      </c>
      <c r="BK371" s="181">
        <f ca="1">IF($D371&lt;&gt;"Serviço",0,IF(AND(AUTOEVENTO="Manual",$M371=1),0,IF(OFFSET(CRONOPLE!$F$14,$M371,BK$13)="",10^12,OFFSET(CRONOPLE!$F$14,$M371,BK$13))))</f>
        <v>1000000000000</v>
      </c>
      <c r="BL371" s="181">
        <f ca="1">IF($D371&lt;&gt;"Serviço",0,IF(AND(AUTOEVENTO="Manual",$M371=1),0,IF(OFFSET(CRONOPLE!$F$14,$M371,BL$13)="",10^12,OFFSET(CRONOPLE!$F$14,$M371,BL$13))))</f>
        <v>1000000000000</v>
      </c>
      <c r="BM371" s="181">
        <f ca="1">IF($D371&lt;&gt;"Serviço",0,IF(AND(AUTOEVENTO="Manual",$M371=1),0,IF(OFFSET(CRONOPLE!$F$14,$M371,BM$13)="",10^12,OFFSET(CRONOPLE!$F$14,$M371,BM$13))))</f>
        <v>1000000000000</v>
      </c>
      <c r="BN371" s="181">
        <f ca="1">IF($D371&lt;&gt;"Serviço",0,IF(AND(AUTOEVENTO="Manual",$M371=1),0,IF(OFFSET(CRONOPLE!$F$14,$M371,BN$13)="",10^12,OFFSET(CRONOPLE!$F$14,$M371,BN$13))))</f>
        <v>1000000000000</v>
      </c>
      <c r="BO371" s="181">
        <f ca="1">IF($D371&lt;&gt;"Serviço",0,IF(AND(AUTOEVENTO="Manual",$M371=1),0,IF(OFFSET(CRONOPLE!$F$14,$M371,BO$13)="",10^12,OFFSET(CRONOPLE!$F$14,$M371,BO$13))))</f>
        <v>1000000000000</v>
      </c>
      <c r="BP371" s="181">
        <f ca="1">IF($D371&lt;&gt;"Serviço",0,IF(AND(AUTOEVENTO="Manual",$M371=1),0,IF(OFFSET(CRONOPLE!$F$14,$M371,BP$13)="",10^12,OFFSET(CRONOPLE!$F$14,$M371,BP$13))))</f>
        <v>1000000000000</v>
      </c>
      <c r="BQ371" s="181">
        <f ca="1">IF($D371&lt;&gt;"Serviço",0,IF(AND(AUTOEVENTO="Manual",$M371=1),0,IF(OFFSET(CRONOPLE!$F$14,$M371,BQ$13)="",10^12,OFFSET(CRONOPLE!$F$14,$M371,BQ$13))))</f>
        <v>1000000000000</v>
      </c>
      <c r="BR371" s="181">
        <f ca="1">IF($D371&lt;&gt;"Serviço",0,IF(AND(AUTOEVENTO="Manual",$M371=1),0,IF(OFFSET(CRONOPLE!$F$14,$M371,BR$13)="",10^12,OFFSET(CRONOPLE!$F$14,$M371,BR$13))))</f>
        <v>1000000000000</v>
      </c>
      <c r="BS371" s="181">
        <f ca="1">IF($D371&lt;&gt;"Serviço",0,IF(AND(AUTOEVENTO="Manual",$M371=1),0,IF(OFFSET(CRONOPLE!$F$14,$M371,BS$13)="",10^12,OFFSET(CRONOPLE!$F$14,$M371,BS$13))))</f>
        <v>1000000000000</v>
      </c>
      <c r="BT371" s="181">
        <f ca="1">IF($D371&lt;&gt;"Serviço",0,IF(AND(AUTOEVENTO="Manual",$M371=1),0,IF(OFFSET(CRONOPLE!$F$14,$M371,BT$13)="",10^12,OFFSET(CRONOPLE!$F$14,$M371,BT$13))))</f>
        <v>1000000000000</v>
      </c>
      <c r="BV371" s="182">
        <f ca="1">IF($D371&lt;&gt;"Serviço",0,IF(OR(AND(AUTOEVENTO="Manual",$M371=1),$M371&gt;(ROW(PLE.lastrow)-ROW(PLE.firstrow))),0,IF(OFFSET(PLE!$G$14,$M371,BV$13)="",10^12,OFFSET(PLE!$G$14,$M371,BV$13))))</f>
        <v>1000000000000</v>
      </c>
      <c r="BW371" s="182">
        <f ca="1">IF($D371&lt;&gt;"Serviço",0,IF(OR(AND(AUTOEVENTO="Manual",$M371=1),$M371&gt;(ROW(PLE.lastrow)-ROW(PLE.firstrow))),0,IF(OFFSET(PLE!$G$14,$M371,BW$13)="",10^12,OFFSET(PLE!$G$14,$M371,BW$13))))</f>
        <v>1000000000000</v>
      </c>
      <c r="BX371" s="182">
        <f ca="1">IF($D371&lt;&gt;"Serviço",0,IF(OR(AND(AUTOEVENTO="Manual",$M371=1),$M371&gt;(ROW(PLE.lastrow)-ROW(PLE.firstrow))),0,IF(OFFSET(PLE!$G$14,$M371,BX$13)="",10^12,OFFSET(PLE!$G$14,$M371,BX$13))))</f>
        <v>1000000000000</v>
      </c>
      <c r="BY371" s="182">
        <f ca="1">IF($D371&lt;&gt;"Serviço",0,IF(OR(AND(AUTOEVENTO="Manual",$M371=1),$M371&gt;(ROW(PLE.lastrow)-ROW(PLE.firstrow))),0,IF(OFFSET(PLE!$G$14,$M371,BY$13)="",10^12,OFFSET(PLE!$G$14,$M371,BY$13))))</f>
        <v>1000000000000</v>
      </c>
      <c r="BZ371" s="182">
        <f ca="1">IF($D371&lt;&gt;"Serviço",0,IF(OR(AND(AUTOEVENTO="Manual",$M371=1),$M371&gt;(ROW(PLE.lastrow)-ROW(PLE.firstrow))),0,IF(OFFSET(PLE!$G$14,$M371,BZ$13)="",10^12,OFFSET(PLE!$G$14,$M371,BZ$13))))</f>
        <v>1000000000000</v>
      </c>
      <c r="CA371" s="182">
        <f ca="1">IF($D371&lt;&gt;"Serviço",0,IF(OR(AND(AUTOEVENTO="Manual",$M371=1),$M371&gt;(ROW(PLE.lastrow)-ROW(PLE.firstrow))),0,IF(OFFSET(PLE!$G$14,$M371,CA$13)="",10^12,OFFSET(PLE!$G$14,$M371,CA$13))))</f>
        <v>1000000000000</v>
      </c>
      <c r="CB371" s="182">
        <f ca="1">IF($D371&lt;&gt;"Serviço",0,IF(OR(AND(AUTOEVENTO="Manual",$M371=1),$M371&gt;(ROW(PLE.lastrow)-ROW(PLE.firstrow))),0,IF(OFFSET(PLE!$G$14,$M371,CB$13)="",10^12,OFFSET(PLE!$G$14,$M371,CB$13))))</f>
        <v>1000000000000</v>
      </c>
      <c r="CC371" s="182">
        <f ca="1">IF($D371&lt;&gt;"Serviço",0,IF(OR(AND(AUTOEVENTO="Manual",$M371=1),$M371&gt;(ROW(PLE.lastrow)-ROW(PLE.firstrow))),0,IF(OFFSET(PLE!$G$14,$M371,CC$13)="",10^12,OFFSET(PLE!$G$14,$M371,CC$13))))</f>
        <v>1000000000000</v>
      </c>
      <c r="CD371" s="182">
        <f ca="1">IF($D371&lt;&gt;"Serviço",0,IF(OR(AND(AUTOEVENTO="Manual",$M371=1),$M371&gt;(ROW(PLE.lastrow)-ROW(PLE.firstrow))),0,IF(OFFSET(PLE!$G$14,$M371,CD$13)="",10^12,OFFSET(PLE!$G$14,$M371,CD$13))))</f>
        <v>1000000000000</v>
      </c>
      <c r="CE371" s="182">
        <f ca="1">IF($D371&lt;&gt;"Serviço",0,IF(OR(AND(AUTOEVENTO="Manual",$M371=1),$M371&gt;(ROW(PLE.lastrow)-ROW(PLE.firstrow))),0,IF(OFFSET(PLE!$G$14,$M371,CE$13)="",10^12,OFFSET(PLE!$G$14,$M371,CE$13))))</f>
        <v>1000000000000</v>
      </c>
      <c r="CF371" s="182">
        <f ca="1">IF($D371&lt;&gt;"Serviço",0,IF(OR(AND(AUTOEVENTO="Manual",$M371=1),$M371&gt;(ROW(PLE.lastrow)-ROW(PLE.firstrow))),0,IF(OFFSET(PLE!$G$14,$M371,CF$13)="",10^12,OFFSET(PLE!$G$14,$M371,CF$13))))</f>
        <v>1000000000000</v>
      </c>
      <c r="CG371" s="182">
        <f ca="1">IF($D371&lt;&gt;"Serviço",0,IF(OR(AND(AUTOEVENTO="Manual",$M371=1),$M371&gt;(ROW(PLE.lastrow)-ROW(PLE.firstrow))),0,IF(OFFSET(PLE!$G$14,$M371,CG$13)="",10^12,OFFSET(PLE!$G$14,$M371,CG$13))))</f>
        <v>1000000000000</v>
      </c>
      <c r="CH371" s="182">
        <f ca="1">IF($D371&lt;&gt;"Serviço",0,IF(OR(AND(AUTOEVENTO="Manual",$M371=1),$M371&gt;(ROW(PLE.lastrow)-ROW(PLE.firstrow))),0,IF(OFFSET(PLE!$G$14,$M371,CH$13)="",10^12,OFFSET(PLE!$G$14,$M371,CH$13))))</f>
        <v>1000000000000</v>
      </c>
      <c r="CI371" s="182">
        <f ca="1">IF($D371&lt;&gt;"Serviço",0,IF(OR(AND(AUTOEVENTO="Manual",$M371=1),$M371&gt;(ROW(PLE.lastrow)-ROW(PLE.firstrow))),0,IF(OFFSET(PLE!$G$14,$M371,CI$13)="",10^12,OFFSET(PLE!$G$14,$M371,CI$13))))</f>
        <v>1000000000000</v>
      </c>
      <c r="CJ371" s="182">
        <f ca="1">IF($D371&lt;&gt;"Serviço",0,IF(OR(AND(AUTOEVENTO="Manual",$M371=1),$M371&gt;(ROW(PLE.lastrow)-ROW(PLE.firstrow))),0,IF(OFFSET(PLE!$G$14,$M371,CJ$13)="",10^12,OFFSET(PLE!$G$14,$M371,CJ$13))))</f>
        <v>1000000000000</v>
      </c>
      <c r="CK371" s="182">
        <f ca="1">IF($D371&lt;&gt;"Serviço",0,IF(OR(AND(AUTOEVENTO="Manual",$M371=1),$M371&gt;(ROW(PLE.lastrow)-ROW(PLE.firstrow))),0,IF(OFFSET(PLE!$G$14,$M371,CK$13)="",10^12,OFFSET(PLE!$G$14,$M371,CK$13))))</f>
        <v>1000000000000</v>
      </c>
      <c r="CL371" s="182">
        <f ca="1">IF($D371&lt;&gt;"Serviço",0,IF(OR(AND(AUTOEVENTO="Manual",$M371=1),$M371&gt;(ROW(PLE.lastrow)-ROW(PLE.firstrow))),0,IF(OFFSET(PLE!$G$14,$M371,CL$13)="",10^12,OFFSET(PLE!$G$14,$M371,CL$13))))</f>
        <v>1000000000000</v>
      </c>
      <c r="CM371" s="182">
        <f ca="1">IF($D371&lt;&gt;"Serviço",0,IF(OR(AND(AUTOEVENTO="Manual",$M371=1),$M371&gt;(ROW(PLE.lastrow)-ROW(PLE.firstrow))),0,IF(OFFSET(PLE!$G$14,$M371,CM$13)="",10^12,OFFSET(PLE!$G$14,$M371,CM$13))))</f>
        <v>1000000000000</v>
      </c>
    </row>
    <row r="372" spans="1:91" ht="25.5" x14ac:dyDescent="0.2">
      <c r="A372" s="7" t="str">
        <f t="shared" ca="1" si="12"/>
        <v>350</v>
      </c>
      <c r="B372" s="7" t="str">
        <f ca="1">OFFSET(ORÇAMENTO!C$15,ROW(B372)-ROW(B$15),0)</f>
        <v>S</v>
      </c>
      <c r="C372" s="7" t="str">
        <f ca="1">OFFSET(ORÇAMENTO!L$15,ROW(C372)-ROW(C$15),0)</f>
        <v/>
      </c>
      <c r="D372" s="118" t="str">
        <f ca="1">OFFSET(ORÇAMENTO!N$15,ROW(D372)-ROW(D$15),0)</f>
        <v>Serviço</v>
      </c>
      <c r="E372" s="119" t="str">
        <f ca="1">OFFSET(ORÇAMENTO!O$15,ROW(E372)-ROW(E$15),0)</f>
        <v>-</v>
      </c>
      <c r="F372" s="172" t="str">
        <f ca="1">OFFSET(ORÇAMENTO!R$15,ROW(F372)-ROW(F$15),0)</f>
        <v>(abra o arquivo 'Referência 06-2024.xlsm)</v>
      </c>
      <c r="G372" s="173" t="str">
        <f ca="1">IF($D372&lt;&gt;"Serviço","",OFFSET(ORÇAMENTO!S$15,ROW(G372)-ROW(G$15),0))</f>
        <v>-</v>
      </c>
      <c r="H372" s="124">
        <f ca="1">IF($D372&lt;&gt;"Serviço",0,IF(ACOMPANHAMENTO="BM",ROUND(OFFSET(ORÇAMENTO!AJ$15,ROW(H372)-ROW(H$15),0),15-13*ORÇAMENTO!$AF$7),SUMPRODUCT(($Q$12:$AI$12&lt;&gt;"")*ROUND($Q372:$AI372,15-13*ORÇAMENTO!$AF$7))))</f>
        <v>22</v>
      </c>
      <c r="I372" s="561" t="s">
        <v>1107</v>
      </c>
      <c r="K372" s="174"/>
      <c r="L372" s="175" t="s">
        <v>255</v>
      </c>
      <c r="M372" s="176">
        <f ca="1">IF($D372&lt;&gt;"Serviço","",IF(AUTOEVENTO="manual",$A372,IF(ISERROR(MATCH($A372,$A$15:OFFSET($A372,-1,0),0)),MAX($M$15:OFFSET(M372,-1,0))+1,INDEX($M$15:OFFSET(M372,-1,0),MATCH($A372,$A$15:OFFSET($A372,-1,0),0)))))</f>
        <v>44</v>
      </c>
      <c r="N372" s="177" t="str">
        <f ca="1">IF($D372&lt;&gt;"Serviço","",IF(AUTOEVENTO="Manual",IF($A372=0,"&lt;-- defina o número do agrupador",OFFSET(EVENTOS!$D$14,$A372,0)),OFFSET($F$15,$A372,0)))</f>
        <v>LOUÇAS, ACESSÓRIOS E METAIS</v>
      </c>
      <c r="O372" s="178"/>
      <c r="Q372" s="178">
        <v>22</v>
      </c>
      <c r="R372" s="179"/>
      <c r="S372" s="179"/>
      <c r="T372" s="179"/>
      <c r="U372" s="179"/>
      <c r="V372" s="179"/>
      <c r="W372" s="179"/>
      <c r="X372" s="179"/>
      <c r="Y372" s="179"/>
      <c r="Z372" s="180"/>
      <c r="AA372" s="179"/>
      <c r="AB372" s="179"/>
      <c r="AC372" s="179"/>
      <c r="AD372" s="179"/>
      <c r="AE372" s="179"/>
      <c r="AF372" s="179"/>
      <c r="AG372" s="179"/>
      <c r="AH372" s="180"/>
      <c r="AJ372" s="544">
        <f ca="1">IF(AND($D372="Serviço",AJ$12&lt;&gt;0,$H372&gt;0,OR(AUTOEVENTO&lt;&gt;"manual",$M372&lt;&gt;1)),
IF(Import.TipoArredondamento&lt;&gt;"TransfereGOV",
ROUND(OFFSET($P372,0,AJ$13),15-13*ORÇAMENTO!$AF$7)/$H372*OFFSET(ORÇAMENTO!$X$15,ROW(AJ372)-ROW(AJ$15),0),
ROUND(ROUND(OFFSET($P372,0,AJ$13),15-13*ORÇAMENTO!$AF$7)*OFFSET(ORÇAMENTO!$W$15,ROW(AJ372)-ROW(AJ$15),0),15-13*ORÇAMENTO!$AF$11)),0)</f>
        <v>0</v>
      </c>
      <c r="AK372" s="545">
        <f ca="1">IF(AND($D372="Serviço",AK$12&lt;&gt;0,$H372&gt;0,OR(AUTOEVENTO&lt;&gt;"manual",$M372&lt;&gt;1)),
IF(Import.TipoArredondamento&lt;&gt;"TransfereGOV",
ROUND(OFFSET($P372,0,AK$13),15-13*ORÇAMENTO!$AF$7)/$H372*OFFSET(ORÇAMENTO!$X$15,ROW(AK372)-ROW(AK$15),0),
ROUND(ROUND(OFFSET($P372,0,AK$13),15-13*ORÇAMENTO!$AF$7)*OFFSET(ORÇAMENTO!$W$15,ROW(AK372)-ROW(AK$15),0),15-13*ORÇAMENTO!$AF$11)),0)</f>
        <v>0</v>
      </c>
      <c r="AL372" s="545">
        <f ca="1">IF(AND($D372="Serviço",AL$12&lt;&gt;0,$H372&gt;0,OR(AUTOEVENTO&lt;&gt;"manual",$M372&lt;&gt;1)),
IF(Import.TipoArredondamento&lt;&gt;"TransfereGOV",
ROUND(OFFSET($P372,0,AL$13),15-13*ORÇAMENTO!$AF$7)/$H372*OFFSET(ORÇAMENTO!$X$15,ROW(AL372)-ROW(AL$15),0),
ROUND(ROUND(OFFSET($P372,0,AL$13),15-13*ORÇAMENTO!$AF$7)*OFFSET(ORÇAMENTO!$W$15,ROW(AL372)-ROW(AL$15),0),15-13*ORÇAMENTO!$AF$11)),0)</f>
        <v>0</v>
      </c>
      <c r="AM372" s="545">
        <f ca="1">IF(AND($D372="Serviço",AM$12&lt;&gt;0,$H372&gt;0,OR(AUTOEVENTO&lt;&gt;"manual",$M372&lt;&gt;1)),
IF(Import.TipoArredondamento&lt;&gt;"TransfereGOV",
ROUND(OFFSET($P372,0,AM$13),15-13*ORÇAMENTO!$AF$7)/$H372*OFFSET(ORÇAMENTO!$X$15,ROW(AM372)-ROW(AM$15),0),
ROUND(ROUND(OFFSET($P372,0,AM$13),15-13*ORÇAMENTO!$AF$7)*OFFSET(ORÇAMENTO!$W$15,ROW(AM372)-ROW(AM$15),0),15-13*ORÇAMENTO!$AF$11)),0)</f>
        <v>0</v>
      </c>
      <c r="AN372" s="545">
        <f ca="1">IF(AND($D372="Serviço",AN$12&lt;&gt;0,$H372&gt;0,OR(AUTOEVENTO&lt;&gt;"manual",$M372&lt;&gt;1)),
IF(Import.TipoArredondamento&lt;&gt;"TransfereGOV",
ROUND(OFFSET($P372,0,AN$13),15-13*ORÇAMENTO!$AF$7)/$H372*OFFSET(ORÇAMENTO!$X$15,ROW(AN372)-ROW(AN$15),0),
ROUND(ROUND(OFFSET($P372,0,AN$13),15-13*ORÇAMENTO!$AF$7)*OFFSET(ORÇAMENTO!$W$15,ROW(AN372)-ROW(AN$15),0),15-13*ORÇAMENTO!$AF$11)),0)</f>
        <v>0</v>
      </c>
      <c r="AO372" s="545">
        <f ca="1">IF(AND($D372="Serviço",AO$12&lt;&gt;0,$H372&gt;0,OR(AUTOEVENTO&lt;&gt;"manual",$M372&lt;&gt;1)),
IF(Import.TipoArredondamento&lt;&gt;"TransfereGOV",
ROUND(OFFSET($P372,0,AO$13),15-13*ORÇAMENTO!$AF$7)/$H372*OFFSET(ORÇAMENTO!$X$15,ROW(AO372)-ROW(AO$15),0),
ROUND(ROUND(OFFSET($P372,0,AO$13),15-13*ORÇAMENTO!$AF$7)*OFFSET(ORÇAMENTO!$W$15,ROW(AO372)-ROW(AO$15),0),15-13*ORÇAMENTO!$AF$11)),0)</f>
        <v>0</v>
      </c>
      <c r="AP372" s="545">
        <f ca="1">IF(AND($D372="Serviço",AP$12&lt;&gt;0,$H372&gt;0,OR(AUTOEVENTO&lt;&gt;"manual",$M372&lt;&gt;1)),
IF(Import.TipoArredondamento&lt;&gt;"TransfereGOV",
ROUND(OFFSET($P372,0,AP$13),15-13*ORÇAMENTO!$AF$7)/$H372*OFFSET(ORÇAMENTO!$X$15,ROW(AP372)-ROW(AP$15),0),
ROUND(ROUND(OFFSET($P372,0,AP$13),15-13*ORÇAMENTO!$AF$7)*OFFSET(ORÇAMENTO!$W$15,ROW(AP372)-ROW(AP$15),0),15-13*ORÇAMENTO!$AF$11)),0)</f>
        <v>0</v>
      </c>
      <c r="AQ372" s="545">
        <f ca="1">IF(AND($D372="Serviço",AQ$12&lt;&gt;0,$H372&gt;0,OR(AUTOEVENTO&lt;&gt;"manual",$M372&lt;&gt;1)),
IF(Import.TipoArredondamento&lt;&gt;"TransfereGOV",
ROUND(OFFSET($P372,0,AQ$13),15-13*ORÇAMENTO!$AF$7)/$H372*OFFSET(ORÇAMENTO!$X$15,ROW(AQ372)-ROW(AQ$15),0),
ROUND(ROUND(OFFSET($P372,0,AQ$13),15-13*ORÇAMENTO!$AF$7)*OFFSET(ORÇAMENTO!$W$15,ROW(AQ372)-ROW(AQ$15),0),15-13*ORÇAMENTO!$AF$11)),0)</f>
        <v>0</v>
      </c>
      <c r="AR372" s="545">
        <f ca="1">IF(AND($D372="Serviço",AR$12&lt;&gt;0,$H372&gt;0,OR(AUTOEVENTO&lt;&gt;"manual",$M372&lt;&gt;1)),
IF(Import.TipoArredondamento&lt;&gt;"TransfereGOV",
ROUND(OFFSET($P372,0,AR$13),15-13*ORÇAMENTO!$AF$7)/$H372*OFFSET(ORÇAMENTO!$X$15,ROW(AR372)-ROW(AR$15),0),
ROUND(ROUND(OFFSET($P372,0,AR$13),15-13*ORÇAMENTO!$AF$7)*OFFSET(ORÇAMENTO!$W$15,ROW(AR372)-ROW(AR$15),0),15-13*ORÇAMENTO!$AF$11)),0)</f>
        <v>0</v>
      </c>
      <c r="AS372" s="546">
        <f ca="1">IF(AND($D372="Serviço",AS$12&lt;&gt;0,$H372&gt;0,OR(AUTOEVENTO&lt;&gt;"manual",$M372&lt;&gt;1)),
IF(Import.TipoArredondamento&lt;&gt;"TransfereGOV",
ROUND(OFFSET($P372,0,AS$13),15-13*ORÇAMENTO!$AF$7)/$H372*OFFSET(ORÇAMENTO!$X$15,ROW(AS372)-ROW(AS$15),0),
ROUND(ROUND(OFFSET($P372,0,AS$13),15-13*ORÇAMENTO!$AF$7)*OFFSET(ORÇAMENTO!$W$15,ROW(AS372)-ROW(AS$15),0),15-13*ORÇAMENTO!$AF$11)),0)</f>
        <v>0</v>
      </c>
      <c r="AT372" s="545">
        <f ca="1">IF(AND($D372="Serviço",AT$12&lt;&gt;0,$H372&gt;0,OR(AUTOEVENTO&lt;&gt;"manual",$M372&lt;&gt;1)),
IF(Import.TipoArredondamento&lt;&gt;"TransfereGOV",
ROUND(OFFSET($P372,0,AT$13),15-13*ORÇAMENTO!$AF$7)/$H372*OFFSET(ORÇAMENTO!$X$15,ROW(AT372)-ROW(AT$15),0),
ROUND(ROUND(OFFSET($P372,0,AT$13),15-13*ORÇAMENTO!$AF$7)*OFFSET(ORÇAMENTO!$W$15,ROW(AT372)-ROW(AT$15),0),15-13*ORÇAMENTO!$AF$11)),0)</f>
        <v>0</v>
      </c>
      <c r="AU372" s="545">
        <f ca="1">IF(AND($D372="Serviço",AU$12&lt;&gt;0,$H372&gt;0,OR(AUTOEVENTO&lt;&gt;"manual",$M372&lt;&gt;1)),
IF(Import.TipoArredondamento&lt;&gt;"TransfereGOV",
ROUND(OFFSET($P372,0,AU$13),15-13*ORÇAMENTO!$AF$7)/$H372*OFFSET(ORÇAMENTO!$X$15,ROW(AU372)-ROW(AU$15),0),
ROUND(ROUND(OFFSET($P372,0,AU$13),15-13*ORÇAMENTO!$AF$7)*OFFSET(ORÇAMENTO!$W$15,ROW(AU372)-ROW(AU$15),0),15-13*ORÇAMENTO!$AF$11)),0)</f>
        <v>0</v>
      </c>
      <c r="AV372" s="545">
        <f ca="1">IF(AND($D372="Serviço",AV$12&lt;&gt;0,$H372&gt;0,OR(AUTOEVENTO&lt;&gt;"manual",$M372&lt;&gt;1)),
IF(Import.TipoArredondamento&lt;&gt;"TransfereGOV",
ROUND(OFFSET($P372,0,AV$13),15-13*ORÇAMENTO!$AF$7)/$H372*OFFSET(ORÇAMENTO!$X$15,ROW(AV372)-ROW(AV$15),0),
ROUND(ROUND(OFFSET($P372,0,AV$13),15-13*ORÇAMENTO!$AF$7)*OFFSET(ORÇAMENTO!$W$15,ROW(AV372)-ROW(AV$15),0),15-13*ORÇAMENTO!$AF$11)),0)</f>
        <v>0</v>
      </c>
      <c r="AW372" s="545">
        <f ca="1">IF(AND($D372="Serviço",AW$12&lt;&gt;0,$H372&gt;0,OR(AUTOEVENTO&lt;&gt;"manual",$M372&lt;&gt;1)),
IF(Import.TipoArredondamento&lt;&gt;"TransfereGOV",
ROUND(OFFSET($P372,0,AW$13),15-13*ORÇAMENTO!$AF$7)/$H372*OFFSET(ORÇAMENTO!$X$15,ROW(AW372)-ROW(AW$15),0),
ROUND(ROUND(OFFSET($P372,0,AW$13),15-13*ORÇAMENTO!$AF$7)*OFFSET(ORÇAMENTO!$W$15,ROW(AW372)-ROW(AW$15),0),15-13*ORÇAMENTO!$AF$11)),0)</f>
        <v>0</v>
      </c>
      <c r="AX372" s="545">
        <f ca="1">IF(AND($D372="Serviço",AX$12&lt;&gt;0,$H372&gt;0,OR(AUTOEVENTO&lt;&gt;"manual",$M372&lt;&gt;1)),
IF(Import.TipoArredondamento&lt;&gt;"TransfereGOV",
ROUND(OFFSET($P372,0,AX$13),15-13*ORÇAMENTO!$AF$7)/$H372*OFFSET(ORÇAMENTO!$X$15,ROW(AX372)-ROW(AX$15),0),
ROUND(ROUND(OFFSET($P372,0,AX$13),15-13*ORÇAMENTO!$AF$7)*OFFSET(ORÇAMENTO!$W$15,ROW(AX372)-ROW(AX$15),0),15-13*ORÇAMENTO!$AF$11)),0)</f>
        <v>0</v>
      </c>
      <c r="AY372" s="545">
        <f ca="1">IF(AND($D372="Serviço",AY$12&lt;&gt;0,$H372&gt;0,OR(AUTOEVENTO&lt;&gt;"manual",$M372&lt;&gt;1)),
IF(Import.TipoArredondamento&lt;&gt;"TransfereGOV",
ROUND(OFFSET($P372,0,AY$13),15-13*ORÇAMENTO!$AF$7)/$H372*OFFSET(ORÇAMENTO!$X$15,ROW(AY372)-ROW(AY$15),0),
ROUND(ROUND(OFFSET($P372,0,AY$13),15-13*ORÇAMENTO!$AF$7)*OFFSET(ORÇAMENTO!$W$15,ROW(AY372)-ROW(AY$15),0),15-13*ORÇAMENTO!$AF$11)),0)</f>
        <v>0</v>
      </c>
      <c r="AZ372" s="545">
        <f ca="1">IF(AND($D372="Serviço",AZ$12&lt;&gt;0,$H372&gt;0,OR(AUTOEVENTO&lt;&gt;"manual",$M372&lt;&gt;1)),
IF(Import.TipoArredondamento&lt;&gt;"TransfereGOV",
ROUND(OFFSET($P372,0,AZ$13),15-13*ORÇAMENTO!$AF$7)/$H372*OFFSET(ORÇAMENTO!$X$15,ROW(AZ372)-ROW(AZ$15),0),
ROUND(ROUND(OFFSET($P372,0,AZ$13),15-13*ORÇAMENTO!$AF$7)*OFFSET(ORÇAMENTO!$W$15,ROW(AZ372)-ROW(AZ$15),0),15-13*ORÇAMENTO!$AF$11)),0)</f>
        <v>0</v>
      </c>
      <c r="BA372" s="546">
        <f ca="1">IF(AND($D372="Serviço",BA$12&lt;&gt;0,$H372&gt;0,OR(AUTOEVENTO&lt;&gt;"manual",$M372&lt;&gt;1)),
IF(Import.TipoArredondamento&lt;&gt;"TransfereGOV",
ROUND(OFFSET($P372,0,BA$13),15-13*ORÇAMENTO!$AF$7)/$H372*OFFSET(ORÇAMENTO!$X$15,ROW(BA372)-ROW(BA$15),0),
ROUND(ROUND(OFFSET($P372,0,BA$13),15-13*ORÇAMENTO!$AF$7)*OFFSET(ORÇAMENTO!$W$15,ROW(BA372)-ROW(BA$15),0),15-13*ORÇAMENTO!$AF$11)),0)</f>
        <v>0</v>
      </c>
      <c r="BC372" s="181">
        <f ca="1">IF($D372&lt;&gt;"Serviço",0,IF(AND(AUTOEVENTO="Manual",$M372=1),0,IF(OFFSET(CRONOPLE!$F$14,$M372,BC$13)="",10^12,OFFSET(CRONOPLE!$F$14,$M372,BC$13))))</f>
        <v>10</v>
      </c>
      <c r="BD372" s="181">
        <f ca="1">IF($D372&lt;&gt;"Serviço",0,IF(AND(AUTOEVENTO="Manual",$M372=1),0,IF(OFFSET(CRONOPLE!$F$14,$M372,BD$13)="",10^12,OFFSET(CRONOPLE!$F$14,$M372,BD$13))))</f>
        <v>1000000000000</v>
      </c>
      <c r="BE372" s="181">
        <f ca="1">IF($D372&lt;&gt;"Serviço",0,IF(AND(AUTOEVENTO="Manual",$M372=1),0,IF(OFFSET(CRONOPLE!$F$14,$M372,BE$13)="",10^12,OFFSET(CRONOPLE!$F$14,$M372,BE$13))))</f>
        <v>1000000000000</v>
      </c>
      <c r="BF372" s="181">
        <f ca="1">IF($D372&lt;&gt;"Serviço",0,IF(AND(AUTOEVENTO="Manual",$M372=1),0,IF(OFFSET(CRONOPLE!$F$14,$M372,BF$13)="",10^12,OFFSET(CRONOPLE!$F$14,$M372,BF$13))))</f>
        <v>1000000000000</v>
      </c>
      <c r="BG372" s="181">
        <f ca="1">IF($D372&lt;&gt;"Serviço",0,IF(AND(AUTOEVENTO="Manual",$M372=1),0,IF(OFFSET(CRONOPLE!$F$14,$M372,BG$13)="",10^12,OFFSET(CRONOPLE!$F$14,$M372,BG$13))))</f>
        <v>1000000000000</v>
      </c>
      <c r="BH372" s="181">
        <f ca="1">IF($D372&lt;&gt;"Serviço",0,IF(AND(AUTOEVENTO="Manual",$M372=1),0,IF(OFFSET(CRONOPLE!$F$14,$M372,BH$13)="",10^12,OFFSET(CRONOPLE!$F$14,$M372,BH$13))))</f>
        <v>1000000000000</v>
      </c>
      <c r="BI372" s="181">
        <f ca="1">IF($D372&lt;&gt;"Serviço",0,IF(AND(AUTOEVENTO="Manual",$M372=1),0,IF(OFFSET(CRONOPLE!$F$14,$M372,BI$13)="",10^12,OFFSET(CRONOPLE!$F$14,$M372,BI$13))))</f>
        <v>1000000000000</v>
      </c>
      <c r="BJ372" s="181">
        <f ca="1">IF($D372&lt;&gt;"Serviço",0,IF(AND(AUTOEVENTO="Manual",$M372=1),0,IF(OFFSET(CRONOPLE!$F$14,$M372,BJ$13)="",10^12,OFFSET(CRONOPLE!$F$14,$M372,BJ$13))))</f>
        <v>1000000000000</v>
      </c>
      <c r="BK372" s="181">
        <f ca="1">IF($D372&lt;&gt;"Serviço",0,IF(AND(AUTOEVENTO="Manual",$M372=1),0,IF(OFFSET(CRONOPLE!$F$14,$M372,BK$13)="",10^12,OFFSET(CRONOPLE!$F$14,$M372,BK$13))))</f>
        <v>1000000000000</v>
      </c>
      <c r="BL372" s="181">
        <f ca="1">IF($D372&lt;&gt;"Serviço",0,IF(AND(AUTOEVENTO="Manual",$M372=1),0,IF(OFFSET(CRONOPLE!$F$14,$M372,BL$13)="",10^12,OFFSET(CRONOPLE!$F$14,$M372,BL$13))))</f>
        <v>1000000000000</v>
      </c>
      <c r="BM372" s="181">
        <f ca="1">IF($D372&lt;&gt;"Serviço",0,IF(AND(AUTOEVENTO="Manual",$M372=1),0,IF(OFFSET(CRONOPLE!$F$14,$M372,BM$13)="",10^12,OFFSET(CRONOPLE!$F$14,$M372,BM$13))))</f>
        <v>1000000000000</v>
      </c>
      <c r="BN372" s="181">
        <f ca="1">IF($D372&lt;&gt;"Serviço",0,IF(AND(AUTOEVENTO="Manual",$M372=1),0,IF(OFFSET(CRONOPLE!$F$14,$M372,BN$13)="",10^12,OFFSET(CRONOPLE!$F$14,$M372,BN$13))))</f>
        <v>1000000000000</v>
      </c>
      <c r="BO372" s="181">
        <f ca="1">IF($D372&lt;&gt;"Serviço",0,IF(AND(AUTOEVENTO="Manual",$M372=1),0,IF(OFFSET(CRONOPLE!$F$14,$M372,BO$13)="",10^12,OFFSET(CRONOPLE!$F$14,$M372,BO$13))))</f>
        <v>1000000000000</v>
      </c>
      <c r="BP372" s="181">
        <f ca="1">IF($D372&lt;&gt;"Serviço",0,IF(AND(AUTOEVENTO="Manual",$M372=1),0,IF(OFFSET(CRONOPLE!$F$14,$M372,BP$13)="",10^12,OFFSET(CRONOPLE!$F$14,$M372,BP$13))))</f>
        <v>1000000000000</v>
      </c>
      <c r="BQ372" s="181">
        <f ca="1">IF($D372&lt;&gt;"Serviço",0,IF(AND(AUTOEVENTO="Manual",$M372=1),0,IF(OFFSET(CRONOPLE!$F$14,$M372,BQ$13)="",10^12,OFFSET(CRONOPLE!$F$14,$M372,BQ$13))))</f>
        <v>1000000000000</v>
      </c>
      <c r="BR372" s="181">
        <f ca="1">IF($D372&lt;&gt;"Serviço",0,IF(AND(AUTOEVENTO="Manual",$M372=1),0,IF(OFFSET(CRONOPLE!$F$14,$M372,BR$13)="",10^12,OFFSET(CRONOPLE!$F$14,$M372,BR$13))))</f>
        <v>1000000000000</v>
      </c>
      <c r="BS372" s="181">
        <f ca="1">IF($D372&lt;&gt;"Serviço",0,IF(AND(AUTOEVENTO="Manual",$M372=1),0,IF(OFFSET(CRONOPLE!$F$14,$M372,BS$13)="",10^12,OFFSET(CRONOPLE!$F$14,$M372,BS$13))))</f>
        <v>1000000000000</v>
      </c>
      <c r="BT372" s="181">
        <f ca="1">IF($D372&lt;&gt;"Serviço",0,IF(AND(AUTOEVENTO="Manual",$M372=1),0,IF(OFFSET(CRONOPLE!$F$14,$M372,BT$13)="",10^12,OFFSET(CRONOPLE!$F$14,$M372,BT$13))))</f>
        <v>1000000000000</v>
      </c>
      <c r="BV372" s="182">
        <f ca="1">IF($D372&lt;&gt;"Serviço",0,IF(OR(AND(AUTOEVENTO="Manual",$M372=1),$M372&gt;(ROW(PLE.lastrow)-ROW(PLE.firstrow))),0,IF(OFFSET(PLE!$G$14,$M372,BV$13)="",10^12,OFFSET(PLE!$G$14,$M372,BV$13))))</f>
        <v>1000000000000</v>
      </c>
      <c r="BW372" s="182">
        <f ca="1">IF($D372&lt;&gt;"Serviço",0,IF(OR(AND(AUTOEVENTO="Manual",$M372=1),$M372&gt;(ROW(PLE.lastrow)-ROW(PLE.firstrow))),0,IF(OFFSET(PLE!$G$14,$M372,BW$13)="",10^12,OFFSET(PLE!$G$14,$M372,BW$13))))</f>
        <v>1000000000000</v>
      </c>
      <c r="BX372" s="182">
        <f ca="1">IF($D372&lt;&gt;"Serviço",0,IF(OR(AND(AUTOEVENTO="Manual",$M372=1),$M372&gt;(ROW(PLE.lastrow)-ROW(PLE.firstrow))),0,IF(OFFSET(PLE!$G$14,$M372,BX$13)="",10^12,OFFSET(PLE!$G$14,$M372,BX$13))))</f>
        <v>1000000000000</v>
      </c>
      <c r="BY372" s="182">
        <f ca="1">IF($D372&lt;&gt;"Serviço",0,IF(OR(AND(AUTOEVENTO="Manual",$M372=1),$M372&gt;(ROW(PLE.lastrow)-ROW(PLE.firstrow))),0,IF(OFFSET(PLE!$G$14,$M372,BY$13)="",10^12,OFFSET(PLE!$G$14,$M372,BY$13))))</f>
        <v>1000000000000</v>
      </c>
      <c r="BZ372" s="182">
        <f ca="1">IF($D372&lt;&gt;"Serviço",0,IF(OR(AND(AUTOEVENTO="Manual",$M372=1),$M372&gt;(ROW(PLE.lastrow)-ROW(PLE.firstrow))),0,IF(OFFSET(PLE!$G$14,$M372,BZ$13)="",10^12,OFFSET(PLE!$G$14,$M372,BZ$13))))</f>
        <v>1000000000000</v>
      </c>
      <c r="CA372" s="182">
        <f ca="1">IF($D372&lt;&gt;"Serviço",0,IF(OR(AND(AUTOEVENTO="Manual",$M372=1),$M372&gt;(ROW(PLE.lastrow)-ROW(PLE.firstrow))),0,IF(OFFSET(PLE!$G$14,$M372,CA$13)="",10^12,OFFSET(PLE!$G$14,$M372,CA$13))))</f>
        <v>1000000000000</v>
      </c>
      <c r="CB372" s="182">
        <f ca="1">IF($D372&lt;&gt;"Serviço",0,IF(OR(AND(AUTOEVENTO="Manual",$M372=1),$M372&gt;(ROW(PLE.lastrow)-ROW(PLE.firstrow))),0,IF(OFFSET(PLE!$G$14,$M372,CB$13)="",10^12,OFFSET(PLE!$G$14,$M372,CB$13))))</f>
        <v>1000000000000</v>
      </c>
      <c r="CC372" s="182">
        <f ca="1">IF($D372&lt;&gt;"Serviço",0,IF(OR(AND(AUTOEVENTO="Manual",$M372=1),$M372&gt;(ROW(PLE.lastrow)-ROW(PLE.firstrow))),0,IF(OFFSET(PLE!$G$14,$M372,CC$13)="",10^12,OFFSET(PLE!$G$14,$M372,CC$13))))</f>
        <v>1000000000000</v>
      </c>
      <c r="CD372" s="182">
        <f ca="1">IF($D372&lt;&gt;"Serviço",0,IF(OR(AND(AUTOEVENTO="Manual",$M372=1),$M372&gt;(ROW(PLE.lastrow)-ROW(PLE.firstrow))),0,IF(OFFSET(PLE!$G$14,$M372,CD$13)="",10^12,OFFSET(PLE!$G$14,$M372,CD$13))))</f>
        <v>1000000000000</v>
      </c>
      <c r="CE372" s="182">
        <f ca="1">IF($D372&lt;&gt;"Serviço",0,IF(OR(AND(AUTOEVENTO="Manual",$M372=1),$M372&gt;(ROW(PLE.lastrow)-ROW(PLE.firstrow))),0,IF(OFFSET(PLE!$G$14,$M372,CE$13)="",10^12,OFFSET(PLE!$G$14,$M372,CE$13))))</f>
        <v>1000000000000</v>
      </c>
      <c r="CF372" s="182">
        <f ca="1">IF($D372&lt;&gt;"Serviço",0,IF(OR(AND(AUTOEVENTO="Manual",$M372=1),$M372&gt;(ROW(PLE.lastrow)-ROW(PLE.firstrow))),0,IF(OFFSET(PLE!$G$14,$M372,CF$13)="",10^12,OFFSET(PLE!$G$14,$M372,CF$13))))</f>
        <v>1000000000000</v>
      </c>
      <c r="CG372" s="182">
        <f ca="1">IF($D372&lt;&gt;"Serviço",0,IF(OR(AND(AUTOEVENTO="Manual",$M372=1),$M372&gt;(ROW(PLE.lastrow)-ROW(PLE.firstrow))),0,IF(OFFSET(PLE!$G$14,$M372,CG$13)="",10^12,OFFSET(PLE!$G$14,$M372,CG$13))))</f>
        <v>1000000000000</v>
      </c>
      <c r="CH372" s="182">
        <f ca="1">IF($D372&lt;&gt;"Serviço",0,IF(OR(AND(AUTOEVENTO="Manual",$M372=1),$M372&gt;(ROW(PLE.lastrow)-ROW(PLE.firstrow))),0,IF(OFFSET(PLE!$G$14,$M372,CH$13)="",10^12,OFFSET(PLE!$G$14,$M372,CH$13))))</f>
        <v>1000000000000</v>
      </c>
      <c r="CI372" s="182">
        <f ca="1">IF($D372&lt;&gt;"Serviço",0,IF(OR(AND(AUTOEVENTO="Manual",$M372=1),$M372&gt;(ROW(PLE.lastrow)-ROW(PLE.firstrow))),0,IF(OFFSET(PLE!$G$14,$M372,CI$13)="",10^12,OFFSET(PLE!$G$14,$M372,CI$13))))</f>
        <v>1000000000000</v>
      </c>
      <c r="CJ372" s="182">
        <f ca="1">IF($D372&lt;&gt;"Serviço",0,IF(OR(AND(AUTOEVENTO="Manual",$M372=1),$M372&gt;(ROW(PLE.lastrow)-ROW(PLE.firstrow))),0,IF(OFFSET(PLE!$G$14,$M372,CJ$13)="",10^12,OFFSET(PLE!$G$14,$M372,CJ$13))))</f>
        <v>1000000000000</v>
      </c>
      <c r="CK372" s="182">
        <f ca="1">IF($D372&lt;&gt;"Serviço",0,IF(OR(AND(AUTOEVENTO="Manual",$M372=1),$M372&gt;(ROW(PLE.lastrow)-ROW(PLE.firstrow))),0,IF(OFFSET(PLE!$G$14,$M372,CK$13)="",10^12,OFFSET(PLE!$G$14,$M372,CK$13))))</f>
        <v>1000000000000</v>
      </c>
      <c r="CL372" s="182">
        <f ca="1">IF($D372&lt;&gt;"Serviço",0,IF(OR(AND(AUTOEVENTO="Manual",$M372=1),$M372&gt;(ROW(PLE.lastrow)-ROW(PLE.firstrow))),0,IF(OFFSET(PLE!$G$14,$M372,CL$13)="",10^12,OFFSET(PLE!$G$14,$M372,CL$13))))</f>
        <v>1000000000000</v>
      </c>
      <c r="CM372" s="182">
        <f ca="1">IF($D372&lt;&gt;"Serviço",0,IF(OR(AND(AUTOEVENTO="Manual",$M372=1),$M372&gt;(ROW(PLE.lastrow)-ROW(PLE.firstrow))),0,IF(OFFSET(PLE!$G$14,$M372,CM$13)="",10^12,OFFSET(PLE!$G$14,$M372,CM$13))))</f>
        <v>1000000000000</v>
      </c>
    </row>
    <row r="373" spans="1:91" ht="25.5" x14ac:dyDescent="0.2">
      <c r="A373" s="7" t="str">
        <f t="shared" ca="1" si="12"/>
        <v>350</v>
      </c>
      <c r="B373" s="7" t="str">
        <f ca="1">OFFSET(ORÇAMENTO!C$15,ROW(B373)-ROW(B$15),0)</f>
        <v>S</v>
      </c>
      <c r="C373" s="7" t="str">
        <f ca="1">OFFSET(ORÇAMENTO!L$15,ROW(C373)-ROW(C$15),0)</f>
        <v/>
      </c>
      <c r="D373" s="118" t="str">
        <f ca="1">OFFSET(ORÇAMENTO!N$15,ROW(D373)-ROW(D$15),0)</f>
        <v>Serviço</v>
      </c>
      <c r="E373" s="119" t="str">
        <f ca="1">OFFSET(ORÇAMENTO!O$15,ROW(E373)-ROW(E$15),0)</f>
        <v>-</v>
      </c>
      <c r="F373" s="172" t="str">
        <f ca="1">OFFSET(ORÇAMENTO!R$15,ROW(F373)-ROW(F$15),0)</f>
        <v>(abra o arquivo 'Referência 06-2024.xlsm)</v>
      </c>
      <c r="G373" s="173" t="str">
        <f ca="1">IF($D373&lt;&gt;"Serviço","",OFFSET(ORÇAMENTO!S$15,ROW(G373)-ROW(G$15),0))</f>
        <v>-</v>
      </c>
      <c r="H373" s="124">
        <f ca="1">IF($D373&lt;&gt;"Serviço",0,IF(ACOMPANHAMENTO="BM",ROUND(OFFSET(ORÇAMENTO!AJ$15,ROW(H373)-ROW(H$15),0),15-13*ORÇAMENTO!$AF$7),SUMPRODUCT(($Q$12:$AI$12&lt;&gt;"")*ROUND($Q373:$AI373,15-13*ORÇAMENTO!$AF$7))))</f>
        <v>6</v>
      </c>
      <c r="I373" s="561" t="s">
        <v>1107</v>
      </c>
      <c r="K373" s="174"/>
      <c r="L373" s="175" t="s">
        <v>255</v>
      </c>
      <c r="M373" s="176">
        <f ca="1">IF($D373&lt;&gt;"Serviço","",IF(AUTOEVENTO="manual",$A373,IF(ISERROR(MATCH($A373,$A$15:OFFSET($A373,-1,0),0)),MAX($M$15:OFFSET(M373,-1,0))+1,INDEX($M$15:OFFSET(M373,-1,0),MATCH($A373,$A$15:OFFSET($A373,-1,0),0)))))</f>
        <v>44</v>
      </c>
      <c r="N373" s="177" t="str">
        <f ca="1">IF($D373&lt;&gt;"Serviço","",IF(AUTOEVENTO="Manual",IF($A373=0,"&lt;-- defina o número do agrupador",OFFSET(EVENTOS!$D$14,$A373,0)),OFFSET($F$15,$A373,0)))</f>
        <v>LOUÇAS, ACESSÓRIOS E METAIS</v>
      </c>
      <c r="O373" s="178"/>
      <c r="Q373" s="178">
        <v>6</v>
      </c>
      <c r="R373" s="179"/>
      <c r="S373" s="179"/>
      <c r="T373" s="179"/>
      <c r="U373" s="179"/>
      <c r="V373" s="179"/>
      <c r="W373" s="179"/>
      <c r="X373" s="179"/>
      <c r="Y373" s="179"/>
      <c r="Z373" s="180"/>
      <c r="AA373" s="179"/>
      <c r="AB373" s="179"/>
      <c r="AC373" s="179"/>
      <c r="AD373" s="179"/>
      <c r="AE373" s="179"/>
      <c r="AF373" s="179"/>
      <c r="AG373" s="179"/>
      <c r="AH373" s="180"/>
      <c r="AJ373" s="544">
        <f ca="1">IF(AND($D373="Serviço",AJ$12&lt;&gt;0,$H373&gt;0,OR(AUTOEVENTO&lt;&gt;"manual",$M373&lt;&gt;1)),
IF(Import.TipoArredondamento&lt;&gt;"TransfereGOV",
ROUND(OFFSET($P373,0,AJ$13),15-13*ORÇAMENTO!$AF$7)/$H373*OFFSET(ORÇAMENTO!$X$15,ROW(AJ373)-ROW(AJ$15),0),
ROUND(ROUND(OFFSET($P373,0,AJ$13),15-13*ORÇAMENTO!$AF$7)*OFFSET(ORÇAMENTO!$W$15,ROW(AJ373)-ROW(AJ$15),0),15-13*ORÇAMENTO!$AF$11)),0)</f>
        <v>0</v>
      </c>
      <c r="AK373" s="545">
        <f ca="1">IF(AND($D373="Serviço",AK$12&lt;&gt;0,$H373&gt;0,OR(AUTOEVENTO&lt;&gt;"manual",$M373&lt;&gt;1)),
IF(Import.TipoArredondamento&lt;&gt;"TransfereGOV",
ROUND(OFFSET($P373,0,AK$13),15-13*ORÇAMENTO!$AF$7)/$H373*OFFSET(ORÇAMENTO!$X$15,ROW(AK373)-ROW(AK$15),0),
ROUND(ROUND(OFFSET($P373,0,AK$13),15-13*ORÇAMENTO!$AF$7)*OFFSET(ORÇAMENTO!$W$15,ROW(AK373)-ROW(AK$15),0),15-13*ORÇAMENTO!$AF$11)),0)</f>
        <v>0</v>
      </c>
      <c r="AL373" s="545">
        <f ca="1">IF(AND($D373="Serviço",AL$12&lt;&gt;0,$H373&gt;0,OR(AUTOEVENTO&lt;&gt;"manual",$M373&lt;&gt;1)),
IF(Import.TipoArredondamento&lt;&gt;"TransfereGOV",
ROUND(OFFSET($P373,0,AL$13),15-13*ORÇAMENTO!$AF$7)/$H373*OFFSET(ORÇAMENTO!$X$15,ROW(AL373)-ROW(AL$15),0),
ROUND(ROUND(OFFSET($P373,0,AL$13),15-13*ORÇAMENTO!$AF$7)*OFFSET(ORÇAMENTO!$W$15,ROW(AL373)-ROW(AL$15),0),15-13*ORÇAMENTO!$AF$11)),0)</f>
        <v>0</v>
      </c>
      <c r="AM373" s="545">
        <f ca="1">IF(AND($D373="Serviço",AM$12&lt;&gt;0,$H373&gt;0,OR(AUTOEVENTO&lt;&gt;"manual",$M373&lt;&gt;1)),
IF(Import.TipoArredondamento&lt;&gt;"TransfereGOV",
ROUND(OFFSET($P373,0,AM$13),15-13*ORÇAMENTO!$AF$7)/$H373*OFFSET(ORÇAMENTO!$X$15,ROW(AM373)-ROW(AM$15),0),
ROUND(ROUND(OFFSET($P373,0,AM$13),15-13*ORÇAMENTO!$AF$7)*OFFSET(ORÇAMENTO!$W$15,ROW(AM373)-ROW(AM$15),0),15-13*ORÇAMENTO!$AF$11)),0)</f>
        <v>0</v>
      </c>
      <c r="AN373" s="545">
        <f ca="1">IF(AND($D373="Serviço",AN$12&lt;&gt;0,$H373&gt;0,OR(AUTOEVENTO&lt;&gt;"manual",$M373&lt;&gt;1)),
IF(Import.TipoArredondamento&lt;&gt;"TransfereGOV",
ROUND(OFFSET($P373,0,AN$13),15-13*ORÇAMENTO!$AF$7)/$H373*OFFSET(ORÇAMENTO!$X$15,ROW(AN373)-ROW(AN$15),0),
ROUND(ROUND(OFFSET($P373,0,AN$13),15-13*ORÇAMENTO!$AF$7)*OFFSET(ORÇAMENTO!$W$15,ROW(AN373)-ROW(AN$15),0),15-13*ORÇAMENTO!$AF$11)),0)</f>
        <v>0</v>
      </c>
      <c r="AO373" s="545">
        <f ca="1">IF(AND($D373="Serviço",AO$12&lt;&gt;0,$H373&gt;0,OR(AUTOEVENTO&lt;&gt;"manual",$M373&lt;&gt;1)),
IF(Import.TipoArredondamento&lt;&gt;"TransfereGOV",
ROUND(OFFSET($P373,0,AO$13),15-13*ORÇAMENTO!$AF$7)/$H373*OFFSET(ORÇAMENTO!$X$15,ROW(AO373)-ROW(AO$15),0),
ROUND(ROUND(OFFSET($P373,0,AO$13),15-13*ORÇAMENTO!$AF$7)*OFFSET(ORÇAMENTO!$W$15,ROW(AO373)-ROW(AO$15),0),15-13*ORÇAMENTO!$AF$11)),0)</f>
        <v>0</v>
      </c>
      <c r="AP373" s="545">
        <f ca="1">IF(AND($D373="Serviço",AP$12&lt;&gt;0,$H373&gt;0,OR(AUTOEVENTO&lt;&gt;"manual",$M373&lt;&gt;1)),
IF(Import.TipoArredondamento&lt;&gt;"TransfereGOV",
ROUND(OFFSET($P373,0,AP$13),15-13*ORÇAMENTO!$AF$7)/$H373*OFFSET(ORÇAMENTO!$X$15,ROW(AP373)-ROW(AP$15),0),
ROUND(ROUND(OFFSET($P373,0,AP$13),15-13*ORÇAMENTO!$AF$7)*OFFSET(ORÇAMENTO!$W$15,ROW(AP373)-ROW(AP$15),0),15-13*ORÇAMENTO!$AF$11)),0)</f>
        <v>0</v>
      </c>
      <c r="AQ373" s="545">
        <f ca="1">IF(AND($D373="Serviço",AQ$12&lt;&gt;0,$H373&gt;0,OR(AUTOEVENTO&lt;&gt;"manual",$M373&lt;&gt;1)),
IF(Import.TipoArredondamento&lt;&gt;"TransfereGOV",
ROUND(OFFSET($P373,0,AQ$13),15-13*ORÇAMENTO!$AF$7)/$H373*OFFSET(ORÇAMENTO!$X$15,ROW(AQ373)-ROW(AQ$15),0),
ROUND(ROUND(OFFSET($P373,0,AQ$13),15-13*ORÇAMENTO!$AF$7)*OFFSET(ORÇAMENTO!$W$15,ROW(AQ373)-ROW(AQ$15),0),15-13*ORÇAMENTO!$AF$11)),0)</f>
        <v>0</v>
      </c>
      <c r="AR373" s="545">
        <f ca="1">IF(AND($D373="Serviço",AR$12&lt;&gt;0,$H373&gt;0,OR(AUTOEVENTO&lt;&gt;"manual",$M373&lt;&gt;1)),
IF(Import.TipoArredondamento&lt;&gt;"TransfereGOV",
ROUND(OFFSET($P373,0,AR$13),15-13*ORÇAMENTO!$AF$7)/$H373*OFFSET(ORÇAMENTO!$X$15,ROW(AR373)-ROW(AR$15),0),
ROUND(ROUND(OFFSET($P373,0,AR$13),15-13*ORÇAMENTO!$AF$7)*OFFSET(ORÇAMENTO!$W$15,ROW(AR373)-ROW(AR$15),0),15-13*ORÇAMENTO!$AF$11)),0)</f>
        <v>0</v>
      </c>
      <c r="AS373" s="546">
        <f ca="1">IF(AND($D373="Serviço",AS$12&lt;&gt;0,$H373&gt;0,OR(AUTOEVENTO&lt;&gt;"manual",$M373&lt;&gt;1)),
IF(Import.TipoArredondamento&lt;&gt;"TransfereGOV",
ROUND(OFFSET($P373,0,AS$13),15-13*ORÇAMENTO!$AF$7)/$H373*OFFSET(ORÇAMENTO!$X$15,ROW(AS373)-ROW(AS$15),0),
ROUND(ROUND(OFFSET($P373,0,AS$13),15-13*ORÇAMENTO!$AF$7)*OFFSET(ORÇAMENTO!$W$15,ROW(AS373)-ROW(AS$15),0),15-13*ORÇAMENTO!$AF$11)),0)</f>
        <v>0</v>
      </c>
      <c r="AT373" s="545">
        <f ca="1">IF(AND($D373="Serviço",AT$12&lt;&gt;0,$H373&gt;0,OR(AUTOEVENTO&lt;&gt;"manual",$M373&lt;&gt;1)),
IF(Import.TipoArredondamento&lt;&gt;"TransfereGOV",
ROUND(OFFSET($P373,0,AT$13),15-13*ORÇAMENTO!$AF$7)/$H373*OFFSET(ORÇAMENTO!$X$15,ROW(AT373)-ROW(AT$15),0),
ROUND(ROUND(OFFSET($P373,0,AT$13),15-13*ORÇAMENTO!$AF$7)*OFFSET(ORÇAMENTO!$W$15,ROW(AT373)-ROW(AT$15),0),15-13*ORÇAMENTO!$AF$11)),0)</f>
        <v>0</v>
      </c>
      <c r="AU373" s="545">
        <f ca="1">IF(AND($D373="Serviço",AU$12&lt;&gt;0,$H373&gt;0,OR(AUTOEVENTO&lt;&gt;"manual",$M373&lt;&gt;1)),
IF(Import.TipoArredondamento&lt;&gt;"TransfereGOV",
ROUND(OFFSET($P373,0,AU$13),15-13*ORÇAMENTO!$AF$7)/$H373*OFFSET(ORÇAMENTO!$X$15,ROW(AU373)-ROW(AU$15),0),
ROUND(ROUND(OFFSET($P373,0,AU$13),15-13*ORÇAMENTO!$AF$7)*OFFSET(ORÇAMENTO!$W$15,ROW(AU373)-ROW(AU$15),0),15-13*ORÇAMENTO!$AF$11)),0)</f>
        <v>0</v>
      </c>
      <c r="AV373" s="545">
        <f ca="1">IF(AND($D373="Serviço",AV$12&lt;&gt;0,$H373&gt;0,OR(AUTOEVENTO&lt;&gt;"manual",$M373&lt;&gt;1)),
IF(Import.TipoArredondamento&lt;&gt;"TransfereGOV",
ROUND(OFFSET($P373,0,AV$13),15-13*ORÇAMENTO!$AF$7)/$H373*OFFSET(ORÇAMENTO!$X$15,ROW(AV373)-ROW(AV$15),0),
ROUND(ROUND(OFFSET($P373,0,AV$13),15-13*ORÇAMENTO!$AF$7)*OFFSET(ORÇAMENTO!$W$15,ROW(AV373)-ROW(AV$15),0),15-13*ORÇAMENTO!$AF$11)),0)</f>
        <v>0</v>
      </c>
      <c r="AW373" s="545">
        <f ca="1">IF(AND($D373="Serviço",AW$12&lt;&gt;0,$H373&gt;0,OR(AUTOEVENTO&lt;&gt;"manual",$M373&lt;&gt;1)),
IF(Import.TipoArredondamento&lt;&gt;"TransfereGOV",
ROUND(OFFSET($P373,0,AW$13),15-13*ORÇAMENTO!$AF$7)/$H373*OFFSET(ORÇAMENTO!$X$15,ROW(AW373)-ROW(AW$15),0),
ROUND(ROUND(OFFSET($P373,0,AW$13),15-13*ORÇAMENTO!$AF$7)*OFFSET(ORÇAMENTO!$W$15,ROW(AW373)-ROW(AW$15),0),15-13*ORÇAMENTO!$AF$11)),0)</f>
        <v>0</v>
      </c>
      <c r="AX373" s="545">
        <f ca="1">IF(AND($D373="Serviço",AX$12&lt;&gt;0,$H373&gt;0,OR(AUTOEVENTO&lt;&gt;"manual",$M373&lt;&gt;1)),
IF(Import.TipoArredondamento&lt;&gt;"TransfereGOV",
ROUND(OFFSET($P373,0,AX$13),15-13*ORÇAMENTO!$AF$7)/$H373*OFFSET(ORÇAMENTO!$X$15,ROW(AX373)-ROW(AX$15),0),
ROUND(ROUND(OFFSET($P373,0,AX$13),15-13*ORÇAMENTO!$AF$7)*OFFSET(ORÇAMENTO!$W$15,ROW(AX373)-ROW(AX$15),0),15-13*ORÇAMENTO!$AF$11)),0)</f>
        <v>0</v>
      </c>
      <c r="AY373" s="545">
        <f ca="1">IF(AND($D373="Serviço",AY$12&lt;&gt;0,$H373&gt;0,OR(AUTOEVENTO&lt;&gt;"manual",$M373&lt;&gt;1)),
IF(Import.TipoArredondamento&lt;&gt;"TransfereGOV",
ROUND(OFFSET($P373,0,AY$13),15-13*ORÇAMENTO!$AF$7)/$H373*OFFSET(ORÇAMENTO!$X$15,ROW(AY373)-ROW(AY$15),0),
ROUND(ROUND(OFFSET($P373,0,AY$13),15-13*ORÇAMENTO!$AF$7)*OFFSET(ORÇAMENTO!$W$15,ROW(AY373)-ROW(AY$15),0),15-13*ORÇAMENTO!$AF$11)),0)</f>
        <v>0</v>
      </c>
      <c r="AZ373" s="545">
        <f ca="1">IF(AND($D373="Serviço",AZ$12&lt;&gt;0,$H373&gt;0,OR(AUTOEVENTO&lt;&gt;"manual",$M373&lt;&gt;1)),
IF(Import.TipoArredondamento&lt;&gt;"TransfereGOV",
ROUND(OFFSET($P373,0,AZ$13),15-13*ORÇAMENTO!$AF$7)/$H373*OFFSET(ORÇAMENTO!$X$15,ROW(AZ373)-ROW(AZ$15),0),
ROUND(ROUND(OFFSET($P373,0,AZ$13),15-13*ORÇAMENTO!$AF$7)*OFFSET(ORÇAMENTO!$W$15,ROW(AZ373)-ROW(AZ$15),0),15-13*ORÇAMENTO!$AF$11)),0)</f>
        <v>0</v>
      </c>
      <c r="BA373" s="546">
        <f ca="1">IF(AND($D373="Serviço",BA$12&lt;&gt;0,$H373&gt;0,OR(AUTOEVENTO&lt;&gt;"manual",$M373&lt;&gt;1)),
IF(Import.TipoArredondamento&lt;&gt;"TransfereGOV",
ROUND(OFFSET($P373,0,BA$13),15-13*ORÇAMENTO!$AF$7)/$H373*OFFSET(ORÇAMENTO!$X$15,ROW(BA373)-ROW(BA$15),0),
ROUND(ROUND(OFFSET($P373,0,BA$13),15-13*ORÇAMENTO!$AF$7)*OFFSET(ORÇAMENTO!$W$15,ROW(BA373)-ROW(BA$15),0),15-13*ORÇAMENTO!$AF$11)),0)</f>
        <v>0</v>
      </c>
      <c r="BC373" s="181">
        <f ca="1">IF($D373&lt;&gt;"Serviço",0,IF(AND(AUTOEVENTO="Manual",$M373=1),0,IF(OFFSET(CRONOPLE!$F$14,$M373,BC$13)="",10^12,OFFSET(CRONOPLE!$F$14,$M373,BC$13))))</f>
        <v>10</v>
      </c>
      <c r="BD373" s="181">
        <f ca="1">IF($D373&lt;&gt;"Serviço",0,IF(AND(AUTOEVENTO="Manual",$M373=1),0,IF(OFFSET(CRONOPLE!$F$14,$M373,BD$13)="",10^12,OFFSET(CRONOPLE!$F$14,$M373,BD$13))))</f>
        <v>1000000000000</v>
      </c>
      <c r="BE373" s="181">
        <f ca="1">IF($D373&lt;&gt;"Serviço",0,IF(AND(AUTOEVENTO="Manual",$M373=1),0,IF(OFFSET(CRONOPLE!$F$14,$M373,BE$13)="",10^12,OFFSET(CRONOPLE!$F$14,$M373,BE$13))))</f>
        <v>1000000000000</v>
      </c>
      <c r="BF373" s="181">
        <f ca="1">IF($D373&lt;&gt;"Serviço",0,IF(AND(AUTOEVENTO="Manual",$M373=1),0,IF(OFFSET(CRONOPLE!$F$14,$M373,BF$13)="",10^12,OFFSET(CRONOPLE!$F$14,$M373,BF$13))))</f>
        <v>1000000000000</v>
      </c>
      <c r="BG373" s="181">
        <f ca="1">IF($D373&lt;&gt;"Serviço",0,IF(AND(AUTOEVENTO="Manual",$M373=1),0,IF(OFFSET(CRONOPLE!$F$14,$M373,BG$13)="",10^12,OFFSET(CRONOPLE!$F$14,$M373,BG$13))))</f>
        <v>1000000000000</v>
      </c>
      <c r="BH373" s="181">
        <f ca="1">IF($D373&lt;&gt;"Serviço",0,IF(AND(AUTOEVENTO="Manual",$M373=1),0,IF(OFFSET(CRONOPLE!$F$14,$M373,BH$13)="",10^12,OFFSET(CRONOPLE!$F$14,$M373,BH$13))))</f>
        <v>1000000000000</v>
      </c>
      <c r="BI373" s="181">
        <f ca="1">IF($D373&lt;&gt;"Serviço",0,IF(AND(AUTOEVENTO="Manual",$M373=1),0,IF(OFFSET(CRONOPLE!$F$14,$M373,BI$13)="",10^12,OFFSET(CRONOPLE!$F$14,$M373,BI$13))))</f>
        <v>1000000000000</v>
      </c>
      <c r="BJ373" s="181">
        <f ca="1">IF($D373&lt;&gt;"Serviço",0,IF(AND(AUTOEVENTO="Manual",$M373=1),0,IF(OFFSET(CRONOPLE!$F$14,$M373,BJ$13)="",10^12,OFFSET(CRONOPLE!$F$14,$M373,BJ$13))))</f>
        <v>1000000000000</v>
      </c>
      <c r="BK373" s="181">
        <f ca="1">IF($D373&lt;&gt;"Serviço",0,IF(AND(AUTOEVENTO="Manual",$M373=1),0,IF(OFFSET(CRONOPLE!$F$14,$M373,BK$13)="",10^12,OFFSET(CRONOPLE!$F$14,$M373,BK$13))))</f>
        <v>1000000000000</v>
      </c>
      <c r="BL373" s="181">
        <f ca="1">IF($D373&lt;&gt;"Serviço",0,IF(AND(AUTOEVENTO="Manual",$M373=1),0,IF(OFFSET(CRONOPLE!$F$14,$M373,BL$13)="",10^12,OFFSET(CRONOPLE!$F$14,$M373,BL$13))))</f>
        <v>1000000000000</v>
      </c>
      <c r="BM373" s="181">
        <f ca="1">IF($D373&lt;&gt;"Serviço",0,IF(AND(AUTOEVENTO="Manual",$M373=1),0,IF(OFFSET(CRONOPLE!$F$14,$M373,BM$13)="",10^12,OFFSET(CRONOPLE!$F$14,$M373,BM$13))))</f>
        <v>1000000000000</v>
      </c>
      <c r="BN373" s="181">
        <f ca="1">IF($D373&lt;&gt;"Serviço",0,IF(AND(AUTOEVENTO="Manual",$M373=1),0,IF(OFFSET(CRONOPLE!$F$14,$M373,BN$13)="",10^12,OFFSET(CRONOPLE!$F$14,$M373,BN$13))))</f>
        <v>1000000000000</v>
      </c>
      <c r="BO373" s="181">
        <f ca="1">IF($D373&lt;&gt;"Serviço",0,IF(AND(AUTOEVENTO="Manual",$M373=1),0,IF(OFFSET(CRONOPLE!$F$14,$M373,BO$13)="",10^12,OFFSET(CRONOPLE!$F$14,$M373,BO$13))))</f>
        <v>1000000000000</v>
      </c>
      <c r="BP373" s="181">
        <f ca="1">IF($D373&lt;&gt;"Serviço",0,IF(AND(AUTOEVENTO="Manual",$M373=1),0,IF(OFFSET(CRONOPLE!$F$14,$M373,BP$13)="",10^12,OFFSET(CRONOPLE!$F$14,$M373,BP$13))))</f>
        <v>1000000000000</v>
      </c>
      <c r="BQ373" s="181">
        <f ca="1">IF($D373&lt;&gt;"Serviço",0,IF(AND(AUTOEVENTO="Manual",$M373=1),0,IF(OFFSET(CRONOPLE!$F$14,$M373,BQ$13)="",10^12,OFFSET(CRONOPLE!$F$14,$M373,BQ$13))))</f>
        <v>1000000000000</v>
      </c>
      <c r="BR373" s="181">
        <f ca="1">IF($D373&lt;&gt;"Serviço",0,IF(AND(AUTOEVENTO="Manual",$M373=1),0,IF(OFFSET(CRONOPLE!$F$14,$M373,BR$13)="",10^12,OFFSET(CRONOPLE!$F$14,$M373,BR$13))))</f>
        <v>1000000000000</v>
      </c>
      <c r="BS373" s="181">
        <f ca="1">IF($D373&lt;&gt;"Serviço",0,IF(AND(AUTOEVENTO="Manual",$M373=1),0,IF(OFFSET(CRONOPLE!$F$14,$M373,BS$13)="",10^12,OFFSET(CRONOPLE!$F$14,$M373,BS$13))))</f>
        <v>1000000000000</v>
      </c>
      <c r="BT373" s="181">
        <f ca="1">IF($D373&lt;&gt;"Serviço",0,IF(AND(AUTOEVENTO="Manual",$M373=1),0,IF(OFFSET(CRONOPLE!$F$14,$M373,BT$13)="",10^12,OFFSET(CRONOPLE!$F$14,$M373,BT$13))))</f>
        <v>1000000000000</v>
      </c>
      <c r="BV373" s="182">
        <f ca="1">IF($D373&lt;&gt;"Serviço",0,IF(OR(AND(AUTOEVENTO="Manual",$M373=1),$M373&gt;(ROW(PLE.lastrow)-ROW(PLE.firstrow))),0,IF(OFFSET(PLE!$G$14,$M373,BV$13)="",10^12,OFFSET(PLE!$G$14,$M373,BV$13))))</f>
        <v>1000000000000</v>
      </c>
      <c r="BW373" s="182">
        <f ca="1">IF($D373&lt;&gt;"Serviço",0,IF(OR(AND(AUTOEVENTO="Manual",$M373=1),$M373&gt;(ROW(PLE.lastrow)-ROW(PLE.firstrow))),0,IF(OFFSET(PLE!$G$14,$M373,BW$13)="",10^12,OFFSET(PLE!$G$14,$M373,BW$13))))</f>
        <v>1000000000000</v>
      </c>
      <c r="BX373" s="182">
        <f ca="1">IF($D373&lt;&gt;"Serviço",0,IF(OR(AND(AUTOEVENTO="Manual",$M373=1),$M373&gt;(ROW(PLE.lastrow)-ROW(PLE.firstrow))),0,IF(OFFSET(PLE!$G$14,$M373,BX$13)="",10^12,OFFSET(PLE!$G$14,$M373,BX$13))))</f>
        <v>1000000000000</v>
      </c>
      <c r="BY373" s="182">
        <f ca="1">IF($D373&lt;&gt;"Serviço",0,IF(OR(AND(AUTOEVENTO="Manual",$M373=1),$M373&gt;(ROW(PLE.lastrow)-ROW(PLE.firstrow))),0,IF(OFFSET(PLE!$G$14,$M373,BY$13)="",10^12,OFFSET(PLE!$G$14,$M373,BY$13))))</f>
        <v>1000000000000</v>
      </c>
      <c r="BZ373" s="182">
        <f ca="1">IF($D373&lt;&gt;"Serviço",0,IF(OR(AND(AUTOEVENTO="Manual",$M373=1),$M373&gt;(ROW(PLE.lastrow)-ROW(PLE.firstrow))),0,IF(OFFSET(PLE!$G$14,$M373,BZ$13)="",10^12,OFFSET(PLE!$G$14,$M373,BZ$13))))</f>
        <v>1000000000000</v>
      </c>
      <c r="CA373" s="182">
        <f ca="1">IF($D373&lt;&gt;"Serviço",0,IF(OR(AND(AUTOEVENTO="Manual",$M373=1),$M373&gt;(ROW(PLE.lastrow)-ROW(PLE.firstrow))),0,IF(OFFSET(PLE!$G$14,$M373,CA$13)="",10^12,OFFSET(PLE!$G$14,$M373,CA$13))))</f>
        <v>1000000000000</v>
      </c>
      <c r="CB373" s="182">
        <f ca="1">IF($D373&lt;&gt;"Serviço",0,IF(OR(AND(AUTOEVENTO="Manual",$M373=1),$M373&gt;(ROW(PLE.lastrow)-ROW(PLE.firstrow))),0,IF(OFFSET(PLE!$G$14,$M373,CB$13)="",10^12,OFFSET(PLE!$G$14,$M373,CB$13))))</f>
        <v>1000000000000</v>
      </c>
      <c r="CC373" s="182">
        <f ca="1">IF($D373&lt;&gt;"Serviço",0,IF(OR(AND(AUTOEVENTO="Manual",$M373=1),$M373&gt;(ROW(PLE.lastrow)-ROW(PLE.firstrow))),0,IF(OFFSET(PLE!$G$14,$M373,CC$13)="",10^12,OFFSET(PLE!$G$14,$M373,CC$13))))</f>
        <v>1000000000000</v>
      </c>
      <c r="CD373" s="182">
        <f ca="1">IF($D373&lt;&gt;"Serviço",0,IF(OR(AND(AUTOEVENTO="Manual",$M373=1),$M373&gt;(ROW(PLE.lastrow)-ROW(PLE.firstrow))),0,IF(OFFSET(PLE!$G$14,$M373,CD$13)="",10^12,OFFSET(PLE!$G$14,$M373,CD$13))))</f>
        <v>1000000000000</v>
      </c>
      <c r="CE373" s="182">
        <f ca="1">IF($D373&lt;&gt;"Serviço",0,IF(OR(AND(AUTOEVENTO="Manual",$M373=1),$M373&gt;(ROW(PLE.lastrow)-ROW(PLE.firstrow))),0,IF(OFFSET(PLE!$G$14,$M373,CE$13)="",10^12,OFFSET(PLE!$G$14,$M373,CE$13))))</f>
        <v>1000000000000</v>
      </c>
      <c r="CF373" s="182">
        <f ca="1">IF($D373&lt;&gt;"Serviço",0,IF(OR(AND(AUTOEVENTO="Manual",$M373=1),$M373&gt;(ROW(PLE.lastrow)-ROW(PLE.firstrow))),0,IF(OFFSET(PLE!$G$14,$M373,CF$13)="",10^12,OFFSET(PLE!$G$14,$M373,CF$13))))</f>
        <v>1000000000000</v>
      </c>
      <c r="CG373" s="182">
        <f ca="1">IF($D373&lt;&gt;"Serviço",0,IF(OR(AND(AUTOEVENTO="Manual",$M373=1),$M373&gt;(ROW(PLE.lastrow)-ROW(PLE.firstrow))),0,IF(OFFSET(PLE!$G$14,$M373,CG$13)="",10^12,OFFSET(PLE!$G$14,$M373,CG$13))))</f>
        <v>1000000000000</v>
      </c>
      <c r="CH373" s="182">
        <f ca="1">IF($D373&lt;&gt;"Serviço",0,IF(OR(AND(AUTOEVENTO="Manual",$M373=1),$M373&gt;(ROW(PLE.lastrow)-ROW(PLE.firstrow))),0,IF(OFFSET(PLE!$G$14,$M373,CH$13)="",10^12,OFFSET(PLE!$G$14,$M373,CH$13))))</f>
        <v>1000000000000</v>
      </c>
      <c r="CI373" s="182">
        <f ca="1">IF($D373&lt;&gt;"Serviço",0,IF(OR(AND(AUTOEVENTO="Manual",$M373=1),$M373&gt;(ROW(PLE.lastrow)-ROW(PLE.firstrow))),0,IF(OFFSET(PLE!$G$14,$M373,CI$13)="",10^12,OFFSET(PLE!$G$14,$M373,CI$13))))</f>
        <v>1000000000000</v>
      </c>
      <c r="CJ373" s="182">
        <f ca="1">IF($D373&lt;&gt;"Serviço",0,IF(OR(AND(AUTOEVENTO="Manual",$M373=1),$M373&gt;(ROW(PLE.lastrow)-ROW(PLE.firstrow))),0,IF(OFFSET(PLE!$G$14,$M373,CJ$13)="",10^12,OFFSET(PLE!$G$14,$M373,CJ$13))))</f>
        <v>1000000000000</v>
      </c>
      <c r="CK373" s="182">
        <f ca="1">IF($D373&lt;&gt;"Serviço",0,IF(OR(AND(AUTOEVENTO="Manual",$M373=1),$M373&gt;(ROW(PLE.lastrow)-ROW(PLE.firstrow))),0,IF(OFFSET(PLE!$G$14,$M373,CK$13)="",10^12,OFFSET(PLE!$G$14,$M373,CK$13))))</f>
        <v>1000000000000</v>
      </c>
      <c r="CL373" s="182">
        <f ca="1">IF($D373&lt;&gt;"Serviço",0,IF(OR(AND(AUTOEVENTO="Manual",$M373=1),$M373&gt;(ROW(PLE.lastrow)-ROW(PLE.firstrow))),0,IF(OFFSET(PLE!$G$14,$M373,CL$13)="",10^12,OFFSET(PLE!$G$14,$M373,CL$13))))</f>
        <v>1000000000000</v>
      </c>
      <c r="CM373" s="182">
        <f ca="1">IF($D373&lt;&gt;"Serviço",0,IF(OR(AND(AUTOEVENTO="Manual",$M373=1),$M373&gt;(ROW(PLE.lastrow)-ROW(PLE.firstrow))),0,IF(OFFSET(PLE!$G$14,$M373,CM$13)="",10^12,OFFSET(PLE!$G$14,$M373,CM$13))))</f>
        <v>1000000000000</v>
      </c>
    </row>
    <row r="374" spans="1:91" ht="25.5" x14ac:dyDescent="0.2">
      <c r="A374" s="7" t="str">
        <f t="shared" ca="1" si="12"/>
        <v>350</v>
      </c>
      <c r="B374" s="7" t="str">
        <f ca="1">OFFSET(ORÇAMENTO!C$15,ROW(B374)-ROW(B$15),0)</f>
        <v>S</v>
      </c>
      <c r="C374" s="7" t="str">
        <f ca="1">OFFSET(ORÇAMENTO!L$15,ROW(C374)-ROW(C$15),0)</f>
        <v/>
      </c>
      <c r="D374" s="118" t="str">
        <f ca="1">OFFSET(ORÇAMENTO!N$15,ROW(D374)-ROW(D$15),0)</f>
        <v>Serviço</v>
      </c>
      <c r="E374" s="119" t="str">
        <f ca="1">OFFSET(ORÇAMENTO!O$15,ROW(E374)-ROW(E$15),0)</f>
        <v>-</v>
      </c>
      <c r="F374" s="172" t="str">
        <f ca="1">OFFSET(ORÇAMENTO!R$15,ROW(F374)-ROW(F$15),0)</f>
        <v>(abra o arquivo 'Referência 06-2024.xlsm)</v>
      </c>
      <c r="G374" s="173" t="str">
        <f ca="1">IF($D374&lt;&gt;"Serviço","",OFFSET(ORÇAMENTO!S$15,ROW(G374)-ROW(G$15),0))</f>
        <v>-</v>
      </c>
      <c r="H374" s="124">
        <f ca="1">IF($D374&lt;&gt;"Serviço",0,IF(ACOMPANHAMENTO="BM",ROUND(OFFSET(ORÇAMENTO!AJ$15,ROW(H374)-ROW(H$15),0),15-13*ORÇAMENTO!$AF$7),SUMPRODUCT(($Q$12:$AI$12&lt;&gt;"")*ROUND($Q374:$AI374,15-13*ORÇAMENTO!$AF$7))))</f>
        <v>6</v>
      </c>
      <c r="I374" s="561" t="s">
        <v>1107</v>
      </c>
      <c r="K374" s="174"/>
      <c r="L374" s="175" t="s">
        <v>255</v>
      </c>
      <c r="M374" s="176">
        <f ca="1">IF($D374&lt;&gt;"Serviço","",IF(AUTOEVENTO="manual",$A374,IF(ISERROR(MATCH($A374,$A$15:OFFSET($A374,-1,0),0)),MAX($M$15:OFFSET(M374,-1,0))+1,INDEX($M$15:OFFSET(M374,-1,0),MATCH($A374,$A$15:OFFSET($A374,-1,0),0)))))</f>
        <v>44</v>
      </c>
      <c r="N374" s="177" t="str">
        <f ca="1">IF($D374&lt;&gt;"Serviço","",IF(AUTOEVENTO="Manual",IF($A374=0,"&lt;-- defina o número do agrupador",OFFSET(EVENTOS!$D$14,$A374,0)),OFFSET($F$15,$A374,0)))</f>
        <v>LOUÇAS, ACESSÓRIOS E METAIS</v>
      </c>
      <c r="O374" s="178"/>
      <c r="Q374" s="178">
        <v>6</v>
      </c>
      <c r="R374" s="179"/>
      <c r="S374" s="179"/>
      <c r="T374" s="179"/>
      <c r="U374" s="179"/>
      <c r="V374" s="179"/>
      <c r="W374" s="179"/>
      <c r="X374" s="179"/>
      <c r="Y374" s="179"/>
      <c r="Z374" s="180"/>
      <c r="AA374" s="179"/>
      <c r="AB374" s="179"/>
      <c r="AC374" s="179"/>
      <c r="AD374" s="179"/>
      <c r="AE374" s="179"/>
      <c r="AF374" s="179"/>
      <c r="AG374" s="179"/>
      <c r="AH374" s="180"/>
      <c r="AJ374" s="544">
        <f ca="1">IF(AND($D374="Serviço",AJ$12&lt;&gt;0,$H374&gt;0,OR(AUTOEVENTO&lt;&gt;"manual",$M374&lt;&gt;1)),
IF(Import.TipoArredondamento&lt;&gt;"TransfereGOV",
ROUND(OFFSET($P374,0,AJ$13),15-13*ORÇAMENTO!$AF$7)/$H374*OFFSET(ORÇAMENTO!$X$15,ROW(AJ374)-ROW(AJ$15),0),
ROUND(ROUND(OFFSET($P374,0,AJ$13),15-13*ORÇAMENTO!$AF$7)*OFFSET(ORÇAMENTO!$W$15,ROW(AJ374)-ROW(AJ$15),0),15-13*ORÇAMENTO!$AF$11)),0)</f>
        <v>0</v>
      </c>
      <c r="AK374" s="545">
        <f ca="1">IF(AND($D374="Serviço",AK$12&lt;&gt;0,$H374&gt;0,OR(AUTOEVENTO&lt;&gt;"manual",$M374&lt;&gt;1)),
IF(Import.TipoArredondamento&lt;&gt;"TransfereGOV",
ROUND(OFFSET($P374,0,AK$13),15-13*ORÇAMENTO!$AF$7)/$H374*OFFSET(ORÇAMENTO!$X$15,ROW(AK374)-ROW(AK$15),0),
ROUND(ROUND(OFFSET($P374,0,AK$13),15-13*ORÇAMENTO!$AF$7)*OFFSET(ORÇAMENTO!$W$15,ROW(AK374)-ROW(AK$15),0),15-13*ORÇAMENTO!$AF$11)),0)</f>
        <v>0</v>
      </c>
      <c r="AL374" s="545">
        <f ca="1">IF(AND($D374="Serviço",AL$12&lt;&gt;0,$H374&gt;0,OR(AUTOEVENTO&lt;&gt;"manual",$M374&lt;&gt;1)),
IF(Import.TipoArredondamento&lt;&gt;"TransfereGOV",
ROUND(OFFSET($P374,0,AL$13),15-13*ORÇAMENTO!$AF$7)/$H374*OFFSET(ORÇAMENTO!$X$15,ROW(AL374)-ROW(AL$15),0),
ROUND(ROUND(OFFSET($P374,0,AL$13),15-13*ORÇAMENTO!$AF$7)*OFFSET(ORÇAMENTO!$W$15,ROW(AL374)-ROW(AL$15),0),15-13*ORÇAMENTO!$AF$11)),0)</f>
        <v>0</v>
      </c>
      <c r="AM374" s="545">
        <f ca="1">IF(AND($D374="Serviço",AM$12&lt;&gt;0,$H374&gt;0,OR(AUTOEVENTO&lt;&gt;"manual",$M374&lt;&gt;1)),
IF(Import.TipoArredondamento&lt;&gt;"TransfereGOV",
ROUND(OFFSET($P374,0,AM$13),15-13*ORÇAMENTO!$AF$7)/$H374*OFFSET(ORÇAMENTO!$X$15,ROW(AM374)-ROW(AM$15),0),
ROUND(ROUND(OFFSET($P374,0,AM$13),15-13*ORÇAMENTO!$AF$7)*OFFSET(ORÇAMENTO!$W$15,ROW(AM374)-ROW(AM$15),0),15-13*ORÇAMENTO!$AF$11)),0)</f>
        <v>0</v>
      </c>
      <c r="AN374" s="545">
        <f ca="1">IF(AND($D374="Serviço",AN$12&lt;&gt;0,$H374&gt;0,OR(AUTOEVENTO&lt;&gt;"manual",$M374&lt;&gt;1)),
IF(Import.TipoArredondamento&lt;&gt;"TransfereGOV",
ROUND(OFFSET($P374,0,AN$13),15-13*ORÇAMENTO!$AF$7)/$H374*OFFSET(ORÇAMENTO!$X$15,ROW(AN374)-ROW(AN$15),0),
ROUND(ROUND(OFFSET($P374,0,AN$13),15-13*ORÇAMENTO!$AF$7)*OFFSET(ORÇAMENTO!$W$15,ROW(AN374)-ROW(AN$15),0),15-13*ORÇAMENTO!$AF$11)),0)</f>
        <v>0</v>
      </c>
      <c r="AO374" s="545">
        <f ca="1">IF(AND($D374="Serviço",AO$12&lt;&gt;0,$H374&gt;0,OR(AUTOEVENTO&lt;&gt;"manual",$M374&lt;&gt;1)),
IF(Import.TipoArredondamento&lt;&gt;"TransfereGOV",
ROUND(OFFSET($P374,0,AO$13),15-13*ORÇAMENTO!$AF$7)/$H374*OFFSET(ORÇAMENTO!$X$15,ROW(AO374)-ROW(AO$15),0),
ROUND(ROUND(OFFSET($P374,0,AO$13),15-13*ORÇAMENTO!$AF$7)*OFFSET(ORÇAMENTO!$W$15,ROW(AO374)-ROW(AO$15),0),15-13*ORÇAMENTO!$AF$11)),0)</f>
        <v>0</v>
      </c>
      <c r="AP374" s="545">
        <f ca="1">IF(AND($D374="Serviço",AP$12&lt;&gt;0,$H374&gt;0,OR(AUTOEVENTO&lt;&gt;"manual",$M374&lt;&gt;1)),
IF(Import.TipoArredondamento&lt;&gt;"TransfereGOV",
ROUND(OFFSET($P374,0,AP$13),15-13*ORÇAMENTO!$AF$7)/$H374*OFFSET(ORÇAMENTO!$X$15,ROW(AP374)-ROW(AP$15),0),
ROUND(ROUND(OFFSET($P374,0,AP$13),15-13*ORÇAMENTO!$AF$7)*OFFSET(ORÇAMENTO!$W$15,ROW(AP374)-ROW(AP$15),0),15-13*ORÇAMENTO!$AF$11)),0)</f>
        <v>0</v>
      </c>
      <c r="AQ374" s="545">
        <f ca="1">IF(AND($D374="Serviço",AQ$12&lt;&gt;0,$H374&gt;0,OR(AUTOEVENTO&lt;&gt;"manual",$M374&lt;&gt;1)),
IF(Import.TipoArredondamento&lt;&gt;"TransfereGOV",
ROUND(OFFSET($P374,0,AQ$13),15-13*ORÇAMENTO!$AF$7)/$H374*OFFSET(ORÇAMENTO!$X$15,ROW(AQ374)-ROW(AQ$15),0),
ROUND(ROUND(OFFSET($P374,0,AQ$13),15-13*ORÇAMENTO!$AF$7)*OFFSET(ORÇAMENTO!$W$15,ROW(AQ374)-ROW(AQ$15),0),15-13*ORÇAMENTO!$AF$11)),0)</f>
        <v>0</v>
      </c>
      <c r="AR374" s="545">
        <f ca="1">IF(AND($D374="Serviço",AR$12&lt;&gt;0,$H374&gt;0,OR(AUTOEVENTO&lt;&gt;"manual",$M374&lt;&gt;1)),
IF(Import.TipoArredondamento&lt;&gt;"TransfereGOV",
ROUND(OFFSET($P374,0,AR$13),15-13*ORÇAMENTO!$AF$7)/$H374*OFFSET(ORÇAMENTO!$X$15,ROW(AR374)-ROW(AR$15),0),
ROUND(ROUND(OFFSET($P374,0,AR$13),15-13*ORÇAMENTO!$AF$7)*OFFSET(ORÇAMENTO!$W$15,ROW(AR374)-ROW(AR$15),0),15-13*ORÇAMENTO!$AF$11)),0)</f>
        <v>0</v>
      </c>
      <c r="AS374" s="546">
        <f ca="1">IF(AND($D374="Serviço",AS$12&lt;&gt;0,$H374&gt;0,OR(AUTOEVENTO&lt;&gt;"manual",$M374&lt;&gt;1)),
IF(Import.TipoArredondamento&lt;&gt;"TransfereGOV",
ROUND(OFFSET($P374,0,AS$13),15-13*ORÇAMENTO!$AF$7)/$H374*OFFSET(ORÇAMENTO!$X$15,ROW(AS374)-ROW(AS$15),0),
ROUND(ROUND(OFFSET($P374,0,AS$13),15-13*ORÇAMENTO!$AF$7)*OFFSET(ORÇAMENTO!$W$15,ROW(AS374)-ROW(AS$15),0),15-13*ORÇAMENTO!$AF$11)),0)</f>
        <v>0</v>
      </c>
      <c r="AT374" s="545">
        <f ca="1">IF(AND($D374="Serviço",AT$12&lt;&gt;0,$H374&gt;0,OR(AUTOEVENTO&lt;&gt;"manual",$M374&lt;&gt;1)),
IF(Import.TipoArredondamento&lt;&gt;"TransfereGOV",
ROUND(OFFSET($P374,0,AT$13),15-13*ORÇAMENTO!$AF$7)/$H374*OFFSET(ORÇAMENTO!$X$15,ROW(AT374)-ROW(AT$15),0),
ROUND(ROUND(OFFSET($P374,0,AT$13),15-13*ORÇAMENTO!$AF$7)*OFFSET(ORÇAMENTO!$W$15,ROW(AT374)-ROW(AT$15),0),15-13*ORÇAMENTO!$AF$11)),0)</f>
        <v>0</v>
      </c>
      <c r="AU374" s="545">
        <f ca="1">IF(AND($D374="Serviço",AU$12&lt;&gt;0,$H374&gt;0,OR(AUTOEVENTO&lt;&gt;"manual",$M374&lt;&gt;1)),
IF(Import.TipoArredondamento&lt;&gt;"TransfereGOV",
ROUND(OFFSET($P374,0,AU$13),15-13*ORÇAMENTO!$AF$7)/$H374*OFFSET(ORÇAMENTO!$X$15,ROW(AU374)-ROW(AU$15),0),
ROUND(ROUND(OFFSET($P374,0,AU$13),15-13*ORÇAMENTO!$AF$7)*OFFSET(ORÇAMENTO!$W$15,ROW(AU374)-ROW(AU$15),0),15-13*ORÇAMENTO!$AF$11)),0)</f>
        <v>0</v>
      </c>
      <c r="AV374" s="545">
        <f ca="1">IF(AND($D374="Serviço",AV$12&lt;&gt;0,$H374&gt;0,OR(AUTOEVENTO&lt;&gt;"manual",$M374&lt;&gt;1)),
IF(Import.TipoArredondamento&lt;&gt;"TransfereGOV",
ROUND(OFFSET($P374,0,AV$13),15-13*ORÇAMENTO!$AF$7)/$H374*OFFSET(ORÇAMENTO!$X$15,ROW(AV374)-ROW(AV$15),0),
ROUND(ROUND(OFFSET($P374,0,AV$13),15-13*ORÇAMENTO!$AF$7)*OFFSET(ORÇAMENTO!$W$15,ROW(AV374)-ROW(AV$15),0),15-13*ORÇAMENTO!$AF$11)),0)</f>
        <v>0</v>
      </c>
      <c r="AW374" s="545">
        <f ca="1">IF(AND($D374="Serviço",AW$12&lt;&gt;0,$H374&gt;0,OR(AUTOEVENTO&lt;&gt;"manual",$M374&lt;&gt;1)),
IF(Import.TipoArredondamento&lt;&gt;"TransfereGOV",
ROUND(OFFSET($P374,0,AW$13),15-13*ORÇAMENTO!$AF$7)/$H374*OFFSET(ORÇAMENTO!$X$15,ROW(AW374)-ROW(AW$15),0),
ROUND(ROUND(OFFSET($P374,0,AW$13),15-13*ORÇAMENTO!$AF$7)*OFFSET(ORÇAMENTO!$W$15,ROW(AW374)-ROW(AW$15),0),15-13*ORÇAMENTO!$AF$11)),0)</f>
        <v>0</v>
      </c>
      <c r="AX374" s="545">
        <f ca="1">IF(AND($D374="Serviço",AX$12&lt;&gt;0,$H374&gt;0,OR(AUTOEVENTO&lt;&gt;"manual",$M374&lt;&gt;1)),
IF(Import.TipoArredondamento&lt;&gt;"TransfereGOV",
ROUND(OFFSET($P374,0,AX$13),15-13*ORÇAMENTO!$AF$7)/$H374*OFFSET(ORÇAMENTO!$X$15,ROW(AX374)-ROW(AX$15),0),
ROUND(ROUND(OFFSET($P374,0,AX$13),15-13*ORÇAMENTO!$AF$7)*OFFSET(ORÇAMENTO!$W$15,ROW(AX374)-ROW(AX$15),0),15-13*ORÇAMENTO!$AF$11)),0)</f>
        <v>0</v>
      </c>
      <c r="AY374" s="545">
        <f ca="1">IF(AND($D374="Serviço",AY$12&lt;&gt;0,$H374&gt;0,OR(AUTOEVENTO&lt;&gt;"manual",$M374&lt;&gt;1)),
IF(Import.TipoArredondamento&lt;&gt;"TransfereGOV",
ROUND(OFFSET($P374,0,AY$13),15-13*ORÇAMENTO!$AF$7)/$H374*OFFSET(ORÇAMENTO!$X$15,ROW(AY374)-ROW(AY$15),0),
ROUND(ROUND(OFFSET($P374,0,AY$13),15-13*ORÇAMENTO!$AF$7)*OFFSET(ORÇAMENTO!$W$15,ROW(AY374)-ROW(AY$15),0),15-13*ORÇAMENTO!$AF$11)),0)</f>
        <v>0</v>
      </c>
      <c r="AZ374" s="545">
        <f ca="1">IF(AND($D374="Serviço",AZ$12&lt;&gt;0,$H374&gt;0,OR(AUTOEVENTO&lt;&gt;"manual",$M374&lt;&gt;1)),
IF(Import.TipoArredondamento&lt;&gt;"TransfereGOV",
ROUND(OFFSET($P374,0,AZ$13),15-13*ORÇAMENTO!$AF$7)/$H374*OFFSET(ORÇAMENTO!$X$15,ROW(AZ374)-ROW(AZ$15),0),
ROUND(ROUND(OFFSET($P374,0,AZ$13),15-13*ORÇAMENTO!$AF$7)*OFFSET(ORÇAMENTO!$W$15,ROW(AZ374)-ROW(AZ$15),0),15-13*ORÇAMENTO!$AF$11)),0)</f>
        <v>0</v>
      </c>
      <c r="BA374" s="546">
        <f ca="1">IF(AND($D374="Serviço",BA$12&lt;&gt;0,$H374&gt;0,OR(AUTOEVENTO&lt;&gt;"manual",$M374&lt;&gt;1)),
IF(Import.TipoArredondamento&lt;&gt;"TransfereGOV",
ROUND(OFFSET($P374,0,BA$13),15-13*ORÇAMENTO!$AF$7)/$H374*OFFSET(ORÇAMENTO!$X$15,ROW(BA374)-ROW(BA$15),0),
ROUND(ROUND(OFFSET($P374,0,BA$13),15-13*ORÇAMENTO!$AF$7)*OFFSET(ORÇAMENTO!$W$15,ROW(BA374)-ROW(BA$15),0),15-13*ORÇAMENTO!$AF$11)),0)</f>
        <v>0</v>
      </c>
      <c r="BC374" s="181">
        <f ca="1">IF($D374&lt;&gt;"Serviço",0,IF(AND(AUTOEVENTO="Manual",$M374=1),0,IF(OFFSET(CRONOPLE!$F$14,$M374,BC$13)="",10^12,OFFSET(CRONOPLE!$F$14,$M374,BC$13))))</f>
        <v>10</v>
      </c>
      <c r="BD374" s="181">
        <f ca="1">IF($D374&lt;&gt;"Serviço",0,IF(AND(AUTOEVENTO="Manual",$M374=1),0,IF(OFFSET(CRONOPLE!$F$14,$M374,BD$13)="",10^12,OFFSET(CRONOPLE!$F$14,$M374,BD$13))))</f>
        <v>1000000000000</v>
      </c>
      <c r="BE374" s="181">
        <f ca="1">IF($D374&lt;&gt;"Serviço",0,IF(AND(AUTOEVENTO="Manual",$M374=1),0,IF(OFFSET(CRONOPLE!$F$14,$M374,BE$13)="",10^12,OFFSET(CRONOPLE!$F$14,$M374,BE$13))))</f>
        <v>1000000000000</v>
      </c>
      <c r="BF374" s="181">
        <f ca="1">IF($D374&lt;&gt;"Serviço",0,IF(AND(AUTOEVENTO="Manual",$M374=1),0,IF(OFFSET(CRONOPLE!$F$14,$M374,BF$13)="",10^12,OFFSET(CRONOPLE!$F$14,$M374,BF$13))))</f>
        <v>1000000000000</v>
      </c>
      <c r="BG374" s="181">
        <f ca="1">IF($D374&lt;&gt;"Serviço",0,IF(AND(AUTOEVENTO="Manual",$M374=1),0,IF(OFFSET(CRONOPLE!$F$14,$M374,BG$13)="",10^12,OFFSET(CRONOPLE!$F$14,$M374,BG$13))))</f>
        <v>1000000000000</v>
      </c>
      <c r="BH374" s="181">
        <f ca="1">IF($D374&lt;&gt;"Serviço",0,IF(AND(AUTOEVENTO="Manual",$M374=1),0,IF(OFFSET(CRONOPLE!$F$14,$M374,BH$13)="",10^12,OFFSET(CRONOPLE!$F$14,$M374,BH$13))))</f>
        <v>1000000000000</v>
      </c>
      <c r="BI374" s="181">
        <f ca="1">IF($D374&lt;&gt;"Serviço",0,IF(AND(AUTOEVENTO="Manual",$M374=1),0,IF(OFFSET(CRONOPLE!$F$14,$M374,BI$13)="",10^12,OFFSET(CRONOPLE!$F$14,$M374,BI$13))))</f>
        <v>1000000000000</v>
      </c>
      <c r="BJ374" s="181">
        <f ca="1">IF($D374&lt;&gt;"Serviço",0,IF(AND(AUTOEVENTO="Manual",$M374=1),0,IF(OFFSET(CRONOPLE!$F$14,$M374,BJ$13)="",10^12,OFFSET(CRONOPLE!$F$14,$M374,BJ$13))))</f>
        <v>1000000000000</v>
      </c>
      <c r="BK374" s="181">
        <f ca="1">IF($D374&lt;&gt;"Serviço",0,IF(AND(AUTOEVENTO="Manual",$M374=1),0,IF(OFFSET(CRONOPLE!$F$14,$M374,BK$13)="",10^12,OFFSET(CRONOPLE!$F$14,$M374,BK$13))))</f>
        <v>1000000000000</v>
      </c>
      <c r="BL374" s="181">
        <f ca="1">IF($D374&lt;&gt;"Serviço",0,IF(AND(AUTOEVENTO="Manual",$M374=1),0,IF(OFFSET(CRONOPLE!$F$14,$M374,BL$13)="",10^12,OFFSET(CRONOPLE!$F$14,$M374,BL$13))))</f>
        <v>1000000000000</v>
      </c>
      <c r="BM374" s="181">
        <f ca="1">IF($D374&lt;&gt;"Serviço",0,IF(AND(AUTOEVENTO="Manual",$M374=1),0,IF(OFFSET(CRONOPLE!$F$14,$M374,BM$13)="",10^12,OFFSET(CRONOPLE!$F$14,$M374,BM$13))))</f>
        <v>1000000000000</v>
      </c>
      <c r="BN374" s="181">
        <f ca="1">IF($D374&lt;&gt;"Serviço",0,IF(AND(AUTOEVENTO="Manual",$M374=1),0,IF(OFFSET(CRONOPLE!$F$14,$M374,BN$13)="",10^12,OFFSET(CRONOPLE!$F$14,$M374,BN$13))))</f>
        <v>1000000000000</v>
      </c>
      <c r="BO374" s="181">
        <f ca="1">IF($D374&lt;&gt;"Serviço",0,IF(AND(AUTOEVENTO="Manual",$M374=1),0,IF(OFFSET(CRONOPLE!$F$14,$M374,BO$13)="",10^12,OFFSET(CRONOPLE!$F$14,$M374,BO$13))))</f>
        <v>1000000000000</v>
      </c>
      <c r="BP374" s="181">
        <f ca="1">IF($D374&lt;&gt;"Serviço",0,IF(AND(AUTOEVENTO="Manual",$M374=1),0,IF(OFFSET(CRONOPLE!$F$14,$M374,BP$13)="",10^12,OFFSET(CRONOPLE!$F$14,$M374,BP$13))))</f>
        <v>1000000000000</v>
      </c>
      <c r="BQ374" s="181">
        <f ca="1">IF($D374&lt;&gt;"Serviço",0,IF(AND(AUTOEVENTO="Manual",$M374=1),0,IF(OFFSET(CRONOPLE!$F$14,$M374,BQ$13)="",10^12,OFFSET(CRONOPLE!$F$14,$M374,BQ$13))))</f>
        <v>1000000000000</v>
      </c>
      <c r="BR374" s="181">
        <f ca="1">IF($D374&lt;&gt;"Serviço",0,IF(AND(AUTOEVENTO="Manual",$M374=1),0,IF(OFFSET(CRONOPLE!$F$14,$M374,BR$13)="",10^12,OFFSET(CRONOPLE!$F$14,$M374,BR$13))))</f>
        <v>1000000000000</v>
      </c>
      <c r="BS374" s="181">
        <f ca="1">IF($D374&lt;&gt;"Serviço",0,IF(AND(AUTOEVENTO="Manual",$M374=1),0,IF(OFFSET(CRONOPLE!$F$14,$M374,BS$13)="",10^12,OFFSET(CRONOPLE!$F$14,$M374,BS$13))))</f>
        <v>1000000000000</v>
      </c>
      <c r="BT374" s="181">
        <f ca="1">IF($D374&lt;&gt;"Serviço",0,IF(AND(AUTOEVENTO="Manual",$M374=1),0,IF(OFFSET(CRONOPLE!$F$14,$M374,BT$13)="",10^12,OFFSET(CRONOPLE!$F$14,$M374,BT$13))))</f>
        <v>1000000000000</v>
      </c>
      <c r="BV374" s="182">
        <f ca="1">IF($D374&lt;&gt;"Serviço",0,IF(OR(AND(AUTOEVENTO="Manual",$M374=1),$M374&gt;(ROW(PLE.lastrow)-ROW(PLE.firstrow))),0,IF(OFFSET(PLE!$G$14,$M374,BV$13)="",10^12,OFFSET(PLE!$G$14,$M374,BV$13))))</f>
        <v>1000000000000</v>
      </c>
      <c r="BW374" s="182">
        <f ca="1">IF($D374&lt;&gt;"Serviço",0,IF(OR(AND(AUTOEVENTO="Manual",$M374=1),$M374&gt;(ROW(PLE.lastrow)-ROW(PLE.firstrow))),0,IF(OFFSET(PLE!$G$14,$M374,BW$13)="",10^12,OFFSET(PLE!$G$14,$M374,BW$13))))</f>
        <v>1000000000000</v>
      </c>
      <c r="BX374" s="182">
        <f ca="1">IF($D374&lt;&gt;"Serviço",0,IF(OR(AND(AUTOEVENTO="Manual",$M374=1),$M374&gt;(ROW(PLE.lastrow)-ROW(PLE.firstrow))),0,IF(OFFSET(PLE!$G$14,$M374,BX$13)="",10^12,OFFSET(PLE!$G$14,$M374,BX$13))))</f>
        <v>1000000000000</v>
      </c>
      <c r="BY374" s="182">
        <f ca="1">IF($D374&lt;&gt;"Serviço",0,IF(OR(AND(AUTOEVENTO="Manual",$M374=1),$M374&gt;(ROW(PLE.lastrow)-ROW(PLE.firstrow))),0,IF(OFFSET(PLE!$G$14,$M374,BY$13)="",10^12,OFFSET(PLE!$G$14,$M374,BY$13))))</f>
        <v>1000000000000</v>
      </c>
      <c r="BZ374" s="182">
        <f ca="1">IF($D374&lt;&gt;"Serviço",0,IF(OR(AND(AUTOEVENTO="Manual",$M374=1),$M374&gt;(ROW(PLE.lastrow)-ROW(PLE.firstrow))),0,IF(OFFSET(PLE!$G$14,$M374,BZ$13)="",10^12,OFFSET(PLE!$G$14,$M374,BZ$13))))</f>
        <v>1000000000000</v>
      </c>
      <c r="CA374" s="182">
        <f ca="1">IF($D374&lt;&gt;"Serviço",0,IF(OR(AND(AUTOEVENTO="Manual",$M374=1),$M374&gt;(ROW(PLE.lastrow)-ROW(PLE.firstrow))),0,IF(OFFSET(PLE!$G$14,$M374,CA$13)="",10^12,OFFSET(PLE!$G$14,$M374,CA$13))))</f>
        <v>1000000000000</v>
      </c>
      <c r="CB374" s="182">
        <f ca="1">IF($D374&lt;&gt;"Serviço",0,IF(OR(AND(AUTOEVENTO="Manual",$M374=1),$M374&gt;(ROW(PLE.lastrow)-ROW(PLE.firstrow))),0,IF(OFFSET(PLE!$G$14,$M374,CB$13)="",10^12,OFFSET(PLE!$G$14,$M374,CB$13))))</f>
        <v>1000000000000</v>
      </c>
      <c r="CC374" s="182">
        <f ca="1">IF($D374&lt;&gt;"Serviço",0,IF(OR(AND(AUTOEVENTO="Manual",$M374=1),$M374&gt;(ROW(PLE.lastrow)-ROW(PLE.firstrow))),0,IF(OFFSET(PLE!$G$14,$M374,CC$13)="",10^12,OFFSET(PLE!$G$14,$M374,CC$13))))</f>
        <v>1000000000000</v>
      </c>
      <c r="CD374" s="182">
        <f ca="1">IF($D374&lt;&gt;"Serviço",0,IF(OR(AND(AUTOEVENTO="Manual",$M374=1),$M374&gt;(ROW(PLE.lastrow)-ROW(PLE.firstrow))),0,IF(OFFSET(PLE!$G$14,$M374,CD$13)="",10^12,OFFSET(PLE!$G$14,$M374,CD$13))))</f>
        <v>1000000000000</v>
      </c>
      <c r="CE374" s="182">
        <f ca="1">IF($D374&lt;&gt;"Serviço",0,IF(OR(AND(AUTOEVENTO="Manual",$M374=1),$M374&gt;(ROW(PLE.lastrow)-ROW(PLE.firstrow))),0,IF(OFFSET(PLE!$G$14,$M374,CE$13)="",10^12,OFFSET(PLE!$G$14,$M374,CE$13))))</f>
        <v>1000000000000</v>
      </c>
      <c r="CF374" s="182">
        <f ca="1">IF($D374&lt;&gt;"Serviço",0,IF(OR(AND(AUTOEVENTO="Manual",$M374=1),$M374&gt;(ROW(PLE.lastrow)-ROW(PLE.firstrow))),0,IF(OFFSET(PLE!$G$14,$M374,CF$13)="",10^12,OFFSET(PLE!$G$14,$M374,CF$13))))</f>
        <v>1000000000000</v>
      </c>
      <c r="CG374" s="182">
        <f ca="1">IF($D374&lt;&gt;"Serviço",0,IF(OR(AND(AUTOEVENTO="Manual",$M374=1),$M374&gt;(ROW(PLE.lastrow)-ROW(PLE.firstrow))),0,IF(OFFSET(PLE!$G$14,$M374,CG$13)="",10^12,OFFSET(PLE!$G$14,$M374,CG$13))))</f>
        <v>1000000000000</v>
      </c>
      <c r="CH374" s="182">
        <f ca="1">IF($D374&lt;&gt;"Serviço",0,IF(OR(AND(AUTOEVENTO="Manual",$M374=1),$M374&gt;(ROW(PLE.lastrow)-ROW(PLE.firstrow))),0,IF(OFFSET(PLE!$G$14,$M374,CH$13)="",10^12,OFFSET(PLE!$G$14,$M374,CH$13))))</f>
        <v>1000000000000</v>
      </c>
      <c r="CI374" s="182">
        <f ca="1">IF($D374&lt;&gt;"Serviço",0,IF(OR(AND(AUTOEVENTO="Manual",$M374=1),$M374&gt;(ROW(PLE.lastrow)-ROW(PLE.firstrow))),0,IF(OFFSET(PLE!$G$14,$M374,CI$13)="",10^12,OFFSET(PLE!$G$14,$M374,CI$13))))</f>
        <v>1000000000000</v>
      </c>
      <c r="CJ374" s="182">
        <f ca="1">IF($D374&lt;&gt;"Serviço",0,IF(OR(AND(AUTOEVENTO="Manual",$M374=1),$M374&gt;(ROW(PLE.lastrow)-ROW(PLE.firstrow))),0,IF(OFFSET(PLE!$G$14,$M374,CJ$13)="",10^12,OFFSET(PLE!$G$14,$M374,CJ$13))))</f>
        <v>1000000000000</v>
      </c>
      <c r="CK374" s="182">
        <f ca="1">IF($D374&lt;&gt;"Serviço",0,IF(OR(AND(AUTOEVENTO="Manual",$M374=1),$M374&gt;(ROW(PLE.lastrow)-ROW(PLE.firstrow))),0,IF(OFFSET(PLE!$G$14,$M374,CK$13)="",10^12,OFFSET(PLE!$G$14,$M374,CK$13))))</f>
        <v>1000000000000</v>
      </c>
      <c r="CL374" s="182">
        <f ca="1">IF($D374&lt;&gt;"Serviço",0,IF(OR(AND(AUTOEVENTO="Manual",$M374=1),$M374&gt;(ROW(PLE.lastrow)-ROW(PLE.firstrow))),0,IF(OFFSET(PLE!$G$14,$M374,CL$13)="",10^12,OFFSET(PLE!$G$14,$M374,CL$13))))</f>
        <v>1000000000000</v>
      </c>
      <c r="CM374" s="182">
        <f ca="1">IF($D374&lt;&gt;"Serviço",0,IF(OR(AND(AUTOEVENTO="Manual",$M374=1),$M374&gt;(ROW(PLE.lastrow)-ROW(PLE.firstrow))),0,IF(OFFSET(PLE!$G$14,$M374,CM$13)="",10^12,OFFSET(PLE!$G$14,$M374,CM$13))))</f>
        <v>1000000000000</v>
      </c>
    </row>
    <row r="375" spans="1:91" ht="25.5" x14ac:dyDescent="0.2">
      <c r="A375" s="7" t="str">
        <f t="shared" ca="1" si="12"/>
        <v>350</v>
      </c>
      <c r="B375" s="7" t="str">
        <f ca="1">OFFSET(ORÇAMENTO!C$15,ROW(B375)-ROW(B$15),0)</f>
        <v>S</v>
      </c>
      <c r="C375" s="7" t="str">
        <f ca="1">OFFSET(ORÇAMENTO!L$15,ROW(C375)-ROW(C$15),0)</f>
        <v/>
      </c>
      <c r="D375" s="118" t="str">
        <f ca="1">OFFSET(ORÇAMENTO!N$15,ROW(D375)-ROW(D$15),0)</f>
        <v>Serviço</v>
      </c>
      <c r="E375" s="119" t="str">
        <f ca="1">OFFSET(ORÇAMENTO!O$15,ROW(E375)-ROW(E$15),0)</f>
        <v>-</v>
      </c>
      <c r="F375" s="172" t="str">
        <f ca="1">OFFSET(ORÇAMENTO!R$15,ROW(F375)-ROW(F$15),0)</f>
        <v>(abra o arquivo 'Referência 06-2024.xlsm)</v>
      </c>
      <c r="G375" s="173" t="str">
        <f ca="1">IF($D375&lt;&gt;"Serviço","",OFFSET(ORÇAMENTO!S$15,ROW(G375)-ROW(G$15),0))</f>
        <v>-</v>
      </c>
      <c r="H375" s="124">
        <f ca="1">IF($D375&lt;&gt;"Serviço",0,IF(ACOMPANHAMENTO="BM",ROUND(OFFSET(ORÇAMENTO!AJ$15,ROW(H375)-ROW(H$15),0),15-13*ORÇAMENTO!$AF$7),SUMPRODUCT(($Q$12:$AI$12&lt;&gt;"")*ROUND($Q375:$AI375,15-13*ORÇAMENTO!$AF$7))))</f>
        <v>10</v>
      </c>
      <c r="I375" s="561" t="s">
        <v>1107</v>
      </c>
      <c r="K375" s="174"/>
      <c r="L375" s="175" t="s">
        <v>255</v>
      </c>
      <c r="M375" s="176">
        <f ca="1">IF($D375&lt;&gt;"Serviço","",IF(AUTOEVENTO="manual",$A375,IF(ISERROR(MATCH($A375,$A$15:OFFSET($A375,-1,0),0)),MAX($M$15:OFFSET(M375,-1,0))+1,INDEX($M$15:OFFSET(M375,-1,0),MATCH($A375,$A$15:OFFSET($A375,-1,0),0)))))</f>
        <v>44</v>
      </c>
      <c r="N375" s="177" t="str">
        <f ca="1">IF($D375&lt;&gt;"Serviço","",IF(AUTOEVENTO="Manual",IF($A375=0,"&lt;-- defina o número do agrupador",OFFSET(EVENTOS!$D$14,$A375,0)),OFFSET($F$15,$A375,0)))</f>
        <v>LOUÇAS, ACESSÓRIOS E METAIS</v>
      </c>
      <c r="O375" s="178"/>
      <c r="Q375" s="178">
        <v>10</v>
      </c>
      <c r="R375" s="179"/>
      <c r="S375" s="179"/>
      <c r="T375" s="179"/>
      <c r="U375" s="179"/>
      <c r="V375" s="179"/>
      <c r="W375" s="179"/>
      <c r="X375" s="179"/>
      <c r="Y375" s="179"/>
      <c r="Z375" s="180"/>
      <c r="AA375" s="179"/>
      <c r="AB375" s="179"/>
      <c r="AC375" s="179"/>
      <c r="AD375" s="179"/>
      <c r="AE375" s="179"/>
      <c r="AF375" s="179"/>
      <c r="AG375" s="179"/>
      <c r="AH375" s="180"/>
      <c r="AJ375" s="544">
        <f ca="1">IF(AND($D375="Serviço",AJ$12&lt;&gt;0,$H375&gt;0,OR(AUTOEVENTO&lt;&gt;"manual",$M375&lt;&gt;1)),
IF(Import.TipoArredondamento&lt;&gt;"TransfereGOV",
ROUND(OFFSET($P375,0,AJ$13),15-13*ORÇAMENTO!$AF$7)/$H375*OFFSET(ORÇAMENTO!$X$15,ROW(AJ375)-ROW(AJ$15),0),
ROUND(ROUND(OFFSET($P375,0,AJ$13),15-13*ORÇAMENTO!$AF$7)*OFFSET(ORÇAMENTO!$W$15,ROW(AJ375)-ROW(AJ$15),0),15-13*ORÇAMENTO!$AF$11)),0)</f>
        <v>0</v>
      </c>
      <c r="AK375" s="545">
        <f ca="1">IF(AND($D375="Serviço",AK$12&lt;&gt;0,$H375&gt;0,OR(AUTOEVENTO&lt;&gt;"manual",$M375&lt;&gt;1)),
IF(Import.TipoArredondamento&lt;&gt;"TransfereGOV",
ROUND(OFFSET($P375,0,AK$13),15-13*ORÇAMENTO!$AF$7)/$H375*OFFSET(ORÇAMENTO!$X$15,ROW(AK375)-ROW(AK$15),0),
ROUND(ROUND(OFFSET($P375,0,AK$13),15-13*ORÇAMENTO!$AF$7)*OFFSET(ORÇAMENTO!$W$15,ROW(AK375)-ROW(AK$15),0),15-13*ORÇAMENTO!$AF$11)),0)</f>
        <v>0</v>
      </c>
      <c r="AL375" s="545">
        <f ca="1">IF(AND($D375="Serviço",AL$12&lt;&gt;0,$H375&gt;0,OR(AUTOEVENTO&lt;&gt;"manual",$M375&lt;&gt;1)),
IF(Import.TipoArredondamento&lt;&gt;"TransfereGOV",
ROUND(OFFSET($P375,0,AL$13),15-13*ORÇAMENTO!$AF$7)/$H375*OFFSET(ORÇAMENTO!$X$15,ROW(AL375)-ROW(AL$15),0),
ROUND(ROUND(OFFSET($P375,0,AL$13),15-13*ORÇAMENTO!$AF$7)*OFFSET(ORÇAMENTO!$W$15,ROW(AL375)-ROW(AL$15),0),15-13*ORÇAMENTO!$AF$11)),0)</f>
        <v>0</v>
      </c>
      <c r="AM375" s="545">
        <f ca="1">IF(AND($D375="Serviço",AM$12&lt;&gt;0,$H375&gt;0,OR(AUTOEVENTO&lt;&gt;"manual",$M375&lt;&gt;1)),
IF(Import.TipoArredondamento&lt;&gt;"TransfereGOV",
ROUND(OFFSET($P375,0,AM$13),15-13*ORÇAMENTO!$AF$7)/$H375*OFFSET(ORÇAMENTO!$X$15,ROW(AM375)-ROW(AM$15),0),
ROUND(ROUND(OFFSET($P375,0,AM$13),15-13*ORÇAMENTO!$AF$7)*OFFSET(ORÇAMENTO!$W$15,ROW(AM375)-ROW(AM$15),0),15-13*ORÇAMENTO!$AF$11)),0)</f>
        <v>0</v>
      </c>
      <c r="AN375" s="545">
        <f ca="1">IF(AND($D375="Serviço",AN$12&lt;&gt;0,$H375&gt;0,OR(AUTOEVENTO&lt;&gt;"manual",$M375&lt;&gt;1)),
IF(Import.TipoArredondamento&lt;&gt;"TransfereGOV",
ROUND(OFFSET($P375,0,AN$13),15-13*ORÇAMENTO!$AF$7)/$H375*OFFSET(ORÇAMENTO!$X$15,ROW(AN375)-ROW(AN$15),0),
ROUND(ROUND(OFFSET($P375,0,AN$13),15-13*ORÇAMENTO!$AF$7)*OFFSET(ORÇAMENTO!$W$15,ROW(AN375)-ROW(AN$15),0),15-13*ORÇAMENTO!$AF$11)),0)</f>
        <v>0</v>
      </c>
      <c r="AO375" s="545">
        <f ca="1">IF(AND($D375="Serviço",AO$12&lt;&gt;0,$H375&gt;0,OR(AUTOEVENTO&lt;&gt;"manual",$M375&lt;&gt;1)),
IF(Import.TipoArredondamento&lt;&gt;"TransfereGOV",
ROUND(OFFSET($P375,0,AO$13),15-13*ORÇAMENTO!$AF$7)/$H375*OFFSET(ORÇAMENTO!$X$15,ROW(AO375)-ROW(AO$15),0),
ROUND(ROUND(OFFSET($P375,0,AO$13),15-13*ORÇAMENTO!$AF$7)*OFFSET(ORÇAMENTO!$W$15,ROW(AO375)-ROW(AO$15),0),15-13*ORÇAMENTO!$AF$11)),0)</f>
        <v>0</v>
      </c>
      <c r="AP375" s="545">
        <f ca="1">IF(AND($D375="Serviço",AP$12&lt;&gt;0,$H375&gt;0,OR(AUTOEVENTO&lt;&gt;"manual",$M375&lt;&gt;1)),
IF(Import.TipoArredondamento&lt;&gt;"TransfereGOV",
ROUND(OFFSET($P375,0,AP$13),15-13*ORÇAMENTO!$AF$7)/$H375*OFFSET(ORÇAMENTO!$X$15,ROW(AP375)-ROW(AP$15),0),
ROUND(ROUND(OFFSET($P375,0,AP$13),15-13*ORÇAMENTO!$AF$7)*OFFSET(ORÇAMENTO!$W$15,ROW(AP375)-ROW(AP$15),0),15-13*ORÇAMENTO!$AF$11)),0)</f>
        <v>0</v>
      </c>
      <c r="AQ375" s="545">
        <f ca="1">IF(AND($D375="Serviço",AQ$12&lt;&gt;0,$H375&gt;0,OR(AUTOEVENTO&lt;&gt;"manual",$M375&lt;&gt;1)),
IF(Import.TipoArredondamento&lt;&gt;"TransfereGOV",
ROUND(OFFSET($P375,0,AQ$13),15-13*ORÇAMENTO!$AF$7)/$H375*OFFSET(ORÇAMENTO!$X$15,ROW(AQ375)-ROW(AQ$15),0),
ROUND(ROUND(OFFSET($P375,0,AQ$13),15-13*ORÇAMENTO!$AF$7)*OFFSET(ORÇAMENTO!$W$15,ROW(AQ375)-ROW(AQ$15),0),15-13*ORÇAMENTO!$AF$11)),0)</f>
        <v>0</v>
      </c>
      <c r="AR375" s="545">
        <f ca="1">IF(AND($D375="Serviço",AR$12&lt;&gt;0,$H375&gt;0,OR(AUTOEVENTO&lt;&gt;"manual",$M375&lt;&gt;1)),
IF(Import.TipoArredondamento&lt;&gt;"TransfereGOV",
ROUND(OFFSET($P375,0,AR$13),15-13*ORÇAMENTO!$AF$7)/$H375*OFFSET(ORÇAMENTO!$X$15,ROW(AR375)-ROW(AR$15),0),
ROUND(ROUND(OFFSET($P375,0,AR$13),15-13*ORÇAMENTO!$AF$7)*OFFSET(ORÇAMENTO!$W$15,ROW(AR375)-ROW(AR$15),0),15-13*ORÇAMENTO!$AF$11)),0)</f>
        <v>0</v>
      </c>
      <c r="AS375" s="546">
        <f ca="1">IF(AND($D375="Serviço",AS$12&lt;&gt;0,$H375&gt;0,OR(AUTOEVENTO&lt;&gt;"manual",$M375&lt;&gt;1)),
IF(Import.TipoArredondamento&lt;&gt;"TransfereGOV",
ROUND(OFFSET($P375,0,AS$13),15-13*ORÇAMENTO!$AF$7)/$H375*OFFSET(ORÇAMENTO!$X$15,ROW(AS375)-ROW(AS$15),0),
ROUND(ROUND(OFFSET($P375,0,AS$13),15-13*ORÇAMENTO!$AF$7)*OFFSET(ORÇAMENTO!$W$15,ROW(AS375)-ROW(AS$15),0),15-13*ORÇAMENTO!$AF$11)),0)</f>
        <v>0</v>
      </c>
      <c r="AT375" s="545">
        <f ca="1">IF(AND($D375="Serviço",AT$12&lt;&gt;0,$H375&gt;0,OR(AUTOEVENTO&lt;&gt;"manual",$M375&lt;&gt;1)),
IF(Import.TipoArredondamento&lt;&gt;"TransfereGOV",
ROUND(OFFSET($P375,0,AT$13),15-13*ORÇAMENTO!$AF$7)/$H375*OFFSET(ORÇAMENTO!$X$15,ROW(AT375)-ROW(AT$15),0),
ROUND(ROUND(OFFSET($P375,0,AT$13),15-13*ORÇAMENTO!$AF$7)*OFFSET(ORÇAMENTO!$W$15,ROW(AT375)-ROW(AT$15),0),15-13*ORÇAMENTO!$AF$11)),0)</f>
        <v>0</v>
      </c>
      <c r="AU375" s="545">
        <f ca="1">IF(AND($D375="Serviço",AU$12&lt;&gt;0,$H375&gt;0,OR(AUTOEVENTO&lt;&gt;"manual",$M375&lt;&gt;1)),
IF(Import.TipoArredondamento&lt;&gt;"TransfereGOV",
ROUND(OFFSET($P375,0,AU$13),15-13*ORÇAMENTO!$AF$7)/$H375*OFFSET(ORÇAMENTO!$X$15,ROW(AU375)-ROW(AU$15),0),
ROUND(ROUND(OFFSET($P375,0,AU$13),15-13*ORÇAMENTO!$AF$7)*OFFSET(ORÇAMENTO!$W$15,ROW(AU375)-ROW(AU$15),0),15-13*ORÇAMENTO!$AF$11)),0)</f>
        <v>0</v>
      </c>
      <c r="AV375" s="545">
        <f ca="1">IF(AND($D375="Serviço",AV$12&lt;&gt;0,$H375&gt;0,OR(AUTOEVENTO&lt;&gt;"manual",$M375&lt;&gt;1)),
IF(Import.TipoArredondamento&lt;&gt;"TransfereGOV",
ROUND(OFFSET($P375,0,AV$13),15-13*ORÇAMENTO!$AF$7)/$H375*OFFSET(ORÇAMENTO!$X$15,ROW(AV375)-ROW(AV$15),0),
ROUND(ROUND(OFFSET($P375,0,AV$13),15-13*ORÇAMENTO!$AF$7)*OFFSET(ORÇAMENTO!$W$15,ROW(AV375)-ROW(AV$15),0),15-13*ORÇAMENTO!$AF$11)),0)</f>
        <v>0</v>
      </c>
      <c r="AW375" s="545">
        <f ca="1">IF(AND($D375="Serviço",AW$12&lt;&gt;0,$H375&gt;0,OR(AUTOEVENTO&lt;&gt;"manual",$M375&lt;&gt;1)),
IF(Import.TipoArredondamento&lt;&gt;"TransfereGOV",
ROUND(OFFSET($P375,0,AW$13),15-13*ORÇAMENTO!$AF$7)/$H375*OFFSET(ORÇAMENTO!$X$15,ROW(AW375)-ROW(AW$15),0),
ROUND(ROUND(OFFSET($P375,0,AW$13),15-13*ORÇAMENTO!$AF$7)*OFFSET(ORÇAMENTO!$W$15,ROW(AW375)-ROW(AW$15),0),15-13*ORÇAMENTO!$AF$11)),0)</f>
        <v>0</v>
      </c>
      <c r="AX375" s="545">
        <f ca="1">IF(AND($D375="Serviço",AX$12&lt;&gt;0,$H375&gt;0,OR(AUTOEVENTO&lt;&gt;"manual",$M375&lt;&gt;1)),
IF(Import.TipoArredondamento&lt;&gt;"TransfereGOV",
ROUND(OFFSET($P375,0,AX$13),15-13*ORÇAMENTO!$AF$7)/$H375*OFFSET(ORÇAMENTO!$X$15,ROW(AX375)-ROW(AX$15),0),
ROUND(ROUND(OFFSET($P375,0,AX$13),15-13*ORÇAMENTO!$AF$7)*OFFSET(ORÇAMENTO!$W$15,ROW(AX375)-ROW(AX$15),0),15-13*ORÇAMENTO!$AF$11)),0)</f>
        <v>0</v>
      </c>
      <c r="AY375" s="545">
        <f ca="1">IF(AND($D375="Serviço",AY$12&lt;&gt;0,$H375&gt;0,OR(AUTOEVENTO&lt;&gt;"manual",$M375&lt;&gt;1)),
IF(Import.TipoArredondamento&lt;&gt;"TransfereGOV",
ROUND(OFFSET($P375,0,AY$13),15-13*ORÇAMENTO!$AF$7)/$H375*OFFSET(ORÇAMENTO!$X$15,ROW(AY375)-ROW(AY$15),0),
ROUND(ROUND(OFFSET($P375,0,AY$13),15-13*ORÇAMENTO!$AF$7)*OFFSET(ORÇAMENTO!$W$15,ROW(AY375)-ROW(AY$15),0),15-13*ORÇAMENTO!$AF$11)),0)</f>
        <v>0</v>
      </c>
      <c r="AZ375" s="545">
        <f ca="1">IF(AND($D375="Serviço",AZ$12&lt;&gt;0,$H375&gt;0,OR(AUTOEVENTO&lt;&gt;"manual",$M375&lt;&gt;1)),
IF(Import.TipoArredondamento&lt;&gt;"TransfereGOV",
ROUND(OFFSET($P375,0,AZ$13),15-13*ORÇAMENTO!$AF$7)/$H375*OFFSET(ORÇAMENTO!$X$15,ROW(AZ375)-ROW(AZ$15),0),
ROUND(ROUND(OFFSET($P375,0,AZ$13),15-13*ORÇAMENTO!$AF$7)*OFFSET(ORÇAMENTO!$W$15,ROW(AZ375)-ROW(AZ$15),0),15-13*ORÇAMENTO!$AF$11)),0)</f>
        <v>0</v>
      </c>
      <c r="BA375" s="546">
        <f ca="1">IF(AND($D375="Serviço",BA$12&lt;&gt;0,$H375&gt;0,OR(AUTOEVENTO&lt;&gt;"manual",$M375&lt;&gt;1)),
IF(Import.TipoArredondamento&lt;&gt;"TransfereGOV",
ROUND(OFFSET($P375,0,BA$13),15-13*ORÇAMENTO!$AF$7)/$H375*OFFSET(ORÇAMENTO!$X$15,ROW(BA375)-ROW(BA$15),0),
ROUND(ROUND(OFFSET($P375,0,BA$13),15-13*ORÇAMENTO!$AF$7)*OFFSET(ORÇAMENTO!$W$15,ROW(BA375)-ROW(BA$15),0),15-13*ORÇAMENTO!$AF$11)),0)</f>
        <v>0</v>
      </c>
      <c r="BC375" s="181">
        <f ca="1">IF($D375&lt;&gt;"Serviço",0,IF(AND(AUTOEVENTO="Manual",$M375=1),0,IF(OFFSET(CRONOPLE!$F$14,$M375,BC$13)="",10^12,OFFSET(CRONOPLE!$F$14,$M375,BC$13))))</f>
        <v>10</v>
      </c>
      <c r="BD375" s="181">
        <f ca="1">IF($D375&lt;&gt;"Serviço",0,IF(AND(AUTOEVENTO="Manual",$M375=1),0,IF(OFFSET(CRONOPLE!$F$14,$M375,BD$13)="",10^12,OFFSET(CRONOPLE!$F$14,$M375,BD$13))))</f>
        <v>1000000000000</v>
      </c>
      <c r="BE375" s="181">
        <f ca="1">IF($D375&lt;&gt;"Serviço",0,IF(AND(AUTOEVENTO="Manual",$M375=1),0,IF(OFFSET(CRONOPLE!$F$14,$M375,BE$13)="",10^12,OFFSET(CRONOPLE!$F$14,$M375,BE$13))))</f>
        <v>1000000000000</v>
      </c>
      <c r="BF375" s="181">
        <f ca="1">IF($D375&lt;&gt;"Serviço",0,IF(AND(AUTOEVENTO="Manual",$M375=1),0,IF(OFFSET(CRONOPLE!$F$14,$M375,BF$13)="",10^12,OFFSET(CRONOPLE!$F$14,$M375,BF$13))))</f>
        <v>1000000000000</v>
      </c>
      <c r="BG375" s="181">
        <f ca="1">IF($D375&lt;&gt;"Serviço",0,IF(AND(AUTOEVENTO="Manual",$M375=1),0,IF(OFFSET(CRONOPLE!$F$14,$M375,BG$13)="",10^12,OFFSET(CRONOPLE!$F$14,$M375,BG$13))))</f>
        <v>1000000000000</v>
      </c>
      <c r="BH375" s="181">
        <f ca="1">IF($D375&lt;&gt;"Serviço",0,IF(AND(AUTOEVENTO="Manual",$M375=1),0,IF(OFFSET(CRONOPLE!$F$14,$M375,BH$13)="",10^12,OFFSET(CRONOPLE!$F$14,$M375,BH$13))))</f>
        <v>1000000000000</v>
      </c>
      <c r="BI375" s="181">
        <f ca="1">IF($D375&lt;&gt;"Serviço",0,IF(AND(AUTOEVENTO="Manual",$M375=1),0,IF(OFFSET(CRONOPLE!$F$14,$M375,BI$13)="",10^12,OFFSET(CRONOPLE!$F$14,$M375,BI$13))))</f>
        <v>1000000000000</v>
      </c>
      <c r="BJ375" s="181">
        <f ca="1">IF($D375&lt;&gt;"Serviço",0,IF(AND(AUTOEVENTO="Manual",$M375=1),0,IF(OFFSET(CRONOPLE!$F$14,$M375,BJ$13)="",10^12,OFFSET(CRONOPLE!$F$14,$M375,BJ$13))))</f>
        <v>1000000000000</v>
      </c>
      <c r="BK375" s="181">
        <f ca="1">IF($D375&lt;&gt;"Serviço",0,IF(AND(AUTOEVENTO="Manual",$M375=1),0,IF(OFFSET(CRONOPLE!$F$14,$M375,BK$13)="",10^12,OFFSET(CRONOPLE!$F$14,$M375,BK$13))))</f>
        <v>1000000000000</v>
      </c>
      <c r="BL375" s="181">
        <f ca="1">IF($D375&lt;&gt;"Serviço",0,IF(AND(AUTOEVENTO="Manual",$M375=1),0,IF(OFFSET(CRONOPLE!$F$14,$M375,BL$13)="",10^12,OFFSET(CRONOPLE!$F$14,$M375,BL$13))))</f>
        <v>1000000000000</v>
      </c>
      <c r="BM375" s="181">
        <f ca="1">IF($D375&lt;&gt;"Serviço",0,IF(AND(AUTOEVENTO="Manual",$M375=1),0,IF(OFFSET(CRONOPLE!$F$14,$M375,BM$13)="",10^12,OFFSET(CRONOPLE!$F$14,$M375,BM$13))))</f>
        <v>1000000000000</v>
      </c>
      <c r="BN375" s="181">
        <f ca="1">IF($D375&lt;&gt;"Serviço",0,IF(AND(AUTOEVENTO="Manual",$M375=1),0,IF(OFFSET(CRONOPLE!$F$14,$M375,BN$13)="",10^12,OFFSET(CRONOPLE!$F$14,$M375,BN$13))))</f>
        <v>1000000000000</v>
      </c>
      <c r="BO375" s="181">
        <f ca="1">IF($D375&lt;&gt;"Serviço",0,IF(AND(AUTOEVENTO="Manual",$M375=1),0,IF(OFFSET(CRONOPLE!$F$14,$M375,BO$13)="",10^12,OFFSET(CRONOPLE!$F$14,$M375,BO$13))))</f>
        <v>1000000000000</v>
      </c>
      <c r="BP375" s="181">
        <f ca="1">IF($D375&lt;&gt;"Serviço",0,IF(AND(AUTOEVENTO="Manual",$M375=1),0,IF(OFFSET(CRONOPLE!$F$14,$M375,BP$13)="",10^12,OFFSET(CRONOPLE!$F$14,$M375,BP$13))))</f>
        <v>1000000000000</v>
      </c>
      <c r="BQ375" s="181">
        <f ca="1">IF($D375&lt;&gt;"Serviço",0,IF(AND(AUTOEVENTO="Manual",$M375=1),0,IF(OFFSET(CRONOPLE!$F$14,$M375,BQ$13)="",10^12,OFFSET(CRONOPLE!$F$14,$M375,BQ$13))))</f>
        <v>1000000000000</v>
      </c>
      <c r="BR375" s="181">
        <f ca="1">IF($D375&lt;&gt;"Serviço",0,IF(AND(AUTOEVENTO="Manual",$M375=1),0,IF(OFFSET(CRONOPLE!$F$14,$M375,BR$13)="",10^12,OFFSET(CRONOPLE!$F$14,$M375,BR$13))))</f>
        <v>1000000000000</v>
      </c>
      <c r="BS375" s="181">
        <f ca="1">IF($D375&lt;&gt;"Serviço",0,IF(AND(AUTOEVENTO="Manual",$M375=1),0,IF(OFFSET(CRONOPLE!$F$14,$M375,BS$13)="",10^12,OFFSET(CRONOPLE!$F$14,$M375,BS$13))))</f>
        <v>1000000000000</v>
      </c>
      <c r="BT375" s="181">
        <f ca="1">IF($D375&lt;&gt;"Serviço",0,IF(AND(AUTOEVENTO="Manual",$M375=1),0,IF(OFFSET(CRONOPLE!$F$14,$M375,BT$13)="",10^12,OFFSET(CRONOPLE!$F$14,$M375,BT$13))))</f>
        <v>1000000000000</v>
      </c>
      <c r="BV375" s="182">
        <f ca="1">IF($D375&lt;&gt;"Serviço",0,IF(OR(AND(AUTOEVENTO="Manual",$M375=1),$M375&gt;(ROW(PLE.lastrow)-ROW(PLE.firstrow))),0,IF(OFFSET(PLE!$G$14,$M375,BV$13)="",10^12,OFFSET(PLE!$G$14,$M375,BV$13))))</f>
        <v>1000000000000</v>
      </c>
      <c r="BW375" s="182">
        <f ca="1">IF($D375&lt;&gt;"Serviço",0,IF(OR(AND(AUTOEVENTO="Manual",$M375=1),$M375&gt;(ROW(PLE.lastrow)-ROW(PLE.firstrow))),0,IF(OFFSET(PLE!$G$14,$M375,BW$13)="",10^12,OFFSET(PLE!$G$14,$M375,BW$13))))</f>
        <v>1000000000000</v>
      </c>
      <c r="BX375" s="182">
        <f ca="1">IF($D375&lt;&gt;"Serviço",0,IF(OR(AND(AUTOEVENTO="Manual",$M375=1),$M375&gt;(ROW(PLE.lastrow)-ROW(PLE.firstrow))),0,IF(OFFSET(PLE!$G$14,$M375,BX$13)="",10^12,OFFSET(PLE!$G$14,$M375,BX$13))))</f>
        <v>1000000000000</v>
      </c>
      <c r="BY375" s="182">
        <f ca="1">IF($D375&lt;&gt;"Serviço",0,IF(OR(AND(AUTOEVENTO="Manual",$M375=1),$M375&gt;(ROW(PLE.lastrow)-ROW(PLE.firstrow))),0,IF(OFFSET(PLE!$G$14,$M375,BY$13)="",10^12,OFFSET(PLE!$G$14,$M375,BY$13))))</f>
        <v>1000000000000</v>
      </c>
      <c r="BZ375" s="182">
        <f ca="1">IF($D375&lt;&gt;"Serviço",0,IF(OR(AND(AUTOEVENTO="Manual",$M375=1),$M375&gt;(ROW(PLE.lastrow)-ROW(PLE.firstrow))),0,IF(OFFSET(PLE!$G$14,$M375,BZ$13)="",10^12,OFFSET(PLE!$G$14,$M375,BZ$13))))</f>
        <v>1000000000000</v>
      </c>
      <c r="CA375" s="182">
        <f ca="1">IF($D375&lt;&gt;"Serviço",0,IF(OR(AND(AUTOEVENTO="Manual",$M375=1),$M375&gt;(ROW(PLE.lastrow)-ROW(PLE.firstrow))),0,IF(OFFSET(PLE!$G$14,$M375,CA$13)="",10^12,OFFSET(PLE!$G$14,$M375,CA$13))))</f>
        <v>1000000000000</v>
      </c>
      <c r="CB375" s="182">
        <f ca="1">IF($D375&lt;&gt;"Serviço",0,IF(OR(AND(AUTOEVENTO="Manual",$M375=1),$M375&gt;(ROW(PLE.lastrow)-ROW(PLE.firstrow))),0,IF(OFFSET(PLE!$G$14,$M375,CB$13)="",10^12,OFFSET(PLE!$G$14,$M375,CB$13))))</f>
        <v>1000000000000</v>
      </c>
      <c r="CC375" s="182">
        <f ca="1">IF($D375&lt;&gt;"Serviço",0,IF(OR(AND(AUTOEVENTO="Manual",$M375=1),$M375&gt;(ROW(PLE.lastrow)-ROW(PLE.firstrow))),0,IF(OFFSET(PLE!$G$14,$M375,CC$13)="",10^12,OFFSET(PLE!$G$14,$M375,CC$13))))</f>
        <v>1000000000000</v>
      </c>
      <c r="CD375" s="182">
        <f ca="1">IF($D375&lt;&gt;"Serviço",0,IF(OR(AND(AUTOEVENTO="Manual",$M375=1),$M375&gt;(ROW(PLE.lastrow)-ROW(PLE.firstrow))),0,IF(OFFSET(PLE!$G$14,$M375,CD$13)="",10^12,OFFSET(PLE!$G$14,$M375,CD$13))))</f>
        <v>1000000000000</v>
      </c>
      <c r="CE375" s="182">
        <f ca="1">IF($D375&lt;&gt;"Serviço",0,IF(OR(AND(AUTOEVENTO="Manual",$M375=1),$M375&gt;(ROW(PLE.lastrow)-ROW(PLE.firstrow))),0,IF(OFFSET(PLE!$G$14,$M375,CE$13)="",10^12,OFFSET(PLE!$G$14,$M375,CE$13))))</f>
        <v>1000000000000</v>
      </c>
      <c r="CF375" s="182">
        <f ca="1">IF($D375&lt;&gt;"Serviço",0,IF(OR(AND(AUTOEVENTO="Manual",$M375=1),$M375&gt;(ROW(PLE.lastrow)-ROW(PLE.firstrow))),0,IF(OFFSET(PLE!$G$14,$M375,CF$13)="",10^12,OFFSET(PLE!$G$14,$M375,CF$13))))</f>
        <v>1000000000000</v>
      </c>
      <c r="CG375" s="182">
        <f ca="1">IF($D375&lt;&gt;"Serviço",0,IF(OR(AND(AUTOEVENTO="Manual",$M375=1),$M375&gt;(ROW(PLE.lastrow)-ROW(PLE.firstrow))),0,IF(OFFSET(PLE!$G$14,$M375,CG$13)="",10^12,OFFSET(PLE!$G$14,$M375,CG$13))))</f>
        <v>1000000000000</v>
      </c>
      <c r="CH375" s="182">
        <f ca="1">IF($D375&lt;&gt;"Serviço",0,IF(OR(AND(AUTOEVENTO="Manual",$M375=1),$M375&gt;(ROW(PLE.lastrow)-ROW(PLE.firstrow))),0,IF(OFFSET(PLE!$G$14,$M375,CH$13)="",10^12,OFFSET(PLE!$G$14,$M375,CH$13))))</f>
        <v>1000000000000</v>
      </c>
      <c r="CI375" s="182">
        <f ca="1">IF($D375&lt;&gt;"Serviço",0,IF(OR(AND(AUTOEVENTO="Manual",$M375=1),$M375&gt;(ROW(PLE.lastrow)-ROW(PLE.firstrow))),0,IF(OFFSET(PLE!$G$14,$M375,CI$13)="",10^12,OFFSET(PLE!$G$14,$M375,CI$13))))</f>
        <v>1000000000000</v>
      </c>
      <c r="CJ375" s="182">
        <f ca="1">IF($D375&lt;&gt;"Serviço",0,IF(OR(AND(AUTOEVENTO="Manual",$M375=1),$M375&gt;(ROW(PLE.lastrow)-ROW(PLE.firstrow))),0,IF(OFFSET(PLE!$G$14,$M375,CJ$13)="",10^12,OFFSET(PLE!$G$14,$M375,CJ$13))))</f>
        <v>1000000000000</v>
      </c>
      <c r="CK375" s="182">
        <f ca="1">IF($D375&lt;&gt;"Serviço",0,IF(OR(AND(AUTOEVENTO="Manual",$M375=1),$M375&gt;(ROW(PLE.lastrow)-ROW(PLE.firstrow))),0,IF(OFFSET(PLE!$G$14,$M375,CK$13)="",10^12,OFFSET(PLE!$G$14,$M375,CK$13))))</f>
        <v>1000000000000</v>
      </c>
      <c r="CL375" s="182">
        <f ca="1">IF($D375&lt;&gt;"Serviço",0,IF(OR(AND(AUTOEVENTO="Manual",$M375=1),$M375&gt;(ROW(PLE.lastrow)-ROW(PLE.firstrow))),0,IF(OFFSET(PLE!$G$14,$M375,CL$13)="",10^12,OFFSET(PLE!$G$14,$M375,CL$13))))</f>
        <v>1000000000000</v>
      </c>
      <c r="CM375" s="182">
        <f ca="1">IF($D375&lt;&gt;"Serviço",0,IF(OR(AND(AUTOEVENTO="Manual",$M375=1),$M375&gt;(ROW(PLE.lastrow)-ROW(PLE.firstrow))),0,IF(OFFSET(PLE!$G$14,$M375,CM$13)="",10^12,OFFSET(PLE!$G$14,$M375,CM$13))))</f>
        <v>1000000000000</v>
      </c>
    </row>
    <row r="376" spans="1:91" ht="25.5" x14ac:dyDescent="0.2">
      <c r="A376" s="7" t="str">
        <f t="shared" ca="1" si="12"/>
        <v>350</v>
      </c>
      <c r="B376" s="7" t="str">
        <f ca="1">OFFSET(ORÇAMENTO!C$15,ROW(B376)-ROW(B$15),0)</f>
        <v>S</v>
      </c>
      <c r="C376" s="7" t="str">
        <f ca="1">OFFSET(ORÇAMENTO!L$15,ROW(C376)-ROW(C$15),0)</f>
        <v/>
      </c>
      <c r="D376" s="118" t="str">
        <f ca="1">OFFSET(ORÇAMENTO!N$15,ROW(D376)-ROW(D$15),0)</f>
        <v>Serviço</v>
      </c>
      <c r="E376" s="119" t="str">
        <f ca="1">OFFSET(ORÇAMENTO!O$15,ROW(E376)-ROW(E$15),0)</f>
        <v>-</v>
      </c>
      <c r="F376" s="172" t="str">
        <f ca="1">OFFSET(ORÇAMENTO!R$15,ROW(F376)-ROW(F$15),0)</f>
        <v>(abra o arquivo 'Referência 06-2024.xlsm)</v>
      </c>
      <c r="G376" s="173" t="str">
        <f ca="1">IF($D376&lt;&gt;"Serviço","",OFFSET(ORÇAMENTO!S$15,ROW(G376)-ROW(G$15),0))</f>
        <v>-</v>
      </c>
      <c r="H376" s="124">
        <f ca="1">IF($D376&lt;&gt;"Serviço",0,IF(ACOMPANHAMENTO="BM",ROUND(OFFSET(ORÇAMENTO!AJ$15,ROW(H376)-ROW(H$15),0),15-13*ORÇAMENTO!$AF$7),SUMPRODUCT(($Q$12:$AI$12&lt;&gt;"")*ROUND($Q376:$AI376,15-13*ORÇAMENTO!$AF$7))))</f>
        <v>7</v>
      </c>
      <c r="I376" s="561" t="s">
        <v>1107</v>
      </c>
      <c r="K376" s="174"/>
      <c r="L376" s="175" t="s">
        <v>255</v>
      </c>
      <c r="M376" s="176">
        <f ca="1">IF($D376&lt;&gt;"Serviço","",IF(AUTOEVENTO="manual",$A376,IF(ISERROR(MATCH($A376,$A$15:OFFSET($A376,-1,0),0)),MAX($M$15:OFFSET(M376,-1,0))+1,INDEX($M$15:OFFSET(M376,-1,0),MATCH($A376,$A$15:OFFSET($A376,-1,0),0)))))</f>
        <v>44</v>
      </c>
      <c r="N376" s="177" t="str">
        <f ca="1">IF($D376&lt;&gt;"Serviço","",IF(AUTOEVENTO="Manual",IF($A376=0,"&lt;-- defina o número do agrupador",OFFSET(EVENTOS!$D$14,$A376,0)),OFFSET($F$15,$A376,0)))</f>
        <v>LOUÇAS, ACESSÓRIOS E METAIS</v>
      </c>
      <c r="O376" s="178"/>
      <c r="Q376" s="178">
        <v>7</v>
      </c>
      <c r="R376" s="179"/>
      <c r="S376" s="179"/>
      <c r="T376" s="179"/>
      <c r="U376" s="179"/>
      <c r="V376" s="179"/>
      <c r="W376" s="179"/>
      <c r="X376" s="179"/>
      <c r="Y376" s="179"/>
      <c r="Z376" s="180"/>
      <c r="AA376" s="179"/>
      <c r="AB376" s="179"/>
      <c r="AC376" s="179"/>
      <c r="AD376" s="179"/>
      <c r="AE376" s="179"/>
      <c r="AF376" s="179"/>
      <c r="AG376" s="179"/>
      <c r="AH376" s="180"/>
      <c r="AJ376" s="544">
        <f ca="1">IF(AND($D376="Serviço",AJ$12&lt;&gt;0,$H376&gt;0,OR(AUTOEVENTO&lt;&gt;"manual",$M376&lt;&gt;1)),
IF(Import.TipoArredondamento&lt;&gt;"TransfereGOV",
ROUND(OFFSET($P376,0,AJ$13),15-13*ORÇAMENTO!$AF$7)/$H376*OFFSET(ORÇAMENTO!$X$15,ROW(AJ376)-ROW(AJ$15),0),
ROUND(ROUND(OFFSET($P376,0,AJ$13),15-13*ORÇAMENTO!$AF$7)*OFFSET(ORÇAMENTO!$W$15,ROW(AJ376)-ROW(AJ$15),0),15-13*ORÇAMENTO!$AF$11)),0)</f>
        <v>0</v>
      </c>
      <c r="AK376" s="545">
        <f ca="1">IF(AND($D376="Serviço",AK$12&lt;&gt;0,$H376&gt;0,OR(AUTOEVENTO&lt;&gt;"manual",$M376&lt;&gt;1)),
IF(Import.TipoArredondamento&lt;&gt;"TransfereGOV",
ROUND(OFFSET($P376,0,AK$13),15-13*ORÇAMENTO!$AF$7)/$H376*OFFSET(ORÇAMENTO!$X$15,ROW(AK376)-ROW(AK$15),0),
ROUND(ROUND(OFFSET($P376,0,AK$13),15-13*ORÇAMENTO!$AF$7)*OFFSET(ORÇAMENTO!$W$15,ROW(AK376)-ROW(AK$15),0),15-13*ORÇAMENTO!$AF$11)),0)</f>
        <v>0</v>
      </c>
      <c r="AL376" s="545">
        <f ca="1">IF(AND($D376="Serviço",AL$12&lt;&gt;0,$H376&gt;0,OR(AUTOEVENTO&lt;&gt;"manual",$M376&lt;&gt;1)),
IF(Import.TipoArredondamento&lt;&gt;"TransfereGOV",
ROUND(OFFSET($P376,0,AL$13),15-13*ORÇAMENTO!$AF$7)/$H376*OFFSET(ORÇAMENTO!$X$15,ROW(AL376)-ROW(AL$15),0),
ROUND(ROUND(OFFSET($P376,0,AL$13),15-13*ORÇAMENTO!$AF$7)*OFFSET(ORÇAMENTO!$W$15,ROW(AL376)-ROW(AL$15),0),15-13*ORÇAMENTO!$AF$11)),0)</f>
        <v>0</v>
      </c>
      <c r="AM376" s="545">
        <f ca="1">IF(AND($D376="Serviço",AM$12&lt;&gt;0,$H376&gt;0,OR(AUTOEVENTO&lt;&gt;"manual",$M376&lt;&gt;1)),
IF(Import.TipoArredondamento&lt;&gt;"TransfereGOV",
ROUND(OFFSET($P376,0,AM$13),15-13*ORÇAMENTO!$AF$7)/$H376*OFFSET(ORÇAMENTO!$X$15,ROW(AM376)-ROW(AM$15),0),
ROUND(ROUND(OFFSET($P376,0,AM$13),15-13*ORÇAMENTO!$AF$7)*OFFSET(ORÇAMENTO!$W$15,ROW(AM376)-ROW(AM$15),0),15-13*ORÇAMENTO!$AF$11)),0)</f>
        <v>0</v>
      </c>
      <c r="AN376" s="545">
        <f ca="1">IF(AND($D376="Serviço",AN$12&lt;&gt;0,$H376&gt;0,OR(AUTOEVENTO&lt;&gt;"manual",$M376&lt;&gt;1)),
IF(Import.TipoArredondamento&lt;&gt;"TransfereGOV",
ROUND(OFFSET($P376,0,AN$13),15-13*ORÇAMENTO!$AF$7)/$H376*OFFSET(ORÇAMENTO!$X$15,ROW(AN376)-ROW(AN$15),0),
ROUND(ROUND(OFFSET($P376,0,AN$13),15-13*ORÇAMENTO!$AF$7)*OFFSET(ORÇAMENTO!$W$15,ROW(AN376)-ROW(AN$15),0),15-13*ORÇAMENTO!$AF$11)),0)</f>
        <v>0</v>
      </c>
      <c r="AO376" s="545">
        <f ca="1">IF(AND($D376="Serviço",AO$12&lt;&gt;0,$H376&gt;0,OR(AUTOEVENTO&lt;&gt;"manual",$M376&lt;&gt;1)),
IF(Import.TipoArredondamento&lt;&gt;"TransfereGOV",
ROUND(OFFSET($P376,0,AO$13),15-13*ORÇAMENTO!$AF$7)/$H376*OFFSET(ORÇAMENTO!$X$15,ROW(AO376)-ROW(AO$15),0),
ROUND(ROUND(OFFSET($P376,0,AO$13),15-13*ORÇAMENTO!$AF$7)*OFFSET(ORÇAMENTO!$W$15,ROW(AO376)-ROW(AO$15),0),15-13*ORÇAMENTO!$AF$11)),0)</f>
        <v>0</v>
      </c>
      <c r="AP376" s="545">
        <f ca="1">IF(AND($D376="Serviço",AP$12&lt;&gt;0,$H376&gt;0,OR(AUTOEVENTO&lt;&gt;"manual",$M376&lt;&gt;1)),
IF(Import.TipoArredondamento&lt;&gt;"TransfereGOV",
ROUND(OFFSET($P376,0,AP$13),15-13*ORÇAMENTO!$AF$7)/$H376*OFFSET(ORÇAMENTO!$X$15,ROW(AP376)-ROW(AP$15),0),
ROUND(ROUND(OFFSET($P376,0,AP$13),15-13*ORÇAMENTO!$AF$7)*OFFSET(ORÇAMENTO!$W$15,ROW(AP376)-ROW(AP$15),0),15-13*ORÇAMENTO!$AF$11)),0)</f>
        <v>0</v>
      </c>
      <c r="AQ376" s="545">
        <f ca="1">IF(AND($D376="Serviço",AQ$12&lt;&gt;0,$H376&gt;0,OR(AUTOEVENTO&lt;&gt;"manual",$M376&lt;&gt;1)),
IF(Import.TipoArredondamento&lt;&gt;"TransfereGOV",
ROUND(OFFSET($P376,0,AQ$13),15-13*ORÇAMENTO!$AF$7)/$H376*OFFSET(ORÇAMENTO!$X$15,ROW(AQ376)-ROW(AQ$15),0),
ROUND(ROUND(OFFSET($P376,0,AQ$13),15-13*ORÇAMENTO!$AF$7)*OFFSET(ORÇAMENTO!$W$15,ROW(AQ376)-ROW(AQ$15),0),15-13*ORÇAMENTO!$AF$11)),0)</f>
        <v>0</v>
      </c>
      <c r="AR376" s="545">
        <f ca="1">IF(AND($D376="Serviço",AR$12&lt;&gt;0,$H376&gt;0,OR(AUTOEVENTO&lt;&gt;"manual",$M376&lt;&gt;1)),
IF(Import.TipoArredondamento&lt;&gt;"TransfereGOV",
ROUND(OFFSET($P376,0,AR$13),15-13*ORÇAMENTO!$AF$7)/$H376*OFFSET(ORÇAMENTO!$X$15,ROW(AR376)-ROW(AR$15),0),
ROUND(ROUND(OFFSET($P376,0,AR$13),15-13*ORÇAMENTO!$AF$7)*OFFSET(ORÇAMENTO!$W$15,ROW(AR376)-ROW(AR$15),0),15-13*ORÇAMENTO!$AF$11)),0)</f>
        <v>0</v>
      </c>
      <c r="AS376" s="546">
        <f ca="1">IF(AND($D376="Serviço",AS$12&lt;&gt;0,$H376&gt;0,OR(AUTOEVENTO&lt;&gt;"manual",$M376&lt;&gt;1)),
IF(Import.TipoArredondamento&lt;&gt;"TransfereGOV",
ROUND(OFFSET($P376,0,AS$13),15-13*ORÇAMENTO!$AF$7)/$H376*OFFSET(ORÇAMENTO!$X$15,ROW(AS376)-ROW(AS$15),0),
ROUND(ROUND(OFFSET($P376,0,AS$13),15-13*ORÇAMENTO!$AF$7)*OFFSET(ORÇAMENTO!$W$15,ROW(AS376)-ROW(AS$15),0),15-13*ORÇAMENTO!$AF$11)),0)</f>
        <v>0</v>
      </c>
      <c r="AT376" s="545">
        <f ca="1">IF(AND($D376="Serviço",AT$12&lt;&gt;0,$H376&gt;0,OR(AUTOEVENTO&lt;&gt;"manual",$M376&lt;&gt;1)),
IF(Import.TipoArredondamento&lt;&gt;"TransfereGOV",
ROUND(OFFSET($P376,0,AT$13),15-13*ORÇAMENTO!$AF$7)/$H376*OFFSET(ORÇAMENTO!$X$15,ROW(AT376)-ROW(AT$15),0),
ROUND(ROUND(OFFSET($P376,0,AT$13),15-13*ORÇAMENTO!$AF$7)*OFFSET(ORÇAMENTO!$W$15,ROW(AT376)-ROW(AT$15),0),15-13*ORÇAMENTO!$AF$11)),0)</f>
        <v>0</v>
      </c>
      <c r="AU376" s="545">
        <f ca="1">IF(AND($D376="Serviço",AU$12&lt;&gt;0,$H376&gt;0,OR(AUTOEVENTO&lt;&gt;"manual",$M376&lt;&gt;1)),
IF(Import.TipoArredondamento&lt;&gt;"TransfereGOV",
ROUND(OFFSET($P376,0,AU$13),15-13*ORÇAMENTO!$AF$7)/$H376*OFFSET(ORÇAMENTO!$X$15,ROW(AU376)-ROW(AU$15),0),
ROUND(ROUND(OFFSET($P376,0,AU$13),15-13*ORÇAMENTO!$AF$7)*OFFSET(ORÇAMENTO!$W$15,ROW(AU376)-ROW(AU$15),0),15-13*ORÇAMENTO!$AF$11)),0)</f>
        <v>0</v>
      </c>
      <c r="AV376" s="545">
        <f ca="1">IF(AND($D376="Serviço",AV$12&lt;&gt;0,$H376&gt;0,OR(AUTOEVENTO&lt;&gt;"manual",$M376&lt;&gt;1)),
IF(Import.TipoArredondamento&lt;&gt;"TransfereGOV",
ROUND(OFFSET($P376,0,AV$13),15-13*ORÇAMENTO!$AF$7)/$H376*OFFSET(ORÇAMENTO!$X$15,ROW(AV376)-ROW(AV$15),0),
ROUND(ROUND(OFFSET($P376,0,AV$13),15-13*ORÇAMENTO!$AF$7)*OFFSET(ORÇAMENTO!$W$15,ROW(AV376)-ROW(AV$15),0),15-13*ORÇAMENTO!$AF$11)),0)</f>
        <v>0</v>
      </c>
      <c r="AW376" s="545">
        <f ca="1">IF(AND($D376="Serviço",AW$12&lt;&gt;0,$H376&gt;0,OR(AUTOEVENTO&lt;&gt;"manual",$M376&lt;&gt;1)),
IF(Import.TipoArredondamento&lt;&gt;"TransfereGOV",
ROUND(OFFSET($P376,0,AW$13),15-13*ORÇAMENTO!$AF$7)/$H376*OFFSET(ORÇAMENTO!$X$15,ROW(AW376)-ROW(AW$15),0),
ROUND(ROUND(OFFSET($P376,0,AW$13),15-13*ORÇAMENTO!$AF$7)*OFFSET(ORÇAMENTO!$W$15,ROW(AW376)-ROW(AW$15),0),15-13*ORÇAMENTO!$AF$11)),0)</f>
        <v>0</v>
      </c>
      <c r="AX376" s="545">
        <f ca="1">IF(AND($D376="Serviço",AX$12&lt;&gt;0,$H376&gt;0,OR(AUTOEVENTO&lt;&gt;"manual",$M376&lt;&gt;1)),
IF(Import.TipoArredondamento&lt;&gt;"TransfereGOV",
ROUND(OFFSET($P376,0,AX$13),15-13*ORÇAMENTO!$AF$7)/$H376*OFFSET(ORÇAMENTO!$X$15,ROW(AX376)-ROW(AX$15),0),
ROUND(ROUND(OFFSET($P376,0,AX$13),15-13*ORÇAMENTO!$AF$7)*OFFSET(ORÇAMENTO!$W$15,ROW(AX376)-ROW(AX$15),0),15-13*ORÇAMENTO!$AF$11)),0)</f>
        <v>0</v>
      </c>
      <c r="AY376" s="545">
        <f ca="1">IF(AND($D376="Serviço",AY$12&lt;&gt;0,$H376&gt;0,OR(AUTOEVENTO&lt;&gt;"manual",$M376&lt;&gt;1)),
IF(Import.TipoArredondamento&lt;&gt;"TransfereGOV",
ROUND(OFFSET($P376,0,AY$13),15-13*ORÇAMENTO!$AF$7)/$H376*OFFSET(ORÇAMENTO!$X$15,ROW(AY376)-ROW(AY$15),0),
ROUND(ROUND(OFFSET($P376,0,AY$13),15-13*ORÇAMENTO!$AF$7)*OFFSET(ORÇAMENTO!$W$15,ROW(AY376)-ROW(AY$15),0),15-13*ORÇAMENTO!$AF$11)),0)</f>
        <v>0</v>
      </c>
      <c r="AZ376" s="545">
        <f ca="1">IF(AND($D376="Serviço",AZ$12&lt;&gt;0,$H376&gt;0,OR(AUTOEVENTO&lt;&gt;"manual",$M376&lt;&gt;1)),
IF(Import.TipoArredondamento&lt;&gt;"TransfereGOV",
ROUND(OFFSET($P376,0,AZ$13),15-13*ORÇAMENTO!$AF$7)/$H376*OFFSET(ORÇAMENTO!$X$15,ROW(AZ376)-ROW(AZ$15),0),
ROUND(ROUND(OFFSET($P376,0,AZ$13),15-13*ORÇAMENTO!$AF$7)*OFFSET(ORÇAMENTO!$W$15,ROW(AZ376)-ROW(AZ$15),0),15-13*ORÇAMENTO!$AF$11)),0)</f>
        <v>0</v>
      </c>
      <c r="BA376" s="546">
        <f ca="1">IF(AND($D376="Serviço",BA$12&lt;&gt;0,$H376&gt;0,OR(AUTOEVENTO&lt;&gt;"manual",$M376&lt;&gt;1)),
IF(Import.TipoArredondamento&lt;&gt;"TransfereGOV",
ROUND(OFFSET($P376,0,BA$13),15-13*ORÇAMENTO!$AF$7)/$H376*OFFSET(ORÇAMENTO!$X$15,ROW(BA376)-ROW(BA$15),0),
ROUND(ROUND(OFFSET($P376,0,BA$13),15-13*ORÇAMENTO!$AF$7)*OFFSET(ORÇAMENTO!$W$15,ROW(BA376)-ROW(BA$15),0),15-13*ORÇAMENTO!$AF$11)),0)</f>
        <v>0</v>
      </c>
      <c r="BC376" s="181">
        <f ca="1">IF($D376&lt;&gt;"Serviço",0,IF(AND(AUTOEVENTO="Manual",$M376=1),0,IF(OFFSET(CRONOPLE!$F$14,$M376,BC$13)="",10^12,OFFSET(CRONOPLE!$F$14,$M376,BC$13))))</f>
        <v>10</v>
      </c>
      <c r="BD376" s="181">
        <f ca="1">IF($D376&lt;&gt;"Serviço",0,IF(AND(AUTOEVENTO="Manual",$M376=1),0,IF(OFFSET(CRONOPLE!$F$14,$M376,BD$13)="",10^12,OFFSET(CRONOPLE!$F$14,$M376,BD$13))))</f>
        <v>1000000000000</v>
      </c>
      <c r="BE376" s="181">
        <f ca="1">IF($D376&lt;&gt;"Serviço",0,IF(AND(AUTOEVENTO="Manual",$M376=1),0,IF(OFFSET(CRONOPLE!$F$14,$M376,BE$13)="",10^12,OFFSET(CRONOPLE!$F$14,$M376,BE$13))))</f>
        <v>1000000000000</v>
      </c>
      <c r="BF376" s="181">
        <f ca="1">IF($D376&lt;&gt;"Serviço",0,IF(AND(AUTOEVENTO="Manual",$M376=1),0,IF(OFFSET(CRONOPLE!$F$14,$M376,BF$13)="",10^12,OFFSET(CRONOPLE!$F$14,$M376,BF$13))))</f>
        <v>1000000000000</v>
      </c>
      <c r="BG376" s="181">
        <f ca="1">IF($D376&lt;&gt;"Serviço",0,IF(AND(AUTOEVENTO="Manual",$M376=1),0,IF(OFFSET(CRONOPLE!$F$14,$M376,BG$13)="",10^12,OFFSET(CRONOPLE!$F$14,$M376,BG$13))))</f>
        <v>1000000000000</v>
      </c>
      <c r="BH376" s="181">
        <f ca="1">IF($D376&lt;&gt;"Serviço",0,IF(AND(AUTOEVENTO="Manual",$M376=1),0,IF(OFFSET(CRONOPLE!$F$14,$M376,BH$13)="",10^12,OFFSET(CRONOPLE!$F$14,$M376,BH$13))))</f>
        <v>1000000000000</v>
      </c>
      <c r="BI376" s="181">
        <f ca="1">IF($D376&lt;&gt;"Serviço",0,IF(AND(AUTOEVENTO="Manual",$M376=1),0,IF(OFFSET(CRONOPLE!$F$14,$M376,BI$13)="",10^12,OFFSET(CRONOPLE!$F$14,$M376,BI$13))))</f>
        <v>1000000000000</v>
      </c>
      <c r="BJ376" s="181">
        <f ca="1">IF($D376&lt;&gt;"Serviço",0,IF(AND(AUTOEVENTO="Manual",$M376=1),0,IF(OFFSET(CRONOPLE!$F$14,$M376,BJ$13)="",10^12,OFFSET(CRONOPLE!$F$14,$M376,BJ$13))))</f>
        <v>1000000000000</v>
      </c>
      <c r="BK376" s="181">
        <f ca="1">IF($D376&lt;&gt;"Serviço",0,IF(AND(AUTOEVENTO="Manual",$M376=1),0,IF(OFFSET(CRONOPLE!$F$14,$M376,BK$13)="",10^12,OFFSET(CRONOPLE!$F$14,$M376,BK$13))))</f>
        <v>1000000000000</v>
      </c>
      <c r="BL376" s="181">
        <f ca="1">IF($D376&lt;&gt;"Serviço",0,IF(AND(AUTOEVENTO="Manual",$M376=1),0,IF(OFFSET(CRONOPLE!$F$14,$M376,BL$13)="",10^12,OFFSET(CRONOPLE!$F$14,$M376,BL$13))))</f>
        <v>1000000000000</v>
      </c>
      <c r="BM376" s="181">
        <f ca="1">IF($D376&lt;&gt;"Serviço",0,IF(AND(AUTOEVENTO="Manual",$M376=1),0,IF(OFFSET(CRONOPLE!$F$14,$M376,BM$13)="",10^12,OFFSET(CRONOPLE!$F$14,$M376,BM$13))))</f>
        <v>1000000000000</v>
      </c>
      <c r="BN376" s="181">
        <f ca="1">IF($D376&lt;&gt;"Serviço",0,IF(AND(AUTOEVENTO="Manual",$M376=1),0,IF(OFFSET(CRONOPLE!$F$14,$M376,BN$13)="",10^12,OFFSET(CRONOPLE!$F$14,$M376,BN$13))))</f>
        <v>1000000000000</v>
      </c>
      <c r="BO376" s="181">
        <f ca="1">IF($D376&lt;&gt;"Serviço",0,IF(AND(AUTOEVENTO="Manual",$M376=1),0,IF(OFFSET(CRONOPLE!$F$14,$M376,BO$13)="",10^12,OFFSET(CRONOPLE!$F$14,$M376,BO$13))))</f>
        <v>1000000000000</v>
      </c>
      <c r="BP376" s="181">
        <f ca="1">IF($D376&lt;&gt;"Serviço",0,IF(AND(AUTOEVENTO="Manual",$M376=1),0,IF(OFFSET(CRONOPLE!$F$14,$M376,BP$13)="",10^12,OFFSET(CRONOPLE!$F$14,$M376,BP$13))))</f>
        <v>1000000000000</v>
      </c>
      <c r="BQ376" s="181">
        <f ca="1">IF($D376&lt;&gt;"Serviço",0,IF(AND(AUTOEVENTO="Manual",$M376=1),0,IF(OFFSET(CRONOPLE!$F$14,$M376,BQ$13)="",10^12,OFFSET(CRONOPLE!$F$14,$M376,BQ$13))))</f>
        <v>1000000000000</v>
      </c>
      <c r="BR376" s="181">
        <f ca="1">IF($D376&lt;&gt;"Serviço",0,IF(AND(AUTOEVENTO="Manual",$M376=1),0,IF(OFFSET(CRONOPLE!$F$14,$M376,BR$13)="",10^12,OFFSET(CRONOPLE!$F$14,$M376,BR$13))))</f>
        <v>1000000000000</v>
      </c>
      <c r="BS376" s="181">
        <f ca="1">IF($D376&lt;&gt;"Serviço",0,IF(AND(AUTOEVENTO="Manual",$M376=1),0,IF(OFFSET(CRONOPLE!$F$14,$M376,BS$13)="",10^12,OFFSET(CRONOPLE!$F$14,$M376,BS$13))))</f>
        <v>1000000000000</v>
      </c>
      <c r="BT376" s="181">
        <f ca="1">IF($D376&lt;&gt;"Serviço",0,IF(AND(AUTOEVENTO="Manual",$M376=1),0,IF(OFFSET(CRONOPLE!$F$14,$M376,BT$13)="",10^12,OFFSET(CRONOPLE!$F$14,$M376,BT$13))))</f>
        <v>1000000000000</v>
      </c>
      <c r="BV376" s="182">
        <f ca="1">IF($D376&lt;&gt;"Serviço",0,IF(OR(AND(AUTOEVENTO="Manual",$M376=1),$M376&gt;(ROW(PLE.lastrow)-ROW(PLE.firstrow))),0,IF(OFFSET(PLE!$G$14,$M376,BV$13)="",10^12,OFFSET(PLE!$G$14,$M376,BV$13))))</f>
        <v>1000000000000</v>
      </c>
      <c r="BW376" s="182">
        <f ca="1">IF($D376&lt;&gt;"Serviço",0,IF(OR(AND(AUTOEVENTO="Manual",$M376=1),$M376&gt;(ROW(PLE.lastrow)-ROW(PLE.firstrow))),0,IF(OFFSET(PLE!$G$14,$M376,BW$13)="",10^12,OFFSET(PLE!$G$14,$M376,BW$13))))</f>
        <v>1000000000000</v>
      </c>
      <c r="BX376" s="182">
        <f ca="1">IF($D376&lt;&gt;"Serviço",0,IF(OR(AND(AUTOEVENTO="Manual",$M376=1),$M376&gt;(ROW(PLE.lastrow)-ROW(PLE.firstrow))),0,IF(OFFSET(PLE!$G$14,$M376,BX$13)="",10^12,OFFSET(PLE!$G$14,$M376,BX$13))))</f>
        <v>1000000000000</v>
      </c>
      <c r="BY376" s="182">
        <f ca="1">IF($D376&lt;&gt;"Serviço",0,IF(OR(AND(AUTOEVENTO="Manual",$M376=1),$M376&gt;(ROW(PLE.lastrow)-ROW(PLE.firstrow))),0,IF(OFFSET(PLE!$G$14,$M376,BY$13)="",10^12,OFFSET(PLE!$G$14,$M376,BY$13))))</f>
        <v>1000000000000</v>
      </c>
      <c r="BZ376" s="182">
        <f ca="1">IF($D376&lt;&gt;"Serviço",0,IF(OR(AND(AUTOEVENTO="Manual",$M376=1),$M376&gt;(ROW(PLE.lastrow)-ROW(PLE.firstrow))),0,IF(OFFSET(PLE!$G$14,$M376,BZ$13)="",10^12,OFFSET(PLE!$G$14,$M376,BZ$13))))</f>
        <v>1000000000000</v>
      </c>
      <c r="CA376" s="182">
        <f ca="1">IF($D376&lt;&gt;"Serviço",0,IF(OR(AND(AUTOEVENTO="Manual",$M376=1),$M376&gt;(ROW(PLE.lastrow)-ROW(PLE.firstrow))),0,IF(OFFSET(PLE!$G$14,$M376,CA$13)="",10^12,OFFSET(PLE!$G$14,$M376,CA$13))))</f>
        <v>1000000000000</v>
      </c>
      <c r="CB376" s="182">
        <f ca="1">IF($D376&lt;&gt;"Serviço",0,IF(OR(AND(AUTOEVENTO="Manual",$M376=1),$M376&gt;(ROW(PLE.lastrow)-ROW(PLE.firstrow))),0,IF(OFFSET(PLE!$G$14,$M376,CB$13)="",10^12,OFFSET(PLE!$G$14,$M376,CB$13))))</f>
        <v>1000000000000</v>
      </c>
      <c r="CC376" s="182">
        <f ca="1">IF($D376&lt;&gt;"Serviço",0,IF(OR(AND(AUTOEVENTO="Manual",$M376=1),$M376&gt;(ROW(PLE.lastrow)-ROW(PLE.firstrow))),0,IF(OFFSET(PLE!$G$14,$M376,CC$13)="",10^12,OFFSET(PLE!$G$14,$M376,CC$13))))</f>
        <v>1000000000000</v>
      </c>
      <c r="CD376" s="182">
        <f ca="1">IF($D376&lt;&gt;"Serviço",0,IF(OR(AND(AUTOEVENTO="Manual",$M376=1),$M376&gt;(ROW(PLE.lastrow)-ROW(PLE.firstrow))),0,IF(OFFSET(PLE!$G$14,$M376,CD$13)="",10^12,OFFSET(PLE!$G$14,$M376,CD$13))))</f>
        <v>1000000000000</v>
      </c>
      <c r="CE376" s="182">
        <f ca="1">IF($D376&lt;&gt;"Serviço",0,IF(OR(AND(AUTOEVENTO="Manual",$M376=1),$M376&gt;(ROW(PLE.lastrow)-ROW(PLE.firstrow))),0,IF(OFFSET(PLE!$G$14,$M376,CE$13)="",10^12,OFFSET(PLE!$G$14,$M376,CE$13))))</f>
        <v>1000000000000</v>
      </c>
      <c r="CF376" s="182">
        <f ca="1">IF($D376&lt;&gt;"Serviço",0,IF(OR(AND(AUTOEVENTO="Manual",$M376=1),$M376&gt;(ROW(PLE.lastrow)-ROW(PLE.firstrow))),0,IF(OFFSET(PLE!$G$14,$M376,CF$13)="",10^12,OFFSET(PLE!$G$14,$M376,CF$13))))</f>
        <v>1000000000000</v>
      </c>
      <c r="CG376" s="182">
        <f ca="1">IF($D376&lt;&gt;"Serviço",0,IF(OR(AND(AUTOEVENTO="Manual",$M376=1),$M376&gt;(ROW(PLE.lastrow)-ROW(PLE.firstrow))),0,IF(OFFSET(PLE!$G$14,$M376,CG$13)="",10^12,OFFSET(PLE!$G$14,$M376,CG$13))))</f>
        <v>1000000000000</v>
      </c>
      <c r="CH376" s="182">
        <f ca="1">IF($D376&lt;&gt;"Serviço",0,IF(OR(AND(AUTOEVENTO="Manual",$M376=1),$M376&gt;(ROW(PLE.lastrow)-ROW(PLE.firstrow))),0,IF(OFFSET(PLE!$G$14,$M376,CH$13)="",10^12,OFFSET(PLE!$G$14,$M376,CH$13))))</f>
        <v>1000000000000</v>
      </c>
      <c r="CI376" s="182">
        <f ca="1">IF($D376&lt;&gt;"Serviço",0,IF(OR(AND(AUTOEVENTO="Manual",$M376=1),$M376&gt;(ROW(PLE.lastrow)-ROW(PLE.firstrow))),0,IF(OFFSET(PLE!$G$14,$M376,CI$13)="",10^12,OFFSET(PLE!$G$14,$M376,CI$13))))</f>
        <v>1000000000000</v>
      </c>
      <c r="CJ376" s="182">
        <f ca="1">IF($D376&lt;&gt;"Serviço",0,IF(OR(AND(AUTOEVENTO="Manual",$M376=1),$M376&gt;(ROW(PLE.lastrow)-ROW(PLE.firstrow))),0,IF(OFFSET(PLE!$G$14,$M376,CJ$13)="",10^12,OFFSET(PLE!$G$14,$M376,CJ$13))))</f>
        <v>1000000000000</v>
      </c>
      <c r="CK376" s="182">
        <f ca="1">IF($D376&lt;&gt;"Serviço",0,IF(OR(AND(AUTOEVENTO="Manual",$M376=1),$M376&gt;(ROW(PLE.lastrow)-ROW(PLE.firstrow))),0,IF(OFFSET(PLE!$G$14,$M376,CK$13)="",10^12,OFFSET(PLE!$G$14,$M376,CK$13))))</f>
        <v>1000000000000</v>
      </c>
      <c r="CL376" s="182">
        <f ca="1">IF($D376&lt;&gt;"Serviço",0,IF(OR(AND(AUTOEVENTO="Manual",$M376=1),$M376&gt;(ROW(PLE.lastrow)-ROW(PLE.firstrow))),0,IF(OFFSET(PLE!$G$14,$M376,CL$13)="",10^12,OFFSET(PLE!$G$14,$M376,CL$13))))</f>
        <v>1000000000000</v>
      </c>
      <c r="CM376" s="182">
        <f ca="1">IF($D376&lt;&gt;"Serviço",0,IF(OR(AND(AUTOEVENTO="Manual",$M376=1),$M376&gt;(ROW(PLE.lastrow)-ROW(PLE.firstrow))),0,IF(OFFSET(PLE!$G$14,$M376,CM$13)="",10^12,OFFSET(PLE!$G$14,$M376,CM$13))))</f>
        <v>1000000000000</v>
      </c>
    </row>
    <row r="377" spans="1:91" ht="25.5" x14ac:dyDescent="0.2">
      <c r="A377" s="7" t="str">
        <f t="shared" ca="1" si="12"/>
        <v>350</v>
      </c>
      <c r="B377" s="7" t="str">
        <f ca="1">OFFSET(ORÇAMENTO!C$15,ROW(B377)-ROW(B$15),0)</f>
        <v>S</v>
      </c>
      <c r="C377" s="7" t="str">
        <f ca="1">OFFSET(ORÇAMENTO!L$15,ROW(C377)-ROW(C$15),0)</f>
        <v/>
      </c>
      <c r="D377" s="118" t="str">
        <f ca="1">OFFSET(ORÇAMENTO!N$15,ROW(D377)-ROW(D$15),0)</f>
        <v>Serviço</v>
      </c>
      <c r="E377" s="119" t="str">
        <f ca="1">OFFSET(ORÇAMENTO!O$15,ROW(E377)-ROW(E$15),0)</f>
        <v>-</v>
      </c>
      <c r="F377" s="172" t="str">
        <f ca="1">OFFSET(ORÇAMENTO!R$15,ROW(F377)-ROW(F$15),0)</f>
        <v>(abra o arquivo 'Referência 06-2024.xlsm)</v>
      </c>
      <c r="G377" s="173" t="str">
        <f ca="1">IF($D377&lt;&gt;"Serviço","",OFFSET(ORÇAMENTO!S$15,ROW(G377)-ROW(G$15),0))</f>
        <v>-</v>
      </c>
      <c r="H377" s="124">
        <f ca="1">IF($D377&lt;&gt;"Serviço",0,IF(ACOMPANHAMENTO="BM",ROUND(OFFSET(ORÇAMENTO!AJ$15,ROW(H377)-ROW(H$15),0),15-13*ORÇAMENTO!$AF$7),SUMPRODUCT(($Q$12:$AI$12&lt;&gt;"")*ROUND($Q377:$AI377,15-13*ORÇAMENTO!$AF$7))))</f>
        <v>1</v>
      </c>
      <c r="I377" s="561" t="s">
        <v>1107</v>
      </c>
      <c r="K377" s="174"/>
      <c r="L377" s="175" t="s">
        <v>255</v>
      </c>
      <c r="M377" s="176">
        <f ca="1">IF($D377&lt;&gt;"Serviço","",IF(AUTOEVENTO="manual",$A377,IF(ISERROR(MATCH($A377,$A$15:OFFSET($A377,-1,0),0)),MAX($M$15:OFFSET(M377,-1,0))+1,INDEX($M$15:OFFSET(M377,-1,0),MATCH($A377,$A$15:OFFSET($A377,-1,0),0)))))</f>
        <v>44</v>
      </c>
      <c r="N377" s="177" t="str">
        <f ca="1">IF($D377&lt;&gt;"Serviço","",IF(AUTOEVENTO="Manual",IF($A377=0,"&lt;-- defina o número do agrupador",OFFSET(EVENTOS!$D$14,$A377,0)),OFFSET($F$15,$A377,0)))</f>
        <v>LOUÇAS, ACESSÓRIOS E METAIS</v>
      </c>
      <c r="O377" s="178"/>
      <c r="Q377" s="178">
        <v>1</v>
      </c>
      <c r="R377" s="179"/>
      <c r="S377" s="179"/>
      <c r="T377" s="179"/>
      <c r="U377" s="179"/>
      <c r="V377" s="179"/>
      <c r="W377" s="179"/>
      <c r="X377" s="179"/>
      <c r="Y377" s="179"/>
      <c r="Z377" s="180"/>
      <c r="AA377" s="179"/>
      <c r="AB377" s="179"/>
      <c r="AC377" s="179"/>
      <c r="AD377" s="179"/>
      <c r="AE377" s="179"/>
      <c r="AF377" s="179"/>
      <c r="AG377" s="179"/>
      <c r="AH377" s="180"/>
      <c r="AJ377" s="544">
        <f ca="1">IF(AND($D377="Serviço",AJ$12&lt;&gt;0,$H377&gt;0,OR(AUTOEVENTO&lt;&gt;"manual",$M377&lt;&gt;1)),
IF(Import.TipoArredondamento&lt;&gt;"TransfereGOV",
ROUND(OFFSET($P377,0,AJ$13),15-13*ORÇAMENTO!$AF$7)/$H377*OFFSET(ORÇAMENTO!$X$15,ROW(AJ377)-ROW(AJ$15),0),
ROUND(ROUND(OFFSET($P377,0,AJ$13),15-13*ORÇAMENTO!$AF$7)*OFFSET(ORÇAMENTO!$W$15,ROW(AJ377)-ROW(AJ$15),0),15-13*ORÇAMENTO!$AF$11)),0)</f>
        <v>0</v>
      </c>
      <c r="AK377" s="545">
        <f ca="1">IF(AND($D377="Serviço",AK$12&lt;&gt;0,$H377&gt;0,OR(AUTOEVENTO&lt;&gt;"manual",$M377&lt;&gt;1)),
IF(Import.TipoArredondamento&lt;&gt;"TransfereGOV",
ROUND(OFFSET($P377,0,AK$13),15-13*ORÇAMENTO!$AF$7)/$H377*OFFSET(ORÇAMENTO!$X$15,ROW(AK377)-ROW(AK$15),0),
ROUND(ROUND(OFFSET($P377,0,AK$13),15-13*ORÇAMENTO!$AF$7)*OFFSET(ORÇAMENTO!$W$15,ROW(AK377)-ROW(AK$15),0),15-13*ORÇAMENTO!$AF$11)),0)</f>
        <v>0</v>
      </c>
      <c r="AL377" s="545">
        <f ca="1">IF(AND($D377="Serviço",AL$12&lt;&gt;0,$H377&gt;0,OR(AUTOEVENTO&lt;&gt;"manual",$M377&lt;&gt;1)),
IF(Import.TipoArredondamento&lt;&gt;"TransfereGOV",
ROUND(OFFSET($P377,0,AL$13),15-13*ORÇAMENTO!$AF$7)/$H377*OFFSET(ORÇAMENTO!$X$15,ROW(AL377)-ROW(AL$15),0),
ROUND(ROUND(OFFSET($P377,0,AL$13),15-13*ORÇAMENTO!$AF$7)*OFFSET(ORÇAMENTO!$W$15,ROW(AL377)-ROW(AL$15),0),15-13*ORÇAMENTO!$AF$11)),0)</f>
        <v>0</v>
      </c>
      <c r="AM377" s="545">
        <f ca="1">IF(AND($D377="Serviço",AM$12&lt;&gt;0,$H377&gt;0,OR(AUTOEVENTO&lt;&gt;"manual",$M377&lt;&gt;1)),
IF(Import.TipoArredondamento&lt;&gt;"TransfereGOV",
ROUND(OFFSET($P377,0,AM$13),15-13*ORÇAMENTO!$AF$7)/$H377*OFFSET(ORÇAMENTO!$X$15,ROW(AM377)-ROW(AM$15),0),
ROUND(ROUND(OFFSET($P377,0,AM$13),15-13*ORÇAMENTO!$AF$7)*OFFSET(ORÇAMENTO!$W$15,ROW(AM377)-ROW(AM$15),0),15-13*ORÇAMENTO!$AF$11)),0)</f>
        <v>0</v>
      </c>
      <c r="AN377" s="545">
        <f ca="1">IF(AND($D377="Serviço",AN$12&lt;&gt;0,$H377&gt;0,OR(AUTOEVENTO&lt;&gt;"manual",$M377&lt;&gt;1)),
IF(Import.TipoArredondamento&lt;&gt;"TransfereGOV",
ROUND(OFFSET($P377,0,AN$13),15-13*ORÇAMENTO!$AF$7)/$H377*OFFSET(ORÇAMENTO!$X$15,ROW(AN377)-ROW(AN$15),0),
ROUND(ROUND(OFFSET($P377,0,AN$13),15-13*ORÇAMENTO!$AF$7)*OFFSET(ORÇAMENTO!$W$15,ROW(AN377)-ROW(AN$15),0),15-13*ORÇAMENTO!$AF$11)),0)</f>
        <v>0</v>
      </c>
      <c r="AO377" s="545">
        <f ca="1">IF(AND($D377="Serviço",AO$12&lt;&gt;0,$H377&gt;0,OR(AUTOEVENTO&lt;&gt;"manual",$M377&lt;&gt;1)),
IF(Import.TipoArredondamento&lt;&gt;"TransfereGOV",
ROUND(OFFSET($P377,0,AO$13),15-13*ORÇAMENTO!$AF$7)/$H377*OFFSET(ORÇAMENTO!$X$15,ROW(AO377)-ROW(AO$15),0),
ROUND(ROUND(OFFSET($P377,0,AO$13),15-13*ORÇAMENTO!$AF$7)*OFFSET(ORÇAMENTO!$W$15,ROW(AO377)-ROW(AO$15),0),15-13*ORÇAMENTO!$AF$11)),0)</f>
        <v>0</v>
      </c>
      <c r="AP377" s="545">
        <f ca="1">IF(AND($D377="Serviço",AP$12&lt;&gt;0,$H377&gt;0,OR(AUTOEVENTO&lt;&gt;"manual",$M377&lt;&gt;1)),
IF(Import.TipoArredondamento&lt;&gt;"TransfereGOV",
ROUND(OFFSET($P377,0,AP$13),15-13*ORÇAMENTO!$AF$7)/$H377*OFFSET(ORÇAMENTO!$X$15,ROW(AP377)-ROW(AP$15),0),
ROUND(ROUND(OFFSET($P377,0,AP$13),15-13*ORÇAMENTO!$AF$7)*OFFSET(ORÇAMENTO!$W$15,ROW(AP377)-ROW(AP$15),0),15-13*ORÇAMENTO!$AF$11)),0)</f>
        <v>0</v>
      </c>
      <c r="AQ377" s="545">
        <f ca="1">IF(AND($D377="Serviço",AQ$12&lt;&gt;0,$H377&gt;0,OR(AUTOEVENTO&lt;&gt;"manual",$M377&lt;&gt;1)),
IF(Import.TipoArredondamento&lt;&gt;"TransfereGOV",
ROUND(OFFSET($P377,0,AQ$13),15-13*ORÇAMENTO!$AF$7)/$H377*OFFSET(ORÇAMENTO!$X$15,ROW(AQ377)-ROW(AQ$15),0),
ROUND(ROUND(OFFSET($P377,0,AQ$13),15-13*ORÇAMENTO!$AF$7)*OFFSET(ORÇAMENTO!$W$15,ROW(AQ377)-ROW(AQ$15),0),15-13*ORÇAMENTO!$AF$11)),0)</f>
        <v>0</v>
      </c>
      <c r="AR377" s="545">
        <f ca="1">IF(AND($D377="Serviço",AR$12&lt;&gt;0,$H377&gt;0,OR(AUTOEVENTO&lt;&gt;"manual",$M377&lt;&gt;1)),
IF(Import.TipoArredondamento&lt;&gt;"TransfereGOV",
ROUND(OFFSET($P377,0,AR$13),15-13*ORÇAMENTO!$AF$7)/$H377*OFFSET(ORÇAMENTO!$X$15,ROW(AR377)-ROW(AR$15),0),
ROUND(ROUND(OFFSET($P377,0,AR$13),15-13*ORÇAMENTO!$AF$7)*OFFSET(ORÇAMENTO!$W$15,ROW(AR377)-ROW(AR$15),0),15-13*ORÇAMENTO!$AF$11)),0)</f>
        <v>0</v>
      </c>
      <c r="AS377" s="546">
        <f ca="1">IF(AND($D377="Serviço",AS$12&lt;&gt;0,$H377&gt;0,OR(AUTOEVENTO&lt;&gt;"manual",$M377&lt;&gt;1)),
IF(Import.TipoArredondamento&lt;&gt;"TransfereGOV",
ROUND(OFFSET($P377,0,AS$13),15-13*ORÇAMENTO!$AF$7)/$H377*OFFSET(ORÇAMENTO!$X$15,ROW(AS377)-ROW(AS$15),0),
ROUND(ROUND(OFFSET($P377,0,AS$13),15-13*ORÇAMENTO!$AF$7)*OFFSET(ORÇAMENTO!$W$15,ROW(AS377)-ROW(AS$15),0),15-13*ORÇAMENTO!$AF$11)),0)</f>
        <v>0</v>
      </c>
      <c r="AT377" s="545">
        <f ca="1">IF(AND($D377="Serviço",AT$12&lt;&gt;0,$H377&gt;0,OR(AUTOEVENTO&lt;&gt;"manual",$M377&lt;&gt;1)),
IF(Import.TipoArredondamento&lt;&gt;"TransfereGOV",
ROUND(OFFSET($P377,0,AT$13),15-13*ORÇAMENTO!$AF$7)/$H377*OFFSET(ORÇAMENTO!$X$15,ROW(AT377)-ROW(AT$15),0),
ROUND(ROUND(OFFSET($P377,0,AT$13),15-13*ORÇAMENTO!$AF$7)*OFFSET(ORÇAMENTO!$W$15,ROW(AT377)-ROW(AT$15),0),15-13*ORÇAMENTO!$AF$11)),0)</f>
        <v>0</v>
      </c>
      <c r="AU377" s="545">
        <f ca="1">IF(AND($D377="Serviço",AU$12&lt;&gt;0,$H377&gt;0,OR(AUTOEVENTO&lt;&gt;"manual",$M377&lt;&gt;1)),
IF(Import.TipoArredondamento&lt;&gt;"TransfereGOV",
ROUND(OFFSET($P377,0,AU$13),15-13*ORÇAMENTO!$AF$7)/$H377*OFFSET(ORÇAMENTO!$X$15,ROW(AU377)-ROW(AU$15),0),
ROUND(ROUND(OFFSET($P377,0,AU$13),15-13*ORÇAMENTO!$AF$7)*OFFSET(ORÇAMENTO!$W$15,ROW(AU377)-ROW(AU$15),0),15-13*ORÇAMENTO!$AF$11)),0)</f>
        <v>0</v>
      </c>
      <c r="AV377" s="545">
        <f ca="1">IF(AND($D377="Serviço",AV$12&lt;&gt;0,$H377&gt;0,OR(AUTOEVENTO&lt;&gt;"manual",$M377&lt;&gt;1)),
IF(Import.TipoArredondamento&lt;&gt;"TransfereGOV",
ROUND(OFFSET($P377,0,AV$13),15-13*ORÇAMENTO!$AF$7)/$H377*OFFSET(ORÇAMENTO!$X$15,ROW(AV377)-ROW(AV$15),0),
ROUND(ROUND(OFFSET($P377,0,AV$13),15-13*ORÇAMENTO!$AF$7)*OFFSET(ORÇAMENTO!$W$15,ROW(AV377)-ROW(AV$15),0),15-13*ORÇAMENTO!$AF$11)),0)</f>
        <v>0</v>
      </c>
      <c r="AW377" s="545">
        <f ca="1">IF(AND($D377="Serviço",AW$12&lt;&gt;0,$H377&gt;0,OR(AUTOEVENTO&lt;&gt;"manual",$M377&lt;&gt;1)),
IF(Import.TipoArredondamento&lt;&gt;"TransfereGOV",
ROUND(OFFSET($P377,0,AW$13),15-13*ORÇAMENTO!$AF$7)/$H377*OFFSET(ORÇAMENTO!$X$15,ROW(AW377)-ROW(AW$15),0),
ROUND(ROUND(OFFSET($P377,0,AW$13),15-13*ORÇAMENTO!$AF$7)*OFFSET(ORÇAMENTO!$W$15,ROW(AW377)-ROW(AW$15),0),15-13*ORÇAMENTO!$AF$11)),0)</f>
        <v>0</v>
      </c>
      <c r="AX377" s="545">
        <f ca="1">IF(AND($D377="Serviço",AX$12&lt;&gt;0,$H377&gt;0,OR(AUTOEVENTO&lt;&gt;"manual",$M377&lt;&gt;1)),
IF(Import.TipoArredondamento&lt;&gt;"TransfereGOV",
ROUND(OFFSET($P377,0,AX$13),15-13*ORÇAMENTO!$AF$7)/$H377*OFFSET(ORÇAMENTO!$X$15,ROW(AX377)-ROW(AX$15),0),
ROUND(ROUND(OFFSET($P377,0,AX$13),15-13*ORÇAMENTO!$AF$7)*OFFSET(ORÇAMENTO!$W$15,ROW(AX377)-ROW(AX$15),0),15-13*ORÇAMENTO!$AF$11)),0)</f>
        <v>0</v>
      </c>
      <c r="AY377" s="545">
        <f ca="1">IF(AND($D377="Serviço",AY$12&lt;&gt;0,$H377&gt;0,OR(AUTOEVENTO&lt;&gt;"manual",$M377&lt;&gt;1)),
IF(Import.TipoArredondamento&lt;&gt;"TransfereGOV",
ROUND(OFFSET($P377,0,AY$13),15-13*ORÇAMENTO!$AF$7)/$H377*OFFSET(ORÇAMENTO!$X$15,ROW(AY377)-ROW(AY$15),0),
ROUND(ROUND(OFFSET($P377,0,AY$13),15-13*ORÇAMENTO!$AF$7)*OFFSET(ORÇAMENTO!$W$15,ROW(AY377)-ROW(AY$15),0),15-13*ORÇAMENTO!$AF$11)),0)</f>
        <v>0</v>
      </c>
      <c r="AZ377" s="545">
        <f ca="1">IF(AND($D377="Serviço",AZ$12&lt;&gt;0,$H377&gt;0,OR(AUTOEVENTO&lt;&gt;"manual",$M377&lt;&gt;1)),
IF(Import.TipoArredondamento&lt;&gt;"TransfereGOV",
ROUND(OFFSET($P377,0,AZ$13),15-13*ORÇAMENTO!$AF$7)/$H377*OFFSET(ORÇAMENTO!$X$15,ROW(AZ377)-ROW(AZ$15),0),
ROUND(ROUND(OFFSET($P377,0,AZ$13),15-13*ORÇAMENTO!$AF$7)*OFFSET(ORÇAMENTO!$W$15,ROW(AZ377)-ROW(AZ$15),0),15-13*ORÇAMENTO!$AF$11)),0)</f>
        <v>0</v>
      </c>
      <c r="BA377" s="546">
        <f ca="1">IF(AND($D377="Serviço",BA$12&lt;&gt;0,$H377&gt;0,OR(AUTOEVENTO&lt;&gt;"manual",$M377&lt;&gt;1)),
IF(Import.TipoArredondamento&lt;&gt;"TransfereGOV",
ROUND(OFFSET($P377,0,BA$13),15-13*ORÇAMENTO!$AF$7)/$H377*OFFSET(ORÇAMENTO!$X$15,ROW(BA377)-ROW(BA$15),0),
ROUND(ROUND(OFFSET($P377,0,BA$13),15-13*ORÇAMENTO!$AF$7)*OFFSET(ORÇAMENTO!$W$15,ROW(BA377)-ROW(BA$15),0),15-13*ORÇAMENTO!$AF$11)),0)</f>
        <v>0</v>
      </c>
      <c r="BC377" s="181">
        <f ca="1">IF($D377&lt;&gt;"Serviço",0,IF(AND(AUTOEVENTO="Manual",$M377=1),0,IF(OFFSET(CRONOPLE!$F$14,$M377,BC$13)="",10^12,OFFSET(CRONOPLE!$F$14,$M377,BC$13))))</f>
        <v>10</v>
      </c>
      <c r="BD377" s="181">
        <f ca="1">IF($D377&lt;&gt;"Serviço",0,IF(AND(AUTOEVENTO="Manual",$M377=1),0,IF(OFFSET(CRONOPLE!$F$14,$M377,BD$13)="",10^12,OFFSET(CRONOPLE!$F$14,$M377,BD$13))))</f>
        <v>1000000000000</v>
      </c>
      <c r="BE377" s="181">
        <f ca="1">IF($D377&lt;&gt;"Serviço",0,IF(AND(AUTOEVENTO="Manual",$M377=1),0,IF(OFFSET(CRONOPLE!$F$14,$M377,BE$13)="",10^12,OFFSET(CRONOPLE!$F$14,$M377,BE$13))))</f>
        <v>1000000000000</v>
      </c>
      <c r="BF377" s="181">
        <f ca="1">IF($D377&lt;&gt;"Serviço",0,IF(AND(AUTOEVENTO="Manual",$M377=1),0,IF(OFFSET(CRONOPLE!$F$14,$M377,BF$13)="",10^12,OFFSET(CRONOPLE!$F$14,$M377,BF$13))))</f>
        <v>1000000000000</v>
      </c>
      <c r="BG377" s="181">
        <f ca="1">IF($D377&lt;&gt;"Serviço",0,IF(AND(AUTOEVENTO="Manual",$M377=1),0,IF(OFFSET(CRONOPLE!$F$14,$M377,BG$13)="",10^12,OFFSET(CRONOPLE!$F$14,$M377,BG$13))))</f>
        <v>1000000000000</v>
      </c>
      <c r="BH377" s="181">
        <f ca="1">IF($D377&lt;&gt;"Serviço",0,IF(AND(AUTOEVENTO="Manual",$M377=1),0,IF(OFFSET(CRONOPLE!$F$14,$M377,BH$13)="",10^12,OFFSET(CRONOPLE!$F$14,$M377,BH$13))))</f>
        <v>1000000000000</v>
      </c>
      <c r="BI377" s="181">
        <f ca="1">IF($D377&lt;&gt;"Serviço",0,IF(AND(AUTOEVENTO="Manual",$M377=1),0,IF(OFFSET(CRONOPLE!$F$14,$M377,BI$13)="",10^12,OFFSET(CRONOPLE!$F$14,$M377,BI$13))))</f>
        <v>1000000000000</v>
      </c>
      <c r="BJ377" s="181">
        <f ca="1">IF($D377&lt;&gt;"Serviço",0,IF(AND(AUTOEVENTO="Manual",$M377=1),0,IF(OFFSET(CRONOPLE!$F$14,$M377,BJ$13)="",10^12,OFFSET(CRONOPLE!$F$14,$M377,BJ$13))))</f>
        <v>1000000000000</v>
      </c>
      <c r="BK377" s="181">
        <f ca="1">IF($D377&lt;&gt;"Serviço",0,IF(AND(AUTOEVENTO="Manual",$M377=1),0,IF(OFFSET(CRONOPLE!$F$14,$M377,BK$13)="",10^12,OFFSET(CRONOPLE!$F$14,$M377,BK$13))))</f>
        <v>1000000000000</v>
      </c>
      <c r="BL377" s="181">
        <f ca="1">IF($D377&lt;&gt;"Serviço",0,IF(AND(AUTOEVENTO="Manual",$M377=1),0,IF(OFFSET(CRONOPLE!$F$14,$M377,BL$13)="",10^12,OFFSET(CRONOPLE!$F$14,$M377,BL$13))))</f>
        <v>1000000000000</v>
      </c>
      <c r="BM377" s="181">
        <f ca="1">IF($D377&lt;&gt;"Serviço",0,IF(AND(AUTOEVENTO="Manual",$M377=1),0,IF(OFFSET(CRONOPLE!$F$14,$M377,BM$13)="",10^12,OFFSET(CRONOPLE!$F$14,$M377,BM$13))))</f>
        <v>1000000000000</v>
      </c>
      <c r="BN377" s="181">
        <f ca="1">IF($D377&lt;&gt;"Serviço",0,IF(AND(AUTOEVENTO="Manual",$M377=1),0,IF(OFFSET(CRONOPLE!$F$14,$M377,BN$13)="",10^12,OFFSET(CRONOPLE!$F$14,$M377,BN$13))))</f>
        <v>1000000000000</v>
      </c>
      <c r="BO377" s="181">
        <f ca="1">IF($D377&lt;&gt;"Serviço",0,IF(AND(AUTOEVENTO="Manual",$M377=1),0,IF(OFFSET(CRONOPLE!$F$14,$M377,BO$13)="",10^12,OFFSET(CRONOPLE!$F$14,$M377,BO$13))))</f>
        <v>1000000000000</v>
      </c>
      <c r="BP377" s="181">
        <f ca="1">IF($D377&lt;&gt;"Serviço",0,IF(AND(AUTOEVENTO="Manual",$M377=1),0,IF(OFFSET(CRONOPLE!$F$14,$M377,BP$13)="",10^12,OFFSET(CRONOPLE!$F$14,$M377,BP$13))))</f>
        <v>1000000000000</v>
      </c>
      <c r="BQ377" s="181">
        <f ca="1">IF($D377&lt;&gt;"Serviço",0,IF(AND(AUTOEVENTO="Manual",$M377=1),0,IF(OFFSET(CRONOPLE!$F$14,$M377,BQ$13)="",10^12,OFFSET(CRONOPLE!$F$14,$M377,BQ$13))))</f>
        <v>1000000000000</v>
      </c>
      <c r="BR377" s="181">
        <f ca="1">IF($D377&lt;&gt;"Serviço",0,IF(AND(AUTOEVENTO="Manual",$M377=1),0,IF(OFFSET(CRONOPLE!$F$14,$M377,BR$13)="",10^12,OFFSET(CRONOPLE!$F$14,$M377,BR$13))))</f>
        <v>1000000000000</v>
      </c>
      <c r="BS377" s="181">
        <f ca="1">IF($D377&lt;&gt;"Serviço",0,IF(AND(AUTOEVENTO="Manual",$M377=1),0,IF(OFFSET(CRONOPLE!$F$14,$M377,BS$13)="",10^12,OFFSET(CRONOPLE!$F$14,$M377,BS$13))))</f>
        <v>1000000000000</v>
      </c>
      <c r="BT377" s="181">
        <f ca="1">IF($D377&lt;&gt;"Serviço",0,IF(AND(AUTOEVENTO="Manual",$M377=1),0,IF(OFFSET(CRONOPLE!$F$14,$M377,BT$13)="",10^12,OFFSET(CRONOPLE!$F$14,$M377,BT$13))))</f>
        <v>1000000000000</v>
      </c>
      <c r="BV377" s="182">
        <f ca="1">IF($D377&lt;&gt;"Serviço",0,IF(OR(AND(AUTOEVENTO="Manual",$M377=1),$M377&gt;(ROW(PLE.lastrow)-ROW(PLE.firstrow))),0,IF(OFFSET(PLE!$G$14,$M377,BV$13)="",10^12,OFFSET(PLE!$G$14,$M377,BV$13))))</f>
        <v>1000000000000</v>
      </c>
      <c r="BW377" s="182">
        <f ca="1">IF($D377&lt;&gt;"Serviço",0,IF(OR(AND(AUTOEVENTO="Manual",$M377=1),$M377&gt;(ROW(PLE.lastrow)-ROW(PLE.firstrow))),0,IF(OFFSET(PLE!$G$14,$M377,BW$13)="",10^12,OFFSET(PLE!$G$14,$M377,BW$13))))</f>
        <v>1000000000000</v>
      </c>
      <c r="BX377" s="182">
        <f ca="1">IF($D377&lt;&gt;"Serviço",0,IF(OR(AND(AUTOEVENTO="Manual",$M377=1),$M377&gt;(ROW(PLE.lastrow)-ROW(PLE.firstrow))),0,IF(OFFSET(PLE!$G$14,$M377,BX$13)="",10^12,OFFSET(PLE!$G$14,$M377,BX$13))))</f>
        <v>1000000000000</v>
      </c>
      <c r="BY377" s="182">
        <f ca="1">IF($D377&lt;&gt;"Serviço",0,IF(OR(AND(AUTOEVENTO="Manual",$M377=1),$M377&gt;(ROW(PLE.lastrow)-ROW(PLE.firstrow))),0,IF(OFFSET(PLE!$G$14,$M377,BY$13)="",10^12,OFFSET(PLE!$G$14,$M377,BY$13))))</f>
        <v>1000000000000</v>
      </c>
      <c r="BZ377" s="182">
        <f ca="1">IF($D377&lt;&gt;"Serviço",0,IF(OR(AND(AUTOEVENTO="Manual",$M377=1),$M377&gt;(ROW(PLE.lastrow)-ROW(PLE.firstrow))),0,IF(OFFSET(PLE!$G$14,$M377,BZ$13)="",10^12,OFFSET(PLE!$G$14,$M377,BZ$13))))</f>
        <v>1000000000000</v>
      </c>
      <c r="CA377" s="182">
        <f ca="1">IF($D377&lt;&gt;"Serviço",0,IF(OR(AND(AUTOEVENTO="Manual",$M377=1),$M377&gt;(ROW(PLE.lastrow)-ROW(PLE.firstrow))),0,IF(OFFSET(PLE!$G$14,$M377,CA$13)="",10^12,OFFSET(PLE!$G$14,$M377,CA$13))))</f>
        <v>1000000000000</v>
      </c>
      <c r="CB377" s="182">
        <f ca="1">IF($D377&lt;&gt;"Serviço",0,IF(OR(AND(AUTOEVENTO="Manual",$M377=1),$M377&gt;(ROW(PLE.lastrow)-ROW(PLE.firstrow))),0,IF(OFFSET(PLE!$G$14,$M377,CB$13)="",10^12,OFFSET(PLE!$G$14,$M377,CB$13))))</f>
        <v>1000000000000</v>
      </c>
      <c r="CC377" s="182">
        <f ca="1">IF($D377&lt;&gt;"Serviço",0,IF(OR(AND(AUTOEVENTO="Manual",$M377=1),$M377&gt;(ROW(PLE.lastrow)-ROW(PLE.firstrow))),0,IF(OFFSET(PLE!$G$14,$M377,CC$13)="",10^12,OFFSET(PLE!$G$14,$M377,CC$13))))</f>
        <v>1000000000000</v>
      </c>
      <c r="CD377" s="182">
        <f ca="1">IF($D377&lt;&gt;"Serviço",0,IF(OR(AND(AUTOEVENTO="Manual",$M377=1),$M377&gt;(ROW(PLE.lastrow)-ROW(PLE.firstrow))),0,IF(OFFSET(PLE!$G$14,$M377,CD$13)="",10^12,OFFSET(PLE!$G$14,$M377,CD$13))))</f>
        <v>1000000000000</v>
      </c>
      <c r="CE377" s="182">
        <f ca="1">IF($D377&lt;&gt;"Serviço",0,IF(OR(AND(AUTOEVENTO="Manual",$M377=1),$M377&gt;(ROW(PLE.lastrow)-ROW(PLE.firstrow))),0,IF(OFFSET(PLE!$G$14,$M377,CE$13)="",10^12,OFFSET(PLE!$G$14,$M377,CE$13))))</f>
        <v>1000000000000</v>
      </c>
      <c r="CF377" s="182">
        <f ca="1">IF($D377&lt;&gt;"Serviço",0,IF(OR(AND(AUTOEVENTO="Manual",$M377=1),$M377&gt;(ROW(PLE.lastrow)-ROW(PLE.firstrow))),0,IF(OFFSET(PLE!$G$14,$M377,CF$13)="",10^12,OFFSET(PLE!$G$14,$M377,CF$13))))</f>
        <v>1000000000000</v>
      </c>
      <c r="CG377" s="182">
        <f ca="1">IF($D377&lt;&gt;"Serviço",0,IF(OR(AND(AUTOEVENTO="Manual",$M377=1),$M377&gt;(ROW(PLE.lastrow)-ROW(PLE.firstrow))),0,IF(OFFSET(PLE!$G$14,$M377,CG$13)="",10^12,OFFSET(PLE!$G$14,$M377,CG$13))))</f>
        <v>1000000000000</v>
      </c>
      <c r="CH377" s="182">
        <f ca="1">IF($D377&lt;&gt;"Serviço",0,IF(OR(AND(AUTOEVENTO="Manual",$M377=1),$M377&gt;(ROW(PLE.lastrow)-ROW(PLE.firstrow))),0,IF(OFFSET(PLE!$G$14,$M377,CH$13)="",10^12,OFFSET(PLE!$G$14,$M377,CH$13))))</f>
        <v>1000000000000</v>
      </c>
      <c r="CI377" s="182">
        <f ca="1">IF($D377&lt;&gt;"Serviço",0,IF(OR(AND(AUTOEVENTO="Manual",$M377=1),$M377&gt;(ROW(PLE.lastrow)-ROW(PLE.firstrow))),0,IF(OFFSET(PLE!$G$14,$M377,CI$13)="",10^12,OFFSET(PLE!$G$14,$M377,CI$13))))</f>
        <v>1000000000000</v>
      </c>
      <c r="CJ377" s="182">
        <f ca="1">IF($D377&lt;&gt;"Serviço",0,IF(OR(AND(AUTOEVENTO="Manual",$M377=1),$M377&gt;(ROW(PLE.lastrow)-ROW(PLE.firstrow))),0,IF(OFFSET(PLE!$G$14,$M377,CJ$13)="",10^12,OFFSET(PLE!$G$14,$M377,CJ$13))))</f>
        <v>1000000000000</v>
      </c>
      <c r="CK377" s="182">
        <f ca="1">IF($D377&lt;&gt;"Serviço",0,IF(OR(AND(AUTOEVENTO="Manual",$M377=1),$M377&gt;(ROW(PLE.lastrow)-ROW(PLE.firstrow))),0,IF(OFFSET(PLE!$G$14,$M377,CK$13)="",10^12,OFFSET(PLE!$G$14,$M377,CK$13))))</f>
        <v>1000000000000</v>
      </c>
      <c r="CL377" s="182">
        <f ca="1">IF($D377&lt;&gt;"Serviço",0,IF(OR(AND(AUTOEVENTO="Manual",$M377=1),$M377&gt;(ROW(PLE.lastrow)-ROW(PLE.firstrow))),0,IF(OFFSET(PLE!$G$14,$M377,CL$13)="",10^12,OFFSET(PLE!$G$14,$M377,CL$13))))</f>
        <v>1000000000000</v>
      </c>
      <c r="CM377" s="182">
        <f ca="1">IF($D377&lt;&gt;"Serviço",0,IF(OR(AND(AUTOEVENTO="Manual",$M377=1),$M377&gt;(ROW(PLE.lastrow)-ROW(PLE.firstrow))),0,IF(OFFSET(PLE!$G$14,$M377,CM$13)="",10^12,OFFSET(PLE!$G$14,$M377,CM$13))))</f>
        <v>1000000000000</v>
      </c>
    </row>
    <row r="378" spans="1:91" ht="38.25" x14ac:dyDescent="0.2">
      <c r="A378" s="7" t="str">
        <f t="shared" ca="1" si="12"/>
        <v>350</v>
      </c>
      <c r="B378" s="7" t="str">
        <f ca="1">OFFSET(ORÇAMENTO!C$15,ROW(B378)-ROW(B$15),0)</f>
        <v>S</v>
      </c>
      <c r="C378" s="7" t="str">
        <f ca="1">OFFSET(ORÇAMENTO!L$15,ROW(C378)-ROW(C$15),0)</f>
        <v/>
      </c>
      <c r="D378" s="118" t="str">
        <f ca="1">OFFSET(ORÇAMENTO!N$15,ROW(D378)-ROW(D$15),0)</f>
        <v>Serviço</v>
      </c>
      <c r="E378" s="119" t="str">
        <f ca="1">OFFSET(ORÇAMENTO!O$15,ROW(E378)-ROW(E$15),0)</f>
        <v>-</v>
      </c>
      <c r="F378" s="172" t="str">
        <f ca="1">OFFSET(ORÇAMENTO!R$15,ROW(F378)-ROW(F$15),0)</f>
        <v>(abra o arquivo 'Referência 06-2024.xlsm)</v>
      </c>
      <c r="G378" s="173" t="str">
        <f ca="1">IF($D378&lt;&gt;"Serviço","",OFFSET(ORÇAMENTO!S$15,ROW(G378)-ROW(G$15),0))</f>
        <v>-</v>
      </c>
      <c r="H378" s="124">
        <f ca="1">IF($D378&lt;&gt;"Serviço",0,IF(ACOMPANHAMENTO="BM",ROUND(OFFSET(ORÇAMENTO!AJ$15,ROW(H378)-ROW(H$15),0),15-13*ORÇAMENTO!$AF$7),SUMPRODUCT(($Q$12:$AI$12&lt;&gt;"")*ROUND($Q378:$AI378,15-13*ORÇAMENTO!$AF$7))))</f>
        <v>42</v>
      </c>
      <c r="I378" s="561" t="s">
        <v>1107</v>
      </c>
      <c r="K378" s="174"/>
      <c r="L378" s="175" t="s">
        <v>255</v>
      </c>
      <c r="M378" s="176">
        <f ca="1">IF($D378&lt;&gt;"Serviço","",IF(AUTOEVENTO="manual",$A378,IF(ISERROR(MATCH($A378,$A$15:OFFSET($A378,-1,0),0)),MAX($M$15:OFFSET(M378,-1,0))+1,INDEX($M$15:OFFSET(M378,-1,0),MATCH($A378,$A$15:OFFSET($A378,-1,0),0)))))</f>
        <v>44</v>
      </c>
      <c r="N378" s="177" t="str">
        <f ca="1">IF($D378&lt;&gt;"Serviço","",IF(AUTOEVENTO="Manual",IF($A378=0,"&lt;-- defina o número do agrupador",OFFSET(EVENTOS!$D$14,$A378,0)),OFFSET($F$15,$A378,0)))</f>
        <v>LOUÇAS, ACESSÓRIOS E METAIS</v>
      </c>
      <c r="O378" s="178"/>
      <c r="Q378" s="178">
        <v>42</v>
      </c>
      <c r="R378" s="179"/>
      <c r="S378" s="179"/>
      <c r="T378" s="179"/>
      <c r="U378" s="179"/>
      <c r="V378" s="179"/>
      <c r="W378" s="179"/>
      <c r="X378" s="179"/>
      <c r="Y378" s="179"/>
      <c r="Z378" s="180"/>
      <c r="AA378" s="179"/>
      <c r="AB378" s="179"/>
      <c r="AC378" s="179"/>
      <c r="AD378" s="179"/>
      <c r="AE378" s="179"/>
      <c r="AF378" s="179"/>
      <c r="AG378" s="179"/>
      <c r="AH378" s="180"/>
      <c r="AJ378" s="544">
        <f ca="1">IF(AND($D378="Serviço",AJ$12&lt;&gt;0,$H378&gt;0,OR(AUTOEVENTO&lt;&gt;"manual",$M378&lt;&gt;1)),
IF(Import.TipoArredondamento&lt;&gt;"TransfereGOV",
ROUND(OFFSET($P378,0,AJ$13),15-13*ORÇAMENTO!$AF$7)/$H378*OFFSET(ORÇAMENTO!$X$15,ROW(AJ378)-ROW(AJ$15),0),
ROUND(ROUND(OFFSET($P378,0,AJ$13),15-13*ORÇAMENTO!$AF$7)*OFFSET(ORÇAMENTO!$W$15,ROW(AJ378)-ROW(AJ$15),0),15-13*ORÇAMENTO!$AF$11)),0)</f>
        <v>0</v>
      </c>
      <c r="AK378" s="545">
        <f ca="1">IF(AND($D378="Serviço",AK$12&lt;&gt;0,$H378&gt;0,OR(AUTOEVENTO&lt;&gt;"manual",$M378&lt;&gt;1)),
IF(Import.TipoArredondamento&lt;&gt;"TransfereGOV",
ROUND(OFFSET($P378,0,AK$13),15-13*ORÇAMENTO!$AF$7)/$H378*OFFSET(ORÇAMENTO!$X$15,ROW(AK378)-ROW(AK$15),0),
ROUND(ROUND(OFFSET($P378,0,AK$13),15-13*ORÇAMENTO!$AF$7)*OFFSET(ORÇAMENTO!$W$15,ROW(AK378)-ROW(AK$15),0),15-13*ORÇAMENTO!$AF$11)),0)</f>
        <v>0</v>
      </c>
      <c r="AL378" s="545">
        <f ca="1">IF(AND($D378="Serviço",AL$12&lt;&gt;0,$H378&gt;0,OR(AUTOEVENTO&lt;&gt;"manual",$M378&lt;&gt;1)),
IF(Import.TipoArredondamento&lt;&gt;"TransfereGOV",
ROUND(OFFSET($P378,0,AL$13),15-13*ORÇAMENTO!$AF$7)/$H378*OFFSET(ORÇAMENTO!$X$15,ROW(AL378)-ROW(AL$15),0),
ROUND(ROUND(OFFSET($P378,0,AL$13),15-13*ORÇAMENTO!$AF$7)*OFFSET(ORÇAMENTO!$W$15,ROW(AL378)-ROW(AL$15),0),15-13*ORÇAMENTO!$AF$11)),0)</f>
        <v>0</v>
      </c>
      <c r="AM378" s="545">
        <f ca="1">IF(AND($D378="Serviço",AM$12&lt;&gt;0,$H378&gt;0,OR(AUTOEVENTO&lt;&gt;"manual",$M378&lt;&gt;1)),
IF(Import.TipoArredondamento&lt;&gt;"TransfereGOV",
ROUND(OFFSET($P378,0,AM$13),15-13*ORÇAMENTO!$AF$7)/$H378*OFFSET(ORÇAMENTO!$X$15,ROW(AM378)-ROW(AM$15),0),
ROUND(ROUND(OFFSET($P378,0,AM$13),15-13*ORÇAMENTO!$AF$7)*OFFSET(ORÇAMENTO!$W$15,ROW(AM378)-ROW(AM$15),0),15-13*ORÇAMENTO!$AF$11)),0)</f>
        <v>0</v>
      </c>
      <c r="AN378" s="545">
        <f ca="1">IF(AND($D378="Serviço",AN$12&lt;&gt;0,$H378&gt;0,OR(AUTOEVENTO&lt;&gt;"manual",$M378&lt;&gt;1)),
IF(Import.TipoArredondamento&lt;&gt;"TransfereGOV",
ROUND(OFFSET($P378,0,AN$13),15-13*ORÇAMENTO!$AF$7)/$H378*OFFSET(ORÇAMENTO!$X$15,ROW(AN378)-ROW(AN$15),0),
ROUND(ROUND(OFFSET($P378,0,AN$13),15-13*ORÇAMENTO!$AF$7)*OFFSET(ORÇAMENTO!$W$15,ROW(AN378)-ROW(AN$15),0),15-13*ORÇAMENTO!$AF$11)),0)</f>
        <v>0</v>
      </c>
      <c r="AO378" s="545">
        <f ca="1">IF(AND($D378="Serviço",AO$12&lt;&gt;0,$H378&gt;0,OR(AUTOEVENTO&lt;&gt;"manual",$M378&lt;&gt;1)),
IF(Import.TipoArredondamento&lt;&gt;"TransfereGOV",
ROUND(OFFSET($P378,0,AO$13),15-13*ORÇAMENTO!$AF$7)/$H378*OFFSET(ORÇAMENTO!$X$15,ROW(AO378)-ROW(AO$15),0),
ROUND(ROUND(OFFSET($P378,0,AO$13),15-13*ORÇAMENTO!$AF$7)*OFFSET(ORÇAMENTO!$W$15,ROW(AO378)-ROW(AO$15),0),15-13*ORÇAMENTO!$AF$11)),0)</f>
        <v>0</v>
      </c>
      <c r="AP378" s="545">
        <f ca="1">IF(AND($D378="Serviço",AP$12&lt;&gt;0,$H378&gt;0,OR(AUTOEVENTO&lt;&gt;"manual",$M378&lt;&gt;1)),
IF(Import.TipoArredondamento&lt;&gt;"TransfereGOV",
ROUND(OFFSET($P378,0,AP$13),15-13*ORÇAMENTO!$AF$7)/$H378*OFFSET(ORÇAMENTO!$X$15,ROW(AP378)-ROW(AP$15),0),
ROUND(ROUND(OFFSET($P378,0,AP$13),15-13*ORÇAMENTO!$AF$7)*OFFSET(ORÇAMENTO!$W$15,ROW(AP378)-ROW(AP$15),0),15-13*ORÇAMENTO!$AF$11)),0)</f>
        <v>0</v>
      </c>
      <c r="AQ378" s="545">
        <f ca="1">IF(AND($D378="Serviço",AQ$12&lt;&gt;0,$H378&gt;0,OR(AUTOEVENTO&lt;&gt;"manual",$M378&lt;&gt;1)),
IF(Import.TipoArredondamento&lt;&gt;"TransfereGOV",
ROUND(OFFSET($P378,0,AQ$13),15-13*ORÇAMENTO!$AF$7)/$H378*OFFSET(ORÇAMENTO!$X$15,ROW(AQ378)-ROW(AQ$15),0),
ROUND(ROUND(OFFSET($P378,0,AQ$13),15-13*ORÇAMENTO!$AF$7)*OFFSET(ORÇAMENTO!$W$15,ROW(AQ378)-ROW(AQ$15),0),15-13*ORÇAMENTO!$AF$11)),0)</f>
        <v>0</v>
      </c>
      <c r="AR378" s="545">
        <f ca="1">IF(AND($D378="Serviço",AR$12&lt;&gt;0,$H378&gt;0,OR(AUTOEVENTO&lt;&gt;"manual",$M378&lt;&gt;1)),
IF(Import.TipoArredondamento&lt;&gt;"TransfereGOV",
ROUND(OFFSET($P378,0,AR$13),15-13*ORÇAMENTO!$AF$7)/$H378*OFFSET(ORÇAMENTO!$X$15,ROW(AR378)-ROW(AR$15),0),
ROUND(ROUND(OFFSET($P378,0,AR$13),15-13*ORÇAMENTO!$AF$7)*OFFSET(ORÇAMENTO!$W$15,ROW(AR378)-ROW(AR$15),0),15-13*ORÇAMENTO!$AF$11)),0)</f>
        <v>0</v>
      </c>
      <c r="AS378" s="546">
        <f ca="1">IF(AND($D378="Serviço",AS$12&lt;&gt;0,$H378&gt;0,OR(AUTOEVENTO&lt;&gt;"manual",$M378&lt;&gt;1)),
IF(Import.TipoArredondamento&lt;&gt;"TransfereGOV",
ROUND(OFFSET($P378,0,AS$13),15-13*ORÇAMENTO!$AF$7)/$H378*OFFSET(ORÇAMENTO!$X$15,ROW(AS378)-ROW(AS$15),0),
ROUND(ROUND(OFFSET($P378,0,AS$13),15-13*ORÇAMENTO!$AF$7)*OFFSET(ORÇAMENTO!$W$15,ROW(AS378)-ROW(AS$15),0),15-13*ORÇAMENTO!$AF$11)),0)</f>
        <v>0</v>
      </c>
      <c r="AT378" s="545">
        <f ca="1">IF(AND($D378="Serviço",AT$12&lt;&gt;0,$H378&gt;0,OR(AUTOEVENTO&lt;&gt;"manual",$M378&lt;&gt;1)),
IF(Import.TipoArredondamento&lt;&gt;"TransfereGOV",
ROUND(OFFSET($P378,0,AT$13),15-13*ORÇAMENTO!$AF$7)/$H378*OFFSET(ORÇAMENTO!$X$15,ROW(AT378)-ROW(AT$15),0),
ROUND(ROUND(OFFSET($P378,0,AT$13),15-13*ORÇAMENTO!$AF$7)*OFFSET(ORÇAMENTO!$W$15,ROW(AT378)-ROW(AT$15),0),15-13*ORÇAMENTO!$AF$11)),0)</f>
        <v>0</v>
      </c>
      <c r="AU378" s="545">
        <f ca="1">IF(AND($D378="Serviço",AU$12&lt;&gt;0,$H378&gt;0,OR(AUTOEVENTO&lt;&gt;"manual",$M378&lt;&gt;1)),
IF(Import.TipoArredondamento&lt;&gt;"TransfereGOV",
ROUND(OFFSET($P378,0,AU$13),15-13*ORÇAMENTO!$AF$7)/$H378*OFFSET(ORÇAMENTO!$X$15,ROW(AU378)-ROW(AU$15),0),
ROUND(ROUND(OFFSET($P378,0,AU$13),15-13*ORÇAMENTO!$AF$7)*OFFSET(ORÇAMENTO!$W$15,ROW(AU378)-ROW(AU$15),0),15-13*ORÇAMENTO!$AF$11)),0)</f>
        <v>0</v>
      </c>
      <c r="AV378" s="545">
        <f ca="1">IF(AND($D378="Serviço",AV$12&lt;&gt;0,$H378&gt;0,OR(AUTOEVENTO&lt;&gt;"manual",$M378&lt;&gt;1)),
IF(Import.TipoArredondamento&lt;&gt;"TransfereGOV",
ROUND(OFFSET($P378,0,AV$13),15-13*ORÇAMENTO!$AF$7)/$H378*OFFSET(ORÇAMENTO!$X$15,ROW(AV378)-ROW(AV$15),0),
ROUND(ROUND(OFFSET($P378,0,AV$13),15-13*ORÇAMENTO!$AF$7)*OFFSET(ORÇAMENTO!$W$15,ROW(AV378)-ROW(AV$15),0),15-13*ORÇAMENTO!$AF$11)),0)</f>
        <v>0</v>
      </c>
      <c r="AW378" s="545">
        <f ca="1">IF(AND($D378="Serviço",AW$12&lt;&gt;0,$H378&gt;0,OR(AUTOEVENTO&lt;&gt;"manual",$M378&lt;&gt;1)),
IF(Import.TipoArredondamento&lt;&gt;"TransfereGOV",
ROUND(OFFSET($P378,0,AW$13),15-13*ORÇAMENTO!$AF$7)/$H378*OFFSET(ORÇAMENTO!$X$15,ROW(AW378)-ROW(AW$15),0),
ROUND(ROUND(OFFSET($P378,0,AW$13),15-13*ORÇAMENTO!$AF$7)*OFFSET(ORÇAMENTO!$W$15,ROW(AW378)-ROW(AW$15),0),15-13*ORÇAMENTO!$AF$11)),0)</f>
        <v>0</v>
      </c>
      <c r="AX378" s="545">
        <f ca="1">IF(AND($D378="Serviço",AX$12&lt;&gt;0,$H378&gt;0,OR(AUTOEVENTO&lt;&gt;"manual",$M378&lt;&gt;1)),
IF(Import.TipoArredondamento&lt;&gt;"TransfereGOV",
ROUND(OFFSET($P378,0,AX$13),15-13*ORÇAMENTO!$AF$7)/$H378*OFFSET(ORÇAMENTO!$X$15,ROW(AX378)-ROW(AX$15),0),
ROUND(ROUND(OFFSET($P378,0,AX$13),15-13*ORÇAMENTO!$AF$7)*OFFSET(ORÇAMENTO!$W$15,ROW(AX378)-ROW(AX$15),0),15-13*ORÇAMENTO!$AF$11)),0)</f>
        <v>0</v>
      </c>
      <c r="AY378" s="545">
        <f ca="1">IF(AND($D378="Serviço",AY$12&lt;&gt;0,$H378&gt;0,OR(AUTOEVENTO&lt;&gt;"manual",$M378&lt;&gt;1)),
IF(Import.TipoArredondamento&lt;&gt;"TransfereGOV",
ROUND(OFFSET($P378,0,AY$13),15-13*ORÇAMENTO!$AF$7)/$H378*OFFSET(ORÇAMENTO!$X$15,ROW(AY378)-ROW(AY$15),0),
ROUND(ROUND(OFFSET($P378,0,AY$13),15-13*ORÇAMENTO!$AF$7)*OFFSET(ORÇAMENTO!$W$15,ROW(AY378)-ROW(AY$15),0),15-13*ORÇAMENTO!$AF$11)),0)</f>
        <v>0</v>
      </c>
      <c r="AZ378" s="545">
        <f ca="1">IF(AND($D378="Serviço",AZ$12&lt;&gt;0,$H378&gt;0,OR(AUTOEVENTO&lt;&gt;"manual",$M378&lt;&gt;1)),
IF(Import.TipoArredondamento&lt;&gt;"TransfereGOV",
ROUND(OFFSET($P378,0,AZ$13),15-13*ORÇAMENTO!$AF$7)/$H378*OFFSET(ORÇAMENTO!$X$15,ROW(AZ378)-ROW(AZ$15),0),
ROUND(ROUND(OFFSET($P378,0,AZ$13),15-13*ORÇAMENTO!$AF$7)*OFFSET(ORÇAMENTO!$W$15,ROW(AZ378)-ROW(AZ$15),0),15-13*ORÇAMENTO!$AF$11)),0)</f>
        <v>0</v>
      </c>
      <c r="BA378" s="546">
        <f ca="1">IF(AND($D378="Serviço",BA$12&lt;&gt;0,$H378&gt;0,OR(AUTOEVENTO&lt;&gt;"manual",$M378&lt;&gt;1)),
IF(Import.TipoArredondamento&lt;&gt;"TransfereGOV",
ROUND(OFFSET($P378,0,BA$13),15-13*ORÇAMENTO!$AF$7)/$H378*OFFSET(ORÇAMENTO!$X$15,ROW(BA378)-ROW(BA$15),0),
ROUND(ROUND(OFFSET($P378,0,BA$13),15-13*ORÇAMENTO!$AF$7)*OFFSET(ORÇAMENTO!$W$15,ROW(BA378)-ROW(BA$15),0),15-13*ORÇAMENTO!$AF$11)),0)</f>
        <v>0</v>
      </c>
      <c r="BC378" s="181">
        <f ca="1">IF($D378&lt;&gt;"Serviço",0,IF(AND(AUTOEVENTO="Manual",$M378=1),0,IF(OFFSET(CRONOPLE!$F$14,$M378,BC$13)="",10^12,OFFSET(CRONOPLE!$F$14,$M378,BC$13))))</f>
        <v>10</v>
      </c>
      <c r="BD378" s="181">
        <f ca="1">IF($D378&lt;&gt;"Serviço",0,IF(AND(AUTOEVENTO="Manual",$M378=1),0,IF(OFFSET(CRONOPLE!$F$14,$M378,BD$13)="",10^12,OFFSET(CRONOPLE!$F$14,$M378,BD$13))))</f>
        <v>1000000000000</v>
      </c>
      <c r="BE378" s="181">
        <f ca="1">IF($D378&lt;&gt;"Serviço",0,IF(AND(AUTOEVENTO="Manual",$M378=1),0,IF(OFFSET(CRONOPLE!$F$14,$M378,BE$13)="",10^12,OFFSET(CRONOPLE!$F$14,$M378,BE$13))))</f>
        <v>1000000000000</v>
      </c>
      <c r="BF378" s="181">
        <f ca="1">IF($D378&lt;&gt;"Serviço",0,IF(AND(AUTOEVENTO="Manual",$M378=1),0,IF(OFFSET(CRONOPLE!$F$14,$M378,BF$13)="",10^12,OFFSET(CRONOPLE!$F$14,$M378,BF$13))))</f>
        <v>1000000000000</v>
      </c>
      <c r="BG378" s="181">
        <f ca="1">IF($D378&lt;&gt;"Serviço",0,IF(AND(AUTOEVENTO="Manual",$M378=1),0,IF(OFFSET(CRONOPLE!$F$14,$M378,BG$13)="",10^12,OFFSET(CRONOPLE!$F$14,$M378,BG$13))))</f>
        <v>1000000000000</v>
      </c>
      <c r="BH378" s="181">
        <f ca="1">IF($D378&lt;&gt;"Serviço",0,IF(AND(AUTOEVENTO="Manual",$M378=1),0,IF(OFFSET(CRONOPLE!$F$14,$M378,BH$13)="",10^12,OFFSET(CRONOPLE!$F$14,$M378,BH$13))))</f>
        <v>1000000000000</v>
      </c>
      <c r="BI378" s="181">
        <f ca="1">IF($D378&lt;&gt;"Serviço",0,IF(AND(AUTOEVENTO="Manual",$M378=1),0,IF(OFFSET(CRONOPLE!$F$14,$M378,BI$13)="",10^12,OFFSET(CRONOPLE!$F$14,$M378,BI$13))))</f>
        <v>1000000000000</v>
      </c>
      <c r="BJ378" s="181">
        <f ca="1">IF($D378&lt;&gt;"Serviço",0,IF(AND(AUTOEVENTO="Manual",$M378=1),0,IF(OFFSET(CRONOPLE!$F$14,$M378,BJ$13)="",10^12,OFFSET(CRONOPLE!$F$14,$M378,BJ$13))))</f>
        <v>1000000000000</v>
      </c>
      <c r="BK378" s="181">
        <f ca="1">IF($D378&lt;&gt;"Serviço",0,IF(AND(AUTOEVENTO="Manual",$M378=1),0,IF(OFFSET(CRONOPLE!$F$14,$M378,BK$13)="",10^12,OFFSET(CRONOPLE!$F$14,$M378,BK$13))))</f>
        <v>1000000000000</v>
      </c>
      <c r="BL378" s="181">
        <f ca="1">IF($D378&lt;&gt;"Serviço",0,IF(AND(AUTOEVENTO="Manual",$M378=1),0,IF(OFFSET(CRONOPLE!$F$14,$M378,BL$13)="",10^12,OFFSET(CRONOPLE!$F$14,$M378,BL$13))))</f>
        <v>1000000000000</v>
      </c>
      <c r="BM378" s="181">
        <f ca="1">IF($D378&lt;&gt;"Serviço",0,IF(AND(AUTOEVENTO="Manual",$M378=1),0,IF(OFFSET(CRONOPLE!$F$14,$M378,BM$13)="",10^12,OFFSET(CRONOPLE!$F$14,$M378,BM$13))))</f>
        <v>1000000000000</v>
      </c>
      <c r="BN378" s="181">
        <f ca="1">IF($D378&lt;&gt;"Serviço",0,IF(AND(AUTOEVENTO="Manual",$M378=1),0,IF(OFFSET(CRONOPLE!$F$14,$M378,BN$13)="",10^12,OFFSET(CRONOPLE!$F$14,$M378,BN$13))))</f>
        <v>1000000000000</v>
      </c>
      <c r="BO378" s="181">
        <f ca="1">IF($D378&lt;&gt;"Serviço",0,IF(AND(AUTOEVENTO="Manual",$M378=1),0,IF(OFFSET(CRONOPLE!$F$14,$M378,BO$13)="",10^12,OFFSET(CRONOPLE!$F$14,$M378,BO$13))))</f>
        <v>1000000000000</v>
      </c>
      <c r="BP378" s="181">
        <f ca="1">IF($D378&lt;&gt;"Serviço",0,IF(AND(AUTOEVENTO="Manual",$M378=1),0,IF(OFFSET(CRONOPLE!$F$14,$M378,BP$13)="",10^12,OFFSET(CRONOPLE!$F$14,$M378,BP$13))))</f>
        <v>1000000000000</v>
      </c>
      <c r="BQ378" s="181">
        <f ca="1">IF($D378&lt;&gt;"Serviço",0,IF(AND(AUTOEVENTO="Manual",$M378=1),0,IF(OFFSET(CRONOPLE!$F$14,$M378,BQ$13)="",10^12,OFFSET(CRONOPLE!$F$14,$M378,BQ$13))))</f>
        <v>1000000000000</v>
      </c>
      <c r="BR378" s="181">
        <f ca="1">IF($D378&lt;&gt;"Serviço",0,IF(AND(AUTOEVENTO="Manual",$M378=1),0,IF(OFFSET(CRONOPLE!$F$14,$M378,BR$13)="",10^12,OFFSET(CRONOPLE!$F$14,$M378,BR$13))))</f>
        <v>1000000000000</v>
      </c>
      <c r="BS378" s="181">
        <f ca="1">IF($D378&lt;&gt;"Serviço",0,IF(AND(AUTOEVENTO="Manual",$M378=1),0,IF(OFFSET(CRONOPLE!$F$14,$M378,BS$13)="",10^12,OFFSET(CRONOPLE!$F$14,$M378,BS$13))))</f>
        <v>1000000000000</v>
      </c>
      <c r="BT378" s="181">
        <f ca="1">IF($D378&lt;&gt;"Serviço",0,IF(AND(AUTOEVENTO="Manual",$M378=1),0,IF(OFFSET(CRONOPLE!$F$14,$M378,BT$13)="",10^12,OFFSET(CRONOPLE!$F$14,$M378,BT$13))))</f>
        <v>1000000000000</v>
      </c>
      <c r="BV378" s="182">
        <f ca="1">IF($D378&lt;&gt;"Serviço",0,IF(OR(AND(AUTOEVENTO="Manual",$M378=1),$M378&gt;(ROW(PLE.lastrow)-ROW(PLE.firstrow))),0,IF(OFFSET(PLE!$G$14,$M378,BV$13)="",10^12,OFFSET(PLE!$G$14,$M378,BV$13))))</f>
        <v>1000000000000</v>
      </c>
      <c r="BW378" s="182">
        <f ca="1">IF($D378&lt;&gt;"Serviço",0,IF(OR(AND(AUTOEVENTO="Manual",$M378=1),$M378&gt;(ROW(PLE.lastrow)-ROW(PLE.firstrow))),0,IF(OFFSET(PLE!$G$14,$M378,BW$13)="",10^12,OFFSET(PLE!$G$14,$M378,BW$13))))</f>
        <v>1000000000000</v>
      </c>
      <c r="BX378" s="182">
        <f ca="1">IF($D378&lt;&gt;"Serviço",0,IF(OR(AND(AUTOEVENTO="Manual",$M378=1),$M378&gt;(ROW(PLE.lastrow)-ROW(PLE.firstrow))),0,IF(OFFSET(PLE!$G$14,$M378,BX$13)="",10^12,OFFSET(PLE!$G$14,$M378,BX$13))))</f>
        <v>1000000000000</v>
      </c>
      <c r="BY378" s="182">
        <f ca="1">IF($D378&lt;&gt;"Serviço",0,IF(OR(AND(AUTOEVENTO="Manual",$M378=1),$M378&gt;(ROW(PLE.lastrow)-ROW(PLE.firstrow))),0,IF(OFFSET(PLE!$G$14,$M378,BY$13)="",10^12,OFFSET(PLE!$G$14,$M378,BY$13))))</f>
        <v>1000000000000</v>
      </c>
      <c r="BZ378" s="182">
        <f ca="1">IF($D378&lt;&gt;"Serviço",0,IF(OR(AND(AUTOEVENTO="Manual",$M378=1),$M378&gt;(ROW(PLE.lastrow)-ROW(PLE.firstrow))),0,IF(OFFSET(PLE!$G$14,$M378,BZ$13)="",10^12,OFFSET(PLE!$G$14,$M378,BZ$13))))</f>
        <v>1000000000000</v>
      </c>
      <c r="CA378" s="182">
        <f ca="1">IF($D378&lt;&gt;"Serviço",0,IF(OR(AND(AUTOEVENTO="Manual",$M378=1),$M378&gt;(ROW(PLE.lastrow)-ROW(PLE.firstrow))),0,IF(OFFSET(PLE!$G$14,$M378,CA$13)="",10^12,OFFSET(PLE!$G$14,$M378,CA$13))))</f>
        <v>1000000000000</v>
      </c>
      <c r="CB378" s="182">
        <f ca="1">IF($D378&lt;&gt;"Serviço",0,IF(OR(AND(AUTOEVENTO="Manual",$M378=1),$M378&gt;(ROW(PLE.lastrow)-ROW(PLE.firstrow))),0,IF(OFFSET(PLE!$G$14,$M378,CB$13)="",10^12,OFFSET(PLE!$G$14,$M378,CB$13))))</f>
        <v>1000000000000</v>
      </c>
      <c r="CC378" s="182">
        <f ca="1">IF($D378&lt;&gt;"Serviço",0,IF(OR(AND(AUTOEVENTO="Manual",$M378=1),$M378&gt;(ROW(PLE.lastrow)-ROW(PLE.firstrow))),0,IF(OFFSET(PLE!$G$14,$M378,CC$13)="",10^12,OFFSET(PLE!$G$14,$M378,CC$13))))</f>
        <v>1000000000000</v>
      </c>
      <c r="CD378" s="182">
        <f ca="1">IF($D378&lt;&gt;"Serviço",0,IF(OR(AND(AUTOEVENTO="Manual",$M378=1),$M378&gt;(ROW(PLE.lastrow)-ROW(PLE.firstrow))),0,IF(OFFSET(PLE!$G$14,$M378,CD$13)="",10^12,OFFSET(PLE!$G$14,$M378,CD$13))))</f>
        <v>1000000000000</v>
      </c>
      <c r="CE378" s="182">
        <f ca="1">IF($D378&lt;&gt;"Serviço",0,IF(OR(AND(AUTOEVENTO="Manual",$M378=1),$M378&gt;(ROW(PLE.lastrow)-ROW(PLE.firstrow))),0,IF(OFFSET(PLE!$G$14,$M378,CE$13)="",10^12,OFFSET(PLE!$G$14,$M378,CE$13))))</f>
        <v>1000000000000</v>
      </c>
      <c r="CF378" s="182">
        <f ca="1">IF($D378&lt;&gt;"Serviço",0,IF(OR(AND(AUTOEVENTO="Manual",$M378=1),$M378&gt;(ROW(PLE.lastrow)-ROW(PLE.firstrow))),0,IF(OFFSET(PLE!$G$14,$M378,CF$13)="",10^12,OFFSET(PLE!$G$14,$M378,CF$13))))</f>
        <v>1000000000000</v>
      </c>
      <c r="CG378" s="182">
        <f ca="1">IF($D378&lt;&gt;"Serviço",0,IF(OR(AND(AUTOEVENTO="Manual",$M378=1),$M378&gt;(ROW(PLE.lastrow)-ROW(PLE.firstrow))),0,IF(OFFSET(PLE!$G$14,$M378,CG$13)="",10^12,OFFSET(PLE!$G$14,$M378,CG$13))))</f>
        <v>1000000000000</v>
      </c>
      <c r="CH378" s="182">
        <f ca="1">IF($D378&lt;&gt;"Serviço",0,IF(OR(AND(AUTOEVENTO="Manual",$M378=1),$M378&gt;(ROW(PLE.lastrow)-ROW(PLE.firstrow))),0,IF(OFFSET(PLE!$G$14,$M378,CH$13)="",10^12,OFFSET(PLE!$G$14,$M378,CH$13))))</f>
        <v>1000000000000</v>
      </c>
      <c r="CI378" s="182">
        <f ca="1">IF($D378&lt;&gt;"Serviço",0,IF(OR(AND(AUTOEVENTO="Manual",$M378=1),$M378&gt;(ROW(PLE.lastrow)-ROW(PLE.firstrow))),0,IF(OFFSET(PLE!$G$14,$M378,CI$13)="",10^12,OFFSET(PLE!$G$14,$M378,CI$13))))</f>
        <v>1000000000000</v>
      </c>
      <c r="CJ378" s="182">
        <f ca="1">IF($D378&lt;&gt;"Serviço",0,IF(OR(AND(AUTOEVENTO="Manual",$M378=1),$M378&gt;(ROW(PLE.lastrow)-ROW(PLE.firstrow))),0,IF(OFFSET(PLE!$G$14,$M378,CJ$13)="",10^12,OFFSET(PLE!$G$14,$M378,CJ$13))))</f>
        <v>1000000000000</v>
      </c>
      <c r="CK378" s="182">
        <f ca="1">IF($D378&lt;&gt;"Serviço",0,IF(OR(AND(AUTOEVENTO="Manual",$M378=1),$M378&gt;(ROW(PLE.lastrow)-ROW(PLE.firstrow))),0,IF(OFFSET(PLE!$G$14,$M378,CK$13)="",10^12,OFFSET(PLE!$G$14,$M378,CK$13))))</f>
        <v>1000000000000</v>
      </c>
      <c r="CL378" s="182">
        <f ca="1">IF($D378&lt;&gt;"Serviço",0,IF(OR(AND(AUTOEVENTO="Manual",$M378=1),$M378&gt;(ROW(PLE.lastrow)-ROW(PLE.firstrow))),0,IF(OFFSET(PLE!$G$14,$M378,CL$13)="",10^12,OFFSET(PLE!$G$14,$M378,CL$13))))</f>
        <v>1000000000000</v>
      </c>
      <c r="CM378" s="182">
        <f ca="1">IF($D378&lt;&gt;"Serviço",0,IF(OR(AND(AUTOEVENTO="Manual",$M378=1),$M378&gt;(ROW(PLE.lastrow)-ROW(PLE.firstrow))),0,IF(OFFSET(PLE!$G$14,$M378,CM$13)="",10^12,OFFSET(PLE!$G$14,$M378,CM$13))))</f>
        <v>1000000000000</v>
      </c>
    </row>
    <row r="379" spans="1:91" ht="25.5" x14ac:dyDescent="0.2">
      <c r="A379" s="7" t="str">
        <f t="shared" ca="1" si="12"/>
        <v>350</v>
      </c>
      <c r="B379" s="7" t="str">
        <f ca="1">OFFSET(ORÇAMENTO!C$15,ROW(B379)-ROW(B$15),0)</f>
        <v>S</v>
      </c>
      <c r="C379" s="7" t="str">
        <f ca="1">OFFSET(ORÇAMENTO!L$15,ROW(C379)-ROW(C$15),0)</f>
        <v/>
      </c>
      <c r="D379" s="118" t="str">
        <f ca="1">OFFSET(ORÇAMENTO!N$15,ROW(D379)-ROW(D$15),0)</f>
        <v>Serviço</v>
      </c>
      <c r="E379" s="119" t="str">
        <f ca="1">OFFSET(ORÇAMENTO!O$15,ROW(E379)-ROW(E$15),0)</f>
        <v>-</v>
      </c>
      <c r="F379" s="172" t="str">
        <f ca="1">OFFSET(ORÇAMENTO!R$15,ROW(F379)-ROW(F$15),0)</f>
        <v>(abra o arquivo 'Referência 06-2024.xlsm)</v>
      </c>
      <c r="G379" s="173" t="str">
        <f ca="1">IF($D379&lt;&gt;"Serviço","",OFFSET(ORÇAMENTO!S$15,ROW(G379)-ROW(G$15),0))</f>
        <v>-</v>
      </c>
      <c r="H379" s="124">
        <f ca="1">IF($D379&lt;&gt;"Serviço",0,IF(ACOMPANHAMENTO="BM",ROUND(OFFSET(ORÇAMENTO!AJ$15,ROW(H379)-ROW(H$15),0),15-13*ORÇAMENTO!$AF$7),SUMPRODUCT(($Q$12:$AI$12&lt;&gt;"")*ROUND($Q379:$AI379,15-13*ORÇAMENTO!$AF$7))))</f>
        <v>11</v>
      </c>
      <c r="I379" s="561" t="s">
        <v>1107</v>
      </c>
      <c r="K379" s="174"/>
      <c r="L379" s="175" t="s">
        <v>255</v>
      </c>
      <c r="M379" s="176">
        <f ca="1">IF($D379&lt;&gt;"Serviço","",IF(AUTOEVENTO="manual",$A379,IF(ISERROR(MATCH($A379,$A$15:OFFSET($A379,-1,0),0)),MAX($M$15:OFFSET(M379,-1,0))+1,INDEX($M$15:OFFSET(M379,-1,0),MATCH($A379,$A$15:OFFSET($A379,-1,0),0)))))</f>
        <v>44</v>
      </c>
      <c r="N379" s="177" t="str">
        <f ca="1">IF($D379&lt;&gt;"Serviço","",IF(AUTOEVENTO="Manual",IF($A379=0,"&lt;-- defina o número do agrupador",OFFSET(EVENTOS!$D$14,$A379,0)),OFFSET($F$15,$A379,0)))</f>
        <v>LOUÇAS, ACESSÓRIOS E METAIS</v>
      </c>
      <c r="O379" s="178"/>
      <c r="Q379" s="178">
        <v>11</v>
      </c>
      <c r="R379" s="179"/>
      <c r="S379" s="179"/>
      <c r="T379" s="179"/>
      <c r="U379" s="179"/>
      <c r="V379" s="179"/>
      <c r="W379" s="179"/>
      <c r="X379" s="179"/>
      <c r="Y379" s="179"/>
      <c r="Z379" s="180"/>
      <c r="AA379" s="179"/>
      <c r="AB379" s="179"/>
      <c r="AC379" s="179"/>
      <c r="AD379" s="179"/>
      <c r="AE379" s="179"/>
      <c r="AF379" s="179"/>
      <c r="AG379" s="179"/>
      <c r="AH379" s="180"/>
      <c r="AJ379" s="544">
        <f ca="1">IF(AND($D379="Serviço",AJ$12&lt;&gt;0,$H379&gt;0,OR(AUTOEVENTO&lt;&gt;"manual",$M379&lt;&gt;1)),
IF(Import.TipoArredondamento&lt;&gt;"TransfereGOV",
ROUND(OFFSET($P379,0,AJ$13),15-13*ORÇAMENTO!$AF$7)/$H379*OFFSET(ORÇAMENTO!$X$15,ROW(AJ379)-ROW(AJ$15),0),
ROUND(ROUND(OFFSET($P379,0,AJ$13),15-13*ORÇAMENTO!$AF$7)*OFFSET(ORÇAMENTO!$W$15,ROW(AJ379)-ROW(AJ$15),0),15-13*ORÇAMENTO!$AF$11)),0)</f>
        <v>0</v>
      </c>
      <c r="AK379" s="545">
        <f ca="1">IF(AND($D379="Serviço",AK$12&lt;&gt;0,$H379&gt;0,OR(AUTOEVENTO&lt;&gt;"manual",$M379&lt;&gt;1)),
IF(Import.TipoArredondamento&lt;&gt;"TransfereGOV",
ROUND(OFFSET($P379,0,AK$13),15-13*ORÇAMENTO!$AF$7)/$H379*OFFSET(ORÇAMENTO!$X$15,ROW(AK379)-ROW(AK$15),0),
ROUND(ROUND(OFFSET($P379,0,AK$13),15-13*ORÇAMENTO!$AF$7)*OFFSET(ORÇAMENTO!$W$15,ROW(AK379)-ROW(AK$15),0),15-13*ORÇAMENTO!$AF$11)),0)</f>
        <v>0</v>
      </c>
      <c r="AL379" s="545">
        <f ca="1">IF(AND($D379="Serviço",AL$12&lt;&gt;0,$H379&gt;0,OR(AUTOEVENTO&lt;&gt;"manual",$M379&lt;&gt;1)),
IF(Import.TipoArredondamento&lt;&gt;"TransfereGOV",
ROUND(OFFSET($P379,0,AL$13),15-13*ORÇAMENTO!$AF$7)/$H379*OFFSET(ORÇAMENTO!$X$15,ROW(AL379)-ROW(AL$15),0),
ROUND(ROUND(OFFSET($P379,0,AL$13),15-13*ORÇAMENTO!$AF$7)*OFFSET(ORÇAMENTO!$W$15,ROW(AL379)-ROW(AL$15),0),15-13*ORÇAMENTO!$AF$11)),0)</f>
        <v>0</v>
      </c>
      <c r="AM379" s="545">
        <f ca="1">IF(AND($D379="Serviço",AM$12&lt;&gt;0,$H379&gt;0,OR(AUTOEVENTO&lt;&gt;"manual",$M379&lt;&gt;1)),
IF(Import.TipoArredondamento&lt;&gt;"TransfereGOV",
ROUND(OFFSET($P379,0,AM$13),15-13*ORÇAMENTO!$AF$7)/$H379*OFFSET(ORÇAMENTO!$X$15,ROW(AM379)-ROW(AM$15),0),
ROUND(ROUND(OFFSET($P379,0,AM$13),15-13*ORÇAMENTO!$AF$7)*OFFSET(ORÇAMENTO!$W$15,ROW(AM379)-ROW(AM$15),0),15-13*ORÇAMENTO!$AF$11)),0)</f>
        <v>0</v>
      </c>
      <c r="AN379" s="545">
        <f ca="1">IF(AND($D379="Serviço",AN$12&lt;&gt;0,$H379&gt;0,OR(AUTOEVENTO&lt;&gt;"manual",$M379&lt;&gt;1)),
IF(Import.TipoArredondamento&lt;&gt;"TransfereGOV",
ROUND(OFFSET($P379,0,AN$13),15-13*ORÇAMENTO!$AF$7)/$H379*OFFSET(ORÇAMENTO!$X$15,ROW(AN379)-ROW(AN$15),0),
ROUND(ROUND(OFFSET($P379,0,AN$13),15-13*ORÇAMENTO!$AF$7)*OFFSET(ORÇAMENTO!$W$15,ROW(AN379)-ROW(AN$15),0),15-13*ORÇAMENTO!$AF$11)),0)</f>
        <v>0</v>
      </c>
      <c r="AO379" s="545">
        <f ca="1">IF(AND($D379="Serviço",AO$12&lt;&gt;0,$H379&gt;0,OR(AUTOEVENTO&lt;&gt;"manual",$M379&lt;&gt;1)),
IF(Import.TipoArredondamento&lt;&gt;"TransfereGOV",
ROUND(OFFSET($P379,0,AO$13),15-13*ORÇAMENTO!$AF$7)/$H379*OFFSET(ORÇAMENTO!$X$15,ROW(AO379)-ROW(AO$15),0),
ROUND(ROUND(OFFSET($P379,0,AO$13),15-13*ORÇAMENTO!$AF$7)*OFFSET(ORÇAMENTO!$W$15,ROW(AO379)-ROW(AO$15),0),15-13*ORÇAMENTO!$AF$11)),0)</f>
        <v>0</v>
      </c>
      <c r="AP379" s="545">
        <f ca="1">IF(AND($D379="Serviço",AP$12&lt;&gt;0,$H379&gt;0,OR(AUTOEVENTO&lt;&gt;"manual",$M379&lt;&gt;1)),
IF(Import.TipoArredondamento&lt;&gt;"TransfereGOV",
ROUND(OFFSET($P379,0,AP$13),15-13*ORÇAMENTO!$AF$7)/$H379*OFFSET(ORÇAMENTO!$X$15,ROW(AP379)-ROW(AP$15),0),
ROUND(ROUND(OFFSET($P379,0,AP$13),15-13*ORÇAMENTO!$AF$7)*OFFSET(ORÇAMENTO!$W$15,ROW(AP379)-ROW(AP$15),0),15-13*ORÇAMENTO!$AF$11)),0)</f>
        <v>0</v>
      </c>
      <c r="AQ379" s="545">
        <f ca="1">IF(AND($D379="Serviço",AQ$12&lt;&gt;0,$H379&gt;0,OR(AUTOEVENTO&lt;&gt;"manual",$M379&lt;&gt;1)),
IF(Import.TipoArredondamento&lt;&gt;"TransfereGOV",
ROUND(OFFSET($P379,0,AQ$13),15-13*ORÇAMENTO!$AF$7)/$H379*OFFSET(ORÇAMENTO!$X$15,ROW(AQ379)-ROW(AQ$15),0),
ROUND(ROUND(OFFSET($P379,0,AQ$13),15-13*ORÇAMENTO!$AF$7)*OFFSET(ORÇAMENTO!$W$15,ROW(AQ379)-ROW(AQ$15),0),15-13*ORÇAMENTO!$AF$11)),0)</f>
        <v>0</v>
      </c>
      <c r="AR379" s="545">
        <f ca="1">IF(AND($D379="Serviço",AR$12&lt;&gt;0,$H379&gt;0,OR(AUTOEVENTO&lt;&gt;"manual",$M379&lt;&gt;1)),
IF(Import.TipoArredondamento&lt;&gt;"TransfereGOV",
ROUND(OFFSET($P379,0,AR$13),15-13*ORÇAMENTO!$AF$7)/$H379*OFFSET(ORÇAMENTO!$X$15,ROW(AR379)-ROW(AR$15),0),
ROUND(ROUND(OFFSET($P379,0,AR$13),15-13*ORÇAMENTO!$AF$7)*OFFSET(ORÇAMENTO!$W$15,ROW(AR379)-ROW(AR$15),0),15-13*ORÇAMENTO!$AF$11)),0)</f>
        <v>0</v>
      </c>
      <c r="AS379" s="546">
        <f ca="1">IF(AND($D379="Serviço",AS$12&lt;&gt;0,$H379&gt;0,OR(AUTOEVENTO&lt;&gt;"manual",$M379&lt;&gt;1)),
IF(Import.TipoArredondamento&lt;&gt;"TransfereGOV",
ROUND(OFFSET($P379,0,AS$13),15-13*ORÇAMENTO!$AF$7)/$H379*OFFSET(ORÇAMENTO!$X$15,ROW(AS379)-ROW(AS$15),0),
ROUND(ROUND(OFFSET($P379,0,AS$13),15-13*ORÇAMENTO!$AF$7)*OFFSET(ORÇAMENTO!$W$15,ROW(AS379)-ROW(AS$15),0),15-13*ORÇAMENTO!$AF$11)),0)</f>
        <v>0</v>
      </c>
      <c r="AT379" s="545">
        <f ca="1">IF(AND($D379="Serviço",AT$12&lt;&gt;0,$H379&gt;0,OR(AUTOEVENTO&lt;&gt;"manual",$M379&lt;&gt;1)),
IF(Import.TipoArredondamento&lt;&gt;"TransfereGOV",
ROUND(OFFSET($P379,0,AT$13),15-13*ORÇAMENTO!$AF$7)/$H379*OFFSET(ORÇAMENTO!$X$15,ROW(AT379)-ROW(AT$15),0),
ROUND(ROUND(OFFSET($P379,0,AT$13),15-13*ORÇAMENTO!$AF$7)*OFFSET(ORÇAMENTO!$W$15,ROW(AT379)-ROW(AT$15),0),15-13*ORÇAMENTO!$AF$11)),0)</f>
        <v>0</v>
      </c>
      <c r="AU379" s="545">
        <f ca="1">IF(AND($D379="Serviço",AU$12&lt;&gt;0,$H379&gt;0,OR(AUTOEVENTO&lt;&gt;"manual",$M379&lt;&gt;1)),
IF(Import.TipoArredondamento&lt;&gt;"TransfereGOV",
ROUND(OFFSET($P379,0,AU$13),15-13*ORÇAMENTO!$AF$7)/$H379*OFFSET(ORÇAMENTO!$X$15,ROW(AU379)-ROW(AU$15),0),
ROUND(ROUND(OFFSET($P379,0,AU$13),15-13*ORÇAMENTO!$AF$7)*OFFSET(ORÇAMENTO!$W$15,ROW(AU379)-ROW(AU$15),0),15-13*ORÇAMENTO!$AF$11)),0)</f>
        <v>0</v>
      </c>
      <c r="AV379" s="545">
        <f ca="1">IF(AND($D379="Serviço",AV$12&lt;&gt;0,$H379&gt;0,OR(AUTOEVENTO&lt;&gt;"manual",$M379&lt;&gt;1)),
IF(Import.TipoArredondamento&lt;&gt;"TransfereGOV",
ROUND(OFFSET($P379,0,AV$13),15-13*ORÇAMENTO!$AF$7)/$H379*OFFSET(ORÇAMENTO!$X$15,ROW(AV379)-ROW(AV$15),0),
ROUND(ROUND(OFFSET($P379,0,AV$13),15-13*ORÇAMENTO!$AF$7)*OFFSET(ORÇAMENTO!$W$15,ROW(AV379)-ROW(AV$15),0),15-13*ORÇAMENTO!$AF$11)),0)</f>
        <v>0</v>
      </c>
      <c r="AW379" s="545">
        <f ca="1">IF(AND($D379="Serviço",AW$12&lt;&gt;0,$H379&gt;0,OR(AUTOEVENTO&lt;&gt;"manual",$M379&lt;&gt;1)),
IF(Import.TipoArredondamento&lt;&gt;"TransfereGOV",
ROUND(OFFSET($P379,0,AW$13),15-13*ORÇAMENTO!$AF$7)/$H379*OFFSET(ORÇAMENTO!$X$15,ROW(AW379)-ROW(AW$15),0),
ROUND(ROUND(OFFSET($P379,0,AW$13),15-13*ORÇAMENTO!$AF$7)*OFFSET(ORÇAMENTO!$W$15,ROW(AW379)-ROW(AW$15),0),15-13*ORÇAMENTO!$AF$11)),0)</f>
        <v>0</v>
      </c>
      <c r="AX379" s="545">
        <f ca="1">IF(AND($D379="Serviço",AX$12&lt;&gt;0,$H379&gt;0,OR(AUTOEVENTO&lt;&gt;"manual",$M379&lt;&gt;1)),
IF(Import.TipoArredondamento&lt;&gt;"TransfereGOV",
ROUND(OFFSET($P379,0,AX$13),15-13*ORÇAMENTO!$AF$7)/$H379*OFFSET(ORÇAMENTO!$X$15,ROW(AX379)-ROW(AX$15),0),
ROUND(ROUND(OFFSET($P379,0,AX$13),15-13*ORÇAMENTO!$AF$7)*OFFSET(ORÇAMENTO!$W$15,ROW(AX379)-ROW(AX$15),0),15-13*ORÇAMENTO!$AF$11)),0)</f>
        <v>0</v>
      </c>
      <c r="AY379" s="545">
        <f ca="1">IF(AND($D379="Serviço",AY$12&lt;&gt;0,$H379&gt;0,OR(AUTOEVENTO&lt;&gt;"manual",$M379&lt;&gt;1)),
IF(Import.TipoArredondamento&lt;&gt;"TransfereGOV",
ROUND(OFFSET($P379,0,AY$13),15-13*ORÇAMENTO!$AF$7)/$H379*OFFSET(ORÇAMENTO!$X$15,ROW(AY379)-ROW(AY$15),0),
ROUND(ROUND(OFFSET($P379,0,AY$13),15-13*ORÇAMENTO!$AF$7)*OFFSET(ORÇAMENTO!$W$15,ROW(AY379)-ROW(AY$15),0),15-13*ORÇAMENTO!$AF$11)),0)</f>
        <v>0</v>
      </c>
      <c r="AZ379" s="545">
        <f ca="1">IF(AND($D379="Serviço",AZ$12&lt;&gt;0,$H379&gt;0,OR(AUTOEVENTO&lt;&gt;"manual",$M379&lt;&gt;1)),
IF(Import.TipoArredondamento&lt;&gt;"TransfereGOV",
ROUND(OFFSET($P379,0,AZ$13),15-13*ORÇAMENTO!$AF$7)/$H379*OFFSET(ORÇAMENTO!$X$15,ROW(AZ379)-ROW(AZ$15),0),
ROUND(ROUND(OFFSET($P379,0,AZ$13),15-13*ORÇAMENTO!$AF$7)*OFFSET(ORÇAMENTO!$W$15,ROW(AZ379)-ROW(AZ$15),0),15-13*ORÇAMENTO!$AF$11)),0)</f>
        <v>0</v>
      </c>
      <c r="BA379" s="546">
        <f ca="1">IF(AND($D379="Serviço",BA$12&lt;&gt;0,$H379&gt;0,OR(AUTOEVENTO&lt;&gt;"manual",$M379&lt;&gt;1)),
IF(Import.TipoArredondamento&lt;&gt;"TransfereGOV",
ROUND(OFFSET($P379,0,BA$13),15-13*ORÇAMENTO!$AF$7)/$H379*OFFSET(ORÇAMENTO!$X$15,ROW(BA379)-ROW(BA$15),0),
ROUND(ROUND(OFFSET($P379,0,BA$13),15-13*ORÇAMENTO!$AF$7)*OFFSET(ORÇAMENTO!$W$15,ROW(BA379)-ROW(BA$15),0),15-13*ORÇAMENTO!$AF$11)),0)</f>
        <v>0</v>
      </c>
      <c r="BC379" s="181">
        <f ca="1">IF($D379&lt;&gt;"Serviço",0,IF(AND(AUTOEVENTO="Manual",$M379=1),0,IF(OFFSET(CRONOPLE!$F$14,$M379,BC$13)="",10^12,OFFSET(CRONOPLE!$F$14,$M379,BC$13))))</f>
        <v>10</v>
      </c>
      <c r="BD379" s="181">
        <f ca="1">IF($D379&lt;&gt;"Serviço",0,IF(AND(AUTOEVENTO="Manual",$M379=1),0,IF(OFFSET(CRONOPLE!$F$14,$M379,BD$13)="",10^12,OFFSET(CRONOPLE!$F$14,$M379,BD$13))))</f>
        <v>1000000000000</v>
      </c>
      <c r="BE379" s="181">
        <f ca="1">IF($D379&lt;&gt;"Serviço",0,IF(AND(AUTOEVENTO="Manual",$M379=1),0,IF(OFFSET(CRONOPLE!$F$14,$M379,BE$13)="",10^12,OFFSET(CRONOPLE!$F$14,$M379,BE$13))))</f>
        <v>1000000000000</v>
      </c>
      <c r="BF379" s="181">
        <f ca="1">IF($D379&lt;&gt;"Serviço",0,IF(AND(AUTOEVENTO="Manual",$M379=1),0,IF(OFFSET(CRONOPLE!$F$14,$M379,BF$13)="",10^12,OFFSET(CRONOPLE!$F$14,$M379,BF$13))))</f>
        <v>1000000000000</v>
      </c>
      <c r="BG379" s="181">
        <f ca="1">IF($D379&lt;&gt;"Serviço",0,IF(AND(AUTOEVENTO="Manual",$M379=1),0,IF(OFFSET(CRONOPLE!$F$14,$M379,BG$13)="",10^12,OFFSET(CRONOPLE!$F$14,$M379,BG$13))))</f>
        <v>1000000000000</v>
      </c>
      <c r="BH379" s="181">
        <f ca="1">IF($D379&lt;&gt;"Serviço",0,IF(AND(AUTOEVENTO="Manual",$M379=1),0,IF(OFFSET(CRONOPLE!$F$14,$M379,BH$13)="",10^12,OFFSET(CRONOPLE!$F$14,$M379,BH$13))))</f>
        <v>1000000000000</v>
      </c>
      <c r="BI379" s="181">
        <f ca="1">IF($D379&lt;&gt;"Serviço",0,IF(AND(AUTOEVENTO="Manual",$M379=1),0,IF(OFFSET(CRONOPLE!$F$14,$M379,BI$13)="",10^12,OFFSET(CRONOPLE!$F$14,$M379,BI$13))))</f>
        <v>1000000000000</v>
      </c>
      <c r="BJ379" s="181">
        <f ca="1">IF($D379&lt;&gt;"Serviço",0,IF(AND(AUTOEVENTO="Manual",$M379=1),0,IF(OFFSET(CRONOPLE!$F$14,$M379,BJ$13)="",10^12,OFFSET(CRONOPLE!$F$14,$M379,BJ$13))))</f>
        <v>1000000000000</v>
      </c>
      <c r="BK379" s="181">
        <f ca="1">IF($D379&lt;&gt;"Serviço",0,IF(AND(AUTOEVENTO="Manual",$M379=1),0,IF(OFFSET(CRONOPLE!$F$14,$M379,BK$13)="",10^12,OFFSET(CRONOPLE!$F$14,$M379,BK$13))))</f>
        <v>1000000000000</v>
      </c>
      <c r="BL379" s="181">
        <f ca="1">IF($D379&lt;&gt;"Serviço",0,IF(AND(AUTOEVENTO="Manual",$M379=1),0,IF(OFFSET(CRONOPLE!$F$14,$M379,BL$13)="",10^12,OFFSET(CRONOPLE!$F$14,$M379,BL$13))))</f>
        <v>1000000000000</v>
      </c>
      <c r="BM379" s="181">
        <f ca="1">IF($D379&lt;&gt;"Serviço",0,IF(AND(AUTOEVENTO="Manual",$M379=1),0,IF(OFFSET(CRONOPLE!$F$14,$M379,BM$13)="",10^12,OFFSET(CRONOPLE!$F$14,$M379,BM$13))))</f>
        <v>1000000000000</v>
      </c>
      <c r="BN379" s="181">
        <f ca="1">IF($D379&lt;&gt;"Serviço",0,IF(AND(AUTOEVENTO="Manual",$M379=1),0,IF(OFFSET(CRONOPLE!$F$14,$M379,BN$13)="",10^12,OFFSET(CRONOPLE!$F$14,$M379,BN$13))))</f>
        <v>1000000000000</v>
      </c>
      <c r="BO379" s="181">
        <f ca="1">IF($D379&lt;&gt;"Serviço",0,IF(AND(AUTOEVENTO="Manual",$M379=1),0,IF(OFFSET(CRONOPLE!$F$14,$M379,BO$13)="",10^12,OFFSET(CRONOPLE!$F$14,$M379,BO$13))))</f>
        <v>1000000000000</v>
      </c>
      <c r="BP379" s="181">
        <f ca="1">IF($D379&lt;&gt;"Serviço",0,IF(AND(AUTOEVENTO="Manual",$M379=1),0,IF(OFFSET(CRONOPLE!$F$14,$M379,BP$13)="",10^12,OFFSET(CRONOPLE!$F$14,$M379,BP$13))))</f>
        <v>1000000000000</v>
      </c>
      <c r="BQ379" s="181">
        <f ca="1">IF($D379&lt;&gt;"Serviço",0,IF(AND(AUTOEVENTO="Manual",$M379=1),0,IF(OFFSET(CRONOPLE!$F$14,$M379,BQ$13)="",10^12,OFFSET(CRONOPLE!$F$14,$M379,BQ$13))))</f>
        <v>1000000000000</v>
      </c>
      <c r="BR379" s="181">
        <f ca="1">IF($D379&lt;&gt;"Serviço",0,IF(AND(AUTOEVENTO="Manual",$M379=1),0,IF(OFFSET(CRONOPLE!$F$14,$M379,BR$13)="",10^12,OFFSET(CRONOPLE!$F$14,$M379,BR$13))))</f>
        <v>1000000000000</v>
      </c>
      <c r="BS379" s="181">
        <f ca="1">IF($D379&lt;&gt;"Serviço",0,IF(AND(AUTOEVENTO="Manual",$M379=1),0,IF(OFFSET(CRONOPLE!$F$14,$M379,BS$13)="",10^12,OFFSET(CRONOPLE!$F$14,$M379,BS$13))))</f>
        <v>1000000000000</v>
      </c>
      <c r="BT379" s="181">
        <f ca="1">IF($D379&lt;&gt;"Serviço",0,IF(AND(AUTOEVENTO="Manual",$M379=1),0,IF(OFFSET(CRONOPLE!$F$14,$M379,BT$13)="",10^12,OFFSET(CRONOPLE!$F$14,$M379,BT$13))))</f>
        <v>1000000000000</v>
      </c>
      <c r="BV379" s="182">
        <f ca="1">IF($D379&lt;&gt;"Serviço",0,IF(OR(AND(AUTOEVENTO="Manual",$M379=1),$M379&gt;(ROW(PLE.lastrow)-ROW(PLE.firstrow))),0,IF(OFFSET(PLE!$G$14,$M379,BV$13)="",10^12,OFFSET(PLE!$G$14,$M379,BV$13))))</f>
        <v>1000000000000</v>
      </c>
      <c r="BW379" s="182">
        <f ca="1">IF($D379&lt;&gt;"Serviço",0,IF(OR(AND(AUTOEVENTO="Manual",$M379=1),$M379&gt;(ROW(PLE.lastrow)-ROW(PLE.firstrow))),0,IF(OFFSET(PLE!$G$14,$M379,BW$13)="",10^12,OFFSET(PLE!$G$14,$M379,BW$13))))</f>
        <v>1000000000000</v>
      </c>
      <c r="BX379" s="182">
        <f ca="1">IF($D379&lt;&gt;"Serviço",0,IF(OR(AND(AUTOEVENTO="Manual",$M379=1),$M379&gt;(ROW(PLE.lastrow)-ROW(PLE.firstrow))),0,IF(OFFSET(PLE!$G$14,$M379,BX$13)="",10^12,OFFSET(PLE!$G$14,$M379,BX$13))))</f>
        <v>1000000000000</v>
      </c>
      <c r="BY379" s="182">
        <f ca="1">IF($D379&lt;&gt;"Serviço",0,IF(OR(AND(AUTOEVENTO="Manual",$M379=1),$M379&gt;(ROW(PLE.lastrow)-ROW(PLE.firstrow))),0,IF(OFFSET(PLE!$G$14,$M379,BY$13)="",10^12,OFFSET(PLE!$G$14,$M379,BY$13))))</f>
        <v>1000000000000</v>
      </c>
      <c r="BZ379" s="182">
        <f ca="1">IF($D379&lt;&gt;"Serviço",0,IF(OR(AND(AUTOEVENTO="Manual",$M379=1),$M379&gt;(ROW(PLE.lastrow)-ROW(PLE.firstrow))),0,IF(OFFSET(PLE!$G$14,$M379,BZ$13)="",10^12,OFFSET(PLE!$G$14,$M379,BZ$13))))</f>
        <v>1000000000000</v>
      </c>
      <c r="CA379" s="182">
        <f ca="1">IF($D379&lt;&gt;"Serviço",0,IF(OR(AND(AUTOEVENTO="Manual",$M379=1),$M379&gt;(ROW(PLE.lastrow)-ROW(PLE.firstrow))),0,IF(OFFSET(PLE!$G$14,$M379,CA$13)="",10^12,OFFSET(PLE!$G$14,$M379,CA$13))))</f>
        <v>1000000000000</v>
      </c>
      <c r="CB379" s="182">
        <f ca="1">IF($D379&lt;&gt;"Serviço",0,IF(OR(AND(AUTOEVENTO="Manual",$M379=1),$M379&gt;(ROW(PLE.lastrow)-ROW(PLE.firstrow))),0,IF(OFFSET(PLE!$G$14,$M379,CB$13)="",10^12,OFFSET(PLE!$G$14,$M379,CB$13))))</f>
        <v>1000000000000</v>
      </c>
      <c r="CC379" s="182">
        <f ca="1">IF($D379&lt;&gt;"Serviço",0,IF(OR(AND(AUTOEVENTO="Manual",$M379=1),$M379&gt;(ROW(PLE.lastrow)-ROW(PLE.firstrow))),0,IF(OFFSET(PLE!$G$14,$M379,CC$13)="",10^12,OFFSET(PLE!$G$14,$M379,CC$13))))</f>
        <v>1000000000000</v>
      </c>
      <c r="CD379" s="182">
        <f ca="1">IF($D379&lt;&gt;"Serviço",0,IF(OR(AND(AUTOEVENTO="Manual",$M379=1),$M379&gt;(ROW(PLE.lastrow)-ROW(PLE.firstrow))),0,IF(OFFSET(PLE!$G$14,$M379,CD$13)="",10^12,OFFSET(PLE!$G$14,$M379,CD$13))))</f>
        <v>1000000000000</v>
      </c>
      <c r="CE379" s="182">
        <f ca="1">IF($D379&lt;&gt;"Serviço",0,IF(OR(AND(AUTOEVENTO="Manual",$M379=1),$M379&gt;(ROW(PLE.lastrow)-ROW(PLE.firstrow))),0,IF(OFFSET(PLE!$G$14,$M379,CE$13)="",10^12,OFFSET(PLE!$G$14,$M379,CE$13))))</f>
        <v>1000000000000</v>
      </c>
      <c r="CF379" s="182">
        <f ca="1">IF($D379&lt;&gt;"Serviço",0,IF(OR(AND(AUTOEVENTO="Manual",$M379=1),$M379&gt;(ROW(PLE.lastrow)-ROW(PLE.firstrow))),0,IF(OFFSET(PLE!$G$14,$M379,CF$13)="",10^12,OFFSET(PLE!$G$14,$M379,CF$13))))</f>
        <v>1000000000000</v>
      </c>
      <c r="CG379" s="182">
        <f ca="1">IF($D379&lt;&gt;"Serviço",0,IF(OR(AND(AUTOEVENTO="Manual",$M379=1),$M379&gt;(ROW(PLE.lastrow)-ROW(PLE.firstrow))),0,IF(OFFSET(PLE!$G$14,$M379,CG$13)="",10^12,OFFSET(PLE!$G$14,$M379,CG$13))))</f>
        <v>1000000000000</v>
      </c>
      <c r="CH379" s="182">
        <f ca="1">IF($D379&lt;&gt;"Serviço",0,IF(OR(AND(AUTOEVENTO="Manual",$M379=1),$M379&gt;(ROW(PLE.lastrow)-ROW(PLE.firstrow))),0,IF(OFFSET(PLE!$G$14,$M379,CH$13)="",10^12,OFFSET(PLE!$G$14,$M379,CH$13))))</f>
        <v>1000000000000</v>
      </c>
      <c r="CI379" s="182">
        <f ca="1">IF($D379&lt;&gt;"Serviço",0,IF(OR(AND(AUTOEVENTO="Manual",$M379=1),$M379&gt;(ROW(PLE.lastrow)-ROW(PLE.firstrow))),0,IF(OFFSET(PLE!$G$14,$M379,CI$13)="",10^12,OFFSET(PLE!$G$14,$M379,CI$13))))</f>
        <v>1000000000000</v>
      </c>
      <c r="CJ379" s="182">
        <f ca="1">IF($D379&lt;&gt;"Serviço",0,IF(OR(AND(AUTOEVENTO="Manual",$M379=1),$M379&gt;(ROW(PLE.lastrow)-ROW(PLE.firstrow))),0,IF(OFFSET(PLE!$G$14,$M379,CJ$13)="",10^12,OFFSET(PLE!$G$14,$M379,CJ$13))))</f>
        <v>1000000000000</v>
      </c>
      <c r="CK379" s="182">
        <f ca="1">IF($D379&lt;&gt;"Serviço",0,IF(OR(AND(AUTOEVENTO="Manual",$M379=1),$M379&gt;(ROW(PLE.lastrow)-ROW(PLE.firstrow))),0,IF(OFFSET(PLE!$G$14,$M379,CK$13)="",10^12,OFFSET(PLE!$G$14,$M379,CK$13))))</f>
        <v>1000000000000</v>
      </c>
      <c r="CL379" s="182">
        <f ca="1">IF($D379&lt;&gt;"Serviço",0,IF(OR(AND(AUTOEVENTO="Manual",$M379=1),$M379&gt;(ROW(PLE.lastrow)-ROW(PLE.firstrow))),0,IF(OFFSET(PLE!$G$14,$M379,CL$13)="",10^12,OFFSET(PLE!$G$14,$M379,CL$13))))</f>
        <v>1000000000000</v>
      </c>
      <c r="CM379" s="182">
        <f ca="1">IF($D379&lt;&gt;"Serviço",0,IF(OR(AND(AUTOEVENTO="Manual",$M379=1),$M379&gt;(ROW(PLE.lastrow)-ROW(PLE.firstrow))),0,IF(OFFSET(PLE!$G$14,$M379,CM$13)="",10^12,OFFSET(PLE!$G$14,$M379,CM$13))))</f>
        <v>1000000000000</v>
      </c>
    </row>
    <row r="380" spans="1:91" ht="25.5" x14ac:dyDescent="0.2">
      <c r="A380" s="7" t="str">
        <f t="shared" ca="1" si="12"/>
        <v>350</v>
      </c>
      <c r="B380" s="7" t="str">
        <f ca="1">OFFSET(ORÇAMENTO!C$15,ROW(B380)-ROW(B$15),0)</f>
        <v>S</v>
      </c>
      <c r="C380" s="7" t="str">
        <f ca="1">OFFSET(ORÇAMENTO!L$15,ROW(C380)-ROW(C$15),0)</f>
        <v/>
      </c>
      <c r="D380" s="118" t="str">
        <f ca="1">OFFSET(ORÇAMENTO!N$15,ROW(D380)-ROW(D$15),0)</f>
        <v>Serviço</v>
      </c>
      <c r="E380" s="119" t="str">
        <f ca="1">OFFSET(ORÇAMENTO!O$15,ROW(E380)-ROW(E$15),0)</f>
        <v>-</v>
      </c>
      <c r="F380" s="172" t="str">
        <f ca="1">OFFSET(ORÇAMENTO!R$15,ROW(F380)-ROW(F$15),0)</f>
        <v>(abra o arquivo 'Referência 06-2024.xlsm)</v>
      </c>
      <c r="G380" s="173" t="str">
        <f ca="1">IF($D380&lt;&gt;"Serviço","",OFFSET(ORÇAMENTO!S$15,ROW(G380)-ROW(G$15),0))</f>
        <v>-</v>
      </c>
      <c r="H380" s="124">
        <f ca="1">IF($D380&lt;&gt;"Serviço",0,IF(ACOMPANHAMENTO="BM",ROUND(OFFSET(ORÇAMENTO!AJ$15,ROW(H380)-ROW(H$15),0),15-13*ORÇAMENTO!$AF$7),SUMPRODUCT(($Q$12:$AI$12&lt;&gt;"")*ROUND($Q380:$AI380,15-13*ORÇAMENTO!$AF$7))))</f>
        <v>53</v>
      </c>
      <c r="I380" s="561" t="s">
        <v>1107</v>
      </c>
      <c r="K380" s="174"/>
      <c r="L380" s="175" t="s">
        <v>255</v>
      </c>
      <c r="M380" s="176">
        <f ca="1">IF($D380&lt;&gt;"Serviço","",IF(AUTOEVENTO="manual",$A380,IF(ISERROR(MATCH($A380,$A$15:OFFSET($A380,-1,0),0)),MAX($M$15:OFFSET(M380,-1,0))+1,INDEX($M$15:OFFSET(M380,-1,0),MATCH($A380,$A$15:OFFSET($A380,-1,0),0)))))</f>
        <v>44</v>
      </c>
      <c r="N380" s="177" t="str">
        <f ca="1">IF($D380&lt;&gt;"Serviço","",IF(AUTOEVENTO="Manual",IF($A380=0,"&lt;-- defina o número do agrupador",OFFSET(EVENTOS!$D$14,$A380,0)),OFFSET($F$15,$A380,0)))</f>
        <v>LOUÇAS, ACESSÓRIOS E METAIS</v>
      </c>
      <c r="O380" s="178"/>
      <c r="Q380" s="178">
        <v>53</v>
      </c>
      <c r="R380" s="179"/>
      <c r="S380" s="179"/>
      <c r="T380" s="179"/>
      <c r="U380" s="179"/>
      <c r="V380" s="179"/>
      <c r="W380" s="179"/>
      <c r="X380" s="179"/>
      <c r="Y380" s="179"/>
      <c r="Z380" s="180"/>
      <c r="AA380" s="179"/>
      <c r="AB380" s="179"/>
      <c r="AC380" s="179"/>
      <c r="AD380" s="179"/>
      <c r="AE380" s="179"/>
      <c r="AF380" s="179"/>
      <c r="AG380" s="179"/>
      <c r="AH380" s="180"/>
      <c r="AJ380" s="544">
        <f ca="1">IF(AND($D380="Serviço",AJ$12&lt;&gt;0,$H380&gt;0,OR(AUTOEVENTO&lt;&gt;"manual",$M380&lt;&gt;1)),
IF(Import.TipoArredondamento&lt;&gt;"TransfereGOV",
ROUND(OFFSET($P380,0,AJ$13),15-13*ORÇAMENTO!$AF$7)/$H380*OFFSET(ORÇAMENTO!$X$15,ROW(AJ380)-ROW(AJ$15),0),
ROUND(ROUND(OFFSET($P380,0,AJ$13),15-13*ORÇAMENTO!$AF$7)*OFFSET(ORÇAMENTO!$W$15,ROW(AJ380)-ROW(AJ$15),0),15-13*ORÇAMENTO!$AF$11)),0)</f>
        <v>0</v>
      </c>
      <c r="AK380" s="545">
        <f ca="1">IF(AND($D380="Serviço",AK$12&lt;&gt;0,$H380&gt;0,OR(AUTOEVENTO&lt;&gt;"manual",$M380&lt;&gt;1)),
IF(Import.TipoArredondamento&lt;&gt;"TransfereGOV",
ROUND(OFFSET($P380,0,AK$13),15-13*ORÇAMENTO!$AF$7)/$H380*OFFSET(ORÇAMENTO!$X$15,ROW(AK380)-ROW(AK$15),0),
ROUND(ROUND(OFFSET($P380,0,AK$13),15-13*ORÇAMENTO!$AF$7)*OFFSET(ORÇAMENTO!$W$15,ROW(AK380)-ROW(AK$15),0),15-13*ORÇAMENTO!$AF$11)),0)</f>
        <v>0</v>
      </c>
      <c r="AL380" s="545">
        <f ca="1">IF(AND($D380="Serviço",AL$12&lt;&gt;0,$H380&gt;0,OR(AUTOEVENTO&lt;&gt;"manual",$M380&lt;&gt;1)),
IF(Import.TipoArredondamento&lt;&gt;"TransfereGOV",
ROUND(OFFSET($P380,0,AL$13),15-13*ORÇAMENTO!$AF$7)/$H380*OFFSET(ORÇAMENTO!$X$15,ROW(AL380)-ROW(AL$15),0),
ROUND(ROUND(OFFSET($P380,0,AL$13),15-13*ORÇAMENTO!$AF$7)*OFFSET(ORÇAMENTO!$W$15,ROW(AL380)-ROW(AL$15),0),15-13*ORÇAMENTO!$AF$11)),0)</f>
        <v>0</v>
      </c>
      <c r="AM380" s="545">
        <f ca="1">IF(AND($D380="Serviço",AM$12&lt;&gt;0,$H380&gt;0,OR(AUTOEVENTO&lt;&gt;"manual",$M380&lt;&gt;1)),
IF(Import.TipoArredondamento&lt;&gt;"TransfereGOV",
ROUND(OFFSET($P380,0,AM$13),15-13*ORÇAMENTO!$AF$7)/$H380*OFFSET(ORÇAMENTO!$X$15,ROW(AM380)-ROW(AM$15),0),
ROUND(ROUND(OFFSET($P380,0,AM$13),15-13*ORÇAMENTO!$AF$7)*OFFSET(ORÇAMENTO!$W$15,ROW(AM380)-ROW(AM$15),0),15-13*ORÇAMENTO!$AF$11)),0)</f>
        <v>0</v>
      </c>
      <c r="AN380" s="545">
        <f ca="1">IF(AND($D380="Serviço",AN$12&lt;&gt;0,$H380&gt;0,OR(AUTOEVENTO&lt;&gt;"manual",$M380&lt;&gt;1)),
IF(Import.TipoArredondamento&lt;&gt;"TransfereGOV",
ROUND(OFFSET($P380,0,AN$13),15-13*ORÇAMENTO!$AF$7)/$H380*OFFSET(ORÇAMENTO!$X$15,ROW(AN380)-ROW(AN$15),0),
ROUND(ROUND(OFFSET($P380,0,AN$13),15-13*ORÇAMENTO!$AF$7)*OFFSET(ORÇAMENTO!$W$15,ROW(AN380)-ROW(AN$15),0),15-13*ORÇAMENTO!$AF$11)),0)</f>
        <v>0</v>
      </c>
      <c r="AO380" s="545">
        <f ca="1">IF(AND($D380="Serviço",AO$12&lt;&gt;0,$H380&gt;0,OR(AUTOEVENTO&lt;&gt;"manual",$M380&lt;&gt;1)),
IF(Import.TipoArredondamento&lt;&gt;"TransfereGOV",
ROUND(OFFSET($P380,0,AO$13),15-13*ORÇAMENTO!$AF$7)/$H380*OFFSET(ORÇAMENTO!$X$15,ROW(AO380)-ROW(AO$15),0),
ROUND(ROUND(OFFSET($P380,0,AO$13),15-13*ORÇAMENTO!$AF$7)*OFFSET(ORÇAMENTO!$W$15,ROW(AO380)-ROW(AO$15),0),15-13*ORÇAMENTO!$AF$11)),0)</f>
        <v>0</v>
      </c>
      <c r="AP380" s="545">
        <f ca="1">IF(AND($D380="Serviço",AP$12&lt;&gt;0,$H380&gt;0,OR(AUTOEVENTO&lt;&gt;"manual",$M380&lt;&gt;1)),
IF(Import.TipoArredondamento&lt;&gt;"TransfereGOV",
ROUND(OFFSET($P380,0,AP$13),15-13*ORÇAMENTO!$AF$7)/$H380*OFFSET(ORÇAMENTO!$X$15,ROW(AP380)-ROW(AP$15),0),
ROUND(ROUND(OFFSET($P380,0,AP$13),15-13*ORÇAMENTO!$AF$7)*OFFSET(ORÇAMENTO!$W$15,ROW(AP380)-ROW(AP$15),0),15-13*ORÇAMENTO!$AF$11)),0)</f>
        <v>0</v>
      </c>
      <c r="AQ380" s="545">
        <f ca="1">IF(AND($D380="Serviço",AQ$12&lt;&gt;0,$H380&gt;0,OR(AUTOEVENTO&lt;&gt;"manual",$M380&lt;&gt;1)),
IF(Import.TipoArredondamento&lt;&gt;"TransfereGOV",
ROUND(OFFSET($P380,0,AQ$13),15-13*ORÇAMENTO!$AF$7)/$H380*OFFSET(ORÇAMENTO!$X$15,ROW(AQ380)-ROW(AQ$15),0),
ROUND(ROUND(OFFSET($P380,0,AQ$13),15-13*ORÇAMENTO!$AF$7)*OFFSET(ORÇAMENTO!$W$15,ROW(AQ380)-ROW(AQ$15),0),15-13*ORÇAMENTO!$AF$11)),0)</f>
        <v>0</v>
      </c>
      <c r="AR380" s="545">
        <f ca="1">IF(AND($D380="Serviço",AR$12&lt;&gt;0,$H380&gt;0,OR(AUTOEVENTO&lt;&gt;"manual",$M380&lt;&gt;1)),
IF(Import.TipoArredondamento&lt;&gt;"TransfereGOV",
ROUND(OFFSET($P380,0,AR$13),15-13*ORÇAMENTO!$AF$7)/$H380*OFFSET(ORÇAMENTO!$X$15,ROW(AR380)-ROW(AR$15),0),
ROUND(ROUND(OFFSET($P380,0,AR$13),15-13*ORÇAMENTO!$AF$7)*OFFSET(ORÇAMENTO!$W$15,ROW(AR380)-ROW(AR$15),0),15-13*ORÇAMENTO!$AF$11)),0)</f>
        <v>0</v>
      </c>
      <c r="AS380" s="546">
        <f ca="1">IF(AND($D380="Serviço",AS$12&lt;&gt;0,$H380&gt;0,OR(AUTOEVENTO&lt;&gt;"manual",$M380&lt;&gt;1)),
IF(Import.TipoArredondamento&lt;&gt;"TransfereGOV",
ROUND(OFFSET($P380,0,AS$13),15-13*ORÇAMENTO!$AF$7)/$H380*OFFSET(ORÇAMENTO!$X$15,ROW(AS380)-ROW(AS$15),0),
ROUND(ROUND(OFFSET($P380,0,AS$13),15-13*ORÇAMENTO!$AF$7)*OFFSET(ORÇAMENTO!$W$15,ROW(AS380)-ROW(AS$15),0),15-13*ORÇAMENTO!$AF$11)),0)</f>
        <v>0</v>
      </c>
      <c r="AT380" s="545">
        <f ca="1">IF(AND($D380="Serviço",AT$12&lt;&gt;0,$H380&gt;0,OR(AUTOEVENTO&lt;&gt;"manual",$M380&lt;&gt;1)),
IF(Import.TipoArredondamento&lt;&gt;"TransfereGOV",
ROUND(OFFSET($P380,0,AT$13),15-13*ORÇAMENTO!$AF$7)/$H380*OFFSET(ORÇAMENTO!$X$15,ROW(AT380)-ROW(AT$15),0),
ROUND(ROUND(OFFSET($P380,0,AT$13),15-13*ORÇAMENTO!$AF$7)*OFFSET(ORÇAMENTO!$W$15,ROW(AT380)-ROW(AT$15),0),15-13*ORÇAMENTO!$AF$11)),0)</f>
        <v>0</v>
      </c>
      <c r="AU380" s="545">
        <f ca="1">IF(AND($D380="Serviço",AU$12&lt;&gt;0,$H380&gt;0,OR(AUTOEVENTO&lt;&gt;"manual",$M380&lt;&gt;1)),
IF(Import.TipoArredondamento&lt;&gt;"TransfereGOV",
ROUND(OFFSET($P380,0,AU$13),15-13*ORÇAMENTO!$AF$7)/$H380*OFFSET(ORÇAMENTO!$X$15,ROW(AU380)-ROW(AU$15),0),
ROUND(ROUND(OFFSET($P380,0,AU$13),15-13*ORÇAMENTO!$AF$7)*OFFSET(ORÇAMENTO!$W$15,ROW(AU380)-ROW(AU$15),0),15-13*ORÇAMENTO!$AF$11)),0)</f>
        <v>0</v>
      </c>
      <c r="AV380" s="545">
        <f ca="1">IF(AND($D380="Serviço",AV$12&lt;&gt;0,$H380&gt;0,OR(AUTOEVENTO&lt;&gt;"manual",$M380&lt;&gt;1)),
IF(Import.TipoArredondamento&lt;&gt;"TransfereGOV",
ROUND(OFFSET($P380,0,AV$13),15-13*ORÇAMENTO!$AF$7)/$H380*OFFSET(ORÇAMENTO!$X$15,ROW(AV380)-ROW(AV$15),0),
ROUND(ROUND(OFFSET($P380,0,AV$13),15-13*ORÇAMENTO!$AF$7)*OFFSET(ORÇAMENTO!$W$15,ROW(AV380)-ROW(AV$15),0),15-13*ORÇAMENTO!$AF$11)),0)</f>
        <v>0</v>
      </c>
      <c r="AW380" s="545">
        <f ca="1">IF(AND($D380="Serviço",AW$12&lt;&gt;0,$H380&gt;0,OR(AUTOEVENTO&lt;&gt;"manual",$M380&lt;&gt;1)),
IF(Import.TipoArredondamento&lt;&gt;"TransfereGOV",
ROUND(OFFSET($P380,0,AW$13),15-13*ORÇAMENTO!$AF$7)/$H380*OFFSET(ORÇAMENTO!$X$15,ROW(AW380)-ROW(AW$15),0),
ROUND(ROUND(OFFSET($P380,0,AW$13),15-13*ORÇAMENTO!$AF$7)*OFFSET(ORÇAMENTO!$W$15,ROW(AW380)-ROW(AW$15),0),15-13*ORÇAMENTO!$AF$11)),0)</f>
        <v>0</v>
      </c>
      <c r="AX380" s="545">
        <f ca="1">IF(AND($D380="Serviço",AX$12&lt;&gt;0,$H380&gt;0,OR(AUTOEVENTO&lt;&gt;"manual",$M380&lt;&gt;1)),
IF(Import.TipoArredondamento&lt;&gt;"TransfereGOV",
ROUND(OFFSET($P380,0,AX$13),15-13*ORÇAMENTO!$AF$7)/$H380*OFFSET(ORÇAMENTO!$X$15,ROW(AX380)-ROW(AX$15),0),
ROUND(ROUND(OFFSET($P380,0,AX$13),15-13*ORÇAMENTO!$AF$7)*OFFSET(ORÇAMENTO!$W$15,ROW(AX380)-ROW(AX$15),0),15-13*ORÇAMENTO!$AF$11)),0)</f>
        <v>0</v>
      </c>
      <c r="AY380" s="545">
        <f ca="1">IF(AND($D380="Serviço",AY$12&lt;&gt;0,$H380&gt;0,OR(AUTOEVENTO&lt;&gt;"manual",$M380&lt;&gt;1)),
IF(Import.TipoArredondamento&lt;&gt;"TransfereGOV",
ROUND(OFFSET($P380,0,AY$13),15-13*ORÇAMENTO!$AF$7)/$H380*OFFSET(ORÇAMENTO!$X$15,ROW(AY380)-ROW(AY$15),0),
ROUND(ROUND(OFFSET($P380,0,AY$13),15-13*ORÇAMENTO!$AF$7)*OFFSET(ORÇAMENTO!$W$15,ROW(AY380)-ROW(AY$15),0),15-13*ORÇAMENTO!$AF$11)),0)</f>
        <v>0</v>
      </c>
      <c r="AZ380" s="545">
        <f ca="1">IF(AND($D380="Serviço",AZ$12&lt;&gt;0,$H380&gt;0,OR(AUTOEVENTO&lt;&gt;"manual",$M380&lt;&gt;1)),
IF(Import.TipoArredondamento&lt;&gt;"TransfereGOV",
ROUND(OFFSET($P380,0,AZ$13),15-13*ORÇAMENTO!$AF$7)/$H380*OFFSET(ORÇAMENTO!$X$15,ROW(AZ380)-ROW(AZ$15),0),
ROUND(ROUND(OFFSET($P380,0,AZ$13),15-13*ORÇAMENTO!$AF$7)*OFFSET(ORÇAMENTO!$W$15,ROW(AZ380)-ROW(AZ$15),0),15-13*ORÇAMENTO!$AF$11)),0)</f>
        <v>0</v>
      </c>
      <c r="BA380" s="546">
        <f ca="1">IF(AND($D380="Serviço",BA$12&lt;&gt;0,$H380&gt;0,OR(AUTOEVENTO&lt;&gt;"manual",$M380&lt;&gt;1)),
IF(Import.TipoArredondamento&lt;&gt;"TransfereGOV",
ROUND(OFFSET($P380,0,BA$13),15-13*ORÇAMENTO!$AF$7)/$H380*OFFSET(ORÇAMENTO!$X$15,ROW(BA380)-ROW(BA$15),0),
ROUND(ROUND(OFFSET($P380,0,BA$13),15-13*ORÇAMENTO!$AF$7)*OFFSET(ORÇAMENTO!$W$15,ROW(BA380)-ROW(BA$15),0),15-13*ORÇAMENTO!$AF$11)),0)</f>
        <v>0</v>
      </c>
      <c r="BC380" s="181">
        <f ca="1">IF($D380&lt;&gt;"Serviço",0,IF(AND(AUTOEVENTO="Manual",$M380=1),0,IF(OFFSET(CRONOPLE!$F$14,$M380,BC$13)="",10^12,OFFSET(CRONOPLE!$F$14,$M380,BC$13))))</f>
        <v>10</v>
      </c>
      <c r="BD380" s="181">
        <f ca="1">IF($D380&lt;&gt;"Serviço",0,IF(AND(AUTOEVENTO="Manual",$M380=1),0,IF(OFFSET(CRONOPLE!$F$14,$M380,BD$13)="",10^12,OFFSET(CRONOPLE!$F$14,$M380,BD$13))))</f>
        <v>1000000000000</v>
      </c>
      <c r="BE380" s="181">
        <f ca="1">IF($D380&lt;&gt;"Serviço",0,IF(AND(AUTOEVENTO="Manual",$M380=1),0,IF(OFFSET(CRONOPLE!$F$14,$M380,BE$13)="",10^12,OFFSET(CRONOPLE!$F$14,$M380,BE$13))))</f>
        <v>1000000000000</v>
      </c>
      <c r="BF380" s="181">
        <f ca="1">IF($D380&lt;&gt;"Serviço",0,IF(AND(AUTOEVENTO="Manual",$M380=1),0,IF(OFFSET(CRONOPLE!$F$14,$M380,BF$13)="",10^12,OFFSET(CRONOPLE!$F$14,$M380,BF$13))))</f>
        <v>1000000000000</v>
      </c>
      <c r="BG380" s="181">
        <f ca="1">IF($D380&lt;&gt;"Serviço",0,IF(AND(AUTOEVENTO="Manual",$M380=1),0,IF(OFFSET(CRONOPLE!$F$14,$M380,BG$13)="",10^12,OFFSET(CRONOPLE!$F$14,$M380,BG$13))))</f>
        <v>1000000000000</v>
      </c>
      <c r="BH380" s="181">
        <f ca="1">IF($D380&lt;&gt;"Serviço",0,IF(AND(AUTOEVENTO="Manual",$M380=1),0,IF(OFFSET(CRONOPLE!$F$14,$M380,BH$13)="",10^12,OFFSET(CRONOPLE!$F$14,$M380,BH$13))))</f>
        <v>1000000000000</v>
      </c>
      <c r="BI380" s="181">
        <f ca="1">IF($D380&lt;&gt;"Serviço",0,IF(AND(AUTOEVENTO="Manual",$M380=1),0,IF(OFFSET(CRONOPLE!$F$14,$M380,BI$13)="",10^12,OFFSET(CRONOPLE!$F$14,$M380,BI$13))))</f>
        <v>1000000000000</v>
      </c>
      <c r="BJ380" s="181">
        <f ca="1">IF($D380&lt;&gt;"Serviço",0,IF(AND(AUTOEVENTO="Manual",$M380=1),0,IF(OFFSET(CRONOPLE!$F$14,$M380,BJ$13)="",10^12,OFFSET(CRONOPLE!$F$14,$M380,BJ$13))))</f>
        <v>1000000000000</v>
      </c>
      <c r="BK380" s="181">
        <f ca="1">IF($D380&lt;&gt;"Serviço",0,IF(AND(AUTOEVENTO="Manual",$M380=1),0,IF(OFFSET(CRONOPLE!$F$14,$M380,BK$13)="",10^12,OFFSET(CRONOPLE!$F$14,$M380,BK$13))))</f>
        <v>1000000000000</v>
      </c>
      <c r="BL380" s="181">
        <f ca="1">IF($D380&lt;&gt;"Serviço",0,IF(AND(AUTOEVENTO="Manual",$M380=1),0,IF(OFFSET(CRONOPLE!$F$14,$M380,BL$13)="",10^12,OFFSET(CRONOPLE!$F$14,$M380,BL$13))))</f>
        <v>1000000000000</v>
      </c>
      <c r="BM380" s="181">
        <f ca="1">IF($D380&lt;&gt;"Serviço",0,IF(AND(AUTOEVENTO="Manual",$M380=1),0,IF(OFFSET(CRONOPLE!$F$14,$M380,BM$13)="",10^12,OFFSET(CRONOPLE!$F$14,$M380,BM$13))))</f>
        <v>1000000000000</v>
      </c>
      <c r="BN380" s="181">
        <f ca="1">IF($D380&lt;&gt;"Serviço",0,IF(AND(AUTOEVENTO="Manual",$M380=1),0,IF(OFFSET(CRONOPLE!$F$14,$M380,BN$13)="",10^12,OFFSET(CRONOPLE!$F$14,$M380,BN$13))))</f>
        <v>1000000000000</v>
      </c>
      <c r="BO380" s="181">
        <f ca="1">IF($D380&lt;&gt;"Serviço",0,IF(AND(AUTOEVENTO="Manual",$M380=1),0,IF(OFFSET(CRONOPLE!$F$14,$M380,BO$13)="",10^12,OFFSET(CRONOPLE!$F$14,$M380,BO$13))))</f>
        <v>1000000000000</v>
      </c>
      <c r="BP380" s="181">
        <f ca="1">IF($D380&lt;&gt;"Serviço",0,IF(AND(AUTOEVENTO="Manual",$M380=1),0,IF(OFFSET(CRONOPLE!$F$14,$M380,BP$13)="",10^12,OFFSET(CRONOPLE!$F$14,$M380,BP$13))))</f>
        <v>1000000000000</v>
      </c>
      <c r="BQ380" s="181">
        <f ca="1">IF($D380&lt;&gt;"Serviço",0,IF(AND(AUTOEVENTO="Manual",$M380=1),0,IF(OFFSET(CRONOPLE!$F$14,$M380,BQ$13)="",10^12,OFFSET(CRONOPLE!$F$14,$M380,BQ$13))))</f>
        <v>1000000000000</v>
      </c>
      <c r="BR380" s="181">
        <f ca="1">IF($D380&lt;&gt;"Serviço",0,IF(AND(AUTOEVENTO="Manual",$M380=1),0,IF(OFFSET(CRONOPLE!$F$14,$M380,BR$13)="",10^12,OFFSET(CRONOPLE!$F$14,$M380,BR$13))))</f>
        <v>1000000000000</v>
      </c>
      <c r="BS380" s="181">
        <f ca="1">IF($D380&lt;&gt;"Serviço",0,IF(AND(AUTOEVENTO="Manual",$M380=1),0,IF(OFFSET(CRONOPLE!$F$14,$M380,BS$13)="",10^12,OFFSET(CRONOPLE!$F$14,$M380,BS$13))))</f>
        <v>1000000000000</v>
      </c>
      <c r="BT380" s="181">
        <f ca="1">IF($D380&lt;&gt;"Serviço",0,IF(AND(AUTOEVENTO="Manual",$M380=1),0,IF(OFFSET(CRONOPLE!$F$14,$M380,BT$13)="",10^12,OFFSET(CRONOPLE!$F$14,$M380,BT$13))))</f>
        <v>1000000000000</v>
      </c>
      <c r="BV380" s="182">
        <f ca="1">IF($D380&lt;&gt;"Serviço",0,IF(OR(AND(AUTOEVENTO="Manual",$M380=1),$M380&gt;(ROW(PLE.lastrow)-ROW(PLE.firstrow))),0,IF(OFFSET(PLE!$G$14,$M380,BV$13)="",10^12,OFFSET(PLE!$G$14,$M380,BV$13))))</f>
        <v>1000000000000</v>
      </c>
      <c r="BW380" s="182">
        <f ca="1">IF($D380&lt;&gt;"Serviço",0,IF(OR(AND(AUTOEVENTO="Manual",$M380=1),$M380&gt;(ROW(PLE.lastrow)-ROW(PLE.firstrow))),0,IF(OFFSET(PLE!$G$14,$M380,BW$13)="",10^12,OFFSET(PLE!$G$14,$M380,BW$13))))</f>
        <v>1000000000000</v>
      </c>
      <c r="BX380" s="182">
        <f ca="1">IF($D380&lt;&gt;"Serviço",0,IF(OR(AND(AUTOEVENTO="Manual",$M380=1),$M380&gt;(ROW(PLE.lastrow)-ROW(PLE.firstrow))),0,IF(OFFSET(PLE!$G$14,$M380,BX$13)="",10^12,OFFSET(PLE!$G$14,$M380,BX$13))))</f>
        <v>1000000000000</v>
      </c>
      <c r="BY380" s="182">
        <f ca="1">IF($D380&lt;&gt;"Serviço",0,IF(OR(AND(AUTOEVENTO="Manual",$M380=1),$M380&gt;(ROW(PLE.lastrow)-ROW(PLE.firstrow))),0,IF(OFFSET(PLE!$G$14,$M380,BY$13)="",10^12,OFFSET(PLE!$G$14,$M380,BY$13))))</f>
        <v>1000000000000</v>
      </c>
      <c r="BZ380" s="182">
        <f ca="1">IF($D380&lt;&gt;"Serviço",0,IF(OR(AND(AUTOEVENTO="Manual",$M380=1),$M380&gt;(ROW(PLE.lastrow)-ROW(PLE.firstrow))),0,IF(OFFSET(PLE!$G$14,$M380,BZ$13)="",10^12,OFFSET(PLE!$G$14,$M380,BZ$13))))</f>
        <v>1000000000000</v>
      </c>
      <c r="CA380" s="182">
        <f ca="1">IF($D380&lt;&gt;"Serviço",0,IF(OR(AND(AUTOEVENTO="Manual",$M380=1),$M380&gt;(ROW(PLE.lastrow)-ROW(PLE.firstrow))),0,IF(OFFSET(PLE!$G$14,$M380,CA$13)="",10^12,OFFSET(PLE!$G$14,$M380,CA$13))))</f>
        <v>1000000000000</v>
      </c>
      <c r="CB380" s="182">
        <f ca="1">IF($D380&lt;&gt;"Serviço",0,IF(OR(AND(AUTOEVENTO="Manual",$M380=1),$M380&gt;(ROW(PLE.lastrow)-ROW(PLE.firstrow))),0,IF(OFFSET(PLE!$G$14,$M380,CB$13)="",10^12,OFFSET(PLE!$G$14,$M380,CB$13))))</f>
        <v>1000000000000</v>
      </c>
      <c r="CC380" s="182">
        <f ca="1">IF($D380&lt;&gt;"Serviço",0,IF(OR(AND(AUTOEVENTO="Manual",$M380=1),$M380&gt;(ROW(PLE.lastrow)-ROW(PLE.firstrow))),0,IF(OFFSET(PLE!$G$14,$M380,CC$13)="",10^12,OFFSET(PLE!$G$14,$M380,CC$13))))</f>
        <v>1000000000000</v>
      </c>
      <c r="CD380" s="182">
        <f ca="1">IF($D380&lt;&gt;"Serviço",0,IF(OR(AND(AUTOEVENTO="Manual",$M380=1),$M380&gt;(ROW(PLE.lastrow)-ROW(PLE.firstrow))),0,IF(OFFSET(PLE!$G$14,$M380,CD$13)="",10^12,OFFSET(PLE!$G$14,$M380,CD$13))))</f>
        <v>1000000000000</v>
      </c>
      <c r="CE380" s="182">
        <f ca="1">IF($D380&lt;&gt;"Serviço",0,IF(OR(AND(AUTOEVENTO="Manual",$M380=1),$M380&gt;(ROW(PLE.lastrow)-ROW(PLE.firstrow))),0,IF(OFFSET(PLE!$G$14,$M380,CE$13)="",10^12,OFFSET(PLE!$G$14,$M380,CE$13))))</f>
        <v>1000000000000</v>
      </c>
      <c r="CF380" s="182">
        <f ca="1">IF($D380&lt;&gt;"Serviço",0,IF(OR(AND(AUTOEVENTO="Manual",$M380=1),$M380&gt;(ROW(PLE.lastrow)-ROW(PLE.firstrow))),0,IF(OFFSET(PLE!$G$14,$M380,CF$13)="",10^12,OFFSET(PLE!$G$14,$M380,CF$13))))</f>
        <v>1000000000000</v>
      </c>
      <c r="CG380" s="182">
        <f ca="1">IF($D380&lt;&gt;"Serviço",0,IF(OR(AND(AUTOEVENTO="Manual",$M380=1),$M380&gt;(ROW(PLE.lastrow)-ROW(PLE.firstrow))),0,IF(OFFSET(PLE!$G$14,$M380,CG$13)="",10^12,OFFSET(PLE!$G$14,$M380,CG$13))))</f>
        <v>1000000000000</v>
      </c>
      <c r="CH380" s="182">
        <f ca="1">IF($D380&lt;&gt;"Serviço",0,IF(OR(AND(AUTOEVENTO="Manual",$M380=1),$M380&gt;(ROW(PLE.lastrow)-ROW(PLE.firstrow))),0,IF(OFFSET(PLE!$G$14,$M380,CH$13)="",10^12,OFFSET(PLE!$G$14,$M380,CH$13))))</f>
        <v>1000000000000</v>
      </c>
      <c r="CI380" s="182">
        <f ca="1">IF($D380&lt;&gt;"Serviço",0,IF(OR(AND(AUTOEVENTO="Manual",$M380=1),$M380&gt;(ROW(PLE.lastrow)-ROW(PLE.firstrow))),0,IF(OFFSET(PLE!$G$14,$M380,CI$13)="",10^12,OFFSET(PLE!$G$14,$M380,CI$13))))</f>
        <v>1000000000000</v>
      </c>
      <c r="CJ380" s="182">
        <f ca="1">IF($D380&lt;&gt;"Serviço",0,IF(OR(AND(AUTOEVENTO="Manual",$M380=1),$M380&gt;(ROW(PLE.lastrow)-ROW(PLE.firstrow))),0,IF(OFFSET(PLE!$G$14,$M380,CJ$13)="",10^12,OFFSET(PLE!$G$14,$M380,CJ$13))))</f>
        <v>1000000000000</v>
      </c>
      <c r="CK380" s="182">
        <f ca="1">IF($D380&lt;&gt;"Serviço",0,IF(OR(AND(AUTOEVENTO="Manual",$M380=1),$M380&gt;(ROW(PLE.lastrow)-ROW(PLE.firstrow))),0,IF(OFFSET(PLE!$G$14,$M380,CK$13)="",10^12,OFFSET(PLE!$G$14,$M380,CK$13))))</f>
        <v>1000000000000</v>
      </c>
      <c r="CL380" s="182">
        <f ca="1">IF($D380&lt;&gt;"Serviço",0,IF(OR(AND(AUTOEVENTO="Manual",$M380=1),$M380&gt;(ROW(PLE.lastrow)-ROW(PLE.firstrow))),0,IF(OFFSET(PLE!$G$14,$M380,CL$13)="",10^12,OFFSET(PLE!$G$14,$M380,CL$13))))</f>
        <v>1000000000000</v>
      </c>
      <c r="CM380" s="182">
        <f ca="1">IF($D380&lt;&gt;"Serviço",0,IF(OR(AND(AUTOEVENTO="Manual",$M380=1),$M380&gt;(ROW(PLE.lastrow)-ROW(PLE.firstrow))),0,IF(OFFSET(PLE!$G$14,$M380,CM$13)="",10^12,OFFSET(PLE!$G$14,$M380,CM$13))))</f>
        <v>1000000000000</v>
      </c>
    </row>
    <row r="381" spans="1:91" ht="25.5" x14ac:dyDescent="0.2">
      <c r="A381" s="7" t="str">
        <f t="shared" ca="1" si="12"/>
        <v>350</v>
      </c>
      <c r="B381" s="7" t="str">
        <f ca="1">OFFSET(ORÇAMENTO!C$15,ROW(B381)-ROW(B$15),0)</f>
        <v>S</v>
      </c>
      <c r="C381" s="7" t="str">
        <f ca="1">OFFSET(ORÇAMENTO!L$15,ROW(C381)-ROW(C$15),0)</f>
        <v/>
      </c>
      <c r="D381" s="118" t="str">
        <f ca="1">OFFSET(ORÇAMENTO!N$15,ROW(D381)-ROW(D$15),0)</f>
        <v>Serviço</v>
      </c>
      <c r="E381" s="119" t="str">
        <f ca="1">OFFSET(ORÇAMENTO!O$15,ROW(E381)-ROW(E$15),0)</f>
        <v>-</v>
      </c>
      <c r="F381" s="172" t="str">
        <f ca="1">OFFSET(ORÇAMENTO!R$15,ROW(F381)-ROW(F$15),0)</f>
        <v>(abra o arquivo 'Referência 06-2024.xlsm)</v>
      </c>
      <c r="G381" s="173" t="str">
        <f ca="1">IF($D381&lt;&gt;"Serviço","",OFFSET(ORÇAMENTO!S$15,ROW(G381)-ROW(G$15),0))</f>
        <v>-</v>
      </c>
      <c r="H381" s="124">
        <f ca="1">IF($D381&lt;&gt;"Serviço",0,IF(ACOMPANHAMENTO="BM",ROUND(OFFSET(ORÇAMENTO!AJ$15,ROW(H381)-ROW(H$15),0),15-13*ORÇAMENTO!$AF$7),SUMPRODUCT(($Q$12:$AI$12&lt;&gt;"")*ROUND($Q381:$AI381,15-13*ORÇAMENTO!$AF$7))))</f>
        <v>28</v>
      </c>
      <c r="I381" s="561" t="s">
        <v>1107</v>
      </c>
      <c r="K381" s="174"/>
      <c r="L381" s="175" t="s">
        <v>255</v>
      </c>
      <c r="M381" s="176">
        <f ca="1">IF($D381&lt;&gt;"Serviço","",IF(AUTOEVENTO="manual",$A381,IF(ISERROR(MATCH($A381,$A$15:OFFSET($A381,-1,0),0)),MAX($M$15:OFFSET(M381,-1,0))+1,INDEX($M$15:OFFSET(M381,-1,0),MATCH($A381,$A$15:OFFSET($A381,-1,0),0)))))</f>
        <v>44</v>
      </c>
      <c r="N381" s="177" t="str">
        <f ca="1">IF($D381&lt;&gt;"Serviço","",IF(AUTOEVENTO="Manual",IF($A381=0,"&lt;-- defina o número do agrupador",OFFSET(EVENTOS!$D$14,$A381,0)),OFFSET($F$15,$A381,0)))</f>
        <v>LOUÇAS, ACESSÓRIOS E METAIS</v>
      </c>
      <c r="O381" s="178"/>
      <c r="Q381" s="178">
        <v>28</v>
      </c>
      <c r="R381" s="179"/>
      <c r="S381" s="179"/>
      <c r="T381" s="179"/>
      <c r="U381" s="179"/>
      <c r="V381" s="179"/>
      <c r="W381" s="179"/>
      <c r="X381" s="179"/>
      <c r="Y381" s="179"/>
      <c r="Z381" s="180"/>
      <c r="AA381" s="179"/>
      <c r="AB381" s="179"/>
      <c r="AC381" s="179"/>
      <c r="AD381" s="179"/>
      <c r="AE381" s="179"/>
      <c r="AF381" s="179"/>
      <c r="AG381" s="179"/>
      <c r="AH381" s="180"/>
      <c r="AJ381" s="544">
        <f ca="1">IF(AND($D381="Serviço",AJ$12&lt;&gt;0,$H381&gt;0,OR(AUTOEVENTO&lt;&gt;"manual",$M381&lt;&gt;1)),
IF(Import.TipoArredondamento&lt;&gt;"TransfereGOV",
ROUND(OFFSET($P381,0,AJ$13),15-13*ORÇAMENTO!$AF$7)/$H381*OFFSET(ORÇAMENTO!$X$15,ROW(AJ381)-ROW(AJ$15),0),
ROUND(ROUND(OFFSET($P381,0,AJ$13),15-13*ORÇAMENTO!$AF$7)*OFFSET(ORÇAMENTO!$W$15,ROW(AJ381)-ROW(AJ$15),0),15-13*ORÇAMENTO!$AF$11)),0)</f>
        <v>0</v>
      </c>
      <c r="AK381" s="545">
        <f ca="1">IF(AND($D381="Serviço",AK$12&lt;&gt;0,$H381&gt;0,OR(AUTOEVENTO&lt;&gt;"manual",$M381&lt;&gt;1)),
IF(Import.TipoArredondamento&lt;&gt;"TransfereGOV",
ROUND(OFFSET($P381,0,AK$13),15-13*ORÇAMENTO!$AF$7)/$H381*OFFSET(ORÇAMENTO!$X$15,ROW(AK381)-ROW(AK$15),0),
ROUND(ROUND(OFFSET($P381,0,AK$13),15-13*ORÇAMENTO!$AF$7)*OFFSET(ORÇAMENTO!$W$15,ROW(AK381)-ROW(AK$15),0),15-13*ORÇAMENTO!$AF$11)),0)</f>
        <v>0</v>
      </c>
      <c r="AL381" s="545">
        <f ca="1">IF(AND($D381="Serviço",AL$12&lt;&gt;0,$H381&gt;0,OR(AUTOEVENTO&lt;&gt;"manual",$M381&lt;&gt;1)),
IF(Import.TipoArredondamento&lt;&gt;"TransfereGOV",
ROUND(OFFSET($P381,0,AL$13),15-13*ORÇAMENTO!$AF$7)/$H381*OFFSET(ORÇAMENTO!$X$15,ROW(AL381)-ROW(AL$15),0),
ROUND(ROUND(OFFSET($P381,0,AL$13),15-13*ORÇAMENTO!$AF$7)*OFFSET(ORÇAMENTO!$W$15,ROW(AL381)-ROW(AL$15),0),15-13*ORÇAMENTO!$AF$11)),0)</f>
        <v>0</v>
      </c>
      <c r="AM381" s="545">
        <f ca="1">IF(AND($D381="Serviço",AM$12&lt;&gt;0,$H381&gt;0,OR(AUTOEVENTO&lt;&gt;"manual",$M381&lt;&gt;1)),
IF(Import.TipoArredondamento&lt;&gt;"TransfereGOV",
ROUND(OFFSET($P381,0,AM$13),15-13*ORÇAMENTO!$AF$7)/$H381*OFFSET(ORÇAMENTO!$X$15,ROW(AM381)-ROW(AM$15),0),
ROUND(ROUND(OFFSET($P381,0,AM$13),15-13*ORÇAMENTO!$AF$7)*OFFSET(ORÇAMENTO!$W$15,ROW(AM381)-ROW(AM$15),0),15-13*ORÇAMENTO!$AF$11)),0)</f>
        <v>0</v>
      </c>
      <c r="AN381" s="545">
        <f ca="1">IF(AND($D381="Serviço",AN$12&lt;&gt;0,$H381&gt;0,OR(AUTOEVENTO&lt;&gt;"manual",$M381&lt;&gt;1)),
IF(Import.TipoArredondamento&lt;&gt;"TransfereGOV",
ROUND(OFFSET($P381,0,AN$13),15-13*ORÇAMENTO!$AF$7)/$H381*OFFSET(ORÇAMENTO!$X$15,ROW(AN381)-ROW(AN$15),0),
ROUND(ROUND(OFFSET($P381,0,AN$13),15-13*ORÇAMENTO!$AF$7)*OFFSET(ORÇAMENTO!$W$15,ROW(AN381)-ROW(AN$15),0),15-13*ORÇAMENTO!$AF$11)),0)</f>
        <v>0</v>
      </c>
      <c r="AO381" s="545">
        <f ca="1">IF(AND($D381="Serviço",AO$12&lt;&gt;0,$H381&gt;0,OR(AUTOEVENTO&lt;&gt;"manual",$M381&lt;&gt;1)),
IF(Import.TipoArredondamento&lt;&gt;"TransfereGOV",
ROUND(OFFSET($P381,0,AO$13),15-13*ORÇAMENTO!$AF$7)/$H381*OFFSET(ORÇAMENTO!$X$15,ROW(AO381)-ROW(AO$15),0),
ROUND(ROUND(OFFSET($P381,0,AO$13),15-13*ORÇAMENTO!$AF$7)*OFFSET(ORÇAMENTO!$W$15,ROW(AO381)-ROW(AO$15),0),15-13*ORÇAMENTO!$AF$11)),0)</f>
        <v>0</v>
      </c>
      <c r="AP381" s="545">
        <f ca="1">IF(AND($D381="Serviço",AP$12&lt;&gt;0,$H381&gt;0,OR(AUTOEVENTO&lt;&gt;"manual",$M381&lt;&gt;1)),
IF(Import.TipoArredondamento&lt;&gt;"TransfereGOV",
ROUND(OFFSET($P381,0,AP$13),15-13*ORÇAMENTO!$AF$7)/$H381*OFFSET(ORÇAMENTO!$X$15,ROW(AP381)-ROW(AP$15),0),
ROUND(ROUND(OFFSET($P381,0,AP$13),15-13*ORÇAMENTO!$AF$7)*OFFSET(ORÇAMENTO!$W$15,ROW(AP381)-ROW(AP$15),0),15-13*ORÇAMENTO!$AF$11)),0)</f>
        <v>0</v>
      </c>
      <c r="AQ381" s="545">
        <f ca="1">IF(AND($D381="Serviço",AQ$12&lt;&gt;0,$H381&gt;0,OR(AUTOEVENTO&lt;&gt;"manual",$M381&lt;&gt;1)),
IF(Import.TipoArredondamento&lt;&gt;"TransfereGOV",
ROUND(OFFSET($P381,0,AQ$13),15-13*ORÇAMENTO!$AF$7)/$H381*OFFSET(ORÇAMENTO!$X$15,ROW(AQ381)-ROW(AQ$15),0),
ROUND(ROUND(OFFSET($P381,0,AQ$13),15-13*ORÇAMENTO!$AF$7)*OFFSET(ORÇAMENTO!$W$15,ROW(AQ381)-ROW(AQ$15),0),15-13*ORÇAMENTO!$AF$11)),0)</f>
        <v>0</v>
      </c>
      <c r="AR381" s="545">
        <f ca="1">IF(AND($D381="Serviço",AR$12&lt;&gt;0,$H381&gt;0,OR(AUTOEVENTO&lt;&gt;"manual",$M381&lt;&gt;1)),
IF(Import.TipoArredondamento&lt;&gt;"TransfereGOV",
ROUND(OFFSET($P381,0,AR$13),15-13*ORÇAMENTO!$AF$7)/$H381*OFFSET(ORÇAMENTO!$X$15,ROW(AR381)-ROW(AR$15),0),
ROUND(ROUND(OFFSET($P381,0,AR$13),15-13*ORÇAMENTO!$AF$7)*OFFSET(ORÇAMENTO!$W$15,ROW(AR381)-ROW(AR$15),0),15-13*ORÇAMENTO!$AF$11)),0)</f>
        <v>0</v>
      </c>
      <c r="AS381" s="546">
        <f ca="1">IF(AND($D381="Serviço",AS$12&lt;&gt;0,$H381&gt;0,OR(AUTOEVENTO&lt;&gt;"manual",$M381&lt;&gt;1)),
IF(Import.TipoArredondamento&lt;&gt;"TransfereGOV",
ROUND(OFFSET($P381,0,AS$13),15-13*ORÇAMENTO!$AF$7)/$H381*OFFSET(ORÇAMENTO!$X$15,ROW(AS381)-ROW(AS$15),0),
ROUND(ROUND(OFFSET($P381,0,AS$13),15-13*ORÇAMENTO!$AF$7)*OFFSET(ORÇAMENTO!$W$15,ROW(AS381)-ROW(AS$15),0),15-13*ORÇAMENTO!$AF$11)),0)</f>
        <v>0</v>
      </c>
      <c r="AT381" s="545">
        <f ca="1">IF(AND($D381="Serviço",AT$12&lt;&gt;0,$H381&gt;0,OR(AUTOEVENTO&lt;&gt;"manual",$M381&lt;&gt;1)),
IF(Import.TipoArredondamento&lt;&gt;"TransfereGOV",
ROUND(OFFSET($P381,0,AT$13),15-13*ORÇAMENTO!$AF$7)/$H381*OFFSET(ORÇAMENTO!$X$15,ROW(AT381)-ROW(AT$15),0),
ROUND(ROUND(OFFSET($P381,0,AT$13),15-13*ORÇAMENTO!$AF$7)*OFFSET(ORÇAMENTO!$W$15,ROW(AT381)-ROW(AT$15),0),15-13*ORÇAMENTO!$AF$11)),0)</f>
        <v>0</v>
      </c>
      <c r="AU381" s="545">
        <f ca="1">IF(AND($D381="Serviço",AU$12&lt;&gt;0,$H381&gt;0,OR(AUTOEVENTO&lt;&gt;"manual",$M381&lt;&gt;1)),
IF(Import.TipoArredondamento&lt;&gt;"TransfereGOV",
ROUND(OFFSET($P381,0,AU$13),15-13*ORÇAMENTO!$AF$7)/$H381*OFFSET(ORÇAMENTO!$X$15,ROW(AU381)-ROW(AU$15),0),
ROUND(ROUND(OFFSET($P381,0,AU$13),15-13*ORÇAMENTO!$AF$7)*OFFSET(ORÇAMENTO!$W$15,ROW(AU381)-ROW(AU$15),0),15-13*ORÇAMENTO!$AF$11)),0)</f>
        <v>0</v>
      </c>
      <c r="AV381" s="545">
        <f ca="1">IF(AND($D381="Serviço",AV$12&lt;&gt;0,$H381&gt;0,OR(AUTOEVENTO&lt;&gt;"manual",$M381&lt;&gt;1)),
IF(Import.TipoArredondamento&lt;&gt;"TransfereGOV",
ROUND(OFFSET($P381,0,AV$13),15-13*ORÇAMENTO!$AF$7)/$H381*OFFSET(ORÇAMENTO!$X$15,ROW(AV381)-ROW(AV$15),0),
ROUND(ROUND(OFFSET($P381,0,AV$13),15-13*ORÇAMENTO!$AF$7)*OFFSET(ORÇAMENTO!$W$15,ROW(AV381)-ROW(AV$15),0),15-13*ORÇAMENTO!$AF$11)),0)</f>
        <v>0</v>
      </c>
      <c r="AW381" s="545">
        <f ca="1">IF(AND($D381="Serviço",AW$12&lt;&gt;0,$H381&gt;0,OR(AUTOEVENTO&lt;&gt;"manual",$M381&lt;&gt;1)),
IF(Import.TipoArredondamento&lt;&gt;"TransfereGOV",
ROUND(OFFSET($P381,0,AW$13),15-13*ORÇAMENTO!$AF$7)/$H381*OFFSET(ORÇAMENTO!$X$15,ROW(AW381)-ROW(AW$15),0),
ROUND(ROUND(OFFSET($P381,0,AW$13),15-13*ORÇAMENTO!$AF$7)*OFFSET(ORÇAMENTO!$W$15,ROW(AW381)-ROW(AW$15),0),15-13*ORÇAMENTO!$AF$11)),0)</f>
        <v>0</v>
      </c>
      <c r="AX381" s="545">
        <f ca="1">IF(AND($D381="Serviço",AX$12&lt;&gt;0,$H381&gt;0,OR(AUTOEVENTO&lt;&gt;"manual",$M381&lt;&gt;1)),
IF(Import.TipoArredondamento&lt;&gt;"TransfereGOV",
ROUND(OFFSET($P381,0,AX$13),15-13*ORÇAMENTO!$AF$7)/$H381*OFFSET(ORÇAMENTO!$X$15,ROW(AX381)-ROW(AX$15),0),
ROUND(ROUND(OFFSET($P381,0,AX$13),15-13*ORÇAMENTO!$AF$7)*OFFSET(ORÇAMENTO!$W$15,ROW(AX381)-ROW(AX$15),0),15-13*ORÇAMENTO!$AF$11)),0)</f>
        <v>0</v>
      </c>
      <c r="AY381" s="545">
        <f ca="1">IF(AND($D381="Serviço",AY$12&lt;&gt;0,$H381&gt;0,OR(AUTOEVENTO&lt;&gt;"manual",$M381&lt;&gt;1)),
IF(Import.TipoArredondamento&lt;&gt;"TransfereGOV",
ROUND(OFFSET($P381,0,AY$13),15-13*ORÇAMENTO!$AF$7)/$H381*OFFSET(ORÇAMENTO!$X$15,ROW(AY381)-ROW(AY$15),0),
ROUND(ROUND(OFFSET($P381,0,AY$13),15-13*ORÇAMENTO!$AF$7)*OFFSET(ORÇAMENTO!$W$15,ROW(AY381)-ROW(AY$15),0),15-13*ORÇAMENTO!$AF$11)),0)</f>
        <v>0</v>
      </c>
      <c r="AZ381" s="545">
        <f ca="1">IF(AND($D381="Serviço",AZ$12&lt;&gt;0,$H381&gt;0,OR(AUTOEVENTO&lt;&gt;"manual",$M381&lt;&gt;1)),
IF(Import.TipoArredondamento&lt;&gt;"TransfereGOV",
ROUND(OFFSET($P381,0,AZ$13),15-13*ORÇAMENTO!$AF$7)/$H381*OFFSET(ORÇAMENTO!$X$15,ROW(AZ381)-ROW(AZ$15),0),
ROUND(ROUND(OFFSET($P381,0,AZ$13),15-13*ORÇAMENTO!$AF$7)*OFFSET(ORÇAMENTO!$W$15,ROW(AZ381)-ROW(AZ$15),0),15-13*ORÇAMENTO!$AF$11)),0)</f>
        <v>0</v>
      </c>
      <c r="BA381" s="546">
        <f ca="1">IF(AND($D381="Serviço",BA$12&lt;&gt;0,$H381&gt;0,OR(AUTOEVENTO&lt;&gt;"manual",$M381&lt;&gt;1)),
IF(Import.TipoArredondamento&lt;&gt;"TransfereGOV",
ROUND(OFFSET($P381,0,BA$13),15-13*ORÇAMENTO!$AF$7)/$H381*OFFSET(ORÇAMENTO!$X$15,ROW(BA381)-ROW(BA$15),0),
ROUND(ROUND(OFFSET($P381,0,BA$13),15-13*ORÇAMENTO!$AF$7)*OFFSET(ORÇAMENTO!$W$15,ROW(BA381)-ROW(BA$15),0),15-13*ORÇAMENTO!$AF$11)),0)</f>
        <v>0</v>
      </c>
      <c r="BC381" s="181">
        <f ca="1">IF($D381&lt;&gt;"Serviço",0,IF(AND(AUTOEVENTO="Manual",$M381=1),0,IF(OFFSET(CRONOPLE!$F$14,$M381,BC$13)="",10^12,OFFSET(CRONOPLE!$F$14,$M381,BC$13))))</f>
        <v>10</v>
      </c>
      <c r="BD381" s="181">
        <f ca="1">IF($D381&lt;&gt;"Serviço",0,IF(AND(AUTOEVENTO="Manual",$M381=1),0,IF(OFFSET(CRONOPLE!$F$14,$M381,BD$13)="",10^12,OFFSET(CRONOPLE!$F$14,$M381,BD$13))))</f>
        <v>1000000000000</v>
      </c>
      <c r="BE381" s="181">
        <f ca="1">IF($D381&lt;&gt;"Serviço",0,IF(AND(AUTOEVENTO="Manual",$M381=1),0,IF(OFFSET(CRONOPLE!$F$14,$M381,BE$13)="",10^12,OFFSET(CRONOPLE!$F$14,$M381,BE$13))))</f>
        <v>1000000000000</v>
      </c>
      <c r="BF381" s="181">
        <f ca="1">IF($D381&lt;&gt;"Serviço",0,IF(AND(AUTOEVENTO="Manual",$M381=1),0,IF(OFFSET(CRONOPLE!$F$14,$M381,BF$13)="",10^12,OFFSET(CRONOPLE!$F$14,$M381,BF$13))))</f>
        <v>1000000000000</v>
      </c>
      <c r="BG381" s="181">
        <f ca="1">IF($D381&lt;&gt;"Serviço",0,IF(AND(AUTOEVENTO="Manual",$M381=1),0,IF(OFFSET(CRONOPLE!$F$14,$M381,BG$13)="",10^12,OFFSET(CRONOPLE!$F$14,$M381,BG$13))))</f>
        <v>1000000000000</v>
      </c>
      <c r="BH381" s="181">
        <f ca="1">IF($D381&lt;&gt;"Serviço",0,IF(AND(AUTOEVENTO="Manual",$M381=1),0,IF(OFFSET(CRONOPLE!$F$14,$M381,BH$13)="",10^12,OFFSET(CRONOPLE!$F$14,$M381,BH$13))))</f>
        <v>1000000000000</v>
      </c>
      <c r="BI381" s="181">
        <f ca="1">IF($D381&lt;&gt;"Serviço",0,IF(AND(AUTOEVENTO="Manual",$M381=1),0,IF(OFFSET(CRONOPLE!$F$14,$M381,BI$13)="",10^12,OFFSET(CRONOPLE!$F$14,$M381,BI$13))))</f>
        <v>1000000000000</v>
      </c>
      <c r="BJ381" s="181">
        <f ca="1">IF($D381&lt;&gt;"Serviço",0,IF(AND(AUTOEVENTO="Manual",$M381=1),0,IF(OFFSET(CRONOPLE!$F$14,$M381,BJ$13)="",10^12,OFFSET(CRONOPLE!$F$14,$M381,BJ$13))))</f>
        <v>1000000000000</v>
      </c>
      <c r="BK381" s="181">
        <f ca="1">IF($D381&lt;&gt;"Serviço",0,IF(AND(AUTOEVENTO="Manual",$M381=1),0,IF(OFFSET(CRONOPLE!$F$14,$M381,BK$13)="",10^12,OFFSET(CRONOPLE!$F$14,$M381,BK$13))))</f>
        <v>1000000000000</v>
      </c>
      <c r="BL381" s="181">
        <f ca="1">IF($D381&lt;&gt;"Serviço",0,IF(AND(AUTOEVENTO="Manual",$M381=1),0,IF(OFFSET(CRONOPLE!$F$14,$M381,BL$13)="",10^12,OFFSET(CRONOPLE!$F$14,$M381,BL$13))))</f>
        <v>1000000000000</v>
      </c>
      <c r="BM381" s="181">
        <f ca="1">IF($D381&lt;&gt;"Serviço",0,IF(AND(AUTOEVENTO="Manual",$M381=1),0,IF(OFFSET(CRONOPLE!$F$14,$M381,BM$13)="",10^12,OFFSET(CRONOPLE!$F$14,$M381,BM$13))))</f>
        <v>1000000000000</v>
      </c>
      <c r="BN381" s="181">
        <f ca="1">IF($D381&lt;&gt;"Serviço",0,IF(AND(AUTOEVENTO="Manual",$M381=1),0,IF(OFFSET(CRONOPLE!$F$14,$M381,BN$13)="",10^12,OFFSET(CRONOPLE!$F$14,$M381,BN$13))))</f>
        <v>1000000000000</v>
      </c>
      <c r="BO381" s="181">
        <f ca="1">IF($D381&lt;&gt;"Serviço",0,IF(AND(AUTOEVENTO="Manual",$M381=1),0,IF(OFFSET(CRONOPLE!$F$14,$M381,BO$13)="",10^12,OFFSET(CRONOPLE!$F$14,$M381,BO$13))))</f>
        <v>1000000000000</v>
      </c>
      <c r="BP381" s="181">
        <f ca="1">IF($D381&lt;&gt;"Serviço",0,IF(AND(AUTOEVENTO="Manual",$M381=1),0,IF(OFFSET(CRONOPLE!$F$14,$M381,BP$13)="",10^12,OFFSET(CRONOPLE!$F$14,$M381,BP$13))))</f>
        <v>1000000000000</v>
      </c>
      <c r="BQ381" s="181">
        <f ca="1">IF($D381&lt;&gt;"Serviço",0,IF(AND(AUTOEVENTO="Manual",$M381=1),0,IF(OFFSET(CRONOPLE!$F$14,$M381,BQ$13)="",10^12,OFFSET(CRONOPLE!$F$14,$M381,BQ$13))))</f>
        <v>1000000000000</v>
      </c>
      <c r="BR381" s="181">
        <f ca="1">IF($D381&lt;&gt;"Serviço",0,IF(AND(AUTOEVENTO="Manual",$M381=1),0,IF(OFFSET(CRONOPLE!$F$14,$M381,BR$13)="",10^12,OFFSET(CRONOPLE!$F$14,$M381,BR$13))))</f>
        <v>1000000000000</v>
      </c>
      <c r="BS381" s="181">
        <f ca="1">IF($D381&lt;&gt;"Serviço",0,IF(AND(AUTOEVENTO="Manual",$M381=1),0,IF(OFFSET(CRONOPLE!$F$14,$M381,BS$13)="",10^12,OFFSET(CRONOPLE!$F$14,$M381,BS$13))))</f>
        <v>1000000000000</v>
      </c>
      <c r="BT381" s="181">
        <f ca="1">IF($D381&lt;&gt;"Serviço",0,IF(AND(AUTOEVENTO="Manual",$M381=1),0,IF(OFFSET(CRONOPLE!$F$14,$M381,BT$13)="",10^12,OFFSET(CRONOPLE!$F$14,$M381,BT$13))))</f>
        <v>1000000000000</v>
      </c>
      <c r="BV381" s="182">
        <f ca="1">IF($D381&lt;&gt;"Serviço",0,IF(OR(AND(AUTOEVENTO="Manual",$M381=1),$M381&gt;(ROW(PLE.lastrow)-ROW(PLE.firstrow))),0,IF(OFFSET(PLE!$G$14,$M381,BV$13)="",10^12,OFFSET(PLE!$G$14,$M381,BV$13))))</f>
        <v>1000000000000</v>
      </c>
      <c r="BW381" s="182">
        <f ca="1">IF($D381&lt;&gt;"Serviço",0,IF(OR(AND(AUTOEVENTO="Manual",$M381=1),$M381&gt;(ROW(PLE.lastrow)-ROW(PLE.firstrow))),0,IF(OFFSET(PLE!$G$14,$M381,BW$13)="",10^12,OFFSET(PLE!$G$14,$M381,BW$13))))</f>
        <v>1000000000000</v>
      </c>
      <c r="BX381" s="182">
        <f ca="1">IF($D381&lt;&gt;"Serviço",0,IF(OR(AND(AUTOEVENTO="Manual",$M381=1),$M381&gt;(ROW(PLE.lastrow)-ROW(PLE.firstrow))),0,IF(OFFSET(PLE!$G$14,$M381,BX$13)="",10^12,OFFSET(PLE!$G$14,$M381,BX$13))))</f>
        <v>1000000000000</v>
      </c>
      <c r="BY381" s="182">
        <f ca="1">IF($D381&lt;&gt;"Serviço",0,IF(OR(AND(AUTOEVENTO="Manual",$M381=1),$M381&gt;(ROW(PLE.lastrow)-ROW(PLE.firstrow))),0,IF(OFFSET(PLE!$G$14,$M381,BY$13)="",10^12,OFFSET(PLE!$G$14,$M381,BY$13))))</f>
        <v>1000000000000</v>
      </c>
      <c r="BZ381" s="182">
        <f ca="1">IF($D381&lt;&gt;"Serviço",0,IF(OR(AND(AUTOEVENTO="Manual",$M381=1),$M381&gt;(ROW(PLE.lastrow)-ROW(PLE.firstrow))),0,IF(OFFSET(PLE!$G$14,$M381,BZ$13)="",10^12,OFFSET(PLE!$G$14,$M381,BZ$13))))</f>
        <v>1000000000000</v>
      </c>
      <c r="CA381" s="182">
        <f ca="1">IF($D381&lt;&gt;"Serviço",0,IF(OR(AND(AUTOEVENTO="Manual",$M381=1),$M381&gt;(ROW(PLE.lastrow)-ROW(PLE.firstrow))),0,IF(OFFSET(PLE!$G$14,$M381,CA$13)="",10^12,OFFSET(PLE!$G$14,$M381,CA$13))))</f>
        <v>1000000000000</v>
      </c>
      <c r="CB381" s="182">
        <f ca="1">IF($D381&lt;&gt;"Serviço",0,IF(OR(AND(AUTOEVENTO="Manual",$M381=1),$M381&gt;(ROW(PLE.lastrow)-ROW(PLE.firstrow))),0,IF(OFFSET(PLE!$G$14,$M381,CB$13)="",10^12,OFFSET(PLE!$G$14,$M381,CB$13))))</f>
        <v>1000000000000</v>
      </c>
      <c r="CC381" s="182">
        <f ca="1">IF($D381&lt;&gt;"Serviço",0,IF(OR(AND(AUTOEVENTO="Manual",$M381=1),$M381&gt;(ROW(PLE.lastrow)-ROW(PLE.firstrow))),0,IF(OFFSET(PLE!$G$14,$M381,CC$13)="",10^12,OFFSET(PLE!$G$14,$M381,CC$13))))</f>
        <v>1000000000000</v>
      </c>
      <c r="CD381" s="182">
        <f ca="1">IF($D381&lt;&gt;"Serviço",0,IF(OR(AND(AUTOEVENTO="Manual",$M381=1),$M381&gt;(ROW(PLE.lastrow)-ROW(PLE.firstrow))),0,IF(OFFSET(PLE!$G$14,$M381,CD$13)="",10^12,OFFSET(PLE!$G$14,$M381,CD$13))))</f>
        <v>1000000000000</v>
      </c>
      <c r="CE381" s="182">
        <f ca="1">IF($D381&lt;&gt;"Serviço",0,IF(OR(AND(AUTOEVENTO="Manual",$M381=1),$M381&gt;(ROW(PLE.lastrow)-ROW(PLE.firstrow))),0,IF(OFFSET(PLE!$G$14,$M381,CE$13)="",10^12,OFFSET(PLE!$G$14,$M381,CE$13))))</f>
        <v>1000000000000</v>
      </c>
      <c r="CF381" s="182">
        <f ca="1">IF($D381&lt;&gt;"Serviço",0,IF(OR(AND(AUTOEVENTO="Manual",$M381=1),$M381&gt;(ROW(PLE.lastrow)-ROW(PLE.firstrow))),0,IF(OFFSET(PLE!$G$14,$M381,CF$13)="",10^12,OFFSET(PLE!$G$14,$M381,CF$13))))</f>
        <v>1000000000000</v>
      </c>
      <c r="CG381" s="182">
        <f ca="1">IF($D381&lt;&gt;"Serviço",0,IF(OR(AND(AUTOEVENTO="Manual",$M381=1),$M381&gt;(ROW(PLE.lastrow)-ROW(PLE.firstrow))),0,IF(OFFSET(PLE!$G$14,$M381,CG$13)="",10^12,OFFSET(PLE!$G$14,$M381,CG$13))))</f>
        <v>1000000000000</v>
      </c>
      <c r="CH381" s="182">
        <f ca="1">IF($D381&lt;&gt;"Serviço",0,IF(OR(AND(AUTOEVENTO="Manual",$M381=1),$M381&gt;(ROW(PLE.lastrow)-ROW(PLE.firstrow))),0,IF(OFFSET(PLE!$G$14,$M381,CH$13)="",10^12,OFFSET(PLE!$G$14,$M381,CH$13))))</f>
        <v>1000000000000</v>
      </c>
      <c r="CI381" s="182">
        <f ca="1">IF($D381&lt;&gt;"Serviço",0,IF(OR(AND(AUTOEVENTO="Manual",$M381=1),$M381&gt;(ROW(PLE.lastrow)-ROW(PLE.firstrow))),0,IF(OFFSET(PLE!$G$14,$M381,CI$13)="",10^12,OFFSET(PLE!$G$14,$M381,CI$13))))</f>
        <v>1000000000000</v>
      </c>
      <c r="CJ381" s="182">
        <f ca="1">IF($D381&lt;&gt;"Serviço",0,IF(OR(AND(AUTOEVENTO="Manual",$M381=1),$M381&gt;(ROW(PLE.lastrow)-ROW(PLE.firstrow))),0,IF(OFFSET(PLE!$G$14,$M381,CJ$13)="",10^12,OFFSET(PLE!$G$14,$M381,CJ$13))))</f>
        <v>1000000000000</v>
      </c>
      <c r="CK381" s="182">
        <f ca="1">IF($D381&lt;&gt;"Serviço",0,IF(OR(AND(AUTOEVENTO="Manual",$M381=1),$M381&gt;(ROW(PLE.lastrow)-ROW(PLE.firstrow))),0,IF(OFFSET(PLE!$G$14,$M381,CK$13)="",10^12,OFFSET(PLE!$G$14,$M381,CK$13))))</f>
        <v>1000000000000</v>
      </c>
      <c r="CL381" s="182">
        <f ca="1">IF($D381&lt;&gt;"Serviço",0,IF(OR(AND(AUTOEVENTO="Manual",$M381=1),$M381&gt;(ROW(PLE.lastrow)-ROW(PLE.firstrow))),0,IF(OFFSET(PLE!$G$14,$M381,CL$13)="",10^12,OFFSET(PLE!$G$14,$M381,CL$13))))</f>
        <v>1000000000000</v>
      </c>
      <c r="CM381" s="182">
        <f ca="1">IF($D381&lt;&gt;"Serviço",0,IF(OR(AND(AUTOEVENTO="Manual",$M381=1),$M381&gt;(ROW(PLE.lastrow)-ROW(PLE.firstrow))),0,IF(OFFSET(PLE!$G$14,$M381,CM$13)="",10^12,OFFSET(PLE!$G$14,$M381,CM$13))))</f>
        <v>1000000000000</v>
      </c>
    </row>
    <row r="382" spans="1:91" ht="38.25" x14ac:dyDescent="0.2">
      <c r="A382" s="7" t="str">
        <f t="shared" ca="1" si="12"/>
        <v>350</v>
      </c>
      <c r="B382" s="7" t="str">
        <f ca="1">OFFSET(ORÇAMENTO!C$15,ROW(B382)-ROW(B$15),0)</f>
        <v>S</v>
      </c>
      <c r="C382" s="7" t="str">
        <f ca="1">OFFSET(ORÇAMENTO!L$15,ROW(C382)-ROW(C$15),0)</f>
        <v/>
      </c>
      <c r="D382" s="118" t="str">
        <f ca="1">OFFSET(ORÇAMENTO!N$15,ROW(D382)-ROW(D$15),0)</f>
        <v>Serviço</v>
      </c>
      <c r="E382" s="119" t="str">
        <f ca="1">OFFSET(ORÇAMENTO!O$15,ROW(E382)-ROW(E$15),0)</f>
        <v>-</v>
      </c>
      <c r="F382" s="172" t="str">
        <f ca="1">OFFSET(ORÇAMENTO!R$15,ROW(F382)-ROW(F$15),0)</f>
        <v>(abra o arquivo 'Referência 06-2024.xlsm)</v>
      </c>
      <c r="G382" s="173" t="str">
        <f ca="1">IF($D382&lt;&gt;"Serviço","",OFFSET(ORÇAMENTO!S$15,ROW(G382)-ROW(G$15),0))</f>
        <v>-</v>
      </c>
      <c r="H382" s="124">
        <f ca="1">IF($D382&lt;&gt;"Serviço",0,IF(ACOMPANHAMENTO="BM",ROUND(OFFSET(ORÇAMENTO!AJ$15,ROW(H382)-ROW(H$15),0),15-13*ORÇAMENTO!$AF$7),SUMPRODUCT(($Q$12:$AI$12&lt;&gt;"")*ROUND($Q382:$AI382,15-13*ORÇAMENTO!$AF$7))))</f>
        <v>19</v>
      </c>
      <c r="I382" s="561" t="s">
        <v>1107</v>
      </c>
      <c r="K382" s="174"/>
      <c r="L382" s="175" t="s">
        <v>255</v>
      </c>
      <c r="M382" s="176">
        <f ca="1">IF($D382&lt;&gt;"Serviço","",IF(AUTOEVENTO="manual",$A382,IF(ISERROR(MATCH($A382,$A$15:OFFSET($A382,-1,0),0)),MAX($M$15:OFFSET(M382,-1,0))+1,INDEX($M$15:OFFSET(M382,-1,0),MATCH($A382,$A$15:OFFSET($A382,-1,0),0)))))</f>
        <v>44</v>
      </c>
      <c r="N382" s="177" t="str">
        <f ca="1">IF($D382&lt;&gt;"Serviço","",IF(AUTOEVENTO="Manual",IF($A382=0,"&lt;-- defina o número do agrupador",OFFSET(EVENTOS!$D$14,$A382,0)),OFFSET($F$15,$A382,0)))</f>
        <v>LOUÇAS, ACESSÓRIOS E METAIS</v>
      </c>
      <c r="O382" s="178"/>
      <c r="Q382" s="178">
        <v>19</v>
      </c>
      <c r="R382" s="179"/>
      <c r="S382" s="179"/>
      <c r="T382" s="179"/>
      <c r="U382" s="179"/>
      <c r="V382" s="179"/>
      <c r="W382" s="179"/>
      <c r="X382" s="179"/>
      <c r="Y382" s="179"/>
      <c r="Z382" s="180"/>
      <c r="AA382" s="179"/>
      <c r="AB382" s="179"/>
      <c r="AC382" s="179"/>
      <c r="AD382" s="179"/>
      <c r="AE382" s="179"/>
      <c r="AF382" s="179"/>
      <c r="AG382" s="179"/>
      <c r="AH382" s="180"/>
      <c r="AJ382" s="544">
        <f ca="1">IF(AND($D382="Serviço",AJ$12&lt;&gt;0,$H382&gt;0,OR(AUTOEVENTO&lt;&gt;"manual",$M382&lt;&gt;1)),
IF(Import.TipoArredondamento&lt;&gt;"TransfereGOV",
ROUND(OFFSET($P382,0,AJ$13),15-13*ORÇAMENTO!$AF$7)/$H382*OFFSET(ORÇAMENTO!$X$15,ROW(AJ382)-ROW(AJ$15),0),
ROUND(ROUND(OFFSET($P382,0,AJ$13),15-13*ORÇAMENTO!$AF$7)*OFFSET(ORÇAMENTO!$W$15,ROW(AJ382)-ROW(AJ$15),0),15-13*ORÇAMENTO!$AF$11)),0)</f>
        <v>0</v>
      </c>
      <c r="AK382" s="545">
        <f ca="1">IF(AND($D382="Serviço",AK$12&lt;&gt;0,$H382&gt;0,OR(AUTOEVENTO&lt;&gt;"manual",$M382&lt;&gt;1)),
IF(Import.TipoArredondamento&lt;&gt;"TransfereGOV",
ROUND(OFFSET($P382,0,AK$13),15-13*ORÇAMENTO!$AF$7)/$H382*OFFSET(ORÇAMENTO!$X$15,ROW(AK382)-ROW(AK$15),0),
ROUND(ROUND(OFFSET($P382,0,AK$13),15-13*ORÇAMENTO!$AF$7)*OFFSET(ORÇAMENTO!$W$15,ROW(AK382)-ROW(AK$15),0),15-13*ORÇAMENTO!$AF$11)),0)</f>
        <v>0</v>
      </c>
      <c r="AL382" s="545">
        <f ca="1">IF(AND($D382="Serviço",AL$12&lt;&gt;0,$H382&gt;0,OR(AUTOEVENTO&lt;&gt;"manual",$M382&lt;&gt;1)),
IF(Import.TipoArredondamento&lt;&gt;"TransfereGOV",
ROUND(OFFSET($P382,0,AL$13),15-13*ORÇAMENTO!$AF$7)/$H382*OFFSET(ORÇAMENTO!$X$15,ROW(AL382)-ROW(AL$15),0),
ROUND(ROUND(OFFSET($P382,0,AL$13),15-13*ORÇAMENTO!$AF$7)*OFFSET(ORÇAMENTO!$W$15,ROW(AL382)-ROW(AL$15),0),15-13*ORÇAMENTO!$AF$11)),0)</f>
        <v>0</v>
      </c>
      <c r="AM382" s="545">
        <f ca="1">IF(AND($D382="Serviço",AM$12&lt;&gt;0,$H382&gt;0,OR(AUTOEVENTO&lt;&gt;"manual",$M382&lt;&gt;1)),
IF(Import.TipoArredondamento&lt;&gt;"TransfereGOV",
ROUND(OFFSET($P382,0,AM$13),15-13*ORÇAMENTO!$AF$7)/$H382*OFFSET(ORÇAMENTO!$X$15,ROW(AM382)-ROW(AM$15),0),
ROUND(ROUND(OFFSET($P382,0,AM$13),15-13*ORÇAMENTO!$AF$7)*OFFSET(ORÇAMENTO!$W$15,ROW(AM382)-ROW(AM$15),0),15-13*ORÇAMENTO!$AF$11)),0)</f>
        <v>0</v>
      </c>
      <c r="AN382" s="545">
        <f ca="1">IF(AND($D382="Serviço",AN$12&lt;&gt;0,$H382&gt;0,OR(AUTOEVENTO&lt;&gt;"manual",$M382&lt;&gt;1)),
IF(Import.TipoArredondamento&lt;&gt;"TransfereGOV",
ROUND(OFFSET($P382,0,AN$13),15-13*ORÇAMENTO!$AF$7)/$H382*OFFSET(ORÇAMENTO!$X$15,ROW(AN382)-ROW(AN$15),0),
ROUND(ROUND(OFFSET($P382,0,AN$13),15-13*ORÇAMENTO!$AF$7)*OFFSET(ORÇAMENTO!$W$15,ROW(AN382)-ROW(AN$15),0),15-13*ORÇAMENTO!$AF$11)),0)</f>
        <v>0</v>
      </c>
      <c r="AO382" s="545">
        <f ca="1">IF(AND($D382="Serviço",AO$12&lt;&gt;0,$H382&gt;0,OR(AUTOEVENTO&lt;&gt;"manual",$M382&lt;&gt;1)),
IF(Import.TipoArredondamento&lt;&gt;"TransfereGOV",
ROUND(OFFSET($P382,0,AO$13),15-13*ORÇAMENTO!$AF$7)/$H382*OFFSET(ORÇAMENTO!$X$15,ROW(AO382)-ROW(AO$15),0),
ROUND(ROUND(OFFSET($P382,0,AO$13),15-13*ORÇAMENTO!$AF$7)*OFFSET(ORÇAMENTO!$W$15,ROW(AO382)-ROW(AO$15),0),15-13*ORÇAMENTO!$AF$11)),0)</f>
        <v>0</v>
      </c>
      <c r="AP382" s="545">
        <f ca="1">IF(AND($D382="Serviço",AP$12&lt;&gt;0,$H382&gt;0,OR(AUTOEVENTO&lt;&gt;"manual",$M382&lt;&gt;1)),
IF(Import.TipoArredondamento&lt;&gt;"TransfereGOV",
ROUND(OFFSET($P382,0,AP$13),15-13*ORÇAMENTO!$AF$7)/$H382*OFFSET(ORÇAMENTO!$X$15,ROW(AP382)-ROW(AP$15),0),
ROUND(ROUND(OFFSET($P382,0,AP$13),15-13*ORÇAMENTO!$AF$7)*OFFSET(ORÇAMENTO!$W$15,ROW(AP382)-ROW(AP$15),0),15-13*ORÇAMENTO!$AF$11)),0)</f>
        <v>0</v>
      </c>
      <c r="AQ382" s="545">
        <f ca="1">IF(AND($D382="Serviço",AQ$12&lt;&gt;0,$H382&gt;0,OR(AUTOEVENTO&lt;&gt;"manual",$M382&lt;&gt;1)),
IF(Import.TipoArredondamento&lt;&gt;"TransfereGOV",
ROUND(OFFSET($P382,0,AQ$13),15-13*ORÇAMENTO!$AF$7)/$H382*OFFSET(ORÇAMENTO!$X$15,ROW(AQ382)-ROW(AQ$15),0),
ROUND(ROUND(OFFSET($P382,0,AQ$13),15-13*ORÇAMENTO!$AF$7)*OFFSET(ORÇAMENTO!$W$15,ROW(AQ382)-ROW(AQ$15),0),15-13*ORÇAMENTO!$AF$11)),0)</f>
        <v>0</v>
      </c>
      <c r="AR382" s="545">
        <f ca="1">IF(AND($D382="Serviço",AR$12&lt;&gt;0,$H382&gt;0,OR(AUTOEVENTO&lt;&gt;"manual",$M382&lt;&gt;1)),
IF(Import.TipoArredondamento&lt;&gt;"TransfereGOV",
ROUND(OFFSET($P382,0,AR$13),15-13*ORÇAMENTO!$AF$7)/$H382*OFFSET(ORÇAMENTO!$X$15,ROW(AR382)-ROW(AR$15),0),
ROUND(ROUND(OFFSET($P382,0,AR$13),15-13*ORÇAMENTO!$AF$7)*OFFSET(ORÇAMENTO!$W$15,ROW(AR382)-ROW(AR$15),0),15-13*ORÇAMENTO!$AF$11)),0)</f>
        <v>0</v>
      </c>
      <c r="AS382" s="546">
        <f ca="1">IF(AND($D382="Serviço",AS$12&lt;&gt;0,$H382&gt;0,OR(AUTOEVENTO&lt;&gt;"manual",$M382&lt;&gt;1)),
IF(Import.TipoArredondamento&lt;&gt;"TransfereGOV",
ROUND(OFFSET($P382,0,AS$13),15-13*ORÇAMENTO!$AF$7)/$H382*OFFSET(ORÇAMENTO!$X$15,ROW(AS382)-ROW(AS$15),0),
ROUND(ROUND(OFFSET($P382,0,AS$13),15-13*ORÇAMENTO!$AF$7)*OFFSET(ORÇAMENTO!$W$15,ROW(AS382)-ROW(AS$15),0),15-13*ORÇAMENTO!$AF$11)),0)</f>
        <v>0</v>
      </c>
      <c r="AT382" s="545">
        <f ca="1">IF(AND($D382="Serviço",AT$12&lt;&gt;0,$H382&gt;0,OR(AUTOEVENTO&lt;&gt;"manual",$M382&lt;&gt;1)),
IF(Import.TipoArredondamento&lt;&gt;"TransfereGOV",
ROUND(OFFSET($P382,0,AT$13),15-13*ORÇAMENTO!$AF$7)/$H382*OFFSET(ORÇAMENTO!$X$15,ROW(AT382)-ROW(AT$15),0),
ROUND(ROUND(OFFSET($P382,0,AT$13),15-13*ORÇAMENTO!$AF$7)*OFFSET(ORÇAMENTO!$W$15,ROW(AT382)-ROW(AT$15),0),15-13*ORÇAMENTO!$AF$11)),0)</f>
        <v>0</v>
      </c>
      <c r="AU382" s="545">
        <f ca="1">IF(AND($D382="Serviço",AU$12&lt;&gt;0,$H382&gt;0,OR(AUTOEVENTO&lt;&gt;"manual",$M382&lt;&gt;1)),
IF(Import.TipoArredondamento&lt;&gt;"TransfereGOV",
ROUND(OFFSET($P382,0,AU$13),15-13*ORÇAMENTO!$AF$7)/$H382*OFFSET(ORÇAMENTO!$X$15,ROW(AU382)-ROW(AU$15),0),
ROUND(ROUND(OFFSET($P382,0,AU$13),15-13*ORÇAMENTO!$AF$7)*OFFSET(ORÇAMENTO!$W$15,ROW(AU382)-ROW(AU$15),0),15-13*ORÇAMENTO!$AF$11)),0)</f>
        <v>0</v>
      </c>
      <c r="AV382" s="545">
        <f ca="1">IF(AND($D382="Serviço",AV$12&lt;&gt;0,$H382&gt;0,OR(AUTOEVENTO&lt;&gt;"manual",$M382&lt;&gt;1)),
IF(Import.TipoArredondamento&lt;&gt;"TransfereGOV",
ROUND(OFFSET($P382,0,AV$13),15-13*ORÇAMENTO!$AF$7)/$H382*OFFSET(ORÇAMENTO!$X$15,ROW(AV382)-ROW(AV$15),0),
ROUND(ROUND(OFFSET($P382,0,AV$13),15-13*ORÇAMENTO!$AF$7)*OFFSET(ORÇAMENTO!$W$15,ROW(AV382)-ROW(AV$15),0),15-13*ORÇAMENTO!$AF$11)),0)</f>
        <v>0</v>
      </c>
      <c r="AW382" s="545">
        <f ca="1">IF(AND($D382="Serviço",AW$12&lt;&gt;0,$H382&gt;0,OR(AUTOEVENTO&lt;&gt;"manual",$M382&lt;&gt;1)),
IF(Import.TipoArredondamento&lt;&gt;"TransfereGOV",
ROUND(OFFSET($P382,0,AW$13),15-13*ORÇAMENTO!$AF$7)/$H382*OFFSET(ORÇAMENTO!$X$15,ROW(AW382)-ROW(AW$15),0),
ROUND(ROUND(OFFSET($P382,0,AW$13),15-13*ORÇAMENTO!$AF$7)*OFFSET(ORÇAMENTO!$W$15,ROW(AW382)-ROW(AW$15),0),15-13*ORÇAMENTO!$AF$11)),0)</f>
        <v>0</v>
      </c>
      <c r="AX382" s="545">
        <f ca="1">IF(AND($D382="Serviço",AX$12&lt;&gt;0,$H382&gt;0,OR(AUTOEVENTO&lt;&gt;"manual",$M382&lt;&gt;1)),
IF(Import.TipoArredondamento&lt;&gt;"TransfereGOV",
ROUND(OFFSET($P382,0,AX$13),15-13*ORÇAMENTO!$AF$7)/$H382*OFFSET(ORÇAMENTO!$X$15,ROW(AX382)-ROW(AX$15),0),
ROUND(ROUND(OFFSET($P382,0,AX$13),15-13*ORÇAMENTO!$AF$7)*OFFSET(ORÇAMENTO!$W$15,ROW(AX382)-ROW(AX$15),0),15-13*ORÇAMENTO!$AF$11)),0)</f>
        <v>0</v>
      </c>
      <c r="AY382" s="545">
        <f ca="1">IF(AND($D382="Serviço",AY$12&lt;&gt;0,$H382&gt;0,OR(AUTOEVENTO&lt;&gt;"manual",$M382&lt;&gt;1)),
IF(Import.TipoArredondamento&lt;&gt;"TransfereGOV",
ROUND(OFFSET($P382,0,AY$13),15-13*ORÇAMENTO!$AF$7)/$H382*OFFSET(ORÇAMENTO!$X$15,ROW(AY382)-ROW(AY$15),0),
ROUND(ROUND(OFFSET($P382,0,AY$13),15-13*ORÇAMENTO!$AF$7)*OFFSET(ORÇAMENTO!$W$15,ROW(AY382)-ROW(AY$15),0),15-13*ORÇAMENTO!$AF$11)),0)</f>
        <v>0</v>
      </c>
      <c r="AZ382" s="545">
        <f ca="1">IF(AND($D382="Serviço",AZ$12&lt;&gt;0,$H382&gt;0,OR(AUTOEVENTO&lt;&gt;"manual",$M382&lt;&gt;1)),
IF(Import.TipoArredondamento&lt;&gt;"TransfereGOV",
ROUND(OFFSET($P382,0,AZ$13),15-13*ORÇAMENTO!$AF$7)/$H382*OFFSET(ORÇAMENTO!$X$15,ROW(AZ382)-ROW(AZ$15),0),
ROUND(ROUND(OFFSET($P382,0,AZ$13),15-13*ORÇAMENTO!$AF$7)*OFFSET(ORÇAMENTO!$W$15,ROW(AZ382)-ROW(AZ$15),0),15-13*ORÇAMENTO!$AF$11)),0)</f>
        <v>0</v>
      </c>
      <c r="BA382" s="546">
        <f ca="1">IF(AND($D382="Serviço",BA$12&lt;&gt;0,$H382&gt;0,OR(AUTOEVENTO&lt;&gt;"manual",$M382&lt;&gt;1)),
IF(Import.TipoArredondamento&lt;&gt;"TransfereGOV",
ROUND(OFFSET($P382,0,BA$13),15-13*ORÇAMENTO!$AF$7)/$H382*OFFSET(ORÇAMENTO!$X$15,ROW(BA382)-ROW(BA$15),0),
ROUND(ROUND(OFFSET($P382,0,BA$13),15-13*ORÇAMENTO!$AF$7)*OFFSET(ORÇAMENTO!$W$15,ROW(BA382)-ROW(BA$15),0),15-13*ORÇAMENTO!$AF$11)),0)</f>
        <v>0</v>
      </c>
      <c r="BC382" s="181">
        <f ca="1">IF($D382&lt;&gt;"Serviço",0,IF(AND(AUTOEVENTO="Manual",$M382=1),0,IF(OFFSET(CRONOPLE!$F$14,$M382,BC$13)="",10^12,OFFSET(CRONOPLE!$F$14,$M382,BC$13))))</f>
        <v>10</v>
      </c>
      <c r="BD382" s="181">
        <f ca="1">IF($D382&lt;&gt;"Serviço",0,IF(AND(AUTOEVENTO="Manual",$M382=1),0,IF(OFFSET(CRONOPLE!$F$14,$M382,BD$13)="",10^12,OFFSET(CRONOPLE!$F$14,$M382,BD$13))))</f>
        <v>1000000000000</v>
      </c>
      <c r="BE382" s="181">
        <f ca="1">IF($D382&lt;&gt;"Serviço",0,IF(AND(AUTOEVENTO="Manual",$M382=1),0,IF(OFFSET(CRONOPLE!$F$14,$M382,BE$13)="",10^12,OFFSET(CRONOPLE!$F$14,$M382,BE$13))))</f>
        <v>1000000000000</v>
      </c>
      <c r="BF382" s="181">
        <f ca="1">IF($D382&lt;&gt;"Serviço",0,IF(AND(AUTOEVENTO="Manual",$M382=1),0,IF(OFFSET(CRONOPLE!$F$14,$M382,BF$13)="",10^12,OFFSET(CRONOPLE!$F$14,$M382,BF$13))))</f>
        <v>1000000000000</v>
      </c>
      <c r="BG382" s="181">
        <f ca="1">IF($D382&lt;&gt;"Serviço",0,IF(AND(AUTOEVENTO="Manual",$M382=1),0,IF(OFFSET(CRONOPLE!$F$14,$M382,BG$13)="",10^12,OFFSET(CRONOPLE!$F$14,$M382,BG$13))))</f>
        <v>1000000000000</v>
      </c>
      <c r="BH382" s="181">
        <f ca="1">IF($D382&lt;&gt;"Serviço",0,IF(AND(AUTOEVENTO="Manual",$M382=1),0,IF(OFFSET(CRONOPLE!$F$14,$M382,BH$13)="",10^12,OFFSET(CRONOPLE!$F$14,$M382,BH$13))))</f>
        <v>1000000000000</v>
      </c>
      <c r="BI382" s="181">
        <f ca="1">IF($D382&lt;&gt;"Serviço",0,IF(AND(AUTOEVENTO="Manual",$M382=1),0,IF(OFFSET(CRONOPLE!$F$14,$M382,BI$13)="",10^12,OFFSET(CRONOPLE!$F$14,$M382,BI$13))))</f>
        <v>1000000000000</v>
      </c>
      <c r="BJ382" s="181">
        <f ca="1">IF($D382&lt;&gt;"Serviço",0,IF(AND(AUTOEVENTO="Manual",$M382=1),0,IF(OFFSET(CRONOPLE!$F$14,$M382,BJ$13)="",10^12,OFFSET(CRONOPLE!$F$14,$M382,BJ$13))))</f>
        <v>1000000000000</v>
      </c>
      <c r="BK382" s="181">
        <f ca="1">IF($D382&lt;&gt;"Serviço",0,IF(AND(AUTOEVENTO="Manual",$M382=1),0,IF(OFFSET(CRONOPLE!$F$14,$M382,BK$13)="",10^12,OFFSET(CRONOPLE!$F$14,$M382,BK$13))))</f>
        <v>1000000000000</v>
      </c>
      <c r="BL382" s="181">
        <f ca="1">IF($D382&lt;&gt;"Serviço",0,IF(AND(AUTOEVENTO="Manual",$M382=1),0,IF(OFFSET(CRONOPLE!$F$14,$M382,BL$13)="",10^12,OFFSET(CRONOPLE!$F$14,$M382,BL$13))))</f>
        <v>1000000000000</v>
      </c>
      <c r="BM382" s="181">
        <f ca="1">IF($D382&lt;&gt;"Serviço",0,IF(AND(AUTOEVENTO="Manual",$M382=1),0,IF(OFFSET(CRONOPLE!$F$14,$M382,BM$13)="",10^12,OFFSET(CRONOPLE!$F$14,$M382,BM$13))))</f>
        <v>1000000000000</v>
      </c>
      <c r="BN382" s="181">
        <f ca="1">IF($D382&lt;&gt;"Serviço",0,IF(AND(AUTOEVENTO="Manual",$M382=1),0,IF(OFFSET(CRONOPLE!$F$14,$M382,BN$13)="",10^12,OFFSET(CRONOPLE!$F$14,$M382,BN$13))))</f>
        <v>1000000000000</v>
      </c>
      <c r="BO382" s="181">
        <f ca="1">IF($D382&lt;&gt;"Serviço",0,IF(AND(AUTOEVENTO="Manual",$M382=1),0,IF(OFFSET(CRONOPLE!$F$14,$M382,BO$13)="",10^12,OFFSET(CRONOPLE!$F$14,$M382,BO$13))))</f>
        <v>1000000000000</v>
      </c>
      <c r="BP382" s="181">
        <f ca="1">IF($D382&lt;&gt;"Serviço",0,IF(AND(AUTOEVENTO="Manual",$M382=1),0,IF(OFFSET(CRONOPLE!$F$14,$M382,BP$13)="",10^12,OFFSET(CRONOPLE!$F$14,$M382,BP$13))))</f>
        <v>1000000000000</v>
      </c>
      <c r="BQ382" s="181">
        <f ca="1">IF($D382&lt;&gt;"Serviço",0,IF(AND(AUTOEVENTO="Manual",$M382=1),0,IF(OFFSET(CRONOPLE!$F$14,$M382,BQ$13)="",10^12,OFFSET(CRONOPLE!$F$14,$M382,BQ$13))))</f>
        <v>1000000000000</v>
      </c>
      <c r="BR382" s="181">
        <f ca="1">IF($D382&lt;&gt;"Serviço",0,IF(AND(AUTOEVENTO="Manual",$M382=1),0,IF(OFFSET(CRONOPLE!$F$14,$M382,BR$13)="",10^12,OFFSET(CRONOPLE!$F$14,$M382,BR$13))))</f>
        <v>1000000000000</v>
      </c>
      <c r="BS382" s="181">
        <f ca="1">IF($D382&lt;&gt;"Serviço",0,IF(AND(AUTOEVENTO="Manual",$M382=1),0,IF(OFFSET(CRONOPLE!$F$14,$M382,BS$13)="",10^12,OFFSET(CRONOPLE!$F$14,$M382,BS$13))))</f>
        <v>1000000000000</v>
      </c>
      <c r="BT382" s="181">
        <f ca="1">IF($D382&lt;&gt;"Serviço",0,IF(AND(AUTOEVENTO="Manual",$M382=1),0,IF(OFFSET(CRONOPLE!$F$14,$M382,BT$13)="",10^12,OFFSET(CRONOPLE!$F$14,$M382,BT$13))))</f>
        <v>1000000000000</v>
      </c>
      <c r="BV382" s="182">
        <f ca="1">IF($D382&lt;&gt;"Serviço",0,IF(OR(AND(AUTOEVENTO="Manual",$M382=1),$M382&gt;(ROW(PLE.lastrow)-ROW(PLE.firstrow))),0,IF(OFFSET(PLE!$G$14,$M382,BV$13)="",10^12,OFFSET(PLE!$G$14,$M382,BV$13))))</f>
        <v>1000000000000</v>
      </c>
      <c r="BW382" s="182">
        <f ca="1">IF($D382&lt;&gt;"Serviço",0,IF(OR(AND(AUTOEVENTO="Manual",$M382=1),$M382&gt;(ROW(PLE.lastrow)-ROW(PLE.firstrow))),0,IF(OFFSET(PLE!$G$14,$M382,BW$13)="",10^12,OFFSET(PLE!$G$14,$M382,BW$13))))</f>
        <v>1000000000000</v>
      </c>
      <c r="BX382" s="182">
        <f ca="1">IF($D382&lt;&gt;"Serviço",0,IF(OR(AND(AUTOEVENTO="Manual",$M382=1),$M382&gt;(ROW(PLE.lastrow)-ROW(PLE.firstrow))),0,IF(OFFSET(PLE!$G$14,$M382,BX$13)="",10^12,OFFSET(PLE!$G$14,$M382,BX$13))))</f>
        <v>1000000000000</v>
      </c>
      <c r="BY382" s="182">
        <f ca="1">IF($D382&lt;&gt;"Serviço",0,IF(OR(AND(AUTOEVENTO="Manual",$M382=1),$M382&gt;(ROW(PLE.lastrow)-ROW(PLE.firstrow))),0,IF(OFFSET(PLE!$G$14,$M382,BY$13)="",10^12,OFFSET(PLE!$G$14,$M382,BY$13))))</f>
        <v>1000000000000</v>
      </c>
      <c r="BZ382" s="182">
        <f ca="1">IF($D382&lt;&gt;"Serviço",0,IF(OR(AND(AUTOEVENTO="Manual",$M382=1),$M382&gt;(ROW(PLE.lastrow)-ROW(PLE.firstrow))),0,IF(OFFSET(PLE!$G$14,$M382,BZ$13)="",10^12,OFFSET(PLE!$G$14,$M382,BZ$13))))</f>
        <v>1000000000000</v>
      </c>
      <c r="CA382" s="182">
        <f ca="1">IF($D382&lt;&gt;"Serviço",0,IF(OR(AND(AUTOEVENTO="Manual",$M382=1),$M382&gt;(ROW(PLE.lastrow)-ROW(PLE.firstrow))),0,IF(OFFSET(PLE!$G$14,$M382,CA$13)="",10^12,OFFSET(PLE!$G$14,$M382,CA$13))))</f>
        <v>1000000000000</v>
      </c>
      <c r="CB382" s="182">
        <f ca="1">IF($D382&lt;&gt;"Serviço",0,IF(OR(AND(AUTOEVENTO="Manual",$M382=1),$M382&gt;(ROW(PLE.lastrow)-ROW(PLE.firstrow))),0,IF(OFFSET(PLE!$G$14,$M382,CB$13)="",10^12,OFFSET(PLE!$G$14,$M382,CB$13))))</f>
        <v>1000000000000</v>
      </c>
      <c r="CC382" s="182">
        <f ca="1">IF($D382&lt;&gt;"Serviço",0,IF(OR(AND(AUTOEVENTO="Manual",$M382=1),$M382&gt;(ROW(PLE.lastrow)-ROW(PLE.firstrow))),0,IF(OFFSET(PLE!$G$14,$M382,CC$13)="",10^12,OFFSET(PLE!$G$14,$M382,CC$13))))</f>
        <v>1000000000000</v>
      </c>
      <c r="CD382" s="182">
        <f ca="1">IF($D382&lt;&gt;"Serviço",0,IF(OR(AND(AUTOEVENTO="Manual",$M382=1),$M382&gt;(ROW(PLE.lastrow)-ROW(PLE.firstrow))),0,IF(OFFSET(PLE!$G$14,$M382,CD$13)="",10^12,OFFSET(PLE!$G$14,$M382,CD$13))))</f>
        <v>1000000000000</v>
      </c>
      <c r="CE382" s="182">
        <f ca="1">IF($D382&lt;&gt;"Serviço",0,IF(OR(AND(AUTOEVENTO="Manual",$M382=1),$M382&gt;(ROW(PLE.lastrow)-ROW(PLE.firstrow))),0,IF(OFFSET(PLE!$G$14,$M382,CE$13)="",10^12,OFFSET(PLE!$G$14,$M382,CE$13))))</f>
        <v>1000000000000</v>
      </c>
      <c r="CF382" s="182">
        <f ca="1">IF($D382&lt;&gt;"Serviço",0,IF(OR(AND(AUTOEVENTO="Manual",$M382=1),$M382&gt;(ROW(PLE.lastrow)-ROW(PLE.firstrow))),0,IF(OFFSET(PLE!$G$14,$M382,CF$13)="",10^12,OFFSET(PLE!$G$14,$M382,CF$13))))</f>
        <v>1000000000000</v>
      </c>
      <c r="CG382" s="182">
        <f ca="1">IF($D382&lt;&gt;"Serviço",0,IF(OR(AND(AUTOEVENTO="Manual",$M382=1),$M382&gt;(ROW(PLE.lastrow)-ROW(PLE.firstrow))),0,IF(OFFSET(PLE!$G$14,$M382,CG$13)="",10^12,OFFSET(PLE!$G$14,$M382,CG$13))))</f>
        <v>1000000000000</v>
      </c>
      <c r="CH382" s="182">
        <f ca="1">IF($D382&lt;&gt;"Serviço",0,IF(OR(AND(AUTOEVENTO="Manual",$M382=1),$M382&gt;(ROW(PLE.lastrow)-ROW(PLE.firstrow))),0,IF(OFFSET(PLE!$G$14,$M382,CH$13)="",10^12,OFFSET(PLE!$G$14,$M382,CH$13))))</f>
        <v>1000000000000</v>
      </c>
      <c r="CI382" s="182">
        <f ca="1">IF($D382&lt;&gt;"Serviço",0,IF(OR(AND(AUTOEVENTO="Manual",$M382=1),$M382&gt;(ROW(PLE.lastrow)-ROW(PLE.firstrow))),0,IF(OFFSET(PLE!$G$14,$M382,CI$13)="",10^12,OFFSET(PLE!$G$14,$M382,CI$13))))</f>
        <v>1000000000000</v>
      </c>
      <c r="CJ382" s="182">
        <f ca="1">IF($D382&lt;&gt;"Serviço",0,IF(OR(AND(AUTOEVENTO="Manual",$M382=1),$M382&gt;(ROW(PLE.lastrow)-ROW(PLE.firstrow))),0,IF(OFFSET(PLE!$G$14,$M382,CJ$13)="",10^12,OFFSET(PLE!$G$14,$M382,CJ$13))))</f>
        <v>1000000000000</v>
      </c>
      <c r="CK382" s="182">
        <f ca="1">IF($D382&lt;&gt;"Serviço",0,IF(OR(AND(AUTOEVENTO="Manual",$M382=1),$M382&gt;(ROW(PLE.lastrow)-ROW(PLE.firstrow))),0,IF(OFFSET(PLE!$G$14,$M382,CK$13)="",10^12,OFFSET(PLE!$G$14,$M382,CK$13))))</f>
        <v>1000000000000</v>
      </c>
      <c r="CL382" s="182">
        <f ca="1">IF($D382&lt;&gt;"Serviço",0,IF(OR(AND(AUTOEVENTO="Manual",$M382=1),$M382&gt;(ROW(PLE.lastrow)-ROW(PLE.firstrow))),0,IF(OFFSET(PLE!$G$14,$M382,CL$13)="",10^12,OFFSET(PLE!$G$14,$M382,CL$13))))</f>
        <v>1000000000000</v>
      </c>
      <c r="CM382" s="182">
        <f ca="1">IF($D382&lt;&gt;"Serviço",0,IF(OR(AND(AUTOEVENTO="Manual",$M382=1),$M382&gt;(ROW(PLE.lastrow)-ROW(PLE.firstrow))),0,IF(OFFSET(PLE!$G$14,$M382,CM$13)="",10^12,OFFSET(PLE!$G$14,$M382,CM$13))))</f>
        <v>1000000000000</v>
      </c>
    </row>
    <row r="383" spans="1:91" ht="25.5" x14ac:dyDescent="0.2">
      <c r="A383" s="7" t="str">
        <f t="shared" ca="1" si="12"/>
        <v>350</v>
      </c>
      <c r="B383" s="7" t="str">
        <f ca="1">OFFSET(ORÇAMENTO!C$15,ROW(B383)-ROW(B$15),0)</f>
        <v>S</v>
      </c>
      <c r="C383" s="7" t="str">
        <f ca="1">OFFSET(ORÇAMENTO!L$15,ROW(C383)-ROW(C$15),0)</f>
        <v/>
      </c>
      <c r="D383" s="118" t="str">
        <f ca="1">OFFSET(ORÇAMENTO!N$15,ROW(D383)-ROW(D$15),0)</f>
        <v>Serviço</v>
      </c>
      <c r="E383" s="119" t="str">
        <f ca="1">OFFSET(ORÇAMENTO!O$15,ROW(E383)-ROW(E$15),0)</f>
        <v>-</v>
      </c>
      <c r="F383" s="172" t="str">
        <f ca="1">OFFSET(ORÇAMENTO!R$15,ROW(F383)-ROW(F$15),0)</f>
        <v>(abra o arquivo 'Referência 06-2024.xlsm)</v>
      </c>
      <c r="G383" s="173" t="str">
        <f ca="1">IF($D383&lt;&gt;"Serviço","",OFFSET(ORÇAMENTO!S$15,ROW(G383)-ROW(G$15),0))</f>
        <v>-</v>
      </c>
      <c r="H383" s="124">
        <f ca="1">IF($D383&lt;&gt;"Serviço",0,IF(ACOMPANHAMENTO="BM",ROUND(OFFSET(ORÇAMENTO!AJ$15,ROW(H383)-ROW(H$15),0),15-13*ORÇAMENTO!$AF$7),SUMPRODUCT(($Q$12:$AI$12&lt;&gt;"")*ROUND($Q383:$AI383,15-13*ORÇAMENTO!$AF$7))))</f>
        <v>2</v>
      </c>
      <c r="I383" s="561" t="s">
        <v>1107</v>
      </c>
      <c r="K383" s="174"/>
      <c r="L383" s="175" t="s">
        <v>255</v>
      </c>
      <c r="M383" s="176">
        <f ca="1">IF($D383&lt;&gt;"Serviço","",IF(AUTOEVENTO="manual",$A383,IF(ISERROR(MATCH($A383,$A$15:OFFSET($A383,-1,0),0)),MAX($M$15:OFFSET(M383,-1,0))+1,INDEX($M$15:OFFSET(M383,-1,0),MATCH($A383,$A$15:OFFSET($A383,-1,0),0)))))</f>
        <v>44</v>
      </c>
      <c r="N383" s="177" t="str">
        <f ca="1">IF($D383&lt;&gt;"Serviço","",IF(AUTOEVENTO="Manual",IF($A383=0,"&lt;-- defina o número do agrupador",OFFSET(EVENTOS!$D$14,$A383,0)),OFFSET($F$15,$A383,0)))</f>
        <v>LOUÇAS, ACESSÓRIOS E METAIS</v>
      </c>
      <c r="O383" s="178"/>
      <c r="Q383" s="178">
        <v>2</v>
      </c>
      <c r="R383" s="179"/>
      <c r="S383" s="179"/>
      <c r="T383" s="179"/>
      <c r="U383" s="179"/>
      <c r="V383" s="179"/>
      <c r="W383" s="179"/>
      <c r="X383" s="179"/>
      <c r="Y383" s="179"/>
      <c r="Z383" s="180"/>
      <c r="AA383" s="179"/>
      <c r="AB383" s="179"/>
      <c r="AC383" s="179"/>
      <c r="AD383" s="179"/>
      <c r="AE383" s="179"/>
      <c r="AF383" s="179"/>
      <c r="AG383" s="179"/>
      <c r="AH383" s="180"/>
      <c r="AJ383" s="544">
        <f ca="1">IF(AND($D383="Serviço",AJ$12&lt;&gt;0,$H383&gt;0,OR(AUTOEVENTO&lt;&gt;"manual",$M383&lt;&gt;1)),
IF(Import.TipoArredondamento&lt;&gt;"TransfereGOV",
ROUND(OFFSET($P383,0,AJ$13),15-13*ORÇAMENTO!$AF$7)/$H383*OFFSET(ORÇAMENTO!$X$15,ROW(AJ383)-ROW(AJ$15),0),
ROUND(ROUND(OFFSET($P383,0,AJ$13),15-13*ORÇAMENTO!$AF$7)*OFFSET(ORÇAMENTO!$W$15,ROW(AJ383)-ROW(AJ$15),0),15-13*ORÇAMENTO!$AF$11)),0)</f>
        <v>0</v>
      </c>
      <c r="AK383" s="545">
        <f ca="1">IF(AND($D383="Serviço",AK$12&lt;&gt;0,$H383&gt;0,OR(AUTOEVENTO&lt;&gt;"manual",$M383&lt;&gt;1)),
IF(Import.TipoArredondamento&lt;&gt;"TransfereGOV",
ROUND(OFFSET($P383,0,AK$13),15-13*ORÇAMENTO!$AF$7)/$H383*OFFSET(ORÇAMENTO!$X$15,ROW(AK383)-ROW(AK$15),0),
ROUND(ROUND(OFFSET($P383,0,AK$13),15-13*ORÇAMENTO!$AF$7)*OFFSET(ORÇAMENTO!$W$15,ROW(AK383)-ROW(AK$15),0),15-13*ORÇAMENTO!$AF$11)),0)</f>
        <v>0</v>
      </c>
      <c r="AL383" s="545">
        <f ca="1">IF(AND($D383="Serviço",AL$12&lt;&gt;0,$H383&gt;0,OR(AUTOEVENTO&lt;&gt;"manual",$M383&lt;&gt;1)),
IF(Import.TipoArredondamento&lt;&gt;"TransfereGOV",
ROUND(OFFSET($P383,0,AL$13),15-13*ORÇAMENTO!$AF$7)/$H383*OFFSET(ORÇAMENTO!$X$15,ROW(AL383)-ROW(AL$15),0),
ROUND(ROUND(OFFSET($P383,0,AL$13),15-13*ORÇAMENTO!$AF$7)*OFFSET(ORÇAMENTO!$W$15,ROW(AL383)-ROW(AL$15),0),15-13*ORÇAMENTO!$AF$11)),0)</f>
        <v>0</v>
      </c>
      <c r="AM383" s="545">
        <f ca="1">IF(AND($D383="Serviço",AM$12&lt;&gt;0,$H383&gt;0,OR(AUTOEVENTO&lt;&gt;"manual",$M383&lt;&gt;1)),
IF(Import.TipoArredondamento&lt;&gt;"TransfereGOV",
ROUND(OFFSET($P383,0,AM$13),15-13*ORÇAMENTO!$AF$7)/$H383*OFFSET(ORÇAMENTO!$X$15,ROW(AM383)-ROW(AM$15),0),
ROUND(ROUND(OFFSET($P383,0,AM$13),15-13*ORÇAMENTO!$AF$7)*OFFSET(ORÇAMENTO!$W$15,ROW(AM383)-ROW(AM$15),0),15-13*ORÇAMENTO!$AF$11)),0)</f>
        <v>0</v>
      </c>
      <c r="AN383" s="545">
        <f ca="1">IF(AND($D383="Serviço",AN$12&lt;&gt;0,$H383&gt;0,OR(AUTOEVENTO&lt;&gt;"manual",$M383&lt;&gt;1)),
IF(Import.TipoArredondamento&lt;&gt;"TransfereGOV",
ROUND(OFFSET($P383,0,AN$13),15-13*ORÇAMENTO!$AF$7)/$H383*OFFSET(ORÇAMENTO!$X$15,ROW(AN383)-ROW(AN$15),0),
ROUND(ROUND(OFFSET($P383,0,AN$13),15-13*ORÇAMENTO!$AF$7)*OFFSET(ORÇAMENTO!$W$15,ROW(AN383)-ROW(AN$15),0),15-13*ORÇAMENTO!$AF$11)),0)</f>
        <v>0</v>
      </c>
      <c r="AO383" s="545">
        <f ca="1">IF(AND($D383="Serviço",AO$12&lt;&gt;0,$H383&gt;0,OR(AUTOEVENTO&lt;&gt;"manual",$M383&lt;&gt;1)),
IF(Import.TipoArredondamento&lt;&gt;"TransfereGOV",
ROUND(OFFSET($P383,0,AO$13),15-13*ORÇAMENTO!$AF$7)/$H383*OFFSET(ORÇAMENTO!$X$15,ROW(AO383)-ROW(AO$15),0),
ROUND(ROUND(OFFSET($P383,0,AO$13),15-13*ORÇAMENTO!$AF$7)*OFFSET(ORÇAMENTO!$W$15,ROW(AO383)-ROW(AO$15),0),15-13*ORÇAMENTO!$AF$11)),0)</f>
        <v>0</v>
      </c>
      <c r="AP383" s="545">
        <f ca="1">IF(AND($D383="Serviço",AP$12&lt;&gt;0,$H383&gt;0,OR(AUTOEVENTO&lt;&gt;"manual",$M383&lt;&gt;1)),
IF(Import.TipoArredondamento&lt;&gt;"TransfereGOV",
ROUND(OFFSET($P383,0,AP$13),15-13*ORÇAMENTO!$AF$7)/$H383*OFFSET(ORÇAMENTO!$X$15,ROW(AP383)-ROW(AP$15),0),
ROUND(ROUND(OFFSET($P383,0,AP$13),15-13*ORÇAMENTO!$AF$7)*OFFSET(ORÇAMENTO!$W$15,ROW(AP383)-ROW(AP$15),0),15-13*ORÇAMENTO!$AF$11)),0)</f>
        <v>0</v>
      </c>
      <c r="AQ383" s="545">
        <f ca="1">IF(AND($D383="Serviço",AQ$12&lt;&gt;0,$H383&gt;0,OR(AUTOEVENTO&lt;&gt;"manual",$M383&lt;&gt;1)),
IF(Import.TipoArredondamento&lt;&gt;"TransfereGOV",
ROUND(OFFSET($P383,0,AQ$13),15-13*ORÇAMENTO!$AF$7)/$H383*OFFSET(ORÇAMENTO!$X$15,ROW(AQ383)-ROW(AQ$15),0),
ROUND(ROUND(OFFSET($P383,0,AQ$13),15-13*ORÇAMENTO!$AF$7)*OFFSET(ORÇAMENTO!$W$15,ROW(AQ383)-ROW(AQ$15),0),15-13*ORÇAMENTO!$AF$11)),0)</f>
        <v>0</v>
      </c>
      <c r="AR383" s="545">
        <f ca="1">IF(AND($D383="Serviço",AR$12&lt;&gt;0,$H383&gt;0,OR(AUTOEVENTO&lt;&gt;"manual",$M383&lt;&gt;1)),
IF(Import.TipoArredondamento&lt;&gt;"TransfereGOV",
ROUND(OFFSET($P383,0,AR$13),15-13*ORÇAMENTO!$AF$7)/$H383*OFFSET(ORÇAMENTO!$X$15,ROW(AR383)-ROW(AR$15),0),
ROUND(ROUND(OFFSET($P383,0,AR$13),15-13*ORÇAMENTO!$AF$7)*OFFSET(ORÇAMENTO!$W$15,ROW(AR383)-ROW(AR$15),0),15-13*ORÇAMENTO!$AF$11)),0)</f>
        <v>0</v>
      </c>
      <c r="AS383" s="546">
        <f ca="1">IF(AND($D383="Serviço",AS$12&lt;&gt;0,$H383&gt;0,OR(AUTOEVENTO&lt;&gt;"manual",$M383&lt;&gt;1)),
IF(Import.TipoArredondamento&lt;&gt;"TransfereGOV",
ROUND(OFFSET($P383,0,AS$13),15-13*ORÇAMENTO!$AF$7)/$H383*OFFSET(ORÇAMENTO!$X$15,ROW(AS383)-ROW(AS$15),0),
ROUND(ROUND(OFFSET($P383,0,AS$13),15-13*ORÇAMENTO!$AF$7)*OFFSET(ORÇAMENTO!$W$15,ROW(AS383)-ROW(AS$15),0),15-13*ORÇAMENTO!$AF$11)),0)</f>
        <v>0</v>
      </c>
      <c r="AT383" s="545">
        <f ca="1">IF(AND($D383="Serviço",AT$12&lt;&gt;0,$H383&gt;0,OR(AUTOEVENTO&lt;&gt;"manual",$M383&lt;&gt;1)),
IF(Import.TipoArredondamento&lt;&gt;"TransfereGOV",
ROUND(OFFSET($P383,0,AT$13),15-13*ORÇAMENTO!$AF$7)/$H383*OFFSET(ORÇAMENTO!$X$15,ROW(AT383)-ROW(AT$15),0),
ROUND(ROUND(OFFSET($P383,0,AT$13),15-13*ORÇAMENTO!$AF$7)*OFFSET(ORÇAMENTO!$W$15,ROW(AT383)-ROW(AT$15),0),15-13*ORÇAMENTO!$AF$11)),0)</f>
        <v>0</v>
      </c>
      <c r="AU383" s="545">
        <f ca="1">IF(AND($D383="Serviço",AU$12&lt;&gt;0,$H383&gt;0,OR(AUTOEVENTO&lt;&gt;"manual",$M383&lt;&gt;1)),
IF(Import.TipoArredondamento&lt;&gt;"TransfereGOV",
ROUND(OFFSET($P383,0,AU$13),15-13*ORÇAMENTO!$AF$7)/$H383*OFFSET(ORÇAMENTO!$X$15,ROW(AU383)-ROW(AU$15),0),
ROUND(ROUND(OFFSET($P383,0,AU$13),15-13*ORÇAMENTO!$AF$7)*OFFSET(ORÇAMENTO!$W$15,ROW(AU383)-ROW(AU$15),0),15-13*ORÇAMENTO!$AF$11)),0)</f>
        <v>0</v>
      </c>
      <c r="AV383" s="545">
        <f ca="1">IF(AND($D383="Serviço",AV$12&lt;&gt;0,$H383&gt;0,OR(AUTOEVENTO&lt;&gt;"manual",$M383&lt;&gt;1)),
IF(Import.TipoArredondamento&lt;&gt;"TransfereGOV",
ROUND(OFFSET($P383,0,AV$13),15-13*ORÇAMENTO!$AF$7)/$H383*OFFSET(ORÇAMENTO!$X$15,ROW(AV383)-ROW(AV$15),0),
ROUND(ROUND(OFFSET($P383,0,AV$13),15-13*ORÇAMENTO!$AF$7)*OFFSET(ORÇAMENTO!$W$15,ROW(AV383)-ROW(AV$15),0),15-13*ORÇAMENTO!$AF$11)),0)</f>
        <v>0</v>
      </c>
      <c r="AW383" s="545">
        <f ca="1">IF(AND($D383="Serviço",AW$12&lt;&gt;0,$H383&gt;0,OR(AUTOEVENTO&lt;&gt;"manual",$M383&lt;&gt;1)),
IF(Import.TipoArredondamento&lt;&gt;"TransfereGOV",
ROUND(OFFSET($P383,0,AW$13),15-13*ORÇAMENTO!$AF$7)/$H383*OFFSET(ORÇAMENTO!$X$15,ROW(AW383)-ROW(AW$15),0),
ROUND(ROUND(OFFSET($P383,0,AW$13),15-13*ORÇAMENTO!$AF$7)*OFFSET(ORÇAMENTO!$W$15,ROW(AW383)-ROW(AW$15),0),15-13*ORÇAMENTO!$AF$11)),0)</f>
        <v>0</v>
      </c>
      <c r="AX383" s="545">
        <f ca="1">IF(AND($D383="Serviço",AX$12&lt;&gt;0,$H383&gt;0,OR(AUTOEVENTO&lt;&gt;"manual",$M383&lt;&gt;1)),
IF(Import.TipoArredondamento&lt;&gt;"TransfereGOV",
ROUND(OFFSET($P383,0,AX$13),15-13*ORÇAMENTO!$AF$7)/$H383*OFFSET(ORÇAMENTO!$X$15,ROW(AX383)-ROW(AX$15),0),
ROUND(ROUND(OFFSET($P383,0,AX$13),15-13*ORÇAMENTO!$AF$7)*OFFSET(ORÇAMENTO!$W$15,ROW(AX383)-ROW(AX$15),0),15-13*ORÇAMENTO!$AF$11)),0)</f>
        <v>0</v>
      </c>
      <c r="AY383" s="545">
        <f ca="1">IF(AND($D383="Serviço",AY$12&lt;&gt;0,$H383&gt;0,OR(AUTOEVENTO&lt;&gt;"manual",$M383&lt;&gt;1)),
IF(Import.TipoArredondamento&lt;&gt;"TransfereGOV",
ROUND(OFFSET($P383,0,AY$13),15-13*ORÇAMENTO!$AF$7)/$H383*OFFSET(ORÇAMENTO!$X$15,ROW(AY383)-ROW(AY$15),0),
ROUND(ROUND(OFFSET($P383,0,AY$13),15-13*ORÇAMENTO!$AF$7)*OFFSET(ORÇAMENTO!$W$15,ROW(AY383)-ROW(AY$15),0),15-13*ORÇAMENTO!$AF$11)),0)</f>
        <v>0</v>
      </c>
      <c r="AZ383" s="545">
        <f ca="1">IF(AND($D383="Serviço",AZ$12&lt;&gt;0,$H383&gt;0,OR(AUTOEVENTO&lt;&gt;"manual",$M383&lt;&gt;1)),
IF(Import.TipoArredondamento&lt;&gt;"TransfereGOV",
ROUND(OFFSET($P383,0,AZ$13),15-13*ORÇAMENTO!$AF$7)/$H383*OFFSET(ORÇAMENTO!$X$15,ROW(AZ383)-ROW(AZ$15),0),
ROUND(ROUND(OFFSET($P383,0,AZ$13),15-13*ORÇAMENTO!$AF$7)*OFFSET(ORÇAMENTO!$W$15,ROW(AZ383)-ROW(AZ$15),0),15-13*ORÇAMENTO!$AF$11)),0)</f>
        <v>0</v>
      </c>
      <c r="BA383" s="546">
        <f ca="1">IF(AND($D383="Serviço",BA$12&lt;&gt;0,$H383&gt;0,OR(AUTOEVENTO&lt;&gt;"manual",$M383&lt;&gt;1)),
IF(Import.TipoArredondamento&lt;&gt;"TransfereGOV",
ROUND(OFFSET($P383,0,BA$13),15-13*ORÇAMENTO!$AF$7)/$H383*OFFSET(ORÇAMENTO!$X$15,ROW(BA383)-ROW(BA$15),0),
ROUND(ROUND(OFFSET($P383,0,BA$13),15-13*ORÇAMENTO!$AF$7)*OFFSET(ORÇAMENTO!$W$15,ROW(BA383)-ROW(BA$15),0),15-13*ORÇAMENTO!$AF$11)),0)</f>
        <v>0</v>
      </c>
      <c r="BC383" s="181">
        <f ca="1">IF($D383&lt;&gt;"Serviço",0,IF(AND(AUTOEVENTO="Manual",$M383=1),0,IF(OFFSET(CRONOPLE!$F$14,$M383,BC$13)="",10^12,OFFSET(CRONOPLE!$F$14,$M383,BC$13))))</f>
        <v>10</v>
      </c>
      <c r="BD383" s="181">
        <f ca="1">IF($D383&lt;&gt;"Serviço",0,IF(AND(AUTOEVENTO="Manual",$M383=1),0,IF(OFFSET(CRONOPLE!$F$14,$M383,BD$13)="",10^12,OFFSET(CRONOPLE!$F$14,$M383,BD$13))))</f>
        <v>1000000000000</v>
      </c>
      <c r="BE383" s="181">
        <f ca="1">IF($D383&lt;&gt;"Serviço",0,IF(AND(AUTOEVENTO="Manual",$M383=1),0,IF(OFFSET(CRONOPLE!$F$14,$M383,BE$13)="",10^12,OFFSET(CRONOPLE!$F$14,$M383,BE$13))))</f>
        <v>1000000000000</v>
      </c>
      <c r="BF383" s="181">
        <f ca="1">IF($D383&lt;&gt;"Serviço",0,IF(AND(AUTOEVENTO="Manual",$M383=1),0,IF(OFFSET(CRONOPLE!$F$14,$M383,BF$13)="",10^12,OFFSET(CRONOPLE!$F$14,$M383,BF$13))))</f>
        <v>1000000000000</v>
      </c>
      <c r="BG383" s="181">
        <f ca="1">IF($D383&lt;&gt;"Serviço",0,IF(AND(AUTOEVENTO="Manual",$M383=1),0,IF(OFFSET(CRONOPLE!$F$14,$M383,BG$13)="",10^12,OFFSET(CRONOPLE!$F$14,$M383,BG$13))))</f>
        <v>1000000000000</v>
      </c>
      <c r="BH383" s="181">
        <f ca="1">IF($D383&lt;&gt;"Serviço",0,IF(AND(AUTOEVENTO="Manual",$M383=1),0,IF(OFFSET(CRONOPLE!$F$14,$M383,BH$13)="",10^12,OFFSET(CRONOPLE!$F$14,$M383,BH$13))))</f>
        <v>1000000000000</v>
      </c>
      <c r="BI383" s="181">
        <f ca="1">IF($D383&lt;&gt;"Serviço",0,IF(AND(AUTOEVENTO="Manual",$M383=1),0,IF(OFFSET(CRONOPLE!$F$14,$M383,BI$13)="",10^12,OFFSET(CRONOPLE!$F$14,$M383,BI$13))))</f>
        <v>1000000000000</v>
      </c>
      <c r="BJ383" s="181">
        <f ca="1">IF($D383&lt;&gt;"Serviço",0,IF(AND(AUTOEVENTO="Manual",$M383=1),0,IF(OFFSET(CRONOPLE!$F$14,$M383,BJ$13)="",10^12,OFFSET(CRONOPLE!$F$14,$M383,BJ$13))))</f>
        <v>1000000000000</v>
      </c>
      <c r="BK383" s="181">
        <f ca="1">IF($D383&lt;&gt;"Serviço",0,IF(AND(AUTOEVENTO="Manual",$M383=1),0,IF(OFFSET(CRONOPLE!$F$14,$M383,BK$13)="",10^12,OFFSET(CRONOPLE!$F$14,$M383,BK$13))))</f>
        <v>1000000000000</v>
      </c>
      <c r="BL383" s="181">
        <f ca="1">IF($D383&lt;&gt;"Serviço",0,IF(AND(AUTOEVENTO="Manual",$M383=1),0,IF(OFFSET(CRONOPLE!$F$14,$M383,BL$13)="",10^12,OFFSET(CRONOPLE!$F$14,$M383,BL$13))))</f>
        <v>1000000000000</v>
      </c>
      <c r="BM383" s="181">
        <f ca="1">IF($D383&lt;&gt;"Serviço",0,IF(AND(AUTOEVENTO="Manual",$M383=1),0,IF(OFFSET(CRONOPLE!$F$14,$M383,BM$13)="",10^12,OFFSET(CRONOPLE!$F$14,$M383,BM$13))))</f>
        <v>1000000000000</v>
      </c>
      <c r="BN383" s="181">
        <f ca="1">IF($D383&lt;&gt;"Serviço",0,IF(AND(AUTOEVENTO="Manual",$M383=1),0,IF(OFFSET(CRONOPLE!$F$14,$M383,BN$13)="",10^12,OFFSET(CRONOPLE!$F$14,$M383,BN$13))))</f>
        <v>1000000000000</v>
      </c>
      <c r="BO383" s="181">
        <f ca="1">IF($D383&lt;&gt;"Serviço",0,IF(AND(AUTOEVENTO="Manual",$M383=1),0,IF(OFFSET(CRONOPLE!$F$14,$M383,BO$13)="",10^12,OFFSET(CRONOPLE!$F$14,$M383,BO$13))))</f>
        <v>1000000000000</v>
      </c>
      <c r="BP383" s="181">
        <f ca="1">IF($D383&lt;&gt;"Serviço",0,IF(AND(AUTOEVENTO="Manual",$M383=1),0,IF(OFFSET(CRONOPLE!$F$14,$M383,BP$13)="",10^12,OFFSET(CRONOPLE!$F$14,$M383,BP$13))))</f>
        <v>1000000000000</v>
      </c>
      <c r="BQ383" s="181">
        <f ca="1">IF($D383&lt;&gt;"Serviço",0,IF(AND(AUTOEVENTO="Manual",$M383=1),0,IF(OFFSET(CRONOPLE!$F$14,$M383,BQ$13)="",10^12,OFFSET(CRONOPLE!$F$14,$M383,BQ$13))))</f>
        <v>1000000000000</v>
      </c>
      <c r="BR383" s="181">
        <f ca="1">IF($D383&lt;&gt;"Serviço",0,IF(AND(AUTOEVENTO="Manual",$M383=1),0,IF(OFFSET(CRONOPLE!$F$14,$M383,BR$13)="",10^12,OFFSET(CRONOPLE!$F$14,$M383,BR$13))))</f>
        <v>1000000000000</v>
      </c>
      <c r="BS383" s="181">
        <f ca="1">IF($D383&lt;&gt;"Serviço",0,IF(AND(AUTOEVENTO="Manual",$M383=1),0,IF(OFFSET(CRONOPLE!$F$14,$M383,BS$13)="",10^12,OFFSET(CRONOPLE!$F$14,$M383,BS$13))))</f>
        <v>1000000000000</v>
      </c>
      <c r="BT383" s="181">
        <f ca="1">IF($D383&lt;&gt;"Serviço",0,IF(AND(AUTOEVENTO="Manual",$M383=1),0,IF(OFFSET(CRONOPLE!$F$14,$M383,BT$13)="",10^12,OFFSET(CRONOPLE!$F$14,$M383,BT$13))))</f>
        <v>1000000000000</v>
      </c>
      <c r="BV383" s="182">
        <f ca="1">IF($D383&lt;&gt;"Serviço",0,IF(OR(AND(AUTOEVENTO="Manual",$M383=1),$M383&gt;(ROW(PLE.lastrow)-ROW(PLE.firstrow))),0,IF(OFFSET(PLE!$G$14,$M383,BV$13)="",10^12,OFFSET(PLE!$G$14,$M383,BV$13))))</f>
        <v>1000000000000</v>
      </c>
      <c r="BW383" s="182">
        <f ca="1">IF($D383&lt;&gt;"Serviço",0,IF(OR(AND(AUTOEVENTO="Manual",$M383=1),$M383&gt;(ROW(PLE.lastrow)-ROW(PLE.firstrow))),0,IF(OFFSET(PLE!$G$14,$M383,BW$13)="",10^12,OFFSET(PLE!$G$14,$M383,BW$13))))</f>
        <v>1000000000000</v>
      </c>
      <c r="BX383" s="182">
        <f ca="1">IF($D383&lt;&gt;"Serviço",0,IF(OR(AND(AUTOEVENTO="Manual",$M383=1),$M383&gt;(ROW(PLE.lastrow)-ROW(PLE.firstrow))),0,IF(OFFSET(PLE!$G$14,$M383,BX$13)="",10^12,OFFSET(PLE!$G$14,$M383,BX$13))))</f>
        <v>1000000000000</v>
      </c>
      <c r="BY383" s="182">
        <f ca="1">IF($D383&lt;&gt;"Serviço",0,IF(OR(AND(AUTOEVENTO="Manual",$M383=1),$M383&gt;(ROW(PLE.lastrow)-ROW(PLE.firstrow))),0,IF(OFFSET(PLE!$G$14,$M383,BY$13)="",10^12,OFFSET(PLE!$G$14,$M383,BY$13))))</f>
        <v>1000000000000</v>
      </c>
      <c r="BZ383" s="182">
        <f ca="1">IF($D383&lt;&gt;"Serviço",0,IF(OR(AND(AUTOEVENTO="Manual",$M383=1),$M383&gt;(ROW(PLE.lastrow)-ROW(PLE.firstrow))),0,IF(OFFSET(PLE!$G$14,$M383,BZ$13)="",10^12,OFFSET(PLE!$G$14,$M383,BZ$13))))</f>
        <v>1000000000000</v>
      </c>
      <c r="CA383" s="182">
        <f ca="1">IF($D383&lt;&gt;"Serviço",0,IF(OR(AND(AUTOEVENTO="Manual",$M383=1),$M383&gt;(ROW(PLE.lastrow)-ROW(PLE.firstrow))),0,IF(OFFSET(PLE!$G$14,$M383,CA$13)="",10^12,OFFSET(PLE!$G$14,$M383,CA$13))))</f>
        <v>1000000000000</v>
      </c>
      <c r="CB383" s="182">
        <f ca="1">IF($D383&lt;&gt;"Serviço",0,IF(OR(AND(AUTOEVENTO="Manual",$M383=1),$M383&gt;(ROW(PLE.lastrow)-ROW(PLE.firstrow))),0,IF(OFFSET(PLE!$G$14,$M383,CB$13)="",10^12,OFFSET(PLE!$G$14,$M383,CB$13))))</f>
        <v>1000000000000</v>
      </c>
      <c r="CC383" s="182">
        <f ca="1">IF($D383&lt;&gt;"Serviço",0,IF(OR(AND(AUTOEVENTO="Manual",$M383=1),$M383&gt;(ROW(PLE.lastrow)-ROW(PLE.firstrow))),0,IF(OFFSET(PLE!$G$14,$M383,CC$13)="",10^12,OFFSET(PLE!$G$14,$M383,CC$13))))</f>
        <v>1000000000000</v>
      </c>
      <c r="CD383" s="182">
        <f ca="1">IF($D383&lt;&gt;"Serviço",0,IF(OR(AND(AUTOEVENTO="Manual",$M383=1),$M383&gt;(ROW(PLE.lastrow)-ROW(PLE.firstrow))),0,IF(OFFSET(PLE!$G$14,$M383,CD$13)="",10^12,OFFSET(PLE!$G$14,$M383,CD$13))))</f>
        <v>1000000000000</v>
      </c>
      <c r="CE383" s="182">
        <f ca="1">IF($D383&lt;&gt;"Serviço",0,IF(OR(AND(AUTOEVENTO="Manual",$M383=1),$M383&gt;(ROW(PLE.lastrow)-ROW(PLE.firstrow))),0,IF(OFFSET(PLE!$G$14,$M383,CE$13)="",10^12,OFFSET(PLE!$G$14,$M383,CE$13))))</f>
        <v>1000000000000</v>
      </c>
      <c r="CF383" s="182">
        <f ca="1">IF($D383&lt;&gt;"Serviço",0,IF(OR(AND(AUTOEVENTO="Manual",$M383=1),$M383&gt;(ROW(PLE.lastrow)-ROW(PLE.firstrow))),0,IF(OFFSET(PLE!$G$14,$M383,CF$13)="",10^12,OFFSET(PLE!$G$14,$M383,CF$13))))</f>
        <v>1000000000000</v>
      </c>
      <c r="CG383" s="182">
        <f ca="1">IF($D383&lt;&gt;"Serviço",0,IF(OR(AND(AUTOEVENTO="Manual",$M383=1),$M383&gt;(ROW(PLE.lastrow)-ROW(PLE.firstrow))),0,IF(OFFSET(PLE!$G$14,$M383,CG$13)="",10^12,OFFSET(PLE!$G$14,$M383,CG$13))))</f>
        <v>1000000000000</v>
      </c>
      <c r="CH383" s="182">
        <f ca="1">IF($D383&lt;&gt;"Serviço",0,IF(OR(AND(AUTOEVENTO="Manual",$M383=1),$M383&gt;(ROW(PLE.lastrow)-ROW(PLE.firstrow))),0,IF(OFFSET(PLE!$G$14,$M383,CH$13)="",10^12,OFFSET(PLE!$G$14,$M383,CH$13))))</f>
        <v>1000000000000</v>
      </c>
      <c r="CI383" s="182">
        <f ca="1">IF($D383&lt;&gt;"Serviço",0,IF(OR(AND(AUTOEVENTO="Manual",$M383=1),$M383&gt;(ROW(PLE.lastrow)-ROW(PLE.firstrow))),0,IF(OFFSET(PLE!$G$14,$M383,CI$13)="",10^12,OFFSET(PLE!$G$14,$M383,CI$13))))</f>
        <v>1000000000000</v>
      </c>
      <c r="CJ383" s="182">
        <f ca="1">IF($D383&lt;&gt;"Serviço",0,IF(OR(AND(AUTOEVENTO="Manual",$M383=1),$M383&gt;(ROW(PLE.lastrow)-ROW(PLE.firstrow))),0,IF(OFFSET(PLE!$G$14,$M383,CJ$13)="",10^12,OFFSET(PLE!$G$14,$M383,CJ$13))))</f>
        <v>1000000000000</v>
      </c>
      <c r="CK383" s="182">
        <f ca="1">IF($D383&lt;&gt;"Serviço",0,IF(OR(AND(AUTOEVENTO="Manual",$M383=1),$M383&gt;(ROW(PLE.lastrow)-ROW(PLE.firstrow))),0,IF(OFFSET(PLE!$G$14,$M383,CK$13)="",10^12,OFFSET(PLE!$G$14,$M383,CK$13))))</f>
        <v>1000000000000</v>
      </c>
      <c r="CL383" s="182">
        <f ca="1">IF($D383&lt;&gt;"Serviço",0,IF(OR(AND(AUTOEVENTO="Manual",$M383=1),$M383&gt;(ROW(PLE.lastrow)-ROW(PLE.firstrow))),0,IF(OFFSET(PLE!$G$14,$M383,CL$13)="",10^12,OFFSET(PLE!$G$14,$M383,CL$13))))</f>
        <v>1000000000000</v>
      </c>
      <c r="CM383" s="182">
        <f ca="1">IF($D383&lt;&gt;"Serviço",0,IF(OR(AND(AUTOEVENTO="Manual",$M383=1),$M383&gt;(ROW(PLE.lastrow)-ROW(PLE.firstrow))),0,IF(OFFSET(PLE!$G$14,$M383,CM$13)="",10^12,OFFSET(PLE!$G$14,$M383,CM$13))))</f>
        <v>1000000000000</v>
      </c>
    </row>
    <row r="384" spans="1:91" ht="25.5" x14ac:dyDescent="0.2">
      <c r="A384" s="7" t="str">
        <f t="shared" ca="1" si="12"/>
        <v>350</v>
      </c>
      <c r="B384" s="7" t="str">
        <f ca="1">OFFSET(ORÇAMENTO!C$15,ROW(B384)-ROW(B$15),0)</f>
        <v>S</v>
      </c>
      <c r="C384" s="7" t="str">
        <f ca="1">OFFSET(ORÇAMENTO!L$15,ROW(C384)-ROW(C$15),0)</f>
        <v/>
      </c>
      <c r="D384" s="118" t="str">
        <f ca="1">OFFSET(ORÇAMENTO!N$15,ROW(D384)-ROW(D$15),0)</f>
        <v>Serviço</v>
      </c>
      <c r="E384" s="119" t="str">
        <f ca="1">OFFSET(ORÇAMENTO!O$15,ROW(E384)-ROW(E$15),0)</f>
        <v>-</v>
      </c>
      <c r="F384" s="172" t="str">
        <f ca="1">OFFSET(ORÇAMENTO!R$15,ROW(F384)-ROW(F$15),0)</f>
        <v>(abra o arquivo 'Referência 06-2024.xlsm)</v>
      </c>
      <c r="G384" s="173" t="str">
        <f ca="1">IF($D384&lt;&gt;"Serviço","",OFFSET(ORÇAMENTO!S$15,ROW(G384)-ROW(G$15),0))</f>
        <v>-</v>
      </c>
      <c r="H384" s="124">
        <f ca="1">IF($D384&lt;&gt;"Serviço",0,IF(ACOMPANHAMENTO="BM",ROUND(OFFSET(ORÇAMENTO!AJ$15,ROW(H384)-ROW(H$15),0),15-13*ORÇAMENTO!$AF$7),SUMPRODUCT(($Q$12:$AI$12&lt;&gt;"")*ROUND($Q384:$AI384,15-13*ORÇAMENTO!$AF$7))))</f>
        <v>15</v>
      </c>
      <c r="I384" s="561" t="s">
        <v>1107</v>
      </c>
      <c r="K384" s="174"/>
      <c r="L384" s="175" t="s">
        <v>255</v>
      </c>
      <c r="M384" s="176">
        <f ca="1">IF($D384&lt;&gt;"Serviço","",IF(AUTOEVENTO="manual",$A384,IF(ISERROR(MATCH($A384,$A$15:OFFSET($A384,-1,0),0)),MAX($M$15:OFFSET(M384,-1,0))+1,INDEX($M$15:OFFSET(M384,-1,0),MATCH($A384,$A$15:OFFSET($A384,-1,0),0)))))</f>
        <v>44</v>
      </c>
      <c r="N384" s="177" t="str">
        <f ca="1">IF($D384&lt;&gt;"Serviço","",IF(AUTOEVENTO="Manual",IF($A384=0,"&lt;-- defina o número do agrupador",OFFSET(EVENTOS!$D$14,$A384,0)),OFFSET($F$15,$A384,0)))</f>
        <v>LOUÇAS, ACESSÓRIOS E METAIS</v>
      </c>
      <c r="O384" s="178"/>
      <c r="Q384" s="178">
        <v>15</v>
      </c>
      <c r="R384" s="179"/>
      <c r="S384" s="179"/>
      <c r="T384" s="179"/>
      <c r="U384" s="179"/>
      <c r="V384" s="179"/>
      <c r="W384" s="179"/>
      <c r="X384" s="179"/>
      <c r="Y384" s="179"/>
      <c r="Z384" s="180"/>
      <c r="AA384" s="179"/>
      <c r="AB384" s="179"/>
      <c r="AC384" s="179"/>
      <c r="AD384" s="179"/>
      <c r="AE384" s="179"/>
      <c r="AF384" s="179"/>
      <c r="AG384" s="179"/>
      <c r="AH384" s="180"/>
      <c r="AJ384" s="544">
        <f ca="1">IF(AND($D384="Serviço",AJ$12&lt;&gt;0,$H384&gt;0,OR(AUTOEVENTO&lt;&gt;"manual",$M384&lt;&gt;1)),
IF(Import.TipoArredondamento&lt;&gt;"TransfereGOV",
ROUND(OFFSET($P384,0,AJ$13),15-13*ORÇAMENTO!$AF$7)/$H384*OFFSET(ORÇAMENTO!$X$15,ROW(AJ384)-ROW(AJ$15),0),
ROUND(ROUND(OFFSET($P384,0,AJ$13),15-13*ORÇAMENTO!$AF$7)*OFFSET(ORÇAMENTO!$W$15,ROW(AJ384)-ROW(AJ$15),0),15-13*ORÇAMENTO!$AF$11)),0)</f>
        <v>0</v>
      </c>
      <c r="AK384" s="545">
        <f ca="1">IF(AND($D384="Serviço",AK$12&lt;&gt;0,$H384&gt;0,OR(AUTOEVENTO&lt;&gt;"manual",$M384&lt;&gt;1)),
IF(Import.TipoArredondamento&lt;&gt;"TransfereGOV",
ROUND(OFFSET($P384,0,AK$13),15-13*ORÇAMENTO!$AF$7)/$H384*OFFSET(ORÇAMENTO!$X$15,ROW(AK384)-ROW(AK$15),0),
ROUND(ROUND(OFFSET($P384,0,AK$13),15-13*ORÇAMENTO!$AF$7)*OFFSET(ORÇAMENTO!$W$15,ROW(AK384)-ROW(AK$15),0),15-13*ORÇAMENTO!$AF$11)),0)</f>
        <v>0</v>
      </c>
      <c r="AL384" s="545">
        <f ca="1">IF(AND($D384="Serviço",AL$12&lt;&gt;0,$H384&gt;0,OR(AUTOEVENTO&lt;&gt;"manual",$M384&lt;&gt;1)),
IF(Import.TipoArredondamento&lt;&gt;"TransfereGOV",
ROUND(OFFSET($P384,0,AL$13),15-13*ORÇAMENTO!$AF$7)/$H384*OFFSET(ORÇAMENTO!$X$15,ROW(AL384)-ROW(AL$15),0),
ROUND(ROUND(OFFSET($P384,0,AL$13),15-13*ORÇAMENTO!$AF$7)*OFFSET(ORÇAMENTO!$W$15,ROW(AL384)-ROW(AL$15),0),15-13*ORÇAMENTO!$AF$11)),0)</f>
        <v>0</v>
      </c>
      <c r="AM384" s="545">
        <f ca="1">IF(AND($D384="Serviço",AM$12&lt;&gt;0,$H384&gt;0,OR(AUTOEVENTO&lt;&gt;"manual",$M384&lt;&gt;1)),
IF(Import.TipoArredondamento&lt;&gt;"TransfereGOV",
ROUND(OFFSET($P384,0,AM$13),15-13*ORÇAMENTO!$AF$7)/$H384*OFFSET(ORÇAMENTO!$X$15,ROW(AM384)-ROW(AM$15),0),
ROUND(ROUND(OFFSET($P384,0,AM$13),15-13*ORÇAMENTO!$AF$7)*OFFSET(ORÇAMENTO!$W$15,ROW(AM384)-ROW(AM$15),0),15-13*ORÇAMENTO!$AF$11)),0)</f>
        <v>0</v>
      </c>
      <c r="AN384" s="545">
        <f ca="1">IF(AND($D384="Serviço",AN$12&lt;&gt;0,$H384&gt;0,OR(AUTOEVENTO&lt;&gt;"manual",$M384&lt;&gt;1)),
IF(Import.TipoArredondamento&lt;&gt;"TransfereGOV",
ROUND(OFFSET($P384,0,AN$13),15-13*ORÇAMENTO!$AF$7)/$H384*OFFSET(ORÇAMENTO!$X$15,ROW(AN384)-ROW(AN$15),0),
ROUND(ROUND(OFFSET($P384,0,AN$13),15-13*ORÇAMENTO!$AF$7)*OFFSET(ORÇAMENTO!$W$15,ROW(AN384)-ROW(AN$15),0),15-13*ORÇAMENTO!$AF$11)),0)</f>
        <v>0</v>
      </c>
      <c r="AO384" s="545">
        <f ca="1">IF(AND($D384="Serviço",AO$12&lt;&gt;0,$H384&gt;0,OR(AUTOEVENTO&lt;&gt;"manual",$M384&lt;&gt;1)),
IF(Import.TipoArredondamento&lt;&gt;"TransfereGOV",
ROUND(OFFSET($P384,0,AO$13),15-13*ORÇAMENTO!$AF$7)/$H384*OFFSET(ORÇAMENTO!$X$15,ROW(AO384)-ROW(AO$15),0),
ROUND(ROUND(OFFSET($P384,0,AO$13),15-13*ORÇAMENTO!$AF$7)*OFFSET(ORÇAMENTO!$W$15,ROW(AO384)-ROW(AO$15),0),15-13*ORÇAMENTO!$AF$11)),0)</f>
        <v>0</v>
      </c>
      <c r="AP384" s="545">
        <f ca="1">IF(AND($D384="Serviço",AP$12&lt;&gt;0,$H384&gt;0,OR(AUTOEVENTO&lt;&gt;"manual",$M384&lt;&gt;1)),
IF(Import.TipoArredondamento&lt;&gt;"TransfereGOV",
ROUND(OFFSET($P384,0,AP$13),15-13*ORÇAMENTO!$AF$7)/$H384*OFFSET(ORÇAMENTO!$X$15,ROW(AP384)-ROW(AP$15),0),
ROUND(ROUND(OFFSET($P384,0,AP$13),15-13*ORÇAMENTO!$AF$7)*OFFSET(ORÇAMENTO!$W$15,ROW(AP384)-ROW(AP$15),0),15-13*ORÇAMENTO!$AF$11)),0)</f>
        <v>0</v>
      </c>
      <c r="AQ384" s="545">
        <f ca="1">IF(AND($D384="Serviço",AQ$12&lt;&gt;0,$H384&gt;0,OR(AUTOEVENTO&lt;&gt;"manual",$M384&lt;&gt;1)),
IF(Import.TipoArredondamento&lt;&gt;"TransfereGOV",
ROUND(OFFSET($P384,0,AQ$13),15-13*ORÇAMENTO!$AF$7)/$H384*OFFSET(ORÇAMENTO!$X$15,ROW(AQ384)-ROW(AQ$15),0),
ROUND(ROUND(OFFSET($P384,0,AQ$13),15-13*ORÇAMENTO!$AF$7)*OFFSET(ORÇAMENTO!$W$15,ROW(AQ384)-ROW(AQ$15),0),15-13*ORÇAMENTO!$AF$11)),0)</f>
        <v>0</v>
      </c>
      <c r="AR384" s="545">
        <f ca="1">IF(AND($D384="Serviço",AR$12&lt;&gt;0,$H384&gt;0,OR(AUTOEVENTO&lt;&gt;"manual",$M384&lt;&gt;1)),
IF(Import.TipoArredondamento&lt;&gt;"TransfereGOV",
ROUND(OFFSET($P384,0,AR$13),15-13*ORÇAMENTO!$AF$7)/$H384*OFFSET(ORÇAMENTO!$X$15,ROW(AR384)-ROW(AR$15),0),
ROUND(ROUND(OFFSET($P384,0,AR$13),15-13*ORÇAMENTO!$AF$7)*OFFSET(ORÇAMENTO!$W$15,ROW(AR384)-ROW(AR$15),0),15-13*ORÇAMENTO!$AF$11)),0)</f>
        <v>0</v>
      </c>
      <c r="AS384" s="546">
        <f ca="1">IF(AND($D384="Serviço",AS$12&lt;&gt;0,$H384&gt;0,OR(AUTOEVENTO&lt;&gt;"manual",$M384&lt;&gt;1)),
IF(Import.TipoArredondamento&lt;&gt;"TransfereGOV",
ROUND(OFFSET($P384,0,AS$13),15-13*ORÇAMENTO!$AF$7)/$H384*OFFSET(ORÇAMENTO!$X$15,ROW(AS384)-ROW(AS$15),0),
ROUND(ROUND(OFFSET($P384,0,AS$13),15-13*ORÇAMENTO!$AF$7)*OFFSET(ORÇAMENTO!$W$15,ROW(AS384)-ROW(AS$15),0),15-13*ORÇAMENTO!$AF$11)),0)</f>
        <v>0</v>
      </c>
      <c r="AT384" s="545">
        <f ca="1">IF(AND($D384="Serviço",AT$12&lt;&gt;0,$H384&gt;0,OR(AUTOEVENTO&lt;&gt;"manual",$M384&lt;&gt;1)),
IF(Import.TipoArredondamento&lt;&gt;"TransfereGOV",
ROUND(OFFSET($P384,0,AT$13),15-13*ORÇAMENTO!$AF$7)/$H384*OFFSET(ORÇAMENTO!$X$15,ROW(AT384)-ROW(AT$15),0),
ROUND(ROUND(OFFSET($P384,0,AT$13),15-13*ORÇAMENTO!$AF$7)*OFFSET(ORÇAMENTO!$W$15,ROW(AT384)-ROW(AT$15),0),15-13*ORÇAMENTO!$AF$11)),0)</f>
        <v>0</v>
      </c>
      <c r="AU384" s="545">
        <f ca="1">IF(AND($D384="Serviço",AU$12&lt;&gt;0,$H384&gt;0,OR(AUTOEVENTO&lt;&gt;"manual",$M384&lt;&gt;1)),
IF(Import.TipoArredondamento&lt;&gt;"TransfereGOV",
ROUND(OFFSET($P384,0,AU$13),15-13*ORÇAMENTO!$AF$7)/$H384*OFFSET(ORÇAMENTO!$X$15,ROW(AU384)-ROW(AU$15),0),
ROUND(ROUND(OFFSET($P384,0,AU$13),15-13*ORÇAMENTO!$AF$7)*OFFSET(ORÇAMENTO!$W$15,ROW(AU384)-ROW(AU$15),0),15-13*ORÇAMENTO!$AF$11)),0)</f>
        <v>0</v>
      </c>
      <c r="AV384" s="545">
        <f ca="1">IF(AND($D384="Serviço",AV$12&lt;&gt;0,$H384&gt;0,OR(AUTOEVENTO&lt;&gt;"manual",$M384&lt;&gt;1)),
IF(Import.TipoArredondamento&lt;&gt;"TransfereGOV",
ROUND(OFFSET($P384,0,AV$13),15-13*ORÇAMENTO!$AF$7)/$H384*OFFSET(ORÇAMENTO!$X$15,ROW(AV384)-ROW(AV$15),0),
ROUND(ROUND(OFFSET($P384,0,AV$13),15-13*ORÇAMENTO!$AF$7)*OFFSET(ORÇAMENTO!$W$15,ROW(AV384)-ROW(AV$15),0),15-13*ORÇAMENTO!$AF$11)),0)</f>
        <v>0</v>
      </c>
      <c r="AW384" s="545">
        <f ca="1">IF(AND($D384="Serviço",AW$12&lt;&gt;0,$H384&gt;0,OR(AUTOEVENTO&lt;&gt;"manual",$M384&lt;&gt;1)),
IF(Import.TipoArredondamento&lt;&gt;"TransfereGOV",
ROUND(OFFSET($P384,0,AW$13),15-13*ORÇAMENTO!$AF$7)/$H384*OFFSET(ORÇAMENTO!$X$15,ROW(AW384)-ROW(AW$15),0),
ROUND(ROUND(OFFSET($P384,0,AW$13),15-13*ORÇAMENTO!$AF$7)*OFFSET(ORÇAMENTO!$W$15,ROW(AW384)-ROW(AW$15),0),15-13*ORÇAMENTO!$AF$11)),0)</f>
        <v>0</v>
      </c>
      <c r="AX384" s="545">
        <f ca="1">IF(AND($D384="Serviço",AX$12&lt;&gt;0,$H384&gt;0,OR(AUTOEVENTO&lt;&gt;"manual",$M384&lt;&gt;1)),
IF(Import.TipoArredondamento&lt;&gt;"TransfereGOV",
ROUND(OFFSET($P384,0,AX$13),15-13*ORÇAMENTO!$AF$7)/$H384*OFFSET(ORÇAMENTO!$X$15,ROW(AX384)-ROW(AX$15),0),
ROUND(ROUND(OFFSET($P384,0,AX$13),15-13*ORÇAMENTO!$AF$7)*OFFSET(ORÇAMENTO!$W$15,ROW(AX384)-ROW(AX$15),0),15-13*ORÇAMENTO!$AF$11)),0)</f>
        <v>0</v>
      </c>
      <c r="AY384" s="545">
        <f ca="1">IF(AND($D384="Serviço",AY$12&lt;&gt;0,$H384&gt;0,OR(AUTOEVENTO&lt;&gt;"manual",$M384&lt;&gt;1)),
IF(Import.TipoArredondamento&lt;&gt;"TransfereGOV",
ROUND(OFFSET($P384,0,AY$13),15-13*ORÇAMENTO!$AF$7)/$H384*OFFSET(ORÇAMENTO!$X$15,ROW(AY384)-ROW(AY$15),0),
ROUND(ROUND(OFFSET($P384,0,AY$13),15-13*ORÇAMENTO!$AF$7)*OFFSET(ORÇAMENTO!$W$15,ROW(AY384)-ROW(AY$15),0),15-13*ORÇAMENTO!$AF$11)),0)</f>
        <v>0</v>
      </c>
      <c r="AZ384" s="545">
        <f ca="1">IF(AND($D384="Serviço",AZ$12&lt;&gt;0,$H384&gt;0,OR(AUTOEVENTO&lt;&gt;"manual",$M384&lt;&gt;1)),
IF(Import.TipoArredondamento&lt;&gt;"TransfereGOV",
ROUND(OFFSET($P384,0,AZ$13),15-13*ORÇAMENTO!$AF$7)/$H384*OFFSET(ORÇAMENTO!$X$15,ROW(AZ384)-ROW(AZ$15),0),
ROUND(ROUND(OFFSET($P384,0,AZ$13),15-13*ORÇAMENTO!$AF$7)*OFFSET(ORÇAMENTO!$W$15,ROW(AZ384)-ROW(AZ$15),0),15-13*ORÇAMENTO!$AF$11)),0)</f>
        <v>0</v>
      </c>
      <c r="BA384" s="546">
        <f ca="1">IF(AND($D384="Serviço",BA$12&lt;&gt;0,$H384&gt;0,OR(AUTOEVENTO&lt;&gt;"manual",$M384&lt;&gt;1)),
IF(Import.TipoArredondamento&lt;&gt;"TransfereGOV",
ROUND(OFFSET($P384,0,BA$13),15-13*ORÇAMENTO!$AF$7)/$H384*OFFSET(ORÇAMENTO!$X$15,ROW(BA384)-ROW(BA$15),0),
ROUND(ROUND(OFFSET($P384,0,BA$13),15-13*ORÇAMENTO!$AF$7)*OFFSET(ORÇAMENTO!$W$15,ROW(BA384)-ROW(BA$15),0),15-13*ORÇAMENTO!$AF$11)),0)</f>
        <v>0</v>
      </c>
      <c r="BC384" s="181">
        <f ca="1">IF($D384&lt;&gt;"Serviço",0,IF(AND(AUTOEVENTO="Manual",$M384=1),0,IF(OFFSET(CRONOPLE!$F$14,$M384,BC$13)="",10^12,OFFSET(CRONOPLE!$F$14,$M384,BC$13))))</f>
        <v>10</v>
      </c>
      <c r="BD384" s="181">
        <f ca="1">IF($D384&lt;&gt;"Serviço",0,IF(AND(AUTOEVENTO="Manual",$M384=1),0,IF(OFFSET(CRONOPLE!$F$14,$M384,BD$13)="",10^12,OFFSET(CRONOPLE!$F$14,$M384,BD$13))))</f>
        <v>1000000000000</v>
      </c>
      <c r="BE384" s="181">
        <f ca="1">IF($D384&lt;&gt;"Serviço",0,IF(AND(AUTOEVENTO="Manual",$M384=1),0,IF(OFFSET(CRONOPLE!$F$14,$M384,BE$13)="",10^12,OFFSET(CRONOPLE!$F$14,$M384,BE$13))))</f>
        <v>1000000000000</v>
      </c>
      <c r="BF384" s="181">
        <f ca="1">IF($D384&lt;&gt;"Serviço",0,IF(AND(AUTOEVENTO="Manual",$M384=1),0,IF(OFFSET(CRONOPLE!$F$14,$M384,BF$13)="",10^12,OFFSET(CRONOPLE!$F$14,$M384,BF$13))))</f>
        <v>1000000000000</v>
      </c>
      <c r="BG384" s="181">
        <f ca="1">IF($D384&lt;&gt;"Serviço",0,IF(AND(AUTOEVENTO="Manual",$M384=1),0,IF(OFFSET(CRONOPLE!$F$14,$M384,BG$13)="",10^12,OFFSET(CRONOPLE!$F$14,$M384,BG$13))))</f>
        <v>1000000000000</v>
      </c>
      <c r="BH384" s="181">
        <f ca="1">IF($D384&lt;&gt;"Serviço",0,IF(AND(AUTOEVENTO="Manual",$M384=1),0,IF(OFFSET(CRONOPLE!$F$14,$M384,BH$13)="",10^12,OFFSET(CRONOPLE!$F$14,$M384,BH$13))))</f>
        <v>1000000000000</v>
      </c>
      <c r="BI384" s="181">
        <f ca="1">IF($D384&lt;&gt;"Serviço",0,IF(AND(AUTOEVENTO="Manual",$M384=1),0,IF(OFFSET(CRONOPLE!$F$14,$M384,BI$13)="",10^12,OFFSET(CRONOPLE!$F$14,$M384,BI$13))))</f>
        <v>1000000000000</v>
      </c>
      <c r="BJ384" s="181">
        <f ca="1">IF($D384&lt;&gt;"Serviço",0,IF(AND(AUTOEVENTO="Manual",$M384=1),0,IF(OFFSET(CRONOPLE!$F$14,$M384,BJ$13)="",10^12,OFFSET(CRONOPLE!$F$14,$M384,BJ$13))))</f>
        <v>1000000000000</v>
      </c>
      <c r="BK384" s="181">
        <f ca="1">IF($D384&lt;&gt;"Serviço",0,IF(AND(AUTOEVENTO="Manual",$M384=1),0,IF(OFFSET(CRONOPLE!$F$14,$M384,BK$13)="",10^12,OFFSET(CRONOPLE!$F$14,$M384,BK$13))))</f>
        <v>1000000000000</v>
      </c>
      <c r="BL384" s="181">
        <f ca="1">IF($D384&lt;&gt;"Serviço",0,IF(AND(AUTOEVENTO="Manual",$M384=1),0,IF(OFFSET(CRONOPLE!$F$14,$M384,BL$13)="",10^12,OFFSET(CRONOPLE!$F$14,$M384,BL$13))))</f>
        <v>1000000000000</v>
      </c>
      <c r="BM384" s="181">
        <f ca="1">IF($D384&lt;&gt;"Serviço",0,IF(AND(AUTOEVENTO="Manual",$M384=1),0,IF(OFFSET(CRONOPLE!$F$14,$M384,BM$13)="",10^12,OFFSET(CRONOPLE!$F$14,$M384,BM$13))))</f>
        <v>1000000000000</v>
      </c>
      <c r="BN384" s="181">
        <f ca="1">IF($D384&lt;&gt;"Serviço",0,IF(AND(AUTOEVENTO="Manual",$M384=1),0,IF(OFFSET(CRONOPLE!$F$14,$M384,BN$13)="",10^12,OFFSET(CRONOPLE!$F$14,$M384,BN$13))))</f>
        <v>1000000000000</v>
      </c>
      <c r="BO384" s="181">
        <f ca="1">IF($D384&lt;&gt;"Serviço",0,IF(AND(AUTOEVENTO="Manual",$M384=1),0,IF(OFFSET(CRONOPLE!$F$14,$M384,BO$13)="",10^12,OFFSET(CRONOPLE!$F$14,$M384,BO$13))))</f>
        <v>1000000000000</v>
      </c>
      <c r="BP384" s="181">
        <f ca="1">IF($D384&lt;&gt;"Serviço",0,IF(AND(AUTOEVENTO="Manual",$M384=1),0,IF(OFFSET(CRONOPLE!$F$14,$M384,BP$13)="",10^12,OFFSET(CRONOPLE!$F$14,$M384,BP$13))))</f>
        <v>1000000000000</v>
      </c>
      <c r="BQ384" s="181">
        <f ca="1">IF($D384&lt;&gt;"Serviço",0,IF(AND(AUTOEVENTO="Manual",$M384=1),0,IF(OFFSET(CRONOPLE!$F$14,$M384,BQ$13)="",10^12,OFFSET(CRONOPLE!$F$14,$M384,BQ$13))))</f>
        <v>1000000000000</v>
      </c>
      <c r="BR384" s="181">
        <f ca="1">IF($D384&lt;&gt;"Serviço",0,IF(AND(AUTOEVENTO="Manual",$M384=1),0,IF(OFFSET(CRONOPLE!$F$14,$M384,BR$13)="",10^12,OFFSET(CRONOPLE!$F$14,$M384,BR$13))))</f>
        <v>1000000000000</v>
      </c>
      <c r="BS384" s="181">
        <f ca="1">IF($D384&lt;&gt;"Serviço",0,IF(AND(AUTOEVENTO="Manual",$M384=1),0,IF(OFFSET(CRONOPLE!$F$14,$M384,BS$13)="",10^12,OFFSET(CRONOPLE!$F$14,$M384,BS$13))))</f>
        <v>1000000000000</v>
      </c>
      <c r="BT384" s="181">
        <f ca="1">IF($D384&lt;&gt;"Serviço",0,IF(AND(AUTOEVENTO="Manual",$M384=1),0,IF(OFFSET(CRONOPLE!$F$14,$M384,BT$13)="",10^12,OFFSET(CRONOPLE!$F$14,$M384,BT$13))))</f>
        <v>1000000000000</v>
      </c>
      <c r="BV384" s="182">
        <f ca="1">IF($D384&lt;&gt;"Serviço",0,IF(OR(AND(AUTOEVENTO="Manual",$M384=1),$M384&gt;(ROW(PLE.lastrow)-ROW(PLE.firstrow))),0,IF(OFFSET(PLE!$G$14,$M384,BV$13)="",10^12,OFFSET(PLE!$G$14,$M384,BV$13))))</f>
        <v>1000000000000</v>
      </c>
      <c r="BW384" s="182">
        <f ca="1">IF($D384&lt;&gt;"Serviço",0,IF(OR(AND(AUTOEVENTO="Manual",$M384=1),$M384&gt;(ROW(PLE.lastrow)-ROW(PLE.firstrow))),0,IF(OFFSET(PLE!$G$14,$M384,BW$13)="",10^12,OFFSET(PLE!$G$14,$M384,BW$13))))</f>
        <v>1000000000000</v>
      </c>
      <c r="BX384" s="182">
        <f ca="1">IF($D384&lt;&gt;"Serviço",0,IF(OR(AND(AUTOEVENTO="Manual",$M384=1),$M384&gt;(ROW(PLE.lastrow)-ROW(PLE.firstrow))),0,IF(OFFSET(PLE!$G$14,$M384,BX$13)="",10^12,OFFSET(PLE!$G$14,$M384,BX$13))))</f>
        <v>1000000000000</v>
      </c>
      <c r="BY384" s="182">
        <f ca="1">IF($D384&lt;&gt;"Serviço",0,IF(OR(AND(AUTOEVENTO="Manual",$M384=1),$M384&gt;(ROW(PLE.lastrow)-ROW(PLE.firstrow))),0,IF(OFFSET(PLE!$G$14,$M384,BY$13)="",10^12,OFFSET(PLE!$G$14,$M384,BY$13))))</f>
        <v>1000000000000</v>
      </c>
      <c r="BZ384" s="182">
        <f ca="1">IF($D384&lt;&gt;"Serviço",0,IF(OR(AND(AUTOEVENTO="Manual",$M384=1),$M384&gt;(ROW(PLE.lastrow)-ROW(PLE.firstrow))),0,IF(OFFSET(PLE!$G$14,$M384,BZ$13)="",10^12,OFFSET(PLE!$G$14,$M384,BZ$13))))</f>
        <v>1000000000000</v>
      </c>
      <c r="CA384" s="182">
        <f ca="1">IF($D384&lt;&gt;"Serviço",0,IF(OR(AND(AUTOEVENTO="Manual",$M384=1),$M384&gt;(ROW(PLE.lastrow)-ROW(PLE.firstrow))),0,IF(OFFSET(PLE!$G$14,$M384,CA$13)="",10^12,OFFSET(PLE!$G$14,$M384,CA$13))))</f>
        <v>1000000000000</v>
      </c>
      <c r="CB384" s="182">
        <f ca="1">IF($D384&lt;&gt;"Serviço",0,IF(OR(AND(AUTOEVENTO="Manual",$M384=1),$M384&gt;(ROW(PLE.lastrow)-ROW(PLE.firstrow))),0,IF(OFFSET(PLE!$G$14,$M384,CB$13)="",10^12,OFFSET(PLE!$G$14,$M384,CB$13))))</f>
        <v>1000000000000</v>
      </c>
      <c r="CC384" s="182">
        <f ca="1">IF($D384&lt;&gt;"Serviço",0,IF(OR(AND(AUTOEVENTO="Manual",$M384=1),$M384&gt;(ROW(PLE.lastrow)-ROW(PLE.firstrow))),0,IF(OFFSET(PLE!$G$14,$M384,CC$13)="",10^12,OFFSET(PLE!$G$14,$M384,CC$13))))</f>
        <v>1000000000000</v>
      </c>
      <c r="CD384" s="182">
        <f ca="1">IF($D384&lt;&gt;"Serviço",0,IF(OR(AND(AUTOEVENTO="Manual",$M384=1),$M384&gt;(ROW(PLE.lastrow)-ROW(PLE.firstrow))),0,IF(OFFSET(PLE!$G$14,$M384,CD$13)="",10^12,OFFSET(PLE!$G$14,$M384,CD$13))))</f>
        <v>1000000000000</v>
      </c>
      <c r="CE384" s="182">
        <f ca="1">IF($D384&lt;&gt;"Serviço",0,IF(OR(AND(AUTOEVENTO="Manual",$M384=1),$M384&gt;(ROW(PLE.lastrow)-ROW(PLE.firstrow))),0,IF(OFFSET(PLE!$G$14,$M384,CE$13)="",10^12,OFFSET(PLE!$G$14,$M384,CE$13))))</f>
        <v>1000000000000</v>
      </c>
      <c r="CF384" s="182">
        <f ca="1">IF($D384&lt;&gt;"Serviço",0,IF(OR(AND(AUTOEVENTO="Manual",$M384=1),$M384&gt;(ROW(PLE.lastrow)-ROW(PLE.firstrow))),0,IF(OFFSET(PLE!$G$14,$M384,CF$13)="",10^12,OFFSET(PLE!$G$14,$M384,CF$13))))</f>
        <v>1000000000000</v>
      </c>
      <c r="CG384" s="182">
        <f ca="1">IF($D384&lt;&gt;"Serviço",0,IF(OR(AND(AUTOEVENTO="Manual",$M384=1),$M384&gt;(ROW(PLE.lastrow)-ROW(PLE.firstrow))),0,IF(OFFSET(PLE!$G$14,$M384,CG$13)="",10^12,OFFSET(PLE!$G$14,$M384,CG$13))))</f>
        <v>1000000000000</v>
      </c>
      <c r="CH384" s="182">
        <f ca="1">IF($D384&lt;&gt;"Serviço",0,IF(OR(AND(AUTOEVENTO="Manual",$M384=1),$M384&gt;(ROW(PLE.lastrow)-ROW(PLE.firstrow))),0,IF(OFFSET(PLE!$G$14,$M384,CH$13)="",10^12,OFFSET(PLE!$G$14,$M384,CH$13))))</f>
        <v>1000000000000</v>
      </c>
      <c r="CI384" s="182">
        <f ca="1">IF($D384&lt;&gt;"Serviço",0,IF(OR(AND(AUTOEVENTO="Manual",$M384=1),$M384&gt;(ROW(PLE.lastrow)-ROW(PLE.firstrow))),0,IF(OFFSET(PLE!$G$14,$M384,CI$13)="",10^12,OFFSET(PLE!$G$14,$M384,CI$13))))</f>
        <v>1000000000000</v>
      </c>
      <c r="CJ384" s="182">
        <f ca="1">IF($D384&lt;&gt;"Serviço",0,IF(OR(AND(AUTOEVENTO="Manual",$M384=1),$M384&gt;(ROW(PLE.lastrow)-ROW(PLE.firstrow))),0,IF(OFFSET(PLE!$G$14,$M384,CJ$13)="",10^12,OFFSET(PLE!$G$14,$M384,CJ$13))))</f>
        <v>1000000000000</v>
      </c>
      <c r="CK384" s="182">
        <f ca="1">IF($D384&lt;&gt;"Serviço",0,IF(OR(AND(AUTOEVENTO="Manual",$M384=1),$M384&gt;(ROW(PLE.lastrow)-ROW(PLE.firstrow))),0,IF(OFFSET(PLE!$G$14,$M384,CK$13)="",10^12,OFFSET(PLE!$G$14,$M384,CK$13))))</f>
        <v>1000000000000</v>
      </c>
      <c r="CL384" s="182">
        <f ca="1">IF($D384&lt;&gt;"Serviço",0,IF(OR(AND(AUTOEVENTO="Manual",$M384=1),$M384&gt;(ROW(PLE.lastrow)-ROW(PLE.firstrow))),0,IF(OFFSET(PLE!$G$14,$M384,CL$13)="",10^12,OFFSET(PLE!$G$14,$M384,CL$13))))</f>
        <v>1000000000000</v>
      </c>
      <c r="CM384" s="182">
        <f ca="1">IF($D384&lt;&gt;"Serviço",0,IF(OR(AND(AUTOEVENTO="Manual",$M384=1),$M384&gt;(ROW(PLE.lastrow)-ROW(PLE.firstrow))),0,IF(OFFSET(PLE!$G$14,$M384,CM$13)="",10^12,OFFSET(PLE!$G$14,$M384,CM$13))))</f>
        <v>1000000000000</v>
      </c>
    </row>
    <row r="385" spans="1:91" ht="25.5" x14ac:dyDescent="0.2">
      <c r="A385" s="7" t="str">
        <f t="shared" ref="A385:A414" ca="1" si="13">IF(AUTOEVENTO="Manual",IF(K385&lt;&gt;"",MIN(VALUE(LEFT(K385,FIND(".",K385)-1)),COUNTA(EVENTOS.Lista)),0),IF(OR($B385&gt;AUTOEVENTO,$B385="S",$B385=0),SUBSTITUTE(OFFSET($A385,-1,0),IF($D385="Serviço",".",""),""),ROW(A385)-ROW($A$15)&amp;"."))</f>
        <v>350</v>
      </c>
      <c r="B385" s="7" t="str">
        <f ca="1">OFFSET(ORÇAMENTO!C$15,ROW(B385)-ROW(B$15),0)</f>
        <v>S</v>
      </c>
      <c r="C385" s="7" t="str">
        <f ca="1">OFFSET(ORÇAMENTO!L$15,ROW(C385)-ROW(C$15),0)</f>
        <v/>
      </c>
      <c r="D385" s="118" t="str">
        <f ca="1">OFFSET(ORÇAMENTO!N$15,ROW(D385)-ROW(D$15),0)</f>
        <v>Serviço</v>
      </c>
      <c r="E385" s="119" t="str">
        <f ca="1">OFFSET(ORÇAMENTO!O$15,ROW(E385)-ROW(E$15),0)</f>
        <v>-</v>
      </c>
      <c r="F385" s="172" t="str">
        <f ca="1">OFFSET(ORÇAMENTO!R$15,ROW(F385)-ROW(F$15),0)</f>
        <v>(abra o arquivo 'Referência 06-2024.xlsm)</v>
      </c>
      <c r="G385" s="173" t="str">
        <f ca="1">IF($D385&lt;&gt;"Serviço","",OFFSET(ORÇAMENTO!S$15,ROW(G385)-ROW(G$15),0))</f>
        <v>-</v>
      </c>
      <c r="H385" s="124">
        <f ca="1">IF($D385&lt;&gt;"Serviço",0,IF(ACOMPANHAMENTO="BM",ROUND(OFFSET(ORÇAMENTO!AJ$15,ROW(H385)-ROW(H$15),0),15-13*ORÇAMENTO!$AF$7),SUMPRODUCT(($Q$12:$AI$12&lt;&gt;"")*ROUND($Q385:$AI385,15-13*ORÇAMENTO!$AF$7))))</f>
        <v>4</v>
      </c>
      <c r="I385" s="561" t="s">
        <v>1107</v>
      </c>
      <c r="K385" s="174"/>
      <c r="L385" s="175" t="s">
        <v>255</v>
      </c>
      <c r="M385" s="176">
        <f ca="1">IF($D385&lt;&gt;"Serviço","",IF(AUTOEVENTO="manual",$A385,IF(ISERROR(MATCH($A385,$A$15:OFFSET($A385,-1,0),0)),MAX($M$15:OFFSET(M385,-1,0))+1,INDEX($M$15:OFFSET(M385,-1,0),MATCH($A385,$A$15:OFFSET($A385,-1,0),0)))))</f>
        <v>44</v>
      </c>
      <c r="N385" s="177" t="str">
        <f ca="1">IF($D385&lt;&gt;"Serviço","",IF(AUTOEVENTO="Manual",IF($A385=0,"&lt;-- defina o número do agrupador",OFFSET(EVENTOS!$D$14,$A385,0)),OFFSET($F$15,$A385,0)))</f>
        <v>LOUÇAS, ACESSÓRIOS E METAIS</v>
      </c>
      <c r="O385" s="178"/>
      <c r="Q385" s="178">
        <v>4</v>
      </c>
      <c r="R385" s="179"/>
      <c r="S385" s="179"/>
      <c r="T385" s="179"/>
      <c r="U385" s="179"/>
      <c r="V385" s="179"/>
      <c r="W385" s="179"/>
      <c r="X385" s="179"/>
      <c r="Y385" s="179"/>
      <c r="Z385" s="180"/>
      <c r="AA385" s="179"/>
      <c r="AB385" s="179"/>
      <c r="AC385" s="179"/>
      <c r="AD385" s="179"/>
      <c r="AE385" s="179"/>
      <c r="AF385" s="179"/>
      <c r="AG385" s="179"/>
      <c r="AH385" s="180"/>
      <c r="AJ385" s="544">
        <f ca="1">IF(AND($D385="Serviço",AJ$12&lt;&gt;0,$H385&gt;0,OR(AUTOEVENTO&lt;&gt;"manual",$M385&lt;&gt;1)),
IF(Import.TipoArredondamento&lt;&gt;"TransfereGOV",
ROUND(OFFSET($P385,0,AJ$13),15-13*ORÇAMENTO!$AF$7)/$H385*OFFSET(ORÇAMENTO!$X$15,ROW(AJ385)-ROW(AJ$15),0),
ROUND(ROUND(OFFSET($P385,0,AJ$13),15-13*ORÇAMENTO!$AF$7)*OFFSET(ORÇAMENTO!$W$15,ROW(AJ385)-ROW(AJ$15),0),15-13*ORÇAMENTO!$AF$11)),0)</f>
        <v>0</v>
      </c>
      <c r="AK385" s="545">
        <f ca="1">IF(AND($D385="Serviço",AK$12&lt;&gt;0,$H385&gt;0,OR(AUTOEVENTO&lt;&gt;"manual",$M385&lt;&gt;1)),
IF(Import.TipoArredondamento&lt;&gt;"TransfereGOV",
ROUND(OFFSET($P385,0,AK$13),15-13*ORÇAMENTO!$AF$7)/$H385*OFFSET(ORÇAMENTO!$X$15,ROW(AK385)-ROW(AK$15),0),
ROUND(ROUND(OFFSET($P385,0,AK$13),15-13*ORÇAMENTO!$AF$7)*OFFSET(ORÇAMENTO!$W$15,ROW(AK385)-ROW(AK$15),0),15-13*ORÇAMENTO!$AF$11)),0)</f>
        <v>0</v>
      </c>
      <c r="AL385" s="545">
        <f ca="1">IF(AND($D385="Serviço",AL$12&lt;&gt;0,$H385&gt;0,OR(AUTOEVENTO&lt;&gt;"manual",$M385&lt;&gt;1)),
IF(Import.TipoArredondamento&lt;&gt;"TransfereGOV",
ROUND(OFFSET($P385,0,AL$13),15-13*ORÇAMENTO!$AF$7)/$H385*OFFSET(ORÇAMENTO!$X$15,ROW(AL385)-ROW(AL$15),0),
ROUND(ROUND(OFFSET($P385,0,AL$13),15-13*ORÇAMENTO!$AF$7)*OFFSET(ORÇAMENTO!$W$15,ROW(AL385)-ROW(AL$15),0),15-13*ORÇAMENTO!$AF$11)),0)</f>
        <v>0</v>
      </c>
      <c r="AM385" s="545">
        <f ca="1">IF(AND($D385="Serviço",AM$12&lt;&gt;0,$H385&gt;0,OR(AUTOEVENTO&lt;&gt;"manual",$M385&lt;&gt;1)),
IF(Import.TipoArredondamento&lt;&gt;"TransfereGOV",
ROUND(OFFSET($P385,0,AM$13),15-13*ORÇAMENTO!$AF$7)/$H385*OFFSET(ORÇAMENTO!$X$15,ROW(AM385)-ROW(AM$15),0),
ROUND(ROUND(OFFSET($P385,0,AM$13),15-13*ORÇAMENTO!$AF$7)*OFFSET(ORÇAMENTO!$W$15,ROW(AM385)-ROW(AM$15),0),15-13*ORÇAMENTO!$AF$11)),0)</f>
        <v>0</v>
      </c>
      <c r="AN385" s="545">
        <f ca="1">IF(AND($D385="Serviço",AN$12&lt;&gt;0,$H385&gt;0,OR(AUTOEVENTO&lt;&gt;"manual",$M385&lt;&gt;1)),
IF(Import.TipoArredondamento&lt;&gt;"TransfereGOV",
ROUND(OFFSET($P385,0,AN$13),15-13*ORÇAMENTO!$AF$7)/$H385*OFFSET(ORÇAMENTO!$X$15,ROW(AN385)-ROW(AN$15),0),
ROUND(ROUND(OFFSET($P385,0,AN$13),15-13*ORÇAMENTO!$AF$7)*OFFSET(ORÇAMENTO!$W$15,ROW(AN385)-ROW(AN$15),0),15-13*ORÇAMENTO!$AF$11)),0)</f>
        <v>0</v>
      </c>
      <c r="AO385" s="545">
        <f ca="1">IF(AND($D385="Serviço",AO$12&lt;&gt;0,$H385&gt;0,OR(AUTOEVENTO&lt;&gt;"manual",$M385&lt;&gt;1)),
IF(Import.TipoArredondamento&lt;&gt;"TransfereGOV",
ROUND(OFFSET($P385,0,AO$13),15-13*ORÇAMENTO!$AF$7)/$H385*OFFSET(ORÇAMENTO!$X$15,ROW(AO385)-ROW(AO$15),0),
ROUND(ROUND(OFFSET($P385,0,AO$13),15-13*ORÇAMENTO!$AF$7)*OFFSET(ORÇAMENTO!$W$15,ROW(AO385)-ROW(AO$15),0),15-13*ORÇAMENTO!$AF$11)),0)</f>
        <v>0</v>
      </c>
      <c r="AP385" s="545">
        <f ca="1">IF(AND($D385="Serviço",AP$12&lt;&gt;0,$H385&gt;0,OR(AUTOEVENTO&lt;&gt;"manual",$M385&lt;&gt;1)),
IF(Import.TipoArredondamento&lt;&gt;"TransfereGOV",
ROUND(OFFSET($P385,0,AP$13),15-13*ORÇAMENTO!$AF$7)/$H385*OFFSET(ORÇAMENTO!$X$15,ROW(AP385)-ROW(AP$15),0),
ROUND(ROUND(OFFSET($P385,0,AP$13),15-13*ORÇAMENTO!$AF$7)*OFFSET(ORÇAMENTO!$W$15,ROW(AP385)-ROW(AP$15),0),15-13*ORÇAMENTO!$AF$11)),0)</f>
        <v>0</v>
      </c>
      <c r="AQ385" s="545">
        <f ca="1">IF(AND($D385="Serviço",AQ$12&lt;&gt;0,$H385&gt;0,OR(AUTOEVENTO&lt;&gt;"manual",$M385&lt;&gt;1)),
IF(Import.TipoArredondamento&lt;&gt;"TransfereGOV",
ROUND(OFFSET($P385,0,AQ$13),15-13*ORÇAMENTO!$AF$7)/$H385*OFFSET(ORÇAMENTO!$X$15,ROW(AQ385)-ROW(AQ$15),0),
ROUND(ROUND(OFFSET($P385,0,AQ$13),15-13*ORÇAMENTO!$AF$7)*OFFSET(ORÇAMENTO!$W$15,ROW(AQ385)-ROW(AQ$15),0),15-13*ORÇAMENTO!$AF$11)),0)</f>
        <v>0</v>
      </c>
      <c r="AR385" s="545">
        <f ca="1">IF(AND($D385="Serviço",AR$12&lt;&gt;0,$H385&gt;0,OR(AUTOEVENTO&lt;&gt;"manual",$M385&lt;&gt;1)),
IF(Import.TipoArredondamento&lt;&gt;"TransfereGOV",
ROUND(OFFSET($P385,0,AR$13),15-13*ORÇAMENTO!$AF$7)/$H385*OFFSET(ORÇAMENTO!$X$15,ROW(AR385)-ROW(AR$15),0),
ROUND(ROUND(OFFSET($P385,0,AR$13),15-13*ORÇAMENTO!$AF$7)*OFFSET(ORÇAMENTO!$W$15,ROW(AR385)-ROW(AR$15),0),15-13*ORÇAMENTO!$AF$11)),0)</f>
        <v>0</v>
      </c>
      <c r="AS385" s="546">
        <f ca="1">IF(AND($D385="Serviço",AS$12&lt;&gt;0,$H385&gt;0,OR(AUTOEVENTO&lt;&gt;"manual",$M385&lt;&gt;1)),
IF(Import.TipoArredondamento&lt;&gt;"TransfereGOV",
ROUND(OFFSET($P385,0,AS$13),15-13*ORÇAMENTO!$AF$7)/$H385*OFFSET(ORÇAMENTO!$X$15,ROW(AS385)-ROW(AS$15),0),
ROUND(ROUND(OFFSET($P385,0,AS$13),15-13*ORÇAMENTO!$AF$7)*OFFSET(ORÇAMENTO!$W$15,ROW(AS385)-ROW(AS$15),0),15-13*ORÇAMENTO!$AF$11)),0)</f>
        <v>0</v>
      </c>
      <c r="AT385" s="545">
        <f ca="1">IF(AND($D385="Serviço",AT$12&lt;&gt;0,$H385&gt;0,OR(AUTOEVENTO&lt;&gt;"manual",$M385&lt;&gt;1)),
IF(Import.TipoArredondamento&lt;&gt;"TransfereGOV",
ROUND(OFFSET($P385,0,AT$13),15-13*ORÇAMENTO!$AF$7)/$H385*OFFSET(ORÇAMENTO!$X$15,ROW(AT385)-ROW(AT$15),0),
ROUND(ROUND(OFFSET($P385,0,AT$13),15-13*ORÇAMENTO!$AF$7)*OFFSET(ORÇAMENTO!$W$15,ROW(AT385)-ROW(AT$15),0),15-13*ORÇAMENTO!$AF$11)),0)</f>
        <v>0</v>
      </c>
      <c r="AU385" s="545">
        <f ca="1">IF(AND($D385="Serviço",AU$12&lt;&gt;0,$H385&gt;0,OR(AUTOEVENTO&lt;&gt;"manual",$M385&lt;&gt;1)),
IF(Import.TipoArredondamento&lt;&gt;"TransfereGOV",
ROUND(OFFSET($P385,0,AU$13),15-13*ORÇAMENTO!$AF$7)/$H385*OFFSET(ORÇAMENTO!$X$15,ROW(AU385)-ROW(AU$15),0),
ROUND(ROUND(OFFSET($P385,0,AU$13),15-13*ORÇAMENTO!$AF$7)*OFFSET(ORÇAMENTO!$W$15,ROW(AU385)-ROW(AU$15),0),15-13*ORÇAMENTO!$AF$11)),0)</f>
        <v>0</v>
      </c>
      <c r="AV385" s="545">
        <f ca="1">IF(AND($D385="Serviço",AV$12&lt;&gt;0,$H385&gt;0,OR(AUTOEVENTO&lt;&gt;"manual",$M385&lt;&gt;1)),
IF(Import.TipoArredondamento&lt;&gt;"TransfereGOV",
ROUND(OFFSET($P385,0,AV$13),15-13*ORÇAMENTO!$AF$7)/$H385*OFFSET(ORÇAMENTO!$X$15,ROW(AV385)-ROW(AV$15),0),
ROUND(ROUND(OFFSET($P385,0,AV$13),15-13*ORÇAMENTO!$AF$7)*OFFSET(ORÇAMENTO!$W$15,ROW(AV385)-ROW(AV$15),0),15-13*ORÇAMENTO!$AF$11)),0)</f>
        <v>0</v>
      </c>
      <c r="AW385" s="545">
        <f ca="1">IF(AND($D385="Serviço",AW$12&lt;&gt;0,$H385&gt;0,OR(AUTOEVENTO&lt;&gt;"manual",$M385&lt;&gt;1)),
IF(Import.TipoArredondamento&lt;&gt;"TransfereGOV",
ROUND(OFFSET($P385,0,AW$13),15-13*ORÇAMENTO!$AF$7)/$H385*OFFSET(ORÇAMENTO!$X$15,ROW(AW385)-ROW(AW$15),0),
ROUND(ROUND(OFFSET($P385,0,AW$13),15-13*ORÇAMENTO!$AF$7)*OFFSET(ORÇAMENTO!$W$15,ROW(AW385)-ROW(AW$15),0),15-13*ORÇAMENTO!$AF$11)),0)</f>
        <v>0</v>
      </c>
      <c r="AX385" s="545">
        <f ca="1">IF(AND($D385="Serviço",AX$12&lt;&gt;0,$H385&gt;0,OR(AUTOEVENTO&lt;&gt;"manual",$M385&lt;&gt;1)),
IF(Import.TipoArredondamento&lt;&gt;"TransfereGOV",
ROUND(OFFSET($P385,0,AX$13),15-13*ORÇAMENTO!$AF$7)/$H385*OFFSET(ORÇAMENTO!$X$15,ROW(AX385)-ROW(AX$15),0),
ROUND(ROUND(OFFSET($P385,0,AX$13),15-13*ORÇAMENTO!$AF$7)*OFFSET(ORÇAMENTO!$W$15,ROW(AX385)-ROW(AX$15),0),15-13*ORÇAMENTO!$AF$11)),0)</f>
        <v>0</v>
      </c>
      <c r="AY385" s="545">
        <f ca="1">IF(AND($D385="Serviço",AY$12&lt;&gt;0,$H385&gt;0,OR(AUTOEVENTO&lt;&gt;"manual",$M385&lt;&gt;1)),
IF(Import.TipoArredondamento&lt;&gt;"TransfereGOV",
ROUND(OFFSET($P385,0,AY$13),15-13*ORÇAMENTO!$AF$7)/$H385*OFFSET(ORÇAMENTO!$X$15,ROW(AY385)-ROW(AY$15),0),
ROUND(ROUND(OFFSET($P385,0,AY$13),15-13*ORÇAMENTO!$AF$7)*OFFSET(ORÇAMENTO!$W$15,ROW(AY385)-ROW(AY$15),0),15-13*ORÇAMENTO!$AF$11)),0)</f>
        <v>0</v>
      </c>
      <c r="AZ385" s="545">
        <f ca="1">IF(AND($D385="Serviço",AZ$12&lt;&gt;0,$H385&gt;0,OR(AUTOEVENTO&lt;&gt;"manual",$M385&lt;&gt;1)),
IF(Import.TipoArredondamento&lt;&gt;"TransfereGOV",
ROUND(OFFSET($P385,0,AZ$13),15-13*ORÇAMENTO!$AF$7)/$H385*OFFSET(ORÇAMENTO!$X$15,ROW(AZ385)-ROW(AZ$15),0),
ROUND(ROUND(OFFSET($P385,0,AZ$13),15-13*ORÇAMENTO!$AF$7)*OFFSET(ORÇAMENTO!$W$15,ROW(AZ385)-ROW(AZ$15),0),15-13*ORÇAMENTO!$AF$11)),0)</f>
        <v>0</v>
      </c>
      <c r="BA385" s="546">
        <f ca="1">IF(AND($D385="Serviço",BA$12&lt;&gt;0,$H385&gt;0,OR(AUTOEVENTO&lt;&gt;"manual",$M385&lt;&gt;1)),
IF(Import.TipoArredondamento&lt;&gt;"TransfereGOV",
ROUND(OFFSET($P385,0,BA$13),15-13*ORÇAMENTO!$AF$7)/$H385*OFFSET(ORÇAMENTO!$X$15,ROW(BA385)-ROW(BA$15),0),
ROUND(ROUND(OFFSET($P385,0,BA$13),15-13*ORÇAMENTO!$AF$7)*OFFSET(ORÇAMENTO!$W$15,ROW(BA385)-ROW(BA$15),0),15-13*ORÇAMENTO!$AF$11)),0)</f>
        <v>0</v>
      </c>
      <c r="BC385" s="181">
        <f ca="1">IF($D385&lt;&gt;"Serviço",0,IF(AND(AUTOEVENTO="Manual",$M385=1),0,IF(OFFSET(CRONOPLE!$F$14,$M385,BC$13)="",10^12,OFFSET(CRONOPLE!$F$14,$M385,BC$13))))</f>
        <v>10</v>
      </c>
      <c r="BD385" s="181">
        <f ca="1">IF($D385&lt;&gt;"Serviço",0,IF(AND(AUTOEVENTO="Manual",$M385=1),0,IF(OFFSET(CRONOPLE!$F$14,$M385,BD$13)="",10^12,OFFSET(CRONOPLE!$F$14,$M385,BD$13))))</f>
        <v>1000000000000</v>
      </c>
      <c r="BE385" s="181">
        <f ca="1">IF($D385&lt;&gt;"Serviço",0,IF(AND(AUTOEVENTO="Manual",$M385=1),0,IF(OFFSET(CRONOPLE!$F$14,$M385,BE$13)="",10^12,OFFSET(CRONOPLE!$F$14,$M385,BE$13))))</f>
        <v>1000000000000</v>
      </c>
      <c r="BF385" s="181">
        <f ca="1">IF($D385&lt;&gt;"Serviço",0,IF(AND(AUTOEVENTO="Manual",$M385=1),0,IF(OFFSET(CRONOPLE!$F$14,$M385,BF$13)="",10^12,OFFSET(CRONOPLE!$F$14,$M385,BF$13))))</f>
        <v>1000000000000</v>
      </c>
      <c r="BG385" s="181">
        <f ca="1">IF($D385&lt;&gt;"Serviço",0,IF(AND(AUTOEVENTO="Manual",$M385=1),0,IF(OFFSET(CRONOPLE!$F$14,$M385,BG$13)="",10^12,OFFSET(CRONOPLE!$F$14,$M385,BG$13))))</f>
        <v>1000000000000</v>
      </c>
      <c r="BH385" s="181">
        <f ca="1">IF($D385&lt;&gt;"Serviço",0,IF(AND(AUTOEVENTO="Manual",$M385=1),0,IF(OFFSET(CRONOPLE!$F$14,$M385,BH$13)="",10^12,OFFSET(CRONOPLE!$F$14,$M385,BH$13))))</f>
        <v>1000000000000</v>
      </c>
      <c r="BI385" s="181">
        <f ca="1">IF($D385&lt;&gt;"Serviço",0,IF(AND(AUTOEVENTO="Manual",$M385=1),0,IF(OFFSET(CRONOPLE!$F$14,$M385,BI$13)="",10^12,OFFSET(CRONOPLE!$F$14,$M385,BI$13))))</f>
        <v>1000000000000</v>
      </c>
      <c r="BJ385" s="181">
        <f ca="1">IF($D385&lt;&gt;"Serviço",0,IF(AND(AUTOEVENTO="Manual",$M385=1),0,IF(OFFSET(CRONOPLE!$F$14,$M385,BJ$13)="",10^12,OFFSET(CRONOPLE!$F$14,$M385,BJ$13))))</f>
        <v>1000000000000</v>
      </c>
      <c r="BK385" s="181">
        <f ca="1">IF($D385&lt;&gt;"Serviço",0,IF(AND(AUTOEVENTO="Manual",$M385=1),0,IF(OFFSET(CRONOPLE!$F$14,$M385,BK$13)="",10^12,OFFSET(CRONOPLE!$F$14,$M385,BK$13))))</f>
        <v>1000000000000</v>
      </c>
      <c r="BL385" s="181">
        <f ca="1">IF($D385&lt;&gt;"Serviço",0,IF(AND(AUTOEVENTO="Manual",$M385=1),0,IF(OFFSET(CRONOPLE!$F$14,$M385,BL$13)="",10^12,OFFSET(CRONOPLE!$F$14,$M385,BL$13))))</f>
        <v>1000000000000</v>
      </c>
      <c r="BM385" s="181">
        <f ca="1">IF($D385&lt;&gt;"Serviço",0,IF(AND(AUTOEVENTO="Manual",$M385=1),0,IF(OFFSET(CRONOPLE!$F$14,$M385,BM$13)="",10^12,OFFSET(CRONOPLE!$F$14,$M385,BM$13))))</f>
        <v>1000000000000</v>
      </c>
      <c r="BN385" s="181">
        <f ca="1">IF($D385&lt;&gt;"Serviço",0,IF(AND(AUTOEVENTO="Manual",$M385=1),0,IF(OFFSET(CRONOPLE!$F$14,$M385,BN$13)="",10^12,OFFSET(CRONOPLE!$F$14,$M385,BN$13))))</f>
        <v>1000000000000</v>
      </c>
      <c r="BO385" s="181">
        <f ca="1">IF($D385&lt;&gt;"Serviço",0,IF(AND(AUTOEVENTO="Manual",$M385=1),0,IF(OFFSET(CRONOPLE!$F$14,$M385,BO$13)="",10^12,OFFSET(CRONOPLE!$F$14,$M385,BO$13))))</f>
        <v>1000000000000</v>
      </c>
      <c r="BP385" s="181">
        <f ca="1">IF($D385&lt;&gt;"Serviço",0,IF(AND(AUTOEVENTO="Manual",$M385=1),0,IF(OFFSET(CRONOPLE!$F$14,$M385,BP$13)="",10^12,OFFSET(CRONOPLE!$F$14,$M385,BP$13))))</f>
        <v>1000000000000</v>
      </c>
      <c r="BQ385" s="181">
        <f ca="1">IF($D385&lt;&gt;"Serviço",0,IF(AND(AUTOEVENTO="Manual",$M385=1),0,IF(OFFSET(CRONOPLE!$F$14,$M385,BQ$13)="",10^12,OFFSET(CRONOPLE!$F$14,$M385,BQ$13))))</f>
        <v>1000000000000</v>
      </c>
      <c r="BR385" s="181">
        <f ca="1">IF($D385&lt;&gt;"Serviço",0,IF(AND(AUTOEVENTO="Manual",$M385=1),0,IF(OFFSET(CRONOPLE!$F$14,$M385,BR$13)="",10^12,OFFSET(CRONOPLE!$F$14,$M385,BR$13))))</f>
        <v>1000000000000</v>
      </c>
      <c r="BS385" s="181">
        <f ca="1">IF($D385&lt;&gt;"Serviço",0,IF(AND(AUTOEVENTO="Manual",$M385=1),0,IF(OFFSET(CRONOPLE!$F$14,$M385,BS$13)="",10^12,OFFSET(CRONOPLE!$F$14,$M385,BS$13))))</f>
        <v>1000000000000</v>
      </c>
      <c r="BT385" s="181">
        <f ca="1">IF($D385&lt;&gt;"Serviço",0,IF(AND(AUTOEVENTO="Manual",$M385=1),0,IF(OFFSET(CRONOPLE!$F$14,$M385,BT$13)="",10^12,OFFSET(CRONOPLE!$F$14,$M385,BT$13))))</f>
        <v>1000000000000</v>
      </c>
      <c r="BV385" s="182">
        <f ca="1">IF($D385&lt;&gt;"Serviço",0,IF(OR(AND(AUTOEVENTO="Manual",$M385=1),$M385&gt;(ROW(PLE.lastrow)-ROW(PLE.firstrow))),0,IF(OFFSET(PLE!$G$14,$M385,BV$13)="",10^12,OFFSET(PLE!$G$14,$M385,BV$13))))</f>
        <v>1000000000000</v>
      </c>
      <c r="BW385" s="182">
        <f ca="1">IF($D385&lt;&gt;"Serviço",0,IF(OR(AND(AUTOEVENTO="Manual",$M385=1),$M385&gt;(ROW(PLE.lastrow)-ROW(PLE.firstrow))),0,IF(OFFSET(PLE!$G$14,$M385,BW$13)="",10^12,OFFSET(PLE!$G$14,$M385,BW$13))))</f>
        <v>1000000000000</v>
      </c>
      <c r="BX385" s="182">
        <f ca="1">IF($D385&lt;&gt;"Serviço",0,IF(OR(AND(AUTOEVENTO="Manual",$M385=1),$M385&gt;(ROW(PLE.lastrow)-ROW(PLE.firstrow))),0,IF(OFFSET(PLE!$G$14,$M385,BX$13)="",10^12,OFFSET(PLE!$G$14,$M385,BX$13))))</f>
        <v>1000000000000</v>
      </c>
      <c r="BY385" s="182">
        <f ca="1">IF($D385&lt;&gt;"Serviço",0,IF(OR(AND(AUTOEVENTO="Manual",$M385=1),$M385&gt;(ROW(PLE.lastrow)-ROW(PLE.firstrow))),0,IF(OFFSET(PLE!$G$14,$M385,BY$13)="",10^12,OFFSET(PLE!$G$14,$M385,BY$13))))</f>
        <v>1000000000000</v>
      </c>
      <c r="BZ385" s="182">
        <f ca="1">IF($D385&lt;&gt;"Serviço",0,IF(OR(AND(AUTOEVENTO="Manual",$M385=1),$M385&gt;(ROW(PLE.lastrow)-ROW(PLE.firstrow))),0,IF(OFFSET(PLE!$G$14,$M385,BZ$13)="",10^12,OFFSET(PLE!$G$14,$M385,BZ$13))))</f>
        <v>1000000000000</v>
      </c>
      <c r="CA385" s="182">
        <f ca="1">IF($D385&lt;&gt;"Serviço",0,IF(OR(AND(AUTOEVENTO="Manual",$M385=1),$M385&gt;(ROW(PLE.lastrow)-ROW(PLE.firstrow))),0,IF(OFFSET(PLE!$G$14,$M385,CA$13)="",10^12,OFFSET(PLE!$G$14,$M385,CA$13))))</f>
        <v>1000000000000</v>
      </c>
      <c r="CB385" s="182">
        <f ca="1">IF($D385&lt;&gt;"Serviço",0,IF(OR(AND(AUTOEVENTO="Manual",$M385=1),$M385&gt;(ROW(PLE.lastrow)-ROW(PLE.firstrow))),0,IF(OFFSET(PLE!$G$14,$M385,CB$13)="",10^12,OFFSET(PLE!$G$14,$M385,CB$13))))</f>
        <v>1000000000000</v>
      </c>
      <c r="CC385" s="182">
        <f ca="1">IF($D385&lt;&gt;"Serviço",0,IF(OR(AND(AUTOEVENTO="Manual",$M385=1),$M385&gt;(ROW(PLE.lastrow)-ROW(PLE.firstrow))),0,IF(OFFSET(PLE!$G$14,$M385,CC$13)="",10^12,OFFSET(PLE!$G$14,$M385,CC$13))))</f>
        <v>1000000000000</v>
      </c>
      <c r="CD385" s="182">
        <f ca="1">IF($D385&lt;&gt;"Serviço",0,IF(OR(AND(AUTOEVENTO="Manual",$M385=1),$M385&gt;(ROW(PLE.lastrow)-ROW(PLE.firstrow))),0,IF(OFFSET(PLE!$G$14,$M385,CD$13)="",10^12,OFFSET(PLE!$G$14,$M385,CD$13))))</f>
        <v>1000000000000</v>
      </c>
      <c r="CE385" s="182">
        <f ca="1">IF($D385&lt;&gt;"Serviço",0,IF(OR(AND(AUTOEVENTO="Manual",$M385=1),$M385&gt;(ROW(PLE.lastrow)-ROW(PLE.firstrow))),0,IF(OFFSET(PLE!$G$14,$M385,CE$13)="",10^12,OFFSET(PLE!$G$14,$M385,CE$13))))</f>
        <v>1000000000000</v>
      </c>
      <c r="CF385" s="182">
        <f ca="1">IF($D385&lt;&gt;"Serviço",0,IF(OR(AND(AUTOEVENTO="Manual",$M385=1),$M385&gt;(ROW(PLE.lastrow)-ROW(PLE.firstrow))),0,IF(OFFSET(PLE!$G$14,$M385,CF$13)="",10^12,OFFSET(PLE!$G$14,$M385,CF$13))))</f>
        <v>1000000000000</v>
      </c>
      <c r="CG385" s="182">
        <f ca="1">IF($D385&lt;&gt;"Serviço",0,IF(OR(AND(AUTOEVENTO="Manual",$M385=1),$M385&gt;(ROW(PLE.lastrow)-ROW(PLE.firstrow))),0,IF(OFFSET(PLE!$G$14,$M385,CG$13)="",10^12,OFFSET(PLE!$G$14,$M385,CG$13))))</f>
        <v>1000000000000</v>
      </c>
      <c r="CH385" s="182">
        <f ca="1">IF($D385&lt;&gt;"Serviço",0,IF(OR(AND(AUTOEVENTO="Manual",$M385=1),$M385&gt;(ROW(PLE.lastrow)-ROW(PLE.firstrow))),0,IF(OFFSET(PLE!$G$14,$M385,CH$13)="",10^12,OFFSET(PLE!$G$14,$M385,CH$13))))</f>
        <v>1000000000000</v>
      </c>
      <c r="CI385" s="182">
        <f ca="1">IF($D385&lt;&gt;"Serviço",0,IF(OR(AND(AUTOEVENTO="Manual",$M385=1),$M385&gt;(ROW(PLE.lastrow)-ROW(PLE.firstrow))),0,IF(OFFSET(PLE!$G$14,$M385,CI$13)="",10^12,OFFSET(PLE!$G$14,$M385,CI$13))))</f>
        <v>1000000000000</v>
      </c>
      <c r="CJ385" s="182">
        <f ca="1">IF($D385&lt;&gt;"Serviço",0,IF(OR(AND(AUTOEVENTO="Manual",$M385=1),$M385&gt;(ROW(PLE.lastrow)-ROW(PLE.firstrow))),0,IF(OFFSET(PLE!$G$14,$M385,CJ$13)="",10^12,OFFSET(PLE!$G$14,$M385,CJ$13))))</f>
        <v>1000000000000</v>
      </c>
      <c r="CK385" s="182">
        <f ca="1">IF($D385&lt;&gt;"Serviço",0,IF(OR(AND(AUTOEVENTO="Manual",$M385=1),$M385&gt;(ROW(PLE.lastrow)-ROW(PLE.firstrow))),0,IF(OFFSET(PLE!$G$14,$M385,CK$13)="",10^12,OFFSET(PLE!$G$14,$M385,CK$13))))</f>
        <v>1000000000000</v>
      </c>
      <c r="CL385" s="182">
        <f ca="1">IF($D385&lt;&gt;"Serviço",0,IF(OR(AND(AUTOEVENTO="Manual",$M385=1),$M385&gt;(ROW(PLE.lastrow)-ROW(PLE.firstrow))),0,IF(OFFSET(PLE!$G$14,$M385,CL$13)="",10^12,OFFSET(PLE!$G$14,$M385,CL$13))))</f>
        <v>1000000000000</v>
      </c>
      <c r="CM385" s="182">
        <f ca="1">IF($D385&lt;&gt;"Serviço",0,IF(OR(AND(AUTOEVENTO="Manual",$M385=1),$M385&gt;(ROW(PLE.lastrow)-ROW(PLE.firstrow))),0,IF(OFFSET(PLE!$G$14,$M385,CM$13)="",10^12,OFFSET(PLE!$G$14,$M385,CM$13))))</f>
        <v>1000000000000</v>
      </c>
    </row>
    <row r="386" spans="1:91" ht="25.5" x14ac:dyDescent="0.2">
      <c r="A386" s="7" t="str">
        <f t="shared" ca="1" si="13"/>
        <v>350</v>
      </c>
      <c r="B386" s="7" t="str">
        <f ca="1">OFFSET(ORÇAMENTO!C$15,ROW(B386)-ROW(B$15),0)</f>
        <v>S</v>
      </c>
      <c r="C386" s="7" t="str">
        <f ca="1">OFFSET(ORÇAMENTO!L$15,ROW(C386)-ROW(C$15),0)</f>
        <v/>
      </c>
      <c r="D386" s="118" t="str">
        <f ca="1">OFFSET(ORÇAMENTO!N$15,ROW(D386)-ROW(D$15),0)</f>
        <v>Serviço</v>
      </c>
      <c r="E386" s="119" t="str">
        <f ca="1">OFFSET(ORÇAMENTO!O$15,ROW(E386)-ROW(E$15),0)</f>
        <v>-</v>
      </c>
      <c r="F386" s="172" t="str">
        <f ca="1">OFFSET(ORÇAMENTO!R$15,ROW(F386)-ROW(F$15),0)</f>
        <v>(abra o arquivo 'Referência 06-2024.xlsm)</v>
      </c>
      <c r="G386" s="173" t="str">
        <f ca="1">IF($D386&lt;&gt;"Serviço","",OFFSET(ORÇAMENTO!S$15,ROW(G386)-ROW(G$15),0))</f>
        <v>-</v>
      </c>
      <c r="H386" s="124">
        <f ca="1">IF($D386&lt;&gt;"Serviço",0,IF(ACOMPANHAMENTO="BM",ROUND(OFFSET(ORÇAMENTO!AJ$15,ROW(H386)-ROW(H$15),0),15-13*ORÇAMENTO!$AF$7),SUMPRODUCT(($Q$12:$AI$12&lt;&gt;"")*ROUND($Q386:$AI386,15-13*ORÇAMENTO!$AF$7))))</f>
        <v>4</v>
      </c>
      <c r="I386" s="561" t="s">
        <v>1107</v>
      </c>
      <c r="K386" s="174"/>
      <c r="L386" s="175" t="s">
        <v>255</v>
      </c>
      <c r="M386" s="176">
        <f ca="1">IF($D386&lt;&gt;"Serviço","",IF(AUTOEVENTO="manual",$A386,IF(ISERROR(MATCH($A386,$A$15:OFFSET($A386,-1,0),0)),MAX($M$15:OFFSET(M386,-1,0))+1,INDEX($M$15:OFFSET(M386,-1,0),MATCH($A386,$A$15:OFFSET($A386,-1,0),0)))))</f>
        <v>44</v>
      </c>
      <c r="N386" s="177" t="str">
        <f ca="1">IF($D386&lt;&gt;"Serviço","",IF(AUTOEVENTO="Manual",IF($A386=0,"&lt;-- defina o número do agrupador",OFFSET(EVENTOS!$D$14,$A386,0)),OFFSET($F$15,$A386,0)))</f>
        <v>LOUÇAS, ACESSÓRIOS E METAIS</v>
      </c>
      <c r="O386" s="178"/>
      <c r="Q386" s="178">
        <v>4</v>
      </c>
      <c r="R386" s="179"/>
      <c r="S386" s="179"/>
      <c r="T386" s="179"/>
      <c r="U386" s="179"/>
      <c r="V386" s="179"/>
      <c r="W386" s="179"/>
      <c r="X386" s="179"/>
      <c r="Y386" s="179"/>
      <c r="Z386" s="180"/>
      <c r="AA386" s="179"/>
      <c r="AB386" s="179"/>
      <c r="AC386" s="179"/>
      <c r="AD386" s="179"/>
      <c r="AE386" s="179"/>
      <c r="AF386" s="179"/>
      <c r="AG386" s="179"/>
      <c r="AH386" s="180"/>
      <c r="AJ386" s="544">
        <f ca="1">IF(AND($D386="Serviço",AJ$12&lt;&gt;0,$H386&gt;0,OR(AUTOEVENTO&lt;&gt;"manual",$M386&lt;&gt;1)),
IF(Import.TipoArredondamento&lt;&gt;"TransfereGOV",
ROUND(OFFSET($P386,0,AJ$13),15-13*ORÇAMENTO!$AF$7)/$H386*OFFSET(ORÇAMENTO!$X$15,ROW(AJ386)-ROW(AJ$15),0),
ROUND(ROUND(OFFSET($P386,0,AJ$13),15-13*ORÇAMENTO!$AF$7)*OFFSET(ORÇAMENTO!$W$15,ROW(AJ386)-ROW(AJ$15),0),15-13*ORÇAMENTO!$AF$11)),0)</f>
        <v>0</v>
      </c>
      <c r="AK386" s="545">
        <f ca="1">IF(AND($D386="Serviço",AK$12&lt;&gt;0,$H386&gt;0,OR(AUTOEVENTO&lt;&gt;"manual",$M386&lt;&gt;1)),
IF(Import.TipoArredondamento&lt;&gt;"TransfereGOV",
ROUND(OFFSET($P386,0,AK$13),15-13*ORÇAMENTO!$AF$7)/$H386*OFFSET(ORÇAMENTO!$X$15,ROW(AK386)-ROW(AK$15),0),
ROUND(ROUND(OFFSET($P386,0,AK$13),15-13*ORÇAMENTO!$AF$7)*OFFSET(ORÇAMENTO!$W$15,ROW(AK386)-ROW(AK$15),0),15-13*ORÇAMENTO!$AF$11)),0)</f>
        <v>0</v>
      </c>
      <c r="AL386" s="545">
        <f ca="1">IF(AND($D386="Serviço",AL$12&lt;&gt;0,$H386&gt;0,OR(AUTOEVENTO&lt;&gt;"manual",$M386&lt;&gt;1)),
IF(Import.TipoArredondamento&lt;&gt;"TransfereGOV",
ROUND(OFFSET($P386,0,AL$13),15-13*ORÇAMENTO!$AF$7)/$H386*OFFSET(ORÇAMENTO!$X$15,ROW(AL386)-ROW(AL$15),0),
ROUND(ROUND(OFFSET($P386,0,AL$13),15-13*ORÇAMENTO!$AF$7)*OFFSET(ORÇAMENTO!$W$15,ROW(AL386)-ROW(AL$15),0),15-13*ORÇAMENTO!$AF$11)),0)</f>
        <v>0</v>
      </c>
      <c r="AM386" s="545">
        <f ca="1">IF(AND($D386="Serviço",AM$12&lt;&gt;0,$H386&gt;0,OR(AUTOEVENTO&lt;&gt;"manual",$M386&lt;&gt;1)),
IF(Import.TipoArredondamento&lt;&gt;"TransfereGOV",
ROUND(OFFSET($P386,0,AM$13),15-13*ORÇAMENTO!$AF$7)/$H386*OFFSET(ORÇAMENTO!$X$15,ROW(AM386)-ROW(AM$15),0),
ROUND(ROUND(OFFSET($P386,0,AM$13),15-13*ORÇAMENTO!$AF$7)*OFFSET(ORÇAMENTO!$W$15,ROW(AM386)-ROW(AM$15),0),15-13*ORÇAMENTO!$AF$11)),0)</f>
        <v>0</v>
      </c>
      <c r="AN386" s="545">
        <f ca="1">IF(AND($D386="Serviço",AN$12&lt;&gt;0,$H386&gt;0,OR(AUTOEVENTO&lt;&gt;"manual",$M386&lt;&gt;1)),
IF(Import.TipoArredondamento&lt;&gt;"TransfereGOV",
ROUND(OFFSET($P386,0,AN$13),15-13*ORÇAMENTO!$AF$7)/$H386*OFFSET(ORÇAMENTO!$X$15,ROW(AN386)-ROW(AN$15),0),
ROUND(ROUND(OFFSET($P386,0,AN$13),15-13*ORÇAMENTO!$AF$7)*OFFSET(ORÇAMENTO!$W$15,ROW(AN386)-ROW(AN$15),0),15-13*ORÇAMENTO!$AF$11)),0)</f>
        <v>0</v>
      </c>
      <c r="AO386" s="545">
        <f ca="1">IF(AND($D386="Serviço",AO$12&lt;&gt;0,$H386&gt;0,OR(AUTOEVENTO&lt;&gt;"manual",$M386&lt;&gt;1)),
IF(Import.TipoArredondamento&lt;&gt;"TransfereGOV",
ROUND(OFFSET($P386,0,AO$13),15-13*ORÇAMENTO!$AF$7)/$H386*OFFSET(ORÇAMENTO!$X$15,ROW(AO386)-ROW(AO$15),0),
ROUND(ROUND(OFFSET($P386,0,AO$13),15-13*ORÇAMENTO!$AF$7)*OFFSET(ORÇAMENTO!$W$15,ROW(AO386)-ROW(AO$15),0),15-13*ORÇAMENTO!$AF$11)),0)</f>
        <v>0</v>
      </c>
      <c r="AP386" s="545">
        <f ca="1">IF(AND($D386="Serviço",AP$12&lt;&gt;0,$H386&gt;0,OR(AUTOEVENTO&lt;&gt;"manual",$M386&lt;&gt;1)),
IF(Import.TipoArredondamento&lt;&gt;"TransfereGOV",
ROUND(OFFSET($P386,0,AP$13),15-13*ORÇAMENTO!$AF$7)/$H386*OFFSET(ORÇAMENTO!$X$15,ROW(AP386)-ROW(AP$15),0),
ROUND(ROUND(OFFSET($P386,0,AP$13),15-13*ORÇAMENTO!$AF$7)*OFFSET(ORÇAMENTO!$W$15,ROW(AP386)-ROW(AP$15),0),15-13*ORÇAMENTO!$AF$11)),0)</f>
        <v>0</v>
      </c>
      <c r="AQ386" s="545">
        <f ca="1">IF(AND($D386="Serviço",AQ$12&lt;&gt;0,$H386&gt;0,OR(AUTOEVENTO&lt;&gt;"manual",$M386&lt;&gt;1)),
IF(Import.TipoArredondamento&lt;&gt;"TransfereGOV",
ROUND(OFFSET($P386,0,AQ$13),15-13*ORÇAMENTO!$AF$7)/$H386*OFFSET(ORÇAMENTO!$X$15,ROW(AQ386)-ROW(AQ$15),0),
ROUND(ROUND(OFFSET($P386,0,AQ$13),15-13*ORÇAMENTO!$AF$7)*OFFSET(ORÇAMENTO!$W$15,ROW(AQ386)-ROW(AQ$15),0),15-13*ORÇAMENTO!$AF$11)),0)</f>
        <v>0</v>
      </c>
      <c r="AR386" s="545">
        <f ca="1">IF(AND($D386="Serviço",AR$12&lt;&gt;0,$H386&gt;0,OR(AUTOEVENTO&lt;&gt;"manual",$M386&lt;&gt;1)),
IF(Import.TipoArredondamento&lt;&gt;"TransfereGOV",
ROUND(OFFSET($P386,0,AR$13),15-13*ORÇAMENTO!$AF$7)/$H386*OFFSET(ORÇAMENTO!$X$15,ROW(AR386)-ROW(AR$15),0),
ROUND(ROUND(OFFSET($P386,0,AR$13),15-13*ORÇAMENTO!$AF$7)*OFFSET(ORÇAMENTO!$W$15,ROW(AR386)-ROW(AR$15),0),15-13*ORÇAMENTO!$AF$11)),0)</f>
        <v>0</v>
      </c>
      <c r="AS386" s="546">
        <f ca="1">IF(AND($D386="Serviço",AS$12&lt;&gt;0,$H386&gt;0,OR(AUTOEVENTO&lt;&gt;"manual",$M386&lt;&gt;1)),
IF(Import.TipoArredondamento&lt;&gt;"TransfereGOV",
ROUND(OFFSET($P386,0,AS$13),15-13*ORÇAMENTO!$AF$7)/$H386*OFFSET(ORÇAMENTO!$X$15,ROW(AS386)-ROW(AS$15),0),
ROUND(ROUND(OFFSET($P386,0,AS$13),15-13*ORÇAMENTO!$AF$7)*OFFSET(ORÇAMENTO!$W$15,ROW(AS386)-ROW(AS$15),0),15-13*ORÇAMENTO!$AF$11)),0)</f>
        <v>0</v>
      </c>
      <c r="AT386" s="545">
        <f ca="1">IF(AND($D386="Serviço",AT$12&lt;&gt;0,$H386&gt;0,OR(AUTOEVENTO&lt;&gt;"manual",$M386&lt;&gt;1)),
IF(Import.TipoArredondamento&lt;&gt;"TransfereGOV",
ROUND(OFFSET($P386,0,AT$13),15-13*ORÇAMENTO!$AF$7)/$H386*OFFSET(ORÇAMENTO!$X$15,ROW(AT386)-ROW(AT$15),0),
ROUND(ROUND(OFFSET($P386,0,AT$13),15-13*ORÇAMENTO!$AF$7)*OFFSET(ORÇAMENTO!$W$15,ROW(AT386)-ROW(AT$15),0),15-13*ORÇAMENTO!$AF$11)),0)</f>
        <v>0</v>
      </c>
      <c r="AU386" s="545">
        <f ca="1">IF(AND($D386="Serviço",AU$12&lt;&gt;0,$H386&gt;0,OR(AUTOEVENTO&lt;&gt;"manual",$M386&lt;&gt;1)),
IF(Import.TipoArredondamento&lt;&gt;"TransfereGOV",
ROUND(OFFSET($P386,0,AU$13),15-13*ORÇAMENTO!$AF$7)/$H386*OFFSET(ORÇAMENTO!$X$15,ROW(AU386)-ROW(AU$15),0),
ROUND(ROUND(OFFSET($P386,0,AU$13),15-13*ORÇAMENTO!$AF$7)*OFFSET(ORÇAMENTO!$W$15,ROW(AU386)-ROW(AU$15),0),15-13*ORÇAMENTO!$AF$11)),0)</f>
        <v>0</v>
      </c>
      <c r="AV386" s="545">
        <f ca="1">IF(AND($D386="Serviço",AV$12&lt;&gt;0,$H386&gt;0,OR(AUTOEVENTO&lt;&gt;"manual",$M386&lt;&gt;1)),
IF(Import.TipoArredondamento&lt;&gt;"TransfereGOV",
ROUND(OFFSET($P386,0,AV$13),15-13*ORÇAMENTO!$AF$7)/$H386*OFFSET(ORÇAMENTO!$X$15,ROW(AV386)-ROW(AV$15),0),
ROUND(ROUND(OFFSET($P386,0,AV$13),15-13*ORÇAMENTO!$AF$7)*OFFSET(ORÇAMENTO!$W$15,ROW(AV386)-ROW(AV$15),0),15-13*ORÇAMENTO!$AF$11)),0)</f>
        <v>0</v>
      </c>
      <c r="AW386" s="545">
        <f ca="1">IF(AND($D386="Serviço",AW$12&lt;&gt;0,$H386&gt;0,OR(AUTOEVENTO&lt;&gt;"manual",$M386&lt;&gt;1)),
IF(Import.TipoArredondamento&lt;&gt;"TransfereGOV",
ROUND(OFFSET($P386,0,AW$13),15-13*ORÇAMENTO!$AF$7)/$H386*OFFSET(ORÇAMENTO!$X$15,ROW(AW386)-ROW(AW$15),0),
ROUND(ROUND(OFFSET($P386,0,AW$13),15-13*ORÇAMENTO!$AF$7)*OFFSET(ORÇAMENTO!$W$15,ROW(AW386)-ROW(AW$15),0),15-13*ORÇAMENTO!$AF$11)),0)</f>
        <v>0</v>
      </c>
      <c r="AX386" s="545">
        <f ca="1">IF(AND($D386="Serviço",AX$12&lt;&gt;0,$H386&gt;0,OR(AUTOEVENTO&lt;&gt;"manual",$M386&lt;&gt;1)),
IF(Import.TipoArredondamento&lt;&gt;"TransfereGOV",
ROUND(OFFSET($P386,0,AX$13),15-13*ORÇAMENTO!$AF$7)/$H386*OFFSET(ORÇAMENTO!$X$15,ROW(AX386)-ROW(AX$15),0),
ROUND(ROUND(OFFSET($P386,0,AX$13),15-13*ORÇAMENTO!$AF$7)*OFFSET(ORÇAMENTO!$W$15,ROW(AX386)-ROW(AX$15),0),15-13*ORÇAMENTO!$AF$11)),0)</f>
        <v>0</v>
      </c>
      <c r="AY386" s="545">
        <f ca="1">IF(AND($D386="Serviço",AY$12&lt;&gt;0,$H386&gt;0,OR(AUTOEVENTO&lt;&gt;"manual",$M386&lt;&gt;1)),
IF(Import.TipoArredondamento&lt;&gt;"TransfereGOV",
ROUND(OFFSET($P386,0,AY$13),15-13*ORÇAMENTO!$AF$7)/$H386*OFFSET(ORÇAMENTO!$X$15,ROW(AY386)-ROW(AY$15),0),
ROUND(ROUND(OFFSET($P386,0,AY$13),15-13*ORÇAMENTO!$AF$7)*OFFSET(ORÇAMENTO!$W$15,ROW(AY386)-ROW(AY$15),0),15-13*ORÇAMENTO!$AF$11)),0)</f>
        <v>0</v>
      </c>
      <c r="AZ386" s="545">
        <f ca="1">IF(AND($D386="Serviço",AZ$12&lt;&gt;0,$H386&gt;0,OR(AUTOEVENTO&lt;&gt;"manual",$M386&lt;&gt;1)),
IF(Import.TipoArredondamento&lt;&gt;"TransfereGOV",
ROUND(OFFSET($P386,0,AZ$13),15-13*ORÇAMENTO!$AF$7)/$H386*OFFSET(ORÇAMENTO!$X$15,ROW(AZ386)-ROW(AZ$15),0),
ROUND(ROUND(OFFSET($P386,0,AZ$13),15-13*ORÇAMENTO!$AF$7)*OFFSET(ORÇAMENTO!$W$15,ROW(AZ386)-ROW(AZ$15),0),15-13*ORÇAMENTO!$AF$11)),0)</f>
        <v>0</v>
      </c>
      <c r="BA386" s="546">
        <f ca="1">IF(AND($D386="Serviço",BA$12&lt;&gt;0,$H386&gt;0,OR(AUTOEVENTO&lt;&gt;"manual",$M386&lt;&gt;1)),
IF(Import.TipoArredondamento&lt;&gt;"TransfereGOV",
ROUND(OFFSET($P386,0,BA$13),15-13*ORÇAMENTO!$AF$7)/$H386*OFFSET(ORÇAMENTO!$X$15,ROW(BA386)-ROW(BA$15),0),
ROUND(ROUND(OFFSET($P386,0,BA$13),15-13*ORÇAMENTO!$AF$7)*OFFSET(ORÇAMENTO!$W$15,ROW(BA386)-ROW(BA$15),0),15-13*ORÇAMENTO!$AF$11)),0)</f>
        <v>0</v>
      </c>
      <c r="BC386" s="181">
        <f ca="1">IF($D386&lt;&gt;"Serviço",0,IF(AND(AUTOEVENTO="Manual",$M386=1),0,IF(OFFSET(CRONOPLE!$F$14,$M386,BC$13)="",10^12,OFFSET(CRONOPLE!$F$14,$M386,BC$13))))</f>
        <v>10</v>
      </c>
      <c r="BD386" s="181">
        <f ca="1">IF($D386&lt;&gt;"Serviço",0,IF(AND(AUTOEVENTO="Manual",$M386=1),0,IF(OFFSET(CRONOPLE!$F$14,$M386,BD$13)="",10^12,OFFSET(CRONOPLE!$F$14,$M386,BD$13))))</f>
        <v>1000000000000</v>
      </c>
      <c r="BE386" s="181">
        <f ca="1">IF($D386&lt;&gt;"Serviço",0,IF(AND(AUTOEVENTO="Manual",$M386=1),0,IF(OFFSET(CRONOPLE!$F$14,$M386,BE$13)="",10^12,OFFSET(CRONOPLE!$F$14,$M386,BE$13))))</f>
        <v>1000000000000</v>
      </c>
      <c r="BF386" s="181">
        <f ca="1">IF($D386&lt;&gt;"Serviço",0,IF(AND(AUTOEVENTO="Manual",$M386=1),0,IF(OFFSET(CRONOPLE!$F$14,$M386,BF$13)="",10^12,OFFSET(CRONOPLE!$F$14,$M386,BF$13))))</f>
        <v>1000000000000</v>
      </c>
      <c r="BG386" s="181">
        <f ca="1">IF($D386&lt;&gt;"Serviço",0,IF(AND(AUTOEVENTO="Manual",$M386=1),0,IF(OFFSET(CRONOPLE!$F$14,$M386,BG$13)="",10^12,OFFSET(CRONOPLE!$F$14,$M386,BG$13))))</f>
        <v>1000000000000</v>
      </c>
      <c r="BH386" s="181">
        <f ca="1">IF($D386&lt;&gt;"Serviço",0,IF(AND(AUTOEVENTO="Manual",$M386=1),0,IF(OFFSET(CRONOPLE!$F$14,$M386,BH$13)="",10^12,OFFSET(CRONOPLE!$F$14,$M386,BH$13))))</f>
        <v>1000000000000</v>
      </c>
      <c r="BI386" s="181">
        <f ca="1">IF($D386&lt;&gt;"Serviço",0,IF(AND(AUTOEVENTO="Manual",$M386=1),0,IF(OFFSET(CRONOPLE!$F$14,$M386,BI$13)="",10^12,OFFSET(CRONOPLE!$F$14,$M386,BI$13))))</f>
        <v>1000000000000</v>
      </c>
      <c r="BJ386" s="181">
        <f ca="1">IF($D386&lt;&gt;"Serviço",0,IF(AND(AUTOEVENTO="Manual",$M386=1),0,IF(OFFSET(CRONOPLE!$F$14,$M386,BJ$13)="",10^12,OFFSET(CRONOPLE!$F$14,$M386,BJ$13))))</f>
        <v>1000000000000</v>
      </c>
      <c r="BK386" s="181">
        <f ca="1">IF($D386&lt;&gt;"Serviço",0,IF(AND(AUTOEVENTO="Manual",$M386=1),0,IF(OFFSET(CRONOPLE!$F$14,$M386,BK$13)="",10^12,OFFSET(CRONOPLE!$F$14,$M386,BK$13))))</f>
        <v>1000000000000</v>
      </c>
      <c r="BL386" s="181">
        <f ca="1">IF($D386&lt;&gt;"Serviço",0,IF(AND(AUTOEVENTO="Manual",$M386=1),0,IF(OFFSET(CRONOPLE!$F$14,$M386,BL$13)="",10^12,OFFSET(CRONOPLE!$F$14,$M386,BL$13))))</f>
        <v>1000000000000</v>
      </c>
      <c r="BM386" s="181">
        <f ca="1">IF($D386&lt;&gt;"Serviço",0,IF(AND(AUTOEVENTO="Manual",$M386=1),0,IF(OFFSET(CRONOPLE!$F$14,$M386,BM$13)="",10^12,OFFSET(CRONOPLE!$F$14,$M386,BM$13))))</f>
        <v>1000000000000</v>
      </c>
      <c r="BN386" s="181">
        <f ca="1">IF($D386&lt;&gt;"Serviço",0,IF(AND(AUTOEVENTO="Manual",$M386=1),0,IF(OFFSET(CRONOPLE!$F$14,$M386,BN$13)="",10^12,OFFSET(CRONOPLE!$F$14,$M386,BN$13))))</f>
        <v>1000000000000</v>
      </c>
      <c r="BO386" s="181">
        <f ca="1">IF($D386&lt;&gt;"Serviço",0,IF(AND(AUTOEVENTO="Manual",$M386=1),0,IF(OFFSET(CRONOPLE!$F$14,$M386,BO$13)="",10^12,OFFSET(CRONOPLE!$F$14,$M386,BO$13))))</f>
        <v>1000000000000</v>
      </c>
      <c r="BP386" s="181">
        <f ca="1">IF($D386&lt;&gt;"Serviço",0,IF(AND(AUTOEVENTO="Manual",$M386=1),0,IF(OFFSET(CRONOPLE!$F$14,$M386,BP$13)="",10^12,OFFSET(CRONOPLE!$F$14,$M386,BP$13))))</f>
        <v>1000000000000</v>
      </c>
      <c r="BQ386" s="181">
        <f ca="1">IF($D386&lt;&gt;"Serviço",0,IF(AND(AUTOEVENTO="Manual",$M386=1),0,IF(OFFSET(CRONOPLE!$F$14,$M386,BQ$13)="",10^12,OFFSET(CRONOPLE!$F$14,$M386,BQ$13))))</f>
        <v>1000000000000</v>
      </c>
      <c r="BR386" s="181">
        <f ca="1">IF($D386&lt;&gt;"Serviço",0,IF(AND(AUTOEVENTO="Manual",$M386=1),0,IF(OFFSET(CRONOPLE!$F$14,$M386,BR$13)="",10^12,OFFSET(CRONOPLE!$F$14,$M386,BR$13))))</f>
        <v>1000000000000</v>
      </c>
      <c r="BS386" s="181">
        <f ca="1">IF($D386&lt;&gt;"Serviço",0,IF(AND(AUTOEVENTO="Manual",$M386=1),0,IF(OFFSET(CRONOPLE!$F$14,$M386,BS$13)="",10^12,OFFSET(CRONOPLE!$F$14,$M386,BS$13))))</f>
        <v>1000000000000</v>
      </c>
      <c r="BT386" s="181">
        <f ca="1">IF($D386&lt;&gt;"Serviço",0,IF(AND(AUTOEVENTO="Manual",$M386=1),0,IF(OFFSET(CRONOPLE!$F$14,$M386,BT$13)="",10^12,OFFSET(CRONOPLE!$F$14,$M386,BT$13))))</f>
        <v>1000000000000</v>
      </c>
      <c r="BV386" s="182">
        <f ca="1">IF($D386&lt;&gt;"Serviço",0,IF(OR(AND(AUTOEVENTO="Manual",$M386=1),$M386&gt;(ROW(PLE.lastrow)-ROW(PLE.firstrow))),0,IF(OFFSET(PLE!$G$14,$M386,BV$13)="",10^12,OFFSET(PLE!$G$14,$M386,BV$13))))</f>
        <v>1000000000000</v>
      </c>
      <c r="BW386" s="182">
        <f ca="1">IF($D386&lt;&gt;"Serviço",0,IF(OR(AND(AUTOEVENTO="Manual",$M386=1),$M386&gt;(ROW(PLE.lastrow)-ROW(PLE.firstrow))),0,IF(OFFSET(PLE!$G$14,$M386,BW$13)="",10^12,OFFSET(PLE!$G$14,$M386,BW$13))))</f>
        <v>1000000000000</v>
      </c>
      <c r="BX386" s="182">
        <f ca="1">IF($D386&lt;&gt;"Serviço",0,IF(OR(AND(AUTOEVENTO="Manual",$M386=1),$M386&gt;(ROW(PLE.lastrow)-ROW(PLE.firstrow))),0,IF(OFFSET(PLE!$G$14,$M386,BX$13)="",10^12,OFFSET(PLE!$G$14,$M386,BX$13))))</f>
        <v>1000000000000</v>
      </c>
      <c r="BY386" s="182">
        <f ca="1">IF($D386&lt;&gt;"Serviço",0,IF(OR(AND(AUTOEVENTO="Manual",$M386=1),$M386&gt;(ROW(PLE.lastrow)-ROW(PLE.firstrow))),0,IF(OFFSET(PLE!$G$14,$M386,BY$13)="",10^12,OFFSET(PLE!$G$14,$M386,BY$13))))</f>
        <v>1000000000000</v>
      </c>
      <c r="BZ386" s="182">
        <f ca="1">IF($D386&lt;&gt;"Serviço",0,IF(OR(AND(AUTOEVENTO="Manual",$M386=1),$M386&gt;(ROW(PLE.lastrow)-ROW(PLE.firstrow))),0,IF(OFFSET(PLE!$G$14,$M386,BZ$13)="",10^12,OFFSET(PLE!$G$14,$M386,BZ$13))))</f>
        <v>1000000000000</v>
      </c>
      <c r="CA386" s="182">
        <f ca="1">IF($D386&lt;&gt;"Serviço",0,IF(OR(AND(AUTOEVENTO="Manual",$M386=1),$M386&gt;(ROW(PLE.lastrow)-ROW(PLE.firstrow))),0,IF(OFFSET(PLE!$G$14,$M386,CA$13)="",10^12,OFFSET(PLE!$G$14,$M386,CA$13))))</f>
        <v>1000000000000</v>
      </c>
      <c r="CB386" s="182">
        <f ca="1">IF($D386&lt;&gt;"Serviço",0,IF(OR(AND(AUTOEVENTO="Manual",$M386=1),$M386&gt;(ROW(PLE.lastrow)-ROW(PLE.firstrow))),0,IF(OFFSET(PLE!$G$14,$M386,CB$13)="",10^12,OFFSET(PLE!$G$14,$M386,CB$13))))</f>
        <v>1000000000000</v>
      </c>
      <c r="CC386" s="182">
        <f ca="1">IF($D386&lt;&gt;"Serviço",0,IF(OR(AND(AUTOEVENTO="Manual",$M386=1),$M386&gt;(ROW(PLE.lastrow)-ROW(PLE.firstrow))),0,IF(OFFSET(PLE!$G$14,$M386,CC$13)="",10^12,OFFSET(PLE!$G$14,$M386,CC$13))))</f>
        <v>1000000000000</v>
      </c>
      <c r="CD386" s="182">
        <f ca="1">IF($D386&lt;&gt;"Serviço",0,IF(OR(AND(AUTOEVENTO="Manual",$M386=1),$M386&gt;(ROW(PLE.lastrow)-ROW(PLE.firstrow))),0,IF(OFFSET(PLE!$G$14,$M386,CD$13)="",10^12,OFFSET(PLE!$G$14,$M386,CD$13))))</f>
        <v>1000000000000</v>
      </c>
      <c r="CE386" s="182">
        <f ca="1">IF($D386&lt;&gt;"Serviço",0,IF(OR(AND(AUTOEVENTO="Manual",$M386=1),$M386&gt;(ROW(PLE.lastrow)-ROW(PLE.firstrow))),0,IF(OFFSET(PLE!$G$14,$M386,CE$13)="",10^12,OFFSET(PLE!$G$14,$M386,CE$13))))</f>
        <v>1000000000000</v>
      </c>
      <c r="CF386" s="182">
        <f ca="1">IF($D386&lt;&gt;"Serviço",0,IF(OR(AND(AUTOEVENTO="Manual",$M386=1),$M386&gt;(ROW(PLE.lastrow)-ROW(PLE.firstrow))),0,IF(OFFSET(PLE!$G$14,$M386,CF$13)="",10^12,OFFSET(PLE!$G$14,$M386,CF$13))))</f>
        <v>1000000000000</v>
      </c>
      <c r="CG386" s="182">
        <f ca="1">IF($D386&lt;&gt;"Serviço",0,IF(OR(AND(AUTOEVENTO="Manual",$M386=1),$M386&gt;(ROW(PLE.lastrow)-ROW(PLE.firstrow))),0,IF(OFFSET(PLE!$G$14,$M386,CG$13)="",10^12,OFFSET(PLE!$G$14,$M386,CG$13))))</f>
        <v>1000000000000</v>
      </c>
      <c r="CH386" s="182">
        <f ca="1">IF($D386&lt;&gt;"Serviço",0,IF(OR(AND(AUTOEVENTO="Manual",$M386=1),$M386&gt;(ROW(PLE.lastrow)-ROW(PLE.firstrow))),0,IF(OFFSET(PLE!$G$14,$M386,CH$13)="",10^12,OFFSET(PLE!$G$14,$M386,CH$13))))</f>
        <v>1000000000000</v>
      </c>
      <c r="CI386" s="182">
        <f ca="1">IF($D386&lt;&gt;"Serviço",0,IF(OR(AND(AUTOEVENTO="Manual",$M386=1),$M386&gt;(ROW(PLE.lastrow)-ROW(PLE.firstrow))),0,IF(OFFSET(PLE!$G$14,$M386,CI$13)="",10^12,OFFSET(PLE!$G$14,$M386,CI$13))))</f>
        <v>1000000000000</v>
      </c>
      <c r="CJ386" s="182">
        <f ca="1">IF($D386&lt;&gt;"Serviço",0,IF(OR(AND(AUTOEVENTO="Manual",$M386=1),$M386&gt;(ROW(PLE.lastrow)-ROW(PLE.firstrow))),0,IF(OFFSET(PLE!$G$14,$M386,CJ$13)="",10^12,OFFSET(PLE!$G$14,$M386,CJ$13))))</f>
        <v>1000000000000</v>
      </c>
      <c r="CK386" s="182">
        <f ca="1">IF($D386&lt;&gt;"Serviço",0,IF(OR(AND(AUTOEVENTO="Manual",$M386=1),$M386&gt;(ROW(PLE.lastrow)-ROW(PLE.firstrow))),0,IF(OFFSET(PLE!$G$14,$M386,CK$13)="",10^12,OFFSET(PLE!$G$14,$M386,CK$13))))</f>
        <v>1000000000000</v>
      </c>
      <c r="CL386" s="182">
        <f ca="1">IF($D386&lt;&gt;"Serviço",0,IF(OR(AND(AUTOEVENTO="Manual",$M386=1),$M386&gt;(ROW(PLE.lastrow)-ROW(PLE.firstrow))),0,IF(OFFSET(PLE!$G$14,$M386,CL$13)="",10^12,OFFSET(PLE!$G$14,$M386,CL$13))))</f>
        <v>1000000000000</v>
      </c>
      <c r="CM386" s="182">
        <f ca="1">IF($D386&lt;&gt;"Serviço",0,IF(OR(AND(AUTOEVENTO="Manual",$M386=1),$M386&gt;(ROW(PLE.lastrow)-ROW(PLE.firstrow))),0,IF(OFFSET(PLE!$G$14,$M386,CM$13)="",10^12,OFFSET(PLE!$G$14,$M386,CM$13))))</f>
        <v>1000000000000</v>
      </c>
    </row>
    <row r="387" spans="1:91" ht="25.5" x14ac:dyDescent="0.2">
      <c r="A387" s="7" t="str">
        <f t="shared" ca="1" si="13"/>
        <v>350</v>
      </c>
      <c r="B387" s="7" t="str">
        <f ca="1">OFFSET(ORÇAMENTO!C$15,ROW(B387)-ROW(B$15),0)</f>
        <v>S</v>
      </c>
      <c r="C387" s="7" t="str">
        <f ca="1">OFFSET(ORÇAMENTO!L$15,ROW(C387)-ROW(C$15),0)</f>
        <v/>
      </c>
      <c r="D387" s="118" t="str">
        <f ca="1">OFFSET(ORÇAMENTO!N$15,ROW(D387)-ROW(D$15),0)</f>
        <v>Serviço</v>
      </c>
      <c r="E387" s="119" t="str">
        <f ca="1">OFFSET(ORÇAMENTO!O$15,ROW(E387)-ROW(E$15),0)</f>
        <v>-</v>
      </c>
      <c r="F387" s="172" t="str">
        <f ca="1">OFFSET(ORÇAMENTO!R$15,ROW(F387)-ROW(F$15),0)</f>
        <v>(abra o arquivo 'Referência 06-2024.xlsm)</v>
      </c>
      <c r="G387" s="173" t="str">
        <f ca="1">IF($D387&lt;&gt;"Serviço","",OFFSET(ORÇAMENTO!S$15,ROW(G387)-ROW(G$15),0))</f>
        <v>-</v>
      </c>
      <c r="H387" s="124">
        <f ca="1">IF($D387&lt;&gt;"Serviço",0,IF(ACOMPANHAMENTO="BM",ROUND(OFFSET(ORÇAMENTO!AJ$15,ROW(H387)-ROW(H$15),0),15-13*ORÇAMENTO!$AF$7),SUMPRODUCT(($Q$12:$AI$12&lt;&gt;"")*ROUND($Q387:$AI387,15-13*ORÇAMENTO!$AF$7))))</f>
        <v>45</v>
      </c>
      <c r="I387" s="561" t="s">
        <v>1107</v>
      </c>
      <c r="K387" s="174"/>
      <c r="L387" s="175" t="s">
        <v>255</v>
      </c>
      <c r="M387" s="176">
        <f ca="1">IF($D387&lt;&gt;"Serviço","",IF(AUTOEVENTO="manual",$A387,IF(ISERROR(MATCH($A387,$A$15:OFFSET($A387,-1,0),0)),MAX($M$15:OFFSET(M387,-1,0))+1,INDEX($M$15:OFFSET(M387,-1,0),MATCH($A387,$A$15:OFFSET($A387,-1,0),0)))))</f>
        <v>44</v>
      </c>
      <c r="N387" s="177" t="str">
        <f ca="1">IF($D387&lt;&gt;"Serviço","",IF(AUTOEVENTO="Manual",IF($A387=0,"&lt;-- defina o número do agrupador",OFFSET(EVENTOS!$D$14,$A387,0)),OFFSET($F$15,$A387,0)))</f>
        <v>LOUÇAS, ACESSÓRIOS E METAIS</v>
      </c>
      <c r="O387" s="178"/>
      <c r="Q387" s="178">
        <v>45</v>
      </c>
      <c r="R387" s="179"/>
      <c r="S387" s="179"/>
      <c r="T387" s="179"/>
      <c r="U387" s="179"/>
      <c r="V387" s="179"/>
      <c r="W387" s="179"/>
      <c r="X387" s="179"/>
      <c r="Y387" s="179"/>
      <c r="Z387" s="180"/>
      <c r="AA387" s="179"/>
      <c r="AB387" s="179"/>
      <c r="AC387" s="179"/>
      <c r="AD387" s="179"/>
      <c r="AE387" s="179"/>
      <c r="AF387" s="179"/>
      <c r="AG387" s="179"/>
      <c r="AH387" s="180"/>
      <c r="AJ387" s="544">
        <f ca="1">IF(AND($D387="Serviço",AJ$12&lt;&gt;0,$H387&gt;0,OR(AUTOEVENTO&lt;&gt;"manual",$M387&lt;&gt;1)),
IF(Import.TipoArredondamento&lt;&gt;"TransfereGOV",
ROUND(OFFSET($P387,0,AJ$13),15-13*ORÇAMENTO!$AF$7)/$H387*OFFSET(ORÇAMENTO!$X$15,ROW(AJ387)-ROW(AJ$15),0),
ROUND(ROUND(OFFSET($P387,0,AJ$13),15-13*ORÇAMENTO!$AF$7)*OFFSET(ORÇAMENTO!$W$15,ROW(AJ387)-ROW(AJ$15),0),15-13*ORÇAMENTO!$AF$11)),0)</f>
        <v>0</v>
      </c>
      <c r="AK387" s="545">
        <f ca="1">IF(AND($D387="Serviço",AK$12&lt;&gt;0,$H387&gt;0,OR(AUTOEVENTO&lt;&gt;"manual",$M387&lt;&gt;1)),
IF(Import.TipoArredondamento&lt;&gt;"TransfereGOV",
ROUND(OFFSET($P387,0,AK$13),15-13*ORÇAMENTO!$AF$7)/$H387*OFFSET(ORÇAMENTO!$X$15,ROW(AK387)-ROW(AK$15),0),
ROUND(ROUND(OFFSET($P387,0,AK$13),15-13*ORÇAMENTO!$AF$7)*OFFSET(ORÇAMENTO!$W$15,ROW(AK387)-ROW(AK$15),0),15-13*ORÇAMENTO!$AF$11)),0)</f>
        <v>0</v>
      </c>
      <c r="AL387" s="545">
        <f ca="1">IF(AND($D387="Serviço",AL$12&lt;&gt;0,$H387&gt;0,OR(AUTOEVENTO&lt;&gt;"manual",$M387&lt;&gt;1)),
IF(Import.TipoArredondamento&lt;&gt;"TransfereGOV",
ROUND(OFFSET($P387,0,AL$13),15-13*ORÇAMENTO!$AF$7)/$H387*OFFSET(ORÇAMENTO!$X$15,ROW(AL387)-ROW(AL$15),0),
ROUND(ROUND(OFFSET($P387,0,AL$13),15-13*ORÇAMENTO!$AF$7)*OFFSET(ORÇAMENTO!$W$15,ROW(AL387)-ROW(AL$15),0),15-13*ORÇAMENTO!$AF$11)),0)</f>
        <v>0</v>
      </c>
      <c r="AM387" s="545">
        <f ca="1">IF(AND($D387="Serviço",AM$12&lt;&gt;0,$H387&gt;0,OR(AUTOEVENTO&lt;&gt;"manual",$M387&lt;&gt;1)),
IF(Import.TipoArredondamento&lt;&gt;"TransfereGOV",
ROUND(OFFSET($P387,0,AM$13),15-13*ORÇAMENTO!$AF$7)/$H387*OFFSET(ORÇAMENTO!$X$15,ROW(AM387)-ROW(AM$15),0),
ROUND(ROUND(OFFSET($P387,0,AM$13),15-13*ORÇAMENTO!$AF$7)*OFFSET(ORÇAMENTO!$W$15,ROW(AM387)-ROW(AM$15),0),15-13*ORÇAMENTO!$AF$11)),0)</f>
        <v>0</v>
      </c>
      <c r="AN387" s="545">
        <f ca="1">IF(AND($D387="Serviço",AN$12&lt;&gt;0,$H387&gt;0,OR(AUTOEVENTO&lt;&gt;"manual",$M387&lt;&gt;1)),
IF(Import.TipoArredondamento&lt;&gt;"TransfereGOV",
ROUND(OFFSET($P387,0,AN$13),15-13*ORÇAMENTO!$AF$7)/$H387*OFFSET(ORÇAMENTO!$X$15,ROW(AN387)-ROW(AN$15),0),
ROUND(ROUND(OFFSET($P387,0,AN$13),15-13*ORÇAMENTO!$AF$7)*OFFSET(ORÇAMENTO!$W$15,ROW(AN387)-ROW(AN$15),0),15-13*ORÇAMENTO!$AF$11)),0)</f>
        <v>0</v>
      </c>
      <c r="AO387" s="545">
        <f ca="1">IF(AND($D387="Serviço",AO$12&lt;&gt;0,$H387&gt;0,OR(AUTOEVENTO&lt;&gt;"manual",$M387&lt;&gt;1)),
IF(Import.TipoArredondamento&lt;&gt;"TransfereGOV",
ROUND(OFFSET($P387,0,AO$13),15-13*ORÇAMENTO!$AF$7)/$H387*OFFSET(ORÇAMENTO!$X$15,ROW(AO387)-ROW(AO$15),0),
ROUND(ROUND(OFFSET($P387,0,AO$13),15-13*ORÇAMENTO!$AF$7)*OFFSET(ORÇAMENTO!$W$15,ROW(AO387)-ROW(AO$15),0),15-13*ORÇAMENTO!$AF$11)),0)</f>
        <v>0</v>
      </c>
      <c r="AP387" s="545">
        <f ca="1">IF(AND($D387="Serviço",AP$12&lt;&gt;0,$H387&gt;0,OR(AUTOEVENTO&lt;&gt;"manual",$M387&lt;&gt;1)),
IF(Import.TipoArredondamento&lt;&gt;"TransfereGOV",
ROUND(OFFSET($P387,0,AP$13),15-13*ORÇAMENTO!$AF$7)/$H387*OFFSET(ORÇAMENTO!$X$15,ROW(AP387)-ROW(AP$15),0),
ROUND(ROUND(OFFSET($P387,0,AP$13),15-13*ORÇAMENTO!$AF$7)*OFFSET(ORÇAMENTO!$W$15,ROW(AP387)-ROW(AP$15),0),15-13*ORÇAMENTO!$AF$11)),0)</f>
        <v>0</v>
      </c>
      <c r="AQ387" s="545">
        <f ca="1">IF(AND($D387="Serviço",AQ$12&lt;&gt;0,$H387&gt;0,OR(AUTOEVENTO&lt;&gt;"manual",$M387&lt;&gt;1)),
IF(Import.TipoArredondamento&lt;&gt;"TransfereGOV",
ROUND(OFFSET($P387,0,AQ$13),15-13*ORÇAMENTO!$AF$7)/$H387*OFFSET(ORÇAMENTO!$X$15,ROW(AQ387)-ROW(AQ$15),0),
ROUND(ROUND(OFFSET($P387,0,AQ$13),15-13*ORÇAMENTO!$AF$7)*OFFSET(ORÇAMENTO!$W$15,ROW(AQ387)-ROW(AQ$15),0),15-13*ORÇAMENTO!$AF$11)),0)</f>
        <v>0</v>
      </c>
      <c r="AR387" s="545">
        <f ca="1">IF(AND($D387="Serviço",AR$12&lt;&gt;0,$H387&gt;0,OR(AUTOEVENTO&lt;&gt;"manual",$M387&lt;&gt;1)),
IF(Import.TipoArredondamento&lt;&gt;"TransfereGOV",
ROUND(OFFSET($P387,0,AR$13),15-13*ORÇAMENTO!$AF$7)/$H387*OFFSET(ORÇAMENTO!$X$15,ROW(AR387)-ROW(AR$15),0),
ROUND(ROUND(OFFSET($P387,0,AR$13),15-13*ORÇAMENTO!$AF$7)*OFFSET(ORÇAMENTO!$W$15,ROW(AR387)-ROW(AR$15),0),15-13*ORÇAMENTO!$AF$11)),0)</f>
        <v>0</v>
      </c>
      <c r="AS387" s="546">
        <f ca="1">IF(AND($D387="Serviço",AS$12&lt;&gt;0,$H387&gt;0,OR(AUTOEVENTO&lt;&gt;"manual",$M387&lt;&gt;1)),
IF(Import.TipoArredondamento&lt;&gt;"TransfereGOV",
ROUND(OFFSET($P387,0,AS$13),15-13*ORÇAMENTO!$AF$7)/$H387*OFFSET(ORÇAMENTO!$X$15,ROW(AS387)-ROW(AS$15),0),
ROUND(ROUND(OFFSET($P387,0,AS$13),15-13*ORÇAMENTO!$AF$7)*OFFSET(ORÇAMENTO!$W$15,ROW(AS387)-ROW(AS$15),0),15-13*ORÇAMENTO!$AF$11)),0)</f>
        <v>0</v>
      </c>
      <c r="AT387" s="545">
        <f ca="1">IF(AND($D387="Serviço",AT$12&lt;&gt;0,$H387&gt;0,OR(AUTOEVENTO&lt;&gt;"manual",$M387&lt;&gt;1)),
IF(Import.TipoArredondamento&lt;&gt;"TransfereGOV",
ROUND(OFFSET($P387,0,AT$13),15-13*ORÇAMENTO!$AF$7)/$H387*OFFSET(ORÇAMENTO!$X$15,ROW(AT387)-ROW(AT$15),0),
ROUND(ROUND(OFFSET($P387,0,AT$13),15-13*ORÇAMENTO!$AF$7)*OFFSET(ORÇAMENTO!$W$15,ROW(AT387)-ROW(AT$15),0),15-13*ORÇAMENTO!$AF$11)),0)</f>
        <v>0</v>
      </c>
      <c r="AU387" s="545">
        <f ca="1">IF(AND($D387="Serviço",AU$12&lt;&gt;0,$H387&gt;0,OR(AUTOEVENTO&lt;&gt;"manual",$M387&lt;&gt;1)),
IF(Import.TipoArredondamento&lt;&gt;"TransfereGOV",
ROUND(OFFSET($P387,0,AU$13),15-13*ORÇAMENTO!$AF$7)/$H387*OFFSET(ORÇAMENTO!$X$15,ROW(AU387)-ROW(AU$15),0),
ROUND(ROUND(OFFSET($P387,0,AU$13),15-13*ORÇAMENTO!$AF$7)*OFFSET(ORÇAMENTO!$W$15,ROW(AU387)-ROW(AU$15),0),15-13*ORÇAMENTO!$AF$11)),0)</f>
        <v>0</v>
      </c>
      <c r="AV387" s="545">
        <f ca="1">IF(AND($D387="Serviço",AV$12&lt;&gt;0,$H387&gt;0,OR(AUTOEVENTO&lt;&gt;"manual",$M387&lt;&gt;1)),
IF(Import.TipoArredondamento&lt;&gt;"TransfereGOV",
ROUND(OFFSET($P387,0,AV$13),15-13*ORÇAMENTO!$AF$7)/$H387*OFFSET(ORÇAMENTO!$X$15,ROW(AV387)-ROW(AV$15),0),
ROUND(ROUND(OFFSET($P387,0,AV$13),15-13*ORÇAMENTO!$AF$7)*OFFSET(ORÇAMENTO!$W$15,ROW(AV387)-ROW(AV$15),0),15-13*ORÇAMENTO!$AF$11)),0)</f>
        <v>0</v>
      </c>
      <c r="AW387" s="545">
        <f ca="1">IF(AND($D387="Serviço",AW$12&lt;&gt;0,$H387&gt;0,OR(AUTOEVENTO&lt;&gt;"manual",$M387&lt;&gt;1)),
IF(Import.TipoArredondamento&lt;&gt;"TransfereGOV",
ROUND(OFFSET($P387,0,AW$13),15-13*ORÇAMENTO!$AF$7)/$H387*OFFSET(ORÇAMENTO!$X$15,ROW(AW387)-ROW(AW$15),0),
ROUND(ROUND(OFFSET($P387,0,AW$13),15-13*ORÇAMENTO!$AF$7)*OFFSET(ORÇAMENTO!$W$15,ROW(AW387)-ROW(AW$15),0),15-13*ORÇAMENTO!$AF$11)),0)</f>
        <v>0</v>
      </c>
      <c r="AX387" s="545">
        <f ca="1">IF(AND($D387="Serviço",AX$12&lt;&gt;0,$H387&gt;0,OR(AUTOEVENTO&lt;&gt;"manual",$M387&lt;&gt;1)),
IF(Import.TipoArredondamento&lt;&gt;"TransfereGOV",
ROUND(OFFSET($P387,0,AX$13),15-13*ORÇAMENTO!$AF$7)/$H387*OFFSET(ORÇAMENTO!$X$15,ROW(AX387)-ROW(AX$15),0),
ROUND(ROUND(OFFSET($P387,0,AX$13),15-13*ORÇAMENTO!$AF$7)*OFFSET(ORÇAMENTO!$W$15,ROW(AX387)-ROW(AX$15),0),15-13*ORÇAMENTO!$AF$11)),0)</f>
        <v>0</v>
      </c>
      <c r="AY387" s="545">
        <f ca="1">IF(AND($D387="Serviço",AY$12&lt;&gt;0,$H387&gt;0,OR(AUTOEVENTO&lt;&gt;"manual",$M387&lt;&gt;1)),
IF(Import.TipoArredondamento&lt;&gt;"TransfereGOV",
ROUND(OFFSET($P387,0,AY$13),15-13*ORÇAMENTO!$AF$7)/$H387*OFFSET(ORÇAMENTO!$X$15,ROW(AY387)-ROW(AY$15),0),
ROUND(ROUND(OFFSET($P387,0,AY$13),15-13*ORÇAMENTO!$AF$7)*OFFSET(ORÇAMENTO!$W$15,ROW(AY387)-ROW(AY$15),0),15-13*ORÇAMENTO!$AF$11)),0)</f>
        <v>0</v>
      </c>
      <c r="AZ387" s="545">
        <f ca="1">IF(AND($D387="Serviço",AZ$12&lt;&gt;0,$H387&gt;0,OR(AUTOEVENTO&lt;&gt;"manual",$M387&lt;&gt;1)),
IF(Import.TipoArredondamento&lt;&gt;"TransfereGOV",
ROUND(OFFSET($P387,0,AZ$13),15-13*ORÇAMENTO!$AF$7)/$H387*OFFSET(ORÇAMENTO!$X$15,ROW(AZ387)-ROW(AZ$15),0),
ROUND(ROUND(OFFSET($P387,0,AZ$13),15-13*ORÇAMENTO!$AF$7)*OFFSET(ORÇAMENTO!$W$15,ROW(AZ387)-ROW(AZ$15),0),15-13*ORÇAMENTO!$AF$11)),0)</f>
        <v>0</v>
      </c>
      <c r="BA387" s="546">
        <f ca="1">IF(AND($D387="Serviço",BA$12&lt;&gt;0,$H387&gt;0,OR(AUTOEVENTO&lt;&gt;"manual",$M387&lt;&gt;1)),
IF(Import.TipoArredondamento&lt;&gt;"TransfereGOV",
ROUND(OFFSET($P387,0,BA$13),15-13*ORÇAMENTO!$AF$7)/$H387*OFFSET(ORÇAMENTO!$X$15,ROW(BA387)-ROW(BA$15),0),
ROUND(ROUND(OFFSET($P387,0,BA$13),15-13*ORÇAMENTO!$AF$7)*OFFSET(ORÇAMENTO!$W$15,ROW(BA387)-ROW(BA$15),0),15-13*ORÇAMENTO!$AF$11)),0)</f>
        <v>0</v>
      </c>
      <c r="BC387" s="181">
        <f ca="1">IF($D387&lt;&gt;"Serviço",0,IF(AND(AUTOEVENTO="Manual",$M387=1),0,IF(OFFSET(CRONOPLE!$F$14,$M387,BC$13)="",10^12,OFFSET(CRONOPLE!$F$14,$M387,BC$13))))</f>
        <v>10</v>
      </c>
      <c r="BD387" s="181">
        <f ca="1">IF($D387&lt;&gt;"Serviço",0,IF(AND(AUTOEVENTO="Manual",$M387=1),0,IF(OFFSET(CRONOPLE!$F$14,$M387,BD$13)="",10^12,OFFSET(CRONOPLE!$F$14,$M387,BD$13))))</f>
        <v>1000000000000</v>
      </c>
      <c r="BE387" s="181">
        <f ca="1">IF($D387&lt;&gt;"Serviço",0,IF(AND(AUTOEVENTO="Manual",$M387=1),0,IF(OFFSET(CRONOPLE!$F$14,$M387,BE$13)="",10^12,OFFSET(CRONOPLE!$F$14,$M387,BE$13))))</f>
        <v>1000000000000</v>
      </c>
      <c r="BF387" s="181">
        <f ca="1">IF($D387&lt;&gt;"Serviço",0,IF(AND(AUTOEVENTO="Manual",$M387=1),0,IF(OFFSET(CRONOPLE!$F$14,$M387,BF$13)="",10^12,OFFSET(CRONOPLE!$F$14,$M387,BF$13))))</f>
        <v>1000000000000</v>
      </c>
      <c r="BG387" s="181">
        <f ca="1">IF($D387&lt;&gt;"Serviço",0,IF(AND(AUTOEVENTO="Manual",$M387=1),0,IF(OFFSET(CRONOPLE!$F$14,$M387,BG$13)="",10^12,OFFSET(CRONOPLE!$F$14,$M387,BG$13))))</f>
        <v>1000000000000</v>
      </c>
      <c r="BH387" s="181">
        <f ca="1">IF($D387&lt;&gt;"Serviço",0,IF(AND(AUTOEVENTO="Manual",$M387=1),0,IF(OFFSET(CRONOPLE!$F$14,$M387,BH$13)="",10^12,OFFSET(CRONOPLE!$F$14,$M387,BH$13))))</f>
        <v>1000000000000</v>
      </c>
      <c r="BI387" s="181">
        <f ca="1">IF($D387&lt;&gt;"Serviço",0,IF(AND(AUTOEVENTO="Manual",$M387=1),0,IF(OFFSET(CRONOPLE!$F$14,$M387,BI$13)="",10^12,OFFSET(CRONOPLE!$F$14,$M387,BI$13))))</f>
        <v>1000000000000</v>
      </c>
      <c r="BJ387" s="181">
        <f ca="1">IF($D387&lt;&gt;"Serviço",0,IF(AND(AUTOEVENTO="Manual",$M387=1),0,IF(OFFSET(CRONOPLE!$F$14,$M387,BJ$13)="",10^12,OFFSET(CRONOPLE!$F$14,$M387,BJ$13))))</f>
        <v>1000000000000</v>
      </c>
      <c r="BK387" s="181">
        <f ca="1">IF($D387&lt;&gt;"Serviço",0,IF(AND(AUTOEVENTO="Manual",$M387=1),0,IF(OFFSET(CRONOPLE!$F$14,$M387,BK$13)="",10^12,OFFSET(CRONOPLE!$F$14,$M387,BK$13))))</f>
        <v>1000000000000</v>
      </c>
      <c r="BL387" s="181">
        <f ca="1">IF($D387&lt;&gt;"Serviço",0,IF(AND(AUTOEVENTO="Manual",$M387=1),0,IF(OFFSET(CRONOPLE!$F$14,$M387,BL$13)="",10^12,OFFSET(CRONOPLE!$F$14,$M387,BL$13))))</f>
        <v>1000000000000</v>
      </c>
      <c r="BM387" s="181">
        <f ca="1">IF($D387&lt;&gt;"Serviço",0,IF(AND(AUTOEVENTO="Manual",$M387=1),0,IF(OFFSET(CRONOPLE!$F$14,$M387,BM$13)="",10^12,OFFSET(CRONOPLE!$F$14,$M387,BM$13))))</f>
        <v>1000000000000</v>
      </c>
      <c r="BN387" s="181">
        <f ca="1">IF($D387&lt;&gt;"Serviço",0,IF(AND(AUTOEVENTO="Manual",$M387=1),0,IF(OFFSET(CRONOPLE!$F$14,$M387,BN$13)="",10^12,OFFSET(CRONOPLE!$F$14,$M387,BN$13))))</f>
        <v>1000000000000</v>
      </c>
      <c r="BO387" s="181">
        <f ca="1">IF($D387&lt;&gt;"Serviço",0,IF(AND(AUTOEVENTO="Manual",$M387=1),0,IF(OFFSET(CRONOPLE!$F$14,$M387,BO$13)="",10^12,OFFSET(CRONOPLE!$F$14,$M387,BO$13))))</f>
        <v>1000000000000</v>
      </c>
      <c r="BP387" s="181">
        <f ca="1">IF($D387&lt;&gt;"Serviço",0,IF(AND(AUTOEVENTO="Manual",$M387=1),0,IF(OFFSET(CRONOPLE!$F$14,$M387,BP$13)="",10^12,OFFSET(CRONOPLE!$F$14,$M387,BP$13))))</f>
        <v>1000000000000</v>
      </c>
      <c r="BQ387" s="181">
        <f ca="1">IF($D387&lt;&gt;"Serviço",0,IF(AND(AUTOEVENTO="Manual",$M387=1),0,IF(OFFSET(CRONOPLE!$F$14,$M387,BQ$13)="",10^12,OFFSET(CRONOPLE!$F$14,$M387,BQ$13))))</f>
        <v>1000000000000</v>
      </c>
      <c r="BR387" s="181">
        <f ca="1">IF($D387&lt;&gt;"Serviço",0,IF(AND(AUTOEVENTO="Manual",$M387=1),0,IF(OFFSET(CRONOPLE!$F$14,$M387,BR$13)="",10^12,OFFSET(CRONOPLE!$F$14,$M387,BR$13))))</f>
        <v>1000000000000</v>
      </c>
      <c r="BS387" s="181">
        <f ca="1">IF($D387&lt;&gt;"Serviço",0,IF(AND(AUTOEVENTO="Manual",$M387=1),0,IF(OFFSET(CRONOPLE!$F$14,$M387,BS$13)="",10^12,OFFSET(CRONOPLE!$F$14,$M387,BS$13))))</f>
        <v>1000000000000</v>
      </c>
      <c r="BT387" s="181">
        <f ca="1">IF($D387&lt;&gt;"Serviço",0,IF(AND(AUTOEVENTO="Manual",$M387=1),0,IF(OFFSET(CRONOPLE!$F$14,$M387,BT$13)="",10^12,OFFSET(CRONOPLE!$F$14,$M387,BT$13))))</f>
        <v>1000000000000</v>
      </c>
      <c r="BV387" s="182">
        <f ca="1">IF($D387&lt;&gt;"Serviço",0,IF(OR(AND(AUTOEVENTO="Manual",$M387=1),$M387&gt;(ROW(PLE.lastrow)-ROW(PLE.firstrow))),0,IF(OFFSET(PLE!$G$14,$M387,BV$13)="",10^12,OFFSET(PLE!$G$14,$M387,BV$13))))</f>
        <v>1000000000000</v>
      </c>
      <c r="BW387" s="182">
        <f ca="1">IF($D387&lt;&gt;"Serviço",0,IF(OR(AND(AUTOEVENTO="Manual",$M387=1),$M387&gt;(ROW(PLE.lastrow)-ROW(PLE.firstrow))),0,IF(OFFSET(PLE!$G$14,$M387,BW$13)="",10^12,OFFSET(PLE!$G$14,$M387,BW$13))))</f>
        <v>1000000000000</v>
      </c>
      <c r="BX387" s="182">
        <f ca="1">IF($D387&lt;&gt;"Serviço",0,IF(OR(AND(AUTOEVENTO="Manual",$M387=1),$M387&gt;(ROW(PLE.lastrow)-ROW(PLE.firstrow))),0,IF(OFFSET(PLE!$G$14,$M387,BX$13)="",10^12,OFFSET(PLE!$G$14,$M387,BX$13))))</f>
        <v>1000000000000</v>
      </c>
      <c r="BY387" s="182">
        <f ca="1">IF($D387&lt;&gt;"Serviço",0,IF(OR(AND(AUTOEVENTO="Manual",$M387=1),$M387&gt;(ROW(PLE.lastrow)-ROW(PLE.firstrow))),0,IF(OFFSET(PLE!$G$14,$M387,BY$13)="",10^12,OFFSET(PLE!$G$14,$M387,BY$13))))</f>
        <v>1000000000000</v>
      </c>
      <c r="BZ387" s="182">
        <f ca="1">IF($D387&lt;&gt;"Serviço",0,IF(OR(AND(AUTOEVENTO="Manual",$M387=1),$M387&gt;(ROW(PLE.lastrow)-ROW(PLE.firstrow))),0,IF(OFFSET(PLE!$G$14,$M387,BZ$13)="",10^12,OFFSET(PLE!$G$14,$M387,BZ$13))))</f>
        <v>1000000000000</v>
      </c>
      <c r="CA387" s="182">
        <f ca="1">IF($D387&lt;&gt;"Serviço",0,IF(OR(AND(AUTOEVENTO="Manual",$M387=1),$M387&gt;(ROW(PLE.lastrow)-ROW(PLE.firstrow))),0,IF(OFFSET(PLE!$G$14,$M387,CA$13)="",10^12,OFFSET(PLE!$G$14,$M387,CA$13))))</f>
        <v>1000000000000</v>
      </c>
      <c r="CB387" s="182">
        <f ca="1">IF($D387&lt;&gt;"Serviço",0,IF(OR(AND(AUTOEVENTO="Manual",$M387=1),$M387&gt;(ROW(PLE.lastrow)-ROW(PLE.firstrow))),0,IF(OFFSET(PLE!$G$14,$M387,CB$13)="",10^12,OFFSET(PLE!$G$14,$M387,CB$13))))</f>
        <v>1000000000000</v>
      </c>
      <c r="CC387" s="182">
        <f ca="1">IF($D387&lt;&gt;"Serviço",0,IF(OR(AND(AUTOEVENTO="Manual",$M387=1),$M387&gt;(ROW(PLE.lastrow)-ROW(PLE.firstrow))),0,IF(OFFSET(PLE!$G$14,$M387,CC$13)="",10^12,OFFSET(PLE!$G$14,$M387,CC$13))))</f>
        <v>1000000000000</v>
      </c>
      <c r="CD387" s="182">
        <f ca="1">IF($D387&lt;&gt;"Serviço",0,IF(OR(AND(AUTOEVENTO="Manual",$M387=1),$M387&gt;(ROW(PLE.lastrow)-ROW(PLE.firstrow))),0,IF(OFFSET(PLE!$G$14,$M387,CD$13)="",10^12,OFFSET(PLE!$G$14,$M387,CD$13))))</f>
        <v>1000000000000</v>
      </c>
      <c r="CE387" s="182">
        <f ca="1">IF($D387&lt;&gt;"Serviço",0,IF(OR(AND(AUTOEVENTO="Manual",$M387=1),$M387&gt;(ROW(PLE.lastrow)-ROW(PLE.firstrow))),0,IF(OFFSET(PLE!$G$14,$M387,CE$13)="",10^12,OFFSET(PLE!$G$14,$M387,CE$13))))</f>
        <v>1000000000000</v>
      </c>
      <c r="CF387" s="182">
        <f ca="1">IF($D387&lt;&gt;"Serviço",0,IF(OR(AND(AUTOEVENTO="Manual",$M387=1),$M387&gt;(ROW(PLE.lastrow)-ROW(PLE.firstrow))),0,IF(OFFSET(PLE!$G$14,$M387,CF$13)="",10^12,OFFSET(PLE!$G$14,$M387,CF$13))))</f>
        <v>1000000000000</v>
      </c>
      <c r="CG387" s="182">
        <f ca="1">IF($D387&lt;&gt;"Serviço",0,IF(OR(AND(AUTOEVENTO="Manual",$M387=1),$M387&gt;(ROW(PLE.lastrow)-ROW(PLE.firstrow))),0,IF(OFFSET(PLE!$G$14,$M387,CG$13)="",10^12,OFFSET(PLE!$G$14,$M387,CG$13))))</f>
        <v>1000000000000</v>
      </c>
      <c r="CH387" s="182">
        <f ca="1">IF($D387&lt;&gt;"Serviço",0,IF(OR(AND(AUTOEVENTO="Manual",$M387=1),$M387&gt;(ROW(PLE.lastrow)-ROW(PLE.firstrow))),0,IF(OFFSET(PLE!$G$14,$M387,CH$13)="",10^12,OFFSET(PLE!$G$14,$M387,CH$13))))</f>
        <v>1000000000000</v>
      </c>
      <c r="CI387" s="182">
        <f ca="1">IF($D387&lt;&gt;"Serviço",0,IF(OR(AND(AUTOEVENTO="Manual",$M387=1),$M387&gt;(ROW(PLE.lastrow)-ROW(PLE.firstrow))),0,IF(OFFSET(PLE!$G$14,$M387,CI$13)="",10^12,OFFSET(PLE!$G$14,$M387,CI$13))))</f>
        <v>1000000000000</v>
      </c>
      <c r="CJ387" s="182">
        <f ca="1">IF($D387&lt;&gt;"Serviço",0,IF(OR(AND(AUTOEVENTO="Manual",$M387=1),$M387&gt;(ROW(PLE.lastrow)-ROW(PLE.firstrow))),0,IF(OFFSET(PLE!$G$14,$M387,CJ$13)="",10^12,OFFSET(PLE!$G$14,$M387,CJ$13))))</f>
        <v>1000000000000</v>
      </c>
      <c r="CK387" s="182">
        <f ca="1">IF($D387&lt;&gt;"Serviço",0,IF(OR(AND(AUTOEVENTO="Manual",$M387=1),$M387&gt;(ROW(PLE.lastrow)-ROW(PLE.firstrow))),0,IF(OFFSET(PLE!$G$14,$M387,CK$13)="",10^12,OFFSET(PLE!$G$14,$M387,CK$13))))</f>
        <v>1000000000000</v>
      </c>
      <c r="CL387" s="182">
        <f ca="1">IF($D387&lt;&gt;"Serviço",0,IF(OR(AND(AUTOEVENTO="Manual",$M387=1),$M387&gt;(ROW(PLE.lastrow)-ROW(PLE.firstrow))),0,IF(OFFSET(PLE!$G$14,$M387,CL$13)="",10^12,OFFSET(PLE!$G$14,$M387,CL$13))))</f>
        <v>1000000000000</v>
      </c>
      <c r="CM387" s="182">
        <f ca="1">IF($D387&lt;&gt;"Serviço",0,IF(OR(AND(AUTOEVENTO="Manual",$M387=1),$M387&gt;(ROW(PLE.lastrow)-ROW(PLE.firstrow))),0,IF(OFFSET(PLE!$G$14,$M387,CM$13)="",10^12,OFFSET(PLE!$G$14,$M387,CM$13))))</f>
        <v>1000000000000</v>
      </c>
    </row>
    <row r="388" spans="1:91" ht="25.5" x14ac:dyDescent="0.2">
      <c r="A388" s="7" t="str">
        <f t="shared" ca="1" si="13"/>
        <v>350</v>
      </c>
      <c r="B388" s="7" t="str">
        <f ca="1">OFFSET(ORÇAMENTO!C$15,ROW(B388)-ROW(B$15),0)</f>
        <v>S</v>
      </c>
      <c r="C388" s="7" t="str">
        <f ca="1">OFFSET(ORÇAMENTO!L$15,ROW(C388)-ROW(C$15),0)</f>
        <v/>
      </c>
      <c r="D388" s="118" t="str">
        <f ca="1">OFFSET(ORÇAMENTO!N$15,ROW(D388)-ROW(D$15),0)</f>
        <v>Serviço</v>
      </c>
      <c r="E388" s="119" t="str">
        <f ca="1">OFFSET(ORÇAMENTO!O$15,ROW(E388)-ROW(E$15),0)</f>
        <v>-</v>
      </c>
      <c r="F388" s="172" t="str">
        <f ca="1">OFFSET(ORÇAMENTO!R$15,ROW(F388)-ROW(F$15),0)</f>
        <v>(abra o arquivo 'Referência 06-2024.xlsm)</v>
      </c>
      <c r="G388" s="173" t="str">
        <f ca="1">IF($D388&lt;&gt;"Serviço","",OFFSET(ORÇAMENTO!S$15,ROW(G388)-ROW(G$15),0))</f>
        <v>-</v>
      </c>
      <c r="H388" s="124">
        <f ca="1">IF($D388&lt;&gt;"Serviço",0,IF(ACOMPANHAMENTO="BM",ROUND(OFFSET(ORÇAMENTO!AJ$15,ROW(H388)-ROW(H$15),0),15-13*ORÇAMENTO!$AF$7),SUMPRODUCT(($Q$12:$AI$12&lt;&gt;"")*ROUND($Q388:$AI388,15-13*ORÇAMENTO!$AF$7))))</f>
        <v>13</v>
      </c>
      <c r="I388" s="561" t="s">
        <v>1107</v>
      </c>
      <c r="K388" s="174"/>
      <c r="L388" s="175" t="s">
        <v>255</v>
      </c>
      <c r="M388" s="176">
        <f ca="1">IF($D388&lt;&gt;"Serviço","",IF(AUTOEVENTO="manual",$A388,IF(ISERROR(MATCH($A388,$A$15:OFFSET($A388,-1,0),0)),MAX($M$15:OFFSET(M388,-1,0))+1,INDEX($M$15:OFFSET(M388,-1,0),MATCH($A388,$A$15:OFFSET($A388,-1,0),0)))))</f>
        <v>44</v>
      </c>
      <c r="N388" s="177" t="str">
        <f ca="1">IF($D388&lt;&gt;"Serviço","",IF(AUTOEVENTO="Manual",IF($A388=0,"&lt;-- defina o número do agrupador",OFFSET(EVENTOS!$D$14,$A388,0)),OFFSET($F$15,$A388,0)))</f>
        <v>LOUÇAS, ACESSÓRIOS E METAIS</v>
      </c>
      <c r="O388" s="178"/>
      <c r="Q388" s="178">
        <v>13</v>
      </c>
      <c r="R388" s="179"/>
      <c r="S388" s="179"/>
      <c r="T388" s="179"/>
      <c r="U388" s="179"/>
      <c r="V388" s="179"/>
      <c r="W388" s="179"/>
      <c r="X388" s="179"/>
      <c r="Y388" s="179"/>
      <c r="Z388" s="180"/>
      <c r="AA388" s="179"/>
      <c r="AB388" s="179"/>
      <c r="AC388" s="179"/>
      <c r="AD388" s="179"/>
      <c r="AE388" s="179"/>
      <c r="AF388" s="179"/>
      <c r="AG388" s="179"/>
      <c r="AH388" s="180"/>
      <c r="AJ388" s="544">
        <f ca="1">IF(AND($D388="Serviço",AJ$12&lt;&gt;0,$H388&gt;0,OR(AUTOEVENTO&lt;&gt;"manual",$M388&lt;&gt;1)),
IF(Import.TipoArredondamento&lt;&gt;"TransfereGOV",
ROUND(OFFSET($P388,0,AJ$13),15-13*ORÇAMENTO!$AF$7)/$H388*OFFSET(ORÇAMENTO!$X$15,ROW(AJ388)-ROW(AJ$15),0),
ROUND(ROUND(OFFSET($P388,0,AJ$13),15-13*ORÇAMENTO!$AF$7)*OFFSET(ORÇAMENTO!$W$15,ROW(AJ388)-ROW(AJ$15),0),15-13*ORÇAMENTO!$AF$11)),0)</f>
        <v>0</v>
      </c>
      <c r="AK388" s="545">
        <f ca="1">IF(AND($D388="Serviço",AK$12&lt;&gt;0,$H388&gt;0,OR(AUTOEVENTO&lt;&gt;"manual",$M388&lt;&gt;1)),
IF(Import.TipoArredondamento&lt;&gt;"TransfereGOV",
ROUND(OFFSET($P388,0,AK$13),15-13*ORÇAMENTO!$AF$7)/$H388*OFFSET(ORÇAMENTO!$X$15,ROW(AK388)-ROW(AK$15),0),
ROUND(ROUND(OFFSET($P388,0,AK$13),15-13*ORÇAMENTO!$AF$7)*OFFSET(ORÇAMENTO!$W$15,ROW(AK388)-ROW(AK$15),0),15-13*ORÇAMENTO!$AF$11)),0)</f>
        <v>0</v>
      </c>
      <c r="AL388" s="545">
        <f ca="1">IF(AND($D388="Serviço",AL$12&lt;&gt;0,$H388&gt;0,OR(AUTOEVENTO&lt;&gt;"manual",$M388&lt;&gt;1)),
IF(Import.TipoArredondamento&lt;&gt;"TransfereGOV",
ROUND(OFFSET($P388,0,AL$13),15-13*ORÇAMENTO!$AF$7)/$H388*OFFSET(ORÇAMENTO!$X$15,ROW(AL388)-ROW(AL$15),0),
ROUND(ROUND(OFFSET($P388,0,AL$13),15-13*ORÇAMENTO!$AF$7)*OFFSET(ORÇAMENTO!$W$15,ROW(AL388)-ROW(AL$15),0),15-13*ORÇAMENTO!$AF$11)),0)</f>
        <v>0</v>
      </c>
      <c r="AM388" s="545">
        <f ca="1">IF(AND($D388="Serviço",AM$12&lt;&gt;0,$H388&gt;0,OR(AUTOEVENTO&lt;&gt;"manual",$M388&lt;&gt;1)),
IF(Import.TipoArredondamento&lt;&gt;"TransfereGOV",
ROUND(OFFSET($P388,0,AM$13),15-13*ORÇAMENTO!$AF$7)/$H388*OFFSET(ORÇAMENTO!$X$15,ROW(AM388)-ROW(AM$15),0),
ROUND(ROUND(OFFSET($P388,0,AM$13),15-13*ORÇAMENTO!$AF$7)*OFFSET(ORÇAMENTO!$W$15,ROW(AM388)-ROW(AM$15),0),15-13*ORÇAMENTO!$AF$11)),0)</f>
        <v>0</v>
      </c>
      <c r="AN388" s="545">
        <f ca="1">IF(AND($D388="Serviço",AN$12&lt;&gt;0,$H388&gt;0,OR(AUTOEVENTO&lt;&gt;"manual",$M388&lt;&gt;1)),
IF(Import.TipoArredondamento&lt;&gt;"TransfereGOV",
ROUND(OFFSET($P388,0,AN$13),15-13*ORÇAMENTO!$AF$7)/$H388*OFFSET(ORÇAMENTO!$X$15,ROW(AN388)-ROW(AN$15),0),
ROUND(ROUND(OFFSET($P388,0,AN$13),15-13*ORÇAMENTO!$AF$7)*OFFSET(ORÇAMENTO!$W$15,ROW(AN388)-ROW(AN$15),0),15-13*ORÇAMENTO!$AF$11)),0)</f>
        <v>0</v>
      </c>
      <c r="AO388" s="545">
        <f ca="1">IF(AND($D388="Serviço",AO$12&lt;&gt;0,$H388&gt;0,OR(AUTOEVENTO&lt;&gt;"manual",$M388&lt;&gt;1)),
IF(Import.TipoArredondamento&lt;&gt;"TransfereGOV",
ROUND(OFFSET($P388,0,AO$13),15-13*ORÇAMENTO!$AF$7)/$H388*OFFSET(ORÇAMENTO!$X$15,ROW(AO388)-ROW(AO$15),0),
ROUND(ROUND(OFFSET($P388,0,AO$13),15-13*ORÇAMENTO!$AF$7)*OFFSET(ORÇAMENTO!$W$15,ROW(AO388)-ROW(AO$15),0),15-13*ORÇAMENTO!$AF$11)),0)</f>
        <v>0</v>
      </c>
      <c r="AP388" s="545">
        <f ca="1">IF(AND($D388="Serviço",AP$12&lt;&gt;0,$H388&gt;0,OR(AUTOEVENTO&lt;&gt;"manual",$M388&lt;&gt;1)),
IF(Import.TipoArredondamento&lt;&gt;"TransfereGOV",
ROUND(OFFSET($P388,0,AP$13),15-13*ORÇAMENTO!$AF$7)/$H388*OFFSET(ORÇAMENTO!$X$15,ROW(AP388)-ROW(AP$15),0),
ROUND(ROUND(OFFSET($P388,0,AP$13),15-13*ORÇAMENTO!$AF$7)*OFFSET(ORÇAMENTO!$W$15,ROW(AP388)-ROW(AP$15),0),15-13*ORÇAMENTO!$AF$11)),0)</f>
        <v>0</v>
      </c>
      <c r="AQ388" s="545">
        <f ca="1">IF(AND($D388="Serviço",AQ$12&lt;&gt;0,$H388&gt;0,OR(AUTOEVENTO&lt;&gt;"manual",$M388&lt;&gt;1)),
IF(Import.TipoArredondamento&lt;&gt;"TransfereGOV",
ROUND(OFFSET($P388,0,AQ$13),15-13*ORÇAMENTO!$AF$7)/$H388*OFFSET(ORÇAMENTO!$X$15,ROW(AQ388)-ROW(AQ$15),0),
ROUND(ROUND(OFFSET($P388,0,AQ$13),15-13*ORÇAMENTO!$AF$7)*OFFSET(ORÇAMENTO!$W$15,ROW(AQ388)-ROW(AQ$15),0),15-13*ORÇAMENTO!$AF$11)),0)</f>
        <v>0</v>
      </c>
      <c r="AR388" s="545">
        <f ca="1">IF(AND($D388="Serviço",AR$12&lt;&gt;0,$H388&gt;0,OR(AUTOEVENTO&lt;&gt;"manual",$M388&lt;&gt;1)),
IF(Import.TipoArredondamento&lt;&gt;"TransfereGOV",
ROUND(OFFSET($P388,0,AR$13),15-13*ORÇAMENTO!$AF$7)/$H388*OFFSET(ORÇAMENTO!$X$15,ROW(AR388)-ROW(AR$15),0),
ROUND(ROUND(OFFSET($P388,0,AR$13),15-13*ORÇAMENTO!$AF$7)*OFFSET(ORÇAMENTO!$W$15,ROW(AR388)-ROW(AR$15),0),15-13*ORÇAMENTO!$AF$11)),0)</f>
        <v>0</v>
      </c>
      <c r="AS388" s="546">
        <f ca="1">IF(AND($D388="Serviço",AS$12&lt;&gt;0,$H388&gt;0,OR(AUTOEVENTO&lt;&gt;"manual",$M388&lt;&gt;1)),
IF(Import.TipoArredondamento&lt;&gt;"TransfereGOV",
ROUND(OFFSET($P388,0,AS$13),15-13*ORÇAMENTO!$AF$7)/$H388*OFFSET(ORÇAMENTO!$X$15,ROW(AS388)-ROW(AS$15),0),
ROUND(ROUND(OFFSET($P388,0,AS$13),15-13*ORÇAMENTO!$AF$7)*OFFSET(ORÇAMENTO!$W$15,ROW(AS388)-ROW(AS$15),0),15-13*ORÇAMENTO!$AF$11)),0)</f>
        <v>0</v>
      </c>
      <c r="AT388" s="545">
        <f ca="1">IF(AND($D388="Serviço",AT$12&lt;&gt;0,$H388&gt;0,OR(AUTOEVENTO&lt;&gt;"manual",$M388&lt;&gt;1)),
IF(Import.TipoArredondamento&lt;&gt;"TransfereGOV",
ROUND(OFFSET($P388,0,AT$13),15-13*ORÇAMENTO!$AF$7)/$H388*OFFSET(ORÇAMENTO!$X$15,ROW(AT388)-ROW(AT$15),0),
ROUND(ROUND(OFFSET($P388,0,AT$13),15-13*ORÇAMENTO!$AF$7)*OFFSET(ORÇAMENTO!$W$15,ROW(AT388)-ROW(AT$15),0),15-13*ORÇAMENTO!$AF$11)),0)</f>
        <v>0</v>
      </c>
      <c r="AU388" s="545">
        <f ca="1">IF(AND($D388="Serviço",AU$12&lt;&gt;0,$H388&gt;0,OR(AUTOEVENTO&lt;&gt;"manual",$M388&lt;&gt;1)),
IF(Import.TipoArredondamento&lt;&gt;"TransfereGOV",
ROUND(OFFSET($P388,0,AU$13),15-13*ORÇAMENTO!$AF$7)/$H388*OFFSET(ORÇAMENTO!$X$15,ROW(AU388)-ROW(AU$15),0),
ROUND(ROUND(OFFSET($P388,0,AU$13),15-13*ORÇAMENTO!$AF$7)*OFFSET(ORÇAMENTO!$W$15,ROW(AU388)-ROW(AU$15),0),15-13*ORÇAMENTO!$AF$11)),0)</f>
        <v>0</v>
      </c>
      <c r="AV388" s="545">
        <f ca="1">IF(AND($D388="Serviço",AV$12&lt;&gt;0,$H388&gt;0,OR(AUTOEVENTO&lt;&gt;"manual",$M388&lt;&gt;1)),
IF(Import.TipoArredondamento&lt;&gt;"TransfereGOV",
ROUND(OFFSET($P388,0,AV$13),15-13*ORÇAMENTO!$AF$7)/$H388*OFFSET(ORÇAMENTO!$X$15,ROW(AV388)-ROW(AV$15),0),
ROUND(ROUND(OFFSET($P388,0,AV$13),15-13*ORÇAMENTO!$AF$7)*OFFSET(ORÇAMENTO!$W$15,ROW(AV388)-ROW(AV$15),0),15-13*ORÇAMENTO!$AF$11)),0)</f>
        <v>0</v>
      </c>
      <c r="AW388" s="545">
        <f ca="1">IF(AND($D388="Serviço",AW$12&lt;&gt;0,$H388&gt;0,OR(AUTOEVENTO&lt;&gt;"manual",$M388&lt;&gt;1)),
IF(Import.TipoArredondamento&lt;&gt;"TransfereGOV",
ROUND(OFFSET($P388,0,AW$13),15-13*ORÇAMENTO!$AF$7)/$H388*OFFSET(ORÇAMENTO!$X$15,ROW(AW388)-ROW(AW$15),0),
ROUND(ROUND(OFFSET($P388,0,AW$13),15-13*ORÇAMENTO!$AF$7)*OFFSET(ORÇAMENTO!$W$15,ROW(AW388)-ROW(AW$15),0),15-13*ORÇAMENTO!$AF$11)),0)</f>
        <v>0</v>
      </c>
      <c r="AX388" s="545">
        <f ca="1">IF(AND($D388="Serviço",AX$12&lt;&gt;0,$H388&gt;0,OR(AUTOEVENTO&lt;&gt;"manual",$M388&lt;&gt;1)),
IF(Import.TipoArredondamento&lt;&gt;"TransfereGOV",
ROUND(OFFSET($P388,0,AX$13),15-13*ORÇAMENTO!$AF$7)/$H388*OFFSET(ORÇAMENTO!$X$15,ROW(AX388)-ROW(AX$15),0),
ROUND(ROUND(OFFSET($P388,0,AX$13),15-13*ORÇAMENTO!$AF$7)*OFFSET(ORÇAMENTO!$W$15,ROW(AX388)-ROW(AX$15),0),15-13*ORÇAMENTO!$AF$11)),0)</f>
        <v>0</v>
      </c>
      <c r="AY388" s="545">
        <f ca="1">IF(AND($D388="Serviço",AY$12&lt;&gt;0,$H388&gt;0,OR(AUTOEVENTO&lt;&gt;"manual",$M388&lt;&gt;1)),
IF(Import.TipoArredondamento&lt;&gt;"TransfereGOV",
ROUND(OFFSET($P388,0,AY$13),15-13*ORÇAMENTO!$AF$7)/$H388*OFFSET(ORÇAMENTO!$X$15,ROW(AY388)-ROW(AY$15),0),
ROUND(ROUND(OFFSET($P388,0,AY$13),15-13*ORÇAMENTO!$AF$7)*OFFSET(ORÇAMENTO!$W$15,ROW(AY388)-ROW(AY$15),0),15-13*ORÇAMENTO!$AF$11)),0)</f>
        <v>0</v>
      </c>
      <c r="AZ388" s="545">
        <f ca="1">IF(AND($D388="Serviço",AZ$12&lt;&gt;0,$H388&gt;0,OR(AUTOEVENTO&lt;&gt;"manual",$M388&lt;&gt;1)),
IF(Import.TipoArredondamento&lt;&gt;"TransfereGOV",
ROUND(OFFSET($P388,0,AZ$13),15-13*ORÇAMENTO!$AF$7)/$H388*OFFSET(ORÇAMENTO!$X$15,ROW(AZ388)-ROW(AZ$15),0),
ROUND(ROUND(OFFSET($P388,0,AZ$13),15-13*ORÇAMENTO!$AF$7)*OFFSET(ORÇAMENTO!$W$15,ROW(AZ388)-ROW(AZ$15),0),15-13*ORÇAMENTO!$AF$11)),0)</f>
        <v>0</v>
      </c>
      <c r="BA388" s="546">
        <f ca="1">IF(AND($D388="Serviço",BA$12&lt;&gt;0,$H388&gt;0,OR(AUTOEVENTO&lt;&gt;"manual",$M388&lt;&gt;1)),
IF(Import.TipoArredondamento&lt;&gt;"TransfereGOV",
ROUND(OFFSET($P388,0,BA$13),15-13*ORÇAMENTO!$AF$7)/$H388*OFFSET(ORÇAMENTO!$X$15,ROW(BA388)-ROW(BA$15),0),
ROUND(ROUND(OFFSET($P388,0,BA$13),15-13*ORÇAMENTO!$AF$7)*OFFSET(ORÇAMENTO!$W$15,ROW(BA388)-ROW(BA$15),0),15-13*ORÇAMENTO!$AF$11)),0)</f>
        <v>0</v>
      </c>
      <c r="BC388" s="181">
        <f ca="1">IF($D388&lt;&gt;"Serviço",0,IF(AND(AUTOEVENTO="Manual",$M388=1),0,IF(OFFSET(CRONOPLE!$F$14,$M388,BC$13)="",10^12,OFFSET(CRONOPLE!$F$14,$M388,BC$13))))</f>
        <v>10</v>
      </c>
      <c r="BD388" s="181">
        <f ca="1">IF($D388&lt;&gt;"Serviço",0,IF(AND(AUTOEVENTO="Manual",$M388=1),0,IF(OFFSET(CRONOPLE!$F$14,$M388,BD$13)="",10^12,OFFSET(CRONOPLE!$F$14,$M388,BD$13))))</f>
        <v>1000000000000</v>
      </c>
      <c r="BE388" s="181">
        <f ca="1">IF($D388&lt;&gt;"Serviço",0,IF(AND(AUTOEVENTO="Manual",$M388=1),0,IF(OFFSET(CRONOPLE!$F$14,$M388,BE$13)="",10^12,OFFSET(CRONOPLE!$F$14,$M388,BE$13))))</f>
        <v>1000000000000</v>
      </c>
      <c r="BF388" s="181">
        <f ca="1">IF($D388&lt;&gt;"Serviço",0,IF(AND(AUTOEVENTO="Manual",$M388=1),0,IF(OFFSET(CRONOPLE!$F$14,$M388,BF$13)="",10^12,OFFSET(CRONOPLE!$F$14,$M388,BF$13))))</f>
        <v>1000000000000</v>
      </c>
      <c r="BG388" s="181">
        <f ca="1">IF($D388&lt;&gt;"Serviço",0,IF(AND(AUTOEVENTO="Manual",$M388=1),0,IF(OFFSET(CRONOPLE!$F$14,$M388,BG$13)="",10^12,OFFSET(CRONOPLE!$F$14,$M388,BG$13))))</f>
        <v>1000000000000</v>
      </c>
      <c r="BH388" s="181">
        <f ca="1">IF($D388&lt;&gt;"Serviço",0,IF(AND(AUTOEVENTO="Manual",$M388=1),0,IF(OFFSET(CRONOPLE!$F$14,$M388,BH$13)="",10^12,OFFSET(CRONOPLE!$F$14,$M388,BH$13))))</f>
        <v>1000000000000</v>
      </c>
      <c r="BI388" s="181">
        <f ca="1">IF($D388&lt;&gt;"Serviço",0,IF(AND(AUTOEVENTO="Manual",$M388=1),0,IF(OFFSET(CRONOPLE!$F$14,$M388,BI$13)="",10^12,OFFSET(CRONOPLE!$F$14,$M388,BI$13))))</f>
        <v>1000000000000</v>
      </c>
      <c r="BJ388" s="181">
        <f ca="1">IF($D388&lt;&gt;"Serviço",0,IF(AND(AUTOEVENTO="Manual",$M388=1),0,IF(OFFSET(CRONOPLE!$F$14,$M388,BJ$13)="",10^12,OFFSET(CRONOPLE!$F$14,$M388,BJ$13))))</f>
        <v>1000000000000</v>
      </c>
      <c r="BK388" s="181">
        <f ca="1">IF($D388&lt;&gt;"Serviço",0,IF(AND(AUTOEVENTO="Manual",$M388=1),0,IF(OFFSET(CRONOPLE!$F$14,$M388,BK$13)="",10^12,OFFSET(CRONOPLE!$F$14,$M388,BK$13))))</f>
        <v>1000000000000</v>
      </c>
      <c r="BL388" s="181">
        <f ca="1">IF($D388&lt;&gt;"Serviço",0,IF(AND(AUTOEVENTO="Manual",$M388=1),0,IF(OFFSET(CRONOPLE!$F$14,$M388,BL$13)="",10^12,OFFSET(CRONOPLE!$F$14,$M388,BL$13))))</f>
        <v>1000000000000</v>
      </c>
      <c r="BM388" s="181">
        <f ca="1">IF($D388&lt;&gt;"Serviço",0,IF(AND(AUTOEVENTO="Manual",$M388=1),0,IF(OFFSET(CRONOPLE!$F$14,$M388,BM$13)="",10^12,OFFSET(CRONOPLE!$F$14,$M388,BM$13))))</f>
        <v>1000000000000</v>
      </c>
      <c r="BN388" s="181">
        <f ca="1">IF($D388&lt;&gt;"Serviço",0,IF(AND(AUTOEVENTO="Manual",$M388=1),0,IF(OFFSET(CRONOPLE!$F$14,$M388,BN$13)="",10^12,OFFSET(CRONOPLE!$F$14,$M388,BN$13))))</f>
        <v>1000000000000</v>
      </c>
      <c r="BO388" s="181">
        <f ca="1">IF($D388&lt;&gt;"Serviço",0,IF(AND(AUTOEVENTO="Manual",$M388=1),0,IF(OFFSET(CRONOPLE!$F$14,$M388,BO$13)="",10^12,OFFSET(CRONOPLE!$F$14,$M388,BO$13))))</f>
        <v>1000000000000</v>
      </c>
      <c r="BP388" s="181">
        <f ca="1">IF($D388&lt;&gt;"Serviço",0,IF(AND(AUTOEVENTO="Manual",$M388=1),0,IF(OFFSET(CRONOPLE!$F$14,$M388,BP$13)="",10^12,OFFSET(CRONOPLE!$F$14,$M388,BP$13))))</f>
        <v>1000000000000</v>
      </c>
      <c r="BQ388" s="181">
        <f ca="1">IF($D388&lt;&gt;"Serviço",0,IF(AND(AUTOEVENTO="Manual",$M388=1),0,IF(OFFSET(CRONOPLE!$F$14,$M388,BQ$13)="",10^12,OFFSET(CRONOPLE!$F$14,$M388,BQ$13))))</f>
        <v>1000000000000</v>
      </c>
      <c r="BR388" s="181">
        <f ca="1">IF($D388&lt;&gt;"Serviço",0,IF(AND(AUTOEVENTO="Manual",$M388=1),0,IF(OFFSET(CRONOPLE!$F$14,$M388,BR$13)="",10^12,OFFSET(CRONOPLE!$F$14,$M388,BR$13))))</f>
        <v>1000000000000</v>
      </c>
      <c r="BS388" s="181">
        <f ca="1">IF($D388&lt;&gt;"Serviço",0,IF(AND(AUTOEVENTO="Manual",$M388=1),0,IF(OFFSET(CRONOPLE!$F$14,$M388,BS$13)="",10^12,OFFSET(CRONOPLE!$F$14,$M388,BS$13))))</f>
        <v>1000000000000</v>
      </c>
      <c r="BT388" s="181">
        <f ca="1">IF($D388&lt;&gt;"Serviço",0,IF(AND(AUTOEVENTO="Manual",$M388=1),0,IF(OFFSET(CRONOPLE!$F$14,$M388,BT$13)="",10^12,OFFSET(CRONOPLE!$F$14,$M388,BT$13))))</f>
        <v>1000000000000</v>
      </c>
      <c r="BV388" s="182">
        <f ca="1">IF($D388&lt;&gt;"Serviço",0,IF(OR(AND(AUTOEVENTO="Manual",$M388=1),$M388&gt;(ROW(PLE.lastrow)-ROW(PLE.firstrow))),0,IF(OFFSET(PLE!$G$14,$M388,BV$13)="",10^12,OFFSET(PLE!$G$14,$M388,BV$13))))</f>
        <v>1000000000000</v>
      </c>
      <c r="BW388" s="182">
        <f ca="1">IF($D388&lt;&gt;"Serviço",0,IF(OR(AND(AUTOEVENTO="Manual",$M388=1),$M388&gt;(ROW(PLE.lastrow)-ROW(PLE.firstrow))),0,IF(OFFSET(PLE!$G$14,$M388,BW$13)="",10^12,OFFSET(PLE!$G$14,$M388,BW$13))))</f>
        <v>1000000000000</v>
      </c>
      <c r="BX388" s="182">
        <f ca="1">IF($D388&lt;&gt;"Serviço",0,IF(OR(AND(AUTOEVENTO="Manual",$M388=1),$M388&gt;(ROW(PLE.lastrow)-ROW(PLE.firstrow))),0,IF(OFFSET(PLE!$G$14,$M388,BX$13)="",10^12,OFFSET(PLE!$G$14,$M388,BX$13))))</f>
        <v>1000000000000</v>
      </c>
      <c r="BY388" s="182">
        <f ca="1">IF($D388&lt;&gt;"Serviço",0,IF(OR(AND(AUTOEVENTO="Manual",$M388=1),$M388&gt;(ROW(PLE.lastrow)-ROW(PLE.firstrow))),0,IF(OFFSET(PLE!$G$14,$M388,BY$13)="",10^12,OFFSET(PLE!$G$14,$M388,BY$13))))</f>
        <v>1000000000000</v>
      </c>
      <c r="BZ388" s="182">
        <f ca="1">IF($D388&lt;&gt;"Serviço",0,IF(OR(AND(AUTOEVENTO="Manual",$M388=1),$M388&gt;(ROW(PLE.lastrow)-ROW(PLE.firstrow))),0,IF(OFFSET(PLE!$G$14,$M388,BZ$13)="",10^12,OFFSET(PLE!$G$14,$M388,BZ$13))))</f>
        <v>1000000000000</v>
      </c>
      <c r="CA388" s="182">
        <f ca="1">IF($D388&lt;&gt;"Serviço",0,IF(OR(AND(AUTOEVENTO="Manual",$M388=1),$M388&gt;(ROW(PLE.lastrow)-ROW(PLE.firstrow))),0,IF(OFFSET(PLE!$G$14,$M388,CA$13)="",10^12,OFFSET(PLE!$G$14,$M388,CA$13))))</f>
        <v>1000000000000</v>
      </c>
      <c r="CB388" s="182">
        <f ca="1">IF($D388&lt;&gt;"Serviço",0,IF(OR(AND(AUTOEVENTO="Manual",$M388=1),$M388&gt;(ROW(PLE.lastrow)-ROW(PLE.firstrow))),0,IF(OFFSET(PLE!$G$14,$M388,CB$13)="",10^12,OFFSET(PLE!$G$14,$M388,CB$13))))</f>
        <v>1000000000000</v>
      </c>
      <c r="CC388" s="182">
        <f ca="1">IF($D388&lt;&gt;"Serviço",0,IF(OR(AND(AUTOEVENTO="Manual",$M388=1),$M388&gt;(ROW(PLE.lastrow)-ROW(PLE.firstrow))),0,IF(OFFSET(PLE!$G$14,$M388,CC$13)="",10^12,OFFSET(PLE!$G$14,$M388,CC$13))))</f>
        <v>1000000000000</v>
      </c>
      <c r="CD388" s="182">
        <f ca="1">IF($D388&lt;&gt;"Serviço",0,IF(OR(AND(AUTOEVENTO="Manual",$M388=1),$M388&gt;(ROW(PLE.lastrow)-ROW(PLE.firstrow))),0,IF(OFFSET(PLE!$G$14,$M388,CD$13)="",10^12,OFFSET(PLE!$G$14,$M388,CD$13))))</f>
        <v>1000000000000</v>
      </c>
      <c r="CE388" s="182">
        <f ca="1">IF($D388&lt;&gt;"Serviço",0,IF(OR(AND(AUTOEVENTO="Manual",$M388=1),$M388&gt;(ROW(PLE.lastrow)-ROW(PLE.firstrow))),0,IF(OFFSET(PLE!$G$14,$M388,CE$13)="",10^12,OFFSET(PLE!$G$14,$M388,CE$13))))</f>
        <v>1000000000000</v>
      </c>
      <c r="CF388" s="182">
        <f ca="1">IF($D388&lt;&gt;"Serviço",0,IF(OR(AND(AUTOEVENTO="Manual",$M388=1),$M388&gt;(ROW(PLE.lastrow)-ROW(PLE.firstrow))),0,IF(OFFSET(PLE!$G$14,$M388,CF$13)="",10^12,OFFSET(PLE!$G$14,$M388,CF$13))))</f>
        <v>1000000000000</v>
      </c>
      <c r="CG388" s="182">
        <f ca="1">IF($D388&lt;&gt;"Serviço",0,IF(OR(AND(AUTOEVENTO="Manual",$M388=1),$M388&gt;(ROW(PLE.lastrow)-ROW(PLE.firstrow))),0,IF(OFFSET(PLE!$G$14,$M388,CG$13)="",10^12,OFFSET(PLE!$G$14,$M388,CG$13))))</f>
        <v>1000000000000</v>
      </c>
      <c r="CH388" s="182">
        <f ca="1">IF($D388&lt;&gt;"Serviço",0,IF(OR(AND(AUTOEVENTO="Manual",$M388=1),$M388&gt;(ROW(PLE.lastrow)-ROW(PLE.firstrow))),0,IF(OFFSET(PLE!$G$14,$M388,CH$13)="",10^12,OFFSET(PLE!$G$14,$M388,CH$13))))</f>
        <v>1000000000000</v>
      </c>
      <c r="CI388" s="182">
        <f ca="1">IF($D388&lt;&gt;"Serviço",0,IF(OR(AND(AUTOEVENTO="Manual",$M388=1),$M388&gt;(ROW(PLE.lastrow)-ROW(PLE.firstrow))),0,IF(OFFSET(PLE!$G$14,$M388,CI$13)="",10^12,OFFSET(PLE!$G$14,$M388,CI$13))))</f>
        <v>1000000000000</v>
      </c>
      <c r="CJ388" s="182">
        <f ca="1">IF($D388&lt;&gt;"Serviço",0,IF(OR(AND(AUTOEVENTO="Manual",$M388=1),$M388&gt;(ROW(PLE.lastrow)-ROW(PLE.firstrow))),0,IF(OFFSET(PLE!$G$14,$M388,CJ$13)="",10^12,OFFSET(PLE!$G$14,$M388,CJ$13))))</f>
        <v>1000000000000</v>
      </c>
      <c r="CK388" s="182">
        <f ca="1">IF($D388&lt;&gt;"Serviço",0,IF(OR(AND(AUTOEVENTO="Manual",$M388=1),$M388&gt;(ROW(PLE.lastrow)-ROW(PLE.firstrow))),0,IF(OFFSET(PLE!$G$14,$M388,CK$13)="",10^12,OFFSET(PLE!$G$14,$M388,CK$13))))</f>
        <v>1000000000000</v>
      </c>
      <c r="CL388" s="182">
        <f ca="1">IF($D388&lt;&gt;"Serviço",0,IF(OR(AND(AUTOEVENTO="Manual",$M388=1),$M388&gt;(ROW(PLE.lastrow)-ROW(PLE.firstrow))),0,IF(OFFSET(PLE!$G$14,$M388,CL$13)="",10^12,OFFSET(PLE!$G$14,$M388,CL$13))))</f>
        <v>1000000000000</v>
      </c>
      <c r="CM388" s="182">
        <f ca="1">IF($D388&lt;&gt;"Serviço",0,IF(OR(AND(AUTOEVENTO="Manual",$M388=1),$M388&gt;(ROW(PLE.lastrow)-ROW(PLE.firstrow))),0,IF(OFFSET(PLE!$G$14,$M388,CM$13)="",10^12,OFFSET(PLE!$G$14,$M388,CM$13))))</f>
        <v>1000000000000</v>
      </c>
    </row>
    <row r="389" spans="1:91" ht="25.5" x14ac:dyDescent="0.2">
      <c r="A389" s="7" t="str">
        <f t="shared" ca="1" si="13"/>
        <v>350</v>
      </c>
      <c r="B389" s="7" t="str">
        <f ca="1">OFFSET(ORÇAMENTO!C$15,ROW(B389)-ROW(B$15),0)</f>
        <v>S</v>
      </c>
      <c r="C389" s="7" t="str">
        <f ca="1">OFFSET(ORÇAMENTO!L$15,ROW(C389)-ROW(C$15),0)</f>
        <v/>
      </c>
      <c r="D389" s="118" t="str">
        <f ca="1">OFFSET(ORÇAMENTO!N$15,ROW(D389)-ROW(D$15),0)</f>
        <v>Serviço</v>
      </c>
      <c r="E389" s="119" t="str">
        <f ca="1">OFFSET(ORÇAMENTO!O$15,ROW(E389)-ROW(E$15),0)</f>
        <v>-</v>
      </c>
      <c r="F389" s="172" t="str">
        <f ca="1">OFFSET(ORÇAMENTO!R$15,ROW(F389)-ROW(F$15),0)</f>
        <v>(abra o arquivo 'Referência 06-2024.xlsm)</v>
      </c>
      <c r="G389" s="173" t="str">
        <f ca="1">IF($D389&lt;&gt;"Serviço","",OFFSET(ORÇAMENTO!S$15,ROW(G389)-ROW(G$15),0))</f>
        <v>-</v>
      </c>
      <c r="H389" s="124">
        <f ca="1">IF($D389&lt;&gt;"Serviço",0,IF(ACOMPANHAMENTO="BM",ROUND(OFFSET(ORÇAMENTO!AJ$15,ROW(H389)-ROW(H$15),0),15-13*ORÇAMENTO!$AF$7),SUMPRODUCT(($Q$12:$AI$12&lt;&gt;"")*ROUND($Q389:$AI389,15-13*ORÇAMENTO!$AF$7))))</f>
        <v>12</v>
      </c>
      <c r="I389" s="561" t="s">
        <v>1107</v>
      </c>
      <c r="K389" s="174"/>
      <c r="L389" s="175" t="s">
        <v>255</v>
      </c>
      <c r="M389" s="176">
        <f ca="1">IF($D389&lt;&gt;"Serviço","",IF(AUTOEVENTO="manual",$A389,IF(ISERROR(MATCH($A389,$A$15:OFFSET($A389,-1,0),0)),MAX($M$15:OFFSET(M389,-1,0))+1,INDEX($M$15:OFFSET(M389,-1,0),MATCH($A389,$A$15:OFFSET($A389,-1,0),0)))))</f>
        <v>44</v>
      </c>
      <c r="N389" s="177" t="str">
        <f ca="1">IF($D389&lt;&gt;"Serviço","",IF(AUTOEVENTO="Manual",IF($A389=0,"&lt;-- defina o número do agrupador",OFFSET(EVENTOS!$D$14,$A389,0)),OFFSET($F$15,$A389,0)))</f>
        <v>LOUÇAS, ACESSÓRIOS E METAIS</v>
      </c>
      <c r="O389" s="178"/>
      <c r="Q389" s="178">
        <v>12</v>
      </c>
      <c r="R389" s="179"/>
      <c r="S389" s="179"/>
      <c r="T389" s="179"/>
      <c r="U389" s="179"/>
      <c r="V389" s="179"/>
      <c r="W389" s="179"/>
      <c r="X389" s="179"/>
      <c r="Y389" s="179"/>
      <c r="Z389" s="180"/>
      <c r="AA389" s="179"/>
      <c r="AB389" s="179"/>
      <c r="AC389" s="179"/>
      <c r="AD389" s="179"/>
      <c r="AE389" s="179"/>
      <c r="AF389" s="179"/>
      <c r="AG389" s="179"/>
      <c r="AH389" s="180"/>
      <c r="AJ389" s="544">
        <f ca="1">IF(AND($D389="Serviço",AJ$12&lt;&gt;0,$H389&gt;0,OR(AUTOEVENTO&lt;&gt;"manual",$M389&lt;&gt;1)),
IF(Import.TipoArredondamento&lt;&gt;"TransfereGOV",
ROUND(OFFSET($P389,0,AJ$13),15-13*ORÇAMENTO!$AF$7)/$H389*OFFSET(ORÇAMENTO!$X$15,ROW(AJ389)-ROW(AJ$15),0),
ROUND(ROUND(OFFSET($P389,0,AJ$13),15-13*ORÇAMENTO!$AF$7)*OFFSET(ORÇAMENTO!$W$15,ROW(AJ389)-ROW(AJ$15),0),15-13*ORÇAMENTO!$AF$11)),0)</f>
        <v>0</v>
      </c>
      <c r="AK389" s="545">
        <f ca="1">IF(AND($D389="Serviço",AK$12&lt;&gt;0,$H389&gt;0,OR(AUTOEVENTO&lt;&gt;"manual",$M389&lt;&gt;1)),
IF(Import.TipoArredondamento&lt;&gt;"TransfereGOV",
ROUND(OFFSET($P389,0,AK$13),15-13*ORÇAMENTO!$AF$7)/$H389*OFFSET(ORÇAMENTO!$X$15,ROW(AK389)-ROW(AK$15),0),
ROUND(ROUND(OFFSET($P389,0,AK$13),15-13*ORÇAMENTO!$AF$7)*OFFSET(ORÇAMENTO!$W$15,ROW(AK389)-ROW(AK$15),0),15-13*ORÇAMENTO!$AF$11)),0)</f>
        <v>0</v>
      </c>
      <c r="AL389" s="545">
        <f ca="1">IF(AND($D389="Serviço",AL$12&lt;&gt;0,$H389&gt;0,OR(AUTOEVENTO&lt;&gt;"manual",$M389&lt;&gt;1)),
IF(Import.TipoArredondamento&lt;&gt;"TransfereGOV",
ROUND(OFFSET($P389,0,AL$13),15-13*ORÇAMENTO!$AF$7)/$H389*OFFSET(ORÇAMENTO!$X$15,ROW(AL389)-ROW(AL$15),0),
ROUND(ROUND(OFFSET($P389,0,AL$13),15-13*ORÇAMENTO!$AF$7)*OFFSET(ORÇAMENTO!$W$15,ROW(AL389)-ROW(AL$15),0),15-13*ORÇAMENTO!$AF$11)),0)</f>
        <v>0</v>
      </c>
      <c r="AM389" s="545">
        <f ca="1">IF(AND($D389="Serviço",AM$12&lt;&gt;0,$H389&gt;0,OR(AUTOEVENTO&lt;&gt;"manual",$M389&lt;&gt;1)),
IF(Import.TipoArredondamento&lt;&gt;"TransfereGOV",
ROUND(OFFSET($P389,0,AM$13),15-13*ORÇAMENTO!$AF$7)/$H389*OFFSET(ORÇAMENTO!$X$15,ROW(AM389)-ROW(AM$15),0),
ROUND(ROUND(OFFSET($P389,0,AM$13),15-13*ORÇAMENTO!$AF$7)*OFFSET(ORÇAMENTO!$W$15,ROW(AM389)-ROW(AM$15),0),15-13*ORÇAMENTO!$AF$11)),0)</f>
        <v>0</v>
      </c>
      <c r="AN389" s="545">
        <f ca="1">IF(AND($D389="Serviço",AN$12&lt;&gt;0,$H389&gt;0,OR(AUTOEVENTO&lt;&gt;"manual",$M389&lt;&gt;1)),
IF(Import.TipoArredondamento&lt;&gt;"TransfereGOV",
ROUND(OFFSET($P389,0,AN$13),15-13*ORÇAMENTO!$AF$7)/$H389*OFFSET(ORÇAMENTO!$X$15,ROW(AN389)-ROW(AN$15),0),
ROUND(ROUND(OFFSET($P389,0,AN$13),15-13*ORÇAMENTO!$AF$7)*OFFSET(ORÇAMENTO!$W$15,ROW(AN389)-ROW(AN$15),0),15-13*ORÇAMENTO!$AF$11)),0)</f>
        <v>0</v>
      </c>
      <c r="AO389" s="545">
        <f ca="1">IF(AND($D389="Serviço",AO$12&lt;&gt;0,$H389&gt;0,OR(AUTOEVENTO&lt;&gt;"manual",$M389&lt;&gt;1)),
IF(Import.TipoArredondamento&lt;&gt;"TransfereGOV",
ROUND(OFFSET($P389,0,AO$13),15-13*ORÇAMENTO!$AF$7)/$H389*OFFSET(ORÇAMENTO!$X$15,ROW(AO389)-ROW(AO$15),0),
ROUND(ROUND(OFFSET($P389,0,AO$13),15-13*ORÇAMENTO!$AF$7)*OFFSET(ORÇAMENTO!$W$15,ROW(AO389)-ROW(AO$15),0),15-13*ORÇAMENTO!$AF$11)),0)</f>
        <v>0</v>
      </c>
      <c r="AP389" s="545">
        <f ca="1">IF(AND($D389="Serviço",AP$12&lt;&gt;0,$H389&gt;0,OR(AUTOEVENTO&lt;&gt;"manual",$M389&lt;&gt;1)),
IF(Import.TipoArredondamento&lt;&gt;"TransfereGOV",
ROUND(OFFSET($P389,0,AP$13),15-13*ORÇAMENTO!$AF$7)/$H389*OFFSET(ORÇAMENTO!$X$15,ROW(AP389)-ROW(AP$15),0),
ROUND(ROUND(OFFSET($P389,0,AP$13),15-13*ORÇAMENTO!$AF$7)*OFFSET(ORÇAMENTO!$W$15,ROW(AP389)-ROW(AP$15),0),15-13*ORÇAMENTO!$AF$11)),0)</f>
        <v>0</v>
      </c>
      <c r="AQ389" s="545">
        <f ca="1">IF(AND($D389="Serviço",AQ$12&lt;&gt;0,$H389&gt;0,OR(AUTOEVENTO&lt;&gt;"manual",$M389&lt;&gt;1)),
IF(Import.TipoArredondamento&lt;&gt;"TransfereGOV",
ROUND(OFFSET($P389,0,AQ$13),15-13*ORÇAMENTO!$AF$7)/$H389*OFFSET(ORÇAMENTO!$X$15,ROW(AQ389)-ROW(AQ$15),0),
ROUND(ROUND(OFFSET($P389,0,AQ$13),15-13*ORÇAMENTO!$AF$7)*OFFSET(ORÇAMENTO!$W$15,ROW(AQ389)-ROW(AQ$15),0),15-13*ORÇAMENTO!$AF$11)),0)</f>
        <v>0</v>
      </c>
      <c r="AR389" s="545">
        <f ca="1">IF(AND($D389="Serviço",AR$12&lt;&gt;0,$H389&gt;0,OR(AUTOEVENTO&lt;&gt;"manual",$M389&lt;&gt;1)),
IF(Import.TipoArredondamento&lt;&gt;"TransfereGOV",
ROUND(OFFSET($P389,0,AR$13),15-13*ORÇAMENTO!$AF$7)/$H389*OFFSET(ORÇAMENTO!$X$15,ROW(AR389)-ROW(AR$15),0),
ROUND(ROUND(OFFSET($P389,0,AR$13),15-13*ORÇAMENTO!$AF$7)*OFFSET(ORÇAMENTO!$W$15,ROW(AR389)-ROW(AR$15),0),15-13*ORÇAMENTO!$AF$11)),0)</f>
        <v>0</v>
      </c>
      <c r="AS389" s="546">
        <f ca="1">IF(AND($D389="Serviço",AS$12&lt;&gt;0,$H389&gt;0,OR(AUTOEVENTO&lt;&gt;"manual",$M389&lt;&gt;1)),
IF(Import.TipoArredondamento&lt;&gt;"TransfereGOV",
ROUND(OFFSET($P389,0,AS$13),15-13*ORÇAMENTO!$AF$7)/$H389*OFFSET(ORÇAMENTO!$X$15,ROW(AS389)-ROW(AS$15),0),
ROUND(ROUND(OFFSET($P389,0,AS$13),15-13*ORÇAMENTO!$AF$7)*OFFSET(ORÇAMENTO!$W$15,ROW(AS389)-ROW(AS$15),0),15-13*ORÇAMENTO!$AF$11)),0)</f>
        <v>0</v>
      </c>
      <c r="AT389" s="545">
        <f ca="1">IF(AND($D389="Serviço",AT$12&lt;&gt;0,$H389&gt;0,OR(AUTOEVENTO&lt;&gt;"manual",$M389&lt;&gt;1)),
IF(Import.TipoArredondamento&lt;&gt;"TransfereGOV",
ROUND(OFFSET($P389,0,AT$13),15-13*ORÇAMENTO!$AF$7)/$H389*OFFSET(ORÇAMENTO!$X$15,ROW(AT389)-ROW(AT$15),0),
ROUND(ROUND(OFFSET($P389,0,AT$13),15-13*ORÇAMENTO!$AF$7)*OFFSET(ORÇAMENTO!$W$15,ROW(AT389)-ROW(AT$15),0),15-13*ORÇAMENTO!$AF$11)),0)</f>
        <v>0</v>
      </c>
      <c r="AU389" s="545">
        <f ca="1">IF(AND($D389="Serviço",AU$12&lt;&gt;0,$H389&gt;0,OR(AUTOEVENTO&lt;&gt;"manual",$M389&lt;&gt;1)),
IF(Import.TipoArredondamento&lt;&gt;"TransfereGOV",
ROUND(OFFSET($P389,0,AU$13),15-13*ORÇAMENTO!$AF$7)/$H389*OFFSET(ORÇAMENTO!$X$15,ROW(AU389)-ROW(AU$15),0),
ROUND(ROUND(OFFSET($P389,0,AU$13),15-13*ORÇAMENTO!$AF$7)*OFFSET(ORÇAMENTO!$W$15,ROW(AU389)-ROW(AU$15),0),15-13*ORÇAMENTO!$AF$11)),0)</f>
        <v>0</v>
      </c>
      <c r="AV389" s="545">
        <f ca="1">IF(AND($D389="Serviço",AV$12&lt;&gt;0,$H389&gt;0,OR(AUTOEVENTO&lt;&gt;"manual",$M389&lt;&gt;1)),
IF(Import.TipoArredondamento&lt;&gt;"TransfereGOV",
ROUND(OFFSET($P389,0,AV$13),15-13*ORÇAMENTO!$AF$7)/$H389*OFFSET(ORÇAMENTO!$X$15,ROW(AV389)-ROW(AV$15),0),
ROUND(ROUND(OFFSET($P389,0,AV$13),15-13*ORÇAMENTO!$AF$7)*OFFSET(ORÇAMENTO!$W$15,ROW(AV389)-ROW(AV$15),0),15-13*ORÇAMENTO!$AF$11)),0)</f>
        <v>0</v>
      </c>
      <c r="AW389" s="545">
        <f ca="1">IF(AND($D389="Serviço",AW$12&lt;&gt;0,$H389&gt;0,OR(AUTOEVENTO&lt;&gt;"manual",$M389&lt;&gt;1)),
IF(Import.TipoArredondamento&lt;&gt;"TransfereGOV",
ROUND(OFFSET($P389,0,AW$13),15-13*ORÇAMENTO!$AF$7)/$H389*OFFSET(ORÇAMENTO!$X$15,ROW(AW389)-ROW(AW$15),0),
ROUND(ROUND(OFFSET($P389,0,AW$13),15-13*ORÇAMENTO!$AF$7)*OFFSET(ORÇAMENTO!$W$15,ROW(AW389)-ROW(AW$15),0),15-13*ORÇAMENTO!$AF$11)),0)</f>
        <v>0</v>
      </c>
      <c r="AX389" s="545">
        <f ca="1">IF(AND($D389="Serviço",AX$12&lt;&gt;0,$H389&gt;0,OR(AUTOEVENTO&lt;&gt;"manual",$M389&lt;&gt;1)),
IF(Import.TipoArredondamento&lt;&gt;"TransfereGOV",
ROUND(OFFSET($P389,0,AX$13),15-13*ORÇAMENTO!$AF$7)/$H389*OFFSET(ORÇAMENTO!$X$15,ROW(AX389)-ROW(AX$15),0),
ROUND(ROUND(OFFSET($P389,0,AX$13),15-13*ORÇAMENTO!$AF$7)*OFFSET(ORÇAMENTO!$W$15,ROW(AX389)-ROW(AX$15),0),15-13*ORÇAMENTO!$AF$11)),0)</f>
        <v>0</v>
      </c>
      <c r="AY389" s="545">
        <f ca="1">IF(AND($D389="Serviço",AY$12&lt;&gt;0,$H389&gt;0,OR(AUTOEVENTO&lt;&gt;"manual",$M389&lt;&gt;1)),
IF(Import.TipoArredondamento&lt;&gt;"TransfereGOV",
ROUND(OFFSET($P389,0,AY$13),15-13*ORÇAMENTO!$AF$7)/$H389*OFFSET(ORÇAMENTO!$X$15,ROW(AY389)-ROW(AY$15),0),
ROUND(ROUND(OFFSET($P389,0,AY$13),15-13*ORÇAMENTO!$AF$7)*OFFSET(ORÇAMENTO!$W$15,ROW(AY389)-ROW(AY$15),0),15-13*ORÇAMENTO!$AF$11)),0)</f>
        <v>0</v>
      </c>
      <c r="AZ389" s="545">
        <f ca="1">IF(AND($D389="Serviço",AZ$12&lt;&gt;0,$H389&gt;0,OR(AUTOEVENTO&lt;&gt;"manual",$M389&lt;&gt;1)),
IF(Import.TipoArredondamento&lt;&gt;"TransfereGOV",
ROUND(OFFSET($P389,0,AZ$13),15-13*ORÇAMENTO!$AF$7)/$H389*OFFSET(ORÇAMENTO!$X$15,ROW(AZ389)-ROW(AZ$15),0),
ROUND(ROUND(OFFSET($P389,0,AZ$13),15-13*ORÇAMENTO!$AF$7)*OFFSET(ORÇAMENTO!$W$15,ROW(AZ389)-ROW(AZ$15),0),15-13*ORÇAMENTO!$AF$11)),0)</f>
        <v>0</v>
      </c>
      <c r="BA389" s="546">
        <f ca="1">IF(AND($D389="Serviço",BA$12&lt;&gt;0,$H389&gt;0,OR(AUTOEVENTO&lt;&gt;"manual",$M389&lt;&gt;1)),
IF(Import.TipoArredondamento&lt;&gt;"TransfereGOV",
ROUND(OFFSET($P389,0,BA$13),15-13*ORÇAMENTO!$AF$7)/$H389*OFFSET(ORÇAMENTO!$X$15,ROW(BA389)-ROW(BA$15),0),
ROUND(ROUND(OFFSET($P389,0,BA$13),15-13*ORÇAMENTO!$AF$7)*OFFSET(ORÇAMENTO!$W$15,ROW(BA389)-ROW(BA$15),0),15-13*ORÇAMENTO!$AF$11)),0)</f>
        <v>0</v>
      </c>
      <c r="BC389" s="181">
        <f ca="1">IF($D389&lt;&gt;"Serviço",0,IF(AND(AUTOEVENTO="Manual",$M389=1),0,IF(OFFSET(CRONOPLE!$F$14,$M389,BC$13)="",10^12,OFFSET(CRONOPLE!$F$14,$M389,BC$13))))</f>
        <v>10</v>
      </c>
      <c r="BD389" s="181">
        <f ca="1">IF($D389&lt;&gt;"Serviço",0,IF(AND(AUTOEVENTO="Manual",$M389=1),0,IF(OFFSET(CRONOPLE!$F$14,$M389,BD$13)="",10^12,OFFSET(CRONOPLE!$F$14,$M389,BD$13))))</f>
        <v>1000000000000</v>
      </c>
      <c r="BE389" s="181">
        <f ca="1">IF($D389&lt;&gt;"Serviço",0,IF(AND(AUTOEVENTO="Manual",$M389=1),0,IF(OFFSET(CRONOPLE!$F$14,$M389,BE$13)="",10^12,OFFSET(CRONOPLE!$F$14,$M389,BE$13))))</f>
        <v>1000000000000</v>
      </c>
      <c r="BF389" s="181">
        <f ca="1">IF($D389&lt;&gt;"Serviço",0,IF(AND(AUTOEVENTO="Manual",$M389=1),0,IF(OFFSET(CRONOPLE!$F$14,$M389,BF$13)="",10^12,OFFSET(CRONOPLE!$F$14,$M389,BF$13))))</f>
        <v>1000000000000</v>
      </c>
      <c r="BG389" s="181">
        <f ca="1">IF($D389&lt;&gt;"Serviço",0,IF(AND(AUTOEVENTO="Manual",$M389=1),0,IF(OFFSET(CRONOPLE!$F$14,$M389,BG$13)="",10^12,OFFSET(CRONOPLE!$F$14,$M389,BG$13))))</f>
        <v>1000000000000</v>
      </c>
      <c r="BH389" s="181">
        <f ca="1">IF($D389&lt;&gt;"Serviço",0,IF(AND(AUTOEVENTO="Manual",$M389=1),0,IF(OFFSET(CRONOPLE!$F$14,$M389,BH$13)="",10^12,OFFSET(CRONOPLE!$F$14,$M389,BH$13))))</f>
        <v>1000000000000</v>
      </c>
      <c r="BI389" s="181">
        <f ca="1">IF($D389&lt;&gt;"Serviço",0,IF(AND(AUTOEVENTO="Manual",$M389=1),0,IF(OFFSET(CRONOPLE!$F$14,$M389,BI$13)="",10^12,OFFSET(CRONOPLE!$F$14,$M389,BI$13))))</f>
        <v>1000000000000</v>
      </c>
      <c r="BJ389" s="181">
        <f ca="1">IF($D389&lt;&gt;"Serviço",0,IF(AND(AUTOEVENTO="Manual",$M389=1),0,IF(OFFSET(CRONOPLE!$F$14,$M389,BJ$13)="",10^12,OFFSET(CRONOPLE!$F$14,$M389,BJ$13))))</f>
        <v>1000000000000</v>
      </c>
      <c r="BK389" s="181">
        <f ca="1">IF($D389&lt;&gt;"Serviço",0,IF(AND(AUTOEVENTO="Manual",$M389=1),0,IF(OFFSET(CRONOPLE!$F$14,$M389,BK$13)="",10^12,OFFSET(CRONOPLE!$F$14,$M389,BK$13))))</f>
        <v>1000000000000</v>
      </c>
      <c r="BL389" s="181">
        <f ca="1">IF($D389&lt;&gt;"Serviço",0,IF(AND(AUTOEVENTO="Manual",$M389=1),0,IF(OFFSET(CRONOPLE!$F$14,$M389,BL$13)="",10^12,OFFSET(CRONOPLE!$F$14,$M389,BL$13))))</f>
        <v>1000000000000</v>
      </c>
      <c r="BM389" s="181">
        <f ca="1">IF($D389&lt;&gt;"Serviço",0,IF(AND(AUTOEVENTO="Manual",$M389=1),0,IF(OFFSET(CRONOPLE!$F$14,$M389,BM$13)="",10^12,OFFSET(CRONOPLE!$F$14,$M389,BM$13))))</f>
        <v>1000000000000</v>
      </c>
      <c r="BN389" s="181">
        <f ca="1">IF($D389&lt;&gt;"Serviço",0,IF(AND(AUTOEVENTO="Manual",$M389=1),0,IF(OFFSET(CRONOPLE!$F$14,$M389,BN$13)="",10^12,OFFSET(CRONOPLE!$F$14,$M389,BN$13))))</f>
        <v>1000000000000</v>
      </c>
      <c r="BO389" s="181">
        <f ca="1">IF($D389&lt;&gt;"Serviço",0,IF(AND(AUTOEVENTO="Manual",$M389=1),0,IF(OFFSET(CRONOPLE!$F$14,$M389,BO$13)="",10^12,OFFSET(CRONOPLE!$F$14,$M389,BO$13))))</f>
        <v>1000000000000</v>
      </c>
      <c r="BP389" s="181">
        <f ca="1">IF($D389&lt;&gt;"Serviço",0,IF(AND(AUTOEVENTO="Manual",$M389=1),0,IF(OFFSET(CRONOPLE!$F$14,$M389,BP$13)="",10^12,OFFSET(CRONOPLE!$F$14,$M389,BP$13))))</f>
        <v>1000000000000</v>
      </c>
      <c r="BQ389" s="181">
        <f ca="1">IF($D389&lt;&gt;"Serviço",0,IF(AND(AUTOEVENTO="Manual",$M389=1),0,IF(OFFSET(CRONOPLE!$F$14,$M389,BQ$13)="",10^12,OFFSET(CRONOPLE!$F$14,$M389,BQ$13))))</f>
        <v>1000000000000</v>
      </c>
      <c r="BR389" s="181">
        <f ca="1">IF($D389&lt;&gt;"Serviço",0,IF(AND(AUTOEVENTO="Manual",$M389=1),0,IF(OFFSET(CRONOPLE!$F$14,$M389,BR$13)="",10^12,OFFSET(CRONOPLE!$F$14,$M389,BR$13))))</f>
        <v>1000000000000</v>
      </c>
      <c r="BS389" s="181">
        <f ca="1">IF($D389&lt;&gt;"Serviço",0,IF(AND(AUTOEVENTO="Manual",$M389=1),0,IF(OFFSET(CRONOPLE!$F$14,$M389,BS$13)="",10^12,OFFSET(CRONOPLE!$F$14,$M389,BS$13))))</f>
        <v>1000000000000</v>
      </c>
      <c r="BT389" s="181">
        <f ca="1">IF($D389&lt;&gt;"Serviço",0,IF(AND(AUTOEVENTO="Manual",$M389=1),0,IF(OFFSET(CRONOPLE!$F$14,$M389,BT$13)="",10^12,OFFSET(CRONOPLE!$F$14,$M389,BT$13))))</f>
        <v>1000000000000</v>
      </c>
      <c r="BV389" s="182">
        <f ca="1">IF($D389&lt;&gt;"Serviço",0,IF(OR(AND(AUTOEVENTO="Manual",$M389=1),$M389&gt;(ROW(PLE.lastrow)-ROW(PLE.firstrow))),0,IF(OFFSET(PLE!$G$14,$M389,BV$13)="",10^12,OFFSET(PLE!$G$14,$M389,BV$13))))</f>
        <v>1000000000000</v>
      </c>
      <c r="BW389" s="182">
        <f ca="1">IF($D389&lt;&gt;"Serviço",0,IF(OR(AND(AUTOEVENTO="Manual",$M389=1),$M389&gt;(ROW(PLE.lastrow)-ROW(PLE.firstrow))),0,IF(OFFSET(PLE!$G$14,$M389,BW$13)="",10^12,OFFSET(PLE!$G$14,$M389,BW$13))))</f>
        <v>1000000000000</v>
      </c>
      <c r="BX389" s="182">
        <f ca="1">IF($D389&lt;&gt;"Serviço",0,IF(OR(AND(AUTOEVENTO="Manual",$M389=1),$M389&gt;(ROW(PLE.lastrow)-ROW(PLE.firstrow))),0,IF(OFFSET(PLE!$G$14,$M389,BX$13)="",10^12,OFFSET(PLE!$G$14,$M389,BX$13))))</f>
        <v>1000000000000</v>
      </c>
      <c r="BY389" s="182">
        <f ca="1">IF($D389&lt;&gt;"Serviço",0,IF(OR(AND(AUTOEVENTO="Manual",$M389=1),$M389&gt;(ROW(PLE.lastrow)-ROW(PLE.firstrow))),0,IF(OFFSET(PLE!$G$14,$M389,BY$13)="",10^12,OFFSET(PLE!$G$14,$M389,BY$13))))</f>
        <v>1000000000000</v>
      </c>
      <c r="BZ389" s="182">
        <f ca="1">IF($D389&lt;&gt;"Serviço",0,IF(OR(AND(AUTOEVENTO="Manual",$M389=1),$M389&gt;(ROW(PLE.lastrow)-ROW(PLE.firstrow))),0,IF(OFFSET(PLE!$G$14,$M389,BZ$13)="",10^12,OFFSET(PLE!$G$14,$M389,BZ$13))))</f>
        <v>1000000000000</v>
      </c>
      <c r="CA389" s="182">
        <f ca="1">IF($D389&lt;&gt;"Serviço",0,IF(OR(AND(AUTOEVENTO="Manual",$M389=1),$M389&gt;(ROW(PLE.lastrow)-ROW(PLE.firstrow))),0,IF(OFFSET(PLE!$G$14,$M389,CA$13)="",10^12,OFFSET(PLE!$G$14,$M389,CA$13))))</f>
        <v>1000000000000</v>
      </c>
      <c r="CB389" s="182">
        <f ca="1">IF($D389&lt;&gt;"Serviço",0,IF(OR(AND(AUTOEVENTO="Manual",$M389=1),$M389&gt;(ROW(PLE.lastrow)-ROW(PLE.firstrow))),0,IF(OFFSET(PLE!$G$14,$M389,CB$13)="",10^12,OFFSET(PLE!$G$14,$M389,CB$13))))</f>
        <v>1000000000000</v>
      </c>
      <c r="CC389" s="182">
        <f ca="1">IF($D389&lt;&gt;"Serviço",0,IF(OR(AND(AUTOEVENTO="Manual",$M389=1),$M389&gt;(ROW(PLE.lastrow)-ROW(PLE.firstrow))),0,IF(OFFSET(PLE!$G$14,$M389,CC$13)="",10^12,OFFSET(PLE!$G$14,$M389,CC$13))))</f>
        <v>1000000000000</v>
      </c>
      <c r="CD389" s="182">
        <f ca="1">IF($D389&lt;&gt;"Serviço",0,IF(OR(AND(AUTOEVENTO="Manual",$M389=1),$M389&gt;(ROW(PLE.lastrow)-ROW(PLE.firstrow))),0,IF(OFFSET(PLE!$G$14,$M389,CD$13)="",10^12,OFFSET(PLE!$G$14,$M389,CD$13))))</f>
        <v>1000000000000</v>
      </c>
      <c r="CE389" s="182">
        <f ca="1">IF($D389&lt;&gt;"Serviço",0,IF(OR(AND(AUTOEVENTO="Manual",$M389=1),$M389&gt;(ROW(PLE.lastrow)-ROW(PLE.firstrow))),0,IF(OFFSET(PLE!$G$14,$M389,CE$13)="",10^12,OFFSET(PLE!$G$14,$M389,CE$13))))</f>
        <v>1000000000000</v>
      </c>
      <c r="CF389" s="182">
        <f ca="1">IF($D389&lt;&gt;"Serviço",0,IF(OR(AND(AUTOEVENTO="Manual",$M389=1),$M389&gt;(ROW(PLE.lastrow)-ROW(PLE.firstrow))),0,IF(OFFSET(PLE!$G$14,$M389,CF$13)="",10^12,OFFSET(PLE!$G$14,$M389,CF$13))))</f>
        <v>1000000000000</v>
      </c>
      <c r="CG389" s="182">
        <f ca="1">IF($D389&lt;&gt;"Serviço",0,IF(OR(AND(AUTOEVENTO="Manual",$M389=1),$M389&gt;(ROW(PLE.lastrow)-ROW(PLE.firstrow))),0,IF(OFFSET(PLE!$G$14,$M389,CG$13)="",10^12,OFFSET(PLE!$G$14,$M389,CG$13))))</f>
        <v>1000000000000</v>
      </c>
      <c r="CH389" s="182">
        <f ca="1">IF($D389&lt;&gt;"Serviço",0,IF(OR(AND(AUTOEVENTO="Manual",$M389=1),$M389&gt;(ROW(PLE.lastrow)-ROW(PLE.firstrow))),0,IF(OFFSET(PLE!$G$14,$M389,CH$13)="",10^12,OFFSET(PLE!$G$14,$M389,CH$13))))</f>
        <v>1000000000000</v>
      </c>
      <c r="CI389" s="182">
        <f ca="1">IF($D389&lt;&gt;"Serviço",0,IF(OR(AND(AUTOEVENTO="Manual",$M389=1),$M389&gt;(ROW(PLE.lastrow)-ROW(PLE.firstrow))),0,IF(OFFSET(PLE!$G$14,$M389,CI$13)="",10^12,OFFSET(PLE!$G$14,$M389,CI$13))))</f>
        <v>1000000000000</v>
      </c>
      <c r="CJ389" s="182">
        <f ca="1">IF($D389&lt;&gt;"Serviço",0,IF(OR(AND(AUTOEVENTO="Manual",$M389=1),$M389&gt;(ROW(PLE.lastrow)-ROW(PLE.firstrow))),0,IF(OFFSET(PLE!$G$14,$M389,CJ$13)="",10^12,OFFSET(PLE!$G$14,$M389,CJ$13))))</f>
        <v>1000000000000</v>
      </c>
      <c r="CK389" s="182">
        <f ca="1">IF($D389&lt;&gt;"Serviço",0,IF(OR(AND(AUTOEVENTO="Manual",$M389=1),$M389&gt;(ROW(PLE.lastrow)-ROW(PLE.firstrow))),0,IF(OFFSET(PLE!$G$14,$M389,CK$13)="",10^12,OFFSET(PLE!$G$14,$M389,CK$13))))</f>
        <v>1000000000000</v>
      </c>
      <c r="CL389" s="182">
        <f ca="1">IF($D389&lt;&gt;"Serviço",0,IF(OR(AND(AUTOEVENTO="Manual",$M389=1),$M389&gt;(ROW(PLE.lastrow)-ROW(PLE.firstrow))),0,IF(OFFSET(PLE!$G$14,$M389,CL$13)="",10^12,OFFSET(PLE!$G$14,$M389,CL$13))))</f>
        <v>1000000000000</v>
      </c>
      <c r="CM389" s="182">
        <f ca="1">IF($D389&lt;&gt;"Serviço",0,IF(OR(AND(AUTOEVENTO="Manual",$M389=1),$M389&gt;(ROW(PLE.lastrow)-ROW(PLE.firstrow))),0,IF(OFFSET(PLE!$G$14,$M389,CM$13)="",10^12,OFFSET(PLE!$G$14,$M389,CM$13))))</f>
        <v>1000000000000</v>
      </c>
    </row>
    <row r="390" spans="1:91" ht="38.25" x14ac:dyDescent="0.2">
      <c r="A390" s="7" t="str">
        <f t="shared" ca="1" si="13"/>
        <v>350</v>
      </c>
      <c r="B390" s="7" t="str">
        <f ca="1">OFFSET(ORÇAMENTO!C$15,ROW(B390)-ROW(B$15),0)</f>
        <v>S</v>
      </c>
      <c r="C390" s="7" t="str">
        <f ca="1">OFFSET(ORÇAMENTO!L$15,ROW(C390)-ROW(C$15),0)</f>
        <v/>
      </c>
      <c r="D390" s="118" t="str">
        <f ca="1">OFFSET(ORÇAMENTO!N$15,ROW(D390)-ROW(D$15),0)</f>
        <v>Serviço</v>
      </c>
      <c r="E390" s="119" t="str">
        <f ca="1">OFFSET(ORÇAMENTO!O$15,ROW(E390)-ROW(E$15),0)</f>
        <v>-</v>
      </c>
      <c r="F390" s="172" t="str">
        <f ca="1">OFFSET(ORÇAMENTO!R$15,ROW(F390)-ROW(F$15),0)</f>
        <v>(abra o arquivo 'Referência 06-2024.xlsm)</v>
      </c>
      <c r="G390" s="173" t="str">
        <f ca="1">IF($D390&lt;&gt;"Serviço","",OFFSET(ORÇAMENTO!S$15,ROW(G390)-ROW(G$15),0))</f>
        <v>-</v>
      </c>
      <c r="H390" s="124">
        <f ca="1">IF($D390&lt;&gt;"Serviço",0,IF(ACOMPANHAMENTO="BM",ROUND(OFFSET(ORÇAMENTO!AJ$15,ROW(H390)-ROW(H$15),0),15-13*ORÇAMENTO!$AF$7),SUMPRODUCT(($Q$12:$AI$12&lt;&gt;"")*ROUND($Q390:$AI390,15-13*ORÇAMENTO!$AF$7))))</f>
        <v>6</v>
      </c>
      <c r="I390" s="561" t="s">
        <v>1107</v>
      </c>
      <c r="K390" s="174"/>
      <c r="L390" s="175" t="s">
        <v>255</v>
      </c>
      <c r="M390" s="176">
        <f ca="1">IF($D390&lt;&gt;"Serviço","",IF(AUTOEVENTO="manual",$A390,IF(ISERROR(MATCH($A390,$A$15:OFFSET($A390,-1,0),0)),MAX($M$15:OFFSET(M390,-1,0))+1,INDEX($M$15:OFFSET(M390,-1,0),MATCH($A390,$A$15:OFFSET($A390,-1,0),0)))))</f>
        <v>44</v>
      </c>
      <c r="N390" s="177" t="str">
        <f ca="1">IF($D390&lt;&gt;"Serviço","",IF(AUTOEVENTO="Manual",IF($A390=0,"&lt;-- defina o número do agrupador",OFFSET(EVENTOS!$D$14,$A390,0)),OFFSET($F$15,$A390,0)))</f>
        <v>LOUÇAS, ACESSÓRIOS E METAIS</v>
      </c>
      <c r="O390" s="178"/>
      <c r="Q390" s="178">
        <v>6</v>
      </c>
      <c r="R390" s="179"/>
      <c r="S390" s="179"/>
      <c r="T390" s="179"/>
      <c r="U390" s="179"/>
      <c r="V390" s="179"/>
      <c r="W390" s="179"/>
      <c r="X390" s="179"/>
      <c r="Y390" s="179"/>
      <c r="Z390" s="180"/>
      <c r="AA390" s="179"/>
      <c r="AB390" s="179"/>
      <c r="AC390" s="179"/>
      <c r="AD390" s="179"/>
      <c r="AE390" s="179"/>
      <c r="AF390" s="179"/>
      <c r="AG390" s="179"/>
      <c r="AH390" s="180"/>
      <c r="AJ390" s="544">
        <f ca="1">IF(AND($D390="Serviço",AJ$12&lt;&gt;0,$H390&gt;0,OR(AUTOEVENTO&lt;&gt;"manual",$M390&lt;&gt;1)),
IF(Import.TipoArredondamento&lt;&gt;"TransfereGOV",
ROUND(OFFSET($P390,0,AJ$13),15-13*ORÇAMENTO!$AF$7)/$H390*OFFSET(ORÇAMENTO!$X$15,ROW(AJ390)-ROW(AJ$15),0),
ROUND(ROUND(OFFSET($P390,0,AJ$13),15-13*ORÇAMENTO!$AF$7)*OFFSET(ORÇAMENTO!$W$15,ROW(AJ390)-ROW(AJ$15),0),15-13*ORÇAMENTO!$AF$11)),0)</f>
        <v>0</v>
      </c>
      <c r="AK390" s="545">
        <f ca="1">IF(AND($D390="Serviço",AK$12&lt;&gt;0,$H390&gt;0,OR(AUTOEVENTO&lt;&gt;"manual",$M390&lt;&gt;1)),
IF(Import.TipoArredondamento&lt;&gt;"TransfereGOV",
ROUND(OFFSET($P390,0,AK$13),15-13*ORÇAMENTO!$AF$7)/$H390*OFFSET(ORÇAMENTO!$X$15,ROW(AK390)-ROW(AK$15),0),
ROUND(ROUND(OFFSET($P390,0,AK$13),15-13*ORÇAMENTO!$AF$7)*OFFSET(ORÇAMENTO!$W$15,ROW(AK390)-ROW(AK$15),0),15-13*ORÇAMENTO!$AF$11)),0)</f>
        <v>0</v>
      </c>
      <c r="AL390" s="545">
        <f ca="1">IF(AND($D390="Serviço",AL$12&lt;&gt;0,$H390&gt;0,OR(AUTOEVENTO&lt;&gt;"manual",$M390&lt;&gt;1)),
IF(Import.TipoArredondamento&lt;&gt;"TransfereGOV",
ROUND(OFFSET($P390,0,AL$13),15-13*ORÇAMENTO!$AF$7)/$H390*OFFSET(ORÇAMENTO!$X$15,ROW(AL390)-ROW(AL$15),0),
ROUND(ROUND(OFFSET($P390,0,AL$13),15-13*ORÇAMENTO!$AF$7)*OFFSET(ORÇAMENTO!$W$15,ROW(AL390)-ROW(AL$15),0),15-13*ORÇAMENTO!$AF$11)),0)</f>
        <v>0</v>
      </c>
      <c r="AM390" s="545">
        <f ca="1">IF(AND($D390="Serviço",AM$12&lt;&gt;0,$H390&gt;0,OR(AUTOEVENTO&lt;&gt;"manual",$M390&lt;&gt;1)),
IF(Import.TipoArredondamento&lt;&gt;"TransfereGOV",
ROUND(OFFSET($P390,0,AM$13),15-13*ORÇAMENTO!$AF$7)/$H390*OFFSET(ORÇAMENTO!$X$15,ROW(AM390)-ROW(AM$15),0),
ROUND(ROUND(OFFSET($P390,0,AM$13),15-13*ORÇAMENTO!$AF$7)*OFFSET(ORÇAMENTO!$W$15,ROW(AM390)-ROW(AM$15),0),15-13*ORÇAMENTO!$AF$11)),0)</f>
        <v>0</v>
      </c>
      <c r="AN390" s="545">
        <f ca="1">IF(AND($D390="Serviço",AN$12&lt;&gt;0,$H390&gt;0,OR(AUTOEVENTO&lt;&gt;"manual",$M390&lt;&gt;1)),
IF(Import.TipoArredondamento&lt;&gt;"TransfereGOV",
ROUND(OFFSET($P390,0,AN$13),15-13*ORÇAMENTO!$AF$7)/$H390*OFFSET(ORÇAMENTO!$X$15,ROW(AN390)-ROW(AN$15),0),
ROUND(ROUND(OFFSET($P390,0,AN$13),15-13*ORÇAMENTO!$AF$7)*OFFSET(ORÇAMENTO!$W$15,ROW(AN390)-ROW(AN$15),0),15-13*ORÇAMENTO!$AF$11)),0)</f>
        <v>0</v>
      </c>
      <c r="AO390" s="545">
        <f ca="1">IF(AND($D390="Serviço",AO$12&lt;&gt;0,$H390&gt;0,OR(AUTOEVENTO&lt;&gt;"manual",$M390&lt;&gt;1)),
IF(Import.TipoArredondamento&lt;&gt;"TransfereGOV",
ROUND(OFFSET($P390,0,AO$13),15-13*ORÇAMENTO!$AF$7)/$H390*OFFSET(ORÇAMENTO!$X$15,ROW(AO390)-ROW(AO$15),0),
ROUND(ROUND(OFFSET($P390,0,AO$13),15-13*ORÇAMENTO!$AF$7)*OFFSET(ORÇAMENTO!$W$15,ROW(AO390)-ROW(AO$15),0),15-13*ORÇAMENTO!$AF$11)),0)</f>
        <v>0</v>
      </c>
      <c r="AP390" s="545">
        <f ca="1">IF(AND($D390="Serviço",AP$12&lt;&gt;0,$H390&gt;0,OR(AUTOEVENTO&lt;&gt;"manual",$M390&lt;&gt;1)),
IF(Import.TipoArredondamento&lt;&gt;"TransfereGOV",
ROUND(OFFSET($P390,0,AP$13),15-13*ORÇAMENTO!$AF$7)/$H390*OFFSET(ORÇAMENTO!$X$15,ROW(AP390)-ROW(AP$15),0),
ROUND(ROUND(OFFSET($P390,0,AP$13),15-13*ORÇAMENTO!$AF$7)*OFFSET(ORÇAMENTO!$W$15,ROW(AP390)-ROW(AP$15),0),15-13*ORÇAMENTO!$AF$11)),0)</f>
        <v>0</v>
      </c>
      <c r="AQ390" s="545">
        <f ca="1">IF(AND($D390="Serviço",AQ$12&lt;&gt;0,$H390&gt;0,OR(AUTOEVENTO&lt;&gt;"manual",$M390&lt;&gt;1)),
IF(Import.TipoArredondamento&lt;&gt;"TransfereGOV",
ROUND(OFFSET($P390,0,AQ$13),15-13*ORÇAMENTO!$AF$7)/$H390*OFFSET(ORÇAMENTO!$X$15,ROW(AQ390)-ROW(AQ$15),0),
ROUND(ROUND(OFFSET($P390,0,AQ$13),15-13*ORÇAMENTO!$AF$7)*OFFSET(ORÇAMENTO!$W$15,ROW(AQ390)-ROW(AQ$15),0),15-13*ORÇAMENTO!$AF$11)),0)</f>
        <v>0</v>
      </c>
      <c r="AR390" s="545">
        <f ca="1">IF(AND($D390="Serviço",AR$12&lt;&gt;0,$H390&gt;0,OR(AUTOEVENTO&lt;&gt;"manual",$M390&lt;&gt;1)),
IF(Import.TipoArredondamento&lt;&gt;"TransfereGOV",
ROUND(OFFSET($P390,0,AR$13),15-13*ORÇAMENTO!$AF$7)/$H390*OFFSET(ORÇAMENTO!$X$15,ROW(AR390)-ROW(AR$15),0),
ROUND(ROUND(OFFSET($P390,0,AR$13),15-13*ORÇAMENTO!$AF$7)*OFFSET(ORÇAMENTO!$W$15,ROW(AR390)-ROW(AR$15),0),15-13*ORÇAMENTO!$AF$11)),0)</f>
        <v>0</v>
      </c>
      <c r="AS390" s="546">
        <f ca="1">IF(AND($D390="Serviço",AS$12&lt;&gt;0,$H390&gt;0,OR(AUTOEVENTO&lt;&gt;"manual",$M390&lt;&gt;1)),
IF(Import.TipoArredondamento&lt;&gt;"TransfereGOV",
ROUND(OFFSET($P390,0,AS$13),15-13*ORÇAMENTO!$AF$7)/$H390*OFFSET(ORÇAMENTO!$X$15,ROW(AS390)-ROW(AS$15),0),
ROUND(ROUND(OFFSET($P390,0,AS$13),15-13*ORÇAMENTO!$AF$7)*OFFSET(ORÇAMENTO!$W$15,ROW(AS390)-ROW(AS$15),0),15-13*ORÇAMENTO!$AF$11)),0)</f>
        <v>0</v>
      </c>
      <c r="AT390" s="545">
        <f ca="1">IF(AND($D390="Serviço",AT$12&lt;&gt;0,$H390&gt;0,OR(AUTOEVENTO&lt;&gt;"manual",$M390&lt;&gt;1)),
IF(Import.TipoArredondamento&lt;&gt;"TransfereGOV",
ROUND(OFFSET($P390,0,AT$13),15-13*ORÇAMENTO!$AF$7)/$H390*OFFSET(ORÇAMENTO!$X$15,ROW(AT390)-ROW(AT$15),0),
ROUND(ROUND(OFFSET($P390,0,AT$13),15-13*ORÇAMENTO!$AF$7)*OFFSET(ORÇAMENTO!$W$15,ROW(AT390)-ROW(AT$15),0),15-13*ORÇAMENTO!$AF$11)),0)</f>
        <v>0</v>
      </c>
      <c r="AU390" s="545">
        <f ca="1">IF(AND($D390="Serviço",AU$12&lt;&gt;0,$H390&gt;0,OR(AUTOEVENTO&lt;&gt;"manual",$M390&lt;&gt;1)),
IF(Import.TipoArredondamento&lt;&gt;"TransfereGOV",
ROUND(OFFSET($P390,0,AU$13),15-13*ORÇAMENTO!$AF$7)/$H390*OFFSET(ORÇAMENTO!$X$15,ROW(AU390)-ROW(AU$15),0),
ROUND(ROUND(OFFSET($P390,0,AU$13),15-13*ORÇAMENTO!$AF$7)*OFFSET(ORÇAMENTO!$W$15,ROW(AU390)-ROW(AU$15),0),15-13*ORÇAMENTO!$AF$11)),0)</f>
        <v>0</v>
      </c>
      <c r="AV390" s="545">
        <f ca="1">IF(AND($D390="Serviço",AV$12&lt;&gt;0,$H390&gt;0,OR(AUTOEVENTO&lt;&gt;"manual",$M390&lt;&gt;1)),
IF(Import.TipoArredondamento&lt;&gt;"TransfereGOV",
ROUND(OFFSET($P390,0,AV$13),15-13*ORÇAMENTO!$AF$7)/$H390*OFFSET(ORÇAMENTO!$X$15,ROW(AV390)-ROW(AV$15),0),
ROUND(ROUND(OFFSET($P390,0,AV$13),15-13*ORÇAMENTO!$AF$7)*OFFSET(ORÇAMENTO!$W$15,ROW(AV390)-ROW(AV$15),0),15-13*ORÇAMENTO!$AF$11)),0)</f>
        <v>0</v>
      </c>
      <c r="AW390" s="545">
        <f ca="1">IF(AND($D390="Serviço",AW$12&lt;&gt;0,$H390&gt;0,OR(AUTOEVENTO&lt;&gt;"manual",$M390&lt;&gt;1)),
IF(Import.TipoArredondamento&lt;&gt;"TransfereGOV",
ROUND(OFFSET($P390,0,AW$13),15-13*ORÇAMENTO!$AF$7)/$H390*OFFSET(ORÇAMENTO!$X$15,ROW(AW390)-ROW(AW$15),0),
ROUND(ROUND(OFFSET($P390,0,AW$13),15-13*ORÇAMENTO!$AF$7)*OFFSET(ORÇAMENTO!$W$15,ROW(AW390)-ROW(AW$15),0),15-13*ORÇAMENTO!$AF$11)),0)</f>
        <v>0</v>
      </c>
      <c r="AX390" s="545">
        <f ca="1">IF(AND($D390="Serviço",AX$12&lt;&gt;0,$H390&gt;0,OR(AUTOEVENTO&lt;&gt;"manual",$M390&lt;&gt;1)),
IF(Import.TipoArredondamento&lt;&gt;"TransfereGOV",
ROUND(OFFSET($P390,0,AX$13),15-13*ORÇAMENTO!$AF$7)/$H390*OFFSET(ORÇAMENTO!$X$15,ROW(AX390)-ROW(AX$15),0),
ROUND(ROUND(OFFSET($P390,0,AX$13),15-13*ORÇAMENTO!$AF$7)*OFFSET(ORÇAMENTO!$W$15,ROW(AX390)-ROW(AX$15),0),15-13*ORÇAMENTO!$AF$11)),0)</f>
        <v>0</v>
      </c>
      <c r="AY390" s="545">
        <f ca="1">IF(AND($D390="Serviço",AY$12&lt;&gt;0,$H390&gt;0,OR(AUTOEVENTO&lt;&gt;"manual",$M390&lt;&gt;1)),
IF(Import.TipoArredondamento&lt;&gt;"TransfereGOV",
ROUND(OFFSET($P390,0,AY$13),15-13*ORÇAMENTO!$AF$7)/$H390*OFFSET(ORÇAMENTO!$X$15,ROW(AY390)-ROW(AY$15),0),
ROUND(ROUND(OFFSET($P390,0,AY$13),15-13*ORÇAMENTO!$AF$7)*OFFSET(ORÇAMENTO!$W$15,ROW(AY390)-ROW(AY$15),0),15-13*ORÇAMENTO!$AF$11)),0)</f>
        <v>0</v>
      </c>
      <c r="AZ390" s="545">
        <f ca="1">IF(AND($D390="Serviço",AZ$12&lt;&gt;0,$H390&gt;0,OR(AUTOEVENTO&lt;&gt;"manual",$M390&lt;&gt;1)),
IF(Import.TipoArredondamento&lt;&gt;"TransfereGOV",
ROUND(OFFSET($P390,0,AZ$13),15-13*ORÇAMENTO!$AF$7)/$H390*OFFSET(ORÇAMENTO!$X$15,ROW(AZ390)-ROW(AZ$15),0),
ROUND(ROUND(OFFSET($P390,0,AZ$13),15-13*ORÇAMENTO!$AF$7)*OFFSET(ORÇAMENTO!$W$15,ROW(AZ390)-ROW(AZ$15),0),15-13*ORÇAMENTO!$AF$11)),0)</f>
        <v>0</v>
      </c>
      <c r="BA390" s="546">
        <f ca="1">IF(AND($D390="Serviço",BA$12&lt;&gt;0,$H390&gt;0,OR(AUTOEVENTO&lt;&gt;"manual",$M390&lt;&gt;1)),
IF(Import.TipoArredondamento&lt;&gt;"TransfereGOV",
ROUND(OFFSET($P390,0,BA$13),15-13*ORÇAMENTO!$AF$7)/$H390*OFFSET(ORÇAMENTO!$X$15,ROW(BA390)-ROW(BA$15),0),
ROUND(ROUND(OFFSET($P390,0,BA$13),15-13*ORÇAMENTO!$AF$7)*OFFSET(ORÇAMENTO!$W$15,ROW(BA390)-ROW(BA$15),0),15-13*ORÇAMENTO!$AF$11)),0)</f>
        <v>0</v>
      </c>
      <c r="BC390" s="181">
        <f ca="1">IF($D390&lt;&gt;"Serviço",0,IF(AND(AUTOEVENTO="Manual",$M390=1),0,IF(OFFSET(CRONOPLE!$F$14,$M390,BC$13)="",10^12,OFFSET(CRONOPLE!$F$14,$M390,BC$13))))</f>
        <v>10</v>
      </c>
      <c r="BD390" s="181">
        <f ca="1">IF($D390&lt;&gt;"Serviço",0,IF(AND(AUTOEVENTO="Manual",$M390=1),0,IF(OFFSET(CRONOPLE!$F$14,$M390,BD$13)="",10^12,OFFSET(CRONOPLE!$F$14,$M390,BD$13))))</f>
        <v>1000000000000</v>
      </c>
      <c r="BE390" s="181">
        <f ca="1">IF($D390&lt;&gt;"Serviço",0,IF(AND(AUTOEVENTO="Manual",$M390=1),0,IF(OFFSET(CRONOPLE!$F$14,$M390,BE$13)="",10^12,OFFSET(CRONOPLE!$F$14,$M390,BE$13))))</f>
        <v>1000000000000</v>
      </c>
      <c r="BF390" s="181">
        <f ca="1">IF($D390&lt;&gt;"Serviço",0,IF(AND(AUTOEVENTO="Manual",$M390=1),0,IF(OFFSET(CRONOPLE!$F$14,$M390,BF$13)="",10^12,OFFSET(CRONOPLE!$F$14,$M390,BF$13))))</f>
        <v>1000000000000</v>
      </c>
      <c r="BG390" s="181">
        <f ca="1">IF($D390&lt;&gt;"Serviço",0,IF(AND(AUTOEVENTO="Manual",$M390=1),0,IF(OFFSET(CRONOPLE!$F$14,$M390,BG$13)="",10^12,OFFSET(CRONOPLE!$F$14,$M390,BG$13))))</f>
        <v>1000000000000</v>
      </c>
      <c r="BH390" s="181">
        <f ca="1">IF($D390&lt;&gt;"Serviço",0,IF(AND(AUTOEVENTO="Manual",$M390=1),0,IF(OFFSET(CRONOPLE!$F$14,$M390,BH$13)="",10^12,OFFSET(CRONOPLE!$F$14,$M390,BH$13))))</f>
        <v>1000000000000</v>
      </c>
      <c r="BI390" s="181">
        <f ca="1">IF($D390&lt;&gt;"Serviço",0,IF(AND(AUTOEVENTO="Manual",$M390=1),0,IF(OFFSET(CRONOPLE!$F$14,$M390,BI$13)="",10^12,OFFSET(CRONOPLE!$F$14,$M390,BI$13))))</f>
        <v>1000000000000</v>
      </c>
      <c r="BJ390" s="181">
        <f ca="1">IF($D390&lt;&gt;"Serviço",0,IF(AND(AUTOEVENTO="Manual",$M390=1),0,IF(OFFSET(CRONOPLE!$F$14,$M390,BJ$13)="",10^12,OFFSET(CRONOPLE!$F$14,$M390,BJ$13))))</f>
        <v>1000000000000</v>
      </c>
      <c r="BK390" s="181">
        <f ca="1">IF($D390&lt;&gt;"Serviço",0,IF(AND(AUTOEVENTO="Manual",$M390=1),0,IF(OFFSET(CRONOPLE!$F$14,$M390,BK$13)="",10^12,OFFSET(CRONOPLE!$F$14,$M390,BK$13))))</f>
        <v>1000000000000</v>
      </c>
      <c r="BL390" s="181">
        <f ca="1">IF($D390&lt;&gt;"Serviço",0,IF(AND(AUTOEVENTO="Manual",$M390=1),0,IF(OFFSET(CRONOPLE!$F$14,$M390,BL$13)="",10^12,OFFSET(CRONOPLE!$F$14,$M390,BL$13))))</f>
        <v>1000000000000</v>
      </c>
      <c r="BM390" s="181">
        <f ca="1">IF($D390&lt;&gt;"Serviço",0,IF(AND(AUTOEVENTO="Manual",$M390=1),0,IF(OFFSET(CRONOPLE!$F$14,$M390,BM$13)="",10^12,OFFSET(CRONOPLE!$F$14,$M390,BM$13))))</f>
        <v>1000000000000</v>
      </c>
      <c r="BN390" s="181">
        <f ca="1">IF($D390&lt;&gt;"Serviço",0,IF(AND(AUTOEVENTO="Manual",$M390=1),0,IF(OFFSET(CRONOPLE!$F$14,$M390,BN$13)="",10^12,OFFSET(CRONOPLE!$F$14,$M390,BN$13))))</f>
        <v>1000000000000</v>
      </c>
      <c r="BO390" s="181">
        <f ca="1">IF($D390&lt;&gt;"Serviço",0,IF(AND(AUTOEVENTO="Manual",$M390=1),0,IF(OFFSET(CRONOPLE!$F$14,$M390,BO$13)="",10^12,OFFSET(CRONOPLE!$F$14,$M390,BO$13))))</f>
        <v>1000000000000</v>
      </c>
      <c r="BP390" s="181">
        <f ca="1">IF($D390&lt;&gt;"Serviço",0,IF(AND(AUTOEVENTO="Manual",$M390=1),0,IF(OFFSET(CRONOPLE!$F$14,$M390,BP$13)="",10^12,OFFSET(CRONOPLE!$F$14,$M390,BP$13))))</f>
        <v>1000000000000</v>
      </c>
      <c r="BQ390" s="181">
        <f ca="1">IF($D390&lt;&gt;"Serviço",0,IF(AND(AUTOEVENTO="Manual",$M390=1),0,IF(OFFSET(CRONOPLE!$F$14,$M390,BQ$13)="",10^12,OFFSET(CRONOPLE!$F$14,$M390,BQ$13))))</f>
        <v>1000000000000</v>
      </c>
      <c r="BR390" s="181">
        <f ca="1">IF($D390&lt;&gt;"Serviço",0,IF(AND(AUTOEVENTO="Manual",$M390=1),0,IF(OFFSET(CRONOPLE!$F$14,$M390,BR$13)="",10^12,OFFSET(CRONOPLE!$F$14,$M390,BR$13))))</f>
        <v>1000000000000</v>
      </c>
      <c r="BS390" s="181">
        <f ca="1">IF($D390&lt;&gt;"Serviço",0,IF(AND(AUTOEVENTO="Manual",$M390=1),0,IF(OFFSET(CRONOPLE!$F$14,$M390,BS$13)="",10^12,OFFSET(CRONOPLE!$F$14,$M390,BS$13))))</f>
        <v>1000000000000</v>
      </c>
      <c r="BT390" s="181">
        <f ca="1">IF($D390&lt;&gt;"Serviço",0,IF(AND(AUTOEVENTO="Manual",$M390=1),0,IF(OFFSET(CRONOPLE!$F$14,$M390,BT$13)="",10^12,OFFSET(CRONOPLE!$F$14,$M390,BT$13))))</f>
        <v>1000000000000</v>
      </c>
      <c r="BV390" s="182">
        <f ca="1">IF($D390&lt;&gt;"Serviço",0,IF(OR(AND(AUTOEVENTO="Manual",$M390=1),$M390&gt;(ROW(PLE.lastrow)-ROW(PLE.firstrow))),0,IF(OFFSET(PLE!$G$14,$M390,BV$13)="",10^12,OFFSET(PLE!$G$14,$M390,BV$13))))</f>
        <v>1000000000000</v>
      </c>
      <c r="BW390" s="182">
        <f ca="1">IF($D390&lt;&gt;"Serviço",0,IF(OR(AND(AUTOEVENTO="Manual",$M390=1),$M390&gt;(ROW(PLE.lastrow)-ROW(PLE.firstrow))),0,IF(OFFSET(PLE!$G$14,$M390,BW$13)="",10^12,OFFSET(PLE!$G$14,$M390,BW$13))))</f>
        <v>1000000000000</v>
      </c>
      <c r="BX390" s="182">
        <f ca="1">IF($D390&lt;&gt;"Serviço",0,IF(OR(AND(AUTOEVENTO="Manual",$M390=1),$M390&gt;(ROW(PLE.lastrow)-ROW(PLE.firstrow))),0,IF(OFFSET(PLE!$G$14,$M390,BX$13)="",10^12,OFFSET(PLE!$G$14,$M390,BX$13))))</f>
        <v>1000000000000</v>
      </c>
      <c r="BY390" s="182">
        <f ca="1">IF($D390&lt;&gt;"Serviço",0,IF(OR(AND(AUTOEVENTO="Manual",$M390=1),$M390&gt;(ROW(PLE.lastrow)-ROW(PLE.firstrow))),0,IF(OFFSET(PLE!$G$14,$M390,BY$13)="",10^12,OFFSET(PLE!$G$14,$M390,BY$13))))</f>
        <v>1000000000000</v>
      </c>
      <c r="BZ390" s="182">
        <f ca="1">IF($D390&lt;&gt;"Serviço",0,IF(OR(AND(AUTOEVENTO="Manual",$M390=1),$M390&gt;(ROW(PLE.lastrow)-ROW(PLE.firstrow))),0,IF(OFFSET(PLE!$G$14,$M390,BZ$13)="",10^12,OFFSET(PLE!$G$14,$M390,BZ$13))))</f>
        <v>1000000000000</v>
      </c>
      <c r="CA390" s="182">
        <f ca="1">IF($D390&lt;&gt;"Serviço",0,IF(OR(AND(AUTOEVENTO="Manual",$M390=1),$M390&gt;(ROW(PLE.lastrow)-ROW(PLE.firstrow))),0,IF(OFFSET(PLE!$G$14,$M390,CA$13)="",10^12,OFFSET(PLE!$G$14,$M390,CA$13))))</f>
        <v>1000000000000</v>
      </c>
      <c r="CB390" s="182">
        <f ca="1">IF($D390&lt;&gt;"Serviço",0,IF(OR(AND(AUTOEVENTO="Manual",$M390=1),$M390&gt;(ROW(PLE.lastrow)-ROW(PLE.firstrow))),0,IF(OFFSET(PLE!$G$14,$M390,CB$13)="",10^12,OFFSET(PLE!$G$14,$M390,CB$13))))</f>
        <v>1000000000000</v>
      </c>
      <c r="CC390" s="182">
        <f ca="1">IF($D390&lt;&gt;"Serviço",0,IF(OR(AND(AUTOEVENTO="Manual",$M390=1),$M390&gt;(ROW(PLE.lastrow)-ROW(PLE.firstrow))),0,IF(OFFSET(PLE!$G$14,$M390,CC$13)="",10^12,OFFSET(PLE!$G$14,$M390,CC$13))))</f>
        <v>1000000000000</v>
      </c>
      <c r="CD390" s="182">
        <f ca="1">IF($D390&lt;&gt;"Serviço",0,IF(OR(AND(AUTOEVENTO="Manual",$M390=1),$M390&gt;(ROW(PLE.lastrow)-ROW(PLE.firstrow))),0,IF(OFFSET(PLE!$G$14,$M390,CD$13)="",10^12,OFFSET(PLE!$G$14,$M390,CD$13))))</f>
        <v>1000000000000</v>
      </c>
      <c r="CE390" s="182">
        <f ca="1">IF($D390&lt;&gt;"Serviço",0,IF(OR(AND(AUTOEVENTO="Manual",$M390=1),$M390&gt;(ROW(PLE.lastrow)-ROW(PLE.firstrow))),0,IF(OFFSET(PLE!$G$14,$M390,CE$13)="",10^12,OFFSET(PLE!$G$14,$M390,CE$13))))</f>
        <v>1000000000000</v>
      </c>
      <c r="CF390" s="182">
        <f ca="1">IF($D390&lt;&gt;"Serviço",0,IF(OR(AND(AUTOEVENTO="Manual",$M390=1),$M390&gt;(ROW(PLE.lastrow)-ROW(PLE.firstrow))),0,IF(OFFSET(PLE!$G$14,$M390,CF$13)="",10^12,OFFSET(PLE!$G$14,$M390,CF$13))))</f>
        <v>1000000000000</v>
      </c>
      <c r="CG390" s="182">
        <f ca="1">IF($D390&lt;&gt;"Serviço",0,IF(OR(AND(AUTOEVENTO="Manual",$M390=1),$M390&gt;(ROW(PLE.lastrow)-ROW(PLE.firstrow))),0,IF(OFFSET(PLE!$G$14,$M390,CG$13)="",10^12,OFFSET(PLE!$G$14,$M390,CG$13))))</f>
        <v>1000000000000</v>
      </c>
      <c r="CH390" s="182">
        <f ca="1">IF($D390&lt;&gt;"Serviço",0,IF(OR(AND(AUTOEVENTO="Manual",$M390=1),$M390&gt;(ROW(PLE.lastrow)-ROW(PLE.firstrow))),0,IF(OFFSET(PLE!$G$14,$M390,CH$13)="",10^12,OFFSET(PLE!$G$14,$M390,CH$13))))</f>
        <v>1000000000000</v>
      </c>
      <c r="CI390" s="182">
        <f ca="1">IF($D390&lt;&gt;"Serviço",0,IF(OR(AND(AUTOEVENTO="Manual",$M390=1),$M390&gt;(ROW(PLE.lastrow)-ROW(PLE.firstrow))),0,IF(OFFSET(PLE!$G$14,$M390,CI$13)="",10^12,OFFSET(PLE!$G$14,$M390,CI$13))))</f>
        <v>1000000000000</v>
      </c>
      <c r="CJ390" s="182">
        <f ca="1">IF($D390&lt;&gt;"Serviço",0,IF(OR(AND(AUTOEVENTO="Manual",$M390=1),$M390&gt;(ROW(PLE.lastrow)-ROW(PLE.firstrow))),0,IF(OFFSET(PLE!$G$14,$M390,CJ$13)="",10^12,OFFSET(PLE!$G$14,$M390,CJ$13))))</f>
        <v>1000000000000</v>
      </c>
      <c r="CK390" s="182">
        <f ca="1">IF($D390&lt;&gt;"Serviço",0,IF(OR(AND(AUTOEVENTO="Manual",$M390=1),$M390&gt;(ROW(PLE.lastrow)-ROW(PLE.firstrow))),0,IF(OFFSET(PLE!$G$14,$M390,CK$13)="",10^12,OFFSET(PLE!$G$14,$M390,CK$13))))</f>
        <v>1000000000000</v>
      </c>
      <c r="CL390" s="182">
        <f ca="1">IF($D390&lt;&gt;"Serviço",0,IF(OR(AND(AUTOEVENTO="Manual",$M390=1),$M390&gt;(ROW(PLE.lastrow)-ROW(PLE.firstrow))),0,IF(OFFSET(PLE!$G$14,$M390,CL$13)="",10^12,OFFSET(PLE!$G$14,$M390,CL$13))))</f>
        <v>1000000000000</v>
      </c>
      <c r="CM390" s="182">
        <f ca="1">IF($D390&lt;&gt;"Serviço",0,IF(OR(AND(AUTOEVENTO="Manual",$M390=1),$M390&gt;(ROW(PLE.lastrow)-ROW(PLE.firstrow))),0,IF(OFFSET(PLE!$G$14,$M390,CM$13)="",10^12,OFFSET(PLE!$G$14,$M390,CM$13))))</f>
        <v>1000000000000</v>
      </c>
    </row>
    <row r="391" spans="1:91" ht="38.25" x14ac:dyDescent="0.2">
      <c r="A391" s="7" t="str">
        <f t="shared" ca="1" si="13"/>
        <v>350</v>
      </c>
      <c r="B391" s="7" t="str">
        <f ca="1">OFFSET(ORÇAMENTO!C$15,ROW(B391)-ROW(B$15),0)</f>
        <v>S</v>
      </c>
      <c r="C391" s="7" t="str">
        <f ca="1">OFFSET(ORÇAMENTO!L$15,ROW(C391)-ROW(C$15),0)</f>
        <v/>
      </c>
      <c r="D391" s="118" t="str">
        <f ca="1">OFFSET(ORÇAMENTO!N$15,ROW(D391)-ROW(D$15),0)</f>
        <v>Serviço</v>
      </c>
      <c r="E391" s="119" t="str">
        <f ca="1">OFFSET(ORÇAMENTO!O$15,ROW(E391)-ROW(E$15),0)</f>
        <v>-</v>
      </c>
      <c r="F391" s="172" t="str">
        <f ca="1">OFFSET(ORÇAMENTO!R$15,ROW(F391)-ROW(F$15),0)</f>
        <v>(abra o arquivo 'Referência 06-2024.xlsm)</v>
      </c>
      <c r="G391" s="173" t="str">
        <f ca="1">IF($D391&lt;&gt;"Serviço","",OFFSET(ORÇAMENTO!S$15,ROW(G391)-ROW(G$15),0))</f>
        <v>-</v>
      </c>
      <c r="H391" s="124">
        <f ca="1">IF($D391&lt;&gt;"Serviço",0,IF(ACOMPANHAMENTO="BM",ROUND(OFFSET(ORÇAMENTO!AJ$15,ROW(H391)-ROW(H$15),0),15-13*ORÇAMENTO!$AF$7),SUMPRODUCT(($Q$12:$AI$12&lt;&gt;"")*ROUND($Q391:$AI391,15-13*ORÇAMENTO!$AF$7))))</f>
        <v>9</v>
      </c>
      <c r="I391" s="561" t="s">
        <v>1107</v>
      </c>
      <c r="K391" s="174"/>
      <c r="L391" s="175" t="s">
        <v>255</v>
      </c>
      <c r="M391" s="176">
        <f ca="1">IF($D391&lt;&gt;"Serviço","",IF(AUTOEVENTO="manual",$A391,IF(ISERROR(MATCH($A391,$A$15:OFFSET($A391,-1,0),0)),MAX($M$15:OFFSET(M391,-1,0))+1,INDEX($M$15:OFFSET(M391,-1,0),MATCH($A391,$A$15:OFFSET($A391,-1,0),0)))))</f>
        <v>44</v>
      </c>
      <c r="N391" s="177" t="str">
        <f ca="1">IF($D391&lt;&gt;"Serviço","",IF(AUTOEVENTO="Manual",IF($A391=0,"&lt;-- defina o número do agrupador",OFFSET(EVENTOS!$D$14,$A391,0)),OFFSET($F$15,$A391,0)))</f>
        <v>LOUÇAS, ACESSÓRIOS E METAIS</v>
      </c>
      <c r="O391" s="178"/>
      <c r="Q391" s="178">
        <v>9</v>
      </c>
      <c r="R391" s="179"/>
      <c r="S391" s="179"/>
      <c r="T391" s="179"/>
      <c r="U391" s="179"/>
      <c r="V391" s="179"/>
      <c r="W391" s="179"/>
      <c r="X391" s="179"/>
      <c r="Y391" s="179"/>
      <c r="Z391" s="180"/>
      <c r="AA391" s="179"/>
      <c r="AB391" s="179"/>
      <c r="AC391" s="179"/>
      <c r="AD391" s="179"/>
      <c r="AE391" s="179"/>
      <c r="AF391" s="179"/>
      <c r="AG391" s="179"/>
      <c r="AH391" s="180"/>
      <c r="AJ391" s="544">
        <f ca="1">IF(AND($D391="Serviço",AJ$12&lt;&gt;0,$H391&gt;0,OR(AUTOEVENTO&lt;&gt;"manual",$M391&lt;&gt;1)),
IF(Import.TipoArredondamento&lt;&gt;"TransfereGOV",
ROUND(OFFSET($P391,0,AJ$13),15-13*ORÇAMENTO!$AF$7)/$H391*OFFSET(ORÇAMENTO!$X$15,ROW(AJ391)-ROW(AJ$15),0),
ROUND(ROUND(OFFSET($P391,0,AJ$13),15-13*ORÇAMENTO!$AF$7)*OFFSET(ORÇAMENTO!$W$15,ROW(AJ391)-ROW(AJ$15),0),15-13*ORÇAMENTO!$AF$11)),0)</f>
        <v>0</v>
      </c>
      <c r="AK391" s="545">
        <f ca="1">IF(AND($D391="Serviço",AK$12&lt;&gt;0,$H391&gt;0,OR(AUTOEVENTO&lt;&gt;"manual",$M391&lt;&gt;1)),
IF(Import.TipoArredondamento&lt;&gt;"TransfereGOV",
ROUND(OFFSET($P391,0,AK$13),15-13*ORÇAMENTO!$AF$7)/$H391*OFFSET(ORÇAMENTO!$X$15,ROW(AK391)-ROW(AK$15),0),
ROUND(ROUND(OFFSET($P391,0,AK$13),15-13*ORÇAMENTO!$AF$7)*OFFSET(ORÇAMENTO!$W$15,ROW(AK391)-ROW(AK$15),0),15-13*ORÇAMENTO!$AF$11)),0)</f>
        <v>0</v>
      </c>
      <c r="AL391" s="545">
        <f ca="1">IF(AND($D391="Serviço",AL$12&lt;&gt;0,$H391&gt;0,OR(AUTOEVENTO&lt;&gt;"manual",$M391&lt;&gt;1)),
IF(Import.TipoArredondamento&lt;&gt;"TransfereGOV",
ROUND(OFFSET($P391,0,AL$13),15-13*ORÇAMENTO!$AF$7)/$H391*OFFSET(ORÇAMENTO!$X$15,ROW(AL391)-ROW(AL$15),0),
ROUND(ROUND(OFFSET($P391,0,AL$13),15-13*ORÇAMENTO!$AF$7)*OFFSET(ORÇAMENTO!$W$15,ROW(AL391)-ROW(AL$15),0),15-13*ORÇAMENTO!$AF$11)),0)</f>
        <v>0</v>
      </c>
      <c r="AM391" s="545">
        <f ca="1">IF(AND($D391="Serviço",AM$12&lt;&gt;0,$H391&gt;0,OR(AUTOEVENTO&lt;&gt;"manual",$M391&lt;&gt;1)),
IF(Import.TipoArredondamento&lt;&gt;"TransfereGOV",
ROUND(OFFSET($P391,0,AM$13),15-13*ORÇAMENTO!$AF$7)/$H391*OFFSET(ORÇAMENTO!$X$15,ROW(AM391)-ROW(AM$15),0),
ROUND(ROUND(OFFSET($P391,0,AM$13),15-13*ORÇAMENTO!$AF$7)*OFFSET(ORÇAMENTO!$W$15,ROW(AM391)-ROW(AM$15),0),15-13*ORÇAMENTO!$AF$11)),0)</f>
        <v>0</v>
      </c>
      <c r="AN391" s="545">
        <f ca="1">IF(AND($D391="Serviço",AN$12&lt;&gt;0,$H391&gt;0,OR(AUTOEVENTO&lt;&gt;"manual",$M391&lt;&gt;1)),
IF(Import.TipoArredondamento&lt;&gt;"TransfereGOV",
ROUND(OFFSET($P391,0,AN$13),15-13*ORÇAMENTO!$AF$7)/$H391*OFFSET(ORÇAMENTO!$X$15,ROW(AN391)-ROW(AN$15),0),
ROUND(ROUND(OFFSET($P391,0,AN$13),15-13*ORÇAMENTO!$AF$7)*OFFSET(ORÇAMENTO!$W$15,ROW(AN391)-ROW(AN$15),0),15-13*ORÇAMENTO!$AF$11)),0)</f>
        <v>0</v>
      </c>
      <c r="AO391" s="545">
        <f ca="1">IF(AND($D391="Serviço",AO$12&lt;&gt;0,$H391&gt;0,OR(AUTOEVENTO&lt;&gt;"manual",$M391&lt;&gt;1)),
IF(Import.TipoArredondamento&lt;&gt;"TransfereGOV",
ROUND(OFFSET($P391,0,AO$13),15-13*ORÇAMENTO!$AF$7)/$H391*OFFSET(ORÇAMENTO!$X$15,ROW(AO391)-ROW(AO$15),0),
ROUND(ROUND(OFFSET($P391,0,AO$13),15-13*ORÇAMENTO!$AF$7)*OFFSET(ORÇAMENTO!$W$15,ROW(AO391)-ROW(AO$15),0),15-13*ORÇAMENTO!$AF$11)),0)</f>
        <v>0</v>
      </c>
      <c r="AP391" s="545">
        <f ca="1">IF(AND($D391="Serviço",AP$12&lt;&gt;0,$H391&gt;0,OR(AUTOEVENTO&lt;&gt;"manual",$M391&lt;&gt;1)),
IF(Import.TipoArredondamento&lt;&gt;"TransfereGOV",
ROUND(OFFSET($P391,0,AP$13),15-13*ORÇAMENTO!$AF$7)/$H391*OFFSET(ORÇAMENTO!$X$15,ROW(AP391)-ROW(AP$15),0),
ROUND(ROUND(OFFSET($P391,0,AP$13),15-13*ORÇAMENTO!$AF$7)*OFFSET(ORÇAMENTO!$W$15,ROW(AP391)-ROW(AP$15),0),15-13*ORÇAMENTO!$AF$11)),0)</f>
        <v>0</v>
      </c>
      <c r="AQ391" s="545">
        <f ca="1">IF(AND($D391="Serviço",AQ$12&lt;&gt;0,$H391&gt;0,OR(AUTOEVENTO&lt;&gt;"manual",$M391&lt;&gt;1)),
IF(Import.TipoArredondamento&lt;&gt;"TransfereGOV",
ROUND(OFFSET($P391,0,AQ$13),15-13*ORÇAMENTO!$AF$7)/$H391*OFFSET(ORÇAMENTO!$X$15,ROW(AQ391)-ROW(AQ$15),0),
ROUND(ROUND(OFFSET($P391,0,AQ$13),15-13*ORÇAMENTO!$AF$7)*OFFSET(ORÇAMENTO!$W$15,ROW(AQ391)-ROW(AQ$15),0),15-13*ORÇAMENTO!$AF$11)),0)</f>
        <v>0</v>
      </c>
      <c r="AR391" s="545">
        <f ca="1">IF(AND($D391="Serviço",AR$12&lt;&gt;0,$H391&gt;0,OR(AUTOEVENTO&lt;&gt;"manual",$M391&lt;&gt;1)),
IF(Import.TipoArredondamento&lt;&gt;"TransfereGOV",
ROUND(OFFSET($P391,0,AR$13),15-13*ORÇAMENTO!$AF$7)/$H391*OFFSET(ORÇAMENTO!$X$15,ROW(AR391)-ROW(AR$15),0),
ROUND(ROUND(OFFSET($P391,0,AR$13),15-13*ORÇAMENTO!$AF$7)*OFFSET(ORÇAMENTO!$W$15,ROW(AR391)-ROW(AR$15),0),15-13*ORÇAMENTO!$AF$11)),0)</f>
        <v>0</v>
      </c>
      <c r="AS391" s="546">
        <f ca="1">IF(AND($D391="Serviço",AS$12&lt;&gt;0,$H391&gt;0,OR(AUTOEVENTO&lt;&gt;"manual",$M391&lt;&gt;1)),
IF(Import.TipoArredondamento&lt;&gt;"TransfereGOV",
ROUND(OFFSET($P391,0,AS$13),15-13*ORÇAMENTO!$AF$7)/$H391*OFFSET(ORÇAMENTO!$X$15,ROW(AS391)-ROW(AS$15),0),
ROUND(ROUND(OFFSET($P391,0,AS$13),15-13*ORÇAMENTO!$AF$7)*OFFSET(ORÇAMENTO!$W$15,ROW(AS391)-ROW(AS$15),0),15-13*ORÇAMENTO!$AF$11)),0)</f>
        <v>0</v>
      </c>
      <c r="AT391" s="545">
        <f ca="1">IF(AND($D391="Serviço",AT$12&lt;&gt;0,$H391&gt;0,OR(AUTOEVENTO&lt;&gt;"manual",$M391&lt;&gt;1)),
IF(Import.TipoArredondamento&lt;&gt;"TransfereGOV",
ROUND(OFFSET($P391,0,AT$13),15-13*ORÇAMENTO!$AF$7)/$H391*OFFSET(ORÇAMENTO!$X$15,ROW(AT391)-ROW(AT$15),0),
ROUND(ROUND(OFFSET($P391,0,AT$13),15-13*ORÇAMENTO!$AF$7)*OFFSET(ORÇAMENTO!$W$15,ROW(AT391)-ROW(AT$15),0),15-13*ORÇAMENTO!$AF$11)),0)</f>
        <v>0</v>
      </c>
      <c r="AU391" s="545">
        <f ca="1">IF(AND($D391="Serviço",AU$12&lt;&gt;0,$H391&gt;0,OR(AUTOEVENTO&lt;&gt;"manual",$M391&lt;&gt;1)),
IF(Import.TipoArredondamento&lt;&gt;"TransfereGOV",
ROUND(OFFSET($P391,0,AU$13),15-13*ORÇAMENTO!$AF$7)/$H391*OFFSET(ORÇAMENTO!$X$15,ROW(AU391)-ROW(AU$15),0),
ROUND(ROUND(OFFSET($P391,0,AU$13),15-13*ORÇAMENTO!$AF$7)*OFFSET(ORÇAMENTO!$W$15,ROW(AU391)-ROW(AU$15),0),15-13*ORÇAMENTO!$AF$11)),0)</f>
        <v>0</v>
      </c>
      <c r="AV391" s="545">
        <f ca="1">IF(AND($D391="Serviço",AV$12&lt;&gt;0,$H391&gt;0,OR(AUTOEVENTO&lt;&gt;"manual",$M391&lt;&gt;1)),
IF(Import.TipoArredondamento&lt;&gt;"TransfereGOV",
ROUND(OFFSET($P391,0,AV$13),15-13*ORÇAMENTO!$AF$7)/$H391*OFFSET(ORÇAMENTO!$X$15,ROW(AV391)-ROW(AV$15),0),
ROUND(ROUND(OFFSET($P391,0,AV$13),15-13*ORÇAMENTO!$AF$7)*OFFSET(ORÇAMENTO!$W$15,ROW(AV391)-ROW(AV$15),0),15-13*ORÇAMENTO!$AF$11)),0)</f>
        <v>0</v>
      </c>
      <c r="AW391" s="545">
        <f ca="1">IF(AND($D391="Serviço",AW$12&lt;&gt;0,$H391&gt;0,OR(AUTOEVENTO&lt;&gt;"manual",$M391&lt;&gt;1)),
IF(Import.TipoArredondamento&lt;&gt;"TransfereGOV",
ROUND(OFFSET($P391,0,AW$13),15-13*ORÇAMENTO!$AF$7)/$H391*OFFSET(ORÇAMENTO!$X$15,ROW(AW391)-ROW(AW$15),0),
ROUND(ROUND(OFFSET($P391,0,AW$13),15-13*ORÇAMENTO!$AF$7)*OFFSET(ORÇAMENTO!$W$15,ROW(AW391)-ROW(AW$15),0),15-13*ORÇAMENTO!$AF$11)),0)</f>
        <v>0</v>
      </c>
      <c r="AX391" s="545">
        <f ca="1">IF(AND($D391="Serviço",AX$12&lt;&gt;0,$H391&gt;0,OR(AUTOEVENTO&lt;&gt;"manual",$M391&lt;&gt;1)),
IF(Import.TipoArredondamento&lt;&gt;"TransfereGOV",
ROUND(OFFSET($P391,0,AX$13),15-13*ORÇAMENTO!$AF$7)/$H391*OFFSET(ORÇAMENTO!$X$15,ROW(AX391)-ROW(AX$15),0),
ROUND(ROUND(OFFSET($P391,0,AX$13),15-13*ORÇAMENTO!$AF$7)*OFFSET(ORÇAMENTO!$W$15,ROW(AX391)-ROW(AX$15),0),15-13*ORÇAMENTO!$AF$11)),0)</f>
        <v>0</v>
      </c>
      <c r="AY391" s="545">
        <f ca="1">IF(AND($D391="Serviço",AY$12&lt;&gt;0,$H391&gt;0,OR(AUTOEVENTO&lt;&gt;"manual",$M391&lt;&gt;1)),
IF(Import.TipoArredondamento&lt;&gt;"TransfereGOV",
ROUND(OFFSET($P391,0,AY$13),15-13*ORÇAMENTO!$AF$7)/$H391*OFFSET(ORÇAMENTO!$X$15,ROW(AY391)-ROW(AY$15),0),
ROUND(ROUND(OFFSET($P391,0,AY$13),15-13*ORÇAMENTO!$AF$7)*OFFSET(ORÇAMENTO!$W$15,ROW(AY391)-ROW(AY$15),0),15-13*ORÇAMENTO!$AF$11)),0)</f>
        <v>0</v>
      </c>
      <c r="AZ391" s="545">
        <f ca="1">IF(AND($D391="Serviço",AZ$12&lt;&gt;0,$H391&gt;0,OR(AUTOEVENTO&lt;&gt;"manual",$M391&lt;&gt;1)),
IF(Import.TipoArredondamento&lt;&gt;"TransfereGOV",
ROUND(OFFSET($P391,0,AZ$13),15-13*ORÇAMENTO!$AF$7)/$H391*OFFSET(ORÇAMENTO!$X$15,ROW(AZ391)-ROW(AZ$15),0),
ROUND(ROUND(OFFSET($P391,0,AZ$13),15-13*ORÇAMENTO!$AF$7)*OFFSET(ORÇAMENTO!$W$15,ROW(AZ391)-ROW(AZ$15),0),15-13*ORÇAMENTO!$AF$11)),0)</f>
        <v>0</v>
      </c>
      <c r="BA391" s="546">
        <f ca="1">IF(AND($D391="Serviço",BA$12&lt;&gt;0,$H391&gt;0,OR(AUTOEVENTO&lt;&gt;"manual",$M391&lt;&gt;1)),
IF(Import.TipoArredondamento&lt;&gt;"TransfereGOV",
ROUND(OFFSET($P391,0,BA$13),15-13*ORÇAMENTO!$AF$7)/$H391*OFFSET(ORÇAMENTO!$X$15,ROW(BA391)-ROW(BA$15),0),
ROUND(ROUND(OFFSET($P391,0,BA$13),15-13*ORÇAMENTO!$AF$7)*OFFSET(ORÇAMENTO!$W$15,ROW(BA391)-ROW(BA$15),0),15-13*ORÇAMENTO!$AF$11)),0)</f>
        <v>0</v>
      </c>
      <c r="BC391" s="181">
        <f ca="1">IF($D391&lt;&gt;"Serviço",0,IF(AND(AUTOEVENTO="Manual",$M391=1),0,IF(OFFSET(CRONOPLE!$F$14,$M391,BC$13)="",10^12,OFFSET(CRONOPLE!$F$14,$M391,BC$13))))</f>
        <v>10</v>
      </c>
      <c r="BD391" s="181">
        <f ca="1">IF($D391&lt;&gt;"Serviço",0,IF(AND(AUTOEVENTO="Manual",$M391=1),0,IF(OFFSET(CRONOPLE!$F$14,$M391,BD$13)="",10^12,OFFSET(CRONOPLE!$F$14,$M391,BD$13))))</f>
        <v>1000000000000</v>
      </c>
      <c r="BE391" s="181">
        <f ca="1">IF($D391&lt;&gt;"Serviço",0,IF(AND(AUTOEVENTO="Manual",$M391=1),0,IF(OFFSET(CRONOPLE!$F$14,$M391,BE$13)="",10^12,OFFSET(CRONOPLE!$F$14,$M391,BE$13))))</f>
        <v>1000000000000</v>
      </c>
      <c r="BF391" s="181">
        <f ca="1">IF($D391&lt;&gt;"Serviço",0,IF(AND(AUTOEVENTO="Manual",$M391=1),0,IF(OFFSET(CRONOPLE!$F$14,$M391,BF$13)="",10^12,OFFSET(CRONOPLE!$F$14,$M391,BF$13))))</f>
        <v>1000000000000</v>
      </c>
      <c r="BG391" s="181">
        <f ca="1">IF($D391&lt;&gt;"Serviço",0,IF(AND(AUTOEVENTO="Manual",$M391=1),0,IF(OFFSET(CRONOPLE!$F$14,$M391,BG$13)="",10^12,OFFSET(CRONOPLE!$F$14,$M391,BG$13))))</f>
        <v>1000000000000</v>
      </c>
      <c r="BH391" s="181">
        <f ca="1">IF($D391&lt;&gt;"Serviço",0,IF(AND(AUTOEVENTO="Manual",$M391=1),0,IF(OFFSET(CRONOPLE!$F$14,$M391,BH$13)="",10^12,OFFSET(CRONOPLE!$F$14,$M391,BH$13))))</f>
        <v>1000000000000</v>
      </c>
      <c r="BI391" s="181">
        <f ca="1">IF($D391&lt;&gt;"Serviço",0,IF(AND(AUTOEVENTO="Manual",$M391=1),0,IF(OFFSET(CRONOPLE!$F$14,$M391,BI$13)="",10^12,OFFSET(CRONOPLE!$F$14,$M391,BI$13))))</f>
        <v>1000000000000</v>
      </c>
      <c r="BJ391" s="181">
        <f ca="1">IF($D391&lt;&gt;"Serviço",0,IF(AND(AUTOEVENTO="Manual",$M391=1),0,IF(OFFSET(CRONOPLE!$F$14,$M391,BJ$13)="",10^12,OFFSET(CRONOPLE!$F$14,$M391,BJ$13))))</f>
        <v>1000000000000</v>
      </c>
      <c r="BK391" s="181">
        <f ca="1">IF($D391&lt;&gt;"Serviço",0,IF(AND(AUTOEVENTO="Manual",$M391=1),0,IF(OFFSET(CRONOPLE!$F$14,$M391,BK$13)="",10^12,OFFSET(CRONOPLE!$F$14,$M391,BK$13))))</f>
        <v>1000000000000</v>
      </c>
      <c r="BL391" s="181">
        <f ca="1">IF($D391&lt;&gt;"Serviço",0,IF(AND(AUTOEVENTO="Manual",$M391=1),0,IF(OFFSET(CRONOPLE!$F$14,$M391,BL$13)="",10^12,OFFSET(CRONOPLE!$F$14,$M391,BL$13))))</f>
        <v>1000000000000</v>
      </c>
      <c r="BM391" s="181">
        <f ca="1">IF($D391&lt;&gt;"Serviço",0,IF(AND(AUTOEVENTO="Manual",$M391=1),0,IF(OFFSET(CRONOPLE!$F$14,$M391,BM$13)="",10^12,OFFSET(CRONOPLE!$F$14,$M391,BM$13))))</f>
        <v>1000000000000</v>
      </c>
      <c r="BN391" s="181">
        <f ca="1">IF($D391&lt;&gt;"Serviço",0,IF(AND(AUTOEVENTO="Manual",$M391=1),0,IF(OFFSET(CRONOPLE!$F$14,$M391,BN$13)="",10^12,OFFSET(CRONOPLE!$F$14,$M391,BN$13))))</f>
        <v>1000000000000</v>
      </c>
      <c r="BO391" s="181">
        <f ca="1">IF($D391&lt;&gt;"Serviço",0,IF(AND(AUTOEVENTO="Manual",$M391=1),0,IF(OFFSET(CRONOPLE!$F$14,$M391,BO$13)="",10^12,OFFSET(CRONOPLE!$F$14,$M391,BO$13))))</f>
        <v>1000000000000</v>
      </c>
      <c r="BP391" s="181">
        <f ca="1">IF($D391&lt;&gt;"Serviço",0,IF(AND(AUTOEVENTO="Manual",$M391=1),0,IF(OFFSET(CRONOPLE!$F$14,$M391,BP$13)="",10^12,OFFSET(CRONOPLE!$F$14,$M391,BP$13))))</f>
        <v>1000000000000</v>
      </c>
      <c r="BQ391" s="181">
        <f ca="1">IF($D391&lt;&gt;"Serviço",0,IF(AND(AUTOEVENTO="Manual",$M391=1),0,IF(OFFSET(CRONOPLE!$F$14,$M391,BQ$13)="",10^12,OFFSET(CRONOPLE!$F$14,$M391,BQ$13))))</f>
        <v>1000000000000</v>
      </c>
      <c r="BR391" s="181">
        <f ca="1">IF($D391&lt;&gt;"Serviço",0,IF(AND(AUTOEVENTO="Manual",$M391=1),0,IF(OFFSET(CRONOPLE!$F$14,$M391,BR$13)="",10^12,OFFSET(CRONOPLE!$F$14,$M391,BR$13))))</f>
        <v>1000000000000</v>
      </c>
      <c r="BS391" s="181">
        <f ca="1">IF($D391&lt;&gt;"Serviço",0,IF(AND(AUTOEVENTO="Manual",$M391=1),0,IF(OFFSET(CRONOPLE!$F$14,$M391,BS$13)="",10^12,OFFSET(CRONOPLE!$F$14,$M391,BS$13))))</f>
        <v>1000000000000</v>
      </c>
      <c r="BT391" s="181">
        <f ca="1">IF($D391&lt;&gt;"Serviço",0,IF(AND(AUTOEVENTO="Manual",$M391=1),0,IF(OFFSET(CRONOPLE!$F$14,$M391,BT$13)="",10^12,OFFSET(CRONOPLE!$F$14,$M391,BT$13))))</f>
        <v>1000000000000</v>
      </c>
      <c r="BV391" s="182">
        <f ca="1">IF($D391&lt;&gt;"Serviço",0,IF(OR(AND(AUTOEVENTO="Manual",$M391=1),$M391&gt;(ROW(PLE.lastrow)-ROW(PLE.firstrow))),0,IF(OFFSET(PLE!$G$14,$M391,BV$13)="",10^12,OFFSET(PLE!$G$14,$M391,BV$13))))</f>
        <v>1000000000000</v>
      </c>
      <c r="BW391" s="182">
        <f ca="1">IF($D391&lt;&gt;"Serviço",0,IF(OR(AND(AUTOEVENTO="Manual",$M391=1),$M391&gt;(ROW(PLE.lastrow)-ROW(PLE.firstrow))),0,IF(OFFSET(PLE!$G$14,$M391,BW$13)="",10^12,OFFSET(PLE!$G$14,$M391,BW$13))))</f>
        <v>1000000000000</v>
      </c>
      <c r="BX391" s="182">
        <f ca="1">IF($D391&lt;&gt;"Serviço",0,IF(OR(AND(AUTOEVENTO="Manual",$M391=1),$M391&gt;(ROW(PLE.lastrow)-ROW(PLE.firstrow))),0,IF(OFFSET(PLE!$G$14,$M391,BX$13)="",10^12,OFFSET(PLE!$G$14,$M391,BX$13))))</f>
        <v>1000000000000</v>
      </c>
      <c r="BY391" s="182">
        <f ca="1">IF($D391&lt;&gt;"Serviço",0,IF(OR(AND(AUTOEVENTO="Manual",$M391=1),$M391&gt;(ROW(PLE.lastrow)-ROW(PLE.firstrow))),0,IF(OFFSET(PLE!$G$14,$M391,BY$13)="",10^12,OFFSET(PLE!$G$14,$M391,BY$13))))</f>
        <v>1000000000000</v>
      </c>
      <c r="BZ391" s="182">
        <f ca="1">IF($D391&lt;&gt;"Serviço",0,IF(OR(AND(AUTOEVENTO="Manual",$M391=1),$M391&gt;(ROW(PLE.lastrow)-ROW(PLE.firstrow))),0,IF(OFFSET(PLE!$G$14,$M391,BZ$13)="",10^12,OFFSET(PLE!$G$14,$M391,BZ$13))))</f>
        <v>1000000000000</v>
      </c>
      <c r="CA391" s="182">
        <f ca="1">IF($D391&lt;&gt;"Serviço",0,IF(OR(AND(AUTOEVENTO="Manual",$M391=1),$M391&gt;(ROW(PLE.lastrow)-ROW(PLE.firstrow))),0,IF(OFFSET(PLE!$G$14,$M391,CA$13)="",10^12,OFFSET(PLE!$G$14,$M391,CA$13))))</f>
        <v>1000000000000</v>
      </c>
      <c r="CB391" s="182">
        <f ca="1">IF($D391&lt;&gt;"Serviço",0,IF(OR(AND(AUTOEVENTO="Manual",$M391=1),$M391&gt;(ROW(PLE.lastrow)-ROW(PLE.firstrow))),0,IF(OFFSET(PLE!$G$14,$M391,CB$13)="",10^12,OFFSET(PLE!$G$14,$M391,CB$13))))</f>
        <v>1000000000000</v>
      </c>
      <c r="CC391" s="182">
        <f ca="1">IF($D391&lt;&gt;"Serviço",0,IF(OR(AND(AUTOEVENTO="Manual",$M391=1),$M391&gt;(ROW(PLE.lastrow)-ROW(PLE.firstrow))),0,IF(OFFSET(PLE!$G$14,$M391,CC$13)="",10^12,OFFSET(PLE!$G$14,$M391,CC$13))))</f>
        <v>1000000000000</v>
      </c>
      <c r="CD391" s="182">
        <f ca="1">IF($D391&lt;&gt;"Serviço",0,IF(OR(AND(AUTOEVENTO="Manual",$M391=1),$M391&gt;(ROW(PLE.lastrow)-ROW(PLE.firstrow))),0,IF(OFFSET(PLE!$G$14,$M391,CD$13)="",10^12,OFFSET(PLE!$G$14,$M391,CD$13))))</f>
        <v>1000000000000</v>
      </c>
      <c r="CE391" s="182">
        <f ca="1">IF($D391&lt;&gt;"Serviço",0,IF(OR(AND(AUTOEVENTO="Manual",$M391=1),$M391&gt;(ROW(PLE.lastrow)-ROW(PLE.firstrow))),0,IF(OFFSET(PLE!$G$14,$M391,CE$13)="",10^12,OFFSET(PLE!$G$14,$M391,CE$13))))</f>
        <v>1000000000000</v>
      </c>
      <c r="CF391" s="182">
        <f ca="1">IF($D391&lt;&gt;"Serviço",0,IF(OR(AND(AUTOEVENTO="Manual",$M391=1),$M391&gt;(ROW(PLE.lastrow)-ROW(PLE.firstrow))),0,IF(OFFSET(PLE!$G$14,$M391,CF$13)="",10^12,OFFSET(PLE!$G$14,$M391,CF$13))))</f>
        <v>1000000000000</v>
      </c>
      <c r="CG391" s="182">
        <f ca="1">IF($D391&lt;&gt;"Serviço",0,IF(OR(AND(AUTOEVENTO="Manual",$M391=1),$M391&gt;(ROW(PLE.lastrow)-ROW(PLE.firstrow))),0,IF(OFFSET(PLE!$G$14,$M391,CG$13)="",10^12,OFFSET(PLE!$G$14,$M391,CG$13))))</f>
        <v>1000000000000</v>
      </c>
      <c r="CH391" s="182">
        <f ca="1">IF($D391&lt;&gt;"Serviço",0,IF(OR(AND(AUTOEVENTO="Manual",$M391=1),$M391&gt;(ROW(PLE.lastrow)-ROW(PLE.firstrow))),0,IF(OFFSET(PLE!$G$14,$M391,CH$13)="",10^12,OFFSET(PLE!$G$14,$M391,CH$13))))</f>
        <v>1000000000000</v>
      </c>
      <c r="CI391" s="182">
        <f ca="1">IF($D391&lt;&gt;"Serviço",0,IF(OR(AND(AUTOEVENTO="Manual",$M391=1),$M391&gt;(ROW(PLE.lastrow)-ROW(PLE.firstrow))),0,IF(OFFSET(PLE!$G$14,$M391,CI$13)="",10^12,OFFSET(PLE!$G$14,$M391,CI$13))))</f>
        <v>1000000000000</v>
      </c>
      <c r="CJ391" s="182">
        <f ca="1">IF($D391&lt;&gt;"Serviço",0,IF(OR(AND(AUTOEVENTO="Manual",$M391=1),$M391&gt;(ROW(PLE.lastrow)-ROW(PLE.firstrow))),0,IF(OFFSET(PLE!$G$14,$M391,CJ$13)="",10^12,OFFSET(PLE!$G$14,$M391,CJ$13))))</f>
        <v>1000000000000</v>
      </c>
      <c r="CK391" s="182">
        <f ca="1">IF($D391&lt;&gt;"Serviço",0,IF(OR(AND(AUTOEVENTO="Manual",$M391=1),$M391&gt;(ROW(PLE.lastrow)-ROW(PLE.firstrow))),0,IF(OFFSET(PLE!$G$14,$M391,CK$13)="",10^12,OFFSET(PLE!$G$14,$M391,CK$13))))</f>
        <v>1000000000000</v>
      </c>
      <c r="CL391" s="182">
        <f ca="1">IF($D391&lt;&gt;"Serviço",0,IF(OR(AND(AUTOEVENTO="Manual",$M391=1),$M391&gt;(ROW(PLE.lastrow)-ROW(PLE.firstrow))),0,IF(OFFSET(PLE!$G$14,$M391,CL$13)="",10^12,OFFSET(PLE!$G$14,$M391,CL$13))))</f>
        <v>1000000000000</v>
      </c>
      <c r="CM391" s="182">
        <f ca="1">IF($D391&lt;&gt;"Serviço",0,IF(OR(AND(AUTOEVENTO="Manual",$M391=1),$M391&gt;(ROW(PLE.lastrow)-ROW(PLE.firstrow))),0,IF(OFFSET(PLE!$G$14,$M391,CM$13)="",10^12,OFFSET(PLE!$G$14,$M391,CM$13))))</f>
        <v>1000000000000</v>
      </c>
    </row>
    <row r="392" spans="1:91" ht="25.5" x14ac:dyDescent="0.2">
      <c r="A392" s="7" t="str">
        <f t="shared" ca="1" si="13"/>
        <v>350</v>
      </c>
      <c r="B392" s="7" t="str">
        <f ca="1">OFFSET(ORÇAMENTO!C$15,ROW(B392)-ROW(B$15),0)</f>
        <v>S</v>
      </c>
      <c r="C392" s="7" t="str">
        <f ca="1">OFFSET(ORÇAMENTO!L$15,ROW(C392)-ROW(C$15),0)</f>
        <v/>
      </c>
      <c r="D392" s="118" t="str">
        <f ca="1">OFFSET(ORÇAMENTO!N$15,ROW(D392)-ROW(D$15),0)</f>
        <v>Serviço</v>
      </c>
      <c r="E392" s="119" t="str">
        <f ca="1">OFFSET(ORÇAMENTO!O$15,ROW(E392)-ROW(E$15),0)</f>
        <v>-</v>
      </c>
      <c r="F392" s="172" t="str">
        <f ca="1">OFFSET(ORÇAMENTO!R$15,ROW(F392)-ROW(F$15),0)</f>
        <v>(abra o arquivo 'Referência 06-2024.xlsm)</v>
      </c>
      <c r="G392" s="173" t="str">
        <f ca="1">IF($D392&lt;&gt;"Serviço","",OFFSET(ORÇAMENTO!S$15,ROW(G392)-ROW(G$15),0))</f>
        <v>-</v>
      </c>
      <c r="H392" s="124">
        <f ca="1">IF($D392&lt;&gt;"Serviço",0,IF(ACOMPANHAMENTO="BM",ROUND(OFFSET(ORÇAMENTO!AJ$15,ROW(H392)-ROW(H$15),0),15-13*ORÇAMENTO!$AF$7),SUMPRODUCT(($Q$12:$AI$12&lt;&gt;"")*ROUND($Q392:$AI392,15-13*ORÇAMENTO!$AF$7))))</f>
        <v>1</v>
      </c>
      <c r="I392" s="561" t="s">
        <v>1107</v>
      </c>
      <c r="K392" s="174"/>
      <c r="L392" s="175" t="s">
        <v>255</v>
      </c>
      <c r="M392" s="176">
        <f ca="1">IF($D392&lt;&gt;"Serviço","",IF(AUTOEVENTO="manual",$A392,IF(ISERROR(MATCH($A392,$A$15:OFFSET($A392,-1,0),0)),MAX($M$15:OFFSET(M392,-1,0))+1,INDEX($M$15:OFFSET(M392,-1,0),MATCH($A392,$A$15:OFFSET($A392,-1,0),0)))))</f>
        <v>44</v>
      </c>
      <c r="N392" s="177" t="str">
        <f ca="1">IF($D392&lt;&gt;"Serviço","",IF(AUTOEVENTO="Manual",IF($A392=0,"&lt;-- defina o número do agrupador",OFFSET(EVENTOS!$D$14,$A392,0)),OFFSET($F$15,$A392,0)))</f>
        <v>LOUÇAS, ACESSÓRIOS E METAIS</v>
      </c>
      <c r="O392" s="178"/>
      <c r="Q392" s="178">
        <v>1</v>
      </c>
      <c r="R392" s="179"/>
      <c r="S392" s="179"/>
      <c r="T392" s="179"/>
      <c r="U392" s="179"/>
      <c r="V392" s="179"/>
      <c r="W392" s="179"/>
      <c r="X392" s="179"/>
      <c r="Y392" s="179"/>
      <c r="Z392" s="180"/>
      <c r="AA392" s="179"/>
      <c r="AB392" s="179"/>
      <c r="AC392" s="179"/>
      <c r="AD392" s="179"/>
      <c r="AE392" s="179"/>
      <c r="AF392" s="179"/>
      <c r="AG392" s="179"/>
      <c r="AH392" s="180"/>
      <c r="AJ392" s="544">
        <f ca="1">IF(AND($D392="Serviço",AJ$12&lt;&gt;0,$H392&gt;0,OR(AUTOEVENTO&lt;&gt;"manual",$M392&lt;&gt;1)),
IF(Import.TipoArredondamento&lt;&gt;"TransfereGOV",
ROUND(OFFSET($P392,0,AJ$13),15-13*ORÇAMENTO!$AF$7)/$H392*OFFSET(ORÇAMENTO!$X$15,ROW(AJ392)-ROW(AJ$15),0),
ROUND(ROUND(OFFSET($P392,0,AJ$13),15-13*ORÇAMENTO!$AF$7)*OFFSET(ORÇAMENTO!$W$15,ROW(AJ392)-ROW(AJ$15),0),15-13*ORÇAMENTO!$AF$11)),0)</f>
        <v>0</v>
      </c>
      <c r="AK392" s="545">
        <f ca="1">IF(AND($D392="Serviço",AK$12&lt;&gt;0,$H392&gt;0,OR(AUTOEVENTO&lt;&gt;"manual",$M392&lt;&gt;1)),
IF(Import.TipoArredondamento&lt;&gt;"TransfereGOV",
ROUND(OFFSET($P392,0,AK$13),15-13*ORÇAMENTO!$AF$7)/$H392*OFFSET(ORÇAMENTO!$X$15,ROW(AK392)-ROW(AK$15),0),
ROUND(ROUND(OFFSET($P392,0,AK$13),15-13*ORÇAMENTO!$AF$7)*OFFSET(ORÇAMENTO!$W$15,ROW(AK392)-ROW(AK$15),0),15-13*ORÇAMENTO!$AF$11)),0)</f>
        <v>0</v>
      </c>
      <c r="AL392" s="545">
        <f ca="1">IF(AND($D392="Serviço",AL$12&lt;&gt;0,$H392&gt;0,OR(AUTOEVENTO&lt;&gt;"manual",$M392&lt;&gt;1)),
IF(Import.TipoArredondamento&lt;&gt;"TransfereGOV",
ROUND(OFFSET($P392,0,AL$13),15-13*ORÇAMENTO!$AF$7)/$H392*OFFSET(ORÇAMENTO!$X$15,ROW(AL392)-ROW(AL$15),0),
ROUND(ROUND(OFFSET($P392,0,AL$13),15-13*ORÇAMENTO!$AF$7)*OFFSET(ORÇAMENTO!$W$15,ROW(AL392)-ROW(AL$15),0),15-13*ORÇAMENTO!$AF$11)),0)</f>
        <v>0</v>
      </c>
      <c r="AM392" s="545">
        <f ca="1">IF(AND($D392="Serviço",AM$12&lt;&gt;0,$H392&gt;0,OR(AUTOEVENTO&lt;&gt;"manual",$M392&lt;&gt;1)),
IF(Import.TipoArredondamento&lt;&gt;"TransfereGOV",
ROUND(OFFSET($P392,0,AM$13),15-13*ORÇAMENTO!$AF$7)/$H392*OFFSET(ORÇAMENTO!$X$15,ROW(AM392)-ROW(AM$15),0),
ROUND(ROUND(OFFSET($P392,0,AM$13),15-13*ORÇAMENTO!$AF$7)*OFFSET(ORÇAMENTO!$W$15,ROW(AM392)-ROW(AM$15),0),15-13*ORÇAMENTO!$AF$11)),0)</f>
        <v>0</v>
      </c>
      <c r="AN392" s="545">
        <f ca="1">IF(AND($D392="Serviço",AN$12&lt;&gt;0,$H392&gt;0,OR(AUTOEVENTO&lt;&gt;"manual",$M392&lt;&gt;1)),
IF(Import.TipoArredondamento&lt;&gt;"TransfereGOV",
ROUND(OFFSET($P392,0,AN$13),15-13*ORÇAMENTO!$AF$7)/$H392*OFFSET(ORÇAMENTO!$X$15,ROW(AN392)-ROW(AN$15),0),
ROUND(ROUND(OFFSET($P392,0,AN$13),15-13*ORÇAMENTO!$AF$7)*OFFSET(ORÇAMENTO!$W$15,ROW(AN392)-ROW(AN$15),0),15-13*ORÇAMENTO!$AF$11)),0)</f>
        <v>0</v>
      </c>
      <c r="AO392" s="545">
        <f ca="1">IF(AND($D392="Serviço",AO$12&lt;&gt;0,$H392&gt;0,OR(AUTOEVENTO&lt;&gt;"manual",$M392&lt;&gt;1)),
IF(Import.TipoArredondamento&lt;&gt;"TransfereGOV",
ROUND(OFFSET($P392,0,AO$13),15-13*ORÇAMENTO!$AF$7)/$H392*OFFSET(ORÇAMENTO!$X$15,ROW(AO392)-ROW(AO$15),0),
ROUND(ROUND(OFFSET($P392,0,AO$13),15-13*ORÇAMENTO!$AF$7)*OFFSET(ORÇAMENTO!$W$15,ROW(AO392)-ROW(AO$15),0),15-13*ORÇAMENTO!$AF$11)),0)</f>
        <v>0</v>
      </c>
      <c r="AP392" s="545">
        <f ca="1">IF(AND($D392="Serviço",AP$12&lt;&gt;0,$H392&gt;0,OR(AUTOEVENTO&lt;&gt;"manual",$M392&lt;&gt;1)),
IF(Import.TipoArredondamento&lt;&gt;"TransfereGOV",
ROUND(OFFSET($P392,0,AP$13),15-13*ORÇAMENTO!$AF$7)/$H392*OFFSET(ORÇAMENTO!$X$15,ROW(AP392)-ROW(AP$15),0),
ROUND(ROUND(OFFSET($P392,0,AP$13),15-13*ORÇAMENTO!$AF$7)*OFFSET(ORÇAMENTO!$W$15,ROW(AP392)-ROW(AP$15),0),15-13*ORÇAMENTO!$AF$11)),0)</f>
        <v>0</v>
      </c>
      <c r="AQ392" s="545">
        <f ca="1">IF(AND($D392="Serviço",AQ$12&lt;&gt;0,$H392&gt;0,OR(AUTOEVENTO&lt;&gt;"manual",$M392&lt;&gt;1)),
IF(Import.TipoArredondamento&lt;&gt;"TransfereGOV",
ROUND(OFFSET($P392,0,AQ$13),15-13*ORÇAMENTO!$AF$7)/$H392*OFFSET(ORÇAMENTO!$X$15,ROW(AQ392)-ROW(AQ$15),0),
ROUND(ROUND(OFFSET($P392,0,AQ$13),15-13*ORÇAMENTO!$AF$7)*OFFSET(ORÇAMENTO!$W$15,ROW(AQ392)-ROW(AQ$15),0),15-13*ORÇAMENTO!$AF$11)),0)</f>
        <v>0</v>
      </c>
      <c r="AR392" s="545">
        <f ca="1">IF(AND($D392="Serviço",AR$12&lt;&gt;0,$H392&gt;0,OR(AUTOEVENTO&lt;&gt;"manual",$M392&lt;&gt;1)),
IF(Import.TipoArredondamento&lt;&gt;"TransfereGOV",
ROUND(OFFSET($P392,0,AR$13),15-13*ORÇAMENTO!$AF$7)/$H392*OFFSET(ORÇAMENTO!$X$15,ROW(AR392)-ROW(AR$15),0),
ROUND(ROUND(OFFSET($P392,0,AR$13),15-13*ORÇAMENTO!$AF$7)*OFFSET(ORÇAMENTO!$W$15,ROW(AR392)-ROW(AR$15),0),15-13*ORÇAMENTO!$AF$11)),0)</f>
        <v>0</v>
      </c>
      <c r="AS392" s="546">
        <f ca="1">IF(AND($D392="Serviço",AS$12&lt;&gt;0,$H392&gt;0,OR(AUTOEVENTO&lt;&gt;"manual",$M392&lt;&gt;1)),
IF(Import.TipoArredondamento&lt;&gt;"TransfereGOV",
ROUND(OFFSET($P392,0,AS$13),15-13*ORÇAMENTO!$AF$7)/$H392*OFFSET(ORÇAMENTO!$X$15,ROW(AS392)-ROW(AS$15),0),
ROUND(ROUND(OFFSET($P392,0,AS$13),15-13*ORÇAMENTO!$AF$7)*OFFSET(ORÇAMENTO!$W$15,ROW(AS392)-ROW(AS$15),0),15-13*ORÇAMENTO!$AF$11)),0)</f>
        <v>0</v>
      </c>
      <c r="AT392" s="545">
        <f ca="1">IF(AND($D392="Serviço",AT$12&lt;&gt;0,$H392&gt;0,OR(AUTOEVENTO&lt;&gt;"manual",$M392&lt;&gt;1)),
IF(Import.TipoArredondamento&lt;&gt;"TransfereGOV",
ROUND(OFFSET($P392,0,AT$13),15-13*ORÇAMENTO!$AF$7)/$H392*OFFSET(ORÇAMENTO!$X$15,ROW(AT392)-ROW(AT$15),0),
ROUND(ROUND(OFFSET($P392,0,AT$13),15-13*ORÇAMENTO!$AF$7)*OFFSET(ORÇAMENTO!$W$15,ROW(AT392)-ROW(AT$15),0),15-13*ORÇAMENTO!$AF$11)),0)</f>
        <v>0</v>
      </c>
      <c r="AU392" s="545">
        <f ca="1">IF(AND($D392="Serviço",AU$12&lt;&gt;0,$H392&gt;0,OR(AUTOEVENTO&lt;&gt;"manual",$M392&lt;&gt;1)),
IF(Import.TipoArredondamento&lt;&gt;"TransfereGOV",
ROUND(OFFSET($P392,0,AU$13),15-13*ORÇAMENTO!$AF$7)/$H392*OFFSET(ORÇAMENTO!$X$15,ROW(AU392)-ROW(AU$15),0),
ROUND(ROUND(OFFSET($P392,0,AU$13),15-13*ORÇAMENTO!$AF$7)*OFFSET(ORÇAMENTO!$W$15,ROW(AU392)-ROW(AU$15),0),15-13*ORÇAMENTO!$AF$11)),0)</f>
        <v>0</v>
      </c>
      <c r="AV392" s="545">
        <f ca="1">IF(AND($D392="Serviço",AV$12&lt;&gt;0,$H392&gt;0,OR(AUTOEVENTO&lt;&gt;"manual",$M392&lt;&gt;1)),
IF(Import.TipoArredondamento&lt;&gt;"TransfereGOV",
ROUND(OFFSET($P392,0,AV$13),15-13*ORÇAMENTO!$AF$7)/$H392*OFFSET(ORÇAMENTO!$X$15,ROW(AV392)-ROW(AV$15),0),
ROUND(ROUND(OFFSET($P392,0,AV$13),15-13*ORÇAMENTO!$AF$7)*OFFSET(ORÇAMENTO!$W$15,ROW(AV392)-ROW(AV$15),0),15-13*ORÇAMENTO!$AF$11)),0)</f>
        <v>0</v>
      </c>
      <c r="AW392" s="545">
        <f ca="1">IF(AND($D392="Serviço",AW$12&lt;&gt;0,$H392&gt;0,OR(AUTOEVENTO&lt;&gt;"manual",$M392&lt;&gt;1)),
IF(Import.TipoArredondamento&lt;&gt;"TransfereGOV",
ROUND(OFFSET($P392,0,AW$13),15-13*ORÇAMENTO!$AF$7)/$H392*OFFSET(ORÇAMENTO!$X$15,ROW(AW392)-ROW(AW$15),0),
ROUND(ROUND(OFFSET($P392,0,AW$13),15-13*ORÇAMENTO!$AF$7)*OFFSET(ORÇAMENTO!$W$15,ROW(AW392)-ROW(AW$15),0),15-13*ORÇAMENTO!$AF$11)),0)</f>
        <v>0</v>
      </c>
      <c r="AX392" s="545">
        <f ca="1">IF(AND($D392="Serviço",AX$12&lt;&gt;0,$H392&gt;0,OR(AUTOEVENTO&lt;&gt;"manual",$M392&lt;&gt;1)),
IF(Import.TipoArredondamento&lt;&gt;"TransfereGOV",
ROUND(OFFSET($P392,0,AX$13),15-13*ORÇAMENTO!$AF$7)/$H392*OFFSET(ORÇAMENTO!$X$15,ROW(AX392)-ROW(AX$15),0),
ROUND(ROUND(OFFSET($P392,0,AX$13),15-13*ORÇAMENTO!$AF$7)*OFFSET(ORÇAMENTO!$W$15,ROW(AX392)-ROW(AX$15),0),15-13*ORÇAMENTO!$AF$11)),0)</f>
        <v>0</v>
      </c>
      <c r="AY392" s="545">
        <f ca="1">IF(AND($D392="Serviço",AY$12&lt;&gt;0,$H392&gt;0,OR(AUTOEVENTO&lt;&gt;"manual",$M392&lt;&gt;1)),
IF(Import.TipoArredondamento&lt;&gt;"TransfereGOV",
ROUND(OFFSET($P392,0,AY$13),15-13*ORÇAMENTO!$AF$7)/$H392*OFFSET(ORÇAMENTO!$X$15,ROW(AY392)-ROW(AY$15),0),
ROUND(ROUND(OFFSET($P392,0,AY$13),15-13*ORÇAMENTO!$AF$7)*OFFSET(ORÇAMENTO!$W$15,ROW(AY392)-ROW(AY$15),0),15-13*ORÇAMENTO!$AF$11)),0)</f>
        <v>0</v>
      </c>
      <c r="AZ392" s="545">
        <f ca="1">IF(AND($D392="Serviço",AZ$12&lt;&gt;0,$H392&gt;0,OR(AUTOEVENTO&lt;&gt;"manual",$M392&lt;&gt;1)),
IF(Import.TipoArredondamento&lt;&gt;"TransfereGOV",
ROUND(OFFSET($P392,0,AZ$13),15-13*ORÇAMENTO!$AF$7)/$H392*OFFSET(ORÇAMENTO!$X$15,ROW(AZ392)-ROW(AZ$15),0),
ROUND(ROUND(OFFSET($P392,0,AZ$13),15-13*ORÇAMENTO!$AF$7)*OFFSET(ORÇAMENTO!$W$15,ROW(AZ392)-ROW(AZ$15),0),15-13*ORÇAMENTO!$AF$11)),0)</f>
        <v>0</v>
      </c>
      <c r="BA392" s="546">
        <f ca="1">IF(AND($D392="Serviço",BA$12&lt;&gt;0,$H392&gt;0,OR(AUTOEVENTO&lt;&gt;"manual",$M392&lt;&gt;1)),
IF(Import.TipoArredondamento&lt;&gt;"TransfereGOV",
ROUND(OFFSET($P392,0,BA$13),15-13*ORÇAMENTO!$AF$7)/$H392*OFFSET(ORÇAMENTO!$X$15,ROW(BA392)-ROW(BA$15),0),
ROUND(ROUND(OFFSET($P392,0,BA$13),15-13*ORÇAMENTO!$AF$7)*OFFSET(ORÇAMENTO!$W$15,ROW(BA392)-ROW(BA$15),0),15-13*ORÇAMENTO!$AF$11)),0)</f>
        <v>0</v>
      </c>
      <c r="BC392" s="181">
        <f ca="1">IF($D392&lt;&gt;"Serviço",0,IF(AND(AUTOEVENTO="Manual",$M392=1),0,IF(OFFSET(CRONOPLE!$F$14,$M392,BC$13)="",10^12,OFFSET(CRONOPLE!$F$14,$M392,BC$13))))</f>
        <v>10</v>
      </c>
      <c r="BD392" s="181">
        <f ca="1">IF($D392&lt;&gt;"Serviço",0,IF(AND(AUTOEVENTO="Manual",$M392=1),0,IF(OFFSET(CRONOPLE!$F$14,$M392,BD$13)="",10^12,OFFSET(CRONOPLE!$F$14,$M392,BD$13))))</f>
        <v>1000000000000</v>
      </c>
      <c r="BE392" s="181">
        <f ca="1">IF($D392&lt;&gt;"Serviço",0,IF(AND(AUTOEVENTO="Manual",$M392=1),0,IF(OFFSET(CRONOPLE!$F$14,$M392,BE$13)="",10^12,OFFSET(CRONOPLE!$F$14,$M392,BE$13))))</f>
        <v>1000000000000</v>
      </c>
      <c r="BF392" s="181">
        <f ca="1">IF($D392&lt;&gt;"Serviço",0,IF(AND(AUTOEVENTO="Manual",$M392=1),0,IF(OFFSET(CRONOPLE!$F$14,$M392,BF$13)="",10^12,OFFSET(CRONOPLE!$F$14,$M392,BF$13))))</f>
        <v>1000000000000</v>
      </c>
      <c r="BG392" s="181">
        <f ca="1">IF($D392&lt;&gt;"Serviço",0,IF(AND(AUTOEVENTO="Manual",$M392=1),0,IF(OFFSET(CRONOPLE!$F$14,$M392,BG$13)="",10^12,OFFSET(CRONOPLE!$F$14,$M392,BG$13))))</f>
        <v>1000000000000</v>
      </c>
      <c r="BH392" s="181">
        <f ca="1">IF($D392&lt;&gt;"Serviço",0,IF(AND(AUTOEVENTO="Manual",$M392=1),0,IF(OFFSET(CRONOPLE!$F$14,$M392,BH$13)="",10^12,OFFSET(CRONOPLE!$F$14,$M392,BH$13))))</f>
        <v>1000000000000</v>
      </c>
      <c r="BI392" s="181">
        <f ca="1">IF($D392&lt;&gt;"Serviço",0,IF(AND(AUTOEVENTO="Manual",$M392=1),0,IF(OFFSET(CRONOPLE!$F$14,$M392,BI$13)="",10^12,OFFSET(CRONOPLE!$F$14,$M392,BI$13))))</f>
        <v>1000000000000</v>
      </c>
      <c r="BJ392" s="181">
        <f ca="1">IF($D392&lt;&gt;"Serviço",0,IF(AND(AUTOEVENTO="Manual",$M392=1),0,IF(OFFSET(CRONOPLE!$F$14,$M392,BJ$13)="",10^12,OFFSET(CRONOPLE!$F$14,$M392,BJ$13))))</f>
        <v>1000000000000</v>
      </c>
      <c r="BK392" s="181">
        <f ca="1">IF($D392&lt;&gt;"Serviço",0,IF(AND(AUTOEVENTO="Manual",$M392=1),0,IF(OFFSET(CRONOPLE!$F$14,$M392,BK$13)="",10^12,OFFSET(CRONOPLE!$F$14,$M392,BK$13))))</f>
        <v>1000000000000</v>
      </c>
      <c r="BL392" s="181">
        <f ca="1">IF($D392&lt;&gt;"Serviço",0,IF(AND(AUTOEVENTO="Manual",$M392=1),0,IF(OFFSET(CRONOPLE!$F$14,$M392,BL$13)="",10^12,OFFSET(CRONOPLE!$F$14,$M392,BL$13))))</f>
        <v>1000000000000</v>
      </c>
      <c r="BM392" s="181">
        <f ca="1">IF($D392&lt;&gt;"Serviço",0,IF(AND(AUTOEVENTO="Manual",$M392=1),0,IF(OFFSET(CRONOPLE!$F$14,$M392,BM$13)="",10^12,OFFSET(CRONOPLE!$F$14,$M392,BM$13))))</f>
        <v>1000000000000</v>
      </c>
      <c r="BN392" s="181">
        <f ca="1">IF($D392&lt;&gt;"Serviço",0,IF(AND(AUTOEVENTO="Manual",$M392=1),0,IF(OFFSET(CRONOPLE!$F$14,$M392,BN$13)="",10^12,OFFSET(CRONOPLE!$F$14,$M392,BN$13))))</f>
        <v>1000000000000</v>
      </c>
      <c r="BO392" s="181">
        <f ca="1">IF($D392&lt;&gt;"Serviço",0,IF(AND(AUTOEVENTO="Manual",$M392=1),0,IF(OFFSET(CRONOPLE!$F$14,$M392,BO$13)="",10^12,OFFSET(CRONOPLE!$F$14,$M392,BO$13))))</f>
        <v>1000000000000</v>
      </c>
      <c r="BP392" s="181">
        <f ca="1">IF($D392&lt;&gt;"Serviço",0,IF(AND(AUTOEVENTO="Manual",$M392=1),0,IF(OFFSET(CRONOPLE!$F$14,$M392,BP$13)="",10^12,OFFSET(CRONOPLE!$F$14,$M392,BP$13))))</f>
        <v>1000000000000</v>
      </c>
      <c r="BQ392" s="181">
        <f ca="1">IF($D392&lt;&gt;"Serviço",0,IF(AND(AUTOEVENTO="Manual",$M392=1),0,IF(OFFSET(CRONOPLE!$F$14,$M392,BQ$13)="",10^12,OFFSET(CRONOPLE!$F$14,$M392,BQ$13))))</f>
        <v>1000000000000</v>
      </c>
      <c r="BR392" s="181">
        <f ca="1">IF($D392&lt;&gt;"Serviço",0,IF(AND(AUTOEVENTO="Manual",$M392=1),0,IF(OFFSET(CRONOPLE!$F$14,$M392,BR$13)="",10^12,OFFSET(CRONOPLE!$F$14,$M392,BR$13))))</f>
        <v>1000000000000</v>
      </c>
      <c r="BS392" s="181">
        <f ca="1">IF($D392&lt;&gt;"Serviço",0,IF(AND(AUTOEVENTO="Manual",$M392=1),0,IF(OFFSET(CRONOPLE!$F$14,$M392,BS$13)="",10^12,OFFSET(CRONOPLE!$F$14,$M392,BS$13))))</f>
        <v>1000000000000</v>
      </c>
      <c r="BT392" s="181">
        <f ca="1">IF($D392&lt;&gt;"Serviço",0,IF(AND(AUTOEVENTO="Manual",$M392=1),0,IF(OFFSET(CRONOPLE!$F$14,$M392,BT$13)="",10^12,OFFSET(CRONOPLE!$F$14,$M392,BT$13))))</f>
        <v>1000000000000</v>
      </c>
      <c r="BV392" s="182">
        <f ca="1">IF($D392&lt;&gt;"Serviço",0,IF(OR(AND(AUTOEVENTO="Manual",$M392=1),$M392&gt;(ROW(PLE.lastrow)-ROW(PLE.firstrow))),0,IF(OFFSET(PLE!$G$14,$M392,BV$13)="",10^12,OFFSET(PLE!$G$14,$M392,BV$13))))</f>
        <v>1000000000000</v>
      </c>
      <c r="BW392" s="182">
        <f ca="1">IF($D392&lt;&gt;"Serviço",0,IF(OR(AND(AUTOEVENTO="Manual",$M392=1),$M392&gt;(ROW(PLE.lastrow)-ROW(PLE.firstrow))),0,IF(OFFSET(PLE!$G$14,$M392,BW$13)="",10^12,OFFSET(PLE!$G$14,$M392,BW$13))))</f>
        <v>1000000000000</v>
      </c>
      <c r="BX392" s="182">
        <f ca="1">IF($D392&lt;&gt;"Serviço",0,IF(OR(AND(AUTOEVENTO="Manual",$M392=1),$M392&gt;(ROW(PLE.lastrow)-ROW(PLE.firstrow))),0,IF(OFFSET(PLE!$G$14,$M392,BX$13)="",10^12,OFFSET(PLE!$G$14,$M392,BX$13))))</f>
        <v>1000000000000</v>
      </c>
      <c r="BY392" s="182">
        <f ca="1">IF($D392&lt;&gt;"Serviço",0,IF(OR(AND(AUTOEVENTO="Manual",$M392=1),$M392&gt;(ROW(PLE.lastrow)-ROW(PLE.firstrow))),0,IF(OFFSET(PLE!$G$14,$M392,BY$13)="",10^12,OFFSET(PLE!$G$14,$M392,BY$13))))</f>
        <v>1000000000000</v>
      </c>
      <c r="BZ392" s="182">
        <f ca="1">IF($D392&lt;&gt;"Serviço",0,IF(OR(AND(AUTOEVENTO="Manual",$M392=1),$M392&gt;(ROW(PLE.lastrow)-ROW(PLE.firstrow))),0,IF(OFFSET(PLE!$G$14,$M392,BZ$13)="",10^12,OFFSET(PLE!$G$14,$M392,BZ$13))))</f>
        <v>1000000000000</v>
      </c>
      <c r="CA392" s="182">
        <f ca="1">IF($D392&lt;&gt;"Serviço",0,IF(OR(AND(AUTOEVENTO="Manual",$M392=1),$M392&gt;(ROW(PLE.lastrow)-ROW(PLE.firstrow))),0,IF(OFFSET(PLE!$G$14,$M392,CA$13)="",10^12,OFFSET(PLE!$G$14,$M392,CA$13))))</f>
        <v>1000000000000</v>
      </c>
      <c r="CB392" s="182">
        <f ca="1">IF($D392&lt;&gt;"Serviço",0,IF(OR(AND(AUTOEVENTO="Manual",$M392=1),$M392&gt;(ROW(PLE.lastrow)-ROW(PLE.firstrow))),0,IF(OFFSET(PLE!$G$14,$M392,CB$13)="",10^12,OFFSET(PLE!$G$14,$M392,CB$13))))</f>
        <v>1000000000000</v>
      </c>
      <c r="CC392" s="182">
        <f ca="1">IF($D392&lt;&gt;"Serviço",0,IF(OR(AND(AUTOEVENTO="Manual",$M392=1),$M392&gt;(ROW(PLE.lastrow)-ROW(PLE.firstrow))),0,IF(OFFSET(PLE!$G$14,$M392,CC$13)="",10^12,OFFSET(PLE!$G$14,$M392,CC$13))))</f>
        <v>1000000000000</v>
      </c>
      <c r="CD392" s="182">
        <f ca="1">IF($D392&lt;&gt;"Serviço",0,IF(OR(AND(AUTOEVENTO="Manual",$M392=1),$M392&gt;(ROW(PLE.lastrow)-ROW(PLE.firstrow))),0,IF(OFFSET(PLE!$G$14,$M392,CD$13)="",10^12,OFFSET(PLE!$G$14,$M392,CD$13))))</f>
        <v>1000000000000</v>
      </c>
      <c r="CE392" s="182">
        <f ca="1">IF($D392&lt;&gt;"Serviço",0,IF(OR(AND(AUTOEVENTO="Manual",$M392=1),$M392&gt;(ROW(PLE.lastrow)-ROW(PLE.firstrow))),0,IF(OFFSET(PLE!$G$14,$M392,CE$13)="",10^12,OFFSET(PLE!$G$14,$M392,CE$13))))</f>
        <v>1000000000000</v>
      </c>
      <c r="CF392" s="182">
        <f ca="1">IF($D392&lt;&gt;"Serviço",0,IF(OR(AND(AUTOEVENTO="Manual",$M392=1),$M392&gt;(ROW(PLE.lastrow)-ROW(PLE.firstrow))),0,IF(OFFSET(PLE!$G$14,$M392,CF$13)="",10^12,OFFSET(PLE!$G$14,$M392,CF$13))))</f>
        <v>1000000000000</v>
      </c>
      <c r="CG392" s="182">
        <f ca="1">IF($D392&lt;&gt;"Serviço",0,IF(OR(AND(AUTOEVENTO="Manual",$M392=1),$M392&gt;(ROW(PLE.lastrow)-ROW(PLE.firstrow))),0,IF(OFFSET(PLE!$G$14,$M392,CG$13)="",10^12,OFFSET(PLE!$G$14,$M392,CG$13))))</f>
        <v>1000000000000</v>
      </c>
      <c r="CH392" s="182">
        <f ca="1">IF($D392&lt;&gt;"Serviço",0,IF(OR(AND(AUTOEVENTO="Manual",$M392=1),$M392&gt;(ROW(PLE.lastrow)-ROW(PLE.firstrow))),0,IF(OFFSET(PLE!$G$14,$M392,CH$13)="",10^12,OFFSET(PLE!$G$14,$M392,CH$13))))</f>
        <v>1000000000000</v>
      </c>
      <c r="CI392" s="182">
        <f ca="1">IF($D392&lt;&gt;"Serviço",0,IF(OR(AND(AUTOEVENTO="Manual",$M392=1),$M392&gt;(ROW(PLE.lastrow)-ROW(PLE.firstrow))),0,IF(OFFSET(PLE!$G$14,$M392,CI$13)="",10^12,OFFSET(PLE!$G$14,$M392,CI$13))))</f>
        <v>1000000000000</v>
      </c>
      <c r="CJ392" s="182">
        <f ca="1">IF($D392&lt;&gt;"Serviço",0,IF(OR(AND(AUTOEVENTO="Manual",$M392=1),$M392&gt;(ROW(PLE.lastrow)-ROW(PLE.firstrow))),0,IF(OFFSET(PLE!$G$14,$M392,CJ$13)="",10^12,OFFSET(PLE!$G$14,$M392,CJ$13))))</f>
        <v>1000000000000</v>
      </c>
      <c r="CK392" s="182">
        <f ca="1">IF($D392&lt;&gt;"Serviço",0,IF(OR(AND(AUTOEVENTO="Manual",$M392=1),$M392&gt;(ROW(PLE.lastrow)-ROW(PLE.firstrow))),0,IF(OFFSET(PLE!$G$14,$M392,CK$13)="",10^12,OFFSET(PLE!$G$14,$M392,CK$13))))</f>
        <v>1000000000000</v>
      </c>
      <c r="CL392" s="182">
        <f ca="1">IF($D392&lt;&gt;"Serviço",0,IF(OR(AND(AUTOEVENTO="Manual",$M392=1),$M392&gt;(ROW(PLE.lastrow)-ROW(PLE.firstrow))),0,IF(OFFSET(PLE!$G$14,$M392,CL$13)="",10^12,OFFSET(PLE!$G$14,$M392,CL$13))))</f>
        <v>1000000000000</v>
      </c>
      <c r="CM392" s="182">
        <f ca="1">IF($D392&lt;&gt;"Serviço",0,IF(OR(AND(AUTOEVENTO="Manual",$M392=1),$M392&gt;(ROW(PLE.lastrow)-ROW(PLE.firstrow))),0,IF(OFFSET(PLE!$G$14,$M392,CM$13)="",10^12,OFFSET(PLE!$G$14,$M392,CM$13))))</f>
        <v>1000000000000</v>
      </c>
    </row>
    <row r="393" spans="1:91" ht="38.25" x14ac:dyDescent="0.2">
      <c r="A393" s="7" t="str">
        <f t="shared" ca="1" si="13"/>
        <v>350</v>
      </c>
      <c r="B393" s="7" t="str">
        <f ca="1">OFFSET(ORÇAMENTO!C$15,ROW(B393)-ROW(B$15),0)</f>
        <v>S</v>
      </c>
      <c r="C393" s="7" t="str">
        <f ca="1">OFFSET(ORÇAMENTO!L$15,ROW(C393)-ROW(C$15),0)</f>
        <v/>
      </c>
      <c r="D393" s="118" t="str">
        <f ca="1">OFFSET(ORÇAMENTO!N$15,ROW(D393)-ROW(D$15),0)</f>
        <v>Serviço</v>
      </c>
      <c r="E393" s="119" t="str">
        <f ca="1">OFFSET(ORÇAMENTO!O$15,ROW(E393)-ROW(E$15),0)</f>
        <v>-</v>
      </c>
      <c r="F393" s="172" t="str">
        <f ca="1">OFFSET(ORÇAMENTO!R$15,ROW(F393)-ROW(F$15),0)</f>
        <v>(abra o arquivo 'Referência 06-2024.xlsm)</v>
      </c>
      <c r="G393" s="173" t="str">
        <f ca="1">IF($D393&lt;&gt;"Serviço","",OFFSET(ORÇAMENTO!S$15,ROW(G393)-ROW(G$15),0))</f>
        <v>-</v>
      </c>
      <c r="H393" s="124">
        <f ca="1">IF($D393&lt;&gt;"Serviço",0,IF(ACOMPANHAMENTO="BM",ROUND(OFFSET(ORÇAMENTO!AJ$15,ROW(H393)-ROW(H$15),0),15-13*ORÇAMENTO!$AF$7),SUMPRODUCT(($Q$12:$AI$12&lt;&gt;"")*ROUND($Q393:$AI393,15-13*ORÇAMENTO!$AF$7))))</f>
        <v>24</v>
      </c>
      <c r="I393" s="561" t="s">
        <v>1107</v>
      </c>
      <c r="K393" s="174"/>
      <c r="L393" s="175" t="s">
        <v>255</v>
      </c>
      <c r="M393" s="176">
        <f ca="1">IF($D393&lt;&gt;"Serviço","",IF(AUTOEVENTO="manual",$A393,IF(ISERROR(MATCH($A393,$A$15:OFFSET($A393,-1,0),0)),MAX($M$15:OFFSET(M393,-1,0))+1,INDEX($M$15:OFFSET(M393,-1,0),MATCH($A393,$A$15:OFFSET($A393,-1,0),0)))))</f>
        <v>44</v>
      </c>
      <c r="N393" s="177" t="str">
        <f ca="1">IF($D393&lt;&gt;"Serviço","",IF(AUTOEVENTO="Manual",IF($A393=0,"&lt;-- defina o número do agrupador",OFFSET(EVENTOS!$D$14,$A393,0)),OFFSET($F$15,$A393,0)))</f>
        <v>LOUÇAS, ACESSÓRIOS E METAIS</v>
      </c>
      <c r="O393" s="178"/>
      <c r="Q393" s="178">
        <v>24</v>
      </c>
      <c r="R393" s="179"/>
      <c r="S393" s="179"/>
      <c r="T393" s="179"/>
      <c r="U393" s="179"/>
      <c r="V393" s="179"/>
      <c r="W393" s="179"/>
      <c r="X393" s="179"/>
      <c r="Y393" s="179"/>
      <c r="Z393" s="180"/>
      <c r="AA393" s="179"/>
      <c r="AB393" s="179"/>
      <c r="AC393" s="179"/>
      <c r="AD393" s="179"/>
      <c r="AE393" s="179"/>
      <c r="AF393" s="179"/>
      <c r="AG393" s="179"/>
      <c r="AH393" s="180"/>
      <c r="AJ393" s="544">
        <f ca="1">IF(AND($D393="Serviço",AJ$12&lt;&gt;0,$H393&gt;0,OR(AUTOEVENTO&lt;&gt;"manual",$M393&lt;&gt;1)),
IF(Import.TipoArredondamento&lt;&gt;"TransfereGOV",
ROUND(OFFSET($P393,0,AJ$13),15-13*ORÇAMENTO!$AF$7)/$H393*OFFSET(ORÇAMENTO!$X$15,ROW(AJ393)-ROW(AJ$15),0),
ROUND(ROUND(OFFSET($P393,0,AJ$13),15-13*ORÇAMENTO!$AF$7)*OFFSET(ORÇAMENTO!$W$15,ROW(AJ393)-ROW(AJ$15),0),15-13*ORÇAMENTO!$AF$11)),0)</f>
        <v>0</v>
      </c>
      <c r="AK393" s="545">
        <f ca="1">IF(AND($D393="Serviço",AK$12&lt;&gt;0,$H393&gt;0,OR(AUTOEVENTO&lt;&gt;"manual",$M393&lt;&gt;1)),
IF(Import.TipoArredondamento&lt;&gt;"TransfereGOV",
ROUND(OFFSET($P393,0,AK$13),15-13*ORÇAMENTO!$AF$7)/$H393*OFFSET(ORÇAMENTO!$X$15,ROW(AK393)-ROW(AK$15),0),
ROUND(ROUND(OFFSET($P393,0,AK$13),15-13*ORÇAMENTO!$AF$7)*OFFSET(ORÇAMENTO!$W$15,ROW(AK393)-ROW(AK$15),0),15-13*ORÇAMENTO!$AF$11)),0)</f>
        <v>0</v>
      </c>
      <c r="AL393" s="545">
        <f ca="1">IF(AND($D393="Serviço",AL$12&lt;&gt;0,$H393&gt;0,OR(AUTOEVENTO&lt;&gt;"manual",$M393&lt;&gt;1)),
IF(Import.TipoArredondamento&lt;&gt;"TransfereGOV",
ROUND(OFFSET($P393,0,AL$13),15-13*ORÇAMENTO!$AF$7)/$H393*OFFSET(ORÇAMENTO!$X$15,ROW(AL393)-ROW(AL$15),0),
ROUND(ROUND(OFFSET($P393,0,AL$13),15-13*ORÇAMENTO!$AF$7)*OFFSET(ORÇAMENTO!$W$15,ROW(AL393)-ROW(AL$15),0),15-13*ORÇAMENTO!$AF$11)),0)</f>
        <v>0</v>
      </c>
      <c r="AM393" s="545">
        <f ca="1">IF(AND($D393="Serviço",AM$12&lt;&gt;0,$H393&gt;0,OR(AUTOEVENTO&lt;&gt;"manual",$M393&lt;&gt;1)),
IF(Import.TipoArredondamento&lt;&gt;"TransfereGOV",
ROUND(OFFSET($P393,0,AM$13),15-13*ORÇAMENTO!$AF$7)/$H393*OFFSET(ORÇAMENTO!$X$15,ROW(AM393)-ROW(AM$15),0),
ROUND(ROUND(OFFSET($P393,0,AM$13),15-13*ORÇAMENTO!$AF$7)*OFFSET(ORÇAMENTO!$W$15,ROW(AM393)-ROW(AM$15),0),15-13*ORÇAMENTO!$AF$11)),0)</f>
        <v>0</v>
      </c>
      <c r="AN393" s="545">
        <f ca="1">IF(AND($D393="Serviço",AN$12&lt;&gt;0,$H393&gt;0,OR(AUTOEVENTO&lt;&gt;"manual",$M393&lt;&gt;1)),
IF(Import.TipoArredondamento&lt;&gt;"TransfereGOV",
ROUND(OFFSET($P393,0,AN$13),15-13*ORÇAMENTO!$AF$7)/$H393*OFFSET(ORÇAMENTO!$X$15,ROW(AN393)-ROW(AN$15),0),
ROUND(ROUND(OFFSET($P393,0,AN$13),15-13*ORÇAMENTO!$AF$7)*OFFSET(ORÇAMENTO!$W$15,ROW(AN393)-ROW(AN$15),0),15-13*ORÇAMENTO!$AF$11)),0)</f>
        <v>0</v>
      </c>
      <c r="AO393" s="545">
        <f ca="1">IF(AND($D393="Serviço",AO$12&lt;&gt;0,$H393&gt;0,OR(AUTOEVENTO&lt;&gt;"manual",$M393&lt;&gt;1)),
IF(Import.TipoArredondamento&lt;&gt;"TransfereGOV",
ROUND(OFFSET($P393,0,AO$13),15-13*ORÇAMENTO!$AF$7)/$H393*OFFSET(ORÇAMENTO!$X$15,ROW(AO393)-ROW(AO$15),0),
ROUND(ROUND(OFFSET($P393,0,AO$13),15-13*ORÇAMENTO!$AF$7)*OFFSET(ORÇAMENTO!$W$15,ROW(AO393)-ROW(AO$15),0),15-13*ORÇAMENTO!$AF$11)),0)</f>
        <v>0</v>
      </c>
      <c r="AP393" s="545">
        <f ca="1">IF(AND($D393="Serviço",AP$12&lt;&gt;0,$H393&gt;0,OR(AUTOEVENTO&lt;&gt;"manual",$M393&lt;&gt;1)),
IF(Import.TipoArredondamento&lt;&gt;"TransfereGOV",
ROUND(OFFSET($P393,0,AP$13),15-13*ORÇAMENTO!$AF$7)/$H393*OFFSET(ORÇAMENTO!$X$15,ROW(AP393)-ROW(AP$15),0),
ROUND(ROUND(OFFSET($P393,0,AP$13),15-13*ORÇAMENTO!$AF$7)*OFFSET(ORÇAMENTO!$W$15,ROW(AP393)-ROW(AP$15),0),15-13*ORÇAMENTO!$AF$11)),0)</f>
        <v>0</v>
      </c>
      <c r="AQ393" s="545">
        <f ca="1">IF(AND($D393="Serviço",AQ$12&lt;&gt;0,$H393&gt;0,OR(AUTOEVENTO&lt;&gt;"manual",$M393&lt;&gt;1)),
IF(Import.TipoArredondamento&lt;&gt;"TransfereGOV",
ROUND(OFFSET($P393,0,AQ$13),15-13*ORÇAMENTO!$AF$7)/$H393*OFFSET(ORÇAMENTO!$X$15,ROW(AQ393)-ROW(AQ$15),0),
ROUND(ROUND(OFFSET($P393,0,AQ$13),15-13*ORÇAMENTO!$AF$7)*OFFSET(ORÇAMENTO!$W$15,ROW(AQ393)-ROW(AQ$15),0),15-13*ORÇAMENTO!$AF$11)),0)</f>
        <v>0</v>
      </c>
      <c r="AR393" s="545">
        <f ca="1">IF(AND($D393="Serviço",AR$12&lt;&gt;0,$H393&gt;0,OR(AUTOEVENTO&lt;&gt;"manual",$M393&lt;&gt;1)),
IF(Import.TipoArredondamento&lt;&gt;"TransfereGOV",
ROUND(OFFSET($P393,0,AR$13),15-13*ORÇAMENTO!$AF$7)/$H393*OFFSET(ORÇAMENTO!$X$15,ROW(AR393)-ROW(AR$15),0),
ROUND(ROUND(OFFSET($P393,0,AR$13),15-13*ORÇAMENTO!$AF$7)*OFFSET(ORÇAMENTO!$W$15,ROW(AR393)-ROW(AR$15),0),15-13*ORÇAMENTO!$AF$11)),0)</f>
        <v>0</v>
      </c>
      <c r="AS393" s="546">
        <f ca="1">IF(AND($D393="Serviço",AS$12&lt;&gt;0,$H393&gt;0,OR(AUTOEVENTO&lt;&gt;"manual",$M393&lt;&gt;1)),
IF(Import.TipoArredondamento&lt;&gt;"TransfereGOV",
ROUND(OFFSET($P393,0,AS$13),15-13*ORÇAMENTO!$AF$7)/$H393*OFFSET(ORÇAMENTO!$X$15,ROW(AS393)-ROW(AS$15),0),
ROUND(ROUND(OFFSET($P393,0,AS$13),15-13*ORÇAMENTO!$AF$7)*OFFSET(ORÇAMENTO!$W$15,ROW(AS393)-ROW(AS$15),0),15-13*ORÇAMENTO!$AF$11)),0)</f>
        <v>0</v>
      </c>
      <c r="AT393" s="545">
        <f ca="1">IF(AND($D393="Serviço",AT$12&lt;&gt;0,$H393&gt;0,OR(AUTOEVENTO&lt;&gt;"manual",$M393&lt;&gt;1)),
IF(Import.TipoArredondamento&lt;&gt;"TransfereGOV",
ROUND(OFFSET($P393,0,AT$13),15-13*ORÇAMENTO!$AF$7)/$H393*OFFSET(ORÇAMENTO!$X$15,ROW(AT393)-ROW(AT$15),0),
ROUND(ROUND(OFFSET($P393,0,AT$13),15-13*ORÇAMENTO!$AF$7)*OFFSET(ORÇAMENTO!$W$15,ROW(AT393)-ROW(AT$15),0),15-13*ORÇAMENTO!$AF$11)),0)</f>
        <v>0</v>
      </c>
      <c r="AU393" s="545">
        <f ca="1">IF(AND($D393="Serviço",AU$12&lt;&gt;0,$H393&gt;0,OR(AUTOEVENTO&lt;&gt;"manual",$M393&lt;&gt;1)),
IF(Import.TipoArredondamento&lt;&gt;"TransfereGOV",
ROUND(OFFSET($P393,0,AU$13),15-13*ORÇAMENTO!$AF$7)/$H393*OFFSET(ORÇAMENTO!$X$15,ROW(AU393)-ROW(AU$15),0),
ROUND(ROUND(OFFSET($P393,0,AU$13),15-13*ORÇAMENTO!$AF$7)*OFFSET(ORÇAMENTO!$W$15,ROW(AU393)-ROW(AU$15),0),15-13*ORÇAMENTO!$AF$11)),0)</f>
        <v>0</v>
      </c>
      <c r="AV393" s="545">
        <f ca="1">IF(AND($D393="Serviço",AV$12&lt;&gt;0,$H393&gt;0,OR(AUTOEVENTO&lt;&gt;"manual",$M393&lt;&gt;1)),
IF(Import.TipoArredondamento&lt;&gt;"TransfereGOV",
ROUND(OFFSET($P393,0,AV$13),15-13*ORÇAMENTO!$AF$7)/$H393*OFFSET(ORÇAMENTO!$X$15,ROW(AV393)-ROW(AV$15),0),
ROUND(ROUND(OFFSET($P393,0,AV$13),15-13*ORÇAMENTO!$AF$7)*OFFSET(ORÇAMENTO!$W$15,ROW(AV393)-ROW(AV$15),0),15-13*ORÇAMENTO!$AF$11)),0)</f>
        <v>0</v>
      </c>
      <c r="AW393" s="545">
        <f ca="1">IF(AND($D393="Serviço",AW$12&lt;&gt;0,$H393&gt;0,OR(AUTOEVENTO&lt;&gt;"manual",$M393&lt;&gt;1)),
IF(Import.TipoArredondamento&lt;&gt;"TransfereGOV",
ROUND(OFFSET($P393,0,AW$13),15-13*ORÇAMENTO!$AF$7)/$H393*OFFSET(ORÇAMENTO!$X$15,ROW(AW393)-ROW(AW$15),0),
ROUND(ROUND(OFFSET($P393,0,AW$13),15-13*ORÇAMENTO!$AF$7)*OFFSET(ORÇAMENTO!$W$15,ROW(AW393)-ROW(AW$15),0),15-13*ORÇAMENTO!$AF$11)),0)</f>
        <v>0</v>
      </c>
      <c r="AX393" s="545">
        <f ca="1">IF(AND($D393="Serviço",AX$12&lt;&gt;0,$H393&gt;0,OR(AUTOEVENTO&lt;&gt;"manual",$M393&lt;&gt;1)),
IF(Import.TipoArredondamento&lt;&gt;"TransfereGOV",
ROUND(OFFSET($P393,0,AX$13),15-13*ORÇAMENTO!$AF$7)/$H393*OFFSET(ORÇAMENTO!$X$15,ROW(AX393)-ROW(AX$15),0),
ROUND(ROUND(OFFSET($P393,0,AX$13),15-13*ORÇAMENTO!$AF$7)*OFFSET(ORÇAMENTO!$W$15,ROW(AX393)-ROW(AX$15),0),15-13*ORÇAMENTO!$AF$11)),0)</f>
        <v>0</v>
      </c>
      <c r="AY393" s="545">
        <f ca="1">IF(AND($D393="Serviço",AY$12&lt;&gt;0,$H393&gt;0,OR(AUTOEVENTO&lt;&gt;"manual",$M393&lt;&gt;1)),
IF(Import.TipoArredondamento&lt;&gt;"TransfereGOV",
ROUND(OFFSET($P393,0,AY$13),15-13*ORÇAMENTO!$AF$7)/$H393*OFFSET(ORÇAMENTO!$X$15,ROW(AY393)-ROW(AY$15),0),
ROUND(ROUND(OFFSET($P393,0,AY$13),15-13*ORÇAMENTO!$AF$7)*OFFSET(ORÇAMENTO!$W$15,ROW(AY393)-ROW(AY$15),0),15-13*ORÇAMENTO!$AF$11)),0)</f>
        <v>0</v>
      </c>
      <c r="AZ393" s="545">
        <f ca="1">IF(AND($D393="Serviço",AZ$12&lt;&gt;0,$H393&gt;0,OR(AUTOEVENTO&lt;&gt;"manual",$M393&lt;&gt;1)),
IF(Import.TipoArredondamento&lt;&gt;"TransfereGOV",
ROUND(OFFSET($P393,0,AZ$13),15-13*ORÇAMENTO!$AF$7)/$H393*OFFSET(ORÇAMENTO!$X$15,ROW(AZ393)-ROW(AZ$15),0),
ROUND(ROUND(OFFSET($P393,0,AZ$13),15-13*ORÇAMENTO!$AF$7)*OFFSET(ORÇAMENTO!$W$15,ROW(AZ393)-ROW(AZ$15),0),15-13*ORÇAMENTO!$AF$11)),0)</f>
        <v>0</v>
      </c>
      <c r="BA393" s="546">
        <f ca="1">IF(AND($D393="Serviço",BA$12&lt;&gt;0,$H393&gt;0,OR(AUTOEVENTO&lt;&gt;"manual",$M393&lt;&gt;1)),
IF(Import.TipoArredondamento&lt;&gt;"TransfereGOV",
ROUND(OFFSET($P393,0,BA$13),15-13*ORÇAMENTO!$AF$7)/$H393*OFFSET(ORÇAMENTO!$X$15,ROW(BA393)-ROW(BA$15),0),
ROUND(ROUND(OFFSET($P393,0,BA$13),15-13*ORÇAMENTO!$AF$7)*OFFSET(ORÇAMENTO!$W$15,ROW(BA393)-ROW(BA$15),0),15-13*ORÇAMENTO!$AF$11)),0)</f>
        <v>0</v>
      </c>
      <c r="BC393" s="181">
        <f ca="1">IF($D393&lt;&gt;"Serviço",0,IF(AND(AUTOEVENTO="Manual",$M393=1),0,IF(OFFSET(CRONOPLE!$F$14,$M393,BC$13)="",10^12,OFFSET(CRONOPLE!$F$14,$M393,BC$13))))</f>
        <v>10</v>
      </c>
      <c r="BD393" s="181">
        <f ca="1">IF($D393&lt;&gt;"Serviço",0,IF(AND(AUTOEVENTO="Manual",$M393=1),0,IF(OFFSET(CRONOPLE!$F$14,$M393,BD$13)="",10^12,OFFSET(CRONOPLE!$F$14,$M393,BD$13))))</f>
        <v>1000000000000</v>
      </c>
      <c r="BE393" s="181">
        <f ca="1">IF($D393&lt;&gt;"Serviço",0,IF(AND(AUTOEVENTO="Manual",$M393=1),0,IF(OFFSET(CRONOPLE!$F$14,$M393,BE$13)="",10^12,OFFSET(CRONOPLE!$F$14,$M393,BE$13))))</f>
        <v>1000000000000</v>
      </c>
      <c r="BF393" s="181">
        <f ca="1">IF($D393&lt;&gt;"Serviço",0,IF(AND(AUTOEVENTO="Manual",$M393=1),0,IF(OFFSET(CRONOPLE!$F$14,$M393,BF$13)="",10^12,OFFSET(CRONOPLE!$F$14,$M393,BF$13))))</f>
        <v>1000000000000</v>
      </c>
      <c r="BG393" s="181">
        <f ca="1">IF($D393&lt;&gt;"Serviço",0,IF(AND(AUTOEVENTO="Manual",$M393=1),0,IF(OFFSET(CRONOPLE!$F$14,$M393,BG$13)="",10^12,OFFSET(CRONOPLE!$F$14,$M393,BG$13))))</f>
        <v>1000000000000</v>
      </c>
      <c r="BH393" s="181">
        <f ca="1">IF($D393&lt;&gt;"Serviço",0,IF(AND(AUTOEVENTO="Manual",$M393=1),0,IF(OFFSET(CRONOPLE!$F$14,$M393,BH$13)="",10^12,OFFSET(CRONOPLE!$F$14,$M393,BH$13))))</f>
        <v>1000000000000</v>
      </c>
      <c r="BI393" s="181">
        <f ca="1">IF($D393&lt;&gt;"Serviço",0,IF(AND(AUTOEVENTO="Manual",$M393=1),0,IF(OFFSET(CRONOPLE!$F$14,$M393,BI$13)="",10^12,OFFSET(CRONOPLE!$F$14,$M393,BI$13))))</f>
        <v>1000000000000</v>
      </c>
      <c r="BJ393" s="181">
        <f ca="1">IF($D393&lt;&gt;"Serviço",0,IF(AND(AUTOEVENTO="Manual",$M393=1),0,IF(OFFSET(CRONOPLE!$F$14,$M393,BJ$13)="",10^12,OFFSET(CRONOPLE!$F$14,$M393,BJ$13))))</f>
        <v>1000000000000</v>
      </c>
      <c r="BK393" s="181">
        <f ca="1">IF($D393&lt;&gt;"Serviço",0,IF(AND(AUTOEVENTO="Manual",$M393=1),0,IF(OFFSET(CRONOPLE!$F$14,$M393,BK$13)="",10^12,OFFSET(CRONOPLE!$F$14,$M393,BK$13))))</f>
        <v>1000000000000</v>
      </c>
      <c r="BL393" s="181">
        <f ca="1">IF($D393&lt;&gt;"Serviço",0,IF(AND(AUTOEVENTO="Manual",$M393=1),0,IF(OFFSET(CRONOPLE!$F$14,$M393,BL$13)="",10^12,OFFSET(CRONOPLE!$F$14,$M393,BL$13))))</f>
        <v>1000000000000</v>
      </c>
      <c r="BM393" s="181">
        <f ca="1">IF($D393&lt;&gt;"Serviço",0,IF(AND(AUTOEVENTO="Manual",$M393=1),0,IF(OFFSET(CRONOPLE!$F$14,$M393,BM$13)="",10^12,OFFSET(CRONOPLE!$F$14,$M393,BM$13))))</f>
        <v>1000000000000</v>
      </c>
      <c r="BN393" s="181">
        <f ca="1">IF($D393&lt;&gt;"Serviço",0,IF(AND(AUTOEVENTO="Manual",$M393=1),0,IF(OFFSET(CRONOPLE!$F$14,$M393,BN$13)="",10^12,OFFSET(CRONOPLE!$F$14,$M393,BN$13))))</f>
        <v>1000000000000</v>
      </c>
      <c r="BO393" s="181">
        <f ca="1">IF($D393&lt;&gt;"Serviço",0,IF(AND(AUTOEVENTO="Manual",$M393=1),0,IF(OFFSET(CRONOPLE!$F$14,$M393,BO$13)="",10^12,OFFSET(CRONOPLE!$F$14,$M393,BO$13))))</f>
        <v>1000000000000</v>
      </c>
      <c r="BP393" s="181">
        <f ca="1">IF($D393&lt;&gt;"Serviço",0,IF(AND(AUTOEVENTO="Manual",$M393=1),0,IF(OFFSET(CRONOPLE!$F$14,$M393,BP$13)="",10^12,OFFSET(CRONOPLE!$F$14,$M393,BP$13))))</f>
        <v>1000000000000</v>
      </c>
      <c r="BQ393" s="181">
        <f ca="1">IF($D393&lt;&gt;"Serviço",0,IF(AND(AUTOEVENTO="Manual",$M393=1),0,IF(OFFSET(CRONOPLE!$F$14,$M393,BQ$13)="",10^12,OFFSET(CRONOPLE!$F$14,$M393,BQ$13))))</f>
        <v>1000000000000</v>
      </c>
      <c r="BR393" s="181">
        <f ca="1">IF($D393&lt;&gt;"Serviço",0,IF(AND(AUTOEVENTO="Manual",$M393=1),0,IF(OFFSET(CRONOPLE!$F$14,$M393,BR$13)="",10^12,OFFSET(CRONOPLE!$F$14,$M393,BR$13))))</f>
        <v>1000000000000</v>
      </c>
      <c r="BS393" s="181">
        <f ca="1">IF($D393&lt;&gt;"Serviço",0,IF(AND(AUTOEVENTO="Manual",$M393=1),0,IF(OFFSET(CRONOPLE!$F$14,$M393,BS$13)="",10^12,OFFSET(CRONOPLE!$F$14,$M393,BS$13))))</f>
        <v>1000000000000</v>
      </c>
      <c r="BT393" s="181">
        <f ca="1">IF($D393&lt;&gt;"Serviço",0,IF(AND(AUTOEVENTO="Manual",$M393=1),0,IF(OFFSET(CRONOPLE!$F$14,$M393,BT$13)="",10^12,OFFSET(CRONOPLE!$F$14,$M393,BT$13))))</f>
        <v>1000000000000</v>
      </c>
      <c r="BV393" s="182">
        <f ca="1">IF($D393&lt;&gt;"Serviço",0,IF(OR(AND(AUTOEVENTO="Manual",$M393=1),$M393&gt;(ROW(PLE.lastrow)-ROW(PLE.firstrow))),0,IF(OFFSET(PLE!$G$14,$M393,BV$13)="",10^12,OFFSET(PLE!$G$14,$M393,BV$13))))</f>
        <v>1000000000000</v>
      </c>
      <c r="BW393" s="182">
        <f ca="1">IF($D393&lt;&gt;"Serviço",0,IF(OR(AND(AUTOEVENTO="Manual",$M393=1),$M393&gt;(ROW(PLE.lastrow)-ROW(PLE.firstrow))),0,IF(OFFSET(PLE!$G$14,$M393,BW$13)="",10^12,OFFSET(PLE!$G$14,$M393,BW$13))))</f>
        <v>1000000000000</v>
      </c>
      <c r="BX393" s="182">
        <f ca="1">IF($D393&lt;&gt;"Serviço",0,IF(OR(AND(AUTOEVENTO="Manual",$M393=1),$M393&gt;(ROW(PLE.lastrow)-ROW(PLE.firstrow))),0,IF(OFFSET(PLE!$G$14,$M393,BX$13)="",10^12,OFFSET(PLE!$G$14,$M393,BX$13))))</f>
        <v>1000000000000</v>
      </c>
      <c r="BY393" s="182">
        <f ca="1">IF($D393&lt;&gt;"Serviço",0,IF(OR(AND(AUTOEVENTO="Manual",$M393=1),$M393&gt;(ROW(PLE.lastrow)-ROW(PLE.firstrow))),0,IF(OFFSET(PLE!$G$14,$M393,BY$13)="",10^12,OFFSET(PLE!$G$14,$M393,BY$13))))</f>
        <v>1000000000000</v>
      </c>
      <c r="BZ393" s="182">
        <f ca="1">IF($D393&lt;&gt;"Serviço",0,IF(OR(AND(AUTOEVENTO="Manual",$M393=1),$M393&gt;(ROW(PLE.lastrow)-ROW(PLE.firstrow))),0,IF(OFFSET(PLE!$G$14,$M393,BZ$13)="",10^12,OFFSET(PLE!$G$14,$M393,BZ$13))))</f>
        <v>1000000000000</v>
      </c>
      <c r="CA393" s="182">
        <f ca="1">IF($D393&lt;&gt;"Serviço",0,IF(OR(AND(AUTOEVENTO="Manual",$M393=1),$M393&gt;(ROW(PLE.lastrow)-ROW(PLE.firstrow))),0,IF(OFFSET(PLE!$G$14,$M393,CA$13)="",10^12,OFFSET(PLE!$G$14,$M393,CA$13))))</f>
        <v>1000000000000</v>
      </c>
      <c r="CB393" s="182">
        <f ca="1">IF($D393&lt;&gt;"Serviço",0,IF(OR(AND(AUTOEVENTO="Manual",$M393=1),$M393&gt;(ROW(PLE.lastrow)-ROW(PLE.firstrow))),0,IF(OFFSET(PLE!$G$14,$M393,CB$13)="",10^12,OFFSET(PLE!$G$14,$M393,CB$13))))</f>
        <v>1000000000000</v>
      </c>
      <c r="CC393" s="182">
        <f ca="1">IF($D393&lt;&gt;"Serviço",0,IF(OR(AND(AUTOEVENTO="Manual",$M393=1),$M393&gt;(ROW(PLE.lastrow)-ROW(PLE.firstrow))),0,IF(OFFSET(PLE!$G$14,$M393,CC$13)="",10^12,OFFSET(PLE!$G$14,$M393,CC$13))))</f>
        <v>1000000000000</v>
      </c>
      <c r="CD393" s="182">
        <f ca="1">IF($D393&lt;&gt;"Serviço",0,IF(OR(AND(AUTOEVENTO="Manual",$M393=1),$M393&gt;(ROW(PLE.lastrow)-ROW(PLE.firstrow))),0,IF(OFFSET(PLE!$G$14,$M393,CD$13)="",10^12,OFFSET(PLE!$G$14,$M393,CD$13))))</f>
        <v>1000000000000</v>
      </c>
      <c r="CE393" s="182">
        <f ca="1">IF($D393&lt;&gt;"Serviço",0,IF(OR(AND(AUTOEVENTO="Manual",$M393=1),$M393&gt;(ROW(PLE.lastrow)-ROW(PLE.firstrow))),0,IF(OFFSET(PLE!$G$14,$M393,CE$13)="",10^12,OFFSET(PLE!$G$14,$M393,CE$13))))</f>
        <v>1000000000000</v>
      </c>
      <c r="CF393" s="182">
        <f ca="1">IF($D393&lt;&gt;"Serviço",0,IF(OR(AND(AUTOEVENTO="Manual",$M393=1),$M393&gt;(ROW(PLE.lastrow)-ROW(PLE.firstrow))),0,IF(OFFSET(PLE!$G$14,$M393,CF$13)="",10^12,OFFSET(PLE!$G$14,$M393,CF$13))))</f>
        <v>1000000000000</v>
      </c>
      <c r="CG393" s="182">
        <f ca="1">IF($D393&lt;&gt;"Serviço",0,IF(OR(AND(AUTOEVENTO="Manual",$M393=1),$M393&gt;(ROW(PLE.lastrow)-ROW(PLE.firstrow))),0,IF(OFFSET(PLE!$G$14,$M393,CG$13)="",10^12,OFFSET(PLE!$G$14,$M393,CG$13))))</f>
        <v>1000000000000</v>
      </c>
      <c r="CH393" s="182">
        <f ca="1">IF($D393&lt;&gt;"Serviço",0,IF(OR(AND(AUTOEVENTO="Manual",$M393=1),$M393&gt;(ROW(PLE.lastrow)-ROW(PLE.firstrow))),0,IF(OFFSET(PLE!$G$14,$M393,CH$13)="",10^12,OFFSET(PLE!$G$14,$M393,CH$13))))</f>
        <v>1000000000000</v>
      </c>
      <c r="CI393" s="182">
        <f ca="1">IF($D393&lt;&gt;"Serviço",0,IF(OR(AND(AUTOEVENTO="Manual",$M393=1),$M393&gt;(ROW(PLE.lastrow)-ROW(PLE.firstrow))),0,IF(OFFSET(PLE!$G$14,$M393,CI$13)="",10^12,OFFSET(PLE!$G$14,$M393,CI$13))))</f>
        <v>1000000000000</v>
      </c>
      <c r="CJ393" s="182">
        <f ca="1">IF($D393&lt;&gt;"Serviço",0,IF(OR(AND(AUTOEVENTO="Manual",$M393=1),$M393&gt;(ROW(PLE.lastrow)-ROW(PLE.firstrow))),0,IF(OFFSET(PLE!$G$14,$M393,CJ$13)="",10^12,OFFSET(PLE!$G$14,$M393,CJ$13))))</f>
        <v>1000000000000</v>
      </c>
      <c r="CK393" s="182">
        <f ca="1">IF($D393&lt;&gt;"Serviço",0,IF(OR(AND(AUTOEVENTO="Manual",$M393=1),$M393&gt;(ROW(PLE.lastrow)-ROW(PLE.firstrow))),0,IF(OFFSET(PLE!$G$14,$M393,CK$13)="",10^12,OFFSET(PLE!$G$14,$M393,CK$13))))</f>
        <v>1000000000000</v>
      </c>
      <c r="CL393" s="182">
        <f ca="1">IF($D393&lt;&gt;"Serviço",0,IF(OR(AND(AUTOEVENTO="Manual",$M393=1),$M393&gt;(ROW(PLE.lastrow)-ROW(PLE.firstrow))),0,IF(OFFSET(PLE!$G$14,$M393,CL$13)="",10^12,OFFSET(PLE!$G$14,$M393,CL$13))))</f>
        <v>1000000000000</v>
      </c>
      <c r="CM393" s="182">
        <f ca="1">IF($D393&lt;&gt;"Serviço",0,IF(OR(AND(AUTOEVENTO="Manual",$M393=1),$M393&gt;(ROW(PLE.lastrow)-ROW(PLE.firstrow))),0,IF(OFFSET(PLE!$G$14,$M393,CM$13)="",10^12,OFFSET(PLE!$G$14,$M393,CM$13))))</f>
        <v>1000000000000</v>
      </c>
    </row>
    <row r="394" spans="1:91" ht="25.5" x14ac:dyDescent="0.2">
      <c r="A394" s="7" t="str">
        <f t="shared" ca="1" si="13"/>
        <v>350</v>
      </c>
      <c r="B394" s="7" t="str">
        <f ca="1">OFFSET(ORÇAMENTO!C$15,ROW(B394)-ROW(B$15),0)</f>
        <v>S</v>
      </c>
      <c r="C394" s="7" t="str">
        <f ca="1">OFFSET(ORÇAMENTO!L$15,ROW(C394)-ROW(C$15),0)</f>
        <v/>
      </c>
      <c r="D394" s="118" t="str">
        <f ca="1">OFFSET(ORÇAMENTO!N$15,ROW(D394)-ROW(D$15),0)</f>
        <v>Serviço</v>
      </c>
      <c r="E394" s="119" t="str">
        <f ca="1">OFFSET(ORÇAMENTO!O$15,ROW(E394)-ROW(E$15),0)</f>
        <v>-</v>
      </c>
      <c r="F394" s="172" t="str">
        <f ca="1">OFFSET(ORÇAMENTO!R$15,ROW(F394)-ROW(F$15),0)</f>
        <v>(abra o arquivo 'Referência 06-2024.xlsm)</v>
      </c>
      <c r="G394" s="173" t="str">
        <f ca="1">IF($D394&lt;&gt;"Serviço","",OFFSET(ORÇAMENTO!S$15,ROW(G394)-ROW(G$15),0))</f>
        <v>-</v>
      </c>
      <c r="H394" s="124">
        <f ca="1">IF($D394&lt;&gt;"Serviço",0,IF(ACOMPANHAMENTO="BM",ROUND(OFFSET(ORÇAMENTO!AJ$15,ROW(H394)-ROW(H$15),0),15-13*ORÇAMENTO!$AF$7),SUMPRODUCT(($Q$12:$AI$12&lt;&gt;"")*ROUND($Q394:$AI394,15-13*ORÇAMENTO!$AF$7))))</f>
        <v>27</v>
      </c>
      <c r="I394" s="561" t="s">
        <v>1107</v>
      </c>
      <c r="K394" s="174"/>
      <c r="L394" s="175" t="s">
        <v>255</v>
      </c>
      <c r="M394" s="176">
        <f ca="1">IF($D394&lt;&gt;"Serviço","",IF(AUTOEVENTO="manual",$A394,IF(ISERROR(MATCH($A394,$A$15:OFFSET($A394,-1,0),0)),MAX($M$15:OFFSET(M394,-1,0))+1,INDEX($M$15:OFFSET(M394,-1,0),MATCH($A394,$A$15:OFFSET($A394,-1,0),0)))))</f>
        <v>44</v>
      </c>
      <c r="N394" s="177" t="str">
        <f ca="1">IF($D394&lt;&gt;"Serviço","",IF(AUTOEVENTO="Manual",IF($A394=0,"&lt;-- defina o número do agrupador",OFFSET(EVENTOS!$D$14,$A394,0)),OFFSET($F$15,$A394,0)))</f>
        <v>LOUÇAS, ACESSÓRIOS E METAIS</v>
      </c>
      <c r="O394" s="178"/>
      <c r="Q394" s="178">
        <v>27</v>
      </c>
      <c r="R394" s="179"/>
      <c r="S394" s="179"/>
      <c r="T394" s="179"/>
      <c r="U394" s="179"/>
      <c r="V394" s="179"/>
      <c r="W394" s="179"/>
      <c r="X394" s="179"/>
      <c r="Y394" s="179"/>
      <c r="Z394" s="180"/>
      <c r="AA394" s="179"/>
      <c r="AB394" s="179"/>
      <c r="AC394" s="179"/>
      <c r="AD394" s="179"/>
      <c r="AE394" s="179"/>
      <c r="AF394" s="179"/>
      <c r="AG394" s="179"/>
      <c r="AH394" s="180"/>
      <c r="AJ394" s="544">
        <f ca="1">IF(AND($D394="Serviço",AJ$12&lt;&gt;0,$H394&gt;0,OR(AUTOEVENTO&lt;&gt;"manual",$M394&lt;&gt;1)),
IF(Import.TipoArredondamento&lt;&gt;"TransfereGOV",
ROUND(OFFSET($P394,0,AJ$13),15-13*ORÇAMENTO!$AF$7)/$H394*OFFSET(ORÇAMENTO!$X$15,ROW(AJ394)-ROW(AJ$15),0),
ROUND(ROUND(OFFSET($P394,0,AJ$13),15-13*ORÇAMENTO!$AF$7)*OFFSET(ORÇAMENTO!$W$15,ROW(AJ394)-ROW(AJ$15),0),15-13*ORÇAMENTO!$AF$11)),0)</f>
        <v>0</v>
      </c>
      <c r="AK394" s="545">
        <f ca="1">IF(AND($D394="Serviço",AK$12&lt;&gt;0,$H394&gt;0,OR(AUTOEVENTO&lt;&gt;"manual",$M394&lt;&gt;1)),
IF(Import.TipoArredondamento&lt;&gt;"TransfereGOV",
ROUND(OFFSET($P394,0,AK$13),15-13*ORÇAMENTO!$AF$7)/$H394*OFFSET(ORÇAMENTO!$X$15,ROW(AK394)-ROW(AK$15),0),
ROUND(ROUND(OFFSET($P394,0,AK$13),15-13*ORÇAMENTO!$AF$7)*OFFSET(ORÇAMENTO!$W$15,ROW(AK394)-ROW(AK$15),0),15-13*ORÇAMENTO!$AF$11)),0)</f>
        <v>0</v>
      </c>
      <c r="AL394" s="545">
        <f ca="1">IF(AND($D394="Serviço",AL$12&lt;&gt;0,$H394&gt;0,OR(AUTOEVENTO&lt;&gt;"manual",$M394&lt;&gt;1)),
IF(Import.TipoArredondamento&lt;&gt;"TransfereGOV",
ROUND(OFFSET($P394,0,AL$13),15-13*ORÇAMENTO!$AF$7)/$H394*OFFSET(ORÇAMENTO!$X$15,ROW(AL394)-ROW(AL$15),0),
ROUND(ROUND(OFFSET($P394,0,AL$13),15-13*ORÇAMENTO!$AF$7)*OFFSET(ORÇAMENTO!$W$15,ROW(AL394)-ROW(AL$15),0),15-13*ORÇAMENTO!$AF$11)),0)</f>
        <v>0</v>
      </c>
      <c r="AM394" s="545">
        <f ca="1">IF(AND($D394="Serviço",AM$12&lt;&gt;0,$H394&gt;0,OR(AUTOEVENTO&lt;&gt;"manual",$M394&lt;&gt;1)),
IF(Import.TipoArredondamento&lt;&gt;"TransfereGOV",
ROUND(OFFSET($P394,0,AM$13),15-13*ORÇAMENTO!$AF$7)/$H394*OFFSET(ORÇAMENTO!$X$15,ROW(AM394)-ROW(AM$15),0),
ROUND(ROUND(OFFSET($P394,0,AM$13),15-13*ORÇAMENTO!$AF$7)*OFFSET(ORÇAMENTO!$W$15,ROW(AM394)-ROW(AM$15),0),15-13*ORÇAMENTO!$AF$11)),0)</f>
        <v>0</v>
      </c>
      <c r="AN394" s="545">
        <f ca="1">IF(AND($D394="Serviço",AN$12&lt;&gt;0,$H394&gt;0,OR(AUTOEVENTO&lt;&gt;"manual",$M394&lt;&gt;1)),
IF(Import.TipoArredondamento&lt;&gt;"TransfereGOV",
ROUND(OFFSET($P394,0,AN$13),15-13*ORÇAMENTO!$AF$7)/$H394*OFFSET(ORÇAMENTO!$X$15,ROW(AN394)-ROW(AN$15),0),
ROUND(ROUND(OFFSET($P394,0,AN$13),15-13*ORÇAMENTO!$AF$7)*OFFSET(ORÇAMENTO!$W$15,ROW(AN394)-ROW(AN$15),0),15-13*ORÇAMENTO!$AF$11)),0)</f>
        <v>0</v>
      </c>
      <c r="AO394" s="545">
        <f ca="1">IF(AND($D394="Serviço",AO$12&lt;&gt;0,$H394&gt;0,OR(AUTOEVENTO&lt;&gt;"manual",$M394&lt;&gt;1)),
IF(Import.TipoArredondamento&lt;&gt;"TransfereGOV",
ROUND(OFFSET($P394,0,AO$13),15-13*ORÇAMENTO!$AF$7)/$H394*OFFSET(ORÇAMENTO!$X$15,ROW(AO394)-ROW(AO$15),0),
ROUND(ROUND(OFFSET($P394,0,AO$13),15-13*ORÇAMENTO!$AF$7)*OFFSET(ORÇAMENTO!$W$15,ROW(AO394)-ROW(AO$15),0),15-13*ORÇAMENTO!$AF$11)),0)</f>
        <v>0</v>
      </c>
      <c r="AP394" s="545">
        <f ca="1">IF(AND($D394="Serviço",AP$12&lt;&gt;0,$H394&gt;0,OR(AUTOEVENTO&lt;&gt;"manual",$M394&lt;&gt;1)),
IF(Import.TipoArredondamento&lt;&gt;"TransfereGOV",
ROUND(OFFSET($P394,0,AP$13),15-13*ORÇAMENTO!$AF$7)/$H394*OFFSET(ORÇAMENTO!$X$15,ROW(AP394)-ROW(AP$15),0),
ROUND(ROUND(OFFSET($P394,0,AP$13),15-13*ORÇAMENTO!$AF$7)*OFFSET(ORÇAMENTO!$W$15,ROW(AP394)-ROW(AP$15),0),15-13*ORÇAMENTO!$AF$11)),0)</f>
        <v>0</v>
      </c>
      <c r="AQ394" s="545">
        <f ca="1">IF(AND($D394="Serviço",AQ$12&lt;&gt;0,$H394&gt;0,OR(AUTOEVENTO&lt;&gt;"manual",$M394&lt;&gt;1)),
IF(Import.TipoArredondamento&lt;&gt;"TransfereGOV",
ROUND(OFFSET($P394,0,AQ$13),15-13*ORÇAMENTO!$AF$7)/$H394*OFFSET(ORÇAMENTO!$X$15,ROW(AQ394)-ROW(AQ$15),0),
ROUND(ROUND(OFFSET($P394,0,AQ$13),15-13*ORÇAMENTO!$AF$7)*OFFSET(ORÇAMENTO!$W$15,ROW(AQ394)-ROW(AQ$15),0),15-13*ORÇAMENTO!$AF$11)),0)</f>
        <v>0</v>
      </c>
      <c r="AR394" s="545">
        <f ca="1">IF(AND($D394="Serviço",AR$12&lt;&gt;0,$H394&gt;0,OR(AUTOEVENTO&lt;&gt;"manual",$M394&lt;&gt;1)),
IF(Import.TipoArredondamento&lt;&gt;"TransfereGOV",
ROUND(OFFSET($P394,0,AR$13),15-13*ORÇAMENTO!$AF$7)/$H394*OFFSET(ORÇAMENTO!$X$15,ROW(AR394)-ROW(AR$15),0),
ROUND(ROUND(OFFSET($P394,0,AR$13),15-13*ORÇAMENTO!$AF$7)*OFFSET(ORÇAMENTO!$W$15,ROW(AR394)-ROW(AR$15),0),15-13*ORÇAMENTO!$AF$11)),0)</f>
        <v>0</v>
      </c>
      <c r="AS394" s="546">
        <f ca="1">IF(AND($D394="Serviço",AS$12&lt;&gt;0,$H394&gt;0,OR(AUTOEVENTO&lt;&gt;"manual",$M394&lt;&gt;1)),
IF(Import.TipoArredondamento&lt;&gt;"TransfereGOV",
ROUND(OFFSET($P394,0,AS$13),15-13*ORÇAMENTO!$AF$7)/$H394*OFFSET(ORÇAMENTO!$X$15,ROW(AS394)-ROW(AS$15),0),
ROUND(ROUND(OFFSET($P394,0,AS$13),15-13*ORÇAMENTO!$AF$7)*OFFSET(ORÇAMENTO!$W$15,ROW(AS394)-ROW(AS$15),0),15-13*ORÇAMENTO!$AF$11)),0)</f>
        <v>0</v>
      </c>
      <c r="AT394" s="545">
        <f ca="1">IF(AND($D394="Serviço",AT$12&lt;&gt;0,$H394&gt;0,OR(AUTOEVENTO&lt;&gt;"manual",$M394&lt;&gt;1)),
IF(Import.TipoArredondamento&lt;&gt;"TransfereGOV",
ROUND(OFFSET($P394,0,AT$13),15-13*ORÇAMENTO!$AF$7)/$H394*OFFSET(ORÇAMENTO!$X$15,ROW(AT394)-ROW(AT$15),0),
ROUND(ROUND(OFFSET($P394,0,AT$13),15-13*ORÇAMENTO!$AF$7)*OFFSET(ORÇAMENTO!$W$15,ROW(AT394)-ROW(AT$15),0),15-13*ORÇAMENTO!$AF$11)),0)</f>
        <v>0</v>
      </c>
      <c r="AU394" s="545">
        <f ca="1">IF(AND($D394="Serviço",AU$12&lt;&gt;0,$H394&gt;0,OR(AUTOEVENTO&lt;&gt;"manual",$M394&lt;&gt;1)),
IF(Import.TipoArredondamento&lt;&gt;"TransfereGOV",
ROUND(OFFSET($P394,0,AU$13),15-13*ORÇAMENTO!$AF$7)/$H394*OFFSET(ORÇAMENTO!$X$15,ROW(AU394)-ROW(AU$15),0),
ROUND(ROUND(OFFSET($P394,0,AU$13),15-13*ORÇAMENTO!$AF$7)*OFFSET(ORÇAMENTO!$W$15,ROW(AU394)-ROW(AU$15),0),15-13*ORÇAMENTO!$AF$11)),0)</f>
        <v>0</v>
      </c>
      <c r="AV394" s="545">
        <f ca="1">IF(AND($D394="Serviço",AV$12&lt;&gt;0,$H394&gt;0,OR(AUTOEVENTO&lt;&gt;"manual",$M394&lt;&gt;1)),
IF(Import.TipoArredondamento&lt;&gt;"TransfereGOV",
ROUND(OFFSET($P394,0,AV$13),15-13*ORÇAMENTO!$AF$7)/$H394*OFFSET(ORÇAMENTO!$X$15,ROW(AV394)-ROW(AV$15),0),
ROUND(ROUND(OFFSET($P394,0,AV$13),15-13*ORÇAMENTO!$AF$7)*OFFSET(ORÇAMENTO!$W$15,ROW(AV394)-ROW(AV$15),0),15-13*ORÇAMENTO!$AF$11)),0)</f>
        <v>0</v>
      </c>
      <c r="AW394" s="545">
        <f ca="1">IF(AND($D394="Serviço",AW$12&lt;&gt;0,$H394&gt;0,OR(AUTOEVENTO&lt;&gt;"manual",$M394&lt;&gt;1)),
IF(Import.TipoArredondamento&lt;&gt;"TransfereGOV",
ROUND(OFFSET($P394,0,AW$13),15-13*ORÇAMENTO!$AF$7)/$H394*OFFSET(ORÇAMENTO!$X$15,ROW(AW394)-ROW(AW$15),0),
ROUND(ROUND(OFFSET($P394,0,AW$13),15-13*ORÇAMENTO!$AF$7)*OFFSET(ORÇAMENTO!$W$15,ROW(AW394)-ROW(AW$15),0),15-13*ORÇAMENTO!$AF$11)),0)</f>
        <v>0</v>
      </c>
      <c r="AX394" s="545">
        <f ca="1">IF(AND($D394="Serviço",AX$12&lt;&gt;0,$H394&gt;0,OR(AUTOEVENTO&lt;&gt;"manual",$M394&lt;&gt;1)),
IF(Import.TipoArredondamento&lt;&gt;"TransfereGOV",
ROUND(OFFSET($P394,0,AX$13),15-13*ORÇAMENTO!$AF$7)/$H394*OFFSET(ORÇAMENTO!$X$15,ROW(AX394)-ROW(AX$15),0),
ROUND(ROUND(OFFSET($P394,0,AX$13),15-13*ORÇAMENTO!$AF$7)*OFFSET(ORÇAMENTO!$W$15,ROW(AX394)-ROW(AX$15),0),15-13*ORÇAMENTO!$AF$11)),0)</f>
        <v>0</v>
      </c>
      <c r="AY394" s="545">
        <f ca="1">IF(AND($D394="Serviço",AY$12&lt;&gt;0,$H394&gt;0,OR(AUTOEVENTO&lt;&gt;"manual",$M394&lt;&gt;1)),
IF(Import.TipoArredondamento&lt;&gt;"TransfereGOV",
ROUND(OFFSET($P394,0,AY$13),15-13*ORÇAMENTO!$AF$7)/$H394*OFFSET(ORÇAMENTO!$X$15,ROW(AY394)-ROW(AY$15),0),
ROUND(ROUND(OFFSET($P394,0,AY$13),15-13*ORÇAMENTO!$AF$7)*OFFSET(ORÇAMENTO!$W$15,ROW(AY394)-ROW(AY$15),0),15-13*ORÇAMENTO!$AF$11)),0)</f>
        <v>0</v>
      </c>
      <c r="AZ394" s="545">
        <f ca="1">IF(AND($D394="Serviço",AZ$12&lt;&gt;0,$H394&gt;0,OR(AUTOEVENTO&lt;&gt;"manual",$M394&lt;&gt;1)),
IF(Import.TipoArredondamento&lt;&gt;"TransfereGOV",
ROUND(OFFSET($P394,0,AZ$13),15-13*ORÇAMENTO!$AF$7)/$H394*OFFSET(ORÇAMENTO!$X$15,ROW(AZ394)-ROW(AZ$15),0),
ROUND(ROUND(OFFSET($P394,0,AZ$13),15-13*ORÇAMENTO!$AF$7)*OFFSET(ORÇAMENTO!$W$15,ROW(AZ394)-ROW(AZ$15),0),15-13*ORÇAMENTO!$AF$11)),0)</f>
        <v>0</v>
      </c>
      <c r="BA394" s="546">
        <f ca="1">IF(AND($D394="Serviço",BA$12&lt;&gt;0,$H394&gt;0,OR(AUTOEVENTO&lt;&gt;"manual",$M394&lt;&gt;1)),
IF(Import.TipoArredondamento&lt;&gt;"TransfereGOV",
ROUND(OFFSET($P394,0,BA$13),15-13*ORÇAMENTO!$AF$7)/$H394*OFFSET(ORÇAMENTO!$X$15,ROW(BA394)-ROW(BA$15),0),
ROUND(ROUND(OFFSET($P394,0,BA$13),15-13*ORÇAMENTO!$AF$7)*OFFSET(ORÇAMENTO!$W$15,ROW(BA394)-ROW(BA$15),0),15-13*ORÇAMENTO!$AF$11)),0)</f>
        <v>0</v>
      </c>
      <c r="BC394" s="181">
        <f ca="1">IF($D394&lt;&gt;"Serviço",0,IF(AND(AUTOEVENTO="Manual",$M394=1),0,IF(OFFSET(CRONOPLE!$F$14,$M394,BC$13)="",10^12,OFFSET(CRONOPLE!$F$14,$M394,BC$13))))</f>
        <v>10</v>
      </c>
      <c r="BD394" s="181">
        <f ca="1">IF($D394&lt;&gt;"Serviço",0,IF(AND(AUTOEVENTO="Manual",$M394=1),0,IF(OFFSET(CRONOPLE!$F$14,$M394,BD$13)="",10^12,OFFSET(CRONOPLE!$F$14,$M394,BD$13))))</f>
        <v>1000000000000</v>
      </c>
      <c r="BE394" s="181">
        <f ca="1">IF($D394&lt;&gt;"Serviço",0,IF(AND(AUTOEVENTO="Manual",$M394=1),0,IF(OFFSET(CRONOPLE!$F$14,$M394,BE$13)="",10^12,OFFSET(CRONOPLE!$F$14,$M394,BE$13))))</f>
        <v>1000000000000</v>
      </c>
      <c r="BF394" s="181">
        <f ca="1">IF($D394&lt;&gt;"Serviço",0,IF(AND(AUTOEVENTO="Manual",$M394=1),0,IF(OFFSET(CRONOPLE!$F$14,$M394,BF$13)="",10^12,OFFSET(CRONOPLE!$F$14,$M394,BF$13))))</f>
        <v>1000000000000</v>
      </c>
      <c r="BG394" s="181">
        <f ca="1">IF($D394&lt;&gt;"Serviço",0,IF(AND(AUTOEVENTO="Manual",$M394=1),0,IF(OFFSET(CRONOPLE!$F$14,$M394,BG$13)="",10^12,OFFSET(CRONOPLE!$F$14,$M394,BG$13))))</f>
        <v>1000000000000</v>
      </c>
      <c r="BH394" s="181">
        <f ca="1">IF($D394&lt;&gt;"Serviço",0,IF(AND(AUTOEVENTO="Manual",$M394=1),0,IF(OFFSET(CRONOPLE!$F$14,$M394,BH$13)="",10^12,OFFSET(CRONOPLE!$F$14,$M394,BH$13))))</f>
        <v>1000000000000</v>
      </c>
      <c r="BI394" s="181">
        <f ca="1">IF($D394&lt;&gt;"Serviço",0,IF(AND(AUTOEVENTO="Manual",$M394=1),0,IF(OFFSET(CRONOPLE!$F$14,$M394,BI$13)="",10^12,OFFSET(CRONOPLE!$F$14,$M394,BI$13))))</f>
        <v>1000000000000</v>
      </c>
      <c r="BJ394" s="181">
        <f ca="1">IF($D394&lt;&gt;"Serviço",0,IF(AND(AUTOEVENTO="Manual",$M394=1),0,IF(OFFSET(CRONOPLE!$F$14,$M394,BJ$13)="",10^12,OFFSET(CRONOPLE!$F$14,$M394,BJ$13))))</f>
        <v>1000000000000</v>
      </c>
      <c r="BK394" s="181">
        <f ca="1">IF($D394&lt;&gt;"Serviço",0,IF(AND(AUTOEVENTO="Manual",$M394=1),0,IF(OFFSET(CRONOPLE!$F$14,$M394,BK$13)="",10^12,OFFSET(CRONOPLE!$F$14,$M394,BK$13))))</f>
        <v>1000000000000</v>
      </c>
      <c r="BL394" s="181">
        <f ca="1">IF($D394&lt;&gt;"Serviço",0,IF(AND(AUTOEVENTO="Manual",$M394=1),0,IF(OFFSET(CRONOPLE!$F$14,$M394,BL$13)="",10^12,OFFSET(CRONOPLE!$F$14,$M394,BL$13))))</f>
        <v>1000000000000</v>
      </c>
      <c r="BM394" s="181">
        <f ca="1">IF($D394&lt;&gt;"Serviço",0,IF(AND(AUTOEVENTO="Manual",$M394=1),0,IF(OFFSET(CRONOPLE!$F$14,$M394,BM$13)="",10^12,OFFSET(CRONOPLE!$F$14,$M394,BM$13))))</f>
        <v>1000000000000</v>
      </c>
      <c r="BN394" s="181">
        <f ca="1">IF($D394&lt;&gt;"Serviço",0,IF(AND(AUTOEVENTO="Manual",$M394=1),0,IF(OFFSET(CRONOPLE!$F$14,$M394,BN$13)="",10^12,OFFSET(CRONOPLE!$F$14,$M394,BN$13))))</f>
        <v>1000000000000</v>
      </c>
      <c r="BO394" s="181">
        <f ca="1">IF($D394&lt;&gt;"Serviço",0,IF(AND(AUTOEVENTO="Manual",$M394=1),0,IF(OFFSET(CRONOPLE!$F$14,$M394,BO$13)="",10^12,OFFSET(CRONOPLE!$F$14,$M394,BO$13))))</f>
        <v>1000000000000</v>
      </c>
      <c r="BP394" s="181">
        <f ca="1">IF($D394&lt;&gt;"Serviço",0,IF(AND(AUTOEVENTO="Manual",$M394=1),0,IF(OFFSET(CRONOPLE!$F$14,$M394,BP$13)="",10^12,OFFSET(CRONOPLE!$F$14,$M394,BP$13))))</f>
        <v>1000000000000</v>
      </c>
      <c r="BQ394" s="181">
        <f ca="1">IF($D394&lt;&gt;"Serviço",0,IF(AND(AUTOEVENTO="Manual",$M394=1),0,IF(OFFSET(CRONOPLE!$F$14,$M394,BQ$13)="",10^12,OFFSET(CRONOPLE!$F$14,$M394,BQ$13))))</f>
        <v>1000000000000</v>
      </c>
      <c r="BR394" s="181">
        <f ca="1">IF($D394&lt;&gt;"Serviço",0,IF(AND(AUTOEVENTO="Manual",$M394=1),0,IF(OFFSET(CRONOPLE!$F$14,$M394,BR$13)="",10^12,OFFSET(CRONOPLE!$F$14,$M394,BR$13))))</f>
        <v>1000000000000</v>
      </c>
      <c r="BS394" s="181">
        <f ca="1">IF($D394&lt;&gt;"Serviço",0,IF(AND(AUTOEVENTO="Manual",$M394=1),0,IF(OFFSET(CRONOPLE!$F$14,$M394,BS$13)="",10^12,OFFSET(CRONOPLE!$F$14,$M394,BS$13))))</f>
        <v>1000000000000</v>
      </c>
      <c r="BT394" s="181">
        <f ca="1">IF($D394&lt;&gt;"Serviço",0,IF(AND(AUTOEVENTO="Manual",$M394=1),0,IF(OFFSET(CRONOPLE!$F$14,$M394,BT$13)="",10^12,OFFSET(CRONOPLE!$F$14,$M394,BT$13))))</f>
        <v>1000000000000</v>
      </c>
      <c r="BV394" s="182">
        <f ca="1">IF($D394&lt;&gt;"Serviço",0,IF(OR(AND(AUTOEVENTO="Manual",$M394=1),$M394&gt;(ROW(PLE.lastrow)-ROW(PLE.firstrow))),0,IF(OFFSET(PLE!$G$14,$M394,BV$13)="",10^12,OFFSET(PLE!$G$14,$M394,BV$13))))</f>
        <v>1000000000000</v>
      </c>
      <c r="BW394" s="182">
        <f ca="1">IF($D394&lt;&gt;"Serviço",0,IF(OR(AND(AUTOEVENTO="Manual",$M394=1),$M394&gt;(ROW(PLE.lastrow)-ROW(PLE.firstrow))),0,IF(OFFSET(PLE!$G$14,$M394,BW$13)="",10^12,OFFSET(PLE!$G$14,$M394,BW$13))))</f>
        <v>1000000000000</v>
      </c>
      <c r="BX394" s="182">
        <f ca="1">IF($D394&lt;&gt;"Serviço",0,IF(OR(AND(AUTOEVENTO="Manual",$M394=1),$M394&gt;(ROW(PLE.lastrow)-ROW(PLE.firstrow))),0,IF(OFFSET(PLE!$G$14,$M394,BX$13)="",10^12,OFFSET(PLE!$G$14,$M394,BX$13))))</f>
        <v>1000000000000</v>
      </c>
      <c r="BY394" s="182">
        <f ca="1">IF($D394&lt;&gt;"Serviço",0,IF(OR(AND(AUTOEVENTO="Manual",$M394=1),$M394&gt;(ROW(PLE.lastrow)-ROW(PLE.firstrow))),0,IF(OFFSET(PLE!$G$14,$M394,BY$13)="",10^12,OFFSET(PLE!$G$14,$M394,BY$13))))</f>
        <v>1000000000000</v>
      </c>
      <c r="BZ394" s="182">
        <f ca="1">IF($D394&lt;&gt;"Serviço",0,IF(OR(AND(AUTOEVENTO="Manual",$M394=1),$M394&gt;(ROW(PLE.lastrow)-ROW(PLE.firstrow))),0,IF(OFFSET(PLE!$G$14,$M394,BZ$13)="",10^12,OFFSET(PLE!$G$14,$M394,BZ$13))))</f>
        <v>1000000000000</v>
      </c>
      <c r="CA394" s="182">
        <f ca="1">IF($D394&lt;&gt;"Serviço",0,IF(OR(AND(AUTOEVENTO="Manual",$M394=1),$M394&gt;(ROW(PLE.lastrow)-ROW(PLE.firstrow))),0,IF(OFFSET(PLE!$G$14,$M394,CA$13)="",10^12,OFFSET(PLE!$G$14,$M394,CA$13))))</f>
        <v>1000000000000</v>
      </c>
      <c r="CB394" s="182">
        <f ca="1">IF($D394&lt;&gt;"Serviço",0,IF(OR(AND(AUTOEVENTO="Manual",$M394=1),$M394&gt;(ROW(PLE.lastrow)-ROW(PLE.firstrow))),0,IF(OFFSET(PLE!$G$14,$M394,CB$13)="",10^12,OFFSET(PLE!$G$14,$M394,CB$13))))</f>
        <v>1000000000000</v>
      </c>
      <c r="CC394" s="182">
        <f ca="1">IF($D394&lt;&gt;"Serviço",0,IF(OR(AND(AUTOEVENTO="Manual",$M394=1),$M394&gt;(ROW(PLE.lastrow)-ROW(PLE.firstrow))),0,IF(OFFSET(PLE!$G$14,$M394,CC$13)="",10^12,OFFSET(PLE!$G$14,$M394,CC$13))))</f>
        <v>1000000000000</v>
      </c>
      <c r="CD394" s="182">
        <f ca="1">IF($D394&lt;&gt;"Serviço",0,IF(OR(AND(AUTOEVENTO="Manual",$M394=1),$M394&gt;(ROW(PLE.lastrow)-ROW(PLE.firstrow))),0,IF(OFFSET(PLE!$G$14,$M394,CD$13)="",10^12,OFFSET(PLE!$G$14,$M394,CD$13))))</f>
        <v>1000000000000</v>
      </c>
      <c r="CE394" s="182">
        <f ca="1">IF($D394&lt;&gt;"Serviço",0,IF(OR(AND(AUTOEVENTO="Manual",$M394=1),$M394&gt;(ROW(PLE.lastrow)-ROW(PLE.firstrow))),0,IF(OFFSET(PLE!$G$14,$M394,CE$13)="",10^12,OFFSET(PLE!$G$14,$M394,CE$13))))</f>
        <v>1000000000000</v>
      </c>
      <c r="CF394" s="182">
        <f ca="1">IF($D394&lt;&gt;"Serviço",0,IF(OR(AND(AUTOEVENTO="Manual",$M394=1),$M394&gt;(ROW(PLE.lastrow)-ROW(PLE.firstrow))),0,IF(OFFSET(PLE!$G$14,$M394,CF$13)="",10^12,OFFSET(PLE!$G$14,$M394,CF$13))))</f>
        <v>1000000000000</v>
      </c>
      <c r="CG394" s="182">
        <f ca="1">IF($D394&lt;&gt;"Serviço",0,IF(OR(AND(AUTOEVENTO="Manual",$M394=1),$M394&gt;(ROW(PLE.lastrow)-ROW(PLE.firstrow))),0,IF(OFFSET(PLE!$G$14,$M394,CG$13)="",10^12,OFFSET(PLE!$G$14,$M394,CG$13))))</f>
        <v>1000000000000</v>
      </c>
      <c r="CH394" s="182">
        <f ca="1">IF($D394&lt;&gt;"Serviço",0,IF(OR(AND(AUTOEVENTO="Manual",$M394=1),$M394&gt;(ROW(PLE.lastrow)-ROW(PLE.firstrow))),0,IF(OFFSET(PLE!$G$14,$M394,CH$13)="",10^12,OFFSET(PLE!$G$14,$M394,CH$13))))</f>
        <v>1000000000000</v>
      </c>
      <c r="CI394" s="182">
        <f ca="1">IF($D394&lt;&gt;"Serviço",0,IF(OR(AND(AUTOEVENTO="Manual",$M394=1),$M394&gt;(ROW(PLE.lastrow)-ROW(PLE.firstrow))),0,IF(OFFSET(PLE!$G$14,$M394,CI$13)="",10^12,OFFSET(PLE!$G$14,$M394,CI$13))))</f>
        <v>1000000000000</v>
      </c>
      <c r="CJ394" s="182">
        <f ca="1">IF($D394&lt;&gt;"Serviço",0,IF(OR(AND(AUTOEVENTO="Manual",$M394=1),$M394&gt;(ROW(PLE.lastrow)-ROW(PLE.firstrow))),0,IF(OFFSET(PLE!$G$14,$M394,CJ$13)="",10^12,OFFSET(PLE!$G$14,$M394,CJ$13))))</f>
        <v>1000000000000</v>
      </c>
      <c r="CK394" s="182">
        <f ca="1">IF($D394&lt;&gt;"Serviço",0,IF(OR(AND(AUTOEVENTO="Manual",$M394=1),$M394&gt;(ROW(PLE.lastrow)-ROW(PLE.firstrow))),0,IF(OFFSET(PLE!$G$14,$M394,CK$13)="",10^12,OFFSET(PLE!$G$14,$M394,CK$13))))</f>
        <v>1000000000000</v>
      </c>
      <c r="CL394" s="182">
        <f ca="1">IF($D394&lt;&gt;"Serviço",0,IF(OR(AND(AUTOEVENTO="Manual",$M394=1),$M394&gt;(ROW(PLE.lastrow)-ROW(PLE.firstrow))),0,IF(OFFSET(PLE!$G$14,$M394,CL$13)="",10^12,OFFSET(PLE!$G$14,$M394,CL$13))))</f>
        <v>1000000000000</v>
      </c>
      <c r="CM394" s="182">
        <f ca="1">IF($D394&lt;&gt;"Serviço",0,IF(OR(AND(AUTOEVENTO="Manual",$M394=1),$M394&gt;(ROW(PLE.lastrow)-ROW(PLE.firstrow))),0,IF(OFFSET(PLE!$G$14,$M394,CM$13)="",10^12,OFFSET(PLE!$G$14,$M394,CM$13))))</f>
        <v>1000000000000</v>
      </c>
    </row>
    <row r="395" spans="1:91" ht="25.5" x14ac:dyDescent="0.2">
      <c r="A395" s="7" t="str">
        <f t="shared" ca="1" si="13"/>
        <v>350</v>
      </c>
      <c r="B395" s="7" t="str">
        <f ca="1">OFFSET(ORÇAMENTO!C$15,ROW(B395)-ROW(B$15),0)</f>
        <v>S</v>
      </c>
      <c r="C395" s="7" t="str">
        <f ca="1">OFFSET(ORÇAMENTO!L$15,ROW(C395)-ROW(C$15),0)</f>
        <v/>
      </c>
      <c r="D395" s="118" t="str">
        <f ca="1">OFFSET(ORÇAMENTO!N$15,ROW(D395)-ROW(D$15),0)</f>
        <v>Serviço</v>
      </c>
      <c r="E395" s="119" t="str">
        <f ca="1">OFFSET(ORÇAMENTO!O$15,ROW(E395)-ROW(E$15),0)</f>
        <v>-</v>
      </c>
      <c r="F395" s="172" t="str">
        <f ca="1">OFFSET(ORÇAMENTO!R$15,ROW(F395)-ROW(F$15),0)</f>
        <v>(abra o arquivo 'Referência 06-2024.xlsm)</v>
      </c>
      <c r="G395" s="173" t="str">
        <f ca="1">IF($D395&lt;&gt;"Serviço","",OFFSET(ORÇAMENTO!S$15,ROW(G395)-ROW(G$15),0))</f>
        <v>-</v>
      </c>
      <c r="H395" s="124">
        <f ca="1">IF($D395&lt;&gt;"Serviço",0,IF(ACOMPANHAMENTO="BM",ROUND(OFFSET(ORÇAMENTO!AJ$15,ROW(H395)-ROW(H$15),0),15-13*ORÇAMENTO!$AF$7),SUMPRODUCT(($Q$12:$AI$12&lt;&gt;"")*ROUND($Q395:$AI395,15-13*ORÇAMENTO!$AF$7))))</f>
        <v>20</v>
      </c>
      <c r="I395" s="561" t="s">
        <v>1107</v>
      </c>
      <c r="K395" s="174"/>
      <c r="L395" s="175" t="s">
        <v>255</v>
      </c>
      <c r="M395" s="176">
        <f ca="1">IF($D395&lt;&gt;"Serviço","",IF(AUTOEVENTO="manual",$A395,IF(ISERROR(MATCH($A395,$A$15:OFFSET($A395,-1,0),0)),MAX($M$15:OFFSET(M395,-1,0))+1,INDEX($M$15:OFFSET(M395,-1,0),MATCH($A395,$A$15:OFFSET($A395,-1,0),0)))))</f>
        <v>44</v>
      </c>
      <c r="N395" s="177" t="str">
        <f ca="1">IF($D395&lt;&gt;"Serviço","",IF(AUTOEVENTO="Manual",IF($A395=0,"&lt;-- defina o número do agrupador",OFFSET(EVENTOS!$D$14,$A395,0)),OFFSET($F$15,$A395,0)))</f>
        <v>LOUÇAS, ACESSÓRIOS E METAIS</v>
      </c>
      <c r="O395" s="178"/>
      <c r="Q395" s="178">
        <v>20</v>
      </c>
      <c r="R395" s="179"/>
      <c r="S395" s="179"/>
      <c r="T395" s="179"/>
      <c r="U395" s="179"/>
      <c r="V395" s="179"/>
      <c r="W395" s="179"/>
      <c r="X395" s="179"/>
      <c r="Y395" s="179"/>
      <c r="Z395" s="180"/>
      <c r="AA395" s="179"/>
      <c r="AB395" s="179"/>
      <c r="AC395" s="179"/>
      <c r="AD395" s="179"/>
      <c r="AE395" s="179"/>
      <c r="AF395" s="179"/>
      <c r="AG395" s="179"/>
      <c r="AH395" s="180"/>
      <c r="AJ395" s="544">
        <f ca="1">IF(AND($D395="Serviço",AJ$12&lt;&gt;0,$H395&gt;0,OR(AUTOEVENTO&lt;&gt;"manual",$M395&lt;&gt;1)),
IF(Import.TipoArredondamento&lt;&gt;"TransfereGOV",
ROUND(OFFSET($P395,0,AJ$13),15-13*ORÇAMENTO!$AF$7)/$H395*OFFSET(ORÇAMENTO!$X$15,ROW(AJ395)-ROW(AJ$15),0),
ROUND(ROUND(OFFSET($P395,0,AJ$13),15-13*ORÇAMENTO!$AF$7)*OFFSET(ORÇAMENTO!$W$15,ROW(AJ395)-ROW(AJ$15),0),15-13*ORÇAMENTO!$AF$11)),0)</f>
        <v>0</v>
      </c>
      <c r="AK395" s="545">
        <f ca="1">IF(AND($D395="Serviço",AK$12&lt;&gt;0,$H395&gt;0,OR(AUTOEVENTO&lt;&gt;"manual",$M395&lt;&gt;1)),
IF(Import.TipoArredondamento&lt;&gt;"TransfereGOV",
ROUND(OFFSET($P395,0,AK$13),15-13*ORÇAMENTO!$AF$7)/$H395*OFFSET(ORÇAMENTO!$X$15,ROW(AK395)-ROW(AK$15),0),
ROUND(ROUND(OFFSET($P395,0,AK$13),15-13*ORÇAMENTO!$AF$7)*OFFSET(ORÇAMENTO!$W$15,ROW(AK395)-ROW(AK$15),0),15-13*ORÇAMENTO!$AF$11)),0)</f>
        <v>0</v>
      </c>
      <c r="AL395" s="545">
        <f ca="1">IF(AND($D395="Serviço",AL$12&lt;&gt;0,$H395&gt;0,OR(AUTOEVENTO&lt;&gt;"manual",$M395&lt;&gt;1)),
IF(Import.TipoArredondamento&lt;&gt;"TransfereGOV",
ROUND(OFFSET($P395,0,AL$13),15-13*ORÇAMENTO!$AF$7)/$H395*OFFSET(ORÇAMENTO!$X$15,ROW(AL395)-ROW(AL$15),0),
ROUND(ROUND(OFFSET($P395,0,AL$13),15-13*ORÇAMENTO!$AF$7)*OFFSET(ORÇAMENTO!$W$15,ROW(AL395)-ROW(AL$15),0),15-13*ORÇAMENTO!$AF$11)),0)</f>
        <v>0</v>
      </c>
      <c r="AM395" s="545">
        <f ca="1">IF(AND($D395="Serviço",AM$12&lt;&gt;0,$H395&gt;0,OR(AUTOEVENTO&lt;&gt;"manual",$M395&lt;&gt;1)),
IF(Import.TipoArredondamento&lt;&gt;"TransfereGOV",
ROUND(OFFSET($P395,0,AM$13),15-13*ORÇAMENTO!$AF$7)/$H395*OFFSET(ORÇAMENTO!$X$15,ROW(AM395)-ROW(AM$15),0),
ROUND(ROUND(OFFSET($P395,0,AM$13),15-13*ORÇAMENTO!$AF$7)*OFFSET(ORÇAMENTO!$W$15,ROW(AM395)-ROW(AM$15),0),15-13*ORÇAMENTO!$AF$11)),0)</f>
        <v>0</v>
      </c>
      <c r="AN395" s="545">
        <f ca="1">IF(AND($D395="Serviço",AN$12&lt;&gt;0,$H395&gt;0,OR(AUTOEVENTO&lt;&gt;"manual",$M395&lt;&gt;1)),
IF(Import.TipoArredondamento&lt;&gt;"TransfereGOV",
ROUND(OFFSET($P395,0,AN$13),15-13*ORÇAMENTO!$AF$7)/$H395*OFFSET(ORÇAMENTO!$X$15,ROW(AN395)-ROW(AN$15),0),
ROUND(ROUND(OFFSET($P395,0,AN$13),15-13*ORÇAMENTO!$AF$7)*OFFSET(ORÇAMENTO!$W$15,ROW(AN395)-ROW(AN$15),0),15-13*ORÇAMENTO!$AF$11)),0)</f>
        <v>0</v>
      </c>
      <c r="AO395" s="545">
        <f ca="1">IF(AND($D395="Serviço",AO$12&lt;&gt;0,$H395&gt;0,OR(AUTOEVENTO&lt;&gt;"manual",$M395&lt;&gt;1)),
IF(Import.TipoArredondamento&lt;&gt;"TransfereGOV",
ROUND(OFFSET($P395,0,AO$13),15-13*ORÇAMENTO!$AF$7)/$H395*OFFSET(ORÇAMENTO!$X$15,ROW(AO395)-ROW(AO$15),0),
ROUND(ROUND(OFFSET($P395,0,AO$13),15-13*ORÇAMENTO!$AF$7)*OFFSET(ORÇAMENTO!$W$15,ROW(AO395)-ROW(AO$15),0),15-13*ORÇAMENTO!$AF$11)),0)</f>
        <v>0</v>
      </c>
      <c r="AP395" s="545">
        <f ca="1">IF(AND($D395="Serviço",AP$12&lt;&gt;0,$H395&gt;0,OR(AUTOEVENTO&lt;&gt;"manual",$M395&lt;&gt;1)),
IF(Import.TipoArredondamento&lt;&gt;"TransfereGOV",
ROUND(OFFSET($P395,0,AP$13),15-13*ORÇAMENTO!$AF$7)/$H395*OFFSET(ORÇAMENTO!$X$15,ROW(AP395)-ROW(AP$15),0),
ROUND(ROUND(OFFSET($P395,0,AP$13),15-13*ORÇAMENTO!$AF$7)*OFFSET(ORÇAMENTO!$W$15,ROW(AP395)-ROW(AP$15),0),15-13*ORÇAMENTO!$AF$11)),0)</f>
        <v>0</v>
      </c>
      <c r="AQ395" s="545">
        <f ca="1">IF(AND($D395="Serviço",AQ$12&lt;&gt;0,$H395&gt;0,OR(AUTOEVENTO&lt;&gt;"manual",$M395&lt;&gt;1)),
IF(Import.TipoArredondamento&lt;&gt;"TransfereGOV",
ROUND(OFFSET($P395,0,AQ$13),15-13*ORÇAMENTO!$AF$7)/$H395*OFFSET(ORÇAMENTO!$X$15,ROW(AQ395)-ROW(AQ$15),0),
ROUND(ROUND(OFFSET($P395,0,AQ$13),15-13*ORÇAMENTO!$AF$7)*OFFSET(ORÇAMENTO!$W$15,ROW(AQ395)-ROW(AQ$15),0),15-13*ORÇAMENTO!$AF$11)),0)</f>
        <v>0</v>
      </c>
      <c r="AR395" s="545">
        <f ca="1">IF(AND($D395="Serviço",AR$12&lt;&gt;0,$H395&gt;0,OR(AUTOEVENTO&lt;&gt;"manual",$M395&lt;&gt;1)),
IF(Import.TipoArredondamento&lt;&gt;"TransfereGOV",
ROUND(OFFSET($P395,0,AR$13),15-13*ORÇAMENTO!$AF$7)/$H395*OFFSET(ORÇAMENTO!$X$15,ROW(AR395)-ROW(AR$15),0),
ROUND(ROUND(OFFSET($P395,0,AR$13),15-13*ORÇAMENTO!$AF$7)*OFFSET(ORÇAMENTO!$W$15,ROW(AR395)-ROW(AR$15),0),15-13*ORÇAMENTO!$AF$11)),0)</f>
        <v>0</v>
      </c>
      <c r="AS395" s="546">
        <f ca="1">IF(AND($D395="Serviço",AS$12&lt;&gt;0,$H395&gt;0,OR(AUTOEVENTO&lt;&gt;"manual",$M395&lt;&gt;1)),
IF(Import.TipoArredondamento&lt;&gt;"TransfereGOV",
ROUND(OFFSET($P395,0,AS$13),15-13*ORÇAMENTO!$AF$7)/$H395*OFFSET(ORÇAMENTO!$X$15,ROW(AS395)-ROW(AS$15),0),
ROUND(ROUND(OFFSET($P395,0,AS$13),15-13*ORÇAMENTO!$AF$7)*OFFSET(ORÇAMENTO!$W$15,ROW(AS395)-ROW(AS$15),0),15-13*ORÇAMENTO!$AF$11)),0)</f>
        <v>0</v>
      </c>
      <c r="AT395" s="545">
        <f ca="1">IF(AND($D395="Serviço",AT$12&lt;&gt;0,$H395&gt;0,OR(AUTOEVENTO&lt;&gt;"manual",$M395&lt;&gt;1)),
IF(Import.TipoArredondamento&lt;&gt;"TransfereGOV",
ROUND(OFFSET($P395,0,AT$13),15-13*ORÇAMENTO!$AF$7)/$H395*OFFSET(ORÇAMENTO!$X$15,ROW(AT395)-ROW(AT$15),0),
ROUND(ROUND(OFFSET($P395,0,AT$13),15-13*ORÇAMENTO!$AF$7)*OFFSET(ORÇAMENTO!$W$15,ROW(AT395)-ROW(AT$15),0),15-13*ORÇAMENTO!$AF$11)),0)</f>
        <v>0</v>
      </c>
      <c r="AU395" s="545">
        <f ca="1">IF(AND($D395="Serviço",AU$12&lt;&gt;0,$H395&gt;0,OR(AUTOEVENTO&lt;&gt;"manual",$M395&lt;&gt;1)),
IF(Import.TipoArredondamento&lt;&gt;"TransfereGOV",
ROUND(OFFSET($P395,0,AU$13),15-13*ORÇAMENTO!$AF$7)/$H395*OFFSET(ORÇAMENTO!$X$15,ROW(AU395)-ROW(AU$15),0),
ROUND(ROUND(OFFSET($P395,0,AU$13),15-13*ORÇAMENTO!$AF$7)*OFFSET(ORÇAMENTO!$W$15,ROW(AU395)-ROW(AU$15),0),15-13*ORÇAMENTO!$AF$11)),0)</f>
        <v>0</v>
      </c>
      <c r="AV395" s="545">
        <f ca="1">IF(AND($D395="Serviço",AV$12&lt;&gt;0,$H395&gt;0,OR(AUTOEVENTO&lt;&gt;"manual",$M395&lt;&gt;1)),
IF(Import.TipoArredondamento&lt;&gt;"TransfereGOV",
ROUND(OFFSET($P395,0,AV$13),15-13*ORÇAMENTO!$AF$7)/$H395*OFFSET(ORÇAMENTO!$X$15,ROW(AV395)-ROW(AV$15),0),
ROUND(ROUND(OFFSET($P395,0,AV$13),15-13*ORÇAMENTO!$AF$7)*OFFSET(ORÇAMENTO!$W$15,ROW(AV395)-ROW(AV$15),0),15-13*ORÇAMENTO!$AF$11)),0)</f>
        <v>0</v>
      </c>
      <c r="AW395" s="545">
        <f ca="1">IF(AND($D395="Serviço",AW$12&lt;&gt;0,$H395&gt;0,OR(AUTOEVENTO&lt;&gt;"manual",$M395&lt;&gt;1)),
IF(Import.TipoArredondamento&lt;&gt;"TransfereGOV",
ROUND(OFFSET($P395,0,AW$13),15-13*ORÇAMENTO!$AF$7)/$H395*OFFSET(ORÇAMENTO!$X$15,ROW(AW395)-ROW(AW$15),0),
ROUND(ROUND(OFFSET($P395,0,AW$13),15-13*ORÇAMENTO!$AF$7)*OFFSET(ORÇAMENTO!$W$15,ROW(AW395)-ROW(AW$15),0),15-13*ORÇAMENTO!$AF$11)),0)</f>
        <v>0</v>
      </c>
      <c r="AX395" s="545">
        <f ca="1">IF(AND($D395="Serviço",AX$12&lt;&gt;0,$H395&gt;0,OR(AUTOEVENTO&lt;&gt;"manual",$M395&lt;&gt;1)),
IF(Import.TipoArredondamento&lt;&gt;"TransfereGOV",
ROUND(OFFSET($P395,0,AX$13),15-13*ORÇAMENTO!$AF$7)/$H395*OFFSET(ORÇAMENTO!$X$15,ROW(AX395)-ROW(AX$15),0),
ROUND(ROUND(OFFSET($P395,0,AX$13),15-13*ORÇAMENTO!$AF$7)*OFFSET(ORÇAMENTO!$W$15,ROW(AX395)-ROW(AX$15),0),15-13*ORÇAMENTO!$AF$11)),0)</f>
        <v>0</v>
      </c>
      <c r="AY395" s="545">
        <f ca="1">IF(AND($D395="Serviço",AY$12&lt;&gt;0,$H395&gt;0,OR(AUTOEVENTO&lt;&gt;"manual",$M395&lt;&gt;1)),
IF(Import.TipoArredondamento&lt;&gt;"TransfereGOV",
ROUND(OFFSET($P395,0,AY$13),15-13*ORÇAMENTO!$AF$7)/$H395*OFFSET(ORÇAMENTO!$X$15,ROW(AY395)-ROW(AY$15),0),
ROUND(ROUND(OFFSET($P395,0,AY$13),15-13*ORÇAMENTO!$AF$7)*OFFSET(ORÇAMENTO!$W$15,ROW(AY395)-ROW(AY$15),0),15-13*ORÇAMENTO!$AF$11)),0)</f>
        <v>0</v>
      </c>
      <c r="AZ395" s="545">
        <f ca="1">IF(AND($D395="Serviço",AZ$12&lt;&gt;0,$H395&gt;0,OR(AUTOEVENTO&lt;&gt;"manual",$M395&lt;&gt;1)),
IF(Import.TipoArredondamento&lt;&gt;"TransfereGOV",
ROUND(OFFSET($P395,0,AZ$13),15-13*ORÇAMENTO!$AF$7)/$H395*OFFSET(ORÇAMENTO!$X$15,ROW(AZ395)-ROW(AZ$15),0),
ROUND(ROUND(OFFSET($P395,0,AZ$13),15-13*ORÇAMENTO!$AF$7)*OFFSET(ORÇAMENTO!$W$15,ROW(AZ395)-ROW(AZ$15),0),15-13*ORÇAMENTO!$AF$11)),0)</f>
        <v>0</v>
      </c>
      <c r="BA395" s="546">
        <f ca="1">IF(AND($D395="Serviço",BA$12&lt;&gt;0,$H395&gt;0,OR(AUTOEVENTO&lt;&gt;"manual",$M395&lt;&gt;1)),
IF(Import.TipoArredondamento&lt;&gt;"TransfereGOV",
ROUND(OFFSET($P395,0,BA$13),15-13*ORÇAMENTO!$AF$7)/$H395*OFFSET(ORÇAMENTO!$X$15,ROW(BA395)-ROW(BA$15),0),
ROUND(ROUND(OFFSET($P395,0,BA$13),15-13*ORÇAMENTO!$AF$7)*OFFSET(ORÇAMENTO!$W$15,ROW(BA395)-ROW(BA$15),0),15-13*ORÇAMENTO!$AF$11)),0)</f>
        <v>0</v>
      </c>
      <c r="BC395" s="181">
        <f ca="1">IF($D395&lt;&gt;"Serviço",0,IF(AND(AUTOEVENTO="Manual",$M395=1),0,IF(OFFSET(CRONOPLE!$F$14,$M395,BC$13)="",10^12,OFFSET(CRONOPLE!$F$14,$M395,BC$13))))</f>
        <v>10</v>
      </c>
      <c r="BD395" s="181">
        <f ca="1">IF($D395&lt;&gt;"Serviço",0,IF(AND(AUTOEVENTO="Manual",$M395=1),0,IF(OFFSET(CRONOPLE!$F$14,$M395,BD$13)="",10^12,OFFSET(CRONOPLE!$F$14,$M395,BD$13))))</f>
        <v>1000000000000</v>
      </c>
      <c r="BE395" s="181">
        <f ca="1">IF($D395&lt;&gt;"Serviço",0,IF(AND(AUTOEVENTO="Manual",$M395=1),0,IF(OFFSET(CRONOPLE!$F$14,$M395,BE$13)="",10^12,OFFSET(CRONOPLE!$F$14,$M395,BE$13))))</f>
        <v>1000000000000</v>
      </c>
      <c r="BF395" s="181">
        <f ca="1">IF($D395&lt;&gt;"Serviço",0,IF(AND(AUTOEVENTO="Manual",$M395=1),0,IF(OFFSET(CRONOPLE!$F$14,$M395,BF$13)="",10^12,OFFSET(CRONOPLE!$F$14,$M395,BF$13))))</f>
        <v>1000000000000</v>
      </c>
      <c r="BG395" s="181">
        <f ca="1">IF($D395&lt;&gt;"Serviço",0,IF(AND(AUTOEVENTO="Manual",$M395=1),0,IF(OFFSET(CRONOPLE!$F$14,$M395,BG$13)="",10^12,OFFSET(CRONOPLE!$F$14,$M395,BG$13))))</f>
        <v>1000000000000</v>
      </c>
      <c r="BH395" s="181">
        <f ca="1">IF($D395&lt;&gt;"Serviço",0,IF(AND(AUTOEVENTO="Manual",$M395=1),0,IF(OFFSET(CRONOPLE!$F$14,$M395,BH$13)="",10^12,OFFSET(CRONOPLE!$F$14,$M395,BH$13))))</f>
        <v>1000000000000</v>
      </c>
      <c r="BI395" s="181">
        <f ca="1">IF($D395&lt;&gt;"Serviço",0,IF(AND(AUTOEVENTO="Manual",$M395=1),0,IF(OFFSET(CRONOPLE!$F$14,$M395,BI$13)="",10^12,OFFSET(CRONOPLE!$F$14,$M395,BI$13))))</f>
        <v>1000000000000</v>
      </c>
      <c r="BJ395" s="181">
        <f ca="1">IF($D395&lt;&gt;"Serviço",0,IF(AND(AUTOEVENTO="Manual",$M395=1),0,IF(OFFSET(CRONOPLE!$F$14,$M395,BJ$13)="",10^12,OFFSET(CRONOPLE!$F$14,$M395,BJ$13))))</f>
        <v>1000000000000</v>
      </c>
      <c r="BK395" s="181">
        <f ca="1">IF($D395&lt;&gt;"Serviço",0,IF(AND(AUTOEVENTO="Manual",$M395=1),0,IF(OFFSET(CRONOPLE!$F$14,$M395,BK$13)="",10^12,OFFSET(CRONOPLE!$F$14,$M395,BK$13))))</f>
        <v>1000000000000</v>
      </c>
      <c r="BL395" s="181">
        <f ca="1">IF($D395&lt;&gt;"Serviço",0,IF(AND(AUTOEVENTO="Manual",$M395=1),0,IF(OFFSET(CRONOPLE!$F$14,$M395,BL$13)="",10^12,OFFSET(CRONOPLE!$F$14,$M395,BL$13))))</f>
        <v>1000000000000</v>
      </c>
      <c r="BM395" s="181">
        <f ca="1">IF($D395&lt;&gt;"Serviço",0,IF(AND(AUTOEVENTO="Manual",$M395=1),0,IF(OFFSET(CRONOPLE!$F$14,$M395,BM$13)="",10^12,OFFSET(CRONOPLE!$F$14,$M395,BM$13))))</f>
        <v>1000000000000</v>
      </c>
      <c r="BN395" s="181">
        <f ca="1">IF($D395&lt;&gt;"Serviço",0,IF(AND(AUTOEVENTO="Manual",$M395=1),0,IF(OFFSET(CRONOPLE!$F$14,$M395,BN$13)="",10^12,OFFSET(CRONOPLE!$F$14,$M395,BN$13))))</f>
        <v>1000000000000</v>
      </c>
      <c r="BO395" s="181">
        <f ca="1">IF($D395&lt;&gt;"Serviço",0,IF(AND(AUTOEVENTO="Manual",$M395=1),0,IF(OFFSET(CRONOPLE!$F$14,$M395,BO$13)="",10^12,OFFSET(CRONOPLE!$F$14,$M395,BO$13))))</f>
        <v>1000000000000</v>
      </c>
      <c r="BP395" s="181">
        <f ca="1">IF($D395&lt;&gt;"Serviço",0,IF(AND(AUTOEVENTO="Manual",$M395=1),0,IF(OFFSET(CRONOPLE!$F$14,$M395,BP$13)="",10^12,OFFSET(CRONOPLE!$F$14,$M395,BP$13))))</f>
        <v>1000000000000</v>
      </c>
      <c r="BQ395" s="181">
        <f ca="1">IF($D395&lt;&gt;"Serviço",0,IF(AND(AUTOEVENTO="Manual",$M395=1),0,IF(OFFSET(CRONOPLE!$F$14,$M395,BQ$13)="",10^12,OFFSET(CRONOPLE!$F$14,$M395,BQ$13))))</f>
        <v>1000000000000</v>
      </c>
      <c r="BR395" s="181">
        <f ca="1">IF($D395&lt;&gt;"Serviço",0,IF(AND(AUTOEVENTO="Manual",$M395=1),0,IF(OFFSET(CRONOPLE!$F$14,$M395,BR$13)="",10^12,OFFSET(CRONOPLE!$F$14,$M395,BR$13))))</f>
        <v>1000000000000</v>
      </c>
      <c r="BS395" s="181">
        <f ca="1">IF($D395&lt;&gt;"Serviço",0,IF(AND(AUTOEVENTO="Manual",$M395=1),0,IF(OFFSET(CRONOPLE!$F$14,$M395,BS$13)="",10^12,OFFSET(CRONOPLE!$F$14,$M395,BS$13))))</f>
        <v>1000000000000</v>
      </c>
      <c r="BT395" s="181">
        <f ca="1">IF($D395&lt;&gt;"Serviço",0,IF(AND(AUTOEVENTO="Manual",$M395=1),0,IF(OFFSET(CRONOPLE!$F$14,$M395,BT$13)="",10^12,OFFSET(CRONOPLE!$F$14,$M395,BT$13))))</f>
        <v>1000000000000</v>
      </c>
      <c r="BV395" s="182">
        <f ca="1">IF($D395&lt;&gt;"Serviço",0,IF(OR(AND(AUTOEVENTO="Manual",$M395=1),$M395&gt;(ROW(PLE.lastrow)-ROW(PLE.firstrow))),0,IF(OFFSET(PLE!$G$14,$M395,BV$13)="",10^12,OFFSET(PLE!$G$14,$M395,BV$13))))</f>
        <v>1000000000000</v>
      </c>
      <c r="BW395" s="182">
        <f ca="1">IF($D395&lt;&gt;"Serviço",0,IF(OR(AND(AUTOEVENTO="Manual",$M395=1),$M395&gt;(ROW(PLE.lastrow)-ROW(PLE.firstrow))),0,IF(OFFSET(PLE!$G$14,$M395,BW$13)="",10^12,OFFSET(PLE!$G$14,$M395,BW$13))))</f>
        <v>1000000000000</v>
      </c>
      <c r="BX395" s="182">
        <f ca="1">IF($D395&lt;&gt;"Serviço",0,IF(OR(AND(AUTOEVENTO="Manual",$M395=1),$M395&gt;(ROW(PLE.lastrow)-ROW(PLE.firstrow))),0,IF(OFFSET(PLE!$G$14,$M395,BX$13)="",10^12,OFFSET(PLE!$G$14,$M395,BX$13))))</f>
        <v>1000000000000</v>
      </c>
      <c r="BY395" s="182">
        <f ca="1">IF($D395&lt;&gt;"Serviço",0,IF(OR(AND(AUTOEVENTO="Manual",$M395=1),$M395&gt;(ROW(PLE.lastrow)-ROW(PLE.firstrow))),0,IF(OFFSET(PLE!$G$14,$M395,BY$13)="",10^12,OFFSET(PLE!$G$14,$M395,BY$13))))</f>
        <v>1000000000000</v>
      </c>
      <c r="BZ395" s="182">
        <f ca="1">IF($D395&lt;&gt;"Serviço",0,IF(OR(AND(AUTOEVENTO="Manual",$M395=1),$M395&gt;(ROW(PLE.lastrow)-ROW(PLE.firstrow))),0,IF(OFFSET(PLE!$G$14,$M395,BZ$13)="",10^12,OFFSET(PLE!$G$14,$M395,BZ$13))))</f>
        <v>1000000000000</v>
      </c>
      <c r="CA395" s="182">
        <f ca="1">IF($D395&lt;&gt;"Serviço",0,IF(OR(AND(AUTOEVENTO="Manual",$M395=1),$M395&gt;(ROW(PLE.lastrow)-ROW(PLE.firstrow))),0,IF(OFFSET(PLE!$G$14,$M395,CA$13)="",10^12,OFFSET(PLE!$G$14,$M395,CA$13))))</f>
        <v>1000000000000</v>
      </c>
      <c r="CB395" s="182">
        <f ca="1">IF($D395&lt;&gt;"Serviço",0,IF(OR(AND(AUTOEVENTO="Manual",$M395=1),$M395&gt;(ROW(PLE.lastrow)-ROW(PLE.firstrow))),0,IF(OFFSET(PLE!$G$14,$M395,CB$13)="",10^12,OFFSET(PLE!$G$14,$M395,CB$13))))</f>
        <v>1000000000000</v>
      </c>
      <c r="CC395" s="182">
        <f ca="1">IF($D395&lt;&gt;"Serviço",0,IF(OR(AND(AUTOEVENTO="Manual",$M395=1),$M395&gt;(ROW(PLE.lastrow)-ROW(PLE.firstrow))),0,IF(OFFSET(PLE!$G$14,$M395,CC$13)="",10^12,OFFSET(PLE!$G$14,$M395,CC$13))))</f>
        <v>1000000000000</v>
      </c>
      <c r="CD395" s="182">
        <f ca="1">IF($D395&lt;&gt;"Serviço",0,IF(OR(AND(AUTOEVENTO="Manual",$M395=1),$M395&gt;(ROW(PLE.lastrow)-ROW(PLE.firstrow))),0,IF(OFFSET(PLE!$G$14,$M395,CD$13)="",10^12,OFFSET(PLE!$G$14,$M395,CD$13))))</f>
        <v>1000000000000</v>
      </c>
      <c r="CE395" s="182">
        <f ca="1">IF($D395&lt;&gt;"Serviço",0,IF(OR(AND(AUTOEVENTO="Manual",$M395=1),$M395&gt;(ROW(PLE.lastrow)-ROW(PLE.firstrow))),0,IF(OFFSET(PLE!$G$14,$M395,CE$13)="",10^12,OFFSET(PLE!$G$14,$M395,CE$13))))</f>
        <v>1000000000000</v>
      </c>
      <c r="CF395" s="182">
        <f ca="1">IF($D395&lt;&gt;"Serviço",0,IF(OR(AND(AUTOEVENTO="Manual",$M395=1),$M395&gt;(ROW(PLE.lastrow)-ROW(PLE.firstrow))),0,IF(OFFSET(PLE!$G$14,$M395,CF$13)="",10^12,OFFSET(PLE!$G$14,$M395,CF$13))))</f>
        <v>1000000000000</v>
      </c>
      <c r="CG395" s="182">
        <f ca="1">IF($D395&lt;&gt;"Serviço",0,IF(OR(AND(AUTOEVENTO="Manual",$M395=1),$M395&gt;(ROW(PLE.lastrow)-ROW(PLE.firstrow))),0,IF(OFFSET(PLE!$G$14,$M395,CG$13)="",10^12,OFFSET(PLE!$G$14,$M395,CG$13))))</f>
        <v>1000000000000</v>
      </c>
      <c r="CH395" s="182">
        <f ca="1">IF($D395&lt;&gt;"Serviço",0,IF(OR(AND(AUTOEVENTO="Manual",$M395=1),$M395&gt;(ROW(PLE.lastrow)-ROW(PLE.firstrow))),0,IF(OFFSET(PLE!$G$14,$M395,CH$13)="",10^12,OFFSET(PLE!$G$14,$M395,CH$13))))</f>
        <v>1000000000000</v>
      </c>
      <c r="CI395" s="182">
        <f ca="1">IF($D395&lt;&gt;"Serviço",0,IF(OR(AND(AUTOEVENTO="Manual",$M395=1),$M395&gt;(ROW(PLE.lastrow)-ROW(PLE.firstrow))),0,IF(OFFSET(PLE!$G$14,$M395,CI$13)="",10^12,OFFSET(PLE!$G$14,$M395,CI$13))))</f>
        <v>1000000000000</v>
      </c>
      <c r="CJ395" s="182">
        <f ca="1">IF($D395&lt;&gt;"Serviço",0,IF(OR(AND(AUTOEVENTO="Manual",$M395=1),$M395&gt;(ROW(PLE.lastrow)-ROW(PLE.firstrow))),0,IF(OFFSET(PLE!$G$14,$M395,CJ$13)="",10^12,OFFSET(PLE!$G$14,$M395,CJ$13))))</f>
        <v>1000000000000</v>
      </c>
      <c r="CK395" s="182">
        <f ca="1">IF($D395&lt;&gt;"Serviço",0,IF(OR(AND(AUTOEVENTO="Manual",$M395=1),$M395&gt;(ROW(PLE.lastrow)-ROW(PLE.firstrow))),0,IF(OFFSET(PLE!$G$14,$M395,CK$13)="",10^12,OFFSET(PLE!$G$14,$M395,CK$13))))</f>
        <v>1000000000000</v>
      </c>
      <c r="CL395" s="182">
        <f ca="1">IF($D395&lt;&gt;"Serviço",0,IF(OR(AND(AUTOEVENTO="Manual",$M395=1),$M395&gt;(ROW(PLE.lastrow)-ROW(PLE.firstrow))),0,IF(OFFSET(PLE!$G$14,$M395,CL$13)="",10^12,OFFSET(PLE!$G$14,$M395,CL$13))))</f>
        <v>1000000000000</v>
      </c>
      <c r="CM395" s="182">
        <f ca="1">IF($D395&lt;&gt;"Serviço",0,IF(OR(AND(AUTOEVENTO="Manual",$M395=1),$M395&gt;(ROW(PLE.lastrow)-ROW(PLE.firstrow))),0,IF(OFFSET(PLE!$G$14,$M395,CM$13)="",10^12,OFFSET(PLE!$G$14,$M395,CM$13))))</f>
        <v>1000000000000</v>
      </c>
    </row>
    <row r="396" spans="1:91" ht="25.5" x14ac:dyDescent="0.2">
      <c r="A396" s="7" t="str">
        <f t="shared" ca="1" si="13"/>
        <v>350</v>
      </c>
      <c r="B396" s="7" t="str">
        <f ca="1">OFFSET(ORÇAMENTO!C$15,ROW(B396)-ROW(B$15),0)</f>
        <v>S</v>
      </c>
      <c r="C396" s="7" t="str">
        <f ca="1">OFFSET(ORÇAMENTO!L$15,ROW(C396)-ROW(C$15),0)</f>
        <v/>
      </c>
      <c r="D396" s="118" t="str">
        <f ca="1">OFFSET(ORÇAMENTO!N$15,ROW(D396)-ROW(D$15),0)</f>
        <v>Serviço</v>
      </c>
      <c r="E396" s="119" t="str">
        <f ca="1">OFFSET(ORÇAMENTO!O$15,ROW(E396)-ROW(E$15),0)</f>
        <v>-</v>
      </c>
      <c r="F396" s="172" t="str">
        <f ca="1">OFFSET(ORÇAMENTO!R$15,ROW(F396)-ROW(F$15),0)</f>
        <v>(abra o arquivo 'Referência 06-2024.xlsm)</v>
      </c>
      <c r="G396" s="173" t="str">
        <f ca="1">IF($D396&lt;&gt;"Serviço","",OFFSET(ORÇAMENTO!S$15,ROW(G396)-ROW(G$15),0))</f>
        <v>-</v>
      </c>
      <c r="H396" s="124">
        <f ca="1">IF($D396&lt;&gt;"Serviço",0,IF(ACOMPANHAMENTO="BM",ROUND(OFFSET(ORÇAMENTO!AJ$15,ROW(H396)-ROW(H$15),0),15-13*ORÇAMENTO!$AF$7),SUMPRODUCT(($Q$12:$AI$12&lt;&gt;"")*ROUND($Q396:$AI396,15-13*ORÇAMENTO!$AF$7))))</f>
        <v>23</v>
      </c>
      <c r="I396" s="561" t="s">
        <v>1107</v>
      </c>
      <c r="K396" s="174"/>
      <c r="L396" s="175" t="s">
        <v>255</v>
      </c>
      <c r="M396" s="176">
        <f ca="1">IF($D396&lt;&gt;"Serviço","",IF(AUTOEVENTO="manual",$A396,IF(ISERROR(MATCH($A396,$A$15:OFFSET($A396,-1,0),0)),MAX($M$15:OFFSET(M396,-1,0))+1,INDEX($M$15:OFFSET(M396,-1,0),MATCH($A396,$A$15:OFFSET($A396,-1,0),0)))))</f>
        <v>44</v>
      </c>
      <c r="N396" s="177" t="str">
        <f ca="1">IF($D396&lt;&gt;"Serviço","",IF(AUTOEVENTO="Manual",IF($A396=0,"&lt;-- defina o número do agrupador",OFFSET(EVENTOS!$D$14,$A396,0)),OFFSET($F$15,$A396,0)))</f>
        <v>LOUÇAS, ACESSÓRIOS E METAIS</v>
      </c>
      <c r="O396" s="178"/>
      <c r="Q396" s="178">
        <v>23</v>
      </c>
      <c r="R396" s="179"/>
      <c r="S396" s="179"/>
      <c r="T396" s="179"/>
      <c r="U396" s="179"/>
      <c r="V396" s="179"/>
      <c r="W396" s="179"/>
      <c r="X396" s="179"/>
      <c r="Y396" s="179"/>
      <c r="Z396" s="180"/>
      <c r="AA396" s="179"/>
      <c r="AB396" s="179"/>
      <c r="AC396" s="179"/>
      <c r="AD396" s="179"/>
      <c r="AE396" s="179"/>
      <c r="AF396" s="179"/>
      <c r="AG396" s="179"/>
      <c r="AH396" s="180"/>
      <c r="AJ396" s="544">
        <f ca="1">IF(AND($D396="Serviço",AJ$12&lt;&gt;0,$H396&gt;0,OR(AUTOEVENTO&lt;&gt;"manual",$M396&lt;&gt;1)),
IF(Import.TipoArredondamento&lt;&gt;"TransfereGOV",
ROUND(OFFSET($P396,0,AJ$13),15-13*ORÇAMENTO!$AF$7)/$H396*OFFSET(ORÇAMENTO!$X$15,ROW(AJ396)-ROW(AJ$15),0),
ROUND(ROUND(OFFSET($P396,0,AJ$13),15-13*ORÇAMENTO!$AF$7)*OFFSET(ORÇAMENTO!$W$15,ROW(AJ396)-ROW(AJ$15),0),15-13*ORÇAMENTO!$AF$11)),0)</f>
        <v>0</v>
      </c>
      <c r="AK396" s="545">
        <f ca="1">IF(AND($D396="Serviço",AK$12&lt;&gt;0,$H396&gt;0,OR(AUTOEVENTO&lt;&gt;"manual",$M396&lt;&gt;1)),
IF(Import.TipoArredondamento&lt;&gt;"TransfereGOV",
ROUND(OFFSET($P396,0,AK$13),15-13*ORÇAMENTO!$AF$7)/$H396*OFFSET(ORÇAMENTO!$X$15,ROW(AK396)-ROW(AK$15),0),
ROUND(ROUND(OFFSET($P396,0,AK$13),15-13*ORÇAMENTO!$AF$7)*OFFSET(ORÇAMENTO!$W$15,ROW(AK396)-ROW(AK$15),0),15-13*ORÇAMENTO!$AF$11)),0)</f>
        <v>0</v>
      </c>
      <c r="AL396" s="545">
        <f ca="1">IF(AND($D396="Serviço",AL$12&lt;&gt;0,$H396&gt;0,OR(AUTOEVENTO&lt;&gt;"manual",$M396&lt;&gt;1)),
IF(Import.TipoArredondamento&lt;&gt;"TransfereGOV",
ROUND(OFFSET($P396,0,AL$13),15-13*ORÇAMENTO!$AF$7)/$H396*OFFSET(ORÇAMENTO!$X$15,ROW(AL396)-ROW(AL$15),0),
ROUND(ROUND(OFFSET($P396,0,AL$13),15-13*ORÇAMENTO!$AF$7)*OFFSET(ORÇAMENTO!$W$15,ROW(AL396)-ROW(AL$15),0),15-13*ORÇAMENTO!$AF$11)),0)</f>
        <v>0</v>
      </c>
      <c r="AM396" s="545">
        <f ca="1">IF(AND($D396="Serviço",AM$12&lt;&gt;0,$H396&gt;0,OR(AUTOEVENTO&lt;&gt;"manual",$M396&lt;&gt;1)),
IF(Import.TipoArredondamento&lt;&gt;"TransfereGOV",
ROUND(OFFSET($P396,0,AM$13),15-13*ORÇAMENTO!$AF$7)/$H396*OFFSET(ORÇAMENTO!$X$15,ROW(AM396)-ROW(AM$15),0),
ROUND(ROUND(OFFSET($P396,0,AM$13),15-13*ORÇAMENTO!$AF$7)*OFFSET(ORÇAMENTO!$W$15,ROW(AM396)-ROW(AM$15),0),15-13*ORÇAMENTO!$AF$11)),0)</f>
        <v>0</v>
      </c>
      <c r="AN396" s="545">
        <f ca="1">IF(AND($D396="Serviço",AN$12&lt;&gt;0,$H396&gt;0,OR(AUTOEVENTO&lt;&gt;"manual",$M396&lt;&gt;1)),
IF(Import.TipoArredondamento&lt;&gt;"TransfereGOV",
ROUND(OFFSET($P396,0,AN$13),15-13*ORÇAMENTO!$AF$7)/$H396*OFFSET(ORÇAMENTO!$X$15,ROW(AN396)-ROW(AN$15),0),
ROUND(ROUND(OFFSET($P396,0,AN$13),15-13*ORÇAMENTO!$AF$7)*OFFSET(ORÇAMENTO!$W$15,ROW(AN396)-ROW(AN$15),0),15-13*ORÇAMENTO!$AF$11)),0)</f>
        <v>0</v>
      </c>
      <c r="AO396" s="545">
        <f ca="1">IF(AND($D396="Serviço",AO$12&lt;&gt;0,$H396&gt;0,OR(AUTOEVENTO&lt;&gt;"manual",$M396&lt;&gt;1)),
IF(Import.TipoArredondamento&lt;&gt;"TransfereGOV",
ROUND(OFFSET($P396,0,AO$13),15-13*ORÇAMENTO!$AF$7)/$H396*OFFSET(ORÇAMENTO!$X$15,ROW(AO396)-ROW(AO$15),0),
ROUND(ROUND(OFFSET($P396,0,AO$13),15-13*ORÇAMENTO!$AF$7)*OFFSET(ORÇAMENTO!$W$15,ROW(AO396)-ROW(AO$15),0),15-13*ORÇAMENTO!$AF$11)),0)</f>
        <v>0</v>
      </c>
      <c r="AP396" s="545">
        <f ca="1">IF(AND($D396="Serviço",AP$12&lt;&gt;0,$H396&gt;0,OR(AUTOEVENTO&lt;&gt;"manual",$M396&lt;&gt;1)),
IF(Import.TipoArredondamento&lt;&gt;"TransfereGOV",
ROUND(OFFSET($P396,0,AP$13),15-13*ORÇAMENTO!$AF$7)/$H396*OFFSET(ORÇAMENTO!$X$15,ROW(AP396)-ROW(AP$15),0),
ROUND(ROUND(OFFSET($P396,0,AP$13),15-13*ORÇAMENTO!$AF$7)*OFFSET(ORÇAMENTO!$W$15,ROW(AP396)-ROW(AP$15),0),15-13*ORÇAMENTO!$AF$11)),0)</f>
        <v>0</v>
      </c>
      <c r="AQ396" s="545">
        <f ca="1">IF(AND($D396="Serviço",AQ$12&lt;&gt;0,$H396&gt;0,OR(AUTOEVENTO&lt;&gt;"manual",$M396&lt;&gt;1)),
IF(Import.TipoArredondamento&lt;&gt;"TransfereGOV",
ROUND(OFFSET($P396,0,AQ$13),15-13*ORÇAMENTO!$AF$7)/$H396*OFFSET(ORÇAMENTO!$X$15,ROW(AQ396)-ROW(AQ$15),0),
ROUND(ROUND(OFFSET($P396,0,AQ$13),15-13*ORÇAMENTO!$AF$7)*OFFSET(ORÇAMENTO!$W$15,ROW(AQ396)-ROW(AQ$15),0),15-13*ORÇAMENTO!$AF$11)),0)</f>
        <v>0</v>
      </c>
      <c r="AR396" s="545">
        <f ca="1">IF(AND($D396="Serviço",AR$12&lt;&gt;0,$H396&gt;0,OR(AUTOEVENTO&lt;&gt;"manual",$M396&lt;&gt;1)),
IF(Import.TipoArredondamento&lt;&gt;"TransfereGOV",
ROUND(OFFSET($P396,0,AR$13),15-13*ORÇAMENTO!$AF$7)/$H396*OFFSET(ORÇAMENTO!$X$15,ROW(AR396)-ROW(AR$15),0),
ROUND(ROUND(OFFSET($P396,0,AR$13),15-13*ORÇAMENTO!$AF$7)*OFFSET(ORÇAMENTO!$W$15,ROW(AR396)-ROW(AR$15),0),15-13*ORÇAMENTO!$AF$11)),0)</f>
        <v>0</v>
      </c>
      <c r="AS396" s="546">
        <f ca="1">IF(AND($D396="Serviço",AS$12&lt;&gt;0,$H396&gt;0,OR(AUTOEVENTO&lt;&gt;"manual",$M396&lt;&gt;1)),
IF(Import.TipoArredondamento&lt;&gt;"TransfereGOV",
ROUND(OFFSET($P396,0,AS$13),15-13*ORÇAMENTO!$AF$7)/$H396*OFFSET(ORÇAMENTO!$X$15,ROW(AS396)-ROW(AS$15),0),
ROUND(ROUND(OFFSET($P396,0,AS$13),15-13*ORÇAMENTO!$AF$7)*OFFSET(ORÇAMENTO!$W$15,ROW(AS396)-ROW(AS$15),0),15-13*ORÇAMENTO!$AF$11)),0)</f>
        <v>0</v>
      </c>
      <c r="AT396" s="545">
        <f ca="1">IF(AND($D396="Serviço",AT$12&lt;&gt;0,$H396&gt;0,OR(AUTOEVENTO&lt;&gt;"manual",$M396&lt;&gt;1)),
IF(Import.TipoArredondamento&lt;&gt;"TransfereGOV",
ROUND(OFFSET($P396,0,AT$13),15-13*ORÇAMENTO!$AF$7)/$H396*OFFSET(ORÇAMENTO!$X$15,ROW(AT396)-ROW(AT$15),0),
ROUND(ROUND(OFFSET($P396,0,AT$13),15-13*ORÇAMENTO!$AF$7)*OFFSET(ORÇAMENTO!$W$15,ROW(AT396)-ROW(AT$15),0),15-13*ORÇAMENTO!$AF$11)),0)</f>
        <v>0</v>
      </c>
      <c r="AU396" s="545">
        <f ca="1">IF(AND($D396="Serviço",AU$12&lt;&gt;0,$H396&gt;0,OR(AUTOEVENTO&lt;&gt;"manual",$M396&lt;&gt;1)),
IF(Import.TipoArredondamento&lt;&gt;"TransfereGOV",
ROUND(OFFSET($P396,0,AU$13),15-13*ORÇAMENTO!$AF$7)/$H396*OFFSET(ORÇAMENTO!$X$15,ROW(AU396)-ROW(AU$15),0),
ROUND(ROUND(OFFSET($P396,0,AU$13),15-13*ORÇAMENTO!$AF$7)*OFFSET(ORÇAMENTO!$W$15,ROW(AU396)-ROW(AU$15),0),15-13*ORÇAMENTO!$AF$11)),0)</f>
        <v>0</v>
      </c>
      <c r="AV396" s="545">
        <f ca="1">IF(AND($D396="Serviço",AV$12&lt;&gt;0,$H396&gt;0,OR(AUTOEVENTO&lt;&gt;"manual",$M396&lt;&gt;1)),
IF(Import.TipoArredondamento&lt;&gt;"TransfereGOV",
ROUND(OFFSET($P396,0,AV$13),15-13*ORÇAMENTO!$AF$7)/$H396*OFFSET(ORÇAMENTO!$X$15,ROW(AV396)-ROW(AV$15),0),
ROUND(ROUND(OFFSET($P396,0,AV$13),15-13*ORÇAMENTO!$AF$7)*OFFSET(ORÇAMENTO!$W$15,ROW(AV396)-ROW(AV$15),0),15-13*ORÇAMENTO!$AF$11)),0)</f>
        <v>0</v>
      </c>
      <c r="AW396" s="545">
        <f ca="1">IF(AND($D396="Serviço",AW$12&lt;&gt;0,$H396&gt;0,OR(AUTOEVENTO&lt;&gt;"manual",$M396&lt;&gt;1)),
IF(Import.TipoArredondamento&lt;&gt;"TransfereGOV",
ROUND(OFFSET($P396,0,AW$13),15-13*ORÇAMENTO!$AF$7)/$H396*OFFSET(ORÇAMENTO!$X$15,ROW(AW396)-ROW(AW$15),0),
ROUND(ROUND(OFFSET($P396,0,AW$13),15-13*ORÇAMENTO!$AF$7)*OFFSET(ORÇAMENTO!$W$15,ROW(AW396)-ROW(AW$15),0),15-13*ORÇAMENTO!$AF$11)),0)</f>
        <v>0</v>
      </c>
      <c r="AX396" s="545">
        <f ca="1">IF(AND($D396="Serviço",AX$12&lt;&gt;0,$H396&gt;0,OR(AUTOEVENTO&lt;&gt;"manual",$M396&lt;&gt;1)),
IF(Import.TipoArredondamento&lt;&gt;"TransfereGOV",
ROUND(OFFSET($P396,0,AX$13),15-13*ORÇAMENTO!$AF$7)/$H396*OFFSET(ORÇAMENTO!$X$15,ROW(AX396)-ROW(AX$15),0),
ROUND(ROUND(OFFSET($P396,0,AX$13),15-13*ORÇAMENTO!$AF$7)*OFFSET(ORÇAMENTO!$W$15,ROW(AX396)-ROW(AX$15),0),15-13*ORÇAMENTO!$AF$11)),0)</f>
        <v>0</v>
      </c>
      <c r="AY396" s="545">
        <f ca="1">IF(AND($D396="Serviço",AY$12&lt;&gt;0,$H396&gt;0,OR(AUTOEVENTO&lt;&gt;"manual",$M396&lt;&gt;1)),
IF(Import.TipoArredondamento&lt;&gt;"TransfereGOV",
ROUND(OFFSET($P396,0,AY$13),15-13*ORÇAMENTO!$AF$7)/$H396*OFFSET(ORÇAMENTO!$X$15,ROW(AY396)-ROW(AY$15),0),
ROUND(ROUND(OFFSET($P396,0,AY$13),15-13*ORÇAMENTO!$AF$7)*OFFSET(ORÇAMENTO!$W$15,ROW(AY396)-ROW(AY$15),0),15-13*ORÇAMENTO!$AF$11)),0)</f>
        <v>0</v>
      </c>
      <c r="AZ396" s="545">
        <f ca="1">IF(AND($D396="Serviço",AZ$12&lt;&gt;0,$H396&gt;0,OR(AUTOEVENTO&lt;&gt;"manual",$M396&lt;&gt;1)),
IF(Import.TipoArredondamento&lt;&gt;"TransfereGOV",
ROUND(OFFSET($P396,0,AZ$13),15-13*ORÇAMENTO!$AF$7)/$H396*OFFSET(ORÇAMENTO!$X$15,ROW(AZ396)-ROW(AZ$15),0),
ROUND(ROUND(OFFSET($P396,0,AZ$13),15-13*ORÇAMENTO!$AF$7)*OFFSET(ORÇAMENTO!$W$15,ROW(AZ396)-ROW(AZ$15),0),15-13*ORÇAMENTO!$AF$11)),0)</f>
        <v>0</v>
      </c>
      <c r="BA396" s="546">
        <f ca="1">IF(AND($D396="Serviço",BA$12&lt;&gt;0,$H396&gt;0,OR(AUTOEVENTO&lt;&gt;"manual",$M396&lt;&gt;1)),
IF(Import.TipoArredondamento&lt;&gt;"TransfereGOV",
ROUND(OFFSET($P396,0,BA$13),15-13*ORÇAMENTO!$AF$7)/$H396*OFFSET(ORÇAMENTO!$X$15,ROW(BA396)-ROW(BA$15),0),
ROUND(ROUND(OFFSET($P396,0,BA$13),15-13*ORÇAMENTO!$AF$7)*OFFSET(ORÇAMENTO!$W$15,ROW(BA396)-ROW(BA$15),0),15-13*ORÇAMENTO!$AF$11)),0)</f>
        <v>0</v>
      </c>
      <c r="BC396" s="181">
        <f ca="1">IF($D396&lt;&gt;"Serviço",0,IF(AND(AUTOEVENTO="Manual",$M396=1),0,IF(OFFSET(CRONOPLE!$F$14,$M396,BC$13)="",10^12,OFFSET(CRONOPLE!$F$14,$M396,BC$13))))</f>
        <v>10</v>
      </c>
      <c r="BD396" s="181">
        <f ca="1">IF($D396&lt;&gt;"Serviço",0,IF(AND(AUTOEVENTO="Manual",$M396=1),0,IF(OFFSET(CRONOPLE!$F$14,$M396,BD$13)="",10^12,OFFSET(CRONOPLE!$F$14,$M396,BD$13))))</f>
        <v>1000000000000</v>
      </c>
      <c r="BE396" s="181">
        <f ca="1">IF($D396&lt;&gt;"Serviço",0,IF(AND(AUTOEVENTO="Manual",$M396=1),0,IF(OFFSET(CRONOPLE!$F$14,$M396,BE$13)="",10^12,OFFSET(CRONOPLE!$F$14,$M396,BE$13))))</f>
        <v>1000000000000</v>
      </c>
      <c r="BF396" s="181">
        <f ca="1">IF($D396&lt;&gt;"Serviço",0,IF(AND(AUTOEVENTO="Manual",$M396=1),0,IF(OFFSET(CRONOPLE!$F$14,$M396,BF$13)="",10^12,OFFSET(CRONOPLE!$F$14,$M396,BF$13))))</f>
        <v>1000000000000</v>
      </c>
      <c r="BG396" s="181">
        <f ca="1">IF($D396&lt;&gt;"Serviço",0,IF(AND(AUTOEVENTO="Manual",$M396=1),0,IF(OFFSET(CRONOPLE!$F$14,$M396,BG$13)="",10^12,OFFSET(CRONOPLE!$F$14,$M396,BG$13))))</f>
        <v>1000000000000</v>
      </c>
      <c r="BH396" s="181">
        <f ca="1">IF($D396&lt;&gt;"Serviço",0,IF(AND(AUTOEVENTO="Manual",$M396=1),0,IF(OFFSET(CRONOPLE!$F$14,$M396,BH$13)="",10^12,OFFSET(CRONOPLE!$F$14,$M396,BH$13))))</f>
        <v>1000000000000</v>
      </c>
      <c r="BI396" s="181">
        <f ca="1">IF($D396&lt;&gt;"Serviço",0,IF(AND(AUTOEVENTO="Manual",$M396=1),0,IF(OFFSET(CRONOPLE!$F$14,$M396,BI$13)="",10^12,OFFSET(CRONOPLE!$F$14,$M396,BI$13))))</f>
        <v>1000000000000</v>
      </c>
      <c r="BJ396" s="181">
        <f ca="1">IF($D396&lt;&gt;"Serviço",0,IF(AND(AUTOEVENTO="Manual",$M396=1),0,IF(OFFSET(CRONOPLE!$F$14,$M396,BJ$13)="",10^12,OFFSET(CRONOPLE!$F$14,$M396,BJ$13))))</f>
        <v>1000000000000</v>
      </c>
      <c r="BK396" s="181">
        <f ca="1">IF($D396&lt;&gt;"Serviço",0,IF(AND(AUTOEVENTO="Manual",$M396=1),0,IF(OFFSET(CRONOPLE!$F$14,$M396,BK$13)="",10^12,OFFSET(CRONOPLE!$F$14,$M396,BK$13))))</f>
        <v>1000000000000</v>
      </c>
      <c r="BL396" s="181">
        <f ca="1">IF($D396&lt;&gt;"Serviço",0,IF(AND(AUTOEVENTO="Manual",$M396=1),0,IF(OFFSET(CRONOPLE!$F$14,$M396,BL$13)="",10^12,OFFSET(CRONOPLE!$F$14,$M396,BL$13))))</f>
        <v>1000000000000</v>
      </c>
      <c r="BM396" s="181">
        <f ca="1">IF($D396&lt;&gt;"Serviço",0,IF(AND(AUTOEVENTO="Manual",$M396=1),0,IF(OFFSET(CRONOPLE!$F$14,$M396,BM$13)="",10^12,OFFSET(CRONOPLE!$F$14,$M396,BM$13))))</f>
        <v>1000000000000</v>
      </c>
      <c r="BN396" s="181">
        <f ca="1">IF($D396&lt;&gt;"Serviço",0,IF(AND(AUTOEVENTO="Manual",$M396=1),0,IF(OFFSET(CRONOPLE!$F$14,$M396,BN$13)="",10^12,OFFSET(CRONOPLE!$F$14,$M396,BN$13))))</f>
        <v>1000000000000</v>
      </c>
      <c r="BO396" s="181">
        <f ca="1">IF($D396&lt;&gt;"Serviço",0,IF(AND(AUTOEVENTO="Manual",$M396=1),0,IF(OFFSET(CRONOPLE!$F$14,$M396,BO$13)="",10^12,OFFSET(CRONOPLE!$F$14,$M396,BO$13))))</f>
        <v>1000000000000</v>
      </c>
      <c r="BP396" s="181">
        <f ca="1">IF($D396&lt;&gt;"Serviço",0,IF(AND(AUTOEVENTO="Manual",$M396=1),0,IF(OFFSET(CRONOPLE!$F$14,$M396,BP$13)="",10^12,OFFSET(CRONOPLE!$F$14,$M396,BP$13))))</f>
        <v>1000000000000</v>
      </c>
      <c r="BQ396" s="181">
        <f ca="1">IF($D396&lt;&gt;"Serviço",0,IF(AND(AUTOEVENTO="Manual",$M396=1),0,IF(OFFSET(CRONOPLE!$F$14,$M396,BQ$13)="",10^12,OFFSET(CRONOPLE!$F$14,$M396,BQ$13))))</f>
        <v>1000000000000</v>
      </c>
      <c r="BR396" s="181">
        <f ca="1">IF($D396&lt;&gt;"Serviço",0,IF(AND(AUTOEVENTO="Manual",$M396=1),0,IF(OFFSET(CRONOPLE!$F$14,$M396,BR$13)="",10^12,OFFSET(CRONOPLE!$F$14,$M396,BR$13))))</f>
        <v>1000000000000</v>
      </c>
      <c r="BS396" s="181">
        <f ca="1">IF($D396&lt;&gt;"Serviço",0,IF(AND(AUTOEVENTO="Manual",$M396=1),0,IF(OFFSET(CRONOPLE!$F$14,$M396,BS$13)="",10^12,OFFSET(CRONOPLE!$F$14,$M396,BS$13))))</f>
        <v>1000000000000</v>
      </c>
      <c r="BT396" s="181">
        <f ca="1">IF($D396&lt;&gt;"Serviço",0,IF(AND(AUTOEVENTO="Manual",$M396=1),0,IF(OFFSET(CRONOPLE!$F$14,$M396,BT$13)="",10^12,OFFSET(CRONOPLE!$F$14,$M396,BT$13))))</f>
        <v>1000000000000</v>
      </c>
      <c r="BV396" s="182">
        <f ca="1">IF($D396&lt;&gt;"Serviço",0,IF(OR(AND(AUTOEVENTO="Manual",$M396=1),$M396&gt;(ROW(PLE.lastrow)-ROW(PLE.firstrow))),0,IF(OFFSET(PLE!$G$14,$M396,BV$13)="",10^12,OFFSET(PLE!$G$14,$M396,BV$13))))</f>
        <v>1000000000000</v>
      </c>
      <c r="BW396" s="182">
        <f ca="1">IF($D396&lt;&gt;"Serviço",0,IF(OR(AND(AUTOEVENTO="Manual",$M396=1),$M396&gt;(ROW(PLE.lastrow)-ROW(PLE.firstrow))),0,IF(OFFSET(PLE!$G$14,$M396,BW$13)="",10^12,OFFSET(PLE!$G$14,$M396,BW$13))))</f>
        <v>1000000000000</v>
      </c>
      <c r="BX396" s="182">
        <f ca="1">IF($D396&lt;&gt;"Serviço",0,IF(OR(AND(AUTOEVENTO="Manual",$M396=1),$M396&gt;(ROW(PLE.lastrow)-ROW(PLE.firstrow))),0,IF(OFFSET(PLE!$G$14,$M396,BX$13)="",10^12,OFFSET(PLE!$G$14,$M396,BX$13))))</f>
        <v>1000000000000</v>
      </c>
      <c r="BY396" s="182">
        <f ca="1">IF($D396&lt;&gt;"Serviço",0,IF(OR(AND(AUTOEVENTO="Manual",$M396=1),$M396&gt;(ROW(PLE.lastrow)-ROW(PLE.firstrow))),0,IF(OFFSET(PLE!$G$14,$M396,BY$13)="",10^12,OFFSET(PLE!$G$14,$M396,BY$13))))</f>
        <v>1000000000000</v>
      </c>
      <c r="BZ396" s="182">
        <f ca="1">IF($D396&lt;&gt;"Serviço",0,IF(OR(AND(AUTOEVENTO="Manual",$M396=1),$M396&gt;(ROW(PLE.lastrow)-ROW(PLE.firstrow))),0,IF(OFFSET(PLE!$G$14,$M396,BZ$13)="",10^12,OFFSET(PLE!$G$14,$M396,BZ$13))))</f>
        <v>1000000000000</v>
      </c>
      <c r="CA396" s="182">
        <f ca="1">IF($D396&lt;&gt;"Serviço",0,IF(OR(AND(AUTOEVENTO="Manual",$M396=1),$M396&gt;(ROW(PLE.lastrow)-ROW(PLE.firstrow))),0,IF(OFFSET(PLE!$G$14,$M396,CA$13)="",10^12,OFFSET(PLE!$G$14,$M396,CA$13))))</f>
        <v>1000000000000</v>
      </c>
      <c r="CB396" s="182">
        <f ca="1">IF($D396&lt;&gt;"Serviço",0,IF(OR(AND(AUTOEVENTO="Manual",$M396=1),$M396&gt;(ROW(PLE.lastrow)-ROW(PLE.firstrow))),0,IF(OFFSET(PLE!$G$14,$M396,CB$13)="",10^12,OFFSET(PLE!$G$14,$M396,CB$13))))</f>
        <v>1000000000000</v>
      </c>
      <c r="CC396" s="182">
        <f ca="1">IF($D396&lt;&gt;"Serviço",0,IF(OR(AND(AUTOEVENTO="Manual",$M396=1),$M396&gt;(ROW(PLE.lastrow)-ROW(PLE.firstrow))),0,IF(OFFSET(PLE!$G$14,$M396,CC$13)="",10^12,OFFSET(PLE!$G$14,$M396,CC$13))))</f>
        <v>1000000000000</v>
      </c>
      <c r="CD396" s="182">
        <f ca="1">IF($D396&lt;&gt;"Serviço",0,IF(OR(AND(AUTOEVENTO="Manual",$M396=1),$M396&gt;(ROW(PLE.lastrow)-ROW(PLE.firstrow))),0,IF(OFFSET(PLE!$G$14,$M396,CD$13)="",10^12,OFFSET(PLE!$G$14,$M396,CD$13))))</f>
        <v>1000000000000</v>
      </c>
      <c r="CE396" s="182">
        <f ca="1">IF($D396&lt;&gt;"Serviço",0,IF(OR(AND(AUTOEVENTO="Manual",$M396=1),$M396&gt;(ROW(PLE.lastrow)-ROW(PLE.firstrow))),0,IF(OFFSET(PLE!$G$14,$M396,CE$13)="",10^12,OFFSET(PLE!$G$14,$M396,CE$13))))</f>
        <v>1000000000000</v>
      </c>
      <c r="CF396" s="182">
        <f ca="1">IF($D396&lt;&gt;"Serviço",0,IF(OR(AND(AUTOEVENTO="Manual",$M396=1),$M396&gt;(ROW(PLE.lastrow)-ROW(PLE.firstrow))),0,IF(OFFSET(PLE!$G$14,$M396,CF$13)="",10^12,OFFSET(PLE!$G$14,$M396,CF$13))))</f>
        <v>1000000000000</v>
      </c>
      <c r="CG396" s="182">
        <f ca="1">IF($D396&lt;&gt;"Serviço",0,IF(OR(AND(AUTOEVENTO="Manual",$M396=1),$M396&gt;(ROW(PLE.lastrow)-ROW(PLE.firstrow))),0,IF(OFFSET(PLE!$G$14,$M396,CG$13)="",10^12,OFFSET(PLE!$G$14,$M396,CG$13))))</f>
        <v>1000000000000</v>
      </c>
      <c r="CH396" s="182">
        <f ca="1">IF($D396&lt;&gt;"Serviço",0,IF(OR(AND(AUTOEVENTO="Manual",$M396=1),$M396&gt;(ROW(PLE.lastrow)-ROW(PLE.firstrow))),0,IF(OFFSET(PLE!$G$14,$M396,CH$13)="",10^12,OFFSET(PLE!$G$14,$M396,CH$13))))</f>
        <v>1000000000000</v>
      </c>
      <c r="CI396" s="182">
        <f ca="1">IF($D396&lt;&gt;"Serviço",0,IF(OR(AND(AUTOEVENTO="Manual",$M396=1),$M396&gt;(ROW(PLE.lastrow)-ROW(PLE.firstrow))),0,IF(OFFSET(PLE!$G$14,$M396,CI$13)="",10^12,OFFSET(PLE!$G$14,$M396,CI$13))))</f>
        <v>1000000000000</v>
      </c>
      <c r="CJ396" s="182">
        <f ca="1">IF($D396&lt;&gt;"Serviço",0,IF(OR(AND(AUTOEVENTO="Manual",$M396=1),$M396&gt;(ROW(PLE.lastrow)-ROW(PLE.firstrow))),0,IF(OFFSET(PLE!$G$14,$M396,CJ$13)="",10^12,OFFSET(PLE!$G$14,$M396,CJ$13))))</f>
        <v>1000000000000</v>
      </c>
      <c r="CK396" s="182">
        <f ca="1">IF($D396&lt;&gt;"Serviço",0,IF(OR(AND(AUTOEVENTO="Manual",$M396=1),$M396&gt;(ROW(PLE.lastrow)-ROW(PLE.firstrow))),0,IF(OFFSET(PLE!$G$14,$M396,CK$13)="",10^12,OFFSET(PLE!$G$14,$M396,CK$13))))</f>
        <v>1000000000000</v>
      </c>
      <c r="CL396" s="182">
        <f ca="1">IF($D396&lt;&gt;"Serviço",0,IF(OR(AND(AUTOEVENTO="Manual",$M396=1),$M396&gt;(ROW(PLE.lastrow)-ROW(PLE.firstrow))),0,IF(OFFSET(PLE!$G$14,$M396,CL$13)="",10^12,OFFSET(PLE!$G$14,$M396,CL$13))))</f>
        <v>1000000000000</v>
      </c>
      <c r="CM396" s="182">
        <f ca="1">IF($D396&lt;&gt;"Serviço",0,IF(OR(AND(AUTOEVENTO="Manual",$M396=1),$M396&gt;(ROW(PLE.lastrow)-ROW(PLE.firstrow))),0,IF(OFFSET(PLE!$G$14,$M396,CM$13)="",10^12,OFFSET(PLE!$G$14,$M396,CM$13))))</f>
        <v>1000000000000</v>
      </c>
    </row>
    <row r="397" spans="1:91" ht="25.5" x14ac:dyDescent="0.2">
      <c r="A397" s="7" t="str">
        <f t="shared" ca="1" si="13"/>
        <v>350</v>
      </c>
      <c r="B397" s="7" t="str">
        <f ca="1">OFFSET(ORÇAMENTO!C$15,ROW(B397)-ROW(B$15),0)</f>
        <v>S</v>
      </c>
      <c r="C397" s="7" t="str">
        <f ca="1">OFFSET(ORÇAMENTO!L$15,ROW(C397)-ROW(C$15),0)</f>
        <v/>
      </c>
      <c r="D397" s="118" t="str">
        <f ca="1">OFFSET(ORÇAMENTO!N$15,ROW(D397)-ROW(D$15),0)</f>
        <v>Serviço</v>
      </c>
      <c r="E397" s="119" t="str">
        <f ca="1">OFFSET(ORÇAMENTO!O$15,ROW(E397)-ROW(E$15),0)</f>
        <v>-</v>
      </c>
      <c r="F397" s="172" t="str">
        <f ca="1">OFFSET(ORÇAMENTO!R$15,ROW(F397)-ROW(F$15),0)</f>
        <v>(abra o arquivo 'Referência 06-2024.xlsm)</v>
      </c>
      <c r="G397" s="173" t="str">
        <f ca="1">IF($D397&lt;&gt;"Serviço","",OFFSET(ORÇAMENTO!S$15,ROW(G397)-ROW(G$15),0))</f>
        <v>-</v>
      </c>
      <c r="H397" s="124">
        <f ca="1">IF($D397&lt;&gt;"Serviço",0,IF(ACOMPANHAMENTO="BM",ROUND(OFFSET(ORÇAMENTO!AJ$15,ROW(H397)-ROW(H$15),0),15-13*ORÇAMENTO!$AF$7),SUMPRODUCT(($Q$12:$AI$12&lt;&gt;"")*ROUND($Q397:$AI397,15-13*ORÇAMENTO!$AF$7))))</f>
        <v>16.899999999999999</v>
      </c>
      <c r="I397" s="561" t="s">
        <v>1107</v>
      </c>
      <c r="K397" s="174"/>
      <c r="L397" s="175" t="s">
        <v>255</v>
      </c>
      <c r="M397" s="176">
        <f ca="1">IF($D397&lt;&gt;"Serviço","",IF(AUTOEVENTO="manual",$A397,IF(ISERROR(MATCH($A397,$A$15:OFFSET($A397,-1,0),0)),MAX($M$15:OFFSET(M397,-1,0))+1,INDEX($M$15:OFFSET(M397,-1,0),MATCH($A397,$A$15:OFFSET($A397,-1,0),0)))))</f>
        <v>44</v>
      </c>
      <c r="N397" s="177" t="str">
        <f ca="1">IF($D397&lt;&gt;"Serviço","",IF(AUTOEVENTO="Manual",IF($A397=0,"&lt;-- defina o número do agrupador",OFFSET(EVENTOS!$D$14,$A397,0)),OFFSET($F$15,$A397,0)))</f>
        <v>LOUÇAS, ACESSÓRIOS E METAIS</v>
      </c>
      <c r="O397" s="178"/>
      <c r="Q397" s="178">
        <v>16.899999999999999</v>
      </c>
      <c r="R397" s="179"/>
      <c r="S397" s="179"/>
      <c r="T397" s="179"/>
      <c r="U397" s="179"/>
      <c r="V397" s="179"/>
      <c r="W397" s="179"/>
      <c r="X397" s="179"/>
      <c r="Y397" s="179"/>
      <c r="Z397" s="180"/>
      <c r="AA397" s="179"/>
      <c r="AB397" s="179"/>
      <c r="AC397" s="179"/>
      <c r="AD397" s="179"/>
      <c r="AE397" s="179"/>
      <c r="AF397" s="179"/>
      <c r="AG397" s="179"/>
      <c r="AH397" s="180"/>
      <c r="AJ397" s="544">
        <f ca="1">IF(AND($D397="Serviço",AJ$12&lt;&gt;0,$H397&gt;0,OR(AUTOEVENTO&lt;&gt;"manual",$M397&lt;&gt;1)),
IF(Import.TipoArredondamento&lt;&gt;"TransfereGOV",
ROUND(OFFSET($P397,0,AJ$13),15-13*ORÇAMENTO!$AF$7)/$H397*OFFSET(ORÇAMENTO!$X$15,ROW(AJ397)-ROW(AJ$15),0),
ROUND(ROUND(OFFSET($P397,0,AJ$13),15-13*ORÇAMENTO!$AF$7)*OFFSET(ORÇAMENTO!$W$15,ROW(AJ397)-ROW(AJ$15),0),15-13*ORÇAMENTO!$AF$11)),0)</f>
        <v>0</v>
      </c>
      <c r="AK397" s="545">
        <f ca="1">IF(AND($D397="Serviço",AK$12&lt;&gt;0,$H397&gt;0,OR(AUTOEVENTO&lt;&gt;"manual",$M397&lt;&gt;1)),
IF(Import.TipoArredondamento&lt;&gt;"TransfereGOV",
ROUND(OFFSET($P397,0,AK$13),15-13*ORÇAMENTO!$AF$7)/$H397*OFFSET(ORÇAMENTO!$X$15,ROW(AK397)-ROW(AK$15),0),
ROUND(ROUND(OFFSET($P397,0,AK$13),15-13*ORÇAMENTO!$AF$7)*OFFSET(ORÇAMENTO!$W$15,ROW(AK397)-ROW(AK$15),0),15-13*ORÇAMENTO!$AF$11)),0)</f>
        <v>0</v>
      </c>
      <c r="AL397" s="545">
        <f ca="1">IF(AND($D397="Serviço",AL$12&lt;&gt;0,$H397&gt;0,OR(AUTOEVENTO&lt;&gt;"manual",$M397&lt;&gt;1)),
IF(Import.TipoArredondamento&lt;&gt;"TransfereGOV",
ROUND(OFFSET($P397,0,AL$13),15-13*ORÇAMENTO!$AF$7)/$H397*OFFSET(ORÇAMENTO!$X$15,ROW(AL397)-ROW(AL$15),0),
ROUND(ROUND(OFFSET($P397,0,AL$13),15-13*ORÇAMENTO!$AF$7)*OFFSET(ORÇAMENTO!$W$15,ROW(AL397)-ROW(AL$15),0),15-13*ORÇAMENTO!$AF$11)),0)</f>
        <v>0</v>
      </c>
      <c r="AM397" s="545">
        <f ca="1">IF(AND($D397="Serviço",AM$12&lt;&gt;0,$H397&gt;0,OR(AUTOEVENTO&lt;&gt;"manual",$M397&lt;&gt;1)),
IF(Import.TipoArredondamento&lt;&gt;"TransfereGOV",
ROUND(OFFSET($P397,0,AM$13),15-13*ORÇAMENTO!$AF$7)/$H397*OFFSET(ORÇAMENTO!$X$15,ROW(AM397)-ROW(AM$15),0),
ROUND(ROUND(OFFSET($P397,0,AM$13),15-13*ORÇAMENTO!$AF$7)*OFFSET(ORÇAMENTO!$W$15,ROW(AM397)-ROW(AM$15),0),15-13*ORÇAMENTO!$AF$11)),0)</f>
        <v>0</v>
      </c>
      <c r="AN397" s="545">
        <f ca="1">IF(AND($D397="Serviço",AN$12&lt;&gt;0,$H397&gt;0,OR(AUTOEVENTO&lt;&gt;"manual",$M397&lt;&gt;1)),
IF(Import.TipoArredondamento&lt;&gt;"TransfereGOV",
ROUND(OFFSET($P397,0,AN$13),15-13*ORÇAMENTO!$AF$7)/$H397*OFFSET(ORÇAMENTO!$X$15,ROW(AN397)-ROW(AN$15),0),
ROUND(ROUND(OFFSET($P397,0,AN$13),15-13*ORÇAMENTO!$AF$7)*OFFSET(ORÇAMENTO!$W$15,ROW(AN397)-ROW(AN$15),0),15-13*ORÇAMENTO!$AF$11)),0)</f>
        <v>0</v>
      </c>
      <c r="AO397" s="545">
        <f ca="1">IF(AND($D397="Serviço",AO$12&lt;&gt;0,$H397&gt;0,OR(AUTOEVENTO&lt;&gt;"manual",$M397&lt;&gt;1)),
IF(Import.TipoArredondamento&lt;&gt;"TransfereGOV",
ROUND(OFFSET($P397,0,AO$13),15-13*ORÇAMENTO!$AF$7)/$H397*OFFSET(ORÇAMENTO!$X$15,ROW(AO397)-ROW(AO$15),0),
ROUND(ROUND(OFFSET($P397,0,AO$13),15-13*ORÇAMENTO!$AF$7)*OFFSET(ORÇAMENTO!$W$15,ROW(AO397)-ROW(AO$15),0),15-13*ORÇAMENTO!$AF$11)),0)</f>
        <v>0</v>
      </c>
      <c r="AP397" s="545">
        <f ca="1">IF(AND($D397="Serviço",AP$12&lt;&gt;0,$H397&gt;0,OR(AUTOEVENTO&lt;&gt;"manual",$M397&lt;&gt;1)),
IF(Import.TipoArredondamento&lt;&gt;"TransfereGOV",
ROUND(OFFSET($P397,0,AP$13),15-13*ORÇAMENTO!$AF$7)/$H397*OFFSET(ORÇAMENTO!$X$15,ROW(AP397)-ROW(AP$15),0),
ROUND(ROUND(OFFSET($P397,0,AP$13),15-13*ORÇAMENTO!$AF$7)*OFFSET(ORÇAMENTO!$W$15,ROW(AP397)-ROW(AP$15),0),15-13*ORÇAMENTO!$AF$11)),0)</f>
        <v>0</v>
      </c>
      <c r="AQ397" s="545">
        <f ca="1">IF(AND($D397="Serviço",AQ$12&lt;&gt;0,$H397&gt;0,OR(AUTOEVENTO&lt;&gt;"manual",$M397&lt;&gt;1)),
IF(Import.TipoArredondamento&lt;&gt;"TransfereGOV",
ROUND(OFFSET($P397,0,AQ$13),15-13*ORÇAMENTO!$AF$7)/$H397*OFFSET(ORÇAMENTO!$X$15,ROW(AQ397)-ROW(AQ$15),0),
ROUND(ROUND(OFFSET($P397,0,AQ$13),15-13*ORÇAMENTO!$AF$7)*OFFSET(ORÇAMENTO!$W$15,ROW(AQ397)-ROW(AQ$15),0),15-13*ORÇAMENTO!$AF$11)),0)</f>
        <v>0</v>
      </c>
      <c r="AR397" s="545">
        <f ca="1">IF(AND($D397="Serviço",AR$12&lt;&gt;0,$H397&gt;0,OR(AUTOEVENTO&lt;&gt;"manual",$M397&lt;&gt;1)),
IF(Import.TipoArredondamento&lt;&gt;"TransfereGOV",
ROUND(OFFSET($P397,0,AR$13),15-13*ORÇAMENTO!$AF$7)/$H397*OFFSET(ORÇAMENTO!$X$15,ROW(AR397)-ROW(AR$15),0),
ROUND(ROUND(OFFSET($P397,0,AR$13),15-13*ORÇAMENTO!$AF$7)*OFFSET(ORÇAMENTO!$W$15,ROW(AR397)-ROW(AR$15),0),15-13*ORÇAMENTO!$AF$11)),0)</f>
        <v>0</v>
      </c>
      <c r="AS397" s="546">
        <f ca="1">IF(AND($D397="Serviço",AS$12&lt;&gt;0,$H397&gt;0,OR(AUTOEVENTO&lt;&gt;"manual",$M397&lt;&gt;1)),
IF(Import.TipoArredondamento&lt;&gt;"TransfereGOV",
ROUND(OFFSET($P397,0,AS$13),15-13*ORÇAMENTO!$AF$7)/$H397*OFFSET(ORÇAMENTO!$X$15,ROW(AS397)-ROW(AS$15),0),
ROUND(ROUND(OFFSET($P397,0,AS$13),15-13*ORÇAMENTO!$AF$7)*OFFSET(ORÇAMENTO!$W$15,ROW(AS397)-ROW(AS$15),0),15-13*ORÇAMENTO!$AF$11)),0)</f>
        <v>0</v>
      </c>
      <c r="AT397" s="545">
        <f ca="1">IF(AND($D397="Serviço",AT$12&lt;&gt;0,$H397&gt;0,OR(AUTOEVENTO&lt;&gt;"manual",$M397&lt;&gt;1)),
IF(Import.TipoArredondamento&lt;&gt;"TransfereGOV",
ROUND(OFFSET($P397,0,AT$13),15-13*ORÇAMENTO!$AF$7)/$H397*OFFSET(ORÇAMENTO!$X$15,ROW(AT397)-ROW(AT$15),0),
ROUND(ROUND(OFFSET($P397,0,AT$13),15-13*ORÇAMENTO!$AF$7)*OFFSET(ORÇAMENTO!$W$15,ROW(AT397)-ROW(AT$15),0),15-13*ORÇAMENTO!$AF$11)),0)</f>
        <v>0</v>
      </c>
      <c r="AU397" s="545">
        <f ca="1">IF(AND($D397="Serviço",AU$12&lt;&gt;0,$H397&gt;0,OR(AUTOEVENTO&lt;&gt;"manual",$M397&lt;&gt;1)),
IF(Import.TipoArredondamento&lt;&gt;"TransfereGOV",
ROUND(OFFSET($P397,0,AU$13),15-13*ORÇAMENTO!$AF$7)/$H397*OFFSET(ORÇAMENTO!$X$15,ROW(AU397)-ROW(AU$15),0),
ROUND(ROUND(OFFSET($P397,0,AU$13),15-13*ORÇAMENTO!$AF$7)*OFFSET(ORÇAMENTO!$W$15,ROW(AU397)-ROW(AU$15),0),15-13*ORÇAMENTO!$AF$11)),0)</f>
        <v>0</v>
      </c>
      <c r="AV397" s="545">
        <f ca="1">IF(AND($D397="Serviço",AV$12&lt;&gt;0,$H397&gt;0,OR(AUTOEVENTO&lt;&gt;"manual",$M397&lt;&gt;1)),
IF(Import.TipoArredondamento&lt;&gt;"TransfereGOV",
ROUND(OFFSET($P397,0,AV$13),15-13*ORÇAMENTO!$AF$7)/$H397*OFFSET(ORÇAMENTO!$X$15,ROW(AV397)-ROW(AV$15),0),
ROUND(ROUND(OFFSET($P397,0,AV$13),15-13*ORÇAMENTO!$AF$7)*OFFSET(ORÇAMENTO!$W$15,ROW(AV397)-ROW(AV$15),0),15-13*ORÇAMENTO!$AF$11)),0)</f>
        <v>0</v>
      </c>
      <c r="AW397" s="545">
        <f ca="1">IF(AND($D397="Serviço",AW$12&lt;&gt;0,$H397&gt;0,OR(AUTOEVENTO&lt;&gt;"manual",$M397&lt;&gt;1)),
IF(Import.TipoArredondamento&lt;&gt;"TransfereGOV",
ROUND(OFFSET($P397,0,AW$13),15-13*ORÇAMENTO!$AF$7)/$H397*OFFSET(ORÇAMENTO!$X$15,ROW(AW397)-ROW(AW$15),0),
ROUND(ROUND(OFFSET($P397,0,AW$13),15-13*ORÇAMENTO!$AF$7)*OFFSET(ORÇAMENTO!$W$15,ROW(AW397)-ROW(AW$15),0),15-13*ORÇAMENTO!$AF$11)),0)</f>
        <v>0</v>
      </c>
      <c r="AX397" s="545">
        <f ca="1">IF(AND($D397="Serviço",AX$12&lt;&gt;0,$H397&gt;0,OR(AUTOEVENTO&lt;&gt;"manual",$M397&lt;&gt;1)),
IF(Import.TipoArredondamento&lt;&gt;"TransfereGOV",
ROUND(OFFSET($P397,0,AX$13),15-13*ORÇAMENTO!$AF$7)/$H397*OFFSET(ORÇAMENTO!$X$15,ROW(AX397)-ROW(AX$15),0),
ROUND(ROUND(OFFSET($P397,0,AX$13),15-13*ORÇAMENTO!$AF$7)*OFFSET(ORÇAMENTO!$W$15,ROW(AX397)-ROW(AX$15),0),15-13*ORÇAMENTO!$AF$11)),0)</f>
        <v>0</v>
      </c>
      <c r="AY397" s="545">
        <f ca="1">IF(AND($D397="Serviço",AY$12&lt;&gt;0,$H397&gt;0,OR(AUTOEVENTO&lt;&gt;"manual",$M397&lt;&gt;1)),
IF(Import.TipoArredondamento&lt;&gt;"TransfereGOV",
ROUND(OFFSET($P397,0,AY$13),15-13*ORÇAMENTO!$AF$7)/$H397*OFFSET(ORÇAMENTO!$X$15,ROW(AY397)-ROW(AY$15),0),
ROUND(ROUND(OFFSET($P397,0,AY$13),15-13*ORÇAMENTO!$AF$7)*OFFSET(ORÇAMENTO!$W$15,ROW(AY397)-ROW(AY$15),0),15-13*ORÇAMENTO!$AF$11)),0)</f>
        <v>0</v>
      </c>
      <c r="AZ397" s="545">
        <f ca="1">IF(AND($D397="Serviço",AZ$12&lt;&gt;0,$H397&gt;0,OR(AUTOEVENTO&lt;&gt;"manual",$M397&lt;&gt;1)),
IF(Import.TipoArredondamento&lt;&gt;"TransfereGOV",
ROUND(OFFSET($P397,0,AZ$13),15-13*ORÇAMENTO!$AF$7)/$H397*OFFSET(ORÇAMENTO!$X$15,ROW(AZ397)-ROW(AZ$15),0),
ROUND(ROUND(OFFSET($P397,0,AZ$13),15-13*ORÇAMENTO!$AF$7)*OFFSET(ORÇAMENTO!$W$15,ROW(AZ397)-ROW(AZ$15),0),15-13*ORÇAMENTO!$AF$11)),0)</f>
        <v>0</v>
      </c>
      <c r="BA397" s="546">
        <f ca="1">IF(AND($D397="Serviço",BA$12&lt;&gt;0,$H397&gt;0,OR(AUTOEVENTO&lt;&gt;"manual",$M397&lt;&gt;1)),
IF(Import.TipoArredondamento&lt;&gt;"TransfereGOV",
ROUND(OFFSET($P397,0,BA$13),15-13*ORÇAMENTO!$AF$7)/$H397*OFFSET(ORÇAMENTO!$X$15,ROW(BA397)-ROW(BA$15),0),
ROUND(ROUND(OFFSET($P397,0,BA$13),15-13*ORÇAMENTO!$AF$7)*OFFSET(ORÇAMENTO!$W$15,ROW(BA397)-ROW(BA$15),0),15-13*ORÇAMENTO!$AF$11)),0)</f>
        <v>0</v>
      </c>
      <c r="BC397" s="181">
        <f ca="1">IF($D397&lt;&gt;"Serviço",0,IF(AND(AUTOEVENTO="Manual",$M397=1),0,IF(OFFSET(CRONOPLE!$F$14,$M397,BC$13)="",10^12,OFFSET(CRONOPLE!$F$14,$M397,BC$13))))</f>
        <v>10</v>
      </c>
      <c r="BD397" s="181">
        <f ca="1">IF($D397&lt;&gt;"Serviço",0,IF(AND(AUTOEVENTO="Manual",$M397=1),0,IF(OFFSET(CRONOPLE!$F$14,$M397,BD$13)="",10^12,OFFSET(CRONOPLE!$F$14,$M397,BD$13))))</f>
        <v>1000000000000</v>
      </c>
      <c r="BE397" s="181">
        <f ca="1">IF($D397&lt;&gt;"Serviço",0,IF(AND(AUTOEVENTO="Manual",$M397=1),0,IF(OFFSET(CRONOPLE!$F$14,$M397,BE$13)="",10^12,OFFSET(CRONOPLE!$F$14,$M397,BE$13))))</f>
        <v>1000000000000</v>
      </c>
      <c r="BF397" s="181">
        <f ca="1">IF($D397&lt;&gt;"Serviço",0,IF(AND(AUTOEVENTO="Manual",$M397=1),0,IF(OFFSET(CRONOPLE!$F$14,$M397,BF$13)="",10^12,OFFSET(CRONOPLE!$F$14,$M397,BF$13))))</f>
        <v>1000000000000</v>
      </c>
      <c r="BG397" s="181">
        <f ca="1">IF($D397&lt;&gt;"Serviço",0,IF(AND(AUTOEVENTO="Manual",$M397=1),0,IF(OFFSET(CRONOPLE!$F$14,$M397,BG$13)="",10^12,OFFSET(CRONOPLE!$F$14,$M397,BG$13))))</f>
        <v>1000000000000</v>
      </c>
      <c r="BH397" s="181">
        <f ca="1">IF($D397&lt;&gt;"Serviço",0,IF(AND(AUTOEVENTO="Manual",$M397=1),0,IF(OFFSET(CRONOPLE!$F$14,$M397,BH$13)="",10^12,OFFSET(CRONOPLE!$F$14,$M397,BH$13))))</f>
        <v>1000000000000</v>
      </c>
      <c r="BI397" s="181">
        <f ca="1">IF($D397&lt;&gt;"Serviço",0,IF(AND(AUTOEVENTO="Manual",$M397=1),0,IF(OFFSET(CRONOPLE!$F$14,$M397,BI$13)="",10^12,OFFSET(CRONOPLE!$F$14,$M397,BI$13))))</f>
        <v>1000000000000</v>
      </c>
      <c r="BJ397" s="181">
        <f ca="1">IF($D397&lt;&gt;"Serviço",0,IF(AND(AUTOEVENTO="Manual",$M397=1),0,IF(OFFSET(CRONOPLE!$F$14,$M397,BJ$13)="",10^12,OFFSET(CRONOPLE!$F$14,$M397,BJ$13))))</f>
        <v>1000000000000</v>
      </c>
      <c r="BK397" s="181">
        <f ca="1">IF($D397&lt;&gt;"Serviço",0,IF(AND(AUTOEVENTO="Manual",$M397=1),0,IF(OFFSET(CRONOPLE!$F$14,$M397,BK$13)="",10^12,OFFSET(CRONOPLE!$F$14,$M397,BK$13))))</f>
        <v>1000000000000</v>
      </c>
      <c r="BL397" s="181">
        <f ca="1">IF($D397&lt;&gt;"Serviço",0,IF(AND(AUTOEVENTO="Manual",$M397=1),0,IF(OFFSET(CRONOPLE!$F$14,$M397,BL$13)="",10^12,OFFSET(CRONOPLE!$F$14,$M397,BL$13))))</f>
        <v>1000000000000</v>
      </c>
      <c r="BM397" s="181">
        <f ca="1">IF($D397&lt;&gt;"Serviço",0,IF(AND(AUTOEVENTO="Manual",$M397=1),0,IF(OFFSET(CRONOPLE!$F$14,$M397,BM$13)="",10^12,OFFSET(CRONOPLE!$F$14,$M397,BM$13))))</f>
        <v>1000000000000</v>
      </c>
      <c r="BN397" s="181">
        <f ca="1">IF($D397&lt;&gt;"Serviço",0,IF(AND(AUTOEVENTO="Manual",$M397=1),0,IF(OFFSET(CRONOPLE!$F$14,$M397,BN$13)="",10^12,OFFSET(CRONOPLE!$F$14,$M397,BN$13))))</f>
        <v>1000000000000</v>
      </c>
      <c r="BO397" s="181">
        <f ca="1">IF($D397&lt;&gt;"Serviço",0,IF(AND(AUTOEVENTO="Manual",$M397=1),0,IF(OFFSET(CRONOPLE!$F$14,$M397,BO$13)="",10^12,OFFSET(CRONOPLE!$F$14,$M397,BO$13))))</f>
        <v>1000000000000</v>
      </c>
      <c r="BP397" s="181">
        <f ca="1">IF($D397&lt;&gt;"Serviço",0,IF(AND(AUTOEVENTO="Manual",$M397=1),0,IF(OFFSET(CRONOPLE!$F$14,$M397,BP$13)="",10^12,OFFSET(CRONOPLE!$F$14,$M397,BP$13))))</f>
        <v>1000000000000</v>
      </c>
      <c r="BQ397" s="181">
        <f ca="1">IF($D397&lt;&gt;"Serviço",0,IF(AND(AUTOEVENTO="Manual",$M397=1),0,IF(OFFSET(CRONOPLE!$F$14,$M397,BQ$13)="",10^12,OFFSET(CRONOPLE!$F$14,$M397,BQ$13))))</f>
        <v>1000000000000</v>
      </c>
      <c r="BR397" s="181">
        <f ca="1">IF($D397&lt;&gt;"Serviço",0,IF(AND(AUTOEVENTO="Manual",$M397=1),0,IF(OFFSET(CRONOPLE!$F$14,$M397,BR$13)="",10^12,OFFSET(CRONOPLE!$F$14,$M397,BR$13))))</f>
        <v>1000000000000</v>
      </c>
      <c r="BS397" s="181">
        <f ca="1">IF($D397&lt;&gt;"Serviço",0,IF(AND(AUTOEVENTO="Manual",$M397=1),0,IF(OFFSET(CRONOPLE!$F$14,$M397,BS$13)="",10^12,OFFSET(CRONOPLE!$F$14,$M397,BS$13))))</f>
        <v>1000000000000</v>
      </c>
      <c r="BT397" s="181">
        <f ca="1">IF($D397&lt;&gt;"Serviço",0,IF(AND(AUTOEVENTO="Manual",$M397=1),0,IF(OFFSET(CRONOPLE!$F$14,$M397,BT$13)="",10^12,OFFSET(CRONOPLE!$F$14,$M397,BT$13))))</f>
        <v>1000000000000</v>
      </c>
      <c r="BV397" s="182">
        <f ca="1">IF($D397&lt;&gt;"Serviço",0,IF(OR(AND(AUTOEVENTO="Manual",$M397=1),$M397&gt;(ROW(PLE.lastrow)-ROW(PLE.firstrow))),0,IF(OFFSET(PLE!$G$14,$M397,BV$13)="",10^12,OFFSET(PLE!$G$14,$M397,BV$13))))</f>
        <v>1000000000000</v>
      </c>
      <c r="BW397" s="182">
        <f ca="1">IF($D397&lt;&gt;"Serviço",0,IF(OR(AND(AUTOEVENTO="Manual",$M397=1),$M397&gt;(ROW(PLE.lastrow)-ROW(PLE.firstrow))),0,IF(OFFSET(PLE!$G$14,$M397,BW$13)="",10^12,OFFSET(PLE!$G$14,$M397,BW$13))))</f>
        <v>1000000000000</v>
      </c>
      <c r="BX397" s="182">
        <f ca="1">IF($D397&lt;&gt;"Serviço",0,IF(OR(AND(AUTOEVENTO="Manual",$M397=1),$M397&gt;(ROW(PLE.lastrow)-ROW(PLE.firstrow))),0,IF(OFFSET(PLE!$G$14,$M397,BX$13)="",10^12,OFFSET(PLE!$G$14,$M397,BX$13))))</f>
        <v>1000000000000</v>
      </c>
      <c r="BY397" s="182">
        <f ca="1">IF($D397&lt;&gt;"Serviço",0,IF(OR(AND(AUTOEVENTO="Manual",$M397=1),$M397&gt;(ROW(PLE.lastrow)-ROW(PLE.firstrow))),0,IF(OFFSET(PLE!$G$14,$M397,BY$13)="",10^12,OFFSET(PLE!$G$14,$M397,BY$13))))</f>
        <v>1000000000000</v>
      </c>
      <c r="BZ397" s="182">
        <f ca="1">IF($D397&lt;&gt;"Serviço",0,IF(OR(AND(AUTOEVENTO="Manual",$M397=1),$M397&gt;(ROW(PLE.lastrow)-ROW(PLE.firstrow))),0,IF(OFFSET(PLE!$G$14,$M397,BZ$13)="",10^12,OFFSET(PLE!$G$14,$M397,BZ$13))))</f>
        <v>1000000000000</v>
      </c>
      <c r="CA397" s="182">
        <f ca="1">IF($D397&lt;&gt;"Serviço",0,IF(OR(AND(AUTOEVENTO="Manual",$M397=1),$M397&gt;(ROW(PLE.lastrow)-ROW(PLE.firstrow))),0,IF(OFFSET(PLE!$G$14,$M397,CA$13)="",10^12,OFFSET(PLE!$G$14,$M397,CA$13))))</f>
        <v>1000000000000</v>
      </c>
      <c r="CB397" s="182">
        <f ca="1">IF($D397&lt;&gt;"Serviço",0,IF(OR(AND(AUTOEVENTO="Manual",$M397=1),$M397&gt;(ROW(PLE.lastrow)-ROW(PLE.firstrow))),0,IF(OFFSET(PLE!$G$14,$M397,CB$13)="",10^12,OFFSET(PLE!$G$14,$M397,CB$13))))</f>
        <v>1000000000000</v>
      </c>
      <c r="CC397" s="182">
        <f ca="1">IF($D397&lt;&gt;"Serviço",0,IF(OR(AND(AUTOEVENTO="Manual",$M397=1),$M397&gt;(ROW(PLE.lastrow)-ROW(PLE.firstrow))),0,IF(OFFSET(PLE!$G$14,$M397,CC$13)="",10^12,OFFSET(PLE!$G$14,$M397,CC$13))))</f>
        <v>1000000000000</v>
      </c>
      <c r="CD397" s="182">
        <f ca="1">IF($D397&lt;&gt;"Serviço",0,IF(OR(AND(AUTOEVENTO="Manual",$M397=1),$M397&gt;(ROW(PLE.lastrow)-ROW(PLE.firstrow))),0,IF(OFFSET(PLE!$G$14,$M397,CD$13)="",10^12,OFFSET(PLE!$G$14,$M397,CD$13))))</f>
        <v>1000000000000</v>
      </c>
      <c r="CE397" s="182">
        <f ca="1">IF($D397&lt;&gt;"Serviço",0,IF(OR(AND(AUTOEVENTO="Manual",$M397=1),$M397&gt;(ROW(PLE.lastrow)-ROW(PLE.firstrow))),0,IF(OFFSET(PLE!$G$14,$M397,CE$13)="",10^12,OFFSET(PLE!$G$14,$M397,CE$13))))</f>
        <v>1000000000000</v>
      </c>
      <c r="CF397" s="182">
        <f ca="1">IF($D397&lt;&gt;"Serviço",0,IF(OR(AND(AUTOEVENTO="Manual",$M397=1),$M397&gt;(ROW(PLE.lastrow)-ROW(PLE.firstrow))),0,IF(OFFSET(PLE!$G$14,$M397,CF$13)="",10^12,OFFSET(PLE!$G$14,$M397,CF$13))))</f>
        <v>1000000000000</v>
      </c>
      <c r="CG397" s="182">
        <f ca="1">IF($D397&lt;&gt;"Serviço",0,IF(OR(AND(AUTOEVENTO="Manual",$M397=1),$M397&gt;(ROW(PLE.lastrow)-ROW(PLE.firstrow))),0,IF(OFFSET(PLE!$G$14,$M397,CG$13)="",10^12,OFFSET(PLE!$G$14,$M397,CG$13))))</f>
        <v>1000000000000</v>
      </c>
      <c r="CH397" s="182">
        <f ca="1">IF($D397&lt;&gt;"Serviço",0,IF(OR(AND(AUTOEVENTO="Manual",$M397=1),$M397&gt;(ROW(PLE.lastrow)-ROW(PLE.firstrow))),0,IF(OFFSET(PLE!$G$14,$M397,CH$13)="",10^12,OFFSET(PLE!$G$14,$M397,CH$13))))</f>
        <v>1000000000000</v>
      </c>
      <c r="CI397" s="182">
        <f ca="1">IF($D397&lt;&gt;"Serviço",0,IF(OR(AND(AUTOEVENTO="Manual",$M397=1),$M397&gt;(ROW(PLE.lastrow)-ROW(PLE.firstrow))),0,IF(OFFSET(PLE!$G$14,$M397,CI$13)="",10^12,OFFSET(PLE!$G$14,$M397,CI$13))))</f>
        <v>1000000000000</v>
      </c>
      <c r="CJ397" s="182">
        <f ca="1">IF($D397&lt;&gt;"Serviço",0,IF(OR(AND(AUTOEVENTO="Manual",$M397=1),$M397&gt;(ROW(PLE.lastrow)-ROW(PLE.firstrow))),0,IF(OFFSET(PLE!$G$14,$M397,CJ$13)="",10^12,OFFSET(PLE!$G$14,$M397,CJ$13))))</f>
        <v>1000000000000</v>
      </c>
      <c r="CK397" s="182">
        <f ca="1">IF($D397&lt;&gt;"Serviço",0,IF(OR(AND(AUTOEVENTO="Manual",$M397=1),$M397&gt;(ROW(PLE.lastrow)-ROW(PLE.firstrow))),0,IF(OFFSET(PLE!$G$14,$M397,CK$13)="",10^12,OFFSET(PLE!$G$14,$M397,CK$13))))</f>
        <v>1000000000000</v>
      </c>
      <c r="CL397" s="182">
        <f ca="1">IF($D397&lt;&gt;"Serviço",0,IF(OR(AND(AUTOEVENTO="Manual",$M397=1),$M397&gt;(ROW(PLE.lastrow)-ROW(PLE.firstrow))),0,IF(OFFSET(PLE!$G$14,$M397,CL$13)="",10^12,OFFSET(PLE!$G$14,$M397,CL$13))))</f>
        <v>1000000000000</v>
      </c>
      <c r="CM397" s="182">
        <f ca="1">IF($D397&lt;&gt;"Serviço",0,IF(OR(AND(AUTOEVENTO="Manual",$M397=1),$M397&gt;(ROW(PLE.lastrow)-ROW(PLE.firstrow))),0,IF(OFFSET(PLE!$G$14,$M397,CM$13)="",10^12,OFFSET(PLE!$G$14,$M397,CM$13))))</f>
        <v>1000000000000</v>
      </c>
    </row>
    <row r="398" spans="1:91" ht="38.25" x14ac:dyDescent="0.2">
      <c r="A398" s="7" t="str">
        <f t="shared" ca="1" si="13"/>
        <v>350</v>
      </c>
      <c r="B398" s="7" t="str">
        <f ca="1">OFFSET(ORÇAMENTO!C$15,ROW(B398)-ROW(B$15),0)</f>
        <v>S</v>
      </c>
      <c r="C398" s="7" t="str">
        <f ca="1">OFFSET(ORÇAMENTO!L$15,ROW(C398)-ROW(C$15),0)</f>
        <v/>
      </c>
      <c r="D398" s="118" t="str">
        <f ca="1">OFFSET(ORÇAMENTO!N$15,ROW(D398)-ROW(D$15),0)</f>
        <v>Serviço</v>
      </c>
      <c r="E398" s="119" t="str">
        <f ca="1">OFFSET(ORÇAMENTO!O$15,ROW(E398)-ROW(E$15),0)</f>
        <v>-</v>
      </c>
      <c r="F398" s="172" t="str">
        <f ca="1">OFFSET(ORÇAMENTO!R$15,ROW(F398)-ROW(F$15),0)</f>
        <v>(abra o arquivo 'Referência 06-2024.xlsm)</v>
      </c>
      <c r="G398" s="173" t="str">
        <f ca="1">IF($D398&lt;&gt;"Serviço","",OFFSET(ORÇAMENTO!S$15,ROW(G398)-ROW(G$15),0))</f>
        <v>-</v>
      </c>
      <c r="H398" s="124">
        <f ca="1">IF($D398&lt;&gt;"Serviço",0,IF(ACOMPANHAMENTO="BM",ROUND(OFFSET(ORÇAMENTO!AJ$15,ROW(H398)-ROW(H$15),0),15-13*ORÇAMENTO!$AF$7),SUMPRODUCT(($Q$12:$AI$12&lt;&gt;"")*ROUND($Q398:$AI398,15-13*ORÇAMENTO!$AF$7))))</f>
        <v>17</v>
      </c>
      <c r="I398" s="561" t="s">
        <v>1107</v>
      </c>
      <c r="K398" s="174"/>
      <c r="L398" s="175" t="s">
        <v>255</v>
      </c>
      <c r="M398" s="176">
        <f ca="1">IF($D398&lt;&gt;"Serviço","",IF(AUTOEVENTO="manual",$A398,IF(ISERROR(MATCH($A398,$A$15:OFFSET($A398,-1,0),0)),MAX($M$15:OFFSET(M398,-1,0))+1,INDEX($M$15:OFFSET(M398,-1,0),MATCH($A398,$A$15:OFFSET($A398,-1,0),0)))))</f>
        <v>44</v>
      </c>
      <c r="N398" s="177" t="str">
        <f ca="1">IF($D398&lt;&gt;"Serviço","",IF(AUTOEVENTO="Manual",IF($A398=0,"&lt;-- defina o número do agrupador",OFFSET(EVENTOS!$D$14,$A398,0)),OFFSET($F$15,$A398,0)))</f>
        <v>LOUÇAS, ACESSÓRIOS E METAIS</v>
      </c>
      <c r="O398" s="178"/>
      <c r="Q398" s="178">
        <v>17</v>
      </c>
      <c r="R398" s="179"/>
      <c r="S398" s="179"/>
      <c r="T398" s="179"/>
      <c r="U398" s="179"/>
      <c r="V398" s="179"/>
      <c r="W398" s="179"/>
      <c r="X398" s="179"/>
      <c r="Y398" s="179"/>
      <c r="Z398" s="180"/>
      <c r="AA398" s="179"/>
      <c r="AB398" s="179"/>
      <c r="AC398" s="179"/>
      <c r="AD398" s="179"/>
      <c r="AE398" s="179"/>
      <c r="AF398" s="179"/>
      <c r="AG398" s="179"/>
      <c r="AH398" s="180"/>
      <c r="AJ398" s="544">
        <f ca="1">IF(AND($D398="Serviço",AJ$12&lt;&gt;0,$H398&gt;0,OR(AUTOEVENTO&lt;&gt;"manual",$M398&lt;&gt;1)),
IF(Import.TipoArredondamento&lt;&gt;"TransfereGOV",
ROUND(OFFSET($P398,0,AJ$13),15-13*ORÇAMENTO!$AF$7)/$H398*OFFSET(ORÇAMENTO!$X$15,ROW(AJ398)-ROW(AJ$15),0),
ROUND(ROUND(OFFSET($P398,0,AJ$13),15-13*ORÇAMENTO!$AF$7)*OFFSET(ORÇAMENTO!$W$15,ROW(AJ398)-ROW(AJ$15),0),15-13*ORÇAMENTO!$AF$11)),0)</f>
        <v>0</v>
      </c>
      <c r="AK398" s="545">
        <f ca="1">IF(AND($D398="Serviço",AK$12&lt;&gt;0,$H398&gt;0,OR(AUTOEVENTO&lt;&gt;"manual",$M398&lt;&gt;1)),
IF(Import.TipoArredondamento&lt;&gt;"TransfereGOV",
ROUND(OFFSET($P398,0,AK$13),15-13*ORÇAMENTO!$AF$7)/$H398*OFFSET(ORÇAMENTO!$X$15,ROW(AK398)-ROW(AK$15),0),
ROUND(ROUND(OFFSET($P398,0,AK$13),15-13*ORÇAMENTO!$AF$7)*OFFSET(ORÇAMENTO!$W$15,ROW(AK398)-ROW(AK$15),0),15-13*ORÇAMENTO!$AF$11)),0)</f>
        <v>0</v>
      </c>
      <c r="AL398" s="545">
        <f ca="1">IF(AND($D398="Serviço",AL$12&lt;&gt;0,$H398&gt;0,OR(AUTOEVENTO&lt;&gt;"manual",$M398&lt;&gt;1)),
IF(Import.TipoArredondamento&lt;&gt;"TransfereGOV",
ROUND(OFFSET($P398,0,AL$13),15-13*ORÇAMENTO!$AF$7)/$H398*OFFSET(ORÇAMENTO!$X$15,ROW(AL398)-ROW(AL$15),0),
ROUND(ROUND(OFFSET($P398,0,AL$13),15-13*ORÇAMENTO!$AF$7)*OFFSET(ORÇAMENTO!$W$15,ROW(AL398)-ROW(AL$15),0),15-13*ORÇAMENTO!$AF$11)),0)</f>
        <v>0</v>
      </c>
      <c r="AM398" s="545">
        <f ca="1">IF(AND($D398="Serviço",AM$12&lt;&gt;0,$H398&gt;0,OR(AUTOEVENTO&lt;&gt;"manual",$M398&lt;&gt;1)),
IF(Import.TipoArredondamento&lt;&gt;"TransfereGOV",
ROUND(OFFSET($P398,0,AM$13),15-13*ORÇAMENTO!$AF$7)/$H398*OFFSET(ORÇAMENTO!$X$15,ROW(AM398)-ROW(AM$15),0),
ROUND(ROUND(OFFSET($P398,0,AM$13),15-13*ORÇAMENTO!$AF$7)*OFFSET(ORÇAMENTO!$W$15,ROW(AM398)-ROW(AM$15),0),15-13*ORÇAMENTO!$AF$11)),0)</f>
        <v>0</v>
      </c>
      <c r="AN398" s="545">
        <f ca="1">IF(AND($D398="Serviço",AN$12&lt;&gt;0,$H398&gt;0,OR(AUTOEVENTO&lt;&gt;"manual",$M398&lt;&gt;1)),
IF(Import.TipoArredondamento&lt;&gt;"TransfereGOV",
ROUND(OFFSET($P398,0,AN$13),15-13*ORÇAMENTO!$AF$7)/$H398*OFFSET(ORÇAMENTO!$X$15,ROW(AN398)-ROW(AN$15),0),
ROUND(ROUND(OFFSET($P398,0,AN$13),15-13*ORÇAMENTO!$AF$7)*OFFSET(ORÇAMENTO!$W$15,ROW(AN398)-ROW(AN$15),0),15-13*ORÇAMENTO!$AF$11)),0)</f>
        <v>0</v>
      </c>
      <c r="AO398" s="545">
        <f ca="1">IF(AND($D398="Serviço",AO$12&lt;&gt;0,$H398&gt;0,OR(AUTOEVENTO&lt;&gt;"manual",$M398&lt;&gt;1)),
IF(Import.TipoArredondamento&lt;&gt;"TransfereGOV",
ROUND(OFFSET($P398,0,AO$13),15-13*ORÇAMENTO!$AF$7)/$H398*OFFSET(ORÇAMENTO!$X$15,ROW(AO398)-ROW(AO$15),0),
ROUND(ROUND(OFFSET($P398,0,AO$13),15-13*ORÇAMENTO!$AF$7)*OFFSET(ORÇAMENTO!$W$15,ROW(AO398)-ROW(AO$15),0),15-13*ORÇAMENTO!$AF$11)),0)</f>
        <v>0</v>
      </c>
      <c r="AP398" s="545">
        <f ca="1">IF(AND($D398="Serviço",AP$12&lt;&gt;0,$H398&gt;0,OR(AUTOEVENTO&lt;&gt;"manual",$M398&lt;&gt;1)),
IF(Import.TipoArredondamento&lt;&gt;"TransfereGOV",
ROUND(OFFSET($P398,0,AP$13),15-13*ORÇAMENTO!$AF$7)/$H398*OFFSET(ORÇAMENTO!$X$15,ROW(AP398)-ROW(AP$15),0),
ROUND(ROUND(OFFSET($P398,0,AP$13),15-13*ORÇAMENTO!$AF$7)*OFFSET(ORÇAMENTO!$W$15,ROW(AP398)-ROW(AP$15),0),15-13*ORÇAMENTO!$AF$11)),0)</f>
        <v>0</v>
      </c>
      <c r="AQ398" s="545">
        <f ca="1">IF(AND($D398="Serviço",AQ$12&lt;&gt;0,$H398&gt;0,OR(AUTOEVENTO&lt;&gt;"manual",$M398&lt;&gt;1)),
IF(Import.TipoArredondamento&lt;&gt;"TransfereGOV",
ROUND(OFFSET($P398,0,AQ$13),15-13*ORÇAMENTO!$AF$7)/$H398*OFFSET(ORÇAMENTO!$X$15,ROW(AQ398)-ROW(AQ$15),0),
ROUND(ROUND(OFFSET($P398,0,AQ$13),15-13*ORÇAMENTO!$AF$7)*OFFSET(ORÇAMENTO!$W$15,ROW(AQ398)-ROW(AQ$15),0),15-13*ORÇAMENTO!$AF$11)),0)</f>
        <v>0</v>
      </c>
      <c r="AR398" s="545">
        <f ca="1">IF(AND($D398="Serviço",AR$12&lt;&gt;0,$H398&gt;0,OR(AUTOEVENTO&lt;&gt;"manual",$M398&lt;&gt;1)),
IF(Import.TipoArredondamento&lt;&gt;"TransfereGOV",
ROUND(OFFSET($P398,0,AR$13),15-13*ORÇAMENTO!$AF$7)/$H398*OFFSET(ORÇAMENTO!$X$15,ROW(AR398)-ROW(AR$15),0),
ROUND(ROUND(OFFSET($P398,0,AR$13),15-13*ORÇAMENTO!$AF$7)*OFFSET(ORÇAMENTO!$W$15,ROW(AR398)-ROW(AR$15),0),15-13*ORÇAMENTO!$AF$11)),0)</f>
        <v>0</v>
      </c>
      <c r="AS398" s="546">
        <f ca="1">IF(AND($D398="Serviço",AS$12&lt;&gt;0,$H398&gt;0,OR(AUTOEVENTO&lt;&gt;"manual",$M398&lt;&gt;1)),
IF(Import.TipoArredondamento&lt;&gt;"TransfereGOV",
ROUND(OFFSET($P398,0,AS$13),15-13*ORÇAMENTO!$AF$7)/$H398*OFFSET(ORÇAMENTO!$X$15,ROW(AS398)-ROW(AS$15),0),
ROUND(ROUND(OFFSET($P398,0,AS$13),15-13*ORÇAMENTO!$AF$7)*OFFSET(ORÇAMENTO!$W$15,ROW(AS398)-ROW(AS$15),0),15-13*ORÇAMENTO!$AF$11)),0)</f>
        <v>0</v>
      </c>
      <c r="AT398" s="545">
        <f ca="1">IF(AND($D398="Serviço",AT$12&lt;&gt;0,$H398&gt;0,OR(AUTOEVENTO&lt;&gt;"manual",$M398&lt;&gt;1)),
IF(Import.TipoArredondamento&lt;&gt;"TransfereGOV",
ROUND(OFFSET($P398,0,AT$13),15-13*ORÇAMENTO!$AF$7)/$H398*OFFSET(ORÇAMENTO!$X$15,ROW(AT398)-ROW(AT$15),0),
ROUND(ROUND(OFFSET($P398,0,AT$13),15-13*ORÇAMENTO!$AF$7)*OFFSET(ORÇAMENTO!$W$15,ROW(AT398)-ROW(AT$15),0),15-13*ORÇAMENTO!$AF$11)),0)</f>
        <v>0</v>
      </c>
      <c r="AU398" s="545">
        <f ca="1">IF(AND($D398="Serviço",AU$12&lt;&gt;0,$H398&gt;0,OR(AUTOEVENTO&lt;&gt;"manual",$M398&lt;&gt;1)),
IF(Import.TipoArredondamento&lt;&gt;"TransfereGOV",
ROUND(OFFSET($P398,0,AU$13),15-13*ORÇAMENTO!$AF$7)/$H398*OFFSET(ORÇAMENTO!$X$15,ROW(AU398)-ROW(AU$15),0),
ROUND(ROUND(OFFSET($P398,0,AU$13),15-13*ORÇAMENTO!$AF$7)*OFFSET(ORÇAMENTO!$W$15,ROW(AU398)-ROW(AU$15),0),15-13*ORÇAMENTO!$AF$11)),0)</f>
        <v>0</v>
      </c>
      <c r="AV398" s="545">
        <f ca="1">IF(AND($D398="Serviço",AV$12&lt;&gt;0,$H398&gt;0,OR(AUTOEVENTO&lt;&gt;"manual",$M398&lt;&gt;1)),
IF(Import.TipoArredondamento&lt;&gt;"TransfereGOV",
ROUND(OFFSET($P398,0,AV$13),15-13*ORÇAMENTO!$AF$7)/$H398*OFFSET(ORÇAMENTO!$X$15,ROW(AV398)-ROW(AV$15),0),
ROUND(ROUND(OFFSET($P398,0,AV$13),15-13*ORÇAMENTO!$AF$7)*OFFSET(ORÇAMENTO!$W$15,ROW(AV398)-ROW(AV$15),0),15-13*ORÇAMENTO!$AF$11)),0)</f>
        <v>0</v>
      </c>
      <c r="AW398" s="545">
        <f ca="1">IF(AND($D398="Serviço",AW$12&lt;&gt;0,$H398&gt;0,OR(AUTOEVENTO&lt;&gt;"manual",$M398&lt;&gt;1)),
IF(Import.TipoArredondamento&lt;&gt;"TransfereGOV",
ROUND(OFFSET($P398,0,AW$13),15-13*ORÇAMENTO!$AF$7)/$H398*OFFSET(ORÇAMENTO!$X$15,ROW(AW398)-ROW(AW$15),0),
ROUND(ROUND(OFFSET($P398,0,AW$13),15-13*ORÇAMENTO!$AF$7)*OFFSET(ORÇAMENTO!$W$15,ROW(AW398)-ROW(AW$15),0),15-13*ORÇAMENTO!$AF$11)),0)</f>
        <v>0</v>
      </c>
      <c r="AX398" s="545">
        <f ca="1">IF(AND($D398="Serviço",AX$12&lt;&gt;0,$H398&gt;0,OR(AUTOEVENTO&lt;&gt;"manual",$M398&lt;&gt;1)),
IF(Import.TipoArredondamento&lt;&gt;"TransfereGOV",
ROUND(OFFSET($P398,0,AX$13),15-13*ORÇAMENTO!$AF$7)/$H398*OFFSET(ORÇAMENTO!$X$15,ROW(AX398)-ROW(AX$15),0),
ROUND(ROUND(OFFSET($P398,0,AX$13),15-13*ORÇAMENTO!$AF$7)*OFFSET(ORÇAMENTO!$W$15,ROW(AX398)-ROW(AX$15),0),15-13*ORÇAMENTO!$AF$11)),0)</f>
        <v>0</v>
      </c>
      <c r="AY398" s="545">
        <f ca="1">IF(AND($D398="Serviço",AY$12&lt;&gt;0,$H398&gt;0,OR(AUTOEVENTO&lt;&gt;"manual",$M398&lt;&gt;1)),
IF(Import.TipoArredondamento&lt;&gt;"TransfereGOV",
ROUND(OFFSET($P398,0,AY$13),15-13*ORÇAMENTO!$AF$7)/$H398*OFFSET(ORÇAMENTO!$X$15,ROW(AY398)-ROW(AY$15),0),
ROUND(ROUND(OFFSET($P398,0,AY$13),15-13*ORÇAMENTO!$AF$7)*OFFSET(ORÇAMENTO!$W$15,ROW(AY398)-ROW(AY$15),0),15-13*ORÇAMENTO!$AF$11)),0)</f>
        <v>0</v>
      </c>
      <c r="AZ398" s="545">
        <f ca="1">IF(AND($D398="Serviço",AZ$12&lt;&gt;0,$H398&gt;0,OR(AUTOEVENTO&lt;&gt;"manual",$M398&lt;&gt;1)),
IF(Import.TipoArredondamento&lt;&gt;"TransfereGOV",
ROUND(OFFSET($P398,0,AZ$13),15-13*ORÇAMENTO!$AF$7)/$H398*OFFSET(ORÇAMENTO!$X$15,ROW(AZ398)-ROW(AZ$15),0),
ROUND(ROUND(OFFSET($P398,0,AZ$13),15-13*ORÇAMENTO!$AF$7)*OFFSET(ORÇAMENTO!$W$15,ROW(AZ398)-ROW(AZ$15),0),15-13*ORÇAMENTO!$AF$11)),0)</f>
        <v>0</v>
      </c>
      <c r="BA398" s="546">
        <f ca="1">IF(AND($D398="Serviço",BA$12&lt;&gt;0,$H398&gt;0,OR(AUTOEVENTO&lt;&gt;"manual",$M398&lt;&gt;1)),
IF(Import.TipoArredondamento&lt;&gt;"TransfereGOV",
ROUND(OFFSET($P398,0,BA$13),15-13*ORÇAMENTO!$AF$7)/$H398*OFFSET(ORÇAMENTO!$X$15,ROW(BA398)-ROW(BA$15),0),
ROUND(ROUND(OFFSET($P398,0,BA$13),15-13*ORÇAMENTO!$AF$7)*OFFSET(ORÇAMENTO!$W$15,ROW(BA398)-ROW(BA$15),0),15-13*ORÇAMENTO!$AF$11)),0)</f>
        <v>0</v>
      </c>
      <c r="BC398" s="181">
        <f ca="1">IF($D398&lt;&gt;"Serviço",0,IF(AND(AUTOEVENTO="Manual",$M398=1),0,IF(OFFSET(CRONOPLE!$F$14,$M398,BC$13)="",10^12,OFFSET(CRONOPLE!$F$14,$M398,BC$13))))</f>
        <v>10</v>
      </c>
      <c r="BD398" s="181">
        <f ca="1">IF($D398&lt;&gt;"Serviço",0,IF(AND(AUTOEVENTO="Manual",$M398=1),0,IF(OFFSET(CRONOPLE!$F$14,$M398,BD$13)="",10^12,OFFSET(CRONOPLE!$F$14,$M398,BD$13))))</f>
        <v>1000000000000</v>
      </c>
      <c r="BE398" s="181">
        <f ca="1">IF($D398&lt;&gt;"Serviço",0,IF(AND(AUTOEVENTO="Manual",$M398=1),0,IF(OFFSET(CRONOPLE!$F$14,$M398,BE$13)="",10^12,OFFSET(CRONOPLE!$F$14,$M398,BE$13))))</f>
        <v>1000000000000</v>
      </c>
      <c r="BF398" s="181">
        <f ca="1">IF($D398&lt;&gt;"Serviço",0,IF(AND(AUTOEVENTO="Manual",$M398=1),0,IF(OFFSET(CRONOPLE!$F$14,$M398,BF$13)="",10^12,OFFSET(CRONOPLE!$F$14,$M398,BF$13))))</f>
        <v>1000000000000</v>
      </c>
      <c r="BG398" s="181">
        <f ca="1">IF($D398&lt;&gt;"Serviço",0,IF(AND(AUTOEVENTO="Manual",$M398=1),0,IF(OFFSET(CRONOPLE!$F$14,$M398,BG$13)="",10^12,OFFSET(CRONOPLE!$F$14,$M398,BG$13))))</f>
        <v>1000000000000</v>
      </c>
      <c r="BH398" s="181">
        <f ca="1">IF($D398&lt;&gt;"Serviço",0,IF(AND(AUTOEVENTO="Manual",$M398=1),0,IF(OFFSET(CRONOPLE!$F$14,$M398,BH$13)="",10^12,OFFSET(CRONOPLE!$F$14,$M398,BH$13))))</f>
        <v>1000000000000</v>
      </c>
      <c r="BI398" s="181">
        <f ca="1">IF($D398&lt;&gt;"Serviço",0,IF(AND(AUTOEVENTO="Manual",$M398=1),0,IF(OFFSET(CRONOPLE!$F$14,$M398,BI$13)="",10^12,OFFSET(CRONOPLE!$F$14,$M398,BI$13))))</f>
        <v>1000000000000</v>
      </c>
      <c r="BJ398" s="181">
        <f ca="1">IF($D398&lt;&gt;"Serviço",0,IF(AND(AUTOEVENTO="Manual",$M398=1),0,IF(OFFSET(CRONOPLE!$F$14,$M398,BJ$13)="",10^12,OFFSET(CRONOPLE!$F$14,$M398,BJ$13))))</f>
        <v>1000000000000</v>
      </c>
      <c r="BK398" s="181">
        <f ca="1">IF($D398&lt;&gt;"Serviço",0,IF(AND(AUTOEVENTO="Manual",$M398=1),0,IF(OFFSET(CRONOPLE!$F$14,$M398,BK$13)="",10^12,OFFSET(CRONOPLE!$F$14,$M398,BK$13))))</f>
        <v>1000000000000</v>
      </c>
      <c r="BL398" s="181">
        <f ca="1">IF($D398&lt;&gt;"Serviço",0,IF(AND(AUTOEVENTO="Manual",$M398=1),0,IF(OFFSET(CRONOPLE!$F$14,$M398,BL$13)="",10^12,OFFSET(CRONOPLE!$F$14,$M398,BL$13))))</f>
        <v>1000000000000</v>
      </c>
      <c r="BM398" s="181">
        <f ca="1">IF($D398&lt;&gt;"Serviço",0,IF(AND(AUTOEVENTO="Manual",$M398=1),0,IF(OFFSET(CRONOPLE!$F$14,$M398,BM$13)="",10^12,OFFSET(CRONOPLE!$F$14,$M398,BM$13))))</f>
        <v>1000000000000</v>
      </c>
      <c r="BN398" s="181">
        <f ca="1">IF($D398&lt;&gt;"Serviço",0,IF(AND(AUTOEVENTO="Manual",$M398=1),0,IF(OFFSET(CRONOPLE!$F$14,$M398,BN$13)="",10^12,OFFSET(CRONOPLE!$F$14,$M398,BN$13))))</f>
        <v>1000000000000</v>
      </c>
      <c r="BO398" s="181">
        <f ca="1">IF($D398&lt;&gt;"Serviço",0,IF(AND(AUTOEVENTO="Manual",$M398=1),0,IF(OFFSET(CRONOPLE!$F$14,$M398,BO$13)="",10^12,OFFSET(CRONOPLE!$F$14,$M398,BO$13))))</f>
        <v>1000000000000</v>
      </c>
      <c r="BP398" s="181">
        <f ca="1">IF($D398&lt;&gt;"Serviço",0,IF(AND(AUTOEVENTO="Manual",$M398=1),0,IF(OFFSET(CRONOPLE!$F$14,$M398,BP$13)="",10^12,OFFSET(CRONOPLE!$F$14,$M398,BP$13))))</f>
        <v>1000000000000</v>
      </c>
      <c r="BQ398" s="181">
        <f ca="1">IF($D398&lt;&gt;"Serviço",0,IF(AND(AUTOEVENTO="Manual",$M398=1),0,IF(OFFSET(CRONOPLE!$F$14,$M398,BQ$13)="",10^12,OFFSET(CRONOPLE!$F$14,$M398,BQ$13))))</f>
        <v>1000000000000</v>
      </c>
      <c r="BR398" s="181">
        <f ca="1">IF($D398&lt;&gt;"Serviço",0,IF(AND(AUTOEVENTO="Manual",$M398=1),0,IF(OFFSET(CRONOPLE!$F$14,$M398,BR$13)="",10^12,OFFSET(CRONOPLE!$F$14,$M398,BR$13))))</f>
        <v>1000000000000</v>
      </c>
      <c r="BS398" s="181">
        <f ca="1">IF($D398&lt;&gt;"Serviço",0,IF(AND(AUTOEVENTO="Manual",$M398=1),0,IF(OFFSET(CRONOPLE!$F$14,$M398,BS$13)="",10^12,OFFSET(CRONOPLE!$F$14,$M398,BS$13))))</f>
        <v>1000000000000</v>
      </c>
      <c r="BT398" s="181">
        <f ca="1">IF($D398&lt;&gt;"Serviço",0,IF(AND(AUTOEVENTO="Manual",$M398=1),0,IF(OFFSET(CRONOPLE!$F$14,$M398,BT$13)="",10^12,OFFSET(CRONOPLE!$F$14,$M398,BT$13))))</f>
        <v>1000000000000</v>
      </c>
      <c r="BV398" s="182">
        <f ca="1">IF($D398&lt;&gt;"Serviço",0,IF(OR(AND(AUTOEVENTO="Manual",$M398=1),$M398&gt;(ROW(PLE.lastrow)-ROW(PLE.firstrow))),0,IF(OFFSET(PLE!$G$14,$M398,BV$13)="",10^12,OFFSET(PLE!$G$14,$M398,BV$13))))</f>
        <v>1000000000000</v>
      </c>
      <c r="BW398" s="182">
        <f ca="1">IF($D398&lt;&gt;"Serviço",0,IF(OR(AND(AUTOEVENTO="Manual",$M398=1),$M398&gt;(ROW(PLE.lastrow)-ROW(PLE.firstrow))),0,IF(OFFSET(PLE!$G$14,$M398,BW$13)="",10^12,OFFSET(PLE!$G$14,$M398,BW$13))))</f>
        <v>1000000000000</v>
      </c>
      <c r="BX398" s="182">
        <f ca="1">IF($D398&lt;&gt;"Serviço",0,IF(OR(AND(AUTOEVENTO="Manual",$M398=1),$M398&gt;(ROW(PLE.lastrow)-ROW(PLE.firstrow))),0,IF(OFFSET(PLE!$G$14,$M398,BX$13)="",10^12,OFFSET(PLE!$G$14,$M398,BX$13))))</f>
        <v>1000000000000</v>
      </c>
      <c r="BY398" s="182">
        <f ca="1">IF($D398&lt;&gt;"Serviço",0,IF(OR(AND(AUTOEVENTO="Manual",$M398=1),$M398&gt;(ROW(PLE.lastrow)-ROW(PLE.firstrow))),0,IF(OFFSET(PLE!$G$14,$M398,BY$13)="",10^12,OFFSET(PLE!$G$14,$M398,BY$13))))</f>
        <v>1000000000000</v>
      </c>
      <c r="BZ398" s="182">
        <f ca="1">IF($D398&lt;&gt;"Serviço",0,IF(OR(AND(AUTOEVENTO="Manual",$M398=1),$M398&gt;(ROW(PLE.lastrow)-ROW(PLE.firstrow))),0,IF(OFFSET(PLE!$G$14,$M398,BZ$13)="",10^12,OFFSET(PLE!$G$14,$M398,BZ$13))))</f>
        <v>1000000000000</v>
      </c>
      <c r="CA398" s="182">
        <f ca="1">IF($D398&lt;&gt;"Serviço",0,IF(OR(AND(AUTOEVENTO="Manual",$M398=1),$M398&gt;(ROW(PLE.lastrow)-ROW(PLE.firstrow))),0,IF(OFFSET(PLE!$G$14,$M398,CA$13)="",10^12,OFFSET(PLE!$G$14,$M398,CA$13))))</f>
        <v>1000000000000</v>
      </c>
      <c r="CB398" s="182">
        <f ca="1">IF($D398&lt;&gt;"Serviço",0,IF(OR(AND(AUTOEVENTO="Manual",$M398=1),$M398&gt;(ROW(PLE.lastrow)-ROW(PLE.firstrow))),0,IF(OFFSET(PLE!$G$14,$M398,CB$13)="",10^12,OFFSET(PLE!$G$14,$M398,CB$13))))</f>
        <v>1000000000000</v>
      </c>
      <c r="CC398" s="182">
        <f ca="1">IF($D398&lt;&gt;"Serviço",0,IF(OR(AND(AUTOEVENTO="Manual",$M398=1),$M398&gt;(ROW(PLE.lastrow)-ROW(PLE.firstrow))),0,IF(OFFSET(PLE!$G$14,$M398,CC$13)="",10^12,OFFSET(PLE!$G$14,$M398,CC$13))))</f>
        <v>1000000000000</v>
      </c>
      <c r="CD398" s="182">
        <f ca="1">IF($D398&lt;&gt;"Serviço",0,IF(OR(AND(AUTOEVENTO="Manual",$M398=1),$M398&gt;(ROW(PLE.lastrow)-ROW(PLE.firstrow))),0,IF(OFFSET(PLE!$G$14,$M398,CD$13)="",10^12,OFFSET(PLE!$G$14,$M398,CD$13))))</f>
        <v>1000000000000</v>
      </c>
      <c r="CE398" s="182">
        <f ca="1">IF($D398&lt;&gt;"Serviço",0,IF(OR(AND(AUTOEVENTO="Manual",$M398=1),$M398&gt;(ROW(PLE.lastrow)-ROW(PLE.firstrow))),0,IF(OFFSET(PLE!$G$14,$M398,CE$13)="",10^12,OFFSET(PLE!$G$14,$M398,CE$13))))</f>
        <v>1000000000000</v>
      </c>
      <c r="CF398" s="182">
        <f ca="1">IF($D398&lt;&gt;"Serviço",0,IF(OR(AND(AUTOEVENTO="Manual",$M398=1),$M398&gt;(ROW(PLE.lastrow)-ROW(PLE.firstrow))),0,IF(OFFSET(PLE!$G$14,$M398,CF$13)="",10^12,OFFSET(PLE!$G$14,$M398,CF$13))))</f>
        <v>1000000000000</v>
      </c>
      <c r="CG398" s="182">
        <f ca="1">IF($D398&lt;&gt;"Serviço",0,IF(OR(AND(AUTOEVENTO="Manual",$M398=1),$M398&gt;(ROW(PLE.lastrow)-ROW(PLE.firstrow))),0,IF(OFFSET(PLE!$G$14,$M398,CG$13)="",10^12,OFFSET(PLE!$G$14,$M398,CG$13))))</f>
        <v>1000000000000</v>
      </c>
      <c r="CH398" s="182">
        <f ca="1">IF($D398&lt;&gt;"Serviço",0,IF(OR(AND(AUTOEVENTO="Manual",$M398=1),$M398&gt;(ROW(PLE.lastrow)-ROW(PLE.firstrow))),0,IF(OFFSET(PLE!$G$14,$M398,CH$13)="",10^12,OFFSET(PLE!$G$14,$M398,CH$13))))</f>
        <v>1000000000000</v>
      </c>
      <c r="CI398" s="182">
        <f ca="1">IF($D398&lt;&gt;"Serviço",0,IF(OR(AND(AUTOEVENTO="Manual",$M398=1),$M398&gt;(ROW(PLE.lastrow)-ROW(PLE.firstrow))),0,IF(OFFSET(PLE!$G$14,$M398,CI$13)="",10^12,OFFSET(PLE!$G$14,$M398,CI$13))))</f>
        <v>1000000000000</v>
      </c>
      <c r="CJ398" s="182">
        <f ca="1">IF($D398&lt;&gt;"Serviço",0,IF(OR(AND(AUTOEVENTO="Manual",$M398=1),$M398&gt;(ROW(PLE.lastrow)-ROW(PLE.firstrow))),0,IF(OFFSET(PLE!$G$14,$M398,CJ$13)="",10^12,OFFSET(PLE!$G$14,$M398,CJ$13))))</f>
        <v>1000000000000</v>
      </c>
      <c r="CK398" s="182">
        <f ca="1">IF($D398&lt;&gt;"Serviço",0,IF(OR(AND(AUTOEVENTO="Manual",$M398=1),$M398&gt;(ROW(PLE.lastrow)-ROW(PLE.firstrow))),0,IF(OFFSET(PLE!$G$14,$M398,CK$13)="",10^12,OFFSET(PLE!$G$14,$M398,CK$13))))</f>
        <v>1000000000000</v>
      </c>
      <c r="CL398" s="182">
        <f ca="1">IF($D398&lt;&gt;"Serviço",0,IF(OR(AND(AUTOEVENTO="Manual",$M398=1),$M398&gt;(ROW(PLE.lastrow)-ROW(PLE.firstrow))),0,IF(OFFSET(PLE!$G$14,$M398,CL$13)="",10^12,OFFSET(PLE!$G$14,$M398,CL$13))))</f>
        <v>1000000000000</v>
      </c>
      <c r="CM398" s="182">
        <f ca="1">IF($D398&lt;&gt;"Serviço",0,IF(OR(AND(AUTOEVENTO="Manual",$M398=1),$M398&gt;(ROW(PLE.lastrow)-ROW(PLE.firstrow))),0,IF(OFFSET(PLE!$G$14,$M398,CM$13)="",10^12,OFFSET(PLE!$G$14,$M398,CM$13))))</f>
        <v>1000000000000</v>
      </c>
    </row>
    <row r="399" spans="1:91" ht="38.25" x14ac:dyDescent="0.2">
      <c r="A399" s="7" t="str">
        <f t="shared" ca="1" si="13"/>
        <v>350</v>
      </c>
      <c r="B399" s="7" t="str">
        <f ca="1">OFFSET(ORÇAMENTO!C$15,ROW(B399)-ROW(B$15),0)</f>
        <v>S</v>
      </c>
      <c r="C399" s="7" t="str">
        <f ca="1">OFFSET(ORÇAMENTO!L$15,ROW(C399)-ROW(C$15),0)</f>
        <v/>
      </c>
      <c r="D399" s="118" t="str">
        <f ca="1">OFFSET(ORÇAMENTO!N$15,ROW(D399)-ROW(D$15),0)</f>
        <v>Serviço</v>
      </c>
      <c r="E399" s="119" t="str">
        <f ca="1">OFFSET(ORÇAMENTO!O$15,ROW(E399)-ROW(E$15),0)</f>
        <v>-</v>
      </c>
      <c r="F399" s="172" t="str">
        <f ca="1">OFFSET(ORÇAMENTO!R$15,ROW(F399)-ROW(F$15),0)</f>
        <v>(abra o arquivo 'Referência 06-2024.xlsm)</v>
      </c>
      <c r="G399" s="173" t="str">
        <f ca="1">IF($D399&lt;&gt;"Serviço","",OFFSET(ORÇAMENTO!S$15,ROW(G399)-ROW(G$15),0))</f>
        <v>-</v>
      </c>
      <c r="H399" s="124">
        <f ca="1">IF($D399&lt;&gt;"Serviço",0,IF(ACOMPANHAMENTO="BM",ROUND(OFFSET(ORÇAMENTO!AJ$15,ROW(H399)-ROW(H$15),0),15-13*ORÇAMENTO!$AF$7),SUMPRODUCT(($Q$12:$AI$12&lt;&gt;"")*ROUND($Q399:$AI399,15-13*ORÇAMENTO!$AF$7))))</f>
        <v>6</v>
      </c>
      <c r="I399" s="561" t="s">
        <v>1107</v>
      </c>
      <c r="K399" s="174"/>
      <c r="L399" s="175" t="s">
        <v>255</v>
      </c>
      <c r="M399" s="176">
        <f ca="1">IF($D399&lt;&gt;"Serviço","",IF(AUTOEVENTO="manual",$A399,IF(ISERROR(MATCH($A399,$A$15:OFFSET($A399,-1,0),0)),MAX($M$15:OFFSET(M399,-1,0))+1,INDEX($M$15:OFFSET(M399,-1,0),MATCH($A399,$A$15:OFFSET($A399,-1,0),0)))))</f>
        <v>44</v>
      </c>
      <c r="N399" s="177" t="str">
        <f ca="1">IF($D399&lt;&gt;"Serviço","",IF(AUTOEVENTO="Manual",IF($A399=0,"&lt;-- defina o número do agrupador",OFFSET(EVENTOS!$D$14,$A399,0)),OFFSET($F$15,$A399,0)))</f>
        <v>LOUÇAS, ACESSÓRIOS E METAIS</v>
      </c>
      <c r="O399" s="178"/>
      <c r="Q399" s="178">
        <v>6</v>
      </c>
      <c r="R399" s="179"/>
      <c r="S399" s="179"/>
      <c r="T399" s="179"/>
      <c r="U399" s="179"/>
      <c r="V399" s="179"/>
      <c r="W399" s="179"/>
      <c r="X399" s="179"/>
      <c r="Y399" s="179"/>
      <c r="Z399" s="180"/>
      <c r="AA399" s="179"/>
      <c r="AB399" s="179"/>
      <c r="AC399" s="179"/>
      <c r="AD399" s="179"/>
      <c r="AE399" s="179"/>
      <c r="AF399" s="179"/>
      <c r="AG399" s="179"/>
      <c r="AH399" s="180"/>
      <c r="AJ399" s="544">
        <f ca="1">IF(AND($D399="Serviço",AJ$12&lt;&gt;0,$H399&gt;0,OR(AUTOEVENTO&lt;&gt;"manual",$M399&lt;&gt;1)),
IF(Import.TipoArredondamento&lt;&gt;"TransfereGOV",
ROUND(OFFSET($P399,0,AJ$13),15-13*ORÇAMENTO!$AF$7)/$H399*OFFSET(ORÇAMENTO!$X$15,ROW(AJ399)-ROW(AJ$15),0),
ROUND(ROUND(OFFSET($P399,0,AJ$13),15-13*ORÇAMENTO!$AF$7)*OFFSET(ORÇAMENTO!$W$15,ROW(AJ399)-ROW(AJ$15),0),15-13*ORÇAMENTO!$AF$11)),0)</f>
        <v>0</v>
      </c>
      <c r="AK399" s="545">
        <f ca="1">IF(AND($D399="Serviço",AK$12&lt;&gt;0,$H399&gt;0,OR(AUTOEVENTO&lt;&gt;"manual",$M399&lt;&gt;1)),
IF(Import.TipoArredondamento&lt;&gt;"TransfereGOV",
ROUND(OFFSET($P399,0,AK$13),15-13*ORÇAMENTO!$AF$7)/$H399*OFFSET(ORÇAMENTO!$X$15,ROW(AK399)-ROW(AK$15),0),
ROUND(ROUND(OFFSET($P399,0,AK$13),15-13*ORÇAMENTO!$AF$7)*OFFSET(ORÇAMENTO!$W$15,ROW(AK399)-ROW(AK$15),0),15-13*ORÇAMENTO!$AF$11)),0)</f>
        <v>0</v>
      </c>
      <c r="AL399" s="545">
        <f ca="1">IF(AND($D399="Serviço",AL$12&lt;&gt;0,$H399&gt;0,OR(AUTOEVENTO&lt;&gt;"manual",$M399&lt;&gt;1)),
IF(Import.TipoArredondamento&lt;&gt;"TransfereGOV",
ROUND(OFFSET($P399,0,AL$13),15-13*ORÇAMENTO!$AF$7)/$H399*OFFSET(ORÇAMENTO!$X$15,ROW(AL399)-ROW(AL$15),0),
ROUND(ROUND(OFFSET($P399,0,AL$13),15-13*ORÇAMENTO!$AF$7)*OFFSET(ORÇAMENTO!$W$15,ROW(AL399)-ROW(AL$15),0),15-13*ORÇAMENTO!$AF$11)),0)</f>
        <v>0</v>
      </c>
      <c r="AM399" s="545">
        <f ca="1">IF(AND($D399="Serviço",AM$12&lt;&gt;0,$H399&gt;0,OR(AUTOEVENTO&lt;&gt;"manual",$M399&lt;&gt;1)),
IF(Import.TipoArredondamento&lt;&gt;"TransfereGOV",
ROUND(OFFSET($P399,0,AM$13),15-13*ORÇAMENTO!$AF$7)/$H399*OFFSET(ORÇAMENTO!$X$15,ROW(AM399)-ROW(AM$15),0),
ROUND(ROUND(OFFSET($P399,0,AM$13),15-13*ORÇAMENTO!$AF$7)*OFFSET(ORÇAMENTO!$W$15,ROW(AM399)-ROW(AM$15),0),15-13*ORÇAMENTO!$AF$11)),0)</f>
        <v>0</v>
      </c>
      <c r="AN399" s="545">
        <f ca="1">IF(AND($D399="Serviço",AN$12&lt;&gt;0,$H399&gt;0,OR(AUTOEVENTO&lt;&gt;"manual",$M399&lt;&gt;1)),
IF(Import.TipoArredondamento&lt;&gt;"TransfereGOV",
ROUND(OFFSET($P399,0,AN$13),15-13*ORÇAMENTO!$AF$7)/$H399*OFFSET(ORÇAMENTO!$X$15,ROW(AN399)-ROW(AN$15),0),
ROUND(ROUND(OFFSET($P399,0,AN$13),15-13*ORÇAMENTO!$AF$7)*OFFSET(ORÇAMENTO!$W$15,ROW(AN399)-ROW(AN$15),0),15-13*ORÇAMENTO!$AF$11)),0)</f>
        <v>0</v>
      </c>
      <c r="AO399" s="545">
        <f ca="1">IF(AND($D399="Serviço",AO$12&lt;&gt;0,$H399&gt;0,OR(AUTOEVENTO&lt;&gt;"manual",$M399&lt;&gt;1)),
IF(Import.TipoArredondamento&lt;&gt;"TransfereGOV",
ROUND(OFFSET($P399,0,AO$13),15-13*ORÇAMENTO!$AF$7)/$H399*OFFSET(ORÇAMENTO!$X$15,ROW(AO399)-ROW(AO$15),0),
ROUND(ROUND(OFFSET($P399,0,AO$13),15-13*ORÇAMENTO!$AF$7)*OFFSET(ORÇAMENTO!$W$15,ROW(AO399)-ROW(AO$15),0),15-13*ORÇAMENTO!$AF$11)),0)</f>
        <v>0</v>
      </c>
      <c r="AP399" s="545">
        <f ca="1">IF(AND($D399="Serviço",AP$12&lt;&gt;0,$H399&gt;0,OR(AUTOEVENTO&lt;&gt;"manual",$M399&lt;&gt;1)),
IF(Import.TipoArredondamento&lt;&gt;"TransfereGOV",
ROUND(OFFSET($P399,0,AP$13),15-13*ORÇAMENTO!$AF$7)/$H399*OFFSET(ORÇAMENTO!$X$15,ROW(AP399)-ROW(AP$15),0),
ROUND(ROUND(OFFSET($P399,0,AP$13),15-13*ORÇAMENTO!$AF$7)*OFFSET(ORÇAMENTO!$W$15,ROW(AP399)-ROW(AP$15),0),15-13*ORÇAMENTO!$AF$11)),0)</f>
        <v>0</v>
      </c>
      <c r="AQ399" s="545">
        <f ca="1">IF(AND($D399="Serviço",AQ$12&lt;&gt;0,$H399&gt;0,OR(AUTOEVENTO&lt;&gt;"manual",$M399&lt;&gt;1)),
IF(Import.TipoArredondamento&lt;&gt;"TransfereGOV",
ROUND(OFFSET($P399,0,AQ$13),15-13*ORÇAMENTO!$AF$7)/$H399*OFFSET(ORÇAMENTO!$X$15,ROW(AQ399)-ROW(AQ$15),0),
ROUND(ROUND(OFFSET($P399,0,AQ$13),15-13*ORÇAMENTO!$AF$7)*OFFSET(ORÇAMENTO!$W$15,ROW(AQ399)-ROW(AQ$15),0),15-13*ORÇAMENTO!$AF$11)),0)</f>
        <v>0</v>
      </c>
      <c r="AR399" s="545">
        <f ca="1">IF(AND($D399="Serviço",AR$12&lt;&gt;0,$H399&gt;0,OR(AUTOEVENTO&lt;&gt;"manual",$M399&lt;&gt;1)),
IF(Import.TipoArredondamento&lt;&gt;"TransfereGOV",
ROUND(OFFSET($P399,0,AR$13),15-13*ORÇAMENTO!$AF$7)/$H399*OFFSET(ORÇAMENTO!$X$15,ROW(AR399)-ROW(AR$15),0),
ROUND(ROUND(OFFSET($P399,0,AR$13),15-13*ORÇAMENTO!$AF$7)*OFFSET(ORÇAMENTO!$W$15,ROW(AR399)-ROW(AR$15),0),15-13*ORÇAMENTO!$AF$11)),0)</f>
        <v>0</v>
      </c>
      <c r="AS399" s="546">
        <f ca="1">IF(AND($D399="Serviço",AS$12&lt;&gt;0,$H399&gt;0,OR(AUTOEVENTO&lt;&gt;"manual",$M399&lt;&gt;1)),
IF(Import.TipoArredondamento&lt;&gt;"TransfereGOV",
ROUND(OFFSET($P399,0,AS$13),15-13*ORÇAMENTO!$AF$7)/$H399*OFFSET(ORÇAMENTO!$X$15,ROW(AS399)-ROW(AS$15),0),
ROUND(ROUND(OFFSET($P399,0,AS$13),15-13*ORÇAMENTO!$AF$7)*OFFSET(ORÇAMENTO!$W$15,ROW(AS399)-ROW(AS$15),0),15-13*ORÇAMENTO!$AF$11)),0)</f>
        <v>0</v>
      </c>
      <c r="AT399" s="545">
        <f ca="1">IF(AND($D399="Serviço",AT$12&lt;&gt;0,$H399&gt;0,OR(AUTOEVENTO&lt;&gt;"manual",$M399&lt;&gt;1)),
IF(Import.TipoArredondamento&lt;&gt;"TransfereGOV",
ROUND(OFFSET($P399,0,AT$13),15-13*ORÇAMENTO!$AF$7)/$H399*OFFSET(ORÇAMENTO!$X$15,ROW(AT399)-ROW(AT$15),0),
ROUND(ROUND(OFFSET($P399,0,AT$13),15-13*ORÇAMENTO!$AF$7)*OFFSET(ORÇAMENTO!$W$15,ROW(AT399)-ROW(AT$15),0),15-13*ORÇAMENTO!$AF$11)),0)</f>
        <v>0</v>
      </c>
      <c r="AU399" s="545">
        <f ca="1">IF(AND($D399="Serviço",AU$12&lt;&gt;0,$H399&gt;0,OR(AUTOEVENTO&lt;&gt;"manual",$M399&lt;&gt;1)),
IF(Import.TipoArredondamento&lt;&gt;"TransfereGOV",
ROUND(OFFSET($P399,0,AU$13),15-13*ORÇAMENTO!$AF$7)/$H399*OFFSET(ORÇAMENTO!$X$15,ROW(AU399)-ROW(AU$15),0),
ROUND(ROUND(OFFSET($P399,0,AU$13),15-13*ORÇAMENTO!$AF$7)*OFFSET(ORÇAMENTO!$W$15,ROW(AU399)-ROW(AU$15),0),15-13*ORÇAMENTO!$AF$11)),0)</f>
        <v>0</v>
      </c>
      <c r="AV399" s="545">
        <f ca="1">IF(AND($D399="Serviço",AV$12&lt;&gt;0,$H399&gt;0,OR(AUTOEVENTO&lt;&gt;"manual",$M399&lt;&gt;1)),
IF(Import.TipoArredondamento&lt;&gt;"TransfereGOV",
ROUND(OFFSET($P399,0,AV$13),15-13*ORÇAMENTO!$AF$7)/$H399*OFFSET(ORÇAMENTO!$X$15,ROW(AV399)-ROW(AV$15),0),
ROUND(ROUND(OFFSET($P399,0,AV$13),15-13*ORÇAMENTO!$AF$7)*OFFSET(ORÇAMENTO!$W$15,ROW(AV399)-ROW(AV$15),0),15-13*ORÇAMENTO!$AF$11)),0)</f>
        <v>0</v>
      </c>
      <c r="AW399" s="545">
        <f ca="1">IF(AND($D399="Serviço",AW$12&lt;&gt;0,$H399&gt;0,OR(AUTOEVENTO&lt;&gt;"manual",$M399&lt;&gt;1)),
IF(Import.TipoArredondamento&lt;&gt;"TransfereGOV",
ROUND(OFFSET($P399,0,AW$13),15-13*ORÇAMENTO!$AF$7)/$H399*OFFSET(ORÇAMENTO!$X$15,ROW(AW399)-ROW(AW$15),0),
ROUND(ROUND(OFFSET($P399,0,AW$13),15-13*ORÇAMENTO!$AF$7)*OFFSET(ORÇAMENTO!$W$15,ROW(AW399)-ROW(AW$15),0),15-13*ORÇAMENTO!$AF$11)),0)</f>
        <v>0</v>
      </c>
      <c r="AX399" s="545">
        <f ca="1">IF(AND($D399="Serviço",AX$12&lt;&gt;0,$H399&gt;0,OR(AUTOEVENTO&lt;&gt;"manual",$M399&lt;&gt;1)),
IF(Import.TipoArredondamento&lt;&gt;"TransfereGOV",
ROUND(OFFSET($P399,0,AX$13),15-13*ORÇAMENTO!$AF$7)/$H399*OFFSET(ORÇAMENTO!$X$15,ROW(AX399)-ROW(AX$15),0),
ROUND(ROUND(OFFSET($P399,0,AX$13),15-13*ORÇAMENTO!$AF$7)*OFFSET(ORÇAMENTO!$W$15,ROW(AX399)-ROW(AX$15),0),15-13*ORÇAMENTO!$AF$11)),0)</f>
        <v>0</v>
      </c>
      <c r="AY399" s="545">
        <f ca="1">IF(AND($D399="Serviço",AY$12&lt;&gt;0,$H399&gt;0,OR(AUTOEVENTO&lt;&gt;"manual",$M399&lt;&gt;1)),
IF(Import.TipoArredondamento&lt;&gt;"TransfereGOV",
ROUND(OFFSET($P399,0,AY$13),15-13*ORÇAMENTO!$AF$7)/$H399*OFFSET(ORÇAMENTO!$X$15,ROW(AY399)-ROW(AY$15),0),
ROUND(ROUND(OFFSET($P399,0,AY$13),15-13*ORÇAMENTO!$AF$7)*OFFSET(ORÇAMENTO!$W$15,ROW(AY399)-ROW(AY$15),0),15-13*ORÇAMENTO!$AF$11)),0)</f>
        <v>0</v>
      </c>
      <c r="AZ399" s="545">
        <f ca="1">IF(AND($D399="Serviço",AZ$12&lt;&gt;0,$H399&gt;0,OR(AUTOEVENTO&lt;&gt;"manual",$M399&lt;&gt;1)),
IF(Import.TipoArredondamento&lt;&gt;"TransfereGOV",
ROUND(OFFSET($P399,0,AZ$13),15-13*ORÇAMENTO!$AF$7)/$H399*OFFSET(ORÇAMENTO!$X$15,ROW(AZ399)-ROW(AZ$15),0),
ROUND(ROUND(OFFSET($P399,0,AZ$13),15-13*ORÇAMENTO!$AF$7)*OFFSET(ORÇAMENTO!$W$15,ROW(AZ399)-ROW(AZ$15),0),15-13*ORÇAMENTO!$AF$11)),0)</f>
        <v>0</v>
      </c>
      <c r="BA399" s="546">
        <f ca="1">IF(AND($D399="Serviço",BA$12&lt;&gt;0,$H399&gt;0,OR(AUTOEVENTO&lt;&gt;"manual",$M399&lt;&gt;1)),
IF(Import.TipoArredondamento&lt;&gt;"TransfereGOV",
ROUND(OFFSET($P399,0,BA$13),15-13*ORÇAMENTO!$AF$7)/$H399*OFFSET(ORÇAMENTO!$X$15,ROW(BA399)-ROW(BA$15),0),
ROUND(ROUND(OFFSET($P399,0,BA$13),15-13*ORÇAMENTO!$AF$7)*OFFSET(ORÇAMENTO!$W$15,ROW(BA399)-ROW(BA$15),0),15-13*ORÇAMENTO!$AF$11)),0)</f>
        <v>0</v>
      </c>
      <c r="BC399" s="181">
        <f ca="1">IF($D399&lt;&gt;"Serviço",0,IF(AND(AUTOEVENTO="Manual",$M399=1),0,IF(OFFSET(CRONOPLE!$F$14,$M399,BC$13)="",10^12,OFFSET(CRONOPLE!$F$14,$M399,BC$13))))</f>
        <v>10</v>
      </c>
      <c r="BD399" s="181">
        <f ca="1">IF($D399&lt;&gt;"Serviço",0,IF(AND(AUTOEVENTO="Manual",$M399=1),0,IF(OFFSET(CRONOPLE!$F$14,$M399,BD$13)="",10^12,OFFSET(CRONOPLE!$F$14,$M399,BD$13))))</f>
        <v>1000000000000</v>
      </c>
      <c r="BE399" s="181">
        <f ca="1">IF($D399&lt;&gt;"Serviço",0,IF(AND(AUTOEVENTO="Manual",$M399=1),0,IF(OFFSET(CRONOPLE!$F$14,$M399,BE$13)="",10^12,OFFSET(CRONOPLE!$F$14,$M399,BE$13))))</f>
        <v>1000000000000</v>
      </c>
      <c r="BF399" s="181">
        <f ca="1">IF($D399&lt;&gt;"Serviço",0,IF(AND(AUTOEVENTO="Manual",$M399=1),0,IF(OFFSET(CRONOPLE!$F$14,$M399,BF$13)="",10^12,OFFSET(CRONOPLE!$F$14,$M399,BF$13))))</f>
        <v>1000000000000</v>
      </c>
      <c r="BG399" s="181">
        <f ca="1">IF($D399&lt;&gt;"Serviço",0,IF(AND(AUTOEVENTO="Manual",$M399=1),0,IF(OFFSET(CRONOPLE!$F$14,$M399,BG$13)="",10^12,OFFSET(CRONOPLE!$F$14,$M399,BG$13))))</f>
        <v>1000000000000</v>
      </c>
      <c r="BH399" s="181">
        <f ca="1">IF($D399&lt;&gt;"Serviço",0,IF(AND(AUTOEVENTO="Manual",$M399=1),0,IF(OFFSET(CRONOPLE!$F$14,$M399,BH$13)="",10^12,OFFSET(CRONOPLE!$F$14,$M399,BH$13))))</f>
        <v>1000000000000</v>
      </c>
      <c r="BI399" s="181">
        <f ca="1">IF($D399&lt;&gt;"Serviço",0,IF(AND(AUTOEVENTO="Manual",$M399=1),0,IF(OFFSET(CRONOPLE!$F$14,$M399,BI$13)="",10^12,OFFSET(CRONOPLE!$F$14,$M399,BI$13))))</f>
        <v>1000000000000</v>
      </c>
      <c r="BJ399" s="181">
        <f ca="1">IF($D399&lt;&gt;"Serviço",0,IF(AND(AUTOEVENTO="Manual",$M399=1),0,IF(OFFSET(CRONOPLE!$F$14,$M399,BJ$13)="",10^12,OFFSET(CRONOPLE!$F$14,$M399,BJ$13))))</f>
        <v>1000000000000</v>
      </c>
      <c r="BK399" s="181">
        <f ca="1">IF($D399&lt;&gt;"Serviço",0,IF(AND(AUTOEVENTO="Manual",$M399=1),0,IF(OFFSET(CRONOPLE!$F$14,$M399,BK$13)="",10^12,OFFSET(CRONOPLE!$F$14,$M399,BK$13))))</f>
        <v>1000000000000</v>
      </c>
      <c r="BL399" s="181">
        <f ca="1">IF($D399&lt;&gt;"Serviço",0,IF(AND(AUTOEVENTO="Manual",$M399=1),0,IF(OFFSET(CRONOPLE!$F$14,$M399,BL$13)="",10^12,OFFSET(CRONOPLE!$F$14,$M399,BL$13))))</f>
        <v>1000000000000</v>
      </c>
      <c r="BM399" s="181">
        <f ca="1">IF($D399&lt;&gt;"Serviço",0,IF(AND(AUTOEVENTO="Manual",$M399=1),0,IF(OFFSET(CRONOPLE!$F$14,$M399,BM$13)="",10^12,OFFSET(CRONOPLE!$F$14,$M399,BM$13))))</f>
        <v>1000000000000</v>
      </c>
      <c r="BN399" s="181">
        <f ca="1">IF($D399&lt;&gt;"Serviço",0,IF(AND(AUTOEVENTO="Manual",$M399=1),0,IF(OFFSET(CRONOPLE!$F$14,$M399,BN$13)="",10^12,OFFSET(CRONOPLE!$F$14,$M399,BN$13))))</f>
        <v>1000000000000</v>
      </c>
      <c r="BO399" s="181">
        <f ca="1">IF($D399&lt;&gt;"Serviço",0,IF(AND(AUTOEVENTO="Manual",$M399=1),0,IF(OFFSET(CRONOPLE!$F$14,$M399,BO$13)="",10^12,OFFSET(CRONOPLE!$F$14,$M399,BO$13))))</f>
        <v>1000000000000</v>
      </c>
      <c r="BP399" s="181">
        <f ca="1">IF($D399&lt;&gt;"Serviço",0,IF(AND(AUTOEVENTO="Manual",$M399=1),0,IF(OFFSET(CRONOPLE!$F$14,$M399,BP$13)="",10^12,OFFSET(CRONOPLE!$F$14,$M399,BP$13))))</f>
        <v>1000000000000</v>
      </c>
      <c r="BQ399" s="181">
        <f ca="1">IF($D399&lt;&gt;"Serviço",0,IF(AND(AUTOEVENTO="Manual",$M399=1),0,IF(OFFSET(CRONOPLE!$F$14,$M399,BQ$13)="",10^12,OFFSET(CRONOPLE!$F$14,$M399,BQ$13))))</f>
        <v>1000000000000</v>
      </c>
      <c r="BR399" s="181">
        <f ca="1">IF($D399&lt;&gt;"Serviço",0,IF(AND(AUTOEVENTO="Manual",$M399=1),0,IF(OFFSET(CRONOPLE!$F$14,$M399,BR$13)="",10^12,OFFSET(CRONOPLE!$F$14,$M399,BR$13))))</f>
        <v>1000000000000</v>
      </c>
      <c r="BS399" s="181">
        <f ca="1">IF($D399&lt;&gt;"Serviço",0,IF(AND(AUTOEVENTO="Manual",$M399=1),0,IF(OFFSET(CRONOPLE!$F$14,$M399,BS$13)="",10^12,OFFSET(CRONOPLE!$F$14,$M399,BS$13))))</f>
        <v>1000000000000</v>
      </c>
      <c r="BT399" s="181">
        <f ca="1">IF($D399&lt;&gt;"Serviço",0,IF(AND(AUTOEVENTO="Manual",$M399=1),0,IF(OFFSET(CRONOPLE!$F$14,$M399,BT$13)="",10^12,OFFSET(CRONOPLE!$F$14,$M399,BT$13))))</f>
        <v>1000000000000</v>
      </c>
      <c r="BV399" s="182">
        <f ca="1">IF($D399&lt;&gt;"Serviço",0,IF(OR(AND(AUTOEVENTO="Manual",$M399=1),$M399&gt;(ROW(PLE.lastrow)-ROW(PLE.firstrow))),0,IF(OFFSET(PLE!$G$14,$M399,BV$13)="",10^12,OFFSET(PLE!$G$14,$M399,BV$13))))</f>
        <v>1000000000000</v>
      </c>
      <c r="BW399" s="182">
        <f ca="1">IF($D399&lt;&gt;"Serviço",0,IF(OR(AND(AUTOEVENTO="Manual",$M399=1),$M399&gt;(ROW(PLE.lastrow)-ROW(PLE.firstrow))),0,IF(OFFSET(PLE!$G$14,$M399,BW$13)="",10^12,OFFSET(PLE!$G$14,$M399,BW$13))))</f>
        <v>1000000000000</v>
      </c>
      <c r="BX399" s="182">
        <f ca="1">IF($D399&lt;&gt;"Serviço",0,IF(OR(AND(AUTOEVENTO="Manual",$M399=1),$M399&gt;(ROW(PLE.lastrow)-ROW(PLE.firstrow))),0,IF(OFFSET(PLE!$G$14,$M399,BX$13)="",10^12,OFFSET(PLE!$G$14,$M399,BX$13))))</f>
        <v>1000000000000</v>
      </c>
      <c r="BY399" s="182">
        <f ca="1">IF($D399&lt;&gt;"Serviço",0,IF(OR(AND(AUTOEVENTO="Manual",$M399=1),$M399&gt;(ROW(PLE.lastrow)-ROW(PLE.firstrow))),0,IF(OFFSET(PLE!$G$14,$M399,BY$13)="",10^12,OFFSET(PLE!$G$14,$M399,BY$13))))</f>
        <v>1000000000000</v>
      </c>
      <c r="BZ399" s="182">
        <f ca="1">IF($D399&lt;&gt;"Serviço",0,IF(OR(AND(AUTOEVENTO="Manual",$M399=1),$M399&gt;(ROW(PLE.lastrow)-ROW(PLE.firstrow))),0,IF(OFFSET(PLE!$G$14,$M399,BZ$13)="",10^12,OFFSET(PLE!$G$14,$M399,BZ$13))))</f>
        <v>1000000000000</v>
      </c>
      <c r="CA399" s="182">
        <f ca="1">IF($D399&lt;&gt;"Serviço",0,IF(OR(AND(AUTOEVENTO="Manual",$M399=1),$M399&gt;(ROW(PLE.lastrow)-ROW(PLE.firstrow))),0,IF(OFFSET(PLE!$G$14,$M399,CA$13)="",10^12,OFFSET(PLE!$G$14,$M399,CA$13))))</f>
        <v>1000000000000</v>
      </c>
      <c r="CB399" s="182">
        <f ca="1">IF($D399&lt;&gt;"Serviço",0,IF(OR(AND(AUTOEVENTO="Manual",$M399=1),$M399&gt;(ROW(PLE.lastrow)-ROW(PLE.firstrow))),0,IF(OFFSET(PLE!$G$14,$M399,CB$13)="",10^12,OFFSET(PLE!$G$14,$M399,CB$13))))</f>
        <v>1000000000000</v>
      </c>
      <c r="CC399" s="182">
        <f ca="1">IF($D399&lt;&gt;"Serviço",0,IF(OR(AND(AUTOEVENTO="Manual",$M399=1),$M399&gt;(ROW(PLE.lastrow)-ROW(PLE.firstrow))),0,IF(OFFSET(PLE!$G$14,$M399,CC$13)="",10^12,OFFSET(PLE!$G$14,$M399,CC$13))))</f>
        <v>1000000000000</v>
      </c>
      <c r="CD399" s="182">
        <f ca="1">IF($D399&lt;&gt;"Serviço",0,IF(OR(AND(AUTOEVENTO="Manual",$M399=1),$M399&gt;(ROW(PLE.lastrow)-ROW(PLE.firstrow))),0,IF(OFFSET(PLE!$G$14,$M399,CD$13)="",10^12,OFFSET(PLE!$G$14,$M399,CD$13))))</f>
        <v>1000000000000</v>
      </c>
      <c r="CE399" s="182">
        <f ca="1">IF($D399&lt;&gt;"Serviço",0,IF(OR(AND(AUTOEVENTO="Manual",$M399=1),$M399&gt;(ROW(PLE.lastrow)-ROW(PLE.firstrow))),0,IF(OFFSET(PLE!$G$14,$M399,CE$13)="",10^12,OFFSET(PLE!$G$14,$M399,CE$13))))</f>
        <v>1000000000000</v>
      </c>
      <c r="CF399" s="182">
        <f ca="1">IF($D399&lt;&gt;"Serviço",0,IF(OR(AND(AUTOEVENTO="Manual",$M399=1),$M399&gt;(ROW(PLE.lastrow)-ROW(PLE.firstrow))),0,IF(OFFSET(PLE!$G$14,$M399,CF$13)="",10^12,OFFSET(PLE!$G$14,$M399,CF$13))))</f>
        <v>1000000000000</v>
      </c>
      <c r="CG399" s="182">
        <f ca="1">IF($D399&lt;&gt;"Serviço",0,IF(OR(AND(AUTOEVENTO="Manual",$M399=1),$M399&gt;(ROW(PLE.lastrow)-ROW(PLE.firstrow))),0,IF(OFFSET(PLE!$G$14,$M399,CG$13)="",10^12,OFFSET(PLE!$G$14,$M399,CG$13))))</f>
        <v>1000000000000</v>
      </c>
      <c r="CH399" s="182">
        <f ca="1">IF($D399&lt;&gt;"Serviço",0,IF(OR(AND(AUTOEVENTO="Manual",$M399=1),$M399&gt;(ROW(PLE.lastrow)-ROW(PLE.firstrow))),0,IF(OFFSET(PLE!$G$14,$M399,CH$13)="",10^12,OFFSET(PLE!$G$14,$M399,CH$13))))</f>
        <v>1000000000000</v>
      </c>
      <c r="CI399" s="182">
        <f ca="1">IF($D399&lt;&gt;"Serviço",0,IF(OR(AND(AUTOEVENTO="Manual",$M399=1),$M399&gt;(ROW(PLE.lastrow)-ROW(PLE.firstrow))),0,IF(OFFSET(PLE!$G$14,$M399,CI$13)="",10^12,OFFSET(PLE!$G$14,$M399,CI$13))))</f>
        <v>1000000000000</v>
      </c>
      <c r="CJ399" s="182">
        <f ca="1">IF($D399&lt;&gt;"Serviço",0,IF(OR(AND(AUTOEVENTO="Manual",$M399=1),$M399&gt;(ROW(PLE.lastrow)-ROW(PLE.firstrow))),0,IF(OFFSET(PLE!$G$14,$M399,CJ$13)="",10^12,OFFSET(PLE!$G$14,$M399,CJ$13))))</f>
        <v>1000000000000</v>
      </c>
      <c r="CK399" s="182">
        <f ca="1">IF($D399&lt;&gt;"Serviço",0,IF(OR(AND(AUTOEVENTO="Manual",$M399=1),$M399&gt;(ROW(PLE.lastrow)-ROW(PLE.firstrow))),0,IF(OFFSET(PLE!$G$14,$M399,CK$13)="",10^12,OFFSET(PLE!$G$14,$M399,CK$13))))</f>
        <v>1000000000000</v>
      </c>
      <c r="CL399" s="182">
        <f ca="1">IF($D399&lt;&gt;"Serviço",0,IF(OR(AND(AUTOEVENTO="Manual",$M399=1),$M399&gt;(ROW(PLE.lastrow)-ROW(PLE.firstrow))),0,IF(OFFSET(PLE!$G$14,$M399,CL$13)="",10^12,OFFSET(PLE!$G$14,$M399,CL$13))))</f>
        <v>1000000000000</v>
      </c>
      <c r="CM399" s="182">
        <f ca="1">IF($D399&lt;&gt;"Serviço",0,IF(OR(AND(AUTOEVENTO="Manual",$M399=1),$M399&gt;(ROW(PLE.lastrow)-ROW(PLE.firstrow))),0,IF(OFFSET(PLE!$G$14,$M399,CM$13)="",10^12,OFFSET(PLE!$G$14,$M399,CM$13))))</f>
        <v>1000000000000</v>
      </c>
    </row>
    <row r="400" spans="1:91" ht="25.5" x14ac:dyDescent="0.2">
      <c r="A400" s="7" t="str">
        <f t="shared" ca="1" si="13"/>
        <v>350</v>
      </c>
      <c r="B400" s="7" t="str">
        <f ca="1">OFFSET(ORÇAMENTO!C$15,ROW(B400)-ROW(B$15),0)</f>
        <v>S</v>
      </c>
      <c r="C400" s="7" t="str">
        <f ca="1">OFFSET(ORÇAMENTO!L$15,ROW(C400)-ROW(C$15),0)</f>
        <v/>
      </c>
      <c r="D400" s="118" t="str">
        <f ca="1">OFFSET(ORÇAMENTO!N$15,ROW(D400)-ROW(D$15),0)</f>
        <v>Serviço</v>
      </c>
      <c r="E400" s="119" t="str">
        <f ca="1">OFFSET(ORÇAMENTO!O$15,ROW(E400)-ROW(E$15),0)</f>
        <v>-</v>
      </c>
      <c r="F400" s="172" t="str">
        <f ca="1">OFFSET(ORÇAMENTO!R$15,ROW(F400)-ROW(F$15),0)</f>
        <v>(abra o arquivo 'Referência 06-2024.xlsm)</v>
      </c>
      <c r="G400" s="173" t="str">
        <f ca="1">IF($D400&lt;&gt;"Serviço","",OFFSET(ORÇAMENTO!S$15,ROW(G400)-ROW(G$15),0))</f>
        <v>-</v>
      </c>
      <c r="H400" s="124">
        <f ca="1">IF($D400&lt;&gt;"Serviço",0,IF(ACOMPANHAMENTO="BM",ROUND(OFFSET(ORÇAMENTO!AJ$15,ROW(H400)-ROW(H$15),0),15-13*ORÇAMENTO!$AF$7),SUMPRODUCT(($Q$12:$AI$12&lt;&gt;"")*ROUND($Q400:$AI400,15-13*ORÇAMENTO!$AF$7))))</f>
        <v>24</v>
      </c>
      <c r="I400" s="561" t="s">
        <v>1107</v>
      </c>
      <c r="K400" s="174"/>
      <c r="L400" s="175" t="s">
        <v>255</v>
      </c>
      <c r="M400" s="176">
        <f ca="1">IF($D400&lt;&gt;"Serviço","",IF(AUTOEVENTO="manual",$A400,IF(ISERROR(MATCH($A400,$A$15:OFFSET($A400,-1,0),0)),MAX($M$15:OFFSET(M400,-1,0))+1,INDEX($M$15:OFFSET(M400,-1,0),MATCH($A400,$A$15:OFFSET($A400,-1,0),0)))))</f>
        <v>44</v>
      </c>
      <c r="N400" s="177" t="str">
        <f ca="1">IF($D400&lt;&gt;"Serviço","",IF(AUTOEVENTO="Manual",IF($A400=0,"&lt;-- defina o número do agrupador",OFFSET(EVENTOS!$D$14,$A400,0)),OFFSET($F$15,$A400,0)))</f>
        <v>LOUÇAS, ACESSÓRIOS E METAIS</v>
      </c>
      <c r="O400" s="178"/>
      <c r="Q400" s="178">
        <v>24</v>
      </c>
      <c r="R400" s="179"/>
      <c r="S400" s="179"/>
      <c r="T400" s="179"/>
      <c r="U400" s="179"/>
      <c r="V400" s="179"/>
      <c r="W400" s="179"/>
      <c r="X400" s="179"/>
      <c r="Y400" s="179"/>
      <c r="Z400" s="180"/>
      <c r="AA400" s="179"/>
      <c r="AB400" s="179"/>
      <c r="AC400" s="179"/>
      <c r="AD400" s="179"/>
      <c r="AE400" s="179"/>
      <c r="AF400" s="179"/>
      <c r="AG400" s="179"/>
      <c r="AH400" s="180"/>
      <c r="AJ400" s="544">
        <f ca="1">IF(AND($D400="Serviço",AJ$12&lt;&gt;0,$H400&gt;0,OR(AUTOEVENTO&lt;&gt;"manual",$M400&lt;&gt;1)),
IF(Import.TipoArredondamento&lt;&gt;"TransfereGOV",
ROUND(OFFSET($P400,0,AJ$13),15-13*ORÇAMENTO!$AF$7)/$H400*OFFSET(ORÇAMENTO!$X$15,ROW(AJ400)-ROW(AJ$15),0),
ROUND(ROUND(OFFSET($P400,0,AJ$13),15-13*ORÇAMENTO!$AF$7)*OFFSET(ORÇAMENTO!$W$15,ROW(AJ400)-ROW(AJ$15),0),15-13*ORÇAMENTO!$AF$11)),0)</f>
        <v>0</v>
      </c>
      <c r="AK400" s="545">
        <f ca="1">IF(AND($D400="Serviço",AK$12&lt;&gt;0,$H400&gt;0,OR(AUTOEVENTO&lt;&gt;"manual",$M400&lt;&gt;1)),
IF(Import.TipoArredondamento&lt;&gt;"TransfereGOV",
ROUND(OFFSET($P400,0,AK$13),15-13*ORÇAMENTO!$AF$7)/$H400*OFFSET(ORÇAMENTO!$X$15,ROW(AK400)-ROW(AK$15),0),
ROUND(ROUND(OFFSET($P400,0,AK$13),15-13*ORÇAMENTO!$AF$7)*OFFSET(ORÇAMENTO!$W$15,ROW(AK400)-ROW(AK$15),0),15-13*ORÇAMENTO!$AF$11)),0)</f>
        <v>0</v>
      </c>
      <c r="AL400" s="545">
        <f ca="1">IF(AND($D400="Serviço",AL$12&lt;&gt;0,$H400&gt;0,OR(AUTOEVENTO&lt;&gt;"manual",$M400&lt;&gt;1)),
IF(Import.TipoArredondamento&lt;&gt;"TransfereGOV",
ROUND(OFFSET($P400,0,AL$13),15-13*ORÇAMENTO!$AF$7)/$H400*OFFSET(ORÇAMENTO!$X$15,ROW(AL400)-ROW(AL$15),0),
ROUND(ROUND(OFFSET($P400,0,AL$13),15-13*ORÇAMENTO!$AF$7)*OFFSET(ORÇAMENTO!$W$15,ROW(AL400)-ROW(AL$15),0),15-13*ORÇAMENTO!$AF$11)),0)</f>
        <v>0</v>
      </c>
      <c r="AM400" s="545">
        <f ca="1">IF(AND($D400="Serviço",AM$12&lt;&gt;0,$H400&gt;0,OR(AUTOEVENTO&lt;&gt;"manual",$M400&lt;&gt;1)),
IF(Import.TipoArredondamento&lt;&gt;"TransfereGOV",
ROUND(OFFSET($P400,0,AM$13),15-13*ORÇAMENTO!$AF$7)/$H400*OFFSET(ORÇAMENTO!$X$15,ROW(AM400)-ROW(AM$15),0),
ROUND(ROUND(OFFSET($P400,0,AM$13),15-13*ORÇAMENTO!$AF$7)*OFFSET(ORÇAMENTO!$W$15,ROW(AM400)-ROW(AM$15),0),15-13*ORÇAMENTO!$AF$11)),0)</f>
        <v>0</v>
      </c>
      <c r="AN400" s="545">
        <f ca="1">IF(AND($D400="Serviço",AN$12&lt;&gt;0,$H400&gt;0,OR(AUTOEVENTO&lt;&gt;"manual",$M400&lt;&gt;1)),
IF(Import.TipoArredondamento&lt;&gt;"TransfereGOV",
ROUND(OFFSET($P400,0,AN$13),15-13*ORÇAMENTO!$AF$7)/$H400*OFFSET(ORÇAMENTO!$X$15,ROW(AN400)-ROW(AN$15),0),
ROUND(ROUND(OFFSET($P400,0,AN$13),15-13*ORÇAMENTO!$AF$7)*OFFSET(ORÇAMENTO!$W$15,ROW(AN400)-ROW(AN$15),0),15-13*ORÇAMENTO!$AF$11)),0)</f>
        <v>0</v>
      </c>
      <c r="AO400" s="545">
        <f ca="1">IF(AND($D400="Serviço",AO$12&lt;&gt;0,$H400&gt;0,OR(AUTOEVENTO&lt;&gt;"manual",$M400&lt;&gt;1)),
IF(Import.TipoArredondamento&lt;&gt;"TransfereGOV",
ROUND(OFFSET($P400,0,AO$13),15-13*ORÇAMENTO!$AF$7)/$H400*OFFSET(ORÇAMENTO!$X$15,ROW(AO400)-ROW(AO$15),0),
ROUND(ROUND(OFFSET($P400,0,AO$13),15-13*ORÇAMENTO!$AF$7)*OFFSET(ORÇAMENTO!$W$15,ROW(AO400)-ROW(AO$15),0),15-13*ORÇAMENTO!$AF$11)),0)</f>
        <v>0</v>
      </c>
      <c r="AP400" s="545">
        <f ca="1">IF(AND($D400="Serviço",AP$12&lt;&gt;0,$H400&gt;0,OR(AUTOEVENTO&lt;&gt;"manual",$M400&lt;&gt;1)),
IF(Import.TipoArredondamento&lt;&gt;"TransfereGOV",
ROUND(OFFSET($P400,0,AP$13),15-13*ORÇAMENTO!$AF$7)/$H400*OFFSET(ORÇAMENTO!$X$15,ROW(AP400)-ROW(AP$15),0),
ROUND(ROUND(OFFSET($P400,0,AP$13),15-13*ORÇAMENTO!$AF$7)*OFFSET(ORÇAMENTO!$W$15,ROW(AP400)-ROW(AP$15),0),15-13*ORÇAMENTO!$AF$11)),0)</f>
        <v>0</v>
      </c>
      <c r="AQ400" s="545">
        <f ca="1">IF(AND($D400="Serviço",AQ$12&lt;&gt;0,$H400&gt;0,OR(AUTOEVENTO&lt;&gt;"manual",$M400&lt;&gt;1)),
IF(Import.TipoArredondamento&lt;&gt;"TransfereGOV",
ROUND(OFFSET($P400,0,AQ$13),15-13*ORÇAMENTO!$AF$7)/$H400*OFFSET(ORÇAMENTO!$X$15,ROW(AQ400)-ROW(AQ$15),0),
ROUND(ROUND(OFFSET($P400,0,AQ$13),15-13*ORÇAMENTO!$AF$7)*OFFSET(ORÇAMENTO!$W$15,ROW(AQ400)-ROW(AQ$15),0),15-13*ORÇAMENTO!$AF$11)),0)</f>
        <v>0</v>
      </c>
      <c r="AR400" s="545">
        <f ca="1">IF(AND($D400="Serviço",AR$12&lt;&gt;0,$H400&gt;0,OR(AUTOEVENTO&lt;&gt;"manual",$M400&lt;&gt;1)),
IF(Import.TipoArredondamento&lt;&gt;"TransfereGOV",
ROUND(OFFSET($P400,0,AR$13),15-13*ORÇAMENTO!$AF$7)/$H400*OFFSET(ORÇAMENTO!$X$15,ROW(AR400)-ROW(AR$15),0),
ROUND(ROUND(OFFSET($P400,0,AR$13),15-13*ORÇAMENTO!$AF$7)*OFFSET(ORÇAMENTO!$W$15,ROW(AR400)-ROW(AR$15),0),15-13*ORÇAMENTO!$AF$11)),0)</f>
        <v>0</v>
      </c>
      <c r="AS400" s="546">
        <f ca="1">IF(AND($D400="Serviço",AS$12&lt;&gt;0,$H400&gt;0,OR(AUTOEVENTO&lt;&gt;"manual",$M400&lt;&gt;1)),
IF(Import.TipoArredondamento&lt;&gt;"TransfereGOV",
ROUND(OFFSET($P400,0,AS$13),15-13*ORÇAMENTO!$AF$7)/$H400*OFFSET(ORÇAMENTO!$X$15,ROW(AS400)-ROW(AS$15),0),
ROUND(ROUND(OFFSET($P400,0,AS$13),15-13*ORÇAMENTO!$AF$7)*OFFSET(ORÇAMENTO!$W$15,ROW(AS400)-ROW(AS$15),0),15-13*ORÇAMENTO!$AF$11)),0)</f>
        <v>0</v>
      </c>
      <c r="AT400" s="545">
        <f ca="1">IF(AND($D400="Serviço",AT$12&lt;&gt;0,$H400&gt;0,OR(AUTOEVENTO&lt;&gt;"manual",$M400&lt;&gt;1)),
IF(Import.TipoArredondamento&lt;&gt;"TransfereGOV",
ROUND(OFFSET($P400,0,AT$13),15-13*ORÇAMENTO!$AF$7)/$H400*OFFSET(ORÇAMENTO!$X$15,ROW(AT400)-ROW(AT$15),0),
ROUND(ROUND(OFFSET($P400,0,AT$13),15-13*ORÇAMENTO!$AF$7)*OFFSET(ORÇAMENTO!$W$15,ROW(AT400)-ROW(AT$15),0),15-13*ORÇAMENTO!$AF$11)),0)</f>
        <v>0</v>
      </c>
      <c r="AU400" s="545">
        <f ca="1">IF(AND($D400="Serviço",AU$12&lt;&gt;0,$H400&gt;0,OR(AUTOEVENTO&lt;&gt;"manual",$M400&lt;&gt;1)),
IF(Import.TipoArredondamento&lt;&gt;"TransfereGOV",
ROUND(OFFSET($P400,0,AU$13),15-13*ORÇAMENTO!$AF$7)/$H400*OFFSET(ORÇAMENTO!$X$15,ROW(AU400)-ROW(AU$15),0),
ROUND(ROUND(OFFSET($P400,0,AU$13),15-13*ORÇAMENTO!$AF$7)*OFFSET(ORÇAMENTO!$W$15,ROW(AU400)-ROW(AU$15),0),15-13*ORÇAMENTO!$AF$11)),0)</f>
        <v>0</v>
      </c>
      <c r="AV400" s="545">
        <f ca="1">IF(AND($D400="Serviço",AV$12&lt;&gt;0,$H400&gt;0,OR(AUTOEVENTO&lt;&gt;"manual",$M400&lt;&gt;1)),
IF(Import.TipoArredondamento&lt;&gt;"TransfereGOV",
ROUND(OFFSET($P400,0,AV$13),15-13*ORÇAMENTO!$AF$7)/$H400*OFFSET(ORÇAMENTO!$X$15,ROW(AV400)-ROW(AV$15),0),
ROUND(ROUND(OFFSET($P400,0,AV$13),15-13*ORÇAMENTO!$AF$7)*OFFSET(ORÇAMENTO!$W$15,ROW(AV400)-ROW(AV$15),0),15-13*ORÇAMENTO!$AF$11)),0)</f>
        <v>0</v>
      </c>
      <c r="AW400" s="545">
        <f ca="1">IF(AND($D400="Serviço",AW$12&lt;&gt;0,$H400&gt;0,OR(AUTOEVENTO&lt;&gt;"manual",$M400&lt;&gt;1)),
IF(Import.TipoArredondamento&lt;&gt;"TransfereGOV",
ROUND(OFFSET($P400,0,AW$13),15-13*ORÇAMENTO!$AF$7)/$H400*OFFSET(ORÇAMENTO!$X$15,ROW(AW400)-ROW(AW$15),0),
ROUND(ROUND(OFFSET($P400,0,AW$13),15-13*ORÇAMENTO!$AF$7)*OFFSET(ORÇAMENTO!$W$15,ROW(AW400)-ROW(AW$15),0),15-13*ORÇAMENTO!$AF$11)),0)</f>
        <v>0</v>
      </c>
      <c r="AX400" s="545">
        <f ca="1">IF(AND($D400="Serviço",AX$12&lt;&gt;0,$H400&gt;0,OR(AUTOEVENTO&lt;&gt;"manual",$M400&lt;&gt;1)),
IF(Import.TipoArredondamento&lt;&gt;"TransfereGOV",
ROUND(OFFSET($P400,0,AX$13),15-13*ORÇAMENTO!$AF$7)/$H400*OFFSET(ORÇAMENTO!$X$15,ROW(AX400)-ROW(AX$15),0),
ROUND(ROUND(OFFSET($P400,0,AX$13),15-13*ORÇAMENTO!$AF$7)*OFFSET(ORÇAMENTO!$W$15,ROW(AX400)-ROW(AX$15),0),15-13*ORÇAMENTO!$AF$11)),0)</f>
        <v>0</v>
      </c>
      <c r="AY400" s="545">
        <f ca="1">IF(AND($D400="Serviço",AY$12&lt;&gt;0,$H400&gt;0,OR(AUTOEVENTO&lt;&gt;"manual",$M400&lt;&gt;1)),
IF(Import.TipoArredondamento&lt;&gt;"TransfereGOV",
ROUND(OFFSET($P400,0,AY$13),15-13*ORÇAMENTO!$AF$7)/$H400*OFFSET(ORÇAMENTO!$X$15,ROW(AY400)-ROW(AY$15),0),
ROUND(ROUND(OFFSET($P400,0,AY$13),15-13*ORÇAMENTO!$AF$7)*OFFSET(ORÇAMENTO!$W$15,ROW(AY400)-ROW(AY$15),0),15-13*ORÇAMENTO!$AF$11)),0)</f>
        <v>0</v>
      </c>
      <c r="AZ400" s="545">
        <f ca="1">IF(AND($D400="Serviço",AZ$12&lt;&gt;0,$H400&gt;0,OR(AUTOEVENTO&lt;&gt;"manual",$M400&lt;&gt;1)),
IF(Import.TipoArredondamento&lt;&gt;"TransfereGOV",
ROUND(OFFSET($P400,0,AZ$13),15-13*ORÇAMENTO!$AF$7)/$H400*OFFSET(ORÇAMENTO!$X$15,ROW(AZ400)-ROW(AZ$15),0),
ROUND(ROUND(OFFSET($P400,0,AZ$13),15-13*ORÇAMENTO!$AF$7)*OFFSET(ORÇAMENTO!$W$15,ROW(AZ400)-ROW(AZ$15),0),15-13*ORÇAMENTO!$AF$11)),0)</f>
        <v>0</v>
      </c>
      <c r="BA400" s="546">
        <f ca="1">IF(AND($D400="Serviço",BA$12&lt;&gt;0,$H400&gt;0,OR(AUTOEVENTO&lt;&gt;"manual",$M400&lt;&gt;1)),
IF(Import.TipoArredondamento&lt;&gt;"TransfereGOV",
ROUND(OFFSET($P400,0,BA$13),15-13*ORÇAMENTO!$AF$7)/$H400*OFFSET(ORÇAMENTO!$X$15,ROW(BA400)-ROW(BA$15),0),
ROUND(ROUND(OFFSET($P400,0,BA$13),15-13*ORÇAMENTO!$AF$7)*OFFSET(ORÇAMENTO!$W$15,ROW(BA400)-ROW(BA$15),0),15-13*ORÇAMENTO!$AF$11)),0)</f>
        <v>0</v>
      </c>
      <c r="BC400" s="181">
        <f ca="1">IF($D400&lt;&gt;"Serviço",0,IF(AND(AUTOEVENTO="Manual",$M400=1),0,IF(OFFSET(CRONOPLE!$F$14,$M400,BC$13)="",10^12,OFFSET(CRONOPLE!$F$14,$M400,BC$13))))</f>
        <v>10</v>
      </c>
      <c r="BD400" s="181">
        <f ca="1">IF($D400&lt;&gt;"Serviço",0,IF(AND(AUTOEVENTO="Manual",$M400=1),0,IF(OFFSET(CRONOPLE!$F$14,$M400,BD$13)="",10^12,OFFSET(CRONOPLE!$F$14,$M400,BD$13))))</f>
        <v>1000000000000</v>
      </c>
      <c r="BE400" s="181">
        <f ca="1">IF($D400&lt;&gt;"Serviço",0,IF(AND(AUTOEVENTO="Manual",$M400=1),0,IF(OFFSET(CRONOPLE!$F$14,$M400,BE$13)="",10^12,OFFSET(CRONOPLE!$F$14,$M400,BE$13))))</f>
        <v>1000000000000</v>
      </c>
      <c r="BF400" s="181">
        <f ca="1">IF($D400&lt;&gt;"Serviço",0,IF(AND(AUTOEVENTO="Manual",$M400=1),0,IF(OFFSET(CRONOPLE!$F$14,$M400,BF$13)="",10^12,OFFSET(CRONOPLE!$F$14,$M400,BF$13))))</f>
        <v>1000000000000</v>
      </c>
      <c r="BG400" s="181">
        <f ca="1">IF($D400&lt;&gt;"Serviço",0,IF(AND(AUTOEVENTO="Manual",$M400=1),0,IF(OFFSET(CRONOPLE!$F$14,$M400,BG$13)="",10^12,OFFSET(CRONOPLE!$F$14,$M400,BG$13))))</f>
        <v>1000000000000</v>
      </c>
      <c r="BH400" s="181">
        <f ca="1">IF($D400&lt;&gt;"Serviço",0,IF(AND(AUTOEVENTO="Manual",$M400=1),0,IF(OFFSET(CRONOPLE!$F$14,$M400,BH$13)="",10^12,OFFSET(CRONOPLE!$F$14,$M400,BH$13))))</f>
        <v>1000000000000</v>
      </c>
      <c r="BI400" s="181">
        <f ca="1">IF($D400&lt;&gt;"Serviço",0,IF(AND(AUTOEVENTO="Manual",$M400=1),0,IF(OFFSET(CRONOPLE!$F$14,$M400,BI$13)="",10^12,OFFSET(CRONOPLE!$F$14,$M400,BI$13))))</f>
        <v>1000000000000</v>
      </c>
      <c r="BJ400" s="181">
        <f ca="1">IF($D400&lt;&gt;"Serviço",0,IF(AND(AUTOEVENTO="Manual",$M400=1),0,IF(OFFSET(CRONOPLE!$F$14,$M400,BJ$13)="",10^12,OFFSET(CRONOPLE!$F$14,$M400,BJ$13))))</f>
        <v>1000000000000</v>
      </c>
      <c r="BK400" s="181">
        <f ca="1">IF($D400&lt;&gt;"Serviço",0,IF(AND(AUTOEVENTO="Manual",$M400=1),0,IF(OFFSET(CRONOPLE!$F$14,$M400,BK$13)="",10^12,OFFSET(CRONOPLE!$F$14,$M400,BK$13))))</f>
        <v>1000000000000</v>
      </c>
      <c r="BL400" s="181">
        <f ca="1">IF($D400&lt;&gt;"Serviço",0,IF(AND(AUTOEVENTO="Manual",$M400=1),0,IF(OFFSET(CRONOPLE!$F$14,$M400,BL$13)="",10^12,OFFSET(CRONOPLE!$F$14,$M400,BL$13))))</f>
        <v>1000000000000</v>
      </c>
      <c r="BM400" s="181">
        <f ca="1">IF($D400&lt;&gt;"Serviço",0,IF(AND(AUTOEVENTO="Manual",$M400=1),0,IF(OFFSET(CRONOPLE!$F$14,$M400,BM$13)="",10^12,OFFSET(CRONOPLE!$F$14,$M400,BM$13))))</f>
        <v>1000000000000</v>
      </c>
      <c r="BN400" s="181">
        <f ca="1">IF($D400&lt;&gt;"Serviço",0,IF(AND(AUTOEVENTO="Manual",$M400=1),0,IF(OFFSET(CRONOPLE!$F$14,$M400,BN$13)="",10^12,OFFSET(CRONOPLE!$F$14,$M400,BN$13))))</f>
        <v>1000000000000</v>
      </c>
      <c r="BO400" s="181">
        <f ca="1">IF($D400&lt;&gt;"Serviço",0,IF(AND(AUTOEVENTO="Manual",$M400=1),0,IF(OFFSET(CRONOPLE!$F$14,$M400,BO$13)="",10^12,OFFSET(CRONOPLE!$F$14,$M400,BO$13))))</f>
        <v>1000000000000</v>
      </c>
      <c r="BP400" s="181">
        <f ca="1">IF($D400&lt;&gt;"Serviço",0,IF(AND(AUTOEVENTO="Manual",$M400=1),0,IF(OFFSET(CRONOPLE!$F$14,$M400,BP$13)="",10^12,OFFSET(CRONOPLE!$F$14,$M400,BP$13))))</f>
        <v>1000000000000</v>
      </c>
      <c r="BQ400" s="181">
        <f ca="1">IF($D400&lt;&gt;"Serviço",0,IF(AND(AUTOEVENTO="Manual",$M400=1),0,IF(OFFSET(CRONOPLE!$F$14,$M400,BQ$13)="",10^12,OFFSET(CRONOPLE!$F$14,$M400,BQ$13))))</f>
        <v>1000000000000</v>
      </c>
      <c r="BR400" s="181">
        <f ca="1">IF($D400&lt;&gt;"Serviço",0,IF(AND(AUTOEVENTO="Manual",$M400=1),0,IF(OFFSET(CRONOPLE!$F$14,$M400,BR$13)="",10^12,OFFSET(CRONOPLE!$F$14,$M400,BR$13))))</f>
        <v>1000000000000</v>
      </c>
      <c r="BS400" s="181">
        <f ca="1">IF($D400&lt;&gt;"Serviço",0,IF(AND(AUTOEVENTO="Manual",$M400=1),0,IF(OFFSET(CRONOPLE!$F$14,$M400,BS$13)="",10^12,OFFSET(CRONOPLE!$F$14,$M400,BS$13))))</f>
        <v>1000000000000</v>
      </c>
      <c r="BT400" s="181">
        <f ca="1">IF($D400&lt;&gt;"Serviço",0,IF(AND(AUTOEVENTO="Manual",$M400=1),0,IF(OFFSET(CRONOPLE!$F$14,$M400,BT$13)="",10^12,OFFSET(CRONOPLE!$F$14,$M400,BT$13))))</f>
        <v>1000000000000</v>
      </c>
      <c r="BV400" s="182">
        <f ca="1">IF($D400&lt;&gt;"Serviço",0,IF(OR(AND(AUTOEVENTO="Manual",$M400=1),$M400&gt;(ROW(PLE.lastrow)-ROW(PLE.firstrow))),0,IF(OFFSET(PLE!$G$14,$M400,BV$13)="",10^12,OFFSET(PLE!$G$14,$M400,BV$13))))</f>
        <v>1000000000000</v>
      </c>
      <c r="BW400" s="182">
        <f ca="1">IF($D400&lt;&gt;"Serviço",0,IF(OR(AND(AUTOEVENTO="Manual",$M400=1),$M400&gt;(ROW(PLE.lastrow)-ROW(PLE.firstrow))),0,IF(OFFSET(PLE!$G$14,$M400,BW$13)="",10^12,OFFSET(PLE!$G$14,$M400,BW$13))))</f>
        <v>1000000000000</v>
      </c>
      <c r="BX400" s="182">
        <f ca="1">IF($D400&lt;&gt;"Serviço",0,IF(OR(AND(AUTOEVENTO="Manual",$M400=1),$M400&gt;(ROW(PLE.lastrow)-ROW(PLE.firstrow))),0,IF(OFFSET(PLE!$G$14,$M400,BX$13)="",10^12,OFFSET(PLE!$G$14,$M400,BX$13))))</f>
        <v>1000000000000</v>
      </c>
      <c r="BY400" s="182">
        <f ca="1">IF($D400&lt;&gt;"Serviço",0,IF(OR(AND(AUTOEVENTO="Manual",$M400=1),$M400&gt;(ROW(PLE.lastrow)-ROW(PLE.firstrow))),0,IF(OFFSET(PLE!$G$14,$M400,BY$13)="",10^12,OFFSET(PLE!$G$14,$M400,BY$13))))</f>
        <v>1000000000000</v>
      </c>
      <c r="BZ400" s="182">
        <f ca="1">IF($D400&lt;&gt;"Serviço",0,IF(OR(AND(AUTOEVENTO="Manual",$M400=1),$M400&gt;(ROW(PLE.lastrow)-ROW(PLE.firstrow))),0,IF(OFFSET(PLE!$G$14,$M400,BZ$13)="",10^12,OFFSET(PLE!$G$14,$M400,BZ$13))))</f>
        <v>1000000000000</v>
      </c>
      <c r="CA400" s="182">
        <f ca="1">IF($D400&lt;&gt;"Serviço",0,IF(OR(AND(AUTOEVENTO="Manual",$M400=1),$M400&gt;(ROW(PLE.lastrow)-ROW(PLE.firstrow))),0,IF(OFFSET(PLE!$G$14,$M400,CA$13)="",10^12,OFFSET(PLE!$G$14,$M400,CA$13))))</f>
        <v>1000000000000</v>
      </c>
      <c r="CB400" s="182">
        <f ca="1">IF($D400&lt;&gt;"Serviço",0,IF(OR(AND(AUTOEVENTO="Manual",$M400=1),$M400&gt;(ROW(PLE.lastrow)-ROW(PLE.firstrow))),0,IF(OFFSET(PLE!$G$14,$M400,CB$13)="",10^12,OFFSET(PLE!$G$14,$M400,CB$13))))</f>
        <v>1000000000000</v>
      </c>
      <c r="CC400" s="182">
        <f ca="1">IF($D400&lt;&gt;"Serviço",0,IF(OR(AND(AUTOEVENTO="Manual",$M400=1),$M400&gt;(ROW(PLE.lastrow)-ROW(PLE.firstrow))),0,IF(OFFSET(PLE!$G$14,$M400,CC$13)="",10^12,OFFSET(PLE!$G$14,$M400,CC$13))))</f>
        <v>1000000000000</v>
      </c>
      <c r="CD400" s="182">
        <f ca="1">IF($D400&lt;&gt;"Serviço",0,IF(OR(AND(AUTOEVENTO="Manual",$M400=1),$M400&gt;(ROW(PLE.lastrow)-ROW(PLE.firstrow))),0,IF(OFFSET(PLE!$G$14,$M400,CD$13)="",10^12,OFFSET(PLE!$G$14,$M400,CD$13))))</f>
        <v>1000000000000</v>
      </c>
      <c r="CE400" s="182">
        <f ca="1">IF($D400&lt;&gt;"Serviço",0,IF(OR(AND(AUTOEVENTO="Manual",$M400=1),$M400&gt;(ROW(PLE.lastrow)-ROW(PLE.firstrow))),0,IF(OFFSET(PLE!$G$14,$M400,CE$13)="",10^12,OFFSET(PLE!$G$14,$M400,CE$13))))</f>
        <v>1000000000000</v>
      </c>
      <c r="CF400" s="182">
        <f ca="1">IF($D400&lt;&gt;"Serviço",0,IF(OR(AND(AUTOEVENTO="Manual",$M400=1),$M400&gt;(ROW(PLE.lastrow)-ROW(PLE.firstrow))),0,IF(OFFSET(PLE!$G$14,$M400,CF$13)="",10^12,OFFSET(PLE!$G$14,$M400,CF$13))))</f>
        <v>1000000000000</v>
      </c>
      <c r="CG400" s="182">
        <f ca="1">IF($D400&lt;&gt;"Serviço",0,IF(OR(AND(AUTOEVENTO="Manual",$M400=1),$M400&gt;(ROW(PLE.lastrow)-ROW(PLE.firstrow))),0,IF(OFFSET(PLE!$G$14,$M400,CG$13)="",10^12,OFFSET(PLE!$G$14,$M400,CG$13))))</f>
        <v>1000000000000</v>
      </c>
      <c r="CH400" s="182">
        <f ca="1">IF($D400&lt;&gt;"Serviço",0,IF(OR(AND(AUTOEVENTO="Manual",$M400=1),$M400&gt;(ROW(PLE.lastrow)-ROW(PLE.firstrow))),0,IF(OFFSET(PLE!$G$14,$M400,CH$13)="",10^12,OFFSET(PLE!$G$14,$M400,CH$13))))</f>
        <v>1000000000000</v>
      </c>
      <c r="CI400" s="182">
        <f ca="1">IF($D400&lt;&gt;"Serviço",0,IF(OR(AND(AUTOEVENTO="Manual",$M400=1),$M400&gt;(ROW(PLE.lastrow)-ROW(PLE.firstrow))),0,IF(OFFSET(PLE!$G$14,$M400,CI$13)="",10^12,OFFSET(PLE!$G$14,$M400,CI$13))))</f>
        <v>1000000000000</v>
      </c>
      <c r="CJ400" s="182">
        <f ca="1">IF($D400&lt;&gt;"Serviço",0,IF(OR(AND(AUTOEVENTO="Manual",$M400=1),$M400&gt;(ROW(PLE.lastrow)-ROW(PLE.firstrow))),0,IF(OFFSET(PLE!$G$14,$M400,CJ$13)="",10^12,OFFSET(PLE!$G$14,$M400,CJ$13))))</f>
        <v>1000000000000</v>
      </c>
      <c r="CK400" s="182">
        <f ca="1">IF($D400&lt;&gt;"Serviço",0,IF(OR(AND(AUTOEVENTO="Manual",$M400=1),$M400&gt;(ROW(PLE.lastrow)-ROW(PLE.firstrow))),0,IF(OFFSET(PLE!$G$14,$M400,CK$13)="",10^12,OFFSET(PLE!$G$14,$M400,CK$13))))</f>
        <v>1000000000000</v>
      </c>
      <c r="CL400" s="182">
        <f ca="1">IF($D400&lt;&gt;"Serviço",0,IF(OR(AND(AUTOEVENTO="Manual",$M400=1),$M400&gt;(ROW(PLE.lastrow)-ROW(PLE.firstrow))),0,IF(OFFSET(PLE!$G$14,$M400,CL$13)="",10^12,OFFSET(PLE!$G$14,$M400,CL$13))))</f>
        <v>1000000000000</v>
      </c>
      <c r="CM400" s="182">
        <f ca="1">IF($D400&lt;&gt;"Serviço",0,IF(OR(AND(AUTOEVENTO="Manual",$M400=1),$M400&gt;(ROW(PLE.lastrow)-ROW(PLE.firstrow))),0,IF(OFFSET(PLE!$G$14,$M400,CM$13)="",10^12,OFFSET(PLE!$G$14,$M400,CM$13))))</f>
        <v>1000000000000</v>
      </c>
    </row>
    <row r="401" spans="1:91" ht="25.5" x14ac:dyDescent="0.2">
      <c r="A401" s="7" t="str">
        <f t="shared" ca="1" si="13"/>
        <v>350</v>
      </c>
      <c r="B401" s="7" t="str">
        <f ca="1">OFFSET(ORÇAMENTO!C$15,ROW(B401)-ROW(B$15),0)</f>
        <v>S</v>
      </c>
      <c r="C401" s="7" t="str">
        <f ca="1">OFFSET(ORÇAMENTO!L$15,ROW(C401)-ROW(C$15),0)</f>
        <v/>
      </c>
      <c r="D401" s="118" t="str">
        <f ca="1">OFFSET(ORÇAMENTO!N$15,ROW(D401)-ROW(D$15),0)</f>
        <v>Serviço</v>
      </c>
      <c r="E401" s="119" t="str">
        <f ca="1">OFFSET(ORÇAMENTO!O$15,ROW(E401)-ROW(E$15),0)</f>
        <v>-</v>
      </c>
      <c r="F401" s="172" t="str">
        <f ca="1">OFFSET(ORÇAMENTO!R$15,ROW(F401)-ROW(F$15),0)</f>
        <v>(abra o arquivo 'Referência 06-2024.xlsm)</v>
      </c>
      <c r="G401" s="173" t="str">
        <f ca="1">IF($D401&lt;&gt;"Serviço","",OFFSET(ORÇAMENTO!S$15,ROW(G401)-ROW(G$15),0))</f>
        <v>-</v>
      </c>
      <c r="H401" s="124">
        <f ca="1">IF($D401&lt;&gt;"Serviço",0,IF(ACOMPANHAMENTO="BM",ROUND(OFFSET(ORÇAMENTO!AJ$15,ROW(H401)-ROW(H$15),0),15-13*ORÇAMENTO!$AF$7),SUMPRODUCT(($Q$12:$AI$12&lt;&gt;"")*ROUND($Q401:$AI401,15-13*ORÇAMENTO!$AF$7))))</f>
        <v>23</v>
      </c>
      <c r="I401" s="561" t="s">
        <v>1107</v>
      </c>
      <c r="K401" s="174"/>
      <c r="L401" s="175" t="s">
        <v>255</v>
      </c>
      <c r="M401" s="176">
        <f ca="1">IF($D401&lt;&gt;"Serviço","",IF(AUTOEVENTO="manual",$A401,IF(ISERROR(MATCH($A401,$A$15:OFFSET($A401,-1,0),0)),MAX($M$15:OFFSET(M401,-1,0))+1,INDEX($M$15:OFFSET(M401,-1,0),MATCH($A401,$A$15:OFFSET($A401,-1,0),0)))))</f>
        <v>44</v>
      </c>
      <c r="N401" s="177" t="str">
        <f ca="1">IF($D401&lt;&gt;"Serviço","",IF(AUTOEVENTO="Manual",IF($A401=0,"&lt;-- defina o número do agrupador",OFFSET(EVENTOS!$D$14,$A401,0)),OFFSET($F$15,$A401,0)))</f>
        <v>LOUÇAS, ACESSÓRIOS E METAIS</v>
      </c>
      <c r="O401" s="178"/>
      <c r="Q401" s="178">
        <v>23</v>
      </c>
      <c r="R401" s="179"/>
      <c r="S401" s="179"/>
      <c r="T401" s="179"/>
      <c r="U401" s="179"/>
      <c r="V401" s="179"/>
      <c r="W401" s="179"/>
      <c r="X401" s="179"/>
      <c r="Y401" s="179"/>
      <c r="Z401" s="180"/>
      <c r="AA401" s="179"/>
      <c r="AB401" s="179"/>
      <c r="AC401" s="179"/>
      <c r="AD401" s="179"/>
      <c r="AE401" s="179"/>
      <c r="AF401" s="179"/>
      <c r="AG401" s="179"/>
      <c r="AH401" s="180"/>
      <c r="AJ401" s="544">
        <f ca="1">IF(AND($D401="Serviço",AJ$12&lt;&gt;0,$H401&gt;0,OR(AUTOEVENTO&lt;&gt;"manual",$M401&lt;&gt;1)),
IF(Import.TipoArredondamento&lt;&gt;"TransfereGOV",
ROUND(OFFSET($P401,0,AJ$13),15-13*ORÇAMENTO!$AF$7)/$H401*OFFSET(ORÇAMENTO!$X$15,ROW(AJ401)-ROW(AJ$15),0),
ROUND(ROUND(OFFSET($P401,0,AJ$13),15-13*ORÇAMENTO!$AF$7)*OFFSET(ORÇAMENTO!$W$15,ROW(AJ401)-ROW(AJ$15),0),15-13*ORÇAMENTO!$AF$11)),0)</f>
        <v>0</v>
      </c>
      <c r="AK401" s="545">
        <f ca="1">IF(AND($D401="Serviço",AK$12&lt;&gt;0,$H401&gt;0,OR(AUTOEVENTO&lt;&gt;"manual",$M401&lt;&gt;1)),
IF(Import.TipoArredondamento&lt;&gt;"TransfereGOV",
ROUND(OFFSET($P401,0,AK$13),15-13*ORÇAMENTO!$AF$7)/$H401*OFFSET(ORÇAMENTO!$X$15,ROW(AK401)-ROW(AK$15),0),
ROUND(ROUND(OFFSET($P401,0,AK$13),15-13*ORÇAMENTO!$AF$7)*OFFSET(ORÇAMENTO!$W$15,ROW(AK401)-ROW(AK$15),0),15-13*ORÇAMENTO!$AF$11)),0)</f>
        <v>0</v>
      </c>
      <c r="AL401" s="545">
        <f ca="1">IF(AND($D401="Serviço",AL$12&lt;&gt;0,$H401&gt;0,OR(AUTOEVENTO&lt;&gt;"manual",$M401&lt;&gt;1)),
IF(Import.TipoArredondamento&lt;&gt;"TransfereGOV",
ROUND(OFFSET($P401,0,AL$13),15-13*ORÇAMENTO!$AF$7)/$H401*OFFSET(ORÇAMENTO!$X$15,ROW(AL401)-ROW(AL$15),0),
ROUND(ROUND(OFFSET($P401,0,AL$13),15-13*ORÇAMENTO!$AF$7)*OFFSET(ORÇAMENTO!$W$15,ROW(AL401)-ROW(AL$15),0),15-13*ORÇAMENTO!$AF$11)),0)</f>
        <v>0</v>
      </c>
      <c r="AM401" s="545">
        <f ca="1">IF(AND($D401="Serviço",AM$12&lt;&gt;0,$H401&gt;0,OR(AUTOEVENTO&lt;&gt;"manual",$M401&lt;&gt;1)),
IF(Import.TipoArredondamento&lt;&gt;"TransfereGOV",
ROUND(OFFSET($P401,0,AM$13),15-13*ORÇAMENTO!$AF$7)/$H401*OFFSET(ORÇAMENTO!$X$15,ROW(AM401)-ROW(AM$15),0),
ROUND(ROUND(OFFSET($P401,0,AM$13),15-13*ORÇAMENTO!$AF$7)*OFFSET(ORÇAMENTO!$W$15,ROW(AM401)-ROW(AM$15),0),15-13*ORÇAMENTO!$AF$11)),0)</f>
        <v>0</v>
      </c>
      <c r="AN401" s="545">
        <f ca="1">IF(AND($D401="Serviço",AN$12&lt;&gt;0,$H401&gt;0,OR(AUTOEVENTO&lt;&gt;"manual",$M401&lt;&gt;1)),
IF(Import.TipoArredondamento&lt;&gt;"TransfereGOV",
ROUND(OFFSET($P401,0,AN$13),15-13*ORÇAMENTO!$AF$7)/$H401*OFFSET(ORÇAMENTO!$X$15,ROW(AN401)-ROW(AN$15),0),
ROUND(ROUND(OFFSET($P401,0,AN$13),15-13*ORÇAMENTO!$AF$7)*OFFSET(ORÇAMENTO!$W$15,ROW(AN401)-ROW(AN$15),0),15-13*ORÇAMENTO!$AF$11)),0)</f>
        <v>0</v>
      </c>
      <c r="AO401" s="545">
        <f ca="1">IF(AND($D401="Serviço",AO$12&lt;&gt;0,$H401&gt;0,OR(AUTOEVENTO&lt;&gt;"manual",$M401&lt;&gt;1)),
IF(Import.TipoArredondamento&lt;&gt;"TransfereGOV",
ROUND(OFFSET($P401,0,AO$13),15-13*ORÇAMENTO!$AF$7)/$H401*OFFSET(ORÇAMENTO!$X$15,ROW(AO401)-ROW(AO$15),0),
ROUND(ROUND(OFFSET($P401,0,AO$13),15-13*ORÇAMENTO!$AF$7)*OFFSET(ORÇAMENTO!$W$15,ROW(AO401)-ROW(AO$15),0),15-13*ORÇAMENTO!$AF$11)),0)</f>
        <v>0</v>
      </c>
      <c r="AP401" s="545">
        <f ca="1">IF(AND($D401="Serviço",AP$12&lt;&gt;0,$H401&gt;0,OR(AUTOEVENTO&lt;&gt;"manual",$M401&lt;&gt;1)),
IF(Import.TipoArredondamento&lt;&gt;"TransfereGOV",
ROUND(OFFSET($P401,0,AP$13),15-13*ORÇAMENTO!$AF$7)/$H401*OFFSET(ORÇAMENTO!$X$15,ROW(AP401)-ROW(AP$15),0),
ROUND(ROUND(OFFSET($P401,0,AP$13),15-13*ORÇAMENTO!$AF$7)*OFFSET(ORÇAMENTO!$W$15,ROW(AP401)-ROW(AP$15),0),15-13*ORÇAMENTO!$AF$11)),0)</f>
        <v>0</v>
      </c>
      <c r="AQ401" s="545">
        <f ca="1">IF(AND($D401="Serviço",AQ$12&lt;&gt;0,$H401&gt;0,OR(AUTOEVENTO&lt;&gt;"manual",$M401&lt;&gt;1)),
IF(Import.TipoArredondamento&lt;&gt;"TransfereGOV",
ROUND(OFFSET($P401,0,AQ$13),15-13*ORÇAMENTO!$AF$7)/$H401*OFFSET(ORÇAMENTO!$X$15,ROW(AQ401)-ROW(AQ$15),0),
ROUND(ROUND(OFFSET($P401,0,AQ$13),15-13*ORÇAMENTO!$AF$7)*OFFSET(ORÇAMENTO!$W$15,ROW(AQ401)-ROW(AQ$15),0),15-13*ORÇAMENTO!$AF$11)),0)</f>
        <v>0</v>
      </c>
      <c r="AR401" s="545">
        <f ca="1">IF(AND($D401="Serviço",AR$12&lt;&gt;0,$H401&gt;0,OR(AUTOEVENTO&lt;&gt;"manual",$M401&lt;&gt;1)),
IF(Import.TipoArredondamento&lt;&gt;"TransfereGOV",
ROUND(OFFSET($P401,0,AR$13),15-13*ORÇAMENTO!$AF$7)/$H401*OFFSET(ORÇAMENTO!$X$15,ROW(AR401)-ROW(AR$15),0),
ROUND(ROUND(OFFSET($P401,0,AR$13),15-13*ORÇAMENTO!$AF$7)*OFFSET(ORÇAMENTO!$W$15,ROW(AR401)-ROW(AR$15),0),15-13*ORÇAMENTO!$AF$11)),0)</f>
        <v>0</v>
      </c>
      <c r="AS401" s="546">
        <f ca="1">IF(AND($D401="Serviço",AS$12&lt;&gt;0,$H401&gt;0,OR(AUTOEVENTO&lt;&gt;"manual",$M401&lt;&gt;1)),
IF(Import.TipoArredondamento&lt;&gt;"TransfereGOV",
ROUND(OFFSET($P401,0,AS$13),15-13*ORÇAMENTO!$AF$7)/$H401*OFFSET(ORÇAMENTO!$X$15,ROW(AS401)-ROW(AS$15),0),
ROUND(ROUND(OFFSET($P401,0,AS$13),15-13*ORÇAMENTO!$AF$7)*OFFSET(ORÇAMENTO!$W$15,ROW(AS401)-ROW(AS$15),0),15-13*ORÇAMENTO!$AF$11)),0)</f>
        <v>0</v>
      </c>
      <c r="AT401" s="545">
        <f ca="1">IF(AND($D401="Serviço",AT$12&lt;&gt;0,$H401&gt;0,OR(AUTOEVENTO&lt;&gt;"manual",$M401&lt;&gt;1)),
IF(Import.TipoArredondamento&lt;&gt;"TransfereGOV",
ROUND(OFFSET($P401,0,AT$13),15-13*ORÇAMENTO!$AF$7)/$H401*OFFSET(ORÇAMENTO!$X$15,ROW(AT401)-ROW(AT$15),0),
ROUND(ROUND(OFFSET($P401,0,AT$13),15-13*ORÇAMENTO!$AF$7)*OFFSET(ORÇAMENTO!$W$15,ROW(AT401)-ROW(AT$15),0),15-13*ORÇAMENTO!$AF$11)),0)</f>
        <v>0</v>
      </c>
      <c r="AU401" s="545">
        <f ca="1">IF(AND($D401="Serviço",AU$12&lt;&gt;0,$H401&gt;0,OR(AUTOEVENTO&lt;&gt;"manual",$M401&lt;&gt;1)),
IF(Import.TipoArredondamento&lt;&gt;"TransfereGOV",
ROUND(OFFSET($P401,0,AU$13),15-13*ORÇAMENTO!$AF$7)/$H401*OFFSET(ORÇAMENTO!$X$15,ROW(AU401)-ROW(AU$15),0),
ROUND(ROUND(OFFSET($P401,0,AU$13),15-13*ORÇAMENTO!$AF$7)*OFFSET(ORÇAMENTO!$W$15,ROW(AU401)-ROW(AU$15),0),15-13*ORÇAMENTO!$AF$11)),0)</f>
        <v>0</v>
      </c>
      <c r="AV401" s="545">
        <f ca="1">IF(AND($D401="Serviço",AV$12&lt;&gt;0,$H401&gt;0,OR(AUTOEVENTO&lt;&gt;"manual",$M401&lt;&gt;1)),
IF(Import.TipoArredondamento&lt;&gt;"TransfereGOV",
ROUND(OFFSET($P401,0,AV$13),15-13*ORÇAMENTO!$AF$7)/$H401*OFFSET(ORÇAMENTO!$X$15,ROW(AV401)-ROW(AV$15),0),
ROUND(ROUND(OFFSET($P401,0,AV$13),15-13*ORÇAMENTO!$AF$7)*OFFSET(ORÇAMENTO!$W$15,ROW(AV401)-ROW(AV$15),0),15-13*ORÇAMENTO!$AF$11)),0)</f>
        <v>0</v>
      </c>
      <c r="AW401" s="545">
        <f ca="1">IF(AND($D401="Serviço",AW$12&lt;&gt;0,$H401&gt;0,OR(AUTOEVENTO&lt;&gt;"manual",$M401&lt;&gt;1)),
IF(Import.TipoArredondamento&lt;&gt;"TransfereGOV",
ROUND(OFFSET($P401,0,AW$13),15-13*ORÇAMENTO!$AF$7)/$H401*OFFSET(ORÇAMENTO!$X$15,ROW(AW401)-ROW(AW$15),0),
ROUND(ROUND(OFFSET($P401,0,AW$13),15-13*ORÇAMENTO!$AF$7)*OFFSET(ORÇAMENTO!$W$15,ROW(AW401)-ROW(AW$15),0),15-13*ORÇAMENTO!$AF$11)),0)</f>
        <v>0</v>
      </c>
      <c r="AX401" s="545">
        <f ca="1">IF(AND($D401="Serviço",AX$12&lt;&gt;0,$H401&gt;0,OR(AUTOEVENTO&lt;&gt;"manual",$M401&lt;&gt;1)),
IF(Import.TipoArredondamento&lt;&gt;"TransfereGOV",
ROUND(OFFSET($P401,0,AX$13),15-13*ORÇAMENTO!$AF$7)/$H401*OFFSET(ORÇAMENTO!$X$15,ROW(AX401)-ROW(AX$15),0),
ROUND(ROUND(OFFSET($P401,0,AX$13),15-13*ORÇAMENTO!$AF$7)*OFFSET(ORÇAMENTO!$W$15,ROW(AX401)-ROW(AX$15),0),15-13*ORÇAMENTO!$AF$11)),0)</f>
        <v>0</v>
      </c>
      <c r="AY401" s="545">
        <f ca="1">IF(AND($D401="Serviço",AY$12&lt;&gt;0,$H401&gt;0,OR(AUTOEVENTO&lt;&gt;"manual",$M401&lt;&gt;1)),
IF(Import.TipoArredondamento&lt;&gt;"TransfereGOV",
ROUND(OFFSET($P401,0,AY$13),15-13*ORÇAMENTO!$AF$7)/$H401*OFFSET(ORÇAMENTO!$X$15,ROW(AY401)-ROW(AY$15),0),
ROUND(ROUND(OFFSET($P401,0,AY$13),15-13*ORÇAMENTO!$AF$7)*OFFSET(ORÇAMENTO!$W$15,ROW(AY401)-ROW(AY$15),0),15-13*ORÇAMENTO!$AF$11)),0)</f>
        <v>0</v>
      </c>
      <c r="AZ401" s="545">
        <f ca="1">IF(AND($D401="Serviço",AZ$12&lt;&gt;0,$H401&gt;0,OR(AUTOEVENTO&lt;&gt;"manual",$M401&lt;&gt;1)),
IF(Import.TipoArredondamento&lt;&gt;"TransfereGOV",
ROUND(OFFSET($P401,0,AZ$13),15-13*ORÇAMENTO!$AF$7)/$H401*OFFSET(ORÇAMENTO!$X$15,ROW(AZ401)-ROW(AZ$15),0),
ROUND(ROUND(OFFSET($P401,0,AZ$13),15-13*ORÇAMENTO!$AF$7)*OFFSET(ORÇAMENTO!$W$15,ROW(AZ401)-ROW(AZ$15),0),15-13*ORÇAMENTO!$AF$11)),0)</f>
        <v>0</v>
      </c>
      <c r="BA401" s="546">
        <f ca="1">IF(AND($D401="Serviço",BA$12&lt;&gt;0,$H401&gt;0,OR(AUTOEVENTO&lt;&gt;"manual",$M401&lt;&gt;1)),
IF(Import.TipoArredondamento&lt;&gt;"TransfereGOV",
ROUND(OFFSET($P401,0,BA$13),15-13*ORÇAMENTO!$AF$7)/$H401*OFFSET(ORÇAMENTO!$X$15,ROW(BA401)-ROW(BA$15),0),
ROUND(ROUND(OFFSET($P401,0,BA$13),15-13*ORÇAMENTO!$AF$7)*OFFSET(ORÇAMENTO!$W$15,ROW(BA401)-ROW(BA$15),0),15-13*ORÇAMENTO!$AF$11)),0)</f>
        <v>0</v>
      </c>
      <c r="BC401" s="181">
        <f ca="1">IF($D401&lt;&gt;"Serviço",0,IF(AND(AUTOEVENTO="Manual",$M401=1),0,IF(OFFSET(CRONOPLE!$F$14,$M401,BC$13)="",10^12,OFFSET(CRONOPLE!$F$14,$M401,BC$13))))</f>
        <v>10</v>
      </c>
      <c r="BD401" s="181">
        <f ca="1">IF($D401&lt;&gt;"Serviço",0,IF(AND(AUTOEVENTO="Manual",$M401=1),0,IF(OFFSET(CRONOPLE!$F$14,$M401,BD$13)="",10^12,OFFSET(CRONOPLE!$F$14,$M401,BD$13))))</f>
        <v>1000000000000</v>
      </c>
      <c r="BE401" s="181">
        <f ca="1">IF($D401&lt;&gt;"Serviço",0,IF(AND(AUTOEVENTO="Manual",$M401=1),0,IF(OFFSET(CRONOPLE!$F$14,$M401,BE$13)="",10^12,OFFSET(CRONOPLE!$F$14,$M401,BE$13))))</f>
        <v>1000000000000</v>
      </c>
      <c r="BF401" s="181">
        <f ca="1">IF($D401&lt;&gt;"Serviço",0,IF(AND(AUTOEVENTO="Manual",$M401=1),0,IF(OFFSET(CRONOPLE!$F$14,$M401,BF$13)="",10^12,OFFSET(CRONOPLE!$F$14,$M401,BF$13))))</f>
        <v>1000000000000</v>
      </c>
      <c r="BG401" s="181">
        <f ca="1">IF($D401&lt;&gt;"Serviço",0,IF(AND(AUTOEVENTO="Manual",$M401=1),0,IF(OFFSET(CRONOPLE!$F$14,$M401,BG$13)="",10^12,OFFSET(CRONOPLE!$F$14,$M401,BG$13))))</f>
        <v>1000000000000</v>
      </c>
      <c r="BH401" s="181">
        <f ca="1">IF($D401&lt;&gt;"Serviço",0,IF(AND(AUTOEVENTO="Manual",$M401=1),0,IF(OFFSET(CRONOPLE!$F$14,$M401,BH$13)="",10^12,OFFSET(CRONOPLE!$F$14,$M401,BH$13))))</f>
        <v>1000000000000</v>
      </c>
      <c r="BI401" s="181">
        <f ca="1">IF($D401&lt;&gt;"Serviço",0,IF(AND(AUTOEVENTO="Manual",$M401=1),0,IF(OFFSET(CRONOPLE!$F$14,$M401,BI$13)="",10^12,OFFSET(CRONOPLE!$F$14,$M401,BI$13))))</f>
        <v>1000000000000</v>
      </c>
      <c r="BJ401" s="181">
        <f ca="1">IF($D401&lt;&gt;"Serviço",0,IF(AND(AUTOEVENTO="Manual",$M401=1),0,IF(OFFSET(CRONOPLE!$F$14,$M401,BJ$13)="",10^12,OFFSET(CRONOPLE!$F$14,$M401,BJ$13))))</f>
        <v>1000000000000</v>
      </c>
      <c r="BK401" s="181">
        <f ca="1">IF($D401&lt;&gt;"Serviço",0,IF(AND(AUTOEVENTO="Manual",$M401=1),0,IF(OFFSET(CRONOPLE!$F$14,$M401,BK$13)="",10^12,OFFSET(CRONOPLE!$F$14,$M401,BK$13))))</f>
        <v>1000000000000</v>
      </c>
      <c r="BL401" s="181">
        <f ca="1">IF($D401&lt;&gt;"Serviço",0,IF(AND(AUTOEVENTO="Manual",$M401=1),0,IF(OFFSET(CRONOPLE!$F$14,$M401,BL$13)="",10^12,OFFSET(CRONOPLE!$F$14,$M401,BL$13))))</f>
        <v>1000000000000</v>
      </c>
      <c r="BM401" s="181">
        <f ca="1">IF($D401&lt;&gt;"Serviço",0,IF(AND(AUTOEVENTO="Manual",$M401=1),0,IF(OFFSET(CRONOPLE!$F$14,$M401,BM$13)="",10^12,OFFSET(CRONOPLE!$F$14,$M401,BM$13))))</f>
        <v>1000000000000</v>
      </c>
      <c r="BN401" s="181">
        <f ca="1">IF($D401&lt;&gt;"Serviço",0,IF(AND(AUTOEVENTO="Manual",$M401=1),0,IF(OFFSET(CRONOPLE!$F$14,$M401,BN$13)="",10^12,OFFSET(CRONOPLE!$F$14,$M401,BN$13))))</f>
        <v>1000000000000</v>
      </c>
      <c r="BO401" s="181">
        <f ca="1">IF($D401&lt;&gt;"Serviço",0,IF(AND(AUTOEVENTO="Manual",$M401=1),0,IF(OFFSET(CRONOPLE!$F$14,$M401,BO$13)="",10^12,OFFSET(CRONOPLE!$F$14,$M401,BO$13))))</f>
        <v>1000000000000</v>
      </c>
      <c r="BP401" s="181">
        <f ca="1">IF($D401&lt;&gt;"Serviço",0,IF(AND(AUTOEVENTO="Manual",$M401=1),0,IF(OFFSET(CRONOPLE!$F$14,$M401,BP$13)="",10^12,OFFSET(CRONOPLE!$F$14,$M401,BP$13))))</f>
        <v>1000000000000</v>
      </c>
      <c r="BQ401" s="181">
        <f ca="1">IF($D401&lt;&gt;"Serviço",0,IF(AND(AUTOEVENTO="Manual",$M401=1),0,IF(OFFSET(CRONOPLE!$F$14,$M401,BQ$13)="",10^12,OFFSET(CRONOPLE!$F$14,$M401,BQ$13))))</f>
        <v>1000000000000</v>
      </c>
      <c r="BR401" s="181">
        <f ca="1">IF($D401&lt;&gt;"Serviço",0,IF(AND(AUTOEVENTO="Manual",$M401=1),0,IF(OFFSET(CRONOPLE!$F$14,$M401,BR$13)="",10^12,OFFSET(CRONOPLE!$F$14,$M401,BR$13))))</f>
        <v>1000000000000</v>
      </c>
      <c r="BS401" s="181">
        <f ca="1">IF($D401&lt;&gt;"Serviço",0,IF(AND(AUTOEVENTO="Manual",$M401=1),0,IF(OFFSET(CRONOPLE!$F$14,$M401,BS$13)="",10^12,OFFSET(CRONOPLE!$F$14,$M401,BS$13))))</f>
        <v>1000000000000</v>
      </c>
      <c r="BT401" s="181">
        <f ca="1">IF($D401&lt;&gt;"Serviço",0,IF(AND(AUTOEVENTO="Manual",$M401=1),0,IF(OFFSET(CRONOPLE!$F$14,$M401,BT$13)="",10^12,OFFSET(CRONOPLE!$F$14,$M401,BT$13))))</f>
        <v>1000000000000</v>
      </c>
      <c r="BV401" s="182">
        <f ca="1">IF($D401&lt;&gt;"Serviço",0,IF(OR(AND(AUTOEVENTO="Manual",$M401=1),$M401&gt;(ROW(PLE.lastrow)-ROW(PLE.firstrow))),0,IF(OFFSET(PLE!$G$14,$M401,BV$13)="",10^12,OFFSET(PLE!$G$14,$M401,BV$13))))</f>
        <v>1000000000000</v>
      </c>
      <c r="BW401" s="182">
        <f ca="1">IF($D401&lt;&gt;"Serviço",0,IF(OR(AND(AUTOEVENTO="Manual",$M401=1),$M401&gt;(ROW(PLE.lastrow)-ROW(PLE.firstrow))),0,IF(OFFSET(PLE!$G$14,$M401,BW$13)="",10^12,OFFSET(PLE!$G$14,$M401,BW$13))))</f>
        <v>1000000000000</v>
      </c>
      <c r="BX401" s="182">
        <f ca="1">IF($D401&lt;&gt;"Serviço",0,IF(OR(AND(AUTOEVENTO="Manual",$M401=1),$M401&gt;(ROW(PLE.lastrow)-ROW(PLE.firstrow))),0,IF(OFFSET(PLE!$G$14,$M401,BX$13)="",10^12,OFFSET(PLE!$G$14,$M401,BX$13))))</f>
        <v>1000000000000</v>
      </c>
      <c r="BY401" s="182">
        <f ca="1">IF($D401&lt;&gt;"Serviço",0,IF(OR(AND(AUTOEVENTO="Manual",$M401=1),$M401&gt;(ROW(PLE.lastrow)-ROW(PLE.firstrow))),0,IF(OFFSET(PLE!$G$14,$M401,BY$13)="",10^12,OFFSET(PLE!$G$14,$M401,BY$13))))</f>
        <v>1000000000000</v>
      </c>
      <c r="BZ401" s="182">
        <f ca="1">IF($D401&lt;&gt;"Serviço",0,IF(OR(AND(AUTOEVENTO="Manual",$M401=1),$M401&gt;(ROW(PLE.lastrow)-ROW(PLE.firstrow))),0,IF(OFFSET(PLE!$G$14,$M401,BZ$13)="",10^12,OFFSET(PLE!$G$14,$M401,BZ$13))))</f>
        <v>1000000000000</v>
      </c>
      <c r="CA401" s="182">
        <f ca="1">IF($D401&lt;&gt;"Serviço",0,IF(OR(AND(AUTOEVENTO="Manual",$M401=1),$M401&gt;(ROW(PLE.lastrow)-ROW(PLE.firstrow))),0,IF(OFFSET(PLE!$G$14,$M401,CA$13)="",10^12,OFFSET(PLE!$G$14,$M401,CA$13))))</f>
        <v>1000000000000</v>
      </c>
      <c r="CB401" s="182">
        <f ca="1">IF($D401&lt;&gt;"Serviço",0,IF(OR(AND(AUTOEVENTO="Manual",$M401=1),$M401&gt;(ROW(PLE.lastrow)-ROW(PLE.firstrow))),0,IF(OFFSET(PLE!$G$14,$M401,CB$13)="",10^12,OFFSET(PLE!$G$14,$M401,CB$13))))</f>
        <v>1000000000000</v>
      </c>
      <c r="CC401" s="182">
        <f ca="1">IF($D401&lt;&gt;"Serviço",0,IF(OR(AND(AUTOEVENTO="Manual",$M401=1),$M401&gt;(ROW(PLE.lastrow)-ROW(PLE.firstrow))),0,IF(OFFSET(PLE!$G$14,$M401,CC$13)="",10^12,OFFSET(PLE!$G$14,$M401,CC$13))))</f>
        <v>1000000000000</v>
      </c>
      <c r="CD401" s="182">
        <f ca="1">IF($D401&lt;&gt;"Serviço",0,IF(OR(AND(AUTOEVENTO="Manual",$M401=1),$M401&gt;(ROW(PLE.lastrow)-ROW(PLE.firstrow))),0,IF(OFFSET(PLE!$G$14,$M401,CD$13)="",10^12,OFFSET(PLE!$G$14,$M401,CD$13))))</f>
        <v>1000000000000</v>
      </c>
      <c r="CE401" s="182">
        <f ca="1">IF($D401&lt;&gt;"Serviço",0,IF(OR(AND(AUTOEVENTO="Manual",$M401=1),$M401&gt;(ROW(PLE.lastrow)-ROW(PLE.firstrow))),0,IF(OFFSET(PLE!$G$14,$M401,CE$13)="",10^12,OFFSET(PLE!$G$14,$M401,CE$13))))</f>
        <v>1000000000000</v>
      </c>
      <c r="CF401" s="182">
        <f ca="1">IF($D401&lt;&gt;"Serviço",0,IF(OR(AND(AUTOEVENTO="Manual",$M401=1),$M401&gt;(ROW(PLE.lastrow)-ROW(PLE.firstrow))),0,IF(OFFSET(PLE!$G$14,$M401,CF$13)="",10^12,OFFSET(PLE!$G$14,$M401,CF$13))))</f>
        <v>1000000000000</v>
      </c>
      <c r="CG401" s="182">
        <f ca="1">IF($D401&lt;&gt;"Serviço",0,IF(OR(AND(AUTOEVENTO="Manual",$M401=1),$M401&gt;(ROW(PLE.lastrow)-ROW(PLE.firstrow))),0,IF(OFFSET(PLE!$G$14,$M401,CG$13)="",10^12,OFFSET(PLE!$G$14,$M401,CG$13))))</f>
        <v>1000000000000</v>
      </c>
      <c r="CH401" s="182">
        <f ca="1">IF($D401&lt;&gt;"Serviço",0,IF(OR(AND(AUTOEVENTO="Manual",$M401=1),$M401&gt;(ROW(PLE.lastrow)-ROW(PLE.firstrow))),0,IF(OFFSET(PLE!$G$14,$M401,CH$13)="",10^12,OFFSET(PLE!$G$14,$M401,CH$13))))</f>
        <v>1000000000000</v>
      </c>
      <c r="CI401" s="182">
        <f ca="1">IF($D401&lt;&gt;"Serviço",0,IF(OR(AND(AUTOEVENTO="Manual",$M401=1),$M401&gt;(ROW(PLE.lastrow)-ROW(PLE.firstrow))),0,IF(OFFSET(PLE!$G$14,$M401,CI$13)="",10^12,OFFSET(PLE!$G$14,$M401,CI$13))))</f>
        <v>1000000000000</v>
      </c>
      <c r="CJ401" s="182">
        <f ca="1">IF($D401&lt;&gt;"Serviço",0,IF(OR(AND(AUTOEVENTO="Manual",$M401=1),$M401&gt;(ROW(PLE.lastrow)-ROW(PLE.firstrow))),0,IF(OFFSET(PLE!$G$14,$M401,CJ$13)="",10^12,OFFSET(PLE!$G$14,$M401,CJ$13))))</f>
        <v>1000000000000</v>
      </c>
      <c r="CK401" s="182">
        <f ca="1">IF($D401&lt;&gt;"Serviço",0,IF(OR(AND(AUTOEVENTO="Manual",$M401=1),$M401&gt;(ROW(PLE.lastrow)-ROW(PLE.firstrow))),0,IF(OFFSET(PLE!$G$14,$M401,CK$13)="",10^12,OFFSET(PLE!$G$14,$M401,CK$13))))</f>
        <v>1000000000000</v>
      </c>
      <c r="CL401" s="182">
        <f ca="1">IF($D401&lt;&gt;"Serviço",0,IF(OR(AND(AUTOEVENTO="Manual",$M401=1),$M401&gt;(ROW(PLE.lastrow)-ROW(PLE.firstrow))),0,IF(OFFSET(PLE!$G$14,$M401,CL$13)="",10^12,OFFSET(PLE!$G$14,$M401,CL$13))))</f>
        <v>1000000000000</v>
      </c>
      <c r="CM401" s="182">
        <f ca="1">IF($D401&lt;&gt;"Serviço",0,IF(OR(AND(AUTOEVENTO="Manual",$M401=1),$M401&gt;(ROW(PLE.lastrow)-ROW(PLE.firstrow))),0,IF(OFFSET(PLE!$G$14,$M401,CM$13)="",10^12,OFFSET(PLE!$G$14,$M401,CM$13))))</f>
        <v>1000000000000</v>
      </c>
    </row>
    <row r="402" spans="1:91" ht="12.75" x14ac:dyDescent="0.2">
      <c r="A402" s="7" t="str">
        <f t="shared" ca="1" si="13"/>
        <v>387.</v>
      </c>
      <c r="B402" s="7">
        <f ca="1">OFFSET(ORÇAMENTO!C$15,ROW(B402)-ROW(B$15),0)</f>
        <v>2</v>
      </c>
      <c r="C402" s="7" t="str">
        <f ca="1">OFFSET(ORÇAMENTO!L$15,ROW(C402)-ROW(C$15),0)</f>
        <v>F</v>
      </c>
      <c r="D402" s="118" t="str">
        <f ca="1">OFFSET(ORÇAMENTO!N$15,ROW(D402)-ROW(D$15),0)</f>
        <v>Nível 2</v>
      </c>
      <c r="E402" s="119" t="str">
        <f ca="1">OFFSET(ORÇAMENTO!O$15,ROW(E402)-ROW(E$15),0)</f>
        <v>1.44.</v>
      </c>
      <c r="F402" s="172" t="str">
        <f ca="1">OFFSET(ORÇAMENTO!R$15,ROW(F402)-ROW(F$15),0)</f>
        <v>INSTALAÇÃO DE GÁS COMBUSTÍVEL</v>
      </c>
      <c r="G402" s="173" t="str">
        <f ca="1">IF($D402&lt;&gt;"Serviço","",OFFSET(ORÇAMENTO!S$15,ROW(G402)-ROW(G$15),0))</f>
        <v/>
      </c>
      <c r="H402" s="124">
        <f ca="1">IF($D402&lt;&gt;"Serviço",0,IF(ACOMPANHAMENTO="BM",ROUND(OFFSET(ORÇAMENTO!AJ$15,ROW(H402)-ROW(H$15),0),15-13*ORÇAMENTO!$AF$7),SUMPRODUCT(($Q$12:$AI$12&lt;&gt;"")*ROUND($Q402:$AI402,15-13*ORÇAMENTO!$AF$7))))</f>
        <v>0</v>
      </c>
      <c r="I402" s="561"/>
      <c r="K402" s="174"/>
      <c r="L402" s="175" t="s">
        <v>255</v>
      </c>
      <c r="M402" s="176" t="str">
        <f ca="1">IF($D402&lt;&gt;"Serviço","",IF(AUTOEVENTO="manual",$A402,IF(ISERROR(MATCH($A402,$A$15:OFFSET($A402,-1,0),0)),MAX($M$15:OFFSET(M402,-1,0))+1,INDEX($M$15:OFFSET(M402,-1,0),MATCH($A402,$A$15:OFFSET($A402,-1,0),0)))))</f>
        <v/>
      </c>
      <c r="N402" s="177" t="str">
        <f ca="1">IF($D402&lt;&gt;"Serviço","",IF(AUTOEVENTO="Manual",IF($A402=0,"&lt;-- defina o número do agrupador",OFFSET(EVENTOS!$D$14,$A402,0)),OFFSET($F$15,$A402,0)))</f>
        <v/>
      </c>
      <c r="O402" s="178"/>
      <c r="Q402" s="178">
        <v>0</v>
      </c>
      <c r="R402" s="179"/>
      <c r="S402" s="179"/>
      <c r="T402" s="179"/>
      <c r="U402" s="179"/>
      <c r="V402" s="179"/>
      <c r="W402" s="179"/>
      <c r="X402" s="179"/>
      <c r="Y402" s="179"/>
      <c r="Z402" s="180"/>
      <c r="AA402" s="179"/>
      <c r="AB402" s="179"/>
      <c r="AC402" s="179"/>
      <c r="AD402" s="179"/>
      <c r="AE402" s="179"/>
      <c r="AF402" s="179"/>
      <c r="AG402" s="179"/>
      <c r="AH402" s="180"/>
      <c r="AJ402" s="544">
        <f ca="1">IF(AND($D402="Serviço",AJ$12&lt;&gt;0,$H402&gt;0,OR(AUTOEVENTO&lt;&gt;"manual",$M402&lt;&gt;1)),
IF(Import.TipoArredondamento&lt;&gt;"TransfereGOV",
ROUND(OFFSET($P402,0,AJ$13),15-13*ORÇAMENTO!$AF$7)/$H402*OFFSET(ORÇAMENTO!$X$15,ROW(AJ402)-ROW(AJ$15),0),
ROUND(ROUND(OFFSET($P402,0,AJ$13),15-13*ORÇAMENTO!$AF$7)*OFFSET(ORÇAMENTO!$W$15,ROW(AJ402)-ROW(AJ$15),0),15-13*ORÇAMENTO!$AF$11)),0)</f>
        <v>0</v>
      </c>
      <c r="AK402" s="545">
        <f ca="1">IF(AND($D402="Serviço",AK$12&lt;&gt;0,$H402&gt;0,OR(AUTOEVENTO&lt;&gt;"manual",$M402&lt;&gt;1)),
IF(Import.TipoArredondamento&lt;&gt;"TransfereGOV",
ROUND(OFFSET($P402,0,AK$13),15-13*ORÇAMENTO!$AF$7)/$H402*OFFSET(ORÇAMENTO!$X$15,ROW(AK402)-ROW(AK$15),0),
ROUND(ROUND(OFFSET($P402,0,AK$13),15-13*ORÇAMENTO!$AF$7)*OFFSET(ORÇAMENTO!$W$15,ROW(AK402)-ROW(AK$15),0),15-13*ORÇAMENTO!$AF$11)),0)</f>
        <v>0</v>
      </c>
      <c r="AL402" s="545">
        <f ca="1">IF(AND($D402="Serviço",AL$12&lt;&gt;0,$H402&gt;0,OR(AUTOEVENTO&lt;&gt;"manual",$M402&lt;&gt;1)),
IF(Import.TipoArredondamento&lt;&gt;"TransfereGOV",
ROUND(OFFSET($P402,0,AL$13),15-13*ORÇAMENTO!$AF$7)/$H402*OFFSET(ORÇAMENTO!$X$15,ROW(AL402)-ROW(AL$15),0),
ROUND(ROUND(OFFSET($P402,0,AL$13),15-13*ORÇAMENTO!$AF$7)*OFFSET(ORÇAMENTO!$W$15,ROW(AL402)-ROW(AL$15),0),15-13*ORÇAMENTO!$AF$11)),0)</f>
        <v>0</v>
      </c>
      <c r="AM402" s="545">
        <f ca="1">IF(AND($D402="Serviço",AM$12&lt;&gt;0,$H402&gt;0,OR(AUTOEVENTO&lt;&gt;"manual",$M402&lt;&gt;1)),
IF(Import.TipoArredondamento&lt;&gt;"TransfereGOV",
ROUND(OFFSET($P402,0,AM$13),15-13*ORÇAMENTO!$AF$7)/$H402*OFFSET(ORÇAMENTO!$X$15,ROW(AM402)-ROW(AM$15),0),
ROUND(ROUND(OFFSET($P402,0,AM$13),15-13*ORÇAMENTO!$AF$7)*OFFSET(ORÇAMENTO!$W$15,ROW(AM402)-ROW(AM$15),0),15-13*ORÇAMENTO!$AF$11)),0)</f>
        <v>0</v>
      </c>
      <c r="AN402" s="545">
        <f ca="1">IF(AND($D402="Serviço",AN$12&lt;&gt;0,$H402&gt;0,OR(AUTOEVENTO&lt;&gt;"manual",$M402&lt;&gt;1)),
IF(Import.TipoArredondamento&lt;&gt;"TransfereGOV",
ROUND(OFFSET($P402,0,AN$13),15-13*ORÇAMENTO!$AF$7)/$H402*OFFSET(ORÇAMENTO!$X$15,ROW(AN402)-ROW(AN$15),0),
ROUND(ROUND(OFFSET($P402,0,AN$13),15-13*ORÇAMENTO!$AF$7)*OFFSET(ORÇAMENTO!$W$15,ROW(AN402)-ROW(AN$15),0),15-13*ORÇAMENTO!$AF$11)),0)</f>
        <v>0</v>
      </c>
      <c r="AO402" s="545">
        <f ca="1">IF(AND($D402="Serviço",AO$12&lt;&gt;0,$H402&gt;0,OR(AUTOEVENTO&lt;&gt;"manual",$M402&lt;&gt;1)),
IF(Import.TipoArredondamento&lt;&gt;"TransfereGOV",
ROUND(OFFSET($P402,0,AO$13),15-13*ORÇAMENTO!$AF$7)/$H402*OFFSET(ORÇAMENTO!$X$15,ROW(AO402)-ROW(AO$15),0),
ROUND(ROUND(OFFSET($P402,0,AO$13),15-13*ORÇAMENTO!$AF$7)*OFFSET(ORÇAMENTO!$W$15,ROW(AO402)-ROW(AO$15),0),15-13*ORÇAMENTO!$AF$11)),0)</f>
        <v>0</v>
      </c>
      <c r="AP402" s="545">
        <f ca="1">IF(AND($D402="Serviço",AP$12&lt;&gt;0,$H402&gt;0,OR(AUTOEVENTO&lt;&gt;"manual",$M402&lt;&gt;1)),
IF(Import.TipoArredondamento&lt;&gt;"TransfereGOV",
ROUND(OFFSET($P402,0,AP$13),15-13*ORÇAMENTO!$AF$7)/$H402*OFFSET(ORÇAMENTO!$X$15,ROW(AP402)-ROW(AP$15),0),
ROUND(ROUND(OFFSET($P402,0,AP$13),15-13*ORÇAMENTO!$AF$7)*OFFSET(ORÇAMENTO!$W$15,ROW(AP402)-ROW(AP$15),0),15-13*ORÇAMENTO!$AF$11)),0)</f>
        <v>0</v>
      </c>
      <c r="AQ402" s="545">
        <f ca="1">IF(AND($D402="Serviço",AQ$12&lt;&gt;0,$H402&gt;0,OR(AUTOEVENTO&lt;&gt;"manual",$M402&lt;&gt;1)),
IF(Import.TipoArredondamento&lt;&gt;"TransfereGOV",
ROUND(OFFSET($P402,0,AQ$13),15-13*ORÇAMENTO!$AF$7)/$H402*OFFSET(ORÇAMENTO!$X$15,ROW(AQ402)-ROW(AQ$15),0),
ROUND(ROUND(OFFSET($P402,0,AQ$13),15-13*ORÇAMENTO!$AF$7)*OFFSET(ORÇAMENTO!$W$15,ROW(AQ402)-ROW(AQ$15),0),15-13*ORÇAMENTO!$AF$11)),0)</f>
        <v>0</v>
      </c>
      <c r="AR402" s="545">
        <f ca="1">IF(AND($D402="Serviço",AR$12&lt;&gt;0,$H402&gt;0,OR(AUTOEVENTO&lt;&gt;"manual",$M402&lt;&gt;1)),
IF(Import.TipoArredondamento&lt;&gt;"TransfereGOV",
ROUND(OFFSET($P402,0,AR$13),15-13*ORÇAMENTO!$AF$7)/$H402*OFFSET(ORÇAMENTO!$X$15,ROW(AR402)-ROW(AR$15),0),
ROUND(ROUND(OFFSET($P402,0,AR$13),15-13*ORÇAMENTO!$AF$7)*OFFSET(ORÇAMENTO!$W$15,ROW(AR402)-ROW(AR$15),0),15-13*ORÇAMENTO!$AF$11)),0)</f>
        <v>0</v>
      </c>
      <c r="AS402" s="546">
        <f ca="1">IF(AND($D402="Serviço",AS$12&lt;&gt;0,$H402&gt;0,OR(AUTOEVENTO&lt;&gt;"manual",$M402&lt;&gt;1)),
IF(Import.TipoArredondamento&lt;&gt;"TransfereGOV",
ROUND(OFFSET($P402,0,AS$13),15-13*ORÇAMENTO!$AF$7)/$H402*OFFSET(ORÇAMENTO!$X$15,ROW(AS402)-ROW(AS$15),0),
ROUND(ROUND(OFFSET($P402,0,AS$13),15-13*ORÇAMENTO!$AF$7)*OFFSET(ORÇAMENTO!$W$15,ROW(AS402)-ROW(AS$15),0),15-13*ORÇAMENTO!$AF$11)),0)</f>
        <v>0</v>
      </c>
      <c r="AT402" s="545">
        <f ca="1">IF(AND($D402="Serviço",AT$12&lt;&gt;0,$H402&gt;0,OR(AUTOEVENTO&lt;&gt;"manual",$M402&lt;&gt;1)),
IF(Import.TipoArredondamento&lt;&gt;"TransfereGOV",
ROUND(OFFSET($P402,0,AT$13),15-13*ORÇAMENTO!$AF$7)/$H402*OFFSET(ORÇAMENTO!$X$15,ROW(AT402)-ROW(AT$15),0),
ROUND(ROUND(OFFSET($P402,0,AT$13),15-13*ORÇAMENTO!$AF$7)*OFFSET(ORÇAMENTO!$W$15,ROW(AT402)-ROW(AT$15),0),15-13*ORÇAMENTO!$AF$11)),0)</f>
        <v>0</v>
      </c>
      <c r="AU402" s="545">
        <f ca="1">IF(AND($D402="Serviço",AU$12&lt;&gt;0,$H402&gt;0,OR(AUTOEVENTO&lt;&gt;"manual",$M402&lt;&gt;1)),
IF(Import.TipoArredondamento&lt;&gt;"TransfereGOV",
ROUND(OFFSET($P402,0,AU$13),15-13*ORÇAMENTO!$AF$7)/$H402*OFFSET(ORÇAMENTO!$X$15,ROW(AU402)-ROW(AU$15),0),
ROUND(ROUND(OFFSET($P402,0,AU$13),15-13*ORÇAMENTO!$AF$7)*OFFSET(ORÇAMENTO!$W$15,ROW(AU402)-ROW(AU$15),0),15-13*ORÇAMENTO!$AF$11)),0)</f>
        <v>0</v>
      </c>
      <c r="AV402" s="545">
        <f ca="1">IF(AND($D402="Serviço",AV$12&lt;&gt;0,$H402&gt;0,OR(AUTOEVENTO&lt;&gt;"manual",$M402&lt;&gt;1)),
IF(Import.TipoArredondamento&lt;&gt;"TransfereGOV",
ROUND(OFFSET($P402,0,AV$13),15-13*ORÇAMENTO!$AF$7)/$H402*OFFSET(ORÇAMENTO!$X$15,ROW(AV402)-ROW(AV$15),0),
ROUND(ROUND(OFFSET($P402,0,AV$13),15-13*ORÇAMENTO!$AF$7)*OFFSET(ORÇAMENTO!$W$15,ROW(AV402)-ROW(AV$15),0),15-13*ORÇAMENTO!$AF$11)),0)</f>
        <v>0</v>
      </c>
      <c r="AW402" s="545">
        <f ca="1">IF(AND($D402="Serviço",AW$12&lt;&gt;0,$H402&gt;0,OR(AUTOEVENTO&lt;&gt;"manual",$M402&lt;&gt;1)),
IF(Import.TipoArredondamento&lt;&gt;"TransfereGOV",
ROUND(OFFSET($P402,0,AW$13),15-13*ORÇAMENTO!$AF$7)/$H402*OFFSET(ORÇAMENTO!$X$15,ROW(AW402)-ROW(AW$15),0),
ROUND(ROUND(OFFSET($P402,0,AW$13),15-13*ORÇAMENTO!$AF$7)*OFFSET(ORÇAMENTO!$W$15,ROW(AW402)-ROW(AW$15),0),15-13*ORÇAMENTO!$AF$11)),0)</f>
        <v>0</v>
      </c>
      <c r="AX402" s="545">
        <f ca="1">IF(AND($D402="Serviço",AX$12&lt;&gt;0,$H402&gt;0,OR(AUTOEVENTO&lt;&gt;"manual",$M402&lt;&gt;1)),
IF(Import.TipoArredondamento&lt;&gt;"TransfereGOV",
ROUND(OFFSET($P402,0,AX$13),15-13*ORÇAMENTO!$AF$7)/$H402*OFFSET(ORÇAMENTO!$X$15,ROW(AX402)-ROW(AX$15),0),
ROUND(ROUND(OFFSET($P402,0,AX$13),15-13*ORÇAMENTO!$AF$7)*OFFSET(ORÇAMENTO!$W$15,ROW(AX402)-ROW(AX$15),0),15-13*ORÇAMENTO!$AF$11)),0)</f>
        <v>0</v>
      </c>
      <c r="AY402" s="545">
        <f ca="1">IF(AND($D402="Serviço",AY$12&lt;&gt;0,$H402&gt;0,OR(AUTOEVENTO&lt;&gt;"manual",$M402&lt;&gt;1)),
IF(Import.TipoArredondamento&lt;&gt;"TransfereGOV",
ROUND(OFFSET($P402,0,AY$13),15-13*ORÇAMENTO!$AF$7)/$H402*OFFSET(ORÇAMENTO!$X$15,ROW(AY402)-ROW(AY$15),0),
ROUND(ROUND(OFFSET($P402,0,AY$13),15-13*ORÇAMENTO!$AF$7)*OFFSET(ORÇAMENTO!$W$15,ROW(AY402)-ROW(AY$15),0),15-13*ORÇAMENTO!$AF$11)),0)</f>
        <v>0</v>
      </c>
      <c r="AZ402" s="545">
        <f ca="1">IF(AND($D402="Serviço",AZ$12&lt;&gt;0,$H402&gt;0,OR(AUTOEVENTO&lt;&gt;"manual",$M402&lt;&gt;1)),
IF(Import.TipoArredondamento&lt;&gt;"TransfereGOV",
ROUND(OFFSET($P402,0,AZ$13),15-13*ORÇAMENTO!$AF$7)/$H402*OFFSET(ORÇAMENTO!$X$15,ROW(AZ402)-ROW(AZ$15),0),
ROUND(ROUND(OFFSET($P402,0,AZ$13),15-13*ORÇAMENTO!$AF$7)*OFFSET(ORÇAMENTO!$W$15,ROW(AZ402)-ROW(AZ$15),0),15-13*ORÇAMENTO!$AF$11)),0)</f>
        <v>0</v>
      </c>
      <c r="BA402" s="546">
        <f ca="1">IF(AND($D402="Serviço",BA$12&lt;&gt;0,$H402&gt;0,OR(AUTOEVENTO&lt;&gt;"manual",$M402&lt;&gt;1)),
IF(Import.TipoArredondamento&lt;&gt;"TransfereGOV",
ROUND(OFFSET($P402,0,BA$13),15-13*ORÇAMENTO!$AF$7)/$H402*OFFSET(ORÇAMENTO!$X$15,ROW(BA402)-ROW(BA$15),0),
ROUND(ROUND(OFFSET($P402,0,BA$13),15-13*ORÇAMENTO!$AF$7)*OFFSET(ORÇAMENTO!$W$15,ROW(BA402)-ROW(BA$15),0),15-13*ORÇAMENTO!$AF$11)),0)</f>
        <v>0</v>
      </c>
      <c r="BC402" s="181">
        <f ca="1">IF($D402&lt;&gt;"Serviço",0,IF(AND(AUTOEVENTO="Manual",$M402=1),0,IF(OFFSET(CRONOPLE!$F$14,$M402,BC$13)="",10^12,OFFSET(CRONOPLE!$F$14,$M402,BC$13))))</f>
        <v>0</v>
      </c>
      <c r="BD402" s="181">
        <f ca="1">IF($D402&lt;&gt;"Serviço",0,IF(AND(AUTOEVENTO="Manual",$M402=1),0,IF(OFFSET(CRONOPLE!$F$14,$M402,BD$13)="",10^12,OFFSET(CRONOPLE!$F$14,$M402,BD$13))))</f>
        <v>0</v>
      </c>
      <c r="BE402" s="181">
        <f ca="1">IF($D402&lt;&gt;"Serviço",0,IF(AND(AUTOEVENTO="Manual",$M402=1),0,IF(OFFSET(CRONOPLE!$F$14,$M402,BE$13)="",10^12,OFFSET(CRONOPLE!$F$14,$M402,BE$13))))</f>
        <v>0</v>
      </c>
      <c r="BF402" s="181">
        <f ca="1">IF($D402&lt;&gt;"Serviço",0,IF(AND(AUTOEVENTO="Manual",$M402=1),0,IF(OFFSET(CRONOPLE!$F$14,$M402,BF$13)="",10^12,OFFSET(CRONOPLE!$F$14,$M402,BF$13))))</f>
        <v>0</v>
      </c>
      <c r="BG402" s="181">
        <f ca="1">IF($D402&lt;&gt;"Serviço",0,IF(AND(AUTOEVENTO="Manual",$M402=1),0,IF(OFFSET(CRONOPLE!$F$14,$M402,BG$13)="",10^12,OFFSET(CRONOPLE!$F$14,$M402,BG$13))))</f>
        <v>0</v>
      </c>
      <c r="BH402" s="181">
        <f ca="1">IF($D402&lt;&gt;"Serviço",0,IF(AND(AUTOEVENTO="Manual",$M402=1),0,IF(OFFSET(CRONOPLE!$F$14,$M402,BH$13)="",10^12,OFFSET(CRONOPLE!$F$14,$M402,BH$13))))</f>
        <v>0</v>
      </c>
      <c r="BI402" s="181">
        <f ca="1">IF($D402&lt;&gt;"Serviço",0,IF(AND(AUTOEVENTO="Manual",$M402=1),0,IF(OFFSET(CRONOPLE!$F$14,$M402,BI$13)="",10^12,OFFSET(CRONOPLE!$F$14,$M402,BI$13))))</f>
        <v>0</v>
      </c>
      <c r="BJ402" s="181">
        <f ca="1">IF($D402&lt;&gt;"Serviço",0,IF(AND(AUTOEVENTO="Manual",$M402=1),0,IF(OFFSET(CRONOPLE!$F$14,$M402,BJ$13)="",10^12,OFFSET(CRONOPLE!$F$14,$M402,BJ$13))))</f>
        <v>0</v>
      </c>
      <c r="BK402" s="181">
        <f ca="1">IF($D402&lt;&gt;"Serviço",0,IF(AND(AUTOEVENTO="Manual",$M402=1),0,IF(OFFSET(CRONOPLE!$F$14,$M402,BK$13)="",10^12,OFFSET(CRONOPLE!$F$14,$M402,BK$13))))</f>
        <v>0</v>
      </c>
      <c r="BL402" s="181">
        <f ca="1">IF($D402&lt;&gt;"Serviço",0,IF(AND(AUTOEVENTO="Manual",$M402=1),0,IF(OFFSET(CRONOPLE!$F$14,$M402,BL$13)="",10^12,OFFSET(CRONOPLE!$F$14,$M402,BL$13))))</f>
        <v>0</v>
      </c>
      <c r="BM402" s="181">
        <f ca="1">IF($D402&lt;&gt;"Serviço",0,IF(AND(AUTOEVENTO="Manual",$M402=1),0,IF(OFFSET(CRONOPLE!$F$14,$M402,BM$13)="",10^12,OFFSET(CRONOPLE!$F$14,$M402,BM$13))))</f>
        <v>0</v>
      </c>
      <c r="BN402" s="181">
        <f ca="1">IF($D402&lt;&gt;"Serviço",0,IF(AND(AUTOEVENTO="Manual",$M402=1),0,IF(OFFSET(CRONOPLE!$F$14,$M402,BN$13)="",10^12,OFFSET(CRONOPLE!$F$14,$M402,BN$13))))</f>
        <v>0</v>
      </c>
      <c r="BO402" s="181">
        <f ca="1">IF($D402&lt;&gt;"Serviço",0,IF(AND(AUTOEVENTO="Manual",$M402=1),0,IF(OFFSET(CRONOPLE!$F$14,$M402,BO$13)="",10^12,OFFSET(CRONOPLE!$F$14,$M402,BO$13))))</f>
        <v>0</v>
      </c>
      <c r="BP402" s="181">
        <f ca="1">IF($D402&lt;&gt;"Serviço",0,IF(AND(AUTOEVENTO="Manual",$M402=1),0,IF(OFFSET(CRONOPLE!$F$14,$M402,BP$13)="",10^12,OFFSET(CRONOPLE!$F$14,$M402,BP$13))))</f>
        <v>0</v>
      </c>
      <c r="BQ402" s="181">
        <f ca="1">IF($D402&lt;&gt;"Serviço",0,IF(AND(AUTOEVENTO="Manual",$M402=1),0,IF(OFFSET(CRONOPLE!$F$14,$M402,BQ$13)="",10^12,OFFSET(CRONOPLE!$F$14,$M402,BQ$13))))</f>
        <v>0</v>
      </c>
      <c r="BR402" s="181">
        <f ca="1">IF($D402&lt;&gt;"Serviço",0,IF(AND(AUTOEVENTO="Manual",$M402=1),0,IF(OFFSET(CRONOPLE!$F$14,$M402,BR$13)="",10^12,OFFSET(CRONOPLE!$F$14,$M402,BR$13))))</f>
        <v>0</v>
      </c>
      <c r="BS402" s="181">
        <f ca="1">IF($D402&lt;&gt;"Serviço",0,IF(AND(AUTOEVENTO="Manual",$M402=1),0,IF(OFFSET(CRONOPLE!$F$14,$M402,BS$13)="",10^12,OFFSET(CRONOPLE!$F$14,$M402,BS$13))))</f>
        <v>0</v>
      </c>
      <c r="BT402" s="181">
        <f ca="1">IF($D402&lt;&gt;"Serviço",0,IF(AND(AUTOEVENTO="Manual",$M402=1),0,IF(OFFSET(CRONOPLE!$F$14,$M402,BT$13)="",10^12,OFFSET(CRONOPLE!$F$14,$M402,BT$13))))</f>
        <v>0</v>
      </c>
      <c r="BV402" s="182">
        <f ca="1">IF($D402&lt;&gt;"Serviço",0,IF(OR(AND(AUTOEVENTO="Manual",$M402=1),$M402&gt;(ROW(PLE.lastrow)-ROW(PLE.firstrow))),0,IF(OFFSET(PLE!$G$14,$M402,BV$13)="",10^12,OFFSET(PLE!$G$14,$M402,BV$13))))</f>
        <v>0</v>
      </c>
      <c r="BW402" s="182">
        <f ca="1">IF($D402&lt;&gt;"Serviço",0,IF(OR(AND(AUTOEVENTO="Manual",$M402=1),$M402&gt;(ROW(PLE.lastrow)-ROW(PLE.firstrow))),0,IF(OFFSET(PLE!$G$14,$M402,BW$13)="",10^12,OFFSET(PLE!$G$14,$M402,BW$13))))</f>
        <v>0</v>
      </c>
      <c r="BX402" s="182">
        <f ca="1">IF($D402&lt;&gt;"Serviço",0,IF(OR(AND(AUTOEVENTO="Manual",$M402=1),$M402&gt;(ROW(PLE.lastrow)-ROW(PLE.firstrow))),0,IF(OFFSET(PLE!$G$14,$M402,BX$13)="",10^12,OFFSET(PLE!$G$14,$M402,BX$13))))</f>
        <v>0</v>
      </c>
      <c r="BY402" s="182">
        <f ca="1">IF($D402&lt;&gt;"Serviço",0,IF(OR(AND(AUTOEVENTO="Manual",$M402=1),$M402&gt;(ROW(PLE.lastrow)-ROW(PLE.firstrow))),0,IF(OFFSET(PLE!$G$14,$M402,BY$13)="",10^12,OFFSET(PLE!$G$14,$M402,BY$13))))</f>
        <v>0</v>
      </c>
      <c r="BZ402" s="182">
        <f ca="1">IF($D402&lt;&gt;"Serviço",0,IF(OR(AND(AUTOEVENTO="Manual",$M402=1),$M402&gt;(ROW(PLE.lastrow)-ROW(PLE.firstrow))),0,IF(OFFSET(PLE!$G$14,$M402,BZ$13)="",10^12,OFFSET(PLE!$G$14,$M402,BZ$13))))</f>
        <v>0</v>
      </c>
      <c r="CA402" s="182">
        <f ca="1">IF($D402&lt;&gt;"Serviço",0,IF(OR(AND(AUTOEVENTO="Manual",$M402=1),$M402&gt;(ROW(PLE.lastrow)-ROW(PLE.firstrow))),0,IF(OFFSET(PLE!$G$14,$M402,CA$13)="",10^12,OFFSET(PLE!$G$14,$M402,CA$13))))</f>
        <v>0</v>
      </c>
      <c r="CB402" s="182">
        <f ca="1">IF($D402&lt;&gt;"Serviço",0,IF(OR(AND(AUTOEVENTO="Manual",$M402=1),$M402&gt;(ROW(PLE.lastrow)-ROW(PLE.firstrow))),0,IF(OFFSET(PLE!$G$14,$M402,CB$13)="",10^12,OFFSET(PLE!$G$14,$M402,CB$13))))</f>
        <v>0</v>
      </c>
      <c r="CC402" s="182">
        <f ca="1">IF($D402&lt;&gt;"Serviço",0,IF(OR(AND(AUTOEVENTO="Manual",$M402=1),$M402&gt;(ROW(PLE.lastrow)-ROW(PLE.firstrow))),0,IF(OFFSET(PLE!$G$14,$M402,CC$13)="",10^12,OFFSET(PLE!$G$14,$M402,CC$13))))</f>
        <v>0</v>
      </c>
      <c r="CD402" s="182">
        <f ca="1">IF($D402&lt;&gt;"Serviço",0,IF(OR(AND(AUTOEVENTO="Manual",$M402=1),$M402&gt;(ROW(PLE.lastrow)-ROW(PLE.firstrow))),0,IF(OFFSET(PLE!$G$14,$M402,CD$13)="",10^12,OFFSET(PLE!$G$14,$M402,CD$13))))</f>
        <v>0</v>
      </c>
      <c r="CE402" s="182">
        <f ca="1">IF($D402&lt;&gt;"Serviço",0,IF(OR(AND(AUTOEVENTO="Manual",$M402=1),$M402&gt;(ROW(PLE.lastrow)-ROW(PLE.firstrow))),0,IF(OFFSET(PLE!$G$14,$M402,CE$13)="",10^12,OFFSET(PLE!$G$14,$M402,CE$13))))</f>
        <v>0</v>
      </c>
      <c r="CF402" s="182">
        <f ca="1">IF($D402&lt;&gt;"Serviço",0,IF(OR(AND(AUTOEVENTO="Manual",$M402=1),$M402&gt;(ROW(PLE.lastrow)-ROW(PLE.firstrow))),0,IF(OFFSET(PLE!$G$14,$M402,CF$13)="",10^12,OFFSET(PLE!$G$14,$M402,CF$13))))</f>
        <v>0</v>
      </c>
      <c r="CG402" s="182">
        <f ca="1">IF($D402&lt;&gt;"Serviço",0,IF(OR(AND(AUTOEVENTO="Manual",$M402=1),$M402&gt;(ROW(PLE.lastrow)-ROW(PLE.firstrow))),0,IF(OFFSET(PLE!$G$14,$M402,CG$13)="",10^12,OFFSET(PLE!$G$14,$M402,CG$13))))</f>
        <v>0</v>
      </c>
      <c r="CH402" s="182">
        <f ca="1">IF($D402&lt;&gt;"Serviço",0,IF(OR(AND(AUTOEVENTO="Manual",$M402=1),$M402&gt;(ROW(PLE.lastrow)-ROW(PLE.firstrow))),0,IF(OFFSET(PLE!$G$14,$M402,CH$13)="",10^12,OFFSET(PLE!$G$14,$M402,CH$13))))</f>
        <v>0</v>
      </c>
      <c r="CI402" s="182">
        <f ca="1">IF($D402&lt;&gt;"Serviço",0,IF(OR(AND(AUTOEVENTO="Manual",$M402=1),$M402&gt;(ROW(PLE.lastrow)-ROW(PLE.firstrow))),0,IF(OFFSET(PLE!$G$14,$M402,CI$13)="",10^12,OFFSET(PLE!$G$14,$M402,CI$13))))</f>
        <v>0</v>
      </c>
      <c r="CJ402" s="182">
        <f ca="1">IF($D402&lt;&gt;"Serviço",0,IF(OR(AND(AUTOEVENTO="Manual",$M402=1),$M402&gt;(ROW(PLE.lastrow)-ROW(PLE.firstrow))),0,IF(OFFSET(PLE!$G$14,$M402,CJ$13)="",10^12,OFFSET(PLE!$G$14,$M402,CJ$13))))</f>
        <v>0</v>
      </c>
      <c r="CK402" s="182">
        <f ca="1">IF($D402&lt;&gt;"Serviço",0,IF(OR(AND(AUTOEVENTO="Manual",$M402=1),$M402&gt;(ROW(PLE.lastrow)-ROW(PLE.firstrow))),0,IF(OFFSET(PLE!$G$14,$M402,CK$13)="",10^12,OFFSET(PLE!$G$14,$M402,CK$13))))</f>
        <v>0</v>
      </c>
      <c r="CL402" s="182">
        <f ca="1">IF($D402&lt;&gt;"Serviço",0,IF(OR(AND(AUTOEVENTO="Manual",$M402=1),$M402&gt;(ROW(PLE.lastrow)-ROW(PLE.firstrow))),0,IF(OFFSET(PLE!$G$14,$M402,CL$13)="",10^12,OFFSET(PLE!$G$14,$M402,CL$13))))</f>
        <v>0</v>
      </c>
      <c r="CM402" s="182">
        <f ca="1">IF($D402&lt;&gt;"Serviço",0,IF(OR(AND(AUTOEVENTO="Manual",$M402=1),$M402&gt;(ROW(PLE.lastrow)-ROW(PLE.firstrow))),0,IF(OFFSET(PLE!$G$14,$M402,CM$13)="",10^12,OFFSET(PLE!$G$14,$M402,CM$13))))</f>
        <v>0</v>
      </c>
    </row>
    <row r="403" spans="1:91" ht="25.5" x14ac:dyDescent="0.2">
      <c r="A403" s="7" t="str">
        <f t="shared" ca="1" si="13"/>
        <v>387</v>
      </c>
      <c r="B403" s="7" t="str">
        <f ca="1">OFFSET(ORÇAMENTO!C$15,ROW(B403)-ROW(B$15),0)</f>
        <v>S</v>
      </c>
      <c r="C403" s="7" t="str">
        <f ca="1">OFFSET(ORÇAMENTO!L$15,ROW(C403)-ROW(C$15),0)</f>
        <v/>
      </c>
      <c r="D403" s="118" t="str">
        <f ca="1">OFFSET(ORÇAMENTO!N$15,ROW(D403)-ROW(D$15),0)</f>
        <v>Serviço</v>
      </c>
      <c r="E403" s="119" t="str">
        <f ca="1">OFFSET(ORÇAMENTO!O$15,ROW(E403)-ROW(E$15),0)</f>
        <v>-</v>
      </c>
      <c r="F403" s="172" t="str">
        <f ca="1">OFFSET(ORÇAMENTO!R$15,ROW(F403)-ROW(F$15),0)</f>
        <v>(abra o arquivo 'Referência 06-2024.xlsm)</v>
      </c>
      <c r="G403" s="173" t="str">
        <f ca="1">IF($D403&lt;&gt;"Serviço","",OFFSET(ORÇAMENTO!S$15,ROW(G403)-ROW(G$15),0))</f>
        <v>-</v>
      </c>
      <c r="H403" s="124">
        <f ca="1">IF($D403&lt;&gt;"Serviço",0,IF(ACOMPANHAMENTO="BM",ROUND(OFFSET(ORÇAMENTO!AJ$15,ROW(H403)-ROW(H$15),0),15-13*ORÇAMENTO!$AF$7),SUMPRODUCT(($Q$12:$AI$12&lt;&gt;"")*ROUND($Q403:$AI403,15-13*ORÇAMENTO!$AF$7))))</f>
        <v>2</v>
      </c>
      <c r="I403" s="561" t="s">
        <v>1107</v>
      </c>
      <c r="K403" s="174"/>
      <c r="L403" s="175" t="s">
        <v>255</v>
      </c>
      <c r="M403" s="176">
        <f ca="1">IF($D403&lt;&gt;"Serviço","",IF(AUTOEVENTO="manual",$A403,IF(ISERROR(MATCH($A403,$A$15:OFFSET($A403,-1,0),0)),MAX($M$15:OFFSET(M403,-1,0))+1,INDEX($M$15:OFFSET(M403,-1,0),MATCH($A403,$A$15:OFFSET($A403,-1,0),0)))))</f>
        <v>45</v>
      </c>
      <c r="N403" s="177" t="str">
        <f ca="1">IF($D403&lt;&gt;"Serviço","",IF(AUTOEVENTO="Manual",IF($A403=0,"&lt;-- defina o número do agrupador",OFFSET(EVENTOS!$D$14,$A403,0)),OFFSET($F$15,$A403,0)))</f>
        <v>INSTALAÇÃO DE GÁS COMBUSTÍVEL</v>
      </c>
      <c r="O403" s="178"/>
      <c r="Q403" s="178">
        <v>2</v>
      </c>
      <c r="R403" s="179"/>
      <c r="S403" s="179"/>
      <c r="T403" s="179"/>
      <c r="U403" s="179"/>
      <c r="V403" s="179"/>
      <c r="W403" s="179"/>
      <c r="X403" s="179"/>
      <c r="Y403" s="179"/>
      <c r="Z403" s="180"/>
      <c r="AA403" s="179"/>
      <c r="AB403" s="179"/>
      <c r="AC403" s="179"/>
      <c r="AD403" s="179"/>
      <c r="AE403" s="179"/>
      <c r="AF403" s="179"/>
      <c r="AG403" s="179"/>
      <c r="AH403" s="180"/>
      <c r="AJ403" s="544">
        <f ca="1">IF(AND($D403="Serviço",AJ$12&lt;&gt;0,$H403&gt;0,OR(AUTOEVENTO&lt;&gt;"manual",$M403&lt;&gt;1)),
IF(Import.TipoArredondamento&lt;&gt;"TransfereGOV",
ROUND(OFFSET($P403,0,AJ$13),15-13*ORÇAMENTO!$AF$7)/$H403*OFFSET(ORÇAMENTO!$X$15,ROW(AJ403)-ROW(AJ$15),0),
ROUND(ROUND(OFFSET($P403,0,AJ$13),15-13*ORÇAMENTO!$AF$7)*OFFSET(ORÇAMENTO!$W$15,ROW(AJ403)-ROW(AJ$15),0),15-13*ORÇAMENTO!$AF$11)),0)</f>
        <v>0</v>
      </c>
      <c r="AK403" s="545">
        <f ca="1">IF(AND($D403="Serviço",AK$12&lt;&gt;0,$H403&gt;0,OR(AUTOEVENTO&lt;&gt;"manual",$M403&lt;&gt;1)),
IF(Import.TipoArredondamento&lt;&gt;"TransfereGOV",
ROUND(OFFSET($P403,0,AK$13),15-13*ORÇAMENTO!$AF$7)/$H403*OFFSET(ORÇAMENTO!$X$15,ROW(AK403)-ROW(AK$15),0),
ROUND(ROUND(OFFSET($P403,0,AK$13),15-13*ORÇAMENTO!$AF$7)*OFFSET(ORÇAMENTO!$W$15,ROW(AK403)-ROW(AK$15),0),15-13*ORÇAMENTO!$AF$11)),0)</f>
        <v>0</v>
      </c>
      <c r="AL403" s="545">
        <f ca="1">IF(AND($D403="Serviço",AL$12&lt;&gt;0,$H403&gt;0,OR(AUTOEVENTO&lt;&gt;"manual",$M403&lt;&gt;1)),
IF(Import.TipoArredondamento&lt;&gt;"TransfereGOV",
ROUND(OFFSET($P403,0,AL$13),15-13*ORÇAMENTO!$AF$7)/$H403*OFFSET(ORÇAMENTO!$X$15,ROW(AL403)-ROW(AL$15),0),
ROUND(ROUND(OFFSET($P403,0,AL$13),15-13*ORÇAMENTO!$AF$7)*OFFSET(ORÇAMENTO!$W$15,ROW(AL403)-ROW(AL$15),0),15-13*ORÇAMENTO!$AF$11)),0)</f>
        <v>0</v>
      </c>
      <c r="AM403" s="545">
        <f ca="1">IF(AND($D403="Serviço",AM$12&lt;&gt;0,$H403&gt;0,OR(AUTOEVENTO&lt;&gt;"manual",$M403&lt;&gt;1)),
IF(Import.TipoArredondamento&lt;&gt;"TransfereGOV",
ROUND(OFFSET($P403,0,AM$13),15-13*ORÇAMENTO!$AF$7)/$H403*OFFSET(ORÇAMENTO!$X$15,ROW(AM403)-ROW(AM$15),0),
ROUND(ROUND(OFFSET($P403,0,AM$13),15-13*ORÇAMENTO!$AF$7)*OFFSET(ORÇAMENTO!$W$15,ROW(AM403)-ROW(AM$15),0),15-13*ORÇAMENTO!$AF$11)),0)</f>
        <v>0</v>
      </c>
      <c r="AN403" s="545">
        <f ca="1">IF(AND($D403="Serviço",AN$12&lt;&gt;0,$H403&gt;0,OR(AUTOEVENTO&lt;&gt;"manual",$M403&lt;&gt;1)),
IF(Import.TipoArredondamento&lt;&gt;"TransfereGOV",
ROUND(OFFSET($P403,0,AN$13),15-13*ORÇAMENTO!$AF$7)/$H403*OFFSET(ORÇAMENTO!$X$15,ROW(AN403)-ROW(AN$15),0),
ROUND(ROUND(OFFSET($P403,0,AN$13),15-13*ORÇAMENTO!$AF$7)*OFFSET(ORÇAMENTO!$W$15,ROW(AN403)-ROW(AN$15),0),15-13*ORÇAMENTO!$AF$11)),0)</f>
        <v>0</v>
      </c>
      <c r="AO403" s="545">
        <f ca="1">IF(AND($D403="Serviço",AO$12&lt;&gt;0,$H403&gt;0,OR(AUTOEVENTO&lt;&gt;"manual",$M403&lt;&gt;1)),
IF(Import.TipoArredondamento&lt;&gt;"TransfereGOV",
ROUND(OFFSET($P403,0,AO$13),15-13*ORÇAMENTO!$AF$7)/$H403*OFFSET(ORÇAMENTO!$X$15,ROW(AO403)-ROW(AO$15),0),
ROUND(ROUND(OFFSET($P403,0,AO$13),15-13*ORÇAMENTO!$AF$7)*OFFSET(ORÇAMENTO!$W$15,ROW(AO403)-ROW(AO$15),0),15-13*ORÇAMENTO!$AF$11)),0)</f>
        <v>0</v>
      </c>
      <c r="AP403" s="545">
        <f ca="1">IF(AND($D403="Serviço",AP$12&lt;&gt;0,$H403&gt;0,OR(AUTOEVENTO&lt;&gt;"manual",$M403&lt;&gt;1)),
IF(Import.TipoArredondamento&lt;&gt;"TransfereGOV",
ROUND(OFFSET($P403,0,AP$13),15-13*ORÇAMENTO!$AF$7)/$H403*OFFSET(ORÇAMENTO!$X$15,ROW(AP403)-ROW(AP$15),0),
ROUND(ROUND(OFFSET($P403,0,AP$13),15-13*ORÇAMENTO!$AF$7)*OFFSET(ORÇAMENTO!$W$15,ROW(AP403)-ROW(AP$15),0),15-13*ORÇAMENTO!$AF$11)),0)</f>
        <v>0</v>
      </c>
      <c r="AQ403" s="545">
        <f ca="1">IF(AND($D403="Serviço",AQ$12&lt;&gt;0,$H403&gt;0,OR(AUTOEVENTO&lt;&gt;"manual",$M403&lt;&gt;1)),
IF(Import.TipoArredondamento&lt;&gt;"TransfereGOV",
ROUND(OFFSET($P403,0,AQ$13),15-13*ORÇAMENTO!$AF$7)/$H403*OFFSET(ORÇAMENTO!$X$15,ROW(AQ403)-ROW(AQ$15),0),
ROUND(ROUND(OFFSET($P403,0,AQ$13),15-13*ORÇAMENTO!$AF$7)*OFFSET(ORÇAMENTO!$W$15,ROW(AQ403)-ROW(AQ$15),0),15-13*ORÇAMENTO!$AF$11)),0)</f>
        <v>0</v>
      </c>
      <c r="AR403" s="545">
        <f ca="1">IF(AND($D403="Serviço",AR$12&lt;&gt;0,$H403&gt;0,OR(AUTOEVENTO&lt;&gt;"manual",$M403&lt;&gt;1)),
IF(Import.TipoArredondamento&lt;&gt;"TransfereGOV",
ROUND(OFFSET($P403,0,AR$13),15-13*ORÇAMENTO!$AF$7)/$H403*OFFSET(ORÇAMENTO!$X$15,ROW(AR403)-ROW(AR$15),0),
ROUND(ROUND(OFFSET($P403,0,AR$13),15-13*ORÇAMENTO!$AF$7)*OFFSET(ORÇAMENTO!$W$15,ROW(AR403)-ROW(AR$15),0),15-13*ORÇAMENTO!$AF$11)),0)</f>
        <v>0</v>
      </c>
      <c r="AS403" s="546">
        <f ca="1">IF(AND($D403="Serviço",AS$12&lt;&gt;0,$H403&gt;0,OR(AUTOEVENTO&lt;&gt;"manual",$M403&lt;&gt;1)),
IF(Import.TipoArredondamento&lt;&gt;"TransfereGOV",
ROUND(OFFSET($P403,0,AS$13),15-13*ORÇAMENTO!$AF$7)/$H403*OFFSET(ORÇAMENTO!$X$15,ROW(AS403)-ROW(AS$15),0),
ROUND(ROUND(OFFSET($P403,0,AS$13),15-13*ORÇAMENTO!$AF$7)*OFFSET(ORÇAMENTO!$W$15,ROW(AS403)-ROW(AS$15),0),15-13*ORÇAMENTO!$AF$11)),0)</f>
        <v>0</v>
      </c>
      <c r="AT403" s="545">
        <f ca="1">IF(AND($D403="Serviço",AT$12&lt;&gt;0,$H403&gt;0,OR(AUTOEVENTO&lt;&gt;"manual",$M403&lt;&gt;1)),
IF(Import.TipoArredondamento&lt;&gt;"TransfereGOV",
ROUND(OFFSET($P403,0,AT$13),15-13*ORÇAMENTO!$AF$7)/$H403*OFFSET(ORÇAMENTO!$X$15,ROW(AT403)-ROW(AT$15),0),
ROUND(ROUND(OFFSET($P403,0,AT$13),15-13*ORÇAMENTO!$AF$7)*OFFSET(ORÇAMENTO!$W$15,ROW(AT403)-ROW(AT$15),0),15-13*ORÇAMENTO!$AF$11)),0)</f>
        <v>0</v>
      </c>
      <c r="AU403" s="545">
        <f ca="1">IF(AND($D403="Serviço",AU$12&lt;&gt;0,$H403&gt;0,OR(AUTOEVENTO&lt;&gt;"manual",$M403&lt;&gt;1)),
IF(Import.TipoArredondamento&lt;&gt;"TransfereGOV",
ROUND(OFFSET($P403,0,AU$13),15-13*ORÇAMENTO!$AF$7)/$H403*OFFSET(ORÇAMENTO!$X$15,ROW(AU403)-ROW(AU$15),0),
ROUND(ROUND(OFFSET($P403,0,AU$13),15-13*ORÇAMENTO!$AF$7)*OFFSET(ORÇAMENTO!$W$15,ROW(AU403)-ROW(AU$15),0),15-13*ORÇAMENTO!$AF$11)),0)</f>
        <v>0</v>
      </c>
      <c r="AV403" s="545">
        <f ca="1">IF(AND($D403="Serviço",AV$12&lt;&gt;0,$H403&gt;0,OR(AUTOEVENTO&lt;&gt;"manual",$M403&lt;&gt;1)),
IF(Import.TipoArredondamento&lt;&gt;"TransfereGOV",
ROUND(OFFSET($P403,0,AV$13),15-13*ORÇAMENTO!$AF$7)/$H403*OFFSET(ORÇAMENTO!$X$15,ROW(AV403)-ROW(AV$15),0),
ROUND(ROUND(OFFSET($P403,0,AV$13),15-13*ORÇAMENTO!$AF$7)*OFFSET(ORÇAMENTO!$W$15,ROW(AV403)-ROW(AV$15),0),15-13*ORÇAMENTO!$AF$11)),0)</f>
        <v>0</v>
      </c>
      <c r="AW403" s="545">
        <f ca="1">IF(AND($D403="Serviço",AW$12&lt;&gt;0,$H403&gt;0,OR(AUTOEVENTO&lt;&gt;"manual",$M403&lt;&gt;1)),
IF(Import.TipoArredondamento&lt;&gt;"TransfereGOV",
ROUND(OFFSET($P403,0,AW$13),15-13*ORÇAMENTO!$AF$7)/$H403*OFFSET(ORÇAMENTO!$X$15,ROW(AW403)-ROW(AW$15),0),
ROUND(ROUND(OFFSET($P403,0,AW$13),15-13*ORÇAMENTO!$AF$7)*OFFSET(ORÇAMENTO!$W$15,ROW(AW403)-ROW(AW$15),0),15-13*ORÇAMENTO!$AF$11)),0)</f>
        <v>0</v>
      </c>
      <c r="AX403" s="545">
        <f ca="1">IF(AND($D403="Serviço",AX$12&lt;&gt;0,$H403&gt;0,OR(AUTOEVENTO&lt;&gt;"manual",$M403&lt;&gt;1)),
IF(Import.TipoArredondamento&lt;&gt;"TransfereGOV",
ROUND(OFFSET($P403,0,AX$13),15-13*ORÇAMENTO!$AF$7)/$H403*OFFSET(ORÇAMENTO!$X$15,ROW(AX403)-ROW(AX$15),0),
ROUND(ROUND(OFFSET($P403,0,AX$13),15-13*ORÇAMENTO!$AF$7)*OFFSET(ORÇAMENTO!$W$15,ROW(AX403)-ROW(AX$15),0),15-13*ORÇAMENTO!$AF$11)),0)</f>
        <v>0</v>
      </c>
      <c r="AY403" s="545">
        <f ca="1">IF(AND($D403="Serviço",AY$12&lt;&gt;0,$H403&gt;0,OR(AUTOEVENTO&lt;&gt;"manual",$M403&lt;&gt;1)),
IF(Import.TipoArredondamento&lt;&gt;"TransfereGOV",
ROUND(OFFSET($P403,0,AY$13),15-13*ORÇAMENTO!$AF$7)/$H403*OFFSET(ORÇAMENTO!$X$15,ROW(AY403)-ROW(AY$15),0),
ROUND(ROUND(OFFSET($P403,0,AY$13),15-13*ORÇAMENTO!$AF$7)*OFFSET(ORÇAMENTO!$W$15,ROW(AY403)-ROW(AY$15),0),15-13*ORÇAMENTO!$AF$11)),0)</f>
        <v>0</v>
      </c>
      <c r="AZ403" s="545">
        <f ca="1">IF(AND($D403="Serviço",AZ$12&lt;&gt;0,$H403&gt;0,OR(AUTOEVENTO&lt;&gt;"manual",$M403&lt;&gt;1)),
IF(Import.TipoArredondamento&lt;&gt;"TransfereGOV",
ROUND(OFFSET($P403,0,AZ$13),15-13*ORÇAMENTO!$AF$7)/$H403*OFFSET(ORÇAMENTO!$X$15,ROW(AZ403)-ROW(AZ$15),0),
ROUND(ROUND(OFFSET($P403,0,AZ$13),15-13*ORÇAMENTO!$AF$7)*OFFSET(ORÇAMENTO!$W$15,ROW(AZ403)-ROW(AZ$15),0),15-13*ORÇAMENTO!$AF$11)),0)</f>
        <v>0</v>
      </c>
      <c r="BA403" s="546">
        <f ca="1">IF(AND($D403="Serviço",BA$12&lt;&gt;0,$H403&gt;0,OR(AUTOEVENTO&lt;&gt;"manual",$M403&lt;&gt;1)),
IF(Import.TipoArredondamento&lt;&gt;"TransfereGOV",
ROUND(OFFSET($P403,0,BA$13),15-13*ORÇAMENTO!$AF$7)/$H403*OFFSET(ORÇAMENTO!$X$15,ROW(BA403)-ROW(BA$15),0),
ROUND(ROUND(OFFSET($P403,0,BA$13),15-13*ORÇAMENTO!$AF$7)*OFFSET(ORÇAMENTO!$W$15,ROW(BA403)-ROW(BA$15),0),15-13*ORÇAMENTO!$AF$11)),0)</f>
        <v>0</v>
      </c>
      <c r="BC403" s="181">
        <f ca="1">IF($D403&lt;&gt;"Serviço",0,IF(AND(AUTOEVENTO="Manual",$M403=1),0,IF(OFFSET(CRONOPLE!$F$14,$M403,BC$13)="",10^12,OFFSET(CRONOPLE!$F$14,$M403,BC$13))))</f>
        <v>10</v>
      </c>
      <c r="BD403" s="181">
        <f ca="1">IF($D403&lt;&gt;"Serviço",0,IF(AND(AUTOEVENTO="Manual",$M403=1),0,IF(OFFSET(CRONOPLE!$F$14,$M403,BD$13)="",10^12,OFFSET(CRONOPLE!$F$14,$M403,BD$13))))</f>
        <v>1000000000000</v>
      </c>
      <c r="BE403" s="181">
        <f ca="1">IF($D403&lt;&gt;"Serviço",0,IF(AND(AUTOEVENTO="Manual",$M403=1),0,IF(OFFSET(CRONOPLE!$F$14,$M403,BE$13)="",10^12,OFFSET(CRONOPLE!$F$14,$M403,BE$13))))</f>
        <v>1000000000000</v>
      </c>
      <c r="BF403" s="181">
        <f ca="1">IF($D403&lt;&gt;"Serviço",0,IF(AND(AUTOEVENTO="Manual",$M403=1),0,IF(OFFSET(CRONOPLE!$F$14,$M403,BF$13)="",10^12,OFFSET(CRONOPLE!$F$14,$M403,BF$13))))</f>
        <v>1000000000000</v>
      </c>
      <c r="BG403" s="181">
        <f ca="1">IF($D403&lt;&gt;"Serviço",0,IF(AND(AUTOEVENTO="Manual",$M403=1),0,IF(OFFSET(CRONOPLE!$F$14,$M403,BG$13)="",10^12,OFFSET(CRONOPLE!$F$14,$M403,BG$13))))</f>
        <v>1000000000000</v>
      </c>
      <c r="BH403" s="181">
        <f ca="1">IF($D403&lt;&gt;"Serviço",0,IF(AND(AUTOEVENTO="Manual",$M403=1),0,IF(OFFSET(CRONOPLE!$F$14,$M403,BH$13)="",10^12,OFFSET(CRONOPLE!$F$14,$M403,BH$13))))</f>
        <v>1000000000000</v>
      </c>
      <c r="BI403" s="181">
        <f ca="1">IF($D403&lt;&gt;"Serviço",0,IF(AND(AUTOEVENTO="Manual",$M403=1),0,IF(OFFSET(CRONOPLE!$F$14,$M403,BI$13)="",10^12,OFFSET(CRONOPLE!$F$14,$M403,BI$13))))</f>
        <v>1000000000000</v>
      </c>
      <c r="BJ403" s="181">
        <f ca="1">IF($D403&lt;&gt;"Serviço",0,IF(AND(AUTOEVENTO="Manual",$M403=1),0,IF(OFFSET(CRONOPLE!$F$14,$M403,BJ$13)="",10^12,OFFSET(CRONOPLE!$F$14,$M403,BJ$13))))</f>
        <v>1000000000000</v>
      </c>
      <c r="BK403" s="181">
        <f ca="1">IF($D403&lt;&gt;"Serviço",0,IF(AND(AUTOEVENTO="Manual",$M403=1),0,IF(OFFSET(CRONOPLE!$F$14,$M403,BK$13)="",10^12,OFFSET(CRONOPLE!$F$14,$M403,BK$13))))</f>
        <v>1000000000000</v>
      </c>
      <c r="BL403" s="181">
        <f ca="1">IF($D403&lt;&gt;"Serviço",0,IF(AND(AUTOEVENTO="Manual",$M403=1),0,IF(OFFSET(CRONOPLE!$F$14,$M403,BL$13)="",10^12,OFFSET(CRONOPLE!$F$14,$M403,BL$13))))</f>
        <v>1000000000000</v>
      </c>
      <c r="BM403" s="181">
        <f ca="1">IF($D403&lt;&gt;"Serviço",0,IF(AND(AUTOEVENTO="Manual",$M403=1),0,IF(OFFSET(CRONOPLE!$F$14,$M403,BM$13)="",10^12,OFFSET(CRONOPLE!$F$14,$M403,BM$13))))</f>
        <v>1000000000000</v>
      </c>
      <c r="BN403" s="181">
        <f ca="1">IF($D403&lt;&gt;"Serviço",0,IF(AND(AUTOEVENTO="Manual",$M403=1),0,IF(OFFSET(CRONOPLE!$F$14,$M403,BN$13)="",10^12,OFFSET(CRONOPLE!$F$14,$M403,BN$13))))</f>
        <v>1000000000000</v>
      </c>
      <c r="BO403" s="181">
        <f ca="1">IF($D403&lt;&gt;"Serviço",0,IF(AND(AUTOEVENTO="Manual",$M403=1),0,IF(OFFSET(CRONOPLE!$F$14,$M403,BO$13)="",10^12,OFFSET(CRONOPLE!$F$14,$M403,BO$13))))</f>
        <v>1000000000000</v>
      </c>
      <c r="BP403" s="181">
        <f ca="1">IF($D403&lt;&gt;"Serviço",0,IF(AND(AUTOEVENTO="Manual",$M403=1),0,IF(OFFSET(CRONOPLE!$F$14,$M403,BP$13)="",10^12,OFFSET(CRONOPLE!$F$14,$M403,BP$13))))</f>
        <v>1000000000000</v>
      </c>
      <c r="BQ403" s="181">
        <f ca="1">IF($D403&lt;&gt;"Serviço",0,IF(AND(AUTOEVENTO="Manual",$M403=1),0,IF(OFFSET(CRONOPLE!$F$14,$M403,BQ$13)="",10^12,OFFSET(CRONOPLE!$F$14,$M403,BQ$13))))</f>
        <v>1000000000000</v>
      </c>
      <c r="BR403" s="181">
        <f ca="1">IF($D403&lt;&gt;"Serviço",0,IF(AND(AUTOEVENTO="Manual",$M403=1),0,IF(OFFSET(CRONOPLE!$F$14,$M403,BR$13)="",10^12,OFFSET(CRONOPLE!$F$14,$M403,BR$13))))</f>
        <v>1000000000000</v>
      </c>
      <c r="BS403" s="181">
        <f ca="1">IF($D403&lt;&gt;"Serviço",0,IF(AND(AUTOEVENTO="Manual",$M403=1),0,IF(OFFSET(CRONOPLE!$F$14,$M403,BS$13)="",10^12,OFFSET(CRONOPLE!$F$14,$M403,BS$13))))</f>
        <v>1000000000000</v>
      </c>
      <c r="BT403" s="181">
        <f ca="1">IF($D403&lt;&gt;"Serviço",0,IF(AND(AUTOEVENTO="Manual",$M403=1),0,IF(OFFSET(CRONOPLE!$F$14,$M403,BT$13)="",10^12,OFFSET(CRONOPLE!$F$14,$M403,BT$13))))</f>
        <v>1000000000000</v>
      </c>
      <c r="BV403" s="182">
        <f ca="1">IF($D403&lt;&gt;"Serviço",0,IF(OR(AND(AUTOEVENTO="Manual",$M403=1),$M403&gt;(ROW(PLE.lastrow)-ROW(PLE.firstrow))),0,IF(OFFSET(PLE!$G$14,$M403,BV$13)="",10^12,OFFSET(PLE!$G$14,$M403,BV$13))))</f>
        <v>1000000000000</v>
      </c>
      <c r="BW403" s="182">
        <f ca="1">IF($D403&lt;&gt;"Serviço",0,IF(OR(AND(AUTOEVENTO="Manual",$M403=1),$M403&gt;(ROW(PLE.lastrow)-ROW(PLE.firstrow))),0,IF(OFFSET(PLE!$G$14,$M403,BW$13)="",10^12,OFFSET(PLE!$G$14,$M403,BW$13))))</f>
        <v>1000000000000</v>
      </c>
      <c r="BX403" s="182">
        <f ca="1">IF($D403&lt;&gt;"Serviço",0,IF(OR(AND(AUTOEVENTO="Manual",$M403=1),$M403&gt;(ROW(PLE.lastrow)-ROW(PLE.firstrow))),0,IF(OFFSET(PLE!$G$14,$M403,BX$13)="",10^12,OFFSET(PLE!$G$14,$M403,BX$13))))</f>
        <v>1000000000000</v>
      </c>
      <c r="BY403" s="182">
        <f ca="1">IF($D403&lt;&gt;"Serviço",0,IF(OR(AND(AUTOEVENTO="Manual",$M403=1),$M403&gt;(ROW(PLE.lastrow)-ROW(PLE.firstrow))),0,IF(OFFSET(PLE!$G$14,$M403,BY$13)="",10^12,OFFSET(PLE!$G$14,$M403,BY$13))))</f>
        <v>1000000000000</v>
      </c>
      <c r="BZ403" s="182">
        <f ca="1">IF($D403&lt;&gt;"Serviço",0,IF(OR(AND(AUTOEVENTO="Manual",$M403=1),$M403&gt;(ROW(PLE.lastrow)-ROW(PLE.firstrow))),0,IF(OFFSET(PLE!$G$14,$M403,BZ$13)="",10^12,OFFSET(PLE!$G$14,$M403,BZ$13))))</f>
        <v>1000000000000</v>
      </c>
      <c r="CA403" s="182">
        <f ca="1">IF($D403&lt;&gt;"Serviço",0,IF(OR(AND(AUTOEVENTO="Manual",$M403=1),$M403&gt;(ROW(PLE.lastrow)-ROW(PLE.firstrow))),0,IF(OFFSET(PLE!$G$14,$M403,CA$13)="",10^12,OFFSET(PLE!$G$14,$M403,CA$13))))</f>
        <v>1000000000000</v>
      </c>
      <c r="CB403" s="182">
        <f ca="1">IF($D403&lt;&gt;"Serviço",0,IF(OR(AND(AUTOEVENTO="Manual",$M403=1),$M403&gt;(ROW(PLE.lastrow)-ROW(PLE.firstrow))),0,IF(OFFSET(PLE!$G$14,$M403,CB$13)="",10^12,OFFSET(PLE!$G$14,$M403,CB$13))))</f>
        <v>1000000000000</v>
      </c>
      <c r="CC403" s="182">
        <f ca="1">IF($D403&lt;&gt;"Serviço",0,IF(OR(AND(AUTOEVENTO="Manual",$M403=1),$M403&gt;(ROW(PLE.lastrow)-ROW(PLE.firstrow))),0,IF(OFFSET(PLE!$G$14,$M403,CC$13)="",10^12,OFFSET(PLE!$G$14,$M403,CC$13))))</f>
        <v>1000000000000</v>
      </c>
      <c r="CD403" s="182">
        <f ca="1">IF($D403&lt;&gt;"Serviço",0,IF(OR(AND(AUTOEVENTO="Manual",$M403=1),$M403&gt;(ROW(PLE.lastrow)-ROW(PLE.firstrow))),0,IF(OFFSET(PLE!$G$14,$M403,CD$13)="",10^12,OFFSET(PLE!$G$14,$M403,CD$13))))</f>
        <v>1000000000000</v>
      </c>
      <c r="CE403" s="182">
        <f ca="1">IF($D403&lt;&gt;"Serviço",0,IF(OR(AND(AUTOEVENTO="Manual",$M403=1),$M403&gt;(ROW(PLE.lastrow)-ROW(PLE.firstrow))),0,IF(OFFSET(PLE!$G$14,$M403,CE$13)="",10^12,OFFSET(PLE!$G$14,$M403,CE$13))))</f>
        <v>1000000000000</v>
      </c>
      <c r="CF403" s="182">
        <f ca="1">IF($D403&lt;&gt;"Serviço",0,IF(OR(AND(AUTOEVENTO="Manual",$M403=1),$M403&gt;(ROW(PLE.lastrow)-ROW(PLE.firstrow))),0,IF(OFFSET(PLE!$G$14,$M403,CF$13)="",10^12,OFFSET(PLE!$G$14,$M403,CF$13))))</f>
        <v>1000000000000</v>
      </c>
      <c r="CG403" s="182">
        <f ca="1">IF($D403&lt;&gt;"Serviço",0,IF(OR(AND(AUTOEVENTO="Manual",$M403=1),$M403&gt;(ROW(PLE.lastrow)-ROW(PLE.firstrow))),0,IF(OFFSET(PLE!$G$14,$M403,CG$13)="",10^12,OFFSET(PLE!$G$14,$M403,CG$13))))</f>
        <v>1000000000000</v>
      </c>
      <c r="CH403" s="182">
        <f ca="1">IF($D403&lt;&gt;"Serviço",0,IF(OR(AND(AUTOEVENTO="Manual",$M403=1),$M403&gt;(ROW(PLE.lastrow)-ROW(PLE.firstrow))),0,IF(OFFSET(PLE!$G$14,$M403,CH$13)="",10^12,OFFSET(PLE!$G$14,$M403,CH$13))))</f>
        <v>1000000000000</v>
      </c>
      <c r="CI403" s="182">
        <f ca="1">IF($D403&lt;&gt;"Serviço",0,IF(OR(AND(AUTOEVENTO="Manual",$M403=1),$M403&gt;(ROW(PLE.lastrow)-ROW(PLE.firstrow))),0,IF(OFFSET(PLE!$G$14,$M403,CI$13)="",10^12,OFFSET(PLE!$G$14,$M403,CI$13))))</f>
        <v>1000000000000</v>
      </c>
      <c r="CJ403" s="182">
        <f ca="1">IF($D403&lt;&gt;"Serviço",0,IF(OR(AND(AUTOEVENTO="Manual",$M403=1),$M403&gt;(ROW(PLE.lastrow)-ROW(PLE.firstrow))),0,IF(OFFSET(PLE!$G$14,$M403,CJ$13)="",10^12,OFFSET(PLE!$G$14,$M403,CJ$13))))</f>
        <v>1000000000000</v>
      </c>
      <c r="CK403" s="182">
        <f ca="1">IF($D403&lt;&gt;"Serviço",0,IF(OR(AND(AUTOEVENTO="Manual",$M403=1),$M403&gt;(ROW(PLE.lastrow)-ROW(PLE.firstrow))),0,IF(OFFSET(PLE!$G$14,$M403,CK$13)="",10^12,OFFSET(PLE!$G$14,$M403,CK$13))))</f>
        <v>1000000000000</v>
      </c>
      <c r="CL403" s="182">
        <f ca="1">IF($D403&lt;&gt;"Serviço",0,IF(OR(AND(AUTOEVENTO="Manual",$M403=1),$M403&gt;(ROW(PLE.lastrow)-ROW(PLE.firstrow))),0,IF(OFFSET(PLE!$G$14,$M403,CL$13)="",10^12,OFFSET(PLE!$G$14,$M403,CL$13))))</f>
        <v>1000000000000</v>
      </c>
      <c r="CM403" s="182">
        <f ca="1">IF($D403&lt;&gt;"Serviço",0,IF(OR(AND(AUTOEVENTO="Manual",$M403=1),$M403&gt;(ROW(PLE.lastrow)-ROW(PLE.firstrow))),0,IF(OFFSET(PLE!$G$14,$M403,CM$13)="",10^12,OFFSET(PLE!$G$14,$M403,CM$13))))</f>
        <v>1000000000000</v>
      </c>
    </row>
    <row r="404" spans="1:91" ht="25.5" x14ac:dyDescent="0.2">
      <c r="A404" s="7" t="str">
        <f t="shared" ca="1" si="13"/>
        <v>387</v>
      </c>
      <c r="B404" s="7" t="str">
        <f ca="1">OFFSET(ORÇAMENTO!C$15,ROW(B404)-ROW(B$15),0)</f>
        <v>S</v>
      </c>
      <c r="C404" s="7" t="str">
        <f ca="1">OFFSET(ORÇAMENTO!L$15,ROW(C404)-ROW(C$15),0)</f>
        <v/>
      </c>
      <c r="D404" s="118" t="str">
        <f ca="1">OFFSET(ORÇAMENTO!N$15,ROW(D404)-ROW(D$15),0)</f>
        <v>Serviço</v>
      </c>
      <c r="E404" s="119" t="str">
        <f ca="1">OFFSET(ORÇAMENTO!O$15,ROW(E404)-ROW(E$15),0)</f>
        <v>-</v>
      </c>
      <c r="F404" s="172" t="str">
        <f ca="1">OFFSET(ORÇAMENTO!R$15,ROW(F404)-ROW(F$15),0)</f>
        <v>(abra o arquivo 'Referência 06-2024.xlsm)</v>
      </c>
      <c r="G404" s="173" t="str">
        <f ca="1">IF($D404&lt;&gt;"Serviço","",OFFSET(ORÇAMENTO!S$15,ROW(G404)-ROW(G$15),0))</f>
        <v>-</v>
      </c>
      <c r="H404" s="124">
        <f ca="1">IF($D404&lt;&gt;"Serviço",0,IF(ACOMPANHAMENTO="BM",ROUND(OFFSET(ORÇAMENTO!AJ$15,ROW(H404)-ROW(H$15),0),15-13*ORÇAMENTO!$AF$7),SUMPRODUCT(($Q$12:$AI$12&lt;&gt;"")*ROUND($Q404:$AI404,15-13*ORÇAMENTO!$AF$7))))</f>
        <v>4</v>
      </c>
      <c r="I404" s="561" t="s">
        <v>1107</v>
      </c>
      <c r="K404" s="174"/>
      <c r="L404" s="175" t="s">
        <v>255</v>
      </c>
      <c r="M404" s="176">
        <f ca="1">IF($D404&lt;&gt;"Serviço","",IF(AUTOEVENTO="manual",$A404,IF(ISERROR(MATCH($A404,$A$15:OFFSET($A404,-1,0),0)),MAX($M$15:OFFSET(M404,-1,0))+1,INDEX($M$15:OFFSET(M404,-1,0),MATCH($A404,$A$15:OFFSET($A404,-1,0),0)))))</f>
        <v>45</v>
      </c>
      <c r="N404" s="177" t="str">
        <f ca="1">IF($D404&lt;&gt;"Serviço","",IF(AUTOEVENTO="Manual",IF($A404=0,"&lt;-- defina o número do agrupador",OFFSET(EVENTOS!$D$14,$A404,0)),OFFSET($F$15,$A404,0)))</f>
        <v>INSTALAÇÃO DE GÁS COMBUSTÍVEL</v>
      </c>
      <c r="O404" s="178"/>
      <c r="Q404" s="178">
        <v>4</v>
      </c>
      <c r="R404" s="179"/>
      <c r="S404" s="179"/>
      <c r="T404" s="179"/>
      <c r="U404" s="179"/>
      <c r="V404" s="179"/>
      <c r="W404" s="179"/>
      <c r="X404" s="179"/>
      <c r="Y404" s="179"/>
      <c r="Z404" s="180"/>
      <c r="AA404" s="179"/>
      <c r="AB404" s="179"/>
      <c r="AC404" s="179"/>
      <c r="AD404" s="179"/>
      <c r="AE404" s="179"/>
      <c r="AF404" s="179"/>
      <c r="AG404" s="179"/>
      <c r="AH404" s="180"/>
      <c r="AJ404" s="544">
        <f ca="1">IF(AND($D404="Serviço",AJ$12&lt;&gt;0,$H404&gt;0,OR(AUTOEVENTO&lt;&gt;"manual",$M404&lt;&gt;1)),
IF(Import.TipoArredondamento&lt;&gt;"TransfereGOV",
ROUND(OFFSET($P404,0,AJ$13),15-13*ORÇAMENTO!$AF$7)/$H404*OFFSET(ORÇAMENTO!$X$15,ROW(AJ404)-ROW(AJ$15),0),
ROUND(ROUND(OFFSET($P404,0,AJ$13),15-13*ORÇAMENTO!$AF$7)*OFFSET(ORÇAMENTO!$W$15,ROW(AJ404)-ROW(AJ$15),0),15-13*ORÇAMENTO!$AF$11)),0)</f>
        <v>0</v>
      </c>
      <c r="AK404" s="545">
        <f ca="1">IF(AND($D404="Serviço",AK$12&lt;&gt;0,$H404&gt;0,OR(AUTOEVENTO&lt;&gt;"manual",$M404&lt;&gt;1)),
IF(Import.TipoArredondamento&lt;&gt;"TransfereGOV",
ROUND(OFFSET($P404,0,AK$13),15-13*ORÇAMENTO!$AF$7)/$H404*OFFSET(ORÇAMENTO!$X$15,ROW(AK404)-ROW(AK$15),0),
ROUND(ROUND(OFFSET($P404,0,AK$13),15-13*ORÇAMENTO!$AF$7)*OFFSET(ORÇAMENTO!$W$15,ROW(AK404)-ROW(AK$15),0),15-13*ORÇAMENTO!$AF$11)),0)</f>
        <v>0</v>
      </c>
      <c r="AL404" s="545">
        <f ca="1">IF(AND($D404="Serviço",AL$12&lt;&gt;0,$H404&gt;0,OR(AUTOEVENTO&lt;&gt;"manual",$M404&lt;&gt;1)),
IF(Import.TipoArredondamento&lt;&gt;"TransfereGOV",
ROUND(OFFSET($P404,0,AL$13),15-13*ORÇAMENTO!$AF$7)/$H404*OFFSET(ORÇAMENTO!$X$15,ROW(AL404)-ROW(AL$15),0),
ROUND(ROUND(OFFSET($P404,0,AL$13),15-13*ORÇAMENTO!$AF$7)*OFFSET(ORÇAMENTO!$W$15,ROW(AL404)-ROW(AL$15),0),15-13*ORÇAMENTO!$AF$11)),0)</f>
        <v>0</v>
      </c>
      <c r="AM404" s="545">
        <f ca="1">IF(AND($D404="Serviço",AM$12&lt;&gt;0,$H404&gt;0,OR(AUTOEVENTO&lt;&gt;"manual",$M404&lt;&gt;1)),
IF(Import.TipoArredondamento&lt;&gt;"TransfereGOV",
ROUND(OFFSET($P404,0,AM$13),15-13*ORÇAMENTO!$AF$7)/$H404*OFFSET(ORÇAMENTO!$X$15,ROW(AM404)-ROW(AM$15),0),
ROUND(ROUND(OFFSET($P404,0,AM$13),15-13*ORÇAMENTO!$AF$7)*OFFSET(ORÇAMENTO!$W$15,ROW(AM404)-ROW(AM$15),0),15-13*ORÇAMENTO!$AF$11)),0)</f>
        <v>0</v>
      </c>
      <c r="AN404" s="545">
        <f ca="1">IF(AND($D404="Serviço",AN$12&lt;&gt;0,$H404&gt;0,OR(AUTOEVENTO&lt;&gt;"manual",$M404&lt;&gt;1)),
IF(Import.TipoArredondamento&lt;&gt;"TransfereGOV",
ROUND(OFFSET($P404,0,AN$13),15-13*ORÇAMENTO!$AF$7)/$H404*OFFSET(ORÇAMENTO!$X$15,ROW(AN404)-ROW(AN$15),0),
ROUND(ROUND(OFFSET($P404,0,AN$13),15-13*ORÇAMENTO!$AF$7)*OFFSET(ORÇAMENTO!$W$15,ROW(AN404)-ROW(AN$15),0),15-13*ORÇAMENTO!$AF$11)),0)</f>
        <v>0</v>
      </c>
      <c r="AO404" s="545">
        <f ca="1">IF(AND($D404="Serviço",AO$12&lt;&gt;0,$H404&gt;0,OR(AUTOEVENTO&lt;&gt;"manual",$M404&lt;&gt;1)),
IF(Import.TipoArredondamento&lt;&gt;"TransfereGOV",
ROUND(OFFSET($P404,0,AO$13),15-13*ORÇAMENTO!$AF$7)/$H404*OFFSET(ORÇAMENTO!$X$15,ROW(AO404)-ROW(AO$15),0),
ROUND(ROUND(OFFSET($P404,0,AO$13),15-13*ORÇAMENTO!$AF$7)*OFFSET(ORÇAMENTO!$W$15,ROW(AO404)-ROW(AO$15),0),15-13*ORÇAMENTO!$AF$11)),0)</f>
        <v>0</v>
      </c>
      <c r="AP404" s="545">
        <f ca="1">IF(AND($D404="Serviço",AP$12&lt;&gt;0,$H404&gt;0,OR(AUTOEVENTO&lt;&gt;"manual",$M404&lt;&gt;1)),
IF(Import.TipoArredondamento&lt;&gt;"TransfereGOV",
ROUND(OFFSET($P404,0,AP$13),15-13*ORÇAMENTO!$AF$7)/$H404*OFFSET(ORÇAMENTO!$X$15,ROW(AP404)-ROW(AP$15),0),
ROUND(ROUND(OFFSET($P404,0,AP$13),15-13*ORÇAMENTO!$AF$7)*OFFSET(ORÇAMENTO!$W$15,ROW(AP404)-ROW(AP$15),0),15-13*ORÇAMENTO!$AF$11)),0)</f>
        <v>0</v>
      </c>
      <c r="AQ404" s="545">
        <f ca="1">IF(AND($D404="Serviço",AQ$12&lt;&gt;0,$H404&gt;0,OR(AUTOEVENTO&lt;&gt;"manual",$M404&lt;&gt;1)),
IF(Import.TipoArredondamento&lt;&gt;"TransfereGOV",
ROUND(OFFSET($P404,0,AQ$13),15-13*ORÇAMENTO!$AF$7)/$H404*OFFSET(ORÇAMENTO!$X$15,ROW(AQ404)-ROW(AQ$15),0),
ROUND(ROUND(OFFSET($P404,0,AQ$13),15-13*ORÇAMENTO!$AF$7)*OFFSET(ORÇAMENTO!$W$15,ROW(AQ404)-ROW(AQ$15),0),15-13*ORÇAMENTO!$AF$11)),0)</f>
        <v>0</v>
      </c>
      <c r="AR404" s="545">
        <f ca="1">IF(AND($D404="Serviço",AR$12&lt;&gt;0,$H404&gt;0,OR(AUTOEVENTO&lt;&gt;"manual",$M404&lt;&gt;1)),
IF(Import.TipoArredondamento&lt;&gt;"TransfereGOV",
ROUND(OFFSET($P404,0,AR$13),15-13*ORÇAMENTO!$AF$7)/$H404*OFFSET(ORÇAMENTO!$X$15,ROW(AR404)-ROW(AR$15),0),
ROUND(ROUND(OFFSET($P404,0,AR$13),15-13*ORÇAMENTO!$AF$7)*OFFSET(ORÇAMENTO!$W$15,ROW(AR404)-ROW(AR$15),0),15-13*ORÇAMENTO!$AF$11)),0)</f>
        <v>0</v>
      </c>
      <c r="AS404" s="546">
        <f ca="1">IF(AND($D404="Serviço",AS$12&lt;&gt;0,$H404&gt;0,OR(AUTOEVENTO&lt;&gt;"manual",$M404&lt;&gt;1)),
IF(Import.TipoArredondamento&lt;&gt;"TransfereGOV",
ROUND(OFFSET($P404,0,AS$13),15-13*ORÇAMENTO!$AF$7)/$H404*OFFSET(ORÇAMENTO!$X$15,ROW(AS404)-ROW(AS$15),0),
ROUND(ROUND(OFFSET($P404,0,AS$13),15-13*ORÇAMENTO!$AF$7)*OFFSET(ORÇAMENTO!$W$15,ROW(AS404)-ROW(AS$15),0),15-13*ORÇAMENTO!$AF$11)),0)</f>
        <v>0</v>
      </c>
      <c r="AT404" s="545">
        <f ca="1">IF(AND($D404="Serviço",AT$12&lt;&gt;0,$H404&gt;0,OR(AUTOEVENTO&lt;&gt;"manual",$M404&lt;&gt;1)),
IF(Import.TipoArredondamento&lt;&gt;"TransfereGOV",
ROUND(OFFSET($P404,0,AT$13),15-13*ORÇAMENTO!$AF$7)/$H404*OFFSET(ORÇAMENTO!$X$15,ROW(AT404)-ROW(AT$15),0),
ROUND(ROUND(OFFSET($P404,0,AT$13),15-13*ORÇAMENTO!$AF$7)*OFFSET(ORÇAMENTO!$W$15,ROW(AT404)-ROW(AT$15),0),15-13*ORÇAMENTO!$AF$11)),0)</f>
        <v>0</v>
      </c>
      <c r="AU404" s="545">
        <f ca="1">IF(AND($D404="Serviço",AU$12&lt;&gt;0,$H404&gt;0,OR(AUTOEVENTO&lt;&gt;"manual",$M404&lt;&gt;1)),
IF(Import.TipoArredondamento&lt;&gt;"TransfereGOV",
ROUND(OFFSET($P404,0,AU$13),15-13*ORÇAMENTO!$AF$7)/$H404*OFFSET(ORÇAMENTO!$X$15,ROW(AU404)-ROW(AU$15),0),
ROUND(ROUND(OFFSET($P404,0,AU$13),15-13*ORÇAMENTO!$AF$7)*OFFSET(ORÇAMENTO!$W$15,ROW(AU404)-ROW(AU$15),0),15-13*ORÇAMENTO!$AF$11)),0)</f>
        <v>0</v>
      </c>
      <c r="AV404" s="545">
        <f ca="1">IF(AND($D404="Serviço",AV$12&lt;&gt;0,$H404&gt;0,OR(AUTOEVENTO&lt;&gt;"manual",$M404&lt;&gt;1)),
IF(Import.TipoArredondamento&lt;&gt;"TransfereGOV",
ROUND(OFFSET($P404,0,AV$13),15-13*ORÇAMENTO!$AF$7)/$H404*OFFSET(ORÇAMENTO!$X$15,ROW(AV404)-ROW(AV$15),0),
ROUND(ROUND(OFFSET($P404,0,AV$13),15-13*ORÇAMENTO!$AF$7)*OFFSET(ORÇAMENTO!$W$15,ROW(AV404)-ROW(AV$15),0),15-13*ORÇAMENTO!$AF$11)),0)</f>
        <v>0</v>
      </c>
      <c r="AW404" s="545">
        <f ca="1">IF(AND($D404="Serviço",AW$12&lt;&gt;0,$H404&gt;0,OR(AUTOEVENTO&lt;&gt;"manual",$M404&lt;&gt;1)),
IF(Import.TipoArredondamento&lt;&gt;"TransfereGOV",
ROUND(OFFSET($P404,0,AW$13),15-13*ORÇAMENTO!$AF$7)/$H404*OFFSET(ORÇAMENTO!$X$15,ROW(AW404)-ROW(AW$15),0),
ROUND(ROUND(OFFSET($P404,0,AW$13),15-13*ORÇAMENTO!$AF$7)*OFFSET(ORÇAMENTO!$W$15,ROW(AW404)-ROW(AW$15),0),15-13*ORÇAMENTO!$AF$11)),0)</f>
        <v>0</v>
      </c>
      <c r="AX404" s="545">
        <f ca="1">IF(AND($D404="Serviço",AX$12&lt;&gt;0,$H404&gt;0,OR(AUTOEVENTO&lt;&gt;"manual",$M404&lt;&gt;1)),
IF(Import.TipoArredondamento&lt;&gt;"TransfereGOV",
ROUND(OFFSET($P404,0,AX$13),15-13*ORÇAMENTO!$AF$7)/$H404*OFFSET(ORÇAMENTO!$X$15,ROW(AX404)-ROW(AX$15),0),
ROUND(ROUND(OFFSET($P404,0,AX$13),15-13*ORÇAMENTO!$AF$7)*OFFSET(ORÇAMENTO!$W$15,ROW(AX404)-ROW(AX$15),0),15-13*ORÇAMENTO!$AF$11)),0)</f>
        <v>0</v>
      </c>
      <c r="AY404" s="545">
        <f ca="1">IF(AND($D404="Serviço",AY$12&lt;&gt;0,$H404&gt;0,OR(AUTOEVENTO&lt;&gt;"manual",$M404&lt;&gt;1)),
IF(Import.TipoArredondamento&lt;&gt;"TransfereGOV",
ROUND(OFFSET($P404,0,AY$13),15-13*ORÇAMENTO!$AF$7)/$H404*OFFSET(ORÇAMENTO!$X$15,ROW(AY404)-ROW(AY$15),0),
ROUND(ROUND(OFFSET($P404,0,AY$13),15-13*ORÇAMENTO!$AF$7)*OFFSET(ORÇAMENTO!$W$15,ROW(AY404)-ROW(AY$15),0),15-13*ORÇAMENTO!$AF$11)),0)</f>
        <v>0</v>
      </c>
      <c r="AZ404" s="545">
        <f ca="1">IF(AND($D404="Serviço",AZ$12&lt;&gt;0,$H404&gt;0,OR(AUTOEVENTO&lt;&gt;"manual",$M404&lt;&gt;1)),
IF(Import.TipoArredondamento&lt;&gt;"TransfereGOV",
ROUND(OFFSET($P404,0,AZ$13),15-13*ORÇAMENTO!$AF$7)/$H404*OFFSET(ORÇAMENTO!$X$15,ROW(AZ404)-ROW(AZ$15),0),
ROUND(ROUND(OFFSET($P404,0,AZ$13),15-13*ORÇAMENTO!$AF$7)*OFFSET(ORÇAMENTO!$W$15,ROW(AZ404)-ROW(AZ$15),0),15-13*ORÇAMENTO!$AF$11)),0)</f>
        <v>0</v>
      </c>
      <c r="BA404" s="546">
        <f ca="1">IF(AND($D404="Serviço",BA$12&lt;&gt;0,$H404&gt;0,OR(AUTOEVENTO&lt;&gt;"manual",$M404&lt;&gt;1)),
IF(Import.TipoArredondamento&lt;&gt;"TransfereGOV",
ROUND(OFFSET($P404,0,BA$13),15-13*ORÇAMENTO!$AF$7)/$H404*OFFSET(ORÇAMENTO!$X$15,ROW(BA404)-ROW(BA$15),0),
ROUND(ROUND(OFFSET($P404,0,BA$13),15-13*ORÇAMENTO!$AF$7)*OFFSET(ORÇAMENTO!$W$15,ROW(BA404)-ROW(BA$15),0),15-13*ORÇAMENTO!$AF$11)),0)</f>
        <v>0</v>
      </c>
      <c r="BC404" s="181">
        <f ca="1">IF($D404&lt;&gt;"Serviço",0,IF(AND(AUTOEVENTO="Manual",$M404=1),0,IF(OFFSET(CRONOPLE!$F$14,$M404,BC$13)="",10^12,OFFSET(CRONOPLE!$F$14,$M404,BC$13))))</f>
        <v>10</v>
      </c>
      <c r="BD404" s="181">
        <f ca="1">IF($D404&lt;&gt;"Serviço",0,IF(AND(AUTOEVENTO="Manual",$M404=1),0,IF(OFFSET(CRONOPLE!$F$14,$M404,BD$13)="",10^12,OFFSET(CRONOPLE!$F$14,$M404,BD$13))))</f>
        <v>1000000000000</v>
      </c>
      <c r="BE404" s="181">
        <f ca="1">IF($D404&lt;&gt;"Serviço",0,IF(AND(AUTOEVENTO="Manual",$M404=1),0,IF(OFFSET(CRONOPLE!$F$14,$M404,BE$13)="",10^12,OFFSET(CRONOPLE!$F$14,$M404,BE$13))))</f>
        <v>1000000000000</v>
      </c>
      <c r="BF404" s="181">
        <f ca="1">IF($D404&lt;&gt;"Serviço",0,IF(AND(AUTOEVENTO="Manual",$M404=1),0,IF(OFFSET(CRONOPLE!$F$14,$M404,BF$13)="",10^12,OFFSET(CRONOPLE!$F$14,$M404,BF$13))))</f>
        <v>1000000000000</v>
      </c>
      <c r="BG404" s="181">
        <f ca="1">IF($D404&lt;&gt;"Serviço",0,IF(AND(AUTOEVENTO="Manual",$M404=1),0,IF(OFFSET(CRONOPLE!$F$14,$M404,BG$13)="",10^12,OFFSET(CRONOPLE!$F$14,$M404,BG$13))))</f>
        <v>1000000000000</v>
      </c>
      <c r="BH404" s="181">
        <f ca="1">IF($D404&lt;&gt;"Serviço",0,IF(AND(AUTOEVENTO="Manual",$M404=1),0,IF(OFFSET(CRONOPLE!$F$14,$M404,BH$13)="",10^12,OFFSET(CRONOPLE!$F$14,$M404,BH$13))))</f>
        <v>1000000000000</v>
      </c>
      <c r="BI404" s="181">
        <f ca="1">IF($D404&lt;&gt;"Serviço",0,IF(AND(AUTOEVENTO="Manual",$M404=1),0,IF(OFFSET(CRONOPLE!$F$14,$M404,BI$13)="",10^12,OFFSET(CRONOPLE!$F$14,$M404,BI$13))))</f>
        <v>1000000000000</v>
      </c>
      <c r="BJ404" s="181">
        <f ca="1">IF($D404&lt;&gt;"Serviço",0,IF(AND(AUTOEVENTO="Manual",$M404=1),0,IF(OFFSET(CRONOPLE!$F$14,$M404,BJ$13)="",10^12,OFFSET(CRONOPLE!$F$14,$M404,BJ$13))))</f>
        <v>1000000000000</v>
      </c>
      <c r="BK404" s="181">
        <f ca="1">IF($D404&lt;&gt;"Serviço",0,IF(AND(AUTOEVENTO="Manual",$M404=1),0,IF(OFFSET(CRONOPLE!$F$14,$M404,BK$13)="",10^12,OFFSET(CRONOPLE!$F$14,$M404,BK$13))))</f>
        <v>1000000000000</v>
      </c>
      <c r="BL404" s="181">
        <f ca="1">IF($D404&lt;&gt;"Serviço",0,IF(AND(AUTOEVENTO="Manual",$M404=1),0,IF(OFFSET(CRONOPLE!$F$14,$M404,BL$13)="",10^12,OFFSET(CRONOPLE!$F$14,$M404,BL$13))))</f>
        <v>1000000000000</v>
      </c>
      <c r="BM404" s="181">
        <f ca="1">IF($D404&lt;&gt;"Serviço",0,IF(AND(AUTOEVENTO="Manual",$M404=1),0,IF(OFFSET(CRONOPLE!$F$14,$M404,BM$13)="",10^12,OFFSET(CRONOPLE!$F$14,$M404,BM$13))))</f>
        <v>1000000000000</v>
      </c>
      <c r="BN404" s="181">
        <f ca="1">IF($D404&lt;&gt;"Serviço",0,IF(AND(AUTOEVENTO="Manual",$M404=1),0,IF(OFFSET(CRONOPLE!$F$14,$M404,BN$13)="",10^12,OFFSET(CRONOPLE!$F$14,$M404,BN$13))))</f>
        <v>1000000000000</v>
      </c>
      <c r="BO404" s="181">
        <f ca="1">IF($D404&lt;&gt;"Serviço",0,IF(AND(AUTOEVENTO="Manual",$M404=1),0,IF(OFFSET(CRONOPLE!$F$14,$M404,BO$13)="",10^12,OFFSET(CRONOPLE!$F$14,$M404,BO$13))))</f>
        <v>1000000000000</v>
      </c>
      <c r="BP404" s="181">
        <f ca="1">IF($D404&lt;&gt;"Serviço",0,IF(AND(AUTOEVENTO="Manual",$M404=1),0,IF(OFFSET(CRONOPLE!$F$14,$M404,BP$13)="",10^12,OFFSET(CRONOPLE!$F$14,$M404,BP$13))))</f>
        <v>1000000000000</v>
      </c>
      <c r="BQ404" s="181">
        <f ca="1">IF($D404&lt;&gt;"Serviço",0,IF(AND(AUTOEVENTO="Manual",$M404=1),0,IF(OFFSET(CRONOPLE!$F$14,$M404,BQ$13)="",10^12,OFFSET(CRONOPLE!$F$14,$M404,BQ$13))))</f>
        <v>1000000000000</v>
      </c>
      <c r="BR404" s="181">
        <f ca="1">IF($D404&lt;&gt;"Serviço",0,IF(AND(AUTOEVENTO="Manual",$M404=1),0,IF(OFFSET(CRONOPLE!$F$14,$M404,BR$13)="",10^12,OFFSET(CRONOPLE!$F$14,$M404,BR$13))))</f>
        <v>1000000000000</v>
      </c>
      <c r="BS404" s="181">
        <f ca="1">IF($D404&lt;&gt;"Serviço",0,IF(AND(AUTOEVENTO="Manual",$M404=1),0,IF(OFFSET(CRONOPLE!$F$14,$M404,BS$13)="",10^12,OFFSET(CRONOPLE!$F$14,$M404,BS$13))))</f>
        <v>1000000000000</v>
      </c>
      <c r="BT404" s="181">
        <f ca="1">IF($D404&lt;&gt;"Serviço",0,IF(AND(AUTOEVENTO="Manual",$M404=1),0,IF(OFFSET(CRONOPLE!$F$14,$M404,BT$13)="",10^12,OFFSET(CRONOPLE!$F$14,$M404,BT$13))))</f>
        <v>1000000000000</v>
      </c>
      <c r="BV404" s="182">
        <f ca="1">IF($D404&lt;&gt;"Serviço",0,IF(OR(AND(AUTOEVENTO="Manual",$M404=1),$M404&gt;(ROW(PLE.lastrow)-ROW(PLE.firstrow))),0,IF(OFFSET(PLE!$G$14,$M404,BV$13)="",10^12,OFFSET(PLE!$G$14,$M404,BV$13))))</f>
        <v>1000000000000</v>
      </c>
      <c r="BW404" s="182">
        <f ca="1">IF($D404&lt;&gt;"Serviço",0,IF(OR(AND(AUTOEVENTO="Manual",$M404=1),$M404&gt;(ROW(PLE.lastrow)-ROW(PLE.firstrow))),0,IF(OFFSET(PLE!$G$14,$M404,BW$13)="",10^12,OFFSET(PLE!$G$14,$M404,BW$13))))</f>
        <v>1000000000000</v>
      </c>
      <c r="BX404" s="182">
        <f ca="1">IF($D404&lt;&gt;"Serviço",0,IF(OR(AND(AUTOEVENTO="Manual",$M404=1),$M404&gt;(ROW(PLE.lastrow)-ROW(PLE.firstrow))),0,IF(OFFSET(PLE!$G$14,$M404,BX$13)="",10^12,OFFSET(PLE!$G$14,$M404,BX$13))))</f>
        <v>1000000000000</v>
      </c>
      <c r="BY404" s="182">
        <f ca="1">IF($D404&lt;&gt;"Serviço",0,IF(OR(AND(AUTOEVENTO="Manual",$M404=1),$M404&gt;(ROW(PLE.lastrow)-ROW(PLE.firstrow))),0,IF(OFFSET(PLE!$G$14,$M404,BY$13)="",10^12,OFFSET(PLE!$G$14,$M404,BY$13))))</f>
        <v>1000000000000</v>
      </c>
      <c r="BZ404" s="182">
        <f ca="1">IF($D404&lt;&gt;"Serviço",0,IF(OR(AND(AUTOEVENTO="Manual",$M404=1),$M404&gt;(ROW(PLE.lastrow)-ROW(PLE.firstrow))),0,IF(OFFSET(PLE!$G$14,$M404,BZ$13)="",10^12,OFFSET(PLE!$G$14,$M404,BZ$13))))</f>
        <v>1000000000000</v>
      </c>
      <c r="CA404" s="182">
        <f ca="1">IF($D404&lt;&gt;"Serviço",0,IF(OR(AND(AUTOEVENTO="Manual",$M404=1),$M404&gt;(ROW(PLE.lastrow)-ROW(PLE.firstrow))),0,IF(OFFSET(PLE!$G$14,$M404,CA$13)="",10^12,OFFSET(PLE!$G$14,$M404,CA$13))))</f>
        <v>1000000000000</v>
      </c>
      <c r="CB404" s="182">
        <f ca="1">IF($D404&lt;&gt;"Serviço",0,IF(OR(AND(AUTOEVENTO="Manual",$M404=1),$M404&gt;(ROW(PLE.lastrow)-ROW(PLE.firstrow))),0,IF(OFFSET(PLE!$G$14,$M404,CB$13)="",10^12,OFFSET(PLE!$G$14,$M404,CB$13))))</f>
        <v>1000000000000</v>
      </c>
      <c r="CC404" s="182">
        <f ca="1">IF($D404&lt;&gt;"Serviço",0,IF(OR(AND(AUTOEVENTO="Manual",$M404=1),$M404&gt;(ROW(PLE.lastrow)-ROW(PLE.firstrow))),0,IF(OFFSET(PLE!$G$14,$M404,CC$13)="",10^12,OFFSET(PLE!$G$14,$M404,CC$13))))</f>
        <v>1000000000000</v>
      </c>
      <c r="CD404" s="182">
        <f ca="1">IF($D404&lt;&gt;"Serviço",0,IF(OR(AND(AUTOEVENTO="Manual",$M404=1),$M404&gt;(ROW(PLE.lastrow)-ROW(PLE.firstrow))),0,IF(OFFSET(PLE!$G$14,$M404,CD$13)="",10^12,OFFSET(PLE!$G$14,$M404,CD$13))))</f>
        <v>1000000000000</v>
      </c>
      <c r="CE404" s="182">
        <f ca="1">IF($D404&lt;&gt;"Serviço",0,IF(OR(AND(AUTOEVENTO="Manual",$M404=1),$M404&gt;(ROW(PLE.lastrow)-ROW(PLE.firstrow))),0,IF(OFFSET(PLE!$G$14,$M404,CE$13)="",10^12,OFFSET(PLE!$G$14,$M404,CE$13))))</f>
        <v>1000000000000</v>
      </c>
      <c r="CF404" s="182">
        <f ca="1">IF($D404&lt;&gt;"Serviço",0,IF(OR(AND(AUTOEVENTO="Manual",$M404=1),$M404&gt;(ROW(PLE.lastrow)-ROW(PLE.firstrow))),0,IF(OFFSET(PLE!$G$14,$M404,CF$13)="",10^12,OFFSET(PLE!$G$14,$M404,CF$13))))</f>
        <v>1000000000000</v>
      </c>
      <c r="CG404" s="182">
        <f ca="1">IF($D404&lt;&gt;"Serviço",0,IF(OR(AND(AUTOEVENTO="Manual",$M404=1),$M404&gt;(ROW(PLE.lastrow)-ROW(PLE.firstrow))),0,IF(OFFSET(PLE!$G$14,$M404,CG$13)="",10^12,OFFSET(PLE!$G$14,$M404,CG$13))))</f>
        <v>1000000000000</v>
      </c>
      <c r="CH404" s="182">
        <f ca="1">IF($D404&lt;&gt;"Serviço",0,IF(OR(AND(AUTOEVENTO="Manual",$M404=1),$M404&gt;(ROW(PLE.lastrow)-ROW(PLE.firstrow))),0,IF(OFFSET(PLE!$G$14,$M404,CH$13)="",10^12,OFFSET(PLE!$G$14,$M404,CH$13))))</f>
        <v>1000000000000</v>
      </c>
      <c r="CI404" s="182">
        <f ca="1">IF($D404&lt;&gt;"Serviço",0,IF(OR(AND(AUTOEVENTO="Manual",$M404=1),$M404&gt;(ROW(PLE.lastrow)-ROW(PLE.firstrow))),0,IF(OFFSET(PLE!$G$14,$M404,CI$13)="",10^12,OFFSET(PLE!$G$14,$M404,CI$13))))</f>
        <v>1000000000000</v>
      </c>
      <c r="CJ404" s="182">
        <f ca="1">IF($D404&lt;&gt;"Serviço",0,IF(OR(AND(AUTOEVENTO="Manual",$M404=1),$M404&gt;(ROW(PLE.lastrow)-ROW(PLE.firstrow))),0,IF(OFFSET(PLE!$G$14,$M404,CJ$13)="",10^12,OFFSET(PLE!$G$14,$M404,CJ$13))))</f>
        <v>1000000000000</v>
      </c>
      <c r="CK404" s="182">
        <f ca="1">IF($D404&lt;&gt;"Serviço",0,IF(OR(AND(AUTOEVENTO="Manual",$M404=1),$M404&gt;(ROW(PLE.lastrow)-ROW(PLE.firstrow))),0,IF(OFFSET(PLE!$G$14,$M404,CK$13)="",10^12,OFFSET(PLE!$G$14,$M404,CK$13))))</f>
        <v>1000000000000</v>
      </c>
      <c r="CL404" s="182">
        <f ca="1">IF($D404&lt;&gt;"Serviço",0,IF(OR(AND(AUTOEVENTO="Manual",$M404=1),$M404&gt;(ROW(PLE.lastrow)-ROW(PLE.firstrow))),0,IF(OFFSET(PLE!$G$14,$M404,CL$13)="",10^12,OFFSET(PLE!$G$14,$M404,CL$13))))</f>
        <v>1000000000000</v>
      </c>
      <c r="CM404" s="182">
        <f ca="1">IF($D404&lt;&gt;"Serviço",0,IF(OR(AND(AUTOEVENTO="Manual",$M404=1),$M404&gt;(ROW(PLE.lastrow)-ROW(PLE.firstrow))),0,IF(OFFSET(PLE!$G$14,$M404,CM$13)="",10^12,OFFSET(PLE!$G$14,$M404,CM$13))))</f>
        <v>1000000000000</v>
      </c>
    </row>
    <row r="405" spans="1:91" ht="25.5" x14ac:dyDescent="0.2">
      <c r="A405" s="7" t="str">
        <f t="shared" ca="1" si="13"/>
        <v>387</v>
      </c>
      <c r="B405" s="7" t="str">
        <f ca="1">OFFSET(ORÇAMENTO!C$15,ROW(B405)-ROW(B$15),0)</f>
        <v>S</v>
      </c>
      <c r="C405" s="7" t="str">
        <f ca="1">OFFSET(ORÇAMENTO!L$15,ROW(C405)-ROW(C$15),0)</f>
        <v/>
      </c>
      <c r="D405" s="118" t="str">
        <f ca="1">OFFSET(ORÇAMENTO!N$15,ROW(D405)-ROW(D$15),0)</f>
        <v>Serviço</v>
      </c>
      <c r="E405" s="119" t="str">
        <f ca="1">OFFSET(ORÇAMENTO!O$15,ROW(E405)-ROW(E$15),0)</f>
        <v>-</v>
      </c>
      <c r="F405" s="172" t="str">
        <f ca="1">OFFSET(ORÇAMENTO!R$15,ROW(F405)-ROW(F$15),0)</f>
        <v>(abra o arquivo 'Referência 06-2024.xlsm)</v>
      </c>
      <c r="G405" s="173" t="str">
        <f ca="1">IF($D405&lt;&gt;"Serviço","",OFFSET(ORÇAMENTO!S$15,ROW(G405)-ROW(G$15),0))</f>
        <v>-</v>
      </c>
      <c r="H405" s="124">
        <f ca="1">IF($D405&lt;&gt;"Serviço",0,IF(ACOMPANHAMENTO="BM",ROUND(OFFSET(ORÇAMENTO!AJ$15,ROW(H405)-ROW(H$15),0),15-13*ORÇAMENTO!$AF$7),SUMPRODUCT(($Q$12:$AI$12&lt;&gt;"")*ROUND($Q405:$AI405,15-13*ORÇAMENTO!$AF$7))))</f>
        <v>1</v>
      </c>
      <c r="I405" s="561" t="s">
        <v>1107</v>
      </c>
      <c r="K405" s="174"/>
      <c r="L405" s="175" t="s">
        <v>255</v>
      </c>
      <c r="M405" s="176">
        <f ca="1">IF($D405&lt;&gt;"Serviço","",IF(AUTOEVENTO="manual",$A405,IF(ISERROR(MATCH($A405,$A$15:OFFSET($A405,-1,0),0)),MAX($M$15:OFFSET(M405,-1,0))+1,INDEX($M$15:OFFSET(M405,-1,0),MATCH($A405,$A$15:OFFSET($A405,-1,0),0)))))</f>
        <v>45</v>
      </c>
      <c r="N405" s="177" t="str">
        <f ca="1">IF($D405&lt;&gt;"Serviço","",IF(AUTOEVENTO="Manual",IF($A405=0,"&lt;-- defina o número do agrupador",OFFSET(EVENTOS!$D$14,$A405,0)),OFFSET($F$15,$A405,0)))</f>
        <v>INSTALAÇÃO DE GÁS COMBUSTÍVEL</v>
      </c>
      <c r="O405" s="178"/>
      <c r="Q405" s="178">
        <v>1</v>
      </c>
      <c r="R405" s="179"/>
      <c r="S405" s="179"/>
      <c r="T405" s="179"/>
      <c r="U405" s="179"/>
      <c r="V405" s="179"/>
      <c r="W405" s="179"/>
      <c r="X405" s="179"/>
      <c r="Y405" s="179"/>
      <c r="Z405" s="180"/>
      <c r="AA405" s="179"/>
      <c r="AB405" s="179"/>
      <c r="AC405" s="179"/>
      <c r="AD405" s="179"/>
      <c r="AE405" s="179"/>
      <c r="AF405" s="179"/>
      <c r="AG405" s="179"/>
      <c r="AH405" s="180"/>
      <c r="AJ405" s="544">
        <f ca="1">IF(AND($D405="Serviço",AJ$12&lt;&gt;0,$H405&gt;0,OR(AUTOEVENTO&lt;&gt;"manual",$M405&lt;&gt;1)),
IF(Import.TipoArredondamento&lt;&gt;"TransfereGOV",
ROUND(OFFSET($P405,0,AJ$13),15-13*ORÇAMENTO!$AF$7)/$H405*OFFSET(ORÇAMENTO!$X$15,ROW(AJ405)-ROW(AJ$15),0),
ROUND(ROUND(OFFSET($P405,0,AJ$13),15-13*ORÇAMENTO!$AF$7)*OFFSET(ORÇAMENTO!$W$15,ROW(AJ405)-ROW(AJ$15),0),15-13*ORÇAMENTO!$AF$11)),0)</f>
        <v>0</v>
      </c>
      <c r="AK405" s="545">
        <f ca="1">IF(AND($D405="Serviço",AK$12&lt;&gt;0,$H405&gt;0,OR(AUTOEVENTO&lt;&gt;"manual",$M405&lt;&gt;1)),
IF(Import.TipoArredondamento&lt;&gt;"TransfereGOV",
ROUND(OFFSET($P405,0,AK$13),15-13*ORÇAMENTO!$AF$7)/$H405*OFFSET(ORÇAMENTO!$X$15,ROW(AK405)-ROW(AK$15),0),
ROUND(ROUND(OFFSET($P405,0,AK$13),15-13*ORÇAMENTO!$AF$7)*OFFSET(ORÇAMENTO!$W$15,ROW(AK405)-ROW(AK$15),0),15-13*ORÇAMENTO!$AF$11)),0)</f>
        <v>0</v>
      </c>
      <c r="AL405" s="545">
        <f ca="1">IF(AND($D405="Serviço",AL$12&lt;&gt;0,$H405&gt;0,OR(AUTOEVENTO&lt;&gt;"manual",$M405&lt;&gt;1)),
IF(Import.TipoArredondamento&lt;&gt;"TransfereGOV",
ROUND(OFFSET($P405,0,AL$13),15-13*ORÇAMENTO!$AF$7)/$H405*OFFSET(ORÇAMENTO!$X$15,ROW(AL405)-ROW(AL$15),0),
ROUND(ROUND(OFFSET($P405,0,AL$13),15-13*ORÇAMENTO!$AF$7)*OFFSET(ORÇAMENTO!$W$15,ROW(AL405)-ROW(AL$15),0),15-13*ORÇAMENTO!$AF$11)),0)</f>
        <v>0</v>
      </c>
      <c r="AM405" s="545">
        <f ca="1">IF(AND($D405="Serviço",AM$12&lt;&gt;0,$H405&gt;0,OR(AUTOEVENTO&lt;&gt;"manual",$M405&lt;&gt;1)),
IF(Import.TipoArredondamento&lt;&gt;"TransfereGOV",
ROUND(OFFSET($P405,0,AM$13),15-13*ORÇAMENTO!$AF$7)/$H405*OFFSET(ORÇAMENTO!$X$15,ROW(AM405)-ROW(AM$15),0),
ROUND(ROUND(OFFSET($P405,0,AM$13),15-13*ORÇAMENTO!$AF$7)*OFFSET(ORÇAMENTO!$W$15,ROW(AM405)-ROW(AM$15),0),15-13*ORÇAMENTO!$AF$11)),0)</f>
        <v>0</v>
      </c>
      <c r="AN405" s="545">
        <f ca="1">IF(AND($D405="Serviço",AN$12&lt;&gt;0,$H405&gt;0,OR(AUTOEVENTO&lt;&gt;"manual",$M405&lt;&gt;1)),
IF(Import.TipoArredondamento&lt;&gt;"TransfereGOV",
ROUND(OFFSET($P405,0,AN$13),15-13*ORÇAMENTO!$AF$7)/$H405*OFFSET(ORÇAMENTO!$X$15,ROW(AN405)-ROW(AN$15),0),
ROUND(ROUND(OFFSET($P405,0,AN$13),15-13*ORÇAMENTO!$AF$7)*OFFSET(ORÇAMENTO!$W$15,ROW(AN405)-ROW(AN$15),0),15-13*ORÇAMENTO!$AF$11)),0)</f>
        <v>0</v>
      </c>
      <c r="AO405" s="545">
        <f ca="1">IF(AND($D405="Serviço",AO$12&lt;&gt;0,$H405&gt;0,OR(AUTOEVENTO&lt;&gt;"manual",$M405&lt;&gt;1)),
IF(Import.TipoArredondamento&lt;&gt;"TransfereGOV",
ROUND(OFFSET($P405,0,AO$13),15-13*ORÇAMENTO!$AF$7)/$H405*OFFSET(ORÇAMENTO!$X$15,ROW(AO405)-ROW(AO$15),0),
ROUND(ROUND(OFFSET($P405,0,AO$13),15-13*ORÇAMENTO!$AF$7)*OFFSET(ORÇAMENTO!$W$15,ROW(AO405)-ROW(AO$15),0),15-13*ORÇAMENTO!$AF$11)),0)</f>
        <v>0</v>
      </c>
      <c r="AP405" s="545">
        <f ca="1">IF(AND($D405="Serviço",AP$12&lt;&gt;0,$H405&gt;0,OR(AUTOEVENTO&lt;&gt;"manual",$M405&lt;&gt;1)),
IF(Import.TipoArredondamento&lt;&gt;"TransfereGOV",
ROUND(OFFSET($P405,0,AP$13),15-13*ORÇAMENTO!$AF$7)/$H405*OFFSET(ORÇAMENTO!$X$15,ROW(AP405)-ROW(AP$15),0),
ROUND(ROUND(OFFSET($P405,0,AP$13),15-13*ORÇAMENTO!$AF$7)*OFFSET(ORÇAMENTO!$W$15,ROW(AP405)-ROW(AP$15),0),15-13*ORÇAMENTO!$AF$11)),0)</f>
        <v>0</v>
      </c>
      <c r="AQ405" s="545">
        <f ca="1">IF(AND($D405="Serviço",AQ$12&lt;&gt;0,$H405&gt;0,OR(AUTOEVENTO&lt;&gt;"manual",$M405&lt;&gt;1)),
IF(Import.TipoArredondamento&lt;&gt;"TransfereGOV",
ROUND(OFFSET($P405,0,AQ$13),15-13*ORÇAMENTO!$AF$7)/$H405*OFFSET(ORÇAMENTO!$X$15,ROW(AQ405)-ROW(AQ$15),0),
ROUND(ROUND(OFFSET($P405,0,AQ$13),15-13*ORÇAMENTO!$AF$7)*OFFSET(ORÇAMENTO!$W$15,ROW(AQ405)-ROW(AQ$15),0),15-13*ORÇAMENTO!$AF$11)),0)</f>
        <v>0</v>
      </c>
      <c r="AR405" s="545">
        <f ca="1">IF(AND($D405="Serviço",AR$12&lt;&gt;0,$H405&gt;0,OR(AUTOEVENTO&lt;&gt;"manual",$M405&lt;&gt;1)),
IF(Import.TipoArredondamento&lt;&gt;"TransfereGOV",
ROUND(OFFSET($P405,0,AR$13),15-13*ORÇAMENTO!$AF$7)/$H405*OFFSET(ORÇAMENTO!$X$15,ROW(AR405)-ROW(AR$15),0),
ROUND(ROUND(OFFSET($P405,0,AR$13),15-13*ORÇAMENTO!$AF$7)*OFFSET(ORÇAMENTO!$W$15,ROW(AR405)-ROW(AR$15),0),15-13*ORÇAMENTO!$AF$11)),0)</f>
        <v>0</v>
      </c>
      <c r="AS405" s="546">
        <f ca="1">IF(AND($D405="Serviço",AS$12&lt;&gt;0,$H405&gt;0,OR(AUTOEVENTO&lt;&gt;"manual",$M405&lt;&gt;1)),
IF(Import.TipoArredondamento&lt;&gt;"TransfereGOV",
ROUND(OFFSET($P405,0,AS$13),15-13*ORÇAMENTO!$AF$7)/$H405*OFFSET(ORÇAMENTO!$X$15,ROW(AS405)-ROW(AS$15),0),
ROUND(ROUND(OFFSET($P405,0,AS$13),15-13*ORÇAMENTO!$AF$7)*OFFSET(ORÇAMENTO!$W$15,ROW(AS405)-ROW(AS$15),0),15-13*ORÇAMENTO!$AF$11)),0)</f>
        <v>0</v>
      </c>
      <c r="AT405" s="545">
        <f ca="1">IF(AND($D405="Serviço",AT$12&lt;&gt;0,$H405&gt;0,OR(AUTOEVENTO&lt;&gt;"manual",$M405&lt;&gt;1)),
IF(Import.TipoArredondamento&lt;&gt;"TransfereGOV",
ROUND(OFFSET($P405,0,AT$13),15-13*ORÇAMENTO!$AF$7)/$H405*OFFSET(ORÇAMENTO!$X$15,ROW(AT405)-ROW(AT$15),0),
ROUND(ROUND(OFFSET($P405,0,AT$13),15-13*ORÇAMENTO!$AF$7)*OFFSET(ORÇAMENTO!$W$15,ROW(AT405)-ROW(AT$15),0),15-13*ORÇAMENTO!$AF$11)),0)</f>
        <v>0</v>
      </c>
      <c r="AU405" s="545">
        <f ca="1">IF(AND($D405="Serviço",AU$12&lt;&gt;0,$H405&gt;0,OR(AUTOEVENTO&lt;&gt;"manual",$M405&lt;&gt;1)),
IF(Import.TipoArredondamento&lt;&gt;"TransfereGOV",
ROUND(OFFSET($P405,0,AU$13),15-13*ORÇAMENTO!$AF$7)/$H405*OFFSET(ORÇAMENTO!$X$15,ROW(AU405)-ROW(AU$15),0),
ROUND(ROUND(OFFSET($P405,0,AU$13),15-13*ORÇAMENTO!$AF$7)*OFFSET(ORÇAMENTO!$W$15,ROW(AU405)-ROW(AU$15),0),15-13*ORÇAMENTO!$AF$11)),0)</f>
        <v>0</v>
      </c>
      <c r="AV405" s="545">
        <f ca="1">IF(AND($D405="Serviço",AV$12&lt;&gt;0,$H405&gt;0,OR(AUTOEVENTO&lt;&gt;"manual",$M405&lt;&gt;1)),
IF(Import.TipoArredondamento&lt;&gt;"TransfereGOV",
ROUND(OFFSET($P405,0,AV$13),15-13*ORÇAMENTO!$AF$7)/$H405*OFFSET(ORÇAMENTO!$X$15,ROW(AV405)-ROW(AV$15),0),
ROUND(ROUND(OFFSET($P405,0,AV$13),15-13*ORÇAMENTO!$AF$7)*OFFSET(ORÇAMENTO!$W$15,ROW(AV405)-ROW(AV$15),0),15-13*ORÇAMENTO!$AF$11)),0)</f>
        <v>0</v>
      </c>
      <c r="AW405" s="545">
        <f ca="1">IF(AND($D405="Serviço",AW$12&lt;&gt;0,$H405&gt;0,OR(AUTOEVENTO&lt;&gt;"manual",$M405&lt;&gt;1)),
IF(Import.TipoArredondamento&lt;&gt;"TransfereGOV",
ROUND(OFFSET($P405,0,AW$13),15-13*ORÇAMENTO!$AF$7)/$H405*OFFSET(ORÇAMENTO!$X$15,ROW(AW405)-ROW(AW$15),0),
ROUND(ROUND(OFFSET($P405,0,AW$13),15-13*ORÇAMENTO!$AF$7)*OFFSET(ORÇAMENTO!$W$15,ROW(AW405)-ROW(AW$15),0),15-13*ORÇAMENTO!$AF$11)),0)</f>
        <v>0</v>
      </c>
      <c r="AX405" s="545">
        <f ca="1">IF(AND($D405="Serviço",AX$12&lt;&gt;0,$H405&gt;0,OR(AUTOEVENTO&lt;&gt;"manual",$M405&lt;&gt;1)),
IF(Import.TipoArredondamento&lt;&gt;"TransfereGOV",
ROUND(OFFSET($P405,0,AX$13),15-13*ORÇAMENTO!$AF$7)/$H405*OFFSET(ORÇAMENTO!$X$15,ROW(AX405)-ROW(AX$15),0),
ROUND(ROUND(OFFSET($P405,0,AX$13),15-13*ORÇAMENTO!$AF$7)*OFFSET(ORÇAMENTO!$W$15,ROW(AX405)-ROW(AX$15),0),15-13*ORÇAMENTO!$AF$11)),0)</f>
        <v>0</v>
      </c>
      <c r="AY405" s="545">
        <f ca="1">IF(AND($D405="Serviço",AY$12&lt;&gt;0,$H405&gt;0,OR(AUTOEVENTO&lt;&gt;"manual",$M405&lt;&gt;1)),
IF(Import.TipoArredondamento&lt;&gt;"TransfereGOV",
ROUND(OFFSET($P405,0,AY$13),15-13*ORÇAMENTO!$AF$7)/$H405*OFFSET(ORÇAMENTO!$X$15,ROW(AY405)-ROW(AY$15),0),
ROUND(ROUND(OFFSET($P405,0,AY$13),15-13*ORÇAMENTO!$AF$7)*OFFSET(ORÇAMENTO!$W$15,ROW(AY405)-ROW(AY$15),0),15-13*ORÇAMENTO!$AF$11)),0)</f>
        <v>0</v>
      </c>
      <c r="AZ405" s="545">
        <f ca="1">IF(AND($D405="Serviço",AZ$12&lt;&gt;0,$H405&gt;0,OR(AUTOEVENTO&lt;&gt;"manual",$M405&lt;&gt;1)),
IF(Import.TipoArredondamento&lt;&gt;"TransfereGOV",
ROUND(OFFSET($P405,0,AZ$13),15-13*ORÇAMENTO!$AF$7)/$H405*OFFSET(ORÇAMENTO!$X$15,ROW(AZ405)-ROW(AZ$15),0),
ROUND(ROUND(OFFSET($P405,0,AZ$13),15-13*ORÇAMENTO!$AF$7)*OFFSET(ORÇAMENTO!$W$15,ROW(AZ405)-ROW(AZ$15),0),15-13*ORÇAMENTO!$AF$11)),0)</f>
        <v>0</v>
      </c>
      <c r="BA405" s="546">
        <f ca="1">IF(AND($D405="Serviço",BA$12&lt;&gt;0,$H405&gt;0,OR(AUTOEVENTO&lt;&gt;"manual",$M405&lt;&gt;1)),
IF(Import.TipoArredondamento&lt;&gt;"TransfereGOV",
ROUND(OFFSET($P405,0,BA$13),15-13*ORÇAMENTO!$AF$7)/$H405*OFFSET(ORÇAMENTO!$X$15,ROW(BA405)-ROW(BA$15),0),
ROUND(ROUND(OFFSET($P405,0,BA$13),15-13*ORÇAMENTO!$AF$7)*OFFSET(ORÇAMENTO!$W$15,ROW(BA405)-ROW(BA$15),0),15-13*ORÇAMENTO!$AF$11)),0)</f>
        <v>0</v>
      </c>
      <c r="BC405" s="181">
        <f ca="1">IF($D405&lt;&gt;"Serviço",0,IF(AND(AUTOEVENTO="Manual",$M405=1),0,IF(OFFSET(CRONOPLE!$F$14,$M405,BC$13)="",10^12,OFFSET(CRONOPLE!$F$14,$M405,BC$13))))</f>
        <v>10</v>
      </c>
      <c r="BD405" s="181">
        <f ca="1">IF($D405&lt;&gt;"Serviço",0,IF(AND(AUTOEVENTO="Manual",$M405=1),0,IF(OFFSET(CRONOPLE!$F$14,$M405,BD$13)="",10^12,OFFSET(CRONOPLE!$F$14,$M405,BD$13))))</f>
        <v>1000000000000</v>
      </c>
      <c r="BE405" s="181">
        <f ca="1">IF($D405&lt;&gt;"Serviço",0,IF(AND(AUTOEVENTO="Manual",$M405=1),0,IF(OFFSET(CRONOPLE!$F$14,$M405,BE$13)="",10^12,OFFSET(CRONOPLE!$F$14,$M405,BE$13))))</f>
        <v>1000000000000</v>
      </c>
      <c r="BF405" s="181">
        <f ca="1">IF($D405&lt;&gt;"Serviço",0,IF(AND(AUTOEVENTO="Manual",$M405=1),0,IF(OFFSET(CRONOPLE!$F$14,$M405,BF$13)="",10^12,OFFSET(CRONOPLE!$F$14,$M405,BF$13))))</f>
        <v>1000000000000</v>
      </c>
      <c r="BG405" s="181">
        <f ca="1">IF($D405&lt;&gt;"Serviço",0,IF(AND(AUTOEVENTO="Manual",$M405=1),0,IF(OFFSET(CRONOPLE!$F$14,$M405,BG$13)="",10^12,OFFSET(CRONOPLE!$F$14,$M405,BG$13))))</f>
        <v>1000000000000</v>
      </c>
      <c r="BH405" s="181">
        <f ca="1">IF($D405&lt;&gt;"Serviço",0,IF(AND(AUTOEVENTO="Manual",$M405=1),0,IF(OFFSET(CRONOPLE!$F$14,$M405,BH$13)="",10^12,OFFSET(CRONOPLE!$F$14,$M405,BH$13))))</f>
        <v>1000000000000</v>
      </c>
      <c r="BI405" s="181">
        <f ca="1">IF($D405&lt;&gt;"Serviço",0,IF(AND(AUTOEVENTO="Manual",$M405=1),0,IF(OFFSET(CRONOPLE!$F$14,$M405,BI$13)="",10^12,OFFSET(CRONOPLE!$F$14,$M405,BI$13))))</f>
        <v>1000000000000</v>
      </c>
      <c r="BJ405" s="181">
        <f ca="1">IF($D405&lt;&gt;"Serviço",0,IF(AND(AUTOEVENTO="Manual",$M405=1),0,IF(OFFSET(CRONOPLE!$F$14,$M405,BJ$13)="",10^12,OFFSET(CRONOPLE!$F$14,$M405,BJ$13))))</f>
        <v>1000000000000</v>
      </c>
      <c r="BK405" s="181">
        <f ca="1">IF($D405&lt;&gt;"Serviço",0,IF(AND(AUTOEVENTO="Manual",$M405=1),0,IF(OFFSET(CRONOPLE!$F$14,$M405,BK$13)="",10^12,OFFSET(CRONOPLE!$F$14,$M405,BK$13))))</f>
        <v>1000000000000</v>
      </c>
      <c r="BL405" s="181">
        <f ca="1">IF($D405&lt;&gt;"Serviço",0,IF(AND(AUTOEVENTO="Manual",$M405=1),0,IF(OFFSET(CRONOPLE!$F$14,$M405,BL$13)="",10^12,OFFSET(CRONOPLE!$F$14,$M405,BL$13))))</f>
        <v>1000000000000</v>
      </c>
      <c r="BM405" s="181">
        <f ca="1">IF($D405&lt;&gt;"Serviço",0,IF(AND(AUTOEVENTO="Manual",$M405=1),0,IF(OFFSET(CRONOPLE!$F$14,$M405,BM$13)="",10^12,OFFSET(CRONOPLE!$F$14,$M405,BM$13))))</f>
        <v>1000000000000</v>
      </c>
      <c r="BN405" s="181">
        <f ca="1">IF($D405&lt;&gt;"Serviço",0,IF(AND(AUTOEVENTO="Manual",$M405=1),0,IF(OFFSET(CRONOPLE!$F$14,$M405,BN$13)="",10^12,OFFSET(CRONOPLE!$F$14,$M405,BN$13))))</f>
        <v>1000000000000</v>
      </c>
      <c r="BO405" s="181">
        <f ca="1">IF($D405&lt;&gt;"Serviço",0,IF(AND(AUTOEVENTO="Manual",$M405=1),0,IF(OFFSET(CRONOPLE!$F$14,$M405,BO$13)="",10^12,OFFSET(CRONOPLE!$F$14,$M405,BO$13))))</f>
        <v>1000000000000</v>
      </c>
      <c r="BP405" s="181">
        <f ca="1">IF($D405&lt;&gt;"Serviço",0,IF(AND(AUTOEVENTO="Manual",$M405=1),0,IF(OFFSET(CRONOPLE!$F$14,$M405,BP$13)="",10^12,OFFSET(CRONOPLE!$F$14,$M405,BP$13))))</f>
        <v>1000000000000</v>
      </c>
      <c r="BQ405" s="181">
        <f ca="1">IF($D405&lt;&gt;"Serviço",0,IF(AND(AUTOEVENTO="Manual",$M405=1),0,IF(OFFSET(CRONOPLE!$F$14,$M405,BQ$13)="",10^12,OFFSET(CRONOPLE!$F$14,$M405,BQ$13))))</f>
        <v>1000000000000</v>
      </c>
      <c r="BR405" s="181">
        <f ca="1">IF($D405&lt;&gt;"Serviço",0,IF(AND(AUTOEVENTO="Manual",$M405=1),0,IF(OFFSET(CRONOPLE!$F$14,$M405,BR$13)="",10^12,OFFSET(CRONOPLE!$F$14,$M405,BR$13))))</f>
        <v>1000000000000</v>
      </c>
      <c r="BS405" s="181">
        <f ca="1">IF($D405&lt;&gt;"Serviço",0,IF(AND(AUTOEVENTO="Manual",$M405=1),0,IF(OFFSET(CRONOPLE!$F$14,$M405,BS$13)="",10^12,OFFSET(CRONOPLE!$F$14,$M405,BS$13))))</f>
        <v>1000000000000</v>
      </c>
      <c r="BT405" s="181">
        <f ca="1">IF($D405&lt;&gt;"Serviço",0,IF(AND(AUTOEVENTO="Manual",$M405=1),0,IF(OFFSET(CRONOPLE!$F$14,$M405,BT$13)="",10^12,OFFSET(CRONOPLE!$F$14,$M405,BT$13))))</f>
        <v>1000000000000</v>
      </c>
      <c r="BV405" s="182">
        <f ca="1">IF($D405&lt;&gt;"Serviço",0,IF(OR(AND(AUTOEVENTO="Manual",$M405=1),$M405&gt;(ROW(PLE.lastrow)-ROW(PLE.firstrow))),0,IF(OFFSET(PLE!$G$14,$M405,BV$13)="",10^12,OFFSET(PLE!$G$14,$M405,BV$13))))</f>
        <v>1000000000000</v>
      </c>
      <c r="BW405" s="182">
        <f ca="1">IF($D405&lt;&gt;"Serviço",0,IF(OR(AND(AUTOEVENTO="Manual",$M405=1),$M405&gt;(ROW(PLE.lastrow)-ROW(PLE.firstrow))),0,IF(OFFSET(PLE!$G$14,$M405,BW$13)="",10^12,OFFSET(PLE!$G$14,$M405,BW$13))))</f>
        <v>1000000000000</v>
      </c>
      <c r="BX405" s="182">
        <f ca="1">IF($D405&lt;&gt;"Serviço",0,IF(OR(AND(AUTOEVENTO="Manual",$M405=1),$M405&gt;(ROW(PLE.lastrow)-ROW(PLE.firstrow))),0,IF(OFFSET(PLE!$G$14,$M405,BX$13)="",10^12,OFFSET(PLE!$G$14,$M405,BX$13))))</f>
        <v>1000000000000</v>
      </c>
      <c r="BY405" s="182">
        <f ca="1">IF($D405&lt;&gt;"Serviço",0,IF(OR(AND(AUTOEVENTO="Manual",$M405=1),$M405&gt;(ROW(PLE.lastrow)-ROW(PLE.firstrow))),0,IF(OFFSET(PLE!$G$14,$M405,BY$13)="",10^12,OFFSET(PLE!$G$14,$M405,BY$13))))</f>
        <v>1000000000000</v>
      </c>
      <c r="BZ405" s="182">
        <f ca="1">IF($D405&lt;&gt;"Serviço",0,IF(OR(AND(AUTOEVENTO="Manual",$M405=1),$M405&gt;(ROW(PLE.lastrow)-ROW(PLE.firstrow))),0,IF(OFFSET(PLE!$G$14,$M405,BZ$13)="",10^12,OFFSET(PLE!$G$14,$M405,BZ$13))))</f>
        <v>1000000000000</v>
      </c>
      <c r="CA405" s="182">
        <f ca="1">IF($D405&lt;&gt;"Serviço",0,IF(OR(AND(AUTOEVENTO="Manual",$M405=1),$M405&gt;(ROW(PLE.lastrow)-ROW(PLE.firstrow))),0,IF(OFFSET(PLE!$G$14,$M405,CA$13)="",10^12,OFFSET(PLE!$G$14,$M405,CA$13))))</f>
        <v>1000000000000</v>
      </c>
      <c r="CB405" s="182">
        <f ca="1">IF($D405&lt;&gt;"Serviço",0,IF(OR(AND(AUTOEVENTO="Manual",$M405=1),$M405&gt;(ROW(PLE.lastrow)-ROW(PLE.firstrow))),0,IF(OFFSET(PLE!$G$14,$M405,CB$13)="",10^12,OFFSET(PLE!$G$14,$M405,CB$13))))</f>
        <v>1000000000000</v>
      </c>
      <c r="CC405" s="182">
        <f ca="1">IF($D405&lt;&gt;"Serviço",0,IF(OR(AND(AUTOEVENTO="Manual",$M405=1),$M405&gt;(ROW(PLE.lastrow)-ROW(PLE.firstrow))),0,IF(OFFSET(PLE!$G$14,$M405,CC$13)="",10^12,OFFSET(PLE!$G$14,$M405,CC$13))))</f>
        <v>1000000000000</v>
      </c>
      <c r="CD405" s="182">
        <f ca="1">IF($D405&lt;&gt;"Serviço",0,IF(OR(AND(AUTOEVENTO="Manual",$M405=1),$M405&gt;(ROW(PLE.lastrow)-ROW(PLE.firstrow))),0,IF(OFFSET(PLE!$G$14,$M405,CD$13)="",10^12,OFFSET(PLE!$G$14,$M405,CD$13))))</f>
        <v>1000000000000</v>
      </c>
      <c r="CE405" s="182">
        <f ca="1">IF($D405&lt;&gt;"Serviço",0,IF(OR(AND(AUTOEVENTO="Manual",$M405=1),$M405&gt;(ROW(PLE.lastrow)-ROW(PLE.firstrow))),0,IF(OFFSET(PLE!$G$14,$M405,CE$13)="",10^12,OFFSET(PLE!$G$14,$M405,CE$13))))</f>
        <v>1000000000000</v>
      </c>
      <c r="CF405" s="182">
        <f ca="1">IF($D405&lt;&gt;"Serviço",0,IF(OR(AND(AUTOEVENTO="Manual",$M405=1),$M405&gt;(ROW(PLE.lastrow)-ROW(PLE.firstrow))),0,IF(OFFSET(PLE!$G$14,$M405,CF$13)="",10^12,OFFSET(PLE!$G$14,$M405,CF$13))))</f>
        <v>1000000000000</v>
      </c>
      <c r="CG405" s="182">
        <f ca="1">IF($D405&lt;&gt;"Serviço",0,IF(OR(AND(AUTOEVENTO="Manual",$M405=1),$M405&gt;(ROW(PLE.lastrow)-ROW(PLE.firstrow))),0,IF(OFFSET(PLE!$G$14,$M405,CG$13)="",10^12,OFFSET(PLE!$G$14,$M405,CG$13))))</f>
        <v>1000000000000</v>
      </c>
      <c r="CH405" s="182">
        <f ca="1">IF($D405&lt;&gt;"Serviço",0,IF(OR(AND(AUTOEVENTO="Manual",$M405=1),$M405&gt;(ROW(PLE.lastrow)-ROW(PLE.firstrow))),0,IF(OFFSET(PLE!$G$14,$M405,CH$13)="",10^12,OFFSET(PLE!$G$14,$M405,CH$13))))</f>
        <v>1000000000000</v>
      </c>
      <c r="CI405" s="182">
        <f ca="1">IF($D405&lt;&gt;"Serviço",0,IF(OR(AND(AUTOEVENTO="Manual",$M405=1),$M405&gt;(ROW(PLE.lastrow)-ROW(PLE.firstrow))),0,IF(OFFSET(PLE!$G$14,$M405,CI$13)="",10^12,OFFSET(PLE!$G$14,$M405,CI$13))))</f>
        <v>1000000000000</v>
      </c>
      <c r="CJ405" s="182">
        <f ca="1">IF($D405&lt;&gt;"Serviço",0,IF(OR(AND(AUTOEVENTO="Manual",$M405=1),$M405&gt;(ROW(PLE.lastrow)-ROW(PLE.firstrow))),0,IF(OFFSET(PLE!$G$14,$M405,CJ$13)="",10^12,OFFSET(PLE!$G$14,$M405,CJ$13))))</f>
        <v>1000000000000</v>
      </c>
      <c r="CK405" s="182">
        <f ca="1">IF($D405&lt;&gt;"Serviço",0,IF(OR(AND(AUTOEVENTO="Manual",$M405=1),$M405&gt;(ROW(PLE.lastrow)-ROW(PLE.firstrow))),0,IF(OFFSET(PLE!$G$14,$M405,CK$13)="",10^12,OFFSET(PLE!$G$14,$M405,CK$13))))</f>
        <v>1000000000000</v>
      </c>
      <c r="CL405" s="182">
        <f ca="1">IF($D405&lt;&gt;"Serviço",0,IF(OR(AND(AUTOEVENTO="Manual",$M405=1),$M405&gt;(ROW(PLE.lastrow)-ROW(PLE.firstrow))),0,IF(OFFSET(PLE!$G$14,$M405,CL$13)="",10^12,OFFSET(PLE!$G$14,$M405,CL$13))))</f>
        <v>1000000000000</v>
      </c>
      <c r="CM405" s="182">
        <f ca="1">IF($D405&lt;&gt;"Serviço",0,IF(OR(AND(AUTOEVENTO="Manual",$M405=1),$M405&gt;(ROW(PLE.lastrow)-ROW(PLE.firstrow))),0,IF(OFFSET(PLE!$G$14,$M405,CM$13)="",10^12,OFFSET(PLE!$G$14,$M405,CM$13))))</f>
        <v>1000000000000</v>
      </c>
    </row>
    <row r="406" spans="1:91" ht="25.5" x14ac:dyDescent="0.2">
      <c r="A406" s="7" t="str">
        <f t="shared" ca="1" si="13"/>
        <v>387</v>
      </c>
      <c r="B406" s="7" t="str">
        <f ca="1">OFFSET(ORÇAMENTO!C$15,ROW(B406)-ROW(B$15),0)</f>
        <v>S</v>
      </c>
      <c r="C406" s="7" t="str">
        <f ca="1">OFFSET(ORÇAMENTO!L$15,ROW(C406)-ROW(C$15),0)</f>
        <v/>
      </c>
      <c r="D406" s="118" t="str">
        <f ca="1">OFFSET(ORÇAMENTO!N$15,ROW(D406)-ROW(D$15),0)</f>
        <v>Serviço</v>
      </c>
      <c r="E406" s="119" t="str">
        <f ca="1">OFFSET(ORÇAMENTO!O$15,ROW(E406)-ROW(E$15),0)</f>
        <v>-</v>
      </c>
      <c r="F406" s="172" t="str">
        <f ca="1">OFFSET(ORÇAMENTO!R$15,ROW(F406)-ROW(F$15),0)</f>
        <v>(abra o arquivo 'Referência 06-2024.xlsm)</v>
      </c>
      <c r="G406" s="173" t="str">
        <f ca="1">IF($D406&lt;&gt;"Serviço","",OFFSET(ORÇAMENTO!S$15,ROW(G406)-ROW(G$15),0))</f>
        <v>-</v>
      </c>
      <c r="H406" s="124">
        <f ca="1">IF($D406&lt;&gt;"Serviço",0,IF(ACOMPANHAMENTO="BM",ROUND(OFFSET(ORÇAMENTO!AJ$15,ROW(H406)-ROW(H$15),0),15-13*ORÇAMENTO!$AF$7),SUMPRODUCT(($Q$12:$AI$12&lt;&gt;"")*ROUND($Q406:$AI406,15-13*ORÇAMENTO!$AF$7))))</f>
        <v>2</v>
      </c>
      <c r="I406" s="561" t="s">
        <v>1107</v>
      </c>
      <c r="K406" s="174"/>
      <c r="L406" s="175" t="s">
        <v>255</v>
      </c>
      <c r="M406" s="176">
        <f ca="1">IF($D406&lt;&gt;"Serviço","",IF(AUTOEVENTO="manual",$A406,IF(ISERROR(MATCH($A406,$A$15:OFFSET($A406,-1,0),0)),MAX($M$15:OFFSET(M406,-1,0))+1,INDEX($M$15:OFFSET(M406,-1,0),MATCH($A406,$A$15:OFFSET($A406,-1,0),0)))))</f>
        <v>45</v>
      </c>
      <c r="N406" s="177" t="str">
        <f ca="1">IF($D406&lt;&gt;"Serviço","",IF(AUTOEVENTO="Manual",IF($A406=0,"&lt;-- defina o número do agrupador",OFFSET(EVENTOS!$D$14,$A406,0)),OFFSET($F$15,$A406,0)))</f>
        <v>INSTALAÇÃO DE GÁS COMBUSTÍVEL</v>
      </c>
      <c r="O406" s="178"/>
      <c r="Q406" s="178">
        <v>2</v>
      </c>
      <c r="R406" s="179"/>
      <c r="S406" s="179"/>
      <c r="T406" s="179"/>
      <c r="U406" s="179"/>
      <c r="V406" s="179"/>
      <c r="W406" s="179"/>
      <c r="X406" s="179"/>
      <c r="Y406" s="179"/>
      <c r="Z406" s="180"/>
      <c r="AA406" s="179"/>
      <c r="AB406" s="179"/>
      <c r="AC406" s="179"/>
      <c r="AD406" s="179"/>
      <c r="AE406" s="179"/>
      <c r="AF406" s="179"/>
      <c r="AG406" s="179"/>
      <c r="AH406" s="180"/>
      <c r="AJ406" s="544">
        <f ca="1">IF(AND($D406="Serviço",AJ$12&lt;&gt;0,$H406&gt;0,OR(AUTOEVENTO&lt;&gt;"manual",$M406&lt;&gt;1)),
IF(Import.TipoArredondamento&lt;&gt;"TransfereGOV",
ROUND(OFFSET($P406,0,AJ$13),15-13*ORÇAMENTO!$AF$7)/$H406*OFFSET(ORÇAMENTO!$X$15,ROW(AJ406)-ROW(AJ$15),0),
ROUND(ROUND(OFFSET($P406,0,AJ$13),15-13*ORÇAMENTO!$AF$7)*OFFSET(ORÇAMENTO!$W$15,ROW(AJ406)-ROW(AJ$15),0),15-13*ORÇAMENTO!$AF$11)),0)</f>
        <v>0</v>
      </c>
      <c r="AK406" s="545">
        <f ca="1">IF(AND($D406="Serviço",AK$12&lt;&gt;0,$H406&gt;0,OR(AUTOEVENTO&lt;&gt;"manual",$M406&lt;&gt;1)),
IF(Import.TipoArredondamento&lt;&gt;"TransfereGOV",
ROUND(OFFSET($P406,0,AK$13),15-13*ORÇAMENTO!$AF$7)/$H406*OFFSET(ORÇAMENTO!$X$15,ROW(AK406)-ROW(AK$15),0),
ROUND(ROUND(OFFSET($P406,0,AK$13),15-13*ORÇAMENTO!$AF$7)*OFFSET(ORÇAMENTO!$W$15,ROW(AK406)-ROW(AK$15),0),15-13*ORÇAMENTO!$AF$11)),0)</f>
        <v>0</v>
      </c>
      <c r="AL406" s="545">
        <f ca="1">IF(AND($D406="Serviço",AL$12&lt;&gt;0,$H406&gt;0,OR(AUTOEVENTO&lt;&gt;"manual",$M406&lt;&gt;1)),
IF(Import.TipoArredondamento&lt;&gt;"TransfereGOV",
ROUND(OFFSET($P406,0,AL$13),15-13*ORÇAMENTO!$AF$7)/$H406*OFFSET(ORÇAMENTO!$X$15,ROW(AL406)-ROW(AL$15),0),
ROUND(ROUND(OFFSET($P406,0,AL$13),15-13*ORÇAMENTO!$AF$7)*OFFSET(ORÇAMENTO!$W$15,ROW(AL406)-ROW(AL$15),0),15-13*ORÇAMENTO!$AF$11)),0)</f>
        <v>0</v>
      </c>
      <c r="AM406" s="545">
        <f ca="1">IF(AND($D406="Serviço",AM$12&lt;&gt;0,$H406&gt;0,OR(AUTOEVENTO&lt;&gt;"manual",$M406&lt;&gt;1)),
IF(Import.TipoArredondamento&lt;&gt;"TransfereGOV",
ROUND(OFFSET($P406,0,AM$13),15-13*ORÇAMENTO!$AF$7)/$H406*OFFSET(ORÇAMENTO!$X$15,ROW(AM406)-ROW(AM$15),0),
ROUND(ROUND(OFFSET($P406,0,AM$13),15-13*ORÇAMENTO!$AF$7)*OFFSET(ORÇAMENTO!$W$15,ROW(AM406)-ROW(AM$15),0),15-13*ORÇAMENTO!$AF$11)),0)</f>
        <v>0</v>
      </c>
      <c r="AN406" s="545">
        <f ca="1">IF(AND($D406="Serviço",AN$12&lt;&gt;0,$H406&gt;0,OR(AUTOEVENTO&lt;&gt;"manual",$M406&lt;&gt;1)),
IF(Import.TipoArredondamento&lt;&gt;"TransfereGOV",
ROUND(OFFSET($P406,0,AN$13),15-13*ORÇAMENTO!$AF$7)/$H406*OFFSET(ORÇAMENTO!$X$15,ROW(AN406)-ROW(AN$15),0),
ROUND(ROUND(OFFSET($P406,0,AN$13),15-13*ORÇAMENTO!$AF$7)*OFFSET(ORÇAMENTO!$W$15,ROW(AN406)-ROW(AN$15),0),15-13*ORÇAMENTO!$AF$11)),0)</f>
        <v>0</v>
      </c>
      <c r="AO406" s="545">
        <f ca="1">IF(AND($D406="Serviço",AO$12&lt;&gt;0,$H406&gt;0,OR(AUTOEVENTO&lt;&gt;"manual",$M406&lt;&gt;1)),
IF(Import.TipoArredondamento&lt;&gt;"TransfereGOV",
ROUND(OFFSET($P406,0,AO$13),15-13*ORÇAMENTO!$AF$7)/$H406*OFFSET(ORÇAMENTO!$X$15,ROW(AO406)-ROW(AO$15),0),
ROUND(ROUND(OFFSET($P406,0,AO$13),15-13*ORÇAMENTO!$AF$7)*OFFSET(ORÇAMENTO!$W$15,ROW(AO406)-ROW(AO$15),0),15-13*ORÇAMENTO!$AF$11)),0)</f>
        <v>0</v>
      </c>
      <c r="AP406" s="545">
        <f ca="1">IF(AND($D406="Serviço",AP$12&lt;&gt;0,$H406&gt;0,OR(AUTOEVENTO&lt;&gt;"manual",$M406&lt;&gt;1)),
IF(Import.TipoArredondamento&lt;&gt;"TransfereGOV",
ROUND(OFFSET($P406,0,AP$13),15-13*ORÇAMENTO!$AF$7)/$H406*OFFSET(ORÇAMENTO!$X$15,ROW(AP406)-ROW(AP$15),0),
ROUND(ROUND(OFFSET($P406,0,AP$13),15-13*ORÇAMENTO!$AF$7)*OFFSET(ORÇAMENTO!$W$15,ROW(AP406)-ROW(AP$15),0),15-13*ORÇAMENTO!$AF$11)),0)</f>
        <v>0</v>
      </c>
      <c r="AQ406" s="545">
        <f ca="1">IF(AND($D406="Serviço",AQ$12&lt;&gt;0,$H406&gt;0,OR(AUTOEVENTO&lt;&gt;"manual",$M406&lt;&gt;1)),
IF(Import.TipoArredondamento&lt;&gt;"TransfereGOV",
ROUND(OFFSET($P406,0,AQ$13),15-13*ORÇAMENTO!$AF$7)/$H406*OFFSET(ORÇAMENTO!$X$15,ROW(AQ406)-ROW(AQ$15),0),
ROUND(ROUND(OFFSET($P406,0,AQ$13),15-13*ORÇAMENTO!$AF$7)*OFFSET(ORÇAMENTO!$W$15,ROW(AQ406)-ROW(AQ$15),0),15-13*ORÇAMENTO!$AF$11)),0)</f>
        <v>0</v>
      </c>
      <c r="AR406" s="545">
        <f ca="1">IF(AND($D406="Serviço",AR$12&lt;&gt;0,$H406&gt;0,OR(AUTOEVENTO&lt;&gt;"manual",$M406&lt;&gt;1)),
IF(Import.TipoArredondamento&lt;&gt;"TransfereGOV",
ROUND(OFFSET($P406,0,AR$13),15-13*ORÇAMENTO!$AF$7)/$H406*OFFSET(ORÇAMENTO!$X$15,ROW(AR406)-ROW(AR$15),0),
ROUND(ROUND(OFFSET($P406,0,AR$13),15-13*ORÇAMENTO!$AF$7)*OFFSET(ORÇAMENTO!$W$15,ROW(AR406)-ROW(AR$15),0),15-13*ORÇAMENTO!$AF$11)),0)</f>
        <v>0</v>
      </c>
      <c r="AS406" s="546">
        <f ca="1">IF(AND($D406="Serviço",AS$12&lt;&gt;0,$H406&gt;0,OR(AUTOEVENTO&lt;&gt;"manual",$M406&lt;&gt;1)),
IF(Import.TipoArredondamento&lt;&gt;"TransfereGOV",
ROUND(OFFSET($P406,0,AS$13),15-13*ORÇAMENTO!$AF$7)/$H406*OFFSET(ORÇAMENTO!$X$15,ROW(AS406)-ROW(AS$15),0),
ROUND(ROUND(OFFSET($P406,0,AS$13),15-13*ORÇAMENTO!$AF$7)*OFFSET(ORÇAMENTO!$W$15,ROW(AS406)-ROW(AS$15),0),15-13*ORÇAMENTO!$AF$11)),0)</f>
        <v>0</v>
      </c>
      <c r="AT406" s="545">
        <f ca="1">IF(AND($D406="Serviço",AT$12&lt;&gt;0,$H406&gt;0,OR(AUTOEVENTO&lt;&gt;"manual",$M406&lt;&gt;1)),
IF(Import.TipoArredondamento&lt;&gt;"TransfereGOV",
ROUND(OFFSET($P406,0,AT$13),15-13*ORÇAMENTO!$AF$7)/$H406*OFFSET(ORÇAMENTO!$X$15,ROW(AT406)-ROW(AT$15),0),
ROUND(ROUND(OFFSET($P406,0,AT$13),15-13*ORÇAMENTO!$AF$7)*OFFSET(ORÇAMENTO!$W$15,ROW(AT406)-ROW(AT$15),0),15-13*ORÇAMENTO!$AF$11)),0)</f>
        <v>0</v>
      </c>
      <c r="AU406" s="545">
        <f ca="1">IF(AND($D406="Serviço",AU$12&lt;&gt;0,$H406&gt;0,OR(AUTOEVENTO&lt;&gt;"manual",$M406&lt;&gt;1)),
IF(Import.TipoArredondamento&lt;&gt;"TransfereGOV",
ROUND(OFFSET($P406,0,AU$13),15-13*ORÇAMENTO!$AF$7)/$H406*OFFSET(ORÇAMENTO!$X$15,ROW(AU406)-ROW(AU$15),0),
ROUND(ROUND(OFFSET($P406,0,AU$13),15-13*ORÇAMENTO!$AF$7)*OFFSET(ORÇAMENTO!$W$15,ROW(AU406)-ROW(AU$15),0),15-13*ORÇAMENTO!$AF$11)),0)</f>
        <v>0</v>
      </c>
      <c r="AV406" s="545">
        <f ca="1">IF(AND($D406="Serviço",AV$12&lt;&gt;0,$H406&gt;0,OR(AUTOEVENTO&lt;&gt;"manual",$M406&lt;&gt;1)),
IF(Import.TipoArredondamento&lt;&gt;"TransfereGOV",
ROUND(OFFSET($P406,0,AV$13),15-13*ORÇAMENTO!$AF$7)/$H406*OFFSET(ORÇAMENTO!$X$15,ROW(AV406)-ROW(AV$15),0),
ROUND(ROUND(OFFSET($P406,0,AV$13),15-13*ORÇAMENTO!$AF$7)*OFFSET(ORÇAMENTO!$W$15,ROW(AV406)-ROW(AV$15),0),15-13*ORÇAMENTO!$AF$11)),0)</f>
        <v>0</v>
      </c>
      <c r="AW406" s="545">
        <f ca="1">IF(AND($D406="Serviço",AW$12&lt;&gt;0,$H406&gt;0,OR(AUTOEVENTO&lt;&gt;"manual",$M406&lt;&gt;1)),
IF(Import.TipoArredondamento&lt;&gt;"TransfereGOV",
ROUND(OFFSET($P406,0,AW$13),15-13*ORÇAMENTO!$AF$7)/$H406*OFFSET(ORÇAMENTO!$X$15,ROW(AW406)-ROW(AW$15),0),
ROUND(ROUND(OFFSET($P406,0,AW$13),15-13*ORÇAMENTO!$AF$7)*OFFSET(ORÇAMENTO!$W$15,ROW(AW406)-ROW(AW$15),0),15-13*ORÇAMENTO!$AF$11)),0)</f>
        <v>0</v>
      </c>
      <c r="AX406" s="545">
        <f ca="1">IF(AND($D406="Serviço",AX$12&lt;&gt;0,$H406&gt;0,OR(AUTOEVENTO&lt;&gt;"manual",$M406&lt;&gt;1)),
IF(Import.TipoArredondamento&lt;&gt;"TransfereGOV",
ROUND(OFFSET($P406,0,AX$13),15-13*ORÇAMENTO!$AF$7)/$H406*OFFSET(ORÇAMENTO!$X$15,ROW(AX406)-ROW(AX$15),0),
ROUND(ROUND(OFFSET($P406,0,AX$13),15-13*ORÇAMENTO!$AF$7)*OFFSET(ORÇAMENTO!$W$15,ROW(AX406)-ROW(AX$15),0),15-13*ORÇAMENTO!$AF$11)),0)</f>
        <v>0</v>
      </c>
      <c r="AY406" s="545">
        <f ca="1">IF(AND($D406="Serviço",AY$12&lt;&gt;0,$H406&gt;0,OR(AUTOEVENTO&lt;&gt;"manual",$M406&lt;&gt;1)),
IF(Import.TipoArredondamento&lt;&gt;"TransfereGOV",
ROUND(OFFSET($P406,0,AY$13),15-13*ORÇAMENTO!$AF$7)/$H406*OFFSET(ORÇAMENTO!$X$15,ROW(AY406)-ROW(AY$15),0),
ROUND(ROUND(OFFSET($P406,0,AY$13),15-13*ORÇAMENTO!$AF$7)*OFFSET(ORÇAMENTO!$W$15,ROW(AY406)-ROW(AY$15),0),15-13*ORÇAMENTO!$AF$11)),0)</f>
        <v>0</v>
      </c>
      <c r="AZ406" s="545">
        <f ca="1">IF(AND($D406="Serviço",AZ$12&lt;&gt;0,$H406&gt;0,OR(AUTOEVENTO&lt;&gt;"manual",$M406&lt;&gt;1)),
IF(Import.TipoArredondamento&lt;&gt;"TransfereGOV",
ROUND(OFFSET($P406,0,AZ$13),15-13*ORÇAMENTO!$AF$7)/$H406*OFFSET(ORÇAMENTO!$X$15,ROW(AZ406)-ROW(AZ$15),0),
ROUND(ROUND(OFFSET($P406,0,AZ$13),15-13*ORÇAMENTO!$AF$7)*OFFSET(ORÇAMENTO!$W$15,ROW(AZ406)-ROW(AZ$15),0),15-13*ORÇAMENTO!$AF$11)),0)</f>
        <v>0</v>
      </c>
      <c r="BA406" s="546">
        <f ca="1">IF(AND($D406="Serviço",BA$12&lt;&gt;0,$H406&gt;0,OR(AUTOEVENTO&lt;&gt;"manual",$M406&lt;&gt;1)),
IF(Import.TipoArredondamento&lt;&gt;"TransfereGOV",
ROUND(OFFSET($P406,0,BA$13),15-13*ORÇAMENTO!$AF$7)/$H406*OFFSET(ORÇAMENTO!$X$15,ROW(BA406)-ROW(BA$15),0),
ROUND(ROUND(OFFSET($P406,0,BA$13),15-13*ORÇAMENTO!$AF$7)*OFFSET(ORÇAMENTO!$W$15,ROW(BA406)-ROW(BA$15),0),15-13*ORÇAMENTO!$AF$11)),0)</f>
        <v>0</v>
      </c>
      <c r="BC406" s="181">
        <f ca="1">IF($D406&lt;&gt;"Serviço",0,IF(AND(AUTOEVENTO="Manual",$M406=1),0,IF(OFFSET(CRONOPLE!$F$14,$M406,BC$13)="",10^12,OFFSET(CRONOPLE!$F$14,$M406,BC$13))))</f>
        <v>10</v>
      </c>
      <c r="BD406" s="181">
        <f ca="1">IF($D406&lt;&gt;"Serviço",0,IF(AND(AUTOEVENTO="Manual",$M406=1),0,IF(OFFSET(CRONOPLE!$F$14,$M406,BD$13)="",10^12,OFFSET(CRONOPLE!$F$14,$M406,BD$13))))</f>
        <v>1000000000000</v>
      </c>
      <c r="BE406" s="181">
        <f ca="1">IF($D406&lt;&gt;"Serviço",0,IF(AND(AUTOEVENTO="Manual",$M406=1),0,IF(OFFSET(CRONOPLE!$F$14,$M406,BE$13)="",10^12,OFFSET(CRONOPLE!$F$14,$M406,BE$13))))</f>
        <v>1000000000000</v>
      </c>
      <c r="BF406" s="181">
        <f ca="1">IF($D406&lt;&gt;"Serviço",0,IF(AND(AUTOEVENTO="Manual",$M406=1),0,IF(OFFSET(CRONOPLE!$F$14,$M406,BF$13)="",10^12,OFFSET(CRONOPLE!$F$14,$M406,BF$13))))</f>
        <v>1000000000000</v>
      </c>
      <c r="BG406" s="181">
        <f ca="1">IF($D406&lt;&gt;"Serviço",0,IF(AND(AUTOEVENTO="Manual",$M406=1),0,IF(OFFSET(CRONOPLE!$F$14,$M406,BG$13)="",10^12,OFFSET(CRONOPLE!$F$14,$M406,BG$13))))</f>
        <v>1000000000000</v>
      </c>
      <c r="BH406" s="181">
        <f ca="1">IF($D406&lt;&gt;"Serviço",0,IF(AND(AUTOEVENTO="Manual",$M406=1),0,IF(OFFSET(CRONOPLE!$F$14,$M406,BH$13)="",10^12,OFFSET(CRONOPLE!$F$14,$M406,BH$13))))</f>
        <v>1000000000000</v>
      </c>
      <c r="BI406" s="181">
        <f ca="1">IF($D406&lt;&gt;"Serviço",0,IF(AND(AUTOEVENTO="Manual",$M406=1),0,IF(OFFSET(CRONOPLE!$F$14,$M406,BI$13)="",10^12,OFFSET(CRONOPLE!$F$14,$M406,BI$13))))</f>
        <v>1000000000000</v>
      </c>
      <c r="BJ406" s="181">
        <f ca="1">IF($D406&lt;&gt;"Serviço",0,IF(AND(AUTOEVENTO="Manual",$M406=1),0,IF(OFFSET(CRONOPLE!$F$14,$M406,BJ$13)="",10^12,OFFSET(CRONOPLE!$F$14,$M406,BJ$13))))</f>
        <v>1000000000000</v>
      </c>
      <c r="BK406" s="181">
        <f ca="1">IF($D406&lt;&gt;"Serviço",0,IF(AND(AUTOEVENTO="Manual",$M406=1),0,IF(OFFSET(CRONOPLE!$F$14,$M406,BK$13)="",10^12,OFFSET(CRONOPLE!$F$14,$M406,BK$13))))</f>
        <v>1000000000000</v>
      </c>
      <c r="BL406" s="181">
        <f ca="1">IF($D406&lt;&gt;"Serviço",0,IF(AND(AUTOEVENTO="Manual",$M406=1),0,IF(OFFSET(CRONOPLE!$F$14,$M406,BL$13)="",10^12,OFFSET(CRONOPLE!$F$14,$M406,BL$13))))</f>
        <v>1000000000000</v>
      </c>
      <c r="BM406" s="181">
        <f ca="1">IF($D406&lt;&gt;"Serviço",0,IF(AND(AUTOEVENTO="Manual",$M406=1),0,IF(OFFSET(CRONOPLE!$F$14,$M406,BM$13)="",10^12,OFFSET(CRONOPLE!$F$14,$M406,BM$13))))</f>
        <v>1000000000000</v>
      </c>
      <c r="BN406" s="181">
        <f ca="1">IF($D406&lt;&gt;"Serviço",0,IF(AND(AUTOEVENTO="Manual",$M406=1),0,IF(OFFSET(CRONOPLE!$F$14,$M406,BN$13)="",10^12,OFFSET(CRONOPLE!$F$14,$M406,BN$13))))</f>
        <v>1000000000000</v>
      </c>
      <c r="BO406" s="181">
        <f ca="1">IF($D406&lt;&gt;"Serviço",0,IF(AND(AUTOEVENTO="Manual",$M406=1),0,IF(OFFSET(CRONOPLE!$F$14,$M406,BO$13)="",10^12,OFFSET(CRONOPLE!$F$14,$M406,BO$13))))</f>
        <v>1000000000000</v>
      </c>
      <c r="BP406" s="181">
        <f ca="1">IF($D406&lt;&gt;"Serviço",0,IF(AND(AUTOEVENTO="Manual",$M406=1),0,IF(OFFSET(CRONOPLE!$F$14,$M406,BP$13)="",10^12,OFFSET(CRONOPLE!$F$14,$M406,BP$13))))</f>
        <v>1000000000000</v>
      </c>
      <c r="BQ406" s="181">
        <f ca="1">IF($D406&lt;&gt;"Serviço",0,IF(AND(AUTOEVENTO="Manual",$M406=1),0,IF(OFFSET(CRONOPLE!$F$14,$M406,BQ$13)="",10^12,OFFSET(CRONOPLE!$F$14,$M406,BQ$13))))</f>
        <v>1000000000000</v>
      </c>
      <c r="BR406" s="181">
        <f ca="1">IF($D406&lt;&gt;"Serviço",0,IF(AND(AUTOEVENTO="Manual",$M406=1),0,IF(OFFSET(CRONOPLE!$F$14,$M406,BR$13)="",10^12,OFFSET(CRONOPLE!$F$14,$M406,BR$13))))</f>
        <v>1000000000000</v>
      </c>
      <c r="BS406" s="181">
        <f ca="1">IF($D406&lt;&gt;"Serviço",0,IF(AND(AUTOEVENTO="Manual",$M406=1),0,IF(OFFSET(CRONOPLE!$F$14,$M406,BS$13)="",10^12,OFFSET(CRONOPLE!$F$14,$M406,BS$13))))</f>
        <v>1000000000000</v>
      </c>
      <c r="BT406" s="181">
        <f ca="1">IF($D406&lt;&gt;"Serviço",0,IF(AND(AUTOEVENTO="Manual",$M406=1),0,IF(OFFSET(CRONOPLE!$F$14,$M406,BT$13)="",10^12,OFFSET(CRONOPLE!$F$14,$M406,BT$13))))</f>
        <v>1000000000000</v>
      </c>
      <c r="BV406" s="182">
        <f ca="1">IF($D406&lt;&gt;"Serviço",0,IF(OR(AND(AUTOEVENTO="Manual",$M406=1),$M406&gt;(ROW(PLE.lastrow)-ROW(PLE.firstrow))),0,IF(OFFSET(PLE!$G$14,$M406,BV$13)="",10^12,OFFSET(PLE!$G$14,$M406,BV$13))))</f>
        <v>1000000000000</v>
      </c>
      <c r="BW406" s="182">
        <f ca="1">IF($D406&lt;&gt;"Serviço",0,IF(OR(AND(AUTOEVENTO="Manual",$M406=1),$M406&gt;(ROW(PLE.lastrow)-ROW(PLE.firstrow))),0,IF(OFFSET(PLE!$G$14,$M406,BW$13)="",10^12,OFFSET(PLE!$G$14,$M406,BW$13))))</f>
        <v>1000000000000</v>
      </c>
      <c r="BX406" s="182">
        <f ca="1">IF($D406&lt;&gt;"Serviço",0,IF(OR(AND(AUTOEVENTO="Manual",$M406=1),$M406&gt;(ROW(PLE.lastrow)-ROW(PLE.firstrow))),0,IF(OFFSET(PLE!$G$14,$M406,BX$13)="",10^12,OFFSET(PLE!$G$14,$M406,BX$13))))</f>
        <v>1000000000000</v>
      </c>
      <c r="BY406" s="182">
        <f ca="1">IF($D406&lt;&gt;"Serviço",0,IF(OR(AND(AUTOEVENTO="Manual",$M406=1),$M406&gt;(ROW(PLE.lastrow)-ROW(PLE.firstrow))),0,IF(OFFSET(PLE!$G$14,$M406,BY$13)="",10^12,OFFSET(PLE!$G$14,$M406,BY$13))))</f>
        <v>1000000000000</v>
      </c>
      <c r="BZ406" s="182">
        <f ca="1">IF($D406&lt;&gt;"Serviço",0,IF(OR(AND(AUTOEVENTO="Manual",$M406=1),$M406&gt;(ROW(PLE.lastrow)-ROW(PLE.firstrow))),0,IF(OFFSET(PLE!$G$14,$M406,BZ$13)="",10^12,OFFSET(PLE!$G$14,$M406,BZ$13))))</f>
        <v>1000000000000</v>
      </c>
      <c r="CA406" s="182">
        <f ca="1">IF($D406&lt;&gt;"Serviço",0,IF(OR(AND(AUTOEVENTO="Manual",$M406=1),$M406&gt;(ROW(PLE.lastrow)-ROW(PLE.firstrow))),0,IF(OFFSET(PLE!$G$14,$M406,CA$13)="",10^12,OFFSET(PLE!$G$14,$M406,CA$13))))</f>
        <v>1000000000000</v>
      </c>
      <c r="CB406" s="182">
        <f ca="1">IF($D406&lt;&gt;"Serviço",0,IF(OR(AND(AUTOEVENTO="Manual",$M406=1),$M406&gt;(ROW(PLE.lastrow)-ROW(PLE.firstrow))),0,IF(OFFSET(PLE!$G$14,$M406,CB$13)="",10^12,OFFSET(PLE!$G$14,$M406,CB$13))))</f>
        <v>1000000000000</v>
      </c>
      <c r="CC406" s="182">
        <f ca="1">IF($D406&lt;&gt;"Serviço",0,IF(OR(AND(AUTOEVENTO="Manual",$M406=1),$M406&gt;(ROW(PLE.lastrow)-ROW(PLE.firstrow))),0,IF(OFFSET(PLE!$G$14,$M406,CC$13)="",10^12,OFFSET(PLE!$G$14,$M406,CC$13))))</f>
        <v>1000000000000</v>
      </c>
      <c r="CD406" s="182">
        <f ca="1">IF($D406&lt;&gt;"Serviço",0,IF(OR(AND(AUTOEVENTO="Manual",$M406=1),$M406&gt;(ROW(PLE.lastrow)-ROW(PLE.firstrow))),0,IF(OFFSET(PLE!$G$14,$M406,CD$13)="",10^12,OFFSET(PLE!$G$14,$M406,CD$13))))</f>
        <v>1000000000000</v>
      </c>
      <c r="CE406" s="182">
        <f ca="1">IF($D406&lt;&gt;"Serviço",0,IF(OR(AND(AUTOEVENTO="Manual",$M406=1),$M406&gt;(ROW(PLE.lastrow)-ROW(PLE.firstrow))),0,IF(OFFSET(PLE!$G$14,$M406,CE$13)="",10^12,OFFSET(PLE!$G$14,$M406,CE$13))))</f>
        <v>1000000000000</v>
      </c>
      <c r="CF406" s="182">
        <f ca="1">IF($D406&lt;&gt;"Serviço",0,IF(OR(AND(AUTOEVENTO="Manual",$M406=1),$M406&gt;(ROW(PLE.lastrow)-ROW(PLE.firstrow))),0,IF(OFFSET(PLE!$G$14,$M406,CF$13)="",10^12,OFFSET(PLE!$G$14,$M406,CF$13))))</f>
        <v>1000000000000</v>
      </c>
      <c r="CG406" s="182">
        <f ca="1">IF($D406&lt;&gt;"Serviço",0,IF(OR(AND(AUTOEVENTO="Manual",$M406=1),$M406&gt;(ROW(PLE.lastrow)-ROW(PLE.firstrow))),0,IF(OFFSET(PLE!$G$14,$M406,CG$13)="",10^12,OFFSET(PLE!$G$14,$M406,CG$13))))</f>
        <v>1000000000000</v>
      </c>
      <c r="CH406" s="182">
        <f ca="1">IF($D406&lt;&gt;"Serviço",0,IF(OR(AND(AUTOEVENTO="Manual",$M406=1),$M406&gt;(ROW(PLE.lastrow)-ROW(PLE.firstrow))),0,IF(OFFSET(PLE!$G$14,$M406,CH$13)="",10^12,OFFSET(PLE!$G$14,$M406,CH$13))))</f>
        <v>1000000000000</v>
      </c>
      <c r="CI406" s="182">
        <f ca="1">IF($D406&lt;&gt;"Serviço",0,IF(OR(AND(AUTOEVENTO="Manual",$M406=1),$M406&gt;(ROW(PLE.lastrow)-ROW(PLE.firstrow))),0,IF(OFFSET(PLE!$G$14,$M406,CI$13)="",10^12,OFFSET(PLE!$G$14,$M406,CI$13))))</f>
        <v>1000000000000</v>
      </c>
      <c r="CJ406" s="182">
        <f ca="1">IF($D406&lt;&gt;"Serviço",0,IF(OR(AND(AUTOEVENTO="Manual",$M406=1),$M406&gt;(ROW(PLE.lastrow)-ROW(PLE.firstrow))),0,IF(OFFSET(PLE!$G$14,$M406,CJ$13)="",10^12,OFFSET(PLE!$G$14,$M406,CJ$13))))</f>
        <v>1000000000000</v>
      </c>
      <c r="CK406" s="182">
        <f ca="1">IF($D406&lt;&gt;"Serviço",0,IF(OR(AND(AUTOEVENTO="Manual",$M406=1),$M406&gt;(ROW(PLE.lastrow)-ROW(PLE.firstrow))),0,IF(OFFSET(PLE!$G$14,$M406,CK$13)="",10^12,OFFSET(PLE!$G$14,$M406,CK$13))))</f>
        <v>1000000000000</v>
      </c>
      <c r="CL406" s="182">
        <f ca="1">IF($D406&lt;&gt;"Serviço",0,IF(OR(AND(AUTOEVENTO="Manual",$M406=1),$M406&gt;(ROW(PLE.lastrow)-ROW(PLE.firstrow))),0,IF(OFFSET(PLE!$G$14,$M406,CL$13)="",10^12,OFFSET(PLE!$G$14,$M406,CL$13))))</f>
        <v>1000000000000</v>
      </c>
      <c r="CM406" s="182">
        <f ca="1">IF($D406&lt;&gt;"Serviço",0,IF(OR(AND(AUTOEVENTO="Manual",$M406=1),$M406&gt;(ROW(PLE.lastrow)-ROW(PLE.firstrow))),0,IF(OFFSET(PLE!$G$14,$M406,CM$13)="",10^12,OFFSET(PLE!$G$14,$M406,CM$13))))</f>
        <v>1000000000000</v>
      </c>
    </row>
    <row r="407" spans="1:91" ht="38.25" x14ac:dyDescent="0.2">
      <c r="A407" s="7" t="str">
        <f t="shared" ca="1" si="13"/>
        <v>387</v>
      </c>
      <c r="B407" s="7" t="str">
        <f ca="1">OFFSET(ORÇAMENTO!C$15,ROW(B407)-ROW(B$15),0)</f>
        <v>S</v>
      </c>
      <c r="C407" s="7" t="str">
        <f ca="1">OFFSET(ORÇAMENTO!L$15,ROW(C407)-ROW(C$15),0)</f>
        <v/>
      </c>
      <c r="D407" s="118" t="str">
        <f ca="1">OFFSET(ORÇAMENTO!N$15,ROW(D407)-ROW(D$15),0)</f>
        <v>Serviço</v>
      </c>
      <c r="E407" s="119" t="str">
        <f ca="1">OFFSET(ORÇAMENTO!O$15,ROW(E407)-ROW(E$15),0)</f>
        <v>-</v>
      </c>
      <c r="F407" s="172" t="str">
        <f ca="1">OFFSET(ORÇAMENTO!R$15,ROW(F407)-ROW(F$15),0)</f>
        <v>(abra o arquivo 'Referência 06-2024.xlsm)</v>
      </c>
      <c r="G407" s="173" t="str">
        <f ca="1">IF($D407&lt;&gt;"Serviço","",OFFSET(ORÇAMENTO!S$15,ROW(G407)-ROW(G$15),0))</f>
        <v>-</v>
      </c>
      <c r="H407" s="124">
        <f ca="1">IF($D407&lt;&gt;"Serviço",0,IF(ACOMPANHAMENTO="BM",ROUND(OFFSET(ORÇAMENTO!AJ$15,ROW(H407)-ROW(H$15),0),15-13*ORÇAMENTO!$AF$7),SUMPRODUCT(($Q$12:$AI$12&lt;&gt;"")*ROUND($Q407:$AI407,15-13*ORÇAMENTO!$AF$7))))</f>
        <v>53</v>
      </c>
      <c r="I407" s="561" t="s">
        <v>1107</v>
      </c>
      <c r="K407" s="174"/>
      <c r="L407" s="175" t="s">
        <v>255</v>
      </c>
      <c r="M407" s="176">
        <f ca="1">IF($D407&lt;&gt;"Serviço","",IF(AUTOEVENTO="manual",$A407,IF(ISERROR(MATCH($A407,$A$15:OFFSET($A407,-1,0),0)),MAX($M$15:OFFSET(M407,-1,0))+1,INDEX($M$15:OFFSET(M407,-1,0),MATCH($A407,$A$15:OFFSET($A407,-1,0),0)))))</f>
        <v>45</v>
      </c>
      <c r="N407" s="177" t="str">
        <f ca="1">IF($D407&lt;&gt;"Serviço","",IF(AUTOEVENTO="Manual",IF($A407=0,"&lt;-- defina o número do agrupador",OFFSET(EVENTOS!$D$14,$A407,0)),OFFSET($F$15,$A407,0)))</f>
        <v>INSTALAÇÃO DE GÁS COMBUSTÍVEL</v>
      </c>
      <c r="O407" s="178"/>
      <c r="Q407" s="178">
        <v>53</v>
      </c>
      <c r="R407" s="179"/>
      <c r="S407" s="179"/>
      <c r="T407" s="179"/>
      <c r="U407" s="179"/>
      <c r="V407" s="179"/>
      <c r="W407" s="179"/>
      <c r="X407" s="179"/>
      <c r="Y407" s="179"/>
      <c r="Z407" s="180"/>
      <c r="AA407" s="179"/>
      <c r="AB407" s="179"/>
      <c r="AC407" s="179"/>
      <c r="AD407" s="179"/>
      <c r="AE407" s="179"/>
      <c r="AF407" s="179"/>
      <c r="AG407" s="179"/>
      <c r="AH407" s="180"/>
      <c r="AJ407" s="544">
        <f ca="1">IF(AND($D407="Serviço",AJ$12&lt;&gt;0,$H407&gt;0,OR(AUTOEVENTO&lt;&gt;"manual",$M407&lt;&gt;1)),
IF(Import.TipoArredondamento&lt;&gt;"TransfereGOV",
ROUND(OFFSET($P407,0,AJ$13),15-13*ORÇAMENTO!$AF$7)/$H407*OFFSET(ORÇAMENTO!$X$15,ROW(AJ407)-ROW(AJ$15),0),
ROUND(ROUND(OFFSET($P407,0,AJ$13),15-13*ORÇAMENTO!$AF$7)*OFFSET(ORÇAMENTO!$W$15,ROW(AJ407)-ROW(AJ$15),0),15-13*ORÇAMENTO!$AF$11)),0)</f>
        <v>0</v>
      </c>
      <c r="AK407" s="545">
        <f ca="1">IF(AND($D407="Serviço",AK$12&lt;&gt;0,$H407&gt;0,OR(AUTOEVENTO&lt;&gt;"manual",$M407&lt;&gt;1)),
IF(Import.TipoArredondamento&lt;&gt;"TransfereGOV",
ROUND(OFFSET($P407,0,AK$13),15-13*ORÇAMENTO!$AF$7)/$H407*OFFSET(ORÇAMENTO!$X$15,ROW(AK407)-ROW(AK$15),0),
ROUND(ROUND(OFFSET($P407,0,AK$13),15-13*ORÇAMENTO!$AF$7)*OFFSET(ORÇAMENTO!$W$15,ROW(AK407)-ROW(AK$15),0),15-13*ORÇAMENTO!$AF$11)),0)</f>
        <v>0</v>
      </c>
      <c r="AL407" s="545">
        <f ca="1">IF(AND($D407="Serviço",AL$12&lt;&gt;0,$H407&gt;0,OR(AUTOEVENTO&lt;&gt;"manual",$M407&lt;&gt;1)),
IF(Import.TipoArredondamento&lt;&gt;"TransfereGOV",
ROUND(OFFSET($P407,0,AL$13),15-13*ORÇAMENTO!$AF$7)/$H407*OFFSET(ORÇAMENTO!$X$15,ROW(AL407)-ROW(AL$15),0),
ROUND(ROUND(OFFSET($P407,0,AL$13),15-13*ORÇAMENTO!$AF$7)*OFFSET(ORÇAMENTO!$W$15,ROW(AL407)-ROW(AL$15),0),15-13*ORÇAMENTO!$AF$11)),0)</f>
        <v>0</v>
      </c>
      <c r="AM407" s="545">
        <f ca="1">IF(AND($D407="Serviço",AM$12&lt;&gt;0,$H407&gt;0,OR(AUTOEVENTO&lt;&gt;"manual",$M407&lt;&gt;1)),
IF(Import.TipoArredondamento&lt;&gt;"TransfereGOV",
ROUND(OFFSET($P407,0,AM$13),15-13*ORÇAMENTO!$AF$7)/$H407*OFFSET(ORÇAMENTO!$X$15,ROW(AM407)-ROW(AM$15),0),
ROUND(ROUND(OFFSET($P407,0,AM$13),15-13*ORÇAMENTO!$AF$7)*OFFSET(ORÇAMENTO!$W$15,ROW(AM407)-ROW(AM$15),0),15-13*ORÇAMENTO!$AF$11)),0)</f>
        <v>0</v>
      </c>
      <c r="AN407" s="545">
        <f ca="1">IF(AND($D407="Serviço",AN$12&lt;&gt;0,$H407&gt;0,OR(AUTOEVENTO&lt;&gt;"manual",$M407&lt;&gt;1)),
IF(Import.TipoArredondamento&lt;&gt;"TransfereGOV",
ROUND(OFFSET($P407,0,AN$13),15-13*ORÇAMENTO!$AF$7)/$H407*OFFSET(ORÇAMENTO!$X$15,ROW(AN407)-ROW(AN$15),0),
ROUND(ROUND(OFFSET($P407,0,AN$13),15-13*ORÇAMENTO!$AF$7)*OFFSET(ORÇAMENTO!$W$15,ROW(AN407)-ROW(AN$15),0),15-13*ORÇAMENTO!$AF$11)),0)</f>
        <v>0</v>
      </c>
      <c r="AO407" s="545">
        <f ca="1">IF(AND($D407="Serviço",AO$12&lt;&gt;0,$H407&gt;0,OR(AUTOEVENTO&lt;&gt;"manual",$M407&lt;&gt;1)),
IF(Import.TipoArredondamento&lt;&gt;"TransfereGOV",
ROUND(OFFSET($P407,0,AO$13),15-13*ORÇAMENTO!$AF$7)/$H407*OFFSET(ORÇAMENTO!$X$15,ROW(AO407)-ROW(AO$15),0),
ROUND(ROUND(OFFSET($P407,0,AO$13),15-13*ORÇAMENTO!$AF$7)*OFFSET(ORÇAMENTO!$W$15,ROW(AO407)-ROW(AO$15),0),15-13*ORÇAMENTO!$AF$11)),0)</f>
        <v>0</v>
      </c>
      <c r="AP407" s="545">
        <f ca="1">IF(AND($D407="Serviço",AP$12&lt;&gt;0,$H407&gt;0,OR(AUTOEVENTO&lt;&gt;"manual",$M407&lt;&gt;1)),
IF(Import.TipoArredondamento&lt;&gt;"TransfereGOV",
ROUND(OFFSET($P407,0,AP$13),15-13*ORÇAMENTO!$AF$7)/$H407*OFFSET(ORÇAMENTO!$X$15,ROW(AP407)-ROW(AP$15),0),
ROUND(ROUND(OFFSET($P407,0,AP$13),15-13*ORÇAMENTO!$AF$7)*OFFSET(ORÇAMENTO!$W$15,ROW(AP407)-ROW(AP$15),0),15-13*ORÇAMENTO!$AF$11)),0)</f>
        <v>0</v>
      </c>
      <c r="AQ407" s="545">
        <f ca="1">IF(AND($D407="Serviço",AQ$12&lt;&gt;0,$H407&gt;0,OR(AUTOEVENTO&lt;&gt;"manual",$M407&lt;&gt;1)),
IF(Import.TipoArredondamento&lt;&gt;"TransfereGOV",
ROUND(OFFSET($P407,0,AQ$13),15-13*ORÇAMENTO!$AF$7)/$H407*OFFSET(ORÇAMENTO!$X$15,ROW(AQ407)-ROW(AQ$15),0),
ROUND(ROUND(OFFSET($P407,0,AQ$13),15-13*ORÇAMENTO!$AF$7)*OFFSET(ORÇAMENTO!$W$15,ROW(AQ407)-ROW(AQ$15),0),15-13*ORÇAMENTO!$AF$11)),0)</f>
        <v>0</v>
      </c>
      <c r="AR407" s="545">
        <f ca="1">IF(AND($D407="Serviço",AR$12&lt;&gt;0,$H407&gt;0,OR(AUTOEVENTO&lt;&gt;"manual",$M407&lt;&gt;1)),
IF(Import.TipoArredondamento&lt;&gt;"TransfereGOV",
ROUND(OFFSET($P407,0,AR$13),15-13*ORÇAMENTO!$AF$7)/$H407*OFFSET(ORÇAMENTO!$X$15,ROW(AR407)-ROW(AR$15),0),
ROUND(ROUND(OFFSET($P407,0,AR$13),15-13*ORÇAMENTO!$AF$7)*OFFSET(ORÇAMENTO!$W$15,ROW(AR407)-ROW(AR$15),0),15-13*ORÇAMENTO!$AF$11)),0)</f>
        <v>0</v>
      </c>
      <c r="AS407" s="546">
        <f ca="1">IF(AND($D407="Serviço",AS$12&lt;&gt;0,$H407&gt;0,OR(AUTOEVENTO&lt;&gt;"manual",$M407&lt;&gt;1)),
IF(Import.TipoArredondamento&lt;&gt;"TransfereGOV",
ROUND(OFFSET($P407,0,AS$13),15-13*ORÇAMENTO!$AF$7)/$H407*OFFSET(ORÇAMENTO!$X$15,ROW(AS407)-ROW(AS$15),0),
ROUND(ROUND(OFFSET($P407,0,AS$13),15-13*ORÇAMENTO!$AF$7)*OFFSET(ORÇAMENTO!$W$15,ROW(AS407)-ROW(AS$15),0),15-13*ORÇAMENTO!$AF$11)),0)</f>
        <v>0</v>
      </c>
      <c r="AT407" s="545">
        <f ca="1">IF(AND($D407="Serviço",AT$12&lt;&gt;0,$H407&gt;0,OR(AUTOEVENTO&lt;&gt;"manual",$M407&lt;&gt;1)),
IF(Import.TipoArredondamento&lt;&gt;"TransfereGOV",
ROUND(OFFSET($P407,0,AT$13),15-13*ORÇAMENTO!$AF$7)/$H407*OFFSET(ORÇAMENTO!$X$15,ROW(AT407)-ROW(AT$15),0),
ROUND(ROUND(OFFSET($P407,0,AT$13),15-13*ORÇAMENTO!$AF$7)*OFFSET(ORÇAMENTO!$W$15,ROW(AT407)-ROW(AT$15),0),15-13*ORÇAMENTO!$AF$11)),0)</f>
        <v>0</v>
      </c>
      <c r="AU407" s="545">
        <f ca="1">IF(AND($D407="Serviço",AU$12&lt;&gt;0,$H407&gt;0,OR(AUTOEVENTO&lt;&gt;"manual",$M407&lt;&gt;1)),
IF(Import.TipoArredondamento&lt;&gt;"TransfereGOV",
ROUND(OFFSET($P407,0,AU$13),15-13*ORÇAMENTO!$AF$7)/$H407*OFFSET(ORÇAMENTO!$X$15,ROW(AU407)-ROW(AU$15),0),
ROUND(ROUND(OFFSET($P407,0,AU$13),15-13*ORÇAMENTO!$AF$7)*OFFSET(ORÇAMENTO!$W$15,ROW(AU407)-ROW(AU$15),0),15-13*ORÇAMENTO!$AF$11)),0)</f>
        <v>0</v>
      </c>
      <c r="AV407" s="545">
        <f ca="1">IF(AND($D407="Serviço",AV$12&lt;&gt;0,$H407&gt;0,OR(AUTOEVENTO&lt;&gt;"manual",$M407&lt;&gt;1)),
IF(Import.TipoArredondamento&lt;&gt;"TransfereGOV",
ROUND(OFFSET($P407,0,AV$13),15-13*ORÇAMENTO!$AF$7)/$H407*OFFSET(ORÇAMENTO!$X$15,ROW(AV407)-ROW(AV$15),0),
ROUND(ROUND(OFFSET($P407,0,AV$13),15-13*ORÇAMENTO!$AF$7)*OFFSET(ORÇAMENTO!$W$15,ROW(AV407)-ROW(AV$15),0),15-13*ORÇAMENTO!$AF$11)),0)</f>
        <v>0</v>
      </c>
      <c r="AW407" s="545">
        <f ca="1">IF(AND($D407="Serviço",AW$12&lt;&gt;0,$H407&gt;0,OR(AUTOEVENTO&lt;&gt;"manual",$M407&lt;&gt;1)),
IF(Import.TipoArredondamento&lt;&gt;"TransfereGOV",
ROUND(OFFSET($P407,0,AW$13),15-13*ORÇAMENTO!$AF$7)/$H407*OFFSET(ORÇAMENTO!$X$15,ROW(AW407)-ROW(AW$15),0),
ROUND(ROUND(OFFSET($P407,0,AW$13),15-13*ORÇAMENTO!$AF$7)*OFFSET(ORÇAMENTO!$W$15,ROW(AW407)-ROW(AW$15),0),15-13*ORÇAMENTO!$AF$11)),0)</f>
        <v>0</v>
      </c>
      <c r="AX407" s="545">
        <f ca="1">IF(AND($D407="Serviço",AX$12&lt;&gt;0,$H407&gt;0,OR(AUTOEVENTO&lt;&gt;"manual",$M407&lt;&gt;1)),
IF(Import.TipoArredondamento&lt;&gt;"TransfereGOV",
ROUND(OFFSET($P407,0,AX$13),15-13*ORÇAMENTO!$AF$7)/$H407*OFFSET(ORÇAMENTO!$X$15,ROW(AX407)-ROW(AX$15),0),
ROUND(ROUND(OFFSET($P407,0,AX$13),15-13*ORÇAMENTO!$AF$7)*OFFSET(ORÇAMENTO!$W$15,ROW(AX407)-ROW(AX$15),0),15-13*ORÇAMENTO!$AF$11)),0)</f>
        <v>0</v>
      </c>
      <c r="AY407" s="545">
        <f ca="1">IF(AND($D407="Serviço",AY$12&lt;&gt;0,$H407&gt;0,OR(AUTOEVENTO&lt;&gt;"manual",$M407&lt;&gt;1)),
IF(Import.TipoArredondamento&lt;&gt;"TransfereGOV",
ROUND(OFFSET($P407,0,AY$13),15-13*ORÇAMENTO!$AF$7)/$H407*OFFSET(ORÇAMENTO!$X$15,ROW(AY407)-ROW(AY$15),0),
ROUND(ROUND(OFFSET($P407,0,AY$13),15-13*ORÇAMENTO!$AF$7)*OFFSET(ORÇAMENTO!$W$15,ROW(AY407)-ROW(AY$15),0),15-13*ORÇAMENTO!$AF$11)),0)</f>
        <v>0</v>
      </c>
      <c r="AZ407" s="545">
        <f ca="1">IF(AND($D407="Serviço",AZ$12&lt;&gt;0,$H407&gt;0,OR(AUTOEVENTO&lt;&gt;"manual",$M407&lt;&gt;1)),
IF(Import.TipoArredondamento&lt;&gt;"TransfereGOV",
ROUND(OFFSET($P407,0,AZ$13),15-13*ORÇAMENTO!$AF$7)/$H407*OFFSET(ORÇAMENTO!$X$15,ROW(AZ407)-ROW(AZ$15),0),
ROUND(ROUND(OFFSET($P407,0,AZ$13),15-13*ORÇAMENTO!$AF$7)*OFFSET(ORÇAMENTO!$W$15,ROW(AZ407)-ROW(AZ$15),0),15-13*ORÇAMENTO!$AF$11)),0)</f>
        <v>0</v>
      </c>
      <c r="BA407" s="546">
        <f ca="1">IF(AND($D407="Serviço",BA$12&lt;&gt;0,$H407&gt;0,OR(AUTOEVENTO&lt;&gt;"manual",$M407&lt;&gt;1)),
IF(Import.TipoArredondamento&lt;&gt;"TransfereGOV",
ROUND(OFFSET($P407,0,BA$13),15-13*ORÇAMENTO!$AF$7)/$H407*OFFSET(ORÇAMENTO!$X$15,ROW(BA407)-ROW(BA$15),0),
ROUND(ROUND(OFFSET($P407,0,BA$13),15-13*ORÇAMENTO!$AF$7)*OFFSET(ORÇAMENTO!$W$15,ROW(BA407)-ROW(BA$15),0),15-13*ORÇAMENTO!$AF$11)),0)</f>
        <v>0</v>
      </c>
      <c r="BC407" s="181">
        <f ca="1">IF($D407&lt;&gt;"Serviço",0,IF(AND(AUTOEVENTO="Manual",$M407=1),0,IF(OFFSET(CRONOPLE!$F$14,$M407,BC$13)="",10^12,OFFSET(CRONOPLE!$F$14,$M407,BC$13))))</f>
        <v>10</v>
      </c>
      <c r="BD407" s="181">
        <f ca="1">IF($D407&lt;&gt;"Serviço",0,IF(AND(AUTOEVENTO="Manual",$M407=1),0,IF(OFFSET(CRONOPLE!$F$14,$M407,BD$13)="",10^12,OFFSET(CRONOPLE!$F$14,$M407,BD$13))))</f>
        <v>1000000000000</v>
      </c>
      <c r="BE407" s="181">
        <f ca="1">IF($D407&lt;&gt;"Serviço",0,IF(AND(AUTOEVENTO="Manual",$M407=1),0,IF(OFFSET(CRONOPLE!$F$14,$M407,BE$13)="",10^12,OFFSET(CRONOPLE!$F$14,$M407,BE$13))))</f>
        <v>1000000000000</v>
      </c>
      <c r="BF407" s="181">
        <f ca="1">IF($D407&lt;&gt;"Serviço",0,IF(AND(AUTOEVENTO="Manual",$M407=1),0,IF(OFFSET(CRONOPLE!$F$14,$M407,BF$13)="",10^12,OFFSET(CRONOPLE!$F$14,$M407,BF$13))))</f>
        <v>1000000000000</v>
      </c>
      <c r="BG407" s="181">
        <f ca="1">IF($D407&lt;&gt;"Serviço",0,IF(AND(AUTOEVENTO="Manual",$M407=1),0,IF(OFFSET(CRONOPLE!$F$14,$M407,BG$13)="",10^12,OFFSET(CRONOPLE!$F$14,$M407,BG$13))))</f>
        <v>1000000000000</v>
      </c>
      <c r="BH407" s="181">
        <f ca="1">IF($D407&lt;&gt;"Serviço",0,IF(AND(AUTOEVENTO="Manual",$M407=1),0,IF(OFFSET(CRONOPLE!$F$14,$M407,BH$13)="",10^12,OFFSET(CRONOPLE!$F$14,$M407,BH$13))))</f>
        <v>1000000000000</v>
      </c>
      <c r="BI407" s="181">
        <f ca="1">IF($D407&lt;&gt;"Serviço",0,IF(AND(AUTOEVENTO="Manual",$M407=1),0,IF(OFFSET(CRONOPLE!$F$14,$M407,BI$13)="",10^12,OFFSET(CRONOPLE!$F$14,$M407,BI$13))))</f>
        <v>1000000000000</v>
      </c>
      <c r="BJ407" s="181">
        <f ca="1">IF($D407&lt;&gt;"Serviço",0,IF(AND(AUTOEVENTO="Manual",$M407=1),0,IF(OFFSET(CRONOPLE!$F$14,$M407,BJ$13)="",10^12,OFFSET(CRONOPLE!$F$14,$M407,BJ$13))))</f>
        <v>1000000000000</v>
      </c>
      <c r="BK407" s="181">
        <f ca="1">IF($D407&lt;&gt;"Serviço",0,IF(AND(AUTOEVENTO="Manual",$M407=1),0,IF(OFFSET(CRONOPLE!$F$14,$M407,BK$13)="",10^12,OFFSET(CRONOPLE!$F$14,$M407,BK$13))))</f>
        <v>1000000000000</v>
      </c>
      <c r="BL407" s="181">
        <f ca="1">IF($D407&lt;&gt;"Serviço",0,IF(AND(AUTOEVENTO="Manual",$M407=1),0,IF(OFFSET(CRONOPLE!$F$14,$M407,BL$13)="",10^12,OFFSET(CRONOPLE!$F$14,$M407,BL$13))))</f>
        <v>1000000000000</v>
      </c>
      <c r="BM407" s="181">
        <f ca="1">IF($D407&lt;&gt;"Serviço",0,IF(AND(AUTOEVENTO="Manual",$M407=1),0,IF(OFFSET(CRONOPLE!$F$14,$M407,BM$13)="",10^12,OFFSET(CRONOPLE!$F$14,$M407,BM$13))))</f>
        <v>1000000000000</v>
      </c>
      <c r="BN407" s="181">
        <f ca="1">IF($D407&lt;&gt;"Serviço",0,IF(AND(AUTOEVENTO="Manual",$M407=1),0,IF(OFFSET(CRONOPLE!$F$14,$M407,BN$13)="",10^12,OFFSET(CRONOPLE!$F$14,$M407,BN$13))))</f>
        <v>1000000000000</v>
      </c>
      <c r="BO407" s="181">
        <f ca="1">IF($D407&lt;&gt;"Serviço",0,IF(AND(AUTOEVENTO="Manual",$M407=1),0,IF(OFFSET(CRONOPLE!$F$14,$M407,BO$13)="",10^12,OFFSET(CRONOPLE!$F$14,$M407,BO$13))))</f>
        <v>1000000000000</v>
      </c>
      <c r="BP407" s="181">
        <f ca="1">IF($D407&lt;&gt;"Serviço",0,IF(AND(AUTOEVENTO="Manual",$M407=1),0,IF(OFFSET(CRONOPLE!$F$14,$M407,BP$13)="",10^12,OFFSET(CRONOPLE!$F$14,$M407,BP$13))))</f>
        <v>1000000000000</v>
      </c>
      <c r="BQ407" s="181">
        <f ca="1">IF($D407&lt;&gt;"Serviço",0,IF(AND(AUTOEVENTO="Manual",$M407=1),0,IF(OFFSET(CRONOPLE!$F$14,$M407,BQ$13)="",10^12,OFFSET(CRONOPLE!$F$14,$M407,BQ$13))))</f>
        <v>1000000000000</v>
      </c>
      <c r="BR407" s="181">
        <f ca="1">IF($D407&lt;&gt;"Serviço",0,IF(AND(AUTOEVENTO="Manual",$M407=1),0,IF(OFFSET(CRONOPLE!$F$14,$M407,BR$13)="",10^12,OFFSET(CRONOPLE!$F$14,$M407,BR$13))))</f>
        <v>1000000000000</v>
      </c>
      <c r="BS407" s="181">
        <f ca="1">IF($D407&lt;&gt;"Serviço",0,IF(AND(AUTOEVENTO="Manual",$M407=1),0,IF(OFFSET(CRONOPLE!$F$14,$M407,BS$13)="",10^12,OFFSET(CRONOPLE!$F$14,$M407,BS$13))))</f>
        <v>1000000000000</v>
      </c>
      <c r="BT407" s="181">
        <f ca="1">IF($D407&lt;&gt;"Serviço",0,IF(AND(AUTOEVENTO="Manual",$M407=1),0,IF(OFFSET(CRONOPLE!$F$14,$M407,BT$13)="",10^12,OFFSET(CRONOPLE!$F$14,$M407,BT$13))))</f>
        <v>1000000000000</v>
      </c>
      <c r="BV407" s="182">
        <f ca="1">IF($D407&lt;&gt;"Serviço",0,IF(OR(AND(AUTOEVENTO="Manual",$M407=1),$M407&gt;(ROW(PLE.lastrow)-ROW(PLE.firstrow))),0,IF(OFFSET(PLE!$G$14,$M407,BV$13)="",10^12,OFFSET(PLE!$G$14,$M407,BV$13))))</f>
        <v>1000000000000</v>
      </c>
      <c r="BW407" s="182">
        <f ca="1">IF($D407&lt;&gt;"Serviço",0,IF(OR(AND(AUTOEVENTO="Manual",$M407=1),$M407&gt;(ROW(PLE.lastrow)-ROW(PLE.firstrow))),0,IF(OFFSET(PLE!$G$14,$M407,BW$13)="",10^12,OFFSET(PLE!$G$14,$M407,BW$13))))</f>
        <v>1000000000000</v>
      </c>
      <c r="BX407" s="182">
        <f ca="1">IF($D407&lt;&gt;"Serviço",0,IF(OR(AND(AUTOEVENTO="Manual",$M407=1),$M407&gt;(ROW(PLE.lastrow)-ROW(PLE.firstrow))),0,IF(OFFSET(PLE!$G$14,$M407,BX$13)="",10^12,OFFSET(PLE!$G$14,$M407,BX$13))))</f>
        <v>1000000000000</v>
      </c>
      <c r="BY407" s="182">
        <f ca="1">IF($D407&lt;&gt;"Serviço",0,IF(OR(AND(AUTOEVENTO="Manual",$M407=1),$M407&gt;(ROW(PLE.lastrow)-ROW(PLE.firstrow))),0,IF(OFFSET(PLE!$G$14,$M407,BY$13)="",10^12,OFFSET(PLE!$G$14,$M407,BY$13))))</f>
        <v>1000000000000</v>
      </c>
      <c r="BZ407" s="182">
        <f ca="1">IF($D407&lt;&gt;"Serviço",0,IF(OR(AND(AUTOEVENTO="Manual",$M407=1),$M407&gt;(ROW(PLE.lastrow)-ROW(PLE.firstrow))),0,IF(OFFSET(PLE!$G$14,$M407,BZ$13)="",10^12,OFFSET(PLE!$G$14,$M407,BZ$13))))</f>
        <v>1000000000000</v>
      </c>
      <c r="CA407" s="182">
        <f ca="1">IF($D407&lt;&gt;"Serviço",0,IF(OR(AND(AUTOEVENTO="Manual",$M407=1),$M407&gt;(ROW(PLE.lastrow)-ROW(PLE.firstrow))),0,IF(OFFSET(PLE!$G$14,$M407,CA$13)="",10^12,OFFSET(PLE!$G$14,$M407,CA$13))))</f>
        <v>1000000000000</v>
      </c>
      <c r="CB407" s="182">
        <f ca="1">IF($D407&lt;&gt;"Serviço",0,IF(OR(AND(AUTOEVENTO="Manual",$M407=1),$M407&gt;(ROW(PLE.lastrow)-ROW(PLE.firstrow))),0,IF(OFFSET(PLE!$G$14,$M407,CB$13)="",10^12,OFFSET(PLE!$G$14,$M407,CB$13))))</f>
        <v>1000000000000</v>
      </c>
      <c r="CC407" s="182">
        <f ca="1">IF($D407&lt;&gt;"Serviço",0,IF(OR(AND(AUTOEVENTO="Manual",$M407=1),$M407&gt;(ROW(PLE.lastrow)-ROW(PLE.firstrow))),0,IF(OFFSET(PLE!$G$14,$M407,CC$13)="",10^12,OFFSET(PLE!$G$14,$M407,CC$13))))</f>
        <v>1000000000000</v>
      </c>
      <c r="CD407" s="182">
        <f ca="1">IF($D407&lt;&gt;"Serviço",0,IF(OR(AND(AUTOEVENTO="Manual",$M407=1),$M407&gt;(ROW(PLE.lastrow)-ROW(PLE.firstrow))),0,IF(OFFSET(PLE!$G$14,$M407,CD$13)="",10^12,OFFSET(PLE!$G$14,$M407,CD$13))))</f>
        <v>1000000000000</v>
      </c>
      <c r="CE407" s="182">
        <f ca="1">IF($D407&lt;&gt;"Serviço",0,IF(OR(AND(AUTOEVENTO="Manual",$M407=1),$M407&gt;(ROW(PLE.lastrow)-ROW(PLE.firstrow))),0,IF(OFFSET(PLE!$G$14,$M407,CE$13)="",10^12,OFFSET(PLE!$G$14,$M407,CE$13))))</f>
        <v>1000000000000</v>
      </c>
      <c r="CF407" s="182">
        <f ca="1">IF($D407&lt;&gt;"Serviço",0,IF(OR(AND(AUTOEVENTO="Manual",$M407=1),$M407&gt;(ROW(PLE.lastrow)-ROW(PLE.firstrow))),0,IF(OFFSET(PLE!$G$14,$M407,CF$13)="",10^12,OFFSET(PLE!$G$14,$M407,CF$13))))</f>
        <v>1000000000000</v>
      </c>
      <c r="CG407" s="182">
        <f ca="1">IF($D407&lt;&gt;"Serviço",0,IF(OR(AND(AUTOEVENTO="Manual",$M407=1),$M407&gt;(ROW(PLE.lastrow)-ROW(PLE.firstrow))),0,IF(OFFSET(PLE!$G$14,$M407,CG$13)="",10^12,OFFSET(PLE!$G$14,$M407,CG$13))))</f>
        <v>1000000000000</v>
      </c>
      <c r="CH407" s="182">
        <f ca="1">IF($D407&lt;&gt;"Serviço",0,IF(OR(AND(AUTOEVENTO="Manual",$M407=1),$M407&gt;(ROW(PLE.lastrow)-ROW(PLE.firstrow))),0,IF(OFFSET(PLE!$G$14,$M407,CH$13)="",10^12,OFFSET(PLE!$G$14,$M407,CH$13))))</f>
        <v>1000000000000</v>
      </c>
      <c r="CI407" s="182">
        <f ca="1">IF($D407&lt;&gt;"Serviço",0,IF(OR(AND(AUTOEVENTO="Manual",$M407=1),$M407&gt;(ROW(PLE.lastrow)-ROW(PLE.firstrow))),0,IF(OFFSET(PLE!$G$14,$M407,CI$13)="",10^12,OFFSET(PLE!$G$14,$M407,CI$13))))</f>
        <v>1000000000000</v>
      </c>
      <c r="CJ407" s="182">
        <f ca="1">IF($D407&lt;&gt;"Serviço",0,IF(OR(AND(AUTOEVENTO="Manual",$M407=1),$M407&gt;(ROW(PLE.lastrow)-ROW(PLE.firstrow))),0,IF(OFFSET(PLE!$G$14,$M407,CJ$13)="",10^12,OFFSET(PLE!$G$14,$M407,CJ$13))))</f>
        <v>1000000000000</v>
      </c>
      <c r="CK407" s="182">
        <f ca="1">IF($D407&lt;&gt;"Serviço",0,IF(OR(AND(AUTOEVENTO="Manual",$M407=1),$M407&gt;(ROW(PLE.lastrow)-ROW(PLE.firstrow))),0,IF(OFFSET(PLE!$G$14,$M407,CK$13)="",10^12,OFFSET(PLE!$G$14,$M407,CK$13))))</f>
        <v>1000000000000</v>
      </c>
      <c r="CL407" s="182">
        <f ca="1">IF($D407&lt;&gt;"Serviço",0,IF(OR(AND(AUTOEVENTO="Manual",$M407=1),$M407&gt;(ROW(PLE.lastrow)-ROW(PLE.firstrow))),0,IF(OFFSET(PLE!$G$14,$M407,CL$13)="",10^12,OFFSET(PLE!$G$14,$M407,CL$13))))</f>
        <v>1000000000000</v>
      </c>
      <c r="CM407" s="182">
        <f ca="1">IF($D407&lt;&gt;"Serviço",0,IF(OR(AND(AUTOEVENTO="Manual",$M407=1),$M407&gt;(ROW(PLE.lastrow)-ROW(PLE.firstrow))),0,IF(OFFSET(PLE!$G$14,$M407,CM$13)="",10^12,OFFSET(PLE!$G$14,$M407,CM$13))))</f>
        <v>1000000000000</v>
      </c>
    </row>
    <row r="408" spans="1:91" ht="38.25" x14ac:dyDescent="0.2">
      <c r="A408" s="7" t="str">
        <f t="shared" ca="1" si="13"/>
        <v>387</v>
      </c>
      <c r="B408" s="7" t="str">
        <f ca="1">OFFSET(ORÇAMENTO!C$15,ROW(B408)-ROW(B$15),0)</f>
        <v>S</v>
      </c>
      <c r="C408" s="7" t="str">
        <f ca="1">OFFSET(ORÇAMENTO!L$15,ROW(C408)-ROW(C$15),0)</f>
        <v/>
      </c>
      <c r="D408" s="118" t="str">
        <f ca="1">OFFSET(ORÇAMENTO!N$15,ROW(D408)-ROW(D$15),0)</f>
        <v>Serviço</v>
      </c>
      <c r="E408" s="119" t="str">
        <f ca="1">OFFSET(ORÇAMENTO!O$15,ROW(E408)-ROW(E$15),0)</f>
        <v>-</v>
      </c>
      <c r="F408" s="172" t="str">
        <f ca="1">OFFSET(ORÇAMENTO!R$15,ROW(F408)-ROW(F$15),0)</f>
        <v>(abra o arquivo 'Referência 06-2024.xlsm)</v>
      </c>
      <c r="G408" s="173" t="str">
        <f ca="1">IF($D408&lt;&gt;"Serviço","",OFFSET(ORÇAMENTO!S$15,ROW(G408)-ROW(G$15),0))</f>
        <v>-</v>
      </c>
      <c r="H408" s="124">
        <f ca="1">IF($D408&lt;&gt;"Serviço",0,IF(ACOMPANHAMENTO="BM",ROUND(OFFSET(ORÇAMENTO!AJ$15,ROW(H408)-ROW(H$15),0),15-13*ORÇAMENTO!$AF$7),SUMPRODUCT(($Q$12:$AI$12&lt;&gt;"")*ROUND($Q408:$AI408,15-13*ORÇAMENTO!$AF$7))))</f>
        <v>1</v>
      </c>
      <c r="I408" s="561" t="s">
        <v>1107</v>
      </c>
      <c r="K408" s="174"/>
      <c r="L408" s="175" t="s">
        <v>255</v>
      </c>
      <c r="M408" s="176">
        <f ca="1">IF($D408&lt;&gt;"Serviço","",IF(AUTOEVENTO="manual",$A408,IF(ISERROR(MATCH($A408,$A$15:OFFSET($A408,-1,0),0)),MAX($M$15:OFFSET(M408,-1,0))+1,INDEX($M$15:OFFSET(M408,-1,0),MATCH($A408,$A$15:OFFSET($A408,-1,0),0)))))</f>
        <v>45</v>
      </c>
      <c r="N408" s="177" t="str">
        <f ca="1">IF($D408&lt;&gt;"Serviço","",IF(AUTOEVENTO="Manual",IF($A408=0,"&lt;-- defina o número do agrupador",OFFSET(EVENTOS!$D$14,$A408,0)),OFFSET($F$15,$A408,0)))</f>
        <v>INSTALAÇÃO DE GÁS COMBUSTÍVEL</v>
      </c>
      <c r="O408" s="178"/>
      <c r="Q408" s="178">
        <v>1</v>
      </c>
      <c r="R408" s="179"/>
      <c r="S408" s="179"/>
      <c r="T408" s="179"/>
      <c r="U408" s="179"/>
      <c r="V408" s="179"/>
      <c r="W408" s="179"/>
      <c r="X408" s="179"/>
      <c r="Y408" s="179"/>
      <c r="Z408" s="180"/>
      <c r="AA408" s="179"/>
      <c r="AB408" s="179"/>
      <c r="AC408" s="179"/>
      <c r="AD408" s="179"/>
      <c r="AE408" s="179"/>
      <c r="AF408" s="179"/>
      <c r="AG408" s="179"/>
      <c r="AH408" s="180"/>
      <c r="AJ408" s="544">
        <f ca="1">IF(AND($D408="Serviço",AJ$12&lt;&gt;0,$H408&gt;0,OR(AUTOEVENTO&lt;&gt;"manual",$M408&lt;&gt;1)),
IF(Import.TipoArredondamento&lt;&gt;"TransfereGOV",
ROUND(OFFSET($P408,0,AJ$13),15-13*ORÇAMENTO!$AF$7)/$H408*OFFSET(ORÇAMENTO!$X$15,ROW(AJ408)-ROW(AJ$15),0),
ROUND(ROUND(OFFSET($P408,0,AJ$13),15-13*ORÇAMENTO!$AF$7)*OFFSET(ORÇAMENTO!$W$15,ROW(AJ408)-ROW(AJ$15),0),15-13*ORÇAMENTO!$AF$11)),0)</f>
        <v>0</v>
      </c>
      <c r="AK408" s="545">
        <f ca="1">IF(AND($D408="Serviço",AK$12&lt;&gt;0,$H408&gt;0,OR(AUTOEVENTO&lt;&gt;"manual",$M408&lt;&gt;1)),
IF(Import.TipoArredondamento&lt;&gt;"TransfereGOV",
ROUND(OFFSET($P408,0,AK$13),15-13*ORÇAMENTO!$AF$7)/$H408*OFFSET(ORÇAMENTO!$X$15,ROW(AK408)-ROW(AK$15),0),
ROUND(ROUND(OFFSET($P408,0,AK$13),15-13*ORÇAMENTO!$AF$7)*OFFSET(ORÇAMENTO!$W$15,ROW(AK408)-ROW(AK$15),0),15-13*ORÇAMENTO!$AF$11)),0)</f>
        <v>0</v>
      </c>
      <c r="AL408" s="545">
        <f ca="1">IF(AND($D408="Serviço",AL$12&lt;&gt;0,$H408&gt;0,OR(AUTOEVENTO&lt;&gt;"manual",$M408&lt;&gt;1)),
IF(Import.TipoArredondamento&lt;&gt;"TransfereGOV",
ROUND(OFFSET($P408,0,AL$13),15-13*ORÇAMENTO!$AF$7)/$H408*OFFSET(ORÇAMENTO!$X$15,ROW(AL408)-ROW(AL$15),0),
ROUND(ROUND(OFFSET($P408,0,AL$13),15-13*ORÇAMENTO!$AF$7)*OFFSET(ORÇAMENTO!$W$15,ROW(AL408)-ROW(AL$15),0),15-13*ORÇAMENTO!$AF$11)),0)</f>
        <v>0</v>
      </c>
      <c r="AM408" s="545">
        <f ca="1">IF(AND($D408="Serviço",AM$12&lt;&gt;0,$H408&gt;0,OR(AUTOEVENTO&lt;&gt;"manual",$M408&lt;&gt;1)),
IF(Import.TipoArredondamento&lt;&gt;"TransfereGOV",
ROUND(OFFSET($P408,0,AM$13),15-13*ORÇAMENTO!$AF$7)/$H408*OFFSET(ORÇAMENTO!$X$15,ROW(AM408)-ROW(AM$15),0),
ROUND(ROUND(OFFSET($P408,0,AM$13),15-13*ORÇAMENTO!$AF$7)*OFFSET(ORÇAMENTO!$W$15,ROW(AM408)-ROW(AM$15),0),15-13*ORÇAMENTO!$AF$11)),0)</f>
        <v>0</v>
      </c>
      <c r="AN408" s="545">
        <f ca="1">IF(AND($D408="Serviço",AN$12&lt;&gt;0,$H408&gt;0,OR(AUTOEVENTO&lt;&gt;"manual",$M408&lt;&gt;1)),
IF(Import.TipoArredondamento&lt;&gt;"TransfereGOV",
ROUND(OFFSET($P408,0,AN$13),15-13*ORÇAMENTO!$AF$7)/$H408*OFFSET(ORÇAMENTO!$X$15,ROW(AN408)-ROW(AN$15),0),
ROUND(ROUND(OFFSET($P408,0,AN$13),15-13*ORÇAMENTO!$AF$7)*OFFSET(ORÇAMENTO!$W$15,ROW(AN408)-ROW(AN$15),0),15-13*ORÇAMENTO!$AF$11)),0)</f>
        <v>0</v>
      </c>
      <c r="AO408" s="545">
        <f ca="1">IF(AND($D408="Serviço",AO$12&lt;&gt;0,$H408&gt;0,OR(AUTOEVENTO&lt;&gt;"manual",$M408&lt;&gt;1)),
IF(Import.TipoArredondamento&lt;&gt;"TransfereGOV",
ROUND(OFFSET($P408,0,AO$13),15-13*ORÇAMENTO!$AF$7)/$H408*OFFSET(ORÇAMENTO!$X$15,ROW(AO408)-ROW(AO$15),0),
ROUND(ROUND(OFFSET($P408,0,AO$13),15-13*ORÇAMENTO!$AF$7)*OFFSET(ORÇAMENTO!$W$15,ROW(AO408)-ROW(AO$15),0),15-13*ORÇAMENTO!$AF$11)),0)</f>
        <v>0</v>
      </c>
      <c r="AP408" s="545">
        <f ca="1">IF(AND($D408="Serviço",AP$12&lt;&gt;0,$H408&gt;0,OR(AUTOEVENTO&lt;&gt;"manual",$M408&lt;&gt;1)),
IF(Import.TipoArredondamento&lt;&gt;"TransfereGOV",
ROUND(OFFSET($P408,0,AP$13),15-13*ORÇAMENTO!$AF$7)/$H408*OFFSET(ORÇAMENTO!$X$15,ROW(AP408)-ROW(AP$15),0),
ROUND(ROUND(OFFSET($P408,0,AP$13),15-13*ORÇAMENTO!$AF$7)*OFFSET(ORÇAMENTO!$W$15,ROW(AP408)-ROW(AP$15),0),15-13*ORÇAMENTO!$AF$11)),0)</f>
        <v>0</v>
      </c>
      <c r="AQ408" s="545">
        <f ca="1">IF(AND($D408="Serviço",AQ$12&lt;&gt;0,$H408&gt;0,OR(AUTOEVENTO&lt;&gt;"manual",$M408&lt;&gt;1)),
IF(Import.TipoArredondamento&lt;&gt;"TransfereGOV",
ROUND(OFFSET($P408,0,AQ$13),15-13*ORÇAMENTO!$AF$7)/$H408*OFFSET(ORÇAMENTO!$X$15,ROW(AQ408)-ROW(AQ$15),0),
ROUND(ROUND(OFFSET($P408,0,AQ$13),15-13*ORÇAMENTO!$AF$7)*OFFSET(ORÇAMENTO!$W$15,ROW(AQ408)-ROW(AQ$15),0),15-13*ORÇAMENTO!$AF$11)),0)</f>
        <v>0</v>
      </c>
      <c r="AR408" s="545">
        <f ca="1">IF(AND($D408="Serviço",AR$12&lt;&gt;0,$H408&gt;0,OR(AUTOEVENTO&lt;&gt;"manual",$M408&lt;&gt;1)),
IF(Import.TipoArredondamento&lt;&gt;"TransfereGOV",
ROUND(OFFSET($P408,0,AR$13),15-13*ORÇAMENTO!$AF$7)/$H408*OFFSET(ORÇAMENTO!$X$15,ROW(AR408)-ROW(AR$15),0),
ROUND(ROUND(OFFSET($P408,0,AR$13),15-13*ORÇAMENTO!$AF$7)*OFFSET(ORÇAMENTO!$W$15,ROW(AR408)-ROW(AR$15),0),15-13*ORÇAMENTO!$AF$11)),0)</f>
        <v>0</v>
      </c>
      <c r="AS408" s="546">
        <f ca="1">IF(AND($D408="Serviço",AS$12&lt;&gt;0,$H408&gt;0,OR(AUTOEVENTO&lt;&gt;"manual",$M408&lt;&gt;1)),
IF(Import.TipoArredondamento&lt;&gt;"TransfereGOV",
ROUND(OFFSET($P408,0,AS$13),15-13*ORÇAMENTO!$AF$7)/$H408*OFFSET(ORÇAMENTO!$X$15,ROW(AS408)-ROW(AS$15),0),
ROUND(ROUND(OFFSET($P408,0,AS$13),15-13*ORÇAMENTO!$AF$7)*OFFSET(ORÇAMENTO!$W$15,ROW(AS408)-ROW(AS$15),0),15-13*ORÇAMENTO!$AF$11)),0)</f>
        <v>0</v>
      </c>
      <c r="AT408" s="545">
        <f ca="1">IF(AND($D408="Serviço",AT$12&lt;&gt;0,$H408&gt;0,OR(AUTOEVENTO&lt;&gt;"manual",$M408&lt;&gt;1)),
IF(Import.TipoArredondamento&lt;&gt;"TransfereGOV",
ROUND(OFFSET($P408,0,AT$13),15-13*ORÇAMENTO!$AF$7)/$H408*OFFSET(ORÇAMENTO!$X$15,ROW(AT408)-ROW(AT$15),0),
ROUND(ROUND(OFFSET($P408,0,AT$13),15-13*ORÇAMENTO!$AF$7)*OFFSET(ORÇAMENTO!$W$15,ROW(AT408)-ROW(AT$15),0),15-13*ORÇAMENTO!$AF$11)),0)</f>
        <v>0</v>
      </c>
      <c r="AU408" s="545">
        <f ca="1">IF(AND($D408="Serviço",AU$12&lt;&gt;0,$H408&gt;0,OR(AUTOEVENTO&lt;&gt;"manual",$M408&lt;&gt;1)),
IF(Import.TipoArredondamento&lt;&gt;"TransfereGOV",
ROUND(OFFSET($P408,0,AU$13),15-13*ORÇAMENTO!$AF$7)/$H408*OFFSET(ORÇAMENTO!$X$15,ROW(AU408)-ROW(AU$15),0),
ROUND(ROUND(OFFSET($P408,0,AU$13),15-13*ORÇAMENTO!$AF$7)*OFFSET(ORÇAMENTO!$W$15,ROW(AU408)-ROW(AU$15),0),15-13*ORÇAMENTO!$AF$11)),0)</f>
        <v>0</v>
      </c>
      <c r="AV408" s="545">
        <f ca="1">IF(AND($D408="Serviço",AV$12&lt;&gt;0,$H408&gt;0,OR(AUTOEVENTO&lt;&gt;"manual",$M408&lt;&gt;1)),
IF(Import.TipoArredondamento&lt;&gt;"TransfereGOV",
ROUND(OFFSET($P408,0,AV$13),15-13*ORÇAMENTO!$AF$7)/$H408*OFFSET(ORÇAMENTO!$X$15,ROW(AV408)-ROW(AV$15),0),
ROUND(ROUND(OFFSET($P408,0,AV$13),15-13*ORÇAMENTO!$AF$7)*OFFSET(ORÇAMENTO!$W$15,ROW(AV408)-ROW(AV$15),0),15-13*ORÇAMENTO!$AF$11)),0)</f>
        <v>0</v>
      </c>
      <c r="AW408" s="545">
        <f ca="1">IF(AND($D408="Serviço",AW$12&lt;&gt;0,$H408&gt;0,OR(AUTOEVENTO&lt;&gt;"manual",$M408&lt;&gt;1)),
IF(Import.TipoArredondamento&lt;&gt;"TransfereGOV",
ROUND(OFFSET($P408,0,AW$13),15-13*ORÇAMENTO!$AF$7)/$H408*OFFSET(ORÇAMENTO!$X$15,ROW(AW408)-ROW(AW$15),0),
ROUND(ROUND(OFFSET($P408,0,AW$13),15-13*ORÇAMENTO!$AF$7)*OFFSET(ORÇAMENTO!$W$15,ROW(AW408)-ROW(AW$15),0),15-13*ORÇAMENTO!$AF$11)),0)</f>
        <v>0</v>
      </c>
      <c r="AX408" s="545">
        <f ca="1">IF(AND($D408="Serviço",AX$12&lt;&gt;0,$H408&gt;0,OR(AUTOEVENTO&lt;&gt;"manual",$M408&lt;&gt;1)),
IF(Import.TipoArredondamento&lt;&gt;"TransfereGOV",
ROUND(OFFSET($P408,0,AX$13),15-13*ORÇAMENTO!$AF$7)/$H408*OFFSET(ORÇAMENTO!$X$15,ROW(AX408)-ROW(AX$15),0),
ROUND(ROUND(OFFSET($P408,0,AX$13),15-13*ORÇAMENTO!$AF$7)*OFFSET(ORÇAMENTO!$W$15,ROW(AX408)-ROW(AX$15),0),15-13*ORÇAMENTO!$AF$11)),0)</f>
        <v>0</v>
      </c>
      <c r="AY408" s="545">
        <f ca="1">IF(AND($D408="Serviço",AY$12&lt;&gt;0,$H408&gt;0,OR(AUTOEVENTO&lt;&gt;"manual",$M408&lt;&gt;1)),
IF(Import.TipoArredondamento&lt;&gt;"TransfereGOV",
ROUND(OFFSET($P408,0,AY$13),15-13*ORÇAMENTO!$AF$7)/$H408*OFFSET(ORÇAMENTO!$X$15,ROW(AY408)-ROW(AY$15),0),
ROUND(ROUND(OFFSET($P408,0,AY$13),15-13*ORÇAMENTO!$AF$7)*OFFSET(ORÇAMENTO!$W$15,ROW(AY408)-ROW(AY$15),0),15-13*ORÇAMENTO!$AF$11)),0)</f>
        <v>0</v>
      </c>
      <c r="AZ408" s="545">
        <f ca="1">IF(AND($D408="Serviço",AZ$12&lt;&gt;0,$H408&gt;0,OR(AUTOEVENTO&lt;&gt;"manual",$M408&lt;&gt;1)),
IF(Import.TipoArredondamento&lt;&gt;"TransfereGOV",
ROUND(OFFSET($P408,0,AZ$13),15-13*ORÇAMENTO!$AF$7)/$H408*OFFSET(ORÇAMENTO!$X$15,ROW(AZ408)-ROW(AZ$15),0),
ROUND(ROUND(OFFSET($P408,0,AZ$13),15-13*ORÇAMENTO!$AF$7)*OFFSET(ORÇAMENTO!$W$15,ROW(AZ408)-ROW(AZ$15),0),15-13*ORÇAMENTO!$AF$11)),0)</f>
        <v>0</v>
      </c>
      <c r="BA408" s="546">
        <f ca="1">IF(AND($D408="Serviço",BA$12&lt;&gt;0,$H408&gt;0,OR(AUTOEVENTO&lt;&gt;"manual",$M408&lt;&gt;1)),
IF(Import.TipoArredondamento&lt;&gt;"TransfereGOV",
ROUND(OFFSET($P408,0,BA$13),15-13*ORÇAMENTO!$AF$7)/$H408*OFFSET(ORÇAMENTO!$X$15,ROW(BA408)-ROW(BA$15),0),
ROUND(ROUND(OFFSET($P408,0,BA$13),15-13*ORÇAMENTO!$AF$7)*OFFSET(ORÇAMENTO!$W$15,ROW(BA408)-ROW(BA$15),0),15-13*ORÇAMENTO!$AF$11)),0)</f>
        <v>0</v>
      </c>
      <c r="BC408" s="181">
        <f ca="1">IF($D408&lt;&gt;"Serviço",0,IF(AND(AUTOEVENTO="Manual",$M408=1),0,IF(OFFSET(CRONOPLE!$F$14,$M408,BC$13)="",10^12,OFFSET(CRONOPLE!$F$14,$M408,BC$13))))</f>
        <v>10</v>
      </c>
      <c r="BD408" s="181">
        <f ca="1">IF($D408&lt;&gt;"Serviço",0,IF(AND(AUTOEVENTO="Manual",$M408=1),0,IF(OFFSET(CRONOPLE!$F$14,$M408,BD$13)="",10^12,OFFSET(CRONOPLE!$F$14,$M408,BD$13))))</f>
        <v>1000000000000</v>
      </c>
      <c r="BE408" s="181">
        <f ca="1">IF($D408&lt;&gt;"Serviço",0,IF(AND(AUTOEVENTO="Manual",$M408=1),0,IF(OFFSET(CRONOPLE!$F$14,$M408,BE$13)="",10^12,OFFSET(CRONOPLE!$F$14,$M408,BE$13))))</f>
        <v>1000000000000</v>
      </c>
      <c r="BF408" s="181">
        <f ca="1">IF($D408&lt;&gt;"Serviço",0,IF(AND(AUTOEVENTO="Manual",$M408=1),0,IF(OFFSET(CRONOPLE!$F$14,$M408,BF$13)="",10^12,OFFSET(CRONOPLE!$F$14,$M408,BF$13))))</f>
        <v>1000000000000</v>
      </c>
      <c r="BG408" s="181">
        <f ca="1">IF($D408&lt;&gt;"Serviço",0,IF(AND(AUTOEVENTO="Manual",$M408=1),0,IF(OFFSET(CRONOPLE!$F$14,$M408,BG$13)="",10^12,OFFSET(CRONOPLE!$F$14,$M408,BG$13))))</f>
        <v>1000000000000</v>
      </c>
      <c r="BH408" s="181">
        <f ca="1">IF($D408&lt;&gt;"Serviço",0,IF(AND(AUTOEVENTO="Manual",$M408=1),0,IF(OFFSET(CRONOPLE!$F$14,$M408,BH$13)="",10^12,OFFSET(CRONOPLE!$F$14,$M408,BH$13))))</f>
        <v>1000000000000</v>
      </c>
      <c r="BI408" s="181">
        <f ca="1">IF($D408&lt;&gt;"Serviço",0,IF(AND(AUTOEVENTO="Manual",$M408=1),0,IF(OFFSET(CRONOPLE!$F$14,$M408,BI$13)="",10^12,OFFSET(CRONOPLE!$F$14,$M408,BI$13))))</f>
        <v>1000000000000</v>
      </c>
      <c r="BJ408" s="181">
        <f ca="1">IF($D408&lt;&gt;"Serviço",0,IF(AND(AUTOEVENTO="Manual",$M408=1),0,IF(OFFSET(CRONOPLE!$F$14,$M408,BJ$13)="",10^12,OFFSET(CRONOPLE!$F$14,$M408,BJ$13))))</f>
        <v>1000000000000</v>
      </c>
      <c r="BK408" s="181">
        <f ca="1">IF($D408&lt;&gt;"Serviço",0,IF(AND(AUTOEVENTO="Manual",$M408=1),0,IF(OFFSET(CRONOPLE!$F$14,$M408,BK$13)="",10^12,OFFSET(CRONOPLE!$F$14,$M408,BK$13))))</f>
        <v>1000000000000</v>
      </c>
      <c r="BL408" s="181">
        <f ca="1">IF($D408&lt;&gt;"Serviço",0,IF(AND(AUTOEVENTO="Manual",$M408=1),0,IF(OFFSET(CRONOPLE!$F$14,$M408,BL$13)="",10^12,OFFSET(CRONOPLE!$F$14,$M408,BL$13))))</f>
        <v>1000000000000</v>
      </c>
      <c r="BM408" s="181">
        <f ca="1">IF($D408&lt;&gt;"Serviço",0,IF(AND(AUTOEVENTO="Manual",$M408=1),0,IF(OFFSET(CRONOPLE!$F$14,$M408,BM$13)="",10^12,OFFSET(CRONOPLE!$F$14,$M408,BM$13))))</f>
        <v>1000000000000</v>
      </c>
      <c r="BN408" s="181">
        <f ca="1">IF($D408&lt;&gt;"Serviço",0,IF(AND(AUTOEVENTO="Manual",$M408=1),0,IF(OFFSET(CRONOPLE!$F$14,$M408,BN$13)="",10^12,OFFSET(CRONOPLE!$F$14,$M408,BN$13))))</f>
        <v>1000000000000</v>
      </c>
      <c r="BO408" s="181">
        <f ca="1">IF($D408&lt;&gt;"Serviço",0,IF(AND(AUTOEVENTO="Manual",$M408=1),0,IF(OFFSET(CRONOPLE!$F$14,$M408,BO$13)="",10^12,OFFSET(CRONOPLE!$F$14,$M408,BO$13))))</f>
        <v>1000000000000</v>
      </c>
      <c r="BP408" s="181">
        <f ca="1">IF($D408&lt;&gt;"Serviço",0,IF(AND(AUTOEVENTO="Manual",$M408=1),0,IF(OFFSET(CRONOPLE!$F$14,$M408,BP$13)="",10^12,OFFSET(CRONOPLE!$F$14,$M408,BP$13))))</f>
        <v>1000000000000</v>
      </c>
      <c r="BQ408" s="181">
        <f ca="1">IF($D408&lt;&gt;"Serviço",0,IF(AND(AUTOEVENTO="Manual",$M408=1),0,IF(OFFSET(CRONOPLE!$F$14,$M408,BQ$13)="",10^12,OFFSET(CRONOPLE!$F$14,$M408,BQ$13))))</f>
        <v>1000000000000</v>
      </c>
      <c r="BR408" s="181">
        <f ca="1">IF($D408&lt;&gt;"Serviço",0,IF(AND(AUTOEVENTO="Manual",$M408=1),0,IF(OFFSET(CRONOPLE!$F$14,$M408,BR$13)="",10^12,OFFSET(CRONOPLE!$F$14,$M408,BR$13))))</f>
        <v>1000000000000</v>
      </c>
      <c r="BS408" s="181">
        <f ca="1">IF($D408&lt;&gt;"Serviço",0,IF(AND(AUTOEVENTO="Manual",$M408=1),0,IF(OFFSET(CRONOPLE!$F$14,$M408,BS$13)="",10^12,OFFSET(CRONOPLE!$F$14,$M408,BS$13))))</f>
        <v>1000000000000</v>
      </c>
      <c r="BT408" s="181">
        <f ca="1">IF($D408&lt;&gt;"Serviço",0,IF(AND(AUTOEVENTO="Manual",$M408=1),0,IF(OFFSET(CRONOPLE!$F$14,$M408,BT$13)="",10^12,OFFSET(CRONOPLE!$F$14,$M408,BT$13))))</f>
        <v>1000000000000</v>
      </c>
      <c r="BV408" s="182">
        <f ca="1">IF($D408&lt;&gt;"Serviço",0,IF(OR(AND(AUTOEVENTO="Manual",$M408=1),$M408&gt;(ROW(PLE.lastrow)-ROW(PLE.firstrow))),0,IF(OFFSET(PLE!$G$14,$M408,BV$13)="",10^12,OFFSET(PLE!$G$14,$M408,BV$13))))</f>
        <v>1000000000000</v>
      </c>
      <c r="BW408" s="182">
        <f ca="1">IF($D408&lt;&gt;"Serviço",0,IF(OR(AND(AUTOEVENTO="Manual",$M408=1),$M408&gt;(ROW(PLE.lastrow)-ROW(PLE.firstrow))),0,IF(OFFSET(PLE!$G$14,$M408,BW$13)="",10^12,OFFSET(PLE!$G$14,$M408,BW$13))))</f>
        <v>1000000000000</v>
      </c>
      <c r="BX408" s="182">
        <f ca="1">IF($D408&lt;&gt;"Serviço",0,IF(OR(AND(AUTOEVENTO="Manual",$M408=1),$M408&gt;(ROW(PLE.lastrow)-ROW(PLE.firstrow))),0,IF(OFFSET(PLE!$G$14,$M408,BX$13)="",10^12,OFFSET(PLE!$G$14,$M408,BX$13))))</f>
        <v>1000000000000</v>
      </c>
      <c r="BY408" s="182">
        <f ca="1">IF($D408&lt;&gt;"Serviço",0,IF(OR(AND(AUTOEVENTO="Manual",$M408=1),$M408&gt;(ROW(PLE.lastrow)-ROW(PLE.firstrow))),0,IF(OFFSET(PLE!$G$14,$M408,BY$13)="",10^12,OFFSET(PLE!$G$14,$M408,BY$13))))</f>
        <v>1000000000000</v>
      </c>
      <c r="BZ408" s="182">
        <f ca="1">IF($D408&lt;&gt;"Serviço",0,IF(OR(AND(AUTOEVENTO="Manual",$M408=1),$M408&gt;(ROW(PLE.lastrow)-ROW(PLE.firstrow))),0,IF(OFFSET(PLE!$G$14,$M408,BZ$13)="",10^12,OFFSET(PLE!$G$14,$M408,BZ$13))))</f>
        <v>1000000000000</v>
      </c>
      <c r="CA408" s="182">
        <f ca="1">IF($D408&lt;&gt;"Serviço",0,IF(OR(AND(AUTOEVENTO="Manual",$M408=1),$M408&gt;(ROW(PLE.lastrow)-ROW(PLE.firstrow))),0,IF(OFFSET(PLE!$G$14,$M408,CA$13)="",10^12,OFFSET(PLE!$G$14,$M408,CA$13))))</f>
        <v>1000000000000</v>
      </c>
      <c r="CB408" s="182">
        <f ca="1">IF($D408&lt;&gt;"Serviço",0,IF(OR(AND(AUTOEVENTO="Manual",$M408=1),$M408&gt;(ROW(PLE.lastrow)-ROW(PLE.firstrow))),0,IF(OFFSET(PLE!$G$14,$M408,CB$13)="",10^12,OFFSET(PLE!$G$14,$M408,CB$13))))</f>
        <v>1000000000000</v>
      </c>
      <c r="CC408" s="182">
        <f ca="1">IF($D408&lt;&gt;"Serviço",0,IF(OR(AND(AUTOEVENTO="Manual",$M408=1),$M408&gt;(ROW(PLE.lastrow)-ROW(PLE.firstrow))),0,IF(OFFSET(PLE!$G$14,$M408,CC$13)="",10^12,OFFSET(PLE!$G$14,$M408,CC$13))))</f>
        <v>1000000000000</v>
      </c>
      <c r="CD408" s="182">
        <f ca="1">IF($D408&lt;&gt;"Serviço",0,IF(OR(AND(AUTOEVENTO="Manual",$M408=1),$M408&gt;(ROW(PLE.lastrow)-ROW(PLE.firstrow))),0,IF(OFFSET(PLE!$G$14,$M408,CD$13)="",10^12,OFFSET(PLE!$G$14,$M408,CD$13))))</f>
        <v>1000000000000</v>
      </c>
      <c r="CE408" s="182">
        <f ca="1">IF($D408&lt;&gt;"Serviço",0,IF(OR(AND(AUTOEVENTO="Manual",$M408=1),$M408&gt;(ROW(PLE.lastrow)-ROW(PLE.firstrow))),0,IF(OFFSET(PLE!$G$14,$M408,CE$13)="",10^12,OFFSET(PLE!$G$14,$M408,CE$13))))</f>
        <v>1000000000000</v>
      </c>
      <c r="CF408" s="182">
        <f ca="1">IF($D408&lt;&gt;"Serviço",0,IF(OR(AND(AUTOEVENTO="Manual",$M408=1),$M408&gt;(ROW(PLE.lastrow)-ROW(PLE.firstrow))),0,IF(OFFSET(PLE!$G$14,$M408,CF$13)="",10^12,OFFSET(PLE!$G$14,$M408,CF$13))))</f>
        <v>1000000000000</v>
      </c>
      <c r="CG408" s="182">
        <f ca="1">IF($D408&lt;&gt;"Serviço",0,IF(OR(AND(AUTOEVENTO="Manual",$M408=1),$M408&gt;(ROW(PLE.lastrow)-ROW(PLE.firstrow))),0,IF(OFFSET(PLE!$G$14,$M408,CG$13)="",10^12,OFFSET(PLE!$G$14,$M408,CG$13))))</f>
        <v>1000000000000</v>
      </c>
      <c r="CH408" s="182">
        <f ca="1">IF($D408&lt;&gt;"Serviço",0,IF(OR(AND(AUTOEVENTO="Manual",$M408=1),$M408&gt;(ROW(PLE.lastrow)-ROW(PLE.firstrow))),0,IF(OFFSET(PLE!$G$14,$M408,CH$13)="",10^12,OFFSET(PLE!$G$14,$M408,CH$13))))</f>
        <v>1000000000000</v>
      </c>
      <c r="CI408" s="182">
        <f ca="1">IF($D408&lt;&gt;"Serviço",0,IF(OR(AND(AUTOEVENTO="Manual",$M408=1),$M408&gt;(ROW(PLE.lastrow)-ROW(PLE.firstrow))),0,IF(OFFSET(PLE!$G$14,$M408,CI$13)="",10^12,OFFSET(PLE!$G$14,$M408,CI$13))))</f>
        <v>1000000000000</v>
      </c>
      <c r="CJ408" s="182">
        <f ca="1">IF($D408&lt;&gt;"Serviço",0,IF(OR(AND(AUTOEVENTO="Manual",$M408=1),$M408&gt;(ROW(PLE.lastrow)-ROW(PLE.firstrow))),0,IF(OFFSET(PLE!$G$14,$M408,CJ$13)="",10^12,OFFSET(PLE!$G$14,$M408,CJ$13))))</f>
        <v>1000000000000</v>
      </c>
      <c r="CK408" s="182">
        <f ca="1">IF($D408&lt;&gt;"Serviço",0,IF(OR(AND(AUTOEVENTO="Manual",$M408=1),$M408&gt;(ROW(PLE.lastrow)-ROW(PLE.firstrow))),0,IF(OFFSET(PLE!$G$14,$M408,CK$13)="",10^12,OFFSET(PLE!$G$14,$M408,CK$13))))</f>
        <v>1000000000000</v>
      </c>
      <c r="CL408" s="182">
        <f ca="1">IF($D408&lt;&gt;"Serviço",0,IF(OR(AND(AUTOEVENTO="Manual",$M408=1),$M408&gt;(ROW(PLE.lastrow)-ROW(PLE.firstrow))),0,IF(OFFSET(PLE!$G$14,$M408,CL$13)="",10^12,OFFSET(PLE!$G$14,$M408,CL$13))))</f>
        <v>1000000000000</v>
      </c>
      <c r="CM408" s="182">
        <f ca="1">IF($D408&lt;&gt;"Serviço",0,IF(OR(AND(AUTOEVENTO="Manual",$M408=1),$M408&gt;(ROW(PLE.lastrow)-ROW(PLE.firstrow))),0,IF(OFFSET(PLE!$G$14,$M408,CM$13)="",10^12,OFFSET(PLE!$G$14,$M408,CM$13))))</f>
        <v>1000000000000</v>
      </c>
    </row>
    <row r="409" spans="1:91" ht="25.5" x14ac:dyDescent="0.2">
      <c r="A409" s="7" t="str">
        <f t="shared" ca="1" si="13"/>
        <v>387</v>
      </c>
      <c r="B409" s="7" t="str">
        <f ca="1">OFFSET(ORÇAMENTO!C$15,ROW(B409)-ROW(B$15),0)</f>
        <v>S</v>
      </c>
      <c r="C409" s="7" t="str">
        <f ca="1">OFFSET(ORÇAMENTO!L$15,ROW(C409)-ROW(C$15),0)</f>
        <v/>
      </c>
      <c r="D409" s="118" t="str">
        <f ca="1">OFFSET(ORÇAMENTO!N$15,ROW(D409)-ROW(D$15),0)</f>
        <v>Serviço</v>
      </c>
      <c r="E409" s="119" t="str">
        <f ca="1">OFFSET(ORÇAMENTO!O$15,ROW(E409)-ROW(E$15),0)</f>
        <v>-</v>
      </c>
      <c r="F409" s="172" t="str">
        <f ca="1">OFFSET(ORÇAMENTO!R$15,ROW(F409)-ROW(F$15),0)</f>
        <v>(abra o arquivo 'Referência 06-2024.xlsm)</v>
      </c>
      <c r="G409" s="173" t="str">
        <f ca="1">IF($D409&lt;&gt;"Serviço","",OFFSET(ORÇAMENTO!S$15,ROW(G409)-ROW(G$15),0))</f>
        <v>-</v>
      </c>
      <c r="H409" s="124">
        <f ca="1">IF($D409&lt;&gt;"Serviço",0,IF(ACOMPANHAMENTO="BM",ROUND(OFFSET(ORÇAMENTO!AJ$15,ROW(H409)-ROW(H$15),0),15-13*ORÇAMENTO!$AF$7),SUMPRODUCT(($Q$12:$AI$12&lt;&gt;"")*ROUND($Q409:$AI409,15-13*ORÇAMENTO!$AF$7))))</f>
        <v>1</v>
      </c>
      <c r="I409" s="561" t="s">
        <v>1107</v>
      </c>
      <c r="K409" s="174"/>
      <c r="L409" s="175" t="s">
        <v>255</v>
      </c>
      <c r="M409" s="176">
        <f ca="1">IF($D409&lt;&gt;"Serviço","",IF(AUTOEVENTO="manual",$A409,IF(ISERROR(MATCH($A409,$A$15:OFFSET($A409,-1,0),0)),MAX($M$15:OFFSET(M409,-1,0))+1,INDEX($M$15:OFFSET(M409,-1,0),MATCH($A409,$A$15:OFFSET($A409,-1,0),0)))))</f>
        <v>45</v>
      </c>
      <c r="N409" s="177" t="str">
        <f ca="1">IF($D409&lt;&gt;"Serviço","",IF(AUTOEVENTO="Manual",IF($A409=0,"&lt;-- defina o número do agrupador",OFFSET(EVENTOS!$D$14,$A409,0)),OFFSET($F$15,$A409,0)))</f>
        <v>INSTALAÇÃO DE GÁS COMBUSTÍVEL</v>
      </c>
      <c r="O409" s="178"/>
      <c r="Q409" s="178">
        <v>1</v>
      </c>
      <c r="R409" s="179"/>
      <c r="S409" s="179"/>
      <c r="T409" s="179"/>
      <c r="U409" s="179"/>
      <c r="V409" s="179"/>
      <c r="W409" s="179"/>
      <c r="X409" s="179"/>
      <c r="Y409" s="179"/>
      <c r="Z409" s="180"/>
      <c r="AA409" s="179"/>
      <c r="AB409" s="179"/>
      <c r="AC409" s="179"/>
      <c r="AD409" s="179"/>
      <c r="AE409" s="179"/>
      <c r="AF409" s="179"/>
      <c r="AG409" s="179"/>
      <c r="AH409" s="180"/>
      <c r="AJ409" s="544">
        <f ca="1">IF(AND($D409="Serviço",AJ$12&lt;&gt;0,$H409&gt;0,OR(AUTOEVENTO&lt;&gt;"manual",$M409&lt;&gt;1)),
IF(Import.TipoArredondamento&lt;&gt;"TransfereGOV",
ROUND(OFFSET($P409,0,AJ$13),15-13*ORÇAMENTO!$AF$7)/$H409*OFFSET(ORÇAMENTO!$X$15,ROW(AJ409)-ROW(AJ$15),0),
ROUND(ROUND(OFFSET($P409,0,AJ$13),15-13*ORÇAMENTO!$AF$7)*OFFSET(ORÇAMENTO!$W$15,ROW(AJ409)-ROW(AJ$15),0),15-13*ORÇAMENTO!$AF$11)),0)</f>
        <v>0</v>
      </c>
      <c r="AK409" s="545">
        <f ca="1">IF(AND($D409="Serviço",AK$12&lt;&gt;0,$H409&gt;0,OR(AUTOEVENTO&lt;&gt;"manual",$M409&lt;&gt;1)),
IF(Import.TipoArredondamento&lt;&gt;"TransfereGOV",
ROUND(OFFSET($P409,0,AK$13),15-13*ORÇAMENTO!$AF$7)/$H409*OFFSET(ORÇAMENTO!$X$15,ROW(AK409)-ROW(AK$15),0),
ROUND(ROUND(OFFSET($P409,0,AK$13),15-13*ORÇAMENTO!$AF$7)*OFFSET(ORÇAMENTO!$W$15,ROW(AK409)-ROW(AK$15),0),15-13*ORÇAMENTO!$AF$11)),0)</f>
        <v>0</v>
      </c>
      <c r="AL409" s="545">
        <f ca="1">IF(AND($D409="Serviço",AL$12&lt;&gt;0,$H409&gt;0,OR(AUTOEVENTO&lt;&gt;"manual",$M409&lt;&gt;1)),
IF(Import.TipoArredondamento&lt;&gt;"TransfereGOV",
ROUND(OFFSET($P409,0,AL$13),15-13*ORÇAMENTO!$AF$7)/$H409*OFFSET(ORÇAMENTO!$X$15,ROW(AL409)-ROW(AL$15),0),
ROUND(ROUND(OFFSET($P409,0,AL$13),15-13*ORÇAMENTO!$AF$7)*OFFSET(ORÇAMENTO!$W$15,ROW(AL409)-ROW(AL$15),0),15-13*ORÇAMENTO!$AF$11)),0)</f>
        <v>0</v>
      </c>
      <c r="AM409" s="545">
        <f ca="1">IF(AND($D409="Serviço",AM$12&lt;&gt;0,$H409&gt;0,OR(AUTOEVENTO&lt;&gt;"manual",$M409&lt;&gt;1)),
IF(Import.TipoArredondamento&lt;&gt;"TransfereGOV",
ROUND(OFFSET($P409,0,AM$13),15-13*ORÇAMENTO!$AF$7)/$H409*OFFSET(ORÇAMENTO!$X$15,ROW(AM409)-ROW(AM$15),0),
ROUND(ROUND(OFFSET($P409,0,AM$13),15-13*ORÇAMENTO!$AF$7)*OFFSET(ORÇAMENTO!$W$15,ROW(AM409)-ROW(AM$15),0),15-13*ORÇAMENTO!$AF$11)),0)</f>
        <v>0</v>
      </c>
      <c r="AN409" s="545">
        <f ca="1">IF(AND($D409="Serviço",AN$12&lt;&gt;0,$H409&gt;0,OR(AUTOEVENTO&lt;&gt;"manual",$M409&lt;&gt;1)),
IF(Import.TipoArredondamento&lt;&gt;"TransfereGOV",
ROUND(OFFSET($P409,0,AN$13),15-13*ORÇAMENTO!$AF$7)/$H409*OFFSET(ORÇAMENTO!$X$15,ROW(AN409)-ROW(AN$15),0),
ROUND(ROUND(OFFSET($P409,0,AN$13),15-13*ORÇAMENTO!$AF$7)*OFFSET(ORÇAMENTO!$W$15,ROW(AN409)-ROW(AN$15),0),15-13*ORÇAMENTO!$AF$11)),0)</f>
        <v>0</v>
      </c>
      <c r="AO409" s="545">
        <f ca="1">IF(AND($D409="Serviço",AO$12&lt;&gt;0,$H409&gt;0,OR(AUTOEVENTO&lt;&gt;"manual",$M409&lt;&gt;1)),
IF(Import.TipoArredondamento&lt;&gt;"TransfereGOV",
ROUND(OFFSET($P409,0,AO$13),15-13*ORÇAMENTO!$AF$7)/$H409*OFFSET(ORÇAMENTO!$X$15,ROW(AO409)-ROW(AO$15),0),
ROUND(ROUND(OFFSET($P409,0,AO$13),15-13*ORÇAMENTO!$AF$7)*OFFSET(ORÇAMENTO!$W$15,ROW(AO409)-ROW(AO$15),0),15-13*ORÇAMENTO!$AF$11)),0)</f>
        <v>0</v>
      </c>
      <c r="AP409" s="545">
        <f ca="1">IF(AND($D409="Serviço",AP$12&lt;&gt;0,$H409&gt;0,OR(AUTOEVENTO&lt;&gt;"manual",$M409&lt;&gt;1)),
IF(Import.TipoArredondamento&lt;&gt;"TransfereGOV",
ROUND(OFFSET($P409,0,AP$13),15-13*ORÇAMENTO!$AF$7)/$H409*OFFSET(ORÇAMENTO!$X$15,ROW(AP409)-ROW(AP$15),0),
ROUND(ROUND(OFFSET($P409,0,AP$13),15-13*ORÇAMENTO!$AF$7)*OFFSET(ORÇAMENTO!$W$15,ROW(AP409)-ROW(AP$15),0),15-13*ORÇAMENTO!$AF$11)),0)</f>
        <v>0</v>
      </c>
      <c r="AQ409" s="545">
        <f ca="1">IF(AND($D409="Serviço",AQ$12&lt;&gt;0,$H409&gt;0,OR(AUTOEVENTO&lt;&gt;"manual",$M409&lt;&gt;1)),
IF(Import.TipoArredondamento&lt;&gt;"TransfereGOV",
ROUND(OFFSET($P409,0,AQ$13),15-13*ORÇAMENTO!$AF$7)/$H409*OFFSET(ORÇAMENTO!$X$15,ROW(AQ409)-ROW(AQ$15),0),
ROUND(ROUND(OFFSET($P409,0,AQ$13),15-13*ORÇAMENTO!$AF$7)*OFFSET(ORÇAMENTO!$W$15,ROW(AQ409)-ROW(AQ$15),0),15-13*ORÇAMENTO!$AF$11)),0)</f>
        <v>0</v>
      </c>
      <c r="AR409" s="545">
        <f ca="1">IF(AND($D409="Serviço",AR$12&lt;&gt;0,$H409&gt;0,OR(AUTOEVENTO&lt;&gt;"manual",$M409&lt;&gt;1)),
IF(Import.TipoArredondamento&lt;&gt;"TransfereGOV",
ROUND(OFFSET($P409,0,AR$13),15-13*ORÇAMENTO!$AF$7)/$H409*OFFSET(ORÇAMENTO!$X$15,ROW(AR409)-ROW(AR$15),0),
ROUND(ROUND(OFFSET($P409,0,AR$13),15-13*ORÇAMENTO!$AF$7)*OFFSET(ORÇAMENTO!$W$15,ROW(AR409)-ROW(AR$15),0),15-13*ORÇAMENTO!$AF$11)),0)</f>
        <v>0</v>
      </c>
      <c r="AS409" s="546">
        <f ca="1">IF(AND($D409="Serviço",AS$12&lt;&gt;0,$H409&gt;0,OR(AUTOEVENTO&lt;&gt;"manual",$M409&lt;&gt;1)),
IF(Import.TipoArredondamento&lt;&gt;"TransfereGOV",
ROUND(OFFSET($P409,0,AS$13),15-13*ORÇAMENTO!$AF$7)/$H409*OFFSET(ORÇAMENTO!$X$15,ROW(AS409)-ROW(AS$15),0),
ROUND(ROUND(OFFSET($P409,0,AS$13),15-13*ORÇAMENTO!$AF$7)*OFFSET(ORÇAMENTO!$W$15,ROW(AS409)-ROW(AS$15),0),15-13*ORÇAMENTO!$AF$11)),0)</f>
        <v>0</v>
      </c>
      <c r="AT409" s="545">
        <f ca="1">IF(AND($D409="Serviço",AT$12&lt;&gt;0,$H409&gt;0,OR(AUTOEVENTO&lt;&gt;"manual",$M409&lt;&gt;1)),
IF(Import.TipoArredondamento&lt;&gt;"TransfereGOV",
ROUND(OFFSET($P409,0,AT$13),15-13*ORÇAMENTO!$AF$7)/$H409*OFFSET(ORÇAMENTO!$X$15,ROW(AT409)-ROW(AT$15),0),
ROUND(ROUND(OFFSET($P409,0,AT$13),15-13*ORÇAMENTO!$AF$7)*OFFSET(ORÇAMENTO!$W$15,ROW(AT409)-ROW(AT$15),0),15-13*ORÇAMENTO!$AF$11)),0)</f>
        <v>0</v>
      </c>
      <c r="AU409" s="545">
        <f ca="1">IF(AND($D409="Serviço",AU$12&lt;&gt;0,$H409&gt;0,OR(AUTOEVENTO&lt;&gt;"manual",$M409&lt;&gt;1)),
IF(Import.TipoArredondamento&lt;&gt;"TransfereGOV",
ROUND(OFFSET($P409,0,AU$13),15-13*ORÇAMENTO!$AF$7)/$H409*OFFSET(ORÇAMENTO!$X$15,ROW(AU409)-ROW(AU$15),0),
ROUND(ROUND(OFFSET($P409,0,AU$13),15-13*ORÇAMENTO!$AF$7)*OFFSET(ORÇAMENTO!$W$15,ROW(AU409)-ROW(AU$15),0),15-13*ORÇAMENTO!$AF$11)),0)</f>
        <v>0</v>
      </c>
      <c r="AV409" s="545">
        <f ca="1">IF(AND($D409="Serviço",AV$12&lt;&gt;0,$H409&gt;0,OR(AUTOEVENTO&lt;&gt;"manual",$M409&lt;&gt;1)),
IF(Import.TipoArredondamento&lt;&gt;"TransfereGOV",
ROUND(OFFSET($P409,0,AV$13),15-13*ORÇAMENTO!$AF$7)/$H409*OFFSET(ORÇAMENTO!$X$15,ROW(AV409)-ROW(AV$15),0),
ROUND(ROUND(OFFSET($P409,0,AV$13),15-13*ORÇAMENTO!$AF$7)*OFFSET(ORÇAMENTO!$W$15,ROW(AV409)-ROW(AV$15),0),15-13*ORÇAMENTO!$AF$11)),0)</f>
        <v>0</v>
      </c>
      <c r="AW409" s="545">
        <f ca="1">IF(AND($D409="Serviço",AW$12&lt;&gt;0,$H409&gt;0,OR(AUTOEVENTO&lt;&gt;"manual",$M409&lt;&gt;1)),
IF(Import.TipoArredondamento&lt;&gt;"TransfereGOV",
ROUND(OFFSET($P409,0,AW$13),15-13*ORÇAMENTO!$AF$7)/$H409*OFFSET(ORÇAMENTO!$X$15,ROW(AW409)-ROW(AW$15),0),
ROUND(ROUND(OFFSET($P409,0,AW$13),15-13*ORÇAMENTO!$AF$7)*OFFSET(ORÇAMENTO!$W$15,ROW(AW409)-ROW(AW$15),0),15-13*ORÇAMENTO!$AF$11)),0)</f>
        <v>0</v>
      </c>
      <c r="AX409" s="545">
        <f ca="1">IF(AND($D409="Serviço",AX$12&lt;&gt;0,$H409&gt;0,OR(AUTOEVENTO&lt;&gt;"manual",$M409&lt;&gt;1)),
IF(Import.TipoArredondamento&lt;&gt;"TransfereGOV",
ROUND(OFFSET($P409,0,AX$13),15-13*ORÇAMENTO!$AF$7)/$H409*OFFSET(ORÇAMENTO!$X$15,ROW(AX409)-ROW(AX$15),0),
ROUND(ROUND(OFFSET($P409,0,AX$13),15-13*ORÇAMENTO!$AF$7)*OFFSET(ORÇAMENTO!$W$15,ROW(AX409)-ROW(AX$15),0),15-13*ORÇAMENTO!$AF$11)),0)</f>
        <v>0</v>
      </c>
      <c r="AY409" s="545">
        <f ca="1">IF(AND($D409="Serviço",AY$12&lt;&gt;0,$H409&gt;0,OR(AUTOEVENTO&lt;&gt;"manual",$M409&lt;&gt;1)),
IF(Import.TipoArredondamento&lt;&gt;"TransfereGOV",
ROUND(OFFSET($P409,0,AY$13),15-13*ORÇAMENTO!$AF$7)/$H409*OFFSET(ORÇAMENTO!$X$15,ROW(AY409)-ROW(AY$15),0),
ROUND(ROUND(OFFSET($P409,0,AY$13),15-13*ORÇAMENTO!$AF$7)*OFFSET(ORÇAMENTO!$W$15,ROW(AY409)-ROW(AY$15),0),15-13*ORÇAMENTO!$AF$11)),0)</f>
        <v>0</v>
      </c>
      <c r="AZ409" s="545">
        <f ca="1">IF(AND($D409="Serviço",AZ$12&lt;&gt;0,$H409&gt;0,OR(AUTOEVENTO&lt;&gt;"manual",$M409&lt;&gt;1)),
IF(Import.TipoArredondamento&lt;&gt;"TransfereGOV",
ROUND(OFFSET($P409,0,AZ$13),15-13*ORÇAMENTO!$AF$7)/$H409*OFFSET(ORÇAMENTO!$X$15,ROW(AZ409)-ROW(AZ$15),0),
ROUND(ROUND(OFFSET($P409,0,AZ$13),15-13*ORÇAMENTO!$AF$7)*OFFSET(ORÇAMENTO!$W$15,ROW(AZ409)-ROW(AZ$15),0),15-13*ORÇAMENTO!$AF$11)),0)</f>
        <v>0</v>
      </c>
      <c r="BA409" s="546">
        <f ca="1">IF(AND($D409="Serviço",BA$12&lt;&gt;0,$H409&gt;0,OR(AUTOEVENTO&lt;&gt;"manual",$M409&lt;&gt;1)),
IF(Import.TipoArredondamento&lt;&gt;"TransfereGOV",
ROUND(OFFSET($P409,0,BA$13),15-13*ORÇAMENTO!$AF$7)/$H409*OFFSET(ORÇAMENTO!$X$15,ROW(BA409)-ROW(BA$15),0),
ROUND(ROUND(OFFSET($P409,0,BA$13),15-13*ORÇAMENTO!$AF$7)*OFFSET(ORÇAMENTO!$W$15,ROW(BA409)-ROW(BA$15),0),15-13*ORÇAMENTO!$AF$11)),0)</f>
        <v>0</v>
      </c>
      <c r="BC409" s="181">
        <f ca="1">IF($D409&lt;&gt;"Serviço",0,IF(AND(AUTOEVENTO="Manual",$M409=1),0,IF(OFFSET(CRONOPLE!$F$14,$M409,BC$13)="",10^12,OFFSET(CRONOPLE!$F$14,$M409,BC$13))))</f>
        <v>10</v>
      </c>
      <c r="BD409" s="181">
        <f ca="1">IF($D409&lt;&gt;"Serviço",0,IF(AND(AUTOEVENTO="Manual",$M409=1),0,IF(OFFSET(CRONOPLE!$F$14,$M409,BD$13)="",10^12,OFFSET(CRONOPLE!$F$14,$M409,BD$13))))</f>
        <v>1000000000000</v>
      </c>
      <c r="BE409" s="181">
        <f ca="1">IF($D409&lt;&gt;"Serviço",0,IF(AND(AUTOEVENTO="Manual",$M409=1),0,IF(OFFSET(CRONOPLE!$F$14,$M409,BE$13)="",10^12,OFFSET(CRONOPLE!$F$14,$M409,BE$13))))</f>
        <v>1000000000000</v>
      </c>
      <c r="BF409" s="181">
        <f ca="1">IF($D409&lt;&gt;"Serviço",0,IF(AND(AUTOEVENTO="Manual",$M409=1),0,IF(OFFSET(CRONOPLE!$F$14,$M409,BF$13)="",10^12,OFFSET(CRONOPLE!$F$14,$M409,BF$13))))</f>
        <v>1000000000000</v>
      </c>
      <c r="BG409" s="181">
        <f ca="1">IF($D409&lt;&gt;"Serviço",0,IF(AND(AUTOEVENTO="Manual",$M409=1),0,IF(OFFSET(CRONOPLE!$F$14,$M409,BG$13)="",10^12,OFFSET(CRONOPLE!$F$14,$M409,BG$13))))</f>
        <v>1000000000000</v>
      </c>
      <c r="BH409" s="181">
        <f ca="1">IF($D409&lt;&gt;"Serviço",0,IF(AND(AUTOEVENTO="Manual",$M409=1),0,IF(OFFSET(CRONOPLE!$F$14,$M409,BH$13)="",10^12,OFFSET(CRONOPLE!$F$14,$M409,BH$13))))</f>
        <v>1000000000000</v>
      </c>
      <c r="BI409" s="181">
        <f ca="1">IF($D409&lt;&gt;"Serviço",0,IF(AND(AUTOEVENTO="Manual",$M409=1),0,IF(OFFSET(CRONOPLE!$F$14,$M409,BI$13)="",10^12,OFFSET(CRONOPLE!$F$14,$M409,BI$13))))</f>
        <v>1000000000000</v>
      </c>
      <c r="BJ409" s="181">
        <f ca="1">IF($D409&lt;&gt;"Serviço",0,IF(AND(AUTOEVENTO="Manual",$M409=1),0,IF(OFFSET(CRONOPLE!$F$14,$M409,BJ$13)="",10^12,OFFSET(CRONOPLE!$F$14,$M409,BJ$13))))</f>
        <v>1000000000000</v>
      </c>
      <c r="BK409" s="181">
        <f ca="1">IF($D409&lt;&gt;"Serviço",0,IF(AND(AUTOEVENTO="Manual",$M409=1),0,IF(OFFSET(CRONOPLE!$F$14,$M409,BK$13)="",10^12,OFFSET(CRONOPLE!$F$14,$M409,BK$13))))</f>
        <v>1000000000000</v>
      </c>
      <c r="BL409" s="181">
        <f ca="1">IF($D409&lt;&gt;"Serviço",0,IF(AND(AUTOEVENTO="Manual",$M409=1),0,IF(OFFSET(CRONOPLE!$F$14,$M409,BL$13)="",10^12,OFFSET(CRONOPLE!$F$14,$M409,BL$13))))</f>
        <v>1000000000000</v>
      </c>
      <c r="BM409" s="181">
        <f ca="1">IF($D409&lt;&gt;"Serviço",0,IF(AND(AUTOEVENTO="Manual",$M409=1),0,IF(OFFSET(CRONOPLE!$F$14,$M409,BM$13)="",10^12,OFFSET(CRONOPLE!$F$14,$M409,BM$13))))</f>
        <v>1000000000000</v>
      </c>
      <c r="BN409" s="181">
        <f ca="1">IF($D409&lt;&gt;"Serviço",0,IF(AND(AUTOEVENTO="Manual",$M409=1),0,IF(OFFSET(CRONOPLE!$F$14,$M409,BN$13)="",10^12,OFFSET(CRONOPLE!$F$14,$M409,BN$13))))</f>
        <v>1000000000000</v>
      </c>
      <c r="BO409" s="181">
        <f ca="1">IF($D409&lt;&gt;"Serviço",0,IF(AND(AUTOEVENTO="Manual",$M409=1),0,IF(OFFSET(CRONOPLE!$F$14,$M409,BO$13)="",10^12,OFFSET(CRONOPLE!$F$14,$M409,BO$13))))</f>
        <v>1000000000000</v>
      </c>
      <c r="BP409" s="181">
        <f ca="1">IF($D409&lt;&gt;"Serviço",0,IF(AND(AUTOEVENTO="Manual",$M409=1),0,IF(OFFSET(CRONOPLE!$F$14,$M409,BP$13)="",10^12,OFFSET(CRONOPLE!$F$14,$M409,BP$13))))</f>
        <v>1000000000000</v>
      </c>
      <c r="BQ409" s="181">
        <f ca="1">IF($D409&lt;&gt;"Serviço",0,IF(AND(AUTOEVENTO="Manual",$M409=1),0,IF(OFFSET(CRONOPLE!$F$14,$M409,BQ$13)="",10^12,OFFSET(CRONOPLE!$F$14,$M409,BQ$13))))</f>
        <v>1000000000000</v>
      </c>
      <c r="BR409" s="181">
        <f ca="1">IF($D409&lt;&gt;"Serviço",0,IF(AND(AUTOEVENTO="Manual",$M409=1),0,IF(OFFSET(CRONOPLE!$F$14,$M409,BR$13)="",10^12,OFFSET(CRONOPLE!$F$14,$M409,BR$13))))</f>
        <v>1000000000000</v>
      </c>
      <c r="BS409" s="181">
        <f ca="1">IF($D409&lt;&gt;"Serviço",0,IF(AND(AUTOEVENTO="Manual",$M409=1),0,IF(OFFSET(CRONOPLE!$F$14,$M409,BS$13)="",10^12,OFFSET(CRONOPLE!$F$14,$M409,BS$13))))</f>
        <v>1000000000000</v>
      </c>
      <c r="BT409" s="181">
        <f ca="1">IF($D409&lt;&gt;"Serviço",0,IF(AND(AUTOEVENTO="Manual",$M409=1),0,IF(OFFSET(CRONOPLE!$F$14,$M409,BT$13)="",10^12,OFFSET(CRONOPLE!$F$14,$M409,BT$13))))</f>
        <v>1000000000000</v>
      </c>
      <c r="BV409" s="182">
        <f ca="1">IF($D409&lt;&gt;"Serviço",0,IF(OR(AND(AUTOEVENTO="Manual",$M409=1),$M409&gt;(ROW(PLE.lastrow)-ROW(PLE.firstrow))),0,IF(OFFSET(PLE!$G$14,$M409,BV$13)="",10^12,OFFSET(PLE!$G$14,$M409,BV$13))))</f>
        <v>1000000000000</v>
      </c>
      <c r="BW409" s="182">
        <f ca="1">IF($D409&lt;&gt;"Serviço",0,IF(OR(AND(AUTOEVENTO="Manual",$M409=1),$M409&gt;(ROW(PLE.lastrow)-ROW(PLE.firstrow))),0,IF(OFFSET(PLE!$G$14,$M409,BW$13)="",10^12,OFFSET(PLE!$G$14,$M409,BW$13))))</f>
        <v>1000000000000</v>
      </c>
      <c r="BX409" s="182">
        <f ca="1">IF($D409&lt;&gt;"Serviço",0,IF(OR(AND(AUTOEVENTO="Manual",$M409=1),$M409&gt;(ROW(PLE.lastrow)-ROW(PLE.firstrow))),0,IF(OFFSET(PLE!$G$14,$M409,BX$13)="",10^12,OFFSET(PLE!$G$14,$M409,BX$13))))</f>
        <v>1000000000000</v>
      </c>
      <c r="BY409" s="182">
        <f ca="1">IF($D409&lt;&gt;"Serviço",0,IF(OR(AND(AUTOEVENTO="Manual",$M409=1),$M409&gt;(ROW(PLE.lastrow)-ROW(PLE.firstrow))),0,IF(OFFSET(PLE!$G$14,$M409,BY$13)="",10^12,OFFSET(PLE!$G$14,$M409,BY$13))))</f>
        <v>1000000000000</v>
      </c>
      <c r="BZ409" s="182">
        <f ca="1">IF($D409&lt;&gt;"Serviço",0,IF(OR(AND(AUTOEVENTO="Manual",$M409=1),$M409&gt;(ROW(PLE.lastrow)-ROW(PLE.firstrow))),0,IF(OFFSET(PLE!$G$14,$M409,BZ$13)="",10^12,OFFSET(PLE!$G$14,$M409,BZ$13))))</f>
        <v>1000000000000</v>
      </c>
      <c r="CA409" s="182">
        <f ca="1">IF($D409&lt;&gt;"Serviço",0,IF(OR(AND(AUTOEVENTO="Manual",$M409=1),$M409&gt;(ROW(PLE.lastrow)-ROW(PLE.firstrow))),0,IF(OFFSET(PLE!$G$14,$M409,CA$13)="",10^12,OFFSET(PLE!$G$14,$M409,CA$13))))</f>
        <v>1000000000000</v>
      </c>
      <c r="CB409" s="182">
        <f ca="1">IF($D409&lt;&gt;"Serviço",0,IF(OR(AND(AUTOEVENTO="Manual",$M409=1),$M409&gt;(ROW(PLE.lastrow)-ROW(PLE.firstrow))),0,IF(OFFSET(PLE!$G$14,$M409,CB$13)="",10^12,OFFSET(PLE!$G$14,$M409,CB$13))))</f>
        <v>1000000000000</v>
      </c>
      <c r="CC409" s="182">
        <f ca="1">IF($D409&lt;&gt;"Serviço",0,IF(OR(AND(AUTOEVENTO="Manual",$M409=1),$M409&gt;(ROW(PLE.lastrow)-ROW(PLE.firstrow))),0,IF(OFFSET(PLE!$G$14,$M409,CC$13)="",10^12,OFFSET(PLE!$G$14,$M409,CC$13))))</f>
        <v>1000000000000</v>
      </c>
      <c r="CD409" s="182">
        <f ca="1">IF($D409&lt;&gt;"Serviço",0,IF(OR(AND(AUTOEVENTO="Manual",$M409=1),$M409&gt;(ROW(PLE.lastrow)-ROW(PLE.firstrow))),0,IF(OFFSET(PLE!$G$14,$M409,CD$13)="",10^12,OFFSET(PLE!$G$14,$M409,CD$13))))</f>
        <v>1000000000000</v>
      </c>
      <c r="CE409" s="182">
        <f ca="1">IF($D409&lt;&gt;"Serviço",0,IF(OR(AND(AUTOEVENTO="Manual",$M409=1),$M409&gt;(ROW(PLE.lastrow)-ROW(PLE.firstrow))),0,IF(OFFSET(PLE!$G$14,$M409,CE$13)="",10^12,OFFSET(PLE!$G$14,$M409,CE$13))))</f>
        <v>1000000000000</v>
      </c>
      <c r="CF409" s="182">
        <f ca="1">IF($D409&lt;&gt;"Serviço",0,IF(OR(AND(AUTOEVENTO="Manual",$M409=1),$M409&gt;(ROW(PLE.lastrow)-ROW(PLE.firstrow))),0,IF(OFFSET(PLE!$G$14,$M409,CF$13)="",10^12,OFFSET(PLE!$G$14,$M409,CF$13))))</f>
        <v>1000000000000</v>
      </c>
      <c r="CG409" s="182">
        <f ca="1">IF($D409&lt;&gt;"Serviço",0,IF(OR(AND(AUTOEVENTO="Manual",$M409=1),$M409&gt;(ROW(PLE.lastrow)-ROW(PLE.firstrow))),0,IF(OFFSET(PLE!$G$14,$M409,CG$13)="",10^12,OFFSET(PLE!$G$14,$M409,CG$13))))</f>
        <v>1000000000000</v>
      </c>
      <c r="CH409" s="182">
        <f ca="1">IF($D409&lt;&gt;"Serviço",0,IF(OR(AND(AUTOEVENTO="Manual",$M409=1),$M409&gt;(ROW(PLE.lastrow)-ROW(PLE.firstrow))),0,IF(OFFSET(PLE!$G$14,$M409,CH$13)="",10^12,OFFSET(PLE!$G$14,$M409,CH$13))))</f>
        <v>1000000000000</v>
      </c>
      <c r="CI409" s="182">
        <f ca="1">IF($D409&lt;&gt;"Serviço",0,IF(OR(AND(AUTOEVENTO="Manual",$M409=1),$M409&gt;(ROW(PLE.lastrow)-ROW(PLE.firstrow))),0,IF(OFFSET(PLE!$G$14,$M409,CI$13)="",10^12,OFFSET(PLE!$G$14,$M409,CI$13))))</f>
        <v>1000000000000</v>
      </c>
      <c r="CJ409" s="182">
        <f ca="1">IF($D409&lt;&gt;"Serviço",0,IF(OR(AND(AUTOEVENTO="Manual",$M409=1),$M409&gt;(ROW(PLE.lastrow)-ROW(PLE.firstrow))),0,IF(OFFSET(PLE!$G$14,$M409,CJ$13)="",10^12,OFFSET(PLE!$G$14,$M409,CJ$13))))</f>
        <v>1000000000000</v>
      </c>
      <c r="CK409" s="182">
        <f ca="1">IF($D409&lt;&gt;"Serviço",0,IF(OR(AND(AUTOEVENTO="Manual",$M409=1),$M409&gt;(ROW(PLE.lastrow)-ROW(PLE.firstrow))),0,IF(OFFSET(PLE!$G$14,$M409,CK$13)="",10^12,OFFSET(PLE!$G$14,$M409,CK$13))))</f>
        <v>1000000000000</v>
      </c>
      <c r="CL409" s="182">
        <f ca="1">IF($D409&lt;&gt;"Serviço",0,IF(OR(AND(AUTOEVENTO="Manual",$M409=1),$M409&gt;(ROW(PLE.lastrow)-ROW(PLE.firstrow))),0,IF(OFFSET(PLE!$G$14,$M409,CL$13)="",10^12,OFFSET(PLE!$G$14,$M409,CL$13))))</f>
        <v>1000000000000</v>
      </c>
      <c r="CM409" s="182">
        <f ca="1">IF($D409&lt;&gt;"Serviço",0,IF(OR(AND(AUTOEVENTO="Manual",$M409=1),$M409&gt;(ROW(PLE.lastrow)-ROW(PLE.firstrow))),0,IF(OFFSET(PLE!$G$14,$M409,CM$13)="",10^12,OFFSET(PLE!$G$14,$M409,CM$13))))</f>
        <v>1000000000000</v>
      </c>
    </row>
    <row r="410" spans="1:91" ht="38.25" x14ac:dyDescent="0.2">
      <c r="A410" s="7" t="str">
        <f t="shared" ca="1" si="13"/>
        <v>387</v>
      </c>
      <c r="B410" s="7" t="str">
        <f ca="1">OFFSET(ORÇAMENTO!C$15,ROW(B410)-ROW(B$15),0)</f>
        <v>S</v>
      </c>
      <c r="C410" s="7" t="str">
        <f ca="1">OFFSET(ORÇAMENTO!L$15,ROW(C410)-ROW(C$15),0)</f>
        <v/>
      </c>
      <c r="D410" s="118" t="str">
        <f ca="1">OFFSET(ORÇAMENTO!N$15,ROW(D410)-ROW(D$15),0)</f>
        <v>Serviço</v>
      </c>
      <c r="E410" s="119" t="str">
        <f ca="1">OFFSET(ORÇAMENTO!O$15,ROW(E410)-ROW(E$15),0)</f>
        <v>-</v>
      </c>
      <c r="F410" s="172" t="str">
        <f ca="1">OFFSET(ORÇAMENTO!R$15,ROW(F410)-ROW(F$15),0)</f>
        <v>(abra o arquivo 'Referência 06-2024.xlsm)</v>
      </c>
      <c r="G410" s="173" t="str">
        <f ca="1">IF($D410&lt;&gt;"Serviço","",OFFSET(ORÇAMENTO!S$15,ROW(G410)-ROW(G$15),0))</f>
        <v>-</v>
      </c>
      <c r="H410" s="124">
        <f ca="1">IF($D410&lt;&gt;"Serviço",0,IF(ACOMPANHAMENTO="BM",ROUND(OFFSET(ORÇAMENTO!AJ$15,ROW(H410)-ROW(H$15),0),15-13*ORÇAMENTO!$AF$7),SUMPRODUCT(($Q$12:$AI$12&lt;&gt;"")*ROUND($Q410:$AI410,15-13*ORÇAMENTO!$AF$7))))</f>
        <v>8</v>
      </c>
      <c r="I410" s="561" t="s">
        <v>1107</v>
      </c>
      <c r="K410" s="174"/>
      <c r="L410" s="175" t="s">
        <v>255</v>
      </c>
      <c r="M410" s="176">
        <f ca="1">IF($D410&lt;&gt;"Serviço","",IF(AUTOEVENTO="manual",$A410,IF(ISERROR(MATCH($A410,$A$15:OFFSET($A410,-1,0),0)),MAX($M$15:OFFSET(M410,-1,0))+1,INDEX($M$15:OFFSET(M410,-1,0),MATCH($A410,$A$15:OFFSET($A410,-1,0),0)))))</f>
        <v>45</v>
      </c>
      <c r="N410" s="177" t="str">
        <f ca="1">IF($D410&lt;&gt;"Serviço","",IF(AUTOEVENTO="Manual",IF($A410=0,"&lt;-- defina o número do agrupador",OFFSET(EVENTOS!$D$14,$A410,0)),OFFSET($F$15,$A410,0)))</f>
        <v>INSTALAÇÃO DE GÁS COMBUSTÍVEL</v>
      </c>
      <c r="O410" s="178"/>
      <c r="Q410" s="178">
        <v>8</v>
      </c>
      <c r="R410" s="179"/>
      <c r="S410" s="179"/>
      <c r="T410" s="179"/>
      <c r="U410" s="179"/>
      <c r="V410" s="179"/>
      <c r="W410" s="179"/>
      <c r="X410" s="179"/>
      <c r="Y410" s="179"/>
      <c r="Z410" s="180"/>
      <c r="AA410" s="179"/>
      <c r="AB410" s="179"/>
      <c r="AC410" s="179"/>
      <c r="AD410" s="179"/>
      <c r="AE410" s="179"/>
      <c r="AF410" s="179"/>
      <c r="AG410" s="179"/>
      <c r="AH410" s="180"/>
      <c r="AJ410" s="544">
        <f ca="1">IF(AND($D410="Serviço",AJ$12&lt;&gt;0,$H410&gt;0,OR(AUTOEVENTO&lt;&gt;"manual",$M410&lt;&gt;1)),
IF(Import.TipoArredondamento&lt;&gt;"TransfereGOV",
ROUND(OFFSET($P410,0,AJ$13),15-13*ORÇAMENTO!$AF$7)/$H410*OFFSET(ORÇAMENTO!$X$15,ROW(AJ410)-ROW(AJ$15),0),
ROUND(ROUND(OFFSET($P410,0,AJ$13),15-13*ORÇAMENTO!$AF$7)*OFFSET(ORÇAMENTO!$W$15,ROW(AJ410)-ROW(AJ$15),0),15-13*ORÇAMENTO!$AF$11)),0)</f>
        <v>0</v>
      </c>
      <c r="AK410" s="545">
        <f ca="1">IF(AND($D410="Serviço",AK$12&lt;&gt;0,$H410&gt;0,OR(AUTOEVENTO&lt;&gt;"manual",$M410&lt;&gt;1)),
IF(Import.TipoArredondamento&lt;&gt;"TransfereGOV",
ROUND(OFFSET($P410,0,AK$13),15-13*ORÇAMENTO!$AF$7)/$H410*OFFSET(ORÇAMENTO!$X$15,ROW(AK410)-ROW(AK$15),0),
ROUND(ROUND(OFFSET($P410,0,AK$13),15-13*ORÇAMENTO!$AF$7)*OFFSET(ORÇAMENTO!$W$15,ROW(AK410)-ROW(AK$15),0),15-13*ORÇAMENTO!$AF$11)),0)</f>
        <v>0</v>
      </c>
      <c r="AL410" s="545">
        <f ca="1">IF(AND($D410="Serviço",AL$12&lt;&gt;0,$H410&gt;0,OR(AUTOEVENTO&lt;&gt;"manual",$M410&lt;&gt;1)),
IF(Import.TipoArredondamento&lt;&gt;"TransfereGOV",
ROUND(OFFSET($P410,0,AL$13),15-13*ORÇAMENTO!$AF$7)/$H410*OFFSET(ORÇAMENTO!$X$15,ROW(AL410)-ROW(AL$15),0),
ROUND(ROUND(OFFSET($P410,0,AL$13),15-13*ORÇAMENTO!$AF$7)*OFFSET(ORÇAMENTO!$W$15,ROW(AL410)-ROW(AL$15),0),15-13*ORÇAMENTO!$AF$11)),0)</f>
        <v>0</v>
      </c>
      <c r="AM410" s="545">
        <f ca="1">IF(AND($D410="Serviço",AM$12&lt;&gt;0,$H410&gt;0,OR(AUTOEVENTO&lt;&gt;"manual",$M410&lt;&gt;1)),
IF(Import.TipoArredondamento&lt;&gt;"TransfereGOV",
ROUND(OFFSET($P410,0,AM$13),15-13*ORÇAMENTO!$AF$7)/$H410*OFFSET(ORÇAMENTO!$X$15,ROW(AM410)-ROW(AM$15),0),
ROUND(ROUND(OFFSET($P410,0,AM$13),15-13*ORÇAMENTO!$AF$7)*OFFSET(ORÇAMENTO!$W$15,ROW(AM410)-ROW(AM$15),0),15-13*ORÇAMENTO!$AF$11)),0)</f>
        <v>0</v>
      </c>
      <c r="AN410" s="545">
        <f ca="1">IF(AND($D410="Serviço",AN$12&lt;&gt;0,$H410&gt;0,OR(AUTOEVENTO&lt;&gt;"manual",$M410&lt;&gt;1)),
IF(Import.TipoArredondamento&lt;&gt;"TransfereGOV",
ROUND(OFFSET($P410,0,AN$13),15-13*ORÇAMENTO!$AF$7)/$H410*OFFSET(ORÇAMENTO!$X$15,ROW(AN410)-ROW(AN$15),0),
ROUND(ROUND(OFFSET($P410,0,AN$13),15-13*ORÇAMENTO!$AF$7)*OFFSET(ORÇAMENTO!$W$15,ROW(AN410)-ROW(AN$15),0),15-13*ORÇAMENTO!$AF$11)),0)</f>
        <v>0</v>
      </c>
      <c r="AO410" s="545">
        <f ca="1">IF(AND($D410="Serviço",AO$12&lt;&gt;0,$H410&gt;0,OR(AUTOEVENTO&lt;&gt;"manual",$M410&lt;&gt;1)),
IF(Import.TipoArredondamento&lt;&gt;"TransfereGOV",
ROUND(OFFSET($P410,0,AO$13),15-13*ORÇAMENTO!$AF$7)/$H410*OFFSET(ORÇAMENTO!$X$15,ROW(AO410)-ROW(AO$15),0),
ROUND(ROUND(OFFSET($P410,0,AO$13),15-13*ORÇAMENTO!$AF$7)*OFFSET(ORÇAMENTO!$W$15,ROW(AO410)-ROW(AO$15),0),15-13*ORÇAMENTO!$AF$11)),0)</f>
        <v>0</v>
      </c>
      <c r="AP410" s="545">
        <f ca="1">IF(AND($D410="Serviço",AP$12&lt;&gt;0,$H410&gt;0,OR(AUTOEVENTO&lt;&gt;"manual",$M410&lt;&gt;1)),
IF(Import.TipoArredondamento&lt;&gt;"TransfereGOV",
ROUND(OFFSET($P410,0,AP$13),15-13*ORÇAMENTO!$AF$7)/$H410*OFFSET(ORÇAMENTO!$X$15,ROW(AP410)-ROW(AP$15),0),
ROUND(ROUND(OFFSET($P410,0,AP$13),15-13*ORÇAMENTO!$AF$7)*OFFSET(ORÇAMENTO!$W$15,ROW(AP410)-ROW(AP$15),0),15-13*ORÇAMENTO!$AF$11)),0)</f>
        <v>0</v>
      </c>
      <c r="AQ410" s="545">
        <f ca="1">IF(AND($D410="Serviço",AQ$12&lt;&gt;0,$H410&gt;0,OR(AUTOEVENTO&lt;&gt;"manual",$M410&lt;&gt;1)),
IF(Import.TipoArredondamento&lt;&gt;"TransfereGOV",
ROUND(OFFSET($P410,0,AQ$13),15-13*ORÇAMENTO!$AF$7)/$H410*OFFSET(ORÇAMENTO!$X$15,ROW(AQ410)-ROW(AQ$15),0),
ROUND(ROUND(OFFSET($P410,0,AQ$13),15-13*ORÇAMENTO!$AF$7)*OFFSET(ORÇAMENTO!$W$15,ROW(AQ410)-ROW(AQ$15),0),15-13*ORÇAMENTO!$AF$11)),0)</f>
        <v>0</v>
      </c>
      <c r="AR410" s="545">
        <f ca="1">IF(AND($D410="Serviço",AR$12&lt;&gt;0,$H410&gt;0,OR(AUTOEVENTO&lt;&gt;"manual",$M410&lt;&gt;1)),
IF(Import.TipoArredondamento&lt;&gt;"TransfereGOV",
ROUND(OFFSET($P410,0,AR$13),15-13*ORÇAMENTO!$AF$7)/$H410*OFFSET(ORÇAMENTO!$X$15,ROW(AR410)-ROW(AR$15),0),
ROUND(ROUND(OFFSET($P410,0,AR$13),15-13*ORÇAMENTO!$AF$7)*OFFSET(ORÇAMENTO!$W$15,ROW(AR410)-ROW(AR$15),0),15-13*ORÇAMENTO!$AF$11)),0)</f>
        <v>0</v>
      </c>
      <c r="AS410" s="546">
        <f ca="1">IF(AND($D410="Serviço",AS$12&lt;&gt;0,$H410&gt;0,OR(AUTOEVENTO&lt;&gt;"manual",$M410&lt;&gt;1)),
IF(Import.TipoArredondamento&lt;&gt;"TransfereGOV",
ROUND(OFFSET($P410,0,AS$13),15-13*ORÇAMENTO!$AF$7)/$H410*OFFSET(ORÇAMENTO!$X$15,ROW(AS410)-ROW(AS$15),0),
ROUND(ROUND(OFFSET($P410,0,AS$13),15-13*ORÇAMENTO!$AF$7)*OFFSET(ORÇAMENTO!$W$15,ROW(AS410)-ROW(AS$15),0),15-13*ORÇAMENTO!$AF$11)),0)</f>
        <v>0</v>
      </c>
      <c r="AT410" s="545">
        <f ca="1">IF(AND($D410="Serviço",AT$12&lt;&gt;0,$H410&gt;0,OR(AUTOEVENTO&lt;&gt;"manual",$M410&lt;&gt;1)),
IF(Import.TipoArredondamento&lt;&gt;"TransfereGOV",
ROUND(OFFSET($P410,0,AT$13),15-13*ORÇAMENTO!$AF$7)/$H410*OFFSET(ORÇAMENTO!$X$15,ROW(AT410)-ROW(AT$15),0),
ROUND(ROUND(OFFSET($P410,0,AT$13),15-13*ORÇAMENTO!$AF$7)*OFFSET(ORÇAMENTO!$W$15,ROW(AT410)-ROW(AT$15),0),15-13*ORÇAMENTO!$AF$11)),0)</f>
        <v>0</v>
      </c>
      <c r="AU410" s="545">
        <f ca="1">IF(AND($D410="Serviço",AU$12&lt;&gt;0,$H410&gt;0,OR(AUTOEVENTO&lt;&gt;"manual",$M410&lt;&gt;1)),
IF(Import.TipoArredondamento&lt;&gt;"TransfereGOV",
ROUND(OFFSET($P410,0,AU$13),15-13*ORÇAMENTO!$AF$7)/$H410*OFFSET(ORÇAMENTO!$X$15,ROW(AU410)-ROW(AU$15),0),
ROUND(ROUND(OFFSET($P410,0,AU$13),15-13*ORÇAMENTO!$AF$7)*OFFSET(ORÇAMENTO!$W$15,ROW(AU410)-ROW(AU$15),0),15-13*ORÇAMENTO!$AF$11)),0)</f>
        <v>0</v>
      </c>
      <c r="AV410" s="545">
        <f ca="1">IF(AND($D410="Serviço",AV$12&lt;&gt;0,$H410&gt;0,OR(AUTOEVENTO&lt;&gt;"manual",$M410&lt;&gt;1)),
IF(Import.TipoArredondamento&lt;&gt;"TransfereGOV",
ROUND(OFFSET($P410,0,AV$13),15-13*ORÇAMENTO!$AF$7)/$H410*OFFSET(ORÇAMENTO!$X$15,ROW(AV410)-ROW(AV$15),0),
ROUND(ROUND(OFFSET($P410,0,AV$13),15-13*ORÇAMENTO!$AF$7)*OFFSET(ORÇAMENTO!$W$15,ROW(AV410)-ROW(AV$15),0),15-13*ORÇAMENTO!$AF$11)),0)</f>
        <v>0</v>
      </c>
      <c r="AW410" s="545">
        <f ca="1">IF(AND($D410="Serviço",AW$12&lt;&gt;0,$H410&gt;0,OR(AUTOEVENTO&lt;&gt;"manual",$M410&lt;&gt;1)),
IF(Import.TipoArredondamento&lt;&gt;"TransfereGOV",
ROUND(OFFSET($P410,0,AW$13),15-13*ORÇAMENTO!$AF$7)/$H410*OFFSET(ORÇAMENTO!$X$15,ROW(AW410)-ROW(AW$15),0),
ROUND(ROUND(OFFSET($P410,0,AW$13),15-13*ORÇAMENTO!$AF$7)*OFFSET(ORÇAMENTO!$W$15,ROW(AW410)-ROW(AW$15),0),15-13*ORÇAMENTO!$AF$11)),0)</f>
        <v>0</v>
      </c>
      <c r="AX410" s="545">
        <f ca="1">IF(AND($D410="Serviço",AX$12&lt;&gt;0,$H410&gt;0,OR(AUTOEVENTO&lt;&gt;"manual",$M410&lt;&gt;1)),
IF(Import.TipoArredondamento&lt;&gt;"TransfereGOV",
ROUND(OFFSET($P410,0,AX$13),15-13*ORÇAMENTO!$AF$7)/$H410*OFFSET(ORÇAMENTO!$X$15,ROW(AX410)-ROW(AX$15),0),
ROUND(ROUND(OFFSET($P410,0,AX$13),15-13*ORÇAMENTO!$AF$7)*OFFSET(ORÇAMENTO!$W$15,ROW(AX410)-ROW(AX$15),0),15-13*ORÇAMENTO!$AF$11)),0)</f>
        <v>0</v>
      </c>
      <c r="AY410" s="545">
        <f ca="1">IF(AND($D410="Serviço",AY$12&lt;&gt;0,$H410&gt;0,OR(AUTOEVENTO&lt;&gt;"manual",$M410&lt;&gt;1)),
IF(Import.TipoArredondamento&lt;&gt;"TransfereGOV",
ROUND(OFFSET($P410,0,AY$13),15-13*ORÇAMENTO!$AF$7)/$H410*OFFSET(ORÇAMENTO!$X$15,ROW(AY410)-ROW(AY$15),0),
ROUND(ROUND(OFFSET($P410,0,AY$13),15-13*ORÇAMENTO!$AF$7)*OFFSET(ORÇAMENTO!$W$15,ROW(AY410)-ROW(AY$15),0),15-13*ORÇAMENTO!$AF$11)),0)</f>
        <v>0</v>
      </c>
      <c r="AZ410" s="545">
        <f ca="1">IF(AND($D410="Serviço",AZ$12&lt;&gt;0,$H410&gt;0,OR(AUTOEVENTO&lt;&gt;"manual",$M410&lt;&gt;1)),
IF(Import.TipoArredondamento&lt;&gt;"TransfereGOV",
ROUND(OFFSET($P410,0,AZ$13),15-13*ORÇAMENTO!$AF$7)/$H410*OFFSET(ORÇAMENTO!$X$15,ROW(AZ410)-ROW(AZ$15),0),
ROUND(ROUND(OFFSET($P410,0,AZ$13),15-13*ORÇAMENTO!$AF$7)*OFFSET(ORÇAMENTO!$W$15,ROW(AZ410)-ROW(AZ$15),0),15-13*ORÇAMENTO!$AF$11)),0)</f>
        <v>0</v>
      </c>
      <c r="BA410" s="546">
        <f ca="1">IF(AND($D410="Serviço",BA$12&lt;&gt;0,$H410&gt;0,OR(AUTOEVENTO&lt;&gt;"manual",$M410&lt;&gt;1)),
IF(Import.TipoArredondamento&lt;&gt;"TransfereGOV",
ROUND(OFFSET($P410,0,BA$13),15-13*ORÇAMENTO!$AF$7)/$H410*OFFSET(ORÇAMENTO!$X$15,ROW(BA410)-ROW(BA$15),0),
ROUND(ROUND(OFFSET($P410,0,BA$13),15-13*ORÇAMENTO!$AF$7)*OFFSET(ORÇAMENTO!$W$15,ROW(BA410)-ROW(BA$15),0),15-13*ORÇAMENTO!$AF$11)),0)</f>
        <v>0</v>
      </c>
      <c r="BC410" s="181">
        <f ca="1">IF($D410&lt;&gt;"Serviço",0,IF(AND(AUTOEVENTO="Manual",$M410=1),0,IF(OFFSET(CRONOPLE!$F$14,$M410,BC$13)="",10^12,OFFSET(CRONOPLE!$F$14,$M410,BC$13))))</f>
        <v>10</v>
      </c>
      <c r="BD410" s="181">
        <f ca="1">IF($D410&lt;&gt;"Serviço",0,IF(AND(AUTOEVENTO="Manual",$M410=1),0,IF(OFFSET(CRONOPLE!$F$14,$M410,BD$13)="",10^12,OFFSET(CRONOPLE!$F$14,$M410,BD$13))))</f>
        <v>1000000000000</v>
      </c>
      <c r="BE410" s="181">
        <f ca="1">IF($D410&lt;&gt;"Serviço",0,IF(AND(AUTOEVENTO="Manual",$M410=1),0,IF(OFFSET(CRONOPLE!$F$14,$M410,BE$13)="",10^12,OFFSET(CRONOPLE!$F$14,$M410,BE$13))))</f>
        <v>1000000000000</v>
      </c>
      <c r="BF410" s="181">
        <f ca="1">IF($D410&lt;&gt;"Serviço",0,IF(AND(AUTOEVENTO="Manual",$M410=1),0,IF(OFFSET(CRONOPLE!$F$14,$M410,BF$13)="",10^12,OFFSET(CRONOPLE!$F$14,$M410,BF$13))))</f>
        <v>1000000000000</v>
      </c>
      <c r="BG410" s="181">
        <f ca="1">IF($D410&lt;&gt;"Serviço",0,IF(AND(AUTOEVENTO="Manual",$M410=1),0,IF(OFFSET(CRONOPLE!$F$14,$M410,BG$13)="",10^12,OFFSET(CRONOPLE!$F$14,$M410,BG$13))))</f>
        <v>1000000000000</v>
      </c>
      <c r="BH410" s="181">
        <f ca="1">IF($D410&lt;&gt;"Serviço",0,IF(AND(AUTOEVENTO="Manual",$M410=1),0,IF(OFFSET(CRONOPLE!$F$14,$M410,BH$13)="",10^12,OFFSET(CRONOPLE!$F$14,$M410,BH$13))))</f>
        <v>1000000000000</v>
      </c>
      <c r="BI410" s="181">
        <f ca="1">IF($D410&lt;&gt;"Serviço",0,IF(AND(AUTOEVENTO="Manual",$M410=1),0,IF(OFFSET(CRONOPLE!$F$14,$M410,BI$13)="",10^12,OFFSET(CRONOPLE!$F$14,$M410,BI$13))))</f>
        <v>1000000000000</v>
      </c>
      <c r="BJ410" s="181">
        <f ca="1">IF($D410&lt;&gt;"Serviço",0,IF(AND(AUTOEVENTO="Manual",$M410=1),0,IF(OFFSET(CRONOPLE!$F$14,$M410,BJ$13)="",10^12,OFFSET(CRONOPLE!$F$14,$M410,BJ$13))))</f>
        <v>1000000000000</v>
      </c>
      <c r="BK410" s="181">
        <f ca="1">IF($D410&lt;&gt;"Serviço",0,IF(AND(AUTOEVENTO="Manual",$M410=1),0,IF(OFFSET(CRONOPLE!$F$14,$M410,BK$13)="",10^12,OFFSET(CRONOPLE!$F$14,$M410,BK$13))))</f>
        <v>1000000000000</v>
      </c>
      <c r="BL410" s="181">
        <f ca="1">IF($D410&lt;&gt;"Serviço",0,IF(AND(AUTOEVENTO="Manual",$M410=1),0,IF(OFFSET(CRONOPLE!$F$14,$M410,BL$13)="",10^12,OFFSET(CRONOPLE!$F$14,$M410,BL$13))))</f>
        <v>1000000000000</v>
      </c>
      <c r="BM410" s="181">
        <f ca="1">IF($D410&lt;&gt;"Serviço",0,IF(AND(AUTOEVENTO="Manual",$M410=1),0,IF(OFFSET(CRONOPLE!$F$14,$M410,BM$13)="",10^12,OFFSET(CRONOPLE!$F$14,$M410,BM$13))))</f>
        <v>1000000000000</v>
      </c>
      <c r="BN410" s="181">
        <f ca="1">IF($D410&lt;&gt;"Serviço",0,IF(AND(AUTOEVENTO="Manual",$M410=1),0,IF(OFFSET(CRONOPLE!$F$14,$M410,BN$13)="",10^12,OFFSET(CRONOPLE!$F$14,$M410,BN$13))))</f>
        <v>1000000000000</v>
      </c>
      <c r="BO410" s="181">
        <f ca="1">IF($D410&lt;&gt;"Serviço",0,IF(AND(AUTOEVENTO="Manual",$M410=1),0,IF(OFFSET(CRONOPLE!$F$14,$M410,BO$13)="",10^12,OFFSET(CRONOPLE!$F$14,$M410,BO$13))))</f>
        <v>1000000000000</v>
      </c>
      <c r="BP410" s="181">
        <f ca="1">IF($D410&lt;&gt;"Serviço",0,IF(AND(AUTOEVENTO="Manual",$M410=1),0,IF(OFFSET(CRONOPLE!$F$14,$M410,BP$13)="",10^12,OFFSET(CRONOPLE!$F$14,$M410,BP$13))))</f>
        <v>1000000000000</v>
      </c>
      <c r="BQ410" s="181">
        <f ca="1">IF($D410&lt;&gt;"Serviço",0,IF(AND(AUTOEVENTO="Manual",$M410=1),0,IF(OFFSET(CRONOPLE!$F$14,$M410,BQ$13)="",10^12,OFFSET(CRONOPLE!$F$14,$M410,BQ$13))))</f>
        <v>1000000000000</v>
      </c>
      <c r="BR410" s="181">
        <f ca="1">IF($D410&lt;&gt;"Serviço",0,IF(AND(AUTOEVENTO="Manual",$M410=1),0,IF(OFFSET(CRONOPLE!$F$14,$M410,BR$13)="",10^12,OFFSET(CRONOPLE!$F$14,$M410,BR$13))))</f>
        <v>1000000000000</v>
      </c>
      <c r="BS410" s="181">
        <f ca="1">IF($D410&lt;&gt;"Serviço",0,IF(AND(AUTOEVENTO="Manual",$M410=1),0,IF(OFFSET(CRONOPLE!$F$14,$M410,BS$13)="",10^12,OFFSET(CRONOPLE!$F$14,$M410,BS$13))))</f>
        <v>1000000000000</v>
      </c>
      <c r="BT410" s="181">
        <f ca="1">IF($D410&lt;&gt;"Serviço",0,IF(AND(AUTOEVENTO="Manual",$M410=1),0,IF(OFFSET(CRONOPLE!$F$14,$M410,BT$13)="",10^12,OFFSET(CRONOPLE!$F$14,$M410,BT$13))))</f>
        <v>1000000000000</v>
      </c>
      <c r="BV410" s="182">
        <f ca="1">IF($D410&lt;&gt;"Serviço",0,IF(OR(AND(AUTOEVENTO="Manual",$M410=1),$M410&gt;(ROW(PLE.lastrow)-ROW(PLE.firstrow))),0,IF(OFFSET(PLE!$G$14,$M410,BV$13)="",10^12,OFFSET(PLE!$G$14,$M410,BV$13))))</f>
        <v>1000000000000</v>
      </c>
      <c r="BW410" s="182">
        <f ca="1">IF($D410&lt;&gt;"Serviço",0,IF(OR(AND(AUTOEVENTO="Manual",$M410=1),$M410&gt;(ROW(PLE.lastrow)-ROW(PLE.firstrow))),0,IF(OFFSET(PLE!$G$14,$M410,BW$13)="",10^12,OFFSET(PLE!$G$14,$M410,BW$13))))</f>
        <v>1000000000000</v>
      </c>
      <c r="BX410" s="182">
        <f ca="1">IF($D410&lt;&gt;"Serviço",0,IF(OR(AND(AUTOEVENTO="Manual",$M410=1),$M410&gt;(ROW(PLE.lastrow)-ROW(PLE.firstrow))),0,IF(OFFSET(PLE!$G$14,$M410,BX$13)="",10^12,OFFSET(PLE!$G$14,$M410,BX$13))))</f>
        <v>1000000000000</v>
      </c>
      <c r="BY410" s="182">
        <f ca="1">IF($D410&lt;&gt;"Serviço",0,IF(OR(AND(AUTOEVENTO="Manual",$M410=1),$M410&gt;(ROW(PLE.lastrow)-ROW(PLE.firstrow))),0,IF(OFFSET(PLE!$G$14,$M410,BY$13)="",10^12,OFFSET(PLE!$G$14,$M410,BY$13))))</f>
        <v>1000000000000</v>
      </c>
      <c r="BZ410" s="182">
        <f ca="1">IF($D410&lt;&gt;"Serviço",0,IF(OR(AND(AUTOEVENTO="Manual",$M410=1),$M410&gt;(ROW(PLE.lastrow)-ROW(PLE.firstrow))),0,IF(OFFSET(PLE!$G$14,$M410,BZ$13)="",10^12,OFFSET(PLE!$G$14,$M410,BZ$13))))</f>
        <v>1000000000000</v>
      </c>
      <c r="CA410" s="182">
        <f ca="1">IF($D410&lt;&gt;"Serviço",0,IF(OR(AND(AUTOEVENTO="Manual",$M410=1),$M410&gt;(ROW(PLE.lastrow)-ROW(PLE.firstrow))),0,IF(OFFSET(PLE!$G$14,$M410,CA$13)="",10^12,OFFSET(PLE!$G$14,$M410,CA$13))))</f>
        <v>1000000000000</v>
      </c>
      <c r="CB410" s="182">
        <f ca="1">IF($D410&lt;&gt;"Serviço",0,IF(OR(AND(AUTOEVENTO="Manual",$M410=1),$M410&gt;(ROW(PLE.lastrow)-ROW(PLE.firstrow))),0,IF(OFFSET(PLE!$G$14,$M410,CB$13)="",10^12,OFFSET(PLE!$G$14,$M410,CB$13))))</f>
        <v>1000000000000</v>
      </c>
      <c r="CC410" s="182">
        <f ca="1">IF($D410&lt;&gt;"Serviço",0,IF(OR(AND(AUTOEVENTO="Manual",$M410=1),$M410&gt;(ROW(PLE.lastrow)-ROW(PLE.firstrow))),0,IF(OFFSET(PLE!$G$14,$M410,CC$13)="",10^12,OFFSET(PLE!$G$14,$M410,CC$13))))</f>
        <v>1000000000000</v>
      </c>
      <c r="CD410" s="182">
        <f ca="1">IF($D410&lt;&gt;"Serviço",0,IF(OR(AND(AUTOEVENTO="Manual",$M410=1),$M410&gt;(ROW(PLE.lastrow)-ROW(PLE.firstrow))),0,IF(OFFSET(PLE!$G$14,$M410,CD$13)="",10^12,OFFSET(PLE!$G$14,$M410,CD$13))))</f>
        <v>1000000000000</v>
      </c>
      <c r="CE410" s="182">
        <f ca="1">IF($D410&lt;&gt;"Serviço",0,IF(OR(AND(AUTOEVENTO="Manual",$M410=1),$M410&gt;(ROW(PLE.lastrow)-ROW(PLE.firstrow))),0,IF(OFFSET(PLE!$G$14,$M410,CE$13)="",10^12,OFFSET(PLE!$G$14,$M410,CE$13))))</f>
        <v>1000000000000</v>
      </c>
      <c r="CF410" s="182">
        <f ca="1">IF($D410&lt;&gt;"Serviço",0,IF(OR(AND(AUTOEVENTO="Manual",$M410=1),$M410&gt;(ROW(PLE.lastrow)-ROW(PLE.firstrow))),0,IF(OFFSET(PLE!$G$14,$M410,CF$13)="",10^12,OFFSET(PLE!$G$14,$M410,CF$13))))</f>
        <v>1000000000000</v>
      </c>
      <c r="CG410" s="182">
        <f ca="1">IF($D410&lt;&gt;"Serviço",0,IF(OR(AND(AUTOEVENTO="Manual",$M410=1),$M410&gt;(ROW(PLE.lastrow)-ROW(PLE.firstrow))),0,IF(OFFSET(PLE!$G$14,$M410,CG$13)="",10^12,OFFSET(PLE!$G$14,$M410,CG$13))))</f>
        <v>1000000000000</v>
      </c>
      <c r="CH410" s="182">
        <f ca="1">IF($D410&lt;&gt;"Serviço",0,IF(OR(AND(AUTOEVENTO="Manual",$M410=1),$M410&gt;(ROW(PLE.lastrow)-ROW(PLE.firstrow))),0,IF(OFFSET(PLE!$G$14,$M410,CH$13)="",10^12,OFFSET(PLE!$G$14,$M410,CH$13))))</f>
        <v>1000000000000</v>
      </c>
      <c r="CI410" s="182">
        <f ca="1">IF($D410&lt;&gt;"Serviço",0,IF(OR(AND(AUTOEVENTO="Manual",$M410=1),$M410&gt;(ROW(PLE.lastrow)-ROW(PLE.firstrow))),0,IF(OFFSET(PLE!$G$14,$M410,CI$13)="",10^12,OFFSET(PLE!$G$14,$M410,CI$13))))</f>
        <v>1000000000000</v>
      </c>
      <c r="CJ410" s="182">
        <f ca="1">IF($D410&lt;&gt;"Serviço",0,IF(OR(AND(AUTOEVENTO="Manual",$M410=1),$M410&gt;(ROW(PLE.lastrow)-ROW(PLE.firstrow))),0,IF(OFFSET(PLE!$G$14,$M410,CJ$13)="",10^12,OFFSET(PLE!$G$14,$M410,CJ$13))))</f>
        <v>1000000000000</v>
      </c>
      <c r="CK410" s="182">
        <f ca="1">IF($D410&lt;&gt;"Serviço",0,IF(OR(AND(AUTOEVENTO="Manual",$M410=1),$M410&gt;(ROW(PLE.lastrow)-ROW(PLE.firstrow))),0,IF(OFFSET(PLE!$G$14,$M410,CK$13)="",10^12,OFFSET(PLE!$G$14,$M410,CK$13))))</f>
        <v>1000000000000</v>
      </c>
      <c r="CL410" s="182">
        <f ca="1">IF($D410&lt;&gt;"Serviço",0,IF(OR(AND(AUTOEVENTO="Manual",$M410=1),$M410&gt;(ROW(PLE.lastrow)-ROW(PLE.firstrow))),0,IF(OFFSET(PLE!$G$14,$M410,CL$13)="",10^12,OFFSET(PLE!$G$14,$M410,CL$13))))</f>
        <v>1000000000000</v>
      </c>
      <c r="CM410" s="182">
        <f ca="1">IF($D410&lt;&gt;"Serviço",0,IF(OR(AND(AUTOEVENTO="Manual",$M410=1),$M410&gt;(ROW(PLE.lastrow)-ROW(PLE.firstrow))),0,IF(OFFSET(PLE!$G$14,$M410,CM$13)="",10^12,OFFSET(PLE!$G$14,$M410,CM$13))))</f>
        <v>1000000000000</v>
      </c>
    </row>
    <row r="411" spans="1:91" ht="25.5" x14ac:dyDescent="0.2">
      <c r="A411" s="7" t="str">
        <f t="shared" ca="1" si="13"/>
        <v>387</v>
      </c>
      <c r="B411" s="7" t="str">
        <f ca="1">OFFSET(ORÇAMENTO!C$15,ROW(B411)-ROW(B$15),0)</f>
        <v>S</v>
      </c>
      <c r="C411" s="7" t="str">
        <f ca="1">OFFSET(ORÇAMENTO!L$15,ROW(C411)-ROW(C$15),0)</f>
        <v/>
      </c>
      <c r="D411" s="118" t="str">
        <f ca="1">OFFSET(ORÇAMENTO!N$15,ROW(D411)-ROW(D$15),0)</f>
        <v>Serviço</v>
      </c>
      <c r="E411" s="119" t="str">
        <f ca="1">OFFSET(ORÇAMENTO!O$15,ROW(E411)-ROW(E$15),0)</f>
        <v>-</v>
      </c>
      <c r="F411" s="172" t="str">
        <f ca="1">OFFSET(ORÇAMENTO!R$15,ROW(F411)-ROW(F$15),0)</f>
        <v>(abra o arquivo 'Referência 06-2024.xlsm)</v>
      </c>
      <c r="G411" s="173" t="str">
        <f ca="1">IF($D411&lt;&gt;"Serviço","",OFFSET(ORÇAMENTO!S$15,ROW(G411)-ROW(G$15),0))</f>
        <v>-</v>
      </c>
      <c r="H411" s="124">
        <f ca="1">IF($D411&lt;&gt;"Serviço",0,IF(ACOMPANHAMENTO="BM",ROUND(OFFSET(ORÇAMENTO!AJ$15,ROW(H411)-ROW(H$15),0),15-13*ORÇAMENTO!$AF$7),SUMPRODUCT(($Q$12:$AI$12&lt;&gt;"")*ROUND($Q411:$AI411,15-13*ORÇAMENTO!$AF$7))))</f>
        <v>4</v>
      </c>
      <c r="I411" s="561" t="s">
        <v>1107</v>
      </c>
      <c r="K411" s="174"/>
      <c r="L411" s="175" t="s">
        <v>255</v>
      </c>
      <c r="M411" s="176">
        <f ca="1">IF($D411&lt;&gt;"Serviço","",IF(AUTOEVENTO="manual",$A411,IF(ISERROR(MATCH($A411,$A$15:OFFSET($A411,-1,0),0)),MAX($M$15:OFFSET(M411,-1,0))+1,INDEX($M$15:OFFSET(M411,-1,0),MATCH($A411,$A$15:OFFSET($A411,-1,0),0)))))</f>
        <v>45</v>
      </c>
      <c r="N411" s="177" t="str">
        <f ca="1">IF($D411&lt;&gt;"Serviço","",IF(AUTOEVENTO="Manual",IF($A411=0,"&lt;-- defina o número do agrupador",OFFSET(EVENTOS!$D$14,$A411,0)),OFFSET($F$15,$A411,0)))</f>
        <v>INSTALAÇÃO DE GÁS COMBUSTÍVEL</v>
      </c>
      <c r="O411" s="178"/>
      <c r="Q411" s="178">
        <v>4</v>
      </c>
      <c r="R411" s="179"/>
      <c r="S411" s="179"/>
      <c r="T411" s="179"/>
      <c r="U411" s="179"/>
      <c r="V411" s="179"/>
      <c r="W411" s="179"/>
      <c r="X411" s="179"/>
      <c r="Y411" s="179"/>
      <c r="Z411" s="180"/>
      <c r="AA411" s="179"/>
      <c r="AB411" s="179"/>
      <c r="AC411" s="179"/>
      <c r="AD411" s="179"/>
      <c r="AE411" s="179"/>
      <c r="AF411" s="179"/>
      <c r="AG411" s="179"/>
      <c r="AH411" s="180"/>
      <c r="AJ411" s="544">
        <f ca="1">IF(AND($D411="Serviço",AJ$12&lt;&gt;0,$H411&gt;0,OR(AUTOEVENTO&lt;&gt;"manual",$M411&lt;&gt;1)),
IF(Import.TipoArredondamento&lt;&gt;"TransfereGOV",
ROUND(OFFSET($P411,0,AJ$13),15-13*ORÇAMENTO!$AF$7)/$H411*OFFSET(ORÇAMENTO!$X$15,ROW(AJ411)-ROW(AJ$15),0),
ROUND(ROUND(OFFSET($P411,0,AJ$13),15-13*ORÇAMENTO!$AF$7)*OFFSET(ORÇAMENTO!$W$15,ROW(AJ411)-ROW(AJ$15),0),15-13*ORÇAMENTO!$AF$11)),0)</f>
        <v>0</v>
      </c>
      <c r="AK411" s="545">
        <f ca="1">IF(AND($D411="Serviço",AK$12&lt;&gt;0,$H411&gt;0,OR(AUTOEVENTO&lt;&gt;"manual",$M411&lt;&gt;1)),
IF(Import.TipoArredondamento&lt;&gt;"TransfereGOV",
ROUND(OFFSET($P411,0,AK$13),15-13*ORÇAMENTO!$AF$7)/$H411*OFFSET(ORÇAMENTO!$X$15,ROW(AK411)-ROW(AK$15),0),
ROUND(ROUND(OFFSET($P411,0,AK$13),15-13*ORÇAMENTO!$AF$7)*OFFSET(ORÇAMENTO!$W$15,ROW(AK411)-ROW(AK$15),0),15-13*ORÇAMENTO!$AF$11)),0)</f>
        <v>0</v>
      </c>
      <c r="AL411" s="545">
        <f ca="1">IF(AND($D411="Serviço",AL$12&lt;&gt;0,$H411&gt;0,OR(AUTOEVENTO&lt;&gt;"manual",$M411&lt;&gt;1)),
IF(Import.TipoArredondamento&lt;&gt;"TransfereGOV",
ROUND(OFFSET($P411,0,AL$13),15-13*ORÇAMENTO!$AF$7)/$H411*OFFSET(ORÇAMENTO!$X$15,ROW(AL411)-ROW(AL$15),0),
ROUND(ROUND(OFFSET($P411,0,AL$13),15-13*ORÇAMENTO!$AF$7)*OFFSET(ORÇAMENTO!$W$15,ROW(AL411)-ROW(AL$15),0),15-13*ORÇAMENTO!$AF$11)),0)</f>
        <v>0</v>
      </c>
      <c r="AM411" s="545">
        <f ca="1">IF(AND($D411="Serviço",AM$12&lt;&gt;0,$H411&gt;0,OR(AUTOEVENTO&lt;&gt;"manual",$M411&lt;&gt;1)),
IF(Import.TipoArredondamento&lt;&gt;"TransfereGOV",
ROUND(OFFSET($P411,0,AM$13),15-13*ORÇAMENTO!$AF$7)/$H411*OFFSET(ORÇAMENTO!$X$15,ROW(AM411)-ROW(AM$15),0),
ROUND(ROUND(OFFSET($P411,0,AM$13),15-13*ORÇAMENTO!$AF$7)*OFFSET(ORÇAMENTO!$W$15,ROW(AM411)-ROW(AM$15),0),15-13*ORÇAMENTO!$AF$11)),0)</f>
        <v>0</v>
      </c>
      <c r="AN411" s="545">
        <f ca="1">IF(AND($D411="Serviço",AN$12&lt;&gt;0,$H411&gt;0,OR(AUTOEVENTO&lt;&gt;"manual",$M411&lt;&gt;1)),
IF(Import.TipoArredondamento&lt;&gt;"TransfereGOV",
ROUND(OFFSET($P411,0,AN$13),15-13*ORÇAMENTO!$AF$7)/$H411*OFFSET(ORÇAMENTO!$X$15,ROW(AN411)-ROW(AN$15),0),
ROUND(ROUND(OFFSET($P411,0,AN$13),15-13*ORÇAMENTO!$AF$7)*OFFSET(ORÇAMENTO!$W$15,ROW(AN411)-ROW(AN$15),0),15-13*ORÇAMENTO!$AF$11)),0)</f>
        <v>0</v>
      </c>
      <c r="AO411" s="545">
        <f ca="1">IF(AND($D411="Serviço",AO$12&lt;&gt;0,$H411&gt;0,OR(AUTOEVENTO&lt;&gt;"manual",$M411&lt;&gt;1)),
IF(Import.TipoArredondamento&lt;&gt;"TransfereGOV",
ROUND(OFFSET($P411,0,AO$13),15-13*ORÇAMENTO!$AF$7)/$H411*OFFSET(ORÇAMENTO!$X$15,ROW(AO411)-ROW(AO$15),0),
ROUND(ROUND(OFFSET($P411,0,AO$13),15-13*ORÇAMENTO!$AF$7)*OFFSET(ORÇAMENTO!$W$15,ROW(AO411)-ROW(AO$15),0),15-13*ORÇAMENTO!$AF$11)),0)</f>
        <v>0</v>
      </c>
      <c r="AP411" s="545">
        <f ca="1">IF(AND($D411="Serviço",AP$12&lt;&gt;0,$H411&gt;0,OR(AUTOEVENTO&lt;&gt;"manual",$M411&lt;&gt;1)),
IF(Import.TipoArredondamento&lt;&gt;"TransfereGOV",
ROUND(OFFSET($P411,0,AP$13),15-13*ORÇAMENTO!$AF$7)/$H411*OFFSET(ORÇAMENTO!$X$15,ROW(AP411)-ROW(AP$15),0),
ROUND(ROUND(OFFSET($P411,0,AP$13),15-13*ORÇAMENTO!$AF$7)*OFFSET(ORÇAMENTO!$W$15,ROW(AP411)-ROW(AP$15),0),15-13*ORÇAMENTO!$AF$11)),0)</f>
        <v>0</v>
      </c>
      <c r="AQ411" s="545">
        <f ca="1">IF(AND($D411="Serviço",AQ$12&lt;&gt;0,$H411&gt;0,OR(AUTOEVENTO&lt;&gt;"manual",$M411&lt;&gt;1)),
IF(Import.TipoArredondamento&lt;&gt;"TransfereGOV",
ROUND(OFFSET($P411,0,AQ$13),15-13*ORÇAMENTO!$AF$7)/$H411*OFFSET(ORÇAMENTO!$X$15,ROW(AQ411)-ROW(AQ$15),0),
ROUND(ROUND(OFFSET($P411,0,AQ$13),15-13*ORÇAMENTO!$AF$7)*OFFSET(ORÇAMENTO!$W$15,ROW(AQ411)-ROW(AQ$15),0),15-13*ORÇAMENTO!$AF$11)),0)</f>
        <v>0</v>
      </c>
      <c r="AR411" s="545">
        <f ca="1">IF(AND($D411="Serviço",AR$12&lt;&gt;0,$H411&gt;0,OR(AUTOEVENTO&lt;&gt;"manual",$M411&lt;&gt;1)),
IF(Import.TipoArredondamento&lt;&gt;"TransfereGOV",
ROUND(OFFSET($P411,0,AR$13),15-13*ORÇAMENTO!$AF$7)/$H411*OFFSET(ORÇAMENTO!$X$15,ROW(AR411)-ROW(AR$15),0),
ROUND(ROUND(OFFSET($P411,0,AR$13),15-13*ORÇAMENTO!$AF$7)*OFFSET(ORÇAMENTO!$W$15,ROW(AR411)-ROW(AR$15),0),15-13*ORÇAMENTO!$AF$11)),0)</f>
        <v>0</v>
      </c>
      <c r="AS411" s="546">
        <f ca="1">IF(AND($D411="Serviço",AS$12&lt;&gt;0,$H411&gt;0,OR(AUTOEVENTO&lt;&gt;"manual",$M411&lt;&gt;1)),
IF(Import.TipoArredondamento&lt;&gt;"TransfereGOV",
ROUND(OFFSET($P411,0,AS$13),15-13*ORÇAMENTO!$AF$7)/$H411*OFFSET(ORÇAMENTO!$X$15,ROW(AS411)-ROW(AS$15),0),
ROUND(ROUND(OFFSET($P411,0,AS$13),15-13*ORÇAMENTO!$AF$7)*OFFSET(ORÇAMENTO!$W$15,ROW(AS411)-ROW(AS$15),0),15-13*ORÇAMENTO!$AF$11)),0)</f>
        <v>0</v>
      </c>
      <c r="AT411" s="545">
        <f ca="1">IF(AND($D411="Serviço",AT$12&lt;&gt;0,$H411&gt;0,OR(AUTOEVENTO&lt;&gt;"manual",$M411&lt;&gt;1)),
IF(Import.TipoArredondamento&lt;&gt;"TransfereGOV",
ROUND(OFFSET($P411,0,AT$13),15-13*ORÇAMENTO!$AF$7)/$H411*OFFSET(ORÇAMENTO!$X$15,ROW(AT411)-ROW(AT$15),0),
ROUND(ROUND(OFFSET($P411,0,AT$13),15-13*ORÇAMENTO!$AF$7)*OFFSET(ORÇAMENTO!$W$15,ROW(AT411)-ROW(AT$15),0),15-13*ORÇAMENTO!$AF$11)),0)</f>
        <v>0</v>
      </c>
      <c r="AU411" s="545">
        <f ca="1">IF(AND($D411="Serviço",AU$12&lt;&gt;0,$H411&gt;0,OR(AUTOEVENTO&lt;&gt;"manual",$M411&lt;&gt;1)),
IF(Import.TipoArredondamento&lt;&gt;"TransfereGOV",
ROUND(OFFSET($P411,0,AU$13),15-13*ORÇAMENTO!$AF$7)/$H411*OFFSET(ORÇAMENTO!$X$15,ROW(AU411)-ROW(AU$15),0),
ROUND(ROUND(OFFSET($P411,0,AU$13),15-13*ORÇAMENTO!$AF$7)*OFFSET(ORÇAMENTO!$W$15,ROW(AU411)-ROW(AU$15),0),15-13*ORÇAMENTO!$AF$11)),0)</f>
        <v>0</v>
      </c>
      <c r="AV411" s="545">
        <f ca="1">IF(AND($D411="Serviço",AV$12&lt;&gt;0,$H411&gt;0,OR(AUTOEVENTO&lt;&gt;"manual",$M411&lt;&gt;1)),
IF(Import.TipoArredondamento&lt;&gt;"TransfereGOV",
ROUND(OFFSET($P411,0,AV$13),15-13*ORÇAMENTO!$AF$7)/$H411*OFFSET(ORÇAMENTO!$X$15,ROW(AV411)-ROW(AV$15),0),
ROUND(ROUND(OFFSET($P411,0,AV$13),15-13*ORÇAMENTO!$AF$7)*OFFSET(ORÇAMENTO!$W$15,ROW(AV411)-ROW(AV$15),0),15-13*ORÇAMENTO!$AF$11)),0)</f>
        <v>0</v>
      </c>
      <c r="AW411" s="545">
        <f ca="1">IF(AND($D411="Serviço",AW$12&lt;&gt;0,$H411&gt;0,OR(AUTOEVENTO&lt;&gt;"manual",$M411&lt;&gt;1)),
IF(Import.TipoArredondamento&lt;&gt;"TransfereGOV",
ROUND(OFFSET($P411,0,AW$13),15-13*ORÇAMENTO!$AF$7)/$H411*OFFSET(ORÇAMENTO!$X$15,ROW(AW411)-ROW(AW$15),0),
ROUND(ROUND(OFFSET($P411,0,AW$13),15-13*ORÇAMENTO!$AF$7)*OFFSET(ORÇAMENTO!$W$15,ROW(AW411)-ROW(AW$15),0),15-13*ORÇAMENTO!$AF$11)),0)</f>
        <v>0</v>
      </c>
      <c r="AX411" s="545">
        <f ca="1">IF(AND($D411="Serviço",AX$12&lt;&gt;0,$H411&gt;0,OR(AUTOEVENTO&lt;&gt;"manual",$M411&lt;&gt;1)),
IF(Import.TipoArredondamento&lt;&gt;"TransfereGOV",
ROUND(OFFSET($P411,0,AX$13),15-13*ORÇAMENTO!$AF$7)/$H411*OFFSET(ORÇAMENTO!$X$15,ROW(AX411)-ROW(AX$15),0),
ROUND(ROUND(OFFSET($P411,0,AX$13),15-13*ORÇAMENTO!$AF$7)*OFFSET(ORÇAMENTO!$W$15,ROW(AX411)-ROW(AX$15),0),15-13*ORÇAMENTO!$AF$11)),0)</f>
        <v>0</v>
      </c>
      <c r="AY411" s="545">
        <f ca="1">IF(AND($D411="Serviço",AY$12&lt;&gt;0,$H411&gt;0,OR(AUTOEVENTO&lt;&gt;"manual",$M411&lt;&gt;1)),
IF(Import.TipoArredondamento&lt;&gt;"TransfereGOV",
ROUND(OFFSET($P411,0,AY$13),15-13*ORÇAMENTO!$AF$7)/$H411*OFFSET(ORÇAMENTO!$X$15,ROW(AY411)-ROW(AY$15),0),
ROUND(ROUND(OFFSET($P411,0,AY$13),15-13*ORÇAMENTO!$AF$7)*OFFSET(ORÇAMENTO!$W$15,ROW(AY411)-ROW(AY$15),0),15-13*ORÇAMENTO!$AF$11)),0)</f>
        <v>0</v>
      </c>
      <c r="AZ411" s="545">
        <f ca="1">IF(AND($D411="Serviço",AZ$12&lt;&gt;0,$H411&gt;0,OR(AUTOEVENTO&lt;&gt;"manual",$M411&lt;&gt;1)),
IF(Import.TipoArredondamento&lt;&gt;"TransfereGOV",
ROUND(OFFSET($P411,0,AZ$13),15-13*ORÇAMENTO!$AF$7)/$H411*OFFSET(ORÇAMENTO!$X$15,ROW(AZ411)-ROW(AZ$15),0),
ROUND(ROUND(OFFSET($P411,0,AZ$13),15-13*ORÇAMENTO!$AF$7)*OFFSET(ORÇAMENTO!$W$15,ROW(AZ411)-ROW(AZ$15),0),15-13*ORÇAMENTO!$AF$11)),0)</f>
        <v>0</v>
      </c>
      <c r="BA411" s="546">
        <f ca="1">IF(AND($D411="Serviço",BA$12&lt;&gt;0,$H411&gt;0,OR(AUTOEVENTO&lt;&gt;"manual",$M411&lt;&gt;1)),
IF(Import.TipoArredondamento&lt;&gt;"TransfereGOV",
ROUND(OFFSET($P411,0,BA$13),15-13*ORÇAMENTO!$AF$7)/$H411*OFFSET(ORÇAMENTO!$X$15,ROW(BA411)-ROW(BA$15),0),
ROUND(ROUND(OFFSET($P411,0,BA$13),15-13*ORÇAMENTO!$AF$7)*OFFSET(ORÇAMENTO!$W$15,ROW(BA411)-ROW(BA$15),0),15-13*ORÇAMENTO!$AF$11)),0)</f>
        <v>0</v>
      </c>
      <c r="BC411" s="181">
        <f ca="1">IF($D411&lt;&gt;"Serviço",0,IF(AND(AUTOEVENTO="Manual",$M411=1),0,IF(OFFSET(CRONOPLE!$F$14,$M411,BC$13)="",10^12,OFFSET(CRONOPLE!$F$14,$M411,BC$13))))</f>
        <v>10</v>
      </c>
      <c r="BD411" s="181">
        <f ca="1">IF($D411&lt;&gt;"Serviço",0,IF(AND(AUTOEVENTO="Manual",$M411=1),0,IF(OFFSET(CRONOPLE!$F$14,$M411,BD$13)="",10^12,OFFSET(CRONOPLE!$F$14,$M411,BD$13))))</f>
        <v>1000000000000</v>
      </c>
      <c r="BE411" s="181">
        <f ca="1">IF($D411&lt;&gt;"Serviço",0,IF(AND(AUTOEVENTO="Manual",$M411=1),0,IF(OFFSET(CRONOPLE!$F$14,$M411,BE$13)="",10^12,OFFSET(CRONOPLE!$F$14,$M411,BE$13))))</f>
        <v>1000000000000</v>
      </c>
      <c r="BF411" s="181">
        <f ca="1">IF($D411&lt;&gt;"Serviço",0,IF(AND(AUTOEVENTO="Manual",$M411=1),0,IF(OFFSET(CRONOPLE!$F$14,$M411,BF$13)="",10^12,OFFSET(CRONOPLE!$F$14,$M411,BF$13))))</f>
        <v>1000000000000</v>
      </c>
      <c r="BG411" s="181">
        <f ca="1">IF($D411&lt;&gt;"Serviço",0,IF(AND(AUTOEVENTO="Manual",$M411=1),0,IF(OFFSET(CRONOPLE!$F$14,$M411,BG$13)="",10^12,OFFSET(CRONOPLE!$F$14,$M411,BG$13))))</f>
        <v>1000000000000</v>
      </c>
      <c r="BH411" s="181">
        <f ca="1">IF($D411&lt;&gt;"Serviço",0,IF(AND(AUTOEVENTO="Manual",$M411=1),0,IF(OFFSET(CRONOPLE!$F$14,$M411,BH$13)="",10^12,OFFSET(CRONOPLE!$F$14,$M411,BH$13))))</f>
        <v>1000000000000</v>
      </c>
      <c r="BI411" s="181">
        <f ca="1">IF($D411&lt;&gt;"Serviço",0,IF(AND(AUTOEVENTO="Manual",$M411=1),0,IF(OFFSET(CRONOPLE!$F$14,$M411,BI$13)="",10^12,OFFSET(CRONOPLE!$F$14,$M411,BI$13))))</f>
        <v>1000000000000</v>
      </c>
      <c r="BJ411" s="181">
        <f ca="1">IF($D411&lt;&gt;"Serviço",0,IF(AND(AUTOEVENTO="Manual",$M411=1),0,IF(OFFSET(CRONOPLE!$F$14,$M411,BJ$13)="",10^12,OFFSET(CRONOPLE!$F$14,$M411,BJ$13))))</f>
        <v>1000000000000</v>
      </c>
      <c r="BK411" s="181">
        <f ca="1">IF($D411&lt;&gt;"Serviço",0,IF(AND(AUTOEVENTO="Manual",$M411=1),0,IF(OFFSET(CRONOPLE!$F$14,$M411,BK$13)="",10^12,OFFSET(CRONOPLE!$F$14,$M411,BK$13))))</f>
        <v>1000000000000</v>
      </c>
      <c r="BL411" s="181">
        <f ca="1">IF($D411&lt;&gt;"Serviço",0,IF(AND(AUTOEVENTO="Manual",$M411=1),0,IF(OFFSET(CRONOPLE!$F$14,$M411,BL$13)="",10^12,OFFSET(CRONOPLE!$F$14,$M411,BL$13))))</f>
        <v>1000000000000</v>
      </c>
      <c r="BM411" s="181">
        <f ca="1">IF($D411&lt;&gt;"Serviço",0,IF(AND(AUTOEVENTO="Manual",$M411=1),0,IF(OFFSET(CRONOPLE!$F$14,$M411,BM$13)="",10^12,OFFSET(CRONOPLE!$F$14,$M411,BM$13))))</f>
        <v>1000000000000</v>
      </c>
      <c r="BN411" s="181">
        <f ca="1">IF($D411&lt;&gt;"Serviço",0,IF(AND(AUTOEVENTO="Manual",$M411=1),0,IF(OFFSET(CRONOPLE!$F$14,$M411,BN$13)="",10^12,OFFSET(CRONOPLE!$F$14,$M411,BN$13))))</f>
        <v>1000000000000</v>
      </c>
      <c r="BO411" s="181">
        <f ca="1">IF($D411&lt;&gt;"Serviço",0,IF(AND(AUTOEVENTO="Manual",$M411=1),0,IF(OFFSET(CRONOPLE!$F$14,$M411,BO$13)="",10^12,OFFSET(CRONOPLE!$F$14,$M411,BO$13))))</f>
        <v>1000000000000</v>
      </c>
      <c r="BP411" s="181">
        <f ca="1">IF($D411&lt;&gt;"Serviço",0,IF(AND(AUTOEVENTO="Manual",$M411=1),0,IF(OFFSET(CRONOPLE!$F$14,$M411,BP$13)="",10^12,OFFSET(CRONOPLE!$F$14,$M411,BP$13))))</f>
        <v>1000000000000</v>
      </c>
      <c r="BQ411" s="181">
        <f ca="1">IF($D411&lt;&gt;"Serviço",0,IF(AND(AUTOEVENTO="Manual",$M411=1),0,IF(OFFSET(CRONOPLE!$F$14,$M411,BQ$13)="",10^12,OFFSET(CRONOPLE!$F$14,$M411,BQ$13))))</f>
        <v>1000000000000</v>
      </c>
      <c r="BR411" s="181">
        <f ca="1">IF($D411&lt;&gt;"Serviço",0,IF(AND(AUTOEVENTO="Manual",$M411=1),0,IF(OFFSET(CRONOPLE!$F$14,$M411,BR$13)="",10^12,OFFSET(CRONOPLE!$F$14,$M411,BR$13))))</f>
        <v>1000000000000</v>
      </c>
      <c r="BS411" s="181">
        <f ca="1">IF($D411&lt;&gt;"Serviço",0,IF(AND(AUTOEVENTO="Manual",$M411=1),0,IF(OFFSET(CRONOPLE!$F$14,$M411,BS$13)="",10^12,OFFSET(CRONOPLE!$F$14,$M411,BS$13))))</f>
        <v>1000000000000</v>
      </c>
      <c r="BT411" s="181">
        <f ca="1">IF($D411&lt;&gt;"Serviço",0,IF(AND(AUTOEVENTO="Manual",$M411=1),0,IF(OFFSET(CRONOPLE!$F$14,$M411,BT$13)="",10^12,OFFSET(CRONOPLE!$F$14,$M411,BT$13))))</f>
        <v>1000000000000</v>
      </c>
      <c r="BV411" s="182">
        <f ca="1">IF($D411&lt;&gt;"Serviço",0,IF(OR(AND(AUTOEVENTO="Manual",$M411=1),$M411&gt;(ROW(PLE.lastrow)-ROW(PLE.firstrow))),0,IF(OFFSET(PLE!$G$14,$M411,BV$13)="",10^12,OFFSET(PLE!$G$14,$M411,BV$13))))</f>
        <v>1000000000000</v>
      </c>
      <c r="BW411" s="182">
        <f ca="1">IF($D411&lt;&gt;"Serviço",0,IF(OR(AND(AUTOEVENTO="Manual",$M411=1),$M411&gt;(ROW(PLE.lastrow)-ROW(PLE.firstrow))),0,IF(OFFSET(PLE!$G$14,$M411,BW$13)="",10^12,OFFSET(PLE!$G$14,$M411,BW$13))))</f>
        <v>1000000000000</v>
      </c>
      <c r="BX411" s="182">
        <f ca="1">IF($D411&lt;&gt;"Serviço",0,IF(OR(AND(AUTOEVENTO="Manual",$M411=1),$M411&gt;(ROW(PLE.lastrow)-ROW(PLE.firstrow))),0,IF(OFFSET(PLE!$G$14,$M411,BX$13)="",10^12,OFFSET(PLE!$G$14,$M411,BX$13))))</f>
        <v>1000000000000</v>
      </c>
      <c r="BY411" s="182">
        <f ca="1">IF($D411&lt;&gt;"Serviço",0,IF(OR(AND(AUTOEVENTO="Manual",$M411=1),$M411&gt;(ROW(PLE.lastrow)-ROW(PLE.firstrow))),0,IF(OFFSET(PLE!$G$14,$M411,BY$13)="",10^12,OFFSET(PLE!$G$14,$M411,BY$13))))</f>
        <v>1000000000000</v>
      </c>
      <c r="BZ411" s="182">
        <f ca="1">IF($D411&lt;&gt;"Serviço",0,IF(OR(AND(AUTOEVENTO="Manual",$M411=1),$M411&gt;(ROW(PLE.lastrow)-ROW(PLE.firstrow))),0,IF(OFFSET(PLE!$G$14,$M411,BZ$13)="",10^12,OFFSET(PLE!$G$14,$M411,BZ$13))))</f>
        <v>1000000000000</v>
      </c>
      <c r="CA411" s="182">
        <f ca="1">IF($D411&lt;&gt;"Serviço",0,IF(OR(AND(AUTOEVENTO="Manual",$M411=1),$M411&gt;(ROW(PLE.lastrow)-ROW(PLE.firstrow))),0,IF(OFFSET(PLE!$G$14,$M411,CA$13)="",10^12,OFFSET(PLE!$G$14,$M411,CA$13))))</f>
        <v>1000000000000</v>
      </c>
      <c r="CB411" s="182">
        <f ca="1">IF($D411&lt;&gt;"Serviço",0,IF(OR(AND(AUTOEVENTO="Manual",$M411=1),$M411&gt;(ROW(PLE.lastrow)-ROW(PLE.firstrow))),0,IF(OFFSET(PLE!$G$14,$M411,CB$13)="",10^12,OFFSET(PLE!$G$14,$M411,CB$13))))</f>
        <v>1000000000000</v>
      </c>
      <c r="CC411" s="182">
        <f ca="1">IF($D411&lt;&gt;"Serviço",0,IF(OR(AND(AUTOEVENTO="Manual",$M411=1),$M411&gt;(ROW(PLE.lastrow)-ROW(PLE.firstrow))),0,IF(OFFSET(PLE!$G$14,$M411,CC$13)="",10^12,OFFSET(PLE!$G$14,$M411,CC$13))))</f>
        <v>1000000000000</v>
      </c>
      <c r="CD411" s="182">
        <f ca="1">IF($D411&lt;&gt;"Serviço",0,IF(OR(AND(AUTOEVENTO="Manual",$M411=1),$M411&gt;(ROW(PLE.lastrow)-ROW(PLE.firstrow))),0,IF(OFFSET(PLE!$G$14,$M411,CD$13)="",10^12,OFFSET(PLE!$G$14,$M411,CD$13))))</f>
        <v>1000000000000</v>
      </c>
      <c r="CE411" s="182">
        <f ca="1">IF($D411&lt;&gt;"Serviço",0,IF(OR(AND(AUTOEVENTO="Manual",$M411=1),$M411&gt;(ROW(PLE.lastrow)-ROW(PLE.firstrow))),0,IF(OFFSET(PLE!$G$14,$M411,CE$13)="",10^12,OFFSET(PLE!$G$14,$M411,CE$13))))</f>
        <v>1000000000000</v>
      </c>
      <c r="CF411" s="182">
        <f ca="1">IF($D411&lt;&gt;"Serviço",0,IF(OR(AND(AUTOEVENTO="Manual",$M411=1),$M411&gt;(ROW(PLE.lastrow)-ROW(PLE.firstrow))),0,IF(OFFSET(PLE!$G$14,$M411,CF$13)="",10^12,OFFSET(PLE!$G$14,$M411,CF$13))))</f>
        <v>1000000000000</v>
      </c>
      <c r="CG411" s="182">
        <f ca="1">IF($D411&lt;&gt;"Serviço",0,IF(OR(AND(AUTOEVENTO="Manual",$M411=1),$M411&gt;(ROW(PLE.lastrow)-ROW(PLE.firstrow))),0,IF(OFFSET(PLE!$G$14,$M411,CG$13)="",10^12,OFFSET(PLE!$G$14,$M411,CG$13))))</f>
        <v>1000000000000</v>
      </c>
      <c r="CH411" s="182">
        <f ca="1">IF($D411&lt;&gt;"Serviço",0,IF(OR(AND(AUTOEVENTO="Manual",$M411=1),$M411&gt;(ROW(PLE.lastrow)-ROW(PLE.firstrow))),0,IF(OFFSET(PLE!$G$14,$M411,CH$13)="",10^12,OFFSET(PLE!$G$14,$M411,CH$13))))</f>
        <v>1000000000000</v>
      </c>
      <c r="CI411" s="182">
        <f ca="1">IF($D411&lt;&gt;"Serviço",0,IF(OR(AND(AUTOEVENTO="Manual",$M411=1),$M411&gt;(ROW(PLE.lastrow)-ROW(PLE.firstrow))),0,IF(OFFSET(PLE!$G$14,$M411,CI$13)="",10^12,OFFSET(PLE!$G$14,$M411,CI$13))))</f>
        <v>1000000000000</v>
      </c>
      <c r="CJ411" s="182">
        <f ca="1">IF($D411&lt;&gt;"Serviço",0,IF(OR(AND(AUTOEVENTO="Manual",$M411=1),$M411&gt;(ROW(PLE.lastrow)-ROW(PLE.firstrow))),0,IF(OFFSET(PLE!$G$14,$M411,CJ$13)="",10^12,OFFSET(PLE!$G$14,$M411,CJ$13))))</f>
        <v>1000000000000</v>
      </c>
      <c r="CK411" s="182">
        <f ca="1">IF($D411&lt;&gt;"Serviço",0,IF(OR(AND(AUTOEVENTO="Manual",$M411=1),$M411&gt;(ROW(PLE.lastrow)-ROW(PLE.firstrow))),0,IF(OFFSET(PLE!$G$14,$M411,CK$13)="",10^12,OFFSET(PLE!$G$14,$M411,CK$13))))</f>
        <v>1000000000000</v>
      </c>
      <c r="CL411" s="182">
        <f ca="1">IF($D411&lt;&gt;"Serviço",0,IF(OR(AND(AUTOEVENTO="Manual",$M411=1),$M411&gt;(ROW(PLE.lastrow)-ROW(PLE.firstrow))),0,IF(OFFSET(PLE!$G$14,$M411,CL$13)="",10^12,OFFSET(PLE!$G$14,$M411,CL$13))))</f>
        <v>1000000000000</v>
      </c>
      <c r="CM411" s="182">
        <f ca="1">IF($D411&lt;&gt;"Serviço",0,IF(OR(AND(AUTOEVENTO="Manual",$M411=1),$M411&gt;(ROW(PLE.lastrow)-ROW(PLE.firstrow))),0,IF(OFFSET(PLE!$G$14,$M411,CM$13)="",10^12,OFFSET(PLE!$G$14,$M411,CM$13))))</f>
        <v>1000000000000</v>
      </c>
    </row>
    <row r="412" spans="1:91" ht="38.25" x14ac:dyDescent="0.2">
      <c r="A412" s="7" t="str">
        <f t="shared" ca="1" si="13"/>
        <v>387</v>
      </c>
      <c r="B412" s="7" t="str">
        <f ca="1">OFFSET(ORÇAMENTO!C$15,ROW(B412)-ROW(B$15),0)</f>
        <v>S</v>
      </c>
      <c r="C412" s="7" t="str">
        <f ca="1">OFFSET(ORÇAMENTO!L$15,ROW(C412)-ROW(C$15),0)</f>
        <v/>
      </c>
      <c r="D412" s="118" t="str">
        <f ca="1">OFFSET(ORÇAMENTO!N$15,ROW(D412)-ROW(D$15),0)</f>
        <v>Serviço</v>
      </c>
      <c r="E412" s="119" t="str">
        <f ca="1">OFFSET(ORÇAMENTO!O$15,ROW(E412)-ROW(E$15),0)</f>
        <v>-</v>
      </c>
      <c r="F412" s="172" t="str">
        <f ca="1">OFFSET(ORÇAMENTO!R$15,ROW(F412)-ROW(F$15),0)</f>
        <v>(abra o arquivo 'Referência 06-2024.xlsm)</v>
      </c>
      <c r="G412" s="173" t="str">
        <f ca="1">IF($D412&lt;&gt;"Serviço","",OFFSET(ORÇAMENTO!S$15,ROW(G412)-ROW(G$15),0))</f>
        <v>-</v>
      </c>
      <c r="H412" s="124">
        <f ca="1">IF($D412&lt;&gt;"Serviço",0,IF(ACOMPANHAMENTO="BM",ROUND(OFFSET(ORÇAMENTO!AJ$15,ROW(H412)-ROW(H$15),0),15-13*ORÇAMENTO!$AF$7),SUMPRODUCT(($Q$12:$AI$12&lt;&gt;"")*ROUND($Q412:$AI412,15-13*ORÇAMENTO!$AF$7))))</f>
        <v>2</v>
      </c>
      <c r="I412" s="561" t="s">
        <v>1107</v>
      </c>
      <c r="K412" s="174"/>
      <c r="L412" s="175" t="s">
        <v>255</v>
      </c>
      <c r="M412" s="176">
        <f ca="1">IF($D412&lt;&gt;"Serviço","",IF(AUTOEVENTO="manual",$A412,IF(ISERROR(MATCH($A412,$A$15:OFFSET($A412,-1,0),0)),MAX($M$15:OFFSET(M412,-1,0))+1,INDEX($M$15:OFFSET(M412,-1,0),MATCH($A412,$A$15:OFFSET($A412,-1,0),0)))))</f>
        <v>45</v>
      </c>
      <c r="N412" s="177" t="str">
        <f ca="1">IF($D412&lt;&gt;"Serviço","",IF(AUTOEVENTO="Manual",IF($A412=0,"&lt;-- defina o número do agrupador",OFFSET(EVENTOS!$D$14,$A412,0)),OFFSET($F$15,$A412,0)))</f>
        <v>INSTALAÇÃO DE GÁS COMBUSTÍVEL</v>
      </c>
      <c r="O412" s="178"/>
      <c r="Q412" s="178">
        <v>2</v>
      </c>
      <c r="R412" s="179"/>
      <c r="S412" s="179"/>
      <c r="T412" s="179"/>
      <c r="U412" s="179"/>
      <c r="V412" s="179"/>
      <c r="W412" s="179"/>
      <c r="X412" s="179"/>
      <c r="Y412" s="179"/>
      <c r="Z412" s="180"/>
      <c r="AA412" s="179"/>
      <c r="AB412" s="179"/>
      <c r="AC412" s="179"/>
      <c r="AD412" s="179"/>
      <c r="AE412" s="179"/>
      <c r="AF412" s="179"/>
      <c r="AG412" s="179"/>
      <c r="AH412" s="180"/>
      <c r="AJ412" s="544">
        <f ca="1">IF(AND($D412="Serviço",AJ$12&lt;&gt;0,$H412&gt;0,OR(AUTOEVENTO&lt;&gt;"manual",$M412&lt;&gt;1)),
IF(Import.TipoArredondamento&lt;&gt;"TransfereGOV",
ROUND(OFFSET($P412,0,AJ$13),15-13*ORÇAMENTO!$AF$7)/$H412*OFFSET(ORÇAMENTO!$X$15,ROW(AJ412)-ROW(AJ$15),0),
ROUND(ROUND(OFFSET($P412,0,AJ$13),15-13*ORÇAMENTO!$AF$7)*OFFSET(ORÇAMENTO!$W$15,ROW(AJ412)-ROW(AJ$15),0),15-13*ORÇAMENTO!$AF$11)),0)</f>
        <v>0</v>
      </c>
      <c r="AK412" s="545">
        <f ca="1">IF(AND($D412="Serviço",AK$12&lt;&gt;0,$H412&gt;0,OR(AUTOEVENTO&lt;&gt;"manual",$M412&lt;&gt;1)),
IF(Import.TipoArredondamento&lt;&gt;"TransfereGOV",
ROUND(OFFSET($P412,0,AK$13),15-13*ORÇAMENTO!$AF$7)/$H412*OFFSET(ORÇAMENTO!$X$15,ROW(AK412)-ROW(AK$15),0),
ROUND(ROUND(OFFSET($P412,0,AK$13),15-13*ORÇAMENTO!$AF$7)*OFFSET(ORÇAMENTO!$W$15,ROW(AK412)-ROW(AK$15),0),15-13*ORÇAMENTO!$AF$11)),0)</f>
        <v>0</v>
      </c>
      <c r="AL412" s="545">
        <f ca="1">IF(AND($D412="Serviço",AL$12&lt;&gt;0,$H412&gt;0,OR(AUTOEVENTO&lt;&gt;"manual",$M412&lt;&gt;1)),
IF(Import.TipoArredondamento&lt;&gt;"TransfereGOV",
ROUND(OFFSET($P412,0,AL$13),15-13*ORÇAMENTO!$AF$7)/$H412*OFFSET(ORÇAMENTO!$X$15,ROW(AL412)-ROW(AL$15),0),
ROUND(ROUND(OFFSET($P412,0,AL$13),15-13*ORÇAMENTO!$AF$7)*OFFSET(ORÇAMENTO!$W$15,ROW(AL412)-ROW(AL$15),0),15-13*ORÇAMENTO!$AF$11)),0)</f>
        <v>0</v>
      </c>
      <c r="AM412" s="545">
        <f ca="1">IF(AND($D412="Serviço",AM$12&lt;&gt;0,$H412&gt;0,OR(AUTOEVENTO&lt;&gt;"manual",$M412&lt;&gt;1)),
IF(Import.TipoArredondamento&lt;&gt;"TransfereGOV",
ROUND(OFFSET($P412,0,AM$13),15-13*ORÇAMENTO!$AF$7)/$H412*OFFSET(ORÇAMENTO!$X$15,ROW(AM412)-ROW(AM$15),0),
ROUND(ROUND(OFFSET($P412,0,AM$13),15-13*ORÇAMENTO!$AF$7)*OFFSET(ORÇAMENTO!$W$15,ROW(AM412)-ROW(AM$15),0),15-13*ORÇAMENTO!$AF$11)),0)</f>
        <v>0</v>
      </c>
      <c r="AN412" s="545">
        <f ca="1">IF(AND($D412="Serviço",AN$12&lt;&gt;0,$H412&gt;0,OR(AUTOEVENTO&lt;&gt;"manual",$M412&lt;&gt;1)),
IF(Import.TipoArredondamento&lt;&gt;"TransfereGOV",
ROUND(OFFSET($P412,0,AN$13),15-13*ORÇAMENTO!$AF$7)/$H412*OFFSET(ORÇAMENTO!$X$15,ROW(AN412)-ROW(AN$15),0),
ROUND(ROUND(OFFSET($P412,0,AN$13),15-13*ORÇAMENTO!$AF$7)*OFFSET(ORÇAMENTO!$W$15,ROW(AN412)-ROW(AN$15),0),15-13*ORÇAMENTO!$AF$11)),0)</f>
        <v>0</v>
      </c>
      <c r="AO412" s="545">
        <f ca="1">IF(AND($D412="Serviço",AO$12&lt;&gt;0,$H412&gt;0,OR(AUTOEVENTO&lt;&gt;"manual",$M412&lt;&gt;1)),
IF(Import.TipoArredondamento&lt;&gt;"TransfereGOV",
ROUND(OFFSET($P412,0,AO$13),15-13*ORÇAMENTO!$AF$7)/$H412*OFFSET(ORÇAMENTO!$X$15,ROW(AO412)-ROW(AO$15),0),
ROUND(ROUND(OFFSET($P412,0,AO$13),15-13*ORÇAMENTO!$AF$7)*OFFSET(ORÇAMENTO!$W$15,ROW(AO412)-ROW(AO$15),0),15-13*ORÇAMENTO!$AF$11)),0)</f>
        <v>0</v>
      </c>
      <c r="AP412" s="545">
        <f ca="1">IF(AND($D412="Serviço",AP$12&lt;&gt;0,$H412&gt;0,OR(AUTOEVENTO&lt;&gt;"manual",$M412&lt;&gt;1)),
IF(Import.TipoArredondamento&lt;&gt;"TransfereGOV",
ROUND(OFFSET($P412,0,AP$13),15-13*ORÇAMENTO!$AF$7)/$H412*OFFSET(ORÇAMENTO!$X$15,ROW(AP412)-ROW(AP$15),0),
ROUND(ROUND(OFFSET($P412,0,AP$13),15-13*ORÇAMENTO!$AF$7)*OFFSET(ORÇAMENTO!$W$15,ROW(AP412)-ROW(AP$15),0),15-13*ORÇAMENTO!$AF$11)),0)</f>
        <v>0</v>
      </c>
      <c r="AQ412" s="545">
        <f ca="1">IF(AND($D412="Serviço",AQ$12&lt;&gt;0,$H412&gt;0,OR(AUTOEVENTO&lt;&gt;"manual",$M412&lt;&gt;1)),
IF(Import.TipoArredondamento&lt;&gt;"TransfereGOV",
ROUND(OFFSET($P412,0,AQ$13),15-13*ORÇAMENTO!$AF$7)/$H412*OFFSET(ORÇAMENTO!$X$15,ROW(AQ412)-ROW(AQ$15),0),
ROUND(ROUND(OFFSET($P412,0,AQ$13),15-13*ORÇAMENTO!$AF$7)*OFFSET(ORÇAMENTO!$W$15,ROW(AQ412)-ROW(AQ$15),0),15-13*ORÇAMENTO!$AF$11)),0)</f>
        <v>0</v>
      </c>
      <c r="AR412" s="545">
        <f ca="1">IF(AND($D412="Serviço",AR$12&lt;&gt;0,$H412&gt;0,OR(AUTOEVENTO&lt;&gt;"manual",$M412&lt;&gt;1)),
IF(Import.TipoArredondamento&lt;&gt;"TransfereGOV",
ROUND(OFFSET($P412,0,AR$13),15-13*ORÇAMENTO!$AF$7)/$H412*OFFSET(ORÇAMENTO!$X$15,ROW(AR412)-ROW(AR$15),0),
ROUND(ROUND(OFFSET($P412,0,AR$13),15-13*ORÇAMENTO!$AF$7)*OFFSET(ORÇAMENTO!$W$15,ROW(AR412)-ROW(AR$15),0),15-13*ORÇAMENTO!$AF$11)),0)</f>
        <v>0</v>
      </c>
      <c r="AS412" s="546">
        <f ca="1">IF(AND($D412="Serviço",AS$12&lt;&gt;0,$H412&gt;0,OR(AUTOEVENTO&lt;&gt;"manual",$M412&lt;&gt;1)),
IF(Import.TipoArredondamento&lt;&gt;"TransfereGOV",
ROUND(OFFSET($P412,0,AS$13),15-13*ORÇAMENTO!$AF$7)/$H412*OFFSET(ORÇAMENTO!$X$15,ROW(AS412)-ROW(AS$15),0),
ROUND(ROUND(OFFSET($P412,0,AS$13),15-13*ORÇAMENTO!$AF$7)*OFFSET(ORÇAMENTO!$W$15,ROW(AS412)-ROW(AS$15),0),15-13*ORÇAMENTO!$AF$11)),0)</f>
        <v>0</v>
      </c>
      <c r="AT412" s="545">
        <f ca="1">IF(AND($D412="Serviço",AT$12&lt;&gt;0,$H412&gt;0,OR(AUTOEVENTO&lt;&gt;"manual",$M412&lt;&gt;1)),
IF(Import.TipoArredondamento&lt;&gt;"TransfereGOV",
ROUND(OFFSET($P412,0,AT$13),15-13*ORÇAMENTO!$AF$7)/$H412*OFFSET(ORÇAMENTO!$X$15,ROW(AT412)-ROW(AT$15),0),
ROUND(ROUND(OFFSET($P412,0,AT$13),15-13*ORÇAMENTO!$AF$7)*OFFSET(ORÇAMENTO!$W$15,ROW(AT412)-ROW(AT$15),0),15-13*ORÇAMENTO!$AF$11)),0)</f>
        <v>0</v>
      </c>
      <c r="AU412" s="545">
        <f ca="1">IF(AND($D412="Serviço",AU$12&lt;&gt;0,$H412&gt;0,OR(AUTOEVENTO&lt;&gt;"manual",$M412&lt;&gt;1)),
IF(Import.TipoArredondamento&lt;&gt;"TransfereGOV",
ROUND(OFFSET($P412,0,AU$13),15-13*ORÇAMENTO!$AF$7)/$H412*OFFSET(ORÇAMENTO!$X$15,ROW(AU412)-ROW(AU$15),0),
ROUND(ROUND(OFFSET($P412,0,AU$13),15-13*ORÇAMENTO!$AF$7)*OFFSET(ORÇAMENTO!$W$15,ROW(AU412)-ROW(AU$15),0),15-13*ORÇAMENTO!$AF$11)),0)</f>
        <v>0</v>
      </c>
      <c r="AV412" s="545">
        <f ca="1">IF(AND($D412="Serviço",AV$12&lt;&gt;0,$H412&gt;0,OR(AUTOEVENTO&lt;&gt;"manual",$M412&lt;&gt;1)),
IF(Import.TipoArredondamento&lt;&gt;"TransfereGOV",
ROUND(OFFSET($P412,0,AV$13),15-13*ORÇAMENTO!$AF$7)/$H412*OFFSET(ORÇAMENTO!$X$15,ROW(AV412)-ROW(AV$15),0),
ROUND(ROUND(OFFSET($P412,0,AV$13),15-13*ORÇAMENTO!$AF$7)*OFFSET(ORÇAMENTO!$W$15,ROW(AV412)-ROW(AV$15),0),15-13*ORÇAMENTO!$AF$11)),0)</f>
        <v>0</v>
      </c>
      <c r="AW412" s="545">
        <f ca="1">IF(AND($D412="Serviço",AW$12&lt;&gt;0,$H412&gt;0,OR(AUTOEVENTO&lt;&gt;"manual",$M412&lt;&gt;1)),
IF(Import.TipoArredondamento&lt;&gt;"TransfereGOV",
ROUND(OFFSET($P412,0,AW$13),15-13*ORÇAMENTO!$AF$7)/$H412*OFFSET(ORÇAMENTO!$X$15,ROW(AW412)-ROW(AW$15),0),
ROUND(ROUND(OFFSET($P412,0,AW$13),15-13*ORÇAMENTO!$AF$7)*OFFSET(ORÇAMENTO!$W$15,ROW(AW412)-ROW(AW$15),0),15-13*ORÇAMENTO!$AF$11)),0)</f>
        <v>0</v>
      </c>
      <c r="AX412" s="545">
        <f ca="1">IF(AND($D412="Serviço",AX$12&lt;&gt;0,$H412&gt;0,OR(AUTOEVENTO&lt;&gt;"manual",$M412&lt;&gt;1)),
IF(Import.TipoArredondamento&lt;&gt;"TransfereGOV",
ROUND(OFFSET($P412,0,AX$13),15-13*ORÇAMENTO!$AF$7)/$H412*OFFSET(ORÇAMENTO!$X$15,ROW(AX412)-ROW(AX$15),0),
ROUND(ROUND(OFFSET($P412,0,AX$13),15-13*ORÇAMENTO!$AF$7)*OFFSET(ORÇAMENTO!$W$15,ROW(AX412)-ROW(AX$15),0),15-13*ORÇAMENTO!$AF$11)),0)</f>
        <v>0</v>
      </c>
      <c r="AY412" s="545">
        <f ca="1">IF(AND($D412="Serviço",AY$12&lt;&gt;0,$H412&gt;0,OR(AUTOEVENTO&lt;&gt;"manual",$M412&lt;&gt;1)),
IF(Import.TipoArredondamento&lt;&gt;"TransfereGOV",
ROUND(OFFSET($P412,0,AY$13),15-13*ORÇAMENTO!$AF$7)/$H412*OFFSET(ORÇAMENTO!$X$15,ROW(AY412)-ROW(AY$15),0),
ROUND(ROUND(OFFSET($P412,0,AY$13),15-13*ORÇAMENTO!$AF$7)*OFFSET(ORÇAMENTO!$W$15,ROW(AY412)-ROW(AY$15),0),15-13*ORÇAMENTO!$AF$11)),0)</f>
        <v>0</v>
      </c>
      <c r="AZ412" s="545">
        <f ca="1">IF(AND($D412="Serviço",AZ$12&lt;&gt;0,$H412&gt;0,OR(AUTOEVENTO&lt;&gt;"manual",$M412&lt;&gt;1)),
IF(Import.TipoArredondamento&lt;&gt;"TransfereGOV",
ROUND(OFFSET($P412,0,AZ$13),15-13*ORÇAMENTO!$AF$7)/$H412*OFFSET(ORÇAMENTO!$X$15,ROW(AZ412)-ROW(AZ$15),0),
ROUND(ROUND(OFFSET($P412,0,AZ$13),15-13*ORÇAMENTO!$AF$7)*OFFSET(ORÇAMENTO!$W$15,ROW(AZ412)-ROW(AZ$15),0),15-13*ORÇAMENTO!$AF$11)),0)</f>
        <v>0</v>
      </c>
      <c r="BA412" s="546">
        <f ca="1">IF(AND($D412="Serviço",BA$12&lt;&gt;0,$H412&gt;0,OR(AUTOEVENTO&lt;&gt;"manual",$M412&lt;&gt;1)),
IF(Import.TipoArredondamento&lt;&gt;"TransfereGOV",
ROUND(OFFSET($P412,0,BA$13),15-13*ORÇAMENTO!$AF$7)/$H412*OFFSET(ORÇAMENTO!$X$15,ROW(BA412)-ROW(BA$15),0),
ROUND(ROUND(OFFSET($P412,0,BA$13),15-13*ORÇAMENTO!$AF$7)*OFFSET(ORÇAMENTO!$W$15,ROW(BA412)-ROW(BA$15),0),15-13*ORÇAMENTO!$AF$11)),0)</f>
        <v>0</v>
      </c>
      <c r="BC412" s="181">
        <f ca="1">IF($D412&lt;&gt;"Serviço",0,IF(AND(AUTOEVENTO="Manual",$M412=1),0,IF(OFFSET(CRONOPLE!$F$14,$M412,BC$13)="",10^12,OFFSET(CRONOPLE!$F$14,$M412,BC$13))))</f>
        <v>10</v>
      </c>
      <c r="BD412" s="181">
        <f ca="1">IF($D412&lt;&gt;"Serviço",0,IF(AND(AUTOEVENTO="Manual",$M412=1),0,IF(OFFSET(CRONOPLE!$F$14,$M412,BD$13)="",10^12,OFFSET(CRONOPLE!$F$14,$M412,BD$13))))</f>
        <v>1000000000000</v>
      </c>
      <c r="BE412" s="181">
        <f ca="1">IF($D412&lt;&gt;"Serviço",0,IF(AND(AUTOEVENTO="Manual",$M412=1),0,IF(OFFSET(CRONOPLE!$F$14,$M412,BE$13)="",10^12,OFFSET(CRONOPLE!$F$14,$M412,BE$13))))</f>
        <v>1000000000000</v>
      </c>
      <c r="BF412" s="181">
        <f ca="1">IF($D412&lt;&gt;"Serviço",0,IF(AND(AUTOEVENTO="Manual",$M412=1),0,IF(OFFSET(CRONOPLE!$F$14,$M412,BF$13)="",10^12,OFFSET(CRONOPLE!$F$14,$M412,BF$13))))</f>
        <v>1000000000000</v>
      </c>
      <c r="BG412" s="181">
        <f ca="1">IF($D412&lt;&gt;"Serviço",0,IF(AND(AUTOEVENTO="Manual",$M412=1),0,IF(OFFSET(CRONOPLE!$F$14,$M412,BG$13)="",10^12,OFFSET(CRONOPLE!$F$14,$M412,BG$13))))</f>
        <v>1000000000000</v>
      </c>
      <c r="BH412" s="181">
        <f ca="1">IF($D412&lt;&gt;"Serviço",0,IF(AND(AUTOEVENTO="Manual",$M412=1),0,IF(OFFSET(CRONOPLE!$F$14,$M412,BH$13)="",10^12,OFFSET(CRONOPLE!$F$14,$M412,BH$13))))</f>
        <v>1000000000000</v>
      </c>
      <c r="BI412" s="181">
        <f ca="1">IF($D412&lt;&gt;"Serviço",0,IF(AND(AUTOEVENTO="Manual",$M412=1),0,IF(OFFSET(CRONOPLE!$F$14,$M412,BI$13)="",10^12,OFFSET(CRONOPLE!$F$14,$M412,BI$13))))</f>
        <v>1000000000000</v>
      </c>
      <c r="BJ412" s="181">
        <f ca="1">IF($D412&lt;&gt;"Serviço",0,IF(AND(AUTOEVENTO="Manual",$M412=1),0,IF(OFFSET(CRONOPLE!$F$14,$M412,BJ$13)="",10^12,OFFSET(CRONOPLE!$F$14,$M412,BJ$13))))</f>
        <v>1000000000000</v>
      </c>
      <c r="BK412" s="181">
        <f ca="1">IF($D412&lt;&gt;"Serviço",0,IF(AND(AUTOEVENTO="Manual",$M412=1),0,IF(OFFSET(CRONOPLE!$F$14,$M412,BK$13)="",10^12,OFFSET(CRONOPLE!$F$14,$M412,BK$13))))</f>
        <v>1000000000000</v>
      </c>
      <c r="BL412" s="181">
        <f ca="1">IF($D412&lt;&gt;"Serviço",0,IF(AND(AUTOEVENTO="Manual",$M412=1),0,IF(OFFSET(CRONOPLE!$F$14,$M412,BL$13)="",10^12,OFFSET(CRONOPLE!$F$14,$M412,BL$13))))</f>
        <v>1000000000000</v>
      </c>
      <c r="BM412" s="181">
        <f ca="1">IF($D412&lt;&gt;"Serviço",0,IF(AND(AUTOEVENTO="Manual",$M412=1),0,IF(OFFSET(CRONOPLE!$F$14,$M412,BM$13)="",10^12,OFFSET(CRONOPLE!$F$14,$M412,BM$13))))</f>
        <v>1000000000000</v>
      </c>
      <c r="BN412" s="181">
        <f ca="1">IF($D412&lt;&gt;"Serviço",0,IF(AND(AUTOEVENTO="Manual",$M412=1),0,IF(OFFSET(CRONOPLE!$F$14,$M412,BN$13)="",10^12,OFFSET(CRONOPLE!$F$14,$M412,BN$13))))</f>
        <v>1000000000000</v>
      </c>
      <c r="BO412" s="181">
        <f ca="1">IF($D412&lt;&gt;"Serviço",0,IF(AND(AUTOEVENTO="Manual",$M412=1),0,IF(OFFSET(CRONOPLE!$F$14,$M412,BO$13)="",10^12,OFFSET(CRONOPLE!$F$14,$M412,BO$13))))</f>
        <v>1000000000000</v>
      </c>
      <c r="BP412" s="181">
        <f ca="1">IF($D412&lt;&gt;"Serviço",0,IF(AND(AUTOEVENTO="Manual",$M412=1),0,IF(OFFSET(CRONOPLE!$F$14,$M412,BP$13)="",10^12,OFFSET(CRONOPLE!$F$14,$M412,BP$13))))</f>
        <v>1000000000000</v>
      </c>
      <c r="BQ412" s="181">
        <f ca="1">IF($D412&lt;&gt;"Serviço",0,IF(AND(AUTOEVENTO="Manual",$M412=1),0,IF(OFFSET(CRONOPLE!$F$14,$M412,BQ$13)="",10^12,OFFSET(CRONOPLE!$F$14,$M412,BQ$13))))</f>
        <v>1000000000000</v>
      </c>
      <c r="BR412" s="181">
        <f ca="1">IF($D412&lt;&gt;"Serviço",0,IF(AND(AUTOEVENTO="Manual",$M412=1),0,IF(OFFSET(CRONOPLE!$F$14,$M412,BR$13)="",10^12,OFFSET(CRONOPLE!$F$14,$M412,BR$13))))</f>
        <v>1000000000000</v>
      </c>
      <c r="BS412" s="181">
        <f ca="1">IF($D412&lt;&gt;"Serviço",0,IF(AND(AUTOEVENTO="Manual",$M412=1),0,IF(OFFSET(CRONOPLE!$F$14,$M412,BS$13)="",10^12,OFFSET(CRONOPLE!$F$14,$M412,BS$13))))</f>
        <v>1000000000000</v>
      </c>
      <c r="BT412" s="181">
        <f ca="1">IF($D412&lt;&gt;"Serviço",0,IF(AND(AUTOEVENTO="Manual",$M412=1),0,IF(OFFSET(CRONOPLE!$F$14,$M412,BT$13)="",10^12,OFFSET(CRONOPLE!$F$14,$M412,BT$13))))</f>
        <v>1000000000000</v>
      </c>
      <c r="BV412" s="182">
        <f ca="1">IF($D412&lt;&gt;"Serviço",0,IF(OR(AND(AUTOEVENTO="Manual",$M412=1),$M412&gt;(ROW(PLE.lastrow)-ROW(PLE.firstrow))),0,IF(OFFSET(PLE!$G$14,$M412,BV$13)="",10^12,OFFSET(PLE!$G$14,$M412,BV$13))))</f>
        <v>1000000000000</v>
      </c>
      <c r="BW412" s="182">
        <f ca="1">IF($D412&lt;&gt;"Serviço",0,IF(OR(AND(AUTOEVENTO="Manual",$M412=1),$M412&gt;(ROW(PLE.lastrow)-ROW(PLE.firstrow))),0,IF(OFFSET(PLE!$G$14,$M412,BW$13)="",10^12,OFFSET(PLE!$G$14,$M412,BW$13))))</f>
        <v>1000000000000</v>
      </c>
      <c r="BX412" s="182">
        <f ca="1">IF($D412&lt;&gt;"Serviço",0,IF(OR(AND(AUTOEVENTO="Manual",$M412=1),$M412&gt;(ROW(PLE.lastrow)-ROW(PLE.firstrow))),0,IF(OFFSET(PLE!$G$14,$M412,BX$13)="",10^12,OFFSET(PLE!$G$14,$M412,BX$13))))</f>
        <v>1000000000000</v>
      </c>
      <c r="BY412" s="182">
        <f ca="1">IF($D412&lt;&gt;"Serviço",0,IF(OR(AND(AUTOEVENTO="Manual",$M412=1),$M412&gt;(ROW(PLE.lastrow)-ROW(PLE.firstrow))),0,IF(OFFSET(PLE!$G$14,$M412,BY$13)="",10^12,OFFSET(PLE!$G$14,$M412,BY$13))))</f>
        <v>1000000000000</v>
      </c>
      <c r="BZ412" s="182">
        <f ca="1">IF($D412&lt;&gt;"Serviço",0,IF(OR(AND(AUTOEVENTO="Manual",$M412=1),$M412&gt;(ROW(PLE.lastrow)-ROW(PLE.firstrow))),0,IF(OFFSET(PLE!$G$14,$M412,BZ$13)="",10^12,OFFSET(PLE!$G$14,$M412,BZ$13))))</f>
        <v>1000000000000</v>
      </c>
      <c r="CA412" s="182">
        <f ca="1">IF($D412&lt;&gt;"Serviço",0,IF(OR(AND(AUTOEVENTO="Manual",$M412=1),$M412&gt;(ROW(PLE.lastrow)-ROW(PLE.firstrow))),0,IF(OFFSET(PLE!$G$14,$M412,CA$13)="",10^12,OFFSET(PLE!$G$14,$M412,CA$13))))</f>
        <v>1000000000000</v>
      </c>
      <c r="CB412" s="182">
        <f ca="1">IF($D412&lt;&gt;"Serviço",0,IF(OR(AND(AUTOEVENTO="Manual",$M412=1),$M412&gt;(ROW(PLE.lastrow)-ROW(PLE.firstrow))),0,IF(OFFSET(PLE!$G$14,$M412,CB$13)="",10^12,OFFSET(PLE!$G$14,$M412,CB$13))))</f>
        <v>1000000000000</v>
      </c>
      <c r="CC412" s="182">
        <f ca="1">IF($D412&lt;&gt;"Serviço",0,IF(OR(AND(AUTOEVENTO="Manual",$M412=1),$M412&gt;(ROW(PLE.lastrow)-ROW(PLE.firstrow))),0,IF(OFFSET(PLE!$G$14,$M412,CC$13)="",10^12,OFFSET(PLE!$G$14,$M412,CC$13))))</f>
        <v>1000000000000</v>
      </c>
      <c r="CD412" s="182">
        <f ca="1">IF($D412&lt;&gt;"Serviço",0,IF(OR(AND(AUTOEVENTO="Manual",$M412=1),$M412&gt;(ROW(PLE.lastrow)-ROW(PLE.firstrow))),0,IF(OFFSET(PLE!$G$14,$M412,CD$13)="",10^12,OFFSET(PLE!$G$14,$M412,CD$13))))</f>
        <v>1000000000000</v>
      </c>
      <c r="CE412" s="182">
        <f ca="1">IF($D412&lt;&gt;"Serviço",0,IF(OR(AND(AUTOEVENTO="Manual",$M412=1),$M412&gt;(ROW(PLE.lastrow)-ROW(PLE.firstrow))),0,IF(OFFSET(PLE!$G$14,$M412,CE$13)="",10^12,OFFSET(PLE!$G$14,$M412,CE$13))))</f>
        <v>1000000000000</v>
      </c>
      <c r="CF412" s="182">
        <f ca="1">IF($D412&lt;&gt;"Serviço",0,IF(OR(AND(AUTOEVENTO="Manual",$M412=1),$M412&gt;(ROW(PLE.lastrow)-ROW(PLE.firstrow))),0,IF(OFFSET(PLE!$G$14,$M412,CF$13)="",10^12,OFFSET(PLE!$G$14,$M412,CF$13))))</f>
        <v>1000000000000</v>
      </c>
      <c r="CG412" s="182">
        <f ca="1">IF($D412&lt;&gt;"Serviço",0,IF(OR(AND(AUTOEVENTO="Manual",$M412=1),$M412&gt;(ROW(PLE.lastrow)-ROW(PLE.firstrow))),0,IF(OFFSET(PLE!$G$14,$M412,CG$13)="",10^12,OFFSET(PLE!$G$14,$M412,CG$13))))</f>
        <v>1000000000000</v>
      </c>
      <c r="CH412" s="182">
        <f ca="1">IF($D412&lt;&gt;"Serviço",0,IF(OR(AND(AUTOEVENTO="Manual",$M412=1),$M412&gt;(ROW(PLE.lastrow)-ROW(PLE.firstrow))),0,IF(OFFSET(PLE!$G$14,$M412,CH$13)="",10^12,OFFSET(PLE!$G$14,$M412,CH$13))))</f>
        <v>1000000000000</v>
      </c>
      <c r="CI412" s="182">
        <f ca="1">IF($D412&lt;&gt;"Serviço",0,IF(OR(AND(AUTOEVENTO="Manual",$M412=1),$M412&gt;(ROW(PLE.lastrow)-ROW(PLE.firstrow))),0,IF(OFFSET(PLE!$G$14,$M412,CI$13)="",10^12,OFFSET(PLE!$G$14,$M412,CI$13))))</f>
        <v>1000000000000</v>
      </c>
      <c r="CJ412" s="182">
        <f ca="1">IF($D412&lt;&gt;"Serviço",0,IF(OR(AND(AUTOEVENTO="Manual",$M412=1),$M412&gt;(ROW(PLE.lastrow)-ROW(PLE.firstrow))),0,IF(OFFSET(PLE!$G$14,$M412,CJ$13)="",10^12,OFFSET(PLE!$G$14,$M412,CJ$13))))</f>
        <v>1000000000000</v>
      </c>
      <c r="CK412" s="182">
        <f ca="1">IF($D412&lt;&gt;"Serviço",0,IF(OR(AND(AUTOEVENTO="Manual",$M412=1),$M412&gt;(ROW(PLE.lastrow)-ROW(PLE.firstrow))),0,IF(OFFSET(PLE!$G$14,$M412,CK$13)="",10^12,OFFSET(PLE!$G$14,$M412,CK$13))))</f>
        <v>1000000000000</v>
      </c>
      <c r="CL412" s="182">
        <f ca="1">IF($D412&lt;&gt;"Serviço",0,IF(OR(AND(AUTOEVENTO="Manual",$M412=1),$M412&gt;(ROW(PLE.lastrow)-ROW(PLE.firstrow))),0,IF(OFFSET(PLE!$G$14,$M412,CL$13)="",10^12,OFFSET(PLE!$G$14,$M412,CL$13))))</f>
        <v>1000000000000</v>
      </c>
      <c r="CM412" s="182">
        <f ca="1">IF($D412&lt;&gt;"Serviço",0,IF(OR(AND(AUTOEVENTO="Manual",$M412=1),$M412&gt;(ROW(PLE.lastrow)-ROW(PLE.firstrow))),0,IF(OFFSET(PLE!$G$14,$M412,CM$13)="",10^12,OFFSET(PLE!$G$14,$M412,CM$13))))</f>
        <v>1000000000000</v>
      </c>
    </row>
    <row r="413" spans="1:91" ht="38.25" x14ac:dyDescent="0.2">
      <c r="A413" s="7" t="str">
        <f t="shared" ca="1" si="13"/>
        <v>387</v>
      </c>
      <c r="B413" s="7" t="str">
        <f ca="1">OFFSET(ORÇAMENTO!C$15,ROW(B413)-ROW(B$15),0)</f>
        <v>S</v>
      </c>
      <c r="C413" s="7" t="str">
        <f ca="1">OFFSET(ORÇAMENTO!L$15,ROW(C413)-ROW(C$15),0)</f>
        <v/>
      </c>
      <c r="D413" s="118" t="str">
        <f ca="1">OFFSET(ORÇAMENTO!N$15,ROW(D413)-ROW(D$15),0)</f>
        <v>Serviço</v>
      </c>
      <c r="E413" s="119" t="str">
        <f ca="1">OFFSET(ORÇAMENTO!O$15,ROW(E413)-ROW(E$15),0)</f>
        <v>-</v>
      </c>
      <c r="F413" s="172" t="str">
        <f ca="1">OFFSET(ORÇAMENTO!R$15,ROW(F413)-ROW(F$15),0)</f>
        <v>(abra o arquivo 'Referência 06-2024.xlsm)</v>
      </c>
      <c r="G413" s="173" t="str">
        <f ca="1">IF($D413&lt;&gt;"Serviço","",OFFSET(ORÇAMENTO!S$15,ROW(G413)-ROW(G$15),0))</f>
        <v>-</v>
      </c>
      <c r="H413" s="124">
        <f ca="1">IF($D413&lt;&gt;"Serviço",0,IF(ACOMPANHAMENTO="BM",ROUND(OFFSET(ORÇAMENTO!AJ$15,ROW(H413)-ROW(H$15),0),15-13*ORÇAMENTO!$AF$7),SUMPRODUCT(($Q$12:$AI$12&lt;&gt;"")*ROUND($Q413:$AI413,15-13*ORÇAMENTO!$AF$7))))</f>
        <v>6</v>
      </c>
      <c r="I413" s="561" t="s">
        <v>1107</v>
      </c>
      <c r="K413" s="174"/>
      <c r="L413" s="175" t="s">
        <v>255</v>
      </c>
      <c r="M413" s="176">
        <f ca="1">IF($D413&lt;&gt;"Serviço","",IF(AUTOEVENTO="manual",$A413,IF(ISERROR(MATCH($A413,$A$15:OFFSET($A413,-1,0),0)),MAX($M$15:OFFSET(M413,-1,0))+1,INDEX($M$15:OFFSET(M413,-1,0),MATCH($A413,$A$15:OFFSET($A413,-1,0),0)))))</f>
        <v>45</v>
      </c>
      <c r="N413" s="177" t="str">
        <f ca="1">IF($D413&lt;&gt;"Serviço","",IF(AUTOEVENTO="Manual",IF($A413=0,"&lt;-- defina o número do agrupador",OFFSET(EVENTOS!$D$14,$A413,0)),OFFSET($F$15,$A413,0)))</f>
        <v>INSTALAÇÃO DE GÁS COMBUSTÍVEL</v>
      </c>
      <c r="O413" s="178"/>
      <c r="Q413" s="178">
        <v>6</v>
      </c>
      <c r="R413" s="179"/>
      <c r="S413" s="179"/>
      <c r="T413" s="179"/>
      <c r="U413" s="179"/>
      <c r="V413" s="179"/>
      <c r="W413" s="179"/>
      <c r="X413" s="179"/>
      <c r="Y413" s="179"/>
      <c r="Z413" s="180"/>
      <c r="AA413" s="179"/>
      <c r="AB413" s="179"/>
      <c r="AC413" s="179"/>
      <c r="AD413" s="179"/>
      <c r="AE413" s="179"/>
      <c r="AF413" s="179"/>
      <c r="AG413" s="179"/>
      <c r="AH413" s="180"/>
      <c r="AJ413" s="544">
        <f ca="1">IF(AND($D413="Serviço",AJ$12&lt;&gt;0,$H413&gt;0,OR(AUTOEVENTO&lt;&gt;"manual",$M413&lt;&gt;1)),
IF(Import.TipoArredondamento&lt;&gt;"TransfereGOV",
ROUND(OFFSET($P413,0,AJ$13),15-13*ORÇAMENTO!$AF$7)/$H413*OFFSET(ORÇAMENTO!$X$15,ROW(AJ413)-ROW(AJ$15),0),
ROUND(ROUND(OFFSET($P413,0,AJ$13),15-13*ORÇAMENTO!$AF$7)*OFFSET(ORÇAMENTO!$W$15,ROW(AJ413)-ROW(AJ$15),0),15-13*ORÇAMENTO!$AF$11)),0)</f>
        <v>0</v>
      </c>
      <c r="AK413" s="545">
        <f ca="1">IF(AND($D413="Serviço",AK$12&lt;&gt;0,$H413&gt;0,OR(AUTOEVENTO&lt;&gt;"manual",$M413&lt;&gt;1)),
IF(Import.TipoArredondamento&lt;&gt;"TransfereGOV",
ROUND(OFFSET($P413,0,AK$13),15-13*ORÇAMENTO!$AF$7)/$H413*OFFSET(ORÇAMENTO!$X$15,ROW(AK413)-ROW(AK$15),0),
ROUND(ROUND(OFFSET($P413,0,AK$13),15-13*ORÇAMENTO!$AF$7)*OFFSET(ORÇAMENTO!$W$15,ROW(AK413)-ROW(AK$15),0),15-13*ORÇAMENTO!$AF$11)),0)</f>
        <v>0</v>
      </c>
      <c r="AL413" s="545">
        <f ca="1">IF(AND($D413="Serviço",AL$12&lt;&gt;0,$H413&gt;0,OR(AUTOEVENTO&lt;&gt;"manual",$M413&lt;&gt;1)),
IF(Import.TipoArredondamento&lt;&gt;"TransfereGOV",
ROUND(OFFSET($P413,0,AL$13),15-13*ORÇAMENTO!$AF$7)/$H413*OFFSET(ORÇAMENTO!$X$15,ROW(AL413)-ROW(AL$15),0),
ROUND(ROUND(OFFSET($P413,0,AL$13),15-13*ORÇAMENTO!$AF$7)*OFFSET(ORÇAMENTO!$W$15,ROW(AL413)-ROW(AL$15),0),15-13*ORÇAMENTO!$AF$11)),0)</f>
        <v>0</v>
      </c>
      <c r="AM413" s="545">
        <f ca="1">IF(AND($D413="Serviço",AM$12&lt;&gt;0,$H413&gt;0,OR(AUTOEVENTO&lt;&gt;"manual",$M413&lt;&gt;1)),
IF(Import.TipoArredondamento&lt;&gt;"TransfereGOV",
ROUND(OFFSET($P413,0,AM$13),15-13*ORÇAMENTO!$AF$7)/$H413*OFFSET(ORÇAMENTO!$X$15,ROW(AM413)-ROW(AM$15),0),
ROUND(ROUND(OFFSET($P413,0,AM$13),15-13*ORÇAMENTO!$AF$7)*OFFSET(ORÇAMENTO!$W$15,ROW(AM413)-ROW(AM$15),0),15-13*ORÇAMENTO!$AF$11)),0)</f>
        <v>0</v>
      </c>
      <c r="AN413" s="545">
        <f ca="1">IF(AND($D413="Serviço",AN$12&lt;&gt;0,$H413&gt;0,OR(AUTOEVENTO&lt;&gt;"manual",$M413&lt;&gt;1)),
IF(Import.TipoArredondamento&lt;&gt;"TransfereGOV",
ROUND(OFFSET($P413,0,AN$13),15-13*ORÇAMENTO!$AF$7)/$H413*OFFSET(ORÇAMENTO!$X$15,ROW(AN413)-ROW(AN$15),0),
ROUND(ROUND(OFFSET($P413,0,AN$13),15-13*ORÇAMENTO!$AF$7)*OFFSET(ORÇAMENTO!$W$15,ROW(AN413)-ROW(AN$15),0),15-13*ORÇAMENTO!$AF$11)),0)</f>
        <v>0</v>
      </c>
      <c r="AO413" s="545">
        <f ca="1">IF(AND($D413="Serviço",AO$12&lt;&gt;0,$H413&gt;0,OR(AUTOEVENTO&lt;&gt;"manual",$M413&lt;&gt;1)),
IF(Import.TipoArredondamento&lt;&gt;"TransfereGOV",
ROUND(OFFSET($P413,0,AO$13),15-13*ORÇAMENTO!$AF$7)/$H413*OFFSET(ORÇAMENTO!$X$15,ROW(AO413)-ROW(AO$15),0),
ROUND(ROUND(OFFSET($P413,0,AO$13),15-13*ORÇAMENTO!$AF$7)*OFFSET(ORÇAMENTO!$W$15,ROW(AO413)-ROW(AO$15),0),15-13*ORÇAMENTO!$AF$11)),0)</f>
        <v>0</v>
      </c>
      <c r="AP413" s="545">
        <f ca="1">IF(AND($D413="Serviço",AP$12&lt;&gt;0,$H413&gt;0,OR(AUTOEVENTO&lt;&gt;"manual",$M413&lt;&gt;1)),
IF(Import.TipoArredondamento&lt;&gt;"TransfereGOV",
ROUND(OFFSET($P413,0,AP$13),15-13*ORÇAMENTO!$AF$7)/$H413*OFFSET(ORÇAMENTO!$X$15,ROW(AP413)-ROW(AP$15),0),
ROUND(ROUND(OFFSET($P413,0,AP$13),15-13*ORÇAMENTO!$AF$7)*OFFSET(ORÇAMENTO!$W$15,ROW(AP413)-ROW(AP$15),0),15-13*ORÇAMENTO!$AF$11)),0)</f>
        <v>0</v>
      </c>
      <c r="AQ413" s="545">
        <f ca="1">IF(AND($D413="Serviço",AQ$12&lt;&gt;0,$H413&gt;0,OR(AUTOEVENTO&lt;&gt;"manual",$M413&lt;&gt;1)),
IF(Import.TipoArredondamento&lt;&gt;"TransfereGOV",
ROUND(OFFSET($P413,0,AQ$13),15-13*ORÇAMENTO!$AF$7)/$H413*OFFSET(ORÇAMENTO!$X$15,ROW(AQ413)-ROW(AQ$15),0),
ROUND(ROUND(OFFSET($P413,0,AQ$13),15-13*ORÇAMENTO!$AF$7)*OFFSET(ORÇAMENTO!$W$15,ROW(AQ413)-ROW(AQ$15),0),15-13*ORÇAMENTO!$AF$11)),0)</f>
        <v>0</v>
      </c>
      <c r="AR413" s="545">
        <f ca="1">IF(AND($D413="Serviço",AR$12&lt;&gt;0,$H413&gt;0,OR(AUTOEVENTO&lt;&gt;"manual",$M413&lt;&gt;1)),
IF(Import.TipoArredondamento&lt;&gt;"TransfereGOV",
ROUND(OFFSET($P413,0,AR$13),15-13*ORÇAMENTO!$AF$7)/$H413*OFFSET(ORÇAMENTO!$X$15,ROW(AR413)-ROW(AR$15),0),
ROUND(ROUND(OFFSET($P413,0,AR$13),15-13*ORÇAMENTO!$AF$7)*OFFSET(ORÇAMENTO!$W$15,ROW(AR413)-ROW(AR$15),0),15-13*ORÇAMENTO!$AF$11)),0)</f>
        <v>0</v>
      </c>
      <c r="AS413" s="546">
        <f ca="1">IF(AND($D413="Serviço",AS$12&lt;&gt;0,$H413&gt;0,OR(AUTOEVENTO&lt;&gt;"manual",$M413&lt;&gt;1)),
IF(Import.TipoArredondamento&lt;&gt;"TransfereGOV",
ROUND(OFFSET($P413,0,AS$13),15-13*ORÇAMENTO!$AF$7)/$H413*OFFSET(ORÇAMENTO!$X$15,ROW(AS413)-ROW(AS$15),0),
ROUND(ROUND(OFFSET($P413,0,AS$13),15-13*ORÇAMENTO!$AF$7)*OFFSET(ORÇAMENTO!$W$15,ROW(AS413)-ROW(AS$15),0),15-13*ORÇAMENTO!$AF$11)),0)</f>
        <v>0</v>
      </c>
      <c r="AT413" s="545">
        <f ca="1">IF(AND($D413="Serviço",AT$12&lt;&gt;0,$H413&gt;0,OR(AUTOEVENTO&lt;&gt;"manual",$M413&lt;&gt;1)),
IF(Import.TipoArredondamento&lt;&gt;"TransfereGOV",
ROUND(OFFSET($P413,0,AT$13),15-13*ORÇAMENTO!$AF$7)/$H413*OFFSET(ORÇAMENTO!$X$15,ROW(AT413)-ROW(AT$15),0),
ROUND(ROUND(OFFSET($P413,0,AT$13),15-13*ORÇAMENTO!$AF$7)*OFFSET(ORÇAMENTO!$W$15,ROW(AT413)-ROW(AT$15),0),15-13*ORÇAMENTO!$AF$11)),0)</f>
        <v>0</v>
      </c>
      <c r="AU413" s="545">
        <f ca="1">IF(AND($D413="Serviço",AU$12&lt;&gt;0,$H413&gt;0,OR(AUTOEVENTO&lt;&gt;"manual",$M413&lt;&gt;1)),
IF(Import.TipoArredondamento&lt;&gt;"TransfereGOV",
ROUND(OFFSET($P413,0,AU$13),15-13*ORÇAMENTO!$AF$7)/$H413*OFFSET(ORÇAMENTO!$X$15,ROW(AU413)-ROW(AU$15),0),
ROUND(ROUND(OFFSET($P413,0,AU$13),15-13*ORÇAMENTO!$AF$7)*OFFSET(ORÇAMENTO!$W$15,ROW(AU413)-ROW(AU$15),0),15-13*ORÇAMENTO!$AF$11)),0)</f>
        <v>0</v>
      </c>
      <c r="AV413" s="545">
        <f ca="1">IF(AND($D413="Serviço",AV$12&lt;&gt;0,$H413&gt;0,OR(AUTOEVENTO&lt;&gt;"manual",$M413&lt;&gt;1)),
IF(Import.TipoArredondamento&lt;&gt;"TransfereGOV",
ROUND(OFFSET($P413,0,AV$13),15-13*ORÇAMENTO!$AF$7)/$H413*OFFSET(ORÇAMENTO!$X$15,ROW(AV413)-ROW(AV$15),0),
ROUND(ROUND(OFFSET($P413,0,AV$13),15-13*ORÇAMENTO!$AF$7)*OFFSET(ORÇAMENTO!$W$15,ROW(AV413)-ROW(AV$15),0),15-13*ORÇAMENTO!$AF$11)),0)</f>
        <v>0</v>
      </c>
      <c r="AW413" s="545">
        <f ca="1">IF(AND($D413="Serviço",AW$12&lt;&gt;0,$H413&gt;0,OR(AUTOEVENTO&lt;&gt;"manual",$M413&lt;&gt;1)),
IF(Import.TipoArredondamento&lt;&gt;"TransfereGOV",
ROUND(OFFSET($P413,0,AW$13),15-13*ORÇAMENTO!$AF$7)/$H413*OFFSET(ORÇAMENTO!$X$15,ROW(AW413)-ROW(AW$15),0),
ROUND(ROUND(OFFSET($P413,0,AW$13),15-13*ORÇAMENTO!$AF$7)*OFFSET(ORÇAMENTO!$W$15,ROW(AW413)-ROW(AW$15),0),15-13*ORÇAMENTO!$AF$11)),0)</f>
        <v>0</v>
      </c>
      <c r="AX413" s="545">
        <f ca="1">IF(AND($D413="Serviço",AX$12&lt;&gt;0,$H413&gt;0,OR(AUTOEVENTO&lt;&gt;"manual",$M413&lt;&gt;1)),
IF(Import.TipoArredondamento&lt;&gt;"TransfereGOV",
ROUND(OFFSET($P413,0,AX$13),15-13*ORÇAMENTO!$AF$7)/$H413*OFFSET(ORÇAMENTO!$X$15,ROW(AX413)-ROW(AX$15),0),
ROUND(ROUND(OFFSET($P413,0,AX$13),15-13*ORÇAMENTO!$AF$7)*OFFSET(ORÇAMENTO!$W$15,ROW(AX413)-ROW(AX$15),0),15-13*ORÇAMENTO!$AF$11)),0)</f>
        <v>0</v>
      </c>
      <c r="AY413" s="545">
        <f ca="1">IF(AND($D413="Serviço",AY$12&lt;&gt;0,$H413&gt;0,OR(AUTOEVENTO&lt;&gt;"manual",$M413&lt;&gt;1)),
IF(Import.TipoArredondamento&lt;&gt;"TransfereGOV",
ROUND(OFFSET($P413,0,AY$13),15-13*ORÇAMENTO!$AF$7)/$H413*OFFSET(ORÇAMENTO!$X$15,ROW(AY413)-ROW(AY$15),0),
ROUND(ROUND(OFFSET($P413,0,AY$13),15-13*ORÇAMENTO!$AF$7)*OFFSET(ORÇAMENTO!$W$15,ROW(AY413)-ROW(AY$15),0),15-13*ORÇAMENTO!$AF$11)),0)</f>
        <v>0</v>
      </c>
      <c r="AZ413" s="545">
        <f ca="1">IF(AND($D413="Serviço",AZ$12&lt;&gt;0,$H413&gt;0,OR(AUTOEVENTO&lt;&gt;"manual",$M413&lt;&gt;1)),
IF(Import.TipoArredondamento&lt;&gt;"TransfereGOV",
ROUND(OFFSET($P413,0,AZ$13),15-13*ORÇAMENTO!$AF$7)/$H413*OFFSET(ORÇAMENTO!$X$15,ROW(AZ413)-ROW(AZ$15),0),
ROUND(ROUND(OFFSET($P413,0,AZ$13),15-13*ORÇAMENTO!$AF$7)*OFFSET(ORÇAMENTO!$W$15,ROW(AZ413)-ROW(AZ$15),0),15-13*ORÇAMENTO!$AF$11)),0)</f>
        <v>0</v>
      </c>
      <c r="BA413" s="546">
        <f ca="1">IF(AND($D413="Serviço",BA$12&lt;&gt;0,$H413&gt;0,OR(AUTOEVENTO&lt;&gt;"manual",$M413&lt;&gt;1)),
IF(Import.TipoArredondamento&lt;&gt;"TransfereGOV",
ROUND(OFFSET($P413,0,BA$13),15-13*ORÇAMENTO!$AF$7)/$H413*OFFSET(ORÇAMENTO!$X$15,ROW(BA413)-ROW(BA$15),0),
ROUND(ROUND(OFFSET($P413,0,BA$13),15-13*ORÇAMENTO!$AF$7)*OFFSET(ORÇAMENTO!$W$15,ROW(BA413)-ROW(BA$15),0),15-13*ORÇAMENTO!$AF$11)),0)</f>
        <v>0</v>
      </c>
      <c r="BC413" s="181">
        <f ca="1">IF($D413&lt;&gt;"Serviço",0,IF(AND(AUTOEVENTO="Manual",$M413=1),0,IF(OFFSET(CRONOPLE!$F$14,$M413,BC$13)="",10^12,OFFSET(CRONOPLE!$F$14,$M413,BC$13))))</f>
        <v>10</v>
      </c>
      <c r="BD413" s="181">
        <f ca="1">IF($D413&lt;&gt;"Serviço",0,IF(AND(AUTOEVENTO="Manual",$M413=1),0,IF(OFFSET(CRONOPLE!$F$14,$M413,BD$13)="",10^12,OFFSET(CRONOPLE!$F$14,$M413,BD$13))))</f>
        <v>1000000000000</v>
      </c>
      <c r="BE413" s="181">
        <f ca="1">IF($D413&lt;&gt;"Serviço",0,IF(AND(AUTOEVENTO="Manual",$M413=1),0,IF(OFFSET(CRONOPLE!$F$14,$M413,BE$13)="",10^12,OFFSET(CRONOPLE!$F$14,$M413,BE$13))))</f>
        <v>1000000000000</v>
      </c>
      <c r="BF413" s="181">
        <f ca="1">IF($D413&lt;&gt;"Serviço",0,IF(AND(AUTOEVENTO="Manual",$M413=1),0,IF(OFFSET(CRONOPLE!$F$14,$M413,BF$13)="",10^12,OFFSET(CRONOPLE!$F$14,$M413,BF$13))))</f>
        <v>1000000000000</v>
      </c>
      <c r="BG413" s="181">
        <f ca="1">IF($D413&lt;&gt;"Serviço",0,IF(AND(AUTOEVENTO="Manual",$M413=1),0,IF(OFFSET(CRONOPLE!$F$14,$M413,BG$13)="",10^12,OFFSET(CRONOPLE!$F$14,$M413,BG$13))))</f>
        <v>1000000000000</v>
      </c>
      <c r="BH413" s="181">
        <f ca="1">IF($D413&lt;&gt;"Serviço",0,IF(AND(AUTOEVENTO="Manual",$M413=1),0,IF(OFFSET(CRONOPLE!$F$14,$M413,BH$13)="",10^12,OFFSET(CRONOPLE!$F$14,$M413,BH$13))))</f>
        <v>1000000000000</v>
      </c>
      <c r="BI413" s="181">
        <f ca="1">IF($D413&lt;&gt;"Serviço",0,IF(AND(AUTOEVENTO="Manual",$M413=1),0,IF(OFFSET(CRONOPLE!$F$14,$M413,BI$13)="",10^12,OFFSET(CRONOPLE!$F$14,$M413,BI$13))))</f>
        <v>1000000000000</v>
      </c>
      <c r="BJ413" s="181">
        <f ca="1">IF($D413&lt;&gt;"Serviço",0,IF(AND(AUTOEVENTO="Manual",$M413=1),0,IF(OFFSET(CRONOPLE!$F$14,$M413,BJ$13)="",10^12,OFFSET(CRONOPLE!$F$14,$M413,BJ$13))))</f>
        <v>1000000000000</v>
      </c>
      <c r="BK413" s="181">
        <f ca="1">IF($D413&lt;&gt;"Serviço",0,IF(AND(AUTOEVENTO="Manual",$M413=1),0,IF(OFFSET(CRONOPLE!$F$14,$M413,BK$13)="",10^12,OFFSET(CRONOPLE!$F$14,$M413,BK$13))))</f>
        <v>1000000000000</v>
      </c>
      <c r="BL413" s="181">
        <f ca="1">IF($D413&lt;&gt;"Serviço",0,IF(AND(AUTOEVENTO="Manual",$M413=1),0,IF(OFFSET(CRONOPLE!$F$14,$M413,BL$13)="",10^12,OFFSET(CRONOPLE!$F$14,$M413,BL$13))))</f>
        <v>1000000000000</v>
      </c>
      <c r="BM413" s="181">
        <f ca="1">IF($D413&lt;&gt;"Serviço",0,IF(AND(AUTOEVENTO="Manual",$M413=1),0,IF(OFFSET(CRONOPLE!$F$14,$M413,BM$13)="",10^12,OFFSET(CRONOPLE!$F$14,$M413,BM$13))))</f>
        <v>1000000000000</v>
      </c>
      <c r="BN413" s="181">
        <f ca="1">IF($D413&lt;&gt;"Serviço",0,IF(AND(AUTOEVENTO="Manual",$M413=1),0,IF(OFFSET(CRONOPLE!$F$14,$M413,BN$13)="",10^12,OFFSET(CRONOPLE!$F$14,$M413,BN$13))))</f>
        <v>1000000000000</v>
      </c>
      <c r="BO413" s="181">
        <f ca="1">IF($D413&lt;&gt;"Serviço",0,IF(AND(AUTOEVENTO="Manual",$M413=1),0,IF(OFFSET(CRONOPLE!$F$14,$M413,BO$13)="",10^12,OFFSET(CRONOPLE!$F$14,$M413,BO$13))))</f>
        <v>1000000000000</v>
      </c>
      <c r="BP413" s="181">
        <f ca="1">IF($D413&lt;&gt;"Serviço",0,IF(AND(AUTOEVENTO="Manual",$M413=1),0,IF(OFFSET(CRONOPLE!$F$14,$M413,BP$13)="",10^12,OFFSET(CRONOPLE!$F$14,$M413,BP$13))))</f>
        <v>1000000000000</v>
      </c>
      <c r="BQ413" s="181">
        <f ca="1">IF($D413&lt;&gt;"Serviço",0,IF(AND(AUTOEVENTO="Manual",$M413=1),0,IF(OFFSET(CRONOPLE!$F$14,$M413,BQ$13)="",10^12,OFFSET(CRONOPLE!$F$14,$M413,BQ$13))))</f>
        <v>1000000000000</v>
      </c>
      <c r="BR413" s="181">
        <f ca="1">IF($D413&lt;&gt;"Serviço",0,IF(AND(AUTOEVENTO="Manual",$M413=1),0,IF(OFFSET(CRONOPLE!$F$14,$M413,BR$13)="",10^12,OFFSET(CRONOPLE!$F$14,$M413,BR$13))))</f>
        <v>1000000000000</v>
      </c>
      <c r="BS413" s="181">
        <f ca="1">IF($D413&lt;&gt;"Serviço",0,IF(AND(AUTOEVENTO="Manual",$M413=1),0,IF(OFFSET(CRONOPLE!$F$14,$M413,BS$13)="",10^12,OFFSET(CRONOPLE!$F$14,$M413,BS$13))))</f>
        <v>1000000000000</v>
      </c>
      <c r="BT413" s="181">
        <f ca="1">IF($D413&lt;&gt;"Serviço",0,IF(AND(AUTOEVENTO="Manual",$M413=1),0,IF(OFFSET(CRONOPLE!$F$14,$M413,BT$13)="",10^12,OFFSET(CRONOPLE!$F$14,$M413,BT$13))))</f>
        <v>1000000000000</v>
      </c>
      <c r="BV413" s="182">
        <f ca="1">IF($D413&lt;&gt;"Serviço",0,IF(OR(AND(AUTOEVENTO="Manual",$M413=1),$M413&gt;(ROW(PLE.lastrow)-ROW(PLE.firstrow))),0,IF(OFFSET(PLE!$G$14,$M413,BV$13)="",10^12,OFFSET(PLE!$G$14,$M413,BV$13))))</f>
        <v>1000000000000</v>
      </c>
      <c r="BW413" s="182">
        <f ca="1">IF($D413&lt;&gt;"Serviço",0,IF(OR(AND(AUTOEVENTO="Manual",$M413=1),$M413&gt;(ROW(PLE.lastrow)-ROW(PLE.firstrow))),0,IF(OFFSET(PLE!$G$14,$M413,BW$13)="",10^12,OFFSET(PLE!$G$14,$M413,BW$13))))</f>
        <v>1000000000000</v>
      </c>
      <c r="BX413" s="182">
        <f ca="1">IF($D413&lt;&gt;"Serviço",0,IF(OR(AND(AUTOEVENTO="Manual",$M413=1),$M413&gt;(ROW(PLE.lastrow)-ROW(PLE.firstrow))),0,IF(OFFSET(PLE!$G$14,$M413,BX$13)="",10^12,OFFSET(PLE!$G$14,$M413,BX$13))))</f>
        <v>1000000000000</v>
      </c>
      <c r="BY413" s="182">
        <f ca="1">IF($D413&lt;&gt;"Serviço",0,IF(OR(AND(AUTOEVENTO="Manual",$M413=1),$M413&gt;(ROW(PLE.lastrow)-ROW(PLE.firstrow))),0,IF(OFFSET(PLE!$G$14,$M413,BY$13)="",10^12,OFFSET(PLE!$G$14,$M413,BY$13))))</f>
        <v>1000000000000</v>
      </c>
      <c r="BZ413" s="182">
        <f ca="1">IF($D413&lt;&gt;"Serviço",0,IF(OR(AND(AUTOEVENTO="Manual",$M413=1),$M413&gt;(ROW(PLE.lastrow)-ROW(PLE.firstrow))),0,IF(OFFSET(PLE!$G$14,$M413,BZ$13)="",10^12,OFFSET(PLE!$G$14,$M413,BZ$13))))</f>
        <v>1000000000000</v>
      </c>
      <c r="CA413" s="182">
        <f ca="1">IF($D413&lt;&gt;"Serviço",0,IF(OR(AND(AUTOEVENTO="Manual",$M413=1),$M413&gt;(ROW(PLE.lastrow)-ROW(PLE.firstrow))),0,IF(OFFSET(PLE!$G$14,$M413,CA$13)="",10^12,OFFSET(PLE!$G$14,$M413,CA$13))))</f>
        <v>1000000000000</v>
      </c>
      <c r="CB413" s="182">
        <f ca="1">IF($D413&lt;&gt;"Serviço",0,IF(OR(AND(AUTOEVENTO="Manual",$M413=1),$M413&gt;(ROW(PLE.lastrow)-ROW(PLE.firstrow))),0,IF(OFFSET(PLE!$G$14,$M413,CB$13)="",10^12,OFFSET(PLE!$G$14,$M413,CB$13))))</f>
        <v>1000000000000</v>
      </c>
      <c r="CC413" s="182">
        <f ca="1">IF($D413&lt;&gt;"Serviço",0,IF(OR(AND(AUTOEVENTO="Manual",$M413=1),$M413&gt;(ROW(PLE.lastrow)-ROW(PLE.firstrow))),0,IF(OFFSET(PLE!$G$14,$M413,CC$13)="",10^12,OFFSET(PLE!$G$14,$M413,CC$13))))</f>
        <v>1000000000000</v>
      </c>
      <c r="CD413" s="182">
        <f ca="1">IF($D413&lt;&gt;"Serviço",0,IF(OR(AND(AUTOEVENTO="Manual",$M413=1),$M413&gt;(ROW(PLE.lastrow)-ROW(PLE.firstrow))),0,IF(OFFSET(PLE!$G$14,$M413,CD$13)="",10^12,OFFSET(PLE!$G$14,$M413,CD$13))))</f>
        <v>1000000000000</v>
      </c>
      <c r="CE413" s="182">
        <f ca="1">IF($D413&lt;&gt;"Serviço",0,IF(OR(AND(AUTOEVENTO="Manual",$M413=1),$M413&gt;(ROW(PLE.lastrow)-ROW(PLE.firstrow))),0,IF(OFFSET(PLE!$G$14,$M413,CE$13)="",10^12,OFFSET(PLE!$G$14,$M413,CE$13))))</f>
        <v>1000000000000</v>
      </c>
      <c r="CF413" s="182">
        <f ca="1">IF($D413&lt;&gt;"Serviço",0,IF(OR(AND(AUTOEVENTO="Manual",$M413=1),$M413&gt;(ROW(PLE.lastrow)-ROW(PLE.firstrow))),0,IF(OFFSET(PLE!$G$14,$M413,CF$13)="",10^12,OFFSET(PLE!$G$14,$M413,CF$13))))</f>
        <v>1000000000000</v>
      </c>
      <c r="CG413" s="182">
        <f ca="1">IF($D413&lt;&gt;"Serviço",0,IF(OR(AND(AUTOEVENTO="Manual",$M413=1),$M413&gt;(ROW(PLE.lastrow)-ROW(PLE.firstrow))),0,IF(OFFSET(PLE!$G$14,$M413,CG$13)="",10^12,OFFSET(PLE!$G$14,$M413,CG$13))))</f>
        <v>1000000000000</v>
      </c>
      <c r="CH413" s="182">
        <f ca="1">IF($D413&lt;&gt;"Serviço",0,IF(OR(AND(AUTOEVENTO="Manual",$M413=1),$M413&gt;(ROW(PLE.lastrow)-ROW(PLE.firstrow))),0,IF(OFFSET(PLE!$G$14,$M413,CH$13)="",10^12,OFFSET(PLE!$G$14,$M413,CH$13))))</f>
        <v>1000000000000</v>
      </c>
      <c r="CI413" s="182">
        <f ca="1">IF($D413&lt;&gt;"Serviço",0,IF(OR(AND(AUTOEVENTO="Manual",$M413=1),$M413&gt;(ROW(PLE.lastrow)-ROW(PLE.firstrow))),0,IF(OFFSET(PLE!$G$14,$M413,CI$13)="",10^12,OFFSET(PLE!$G$14,$M413,CI$13))))</f>
        <v>1000000000000</v>
      </c>
      <c r="CJ413" s="182">
        <f ca="1">IF($D413&lt;&gt;"Serviço",0,IF(OR(AND(AUTOEVENTO="Manual",$M413=1),$M413&gt;(ROW(PLE.lastrow)-ROW(PLE.firstrow))),0,IF(OFFSET(PLE!$G$14,$M413,CJ$13)="",10^12,OFFSET(PLE!$G$14,$M413,CJ$13))))</f>
        <v>1000000000000</v>
      </c>
      <c r="CK413" s="182">
        <f ca="1">IF($D413&lt;&gt;"Serviço",0,IF(OR(AND(AUTOEVENTO="Manual",$M413=1),$M413&gt;(ROW(PLE.lastrow)-ROW(PLE.firstrow))),0,IF(OFFSET(PLE!$G$14,$M413,CK$13)="",10^12,OFFSET(PLE!$G$14,$M413,CK$13))))</f>
        <v>1000000000000</v>
      </c>
      <c r="CL413" s="182">
        <f ca="1">IF($D413&lt;&gt;"Serviço",0,IF(OR(AND(AUTOEVENTO="Manual",$M413=1),$M413&gt;(ROW(PLE.lastrow)-ROW(PLE.firstrow))),0,IF(OFFSET(PLE!$G$14,$M413,CL$13)="",10^12,OFFSET(PLE!$G$14,$M413,CL$13))))</f>
        <v>1000000000000</v>
      </c>
      <c r="CM413" s="182">
        <f ca="1">IF($D413&lt;&gt;"Serviço",0,IF(OR(AND(AUTOEVENTO="Manual",$M413=1),$M413&gt;(ROW(PLE.lastrow)-ROW(PLE.firstrow))),0,IF(OFFSET(PLE!$G$14,$M413,CM$13)="",10^12,OFFSET(PLE!$G$14,$M413,CM$13))))</f>
        <v>1000000000000</v>
      </c>
    </row>
    <row r="414" spans="1:91" ht="38.25" x14ac:dyDescent="0.2">
      <c r="A414" s="7" t="str">
        <f t="shared" ca="1" si="13"/>
        <v>387</v>
      </c>
      <c r="B414" s="7" t="str">
        <f ca="1">OFFSET(ORÇAMENTO!C$15,ROW(B414)-ROW(B$15),0)</f>
        <v>S</v>
      </c>
      <c r="C414" s="7" t="str">
        <f ca="1">OFFSET(ORÇAMENTO!L$15,ROW(C414)-ROW(C$15),0)</f>
        <v/>
      </c>
      <c r="D414" s="118" t="str">
        <f ca="1">OFFSET(ORÇAMENTO!N$15,ROW(D414)-ROW(D$15),0)</f>
        <v>Serviço</v>
      </c>
      <c r="E414" s="119" t="str">
        <f ca="1">OFFSET(ORÇAMENTO!O$15,ROW(E414)-ROW(E$15),0)</f>
        <v>-</v>
      </c>
      <c r="F414" s="172" t="str">
        <f ca="1">OFFSET(ORÇAMENTO!R$15,ROW(F414)-ROW(F$15),0)</f>
        <v>(abra o arquivo 'Referência 06-2024.xlsm)</v>
      </c>
      <c r="G414" s="173" t="str">
        <f ca="1">IF($D414&lt;&gt;"Serviço","",OFFSET(ORÇAMENTO!S$15,ROW(G414)-ROW(G$15),0))</f>
        <v>-</v>
      </c>
      <c r="H414" s="124">
        <f ca="1">IF($D414&lt;&gt;"Serviço",0,IF(ACOMPANHAMENTO="BM",ROUND(OFFSET(ORÇAMENTO!AJ$15,ROW(H414)-ROW(H$15),0),15-13*ORÇAMENTO!$AF$7),SUMPRODUCT(($Q$12:$AI$12&lt;&gt;"")*ROUND($Q414:$AI414,15-13*ORÇAMENTO!$AF$7))))</f>
        <v>2</v>
      </c>
      <c r="I414" s="561" t="s">
        <v>1107</v>
      </c>
      <c r="K414" s="174"/>
      <c r="L414" s="175" t="s">
        <v>255</v>
      </c>
      <c r="M414" s="176">
        <f ca="1">IF($D414&lt;&gt;"Serviço","",IF(AUTOEVENTO="manual",$A414,IF(ISERROR(MATCH($A414,$A$15:OFFSET($A414,-1,0),0)),MAX($M$15:OFFSET(M414,-1,0))+1,INDEX($M$15:OFFSET(M414,-1,0),MATCH($A414,$A$15:OFFSET($A414,-1,0),0)))))</f>
        <v>45</v>
      </c>
      <c r="N414" s="177" t="str">
        <f ca="1">IF($D414&lt;&gt;"Serviço","",IF(AUTOEVENTO="Manual",IF($A414=0,"&lt;-- defina o número do agrupador",OFFSET(EVENTOS!$D$14,$A414,0)),OFFSET($F$15,$A414,0)))</f>
        <v>INSTALAÇÃO DE GÁS COMBUSTÍVEL</v>
      </c>
      <c r="O414" s="178"/>
      <c r="Q414" s="178">
        <v>2</v>
      </c>
      <c r="R414" s="179"/>
      <c r="S414" s="179"/>
      <c r="T414" s="179"/>
      <c r="U414" s="179"/>
      <c r="V414" s="179"/>
      <c r="W414" s="179"/>
      <c r="X414" s="179"/>
      <c r="Y414" s="179"/>
      <c r="Z414" s="180"/>
      <c r="AA414" s="179"/>
      <c r="AB414" s="179"/>
      <c r="AC414" s="179"/>
      <c r="AD414" s="179"/>
      <c r="AE414" s="179"/>
      <c r="AF414" s="179"/>
      <c r="AG414" s="179"/>
      <c r="AH414" s="180"/>
      <c r="AJ414" s="544">
        <f ca="1">IF(AND($D414="Serviço",AJ$12&lt;&gt;0,$H414&gt;0,OR(AUTOEVENTO&lt;&gt;"manual",$M414&lt;&gt;1)),
IF(Import.TipoArredondamento&lt;&gt;"TransfereGOV",
ROUND(OFFSET($P414,0,AJ$13),15-13*ORÇAMENTO!$AF$7)/$H414*OFFSET(ORÇAMENTO!$X$15,ROW(AJ414)-ROW(AJ$15),0),
ROUND(ROUND(OFFSET($P414,0,AJ$13),15-13*ORÇAMENTO!$AF$7)*OFFSET(ORÇAMENTO!$W$15,ROW(AJ414)-ROW(AJ$15),0),15-13*ORÇAMENTO!$AF$11)),0)</f>
        <v>0</v>
      </c>
      <c r="AK414" s="545">
        <f ca="1">IF(AND($D414="Serviço",AK$12&lt;&gt;0,$H414&gt;0,OR(AUTOEVENTO&lt;&gt;"manual",$M414&lt;&gt;1)),
IF(Import.TipoArredondamento&lt;&gt;"TransfereGOV",
ROUND(OFFSET($P414,0,AK$13),15-13*ORÇAMENTO!$AF$7)/$H414*OFFSET(ORÇAMENTO!$X$15,ROW(AK414)-ROW(AK$15),0),
ROUND(ROUND(OFFSET($P414,0,AK$13),15-13*ORÇAMENTO!$AF$7)*OFFSET(ORÇAMENTO!$W$15,ROW(AK414)-ROW(AK$15),0),15-13*ORÇAMENTO!$AF$11)),0)</f>
        <v>0</v>
      </c>
      <c r="AL414" s="545">
        <f ca="1">IF(AND($D414="Serviço",AL$12&lt;&gt;0,$H414&gt;0,OR(AUTOEVENTO&lt;&gt;"manual",$M414&lt;&gt;1)),
IF(Import.TipoArredondamento&lt;&gt;"TransfereGOV",
ROUND(OFFSET($P414,0,AL$13),15-13*ORÇAMENTO!$AF$7)/$H414*OFFSET(ORÇAMENTO!$X$15,ROW(AL414)-ROW(AL$15),0),
ROUND(ROUND(OFFSET($P414,0,AL$13),15-13*ORÇAMENTO!$AF$7)*OFFSET(ORÇAMENTO!$W$15,ROW(AL414)-ROW(AL$15),0),15-13*ORÇAMENTO!$AF$11)),0)</f>
        <v>0</v>
      </c>
      <c r="AM414" s="545">
        <f ca="1">IF(AND($D414="Serviço",AM$12&lt;&gt;0,$H414&gt;0,OR(AUTOEVENTO&lt;&gt;"manual",$M414&lt;&gt;1)),
IF(Import.TipoArredondamento&lt;&gt;"TransfereGOV",
ROUND(OFFSET($P414,0,AM$13),15-13*ORÇAMENTO!$AF$7)/$H414*OFFSET(ORÇAMENTO!$X$15,ROW(AM414)-ROW(AM$15),0),
ROUND(ROUND(OFFSET($P414,0,AM$13),15-13*ORÇAMENTO!$AF$7)*OFFSET(ORÇAMENTO!$W$15,ROW(AM414)-ROW(AM$15),0),15-13*ORÇAMENTO!$AF$11)),0)</f>
        <v>0</v>
      </c>
      <c r="AN414" s="545">
        <f ca="1">IF(AND($D414="Serviço",AN$12&lt;&gt;0,$H414&gt;0,OR(AUTOEVENTO&lt;&gt;"manual",$M414&lt;&gt;1)),
IF(Import.TipoArredondamento&lt;&gt;"TransfereGOV",
ROUND(OFFSET($P414,0,AN$13),15-13*ORÇAMENTO!$AF$7)/$H414*OFFSET(ORÇAMENTO!$X$15,ROW(AN414)-ROW(AN$15),0),
ROUND(ROUND(OFFSET($P414,0,AN$13),15-13*ORÇAMENTO!$AF$7)*OFFSET(ORÇAMENTO!$W$15,ROW(AN414)-ROW(AN$15),0),15-13*ORÇAMENTO!$AF$11)),0)</f>
        <v>0</v>
      </c>
      <c r="AO414" s="545">
        <f ca="1">IF(AND($D414="Serviço",AO$12&lt;&gt;0,$H414&gt;0,OR(AUTOEVENTO&lt;&gt;"manual",$M414&lt;&gt;1)),
IF(Import.TipoArredondamento&lt;&gt;"TransfereGOV",
ROUND(OFFSET($P414,0,AO$13),15-13*ORÇAMENTO!$AF$7)/$H414*OFFSET(ORÇAMENTO!$X$15,ROW(AO414)-ROW(AO$15),0),
ROUND(ROUND(OFFSET($P414,0,AO$13),15-13*ORÇAMENTO!$AF$7)*OFFSET(ORÇAMENTO!$W$15,ROW(AO414)-ROW(AO$15),0),15-13*ORÇAMENTO!$AF$11)),0)</f>
        <v>0</v>
      </c>
      <c r="AP414" s="545">
        <f ca="1">IF(AND($D414="Serviço",AP$12&lt;&gt;0,$H414&gt;0,OR(AUTOEVENTO&lt;&gt;"manual",$M414&lt;&gt;1)),
IF(Import.TipoArredondamento&lt;&gt;"TransfereGOV",
ROUND(OFFSET($P414,0,AP$13),15-13*ORÇAMENTO!$AF$7)/$H414*OFFSET(ORÇAMENTO!$X$15,ROW(AP414)-ROW(AP$15),0),
ROUND(ROUND(OFFSET($P414,0,AP$13),15-13*ORÇAMENTO!$AF$7)*OFFSET(ORÇAMENTO!$W$15,ROW(AP414)-ROW(AP$15),0),15-13*ORÇAMENTO!$AF$11)),0)</f>
        <v>0</v>
      </c>
      <c r="AQ414" s="545">
        <f ca="1">IF(AND($D414="Serviço",AQ$12&lt;&gt;0,$H414&gt;0,OR(AUTOEVENTO&lt;&gt;"manual",$M414&lt;&gt;1)),
IF(Import.TipoArredondamento&lt;&gt;"TransfereGOV",
ROUND(OFFSET($P414,0,AQ$13),15-13*ORÇAMENTO!$AF$7)/$H414*OFFSET(ORÇAMENTO!$X$15,ROW(AQ414)-ROW(AQ$15),0),
ROUND(ROUND(OFFSET($P414,0,AQ$13),15-13*ORÇAMENTO!$AF$7)*OFFSET(ORÇAMENTO!$W$15,ROW(AQ414)-ROW(AQ$15),0),15-13*ORÇAMENTO!$AF$11)),0)</f>
        <v>0</v>
      </c>
      <c r="AR414" s="545">
        <f ca="1">IF(AND($D414="Serviço",AR$12&lt;&gt;0,$H414&gt;0,OR(AUTOEVENTO&lt;&gt;"manual",$M414&lt;&gt;1)),
IF(Import.TipoArredondamento&lt;&gt;"TransfereGOV",
ROUND(OFFSET($P414,0,AR$13),15-13*ORÇAMENTO!$AF$7)/$H414*OFFSET(ORÇAMENTO!$X$15,ROW(AR414)-ROW(AR$15),0),
ROUND(ROUND(OFFSET($P414,0,AR$13),15-13*ORÇAMENTO!$AF$7)*OFFSET(ORÇAMENTO!$W$15,ROW(AR414)-ROW(AR$15),0),15-13*ORÇAMENTO!$AF$11)),0)</f>
        <v>0</v>
      </c>
      <c r="AS414" s="546">
        <f ca="1">IF(AND($D414="Serviço",AS$12&lt;&gt;0,$H414&gt;0,OR(AUTOEVENTO&lt;&gt;"manual",$M414&lt;&gt;1)),
IF(Import.TipoArredondamento&lt;&gt;"TransfereGOV",
ROUND(OFFSET($P414,0,AS$13),15-13*ORÇAMENTO!$AF$7)/$H414*OFFSET(ORÇAMENTO!$X$15,ROW(AS414)-ROW(AS$15),0),
ROUND(ROUND(OFFSET($P414,0,AS$13),15-13*ORÇAMENTO!$AF$7)*OFFSET(ORÇAMENTO!$W$15,ROW(AS414)-ROW(AS$15),0),15-13*ORÇAMENTO!$AF$11)),0)</f>
        <v>0</v>
      </c>
      <c r="AT414" s="545">
        <f ca="1">IF(AND($D414="Serviço",AT$12&lt;&gt;0,$H414&gt;0,OR(AUTOEVENTO&lt;&gt;"manual",$M414&lt;&gt;1)),
IF(Import.TipoArredondamento&lt;&gt;"TransfereGOV",
ROUND(OFFSET($P414,0,AT$13),15-13*ORÇAMENTO!$AF$7)/$H414*OFFSET(ORÇAMENTO!$X$15,ROW(AT414)-ROW(AT$15),0),
ROUND(ROUND(OFFSET($P414,0,AT$13),15-13*ORÇAMENTO!$AF$7)*OFFSET(ORÇAMENTO!$W$15,ROW(AT414)-ROW(AT$15),0),15-13*ORÇAMENTO!$AF$11)),0)</f>
        <v>0</v>
      </c>
      <c r="AU414" s="545">
        <f ca="1">IF(AND($D414="Serviço",AU$12&lt;&gt;0,$H414&gt;0,OR(AUTOEVENTO&lt;&gt;"manual",$M414&lt;&gt;1)),
IF(Import.TipoArredondamento&lt;&gt;"TransfereGOV",
ROUND(OFFSET($P414,0,AU$13),15-13*ORÇAMENTO!$AF$7)/$H414*OFFSET(ORÇAMENTO!$X$15,ROW(AU414)-ROW(AU$15),0),
ROUND(ROUND(OFFSET($P414,0,AU$13),15-13*ORÇAMENTO!$AF$7)*OFFSET(ORÇAMENTO!$W$15,ROW(AU414)-ROW(AU$15),0),15-13*ORÇAMENTO!$AF$11)),0)</f>
        <v>0</v>
      </c>
      <c r="AV414" s="545">
        <f ca="1">IF(AND($D414="Serviço",AV$12&lt;&gt;0,$H414&gt;0,OR(AUTOEVENTO&lt;&gt;"manual",$M414&lt;&gt;1)),
IF(Import.TipoArredondamento&lt;&gt;"TransfereGOV",
ROUND(OFFSET($P414,0,AV$13),15-13*ORÇAMENTO!$AF$7)/$H414*OFFSET(ORÇAMENTO!$X$15,ROW(AV414)-ROW(AV$15),0),
ROUND(ROUND(OFFSET($P414,0,AV$13),15-13*ORÇAMENTO!$AF$7)*OFFSET(ORÇAMENTO!$W$15,ROW(AV414)-ROW(AV$15),0),15-13*ORÇAMENTO!$AF$11)),0)</f>
        <v>0</v>
      </c>
      <c r="AW414" s="545">
        <f ca="1">IF(AND($D414="Serviço",AW$12&lt;&gt;0,$H414&gt;0,OR(AUTOEVENTO&lt;&gt;"manual",$M414&lt;&gt;1)),
IF(Import.TipoArredondamento&lt;&gt;"TransfereGOV",
ROUND(OFFSET($P414,0,AW$13),15-13*ORÇAMENTO!$AF$7)/$H414*OFFSET(ORÇAMENTO!$X$15,ROW(AW414)-ROW(AW$15),0),
ROUND(ROUND(OFFSET($P414,0,AW$13),15-13*ORÇAMENTO!$AF$7)*OFFSET(ORÇAMENTO!$W$15,ROW(AW414)-ROW(AW$15),0),15-13*ORÇAMENTO!$AF$11)),0)</f>
        <v>0</v>
      </c>
      <c r="AX414" s="545">
        <f ca="1">IF(AND($D414="Serviço",AX$12&lt;&gt;0,$H414&gt;0,OR(AUTOEVENTO&lt;&gt;"manual",$M414&lt;&gt;1)),
IF(Import.TipoArredondamento&lt;&gt;"TransfereGOV",
ROUND(OFFSET($P414,0,AX$13),15-13*ORÇAMENTO!$AF$7)/$H414*OFFSET(ORÇAMENTO!$X$15,ROW(AX414)-ROW(AX$15),0),
ROUND(ROUND(OFFSET($P414,0,AX$13),15-13*ORÇAMENTO!$AF$7)*OFFSET(ORÇAMENTO!$W$15,ROW(AX414)-ROW(AX$15),0),15-13*ORÇAMENTO!$AF$11)),0)</f>
        <v>0</v>
      </c>
      <c r="AY414" s="545">
        <f ca="1">IF(AND($D414="Serviço",AY$12&lt;&gt;0,$H414&gt;0,OR(AUTOEVENTO&lt;&gt;"manual",$M414&lt;&gt;1)),
IF(Import.TipoArredondamento&lt;&gt;"TransfereGOV",
ROUND(OFFSET($P414,0,AY$13),15-13*ORÇAMENTO!$AF$7)/$H414*OFFSET(ORÇAMENTO!$X$15,ROW(AY414)-ROW(AY$15),0),
ROUND(ROUND(OFFSET($P414,0,AY$13),15-13*ORÇAMENTO!$AF$7)*OFFSET(ORÇAMENTO!$W$15,ROW(AY414)-ROW(AY$15),0),15-13*ORÇAMENTO!$AF$11)),0)</f>
        <v>0</v>
      </c>
      <c r="AZ414" s="545">
        <f ca="1">IF(AND($D414="Serviço",AZ$12&lt;&gt;0,$H414&gt;0,OR(AUTOEVENTO&lt;&gt;"manual",$M414&lt;&gt;1)),
IF(Import.TipoArredondamento&lt;&gt;"TransfereGOV",
ROUND(OFFSET($P414,0,AZ$13),15-13*ORÇAMENTO!$AF$7)/$H414*OFFSET(ORÇAMENTO!$X$15,ROW(AZ414)-ROW(AZ$15),0),
ROUND(ROUND(OFFSET($P414,0,AZ$13),15-13*ORÇAMENTO!$AF$7)*OFFSET(ORÇAMENTO!$W$15,ROW(AZ414)-ROW(AZ$15),0),15-13*ORÇAMENTO!$AF$11)),0)</f>
        <v>0</v>
      </c>
      <c r="BA414" s="546">
        <f ca="1">IF(AND($D414="Serviço",BA$12&lt;&gt;0,$H414&gt;0,OR(AUTOEVENTO&lt;&gt;"manual",$M414&lt;&gt;1)),
IF(Import.TipoArredondamento&lt;&gt;"TransfereGOV",
ROUND(OFFSET($P414,0,BA$13),15-13*ORÇAMENTO!$AF$7)/$H414*OFFSET(ORÇAMENTO!$X$15,ROW(BA414)-ROW(BA$15),0),
ROUND(ROUND(OFFSET($P414,0,BA$13),15-13*ORÇAMENTO!$AF$7)*OFFSET(ORÇAMENTO!$W$15,ROW(BA414)-ROW(BA$15),0),15-13*ORÇAMENTO!$AF$11)),0)</f>
        <v>0</v>
      </c>
      <c r="BC414" s="181">
        <f ca="1">IF($D414&lt;&gt;"Serviço",0,IF(AND(AUTOEVENTO="Manual",$M414=1),0,IF(OFFSET(CRONOPLE!$F$14,$M414,BC$13)="",10^12,OFFSET(CRONOPLE!$F$14,$M414,BC$13))))</f>
        <v>10</v>
      </c>
      <c r="BD414" s="181">
        <f ca="1">IF($D414&lt;&gt;"Serviço",0,IF(AND(AUTOEVENTO="Manual",$M414=1),0,IF(OFFSET(CRONOPLE!$F$14,$M414,BD$13)="",10^12,OFFSET(CRONOPLE!$F$14,$M414,BD$13))))</f>
        <v>1000000000000</v>
      </c>
      <c r="BE414" s="181">
        <f ca="1">IF($D414&lt;&gt;"Serviço",0,IF(AND(AUTOEVENTO="Manual",$M414=1),0,IF(OFFSET(CRONOPLE!$F$14,$M414,BE$13)="",10^12,OFFSET(CRONOPLE!$F$14,$M414,BE$13))))</f>
        <v>1000000000000</v>
      </c>
      <c r="BF414" s="181">
        <f ca="1">IF($D414&lt;&gt;"Serviço",0,IF(AND(AUTOEVENTO="Manual",$M414=1),0,IF(OFFSET(CRONOPLE!$F$14,$M414,BF$13)="",10^12,OFFSET(CRONOPLE!$F$14,$M414,BF$13))))</f>
        <v>1000000000000</v>
      </c>
      <c r="BG414" s="181">
        <f ca="1">IF($D414&lt;&gt;"Serviço",0,IF(AND(AUTOEVENTO="Manual",$M414=1),0,IF(OFFSET(CRONOPLE!$F$14,$M414,BG$13)="",10^12,OFFSET(CRONOPLE!$F$14,$M414,BG$13))))</f>
        <v>1000000000000</v>
      </c>
      <c r="BH414" s="181">
        <f ca="1">IF($D414&lt;&gt;"Serviço",0,IF(AND(AUTOEVENTO="Manual",$M414=1),0,IF(OFFSET(CRONOPLE!$F$14,$M414,BH$13)="",10^12,OFFSET(CRONOPLE!$F$14,$M414,BH$13))))</f>
        <v>1000000000000</v>
      </c>
      <c r="BI414" s="181">
        <f ca="1">IF($D414&lt;&gt;"Serviço",0,IF(AND(AUTOEVENTO="Manual",$M414=1),0,IF(OFFSET(CRONOPLE!$F$14,$M414,BI$13)="",10^12,OFFSET(CRONOPLE!$F$14,$M414,BI$13))))</f>
        <v>1000000000000</v>
      </c>
      <c r="BJ414" s="181">
        <f ca="1">IF($D414&lt;&gt;"Serviço",0,IF(AND(AUTOEVENTO="Manual",$M414=1),0,IF(OFFSET(CRONOPLE!$F$14,$M414,BJ$13)="",10^12,OFFSET(CRONOPLE!$F$14,$M414,BJ$13))))</f>
        <v>1000000000000</v>
      </c>
      <c r="BK414" s="181">
        <f ca="1">IF($D414&lt;&gt;"Serviço",0,IF(AND(AUTOEVENTO="Manual",$M414=1),0,IF(OFFSET(CRONOPLE!$F$14,$M414,BK$13)="",10^12,OFFSET(CRONOPLE!$F$14,$M414,BK$13))))</f>
        <v>1000000000000</v>
      </c>
      <c r="BL414" s="181">
        <f ca="1">IF($D414&lt;&gt;"Serviço",0,IF(AND(AUTOEVENTO="Manual",$M414=1),0,IF(OFFSET(CRONOPLE!$F$14,$M414,BL$13)="",10^12,OFFSET(CRONOPLE!$F$14,$M414,BL$13))))</f>
        <v>1000000000000</v>
      </c>
      <c r="BM414" s="181">
        <f ca="1">IF($D414&lt;&gt;"Serviço",0,IF(AND(AUTOEVENTO="Manual",$M414=1),0,IF(OFFSET(CRONOPLE!$F$14,$M414,BM$13)="",10^12,OFFSET(CRONOPLE!$F$14,$M414,BM$13))))</f>
        <v>1000000000000</v>
      </c>
      <c r="BN414" s="181">
        <f ca="1">IF($D414&lt;&gt;"Serviço",0,IF(AND(AUTOEVENTO="Manual",$M414=1),0,IF(OFFSET(CRONOPLE!$F$14,$M414,BN$13)="",10^12,OFFSET(CRONOPLE!$F$14,$M414,BN$13))))</f>
        <v>1000000000000</v>
      </c>
      <c r="BO414" s="181">
        <f ca="1">IF($D414&lt;&gt;"Serviço",0,IF(AND(AUTOEVENTO="Manual",$M414=1),0,IF(OFFSET(CRONOPLE!$F$14,$M414,BO$13)="",10^12,OFFSET(CRONOPLE!$F$14,$M414,BO$13))))</f>
        <v>1000000000000</v>
      </c>
      <c r="BP414" s="181">
        <f ca="1">IF($D414&lt;&gt;"Serviço",0,IF(AND(AUTOEVENTO="Manual",$M414=1),0,IF(OFFSET(CRONOPLE!$F$14,$M414,BP$13)="",10^12,OFFSET(CRONOPLE!$F$14,$M414,BP$13))))</f>
        <v>1000000000000</v>
      </c>
      <c r="BQ414" s="181">
        <f ca="1">IF($D414&lt;&gt;"Serviço",0,IF(AND(AUTOEVENTO="Manual",$M414=1),0,IF(OFFSET(CRONOPLE!$F$14,$M414,BQ$13)="",10^12,OFFSET(CRONOPLE!$F$14,$M414,BQ$13))))</f>
        <v>1000000000000</v>
      </c>
      <c r="BR414" s="181">
        <f ca="1">IF($D414&lt;&gt;"Serviço",0,IF(AND(AUTOEVENTO="Manual",$M414=1),0,IF(OFFSET(CRONOPLE!$F$14,$M414,BR$13)="",10^12,OFFSET(CRONOPLE!$F$14,$M414,BR$13))))</f>
        <v>1000000000000</v>
      </c>
      <c r="BS414" s="181">
        <f ca="1">IF($D414&lt;&gt;"Serviço",0,IF(AND(AUTOEVENTO="Manual",$M414=1),0,IF(OFFSET(CRONOPLE!$F$14,$M414,BS$13)="",10^12,OFFSET(CRONOPLE!$F$14,$M414,BS$13))))</f>
        <v>1000000000000</v>
      </c>
      <c r="BT414" s="181">
        <f ca="1">IF($D414&lt;&gt;"Serviço",0,IF(AND(AUTOEVENTO="Manual",$M414=1),0,IF(OFFSET(CRONOPLE!$F$14,$M414,BT$13)="",10^12,OFFSET(CRONOPLE!$F$14,$M414,BT$13))))</f>
        <v>1000000000000</v>
      </c>
      <c r="BV414" s="182">
        <f ca="1">IF($D414&lt;&gt;"Serviço",0,IF(OR(AND(AUTOEVENTO="Manual",$M414=1),$M414&gt;(ROW(PLE.lastrow)-ROW(PLE.firstrow))),0,IF(OFFSET(PLE!$G$14,$M414,BV$13)="",10^12,OFFSET(PLE!$G$14,$M414,BV$13))))</f>
        <v>1000000000000</v>
      </c>
      <c r="BW414" s="182">
        <f ca="1">IF($D414&lt;&gt;"Serviço",0,IF(OR(AND(AUTOEVENTO="Manual",$M414=1),$M414&gt;(ROW(PLE.lastrow)-ROW(PLE.firstrow))),0,IF(OFFSET(PLE!$G$14,$M414,BW$13)="",10^12,OFFSET(PLE!$G$14,$M414,BW$13))))</f>
        <v>1000000000000</v>
      </c>
      <c r="BX414" s="182">
        <f ca="1">IF($D414&lt;&gt;"Serviço",0,IF(OR(AND(AUTOEVENTO="Manual",$M414=1),$M414&gt;(ROW(PLE.lastrow)-ROW(PLE.firstrow))),0,IF(OFFSET(PLE!$G$14,$M414,BX$13)="",10^12,OFFSET(PLE!$G$14,$M414,BX$13))))</f>
        <v>1000000000000</v>
      </c>
      <c r="BY414" s="182">
        <f ca="1">IF($D414&lt;&gt;"Serviço",0,IF(OR(AND(AUTOEVENTO="Manual",$M414=1),$M414&gt;(ROW(PLE.lastrow)-ROW(PLE.firstrow))),0,IF(OFFSET(PLE!$G$14,$M414,BY$13)="",10^12,OFFSET(PLE!$G$14,$M414,BY$13))))</f>
        <v>1000000000000</v>
      </c>
      <c r="BZ414" s="182">
        <f ca="1">IF($D414&lt;&gt;"Serviço",0,IF(OR(AND(AUTOEVENTO="Manual",$M414=1),$M414&gt;(ROW(PLE.lastrow)-ROW(PLE.firstrow))),0,IF(OFFSET(PLE!$G$14,$M414,BZ$13)="",10^12,OFFSET(PLE!$G$14,$M414,BZ$13))))</f>
        <v>1000000000000</v>
      </c>
      <c r="CA414" s="182">
        <f ca="1">IF($D414&lt;&gt;"Serviço",0,IF(OR(AND(AUTOEVENTO="Manual",$M414=1),$M414&gt;(ROW(PLE.lastrow)-ROW(PLE.firstrow))),0,IF(OFFSET(PLE!$G$14,$M414,CA$13)="",10^12,OFFSET(PLE!$G$14,$M414,CA$13))))</f>
        <v>1000000000000</v>
      </c>
      <c r="CB414" s="182">
        <f ca="1">IF($D414&lt;&gt;"Serviço",0,IF(OR(AND(AUTOEVENTO="Manual",$M414=1),$M414&gt;(ROW(PLE.lastrow)-ROW(PLE.firstrow))),0,IF(OFFSET(PLE!$G$14,$M414,CB$13)="",10^12,OFFSET(PLE!$G$14,$M414,CB$13))))</f>
        <v>1000000000000</v>
      </c>
      <c r="CC414" s="182">
        <f ca="1">IF($D414&lt;&gt;"Serviço",0,IF(OR(AND(AUTOEVENTO="Manual",$M414=1),$M414&gt;(ROW(PLE.lastrow)-ROW(PLE.firstrow))),0,IF(OFFSET(PLE!$G$14,$M414,CC$13)="",10^12,OFFSET(PLE!$G$14,$M414,CC$13))))</f>
        <v>1000000000000</v>
      </c>
      <c r="CD414" s="182">
        <f ca="1">IF($D414&lt;&gt;"Serviço",0,IF(OR(AND(AUTOEVENTO="Manual",$M414=1),$M414&gt;(ROW(PLE.lastrow)-ROW(PLE.firstrow))),0,IF(OFFSET(PLE!$G$14,$M414,CD$13)="",10^12,OFFSET(PLE!$G$14,$M414,CD$13))))</f>
        <v>1000000000000</v>
      </c>
      <c r="CE414" s="182">
        <f ca="1">IF($D414&lt;&gt;"Serviço",0,IF(OR(AND(AUTOEVENTO="Manual",$M414=1),$M414&gt;(ROW(PLE.lastrow)-ROW(PLE.firstrow))),0,IF(OFFSET(PLE!$G$14,$M414,CE$13)="",10^12,OFFSET(PLE!$G$14,$M414,CE$13))))</f>
        <v>1000000000000</v>
      </c>
      <c r="CF414" s="182">
        <f ca="1">IF($D414&lt;&gt;"Serviço",0,IF(OR(AND(AUTOEVENTO="Manual",$M414=1),$M414&gt;(ROW(PLE.lastrow)-ROW(PLE.firstrow))),0,IF(OFFSET(PLE!$G$14,$M414,CF$13)="",10^12,OFFSET(PLE!$G$14,$M414,CF$13))))</f>
        <v>1000000000000</v>
      </c>
      <c r="CG414" s="182">
        <f ca="1">IF($D414&lt;&gt;"Serviço",0,IF(OR(AND(AUTOEVENTO="Manual",$M414=1),$M414&gt;(ROW(PLE.lastrow)-ROW(PLE.firstrow))),0,IF(OFFSET(PLE!$G$14,$M414,CG$13)="",10^12,OFFSET(PLE!$G$14,$M414,CG$13))))</f>
        <v>1000000000000</v>
      </c>
      <c r="CH414" s="182">
        <f ca="1">IF($D414&lt;&gt;"Serviço",0,IF(OR(AND(AUTOEVENTO="Manual",$M414=1),$M414&gt;(ROW(PLE.lastrow)-ROW(PLE.firstrow))),0,IF(OFFSET(PLE!$G$14,$M414,CH$13)="",10^12,OFFSET(PLE!$G$14,$M414,CH$13))))</f>
        <v>1000000000000</v>
      </c>
      <c r="CI414" s="182">
        <f ca="1">IF($D414&lt;&gt;"Serviço",0,IF(OR(AND(AUTOEVENTO="Manual",$M414=1),$M414&gt;(ROW(PLE.lastrow)-ROW(PLE.firstrow))),0,IF(OFFSET(PLE!$G$14,$M414,CI$13)="",10^12,OFFSET(PLE!$G$14,$M414,CI$13))))</f>
        <v>1000000000000</v>
      </c>
      <c r="CJ414" s="182">
        <f ca="1">IF($D414&lt;&gt;"Serviço",0,IF(OR(AND(AUTOEVENTO="Manual",$M414=1),$M414&gt;(ROW(PLE.lastrow)-ROW(PLE.firstrow))),0,IF(OFFSET(PLE!$G$14,$M414,CJ$13)="",10^12,OFFSET(PLE!$G$14,$M414,CJ$13))))</f>
        <v>1000000000000</v>
      </c>
      <c r="CK414" s="182">
        <f ca="1">IF($D414&lt;&gt;"Serviço",0,IF(OR(AND(AUTOEVENTO="Manual",$M414=1),$M414&gt;(ROW(PLE.lastrow)-ROW(PLE.firstrow))),0,IF(OFFSET(PLE!$G$14,$M414,CK$13)="",10^12,OFFSET(PLE!$G$14,$M414,CK$13))))</f>
        <v>1000000000000</v>
      </c>
      <c r="CL414" s="182">
        <f ca="1">IF($D414&lt;&gt;"Serviço",0,IF(OR(AND(AUTOEVENTO="Manual",$M414=1),$M414&gt;(ROW(PLE.lastrow)-ROW(PLE.firstrow))),0,IF(OFFSET(PLE!$G$14,$M414,CL$13)="",10^12,OFFSET(PLE!$G$14,$M414,CL$13))))</f>
        <v>1000000000000</v>
      </c>
      <c r="CM414" s="182">
        <f ca="1">IF($D414&lt;&gt;"Serviço",0,IF(OR(AND(AUTOEVENTO="Manual",$M414=1),$M414&gt;(ROW(PLE.lastrow)-ROW(PLE.firstrow))),0,IF(OFFSET(PLE!$G$14,$M414,CM$13)="",10^12,OFFSET(PLE!$G$14,$M414,CM$13))))</f>
        <v>1000000000000</v>
      </c>
    </row>
    <row r="415" spans="1:91" ht="12.75" x14ac:dyDescent="0.2">
      <c r="A415" s="7" t="str">
        <f t="shared" ref="A415:A441" ca="1" si="14">IF(AUTOEVENTO="Manual",IF(K415&lt;&gt;"",MIN(VALUE(LEFT(K415,FIND(".",K415)-1)),COUNTA(EVENTOS.Lista)),0),IF(OR($B415&gt;AUTOEVENTO,$B415="S",$B415=0),SUBSTITUTE(OFFSET($A415,-1,0),IF($D415="Serviço",".",""),""),ROW(A415)-ROW($A$15)&amp;"."))</f>
        <v>400.</v>
      </c>
      <c r="B415" s="7">
        <f ca="1">OFFSET(ORÇAMENTO!C$15,ROW(B415)-ROW(B$15),0)</f>
        <v>2</v>
      </c>
      <c r="C415" s="7" t="str">
        <f ca="1">OFFSET(ORÇAMENTO!L$15,ROW(C415)-ROW(C$15),0)</f>
        <v>F</v>
      </c>
      <c r="D415" s="118" t="str">
        <f ca="1">OFFSET(ORÇAMENTO!N$15,ROW(D415)-ROW(D$15),0)</f>
        <v>Nível 2</v>
      </c>
      <c r="E415" s="119" t="str">
        <f ca="1">OFFSET(ORÇAMENTO!O$15,ROW(E415)-ROW(E$15),0)</f>
        <v>1.45.</v>
      </c>
      <c r="F415" s="172" t="str">
        <f ca="1">OFFSET(ORÇAMENTO!R$15,ROW(F415)-ROW(F$15),0)</f>
        <v>SISTEMA DE PROTEÇÃO CONTRA INCÊNDIO - EXTINTORES</v>
      </c>
      <c r="G415" s="173" t="str">
        <f ca="1">IF($D415&lt;&gt;"Serviço","",OFFSET(ORÇAMENTO!S$15,ROW(G415)-ROW(G$15),0))</f>
        <v/>
      </c>
      <c r="H415" s="124">
        <f ca="1">IF($D415&lt;&gt;"Serviço",0,IF(ACOMPANHAMENTO="BM",ROUND(OFFSET(ORÇAMENTO!AJ$15,ROW(H415)-ROW(H$15),0),15-13*ORÇAMENTO!$AF$7),SUMPRODUCT(($Q$12:$AI$12&lt;&gt;"")*ROUND($Q415:$AI415,15-13*ORÇAMENTO!$AF$7))))</f>
        <v>0</v>
      </c>
      <c r="I415" s="561"/>
      <c r="K415" s="174"/>
      <c r="L415" s="175" t="s">
        <v>255</v>
      </c>
      <c r="M415" s="176" t="str">
        <f ca="1">IF($D415&lt;&gt;"Serviço","",IF(AUTOEVENTO="manual",$A415,IF(ISERROR(MATCH($A415,$A$15:OFFSET($A415,-1,0),0)),MAX($M$15:OFFSET(M415,-1,0))+1,INDEX($M$15:OFFSET(M415,-1,0),MATCH($A415,$A$15:OFFSET($A415,-1,0),0)))))</f>
        <v/>
      </c>
      <c r="N415" s="177" t="str">
        <f ca="1">IF($D415&lt;&gt;"Serviço","",IF(AUTOEVENTO="Manual",IF($A415=0,"&lt;-- defina o número do agrupador",OFFSET(EVENTOS!$D$14,$A415,0)),OFFSET($F$15,$A415,0)))</f>
        <v/>
      </c>
      <c r="O415" s="178"/>
      <c r="Q415" s="178">
        <v>0</v>
      </c>
      <c r="R415" s="179"/>
      <c r="S415" s="179"/>
      <c r="T415" s="179"/>
      <c r="U415" s="179"/>
      <c r="V415" s="179"/>
      <c r="W415" s="179"/>
      <c r="X415" s="179"/>
      <c r="Y415" s="179"/>
      <c r="Z415" s="180"/>
      <c r="AA415" s="179"/>
      <c r="AB415" s="179"/>
      <c r="AC415" s="179"/>
      <c r="AD415" s="179"/>
      <c r="AE415" s="179"/>
      <c r="AF415" s="179"/>
      <c r="AG415" s="179"/>
      <c r="AH415" s="180"/>
      <c r="AJ415" s="544">
        <f ca="1">IF(AND($D415="Serviço",AJ$12&lt;&gt;0,$H415&gt;0,OR(AUTOEVENTO&lt;&gt;"manual",$M415&lt;&gt;1)),
IF(Import.TipoArredondamento&lt;&gt;"TransfereGOV",
ROUND(OFFSET($P415,0,AJ$13),15-13*ORÇAMENTO!$AF$7)/$H415*OFFSET(ORÇAMENTO!$X$15,ROW(AJ415)-ROW(AJ$15),0),
ROUND(ROUND(OFFSET($P415,0,AJ$13),15-13*ORÇAMENTO!$AF$7)*OFFSET(ORÇAMENTO!$W$15,ROW(AJ415)-ROW(AJ$15),0),15-13*ORÇAMENTO!$AF$11)),0)</f>
        <v>0</v>
      </c>
      <c r="AK415" s="545">
        <f ca="1">IF(AND($D415="Serviço",AK$12&lt;&gt;0,$H415&gt;0,OR(AUTOEVENTO&lt;&gt;"manual",$M415&lt;&gt;1)),
IF(Import.TipoArredondamento&lt;&gt;"TransfereGOV",
ROUND(OFFSET($P415,0,AK$13),15-13*ORÇAMENTO!$AF$7)/$H415*OFFSET(ORÇAMENTO!$X$15,ROW(AK415)-ROW(AK$15),0),
ROUND(ROUND(OFFSET($P415,0,AK$13),15-13*ORÇAMENTO!$AF$7)*OFFSET(ORÇAMENTO!$W$15,ROW(AK415)-ROW(AK$15),0),15-13*ORÇAMENTO!$AF$11)),0)</f>
        <v>0</v>
      </c>
      <c r="AL415" s="545">
        <f ca="1">IF(AND($D415="Serviço",AL$12&lt;&gt;0,$H415&gt;0,OR(AUTOEVENTO&lt;&gt;"manual",$M415&lt;&gt;1)),
IF(Import.TipoArredondamento&lt;&gt;"TransfereGOV",
ROUND(OFFSET($P415,0,AL$13),15-13*ORÇAMENTO!$AF$7)/$H415*OFFSET(ORÇAMENTO!$X$15,ROW(AL415)-ROW(AL$15),0),
ROUND(ROUND(OFFSET($P415,0,AL$13),15-13*ORÇAMENTO!$AF$7)*OFFSET(ORÇAMENTO!$W$15,ROW(AL415)-ROW(AL$15),0),15-13*ORÇAMENTO!$AF$11)),0)</f>
        <v>0</v>
      </c>
      <c r="AM415" s="545">
        <f ca="1">IF(AND($D415="Serviço",AM$12&lt;&gt;0,$H415&gt;0,OR(AUTOEVENTO&lt;&gt;"manual",$M415&lt;&gt;1)),
IF(Import.TipoArredondamento&lt;&gt;"TransfereGOV",
ROUND(OFFSET($P415,0,AM$13),15-13*ORÇAMENTO!$AF$7)/$H415*OFFSET(ORÇAMENTO!$X$15,ROW(AM415)-ROW(AM$15),0),
ROUND(ROUND(OFFSET($P415,0,AM$13),15-13*ORÇAMENTO!$AF$7)*OFFSET(ORÇAMENTO!$W$15,ROW(AM415)-ROW(AM$15),0),15-13*ORÇAMENTO!$AF$11)),0)</f>
        <v>0</v>
      </c>
      <c r="AN415" s="545">
        <f ca="1">IF(AND($D415="Serviço",AN$12&lt;&gt;0,$H415&gt;0,OR(AUTOEVENTO&lt;&gt;"manual",$M415&lt;&gt;1)),
IF(Import.TipoArredondamento&lt;&gt;"TransfereGOV",
ROUND(OFFSET($P415,0,AN$13),15-13*ORÇAMENTO!$AF$7)/$H415*OFFSET(ORÇAMENTO!$X$15,ROW(AN415)-ROW(AN$15),0),
ROUND(ROUND(OFFSET($P415,0,AN$13),15-13*ORÇAMENTO!$AF$7)*OFFSET(ORÇAMENTO!$W$15,ROW(AN415)-ROW(AN$15),0),15-13*ORÇAMENTO!$AF$11)),0)</f>
        <v>0</v>
      </c>
      <c r="AO415" s="545">
        <f ca="1">IF(AND($D415="Serviço",AO$12&lt;&gt;0,$H415&gt;0,OR(AUTOEVENTO&lt;&gt;"manual",$M415&lt;&gt;1)),
IF(Import.TipoArredondamento&lt;&gt;"TransfereGOV",
ROUND(OFFSET($P415,0,AO$13),15-13*ORÇAMENTO!$AF$7)/$H415*OFFSET(ORÇAMENTO!$X$15,ROW(AO415)-ROW(AO$15),0),
ROUND(ROUND(OFFSET($P415,0,AO$13),15-13*ORÇAMENTO!$AF$7)*OFFSET(ORÇAMENTO!$W$15,ROW(AO415)-ROW(AO$15),0),15-13*ORÇAMENTO!$AF$11)),0)</f>
        <v>0</v>
      </c>
      <c r="AP415" s="545">
        <f ca="1">IF(AND($D415="Serviço",AP$12&lt;&gt;0,$H415&gt;0,OR(AUTOEVENTO&lt;&gt;"manual",$M415&lt;&gt;1)),
IF(Import.TipoArredondamento&lt;&gt;"TransfereGOV",
ROUND(OFFSET($P415,0,AP$13),15-13*ORÇAMENTO!$AF$7)/$H415*OFFSET(ORÇAMENTO!$X$15,ROW(AP415)-ROW(AP$15),0),
ROUND(ROUND(OFFSET($P415,0,AP$13),15-13*ORÇAMENTO!$AF$7)*OFFSET(ORÇAMENTO!$W$15,ROW(AP415)-ROW(AP$15),0),15-13*ORÇAMENTO!$AF$11)),0)</f>
        <v>0</v>
      </c>
      <c r="AQ415" s="545">
        <f ca="1">IF(AND($D415="Serviço",AQ$12&lt;&gt;0,$H415&gt;0,OR(AUTOEVENTO&lt;&gt;"manual",$M415&lt;&gt;1)),
IF(Import.TipoArredondamento&lt;&gt;"TransfereGOV",
ROUND(OFFSET($P415,0,AQ$13),15-13*ORÇAMENTO!$AF$7)/$H415*OFFSET(ORÇAMENTO!$X$15,ROW(AQ415)-ROW(AQ$15),0),
ROUND(ROUND(OFFSET($P415,0,AQ$13),15-13*ORÇAMENTO!$AF$7)*OFFSET(ORÇAMENTO!$W$15,ROW(AQ415)-ROW(AQ$15),0),15-13*ORÇAMENTO!$AF$11)),0)</f>
        <v>0</v>
      </c>
      <c r="AR415" s="545">
        <f ca="1">IF(AND($D415="Serviço",AR$12&lt;&gt;0,$H415&gt;0,OR(AUTOEVENTO&lt;&gt;"manual",$M415&lt;&gt;1)),
IF(Import.TipoArredondamento&lt;&gt;"TransfereGOV",
ROUND(OFFSET($P415,0,AR$13),15-13*ORÇAMENTO!$AF$7)/$H415*OFFSET(ORÇAMENTO!$X$15,ROW(AR415)-ROW(AR$15),0),
ROUND(ROUND(OFFSET($P415,0,AR$13),15-13*ORÇAMENTO!$AF$7)*OFFSET(ORÇAMENTO!$W$15,ROW(AR415)-ROW(AR$15),0),15-13*ORÇAMENTO!$AF$11)),0)</f>
        <v>0</v>
      </c>
      <c r="AS415" s="546">
        <f ca="1">IF(AND($D415="Serviço",AS$12&lt;&gt;0,$H415&gt;0,OR(AUTOEVENTO&lt;&gt;"manual",$M415&lt;&gt;1)),
IF(Import.TipoArredondamento&lt;&gt;"TransfereGOV",
ROUND(OFFSET($P415,0,AS$13),15-13*ORÇAMENTO!$AF$7)/$H415*OFFSET(ORÇAMENTO!$X$15,ROW(AS415)-ROW(AS$15),0),
ROUND(ROUND(OFFSET($P415,0,AS$13),15-13*ORÇAMENTO!$AF$7)*OFFSET(ORÇAMENTO!$W$15,ROW(AS415)-ROW(AS$15),0),15-13*ORÇAMENTO!$AF$11)),0)</f>
        <v>0</v>
      </c>
      <c r="AT415" s="545">
        <f ca="1">IF(AND($D415="Serviço",AT$12&lt;&gt;0,$H415&gt;0,OR(AUTOEVENTO&lt;&gt;"manual",$M415&lt;&gt;1)),
IF(Import.TipoArredondamento&lt;&gt;"TransfereGOV",
ROUND(OFFSET($P415,0,AT$13),15-13*ORÇAMENTO!$AF$7)/$H415*OFFSET(ORÇAMENTO!$X$15,ROW(AT415)-ROW(AT$15),0),
ROUND(ROUND(OFFSET($P415,0,AT$13),15-13*ORÇAMENTO!$AF$7)*OFFSET(ORÇAMENTO!$W$15,ROW(AT415)-ROW(AT$15),0),15-13*ORÇAMENTO!$AF$11)),0)</f>
        <v>0</v>
      </c>
      <c r="AU415" s="545">
        <f ca="1">IF(AND($D415="Serviço",AU$12&lt;&gt;0,$H415&gt;0,OR(AUTOEVENTO&lt;&gt;"manual",$M415&lt;&gt;1)),
IF(Import.TipoArredondamento&lt;&gt;"TransfereGOV",
ROUND(OFFSET($P415,0,AU$13),15-13*ORÇAMENTO!$AF$7)/$H415*OFFSET(ORÇAMENTO!$X$15,ROW(AU415)-ROW(AU$15),0),
ROUND(ROUND(OFFSET($P415,0,AU$13),15-13*ORÇAMENTO!$AF$7)*OFFSET(ORÇAMENTO!$W$15,ROW(AU415)-ROW(AU$15),0),15-13*ORÇAMENTO!$AF$11)),0)</f>
        <v>0</v>
      </c>
      <c r="AV415" s="545">
        <f ca="1">IF(AND($D415="Serviço",AV$12&lt;&gt;0,$H415&gt;0,OR(AUTOEVENTO&lt;&gt;"manual",$M415&lt;&gt;1)),
IF(Import.TipoArredondamento&lt;&gt;"TransfereGOV",
ROUND(OFFSET($P415,0,AV$13),15-13*ORÇAMENTO!$AF$7)/$H415*OFFSET(ORÇAMENTO!$X$15,ROW(AV415)-ROW(AV$15),0),
ROUND(ROUND(OFFSET($P415,0,AV$13),15-13*ORÇAMENTO!$AF$7)*OFFSET(ORÇAMENTO!$W$15,ROW(AV415)-ROW(AV$15),0),15-13*ORÇAMENTO!$AF$11)),0)</f>
        <v>0</v>
      </c>
      <c r="AW415" s="545">
        <f ca="1">IF(AND($D415="Serviço",AW$12&lt;&gt;0,$H415&gt;0,OR(AUTOEVENTO&lt;&gt;"manual",$M415&lt;&gt;1)),
IF(Import.TipoArredondamento&lt;&gt;"TransfereGOV",
ROUND(OFFSET($P415,0,AW$13),15-13*ORÇAMENTO!$AF$7)/$H415*OFFSET(ORÇAMENTO!$X$15,ROW(AW415)-ROW(AW$15),0),
ROUND(ROUND(OFFSET($P415,0,AW$13),15-13*ORÇAMENTO!$AF$7)*OFFSET(ORÇAMENTO!$W$15,ROW(AW415)-ROW(AW$15),0),15-13*ORÇAMENTO!$AF$11)),0)</f>
        <v>0</v>
      </c>
      <c r="AX415" s="545">
        <f ca="1">IF(AND($D415="Serviço",AX$12&lt;&gt;0,$H415&gt;0,OR(AUTOEVENTO&lt;&gt;"manual",$M415&lt;&gt;1)),
IF(Import.TipoArredondamento&lt;&gt;"TransfereGOV",
ROUND(OFFSET($P415,0,AX$13),15-13*ORÇAMENTO!$AF$7)/$H415*OFFSET(ORÇAMENTO!$X$15,ROW(AX415)-ROW(AX$15),0),
ROUND(ROUND(OFFSET($P415,0,AX$13),15-13*ORÇAMENTO!$AF$7)*OFFSET(ORÇAMENTO!$W$15,ROW(AX415)-ROW(AX$15),0),15-13*ORÇAMENTO!$AF$11)),0)</f>
        <v>0</v>
      </c>
      <c r="AY415" s="545">
        <f ca="1">IF(AND($D415="Serviço",AY$12&lt;&gt;0,$H415&gt;0,OR(AUTOEVENTO&lt;&gt;"manual",$M415&lt;&gt;1)),
IF(Import.TipoArredondamento&lt;&gt;"TransfereGOV",
ROUND(OFFSET($P415,0,AY$13),15-13*ORÇAMENTO!$AF$7)/$H415*OFFSET(ORÇAMENTO!$X$15,ROW(AY415)-ROW(AY$15),0),
ROUND(ROUND(OFFSET($P415,0,AY$13),15-13*ORÇAMENTO!$AF$7)*OFFSET(ORÇAMENTO!$W$15,ROW(AY415)-ROW(AY$15),0),15-13*ORÇAMENTO!$AF$11)),0)</f>
        <v>0</v>
      </c>
      <c r="AZ415" s="545">
        <f ca="1">IF(AND($D415="Serviço",AZ$12&lt;&gt;0,$H415&gt;0,OR(AUTOEVENTO&lt;&gt;"manual",$M415&lt;&gt;1)),
IF(Import.TipoArredondamento&lt;&gt;"TransfereGOV",
ROUND(OFFSET($P415,0,AZ$13),15-13*ORÇAMENTO!$AF$7)/$H415*OFFSET(ORÇAMENTO!$X$15,ROW(AZ415)-ROW(AZ$15),0),
ROUND(ROUND(OFFSET($P415,0,AZ$13),15-13*ORÇAMENTO!$AF$7)*OFFSET(ORÇAMENTO!$W$15,ROW(AZ415)-ROW(AZ$15),0),15-13*ORÇAMENTO!$AF$11)),0)</f>
        <v>0</v>
      </c>
      <c r="BA415" s="546">
        <f ca="1">IF(AND($D415="Serviço",BA$12&lt;&gt;0,$H415&gt;0,OR(AUTOEVENTO&lt;&gt;"manual",$M415&lt;&gt;1)),
IF(Import.TipoArredondamento&lt;&gt;"TransfereGOV",
ROUND(OFFSET($P415,0,BA$13),15-13*ORÇAMENTO!$AF$7)/$H415*OFFSET(ORÇAMENTO!$X$15,ROW(BA415)-ROW(BA$15),0),
ROUND(ROUND(OFFSET($P415,0,BA$13),15-13*ORÇAMENTO!$AF$7)*OFFSET(ORÇAMENTO!$W$15,ROW(BA415)-ROW(BA$15),0),15-13*ORÇAMENTO!$AF$11)),0)</f>
        <v>0</v>
      </c>
      <c r="BC415" s="181">
        <f ca="1">IF($D415&lt;&gt;"Serviço",0,IF(AND(AUTOEVENTO="Manual",$M415=1),0,IF(OFFSET(CRONOPLE!$F$14,$M415,BC$13)="",10^12,OFFSET(CRONOPLE!$F$14,$M415,BC$13))))</f>
        <v>0</v>
      </c>
      <c r="BD415" s="181">
        <f ca="1">IF($D415&lt;&gt;"Serviço",0,IF(AND(AUTOEVENTO="Manual",$M415=1),0,IF(OFFSET(CRONOPLE!$F$14,$M415,BD$13)="",10^12,OFFSET(CRONOPLE!$F$14,$M415,BD$13))))</f>
        <v>0</v>
      </c>
      <c r="BE415" s="181">
        <f ca="1">IF($D415&lt;&gt;"Serviço",0,IF(AND(AUTOEVENTO="Manual",$M415=1),0,IF(OFFSET(CRONOPLE!$F$14,$M415,BE$13)="",10^12,OFFSET(CRONOPLE!$F$14,$M415,BE$13))))</f>
        <v>0</v>
      </c>
      <c r="BF415" s="181">
        <f ca="1">IF($D415&lt;&gt;"Serviço",0,IF(AND(AUTOEVENTO="Manual",$M415=1),0,IF(OFFSET(CRONOPLE!$F$14,$M415,BF$13)="",10^12,OFFSET(CRONOPLE!$F$14,$M415,BF$13))))</f>
        <v>0</v>
      </c>
      <c r="BG415" s="181">
        <f ca="1">IF($D415&lt;&gt;"Serviço",0,IF(AND(AUTOEVENTO="Manual",$M415=1),0,IF(OFFSET(CRONOPLE!$F$14,$M415,BG$13)="",10^12,OFFSET(CRONOPLE!$F$14,$M415,BG$13))))</f>
        <v>0</v>
      </c>
      <c r="BH415" s="181">
        <f ca="1">IF($D415&lt;&gt;"Serviço",0,IF(AND(AUTOEVENTO="Manual",$M415=1),0,IF(OFFSET(CRONOPLE!$F$14,$M415,BH$13)="",10^12,OFFSET(CRONOPLE!$F$14,$M415,BH$13))))</f>
        <v>0</v>
      </c>
      <c r="BI415" s="181">
        <f ca="1">IF($D415&lt;&gt;"Serviço",0,IF(AND(AUTOEVENTO="Manual",$M415=1),0,IF(OFFSET(CRONOPLE!$F$14,$M415,BI$13)="",10^12,OFFSET(CRONOPLE!$F$14,$M415,BI$13))))</f>
        <v>0</v>
      </c>
      <c r="BJ415" s="181">
        <f ca="1">IF($D415&lt;&gt;"Serviço",0,IF(AND(AUTOEVENTO="Manual",$M415=1),0,IF(OFFSET(CRONOPLE!$F$14,$M415,BJ$13)="",10^12,OFFSET(CRONOPLE!$F$14,$M415,BJ$13))))</f>
        <v>0</v>
      </c>
      <c r="BK415" s="181">
        <f ca="1">IF($D415&lt;&gt;"Serviço",0,IF(AND(AUTOEVENTO="Manual",$M415=1),0,IF(OFFSET(CRONOPLE!$F$14,$M415,BK$13)="",10^12,OFFSET(CRONOPLE!$F$14,$M415,BK$13))))</f>
        <v>0</v>
      </c>
      <c r="BL415" s="181">
        <f ca="1">IF($D415&lt;&gt;"Serviço",0,IF(AND(AUTOEVENTO="Manual",$M415=1),0,IF(OFFSET(CRONOPLE!$F$14,$M415,BL$13)="",10^12,OFFSET(CRONOPLE!$F$14,$M415,BL$13))))</f>
        <v>0</v>
      </c>
      <c r="BM415" s="181">
        <f ca="1">IF($D415&lt;&gt;"Serviço",0,IF(AND(AUTOEVENTO="Manual",$M415=1),0,IF(OFFSET(CRONOPLE!$F$14,$M415,BM$13)="",10^12,OFFSET(CRONOPLE!$F$14,$M415,BM$13))))</f>
        <v>0</v>
      </c>
      <c r="BN415" s="181">
        <f ca="1">IF($D415&lt;&gt;"Serviço",0,IF(AND(AUTOEVENTO="Manual",$M415=1),0,IF(OFFSET(CRONOPLE!$F$14,$M415,BN$13)="",10^12,OFFSET(CRONOPLE!$F$14,$M415,BN$13))))</f>
        <v>0</v>
      </c>
      <c r="BO415" s="181">
        <f ca="1">IF($D415&lt;&gt;"Serviço",0,IF(AND(AUTOEVENTO="Manual",$M415=1),0,IF(OFFSET(CRONOPLE!$F$14,$M415,BO$13)="",10^12,OFFSET(CRONOPLE!$F$14,$M415,BO$13))))</f>
        <v>0</v>
      </c>
      <c r="BP415" s="181">
        <f ca="1">IF($D415&lt;&gt;"Serviço",0,IF(AND(AUTOEVENTO="Manual",$M415=1),0,IF(OFFSET(CRONOPLE!$F$14,$M415,BP$13)="",10^12,OFFSET(CRONOPLE!$F$14,$M415,BP$13))))</f>
        <v>0</v>
      </c>
      <c r="BQ415" s="181">
        <f ca="1">IF($D415&lt;&gt;"Serviço",0,IF(AND(AUTOEVENTO="Manual",$M415=1),0,IF(OFFSET(CRONOPLE!$F$14,$M415,BQ$13)="",10^12,OFFSET(CRONOPLE!$F$14,$M415,BQ$13))))</f>
        <v>0</v>
      </c>
      <c r="BR415" s="181">
        <f ca="1">IF($D415&lt;&gt;"Serviço",0,IF(AND(AUTOEVENTO="Manual",$M415=1),0,IF(OFFSET(CRONOPLE!$F$14,$M415,BR$13)="",10^12,OFFSET(CRONOPLE!$F$14,$M415,BR$13))))</f>
        <v>0</v>
      </c>
      <c r="BS415" s="181">
        <f ca="1">IF($D415&lt;&gt;"Serviço",0,IF(AND(AUTOEVENTO="Manual",$M415=1),0,IF(OFFSET(CRONOPLE!$F$14,$M415,BS$13)="",10^12,OFFSET(CRONOPLE!$F$14,$M415,BS$13))))</f>
        <v>0</v>
      </c>
      <c r="BT415" s="181">
        <f ca="1">IF($D415&lt;&gt;"Serviço",0,IF(AND(AUTOEVENTO="Manual",$M415=1),0,IF(OFFSET(CRONOPLE!$F$14,$M415,BT$13)="",10^12,OFFSET(CRONOPLE!$F$14,$M415,BT$13))))</f>
        <v>0</v>
      </c>
      <c r="BV415" s="182">
        <f ca="1">IF($D415&lt;&gt;"Serviço",0,IF(OR(AND(AUTOEVENTO="Manual",$M415=1),$M415&gt;(ROW(PLE.lastrow)-ROW(PLE.firstrow))),0,IF(OFFSET(PLE!$G$14,$M415,BV$13)="",10^12,OFFSET(PLE!$G$14,$M415,BV$13))))</f>
        <v>0</v>
      </c>
      <c r="BW415" s="182">
        <f ca="1">IF($D415&lt;&gt;"Serviço",0,IF(OR(AND(AUTOEVENTO="Manual",$M415=1),$M415&gt;(ROW(PLE.lastrow)-ROW(PLE.firstrow))),0,IF(OFFSET(PLE!$G$14,$M415,BW$13)="",10^12,OFFSET(PLE!$G$14,$M415,BW$13))))</f>
        <v>0</v>
      </c>
      <c r="BX415" s="182">
        <f ca="1">IF($D415&lt;&gt;"Serviço",0,IF(OR(AND(AUTOEVENTO="Manual",$M415=1),$M415&gt;(ROW(PLE.lastrow)-ROW(PLE.firstrow))),0,IF(OFFSET(PLE!$G$14,$M415,BX$13)="",10^12,OFFSET(PLE!$G$14,$M415,BX$13))))</f>
        <v>0</v>
      </c>
      <c r="BY415" s="182">
        <f ca="1">IF($D415&lt;&gt;"Serviço",0,IF(OR(AND(AUTOEVENTO="Manual",$M415=1),$M415&gt;(ROW(PLE.lastrow)-ROW(PLE.firstrow))),0,IF(OFFSET(PLE!$G$14,$M415,BY$13)="",10^12,OFFSET(PLE!$G$14,$M415,BY$13))))</f>
        <v>0</v>
      </c>
      <c r="BZ415" s="182">
        <f ca="1">IF($D415&lt;&gt;"Serviço",0,IF(OR(AND(AUTOEVENTO="Manual",$M415=1),$M415&gt;(ROW(PLE.lastrow)-ROW(PLE.firstrow))),0,IF(OFFSET(PLE!$G$14,$M415,BZ$13)="",10^12,OFFSET(PLE!$G$14,$M415,BZ$13))))</f>
        <v>0</v>
      </c>
      <c r="CA415" s="182">
        <f ca="1">IF($D415&lt;&gt;"Serviço",0,IF(OR(AND(AUTOEVENTO="Manual",$M415=1),$M415&gt;(ROW(PLE.lastrow)-ROW(PLE.firstrow))),0,IF(OFFSET(PLE!$G$14,$M415,CA$13)="",10^12,OFFSET(PLE!$G$14,$M415,CA$13))))</f>
        <v>0</v>
      </c>
      <c r="CB415" s="182">
        <f ca="1">IF($D415&lt;&gt;"Serviço",0,IF(OR(AND(AUTOEVENTO="Manual",$M415=1),$M415&gt;(ROW(PLE.lastrow)-ROW(PLE.firstrow))),0,IF(OFFSET(PLE!$G$14,$M415,CB$13)="",10^12,OFFSET(PLE!$G$14,$M415,CB$13))))</f>
        <v>0</v>
      </c>
      <c r="CC415" s="182">
        <f ca="1">IF($D415&lt;&gt;"Serviço",0,IF(OR(AND(AUTOEVENTO="Manual",$M415=1),$M415&gt;(ROW(PLE.lastrow)-ROW(PLE.firstrow))),0,IF(OFFSET(PLE!$G$14,$M415,CC$13)="",10^12,OFFSET(PLE!$G$14,$M415,CC$13))))</f>
        <v>0</v>
      </c>
      <c r="CD415" s="182">
        <f ca="1">IF($D415&lt;&gt;"Serviço",0,IF(OR(AND(AUTOEVENTO="Manual",$M415=1),$M415&gt;(ROW(PLE.lastrow)-ROW(PLE.firstrow))),0,IF(OFFSET(PLE!$G$14,$M415,CD$13)="",10^12,OFFSET(PLE!$G$14,$M415,CD$13))))</f>
        <v>0</v>
      </c>
      <c r="CE415" s="182">
        <f ca="1">IF($D415&lt;&gt;"Serviço",0,IF(OR(AND(AUTOEVENTO="Manual",$M415=1),$M415&gt;(ROW(PLE.lastrow)-ROW(PLE.firstrow))),0,IF(OFFSET(PLE!$G$14,$M415,CE$13)="",10^12,OFFSET(PLE!$G$14,$M415,CE$13))))</f>
        <v>0</v>
      </c>
      <c r="CF415" s="182">
        <f ca="1">IF($D415&lt;&gt;"Serviço",0,IF(OR(AND(AUTOEVENTO="Manual",$M415=1),$M415&gt;(ROW(PLE.lastrow)-ROW(PLE.firstrow))),0,IF(OFFSET(PLE!$G$14,$M415,CF$13)="",10^12,OFFSET(PLE!$G$14,$M415,CF$13))))</f>
        <v>0</v>
      </c>
      <c r="CG415" s="182">
        <f ca="1">IF($D415&lt;&gt;"Serviço",0,IF(OR(AND(AUTOEVENTO="Manual",$M415=1),$M415&gt;(ROW(PLE.lastrow)-ROW(PLE.firstrow))),0,IF(OFFSET(PLE!$G$14,$M415,CG$13)="",10^12,OFFSET(PLE!$G$14,$M415,CG$13))))</f>
        <v>0</v>
      </c>
      <c r="CH415" s="182">
        <f ca="1">IF($D415&lt;&gt;"Serviço",0,IF(OR(AND(AUTOEVENTO="Manual",$M415=1),$M415&gt;(ROW(PLE.lastrow)-ROW(PLE.firstrow))),0,IF(OFFSET(PLE!$G$14,$M415,CH$13)="",10^12,OFFSET(PLE!$G$14,$M415,CH$13))))</f>
        <v>0</v>
      </c>
      <c r="CI415" s="182">
        <f ca="1">IF($D415&lt;&gt;"Serviço",0,IF(OR(AND(AUTOEVENTO="Manual",$M415=1),$M415&gt;(ROW(PLE.lastrow)-ROW(PLE.firstrow))),0,IF(OFFSET(PLE!$G$14,$M415,CI$13)="",10^12,OFFSET(PLE!$G$14,$M415,CI$13))))</f>
        <v>0</v>
      </c>
      <c r="CJ415" s="182">
        <f ca="1">IF($D415&lt;&gt;"Serviço",0,IF(OR(AND(AUTOEVENTO="Manual",$M415=1),$M415&gt;(ROW(PLE.lastrow)-ROW(PLE.firstrow))),0,IF(OFFSET(PLE!$G$14,$M415,CJ$13)="",10^12,OFFSET(PLE!$G$14,$M415,CJ$13))))</f>
        <v>0</v>
      </c>
      <c r="CK415" s="182">
        <f ca="1">IF($D415&lt;&gt;"Serviço",0,IF(OR(AND(AUTOEVENTO="Manual",$M415=1),$M415&gt;(ROW(PLE.lastrow)-ROW(PLE.firstrow))),0,IF(OFFSET(PLE!$G$14,$M415,CK$13)="",10^12,OFFSET(PLE!$G$14,$M415,CK$13))))</f>
        <v>0</v>
      </c>
      <c r="CL415" s="182">
        <f ca="1">IF($D415&lt;&gt;"Serviço",0,IF(OR(AND(AUTOEVENTO="Manual",$M415=1),$M415&gt;(ROW(PLE.lastrow)-ROW(PLE.firstrow))),0,IF(OFFSET(PLE!$G$14,$M415,CL$13)="",10^12,OFFSET(PLE!$G$14,$M415,CL$13))))</f>
        <v>0</v>
      </c>
      <c r="CM415" s="182">
        <f ca="1">IF($D415&lt;&gt;"Serviço",0,IF(OR(AND(AUTOEVENTO="Manual",$M415=1),$M415&gt;(ROW(PLE.lastrow)-ROW(PLE.firstrow))),0,IF(OFFSET(PLE!$G$14,$M415,CM$13)="",10^12,OFFSET(PLE!$G$14,$M415,CM$13))))</f>
        <v>0</v>
      </c>
    </row>
    <row r="416" spans="1:91" ht="38.25" x14ac:dyDescent="0.2">
      <c r="A416" s="7" t="str">
        <f t="shared" ca="1" si="14"/>
        <v>400</v>
      </c>
      <c r="B416" s="7" t="str">
        <f ca="1">OFFSET(ORÇAMENTO!C$15,ROW(B416)-ROW(B$15),0)</f>
        <v>S</v>
      </c>
      <c r="C416" s="7" t="str">
        <f ca="1">OFFSET(ORÇAMENTO!L$15,ROW(C416)-ROW(C$15),0)</f>
        <v/>
      </c>
      <c r="D416" s="118" t="str">
        <f ca="1">OFFSET(ORÇAMENTO!N$15,ROW(D416)-ROW(D$15),0)</f>
        <v>Serviço</v>
      </c>
      <c r="E416" s="119" t="str">
        <f ca="1">OFFSET(ORÇAMENTO!O$15,ROW(E416)-ROW(E$15),0)</f>
        <v>-</v>
      </c>
      <c r="F416" s="172" t="str">
        <f ca="1">OFFSET(ORÇAMENTO!R$15,ROW(F416)-ROW(F$15),0)</f>
        <v>(abra o arquivo 'Referência 06-2024.xlsm)</v>
      </c>
      <c r="G416" s="173" t="str">
        <f ca="1">IF($D416&lt;&gt;"Serviço","",OFFSET(ORÇAMENTO!S$15,ROW(G416)-ROW(G$15),0))</f>
        <v>-</v>
      </c>
      <c r="H416" s="124">
        <f ca="1">IF($D416&lt;&gt;"Serviço",0,IF(ACOMPANHAMENTO="BM",ROUND(OFFSET(ORÇAMENTO!AJ$15,ROW(H416)-ROW(H$15),0),15-13*ORÇAMENTO!$AF$7),SUMPRODUCT(($Q$12:$AI$12&lt;&gt;"")*ROUND($Q416:$AI416,15-13*ORÇAMENTO!$AF$7))))</f>
        <v>8</v>
      </c>
      <c r="I416" s="561" t="s">
        <v>1107</v>
      </c>
      <c r="K416" s="174"/>
      <c r="L416" s="175" t="s">
        <v>255</v>
      </c>
      <c r="M416" s="176">
        <f ca="1">IF($D416&lt;&gt;"Serviço","",IF(AUTOEVENTO="manual",$A416,IF(ISERROR(MATCH($A416,$A$15:OFFSET($A416,-1,0),0)),MAX($M$15:OFFSET(M416,-1,0))+1,INDEX($M$15:OFFSET(M416,-1,0),MATCH($A416,$A$15:OFFSET($A416,-1,0),0)))))</f>
        <v>46</v>
      </c>
      <c r="N416" s="177" t="str">
        <f ca="1">IF($D416&lt;&gt;"Serviço","",IF(AUTOEVENTO="Manual",IF($A416=0,"&lt;-- defina o número do agrupador",OFFSET(EVENTOS!$D$14,$A416,0)),OFFSET($F$15,$A416,0)))</f>
        <v>SISTEMA DE PROTEÇÃO CONTRA INCÊNDIO - EXTINTORES</v>
      </c>
      <c r="O416" s="178"/>
      <c r="Q416" s="178">
        <v>8</v>
      </c>
      <c r="R416" s="179"/>
      <c r="S416" s="179"/>
      <c r="T416" s="179"/>
      <c r="U416" s="179"/>
      <c r="V416" s="179"/>
      <c r="W416" s="179"/>
      <c r="X416" s="179"/>
      <c r="Y416" s="179"/>
      <c r="Z416" s="180"/>
      <c r="AA416" s="179"/>
      <c r="AB416" s="179"/>
      <c r="AC416" s="179"/>
      <c r="AD416" s="179"/>
      <c r="AE416" s="179"/>
      <c r="AF416" s="179"/>
      <c r="AG416" s="179"/>
      <c r="AH416" s="180"/>
      <c r="AJ416" s="544">
        <f ca="1">IF(AND($D416="Serviço",AJ$12&lt;&gt;0,$H416&gt;0,OR(AUTOEVENTO&lt;&gt;"manual",$M416&lt;&gt;1)),
IF(Import.TipoArredondamento&lt;&gt;"TransfereGOV",
ROUND(OFFSET($P416,0,AJ$13),15-13*ORÇAMENTO!$AF$7)/$H416*OFFSET(ORÇAMENTO!$X$15,ROW(AJ416)-ROW(AJ$15),0),
ROUND(ROUND(OFFSET($P416,0,AJ$13),15-13*ORÇAMENTO!$AF$7)*OFFSET(ORÇAMENTO!$W$15,ROW(AJ416)-ROW(AJ$15),0),15-13*ORÇAMENTO!$AF$11)),0)</f>
        <v>0</v>
      </c>
      <c r="AK416" s="545">
        <f ca="1">IF(AND($D416="Serviço",AK$12&lt;&gt;0,$H416&gt;0,OR(AUTOEVENTO&lt;&gt;"manual",$M416&lt;&gt;1)),
IF(Import.TipoArredondamento&lt;&gt;"TransfereGOV",
ROUND(OFFSET($P416,0,AK$13),15-13*ORÇAMENTO!$AF$7)/$H416*OFFSET(ORÇAMENTO!$X$15,ROW(AK416)-ROW(AK$15),0),
ROUND(ROUND(OFFSET($P416,0,AK$13),15-13*ORÇAMENTO!$AF$7)*OFFSET(ORÇAMENTO!$W$15,ROW(AK416)-ROW(AK$15),0),15-13*ORÇAMENTO!$AF$11)),0)</f>
        <v>0</v>
      </c>
      <c r="AL416" s="545">
        <f ca="1">IF(AND($D416="Serviço",AL$12&lt;&gt;0,$H416&gt;0,OR(AUTOEVENTO&lt;&gt;"manual",$M416&lt;&gt;1)),
IF(Import.TipoArredondamento&lt;&gt;"TransfereGOV",
ROUND(OFFSET($P416,0,AL$13),15-13*ORÇAMENTO!$AF$7)/$H416*OFFSET(ORÇAMENTO!$X$15,ROW(AL416)-ROW(AL$15),0),
ROUND(ROUND(OFFSET($P416,0,AL$13),15-13*ORÇAMENTO!$AF$7)*OFFSET(ORÇAMENTO!$W$15,ROW(AL416)-ROW(AL$15),0),15-13*ORÇAMENTO!$AF$11)),0)</f>
        <v>0</v>
      </c>
      <c r="AM416" s="545">
        <f ca="1">IF(AND($D416="Serviço",AM$12&lt;&gt;0,$H416&gt;0,OR(AUTOEVENTO&lt;&gt;"manual",$M416&lt;&gt;1)),
IF(Import.TipoArredondamento&lt;&gt;"TransfereGOV",
ROUND(OFFSET($P416,0,AM$13),15-13*ORÇAMENTO!$AF$7)/$H416*OFFSET(ORÇAMENTO!$X$15,ROW(AM416)-ROW(AM$15),0),
ROUND(ROUND(OFFSET($P416,0,AM$13),15-13*ORÇAMENTO!$AF$7)*OFFSET(ORÇAMENTO!$W$15,ROW(AM416)-ROW(AM$15),0),15-13*ORÇAMENTO!$AF$11)),0)</f>
        <v>0</v>
      </c>
      <c r="AN416" s="545">
        <f ca="1">IF(AND($D416="Serviço",AN$12&lt;&gt;0,$H416&gt;0,OR(AUTOEVENTO&lt;&gt;"manual",$M416&lt;&gt;1)),
IF(Import.TipoArredondamento&lt;&gt;"TransfereGOV",
ROUND(OFFSET($P416,0,AN$13),15-13*ORÇAMENTO!$AF$7)/$H416*OFFSET(ORÇAMENTO!$X$15,ROW(AN416)-ROW(AN$15),0),
ROUND(ROUND(OFFSET($P416,0,AN$13),15-13*ORÇAMENTO!$AF$7)*OFFSET(ORÇAMENTO!$W$15,ROW(AN416)-ROW(AN$15),0),15-13*ORÇAMENTO!$AF$11)),0)</f>
        <v>0</v>
      </c>
      <c r="AO416" s="545">
        <f ca="1">IF(AND($D416="Serviço",AO$12&lt;&gt;0,$H416&gt;0,OR(AUTOEVENTO&lt;&gt;"manual",$M416&lt;&gt;1)),
IF(Import.TipoArredondamento&lt;&gt;"TransfereGOV",
ROUND(OFFSET($P416,0,AO$13),15-13*ORÇAMENTO!$AF$7)/$H416*OFFSET(ORÇAMENTO!$X$15,ROW(AO416)-ROW(AO$15),0),
ROUND(ROUND(OFFSET($P416,0,AO$13),15-13*ORÇAMENTO!$AF$7)*OFFSET(ORÇAMENTO!$W$15,ROW(AO416)-ROW(AO$15),0),15-13*ORÇAMENTO!$AF$11)),0)</f>
        <v>0</v>
      </c>
      <c r="AP416" s="545">
        <f ca="1">IF(AND($D416="Serviço",AP$12&lt;&gt;0,$H416&gt;0,OR(AUTOEVENTO&lt;&gt;"manual",$M416&lt;&gt;1)),
IF(Import.TipoArredondamento&lt;&gt;"TransfereGOV",
ROUND(OFFSET($P416,0,AP$13),15-13*ORÇAMENTO!$AF$7)/$H416*OFFSET(ORÇAMENTO!$X$15,ROW(AP416)-ROW(AP$15),0),
ROUND(ROUND(OFFSET($P416,0,AP$13),15-13*ORÇAMENTO!$AF$7)*OFFSET(ORÇAMENTO!$W$15,ROW(AP416)-ROW(AP$15),0),15-13*ORÇAMENTO!$AF$11)),0)</f>
        <v>0</v>
      </c>
      <c r="AQ416" s="545">
        <f ca="1">IF(AND($D416="Serviço",AQ$12&lt;&gt;0,$H416&gt;0,OR(AUTOEVENTO&lt;&gt;"manual",$M416&lt;&gt;1)),
IF(Import.TipoArredondamento&lt;&gt;"TransfereGOV",
ROUND(OFFSET($P416,0,AQ$13),15-13*ORÇAMENTO!$AF$7)/$H416*OFFSET(ORÇAMENTO!$X$15,ROW(AQ416)-ROW(AQ$15),0),
ROUND(ROUND(OFFSET($P416,0,AQ$13),15-13*ORÇAMENTO!$AF$7)*OFFSET(ORÇAMENTO!$W$15,ROW(AQ416)-ROW(AQ$15),0),15-13*ORÇAMENTO!$AF$11)),0)</f>
        <v>0</v>
      </c>
      <c r="AR416" s="545">
        <f ca="1">IF(AND($D416="Serviço",AR$12&lt;&gt;0,$H416&gt;0,OR(AUTOEVENTO&lt;&gt;"manual",$M416&lt;&gt;1)),
IF(Import.TipoArredondamento&lt;&gt;"TransfereGOV",
ROUND(OFFSET($P416,0,AR$13),15-13*ORÇAMENTO!$AF$7)/$H416*OFFSET(ORÇAMENTO!$X$15,ROW(AR416)-ROW(AR$15),0),
ROUND(ROUND(OFFSET($P416,0,AR$13),15-13*ORÇAMENTO!$AF$7)*OFFSET(ORÇAMENTO!$W$15,ROW(AR416)-ROW(AR$15),0),15-13*ORÇAMENTO!$AF$11)),0)</f>
        <v>0</v>
      </c>
      <c r="AS416" s="546">
        <f ca="1">IF(AND($D416="Serviço",AS$12&lt;&gt;0,$H416&gt;0,OR(AUTOEVENTO&lt;&gt;"manual",$M416&lt;&gt;1)),
IF(Import.TipoArredondamento&lt;&gt;"TransfereGOV",
ROUND(OFFSET($P416,0,AS$13),15-13*ORÇAMENTO!$AF$7)/$H416*OFFSET(ORÇAMENTO!$X$15,ROW(AS416)-ROW(AS$15),0),
ROUND(ROUND(OFFSET($P416,0,AS$13),15-13*ORÇAMENTO!$AF$7)*OFFSET(ORÇAMENTO!$W$15,ROW(AS416)-ROW(AS$15),0),15-13*ORÇAMENTO!$AF$11)),0)</f>
        <v>0</v>
      </c>
      <c r="AT416" s="545">
        <f ca="1">IF(AND($D416="Serviço",AT$12&lt;&gt;0,$H416&gt;0,OR(AUTOEVENTO&lt;&gt;"manual",$M416&lt;&gt;1)),
IF(Import.TipoArredondamento&lt;&gt;"TransfereGOV",
ROUND(OFFSET($P416,0,AT$13),15-13*ORÇAMENTO!$AF$7)/$H416*OFFSET(ORÇAMENTO!$X$15,ROW(AT416)-ROW(AT$15),0),
ROUND(ROUND(OFFSET($P416,0,AT$13),15-13*ORÇAMENTO!$AF$7)*OFFSET(ORÇAMENTO!$W$15,ROW(AT416)-ROW(AT$15),0),15-13*ORÇAMENTO!$AF$11)),0)</f>
        <v>0</v>
      </c>
      <c r="AU416" s="545">
        <f ca="1">IF(AND($D416="Serviço",AU$12&lt;&gt;0,$H416&gt;0,OR(AUTOEVENTO&lt;&gt;"manual",$M416&lt;&gt;1)),
IF(Import.TipoArredondamento&lt;&gt;"TransfereGOV",
ROUND(OFFSET($P416,0,AU$13),15-13*ORÇAMENTO!$AF$7)/$H416*OFFSET(ORÇAMENTO!$X$15,ROW(AU416)-ROW(AU$15),0),
ROUND(ROUND(OFFSET($P416,0,AU$13),15-13*ORÇAMENTO!$AF$7)*OFFSET(ORÇAMENTO!$W$15,ROW(AU416)-ROW(AU$15),0),15-13*ORÇAMENTO!$AF$11)),0)</f>
        <v>0</v>
      </c>
      <c r="AV416" s="545">
        <f ca="1">IF(AND($D416="Serviço",AV$12&lt;&gt;0,$H416&gt;0,OR(AUTOEVENTO&lt;&gt;"manual",$M416&lt;&gt;1)),
IF(Import.TipoArredondamento&lt;&gt;"TransfereGOV",
ROUND(OFFSET($P416,0,AV$13),15-13*ORÇAMENTO!$AF$7)/$H416*OFFSET(ORÇAMENTO!$X$15,ROW(AV416)-ROW(AV$15),0),
ROUND(ROUND(OFFSET($P416,0,AV$13),15-13*ORÇAMENTO!$AF$7)*OFFSET(ORÇAMENTO!$W$15,ROW(AV416)-ROW(AV$15),0),15-13*ORÇAMENTO!$AF$11)),0)</f>
        <v>0</v>
      </c>
      <c r="AW416" s="545">
        <f ca="1">IF(AND($D416="Serviço",AW$12&lt;&gt;0,$H416&gt;0,OR(AUTOEVENTO&lt;&gt;"manual",$M416&lt;&gt;1)),
IF(Import.TipoArredondamento&lt;&gt;"TransfereGOV",
ROUND(OFFSET($P416,0,AW$13),15-13*ORÇAMENTO!$AF$7)/$H416*OFFSET(ORÇAMENTO!$X$15,ROW(AW416)-ROW(AW$15),0),
ROUND(ROUND(OFFSET($P416,0,AW$13),15-13*ORÇAMENTO!$AF$7)*OFFSET(ORÇAMENTO!$W$15,ROW(AW416)-ROW(AW$15),0),15-13*ORÇAMENTO!$AF$11)),0)</f>
        <v>0</v>
      </c>
      <c r="AX416" s="545">
        <f ca="1">IF(AND($D416="Serviço",AX$12&lt;&gt;0,$H416&gt;0,OR(AUTOEVENTO&lt;&gt;"manual",$M416&lt;&gt;1)),
IF(Import.TipoArredondamento&lt;&gt;"TransfereGOV",
ROUND(OFFSET($P416,0,AX$13),15-13*ORÇAMENTO!$AF$7)/$H416*OFFSET(ORÇAMENTO!$X$15,ROW(AX416)-ROW(AX$15),0),
ROUND(ROUND(OFFSET($P416,0,AX$13),15-13*ORÇAMENTO!$AF$7)*OFFSET(ORÇAMENTO!$W$15,ROW(AX416)-ROW(AX$15),0),15-13*ORÇAMENTO!$AF$11)),0)</f>
        <v>0</v>
      </c>
      <c r="AY416" s="545">
        <f ca="1">IF(AND($D416="Serviço",AY$12&lt;&gt;0,$H416&gt;0,OR(AUTOEVENTO&lt;&gt;"manual",$M416&lt;&gt;1)),
IF(Import.TipoArredondamento&lt;&gt;"TransfereGOV",
ROUND(OFFSET($P416,0,AY$13),15-13*ORÇAMENTO!$AF$7)/$H416*OFFSET(ORÇAMENTO!$X$15,ROW(AY416)-ROW(AY$15),0),
ROUND(ROUND(OFFSET($P416,0,AY$13),15-13*ORÇAMENTO!$AF$7)*OFFSET(ORÇAMENTO!$W$15,ROW(AY416)-ROW(AY$15),0),15-13*ORÇAMENTO!$AF$11)),0)</f>
        <v>0</v>
      </c>
      <c r="AZ416" s="545">
        <f ca="1">IF(AND($D416="Serviço",AZ$12&lt;&gt;0,$H416&gt;0,OR(AUTOEVENTO&lt;&gt;"manual",$M416&lt;&gt;1)),
IF(Import.TipoArredondamento&lt;&gt;"TransfereGOV",
ROUND(OFFSET($P416,0,AZ$13),15-13*ORÇAMENTO!$AF$7)/$H416*OFFSET(ORÇAMENTO!$X$15,ROW(AZ416)-ROW(AZ$15),0),
ROUND(ROUND(OFFSET($P416,0,AZ$13),15-13*ORÇAMENTO!$AF$7)*OFFSET(ORÇAMENTO!$W$15,ROW(AZ416)-ROW(AZ$15),0),15-13*ORÇAMENTO!$AF$11)),0)</f>
        <v>0</v>
      </c>
      <c r="BA416" s="546">
        <f ca="1">IF(AND($D416="Serviço",BA$12&lt;&gt;0,$H416&gt;0,OR(AUTOEVENTO&lt;&gt;"manual",$M416&lt;&gt;1)),
IF(Import.TipoArredondamento&lt;&gt;"TransfereGOV",
ROUND(OFFSET($P416,0,BA$13),15-13*ORÇAMENTO!$AF$7)/$H416*OFFSET(ORÇAMENTO!$X$15,ROW(BA416)-ROW(BA$15),0),
ROUND(ROUND(OFFSET($P416,0,BA$13),15-13*ORÇAMENTO!$AF$7)*OFFSET(ORÇAMENTO!$W$15,ROW(BA416)-ROW(BA$15),0),15-13*ORÇAMENTO!$AF$11)),0)</f>
        <v>0</v>
      </c>
      <c r="BC416" s="181">
        <f ca="1">IF($D416&lt;&gt;"Serviço",0,IF(AND(AUTOEVENTO="Manual",$M416=1),0,IF(OFFSET(CRONOPLE!$F$14,$M416,BC$13)="",10^12,OFFSET(CRONOPLE!$F$14,$M416,BC$13))))</f>
        <v>10</v>
      </c>
      <c r="BD416" s="181">
        <f ca="1">IF($D416&lt;&gt;"Serviço",0,IF(AND(AUTOEVENTO="Manual",$M416=1),0,IF(OFFSET(CRONOPLE!$F$14,$M416,BD$13)="",10^12,OFFSET(CRONOPLE!$F$14,$M416,BD$13))))</f>
        <v>1000000000000</v>
      </c>
      <c r="BE416" s="181">
        <f ca="1">IF($D416&lt;&gt;"Serviço",0,IF(AND(AUTOEVENTO="Manual",$M416=1),0,IF(OFFSET(CRONOPLE!$F$14,$M416,BE$13)="",10^12,OFFSET(CRONOPLE!$F$14,$M416,BE$13))))</f>
        <v>1000000000000</v>
      </c>
      <c r="BF416" s="181">
        <f ca="1">IF($D416&lt;&gt;"Serviço",0,IF(AND(AUTOEVENTO="Manual",$M416=1),0,IF(OFFSET(CRONOPLE!$F$14,$M416,BF$13)="",10^12,OFFSET(CRONOPLE!$F$14,$M416,BF$13))))</f>
        <v>1000000000000</v>
      </c>
      <c r="BG416" s="181">
        <f ca="1">IF($D416&lt;&gt;"Serviço",0,IF(AND(AUTOEVENTO="Manual",$M416=1),0,IF(OFFSET(CRONOPLE!$F$14,$M416,BG$13)="",10^12,OFFSET(CRONOPLE!$F$14,$M416,BG$13))))</f>
        <v>1000000000000</v>
      </c>
      <c r="BH416" s="181">
        <f ca="1">IF($D416&lt;&gt;"Serviço",0,IF(AND(AUTOEVENTO="Manual",$M416=1),0,IF(OFFSET(CRONOPLE!$F$14,$M416,BH$13)="",10^12,OFFSET(CRONOPLE!$F$14,$M416,BH$13))))</f>
        <v>1000000000000</v>
      </c>
      <c r="BI416" s="181">
        <f ca="1">IF($D416&lt;&gt;"Serviço",0,IF(AND(AUTOEVENTO="Manual",$M416=1),0,IF(OFFSET(CRONOPLE!$F$14,$M416,BI$13)="",10^12,OFFSET(CRONOPLE!$F$14,$M416,BI$13))))</f>
        <v>1000000000000</v>
      </c>
      <c r="BJ416" s="181">
        <f ca="1">IF($D416&lt;&gt;"Serviço",0,IF(AND(AUTOEVENTO="Manual",$M416=1),0,IF(OFFSET(CRONOPLE!$F$14,$M416,BJ$13)="",10^12,OFFSET(CRONOPLE!$F$14,$M416,BJ$13))))</f>
        <v>1000000000000</v>
      </c>
      <c r="BK416" s="181">
        <f ca="1">IF($D416&lt;&gt;"Serviço",0,IF(AND(AUTOEVENTO="Manual",$M416=1),0,IF(OFFSET(CRONOPLE!$F$14,$M416,BK$13)="",10^12,OFFSET(CRONOPLE!$F$14,$M416,BK$13))))</f>
        <v>1000000000000</v>
      </c>
      <c r="BL416" s="181">
        <f ca="1">IF($D416&lt;&gt;"Serviço",0,IF(AND(AUTOEVENTO="Manual",$M416=1),0,IF(OFFSET(CRONOPLE!$F$14,$M416,BL$13)="",10^12,OFFSET(CRONOPLE!$F$14,$M416,BL$13))))</f>
        <v>1000000000000</v>
      </c>
      <c r="BM416" s="181">
        <f ca="1">IF($D416&lt;&gt;"Serviço",0,IF(AND(AUTOEVENTO="Manual",$M416=1),0,IF(OFFSET(CRONOPLE!$F$14,$M416,BM$13)="",10^12,OFFSET(CRONOPLE!$F$14,$M416,BM$13))))</f>
        <v>1000000000000</v>
      </c>
      <c r="BN416" s="181">
        <f ca="1">IF($D416&lt;&gt;"Serviço",0,IF(AND(AUTOEVENTO="Manual",$M416=1),0,IF(OFFSET(CRONOPLE!$F$14,$M416,BN$13)="",10^12,OFFSET(CRONOPLE!$F$14,$M416,BN$13))))</f>
        <v>1000000000000</v>
      </c>
      <c r="BO416" s="181">
        <f ca="1">IF($D416&lt;&gt;"Serviço",0,IF(AND(AUTOEVENTO="Manual",$M416=1),0,IF(OFFSET(CRONOPLE!$F$14,$M416,BO$13)="",10^12,OFFSET(CRONOPLE!$F$14,$M416,BO$13))))</f>
        <v>1000000000000</v>
      </c>
      <c r="BP416" s="181">
        <f ca="1">IF($D416&lt;&gt;"Serviço",0,IF(AND(AUTOEVENTO="Manual",$M416=1),0,IF(OFFSET(CRONOPLE!$F$14,$M416,BP$13)="",10^12,OFFSET(CRONOPLE!$F$14,$M416,BP$13))))</f>
        <v>1000000000000</v>
      </c>
      <c r="BQ416" s="181">
        <f ca="1">IF($D416&lt;&gt;"Serviço",0,IF(AND(AUTOEVENTO="Manual",$M416=1),0,IF(OFFSET(CRONOPLE!$F$14,$M416,BQ$13)="",10^12,OFFSET(CRONOPLE!$F$14,$M416,BQ$13))))</f>
        <v>1000000000000</v>
      </c>
      <c r="BR416" s="181">
        <f ca="1">IF($D416&lt;&gt;"Serviço",0,IF(AND(AUTOEVENTO="Manual",$M416=1),0,IF(OFFSET(CRONOPLE!$F$14,$M416,BR$13)="",10^12,OFFSET(CRONOPLE!$F$14,$M416,BR$13))))</f>
        <v>1000000000000</v>
      </c>
      <c r="BS416" s="181">
        <f ca="1">IF($D416&lt;&gt;"Serviço",0,IF(AND(AUTOEVENTO="Manual",$M416=1),0,IF(OFFSET(CRONOPLE!$F$14,$M416,BS$13)="",10^12,OFFSET(CRONOPLE!$F$14,$M416,BS$13))))</f>
        <v>1000000000000</v>
      </c>
      <c r="BT416" s="181">
        <f ca="1">IF($D416&lt;&gt;"Serviço",0,IF(AND(AUTOEVENTO="Manual",$M416=1),0,IF(OFFSET(CRONOPLE!$F$14,$M416,BT$13)="",10^12,OFFSET(CRONOPLE!$F$14,$M416,BT$13))))</f>
        <v>1000000000000</v>
      </c>
      <c r="BV416" s="182">
        <f ca="1">IF($D416&lt;&gt;"Serviço",0,IF(OR(AND(AUTOEVENTO="Manual",$M416=1),$M416&gt;(ROW(PLE.lastrow)-ROW(PLE.firstrow))),0,IF(OFFSET(PLE!$G$14,$M416,BV$13)="",10^12,OFFSET(PLE!$G$14,$M416,BV$13))))</f>
        <v>1000000000000</v>
      </c>
      <c r="BW416" s="182">
        <f ca="1">IF($D416&lt;&gt;"Serviço",0,IF(OR(AND(AUTOEVENTO="Manual",$M416=1),$M416&gt;(ROW(PLE.lastrow)-ROW(PLE.firstrow))),0,IF(OFFSET(PLE!$G$14,$M416,BW$13)="",10^12,OFFSET(PLE!$G$14,$M416,BW$13))))</f>
        <v>1000000000000</v>
      </c>
      <c r="BX416" s="182">
        <f ca="1">IF($D416&lt;&gt;"Serviço",0,IF(OR(AND(AUTOEVENTO="Manual",$M416=1),$M416&gt;(ROW(PLE.lastrow)-ROW(PLE.firstrow))),0,IF(OFFSET(PLE!$G$14,$M416,BX$13)="",10^12,OFFSET(PLE!$G$14,$M416,BX$13))))</f>
        <v>1000000000000</v>
      </c>
      <c r="BY416" s="182">
        <f ca="1">IF($D416&lt;&gt;"Serviço",0,IF(OR(AND(AUTOEVENTO="Manual",$M416=1),$M416&gt;(ROW(PLE.lastrow)-ROW(PLE.firstrow))),0,IF(OFFSET(PLE!$G$14,$M416,BY$13)="",10^12,OFFSET(PLE!$G$14,$M416,BY$13))))</f>
        <v>1000000000000</v>
      </c>
      <c r="BZ416" s="182">
        <f ca="1">IF($D416&lt;&gt;"Serviço",0,IF(OR(AND(AUTOEVENTO="Manual",$M416=1),$M416&gt;(ROW(PLE.lastrow)-ROW(PLE.firstrow))),0,IF(OFFSET(PLE!$G$14,$M416,BZ$13)="",10^12,OFFSET(PLE!$G$14,$M416,BZ$13))))</f>
        <v>1000000000000</v>
      </c>
      <c r="CA416" s="182">
        <f ca="1">IF($D416&lt;&gt;"Serviço",0,IF(OR(AND(AUTOEVENTO="Manual",$M416=1),$M416&gt;(ROW(PLE.lastrow)-ROW(PLE.firstrow))),0,IF(OFFSET(PLE!$G$14,$M416,CA$13)="",10^12,OFFSET(PLE!$G$14,$M416,CA$13))))</f>
        <v>1000000000000</v>
      </c>
      <c r="CB416" s="182">
        <f ca="1">IF($D416&lt;&gt;"Serviço",0,IF(OR(AND(AUTOEVENTO="Manual",$M416=1),$M416&gt;(ROW(PLE.lastrow)-ROW(PLE.firstrow))),0,IF(OFFSET(PLE!$G$14,$M416,CB$13)="",10^12,OFFSET(PLE!$G$14,$M416,CB$13))))</f>
        <v>1000000000000</v>
      </c>
      <c r="CC416" s="182">
        <f ca="1">IF($D416&lt;&gt;"Serviço",0,IF(OR(AND(AUTOEVENTO="Manual",$M416=1),$M416&gt;(ROW(PLE.lastrow)-ROW(PLE.firstrow))),0,IF(OFFSET(PLE!$G$14,$M416,CC$13)="",10^12,OFFSET(PLE!$G$14,$M416,CC$13))))</f>
        <v>1000000000000</v>
      </c>
      <c r="CD416" s="182">
        <f ca="1">IF($D416&lt;&gt;"Serviço",0,IF(OR(AND(AUTOEVENTO="Manual",$M416=1),$M416&gt;(ROW(PLE.lastrow)-ROW(PLE.firstrow))),0,IF(OFFSET(PLE!$G$14,$M416,CD$13)="",10^12,OFFSET(PLE!$G$14,$M416,CD$13))))</f>
        <v>1000000000000</v>
      </c>
      <c r="CE416" s="182">
        <f ca="1">IF($D416&lt;&gt;"Serviço",0,IF(OR(AND(AUTOEVENTO="Manual",$M416=1),$M416&gt;(ROW(PLE.lastrow)-ROW(PLE.firstrow))),0,IF(OFFSET(PLE!$G$14,$M416,CE$13)="",10^12,OFFSET(PLE!$G$14,$M416,CE$13))))</f>
        <v>1000000000000</v>
      </c>
      <c r="CF416" s="182">
        <f ca="1">IF($D416&lt;&gt;"Serviço",0,IF(OR(AND(AUTOEVENTO="Manual",$M416=1),$M416&gt;(ROW(PLE.lastrow)-ROW(PLE.firstrow))),0,IF(OFFSET(PLE!$G$14,$M416,CF$13)="",10^12,OFFSET(PLE!$G$14,$M416,CF$13))))</f>
        <v>1000000000000</v>
      </c>
      <c r="CG416" s="182">
        <f ca="1">IF($D416&lt;&gt;"Serviço",0,IF(OR(AND(AUTOEVENTO="Manual",$M416=1),$M416&gt;(ROW(PLE.lastrow)-ROW(PLE.firstrow))),0,IF(OFFSET(PLE!$G$14,$M416,CG$13)="",10^12,OFFSET(PLE!$G$14,$M416,CG$13))))</f>
        <v>1000000000000</v>
      </c>
      <c r="CH416" s="182">
        <f ca="1">IF($D416&lt;&gt;"Serviço",0,IF(OR(AND(AUTOEVENTO="Manual",$M416=1),$M416&gt;(ROW(PLE.lastrow)-ROW(PLE.firstrow))),0,IF(OFFSET(PLE!$G$14,$M416,CH$13)="",10^12,OFFSET(PLE!$G$14,$M416,CH$13))))</f>
        <v>1000000000000</v>
      </c>
      <c r="CI416" s="182">
        <f ca="1">IF($D416&lt;&gt;"Serviço",0,IF(OR(AND(AUTOEVENTO="Manual",$M416=1),$M416&gt;(ROW(PLE.lastrow)-ROW(PLE.firstrow))),0,IF(OFFSET(PLE!$G$14,$M416,CI$13)="",10^12,OFFSET(PLE!$G$14,$M416,CI$13))))</f>
        <v>1000000000000</v>
      </c>
      <c r="CJ416" s="182">
        <f ca="1">IF($D416&lt;&gt;"Serviço",0,IF(OR(AND(AUTOEVENTO="Manual",$M416=1),$M416&gt;(ROW(PLE.lastrow)-ROW(PLE.firstrow))),0,IF(OFFSET(PLE!$G$14,$M416,CJ$13)="",10^12,OFFSET(PLE!$G$14,$M416,CJ$13))))</f>
        <v>1000000000000</v>
      </c>
      <c r="CK416" s="182">
        <f ca="1">IF($D416&lt;&gt;"Serviço",0,IF(OR(AND(AUTOEVENTO="Manual",$M416=1),$M416&gt;(ROW(PLE.lastrow)-ROW(PLE.firstrow))),0,IF(OFFSET(PLE!$G$14,$M416,CK$13)="",10^12,OFFSET(PLE!$G$14,$M416,CK$13))))</f>
        <v>1000000000000</v>
      </c>
      <c r="CL416" s="182">
        <f ca="1">IF($D416&lt;&gt;"Serviço",0,IF(OR(AND(AUTOEVENTO="Manual",$M416=1),$M416&gt;(ROW(PLE.lastrow)-ROW(PLE.firstrow))),0,IF(OFFSET(PLE!$G$14,$M416,CL$13)="",10^12,OFFSET(PLE!$G$14,$M416,CL$13))))</f>
        <v>1000000000000</v>
      </c>
      <c r="CM416" s="182">
        <f ca="1">IF($D416&lt;&gt;"Serviço",0,IF(OR(AND(AUTOEVENTO="Manual",$M416=1),$M416&gt;(ROW(PLE.lastrow)-ROW(PLE.firstrow))),0,IF(OFFSET(PLE!$G$14,$M416,CM$13)="",10^12,OFFSET(PLE!$G$14,$M416,CM$13))))</f>
        <v>1000000000000</v>
      </c>
    </row>
    <row r="417" spans="1:91" ht="38.25" x14ac:dyDescent="0.2">
      <c r="A417" s="7" t="str">
        <f t="shared" ca="1" si="14"/>
        <v>400</v>
      </c>
      <c r="B417" s="7" t="str">
        <f ca="1">OFFSET(ORÇAMENTO!C$15,ROW(B417)-ROW(B$15),0)</f>
        <v>S</v>
      </c>
      <c r="C417" s="7" t="str">
        <f ca="1">OFFSET(ORÇAMENTO!L$15,ROW(C417)-ROW(C$15),0)</f>
        <v/>
      </c>
      <c r="D417" s="118" t="str">
        <f ca="1">OFFSET(ORÇAMENTO!N$15,ROW(D417)-ROW(D$15),0)</f>
        <v>Serviço</v>
      </c>
      <c r="E417" s="119" t="str">
        <f ca="1">OFFSET(ORÇAMENTO!O$15,ROW(E417)-ROW(E$15),0)</f>
        <v>-</v>
      </c>
      <c r="F417" s="172" t="str">
        <f ca="1">OFFSET(ORÇAMENTO!R$15,ROW(F417)-ROW(F$15),0)</f>
        <v>(abra o arquivo 'Referência 06-2024.xlsm)</v>
      </c>
      <c r="G417" s="173" t="str">
        <f ca="1">IF($D417&lt;&gt;"Serviço","",OFFSET(ORÇAMENTO!S$15,ROW(G417)-ROW(G$15),0))</f>
        <v>-</v>
      </c>
      <c r="H417" s="124">
        <f ca="1">IF($D417&lt;&gt;"Serviço",0,IF(ACOMPANHAMENTO="BM",ROUND(OFFSET(ORÇAMENTO!AJ$15,ROW(H417)-ROW(H$15),0),15-13*ORÇAMENTO!$AF$7),SUMPRODUCT(($Q$12:$AI$12&lt;&gt;"")*ROUND($Q417:$AI417,15-13*ORÇAMENTO!$AF$7))))</f>
        <v>1</v>
      </c>
      <c r="I417" s="561" t="s">
        <v>1107</v>
      </c>
      <c r="K417" s="174"/>
      <c r="L417" s="175" t="s">
        <v>255</v>
      </c>
      <c r="M417" s="176">
        <f ca="1">IF($D417&lt;&gt;"Serviço","",IF(AUTOEVENTO="manual",$A417,IF(ISERROR(MATCH($A417,$A$15:OFFSET($A417,-1,0),0)),MAX($M$15:OFFSET(M417,-1,0))+1,INDEX($M$15:OFFSET(M417,-1,0),MATCH($A417,$A$15:OFFSET($A417,-1,0),0)))))</f>
        <v>46</v>
      </c>
      <c r="N417" s="177" t="str">
        <f ca="1">IF($D417&lt;&gt;"Serviço","",IF(AUTOEVENTO="Manual",IF($A417=0,"&lt;-- defina o número do agrupador",OFFSET(EVENTOS!$D$14,$A417,0)),OFFSET($F$15,$A417,0)))</f>
        <v>SISTEMA DE PROTEÇÃO CONTRA INCÊNDIO - EXTINTORES</v>
      </c>
      <c r="O417" s="178"/>
      <c r="Q417" s="178">
        <v>1</v>
      </c>
      <c r="R417" s="179"/>
      <c r="S417" s="179"/>
      <c r="T417" s="179"/>
      <c r="U417" s="179"/>
      <c r="V417" s="179"/>
      <c r="W417" s="179"/>
      <c r="X417" s="179"/>
      <c r="Y417" s="179"/>
      <c r="Z417" s="180"/>
      <c r="AA417" s="179"/>
      <c r="AB417" s="179"/>
      <c r="AC417" s="179"/>
      <c r="AD417" s="179"/>
      <c r="AE417" s="179"/>
      <c r="AF417" s="179"/>
      <c r="AG417" s="179"/>
      <c r="AH417" s="180"/>
      <c r="AJ417" s="544">
        <f ca="1">IF(AND($D417="Serviço",AJ$12&lt;&gt;0,$H417&gt;0,OR(AUTOEVENTO&lt;&gt;"manual",$M417&lt;&gt;1)),
IF(Import.TipoArredondamento&lt;&gt;"TransfereGOV",
ROUND(OFFSET($P417,0,AJ$13),15-13*ORÇAMENTO!$AF$7)/$H417*OFFSET(ORÇAMENTO!$X$15,ROW(AJ417)-ROW(AJ$15),0),
ROUND(ROUND(OFFSET($P417,0,AJ$13),15-13*ORÇAMENTO!$AF$7)*OFFSET(ORÇAMENTO!$W$15,ROW(AJ417)-ROW(AJ$15),0),15-13*ORÇAMENTO!$AF$11)),0)</f>
        <v>0</v>
      </c>
      <c r="AK417" s="545">
        <f ca="1">IF(AND($D417="Serviço",AK$12&lt;&gt;0,$H417&gt;0,OR(AUTOEVENTO&lt;&gt;"manual",$M417&lt;&gt;1)),
IF(Import.TipoArredondamento&lt;&gt;"TransfereGOV",
ROUND(OFFSET($P417,0,AK$13),15-13*ORÇAMENTO!$AF$7)/$H417*OFFSET(ORÇAMENTO!$X$15,ROW(AK417)-ROW(AK$15),0),
ROUND(ROUND(OFFSET($P417,0,AK$13),15-13*ORÇAMENTO!$AF$7)*OFFSET(ORÇAMENTO!$W$15,ROW(AK417)-ROW(AK$15),0),15-13*ORÇAMENTO!$AF$11)),0)</f>
        <v>0</v>
      </c>
      <c r="AL417" s="545">
        <f ca="1">IF(AND($D417="Serviço",AL$12&lt;&gt;0,$H417&gt;0,OR(AUTOEVENTO&lt;&gt;"manual",$M417&lt;&gt;1)),
IF(Import.TipoArredondamento&lt;&gt;"TransfereGOV",
ROUND(OFFSET($P417,0,AL$13),15-13*ORÇAMENTO!$AF$7)/$H417*OFFSET(ORÇAMENTO!$X$15,ROW(AL417)-ROW(AL$15),0),
ROUND(ROUND(OFFSET($P417,0,AL$13),15-13*ORÇAMENTO!$AF$7)*OFFSET(ORÇAMENTO!$W$15,ROW(AL417)-ROW(AL$15),0),15-13*ORÇAMENTO!$AF$11)),0)</f>
        <v>0</v>
      </c>
      <c r="AM417" s="545">
        <f ca="1">IF(AND($D417="Serviço",AM$12&lt;&gt;0,$H417&gt;0,OR(AUTOEVENTO&lt;&gt;"manual",$M417&lt;&gt;1)),
IF(Import.TipoArredondamento&lt;&gt;"TransfereGOV",
ROUND(OFFSET($P417,0,AM$13),15-13*ORÇAMENTO!$AF$7)/$H417*OFFSET(ORÇAMENTO!$X$15,ROW(AM417)-ROW(AM$15),0),
ROUND(ROUND(OFFSET($P417,0,AM$13),15-13*ORÇAMENTO!$AF$7)*OFFSET(ORÇAMENTO!$W$15,ROW(AM417)-ROW(AM$15),0),15-13*ORÇAMENTO!$AF$11)),0)</f>
        <v>0</v>
      </c>
      <c r="AN417" s="545">
        <f ca="1">IF(AND($D417="Serviço",AN$12&lt;&gt;0,$H417&gt;0,OR(AUTOEVENTO&lt;&gt;"manual",$M417&lt;&gt;1)),
IF(Import.TipoArredondamento&lt;&gt;"TransfereGOV",
ROUND(OFFSET($P417,0,AN$13),15-13*ORÇAMENTO!$AF$7)/$H417*OFFSET(ORÇAMENTO!$X$15,ROW(AN417)-ROW(AN$15),0),
ROUND(ROUND(OFFSET($P417,0,AN$13),15-13*ORÇAMENTO!$AF$7)*OFFSET(ORÇAMENTO!$W$15,ROW(AN417)-ROW(AN$15),0),15-13*ORÇAMENTO!$AF$11)),0)</f>
        <v>0</v>
      </c>
      <c r="AO417" s="545">
        <f ca="1">IF(AND($D417="Serviço",AO$12&lt;&gt;0,$H417&gt;0,OR(AUTOEVENTO&lt;&gt;"manual",$M417&lt;&gt;1)),
IF(Import.TipoArredondamento&lt;&gt;"TransfereGOV",
ROUND(OFFSET($P417,0,AO$13),15-13*ORÇAMENTO!$AF$7)/$H417*OFFSET(ORÇAMENTO!$X$15,ROW(AO417)-ROW(AO$15),0),
ROUND(ROUND(OFFSET($P417,0,AO$13),15-13*ORÇAMENTO!$AF$7)*OFFSET(ORÇAMENTO!$W$15,ROW(AO417)-ROW(AO$15),0),15-13*ORÇAMENTO!$AF$11)),0)</f>
        <v>0</v>
      </c>
      <c r="AP417" s="545">
        <f ca="1">IF(AND($D417="Serviço",AP$12&lt;&gt;0,$H417&gt;0,OR(AUTOEVENTO&lt;&gt;"manual",$M417&lt;&gt;1)),
IF(Import.TipoArredondamento&lt;&gt;"TransfereGOV",
ROUND(OFFSET($P417,0,AP$13),15-13*ORÇAMENTO!$AF$7)/$H417*OFFSET(ORÇAMENTO!$X$15,ROW(AP417)-ROW(AP$15),0),
ROUND(ROUND(OFFSET($P417,0,AP$13),15-13*ORÇAMENTO!$AF$7)*OFFSET(ORÇAMENTO!$W$15,ROW(AP417)-ROW(AP$15),0),15-13*ORÇAMENTO!$AF$11)),0)</f>
        <v>0</v>
      </c>
      <c r="AQ417" s="545">
        <f ca="1">IF(AND($D417="Serviço",AQ$12&lt;&gt;0,$H417&gt;0,OR(AUTOEVENTO&lt;&gt;"manual",$M417&lt;&gt;1)),
IF(Import.TipoArredondamento&lt;&gt;"TransfereGOV",
ROUND(OFFSET($P417,0,AQ$13),15-13*ORÇAMENTO!$AF$7)/$H417*OFFSET(ORÇAMENTO!$X$15,ROW(AQ417)-ROW(AQ$15),0),
ROUND(ROUND(OFFSET($P417,0,AQ$13),15-13*ORÇAMENTO!$AF$7)*OFFSET(ORÇAMENTO!$W$15,ROW(AQ417)-ROW(AQ$15),0),15-13*ORÇAMENTO!$AF$11)),0)</f>
        <v>0</v>
      </c>
      <c r="AR417" s="545">
        <f ca="1">IF(AND($D417="Serviço",AR$12&lt;&gt;0,$H417&gt;0,OR(AUTOEVENTO&lt;&gt;"manual",$M417&lt;&gt;1)),
IF(Import.TipoArredondamento&lt;&gt;"TransfereGOV",
ROUND(OFFSET($P417,0,AR$13),15-13*ORÇAMENTO!$AF$7)/$H417*OFFSET(ORÇAMENTO!$X$15,ROW(AR417)-ROW(AR$15),0),
ROUND(ROUND(OFFSET($P417,0,AR$13),15-13*ORÇAMENTO!$AF$7)*OFFSET(ORÇAMENTO!$W$15,ROW(AR417)-ROW(AR$15),0),15-13*ORÇAMENTO!$AF$11)),0)</f>
        <v>0</v>
      </c>
      <c r="AS417" s="546">
        <f ca="1">IF(AND($D417="Serviço",AS$12&lt;&gt;0,$H417&gt;0,OR(AUTOEVENTO&lt;&gt;"manual",$M417&lt;&gt;1)),
IF(Import.TipoArredondamento&lt;&gt;"TransfereGOV",
ROUND(OFFSET($P417,0,AS$13),15-13*ORÇAMENTO!$AF$7)/$H417*OFFSET(ORÇAMENTO!$X$15,ROW(AS417)-ROW(AS$15),0),
ROUND(ROUND(OFFSET($P417,0,AS$13),15-13*ORÇAMENTO!$AF$7)*OFFSET(ORÇAMENTO!$W$15,ROW(AS417)-ROW(AS$15),0),15-13*ORÇAMENTO!$AF$11)),0)</f>
        <v>0</v>
      </c>
      <c r="AT417" s="545">
        <f ca="1">IF(AND($D417="Serviço",AT$12&lt;&gt;0,$H417&gt;0,OR(AUTOEVENTO&lt;&gt;"manual",$M417&lt;&gt;1)),
IF(Import.TipoArredondamento&lt;&gt;"TransfereGOV",
ROUND(OFFSET($P417,0,AT$13),15-13*ORÇAMENTO!$AF$7)/$H417*OFFSET(ORÇAMENTO!$X$15,ROW(AT417)-ROW(AT$15),0),
ROUND(ROUND(OFFSET($P417,0,AT$13),15-13*ORÇAMENTO!$AF$7)*OFFSET(ORÇAMENTO!$W$15,ROW(AT417)-ROW(AT$15),0),15-13*ORÇAMENTO!$AF$11)),0)</f>
        <v>0</v>
      </c>
      <c r="AU417" s="545">
        <f ca="1">IF(AND($D417="Serviço",AU$12&lt;&gt;0,$H417&gt;0,OR(AUTOEVENTO&lt;&gt;"manual",$M417&lt;&gt;1)),
IF(Import.TipoArredondamento&lt;&gt;"TransfereGOV",
ROUND(OFFSET($P417,0,AU$13),15-13*ORÇAMENTO!$AF$7)/$H417*OFFSET(ORÇAMENTO!$X$15,ROW(AU417)-ROW(AU$15),0),
ROUND(ROUND(OFFSET($P417,0,AU$13),15-13*ORÇAMENTO!$AF$7)*OFFSET(ORÇAMENTO!$W$15,ROW(AU417)-ROW(AU$15),0),15-13*ORÇAMENTO!$AF$11)),0)</f>
        <v>0</v>
      </c>
      <c r="AV417" s="545">
        <f ca="1">IF(AND($D417="Serviço",AV$12&lt;&gt;0,$H417&gt;0,OR(AUTOEVENTO&lt;&gt;"manual",$M417&lt;&gt;1)),
IF(Import.TipoArredondamento&lt;&gt;"TransfereGOV",
ROUND(OFFSET($P417,0,AV$13),15-13*ORÇAMENTO!$AF$7)/$H417*OFFSET(ORÇAMENTO!$X$15,ROW(AV417)-ROW(AV$15),0),
ROUND(ROUND(OFFSET($P417,0,AV$13),15-13*ORÇAMENTO!$AF$7)*OFFSET(ORÇAMENTO!$W$15,ROW(AV417)-ROW(AV$15),0),15-13*ORÇAMENTO!$AF$11)),0)</f>
        <v>0</v>
      </c>
      <c r="AW417" s="545">
        <f ca="1">IF(AND($D417="Serviço",AW$12&lt;&gt;0,$H417&gt;0,OR(AUTOEVENTO&lt;&gt;"manual",$M417&lt;&gt;1)),
IF(Import.TipoArredondamento&lt;&gt;"TransfereGOV",
ROUND(OFFSET($P417,0,AW$13),15-13*ORÇAMENTO!$AF$7)/$H417*OFFSET(ORÇAMENTO!$X$15,ROW(AW417)-ROW(AW$15),0),
ROUND(ROUND(OFFSET($P417,0,AW$13),15-13*ORÇAMENTO!$AF$7)*OFFSET(ORÇAMENTO!$W$15,ROW(AW417)-ROW(AW$15),0),15-13*ORÇAMENTO!$AF$11)),0)</f>
        <v>0</v>
      </c>
      <c r="AX417" s="545">
        <f ca="1">IF(AND($D417="Serviço",AX$12&lt;&gt;0,$H417&gt;0,OR(AUTOEVENTO&lt;&gt;"manual",$M417&lt;&gt;1)),
IF(Import.TipoArredondamento&lt;&gt;"TransfereGOV",
ROUND(OFFSET($P417,0,AX$13),15-13*ORÇAMENTO!$AF$7)/$H417*OFFSET(ORÇAMENTO!$X$15,ROW(AX417)-ROW(AX$15),0),
ROUND(ROUND(OFFSET($P417,0,AX$13),15-13*ORÇAMENTO!$AF$7)*OFFSET(ORÇAMENTO!$W$15,ROW(AX417)-ROW(AX$15),0),15-13*ORÇAMENTO!$AF$11)),0)</f>
        <v>0</v>
      </c>
      <c r="AY417" s="545">
        <f ca="1">IF(AND($D417="Serviço",AY$12&lt;&gt;0,$H417&gt;0,OR(AUTOEVENTO&lt;&gt;"manual",$M417&lt;&gt;1)),
IF(Import.TipoArredondamento&lt;&gt;"TransfereGOV",
ROUND(OFFSET($P417,0,AY$13),15-13*ORÇAMENTO!$AF$7)/$H417*OFFSET(ORÇAMENTO!$X$15,ROW(AY417)-ROW(AY$15),0),
ROUND(ROUND(OFFSET($P417,0,AY$13),15-13*ORÇAMENTO!$AF$7)*OFFSET(ORÇAMENTO!$W$15,ROW(AY417)-ROW(AY$15),0),15-13*ORÇAMENTO!$AF$11)),0)</f>
        <v>0</v>
      </c>
      <c r="AZ417" s="545">
        <f ca="1">IF(AND($D417="Serviço",AZ$12&lt;&gt;0,$H417&gt;0,OR(AUTOEVENTO&lt;&gt;"manual",$M417&lt;&gt;1)),
IF(Import.TipoArredondamento&lt;&gt;"TransfereGOV",
ROUND(OFFSET($P417,0,AZ$13),15-13*ORÇAMENTO!$AF$7)/$H417*OFFSET(ORÇAMENTO!$X$15,ROW(AZ417)-ROW(AZ$15),0),
ROUND(ROUND(OFFSET($P417,0,AZ$13),15-13*ORÇAMENTO!$AF$7)*OFFSET(ORÇAMENTO!$W$15,ROW(AZ417)-ROW(AZ$15),0),15-13*ORÇAMENTO!$AF$11)),0)</f>
        <v>0</v>
      </c>
      <c r="BA417" s="546">
        <f ca="1">IF(AND($D417="Serviço",BA$12&lt;&gt;0,$H417&gt;0,OR(AUTOEVENTO&lt;&gt;"manual",$M417&lt;&gt;1)),
IF(Import.TipoArredondamento&lt;&gt;"TransfereGOV",
ROUND(OFFSET($P417,0,BA$13),15-13*ORÇAMENTO!$AF$7)/$H417*OFFSET(ORÇAMENTO!$X$15,ROW(BA417)-ROW(BA$15),0),
ROUND(ROUND(OFFSET($P417,0,BA$13),15-13*ORÇAMENTO!$AF$7)*OFFSET(ORÇAMENTO!$W$15,ROW(BA417)-ROW(BA$15),0),15-13*ORÇAMENTO!$AF$11)),0)</f>
        <v>0</v>
      </c>
      <c r="BC417" s="181">
        <f ca="1">IF($D417&lt;&gt;"Serviço",0,IF(AND(AUTOEVENTO="Manual",$M417=1),0,IF(OFFSET(CRONOPLE!$F$14,$M417,BC$13)="",10^12,OFFSET(CRONOPLE!$F$14,$M417,BC$13))))</f>
        <v>10</v>
      </c>
      <c r="BD417" s="181">
        <f ca="1">IF($D417&lt;&gt;"Serviço",0,IF(AND(AUTOEVENTO="Manual",$M417=1),0,IF(OFFSET(CRONOPLE!$F$14,$M417,BD$13)="",10^12,OFFSET(CRONOPLE!$F$14,$M417,BD$13))))</f>
        <v>1000000000000</v>
      </c>
      <c r="BE417" s="181">
        <f ca="1">IF($D417&lt;&gt;"Serviço",0,IF(AND(AUTOEVENTO="Manual",$M417=1),0,IF(OFFSET(CRONOPLE!$F$14,$M417,BE$13)="",10^12,OFFSET(CRONOPLE!$F$14,$M417,BE$13))))</f>
        <v>1000000000000</v>
      </c>
      <c r="BF417" s="181">
        <f ca="1">IF($D417&lt;&gt;"Serviço",0,IF(AND(AUTOEVENTO="Manual",$M417=1),0,IF(OFFSET(CRONOPLE!$F$14,$M417,BF$13)="",10^12,OFFSET(CRONOPLE!$F$14,$M417,BF$13))))</f>
        <v>1000000000000</v>
      </c>
      <c r="BG417" s="181">
        <f ca="1">IF($D417&lt;&gt;"Serviço",0,IF(AND(AUTOEVENTO="Manual",$M417=1),0,IF(OFFSET(CRONOPLE!$F$14,$M417,BG$13)="",10^12,OFFSET(CRONOPLE!$F$14,$M417,BG$13))))</f>
        <v>1000000000000</v>
      </c>
      <c r="BH417" s="181">
        <f ca="1">IF($D417&lt;&gt;"Serviço",0,IF(AND(AUTOEVENTO="Manual",$M417=1),0,IF(OFFSET(CRONOPLE!$F$14,$M417,BH$13)="",10^12,OFFSET(CRONOPLE!$F$14,$M417,BH$13))))</f>
        <v>1000000000000</v>
      </c>
      <c r="BI417" s="181">
        <f ca="1">IF($D417&lt;&gt;"Serviço",0,IF(AND(AUTOEVENTO="Manual",$M417=1),0,IF(OFFSET(CRONOPLE!$F$14,$M417,BI$13)="",10^12,OFFSET(CRONOPLE!$F$14,$M417,BI$13))))</f>
        <v>1000000000000</v>
      </c>
      <c r="BJ417" s="181">
        <f ca="1">IF($D417&lt;&gt;"Serviço",0,IF(AND(AUTOEVENTO="Manual",$M417=1),0,IF(OFFSET(CRONOPLE!$F$14,$M417,BJ$13)="",10^12,OFFSET(CRONOPLE!$F$14,$M417,BJ$13))))</f>
        <v>1000000000000</v>
      </c>
      <c r="BK417" s="181">
        <f ca="1">IF($D417&lt;&gt;"Serviço",0,IF(AND(AUTOEVENTO="Manual",$M417=1),0,IF(OFFSET(CRONOPLE!$F$14,$M417,BK$13)="",10^12,OFFSET(CRONOPLE!$F$14,$M417,BK$13))))</f>
        <v>1000000000000</v>
      </c>
      <c r="BL417" s="181">
        <f ca="1">IF($D417&lt;&gt;"Serviço",0,IF(AND(AUTOEVENTO="Manual",$M417=1),0,IF(OFFSET(CRONOPLE!$F$14,$M417,BL$13)="",10^12,OFFSET(CRONOPLE!$F$14,$M417,BL$13))))</f>
        <v>1000000000000</v>
      </c>
      <c r="BM417" s="181">
        <f ca="1">IF($D417&lt;&gt;"Serviço",0,IF(AND(AUTOEVENTO="Manual",$M417=1),0,IF(OFFSET(CRONOPLE!$F$14,$M417,BM$13)="",10^12,OFFSET(CRONOPLE!$F$14,$M417,BM$13))))</f>
        <v>1000000000000</v>
      </c>
      <c r="BN417" s="181">
        <f ca="1">IF($D417&lt;&gt;"Serviço",0,IF(AND(AUTOEVENTO="Manual",$M417=1),0,IF(OFFSET(CRONOPLE!$F$14,$M417,BN$13)="",10^12,OFFSET(CRONOPLE!$F$14,$M417,BN$13))))</f>
        <v>1000000000000</v>
      </c>
      <c r="BO417" s="181">
        <f ca="1">IF($D417&lt;&gt;"Serviço",0,IF(AND(AUTOEVENTO="Manual",$M417=1),0,IF(OFFSET(CRONOPLE!$F$14,$M417,BO$13)="",10^12,OFFSET(CRONOPLE!$F$14,$M417,BO$13))))</f>
        <v>1000000000000</v>
      </c>
      <c r="BP417" s="181">
        <f ca="1">IF($D417&lt;&gt;"Serviço",0,IF(AND(AUTOEVENTO="Manual",$M417=1),0,IF(OFFSET(CRONOPLE!$F$14,$M417,BP$13)="",10^12,OFFSET(CRONOPLE!$F$14,$M417,BP$13))))</f>
        <v>1000000000000</v>
      </c>
      <c r="BQ417" s="181">
        <f ca="1">IF($D417&lt;&gt;"Serviço",0,IF(AND(AUTOEVENTO="Manual",$M417=1),0,IF(OFFSET(CRONOPLE!$F$14,$M417,BQ$13)="",10^12,OFFSET(CRONOPLE!$F$14,$M417,BQ$13))))</f>
        <v>1000000000000</v>
      </c>
      <c r="BR417" s="181">
        <f ca="1">IF($D417&lt;&gt;"Serviço",0,IF(AND(AUTOEVENTO="Manual",$M417=1),0,IF(OFFSET(CRONOPLE!$F$14,$M417,BR$13)="",10^12,OFFSET(CRONOPLE!$F$14,$M417,BR$13))))</f>
        <v>1000000000000</v>
      </c>
      <c r="BS417" s="181">
        <f ca="1">IF($D417&lt;&gt;"Serviço",0,IF(AND(AUTOEVENTO="Manual",$M417=1),0,IF(OFFSET(CRONOPLE!$F$14,$M417,BS$13)="",10^12,OFFSET(CRONOPLE!$F$14,$M417,BS$13))))</f>
        <v>1000000000000</v>
      </c>
      <c r="BT417" s="181">
        <f ca="1">IF($D417&lt;&gt;"Serviço",0,IF(AND(AUTOEVENTO="Manual",$M417=1),0,IF(OFFSET(CRONOPLE!$F$14,$M417,BT$13)="",10^12,OFFSET(CRONOPLE!$F$14,$M417,BT$13))))</f>
        <v>1000000000000</v>
      </c>
      <c r="BV417" s="182">
        <f ca="1">IF($D417&lt;&gt;"Serviço",0,IF(OR(AND(AUTOEVENTO="Manual",$M417=1),$M417&gt;(ROW(PLE.lastrow)-ROW(PLE.firstrow))),0,IF(OFFSET(PLE!$G$14,$M417,BV$13)="",10^12,OFFSET(PLE!$G$14,$M417,BV$13))))</f>
        <v>1000000000000</v>
      </c>
      <c r="BW417" s="182">
        <f ca="1">IF($D417&lt;&gt;"Serviço",0,IF(OR(AND(AUTOEVENTO="Manual",$M417=1),$M417&gt;(ROW(PLE.lastrow)-ROW(PLE.firstrow))),0,IF(OFFSET(PLE!$G$14,$M417,BW$13)="",10^12,OFFSET(PLE!$G$14,$M417,BW$13))))</f>
        <v>1000000000000</v>
      </c>
      <c r="BX417" s="182">
        <f ca="1">IF($D417&lt;&gt;"Serviço",0,IF(OR(AND(AUTOEVENTO="Manual",$M417=1),$M417&gt;(ROW(PLE.lastrow)-ROW(PLE.firstrow))),0,IF(OFFSET(PLE!$G$14,$M417,BX$13)="",10^12,OFFSET(PLE!$G$14,$M417,BX$13))))</f>
        <v>1000000000000</v>
      </c>
      <c r="BY417" s="182">
        <f ca="1">IF($D417&lt;&gt;"Serviço",0,IF(OR(AND(AUTOEVENTO="Manual",$M417=1),$M417&gt;(ROW(PLE.lastrow)-ROW(PLE.firstrow))),0,IF(OFFSET(PLE!$G$14,$M417,BY$13)="",10^12,OFFSET(PLE!$G$14,$M417,BY$13))))</f>
        <v>1000000000000</v>
      </c>
      <c r="BZ417" s="182">
        <f ca="1">IF($D417&lt;&gt;"Serviço",0,IF(OR(AND(AUTOEVENTO="Manual",$M417=1),$M417&gt;(ROW(PLE.lastrow)-ROW(PLE.firstrow))),0,IF(OFFSET(PLE!$G$14,$M417,BZ$13)="",10^12,OFFSET(PLE!$G$14,$M417,BZ$13))))</f>
        <v>1000000000000</v>
      </c>
      <c r="CA417" s="182">
        <f ca="1">IF($D417&lt;&gt;"Serviço",0,IF(OR(AND(AUTOEVENTO="Manual",$M417=1),$M417&gt;(ROW(PLE.lastrow)-ROW(PLE.firstrow))),0,IF(OFFSET(PLE!$G$14,$M417,CA$13)="",10^12,OFFSET(PLE!$G$14,$M417,CA$13))))</f>
        <v>1000000000000</v>
      </c>
      <c r="CB417" s="182">
        <f ca="1">IF($D417&lt;&gt;"Serviço",0,IF(OR(AND(AUTOEVENTO="Manual",$M417=1),$M417&gt;(ROW(PLE.lastrow)-ROW(PLE.firstrow))),0,IF(OFFSET(PLE!$G$14,$M417,CB$13)="",10^12,OFFSET(PLE!$G$14,$M417,CB$13))))</f>
        <v>1000000000000</v>
      </c>
      <c r="CC417" s="182">
        <f ca="1">IF($D417&lt;&gt;"Serviço",0,IF(OR(AND(AUTOEVENTO="Manual",$M417=1),$M417&gt;(ROW(PLE.lastrow)-ROW(PLE.firstrow))),0,IF(OFFSET(PLE!$G$14,$M417,CC$13)="",10^12,OFFSET(PLE!$G$14,$M417,CC$13))))</f>
        <v>1000000000000</v>
      </c>
      <c r="CD417" s="182">
        <f ca="1">IF($D417&lt;&gt;"Serviço",0,IF(OR(AND(AUTOEVENTO="Manual",$M417=1),$M417&gt;(ROW(PLE.lastrow)-ROW(PLE.firstrow))),0,IF(OFFSET(PLE!$G$14,$M417,CD$13)="",10^12,OFFSET(PLE!$G$14,$M417,CD$13))))</f>
        <v>1000000000000</v>
      </c>
      <c r="CE417" s="182">
        <f ca="1">IF($D417&lt;&gt;"Serviço",0,IF(OR(AND(AUTOEVENTO="Manual",$M417=1),$M417&gt;(ROW(PLE.lastrow)-ROW(PLE.firstrow))),0,IF(OFFSET(PLE!$G$14,$M417,CE$13)="",10^12,OFFSET(PLE!$G$14,$M417,CE$13))))</f>
        <v>1000000000000</v>
      </c>
      <c r="CF417" s="182">
        <f ca="1">IF($D417&lt;&gt;"Serviço",0,IF(OR(AND(AUTOEVENTO="Manual",$M417=1),$M417&gt;(ROW(PLE.lastrow)-ROW(PLE.firstrow))),0,IF(OFFSET(PLE!$G$14,$M417,CF$13)="",10^12,OFFSET(PLE!$G$14,$M417,CF$13))))</f>
        <v>1000000000000</v>
      </c>
      <c r="CG417" s="182">
        <f ca="1">IF($D417&lt;&gt;"Serviço",0,IF(OR(AND(AUTOEVENTO="Manual",$M417=1),$M417&gt;(ROW(PLE.lastrow)-ROW(PLE.firstrow))),0,IF(OFFSET(PLE!$G$14,$M417,CG$13)="",10^12,OFFSET(PLE!$G$14,$M417,CG$13))))</f>
        <v>1000000000000</v>
      </c>
      <c r="CH417" s="182">
        <f ca="1">IF($D417&lt;&gt;"Serviço",0,IF(OR(AND(AUTOEVENTO="Manual",$M417=1),$M417&gt;(ROW(PLE.lastrow)-ROW(PLE.firstrow))),0,IF(OFFSET(PLE!$G$14,$M417,CH$13)="",10^12,OFFSET(PLE!$G$14,$M417,CH$13))))</f>
        <v>1000000000000</v>
      </c>
      <c r="CI417" s="182">
        <f ca="1">IF($D417&lt;&gt;"Serviço",0,IF(OR(AND(AUTOEVENTO="Manual",$M417=1),$M417&gt;(ROW(PLE.lastrow)-ROW(PLE.firstrow))),0,IF(OFFSET(PLE!$G$14,$M417,CI$13)="",10^12,OFFSET(PLE!$G$14,$M417,CI$13))))</f>
        <v>1000000000000</v>
      </c>
      <c r="CJ417" s="182">
        <f ca="1">IF($D417&lt;&gt;"Serviço",0,IF(OR(AND(AUTOEVENTO="Manual",$M417=1),$M417&gt;(ROW(PLE.lastrow)-ROW(PLE.firstrow))),0,IF(OFFSET(PLE!$G$14,$M417,CJ$13)="",10^12,OFFSET(PLE!$G$14,$M417,CJ$13))))</f>
        <v>1000000000000</v>
      </c>
      <c r="CK417" s="182">
        <f ca="1">IF($D417&lt;&gt;"Serviço",0,IF(OR(AND(AUTOEVENTO="Manual",$M417=1),$M417&gt;(ROW(PLE.lastrow)-ROW(PLE.firstrow))),0,IF(OFFSET(PLE!$G$14,$M417,CK$13)="",10^12,OFFSET(PLE!$G$14,$M417,CK$13))))</f>
        <v>1000000000000</v>
      </c>
      <c r="CL417" s="182">
        <f ca="1">IF($D417&lt;&gt;"Serviço",0,IF(OR(AND(AUTOEVENTO="Manual",$M417=1),$M417&gt;(ROW(PLE.lastrow)-ROW(PLE.firstrow))),0,IF(OFFSET(PLE!$G$14,$M417,CL$13)="",10^12,OFFSET(PLE!$G$14,$M417,CL$13))))</f>
        <v>1000000000000</v>
      </c>
      <c r="CM417" s="182">
        <f ca="1">IF($D417&lt;&gt;"Serviço",0,IF(OR(AND(AUTOEVENTO="Manual",$M417=1),$M417&gt;(ROW(PLE.lastrow)-ROW(PLE.firstrow))),0,IF(OFFSET(PLE!$G$14,$M417,CM$13)="",10^12,OFFSET(PLE!$G$14,$M417,CM$13))))</f>
        <v>1000000000000</v>
      </c>
    </row>
    <row r="418" spans="1:91" ht="12.75" x14ac:dyDescent="0.2">
      <c r="A418" s="7" t="str">
        <f t="shared" ca="1" si="14"/>
        <v>403.</v>
      </c>
      <c r="B418" s="7">
        <f ca="1">OFFSET(ORÇAMENTO!C$15,ROW(B418)-ROW(B$15),0)</f>
        <v>2</v>
      </c>
      <c r="C418" s="7" t="str">
        <f ca="1">OFFSET(ORÇAMENTO!L$15,ROW(C418)-ROW(C$15),0)</f>
        <v>F</v>
      </c>
      <c r="D418" s="118" t="str">
        <f ca="1">OFFSET(ORÇAMENTO!N$15,ROW(D418)-ROW(D$15),0)</f>
        <v>Nível 2</v>
      </c>
      <c r="E418" s="119" t="str">
        <f ca="1">OFFSET(ORÇAMENTO!O$15,ROW(E418)-ROW(E$15),0)</f>
        <v>1.46.</v>
      </c>
      <c r="F418" s="172" t="str">
        <f ca="1">OFFSET(ORÇAMENTO!R$15,ROW(F418)-ROW(F$15),0)</f>
        <v>SISTEMA DE PROTEÇÃO CONTRA INCÊNDIO - HIDRANTES</v>
      </c>
      <c r="G418" s="173" t="str">
        <f ca="1">IF($D418&lt;&gt;"Serviço","",OFFSET(ORÇAMENTO!S$15,ROW(G418)-ROW(G$15),0))</f>
        <v/>
      </c>
      <c r="H418" s="124">
        <f ca="1">IF($D418&lt;&gt;"Serviço",0,IF(ACOMPANHAMENTO="BM",ROUND(OFFSET(ORÇAMENTO!AJ$15,ROW(H418)-ROW(H$15),0),15-13*ORÇAMENTO!$AF$7),SUMPRODUCT(($Q$12:$AI$12&lt;&gt;"")*ROUND($Q418:$AI418,15-13*ORÇAMENTO!$AF$7))))</f>
        <v>0</v>
      </c>
      <c r="I418" s="561"/>
      <c r="K418" s="174"/>
      <c r="L418" s="175" t="s">
        <v>255</v>
      </c>
      <c r="M418" s="176" t="str">
        <f ca="1">IF($D418&lt;&gt;"Serviço","",IF(AUTOEVENTO="manual",$A418,IF(ISERROR(MATCH($A418,$A$15:OFFSET($A418,-1,0),0)),MAX($M$15:OFFSET(M418,-1,0))+1,INDEX($M$15:OFFSET(M418,-1,0),MATCH($A418,$A$15:OFFSET($A418,-1,0),0)))))</f>
        <v/>
      </c>
      <c r="N418" s="177" t="str">
        <f ca="1">IF($D418&lt;&gt;"Serviço","",IF(AUTOEVENTO="Manual",IF($A418=0,"&lt;-- defina o número do agrupador",OFFSET(EVENTOS!$D$14,$A418,0)),OFFSET($F$15,$A418,0)))</f>
        <v/>
      </c>
      <c r="O418" s="178"/>
      <c r="Q418" s="178">
        <v>0</v>
      </c>
      <c r="R418" s="179"/>
      <c r="S418" s="179"/>
      <c r="T418" s="179"/>
      <c r="U418" s="179"/>
      <c r="V418" s="179"/>
      <c r="W418" s="179"/>
      <c r="X418" s="179"/>
      <c r="Y418" s="179"/>
      <c r="Z418" s="180"/>
      <c r="AA418" s="179"/>
      <c r="AB418" s="179"/>
      <c r="AC418" s="179"/>
      <c r="AD418" s="179"/>
      <c r="AE418" s="179"/>
      <c r="AF418" s="179"/>
      <c r="AG418" s="179"/>
      <c r="AH418" s="180"/>
      <c r="AJ418" s="544">
        <f ca="1">IF(AND($D418="Serviço",AJ$12&lt;&gt;0,$H418&gt;0,OR(AUTOEVENTO&lt;&gt;"manual",$M418&lt;&gt;1)),
IF(Import.TipoArredondamento&lt;&gt;"TransfereGOV",
ROUND(OFFSET($P418,0,AJ$13),15-13*ORÇAMENTO!$AF$7)/$H418*OFFSET(ORÇAMENTO!$X$15,ROW(AJ418)-ROW(AJ$15),0),
ROUND(ROUND(OFFSET($P418,0,AJ$13),15-13*ORÇAMENTO!$AF$7)*OFFSET(ORÇAMENTO!$W$15,ROW(AJ418)-ROW(AJ$15),0),15-13*ORÇAMENTO!$AF$11)),0)</f>
        <v>0</v>
      </c>
      <c r="AK418" s="545">
        <f ca="1">IF(AND($D418="Serviço",AK$12&lt;&gt;0,$H418&gt;0,OR(AUTOEVENTO&lt;&gt;"manual",$M418&lt;&gt;1)),
IF(Import.TipoArredondamento&lt;&gt;"TransfereGOV",
ROUND(OFFSET($P418,0,AK$13),15-13*ORÇAMENTO!$AF$7)/$H418*OFFSET(ORÇAMENTO!$X$15,ROW(AK418)-ROW(AK$15),0),
ROUND(ROUND(OFFSET($P418,0,AK$13),15-13*ORÇAMENTO!$AF$7)*OFFSET(ORÇAMENTO!$W$15,ROW(AK418)-ROW(AK$15),0),15-13*ORÇAMENTO!$AF$11)),0)</f>
        <v>0</v>
      </c>
      <c r="AL418" s="545">
        <f ca="1">IF(AND($D418="Serviço",AL$12&lt;&gt;0,$H418&gt;0,OR(AUTOEVENTO&lt;&gt;"manual",$M418&lt;&gt;1)),
IF(Import.TipoArredondamento&lt;&gt;"TransfereGOV",
ROUND(OFFSET($P418,0,AL$13),15-13*ORÇAMENTO!$AF$7)/$H418*OFFSET(ORÇAMENTO!$X$15,ROW(AL418)-ROW(AL$15),0),
ROUND(ROUND(OFFSET($P418,0,AL$13),15-13*ORÇAMENTO!$AF$7)*OFFSET(ORÇAMENTO!$W$15,ROW(AL418)-ROW(AL$15),0),15-13*ORÇAMENTO!$AF$11)),0)</f>
        <v>0</v>
      </c>
      <c r="AM418" s="545">
        <f ca="1">IF(AND($D418="Serviço",AM$12&lt;&gt;0,$H418&gt;0,OR(AUTOEVENTO&lt;&gt;"manual",$M418&lt;&gt;1)),
IF(Import.TipoArredondamento&lt;&gt;"TransfereGOV",
ROUND(OFFSET($P418,0,AM$13),15-13*ORÇAMENTO!$AF$7)/$H418*OFFSET(ORÇAMENTO!$X$15,ROW(AM418)-ROW(AM$15),0),
ROUND(ROUND(OFFSET($P418,0,AM$13),15-13*ORÇAMENTO!$AF$7)*OFFSET(ORÇAMENTO!$W$15,ROW(AM418)-ROW(AM$15),0),15-13*ORÇAMENTO!$AF$11)),0)</f>
        <v>0</v>
      </c>
      <c r="AN418" s="545">
        <f ca="1">IF(AND($D418="Serviço",AN$12&lt;&gt;0,$H418&gt;0,OR(AUTOEVENTO&lt;&gt;"manual",$M418&lt;&gt;1)),
IF(Import.TipoArredondamento&lt;&gt;"TransfereGOV",
ROUND(OFFSET($P418,0,AN$13),15-13*ORÇAMENTO!$AF$7)/$H418*OFFSET(ORÇAMENTO!$X$15,ROW(AN418)-ROW(AN$15),0),
ROUND(ROUND(OFFSET($P418,0,AN$13),15-13*ORÇAMENTO!$AF$7)*OFFSET(ORÇAMENTO!$W$15,ROW(AN418)-ROW(AN$15),0),15-13*ORÇAMENTO!$AF$11)),0)</f>
        <v>0</v>
      </c>
      <c r="AO418" s="545">
        <f ca="1">IF(AND($D418="Serviço",AO$12&lt;&gt;0,$H418&gt;0,OR(AUTOEVENTO&lt;&gt;"manual",$M418&lt;&gt;1)),
IF(Import.TipoArredondamento&lt;&gt;"TransfereGOV",
ROUND(OFFSET($P418,0,AO$13),15-13*ORÇAMENTO!$AF$7)/$H418*OFFSET(ORÇAMENTO!$X$15,ROW(AO418)-ROW(AO$15),0),
ROUND(ROUND(OFFSET($P418,0,AO$13),15-13*ORÇAMENTO!$AF$7)*OFFSET(ORÇAMENTO!$W$15,ROW(AO418)-ROW(AO$15),0),15-13*ORÇAMENTO!$AF$11)),0)</f>
        <v>0</v>
      </c>
      <c r="AP418" s="545">
        <f ca="1">IF(AND($D418="Serviço",AP$12&lt;&gt;0,$H418&gt;0,OR(AUTOEVENTO&lt;&gt;"manual",$M418&lt;&gt;1)),
IF(Import.TipoArredondamento&lt;&gt;"TransfereGOV",
ROUND(OFFSET($P418,0,AP$13),15-13*ORÇAMENTO!$AF$7)/$H418*OFFSET(ORÇAMENTO!$X$15,ROW(AP418)-ROW(AP$15),0),
ROUND(ROUND(OFFSET($P418,0,AP$13),15-13*ORÇAMENTO!$AF$7)*OFFSET(ORÇAMENTO!$W$15,ROW(AP418)-ROW(AP$15),0),15-13*ORÇAMENTO!$AF$11)),0)</f>
        <v>0</v>
      </c>
      <c r="AQ418" s="545">
        <f ca="1">IF(AND($D418="Serviço",AQ$12&lt;&gt;0,$H418&gt;0,OR(AUTOEVENTO&lt;&gt;"manual",$M418&lt;&gt;1)),
IF(Import.TipoArredondamento&lt;&gt;"TransfereGOV",
ROUND(OFFSET($P418,0,AQ$13),15-13*ORÇAMENTO!$AF$7)/$H418*OFFSET(ORÇAMENTO!$X$15,ROW(AQ418)-ROW(AQ$15),0),
ROUND(ROUND(OFFSET($P418,0,AQ$13),15-13*ORÇAMENTO!$AF$7)*OFFSET(ORÇAMENTO!$W$15,ROW(AQ418)-ROW(AQ$15),0),15-13*ORÇAMENTO!$AF$11)),0)</f>
        <v>0</v>
      </c>
      <c r="AR418" s="545">
        <f ca="1">IF(AND($D418="Serviço",AR$12&lt;&gt;0,$H418&gt;0,OR(AUTOEVENTO&lt;&gt;"manual",$M418&lt;&gt;1)),
IF(Import.TipoArredondamento&lt;&gt;"TransfereGOV",
ROUND(OFFSET($P418,0,AR$13),15-13*ORÇAMENTO!$AF$7)/$H418*OFFSET(ORÇAMENTO!$X$15,ROW(AR418)-ROW(AR$15),0),
ROUND(ROUND(OFFSET($P418,0,AR$13),15-13*ORÇAMENTO!$AF$7)*OFFSET(ORÇAMENTO!$W$15,ROW(AR418)-ROW(AR$15),0),15-13*ORÇAMENTO!$AF$11)),0)</f>
        <v>0</v>
      </c>
      <c r="AS418" s="546">
        <f ca="1">IF(AND($D418="Serviço",AS$12&lt;&gt;0,$H418&gt;0,OR(AUTOEVENTO&lt;&gt;"manual",$M418&lt;&gt;1)),
IF(Import.TipoArredondamento&lt;&gt;"TransfereGOV",
ROUND(OFFSET($P418,0,AS$13),15-13*ORÇAMENTO!$AF$7)/$H418*OFFSET(ORÇAMENTO!$X$15,ROW(AS418)-ROW(AS$15),0),
ROUND(ROUND(OFFSET($P418,0,AS$13),15-13*ORÇAMENTO!$AF$7)*OFFSET(ORÇAMENTO!$W$15,ROW(AS418)-ROW(AS$15),0),15-13*ORÇAMENTO!$AF$11)),0)</f>
        <v>0</v>
      </c>
      <c r="AT418" s="545">
        <f ca="1">IF(AND($D418="Serviço",AT$12&lt;&gt;0,$H418&gt;0,OR(AUTOEVENTO&lt;&gt;"manual",$M418&lt;&gt;1)),
IF(Import.TipoArredondamento&lt;&gt;"TransfereGOV",
ROUND(OFFSET($P418,0,AT$13),15-13*ORÇAMENTO!$AF$7)/$H418*OFFSET(ORÇAMENTO!$X$15,ROW(AT418)-ROW(AT$15),0),
ROUND(ROUND(OFFSET($P418,0,AT$13),15-13*ORÇAMENTO!$AF$7)*OFFSET(ORÇAMENTO!$W$15,ROW(AT418)-ROW(AT$15),0),15-13*ORÇAMENTO!$AF$11)),0)</f>
        <v>0</v>
      </c>
      <c r="AU418" s="545">
        <f ca="1">IF(AND($D418="Serviço",AU$12&lt;&gt;0,$H418&gt;0,OR(AUTOEVENTO&lt;&gt;"manual",$M418&lt;&gt;1)),
IF(Import.TipoArredondamento&lt;&gt;"TransfereGOV",
ROUND(OFFSET($P418,0,AU$13),15-13*ORÇAMENTO!$AF$7)/$H418*OFFSET(ORÇAMENTO!$X$15,ROW(AU418)-ROW(AU$15),0),
ROUND(ROUND(OFFSET($P418,0,AU$13),15-13*ORÇAMENTO!$AF$7)*OFFSET(ORÇAMENTO!$W$15,ROW(AU418)-ROW(AU$15),0),15-13*ORÇAMENTO!$AF$11)),0)</f>
        <v>0</v>
      </c>
      <c r="AV418" s="545">
        <f ca="1">IF(AND($D418="Serviço",AV$12&lt;&gt;0,$H418&gt;0,OR(AUTOEVENTO&lt;&gt;"manual",$M418&lt;&gt;1)),
IF(Import.TipoArredondamento&lt;&gt;"TransfereGOV",
ROUND(OFFSET($P418,0,AV$13),15-13*ORÇAMENTO!$AF$7)/$H418*OFFSET(ORÇAMENTO!$X$15,ROW(AV418)-ROW(AV$15),0),
ROUND(ROUND(OFFSET($P418,0,AV$13),15-13*ORÇAMENTO!$AF$7)*OFFSET(ORÇAMENTO!$W$15,ROW(AV418)-ROW(AV$15),0),15-13*ORÇAMENTO!$AF$11)),0)</f>
        <v>0</v>
      </c>
      <c r="AW418" s="545">
        <f ca="1">IF(AND($D418="Serviço",AW$12&lt;&gt;0,$H418&gt;0,OR(AUTOEVENTO&lt;&gt;"manual",$M418&lt;&gt;1)),
IF(Import.TipoArredondamento&lt;&gt;"TransfereGOV",
ROUND(OFFSET($P418,0,AW$13),15-13*ORÇAMENTO!$AF$7)/$H418*OFFSET(ORÇAMENTO!$X$15,ROW(AW418)-ROW(AW$15),0),
ROUND(ROUND(OFFSET($P418,0,AW$13),15-13*ORÇAMENTO!$AF$7)*OFFSET(ORÇAMENTO!$W$15,ROW(AW418)-ROW(AW$15),0),15-13*ORÇAMENTO!$AF$11)),0)</f>
        <v>0</v>
      </c>
      <c r="AX418" s="545">
        <f ca="1">IF(AND($D418="Serviço",AX$12&lt;&gt;0,$H418&gt;0,OR(AUTOEVENTO&lt;&gt;"manual",$M418&lt;&gt;1)),
IF(Import.TipoArredondamento&lt;&gt;"TransfereGOV",
ROUND(OFFSET($P418,0,AX$13),15-13*ORÇAMENTO!$AF$7)/$H418*OFFSET(ORÇAMENTO!$X$15,ROW(AX418)-ROW(AX$15),0),
ROUND(ROUND(OFFSET($P418,0,AX$13),15-13*ORÇAMENTO!$AF$7)*OFFSET(ORÇAMENTO!$W$15,ROW(AX418)-ROW(AX$15),0),15-13*ORÇAMENTO!$AF$11)),0)</f>
        <v>0</v>
      </c>
      <c r="AY418" s="545">
        <f ca="1">IF(AND($D418="Serviço",AY$12&lt;&gt;0,$H418&gt;0,OR(AUTOEVENTO&lt;&gt;"manual",$M418&lt;&gt;1)),
IF(Import.TipoArredondamento&lt;&gt;"TransfereGOV",
ROUND(OFFSET($P418,0,AY$13),15-13*ORÇAMENTO!$AF$7)/$H418*OFFSET(ORÇAMENTO!$X$15,ROW(AY418)-ROW(AY$15),0),
ROUND(ROUND(OFFSET($P418,0,AY$13),15-13*ORÇAMENTO!$AF$7)*OFFSET(ORÇAMENTO!$W$15,ROW(AY418)-ROW(AY$15),0),15-13*ORÇAMENTO!$AF$11)),0)</f>
        <v>0</v>
      </c>
      <c r="AZ418" s="545">
        <f ca="1">IF(AND($D418="Serviço",AZ$12&lt;&gt;0,$H418&gt;0,OR(AUTOEVENTO&lt;&gt;"manual",$M418&lt;&gt;1)),
IF(Import.TipoArredondamento&lt;&gt;"TransfereGOV",
ROUND(OFFSET($P418,0,AZ$13),15-13*ORÇAMENTO!$AF$7)/$H418*OFFSET(ORÇAMENTO!$X$15,ROW(AZ418)-ROW(AZ$15),0),
ROUND(ROUND(OFFSET($P418,0,AZ$13),15-13*ORÇAMENTO!$AF$7)*OFFSET(ORÇAMENTO!$W$15,ROW(AZ418)-ROW(AZ$15),0),15-13*ORÇAMENTO!$AF$11)),0)</f>
        <v>0</v>
      </c>
      <c r="BA418" s="546">
        <f ca="1">IF(AND($D418="Serviço",BA$12&lt;&gt;0,$H418&gt;0,OR(AUTOEVENTO&lt;&gt;"manual",$M418&lt;&gt;1)),
IF(Import.TipoArredondamento&lt;&gt;"TransfereGOV",
ROUND(OFFSET($P418,0,BA$13),15-13*ORÇAMENTO!$AF$7)/$H418*OFFSET(ORÇAMENTO!$X$15,ROW(BA418)-ROW(BA$15),0),
ROUND(ROUND(OFFSET($P418,0,BA$13),15-13*ORÇAMENTO!$AF$7)*OFFSET(ORÇAMENTO!$W$15,ROW(BA418)-ROW(BA$15),0),15-13*ORÇAMENTO!$AF$11)),0)</f>
        <v>0</v>
      </c>
      <c r="BC418" s="181">
        <f ca="1">IF($D418&lt;&gt;"Serviço",0,IF(AND(AUTOEVENTO="Manual",$M418=1),0,IF(OFFSET(CRONOPLE!$F$14,$M418,BC$13)="",10^12,OFFSET(CRONOPLE!$F$14,$M418,BC$13))))</f>
        <v>0</v>
      </c>
      <c r="BD418" s="181">
        <f ca="1">IF($D418&lt;&gt;"Serviço",0,IF(AND(AUTOEVENTO="Manual",$M418=1),0,IF(OFFSET(CRONOPLE!$F$14,$M418,BD$13)="",10^12,OFFSET(CRONOPLE!$F$14,$M418,BD$13))))</f>
        <v>0</v>
      </c>
      <c r="BE418" s="181">
        <f ca="1">IF($D418&lt;&gt;"Serviço",0,IF(AND(AUTOEVENTO="Manual",$M418=1),0,IF(OFFSET(CRONOPLE!$F$14,$M418,BE$13)="",10^12,OFFSET(CRONOPLE!$F$14,$M418,BE$13))))</f>
        <v>0</v>
      </c>
      <c r="BF418" s="181">
        <f ca="1">IF($D418&lt;&gt;"Serviço",0,IF(AND(AUTOEVENTO="Manual",$M418=1),0,IF(OFFSET(CRONOPLE!$F$14,$M418,BF$13)="",10^12,OFFSET(CRONOPLE!$F$14,$M418,BF$13))))</f>
        <v>0</v>
      </c>
      <c r="BG418" s="181">
        <f ca="1">IF($D418&lt;&gt;"Serviço",0,IF(AND(AUTOEVENTO="Manual",$M418=1),0,IF(OFFSET(CRONOPLE!$F$14,$M418,BG$13)="",10^12,OFFSET(CRONOPLE!$F$14,$M418,BG$13))))</f>
        <v>0</v>
      </c>
      <c r="BH418" s="181">
        <f ca="1">IF($D418&lt;&gt;"Serviço",0,IF(AND(AUTOEVENTO="Manual",$M418=1),0,IF(OFFSET(CRONOPLE!$F$14,$M418,BH$13)="",10^12,OFFSET(CRONOPLE!$F$14,$M418,BH$13))))</f>
        <v>0</v>
      </c>
      <c r="BI418" s="181">
        <f ca="1">IF($D418&lt;&gt;"Serviço",0,IF(AND(AUTOEVENTO="Manual",$M418=1),0,IF(OFFSET(CRONOPLE!$F$14,$M418,BI$13)="",10^12,OFFSET(CRONOPLE!$F$14,$M418,BI$13))))</f>
        <v>0</v>
      </c>
      <c r="BJ418" s="181">
        <f ca="1">IF($D418&lt;&gt;"Serviço",0,IF(AND(AUTOEVENTO="Manual",$M418=1),0,IF(OFFSET(CRONOPLE!$F$14,$M418,BJ$13)="",10^12,OFFSET(CRONOPLE!$F$14,$M418,BJ$13))))</f>
        <v>0</v>
      </c>
      <c r="BK418" s="181">
        <f ca="1">IF($D418&lt;&gt;"Serviço",0,IF(AND(AUTOEVENTO="Manual",$M418=1),0,IF(OFFSET(CRONOPLE!$F$14,$M418,BK$13)="",10^12,OFFSET(CRONOPLE!$F$14,$M418,BK$13))))</f>
        <v>0</v>
      </c>
      <c r="BL418" s="181">
        <f ca="1">IF($D418&lt;&gt;"Serviço",0,IF(AND(AUTOEVENTO="Manual",$M418=1),0,IF(OFFSET(CRONOPLE!$F$14,$M418,BL$13)="",10^12,OFFSET(CRONOPLE!$F$14,$M418,BL$13))))</f>
        <v>0</v>
      </c>
      <c r="BM418" s="181">
        <f ca="1">IF($D418&lt;&gt;"Serviço",0,IF(AND(AUTOEVENTO="Manual",$M418=1),0,IF(OFFSET(CRONOPLE!$F$14,$M418,BM$13)="",10^12,OFFSET(CRONOPLE!$F$14,$M418,BM$13))))</f>
        <v>0</v>
      </c>
      <c r="BN418" s="181">
        <f ca="1">IF($D418&lt;&gt;"Serviço",0,IF(AND(AUTOEVENTO="Manual",$M418=1),0,IF(OFFSET(CRONOPLE!$F$14,$M418,BN$13)="",10^12,OFFSET(CRONOPLE!$F$14,$M418,BN$13))))</f>
        <v>0</v>
      </c>
      <c r="BO418" s="181">
        <f ca="1">IF($D418&lt;&gt;"Serviço",0,IF(AND(AUTOEVENTO="Manual",$M418=1),0,IF(OFFSET(CRONOPLE!$F$14,$M418,BO$13)="",10^12,OFFSET(CRONOPLE!$F$14,$M418,BO$13))))</f>
        <v>0</v>
      </c>
      <c r="BP418" s="181">
        <f ca="1">IF($D418&lt;&gt;"Serviço",0,IF(AND(AUTOEVENTO="Manual",$M418=1),0,IF(OFFSET(CRONOPLE!$F$14,$M418,BP$13)="",10^12,OFFSET(CRONOPLE!$F$14,$M418,BP$13))))</f>
        <v>0</v>
      </c>
      <c r="BQ418" s="181">
        <f ca="1">IF($D418&lt;&gt;"Serviço",0,IF(AND(AUTOEVENTO="Manual",$M418=1),0,IF(OFFSET(CRONOPLE!$F$14,$M418,BQ$13)="",10^12,OFFSET(CRONOPLE!$F$14,$M418,BQ$13))))</f>
        <v>0</v>
      </c>
      <c r="BR418" s="181">
        <f ca="1">IF($D418&lt;&gt;"Serviço",0,IF(AND(AUTOEVENTO="Manual",$M418=1),0,IF(OFFSET(CRONOPLE!$F$14,$M418,BR$13)="",10^12,OFFSET(CRONOPLE!$F$14,$M418,BR$13))))</f>
        <v>0</v>
      </c>
      <c r="BS418" s="181">
        <f ca="1">IF($D418&lt;&gt;"Serviço",0,IF(AND(AUTOEVENTO="Manual",$M418=1),0,IF(OFFSET(CRONOPLE!$F$14,$M418,BS$13)="",10^12,OFFSET(CRONOPLE!$F$14,$M418,BS$13))))</f>
        <v>0</v>
      </c>
      <c r="BT418" s="181">
        <f ca="1">IF($D418&lt;&gt;"Serviço",0,IF(AND(AUTOEVENTO="Manual",$M418=1),0,IF(OFFSET(CRONOPLE!$F$14,$M418,BT$13)="",10^12,OFFSET(CRONOPLE!$F$14,$M418,BT$13))))</f>
        <v>0</v>
      </c>
      <c r="BV418" s="182">
        <f ca="1">IF($D418&lt;&gt;"Serviço",0,IF(OR(AND(AUTOEVENTO="Manual",$M418=1),$M418&gt;(ROW(PLE.lastrow)-ROW(PLE.firstrow))),0,IF(OFFSET(PLE!$G$14,$M418,BV$13)="",10^12,OFFSET(PLE!$G$14,$M418,BV$13))))</f>
        <v>0</v>
      </c>
      <c r="BW418" s="182">
        <f ca="1">IF($D418&lt;&gt;"Serviço",0,IF(OR(AND(AUTOEVENTO="Manual",$M418=1),$M418&gt;(ROW(PLE.lastrow)-ROW(PLE.firstrow))),0,IF(OFFSET(PLE!$G$14,$M418,BW$13)="",10^12,OFFSET(PLE!$G$14,$M418,BW$13))))</f>
        <v>0</v>
      </c>
      <c r="BX418" s="182">
        <f ca="1">IF($D418&lt;&gt;"Serviço",0,IF(OR(AND(AUTOEVENTO="Manual",$M418=1),$M418&gt;(ROW(PLE.lastrow)-ROW(PLE.firstrow))),0,IF(OFFSET(PLE!$G$14,$M418,BX$13)="",10^12,OFFSET(PLE!$G$14,$M418,BX$13))))</f>
        <v>0</v>
      </c>
      <c r="BY418" s="182">
        <f ca="1">IF($D418&lt;&gt;"Serviço",0,IF(OR(AND(AUTOEVENTO="Manual",$M418=1),$M418&gt;(ROW(PLE.lastrow)-ROW(PLE.firstrow))),0,IF(OFFSET(PLE!$G$14,$M418,BY$13)="",10^12,OFFSET(PLE!$G$14,$M418,BY$13))))</f>
        <v>0</v>
      </c>
      <c r="BZ418" s="182">
        <f ca="1">IF($D418&lt;&gt;"Serviço",0,IF(OR(AND(AUTOEVENTO="Manual",$M418=1),$M418&gt;(ROW(PLE.lastrow)-ROW(PLE.firstrow))),0,IF(OFFSET(PLE!$G$14,$M418,BZ$13)="",10^12,OFFSET(PLE!$G$14,$M418,BZ$13))))</f>
        <v>0</v>
      </c>
      <c r="CA418" s="182">
        <f ca="1">IF($D418&lt;&gt;"Serviço",0,IF(OR(AND(AUTOEVENTO="Manual",$M418=1),$M418&gt;(ROW(PLE.lastrow)-ROW(PLE.firstrow))),0,IF(OFFSET(PLE!$G$14,$M418,CA$13)="",10^12,OFFSET(PLE!$G$14,$M418,CA$13))))</f>
        <v>0</v>
      </c>
      <c r="CB418" s="182">
        <f ca="1">IF($D418&lt;&gt;"Serviço",0,IF(OR(AND(AUTOEVENTO="Manual",$M418=1),$M418&gt;(ROW(PLE.lastrow)-ROW(PLE.firstrow))),0,IF(OFFSET(PLE!$G$14,$M418,CB$13)="",10^12,OFFSET(PLE!$G$14,$M418,CB$13))))</f>
        <v>0</v>
      </c>
      <c r="CC418" s="182">
        <f ca="1">IF($D418&lt;&gt;"Serviço",0,IF(OR(AND(AUTOEVENTO="Manual",$M418=1),$M418&gt;(ROW(PLE.lastrow)-ROW(PLE.firstrow))),0,IF(OFFSET(PLE!$G$14,$M418,CC$13)="",10^12,OFFSET(PLE!$G$14,$M418,CC$13))))</f>
        <v>0</v>
      </c>
      <c r="CD418" s="182">
        <f ca="1">IF($D418&lt;&gt;"Serviço",0,IF(OR(AND(AUTOEVENTO="Manual",$M418=1),$M418&gt;(ROW(PLE.lastrow)-ROW(PLE.firstrow))),0,IF(OFFSET(PLE!$G$14,$M418,CD$13)="",10^12,OFFSET(PLE!$G$14,$M418,CD$13))))</f>
        <v>0</v>
      </c>
      <c r="CE418" s="182">
        <f ca="1">IF($D418&lt;&gt;"Serviço",0,IF(OR(AND(AUTOEVENTO="Manual",$M418=1),$M418&gt;(ROW(PLE.lastrow)-ROW(PLE.firstrow))),0,IF(OFFSET(PLE!$G$14,$M418,CE$13)="",10^12,OFFSET(PLE!$G$14,$M418,CE$13))))</f>
        <v>0</v>
      </c>
      <c r="CF418" s="182">
        <f ca="1">IF($D418&lt;&gt;"Serviço",0,IF(OR(AND(AUTOEVENTO="Manual",$M418=1),$M418&gt;(ROW(PLE.lastrow)-ROW(PLE.firstrow))),0,IF(OFFSET(PLE!$G$14,$M418,CF$13)="",10^12,OFFSET(PLE!$G$14,$M418,CF$13))))</f>
        <v>0</v>
      </c>
      <c r="CG418" s="182">
        <f ca="1">IF($D418&lt;&gt;"Serviço",0,IF(OR(AND(AUTOEVENTO="Manual",$M418=1),$M418&gt;(ROW(PLE.lastrow)-ROW(PLE.firstrow))),0,IF(OFFSET(PLE!$G$14,$M418,CG$13)="",10^12,OFFSET(PLE!$G$14,$M418,CG$13))))</f>
        <v>0</v>
      </c>
      <c r="CH418" s="182">
        <f ca="1">IF($D418&lt;&gt;"Serviço",0,IF(OR(AND(AUTOEVENTO="Manual",$M418=1),$M418&gt;(ROW(PLE.lastrow)-ROW(PLE.firstrow))),0,IF(OFFSET(PLE!$G$14,$M418,CH$13)="",10^12,OFFSET(PLE!$G$14,$M418,CH$13))))</f>
        <v>0</v>
      </c>
      <c r="CI418" s="182">
        <f ca="1">IF($D418&lt;&gt;"Serviço",0,IF(OR(AND(AUTOEVENTO="Manual",$M418=1),$M418&gt;(ROW(PLE.lastrow)-ROW(PLE.firstrow))),0,IF(OFFSET(PLE!$G$14,$M418,CI$13)="",10^12,OFFSET(PLE!$G$14,$M418,CI$13))))</f>
        <v>0</v>
      </c>
      <c r="CJ418" s="182">
        <f ca="1">IF($D418&lt;&gt;"Serviço",0,IF(OR(AND(AUTOEVENTO="Manual",$M418=1),$M418&gt;(ROW(PLE.lastrow)-ROW(PLE.firstrow))),0,IF(OFFSET(PLE!$G$14,$M418,CJ$13)="",10^12,OFFSET(PLE!$G$14,$M418,CJ$13))))</f>
        <v>0</v>
      </c>
      <c r="CK418" s="182">
        <f ca="1">IF($D418&lt;&gt;"Serviço",0,IF(OR(AND(AUTOEVENTO="Manual",$M418=1),$M418&gt;(ROW(PLE.lastrow)-ROW(PLE.firstrow))),0,IF(OFFSET(PLE!$G$14,$M418,CK$13)="",10^12,OFFSET(PLE!$G$14,$M418,CK$13))))</f>
        <v>0</v>
      </c>
      <c r="CL418" s="182">
        <f ca="1">IF($D418&lt;&gt;"Serviço",0,IF(OR(AND(AUTOEVENTO="Manual",$M418=1),$M418&gt;(ROW(PLE.lastrow)-ROW(PLE.firstrow))),0,IF(OFFSET(PLE!$G$14,$M418,CL$13)="",10^12,OFFSET(PLE!$G$14,$M418,CL$13))))</f>
        <v>0</v>
      </c>
      <c r="CM418" s="182">
        <f ca="1">IF($D418&lt;&gt;"Serviço",0,IF(OR(AND(AUTOEVENTO="Manual",$M418=1),$M418&gt;(ROW(PLE.lastrow)-ROW(PLE.firstrow))),0,IF(OFFSET(PLE!$G$14,$M418,CM$13)="",10^12,OFFSET(PLE!$G$14,$M418,CM$13))))</f>
        <v>0</v>
      </c>
    </row>
    <row r="419" spans="1:91" ht="51" x14ac:dyDescent="0.2">
      <c r="A419" s="7" t="str">
        <f t="shared" ca="1" si="14"/>
        <v>403</v>
      </c>
      <c r="B419" s="7" t="str">
        <f ca="1">OFFSET(ORÇAMENTO!C$15,ROW(B419)-ROW(B$15),0)</f>
        <v>S</v>
      </c>
      <c r="C419" s="7" t="str">
        <f ca="1">OFFSET(ORÇAMENTO!L$15,ROW(C419)-ROW(C$15),0)</f>
        <v/>
      </c>
      <c r="D419" s="118" t="str">
        <f ca="1">OFFSET(ORÇAMENTO!N$15,ROW(D419)-ROW(D$15),0)</f>
        <v>Serviço</v>
      </c>
      <c r="E419" s="119" t="str">
        <f ca="1">OFFSET(ORÇAMENTO!O$15,ROW(E419)-ROW(E$15),0)</f>
        <v>-</v>
      </c>
      <c r="F419" s="172" t="str">
        <f ca="1">OFFSET(ORÇAMENTO!R$15,ROW(F419)-ROW(F$15),0)</f>
        <v>(abra o arquivo 'Referência 06-2024.xlsm)</v>
      </c>
      <c r="G419" s="173" t="str">
        <f ca="1">IF($D419&lt;&gt;"Serviço","",OFFSET(ORÇAMENTO!S$15,ROW(G419)-ROW(G$15),0))</f>
        <v>-</v>
      </c>
      <c r="H419" s="124">
        <f ca="1">IF($D419&lt;&gt;"Serviço",0,IF(ACOMPANHAMENTO="BM",ROUND(OFFSET(ORÇAMENTO!AJ$15,ROW(H419)-ROW(H$15),0),15-13*ORÇAMENTO!$AF$7),SUMPRODUCT(($Q$12:$AI$12&lt;&gt;"")*ROUND($Q419:$AI419,15-13*ORÇAMENTO!$AF$7))))</f>
        <v>2</v>
      </c>
      <c r="I419" s="561" t="s">
        <v>1107</v>
      </c>
      <c r="K419" s="174"/>
      <c r="L419" s="175" t="s">
        <v>255</v>
      </c>
      <c r="M419" s="176">
        <f ca="1">IF($D419&lt;&gt;"Serviço","",IF(AUTOEVENTO="manual",$A419,IF(ISERROR(MATCH($A419,$A$15:OFFSET($A419,-1,0),0)),MAX($M$15:OFFSET(M419,-1,0))+1,INDEX($M$15:OFFSET(M419,-1,0),MATCH($A419,$A$15:OFFSET($A419,-1,0),0)))))</f>
        <v>47</v>
      </c>
      <c r="N419" s="177" t="str">
        <f ca="1">IF($D419&lt;&gt;"Serviço","",IF(AUTOEVENTO="Manual",IF($A419=0,"&lt;-- defina o número do agrupador",OFFSET(EVENTOS!$D$14,$A419,0)),OFFSET($F$15,$A419,0)))</f>
        <v>SISTEMA DE PROTEÇÃO CONTRA INCÊNDIO - HIDRANTES</v>
      </c>
      <c r="O419" s="178"/>
      <c r="Q419" s="178">
        <v>2</v>
      </c>
      <c r="R419" s="179"/>
      <c r="S419" s="179"/>
      <c r="T419" s="179"/>
      <c r="U419" s="179"/>
      <c r="V419" s="179"/>
      <c r="W419" s="179"/>
      <c r="X419" s="179"/>
      <c r="Y419" s="179"/>
      <c r="Z419" s="180"/>
      <c r="AA419" s="179"/>
      <c r="AB419" s="179"/>
      <c r="AC419" s="179"/>
      <c r="AD419" s="179"/>
      <c r="AE419" s="179"/>
      <c r="AF419" s="179"/>
      <c r="AG419" s="179"/>
      <c r="AH419" s="180"/>
      <c r="AJ419" s="544">
        <f ca="1">IF(AND($D419="Serviço",AJ$12&lt;&gt;0,$H419&gt;0,OR(AUTOEVENTO&lt;&gt;"manual",$M419&lt;&gt;1)),
IF(Import.TipoArredondamento&lt;&gt;"TransfereGOV",
ROUND(OFFSET($P419,0,AJ$13),15-13*ORÇAMENTO!$AF$7)/$H419*OFFSET(ORÇAMENTO!$X$15,ROW(AJ419)-ROW(AJ$15),0),
ROUND(ROUND(OFFSET($P419,0,AJ$13),15-13*ORÇAMENTO!$AF$7)*OFFSET(ORÇAMENTO!$W$15,ROW(AJ419)-ROW(AJ$15),0),15-13*ORÇAMENTO!$AF$11)),0)</f>
        <v>0</v>
      </c>
      <c r="AK419" s="545">
        <f ca="1">IF(AND($D419="Serviço",AK$12&lt;&gt;0,$H419&gt;0,OR(AUTOEVENTO&lt;&gt;"manual",$M419&lt;&gt;1)),
IF(Import.TipoArredondamento&lt;&gt;"TransfereGOV",
ROUND(OFFSET($P419,0,AK$13),15-13*ORÇAMENTO!$AF$7)/$H419*OFFSET(ORÇAMENTO!$X$15,ROW(AK419)-ROW(AK$15),0),
ROUND(ROUND(OFFSET($P419,0,AK$13),15-13*ORÇAMENTO!$AF$7)*OFFSET(ORÇAMENTO!$W$15,ROW(AK419)-ROW(AK$15),0),15-13*ORÇAMENTO!$AF$11)),0)</f>
        <v>0</v>
      </c>
      <c r="AL419" s="545">
        <f ca="1">IF(AND($D419="Serviço",AL$12&lt;&gt;0,$H419&gt;0,OR(AUTOEVENTO&lt;&gt;"manual",$M419&lt;&gt;1)),
IF(Import.TipoArredondamento&lt;&gt;"TransfereGOV",
ROUND(OFFSET($P419,0,AL$13),15-13*ORÇAMENTO!$AF$7)/$H419*OFFSET(ORÇAMENTO!$X$15,ROW(AL419)-ROW(AL$15),0),
ROUND(ROUND(OFFSET($P419,0,AL$13),15-13*ORÇAMENTO!$AF$7)*OFFSET(ORÇAMENTO!$W$15,ROW(AL419)-ROW(AL$15),0),15-13*ORÇAMENTO!$AF$11)),0)</f>
        <v>0</v>
      </c>
      <c r="AM419" s="545">
        <f ca="1">IF(AND($D419="Serviço",AM$12&lt;&gt;0,$H419&gt;0,OR(AUTOEVENTO&lt;&gt;"manual",$M419&lt;&gt;1)),
IF(Import.TipoArredondamento&lt;&gt;"TransfereGOV",
ROUND(OFFSET($P419,0,AM$13),15-13*ORÇAMENTO!$AF$7)/$H419*OFFSET(ORÇAMENTO!$X$15,ROW(AM419)-ROW(AM$15),0),
ROUND(ROUND(OFFSET($P419,0,AM$13),15-13*ORÇAMENTO!$AF$7)*OFFSET(ORÇAMENTO!$W$15,ROW(AM419)-ROW(AM$15),0),15-13*ORÇAMENTO!$AF$11)),0)</f>
        <v>0</v>
      </c>
      <c r="AN419" s="545">
        <f ca="1">IF(AND($D419="Serviço",AN$12&lt;&gt;0,$H419&gt;0,OR(AUTOEVENTO&lt;&gt;"manual",$M419&lt;&gt;1)),
IF(Import.TipoArredondamento&lt;&gt;"TransfereGOV",
ROUND(OFFSET($P419,0,AN$13),15-13*ORÇAMENTO!$AF$7)/$H419*OFFSET(ORÇAMENTO!$X$15,ROW(AN419)-ROW(AN$15),0),
ROUND(ROUND(OFFSET($P419,0,AN$13),15-13*ORÇAMENTO!$AF$7)*OFFSET(ORÇAMENTO!$W$15,ROW(AN419)-ROW(AN$15),0),15-13*ORÇAMENTO!$AF$11)),0)</f>
        <v>0</v>
      </c>
      <c r="AO419" s="545">
        <f ca="1">IF(AND($D419="Serviço",AO$12&lt;&gt;0,$H419&gt;0,OR(AUTOEVENTO&lt;&gt;"manual",$M419&lt;&gt;1)),
IF(Import.TipoArredondamento&lt;&gt;"TransfereGOV",
ROUND(OFFSET($P419,0,AO$13),15-13*ORÇAMENTO!$AF$7)/$H419*OFFSET(ORÇAMENTO!$X$15,ROW(AO419)-ROW(AO$15),0),
ROUND(ROUND(OFFSET($P419,0,AO$13),15-13*ORÇAMENTO!$AF$7)*OFFSET(ORÇAMENTO!$W$15,ROW(AO419)-ROW(AO$15),0),15-13*ORÇAMENTO!$AF$11)),0)</f>
        <v>0</v>
      </c>
      <c r="AP419" s="545">
        <f ca="1">IF(AND($D419="Serviço",AP$12&lt;&gt;0,$H419&gt;0,OR(AUTOEVENTO&lt;&gt;"manual",$M419&lt;&gt;1)),
IF(Import.TipoArredondamento&lt;&gt;"TransfereGOV",
ROUND(OFFSET($P419,0,AP$13),15-13*ORÇAMENTO!$AF$7)/$H419*OFFSET(ORÇAMENTO!$X$15,ROW(AP419)-ROW(AP$15),0),
ROUND(ROUND(OFFSET($P419,0,AP$13),15-13*ORÇAMENTO!$AF$7)*OFFSET(ORÇAMENTO!$W$15,ROW(AP419)-ROW(AP$15),0),15-13*ORÇAMENTO!$AF$11)),0)</f>
        <v>0</v>
      </c>
      <c r="AQ419" s="545">
        <f ca="1">IF(AND($D419="Serviço",AQ$12&lt;&gt;0,$H419&gt;0,OR(AUTOEVENTO&lt;&gt;"manual",$M419&lt;&gt;1)),
IF(Import.TipoArredondamento&lt;&gt;"TransfereGOV",
ROUND(OFFSET($P419,0,AQ$13),15-13*ORÇAMENTO!$AF$7)/$H419*OFFSET(ORÇAMENTO!$X$15,ROW(AQ419)-ROW(AQ$15),0),
ROUND(ROUND(OFFSET($P419,0,AQ$13),15-13*ORÇAMENTO!$AF$7)*OFFSET(ORÇAMENTO!$W$15,ROW(AQ419)-ROW(AQ$15),0),15-13*ORÇAMENTO!$AF$11)),0)</f>
        <v>0</v>
      </c>
      <c r="AR419" s="545">
        <f ca="1">IF(AND($D419="Serviço",AR$12&lt;&gt;0,$H419&gt;0,OR(AUTOEVENTO&lt;&gt;"manual",$M419&lt;&gt;1)),
IF(Import.TipoArredondamento&lt;&gt;"TransfereGOV",
ROUND(OFFSET($P419,0,AR$13),15-13*ORÇAMENTO!$AF$7)/$H419*OFFSET(ORÇAMENTO!$X$15,ROW(AR419)-ROW(AR$15),0),
ROUND(ROUND(OFFSET($P419,0,AR$13),15-13*ORÇAMENTO!$AF$7)*OFFSET(ORÇAMENTO!$W$15,ROW(AR419)-ROW(AR$15),0),15-13*ORÇAMENTO!$AF$11)),0)</f>
        <v>0</v>
      </c>
      <c r="AS419" s="546">
        <f ca="1">IF(AND($D419="Serviço",AS$12&lt;&gt;0,$H419&gt;0,OR(AUTOEVENTO&lt;&gt;"manual",$M419&lt;&gt;1)),
IF(Import.TipoArredondamento&lt;&gt;"TransfereGOV",
ROUND(OFFSET($P419,0,AS$13),15-13*ORÇAMENTO!$AF$7)/$H419*OFFSET(ORÇAMENTO!$X$15,ROW(AS419)-ROW(AS$15),0),
ROUND(ROUND(OFFSET($P419,0,AS$13),15-13*ORÇAMENTO!$AF$7)*OFFSET(ORÇAMENTO!$W$15,ROW(AS419)-ROW(AS$15),0),15-13*ORÇAMENTO!$AF$11)),0)</f>
        <v>0</v>
      </c>
      <c r="AT419" s="545">
        <f ca="1">IF(AND($D419="Serviço",AT$12&lt;&gt;0,$H419&gt;0,OR(AUTOEVENTO&lt;&gt;"manual",$M419&lt;&gt;1)),
IF(Import.TipoArredondamento&lt;&gt;"TransfereGOV",
ROUND(OFFSET($P419,0,AT$13),15-13*ORÇAMENTO!$AF$7)/$H419*OFFSET(ORÇAMENTO!$X$15,ROW(AT419)-ROW(AT$15),0),
ROUND(ROUND(OFFSET($P419,0,AT$13),15-13*ORÇAMENTO!$AF$7)*OFFSET(ORÇAMENTO!$W$15,ROW(AT419)-ROW(AT$15),0),15-13*ORÇAMENTO!$AF$11)),0)</f>
        <v>0</v>
      </c>
      <c r="AU419" s="545">
        <f ca="1">IF(AND($D419="Serviço",AU$12&lt;&gt;0,$H419&gt;0,OR(AUTOEVENTO&lt;&gt;"manual",$M419&lt;&gt;1)),
IF(Import.TipoArredondamento&lt;&gt;"TransfereGOV",
ROUND(OFFSET($P419,0,AU$13),15-13*ORÇAMENTO!$AF$7)/$H419*OFFSET(ORÇAMENTO!$X$15,ROW(AU419)-ROW(AU$15),0),
ROUND(ROUND(OFFSET($P419,0,AU$13),15-13*ORÇAMENTO!$AF$7)*OFFSET(ORÇAMENTO!$W$15,ROW(AU419)-ROW(AU$15),0),15-13*ORÇAMENTO!$AF$11)),0)</f>
        <v>0</v>
      </c>
      <c r="AV419" s="545">
        <f ca="1">IF(AND($D419="Serviço",AV$12&lt;&gt;0,$H419&gt;0,OR(AUTOEVENTO&lt;&gt;"manual",$M419&lt;&gt;1)),
IF(Import.TipoArredondamento&lt;&gt;"TransfereGOV",
ROUND(OFFSET($P419,0,AV$13),15-13*ORÇAMENTO!$AF$7)/$H419*OFFSET(ORÇAMENTO!$X$15,ROW(AV419)-ROW(AV$15),0),
ROUND(ROUND(OFFSET($P419,0,AV$13),15-13*ORÇAMENTO!$AF$7)*OFFSET(ORÇAMENTO!$W$15,ROW(AV419)-ROW(AV$15),0),15-13*ORÇAMENTO!$AF$11)),0)</f>
        <v>0</v>
      </c>
      <c r="AW419" s="545">
        <f ca="1">IF(AND($D419="Serviço",AW$12&lt;&gt;0,$H419&gt;0,OR(AUTOEVENTO&lt;&gt;"manual",$M419&lt;&gt;1)),
IF(Import.TipoArredondamento&lt;&gt;"TransfereGOV",
ROUND(OFFSET($P419,0,AW$13),15-13*ORÇAMENTO!$AF$7)/$H419*OFFSET(ORÇAMENTO!$X$15,ROW(AW419)-ROW(AW$15),0),
ROUND(ROUND(OFFSET($P419,0,AW$13),15-13*ORÇAMENTO!$AF$7)*OFFSET(ORÇAMENTO!$W$15,ROW(AW419)-ROW(AW$15),0),15-13*ORÇAMENTO!$AF$11)),0)</f>
        <v>0</v>
      </c>
      <c r="AX419" s="545">
        <f ca="1">IF(AND($D419="Serviço",AX$12&lt;&gt;0,$H419&gt;0,OR(AUTOEVENTO&lt;&gt;"manual",$M419&lt;&gt;1)),
IF(Import.TipoArredondamento&lt;&gt;"TransfereGOV",
ROUND(OFFSET($P419,0,AX$13),15-13*ORÇAMENTO!$AF$7)/$H419*OFFSET(ORÇAMENTO!$X$15,ROW(AX419)-ROW(AX$15),0),
ROUND(ROUND(OFFSET($P419,0,AX$13),15-13*ORÇAMENTO!$AF$7)*OFFSET(ORÇAMENTO!$W$15,ROW(AX419)-ROW(AX$15),0),15-13*ORÇAMENTO!$AF$11)),0)</f>
        <v>0</v>
      </c>
      <c r="AY419" s="545">
        <f ca="1">IF(AND($D419="Serviço",AY$12&lt;&gt;0,$H419&gt;0,OR(AUTOEVENTO&lt;&gt;"manual",$M419&lt;&gt;1)),
IF(Import.TipoArredondamento&lt;&gt;"TransfereGOV",
ROUND(OFFSET($P419,0,AY$13),15-13*ORÇAMENTO!$AF$7)/$H419*OFFSET(ORÇAMENTO!$X$15,ROW(AY419)-ROW(AY$15),0),
ROUND(ROUND(OFFSET($P419,0,AY$13),15-13*ORÇAMENTO!$AF$7)*OFFSET(ORÇAMENTO!$W$15,ROW(AY419)-ROW(AY$15),0),15-13*ORÇAMENTO!$AF$11)),0)</f>
        <v>0</v>
      </c>
      <c r="AZ419" s="545">
        <f ca="1">IF(AND($D419="Serviço",AZ$12&lt;&gt;0,$H419&gt;0,OR(AUTOEVENTO&lt;&gt;"manual",$M419&lt;&gt;1)),
IF(Import.TipoArredondamento&lt;&gt;"TransfereGOV",
ROUND(OFFSET($P419,0,AZ$13),15-13*ORÇAMENTO!$AF$7)/$H419*OFFSET(ORÇAMENTO!$X$15,ROW(AZ419)-ROW(AZ$15),0),
ROUND(ROUND(OFFSET($P419,0,AZ$13),15-13*ORÇAMENTO!$AF$7)*OFFSET(ORÇAMENTO!$W$15,ROW(AZ419)-ROW(AZ$15),0),15-13*ORÇAMENTO!$AF$11)),0)</f>
        <v>0</v>
      </c>
      <c r="BA419" s="546">
        <f ca="1">IF(AND($D419="Serviço",BA$12&lt;&gt;0,$H419&gt;0,OR(AUTOEVENTO&lt;&gt;"manual",$M419&lt;&gt;1)),
IF(Import.TipoArredondamento&lt;&gt;"TransfereGOV",
ROUND(OFFSET($P419,0,BA$13),15-13*ORÇAMENTO!$AF$7)/$H419*OFFSET(ORÇAMENTO!$X$15,ROW(BA419)-ROW(BA$15),0),
ROUND(ROUND(OFFSET($P419,0,BA$13),15-13*ORÇAMENTO!$AF$7)*OFFSET(ORÇAMENTO!$W$15,ROW(BA419)-ROW(BA$15),0),15-13*ORÇAMENTO!$AF$11)),0)</f>
        <v>0</v>
      </c>
      <c r="BC419" s="181">
        <f ca="1">IF($D419&lt;&gt;"Serviço",0,IF(AND(AUTOEVENTO="Manual",$M419=1),0,IF(OFFSET(CRONOPLE!$F$14,$M419,BC$13)="",10^12,OFFSET(CRONOPLE!$F$14,$M419,BC$13))))</f>
        <v>10</v>
      </c>
      <c r="BD419" s="181">
        <f ca="1">IF($D419&lt;&gt;"Serviço",0,IF(AND(AUTOEVENTO="Manual",$M419=1),0,IF(OFFSET(CRONOPLE!$F$14,$M419,BD$13)="",10^12,OFFSET(CRONOPLE!$F$14,$M419,BD$13))))</f>
        <v>1000000000000</v>
      </c>
      <c r="BE419" s="181">
        <f ca="1">IF($D419&lt;&gt;"Serviço",0,IF(AND(AUTOEVENTO="Manual",$M419=1),0,IF(OFFSET(CRONOPLE!$F$14,$M419,BE$13)="",10^12,OFFSET(CRONOPLE!$F$14,$M419,BE$13))))</f>
        <v>1000000000000</v>
      </c>
      <c r="BF419" s="181">
        <f ca="1">IF($D419&lt;&gt;"Serviço",0,IF(AND(AUTOEVENTO="Manual",$M419=1),0,IF(OFFSET(CRONOPLE!$F$14,$M419,BF$13)="",10^12,OFFSET(CRONOPLE!$F$14,$M419,BF$13))))</f>
        <v>1000000000000</v>
      </c>
      <c r="BG419" s="181">
        <f ca="1">IF($D419&lt;&gt;"Serviço",0,IF(AND(AUTOEVENTO="Manual",$M419=1),0,IF(OFFSET(CRONOPLE!$F$14,$M419,BG$13)="",10^12,OFFSET(CRONOPLE!$F$14,$M419,BG$13))))</f>
        <v>1000000000000</v>
      </c>
      <c r="BH419" s="181">
        <f ca="1">IF($D419&lt;&gt;"Serviço",0,IF(AND(AUTOEVENTO="Manual",$M419=1),0,IF(OFFSET(CRONOPLE!$F$14,$M419,BH$13)="",10^12,OFFSET(CRONOPLE!$F$14,$M419,BH$13))))</f>
        <v>1000000000000</v>
      </c>
      <c r="BI419" s="181">
        <f ca="1">IF($D419&lt;&gt;"Serviço",0,IF(AND(AUTOEVENTO="Manual",$M419=1),0,IF(OFFSET(CRONOPLE!$F$14,$M419,BI$13)="",10^12,OFFSET(CRONOPLE!$F$14,$M419,BI$13))))</f>
        <v>1000000000000</v>
      </c>
      <c r="BJ419" s="181">
        <f ca="1">IF($D419&lt;&gt;"Serviço",0,IF(AND(AUTOEVENTO="Manual",$M419=1),0,IF(OFFSET(CRONOPLE!$F$14,$M419,BJ$13)="",10^12,OFFSET(CRONOPLE!$F$14,$M419,BJ$13))))</f>
        <v>1000000000000</v>
      </c>
      <c r="BK419" s="181">
        <f ca="1">IF($D419&lt;&gt;"Serviço",0,IF(AND(AUTOEVENTO="Manual",$M419=1),0,IF(OFFSET(CRONOPLE!$F$14,$M419,BK$13)="",10^12,OFFSET(CRONOPLE!$F$14,$M419,BK$13))))</f>
        <v>1000000000000</v>
      </c>
      <c r="BL419" s="181">
        <f ca="1">IF($D419&lt;&gt;"Serviço",0,IF(AND(AUTOEVENTO="Manual",$M419=1),0,IF(OFFSET(CRONOPLE!$F$14,$M419,BL$13)="",10^12,OFFSET(CRONOPLE!$F$14,$M419,BL$13))))</f>
        <v>1000000000000</v>
      </c>
      <c r="BM419" s="181">
        <f ca="1">IF($D419&lt;&gt;"Serviço",0,IF(AND(AUTOEVENTO="Manual",$M419=1),0,IF(OFFSET(CRONOPLE!$F$14,$M419,BM$13)="",10^12,OFFSET(CRONOPLE!$F$14,$M419,BM$13))))</f>
        <v>1000000000000</v>
      </c>
      <c r="BN419" s="181">
        <f ca="1">IF($D419&lt;&gt;"Serviço",0,IF(AND(AUTOEVENTO="Manual",$M419=1),0,IF(OFFSET(CRONOPLE!$F$14,$M419,BN$13)="",10^12,OFFSET(CRONOPLE!$F$14,$M419,BN$13))))</f>
        <v>1000000000000</v>
      </c>
      <c r="BO419" s="181">
        <f ca="1">IF($D419&lt;&gt;"Serviço",0,IF(AND(AUTOEVENTO="Manual",$M419=1),0,IF(OFFSET(CRONOPLE!$F$14,$M419,BO$13)="",10^12,OFFSET(CRONOPLE!$F$14,$M419,BO$13))))</f>
        <v>1000000000000</v>
      </c>
      <c r="BP419" s="181">
        <f ca="1">IF($D419&lt;&gt;"Serviço",0,IF(AND(AUTOEVENTO="Manual",$M419=1),0,IF(OFFSET(CRONOPLE!$F$14,$M419,BP$13)="",10^12,OFFSET(CRONOPLE!$F$14,$M419,BP$13))))</f>
        <v>1000000000000</v>
      </c>
      <c r="BQ419" s="181">
        <f ca="1">IF($D419&lt;&gt;"Serviço",0,IF(AND(AUTOEVENTO="Manual",$M419=1),0,IF(OFFSET(CRONOPLE!$F$14,$M419,BQ$13)="",10^12,OFFSET(CRONOPLE!$F$14,$M419,BQ$13))))</f>
        <v>1000000000000</v>
      </c>
      <c r="BR419" s="181">
        <f ca="1">IF($D419&lt;&gt;"Serviço",0,IF(AND(AUTOEVENTO="Manual",$M419=1),0,IF(OFFSET(CRONOPLE!$F$14,$M419,BR$13)="",10^12,OFFSET(CRONOPLE!$F$14,$M419,BR$13))))</f>
        <v>1000000000000</v>
      </c>
      <c r="BS419" s="181">
        <f ca="1">IF($D419&lt;&gt;"Serviço",0,IF(AND(AUTOEVENTO="Manual",$M419=1),0,IF(OFFSET(CRONOPLE!$F$14,$M419,BS$13)="",10^12,OFFSET(CRONOPLE!$F$14,$M419,BS$13))))</f>
        <v>1000000000000</v>
      </c>
      <c r="BT419" s="181">
        <f ca="1">IF($D419&lt;&gt;"Serviço",0,IF(AND(AUTOEVENTO="Manual",$M419=1),0,IF(OFFSET(CRONOPLE!$F$14,$M419,BT$13)="",10^12,OFFSET(CRONOPLE!$F$14,$M419,BT$13))))</f>
        <v>1000000000000</v>
      </c>
      <c r="BV419" s="182">
        <f ca="1">IF($D419&lt;&gt;"Serviço",0,IF(OR(AND(AUTOEVENTO="Manual",$M419=1),$M419&gt;(ROW(PLE.lastrow)-ROW(PLE.firstrow))),0,IF(OFFSET(PLE!$G$14,$M419,BV$13)="",10^12,OFFSET(PLE!$G$14,$M419,BV$13))))</f>
        <v>1000000000000</v>
      </c>
      <c r="BW419" s="182">
        <f ca="1">IF($D419&lt;&gt;"Serviço",0,IF(OR(AND(AUTOEVENTO="Manual",$M419=1),$M419&gt;(ROW(PLE.lastrow)-ROW(PLE.firstrow))),0,IF(OFFSET(PLE!$G$14,$M419,BW$13)="",10^12,OFFSET(PLE!$G$14,$M419,BW$13))))</f>
        <v>1000000000000</v>
      </c>
      <c r="BX419" s="182">
        <f ca="1">IF($D419&lt;&gt;"Serviço",0,IF(OR(AND(AUTOEVENTO="Manual",$M419=1),$M419&gt;(ROW(PLE.lastrow)-ROW(PLE.firstrow))),0,IF(OFFSET(PLE!$G$14,$M419,BX$13)="",10^12,OFFSET(PLE!$G$14,$M419,BX$13))))</f>
        <v>1000000000000</v>
      </c>
      <c r="BY419" s="182">
        <f ca="1">IF($D419&lt;&gt;"Serviço",0,IF(OR(AND(AUTOEVENTO="Manual",$M419=1),$M419&gt;(ROW(PLE.lastrow)-ROW(PLE.firstrow))),0,IF(OFFSET(PLE!$G$14,$M419,BY$13)="",10^12,OFFSET(PLE!$G$14,$M419,BY$13))))</f>
        <v>1000000000000</v>
      </c>
      <c r="BZ419" s="182">
        <f ca="1">IF($D419&lt;&gt;"Serviço",0,IF(OR(AND(AUTOEVENTO="Manual",$M419=1),$M419&gt;(ROW(PLE.lastrow)-ROW(PLE.firstrow))),0,IF(OFFSET(PLE!$G$14,$M419,BZ$13)="",10^12,OFFSET(PLE!$G$14,$M419,BZ$13))))</f>
        <v>1000000000000</v>
      </c>
      <c r="CA419" s="182">
        <f ca="1">IF($D419&lt;&gt;"Serviço",0,IF(OR(AND(AUTOEVENTO="Manual",$M419=1),$M419&gt;(ROW(PLE.lastrow)-ROW(PLE.firstrow))),0,IF(OFFSET(PLE!$G$14,$M419,CA$13)="",10^12,OFFSET(PLE!$G$14,$M419,CA$13))))</f>
        <v>1000000000000</v>
      </c>
      <c r="CB419" s="182">
        <f ca="1">IF($D419&lt;&gt;"Serviço",0,IF(OR(AND(AUTOEVENTO="Manual",$M419=1),$M419&gt;(ROW(PLE.lastrow)-ROW(PLE.firstrow))),0,IF(OFFSET(PLE!$G$14,$M419,CB$13)="",10^12,OFFSET(PLE!$G$14,$M419,CB$13))))</f>
        <v>1000000000000</v>
      </c>
      <c r="CC419" s="182">
        <f ca="1">IF($D419&lt;&gt;"Serviço",0,IF(OR(AND(AUTOEVENTO="Manual",$M419=1),$M419&gt;(ROW(PLE.lastrow)-ROW(PLE.firstrow))),0,IF(OFFSET(PLE!$G$14,$M419,CC$13)="",10^12,OFFSET(PLE!$G$14,$M419,CC$13))))</f>
        <v>1000000000000</v>
      </c>
      <c r="CD419" s="182">
        <f ca="1">IF($D419&lt;&gt;"Serviço",0,IF(OR(AND(AUTOEVENTO="Manual",$M419=1),$M419&gt;(ROW(PLE.lastrow)-ROW(PLE.firstrow))),0,IF(OFFSET(PLE!$G$14,$M419,CD$13)="",10^12,OFFSET(PLE!$G$14,$M419,CD$13))))</f>
        <v>1000000000000</v>
      </c>
      <c r="CE419" s="182">
        <f ca="1">IF($D419&lt;&gt;"Serviço",0,IF(OR(AND(AUTOEVENTO="Manual",$M419=1),$M419&gt;(ROW(PLE.lastrow)-ROW(PLE.firstrow))),0,IF(OFFSET(PLE!$G$14,$M419,CE$13)="",10^12,OFFSET(PLE!$G$14,$M419,CE$13))))</f>
        <v>1000000000000</v>
      </c>
      <c r="CF419" s="182">
        <f ca="1">IF($D419&lt;&gt;"Serviço",0,IF(OR(AND(AUTOEVENTO="Manual",$M419=1),$M419&gt;(ROW(PLE.lastrow)-ROW(PLE.firstrow))),0,IF(OFFSET(PLE!$G$14,$M419,CF$13)="",10^12,OFFSET(PLE!$G$14,$M419,CF$13))))</f>
        <v>1000000000000</v>
      </c>
      <c r="CG419" s="182">
        <f ca="1">IF($D419&lt;&gt;"Serviço",0,IF(OR(AND(AUTOEVENTO="Manual",$M419=1),$M419&gt;(ROW(PLE.lastrow)-ROW(PLE.firstrow))),0,IF(OFFSET(PLE!$G$14,$M419,CG$13)="",10^12,OFFSET(PLE!$G$14,$M419,CG$13))))</f>
        <v>1000000000000</v>
      </c>
      <c r="CH419" s="182">
        <f ca="1">IF($D419&lt;&gt;"Serviço",0,IF(OR(AND(AUTOEVENTO="Manual",$M419=1),$M419&gt;(ROW(PLE.lastrow)-ROW(PLE.firstrow))),0,IF(OFFSET(PLE!$G$14,$M419,CH$13)="",10^12,OFFSET(PLE!$G$14,$M419,CH$13))))</f>
        <v>1000000000000</v>
      </c>
      <c r="CI419" s="182">
        <f ca="1">IF($D419&lt;&gt;"Serviço",0,IF(OR(AND(AUTOEVENTO="Manual",$M419=1),$M419&gt;(ROW(PLE.lastrow)-ROW(PLE.firstrow))),0,IF(OFFSET(PLE!$G$14,$M419,CI$13)="",10^12,OFFSET(PLE!$G$14,$M419,CI$13))))</f>
        <v>1000000000000</v>
      </c>
      <c r="CJ419" s="182">
        <f ca="1">IF($D419&lt;&gt;"Serviço",0,IF(OR(AND(AUTOEVENTO="Manual",$M419=1),$M419&gt;(ROW(PLE.lastrow)-ROW(PLE.firstrow))),0,IF(OFFSET(PLE!$G$14,$M419,CJ$13)="",10^12,OFFSET(PLE!$G$14,$M419,CJ$13))))</f>
        <v>1000000000000</v>
      </c>
      <c r="CK419" s="182">
        <f ca="1">IF($D419&lt;&gt;"Serviço",0,IF(OR(AND(AUTOEVENTO="Manual",$M419=1),$M419&gt;(ROW(PLE.lastrow)-ROW(PLE.firstrow))),0,IF(OFFSET(PLE!$G$14,$M419,CK$13)="",10^12,OFFSET(PLE!$G$14,$M419,CK$13))))</f>
        <v>1000000000000</v>
      </c>
      <c r="CL419" s="182">
        <f ca="1">IF($D419&lt;&gt;"Serviço",0,IF(OR(AND(AUTOEVENTO="Manual",$M419=1),$M419&gt;(ROW(PLE.lastrow)-ROW(PLE.firstrow))),0,IF(OFFSET(PLE!$G$14,$M419,CL$13)="",10^12,OFFSET(PLE!$G$14,$M419,CL$13))))</f>
        <v>1000000000000</v>
      </c>
      <c r="CM419" s="182">
        <f ca="1">IF($D419&lt;&gt;"Serviço",0,IF(OR(AND(AUTOEVENTO="Manual",$M419=1),$M419&gt;(ROW(PLE.lastrow)-ROW(PLE.firstrow))),0,IF(OFFSET(PLE!$G$14,$M419,CM$13)="",10^12,OFFSET(PLE!$G$14,$M419,CM$13))))</f>
        <v>1000000000000</v>
      </c>
    </row>
    <row r="420" spans="1:91" ht="25.5" x14ac:dyDescent="0.2">
      <c r="A420" s="7" t="str">
        <f t="shared" ca="1" si="14"/>
        <v>403</v>
      </c>
      <c r="B420" s="7" t="str">
        <f ca="1">OFFSET(ORÇAMENTO!C$15,ROW(B420)-ROW(B$15),0)</f>
        <v>S</v>
      </c>
      <c r="C420" s="7" t="str">
        <f ca="1">OFFSET(ORÇAMENTO!L$15,ROW(C420)-ROW(C$15),0)</f>
        <v/>
      </c>
      <c r="D420" s="118" t="str">
        <f ca="1">OFFSET(ORÇAMENTO!N$15,ROW(D420)-ROW(D$15),0)</f>
        <v>Serviço</v>
      </c>
      <c r="E420" s="119" t="str">
        <f ca="1">OFFSET(ORÇAMENTO!O$15,ROW(E420)-ROW(E$15),0)</f>
        <v>-</v>
      </c>
      <c r="F420" s="172" t="str">
        <f ca="1">OFFSET(ORÇAMENTO!R$15,ROW(F420)-ROW(F$15),0)</f>
        <v>(abra o arquivo 'Referência 06-2024.xlsm)</v>
      </c>
      <c r="G420" s="173" t="str">
        <f ca="1">IF($D420&lt;&gt;"Serviço","",OFFSET(ORÇAMENTO!S$15,ROW(G420)-ROW(G$15),0))</f>
        <v>-</v>
      </c>
      <c r="H420" s="124">
        <f ca="1">IF($D420&lt;&gt;"Serviço",0,IF(ACOMPANHAMENTO="BM",ROUND(OFFSET(ORÇAMENTO!AJ$15,ROW(H420)-ROW(H$15),0),15-13*ORÇAMENTO!$AF$7),SUMPRODUCT(($Q$12:$AI$12&lt;&gt;"")*ROUND($Q420:$AI420,15-13*ORÇAMENTO!$AF$7))))</f>
        <v>1</v>
      </c>
      <c r="I420" s="561" t="s">
        <v>1107</v>
      </c>
      <c r="K420" s="174"/>
      <c r="L420" s="175" t="s">
        <v>255</v>
      </c>
      <c r="M420" s="176">
        <f ca="1">IF($D420&lt;&gt;"Serviço","",IF(AUTOEVENTO="manual",$A420,IF(ISERROR(MATCH($A420,$A$15:OFFSET($A420,-1,0),0)),MAX($M$15:OFFSET(M420,-1,0))+1,INDEX($M$15:OFFSET(M420,-1,0),MATCH($A420,$A$15:OFFSET($A420,-1,0),0)))))</f>
        <v>47</v>
      </c>
      <c r="N420" s="177" t="str">
        <f ca="1">IF($D420&lt;&gt;"Serviço","",IF(AUTOEVENTO="Manual",IF($A420=0,"&lt;-- defina o número do agrupador",OFFSET(EVENTOS!$D$14,$A420,0)),OFFSET($F$15,$A420,0)))</f>
        <v>SISTEMA DE PROTEÇÃO CONTRA INCÊNDIO - HIDRANTES</v>
      </c>
      <c r="O420" s="178"/>
      <c r="Q420" s="178">
        <v>1</v>
      </c>
      <c r="R420" s="179"/>
      <c r="S420" s="179"/>
      <c r="T420" s="179"/>
      <c r="U420" s="179"/>
      <c r="V420" s="179"/>
      <c r="W420" s="179"/>
      <c r="X420" s="179"/>
      <c r="Y420" s="179"/>
      <c r="Z420" s="180"/>
      <c r="AA420" s="179"/>
      <c r="AB420" s="179"/>
      <c r="AC420" s="179"/>
      <c r="AD420" s="179"/>
      <c r="AE420" s="179"/>
      <c r="AF420" s="179"/>
      <c r="AG420" s="179"/>
      <c r="AH420" s="180"/>
      <c r="AJ420" s="544">
        <f ca="1">IF(AND($D420="Serviço",AJ$12&lt;&gt;0,$H420&gt;0,OR(AUTOEVENTO&lt;&gt;"manual",$M420&lt;&gt;1)),
IF(Import.TipoArredondamento&lt;&gt;"TransfereGOV",
ROUND(OFFSET($P420,0,AJ$13),15-13*ORÇAMENTO!$AF$7)/$H420*OFFSET(ORÇAMENTO!$X$15,ROW(AJ420)-ROW(AJ$15),0),
ROUND(ROUND(OFFSET($P420,0,AJ$13),15-13*ORÇAMENTO!$AF$7)*OFFSET(ORÇAMENTO!$W$15,ROW(AJ420)-ROW(AJ$15),0),15-13*ORÇAMENTO!$AF$11)),0)</f>
        <v>0</v>
      </c>
      <c r="AK420" s="545">
        <f ca="1">IF(AND($D420="Serviço",AK$12&lt;&gt;0,$H420&gt;0,OR(AUTOEVENTO&lt;&gt;"manual",$M420&lt;&gt;1)),
IF(Import.TipoArredondamento&lt;&gt;"TransfereGOV",
ROUND(OFFSET($P420,0,AK$13),15-13*ORÇAMENTO!$AF$7)/$H420*OFFSET(ORÇAMENTO!$X$15,ROW(AK420)-ROW(AK$15),0),
ROUND(ROUND(OFFSET($P420,0,AK$13),15-13*ORÇAMENTO!$AF$7)*OFFSET(ORÇAMENTO!$W$15,ROW(AK420)-ROW(AK$15),0),15-13*ORÇAMENTO!$AF$11)),0)</f>
        <v>0</v>
      </c>
      <c r="AL420" s="545">
        <f ca="1">IF(AND($D420="Serviço",AL$12&lt;&gt;0,$H420&gt;0,OR(AUTOEVENTO&lt;&gt;"manual",$M420&lt;&gt;1)),
IF(Import.TipoArredondamento&lt;&gt;"TransfereGOV",
ROUND(OFFSET($P420,0,AL$13),15-13*ORÇAMENTO!$AF$7)/$H420*OFFSET(ORÇAMENTO!$X$15,ROW(AL420)-ROW(AL$15),0),
ROUND(ROUND(OFFSET($P420,0,AL$13),15-13*ORÇAMENTO!$AF$7)*OFFSET(ORÇAMENTO!$W$15,ROW(AL420)-ROW(AL$15),0),15-13*ORÇAMENTO!$AF$11)),0)</f>
        <v>0</v>
      </c>
      <c r="AM420" s="545">
        <f ca="1">IF(AND($D420="Serviço",AM$12&lt;&gt;0,$H420&gt;0,OR(AUTOEVENTO&lt;&gt;"manual",$M420&lt;&gt;1)),
IF(Import.TipoArredondamento&lt;&gt;"TransfereGOV",
ROUND(OFFSET($P420,0,AM$13),15-13*ORÇAMENTO!$AF$7)/$H420*OFFSET(ORÇAMENTO!$X$15,ROW(AM420)-ROW(AM$15),0),
ROUND(ROUND(OFFSET($P420,0,AM$13),15-13*ORÇAMENTO!$AF$7)*OFFSET(ORÇAMENTO!$W$15,ROW(AM420)-ROW(AM$15),0),15-13*ORÇAMENTO!$AF$11)),0)</f>
        <v>0</v>
      </c>
      <c r="AN420" s="545">
        <f ca="1">IF(AND($D420="Serviço",AN$12&lt;&gt;0,$H420&gt;0,OR(AUTOEVENTO&lt;&gt;"manual",$M420&lt;&gt;1)),
IF(Import.TipoArredondamento&lt;&gt;"TransfereGOV",
ROUND(OFFSET($P420,0,AN$13),15-13*ORÇAMENTO!$AF$7)/$H420*OFFSET(ORÇAMENTO!$X$15,ROW(AN420)-ROW(AN$15),0),
ROUND(ROUND(OFFSET($P420,0,AN$13),15-13*ORÇAMENTO!$AF$7)*OFFSET(ORÇAMENTO!$W$15,ROW(AN420)-ROW(AN$15),0),15-13*ORÇAMENTO!$AF$11)),0)</f>
        <v>0</v>
      </c>
      <c r="AO420" s="545">
        <f ca="1">IF(AND($D420="Serviço",AO$12&lt;&gt;0,$H420&gt;0,OR(AUTOEVENTO&lt;&gt;"manual",$M420&lt;&gt;1)),
IF(Import.TipoArredondamento&lt;&gt;"TransfereGOV",
ROUND(OFFSET($P420,0,AO$13),15-13*ORÇAMENTO!$AF$7)/$H420*OFFSET(ORÇAMENTO!$X$15,ROW(AO420)-ROW(AO$15),0),
ROUND(ROUND(OFFSET($P420,0,AO$13),15-13*ORÇAMENTO!$AF$7)*OFFSET(ORÇAMENTO!$W$15,ROW(AO420)-ROW(AO$15),0),15-13*ORÇAMENTO!$AF$11)),0)</f>
        <v>0</v>
      </c>
      <c r="AP420" s="545">
        <f ca="1">IF(AND($D420="Serviço",AP$12&lt;&gt;0,$H420&gt;0,OR(AUTOEVENTO&lt;&gt;"manual",$M420&lt;&gt;1)),
IF(Import.TipoArredondamento&lt;&gt;"TransfereGOV",
ROUND(OFFSET($P420,0,AP$13),15-13*ORÇAMENTO!$AF$7)/$H420*OFFSET(ORÇAMENTO!$X$15,ROW(AP420)-ROW(AP$15),0),
ROUND(ROUND(OFFSET($P420,0,AP$13),15-13*ORÇAMENTO!$AF$7)*OFFSET(ORÇAMENTO!$W$15,ROW(AP420)-ROW(AP$15),0),15-13*ORÇAMENTO!$AF$11)),0)</f>
        <v>0</v>
      </c>
      <c r="AQ420" s="545">
        <f ca="1">IF(AND($D420="Serviço",AQ$12&lt;&gt;0,$H420&gt;0,OR(AUTOEVENTO&lt;&gt;"manual",$M420&lt;&gt;1)),
IF(Import.TipoArredondamento&lt;&gt;"TransfereGOV",
ROUND(OFFSET($P420,0,AQ$13),15-13*ORÇAMENTO!$AF$7)/$H420*OFFSET(ORÇAMENTO!$X$15,ROW(AQ420)-ROW(AQ$15),0),
ROUND(ROUND(OFFSET($P420,0,AQ$13),15-13*ORÇAMENTO!$AF$7)*OFFSET(ORÇAMENTO!$W$15,ROW(AQ420)-ROW(AQ$15),0),15-13*ORÇAMENTO!$AF$11)),0)</f>
        <v>0</v>
      </c>
      <c r="AR420" s="545">
        <f ca="1">IF(AND($D420="Serviço",AR$12&lt;&gt;0,$H420&gt;0,OR(AUTOEVENTO&lt;&gt;"manual",$M420&lt;&gt;1)),
IF(Import.TipoArredondamento&lt;&gt;"TransfereGOV",
ROUND(OFFSET($P420,0,AR$13),15-13*ORÇAMENTO!$AF$7)/$H420*OFFSET(ORÇAMENTO!$X$15,ROW(AR420)-ROW(AR$15),0),
ROUND(ROUND(OFFSET($P420,0,AR$13),15-13*ORÇAMENTO!$AF$7)*OFFSET(ORÇAMENTO!$W$15,ROW(AR420)-ROW(AR$15),0),15-13*ORÇAMENTO!$AF$11)),0)</f>
        <v>0</v>
      </c>
      <c r="AS420" s="546">
        <f ca="1">IF(AND($D420="Serviço",AS$12&lt;&gt;0,$H420&gt;0,OR(AUTOEVENTO&lt;&gt;"manual",$M420&lt;&gt;1)),
IF(Import.TipoArredondamento&lt;&gt;"TransfereGOV",
ROUND(OFFSET($P420,0,AS$13),15-13*ORÇAMENTO!$AF$7)/$H420*OFFSET(ORÇAMENTO!$X$15,ROW(AS420)-ROW(AS$15),0),
ROUND(ROUND(OFFSET($P420,0,AS$13),15-13*ORÇAMENTO!$AF$7)*OFFSET(ORÇAMENTO!$W$15,ROW(AS420)-ROW(AS$15),0),15-13*ORÇAMENTO!$AF$11)),0)</f>
        <v>0</v>
      </c>
      <c r="AT420" s="545">
        <f ca="1">IF(AND($D420="Serviço",AT$12&lt;&gt;0,$H420&gt;0,OR(AUTOEVENTO&lt;&gt;"manual",$M420&lt;&gt;1)),
IF(Import.TipoArredondamento&lt;&gt;"TransfereGOV",
ROUND(OFFSET($P420,0,AT$13),15-13*ORÇAMENTO!$AF$7)/$H420*OFFSET(ORÇAMENTO!$X$15,ROW(AT420)-ROW(AT$15),0),
ROUND(ROUND(OFFSET($P420,0,AT$13),15-13*ORÇAMENTO!$AF$7)*OFFSET(ORÇAMENTO!$W$15,ROW(AT420)-ROW(AT$15),0),15-13*ORÇAMENTO!$AF$11)),0)</f>
        <v>0</v>
      </c>
      <c r="AU420" s="545">
        <f ca="1">IF(AND($D420="Serviço",AU$12&lt;&gt;0,$H420&gt;0,OR(AUTOEVENTO&lt;&gt;"manual",$M420&lt;&gt;1)),
IF(Import.TipoArredondamento&lt;&gt;"TransfereGOV",
ROUND(OFFSET($P420,0,AU$13),15-13*ORÇAMENTO!$AF$7)/$H420*OFFSET(ORÇAMENTO!$X$15,ROW(AU420)-ROW(AU$15),0),
ROUND(ROUND(OFFSET($P420,0,AU$13),15-13*ORÇAMENTO!$AF$7)*OFFSET(ORÇAMENTO!$W$15,ROW(AU420)-ROW(AU$15),0),15-13*ORÇAMENTO!$AF$11)),0)</f>
        <v>0</v>
      </c>
      <c r="AV420" s="545">
        <f ca="1">IF(AND($D420="Serviço",AV$12&lt;&gt;0,$H420&gt;0,OR(AUTOEVENTO&lt;&gt;"manual",$M420&lt;&gt;1)),
IF(Import.TipoArredondamento&lt;&gt;"TransfereGOV",
ROUND(OFFSET($P420,0,AV$13),15-13*ORÇAMENTO!$AF$7)/$H420*OFFSET(ORÇAMENTO!$X$15,ROW(AV420)-ROW(AV$15),0),
ROUND(ROUND(OFFSET($P420,0,AV$13),15-13*ORÇAMENTO!$AF$7)*OFFSET(ORÇAMENTO!$W$15,ROW(AV420)-ROW(AV$15),0),15-13*ORÇAMENTO!$AF$11)),0)</f>
        <v>0</v>
      </c>
      <c r="AW420" s="545">
        <f ca="1">IF(AND($D420="Serviço",AW$12&lt;&gt;0,$H420&gt;0,OR(AUTOEVENTO&lt;&gt;"manual",$M420&lt;&gt;1)),
IF(Import.TipoArredondamento&lt;&gt;"TransfereGOV",
ROUND(OFFSET($P420,0,AW$13),15-13*ORÇAMENTO!$AF$7)/$H420*OFFSET(ORÇAMENTO!$X$15,ROW(AW420)-ROW(AW$15),0),
ROUND(ROUND(OFFSET($P420,0,AW$13),15-13*ORÇAMENTO!$AF$7)*OFFSET(ORÇAMENTO!$W$15,ROW(AW420)-ROW(AW$15),0),15-13*ORÇAMENTO!$AF$11)),0)</f>
        <v>0</v>
      </c>
      <c r="AX420" s="545">
        <f ca="1">IF(AND($D420="Serviço",AX$12&lt;&gt;0,$H420&gt;0,OR(AUTOEVENTO&lt;&gt;"manual",$M420&lt;&gt;1)),
IF(Import.TipoArredondamento&lt;&gt;"TransfereGOV",
ROUND(OFFSET($P420,0,AX$13),15-13*ORÇAMENTO!$AF$7)/$H420*OFFSET(ORÇAMENTO!$X$15,ROW(AX420)-ROW(AX$15),0),
ROUND(ROUND(OFFSET($P420,0,AX$13),15-13*ORÇAMENTO!$AF$7)*OFFSET(ORÇAMENTO!$W$15,ROW(AX420)-ROW(AX$15),0),15-13*ORÇAMENTO!$AF$11)),0)</f>
        <v>0</v>
      </c>
      <c r="AY420" s="545">
        <f ca="1">IF(AND($D420="Serviço",AY$12&lt;&gt;0,$H420&gt;0,OR(AUTOEVENTO&lt;&gt;"manual",$M420&lt;&gt;1)),
IF(Import.TipoArredondamento&lt;&gt;"TransfereGOV",
ROUND(OFFSET($P420,0,AY$13),15-13*ORÇAMENTO!$AF$7)/$H420*OFFSET(ORÇAMENTO!$X$15,ROW(AY420)-ROW(AY$15),0),
ROUND(ROUND(OFFSET($P420,0,AY$13),15-13*ORÇAMENTO!$AF$7)*OFFSET(ORÇAMENTO!$W$15,ROW(AY420)-ROW(AY$15),0),15-13*ORÇAMENTO!$AF$11)),0)</f>
        <v>0</v>
      </c>
      <c r="AZ420" s="545">
        <f ca="1">IF(AND($D420="Serviço",AZ$12&lt;&gt;0,$H420&gt;0,OR(AUTOEVENTO&lt;&gt;"manual",$M420&lt;&gt;1)),
IF(Import.TipoArredondamento&lt;&gt;"TransfereGOV",
ROUND(OFFSET($P420,0,AZ$13),15-13*ORÇAMENTO!$AF$7)/$H420*OFFSET(ORÇAMENTO!$X$15,ROW(AZ420)-ROW(AZ$15),0),
ROUND(ROUND(OFFSET($P420,0,AZ$13),15-13*ORÇAMENTO!$AF$7)*OFFSET(ORÇAMENTO!$W$15,ROW(AZ420)-ROW(AZ$15),0),15-13*ORÇAMENTO!$AF$11)),0)</f>
        <v>0</v>
      </c>
      <c r="BA420" s="546">
        <f ca="1">IF(AND($D420="Serviço",BA$12&lt;&gt;0,$H420&gt;0,OR(AUTOEVENTO&lt;&gt;"manual",$M420&lt;&gt;1)),
IF(Import.TipoArredondamento&lt;&gt;"TransfereGOV",
ROUND(OFFSET($P420,0,BA$13),15-13*ORÇAMENTO!$AF$7)/$H420*OFFSET(ORÇAMENTO!$X$15,ROW(BA420)-ROW(BA$15),0),
ROUND(ROUND(OFFSET($P420,0,BA$13),15-13*ORÇAMENTO!$AF$7)*OFFSET(ORÇAMENTO!$W$15,ROW(BA420)-ROW(BA$15),0),15-13*ORÇAMENTO!$AF$11)),0)</f>
        <v>0</v>
      </c>
      <c r="BC420" s="181">
        <f ca="1">IF($D420&lt;&gt;"Serviço",0,IF(AND(AUTOEVENTO="Manual",$M420=1),0,IF(OFFSET(CRONOPLE!$F$14,$M420,BC$13)="",10^12,OFFSET(CRONOPLE!$F$14,$M420,BC$13))))</f>
        <v>10</v>
      </c>
      <c r="BD420" s="181">
        <f ca="1">IF($D420&lt;&gt;"Serviço",0,IF(AND(AUTOEVENTO="Manual",$M420=1),0,IF(OFFSET(CRONOPLE!$F$14,$M420,BD$13)="",10^12,OFFSET(CRONOPLE!$F$14,$M420,BD$13))))</f>
        <v>1000000000000</v>
      </c>
      <c r="BE420" s="181">
        <f ca="1">IF($D420&lt;&gt;"Serviço",0,IF(AND(AUTOEVENTO="Manual",$M420=1),0,IF(OFFSET(CRONOPLE!$F$14,$M420,BE$13)="",10^12,OFFSET(CRONOPLE!$F$14,$M420,BE$13))))</f>
        <v>1000000000000</v>
      </c>
      <c r="BF420" s="181">
        <f ca="1">IF($D420&lt;&gt;"Serviço",0,IF(AND(AUTOEVENTO="Manual",$M420=1),0,IF(OFFSET(CRONOPLE!$F$14,$M420,BF$13)="",10^12,OFFSET(CRONOPLE!$F$14,$M420,BF$13))))</f>
        <v>1000000000000</v>
      </c>
      <c r="BG420" s="181">
        <f ca="1">IF($D420&lt;&gt;"Serviço",0,IF(AND(AUTOEVENTO="Manual",$M420=1),0,IF(OFFSET(CRONOPLE!$F$14,$M420,BG$13)="",10^12,OFFSET(CRONOPLE!$F$14,$M420,BG$13))))</f>
        <v>1000000000000</v>
      </c>
      <c r="BH420" s="181">
        <f ca="1">IF($D420&lt;&gt;"Serviço",0,IF(AND(AUTOEVENTO="Manual",$M420=1),0,IF(OFFSET(CRONOPLE!$F$14,$M420,BH$13)="",10^12,OFFSET(CRONOPLE!$F$14,$M420,BH$13))))</f>
        <v>1000000000000</v>
      </c>
      <c r="BI420" s="181">
        <f ca="1">IF($D420&lt;&gt;"Serviço",0,IF(AND(AUTOEVENTO="Manual",$M420=1),0,IF(OFFSET(CRONOPLE!$F$14,$M420,BI$13)="",10^12,OFFSET(CRONOPLE!$F$14,$M420,BI$13))))</f>
        <v>1000000000000</v>
      </c>
      <c r="BJ420" s="181">
        <f ca="1">IF($D420&lt;&gt;"Serviço",0,IF(AND(AUTOEVENTO="Manual",$M420=1),0,IF(OFFSET(CRONOPLE!$F$14,$M420,BJ$13)="",10^12,OFFSET(CRONOPLE!$F$14,$M420,BJ$13))))</f>
        <v>1000000000000</v>
      </c>
      <c r="BK420" s="181">
        <f ca="1">IF($D420&lt;&gt;"Serviço",0,IF(AND(AUTOEVENTO="Manual",$M420=1),0,IF(OFFSET(CRONOPLE!$F$14,$M420,BK$13)="",10^12,OFFSET(CRONOPLE!$F$14,$M420,BK$13))))</f>
        <v>1000000000000</v>
      </c>
      <c r="BL420" s="181">
        <f ca="1">IF($D420&lt;&gt;"Serviço",0,IF(AND(AUTOEVENTO="Manual",$M420=1),0,IF(OFFSET(CRONOPLE!$F$14,$M420,BL$13)="",10^12,OFFSET(CRONOPLE!$F$14,$M420,BL$13))))</f>
        <v>1000000000000</v>
      </c>
      <c r="BM420" s="181">
        <f ca="1">IF($D420&lt;&gt;"Serviço",0,IF(AND(AUTOEVENTO="Manual",$M420=1),0,IF(OFFSET(CRONOPLE!$F$14,$M420,BM$13)="",10^12,OFFSET(CRONOPLE!$F$14,$M420,BM$13))))</f>
        <v>1000000000000</v>
      </c>
      <c r="BN420" s="181">
        <f ca="1">IF($D420&lt;&gt;"Serviço",0,IF(AND(AUTOEVENTO="Manual",$M420=1),0,IF(OFFSET(CRONOPLE!$F$14,$M420,BN$13)="",10^12,OFFSET(CRONOPLE!$F$14,$M420,BN$13))))</f>
        <v>1000000000000</v>
      </c>
      <c r="BO420" s="181">
        <f ca="1">IF($D420&lt;&gt;"Serviço",0,IF(AND(AUTOEVENTO="Manual",$M420=1),0,IF(OFFSET(CRONOPLE!$F$14,$M420,BO$13)="",10^12,OFFSET(CRONOPLE!$F$14,$M420,BO$13))))</f>
        <v>1000000000000</v>
      </c>
      <c r="BP420" s="181">
        <f ca="1">IF($D420&lt;&gt;"Serviço",0,IF(AND(AUTOEVENTO="Manual",$M420=1),0,IF(OFFSET(CRONOPLE!$F$14,$M420,BP$13)="",10^12,OFFSET(CRONOPLE!$F$14,$M420,BP$13))))</f>
        <v>1000000000000</v>
      </c>
      <c r="BQ420" s="181">
        <f ca="1">IF($D420&lt;&gt;"Serviço",0,IF(AND(AUTOEVENTO="Manual",$M420=1),0,IF(OFFSET(CRONOPLE!$F$14,$M420,BQ$13)="",10^12,OFFSET(CRONOPLE!$F$14,$M420,BQ$13))))</f>
        <v>1000000000000</v>
      </c>
      <c r="BR420" s="181">
        <f ca="1">IF($D420&lt;&gt;"Serviço",0,IF(AND(AUTOEVENTO="Manual",$M420=1),0,IF(OFFSET(CRONOPLE!$F$14,$M420,BR$13)="",10^12,OFFSET(CRONOPLE!$F$14,$M420,BR$13))))</f>
        <v>1000000000000</v>
      </c>
      <c r="BS420" s="181">
        <f ca="1">IF($D420&lt;&gt;"Serviço",0,IF(AND(AUTOEVENTO="Manual",$M420=1),0,IF(OFFSET(CRONOPLE!$F$14,$M420,BS$13)="",10^12,OFFSET(CRONOPLE!$F$14,$M420,BS$13))))</f>
        <v>1000000000000</v>
      </c>
      <c r="BT420" s="181">
        <f ca="1">IF($D420&lt;&gt;"Serviço",0,IF(AND(AUTOEVENTO="Manual",$M420=1),0,IF(OFFSET(CRONOPLE!$F$14,$M420,BT$13)="",10^12,OFFSET(CRONOPLE!$F$14,$M420,BT$13))))</f>
        <v>1000000000000</v>
      </c>
      <c r="BV420" s="182">
        <f ca="1">IF($D420&lt;&gt;"Serviço",0,IF(OR(AND(AUTOEVENTO="Manual",$M420=1),$M420&gt;(ROW(PLE.lastrow)-ROW(PLE.firstrow))),0,IF(OFFSET(PLE!$G$14,$M420,BV$13)="",10^12,OFFSET(PLE!$G$14,$M420,BV$13))))</f>
        <v>1000000000000</v>
      </c>
      <c r="BW420" s="182">
        <f ca="1">IF($D420&lt;&gt;"Serviço",0,IF(OR(AND(AUTOEVENTO="Manual",$M420=1),$M420&gt;(ROW(PLE.lastrow)-ROW(PLE.firstrow))),0,IF(OFFSET(PLE!$G$14,$M420,BW$13)="",10^12,OFFSET(PLE!$G$14,$M420,BW$13))))</f>
        <v>1000000000000</v>
      </c>
      <c r="BX420" s="182">
        <f ca="1">IF($D420&lt;&gt;"Serviço",0,IF(OR(AND(AUTOEVENTO="Manual",$M420=1),$M420&gt;(ROW(PLE.lastrow)-ROW(PLE.firstrow))),0,IF(OFFSET(PLE!$G$14,$M420,BX$13)="",10^12,OFFSET(PLE!$G$14,$M420,BX$13))))</f>
        <v>1000000000000</v>
      </c>
      <c r="BY420" s="182">
        <f ca="1">IF($D420&lt;&gt;"Serviço",0,IF(OR(AND(AUTOEVENTO="Manual",$M420=1),$M420&gt;(ROW(PLE.lastrow)-ROW(PLE.firstrow))),0,IF(OFFSET(PLE!$G$14,$M420,BY$13)="",10^12,OFFSET(PLE!$G$14,$M420,BY$13))))</f>
        <v>1000000000000</v>
      </c>
      <c r="BZ420" s="182">
        <f ca="1">IF($D420&lt;&gt;"Serviço",0,IF(OR(AND(AUTOEVENTO="Manual",$M420=1),$M420&gt;(ROW(PLE.lastrow)-ROW(PLE.firstrow))),0,IF(OFFSET(PLE!$G$14,$M420,BZ$13)="",10^12,OFFSET(PLE!$G$14,$M420,BZ$13))))</f>
        <v>1000000000000</v>
      </c>
      <c r="CA420" s="182">
        <f ca="1">IF($D420&lt;&gt;"Serviço",0,IF(OR(AND(AUTOEVENTO="Manual",$M420=1),$M420&gt;(ROW(PLE.lastrow)-ROW(PLE.firstrow))),0,IF(OFFSET(PLE!$G$14,$M420,CA$13)="",10^12,OFFSET(PLE!$G$14,$M420,CA$13))))</f>
        <v>1000000000000</v>
      </c>
      <c r="CB420" s="182">
        <f ca="1">IF($D420&lt;&gt;"Serviço",0,IF(OR(AND(AUTOEVENTO="Manual",$M420=1),$M420&gt;(ROW(PLE.lastrow)-ROW(PLE.firstrow))),0,IF(OFFSET(PLE!$G$14,$M420,CB$13)="",10^12,OFFSET(PLE!$G$14,$M420,CB$13))))</f>
        <v>1000000000000</v>
      </c>
      <c r="CC420" s="182">
        <f ca="1">IF($D420&lt;&gt;"Serviço",0,IF(OR(AND(AUTOEVENTO="Manual",$M420=1),$M420&gt;(ROW(PLE.lastrow)-ROW(PLE.firstrow))),0,IF(OFFSET(PLE!$G$14,$M420,CC$13)="",10^12,OFFSET(PLE!$G$14,$M420,CC$13))))</f>
        <v>1000000000000</v>
      </c>
      <c r="CD420" s="182">
        <f ca="1">IF($D420&lt;&gt;"Serviço",0,IF(OR(AND(AUTOEVENTO="Manual",$M420=1),$M420&gt;(ROW(PLE.lastrow)-ROW(PLE.firstrow))),0,IF(OFFSET(PLE!$G$14,$M420,CD$13)="",10^12,OFFSET(PLE!$G$14,$M420,CD$13))))</f>
        <v>1000000000000</v>
      </c>
      <c r="CE420" s="182">
        <f ca="1">IF($D420&lt;&gt;"Serviço",0,IF(OR(AND(AUTOEVENTO="Manual",$M420=1),$M420&gt;(ROW(PLE.lastrow)-ROW(PLE.firstrow))),0,IF(OFFSET(PLE!$G$14,$M420,CE$13)="",10^12,OFFSET(PLE!$G$14,$M420,CE$13))))</f>
        <v>1000000000000</v>
      </c>
      <c r="CF420" s="182">
        <f ca="1">IF($D420&lt;&gt;"Serviço",0,IF(OR(AND(AUTOEVENTO="Manual",$M420=1),$M420&gt;(ROW(PLE.lastrow)-ROW(PLE.firstrow))),0,IF(OFFSET(PLE!$G$14,$M420,CF$13)="",10^12,OFFSET(PLE!$G$14,$M420,CF$13))))</f>
        <v>1000000000000</v>
      </c>
      <c r="CG420" s="182">
        <f ca="1">IF($D420&lt;&gt;"Serviço",0,IF(OR(AND(AUTOEVENTO="Manual",$M420=1),$M420&gt;(ROW(PLE.lastrow)-ROW(PLE.firstrow))),0,IF(OFFSET(PLE!$G$14,$M420,CG$13)="",10^12,OFFSET(PLE!$G$14,$M420,CG$13))))</f>
        <v>1000000000000</v>
      </c>
      <c r="CH420" s="182">
        <f ca="1">IF($D420&lt;&gt;"Serviço",0,IF(OR(AND(AUTOEVENTO="Manual",$M420=1),$M420&gt;(ROW(PLE.lastrow)-ROW(PLE.firstrow))),0,IF(OFFSET(PLE!$G$14,$M420,CH$13)="",10^12,OFFSET(PLE!$G$14,$M420,CH$13))))</f>
        <v>1000000000000</v>
      </c>
      <c r="CI420" s="182">
        <f ca="1">IF($D420&lt;&gt;"Serviço",0,IF(OR(AND(AUTOEVENTO="Manual",$M420=1),$M420&gt;(ROW(PLE.lastrow)-ROW(PLE.firstrow))),0,IF(OFFSET(PLE!$G$14,$M420,CI$13)="",10^12,OFFSET(PLE!$G$14,$M420,CI$13))))</f>
        <v>1000000000000</v>
      </c>
      <c r="CJ420" s="182">
        <f ca="1">IF($D420&lt;&gt;"Serviço",0,IF(OR(AND(AUTOEVENTO="Manual",$M420=1),$M420&gt;(ROW(PLE.lastrow)-ROW(PLE.firstrow))),0,IF(OFFSET(PLE!$G$14,$M420,CJ$13)="",10^12,OFFSET(PLE!$G$14,$M420,CJ$13))))</f>
        <v>1000000000000</v>
      </c>
      <c r="CK420" s="182">
        <f ca="1">IF($D420&lt;&gt;"Serviço",0,IF(OR(AND(AUTOEVENTO="Manual",$M420=1),$M420&gt;(ROW(PLE.lastrow)-ROW(PLE.firstrow))),0,IF(OFFSET(PLE!$G$14,$M420,CK$13)="",10^12,OFFSET(PLE!$G$14,$M420,CK$13))))</f>
        <v>1000000000000</v>
      </c>
      <c r="CL420" s="182">
        <f ca="1">IF($D420&lt;&gt;"Serviço",0,IF(OR(AND(AUTOEVENTO="Manual",$M420=1),$M420&gt;(ROW(PLE.lastrow)-ROW(PLE.firstrow))),0,IF(OFFSET(PLE!$G$14,$M420,CL$13)="",10^12,OFFSET(PLE!$G$14,$M420,CL$13))))</f>
        <v>1000000000000</v>
      </c>
      <c r="CM420" s="182">
        <f ca="1">IF($D420&lt;&gt;"Serviço",0,IF(OR(AND(AUTOEVENTO="Manual",$M420=1),$M420&gt;(ROW(PLE.lastrow)-ROW(PLE.firstrow))),0,IF(OFFSET(PLE!$G$14,$M420,CM$13)="",10^12,OFFSET(PLE!$G$14,$M420,CM$13))))</f>
        <v>1000000000000</v>
      </c>
    </row>
    <row r="421" spans="1:91" ht="12.75" x14ac:dyDescent="0.2">
      <c r="A421" s="7" t="str">
        <f t="shared" ca="1" si="14"/>
        <v>406.</v>
      </c>
      <c r="B421" s="7">
        <f ca="1">OFFSET(ORÇAMENTO!C$15,ROW(B421)-ROW(B$15),0)</f>
        <v>2</v>
      </c>
      <c r="C421" s="7" t="str">
        <f ca="1">OFFSET(ORÇAMENTO!L$15,ROW(C421)-ROW(C$15),0)</f>
        <v>F</v>
      </c>
      <c r="D421" s="118" t="str">
        <f ca="1">OFFSET(ORÇAMENTO!N$15,ROW(D421)-ROW(D$15),0)</f>
        <v>Nível 2</v>
      </c>
      <c r="E421" s="119" t="str">
        <f ca="1">OFFSET(ORÇAMENTO!O$15,ROW(E421)-ROW(E$15),0)</f>
        <v>1.47.</v>
      </c>
      <c r="F421" s="172" t="str">
        <f ca="1">OFFSET(ORÇAMENTO!R$15,ROW(F421)-ROW(F$15),0)</f>
        <v>SISTEMA DE PROTEÇÃO CONTRA INCÊNDIO - ACESSÓRIOS</v>
      </c>
      <c r="G421" s="173" t="str">
        <f ca="1">IF($D421&lt;&gt;"Serviço","",OFFSET(ORÇAMENTO!S$15,ROW(G421)-ROW(G$15),0))</f>
        <v/>
      </c>
      <c r="H421" s="124">
        <f ca="1">IF($D421&lt;&gt;"Serviço",0,IF(ACOMPANHAMENTO="BM",ROUND(OFFSET(ORÇAMENTO!AJ$15,ROW(H421)-ROW(H$15),0),15-13*ORÇAMENTO!$AF$7),SUMPRODUCT(($Q$12:$AI$12&lt;&gt;"")*ROUND($Q421:$AI421,15-13*ORÇAMENTO!$AF$7))))</f>
        <v>0</v>
      </c>
      <c r="I421" s="561"/>
      <c r="K421" s="174"/>
      <c r="L421" s="175" t="s">
        <v>255</v>
      </c>
      <c r="M421" s="176" t="str">
        <f ca="1">IF($D421&lt;&gt;"Serviço","",IF(AUTOEVENTO="manual",$A421,IF(ISERROR(MATCH($A421,$A$15:OFFSET($A421,-1,0),0)),MAX($M$15:OFFSET(M421,-1,0))+1,INDEX($M$15:OFFSET(M421,-1,0),MATCH($A421,$A$15:OFFSET($A421,-1,0),0)))))</f>
        <v/>
      </c>
      <c r="N421" s="177" t="str">
        <f ca="1">IF($D421&lt;&gt;"Serviço","",IF(AUTOEVENTO="Manual",IF($A421=0,"&lt;-- defina o número do agrupador",OFFSET(EVENTOS!$D$14,$A421,0)),OFFSET($F$15,$A421,0)))</f>
        <v/>
      </c>
      <c r="O421" s="178"/>
      <c r="Q421" s="178">
        <v>0</v>
      </c>
      <c r="R421" s="179"/>
      <c r="S421" s="179"/>
      <c r="T421" s="179"/>
      <c r="U421" s="179"/>
      <c r="V421" s="179"/>
      <c r="W421" s="179"/>
      <c r="X421" s="179"/>
      <c r="Y421" s="179"/>
      <c r="Z421" s="180"/>
      <c r="AA421" s="179"/>
      <c r="AB421" s="179"/>
      <c r="AC421" s="179"/>
      <c r="AD421" s="179"/>
      <c r="AE421" s="179"/>
      <c r="AF421" s="179"/>
      <c r="AG421" s="179"/>
      <c r="AH421" s="180"/>
      <c r="AJ421" s="544">
        <f ca="1">IF(AND($D421="Serviço",AJ$12&lt;&gt;0,$H421&gt;0,OR(AUTOEVENTO&lt;&gt;"manual",$M421&lt;&gt;1)),
IF(Import.TipoArredondamento&lt;&gt;"TransfereGOV",
ROUND(OFFSET($P421,0,AJ$13),15-13*ORÇAMENTO!$AF$7)/$H421*OFFSET(ORÇAMENTO!$X$15,ROW(AJ421)-ROW(AJ$15),0),
ROUND(ROUND(OFFSET($P421,0,AJ$13),15-13*ORÇAMENTO!$AF$7)*OFFSET(ORÇAMENTO!$W$15,ROW(AJ421)-ROW(AJ$15),0),15-13*ORÇAMENTO!$AF$11)),0)</f>
        <v>0</v>
      </c>
      <c r="AK421" s="545">
        <f ca="1">IF(AND($D421="Serviço",AK$12&lt;&gt;0,$H421&gt;0,OR(AUTOEVENTO&lt;&gt;"manual",$M421&lt;&gt;1)),
IF(Import.TipoArredondamento&lt;&gt;"TransfereGOV",
ROUND(OFFSET($P421,0,AK$13),15-13*ORÇAMENTO!$AF$7)/$H421*OFFSET(ORÇAMENTO!$X$15,ROW(AK421)-ROW(AK$15),0),
ROUND(ROUND(OFFSET($P421,0,AK$13),15-13*ORÇAMENTO!$AF$7)*OFFSET(ORÇAMENTO!$W$15,ROW(AK421)-ROW(AK$15),0),15-13*ORÇAMENTO!$AF$11)),0)</f>
        <v>0</v>
      </c>
      <c r="AL421" s="545">
        <f ca="1">IF(AND($D421="Serviço",AL$12&lt;&gt;0,$H421&gt;0,OR(AUTOEVENTO&lt;&gt;"manual",$M421&lt;&gt;1)),
IF(Import.TipoArredondamento&lt;&gt;"TransfereGOV",
ROUND(OFFSET($P421,0,AL$13),15-13*ORÇAMENTO!$AF$7)/$H421*OFFSET(ORÇAMENTO!$X$15,ROW(AL421)-ROW(AL$15),0),
ROUND(ROUND(OFFSET($P421,0,AL$13),15-13*ORÇAMENTO!$AF$7)*OFFSET(ORÇAMENTO!$W$15,ROW(AL421)-ROW(AL$15),0),15-13*ORÇAMENTO!$AF$11)),0)</f>
        <v>0</v>
      </c>
      <c r="AM421" s="545">
        <f ca="1">IF(AND($D421="Serviço",AM$12&lt;&gt;0,$H421&gt;0,OR(AUTOEVENTO&lt;&gt;"manual",$M421&lt;&gt;1)),
IF(Import.TipoArredondamento&lt;&gt;"TransfereGOV",
ROUND(OFFSET($P421,0,AM$13),15-13*ORÇAMENTO!$AF$7)/$H421*OFFSET(ORÇAMENTO!$X$15,ROW(AM421)-ROW(AM$15),0),
ROUND(ROUND(OFFSET($P421,0,AM$13),15-13*ORÇAMENTO!$AF$7)*OFFSET(ORÇAMENTO!$W$15,ROW(AM421)-ROW(AM$15),0),15-13*ORÇAMENTO!$AF$11)),0)</f>
        <v>0</v>
      </c>
      <c r="AN421" s="545">
        <f ca="1">IF(AND($D421="Serviço",AN$12&lt;&gt;0,$H421&gt;0,OR(AUTOEVENTO&lt;&gt;"manual",$M421&lt;&gt;1)),
IF(Import.TipoArredondamento&lt;&gt;"TransfereGOV",
ROUND(OFFSET($P421,0,AN$13),15-13*ORÇAMENTO!$AF$7)/$H421*OFFSET(ORÇAMENTO!$X$15,ROW(AN421)-ROW(AN$15),0),
ROUND(ROUND(OFFSET($P421,0,AN$13),15-13*ORÇAMENTO!$AF$7)*OFFSET(ORÇAMENTO!$W$15,ROW(AN421)-ROW(AN$15),0),15-13*ORÇAMENTO!$AF$11)),0)</f>
        <v>0</v>
      </c>
      <c r="AO421" s="545">
        <f ca="1">IF(AND($D421="Serviço",AO$12&lt;&gt;0,$H421&gt;0,OR(AUTOEVENTO&lt;&gt;"manual",$M421&lt;&gt;1)),
IF(Import.TipoArredondamento&lt;&gt;"TransfereGOV",
ROUND(OFFSET($P421,0,AO$13),15-13*ORÇAMENTO!$AF$7)/$H421*OFFSET(ORÇAMENTO!$X$15,ROW(AO421)-ROW(AO$15),0),
ROUND(ROUND(OFFSET($P421,0,AO$13),15-13*ORÇAMENTO!$AF$7)*OFFSET(ORÇAMENTO!$W$15,ROW(AO421)-ROW(AO$15),0),15-13*ORÇAMENTO!$AF$11)),0)</f>
        <v>0</v>
      </c>
      <c r="AP421" s="545">
        <f ca="1">IF(AND($D421="Serviço",AP$12&lt;&gt;0,$H421&gt;0,OR(AUTOEVENTO&lt;&gt;"manual",$M421&lt;&gt;1)),
IF(Import.TipoArredondamento&lt;&gt;"TransfereGOV",
ROUND(OFFSET($P421,0,AP$13),15-13*ORÇAMENTO!$AF$7)/$H421*OFFSET(ORÇAMENTO!$X$15,ROW(AP421)-ROW(AP$15),0),
ROUND(ROUND(OFFSET($P421,0,AP$13),15-13*ORÇAMENTO!$AF$7)*OFFSET(ORÇAMENTO!$W$15,ROW(AP421)-ROW(AP$15),0),15-13*ORÇAMENTO!$AF$11)),0)</f>
        <v>0</v>
      </c>
      <c r="AQ421" s="545">
        <f ca="1">IF(AND($D421="Serviço",AQ$12&lt;&gt;0,$H421&gt;0,OR(AUTOEVENTO&lt;&gt;"manual",$M421&lt;&gt;1)),
IF(Import.TipoArredondamento&lt;&gt;"TransfereGOV",
ROUND(OFFSET($P421,0,AQ$13),15-13*ORÇAMENTO!$AF$7)/$H421*OFFSET(ORÇAMENTO!$X$15,ROW(AQ421)-ROW(AQ$15),0),
ROUND(ROUND(OFFSET($P421,0,AQ$13),15-13*ORÇAMENTO!$AF$7)*OFFSET(ORÇAMENTO!$W$15,ROW(AQ421)-ROW(AQ$15),0),15-13*ORÇAMENTO!$AF$11)),0)</f>
        <v>0</v>
      </c>
      <c r="AR421" s="545">
        <f ca="1">IF(AND($D421="Serviço",AR$12&lt;&gt;0,$H421&gt;0,OR(AUTOEVENTO&lt;&gt;"manual",$M421&lt;&gt;1)),
IF(Import.TipoArredondamento&lt;&gt;"TransfereGOV",
ROUND(OFFSET($P421,0,AR$13),15-13*ORÇAMENTO!$AF$7)/$H421*OFFSET(ORÇAMENTO!$X$15,ROW(AR421)-ROW(AR$15),0),
ROUND(ROUND(OFFSET($P421,0,AR$13),15-13*ORÇAMENTO!$AF$7)*OFFSET(ORÇAMENTO!$W$15,ROW(AR421)-ROW(AR$15),0),15-13*ORÇAMENTO!$AF$11)),0)</f>
        <v>0</v>
      </c>
      <c r="AS421" s="546">
        <f ca="1">IF(AND($D421="Serviço",AS$12&lt;&gt;0,$H421&gt;0,OR(AUTOEVENTO&lt;&gt;"manual",$M421&lt;&gt;1)),
IF(Import.TipoArredondamento&lt;&gt;"TransfereGOV",
ROUND(OFFSET($P421,0,AS$13),15-13*ORÇAMENTO!$AF$7)/$H421*OFFSET(ORÇAMENTO!$X$15,ROW(AS421)-ROW(AS$15),0),
ROUND(ROUND(OFFSET($P421,0,AS$13),15-13*ORÇAMENTO!$AF$7)*OFFSET(ORÇAMENTO!$W$15,ROW(AS421)-ROW(AS$15),0),15-13*ORÇAMENTO!$AF$11)),0)</f>
        <v>0</v>
      </c>
      <c r="AT421" s="545">
        <f ca="1">IF(AND($D421="Serviço",AT$12&lt;&gt;0,$H421&gt;0,OR(AUTOEVENTO&lt;&gt;"manual",$M421&lt;&gt;1)),
IF(Import.TipoArredondamento&lt;&gt;"TransfereGOV",
ROUND(OFFSET($P421,0,AT$13),15-13*ORÇAMENTO!$AF$7)/$H421*OFFSET(ORÇAMENTO!$X$15,ROW(AT421)-ROW(AT$15),0),
ROUND(ROUND(OFFSET($P421,0,AT$13),15-13*ORÇAMENTO!$AF$7)*OFFSET(ORÇAMENTO!$W$15,ROW(AT421)-ROW(AT$15),0),15-13*ORÇAMENTO!$AF$11)),0)</f>
        <v>0</v>
      </c>
      <c r="AU421" s="545">
        <f ca="1">IF(AND($D421="Serviço",AU$12&lt;&gt;0,$H421&gt;0,OR(AUTOEVENTO&lt;&gt;"manual",$M421&lt;&gt;1)),
IF(Import.TipoArredondamento&lt;&gt;"TransfereGOV",
ROUND(OFFSET($P421,0,AU$13),15-13*ORÇAMENTO!$AF$7)/$H421*OFFSET(ORÇAMENTO!$X$15,ROW(AU421)-ROW(AU$15),0),
ROUND(ROUND(OFFSET($P421,0,AU$13),15-13*ORÇAMENTO!$AF$7)*OFFSET(ORÇAMENTO!$W$15,ROW(AU421)-ROW(AU$15),0),15-13*ORÇAMENTO!$AF$11)),0)</f>
        <v>0</v>
      </c>
      <c r="AV421" s="545">
        <f ca="1">IF(AND($D421="Serviço",AV$12&lt;&gt;0,$H421&gt;0,OR(AUTOEVENTO&lt;&gt;"manual",$M421&lt;&gt;1)),
IF(Import.TipoArredondamento&lt;&gt;"TransfereGOV",
ROUND(OFFSET($P421,0,AV$13),15-13*ORÇAMENTO!$AF$7)/$H421*OFFSET(ORÇAMENTO!$X$15,ROW(AV421)-ROW(AV$15),0),
ROUND(ROUND(OFFSET($P421,0,AV$13),15-13*ORÇAMENTO!$AF$7)*OFFSET(ORÇAMENTO!$W$15,ROW(AV421)-ROW(AV$15),0),15-13*ORÇAMENTO!$AF$11)),0)</f>
        <v>0</v>
      </c>
      <c r="AW421" s="545">
        <f ca="1">IF(AND($D421="Serviço",AW$12&lt;&gt;0,$H421&gt;0,OR(AUTOEVENTO&lt;&gt;"manual",$M421&lt;&gt;1)),
IF(Import.TipoArredondamento&lt;&gt;"TransfereGOV",
ROUND(OFFSET($P421,0,AW$13),15-13*ORÇAMENTO!$AF$7)/$H421*OFFSET(ORÇAMENTO!$X$15,ROW(AW421)-ROW(AW$15),0),
ROUND(ROUND(OFFSET($P421,0,AW$13),15-13*ORÇAMENTO!$AF$7)*OFFSET(ORÇAMENTO!$W$15,ROW(AW421)-ROW(AW$15),0),15-13*ORÇAMENTO!$AF$11)),0)</f>
        <v>0</v>
      </c>
      <c r="AX421" s="545">
        <f ca="1">IF(AND($D421="Serviço",AX$12&lt;&gt;0,$H421&gt;0,OR(AUTOEVENTO&lt;&gt;"manual",$M421&lt;&gt;1)),
IF(Import.TipoArredondamento&lt;&gt;"TransfereGOV",
ROUND(OFFSET($P421,0,AX$13),15-13*ORÇAMENTO!$AF$7)/$H421*OFFSET(ORÇAMENTO!$X$15,ROW(AX421)-ROW(AX$15),0),
ROUND(ROUND(OFFSET($P421,0,AX$13),15-13*ORÇAMENTO!$AF$7)*OFFSET(ORÇAMENTO!$W$15,ROW(AX421)-ROW(AX$15),0),15-13*ORÇAMENTO!$AF$11)),0)</f>
        <v>0</v>
      </c>
      <c r="AY421" s="545">
        <f ca="1">IF(AND($D421="Serviço",AY$12&lt;&gt;0,$H421&gt;0,OR(AUTOEVENTO&lt;&gt;"manual",$M421&lt;&gt;1)),
IF(Import.TipoArredondamento&lt;&gt;"TransfereGOV",
ROUND(OFFSET($P421,0,AY$13),15-13*ORÇAMENTO!$AF$7)/$H421*OFFSET(ORÇAMENTO!$X$15,ROW(AY421)-ROW(AY$15),0),
ROUND(ROUND(OFFSET($P421,0,AY$13),15-13*ORÇAMENTO!$AF$7)*OFFSET(ORÇAMENTO!$W$15,ROW(AY421)-ROW(AY$15),0),15-13*ORÇAMENTO!$AF$11)),0)</f>
        <v>0</v>
      </c>
      <c r="AZ421" s="545">
        <f ca="1">IF(AND($D421="Serviço",AZ$12&lt;&gt;0,$H421&gt;0,OR(AUTOEVENTO&lt;&gt;"manual",$M421&lt;&gt;1)),
IF(Import.TipoArredondamento&lt;&gt;"TransfereGOV",
ROUND(OFFSET($P421,0,AZ$13),15-13*ORÇAMENTO!$AF$7)/$H421*OFFSET(ORÇAMENTO!$X$15,ROW(AZ421)-ROW(AZ$15),0),
ROUND(ROUND(OFFSET($P421,0,AZ$13),15-13*ORÇAMENTO!$AF$7)*OFFSET(ORÇAMENTO!$W$15,ROW(AZ421)-ROW(AZ$15),0),15-13*ORÇAMENTO!$AF$11)),0)</f>
        <v>0</v>
      </c>
      <c r="BA421" s="546">
        <f ca="1">IF(AND($D421="Serviço",BA$12&lt;&gt;0,$H421&gt;0,OR(AUTOEVENTO&lt;&gt;"manual",$M421&lt;&gt;1)),
IF(Import.TipoArredondamento&lt;&gt;"TransfereGOV",
ROUND(OFFSET($P421,0,BA$13),15-13*ORÇAMENTO!$AF$7)/$H421*OFFSET(ORÇAMENTO!$X$15,ROW(BA421)-ROW(BA$15),0),
ROUND(ROUND(OFFSET($P421,0,BA$13),15-13*ORÇAMENTO!$AF$7)*OFFSET(ORÇAMENTO!$W$15,ROW(BA421)-ROW(BA$15),0),15-13*ORÇAMENTO!$AF$11)),0)</f>
        <v>0</v>
      </c>
      <c r="BC421" s="181">
        <f ca="1">IF($D421&lt;&gt;"Serviço",0,IF(AND(AUTOEVENTO="Manual",$M421=1),0,IF(OFFSET(CRONOPLE!$F$14,$M421,BC$13)="",10^12,OFFSET(CRONOPLE!$F$14,$M421,BC$13))))</f>
        <v>0</v>
      </c>
      <c r="BD421" s="181">
        <f ca="1">IF($D421&lt;&gt;"Serviço",0,IF(AND(AUTOEVENTO="Manual",$M421=1),0,IF(OFFSET(CRONOPLE!$F$14,$M421,BD$13)="",10^12,OFFSET(CRONOPLE!$F$14,$M421,BD$13))))</f>
        <v>0</v>
      </c>
      <c r="BE421" s="181">
        <f ca="1">IF($D421&lt;&gt;"Serviço",0,IF(AND(AUTOEVENTO="Manual",$M421=1),0,IF(OFFSET(CRONOPLE!$F$14,$M421,BE$13)="",10^12,OFFSET(CRONOPLE!$F$14,$M421,BE$13))))</f>
        <v>0</v>
      </c>
      <c r="BF421" s="181">
        <f ca="1">IF($D421&lt;&gt;"Serviço",0,IF(AND(AUTOEVENTO="Manual",$M421=1),0,IF(OFFSET(CRONOPLE!$F$14,$M421,BF$13)="",10^12,OFFSET(CRONOPLE!$F$14,$M421,BF$13))))</f>
        <v>0</v>
      </c>
      <c r="BG421" s="181">
        <f ca="1">IF($D421&lt;&gt;"Serviço",0,IF(AND(AUTOEVENTO="Manual",$M421=1),0,IF(OFFSET(CRONOPLE!$F$14,$M421,BG$13)="",10^12,OFFSET(CRONOPLE!$F$14,$M421,BG$13))))</f>
        <v>0</v>
      </c>
      <c r="BH421" s="181">
        <f ca="1">IF($D421&lt;&gt;"Serviço",0,IF(AND(AUTOEVENTO="Manual",$M421=1),0,IF(OFFSET(CRONOPLE!$F$14,$M421,BH$13)="",10^12,OFFSET(CRONOPLE!$F$14,$M421,BH$13))))</f>
        <v>0</v>
      </c>
      <c r="BI421" s="181">
        <f ca="1">IF($D421&lt;&gt;"Serviço",0,IF(AND(AUTOEVENTO="Manual",$M421=1),0,IF(OFFSET(CRONOPLE!$F$14,$M421,BI$13)="",10^12,OFFSET(CRONOPLE!$F$14,$M421,BI$13))))</f>
        <v>0</v>
      </c>
      <c r="BJ421" s="181">
        <f ca="1">IF($D421&lt;&gt;"Serviço",0,IF(AND(AUTOEVENTO="Manual",$M421=1),0,IF(OFFSET(CRONOPLE!$F$14,$M421,BJ$13)="",10^12,OFFSET(CRONOPLE!$F$14,$M421,BJ$13))))</f>
        <v>0</v>
      </c>
      <c r="BK421" s="181">
        <f ca="1">IF($D421&lt;&gt;"Serviço",0,IF(AND(AUTOEVENTO="Manual",$M421=1),0,IF(OFFSET(CRONOPLE!$F$14,$M421,BK$13)="",10^12,OFFSET(CRONOPLE!$F$14,$M421,BK$13))))</f>
        <v>0</v>
      </c>
      <c r="BL421" s="181">
        <f ca="1">IF($D421&lt;&gt;"Serviço",0,IF(AND(AUTOEVENTO="Manual",$M421=1),0,IF(OFFSET(CRONOPLE!$F$14,$M421,BL$13)="",10^12,OFFSET(CRONOPLE!$F$14,$M421,BL$13))))</f>
        <v>0</v>
      </c>
      <c r="BM421" s="181">
        <f ca="1">IF($D421&lt;&gt;"Serviço",0,IF(AND(AUTOEVENTO="Manual",$M421=1),0,IF(OFFSET(CRONOPLE!$F$14,$M421,BM$13)="",10^12,OFFSET(CRONOPLE!$F$14,$M421,BM$13))))</f>
        <v>0</v>
      </c>
      <c r="BN421" s="181">
        <f ca="1">IF($D421&lt;&gt;"Serviço",0,IF(AND(AUTOEVENTO="Manual",$M421=1),0,IF(OFFSET(CRONOPLE!$F$14,$M421,BN$13)="",10^12,OFFSET(CRONOPLE!$F$14,$M421,BN$13))))</f>
        <v>0</v>
      </c>
      <c r="BO421" s="181">
        <f ca="1">IF($D421&lt;&gt;"Serviço",0,IF(AND(AUTOEVENTO="Manual",$M421=1),0,IF(OFFSET(CRONOPLE!$F$14,$M421,BO$13)="",10^12,OFFSET(CRONOPLE!$F$14,$M421,BO$13))))</f>
        <v>0</v>
      </c>
      <c r="BP421" s="181">
        <f ca="1">IF($D421&lt;&gt;"Serviço",0,IF(AND(AUTOEVENTO="Manual",$M421=1),0,IF(OFFSET(CRONOPLE!$F$14,$M421,BP$13)="",10^12,OFFSET(CRONOPLE!$F$14,$M421,BP$13))))</f>
        <v>0</v>
      </c>
      <c r="BQ421" s="181">
        <f ca="1">IF($D421&lt;&gt;"Serviço",0,IF(AND(AUTOEVENTO="Manual",$M421=1),0,IF(OFFSET(CRONOPLE!$F$14,$M421,BQ$13)="",10^12,OFFSET(CRONOPLE!$F$14,$M421,BQ$13))))</f>
        <v>0</v>
      </c>
      <c r="BR421" s="181">
        <f ca="1">IF($D421&lt;&gt;"Serviço",0,IF(AND(AUTOEVENTO="Manual",$M421=1),0,IF(OFFSET(CRONOPLE!$F$14,$M421,BR$13)="",10^12,OFFSET(CRONOPLE!$F$14,$M421,BR$13))))</f>
        <v>0</v>
      </c>
      <c r="BS421" s="181">
        <f ca="1">IF($D421&lt;&gt;"Serviço",0,IF(AND(AUTOEVENTO="Manual",$M421=1),0,IF(OFFSET(CRONOPLE!$F$14,$M421,BS$13)="",10^12,OFFSET(CRONOPLE!$F$14,$M421,BS$13))))</f>
        <v>0</v>
      </c>
      <c r="BT421" s="181">
        <f ca="1">IF($D421&lt;&gt;"Serviço",0,IF(AND(AUTOEVENTO="Manual",$M421=1),0,IF(OFFSET(CRONOPLE!$F$14,$M421,BT$13)="",10^12,OFFSET(CRONOPLE!$F$14,$M421,BT$13))))</f>
        <v>0</v>
      </c>
      <c r="BV421" s="182">
        <f ca="1">IF($D421&lt;&gt;"Serviço",0,IF(OR(AND(AUTOEVENTO="Manual",$M421=1),$M421&gt;(ROW(PLE.lastrow)-ROW(PLE.firstrow))),0,IF(OFFSET(PLE!$G$14,$M421,BV$13)="",10^12,OFFSET(PLE!$G$14,$M421,BV$13))))</f>
        <v>0</v>
      </c>
      <c r="BW421" s="182">
        <f ca="1">IF($D421&lt;&gt;"Serviço",0,IF(OR(AND(AUTOEVENTO="Manual",$M421=1),$M421&gt;(ROW(PLE.lastrow)-ROW(PLE.firstrow))),0,IF(OFFSET(PLE!$G$14,$M421,BW$13)="",10^12,OFFSET(PLE!$G$14,$M421,BW$13))))</f>
        <v>0</v>
      </c>
      <c r="BX421" s="182">
        <f ca="1">IF($D421&lt;&gt;"Serviço",0,IF(OR(AND(AUTOEVENTO="Manual",$M421=1),$M421&gt;(ROW(PLE.lastrow)-ROW(PLE.firstrow))),0,IF(OFFSET(PLE!$G$14,$M421,BX$13)="",10^12,OFFSET(PLE!$G$14,$M421,BX$13))))</f>
        <v>0</v>
      </c>
      <c r="BY421" s="182">
        <f ca="1">IF($D421&lt;&gt;"Serviço",0,IF(OR(AND(AUTOEVENTO="Manual",$M421=1),$M421&gt;(ROW(PLE.lastrow)-ROW(PLE.firstrow))),0,IF(OFFSET(PLE!$G$14,$M421,BY$13)="",10^12,OFFSET(PLE!$G$14,$M421,BY$13))))</f>
        <v>0</v>
      </c>
      <c r="BZ421" s="182">
        <f ca="1">IF($D421&lt;&gt;"Serviço",0,IF(OR(AND(AUTOEVENTO="Manual",$M421=1),$M421&gt;(ROW(PLE.lastrow)-ROW(PLE.firstrow))),0,IF(OFFSET(PLE!$G$14,$M421,BZ$13)="",10^12,OFFSET(PLE!$G$14,$M421,BZ$13))))</f>
        <v>0</v>
      </c>
      <c r="CA421" s="182">
        <f ca="1">IF($D421&lt;&gt;"Serviço",0,IF(OR(AND(AUTOEVENTO="Manual",$M421=1),$M421&gt;(ROW(PLE.lastrow)-ROW(PLE.firstrow))),0,IF(OFFSET(PLE!$G$14,$M421,CA$13)="",10^12,OFFSET(PLE!$G$14,$M421,CA$13))))</f>
        <v>0</v>
      </c>
      <c r="CB421" s="182">
        <f ca="1">IF($D421&lt;&gt;"Serviço",0,IF(OR(AND(AUTOEVENTO="Manual",$M421=1),$M421&gt;(ROW(PLE.lastrow)-ROW(PLE.firstrow))),0,IF(OFFSET(PLE!$G$14,$M421,CB$13)="",10^12,OFFSET(PLE!$G$14,$M421,CB$13))))</f>
        <v>0</v>
      </c>
      <c r="CC421" s="182">
        <f ca="1">IF($D421&lt;&gt;"Serviço",0,IF(OR(AND(AUTOEVENTO="Manual",$M421=1),$M421&gt;(ROW(PLE.lastrow)-ROW(PLE.firstrow))),0,IF(OFFSET(PLE!$G$14,$M421,CC$13)="",10^12,OFFSET(PLE!$G$14,$M421,CC$13))))</f>
        <v>0</v>
      </c>
      <c r="CD421" s="182">
        <f ca="1">IF($D421&lt;&gt;"Serviço",0,IF(OR(AND(AUTOEVENTO="Manual",$M421=1),$M421&gt;(ROW(PLE.lastrow)-ROW(PLE.firstrow))),0,IF(OFFSET(PLE!$G$14,$M421,CD$13)="",10^12,OFFSET(PLE!$G$14,$M421,CD$13))))</f>
        <v>0</v>
      </c>
      <c r="CE421" s="182">
        <f ca="1">IF($D421&lt;&gt;"Serviço",0,IF(OR(AND(AUTOEVENTO="Manual",$M421=1),$M421&gt;(ROW(PLE.lastrow)-ROW(PLE.firstrow))),0,IF(OFFSET(PLE!$G$14,$M421,CE$13)="",10^12,OFFSET(PLE!$G$14,$M421,CE$13))))</f>
        <v>0</v>
      </c>
      <c r="CF421" s="182">
        <f ca="1">IF($D421&lt;&gt;"Serviço",0,IF(OR(AND(AUTOEVENTO="Manual",$M421=1),$M421&gt;(ROW(PLE.lastrow)-ROW(PLE.firstrow))),0,IF(OFFSET(PLE!$G$14,$M421,CF$13)="",10^12,OFFSET(PLE!$G$14,$M421,CF$13))))</f>
        <v>0</v>
      </c>
      <c r="CG421" s="182">
        <f ca="1">IF($D421&lt;&gt;"Serviço",0,IF(OR(AND(AUTOEVENTO="Manual",$M421=1),$M421&gt;(ROW(PLE.lastrow)-ROW(PLE.firstrow))),0,IF(OFFSET(PLE!$G$14,$M421,CG$13)="",10^12,OFFSET(PLE!$G$14,$M421,CG$13))))</f>
        <v>0</v>
      </c>
      <c r="CH421" s="182">
        <f ca="1">IF($D421&lt;&gt;"Serviço",0,IF(OR(AND(AUTOEVENTO="Manual",$M421=1),$M421&gt;(ROW(PLE.lastrow)-ROW(PLE.firstrow))),0,IF(OFFSET(PLE!$G$14,$M421,CH$13)="",10^12,OFFSET(PLE!$G$14,$M421,CH$13))))</f>
        <v>0</v>
      </c>
      <c r="CI421" s="182">
        <f ca="1">IF($D421&lt;&gt;"Serviço",0,IF(OR(AND(AUTOEVENTO="Manual",$M421=1),$M421&gt;(ROW(PLE.lastrow)-ROW(PLE.firstrow))),0,IF(OFFSET(PLE!$G$14,$M421,CI$13)="",10^12,OFFSET(PLE!$G$14,$M421,CI$13))))</f>
        <v>0</v>
      </c>
      <c r="CJ421" s="182">
        <f ca="1">IF($D421&lt;&gt;"Serviço",0,IF(OR(AND(AUTOEVENTO="Manual",$M421=1),$M421&gt;(ROW(PLE.lastrow)-ROW(PLE.firstrow))),0,IF(OFFSET(PLE!$G$14,$M421,CJ$13)="",10^12,OFFSET(PLE!$G$14,$M421,CJ$13))))</f>
        <v>0</v>
      </c>
      <c r="CK421" s="182">
        <f ca="1">IF($D421&lt;&gt;"Serviço",0,IF(OR(AND(AUTOEVENTO="Manual",$M421=1),$M421&gt;(ROW(PLE.lastrow)-ROW(PLE.firstrow))),0,IF(OFFSET(PLE!$G$14,$M421,CK$13)="",10^12,OFFSET(PLE!$G$14,$M421,CK$13))))</f>
        <v>0</v>
      </c>
      <c r="CL421" s="182">
        <f ca="1">IF($D421&lt;&gt;"Serviço",0,IF(OR(AND(AUTOEVENTO="Manual",$M421=1),$M421&gt;(ROW(PLE.lastrow)-ROW(PLE.firstrow))),0,IF(OFFSET(PLE!$G$14,$M421,CL$13)="",10^12,OFFSET(PLE!$G$14,$M421,CL$13))))</f>
        <v>0</v>
      </c>
      <c r="CM421" s="182">
        <f ca="1">IF($D421&lt;&gt;"Serviço",0,IF(OR(AND(AUTOEVENTO="Manual",$M421=1),$M421&gt;(ROW(PLE.lastrow)-ROW(PLE.firstrow))),0,IF(OFFSET(PLE!$G$14,$M421,CM$13)="",10^12,OFFSET(PLE!$G$14,$M421,CM$13))))</f>
        <v>0</v>
      </c>
    </row>
    <row r="422" spans="1:91" ht="38.25" x14ac:dyDescent="0.2">
      <c r="A422" s="7" t="str">
        <f t="shared" ca="1" si="14"/>
        <v>406</v>
      </c>
      <c r="B422" s="7" t="str">
        <f ca="1">OFFSET(ORÇAMENTO!C$15,ROW(B422)-ROW(B$15),0)</f>
        <v>S</v>
      </c>
      <c r="C422" s="7" t="str">
        <f ca="1">OFFSET(ORÇAMENTO!L$15,ROW(C422)-ROW(C$15),0)</f>
        <v/>
      </c>
      <c r="D422" s="118" t="str">
        <f ca="1">OFFSET(ORÇAMENTO!N$15,ROW(D422)-ROW(D$15),0)</f>
        <v>Serviço</v>
      </c>
      <c r="E422" s="119" t="str">
        <f ca="1">OFFSET(ORÇAMENTO!O$15,ROW(E422)-ROW(E$15),0)</f>
        <v>-</v>
      </c>
      <c r="F422" s="172" t="str">
        <f ca="1">OFFSET(ORÇAMENTO!R$15,ROW(F422)-ROW(F$15),0)</f>
        <v>(abra o arquivo 'Referência 06-2024.xlsm)</v>
      </c>
      <c r="G422" s="173" t="str">
        <f ca="1">IF($D422&lt;&gt;"Serviço","",OFFSET(ORÇAMENTO!S$15,ROW(G422)-ROW(G$15),0))</f>
        <v>-</v>
      </c>
      <c r="H422" s="124">
        <f ca="1">IF($D422&lt;&gt;"Serviço",0,IF(ACOMPANHAMENTO="BM",ROUND(OFFSET(ORÇAMENTO!AJ$15,ROW(H422)-ROW(H$15),0),15-13*ORÇAMENTO!$AF$7),SUMPRODUCT(($Q$12:$AI$12&lt;&gt;"")*ROUND($Q422:$AI422,15-13*ORÇAMENTO!$AF$7))))</f>
        <v>2</v>
      </c>
      <c r="I422" s="561" t="s">
        <v>1107</v>
      </c>
      <c r="K422" s="174"/>
      <c r="L422" s="175" t="s">
        <v>255</v>
      </c>
      <c r="M422" s="176">
        <f ca="1">IF($D422&lt;&gt;"Serviço","",IF(AUTOEVENTO="manual",$A422,IF(ISERROR(MATCH($A422,$A$15:OFFSET($A422,-1,0),0)),MAX($M$15:OFFSET(M422,-1,0))+1,INDEX($M$15:OFFSET(M422,-1,0),MATCH($A422,$A$15:OFFSET($A422,-1,0),0)))))</f>
        <v>48</v>
      </c>
      <c r="N422" s="177" t="str">
        <f ca="1">IF($D422&lt;&gt;"Serviço","",IF(AUTOEVENTO="Manual",IF($A422=0,"&lt;-- defina o número do agrupador",OFFSET(EVENTOS!$D$14,$A422,0)),OFFSET($F$15,$A422,0)))</f>
        <v>SISTEMA DE PROTEÇÃO CONTRA INCÊNDIO - ACESSÓRIOS</v>
      </c>
      <c r="O422" s="178"/>
      <c r="Q422" s="178">
        <v>2</v>
      </c>
      <c r="R422" s="179"/>
      <c r="S422" s="179"/>
      <c r="T422" s="179"/>
      <c r="U422" s="179"/>
      <c r="V422" s="179"/>
      <c r="W422" s="179"/>
      <c r="X422" s="179"/>
      <c r="Y422" s="179"/>
      <c r="Z422" s="180"/>
      <c r="AA422" s="179"/>
      <c r="AB422" s="179"/>
      <c r="AC422" s="179"/>
      <c r="AD422" s="179"/>
      <c r="AE422" s="179"/>
      <c r="AF422" s="179"/>
      <c r="AG422" s="179"/>
      <c r="AH422" s="180"/>
      <c r="AJ422" s="544">
        <f ca="1">IF(AND($D422="Serviço",AJ$12&lt;&gt;0,$H422&gt;0,OR(AUTOEVENTO&lt;&gt;"manual",$M422&lt;&gt;1)),
IF(Import.TipoArredondamento&lt;&gt;"TransfereGOV",
ROUND(OFFSET($P422,0,AJ$13),15-13*ORÇAMENTO!$AF$7)/$H422*OFFSET(ORÇAMENTO!$X$15,ROW(AJ422)-ROW(AJ$15),0),
ROUND(ROUND(OFFSET($P422,0,AJ$13),15-13*ORÇAMENTO!$AF$7)*OFFSET(ORÇAMENTO!$W$15,ROW(AJ422)-ROW(AJ$15),0),15-13*ORÇAMENTO!$AF$11)),0)</f>
        <v>0</v>
      </c>
      <c r="AK422" s="545">
        <f ca="1">IF(AND($D422="Serviço",AK$12&lt;&gt;0,$H422&gt;0,OR(AUTOEVENTO&lt;&gt;"manual",$M422&lt;&gt;1)),
IF(Import.TipoArredondamento&lt;&gt;"TransfereGOV",
ROUND(OFFSET($P422,0,AK$13),15-13*ORÇAMENTO!$AF$7)/$H422*OFFSET(ORÇAMENTO!$X$15,ROW(AK422)-ROW(AK$15),0),
ROUND(ROUND(OFFSET($P422,0,AK$13),15-13*ORÇAMENTO!$AF$7)*OFFSET(ORÇAMENTO!$W$15,ROW(AK422)-ROW(AK$15),0),15-13*ORÇAMENTO!$AF$11)),0)</f>
        <v>0</v>
      </c>
      <c r="AL422" s="545">
        <f ca="1">IF(AND($D422="Serviço",AL$12&lt;&gt;0,$H422&gt;0,OR(AUTOEVENTO&lt;&gt;"manual",$M422&lt;&gt;1)),
IF(Import.TipoArredondamento&lt;&gt;"TransfereGOV",
ROUND(OFFSET($P422,0,AL$13),15-13*ORÇAMENTO!$AF$7)/$H422*OFFSET(ORÇAMENTO!$X$15,ROW(AL422)-ROW(AL$15),0),
ROUND(ROUND(OFFSET($P422,0,AL$13),15-13*ORÇAMENTO!$AF$7)*OFFSET(ORÇAMENTO!$W$15,ROW(AL422)-ROW(AL$15),0),15-13*ORÇAMENTO!$AF$11)),0)</f>
        <v>0</v>
      </c>
      <c r="AM422" s="545">
        <f ca="1">IF(AND($D422="Serviço",AM$12&lt;&gt;0,$H422&gt;0,OR(AUTOEVENTO&lt;&gt;"manual",$M422&lt;&gt;1)),
IF(Import.TipoArredondamento&lt;&gt;"TransfereGOV",
ROUND(OFFSET($P422,0,AM$13),15-13*ORÇAMENTO!$AF$7)/$H422*OFFSET(ORÇAMENTO!$X$15,ROW(AM422)-ROW(AM$15),0),
ROUND(ROUND(OFFSET($P422,0,AM$13),15-13*ORÇAMENTO!$AF$7)*OFFSET(ORÇAMENTO!$W$15,ROW(AM422)-ROW(AM$15),0),15-13*ORÇAMENTO!$AF$11)),0)</f>
        <v>0</v>
      </c>
      <c r="AN422" s="545">
        <f ca="1">IF(AND($D422="Serviço",AN$12&lt;&gt;0,$H422&gt;0,OR(AUTOEVENTO&lt;&gt;"manual",$M422&lt;&gt;1)),
IF(Import.TipoArredondamento&lt;&gt;"TransfereGOV",
ROUND(OFFSET($P422,0,AN$13),15-13*ORÇAMENTO!$AF$7)/$H422*OFFSET(ORÇAMENTO!$X$15,ROW(AN422)-ROW(AN$15),0),
ROUND(ROUND(OFFSET($P422,0,AN$13),15-13*ORÇAMENTO!$AF$7)*OFFSET(ORÇAMENTO!$W$15,ROW(AN422)-ROW(AN$15),0),15-13*ORÇAMENTO!$AF$11)),0)</f>
        <v>0</v>
      </c>
      <c r="AO422" s="545">
        <f ca="1">IF(AND($D422="Serviço",AO$12&lt;&gt;0,$H422&gt;0,OR(AUTOEVENTO&lt;&gt;"manual",$M422&lt;&gt;1)),
IF(Import.TipoArredondamento&lt;&gt;"TransfereGOV",
ROUND(OFFSET($P422,0,AO$13),15-13*ORÇAMENTO!$AF$7)/$H422*OFFSET(ORÇAMENTO!$X$15,ROW(AO422)-ROW(AO$15),0),
ROUND(ROUND(OFFSET($P422,0,AO$13),15-13*ORÇAMENTO!$AF$7)*OFFSET(ORÇAMENTO!$W$15,ROW(AO422)-ROW(AO$15),0),15-13*ORÇAMENTO!$AF$11)),0)</f>
        <v>0</v>
      </c>
      <c r="AP422" s="545">
        <f ca="1">IF(AND($D422="Serviço",AP$12&lt;&gt;0,$H422&gt;0,OR(AUTOEVENTO&lt;&gt;"manual",$M422&lt;&gt;1)),
IF(Import.TipoArredondamento&lt;&gt;"TransfereGOV",
ROUND(OFFSET($P422,0,AP$13),15-13*ORÇAMENTO!$AF$7)/$H422*OFFSET(ORÇAMENTO!$X$15,ROW(AP422)-ROW(AP$15),0),
ROUND(ROUND(OFFSET($P422,0,AP$13),15-13*ORÇAMENTO!$AF$7)*OFFSET(ORÇAMENTO!$W$15,ROW(AP422)-ROW(AP$15),0),15-13*ORÇAMENTO!$AF$11)),0)</f>
        <v>0</v>
      </c>
      <c r="AQ422" s="545">
        <f ca="1">IF(AND($D422="Serviço",AQ$12&lt;&gt;0,$H422&gt;0,OR(AUTOEVENTO&lt;&gt;"manual",$M422&lt;&gt;1)),
IF(Import.TipoArredondamento&lt;&gt;"TransfereGOV",
ROUND(OFFSET($P422,0,AQ$13),15-13*ORÇAMENTO!$AF$7)/$H422*OFFSET(ORÇAMENTO!$X$15,ROW(AQ422)-ROW(AQ$15),0),
ROUND(ROUND(OFFSET($P422,0,AQ$13),15-13*ORÇAMENTO!$AF$7)*OFFSET(ORÇAMENTO!$W$15,ROW(AQ422)-ROW(AQ$15),0),15-13*ORÇAMENTO!$AF$11)),0)</f>
        <v>0</v>
      </c>
      <c r="AR422" s="545">
        <f ca="1">IF(AND($D422="Serviço",AR$12&lt;&gt;0,$H422&gt;0,OR(AUTOEVENTO&lt;&gt;"manual",$M422&lt;&gt;1)),
IF(Import.TipoArredondamento&lt;&gt;"TransfereGOV",
ROUND(OFFSET($P422,0,AR$13),15-13*ORÇAMENTO!$AF$7)/$H422*OFFSET(ORÇAMENTO!$X$15,ROW(AR422)-ROW(AR$15),0),
ROUND(ROUND(OFFSET($P422,0,AR$13),15-13*ORÇAMENTO!$AF$7)*OFFSET(ORÇAMENTO!$W$15,ROW(AR422)-ROW(AR$15),0),15-13*ORÇAMENTO!$AF$11)),0)</f>
        <v>0</v>
      </c>
      <c r="AS422" s="546">
        <f ca="1">IF(AND($D422="Serviço",AS$12&lt;&gt;0,$H422&gt;0,OR(AUTOEVENTO&lt;&gt;"manual",$M422&lt;&gt;1)),
IF(Import.TipoArredondamento&lt;&gt;"TransfereGOV",
ROUND(OFFSET($P422,0,AS$13),15-13*ORÇAMENTO!$AF$7)/$H422*OFFSET(ORÇAMENTO!$X$15,ROW(AS422)-ROW(AS$15),0),
ROUND(ROUND(OFFSET($P422,0,AS$13),15-13*ORÇAMENTO!$AF$7)*OFFSET(ORÇAMENTO!$W$15,ROW(AS422)-ROW(AS$15),0),15-13*ORÇAMENTO!$AF$11)),0)</f>
        <v>0</v>
      </c>
      <c r="AT422" s="545">
        <f ca="1">IF(AND($D422="Serviço",AT$12&lt;&gt;0,$H422&gt;0,OR(AUTOEVENTO&lt;&gt;"manual",$M422&lt;&gt;1)),
IF(Import.TipoArredondamento&lt;&gt;"TransfereGOV",
ROUND(OFFSET($P422,0,AT$13),15-13*ORÇAMENTO!$AF$7)/$H422*OFFSET(ORÇAMENTO!$X$15,ROW(AT422)-ROW(AT$15),0),
ROUND(ROUND(OFFSET($P422,0,AT$13),15-13*ORÇAMENTO!$AF$7)*OFFSET(ORÇAMENTO!$W$15,ROW(AT422)-ROW(AT$15),0),15-13*ORÇAMENTO!$AF$11)),0)</f>
        <v>0</v>
      </c>
      <c r="AU422" s="545">
        <f ca="1">IF(AND($D422="Serviço",AU$12&lt;&gt;0,$H422&gt;0,OR(AUTOEVENTO&lt;&gt;"manual",$M422&lt;&gt;1)),
IF(Import.TipoArredondamento&lt;&gt;"TransfereGOV",
ROUND(OFFSET($P422,0,AU$13),15-13*ORÇAMENTO!$AF$7)/$H422*OFFSET(ORÇAMENTO!$X$15,ROW(AU422)-ROW(AU$15),0),
ROUND(ROUND(OFFSET($P422,0,AU$13),15-13*ORÇAMENTO!$AF$7)*OFFSET(ORÇAMENTO!$W$15,ROW(AU422)-ROW(AU$15),0),15-13*ORÇAMENTO!$AF$11)),0)</f>
        <v>0</v>
      </c>
      <c r="AV422" s="545">
        <f ca="1">IF(AND($D422="Serviço",AV$12&lt;&gt;0,$H422&gt;0,OR(AUTOEVENTO&lt;&gt;"manual",$M422&lt;&gt;1)),
IF(Import.TipoArredondamento&lt;&gt;"TransfereGOV",
ROUND(OFFSET($P422,0,AV$13),15-13*ORÇAMENTO!$AF$7)/$H422*OFFSET(ORÇAMENTO!$X$15,ROW(AV422)-ROW(AV$15),0),
ROUND(ROUND(OFFSET($P422,0,AV$13),15-13*ORÇAMENTO!$AF$7)*OFFSET(ORÇAMENTO!$W$15,ROW(AV422)-ROW(AV$15),0),15-13*ORÇAMENTO!$AF$11)),0)</f>
        <v>0</v>
      </c>
      <c r="AW422" s="545">
        <f ca="1">IF(AND($D422="Serviço",AW$12&lt;&gt;0,$H422&gt;0,OR(AUTOEVENTO&lt;&gt;"manual",$M422&lt;&gt;1)),
IF(Import.TipoArredondamento&lt;&gt;"TransfereGOV",
ROUND(OFFSET($P422,0,AW$13),15-13*ORÇAMENTO!$AF$7)/$H422*OFFSET(ORÇAMENTO!$X$15,ROW(AW422)-ROW(AW$15),0),
ROUND(ROUND(OFFSET($P422,0,AW$13),15-13*ORÇAMENTO!$AF$7)*OFFSET(ORÇAMENTO!$W$15,ROW(AW422)-ROW(AW$15),0),15-13*ORÇAMENTO!$AF$11)),0)</f>
        <v>0</v>
      </c>
      <c r="AX422" s="545">
        <f ca="1">IF(AND($D422="Serviço",AX$12&lt;&gt;0,$H422&gt;0,OR(AUTOEVENTO&lt;&gt;"manual",$M422&lt;&gt;1)),
IF(Import.TipoArredondamento&lt;&gt;"TransfereGOV",
ROUND(OFFSET($P422,0,AX$13),15-13*ORÇAMENTO!$AF$7)/$H422*OFFSET(ORÇAMENTO!$X$15,ROW(AX422)-ROW(AX$15),0),
ROUND(ROUND(OFFSET($P422,0,AX$13),15-13*ORÇAMENTO!$AF$7)*OFFSET(ORÇAMENTO!$W$15,ROW(AX422)-ROW(AX$15),0),15-13*ORÇAMENTO!$AF$11)),0)</f>
        <v>0</v>
      </c>
      <c r="AY422" s="545">
        <f ca="1">IF(AND($D422="Serviço",AY$12&lt;&gt;0,$H422&gt;0,OR(AUTOEVENTO&lt;&gt;"manual",$M422&lt;&gt;1)),
IF(Import.TipoArredondamento&lt;&gt;"TransfereGOV",
ROUND(OFFSET($P422,0,AY$13),15-13*ORÇAMENTO!$AF$7)/$H422*OFFSET(ORÇAMENTO!$X$15,ROW(AY422)-ROW(AY$15),0),
ROUND(ROUND(OFFSET($P422,0,AY$13),15-13*ORÇAMENTO!$AF$7)*OFFSET(ORÇAMENTO!$W$15,ROW(AY422)-ROW(AY$15),0),15-13*ORÇAMENTO!$AF$11)),0)</f>
        <v>0</v>
      </c>
      <c r="AZ422" s="545">
        <f ca="1">IF(AND($D422="Serviço",AZ$12&lt;&gt;0,$H422&gt;0,OR(AUTOEVENTO&lt;&gt;"manual",$M422&lt;&gt;1)),
IF(Import.TipoArredondamento&lt;&gt;"TransfereGOV",
ROUND(OFFSET($P422,0,AZ$13),15-13*ORÇAMENTO!$AF$7)/$H422*OFFSET(ORÇAMENTO!$X$15,ROW(AZ422)-ROW(AZ$15),0),
ROUND(ROUND(OFFSET($P422,0,AZ$13),15-13*ORÇAMENTO!$AF$7)*OFFSET(ORÇAMENTO!$W$15,ROW(AZ422)-ROW(AZ$15),0),15-13*ORÇAMENTO!$AF$11)),0)</f>
        <v>0</v>
      </c>
      <c r="BA422" s="546">
        <f ca="1">IF(AND($D422="Serviço",BA$12&lt;&gt;0,$H422&gt;0,OR(AUTOEVENTO&lt;&gt;"manual",$M422&lt;&gt;1)),
IF(Import.TipoArredondamento&lt;&gt;"TransfereGOV",
ROUND(OFFSET($P422,0,BA$13),15-13*ORÇAMENTO!$AF$7)/$H422*OFFSET(ORÇAMENTO!$X$15,ROW(BA422)-ROW(BA$15),0),
ROUND(ROUND(OFFSET($P422,0,BA$13),15-13*ORÇAMENTO!$AF$7)*OFFSET(ORÇAMENTO!$W$15,ROW(BA422)-ROW(BA$15),0),15-13*ORÇAMENTO!$AF$11)),0)</f>
        <v>0</v>
      </c>
      <c r="BC422" s="181">
        <f ca="1">IF($D422&lt;&gt;"Serviço",0,IF(AND(AUTOEVENTO="Manual",$M422=1),0,IF(OFFSET(CRONOPLE!$F$14,$M422,BC$13)="",10^12,OFFSET(CRONOPLE!$F$14,$M422,BC$13))))</f>
        <v>10</v>
      </c>
      <c r="BD422" s="181">
        <f ca="1">IF($D422&lt;&gt;"Serviço",0,IF(AND(AUTOEVENTO="Manual",$M422=1),0,IF(OFFSET(CRONOPLE!$F$14,$M422,BD$13)="",10^12,OFFSET(CRONOPLE!$F$14,$M422,BD$13))))</f>
        <v>1000000000000</v>
      </c>
      <c r="BE422" s="181">
        <f ca="1">IF($D422&lt;&gt;"Serviço",0,IF(AND(AUTOEVENTO="Manual",$M422=1),0,IF(OFFSET(CRONOPLE!$F$14,$M422,BE$13)="",10^12,OFFSET(CRONOPLE!$F$14,$M422,BE$13))))</f>
        <v>1000000000000</v>
      </c>
      <c r="BF422" s="181">
        <f ca="1">IF($D422&lt;&gt;"Serviço",0,IF(AND(AUTOEVENTO="Manual",$M422=1),0,IF(OFFSET(CRONOPLE!$F$14,$M422,BF$13)="",10^12,OFFSET(CRONOPLE!$F$14,$M422,BF$13))))</f>
        <v>1000000000000</v>
      </c>
      <c r="BG422" s="181">
        <f ca="1">IF($D422&lt;&gt;"Serviço",0,IF(AND(AUTOEVENTO="Manual",$M422=1),0,IF(OFFSET(CRONOPLE!$F$14,$M422,BG$13)="",10^12,OFFSET(CRONOPLE!$F$14,$M422,BG$13))))</f>
        <v>1000000000000</v>
      </c>
      <c r="BH422" s="181">
        <f ca="1">IF($D422&lt;&gt;"Serviço",0,IF(AND(AUTOEVENTO="Manual",$M422=1),0,IF(OFFSET(CRONOPLE!$F$14,$M422,BH$13)="",10^12,OFFSET(CRONOPLE!$F$14,$M422,BH$13))))</f>
        <v>1000000000000</v>
      </c>
      <c r="BI422" s="181">
        <f ca="1">IF($D422&lt;&gt;"Serviço",0,IF(AND(AUTOEVENTO="Manual",$M422=1),0,IF(OFFSET(CRONOPLE!$F$14,$M422,BI$13)="",10^12,OFFSET(CRONOPLE!$F$14,$M422,BI$13))))</f>
        <v>1000000000000</v>
      </c>
      <c r="BJ422" s="181">
        <f ca="1">IF($D422&lt;&gt;"Serviço",0,IF(AND(AUTOEVENTO="Manual",$M422=1),0,IF(OFFSET(CRONOPLE!$F$14,$M422,BJ$13)="",10^12,OFFSET(CRONOPLE!$F$14,$M422,BJ$13))))</f>
        <v>1000000000000</v>
      </c>
      <c r="BK422" s="181">
        <f ca="1">IF($D422&lt;&gt;"Serviço",0,IF(AND(AUTOEVENTO="Manual",$M422=1),0,IF(OFFSET(CRONOPLE!$F$14,$M422,BK$13)="",10^12,OFFSET(CRONOPLE!$F$14,$M422,BK$13))))</f>
        <v>1000000000000</v>
      </c>
      <c r="BL422" s="181">
        <f ca="1">IF($D422&lt;&gt;"Serviço",0,IF(AND(AUTOEVENTO="Manual",$M422=1),0,IF(OFFSET(CRONOPLE!$F$14,$M422,BL$13)="",10^12,OFFSET(CRONOPLE!$F$14,$M422,BL$13))))</f>
        <v>1000000000000</v>
      </c>
      <c r="BM422" s="181">
        <f ca="1">IF($D422&lt;&gt;"Serviço",0,IF(AND(AUTOEVENTO="Manual",$M422=1),0,IF(OFFSET(CRONOPLE!$F$14,$M422,BM$13)="",10^12,OFFSET(CRONOPLE!$F$14,$M422,BM$13))))</f>
        <v>1000000000000</v>
      </c>
      <c r="BN422" s="181">
        <f ca="1">IF($D422&lt;&gt;"Serviço",0,IF(AND(AUTOEVENTO="Manual",$M422=1),0,IF(OFFSET(CRONOPLE!$F$14,$M422,BN$13)="",10^12,OFFSET(CRONOPLE!$F$14,$M422,BN$13))))</f>
        <v>1000000000000</v>
      </c>
      <c r="BO422" s="181">
        <f ca="1">IF($D422&lt;&gt;"Serviço",0,IF(AND(AUTOEVENTO="Manual",$M422=1),0,IF(OFFSET(CRONOPLE!$F$14,$M422,BO$13)="",10^12,OFFSET(CRONOPLE!$F$14,$M422,BO$13))))</f>
        <v>1000000000000</v>
      </c>
      <c r="BP422" s="181">
        <f ca="1">IF($D422&lt;&gt;"Serviço",0,IF(AND(AUTOEVENTO="Manual",$M422=1),0,IF(OFFSET(CRONOPLE!$F$14,$M422,BP$13)="",10^12,OFFSET(CRONOPLE!$F$14,$M422,BP$13))))</f>
        <v>1000000000000</v>
      </c>
      <c r="BQ422" s="181">
        <f ca="1">IF($D422&lt;&gt;"Serviço",0,IF(AND(AUTOEVENTO="Manual",$M422=1),0,IF(OFFSET(CRONOPLE!$F$14,$M422,BQ$13)="",10^12,OFFSET(CRONOPLE!$F$14,$M422,BQ$13))))</f>
        <v>1000000000000</v>
      </c>
      <c r="BR422" s="181">
        <f ca="1">IF($D422&lt;&gt;"Serviço",0,IF(AND(AUTOEVENTO="Manual",$M422=1),0,IF(OFFSET(CRONOPLE!$F$14,$M422,BR$13)="",10^12,OFFSET(CRONOPLE!$F$14,$M422,BR$13))))</f>
        <v>1000000000000</v>
      </c>
      <c r="BS422" s="181">
        <f ca="1">IF($D422&lt;&gt;"Serviço",0,IF(AND(AUTOEVENTO="Manual",$M422=1),0,IF(OFFSET(CRONOPLE!$F$14,$M422,BS$13)="",10^12,OFFSET(CRONOPLE!$F$14,$M422,BS$13))))</f>
        <v>1000000000000</v>
      </c>
      <c r="BT422" s="181">
        <f ca="1">IF($D422&lt;&gt;"Serviço",0,IF(AND(AUTOEVENTO="Manual",$M422=1),0,IF(OFFSET(CRONOPLE!$F$14,$M422,BT$13)="",10^12,OFFSET(CRONOPLE!$F$14,$M422,BT$13))))</f>
        <v>1000000000000</v>
      </c>
      <c r="BV422" s="182">
        <f ca="1">IF($D422&lt;&gt;"Serviço",0,IF(OR(AND(AUTOEVENTO="Manual",$M422=1),$M422&gt;(ROW(PLE.lastrow)-ROW(PLE.firstrow))),0,IF(OFFSET(PLE!$G$14,$M422,BV$13)="",10^12,OFFSET(PLE!$G$14,$M422,BV$13))))</f>
        <v>1000000000000</v>
      </c>
      <c r="BW422" s="182">
        <f ca="1">IF($D422&lt;&gt;"Serviço",0,IF(OR(AND(AUTOEVENTO="Manual",$M422=1),$M422&gt;(ROW(PLE.lastrow)-ROW(PLE.firstrow))),0,IF(OFFSET(PLE!$G$14,$M422,BW$13)="",10^12,OFFSET(PLE!$G$14,$M422,BW$13))))</f>
        <v>1000000000000</v>
      </c>
      <c r="BX422" s="182">
        <f ca="1">IF($D422&lt;&gt;"Serviço",0,IF(OR(AND(AUTOEVENTO="Manual",$M422=1),$M422&gt;(ROW(PLE.lastrow)-ROW(PLE.firstrow))),0,IF(OFFSET(PLE!$G$14,$M422,BX$13)="",10^12,OFFSET(PLE!$G$14,$M422,BX$13))))</f>
        <v>1000000000000</v>
      </c>
      <c r="BY422" s="182">
        <f ca="1">IF($D422&lt;&gt;"Serviço",0,IF(OR(AND(AUTOEVENTO="Manual",$M422=1),$M422&gt;(ROW(PLE.lastrow)-ROW(PLE.firstrow))),0,IF(OFFSET(PLE!$G$14,$M422,BY$13)="",10^12,OFFSET(PLE!$G$14,$M422,BY$13))))</f>
        <v>1000000000000</v>
      </c>
      <c r="BZ422" s="182">
        <f ca="1">IF($D422&lt;&gt;"Serviço",0,IF(OR(AND(AUTOEVENTO="Manual",$M422=1),$M422&gt;(ROW(PLE.lastrow)-ROW(PLE.firstrow))),0,IF(OFFSET(PLE!$G$14,$M422,BZ$13)="",10^12,OFFSET(PLE!$G$14,$M422,BZ$13))))</f>
        <v>1000000000000</v>
      </c>
      <c r="CA422" s="182">
        <f ca="1">IF($D422&lt;&gt;"Serviço",0,IF(OR(AND(AUTOEVENTO="Manual",$M422=1),$M422&gt;(ROW(PLE.lastrow)-ROW(PLE.firstrow))),0,IF(OFFSET(PLE!$G$14,$M422,CA$13)="",10^12,OFFSET(PLE!$G$14,$M422,CA$13))))</f>
        <v>1000000000000</v>
      </c>
      <c r="CB422" s="182">
        <f ca="1">IF($D422&lt;&gt;"Serviço",0,IF(OR(AND(AUTOEVENTO="Manual",$M422=1),$M422&gt;(ROW(PLE.lastrow)-ROW(PLE.firstrow))),0,IF(OFFSET(PLE!$G$14,$M422,CB$13)="",10^12,OFFSET(PLE!$G$14,$M422,CB$13))))</f>
        <v>1000000000000</v>
      </c>
      <c r="CC422" s="182">
        <f ca="1">IF($D422&lt;&gt;"Serviço",0,IF(OR(AND(AUTOEVENTO="Manual",$M422=1),$M422&gt;(ROW(PLE.lastrow)-ROW(PLE.firstrow))),0,IF(OFFSET(PLE!$G$14,$M422,CC$13)="",10^12,OFFSET(PLE!$G$14,$M422,CC$13))))</f>
        <v>1000000000000</v>
      </c>
      <c r="CD422" s="182">
        <f ca="1">IF($D422&lt;&gt;"Serviço",0,IF(OR(AND(AUTOEVENTO="Manual",$M422=1),$M422&gt;(ROW(PLE.lastrow)-ROW(PLE.firstrow))),0,IF(OFFSET(PLE!$G$14,$M422,CD$13)="",10^12,OFFSET(PLE!$G$14,$M422,CD$13))))</f>
        <v>1000000000000</v>
      </c>
      <c r="CE422" s="182">
        <f ca="1">IF($D422&lt;&gt;"Serviço",0,IF(OR(AND(AUTOEVENTO="Manual",$M422=1),$M422&gt;(ROW(PLE.lastrow)-ROW(PLE.firstrow))),0,IF(OFFSET(PLE!$G$14,$M422,CE$13)="",10^12,OFFSET(PLE!$G$14,$M422,CE$13))))</f>
        <v>1000000000000</v>
      </c>
      <c r="CF422" s="182">
        <f ca="1">IF($D422&lt;&gt;"Serviço",0,IF(OR(AND(AUTOEVENTO="Manual",$M422=1),$M422&gt;(ROW(PLE.lastrow)-ROW(PLE.firstrow))),0,IF(OFFSET(PLE!$G$14,$M422,CF$13)="",10^12,OFFSET(PLE!$G$14,$M422,CF$13))))</f>
        <v>1000000000000</v>
      </c>
      <c r="CG422" s="182">
        <f ca="1">IF($D422&lt;&gt;"Serviço",0,IF(OR(AND(AUTOEVENTO="Manual",$M422=1),$M422&gt;(ROW(PLE.lastrow)-ROW(PLE.firstrow))),0,IF(OFFSET(PLE!$G$14,$M422,CG$13)="",10^12,OFFSET(PLE!$G$14,$M422,CG$13))))</f>
        <v>1000000000000</v>
      </c>
      <c r="CH422" s="182">
        <f ca="1">IF($D422&lt;&gt;"Serviço",0,IF(OR(AND(AUTOEVENTO="Manual",$M422=1),$M422&gt;(ROW(PLE.lastrow)-ROW(PLE.firstrow))),0,IF(OFFSET(PLE!$G$14,$M422,CH$13)="",10^12,OFFSET(PLE!$G$14,$M422,CH$13))))</f>
        <v>1000000000000</v>
      </c>
      <c r="CI422" s="182">
        <f ca="1">IF($D422&lt;&gt;"Serviço",0,IF(OR(AND(AUTOEVENTO="Manual",$M422=1),$M422&gt;(ROW(PLE.lastrow)-ROW(PLE.firstrow))),0,IF(OFFSET(PLE!$G$14,$M422,CI$13)="",10^12,OFFSET(PLE!$G$14,$M422,CI$13))))</f>
        <v>1000000000000</v>
      </c>
      <c r="CJ422" s="182">
        <f ca="1">IF($D422&lt;&gt;"Serviço",0,IF(OR(AND(AUTOEVENTO="Manual",$M422=1),$M422&gt;(ROW(PLE.lastrow)-ROW(PLE.firstrow))),0,IF(OFFSET(PLE!$G$14,$M422,CJ$13)="",10^12,OFFSET(PLE!$G$14,$M422,CJ$13))))</f>
        <v>1000000000000</v>
      </c>
      <c r="CK422" s="182">
        <f ca="1">IF($D422&lt;&gt;"Serviço",0,IF(OR(AND(AUTOEVENTO="Manual",$M422=1),$M422&gt;(ROW(PLE.lastrow)-ROW(PLE.firstrow))),0,IF(OFFSET(PLE!$G$14,$M422,CK$13)="",10^12,OFFSET(PLE!$G$14,$M422,CK$13))))</f>
        <v>1000000000000</v>
      </c>
      <c r="CL422" s="182">
        <f ca="1">IF($D422&lt;&gt;"Serviço",0,IF(OR(AND(AUTOEVENTO="Manual",$M422=1),$M422&gt;(ROW(PLE.lastrow)-ROW(PLE.firstrow))),0,IF(OFFSET(PLE!$G$14,$M422,CL$13)="",10^12,OFFSET(PLE!$G$14,$M422,CL$13))))</f>
        <v>1000000000000</v>
      </c>
      <c r="CM422" s="182">
        <f ca="1">IF($D422&lt;&gt;"Serviço",0,IF(OR(AND(AUTOEVENTO="Manual",$M422=1),$M422&gt;(ROW(PLE.lastrow)-ROW(PLE.firstrow))),0,IF(OFFSET(PLE!$G$14,$M422,CM$13)="",10^12,OFFSET(PLE!$G$14,$M422,CM$13))))</f>
        <v>1000000000000</v>
      </c>
    </row>
    <row r="423" spans="1:91" ht="38.25" x14ac:dyDescent="0.2">
      <c r="A423" s="7" t="str">
        <f t="shared" ca="1" si="14"/>
        <v>406</v>
      </c>
      <c r="B423" s="7" t="str">
        <f ca="1">OFFSET(ORÇAMENTO!C$15,ROW(B423)-ROW(B$15),0)</f>
        <v>S</v>
      </c>
      <c r="C423" s="7" t="str">
        <f ca="1">OFFSET(ORÇAMENTO!L$15,ROW(C423)-ROW(C$15),0)</f>
        <v/>
      </c>
      <c r="D423" s="118" t="str">
        <f ca="1">OFFSET(ORÇAMENTO!N$15,ROW(D423)-ROW(D$15),0)</f>
        <v>Serviço</v>
      </c>
      <c r="E423" s="119" t="str">
        <f ca="1">OFFSET(ORÇAMENTO!O$15,ROW(E423)-ROW(E$15),0)</f>
        <v>-</v>
      </c>
      <c r="F423" s="172" t="str">
        <f ca="1">OFFSET(ORÇAMENTO!R$15,ROW(F423)-ROW(F$15),0)</f>
        <v>(abra o arquivo 'Referência 06-2024.xlsm)</v>
      </c>
      <c r="G423" s="173" t="str">
        <f ca="1">IF($D423&lt;&gt;"Serviço","",OFFSET(ORÇAMENTO!S$15,ROW(G423)-ROW(G$15),0))</f>
        <v>-</v>
      </c>
      <c r="H423" s="124">
        <f ca="1">IF($D423&lt;&gt;"Serviço",0,IF(ACOMPANHAMENTO="BM",ROUND(OFFSET(ORÇAMENTO!AJ$15,ROW(H423)-ROW(H$15),0),15-13*ORÇAMENTO!$AF$7),SUMPRODUCT(($Q$12:$AI$12&lt;&gt;"")*ROUND($Q423:$AI423,15-13*ORÇAMENTO!$AF$7))))</f>
        <v>1</v>
      </c>
      <c r="I423" s="561" t="s">
        <v>1107</v>
      </c>
      <c r="K423" s="174"/>
      <c r="L423" s="175" t="s">
        <v>255</v>
      </c>
      <c r="M423" s="176">
        <f ca="1">IF($D423&lt;&gt;"Serviço","",IF(AUTOEVENTO="manual",$A423,IF(ISERROR(MATCH($A423,$A$15:OFFSET($A423,-1,0),0)),MAX($M$15:OFFSET(M423,-1,0))+1,INDEX($M$15:OFFSET(M423,-1,0),MATCH($A423,$A$15:OFFSET($A423,-1,0),0)))))</f>
        <v>48</v>
      </c>
      <c r="N423" s="177" t="str">
        <f ca="1">IF($D423&lt;&gt;"Serviço","",IF(AUTOEVENTO="Manual",IF($A423=0,"&lt;-- defina o número do agrupador",OFFSET(EVENTOS!$D$14,$A423,0)),OFFSET($F$15,$A423,0)))</f>
        <v>SISTEMA DE PROTEÇÃO CONTRA INCÊNDIO - ACESSÓRIOS</v>
      </c>
      <c r="O423" s="178"/>
      <c r="Q423" s="178">
        <v>1</v>
      </c>
      <c r="R423" s="179"/>
      <c r="S423" s="179"/>
      <c r="T423" s="179"/>
      <c r="U423" s="179"/>
      <c r="V423" s="179"/>
      <c r="W423" s="179"/>
      <c r="X423" s="179"/>
      <c r="Y423" s="179"/>
      <c r="Z423" s="180"/>
      <c r="AA423" s="179"/>
      <c r="AB423" s="179"/>
      <c r="AC423" s="179"/>
      <c r="AD423" s="179"/>
      <c r="AE423" s="179"/>
      <c r="AF423" s="179"/>
      <c r="AG423" s="179"/>
      <c r="AH423" s="180"/>
      <c r="AJ423" s="544">
        <f ca="1">IF(AND($D423="Serviço",AJ$12&lt;&gt;0,$H423&gt;0,OR(AUTOEVENTO&lt;&gt;"manual",$M423&lt;&gt;1)),
IF(Import.TipoArredondamento&lt;&gt;"TransfereGOV",
ROUND(OFFSET($P423,0,AJ$13),15-13*ORÇAMENTO!$AF$7)/$H423*OFFSET(ORÇAMENTO!$X$15,ROW(AJ423)-ROW(AJ$15),0),
ROUND(ROUND(OFFSET($P423,0,AJ$13),15-13*ORÇAMENTO!$AF$7)*OFFSET(ORÇAMENTO!$W$15,ROW(AJ423)-ROW(AJ$15),0),15-13*ORÇAMENTO!$AF$11)),0)</f>
        <v>0</v>
      </c>
      <c r="AK423" s="545">
        <f ca="1">IF(AND($D423="Serviço",AK$12&lt;&gt;0,$H423&gt;0,OR(AUTOEVENTO&lt;&gt;"manual",$M423&lt;&gt;1)),
IF(Import.TipoArredondamento&lt;&gt;"TransfereGOV",
ROUND(OFFSET($P423,0,AK$13),15-13*ORÇAMENTO!$AF$7)/$H423*OFFSET(ORÇAMENTO!$X$15,ROW(AK423)-ROW(AK$15),0),
ROUND(ROUND(OFFSET($P423,0,AK$13),15-13*ORÇAMENTO!$AF$7)*OFFSET(ORÇAMENTO!$W$15,ROW(AK423)-ROW(AK$15),0),15-13*ORÇAMENTO!$AF$11)),0)</f>
        <v>0</v>
      </c>
      <c r="AL423" s="545">
        <f ca="1">IF(AND($D423="Serviço",AL$12&lt;&gt;0,$H423&gt;0,OR(AUTOEVENTO&lt;&gt;"manual",$M423&lt;&gt;1)),
IF(Import.TipoArredondamento&lt;&gt;"TransfereGOV",
ROUND(OFFSET($P423,0,AL$13),15-13*ORÇAMENTO!$AF$7)/$H423*OFFSET(ORÇAMENTO!$X$15,ROW(AL423)-ROW(AL$15),0),
ROUND(ROUND(OFFSET($P423,0,AL$13),15-13*ORÇAMENTO!$AF$7)*OFFSET(ORÇAMENTO!$W$15,ROW(AL423)-ROW(AL$15),0),15-13*ORÇAMENTO!$AF$11)),0)</f>
        <v>0</v>
      </c>
      <c r="AM423" s="545">
        <f ca="1">IF(AND($D423="Serviço",AM$12&lt;&gt;0,$H423&gt;0,OR(AUTOEVENTO&lt;&gt;"manual",$M423&lt;&gt;1)),
IF(Import.TipoArredondamento&lt;&gt;"TransfereGOV",
ROUND(OFFSET($P423,0,AM$13),15-13*ORÇAMENTO!$AF$7)/$H423*OFFSET(ORÇAMENTO!$X$15,ROW(AM423)-ROW(AM$15),0),
ROUND(ROUND(OFFSET($P423,0,AM$13),15-13*ORÇAMENTO!$AF$7)*OFFSET(ORÇAMENTO!$W$15,ROW(AM423)-ROW(AM$15),0),15-13*ORÇAMENTO!$AF$11)),0)</f>
        <v>0</v>
      </c>
      <c r="AN423" s="545">
        <f ca="1">IF(AND($D423="Serviço",AN$12&lt;&gt;0,$H423&gt;0,OR(AUTOEVENTO&lt;&gt;"manual",$M423&lt;&gt;1)),
IF(Import.TipoArredondamento&lt;&gt;"TransfereGOV",
ROUND(OFFSET($P423,0,AN$13),15-13*ORÇAMENTO!$AF$7)/$H423*OFFSET(ORÇAMENTO!$X$15,ROW(AN423)-ROW(AN$15),0),
ROUND(ROUND(OFFSET($P423,0,AN$13),15-13*ORÇAMENTO!$AF$7)*OFFSET(ORÇAMENTO!$W$15,ROW(AN423)-ROW(AN$15),0),15-13*ORÇAMENTO!$AF$11)),0)</f>
        <v>0</v>
      </c>
      <c r="AO423" s="545">
        <f ca="1">IF(AND($D423="Serviço",AO$12&lt;&gt;0,$H423&gt;0,OR(AUTOEVENTO&lt;&gt;"manual",$M423&lt;&gt;1)),
IF(Import.TipoArredondamento&lt;&gt;"TransfereGOV",
ROUND(OFFSET($P423,0,AO$13),15-13*ORÇAMENTO!$AF$7)/$H423*OFFSET(ORÇAMENTO!$X$15,ROW(AO423)-ROW(AO$15),0),
ROUND(ROUND(OFFSET($P423,0,AO$13),15-13*ORÇAMENTO!$AF$7)*OFFSET(ORÇAMENTO!$W$15,ROW(AO423)-ROW(AO$15),0),15-13*ORÇAMENTO!$AF$11)),0)</f>
        <v>0</v>
      </c>
      <c r="AP423" s="545">
        <f ca="1">IF(AND($D423="Serviço",AP$12&lt;&gt;0,$H423&gt;0,OR(AUTOEVENTO&lt;&gt;"manual",$M423&lt;&gt;1)),
IF(Import.TipoArredondamento&lt;&gt;"TransfereGOV",
ROUND(OFFSET($P423,0,AP$13),15-13*ORÇAMENTO!$AF$7)/$H423*OFFSET(ORÇAMENTO!$X$15,ROW(AP423)-ROW(AP$15),0),
ROUND(ROUND(OFFSET($P423,0,AP$13),15-13*ORÇAMENTO!$AF$7)*OFFSET(ORÇAMENTO!$W$15,ROW(AP423)-ROW(AP$15),0),15-13*ORÇAMENTO!$AF$11)),0)</f>
        <v>0</v>
      </c>
      <c r="AQ423" s="545">
        <f ca="1">IF(AND($D423="Serviço",AQ$12&lt;&gt;0,$H423&gt;0,OR(AUTOEVENTO&lt;&gt;"manual",$M423&lt;&gt;1)),
IF(Import.TipoArredondamento&lt;&gt;"TransfereGOV",
ROUND(OFFSET($P423,0,AQ$13),15-13*ORÇAMENTO!$AF$7)/$H423*OFFSET(ORÇAMENTO!$X$15,ROW(AQ423)-ROW(AQ$15),0),
ROUND(ROUND(OFFSET($P423,0,AQ$13),15-13*ORÇAMENTO!$AF$7)*OFFSET(ORÇAMENTO!$W$15,ROW(AQ423)-ROW(AQ$15),0),15-13*ORÇAMENTO!$AF$11)),0)</f>
        <v>0</v>
      </c>
      <c r="AR423" s="545">
        <f ca="1">IF(AND($D423="Serviço",AR$12&lt;&gt;0,$H423&gt;0,OR(AUTOEVENTO&lt;&gt;"manual",$M423&lt;&gt;1)),
IF(Import.TipoArredondamento&lt;&gt;"TransfereGOV",
ROUND(OFFSET($P423,0,AR$13),15-13*ORÇAMENTO!$AF$7)/$H423*OFFSET(ORÇAMENTO!$X$15,ROW(AR423)-ROW(AR$15),0),
ROUND(ROUND(OFFSET($P423,0,AR$13),15-13*ORÇAMENTO!$AF$7)*OFFSET(ORÇAMENTO!$W$15,ROW(AR423)-ROW(AR$15),0),15-13*ORÇAMENTO!$AF$11)),0)</f>
        <v>0</v>
      </c>
      <c r="AS423" s="546">
        <f ca="1">IF(AND($D423="Serviço",AS$12&lt;&gt;0,$H423&gt;0,OR(AUTOEVENTO&lt;&gt;"manual",$M423&lt;&gt;1)),
IF(Import.TipoArredondamento&lt;&gt;"TransfereGOV",
ROUND(OFFSET($P423,0,AS$13),15-13*ORÇAMENTO!$AF$7)/$H423*OFFSET(ORÇAMENTO!$X$15,ROW(AS423)-ROW(AS$15),0),
ROUND(ROUND(OFFSET($P423,0,AS$13),15-13*ORÇAMENTO!$AF$7)*OFFSET(ORÇAMENTO!$W$15,ROW(AS423)-ROW(AS$15),0),15-13*ORÇAMENTO!$AF$11)),0)</f>
        <v>0</v>
      </c>
      <c r="AT423" s="545">
        <f ca="1">IF(AND($D423="Serviço",AT$12&lt;&gt;0,$H423&gt;0,OR(AUTOEVENTO&lt;&gt;"manual",$M423&lt;&gt;1)),
IF(Import.TipoArredondamento&lt;&gt;"TransfereGOV",
ROUND(OFFSET($P423,0,AT$13),15-13*ORÇAMENTO!$AF$7)/$H423*OFFSET(ORÇAMENTO!$X$15,ROW(AT423)-ROW(AT$15),0),
ROUND(ROUND(OFFSET($P423,0,AT$13),15-13*ORÇAMENTO!$AF$7)*OFFSET(ORÇAMENTO!$W$15,ROW(AT423)-ROW(AT$15),0),15-13*ORÇAMENTO!$AF$11)),0)</f>
        <v>0</v>
      </c>
      <c r="AU423" s="545">
        <f ca="1">IF(AND($D423="Serviço",AU$12&lt;&gt;0,$H423&gt;0,OR(AUTOEVENTO&lt;&gt;"manual",$M423&lt;&gt;1)),
IF(Import.TipoArredondamento&lt;&gt;"TransfereGOV",
ROUND(OFFSET($P423,0,AU$13),15-13*ORÇAMENTO!$AF$7)/$H423*OFFSET(ORÇAMENTO!$X$15,ROW(AU423)-ROW(AU$15),0),
ROUND(ROUND(OFFSET($P423,0,AU$13),15-13*ORÇAMENTO!$AF$7)*OFFSET(ORÇAMENTO!$W$15,ROW(AU423)-ROW(AU$15),0),15-13*ORÇAMENTO!$AF$11)),0)</f>
        <v>0</v>
      </c>
      <c r="AV423" s="545">
        <f ca="1">IF(AND($D423="Serviço",AV$12&lt;&gt;0,$H423&gt;0,OR(AUTOEVENTO&lt;&gt;"manual",$M423&lt;&gt;1)),
IF(Import.TipoArredondamento&lt;&gt;"TransfereGOV",
ROUND(OFFSET($P423,0,AV$13),15-13*ORÇAMENTO!$AF$7)/$H423*OFFSET(ORÇAMENTO!$X$15,ROW(AV423)-ROW(AV$15),0),
ROUND(ROUND(OFFSET($P423,0,AV$13),15-13*ORÇAMENTO!$AF$7)*OFFSET(ORÇAMENTO!$W$15,ROW(AV423)-ROW(AV$15),0),15-13*ORÇAMENTO!$AF$11)),0)</f>
        <v>0</v>
      </c>
      <c r="AW423" s="545">
        <f ca="1">IF(AND($D423="Serviço",AW$12&lt;&gt;0,$H423&gt;0,OR(AUTOEVENTO&lt;&gt;"manual",$M423&lt;&gt;1)),
IF(Import.TipoArredondamento&lt;&gt;"TransfereGOV",
ROUND(OFFSET($P423,0,AW$13),15-13*ORÇAMENTO!$AF$7)/$H423*OFFSET(ORÇAMENTO!$X$15,ROW(AW423)-ROW(AW$15),0),
ROUND(ROUND(OFFSET($P423,0,AW$13),15-13*ORÇAMENTO!$AF$7)*OFFSET(ORÇAMENTO!$W$15,ROW(AW423)-ROW(AW$15),0),15-13*ORÇAMENTO!$AF$11)),0)</f>
        <v>0</v>
      </c>
      <c r="AX423" s="545">
        <f ca="1">IF(AND($D423="Serviço",AX$12&lt;&gt;0,$H423&gt;0,OR(AUTOEVENTO&lt;&gt;"manual",$M423&lt;&gt;1)),
IF(Import.TipoArredondamento&lt;&gt;"TransfereGOV",
ROUND(OFFSET($P423,0,AX$13),15-13*ORÇAMENTO!$AF$7)/$H423*OFFSET(ORÇAMENTO!$X$15,ROW(AX423)-ROW(AX$15),0),
ROUND(ROUND(OFFSET($P423,0,AX$13),15-13*ORÇAMENTO!$AF$7)*OFFSET(ORÇAMENTO!$W$15,ROW(AX423)-ROW(AX$15),0),15-13*ORÇAMENTO!$AF$11)),0)</f>
        <v>0</v>
      </c>
      <c r="AY423" s="545">
        <f ca="1">IF(AND($D423="Serviço",AY$12&lt;&gt;0,$H423&gt;0,OR(AUTOEVENTO&lt;&gt;"manual",$M423&lt;&gt;1)),
IF(Import.TipoArredondamento&lt;&gt;"TransfereGOV",
ROUND(OFFSET($P423,0,AY$13),15-13*ORÇAMENTO!$AF$7)/$H423*OFFSET(ORÇAMENTO!$X$15,ROW(AY423)-ROW(AY$15),0),
ROUND(ROUND(OFFSET($P423,0,AY$13),15-13*ORÇAMENTO!$AF$7)*OFFSET(ORÇAMENTO!$W$15,ROW(AY423)-ROW(AY$15),0),15-13*ORÇAMENTO!$AF$11)),0)</f>
        <v>0</v>
      </c>
      <c r="AZ423" s="545">
        <f ca="1">IF(AND($D423="Serviço",AZ$12&lt;&gt;0,$H423&gt;0,OR(AUTOEVENTO&lt;&gt;"manual",$M423&lt;&gt;1)),
IF(Import.TipoArredondamento&lt;&gt;"TransfereGOV",
ROUND(OFFSET($P423,0,AZ$13),15-13*ORÇAMENTO!$AF$7)/$H423*OFFSET(ORÇAMENTO!$X$15,ROW(AZ423)-ROW(AZ$15),0),
ROUND(ROUND(OFFSET($P423,0,AZ$13),15-13*ORÇAMENTO!$AF$7)*OFFSET(ORÇAMENTO!$W$15,ROW(AZ423)-ROW(AZ$15),0),15-13*ORÇAMENTO!$AF$11)),0)</f>
        <v>0</v>
      </c>
      <c r="BA423" s="546">
        <f ca="1">IF(AND($D423="Serviço",BA$12&lt;&gt;0,$H423&gt;0,OR(AUTOEVENTO&lt;&gt;"manual",$M423&lt;&gt;1)),
IF(Import.TipoArredondamento&lt;&gt;"TransfereGOV",
ROUND(OFFSET($P423,0,BA$13),15-13*ORÇAMENTO!$AF$7)/$H423*OFFSET(ORÇAMENTO!$X$15,ROW(BA423)-ROW(BA$15),0),
ROUND(ROUND(OFFSET($P423,0,BA$13),15-13*ORÇAMENTO!$AF$7)*OFFSET(ORÇAMENTO!$W$15,ROW(BA423)-ROW(BA$15),0),15-13*ORÇAMENTO!$AF$11)),0)</f>
        <v>0</v>
      </c>
      <c r="BC423" s="181">
        <f ca="1">IF($D423&lt;&gt;"Serviço",0,IF(AND(AUTOEVENTO="Manual",$M423=1),0,IF(OFFSET(CRONOPLE!$F$14,$M423,BC$13)="",10^12,OFFSET(CRONOPLE!$F$14,$M423,BC$13))))</f>
        <v>10</v>
      </c>
      <c r="BD423" s="181">
        <f ca="1">IF($D423&lt;&gt;"Serviço",0,IF(AND(AUTOEVENTO="Manual",$M423=1),0,IF(OFFSET(CRONOPLE!$F$14,$M423,BD$13)="",10^12,OFFSET(CRONOPLE!$F$14,$M423,BD$13))))</f>
        <v>1000000000000</v>
      </c>
      <c r="BE423" s="181">
        <f ca="1">IF($D423&lt;&gt;"Serviço",0,IF(AND(AUTOEVENTO="Manual",$M423=1),0,IF(OFFSET(CRONOPLE!$F$14,$M423,BE$13)="",10^12,OFFSET(CRONOPLE!$F$14,$M423,BE$13))))</f>
        <v>1000000000000</v>
      </c>
      <c r="BF423" s="181">
        <f ca="1">IF($D423&lt;&gt;"Serviço",0,IF(AND(AUTOEVENTO="Manual",$M423=1),0,IF(OFFSET(CRONOPLE!$F$14,$M423,BF$13)="",10^12,OFFSET(CRONOPLE!$F$14,$M423,BF$13))))</f>
        <v>1000000000000</v>
      </c>
      <c r="BG423" s="181">
        <f ca="1">IF($D423&lt;&gt;"Serviço",0,IF(AND(AUTOEVENTO="Manual",$M423=1),0,IF(OFFSET(CRONOPLE!$F$14,$M423,BG$13)="",10^12,OFFSET(CRONOPLE!$F$14,$M423,BG$13))))</f>
        <v>1000000000000</v>
      </c>
      <c r="BH423" s="181">
        <f ca="1">IF($D423&lt;&gt;"Serviço",0,IF(AND(AUTOEVENTO="Manual",$M423=1),0,IF(OFFSET(CRONOPLE!$F$14,$M423,BH$13)="",10^12,OFFSET(CRONOPLE!$F$14,$M423,BH$13))))</f>
        <v>1000000000000</v>
      </c>
      <c r="BI423" s="181">
        <f ca="1">IF($D423&lt;&gt;"Serviço",0,IF(AND(AUTOEVENTO="Manual",$M423=1),0,IF(OFFSET(CRONOPLE!$F$14,$M423,BI$13)="",10^12,OFFSET(CRONOPLE!$F$14,$M423,BI$13))))</f>
        <v>1000000000000</v>
      </c>
      <c r="BJ423" s="181">
        <f ca="1">IF($D423&lt;&gt;"Serviço",0,IF(AND(AUTOEVENTO="Manual",$M423=1),0,IF(OFFSET(CRONOPLE!$F$14,$M423,BJ$13)="",10^12,OFFSET(CRONOPLE!$F$14,$M423,BJ$13))))</f>
        <v>1000000000000</v>
      </c>
      <c r="BK423" s="181">
        <f ca="1">IF($D423&lt;&gt;"Serviço",0,IF(AND(AUTOEVENTO="Manual",$M423=1),0,IF(OFFSET(CRONOPLE!$F$14,$M423,BK$13)="",10^12,OFFSET(CRONOPLE!$F$14,$M423,BK$13))))</f>
        <v>1000000000000</v>
      </c>
      <c r="BL423" s="181">
        <f ca="1">IF($D423&lt;&gt;"Serviço",0,IF(AND(AUTOEVENTO="Manual",$M423=1),0,IF(OFFSET(CRONOPLE!$F$14,$M423,BL$13)="",10^12,OFFSET(CRONOPLE!$F$14,$M423,BL$13))))</f>
        <v>1000000000000</v>
      </c>
      <c r="BM423" s="181">
        <f ca="1">IF($D423&lt;&gt;"Serviço",0,IF(AND(AUTOEVENTO="Manual",$M423=1),0,IF(OFFSET(CRONOPLE!$F$14,$M423,BM$13)="",10^12,OFFSET(CRONOPLE!$F$14,$M423,BM$13))))</f>
        <v>1000000000000</v>
      </c>
      <c r="BN423" s="181">
        <f ca="1">IF($D423&lt;&gt;"Serviço",0,IF(AND(AUTOEVENTO="Manual",$M423=1),0,IF(OFFSET(CRONOPLE!$F$14,$M423,BN$13)="",10^12,OFFSET(CRONOPLE!$F$14,$M423,BN$13))))</f>
        <v>1000000000000</v>
      </c>
      <c r="BO423" s="181">
        <f ca="1">IF($D423&lt;&gt;"Serviço",0,IF(AND(AUTOEVENTO="Manual",$M423=1),0,IF(OFFSET(CRONOPLE!$F$14,$M423,BO$13)="",10^12,OFFSET(CRONOPLE!$F$14,$M423,BO$13))))</f>
        <v>1000000000000</v>
      </c>
      <c r="BP423" s="181">
        <f ca="1">IF($D423&lt;&gt;"Serviço",0,IF(AND(AUTOEVENTO="Manual",$M423=1),0,IF(OFFSET(CRONOPLE!$F$14,$M423,BP$13)="",10^12,OFFSET(CRONOPLE!$F$14,$M423,BP$13))))</f>
        <v>1000000000000</v>
      </c>
      <c r="BQ423" s="181">
        <f ca="1">IF($D423&lt;&gt;"Serviço",0,IF(AND(AUTOEVENTO="Manual",$M423=1),0,IF(OFFSET(CRONOPLE!$F$14,$M423,BQ$13)="",10^12,OFFSET(CRONOPLE!$F$14,$M423,BQ$13))))</f>
        <v>1000000000000</v>
      </c>
      <c r="BR423" s="181">
        <f ca="1">IF($D423&lt;&gt;"Serviço",0,IF(AND(AUTOEVENTO="Manual",$M423=1),0,IF(OFFSET(CRONOPLE!$F$14,$M423,BR$13)="",10^12,OFFSET(CRONOPLE!$F$14,$M423,BR$13))))</f>
        <v>1000000000000</v>
      </c>
      <c r="BS423" s="181">
        <f ca="1">IF($D423&lt;&gt;"Serviço",0,IF(AND(AUTOEVENTO="Manual",$M423=1),0,IF(OFFSET(CRONOPLE!$F$14,$M423,BS$13)="",10^12,OFFSET(CRONOPLE!$F$14,$M423,BS$13))))</f>
        <v>1000000000000</v>
      </c>
      <c r="BT423" s="181">
        <f ca="1">IF($D423&lt;&gt;"Serviço",0,IF(AND(AUTOEVENTO="Manual",$M423=1),0,IF(OFFSET(CRONOPLE!$F$14,$M423,BT$13)="",10^12,OFFSET(CRONOPLE!$F$14,$M423,BT$13))))</f>
        <v>1000000000000</v>
      </c>
      <c r="BV423" s="182">
        <f ca="1">IF($D423&lt;&gt;"Serviço",0,IF(OR(AND(AUTOEVENTO="Manual",$M423=1),$M423&gt;(ROW(PLE.lastrow)-ROW(PLE.firstrow))),0,IF(OFFSET(PLE!$G$14,$M423,BV$13)="",10^12,OFFSET(PLE!$G$14,$M423,BV$13))))</f>
        <v>1000000000000</v>
      </c>
      <c r="BW423" s="182">
        <f ca="1">IF($D423&lt;&gt;"Serviço",0,IF(OR(AND(AUTOEVENTO="Manual",$M423=1),$M423&gt;(ROW(PLE.lastrow)-ROW(PLE.firstrow))),0,IF(OFFSET(PLE!$G$14,$M423,BW$13)="",10^12,OFFSET(PLE!$G$14,$M423,BW$13))))</f>
        <v>1000000000000</v>
      </c>
      <c r="BX423" s="182">
        <f ca="1">IF($D423&lt;&gt;"Serviço",0,IF(OR(AND(AUTOEVENTO="Manual",$M423=1),$M423&gt;(ROW(PLE.lastrow)-ROW(PLE.firstrow))),0,IF(OFFSET(PLE!$G$14,$M423,BX$13)="",10^12,OFFSET(PLE!$G$14,$M423,BX$13))))</f>
        <v>1000000000000</v>
      </c>
      <c r="BY423" s="182">
        <f ca="1">IF($D423&lt;&gt;"Serviço",0,IF(OR(AND(AUTOEVENTO="Manual",$M423=1),$M423&gt;(ROW(PLE.lastrow)-ROW(PLE.firstrow))),0,IF(OFFSET(PLE!$G$14,$M423,BY$13)="",10^12,OFFSET(PLE!$G$14,$M423,BY$13))))</f>
        <v>1000000000000</v>
      </c>
      <c r="BZ423" s="182">
        <f ca="1">IF($D423&lt;&gt;"Serviço",0,IF(OR(AND(AUTOEVENTO="Manual",$M423=1),$M423&gt;(ROW(PLE.lastrow)-ROW(PLE.firstrow))),0,IF(OFFSET(PLE!$G$14,$M423,BZ$13)="",10^12,OFFSET(PLE!$G$14,$M423,BZ$13))))</f>
        <v>1000000000000</v>
      </c>
      <c r="CA423" s="182">
        <f ca="1">IF($D423&lt;&gt;"Serviço",0,IF(OR(AND(AUTOEVENTO="Manual",$M423=1),$M423&gt;(ROW(PLE.lastrow)-ROW(PLE.firstrow))),0,IF(OFFSET(PLE!$G$14,$M423,CA$13)="",10^12,OFFSET(PLE!$G$14,$M423,CA$13))))</f>
        <v>1000000000000</v>
      </c>
      <c r="CB423" s="182">
        <f ca="1">IF($D423&lt;&gt;"Serviço",0,IF(OR(AND(AUTOEVENTO="Manual",$M423=1),$M423&gt;(ROW(PLE.lastrow)-ROW(PLE.firstrow))),0,IF(OFFSET(PLE!$G$14,$M423,CB$13)="",10^12,OFFSET(PLE!$G$14,$M423,CB$13))))</f>
        <v>1000000000000</v>
      </c>
      <c r="CC423" s="182">
        <f ca="1">IF($D423&lt;&gt;"Serviço",0,IF(OR(AND(AUTOEVENTO="Manual",$M423=1),$M423&gt;(ROW(PLE.lastrow)-ROW(PLE.firstrow))),0,IF(OFFSET(PLE!$G$14,$M423,CC$13)="",10^12,OFFSET(PLE!$G$14,$M423,CC$13))))</f>
        <v>1000000000000</v>
      </c>
      <c r="CD423" s="182">
        <f ca="1">IF($D423&lt;&gt;"Serviço",0,IF(OR(AND(AUTOEVENTO="Manual",$M423=1),$M423&gt;(ROW(PLE.lastrow)-ROW(PLE.firstrow))),0,IF(OFFSET(PLE!$G$14,$M423,CD$13)="",10^12,OFFSET(PLE!$G$14,$M423,CD$13))))</f>
        <v>1000000000000</v>
      </c>
      <c r="CE423" s="182">
        <f ca="1">IF($D423&lt;&gt;"Serviço",0,IF(OR(AND(AUTOEVENTO="Manual",$M423=1),$M423&gt;(ROW(PLE.lastrow)-ROW(PLE.firstrow))),0,IF(OFFSET(PLE!$G$14,$M423,CE$13)="",10^12,OFFSET(PLE!$G$14,$M423,CE$13))))</f>
        <v>1000000000000</v>
      </c>
      <c r="CF423" s="182">
        <f ca="1">IF($D423&lt;&gt;"Serviço",0,IF(OR(AND(AUTOEVENTO="Manual",$M423=1),$M423&gt;(ROW(PLE.lastrow)-ROW(PLE.firstrow))),0,IF(OFFSET(PLE!$G$14,$M423,CF$13)="",10^12,OFFSET(PLE!$G$14,$M423,CF$13))))</f>
        <v>1000000000000</v>
      </c>
      <c r="CG423" s="182">
        <f ca="1">IF($D423&lt;&gt;"Serviço",0,IF(OR(AND(AUTOEVENTO="Manual",$M423=1),$M423&gt;(ROW(PLE.lastrow)-ROW(PLE.firstrow))),0,IF(OFFSET(PLE!$G$14,$M423,CG$13)="",10^12,OFFSET(PLE!$G$14,$M423,CG$13))))</f>
        <v>1000000000000</v>
      </c>
      <c r="CH423" s="182">
        <f ca="1">IF($D423&lt;&gt;"Serviço",0,IF(OR(AND(AUTOEVENTO="Manual",$M423=1),$M423&gt;(ROW(PLE.lastrow)-ROW(PLE.firstrow))),0,IF(OFFSET(PLE!$G$14,$M423,CH$13)="",10^12,OFFSET(PLE!$G$14,$M423,CH$13))))</f>
        <v>1000000000000</v>
      </c>
      <c r="CI423" s="182">
        <f ca="1">IF($D423&lt;&gt;"Serviço",0,IF(OR(AND(AUTOEVENTO="Manual",$M423=1),$M423&gt;(ROW(PLE.lastrow)-ROW(PLE.firstrow))),0,IF(OFFSET(PLE!$G$14,$M423,CI$13)="",10^12,OFFSET(PLE!$G$14,$M423,CI$13))))</f>
        <v>1000000000000</v>
      </c>
      <c r="CJ423" s="182">
        <f ca="1">IF($D423&lt;&gt;"Serviço",0,IF(OR(AND(AUTOEVENTO="Manual",$M423=1),$M423&gt;(ROW(PLE.lastrow)-ROW(PLE.firstrow))),0,IF(OFFSET(PLE!$G$14,$M423,CJ$13)="",10^12,OFFSET(PLE!$G$14,$M423,CJ$13))))</f>
        <v>1000000000000</v>
      </c>
      <c r="CK423" s="182">
        <f ca="1">IF($D423&lt;&gt;"Serviço",0,IF(OR(AND(AUTOEVENTO="Manual",$M423=1),$M423&gt;(ROW(PLE.lastrow)-ROW(PLE.firstrow))),0,IF(OFFSET(PLE!$G$14,$M423,CK$13)="",10^12,OFFSET(PLE!$G$14,$M423,CK$13))))</f>
        <v>1000000000000</v>
      </c>
      <c r="CL423" s="182">
        <f ca="1">IF($D423&lt;&gt;"Serviço",0,IF(OR(AND(AUTOEVENTO="Manual",$M423=1),$M423&gt;(ROW(PLE.lastrow)-ROW(PLE.firstrow))),0,IF(OFFSET(PLE!$G$14,$M423,CL$13)="",10^12,OFFSET(PLE!$G$14,$M423,CL$13))))</f>
        <v>1000000000000</v>
      </c>
      <c r="CM423" s="182">
        <f ca="1">IF($D423&lt;&gt;"Serviço",0,IF(OR(AND(AUTOEVENTO="Manual",$M423=1),$M423&gt;(ROW(PLE.lastrow)-ROW(PLE.firstrow))),0,IF(OFFSET(PLE!$G$14,$M423,CM$13)="",10^12,OFFSET(PLE!$G$14,$M423,CM$13))))</f>
        <v>1000000000000</v>
      </c>
    </row>
    <row r="424" spans="1:91" ht="38.25" x14ac:dyDescent="0.2">
      <c r="A424" s="7" t="str">
        <f t="shared" ca="1" si="14"/>
        <v>406</v>
      </c>
      <c r="B424" s="7" t="str">
        <f ca="1">OFFSET(ORÇAMENTO!C$15,ROW(B424)-ROW(B$15),0)</f>
        <v>S</v>
      </c>
      <c r="C424" s="7" t="str">
        <f ca="1">OFFSET(ORÇAMENTO!L$15,ROW(C424)-ROW(C$15),0)</f>
        <v/>
      </c>
      <c r="D424" s="118" t="str">
        <f ca="1">OFFSET(ORÇAMENTO!N$15,ROW(D424)-ROW(D$15),0)</f>
        <v>Serviço</v>
      </c>
      <c r="E424" s="119" t="str">
        <f ca="1">OFFSET(ORÇAMENTO!O$15,ROW(E424)-ROW(E$15),0)</f>
        <v>-</v>
      </c>
      <c r="F424" s="172" t="str">
        <f ca="1">OFFSET(ORÇAMENTO!R$15,ROW(F424)-ROW(F$15),0)</f>
        <v>(abra o arquivo 'Referência 06-2024.xlsm)</v>
      </c>
      <c r="G424" s="173" t="str">
        <f ca="1">IF($D424&lt;&gt;"Serviço","",OFFSET(ORÇAMENTO!S$15,ROW(G424)-ROW(G$15),0))</f>
        <v>-</v>
      </c>
      <c r="H424" s="124">
        <f ca="1">IF($D424&lt;&gt;"Serviço",0,IF(ACOMPANHAMENTO="BM",ROUND(OFFSET(ORÇAMENTO!AJ$15,ROW(H424)-ROW(H$15),0),15-13*ORÇAMENTO!$AF$7),SUMPRODUCT(($Q$12:$AI$12&lt;&gt;"")*ROUND($Q424:$AI424,15-13*ORÇAMENTO!$AF$7))))</f>
        <v>4</v>
      </c>
      <c r="I424" s="561" t="s">
        <v>1107</v>
      </c>
      <c r="K424" s="174"/>
      <c r="L424" s="175" t="s">
        <v>255</v>
      </c>
      <c r="M424" s="176">
        <f ca="1">IF($D424&lt;&gt;"Serviço","",IF(AUTOEVENTO="manual",$A424,IF(ISERROR(MATCH($A424,$A$15:OFFSET($A424,-1,0),0)),MAX($M$15:OFFSET(M424,-1,0))+1,INDEX($M$15:OFFSET(M424,-1,0),MATCH($A424,$A$15:OFFSET($A424,-1,0),0)))))</f>
        <v>48</v>
      </c>
      <c r="N424" s="177" t="str">
        <f ca="1">IF($D424&lt;&gt;"Serviço","",IF(AUTOEVENTO="Manual",IF($A424=0,"&lt;-- defina o número do agrupador",OFFSET(EVENTOS!$D$14,$A424,0)),OFFSET($F$15,$A424,0)))</f>
        <v>SISTEMA DE PROTEÇÃO CONTRA INCÊNDIO - ACESSÓRIOS</v>
      </c>
      <c r="O424" s="178"/>
      <c r="Q424" s="178">
        <v>4</v>
      </c>
      <c r="R424" s="179"/>
      <c r="S424" s="179"/>
      <c r="T424" s="179"/>
      <c r="U424" s="179"/>
      <c r="V424" s="179"/>
      <c r="W424" s="179"/>
      <c r="X424" s="179"/>
      <c r="Y424" s="179"/>
      <c r="Z424" s="180"/>
      <c r="AA424" s="179"/>
      <c r="AB424" s="179"/>
      <c r="AC424" s="179"/>
      <c r="AD424" s="179"/>
      <c r="AE424" s="179"/>
      <c r="AF424" s="179"/>
      <c r="AG424" s="179"/>
      <c r="AH424" s="180"/>
      <c r="AJ424" s="544">
        <f ca="1">IF(AND($D424="Serviço",AJ$12&lt;&gt;0,$H424&gt;0,OR(AUTOEVENTO&lt;&gt;"manual",$M424&lt;&gt;1)),
IF(Import.TipoArredondamento&lt;&gt;"TransfereGOV",
ROUND(OFFSET($P424,0,AJ$13),15-13*ORÇAMENTO!$AF$7)/$H424*OFFSET(ORÇAMENTO!$X$15,ROW(AJ424)-ROW(AJ$15),0),
ROUND(ROUND(OFFSET($P424,0,AJ$13),15-13*ORÇAMENTO!$AF$7)*OFFSET(ORÇAMENTO!$W$15,ROW(AJ424)-ROW(AJ$15),0),15-13*ORÇAMENTO!$AF$11)),0)</f>
        <v>0</v>
      </c>
      <c r="AK424" s="545">
        <f ca="1">IF(AND($D424="Serviço",AK$12&lt;&gt;0,$H424&gt;0,OR(AUTOEVENTO&lt;&gt;"manual",$M424&lt;&gt;1)),
IF(Import.TipoArredondamento&lt;&gt;"TransfereGOV",
ROUND(OFFSET($P424,0,AK$13),15-13*ORÇAMENTO!$AF$7)/$H424*OFFSET(ORÇAMENTO!$X$15,ROW(AK424)-ROW(AK$15),0),
ROUND(ROUND(OFFSET($P424,0,AK$13),15-13*ORÇAMENTO!$AF$7)*OFFSET(ORÇAMENTO!$W$15,ROW(AK424)-ROW(AK$15),0),15-13*ORÇAMENTO!$AF$11)),0)</f>
        <v>0</v>
      </c>
      <c r="AL424" s="545">
        <f ca="1">IF(AND($D424="Serviço",AL$12&lt;&gt;0,$H424&gt;0,OR(AUTOEVENTO&lt;&gt;"manual",$M424&lt;&gt;1)),
IF(Import.TipoArredondamento&lt;&gt;"TransfereGOV",
ROUND(OFFSET($P424,0,AL$13),15-13*ORÇAMENTO!$AF$7)/$H424*OFFSET(ORÇAMENTO!$X$15,ROW(AL424)-ROW(AL$15),0),
ROUND(ROUND(OFFSET($P424,0,AL$13),15-13*ORÇAMENTO!$AF$7)*OFFSET(ORÇAMENTO!$W$15,ROW(AL424)-ROW(AL$15),0),15-13*ORÇAMENTO!$AF$11)),0)</f>
        <v>0</v>
      </c>
      <c r="AM424" s="545">
        <f ca="1">IF(AND($D424="Serviço",AM$12&lt;&gt;0,$H424&gt;0,OR(AUTOEVENTO&lt;&gt;"manual",$M424&lt;&gt;1)),
IF(Import.TipoArredondamento&lt;&gt;"TransfereGOV",
ROUND(OFFSET($P424,0,AM$13),15-13*ORÇAMENTO!$AF$7)/$H424*OFFSET(ORÇAMENTO!$X$15,ROW(AM424)-ROW(AM$15),0),
ROUND(ROUND(OFFSET($P424,0,AM$13),15-13*ORÇAMENTO!$AF$7)*OFFSET(ORÇAMENTO!$W$15,ROW(AM424)-ROW(AM$15),0),15-13*ORÇAMENTO!$AF$11)),0)</f>
        <v>0</v>
      </c>
      <c r="AN424" s="545">
        <f ca="1">IF(AND($D424="Serviço",AN$12&lt;&gt;0,$H424&gt;0,OR(AUTOEVENTO&lt;&gt;"manual",$M424&lt;&gt;1)),
IF(Import.TipoArredondamento&lt;&gt;"TransfereGOV",
ROUND(OFFSET($P424,0,AN$13),15-13*ORÇAMENTO!$AF$7)/$H424*OFFSET(ORÇAMENTO!$X$15,ROW(AN424)-ROW(AN$15),0),
ROUND(ROUND(OFFSET($P424,0,AN$13),15-13*ORÇAMENTO!$AF$7)*OFFSET(ORÇAMENTO!$W$15,ROW(AN424)-ROW(AN$15),0),15-13*ORÇAMENTO!$AF$11)),0)</f>
        <v>0</v>
      </c>
      <c r="AO424" s="545">
        <f ca="1">IF(AND($D424="Serviço",AO$12&lt;&gt;0,$H424&gt;0,OR(AUTOEVENTO&lt;&gt;"manual",$M424&lt;&gt;1)),
IF(Import.TipoArredondamento&lt;&gt;"TransfereGOV",
ROUND(OFFSET($P424,0,AO$13),15-13*ORÇAMENTO!$AF$7)/$H424*OFFSET(ORÇAMENTO!$X$15,ROW(AO424)-ROW(AO$15),0),
ROUND(ROUND(OFFSET($P424,0,AO$13),15-13*ORÇAMENTO!$AF$7)*OFFSET(ORÇAMENTO!$W$15,ROW(AO424)-ROW(AO$15),0),15-13*ORÇAMENTO!$AF$11)),0)</f>
        <v>0</v>
      </c>
      <c r="AP424" s="545">
        <f ca="1">IF(AND($D424="Serviço",AP$12&lt;&gt;0,$H424&gt;0,OR(AUTOEVENTO&lt;&gt;"manual",$M424&lt;&gt;1)),
IF(Import.TipoArredondamento&lt;&gt;"TransfereGOV",
ROUND(OFFSET($P424,0,AP$13),15-13*ORÇAMENTO!$AF$7)/$H424*OFFSET(ORÇAMENTO!$X$15,ROW(AP424)-ROW(AP$15),0),
ROUND(ROUND(OFFSET($P424,0,AP$13),15-13*ORÇAMENTO!$AF$7)*OFFSET(ORÇAMENTO!$W$15,ROW(AP424)-ROW(AP$15),0),15-13*ORÇAMENTO!$AF$11)),0)</f>
        <v>0</v>
      </c>
      <c r="AQ424" s="545">
        <f ca="1">IF(AND($D424="Serviço",AQ$12&lt;&gt;0,$H424&gt;0,OR(AUTOEVENTO&lt;&gt;"manual",$M424&lt;&gt;1)),
IF(Import.TipoArredondamento&lt;&gt;"TransfereGOV",
ROUND(OFFSET($P424,0,AQ$13),15-13*ORÇAMENTO!$AF$7)/$H424*OFFSET(ORÇAMENTO!$X$15,ROW(AQ424)-ROW(AQ$15),0),
ROUND(ROUND(OFFSET($P424,0,AQ$13),15-13*ORÇAMENTO!$AF$7)*OFFSET(ORÇAMENTO!$W$15,ROW(AQ424)-ROW(AQ$15),0),15-13*ORÇAMENTO!$AF$11)),0)</f>
        <v>0</v>
      </c>
      <c r="AR424" s="545">
        <f ca="1">IF(AND($D424="Serviço",AR$12&lt;&gt;0,$H424&gt;0,OR(AUTOEVENTO&lt;&gt;"manual",$M424&lt;&gt;1)),
IF(Import.TipoArredondamento&lt;&gt;"TransfereGOV",
ROUND(OFFSET($P424,0,AR$13),15-13*ORÇAMENTO!$AF$7)/$H424*OFFSET(ORÇAMENTO!$X$15,ROW(AR424)-ROW(AR$15),0),
ROUND(ROUND(OFFSET($P424,0,AR$13),15-13*ORÇAMENTO!$AF$7)*OFFSET(ORÇAMENTO!$W$15,ROW(AR424)-ROW(AR$15),0),15-13*ORÇAMENTO!$AF$11)),0)</f>
        <v>0</v>
      </c>
      <c r="AS424" s="546">
        <f ca="1">IF(AND($D424="Serviço",AS$12&lt;&gt;0,$H424&gt;0,OR(AUTOEVENTO&lt;&gt;"manual",$M424&lt;&gt;1)),
IF(Import.TipoArredondamento&lt;&gt;"TransfereGOV",
ROUND(OFFSET($P424,0,AS$13),15-13*ORÇAMENTO!$AF$7)/$H424*OFFSET(ORÇAMENTO!$X$15,ROW(AS424)-ROW(AS$15),0),
ROUND(ROUND(OFFSET($P424,0,AS$13),15-13*ORÇAMENTO!$AF$7)*OFFSET(ORÇAMENTO!$W$15,ROW(AS424)-ROW(AS$15),0),15-13*ORÇAMENTO!$AF$11)),0)</f>
        <v>0</v>
      </c>
      <c r="AT424" s="545">
        <f ca="1">IF(AND($D424="Serviço",AT$12&lt;&gt;0,$H424&gt;0,OR(AUTOEVENTO&lt;&gt;"manual",$M424&lt;&gt;1)),
IF(Import.TipoArredondamento&lt;&gt;"TransfereGOV",
ROUND(OFFSET($P424,0,AT$13),15-13*ORÇAMENTO!$AF$7)/$H424*OFFSET(ORÇAMENTO!$X$15,ROW(AT424)-ROW(AT$15),0),
ROUND(ROUND(OFFSET($P424,0,AT$13),15-13*ORÇAMENTO!$AF$7)*OFFSET(ORÇAMENTO!$W$15,ROW(AT424)-ROW(AT$15),0),15-13*ORÇAMENTO!$AF$11)),0)</f>
        <v>0</v>
      </c>
      <c r="AU424" s="545">
        <f ca="1">IF(AND($D424="Serviço",AU$12&lt;&gt;0,$H424&gt;0,OR(AUTOEVENTO&lt;&gt;"manual",$M424&lt;&gt;1)),
IF(Import.TipoArredondamento&lt;&gt;"TransfereGOV",
ROUND(OFFSET($P424,0,AU$13),15-13*ORÇAMENTO!$AF$7)/$H424*OFFSET(ORÇAMENTO!$X$15,ROW(AU424)-ROW(AU$15),0),
ROUND(ROUND(OFFSET($P424,0,AU$13),15-13*ORÇAMENTO!$AF$7)*OFFSET(ORÇAMENTO!$W$15,ROW(AU424)-ROW(AU$15),0),15-13*ORÇAMENTO!$AF$11)),0)</f>
        <v>0</v>
      </c>
      <c r="AV424" s="545">
        <f ca="1">IF(AND($D424="Serviço",AV$12&lt;&gt;0,$H424&gt;0,OR(AUTOEVENTO&lt;&gt;"manual",$M424&lt;&gt;1)),
IF(Import.TipoArredondamento&lt;&gt;"TransfereGOV",
ROUND(OFFSET($P424,0,AV$13),15-13*ORÇAMENTO!$AF$7)/$H424*OFFSET(ORÇAMENTO!$X$15,ROW(AV424)-ROW(AV$15),0),
ROUND(ROUND(OFFSET($P424,0,AV$13),15-13*ORÇAMENTO!$AF$7)*OFFSET(ORÇAMENTO!$W$15,ROW(AV424)-ROW(AV$15),0),15-13*ORÇAMENTO!$AF$11)),0)</f>
        <v>0</v>
      </c>
      <c r="AW424" s="545">
        <f ca="1">IF(AND($D424="Serviço",AW$12&lt;&gt;0,$H424&gt;0,OR(AUTOEVENTO&lt;&gt;"manual",$M424&lt;&gt;1)),
IF(Import.TipoArredondamento&lt;&gt;"TransfereGOV",
ROUND(OFFSET($P424,0,AW$13),15-13*ORÇAMENTO!$AF$7)/$H424*OFFSET(ORÇAMENTO!$X$15,ROW(AW424)-ROW(AW$15),0),
ROUND(ROUND(OFFSET($P424,0,AW$13),15-13*ORÇAMENTO!$AF$7)*OFFSET(ORÇAMENTO!$W$15,ROW(AW424)-ROW(AW$15),0),15-13*ORÇAMENTO!$AF$11)),0)</f>
        <v>0</v>
      </c>
      <c r="AX424" s="545">
        <f ca="1">IF(AND($D424="Serviço",AX$12&lt;&gt;0,$H424&gt;0,OR(AUTOEVENTO&lt;&gt;"manual",$M424&lt;&gt;1)),
IF(Import.TipoArredondamento&lt;&gt;"TransfereGOV",
ROUND(OFFSET($P424,0,AX$13),15-13*ORÇAMENTO!$AF$7)/$H424*OFFSET(ORÇAMENTO!$X$15,ROW(AX424)-ROW(AX$15),0),
ROUND(ROUND(OFFSET($P424,0,AX$13),15-13*ORÇAMENTO!$AF$7)*OFFSET(ORÇAMENTO!$W$15,ROW(AX424)-ROW(AX$15),0),15-13*ORÇAMENTO!$AF$11)),0)</f>
        <v>0</v>
      </c>
      <c r="AY424" s="545">
        <f ca="1">IF(AND($D424="Serviço",AY$12&lt;&gt;0,$H424&gt;0,OR(AUTOEVENTO&lt;&gt;"manual",$M424&lt;&gt;1)),
IF(Import.TipoArredondamento&lt;&gt;"TransfereGOV",
ROUND(OFFSET($P424,0,AY$13),15-13*ORÇAMENTO!$AF$7)/$H424*OFFSET(ORÇAMENTO!$X$15,ROW(AY424)-ROW(AY$15),0),
ROUND(ROUND(OFFSET($P424,0,AY$13),15-13*ORÇAMENTO!$AF$7)*OFFSET(ORÇAMENTO!$W$15,ROW(AY424)-ROW(AY$15),0),15-13*ORÇAMENTO!$AF$11)),0)</f>
        <v>0</v>
      </c>
      <c r="AZ424" s="545">
        <f ca="1">IF(AND($D424="Serviço",AZ$12&lt;&gt;0,$H424&gt;0,OR(AUTOEVENTO&lt;&gt;"manual",$M424&lt;&gt;1)),
IF(Import.TipoArredondamento&lt;&gt;"TransfereGOV",
ROUND(OFFSET($P424,0,AZ$13),15-13*ORÇAMENTO!$AF$7)/$H424*OFFSET(ORÇAMENTO!$X$15,ROW(AZ424)-ROW(AZ$15),0),
ROUND(ROUND(OFFSET($P424,0,AZ$13),15-13*ORÇAMENTO!$AF$7)*OFFSET(ORÇAMENTO!$W$15,ROW(AZ424)-ROW(AZ$15),0),15-13*ORÇAMENTO!$AF$11)),0)</f>
        <v>0</v>
      </c>
      <c r="BA424" s="546">
        <f ca="1">IF(AND($D424="Serviço",BA$12&lt;&gt;0,$H424&gt;0,OR(AUTOEVENTO&lt;&gt;"manual",$M424&lt;&gt;1)),
IF(Import.TipoArredondamento&lt;&gt;"TransfereGOV",
ROUND(OFFSET($P424,0,BA$13),15-13*ORÇAMENTO!$AF$7)/$H424*OFFSET(ORÇAMENTO!$X$15,ROW(BA424)-ROW(BA$15),0),
ROUND(ROUND(OFFSET($P424,0,BA$13),15-13*ORÇAMENTO!$AF$7)*OFFSET(ORÇAMENTO!$W$15,ROW(BA424)-ROW(BA$15),0),15-13*ORÇAMENTO!$AF$11)),0)</f>
        <v>0</v>
      </c>
      <c r="BC424" s="181">
        <f ca="1">IF($D424&lt;&gt;"Serviço",0,IF(AND(AUTOEVENTO="Manual",$M424=1),0,IF(OFFSET(CRONOPLE!$F$14,$M424,BC$13)="",10^12,OFFSET(CRONOPLE!$F$14,$M424,BC$13))))</f>
        <v>10</v>
      </c>
      <c r="BD424" s="181">
        <f ca="1">IF($D424&lt;&gt;"Serviço",0,IF(AND(AUTOEVENTO="Manual",$M424=1),0,IF(OFFSET(CRONOPLE!$F$14,$M424,BD$13)="",10^12,OFFSET(CRONOPLE!$F$14,$M424,BD$13))))</f>
        <v>1000000000000</v>
      </c>
      <c r="BE424" s="181">
        <f ca="1">IF($D424&lt;&gt;"Serviço",0,IF(AND(AUTOEVENTO="Manual",$M424=1),0,IF(OFFSET(CRONOPLE!$F$14,$M424,BE$13)="",10^12,OFFSET(CRONOPLE!$F$14,$M424,BE$13))))</f>
        <v>1000000000000</v>
      </c>
      <c r="BF424" s="181">
        <f ca="1">IF($D424&lt;&gt;"Serviço",0,IF(AND(AUTOEVENTO="Manual",$M424=1),0,IF(OFFSET(CRONOPLE!$F$14,$M424,BF$13)="",10^12,OFFSET(CRONOPLE!$F$14,$M424,BF$13))))</f>
        <v>1000000000000</v>
      </c>
      <c r="BG424" s="181">
        <f ca="1">IF($D424&lt;&gt;"Serviço",0,IF(AND(AUTOEVENTO="Manual",$M424=1),0,IF(OFFSET(CRONOPLE!$F$14,$M424,BG$13)="",10^12,OFFSET(CRONOPLE!$F$14,$M424,BG$13))))</f>
        <v>1000000000000</v>
      </c>
      <c r="BH424" s="181">
        <f ca="1">IF($D424&lt;&gt;"Serviço",0,IF(AND(AUTOEVENTO="Manual",$M424=1),0,IF(OFFSET(CRONOPLE!$F$14,$M424,BH$13)="",10^12,OFFSET(CRONOPLE!$F$14,$M424,BH$13))))</f>
        <v>1000000000000</v>
      </c>
      <c r="BI424" s="181">
        <f ca="1">IF($D424&lt;&gt;"Serviço",0,IF(AND(AUTOEVENTO="Manual",$M424=1),0,IF(OFFSET(CRONOPLE!$F$14,$M424,BI$13)="",10^12,OFFSET(CRONOPLE!$F$14,$M424,BI$13))))</f>
        <v>1000000000000</v>
      </c>
      <c r="BJ424" s="181">
        <f ca="1">IF($D424&lt;&gt;"Serviço",0,IF(AND(AUTOEVENTO="Manual",$M424=1),0,IF(OFFSET(CRONOPLE!$F$14,$M424,BJ$13)="",10^12,OFFSET(CRONOPLE!$F$14,$M424,BJ$13))))</f>
        <v>1000000000000</v>
      </c>
      <c r="BK424" s="181">
        <f ca="1">IF($D424&lt;&gt;"Serviço",0,IF(AND(AUTOEVENTO="Manual",$M424=1),0,IF(OFFSET(CRONOPLE!$F$14,$M424,BK$13)="",10^12,OFFSET(CRONOPLE!$F$14,$M424,BK$13))))</f>
        <v>1000000000000</v>
      </c>
      <c r="BL424" s="181">
        <f ca="1">IF($D424&lt;&gt;"Serviço",0,IF(AND(AUTOEVENTO="Manual",$M424=1),0,IF(OFFSET(CRONOPLE!$F$14,$M424,BL$13)="",10^12,OFFSET(CRONOPLE!$F$14,$M424,BL$13))))</f>
        <v>1000000000000</v>
      </c>
      <c r="BM424" s="181">
        <f ca="1">IF($D424&lt;&gt;"Serviço",0,IF(AND(AUTOEVENTO="Manual",$M424=1),0,IF(OFFSET(CRONOPLE!$F$14,$M424,BM$13)="",10^12,OFFSET(CRONOPLE!$F$14,$M424,BM$13))))</f>
        <v>1000000000000</v>
      </c>
      <c r="BN424" s="181">
        <f ca="1">IF($D424&lt;&gt;"Serviço",0,IF(AND(AUTOEVENTO="Manual",$M424=1),0,IF(OFFSET(CRONOPLE!$F$14,$M424,BN$13)="",10^12,OFFSET(CRONOPLE!$F$14,$M424,BN$13))))</f>
        <v>1000000000000</v>
      </c>
      <c r="BO424" s="181">
        <f ca="1">IF($D424&lt;&gt;"Serviço",0,IF(AND(AUTOEVENTO="Manual",$M424=1),0,IF(OFFSET(CRONOPLE!$F$14,$M424,BO$13)="",10^12,OFFSET(CRONOPLE!$F$14,$M424,BO$13))))</f>
        <v>1000000000000</v>
      </c>
      <c r="BP424" s="181">
        <f ca="1">IF($D424&lt;&gt;"Serviço",0,IF(AND(AUTOEVENTO="Manual",$M424=1),0,IF(OFFSET(CRONOPLE!$F$14,$M424,BP$13)="",10^12,OFFSET(CRONOPLE!$F$14,$M424,BP$13))))</f>
        <v>1000000000000</v>
      </c>
      <c r="BQ424" s="181">
        <f ca="1">IF($D424&lt;&gt;"Serviço",0,IF(AND(AUTOEVENTO="Manual",$M424=1),0,IF(OFFSET(CRONOPLE!$F$14,$M424,BQ$13)="",10^12,OFFSET(CRONOPLE!$F$14,$M424,BQ$13))))</f>
        <v>1000000000000</v>
      </c>
      <c r="BR424" s="181">
        <f ca="1">IF($D424&lt;&gt;"Serviço",0,IF(AND(AUTOEVENTO="Manual",$M424=1),0,IF(OFFSET(CRONOPLE!$F$14,$M424,BR$13)="",10^12,OFFSET(CRONOPLE!$F$14,$M424,BR$13))))</f>
        <v>1000000000000</v>
      </c>
      <c r="BS424" s="181">
        <f ca="1">IF($D424&lt;&gt;"Serviço",0,IF(AND(AUTOEVENTO="Manual",$M424=1),0,IF(OFFSET(CRONOPLE!$F$14,$M424,BS$13)="",10^12,OFFSET(CRONOPLE!$F$14,$M424,BS$13))))</f>
        <v>1000000000000</v>
      </c>
      <c r="BT424" s="181">
        <f ca="1">IF($D424&lt;&gt;"Serviço",0,IF(AND(AUTOEVENTO="Manual",$M424=1),0,IF(OFFSET(CRONOPLE!$F$14,$M424,BT$13)="",10^12,OFFSET(CRONOPLE!$F$14,$M424,BT$13))))</f>
        <v>1000000000000</v>
      </c>
      <c r="BV424" s="182">
        <f ca="1">IF($D424&lt;&gt;"Serviço",0,IF(OR(AND(AUTOEVENTO="Manual",$M424=1),$M424&gt;(ROW(PLE.lastrow)-ROW(PLE.firstrow))),0,IF(OFFSET(PLE!$G$14,$M424,BV$13)="",10^12,OFFSET(PLE!$G$14,$M424,BV$13))))</f>
        <v>1000000000000</v>
      </c>
      <c r="BW424" s="182">
        <f ca="1">IF($D424&lt;&gt;"Serviço",0,IF(OR(AND(AUTOEVENTO="Manual",$M424=1),$M424&gt;(ROW(PLE.lastrow)-ROW(PLE.firstrow))),0,IF(OFFSET(PLE!$G$14,$M424,BW$13)="",10^12,OFFSET(PLE!$G$14,$M424,BW$13))))</f>
        <v>1000000000000</v>
      </c>
      <c r="BX424" s="182">
        <f ca="1">IF($D424&lt;&gt;"Serviço",0,IF(OR(AND(AUTOEVENTO="Manual",$M424=1),$M424&gt;(ROW(PLE.lastrow)-ROW(PLE.firstrow))),0,IF(OFFSET(PLE!$G$14,$M424,BX$13)="",10^12,OFFSET(PLE!$G$14,$M424,BX$13))))</f>
        <v>1000000000000</v>
      </c>
      <c r="BY424" s="182">
        <f ca="1">IF($D424&lt;&gt;"Serviço",0,IF(OR(AND(AUTOEVENTO="Manual",$M424=1),$M424&gt;(ROW(PLE.lastrow)-ROW(PLE.firstrow))),0,IF(OFFSET(PLE!$G$14,$M424,BY$13)="",10^12,OFFSET(PLE!$G$14,$M424,BY$13))))</f>
        <v>1000000000000</v>
      </c>
      <c r="BZ424" s="182">
        <f ca="1">IF($D424&lt;&gt;"Serviço",0,IF(OR(AND(AUTOEVENTO="Manual",$M424=1),$M424&gt;(ROW(PLE.lastrow)-ROW(PLE.firstrow))),0,IF(OFFSET(PLE!$G$14,$M424,BZ$13)="",10^12,OFFSET(PLE!$G$14,$M424,BZ$13))))</f>
        <v>1000000000000</v>
      </c>
      <c r="CA424" s="182">
        <f ca="1">IF($D424&lt;&gt;"Serviço",0,IF(OR(AND(AUTOEVENTO="Manual",$M424=1),$M424&gt;(ROW(PLE.lastrow)-ROW(PLE.firstrow))),0,IF(OFFSET(PLE!$G$14,$M424,CA$13)="",10^12,OFFSET(PLE!$G$14,$M424,CA$13))))</f>
        <v>1000000000000</v>
      </c>
      <c r="CB424" s="182">
        <f ca="1">IF($D424&lt;&gt;"Serviço",0,IF(OR(AND(AUTOEVENTO="Manual",$M424=1),$M424&gt;(ROW(PLE.lastrow)-ROW(PLE.firstrow))),0,IF(OFFSET(PLE!$G$14,$M424,CB$13)="",10^12,OFFSET(PLE!$G$14,$M424,CB$13))))</f>
        <v>1000000000000</v>
      </c>
      <c r="CC424" s="182">
        <f ca="1">IF($D424&lt;&gt;"Serviço",0,IF(OR(AND(AUTOEVENTO="Manual",$M424=1),$M424&gt;(ROW(PLE.lastrow)-ROW(PLE.firstrow))),0,IF(OFFSET(PLE!$G$14,$M424,CC$13)="",10^12,OFFSET(PLE!$G$14,$M424,CC$13))))</f>
        <v>1000000000000</v>
      </c>
      <c r="CD424" s="182">
        <f ca="1">IF($D424&lt;&gt;"Serviço",0,IF(OR(AND(AUTOEVENTO="Manual",$M424=1),$M424&gt;(ROW(PLE.lastrow)-ROW(PLE.firstrow))),0,IF(OFFSET(PLE!$G$14,$M424,CD$13)="",10^12,OFFSET(PLE!$G$14,$M424,CD$13))))</f>
        <v>1000000000000</v>
      </c>
      <c r="CE424" s="182">
        <f ca="1">IF($D424&lt;&gt;"Serviço",0,IF(OR(AND(AUTOEVENTO="Manual",$M424=1),$M424&gt;(ROW(PLE.lastrow)-ROW(PLE.firstrow))),0,IF(OFFSET(PLE!$G$14,$M424,CE$13)="",10^12,OFFSET(PLE!$G$14,$M424,CE$13))))</f>
        <v>1000000000000</v>
      </c>
      <c r="CF424" s="182">
        <f ca="1">IF($D424&lt;&gt;"Serviço",0,IF(OR(AND(AUTOEVENTO="Manual",$M424=1),$M424&gt;(ROW(PLE.lastrow)-ROW(PLE.firstrow))),0,IF(OFFSET(PLE!$G$14,$M424,CF$13)="",10^12,OFFSET(PLE!$G$14,$M424,CF$13))))</f>
        <v>1000000000000</v>
      </c>
      <c r="CG424" s="182">
        <f ca="1">IF($D424&lt;&gt;"Serviço",0,IF(OR(AND(AUTOEVENTO="Manual",$M424=1),$M424&gt;(ROW(PLE.lastrow)-ROW(PLE.firstrow))),0,IF(OFFSET(PLE!$G$14,$M424,CG$13)="",10^12,OFFSET(PLE!$G$14,$M424,CG$13))))</f>
        <v>1000000000000</v>
      </c>
      <c r="CH424" s="182">
        <f ca="1">IF($D424&lt;&gt;"Serviço",0,IF(OR(AND(AUTOEVENTO="Manual",$M424=1),$M424&gt;(ROW(PLE.lastrow)-ROW(PLE.firstrow))),0,IF(OFFSET(PLE!$G$14,$M424,CH$13)="",10^12,OFFSET(PLE!$G$14,$M424,CH$13))))</f>
        <v>1000000000000</v>
      </c>
      <c r="CI424" s="182">
        <f ca="1">IF($D424&lt;&gt;"Serviço",0,IF(OR(AND(AUTOEVENTO="Manual",$M424=1),$M424&gt;(ROW(PLE.lastrow)-ROW(PLE.firstrow))),0,IF(OFFSET(PLE!$G$14,$M424,CI$13)="",10^12,OFFSET(PLE!$G$14,$M424,CI$13))))</f>
        <v>1000000000000</v>
      </c>
      <c r="CJ424" s="182">
        <f ca="1">IF($D424&lt;&gt;"Serviço",0,IF(OR(AND(AUTOEVENTO="Manual",$M424=1),$M424&gt;(ROW(PLE.lastrow)-ROW(PLE.firstrow))),0,IF(OFFSET(PLE!$G$14,$M424,CJ$13)="",10^12,OFFSET(PLE!$G$14,$M424,CJ$13))))</f>
        <v>1000000000000</v>
      </c>
      <c r="CK424" s="182">
        <f ca="1">IF($D424&lt;&gt;"Serviço",0,IF(OR(AND(AUTOEVENTO="Manual",$M424=1),$M424&gt;(ROW(PLE.lastrow)-ROW(PLE.firstrow))),0,IF(OFFSET(PLE!$G$14,$M424,CK$13)="",10^12,OFFSET(PLE!$G$14,$M424,CK$13))))</f>
        <v>1000000000000</v>
      </c>
      <c r="CL424" s="182">
        <f ca="1">IF($D424&lt;&gt;"Serviço",0,IF(OR(AND(AUTOEVENTO="Manual",$M424=1),$M424&gt;(ROW(PLE.lastrow)-ROW(PLE.firstrow))),0,IF(OFFSET(PLE!$G$14,$M424,CL$13)="",10^12,OFFSET(PLE!$G$14,$M424,CL$13))))</f>
        <v>1000000000000</v>
      </c>
      <c r="CM424" s="182">
        <f ca="1">IF($D424&lt;&gt;"Serviço",0,IF(OR(AND(AUTOEVENTO="Manual",$M424=1),$M424&gt;(ROW(PLE.lastrow)-ROW(PLE.firstrow))),0,IF(OFFSET(PLE!$G$14,$M424,CM$13)="",10^12,OFFSET(PLE!$G$14,$M424,CM$13))))</f>
        <v>1000000000000</v>
      </c>
    </row>
    <row r="425" spans="1:91" ht="38.25" x14ac:dyDescent="0.2">
      <c r="A425" s="7" t="str">
        <f t="shared" ca="1" si="14"/>
        <v>406</v>
      </c>
      <c r="B425" s="7" t="str">
        <f ca="1">OFFSET(ORÇAMENTO!C$15,ROW(B425)-ROW(B$15),0)</f>
        <v>S</v>
      </c>
      <c r="C425" s="7" t="str">
        <f ca="1">OFFSET(ORÇAMENTO!L$15,ROW(C425)-ROW(C$15),0)</f>
        <v/>
      </c>
      <c r="D425" s="118" t="str">
        <f ca="1">OFFSET(ORÇAMENTO!N$15,ROW(D425)-ROW(D$15),0)</f>
        <v>Serviço</v>
      </c>
      <c r="E425" s="119" t="str">
        <f ca="1">OFFSET(ORÇAMENTO!O$15,ROW(E425)-ROW(E$15),0)</f>
        <v>-</v>
      </c>
      <c r="F425" s="172" t="str">
        <f ca="1">OFFSET(ORÇAMENTO!R$15,ROW(F425)-ROW(F$15),0)</f>
        <v>(abra o arquivo 'Referência 06-2024.xlsm)</v>
      </c>
      <c r="G425" s="173" t="str">
        <f ca="1">IF($D425&lt;&gt;"Serviço","",OFFSET(ORÇAMENTO!S$15,ROW(G425)-ROW(G$15),0))</f>
        <v>-</v>
      </c>
      <c r="H425" s="124">
        <f ca="1">IF($D425&lt;&gt;"Serviço",0,IF(ACOMPANHAMENTO="BM",ROUND(OFFSET(ORÇAMENTO!AJ$15,ROW(H425)-ROW(H$15),0),15-13*ORÇAMENTO!$AF$7),SUMPRODUCT(($Q$12:$AI$12&lt;&gt;"")*ROUND($Q425:$AI425,15-13*ORÇAMENTO!$AF$7))))</f>
        <v>1</v>
      </c>
      <c r="I425" s="561" t="s">
        <v>1107</v>
      </c>
      <c r="K425" s="174"/>
      <c r="L425" s="175" t="s">
        <v>255</v>
      </c>
      <c r="M425" s="176">
        <f ca="1">IF($D425&lt;&gt;"Serviço","",IF(AUTOEVENTO="manual",$A425,IF(ISERROR(MATCH($A425,$A$15:OFFSET($A425,-1,0),0)),MAX($M$15:OFFSET(M425,-1,0))+1,INDEX($M$15:OFFSET(M425,-1,0),MATCH($A425,$A$15:OFFSET($A425,-1,0),0)))))</f>
        <v>48</v>
      </c>
      <c r="N425" s="177" t="str">
        <f ca="1">IF($D425&lt;&gt;"Serviço","",IF(AUTOEVENTO="Manual",IF($A425=0,"&lt;-- defina o número do agrupador",OFFSET(EVENTOS!$D$14,$A425,0)),OFFSET($F$15,$A425,0)))</f>
        <v>SISTEMA DE PROTEÇÃO CONTRA INCÊNDIO - ACESSÓRIOS</v>
      </c>
      <c r="O425" s="178"/>
      <c r="Q425" s="178">
        <v>1</v>
      </c>
      <c r="R425" s="179"/>
      <c r="S425" s="179"/>
      <c r="T425" s="179"/>
      <c r="U425" s="179"/>
      <c r="V425" s="179"/>
      <c r="W425" s="179"/>
      <c r="X425" s="179"/>
      <c r="Y425" s="179"/>
      <c r="Z425" s="180"/>
      <c r="AA425" s="179"/>
      <c r="AB425" s="179"/>
      <c r="AC425" s="179"/>
      <c r="AD425" s="179"/>
      <c r="AE425" s="179"/>
      <c r="AF425" s="179"/>
      <c r="AG425" s="179"/>
      <c r="AH425" s="180"/>
      <c r="AJ425" s="544">
        <f ca="1">IF(AND($D425="Serviço",AJ$12&lt;&gt;0,$H425&gt;0,OR(AUTOEVENTO&lt;&gt;"manual",$M425&lt;&gt;1)),
IF(Import.TipoArredondamento&lt;&gt;"TransfereGOV",
ROUND(OFFSET($P425,0,AJ$13),15-13*ORÇAMENTO!$AF$7)/$H425*OFFSET(ORÇAMENTO!$X$15,ROW(AJ425)-ROW(AJ$15),0),
ROUND(ROUND(OFFSET($P425,0,AJ$13),15-13*ORÇAMENTO!$AF$7)*OFFSET(ORÇAMENTO!$W$15,ROW(AJ425)-ROW(AJ$15),0),15-13*ORÇAMENTO!$AF$11)),0)</f>
        <v>0</v>
      </c>
      <c r="AK425" s="545">
        <f ca="1">IF(AND($D425="Serviço",AK$12&lt;&gt;0,$H425&gt;0,OR(AUTOEVENTO&lt;&gt;"manual",$M425&lt;&gt;1)),
IF(Import.TipoArredondamento&lt;&gt;"TransfereGOV",
ROUND(OFFSET($P425,0,AK$13),15-13*ORÇAMENTO!$AF$7)/$H425*OFFSET(ORÇAMENTO!$X$15,ROW(AK425)-ROW(AK$15),0),
ROUND(ROUND(OFFSET($P425,0,AK$13),15-13*ORÇAMENTO!$AF$7)*OFFSET(ORÇAMENTO!$W$15,ROW(AK425)-ROW(AK$15),0),15-13*ORÇAMENTO!$AF$11)),0)</f>
        <v>0</v>
      </c>
      <c r="AL425" s="545">
        <f ca="1">IF(AND($D425="Serviço",AL$12&lt;&gt;0,$H425&gt;0,OR(AUTOEVENTO&lt;&gt;"manual",$M425&lt;&gt;1)),
IF(Import.TipoArredondamento&lt;&gt;"TransfereGOV",
ROUND(OFFSET($P425,0,AL$13),15-13*ORÇAMENTO!$AF$7)/$H425*OFFSET(ORÇAMENTO!$X$15,ROW(AL425)-ROW(AL$15),0),
ROUND(ROUND(OFFSET($P425,0,AL$13),15-13*ORÇAMENTO!$AF$7)*OFFSET(ORÇAMENTO!$W$15,ROW(AL425)-ROW(AL$15),0),15-13*ORÇAMENTO!$AF$11)),0)</f>
        <v>0</v>
      </c>
      <c r="AM425" s="545">
        <f ca="1">IF(AND($D425="Serviço",AM$12&lt;&gt;0,$H425&gt;0,OR(AUTOEVENTO&lt;&gt;"manual",$M425&lt;&gt;1)),
IF(Import.TipoArredondamento&lt;&gt;"TransfereGOV",
ROUND(OFFSET($P425,0,AM$13),15-13*ORÇAMENTO!$AF$7)/$H425*OFFSET(ORÇAMENTO!$X$15,ROW(AM425)-ROW(AM$15),0),
ROUND(ROUND(OFFSET($P425,0,AM$13),15-13*ORÇAMENTO!$AF$7)*OFFSET(ORÇAMENTO!$W$15,ROW(AM425)-ROW(AM$15),0),15-13*ORÇAMENTO!$AF$11)),0)</f>
        <v>0</v>
      </c>
      <c r="AN425" s="545">
        <f ca="1">IF(AND($D425="Serviço",AN$12&lt;&gt;0,$H425&gt;0,OR(AUTOEVENTO&lt;&gt;"manual",$M425&lt;&gt;1)),
IF(Import.TipoArredondamento&lt;&gt;"TransfereGOV",
ROUND(OFFSET($P425,0,AN$13),15-13*ORÇAMENTO!$AF$7)/$H425*OFFSET(ORÇAMENTO!$X$15,ROW(AN425)-ROW(AN$15),0),
ROUND(ROUND(OFFSET($P425,0,AN$13),15-13*ORÇAMENTO!$AF$7)*OFFSET(ORÇAMENTO!$W$15,ROW(AN425)-ROW(AN$15),0),15-13*ORÇAMENTO!$AF$11)),0)</f>
        <v>0</v>
      </c>
      <c r="AO425" s="545">
        <f ca="1">IF(AND($D425="Serviço",AO$12&lt;&gt;0,$H425&gt;0,OR(AUTOEVENTO&lt;&gt;"manual",$M425&lt;&gt;1)),
IF(Import.TipoArredondamento&lt;&gt;"TransfereGOV",
ROUND(OFFSET($P425,0,AO$13),15-13*ORÇAMENTO!$AF$7)/$H425*OFFSET(ORÇAMENTO!$X$15,ROW(AO425)-ROW(AO$15),0),
ROUND(ROUND(OFFSET($P425,0,AO$13),15-13*ORÇAMENTO!$AF$7)*OFFSET(ORÇAMENTO!$W$15,ROW(AO425)-ROW(AO$15),0),15-13*ORÇAMENTO!$AF$11)),0)</f>
        <v>0</v>
      </c>
      <c r="AP425" s="545">
        <f ca="1">IF(AND($D425="Serviço",AP$12&lt;&gt;0,$H425&gt;0,OR(AUTOEVENTO&lt;&gt;"manual",$M425&lt;&gt;1)),
IF(Import.TipoArredondamento&lt;&gt;"TransfereGOV",
ROUND(OFFSET($P425,0,AP$13),15-13*ORÇAMENTO!$AF$7)/$H425*OFFSET(ORÇAMENTO!$X$15,ROW(AP425)-ROW(AP$15),0),
ROUND(ROUND(OFFSET($P425,0,AP$13),15-13*ORÇAMENTO!$AF$7)*OFFSET(ORÇAMENTO!$W$15,ROW(AP425)-ROW(AP$15),0),15-13*ORÇAMENTO!$AF$11)),0)</f>
        <v>0</v>
      </c>
      <c r="AQ425" s="545">
        <f ca="1">IF(AND($D425="Serviço",AQ$12&lt;&gt;0,$H425&gt;0,OR(AUTOEVENTO&lt;&gt;"manual",$M425&lt;&gt;1)),
IF(Import.TipoArredondamento&lt;&gt;"TransfereGOV",
ROUND(OFFSET($P425,0,AQ$13),15-13*ORÇAMENTO!$AF$7)/$H425*OFFSET(ORÇAMENTO!$X$15,ROW(AQ425)-ROW(AQ$15),0),
ROUND(ROUND(OFFSET($P425,0,AQ$13),15-13*ORÇAMENTO!$AF$7)*OFFSET(ORÇAMENTO!$W$15,ROW(AQ425)-ROW(AQ$15),0),15-13*ORÇAMENTO!$AF$11)),0)</f>
        <v>0</v>
      </c>
      <c r="AR425" s="545">
        <f ca="1">IF(AND($D425="Serviço",AR$12&lt;&gt;0,$H425&gt;0,OR(AUTOEVENTO&lt;&gt;"manual",$M425&lt;&gt;1)),
IF(Import.TipoArredondamento&lt;&gt;"TransfereGOV",
ROUND(OFFSET($P425,0,AR$13),15-13*ORÇAMENTO!$AF$7)/$H425*OFFSET(ORÇAMENTO!$X$15,ROW(AR425)-ROW(AR$15),0),
ROUND(ROUND(OFFSET($P425,0,AR$13),15-13*ORÇAMENTO!$AF$7)*OFFSET(ORÇAMENTO!$W$15,ROW(AR425)-ROW(AR$15),0),15-13*ORÇAMENTO!$AF$11)),0)</f>
        <v>0</v>
      </c>
      <c r="AS425" s="546">
        <f ca="1">IF(AND($D425="Serviço",AS$12&lt;&gt;0,$H425&gt;0,OR(AUTOEVENTO&lt;&gt;"manual",$M425&lt;&gt;1)),
IF(Import.TipoArredondamento&lt;&gt;"TransfereGOV",
ROUND(OFFSET($P425,0,AS$13),15-13*ORÇAMENTO!$AF$7)/$H425*OFFSET(ORÇAMENTO!$X$15,ROW(AS425)-ROW(AS$15),0),
ROUND(ROUND(OFFSET($P425,0,AS$13),15-13*ORÇAMENTO!$AF$7)*OFFSET(ORÇAMENTO!$W$15,ROW(AS425)-ROW(AS$15),0),15-13*ORÇAMENTO!$AF$11)),0)</f>
        <v>0</v>
      </c>
      <c r="AT425" s="545">
        <f ca="1">IF(AND($D425="Serviço",AT$12&lt;&gt;0,$H425&gt;0,OR(AUTOEVENTO&lt;&gt;"manual",$M425&lt;&gt;1)),
IF(Import.TipoArredondamento&lt;&gt;"TransfereGOV",
ROUND(OFFSET($P425,0,AT$13),15-13*ORÇAMENTO!$AF$7)/$H425*OFFSET(ORÇAMENTO!$X$15,ROW(AT425)-ROW(AT$15),0),
ROUND(ROUND(OFFSET($P425,0,AT$13),15-13*ORÇAMENTO!$AF$7)*OFFSET(ORÇAMENTO!$W$15,ROW(AT425)-ROW(AT$15),0),15-13*ORÇAMENTO!$AF$11)),0)</f>
        <v>0</v>
      </c>
      <c r="AU425" s="545">
        <f ca="1">IF(AND($D425="Serviço",AU$12&lt;&gt;0,$H425&gt;0,OR(AUTOEVENTO&lt;&gt;"manual",$M425&lt;&gt;1)),
IF(Import.TipoArredondamento&lt;&gt;"TransfereGOV",
ROUND(OFFSET($P425,0,AU$13),15-13*ORÇAMENTO!$AF$7)/$H425*OFFSET(ORÇAMENTO!$X$15,ROW(AU425)-ROW(AU$15),0),
ROUND(ROUND(OFFSET($P425,0,AU$13),15-13*ORÇAMENTO!$AF$7)*OFFSET(ORÇAMENTO!$W$15,ROW(AU425)-ROW(AU$15),0),15-13*ORÇAMENTO!$AF$11)),0)</f>
        <v>0</v>
      </c>
      <c r="AV425" s="545">
        <f ca="1">IF(AND($D425="Serviço",AV$12&lt;&gt;0,$H425&gt;0,OR(AUTOEVENTO&lt;&gt;"manual",$M425&lt;&gt;1)),
IF(Import.TipoArredondamento&lt;&gt;"TransfereGOV",
ROUND(OFFSET($P425,0,AV$13),15-13*ORÇAMENTO!$AF$7)/$H425*OFFSET(ORÇAMENTO!$X$15,ROW(AV425)-ROW(AV$15),0),
ROUND(ROUND(OFFSET($P425,0,AV$13),15-13*ORÇAMENTO!$AF$7)*OFFSET(ORÇAMENTO!$W$15,ROW(AV425)-ROW(AV$15),0),15-13*ORÇAMENTO!$AF$11)),0)</f>
        <v>0</v>
      </c>
      <c r="AW425" s="545">
        <f ca="1">IF(AND($D425="Serviço",AW$12&lt;&gt;0,$H425&gt;0,OR(AUTOEVENTO&lt;&gt;"manual",$M425&lt;&gt;1)),
IF(Import.TipoArredondamento&lt;&gt;"TransfereGOV",
ROUND(OFFSET($P425,0,AW$13),15-13*ORÇAMENTO!$AF$7)/$H425*OFFSET(ORÇAMENTO!$X$15,ROW(AW425)-ROW(AW$15),0),
ROUND(ROUND(OFFSET($P425,0,AW$13),15-13*ORÇAMENTO!$AF$7)*OFFSET(ORÇAMENTO!$W$15,ROW(AW425)-ROW(AW$15),0),15-13*ORÇAMENTO!$AF$11)),0)</f>
        <v>0</v>
      </c>
      <c r="AX425" s="545">
        <f ca="1">IF(AND($D425="Serviço",AX$12&lt;&gt;0,$H425&gt;0,OR(AUTOEVENTO&lt;&gt;"manual",$M425&lt;&gt;1)),
IF(Import.TipoArredondamento&lt;&gt;"TransfereGOV",
ROUND(OFFSET($P425,0,AX$13),15-13*ORÇAMENTO!$AF$7)/$H425*OFFSET(ORÇAMENTO!$X$15,ROW(AX425)-ROW(AX$15),0),
ROUND(ROUND(OFFSET($P425,0,AX$13),15-13*ORÇAMENTO!$AF$7)*OFFSET(ORÇAMENTO!$W$15,ROW(AX425)-ROW(AX$15),0),15-13*ORÇAMENTO!$AF$11)),0)</f>
        <v>0</v>
      </c>
      <c r="AY425" s="545">
        <f ca="1">IF(AND($D425="Serviço",AY$12&lt;&gt;0,$H425&gt;0,OR(AUTOEVENTO&lt;&gt;"manual",$M425&lt;&gt;1)),
IF(Import.TipoArredondamento&lt;&gt;"TransfereGOV",
ROUND(OFFSET($P425,0,AY$13),15-13*ORÇAMENTO!$AF$7)/$H425*OFFSET(ORÇAMENTO!$X$15,ROW(AY425)-ROW(AY$15),0),
ROUND(ROUND(OFFSET($P425,0,AY$13),15-13*ORÇAMENTO!$AF$7)*OFFSET(ORÇAMENTO!$W$15,ROW(AY425)-ROW(AY$15),0),15-13*ORÇAMENTO!$AF$11)),0)</f>
        <v>0</v>
      </c>
      <c r="AZ425" s="545">
        <f ca="1">IF(AND($D425="Serviço",AZ$12&lt;&gt;0,$H425&gt;0,OR(AUTOEVENTO&lt;&gt;"manual",$M425&lt;&gt;1)),
IF(Import.TipoArredondamento&lt;&gt;"TransfereGOV",
ROUND(OFFSET($P425,0,AZ$13),15-13*ORÇAMENTO!$AF$7)/$H425*OFFSET(ORÇAMENTO!$X$15,ROW(AZ425)-ROW(AZ$15),0),
ROUND(ROUND(OFFSET($P425,0,AZ$13),15-13*ORÇAMENTO!$AF$7)*OFFSET(ORÇAMENTO!$W$15,ROW(AZ425)-ROW(AZ$15),0),15-13*ORÇAMENTO!$AF$11)),0)</f>
        <v>0</v>
      </c>
      <c r="BA425" s="546">
        <f ca="1">IF(AND($D425="Serviço",BA$12&lt;&gt;0,$H425&gt;0,OR(AUTOEVENTO&lt;&gt;"manual",$M425&lt;&gt;1)),
IF(Import.TipoArredondamento&lt;&gt;"TransfereGOV",
ROUND(OFFSET($P425,0,BA$13),15-13*ORÇAMENTO!$AF$7)/$H425*OFFSET(ORÇAMENTO!$X$15,ROW(BA425)-ROW(BA$15),0),
ROUND(ROUND(OFFSET($P425,0,BA$13),15-13*ORÇAMENTO!$AF$7)*OFFSET(ORÇAMENTO!$W$15,ROW(BA425)-ROW(BA$15),0),15-13*ORÇAMENTO!$AF$11)),0)</f>
        <v>0</v>
      </c>
      <c r="BC425" s="181">
        <f ca="1">IF($D425&lt;&gt;"Serviço",0,IF(AND(AUTOEVENTO="Manual",$M425=1),0,IF(OFFSET(CRONOPLE!$F$14,$M425,BC$13)="",10^12,OFFSET(CRONOPLE!$F$14,$M425,BC$13))))</f>
        <v>10</v>
      </c>
      <c r="BD425" s="181">
        <f ca="1">IF($D425&lt;&gt;"Serviço",0,IF(AND(AUTOEVENTO="Manual",$M425=1),0,IF(OFFSET(CRONOPLE!$F$14,$M425,BD$13)="",10^12,OFFSET(CRONOPLE!$F$14,$M425,BD$13))))</f>
        <v>1000000000000</v>
      </c>
      <c r="BE425" s="181">
        <f ca="1">IF($D425&lt;&gt;"Serviço",0,IF(AND(AUTOEVENTO="Manual",$M425=1),0,IF(OFFSET(CRONOPLE!$F$14,$M425,BE$13)="",10^12,OFFSET(CRONOPLE!$F$14,$M425,BE$13))))</f>
        <v>1000000000000</v>
      </c>
      <c r="BF425" s="181">
        <f ca="1">IF($D425&lt;&gt;"Serviço",0,IF(AND(AUTOEVENTO="Manual",$M425=1),0,IF(OFFSET(CRONOPLE!$F$14,$M425,BF$13)="",10^12,OFFSET(CRONOPLE!$F$14,$M425,BF$13))))</f>
        <v>1000000000000</v>
      </c>
      <c r="BG425" s="181">
        <f ca="1">IF($D425&lt;&gt;"Serviço",0,IF(AND(AUTOEVENTO="Manual",$M425=1),0,IF(OFFSET(CRONOPLE!$F$14,$M425,BG$13)="",10^12,OFFSET(CRONOPLE!$F$14,$M425,BG$13))))</f>
        <v>1000000000000</v>
      </c>
      <c r="BH425" s="181">
        <f ca="1">IF($D425&lt;&gt;"Serviço",0,IF(AND(AUTOEVENTO="Manual",$M425=1),0,IF(OFFSET(CRONOPLE!$F$14,$M425,BH$13)="",10^12,OFFSET(CRONOPLE!$F$14,$M425,BH$13))))</f>
        <v>1000000000000</v>
      </c>
      <c r="BI425" s="181">
        <f ca="1">IF($D425&lt;&gt;"Serviço",0,IF(AND(AUTOEVENTO="Manual",$M425=1),0,IF(OFFSET(CRONOPLE!$F$14,$M425,BI$13)="",10^12,OFFSET(CRONOPLE!$F$14,$M425,BI$13))))</f>
        <v>1000000000000</v>
      </c>
      <c r="BJ425" s="181">
        <f ca="1">IF($D425&lt;&gt;"Serviço",0,IF(AND(AUTOEVENTO="Manual",$M425=1),0,IF(OFFSET(CRONOPLE!$F$14,$M425,BJ$13)="",10^12,OFFSET(CRONOPLE!$F$14,$M425,BJ$13))))</f>
        <v>1000000000000</v>
      </c>
      <c r="BK425" s="181">
        <f ca="1">IF($D425&lt;&gt;"Serviço",0,IF(AND(AUTOEVENTO="Manual",$M425=1),0,IF(OFFSET(CRONOPLE!$F$14,$M425,BK$13)="",10^12,OFFSET(CRONOPLE!$F$14,$M425,BK$13))))</f>
        <v>1000000000000</v>
      </c>
      <c r="BL425" s="181">
        <f ca="1">IF($D425&lt;&gt;"Serviço",0,IF(AND(AUTOEVENTO="Manual",$M425=1),0,IF(OFFSET(CRONOPLE!$F$14,$M425,BL$13)="",10^12,OFFSET(CRONOPLE!$F$14,$M425,BL$13))))</f>
        <v>1000000000000</v>
      </c>
      <c r="BM425" s="181">
        <f ca="1">IF($D425&lt;&gt;"Serviço",0,IF(AND(AUTOEVENTO="Manual",$M425=1),0,IF(OFFSET(CRONOPLE!$F$14,$M425,BM$13)="",10^12,OFFSET(CRONOPLE!$F$14,$M425,BM$13))))</f>
        <v>1000000000000</v>
      </c>
      <c r="BN425" s="181">
        <f ca="1">IF($D425&lt;&gt;"Serviço",0,IF(AND(AUTOEVENTO="Manual",$M425=1),0,IF(OFFSET(CRONOPLE!$F$14,$M425,BN$13)="",10^12,OFFSET(CRONOPLE!$F$14,$M425,BN$13))))</f>
        <v>1000000000000</v>
      </c>
      <c r="BO425" s="181">
        <f ca="1">IF($D425&lt;&gt;"Serviço",0,IF(AND(AUTOEVENTO="Manual",$M425=1),0,IF(OFFSET(CRONOPLE!$F$14,$M425,BO$13)="",10^12,OFFSET(CRONOPLE!$F$14,$M425,BO$13))))</f>
        <v>1000000000000</v>
      </c>
      <c r="BP425" s="181">
        <f ca="1">IF($D425&lt;&gt;"Serviço",0,IF(AND(AUTOEVENTO="Manual",$M425=1),0,IF(OFFSET(CRONOPLE!$F$14,$M425,BP$13)="",10^12,OFFSET(CRONOPLE!$F$14,$M425,BP$13))))</f>
        <v>1000000000000</v>
      </c>
      <c r="BQ425" s="181">
        <f ca="1">IF($D425&lt;&gt;"Serviço",0,IF(AND(AUTOEVENTO="Manual",$M425=1),0,IF(OFFSET(CRONOPLE!$F$14,$M425,BQ$13)="",10^12,OFFSET(CRONOPLE!$F$14,$M425,BQ$13))))</f>
        <v>1000000000000</v>
      </c>
      <c r="BR425" s="181">
        <f ca="1">IF($D425&lt;&gt;"Serviço",0,IF(AND(AUTOEVENTO="Manual",$M425=1),0,IF(OFFSET(CRONOPLE!$F$14,$M425,BR$13)="",10^12,OFFSET(CRONOPLE!$F$14,$M425,BR$13))))</f>
        <v>1000000000000</v>
      </c>
      <c r="BS425" s="181">
        <f ca="1">IF($D425&lt;&gt;"Serviço",0,IF(AND(AUTOEVENTO="Manual",$M425=1),0,IF(OFFSET(CRONOPLE!$F$14,$M425,BS$13)="",10^12,OFFSET(CRONOPLE!$F$14,$M425,BS$13))))</f>
        <v>1000000000000</v>
      </c>
      <c r="BT425" s="181">
        <f ca="1">IF($D425&lt;&gt;"Serviço",0,IF(AND(AUTOEVENTO="Manual",$M425=1),0,IF(OFFSET(CRONOPLE!$F$14,$M425,BT$13)="",10^12,OFFSET(CRONOPLE!$F$14,$M425,BT$13))))</f>
        <v>1000000000000</v>
      </c>
      <c r="BV425" s="182">
        <f ca="1">IF($D425&lt;&gt;"Serviço",0,IF(OR(AND(AUTOEVENTO="Manual",$M425=1),$M425&gt;(ROW(PLE.lastrow)-ROW(PLE.firstrow))),0,IF(OFFSET(PLE!$G$14,$M425,BV$13)="",10^12,OFFSET(PLE!$G$14,$M425,BV$13))))</f>
        <v>1000000000000</v>
      </c>
      <c r="BW425" s="182">
        <f ca="1">IF($D425&lt;&gt;"Serviço",0,IF(OR(AND(AUTOEVENTO="Manual",$M425=1),$M425&gt;(ROW(PLE.lastrow)-ROW(PLE.firstrow))),0,IF(OFFSET(PLE!$G$14,$M425,BW$13)="",10^12,OFFSET(PLE!$G$14,$M425,BW$13))))</f>
        <v>1000000000000</v>
      </c>
      <c r="BX425" s="182">
        <f ca="1">IF($D425&lt;&gt;"Serviço",0,IF(OR(AND(AUTOEVENTO="Manual",$M425=1),$M425&gt;(ROW(PLE.lastrow)-ROW(PLE.firstrow))),0,IF(OFFSET(PLE!$G$14,$M425,BX$13)="",10^12,OFFSET(PLE!$G$14,$M425,BX$13))))</f>
        <v>1000000000000</v>
      </c>
      <c r="BY425" s="182">
        <f ca="1">IF($D425&lt;&gt;"Serviço",0,IF(OR(AND(AUTOEVENTO="Manual",$M425=1),$M425&gt;(ROW(PLE.lastrow)-ROW(PLE.firstrow))),0,IF(OFFSET(PLE!$G$14,$M425,BY$13)="",10^12,OFFSET(PLE!$G$14,$M425,BY$13))))</f>
        <v>1000000000000</v>
      </c>
      <c r="BZ425" s="182">
        <f ca="1">IF($D425&lt;&gt;"Serviço",0,IF(OR(AND(AUTOEVENTO="Manual",$M425=1),$M425&gt;(ROW(PLE.lastrow)-ROW(PLE.firstrow))),0,IF(OFFSET(PLE!$G$14,$M425,BZ$13)="",10^12,OFFSET(PLE!$G$14,$M425,BZ$13))))</f>
        <v>1000000000000</v>
      </c>
      <c r="CA425" s="182">
        <f ca="1">IF($D425&lt;&gt;"Serviço",0,IF(OR(AND(AUTOEVENTO="Manual",$M425=1),$M425&gt;(ROW(PLE.lastrow)-ROW(PLE.firstrow))),0,IF(OFFSET(PLE!$G$14,$M425,CA$13)="",10^12,OFFSET(PLE!$G$14,$M425,CA$13))))</f>
        <v>1000000000000</v>
      </c>
      <c r="CB425" s="182">
        <f ca="1">IF($D425&lt;&gt;"Serviço",0,IF(OR(AND(AUTOEVENTO="Manual",$M425=1),$M425&gt;(ROW(PLE.lastrow)-ROW(PLE.firstrow))),0,IF(OFFSET(PLE!$G$14,$M425,CB$13)="",10^12,OFFSET(PLE!$G$14,$M425,CB$13))))</f>
        <v>1000000000000</v>
      </c>
      <c r="CC425" s="182">
        <f ca="1">IF($D425&lt;&gt;"Serviço",0,IF(OR(AND(AUTOEVENTO="Manual",$M425=1),$M425&gt;(ROW(PLE.lastrow)-ROW(PLE.firstrow))),0,IF(OFFSET(PLE!$G$14,$M425,CC$13)="",10^12,OFFSET(PLE!$G$14,$M425,CC$13))))</f>
        <v>1000000000000</v>
      </c>
      <c r="CD425" s="182">
        <f ca="1">IF($D425&lt;&gt;"Serviço",0,IF(OR(AND(AUTOEVENTO="Manual",$M425=1),$M425&gt;(ROW(PLE.lastrow)-ROW(PLE.firstrow))),0,IF(OFFSET(PLE!$G$14,$M425,CD$13)="",10^12,OFFSET(PLE!$G$14,$M425,CD$13))))</f>
        <v>1000000000000</v>
      </c>
      <c r="CE425" s="182">
        <f ca="1">IF($D425&lt;&gt;"Serviço",0,IF(OR(AND(AUTOEVENTO="Manual",$M425=1),$M425&gt;(ROW(PLE.lastrow)-ROW(PLE.firstrow))),0,IF(OFFSET(PLE!$G$14,$M425,CE$13)="",10^12,OFFSET(PLE!$G$14,$M425,CE$13))))</f>
        <v>1000000000000</v>
      </c>
      <c r="CF425" s="182">
        <f ca="1">IF($D425&lt;&gt;"Serviço",0,IF(OR(AND(AUTOEVENTO="Manual",$M425=1),$M425&gt;(ROW(PLE.lastrow)-ROW(PLE.firstrow))),0,IF(OFFSET(PLE!$G$14,$M425,CF$13)="",10^12,OFFSET(PLE!$G$14,$M425,CF$13))))</f>
        <v>1000000000000</v>
      </c>
      <c r="CG425" s="182">
        <f ca="1">IF($D425&lt;&gt;"Serviço",0,IF(OR(AND(AUTOEVENTO="Manual",$M425=1),$M425&gt;(ROW(PLE.lastrow)-ROW(PLE.firstrow))),0,IF(OFFSET(PLE!$G$14,$M425,CG$13)="",10^12,OFFSET(PLE!$G$14,$M425,CG$13))))</f>
        <v>1000000000000</v>
      </c>
      <c r="CH425" s="182">
        <f ca="1">IF($D425&lt;&gt;"Serviço",0,IF(OR(AND(AUTOEVENTO="Manual",$M425=1),$M425&gt;(ROW(PLE.lastrow)-ROW(PLE.firstrow))),0,IF(OFFSET(PLE!$G$14,$M425,CH$13)="",10^12,OFFSET(PLE!$G$14,$M425,CH$13))))</f>
        <v>1000000000000</v>
      </c>
      <c r="CI425" s="182">
        <f ca="1">IF($D425&lt;&gt;"Serviço",0,IF(OR(AND(AUTOEVENTO="Manual",$M425=1),$M425&gt;(ROW(PLE.lastrow)-ROW(PLE.firstrow))),0,IF(OFFSET(PLE!$G$14,$M425,CI$13)="",10^12,OFFSET(PLE!$G$14,$M425,CI$13))))</f>
        <v>1000000000000</v>
      </c>
      <c r="CJ425" s="182">
        <f ca="1">IF($D425&lt;&gt;"Serviço",0,IF(OR(AND(AUTOEVENTO="Manual",$M425=1),$M425&gt;(ROW(PLE.lastrow)-ROW(PLE.firstrow))),0,IF(OFFSET(PLE!$G$14,$M425,CJ$13)="",10^12,OFFSET(PLE!$G$14,$M425,CJ$13))))</f>
        <v>1000000000000</v>
      </c>
      <c r="CK425" s="182">
        <f ca="1">IF($D425&lt;&gt;"Serviço",0,IF(OR(AND(AUTOEVENTO="Manual",$M425=1),$M425&gt;(ROW(PLE.lastrow)-ROW(PLE.firstrow))),0,IF(OFFSET(PLE!$G$14,$M425,CK$13)="",10^12,OFFSET(PLE!$G$14,$M425,CK$13))))</f>
        <v>1000000000000</v>
      </c>
      <c r="CL425" s="182">
        <f ca="1">IF($D425&lt;&gt;"Serviço",0,IF(OR(AND(AUTOEVENTO="Manual",$M425=1),$M425&gt;(ROW(PLE.lastrow)-ROW(PLE.firstrow))),0,IF(OFFSET(PLE!$G$14,$M425,CL$13)="",10^12,OFFSET(PLE!$G$14,$M425,CL$13))))</f>
        <v>1000000000000</v>
      </c>
      <c r="CM425" s="182">
        <f ca="1">IF($D425&lt;&gt;"Serviço",0,IF(OR(AND(AUTOEVENTO="Manual",$M425=1),$M425&gt;(ROW(PLE.lastrow)-ROW(PLE.firstrow))),0,IF(OFFSET(PLE!$G$14,$M425,CM$13)="",10^12,OFFSET(PLE!$G$14,$M425,CM$13))))</f>
        <v>1000000000000</v>
      </c>
    </row>
    <row r="426" spans="1:91" ht="38.25" x14ac:dyDescent="0.2">
      <c r="A426" s="7" t="str">
        <f t="shared" ca="1" si="14"/>
        <v>406</v>
      </c>
      <c r="B426" s="7" t="str">
        <f ca="1">OFFSET(ORÇAMENTO!C$15,ROW(B426)-ROW(B$15),0)</f>
        <v>S</v>
      </c>
      <c r="C426" s="7" t="str">
        <f ca="1">OFFSET(ORÇAMENTO!L$15,ROW(C426)-ROW(C$15),0)</f>
        <v/>
      </c>
      <c r="D426" s="118" t="str">
        <f ca="1">OFFSET(ORÇAMENTO!N$15,ROW(D426)-ROW(D$15),0)</f>
        <v>Serviço</v>
      </c>
      <c r="E426" s="119" t="str">
        <f ca="1">OFFSET(ORÇAMENTO!O$15,ROW(E426)-ROW(E$15),0)</f>
        <v>-</v>
      </c>
      <c r="F426" s="172" t="str">
        <f ca="1">OFFSET(ORÇAMENTO!R$15,ROW(F426)-ROW(F$15),0)</f>
        <v>(abra o arquivo 'Referência 06-2024.xlsm)</v>
      </c>
      <c r="G426" s="173" t="str">
        <f ca="1">IF($D426&lt;&gt;"Serviço","",OFFSET(ORÇAMENTO!S$15,ROW(G426)-ROW(G$15),0))</f>
        <v>-</v>
      </c>
      <c r="H426" s="124">
        <f ca="1">IF($D426&lt;&gt;"Serviço",0,IF(ACOMPANHAMENTO="BM",ROUND(OFFSET(ORÇAMENTO!AJ$15,ROW(H426)-ROW(H$15),0),15-13*ORÇAMENTO!$AF$7),SUMPRODUCT(($Q$12:$AI$12&lt;&gt;"")*ROUND($Q426:$AI426,15-13*ORÇAMENTO!$AF$7))))</f>
        <v>2</v>
      </c>
      <c r="I426" s="561" t="s">
        <v>1107</v>
      </c>
      <c r="K426" s="174"/>
      <c r="L426" s="175" t="s">
        <v>255</v>
      </c>
      <c r="M426" s="176">
        <f ca="1">IF($D426&lt;&gt;"Serviço","",IF(AUTOEVENTO="manual",$A426,IF(ISERROR(MATCH($A426,$A$15:OFFSET($A426,-1,0),0)),MAX($M$15:OFFSET(M426,-1,0))+1,INDEX($M$15:OFFSET(M426,-1,0),MATCH($A426,$A$15:OFFSET($A426,-1,0),0)))))</f>
        <v>48</v>
      </c>
      <c r="N426" s="177" t="str">
        <f ca="1">IF($D426&lt;&gt;"Serviço","",IF(AUTOEVENTO="Manual",IF($A426=0,"&lt;-- defina o número do agrupador",OFFSET(EVENTOS!$D$14,$A426,0)),OFFSET($F$15,$A426,0)))</f>
        <v>SISTEMA DE PROTEÇÃO CONTRA INCÊNDIO - ACESSÓRIOS</v>
      </c>
      <c r="O426" s="178"/>
      <c r="Q426" s="178">
        <v>2</v>
      </c>
      <c r="R426" s="179"/>
      <c r="S426" s="179"/>
      <c r="T426" s="179"/>
      <c r="U426" s="179"/>
      <c r="V426" s="179"/>
      <c r="W426" s="179"/>
      <c r="X426" s="179"/>
      <c r="Y426" s="179"/>
      <c r="Z426" s="180"/>
      <c r="AA426" s="179"/>
      <c r="AB426" s="179"/>
      <c r="AC426" s="179"/>
      <c r="AD426" s="179"/>
      <c r="AE426" s="179"/>
      <c r="AF426" s="179"/>
      <c r="AG426" s="179"/>
      <c r="AH426" s="180"/>
      <c r="AJ426" s="544">
        <f ca="1">IF(AND($D426="Serviço",AJ$12&lt;&gt;0,$H426&gt;0,OR(AUTOEVENTO&lt;&gt;"manual",$M426&lt;&gt;1)),
IF(Import.TipoArredondamento&lt;&gt;"TransfereGOV",
ROUND(OFFSET($P426,0,AJ$13),15-13*ORÇAMENTO!$AF$7)/$H426*OFFSET(ORÇAMENTO!$X$15,ROW(AJ426)-ROW(AJ$15),0),
ROUND(ROUND(OFFSET($P426,0,AJ$13),15-13*ORÇAMENTO!$AF$7)*OFFSET(ORÇAMENTO!$W$15,ROW(AJ426)-ROW(AJ$15),0),15-13*ORÇAMENTO!$AF$11)),0)</f>
        <v>0</v>
      </c>
      <c r="AK426" s="545">
        <f ca="1">IF(AND($D426="Serviço",AK$12&lt;&gt;0,$H426&gt;0,OR(AUTOEVENTO&lt;&gt;"manual",$M426&lt;&gt;1)),
IF(Import.TipoArredondamento&lt;&gt;"TransfereGOV",
ROUND(OFFSET($P426,0,AK$13),15-13*ORÇAMENTO!$AF$7)/$H426*OFFSET(ORÇAMENTO!$X$15,ROW(AK426)-ROW(AK$15),0),
ROUND(ROUND(OFFSET($P426,0,AK$13),15-13*ORÇAMENTO!$AF$7)*OFFSET(ORÇAMENTO!$W$15,ROW(AK426)-ROW(AK$15),0),15-13*ORÇAMENTO!$AF$11)),0)</f>
        <v>0</v>
      </c>
      <c r="AL426" s="545">
        <f ca="1">IF(AND($D426="Serviço",AL$12&lt;&gt;0,$H426&gt;0,OR(AUTOEVENTO&lt;&gt;"manual",$M426&lt;&gt;1)),
IF(Import.TipoArredondamento&lt;&gt;"TransfereGOV",
ROUND(OFFSET($P426,0,AL$13),15-13*ORÇAMENTO!$AF$7)/$H426*OFFSET(ORÇAMENTO!$X$15,ROW(AL426)-ROW(AL$15),0),
ROUND(ROUND(OFFSET($P426,0,AL$13),15-13*ORÇAMENTO!$AF$7)*OFFSET(ORÇAMENTO!$W$15,ROW(AL426)-ROW(AL$15),0),15-13*ORÇAMENTO!$AF$11)),0)</f>
        <v>0</v>
      </c>
      <c r="AM426" s="545">
        <f ca="1">IF(AND($D426="Serviço",AM$12&lt;&gt;0,$H426&gt;0,OR(AUTOEVENTO&lt;&gt;"manual",$M426&lt;&gt;1)),
IF(Import.TipoArredondamento&lt;&gt;"TransfereGOV",
ROUND(OFFSET($P426,0,AM$13),15-13*ORÇAMENTO!$AF$7)/$H426*OFFSET(ORÇAMENTO!$X$15,ROW(AM426)-ROW(AM$15),0),
ROUND(ROUND(OFFSET($P426,0,AM$13),15-13*ORÇAMENTO!$AF$7)*OFFSET(ORÇAMENTO!$W$15,ROW(AM426)-ROW(AM$15),0),15-13*ORÇAMENTO!$AF$11)),0)</f>
        <v>0</v>
      </c>
      <c r="AN426" s="545">
        <f ca="1">IF(AND($D426="Serviço",AN$12&lt;&gt;0,$H426&gt;0,OR(AUTOEVENTO&lt;&gt;"manual",$M426&lt;&gt;1)),
IF(Import.TipoArredondamento&lt;&gt;"TransfereGOV",
ROUND(OFFSET($P426,0,AN$13),15-13*ORÇAMENTO!$AF$7)/$H426*OFFSET(ORÇAMENTO!$X$15,ROW(AN426)-ROW(AN$15),0),
ROUND(ROUND(OFFSET($P426,0,AN$13),15-13*ORÇAMENTO!$AF$7)*OFFSET(ORÇAMENTO!$W$15,ROW(AN426)-ROW(AN$15),0),15-13*ORÇAMENTO!$AF$11)),0)</f>
        <v>0</v>
      </c>
      <c r="AO426" s="545">
        <f ca="1">IF(AND($D426="Serviço",AO$12&lt;&gt;0,$H426&gt;0,OR(AUTOEVENTO&lt;&gt;"manual",$M426&lt;&gt;1)),
IF(Import.TipoArredondamento&lt;&gt;"TransfereGOV",
ROUND(OFFSET($P426,0,AO$13),15-13*ORÇAMENTO!$AF$7)/$H426*OFFSET(ORÇAMENTO!$X$15,ROW(AO426)-ROW(AO$15),0),
ROUND(ROUND(OFFSET($P426,0,AO$13),15-13*ORÇAMENTO!$AF$7)*OFFSET(ORÇAMENTO!$W$15,ROW(AO426)-ROW(AO$15),0),15-13*ORÇAMENTO!$AF$11)),0)</f>
        <v>0</v>
      </c>
      <c r="AP426" s="545">
        <f ca="1">IF(AND($D426="Serviço",AP$12&lt;&gt;0,$H426&gt;0,OR(AUTOEVENTO&lt;&gt;"manual",$M426&lt;&gt;1)),
IF(Import.TipoArredondamento&lt;&gt;"TransfereGOV",
ROUND(OFFSET($P426,0,AP$13),15-13*ORÇAMENTO!$AF$7)/$H426*OFFSET(ORÇAMENTO!$X$15,ROW(AP426)-ROW(AP$15),0),
ROUND(ROUND(OFFSET($P426,0,AP$13),15-13*ORÇAMENTO!$AF$7)*OFFSET(ORÇAMENTO!$W$15,ROW(AP426)-ROW(AP$15),0),15-13*ORÇAMENTO!$AF$11)),0)</f>
        <v>0</v>
      </c>
      <c r="AQ426" s="545">
        <f ca="1">IF(AND($D426="Serviço",AQ$12&lt;&gt;0,$H426&gt;0,OR(AUTOEVENTO&lt;&gt;"manual",$M426&lt;&gt;1)),
IF(Import.TipoArredondamento&lt;&gt;"TransfereGOV",
ROUND(OFFSET($P426,0,AQ$13),15-13*ORÇAMENTO!$AF$7)/$H426*OFFSET(ORÇAMENTO!$X$15,ROW(AQ426)-ROW(AQ$15),0),
ROUND(ROUND(OFFSET($P426,0,AQ$13),15-13*ORÇAMENTO!$AF$7)*OFFSET(ORÇAMENTO!$W$15,ROW(AQ426)-ROW(AQ$15),0),15-13*ORÇAMENTO!$AF$11)),0)</f>
        <v>0</v>
      </c>
      <c r="AR426" s="545">
        <f ca="1">IF(AND($D426="Serviço",AR$12&lt;&gt;0,$H426&gt;0,OR(AUTOEVENTO&lt;&gt;"manual",$M426&lt;&gt;1)),
IF(Import.TipoArredondamento&lt;&gt;"TransfereGOV",
ROUND(OFFSET($P426,0,AR$13),15-13*ORÇAMENTO!$AF$7)/$H426*OFFSET(ORÇAMENTO!$X$15,ROW(AR426)-ROW(AR$15),0),
ROUND(ROUND(OFFSET($P426,0,AR$13),15-13*ORÇAMENTO!$AF$7)*OFFSET(ORÇAMENTO!$W$15,ROW(AR426)-ROW(AR$15),0),15-13*ORÇAMENTO!$AF$11)),0)</f>
        <v>0</v>
      </c>
      <c r="AS426" s="546">
        <f ca="1">IF(AND($D426="Serviço",AS$12&lt;&gt;0,$H426&gt;0,OR(AUTOEVENTO&lt;&gt;"manual",$M426&lt;&gt;1)),
IF(Import.TipoArredondamento&lt;&gt;"TransfereGOV",
ROUND(OFFSET($P426,0,AS$13),15-13*ORÇAMENTO!$AF$7)/$H426*OFFSET(ORÇAMENTO!$X$15,ROW(AS426)-ROW(AS$15),0),
ROUND(ROUND(OFFSET($P426,0,AS$13),15-13*ORÇAMENTO!$AF$7)*OFFSET(ORÇAMENTO!$W$15,ROW(AS426)-ROW(AS$15),0),15-13*ORÇAMENTO!$AF$11)),0)</f>
        <v>0</v>
      </c>
      <c r="AT426" s="545">
        <f ca="1">IF(AND($D426="Serviço",AT$12&lt;&gt;0,$H426&gt;0,OR(AUTOEVENTO&lt;&gt;"manual",$M426&lt;&gt;1)),
IF(Import.TipoArredondamento&lt;&gt;"TransfereGOV",
ROUND(OFFSET($P426,0,AT$13),15-13*ORÇAMENTO!$AF$7)/$H426*OFFSET(ORÇAMENTO!$X$15,ROW(AT426)-ROW(AT$15),0),
ROUND(ROUND(OFFSET($P426,0,AT$13),15-13*ORÇAMENTO!$AF$7)*OFFSET(ORÇAMENTO!$W$15,ROW(AT426)-ROW(AT$15),0),15-13*ORÇAMENTO!$AF$11)),0)</f>
        <v>0</v>
      </c>
      <c r="AU426" s="545">
        <f ca="1">IF(AND($D426="Serviço",AU$12&lt;&gt;0,$H426&gt;0,OR(AUTOEVENTO&lt;&gt;"manual",$M426&lt;&gt;1)),
IF(Import.TipoArredondamento&lt;&gt;"TransfereGOV",
ROUND(OFFSET($P426,0,AU$13),15-13*ORÇAMENTO!$AF$7)/$H426*OFFSET(ORÇAMENTO!$X$15,ROW(AU426)-ROW(AU$15),0),
ROUND(ROUND(OFFSET($P426,0,AU$13),15-13*ORÇAMENTO!$AF$7)*OFFSET(ORÇAMENTO!$W$15,ROW(AU426)-ROW(AU$15),0),15-13*ORÇAMENTO!$AF$11)),0)</f>
        <v>0</v>
      </c>
      <c r="AV426" s="545">
        <f ca="1">IF(AND($D426="Serviço",AV$12&lt;&gt;0,$H426&gt;0,OR(AUTOEVENTO&lt;&gt;"manual",$M426&lt;&gt;1)),
IF(Import.TipoArredondamento&lt;&gt;"TransfereGOV",
ROUND(OFFSET($P426,0,AV$13),15-13*ORÇAMENTO!$AF$7)/$H426*OFFSET(ORÇAMENTO!$X$15,ROW(AV426)-ROW(AV$15),0),
ROUND(ROUND(OFFSET($P426,0,AV$13),15-13*ORÇAMENTO!$AF$7)*OFFSET(ORÇAMENTO!$W$15,ROW(AV426)-ROW(AV$15),0),15-13*ORÇAMENTO!$AF$11)),0)</f>
        <v>0</v>
      </c>
      <c r="AW426" s="545">
        <f ca="1">IF(AND($D426="Serviço",AW$12&lt;&gt;0,$H426&gt;0,OR(AUTOEVENTO&lt;&gt;"manual",$M426&lt;&gt;1)),
IF(Import.TipoArredondamento&lt;&gt;"TransfereGOV",
ROUND(OFFSET($P426,0,AW$13),15-13*ORÇAMENTO!$AF$7)/$H426*OFFSET(ORÇAMENTO!$X$15,ROW(AW426)-ROW(AW$15),0),
ROUND(ROUND(OFFSET($P426,0,AW$13),15-13*ORÇAMENTO!$AF$7)*OFFSET(ORÇAMENTO!$W$15,ROW(AW426)-ROW(AW$15),0),15-13*ORÇAMENTO!$AF$11)),0)</f>
        <v>0</v>
      </c>
      <c r="AX426" s="545">
        <f ca="1">IF(AND($D426="Serviço",AX$12&lt;&gt;0,$H426&gt;0,OR(AUTOEVENTO&lt;&gt;"manual",$M426&lt;&gt;1)),
IF(Import.TipoArredondamento&lt;&gt;"TransfereGOV",
ROUND(OFFSET($P426,0,AX$13),15-13*ORÇAMENTO!$AF$7)/$H426*OFFSET(ORÇAMENTO!$X$15,ROW(AX426)-ROW(AX$15),0),
ROUND(ROUND(OFFSET($P426,0,AX$13),15-13*ORÇAMENTO!$AF$7)*OFFSET(ORÇAMENTO!$W$15,ROW(AX426)-ROW(AX$15),0),15-13*ORÇAMENTO!$AF$11)),0)</f>
        <v>0</v>
      </c>
      <c r="AY426" s="545">
        <f ca="1">IF(AND($D426="Serviço",AY$12&lt;&gt;0,$H426&gt;0,OR(AUTOEVENTO&lt;&gt;"manual",$M426&lt;&gt;1)),
IF(Import.TipoArredondamento&lt;&gt;"TransfereGOV",
ROUND(OFFSET($P426,0,AY$13),15-13*ORÇAMENTO!$AF$7)/$H426*OFFSET(ORÇAMENTO!$X$15,ROW(AY426)-ROW(AY$15),0),
ROUND(ROUND(OFFSET($P426,0,AY$13),15-13*ORÇAMENTO!$AF$7)*OFFSET(ORÇAMENTO!$W$15,ROW(AY426)-ROW(AY$15),0),15-13*ORÇAMENTO!$AF$11)),0)</f>
        <v>0</v>
      </c>
      <c r="AZ426" s="545">
        <f ca="1">IF(AND($D426="Serviço",AZ$12&lt;&gt;0,$H426&gt;0,OR(AUTOEVENTO&lt;&gt;"manual",$M426&lt;&gt;1)),
IF(Import.TipoArredondamento&lt;&gt;"TransfereGOV",
ROUND(OFFSET($P426,0,AZ$13),15-13*ORÇAMENTO!$AF$7)/$H426*OFFSET(ORÇAMENTO!$X$15,ROW(AZ426)-ROW(AZ$15),0),
ROUND(ROUND(OFFSET($P426,0,AZ$13),15-13*ORÇAMENTO!$AF$7)*OFFSET(ORÇAMENTO!$W$15,ROW(AZ426)-ROW(AZ$15),0),15-13*ORÇAMENTO!$AF$11)),0)</f>
        <v>0</v>
      </c>
      <c r="BA426" s="546">
        <f ca="1">IF(AND($D426="Serviço",BA$12&lt;&gt;0,$H426&gt;0,OR(AUTOEVENTO&lt;&gt;"manual",$M426&lt;&gt;1)),
IF(Import.TipoArredondamento&lt;&gt;"TransfereGOV",
ROUND(OFFSET($P426,0,BA$13),15-13*ORÇAMENTO!$AF$7)/$H426*OFFSET(ORÇAMENTO!$X$15,ROW(BA426)-ROW(BA$15),0),
ROUND(ROUND(OFFSET($P426,0,BA$13),15-13*ORÇAMENTO!$AF$7)*OFFSET(ORÇAMENTO!$W$15,ROW(BA426)-ROW(BA$15),0),15-13*ORÇAMENTO!$AF$11)),0)</f>
        <v>0</v>
      </c>
      <c r="BC426" s="181">
        <f ca="1">IF($D426&lt;&gt;"Serviço",0,IF(AND(AUTOEVENTO="Manual",$M426=1),0,IF(OFFSET(CRONOPLE!$F$14,$M426,BC$13)="",10^12,OFFSET(CRONOPLE!$F$14,$M426,BC$13))))</f>
        <v>10</v>
      </c>
      <c r="BD426" s="181">
        <f ca="1">IF($D426&lt;&gt;"Serviço",0,IF(AND(AUTOEVENTO="Manual",$M426=1),0,IF(OFFSET(CRONOPLE!$F$14,$M426,BD$13)="",10^12,OFFSET(CRONOPLE!$F$14,$M426,BD$13))))</f>
        <v>1000000000000</v>
      </c>
      <c r="BE426" s="181">
        <f ca="1">IF($D426&lt;&gt;"Serviço",0,IF(AND(AUTOEVENTO="Manual",$M426=1),0,IF(OFFSET(CRONOPLE!$F$14,$M426,BE$13)="",10^12,OFFSET(CRONOPLE!$F$14,$M426,BE$13))))</f>
        <v>1000000000000</v>
      </c>
      <c r="BF426" s="181">
        <f ca="1">IF($D426&lt;&gt;"Serviço",0,IF(AND(AUTOEVENTO="Manual",$M426=1),0,IF(OFFSET(CRONOPLE!$F$14,$M426,BF$13)="",10^12,OFFSET(CRONOPLE!$F$14,$M426,BF$13))))</f>
        <v>1000000000000</v>
      </c>
      <c r="BG426" s="181">
        <f ca="1">IF($D426&lt;&gt;"Serviço",0,IF(AND(AUTOEVENTO="Manual",$M426=1),0,IF(OFFSET(CRONOPLE!$F$14,$M426,BG$13)="",10^12,OFFSET(CRONOPLE!$F$14,$M426,BG$13))))</f>
        <v>1000000000000</v>
      </c>
      <c r="BH426" s="181">
        <f ca="1">IF($D426&lt;&gt;"Serviço",0,IF(AND(AUTOEVENTO="Manual",$M426=1),0,IF(OFFSET(CRONOPLE!$F$14,$M426,BH$13)="",10^12,OFFSET(CRONOPLE!$F$14,$M426,BH$13))))</f>
        <v>1000000000000</v>
      </c>
      <c r="BI426" s="181">
        <f ca="1">IF($D426&lt;&gt;"Serviço",0,IF(AND(AUTOEVENTO="Manual",$M426=1),0,IF(OFFSET(CRONOPLE!$F$14,$M426,BI$13)="",10^12,OFFSET(CRONOPLE!$F$14,$M426,BI$13))))</f>
        <v>1000000000000</v>
      </c>
      <c r="BJ426" s="181">
        <f ca="1">IF($D426&lt;&gt;"Serviço",0,IF(AND(AUTOEVENTO="Manual",$M426=1),0,IF(OFFSET(CRONOPLE!$F$14,$M426,BJ$13)="",10^12,OFFSET(CRONOPLE!$F$14,$M426,BJ$13))))</f>
        <v>1000000000000</v>
      </c>
      <c r="BK426" s="181">
        <f ca="1">IF($D426&lt;&gt;"Serviço",0,IF(AND(AUTOEVENTO="Manual",$M426=1),0,IF(OFFSET(CRONOPLE!$F$14,$M426,BK$13)="",10^12,OFFSET(CRONOPLE!$F$14,$M426,BK$13))))</f>
        <v>1000000000000</v>
      </c>
      <c r="BL426" s="181">
        <f ca="1">IF($D426&lt;&gt;"Serviço",0,IF(AND(AUTOEVENTO="Manual",$M426=1),0,IF(OFFSET(CRONOPLE!$F$14,$M426,BL$13)="",10^12,OFFSET(CRONOPLE!$F$14,$M426,BL$13))))</f>
        <v>1000000000000</v>
      </c>
      <c r="BM426" s="181">
        <f ca="1">IF($D426&lt;&gt;"Serviço",0,IF(AND(AUTOEVENTO="Manual",$M426=1),0,IF(OFFSET(CRONOPLE!$F$14,$M426,BM$13)="",10^12,OFFSET(CRONOPLE!$F$14,$M426,BM$13))))</f>
        <v>1000000000000</v>
      </c>
      <c r="BN426" s="181">
        <f ca="1">IF($D426&lt;&gt;"Serviço",0,IF(AND(AUTOEVENTO="Manual",$M426=1),0,IF(OFFSET(CRONOPLE!$F$14,$M426,BN$13)="",10^12,OFFSET(CRONOPLE!$F$14,$M426,BN$13))))</f>
        <v>1000000000000</v>
      </c>
      <c r="BO426" s="181">
        <f ca="1">IF($D426&lt;&gt;"Serviço",0,IF(AND(AUTOEVENTO="Manual",$M426=1),0,IF(OFFSET(CRONOPLE!$F$14,$M426,BO$13)="",10^12,OFFSET(CRONOPLE!$F$14,$M426,BO$13))))</f>
        <v>1000000000000</v>
      </c>
      <c r="BP426" s="181">
        <f ca="1">IF($D426&lt;&gt;"Serviço",0,IF(AND(AUTOEVENTO="Manual",$M426=1),0,IF(OFFSET(CRONOPLE!$F$14,$M426,BP$13)="",10^12,OFFSET(CRONOPLE!$F$14,$M426,BP$13))))</f>
        <v>1000000000000</v>
      </c>
      <c r="BQ426" s="181">
        <f ca="1">IF($D426&lt;&gt;"Serviço",0,IF(AND(AUTOEVENTO="Manual",$M426=1),0,IF(OFFSET(CRONOPLE!$F$14,$M426,BQ$13)="",10^12,OFFSET(CRONOPLE!$F$14,$M426,BQ$13))))</f>
        <v>1000000000000</v>
      </c>
      <c r="BR426" s="181">
        <f ca="1">IF($D426&lt;&gt;"Serviço",0,IF(AND(AUTOEVENTO="Manual",$M426=1),0,IF(OFFSET(CRONOPLE!$F$14,$M426,BR$13)="",10^12,OFFSET(CRONOPLE!$F$14,$M426,BR$13))))</f>
        <v>1000000000000</v>
      </c>
      <c r="BS426" s="181">
        <f ca="1">IF($D426&lt;&gt;"Serviço",0,IF(AND(AUTOEVENTO="Manual",$M426=1),0,IF(OFFSET(CRONOPLE!$F$14,$M426,BS$13)="",10^12,OFFSET(CRONOPLE!$F$14,$M426,BS$13))))</f>
        <v>1000000000000</v>
      </c>
      <c r="BT426" s="181">
        <f ca="1">IF($D426&lt;&gt;"Serviço",0,IF(AND(AUTOEVENTO="Manual",$M426=1),0,IF(OFFSET(CRONOPLE!$F$14,$M426,BT$13)="",10^12,OFFSET(CRONOPLE!$F$14,$M426,BT$13))))</f>
        <v>1000000000000</v>
      </c>
      <c r="BV426" s="182">
        <f ca="1">IF($D426&lt;&gt;"Serviço",0,IF(OR(AND(AUTOEVENTO="Manual",$M426=1),$M426&gt;(ROW(PLE.lastrow)-ROW(PLE.firstrow))),0,IF(OFFSET(PLE!$G$14,$M426,BV$13)="",10^12,OFFSET(PLE!$G$14,$M426,BV$13))))</f>
        <v>1000000000000</v>
      </c>
      <c r="BW426" s="182">
        <f ca="1">IF($D426&lt;&gt;"Serviço",0,IF(OR(AND(AUTOEVENTO="Manual",$M426=1),$M426&gt;(ROW(PLE.lastrow)-ROW(PLE.firstrow))),0,IF(OFFSET(PLE!$G$14,$M426,BW$13)="",10^12,OFFSET(PLE!$G$14,$M426,BW$13))))</f>
        <v>1000000000000</v>
      </c>
      <c r="BX426" s="182">
        <f ca="1">IF($D426&lt;&gt;"Serviço",0,IF(OR(AND(AUTOEVENTO="Manual",$M426=1),$M426&gt;(ROW(PLE.lastrow)-ROW(PLE.firstrow))),0,IF(OFFSET(PLE!$G$14,$M426,BX$13)="",10^12,OFFSET(PLE!$G$14,$M426,BX$13))))</f>
        <v>1000000000000</v>
      </c>
      <c r="BY426" s="182">
        <f ca="1">IF($D426&lt;&gt;"Serviço",0,IF(OR(AND(AUTOEVENTO="Manual",$M426=1),$M426&gt;(ROW(PLE.lastrow)-ROW(PLE.firstrow))),0,IF(OFFSET(PLE!$G$14,$M426,BY$13)="",10^12,OFFSET(PLE!$G$14,$M426,BY$13))))</f>
        <v>1000000000000</v>
      </c>
      <c r="BZ426" s="182">
        <f ca="1">IF($D426&lt;&gt;"Serviço",0,IF(OR(AND(AUTOEVENTO="Manual",$M426=1),$M426&gt;(ROW(PLE.lastrow)-ROW(PLE.firstrow))),0,IF(OFFSET(PLE!$G$14,$M426,BZ$13)="",10^12,OFFSET(PLE!$G$14,$M426,BZ$13))))</f>
        <v>1000000000000</v>
      </c>
      <c r="CA426" s="182">
        <f ca="1">IF($D426&lt;&gt;"Serviço",0,IF(OR(AND(AUTOEVENTO="Manual",$M426=1),$M426&gt;(ROW(PLE.lastrow)-ROW(PLE.firstrow))),0,IF(OFFSET(PLE!$G$14,$M426,CA$13)="",10^12,OFFSET(PLE!$G$14,$M426,CA$13))))</f>
        <v>1000000000000</v>
      </c>
      <c r="CB426" s="182">
        <f ca="1">IF($D426&lt;&gt;"Serviço",0,IF(OR(AND(AUTOEVENTO="Manual",$M426=1),$M426&gt;(ROW(PLE.lastrow)-ROW(PLE.firstrow))),0,IF(OFFSET(PLE!$G$14,$M426,CB$13)="",10^12,OFFSET(PLE!$G$14,$M426,CB$13))))</f>
        <v>1000000000000</v>
      </c>
      <c r="CC426" s="182">
        <f ca="1">IF($D426&lt;&gt;"Serviço",0,IF(OR(AND(AUTOEVENTO="Manual",$M426=1),$M426&gt;(ROW(PLE.lastrow)-ROW(PLE.firstrow))),0,IF(OFFSET(PLE!$G$14,$M426,CC$13)="",10^12,OFFSET(PLE!$G$14,$M426,CC$13))))</f>
        <v>1000000000000</v>
      </c>
      <c r="CD426" s="182">
        <f ca="1">IF($D426&lt;&gt;"Serviço",0,IF(OR(AND(AUTOEVENTO="Manual",$M426=1),$M426&gt;(ROW(PLE.lastrow)-ROW(PLE.firstrow))),0,IF(OFFSET(PLE!$G$14,$M426,CD$13)="",10^12,OFFSET(PLE!$G$14,$M426,CD$13))))</f>
        <v>1000000000000</v>
      </c>
      <c r="CE426" s="182">
        <f ca="1">IF($D426&lt;&gt;"Serviço",0,IF(OR(AND(AUTOEVENTO="Manual",$M426=1),$M426&gt;(ROW(PLE.lastrow)-ROW(PLE.firstrow))),0,IF(OFFSET(PLE!$G$14,$M426,CE$13)="",10^12,OFFSET(PLE!$G$14,$M426,CE$13))))</f>
        <v>1000000000000</v>
      </c>
      <c r="CF426" s="182">
        <f ca="1">IF($D426&lt;&gt;"Serviço",0,IF(OR(AND(AUTOEVENTO="Manual",$M426=1),$M426&gt;(ROW(PLE.lastrow)-ROW(PLE.firstrow))),0,IF(OFFSET(PLE!$G$14,$M426,CF$13)="",10^12,OFFSET(PLE!$G$14,$M426,CF$13))))</f>
        <v>1000000000000</v>
      </c>
      <c r="CG426" s="182">
        <f ca="1">IF($D426&lt;&gt;"Serviço",0,IF(OR(AND(AUTOEVENTO="Manual",$M426=1),$M426&gt;(ROW(PLE.lastrow)-ROW(PLE.firstrow))),0,IF(OFFSET(PLE!$G$14,$M426,CG$13)="",10^12,OFFSET(PLE!$G$14,$M426,CG$13))))</f>
        <v>1000000000000</v>
      </c>
      <c r="CH426" s="182">
        <f ca="1">IF($D426&lt;&gt;"Serviço",0,IF(OR(AND(AUTOEVENTO="Manual",$M426=1),$M426&gt;(ROW(PLE.lastrow)-ROW(PLE.firstrow))),0,IF(OFFSET(PLE!$G$14,$M426,CH$13)="",10^12,OFFSET(PLE!$G$14,$M426,CH$13))))</f>
        <v>1000000000000</v>
      </c>
      <c r="CI426" s="182">
        <f ca="1">IF($D426&lt;&gt;"Serviço",0,IF(OR(AND(AUTOEVENTO="Manual",$M426=1),$M426&gt;(ROW(PLE.lastrow)-ROW(PLE.firstrow))),0,IF(OFFSET(PLE!$G$14,$M426,CI$13)="",10^12,OFFSET(PLE!$G$14,$M426,CI$13))))</f>
        <v>1000000000000</v>
      </c>
      <c r="CJ426" s="182">
        <f ca="1">IF($D426&lt;&gt;"Serviço",0,IF(OR(AND(AUTOEVENTO="Manual",$M426=1),$M426&gt;(ROW(PLE.lastrow)-ROW(PLE.firstrow))),0,IF(OFFSET(PLE!$G$14,$M426,CJ$13)="",10^12,OFFSET(PLE!$G$14,$M426,CJ$13))))</f>
        <v>1000000000000</v>
      </c>
      <c r="CK426" s="182">
        <f ca="1">IF($D426&lt;&gt;"Serviço",0,IF(OR(AND(AUTOEVENTO="Manual",$M426=1),$M426&gt;(ROW(PLE.lastrow)-ROW(PLE.firstrow))),0,IF(OFFSET(PLE!$G$14,$M426,CK$13)="",10^12,OFFSET(PLE!$G$14,$M426,CK$13))))</f>
        <v>1000000000000</v>
      </c>
      <c r="CL426" s="182">
        <f ca="1">IF($D426&lt;&gt;"Serviço",0,IF(OR(AND(AUTOEVENTO="Manual",$M426=1),$M426&gt;(ROW(PLE.lastrow)-ROW(PLE.firstrow))),0,IF(OFFSET(PLE!$G$14,$M426,CL$13)="",10^12,OFFSET(PLE!$G$14,$M426,CL$13))))</f>
        <v>1000000000000</v>
      </c>
      <c r="CM426" s="182">
        <f ca="1">IF($D426&lt;&gt;"Serviço",0,IF(OR(AND(AUTOEVENTO="Manual",$M426=1),$M426&gt;(ROW(PLE.lastrow)-ROW(PLE.firstrow))),0,IF(OFFSET(PLE!$G$14,$M426,CM$13)="",10^12,OFFSET(PLE!$G$14,$M426,CM$13))))</f>
        <v>1000000000000</v>
      </c>
    </row>
    <row r="427" spans="1:91" ht="38.25" x14ac:dyDescent="0.2">
      <c r="A427" s="7" t="str">
        <f t="shared" ca="1" si="14"/>
        <v>406</v>
      </c>
      <c r="B427" s="7" t="str">
        <f ca="1">OFFSET(ORÇAMENTO!C$15,ROW(B427)-ROW(B$15),0)</f>
        <v>S</v>
      </c>
      <c r="C427" s="7" t="str">
        <f ca="1">OFFSET(ORÇAMENTO!L$15,ROW(C427)-ROW(C$15),0)</f>
        <v/>
      </c>
      <c r="D427" s="118" t="str">
        <f ca="1">OFFSET(ORÇAMENTO!N$15,ROW(D427)-ROW(D$15),0)</f>
        <v>Serviço</v>
      </c>
      <c r="E427" s="119" t="str">
        <f ca="1">OFFSET(ORÇAMENTO!O$15,ROW(E427)-ROW(E$15),0)</f>
        <v>-</v>
      </c>
      <c r="F427" s="172" t="str">
        <f ca="1">OFFSET(ORÇAMENTO!R$15,ROW(F427)-ROW(F$15),0)</f>
        <v>(abra o arquivo 'Referência 06-2024.xlsm)</v>
      </c>
      <c r="G427" s="173" t="str">
        <f ca="1">IF($D427&lt;&gt;"Serviço","",OFFSET(ORÇAMENTO!S$15,ROW(G427)-ROW(G$15),0))</f>
        <v>-</v>
      </c>
      <c r="H427" s="124">
        <f ca="1">IF($D427&lt;&gt;"Serviço",0,IF(ACOMPANHAMENTO="BM",ROUND(OFFSET(ORÇAMENTO!AJ$15,ROW(H427)-ROW(H$15),0),15-13*ORÇAMENTO!$AF$7),SUMPRODUCT(($Q$12:$AI$12&lt;&gt;"")*ROUND($Q427:$AI427,15-13*ORÇAMENTO!$AF$7))))</f>
        <v>2</v>
      </c>
      <c r="I427" s="561" t="s">
        <v>1107</v>
      </c>
      <c r="K427" s="174"/>
      <c r="L427" s="175" t="s">
        <v>255</v>
      </c>
      <c r="M427" s="176">
        <f ca="1">IF($D427&lt;&gt;"Serviço","",IF(AUTOEVENTO="manual",$A427,IF(ISERROR(MATCH($A427,$A$15:OFFSET($A427,-1,0),0)),MAX($M$15:OFFSET(M427,-1,0))+1,INDEX($M$15:OFFSET(M427,-1,0),MATCH($A427,$A$15:OFFSET($A427,-1,0),0)))))</f>
        <v>48</v>
      </c>
      <c r="N427" s="177" t="str">
        <f ca="1">IF($D427&lt;&gt;"Serviço","",IF(AUTOEVENTO="Manual",IF($A427=0,"&lt;-- defina o número do agrupador",OFFSET(EVENTOS!$D$14,$A427,0)),OFFSET($F$15,$A427,0)))</f>
        <v>SISTEMA DE PROTEÇÃO CONTRA INCÊNDIO - ACESSÓRIOS</v>
      </c>
      <c r="O427" s="178"/>
      <c r="Q427" s="178">
        <v>2</v>
      </c>
      <c r="R427" s="179"/>
      <c r="S427" s="179"/>
      <c r="T427" s="179"/>
      <c r="U427" s="179"/>
      <c r="V427" s="179"/>
      <c r="W427" s="179"/>
      <c r="X427" s="179"/>
      <c r="Y427" s="179"/>
      <c r="Z427" s="180"/>
      <c r="AA427" s="179"/>
      <c r="AB427" s="179"/>
      <c r="AC427" s="179"/>
      <c r="AD427" s="179"/>
      <c r="AE427" s="179"/>
      <c r="AF427" s="179"/>
      <c r="AG427" s="179"/>
      <c r="AH427" s="180"/>
      <c r="AJ427" s="544">
        <f ca="1">IF(AND($D427="Serviço",AJ$12&lt;&gt;0,$H427&gt;0,OR(AUTOEVENTO&lt;&gt;"manual",$M427&lt;&gt;1)),
IF(Import.TipoArredondamento&lt;&gt;"TransfereGOV",
ROUND(OFFSET($P427,0,AJ$13),15-13*ORÇAMENTO!$AF$7)/$H427*OFFSET(ORÇAMENTO!$X$15,ROW(AJ427)-ROW(AJ$15),0),
ROUND(ROUND(OFFSET($P427,0,AJ$13),15-13*ORÇAMENTO!$AF$7)*OFFSET(ORÇAMENTO!$W$15,ROW(AJ427)-ROW(AJ$15),0),15-13*ORÇAMENTO!$AF$11)),0)</f>
        <v>0</v>
      </c>
      <c r="AK427" s="545">
        <f ca="1">IF(AND($D427="Serviço",AK$12&lt;&gt;0,$H427&gt;0,OR(AUTOEVENTO&lt;&gt;"manual",$M427&lt;&gt;1)),
IF(Import.TipoArredondamento&lt;&gt;"TransfereGOV",
ROUND(OFFSET($P427,0,AK$13),15-13*ORÇAMENTO!$AF$7)/$H427*OFFSET(ORÇAMENTO!$X$15,ROW(AK427)-ROW(AK$15),0),
ROUND(ROUND(OFFSET($P427,0,AK$13),15-13*ORÇAMENTO!$AF$7)*OFFSET(ORÇAMENTO!$W$15,ROW(AK427)-ROW(AK$15),0),15-13*ORÇAMENTO!$AF$11)),0)</f>
        <v>0</v>
      </c>
      <c r="AL427" s="545">
        <f ca="1">IF(AND($D427="Serviço",AL$12&lt;&gt;0,$H427&gt;0,OR(AUTOEVENTO&lt;&gt;"manual",$M427&lt;&gt;1)),
IF(Import.TipoArredondamento&lt;&gt;"TransfereGOV",
ROUND(OFFSET($P427,0,AL$13),15-13*ORÇAMENTO!$AF$7)/$H427*OFFSET(ORÇAMENTO!$X$15,ROW(AL427)-ROW(AL$15),0),
ROUND(ROUND(OFFSET($P427,0,AL$13),15-13*ORÇAMENTO!$AF$7)*OFFSET(ORÇAMENTO!$W$15,ROW(AL427)-ROW(AL$15),0),15-13*ORÇAMENTO!$AF$11)),0)</f>
        <v>0</v>
      </c>
      <c r="AM427" s="545">
        <f ca="1">IF(AND($D427="Serviço",AM$12&lt;&gt;0,$H427&gt;0,OR(AUTOEVENTO&lt;&gt;"manual",$M427&lt;&gt;1)),
IF(Import.TipoArredondamento&lt;&gt;"TransfereGOV",
ROUND(OFFSET($P427,0,AM$13),15-13*ORÇAMENTO!$AF$7)/$H427*OFFSET(ORÇAMENTO!$X$15,ROW(AM427)-ROW(AM$15),0),
ROUND(ROUND(OFFSET($P427,0,AM$13),15-13*ORÇAMENTO!$AF$7)*OFFSET(ORÇAMENTO!$W$15,ROW(AM427)-ROW(AM$15),0),15-13*ORÇAMENTO!$AF$11)),0)</f>
        <v>0</v>
      </c>
      <c r="AN427" s="545">
        <f ca="1">IF(AND($D427="Serviço",AN$12&lt;&gt;0,$H427&gt;0,OR(AUTOEVENTO&lt;&gt;"manual",$M427&lt;&gt;1)),
IF(Import.TipoArredondamento&lt;&gt;"TransfereGOV",
ROUND(OFFSET($P427,0,AN$13),15-13*ORÇAMENTO!$AF$7)/$H427*OFFSET(ORÇAMENTO!$X$15,ROW(AN427)-ROW(AN$15),0),
ROUND(ROUND(OFFSET($P427,0,AN$13),15-13*ORÇAMENTO!$AF$7)*OFFSET(ORÇAMENTO!$W$15,ROW(AN427)-ROW(AN$15),0),15-13*ORÇAMENTO!$AF$11)),0)</f>
        <v>0</v>
      </c>
      <c r="AO427" s="545">
        <f ca="1">IF(AND($D427="Serviço",AO$12&lt;&gt;0,$H427&gt;0,OR(AUTOEVENTO&lt;&gt;"manual",$M427&lt;&gt;1)),
IF(Import.TipoArredondamento&lt;&gt;"TransfereGOV",
ROUND(OFFSET($P427,0,AO$13),15-13*ORÇAMENTO!$AF$7)/$H427*OFFSET(ORÇAMENTO!$X$15,ROW(AO427)-ROW(AO$15),0),
ROUND(ROUND(OFFSET($P427,0,AO$13),15-13*ORÇAMENTO!$AF$7)*OFFSET(ORÇAMENTO!$W$15,ROW(AO427)-ROW(AO$15),0),15-13*ORÇAMENTO!$AF$11)),0)</f>
        <v>0</v>
      </c>
      <c r="AP427" s="545">
        <f ca="1">IF(AND($D427="Serviço",AP$12&lt;&gt;0,$H427&gt;0,OR(AUTOEVENTO&lt;&gt;"manual",$M427&lt;&gt;1)),
IF(Import.TipoArredondamento&lt;&gt;"TransfereGOV",
ROUND(OFFSET($P427,0,AP$13),15-13*ORÇAMENTO!$AF$7)/$H427*OFFSET(ORÇAMENTO!$X$15,ROW(AP427)-ROW(AP$15),0),
ROUND(ROUND(OFFSET($P427,0,AP$13),15-13*ORÇAMENTO!$AF$7)*OFFSET(ORÇAMENTO!$W$15,ROW(AP427)-ROW(AP$15),0),15-13*ORÇAMENTO!$AF$11)),0)</f>
        <v>0</v>
      </c>
      <c r="AQ427" s="545">
        <f ca="1">IF(AND($D427="Serviço",AQ$12&lt;&gt;0,$H427&gt;0,OR(AUTOEVENTO&lt;&gt;"manual",$M427&lt;&gt;1)),
IF(Import.TipoArredondamento&lt;&gt;"TransfereGOV",
ROUND(OFFSET($P427,0,AQ$13),15-13*ORÇAMENTO!$AF$7)/$H427*OFFSET(ORÇAMENTO!$X$15,ROW(AQ427)-ROW(AQ$15),0),
ROUND(ROUND(OFFSET($P427,0,AQ$13),15-13*ORÇAMENTO!$AF$7)*OFFSET(ORÇAMENTO!$W$15,ROW(AQ427)-ROW(AQ$15),0),15-13*ORÇAMENTO!$AF$11)),0)</f>
        <v>0</v>
      </c>
      <c r="AR427" s="545">
        <f ca="1">IF(AND($D427="Serviço",AR$12&lt;&gt;0,$H427&gt;0,OR(AUTOEVENTO&lt;&gt;"manual",$M427&lt;&gt;1)),
IF(Import.TipoArredondamento&lt;&gt;"TransfereGOV",
ROUND(OFFSET($P427,0,AR$13),15-13*ORÇAMENTO!$AF$7)/$H427*OFFSET(ORÇAMENTO!$X$15,ROW(AR427)-ROW(AR$15),0),
ROUND(ROUND(OFFSET($P427,0,AR$13),15-13*ORÇAMENTO!$AF$7)*OFFSET(ORÇAMENTO!$W$15,ROW(AR427)-ROW(AR$15),0),15-13*ORÇAMENTO!$AF$11)),0)</f>
        <v>0</v>
      </c>
      <c r="AS427" s="546">
        <f ca="1">IF(AND($D427="Serviço",AS$12&lt;&gt;0,$H427&gt;0,OR(AUTOEVENTO&lt;&gt;"manual",$M427&lt;&gt;1)),
IF(Import.TipoArredondamento&lt;&gt;"TransfereGOV",
ROUND(OFFSET($P427,0,AS$13),15-13*ORÇAMENTO!$AF$7)/$H427*OFFSET(ORÇAMENTO!$X$15,ROW(AS427)-ROW(AS$15),0),
ROUND(ROUND(OFFSET($P427,0,AS$13),15-13*ORÇAMENTO!$AF$7)*OFFSET(ORÇAMENTO!$W$15,ROW(AS427)-ROW(AS$15),0),15-13*ORÇAMENTO!$AF$11)),0)</f>
        <v>0</v>
      </c>
      <c r="AT427" s="545">
        <f ca="1">IF(AND($D427="Serviço",AT$12&lt;&gt;0,$H427&gt;0,OR(AUTOEVENTO&lt;&gt;"manual",$M427&lt;&gt;1)),
IF(Import.TipoArredondamento&lt;&gt;"TransfereGOV",
ROUND(OFFSET($P427,0,AT$13),15-13*ORÇAMENTO!$AF$7)/$H427*OFFSET(ORÇAMENTO!$X$15,ROW(AT427)-ROW(AT$15),0),
ROUND(ROUND(OFFSET($P427,0,AT$13),15-13*ORÇAMENTO!$AF$7)*OFFSET(ORÇAMENTO!$W$15,ROW(AT427)-ROW(AT$15),0),15-13*ORÇAMENTO!$AF$11)),0)</f>
        <v>0</v>
      </c>
      <c r="AU427" s="545">
        <f ca="1">IF(AND($D427="Serviço",AU$12&lt;&gt;0,$H427&gt;0,OR(AUTOEVENTO&lt;&gt;"manual",$M427&lt;&gt;1)),
IF(Import.TipoArredondamento&lt;&gt;"TransfereGOV",
ROUND(OFFSET($P427,0,AU$13),15-13*ORÇAMENTO!$AF$7)/$H427*OFFSET(ORÇAMENTO!$X$15,ROW(AU427)-ROW(AU$15),0),
ROUND(ROUND(OFFSET($P427,0,AU$13),15-13*ORÇAMENTO!$AF$7)*OFFSET(ORÇAMENTO!$W$15,ROW(AU427)-ROW(AU$15),0),15-13*ORÇAMENTO!$AF$11)),0)</f>
        <v>0</v>
      </c>
      <c r="AV427" s="545">
        <f ca="1">IF(AND($D427="Serviço",AV$12&lt;&gt;0,$H427&gt;0,OR(AUTOEVENTO&lt;&gt;"manual",$M427&lt;&gt;1)),
IF(Import.TipoArredondamento&lt;&gt;"TransfereGOV",
ROUND(OFFSET($P427,0,AV$13),15-13*ORÇAMENTO!$AF$7)/$H427*OFFSET(ORÇAMENTO!$X$15,ROW(AV427)-ROW(AV$15),0),
ROUND(ROUND(OFFSET($P427,0,AV$13),15-13*ORÇAMENTO!$AF$7)*OFFSET(ORÇAMENTO!$W$15,ROW(AV427)-ROW(AV$15),0),15-13*ORÇAMENTO!$AF$11)),0)</f>
        <v>0</v>
      </c>
      <c r="AW427" s="545">
        <f ca="1">IF(AND($D427="Serviço",AW$12&lt;&gt;0,$H427&gt;0,OR(AUTOEVENTO&lt;&gt;"manual",$M427&lt;&gt;1)),
IF(Import.TipoArredondamento&lt;&gt;"TransfereGOV",
ROUND(OFFSET($P427,0,AW$13),15-13*ORÇAMENTO!$AF$7)/$H427*OFFSET(ORÇAMENTO!$X$15,ROW(AW427)-ROW(AW$15),0),
ROUND(ROUND(OFFSET($P427,0,AW$13),15-13*ORÇAMENTO!$AF$7)*OFFSET(ORÇAMENTO!$W$15,ROW(AW427)-ROW(AW$15),0),15-13*ORÇAMENTO!$AF$11)),0)</f>
        <v>0</v>
      </c>
      <c r="AX427" s="545">
        <f ca="1">IF(AND($D427="Serviço",AX$12&lt;&gt;0,$H427&gt;0,OR(AUTOEVENTO&lt;&gt;"manual",$M427&lt;&gt;1)),
IF(Import.TipoArredondamento&lt;&gt;"TransfereGOV",
ROUND(OFFSET($P427,0,AX$13),15-13*ORÇAMENTO!$AF$7)/$H427*OFFSET(ORÇAMENTO!$X$15,ROW(AX427)-ROW(AX$15),0),
ROUND(ROUND(OFFSET($P427,0,AX$13),15-13*ORÇAMENTO!$AF$7)*OFFSET(ORÇAMENTO!$W$15,ROW(AX427)-ROW(AX$15),0),15-13*ORÇAMENTO!$AF$11)),0)</f>
        <v>0</v>
      </c>
      <c r="AY427" s="545">
        <f ca="1">IF(AND($D427="Serviço",AY$12&lt;&gt;0,$H427&gt;0,OR(AUTOEVENTO&lt;&gt;"manual",$M427&lt;&gt;1)),
IF(Import.TipoArredondamento&lt;&gt;"TransfereGOV",
ROUND(OFFSET($P427,0,AY$13),15-13*ORÇAMENTO!$AF$7)/$H427*OFFSET(ORÇAMENTO!$X$15,ROW(AY427)-ROW(AY$15),0),
ROUND(ROUND(OFFSET($P427,0,AY$13),15-13*ORÇAMENTO!$AF$7)*OFFSET(ORÇAMENTO!$W$15,ROW(AY427)-ROW(AY$15),0),15-13*ORÇAMENTO!$AF$11)),0)</f>
        <v>0</v>
      </c>
      <c r="AZ427" s="545">
        <f ca="1">IF(AND($D427="Serviço",AZ$12&lt;&gt;0,$H427&gt;0,OR(AUTOEVENTO&lt;&gt;"manual",$M427&lt;&gt;1)),
IF(Import.TipoArredondamento&lt;&gt;"TransfereGOV",
ROUND(OFFSET($P427,0,AZ$13),15-13*ORÇAMENTO!$AF$7)/$H427*OFFSET(ORÇAMENTO!$X$15,ROW(AZ427)-ROW(AZ$15),0),
ROUND(ROUND(OFFSET($P427,0,AZ$13),15-13*ORÇAMENTO!$AF$7)*OFFSET(ORÇAMENTO!$W$15,ROW(AZ427)-ROW(AZ$15),0),15-13*ORÇAMENTO!$AF$11)),0)</f>
        <v>0</v>
      </c>
      <c r="BA427" s="546">
        <f ca="1">IF(AND($D427="Serviço",BA$12&lt;&gt;0,$H427&gt;0,OR(AUTOEVENTO&lt;&gt;"manual",$M427&lt;&gt;1)),
IF(Import.TipoArredondamento&lt;&gt;"TransfereGOV",
ROUND(OFFSET($P427,0,BA$13),15-13*ORÇAMENTO!$AF$7)/$H427*OFFSET(ORÇAMENTO!$X$15,ROW(BA427)-ROW(BA$15),0),
ROUND(ROUND(OFFSET($P427,0,BA$13),15-13*ORÇAMENTO!$AF$7)*OFFSET(ORÇAMENTO!$W$15,ROW(BA427)-ROW(BA$15),0),15-13*ORÇAMENTO!$AF$11)),0)</f>
        <v>0</v>
      </c>
      <c r="BC427" s="181">
        <f ca="1">IF($D427&lt;&gt;"Serviço",0,IF(AND(AUTOEVENTO="Manual",$M427=1),0,IF(OFFSET(CRONOPLE!$F$14,$M427,BC$13)="",10^12,OFFSET(CRONOPLE!$F$14,$M427,BC$13))))</f>
        <v>10</v>
      </c>
      <c r="BD427" s="181">
        <f ca="1">IF($D427&lt;&gt;"Serviço",0,IF(AND(AUTOEVENTO="Manual",$M427=1),0,IF(OFFSET(CRONOPLE!$F$14,$M427,BD$13)="",10^12,OFFSET(CRONOPLE!$F$14,$M427,BD$13))))</f>
        <v>1000000000000</v>
      </c>
      <c r="BE427" s="181">
        <f ca="1">IF($D427&lt;&gt;"Serviço",0,IF(AND(AUTOEVENTO="Manual",$M427=1),0,IF(OFFSET(CRONOPLE!$F$14,$M427,BE$13)="",10^12,OFFSET(CRONOPLE!$F$14,$M427,BE$13))))</f>
        <v>1000000000000</v>
      </c>
      <c r="BF427" s="181">
        <f ca="1">IF($D427&lt;&gt;"Serviço",0,IF(AND(AUTOEVENTO="Manual",$M427=1),0,IF(OFFSET(CRONOPLE!$F$14,$M427,BF$13)="",10^12,OFFSET(CRONOPLE!$F$14,$M427,BF$13))))</f>
        <v>1000000000000</v>
      </c>
      <c r="BG427" s="181">
        <f ca="1">IF($D427&lt;&gt;"Serviço",0,IF(AND(AUTOEVENTO="Manual",$M427=1),0,IF(OFFSET(CRONOPLE!$F$14,$M427,BG$13)="",10^12,OFFSET(CRONOPLE!$F$14,$M427,BG$13))))</f>
        <v>1000000000000</v>
      </c>
      <c r="BH427" s="181">
        <f ca="1">IF($D427&lt;&gt;"Serviço",0,IF(AND(AUTOEVENTO="Manual",$M427=1),0,IF(OFFSET(CRONOPLE!$F$14,$M427,BH$13)="",10^12,OFFSET(CRONOPLE!$F$14,$M427,BH$13))))</f>
        <v>1000000000000</v>
      </c>
      <c r="BI427" s="181">
        <f ca="1">IF($D427&lt;&gt;"Serviço",0,IF(AND(AUTOEVENTO="Manual",$M427=1),0,IF(OFFSET(CRONOPLE!$F$14,$M427,BI$13)="",10^12,OFFSET(CRONOPLE!$F$14,$M427,BI$13))))</f>
        <v>1000000000000</v>
      </c>
      <c r="BJ427" s="181">
        <f ca="1">IF($D427&lt;&gt;"Serviço",0,IF(AND(AUTOEVENTO="Manual",$M427=1),0,IF(OFFSET(CRONOPLE!$F$14,$M427,BJ$13)="",10^12,OFFSET(CRONOPLE!$F$14,$M427,BJ$13))))</f>
        <v>1000000000000</v>
      </c>
      <c r="BK427" s="181">
        <f ca="1">IF($D427&lt;&gt;"Serviço",0,IF(AND(AUTOEVENTO="Manual",$M427=1),0,IF(OFFSET(CRONOPLE!$F$14,$M427,BK$13)="",10^12,OFFSET(CRONOPLE!$F$14,$M427,BK$13))))</f>
        <v>1000000000000</v>
      </c>
      <c r="BL427" s="181">
        <f ca="1">IF($D427&lt;&gt;"Serviço",0,IF(AND(AUTOEVENTO="Manual",$M427=1),0,IF(OFFSET(CRONOPLE!$F$14,$M427,BL$13)="",10^12,OFFSET(CRONOPLE!$F$14,$M427,BL$13))))</f>
        <v>1000000000000</v>
      </c>
      <c r="BM427" s="181">
        <f ca="1">IF($D427&lt;&gt;"Serviço",0,IF(AND(AUTOEVENTO="Manual",$M427=1),0,IF(OFFSET(CRONOPLE!$F$14,$M427,BM$13)="",10^12,OFFSET(CRONOPLE!$F$14,$M427,BM$13))))</f>
        <v>1000000000000</v>
      </c>
      <c r="BN427" s="181">
        <f ca="1">IF($D427&lt;&gt;"Serviço",0,IF(AND(AUTOEVENTO="Manual",$M427=1),0,IF(OFFSET(CRONOPLE!$F$14,$M427,BN$13)="",10^12,OFFSET(CRONOPLE!$F$14,$M427,BN$13))))</f>
        <v>1000000000000</v>
      </c>
      <c r="BO427" s="181">
        <f ca="1">IF($D427&lt;&gt;"Serviço",0,IF(AND(AUTOEVENTO="Manual",$M427=1),0,IF(OFFSET(CRONOPLE!$F$14,$M427,BO$13)="",10^12,OFFSET(CRONOPLE!$F$14,$M427,BO$13))))</f>
        <v>1000000000000</v>
      </c>
      <c r="BP427" s="181">
        <f ca="1">IF($D427&lt;&gt;"Serviço",0,IF(AND(AUTOEVENTO="Manual",$M427=1),0,IF(OFFSET(CRONOPLE!$F$14,$M427,BP$13)="",10^12,OFFSET(CRONOPLE!$F$14,$M427,BP$13))))</f>
        <v>1000000000000</v>
      </c>
      <c r="BQ427" s="181">
        <f ca="1">IF($D427&lt;&gt;"Serviço",0,IF(AND(AUTOEVENTO="Manual",$M427=1),0,IF(OFFSET(CRONOPLE!$F$14,$M427,BQ$13)="",10^12,OFFSET(CRONOPLE!$F$14,$M427,BQ$13))))</f>
        <v>1000000000000</v>
      </c>
      <c r="BR427" s="181">
        <f ca="1">IF($D427&lt;&gt;"Serviço",0,IF(AND(AUTOEVENTO="Manual",$M427=1),0,IF(OFFSET(CRONOPLE!$F$14,$M427,BR$13)="",10^12,OFFSET(CRONOPLE!$F$14,$M427,BR$13))))</f>
        <v>1000000000000</v>
      </c>
      <c r="BS427" s="181">
        <f ca="1">IF($D427&lt;&gt;"Serviço",0,IF(AND(AUTOEVENTO="Manual",$M427=1),0,IF(OFFSET(CRONOPLE!$F$14,$M427,BS$13)="",10^12,OFFSET(CRONOPLE!$F$14,$M427,BS$13))))</f>
        <v>1000000000000</v>
      </c>
      <c r="BT427" s="181">
        <f ca="1">IF($D427&lt;&gt;"Serviço",0,IF(AND(AUTOEVENTO="Manual",$M427=1),0,IF(OFFSET(CRONOPLE!$F$14,$M427,BT$13)="",10^12,OFFSET(CRONOPLE!$F$14,$M427,BT$13))))</f>
        <v>1000000000000</v>
      </c>
      <c r="BV427" s="182">
        <f ca="1">IF($D427&lt;&gt;"Serviço",0,IF(OR(AND(AUTOEVENTO="Manual",$M427=1),$M427&gt;(ROW(PLE.lastrow)-ROW(PLE.firstrow))),0,IF(OFFSET(PLE!$G$14,$M427,BV$13)="",10^12,OFFSET(PLE!$G$14,$M427,BV$13))))</f>
        <v>1000000000000</v>
      </c>
      <c r="BW427" s="182">
        <f ca="1">IF($D427&lt;&gt;"Serviço",0,IF(OR(AND(AUTOEVENTO="Manual",$M427=1),$M427&gt;(ROW(PLE.lastrow)-ROW(PLE.firstrow))),0,IF(OFFSET(PLE!$G$14,$M427,BW$13)="",10^12,OFFSET(PLE!$G$14,$M427,BW$13))))</f>
        <v>1000000000000</v>
      </c>
      <c r="BX427" s="182">
        <f ca="1">IF($D427&lt;&gt;"Serviço",0,IF(OR(AND(AUTOEVENTO="Manual",$M427=1),$M427&gt;(ROW(PLE.lastrow)-ROW(PLE.firstrow))),0,IF(OFFSET(PLE!$G$14,$M427,BX$13)="",10^12,OFFSET(PLE!$G$14,$M427,BX$13))))</f>
        <v>1000000000000</v>
      </c>
      <c r="BY427" s="182">
        <f ca="1">IF($D427&lt;&gt;"Serviço",0,IF(OR(AND(AUTOEVENTO="Manual",$M427=1),$M427&gt;(ROW(PLE.lastrow)-ROW(PLE.firstrow))),0,IF(OFFSET(PLE!$G$14,$M427,BY$13)="",10^12,OFFSET(PLE!$G$14,$M427,BY$13))))</f>
        <v>1000000000000</v>
      </c>
      <c r="BZ427" s="182">
        <f ca="1">IF($D427&lt;&gt;"Serviço",0,IF(OR(AND(AUTOEVENTO="Manual",$M427=1),$M427&gt;(ROW(PLE.lastrow)-ROW(PLE.firstrow))),0,IF(OFFSET(PLE!$G$14,$M427,BZ$13)="",10^12,OFFSET(PLE!$G$14,$M427,BZ$13))))</f>
        <v>1000000000000</v>
      </c>
      <c r="CA427" s="182">
        <f ca="1">IF($D427&lt;&gt;"Serviço",0,IF(OR(AND(AUTOEVENTO="Manual",$M427=1),$M427&gt;(ROW(PLE.lastrow)-ROW(PLE.firstrow))),0,IF(OFFSET(PLE!$G$14,$M427,CA$13)="",10^12,OFFSET(PLE!$G$14,$M427,CA$13))))</f>
        <v>1000000000000</v>
      </c>
      <c r="CB427" s="182">
        <f ca="1">IF($D427&lt;&gt;"Serviço",0,IF(OR(AND(AUTOEVENTO="Manual",$M427=1),$M427&gt;(ROW(PLE.lastrow)-ROW(PLE.firstrow))),0,IF(OFFSET(PLE!$G$14,$M427,CB$13)="",10^12,OFFSET(PLE!$G$14,$M427,CB$13))))</f>
        <v>1000000000000</v>
      </c>
      <c r="CC427" s="182">
        <f ca="1">IF($D427&lt;&gt;"Serviço",0,IF(OR(AND(AUTOEVENTO="Manual",$M427=1),$M427&gt;(ROW(PLE.lastrow)-ROW(PLE.firstrow))),0,IF(OFFSET(PLE!$G$14,$M427,CC$13)="",10^12,OFFSET(PLE!$G$14,$M427,CC$13))))</f>
        <v>1000000000000</v>
      </c>
      <c r="CD427" s="182">
        <f ca="1">IF($D427&lt;&gt;"Serviço",0,IF(OR(AND(AUTOEVENTO="Manual",$M427=1),$M427&gt;(ROW(PLE.lastrow)-ROW(PLE.firstrow))),0,IF(OFFSET(PLE!$G$14,$M427,CD$13)="",10^12,OFFSET(PLE!$G$14,$M427,CD$13))))</f>
        <v>1000000000000</v>
      </c>
      <c r="CE427" s="182">
        <f ca="1">IF($D427&lt;&gt;"Serviço",0,IF(OR(AND(AUTOEVENTO="Manual",$M427=1),$M427&gt;(ROW(PLE.lastrow)-ROW(PLE.firstrow))),0,IF(OFFSET(PLE!$G$14,$M427,CE$13)="",10^12,OFFSET(PLE!$G$14,$M427,CE$13))))</f>
        <v>1000000000000</v>
      </c>
      <c r="CF427" s="182">
        <f ca="1">IF($D427&lt;&gt;"Serviço",0,IF(OR(AND(AUTOEVENTO="Manual",$M427=1),$M427&gt;(ROW(PLE.lastrow)-ROW(PLE.firstrow))),0,IF(OFFSET(PLE!$G$14,$M427,CF$13)="",10^12,OFFSET(PLE!$G$14,$M427,CF$13))))</f>
        <v>1000000000000</v>
      </c>
      <c r="CG427" s="182">
        <f ca="1">IF($D427&lt;&gt;"Serviço",0,IF(OR(AND(AUTOEVENTO="Manual",$M427=1),$M427&gt;(ROW(PLE.lastrow)-ROW(PLE.firstrow))),0,IF(OFFSET(PLE!$G$14,$M427,CG$13)="",10^12,OFFSET(PLE!$G$14,$M427,CG$13))))</f>
        <v>1000000000000</v>
      </c>
      <c r="CH427" s="182">
        <f ca="1">IF($D427&lt;&gt;"Serviço",0,IF(OR(AND(AUTOEVENTO="Manual",$M427=1),$M427&gt;(ROW(PLE.lastrow)-ROW(PLE.firstrow))),0,IF(OFFSET(PLE!$G$14,$M427,CH$13)="",10^12,OFFSET(PLE!$G$14,$M427,CH$13))))</f>
        <v>1000000000000</v>
      </c>
      <c r="CI427" s="182">
        <f ca="1">IF($D427&lt;&gt;"Serviço",0,IF(OR(AND(AUTOEVENTO="Manual",$M427=1),$M427&gt;(ROW(PLE.lastrow)-ROW(PLE.firstrow))),0,IF(OFFSET(PLE!$G$14,$M427,CI$13)="",10^12,OFFSET(PLE!$G$14,$M427,CI$13))))</f>
        <v>1000000000000</v>
      </c>
      <c r="CJ427" s="182">
        <f ca="1">IF($D427&lt;&gt;"Serviço",0,IF(OR(AND(AUTOEVENTO="Manual",$M427=1),$M427&gt;(ROW(PLE.lastrow)-ROW(PLE.firstrow))),0,IF(OFFSET(PLE!$G$14,$M427,CJ$13)="",10^12,OFFSET(PLE!$G$14,$M427,CJ$13))))</f>
        <v>1000000000000</v>
      </c>
      <c r="CK427" s="182">
        <f ca="1">IF($D427&lt;&gt;"Serviço",0,IF(OR(AND(AUTOEVENTO="Manual",$M427=1),$M427&gt;(ROW(PLE.lastrow)-ROW(PLE.firstrow))),0,IF(OFFSET(PLE!$G$14,$M427,CK$13)="",10^12,OFFSET(PLE!$G$14,$M427,CK$13))))</f>
        <v>1000000000000</v>
      </c>
      <c r="CL427" s="182">
        <f ca="1">IF($D427&lt;&gt;"Serviço",0,IF(OR(AND(AUTOEVENTO="Manual",$M427=1),$M427&gt;(ROW(PLE.lastrow)-ROW(PLE.firstrow))),0,IF(OFFSET(PLE!$G$14,$M427,CL$13)="",10^12,OFFSET(PLE!$G$14,$M427,CL$13))))</f>
        <v>1000000000000</v>
      </c>
      <c r="CM427" s="182">
        <f ca="1">IF($D427&lt;&gt;"Serviço",0,IF(OR(AND(AUTOEVENTO="Manual",$M427=1),$M427&gt;(ROW(PLE.lastrow)-ROW(PLE.firstrow))),0,IF(OFFSET(PLE!$G$14,$M427,CM$13)="",10^12,OFFSET(PLE!$G$14,$M427,CM$13))))</f>
        <v>1000000000000</v>
      </c>
    </row>
    <row r="428" spans="1:91" ht="38.25" x14ac:dyDescent="0.2">
      <c r="A428" s="7" t="str">
        <f t="shared" ca="1" si="14"/>
        <v>406</v>
      </c>
      <c r="B428" s="7" t="str">
        <f ca="1">OFFSET(ORÇAMENTO!C$15,ROW(B428)-ROW(B$15),0)</f>
        <v>S</v>
      </c>
      <c r="C428" s="7" t="str">
        <f ca="1">OFFSET(ORÇAMENTO!L$15,ROW(C428)-ROW(C$15),0)</f>
        <v/>
      </c>
      <c r="D428" s="118" t="str">
        <f ca="1">OFFSET(ORÇAMENTO!N$15,ROW(D428)-ROW(D$15),0)</f>
        <v>Serviço</v>
      </c>
      <c r="E428" s="119" t="str">
        <f ca="1">OFFSET(ORÇAMENTO!O$15,ROW(E428)-ROW(E$15),0)</f>
        <v>-</v>
      </c>
      <c r="F428" s="172" t="str">
        <f ca="1">OFFSET(ORÇAMENTO!R$15,ROW(F428)-ROW(F$15),0)</f>
        <v>(abra o arquivo 'Referência 06-2024.xlsm)</v>
      </c>
      <c r="G428" s="173" t="str">
        <f ca="1">IF($D428&lt;&gt;"Serviço","",OFFSET(ORÇAMENTO!S$15,ROW(G428)-ROW(G$15),0))</f>
        <v>-</v>
      </c>
      <c r="H428" s="124">
        <f ca="1">IF($D428&lt;&gt;"Serviço",0,IF(ACOMPANHAMENTO="BM",ROUND(OFFSET(ORÇAMENTO!AJ$15,ROW(H428)-ROW(H$15),0),15-13*ORÇAMENTO!$AF$7),SUMPRODUCT(($Q$12:$AI$12&lt;&gt;"")*ROUND($Q428:$AI428,15-13*ORÇAMENTO!$AF$7))))</f>
        <v>2</v>
      </c>
      <c r="I428" s="561" t="s">
        <v>1107</v>
      </c>
      <c r="K428" s="174"/>
      <c r="L428" s="175" t="s">
        <v>255</v>
      </c>
      <c r="M428" s="176">
        <f ca="1">IF($D428&lt;&gt;"Serviço","",IF(AUTOEVENTO="manual",$A428,IF(ISERROR(MATCH($A428,$A$15:OFFSET($A428,-1,0),0)),MAX($M$15:OFFSET(M428,-1,0))+1,INDEX($M$15:OFFSET(M428,-1,0),MATCH($A428,$A$15:OFFSET($A428,-1,0),0)))))</f>
        <v>48</v>
      </c>
      <c r="N428" s="177" t="str">
        <f ca="1">IF($D428&lt;&gt;"Serviço","",IF(AUTOEVENTO="Manual",IF($A428=0,"&lt;-- defina o número do agrupador",OFFSET(EVENTOS!$D$14,$A428,0)),OFFSET($F$15,$A428,0)))</f>
        <v>SISTEMA DE PROTEÇÃO CONTRA INCÊNDIO - ACESSÓRIOS</v>
      </c>
      <c r="O428" s="178"/>
      <c r="Q428" s="178">
        <v>2</v>
      </c>
      <c r="R428" s="179"/>
      <c r="S428" s="179"/>
      <c r="T428" s="179"/>
      <c r="U428" s="179"/>
      <c r="V428" s="179"/>
      <c r="W428" s="179"/>
      <c r="X428" s="179"/>
      <c r="Y428" s="179"/>
      <c r="Z428" s="180"/>
      <c r="AA428" s="179"/>
      <c r="AB428" s="179"/>
      <c r="AC428" s="179"/>
      <c r="AD428" s="179"/>
      <c r="AE428" s="179"/>
      <c r="AF428" s="179"/>
      <c r="AG428" s="179"/>
      <c r="AH428" s="180"/>
      <c r="AJ428" s="544">
        <f ca="1">IF(AND($D428="Serviço",AJ$12&lt;&gt;0,$H428&gt;0,OR(AUTOEVENTO&lt;&gt;"manual",$M428&lt;&gt;1)),
IF(Import.TipoArredondamento&lt;&gt;"TransfereGOV",
ROUND(OFFSET($P428,0,AJ$13),15-13*ORÇAMENTO!$AF$7)/$H428*OFFSET(ORÇAMENTO!$X$15,ROW(AJ428)-ROW(AJ$15),0),
ROUND(ROUND(OFFSET($P428,0,AJ$13),15-13*ORÇAMENTO!$AF$7)*OFFSET(ORÇAMENTO!$W$15,ROW(AJ428)-ROW(AJ$15),0),15-13*ORÇAMENTO!$AF$11)),0)</f>
        <v>0</v>
      </c>
      <c r="AK428" s="545">
        <f ca="1">IF(AND($D428="Serviço",AK$12&lt;&gt;0,$H428&gt;0,OR(AUTOEVENTO&lt;&gt;"manual",$M428&lt;&gt;1)),
IF(Import.TipoArredondamento&lt;&gt;"TransfereGOV",
ROUND(OFFSET($P428,0,AK$13),15-13*ORÇAMENTO!$AF$7)/$H428*OFFSET(ORÇAMENTO!$X$15,ROW(AK428)-ROW(AK$15),0),
ROUND(ROUND(OFFSET($P428,0,AK$13),15-13*ORÇAMENTO!$AF$7)*OFFSET(ORÇAMENTO!$W$15,ROW(AK428)-ROW(AK$15),0),15-13*ORÇAMENTO!$AF$11)),0)</f>
        <v>0</v>
      </c>
      <c r="AL428" s="545">
        <f ca="1">IF(AND($D428="Serviço",AL$12&lt;&gt;0,$H428&gt;0,OR(AUTOEVENTO&lt;&gt;"manual",$M428&lt;&gt;1)),
IF(Import.TipoArredondamento&lt;&gt;"TransfereGOV",
ROUND(OFFSET($P428,0,AL$13),15-13*ORÇAMENTO!$AF$7)/$H428*OFFSET(ORÇAMENTO!$X$15,ROW(AL428)-ROW(AL$15),0),
ROUND(ROUND(OFFSET($P428,0,AL$13),15-13*ORÇAMENTO!$AF$7)*OFFSET(ORÇAMENTO!$W$15,ROW(AL428)-ROW(AL$15),0),15-13*ORÇAMENTO!$AF$11)),0)</f>
        <v>0</v>
      </c>
      <c r="AM428" s="545">
        <f ca="1">IF(AND($D428="Serviço",AM$12&lt;&gt;0,$H428&gt;0,OR(AUTOEVENTO&lt;&gt;"manual",$M428&lt;&gt;1)),
IF(Import.TipoArredondamento&lt;&gt;"TransfereGOV",
ROUND(OFFSET($P428,0,AM$13),15-13*ORÇAMENTO!$AF$7)/$H428*OFFSET(ORÇAMENTO!$X$15,ROW(AM428)-ROW(AM$15),0),
ROUND(ROUND(OFFSET($P428,0,AM$13),15-13*ORÇAMENTO!$AF$7)*OFFSET(ORÇAMENTO!$W$15,ROW(AM428)-ROW(AM$15),0),15-13*ORÇAMENTO!$AF$11)),0)</f>
        <v>0</v>
      </c>
      <c r="AN428" s="545">
        <f ca="1">IF(AND($D428="Serviço",AN$12&lt;&gt;0,$H428&gt;0,OR(AUTOEVENTO&lt;&gt;"manual",$M428&lt;&gt;1)),
IF(Import.TipoArredondamento&lt;&gt;"TransfereGOV",
ROUND(OFFSET($P428,0,AN$13),15-13*ORÇAMENTO!$AF$7)/$H428*OFFSET(ORÇAMENTO!$X$15,ROW(AN428)-ROW(AN$15),0),
ROUND(ROUND(OFFSET($P428,0,AN$13),15-13*ORÇAMENTO!$AF$7)*OFFSET(ORÇAMENTO!$W$15,ROW(AN428)-ROW(AN$15),0),15-13*ORÇAMENTO!$AF$11)),0)</f>
        <v>0</v>
      </c>
      <c r="AO428" s="545">
        <f ca="1">IF(AND($D428="Serviço",AO$12&lt;&gt;0,$H428&gt;0,OR(AUTOEVENTO&lt;&gt;"manual",$M428&lt;&gt;1)),
IF(Import.TipoArredondamento&lt;&gt;"TransfereGOV",
ROUND(OFFSET($P428,0,AO$13),15-13*ORÇAMENTO!$AF$7)/$H428*OFFSET(ORÇAMENTO!$X$15,ROW(AO428)-ROW(AO$15),0),
ROUND(ROUND(OFFSET($P428,0,AO$13),15-13*ORÇAMENTO!$AF$7)*OFFSET(ORÇAMENTO!$W$15,ROW(AO428)-ROW(AO$15),0),15-13*ORÇAMENTO!$AF$11)),0)</f>
        <v>0</v>
      </c>
      <c r="AP428" s="545">
        <f ca="1">IF(AND($D428="Serviço",AP$12&lt;&gt;0,$H428&gt;0,OR(AUTOEVENTO&lt;&gt;"manual",$M428&lt;&gt;1)),
IF(Import.TipoArredondamento&lt;&gt;"TransfereGOV",
ROUND(OFFSET($P428,0,AP$13),15-13*ORÇAMENTO!$AF$7)/$H428*OFFSET(ORÇAMENTO!$X$15,ROW(AP428)-ROW(AP$15),0),
ROUND(ROUND(OFFSET($P428,0,AP$13),15-13*ORÇAMENTO!$AF$7)*OFFSET(ORÇAMENTO!$W$15,ROW(AP428)-ROW(AP$15),0),15-13*ORÇAMENTO!$AF$11)),0)</f>
        <v>0</v>
      </c>
      <c r="AQ428" s="545">
        <f ca="1">IF(AND($D428="Serviço",AQ$12&lt;&gt;0,$H428&gt;0,OR(AUTOEVENTO&lt;&gt;"manual",$M428&lt;&gt;1)),
IF(Import.TipoArredondamento&lt;&gt;"TransfereGOV",
ROUND(OFFSET($P428,0,AQ$13),15-13*ORÇAMENTO!$AF$7)/$H428*OFFSET(ORÇAMENTO!$X$15,ROW(AQ428)-ROW(AQ$15),0),
ROUND(ROUND(OFFSET($P428,0,AQ$13),15-13*ORÇAMENTO!$AF$7)*OFFSET(ORÇAMENTO!$W$15,ROW(AQ428)-ROW(AQ$15),0),15-13*ORÇAMENTO!$AF$11)),0)</f>
        <v>0</v>
      </c>
      <c r="AR428" s="545">
        <f ca="1">IF(AND($D428="Serviço",AR$12&lt;&gt;0,$H428&gt;0,OR(AUTOEVENTO&lt;&gt;"manual",$M428&lt;&gt;1)),
IF(Import.TipoArredondamento&lt;&gt;"TransfereGOV",
ROUND(OFFSET($P428,0,AR$13),15-13*ORÇAMENTO!$AF$7)/$H428*OFFSET(ORÇAMENTO!$X$15,ROW(AR428)-ROW(AR$15),0),
ROUND(ROUND(OFFSET($P428,0,AR$13),15-13*ORÇAMENTO!$AF$7)*OFFSET(ORÇAMENTO!$W$15,ROW(AR428)-ROW(AR$15),0),15-13*ORÇAMENTO!$AF$11)),0)</f>
        <v>0</v>
      </c>
      <c r="AS428" s="546">
        <f ca="1">IF(AND($D428="Serviço",AS$12&lt;&gt;0,$H428&gt;0,OR(AUTOEVENTO&lt;&gt;"manual",$M428&lt;&gt;1)),
IF(Import.TipoArredondamento&lt;&gt;"TransfereGOV",
ROUND(OFFSET($P428,0,AS$13),15-13*ORÇAMENTO!$AF$7)/$H428*OFFSET(ORÇAMENTO!$X$15,ROW(AS428)-ROW(AS$15),0),
ROUND(ROUND(OFFSET($P428,0,AS$13),15-13*ORÇAMENTO!$AF$7)*OFFSET(ORÇAMENTO!$W$15,ROW(AS428)-ROW(AS$15),0),15-13*ORÇAMENTO!$AF$11)),0)</f>
        <v>0</v>
      </c>
      <c r="AT428" s="545">
        <f ca="1">IF(AND($D428="Serviço",AT$12&lt;&gt;0,$H428&gt;0,OR(AUTOEVENTO&lt;&gt;"manual",$M428&lt;&gt;1)),
IF(Import.TipoArredondamento&lt;&gt;"TransfereGOV",
ROUND(OFFSET($P428,0,AT$13),15-13*ORÇAMENTO!$AF$7)/$H428*OFFSET(ORÇAMENTO!$X$15,ROW(AT428)-ROW(AT$15),0),
ROUND(ROUND(OFFSET($P428,0,AT$13),15-13*ORÇAMENTO!$AF$7)*OFFSET(ORÇAMENTO!$W$15,ROW(AT428)-ROW(AT$15),0),15-13*ORÇAMENTO!$AF$11)),0)</f>
        <v>0</v>
      </c>
      <c r="AU428" s="545">
        <f ca="1">IF(AND($D428="Serviço",AU$12&lt;&gt;0,$H428&gt;0,OR(AUTOEVENTO&lt;&gt;"manual",$M428&lt;&gt;1)),
IF(Import.TipoArredondamento&lt;&gt;"TransfereGOV",
ROUND(OFFSET($P428,0,AU$13),15-13*ORÇAMENTO!$AF$7)/$H428*OFFSET(ORÇAMENTO!$X$15,ROW(AU428)-ROW(AU$15),0),
ROUND(ROUND(OFFSET($P428,0,AU$13),15-13*ORÇAMENTO!$AF$7)*OFFSET(ORÇAMENTO!$W$15,ROW(AU428)-ROW(AU$15),0),15-13*ORÇAMENTO!$AF$11)),0)</f>
        <v>0</v>
      </c>
      <c r="AV428" s="545">
        <f ca="1">IF(AND($D428="Serviço",AV$12&lt;&gt;0,$H428&gt;0,OR(AUTOEVENTO&lt;&gt;"manual",$M428&lt;&gt;1)),
IF(Import.TipoArredondamento&lt;&gt;"TransfereGOV",
ROUND(OFFSET($P428,0,AV$13),15-13*ORÇAMENTO!$AF$7)/$H428*OFFSET(ORÇAMENTO!$X$15,ROW(AV428)-ROW(AV$15),0),
ROUND(ROUND(OFFSET($P428,0,AV$13),15-13*ORÇAMENTO!$AF$7)*OFFSET(ORÇAMENTO!$W$15,ROW(AV428)-ROW(AV$15),0),15-13*ORÇAMENTO!$AF$11)),0)</f>
        <v>0</v>
      </c>
      <c r="AW428" s="545">
        <f ca="1">IF(AND($D428="Serviço",AW$12&lt;&gt;0,$H428&gt;0,OR(AUTOEVENTO&lt;&gt;"manual",$M428&lt;&gt;1)),
IF(Import.TipoArredondamento&lt;&gt;"TransfereGOV",
ROUND(OFFSET($P428,0,AW$13),15-13*ORÇAMENTO!$AF$7)/$H428*OFFSET(ORÇAMENTO!$X$15,ROW(AW428)-ROW(AW$15),0),
ROUND(ROUND(OFFSET($P428,0,AW$13),15-13*ORÇAMENTO!$AF$7)*OFFSET(ORÇAMENTO!$W$15,ROW(AW428)-ROW(AW$15),0),15-13*ORÇAMENTO!$AF$11)),0)</f>
        <v>0</v>
      </c>
      <c r="AX428" s="545">
        <f ca="1">IF(AND($D428="Serviço",AX$12&lt;&gt;0,$H428&gt;0,OR(AUTOEVENTO&lt;&gt;"manual",$M428&lt;&gt;1)),
IF(Import.TipoArredondamento&lt;&gt;"TransfereGOV",
ROUND(OFFSET($P428,0,AX$13),15-13*ORÇAMENTO!$AF$7)/$H428*OFFSET(ORÇAMENTO!$X$15,ROW(AX428)-ROW(AX$15),0),
ROUND(ROUND(OFFSET($P428,0,AX$13),15-13*ORÇAMENTO!$AF$7)*OFFSET(ORÇAMENTO!$W$15,ROW(AX428)-ROW(AX$15),0),15-13*ORÇAMENTO!$AF$11)),0)</f>
        <v>0</v>
      </c>
      <c r="AY428" s="545">
        <f ca="1">IF(AND($D428="Serviço",AY$12&lt;&gt;0,$H428&gt;0,OR(AUTOEVENTO&lt;&gt;"manual",$M428&lt;&gt;1)),
IF(Import.TipoArredondamento&lt;&gt;"TransfereGOV",
ROUND(OFFSET($P428,0,AY$13),15-13*ORÇAMENTO!$AF$7)/$H428*OFFSET(ORÇAMENTO!$X$15,ROW(AY428)-ROW(AY$15),0),
ROUND(ROUND(OFFSET($P428,0,AY$13),15-13*ORÇAMENTO!$AF$7)*OFFSET(ORÇAMENTO!$W$15,ROW(AY428)-ROW(AY$15),0),15-13*ORÇAMENTO!$AF$11)),0)</f>
        <v>0</v>
      </c>
      <c r="AZ428" s="545">
        <f ca="1">IF(AND($D428="Serviço",AZ$12&lt;&gt;0,$H428&gt;0,OR(AUTOEVENTO&lt;&gt;"manual",$M428&lt;&gt;1)),
IF(Import.TipoArredondamento&lt;&gt;"TransfereGOV",
ROUND(OFFSET($P428,0,AZ$13),15-13*ORÇAMENTO!$AF$7)/$H428*OFFSET(ORÇAMENTO!$X$15,ROW(AZ428)-ROW(AZ$15),0),
ROUND(ROUND(OFFSET($P428,0,AZ$13),15-13*ORÇAMENTO!$AF$7)*OFFSET(ORÇAMENTO!$W$15,ROW(AZ428)-ROW(AZ$15),0),15-13*ORÇAMENTO!$AF$11)),0)</f>
        <v>0</v>
      </c>
      <c r="BA428" s="546">
        <f ca="1">IF(AND($D428="Serviço",BA$12&lt;&gt;0,$H428&gt;0,OR(AUTOEVENTO&lt;&gt;"manual",$M428&lt;&gt;1)),
IF(Import.TipoArredondamento&lt;&gt;"TransfereGOV",
ROUND(OFFSET($P428,0,BA$13),15-13*ORÇAMENTO!$AF$7)/$H428*OFFSET(ORÇAMENTO!$X$15,ROW(BA428)-ROW(BA$15),0),
ROUND(ROUND(OFFSET($P428,0,BA$13),15-13*ORÇAMENTO!$AF$7)*OFFSET(ORÇAMENTO!$W$15,ROW(BA428)-ROW(BA$15),0),15-13*ORÇAMENTO!$AF$11)),0)</f>
        <v>0</v>
      </c>
      <c r="BC428" s="181">
        <f ca="1">IF($D428&lt;&gt;"Serviço",0,IF(AND(AUTOEVENTO="Manual",$M428=1),0,IF(OFFSET(CRONOPLE!$F$14,$M428,BC$13)="",10^12,OFFSET(CRONOPLE!$F$14,$M428,BC$13))))</f>
        <v>10</v>
      </c>
      <c r="BD428" s="181">
        <f ca="1">IF($D428&lt;&gt;"Serviço",0,IF(AND(AUTOEVENTO="Manual",$M428=1),0,IF(OFFSET(CRONOPLE!$F$14,$M428,BD$13)="",10^12,OFFSET(CRONOPLE!$F$14,$M428,BD$13))))</f>
        <v>1000000000000</v>
      </c>
      <c r="BE428" s="181">
        <f ca="1">IF($D428&lt;&gt;"Serviço",0,IF(AND(AUTOEVENTO="Manual",$M428=1),0,IF(OFFSET(CRONOPLE!$F$14,$M428,BE$13)="",10^12,OFFSET(CRONOPLE!$F$14,$M428,BE$13))))</f>
        <v>1000000000000</v>
      </c>
      <c r="BF428" s="181">
        <f ca="1">IF($D428&lt;&gt;"Serviço",0,IF(AND(AUTOEVENTO="Manual",$M428=1),0,IF(OFFSET(CRONOPLE!$F$14,$M428,BF$13)="",10^12,OFFSET(CRONOPLE!$F$14,$M428,BF$13))))</f>
        <v>1000000000000</v>
      </c>
      <c r="BG428" s="181">
        <f ca="1">IF($D428&lt;&gt;"Serviço",0,IF(AND(AUTOEVENTO="Manual",$M428=1),0,IF(OFFSET(CRONOPLE!$F$14,$M428,BG$13)="",10^12,OFFSET(CRONOPLE!$F$14,$M428,BG$13))))</f>
        <v>1000000000000</v>
      </c>
      <c r="BH428" s="181">
        <f ca="1">IF($D428&lt;&gt;"Serviço",0,IF(AND(AUTOEVENTO="Manual",$M428=1),0,IF(OFFSET(CRONOPLE!$F$14,$M428,BH$13)="",10^12,OFFSET(CRONOPLE!$F$14,$M428,BH$13))))</f>
        <v>1000000000000</v>
      </c>
      <c r="BI428" s="181">
        <f ca="1">IF($D428&lt;&gt;"Serviço",0,IF(AND(AUTOEVENTO="Manual",$M428=1),0,IF(OFFSET(CRONOPLE!$F$14,$M428,BI$13)="",10^12,OFFSET(CRONOPLE!$F$14,$M428,BI$13))))</f>
        <v>1000000000000</v>
      </c>
      <c r="BJ428" s="181">
        <f ca="1">IF($D428&lt;&gt;"Serviço",0,IF(AND(AUTOEVENTO="Manual",$M428=1),0,IF(OFFSET(CRONOPLE!$F$14,$M428,BJ$13)="",10^12,OFFSET(CRONOPLE!$F$14,$M428,BJ$13))))</f>
        <v>1000000000000</v>
      </c>
      <c r="BK428" s="181">
        <f ca="1">IF($D428&lt;&gt;"Serviço",0,IF(AND(AUTOEVENTO="Manual",$M428=1),0,IF(OFFSET(CRONOPLE!$F$14,$M428,BK$13)="",10^12,OFFSET(CRONOPLE!$F$14,$M428,BK$13))))</f>
        <v>1000000000000</v>
      </c>
      <c r="BL428" s="181">
        <f ca="1">IF($D428&lt;&gt;"Serviço",0,IF(AND(AUTOEVENTO="Manual",$M428=1),0,IF(OFFSET(CRONOPLE!$F$14,$M428,BL$13)="",10^12,OFFSET(CRONOPLE!$F$14,$M428,BL$13))))</f>
        <v>1000000000000</v>
      </c>
      <c r="BM428" s="181">
        <f ca="1">IF($D428&lt;&gt;"Serviço",0,IF(AND(AUTOEVENTO="Manual",$M428=1),0,IF(OFFSET(CRONOPLE!$F$14,$M428,BM$13)="",10^12,OFFSET(CRONOPLE!$F$14,$M428,BM$13))))</f>
        <v>1000000000000</v>
      </c>
      <c r="BN428" s="181">
        <f ca="1">IF($D428&lt;&gt;"Serviço",0,IF(AND(AUTOEVENTO="Manual",$M428=1),0,IF(OFFSET(CRONOPLE!$F$14,$M428,BN$13)="",10^12,OFFSET(CRONOPLE!$F$14,$M428,BN$13))))</f>
        <v>1000000000000</v>
      </c>
      <c r="BO428" s="181">
        <f ca="1">IF($D428&lt;&gt;"Serviço",0,IF(AND(AUTOEVENTO="Manual",$M428=1),0,IF(OFFSET(CRONOPLE!$F$14,$M428,BO$13)="",10^12,OFFSET(CRONOPLE!$F$14,$M428,BO$13))))</f>
        <v>1000000000000</v>
      </c>
      <c r="BP428" s="181">
        <f ca="1">IF($D428&lt;&gt;"Serviço",0,IF(AND(AUTOEVENTO="Manual",$M428=1),0,IF(OFFSET(CRONOPLE!$F$14,$M428,BP$13)="",10^12,OFFSET(CRONOPLE!$F$14,$M428,BP$13))))</f>
        <v>1000000000000</v>
      </c>
      <c r="BQ428" s="181">
        <f ca="1">IF($D428&lt;&gt;"Serviço",0,IF(AND(AUTOEVENTO="Manual",$M428=1),0,IF(OFFSET(CRONOPLE!$F$14,$M428,BQ$13)="",10^12,OFFSET(CRONOPLE!$F$14,$M428,BQ$13))))</f>
        <v>1000000000000</v>
      </c>
      <c r="BR428" s="181">
        <f ca="1">IF($D428&lt;&gt;"Serviço",0,IF(AND(AUTOEVENTO="Manual",$M428=1),0,IF(OFFSET(CRONOPLE!$F$14,$M428,BR$13)="",10^12,OFFSET(CRONOPLE!$F$14,$M428,BR$13))))</f>
        <v>1000000000000</v>
      </c>
      <c r="BS428" s="181">
        <f ca="1">IF($D428&lt;&gt;"Serviço",0,IF(AND(AUTOEVENTO="Manual",$M428=1),0,IF(OFFSET(CRONOPLE!$F$14,$M428,BS$13)="",10^12,OFFSET(CRONOPLE!$F$14,$M428,BS$13))))</f>
        <v>1000000000000</v>
      </c>
      <c r="BT428" s="181">
        <f ca="1">IF($D428&lt;&gt;"Serviço",0,IF(AND(AUTOEVENTO="Manual",$M428=1),0,IF(OFFSET(CRONOPLE!$F$14,$M428,BT$13)="",10^12,OFFSET(CRONOPLE!$F$14,$M428,BT$13))))</f>
        <v>1000000000000</v>
      </c>
      <c r="BV428" s="182">
        <f ca="1">IF($D428&lt;&gt;"Serviço",0,IF(OR(AND(AUTOEVENTO="Manual",$M428=1),$M428&gt;(ROW(PLE.lastrow)-ROW(PLE.firstrow))),0,IF(OFFSET(PLE!$G$14,$M428,BV$13)="",10^12,OFFSET(PLE!$G$14,$M428,BV$13))))</f>
        <v>1000000000000</v>
      </c>
      <c r="BW428" s="182">
        <f ca="1">IF($D428&lt;&gt;"Serviço",0,IF(OR(AND(AUTOEVENTO="Manual",$M428=1),$M428&gt;(ROW(PLE.lastrow)-ROW(PLE.firstrow))),0,IF(OFFSET(PLE!$G$14,$M428,BW$13)="",10^12,OFFSET(PLE!$G$14,$M428,BW$13))))</f>
        <v>1000000000000</v>
      </c>
      <c r="BX428" s="182">
        <f ca="1">IF($D428&lt;&gt;"Serviço",0,IF(OR(AND(AUTOEVENTO="Manual",$M428=1),$M428&gt;(ROW(PLE.lastrow)-ROW(PLE.firstrow))),0,IF(OFFSET(PLE!$G$14,$M428,BX$13)="",10^12,OFFSET(PLE!$G$14,$M428,BX$13))))</f>
        <v>1000000000000</v>
      </c>
      <c r="BY428" s="182">
        <f ca="1">IF($D428&lt;&gt;"Serviço",0,IF(OR(AND(AUTOEVENTO="Manual",$M428=1),$M428&gt;(ROW(PLE.lastrow)-ROW(PLE.firstrow))),0,IF(OFFSET(PLE!$G$14,$M428,BY$13)="",10^12,OFFSET(PLE!$G$14,$M428,BY$13))))</f>
        <v>1000000000000</v>
      </c>
      <c r="BZ428" s="182">
        <f ca="1">IF($D428&lt;&gt;"Serviço",0,IF(OR(AND(AUTOEVENTO="Manual",$M428=1),$M428&gt;(ROW(PLE.lastrow)-ROW(PLE.firstrow))),0,IF(OFFSET(PLE!$G$14,$M428,BZ$13)="",10^12,OFFSET(PLE!$G$14,$M428,BZ$13))))</f>
        <v>1000000000000</v>
      </c>
      <c r="CA428" s="182">
        <f ca="1">IF($D428&lt;&gt;"Serviço",0,IF(OR(AND(AUTOEVENTO="Manual",$M428=1),$M428&gt;(ROW(PLE.lastrow)-ROW(PLE.firstrow))),0,IF(OFFSET(PLE!$G$14,$M428,CA$13)="",10^12,OFFSET(PLE!$G$14,$M428,CA$13))))</f>
        <v>1000000000000</v>
      </c>
      <c r="CB428" s="182">
        <f ca="1">IF($D428&lt;&gt;"Serviço",0,IF(OR(AND(AUTOEVENTO="Manual",$M428=1),$M428&gt;(ROW(PLE.lastrow)-ROW(PLE.firstrow))),0,IF(OFFSET(PLE!$G$14,$M428,CB$13)="",10^12,OFFSET(PLE!$G$14,$M428,CB$13))))</f>
        <v>1000000000000</v>
      </c>
      <c r="CC428" s="182">
        <f ca="1">IF($D428&lt;&gt;"Serviço",0,IF(OR(AND(AUTOEVENTO="Manual",$M428=1),$M428&gt;(ROW(PLE.lastrow)-ROW(PLE.firstrow))),0,IF(OFFSET(PLE!$G$14,$M428,CC$13)="",10^12,OFFSET(PLE!$G$14,$M428,CC$13))))</f>
        <v>1000000000000</v>
      </c>
      <c r="CD428" s="182">
        <f ca="1">IF($D428&lt;&gt;"Serviço",0,IF(OR(AND(AUTOEVENTO="Manual",$M428=1),$M428&gt;(ROW(PLE.lastrow)-ROW(PLE.firstrow))),0,IF(OFFSET(PLE!$G$14,$M428,CD$13)="",10^12,OFFSET(PLE!$G$14,$M428,CD$13))))</f>
        <v>1000000000000</v>
      </c>
      <c r="CE428" s="182">
        <f ca="1">IF($D428&lt;&gt;"Serviço",0,IF(OR(AND(AUTOEVENTO="Manual",$M428=1),$M428&gt;(ROW(PLE.lastrow)-ROW(PLE.firstrow))),0,IF(OFFSET(PLE!$G$14,$M428,CE$13)="",10^12,OFFSET(PLE!$G$14,$M428,CE$13))))</f>
        <v>1000000000000</v>
      </c>
      <c r="CF428" s="182">
        <f ca="1">IF($D428&lt;&gt;"Serviço",0,IF(OR(AND(AUTOEVENTO="Manual",$M428=1),$M428&gt;(ROW(PLE.lastrow)-ROW(PLE.firstrow))),0,IF(OFFSET(PLE!$G$14,$M428,CF$13)="",10^12,OFFSET(PLE!$G$14,$M428,CF$13))))</f>
        <v>1000000000000</v>
      </c>
      <c r="CG428" s="182">
        <f ca="1">IF($D428&lt;&gt;"Serviço",0,IF(OR(AND(AUTOEVENTO="Manual",$M428=1),$M428&gt;(ROW(PLE.lastrow)-ROW(PLE.firstrow))),0,IF(OFFSET(PLE!$G$14,$M428,CG$13)="",10^12,OFFSET(PLE!$G$14,$M428,CG$13))))</f>
        <v>1000000000000</v>
      </c>
      <c r="CH428" s="182">
        <f ca="1">IF($D428&lt;&gt;"Serviço",0,IF(OR(AND(AUTOEVENTO="Manual",$M428=1),$M428&gt;(ROW(PLE.lastrow)-ROW(PLE.firstrow))),0,IF(OFFSET(PLE!$G$14,$M428,CH$13)="",10^12,OFFSET(PLE!$G$14,$M428,CH$13))))</f>
        <v>1000000000000</v>
      </c>
      <c r="CI428" s="182">
        <f ca="1">IF($D428&lt;&gt;"Serviço",0,IF(OR(AND(AUTOEVENTO="Manual",$M428=1),$M428&gt;(ROW(PLE.lastrow)-ROW(PLE.firstrow))),0,IF(OFFSET(PLE!$G$14,$M428,CI$13)="",10^12,OFFSET(PLE!$G$14,$M428,CI$13))))</f>
        <v>1000000000000</v>
      </c>
      <c r="CJ428" s="182">
        <f ca="1">IF($D428&lt;&gt;"Serviço",0,IF(OR(AND(AUTOEVENTO="Manual",$M428=1),$M428&gt;(ROW(PLE.lastrow)-ROW(PLE.firstrow))),0,IF(OFFSET(PLE!$G$14,$M428,CJ$13)="",10^12,OFFSET(PLE!$G$14,$M428,CJ$13))))</f>
        <v>1000000000000</v>
      </c>
      <c r="CK428" s="182">
        <f ca="1">IF($D428&lt;&gt;"Serviço",0,IF(OR(AND(AUTOEVENTO="Manual",$M428=1),$M428&gt;(ROW(PLE.lastrow)-ROW(PLE.firstrow))),0,IF(OFFSET(PLE!$G$14,$M428,CK$13)="",10^12,OFFSET(PLE!$G$14,$M428,CK$13))))</f>
        <v>1000000000000</v>
      </c>
      <c r="CL428" s="182">
        <f ca="1">IF($D428&lt;&gt;"Serviço",0,IF(OR(AND(AUTOEVENTO="Manual",$M428=1),$M428&gt;(ROW(PLE.lastrow)-ROW(PLE.firstrow))),0,IF(OFFSET(PLE!$G$14,$M428,CL$13)="",10^12,OFFSET(PLE!$G$14,$M428,CL$13))))</f>
        <v>1000000000000</v>
      </c>
      <c r="CM428" s="182">
        <f ca="1">IF($D428&lt;&gt;"Serviço",0,IF(OR(AND(AUTOEVENTO="Manual",$M428=1),$M428&gt;(ROW(PLE.lastrow)-ROW(PLE.firstrow))),0,IF(OFFSET(PLE!$G$14,$M428,CM$13)="",10^12,OFFSET(PLE!$G$14,$M428,CM$13))))</f>
        <v>1000000000000</v>
      </c>
    </row>
    <row r="429" spans="1:91" ht="38.25" x14ac:dyDescent="0.2">
      <c r="A429" s="7" t="str">
        <f t="shared" ca="1" si="14"/>
        <v>406</v>
      </c>
      <c r="B429" s="7" t="str">
        <f ca="1">OFFSET(ORÇAMENTO!C$15,ROW(B429)-ROW(B$15),0)</f>
        <v>S</v>
      </c>
      <c r="C429" s="7" t="str">
        <f ca="1">OFFSET(ORÇAMENTO!L$15,ROW(C429)-ROW(C$15),0)</f>
        <v/>
      </c>
      <c r="D429" s="118" t="str">
        <f ca="1">OFFSET(ORÇAMENTO!N$15,ROW(D429)-ROW(D$15),0)</f>
        <v>Serviço</v>
      </c>
      <c r="E429" s="119" t="str">
        <f ca="1">OFFSET(ORÇAMENTO!O$15,ROW(E429)-ROW(E$15),0)</f>
        <v>-</v>
      </c>
      <c r="F429" s="172" t="str">
        <f ca="1">OFFSET(ORÇAMENTO!R$15,ROW(F429)-ROW(F$15),0)</f>
        <v>(abra o arquivo 'Referência 06-2024.xlsm)</v>
      </c>
      <c r="G429" s="173" t="str">
        <f ca="1">IF($D429&lt;&gt;"Serviço","",OFFSET(ORÇAMENTO!S$15,ROW(G429)-ROW(G$15),0))</f>
        <v>-</v>
      </c>
      <c r="H429" s="124">
        <f ca="1">IF($D429&lt;&gt;"Serviço",0,IF(ACOMPANHAMENTO="BM",ROUND(OFFSET(ORÇAMENTO!AJ$15,ROW(H429)-ROW(H$15),0),15-13*ORÇAMENTO!$AF$7),SUMPRODUCT(($Q$12:$AI$12&lt;&gt;"")*ROUND($Q429:$AI429,15-13*ORÇAMENTO!$AF$7))))</f>
        <v>1</v>
      </c>
      <c r="I429" s="561" t="s">
        <v>1107</v>
      </c>
      <c r="K429" s="174"/>
      <c r="L429" s="175" t="s">
        <v>255</v>
      </c>
      <c r="M429" s="176">
        <f ca="1">IF($D429&lt;&gt;"Serviço","",IF(AUTOEVENTO="manual",$A429,IF(ISERROR(MATCH($A429,$A$15:OFFSET($A429,-1,0),0)),MAX($M$15:OFFSET(M429,-1,0))+1,INDEX($M$15:OFFSET(M429,-1,0),MATCH($A429,$A$15:OFFSET($A429,-1,0),0)))))</f>
        <v>48</v>
      </c>
      <c r="N429" s="177" t="str">
        <f ca="1">IF($D429&lt;&gt;"Serviço","",IF(AUTOEVENTO="Manual",IF($A429=0,"&lt;-- defina o número do agrupador",OFFSET(EVENTOS!$D$14,$A429,0)),OFFSET($F$15,$A429,0)))</f>
        <v>SISTEMA DE PROTEÇÃO CONTRA INCÊNDIO - ACESSÓRIOS</v>
      </c>
      <c r="O429" s="178"/>
      <c r="Q429" s="178">
        <v>1</v>
      </c>
      <c r="R429" s="179"/>
      <c r="S429" s="179"/>
      <c r="T429" s="179"/>
      <c r="U429" s="179"/>
      <c r="V429" s="179"/>
      <c r="W429" s="179"/>
      <c r="X429" s="179"/>
      <c r="Y429" s="179"/>
      <c r="Z429" s="180"/>
      <c r="AA429" s="179"/>
      <c r="AB429" s="179"/>
      <c r="AC429" s="179"/>
      <c r="AD429" s="179"/>
      <c r="AE429" s="179"/>
      <c r="AF429" s="179"/>
      <c r="AG429" s="179"/>
      <c r="AH429" s="180"/>
      <c r="AJ429" s="544">
        <f ca="1">IF(AND($D429="Serviço",AJ$12&lt;&gt;0,$H429&gt;0,OR(AUTOEVENTO&lt;&gt;"manual",$M429&lt;&gt;1)),
IF(Import.TipoArredondamento&lt;&gt;"TransfereGOV",
ROUND(OFFSET($P429,0,AJ$13),15-13*ORÇAMENTO!$AF$7)/$H429*OFFSET(ORÇAMENTO!$X$15,ROW(AJ429)-ROW(AJ$15),0),
ROUND(ROUND(OFFSET($P429,0,AJ$13),15-13*ORÇAMENTO!$AF$7)*OFFSET(ORÇAMENTO!$W$15,ROW(AJ429)-ROW(AJ$15),0),15-13*ORÇAMENTO!$AF$11)),0)</f>
        <v>0</v>
      </c>
      <c r="AK429" s="545">
        <f ca="1">IF(AND($D429="Serviço",AK$12&lt;&gt;0,$H429&gt;0,OR(AUTOEVENTO&lt;&gt;"manual",$M429&lt;&gt;1)),
IF(Import.TipoArredondamento&lt;&gt;"TransfereGOV",
ROUND(OFFSET($P429,0,AK$13),15-13*ORÇAMENTO!$AF$7)/$H429*OFFSET(ORÇAMENTO!$X$15,ROW(AK429)-ROW(AK$15),0),
ROUND(ROUND(OFFSET($P429,0,AK$13),15-13*ORÇAMENTO!$AF$7)*OFFSET(ORÇAMENTO!$W$15,ROW(AK429)-ROW(AK$15),0),15-13*ORÇAMENTO!$AF$11)),0)</f>
        <v>0</v>
      </c>
      <c r="AL429" s="545">
        <f ca="1">IF(AND($D429="Serviço",AL$12&lt;&gt;0,$H429&gt;0,OR(AUTOEVENTO&lt;&gt;"manual",$M429&lt;&gt;1)),
IF(Import.TipoArredondamento&lt;&gt;"TransfereGOV",
ROUND(OFFSET($P429,0,AL$13),15-13*ORÇAMENTO!$AF$7)/$H429*OFFSET(ORÇAMENTO!$X$15,ROW(AL429)-ROW(AL$15),0),
ROUND(ROUND(OFFSET($P429,0,AL$13),15-13*ORÇAMENTO!$AF$7)*OFFSET(ORÇAMENTO!$W$15,ROW(AL429)-ROW(AL$15),0),15-13*ORÇAMENTO!$AF$11)),0)</f>
        <v>0</v>
      </c>
      <c r="AM429" s="545">
        <f ca="1">IF(AND($D429="Serviço",AM$12&lt;&gt;0,$H429&gt;0,OR(AUTOEVENTO&lt;&gt;"manual",$M429&lt;&gt;1)),
IF(Import.TipoArredondamento&lt;&gt;"TransfereGOV",
ROUND(OFFSET($P429,0,AM$13),15-13*ORÇAMENTO!$AF$7)/$H429*OFFSET(ORÇAMENTO!$X$15,ROW(AM429)-ROW(AM$15),0),
ROUND(ROUND(OFFSET($P429,0,AM$13),15-13*ORÇAMENTO!$AF$7)*OFFSET(ORÇAMENTO!$W$15,ROW(AM429)-ROW(AM$15),0),15-13*ORÇAMENTO!$AF$11)),0)</f>
        <v>0</v>
      </c>
      <c r="AN429" s="545">
        <f ca="1">IF(AND($D429="Serviço",AN$12&lt;&gt;0,$H429&gt;0,OR(AUTOEVENTO&lt;&gt;"manual",$M429&lt;&gt;1)),
IF(Import.TipoArredondamento&lt;&gt;"TransfereGOV",
ROUND(OFFSET($P429,0,AN$13),15-13*ORÇAMENTO!$AF$7)/$H429*OFFSET(ORÇAMENTO!$X$15,ROW(AN429)-ROW(AN$15),0),
ROUND(ROUND(OFFSET($P429,0,AN$13),15-13*ORÇAMENTO!$AF$7)*OFFSET(ORÇAMENTO!$W$15,ROW(AN429)-ROW(AN$15),0),15-13*ORÇAMENTO!$AF$11)),0)</f>
        <v>0</v>
      </c>
      <c r="AO429" s="545">
        <f ca="1">IF(AND($D429="Serviço",AO$12&lt;&gt;0,$H429&gt;0,OR(AUTOEVENTO&lt;&gt;"manual",$M429&lt;&gt;1)),
IF(Import.TipoArredondamento&lt;&gt;"TransfereGOV",
ROUND(OFFSET($P429,0,AO$13),15-13*ORÇAMENTO!$AF$7)/$H429*OFFSET(ORÇAMENTO!$X$15,ROW(AO429)-ROW(AO$15),0),
ROUND(ROUND(OFFSET($P429,0,AO$13),15-13*ORÇAMENTO!$AF$7)*OFFSET(ORÇAMENTO!$W$15,ROW(AO429)-ROW(AO$15),0),15-13*ORÇAMENTO!$AF$11)),0)</f>
        <v>0</v>
      </c>
      <c r="AP429" s="545">
        <f ca="1">IF(AND($D429="Serviço",AP$12&lt;&gt;0,$H429&gt;0,OR(AUTOEVENTO&lt;&gt;"manual",$M429&lt;&gt;1)),
IF(Import.TipoArredondamento&lt;&gt;"TransfereGOV",
ROUND(OFFSET($P429,0,AP$13),15-13*ORÇAMENTO!$AF$7)/$H429*OFFSET(ORÇAMENTO!$X$15,ROW(AP429)-ROW(AP$15),0),
ROUND(ROUND(OFFSET($P429,0,AP$13),15-13*ORÇAMENTO!$AF$7)*OFFSET(ORÇAMENTO!$W$15,ROW(AP429)-ROW(AP$15),0),15-13*ORÇAMENTO!$AF$11)),0)</f>
        <v>0</v>
      </c>
      <c r="AQ429" s="545">
        <f ca="1">IF(AND($D429="Serviço",AQ$12&lt;&gt;0,$H429&gt;0,OR(AUTOEVENTO&lt;&gt;"manual",$M429&lt;&gt;1)),
IF(Import.TipoArredondamento&lt;&gt;"TransfereGOV",
ROUND(OFFSET($P429,0,AQ$13),15-13*ORÇAMENTO!$AF$7)/$H429*OFFSET(ORÇAMENTO!$X$15,ROW(AQ429)-ROW(AQ$15),0),
ROUND(ROUND(OFFSET($P429,0,AQ$13),15-13*ORÇAMENTO!$AF$7)*OFFSET(ORÇAMENTO!$W$15,ROW(AQ429)-ROW(AQ$15),0),15-13*ORÇAMENTO!$AF$11)),0)</f>
        <v>0</v>
      </c>
      <c r="AR429" s="545">
        <f ca="1">IF(AND($D429="Serviço",AR$12&lt;&gt;0,$H429&gt;0,OR(AUTOEVENTO&lt;&gt;"manual",$M429&lt;&gt;1)),
IF(Import.TipoArredondamento&lt;&gt;"TransfereGOV",
ROUND(OFFSET($P429,0,AR$13),15-13*ORÇAMENTO!$AF$7)/$H429*OFFSET(ORÇAMENTO!$X$15,ROW(AR429)-ROW(AR$15),0),
ROUND(ROUND(OFFSET($P429,0,AR$13),15-13*ORÇAMENTO!$AF$7)*OFFSET(ORÇAMENTO!$W$15,ROW(AR429)-ROW(AR$15),0),15-13*ORÇAMENTO!$AF$11)),0)</f>
        <v>0</v>
      </c>
      <c r="AS429" s="546">
        <f ca="1">IF(AND($D429="Serviço",AS$12&lt;&gt;0,$H429&gt;0,OR(AUTOEVENTO&lt;&gt;"manual",$M429&lt;&gt;1)),
IF(Import.TipoArredondamento&lt;&gt;"TransfereGOV",
ROUND(OFFSET($P429,0,AS$13),15-13*ORÇAMENTO!$AF$7)/$H429*OFFSET(ORÇAMENTO!$X$15,ROW(AS429)-ROW(AS$15),0),
ROUND(ROUND(OFFSET($P429,0,AS$13),15-13*ORÇAMENTO!$AF$7)*OFFSET(ORÇAMENTO!$W$15,ROW(AS429)-ROW(AS$15),0),15-13*ORÇAMENTO!$AF$11)),0)</f>
        <v>0</v>
      </c>
      <c r="AT429" s="545">
        <f ca="1">IF(AND($D429="Serviço",AT$12&lt;&gt;0,$H429&gt;0,OR(AUTOEVENTO&lt;&gt;"manual",$M429&lt;&gt;1)),
IF(Import.TipoArredondamento&lt;&gt;"TransfereGOV",
ROUND(OFFSET($P429,0,AT$13),15-13*ORÇAMENTO!$AF$7)/$H429*OFFSET(ORÇAMENTO!$X$15,ROW(AT429)-ROW(AT$15),0),
ROUND(ROUND(OFFSET($P429,0,AT$13),15-13*ORÇAMENTO!$AF$7)*OFFSET(ORÇAMENTO!$W$15,ROW(AT429)-ROW(AT$15),0),15-13*ORÇAMENTO!$AF$11)),0)</f>
        <v>0</v>
      </c>
      <c r="AU429" s="545">
        <f ca="1">IF(AND($D429="Serviço",AU$12&lt;&gt;0,$H429&gt;0,OR(AUTOEVENTO&lt;&gt;"manual",$M429&lt;&gt;1)),
IF(Import.TipoArredondamento&lt;&gt;"TransfereGOV",
ROUND(OFFSET($P429,0,AU$13),15-13*ORÇAMENTO!$AF$7)/$H429*OFFSET(ORÇAMENTO!$X$15,ROW(AU429)-ROW(AU$15),0),
ROUND(ROUND(OFFSET($P429,0,AU$13),15-13*ORÇAMENTO!$AF$7)*OFFSET(ORÇAMENTO!$W$15,ROW(AU429)-ROW(AU$15),0),15-13*ORÇAMENTO!$AF$11)),0)</f>
        <v>0</v>
      </c>
      <c r="AV429" s="545">
        <f ca="1">IF(AND($D429="Serviço",AV$12&lt;&gt;0,$H429&gt;0,OR(AUTOEVENTO&lt;&gt;"manual",$M429&lt;&gt;1)),
IF(Import.TipoArredondamento&lt;&gt;"TransfereGOV",
ROUND(OFFSET($P429,0,AV$13),15-13*ORÇAMENTO!$AF$7)/$H429*OFFSET(ORÇAMENTO!$X$15,ROW(AV429)-ROW(AV$15),0),
ROUND(ROUND(OFFSET($P429,0,AV$13),15-13*ORÇAMENTO!$AF$7)*OFFSET(ORÇAMENTO!$W$15,ROW(AV429)-ROW(AV$15),0),15-13*ORÇAMENTO!$AF$11)),0)</f>
        <v>0</v>
      </c>
      <c r="AW429" s="545">
        <f ca="1">IF(AND($D429="Serviço",AW$12&lt;&gt;0,$H429&gt;0,OR(AUTOEVENTO&lt;&gt;"manual",$M429&lt;&gt;1)),
IF(Import.TipoArredondamento&lt;&gt;"TransfereGOV",
ROUND(OFFSET($P429,0,AW$13),15-13*ORÇAMENTO!$AF$7)/$H429*OFFSET(ORÇAMENTO!$X$15,ROW(AW429)-ROW(AW$15),0),
ROUND(ROUND(OFFSET($P429,0,AW$13),15-13*ORÇAMENTO!$AF$7)*OFFSET(ORÇAMENTO!$W$15,ROW(AW429)-ROW(AW$15),0),15-13*ORÇAMENTO!$AF$11)),0)</f>
        <v>0</v>
      </c>
      <c r="AX429" s="545">
        <f ca="1">IF(AND($D429="Serviço",AX$12&lt;&gt;0,$H429&gt;0,OR(AUTOEVENTO&lt;&gt;"manual",$M429&lt;&gt;1)),
IF(Import.TipoArredondamento&lt;&gt;"TransfereGOV",
ROUND(OFFSET($P429,0,AX$13),15-13*ORÇAMENTO!$AF$7)/$H429*OFFSET(ORÇAMENTO!$X$15,ROW(AX429)-ROW(AX$15),0),
ROUND(ROUND(OFFSET($P429,0,AX$13),15-13*ORÇAMENTO!$AF$7)*OFFSET(ORÇAMENTO!$W$15,ROW(AX429)-ROW(AX$15),0),15-13*ORÇAMENTO!$AF$11)),0)</f>
        <v>0</v>
      </c>
      <c r="AY429" s="545">
        <f ca="1">IF(AND($D429="Serviço",AY$12&lt;&gt;0,$H429&gt;0,OR(AUTOEVENTO&lt;&gt;"manual",$M429&lt;&gt;1)),
IF(Import.TipoArredondamento&lt;&gt;"TransfereGOV",
ROUND(OFFSET($P429,0,AY$13),15-13*ORÇAMENTO!$AF$7)/$H429*OFFSET(ORÇAMENTO!$X$15,ROW(AY429)-ROW(AY$15),0),
ROUND(ROUND(OFFSET($P429,0,AY$13),15-13*ORÇAMENTO!$AF$7)*OFFSET(ORÇAMENTO!$W$15,ROW(AY429)-ROW(AY$15),0),15-13*ORÇAMENTO!$AF$11)),0)</f>
        <v>0</v>
      </c>
      <c r="AZ429" s="545">
        <f ca="1">IF(AND($D429="Serviço",AZ$12&lt;&gt;0,$H429&gt;0,OR(AUTOEVENTO&lt;&gt;"manual",$M429&lt;&gt;1)),
IF(Import.TipoArredondamento&lt;&gt;"TransfereGOV",
ROUND(OFFSET($P429,0,AZ$13),15-13*ORÇAMENTO!$AF$7)/$H429*OFFSET(ORÇAMENTO!$X$15,ROW(AZ429)-ROW(AZ$15),0),
ROUND(ROUND(OFFSET($P429,0,AZ$13),15-13*ORÇAMENTO!$AF$7)*OFFSET(ORÇAMENTO!$W$15,ROW(AZ429)-ROW(AZ$15),0),15-13*ORÇAMENTO!$AF$11)),0)</f>
        <v>0</v>
      </c>
      <c r="BA429" s="546">
        <f ca="1">IF(AND($D429="Serviço",BA$12&lt;&gt;0,$H429&gt;0,OR(AUTOEVENTO&lt;&gt;"manual",$M429&lt;&gt;1)),
IF(Import.TipoArredondamento&lt;&gt;"TransfereGOV",
ROUND(OFFSET($P429,0,BA$13),15-13*ORÇAMENTO!$AF$7)/$H429*OFFSET(ORÇAMENTO!$X$15,ROW(BA429)-ROW(BA$15),0),
ROUND(ROUND(OFFSET($P429,0,BA$13),15-13*ORÇAMENTO!$AF$7)*OFFSET(ORÇAMENTO!$W$15,ROW(BA429)-ROW(BA$15),0),15-13*ORÇAMENTO!$AF$11)),0)</f>
        <v>0</v>
      </c>
      <c r="BC429" s="181">
        <f ca="1">IF($D429&lt;&gt;"Serviço",0,IF(AND(AUTOEVENTO="Manual",$M429=1),0,IF(OFFSET(CRONOPLE!$F$14,$M429,BC$13)="",10^12,OFFSET(CRONOPLE!$F$14,$M429,BC$13))))</f>
        <v>10</v>
      </c>
      <c r="BD429" s="181">
        <f ca="1">IF($D429&lt;&gt;"Serviço",0,IF(AND(AUTOEVENTO="Manual",$M429=1),0,IF(OFFSET(CRONOPLE!$F$14,$M429,BD$13)="",10^12,OFFSET(CRONOPLE!$F$14,$M429,BD$13))))</f>
        <v>1000000000000</v>
      </c>
      <c r="BE429" s="181">
        <f ca="1">IF($D429&lt;&gt;"Serviço",0,IF(AND(AUTOEVENTO="Manual",$M429=1),0,IF(OFFSET(CRONOPLE!$F$14,$M429,BE$13)="",10^12,OFFSET(CRONOPLE!$F$14,$M429,BE$13))))</f>
        <v>1000000000000</v>
      </c>
      <c r="BF429" s="181">
        <f ca="1">IF($D429&lt;&gt;"Serviço",0,IF(AND(AUTOEVENTO="Manual",$M429=1),0,IF(OFFSET(CRONOPLE!$F$14,$M429,BF$13)="",10^12,OFFSET(CRONOPLE!$F$14,$M429,BF$13))))</f>
        <v>1000000000000</v>
      </c>
      <c r="BG429" s="181">
        <f ca="1">IF($D429&lt;&gt;"Serviço",0,IF(AND(AUTOEVENTO="Manual",$M429=1),0,IF(OFFSET(CRONOPLE!$F$14,$M429,BG$13)="",10^12,OFFSET(CRONOPLE!$F$14,$M429,BG$13))))</f>
        <v>1000000000000</v>
      </c>
      <c r="BH429" s="181">
        <f ca="1">IF($D429&lt;&gt;"Serviço",0,IF(AND(AUTOEVENTO="Manual",$M429=1),0,IF(OFFSET(CRONOPLE!$F$14,$M429,BH$13)="",10^12,OFFSET(CRONOPLE!$F$14,$M429,BH$13))))</f>
        <v>1000000000000</v>
      </c>
      <c r="BI429" s="181">
        <f ca="1">IF($D429&lt;&gt;"Serviço",0,IF(AND(AUTOEVENTO="Manual",$M429=1),0,IF(OFFSET(CRONOPLE!$F$14,$M429,BI$13)="",10^12,OFFSET(CRONOPLE!$F$14,$M429,BI$13))))</f>
        <v>1000000000000</v>
      </c>
      <c r="BJ429" s="181">
        <f ca="1">IF($D429&lt;&gt;"Serviço",0,IF(AND(AUTOEVENTO="Manual",$M429=1),0,IF(OFFSET(CRONOPLE!$F$14,$M429,BJ$13)="",10^12,OFFSET(CRONOPLE!$F$14,$M429,BJ$13))))</f>
        <v>1000000000000</v>
      </c>
      <c r="BK429" s="181">
        <f ca="1">IF($D429&lt;&gt;"Serviço",0,IF(AND(AUTOEVENTO="Manual",$M429=1),0,IF(OFFSET(CRONOPLE!$F$14,$M429,BK$13)="",10^12,OFFSET(CRONOPLE!$F$14,$M429,BK$13))))</f>
        <v>1000000000000</v>
      </c>
      <c r="BL429" s="181">
        <f ca="1">IF($D429&lt;&gt;"Serviço",0,IF(AND(AUTOEVENTO="Manual",$M429=1),0,IF(OFFSET(CRONOPLE!$F$14,$M429,BL$13)="",10^12,OFFSET(CRONOPLE!$F$14,$M429,BL$13))))</f>
        <v>1000000000000</v>
      </c>
      <c r="BM429" s="181">
        <f ca="1">IF($D429&lt;&gt;"Serviço",0,IF(AND(AUTOEVENTO="Manual",$M429=1),0,IF(OFFSET(CRONOPLE!$F$14,$M429,BM$13)="",10^12,OFFSET(CRONOPLE!$F$14,$M429,BM$13))))</f>
        <v>1000000000000</v>
      </c>
      <c r="BN429" s="181">
        <f ca="1">IF($D429&lt;&gt;"Serviço",0,IF(AND(AUTOEVENTO="Manual",$M429=1),0,IF(OFFSET(CRONOPLE!$F$14,$M429,BN$13)="",10^12,OFFSET(CRONOPLE!$F$14,$M429,BN$13))))</f>
        <v>1000000000000</v>
      </c>
      <c r="BO429" s="181">
        <f ca="1">IF($D429&lt;&gt;"Serviço",0,IF(AND(AUTOEVENTO="Manual",$M429=1),0,IF(OFFSET(CRONOPLE!$F$14,$M429,BO$13)="",10^12,OFFSET(CRONOPLE!$F$14,$M429,BO$13))))</f>
        <v>1000000000000</v>
      </c>
      <c r="BP429" s="181">
        <f ca="1">IF($D429&lt;&gt;"Serviço",0,IF(AND(AUTOEVENTO="Manual",$M429=1),0,IF(OFFSET(CRONOPLE!$F$14,$M429,BP$13)="",10^12,OFFSET(CRONOPLE!$F$14,$M429,BP$13))))</f>
        <v>1000000000000</v>
      </c>
      <c r="BQ429" s="181">
        <f ca="1">IF($D429&lt;&gt;"Serviço",0,IF(AND(AUTOEVENTO="Manual",$M429=1),0,IF(OFFSET(CRONOPLE!$F$14,$M429,BQ$13)="",10^12,OFFSET(CRONOPLE!$F$14,$M429,BQ$13))))</f>
        <v>1000000000000</v>
      </c>
      <c r="BR429" s="181">
        <f ca="1">IF($D429&lt;&gt;"Serviço",0,IF(AND(AUTOEVENTO="Manual",$M429=1),0,IF(OFFSET(CRONOPLE!$F$14,$M429,BR$13)="",10^12,OFFSET(CRONOPLE!$F$14,$M429,BR$13))))</f>
        <v>1000000000000</v>
      </c>
      <c r="BS429" s="181">
        <f ca="1">IF($D429&lt;&gt;"Serviço",0,IF(AND(AUTOEVENTO="Manual",$M429=1),0,IF(OFFSET(CRONOPLE!$F$14,$M429,BS$13)="",10^12,OFFSET(CRONOPLE!$F$14,$M429,BS$13))))</f>
        <v>1000000000000</v>
      </c>
      <c r="BT429" s="181">
        <f ca="1">IF($D429&lt;&gt;"Serviço",0,IF(AND(AUTOEVENTO="Manual",$M429=1),0,IF(OFFSET(CRONOPLE!$F$14,$M429,BT$13)="",10^12,OFFSET(CRONOPLE!$F$14,$M429,BT$13))))</f>
        <v>1000000000000</v>
      </c>
      <c r="BV429" s="182">
        <f ca="1">IF($D429&lt;&gt;"Serviço",0,IF(OR(AND(AUTOEVENTO="Manual",$M429=1),$M429&gt;(ROW(PLE.lastrow)-ROW(PLE.firstrow))),0,IF(OFFSET(PLE!$G$14,$M429,BV$13)="",10^12,OFFSET(PLE!$G$14,$M429,BV$13))))</f>
        <v>1000000000000</v>
      </c>
      <c r="BW429" s="182">
        <f ca="1">IF($D429&lt;&gt;"Serviço",0,IF(OR(AND(AUTOEVENTO="Manual",$M429=1),$M429&gt;(ROW(PLE.lastrow)-ROW(PLE.firstrow))),0,IF(OFFSET(PLE!$G$14,$M429,BW$13)="",10^12,OFFSET(PLE!$G$14,$M429,BW$13))))</f>
        <v>1000000000000</v>
      </c>
      <c r="BX429" s="182">
        <f ca="1">IF($D429&lt;&gt;"Serviço",0,IF(OR(AND(AUTOEVENTO="Manual",$M429=1),$M429&gt;(ROW(PLE.lastrow)-ROW(PLE.firstrow))),0,IF(OFFSET(PLE!$G$14,$M429,BX$13)="",10^12,OFFSET(PLE!$G$14,$M429,BX$13))))</f>
        <v>1000000000000</v>
      </c>
      <c r="BY429" s="182">
        <f ca="1">IF($D429&lt;&gt;"Serviço",0,IF(OR(AND(AUTOEVENTO="Manual",$M429=1),$M429&gt;(ROW(PLE.lastrow)-ROW(PLE.firstrow))),0,IF(OFFSET(PLE!$G$14,$M429,BY$13)="",10^12,OFFSET(PLE!$G$14,$M429,BY$13))))</f>
        <v>1000000000000</v>
      </c>
      <c r="BZ429" s="182">
        <f ca="1">IF($D429&lt;&gt;"Serviço",0,IF(OR(AND(AUTOEVENTO="Manual",$M429=1),$M429&gt;(ROW(PLE.lastrow)-ROW(PLE.firstrow))),0,IF(OFFSET(PLE!$G$14,$M429,BZ$13)="",10^12,OFFSET(PLE!$G$14,$M429,BZ$13))))</f>
        <v>1000000000000</v>
      </c>
      <c r="CA429" s="182">
        <f ca="1">IF($D429&lt;&gt;"Serviço",0,IF(OR(AND(AUTOEVENTO="Manual",$M429=1),$M429&gt;(ROW(PLE.lastrow)-ROW(PLE.firstrow))),0,IF(OFFSET(PLE!$G$14,$M429,CA$13)="",10^12,OFFSET(PLE!$G$14,$M429,CA$13))))</f>
        <v>1000000000000</v>
      </c>
      <c r="CB429" s="182">
        <f ca="1">IF($D429&lt;&gt;"Serviço",0,IF(OR(AND(AUTOEVENTO="Manual",$M429=1),$M429&gt;(ROW(PLE.lastrow)-ROW(PLE.firstrow))),0,IF(OFFSET(PLE!$G$14,$M429,CB$13)="",10^12,OFFSET(PLE!$G$14,$M429,CB$13))))</f>
        <v>1000000000000</v>
      </c>
      <c r="CC429" s="182">
        <f ca="1">IF($D429&lt;&gt;"Serviço",0,IF(OR(AND(AUTOEVENTO="Manual",$M429=1),$M429&gt;(ROW(PLE.lastrow)-ROW(PLE.firstrow))),0,IF(OFFSET(PLE!$G$14,$M429,CC$13)="",10^12,OFFSET(PLE!$G$14,$M429,CC$13))))</f>
        <v>1000000000000</v>
      </c>
      <c r="CD429" s="182">
        <f ca="1">IF($D429&lt;&gt;"Serviço",0,IF(OR(AND(AUTOEVENTO="Manual",$M429=1),$M429&gt;(ROW(PLE.lastrow)-ROW(PLE.firstrow))),0,IF(OFFSET(PLE!$G$14,$M429,CD$13)="",10^12,OFFSET(PLE!$G$14,$M429,CD$13))))</f>
        <v>1000000000000</v>
      </c>
      <c r="CE429" s="182">
        <f ca="1">IF($D429&lt;&gt;"Serviço",0,IF(OR(AND(AUTOEVENTO="Manual",$M429=1),$M429&gt;(ROW(PLE.lastrow)-ROW(PLE.firstrow))),0,IF(OFFSET(PLE!$G$14,$M429,CE$13)="",10^12,OFFSET(PLE!$G$14,$M429,CE$13))))</f>
        <v>1000000000000</v>
      </c>
      <c r="CF429" s="182">
        <f ca="1">IF($D429&lt;&gt;"Serviço",0,IF(OR(AND(AUTOEVENTO="Manual",$M429=1),$M429&gt;(ROW(PLE.lastrow)-ROW(PLE.firstrow))),0,IF(OFFSET(PLE!$G$14,$M429,CF$13)="",10^12,OFFSET(PLE!$G$14,$M429,CF$13))))</f>
        <v>1000000000000</v>
      </c>
      <c r="CG429" s="182">
        <f ca="1">IF($D429&lt;&gt;"Serviço",0,IF(OR(AND(AUTOEVENTO="Manual",$M429=1),$M429&gt;(ROW(PLE.lastrow)-ROW(PLE.firstrow))),0,IF(OFFSET(PLE!$G$14,$M429,CG$13)="",10^12,OFFSET(PLE!$G$14,$M429,CG$13))))</f>
        <v>1000000000000</v>
      </c>
      <c r="CH429" s="182">
        <f ca="1">IF($D429&lt;&gt;"Serviço",0,IF(OR(AND(AUTOEVENTO="Manual",$M429=1),$M429&gt;(ROW(PLE.lastrow)-ROW(PLE.firstrow))),0,IF(OFFSET(PLE!$G$14,$M429,CH$13)="",10^12,OFFSET(PLE!$G$14,$M429,CH$13))))</f>
        <v>1000000000000</v>
      </c>
      <c r="CI429" s="182">
        <f ca="1">IF($D429&lt;&gt;"Serviço",0,IF(OR(AND(AUTOEVENTO="Manual",$M429=1),$M429&gt;(ROW(PLE.lastrow)-ROW(PLE.firstrow))),0,IF(OFFSET(PLE!$G$14,$M429,CI$13)="",10^12,OFFSET(PLE!$G$14,$M429,CI$13))))</f>
        <v>1000000000000</v>
      </c>
      <c r="CJ429" s="182">
        <f ca="1">IF($D429&lt;&gt;"Serviço",0,IF(OR(AND(AUTOEVENTO="Manual",$M429=1),$M429&gt;(ROW(PLE.lastrow)-ROW(PLE.firstrow))),0,IF(OFFSET(PLE!$G$14,$M429,CJ$13)="",10^12,OFFSET(PLE!$G$14,$M429,CJ$13))))</f>
        <v>1000000000000</v>
      </c>
      <c r="CK429" s="182">
        <f ca="1">IF($D429&lt;&gt;"Serviço",0,IF(OR(AND(AUTOEVENTO="Manual",$M429=1),$M429&gt;(ROW(PLE.lastrow)-ROW(PLE.firstrow))),0,IF(OFFSET(PLE!$G$14,$M429,CK$13)="",10^12,OFFSET(PLE!$G$14,$M429,CK$13))))</f>
        <v>1000000000000</v>
      </c>
      <c r="CL429" s="182">
        <f ca="1">IF($D429&lt;&gt;"Serviço",0,IF(OR(AND(AUTOEVENTO="Manual",$M429=1),$M429&gt;(ROW(PLE.lastrow)-ROW(PLE.firstrow))),0,IF(OFFSET(PLE!$G$14,$M429,CL$13)="",10^12,OFFSET(PLE!$G$14,$M429,CL$13))))</f>
        <v>1000000000000</v>
      </c>
      <c r="CM429" s="182">
        <f ca="1">IF($D429&lt;&gt;"Serviço",0,IF(OR(AND(AUTOEVENTO="Manual",$M429=1),$M429&gt;(ROW(PLE.lastrow)-ROW(PLE.firstrow))),0,IF(OFFSET(PLE!$G$14,$M429,CM$13)="",10^12,OFFSET(PLE!$G$14,$M429,CM$13))))</f>
        <v>1000000000000</v>
      </c>
    </row>
    <row r="430" spans="1:91" ht="38.25" x14ac:dyDescent="0.2">
      <c r="A430" s="7" t="str">
        <f t="shared" ca="1" si="14"/>
        <v>406</v>
      </c>
      <c r="B430" s="7" t="str">
        <f ca="1">OFFSET(ORÇAMENTO!C$15,ROW(B430)-ROW(B$15),0)</f>
        <v>S</v>
      </c>
      <c r="C430" s="7" t="str">
        <f ca="1">OFFSET(ORÇAMENTO!L$15,ROW(C430)-ROW(C$15),0)</f>
        <v/>
      </c>
      <c r="D430" s="118" t="str">
        <f ca="1">OFFSET(ORÇAMENTO!N$15,ROW(D430)-ROW(D$15),0)</f>
        <v>Serviço</v>
      </c>
      <c r="E430" s="119" t="str">
        <f ca="1">OFFSET(ORÇAMENTO!O$15,ROW(E430)-ROW(E$15),0)</f>
        <v>-</v>
      </c>
      <c r="F430" s="172" t="str">
        <f ca="1">OFFSET(ORÇAMENTO!R$15,ROW(F430)-ROW(F$15),0)</f>
        <v>(abra o arquivo 'Referência 06-2024.xlsm)</v>
      </c>
      <c r="G430" s="173" t="str">
        <f ca="1">IF($D430&lt;&gt;"Serviço","",OFFSET(ORÇAMENTO!S$15,ROW(G430)-ROW(G$15),0))</f>
        <v>-</v>
      </c>
      <c r="H430" s="124">
        <f ca="1">IF($D430&lt;&gt;"Serviço",0,IF(ACOMPANHAMENTO="BM",ROUND(OFFSET(ORÇAMENTO!AJ$15,ROW(H430)-ROW(H$15),0),15-13*ORÇAMENTO!$AF$7),SUMPRODUCT(($Q$12:$AI$12&lt;&gt;"")*ROUND($Q430:$AI430,15-13*ORÇAMENTO!$AF$7))))</f>
        <v>2</v>
      </c>
      <c r="I430" s="561" t="s">
        <v>1107</v>
      </c>
      <c r="K430" s="174"/>
      <c r="L430" s="175" t="s">
        <v>255</v>
      </c>
      <c r="M430" s="176">
        <f ca="1">IF($D430&lt;&gt;"Serviço","",IF(AUTOEVENTO="manual",$A430,IF(ISERROR(MATCH($A430,$A$15:OFFSET($A430,-1,0),0)),MAX($M$15:OFFSET(M430,-1,0))+1,INDEX($M$15:OFFSET(M430,-1,0),MATCH($A430,$A$15:OFFSET($A430,-1,0),0)))))</f>
        <v>48</v>
      </c>
      <c r="N430" s="177" t="str">
        <f ca="1">IF($D430&lt;&gt;"Serviço","",IF(AUTOEVENTO="Manual",IF($A430=0,"&lt;-- defina o número do agrupador",OFFSET(EVENTOS!$D$14,$A430,0)),OFFSET($F$15,$A430,0)))</f>
        <v>SISTEMA DE PROTEÇÃO CONTRA INCÊNDIO - ACESSÓRIOS</v>
      </c>
      <c r="O430" s="178"/>
      <c r="Q430" s="178">
        <v>2</v>
      </c>
      <c r="R430" s="179"/>
      <c r="S430" s="179"/>
      <c r="T430" s="179"/>
      <c r="U430" s="179"/>
      <c r="V430" s="179"/>
      <c r="W430" s="179"/>
      <c r="X430" s="179"/>
      <c r="Y430" s="179"/>
      <c r="Z430" s="180"/>
      <c r="AA430" s="179"/>
      <c r="AB430" s="179"/>
      <c r="AC430" s="179"/>
      <c r="AD430" s="179"/>
      <c r="AE430" s="179"/>
      <c r="AF430" s="179"/>
      <c r="AG430" s="179"/>
      <c r="AH430" s="180"/>
      <c r="AJ430" s="544">
        <f ca="1">IF(AND($D430="Serviço",AJ$12&lt;&gt;0,$H430&gt;0,OR(AUTOEVENTO&lt;&gt;"manual",$M430&lt;&gt;1)),
IF(Import.TipoArredondamento&lt;&gt;"TransfereGOV",
ROUND(OFFSET($P430,0,AJ$13),15-13*ORÇAMENTO!$AF$7)/$H430*OFFSET(ORÇAMENTO!$X$15,ROW(AJ430)-ROW(AJ$15),0),
ROUND(ROUND(OFFSET($P430,0,AJ$13),15-13*ORÇAMENTO!$AF$7)*OFFSET(ORÇAMENTO!$W$15,ROW(AJ430)-ROW(AJ$15),0),15-13*ORÇAMENTO!$AF$11)),0)</f>
        <v>0</v>
      </c>
      <c r="AK430" s="545">
        <f ca="1">IF(AND($D430="Serviço",AK$12&lt;&gt;0,$H430&gt;0,OR(AUTOEVENTO&lt;&gt;"manual",$M430&lt;&gt;1)),
IF(Import.TipoArredondamento&lt;&gt;"TransfereGOV",
ROUND(OFFSET($P430,0,AK$13),15-13*ORÇAMENTO!$AF$7)/$H430*OFFSET(ORÇAMENTO!$X$15,ROW(AK430)-ROW(AK$15),0),
ROUND(ROUND(OFFSET($P430,0,AK$13),15-13*ORÇAMENTO!$AF$7)*OFFSET(ORÇAMENTO!$W$15,ROW(AK430)-ROW(AK$15),0),15-13*ORÇAMENTO!$AF$11)),0)</f>
        <v>0</v>
      </c>
      <c r="AL430" s="545">
        <f ca="1">IF(AND($D430="Serviço",AL$12&lt;&gt;0,$H430&gt;0,OR(AUTOEVENTO&lt;&gt;"manual",$M430&lt;&gt;1)),
IF(Import.TipoArredondamento&lt;&gt;"TransfereGOV",
ROUND(OFFSET($P430,0,AL$13),15-13*ORÇAMENTO!$AF$7)/$H430*OFFSET(ORÇAMENTO!$X$15,ROW(AL430)-ROW(AL$15),0),
ROUND(ROUND(OFFSET($P430,0,AL$13),15-13*ORÇAMENTO!$AF$7)*OFFSET(ORÇAMENTO!$W$15,ROW(AL430)-ROW(AL$15),0),15-13*ORÇAMENTO!$AF$11)),0)</f>
        <v>0</v>
      </c>
      <c r="AM430" s="545">
        <f ca="1">IF(AND($D430="Serviço",AM$12&lt;&gt;0,$H430&gt;0,OR(AUTOEVENTO&lt;&gt;"manual",$M430&lt;&gt;1)),
IF(Import.TipoArredondamento&lt;&gt;"TransfereGOV",
ROUND(OFFSET($P430,0,AM$13),15-13*ORÇAMENTO!$AF$7)/$H430*OFFSET(ORÇAMENTO!$X$15,ROW(AM430)-ROW(AM$15),0),
ROUND(ROUND(OFFSET($P430,0,AM$13),15-13*ORÇAMENTO!$AF$7)*OFFSET(ORÇAMENTO!$W$15,ROW(AM430)-ROW(AM$15),0),15-13*ORÇAMENTO!$AF$11)),0)</f>
        <v>0</v>
      </c>
      <c r="AN430" s="545">
        <f ca="1">IF(AND($D430="Serviço",AN$12&lt;&gt;0,$H430&gt;0,OR(AUTOEVENTO&lt;&gt;"manual",$M430&lt;&gt;1)),
IF(Import.TipoArredondamento&lt;&gt;"TransfereGOV",
ROUND(OFFSET($P430,0,AN$13),15-13*ORÇAMENTO!$AF$7)/$H430*OFFSET(ORÇAMENTO!$X$15,ROW(AN430)-ROW(AN$15),0),
ROUND(ROUND(OFFSET($P430,0,AN$13),15-13*ORÇAMENTO!$AF$7)*OFFSET(ORÇAMENTO!$W$15,ROW(AN430)-ROW(AN$15),0),15-13*ORÇAMENTO!$AF$11)),0)</f>
        <v>0</v>
      </c>
      <c r="AO430" s="545">
        <f ca="1">IF(AND($D430="Serviço",AO$12&lt;&gt;0,$H430&gt;0,OR(AUTOEVENTO&lt;&gt;"manual",$M430&lt;&gt;1)),
IF(Import.TipoArredondamento&lt;&gt;"TransfereGOV",
ROUND(OFFSET($P430,0,AO$13),15-13*ORÇAMENTO!$AF$7)/$H430*OFFSET(ORÇAMENTO!$X$15,ROW(AO430)-ROW(AO$15),0),
ROUND(ROUND(OFFSET($P430,0,AO$13),15-13*ORÇAMENTO!$AF$7)*OFFSET(ORÇAMENTO!$W$15,ROW(AO430)-ROW(AO$15),0),15-13*ORÇAMENTO!$AF$11)),0)</f>
        <v>0</v>
      </c>
      <c r="AP430" s="545">
        <f ca="1">IF(AND($D430="Serviço",AP$12&lt;&gt;0,$H430&gt;0,OR(AUTOEVENTO&lt;&gt;"manual",$M430&lt;&gt;1)),
IF(Import.TipoArredondamento&lt;&gt;"TransfereGOV",
ROUND(OFFSET($P430,0,AP$13),15-13*ORÇAMENTO!$AF$7)/$H430*OFFSET(ORÇAMENTO!$X$15,ROW(AP430)-ROW(AP$15),0),
ROUND(ROUND(OFFSET($P430,0,AP$13),15-13*ORÇAMENTO!$AF$7)*OFFSET(ORÇAMENTO!$W$15,ROW(AP430)-ROW(AP$15),0),15-13*ORÇAMENTO!$AF$11)),0)</f>
        <v>0</v>
      </c>
      <c r="AQ430" s="545">
        <f ca="1">IF(AND($D430="Serviço",AQ$12&lt;&gt;0,$H430&gt;0,OR(AUTOEVENTO&lt;&gt;"manual",$M430&lt;&gt;1)),
IF(Import.TipoArredondamento&lt;&gt;"TransfereGOV",
ROUND(OFFSET($P430,0,AQ$13),15-13*ORÇAMENTO!$AF$7)/$H430*OFFSET(ORÇAMENTO!$X$15,ROW(AQ430)-ROW(AQ$15),0),
ROUND(ROUND(OFFSET($P430,0,AQ$13),15-13*ORÇAMENTO!$AF$7)*OFFSET(ORÇAMENTO!$W$15,ROW(AQ430)-ROW(AQ$15),0),15-13*ORÇAMENTO!$AF$11)),0)</f>
        <v>0</v>
      </c>
      <c r="AR430" s="545">
        <f ca="1">IF(AND($D430="Serviço",AR$12&lt;&gt;0,$H430&gt;0,OR(AUTOEVENTO&lt;&gt;"manual",$M430&lt;&gt;1)),
IF(Import.TipoArredondamento&lt;&gt;"TransfereGOV",
ROUND(OFFSET($P430,0,AR$13),15-13*ORÇAMENTO!$AF$7)/$H430*OFFSET(ORÇAMENTO!$X$15,ROW(AR430)-ROW(AR$15),0),
ROUND(ROUND(OFFSET($P430,0,AR$13),15-13*ORÇAMENTO!$AF$7)*OFFSET(ORÇAMENTO!$W$15,ROW(AR430)-ROW(AR$15),0),15-13*ORÇAMENTO!$AF$11)),0)</f>
        <v>0</v>
      </c>
      <c r="AS430" s="546">
        <f ca="1">IF(AND($D430="Serviço",AS$12&lt;&gt;0,$H430&gt;0,OR(AUTOEVENTO&lt;&gt;"manual",$M430&lt;&gt;1)),
IF(Import.TipoArredondamento&lt;&gt;"TransfereGOV",
ROUND(OFFSET($P430,0,AS$13),15-13*ORÇAMENTO!$AF$7)/$H430*OFFSET(ORÇAMENTO!$X$15,ROW(AS430)-ROW(AS$15),0),
ROUND(ROUND(OFFSET($P430,0,AS$13),15-13*ORÇAMENTO!$AF$7)*OFFSET(ORÇAMENTO!$W$15,ROW(AS430)-ROW(AS$15),0),15-13*ORÇAMENTO!$AF$11)),0)</f>
        <v>0</v>
      </c>
      <c r="AT430" s="545">
        <f ca="1">IF(AND($D430="Serviço",AT$12&lt;&gt;0,$H430&gt;0,OR(AUTOEVENTO&lt;&gt;"manual",$M430&lt;&gt;1)),
IF(Import.TipoArredondamento&lt;&gt;"TransfereGOV",
ROUND(OFFSET($P430,0,AT$13),15-13*ORÇAMENTO!$AF$7)/$H430*OFFSET(ORÇAMENTO!$X$15,ROW(AT430)-ROW(AT$15),0),
ROUND(ROUND(OFFSET($P430,0,AT$13),15-13*ORÇAMENTO!$AF$7)*OFFSET(ORÇAMENTO!$W$15,ROW(AT430)-ROW(AT$15),0),15-13*ORÇAMENTO!$AF$11)),0)</f>
        <v>0</v>
      </c>
      <c r="AU430" s="545">
        <f ca="1">IF(AND($D430="Serviço",AU$12&lt;&gt;0,$H430&gt;0,OR(AUTOEVENTO&lt;&gt;"manual",$M430&lt;&gt;1)),
IF(Import.TipoArredondamento&lt;&gt;"TransfereGOV",
ROUND(OFFSET($P430,0,AU$13),15-13*ORÇAMENTO!$AF$7)/$H430*OFFSET(ORÇAMENTO!$X$15,ROW(AU430)-ROW(AU$15),0),
ROUND(ROUND(OFFSET($P430,0,AU$13),15-13*ORÇAMENTO!$AF$7)*OFFSET(ORÇAMENTO!$W$15,ROW(AU430)-ROW(AU$15),0),15-13*ORÇAMENTO!$AF$11)),0)</f>
        <v>0</v>
      </c>
      <c r="AV430" s="545">
        <f ca="1">IF(AND($D430="Serviço",AV$12&lt;&gt;0,$H430&gt;0,OR(AUTOEVENTO&lt;&gt;"manual",$M430&lt;&gt;1)),
IF(Import.TipoArredondamento&lt;&gt;"TransfereGOV",
ROUND(OFFSET($P430,0,AV$13),15-13*ORÇAMENTO!$AF$7)/$H430*OFFSET(ORÇAMENTO!$X$15,ROW(AV430)-ROW(AV$15),0),
ROUND(ROUND(OFFSET($P430,0,AV$13),15-13*ORÇAMENTO!$AF$7)*OFFSET(ORÇAMENTO!$W$15,ROW(AV430)-ROW(AV$15),0),15-13*ORÇAMENTO!$AF$11)),0)</f>
        <v>0</v>
      </c>
      <c r="AW430" s="545">
        <f ca="1">IF(AND($D430="Serviço",AW$12&lt;&gt;0,$H430&gt;0,OR(AUTOEVENTO&lt;&gt;"manual",$M430&lt;&gt;1)),
IF(Import.TipoArredondamento&lt;&gt;"TransfereGOV",
ROUND(OFFSET($P430,0,AW$13),15-13*ORÇAMENTO!$AF$7)/$H430*OFFSET(ORÇAMENTO!$X$15,ROW(AW430)-ROW(AW$15),0),
ROUND(ROUND(OFFSET($P430,0,AW$13),15-13*ORÇAMENTO!$AF$7)*OFFSET(ORÇAMENTO!$W$15,ROW(AW430)-ROW(AW$15),0),15-13*ORÇAMENTO!$AF$11)),0)</f>
        <v>0</v>
      </c>
      <c r="AX430" s="545">
        <f ca="1">IF(AND($D430="Serviço",AX$12&lt;&gt;0,$H430&gt;0,OR(AUTOEVENTO&lt;&gt;"manual",$M430&lt;&gt;1)),
IF(Import.TipoArredondamento&lt;&gt;"TransfereGOV",
ROUND(OFFSET($P430,0,AX$13),15-13*ORÇAMENTO!$AF$7)/$H430*OFFSET(ORÇAMENTO!$X$15,ROW(AX430)-ROW(AX$15),0),
ROUND(ROUND(OFFSET($P430,0,AX$13),15-13*ORÇAMENTO!$AF$7)*OFFSET(ORÇAMENTO!$W$15,ROW(AX430)-ROW(AX$15),0),15-13*ORÇAMENTO!$AF$11)),0)</f>
        <v>0</v>
      </c>
      <c r="AY430" s="545">
        <f ca="1">IF(AND($D430="Serviço",AY$12&lt;&gt;0,$H430&gt;0,OR(AUTOEVENTO&lt;&gt;"manual",$M430&lt;&gt;1)),
IF(Import.TipoArredondamento&lt;&gt;"TransfereGOV",
ROUND(OFFSET($P430,0,AY$13),15-13*ORÇAMENTO!$AF$7)/$H430*OFFSET(ORÇAMENTO!$X$15,ROW(AY430)-ROW(AY$15),0),
ROUND(ROUND(OFFSET($P430,0,AY$13),15-13*ORÇAMENTO!$AF$7)*OFFSET(ORÇAMENTO!$W$15,ROW(AY430)-ROW(AY$15),0),15-13*ORÇAMENTO!$AF$11)),0)</f>
        <v>0</v>
      </c>
      <c r="AZ430" s="545">
        <f ca="1">IF(AND($D430="Serviço",AZ$12&lt;&gt;0,$H430&gt;0,OR(AUTOEVENTO&lt;&gt;"manual",$M430&lt;&gt;1)),
IF(Import.TipoArredondamento&lt;&gt;"TransfereGOV",
ROUND(OFFSET($P430,0,AZ$13),15-13*ORÇAMENTO!$AF$7)/$H430*OFFSET(ORÇAMENTO!$X$15,ROW(AZ430)-ROW(AZ$15),0),
ROUND(ROUND(OFFSET($P430,0,AZ$13),15-13*ORÇAMENTO!$AF$7)*OFFSET(ORÇAMENTO!$W$15,ROW(AZ430)-ROW(AZ$15),0),15-13*ORÇAMENTO!$AF$11)),0)</f>
        <v>0</v>
      </c>
      <c r="BA430" s="546">
        <f ca="1">IF(AND($D430="Serviço",BA$12&lt;&gt;0,$H430&gt;0,OR(AUTOEVENTO&lt;&gt;"manual",$M430&lt;&gt;1)),
IF(Import.TipoArredondamento&lt;&gt;"TransfereGOV",
ROUND(OFFSET($P430,0,BA$13),15-13*ORÇAMENTO!$AF$7)/$H430*OFFSET(ORÇAMENTO!$X$15,ROW(BA430)-ROW(BA$15),0),
ROUND(ROUND(OFFSET($P430,0,BA$13),15-13*ORÇAMENTO!$AF$7)*OFFSET(ORÇAMENTO!$W$15,ROW(BA430)-ROW(BA$15),0),15-13*ORÇAMENTO!$AF$11)),0)</f>
        <v>0</v>
      </c>
      <c r="BC430" s="181">
        <f ca="1">IF($D430&lt;&gt;"Serviço",0,IF(AND(AUTOEVENTO="Manual",$M430=1),0,IF(OFFSET(CRONOPLE!$F$14,$M430,BC$13)="",10^12,OFFSET(CRONOPLE!$F$14,$M430,BC$13))))</f>
        <v>10</v>
      </c>
      <c r="BD430" s="181">
        <f ca="1">IF($D430&lt;&gt;"Serviço",0,IF(AND(AUTOEVENTO="Manual",$M430=1),0,IF(OFFSET(CRONOPLE!$F$14,$M430,BD$13)="",10^12,OFFSET(CRONOPLE!$F$14,$M430,BD$13))))</f>
        <v>1000000000000</v>
      </c>
      <c r="BE430" s="181">
        <f ca="1">IF($D430&lt;&gt;"Serviço",0,IF(AND(AUTOEVENTO="Manual",$M430=1),0,IF(OFFSET(CRONOPLE!$F$14,$M430,BE$13)="",10^12,OFFSET(CRONOPLE!$F$14,$M430,BE$13))))</f>
        <v>1000000000000</v>
      </c>
      <c r="BF430" s="181">
        <f ca="1">IF($D430&lt;&gt;"Serviço",0,IF(AND(AUTOEVENTO="Manual",$M430=1),0,IF(OFFSET(CRONOPLE!$F$14,$M430,BF$13)="",10^12,OFFSET(CRONOPLE!$F$14,$M430,BF$13))))</f>
        <v>1000000000000</v>
      </c>
      <c r="BG430" s="181">
        <f ca="1">IF($D430&lt;&gt;"Serviço",0,IF(AND(AUTOEVENTO="Manual",$M430=1),0,IF(OFFSET(CRONOPLE!$F$14,$M430,BG$13)="",10^12,OFFSET(CRONOPLE!$F$14,$M430,BG$13))))</f>
        <v>1000000000000</v>
      </c>
      <c r="BH430" s="181">
        <f ca="1">IF($D430&lt;&gt;"Serviço",0,IF(AND(AUTOEVENTO="Manual",$M430=1),0,IF(OFFSET(CRONOPLE!$F$14,$M430,BH$13)="",10^12,OFFSET(CRONOPLE!$F$14,$M430,BH$13))))</f>
        <v>1000000000000</v>
      </c>
      <c r="BI430" s="181">
        <f ca="1">IF($D430&lt;&gt;"Serviço",0,IF(AND(AUTOEVENTO="Manual",$M430=1),0,IF(OFFSET(CRONOPLE!$F$14,$M430,BI$13)="",10^12,OFFSET(CRONOPLE!$F$14,$M430,BI$13))))</f>
        <v>1000000000000</v>
      </c>
      <c r="BJ430" s="181">
        <f ca="1">IF($D430&lt;&gt;"Serviço",0,IF(AND(AUTOEVENTO="Manual",$M430=1),0,IF(OFFSET(CRONOPLE!$F$14,$M430,BJ$13)="",10^12,OFFSET(CRONOPLE!$F$14,$M430,BJ$13))))</f>
        <v>1000000000000</v>
      </c>
      <c r="BK430" s="181">
        <f ca="1">IF($D430&lt;&gt;"Serviço",0,IF(AND(AUTOEVENTO="Manual",$M430=1),0,IF(OFFSET(CRONOPLE!$F$14,$M430,BK$13)="",10^12,OFFSET(CRONOPLE!$F$14,$M430,BK$13))))</f>
        <v>1000000000000</v>
      </c>
      <c r="BL430" s="181">
        <f ca="1">IF($D430&lt;&gt;"Serviço",0,IF(AND(AUTOEVENTO="Manual",$M430=1),0,IF(OFFSET(CRONOPLE!$F$14,$M430,BL$13)="",10^12,OFFSET(CRONOPLE!$F$14,$M430,BL$13))))</f>
        <v>1000000000000</v>
      </c>
      <c r="BM430" s="181">
        <f ca="1">IF($D430&lt;&gt;"Serviço",0,IF(AND(AUTOEVENTO="Manual",$M430=1),0,IF(OFFSET(CRONOPLE!$F$14,$M430,BM$13)="",10^12,OFFSET(CRONOPLE!$F$14,$M430,BM$13))))</f>
        <v>1000000000000</v>
      </c>
      <c r="BN430" s="181">
        <f ca="1">IF($D430&lt;&gt;"Serviço",0,IF(AND(AUTOEVENTO="Manual",$M430=1),0,IF(OFFSET(CRONOPLE!$F$14,$M430,BN$13)="",10^12,OFFSET(CRONOPLE!$F$14,$M430,BN$13))))</f>
        <v>1000000000000</v>
      </c>
      <c r="BO430" s="181">
        <f ca="1">IF($D430&lt;&gt;"Serviço",0,IF(AND(AUTOEVENTO="Manual",$M430=1),0,IF(OFFSET(CRONOPLE!$F$14,$M430,BO$13)="",10^12,OFFSET(CRONOPLE!$F$14,$M430,BO$13))))</f>
        <v>1000000000000</v>
      </c>
      <c r="BP430" s="181">
        <f ca="1">IF($D430&lt;&gt;"Serviço",0,IF(AND(AUTOEVENTO="Manual",$M430=1),0,IF(OFFSET(CRONOPLE!$F$14,$M430,BP$13)="",10^12,OFFSET(CRONOPLE!$F$14,$M430,BP$13))))</f>
        <v>1000000000000</v>
      </c>
      <c r="BQ430" s="181">
        <f ca="1">IF($D430&lt;&gt;"Serviço",0,IF(AND(AUTOEVENTO="Manual",$M430=1),0,IF(OFFSET(CRONOPLE!$F$14,$M430,BQ$13)="",10^12,OFFSET(CRONOPLE!$F$14,$M430,BQ$13))))</f>
        <v>1000000000000</v>
      </c>
      <c r="BR430" s="181">
        <f ca="1">IF($D430&lt;&gt;"Serviço",0,IF(AND(AUTOEVENTO="Manual",$M430=1),0,IF(OFFSET(CRONOPLE!$F$14,$M430,BR$13)="",10^12,OFFSET(CRONOPLE!$F$14,$M430,BR$13))))</f>
        <v>1000000000000</v>
      </c>
      <c r="BS430" s="181">
        <f ca="1">IF($D430&lt;&gt;"Serviço",0,IF(AND(AUTOEVENTO="Manual",$M430=1),0,IF(OFFSET(CRONOPLE!$F$14,$M430,BS$13)="",10^12,OFFSET(CRONOPLE!$F$14,$M430,BS$13))))</f>
        <v>1000000000000</v>
      </c>
      <c r="BT430" s="181">
        <f ca="1">IF($D430&lt;&gt;"Serviço",0,IF(AND(AUTOEVENTO="Manual",$M430=1),0,IF(OFFSET(CRONOPLE!$F$14,$M430,BT$13)="",10^12,OFFSET(CRONOPLE!$F$14,$M430,BT$13))))</f>
        <v>1000000000000</v>
      </c>
      <c r="BV430" s="182">
        <f ca="1">IF($D430&lt;&gt;"Serviço",0,IF(OR(AND(AUTOEVENTO="Manual",$M430=1),$M430&gt;(ROW(PLE.lastrow)-ROW(PLE.firstrow))),0,IF(OFFSET(PLE!$G$14,$M430,BV$13)="",10^12,OFFSET(PLE!$G$14,$M430,BV$13))))</f>
        <v>1000000000000</v>
      </c>
      <c r="BW430" s="182">
        <f ca="1">IF($D430&lt;&gt;"Serviço",0,IF(OR(AND(AUTOEVENTO="Manual",$M430=1),$M430&gt;(ROW(PLE.lastrow)-ROW(PLE.firstrow))),0,IF(OFFSET(PLE!$G$14,$M430,BW$13)="",10^12,OFFSET(PLE!$G$14,$M430,BW$13))))</f>
        <v>1000000000000</v>
      </c>
      <c r="BX430" s="182">
        <f ca="1">IF($D430&lt;&gt;"Serviço",0,IF(OR(AND(AUTOEVENTO="Manual",$M430=1),$M430&gt;(ROW(PLE.lastrow)-ROW(PLE.firstrow))),0,IF(OFFSET(PLE!$G$14,$M430,BX$13)="",10^12,OFFSET(PLE!$G$14,$M430,BX$13))))</f>
        <v>1000000000000</v>
      </c>
      <c r="BY430" s="182">
        <f ca="1">IF($D430&lt;&gt;"Serviço",0,IF(OR(AND(AUTOEVENTO="Manual",$M430=1),$M430&gt;(ROW(PLE.lastrow)-ROW(PLE.firstrow))),0,IF(OFFSET(PLE!$G$14,$M430,BY$13)="",10^12,OFFSET(PLE!$G$14,$M430,BY$13))))</f>
        <v>1000000000000</v>
      </c>
      <c r="BZ430" s="182">
        <f ca="1">IF($D430&lt;&gt;"Serviço",0,IF(OR(AND(AUTOEVENTO="Manual",$M430=1),$M430&gt;(ROW(PLE.lastrow)-ROW(PLE.firstrow))),0,IF(OFFSET(PLE!$G$14,$M430,BZ$13)="",10^12,OFFSET(PLE!$G$14,$M430,BZ$13))))</f>
        <v>1000000000000</v>
      </c>
      <c r="CA430" s="182">
        <f ca="1">IF($D430&lt;&gt;"Serviço",0,IF(OR(AND(AUTOEVENTO="Manual",$M430=1),$M430&gt;(ROW(PLE.lastrow)-ROW(PLE.firstrow))),0,IF(OFFSET(PLE!$G$14,$M430,CA$13)="",10^12,OFFSET(PLE!$G$14,$M430,CA$13))))</f>
        <v>1000000000000</v>
      </c>
      <c r="CB430" s="182">
        <f ca="1">IF($D430&lt;&gt;"Serviço",0,IF(OR(AND(AUTOEVENTO="Manual",$M430=1),$M430&gt;(ROW(PLE.lastrow)-ROW(PLE.firstrow))),0,IF(OFFSET(PLE!$G$14,$M430,CB$13)="",10^12,OFFSET(PLE!$G$14,$M430,CB$13))))</f>
        <v>1000000000000</v>
      </c>
      <c r="CC430" s="182">
        <f ca="1">IF($D430&lt;&gt;"Serviço",0,IF(OR(AND(AUTOEVENTO="Manual",$M430=1),$M430&gt;(ROW(PLE.lastrow)-ROW(PLE.firstrow))),0,IF(OFFSET(PLE!$G$14,$M430,CC$13)="",10^12,OFFSET(PLE!$G$14,$M430,CC$13))))</f>
        <v>1000000000000</v>
      </c>
      <c r="CD430" s="182">
        <f ca="1">IF($D430&lt;&gt;"Serviço",0,IF(OR(AND(AUTOEVENTO="Manual",$M430=1),$M430&gt;(ROW(PLE.lastrow)-ROW(PLE.firstrow))),0,IF(OFFSET(PLE!$G$14,$M430,CD$13)="",10^12,OFFSET(PLE!$G$14,$M430,CD$13))))</f>
        <v>1000000000000</v>
      </c>
      <c r="CE430" s="182">
        <f ca="1">IF($D430&lt;&gt;"Serviço",0,IF(OR(AND(AUTOEVENTO="Manual",$M430=1),$M430&gt;(ROW(PLE.lastrow)-ROW(PLE.firstrow))),0,IF(OFFSET(PLE!$G$14,$M430,CE$13)="",10^12,OFFSET(PLE!$G$14,$M430,CE$13))))</f>
        <v>1000000000000</v>
      </c>
      <c r="CF430" s="182">
        <f ca="1">IF($D430&lt;&gt;"Serviço",0,IF(OR(AND(AUTOEVENTO="Manual",$M430=1),$M430&gt;(ROW(PLE.lastrow)-ROW(PLE.firstrow))),0,IF(OFFSET(PLE!$G$14,$M430,CF$13)="",10^12,OFFSET(PLE!$G$14,$M430,CF$13))))</f>
        <v>1000000000000</v>
      </c>
      <c r="CG430" s="182">
        <f ca="1">IF($D430&lt;&gt;"Serviço",0,IF(OR(AND(AUTOEVENTO="Manual",$M430=1),$M430&gt;(ROW(PLE.lastrow)-ROW(PLE.firstrow))),0,IF(OFFSET(PLE!$G$14,$M430,CG$13)="",10^12,OFFSET(PLE!$G$14,$M430,CG$13))))</f>
        <v>1000000000000</v>
      </c>
      <c r="CH430" s="182">
        <f ca="1">IF($D430&lt;&gt;"Serviço",0,IF(OR(AND(AUTOEVENTO="Manual",$M430=1),$M430&gt;(ROW(PLE.lastrow)-ROW(PLE.firstrow))),0,IF(OFFSET(PLE!$G$14,$M430,CH$13)="",10^12,OFFSET(PLE!$G$14,$M430,CH$13))))</f>
        <v>1000000000000</v>
      </c>
      <c r="CI430" s="182">
        <f ca="1">IF($D430&lt;&gt;"Serviço",0,IF(OR(AND(AUTOEVENTO="Manual",$M430=1),$M430&gt;(ROW(PLE.lastrow)-ROW(PLE.firstrow))),0,IF(OFFSET(PLE!$G$14,$M430,CI$13)="",10^12,OFFSET(PLE!$G$14,$M430,CI$13))))</f>
        <v>1000000000000</v>
      </c>
      <c r="CJ430" s="182">
        <f ca="1">IF($D430&lt;&gt;"Serviço",0,IF(OR(AND(AUTOEVENTO="Manual",$M430=1),$M430&gt;(ROW(PLE.lastrow)-ROW(PLE.firstrow))),0,IF(OFFSET(PLE!$G$14,$M430,CJ$13)="",10^12,OFFSET(PLE!$G$14,$M430,CJ$13))))</f>
        <v>1000000000000</v>
      </c>
      <c r="CK430" s="182">
        <f ca="1">IF($D430&lt;&gt;"Serviço",0,IF(OR(AND(AUTOEVENTO="Manual",$M430=1),$M430&gt;(ROW(PLE.lastrow)-ROW(PLE.firstrow))),0,IF(OFFSET(PLE!$G$14,$M430,CK$13)="",10^12,OFFSET(PLE!$G$14,$M430,CK$13))))</f>
        <v>1000000000000</v>
      </c>
      <c r="CL430" s="182">
        <f ca="1">IF($D430&lt;&gt;"Serviço",0,IF(OR(AND(AUTOEVENTO="Manual",$M430=1),$M430&gt;(ROW(PLE.lastrow)-ROW(PLE.firstrow))),0,IF(OFFSET(PLE!$G$14,$M430,CL$13)="",10^12,OFFSET(PLE!$G$14,$M430,CL$13))))</f>
        <v>1000000000000</v>
      </c>
      <c r="CM430" s="182">
        <f ca="1">IF($D430&lt;&gt;"Serviço",0,IF(OR(AND(AUTOEVENTO="Manual",$M430=1),$M430&gt;(ROW(PLE.lastrow)-ROW(PLE.firstrow))),0,IF(OFFSET(PLE!$G$14,$M430,CM$13)="",10^12,OFFSET(PLE!$G$14,$M430,CM$13))))</f>
        <v>1000000000000</v>
      </c>
    </row>
    <row r="431" spans="1:91" ht="38.25" x14ac:dyDescent="0.2">
      <c r="A431" s="7" t="str">
        <f t="shared" ca="1" si="14"/>
        <v>406</v>
      </c>
      <c r="B431" s="7" t="str">
        <f ca="1">OFFSET(ORÇAMENTO!C$15,ROW(B431)-ROW(B$15),0)</f>
        <v>S</v>
      </c>
      <c r="C431" s="7" t="str">
        <f ca="1">OFFSET(ORÇAMENTO!L$15,ROW(C431)-ROW(C$15),0)</f>
        <v/>
      </c>
      <c r="D431" s="118" t="str">
        <f ca="1">OFFSET(ORÇAMENTO!N$15,ROW(D431)-ROW(D$15),0)</f>
        <v>Serviço</v>
      </c>
      <c r="E431" s="119" t="str">
        <f ca="1">OFFSET(ORÇAMENTO!O$15,ROW(E431)-ROW(E$15),0)</f>
        <v>-</v>
      </c>
      <c r="F431" s="172" t="str">
        <f ca="1">OFFSET(ORÇAMENTO!R$15,ROW(F431)-ROW(F$15),0)</f>
        <v>(abra o arquivo 'Referência 06-2024.xlsm)</v>
      </c>
      <c r="G431" s="173" t="str">
        <f ca="1">IF($D431&lt;&gt;"Serviço","",OFFSET(ORÇAMENTO!S$15,ROW(G431)-ROW(G$15),0))</f>
        <v>-</v>
      </c>
      <c r="H431" s="124">
        <f ca="1">IF($D431&lt;&gt;"Serviço",0,IF(ACOMPANHAMENTO="BM",ROUND(OFFSET(ORÇAMENTO!AJ$15,ROW(H431)-ROW(H$15),0),15-13*ORÇAMENTO!$AF$7),SUMPRODUCT(($Q$12:$AI$12&lt;&gt;"")*ROUND($Q431:$AI431,15-13*ORÇAMENTO!$AF$7))))</f>
        <v>2</v>
      </c>
      <c r="I431" s="561" t="s">
        <v>1107</v>
      </c>
      <c r="K431" s="174"/>
      <c r="L431" s="175" t="s">
        <v>255</v>
      </c>
      <c r="M431" s="176">
        <f ca="1">IF($D431&lt;&gt;"Serviço","",IF(AUTOEVENTO="manual",$A431,IF(ISERROR(MATCH($A431,$A$15:OFFSET($A431,-1,0),0)),MAX($M$15:OFFSET(M431,-1,0))+1,INDEX($M$15:OFFSET(M431,-1,0),MATCH($A431,$A$15:OFFSET($A431,-1,0),0)))))</f>
        <v>48</v>
      </c>
      <c r="N431" s="177" t="str">
        <f ca="1">IF($D431&lt;&gt;"Serviço","",IF(AUTOEVENTO="Manual",IF($A431=0,"&lt;-- defina o número do agrupador",OFFSET(EVENTOS!$D$14,$A431,0)),OFFSET($F$15,$A431,0)))</f>
        <v>SISTEMA DE PROTEÇÃO CONTRA INCÊNDIO - ACESSÓRIOS</v>
      </c>
      <c r="O431" s="178"/>
      <c r="Q431" s="178">
        <v>2</v>
      </c>
      <c r="R431" s="179"/>
      <c r="S431" s="179"/>
      <c r="T431" s="179"/>
      <c r="U431" s="179"/>
      <c r="V431" s="179"/>
      <c r="W431" s="179"/>
      <c r="X431" s="179"/>
      <c r="Y431" s="179"/>
      <c r="Z431" s="180"/>
      <c r="AA431" s="179"/>
      <c r="AB431" s="179"/>
      <c r="AC431" s="179"/>
      <c r="AD431" s="179"/>
      <c r="AE431" s="179"/>
      <c r="AF431" s="179"/>
      <c r="AG431" s="179"/>
      <c r="AH431" s="180"/>
      <c r="AJ431" s="544">
        <f ca="1">IF(AND($D431="Serviço",AJ$12&lt;&gt;0,$H431&gt;0,OR(AUTOEVENTO&lt;&gt;"manual",$M431&lt;&gt;1)),
IF(Import.TipoArredondamento&lt;&gt;"TransfereGOV",
ROUND(OFFSET($P431,0,AJ$13),15-13*ORÇAMENTO!$AF$7)/$H431*OFFSET(ORÇAMENTO!$X$15,ROW(AJ431)-ROW(AJ$15),0),
ROUND(ROUND(OFFSET($P431,0,AJ$13),15-13*ORÇAMENTO!$AF$7)*OFFSET(ORÇAMENTO!$W$15,ROW(AJ431)-ROW(AJ$15),0),15-13*ORÇAMENTO!$AF$11)),0)</f>
        <v>0</v>
      </c>
      <c r="AK431" s="545">
        <f ca="1">IF(AND($D431="Serviço",AK$12&lt;&gt;0,$H431&gt;0,OR(AUTOEVENTO&lt;&gt;"manual",$M431&lt;&gt;1)),
IF(Import.TipoArredondamento&lt;&gt;"TransfereGOV",
ROUND(OFFSET($P431,0,AK$13),15-13*ORÇAMENTO!$AF$7)/$H431*OFFSET(ORÇAMENTO!$X$15,ROW(AK431)-ROW(AK$15),0),
ROUND(ROUND(OFFSET($P431,0,AK$13),15-13*ORÇAMENTO!$AF$7)*OFFSET(ORÇAMENTO!$W$15,ROW(AK431)-ROW(AK$15),0),15-13*ORÇAMENTO!$AF$11)),0)</f>
        <v>0</v>
      </c>
      <c r="AL431" s="545">
        <f ca="1">IF(AND($D431="Serviço",AL$12&lt;&gt;0,$H431&gt;0,OR(AUTOEVENTO&lt;&gt;"manual",$M431&lt;&gt;1)),
IF(Import.TipoArredondamento&lt;&gt;"TransfereGOV",
ROUND(OFFSET($P431,0,AL$13),15-13*ORÇAMENTO!$AF$7)/$H431*OFFSET(ORÇAMENTO!$X$15,ROW(AL431)-ROW(AL$15),0),
ROUND(ROUND(OFFSET($P431,0,AL$13),15-13*ORÇAMENTO!$AF$7)*OFFSET(ORÇAMENTO!$W$15,ROW(AL431)-ROW(AL$15),0),15-13*ORÇAMENTO!$AF$11)),0)</f>
        <v>0</v>
      </c>
      <c r="AM431" s="545">
        <f ca="1">IF(AND($D431="Serviço",AM$12&lt;&gt;0,$H431&gt;0,OR(AUTOEVENTO&lt;&gt;"manual",$M431&lt;&gt;1)),
IF(Import.TipoArredondamento&lt;&gt;"TransfereGOV",
ROUND(OFFSET($P431,0,AM$13),15-13*ORÇAMENTO!$AF$7)/$H431*OFFSET(ORÇAMENTO!$X$15,ROW(AM431)-ROW(AM$15),0),
ROUND(ROUND(OFFSET($P431,0,AM$13),15-13*ORÇAMENTO!$AF$7)*OFFSET(ORÇAMENTO!$W$15,ROW(AM431)-ROW(AM$15),0),15-13*ORÇAMENTO!$AF$11)),0)</f>
        <v>0</v>
      </c>
      <c r="AN431" s="545">
        <f ca="1">IF(AND($D431="Serviço",AN$12&lt;&gt;0,$H431&gt;0,OR(AUTOEVENTO&lt;&gt;"manual",$M431&lt;&gt;1)),
IF(Import.TipoArredondamento&lt;&gt;"TransfereGOV",
ROUND(OFFSET($P431,0,AN$13),15-13*ORÇAMENTO!$AF$7)/$H431*OFFSET(ORÇAMENTO!$X$15,ROW(AN431)-ROW(AN$15),0),
ROUND(ROUND(OFFSET($P431,0,AN$13),15-13*ORÇAMENTO!$AF$7)*OFFSET(ORÇAMENTO!$W$15,ROW(AN431)-ROW(AN$15),0),15-13*ORÇAMENTO!$AF$11)),0)</f>
        <v>0</v>
      </c>
      <c r="AO431" s="545">
        <f ca="1">IF(AND($D431="Serviço",AO$12&lt;&gt;0,$H431&gt;0,OR(AUTOEVENTO&lt;&gt;"manual",$M431&lt;&gt;1)),
IF(Import.TipoArredondamento&lt;&gt;"TransfereGOV",
ROUND(OFFSET($P431,0,AO$13),15-13*ORÇAMENTO!$AF$7)/$H431*OFFSET(ORÇAMENTO!$X$15,ROW(AO431)-ROW(AO$15),0),
ROUND(ROUND(OFFSET($P431,0,AO$13),15-13*ORÇAMENTO!$AF$7)*OFFSET(ORÇAMENTO!$W$15,ROW(AO431)-ROW(AO$15),0),15-13*ORÇAMENTO!$AF$11)),0)</f>
        <v>0</v>
      </c>
      <c r="AP431" s="545">
        <f ca="1">IF(AND($D431="Serviço",AP$12&lt;&gt;0,$H431&gt;0,OR(AUTOEVENTO&lt;&gt;"manual",$M431&lt;&gt;1)),
IF(Import.TipoArredondamento&lt;&gt;"TransfereGOV",
ROUND(OFFSET($P431,0,AP$13),15-13*ORÇAMENTO!$AF$7)/$H431*OFFSET(ORÇAMENTO!$X$15,ROW(AP431)-ROW(AP$15),0),
ROUND(ROUND(OFFSET($P431,0,AP$13),15-13*ORÇAMENTO!$AF$7)*OFFSET(ORÇAMENTO!$W$15,ROW(AP431)-ROW(AP$15),0),15-13*ORÇAMENTO!$AF$11)),0)</f>
        <v>0</v>
      </c>
      <c r="AQ431" s="545">
        <f ca="1">IF(AND($D431="Serviço",AQ$12&lt;&gt;0,$H431&gt;0,OR(AUTOEVENTO&lt;&gt;"manual",$M431&lt;&gt;1)),
IF(Import.TipoArredondamento&lt;&gt;"TransfereGOV",
ROUND(OFFSET($P431,0,AQ$13),15-13*ORÇAMENTO!$AF$7)/$H431*OFFSET(ORÇAMENTO!$X$15,ROW(AQ431)-ROW(AQ$15),0),
ROUND(ROUND(OFFSET($P431,0,AQ$13),15-13*ORÇAMENTO!$AF$7)*OFFSET(ORÇAMENTO!$W$15,ROW(AQ431)-ROW(AQ$15),0),15-13*ORÇAMENTO!$AF$11)),0)</f>
        <v>0</v>
      </c>
      <c r="AR431" s="545">
        <f ca="1">IF(AND($D431="Serviço",AR$12&lt;&gt;0,$H431&gt;0,OR(AUTOEVENTO&lt;&gt;"manual",$M431&lt;&gt;1)),
IF(Import.TipoArredondamento&lt;&gt;"TransfereGOV",
ROUND(OFFSET($P431,0,AR$13),15-13*ORÇAMENTO!$AF$7)/$H431*OFFSET(ORÇAMENTO!$X$15,ROW(AR431)-ROW(AR$15),0),
ROUND(ROUND(OFFSET($P431,0,AR$13),15-13*ORÇAMENTO!$AF$7)*OFFSET(ORÇAMENTO!$W$15,ROW(AR431)-ROW(AR$15),0),15-13*ORÇAMENTO!$AF$11)),0)</f>
        <v>0</v>
      </c>
      <c r="AS431" s="546">
        <f ca="1">IF(AND($D431="Serviço",AS$12&lt;&gt;0,$H431&gt;0,OR(AUTOEVENTO&lt;&gt;"manual",$M431&lt;&gt;1)),
IF(Import.TipoArredondamento&lt;&gt;"TransfereGOV",
ROUND(OFFSET($P431,0,AS$13),15-13*ORÇAMENTO!$AF$7)/$H431*OFFSET(ORÇAMENTO!$X$15,ROW(AS431)-ROW(AS$15),0),
ROUND(ROUND(OFFSET($P431,0,AS$13),15-13*ORÇAMENTO!$AF$7)*OFFSET(ORÇAMENTO!$W$15,ROW(AS431)-ROW(AS$15),0),15-13*ORÇAMENTO!$AF$11)),0)</f>
        <v>0</v>
      </c>
      <c r="AT431" s="545">
        <f ca="1">IF(AND($D431="Serviço",AT$12&lt;&gt;0,$H431&gt;0,OR(AUTOEVENTO&lt;&gt;"manual",$M431&lt;&gt;1)),
IF(Import.TipoArredondamento&lt;&gt;"TransfereGOV",
ROUND(OFFSET($P431,0,AT$13),15-13*ORÇAMENTO!$AF$7)/$H431*OFFSET(ORÇAMENTO!$X$15,ROW(AT431)-ROW(AT$15),0),
ROUND(ROUND(OFFSET($P431,0,AT$13),15-13*ORÇAMENTO!$AF$7)*OFFSET(ORÇAMENTO!$W$15,ROW(AT431)-ROW(AT$15),0),15-13*ORÇAMENTO!$AF$11)),0)</f>
        <v>0</v>
      </c>
      <c r="AU431" s="545">
        <f ca="1">IF(AND($D431="Serviço",AU$12&lt;&gt;0,$H431&gt;0,OR(AUTOEVENTO&lt;&gt;"manual",$M431&lt;&gt;1)),
IF(Import.TipoArredondamento&lt;&gt;"TransfereGOV",
ROUND(OFFSET($P431,0,AU$13),15-13*ORÇAMENTO!$AF$7)/$H431*OFFSET(ORÇAMENTO!$X$15,ROW(AU431)-ROW(AU$15),0),
ROUND(ROUND(OFFSET($P431,0,AU$13),15-13*ORÇAMENTO!$AF$7)*OFFSET(ORÇAMENTO!$W$15,ROW(AU431)-ROW(AU$15),0),15-13*ORÇAMENTO!$AF$11)),0)</f>
        <v>0</v>
      </c>
      <c r="AV431" s="545">
        <f ca="1">IF(AND($D431="Serviço",AV$12&lt;&gt;0,$H431&gt;0,OR(AUTOEVENTO&lt;&gt;"manual",$M431&lt;&gt;1)),
IF(Import.TipoArredondamento&lt;&gt;"TransfereGOV",
ROUND(OFFSET($P431,0,AV$13),15-13*ORÇAMENTO!$AF$7)/$H431*OFFSET(ORÇAMENTO!$X$15,ROW(AV431)-ROW(AV$15),0),
ROUND(ROUND(OFFSET($P431,0,AV$13),15-13*ORÇAMENTO!$AF$7)*OFFSET(ORÇAMENTO!$W$15,ROW(AV431)-ROW(AV$15),0),15-13*ORÇAMENTO!$AF$11)),0)</f>
        <v>0</v>
      </c>
      <c r="AW431" s="545">
        <f ca="1">IF(AND($D431="Serviço",AW$12&lt;&gt;0,$H431&gt;0,OR(AUTOEVENTO&lt;&gt;"manual",$M431&lt;&gt;1)),
IF(Import.TipoArredondamento&lt;&gt;"TransfereGOV",
ROUND(OFFSET($P431,0,AW$13),15-13*ORÇAMENTO!$AF$7)/$H431*OFFSET(ORÇAMENTO!$X$15,ROW(AW431)-ROW(AW$15),0),
ROUND(ROUND(OFFSET($P431,0,AW$13),15-13*ORÇAMENTO!$AF$7)*OFFSET(ORÇAMENTO!$W$15,ROW(AW431)-ROW(AW$15),0),15-13*ORÇAMENTO!$AF$11)),0)</f>
        <v>0</v>
      </c>
      <c r="AX431" s="545">
        <f ca="1">IF(AND($D431="Serviço",AX$12&lt;&gt;0,$H431&gt;0,OR(AUTOEVENTO&lt;&gt;"manual",$M431&lt;&gt;1)),
IF(Import.TipoArredondamento&lt;&gt;"TransfereGOV",
ROUND(OFFSET($P431,0,AX$13),15-13*ORÇAMENTO!$AF$7)/$H431*OFFSET(ORÇAMENTO!$X$15,ROW(AX431)-ROW(AX$15),0),
ROUND(ROUND(OFFSET($P431,0,AX$13),15-13*ORÇAMENTO!$AF$7)*OFFSET(ORÇAMENTO!$W$15,ROW(AX431)-ROW(AX$15),0),15-13*ORÇAMENTO!$AF$11)),0)</f>
        <v>0</v>
      </c>
      <c r="AY431" s="545">
        <f ca="1">IF(AND($D431="Serviço",AY$12&lt;&gt;0,$H431&gt;0,OR(AUTOEVENTO&lt;&gt;"manual",$M431&lt;&gt;1)),
IF(Import.TipoArredondamento&lt;&gt;"TransfereGOV",
ROUND(OFFSET($P431,0,AY$13),15-13*ORÇAMENTO!$AF$7)/$H431*OFFSET(ORÇAMENTO!$X$15,ROW(AY431)-ROW(AY$15),0),
ROUND(ROUND(OFFSET($P431,0,AY$13),15-13*ORÇAMENTO!$AF$7)*OFFSET(ORÇAMENTO!$W$15,ROW(AY431)-ROW(AY$15),0),15-13*ORÇAMENTO!$AF$11)),0)</f>
        <v>0</v>
      </c>
      <c r="AZ431" s="545">
        <f ca="1">IF(AND($D431="Serviço",AZ$12&lt;&gt;0,$H431&gt;0,OR(AUTOEVENTO&lt;&gt;"manual",$M431&lt;&gt;1)),
IF(Import.TipoArredondamento&lt;&gt;"TransfereGOV",
ROUND(OFFSET($P431,0,AZ$13),15-13*ORÇAMENTO!$AF$7)/$H431*OFFSET(ORÇAMENTO!$X$15,ROW(AZ431)-ROW(AZ$15),0),
ROUND(ROUND(OFFSET($P431,0,AZ$13),15-13*ORÇAMENTO!$AF$7)*OFFSET(ORÇAMENTO!$W$15,ROW(AZ431)-ROW(AZ$15),0),15-13*ORÇAMENTO!$AF$11)),0)</f>
        <v>0</v>
      </c>
      <c r="BA431" s="546">
        <f ca="1">IF(AND($D431="Serviço",BA$12&lt;&gt;0,$H431&gt;0,OR(AUTOEVENTO&lt;&gt;"manual",$M431&lt;&gt;1)),
IF(Import.TipoArredondamento&lt;&gt;"TransfereGOV",
ROUND(OFFSET($P431,0,BA$13),15-13*ORÇAMENTO!$AF$7)/$H431*OFFSET(ORÇAMENTO!$X$15,ROW(BA431)-ROW(BA$15),0),
ROUND(ROUND(OFFSET($P431,0,BA$13),15-13*ORÇAMENTO!$AF$7)*OFFSET(ORÇAMENTO!$W$15,ROW(BA431)-ROW(BA$15),0),15-13*ORÇAMENTO!$AF$11)),0)</f>
        <v>0</v>
      </c>
      <c r="BC431" s="181">
        <f ca="1">IF($D431&lt;&gt;"Serviço",0,IF(AND(AUTOEVENTO="Manual",$M431=1),0,IF(OFFSET(CRONOPLE!$F$14,$M431,BC$13)="",10^12,OFFSET(CRONOPLE!$F$14,$M431,BC$13))))</f>
        <v>10</v>
      </c>
      <c r="BD431" s="181">
        <f ca="1">IF($D431&lt;&gt;"Serviço",0,IF(AND(AUTOEVENTO="Manual",$M431=1),0,IF(OFFSET(CRONOPLE!$F$14,$M431,BD$13)="",10^12,OFFSET(CRONOPLE!$F$14,$M431,BD$13))))</f>
        <v>1000000000000</v>
      </c>
      <c r="BE431" s="181">
        <f ca="1">IF($D431&lt;&gt;"Serviço",0,IF(AND(AUTOEVENTO="Manual",$M431=1),0,IF(OFFSET(CRONOPLE!$F$14,$M431,BE$13)="",10^12,OFFSET(CRONOPLE!$F$14,$M431,BE$13))))</f>
        <v>1000000000000</v>
      </c>
      <c r="BF431" s="181">
        <f ca="1">IF($D431&lt;&gt;"Serviço",0,IF(AND(AUTOEVENTO="Manual",$M431=1),0,IF(OFFSET(CRONOPLE!$F$14,$M431,BF$13)="",10^12,OFFSET(CRONOPLE!$F$14,$M431,BF$13))))</f>
        <v>1000000000000</v>
      </c>
      <c r="BG431" s="181">
        <f ca="1">IF($D431&lt;&gt;"Serviço",0,IF(AND(AUTOEVENTO="Manual",$M431=1),0,IF(OFFSET(CRONOPLE!$F$14,$M431,BG$13)="",10^12,OFFSET(CRONOPLE!$F$14,$M431,BG$13))))</f>
        <v>1000000000000</v>
      </c>
      <c r="BH431" s="181">
        <f ca="1">IF($D431&lt;&gt;"Serviço",0,IF(AND(AUTOEVENTO="Manual",$M431=1),0,IF(OFFSET(CRONOPLE!$F$14,$M431,BH$13)="",10^12,OFFSET(CRONOPLE!$F$14,$M431,BH$13))))</f>
        <v>1000000000000</v>
      </c>
      <c r="BI431" s="181">
        <f ca="1">IF($D431&lt;&gt;"Serviço",0,IF(AND(AUTOEVENTO="Manual",$M431=1),0,IF(OFFSET(CRONOPLE!$F$14,$M431,BI$13)="",10^12,OFFSET(CRONOPLE!$F$14,$M431,BI$13))))</f>
        <v>1000000000000</v>
      </c>
      <c r="BJ431" s="181">
        <f ca="1">IF($D431&lt;&gt;"Serviço",0,IF(AND(AUTOEVENTO="Manual",$M431=1),0,IF(OFFSET(CRONOPLE!$F$14,$M431,BJ$13)="",10^12,OFFSET(CRONOPLE!$F$14,$M431,BJ$13))))</f>
        <v>1000000000000</v>
      </c>
      <c r="BK431" s="181">
        <f ca="1">IF($D431&lt;&gt;"Serviço",0,IF(AND(AUTOEVENTO="Manual",$M431=1),0,IF(OFFSET(CRONOPLE!$F$14,$M431,BK$13)="",10^12,OFFSET(CRONOPLE!$F$14,$M431,BK$13))))</f>
        <v>1000000000000</v>
      </c>
      <c r="BL431" s="181">
        <f ca="1">IF($D431&lt;&gt;"Serviço",0,IF(AND(AUTOEVENTO="Manual",$M431=1),0,IF(OFFSET(CRONOPLE!$F$14,$M431,BL$13)="",10^12,OFFSET(CRONOPLE!$F$14,$M431,BL$13))))</f>
        <v>1000000000000</v>
      </c>
      <c r="BM431" s="181">
        <f ca="1">IF($D431&lt;&gt;"Serviço",0,IF(AND(AUTOEVENTO="Manual",$M431=1),0,IF(OFFSET(CRONOPLE!$F$14,$M431,BM$13)="",10^12,OFFSET(CRONOPLE!$F$14,$M431,BM$13))))</f>
        <v>1000000000000</v>
      </c>
      <c r="BN431" s="181">
        <f ca="1">IF($D431&lt;&gt;"Serviço",0,IF(AND(AUTOEVENTO="Manual",$M431=1),0,IF(OFFSET(CRONOPLE!$F$14,$M431,BN$13)="",10^12,OFFSET(CRONOPLE!$F$14,$M431,BN$13))))</f>
        <v>1000000000000</v>
      </c>
      <c r="BO431" s="181">
        <f ca="1">IF($D431&lt;&gt;"Serviço",0,IF(AND(AUTOEVENTO="Manual",$M431=1),0,IF(OFFSET(CRONOPLE!$F$14,$M431,BO$13)="",10^12,OFFSET(CRONOPLE!$F$14,$M431,BO$13))))</f>
        <v>1000000000000</v>
      </c>
      <c r="BP431" s="181">
        <f ca="1">IF($D431&lt;&gt;"Serviço",0,IF(AND(AUTOEVENTO="Manual",$M431=1),0,IF(OFFSET(CRONOPLE!$F$14,$M431,BP$13)="",10^12,OFFSET(CRONOPLE!$F$14,$M431,BP$13))))</f>
        <v>1000000000000</v>
      </c>
      <c r="BQ431" s="181">
        <f ca="1">IF($D431&lt;&gt;"Serviço",0,IF(AND(AUTOEVENTO="Manual",$M431=1),0,IF(OFFSET(CRONOPLE!$F$14,$M431,BQ$13)="",10^12,OFFSET(CRONOPLE!$F$14,$M431,BQ$13))))</f>
        <v>1000000000000</v>
      </c>
      <c r="BR431" s="181">
        <f ca="1">IF($D431&lt;&gt;"Serviço",0,IF(AND(AUTOEVENTO="Manual",$M431=1),0,IF(OFFSET(CRONOPLE!$F$14,$M431,BR$13)="",10^12,OFFSET(CRONOPLE!$F$14,$M431,BR$13))))</f>
        <v>1000000000000</v>
      </c>
      <c r="BS431" s="181">
        <f ca="1">IF($D431&lt;&gt;"Serviço",0,IF(AND(AUTOEVENTO="Manual",$M431=1),0,IF(OFFSET(CRONOPLE!$F$14,$M431,BS$13)="",10^12,OFFSET(CRONOPLE!$F$14,$M431,BS$13))))</f>
        <v>1000000000000</v>
      </c>
      <c r="BT431" s="181">
        <f ca="1">IF($D431&lt;&gt;"Serviço",0,IF(AND(AUTOEVENTO="Manual",$M431=1),0,IF(OFFSET(CRONOPLE!$F$14,$M431,BT$13)="",10^12,OFFSET(CRONOPLE!$F$14,$M431,BT$13))))</f>
        <v>1000000000000</v>
      </c>
      <c r="BV431" s="182">
        <f ca="1">IF($D431&lt;&gt;"Serviço",0,IF(OR(AND(AUTOEVENTO="Manual",$M431=1),$M431&gt;(ROW(PLE.lastrow)-ROW(PLE.firstrow))),0,IF(OFFSET(PLE!$G$14,$M431,BV$13)="",10^12,OFFSET(PLE!$G$14,$M431,BV$13))))</f>
        <v>1000000000000</v>
      </c>
      <c r="BW431" s="182">
        <f ca="1">IF($D431&lt;&gt;"Serviço",0,IF(OR(AND(AUTOEVENTO="Manual",$M431=1),$M431&gt;(ROW(PLE.lastrow)-ROW(PLE.firstrow))),0,IF(OFFSET(PLE!$G$14,$M431,BW$13)="",10^12,OFFSET(PLE!$G$14,$M431,BW$13))))</f>
        <v>1000000000000</v>
      </c>
      <c r="BX431" s="182">
        <f ca="1">IF($D431&lt;&gt;"Serviço",0,IF(OR(AND(AUTOEVENTO="Manual",$M431=1),$M431&gt;(ROW(PLE.lastrow)-ROW(PLE.firstrow))),0,IF(OFFSET(PLE!$G$14,$M431,BX$13)="",10^12,OFFSET(PLE!$G$14,$M431,BX$13))))</f>
        <v>1000000000000</v>
      </c>
      <c r="BY431" s="182">
        <f ca="1">IF($D431&lt;&gt;"Serviço",0,IF(OR(AND(AUTOEVENTO="Manual",$M431=1),$M431&gt;(ROW(PLE.lastrow)-ROW(PLE.firstrow))),0,IF(OFFSET(PLE!$G$14,$M431,BY$13)="",10^12,OFFSET(PLE!$G$14,$M431,BY$13))))</f>
        <v>1000000000000</v>
      </c>
      <c r="BZ431" s="182">
        <f ca="1">IF($D431&lt;&gt;"Serviço",0,IF(OR(AND(AUTOEVENTO="Manual",$M431=1),$M431&gt;(ROW(PLE.lastrow)-ROW(PLE.firstrow))),0,IF(OFFSET(PLE!$G$14,$M431,BZ$13)="",10^12,OFFSET(PLE!$G$14,$M431,BZ$13))))</f>
        <v>1000000000000</v>
      </c>
      <c r="CA431" s="182">
        <f ca="1">IF($D431&lt;&gt;"Serviço",0,IF(OR(AND(AUTOEVENTO="Manual",$M431=1),$M431&gt;(ROW(PLE.lastrow)-ROW(PLE.firstrow))),0,IF(OFFSET(PLE!$G$14,$M431,CA$13)="",10^12,OFFSET(PLE!$G$14,$M431,CA$13))))</f>
        <v>1000000000000</v>
      </c>
      <c r="CB431" s="182">
        <f ca="1">IF($D431&lt;&gt;"Serviço",0,IF(OR(AND(AUTOEVENTO="Manual",$M431=1),$M431&gt;(ROW(PLE.lastrow)-ROW(PLE.firstrow))),0,IF(OFFSET(PLE!$G$14,$M431,CB$13)="",10^12,OFFSET(PLE!$G$14,$M431,CB$13))))</f>
        <v>1000000000000</v>
      </c>
      <c r="CC431" s="182">
        <f ca="1">IF($D431&lt;&gt;"Serviço",0,IF(OR(AND(AUTOEVENTO="Manual",$M431=1),$M431&gt;(ROW(PLE.lastrow)-ROW(PLE.firstrow))),0,IF(OFFSET(PLE!$G$14,$M431,CC$13)="",10^12,OFFSET(PLE!$G$14,$M431,CC$13))))</f>
        <v>1000000000000</v>
      </c>
      <c r="CD431" s="182">
        <f ca="1">IF($D431&lt;&gt;"Serviço",0,IF(OR(AND(AUTOEVENTO="Manual",$M431=1),$M431&gt;(ROW(PLE.lastrow)-ROW(PLE.firstrow))),0,IF(OFFSET(PLE!$G$14,$M431,CD$13)="",10^12,OFFSET(PLE!$G$14,$M431,CD$13))))</f>
        <v>1000000000000</v>
      </c>
      <c r="CE431" s="182">
        <f ca="1">IF($D431&lt;&gt;"Serviço",0,IF(OR(AND(AUTOEVENTO="Manual",$M431=1),$M431&gt;(ROW(PLE.lastrow)-ROW(PLE.firstrow))),0,IF(OFFSET(PLE!$G$14,$M431,CE$13)="",10^12,OFFSET(PLE!$G$14,$M431,CE$13))))</f>
        <v>1000000000000</v>
      </c>
      <c r="CF431" s="182">
        <f ca="1">IF($D431&lt;&gt;"Serviço",0,IF(OR(AND(AUTOEVENTO="Manual",$M431=1),$M431&gt;(ROW(PLE.lastrow)-ROW(PLE.firstrow))),0,IF(OFFSET(PLE!$G$14,$M431,CF$13)="",10^12,OFFSET(PLE!$G$14,$M431,CF$13))))</f>
        <v>1000000000000</v>
      </c>
      <c r="CG431" s="182">
        <f ca="1">IF($D431&lt;&gt;"Serviço",0,IF(OR(AND(AUTOEVENTO="Manual",$M431=1),$M431&gt;(ROW(PLE.lastrow)-ROW(PLE.firstrow))),0,IF(OFFSET(PLE!$G$14,$M431,CG$13)="",10^12,OFFSET(PLE!$G$14,$M431,CG$13))))</f>
        <v>1000000000000</v>
      </c>
      <c r="CH431" s="182">
        <f ca="1">IF($D431&lt;&gt;"Serviço",0,IF(OR(AND(AUTOEVENTO="Manual",$M431=1),$M431&gt;(ROW(PLE.lastrow)-ROW(PLE.firstrow))),0,IF(OFFSET(PLE!$G$14,$M431,CH$13)="",10^12,OFFSET(PLE!$G$14,$M431,CH$13))))</f>
        <v>1000000000000</v>
      </c>
      <c r="CI431" s="182">
        <f ca="1">IF($D431&lt;&gt;"Serviço",0,IF(OR(AND(AUTOEVENTO="Manual",$M431=1),$M431&gt;(ROW(PLE.lastrow)-ROW(PLE.firstrow))),0,IF(OFFSET(PLE!$G$14,$M431,CI$13)="",10^12,OFFSET(PLE!$G$14,$M431,CI$13))))</f>
        <v>1000000000000</v>
      </c>
      <c r="CJ431" s="182">
        <f ca="1">IF($D431&lt;&gt;"Serviço",0,IF(OR(AND(AUTOEVENTO="Manual",$M431=1),$M431&gt;(ROW(PLE.lastrow)-ROW(PLE.firstrow))),0,IF(OFFSET(PLE!$G$14,$M431,CJ$13)="",10^12,OFFSET(PLE!$G$14,$M431,CJ$13))))</f>
        <v>1000000000000</v>
      </c>
      <c r="CK431" s="182">
        <f ca="1">IF($D431&lt;&gt;"Serviço",0,IF(OR(AND(AUTOEVENTO="Manual",$M431=1),$M431&gt;(ROW(PLE.lastrow)-ROW(PLE.firstrow))),0,IF(OFFSET(PLE!$G$14,$M431,CK$13)="",10^12,OFFSET(PLE!$G$14,$M431,CK$13))))</f>
        <v>1000000000000</v>
      </c>
      <c r="CL431" s="182">
        <f ca="1">IF($D431&lt;&gt;"Serviço",0,IF(OR(AND(AUTOEVENTO="Manual",$M431=1),$M431&gt;(ROW(PLE.lastrow)-ROW(PLE.firstrow))),0,IF(OFFSET(PLE!$G$14,$M431,CL$13)="",10^12,OFFSET(PLE!$G$14,$M431,CL$13))))</f>
        <v>1000000000000</v>
      </c>
      <c r="CM431" s="182">
        <f ca="1">IF($D431&lt;&gt;"Serviço",0,IF(OR(AND(AUTOEVENTO="Manual",$M431=1),$M431&gt;(ROW(PLE.lastrow)-ROW(PLE.firstrow))),0,IF(OFFSET(PLE!$G$14,$M431,CM$13)="",10^12,OFFSET(PLE!$G$14,$M431,CM$13))))</f>
        <v>1000000000000</v>
      </c>
    </row>
    <row r="432" spans="1:91" ht="38.25" x14ac:dyDescent="0.2">
      <c r="A432" s="7" t="str">
        <f t="shared" ca="1" si="14"/>
        <v>406</v>
      </c>
      <c r="B432" s="7" t="str">
        <f ca="1">OFFSET(ORÇAMENTO!C$15,ROW(B432)-ROW(B$15),0)</f>
        <v>S</v>
      </c>
      <c r="C432" s="7" t="str">
        <f ca="1">OFFSET(ORÇAMENTO!L$15,ROW(C432)-ROW(C$15),0)</f>
        <v/>
      </c>
      <c r="D432" s="118" t="str">
        <f ca="1">OFFSET(ORÇAMENTO!N$15,ROW(D432)-ROW(D$15),0)</f>
        <v>Serviço</v>
      </c>
      <c r="E432" s="119" t="str">
        <f ca="1">OFFSET(ORÇAMENTO!O$15,ROW(E432)-ROW(E$15),0)</f>
        <v>-</v>
      </c>
      <c r="F432" s="172" t="str">
        <f ca="1">OFFSET(ORÇAMENTO!R$15,ROW(F432)-ROW(F$15),0)</f>
        <v>(abra o arquivo 'Referência 06-2024.xlsm)</v>
      </c>
      <c r="G432" s="173" t="str">
        <f ca="1">IF($D432&lt;&gt;"Serviço","",OFFSET(ORÇAMENTO!S$15,ROW(G432)-ROW(G$15),0))</f>
        <v>-</v>
      </c>
      <c r="H432" s="124">
        <f ca="1">IF($D432&lt;&gt;"Serviço",0,IF(ACOMPANHAMENTO="BM",ROUND(OFFSET(ORÇAMENTO!AJ$15,ROW(H432)-ROW(H$15),0),15-13*ORÇAMENTO!$AF$7),SUMPRODUCT(($Q$12:$AI$12&lt;&gt;"")*ROUND($Q432:$AI432,15-13*ORÇAMENTO!$AF$7))))</f>
        <v>1</v>
      </c>
      <c r="I432" s="561" t="s">
        <v>1107</v>
      </c>
      <c r="K432" s="174"/>
      <c r="L432" s="175" t="s">
        <v>255</v>
      </c>
      <c r="M432" s="176">
        <f ca="1">IF($D432&lt;&gt;"Serviço","",IF(AUTOEVENTO="manual",$A432,IF(ISERROR(MATCH($A432,$A$15:OFFSET($A432,-1,0),0)),MAX($M$15:OFFSET(M432,-1,0))+1,INDEX($M$15:OFFSET(M432,-1,0),MATCH($A432,$A$15:OFFSET($A432,-1,0),0)))))</f>
        <v>48</v>
      </c>
      <c r="N432" s="177" t="str">
        <f ca="1">IF($D432&lt;&gt;"Serviço","",IF(AUTOEVENTO="Manual",IF($A432=0,"&lt;-- defina o número do agrupador",OFFSET(EVENTOS!$D$14,$A432,0)),OFFSET($F$15,$A432,0)))</f>
        <v>SISTEMA DE PROTEÇÃO CONTRA INCÊNDIO - ACESSÓRIOS</v>
      </c>
      <c r="O432" s="178"/>
      <c r="Q432" s="178">
        <v>1</v>
      </c>
      <c r="R432" s="179"/>
      <c r="S432" s="179"/>
      <c r="T432" s="179"/>
      <c r="U432" s="179"/>
      <c r="V432" s="179"/>
      <c r="W432" s="179"/>
      <c r="X432" s="179"/>
      <c r="Y432" s="179"/>
      <c r="Z432" s="180"/>
      <c r="AA432" s="179"/>
      <c r="AB432" s="179"/>
      <c r="AC432" s="179"/>
      <c r="AD432" s="179"/>
      <c r="AE432" s="179"/>
      <c r="AF432" s="179"/>
      <c r="AG432" s="179"/>
      <c r="AH432" s="180"/>
      <c r="AJ432" s="544">
        <f ca="1">IF(AND($D432="Serviço",AJ$12&lt;&gt;0,$H432&gt;0,OR(AUTOEVENTO&lt;&gt;"manual",$M432&lt;&gt;1)),
IF(Import.TipoArredondamento&lt;&gt;"TransfereGOV",
ROUND(OFFSET($P432,0,AJ$13),15-13*ORÇAMENTO!$AF$7)/$H432*OFFSET(ORÇAMENTO!$X$15,ROW(AJ432)-ROW(AJ$15),0),
ROUND(ROUND(OFFSET($P432,0,AJ$13),15-13*ORÇAMENTO!$AF$7)*OFFSET(ORÇAMENTO!$W$15,ROW(AJ432)-ROW(AJ$15),0),15-13*ORÇAMENTO!$AF$11)),0)</f>
        <v>0</v>
      </c>
      <c r="AK432" s="545">
        <f ca="1">IF(AND($D432="Serviço",AK$12&lt;&gt;0,$H432&gt;0,OR(AUTOEVENTO&lt;&gt;"manual",$M432&lt;&gt;1)),
IF(Import.TipoArredondamento&lt;&gt;"TransfereGOV",
ROUND(OFFSET($P432,0,AK$13),15-13*ORÇAMENTO!$AF$7)/$H432*OFFSET(ORÇAMENTO!$X$15,ROW(AK432)-ROW(AK$15),0),
ROUND(ROUND(OFFSET($P432,0,AK$13),15-13*ORÇAMENTO!$AF$7)*OFFSET(ORÇAMENTO!$W$15,ROW(AK432)-ROW(AK$15),0),15-13*ORÇAMENTO!$AF$11)),0)</f>
        <v>0</v>
      </c>
      <c r="AL432" s="545">
        <f ca="1">IF(AND($D432="Serviço",AL$12&lt;&gt;0,$H432&gt;0,OR(AUTOEVENTO&lt;&gt;"manual",$M432&lt;&gt;1)),
IF(Import.TipoArredondamento&lt;&gt;"TransfereGOV",
ROUND(OFFSET($P432,0,AL$13),15-13*ORÇAMENTO!$AF$7)/$H432*OFFSET(ORÇAMENTO!$X$15,ROW(AL432)-ROW(AL$15),0),
ROUND(ROUND(OFFSET($P432,0,AL$13),15-13*ORÇAMENTO!$AF$7)*OFFSET(ORÇAMENTO!$W$15,ROW(AL432)-ROW(AL$15),0),15-13*ORÇAMENTO!$AF$11)),0)</f>
        <v>0</v>
      </c>
      <c r="AM432" s="545">
        <f ca="1">IF(AND($D432="Serviço",AM$12&lt;&gt;0,$H432&gt;0,OR(AUTOEVENTO&lt;&gt;"manual",$M432&lt;&gt;1)),
IF(Import.TipoArredondamento&lt;&gt;"TransfereGOV",
ROUND(OFFSET($P432,0,AM$13),15-13*ORÇAMENTO!$AF$7)/$H432*OFFSET(ORÇAMENTO!$X$15,ROW(AM432)-ROW(AM$15),0),
ROUND(ROUND(OFFSET($P432,0,AM$13),15-13*ORÇAMENTO!$AF$7)*OFFSET(ORÇAMENTO!$W$15,ROW(AM432)-ROW(AM$15),0),15-13*ORÇAMENTO!$AF$11)),0)</f>
        <v>0</v>
      </c>
      <c r="AN432" s="545">
        <f ca="1">IF(AND($D432="Serviço",AN$12&lt;&gt;0,$H432&gt;0,OR(AUTOEVENTO&lt;&gt;"manual",$M432&lt;&gt;1)),
IF(Import.TipoArredondamento&lt;&gt;"TransfereGOV",
ROUND(OFFSET($P432,0,AN$13),15-13*ORÇAMENTO!$AF$7)/$H432*OFFSET(ORÇAMENTO!$X$15,ROW(AN432)-ROW(AN$15),0),
ROUND(ROUND(OFFSET($P432,0,AN$13),15-13*ORÇAMENTO!$AF$7)*OFFSET(ORÇAMENTO!$W$15,ROW(AN432)-ROW(AN$15),0),15-13*ORÇAMENTO!$AF$11)),0)</f>
        <v>0</v>
      </c>
      <c r="AO432" s="545">
        <f ca="1">IF(AND($D432="Serviço",AO$12&lt;&gt;0,$H432&gt;0,OR(AUTOEVENTO&lt;&gt;"manual",$M432&lt;&gt;1)),
IF(Import.TipoArredondamento&lt;&gt;"TransfereGOV",
ROUND(OFFSET($P432,0,AO$13),15-13*ORÇAMENTO!$AF$7)/$H432*OFFSET(ORÇAMENTO!$X$15,ROW(AO432)-ROW(AO$15),0),
ROUND(ROUND(OFFSET($P432,0,AO$13),15-13*ORÇAMENTO!$AF$7)*OFFSET(ORÇAMENTO!$W$15,ROW(AO432)-ROW(AO$15),0),15-13*ORÇAMENTO!$AF$11)),0)</f>
        <v>0</v>
      </c>
      <c r="AP432" s="545">
        <f ca="1">IF(AND($D432="Serviço",AP$12&lt;&gt;0,$H432&gt;0,OR(AUTOEVENTO&lt;&gt;"manual",$M432&lt;&gt;1)),
IF(Import.TipoArredondamento&lt;&gt;"TransfereGOV",
ROUND(OFFSET($P432,0,AP$13),15-13*ORÇAMENTO!$AF$7)/$H432*OFFSET(ORÇAMENTO!$X$15,ROW(AP432)-ROW(AP$15),0),
ROUND(ROUND(OFFSET($P432,0,AP$13),15-13*ORÇAMENTO!$AF$7)*OFFSET(ORÇAMENTO!$W$15,ROW(AP432)-ROW(AP$15),0),15-13*ORÇAMENTO!$AF$11)),0)</f>
        <v>0</v>
      </c>
      <c r="AQ432" s="545">
        <f ca="1">IF(AND($D432="Serviço",AQ$12&lt;&gt;0,$H432&gt;0,OR(AUTOEVENTO&lt;&gt;"manual",$M432&lt;&gt;1)),
IF(Import.TipoArredondamento&lt;&gt;"TransfereGOV",
ROUND(OFFSET($P432,0,AQ$13),15-13*ORÇAMENTO!$AF$7)/$H432*OFFSET(ORÇAMENTO!$X$15,ROW(AQ432)-ROW(AQ$15),0),
ROUND(ROUND(OFFSET($P432,0,AQ$13),15-13*ORÇAMENTO!$AF$7)*OFFSET(ORÇAMENTO!$W$15,ROW(AQ432)-ROW(AQ$15),0),15-13*ORÇAMENTO!$AF$11)),0)</f>
        <v>0</v>
      </c>
      <c r="AR432" s="545">
        <f ca="1">IF(AND($D432="Serviço",AR$12&lt;&gt;0,$H432&gt;0,OR(AUTOEVENTO&lt;&gt;"manual",$M432&lt;&gt;1)),
IF(Import.TipoArredondamento&lt;&gt;"TransfereGOV",
ROUND(OFFSET($P432,0,AR$13),15-13*ORÇAMENTO!$AF$7)/$H432*OFFSET(ORÇAMENTO!$X$15,ROW(AR432)-ROW(AR$15),0),
ROUND(ROUND(OFFSET($P432,0,AR$13),15-13*ORÇAMENTO!$AF$7)*OFFSET(ORÇAMENTO!$W$15,ROW(AR432)-ROW(AR$15),0),15-13*ORÇAMENTO!$AF$11)),0)</f>
        <v>0</v>
      </c>
      <c r="AS432" s="546">
        <f ca="1">IF(AND($D432="Serviço",AS$12&lt;&gt;0,$H432&gt;0,OR(AUTOEVENTO&lt;&gt;"manual",$M432&lt;&gt;1)),
IF(Import.TipoArredondamento&lt;&gt;"TransfereGOV",
ROUND(OFFSET($P432,0,AS$13),15-13*ORÇAMENTO!$AF$7)/$H432*OFFSET(ORÇAMENTO!$X$15,ROW(AS432)-ROW(AS$15),0),
ROUND(ROUND(OFFSET($P432,0,AS$13),15-13*ORÇAMENTO!$AF$7)*OFFSET(ORÇAMENTO!$W$15,ROW(AS432)-ROW(AS$15),0),15-13*ORÇAMENTO!$AF$11)),0)</f>
        <v>0</v>
      </c>
      <c r="AT432" s="545">
        <f ca="1">IF(AND($D432="Serviço",AT$12&lt;&gt;0,$H432&gt;0,OR(AUTOEVENTO&lt;&gt;"manual",$M432&lt;&gt;1)),
IF(Import.TipoArredondamento&lt;&gt;"TransfereGOV",
ROUND(OFFSET($P432,0,AT$13),15-13*ORÇAMENTO!$AF$7)/$H432*OFFSET(ORÇAMENTO!$X$15,ROW(AT432)-ROW(AT$15),0),
ROUND(ROUND(OFFSET($P432,0,AT$13),15-13*ORÇAMENTO!$AF$7)*OFFSET(ORÇAMENTO!$W$15,ROW(AT432)-ROW(AT$15),0),15-13*ORÇAMENTO!$AF$11)),0)</f>
        <v>0</v>
      </c>
      <c r="AU432" s="545">
        <f ca="1">IF(AND($D432="Serviço",AU$12&lt;&gt;0,$H432&gt;0,OR(AUTOEVENTO&lt;&gt;"manual",$M432&lt;&gt;1)),
IF(Import.TipoArredondamento&lt;&gt;"TransfereGOV",
ROUND(OFFSET($P432,0,AU$13),15-13*ORÇAMENTO!$AF$7)/$H432*OFFSET(ORÇAMENTO!$X$15,ROW(AU432)-ROW(AU$15),0),
ROUND(ROUND(OFFSET($P432,0,AU$13),15-13*ORÇAMENTO!$AF$7)*OFFSET(ORÇAMENTO!$W$15,ROW(AU432)-ROW(AU$15),0),15-13*ORÇAMENTO!$AF$11)),0)</f>
        <v>0</v>
      </c>
      <c r="AV432" s="545">
        <f ca="1">IF(AND($D432="Serviço",AV$12&lt;&gt;0,$H432&gt;0,OR(AUTOEVENTO&lt;&gt;"manual",$M432&lt;&gt;1)),
IF(Import.TipoArredondamento&lt;&gt;"TransfereGOV",
ROUND(OFFSET($P432,0,AV$13),15-13*ORÇAMENTO!$AF$7)/$H432*OFFSET(ORÇAMENTO!$X$15,ROW(AV432)-ROW(AV$15),0),
ROUND(ROUND(OFFSET($P432,0,AV$13),15-13*ORÇAMENTO!$AF$7)*OFFSET(ORÇAMENTO!$W$15,ROW(AV432)-ROW(AV$15),0),15-13*ORÇAMENTO!$AF$11)),0)</f>
        <v>0</v>
      </c>
      <c r="AW432" s="545">
        <f ca="1">IF(AND($D432="Serviço",AW$12&lt;&gt;0,$H432&gt;0,OR(AUTOEVENTO&lt;&gt;"manual",$M432&lt;&gt;1)),
IF(Import.TipoArredondamento&lt;&gt;"TransfereGOV",
ROUND(OFFSET($P432,0,AW$13),15-13*ORÇAMENTO!$AF$7)/$H432*OFFSET(ORÇAMENTO!$X$15,ROW(AW432)-ROW(AW$15),0),
ROUND(ROUND(OFFSET($P432,0,AW$13),15-13*ORÇAMENTO!$AF$7)*OFFSET(ORÇAMENTO!$W$15,ROW(AW432)-ROW(AW$15),0),15-13*ORÇAMENTO!$AF$11)),0)</f>
        <v>0</v>
      </c>
      <c r="AX432" s="545">
        <f ca="1">IF(AND($D432="Serviço",AX$12&lt;&gt;0,$H432&gt;0,OR(AUTOEVENTO&lt;&gt;"manual",$M432&lt;&gt;1)),
IF(Import.TipoArredondamento&lt;&gt;"TransfereGOV",
ROUND(OFFSET($P432,0,AX$13),15-13*ORÇAMENTO!$AF$7)/$H432*OFFSET(ORÇAMENTO!$X$15,ROW(AX432)-ROW(AX$15),0),
ROUND(ROUND(OFFSET($P432,0,AX$13),15-13*ORÇAMENTO!$AF$7)*OFFSET(ORÇAMENTO!$W$15,ROW(AX432)-ROW(AX$15),0),15-13*ORÇAMENTO!$AF$11)),0)</f>
        <v>0</v>
      </c>
      <c r="AY432" s="545">
        <f ca="1">IF(AND($D432="Serviço",AY$12&lt;&gt;0,$H432&gt;0,OR(AUTOEVENTO&lt;&gt;"manual",$M432&lt;&gt;1)),
IF(Import.TipoArredondamento&lt;&gt;"TransfereGOV",
ROUND(OFFSET($P432,0,AY$13),15-13*ORÇAMENTO!$AF$7)/$H432*OFFSET(ORÇAMENTO!$X$15,ROW(AY432)-ROW(AY$15),0),
ROUND(ROUND(OFFSET($P432,0,AY$13),15-13*ORÇAMENTO!$AF$7)*OFFSET(ORÇAMENTO!$W$15,ROW(AY432)-ROW(AY$15),0),15-13*ORÇAMENTO!$AF$11)),0)</f>
        <v>0</v>
      </c>
      <c r="AZ432" s="545">
        <f ca="1">IF(AND($D432="Serviço",AZ$12&lt;&gt;0,$H432&gt;0,OR(AUTOEVENTO&lt;&gt;"manual",$M432&lt;&gt;1)),
IF(Import.TipoArredondamento&lt;&gt;"TransfereGOV",
ROUND(OFFSET($P432,0,AZ$13),15-13*ORÇAMENTO!$AF$7)/$H432*OFFSET(ORÇAMENTO!$X$15,ROW(AZ432)-ROW(AZ$15),0),
ROUND(ROUND(OFFSET($P432,0,AZ$13),15-13*ORÇAMENTO!$AF$7)*OFFSET(ORÇAMENTO!$W$15,ROW(AZ432)-ROW(AZ$15),0),15-13*ORÇAMENTO!$AF$11)),0)</f>
        <v>0</v>
      </c>
      <c r="BA432" s="546">
        <f ca="1">IF(AND($D432="Serviço",BA$12&lt;&gt;0,$H432&gt;0,OR(AUTOEVENTO&lt;&gt;"manual",$M432&lt;&gt;1)),
IF(Import.TipoArredondamento&lt;&gt;"TransfereGOV",
ROUND(OFFSET($P432,0,BA$13),15-13*ORÇAMENTO!$AF$7)/$H432*OFFSET(ORÇAMENTO!$X$15,ROW(BA432)-ROW(BA$15),0),
ROUND(ROUND(OFFSET($P432,0,BA$13),15-13*ORÇAMENTO!$AF$7)*OFFSET(ORÇAMENTO!$W$15,ROW(BA432)-ROW(BA$15),0),15-13*ORÇAMENTO!$AF$11)),0)</f>
        <v>0</v>
      </c>
      <c r="BC432" s="181">
        <f ca="1">IF($D432&lt;&gt;"Serviço",0,IF(AND(AUTOEVENTO="Manual",$M432=1),0,IF(OFFSET(CRONOPLE!$F$14,$M432,BC$13)="",10^12,OFFSET(CRONOPLE!$F$14,$M432,BC$13))))</f>
        <v>10</v>
      </c>
      <c r="BD432" s="181">
        <f ca="1">IF($D432&lt;&gt;"Serviço",0,IF(AND(AUTOEVENTO="Manual",$M432=1),0,IF(OFFSET(CRONOPLE!$F$14,$M432,BD$13)="",10^12,OFFSET(CRONOPLE!$F$14,$M432,BD$13))))</f>
        <v>1000000000000</v>
      </c>
      <c r="BE432" s="181">
        <f ca="1">IF($D432&lt;&gt;"Serviço",0,IF(AND(AUTOEVENTO="Manual",$M432=1),0,IF(OFFSET(CRONOPLE!$F$14,$M432,BE$13)="",10^12,OFFSET(CRONOPLE!$F$14,$M432,BE$13))))</f>
        <v>1000000000000</v>
      </c>
      <c r="BF432" s="181">
        <f ca="1">IF($D432&lt;&gt;"Serviço",0,IF(AND(AUTOEVENTO="Manual",$M432=1),0,IF(OFFSET(CRONOPLE!$F$14,$M432,BF$13)="",10^12,OFFSET(CRONOPLE!$F$14,$M432,BF$13))))</f>
        <v>1000000000000</v>
      </c>
      <c r="BG432" s="181">
        <f ca="1">IF($D432&lt;&gt;"Serviço",0,IF(AND(AUTOEVENTO="Manual",$M432=1),0,IF(OFFSET(CRONOPLE!$F$14,$M432,BG$13)="",10^12,OFFSET(CRONOPLE!$F$14,$M432,BG$13))))</f>
        <v>1000000000000</v>
      </c>
      <c r="BH432" s="181">
        <f ca="1">IF($D432&lt;&gt;"Serviço",0,IF(AND(AUTOEVENTO="Manual",$M432=1),0,IF(OFFSET(CRONOPLE!$F$14,$M432,BH$13)="",10^12,OFFSET(CRONOPLE!$F$14,$M432,BH$13))))</f>
        <v>1000000000000</v>
      </c>
      <c r="BI432" s="181">
        <f ca="1">IF($D432&lt;&gt;"Serviço",0,IF(AND(AUTOEVENTO="Manual",$M432=1),0,IF(OFFSET(CRONOPLE!$F$14,$M432,BI$13)="",10^12,OFFSET(CRONOPLE!$F$14,$M432,BI$13))))</f>
        <v>1000000000000</v>
      </c>
      <c r="BJ432" s="181">
        <f ca="1">IF($D432&lt;&gt;"Serviço",0,IF(AND(AUTOEVENTO="Manual",$M432=1),0,IF(OFFSET(CRONOPLE!$F$14,$M432,BJ$13)="",10^12,OFFSET(CRONOPLE!$F$14,$M432,BJ$13))))</f>
        <v>1000000000000</v>
      </c>
      <c r="BK432" s="181">
        <f ca="1">IF($D432&lt;&gt;"Serviço",0,IF(AND(AUTOEVENTO="Manual",$M432=1),0,IF(OFFSET(CRONOPLE!$F$14,$M432,BK$13)="",10^12,OFFSET(CRONOPLE!$F$14,$M432,BK$13))))</f>
        <v>1000000000000</v>
      </c>
      <c r="BL432" s="181">
        <f ca="1">IF($D432&lt;&gt;"Serviço",0,IF(AND(AUTOEVENTO="Manual",$M432=1),0,IF(OFFSET(CRONOPLE!$F$14,$M432,BL$13)="",10^12,OFFSET(CRONOPLE!$F$14,$M432,BL$13))))</f>
        <v>1000000000000</v>
      </c>
      <c r="BM432" s="181">
        <f ca="1">IF($D432&lt;&gt;"Serviço",0,IF(AND(AUTOEVENTO="Manual",$M432=1),0,IF(OFFSET(CRONOPLE!$F$14,$M432,BM$13)="",10^12,OFFSET(CRONOPLE!$F$14,$M432,BM$13))))</f>
        <v>1000000000000</v>
      </c>
      <c r="BN432" s="181">
        <f ca="1">IF($D432&lt;&gt;"Serviço",0,IF(AND(AUTOEVENTO="Manual",$M432=1),0,IF(OFFSET(CRONOPLE!$F$14,$M432,BN$13)="",10^12,OFFSET(CRONOPLE!$F$14,$M432,BN$13))))</f>
        <v>1000000000000</v>
      </c>
      <c r="BO432" s="181">
        <f ca="1">IF($D432&lt;&gt;"Serviço",0,IF(AND(AUTOEVENTO="Manual",$M432=1),0,IF(OFFSET(CRONOPLE!$F$14,$M432,BO$13)="",10^12,OFFSET(CRONOPLE!$F$14,$M432,BO$13))))</f>
        <v>1000000000000</v>
      </c>
      <c r="BP432" s="181">
        <f ca="1">IF($D432&lt;&gt;"Serviço",0,IF(AND(AUTOEVENTO="Manual",$M432=1),0,IF(OFFSET(CRONOPLE!$F$14,$M432,BP$13)="",10^12,OFFSET(CRONOPLE!$F$14,$M432,BP$13))))</f>
        <v>1000000000000</v>
      </c>
      <c r="BQ432" s="181">
        <f ca="1">IF($D432&lt;&gt;"Serviço",0,IF(AND(AUTOEVENTO="Manual",$M432=1),0,IF(OFFSET(CRONOPLE!$F$14,$M432,BQ$13)="",10^12,OFFSET(CRONOPLE!$F$14,$M432,BQ$13))))</f>
        <v>1000000000000</v>
      </c>
      <c r="BR432" s="181">
        <f ca="1">IF($D432&lt;&gt;"Serviço",0,IF(AND(AUTOEVENTO="Manual",$M432=1),0,IF(OFFSET(CRONOPLE!$F$14,$M432,BR$13)="",10^12,OFFSET(CRONOPLE!$F$14,$M432,BR$13))))</f>
        <v>1000000000000</v>
      </c>
      <c r="BS432" s="181">
        <f ca="1">IF($D432&lt;&gt;"Serviço",0,IF(AND(AUTOEVENTO="Manual",$M432=1),0,IF(OFFSET(CRONOPLE!$F$14,$M432,BS$13)="",10^12,OFFSET(CRONOPLE!$F$14,$M432,BS$13))))</f>
        <v>1000000000000</v>
      </c>
      <c r="BT432" s="181">
        <f ca="1">IF($D432&lt;&gt;"Serviço",0,IF(AND(AUTOEVENTO="Manual",$M432=1),0,IF(OFFSET(CRONOPLE!$F$14,$M432,BT$13)="",10^12,OFFSET(CRONOPLE!$F$14,$M432,BT$13))))</f>
        <v>1000000000000</v>
      </c>
      <c r="BV432" s="182">
        <f ca="1">IF($D432&lt;&gt;"Serviço",0,IF(OR(AND(AUTOEVENTO="Manual",$M432=1),$M432&gt;(ROW(PLE.lastrow)-ROW(PLE.firstrow))),0,IF(OFFSET(PLE!$G$14,$M432,BV$13)="",10^12,OFFSET(PLE!$G$14,$M432,BV$13))))</f>
        <v>1000000000000</v>
      </c>
      <c r="BW432" s="182">
        <f ca="1">IF($D432&lt;&gt;"Serviço",0,IF(OR(AND(AUTOEVENTO="Manual",$M432=1),$M432&gt;(ROW(PLE.lastrow)-ROW(PLE.firstrow))),0,IF(OFFSET(PLE!$G$14,$M432,BW$13)="",10^12,OFFSET(PLE!$G$14,$M432,BW$13))))</f>
        <v>1000000000000</v>
      </c>
      <c r="BX432" s="182">
        <f ca="1">IF($D432&lt;&gt;"Serviço",0,IF(OR(AND(AUTOEVENTO="Manual",$M432=1),$M432&gt;(ROW(PLE.lastrow)-ROW(PLE.firstrow))),0,IF(OFFSET(PLE!$G$14,$M432,BX$13)="",10^12,OFFSET(PLE!$G$14,$M432,BX$13))))</f>
        <v>1000000000000</v>
      </c>
      <c r="BY432" s="182">
        <f ca="1">IF($D432&lt;&gt;"Serviço",0,IF(OR(AND(AUTOEVENTO="Manual",$M432=1),$M432&gt;(ROW(PLE.lastrow)-ROW(PLE.firstrow))),0,IF(OFFSET(PLE!$G$14,$M432,BY$13)="",10^12,OFFSET(PLE!$G$14,$M432,BY$13))))</f>
        <v>1000000000000</v>
      </c>
      <c r="BZ432" s="182">
        <f ca="1">IF($D432&lt;&gt;"Serviço",0,IF(OR(AND(AUTOEVENTO="Manual",$M432=1),$M432&gt;(ROW(PLE.lastrow)-ROW(PLE.firstrow))),0,IF(OFFSET(PLE!$G$14,$M432,BZ$13)="",10^12,OFFSET(PLE!$G$14,$M432,BZ$13))))</f>
        <v>1000000000000</v>
      </c>
      <c r="CA432" s="182">
        <f ca="1">IF($D432&lt;&gt;"Serviço",0,IF(OR(AND(AUTOEVENTO="Manual",$M432=1),$M432&gt;(ROW(PLE.lastrow)-ROW(PLE.firstrow))),0,IF(OFFSET(PLE!$G$14,$M432,CA$13)="",10^12,OFFSET(PLE!$G$14,$M432,CA$13))))</f>
        <v>1000000000000</v>
      </c>
      <c r="CB432" s="182">
        <f ca="1">IF($D432&lt;&gt;"Serviço",0,IF(OR(AND(AUTOEVENTO="Manual",$M432=1),$M432&gt;(ROW(PLE.lastrow)-ROW(PLE.firstrow))),0,IF(OFFSET(PLE!$G$14,$M432,CB$13)="",10^12,OFFSET(PLE!$G$14,$M432,CB$13))))</f>
        <v>1000000000000</v>
      </c>
      <c r="CC432" s="182">
        <f ca="1">IF($D432&lt;&gt;"Serviço",0,IF(OR(AND(AUTOEVENTO="Manual",$M432=1),$M432&gt;(ROW(PLE.lastrow)-ROW(PLE.firstrow))),0,IF(OFFSET(PLE!$G$14,$M432,CC$13)="",10^12,OFFSET(PLE!$G$14,$M432,CC$13))))</f>
        <v>1000000000000</v>
      </c>
      <c r="CD432" s="182">
        <f ca="1">IF($D432&lt;&gt;"Serviço",0,IF(OR(AND(AUTOEVENTO="Manual",$M432=1),$M432&gt;(ROW(PLE.lastrow)-ROW(PLE.firstrow))),0,IF(OFFSET(PLE!$G$14,$M432,CD$13)="",10^12,OFFSET(PLE!$G$14,$M432,CD$13))))</f>
        <v>1000000000000</v>
      </c>
      <c r="CE432" s="182">
        <f ca="1">IF($D432&lt;&gt;"Serviço",0,IF(OR(AND(AUTOEVENTO="Manual",$M432=1),$M432&gt;(ROW(PLE.lastrow)-ROW(PLE.firstrow))),0,IF(OFFSET(PLE!$G$14,$M432,CE$13)="",10^12,OFFSET(PLE!$G$14,$M432,CE$13))))</f>
        <v>1000000000000</v>
      </c>
      <c r="CF432" s="182">
        <f ca="1">IF($D432&lt;&gt;"Serviço",0,IF(OR(AND(AUTOEVENTO="Manual",$M432=1),$M432&gt;(ROW(PLE.lastrow)-ROW(PLE.firstrow))),0,IF(OFFSET(PLE!$G$14,$M432,CF$13)="",10^12,OFFSET(PLE!$G$14,$M432,CF$13))))</f>
        <v>1000000000000</v>
      </c>
      <c r="CG432" s="182">
        <f ca="1">IF($D432&lt;&gt;"Serviço",0,IF(OR(AND(AUTOEVENTO="Manual",$M432=1),$M432&gt;(ROW(PLE.lastrow)-ROW(PLE.firstrow))),0,IF(OFFSET(PLE!$G$14,$M432,CG$13)="",10^12,OFFSET(PLE!$G$14,$M432,CG$13))))</f>
        <v>1000000000000</v>
      </c>
      <c r="CH432" s="182">
        <f ca="1">IF($D432&lt;&gt;"Serviço",0,IF(OR(AND(AUTOEVENTO="Manual",$M432=1),$M432&gt;(ROW(PLE.lastrow)-ROW(PLE.firstrow))),0,IF(OFFSET(PLE!$G$14,$M432,CH$13)="",10^12,OFFSET(PLE!$G$14,$M432,CH$13))))</f>
        <v>1000000000000</v>
      </c>
      <c r="CI432" s="182">
        <f ca="1">IF($D432&lt;&gt;"Serviço",0,IF(OR(AND(AUTOEVENTO="Manual",$M432=1),$M432&gt;(ROW(PLE.lastrow)-ROW(PLE.firstrow))),0,IF(OFFSET(PLE!$G$14,$M432,CI$13)="",10^12,OFFSET(PLE!$G$14,$M432,CI$13))))</f>
        <v>1000000000000</v>
      </c>
      <c r="CJ432" s="182">
        <f ca="1">IF($D432&lt;&gt;"Serviço",0,IF(OR(AND(AUTOEVENTO="Manual",$M432=1),$M432&gt;(ROW(PLE.lastrow)-ROW(PLE.firstrow))),0,IF(OFFSET(PLE!$G$14,$M432,CJ$13)="",10^12,OFFSET(PLE!$G$14,$M432,CJ$13))))</f>
        <v>1000000000000</v>
      </c>
      <c r="CK432" s="182">
        <f ca="1">IF($D432&lt;&gt;"Serviço",0,IF(OR(AND(AUTOEVENTO="Manual",$M432=1),$M432&gt;(ROW(PLE.lastrow)-ROW(PLE.firstrow))),0,IF(OFFSET(PLE!$G$14,$M432,CK$13)="",10^12,OFFSET(PLE!$G$14,$M432,CK$13))))</f>
        <v>1000000000000</v>
      </c>
      <c r="CL432" s="182">
        <f ca="1">IF($D432&lt;&gt;"Serviço",0,IF(OR(AND(AUTOEVENTO="Manual",$M432=1),$M432&gt;(ROW(PLE.lastrow)-ROW(PLE.firstrow))),0,IF(OFFSET(PLE!$G$14,$M432,CL$13)="",10^12,OFFSET(PLE!$G$14,$M432,CL$13))))</f>
        <v>1000000000000</v>
      </c>
      <c r="CM432" s="182">
        <f ca="1">IF($D432&lt;&gt;"Serviço",0,IF(OR(AND(AUTOEVENTO="Manual",$M432=1),$M432&gt;(ROW(PLE.lastrow)-ROW(PLE.firstrow))),0,IF(OFFSET(PLE!$G$14,$M432,CM$13)="",10^12,OFFSET(PLE!$G$14,$M432,CM$13))))</f>
        <v>1000000000000</v>
      </c>
    </row>
    <row r="433" spans="1:91" ht="38.25" x14ac:dyDescent="0.2">
      <c r="A433" s="7" t="str">
        <f t="shared" ca="1" si="14"/>
        <v>406</v>
      </c>
      <c r="B433" s="7" t="str">
        <f ca="1">OFFSET(ORÇAMENTO!C$15,ROW(B433)-ROW(B$15),0)</f>
        <v>S</v>
      </c>
      <c r="C433" s="7" t="str">
        <f ca="1">OFFSET(ORÇAMENTO!L$15,ROW(C433)-ROW(C$15),0)</f>
        <v/>
      </c>
      <c r="D433" s="118" t="str">
        <f ca="1">OFFSET(ORÇAMENTO!N$15,ROW(D433)-ROW(D$15),0)</f>
        <v>Serviço</v>
      </c>
      <c r="E433" s="119" t="str">
        <f ca="1">OFFSET(ORÇAMENTO!O$15,ROW(E433)-ROW(E$15),0)</f>
        <v>-</v>
      </c>
      <c r="F433" s="172" t="str">
        <f ca="1">OFFSET(ORÇAMENTO!R$15,ROW(F433)-ROW(F$15),0)</f>
        <v>(abra o arquivo 'Referência 06-2024.xlsm)</v>
      </c>
      <c r="G433" s="173" t="str">
        <f ca="1">IF($D433&lt;&gt;"Serviço","",OFFSET(ORÇAMENTO!S$15,ROW(G433)-ROW(G$15),0))</f>
        <v>-</v>
      </c>
      <c r="H433" s="124">
        <f ca="1">IF($D433&lt;&gt;"Serviço",0,IF(ACOMPANHAMENTO="BM",ROUND(OFFSET(ORÇAMENTO!AJ$15,ROW(H433)-ROW(H$15),0),15-13*ORÇAMENTO!$AF$7),SUMPRODUCT(($Q$12:$AI$12&lt;&gt;"")*ROUND($Q433:$AI433,15-13*ORÇAMENTO!$AF$7))))</f>
        <v>1</v>
      </c>
      <c r="I433" s="561" t="s">
        <v>1107</v>
      </c>
      <c r="K433" s="174"/>
      <c r="L433" s="175" t="s">
        <v>255</v>
      </c>
      <c r="M433" s="176">
        <f ca="1">IF($D433&lt;&gt;"Serviço","",IF(AUTOEVENTO="manual",$A433,IF(ISERROR(MATCH($A433,$A$15:OFFSET($A433,-1,0),0)),MAX($M$15:OFFSET(M433,-1,0))+1,INDEX($M$15:OFFSET(M433,-1,0),MATCH($A433,$A$15:OFFSET($A433,-1,0),0)))))</f>
        <v>48</v>
      </c>
      <c r="N433" s="177" t="str">
        <f ca="1">IF($D433&lt;&gt;"Serviço","",IF(AUTOEVENTO="Manual",IF($A433=0,"&lt;-- defina o número do agrupador",OFFSET(EVENTOS!$D$14,$A433,0)),OFFSET($F$15,$A433,0)))</f>
        <v>SISTEMA DE PROTEÇÃO CONTRA INCÊNDIO - ACESSÓRIOS</v>
      </c>
      <c r="O433" s="178"/>
      <c r="Q433" s="178">
        <v>1</v>
      </c>
      <c r="R433" s="179"/>
      <c r="S433" s="179"/>
      <c r="T433" s="179"/>
      <c r="U433" s="179"/>
      <c r="V433" s="179"/>
      <c r="W433" s="179"/>
      <c r="X433" s="179"/>
      <c r="Y433" s="179"/>
      <c r="Z433" s="180"/>
      <c r="AA433" s="179"/>
      <c r="AB433" s="179"/>
      <c r="AC433" s="179"/>
      <c r="AD433" s="179"/>
      <c r="AE433" s="179"/>
      <c r="AF433" s="179"/>
      <c r="AG433" s="179"/>
      <c r="AH433" s="180"/>
      <c r="AJ433" s="544">
        <f ca="1">IF(AND($D433="Serviço",AJ$12&lt;&gt;0,$H433&gt;0,OR(AUTOEVENTO&lt;&gt;"manual",$M433&lt;&gt;1)),
IF(Import.TipoArredondamento&lt;&gt;"TransfereGOV",
ROUND(OFFSET($P433,0,AJ$13),15-13*ORÇAMENTO!$AF$7)/$H433*OFFSET(ORÇAMENTO!$X$15,ROW(AJ433)-ROW(AJ$15),0),
ROUND(ROUND(OFFSET($P433,0,AJ$13),15-13*ORÇAMENTO!$AF$7)*OFFSET(ORÇAMENTO!$W$15,ROW(AJ433)-ROW(AJ$15),0),15-13*ORÇAMENTO!$AF$11)),0)</f>
        <v>0</v>
      </c>
      <c r="AK433" s="545">
        <f ca="1">IF(AND($D433="Serviço",AK$12&lt;&gt;0,$H433&gt;0,OR(AUTOEVENTO&lt;&gt;"manual",$M433&lt;&gt;1)),
IF(Import.TipoArredondamento&lt;&gt;"TransfereGOV",
ROUND(OFFSET($P433,0,AK$13),15-13*ORÇAMENTO!$AF$7)/$H433*OFFSET(ORÇAMENTO!$X$15,ROW(AK433)-ROW(AK$15),0),
ROUND(ROUND(OFFSET($P433,0,AK$13),15-13*ORÇAMENTO!$AF$7)*OFFSET(ORÇAMENTO!$W$15,ROW(AK433)-ROW(AK$15),0),15-13*ORÇAMENTO!$AF$11)),0)</f>
        <v>0</v>
      </c>
      <c r="AL433" s="545">
        <f ca="1">IF(AND($D433="Serviço",AL$12&lt;&gt;0,$H433&gt;0,OR(AUTOEVENTO&lt;&gt;"manual",$M433&lt;&gt;1)),
IF(Import.TipoArredondamento&lt;&gt;"TransfereGOV",
ROUND(OFFSET($P433,0,AL$13),15-13*ORÇAMENTO!$AF$7)/$H433*OFFSET(ORÇAMENTO!$X$15,ROW(AL433)-ROW(AL$15),0),
ROUND(ROUND(OFFSET($P433,0,AL$13),15-13*ORÇAMENTO!$AF$7)*OFFSET(ORÇAMENTO!$W$15,ROW(AL433)-ROW(AL$15),0),15-13*ORÇAMENTO!$AF$11)),0)</f>
        <v>0</v>
      </c>
      <c r="AM433" s="545">
        <f ca="1">IF(AND($D433="Serviço",AM$12&lt;&gt;0,$H433&gt;0,OR(AUTOEVENTO&lt;&gt;"manual",$M433&lt;&gt;1)),
IF(Import.TipoArredondamento&lt;&gt;"TransfereGOV",
ROUND(OFFSET($P433,0,AM$13),15-13*ORÇAMENTO!$AF$7)/$H433*OFFSET(ORÇAMENTO!$X$15,ROW(AM433)-ROW(AM$15),0),
ROUND(ROUND(OFFSET($P433,0,AM$13),15-13*ORÇAMENTO!$AF$7)*OFFSET(ORÇAMENTO!$W$15,ROW(AM433)-ROW(AM$15),0),15-13*ORÇAMENTO!$AF$11)),0)</f>
        <v>0</v>
      </c>
      <c r="AN433" s="545">
        <f ca="1">IF(AND($D433="Serviço",AN$12&lt;&gt;0,$H433&gt;0,OR(AUTOEVENTO&lt;&gt;"manual",$M433&lt;&gt;1)),
IF(Import.TipoArredondamento&lt;&gt;"TransfereGOV",
ROUND(OFFSET($P433,0,AN$13),15-13*ORÇAMENTO!$AF$7)/$H433*OFFSET(ORÇAMENTO!$X$15,ROW(AN433)-ROW(AN$15),0),
ROUND(ROUND(OFFSET($P433,0,AN$13),15-13*ORÇAMENTO!$AF$7)*OFFSET(ORÇAMENTO!$W$15,ROW(AN433)-ROW(AN$15),0),15-13*ORÇAMENTO!$AF$11)),0)</f>
        <v>0</v>
      </c>
      <c r="AO433" s="545">
        <f ca="1">IF(AND($D433="Serviço",AO$12&lt;&gt;0,$H433&gt;0,OR(AUTOEVENTO&lt;&gt;"manual",$M433&lt;&gt;1)),
IF(Import.TipoArredondamento&lt;&gt;"TransfereGOV",
ROUND(OFFSET($P433,0,AO$13),15-13*ORÇAMENTO!$AF$7)/$H433*OFFSET(ORÇAMENTO!$X$15,ROW(AO433)-ROW(AO$15),0),
ROUND(ROUND(OFFSET($P433,0,AO$13),15-13*ORÇAMENTO!$AF$7)*OFFSET(ORÇAMENTO!$W$15,ROW(AO433)-ROW(AO$15),0),15-13*ORÇAMENTO!$AF$11)),0)</f>
        <v>0</v>
      </c>
      <c r="AP433" s="545">
        <f ca="1">IF(AND($D433="Serviço",AP$12&lt;&gt;0,$H433&gt;0,OR(AUTOEVENTO&lt;&gt;"manual",$M433&lt;&gt;1)),
IF(Import.TipoArredondamento&lt;&gt;"TransfereGOV",
ROUND(OFFSET($P433,0,AP$13),15-13*ORÇAMENTO!$AF$7)/$H433*OFFSET(ORÇAMENTO!$X$15,ROW(AP433)-ROW(AP$15),0),
ROUND(ROUND(OFFSET($P433,0,AP$13),15-13*ORÇAMENTO!$AF$7)*OFFSET(ORÇAMENTO!$W$15,ROW(AP433)-ROW(AP$15),0),15-13*ORÇAMENTO!$AF$11)),0)</f>
        <v>0</v>
      </c>
      <c r="AQ433" s="545">
        <f ca="1">IF(AND($D433="Serviço",AQ$12&lt;&gt;0,$H433&gt;0,OR(AUTOEVENTO&lt;&gt;"manual",$M433&lt;&gt;1)),
IF(Import.TipoArredondamento&lt;&gt;"TransfereGOV",
ROUND(OFFSET($P433,0,AQ$13),15-13*ORÇAMENTO!$AF$7)/$H433*OFFSET(ORÇAMENTO!$X$15,ROW(AQ433)-ROW(AQ$15),0),
ROUND(ROUND(OFFSET($P433,0,AQ$13),15-13*ORÇAMENTO!$AF$7)*OFFSET(ORÇAMENTO!$W$15,ROW(AQ433)-ROW(AQ$15),0),15-13*ORÇAMENTO!$AF$11)),0)</f>
        <v>0</v>
      </c>
      <c r="AR433" s="545">
        <f ca="1">IF(AND($D433="Serviço",AR$12&lt;&gt;0,$H433&gt;0,OR(AUTOEVENTO&lt;&gt;"manual",$M433&lt;&gt;1)),
IF(Import.TipoArredondamento&lt;&gt;"TransfereGOV",
ROUND(OFFSET($P433,0,AR$13),15-13*ORÇAMENTO!$AF$7)/$H433*OFFSET(ORÇAMENTO!$X$15,ROW(AR433)-ROW(AR$15),0),
ROUND(ROUND(OFFSET($P433,0,AR$13),15-13*ORÇAMENTO!$AF$7)*OFFSET(ORÇAMENTO!$W$15,ROW(AR433)-ROW(AR$15),0),15-13*ORÇAMENTO!$AF$11)),0)</f>
        <v>0</v>
      </c>
      <c r="AS433" s="546">
        <f ca="1">IF(AND($D433="Serviço",AS$12&lt;&gt;0,$H433&gt;0,OR(AUTOEVENTO&lt;&gt;"manual",$M433&lt;&gt;1)),
IF(Import.TipoArredondamento&lt;&gt;"TransfereGOV",
ROUND(OFFSET($P433,0,AS$13),15-13*ORÇAMENTO!$AF$7)/$H433*OFFSET(ORÇAMENTO!$X$15,ROW(AS433)-ROW(AS$15),0),
ROUND(ROUND(OFFSET($P433,0,AS$13),15-13*ORÇAMENTO!$AF$7)*OFFSET(ORÇAMENTO!$W$15,ROW(AS433)-ROW(AS$15),0),15-13*ORÇAMENTO!$AF$11)),0)</f>
        <v>0</v>
      </c>
      <c r="AT433" s="545">
        <f ca="1">IF(AND($D433="Serviço",AT$12&lt;&gt;0,$H433&gt;0,OR(AUTOEVENTO&lt;&gt;"manual",$M433&lt;&gt;1)),
IF(Import.TipoArredondamento&lt;&gt;"TransfereGOV",
ROUND(OFFSET($P433,0,AT$13),15-13*ORÇAMENTO!$AF$7)/$H433*OFFSET(ORÇAMENTO!$X$15,ROW(AT433)-ROW(AT$15),0),
ROUND(ROUND(OFFSET($P433,0,AT$13),15-13*ORÇAMENTO!$AF$7)*OFFSET(ORÇAMENTO!$W$15,ROW(AT433)-ROW(AT$15),0),15-13*ORÇAMENTO!$AF$11)),0)</f>
        <v>0</v>
      </c>
      <c r="AU433" s="545">
        <f ca="1">IF(AND($D433="Serviço",AU$12&lt;&gt;0,$H433&gt;0,OR(AUTOEVENTO&lt;&gt;"manual",$M433&lt;&gt;1)),
IF(Import.TipoArredondamento&lt;&gt;"TransfereGOV",
ROUND(OFFSET($P433,0,AU$13),15-13*ORÇAMENTO!$AF$7)/$H433*OFFSET(ORÇAMENTO!$X$15,ROW(AU433)-ROW(AU$15),0),
ROUND(ROUND(OFFSET($P433,0,AU$13),15-13*ORÇAMENTO!$AF$7)*OFFSET(ORÇAMENTO!$W$15,ROW(AU433)-ROW(AU$15),0),15-13*ORÇAMENTO!$AF$11)),0)</f>
        <v>0</v>
      </c>
      <c r="AV433" s="545">
        <f ca="1">IF(AND($D433="Serviço",AV$12&lt;&gt;0,$H433&gt;0,OR(AUTOEVENTO&lt;&gt;"manual",$M433&lt;&gt;1)),
IF(Import.TipoArredondamento&lt;&gt;"TransfereGOV",
ROUND(OFFSET($P433,0,AV$13),15-13*ORÇAMENTO!$AF$7)/$H433*OFFSET(ORÇAMENTO!$X$15,ROW(AV433)-ROW(AV$15),0),
ROUND(ROUND(OFFSET($P433,0,AV$13),15-13*ORÇAMENTO!$AF$7)*OFFSET(ORÇAMENTO!$W$15,ROW(AV433)-ROW(AV$15),0),15-13*ORÇAMENTO!$AF$11)),0)</f>
        <v>0</v>
      </c>
      <c r="AW433" s="545">
        <f ca="1">IF(AND($D433="Serviço",AW$12&lt;&gt;0,$H433&gt;0,OR(AUTOEVENTO&lt;&gt;"manual",$M433&lt;&gt;1)),
IF(Import.TipoArredondamento&lt;&gt;"TransfereGOV",
ROUND(OFFSET($P433,0,AW$13),15-13*ORÇAMENTO!$AF$7)/$H433*OFFSET(ORÇAMENTO!$X$15,ROW(AW433)-ROW(AW$15),0),
ROUND(ROUND(OFFSET($P433,0,AW$13),15-13*ORÇAMENTO!$AF$7)*OFFSET(ORÇAMENTO!$W$15,ROW(AW433)-ROW(AW$15),0),15-13*ORÇAMENTO!$AF$11)),0)</f>
        <v>0</v>
      </c>
      <c r="AX433" s="545">
        <f ca="1">IF(AND($D433="Serviço",AX$12&lt;&gt;0,$H433&gt;0,OR(AUTOEVENTO&lt;&gt;"manual",$M433&lt;&gt;1)),
IF(Import.TipoArredondamento&lt;&gt;"TransfereGOV",
ROUND(OFFSET($P433,0,AX$13),15-13*ORÇAMENTO!$AF$7)/$H433*OFFSET(ORÇAMENTO!$X$15,ROW(AX433)-ROW(AX$15),0),
ROUND(ROUND(OFFSET($P433,0,AX$13),15-13*ORÇAMENTO!$AF$7)*OFFSET(ORÇAMENTO!$W$15,ROW(AX433)-ROW(AX$15),0),15-13*ORÇAMENTO!$AF$11)),0)</f>
        <v>0</v>
      </c>
      <c r="AY433" s="545">
        <f ca="1">IF(AND($D433="Serviço",AY$12&lt;&gt;0,$H433&gt;0,OR(AUTOEVENTO&lt;&gt;"manual",$M433&lt;&gt;1)),
IF(Import.TipoArredondamento&lt;&gt;"TransfereGOV",
ROUND(OFFSET($P433,0,AY$13),15-13*ORÇAMENTO!$AF$7)/$H433*OFFSET(ORÇAMENTO!$X$15,ROW(AY433)-ROW(AY$15),0),
ROUND(ROUND(OFFSET($P433,0,AY$13),15-13*ORÇAMENTO!$AF$7)*OFFSET(ORÇAMENTO!$W$15,ROW(AY433)-ROW(AY$15),0),15-13*ORÇAMENTO!$AF$11)),0)</f>
        <v>0</v>
      </c>
      <c r="AZ433" s="545">
        <f ca="1">IF(AND($D433="Serviço",AZ$12&lt;&gt;0,$H433&gt;0,OR(AUTOEVENTO&lt;&gt;"manual",$M433&lt;&gt;1)),
IF(Import.TipoArredondamento&lt;&gt;"TransfereGOV",
ROUND(OFFSET($P433,0,AZ$13),15-13*ORÇAMENTO!$AF$7)/$H433*OFFSET(ORÇAMENTO!$X$15,ROW(AZ433)-ROW(AZ$15),0),
ROUND(ROUND(OFFSET($P433,0,AZ$13),15-13*ORÇAMENTO!$AF$7)*OFFSET(ORÇAMENTO!$W$15,ROW(AZ433)-ROW(AZ$15),0),15-13*ORÇAMENTO!$AF$11)),0)</f>
        <v>0</v>
      </c>
      <c r="BA433" s="546">
        <f ca="1">IF(AND($D433="Serviço",BA$12&lt;&gt;0,$H433&gt;0,OR(AUTOEVENTO&lt;&gt;"manual",$M433&lt;&gt;1)),
IF(Import.TipoArredondamento&lt;&gt;"TransfereGOV",
ROUND(OFFSET($P433,0,BA$13),15-13*ORÇAMENTO!$AF$7)/$H433*OFFSET(ORÇAMENTO!$X$15,ROW(BA433)-ROW(BA$15),0),
ROUND(ROUND(OFFSET($P433,0,BA$13),15-13*ORÇAMENTO!$AF$7)*OFFSET(ORÇAMENTO!$W$15,ROW(BA433)-ROW(BA$15),0),15-13*ORÇAMENTO!$AF$11)),0)</f>
        <v>0</v>
      </c>
      <c r="BC433" s="181">
        <f ca="1">IF($D433&lt;&gt;"Serviço",0,IF(AND(AUTOEVENTO="Manual",$M433=1),0,IF(OFFSET(CRONOPLE!$F$14,$M433,BC$13)="",10^12,OFFSET(CRONOPLE!$F$14,$M433,BC$13))))</f>
        <v>10</v>
      </c>
      <c r="BD433" s="181">
        <f ca="1">IF($D433&lt;&gt;"Serviço",0,IF(AND(AUTOEVENTO="Manual",$M433=1),0,IF(OFFSET(CRONOPLE!$F$14,$M433,BD$13)="",10^12,OFFSET(CRONOPLE!$F$14,$M433,BD$13))))</f>
        <v>1000000000000</v>
      </c>
      <c r="BE433" s="181">
        <f ca="1">IF($D433&lt;&gt;"Serviço",0,IF(AND(AUTOEVENTO="Manual",$M433=1),0,IF(OFFSET(CRONOPLE!$F$14,$M433,BE$13)="",10^12,OFFSET(CRONOPLE!$F$14,$M433,BE$13))))</f>
        <v>1000000000000</v>
      </c>
      <c r="BF433" s="181">
        <f ca="1">IF($D433&lt;&gt;"Serviço",0,IF(AND(AUTOEVENTO="Manual",$M433=1),0,IF(OFFSET(CRONOPLE!$F$14,$M433,BF$13)="",10^12,OFFSET(CRONOPLE!$F$14,$M433,BF$13))))</f>
        <v>1000000000000</v>
      </c>
      <c r="BG433" s="181">
        <f ca="1">IF($D433&lt;&gt;"Serviço",0,IF(AND(AUTOEVENTO="Manual",$M433=1),0,IF(OFFSET(CRONOPLE!$F$14,$M433,BG$13)="",10^12,OFFSET(CRONOPLE!$F$14,$M433,BG$13))))</f>
        <v>1000000000000</v>
      </c>
      <c r="BH433" s="181">
        <f ca="1">IF($D433&lt;&gt;"Serviço",0,IF(AND(AUTOEVENTO="Manual",$M433=1),0,IF(OFFSET(CRONOPLE!$F$14,$M433,BH$13)="",10^12,OFFSET(CRONOPLE!$F$14,$M433,BH$13))))</f>
        <v>1000000000000</v>
      </c>
      <c r="BI433" s="181">
        <f ca="1">IF($D433&lt;&gt;"Serviço",0,IF(AND(AUTOEVENTO="Manual",$M433=1),0,IF(OFFSET(CRONOPLE!$F$14,$M433,BI$13)="",10^12,OFFSET(CRONOPLE!$F$14,$M433,BI$13))))</f>
        <v>1000000000000</v>
      </c>
      <c r="BJ433" s="181">
        <f ca="1">IF($D433&lt;&gt;"Serviço",0,IF(AND(AUTOEVENTO="Manual",$M433=1),0,IF(OFFSET(CRONOPLE!$F$14,$M433,BJ$13)="",10^12,OFFSET(CRONOPLE!$F$14,$M433,BJ$13))))</f>
        <v>1000000000000</v>
      </c>
      <c r="BK433" s="181">
        <f ca="1">IF($D433&lt;&gt;"Serviço",0,IF(AND(AUTOEVENTO="Manual",$M433=1),0,IF(OFFSET(CRONOPLE!$F$14,$M433,BK$13)="",10^12,OFFSET(CRONOPLE!$F$14,$M433,BK$13))))</f>
        <v>1000000000000</v>
      </c>
      <c r="BL433" s="181">
        <f ca="1">IF($D433&lt;&gt;"Serviço",0,IF(AND(AUTOEVENTO="Manual",$M433=1),0,IF(OFFSET(CRONOPLE!$F$14,$M433,BL$13)="",10^12,OFFSET(CRONOPLE!$F$14,$M433,BL$13))))</f>
        <v>1000000000000</v>
      </c>
      <c r="BM433" s="181">
        <f ca="1">IF($D433&lt;&gt;"Serviço",0,IF(AND(AUTOEVENTO="Manual",$M433=1),0,IF(OFFSET(CRONOPLE!$F$14,$M433,BM$13)="",10^12,OFFSET(CRONOPLE!$F$14,$M433,BM$13))))</f>
        <v>1000000000000</v>
      </c>
      <c r="BN433" s="181">
        <f ca="1">IF($D433&lt;&gt;"Serviço",0,IF(AND(AUTOEVENTO="Manual",$M433=1),0,IF(OFFSET(CRONOPLE!$F$14,$M433,BN$13)="",10^12,OFFSET(CRONOPLE!$F$14,$M433,BN$13))))</f>
        <v>1000000000000</v>
      </c>
      <c r="BO433" s="181">
        <f ca="1">IF($D433&lt;&gt;"Serviço",0,IF(AND(AUTOEVENTO="Manual",$M433=1),0,IF(OFFSET(CRONOPLE!$F$14,$M433,BO$13)="",10^12,OFFSET(CRONOPLE!$F$14,$M433,BO$13))))</f>
        <v>1000000000000</v>
      </c>
      <c r="BP433" s="181">
        <f ca="1">IF($D433&lt;&gt;"Serviço",0,IF(AND(AUTOEVENTO="Manual",$M433=1),0,IF(OFFSET(CRONOPLE!$F$14,$M433,BP$13)="",10^12,OFFSET(CRONOPLE!$F$14,$M433,BP$13))))</f>
        <v>1000000000000</v>
      </c>
      <c r="BQ433" s="181">
        <f ca="1">IF($D433&lt;&gt;"Serviço",0,IF(AND(AUTOEVENTO="Manual",$M433=1),0,IF(OFFSET(CRONOPLE!$F$14,$M433,BQ$13)="",10^12,OFFSET(CRONOPLE!$F$14,$M433,BQ$13))))</f>
        <v>1000000000000</v>
      </c>
      <c r="BR433" s="181">
        <f ca="1">IF($D433&lt;&gt;"Serviço",0,IF(AND(AUTOEVENTO="Manual",$M433=1),0,IF(OFFSET(CRONOPLE!$F$14,$M433,BR$13)="",10^12,OFFSET(CRONOPLE!$F$14,$M433,BR$13))))</f>
        <v>1000000000000</v>
      </c>
      <c r="BS433" s="181">
        <f ca="1">IF($D433&lt;&gt;"Serviço",0,IF(AND(AUTOEVENTO="Manual",$M433=1),0,IF(OFFSET(CRONOPLE!$F$14,$M433,BS$13)="",10^12,OFFSET(CRONOPLE!$F$14,$M433,BS$13))))</f>
        <v>1000000000000</v>
      </c>
      <c r="BT433" s="181">
        <f ca="1">IF($D433&lt;&gt;"Serviço",0,IF(AND(AUTOEVENTO="Manual",$M433=1),0,IF(OFFSET(CRONOPLE!$F$14,$M433,BT$13)="",10^12,OFFSET(CRONOPLE!$F$14,$M433,BT$13))))</f>
        <v>1000000000000</v>
      </c>
      <c r="BV433" s="182">
        <f ca="1">IF($D433&lt;&gt;"Serviço",0,IF(OR(AND(AUTOEVENTO="Manual",$M433=1),$M433&gt;(ROW(PLE.lastrow)-ROW(PLE.firstrow))),0,IF(OFFSET(PLE!$G$14,$M433,BV$13)="",10^12,OFFSET(PLE!$G$14,$M433,BV$13))))</f>
        <v>1000000000000</v>
      </c>
      <c r="BW433" s="182">
        <f ca="1">IF($D433&lt;&gt;"Serviço",0,IF(OR(AND(AUTOEVENTO="Manual",$M433=1),$M433&gt;(ROW(PLE.lastrow)-ROW(PLE.firstrow))),0,IF(OFFSET(PLE!$G$14,$M433,BW$13)="",10^12,OFFSET(PLE!$G$14,$M433,BW$13))))</f>
        <v>1000000000000</v>
      </c>
      <c r="BX433" s="182">
        <f ca="1">IF($D433&lt;&gt;"Serviço",0,IF(OR(AND(AUTOEVENTO="Manual",$M433=1),$M433&gt;(ROW(PLE.lastrow)-ROW(PLE.firstrow))),0,IF(OFFSET(PLE!$G$14,$M433,BX$13)="",10^12,OFFSET(PLE!$G$14,$M433,BX$13))))</f>
        <v>1000000000000</v>
      </c>
      <c r="BY433" s="182">
        <f ca="1">IF($D433&lt;&gt;"Serviço",0,IF(OR(AND(AUTOEVENTO="Manual",$M433=1),$M433&gt;(ROW(PLE.lastrow)-ROW(PLE.firstrow))),0,IF(OFFSET(PLE!$G$14,$M433,BY$13)="",10^12,OFFSET(PLE!$G$14,$M433,BY$13))))</f>
        <v>1000000000000</v>
      </c>
      <c r="BZ433" s="182">
        <f ca="1">IF($D433&lt;&gt;"Serviço",0,IF(OR(AND(AUTOEVENTO="Manual",$M433=1),$M433&gt;(ROW(PLE.lastrow)-ROW(PLE.firstrow))),0,IF(OFFSET(PLE!$G$14,$M433,BZ$13)="",10^12,OFFSET(PLE!$G$14,$M433,BZ$13))))</f>
        <v>1000000000000</v>
      </c>
      <c r="CA433" s="182">
        <f ca="1">IF($D433&lt;&gt;"Serviço",0,IF(OR(AND(AUTOEVENTO="Manual",$M433=1),$M433&gt;(ROW(PLE.lastrow)-ROW(PLE.firstrow))),0,IF(OFFSET(PLE!$G$14,$M433,CA$13)="",10^12,OFFSET(PLE!$G$14,$M433,CA$13))))</f>
        <v>1000000000000</v>
      </c>
      <c r="CB433" s="182">
        <f ca="1">IF($D433&lt;&gt;"Serviço",0,IF(OR(AND(AUTOEVENTO="Manual",$M433=1),$M433&gt;(ROW(PLE.lastrow)-ROW(PLE.firstrow))),0,IF(OFFSET(PLE!$G$14,$M433,CB$13)="",10^12,OFFSET(PLE!$G$14,$M433,CB$13))))</f>
        <v>1000000000000</v>
      </c>
      <c r="CC433" s="182">
        <f ca="1">IF($D433&lt;&gt;"Serviço",0,IF(OR(AND(AUTOEVENTO="Manual",$M433=1),$M433&gt;(ROW(PLE.lastrow)-ROW(PLE.firstrow))),0,IF(OFFSET(PLE!$G$14,$M433,CC$13)="",10^12,OFFSET(PLE!$G$14,$M433,CC$13))))</f>
        <v>1000000000000</v>
      </c>
      <c r="CD433" s="182">
        <f ca="1">IF($D433&lt;&gt;"Serviço",0,IF(OR(AND(AUTOEVENTO="Manual",$M433=1),$M433&gt;(ROW(PLE.lastrow)-ROW(PLE.firstrow))),0,IF(OFFSET(PLE!$G$14,$M433,CD$13)="",10^12,OFFSET(PLE!$G$14,$M433,CD$13))))</f>
        <v>1000000000000</v>
      </c>
      <c r="CE433" s="182">
        <f ca="1">IF($D433&lt;&gt;"Serviço",0,IF(OR(AND(AUTOEVENTO="Manual",$M433=1),$M433&gt;(ROW(PLE.lastrow)-ROW(PLE.firstrow))),0,IF(OFFSET(PLE!$G$14,$M433,CE$13)="",10^12,OFFSET(PLE!$G$14,$M433,CE$13))))</f>
        <v>1000000000000</v>
      </c>
      <c r="CF433" s="182">
        <f ca="1">IF($D433&lt;&gt;"Serviço",0,IF(OR(AND(AUTOEVENTO="Manual",$M433=1),$M433&gt;(ROW(PLE.lastrow)-ROW(PLE.firstrow))),0,IF(OFFSET(PLE!$G$14,$M433,CF$13)="",10^12,OFFSET(PLE!$G$14,$M433,CF$13))))</f>
        <v>1000000000000</v>
      </c>
      <c r="CG433" s="182">
        <f ca="1">IF($D433&lt;&gt;"Serviço",0,IF(OR(AND(AUTOEVENTO="Manual",$M433=1),$M433&gt;(ROW(PLE.lastrow)-ROW(PLE.firstrow))),0,IF(OFFSET(PLE!$G$14,$M433,CG$13)="",10^12,OFFSET(PLE!$G$14,$M433,CG$13))))</f>
        <v>1000000000000</v>
      </c>
      <c r="CH433" s="182">
        <f ca="1">IF($D433&lt;&gt;"Serviço",0,IF(OR(AND(AUTOEVENTO="Manual",$M433=1),$M433&gt;(ROW(PLE.lastrow)-ROW(PLE.firstrow))),0,IF(OFFSET(PLE!$G$14,$M433,CH$13)="",10^12,OFFSET(PLE!$G$14,$M433,CH$13))))</f>
        <v>1000000000000</v>
      </c>
      <c r="CI433" s="182">
        <f ca="1">IF($D433&lt;&gt;"Serviço",0,IF(OR(AND(AUTOEVENTO="Manual",$M433=1),$M433&gt;(ROW(PLE.lastrow)-ROW(PLE.firstrow))),0,IF(OFFSET(PLE!$G$14,$M433,CI$13)="",10^12,OFFSET(PLE!$G$14,$M433,CI$13))))</f>
        <v>1000000000000</v>
      </c>
      <c r="CJ433" s="182">
        <f ca="1">IF($D433&lt;&gt;"Serviço",0,IF(OR(AND(AUTOEVENTO="Manual",$M433=1),$M433&gt;(ROW(PLE.lastrow)-ROW(PLE.firstrow))),0,IF(OFFSET(PLE!$G$14,$M433,CJ$13)="",10^12,OFFSET(PLE!$G$14,$M433,CJ$13))))</f>
        <v>1000000000000</v>
      </c>
      <c r="CK433" s="182">
        <f ca="1">IF($D433&lt;&gt;"Serviço",0,IF(OR(AND(AUTOEVENTO="Manual",$M433=1),$M433&gt;(ROW(PLE.lastrow)-ROW(PLE.firstrow))),0,IF(OFFSET(PLE!$G$14,$M433,CK$13)="",10^12,OFFSET(PLE!$G$14,$M433,CK$13))))</f>
        <v>1000000000000</v>
      </c>
      <c r="CL433" s="182">
        <f ca="1">IF($D433&lt;&gt;"Serviço",0,IF(OR(AND(AUTOEVENTO="Manual",$M433=1),$M433&gt;(ROW(PLE.lastrow)-ROW(PLE.firstrow))),0,IF(OFFSET(PLE!$G$14,$M433,CL$13)="",10^12,OFFSET(PLE!$G$14,$M433,CL$13))))</f>
        <v>1000000000000</v>
      </c>
      <c r="CM433" s="182">
        <f ca="1">IF($D433&lt;&gt;"Serviço",0,IF(OR(AND(AUTOEVENTO="Manual",$M433=1),$M433&gt;(ROW(PLE.lastrow)-ROW(PLE.firstrow))),0,IF(OFFSET(PLE!$G$14,$M433,CM$13)="",10^12,OFFSET(PLE!$G$14,$M433,CM$13))))</f>
        <v>1000000000000</v>
      </c>
    </row>
    <row r="434" spans="1:91" ht="38.25" x14ac:dyDescent="0.2">
      <c r="A434" s="7" t="str">
        <f t="shared" ca="1" si="14"/>
        <v>406</v>
      </c>
      <c r="B434" s="7" t="str">
        <f ca="1">OFFSET(ORÇAMENTO!C$15,ROW(B434)-ROW(B$15),0)</f>
        <v>S</v>
      </c>
      <c r="C434" s="7" t="str">
        <f ca="1">OFFSET(ORÇAMENTO!L$15,ROW(C434)-ROW(C$15),0)</f>
        <v/>
      </c>
      <c r="D434" s="118" t="str">
        <f ca="1">OFFSET(ORÇAMENTO!N$15,ROW(D434)-ROW(D$15),0)</f>
        <v>Serviço</v>
      </c>
      <c r="E434" s="119" t="str">
        <f ca="1">OFFSET(ORÇAMENTO!O$15,ROW(E434)-ROW(E$15),0)</f>
        <v>-</v>
      </c>
      <c r="F434" s="172" t="str">
        <f ca="1">OFFSET(ORÇAMENTO!R$15,ROW(F434)-ROW(F$15),0)</f>
        <v>(abra o arquivo 'Referência 06-2024.xlsm)</v>
      </c>
      <c r="G434" s="173" t="str">
        <f ca="1">IF($D434&lt;&gt;"Serviço","",OFFSET(ORÇAMENTO!S$15,ROW(G434)-ROW(G$15),0))</f>
        <v>-</v>
      </c>
      <c r="H434" s="124">
        <f ca="1">IF($D434&lt;&gt;"Serviço",0,IF(ACOMPANHAMENTO="BM",ROUND(OFFSET(ORÇAMENTO!AJ$15,ROW(H434)-ROW(H$15),0),15-13*ORÇAMENTO!$AF$7),SUMPRODUCT(($Q$12:$AI$12&lt;&gt;"")*ROUND($Q434:$AI434,15-13*ORÇAMENTO!$AF$7))))</f>
        <v>1</v>
      </c>
      <c r="I434" s="561" t="s">
        <v>1107</v>
      </c>
      <c r="K434" s="174"/>
      <c r="L434" s="175" t="s">
        <v>255</v>
      </c>
      <c r="M434" s="176">
        <f ca="1">IF($D434&lt;&gt;"Serviço","",IF(AUTOEVENTO="manual",$A434,IF(ISERROR(MATCH($A434,$A$15:OFFSET($A434,-1,0),0)),MAX($M$15:OFFSET(M434,-1,0))+1,INDEX($M$15:OFFSET(M434,-1,0),MATCH($A434,$A$15:OFFSET($A434,-1,0),0)))))</f>
        <v>48</v>
      </c>
      <c r="N434" s="177" t="str">
        <f ca="1">IF($D434&lt;&gt;"Serviço","",IF(AUTOEVENTO="Manual",IF($A434=0,"&lt;-- defina o número do agrupador",OFFSET(EVENTOS!$D$14,$A434,0)),OFFSET($F$15,$A434,0)))</f>
        <v>SISTEMA DE PROTEÇÃO CONTRA INCÊNDIO - ACESSÓRIOS</v>
      </c>
      <c r="O434" s="178"/>
      <c r="Q434" s="178">
        <v>1</v>
      </c>
      <c r="R434" s="179"/>
      <c r="S434" s="179"/>
      <c r="T434" s="179"/>
      <c r="U434" s="179"/>
      <c r="V434" s="179"/>
      <c r="W434" s="179"/>
      <c r="X434" s="179"/>
      <c r="Y434" s="179"/>
      <c r="Z434" s="180"/>
      <c r="AA434" s="179"/>
      <c r="AB434" s="179"/>
      <c r="AC434" s="179"/>
      <c r="AD434" s="179"/>
      <c r="AE434" s="179"/>
      <c r="AF434" s="179"/>
      <c r="AG434" s="179"/>
      <c r="AH434" s="180"/>
      <c r="AJ434" s="544">
        <f ca="1">IF(AND($D434="Serviço",AJ$12&lt;&gt;0,$H434&gt;0,OR(AUTOEVENTO&lt;&gt;"manual",$M434&lt;&gt;1)),
IF(Import.TipoArredondamento&lt;&gt;"TransfereGOV",
ROUND(OFFSET($P434,0,AJ$13),15-13*ORÇAMENTO!$AF$7)/$H434*OFFSET(ORÇAMENTO!$X$15,ROW(AJ434)-ROW(AJ$15),0),
ROUND(ROUND(OFFSET($P434,0,AJ$13),15-13*ORÇAMENTO!$AF$7)*OFFSET(ORÇAMENTO!$W$15,ROW(AJ434)-ROW(AJ$15),0),15-13*ORÇAMENTO!$AF$11)),0)</f>
        <v>0</v>
      </c>
      <c r="AK434" s="545">
        <f ca="1">IF(AND($D434="Serviço",AK$12&lt;&gt;0,$H434&gt;0,OR(AUTOEVENTO&lt;&gt;"manual",$M434&lt;&gt;1)),
IF(Import.TipoArredondamento&lt;&gt;"TransfereGOV",
ROUND(OFFSET($P434,0,AK$13),15-13*ORÇAMENTO!$AF$7)/$H434*OFFSET(ORÇAMENTO!$X$15,ROW(AK434)-ROW(AK$15),0),
ROUND(ROUND(OFFSET($P434,0,AK$13),15-13*ORÇAMENTO!$AF$7)*OFFSET(ORÇAMENTO!$W$15,ROW(AK434)-ROW(AK$15),0),15-13*ORÇAMENTO!$AF$11)),0)</f>
        <v>0</v>
      </c>
      <c r="AL434" s="545">
        <f ca="1">IF(AND($D434="Serviço",AL$12&lt;&gt;0,$H434&gt;0,OR(AUTOEVENTO&lt;&gt;"manual",$M434&lt;&gt;1)),
IF(Import.TipoArredondamento&lt;&gt;"TransfereGOV",
ROUND(OFFSET($P434,0,AL$13),15-13*ORÇAMENTO!$AF$7)/$H434*OFFSET(ORÇAMENTO!$X$15,ROW(AL434)-ROW(AL$15),0),
ROUND(ROUND(OFFSET($P434,0,AL$13),15-13*ORÇAMENTO!$AF$7)*OFFSET(ORÇAMENTO!$W$15,ROW(AL434)-ROW(AL$15),0),15-13*ORÇAMENTO!$AF$11)),0)</f>
        <v>0</v>
      </c>
      <c r="AM434" s="545">
        <f ca="1">IF(AND($D434="Serviço",AM$12&lt;&gt;0,$H434&gt;0,OR(AUTOEVENTO&lt;&gt;"manual",$M434&lt;&gt;1)),
IF(Import.TipoArredondamento&lt;&gt;"TransfereGOV",
ROUND(OFFSET($P434,0,AM$13),15-13*ORÇAMENTO!$AF$7)/$H434*OFFSET(ORÇAMENTO!$X$15,ROW(AM434)-ROW(AM$15),0),
ROUND(ROUND(OFFSET($P434,0,AM$13),15-13*ORÇAMENTO!$AF$7)*OFFSET(ORÇAMENTO!$W$15,ROW(AM434)-ROW(AM$15),0),15-13*ORÇAMENTO!$AF$11)),0)</f>
        <v>0</v>
      </c>
      <c r="AN434" s="545">
        <f ca="1">IF(AND($D434="Serviço",AN$12&lt;&gt;0,$H434&gt;0,OR(AUTOEVENTO&lt;&gt;"manual",$M434&lt;&gt;1)),
IF(Import.TipoArredondamento&lt;&gt;"TransfereGOV",
ROUND(OFFSET($P434,0,AN$13),15-13*ORÇAMENTO!$AF$7)/$H434*OFFSET(ORÇAMENTO!$X$15,ROW(AN434)-ROW(AN$15),0),
ROUND(ROUND(OFFSET($P434,0,AN$13),15-13*ORÇAMENTO!$AF$7)*OFFSET(ORÇAMENTO!$W$15,ROW(AN434)-ROW(AN$15),0),15-13*ORÇAMENTO!$AF$11)),0)</f>
        <v>0</v>
      </c>
      <c r="AO434" s="545">
        <f ca="1">IF(AND($D434="Serviço",AO$12&lt;&gt;0,$H434&gt;0,OR(AUTOEVENTO&lt;&gt;"manual",$M434&lt;&gt;1)),
IF(Import.TipoArredondamento&lt;&gt;"TransfereGOV",
ROUND(OFFSET($P434,0,AO$13),15-13*ORÇAMENTO!$AF$7)/$H434*OFFSET(ORÇAMENTO!$X$15,ROW(AO434)-ROW(AO$15),0),
ROUND(ROUND(OFFSET($P434,0,AO$13),15-13*ORÇAMENTO!$AF$7)*OFFSET(ORÇAMENTO!$W$15,ROW(AO434)-ROW(AO$15),0),15-13*ORÇAMENTO!$AF$11)),0)</f>
        <v>0</v>
      </c>
      <c r="AP434" s="545">
        <f ca="1">IF(AND($D434="Serviço",AP$12&lt;&gt;0,$H434&gt;0,OR(AUTOEVENTO&lt;&gt;"manual",$M434&lt;&gt;1)),
IF(Import.TipoArredondamento&lt;&gt;"TransfereGOV",
ROUND(OFFSET($P434,0,AP$13),15-13*ORÇAMENTO!$AF$7)/$H434*OFFSET(ORÇAMENTO!$X$15,ROW(AP434)-ROW(AP$15),0),
ROUND(ROUND(OFFSET($P434,0,AP$13),15-13*ORÇAMENTO!$AF$7)*OFFSET(ORÇAMENTO!$W$15,ROW(AP434)-ROW(AP$15),0),15-13*ORÇAMENTO!$AF$11)),0)</f>
        <v>0</v>
      </c>
      <c r="AQ434" s="545">
        <f ca="1">IF(AND($D434="Serviço",AQ$12&lt;&gt;0,$H434&gt;0,OR(AUTOEVENTO&lt;&gt;"manual",$M434&lt;&gt;1)),
IF(Import.TipoArredondamento&lt;&gt;"TransfereGOV",
ROUND(OFFSET($P434,0,AQ$13),15-13*ORÇAMENTO!$AF$7)/$H434*OFFSET(ORÇAMENTO!$X$15,ROW(AQ434)-ROW(AQ$15),0),
ROUND(ROUND(OFFSET($P434,0,AQ$13),15-13*ORÇAMENTO!$AF$7)*OFFSET(ORÇAMENTO!$W$15,ROW(AQ434)-ROW(AQ$15),0),15-13*ORÇAMENTO!$AF$11)),0)</f>
        <v>0</v>
      </c>
      <c r="AR434" s="545">
        <f ca="1">IF(AND($D434="Serviço",AR$12&lt;&gt;0,$H434&gt;0,OR(AUTOEVENTO&lt;&gt;"manual",$M434&lt;&gt;1)),
IF(Import.TipoArredondamento&lt;&gt;"TransfereGOV",
ROUND(OFFSET($P434,0,AR$13),15-13*ORÇAMENTO!$AF$7)/$H434*OFFSET(ORÇAMENTO!$X$15,ROW(AR434)-ROW(AR$15),0),
ROUND(ROUND(OFFSET($P434,0,AR$13),15-13*ORÇAMENTO!$AF$7)*OFFSET(ORÇAMENTO!$W$15,ROW(AR434)-ROW(AR$15),0),15-13*ORÇAMENTO!$AF$11)),0)</f>
        <v>0</v>
      </c>
      <c r="AS434" s="546">
        <f ca="1">IF(AND($D434="Serviço",AS$12&lt;&gt;0,$H434&gt;0,OR(AUTOEVENTO&lt;&gt;"manual",$M434&lt;&gt;1)),
IF(Import.TipoArredondamento&lt;&gt;"TransfereGOV",
ROUND(OFFSET($P434,0,AS$13),15-13*ORÇAMENTO!$AF$7)/$H434*OFFSET(ORÇAMENTO!$X$15,ROW(AS434)-ROW(AS$15),0),
ROUND(ROUND(OFFSET($P434,0,AS$13),15-13*ORÇAMENTO!$AF$7)*OFFSET(ORÇAMENTO!$W$15,ROW(AS434)-ROW(AS$15),0),15-13*ORÇAMENTO!$AF$11)),0)</f>
        <v>0</v>
      </c>
      <c r="AT434" s="545">
        <f ca="1">IF(AND($D434="Serviço",AT$12&lt;&gt;0,$H434&gt;0,OR(AUTOEVENTO&lt;&gt;"manual",$M434&lt;&gt;1)),
IF(Import.TipoArredondamento&lt;&gt;"TransfereGOV",
ROUND(OFFSET($P434,0,AT$13),15-13*ORÇAMENTO!$AF$7)/$H434*OFFSET(ORÇAMENTO!$X$15,ROW(AT434)-ROW(AT$15),0),
ROUND(ROUND(OFFSET($P434,0,AT$13),15-13*ORÇAMENTO!$AF$7)*OFFSET(ORÇAMENTO!$W$15,ROW(AT434)-ROW(AT$15),0),15-13*ORÇAMENTO!$AF$11)),0)</f>
        <v>0</v>
      </c>
      <c r="AU434" s="545">
        <f ca="1">IF(AND($D434="Serviço",AU$12&lt;&gt;0,$H434&gt;0,OR(AUTOEVENTO&lt;&gt;"manual",$M434&lt;&gt;1)),
IF(Import.TipoArredondamento&lt;&gt;"TransfereGOV",
ROUND(OFFSET($P434,0,AU$13),15-13*ORÇAMENTO!$AF$7)/$H434*OFFSET(ORÇAMENTO!$X$15,ROW(AU434)-ROW(AU$15),0),
ROUND(ROUND(OFFSET($P434,0,AU$13),15-13*ORÇAMENTO!$AF$7)*OFFSET(ORÇAMENTO!$W$15,ROW(AU434)-ROW(AU$15),0),15-13*ORÇAMENTO!$AF$11)),0)</f>
        <v>0</v>
      </c>
      <c r="AV434" s="545">
        <f ca="1">IF(AND($D434="Serviço",AV$12&lt;&gt;0,$H434&gt;0,OR(AUTOEVENTO&lt;&gt;"manual",$M434&lt;&gt;1)),
IF(Import.TipoArredondamento&lt;&gt;"TransfereGOV",
ROUND(OFFSET($P434,0,AV$13),15-13*ORÇAMENTO!$AF$7)/$H434*OFFSET(ORÇAMENTO!$X$15,ROW(AV434)-ROW(AV$15),0),
ROUND(ROUND(OFFSET($P434,0,AV$13),15-13*ORÇAMENTO!$AF$7)*OFFSET(ORÇAMENTO!$W$15,ROW(AV434)-ROW(AV$15),0),15-13*ORÇAMENTO!$AF$11)),0)</f>
        <v>0</v>
      </c>
      <c r="AW434" s="545">
        <f ca="1">IF(AND($D434="Serviço",AW$12&lt;&gt;0,$H434&gt;0,OR(AUTOEVENTO&lt;&gt;"manual",$M434&lt;&gt;1)),
IF(Import.TipoArredondamento&lt;&gt;"TransfereGOV",
ROUND(OFFSET($P434,0,AW$13),15-13*ORÇAMENTO!$AF$7)/$H434*OFFSET(ORÇAMENTO!$X$15,ROW(AW434)-ROW(AW$15),0),
ROUND(ROUND(OFFSET($P434,0,AW$13),15-13*ORÇAMENTO!$AF$7)*OFFSET(ORÇAMENTO!$W$15,ROW(AW434)-ROW(AW$15),0),15-13*ORÇAMENTO!$AF$11)),0)</f>
        <v>0</v>
      </c>
      <c r="AX434" s="545">
        <f ca="1">IF(AND($D434="Serviço",AX$12&lt;&gt;0,$H434&gt;0,OR(AUTOEVENTO&lt;&gt;"manual",$M434&lt;&gt;1)),
IF(Import.TipoArredondamento&lt;&gt;"TransfereGOV",
ROUND(OFFSET($P434,0,AX$13),15-13*ORÇAMENTO!$AF$7)/$H434*OFFSET(ORÇAMENTO!$X$15,ROW(AX434)-ROW(AX$15),0),
ROUND(ROUND(OFFSET($P434,0,AX$13),15-13*ORÇAMENTO!$AF$7)*OFFSET(ORÇAMENTO!$W$15,ROW(AX434)-ROW(AX$15),0),15-13*ORÇAMENTO!$AF$11)),0)</f>
        <v>0</v>
      </c>
      <c r="AY434" s="545">
        <f ca="1">IF(AND($D434="Serviço",AY$12&lt;&gt;0,$H434&gt;0,OR(AUTOEVENTO&lt;&gt;"manual",$M434&lt;&gt;1)),
IF(Import.TipoArredondamento&lt;&gt;"TransfereGOV",
ROUND(OFFSET($P434,0,AY$13),15-13*ORÇAMENTO!$AF$7)/$H434*OFFSET(ORÇAMENTO!$X$15,ROW(AY434)-ROW(AY$15),0),
ROUND(ROUND(OFFSET($P434,0,AY$13),15-13*ORÇAMENTO!$AF$7)*OFFSET(ORÇAMENTO!$W$15,ROW(AY434)-ROW(AY$15),0),15-13*ORÇAMENTO!$AF$11)),0)</f>
        <v>0</v>
      </c>
      <c r="AZ434" s="545">
        <f ca="1">IF(AND($D434="Serviço",AZ$12&lt;&gt;0,$H434&gt;0,OR(AUTOEVENTO&lt;&gt;"manual",$M434&lt;&gt;1)),
IF(Import.TipoArredondamento&lt;&gt;"TransfereGOV",
ROUND(OFFSET($P434,0,AZ$13),15-13*ORÇAMENTO!$AF$7)/$H434*OFFSET(ORÇAMENTO!$X$15,ROW(AZ434)-ROW(AZ$15),0),
ROUND(ROUND(OFFSET($P434,0,AZ$13),15-13*ORÇAMENTO!$AF$7)*OFFSET(ORÇAMENTO!$W$15,ROW(AZ434)-ROW(AZ$15),0),15-13*ORÇAMENTO!$AF$11)),0)</f>
        <v>0</v>
      </c>
      <c r="BA434" s="546">
        <f ca="1">IF(AND($D434="Serviço",BA$12&lt;&gt;0,$H434&gt;0,OR(AUTOEVENTO&lt;&gt;"manual",$M434&lt;&gt;1)),
IF(Import.TipoArredondamento&lt;&gt;"TransfereGOV",
ROUND(OFFSET($P434,0,BA$13),15-13*ORÇAMENTO!$AF$7)/$H434*OFFSET(ORÇAMENTO!$X$15,ROW(BA434)-ROW(BA$15),0),
ROUND(ROUND(OFFSET($P434,0,BA$13),15-13*ORÇAMENTO!$AF$7)*OFFSET(ORÇAMENTO!$W$15,ROW(BA434)-ROW(BA$15),0),15-13*ORÇAMENTO!$AF$11)),0)</f>
        <v>0</v>
      </c>
      <c r="BC434" s="181">
        <f ca="1">IF($D434&lt;&gt;"Serviço",0,IF(AND(AUTOEVENTO="Manual",$M434=1),0,IF(OFFSET(CRONOPLE!$F$14,$M434,BC$13)="",10^12,OFFSET(CRONOPLE!$F$14,$M434,BC$13))))</f>
        <v>10</v>
      </c>
      <c r="BD434" s="181">
        <f ca="1">IF($D434&lt;&gt;"Serviço",0,IF(AND(AUTOEVENTO="Manual",$M434=1),0,IF(OFFSET(CRONOPLE!$F$14,$M434,BD$13)="",10^12,OFFSET(CRONOPLE!$F$14,$M434,BD$13))))</f>
        <v>1000000000000</v>
      </c>
      <c r="BE434" s="181">
        <f ca="1">IF($D434&lt;&gt;"Serviço",0,IF(AND(AUTOEVENTO="Manual",$M434=1),0,IF(OFFSET(CRONOPLE!$F$14,$M434,BE$13)="",10^12,OFFSET(CRONOPLE!$F$14,$M434,BE$13))))</f>
        <v>1000000000000</v>
      </c>
      <c r="BF434" s="181">
        <f ca="1">IF($D434&lt;&gt;"Serviço",0,IF(AND(AUTOEVENTO="Manual",$M434=1),0,IF(OFFSET(CRONOPLE!$F$14,$M434,BF$13)="",10^12,OFFSET(CRONOPLE!$F$14,$M434,BF$13))))</f>
        <v>1000000000000</v>
      </c>
      <c r="BG434" s="181">
        <f ca="1">IF($D434&lt;&gt;"Serviço",0,IF(AND(AUTOEVENTO="Manual",$M434=1),0,IF(OFFSET(CRONOPLE!$F$14,$M434,BG$13)="",10^12,OFFSET(CRONOPLE!$F$14,$M434,BG$13))))</f>
        <v>1000000000000</v>
      </c>
      <c r="BH434" s="181">
        <f ca="1">IF($D434&lt;&gt;"Serviço",0,IF(AND(AUTOEVENTO="Manual",$M434=1),0,IF(OFFSET(CRONOPLE!$F$14,$M434,BH$13)="",10^12,OFFSET(CRONOPLE!$F$14,$M434,BH$13))))</f>
        <v>1000000000000</v>
      </c>
      <c r="BI434" s="181">
        <f ca="1">IF($D434&lt;&gt;"Serviço",0,IF(AND(AUTOEVENTO="Manual",$M434=1),0,IF(OFFSET(CRONOPLE!$F$14,$M434,BI$13)="",10^12,OFFSET(CRONOPLE!$F$14,$M434,BI$13))))</f>
        <v>1000000000000</v>
      </c>
      <c r="BJ434" s="181">
        <f ca="1">IF($D434&lt;&gt;"Serviço",0,IF(AND(AUTOEVENTO="Manual",$M434=1),0,IF(OFFSET(CRONOPLE!$F$14,$M434,BJ$13)="",10^12,OFFSET(CRONOPLE!$F$14,$M434,BJ$13))))</f>
        <v>1000000000000</v>
      </c>
      <c r="BK434" s="181">
        <f ca="1">IF($D434&lt;&gt;"Serviço",0,IF(AND(AUTOEVENTO="Manual",$M434=1),0,IF(OFFSET(CRONOPLE!$F$14,$M434,BK$13)="",10^12,OFFSET(CRONOPLE!$F$14,$M434,BK$13))))</f>
        <v>1000000000000</v>
      </c>
      <c r="BL434" s="181">
        <f ca="1">IF($D434&lt;&gt;"Serviço",0,IF(AND(AUTOEVENTO="Manual",$M434=1),0,IF(OFFSET(CRONOPLE!$F$14,$M434,BL$13)="",10^12,OFFSET(CRONOPLE!$F$14,$M434,BL$13))))</f>
        <v>1000000000000</v>
      </c>
      <c r="BM434" s="181">
        <f ca="1">IF($D434&lt;&gt;"Serviço",0,IF(AND(AUTOEVENTO="Manual",$M434=1),0,IF(OFFSET(CRONOPLE!$F$14,$M434,BM$13)="",10^12,OFFSET(CRONOPLE!$F$14,$M434,BM$13))))</f>
        <v>1000000000000</v>
      </c>
      <c r="BN434" s="181">
        <f ca="1">IF($D434&lt;&gt;"Serviço",0,IF(AND(AUTOEVENTO="Manual",$M434=1),0,IF(OFFSET(CRONOPLE!$F$14,$M434,BN$13)="",10^12,OFFSET(CRONOPLE!$F$14,$M434,BN$13))))</f>
        <v>1000000000000</v>
      </c>
      <c r="BO434" s="181">
        <f ca="1">IF($D434&lt;&gt;"Serviço",0,IF(AND(AUTOEVENTO="Manual",$M434=1),0,IF(OFFSET(CRONOPLE!$F$14,$M434,BO$13)="",10^12,OFFSET(CRONOPLE!$F$14,$M434,BO$13))))</f>
        <v>1000000000000</v>
      </c>
      <c r="BP434" s="181">
        <f ca="1">IF($D434&lt;&gt;"Serviço",0,IF(AND(AUTOEVENTO="Manual",$M434=1),0,IF(OFFSET(CRONOPLE!$F$14,$M434,BP$13)="",10^12,OFFSET(CRONOPLE!$F$14,$M434,BP$13))))</f>
        <v>1000000000000</v>
      </c>
      <c r="BQ434" s="181">
        <f ca="1">IF($D434&lt;&gt;"Serviço",0,IF(AND(AUTOEVENTO="Manual",$M434=1),0,IF(OFFSET(CRONOPLE!$F$14,$M434,BQ$13)="",10^12,OFFSET(CRONOPLE!$F$14,$M434,BQ$13))))</f>
        <v>1000000000000</v>
      </c>
      <c r="BR434" s="181">
        <f ca="1">IF($D434&lt;&gt;"Serviço",0,IF(AND(AUTOEVENTO="Manual",$M434=1),0,IF(OFFSET(CRONOPLE!$F$14,$M434,BR$13)="",10^12,OFFSET(CRONOPLE!$F$14,$M434,BR$13))))</f>
        <v>1000000000000</v>
      </c>
      <c r="BS434" s="181">
        <f ca="1">IF($D434&lt;&gt;"Serviço",0,IF(AND(AUTOEVENTO="Manual",$M434=1),0,IF(OFFSET(CRONOPLE!$F$14,$M434,BS$13)="",10^12,OFFSET(CRONOPLE!$F$14,$M434,BS$13))))</f>
        <v>1000000000000</v>
      </c>
      <c r="BT434" s="181">
        <f ca="1">IF($D434&lt;&gt;"Serviço",0,IF(AND(AUTOEVENTO="Manual",$M434=1),0,IF(OFFSET(CRONOPLE!$F$14,$M434,BT$13)="",10^12,OFFSET(CRONOPLE!$F$14,$M434,BT$13))))</f>
        <v>1000000000000</v>
      </c>
      <c r="BV434" s="182">
        <f ca="1">IF($D434&lt;&gt;"Serviço",0,IF(OR(AND(AUTOEVENTO="Manual",$M434=1),$M434&gt;(ROW(PLE.lastrow)-ROW(PLE.firstrow))),0,IF(OFFSET(PLE!$G$14,$M434,BV$13)="",10^12,OFFSET(PLE!$G$14,$M434,BV$13))))</f>
        <v>1000000000000</v>
      </c>
      <c r="BW434" s="182">
        <f ca="1">IF($D434&lt;&gt;"Serviço",0,IF(OR(AND(AUTOEVENTO="Manual",$M434=1),$M434&gt;(ROW(PLE.lastrow)-ROW(PLE.firstrow))),0,IF(OFFSET(PLE!$G$14,$M434,BW$13)="",10^12,OFFSET(PLE!$G$14,$M434,BW$13))))</f>
        <v>1000000000000</v>
      </c>
      <c r="BX434" s="182">
        <f ca="1">IF($D434&lt;&gt;"Serviço",0,IF(OR(AND(AUTOEVENTO="Manual",$M434=1),$M434&gt;(ROW(PLE.lastrow)-ROW(PLE.firstrow))),0,IF(OFFSET(PLE!$G$14,$M434,BX$13)="",10^12,OFFSET(PLE!$G$14,$M434,BX$13))))</f>
        <v>1000000000000</v>
      </c>
      <c r="BY434" s="182">
        <f ca="1">IF($D434&lt;&gt;"Serviço",0,IF(OR(AND(AUTOEVENTO="Manual",$M434=1),$M434&gt;(ROW(PLE.lastrow)-ROW(PLE.firstrow))),0,IF(OFFSET(PLE!$G$14,$M434,BY$13)="",10^12,OFFSET(PLE!$G$14,$M434,BY$13))))</f>
        <v>1000000000000</v>
      </c>
      <c r="BZ434" s="182">
        <f ca="1">IF($D434&lt;&gt;"Serviço",0,IF(OR(AND(AUTOEVENTO="Manual",$M434=1),$M434&gt;(ROW(PLE.lastrow)-ROW(PLE.firstrow))),0,IF(OFFSET(PLE!$G$14,$M434,BZ$13)="",10^12,OFFSET(PLE!$G$14,$M434,BZ$13))))</f>
        <v>1000000000000</v>
      </c>
      <c r="CA434" s="182">
        <f ca="1">IF($D434&lt;&gt;"Serviço",0,IF(OR(AND(AUTOEVENTO="Manual",$M434=1),$M434&gt;(ROW(PLE.lastrow)-ROW(PLE.firstrow))),0,IF(OFFSET(PLE!$G$14,$M434,CA$13)="",10^12,OFFSET(PLE!$G$14,$M434,CA$13))))</f>
        <v>1000000000000</v>
      </c>
      <c r="CB434" s="182">
        <f ca="1">IF($D434&lt;&gt;"Serviço",0,IF(OR(AND(AUTOEVENTO="Manual",$M434=1),$M434&gt;(ROW(PLE.lastrow)-ROW(PLE.firstrow))),0,IF(OFFSET(PLE!$G$14,$M434,CB$13)="",10^12,OFFSET(PLE!$G$14,$M434,CB$13))))</f>
        <v>1000000000000</v>
      </c>
      <c r="CC434" s="182">
        <f ca="1">IF($D434&lt;&gt;"Serviço",0,IF(OR(AND(AUTOEVENTO="Manual",$M434=1),$M434&gt;(ROW(PLE.lastrow)-ROW(PLE.firstrow))),0,IF(OFFSET(PLE!$G$14,$M434,CC$13)="",10^12,OFFSET(PLE!$G$14,$M434,CC$13))))</f>
        <v>1000000000000</v>
      </c>
      <c r="CD434" s="182">
        <f ca="1">IF($D434&lt;&gt;"Serviço",0,IF(OR(AND(AUTOEVENTO="Manual",$M434=1),$M434&gt;(ROW(PLE.lastrow)-ROW(PLE.firstrow))),0,IF(OFFSET(PLE!$G$14,$M434,CD$13)="",10^12,OFFSET(PLE!$G$14,$M434,CD$13))))</f>
        <v>1000000000000</v>
      </c>
      <c r="CE434" s="182">
        <f ca="1">IF($D434&lt;&gt;"Serviço",0,IF(OR(AND(AUTOEVENTO="Manual",$M434=1),$M434&gt;(ROW(PLE.lastrow)-ROW(PLE.firstrow))),0,IF(OFFSET(PLE!$G$14,$M434,CE$13)="",10^12,OFFSET(PLE!$G$14,$M434,CE$13))))</f>
        <v>1000000000000</v>
      </c>
      <c r="CF434" s="182">
        <f ca="1">IF($D434&lt;&gt;"Serviço",0,IF(OR(AND(AUTOEVENTO="Manual",$M434=1),$M434&gt;(ROW(PLE.lastrow)-ROW(PLE.firstrow))),0,IF(OFFSET(PLE!$G$14,$M434,CF$13)="",10^12,OFFSET(PLE!$G$14,$M434,CF$13))))</f>
        <v>1000000000000</v>
      </c>
      <c r="CG434" s="182">
        <f ca="1">IF($D434&lt;&gt;"Serviço",0,IF(OR(AND(AUTOEVENTO="Manual",$M434=1),$M434&gt;(ROW(PLE.lastrow)-ROW(PLE.firstrow))),0,IF(OFFSET(PLE!$G$14,$M434,CG$13)="",10^12,OFFSET(PLE!$G$14,$M434,CG$13))))</f>
        <v>1000000000000</v>
      </c>
      <c r="CH434" s="182">
        <f ca="1">IF($D434&lt;&gt;"Serviço",0,IF(OR(AND(AUTOEVENTO="Manual",$M434=1),$M434&gt;(ROW(PLE.lastrow)-ROW(PLE.firstrow))),0,IF(OFFSET(PLE!$G$14,$M434,CH$13)="",10^12,OFFSET(PLE!$G$14,$M434,CH$13))))</f>
        <v>1000000000000</v>
      </c>
      <c r="CI434" s="182">
        <f ca="1">IF($D434&lt;&gt;"Serviço",0,IF(OR(AND(AUTOEVENTO="Manual",$M434=1),$M434&gt;(ROW(PLE.lastrow)-ROW(PLE.firstrow))),0,IF(OFFSET(PLE!$G$14,$M434,CI$13)="",10^12,OFFSET(PLE!$G$14,$M434,CI$13))))</f>
        <v>1000000000000</v>
      </c>
      <c r="CJ434" s="182">
        <f ca="1">IF($D434&lt;&gt;"Serviço",0,IF(OR(AND(AUTOEVENTO="Manual",$M434=1),$M434&gt;(ROW(PLE.lastrow)-ROW(PLE.firstrow))),0,IF(OFFSET(PLE!$G$14,$M434,CJ$13)="",10^12,OFFSET(PLE!$G$14,$M434,CJ$13))))</f>
        <v>1000000000000</v>
      </c>
      <c r="CK434" s="182">
        <f ca="1">IF($D434&lt;&gt;"Serviço",0,IF(OR(AND(AUTOEVENTO="Manual",$M434=1),$M434&gt;(ROW(PLE.lastrow)-ROW(PLE.firstrow))),0,IF(OFFSET(PLE!$G$14,$M434,CK$13)="",10^12,OFFSET(PLE!$G$14,$M434,CK$13))))</f>
        <v>1000000000000</v>
      </c>
      <c r="CL434" s="182">
        <f ca="1">IF($D434&lt;&gt;"Serviço",0,IF(OR(AND(AUTOEVENTO="Manual",$M434=1),$M434&gt;(ROW(PLE.lastrow)-ROW(PLE.firstrow))),0,IF(OFFSET(PLE!$G$14,$M434,CL$13)="",10^12,OFFSET(PLE!$G$14,$M434,CL$13))))</f>
        <v>1000000000000</v>
      </c>
      <c r="CM434" s="182">
        <f ca="1">IF($D434&lt;&gt;"Serviço",0,IF(OR(AND(AUTOEVENTO="Manual",$M434=1),$M434&gt;(ROW(PLE.lastrow)-ROW(PLE.firstrow))),0,IF(OFFSET(PLE!$G$14,$M434,CM$13)="",10^12,OFFSET(PLE!$G$14,$M434,CM$13))))</f>
        <v>1000000000000</v>
      </c>
    </row>
    <row r="435" spans="1:91" ht="38.25" x14ac:dyDescent="0.2">
      <c r="A435" s="7" t="str">
        <f t="shared" ca="1" si="14"/>
        <v>406</v>
      </c>
      <c r="B435" s="7" t="str">
        <f ca="1">OFFSET(ORÇAMENTO!C$15,ROW(B435)-ROW(B$15),0)</f>
        <v>S</v>
      </c>
      <c r="C435" s="7" t="str">
        <f ca="1">OFFSET(ORÇAMENTO!L$15,ROW(C435)-ROW(C$15),0)</f>
        <v/>
      </c>
      <c r="D435" s="118" t="str">
        <f ca="1">OFFSET(ORÇAMENTO!N$15,ROW(D435)-ROW(D$15),0)</f>
        <v>Serviço</v>
      </c>
      <c r="E435" s="119" t="str">
        <f ca="1">OFFSET(ORÇAMENTO!O$15,ROW(E435)-ROW(E$15),0)</f>
        <v>-</v>
      </c>
      <c r="F435" s="172" t="str">
        <f ca="1">OFFSET(ORÇAMENTO!R$15,ROW(F435)-ROW(F$15),0)</f>
        <v>(abra o arquivo 'Referência 06-2024.xlsm)</v>
      </c>
      <c r="G435" s="173" t="str">
        <f ca="1">IF($D435&lt;&gt;"Serviço","",OFFSET(ORÇAMENTO!S$15,ROW(G435)-ROW(G$15),0))</f>
        <v>-</v>
      </c>
      <c r="H435" s="124">
        <f ca="1">IF($D435&lt;&gt;"Serviço",0,IF(ACOMPANHAMENTO="BM",ROUND(OFFSET(ORÇAMENTO!AJ$15,ROW(H435)-ROW(H$15),0),15-13*ORÇAMENTO!$AF$7),SUMPRODUCT(($Q$12:$AI$12&lt;&gt;"")*ROUND($Q435:$AI435,15-13*ORÇAMENTO!$AF$7))))</f>
        <v>1</v>
      </c>
      <c r="I435" s="561" t="s">
        <v>1107</v>
      </c>
      <c r="K435" s="174"/>
      <c r="L435" s="175" t="s">
        <v>255</v>
      </c>
      <c r="M435" s="176">
        <f ca="1">IF($D435&lt;&gt;"Serviço","",IF(AUTOEVENTO="manual",$A435,IF(ISERROR(MATCH($A435,$A$15:OFFSET($A435,-1,0),0)),MAX($M$15:OFFSET(M435,-1,0))+1,INDEX($M$15:OFFSET(M435,-1,0),MATCH($A435,$A$15:OFFSET($A435,-1,0),0)))))</f>
        <v>48</v>
      </c>
      <c r="N435" s="177" t="str">
        <f ca="1">IF($D435&lt;&gt;"Serviço","",IF(AUTOEVENTO="Manual",IF($A435=0,"&lt;-- defina o número do agrupador",OFFSET(EVENTOS!$D$14,$A435,0)),OFFSET($F$15,$A435,0)))</f>
        <v>SISTEMA DE PROTEÇÃO CONTRA INCÊNDIO - ACESSÓRIOS</v>
      </c>
      <c r="O435" s="178"/>
      <c r="Q435" s="178">
        <v>1</v>
      </c>
      <c r="R435" s="179"/>
      <c r="S435" s="179"/>
      <c r="T435" s="179"/>
      <c r="U435" s="179"/>
      <c r="V435" s="179"/>
      <c r="W435" s="179"/>
      <c r="X435" s="179"/>
      <c r="Y435" s="179"/>
      <c r="Z435" s="180"/>
      <c r="AA435" s="179"/>
      <c r="AB435" s="179"/>
      <c r="AC435" s="179"/>
      <c r="AD435" s="179"/>
      <c r="AE435" s="179"/>
      <c r="AF435" s="179"/>
      <c r="AG435" s="179"/>
      <c r="AH435" s="180"/>
      <c r="AJ435" s="544">
        <f ca="1">IF(AND($D435="Serviço",AJ$12&lt;&gt;0,$H435&gt;0,OR(AUTOEVENTO&lt;&gt;"manual",$M435&lt;&gt;1)),
IF(Import.TipoArredondamento&lt;&gt;"TransfereGOV",
ROUND(OFFSET($P435,0,AJ$13),15-13*ORÇAMENTO!$AF$7)/$H435*OFFSET(ORÇAMENTO!$X$15,ROW(AJ435)-ROW(AJ$15),0),
ROUND(ROUND(OFFSET($P435,0,AJ$13),15-13*ORÇAMENTO!$AF$7)*OFFSET(ORÇAMENTO!$W$15,ROW(AJ435)-ROW(AJ$15),0),15-13*ORÇAMENTO!$AF$11)),0)</f>
        <v>0</v>
      </c>
      <c r="AK435" s="545">
        <f ca="1">IF(AND($D435="Serviço",AK$12&lt;&gt;0,$H435&gt;0,OR(AUTOEVENTO&lt;&gt;"manual",$M435&lt;&gt;1)),
IF(Import.TipoArredondamento&lt;&gt;"TransfereGOV",
ROUND(OFFSET($P435,0,AK$13),15-13*ORÇAMENTO!$AF$7)/$H435*OFFSET(ORÇAMENTO!$X$15,ROW(AK435)-ROW(AK$15),0),
ROUND(ROUND(OFFSET($P435,0,AK$13),15-13*ORÇAMENTO!$AF$7)*OFFSET(ORÇAMENTO!$W$15,ROW(AK435)-ROW(AK$15),0),15-13*ORÇAMENTO!$AF$11)),0)</f>
        <v>0</v>
      </c>
      <c r="AL435" s="545">
        <f ca="1">IF(AND($D435="Serviço",AL$12&lt;&gt;0,$H435&gt;0,OR(AUTOEVENTO&lt;&gt;"manual",$M435&lt;&gt;1)),
IF(Import.TipoArredondamento&lt;&gt;"TransfereGOV",
ROUND(OFFSET($P435,0,AL$13),15-13*ORÇAMENTO!$AF$7)/$H435*OFFSET(ORÇAMENTO!$X$15,ROW(AL435)-ROW(AL$15),0),
ROUND(ROUND(OFFSET($P435,0,AL$13),15-13*ORÇAMENTO!$AF$7)*OFFSET(ORÇAMENTO!$W$15,ROW(AL435)-ROW(AL$15),0),15-13*ORÇAMENTO!$AF$11)),0)</f>
        <v>0</v>
      </c>
      <c r="AM435" s="545">
        <f ca="1">IF(AND($D435="Serviço",AM$12&lt;&gt;0,$H435&gt;0,OR(AUTOEVENTO&lt;&gt;"manual",$M435&lt;&gt;1)),
IF(Import.TipoArredondamento&lt;&gt;"TransfereGOV",
ROUND(OFFSET($P435,0,AM$13),15-13*ORÇAMENTO!$AF$7)/$H435*OFFSET(ORÇAMENTO!$X$15,ROW(AM435)-ROW(AM$15),0),
ROUND(ROUND(OFFSET($P435,0,AM$13),15-13*ORÇAMENTO!$AF$7)*OFFSET(ORÇAMENTO!$W$15,ROW(AM435)-ROW(AM$15),0),15-13*ORÇAMENTO!$AF$11)),0)</f>
        <v>0</v>
      </c>
      <c r="AN435" s="545">
        <f ca="1">IF(AND($D435="Serviço",AN$12&lt;&gt;0,$H435&gt;0,OR(AUTOEVENTO&lt;&gt;"manual",$M435&lt;&gt;1)),
IF(Import.TipoArredondamento&lt;&gt;"TransfereGOV",
ROUND(OFFSET($P435,0,AN$13),15-13*ORÇAMENTO!$AF$7)/$H435*OFFSET(ORÇAMENTO!$X$15,ROW(AN435)-ROW(AN$15),0),
ROUND(ROUND(OFFSET($P435,0,AN$13),15-13*ORÇAMENTO!$AF$7)*OFFSET(ORÇAMENTO!$W$15,ROW(AN435)-ROW(AN$15),0),15-13*ORÇAMENTO!$AF$11)),0)</f>
        <v>0</v>
      </c>
      <c r="AO435" s="545">
        <f ca="1">IF(AND($D435="Serviço",AO$12&lt;&gt;0,$H435&gt;0,OR(AUTOEVENTO&lt;&gt;"manual",$M435&lt;&gt;1)),
IF(Import.TipoArredondamento&lt;&gt;"TransfereGOV",
ROUND(OFFSET($P435,0,AO$13),15-13*ORÇAMENTO!$AF$7)/$H435*OFFSET(ORÇAMENTO!$X$15,ROW(AO435)-ROW(AO$15),0),
ROUND(ROUND(OFFSET($P435,0,AO$13),15-13*ORÇAMENTO!$AF$7)*OFFSET(ORÇAMENTO!$W$15,ROW(AO435)-ROW(AO$15),0),15-13*ORÇAMENTO!$AF$11)),0)</f>
        <v>0</v>
      </c>
      <c r="AP435" s="545">
        <f ca="1">IF(AND($D435="Serviço",AP$12&lt;&gt;0,$H435&gt;0,OR(AUTOEVENTO&lt;&gt;"manual",$M435&lt;&gt;1)),
IF(Import.TipoArredondamento&lt;&gt;"TransfereGOV",
ROUND(OFFSET($P435,0,AP$13),15-13*ORÇAMENTO!$AF$7)/$H435*OFFSET(ORÇAMENTO!$X$15,ROW(AP435)-ROW(AP$15),0),
ROUND(ROUND(OFFSET($P435,0,AP$13),15-13*ORÇAMENTO!$AF$7)*OFFSET(ORÇAMENTO!$W$15,ROW(AP435)-ROW(AP$15),0),15-13*ORÇAMENTO!$AF$11)),0)</f>
        <v>0</v>
      </c>
      <c r="AQ435" s="545">
        <f ca="1">IF(AND($D435="Serviço",AQ$12&lt;&gt;0,$H435&gt;0,OR(AUTOEVENTO&lt;&gt;"manual",$M435&lt;&gt;1)),
IF(Import.TipoArredondamento&lt;&gt;"TransfereGOV",
ROUND(OFFSET($P435,0,AQ$13),15-13*ORÇAMENTO!$AF$7)/$H435*OFFSET(ORÇAMENTO!$X$15,ROW(AQ435)-ROW(AQ$15),0),
ROUND(ROUND(OFFSET($P435,0,AQ$13),15-13*ORÇAMENTO!$AF$7)*OFFSET(ORÇAMENTO!$W$15,ROW(AQ435)-ROW(AQ$15),0),15-13*ORÇAMENTO!$AF$11)),0)</f>
        <v>0</v>
      </c>
      <c r="AR435" s="545">
        <f ca="1">IF(AND($D435="Serviço",AR$12&lt;&gt;0,$H435&gt;0,OR(AUTOEVENTO&lt;&gt;"manual",$M435&lt;&gt;1)),
IF(Import.TipoArredondamento&lt;&gt;"TransfereGOV",
ROUND(OFFSET($P435,0,AR$13),15-13*ORÇAMENTO!$AF$7)/$H435*OFFSET(ORÇAMENTO!$X$15,ROW(AR435)-ROW(AR$15),0),
ROUND(ROUND(OFFSET($P435,0,AR$13),15-13*ORÇAMENTO!$AF$7)*OFFSET(ORÇAMENTO!$W$15,ROW(AR435)-ROW(AR$15),0),15-13*ORÇAMENTO!$AF$11)),0)</f>
        <v>0</v>
      </c>
      <c r="AS435" s="546">
        <f ca="1">IF(AND($D435="Serviço",AS$12&lt;&gt;0,$H435&gt;0,OR(AUTOEVENTO&lt;&gt;"manual",$M435&lt;&gt;1)),
IF(Import.TipoArredondamento&lt;&gt;"TransfereGOV",
ROUND(OFFSET($P435,0,AS$13),15-13*ORÇAMENTO!$AF$7)/$H435*OFFSET(ORÇAMENTO!$X$15,ROW(AS435)-ROW(AS$15),0),
ROUND(ROUND(OFFSET($P435,0,AS$13),15-13*ORÇAMENTO!$AF$7)*OFFSET(ORÇAMENTO!$W$15,ROW(AS435)-ROW(AS$15),0),15-13*ORÇAMENTO!$AF$11)),0)</f>
        <v>0</v>
      </c>
      <c r="AT435" s="545">
        <f ca="1">IF(AND($D435="Serviço",AT$12&lt;&gt;0,$H435&gt;0,OR(AUTOEVENTO&lt;&gt;"manual",$M435&lt;&gt;1)),
IF(Import.TipoArredondamento&lt;&gt;"TransfereGOV",
ROUND(OFFSET($P435,0,AT$13),15-13*ORÇAMENTO!$AF$7)/$H435*OFFSET(ORÇAMENTO!$X$15,ROW(AT435)-ROW(AT$15),0),
ROUND(ROUND(OFFSET($P435,0,AT$13),15-13*ORÇAMENTO!$AF$7)*OFFSET(ORÇAMENTO!$W$15,ROW(AT435)-ROW(AT$15),0),15-13*ORÇAMENTO!$AF$11)),0)</f>
        <v>0</v>
      </c>
      <c r="AU435" s="545">
        <f ca="1">IF(AND($D435="Serviço",AU$12&lt;&gt;0,$H435&gt;0,OR(AUTOEVENTO&lt;&gt;"manual",$M435&lt;&gt;1)),
IF(Import.TipoArredondamento&lt;&gt;"TransfereGOV",
ROUND(OFFSET($P435,0,AU$13),15-13*ORÇAMENTO!$AF$7)/$H435*OFFSET(ORÇAMENTO!$X$15,ROW(AU435)-ROW(AU$15),0),
ROUND(ROUND(OFFSET($P435,0,AU$13),15-13*ORÇAMENTO!$AF$7)*OFFSET(ORÇAMENTO!$W$15,ROW(AU435)-ROW(AU$15),0),15-13*ORÇAMENTO!$AF$11)),0)</f>
        <v>0</v>
      </c>
      <c r="AV435" s="545">
        <f ca="1">IF(AND($D435="Serviço",AV$12&lt;&gt;0,$H435&gt;0,OR(AUTOEVENTO&lt;&gt;"manual",$M435&lt;&gt;1)),
IF(Import.TipoArredondamento&lt;&gt;"TransfereGOV",
ROUND(OFFSET($P435,0,AV$13),15-13*ORÇAMENTO!$AF$7)/$H435*OFFSET(ORÇAMENTO!$X$15,ROW(AV435)-ROW(AV$15),0),
ROUND(ROUND(OFFSET($P435,0,AV$13),15-13*ORÇAMENTO!$AF$7)*OFFSET(ORÇAMENTO!$W$15,ROW(AV435)-ROW(AV$15),0),15-13*ORÇAMENTO!$AF$11)),0)</f>
        <v>0</v>
      </c>
      <c r="AW435" s="545">
        <f ca="1">IF(AND($D435="Serviço",AW$12&lt;&gt;0,$H435&gt;0,OR(AUTOEVENTO&lt;&gt;"manual",$M435&lt;&gt;1)),
IF(Import.TipoArredondamento&lt;&gt;"TransfereGOV",
ROUND(OFFSET($P435,0,AW$13),15-13*ORÇAMENTO!$AF$7)/$H435*OFFSET(ORÇAMENTO!$X$15,ROW(AW435)-ROW(AW$15),0),
ROUND(ROUND(OFFSET($P435,0,AW$13),15-13*ORÇAMENTO!$AF$7)*OFFSET(ORÇAMENTO!$W$15,ROW(AW435)-ROW(AW$15),0),15-13*ORÇAMENTO!$AF$11)),0)</f>
        <v>0</v>
      </c>
      <c r="AX435" s="545">
        <f ca="1">IF(AND($D435="Serviço",AX$12&lt;&gt;0,$H435&gt;0,OR(AUTOEVENTO&lt;&gt;"manual",$M435&lt;&gt;1)),
IF(Import.TipoArredondamento&lt;&gt;"TransfereGOV",
ROUND(OFFSET($P435,0,AX$13),15-13*ORÇAMENTO!$AF$7)/$H435*OFFSET(ORÇAMENTO!$X$15,ROW(AX435)-ROW(AX$15),0),
ROUND(ROUND(OFFSET($P435,0,AX$13),15-13*ORÇAMENTO!$AF$7)*OFFSET(ORÇAMENTO!$W$15,ROW(AX435)-ROW(AX$15),0),15-13*ORÇAMENTO!$AF$11)),0)</f>
        <v>0</v>
      </c>
      <c r="AY435" s="545">
        <f ca="1">IF(AND($D435="Serviço",AY$12&lt;&gt;0,$H435&gt;0,OR(AUTOEVENTO&lt;&gt;"manual",$M435&lt;&gt;1)),
IF(Import.TipoArredondamento&lt;&gt;"TransfereGOV",
ROUND(OFFSET($P435,0,AY$13),15-13*ORÇAMENTO!$AF$7)/$H435*OFFSET(ORÇAMENTO!$X$15,ROW(AY435)-ROW(AY$15),0),
ROUND(ROUND(OFFSET($P435,0,AY$13),15-13*ORÇAMENTO!$AF$7)*OFFSET(ORÇAMENTO!$W$15,ROW(AY435)-ROW(AY$15),0),15-13*ORÇAMENTO!$AF$11)),0)</f>
        <v>0</v>
      </c>
      <c r="AZ435" s="545">
        <f ca="1">IF(AND($D435="Serviço",AZ$12&lt;&gt;0,$H435&gt;0,OR(AUTOEVENTO&lt;&gt;"manual",$M435&lt;&gt;1)),
IF(Import.TipoArredondamento&lt;&gt;"TransfereGOV",
ROUND(OFFSET($P435,0,AZ$13),15-13*ORÇAMENTO!$AF$7)/$H435*OFFSET(ORÇAMENTO!$X$15,ROW(AZ435)-ROW(AZ$15),0),
ROUND(ROUND(OFFSET($P435,0,AZ$13),15-13*ORÇAMENTO!$AF$7)*OFFSET(ORÇAMENTO!$W$15,ROW(AZ435)-ROW(AZ$15),0),15-13*ORÇAMENTO!$AF$11)),0)</f>
        <v>0</v>
      </c>
      <c r="BA435" s="546">
        <f ca="1">IF(AND($D435="Serviço",BA$12&lt;&gt;0,$H435&gt;0,OR(AUTOEVENTO&lt;&gt;"manual",$M435&lt;&gt;1)),
IF(Import.TipoArredondamento&lt;&gt;"TransfereGOV",
ROUND(OFFSET($P435,0,BA$13),15-13*ORÇAMENTO!$AF$7)/$H435*OFFSET(ORÇAMENTO!$X$15,ROW(BA435)-ROW(BA$15),0),
ROUND(ROUND(OFFSET($P435,0,BA$13),15-13*ORÇAMENTO!$AF$7)*OFFSET(ORÇAMENTO!$W$15,ROW(BA435)-ROW(BA$15),0),15-13*ORÇAMENTO!$AF$11)),0)</f>
        <v>0</v>
      </c>
      <c r="BC435" s="181">
        <f ca="1">IF($D435&lt;&gt;"Serviço",0,IF(AND(AUTOEVENTO="Manual",$M435=1),0,IF(OFFSET(CRONOPLE!$F$14,$M435,BC$13)="",10^12,OFFSET(CRONOPLE!$F$14,$M435,BC$13))))</f>
        <v>10</v>
      </c>
      <c r="BD435" s="181">
        <f ca="1">IF($D435&lt;&gt;"Serviço",0,IF(AND(AUTOEVENTO="Manual",$M435=1),0,IF(OFFSET(CRONOPLE!$F$14,$M435,BD$13)="",10^12,OFFSET(CRONOPLE!$F$14,$M435,BD$13))))</f>
        <v>1000000000000</v>
      </c>
      <c r="BE435" s="181">
        <f ca="1">IF($D435&lt;&gt;"Serviço",0,IF(AND(AUTOEVENTO="Manual",$M435=1),0,IF(OFFSET(CRONOPLE!$F$14,$M435,BE$13)="",10^12,OFFSET(CRONOPLE!$F$14,$M435,BE$13))))</f>
        <v>1000000000000</v>
      </c>
      <c r="BF435" s="181">
        <f ca="1">IF($D435&lt;&gt;"Serviço",0,IF(AND(AUTOEVENTO="Manual",$M435=1),0,IF(OFFSET(CRONOPLE!$F$14,$M435,BF$13)="",10^12,OFFSET(CRONOPLE!$F$14,$M435,BF$13))))</f>
        <v>1000000000000</v>
      </c>
      <c r="BG435" s="181">
        <f ca="1">IF($D435&lt;&gt;"Serviço",0,IF(AND(AUTOEVENTO="Manual",$M435=1),0,IF(OFFSET(CRONOPLE!$F$14,$M435,BG$13)="",10^12,OFFSET(CRONOPLE!$F$14,$M435,BG$13))))</f>
        <v>1000000000000</v>
      </c>
      <c r="BH435" s="181">
        <f ca="1">IF($D435&lt;&gt;"Serviço",0,IF(AND(AUTOEVENTO="Manual",$M435=1),0,IF(OFFSET(CRONOPLE!$F$14,$M435,BH$13)="",10^12,OFFSET(CRONOPLE!$F$14,$M435,BH$13))))</f>
        <v>1000000000000</v>
      </c>
      <c r="BI435" s="181">
        <f ca="1">IF($D435&lt;&gt;"Serviço",0,IF(AND(AUTOEVENTO="Manual",$M435=1),0,IF(OFFSET(CRONOPLE!$F$14,$M435,BI$13)="",10^12,OFFSET(CRONOPLE!$F$14,$M435,BI$13))))</f>
        <v>1000000000000</v>
      </c>
      <c r="BJ435" s="181">
        <f ca="1">IF($D435&lt;&gt;"Serviço",0,IF(AND(AUTOEVENTO="Manual",$M435=1),0,IF(OFFSET(CRONOPLE!$F$14,$M435,BJ$13)="",10^12,OFFSET(CRONOPLE!$F$14,$M435,BJ$13))))</f>
        <v>1000000000000</v>
      </c>
      <c r="BK435" s="181">
        <f ca="1">IF($D435&lt;&gt;"Serviço",0,IF(AND(AUTOEVENTO="Manual",$M435=1),0,IF(OFFSET(CRONOPLE!$F$14,$M435,BK$13)="",10^12,OFFSET(CRONOPLE!$F$14,$M435,BK$13))))</f>
        <v>1000000000000</v>
      </c>
      <c r="BL435" s="181">
        <f ca="1">IF($D435&lt;&gt;"Serviço",0,IF(AND(AUTOEVENTO="Manual",$M435=1),0,IF(OFFSET(CRONOPLE!$F$14,$M435,BL$13)="",10^12,OFFSET(CRONOPLE!$F$14,$M435,BL$13))))</f>
        <v>1000000000000</v>
      </c>
      <c r="BM435" s="181">
        <f ca="1">IF($D435&lt;&gt;"Serviço",0,IF(AND(AUTOEVENTO="Manual",$M435=1),0,IF(OFFSET(CRONOPLE!$F$14,$M435,BM$13)="",10^12,OFFSET(CRONOPLE!$F$14,$M435,BM$13))))</f>
        <v>1000000000000</v>
      </c>
      <c r="BN435" s="181">
        <f ca="1">IF($D435&lt;&gt;"Serviço",0,IF(AND(AUTOEVENTO="Manual",$M435=1),0,IF(OFFSET(CRONOPLE!$F$14,$M435,BN$13)="",10^12,OFFSET(CRONOPLE!$F$14,$M435,BN$13))))</f>
        <v>1000000000000</v>
      </c>
      <c r="BO435" s="181">
        <f ca="1">IF($D435&lt;&gt;"Serviço",0,IF(AND(AUTOEVENTO="Manual",$M435=1),0,IF(OFFSET(CRONOPLE!$F$14,$M435,BO$13)="",10^12,OFFSET(CRONOPLE!$F$14,$M435,BO$13))))</f>
        <v>1000000000000</v>
      </c>
      <c r="BP435" s="181">
        <f ca="1">IF($D435&lt;&gt;"Serviço",0,IF(AND(AUTOEVENTO="Manual",$M435=1),0,IF(OFFSET(CRONOPLE!$F$14,$M435,BP$13)="",10^12,OFFSET(CRONOPLE!$F$14,$M435,BP$13))))</f>
        <v>1000000000000</v>
      </c>
      <c r="BQ435" s="181">
        <f ca="1">IF($D435&lt;&gt;"Serviço",0,IF(AND(AUTOEVENTO="Manual",$M435=1),0,IF(OFFSET(CRONOPLE!$F$14,$M435,BQ$13)="",10^12,OFFSET(CRONOPLE!$F$14,$M435,BQ$13))))</f>
        <v>1000000000000</v>
      </c>
      <c r="BR435" s="181">
        <f ca="1">IF($D435&lt;&gt;"Serviço",0,IF(AND(AUTOEVENTO="Manual",$M435=1),0,IF(OFFSET(CRONOPLE!$F$14,$M435,BR$13)="",10^12,OFFSET(CRONOPLE!$F$14,$M435,BR$13))))</f>
        <v>1000000000000</v>
      </c>
      <c r="BS435" s="181">
        <f ca="1">IF($D435&lt;&gt;"Serviço",0,IF(AND(AUTOEVENTO="Manual",$M435=1),0,IF(OFFSET(CRONOPLE!$F$14,$M435,BS$13)="",10^12,OFFSET(CRONOPLE!$F$14,$M435,BS$13))))</f>
        <v>1000000000000</v>
      </c>
      <c r="BT435" s="181">
        <f ca="1">IF($D435&lt;&gt;"Serviço",0,IF(AND(AUTOEVENTO="Manual",$M435=1),0,IF(OFFSET(CRONOPLE!$F$14,$M435,BT$13)="",10^12,OFFSET(CRONOPLE!$F$14,$M435,BT$13))))</f>
        <v>1000000000000</v>
      </c>
      <c r="BV435" s="182">
        <f ca="1">IF($D435&lt;&gt;"Serviço",0,IF(OR(AND(AUTOEVENTO="Manual",$M435=1),$M435&gt;(ROW(PLE.lastrow)-ROW(PLE.firstrow))),0,IF(OFFSET(PLE!$G$14,$M435,BV$13)="",10^12,OFFSET(PLE!$G$14,$M435,BV$13))))</f>
        <v>1000000000000</v>
      </c>
      <c r="BW435" s="182">
        <f ca="1">IF($D435&lt;&gt;"Serviço",0,IF(OR(AND(AUTOEVENTO="Manual",$M435=1),$M435&gt;(ROW(PLE.lastrow)-ROW(PLE.firstrow))),0,IF(OFFSET(PLE!$G$14,$M435,BW$13)="",10^12,OFFSET(PLE!$G$14,$M435,BW$13))))</f>
        <v>1000000000000</v>
      </c>
      <c r="BX435" s="182">
        <f ca="1">IF($D435&lt;&gt;"Serviço",0,IF(OR(AND(AUTOEVENTO="Manual",$M435=1),$M435&gt;(ROW(PLE.lastrow)-ROW(PLE.firstrow))),0,IF(OFFSET(PLE!$G$14,$M435,BX$13)="",10^12,OFFSET(PLE!$G$14,$M435,BX$13))))</f>
        <v>1000000000000</v>
      </c>
      <c r="BY435" s="182">
        <f ca="1">IF($D435&lt;&gt;"Serviço",0,IF(OR(AND(AUTOEVENTO="Manual",$M435=1),$M435&gt;(ROW(PLE.lastrow)-ROW(PLE.firstrow))),0,IF(OFFSET(PLE!$G$14,$M435,BY$13)="",10^12,OFFSET(PLE!$G$14,$M435,BY$13))))</f>
        <v>1000000000000</v>
      </c>
      <c r="BZ435" s="182">
        <f ca="1">IF($D435&lt;&gt;"Serviço",0,IF(OR(AND(AUTOEVENTO="Manual",$M435=1),$M435&gt;(ROW(PLE.lastrow)-ROW(PLE.firstrow))),0,IF(OFFSET(PLE!$G$14,$M435,BZ$13)="",10^12,OFFSET(PLE!$G$14,$M435,BZ$13))))</f>
        <v>1000000000000</v>
      </c>
      <c r="CA435" s="182">
        <f ca="1">IF($D435&lt;&gt;"Serviço",0,IF(OR(AND(AUTOEVENTO="Manual",$M435=1),$M435&gt;(ROW(PLE.lastrow)-ROW(PLE.firstrow))),0,IF(OFFSET(PLE!$G$14,$M435,CA$13)="",10^12,OFFSET(PLE!$G$14,$M435,CA$13))))</f>
        <v>1000000000000</v>
      </c>
      <c r="CB435" s="182">
        <f ca="1">IF($D435&lt;&gt;"Serviço",0,IF(OR(AND(AUTOEVENTO="Manual",$M435=1),$M435&gt;(ROW(PLE.lastrow)-ROW(PLE.firstrow))),0,IF(OFFSET(PLE!$G$14,$M435,CB$13)="",10^12,OFFSET(PLE!$G$14,$M435,CB$13))))</f>
        <v>1000000000000</v>
      </c>
      <c r="CC435" s="182">
        <f ca="1">IF($D435&lt;&gt;"Serviço",0,IF(OR(AND(AUTOEVENTO="Manual",$M435=1),$M435&gt;(ROW(PLE.lastrow)-ROW(PLE.firstrow))),0,IF(OFFSET(PLE!$G$14,$M435,CC$13)="",10^12,OFFSET(PLE!$G$14,$M435,CC$13))))</f>
        <v>1000000000000</v>
      </c>
      <c r="CD435" s="182">
        <f ca="1">IF($D435&lt;&gt;"Serviço",0,IF(OR(AND(AUTOEVENTO="Manual",$M435=1),$M435&gt;(ROW(PLE.lastrow)-ROW(PLE.firstrow))),0,IF(OFFSET(PLE!$G$14,$M435,CD$13)="",10^12,OFFSET(PLE!$G$14,$M435,CD$13))))</f>
        <v>1000000000000</v>
      </c>
      <c r="CE435" s="182">
        <f ca="1">IF($D435&lt;&gt;"Serviço",0,IF(OR(AND(AUTOEVENTO="Manual",$M435=1),$M435&gt;(ROW(PLE.lastrow)-ROW(PLE.firstrow))),0,IF(OFFSET(PLE!$G$14,$M435,CE$13)="",10^12,OFFSET(PLE!$G$14,$M435,CE$13))))</f>
        <v>1000000000000</v>
      </c>
      <c r="CF435" s="182">
        <f ca="1">IF($D435&lt;&gt;"Serviço",0,IF(OR(AND(AUTOEVENTO="Manual",$M435=1),$M435&gt;(ROW(PLE.lastrow)-ROW(PLE.firstrow))),0,IF(OFFSET(PLE!$G$14,$M435,CF$13)="",10^12,OFFSET(PLE!$G$14,$M435,CF$13))))</f>
        <v>1000000000000</v>
      </c>
      <c r="CG435" s="182">
        <f ca="1">IF($D435&lt;&gt;"Serviço",0,IF(OR(AND(AUTOEVENTO="Manual",$M435=1),$M435&gt;(ROW(PLE.lastrow)-ROW(PLE.firstrow))),0,IF(OFFSET(PLE!$G$14,$M435,CG$13)="",10^12,OFFSET(PLE!$G$14,$M435,CG$13))))</f>
        <v>1000000000000</v>
      </c>
      <c r="CH435" s="182">
        <f ca="1">IF($D435&lt;&gt;"Serviço",0,IF(OR(AND(AUTOEVENTO="Manual",$M435=1),$M435&gt;(ROW(PLE.lastrow)-ROW(PLE.firstrow))),0,IF(OFFSET(PLE!$G$14,$M435,CH$13)="",10^12,OFFSET(PLE!$G$14,$M435,CH$13))))</f>
        <v>1000000000000</v>
      </c>
      <c r="CI435" s="182">
        <f ca="1">IF($D435&lt;&gt;"Serviço",0,IF(OR(AND(AUTOEVENTO="Manual",$M435=1),$M435&gt;(ROW(PLE.lastrow)-ROW(PLE.firstrow))),0,IF(OFFSET(PLE!$G$14,$M435,CI$13)="",10^12,OFFSET(PLE!$G$14,$M435,CI$13))))</f>
        <v>1000000000000</v>
      </c>
      <c r="CJ435" s="182">
        <f ca="1">IF($D435&lt;&gt;"Serviço",0,IF(OR(AND(AUTOEVENTO="Manual",$M435=1),$M435&gt;(ROW(PLE.lastrow)-ROW(PLE.firstrow))),0,IF(OFFSET(PLE!$G$14,$M435,CJ$13)="",10^12,OFFSET(PLE!$G$14,$M435,CJ$13))))</f>
        <v>1000000000000</v>
      </c>
      <c r="CK435" s="182">
        <f ca="1">IF($D435&lt;&gt;"Serviço",0,IF(OR(AND(AUTOEVENTO="Manual",$M435=1),$M435&gt;(ROW(PLE.lastrow)-ROW(PLE.firstrow))),0,IF(OFFSET(PLE!$G$14,$M435,CK$13)="",10^12,OFFSET(PLE!$G$14,$M435,CK$13))))</f>
        <v>1000000000000</v>
      </c>
      <c r="CL435" s="182">
        <f ca="1">IF($D435&lt;&gt;"Serviço",0,IF(OR(AND(AUTOEVENTO="Manual",$M435=1),$M435&gt;(ROW(PLE.lastrow)-ROW(PLE.firstrow))),0,IF(OFFSET(PLE!$G$14,$M435,CL$13)="",10^12,OFFSET(PLE!$G$14,$M435,CL$13))))</f>
        <v>1000000000000</v>
      </c>
      <c r="CM435" s="182">
        <f ca="1">IF($D435&lt;&gt;"Serviço",0,IF(OR(AND(AUTOEVENTO="Manual",$M435=1),$M435&gt;(ROW(PLE.lastrow)-ROW(PLE.firstrow))),0,IF(OFFSET(PLE!$G$14,$M435,CM$13)="",10^12,OFFSET(PLE!$G$14,$M435,CM$13))))</f>
        <v>1000000000000</v>
      </c>
    </row>
    <row r="436" spans="1:91" ht="25.5" x14ac:dyDescent="0.2">
      <c r="A436" s="7" t="str">
        <f t="shared" ca="1" si="14"/>
        <v>421.</v>
      </c>
      <c r="B436" s="7">
        <f ca="1">OFFSET(ORÇAMENTO!C$15,ROW(B436)-ROW(B$15),0)</f>
        <v>2</v>
      </c>
      <c r="C436" s="7" t="str">
        <f ca="1">OFFSET(ORÇAMENTO!L$15,ROW(C436)-ROW(C$15),0)</f>
        <v>F</v>
      </c>
      <c r="D436" s="118" t="str">
        <f ca="1">OFFSET(ORÇAMENTO!N$15,ROW(D436)-ROW(D$15),0)</f>
        <v>Nível 2</v>
      </c>
      <c r="E436" s="119" t="str">
        <f ca="1">OFFSET(ORÇAMENTO!O$15,ROW(E436)-ROW(E$15),0)</f>
        <v>1.48.</v>
      </c>
      <c r="F436" s="172" t="str">
        <f ca="1">OFFSET(ORÇAMENTO!R$15,ROW(F436)-ROW(F$15),0)</f>
        <v>SISTEMA DE PROTEÇÃO CONTRA INCÊNDIO - TUBULAÇÕES E CONEXÕES</v>
      </c>
      <c r="G436" s="173" t="str">
        <f ca="1">IF($D436&lt;&gt;"Serviço","",OFFSET(ORÇAMENTO!S$15,ROW(G436)-ROW(G$15),0))</f>
        <v/>
      </c>
      <c r="H436" s="124">
        <f ca="1">IF($D436&lt;&gt;"Serviço",0,IF(ACOMPANHAMENTO="BM",ROUND(OFFSET(ORÇAMENTO!AJ$15,ROW(H436)-ROW(H$15),0),15-13*ORÇAMENTO!$AF$7),SUMPRODUCT(($Q$12:$AI$12&lt;&gt;"")*ROUND($Q436:$AI436,15-13*ORÇAMENTO!$AF$7))))</f>
        <v>0</v>
      </c>
      <c r="I436" s="561"/>
      <c r="K436" s="174"/>
      <c r="L436" s="175" t="s">
        <v>255</v>
      </c>
      <c r="M436" s="176" t="str">
        <f ca="1">IF($D436&lt;&gt;"Serviço","",IF(AUTOEVENTO="manual",$A436,IF(ISERROR(MATCH($A436,$A$15:OFFSET($A436,-1,0),0)),MAX($M$15:OFFSET(M436,-1,0))+1,INDEX($M$15:OFFSET(M436,-1,0),MATCH($A436,$A$15:OFFSET($A436,-1,0),0)))))</f>
        <v/>
      </c>
      <c r="N436" s="177" t="str">
        <f ca="1">IF($D436&lt;&gt;"Serviço","",IF(AUTOEVENTO="Manual",IF($A436=0,"&lt;-- defina o número do agrupador",OFFSET(EVENTOS!$D$14,$A436,0)),OFFSET($F$15,$A436,0)))</f>
        <v/>
      </c>
      <c r="O436" s="178"/>
      <c r="Q436" s="178">
        <v>0</v>
      </c>
      <c r="R436" s="179"/>
      <c r="S436" s="179"/>
      <c r="T436" s="179"/>
      <c r="U436" s="179"/>
      <c r="V436" s="179"/>
      <c r="W436" s="179"/>
      <c r="X436" s="179"/>
      <c r="Y436" s="179"/>
      <c r="Z436" s="180"/>
      <c r="AA436" s="179"/>
      <c r="AB436" s="179"/>
      <c r="AC436" s="179"/>
      <c r="AD436" s="179"/>
      <c r="AE436" s="179"/>
      <c r="AF436" s="179"/>
      <c r="AG436" s="179"/>
      <c r="AH436" s="180"/>
      <c r="AJ436" s="544">
        <f ca="1">IF(AND($D436="Serviço",AJ$12&lt;&gt;0,$H436&gt;0,OR(AUTOEVENTO&lt;&gt;"manual",$M436&lt;&gt;1)),
IF(Import.TipoArredondamento&lt;&gt;"TransfereGOV",
ROUND(OFFSET($P436,0,AJ$13),15-13*ORÇAMENTO!$AF$7)/$H436*OFFSET(ORÇAMENTO!$X$15,ROW(AJ436)-ROW(AJ$15),0),
ROUND(ROUND(OFFSET($P436,0,AJ$13),15-13*ORÇAMENTO!$AF$7)*OFFSET(ORÇAMENTO!$W$15,ROW(AJ436)-ROW(AJ$15),0),15-13*ORÇAMENTO!$AF$11)),0)</f>
        <v>0</v>
      </c>
      <c r="AK436" s="545">
        <f ca="1">IF(AND($D436="Serviço",AK$12&lt;&gt;0,$H436&gt;0,OR(AUTOEVENTO&lt;&gt;"manual",$M436&lt;&gt;1)),
IF(Import.TipoArredondamento&lt;&gt;"TransfereGOV",
ROUND(OFFSET($P436,0,AK$13),15-13*ORÇAMENTO!$AF$7)/$H436*OFFSET(ORÇAMENTO!$X$15,ROW(AK436)-ROW(AK$15),0),
ROUND(ROUND(OFFSET($P436,0,AK$13),15-13*ORÇAMENTO!$AF$7)*OFFSET(ORÇAMENTO!$W$15,ROW(AK436)-ROW(AK$15),0),15-13*ORÇAMENTO!$AF$11)),0)</f>
        <v>0</v>
      </c>
      <c r="AL436" s="545">
        <f ca="1">IF(AND($D436="Serviço",AL$12&lt;&gt;0,$H436&gt;0,OR(AUTOEVENTO&lt;&gt;"manual",$M436&lt;&gt;1)),
IF(Import.TipoArredondamento&lt;&gt;"TransfereGOV",
ROUND(OFFSET($P436,0,AL$13),15-13*ORÇAMENTO!$AF$7)/$H436*OFFSET(ORÇAMENTO!$X$15,ROW(AL436)-ROW(AL$15),0),
ROUND(ROUND(OFFSET($P436,0,AL$13),15-13*ORÇAMENTO!$AF$7)*OFFSET(ORÇAMENTO!$W$15,ROW(AL436)-ROW(AL$15),0),15-13*ORÇAMENTO!$AF$11)),0)</f>
        <v>0</v>
      </c>
      <c r="AM436" s="545">
        <f ca="1">IF(AND($D436="Serviço",AM$12&lt;&gt;0,$H436&gt;0,OR(AUTOEVENTO&lt;&gt;"manual",$M436&lt;&gt;1)),
IF(Import.TipoArredondamento&lt;&gt;"TransfereGOV",
ROUND(OFFSET($P436,0,AM$13),15-13*ORÇAMENTO!$AF$7)/$H436*OFFSET(ORÇAMENTO!$X$15,ROW(AM436)-ROW(AM$15),0),
ROUND(ROUND(OFFSET($P436,0,AM$13),15-13*ORÇAMENTO!$AF$7)*OFFSET(ORÇAMENTO!$W$15,ROW(AM436)-ROW(AM$15),0),15-13*ORÇAMENTO!$AF$11)),0)</f>
        <v>0</v>
      </c>
      <c r="AN436" s="545">
        <f ca="1">IF(AND($D436="Serviço",AN$12&lt;&gt;0,$H436&gt;0,OR(AUTOEVENTO&lt;&gt;"manual",$M436&lt;&gt;1)),
IF(Import.TipoArredondamento&lt;&gt;"TransfereGOV",
ROUND(OFFSET($P436,0,AN$13),15-13*ORÇAMENTO!$AF$7)/$H436*OFFSET(ORÇAMENTO!$X$15,ROW(AN436)-ROW(AN$15),0),
ROUND(ROUND(OFFSET($P436,0,AN$13),15-13*ORÇAMENTO!$AF$7)*OFFSET(ORÇAMENTO!$W$15,ROW(AN436)-ROW(AN$15),0),15-13*ORÇAMENTO!$AF$11)),0)</f>
        <v>0</v>
      </c>
      <c r="AO436" s="545">
        <f ca="1">IF(AND($D436="Serviço",AO$12&lt;&gt;0,$H436&gt;0,OR(AUTOEVENTO&lt;&gt;"manual",$M436&lt;&gt;1)),
IF(Import.TipoArredondamento&lt;&gt;"TransfereGOV",
ROUND(OFFSET($P436,0,AO$13),15-13*ORÇAMENTO!$AF$7)/$H436*OFFSET(ORÇAMENTO!$X$15,ROW(AO436)-ROW(AO$15),0),
ROUND(ROUND(OFFSET($P436,0,AO$13),15-13*ORÇAMENTO!$AF$7)*OFFSET(ORÇAMENTO!$W$15,ROW(AO436)-ROW(AO$15),0),15-13*ORÇAMENTO!$AF$11)),0)</f>
        <v>0</v>
      </c>
      <c r="AP436" s="545">
        <f ca="1">IF(AND($D436="Serviço",AP$12&lt;&gt;0,$H436&gt;0,OR(AUTOEVENTO&lt;&gt;"manual",$M436&lt;&gt;1)),
IF(Import.TipoArredondamento&lt;&gt;"TransfereGOV",
ROUND(OFFSET($P436,0,AP$13),15-13*ORÇAMENTO!$AF$7)/$H436*OFFSET(ORÇAMENTO!$X$15,ROW(AP436)-ROW(AP$15),0),
ROUND(ROUND(OFFSET($P436,0,AP$13),15-13*ORÇAMENTO!$AF$7)*OFFSET(ORÇAMENTO!$W$15,ROW(AP436)-ROW(AP$15),0),15-13*ORÇAMENTO!$AF$11)),0)</f>
        <v>0</v>
      </c>
      <c r="AQ436" s="545">
        <f ca="1">IF(AND($D436="Serviço",AQ$12&lt;&gt;0,$H436&gt;0,OR(AUTOEVENTO&lt;&gt;"manual",$M436&lt;&gt;1)),
IF(Import.TipoArredondamento&lt;&gt;"TransfereGOV",
ROUND(OFFSET($P436,0,AQ$13),15-13*ORÇAMENTO!$AF$7)/$H436*OFFSET(ORÇAMENTO!$X$15,ROW(AQ436)-ROW(AQ$15),0),
ROUND(ROUND(OFFSET($P436,0,AQ$13),15-13*ORÇAMENTO!$AF$7)*OFFSET(ORÇAMENTO!$W$15,ROW(AQ436)-ROW(AQ$15),0),15-13*ORÇAMENTO!$AF$11)),0)</f>
        <v>0</v>
      </c>
      <c r="AR436" s="545">
        <f ca="1">IF(AND($D436="Serviço",AR$12&lt;&gt;0,$H436&gt;0,OR(AUTOEVENTO&lt;&gt;"manual",$M436&lt;&gt;1)),
IF(Import.TipoArredondamento&lt;&gt;"TransfereGOV",
ROUND(OFFSET($P436,0,AR$13),15-13*ORÇAMENTO!$AF$7)/$H436*OFFSET(ORÇAMENTO!$X$15,ROW(AR436)-ROW(AR$15),0),
ROUND(ROUND(OFFSET($P436,0,AR$13),15-13*ORÇAMENTO!$AF$7)*OFFSET(ORÇAMENTO!$W$15,ROW(AR436)-ROW(AR$15),0),15-13*ORÇAMENTO!$AF$11)),0)</f>
        <v>0</v>
      </c>
      <c r="AS436" s="546">
        <f ca="1">IF(AND($D436="Serviço",AS$12&lt;&gt;0,$H436&gt;0,OR(AUTOEVENTO&lt;&gt;"manual",$M436&lt;&gt;1)),
IF(Import.TipoArredondamento&lt;&gt;"TransfereGOV",
ROUND(OFFSET($P436,0,AS$13),15-13*ORÇAMENTO!$AF$7)/$H436*OFFSET(ORÇAMENTO!$X$15,ROW(AS436)-ROW(AS$15),0),
ROUND(ROUND(OFFSET($P436,0,AS$13),15-13*ORÇAMENTO!$AF$7)*OFFSET(ORÇAMENTO!$W$15,ROW(AS436)-ROW(AS$15),0),15-13*ORÇAMENTO!$AF$11)),0)</f>
        <v>0</v>
      </c>
      <c r="AT436" s="545">
        <f ca="1">IF(AND($D436="Serviço",AT$12&lt;&gt;0,$H436&gt;0,OR(AUTOEVENTO&lt;&gt;"manual",$M436&lt;&gt;1)),
IF(Import.TipoArredondamento&lt;&gt;"TransfereGOV",
ROUND(OFFSET($P436,0,AT$13),15-13*ORÇAMENTO!$AF$7)/$H436*OFFSET(ORÇAMENTO!$X$15,ROW(AT436)-ROW(AT$15),0),
ROUND(ROUND(OFFSET($P436,0,AT$13),15-13*ORÇAMENTO!$AF$7)*OFFSET(ORÇAMENTO!$W$15,ROW(AT436)-ROW(AT$15),0),15-13*ORÇAMENTO!$AF$11)),0)</f>
        <v>0</v>
      </c>
      <c r="AU436" s="545">
        <f ca="1">IF(AND($D436="Serviço",AU$12&lt;&gt;0,$H436&gt;0,OR(AUTOEVENTO&lt;&gt;"manual",$M436&lt;&gt;1)),
IF(Import.TipoArredondamento&lt;&gt;"TransfereGOV",
ROUND(OFFSET($P436,0,AU$13),15-13*ORÇAMENTO!$AF$7)/$H436*OFFSET(ORÇAMENTO!$X$15,ROW(AU436)-ROW(AU$15),0),
ROUND(ROUND(OFFSET($P436,0,AU$13),15-13*ORÇAMENTO!$AF$7)*OFFSET(ORÇAMENTO!$W$15,ROW(AU436)-ROW(AU$15),0),15-13*ORÇAMENTO!$AF$11)),0)</f>
        <v>0</v>
      </c>
      <c r="AV436" s="545">
        <f ca="1">IF(AND($D436="Serviço",AV$12&lt;&gt;0,$H436&gt;0,OR(AUTOEVENTO&lt;&gt;"manual",$M436&lt;&gt;1)),
IF(Import.TipoArredondamento&lt;&gt;"TransfereGOV",
ROUND(OFFSET($P436,0,AV$13),15-13*ORÇAMENTO!$AF$7)/$H436*OFFSET(ORÇAMENTO!$X$15,ROW(AV436)-ROW(AV$15),0),
ROUND(ROUND(OFFSET($P436,0,AV$13),15-13*ORÇAMENTO!$AF$7)*OFFSET(ORÇAMENTO!$W$15,ROW(AV436)-ROW(AV$15),0),15-13*ORÇAMENTO!$AF$11)),0)</f>
        <v>0</v>
      </c>
      <c r="AW436" s="545">
        <f ca="1">IF(AND($D436="Serviço",AW$12&lt;&gt;0,$H436&gt;0,OR(AUTOEVENTO&lt;&gt;"manual",$M436&lt;&gt;1)),
IF(Import.TipoArredondamento&lt;&gt;"TransfereGOV",
ROUND(OFFSET($P436,0,AW$13),15-13*ORÇAMENTO!$AF$7)/$H436*OFFSET(ORÇAMENTO!$X$15,ROW(AW436)-ROW(AW$15),0),
ROUND(ROUND(OFFSET($P436,0,AW$13),15-13*ORÇAMENTO!$AF$7)*OFFSET(ORÇAMENTO!$W$15,ROW(AW436)-ROW(AW$15),0),15-13*ORÇAMENTO!$AF$11)),0)</f>
        <v>0</v>
      </c>
      <c r="AX436" s="545">
        <f ca="1">IF(AND($D436="Serviço",AX$12&lt;&gt;0,$H436&gt;0,OR(AUTOEVENTO&lt;&gt;"manual",$M436&lt;&gt;1)),
IF(Import.TipoArredondamento&lt;&gt;"TransfereGOV",
ROUND(OFFSET($P436,0,AX$13),15-13*ORÇAMENTO!$AF$7)/$H436*OFFSET(ORÇAMENTO!$X$15,ROW(AX436)-ROW(AX$15),0),
ROUND(ROUND(OFFSET($P436,0,AX$13),15-13*ORÇAMENTO!$AF$7)*OFFSET(ORÇAMENTO!$W$15,ROW(AX436)-ROW(AX$15),0),15-13*ORÇAMENTO!$AF$11)),0)</f>
        <v>0</v>
      </c>
      <c r="AY436" s="545">
        <f ca="1">IF(AND($D436="Serviço",AY$12&lt;&gt;0,$H436&gt;0,OR(AUTOEVENTO&lt;&gt;"manual",$M436&lt;&gt;1)),
IF(Import.TipoArredondamento&lt;&gt;"TransfereGOV",
ROUND(OFFSET($P436,0,AY$13),15-13*ORÇAMENTO!$AF$7)/$H436*OFFSET(ORÇAMENTO!$X$15,ROW(AY436)-ROW(AY$15),0),
ROUND(ROUND(OFFSET($P436,0,AY$13),15-13*ORÇAMENTO!$AF$7)*OFFSET(ORÇAMENTO!$W$15,ROW(AY436)-ROW(AY$15),0),15-13*ORÇAMENTO!$AF$11)),0)</f>
        <v>0</v>
      </c>
      <c r="AZ436" s="545">
        <f ca="1">IF(AND($D436="Serviço",AZ$12&lt;&gt;0,$H436&gt;0,OR(AUTOEVENTO&lt;&gt;"manual",$M436&lt;&gt;1)),
IF(Import.TipoArredondamento&lt;&gt;"TransfereGOV",
ROUND(OFFSET($P436,0,AZ$13),15-13*ORÇAMENTO!$AF$7)/$H436*OFFSET(ORÇAMENTO!$X$15,ROW(AZ436)-ROW(AZ$15),0),
ROUND(ROUND(OFFSET($P436,0,AZ$13),15-13*ORÇAMENTO!$AF$7)*OFFSET(ORÇAMENTO!$W$15,ROW(AZ436)-ROW(AZ$15),0),15-13*ORÇAMENTO!$AF$11)),0)</f>
        <v>0</v>
      </c>
      <c r="BA436" s="546">
        <f ca="1">IF(AND($D436="Serviço",BA$12&lt;&gt;0,$H436&gt;0,OR(AUTOEVENTO&lt;&gt;"manual",$M436&lt;&gt;1)),
IF(Import.TipoArredondamento&lt;&gt;"TransfereGOV",
ROUND(OFFSET($P436,0,BA$13),15-13*ORÇAMENTO!$AF$7)/$H436*OFFSET(ORÇAMENTO!$X$15,ROW(BA436)-ROW(BA$15),0),
ROUND(ROUND(OFFSET($P436,0,BA$13),15-13*ORÇAMENTO!$AF$7)*OFFSET(ORÇAMENTO!$W$15,ROW(BA436)-ROW(BA$15),0),15-13*ORÇAMENTO!$AF$11)),0)</f>
        <v>0</v>
      </c>
      <c r="BC436" s="181">
        <f ca="1">IF($D436&lt;&gt;"Serviço",0,IF(AND(AUTOEVENTO="Manual",$M436=1),0,IF(OFFSET(CRONOPLE!$F$14,$M436,BC$13)="",10^12,OFFSET(CRONOPLE!$F$14,$M436,BC$13))))</f>
        <v>0</v>
      </c>
      <c r="BD436" s="181">
        <f ca="1">IF($D436&lt;&gt;"Serviço",0,IF(AND(AUTOEVENTO="Manual",$M436=1),0,IF(OFFSET(CRONOPLE!$F$14,$M436,BD$13)="",10^12,OFFSET(CRONOPLE!$F$14,$M436,BD$13))))</f>
        <v>0</v>
      </c>
      <c r="BE436" s="181">
        <f ca="1">IF($D436&lt;&gt;"Serviço",0,IF(AND(AUTOEVENTO="Manual",$M436=1),0,IF(OFFSET(CRONOPLE!$F$14,$M436,BE$13)="",10^12,OFFSET(CRONOPLE!$F$14,$M436,BE$13))))</f>
        <v>0</v>
      </c>
      <c r="BF436" s="181">
        <f ca="1">IF($D436&lt;&gt;"Serviço",0,IF(AND(AUTOEVENTO="Manual",$M436=1),0,IF(OFFSET(CRONOPLE!$F$14,$M436,BF$13)="",10^12,OFFSET(CRONOPLE!$F$14,$M436,BF$13))))</f>
        <v>0</v>
      </c>
      <c r="BG436" s="181">
        <f ca="1">IF($D436&lt;&gt;"Serviço",0,IF(AND(AUTOEVENTO="Manual",$M436=1),0,IF(OFFSET(CRONOPLE!$F$14,$M436,BG$13)="",10^12,OFFSET(CRONOPLE!$F$14,$M436,BG$13))))</f>
        <v>0</v>
      </c>
      <c r="BH436" s="181">
        <f ca="1">IF($D436&lt;&gt;"Serviço",0,IF(AND(AUTOEVENTO="Manual",$M436=1),0,IF(OFFSET(CRONOPLE!$F$14,$M436,BH$13)="",10^12,OFFSET(CRONOPLE!$F$14,$M436,BH$13))))</f>
        <v>0</v>
      </c>
      <c r="BI436" s="181">
        <f ca="1">IF($D436&lt;&gt;"Serviço",0,IF(AND(AUTOEVENTO="Manual",$M436=1),0,IF(OFFSET(CRONOPLE!$F$14,$M436,BI$13)="",10^12,OFFSET(CRONOPLE!$F$14,$M436,BI$13))))</f>
        <v>0</v>
      </c>
      <c r="BJ436" s="181">
        <f ca="1">IF($D436&lt;&gt;"Serviço",0,IF(AND(AUTOEVENTO="Manual",$M436=1),0,IF(OFFSET(CRONOPLE!$F$14,$M436,BJ$13)="",10^12,OFFSET(CRONOPLE!$F$14,$M436,BJ$13))))</f>
        <v>0</v>
      </c>
      <c r="BK436" s="181">
        <f ca="1">IF($D436&lt;&gt;"Serviço",0,IF(AND(AUTOEVENTO="Manual",$M436=1),0,IF(OFFSET(CRONOPLE!$F$14,$M436,BK$13)="",10^12,OFFSET(CRONOPLE!$F$14,$M436,BK$13))))</f>
        <v>0</v>
      </c>
      <c r="BL436" s="181">
        <f ca="1">IF($D436&lt;&gt;"Serviço",0,IF(AND(AUTOEVENTO="Manual",$M436=1),0,IF(OFFSET(CRONOPLE!$F$14,$M436,BL$13)="",10^12,OFFSET(CRONOPLE!$F$14,$M436,BL$13))))</f>
        <v>0</v>
      </c>
      <c r="BM436" s="181">
        <f ca="1">IF($D436&lt;&gt;"Serviço",0,IF(AND(AUTOEVENTO="Manual",$M436=1),0,IF(OFFSET(CRONOPLE!$F$14,$M436,BM$13)="",10^12,OFFSET(CRONOPLE!$F$14,$M436,BM$13))))</f>
        <v>0</v>
      </c>
      <c r="BN436" s="181">
        <f ca="1">IF($D436&lt;&gt;"Serviço",0,IF(AND(AUTOEVENTO="Manual",$M436=1),0,IF(OFFSET(CRONOPLE!$F$14,$M436,BN$13)="",10^12,OFFSET(CRONOPLE!$F$14,$M436,BN$13))))</f>
        <v>0</v>
      </c>
      <c r="BO436" s="181">
        <f ca="1">IF($D436&lt;&gt;"Serviço",0,IF(AND(AUTOEVENTO="Manual",$M436=1),0,IF(OFFSET(CRONOPLE!$F$14,$M436,BO$13)="",10^12,OFFSET(CRONOPLE!$F$14,$M436,BO$13))))</f>
        <v>0</v>
      </c>
      <c r="BP436" s="181">
        <f ca="1">IF($D436&lt;&gt;"Serviço",0,IF(AND(AUTOEVENTO="Manual",$M436=1),0,IF(OFFSET(CRONOPLE!$F$14,$M436,BP$13)="",10^12,OFFSET(CRONOPLE!$F$14,$M436,BP$13))))</f>
        <v>0</v>
      </c>
      <c r="BQ436" s="181">
        <f ca="1">IF($D436&lt;&gt;"Serviço",0,IF(AND(AUTOEVENTO="Manual",$M436=1),0,IF(OFFSET(CRONOPLE!$F$14,$M436,BQ$13)="",10^12,OFFSET(CRONOPLE!$F$14,$M436,BQ$13))))</f>
        <v>0</v>
      </c>
      <c r="BR436" s="181">
        <f ca="1">IF($D436&lt;&gt;"Serviço",0,IF(AND(AUTOEVENTO="Manual",$M436=1),0,IF(OFFSET(CRONOPLE!$F$14,$M436,BR$13)="",10^12,OFFSET(CRONOPLE!$F$14,$M436,BR$13))))</f>
        <v>0</v>
      </c>
      <c r="BS436" s="181">
        <f ca="1">IF($D436&lt;&gt;"Serviço",0,IF(AND(AUTOEVENTO="Manual",$M436=1),0,IF(OFFSET(CRONOPLE!$F$14,$M436,BS$13)="",10^12,OFFSET(CRONOPLE!$F$14,$M436,BS$13))))</f>
        <v>0</v>
      </c>
      <c r="BT436" s="181">
        <f ca="1">IF($D436&lt;&gt;"Serviço",0,IF(AND(AUTOEVENTO="Manual",$M436=1),0,IF(OFFSET(CRONOPLE!$F$14,$M436,BT$13)="",10^12,OFFSET(CRONOPLE!$F$14,$M436,BT$13))))</f>
        <v>0</v>
      </c>
      <c r="BV436" s="182">
        <f ca="1">IF($D436&lt;&gt;"Serviço",0,IF(OR(AND(AUTOEVENTO="Manual",$M436=1),$M436&gt;(ROW(PLE.lastrow)-ROW(PLE.firstrow))),0,IF(OFFSET(PLE!$G$14,$M436,BV$13)="",10^12,OFFSET(PLE!$G$14,$M436,BV$13))))</f>
        <v>0</v>
      </c>
      <c r="BW436" s="182">
        <f ca="1">IF($D436&lt;&gt;"Serviço",0,IF(OR(AND(AUTOEVENTO="Manual",$M436=1),$M436&gt;(ROW(PLE.lastrow)-ROW(PLE.firstrow))),0,IF(OFFSET(PLE!$G$14,$M436,BW$13)="",10^12,OFFSET(PLE!$G$14,$M436,BW$13))))</f>
        <v>0</v>
      </c>
      <c r="BX436" s="182">
        <f ca="1">IF($D436&lt;&gt;"Serviço",0,IF(OR(AND(AUTOEVENTO="Manual",$M436=1),$M436&gt;(ROW(PLE.lastrow)-ROW(PLE.firstrow))),0,IF(OFFSET(PLE!$G$14,$M436,BX$13)="",10^12,OFFSET(PLE!$G$14,$M436,BX$13))))</f>
        <v>0</v>
      </c>
      <c r="BY436" s="182">
        <f ca="1">IF($D436&lt;&gt;"Serviço",0,IF(OR(AND(AUTOEVENTO="Manual",$M436=1),$M436&gt;(ROW(PLE.lastrow)-ROW(PLE.firstrow))),0,IF(OFFSET(PLE!$G$14,$M436,BY$13)="",10^12,OFFSET(PLE!$G$14,$M436,BY$13))))</f>
        <v>0</v>
      </c>
      <c r="BZ436" s="182">
        <f ca="1">IF($D436&lt;&gt;"Serviço",0,IF(OR(AND(AUTOEVENTO="Manual",$M436=1),$M436&gt;(ROW(PLE.lastrow)-ROW(PLE.firstrow))),0,IF(OFFSET(PLE!$G$14,$M436,BZ$13)="",10^12,OFFSET(PLE!$G$14,$M436,BZ$13))))</f>
        <v>0</v>
      </c>
      <c r="CA436" s="182">
        <f ca="1">IF($D436&lt;&gt;"Serviço",0,IF(OR(AND(AUTOEVENTO="Manual",$M436=1),$M436&gt;(ROW(PLE.lastrow)-ROW(PLE.firstrow))),0,IF(OFFSET(PLE!$G$14,$M436,CA$13)="",10^12,OFFSET(PLE!$G$14,$M436,CA$13))))</f>
        <v>0</v>
      </c>
      <c r="CB436" s="182">
        <f ca="1">IF($D436&lt;&gt;"Serviço",0,IF(OR(AND(AUTOEVENTO="Manual",$M436=1),$M436&gt;(ROW(PLE.lastrow)-ROW(PLE.firstrow))),0,IF(OFFSET(PLE!$G$14,$M436,CB$13)="",10^12,OFFSET(PLE!$G$14,$M436,CB$13))))</f>
        <v>0</v>
      </c>
      <c r="CC436" s="182">
        <f ca="1">IF($D436&lt;&gt;"Serviço",0,IF(OR(AND(AUTOEVENTO="Manual",$M436=1),$M436&gt;(ROW(PLE.lastrow)-ROW(PLE.firstrow))),0,IF(OFFSET(PLE!$G$14,$M436,CC$13)="",10^12,OFFSET(PLE!$G$14,$M436,CC$13))))</f>
        <v>0</v>
      </c>
      <c r="CD436" s="182">
        <f ca="1">IF($D436&lt;&gt;"Serviço",0,IF(OR(AND(AUTOEVENTO="Manual",$M436=1),$M436&gt;(ROW(PLE.lastrow)-ROW(PLE.firstrow))),0,IF(OFFSET(PLE!$G$14,$M436,CD$13)="",10^12,OFFSET(PLE!$G$14,$M436,CD$13))))</f>
        <v>0</v>
      </c>
      <c r="CE436" s="182">
        <f ca="1">IF($D436&lt;&gt;"Serviço",0,IF(OR(AND(AUTOEVENTO="Manual",$M436=1),$M436&gt;(ROW(PLE.lastrow)-ROW(PLE.firstrow))),0,IF(OFFSET(PLE!$G$14,$M436,CE$13)="",10^12,OFFSET(PLE!$G$14,$M436,CE$13))))</f>
        <v>0</v>
      </c>
      <c r="CF436" s="182">
        <f ca="1">IF($D436&lt;&gt;"Serviço",0,IF(OR(AND(AUTOEVENTO="Manual",$M436=1),$M436&gt;(ROW(PLE.lastrow)-ROW(PLE.firstrow))),0,IF(OFFSET(PLE!$G$14,$M436,CF$13)="",10^12,OFFSET(PLE!$G$14,$M436,CF$13))))</f>
        <v>0</v>
      </c>
      <c r="CG436" s="182">
        <f ca="1">IF($D436&lt;&gt;"Serviço",0,IF(OR(AND(AUTOEVENTO="Manual",$M436=1),$M436&gt;(ROW(PLE.lastrow)-ROW(PLE.firstrow))),0,IF(OFFSET(PLE!$G$14,$M436,CG$13)="",10^12,OFFSET(PLE!$G$14,$M436,CG$13))))</f>
        <v>0</v>
      </c>
      <c r="CH436" s="182">
        <f ca="1">IF($D436&lt;&gt;"Serviço",0,IF(OR(AND(AUTOEVENTO="Manual",$M436=1),$M436&gt;(ROW(PLE.lastrow)-ROW(PLE.firstrow))),0,IF(OFFSET(PLE!$G$14,$M436,CH$13)="",10^12,OFFSET(PLE!$G$14,$M436,CH$13))))</f>
        <v>0</v>
      </c>
      <c r="CI436" s="182">
        <f ca="1">IF($D436&lt;&gt;"Serviço",0,IF(OR(AND(AUTOEVENTO="Manual",$M436=1),$M436&gt;(ROW(PLE.lastrow)-ROW(PLE.firstrow))),0,IF(OFFSET(PLE!$G$14,$M436,CI$13)="",10^12,OFFSET(PLE!$G$14,$M436,CI$13))))</f>
        <v>0</v>
      </c>
      <c r="CJ436" s="182">
        <f ca="1">IF($D436&lt;&gt;"Serviço",0,IF(OR(AND(AUTOEVENTO="Manual",$M436=1),$M436&gt;(ROW(PLE.lastrow)-ROW(PLE.firstrow))),0,IF(OFFSET(PLE!$G$14,$M436,CJ$13)="",10^12,OFFSET(PLE!$G$14,$M436,CJ$13))))</f>
        <v>0</v>
      </c>
      <c r="CK436" s="182">
        <f ca="1">IF($D436&lt;&gt;"Serviço",0,IF(OR(AND(AUTOEVENTO="Manual",$M436=1),$M436&gt;(ROW(PLE.lastrow)-ROW(PLE.firstrow))),0,IF(OFFSET(PLE!$G$14,$M436,CK$13)="",10^12,OFFSET(PLE!$G$14,$M436,CK$13))))</f>
        <v>0</v>
      </c>
      <c r="CL436" s="182">
        <f ca="1">IF($D436&lt;&gt;"Serviço",0,IF(OR(AND(AUTOEVENTO="Manual",$M436=1),$M436&gt;(ROW(PLE.lastrow)-ROW(PLE.firstrow))),0,IF(OFFSET(PLE!$G$14,$M436,CL$13)="",10^12,OFFSET(PLE!$G$14,$M436,CL$13))))</f>
        <v>0</v>
      </c>
      <c r="CM436" s="182">
        <f ca="1">IF($D436&lt;&gt;"Serviço",0,IF(OR(AND(AUTOEVENTO="Manual",$M436=1),$M436&gt;(ROW(PLE.lastrow)-ROW(PLE.firstrow))),0,IF(OFFSET(PLE!$G$14,$M436,CM$13)="",10^12,OFFSET(PLE!$G$14,$M436,CM$13))))</f>
        <v>0</v>
      </c>
    </row>
    <row r="437" spans="1:91" ht="38.25" x14ac:dyDescent="0.2">
      <c r="A437" s="7" t="str">
        <f t="shared" ca="1" si="14"/>
        <v>421</v>
      </c>
      <c r="B437" s="7" t="str">
        <f ca="1">OFFSET(ORÇAMENTO!C$15,ROW(B437)-ROW(B$15),0)</f>
        <v>S</v>
      </c>
      <c r="C437" s="7" t="str">
        <f ca="1">OFFSET(ORÇAMENTO!L$15,ROW(C437)-ROW(C$15),0)</f>
        <v/>
      </c>
      <c r="D437" s="118" t="str">
        <f ca="1">OFFSET(ORÇAMENTO!N$15,ROW(D437)-ROW(D$15),0)</f>
        <v>Serviço</v>
      </c>
      <c r="E437" s="119" t="str">
        <f ca="1">OFFSET(ORÇAMENTO!O$15,ROW(E437)-ROW(E$15),0)</f>
        <v>-</v>
      </c>
      <c r="F437" s="172" t="str">
        <f ca="1">OFFSET(ORÇAMENTO!R$15,ROW(F437)-ROW(F$15),0)</f>
        <v>(abra o arquivo 'Referência 06-2024.xlsm)</v>
      </c>
      <c r="G437" s="173" t="str">
        <f ca="1">IF($D437&lt;&gt;"Serviço","",OFFSET(ORÇAMENTO!S$15,ROW(G437)-ROW(G$15),0))</f>
        <v>-</v>
      </c>
      <c r="H437" s="124">
        <f ca="1">IF($D437&lt;&gt;"Serviço",0,IF(ACOMPANHAMENTO="BM",ROUND(OFFSET(ORÇAMENTO!AJ$15,ROW(H437)-ROW(H$15),0),15-13*ORÇAMENTO!$AF$7),SUMPRODUCT(($Q$12:$AI$12&lt;&gt;"")*ROUND($Q437:$AI437,15-13*ORÇAMENTO!$AF$7))))</f>
        <v>16</v>
      </c>
      <c r="I437" s="561" t="s">
        <v>1107</v>
      </c>
      <c r="K437" s="174"/>
      <c r="L437" s="175" t="s">
        <v>255</v>
      </c>
      <c r="M437" s="176">
        <f ca="1">IF($D437&lt;&gt;"Serviço","",IF(AUTOEVENTO="manual",$A437,IF(ISERROR(MATCH($A437,$A$15:OFFSET($A437,-1,0),0)),MAX($M$15:OFFSET(M437,-1,0))+1,INDEX($M$15:OFFSET(M437,-1,0),MATCH($A437,$A$15:OFFSET($A437,-1,0),0)))))</f>
        <v>49</v>
      </c>
      <c r="N437" s="177" t="str">
        <f ca="1">IF($D437&lt;&gt;"Serviço","",IF(AUTOEVENTO="Manual",IF($A437=0,"&lt;-- defina o número do agrupador",OFFSET(EVENTOS!$D$14,$A437,0)),OFFSET($F$15,$A437,0)))</f>
        <v>SISTEMA DE PROTEÇÃO CONTRA INCÊNDIO - TUBULAÇÕES E CONEXÕES</v>
      </c>
      <c r="O437" s="178"/>
      <c r="Q437" s="178">
        <v>16</v>
      </c>
      <c r="R437" s="179"/>
      <c r="S437" s="179"/>
      <c r="T437" s="179"/>
      <c r="U437" s="179"/>
      <c r="V437" s="179"/>
      <c r="W437" s="179"/>
      <c r="X437" s="179"/>
      <c r="Y437" s="179"/>
      <c r="Z437" s="180"/>
      <c r="AA437" s="179"/>
      <c r="AB437" s="179"/>
      <c r="AC437" s="179"/>
      <c r="AD437" s="179"/>
      <c r="AE437" s="179"/>
      <c r="AF437" s="179"/>
      <c r="AG437" s="179"/>
      <c r="AH437" s="180"/>
      <c r="AJ437" s="544">
        <f ca="1">IF(AND($D437="Serviço",AJ$12&lt;&gt;0,$H437&gt;0,OR(AUTOEVENTO&lt;&gt;"manual",$M437&lt;&gt;1)),
IF(Import.TipoArredondamento&lt;&gt;"TransfereGOV",
ROUND(OFFSET($P437,0,AJ$13),15-13*ORÇAMENTO!$AF$7)/$H437*OFFSET(ORÇAMENTO!$X$15,ROW(AJ437)-ROW(AJ$15),0),
ROUND(ROUND(OFFSET($P437,0,AJ$13),15-13*ORÇAMENTO!$AF$7)*OFFSET(ORÇAMENTO!$W$15,ROW(AJ437)-ROW(AJ$15),0),15-13*ORÇAMENTO!$AF$11)),0)</f>
        <v>0</v>
      </c>
      <c r="AK437" s="545">
        <f ca="1">IF(AND($D437="Serviço",AK$12&lt;&gt;0,$H437&gt;0,OR(AUTOEVENTO&lt;&gt;"manual",$M437&lt;&gt;1)),
IF(Import.TipoArredondamento&lt;&gt;"TransfereGOV",
ROUND(OFFSET($P437,0,AK$13),15-13*ORÇAMENTO!$AF$7)/$H437*OFFSET(ORÇAMENTO!$X$15,ROW(AK437)-ROW(AK$15),0),
ROUND(ROUND(OFFSET($P437,0,AK$13),15-13*ORÇAMENTO!$AF$7)*OFFSET(ORÇAMENTO!$W$15,ROW(AK437)-ROW(AK$15),0),15-13*ORÇAMENTO!$AF$11)),0)</f>
        <v>0</v>
      </c>
      <c r="AL437" s="545">
        <f ca="1">IF(AND($D437="Serviço",AL$12&lt;&gt;0,$H437&gt;0,OR(AUTOEVENTO&lt;&gt;"manual",$M437&lt;&gt;1)),
IF(Import.TipoArredondamento&lt;&gt;"TransfereGOV",
ROUND(OFFSET($P437,0,AL$13),15-13*ORÇAMENTO!$AF$7)/$H437*OFFSET(ORÇAMENTO!$X$15,ROW(AL437)-ROW(AL$15),0),
ROUND(ROUND(OFFSET($P437,0,AL$13),15-13*ORÇAMENTO!$AF$7)*OFFSET(ORÇAMENTO!$W$15,ROW(AL437)-ROW(AL$15),0),15-13*ORÇAMENTO!$AF$11)),0)</f>
        <v>0</v>
      </c>
      <c r="AM437" s="545">
        <f ca="1">IF(AND($D437="Serviço",AM$12&lt;&gt;0,$H437&gt;0,OR(AUTOEVENTO&lt;&gt;"manual",$M437&lt;&gt;1)),
IF(Import.TipoArredondamento&lt;&gt;"TransfereGOV",
ROUND(OFFSET($P437,0,AM$13),15-13*ORÇAMENTO!$AF$7)/$H437*OFFSET(ORÇAMENTO!$X$15,ROW(AM437)-ROW(AM$15),0),
ROUND(ROUND(OFFSET($P437,0,AM$13),15-13*ORÇAMENTO!$AF$7)*OFFSET(ORÇAMENTO!$W$15,ROW(AM437)-ROW(AM$15),0),15-13*ORÇAMENTO!$AF$11)),0)</f>
        <v>0</v>
      </c>
      <c r="AN437" s="545">
        <f ca="1">IF(AND($D437="Serviço",AN$12&lt;&gt;0,$H437&gt;0,OR(AUTOEVENTO&lt;&gt;"manual",$M437&lt;&gt;1)),
IF(Import.TipoArredondamento&lt;&gt;"TransfereGOV",
ROUND(OFFSET($P437,0,AN$13),15-13*ORÇAMENTO!$AF$7)/$H437*OFFSET(ORÇAMENTO!$X$15,ROW(AN437)-ROW(AN$15),0),
ROUND(ROUND(OFFSET($P437,0,AN$13),15-13*ORÇAMENTO!$AF$7)*OFFSET(ORÇAMENTO!$W$15,ROW(AN437)-ROW(AN$15),0),15-13*ORÇAMENTO!$AF$11)),0)</f>
        <v>0</v>
      </c>
      <c r="AO437" s="545">
        <f ca="1">IF(AND($D437="Serviço",AO$12&lt;&gt;0,$H437&gt;0,OR(AUTOEVENTO&lt;&gt;"manual",$M437&lt;&gt;1)),
IF(Import.TipoArredondamento&lt;&gt;"TransfereGOV",
ROUND(OFFSET($P437,0,AO$13),15-13*ORÇAMENTO!$AF$7)/$H437*OFFSET(ORÇAMENTO!$X$15,ROW(AO437)-ROW(AO$15),0),
ROUND(ROUND(OFFSET($P437,0,AO$13),15-13*ORÇAMENTO!$AF$7)*OFFSET(ORÇAMENTO!$W$15,ROW(AO437)-ROW(AO$15),0),15-13*ORÇAMENTO!$AF$11)),0)</f>
        <v>0</v>
      </c>
      <c r="AP437" s="545">
        <f ca="1">IF(AND($D437="Serviço",AP$12&lt;&gt;0,$H437&gt;0,OR(AUTOEVENTO&lt;&gt;"manual",$M437&lt;&gt;1)),
IF(Import.TipoArredondamento&lt;&gt;"TransfereGOV",
ROUND(OFFSET($P437,0,AP$13),15-13*ORÇAMENTO!$AF$7)/$H437*OFFSET(ORÇAMENTO!$X$15,ROW(AP437)-ROW(AP$15),0),
ROUND(ROUND(OFFSET($P437,0,AP$13),15-13*ORÇAMENTO!$AF$7)*OFFSET(ORÇAMENTO!$W$15,ROW(AP437)-ROW(AP$15),0),15-13*ORÇAMENTO!$AF$11)),0)</f>
        <v>0</v>
      </c>
      <c r="AQ437" s="545">
        <f ca="1">IF(AND($D437="Serviço",AQ$12&lt;&gt;0,$H437&gt;0,OR(AUTOEVENTO&lt;&gt;"manual",$M437&lt;&gt;1)),
IF(Import.TipoArredondamento&lt;&gt;"TransfereGOV",
ROUND(OFFSET($P437,0,AQ$13),15-13*ORÇAMENTO!$AF$7)/$H437*OFFSET(ORÇAMENTO!$X$15,ROW(AQ437)-ROW(AQ$15),0),
ROUND(ROUND(OFFSET($P437,0,AQ$13),15-13*ORÇAMENTO!$AF$7)*OFFSET(ORÇAMENTO!$W$15,ROW(AQ437)-ROW(AQ$15),0),15-13*ORÇAMENTO!$AF$11)),0)</f>
        <v>0</v>
      </c>
      <c r="AR437" s="545">
        <f ca="1">IF(AND($D437="Serviço",AR$12&lt;&gt;0,$H437&gt;0,OR(AUTOEVENTO&lt;&gt;"manual",$M437&lt;&gt;1)),
IF(Import.TipoArredondamento&lt;&gt;"TransfereGOV",
ROUND(OFFSET($P437,0,AR$13),15-13*ORÇAMENTO!$AF$7)/$H437*OFFSET(ORÇAMENTO!$X$15,ROW(AR437)-ROW(AR$15),0),
ROUND(ROUND(OFFSET($P437,0,AR$13),15-13*ORÇAMENTO!$AF$7)*OFFSET(ORÇAMENTO!$W$15,ROW(AR437)-ROW(AR$15),0),15-13*ORÇAMENTO!$AF$11)),0)</f>
        <v>0</v>
      </c>
      <c r="AS437" s="546">
        <f ca="1">IF(AND($D437="Serviço",AS$12&lt;&gt;0,$H437&gt;0,OR(AUTOEVENTO&lt;&gt;"manual",$M437&lt;&gt;1)),
IF(Import.TipoArredondamento&lt;&gt;"TransfereGOV",
ROUND(OFFSET($P437,0,AS$13),15-13*ORÇAMENTO!$AF$7)/$H437*OFFSET(ORÇAMENTO!$X$15,ROW(AS437)-ROW(AS$15),0),
ROUND(ROUND(OFFSET($P437,0,AS$13),15-13*ORÇAMENTO!$AF$7)*OFFSET(ORÇAMENTO!$W$15,ROW(AS437)-ROW(AS$15),0),15-13*ORÇAMENTO!$AF$11)),0)</f>
        <v>0</v>
      </c>
      <c r="AT437" s="545">
        <f ca="1">IF(AND($D437="Serviço",AT$12&lt;&gt;0,$H437&gt;0,OR(AUTOEVENTO&lt;&gt;"manual",$M437&lt;&gt;1)),
IF(Import.TipoArredondamento&lt;&gt;"TransfereGOV",
ROUND(OFFSET($P437,0,AT$13),15-13*ORÇAMENTO!$AF$7)/$H437*OFFSET(ORÇAMENTO!$X$15,ROW(AT437)-ROW(AT$15),0),
ROUND(ROUND(OFFSET($P437,0,AT$13),15-13*ORÇAMENTO!$AF$7)*OFFSET(ORÇAMENTO!$W$15,ROW(AT437)-ROW(AT$15),0),15-13*ORÇAMENTO!$AF$11)),0)</f>
        <v>0</v>
      </c>
      <c r="AU437" s="545">
        <f ca="1">IF(AND($D437="Serviço",AU$12&lt;&gt;0,$H437&gt;0,OR(AUTOEVENTO&lt;&gt;"manual",$M437&lt;&gt;1)),
IF(Import.TipoArredondamento&lt;&gt;"TransfereGOV",
ROUND(OFFSET($P437,0,AU$13),15-13*ORÇAMENTO!$AF$7)/$H437*OFFSET(ORÇAMENTO!$X$15,ROW(AU437)-ROW(AU$15),0),
ROUND(ROUND(OFFSET($P437,0,AU$13),15-13*ORÇAMENTO!$AF$7)*OFFSET(ORÇAMENTO!$W$15,ROW(AU437)-ROW(AU$15),0),15-13*ORÇAMENTO!$AF$11)),0)</f>
        <v>0</v>
      </c>
      <c r="AV437" s="545">
        <f ca="1">IF(AND($D437="Serviço",AV$12&lt;&gt;0,$H437&gt;0,OR(AUTOEVENTO&lt;&gt;"manual",$M437&lt;&gt;1)),
IF(Import.TipoArredondamento&lt;&gt;"TransfereGOV",
ROUND(OFFSET($P437,0,AV$13),15-13*ORÇAMENTO!$AF$7)/$H437*OFFSET(ORÇAMENTO!$X$15,ROW(AV437)-ROW(AV$15),0),
ROUND(ROUND(OFFSET($P437,0,AV$13),15-13*ORÇAMENTO!$AF$7)*OFFSET(ORÇAMENTO!$W$15,ROW(AV437)-ROW(AV$15),0),15-13*ORÇAMENTO!$AF$11)),0)</f>
        <v>0</v>
      </c>
      <c r="AW437" s="545">
        <f ca="1">IF(AND($D437="Serviço",AW$12&lt;&gt;0,$H437&gt;0,OR(AUTOEVENTO&lt;&gt;"manual",$M437&lt;&gt;1)),
IF(Import.TipoArredondamento&lt;&gt;"TransfereGOV",
ROUND(OFFSET($P437,0,AW$13),15-13*ORÇAMENTO!$AF$7)/$H437*OFFSET(ORÇAMENTO!$X$15,ROW(AW437)-ROW(AW$15),0),
ROUND(ROUND(OFFSET($P437,0,AW$13),15-13*ORÇAMENTO!$AF$7)*OFFSET(ORÇAMENTO!$W$15,ROW(AW437)-ROW(AW$15),0),15-13*ORÇAMENTO!$AF$11)),0)</f>
        <v>0</v>
      </c>
      <c r="AX437" s="545">
        <f ca="1">IF(AND($D437="Serviço",AX$12&lt;&gt;0,$H437&gt;0,OR(AUTOEVENTO&lt;&gt;"manual",$M437&lt;&gt;1)),
IF(Import.TipoArredondamento&lt;&gt;"TransfereGOV",
ROUND(OFFSET($P437,0,AX$13),15-13*ORÇAMENTO!$AF$7)/$H437*OFFSET(ORÇAMENTO!$X$15,ROW(AX437)-ROW(AX$15),0),
ROUND(ROUND(OFFSET($P437,0,AX$13),15-13*ORÇAMENTO!$AF$7)*OFFSET(ORÇAMENTO!$W$15,ROW(AX437)-ROW(AX$15),0),15-13*ORÇAMENTO!$AF$11)),0)</f>
        <v>0</v>
      </c>
      <c r="AY437" s="545">
        <f ca="1">IF(AND($D437="Serviço",AY$12&lt;&gt;0,$H437&gt;0,OR(AUTOEVENTO&lt;&gt;"manual",$M437&lt;&gt;1)),
IF(Import.TipoArredondamento&lt;&gt;"TransfereGOV",
ROUND(OFFSET($P437,0,AY$13),15-13*ORÇAMENTO!$AF$7)/$H437*OFFSET(ORÇAMENTO!$X$15,ROW(AY437)-ROW(AY$15),0),
ROUND(ROUND(OFFSET($P437,0,AY$13),15-13*ORÇAMENTO!$AF$7)*OFFSET(ORÇAMENTO!$W$15,ROW(AY437)-ROW(AY$15),0),15-13*ORÇAMENTO!$AF$11)),0)</f>
        <v>0</v>
      </c>
      <c r="AZ437" s="545">
        <f ca="1">IF(AND($D437="Serviço",AZ$12&lt;&gt;0,$H437&gt;0,OR(AUTOEVENTO&lt;&gt;"manual",$M437&lt;&gt;1)),
IF(Import.TipoArredondamento&lt;&gt;"TransfereGOV",
ROUND(OFFSET($P437,0,AZ$13),15-13*ORÇAMENTO!$AF$7)/$H437*OFFSET(ORÇAMENTO!$X$15,ROW(AZ437)-ROW(AZ$15),0),
ROUND(ROUND(OFFSET($P437,0,AZ$13),15-13*ORÇAMENTO!$AF$7)*OFFSET(ORÇAMENTO!$W$15,ROW(AZ437)-ROW(AZ$15),0),15-13*ORÇAMENTO!$AF$11)),0)</f>
        <v>0</v>
      </c>
      <c r="BA437" s="546">
        <f ca="1">IF(AND($D437="Serviço",BA$12&lt;&gt;0,$H437&gt;0,OR(AUTOEVENTO&lt;&gt;"manual",$M437&lt;&gt;1)),
IF(Import.TipoArredondamento&lt;&gt;"TransfereGOV",
ROUND(OFFSET($P437,0,BA$13),15-13*ORÇAMENTO!$AF$7)/$H437*OFFSET(ORÇAMENTO!$X$15,ROW(BA437)-ROW(BA$15),0),
ROUND(ROUND(OFFSET($P437,0,BA$13),15-13*ORÇAMENTO!$AF$7)*OFFSET(ORÇAMENTO!$W$15,ROW(BA437)-ROW(BA$15),0),15-13*ORÇAMENTO!$AF$11)),0)</f>
        <v>0</v>
      </c>
      <c r="BC437" s="181">
        <f ca="1">IF($D437&lt;&gt;"Serviço",0,IF(AND(AUTOEVENTO="Manual",$M437=1),0,IF(OFFSET(CRONOPLE!$F$14,$M437,BC$13)="",10^12,OFFSET(CRONOPLE!$F$14,$M437,BC$13))))</f>
        <v>10</v>
      </c>
      <c r="BD437" s="181">
        <f ca="1">IF($D437&lt;&gt;"Serviço",0,IF(AND(AUTOEVENTO="Manual",$M437=1),0,IF(OFFSET(CRONOPLE!$F$14,$M437,BD$13)="",10^12,OFFSET(CRONOPLE!$F$14,$M437,BD$13))))</f>
        <v>1000000000000</v>
      </c>
      <c r="BE437" s="181">
        <f ca="1">IF($D437&lt;&gt;"Serviço",0,IF(AND(AUTOEVENTO="Manual",$M437=1),0,IF(OFFSET(CRONOPLE!$F$14,$M437,BE$13)="",10^12,OFFSET(CRONOPLE!$F$14,$M437,BE$13))))</f>
        <v>1000000000000</v>
      </c>
      <c r="BF437" s="181">
        <f ca="1">IF($D437&lt;&gt;"Serviço",0,IF(AND(AUTOEVENTO="Manual",$M437=1),0,IF(OFFSET(CRONOPLE!$F$14,$M437,BF$13)="",10^12,OFFSET(CRONOPLE!$F$14,$M437,BF$13))))</f>
        <v>1000000000000</v>
      </c>
      <c r="BG437" s="181">
        <f ca="1">IF($D437&lt;&gt;"Serviço",0,IF(AND(AUTOEVENTO="Manual",$M437=1),0,IF(OFFSET(CRONOPLE!$F$14,$M437,BG$13)="",10^12,OFFSET(CRONOPLE!$F$14,$M437,BG$13))))</f>
        <v>1000000000000</v>
      </c>
      <c r="BH437" s="181">
        <f ca="1">IF($D437&lt;&gt;"Serviço",0,IF(AND(AUTOEVENTO="Manual",$M437=1),0,IF(OFFSET(CRONOPLE!$F$14,$M437,BH$13)="",10^12,OFFSET(CRONOPLE!$F$14,$M437,BH$13))))</f>
        <v>1000000000000</v>
      </c>
      <c r="BI437" s="181">
        <f ca="1">IF($D437&lt;&gt;"Serviço",0,IF(AND(AUTOEVENTO="Manual",$M437=1),0,IF(OFFSET(CRONOPLE!$F$14,$M437,BI$13)="",10^12,OFFSET(CRONOPLE!$F$14,$M437,BI$13))))</f>
        <v>1000000000000</v>
      </c>
      <c r="BJ437" s="181">
        <f ca="1">IF($D437&lt;&gt;"Serviço",0,IF(AND(AUTOEVENTO="Manual",$M437=1),0,IF(OFFSET(CRONOPLE!$F$14,$M437,BJ$13)="",10^12,OFFSET(CRONOPLE!$F$14,$M437,BJ$13))))</f>
        <v>1000000000000</v>
      </c>
      <c r="BK437" s="181">
        <f ca="1">IF($D437&lt;&gt;"Serviço",0,IF(AND(AUTOEVENTO="Manual",$M437=1),0,IF(OFFSET(CRONOPLE!$F$14,$M437,BK$13)="",10^12,OFFSET(CRONOPLE!$F$14,$M437,BK$13))))</f>
        <v>1000000000000</v>
      </c>
      <c r="BL437" s="181">
        <f ca="1">IF($D437&lt;&gt;"Serviço",0,IF(AND(AUTOEVENTO="Manual",$M437=1),0,IF(OFFSET(CRONOPLE!$F$14,$M437,BL$13)="",10^12,OFFSET(CRONOPLE!$F$14,$M437,BL$13))))</f>
        <v>1000000000000</v>
      </c>
      <c r="BM437" s="181">
        <f ca="1">IF($D437&lt;&gt;"Serviço",0,IF(AND(AUTOEVENTO="Manual",$M437=1),0,IF(OFFSET(CRONOPLE!$F$14,$M437,BM$13)="",10^12,OFFSET(CRONOPLE!$F$14,$M437,BM$13))))</f>
        <v>1000000000000</v>
      </c>
      <c r="BN437" s="181">
        <f ca="1">IF($D437&lt;&gt;"Serviço",0,IF(AND(AUTOEVENTO="Manual",$M437=1),0,IF(OFFSET(CRONOPLE!$F$14,$M437,BN$13)="",10^12,OFFSET(CRONOPLE!$F$14,$M437,BN$13))))</f>
        <v>1000000000000</v>
      </c>
      <c r="BO437" s="181">
        <f ca="1">IF($D437&lt;&gt;"Serviço",0,IF(AND(AUTOEVENTO="Manual",$M437=1),0,IF(OFFSET(CRONOPLE!$F$14,$M437,BO$13)="",10^12,OFFSET(CRONOPLE!$F$14,$M437,BO$13))))</f>
        <v>1000000000000</v>
      </c>
      <c r="BP437" s="181">
        <f ca="1">IF($D437&lt;&gt;"Serviço",0,IF(AND(AUTOEVENTO="Manual",$M437=1),0,IF(OFFSET(CRONOPLE!$F$14,$M437,BP$13)="",10^12,OFFSET(CRONOPLE!$F$14,$M437,BP$13))))</f>
        <v>1000000000000</v>
      </c>
      <c r="BQ437" s="181">
        <f ca="1">IF($D437&lt;&gt;"Serviço",0,IF(AND(AUTOEVENTO="Manual",$M437=1),0,IF(OFFSET(CRONOPLE!$F$14,$M437,BQ$13)="",10^12,OFFSET(CRONOPLE!$F$14,$M437,BQ$13))))</f>
        <v>1000000000000</v>
      </c>
      <c r="BR437" s="181">
        <f ca="1">IF($D437&lt;&gt;"Serviço",0,IF(AND(AUTOEVENTO="Manual",$M437=1),0,IF(OFFSET(CRONOPLE!$F$14,$M437,BR$13)="",10^12,OFFSET(CRONOPLE!$F$14,$M437,BR$13))))</f>
        <v>1000000000000</v>
      </c>
      <c r="BS437" s="181">
        <f ca="1">IF($D437&lt;&gt;"Serviço",0,IF(AND(AUTOEVENTO="Manual",$M437=1),0,IF(OFFSET(CRONOPLE!$F$14,$M437,BS$13)="",10^12,OFFSET(CRONOPLE!$F$14,$M437,BS$13))))</f>
        <v>1000000000000</v>
      </c>
      <c r="BT437" s="181">
        <f ca="1">IF($D437&lt;&gt;"Serviço",0,IF(AND(AUTOEVENTO="Manual",$M437=1),0,IF(OFFSET(CRONOPLE!$F$14,$M437,BT$13)="",10^12,OFFSET(CRONOPLE!$F$14,$M437,BT$13))))</f>
        <v>1000000000000</v>
      </c>
      <c r="BV437" s="182">
        <f ca="1">IF($D437&lt;&gt;"Serviço",0,IF(OR(AND(AUTOEVENTO="Manual",$M437=1),$M437&gt;(ROW(PLE.lastrow)-ROW(PLE.firstrow))),0,IF(OFFSET(PLE!$G$14,$M437,BV$13)="",10^12,OFFSET(PLE!$G$14,$M437,BV$13))))</f>
        <v>1000000000000</v>
      </c>
      <c r="BW437" s="182">
        <f ca="1">IF($D437&lt;&gt;"Serviço",0,IF(OR(AND(AUTOEVENTO="Manual",$M437=1),$M437&gt;(ROW(PLE.lastrow)-ROW(PLE.firstrow))),0,IF(OFFSET(PLE!$G$14,$M437,BW$13)="",10^12,OFFSET(PLE!$G$14,$M437,BW$13))))</f>
        <v>1000000000000</v>
      </c>
      <c r="BX437" s="182">
        <f ca="1">IF($D437&lt;&gt;"Serviço",0,IF(OR(AND(AUTOEVENTO="Manual",$M437=1),$M437&gt;(ROW(PLE.lastrow)-ROW(PLE.firstrow))),0,IF(OFFSET(PLE!$G$14,$M437,BX$13)="",10^12,OFFSET(PLE!$G$14,$M437,BX$13))))</f>
        <v>1000000000000</v>
      </c>
      <c r="BY437" s="182">
        <f ca="1">IF($D437&lt;&gt;"Serviço",0,IF(OR(AND(AUTOEVENTO="Manual",$M437=1),$M437&gt;(ROW(PLE.lastrow)-ROW(PLE.firstrow))),0,IF(OFFSET(PLE!$G$14,$M437,BY$13)="",10^12,OFFSET(PLE!$G$14,$M437,BY$13))))</f>
        <v>1000000000000</v>
      </c>
      <c r="BZ437" s="182">
        <f ca="1">IF($D437&lt;&gt;"Serviço",0,IF(OR(AND(AUTOEVENTO="Manual",$M437=1),$M437&gt;(ROW(PLE.lastrow)-ROW(PLE.firstrow))),0,IF(OFFSET(PLE!$G$14,$M437,BZ$13)="",10^12,OFFSET(PLE!$G$14,$M437,BZ$13))))</f>
        <v>1000000000000</v>
      </c>
      <c r="CA437" s="182">
        <f ca="1">IF($D437&lt;&gt;"Serviço",0,IF(OR(AND(AUTOEVENTO="Manual",$M437=1),$M437&gt;(ROW(PLE.lastrow)-ROW(PLE.firstrow))),0,IF(OFFSET(PLE!$G$14,$M437,CA$13)="",10^12,OFFSET(PLE!$G$14,$M437,CA$13))))</f>
        <v>1000000000000</v>
      </c>
      <c r="CB437" s="182">
        <f ca="1">IF($D437&lt;&gt;"Serviço",0,IF(OR(AND(AUTOEVENTO="Manual",$M437=1),$M437&gt;(ROW(PLE.lastrow)-ROW(PLE.firstrow))),0,IF(OFFSET(PLE!$G$14,$M437,CB$13)="",10^12,OFFSET(PLE!$G$14,$M437,CB$13))))</f>
        <v>1000000000000</v>
      </c>
      <c r="CC437" s="182">
        <f ca="1">IF($D437&lt;&gt;"Serviço",0,IF(OR(AND(AUTOEVENTO="Manual",$M437=1),$M437&gt;(ROW(PLE.lastrow)-ROW(PLE.firstrow))),0,IF(OFFSET(PLE!$G$14,$M437,CC$13)="",10^12,OFFSET(PLE!$G$14,$M437,CC$13))))</f>
        <v>1000000000000</v>
      </c>
      <c r="CD437" s="182">
        <f ca="1">IF($D437&lt;&gt;"Serviço",0,IF(OR(AND(AUTOEVENTO="Manual",$M437=1),$M437&gt;(ROW(PLE.lastrow)-ROW(PLE.firstrow))),0,IF(OFFSET(PLE!$G$14,$M437,CD$13)="",10^12,OFFSET(PLE!$G$14,$M437,CD$13))))</f>
        <v>1000000000000</v>
      </c>
      <c r="CE437" s="182">
        <f ca="1">IF($D437&lt;&gt;"Serviço",0,IF(OR(AND(AUTOEVENTO="Manual",$M437=1),$M437&gt;(ROW(PLE.lastrow)-ROW(PLE.firstrow))),0,IF(OFFSET(PLE!$G$14,$M437,CE$13)="",10^12,OFFSET(PLE!$G$14,$M437,CE$13))))</f>
        <v>1000000000000</v>
      </c>
      <c r="CF437" s="182">
        <f ca="1">IF($D437&lt;&gt;"Serviço",0,IF(OR(AND(AUTOEVENTO="Manual",$M437=1),$M437&gt;(ROW(PLE.lastrow)-ROW(PLE.firstrow))),0,IF(OFFSET(PLE!$G$14,$M437,CF$13)="",10^12,OFFSET(PLE!$G$14,$M437,CF$13))))</f>
        <v>1000000000000</v>
      </c>
      <c r="CG437" s="182">
        <f ca="1">IF($D437&lt;&gt;"Serviço",0,IF(OR(AND(AUTOEVENTO="Manual",$M437=1),$M437&gt;(ROW(PLE.lastrow)-ROW(PLE.firstrow))),0,IF(OFFSET(PLE!$G$14,$M437,CG$13)="",10^12,OFFSET(PLE!$G$14,$M437,CG$13))))</f>
        <v>1000000000000</v>
      </c>
      <c r="CH437" s="182">
        <f ca="1">IF($D437&lt;&gt;"Serviço",0,IF(OR(AND(AUTOEVENTO="Manual",$M437=1),$M437&gt;(ROW(PLE.lastrow)-ROW(PLE.firstrow))),0,IF(OFFSET(PLE!$G$14,$M437,CH$13)="",10^12,OFFSET(PLE!$G$14,$M437,CH$13))))</f>
        <v>1000000000000</v>
      </c>
      <c r="CI437" s="182">
        <f ca="1">IF($D437&lt;&gt;"Serviço",0,IF(OR(AND(AUTOEVENTO="Manual",$M437=1),$M437&gt;(ROW(PLE.lastrow)-ROW(PLE.firstrow))),0,IF(OFFSET(PLE!$G$14,$M437,CI$13)="",10^12,OFFSET(PLE!$G$14,$M437,CI$13))))</f>
        <v>1000000000000</v>
      </c>
      <c r="CJ437" s="182">
        <f ca="1">IF($D437&lt;&gt;"Serviço",0,IF(OR(AND(AUTOEVENTO="Manual",$M437=1),$M437&gt;(ROW(PLE.lastrow)-ROW(PLE.firstrow))),0,IF(OFFSET(PLE!$G$14,$M437,CJ$13)="",10^12,OFFSET(PLE!$G$14,$M437,CJ$13))))</f>
        <v>1000000000000</v>
      </c>
      <c r="CK437" s="182">
        <f ca="1">IF($D437&lt;&gt;"Serviço",0,IF(OR(AND(AUTOEVENTO="Manual",$M437=1),$M437&gt;(ROW(PLE.lastrow)-ROW(PLE.firstrow))),0,IF(OFFSET(PLE!$G$14,$M437,CK$13)="",10^12,OFFSET(PLE!$G$14,$M437,CK$13))))</f>
        <v>1000000000000</v>
      </c>
      <c r="CL437" s="182">
        <f ca="1">IF($D437&lt;&gt;"Serviço",0,IF(OR(AND(AUTOEVENTO="Manual",$M437=1),$M437&gt;(ROW(PLE.lastrow)-ROW(PLE.firstrow))),0,IF(OFFSET(PLE!$G$14,$M437,CL$13)="",10^12,OFFSET(PLE!$G$14,$M437,CL$13))))</f>
        <v>1000000000000</v>
      </c>
      <c r="CM437" s="182">
        <f ca="1">IF($D437&lt;&gt;"Serviço",0,IF(OR(AND(AUTOEVENTO="Manual",$M437=1),$M437&gt;(ROW(PLE.lastrow)-ROW(PLE.firstrow))),0,IF(OFFSET(PLE!$G$14,$M437,CM$13)="",10^12,OFFSET(PLE!$G$14,$M437,CM$13))))</f>
        <v>1000000000000</v>
      </c>
    </row>
    <row r="438" spans="1:91" ht="51" x14ac:dyDescent="0.2">
      <c r="A438" s="7" t="str">
        <f t="shared" ca="1" si="14"/>
        <v>421</v>
      </c>
      <c r="B438" s="7" t="str">
        <f ca="1">OFFSET(ORÇAMENTO!C$15,ROW(B438)-ROW(B$15),0)</f>
        <v>S</v>
      </c>
      <c r="C438" s="7" t="str">
        <f ca="1">OFFSET(ORÇAMENTO!L$15,ROW(C438)-ROW(C$15),0)</f>
        <v/>
      </c>
      <c r="D438" s="118" t="str">
        <f ca="1">OFFSET(ORÇAMENTO!N$15,ROW(D438)-ROW(D$15),0)</f>
        <v>Serviço</v>
      </c>
      <c r="E438" s="119" t="str">
        <f ca="1">OFFSET(ORÇAMENTO!O$15,ROW(E438)-ROW(E$15),0)</f>
        <v>-</v>
      </c>
      <c r="F438" s="172" t="str">
        <f ca="1">OFFSET(ORÇAMENTO!R$15,ROW(F438)-ROW(F$15),0)</f>
        <v>(abra o arquivo 'Referência 06-2024.xlsm)</v>
      </c>
      <c r="G438" s="173" t="str">
        <f ca="1">IF($D438&lt;&gt;"Serviço","",OFFSET(ORÇAMENTO!S$15,ROW(G438)-ROW(G$15),0))</f>
        <v>-</v>
      </c>
      <c r="H438" s="124">
        <f ca="1">IF($D438&lt;&gt;"Serviço",0,IF(ACOMPANHAMENTO="BM",ROUND(OFFSET(ORÇAMENTO!AJ$15,ROW(H438)-ROW(H$15),0),15-13*ORÇAMENTO!$AF$7),SUMPRODUCT(($Q$12:$AI$12&lt;&gt;"")*ROUND($Q438:$AI438,15-13*ORÇAMENTO!$AF$7))))</f>
        <v>5</v>
      </c>
      <c r="I438" s="561" t="s">
        <v>1107</v>
      </c>
      <c r="K438" s="174"/>
      <c r="L438" s="175" t="s">
        <v>255</v>
      </c>
      <c r="M438" s="176">
        <f ca="1">IF($D438&lt;&gt;"Serviço","",IF(AUTOEVENTO="manual",$A438,IF(ISERROR(MATCH($A438,$A$15:OFFSET($A438,-1,0),0)),MAX($M$15:OFFSET(M438,-1,0))+1,INDEX($M$15:OFFSET(M438,-1,0),MATCH($A438,$A$15:OFFSET($A438,-1,0),0)))))</f>
        <v>49</v>
      </c>
      <c r="N438" s="177" t="str">
        <f ca="1">IF($D438&lt;&gt;"Serviço","",IF(AUTOEVENTO="Manual",IF($A438=0,"&lt;-- defina o número do agrupador",OFFSET(EVENTOS!$D$14,$A438,0)),OFFSET($F$15,$A438,0)))</f>
        <v>SISTEMA DE PROTEÇÃO CONTRA INCÊNDIO - TUBULAÇÕES E CONEXÕES</v>
      </c>
      <c r="O438" s="178"/>
      <c r="Q438" s="178">
        <v>5</v>
      </c>
      <c r="R438" s="179"/>
      <c r="S438" s="179"/>
      <c r="T438" s="179"/>
      <c r="U438" s="179"/>
      <c r="V438" s="179"/>
      <c r="W438" s="179"/>
      <c r="X438" s="179"/>
      <c r="Y438" s="179"/>
      <c r="Z438" s="180"/>
      <c r="AA438" s="179"/>
      <c r="AB438" s="179"/>
      <c r="AC438" s="179"/>
      <c r="AD438" s="179"/>
      <c r="AE438" s="179"/>
      <c r="AF438" s="179"/>
      <c r="AG438" s="179"/>
      <c r="AH438" s="180"/>
      <c r="AJ438" s="544">
        <f ca="1">IF(AND($D438="Serviço",AJ$12&lt;&gt;0,$H438&gt;0,OR(AUTOEVENTO&lt;&gt;"manual",$M438&lt;&gt;1)),
IF(Import.TipoArredondamento&lt;&gt;"TransfereGOV",
ROUND(OFFSET($P438,0,AJ$13),15-13*ORÇAMENTO!$AF$7)/$H438*OFFSET(ORÇAMENTO!$X$15,ROW(AJ438)-ROW(AJ$15),0),
ROUND(ROUND(OFFSET($P438,0,AJ$13),15-13*ORÇAMENTO!$AF$7)*OFFSET(ORÇAMENTO!$W$15,ROW(AJ438)-ROW(AJ$15),0),15-13*ORÇAMENTO!$AF$11)),0)</f>
        <v>0</v>
      </c>
      <c r="AK438" s="545">
        <f ca="1">IF(AND($D438="Serviço",AK$12&lt;&gt;0,$H438&gt;0,OR(AUTOEVENTO&lt;&gt;"manual",$M438&lt;&gt;1)),
IF(Import.TipoArredondamento&lt;&gt;"TransfereGOV",
ROUND(OFFSET($P438,0,AK$13),15-13*ORÇAMENTO!$AF$7)/$H438*OFFSET(ORÇAMENTO!$X$15,ROW(AK438)-ROW(AK$15),0),
ROUND(ROUND(OFFSET($P438,0,AK$13),15-13*ORÇAMENTO!$AF$7)*OFFSET(ORÇAMENTO!$W$15,ROW(AK438)-ROW(AK$15),0),15-13*ORÇAMENTO!$AF$11)),0)</f>
        <v>0</v>
      </c>
      <c r="AL438" s="545">
        <f ca="1">IF(AND($D438="Serviço",AL$12&lt;&gt;0,$H438&gt;0,OR(AUTOEVENTO&lt;&gt;"manual",$M438&lt;&gt;1)),
IF(Import.TipoArredondamento&lt;&gt;"TransfereGOV",
ROUND(OFFSET($P438,0,AL$13),15-13*ORÇAMENTO!$AF$7)/$H438*OFFSET(ORÇAMENTO!$X$15,ROW(AL438)-ROW(AL$15),0),
ROUND(ROUND(OFFSET($P438,0,AL$13),15-13*ORÇAMENTO!$AF$7)*OFFSET(ORÇAMENTO!$W$15,ROW(AL438)-ROW(AL$15),0),15-13*ORÇAMENTO!$AF$11)),0)</f>
        <v>0</v>
      </c>
      <c r="AM438" s="545">
        <f ca="1">IF(AND($D438="Serviço",AM$12&lt;&gt;0,$H438&gt;0,OR(AUTOEVENTO&lt;&gt;"manual",$M438&lt;&gt;1)),
IF(Import.TipoArredondamento&lt;&gt;"TransfereGOV",
ROUND(OFFSET($P438,0,AM$13),15-13*ORÇAMENTO!$AF$7)/$H438*OFFSET(ORÇAMENTO!$X$15,ROW(AM438)-ROW(AM$15),0),
ROUND(ROUND(OFFSET($P438,0,AM$13),15-13*ORÇAMENTO!$AF$7)*OFFSET(ORÇAMENTO!$W$15,ROW(AM438)-ROW(AM$15),0),15-13*ORÇAMENTO!$AF$11)),0)</f>
        <v>0</v>
      </c>
      <c r="AN438" s="545">
        <f ca="1">IF(AND($D438="Serviço",AN$12&lt;&gt;0,$H438&gt;0,OR(AUTOEVENTO&lt;&gt;"manual",$M438&lt;&gt;1)),
IF(Import.TipoArredondamento&lt;&gt;"TransfereGOV",
ROUND(OFFSET($P438,0,AN$13),15-13*ORÇAMENTO!$AF$7)/$H438*OFFSET(ORÇAMENTO!$X$15,ROW(AN438)-ROW(AN$15),0),
ROUND(ROUND(OFFSET($P438,0,AN$13),15-13*ORÇAMENTO!$AF$7)*OFFSET(ORÇAMENTO!$W$15,ROW(AN438)-ROW(AN$15),0),15-13*ORÇAMENTO!$AF$11)),0)</f>
        <v>0</v>
      </c>
      <c r="AO438" s="545">
        <f ca="1">IF(AND($D438="Serviço",AO$12&lt;&gt;0,$H438&gt;0,OR(AUTOEVENTO&lt;&gt;"manual",$M438&lt;&gt;1)),
IF(Import.TipoArredondamento&lt;&gt;"TransfereGOV",
ROUND(OFFSET($P438,0,AO$13),15-13*ORÇAMENTO!$AF$7)/$H438*OFFSET(ORÇAMENTO!$X$15,ROW(AO438)-ROW(AO$15),0),
ROUND(ROUND(OFFSET($P438,0,AO$13),15-13*ORÇAMENTO!$AF$7)*OFFSET(ORÇAMENTO!$W$15,ROW(AO438)-ROW(AO$15),0),15-13*ORÇAMENTO!$AF$11)),0)</f>
        <v>0</v>
      </c>
      <c r="AP438" s="545">
        <f ca="1">IF(AND($D438="Serviço",AP$12&lt;&gt;0,$H438&gt;0,OR(AUTOEVENTO&lt;&gt;"manual",$M438&lt;&gt;1)),
IF(Import.TipoArredondamento&lt;&gt;"TransfereGOV",
ROUND(OFFSET($P438,0,AP$13),15-13*ORÇAMENTO!$AF$7)/$H438*OFFSET(ORÇAMENTO!$X$15,ROW(AP438)-ROW(AP$15),0),
ROUND(ROUND(OFFSET($P438,0,AP$13),15-13*ORÇAMENTO!$AF$7)*OFFSET(ORÇAMENTO!$W$15,ROW(AP438)-ROW(AP$15),0),15-13*ORÇAMENTO!$AF$11)),0)</f>
        <v>0</v>
      </c>
      <c r="AQ438" s="545">
        <f ca="1">IF(AND($D438="Serviço",AQ$12&lt;&gt;0,$H438&gt;0,OR(AUTOEVENTO&lt;&gt;"manual",$M438&lt;&gt;1)),
IF(Import.TipoArredondamento&lt;&gt;"TransfereGOV",
ROUND(OFFSET($P438,0,AQ$13),15-13*ORÇAMENTO!$AF$7)/$H438*OFFSET(ORÇAMENTO!$X$15,ROW(AQ438)-ROW(AQ$15),0),
ROUND(ROUND(OFFSET($P438,0,AQ$13),15-13*ORÇAMENTO!$AF$7)*OFFSET(ORÇAMENTO!$W$15,ROW(AQ438)-ROW(AQ$15),0),15-13*ORÇAMENTO!$AF$11)),0)</f>
        <v>0</v>
      </c>
      <c r="AR438" s="545">
        <f ca="1">IF(AND($D438="Serviço",AR$12&lt;&gt;0,$H438&gt;0,OR(AUTOEVENTO&lt;&gt;"manual",$M438&lt;&gt;1)),
IF(Import.TipoArredondamento&lt;&gt;"TransfereGOV",
ROUND(OFFSET($P438,0,AR$13),15-13*ORÇAMENTO!$AF$7)/$H438*OFFSET(ORÇAMENTO!$X$15,ROW(AR438)-ROW(AR$15),0),
ROUND(ROUND(OFFSET($P438,0,AR$13),15-13*ORÇAMENTO!$AF$7)*OFFSET(ORÇAMENTO!$W$15,ROW(AR438)-ROW(AR$15),0),15-13*ORÇAMENTO!$AF$11)),0)</f>
        <v>0</v>
      </c>
      <c r="AS438" s="546">
        <f ca="1">IF(AND($D438="Serviço",AS$12&lt;&gt;0,$H438&gt;0,OR(AUTOEVENTO&lt;&gt;"manual",$M438&lt;&gt;1)),
IF(Import.TipoArredondamento&lt;&gt;"TransfereGOV",
ROUND(OFFSET($P438,0,AS$13),15-13*ORÇAMENTO!$AF$7)/$H438*OFFSET(ORÇAMENTO!$X$15,ROW(AS438)-ROW(AS$15),0),
ROUND(ROUND(OFFSET($P438,0,AS$13),15-13*ORÇAMENTO!$AF$7)*OFFSET(ORÇAMENTO!$W$15,ROW(AS438)-ROW(AS$15),0),15-13*ORÇAMENTO!$AF$11)),0)</f>
        <v>0</v>
      </c>
      <c r="AT438" s="545">
        <f ca="1">IF(AND($D438="Serviço",AT$12&lt;&gt;0,$H438&gt;0,OR(AUTOEVENTO&lt;&gt;"manual",$M438&lt;&gt;1)),
IF(Import.TipoArredondamento&lt;&gt;"TransfereGOV",
ROUND(OFFSET($P438,0,AT$13),15-13*ORÇAMENTO!$AF$7)/$H438*OFFSET(ORÇAMENTO!$X$15,ROW(AT438)-ROW(AT$15),0),
ROUND(ROUND(OFFSET($P438,0,AT$13),15-13*ORÇAMENTO!$AF$7)*OFFSET(ORÇAMENTO!$W$15,ROW(AT438)-ROW(AT$15),0),15-13*ORÇAMENTO!$AF$11)),0)</f>
        <v>0</v>
      </c>
      <c r="AU438" s="545">
        <f ca="1">IF(AND($D438="Serviço",AU$12&lt;&gt;0,$H438&gt;0,OR(AUTOEVENTO&lt;&gt;"manual",$M438&lt;&gt;1)),
IF(Import.TipoArredondamento&lt;&gt;"TransfereGOV",
ROUND(OFFSET($P438,0,AU$13),15-13*ORÇAMENTO!$AF$7)/$H438*OFFSET(ORÇAMENTO!$X$15,ROW(AU438)-ROW(AU$15),0),
ROUND(ROUND(OFFSET($P438,0,AU$13),15-13*ORÇAMENTO!$AF$7)*OFFSET(ORÇAMENTO!$W$15,ROW(AU438)-ROW(AU$15),0),15-13*ORÇAMENTO!$AF$11)),0)</f>
        <v>0</v>
      </c>
      <c r="AV438" s="545">
        <f ca="1">IF(AND($D438="Serviço",AV$12&lt;&gt;0,$H438&gt;0,OR(AUTOEVENTO&lt;&gt;"manual",$M438&lt;&gt;1)),
IF(Import.TipoArredondamento&lt;&gt;"TransfereGOV",
ROUND(OFFSET($P438,0,AV$13),15-13*ORÇAMENTO!$AF$7)/$H438*OFFSET(ORÇAMENTO!$X$15,ROW(AV438)-ROW(AV$15),0),
ROUND(ROUND(OFFSET($P438,0,AV$13),15-13*ORÇAMENTO!$AF$7)*OFFSET(ORÇAMENTO!$W$15,ROW(AV438)-ROW(AV$15),0),15-13*ORÇAMENTO!$AF$11)),0)</f>
        <v>0</v>
      </c>
      <c r="AW438" s="545">
        <f ca="1">IF(AND($D438="Serviço",AW$12&lt;&gt;0,$H438&gt;0,OR(AUTOEVENTO&lt;&gt;"manual",$M438&lt;&gt;1)),
IF(Import.TipoArredondamento&lt;&gt;"TransfereGOV",
ROUND(OFFSET($P438,0,AW$13),15-13*ORÇAMENTO!$AF$7)/$H438*OFFSET(ORÇAMENTO!$X$15,ROW(AW438)-ROW(AW$15),0),
ROUND(ROUND(OFFSET($P438,0,AW$13),15-13*ORÇAMENTO!$AF$7)*OFFSET(ORÇAMENTO!$W$15,ROW(AW438)-ROW(AW$15),0),15-13*ORÇAMENTO!$AF$11)),0)</f>
        <v>0</v>
      </c>
      <c r="AX438" s="545">
        <f ca="1">IF(AND($D438="Serviço",AX$12&lt;&gt;0,$H438&gt;0,OR(AUTOEVENTO&lt;&gt;"manual",$M438&lt;&gt;1)),
IF(Import.TipoArredondamento&lt;&gt;"TransfereGOV",
ROUND(OFFSET($P438,0,AX$13),15-13*ORÇAMENTO!$AF$7)/$H438*OFFSET(ORÇAMENTO!$X$15,ROW(AX438)-ROW(AX$15),0),
ROUND(ROUND(OFFSET($P438,0,AX$13),15-13*ORÇAMENTO!$AF$7)*OFFSET(ORÇAMENTO!$W$15,ROW(AX438)-ROW(AX$15),0),15-13*ORÇAMENTO!$AF$11)),0)</f>
        <v>0</v>
      </c>
      <c r="AY438" s="545">
        <f ca="1">IF(AND($D438="Serviço",AY$12&lt;&gt;0,$H438&gt;0,OR(AUTOEVENTO&lt;&gt;"manual",$M438&lt;&gt;1)),
IF(Import.TipoArredondamento&lt;&gt;"TransfereGOV",
ROUND(OFFSET($P438,0,AY$13),15-13*ORÇAMENTO!$AF$7)/$H438*OFFSET(ORÇAMENTO!$X$15,ROW(AY438)-ROW(AY$15),0),
ROUND(ROUND(OFFSET($P438,0,AY$13),15-13*ORÇAMENTO!$AF$7)*OFFSET(ORÇAMENTO!$W$15,ROW(AY438)-ROW(AY$15),0),15-13*ORÇAMENTO!$AF$11)),0)</f>
        <v>0</v>
      </c>
      <c r="AZ438" s="545">
        <f ca="1">IF(AND($D438="Serviço",AZ$12&lt;&gt;0,$H438&gt;0,OR(AUTOEVENTO&lt;&gt;"manual",$M438&lt;&gt;1)),
IF(Import.TipoArredondamento&lt;&gt;"TransfereGOV",
ROUND(OFFSET($P438,0,AZ$13),15-13*ORÇAMENTO!$AF$7)/$H438*OFFSET(ORÇAMENTO!$X$15,ROW(AZ438)-ROW(AZ$15),0),
ROUND(ROUND(OFFSET($P438,0,AZ$13),15-13*ORÇAMENTO!$AF$7)*OFFSET(ORÇAMENTO!$W$15,ROW(AZ438)-ROW(AZ$15),0),15-13*ORÇAMENTO!$AF$11)),0)</f>
        <v>0</v>
      </c>
      <c r="BA438" s="546">
        <f ca="1">IF(AND($D438="Serviço",BA$12&lt;&gt;0,$H438&gt;0,OR(AUTOEVENTO&lt;&gt;"manual",$M438&lt;&gt;1)),
IF(Import.TipoArredondamento&lt;&gt;"TransfereGOV",
ROUND(OFFSET($P438,0,BA$13),15-13*ORÇAMENTO!$AF$7)/$H438*OFFSET(ORÇAMENTO!$X$15,ROW(BA438)-ROW(BA$15),0),
ROUND(ROUND(OFFSET($P438,0,BA$13),15-13*ORÇAMENTO!$AF$7)*OFFSET(ORÇAMENTO!$W$15,ROW(BA438)-ROW(BA$15),0),15-13*ORÇAMENTO!$AF$11)),0)</f>
        <v>0</v>
      </c>
      <c r="BC438" s="181">
        <f ca="1">IF($D438&lt;&gt;"Serviço",0,IF(AND(AUTOEVENTO="Manual",$M438=1),0,IF(OFFSET(CRONOPLE!$F$14,$M438,BC$13)="",10^12,OFFSET(CRONOPLE!$F$14,$M438,BC$13))))</f>
        <v>10</v>
      </c>
      <c r="BD438" s="181">
        <f ca="1">IF($D438&lt;&gt;"Serviço",0,IF(AND(AUTOEVENTO="Manual",$M438=1),0,IF(OFFSET(CRONOPLE!$F$14,$M438,BD$13)="",10^12,OFFSET(CRONOPLE!$F$14,$M438,BD$13))))</f>
        <v>1000000000000</v>
      </c>
      <c r="BE438" s="181">
        <f ca="1">IF($D438&lt;&gt;"Serviço",0,IF(AND(AUTOEVENTO="Manual",$M438=1),0,IF(OFFSET(CRONOPLE!$F$14,$M438,BE$13)="",10^12,OFFSET(CRONOPLE!$F$14,$M438,BE$13))))</f>
        <v>1000000000000</v>
      </c>
      <c r="BF438" s="181">
        <f ca="1">IF($D438&lt;&gt;"Serviço",0,IF(AND(AUTOEVENTO="Manual",$M438=1),0,IF(OFFSET(CRONOPLE!$F$14,$M438,BF$13)="",10^12,OFFSET(CRONOPLE!$F$14,$M438,BF$13))))</f>
        <v>1000000000000</v>
      </c>
      <c r="BG438" s="181">
        <f ca="1">IF($D438&lt;&gt;"Serviço",0,IF(AND(AUTOEVENTO="Manual",$M438=1),0,IF(OFFSET(CRONOPLE!$F$14,$M438,BG$13)="",10^12,OFFSET(CRONOPLE!$F$14,$M438,BG$13))))</f>
        <v>1000000000000</v>
      </c>
      <c r="BH438" s="181">
        <f ca="1">IF($D438&lt;&gt;"Serviço",0,IF(AND(AUTOEVENTO="Manual",$M438=1),0,IF(OFFSET(CRONOPLE!$F$14,$M438,BH$13)="",10^12,OFFSET(CRONOPLE!$F$14,$M438,BH$13))))</f>
        <v>1000000000000</v>
      </c>
      <c r="BI438" s="181">
        <f ca="1">IF($D438&lt;&gt;"Serviço",0,IF(AND(AUTOEVENTO="Manual",$M438=1),0,IF(OFFSET(CRONOPLE!$F$14,$M438,BI$13)="",10^12,OFFSET(CRONOPLE!$F$14,$M438,BI$13))))</f>
        <v>1000000000000</v>
      </c>
      <c r="BJ438" s="181">
        <f ca="1">IF($D438&lt;&gt;"Serviço",0,IF(AND(AUTOEVENTO="Manual",$M438=1),0,IF(OFFSET(CRONOPLE!$F$14,$M438,BJ$13)="",10^12,OFFSET(CRONOPLE!$F$14,$M438,BJ$13))))</f>
        <v>1000000000000</v>
      </c>
      <c r="BK438" s="181">
        <f ca="1">IF($D438&lt;&gt;"Serviço",0,IF(AND(AUTOEVENTO="Manual",$M438=1),0,IF(OFFSET(CRONOPLE!$F$14,$M438,BK$13)="",10^12,OFFSET(CRONOPLE!$F$14,$M438,BK$13))))</f>
        <v>1000000000000</v>
      </c>
      <c r="BL438" s="181">
        <f ca="1">IF($D438&lt;&gt;"Serviço",0,IF(AND(AUTOEVENTO="Manual",$M438=1),0,IF(OFFSET(CRONOPLE!$F$14,$M438,BL$13)="",10^12,OFFSET(CRONOPLE!$F$14,$M438,BL$13))))</f>
        <v>1000000000000</v>
      </c>
      <c r="BM438" s="181">
        <f ca="1">IF($D438&lt;&gt;"Serviço",0,IF(AND(AUTOEVENTO="Manual",$M438=1),0,IF(OFFSET(CRONOPLE!$F$14,$M438,BM$13)="",10^12,OFFSET(CRONOPLE!$F$14,$M438,BM$13))))</f>
        <v>1000000000000</v>
      </c>
      <c r="BN438" s="181">
        <f ca="1">IF($D438&lt;&gt;"Serviço",0,IF(AND(AUTOEVENTO="Manual",$M438=1),0,IF(OFFSET(CRONOPLE!$F$14,$M438,BN$13)="",10^12,OFFSET(CRONOPLE!$F$14,$M438,BN$13))))</f>
        <v>1000000000000</v>
      </c>
      <c r="BO438" s="181">
        <f ca="1">IF($D438&lt;&gt;"Serviço",0,IF(AND(AUTOEVENTO="Manual",$M438=1),0,IF(OFFSET(CRONOPLE!$F$14,$M438,BO$13)="",10^12,OFFSET(CRONOPLE!$F$14,$M438,BO$13))))</f>
        <v>1000000000000</v>
      </c>
      <c r="BP438" s="181">
        <f ca="1">IF($D438&lt;&gt;"Serviço",0,IF(AND(AUTOEVENTO="Manual",$M438=1),0,IF(OFFSET(CRONOPLE!$F$14,$M438,BP$13)="",10^12,OFFSET(CRONOPLE!$F$14,$M438,BP$13))))</f>
        <v>1000000000000</v>
      </c>
      <c r="BQ438" s="181">
        <f ca="1">IF($D438&lt;&gt;"Serviço",0,IF(AND(AUTOEVENTO="Manual",$M438=1),0,IF(OFFSET(CRONOPLE!$F$14,$M438,BQ$13)="",10^12,OFFSET(CRONOPLE!$F$14,$M438,BQ$13))))</f>
        <v>1000000000000</v>
      </c>
      <c r="BR438" s="181">
        <f ca="1">IF($D438&lt;&gt;"Serviço",0,IF(AND(AUTOEVENTO="Manual",$M438=1),0,IF(OFFSET(CRONOPLE!$F$14,$M438,BR$13)="",10^12,OFFSET(CRONOPLE!$F$14,$M438,BR$13))))</f>
        <v>1000000000000</v>
      </c>
      <c r="BS438" s="181">
        <f ca="1">IF($D438&lt;&gt;"Serviço",0,IF(AND(AUTOEVENTO="Manual",$M438=1),0,IF(OFFSET(CRONOPLE!$F$14,$M438,BS$13)="",10^12,OFFSET(CRONOPLE!$F$14,$M438,BS$13))))</f>
        <v>1000000000000</v>
      </c>
      <c r="BT438" s="181">
        <f ca="1">IF($D438&lt;&gt;"Serviço",0,IF(AND(AUTOEVENTO="Manual",$M438=1),0,IF(OFFSET(CRONOPLE!$F$14,$M438,BT$13)="",10^12,OFFSET(CRONOPLE!$F$14,$M438,BT$13))))</f>
        <v>1000000000000</v>
      </c>
      <c r="BV438" s="182">
        <f ca="1">IF($D438&lt;&gt;"Serviço",0,IF(OR(AND(AUTOEVENTO="Manual",$M438=1),$M438&gt;(ROW(PLE.lastrow)-ROW(PLE.firstrow))),0,IF(OFFSET(PLE!$G$14,$M438,BV$13)="",10^12,OFFSET(PLE!$G$14,$M438,BV$13))))</f>
        <v>1000000000000</v>
      </c>
      <c r="BW438" s="182">
        <f ca="1">IF($D438&lt;&gt;"Serviço",0,IF(OR(AND(AUTOEVENTO="Manual",$M438=1),$M438&gt;(ROW(PLE.lastrow)-ROW(PLE.firstrow))),0,IF(OFFSET(PLE!$G$14,$M438,BW$13)="",10^12,OFFSET(PLE!$G$14,$M438,BW$13))))</f>
        <v>1000000000000</v>
      </c>
      <c r="BX438" s="182">
        <f ca="1">IF($D438&lt;&gt;"Serviço",0,IF(OR(AND(AUTOEVENTO="Manual",$M438=1),$M438&gt;(ROW(PLE.lastrow)-ROW(PLE.firstrow))),0,IF(OFFSET(PLE!$G$14,$M438,BX$13)="",10^12,OFFSET(PLE!$G$14,$M438,BX$13))))</f>
        <v>1000000000000</v>
      </c>
      <c r="BY438" s="182">
        <f ca="1">IF($D438&lt;&gt;"Serviço",0,IF(OR(AND(AUTOEVENTO="Manual",$M438=1),$M438&gt;(ROW(PLE.lastrow)-ROW(PLE.firstrow))),0,IF(OFFSET(PLE!$G$14,$M438,BY$13)="",10^12,OFFSET(PLE!$G$14,$M438,BY$13))))</f>
        <v>1000000000000</v>
      </c>
      <c r="BZ438" s="182">
        <f ca="1">IF($D438&lt;&gt;"Serviço",0,IF(OR(AND(AUTOEVENTO="Manual",$M438=1),$M438&gt;(ROW(PLE.lastrow)-ROW(PLE.firstrow))),0,IF(OFFSET(PLE!$G$14,$M438,BZ$13)="",10^12,OFFSET(PLE!$G$14,$M438,BZ$13))))</f>
        <v>1000000000000</v>
      </c>
      <c r="CA438" s="182">
        <f ca="1">IF($D438&lt;&gt;"Serviço",0,IF(OR(AND(AUTOEVENTO="Manual",$M438=1),$M438&gt;(ROW(PLE.lastrow)-ROW(PLE.firstrow))),0,IF(OFFSET(PLE!$G$14,$M438,CA$13)="",10^12,OFFSET(PLE!$G$14,$M438,CA$13))))</f>
        <v>1000000000000</v>
      </c>
      <c r="CB438" s="182">
        <f ca="1">IF($D438&lt;&gt;"Serviço",0,IF(OR(AND(AUTOEVENTO="Manual",$M438=1),$M438&gt;(ROW(PLE.lastrow)-ROW(PLE.firstrow))),0,IF(OFFSET(PLE!$G$14,$M438,CB$13)="",10^12,OFFSET(PLE!$G$14,$M438,CB$13))))</f>
        <v>1000000000000</v>
      </c>
      <c r="CC438" s="182">
        <f ca="1">IF($D438&lt;&gt;"Serviço",0,IF(OR(AND(AUTOEVENTO="Manual",$M438=1),$M438&gt;(ROW(PLE.lastrow)-ROW(PLE.firstrow))),0,IF(OFFSET(PLE!$G$14,$M438,CC$13)="",10^12,OFFSET(PLE!$G$14,$M438,CC$13))))</f>
        <v>1000000000000</v>
      </c>
      <c r="CD438" s="182">
        <f ca="1">IF($D438&lt;&gt;"Serviço",0,IF(OR(AND(AUTOEVENTO="Manual",$M438=1),$M438&gt;(ROW(PLE.lastrow)-ROW(PLE.firstrow))),0,IF(OFFSET(PLE!$G$14,$M438,CD$13)="",10^12,OFFSET(PLE!$G$14,$M438,CD$13))))</f>
        <v>1000000000000</v>
      </c>
      <c r="CE438" s="182">
        <f ca="1">IF($D438&lt;&gt;"Serviço",0,IF(OR(AND(AUTOEVENTO="Manual",$M438=1),$M438&gt;(ROW(PLE.lastrow)-ROW(PLE.firstrow))),0,IF(OFFSET(PLE!$G$14,$M438,CE$13)="",10^12,OFFSET(PLE!$G$14,$M438,CE$13))))</f>
        <v>1000000000000</v>
      </c>
      <c r="CF438" s="182">
        <f ca="1">IF($D438&lt;&gt;"Serviço",0,IF(OR(AND(AUTOEVENTO="Manual",$M438=1),$M438&gt;(ROW(PLE.lastrow)-ROW(PLE.firstrow))),0,IF(OFFSET(PLE!$G$14,$M438,CF$13)="",10^12,OFFSET(PLE!$G$14,$M438,CF$13))))</f>
        <v>1000000000000</v>
      </c>
      <c r="CG438" s="182">
        <f ca="1">IF($D438&lt;&gt;"Serviço",0,IF(OR(AND(AUTOEVENTO="Manual",$M438=1),$M438&gt;(ROW(PLE.lastrow)-ROW(PLE.firstrow))),0,IF(OFFSET(PLE!$G$14,$M438,CG$13)="",10^12,OFFSET(PLE!$G$14,$M438,CG$13))))</f>
        <v>1000000000000</v>
      </c>
      <c r="CH438" s="182">
        <f ca="1">IF($D438&lt;&gt;"Serviço",0,IF(OR(AND(AUTOEVENTO="Manual",$M438=1),$M438&gt;(ROW(PLE.lastrow)-ROW(PLE.firstrow))),0,IF(OFFSET(PLE!$G$14,$M438,CH$13)="",10^12,OFFSET(PLE!$G$14,$M438,CH$13))))</f>
        <v>1000000000000</v>
      </c>
      <c r="CI438" s="182">
        <f ca="1">IF($D438&lt;&gt;"Serviço",0,IF(OR(AND(AUTOEVENTO="Manual",$M438=1),$M438&gt;(ROW(PLE.lastrow)-ROW(PLE.firstrow))),0,IF(OFFSET(PLE!$G$14,$M438,CI$13)="",10^12,OFFSET(PLE!$G$14,$M438,CI$13))))</f>
        <v>1000000000000</v>
      </c>
      <c r="CJ438" s="182">
        <f ca="1">IF($D438&lt;&gt;"Serviço",0,IF(OR(AND(AUTOEVENTO="Manual",$M438=1),$M438&gt;(ROW(PLE.lastrow)-ROW(PLE.firstrow))),0,IF(OFFSET(PLE!$G$14,$M438,CJ$13)="",10^12,OFFSET(PLE!$G$14,$M438,CJ$13))))</f>
        <v>1000000000000</v>
      </c>
      <c r="CK438" s="182">
        <f ca="1">IF($D438&lt;&gt;"Serviço",0,IF(OR(AND(AUTOEVENTO="Manual",$M438=1),$M438&gt;(ROW(PLE.lastrow)-ROW(PLE.firstrow))),0,IF(OFFSET(PLE!$G$14,$M438,CK$13)="",10^12,OFFSET(PLE!$G$14,$M438,CK$13))))</f>
        <v>1000000000000</v>
      </c>
      <c r="CL438" s="182">
        <f ca="1">IF($D438&lt;&gt;"Serviço",0,IF(OR(AND(AUTOEVENTO="Manual",$M438=1),$M438&gt;(ROW(PLE.lastrow)-ROW(PLE.firstrow))),0,IF(OFFSET(PLE!$G$14,$M438,CL$13)="",10^12,OFFSET(PLE!$G$14,$M438,CL$13))))</f>
        <v>1000000000000</v>
      </c>
      <c r="CM438" s="182">
        <f ca="1">IF($D438&lt;&gt;"Serviço",0,IF(OR(AND(AUTOEVENTO="Manual",$M438=1),$M438&gt;(ROW(PLE.lastrow)-ROW(PLE.firstrow))),0,IF(OFFSET(PLE!$G$14,$M438,CM$13)="",10^12,OFFSET(PLE!$G$14,$M438,CM$13))))</f>
        <v>1000000000000</v>
      </c>
    </row>
    <row r="439" spans="1:91" ht="38.25" x14ac:dyDescent="0.2">
      <c r="A439" s="7" t="str">
        <f t="shared" ca="1" si="14"/>
        <v>421</v>
      </c>
      <c r="B439" s="7" t="str">
        <f ca="1">OFFSET(ORÇAMENTO!C$15,ROW(B439)-ROW(B$15),0)</f>
        <v>S</v>
      </c>
      <c r="C439" s="7" t="str">
        <f ca="1">OFFSET(ORÇAMENTO!L$15,ROW(C439)-ROW(C$15),0)</f>
        <v/>
      </c>
      <c r="D439" s="118" t="str">
        <f ca="1">OFFSET(ORÇAMENTO!N$15,ROW(D439)-ROW(D$15),0)</f>
        <v>Serviço</v>
      </c>
      <c r="E439" s="119" t="str">
        <f ca="1">OFFSET(ORÇAMENTO!O$15,ROW(E439)-ROW(E$15),0)</f>
        <v>-</v>
      </c>
      <c r="F439" s="172" t="str">
        <f ca="1">OFFSET(ORÇAMENTO!R$15,ROW(F439)-ROW(F$15),0)</f>
        <v>(abra o arquivo 'Referência 06-2024.xlsm)</v>
      </c>
      <c r="G439" s="173" t="str">
        <f ca="1">IF($D439&lt;&gt;"Serviço","",OFFSET(ORÇAMENTO!S$15,ROW(G439)-ROW(G$15),0))</f>
        <v>-</v>
      </c>
      <c r="H439" s="124">
        <f ca="1">IF($D439&lt;&gt;"Serviço",0,IF(ACOMPANHAMENTO="BM",ROUND(OFFSET(ORÇAMENTO!AJ$15,ROW(H439)-ROW(H$15),0),15-13*ORÇAMENTO!$AF$7),SUMPRODUCT(($Q$12:$AI$12&lt;&gt;"")*ROUND($Q439:$AI439,15-13*ORÇAMENTO!$AF$7))))</f>
        <v>22</v>
      </c>
      <c r="I439" s="561" t="s">
        <v>1107</v>
      </c>
      <c r="K439" s="174"/>
      <c r="L439" s="175" t="s">
        <v>255</v>
      </c>
      <c r="M439" s="176">
        <f ca="1">IF($D439&lt;&gt;"Serviço","",IF(AUTOEVENTO="manual",$A439,IF(ISERROR(MATCH($A439,$A$15:OFFSET($A439,-1,0),0)),MAX($M$15:OFFSET(M439,-1,0))+1,INDEX($M$15:OFFSET(M439,-1,0),MATCH($A439,$A$15:OFFSET($A439,-1,0),0)))))</f>
        <v>49</v>
      </c>
      <c r="N439" s="177" t="str">
        <f ca="1">IF($D439&lt;&gt;"Serviço","",IF(AUTOEVENTO="Manual",IF($A439=0,"&lt;-- defina o número do agrupador",OFFSET(EVENTOS!$D$14,$A439,0)),OFFSET($F$15,$A439,0)))</f>
        <v>SISTEMA DE PROTEÇÃO CONTRA INCÊNDIO - TUBULAÇÕES E CONEXÕES</v>
      </c>
      <c r="O439" s="178"/>
      <c r="Q439" s="178">
        <v>22</v>
      </c>
      <c r="R439" s="179"/>
      <c r="S439" s="179"/>
      <c r="T439" s="179"/>
      <c r="U439" s="179"/>
      <c r="V439" s="179"/>
      <c r="W439" s="179"/>
      <c r="X439" s="179"/>
      <c r="Y439" s="179"/>
      <c r="Z439" s="180"/>
      <c r="AA439" s="179"/>
      <c r="AB439" s="179"/>
      <c r="AC439" s="179"/>
      <c r="AD439" s="179"/>
      <c r="AE439" s="179"/>
      <c r="AF439" s="179"/>
      <c r="AG439" s="179"/>
      <c r="AH439" s="180"/>
      <c r="AJ439" s="544">
        <f ca="1">IF(AND($D439="Serviço",AJ$12&lt;&gt;0,$H439&gt;0,OR(AUTOEVENTO&lt;&gt;"manual",$M439&lt;&gt;1)),
IF(Import.TipoArredondamento&lt;&gt;"TransfereGOV",
ROUND(OFFSET($P439,0,AJ$13),15-13*ORÇAMENTO!$AF$7)/$H439*OFFSET(ORÇAMENTO!$X$15,ROW(AJ439)-ROW(AJ$15),0),
ROUND(ROUND(OFFSET($P439,0,AJ$13),15-13*ORÇAMENTO!$AF$7)*OFFSET(ORÇAMENTO!$W$15,ROW(AJ439)-ROW(AJ$15),0),15-13*ORÇAMENTO!$AF$11)),0)</f>
        <v>0</v>
      </c>
      <c r="AK439" s="545">
        <f ca="1">IF(AND($D439="Serviço",AK$12&lt;&gt;0,$H439&gt;0,OR(AUTOEVENTO&lt;&gt;"manual",$M439&lt;&gt;1)),
IF(Import.TipoArredondamento&lt;&gt;"TransfereGOV",
ROUND(OFFSET($P439,0,AK$13),15-13*ORÇAMENTO!$AF$7)/$H439*OFFSET(ORÇAMENTO!$X$15,ROW(AK439)-ROW(AK$15),0),
ROUND(ROUND(OFFSET($P439,0,AK$13),15-13*ORÇAMENTO!$AF$7)*OFFSET(ORÇAMENTO!$W$15,ROW(AK439)-ROW(AK$15),0),15-13*ORÇAMENTO!$AF$11)),0)</f>
        <v>0</v>
      </c>
      <c r="AL439" s="545">
        <f ca="1">IF(AND($D439="Serviço",AL$12&lt;&gt;0,$H439&gt;0,OR(AUTOEVENTO&lt;&gt;"manual",$M439&lt;&gt;1)),
IF(Import.TipoArredondamento&lt;&gt;"TransfereGOV",
ROUND(OFFSET($P439,0,AL$13),15-13*ORÇAMENTO!$AF$7)/$H439*OFFSET(ORÇAMENTO!$X$15,ROW(AL439)-ROW(AL$15),0),
ROUND(ROUND(OFFSET($P439,0,AL$13),15-13*ORÇAMENTO!$AF$7)*OFFSET(ORÇAMENTO!$W$15,ROW(AL439)-ROW(AL$15),0),15-13*ORÇAMENTO!$AF$11)),0)</f>
        <v>0</v>
      </c>
      <c r="AM439" s="545">
        <f ca="1">IF(AND($D439="Serviço",AM$12&lt;&gt;0,$H439&gt;0,OR(AUTOEVENTO&lt;&gt;"manual",$M439&lt;&gt;1)),
IF(Import.TipoArredondamento&lt;&gt;"TransfereGOV",
ROUND(OFFSET($P439,0,AM$13),15-13*ORÇAMENTO!$AF$7)/$H439*OFFSET(ORÇAMENTO!$X$15,ROW(AM439)-ROW(AM$15),0),
ROUND(ROUND(OFFSET($P439,0,AM$13),15-13*ORÇAMENTO!$AF$7)*OFFSET(ORÇAMENTO!$W$15,ROW(AM439)-ROW(AM$15),0),15-13*ORÇAMENTO!$AF$11)),0)</f>
        <v>0</v>
      </c>
      <c r="AN439" s="545">
        <f ca="1">IF(AND($D439="Serviço",AN$12&lt;&gt;0,$H439&gt;0,OR(AUTOEVENTO&lt;&gt;"manual",$M439&lt;&gt;1)),
IF(Import.TipoArredondamento&lt;&gt;"TransfereGOV",
ROUND(OFFSET($P439,0,AN$13),15-13*ORÇAMENTO!$AF$7)/$H439*OFFSET(ORÇAMENTO!$X$15,ROW(AN439)-ROW(AN$15),0),
ROUND(ROUND(OFFSET($P439,0,AN$13),15-13*ORÇAMENTO!$AF$7)*OFFSET(ORÇAMENTO!$W$15,ROW(AN439)-ROW(AN$15),0),15-13*ORÇAMENTO!$AF$11)),0)</f>
        <v>0</v>
      </c>
      <c r="AO439" s="545">
        <f ca="1">IF(AND($D439="Serviço",AO$12&lt;&gt;0,$H439&gt;0,OR(AUTOEVENTO&lt;&gt;"manual",$M439&lt;&gt;1)),
IF(Import.TipoArredondamento&lt;&gt;"TransfereGOV",
ROUND(OFFSET($P439,0,AO$13),15-13*ORÇAMENTO!$AF$7)/$H439*OFFSET(ORÇAMENTO!$X$15,ROW(AO439)-ROW(AO$15),0),
ROUND(ROUND(OFFSET($P439,0,AO$13),15-13*ORÇAMENTO!$AF$7)*OFFSET(ORÇAMENTO!$W$15,ROW(AO439)-ROW(AO$15),0),15-13*ORÇAMENTO!$AF$11)),0)</f>
        <v>0</v>
      </c>
      <c r="AP439" s="545">
        <f ca="1">IF(AND($D439="Serviço",AP$12&lt;&gt;0,$H439&gt;0,OR(AUTOEVENTO&lt;&gt;"manual",$M439&lt;&gt;1)),
IF(Import.TipoArredondamento&lt;&gt;"TransfereGOV",
ROUND(OFFSET($P439,0,AP$13),15-13*ORÇAMENTO!$AF$7)/$H439*OFFSET(ORÇAMENTO!$X$15,ROW(AP439)-ROW(AP$15),0),
ROUND(ROUND(OFFSET($P439,0,AP$13),15-13*ORÇAMENTO!$AF$7)*OFFSET(ORÇAMENTO!$W$15,ROW(AP439)-ROW(AP$15),0),15-13*ORÇAMENTO!$AF$11)),0)</f>
        <v>0</v>
      </c>
      <c r="AQ439" s="545">
        <f ca="1">IF(AND($D439="Serviço",AQ$12&lt;&gt;0,$H439&gt;0,OR(AUTOEVENTO&lt;&gt;"manual",$M439&lt;&gt;1)),
IF(Import.TipoArredondamento&lt;&gt;"TransfereGOV",
ROUND(OFFSET($P439,0,AQ$13),15-13*ORÇAMENTO!$AF$7)/$H439*OFFSET(ORÇAMENTO!$X$15,ROW(AQ439)-ROW(AQ$15),0),
ROUND(ROUND(OFFSET($P439,0,AQ$13),15-13*ORÇAMENTO!$AF$7)*OFFSET(ORÇAMENTO!$W$15,ROW(AQ439)-ROW(AQ$15),0),15-13*ORÇAMENTO!$AF$11)),0)</f>
        <v>0</v>
      </c>
      <c r="AR439" s="545">
        <f ca="1">IF(AND($D439="Serviço",AR$12&lt;&gt;0,$H439&gt;0,OR(AUTOEVENTO&lt;&gt;"manual",$M439&lt;&gt;1)),
IF(Import.TipoArredondamento&lt;&gt;"TransfereGOV",
ROUND(OFFSET($P439,0,AR$13),15-13*ORÇAMENTO!$AF$7)/$H439*OFFSET(ORÇAMENTO!$X$15,ROW(AR439)-ROW(AR$15),0),
ROUND(ROUND(OFFSET($P439,0,AR$13),15-13*ORÇAMENTO!$AF$7)*OFFSET(ORÇAMENTO!$W$15,ROW(AR439)-ROW(AR$15),0),15-13*ORÇAMENTO!$AF$11)),0)</f>
        <v>0</v>
      </c>
      <c r="AS439" s="546">
        <f ca="1">IF(AND($D439="Serviço",AS$12&lt;&gt;0,$H439&gt;0,OR(AUTOEVENTO&lt;&gt;"manual",$M439&lt;&gt;1)),
IF(Import.TipoArredondamento&lt;&gt;"TransfereGOV",
ROUND(OFFSET($P439,0,AS$13),15-13*ORÇAMENTO!$AF$7)/$H439*OFFSET(ORÇAMENTO!$X$15,ROW(AS439)-ROW(AS$15),0),
ROUND(ROUND(OFFSET($P439,0,AS$13),15-13*ORÇAMENTO!$AF$7)*OFFSET(ORÇAMENTO!$W$15,ROW(AS439)-ROW(AS$15),0),15-13*ORÇAMENTO!$AF$11)),0)</f>
        <v>0</v>
      </c>
      <c r="AT439" s="545">
        <f ca="1">IF(AND($D439="Serviço",AT$12&lt;&gt;0,$H439&gt;0,OR(AUTOEVENTO&lt;&gt;"manual",$M439&lt;&gt;1)),
IF(Import.TipoArredondamento&lt;&gt;"TransfereGOV",
ROUND(OFFSET($P439,0,AT$13),15-13*ORÇAMENTO!$AF$7)/$H439*OFFSET(ORÇAMENTO!$X$15,ROW(AT439)-ROW(AT$15),0),
ROUND(ROUND(OFFSET($P439,0,AT$13),15-13*ORÇAMENTO!$AF$7)*OFFSET(ORÇAMENTO!$W$15,ROW(AT439)-ROW(AT$15),0),15-13*ORÇAMENTO!$AF$11)),0)</f>
        <v>0</v>
      </c>
      <c r="AU439" s="545">
        <f ca="1">IF(AND($D439="Serviço",AU$12&lt;&gt;0,$H439&gt;0,OR(AUTOEVENTO&lt;&gt;"manual",$M439&lt;&gt;1)),
IF(Import.TipoArredondamento&lt;&gt;"TransfereGOV",
ROUND(OFFSET($P439,0,AU$13),15-13*ORÇAMENTO!$AF$7)/$H439*OFFSET(ORÇAMENTO!$X$15,ROW(AU439)-ROW(AU$15),0),
ROUND(ROUND(OFFSET($P439,0,AU$13),15-13*ORÇAMENTO!$AF$7)*OFFSET(ORÇAMENTO!$W$15,ROW(AU439)-ROW(AU$15),0),15-13*ORÇAMENTO!$AF$11)),0)</f>
        <v>0</v>
      </c>
      <c r="AV439" s="545">
        <f ca="1">IF(AND($D439="Serviço",AV$12&lt;&gt;0,$H439&gt;0,OR(AUTOEVENTO&lt;&gt;"manual",$M439&lt;&gt;1)),
IF(Import.TipoArredondamento&lt;&gt;"TransfereGOV",
ROUND(OFFSET($P439,0,AV$13),15-13*ORÇAMENTO!$AF$7)/$H439*OFFSET(ORÇAMENTO!$X$15,ROW(AV439)-ROW(AV$15),0),
ROUND(ROUND(OFFSET($P439,0,AV$13),15-13*ORÇAMENTO!$AF$7)*OFFSET(ORÇAMENTO!$W$15,ROW(AV439)-ROW(AV$15),0),15-13*ORÇAMENTO!$AF$11)),0)</f>
        <v>0</v>
      </c>
      <c r="AW439" s="545">
        <f ca="1">IF(AND($D439="Serviço",AW$12&lt;&gt;0,$H439&gt;0,OR(AUTOEVENTO&lt;&gt;"manual",$M439&lt;&gt;1)),
IF(Import.TipoArredondamento&lt;&gt;"TransfereGOV",
ROUND(OFFSET($P439,0,AW$13),15-13*ORÇAMENTO!$AF$7)/$H439*OFFSET(ORÇAMENTO!$X$15,ROW(AW439)-ROW(AW$15),0),
ROUND(ROUND(OFFSET($P439,0,AW$13),15-13*ORÇAMENTO!$AF$7)*OFFSET(ORÇAMENTO!$W$15,ROW(AW439)-ROW(AW$15),0),15-13*ORÇAMENTO!$AF$11)),0)</f>
        <v>0</v>
      </c>
      <c r="AX439" s="545">
        <f ca="1">IF(AND($D439="Serviço",AX$12&lt;&gt;0,$H439&gt;0,OR(AUTOEVENTO&lt;&gt;"manual",$M439&lt;&gt;1)),
IF(Import.TipoArredondamento&lt;&gt;"TransfereGOV",
ROUND(OFFSET($P439,0,AX$13),15-13*ORÇAMENTO!$AF$7)/$H439*OFFSET(ORÇAMENTO!$X$15,ROW(AX439)-ROW(AX$15),0),
ROUND(ROUND(OFFSET($P439,0,AX$13),15-13*ORÇAMENTO!$AF$7)*OFFSET(ORÇAMENTO!$W$15,ROW(AX439)-ROW(AX$15),0),15-13*ORÇAMENTO!$AF$11)),0)</f>
        <v>0</v>
      </c>
      <c r="AY439" s="545">
        <f ca="1">IF(AND($D439="Serviço",AY$12&lt;&gt;0,$H439&gt;0,OR(AUTOEVENTO&lt;&gt;"manual",$M439&lt;&gt;1)),
IF(Import.TipoArredondamento&lt;&gt;"TransfereGOV",
ROUND(OFFSET($P439,0,AY$13),15-13*ORÇAMENTO!$AF$7)/$H439*OFFSET(ORÇAMENTO!$X$15,ROW(AY439)-ROW(AY$15),0),
ROUND(ROUND(OFFSET($P439,0,AY$13),15-13*ORÇAMENTO!$AF$7)*OFFSET(ORÇAMENTO!$W$15,ROW(AY439)-ROW(AY$15),0),15-13*ORÇAMENTO!$AF$11)),0)</f>
        <v>0</v>
      </c>
      <c r="AZ439" s="545">
        <f ca="1">IF(AND($D439="Serviço",AZ$12&lt;&gt;0,$H439&gt;0,OR(AUTOEVENTO&lt;&gt;"manual",$M439&lt;&gt;1)),
IF(Import.TipoArredondamento&lt;&gt;"TransfereGOV",
ROUND(OFFSET($P439,0,AZ$13),15-13*ORÇAMENTO!$AF$7)/$H439*OFFSET(ORÇAMENTO!$X$15,ROW(AZ439)-ROW(AZ$15),0),
ROUND(ROUND(OFFSET($P439,0,AZ$13),15-13*ORÇAMENTO!$AF$7)*OFFSET(ORÇAMENTO!$W$15,ROW(AZ439)-ROW(AZ$15),0),15-13*ORÇAMENTO!$AF$11)),0)</f>
        <v>0</v>
      </c>
      <c r="BA439" s="546">
        <f ca="1">IF(AND($D439="Serviço",BA$12&lt;&gt;0,$H439&gt;0,OR(AUTOEVENTO&lt;&gt;"manual",$M439&lt;&gt;1)),
IF(Import.TipoArredondamento&lt;&gt;"TransfereGOV",
ROUND(OFFSET($P439,0,BA$13),15-13*ORÇAMENTO!$AF$7)/$H439*OFFSET(ORÇAMENTO!$X$15,ROW(BA439)-ROW(BA$15),0),
ROUND(ROUND(OFFSET($P439,0,BA$13),15-13*ORÇAMENTO!$AF$7)*OFFSET(ORÇAMENTO!$W$15,ROW(BA439)-ROW(BA$15),0),15-13*ORÇAMENTO!$AF$11)),0)</f>
        <v>0</v>
      </c>
      <c r="BC439" s="181">
        <f ca="1">IF($D439&lt;&gt;"Serviço",0,IF(AND(AUTOEVENTO="Manual",$M439=1),0,IF(OFFSET(CRONOPLE!$F$14,$M439,BC$13)="",10^12,OFFSET(CRONOPLE!$F$14,$M439,BC$13))))</f>
        <v>10</v>
      </c>
      <c r="BD439" s="181">
        <f ca="1">IF($D439&lt;&gt;"Serviço",0,IF(AND(AUTOEVENTO="Manual",$M439=1),0,IF(OFFSET(CRONOPLE!$F$14,$M439,BD$13)="",10^12,OFFSET(CRONOPLE!$F$14,$M439,BD$13))))</f>
        <v>1000000000000</v>
      </c>
      <c r="BE439" s="181">
        <f ca="1">IF($D439&lt;&gt;"Serviço",0,IF(AND(AUTOEVENTO="Manual",$M439=1),0,IF(OFFSET(CRONOPLE!$F$14,$M439,BE$13)="",10^12,OFFSET(CRONOPLE!$F$14,$M439,BE$13))))</f>
        <v>1000000000000</v>
      </c>
      <c r="BF439" s="181">
        <f ca="1">IF($D439&lt;&gt;"Serviço",0,IF(AND(AUTOEVENTO="Manual",$M439=1),0,IF(OFFSET(CRONOPLE!$F$14,$M439,BF$13)="",10^12,OFFSET(CRONOPLE!$F$14,$M439,BF$13))))</f>
        <v>1000000000000</v>
      </c>
      <c r="BG439" s="181">
        <f ca="1">IF($D439&lt;&gt;"Serviço",0,IF(AND(AUTOEVENTO="Manual",$M439=1),0,IF(OFFSET(CRONOPLE!$F$14,$M439,BG$13)="",10^12,OFFSET(CRONOPLE!$F$14,$M439,BG$13))))</f>
        <v>1000000000000</v>
      </c>
      <c r="BH439" s="181">
        <f ca="1">IF($D439&lt;&gt;"Serviço",0,IF(AND(AUTOEVENTO="Manual",$M439=1),0,IF(OFFSET(CRONOPLE!$F$14,$M439,BH$13)="",10^12,OFFSET(CRONOPLE!$F$14,$M439,BH$13))))</f>
        <v>1000000000000</v>
      </c>
      <c r="BI439" s="181">
        <f ca="1">IF($D439&lt;&gt;"Serviço",0,IF(AND(AUTOEVENTO="Manual",$M439=1),0,IF(OFFSET(CRONOPLE!$F$14,$M439,BI$13)="",10^12,OFFSET(CRONOPLE!$F$14,$M439,BI$13))))</f>
        <v>1000000000000</v>
      </c>
      <c r="BJ439" s="181">
        <f ca="1">IF($D439&lt;&gt;"Serviço",0,IF(AND(AUTOEVENTO="Manual",$M439=1),0,IF(OFFSET(CRONOPLE!$F$14,$M439,BJ$13)="",10^12,OFFSET(CRONOPLE!$F$14,$M439,BJ$13))))</f>
        <v>1000000000000</v>
      </c>
      <c r="BK439" s="181">
        <f ca="1">IF($D439&lt;&gt;"Serviço",0,IF(AND(AUTOEVENTO="Manual",$M439=1),0,IF(OFFSET(CRONOPLE!$F$14,$M439,BK$13)="",10^12,OFFSET(CRONOPLE!$F$14,$M439,BK$13))))</f>
        <v>1000000000000</v>
      </c>
      <c r="BL439" s="181">
        <f ca="1">IF($D439&lt;&gt;"Serviço",0,IF(AND(AUTOEVENTO="Manual",$M439=1),0,IF(OFFSET(CRONOPLE!$F$14,$M439,BL$13)="",10^12,OFFSET(CRONOPLE!$F$14,$M439,BL$13))))</f>
        <v>1000000000000</v>
      </c>
      <c r="BM439" s="181">
        <f ca="1">IF($D439&lt;&gt;"Serviço",0,IF(AND(AUTOEVENTO="Manual",$M439=1),0,IF(OFFSET(CRONOPLE!$F$14,$M439,BM$13)="",10^12,OFFSET(CRONOPLE!$F$14,$M439,BM$13))))</f>
        <v>1000000000000</v>
      </c>
      <c r="BN439" s="181">
        <f ca="1">IF($D439&lt;&gt;"Serviço",0,IF(AND(AUTOEVENTO="Manual",$M439=1),0,IF(OFFSET(CRONOPLE!$F$14,$M439,BN$13)="",10^12,OFFSET(CRONOPLE!$F$14,$M439,BN$13))))</f>
        <v>1000000000000</v>
      </c>
      <c r="BO439" s="181">
        <f ca="1">IF($D439&lt;&gt;"Serviço",0,IF(AND(AUTOEVENTO="Manual",$M439=1),0,IF(OFFSET(CRONOPLE!$F$14,$M439,BO$13)="",10^12,OFFSET(CRONOPLE!$F$14,$M439,BO$13))))</f>
        <v>1000000000000</v>
      </c>
      <c r="BP439" s="181">
        <f ca="1">IF($D439&lt;&gt;"Serviço",0,IF(AND(AUTOEVENTO="Manual",$M439=1),0,IF(OFFSET(CRONOPLE!$F$14,$M439,BP$13)="",10^12,OFFSET(CRONOPLE!$F$14,$M439,BP$13))))</f>
        <v>1000000000000</v>
      </c>
      <c r="BQ439" s="181">
        <f ca="1">IF($D439&lt;&gt;"Serviço",0,IF(AND(AUTOEVENTO="Manual",$M439=1),0,IF(OFFSET(CRONOPLE!$F$14,$M439,BQ$13)="",10^12,OFFSET(CRONOPLE!$F$14,$M439,BQ$13))))</f>
        <v>1000000000000</v>
      </c>
      <c r="BR439" s="181">
        <f ca="1">IF($D439&lt;&gt;"Serviço",0,IF(AND(AUTOEVENTO="Manual",$M439=1),0,IF(OFFSET(CRONOPLE!$F$14,$M439,BR$13)="",10^12,OFFSET(CRONOPLE!$F$14,$M439,BR$13))))</f>
        <v>1000000000000</v>
      </c>
      <c r="BS439" s="181">
        <f ca="1">IF($D439&lt;&gt;"Serviço",0,IF(AND(AUTOEVENTO="Manual",$M439=1),0,IF(OFFSET(CRONOPLE!$F$14,$M439,BS$13)="",10^12,OFFSET(CRONOPLE!$F$14,$M439,BS$13))))</f>
        <v>1000000000000</v>
      </c>
      <c r="BT439" s="181">
        <f ca="1">IF($D439&lt;&gt;"Serviço",0,IF(AND(AUTOEVENTO="Manual",$M439=1),0,IF(OFFSET(CRONOPLE!$F$14,$M439,BT$13)="",10^12,OFFSET(CRONOPLE!$F$14,$M439,BT$13))))</f>
        <v>1000000000000</v>
      </c>
      <c r="BV439" s="182">
        <f ca="1">IF($D439&lt;&gt;"Serviço",0,IF(OR(AND(AUTOEVENTO="Manual",$M439=1),$M439&gt;(ROW(PLE.lastrow)-ROW(PLE.firstrow))),0,IF(OFFSET(PLE!$G$14,$M439,BV$13)="",10^12,OFFSET(PLE!$G$14,$M439,BV$13))))</f>
        <v>1000000000000</v>
      </c>
      <c r="BW439" s="182">
        <f ca="1">IF($D439&lt;&gt;"Serviço",0,IF(OR(AND(AUTOEVENTO="Manual",$M439=1),$M439&gt;(ROW(PLE.lastrow)-ROW(PLE.firstrow))),0,IF(OFFSET(PLE!$G$14,$M439,BW$13)="",10^12,OFFSET(PLE!$G$14,$M439,BW$13))))</f>
        <v>1000000000000</v>
      </c>
      <c r="BX439" s="182">
        <f ca="1">IF($D439&lt;&gt;"Serviço",0,IF(OR(AND(AUTOEVENTO="Manual",$M439=1),$M439&gt;(ROW(PLE.lastrow)-ROW(PLE.firstrow))),0,IF(OFFSET(PLE!$G$14,$M439,BX$13)="",10^12,OFFSET(PLE!$G$14,$M439,BX$13))))</f>
        <v>1000000000000</v>
      </c>
      <c r="BY439" s="182">
        <f ca="1">IF($D439&lt;&gt;"Serviço",0,IF(OR(AND(AUTOEVENTO="Manual",$M439=1),$M439&gt;(ROW(PLE.lastrow)-ROW(PLE.firstrow))),0,IF(OFFSET(PLE!$G$14,$M439,BY$13)="",10^12,OFFSET(PLE!$G$14,$M439,BY$13))))</f>
        <v>1000000000000</v>
      </c>
      <c r="BZ439" s="182">
        <f ca="1">IF($D439&lt;&gt;"Serviço",0,IF(OR(AND(AUTOEVENTO="Manual",$M439=1),$M439&gt;(ROW(PLE.lastrow)-ROW(PLE.firstrow))),0,IF(OFFSET(PLE!$G$14,$M439,BZ$13)="",10^12,OFFSET(PLE!$G$14,$M439,BZ$13))))</f>
        <v>1000000000000</v>
      </c>
      <c r="CA439" s="182">
        <f ca="1">IF($D439&lt;&gt;"Serviço",0,IF(OR(AND(AUTOEVENTO="Manual",$M439=1),$M439&gt;(ROW(PLE.lastrow)-ROW(PLE.firstrow))),0,IF(OFFSET(PLE!$G$14,$M439,CA$13)="",10^12,OFFSET(PLE!$G$14,$M439,CA$13))))</f>
        <v>1000000000000</v>
      </c>
      <c r="CB439" s="182">
        <f ca="1">IF($D439&lt;&gt;"Serviço",0,IF(OR(AND(AUTOEVENTO="Manual",$M439=1),$M439&gt;(ROW(PLE.lastrow)-ROW(PLE.firstrow))),0,IF(OFFSET(PLE!$G$14,$M439,CB$13)="",10^12,OFFSET(PLE!$G$14,$M439,CB$13))))</f>
        <v>1000000000000</v>
      </c>
      <c r="CC439" s="182">
        <f ca="1">IF($D439&lt;&gt;"Serviço",0,IF(OR(AND(AUTOEVENTO="Manual",$M439=1),$M439&gt;(ROW(PLE.lastrow)-ROW(PLE.firstrow))),0,IF(OFFSET(PLE!$G$14,$M439,CC$13)="",10^12,OFFSET(PLE!$G$14,$M439,CC$13))))</f>
        <v>1000000000000</v>
      </c>
      <c r="CD439" s="182">
        <f ca="1">IF($D439&lt;&gt;"Serviço",0,IF(OR(AND(AUTOEVENTO="Manual",$M439=1),$M439&gt;(ROW(PLE.lastrow)-ROW(PLE.firstrow))),0,IF(OFFSET(PLE!$G$14,$M439,CD$13)="",10^12,OFFSET(PLE!$G$14,$M439,CD$13))))</f>
        <v>1000000000000</v>
      </c>
      <c r="CE439" s="182">
        <f ca="1">IF($D439&lt;&gt;"Serviço",0,IF(OR(AND(AUTOEVENTO="Manual",$M439=1),$M439&gt;(ROW(PLE.lastrow)-ROW(PLE.firstrow))),0,IF(OFFSET(PLE!$G$14,$M439,CE$13)="",10^12,OFFSET(PLE!$G$14,$M439,CE$13))))</f>
        <v>1000000000000</v>
      </c>
      <c r="CF439" s="182">
        <f ca="1">IF($D439&lt;&gt;"Serviço",0,IF(OR(AND(AUTOEVENTO="Manual",$M439=1),$M439&gt;(ROW(PLE.lastrow)-ROW(PLE.firstrow))),0,IF(OFFSET(PLE!$G$14,$M439,CF$13)="",10^12,OFFSET(PLE!$G$14,$M439,CF$13))))</f>
        <v>1000000000000</v>
      </c>
      <c r="CG439" s="182">
        <f ca="1">IF($D439&lt;&gt;"Serviço",0,IF(OR(AND(AUTOEVENTO="Manual",$M439=1),$M439&gt;(ROW(PLE.lastrow)-ROW(PLE.firstrow))),0,IF(OFFSET(PLE!$G$14,$M439,CG$13)="",10^12,OFFSET(PLE!$G$14,$M439,CG$13))))</f>
        <v>1000000000000</v>
      </c>
      <c r="CH439" s="182">
        <f ca="1">IF($D439&lt;&gt;"Serviço",0,IF(OR(AND(AUTOEVENTO="Manual",$M439=1),$M439&gt;(ROW(PLE.lastrow)-ROW(PLE.firstrow))),0,IF(OFFSET(PLE!$G$14,$M439,CH$13)="",10^12,OFFSET(PLE!$G$14,$M439,CH$13))))</f>
        <v>1000000000000</v>
      </c>
      <c r="CI439" s="182">
        <f ca="1">IF($D439&lt;&gt;"Serviço",0,IF(OR(AND(AUTOEVENTO="Manual",$M439=1),$M439&gt;(ROW(PLE.lastrow)-ROW(PLE.firstrow))),0,IF(OFFSET(PLE!$G$14,$M439,CI$13)="",10^12,OFFSET(PLE!$G$14,$M439,CI$13))))</f>
        <v>1000000000000</v>
      </c>
      <c r="CJ439" s="182">
        <f ca="1">IF($D439&lt;&gt;"Serviço",0,IF(OR(AND(AUTOEVENTO="Manual",$M439=1),$M439&gt;(ROW(PLE.lastrow)-ROW(PLE.firstrow))),0,IF(OFFSET(PLE!$G$14,$M439,CJ$13)="",10^12,OFFSET(PLE!$G$14,$M439,CJ$13))))</f>
        <v>1000000000000</v>
      </c>
      <c r="CK439" s="182">
        <f ca="1">IF($D439&lt;&gt;"Serviço",0,IF(OR(AND(AUTOEVENTO="Manual",$M439=1),$M439&gt;(ROW(PLE.lastrow)-ROW(PLE.firstrow))),0,IF(OFFSET(PLE!$G$14,$M439,CK$13)="",10^12,OFFSET(PLE!$G$14,$M439,CK$13))))</f>
        <v>1000000000000</v>
      </c>
      <c r="CL439" s="182">
        <f ca="1">IF($D439&lt;&gt;"Serviço",0,IF(OR(AND(AUTOEVENTO="Manual",$M439=1),$M439&gt;(ROW(PLE.lastrow)-ROW(PLE.firstrow))),0,IF(OFFSET(PLE!$G$14,$M439,CL$13)="",10^12,OFFSET(PLE!$G$14,$M439,CL$13))))</f>
        <v>1000000000000</v>
      </c>
      <c r="CM439" s="182">
        <f ca="1">IF($D439&lt;&gt;"Serviço",0,IF(OR(AND(AUTOEVENTO="Manual",$M439=1),$M439&gt;(ROW(PLE.lastrow)-ROW(PLE.firstrow))),0,IF(OFFSET(PLE!$G$14,$M439,CM$13)="",10^12,OFFSET(PLE!$G$14,$M439,CM$13))))</f>
        <v>1000000000000</v>
      </c>
    </row>
    <row r="440" spans="1:91" ht="38.25" x14ac:dyDescent="0.2">
      <c r="A440" s="7" t="str">
        <f t="shared" ca="1" si="14"/>
        <v>421</v>
      </c>
      <c r="B440" s="7" t="str">
        <f ca="1">OFFSET(ORÇAMENTO!C$15,ROW(B440)-ROW(B$15),0)</f>
        <v>S</v>
      </c>
      <c r="C440" s="7" t="str">
        <f ca="1">OFFSET(ORÇAMENTO!L$15,ROW(C440)-ROW(C$15),0)</f>
        <v/>
      </c>
      <c r="D440" s="118" t="str">
        <f ca="1">OFFSET(ORÇAMENTO!N$15,ROW(D440)-ROW(D$15),0)</f>
        <v>Serviço</v>
      </c>
      <c r="E440" s="119" t="str">
        <f ca="1">OFFSET(ORÇAMENTO!O$15,ROW(E440)-ROW(E$15),0)</f>
        <v>-</v>
      </c>
      <c r="F440" s="172" t="str">
        <f ca="1">OFFSET(ORÇAMENTO!R$15,ROW(F440)-ROW(F$15),0)</f>
        <v>(abra o arquivo 'Referência 06-2024.xlsm)</v>
      </c>
      <c r="G440" s="173" t="str">
        <f ca="1">IF($D440&lt;&gt;"Serviço","",OFFSET(ORÇAMENTO!S$15,ROW(G440)-ROW(G$15),0))</f>
        <v>-</v>
      </c>
      <c r="H440" s="124">
        <f ca="1">IF($D440&lt;&gt;"Serviço",0,IF(ACOMPANHAMENTO="BM",ROUND(OFFSET(ORÇAMENTO!AJ$15,ROW(H440)-ROW(H$15),0),15-13*ORÇAMENTO!$AF$7),SUMPRODUCT(($Q$12:$AI$12&lt;&gt;"")*ROUND($Q440:$AI440,15-13*ORÇAMENTO!$AF$7))))</f>
        <v>9</v>
      </c>
      <c r="I440" s="561" t="s">
        <v>1107</v>
      </c>
      <c r="K440" s="174"/>
      <c r="L440" s="175" t="s">
        <v>255</v>
      </c>
      <c r="M440" s="176">
        <f ca="1">IF($D440&lt;&gt;"Serviço","",IF(AUTOEVENTO="manual",$A440,IF(ISERROR(MATCH($A440,$A$15:OFFSET($A440,-1,0),0)),MAX($M$15:OFFSET(M440,-1,0))+1,INDEX($M$15:OFFSET(M440,-1,0),MATCH($A440,$A$15:OFFSET($A440,-1,0),0)))))</f>
        <v>49</v>
      </c>
      <c r="N440" s="177" t="str">
        <f ca="1">IF($D440&lt;&gt;"Serviço","",IF(AUTOEVENTO="Manual",IF($A440=0,"&lt;-- defina o número do agrupador",OFFSET(EVENTOS!$D$14,$A440,0)),OFFSET($F$15,$A440,0)))</f>
        <v>SISTEMA DE PROTEÇÃO CONTRA INCÊNDIO - TUBULAÇÕES E CONEXÕES</v>
      </c>
      <c r="O440" s="178"/>
      <c r="Q440" s="178">
        <v>9</v>
      </c>
      <c r="R440" s="179"/>
      <c r="S440" s="179"/>
      <c r="T440" s="179"/>
      <c r="U440" s="179"/>
      <c r="V440" s="179"/>
      <c r="W440" s="179"/>
      <c r="X440" s="179"/>
      <c r="Y440" s="179"/>
      <c r="Z440" s="180"/>
      <c r="AA440" s="179"/>
      <c r="AB440" s="179"/>
      <c r="AC440" s="179"/>
      <c r="AD440" s="179"/>
      <c r="AE440" s="179"/>
      <c r="AF440" s="179"/>
      <c r="AG440" s="179"/>
      <c r="AH440" s="180"/>
      <c r="AJ440" s="544">
        <f ca="1">IF(AND($D440="Serviço",AJ$12&lt;&gt;0,$H440&gt;0,OR(AUTOEVENTO&lt;&gt;"manual",$M440&lt;&gt;1)),
IF(Import.TipoArredondamento&lt;&gt;"TransfereGOV",
ROUND(OFFSET($P440,0,AJ$13),15-13*ORÇAMENTO!$AF$7)/$H440*OFFSET(ORÇAMENTO!$X$15,ROW(AJ440)-ROW(AJ$15),0),
ROUND(ROUND(OFFSET($P440,0,AJ$13),15-13*ORÇAMENTO!$AF$7)*OFFSET(ORÇAMENTO!$W$15,ROW(AJ440)-ROW(AJ$15),0),15-13*ORÇAMENTO!$AF$11)),0)</f>
        <v>0</v>
      </c>
      <c r="AK440" s="545">
        <f ca="1">IF(AND($D440="Serviço",AK$12&lt;&gt;0,$H440&gt;0,OR(AUTOEVENTO&lt;&gt;"manual",$M440&lt;&gt;1)),
IF(Import.TipoArredondamento&lt;&gt;"TransfereGOV",
ROUND(OFFSET($P440,0,AK$13),15-13*ORÇAMENTO!$AF$7)/$H440*OFFSET(ORÇAMENTO!$X$15,ROW(AK440)-ROW(AK$15),0),
ROUND(ROUND(OFFSET($P440,0,AK$13),15-13*ORÇAMENTO!$AF$7)*OFFSET(ORÇAMENTO!$W$15,ROW(AK440)-ROW(AK$15),0),15-13*ORÇAMENTO!$AF$11)),0)</f>
        <v>0</v>
      </c>
      <c r="AL440" s="545">
        <f ca="1">IF(AND($D440="Serviço",AL$12&lt;&gt;0,$H440&gt;0,OR(AUTOEVENTO&lt;&gt;"manual",$M440&lt;&gt;1)),
IF(Import.TipoArredondamento&lt;&gt;"TransfereGOV",
ROUND(OFFSET($P440,0,AL$13),15-13*ORÇAMENTO!$AF$7)/$H440*OFFSET(ORÇAMENTO!$X$15,ROW(AL440)-ROW(AL$15),0),
ROUND(ROUND(OFFSET($P440,0,AL$13),15-13*ORÇAMENTO!$AF$7)*OFFSET(ORÇAMENTO!$W$15,ROW(AL440)-ROW(AL$15),0),15-13*ORÇAMENTO!$AF$11)),0)</f>
        <v>0</v>
      </c>
      <c r="AM440" s="545">
        <f ca="1">IF(AND($D440="Serviço",AM$12&lt;&gt;0,$H440&gt;0,OR(AUTOEVENTO&lt;&gt;"manual",$M440&lt;&gt;1)),
IF(Import.TipoArredondamento&lt;&gt;"TransfereGOV",
ROUND(OFFSET($P440,0,AM$13),15-13*ORÇAMENTO!$AF$7)/$H440*OFFSET(ORÇAMENTO!$X$15,ROW(AM440)-ROW(AM$15),0),
ROUND(ROUND(OFFSET($P440,0,AM$13),15-13*ORÇAMENTO!$AF$7)*OFFSET(ORÇAMENTO!$W$15,ROW(AM440)-ROW(AM$15),0),15-13*ORÇAMENTO!$AF$11)),0)</f>
        <v>0</v>
      </c>
      <c r="AN440" s="545">
        <f ca="1">IF(AND($D440="Serviço",AN$12&lt;&gt;0,$H440&gt;0,OR(AUTOEVENTO&lt;&gt;"manual",$M440&lt;&gt;1)),
IF(Import.TipoArredondamento&lt;&gt;"TransfereGOV",
ROUND(OFFSET($P440,0,AN$13),15-13*ORÇAMENTO!$AF$7)/$H440*OFFSET(ORÇAMENTO!$X$15,ROW(AN440)-ROW(AN$15),0),
ROUND(ROUND(OFFSET($P440,0,AN$13),15-13*ORÇAMENTO!$AF$7)*OFFSET(ORÇAMENTO!$W$15,ROW(AN440)-ROW(AN$15),0),15-13*ORÇAMENTO!$AF$11)),0)</f>
        <v>0</v>
      </c>
      <c r="AO440" s="545">
        <f ca="1">IF(AND($D440="Serviço",AO$12&lt;&gt;0,$H440&gt;0,OR(AUTOEVENTO&lt;&gt;"manual",$M440&lt;&gt;1)),
IF(Import.TipoArredondamento&lt;&gt;"TransfereGOV",
ROUND(OFFSET($P440,0,AO$13),15-13*ORÇAMENTO!$AF$7)/$H440*OFFSET(ORÇAMENTO!$X$15,ROW(AO440)-ROW(AO$15),0),
ROUND(ROUND(OFFSET($P440,0,AO$13),15-13*ORÇAMENTO!$AF$7)*OFFSET(ORÇAMENTO!$W$15,ROW(AO440)-ROW(AO$15),0),15-13*ORÇAMENTO!$AF$11)),0)</f>
        <v>0</v>
      </c>
      <c r="AP440" s="545">
        <f ca="1">IF(AND($D440="Serviço",AP$12&lt;&gt;0,$H440&gt;0,OR(AUTOEVENTO&lt;&gt;"manual",$M440&lt;&gt;1)),
IF(Import.TipoArredondamento&lt;&gt;"TransfereGOV",
ROUND(OFFSET($P440,0,AP$13),15-13*ORÇAMENTO!$AF$7)/$H440*OFFSET(ORÇAMENTO!$X$15,ROW(AP440)-ROW(AP$15),0),
ROUND(ROUND(OFFSET($P440,0,AP$13),15-13*ORÇAMENTO!$AF$7)*OFFSET(ORÇAMENTO!$W$15,ROW(AP440)-ROW(AP$15),0),15-13*ORÇAMENTO!$AF$11)),0)</f>
        <v>0</v>
      </c>
      <c r="AQ440" s="545">
        <f ca="1">IF(AND($D440="Serviço",AQ$12&lt;&gt;0,$H440&gt;0,OR(AUTOEVENTO&lt;&gt;"manual",$M440&lt;&gt;1)),
IF(Import.TipoArredondamento&lt;&gt;"TransfereGOV",
ROUND(OFFSET($P440,0,AQ$13),15-13*ORÇAMENTO!$AF$7)/$H440*OFFSET(ORÇAMENTO!$X$15,ROW(AQ440)-ROW(AQ$15),0),
ROUND(ROUND(OFFSET($P440,0,AQ$13),15-13*ORÇAMENTO!$AF$7)*OFFSET(ORÇAMENTO!$W$15,ROW(AQ440)-ROW(AQ$15),0),15-13*ORÇAMENTO!$AF$11)),0)</f>
        <v>0</v>
      </c>
      <c r="AR440" s="545">
        <f ca="1">IF(AND($D440="Serviço",AR$12&lt;&gt;0,$H440&gt;0,OR(AUTOEVENTO&lt;&gt;"manual",$M440&lt;&gt;1)),
IF(Import.TipoArredondamento&lt;&gt;"TransfereGOV",
ROUND(OFFSET($P440,0,AR$13),15-13*ORÇAMENTO!$AF$7)/$H440*OFFSET(ORÇAMENTO!$X$15,ROW(AR440)-ROW(AR$15),0),
ROUND(ROUND(OFFSET($P440,0,AR$13),15-13*ORÇAMENTO!$AF$7)*OFFSET(ORÇAMENTO!$W$15,ROW(AR440)-ROW(AR$15),0),15-13*ORÇAMENTO!$AF$11)),0)</f>
        <v>0</v>
      </c>
      <c r="AS440" s="546">
        <f ca="1">IF(AND($D440="Serviço",AS$12&lt;&gt;0,$H440&gt;0,OR(AUTOEVENTO&lt;&gt;"manual",$M440&lt;&gt;1)),
IF(Import.TipoArredondamento&lt;&gt;"TransfereGOV",
ROUND(OFFSET($P440,0,AS$13),15-13*ORÇAMENTO!$AF$7)/$H440*OFFSET(ORÇAMENTO!$X$15,ROW(AS440)-ROW(AS$15),0),
ROUND(ROUND(OFFSET($P440,0,AS$13),15-13*ORÇAMENTO!$AF$7)*OFFSET(ORÇAMENTO!$W$15,ROW(AS440)-ROW(AS$15),0),15-13*ORÇAMENTO!$AF$11)),0)</f>
        <v>0</v>
      </c>
      <c r="AT440" s="545">
        <f ca="1">IF(AND($D440="Serviço",AT$12&lt;&gt;0,$H440&gt;0,OR(AUTOEVENTO&lt;&gt;"manual",$M440&lt;&gt;1)),
IF(Import.TipoArredondamento&lt;&gt;"TransfereGOV",
ROUND(OFFSET($P440,0,AT$13),15-13*ORÇAMENTO!$AF$7)/$H440*OFFSET(ORÇAMENTO!$X$15,ROW(AT440)-ROW(AT$15),0),
ROUND(ROUND(OFFSET($P440,0,AT$13),15-13*ORÇAMENTO!$AF$7)*OFFSET(ORÇAMENTO!$W$15,ROW(AT440)-ROW(AT$15),0),15-13*ORÇAMENTO!$AF$11)),0)</f>
        <v>0</v>
      </c>
      <c r="AU440" s="545">
        <f ca="1">IF(AND($D440="Serviço",AU$12&lt;&gt;0,$H440&gt;0,OR(AUTOEVENTO&lt;&gt;"manual",$M440&lt;&gt;1)),
IF(Import.TipoArredondamento&lt;&gt;"TransfereGOV",
ROUND(OFFSET($P440,0,AU$13),15-13*ORÇAMENTO!$AF$7)/$H440*OFFSET(ORÇAMENTO!$X$15,ROW(AU440)-ROW(AU$15),0),
ROUND(ROUND(OFFSET($P440,0,AU$13),15-13*ORÇAMENTO!$AF$7)*OFFSET(ORÇAMENTO!$W$15,ROW(AU440)-ROW(AU$15),0),15-13*ORÇAMENTO!$AF$11)),0)</f>
        <v>0</v>
      </c>
      <c r="AV440" s="545">
        <f ca="1">IF(AND($D440="Serviço",AV$12&lt;&gt;0,$H440&gt;0,OR(AUTOEVENTO&lt;&gt;"manual",$M440&lt;&gt;1)),
IF(Import.TipoArredondamento&lt;&gt;"TransfereGOV",
ROUND(OFFSET($P440,0,AV$13),15-13*ORÇAMENTO!$AF$7)/$H440*OFFSET(ORÇAMENTO!$X$15,ROW(AV440)-ROW(AV$15),0),
ROUND(ROUND(OFFSET($P440,0,AV$13),15-13*ORÇAMENTO!$AF$7)*OFFSET(ORÇAMENTO!$W$15,ROW(AV440)-ROW(AV$15),0),15-13*ORÇAMENTO!$AF$11)),0)</f>
        <v>0</v>
      </c>
      <c r="AW440" s="545">
        <f ca="1">IF(AND($D440="Serviço",AW$12&lt;&gt;0,$H440&gt;0,OR(AUTOEVENTO&lt;&gt;"manual",$M440&lt;&gt;1)),
IF(Import.TipoArredondamento&lt;&gt;"TransfereGOV",
ROUND(OFFSET($P440,0,AW$13),15-13*ORÇAMENTO!$AF$7)/$H440*OFFSET(ORÇAMENTO!$X$15,ROW(AW440)-ROW(AW$15),0),
ROUND(ROUND(OFFSET($P440,0,AW$13),15-13*ORÇAMENTO!$AF$7)*OFFSET(ORÇAMENTO!$W$15,ROW(AW440)-ROW(AW$15),0),15-13*ORÇAMENTO!$AF$11)),0)</f>
        <v>0</v>
      </c>
      <c r="AX440" s="545">
        <f ca="1">IF(AND($D440="Serviço",AX$12&lt;&gt;0,$H440&gt;0,OR(AUTOEVENTO&lt;&gt;"manual",$M440&lt;&gt;1)),
IF(Import.TipoArredondamento&lt;&gt;"TransfereGOV",
ROUND(OFFSET($P440,0,AX$13),15-13*ORÇAMENTO!$AF$7)/$H440*OFFSET(ORÇAMENTO!$X$15,ROW(AX440)-ROW(AX$15),0),
ROUND(ROUND(OFFSET($P440,0,AX$13),15-13*ORÇAMENTO!$AF$7)*OFFSET(ORÇAMENTO!$W$15,ROW(AX440)-ROW(AX$15),0),15-13*ORÇAMENTO!$AF$11)),0)</f>
        <v>0</v>
      </c>
      <c r="AY440" s="545">
        <f ca="1">IF(AND($D440="Serviço",AY$12&lt;&gt;0,$H440&gt;0,OR(AUTOEVENTO&lt;&gt;"manual",$M440&lt;&gt;1)),
IF(Import.TipoArredondamento&lt;&gt;"TransfereGOV",
ROUND(OFFSET($P440,0,AY$13),15-13*ORÇAMENTO!$AF$7)/$H440*OFFSET(ORÇAMENTO!$X$15,ROW(AY440)-ROW(AY$15),0),
ROUND(ROUND(OFFSET($P440,0,AY$13),15-13*ORÇAMENTO!$AF$7)*OFFSET(ORÇAMENTO!$W$15,ROW(AY440)-ROW(AY$15),0),15-13*ORÇAMENTO!$AF$11)),0)</f>
        <v>0</v>
      </c>
      <c r="AZ440" s="545">
        <f ca="1">IF(AND($D440="Serviço",AZ$12&lt;&gt;0,$H440&gt;0,OR(AUTOEVENTO&lt;&gt;"manual",$M440&lt;&gt;1)),
IF(Import.TipoArredondamento&lt;&gt;"TransfereGOV",
ROUND(OFFSET($P440,0,AZ$13),15-13*ORÇAMENTO!$AF$7)/$H440*OFFSET(ORÇAMENTO!$X$15,ROW(AZ440)-ROW(AZ$15),0),
ROUND(ROUND(OFFSET($P440,0,AZ$13),15-13*ORÇAMENTO!$AF$7)*OFFSET(ORÇAMENTO!$W$15,ROW(AZ440)-ROW(AZ$15),0),15-13*ORÇAMENTO!$AF$11)),0)</f>
        <v>0</v>
      </c>
      <c r="BA440" s="546">
        <f ca="1">IF(AND($D440="Serviço",BA$12&lt;&gt;0,$H440&gt;0,OR(AUTOEVENTO&lt;&gt;"manual",$M440&lt;&gt;1)),
IF(Import.TipoArredondamento&lt;&gt;"TransfereGOV",
ROUND(OFFSET($P440,0,BA$13),15-13*ORÇAMENTO!$AF$7)/$H440*OFFSET(ORÇAMENTO!$X$15,ROW(BA440)-ROW(BA$15),0),
ROUND(ROUND(OFFSET($P440,0,BA$13),15-13*ORÇAMENTO!$AF$7)*OFFSET(ORÇAMENTO!$W$15,ROW(BA440)-ROW(BA$15),0),15-13*ORÇAMENTO!$AF$11)),0)</f>
        <v>0</v>
      </c>
      <c r="BC440" s="181">
        <f ca="1">IF($D440&lt;&gt;"Serviço",0,IF(AND(AUTOEVENTO="Manual",$M440=1),0,IF(OFFSET(CRONOPLE!$F$14,$M440,BC$13)="",10^12,OFFSET(CRONOPLE!$F$14,$M440,BC$13))))</f>
        <v>10</v>
      </c>
      <c r="BD440" s="181">
        <f ca="1">IF($D440&lt;&gt;"Serviço",0,IF(AND(AUTOEVENTO="Manual",$M440=1),0,IF(OFFSET(CRONOPLE!$F$14,$M440,BD$13)="",10^12,OFFSET(CRONOPLE!$F$14,$M440,BD$13))))</f>
        <v>1000000000000</v>
      </c>
      <c r="BE440" s="181">
        <f ca="1">IF($D440&lt;&gt;"Serviço",0,IF(AND(AUTOEVENTO="Manual",$M440=1),0,IF(OFFSET(CRONOPLE!$F$14,$M440,BE$13)="",10^12,OFFSET(CRONOPLE!$F$14,$M440,BE$13))))</f>
        <v>1000000000000</v>
      </c>
      <c r="BF440" s="181">
        <f ca="1">IF($D440&lt;&gt;"Serviço",0,IF(AND(AUTOEVENTO="Manual",$M440=1),0,IF(OFFSET(CRONOPLE!$F$14,$M440,BF$13)="",10^12,OFFSET(CRONOPLE!$F$14,$M440,BF$13))))</f>
        <v>1000000000000</v>
      </c>
      <c r="BG440" s="181">
        <f ca="1">IF($D440&lt;&gt;"Serviço",0,IF(AND(AUTOEVENTO="Manual",$M440=1),0,IF(OFFSET(CRONOPLE!$F$14,$M440,BG$13)="",10^12,OFFSET(CRONOPLE!$F$14,$M440,BG$13))))</f>
        <v>1000000000000</v>
      </c>
      <c r="BH440" s="181">
        <f ca="1">IF($D440&lt;&gt;"Serviço",0,IF(AND(AUTOEVENTO="Manual",$M440=1),0,IF(OFFSET(CRONOPLE!$F$14,$M440,BH$13)="",10^12,OFFSET(CRONOPLE!$F$14,$M440,BH$13))))</f>
        <v>1000000000000</v>
      </c>
      <c r="BI440" s="181">
        <f ca="1">IF($D440&lt;&gt;"Serviço",0,IF(AND(AUTOEVENTO="Manual",$M440=1),0,IF(OFFSET(CRONOPLE!$F$14,$M440,BI$13)="",10^12,OFFSET(CRONOPLE!$F$14,$M440,BI$13))))</f>
        <v>1000000000000</v>
      </c>
      <c r="BJ440" s="181">
        <f ca="1">IF($D440&lt;&gt;"Serviço",0,IF(AND(AUTOEVENTO="Manual",$M440=1),0,IF(OFFSET(CRONOPLE!$F$14,$M440,BJ$13)="",10^12,OFFSET(CRONOPLE!$F$14,$M440,BJ$13))))</f>
        <v>1000000000000</v>
      </c>
      <c r="BK440" s="181">
        <f ca="1">IF($D440&lt;&gt;"Serviço",0,IF(AND(AUTOEVENTO="Manual",$M440=1),0,IF(OFFSET(CRONOPLE!$F$14,$M440,BK$13)="",10^12,OFFSET(CRONOPLE!$F$14,$M440,BK$13))))</f>
        <v>1000000000000</v>
      </c>
      <c r="BL440" s="181">
        <f ca="1">IF($D440&lt;&gt;"Serviço",0,IF(AND(AUTOEVENTO="Manual",$M440=1),0,IF(OFFSET(CRONOPLE!$F$14,$M440,BL$13)="",10^12,OFFSET(CRONOPLE!$F$14,$M440,BL$13))))</f>
        <v>1000000000000</v>
      </c>
      <c r="BM440" s="181">
        <f ca="1">IF($D440&lt;&gt;"Serviço",0,IF(AND(AUTOEVENTO="Manual",$M440=1),0,IF(OFFSET(CRONOPLE!$F$14,$M440,BM$13)="",10^12,OFFSET(CRONOPLE!$F$14,$M440,BM$13))))</f>
        <v>1000000000000</v>
      </c>
      <c r="BN440" s="181">
        <f ca="1">IF($D440&lt;&gt;"Serviço",0,IF(AND(AUTOEVENTO="Manual",$M440=1),0,IF(OFFSET(CRONOPLE!$F$14,$M440,BN$13)="",10^12,OFFSET(CRONOPLE!$F$14,$M440,BN$13))))</f>
        <v>1000000000000</v>
      </c>
      <c r="BO440" s="181">
        <f ca="1">IF($D440&lt;&gt;"Serviço",0,IF(AND(AUTOEVENTO="Manual",$M440=1),0,IF(OFFSET(CRONOPLE!$F$14,$M440,BO$13)="",10^12,OFFSET(CRONOPLE!$F$14,$M440,BO$13))))</f>
        <v>1000000000000</v>
      </c>
      <c r="BP440" s="181">
        <f ca="1">IF($D440&lt;&gt;"Serviço",0,IF(AND(AUTOEVENTO="Manual",$M440=1),0,IF(OFFSET(CRONOPLE!$F$14,$M440,BP$13)="",10^12,OFFSET(CRONOPLE!$F$14,$M440,BP$13))))</f>
        <v>1000000000000</v>
      </c>
      <c r="BQ440" s="181">
        <f ca="1">IF($D440&lt;&gt;"Serviço",0,IF(AND(AUTOEVENTO="Manual",$M440=1),0,IF(OFFSET(CRONOPLE!$F$14,$M440,BQ$13)="",10^12,OFFSET(CRONOPLE!$F$14,$M440,BQ$13))))</f>
        <v>1000000000000</v>
      </c>
      <c r="BR440" s="181">
        <f ca="1">IF($D440&lt;&gt;"Serviço",0,IF(AND(AUTOEVENTO="Manual",$M440=1),0,IF(OFFSET(CRONOPLE!$F$14,$M440,BR$13)="",10^12,OFFSET(CRONOPLE!$F$14,$M440,BR$13))))</f>
        <v>1000000000000</v>
      </c>
      <c r="BS440" s="181">
        <f ca="1">IF($D440&lt;&gt;"Serviço",0,IF(AND(AUTOEVENTO="Manual",$M440=1),0,IF(OFFSET(CRONOPLE!$F$14,$M440,BS$13)="",10^12,OFFSET(CRONOPLE!$F$14,$M440,BS$13))))</f>
        <v>1000000000000</v>
      </c>
      <c r="BT440" s="181">
        <f ca="1">IF($D440&lt;&gt;"Serviço",0,IF(AND(AUTOEVENTO="Manual",$M440=1),0,IF(OFFSET(CRONOPLE!$F$14,$M440,BT$13)="",10^12,OFFSET(CRONOPLE!$F$14,$M440,BT$13))))</f>
        <v>1000000000000</v>
      </c>
      <c r="BV440" s="182">
        <f ca="1">IF($D440&lt;&gt;"Serviço",0,IF(OR(AND(AUTOEVENTO="Manual",$M440=1),$M440&gt;(ROW(PLE.lastrow)-ROW(PLE.firstrow))),0,IF(OFFSET(PLE!$G$14,$M440,BV$13)="",10^12,OFFSET(PLE!$G$14,$M440,BV$13))))</f>
        <v>1000000000000</v>
      </c>
      <c r="BW440" s="182">
        <f ca="1">IF($D440&lt;&gt;"Serviço",0,IF(OR(AND(AUTOEVENTO="Manual",$M440=1),$M440&gt;(ROW(PLE.lastrow)-ROW(PLE.firstrow))),0,IF(OFFSET(PLE!$G$14,$M440,BW$13)="",10^12,OFFSET(PLE!$G$14,$M440,BW$13))))</f>
        <v>1000000000000</v>
      </c>
      <c r="BX440" s="182">
        <f ca="1">IF($D440&lt;&gt;"Serviço",0,IF(OR(AND(AUTOEVENTO="Manual",$M440=1),$M440&gt;(ROW(PLE.lastrow)-ROW(PLE.firstrow))),0,IF(OFFSET(PLE!$G$14,$M440,BX$13)="",10^12,OFFSET(PLE!$G$14,$M440,BX$13))))</f>
        <v>1000000000000</v>
      </c>
      <c r="BY440" s="182">
        <f ca="1">IF($D440&lt;&gt;"Serviço",0,IF(OR(AND(AUTOEVENTO="Manual",$M440=1),$M440&gt;(ROW(PLE.lastrow)-ROW(PLE.firstrow))),0,IF(OFFSET(PLE!$G$14,$M440,BY$13)="",10^12,OFFSET(PLE!$G$14,$M440,BY$13))))</f>
        <v>1000000000000</v>
      </c>
      <c r="BZ440" s="182">
        <f ca="1">IF($D440&lt;&gt;"Serviço",0,IF(OR(AND(AUTOEVENTO="Manual",$M440=1),$M440&gt;(ROW(PLE.lastrow)-ROW(PLE.firstrow))),0,IF(OFFSET(PLE!$G$14,$M440,BZ$13)="",10^12,OFFSET(PLE!$G$14,$M440,BZ$13))))</f>
        <v>1000000000000</v>
      </c>
      <c r="CA440" s="182">
        <f ca="1">IF($D440&lt;&gt;"Serviço",0,IF(OR(AND(AUTOEVENTO="Manual",$M440=1),$M440&gt;(ROW(PLE.lastrow)-ROW(PLE.firstrow))),0,IF(OFFSET(PLE!$G$14,$M440,CA$13)="",10^12,OFFSET(PLE!$G$14,$M440,CA$13))))</f>
        <v>1000000000000</v>
      </c>
      <c r="CB440" s="182">
        <f ca="1">IF($D440&lt;&gt;"Serviço",0,IF(OR(AND(AUTOEVENTO="Manual",$M440=1),$M440&gt;(ROW(PLE.lastrow)-ROW(PLE.firstrow))),0,IF(OFFSET(PLE!$G$14,$M440,CB$13)="",10^12,OFFSET(PLE!$G$14,$M440,CB$13))))</f>
        <v>1000000000000</v>
      </c>
      <c r="CC440" s="182">
        <f ca="1">IF($D440&lt;&gt;"Serviço",0,IF(OR(AND(AUTOEVENTO="Manual",$M440=1),$M440&gt;(ROW(PLE.lastrow)-ROW(PLE.firstrow))),0,IF(OFFSET(PLE!$G$14,$M440,CC$13)="",10^12,OFFSET(PLE!$G$14,$M440,CC$13))))</f>
        <v>1000000000000</v>
      </c>
      <c r="CD440" s="182">
        <f ca="1">IF($D440&lt;&gt;"Serviço",0,IF(OR(AND(AUTOEVENTO="Manual",$M440=1),$M440&gt;(ROW(PLE.lastrow)-ROW(PLE.firstrow))),0,IF(OFFSET(PLE!$G$14,$M440,CD$13)="",10^12,OFFSET(PLE!$G$14,$M440,CD$13))))</f>
        <v>1000000000000</v>
      </c>
      <c r="CE440" s="182">
        <f ca="1">IF($D440&lt;&gt;"Serviço",0,IF(OR(AND(AUTOEVENTO="Manual",$M440=1),$M440&gt;(ROW(PLE.lastrow)-ROW(PLE.firstrow))),0,IF(OFFSET(PLE!$G$14,$M440,CE$13)="",10^12,OFFSET(PLE!$G$14,$M440,CE$13))))</f>
        <v>1000000000000</v>
      </c>
      <c r="CF440" s="182">
        <f ca="1">IF($D440&lt;&gt;"Serviço",0,IF(OR(AND(AUTOEVENTO="Manual",$M440=1),$M440&gt;(ROW(PLE.lastrow)-ROW(PLE.firstrow))),0,IF(OFFSET(PLE!$G$14,$M440,CF$13)="",10^12,OFFSET(PLE!$G$14,$M440,CF$13))))</f>
        <v>1000000000000</v>
      </c>
      <c r="CG440" s="182">
        <f ca="1">IF($D440&lt;&gt;"Serviço",0,IF(OR(AND(AUTOEVENTO="Manual",$M440=1),$M440&gt;(ROW(PLE.lastrow)-ROW(PLE.firstrow))),0,IF(OFFSET(PLE!$G$14,$M440,CG$13)="",10^12,OFFSET(PLE!$G$14,$M440,CG$13))))</f>
        <v>1000000000000</v>
      </c>
      <c r="CH440" s="182">
        <f ca="1">IF($D440&lt;&gt;"Serviço",0,IF(OR(AND(AUTOEVENTO="Manual",$M440=1),$M440&gt;(ROW(PLE.lastrow)-ROW(PLE.firstrow))),0,IF(OFFSET(PLE!$G$14,$M440,CH$13)="",10^12,OFFSET(PLE!$G$14,$M440,CH$13))))</f>
        <v>1000000000000</v>
      </c>
      <c r="CI440" s="182">
        <f ca="1">IF($D440&lt;&gt;"Serviço",0,IF(OR(AND(AUTOEVENTO="Manual",$M440=1),$M440&gt;(ROW(PLE.lastrow)-ROW(PLE.firstrow))),0,IF(OFFSET(PLE!$G$14,$M440,CI$13)="",10^12,OFFSET(PLE!$G$14,$M440,CI$13))))</f>
        <v>1000000000000</v>
      </c>
      <c r="CJ440" s="182">
        <f ca="1">IF($D440&lt;&gt;"Serviço",0,IF(OR(AND(AUTOEVENTO="Manual",$M440=1),$M440&gt;(ROW(PLE.lastrow)-ROW(PLE.firstrow))),0,IF(OFFSET(PLE!$G$14,$M440,CJ$13)="",10^12,OFFSET(PLE!$G$14,$M440,CJ$13))))</f>
        <v>1000000000000</v>
      </c>
      <c r="CK440" s="182">
        <f ca="1">IF($D440&lt;&gt;"Serviço",0,IF(OR(AND(AUTOEVENTO="Manual",$M440=1),$M440&gt;(ROW(PLE.lastrow)-ROW(PLE.firstrow))),0,IF(OFFSET(PLE!$G$14,$M440,CK$13)="",10^12,OFFSET(PLE!$G$14,$M440,CK$13))))</f>
        <v>1000000000000</v>
      </c>
      <c r="CL440" s="182">
        <f ca="1">IF($D440&lt;&gt;"Serviço",0,IF(OR(AND(AUTOEVENTO="Manual",$M440=1),$M440&gt;(ROW(PLE.lastrow)-ROW(PLE.firstrow))),0,IF(OFFSET(PLE!$G$14,$M440,CL$13)="",10^12,OFFSET(PLE!$G$14,$M440,CL$13))))</f>
        <v>1000000000000</v>
      </c>
      <c r="CM440" s="182">
        <f ca="1">IF($D440&lt;&gt;"Serviço",0,IF(OR(AND(AUTOEVENTO="Manual",$M440=1),$M440&gt;(ROW(PLE.lastrow)-ROW(PLE.firstrow))),0,IF(OFFSET(PLE!$G$14,$M440,CM$13)="",10^12,OFFSET(PLE!$G$14,$M440,CM$13))))</f>
        <v>1000000000000</v>
      </c>
    </row>
    <row r="441" spans="1:91" ht="51" x14ac:dyDescent="0.2">
      <c r="A441" s="7" t="str">
        <f t="shared" ca="1" si="14"/>
        <v>421</v>
      </c>
      <c r="B441" s="7" t="str">
        <f ca="1">OFFSET(ORÇAMENTO!C$15,ROW(B441)-ROW(B$15),0)</f>
        <v>S</v>
      </c>
      <c r="C441" s="7" t="str">
        <f ca="1">OFFSET(ORÇAMENTO!L$15,ROW(C441)-ROW(C$15),0)</f>
        <v/>
      </c>
      <c r="D441" s="118" t="str">
        <f ca="1">OFFSET(ORÇAMENTO!N$15,ROW(D441)-ROW(D$15),0)</f>
        <v>Serviço</v>
      </c>
      <c r="E441" s="119" t="str">
        <f ca="1">OFFSET(ORÇAMENTO!O$15,ROW(E441)-ROW(E$15),0)</f>
        <v>-</v>
      </c>
      <c r="F441" s="172" t="str">
        <f ca="1">OFFSET(ORÇAMENTO!R$15,ROW(F441)-ROW(F$15),0)</f>
        <v>(abra o arquivo 'Referência 06-2024.xlsm)</v>
      </c>
      <c r="G441" s="173" t="str">
        <f ca="1">IF($D441&lt;&gt;"Serviço","",OFFSET(ORÇAMENTO!S$15,ROW(G441)-ROW(G$15),0))</f>
        <v>-</v>
      </c>
      <c r="H441" s="124">
        <f ca="1">IF($D441&lt;&gt;"Serviço",0,IF(ACOMPANHAMENTO="BM",ROUND(OFFSET(ORÇAMENTO!AJ$15,ROW(H441)-ROW(H$15),0),15-13*ORÇAMENTO!$AF$7),SUMPRODUCT(($Q$12:$AI$12&lt;&gt;"")*ROUND($Q441:$AI441,15-13*ORÇAMENTO!$AF$7))))</f>
        <v>5</v>
      </c>
      <c r="I441" s="561" t="s">
        <v>1107</v>
      </c>
      <c r="K441" s="174"/>
      <c r="L441" s="175" t="s">
        <v>255</v>
      </c>
      <c r="M441" s="176">
        <f ca="1">IF($D441&lt;&gt;"Serviço","",IF(AUTOEVENTO="manual",$A441,IF(ISERROR(MATCH($A441,$A$15:OFFSET($A441,-1,0),0)),MAX($M$15:OFFSET(M441,-1,0))+1,INDEX($M$15:OFFSET(M441,-1,0),MATCH($A441,$A$15:OFFSET($A441,-1,0),0)))))</f>
        <v>49</v>
      </c>
      <c r="N441" s="177" t="str">
        <f ca="1">IF($D441&lt;&gt;"Serviço","",IF(AUTOEVENTO="Manual",IF($A441=0,"&lt;-- defina o número do agrupador",OFFSET(EVENTOS!$D$14,$A441,0)),OFFSET($F$15,$A441,0)))</f>
        <v>SISTEMA DE PROTEÇÃO CONTRA INCÊNDIO - TUBULAÇÕES E CONEXÕES</v>
      </c>
      <c r="O441" s="178"/>
      <c r="Q441" s="178">
        <v>5</v>
      </c>
      <c r="R441" s="179"/>
      <c r="S441" s="179"/>
      <c r="T441" s="179"/>
      <c r="U441" s="179"/>
      <c r="V441" s="179"/>
      <c r="W441" s="179"/>
      <c r="X441" s="179"/>
      <c r="Y441" s="179"/>
      <c r="Z441" s="180"/>
      <c r="AA441" s="179"/>
      <c r="AB441" s="179"/>
      <c r="AC441" s="179"/>
      <c r="AD441" s="179"/>
      <c r="AE441" s="179"/>
      <c r="AF441" s="179"/>
      <c r="AG441" s="179"/>
      <c r="AH441" s="180"/>
      <c r="AJ441" s="544">
        <f ca="1">IF(AND($D441="Serviço",AJ$12&lt;&gt;0,$H441&gt;0,OR(AUTOEVENTO&lt;&gt;"manual",$M441&lt;&gt;1)),
IF(Import.TipoArredondamento&lt;&gt;"TransfereGOV",
ROUND(OFFSET($P441,0,AJ$13),15-13*ORÇAMENTO!$AF$7)/$H441*OFFSET(ORÇAMENTO!$X$15,ROW(AJ441)-ROW(AJ$15),0),
ROUND(ROUND(OFFSET($P441,0,AJ$13),15-13*ORÇAMENTO!$AF$7)*OFFSET(ORÇAMENTO!$W$15,ROW(AJ441)-ROW(AJ$15),0),15-13*ORÇAMENTO!$AF$11)),0)</f>
        <v>0</v>
      </c>
      <c r="AK441" s="545">
        <f ca="1">IF(AND($D441="Serviço",AK$12&lt;&gt;0,$H441&gt;0,OR(AUTOEVENTO&lt;&gt;"manual",$M441&lt;&gt;1)),
IF(Import.TipoArredondamento&lt;&gt;"TransfereGOV",
ROUND(OFFSET($P441,0,AK$13),15-13*ORÇAMENTO!$AF$7)/$H441*OFFSET(ORÇAMENTO!$X$15,ROW(AK441)-ROW(AK$15),0),
ROUND(ROUND(OFFSET($P441,0,AK$13),15-13*ORÇAMENTO!$AF$7)*OFFSET(ORÇAMENTO!$W$15,ROW(AK441)-ROW(AK$15),0),15-13*ORÇAMENTO!$AF$11)),0)</f>
        <v>0</v>
      </c>
      <c r="AL441" s="545">
        <f ca="1">IF(AND($D441="Serviço",AL$12&lt;&gt;0,$H441&gt;0,OR(AUTOEVENTO&lt;&gt;"manual",$M441&lt;&gt;1)),
IF(Import.TipoArredondamento&lt;&gt;"TransfereGOV",
ROUND(OFFSET($P441,0,AL$13),15-13*ORÇAMENTO!$AF$7)/$H441*OFFSET(ORÇAMENTO!$X$15,ROW(AL441)-ROW(AL$15),0),
ROUND(ROUND(OFFSET($P441,0,AL$13),15-13*ORÇAMENTO!$AF$7)*OFFSET(ORÇAMENTO!$W$15,ROW(AL441)-ROW(AL$15),0),15-13*ORÇAMENTO!$AF$11)),0)</f>
        <v>0</v>
      </c>
      <c r="AM441" s="545">
        <f ca="1">IF(AND($D441="Serviço",AM$12&lt;&gt;0,$H441&gt;0,OR(AUTOEVENTO&lt;&gt;"manual",$M441&lt;&gt;1)),
IF(Import.TipoArredondamento&lt;&gt;"TransfereGOV",
ROUND(OFFSET($P441,0,AM$13),15-13*ORÇAMENTO!$AF$7)/$H441*OFFSET(ORÇAMENTO!$X$15,ROW(AM441)-ROW(AM$15),0),
ROUND(ROUND(OFFSET($P441,0,AM$13),15-13*ORÇAMENTO!$AF$7)*OFFSET(ORÇAMENTO!$W$15,ROW(AM441)-ROW(AM$15),0),15-13*ORÇAMENTO!$AF$11)),0)</f>
        <v>0</v>
      </c>
      <c r="AN441" s="545">
        <f ca="1">IF(AND($D441="Serviço",AN$12&lt;&gt;0,$H441&gt;0,OR(AUTOEVENTO&lt;&gt;"manual",$M441&lt;&gt;1)),
IF(Import.TipoArredondamento&lt;&gt;"TransfereGOV",
ROUND(OFFSET($P441,0,AN$13),15-13*ORÇAMENTO!$AF$7)/$H441*OFFSET(ORÇAMENTO!$X$15,ROW(AN441)-ROW(AN$15),0),
ROUND(ROUND(OFFSET($P441,0,AN$13),15-13*ORÇAMENTO!$AF$7)*OFFSET(ORÇAMENTO!$W$15,ROW(AN441)-ROW(AN$15),0),15-13*ORÇAMENTO!$AF$11)),0)</f>
        <v>0</v>
      </c>
      <c r="AO441" s="545">
        <f ca="1">IF(AND($D441="Serviço",AO$12&lt;&gt;0,$H441&gt;0,OR(AUTOEVENTO&lt;&gt;"manual",$M441&lt;&gt;1)),
IF(Import.TipoArredondamento&lt;&gt;"TransfereGOV",
ROUND(OFFSET($P441,0,AO$13),15-13*ORÇAMENTO!$AF$7)/$H441*OFFSET(ORÇAMENTO!$X$15,ROW(AO441)-ROW(AO$15),0),
ROUND(ROUND(OFFSET($P441,0,AO$13),15-13*ORÇAMENTO!$AF$7)*OFFSET(ORÇAMENTO!$W$15,ROW(AO441)-ROW(AO$15),0),15-13*ORÇAMENTO!$AF$11)),0)</f>
        <v>0</v>
      </c>
      <c r="AP441" s="545">
        <f ca="1">IF(AND($D441="Serviço",AP$12&lt;&gt;0,$H441&gt;0,OR(AUTOEVENTO&lt;&gt;"manual",$M441&lt;&gt;1)),
IF(Import.TipoArredondamento&lt;&gt;"TransfereGOV",
ROUND(OFFSET($P441,0,AP$13),15-13*ORÇAMENTO!$AF$7)/$H441*OFFSET(ORÇAMENTO!$X$15,ROW(AP441)-ROW(AP$15),0),
ROUND(ROUND(OFFSET($P441,0,AP$13),15-13*ORÇAMENTO!$AF$7)*OFFSET(ORÇAMENTO!$W$15,ROW(AP441)-ROW(AP$15),0),15-13*ORÇAMENTO!$AF$11)),0)</f>
        <v>0</v>
      </c>
      <c r="AQ441" s="545">
        <f ca="1">IF(AND($D441="Serviço",AQ$12&lt;&gt;0,$H441&gt;0,OR(AUTOEVENTO&lt;&gt;"manual",$M441&lt;&gt;1)),
IF(Import.TipoArredondamento&lt;&gt;"TransfereGOV",
ROUND(OFFSET($P441,0,AQ$13),15-13*ORÇAMENTO!$AF$7)/$H441*OFFSET(ORÇAMENTO!$X$15,ROW(AQ441)-ROW(AQ$15),0),
ROUND(ROUND(OFFSET($P441,0,AQ$13),15-13*ORÇAMENTO!$AF$7)*OFFSET(ORÇAMENTO!$W$15,ROW(AQ441)-ROW(AQ$15),0),15-13*ORÇAMENTO!$AF$11)),0)</f>
        <v>0</v>
      </c>
      <c r="AR441" s="545">
        <f ca="1">IF(AND($D441="Serviço",AR$12&lt;&gt;0,$H441&gt;0,OR(AUTOEVENTO&lt;&gt;"manual",$M441&lt;&gt;1)),
IF(Import.TipoArredondamento&lt;&gt;"TransfereGOV",
ROUND(OFFSET($P441,0,AR$13),15-13*ORÇAMENTO!$AF$7)/$H441*OFFSET(ORÇAMENTO!$X$15,ROW(AR441)-ROW(AR$15),0),
ROUND(ROUND(OFFSET($P441,0,AR$13),15-13*ORÇAMENTO!$AF$7)*OFFSET(ORÇAMENTO!$W$15,ROW(AR441)-ROW(AR$15),0),15-13*ORÇAMENTO!$AF$11)),0)</f>
        <v>0</v>
      </c>
      <c r="AS441" s="546">
        <f ca="1">IF(AND($D441="Serviço",AS$12&lt;&gt;0,$H441&gt;0,OR(AUTOEVENTO&lt;&gt;"manual",$M441&lt;&gt;1)),
IF(Import.TipoArredondamento&lt;&gt;"TransfereGOV",
ROUND(OFFSET($P441,0,AS$13),15-13*ORÇAMENTO!$AF$7)/$H441*OFFSET(ORÇAMENTO!$X$15,ROW(AS441)-ROW(AS$15),0),
ROUND(ROUND(OFFSET($P441,0,AS$13),15-13*ORÇAMENTO!$AF$7)*OFFSET(ORÇAMENTO!$W$15,ROW(AS441)-ROW(AS$15),0),15-13*ORÇAMENTO!$AF$11)),0)</f>
        <v>0</v>
      </c>
      <c r="AT441" s="545">
        <f ca="1">IF(AND($D441="Serviço",AT$12&lt;&gt;0,$H441&gt;0,OR(AUTOEVENTO&lt;&gt;"manual",$M441&lt;&gt;1)),
IF(Import.TipoArredondamento&lt;&gt;"TransfereGOV",
ROUND(OFFSET($P441,0,AT$13),15-13*ORÇAMENTO!$AF$7)/$H441*OFFSET(ORÇAMENTO!$X$15,ROW(AT441)-ROW(AT$15),0),
ROUND(ROUND(OFFSET($P441,0,AT$13),15-13*ORÇAMENTO!$AF$7)*OFFSET(ORÇAMENTO!$W$15,ROW(AT441)-ROW(AT$15),0),15-13*ORÇAMENTO!$AF$11)),0)</f>
        <v>0</v>
      </c>
      <c r="AU441" s="545">
        <f ca="1">IF(AND($D441="Serviço",AU$12&lt;&gt;0,$H441&gt;0,OR(AUTOEVENTO&lt;&gt;"manual",$M441&lt;&gt;1)),
IF(Import.TipoArredondamento&lt;&gt;"TransfereGOV",
ROUND(OFFSET($P441,0,AU$13),15-13*ORÇAMENTO!$AF$7)/$H441*OFFSET(ORÇAMENTO!$X$15,ROW(AU441)-ROW(AU$15),0),
ROUND(ROUND(OFFSET($P441,0,AU$13),15-13*ORÇAMENTO!$AF$7)*OFFSET(ORÇAMENTO!$W$15,ROW(AU441)-ROW(AU$15),0),15-13*ORÇAMENTO!$AF$11)),0)</f>
        <v>0</v>
      </c>
      <c r="AV441" s="545">
        <f ca="1">IF(AND($D441="Serviço",AV$12&lt;&gt;0,$H441&gt;0,OR(AUTOEVENTO&lt;&gt;"manual",$M441&lt;&gt;1)),
IF(Import.TipoArredondamento&lt;&gt;"TransfereGOV",
ROUND(OFFSET($P441,0,AV$13),15-13*ORÇAMENTO!$AF$7)/$H441*OFFSET(ORÇAMENTO!$X$15,ROW(AV441)-ROW(AV$15),0),
ROUND(ROUND(OFFSET($P441,0,AV$13),15-13*ORÇAMENTO!$AF$7)*OFFSET(ORÇAMENTO!$W$15,ROW(AV441)-ROW(AV$15),0),15-13*ORÇAMENTO!$AF$11)),0)</f>
        <v>0</v>
      </c>
      <c r="AW441" s="545">
        <f ca="1">IF(AND($D441="Serviço",AW$12&lt;&gt;0,$H441&gt;0,OR(AUTOEVENTO&lt;&gt;"manual",$M441&lt;&gt;1)),
IF(Import.TipoArredondamento&lt;&gt;"TransfereGOV",
ROUND(OFFSET($P441,0,AW$13),15-13*ORÇAMENTO!$AF$7)/$H441*OFFSET(ORÇAMENTO!$X$15,ROW(AW441)-ROW(AW$15),0),
ROUND(ROUND(OFFSET($P441,0,AW$13),15-13*ORÇAMENTO!$AF$7)*OFFSET(ORÇAMENTO!$W$15,ROW(AW441)-ROW(AW$15),0),15-13*ORÇAMENTO!$AF$11)),0)</f>
        <v>0</v>
      </c>
      <c r="AX441" s="545">
        <f ca="1">IF(AND($D441="Serviço",AX$12&lt;&gt;0,$H441&gt;0,OR(AUTOEVENTO&lt;&gt;"manual",$M441&lt;&gt;1)),
IF(Import.TipoArredondamento&lt;&gt;"TransfereGOV",
ROUND(OFFSET($P441,0,AX$13),15-13*ORÇAMENTO!$AF$7)/$H441*OFFSET(ORÇAMENTO!$X$15,ROW(AX441)-ROW(AX$15),0),
ROUND(ROUND(OFFSET($P441,0,AX$13),15-13*ORÇAMENTO!$AF$7)*OFFSET(ORÇAMENTO!$W$15,ROW(AX441)-ROW(AX$15),0),15-13*ORÇAMENTO!$AF$11)),0)</f>
        <v>0</v>
      </c>
      <c r="AY441" s="545">
        <f ca="1">IF(AND($D441="Serviço",AY$12&lt;&gt;0,$H441&gt;0,OR(AUTOEVENTO&lt;&gt;"manual",$M441&lt;&gt;1)),
IF(Import.TipoArredondamento&lt;&gt;"TransfereGOV",
ROUND(OFFSET($P441,0,AY$13),15-13*ORÇAMENTO!$AF$7)/$H441*OFFSET(ORÇAMENTO!$X$15,ROW(AY441)-ROW(AY$15),0),
ROUND(ROUND(OFFSET($P441,0,AY$13),15-13*ORÇAMENTO!$AF$7)*OFFSET(ORÇAMENTO!$W$15,ROW(AY441)-ROW(AY$15),0),15-13*ORÇAMENTO!$AF$11)),0)</f>
        <v>0</v>
      </c>
      <c r="AZ441" s="545">
        <f ca="1">IF(AND($D441="Serviço",AZ$12&lt;&gt;0,$H441&gt;0,OR(AUTOEVENTO&lt;&gt;"manual",$M441&lt;&gt;1)),
IF(Import.TipoArredondamento&lt;&gt;"TransfereGOV",
ROUND(OFFSET($P441,0,AZ$13),15-13*ORÇAMENTO!$AF$7)/$H441*OFFSET(ORÇAMENTO!$X$15,ROW(AZ441)-ROW(AZ$15),0),
ROUND(ROUND(OFFSET($P441,0,AZ$13),15-13*ORÇAMENTO!$AF$7)*OFFSET(ORÇAMENTO!$W$15,ROW(AZ441)-ROW(AZ$15),0),15-13*ORÇAMENTO!$AF$11)),0)</f>
        <v>0</v>
      </c>
      <c r="BA441" s="546">
        <f ca="1">IF(AND($D441="Serviço",BA$12&lt;&gt;0,$H441&gt;0,OR(AUTOEVENTO&lt;&gt;"manual",$M441&lt;&gt;1)),
IF(Import.TipoArredondamento&lt;&gt;"TransfereGOV",
ROUND(OFFSET($P441,0,BA$13),15-13*ORÇAMENTO!$AF$7)/$H441*OFFSET(ORÇAMENTO!$X$15,ROW(BA441)-ROW(BA$15),0),
ROUND(ROUND(OFFSET($P441,0,BA$13),15-13*ORÇAMENTO!$AF$7)*OFFSET(ORÇAMENTO!$W$15,ROW(BA441)-ROW(BA$15),0),15-13*ORÇAMENTO!$AF$11)),0)</f>
        <v>0</v>
      </c>
      <c r="BC441" s="181">
        <f ca="1">IF($D441&lt;&gt;"Serviço",0,IF(AND(AUTOEVENTO="Manual",$M441=1),0,IF(OFFSET(CRONOPLE!$F$14,$M441,BC$13)="",10^12,OFFSET(CRONOPLE!$F$14,$M441,BC$13))))</f>
        <v>10</v>
      </c>
      <c r="BD441" s="181">
        <f ca="1">IF($D441&lt;&gt;"Serviço",0,IF(AND(AUTOEVENTO="Manual",$M441=1),0,IF(OFFSET(CRONOPLE!$F$14,$M441,BD$13)="",10^12,OFFSET(CRONOPLE!$F$14,$M441,BD$13))))</f>
        <v>1000000000000</v>
      </c>
      <c r="BE441" s="181">
        <f ca="1">IF($D441&lt;&gt;"Serviço",0,IF(AND(AUTOEVENTO="Manual",$M441=1),0,IF(OFFSET(CRONOPLE!$F$14,$M441,BE$13)="",10^12,OFFSET(CRONOPLE!$F$14,$M441,BE$13))))</f>
        <v>1000000000000</v>
      </c>
      <c r="BF441" s="181">
        <f ca="1">IF($D441&lt;&gt;"Serviço",0,IF(AND(AUTOEVENTO="Manual",$M441=1),0,IF(OFFSET(CRONOPLE!$F$14,$M441,BF$13)="",10^12,OFFSET(CRONOPLE!$F$14,$M441,BF$13))))</f>
        <v>1000000000000</v>
      </c>
      <c r="BG441" s="181">
        <f ca="1">IF($D441&lt;&gt;"Serviço",0,IF(AND(AUTOEVENTO="Manual",$M441=1),0,IF(OFFSET(CRONOPLE!$F$14,$M441,BG$13)="",10^12,OFFSET(CRONOPLE!$F$14,$M441,BG$13))))</f>
        <v>1000000000000</v>
      </c>
      <c r="BH441" s="181">
        <f ca="1">IF($D441&lt;&gt;"Serviço",0,IF(AND(AUTOEVENTO="Manual",$M441=1),0,IF(OFFSET(CRONOPLE!$F$14,$M441,BH$13)="",10^12,OFFSET(CRONOPLE!$F$14,$M441,BH$13))))</f>
        <v>1000000000000</v>
      </c>
      <c r="BI441" s="181">
        <f ca="1">IF($D441&lt;&gt;"Serviço",0,IF(AND(AUTOEVENTO="Manual",$M441=1),0,IF(OFFSET(CRONOPLE!$F$14,$M441,BI$13)="",10^12,OFFSET(CRONOPLE!$F$14,$M441,BI$13))))</f>
        <v>1000000000000</v>
      </c>
      <c r="BJ441" s="181">
        <f ca="1">IF($D441&lt;&gt;"Serviço",0,IF(AND(AUTOEVENTO="Manual",$M441=1),0,IF(OFFSET(CRONOPLE!$F$14,$M441,BJ$13)="",10^12,OFFSET(CRONOPLE!$F$14,$M441,BJ$13))))</f>
        <v>1000000000000</v>
      </c>
      <c r="BK441" s="181">
        <f ca="1">IF($D441&lt;&gt;"Serviço",0,IF(AND(AUTOEVENTO="Manual",$M441=1),0,IF(OFFSET(CRONOPLE!$F$14,$M441,BK$13)="",10^12,OFFSET(CRONOPLE!$F$14,$M441,BK$13))))</f>
        <v>1000000000000</v>
      </c>
      <c r="BL441" s="181">
        <f ca="1">IF($D441&lt;&gt;"Serviço",0,IF(AND(AUTOEVENTO="Manual",$M441=1),0,IF(OFFSET(CRONOPLE!$F$14,$M441,BL$13)="",10^12,OFFSET(CRONOPLE!$F$14,$M441,BL$13))))</f>
        <v>1000000000000</v>
      </c>
      <c r="BM441" s="181">
        <f ca="1">IF($D441&lt;&gt;"Serviço",0,IF(AND(AUTOEVENTO="Manual",$M441=1),0,IF(OFFSET(CRONOPLE!$F$14,$M441,BM$13)="",10^12,OFFSET(CRONOPLE!$F$14,$M441,BM$13))))</f>
        <v>1000000000000</v>
      </c>
      <c r="BN441" s="181">
        <f ca="1">IF($D441&lt;&gt;"Serviço",0,IF(AND(AUTOEVENTO="Manual",$M441=1),0,IF(OFFSET(CRONOPLE!$F$14,$M441,BN$13)="",10^12,OFFSET(CRONOPLE!$F$14,$M441,BN$13))))</f>
        <v>1000000000000</v>
      </c>
      <c r="BO441" s="181">
        <f ca="1">IF($D441&lt;&gt;"Serviço",0,IF(AND(AUTOEVENTO="Manual",$M441=1),0,IF(OFFSET(CRONOPLE!$F$14,$M441,BO$13)="",10^12,OFFSET(CRONOPLE!$F$14,$M441,BO$13))))</f>
        <v>1000000000000</v>
      </c>
      <c r="BP441" s="181">
        <f ca="1">IF($D441&lt;&gt;"Serviço",0,IF(AND(AUTOEVENTO="Manual",$M441=1),0,IF(OFFSET(CRONOPLE!$F$14,$M441,BP$13)="",10^12,OFFSET(CRONOPLE!$F$14,$M441,BP$13))))</f>
        <v>1000000000000</v>
      </c>
      <c r="BQ441" s="181">
        <f ca="1">IF($D441&lt;&gt;"Serviço",0,IF(AND(AUTOEVENTO="Manual",$M441=1),0,IF(OFFSET(CRONOPLE!$F$14,$M441,BQ$13)="",10^12,OFFSET(CRONOPLE!$F$14,$M441,BQ$13))))</f>
        <v>1000000000000</v>
      </c>
      <c r="BR441" s="181">
        <f ca="1">IF($D441&lt;&gt;"Serviço",0,IF(AND(AUTOEVENTO="Manual",$M441=1),0,IF(OFFSET(CRONOPLE!$F$14,$M441,BR$13)="",10^12,OFFSET(CRONOPLE!$F$14,$M441,BR$13))))</f>
        <v>1000000000000</v>
      </c>
      <c r="BS441" s="181">
        <f ca="1">IF($D441&lt;&gt;"Serviço",0,IF(AND(AUTOEVENTO="Manual",$M441=1),0,IF(OFFSET(CRONOPLE!$F$14,$M441,BS$13)="",10^12,OFFSET(CRONOPLE!$F$14,$M441,BS$13))))</f>
        <v>1000000000000</v>
      </c>
      <c r="BT441" s="181">
        <f ca="1">IF($D441&lt;&gt;"Serviço",0,IF(AND(AUTOEVENTO="Manual",$M441=1),0,IF(OFFSET(CRONOPLE!$F$14,$M441,BT$13)="",10^12,OFFSET(CRONOPLE!$F$14,$M441,BT$13))))</f>
        <v>1000000000000</v>
      </c>
      <c r="BV441" s="182">
        <f ca="1">IF($D441&lt;&gt;"Serviço",0,IF(OR(AND(AUTOEVENTO="Manual",$M441=1),$M441&gt;(ROW(PLE.lastrow)-ROW(PLE.firstrow))),0,IF(OFFSET(PLE!$G$14,$M441,BV$13)="",10^12,OFFSET(PLE!$G$14,$M441,BV$13))))</f>
        <v>1000000000000</v>
      </c>
      <c r="BW441" s="182">
        <f ca="1">IF($D441&lt;&gt;"Serviço",0,IF(OR(AND(AUTOEVENTO="Manual",$M441=1),$M441&gt;(ROW(PLE.lastrow)-ROW(PLE.firstrow))),0,IF(OFFSET(PLE!$G$14,$M441,BW$13)="",10^12,OFFSET(PLE!$G$14,$M441,BW$13))))</f>
        <v>1000000000000</v>
      </c>
      <c r="BX441" s="182">
        <f ca="1">IF($D441&lt;&gt;"Serviço",0,IF(OR(AND(AUTOEVENTO="Manual",$M441=1),$M441&gt;(ROW(PLE.lastrow)-ROW(PLE.firstrow))),0,IF(OFFSET(PLE!$G$14,$M441,BX$13)="",10^12,OFFSET(PLE!$G$14,$M441,BX$13))))</f>
        <v>1000000000000</v>
      </c>
      <c r="BY441" s="182">
        <f ca="1">IF($D441&lt;&gt;"Serviço",0,IF(OR(AND(AUTOEVENTO="Manual",$M441=1),$M441&gt;(ROW(PLE.lastrow)-ROW(PLE.firstrow))),0,IF(OFFSET(PLE!$G$14,$M441,BY$13)="",10^12,OFFSET(PLE!$G$14,$M441,BY$13))))</f>
        <v>1000000000000</v>
      </c>
      <c r="BZ441" s="182">
        <f ca="1">IF($D441&lt;&gt;"Serviço",0,IF(OR(AND(AUTOEVENTO="Manual",$M441=1),$M441&gt;(ROW(PLE.lastrow)-ROW(PLE.firstrow))),0,IF(OFFSET(PLE!$G$14,$M441,BZ$13)="",10^12,OFFSET(PLE!$G$14,$M441,BZ$13))))</f>
        <v>1000000000000</v>
      </c>
      <c r="CA441" s="182">
        <f ca="1">IF($D441&lt;&gt;"Serviço",0,IF(OR(AND(AUTOEVENTO="Manual",$M441=1),$M441&gt;(ROW(PLE.lastrow)-ROW(PLE.firstrow))),0,IF(OFFSET(PLE!$G$14,$M441,CA$13)="",10^12,OFFSET(PLE!$G$14,$M441,CA$13))))</f>
        <v>1000000000000</v>
      </c>
      <c r="CB441" s="182">
        <f ca="1">IF($D441&lt;&gt;"Serviço",0,IF(OR(AND(AUTOEVENTO="Manual",$M441=1),$M441&gt;(ROW(PLE.lastrow)-ROW(PLE.firstrow))),0,IF(OFFSET(PLE!$G$14,$M441,CB$13)="",10^12,OFFSET(PLE!$G$14,$M441,CB$13))))</f>
        <v>1000000000000</v>
      </c>
      <c r="CC441" s="182">
        <f ca="1">IF($D441&lt;&gt;"Serviço",0,IF(OR(AND(AUTOEVENTO="Manual",$M441=1),$M441&gt;(ROW(PLE.lastrow)-ROW(PLE.firstrow))),0,IF(OFFSET(PLE!$G$14,$M441,CC$13)="",10^12,OFFSET(PLE!$G$14,$M441,CC$13))))</f>
        <v>1000000000000</v>
      </c>
      <c r="CD441" s="182">
        <f ca="1">IF($D441&lt;&gt;"Serviço",0,IF(OR(AND(AUTOEVENTO="Manual",$M441=1),$M441&gt;(ROW(PLE.lastrow)-ROW(PLE.firstrow))),0,IF(OFFSET(PLE!$G$14,$M441,CD$13)="",10^12,OFFSET(PLE!$G$14,$M441,CD$13))))</f>
        <v>1000000000000</v>
      </c>
      <c r="CE441" s="182">
        <f ca="1">IF($D441&lt;&gt;"Serviço",0,IF(OR(AND(AUTOEVENTO="Manual",$M441=1),$M441&gt;(ROW(PLE.lastrow)-ROW(PLE.firstrow))),0,IF(OFFSET(PLE!$G$14,$M441,CE$13)="",10^12,OFFSET(PLE!$G$14,$M441,CE$13))))</f>
        <v>1000000000000</v>
      </c>
      <c r="CF441" s="182">
        <f ca="1">IF($D441&lt;&gt;"Serviço",0,IF(OR(AND(AUTOEVENTO="Manual",$M441=1),$M441&gt;(ROW(PLE.lastrow)-ROW(PLE.firstrow))),0,IF(OFFSET(PLE!$G$14,$M441,CF$13)="",10^12,OFFSET(PLE!$G$14,$M441,CF$13))))</f>
        <v>1000000000000</v>
      </c>
      <c r="CG441" s="182">
        <f ca="1">IF($D441&lt;&gt;"Serviço",0,IF(OR(AND(AUTOEVENTO="Manual",$M441=1),$M441&gt;(ROW(PLE.lastrow)-ROW(PLE.firstrow))),0,IF(OFFSET(PLE!$G$14,$M441,CG$13)="",10^12,OFFSET(PLE!$G$14,$M441,CG$13))))</f>
        <v>1000000000000</v>
      </c>
      <c r="CH441" s="182">
        <f ca="1">IF($D441&lt;&gt;"Serviço",0,IF(OR(AND(AUTOEVENTO="Manual",$M441=1),$M441&gt;(ROW(PLE.lastrow)-ROW(PLE.firstrow))),0,IF(OFFSET(PLE!$G$14,$M441,CH$13)="",10^12,OFFSET(PLE!$G$14,$M441,CH$13))))</f>
        <v>1000000000000</v>
      </c>
      <c r="CI441" s="182">
        <f ca="1">IF($D441&lt;&gt;"Serviço",0,IF(OR(AND(AUTOEVENTO="Manual",$M441=1),$M441&gt;(ROW(PLE.lastrow)-ROW(PLE.firstrow))),0,IF(OFFSET(PLE!$G$14,$M441,CI$13)="",10^12,OFFSET(PLE!$G$14,$M441,CI$13))))</f>
        <v>1000000000000</v>
      </c>
      <c r="CJ441" s="182">
        <f ca="1">IF($D441&lt;&gt;"Serviço",0,IF(OR(AND(AUTOEVENTO="Manual",$M441=1),$M441&gt;(ROW(PLE.lastrow)-ROW(PLE.firstrow))),0,IF(OFFSET(PLE!$G$14,$M441,CJ$13)="",10^12,OFFSET(PLE!$G$14,$M441,CJ$13))))</f>
        <v>1000000000000</v>
      </c>
      <c r="CK441" s="182">
        <f ca="1">IF($D441&lt;&gt;"Serviço",0,IF(OR(AND(AUTOEVENTO="Manual",$M441=1),$M441&gt;(ROW(PLE.lastrow)-ROW(PLE.firstrow))),0,IF(OFFSET(PLE!$G$14,$M441,CK$13)="",10^12,OFFSET(PLE!$G$14,$M441,CK$13))))</f>
        <v>1000000000000</v>
      </c>
      <c r="CL441" s="182">
        <f ca="1">IF($D441&lt;&gt;"Serviço",0,IF(OR(AND(AUTOEVENTO="Manual",$M441=1),$M441&gt;(ROW(PLE.lastrow)-ROW(PLE.firstrow))),0,IF(OFFSET(PLE!$G$14,$M441,CL$13)="",10^12,OFFSET(PLE!$G$14,$M441,CL$13))))</f>
        <v>1000000000000</v>
      </c>
      <c r="CM441" s="182">
        <f ca="1">IF($D441&lt;&gt;"Serviço",0,IF(OR(AND(AUTOEVENTO="Manual",$M441=1),$M441&gt;(ROW(PLE.lastrow)-ROW(PLE.firstrow))),0,IF(OFFSET(PLE!$G$14,$M441,CM$13)="",10^12,OFFSET(PLE!$G$14,$M441,CM$13))))</f>
        <v>1000000000000</v>
      </c>
    </row>
    <row r="442" spans="1:91" ht="38.25" x14ac:dyDescent="0.2">
      <c r="A442" s="7" t="str">
        <f t="shared" ref="A442:A457" ca="1" si="15">IF(AUTOEVENTO="Manual",IF(K442&lt;&gt;"",MIN(VALUE(LEFT(K442,FIND(".",K442)-1)),COUNTA(EVENTOS.Lista)),0),IF(OR($B442&gt;AUTOEVENTO,$B442="S",$B442=0),SUBSTITUTE(OFFSET($A442,-1,0),IF($D442="Serviço",".",""),""),ROW(A442)-ROW($A$15)&amp;"."))</f>
        <v>421</v>
      </c>
      <c r="B442" s="7" t="str">
        <f ca="1">OFFSET(ORÇAMENTO!C$15,ROW(B442)-ROW(B$15),0)</f>
        <v>S</v>
      </c>
      <c r="C442" s="7" t="str">
        <f ca="1">OFFSET(ORÇAMENTO!L$15,ROW(C442)-ROW(C$15),0)</f>
        <v/>
      </c>
      <c r="D442" s="118" t="str">
        <f ca="1">OFFSET(ORÇAMENTO!N$15,ROW(D442)-ROW(D$15),0)</f>
        <v>Serviço</v>
      </c>
      <c r="E442" s="119" t="str">
        <f ca="1">OFFSET(ORÇAMENTO!O$15,ROW(E442)-ROW(E$15),0)</f>
        <v>-</v>
      </c>
      <c r="F442" s="172" t="str">
        <f ca="1">OFFSET(ORÇAMENTO!R$15,ROW(F442)-ROW(F$15),0)</f>
        <v>(abra o arquivo 'Referência 06-2024.xlsm)</v>
      </c>
      <c r="G442" s="173" t="str">
        <f ca="1">IF($D442&lt;&gt;"Serviço","",OFFSET(ORÇAMENTO!S$15,ROW(G442)-ROW(G$15),0))</f>
        <v>-</v>
      </c>
      <c r="H442" s="124">
        <f ca="1">IF($D442&lt;&gt;"Serviço",0,IF(ACOMPANHAMENTO="BM",ROUND(OFFSET(ORÇAMENTO!AJ$15,ROW(H442)-ROW(H$15),0),15-13*ORÇAMENTO!$AF$7),SUMPRODUCT(($Q$12:$AI$12&lt;&gt;"")*ROUND($Q442:$AI442,15-13*ORÇAMENTO!$AF$7))))</f>
        <v>1.05</v>
      </c>
      <c r="I442" s="561" t="s">
        <v>1107</v>
      </c>
      <c r="K442" s="174"/>
      <c r="L442" s="175" t="s">
        <v>255</v>
      </c>
      <c r="M442" s="176">
        <f ca="1">IF($D442&lt;&gt;"Serviço","",IF(AUTOEVENTO="manual",$A442,IF(ISERROR(MATCH($A442,$A$15:OFFSET($A442,-1,0),0)),MAX($M$15:OFFSET(M442,-1,0))+1,INDEX($M$15:OFFSET(M442,-1,0),MATCH($A442,$A$15:OFFSET($A442,-1,0),0)))))</f>
        <v>49</v>
      </c>
      <c r="N442" s="177" t="str">
        <f ca="1">IF($D442&lt;&gt;"Serviço","",IF(AUTOEVENTO="Manual",IF($A442=0,"&lt;-- defina o número do agrupador",OFFSET(EVENTOS!$D$14,$A442,0)),OFFSET($F$15,$A442,0)))</f>
        <v>SISTEMA DE PROTEÇÃO CONTRA INCÊNDIO - TUBULAÇÕES E CONEXÕES</v>
      </c>
      <c r="O442" s="178"/>
      <c r="Q442" s="178">
        <v>1.05</v>
      </c>
      <c r="R442" s="179"/>
      <c r="S442" s="179"/>
      <c r="T442" s="179"/>
      <c r="U442" s="179"/>
      <c r="V442" s="179"/>
      <c r="W442" s="179"/>
      <c r="X442" s="179"/>
      <c r="Y442" s="179"/>
      <c r="Z442" s="180"/>
      <c r="AA442" s="179"/>
      <c r="AB442" s="179"/>
      <c r="AC442" s="179"/>
      <c r="AD442" s="179"/>
      <c r="AE442" s="179"/>
      <c r="AF442" s="179"/>
      <c r="AG442" s="179"/>
      <c r="AH442" s="180"/>
      <c r="AJ442" s="544">
        <f ca="1">IF(AND($D442="Serviço",AJ$12&lt;&gt;0,$H442&gt;0,OR(AUTOEVENTO&lt;&gt;"manual",$M442&lt;&gt;1)),
IF(Import.TipoArredondamento&lt;&gt;"TransfereGOV",
ROUND(OFFSET($P442,0,AJ$13),15-13*ORÇAMENTO!$AF$7)/$H442*OFFSET(ORÇAMENTO!$X$15,ROW(AJ442)-ROW(AJ$15),0),
ROUND(ROUND(OFFSET($P442,0,AJ$13),15-13*ORÇAMENTO!$AF$7)*OFFSET(ORÇAMENTO!$W$15,ROW(AJ442)-ROW(AJ$15),0),15-13*ORÇAMENTO!$AF$11)),0)</f>
        <v>0</v>
      </c>
      <c r="AK442" s="545">
        <f ca="1">IF(AND($D442="Serviço",AK$12&lt;&gt;0,$H442&gt;0,OR(AUTOEVENTO&lt;&gt;"manual",$M442&lt;&gt;1)),
IF(Import.TipoArredondamento&lt;&gt;"TransfereGOV",
ROUND(OFFSET($P442,0,AK$13),15-13*ORÇAMENTO!$AF$7)/$H442*OFFSET(ORÇAMENTO!$X$15,ROW(AK442)-ROW(AK$15),0),
ROUND(ROUND(OFFSET($P442,0,AK$13),15-13*ORÇAMENTO!$AF$7)*OFFSET(ORÇAMENTO!$W$15,ROW(AK442)-ROW(AK$15),0),15-13*ORÇAMENTO!$AF$11)),0)</f>
        <v>0</v>
      </c>
      <c r="AL442" s="545">
        <f ca="1">IF(AND($D442="Serviço",AL$12&lt;&gt;0,$H442&gt;0,OR(AUTOEVENTO&lt;&gt;"manual",$M442&lt;&gt;1)),
IF(Import.TipoArredondamento&lt;&gt;"TransfereGOV",
ROUND(OFFSET($P442,0,AL$13),15-13*ORÇAMENTO!$AF$7)/$H442*OFFSET(ORÇAMENTO!$X$15,ROW(AL442)-ROW(AL$15),0),
ROUND(ROUND(OFFSET($P442,0,AL$13),15-13*ORÇAMENTO!$AF$7)*OFFSET(ORÇAMENTO!$W$15,ROW(AL442)-ROW(AL$15),0),15-13*ORÇAMENTO!$AF$11)),0)</f>
        <v>0</v>
      </c>
      <c r="AM442" s="545">
        <f ca="1">IF(AND($D442="Serviço",AM$12&lt;&gt;0,$H442&gt;0,OR(AUTOEVENTO&lt;&gt;"manual",$M442&lt;&gt;1)),
IF(Import.TipoArredondamento&lt;&gt;"TransfereGOV",
ROUND(OFFSET($P442,0,AM$13),15-13*ORÇAMENTO!$AF$7)/$H442*OFFSET(ORÇAMENTO!$X$15,ROW(AM442)-ROW(AM$15),0),
ROUND(ROUND(OFFSET($P442,0,AM$13),15-13*ORÇAMENTO!$AF$7)*OFFSET(ORÇAMENTO!$W$15,ROW(AM442)-ROW(AM$15),0),15-13*ORÇAMENTO!$AF$11)),0)</f>
        <v>0</v>
      </c>
      <c r="AN442" s="545">
        <f ca="1">IF(AND($D442="Serviço",AN$12&lt;&gt;0,$H442&gt;0,OR(AUTOEVENTO&lt;&gt;"manual",$M442&lt;&gt;1)),
IF(Import.TipoArredondamento&lt;&gt;"TransfereGOV",
ROUND(OFFSET($P442,0,AN$13),15-13*ORÇAMENTO!$AF$7)/$H442*OFFSET(ORÇAMENTO!$X$15,ROW(AN442)-ROW(AN$15),0),
ROUND(ROUND(OFFSET($P442,0,AN$13),15-13*ORÇAMENTO!$AF$7)*OFFSET(ORÇAMENTO!$W$15,ROW(AN442)-ROW(AN$15),0),15-13*ORÇAMENTO!$AF$11)),0)</f>
        <v>0</v>
      </c>
      <c r="AO442" s="545">
        <f ca="1">IF(AND($D442="Serviço",AO$12&lt;&gt;0,$H442&gt;0,OR(AUTOEVENTO&lt;&gt;"manual",$M442&lt;&gt;1)),
IF(Import.TipoArredondamento&lt;&gt;"TransfereGOV",
ROUND(OFFSET($P442,0,AO$13),15-13*ORÇAMENTO!$AF$7)/$H442*OFFSET(ORÇAMENTO!$X$15,ROW(AO442)-ROW(AO$15),0),
ROUND(ROUND(OFFSET($P442,0,AO$13),15-13*ORÇAMENTO!$AF$7)*OFFSET(ORÇAMENTO!$W$15,ROW(AO442)-ROW(AO$15),0),15-13*ORÇAMENTO!$AF$11)),0)</f>
        <v>0</v>
      </c>
      <c r="AP442" s="545">
        <f ca="1">IF(AND($D442="Serviço",AP$12&lt;&gt;0,$H442&gt;0,OR(AUTOEVENTO&lt;&gt;"manual",$M442&lt;&gt;1)),
IF(Import.TipoArredondamento&lt;&gt;"TransfereGOV",
ROUND(OFFSET($P442,0,AP$13),15-13*ORÇAMENTO!$AF$7)/$H442*OFFSET(ORÇAMENTO!$X$15,ROW(AP442)-ROW(AP$15),0),
ROUND(ROUND(OFFSET($P442,0,AP$13),15-13*ORÇAMENTO!$AF$7)*OFFSET(ORÇAMENTO!$W$15,ROW(AP442)-ROW(AP$15),0),15-13*ORÇAMENTO!$AF$11)),0)</f>
        <v>0</v>
      </c>
      <c r="AQ442" s="545">
        <f ca="1">IF(AND($D442="Serviço",AQ$12&lt;&gt;0,$H442&gt;0,OR(AUTOEVENTO&lt;&gt;"manual",$M442&lt;&gt;1)),
IF(Import.TipoArredondamento&lt;&gt;"TransfereGOV",
ROUND(OFFSET($P442,0,AQ$13),15-13*ORÇAMENTO!$AF$7)/$H442*OFFSET(ORÇAMENTO!$X$15,ROW(AQ442)-ROW(AQ$15),0),
ROUND(ROUND(OFFSET($P442,0,AQ$13),15-13*ORÇAMENTO!$AF$7)*OFFSET(ORÇAMENTO!$W$15,ROW(AQ442)-ROW(AQ$15),0),15-13*ORÇAMENTO!$AF$11)),0)</f>
        <v>0</v>
      </c>
      <c r="AR442" s="545">
        <f ca="1">IF(AND($D442="Serviço",AR$12&lt;&gt;0,$H442&gt;0,OR(AUTOEVENTO&lt;&gt;"manual",$M442&lt;&gt;1)),
IF(Import.TipoArredondamento&lt;&gt;"TransfereGOV",
ROUND(OFFSET($P442,0,AR$13),15-13*ORÇAMENTO!$AF$7)/$H442*OFFSET(ORÇAMENTO!$X$15,ROW(AR442)-ROW(AR$15),0),
ROUND(ROUND(OFFSET($P442,0,AR$13),15-13*ORÇAMENTO!$AF$7)*OFFSET(ORÇAMENTO!$W$15,ROW(AR442)-ROW(AR$15),0),15-13*ORÇAMENTO!$AF$11)),0)</f>
        <v>0</v>
      </c>
      <c r="AS442" s="546">
        <f ca="1">IF(AND($D442="Serviço",AS$12&lt;&gt;0,$H442&gt;0,OR(AUTOEVENTO&lt;&gt;"manual",$M442&lt;&gt;1)),
IF(Import.TipoArredondamento&lt;&gt;"TransfereGOV",
ROUND(OFFSET($P442,0,AS$13),15-13*ORÇAMENTO!$AF$7)/$H442*OFFSET(ORÇAMENTO!$X$15,ROW(AS442)-ROW(AS$15),0),
ROUND(ROUND(OFFSET($P442,0,AS$13),15-13*ORÇAMENTO!$AF$7)*OFFSET(ORÇAMENTO!$W$15,ROW(AS442)-ROW(AS$15),0),15-13*ORÇAMENTO!$AF$11)),0)</f>
        <v>0</v>
      </c>
      <c r="AT442" s="545">
        <f ca="1">IF(AND($D442="Serviço",AT$12&lt;&gt;0,$H442&gt;0,OR(AUTOEVENTO&lt;&gt;"manual",$M442&lt;&gt;1)),
IF(Import.TipoArredondamento&lt;&gt;"TransfereGOV",
ROUND(OFFSET($P442,0,AT$13),15-13*ORÇAMENTO!$AF$7)/$H442*OFFSET(ORÇAMENTO!$X$15,ROW(AT442)-ROW(AT$15),0),
ROUND(ROUND(OFFSET($P442,0,AT$13),15-13*ORÇAMENTO!$AF$7)*OFFSET(ORÇAMENTO!$W$15,ROW(AT442)-ROW(AT$15),0),15-13*ORÇAMENTO!$AF$11)),0)</f>
        <v>0</v>
      </c>
      <c r="AU442" s="545">
        <f ca="1">IF(AND($D442="Serviço",AU$12&lt;&gt;0,$H442&gt;0,OR(AUTOEVENTO&lt;&gt;"manual",$M442&lt;&gt;1)),
IF(Import.TipoArredondamento&lt;&gt;"TransfereGOV",
ROUND(OFFSET($P442,0,AU$13),15-13*ORÇAMENTO!$AF$7)/$H442*OFFSET(ORÇAMENTO!$X$15,ROW(AU442)-ROW(AU$15),0),
ROUND(ROUND(OFFSET($P442,0,AU$13),15-13*ORÇAMENTO!$AF$7)*OFFSET(ORÇAMENTO!$W$15,ROW(AU442)-ROW(AU$15),0),15-13*ORÇAMENTO!$AF$11)),0)</f>
        <v>0</v>
      </c>
      <c r="AV442" s="545">
        <f ca="1">IF(AND($D442="Serviço",AV$12&lt;&gt;0,$H442&gt;0,OR(AUTOEVENTO&lt;&gt;"manual",$M442&lt;&gt;1)),
IF(Import.TipoArredondamento&lt;&gt;"TransfereGOV",
ROUND(OFFSET($P442,0,AV$13),15-13*ORÇAMENTO!$AF$7)/$H442*OFFSET(ORÇAMENTO!$X$15,ROW(AV442)-ROW(AV$15),0),
ROUND(ROUND(OFFSET($P442,0,AV$13),15-13*ORÇAMENTO!$AF$7)*OFFSET(ORÇAMENTO!$W$15,ROW(AV442)-ROW(AV$15),0),15-13*ORÇAMENTO!$AF$11)),0)</f>
        <v>0</v>
      </c>
      <c r="AW442" s="545">
        <f ca="1">IF(AND($D442="Serviço",AW$12&lt;&gt;0,$H442&gt;0,OR(AUTOEVENTO&lt;&gt;"manual",$M442&lt;&gt;1)),
IF(Import.TipoArredondamento&lt;&gt;"TransfereGOV",
ROUND(OFFSET($P442,0,AW$13),15-13*ORÇAMENTO!$AF$7)/$H442*OFFSET(ORÇAMENTO!$X$15,ROW(AW442)-ROW(AW$15),0),
ROUND(ROUND(OFFSET($P442,0,AW$13),15-13*ORÇAMENTO!$AF$7)*OFFSET(ORÇAMENTO!$W$15,ROW(AW442)-ROW(AW$15),0),15-13*ORÇAMENTO!$AF$11)),0)</f>
        <v>0</v>
      </c>
      <c r="AX442" s="545">
        <f ca="1">IF(AND($D442="Serviço",AX$12&lt;&gt;0,$H442&gt;0,OR(AUTOEVENTO&lt;&gt;"manual",$M442&lt;&gt;1)),
IF(Import.TipoArredondamento&lt;&gt;"TransfereGOV",
ROUND(OFFSET($P442,0,AX$13),15-13*ORÇAMENTO!$AF$7)/$H442*OFFSET(ORÇAMENTO!$X$15,ROW(AX442)-ROW(AX$15),0),
ROUND(ROUND(OFFSET($P442,0,AX$13),15-13*ORÇAMENTO!$AF$7)*OFFSET(ORÇAMENTO!$W$15,ROW(AX442)-ROW(AX$15),0),15-13*ORÇAMENTO!$AF$11)),0)</f>
        <v>0</v>
      </c>
      <c r="AY442" s="545">
        <f ca="1">IF(AND($D442="Serviço",AY$12&lt;&gt;0,$H442&gt;0,OR(AUTOEVENTO&lt;&gt;"manual",$M442&lt;&gt;1)),
IF(Import.TipoArredondamento&lt;&gt;"TransfereGOV",
ROUND(OFFSET($P442,0,AY$13),15-13*ORÇAMENTO!$AF$7)/$H442*OFFSET(ORÇAMENTO!$X$15,ROW(AY442)-ROW(AY$15),0),
ROUND(ROUND(OFFSET($P442,0,AY$13),15-13*ORÇAMENTO!$AF$7)*OFFSET(ORÇAMENTO!$W$15,ROW(AY442)-ROW(AY$15),0),15-13*ORÇAMENTO!$AF$11)),0)</f>
        <v>0</v>
      </c>
      <c r="AZ442" s="545">
        <f ca="1">IF(AND($D442="Serviço",AZ$12&lt;&gt;0,$H442&gt;0,OR(AUTOEVENTO&lt;&gt;"manual",$M442&lt;&gt;1)),
IF(Import.TipoArredondamento&lt;&gt;"TransfereGOV",
ROUND(OFFSET($P442,0,AZ$13),15-13*ORÇAMENTO!$AF$7)/$H442*OFFSET(ORÇAMENTO!$X$15,ROW(AZ442)-ROW(AZ$15),0),
ROUND(ROUND(OFFSET($P442,0,AZ$13),15-13*ORÇAMENTO!$AF$7)*OFFSET(ORÇAMENTO!$W$15,ROW(AZ442)-ROW(AZ$15),0),15-13*ORÇAMENTO!$AF$11)),0)</f>
        <v>0</v>
      </c>
      <c r="BA442" s="546">
        <f ca="1">IF(AND($D442="Serviço",BA$12&lt;&gt;0,$H442&gt;0,OR(AUTOEVENTO&lt;&gt;"manual",$M442&lt;&gt;1)),
IF(Import.TipoArredondamento&lt;&gt;"TransfereGOV",
ROUND(OFFSET($P442,0,BA$13),15-13*ORÇAMENTO!$AF$7)/$H442*OFFSET(ORÇAMENTO!$X$15,ROW(BA442)-ROW(BA$15),0),
ROUND(ROUND(OFFSET($P442,0,BA$13),15-13*ORÇAMENTO!$AF$7)*OFFSET(ORÇAMENTO!$W$15,ROW(BA442)-ROW(BA$15),0),15-13*ORÇAMENTO!$AF$11)),0)</f>
        <v>0</v>
      </c>
      <c r="BC442" s="181">
        <f ca="1">IF($D442&lt;&gt;"Serviço",0,IF(AND(AUTOEVENTO="Manual",$M442=1),0,IF(OFFSET(CRONOPLE!$F$14,$M442,BC$13)="",10^12,OFFSET(CRONOPLE!$F$14,$M442,BC$13))))</f>
        <v>10</v>
      </c>
      <c r="BD442" s="181">
        <f ca="1">IF($D442&lt;&gt;"Serviço",0,IF(AND(AUTOEVENTO="Manual",$M442=1),0,IF(OFFSET(CRONOPLE!$F$14,$M442,BD$13)="",10^12,OFFSET(CRONOPLE!$F$14,$M442,BD$13))))</f>
        <v>1000000000000</v>
      </c>
      <c r="BE442" s="181">
        <f ca="1">IF($D442&lt;&gt;"Serviço",0,IF(AND(AUTOEVENTO="Manual",$M442=1),0,IF(OFFSET(CRONOPLE!$F$14,$M442,BE$13)="",10^12,OFFSET(CRONOPLE!$F$14,$M442,BE$13))))</f>
        <v>1000000000000</v>
      </c>
      <c r="BF442" s="181">
        <f ca="1">IF($D442&lt;&gt;"Serviço",0,IF(AND(AUTOEVENTO="Manual",$M442=1),0,IF(OFFSET(CRONOPLE!$F$14,$M442,BF$13)="",10^12,OFFSET(CRONOPLE!$F$14,$M442,BF$13))))</f>
        <v>1000000000000</v>
      </c>
      <c r="BG442" s="181">
        <f ca="1">IF($D442&lt;&gt;"Serviço",0,IF(AND(AUTOEVENTO="Manual",$M442=1),0,IF(OFFSET(CRONOPLE!$F$14,$M442,BG$13)="",10^12,OFFSET(CRONOPLE!$F$14,$M442,BG$13))))</f>
        <v>1000000000000</v>
      </c>
      <c r="BH442" s="181">
        <f ca="1">IF($D442&lt;&gt;"Serviço",0,IF(AND(AUTOEVENTO="Manual",$M442=1),0,IF(OFFSET(CRONOPLE!$F$14,$M442,BH$13)="",10^12,OFFSET(CRONOPLE!$F$14,$M442,BH$13))))</f>
        <v>1000000000000</v>
      </c>
      <c r="BI442" s="181">
        <f ca="1">IF($D442&lt;&gt;"Serviço",0,IF(AND(AUTOEVENTO="Manual",$M442=1),0,IF(OFFSET(CRONOPLE!$F$14,$M442,BI$13)="",10^12,OFFSET(CRONOPLE!$F$14,$M442,BI$13))))</f>
        <v>1000000000000</v>
      </c>
      <c r="BJ442" s="181">
        <f ca="1">IF($D442&lt;&gt;"Serviço",0,IF(AND(AUTOEVENTO="Manual",$M442=1),0,IF(OFFSET(CRONOPLE!$F$14,$M442,BJ$13)="",10^12,OFFSET(CRONOPLE!$F$14,$M442,BJ$13))))</f>
        <v>1000000000000</v>
      </c>
      <c r="BK442" s="181">
        <f ca="1">IF($D442&lt;&gt;"Serviço",0,IF(AND(AUTOEVENTO="Manual",$M442=1),0,IF(OFFSET(CRONOPLE!$F$14,$M442,BK$13)="",10^12,OFFSET(CRONOPLE!$F$14,$M442,BK$13))))</f>
        <v>1000000000000</v>
      </c>
      <c r="BL442" s="181">
        <f ca="1">IF($D442&lt;&gt;"Serviço",0,IF(AND(AUTOEVENTO="Manual",$M442=1),0,IF(OFFSET(CRONOPLE!$F$14,$M442,BL$13)="",10^12,OFFSET(CRONOPLE!$F$14,$M442,BL$13))))</f>
        <v>1000000000000</v>
      </c>
      <c r="BM442" s="181">
        <f ca="1">IF($D442&lt;&gt;"Serviço",0,IF(AND(AUTOEVENTO="Manual",$M442=1),0,IF(OFFSET(CRONOPLE!$F$14,$M442,BM$13)="",10^12,OFFSET(CRONOPLE!$F$14,$M442,BM$13))))</f>
        <v>1000000000000</v>
      </c>
      <c r="BN442" s="181">
        <f ca="1">IF($D442&lt;&gt;"Serviço",0,IF(AND(AUTOEVENTO="Manual",$M442=1),0,IF(OFFSET(CRONOPLE!$F$14,$M442,BN$13)="",10^12,OFFSET(CRONOPLE!$F$14,$M442,BN$13))))</f>
        <v>1000000000000</v>
      </c>
      <c r="BO442" s="181">
        <f ca="1">IF($D442&lt;&gt;"Serviço",0,IF(AND(AUTOEVENTO="Manual",$M442=1),0,IF(OFFSET(CRONOPLE!$F$14,$M442,BO$13)="",10^12,OFFSET(CRONOPLE!$F$14,$M442,BO$13))))</f>
        <v>1000000000000</v>
      </c>
      <c r="BP442" s="181">
        <f ca="1">IF($D442&lt;&gt;"Serviço",0,IF(AND(AUTOEVENTO="Manual",$M442=1),0,IF(OFFSET(CRONOPLE!$F$14,$M442,BP$13)="",10^12,OFFSET(CRONOPLE!$F$14,$M442,BP$13))))</f>
        <v>1000000000000</v>
      </c>
      <c r="BQ442" s="181">
        <f ca="1">IF($D442&lt;&gt;"Serviço",0,IF(AND(AUTOEVENTO="Manual",$M442=1),0,IF(OFFSET(CRONOPLE!$F$14,$M442,BQ$13)="",10^12,OFFSET(CRONOPLE!$F$14,$M442,BQ$13))))</f>
        <v>1000000000000</v>
      </c>
      <c r="BR442" s="181">
        <f ca="1">IF($D442&lt;&gt;"Serviço",0,IF(AND(AUTOEVENTO="Manual",$M442=1),0,IF(OFFSET(CRONOPLE!$F$14,$M442,BR$13)="",10^12,OFFSET(CRONOPLE!$F$14,$M442,BR$13))))</f>
        <v>1000000000000</v>
      </c>
      <c r="BS442" s="181">
        <f ca="1">IF($D442&lt;&gt;"Serviço",0,IF(AND(AUTOEVENTO="Manual",$M442=1),0,IF(OFFSET(CRONOPLE!$F$14,$M442,BS$13)="",10^12,OFFSET(CRONOPLE!$F$14,$M442,BS$13))))</f>
        <v>1000000000000</v>
      </c>
      <c r="BT442" s="181">
        <f ca="1">IF($D442&lt;&gt;"Serviço",0,IF(AND(AUTOEVENTO="Manual",$M442=1),0,IF(OFFSET(CRONOPLE!$F$14,$M442,BT$13)="",10^12,OFFSET(CRONOPLE!$F$14,$M442,BT$13))))</f>
        <v>1000000000000</v>
      </c>
      <c r="BV442" s="182">
        <f ca="1">IF($D442&lt;&gt;"Serviço",0,IF(OR(AND(AUTOEVENTO="Manual",$M442=1),$M442&gt;(ROW(PLE.lastrow)-ROW(PLE.firstrow))),0,IF(OFFSET(PLE!$G$14,$M442,BV$13)="",10^12,OFFSET(PLE!$G$14,$M442,BV$13))))</f>
        <v>1000000000000</v>
      </c>
      <c r="BW442" s="182">
        <f ca="1">IF($D442&lt;&gt;"Serviço",0,IF(OR(AND(AUTOEVENTO="Manual",$M442=1),$M442&gt;(ROW(PLE.lastrow)-ROW(PLE.firstrow))),0,IF(OFFSET(PLE!$G$14,$M442,BW$13)="",10^12,OFFSET(PLE!$G$14,$M442,BW$13))))</f>
        <v>1000000000000</v>
      </c>
      <c r="BX442" s="182">
        <f ca="1">IF($D442&lt;&gt;"Serviço",0,IF(OR(AND(AUTOEVENTO="Manual",$M442=1),$M442&gt;(ROW(PLE.lastrow)-ROW(PLE.firstrow))),0,IF(OFFSET(PLE!$G$14,$M442,BX$13)="",10^12,OFFSET(PLE!$G$14,$M442,BX$13))))</f>
        <v>1000000000000</v>
      </c>
      <c r="BY442" s="182">
        <f ca="1">IF($D442&lt;&gt;"Serviço",0,IF(OR(AND(AUTOEVENTO="Manual",$M442=1),$M442&gt;(ROW(PLE.lastrow)-ROW(PLE.firstrow))),0,IF(OFFSET(PLE!$G$14,$M442,BY$13)="",10^12,OFFSET(PLE!$G$14,$M442,BY$13))))</f>
        <v>1000000000000</v>
      </c>
      <c r="BZ442" s="182">
        <f ca="1">IF($D442&lt;&gt;"Serviço",0,IF(OR(AND(AUTOEVENTO="Manual",$M442=1),$M442&gt;(ROW(PLE.lastrow)-ROW(PLE.firstrow))),0,IF(OFFSET(PLE!$G$14,$M442,BZ$13)="",10^12,OFFSET(PLE!$G$14,$M442,BZ$13))))</f>
        <v>1000000000000</v>
      </c>
      <c r="CA442" s="182">
        <f ca="1">IF($D442&lt;&gt;"Serviço",0,IF(OR(AND(AUTOEVENTO="Manual",$M442=1),$M442&gt;(ROW(PLE.lastrow)-ROW(PLE.firstrow))),0,IF(OFFSET(PLE!$G$14,$M442,CA$13)="",10^12,OFFSET(PLE!$G$14,$M442,CA$13))))</f>
        <v>1000000000000</v>
      </c>
      <c r="CB442" s="182">
        <f ca="1">IF($D442&lt;&gt;"Serviço",0,IF(OR(AND(AUTOEVENTO="Manual",$M442=1),$M442&gt;(ROW(PLE.lastrow)-ROW(PLE.firstrow))),0,IF(OFFSET(PLE!$G$14,$M442,CB$13)="",10^12,OFFSET(PLE!$G$14,$M442,CB$13))))</f>
        <v>1000000000000</v>
      </c>
      <c r="CC442" s="182">
        <f ca="1">IF($D442&lt;&gt;"Serviço",0,IF(OR(AND(AUTOEVENTO="Manual",$M442=1),$M442&gt;(ROW(PLE.lastrow)-ROW(PLE.firstrow))),0,IF(OFFSET(PLE!$G$14,$M442,CC$13)="",10^12,OFFSET(PLE!$G$14,$M442,CC$13))))</f>
        <v>1000000000000</v>
      </c>
      <c r="CD442" s="182">
        <f ca="1">IF($D442&lt;&gt;"Serviço",0,IF(OR(AND(AUTOEVENTO="Manual",$M442=1),$M442&gt;(ROW(PLE.lastrow)-ROW(PLE.firstrow))),0,IF(OFFSET(PLE!$G$14,$M442,CD$13)="",10^12,OFFSET(PLE!$G$14,$M442,CD$13))))</f>
        <v>1000000000000</v>
      </c>
      <c r="CE442" s="182">
        <f ca="1">IF($D442&lt;&gt;"Serviço",0,IF(OR(AND(AUTOEVENTO="Manual",$M442=1),$M442&gt;(ROW(PLE.lastrow)-ROW(PLE.firstrow))),0,IF(OFFSET(PLE!$G$14,$M442,CE$13)="",10^12,OFFSET(PLE!$G$14,$M442,CE$13))))</f>
        <v>1000000000000</v>
      </c>
      <c r="CF442" s="182">
        <f ca="1">IF($D442&lt;&gt;"Serviço",0,IF(OR(AND(AUTOEVENTO="Manual",$M442=1),$M442&gt;(ROW(PLE.lastrow)-ROW(PLE.firstrow))),0,IF(OFFSET(PLE!$G$14,$M442,CF$13)="",10^12,OFFSET(PLE!$G$14,$M442,CF$13))))</f>
        <v>1000000000000</v>
      </c>
      <c r="CG442" s="182">
        <f ca="1">IF($D442&lt;&gt;"Serviço",0,IF(OR(AND(AUTOEVENTO="Manual",$M442=1),$M442&gt;(ROW(PLE.lastrow)-ROW(PLE.firstrow))),0,IF(OFFSET(PLE!$G$14,$M442,CG$13)="",10^12,OFFSET(PLE!$G$14,$M442,CG$13))))</f>
        <v>1000000000000</v>
      </c>
      <c r="CH442" s="182">
        <f ca="1">IF($D442&lt;&gt;"Serviço",0,IF(OR(AND(AUTOEVENTO="Manual",$M442=1),$M442&gt;(ROW(PLE.lastrow)-ROW(PLE.firstrow))),0,IF(OFFSET(PLE!$G$14,$M442,CH$13)="",10^12,OFFSET(PLE!$G$14,$M442,CH$13))))</f>
        <v>1000000000000</v>
      </c>
      <c r="CI442" s="182">
        <f ca="1">IF($D442&lt;&gt;"Serviço",0,IF(OR(AND(AUTOEVENTO="Manual",$M442=1),$M442&gt;(ROW(PLE.lastrow)-ROW(PLE.firstrow))),0,IF(OFFSET(PLE!$G$14,$M442,CI$13)="",10^12,OFFSET(PLE!$G$14,$M442,CI$13))))</f>
        <v>1000000000000</v>
      </c>
      <c r="CJ442" s="182">
        <f ca="1">IF($D442&lt;&gt;"Serviço",0,IF(OR(AND(AUTOEVENTO="Manual",$M442=1),$M442&gt;(ROW(PLE.lastrow)-ROW(PLE.firstrow))),0,IF(OFFSET(PLE!$G$14,$M442,CJ$13)="",10^12,OFFSET(PLE!$G$14,$M442,CJ$13))))</f>
        <v>1000000000000</v>
      </c>
      <c r="CK442" s="182">
        <f ca="1">IF($D442&lt;&gt;"Serviço",0,IF(OR(AND(AUTOEVENTO="Manual",$M442=1),$M442&gt;(ROW(PLE.lastrow)-ROW(PLE.firstrow))),0,IF(OFFSET(PLE!$G$14,$M442,CK$13)="",10^12,OFFSET(PLE!$G$14,$M442,CK$13))))</f>
        <v>1000000000000</v>
      </c>
      <c r="CL442" s="182">
        <f ca="1">IF($D442&lt;&gt;"Serviço",0,IF(OR(AND(AUTOEVENTO="Manual",$M442=1),$M442&gt;(ROW(PLE.lastrow)-ROW(PLE.firstrow))),0,IF(OFFSET(PLE!$G$14,$M442,CL$13)="",10^12,OFFSET(PLE!$G$14,$M442,CL$13))))</f>
        <v>1000000000000</v>
      </c>
      <c r="CM442" s="182">
        <f ca="1">IF($D442&lt;&gt;"Serviço",0,IF(OR(AND(AUTOEVENTO="Manual",$M442=1),$M442&gt;(ROW(PLE.lastrow)-ROW(PLE.firstrow))),0,IF(OFFSET(PLE!$G$14,$M442,CM$13)="",10^12,OFFSET(PLE!$G$14,$M442,CM$13))))</f>
        <v>1000000000000</v>
      </c>
    </row>
    <row r="443" spans="1:91" ht="51" x14ac:dyDescent="0.2">
      <c r="A443" s="7" t="str">
        <f t="shared" ca="1" si="15"/>
        <v>421</v>
      </c>
      <c r="B443" s="7" t="str">
        <f ca="1">OFFSET(ORÇAMENTO!C$15,ROW(B443)-ROW(B$15),0)</f>
        <v>S</v>
      </c>
      <c r="C443" s="7" t="str">
        <f ca="1">OFFSET(ORÇAMENTO!L$15,ROW(C443)-ROW(C$15),0)</f>
        <v/>
      </c>
      <c r="D443" s="118" t="str">
        <f ca="1">OFFSET(ORÇAMENTO!N$15,ROW(D443)-ROW(D$15),0)</f>
        <v>Serviço</v>
      </c>
      <c r="E443" s="119" t="str">
        <f ca="1">OFFSET(ORÇAMENTO!O$15,ROW(E443)-ROW(E$15),0)</f>
        <v>-</v>
      </c>
      <c r="F443" s="172" t="str">
        <f ca="1">OFFSET(ORÇAMENTO!R$15,ROW(F443)-ROW(F$15),0)</f>
        <v>(abra o arquivo 'Referência 06-2024.xlsm)</v>
      </c>
      <c r="G443" s="173" t="str">
        <f ca="1">IF($D443&lt;&gt;"Serviço","",OFFSET(ORÇAMENTO!S$15,ROW(G443)-ROW(G$15),0))</f>
        <v>-</v>
      </c>
      <c r="H443" s="124">
        <f ca="1">IF($D443&lt;&gt;"Serviço",0,IF(ACOMPANHAMENTO="BM",ROUND(OFFSET(ORÇAMENTO!AJ$15,ROW(H443)-ROW(H$15),0),15-13*ORÇAMENTO!$AF$7),SUMPRODUCT(($Q$12:$AI$12&lt;&gt;"")*ROUND($Q443:$AI443,15-13*ORÇAMENTO!$AF$7))))</f>
        <v>0.23</v>
      </c>
      <c r="I443" s="561" t="s">
        <v>1107</v>
      </c>
      <c r="K443" s="174"/>
      <c r="L443" s="175" t="s">
        <v>255</v>
      </c>
      <c r="M443" s="176">
        <f ca="1">IF($D443&lt;&gt;"Serviço","",IF(AUTOEVENTO="manual",$A443,IF(ISERROR(MATCH($A443,$A$15:OFFSET($A443,-1,0),0)),MAX($M$15:OFFSET(M443,-1,0))+1,INDEX($M$15:OFFSET(M443,-1,0),MATCH($A443,$A$15:OFFSET($A443,-1,0),0)))))</f>
        <v>49</v>
      </c>
      <c r="N443" s="177" t="str">
        <f ca="1">IF($D443&lt;&gt;"Serviço","",IF(AUTOEVENTO="Manual",IF($A443=0,"&lt;-- defina o número do agrupador",OFFSET(EVENTOS!$D$14,$A443,0)),OFFSET($F$15,$A443,0)))</f>
        <v>SISTEMA DE PROTEÇÃO CONTRA INCÊNDIO - TUBULAÇÕES E CONEXÕES</v>
      </c>
      <c r="O443" s="178"/>
      <c r="Q443" s="178">
        <v>0.23</v>
      </c>
      <c r="R443" s="179"/>
      <c r="S443" s="179"/>
      <c r="T443" s="179"/>
      <c r="U443" s="179"/>
      <c r="V443" s="179"/>
      <c r="W443" s="179"/>
      <c r="X443" s="179"/>
      <c r="Y443" s="179"/>
      <c r="Z443" s="180"/>
      <c r="AA443" s="179"/>
      <c r="AB443" s="179"/>
      <c r="AC443" s="179"/>
      <c r="AD443" s="179"/>
      <c r="AE443" s="179"/>
      <c r="AF443" s="179"/>
      <c r="AG443" s="179"/>
      <c r="AH443" s="180"/>
      <c r="AJ443" s="544">
        <f ca="1">IF(AND($D443="Serviço",AJ$12&lt;&gt;0,$H443&gt;0,OR(AUTOEVENTO&lt;&gt;"manual",$M443&lt;&gt;1)),
IF(Import.TipoArredondamento&lt;&gt;"TransfereGOV",
ROUND(OFFSET($P443,0,AJ$13),15-13*ORÇAMENTO!$AF$7)/$H443*OFFSET(ORÇAMENTO!$X$15,ROW(AJ443)-ROW(AJ$15),0),
ROUND(ROUND(OFFSET($P443,0,AJ$13),15-13*ORÇAMENTO!$AF$7)*OFFSET(ORÇAMENTO!$W$15,ROW(AJ443)-ROW(AJ$15),0),15-13*ORÇAMENTO!$AF$11)),0)</f>
        <v>0</v>
      </c>
      <c r="AK443" s="545">
        <f ca="1">IF(AND($D443="Serviço",AK$12&lt;&gt;0,$H443&gt;0,OR(AUTOEVENTO&lt;&gt;"manual",$M443&lt;&gt;1)),
IF(Import.TipoArredondamento&lt;&gt;"TransfereGOV",
ROUND(OFFSET($P443,0,AK$13),15-13*ORÇAMENTO!$AF$7)/$H443*OFFSET(ORÇAMENTO!$X$15,ROW(AK443)-ROW(AK$15),0),
ROUND(ROUND(OFFSET($P443,0,AK$13),15-13*ORÇAMENTO!$AF$7)*OFFSET(ORÇAMENTO!$W$15,ROW(AK443)-ROW(AK$15),0),15-13*ORÇAMENTO!$AF$11)),0)</f>
        <v>0</v>
      </c>
      <c r="AL443" s="545">
        <f ca="1">IF(AND($D443="Serviço",AL$12&lt;&gt;0,$H443&gt;0,OR(AUTOEVENTO&lt;&gt;"manual",$M443&lt;&gt;1)),
IF(Import.TipoArredondamento&lt;&gt;"TransfereGOV",
ROUND(OFFSET($P443,0,AL$13),15-13*ORÇAMENTO!$AF$7)/$H443*OFFSET(ORÇAMENTO!$X$15,ROW(AL443)-ROW(AL$15),0),
ROUND(ROUND(OFFSET($P443,0,AL$13),15-13*ORÇAMENTO!$AF$7)*OFFSET(ORÇAMENTO!$W$15,ROW(AL443)-ROW(AL$15),0),15-13*ORÇAMENTO!$AF$11)),0)</f>
        <v>0</v>
      </c>
      <c r="AM443" s="545">
        <f ca="1">IF(AND($D443="Serviço",AM$12&lt;&gt;0,$H443&gt;0,OR(AUTOEVENTO&lt;&gt;"manual",$M443&lt;&gt;1)),
IF(Import.TipoArredondamento&lt;&gt;"TransfereGOV",
ROUND(OFFSET($P443,0,AM$13),15-13*ORÇAMENTO!$AF$7)/$H443*OFFSET(ORÇAMENTO!$X$15,ROW(AM443)-ROW(AM$15),0),
ROUND(ROUND(OFFSET($P443,0,AM$13),15-13*ORÇAMENTO!$AF$7)*OFFSET(ORÇAMENTO!$W$15,ROW(AM443)-ROW(AM$15),0),15-13*ORÇAMENTO!$AF$11)),0)</f>
        <v>0</v>
      </c>
      <c r="AN443" s="545">
        <f ca="1">IF(AND($D443="Serviço",AN$12&lt;&gt;0,$H443&gt;0,OR(AUTOEVENTO&lt;&gt;"manual",$M443&lt;&gt;1)),
IF(Import.TipoArredondamento&lt;&gt;"TransfereGOV",
ROUND(OFFSET($P443,0,AN$13),15-13*ORÇAMENTO!$AF$7)/$H443*OFFSET(ORÇAMENTO!$X$15,ROW(AN443)-ROW(AN$15),0),
ROUND(ROUND(OFFSET($P443,0,AN$13),15-13*ORÇAMENTO!$AF$7)*OFFSET(ORÇAMENTO!$W$15,ROW(AN443)-ROW(AN$15),0),15-13*ORÇAMENTO!$AF$11)),0)</f>
        <v>0</v>
      </c>
      <c r="AO443" s="545">
        <f ca="1">IF(AND($D443="Serviço",AO$12&lt;&gt;0,$H443&gt;0,OR(AUTOEVENTO&lt;&gt;"manual",$M443&lt;&gt;1)),
IF(Import.TipoArredondamento&lt;&gt;"TransfereGOV",
ROUND(OFFSET($P443,0,AO$13),15-13*ORÇAMENTO!$AF$7)/$H443*OFFSET(ORÇAMENTO!$X$15,ROW(AO443)-ROW(AO$15),0),
ROUND(ROUND(OFFSET($P443,0,AO$13),15-13*ORÇAMENTO!$AF$7)*OFFSET(ORÇAMENTO!$W$15,ROW(AO443)-ROW(AO$15),0),15-13*ORÇAMENTO!$AF$11)),0)</f>
        <v>0</v>
      </c>
      <c r="AP443" s="545">
        <f ca="1">IF(AND($D443="Serviço",AP$12&lt;&gt;0,$H443&gt;0,OR(AUTOEVENTO&lt;&gt;"manual",$M443&lt;&gt;1)),
IF(Import.TipoArredondamento&lt;&gt;"TransfereGOV",
ROUND(OFFSET($P443,0,AP$13),15-13*ORÇAMENTO!$AF$7)/$H443*OFFSET(ORÇAMENTO!$X$15,ROW(AP443)-ROW(AP$15),0),
ROUND(ROUND(OFFSET($P443,0,AP$13),15-13*ORÇAMENTO!$AF$7)*OFFSET(ORÇAMENTO!$W$15,ROW(AP443)-ROW(AP$15),0),15-13*ORÇAMENTO!$AF$11)),0)</f>
        <v>0</v>
      </c>
      <c r="AQ443" s="545">
        <f ca="1">IF(AND($D443="Serviço",AQ$12&lt;&gt;0,$H443&gt;0,OR(AUTOEVENTO&lt;&gt;"manual",$M443&lt;&gt;1)),
IF(Import.TipoArredondamento&lt;&gt;"TransfereGOV",
ROUND(OFFSET($P443,0,AQ$13),15-13*ORÇAMENTO!$AF$7)/$H443*OFFSET(ORÇAMENTO!$X$15,ROW(AQ443)-ROW(AQ$15),0),
ROUND(ROUND(OFFSET($P443,0,AQ$13),15-13*ORÇAMENTO!$AF$7)*OFFSET(ORÇAMENTO!$W$15,ROW(AQ443)-ROW(AQ$15),0),15-13*ORÇAMENTO!$AF$11)),0)</f>
        <v>0</v>
      </c>
      <c r="AR443" s="545">
        <f ca="1">IF(AND($D443="Serviço",AR$12&lt;&gt;0,$H443&gt;0,OR(AUTOEVENTO&lt;&gt;"manual",$M443&lt;&gt;1)),
IF(Import.TipoArredondamento&lt;&gt;"TransfereGOV",
ROUND(OFFSET($P443,0,AR$13),15-13*ORÇAMENTO!$AF$7)/$H443*OFFSET(ORÇAMENTO!$X$15,ROW(AR443)-ROW(AR$15),0),
ROUND(ROUND(OFFSET($P443,0,AR$13),15-13*ORÇAMENTO!$AF$7)*OFFSET(ORÇAMENTO!$W$15,ROW(AR443)-ROW(AR$15),0),15-13*ORÇAMENTO!$AF$11)),0)</f>
        <v>0</v>
      </c>
      <c r="AS443" s="546">
        <f ca="1">IF(AND($D443="Serviço",AS$12&lt;&gt;0,$H443&gt;0,OR(AUTOEVENTO&lt;&gt;"manual",$M443&lt;&gt;1)),
IF(Import.TipoArredondamento&lt;&gt;"TransfereGOV",
ROUND(OFFSET($P443,0,AS$13),15-13*ORÇAMENTO!$AF$7)/$H443*OFFSET(ORÇAMENTO!$X$15,ROW(AS443)-ROW(AS$15),0),
ROUND(ROUND(OFFSET($P443,0,AS$13),15-13*ORÇAMENTO!$AF$7)*OFFSET(ORÇAMENTO!$W$15,ROW(AS443)-ROW(AS$15),0),15-13*ORÇAMENTO!$AF$11)),0)</f>
        <v>0</v>
      </c>
      <c r="AT443" s="545">
        <f ca="1">IF(AND($D443="Serviço",AT$12&lt;&gt;0,$H443&gt;0,OR(AUTOEVENTO&lt;&gt;"manual",$M443&lt;&gt;1)),
IF(Import.TipoArredondamento&lt;&gt;"TransfereGOV",
ROUND(OFFSET($P443,0,AT$13),15-13*ORÇAMENTO!$AF$7)/$H443*OFFSET(ORÇAMENTO!$X$15,ROW(AT443)-ROW(AT$15),0),
ROUND(ROUND(OFFSET($P443,0,AT$13),15-13*ORÇAMENTO!$AF$7)*OFFSET(ORÇAMENTO!$W$15,ROW(AT443)-ROW(AT$15),0),15-13*ORÇAMENTO!$AF$11)),0)</f>
        <v>0</v>
      </c>
      <c r="AU443" s="545">
        <f ca="1">IF(AND($D443="Serviço",AU$12&lt;&gt;0,$H443&gt;0,OR(AUTOEVENTO&lt;&gt;"manual",$M443&lt;&gt;1)),
IF(Import.TipoArredondamento&lt;&gt;"TransfereGOV",
ROUND(OFFSET($P443,0,AU$13),15-13*ORÇAMENTO!$AF$7)/$H443*OFFSET(ORÇAMENTO!$X$15,ROW(AU443)-ROW(AU$15),0),
ROUND(ROUND(OFFSET($P443,0,AU$13),15-13*ORÇAMENTO!$AF$7)*OFFSET(ORÇAMENTO!$W$15,ROW(AU443)-ROW(AU$15),0),15-13*ORÇAMENTO!$AF$11)),0)</f>
        <v>0</v>
      </c>
      <c r="AV443" s="545">
        <f ca="1">IF(AND($D443="Serviço",AV$12&lt;&gt;0,$H443&gt;0,OR(AUTOEVENTO&lt;&gt;"manual",$M443&lt;&gt;1)),
IF(Import.TipoArredondamento&lt;&gt;"TransfereGOV",
ROUND(OFFSET($P443,0,AV$13),15-13*ORÇAMENTO!$AF$7)/$H443*OFFSET(ORÇAMENTO!$X$15,ROW(AV443)-ROW(AV$15),0),
ROUND(ROUND(OFFSET($P443,0,AV$13),15-13*ORÇAMENTO!$AF$7)*OFFSET(ORÇAMENTO!$W$15,ROW(AV443)-ROW(AV$15),0),15-13*ORÇAMENTO!$AF$11)),0)</f>
        <v>0</v>
      </c>
      <c r="AW443" s="545">
        <f ca="1">IF(AND($D443="Serviço",AW$12&lt;&gt;0,$H443&gt;0,OR(AUTOEVENTO&lt;&gt;"manual",$M443&lt;&gt;1)),
IF(Import.TipoArredondamento&lt;&gt;"TransfereGOV",
ROUND(OFFSET($P443,0,AW$13),15-13*ORÇAMENTO!$AF$7)/$H443*OFFSET(ORÇAMENTO!$X$15,ROW(AW443)-ROW(AW$15),0),
ROUND(ROUND(OFFSET($P443,0,AW$13),15-13*ORÇAMENTO!$AF$7)*OFFSET(ORÇAMENTO!$W$15,ROW(AW443)-ROW(AW$15),0),15-13*ORÇAMENTO!$AF$11)),0)</f>
        <v>0</v>
      </c>
      <c r="AX443" s="545">
        <f ca="1">IF(AND($D443="Serviço",AX$12&lt;&gt;0,$H443&gt;0,OR(AUTOEVENTO&lt;&gt;"manual",$M443&lt;&gt;1)),
IF(Import.TipoArredondamento&lt;&gt;"TransfereGOV",
ROUND(OFFSET($P443,0,AX$13),15-13*ORÇAMENTO!$AF$7)/$H443*OFFSET(ORÇAMENTO!$X$15,ROW(AX443)-ROW(AX$15),0),
ROUND(ROUND(OFFSET($P443,0,AX$13),15-13*ORÇAMENTO!$AF$7)*OFFSET(ORÇAMENTO!$W$15,ROW(AX443)-ROW(AX$15),0),15-13*ORÇAMENTO!$AF$11)),0)</f>
        <v>0</v>
      </c>
      <c r="AY443" s="545">
        <f ca="1">IF(AND($D443="Serviço",AY$12&lt;&gt;0,$H443&gt;0,OR(AUTOEVENTO&lt;&gt;"manual",$M443&lt;&gt;1)),
IF(Import.TipoArredondamento&lt;&gt;"TransfereGOV",
ROUND(OFFSET($P443,0,AY$13),15-13*ORÇAMENTO!$AF$7)/$H443*OFFSET(ORÇAMENTO!$X$15,ROW(AY443)-ROW(AY$15),0),
ROUND(ROUND(OFFSET($P443,0,AY$13),15-13*ORÇAMENTO!$AF$7)*OFFSET(ORÇAMENTO!$W$15,ROW(AY443)-ROW(AY$15),0),15-13*ORÇAMENTO!$AF$11)),0)</f>
        <v>0</v>
      </c>
      <c r="AZ443" s="545">
        <f ca="1">IF(AND($D443="Serviço",AZ$12&lt;&gt;0,$H443&gt;0,OR(AUTOEVENTO&lt;&gt;"manual",$M443&lt;&gt;1)),
IF(Import.TipoArredondamento&lt;&gt;"TransfereGOV",
ROUND(OFFSET($P443,0,AZ$13),15-13*ORÇAMENTO!$AF$7)/$H443*OFFSET(ORÇAMENTO!$X$15,ROW(AZ443)-ROW(AZ$15),0),
ROUND(ROUND(OFFSET($P443,0,AZ$13),15-13*ORÇAMENTO!$AF$7)*OFFSET(ORÇAMENTO!$W$15,ROW(AZ443)-ROW(AZ$15),0),15-13*ORÇAMENTO!$AF$11)),0)</f>
        <v>0</v>
      </c>
      <c r="BA443" s="546">
        <f ca="1">IF(AND($D443="Serviço",BA$12&lt;&gt;0,$H443&gt;0,OR(AUTOEVENTO&lt;&gt;"manual",$M443&lt;&gt;1)),
IF(Import.TipoArredondamento&lt;&gt;"TransfereGOV",
ROUND(OFFSET($P443,0,BA$13),15-13*ORÇAMENTO!$AF$7)/$H443*OFFSET(ORÇAMENTO!$X$15,ROW(BA443)-ROW(BA$15),0),
ROUND(ROUND(OFFSET($P443,0,BA$13),15-13*ORÇAMENTO!$AF$7)*OFFSET(ORÇAMENTO!$W$15,ROW(BA443)-ROW(BA$15),0),15-13*ORÇAMENTO!$AF$11)),0)</f>
        <v>0</v>
      </c>
      <c r="BC443" s="181">
        <f ca="1">IF($D443&lt;&gt;"Serviço",0,IF(AND(AUTOEVENTO="Manual",$M443=1),0,IF(OFFSET(CRONOPLE!$F$14,$M443,BC$13)="",10^12,OFFSET(CRONOPLE!$F$14,$M443,BC$13))))</f>
        <v>10</v>
      </c>
      <c r="BD443" s="181">
        <f ca="1">IF($D443&lt;&gt;"Serviço",0,IF(AND(AUTOEVENTO="Manual",$M443=1),0,IF(OFFSET(CRONOPLE!$F$14,$M443,BD$13)="",10^12,OFFSET(CRONOPLE!$F$14,$M443,BD$13))))</f>
        <v>1000000000000</v>
      </c>
      <c r="BE443" s="181">
        <f ca="1">IF($D443&lt;&gt;"Serviço",0,IF(AND(AUTOEVENTO="Manual",$M443=1),0,IF(OFFSET(CRONOPLE!$F$14,$M443,BE$13)="",10^12,OFFSET(CRONOPLE!$F$14,$M443,BE$13))))</f>
        <v>1000000000000</v>
      </c>
      <c r="BF443" s="181">
        <f ca="1">IF($D443&lt;&gt;"Serviço",0,IF(AND(AUTOEVENTO="Manual",$M443=1),0,IF(OFFSET(CRONOPLE!$F$14,$M443,BF$13)="",10^12,OFFSET(CRONOPLE!$F$14,$M443,BF$13))))</f>
        <v>1000000000000</v>
      </c>
      <c r="BG443" s="181">
        <f ca="1">IF($D443&lt;&gt;"Serviço",0,IF(AND(AUTOEVENTO="Manual",$M443=1),0,IF(OFFSET(CRONOPLE!$F$14,$M443,BG$13)="",10^12,OFFSET(CRONOPLE!$F$14,$M443,BG$13))))</f>
        <v>1000000000000</v>
      </c>
      <c r="BH443" s="181">
        <f ca="1">IF($D443&lt;&gt;"Serviço",0,IF(AND(AUTOEVENTO="Manual",$M443=1),0,IF(OFFSET(CRONOPLE!$F$14,$M443,BH$13)="",10^12,OFFSET(CRONOPLE!$F$14,$M443,BH$13))))</f>
        <v>1000000000000</v>
      </c>
      <c r="BI443" s="181">
        <f ca="1">IF($D443&lt;&gt;"Serviço",0,IF(AND(AUTOEVENTO="Manual",$M443=1),0,IF(OFFSET(CRONOPLE!$F$14,$M443,BI$13)="",10^12,OFFSET(CRONOPLE!$F$14,$M443,BI$13))))</f>
        <v>1000000000000</v>
      </c>
      <c r="BJ443" s="181">
        <f ca="1">IF($D443&lt;&gt;"Serviço",0,IF(AND(AUTOEVENTO="Manual",$M443=1),0,IF(OFFSET(CRONOPLE!$F$14,$M443,BJ$13)="",10^12,OFFSET(CRONOPLE!$F$14,$M443,BJ$13))))</f>
        <v>1000000000000</v>
      </c>
      <c r="BK443" s="181">
        <f ca="1">IF($D443&lt;&gt;"Serviço",0,IF(AND(AUTOEVENTO="Manual",$M443=1),0,IF(OFFSET(CRONOPLE!$F$14,$M443,BK$13)="",10^12,OFFSET(CRONOPLE!$F$14,$M443,BK$13))))</f>
        <v>1000000000000</v>
      </c>
      <c r="BL443" s="181">
        <f ca="1">IF($D443&lt;&gt;"Serviço",0,IF(AND(AUTOEVENTO="Manual",$M443=1),0,IF(OFFSET(CRONOPLE!$F$14,$M443,BL$13)="",10^12,OFFSET(CRONOPLE!$F$14,$M443,BL$13))))</f>
        <v>1000000000000</v>
      </c>
      <c r="BM443" s="181">
        <f ca="1">IF($D443&lt;&gt;"Serviço",0,IF(AND(AUTOEVENTO="Manual",$M443=1),0,IF(OFFSET(CRONOPLE!$F$14,$M443,BM$13)="",10^12,OFFSET(CRONOPLE!$F$14,$M443,BM$13))))</f>
        <v>1000000000000</v>
      </c>
      <c r="BN443" s="181">
        <f ca="1">IF($D443&lt;&gt;"Serviço",0,IF(AND(AUTOEVENTO="Manual",$M443=1),0,IF(OFFSET(CRONOPLE!$F$14,$M443,BN$13)="",10^12,OFFSET(CRONOPLE!$F$14,$M443,BN$13))))</f>
        <v>1000000000000</v>
      </c>
      <c r="BO443" s="181">
        <f ca="1">IF($D443&lt;&gt;"Serviço",0,IF(AND(AUTOEVENTO="Manual",$M443=1),0,IF(OFFSET(CRONOPLE!$F$14,$M443,BO$13)="",10^12,OFFSET(CRONOPLE!$F$14,$M443,BO$13))))</f>
        <v>1000000000000</v>
      </c>
      <c r="BP443" s="181">
        <f ca="1">IF($D443&lt;&gt;"Serviço",0,IF(AND(AUTOEVENTO="Manual",$M443=1),0,IF(OFFSET(CRONOPLE!$F$14,$M443,BP$13)="",10^12,OFFSET(CRONOPLE!$F$14,$M443,BP$13))))</f>
        <v>1000000000000</v>
      </c>
      <c r="BQ443" s="181">
        <f ca="1">IF($D443&lt;&gt;"Serviço",0,IF(AND(AUTOEVENTO="Manual",$M443=1),0,IF(OFFSET(CRONOPLE!$F$14,$M443,BQ$13)="",10^12,OFFSET(CRONOPLE!$F$14,$M443,BQ$13))))</f>
        <v>1000000000000</v>
      </c>
      <c r="BR443" s="181">
        <f ca="1">IF($D443&lt;&gt;"Serviço",0,IF(AND(AUTOEVENTO="Manual",$M443=1),0,IF(OFFSET(CRONOPLE!$F$14,$M443,BR$13)="",10^12,OFFSET(CRONOPLE!$F$14,$M443,BR$13))))</f>
        <v>1000000000000</v>
      </c>
      <c r="BS443" s="181">
        <f ca="1">IF($D443&lt;&gt;"Serviço",0,IF(AND(AUTOEVENTO="Manual",$M443=1),0,IF(OFFSET(CRONOPLE!$F$14,$M443,BS$13)="",10^12,OFFSET(CRONOPLE!$F$14,$M443,BS$13))))</f>
        <v>1000000000000</v>
      </c>
      <c r="BT443" s="181">
        <f ca="1">IF($D443&lt;&gt;"Serviço",0,IF(AND(AUTOEVENTO="Manual",$M443=1),0,IF(OFFSET(CRONOPLE!$F$14,$M443,BT$13)="",10^12,OFFSET(CRONOPLE!$F$14,$M443,BT$13))))</f>
        <v>1000000000000</v>
      </c>
      <c r="BV443" s="182">
        <f ca="1">IF($D443&lt;&gt;"Serviço",0,IF(OR(AND(AUTOEVENTO="Manual",$M443=1),$M443&gt;(ROW(PLE.lastrow)-ROW(PLE.firstrow))),0,IF(OFFSET(PLE!$G$14,$M443,BV$13)="",10^12,OFFSET(PLE!$G$14,$M443,BV$13))))</f>
        <v>1000000000000</v>
      </c>
      <c r="BW443" s="182">
        <f ca="1">IF($D443&lt;&gt;"Serviço",0,IF(OR(AND(AUTOEVENTO="Manual",$M443=1),$M443&gt;(ROW(PLE.lastrow)-ROW(PLE.firstrow))),0,IF(OFFSET(PLE!$G$14,$M443,BW$13)="",10^12,OFFSET(PLE!$G$14,$M443,BW$13))))</f>
        <v>1000000000000</v>
      </c>
      <c r="BX443" s="182">
        <f ca="1">IF($D443&lt;&gt;"Serviço",0,IF(OR(AND(AUTOEVENTO="Manual",$M443=1),$M443&gt;(ROW(PLE.lastrow)-ROW(PLE.firstrow))),0,IF(OFFSET(PLE!$G$14,$M443,BX$13)="",10^12,OFFSET(PLE!$G$14,$M443,BX$13))))</f>
        <v>1000000000000</v>
      </c>
      <c r="BY443" s="182">
        <f ca="1">IF($D443&lt;&gt;"Serviço",0,IF(OR(AND(AUTOEVENTO="Manual",$M443=1),$M443&gt;(ROW(PLE.lastrow)-ROW(PLE.firstrow))),0,IF(OFFSET(PLE!$G$14,$M443,BY$13)="",10^12,OFFSET(PLE!$G$14,$M443,BY$13))))</f>
        <v>1000000000000</v>
      </c>
      <c r="BZ443" s="182">
        <f ca="1">IF($D443&lt;&gt;"Serviço",0,IF(OR(AND(AUTOEVENTO="Manual",$M443=1),$M443&gt;(ROW(PLE.lastrow)-ROW(PLE.firstrow))),0,IF(OFFSET(PLE!$G$14,$M443,BZ$13)="",10^12,OFFSET(PLE!$G$14,$M443,BZ$13))))</f>
        <v>1000000000000</v>
      </c>
      <c r="CA443" s="182">
        <f ca="1">IF($D443&lt;&gt;"Serviço",0,IF(OR(AND(AUTOEVENTO="Manual",$M443=1),$M443&gt;(ROW(PLE.lastrow)-ROW(PLE.firstrow))),0,IF(OFFSET(PLE!$G$14,$M443,CA$13)="",10^12,OFFSET(PLE!$G$14,$M443,CA$13))))</f>
        <v>1000000000000</v>
      </c>
      <c r="CB443" s="182">
        <f ca="1">IF($D443&lt;&gt;"Serviço",0,IF(OR(AND(AUTOEVENTO="Manual",$M443=1),$M443&gt;(ROW(PLE.lastrow)-ROW(PLE.firstrow))),0,IF(OFFSET(PLE!$G$14,$M443,CB$13)="",10^12,OFFSET(PLE!$G$14,$M443,CB$13))))</f>
        <v>1000000000000</v>
      </c>
      <c r="CC443" s="182">
        <f ca="1">IF($D443&lt;&gt;"Serviço",0,IF(OR(AND(AUTOEVENTO="Manual",$M443=1),$M443&gt;(ROW(PLE.lastrow)-ROW(PLE.firstrow))),0,IF(OFFSET(PLE!$G$14,$M443,CC$13)="",10^12,OFFSET(PLE!$G$14,$M443,CC$13))))</f>
        <v>1000000000000</v>
      </c>
      <c r="CD443" s="182">
        <f ca="1">IF($D443&lt;&gt;"Serviço",0,IF(OR(AND(AUTOEVENTO="Manual",$M443=1),$M443&gt;(ROW(PLE.lastrow)-ROW(PLE.firstrow))),0,IF(OFFSET(PLE!$G$14,$M443,CD$13)="",10^12,OFFSET(PLE!$G$14,$M443,CD$13))))</f>
        <v>1000000000000</v>
      </c>
      <c r="CE443" s="182">
        <f ca="1">IF($D443&lt;&gt;"Serviço",0,IF(OR(AND(AUTOEVENTO="Manual",$M443=1),$M443&gt;(ROW(PLE.lastrow)-ROW(PLE.firstrow))),0,IF(OFFSET(PLE!$G$14,$M443,CE$13)="",10^12,OFFSET(PLE!$G$14,$M443,CE$13))))</f>
        <v>1000000000000</v>
      </c>
      <c r="CF443" s="182">
        <f ca="1">IF($D443&lt;&gt;"Serviço",0,IF(OR(AND(AUTOEVENTO="Manual",$M443=1),$M443&gt;(ROW(PLE.lastrow)-ROW(PLE.firstrow))),0,IF(OFFSET(PLE!$G$14,$M443,CF$13)="",10^12,OFFSET(PLE!$G$14,$M443,CF$13))))</f>
        <v>1000000000000</v>
      </c>
      <c r="CG443" s="182">
        <f ca="1">IF($D443&lt;&gt;"Serviço",0,IF(OR(AND(AUTOEVENTO="Manual",$M443=1),$M443&gt;(ROW(PLE.lastrow)-ROW(PLE.firstrow))),0,IF(OFFSET(PLE!$G$14,$M443,CG$13)="",10^12,OFFSET(PLE!$G$14,$M443,CG$13))))</f>
        <v>1000000000000</v>
      </c>
      <c r="CH443" s="182">
        <f ca="1">IF($D443&lt;&gt;"Serviço",0,IF(OR(AND(AUTOEVENTO="Manual",$M443=1),$M443&gt;(ROW(PLE.lastrow)-ROW(PLE.firstrow))),0,IF(OFFSET(PLE!$G$14,$M443,CH$13)="",10^12,OFFSET(PLE!$G$14,$M443,CH$13))))</f>
        <v>1000000000000</v>
      </c>
      <c r="CI443" s="182">
        <f ca="1">IF($D443&lt;&gt;"Serviço",0,IF(OR(AND(AUTOEVENTO="Manual",$M443=1),$M443&gt;(ROW(PLE.lastrow)-ROW(PLE.firstrow))),0,IF(OFFSET(PLE!$G$14,$M443,CI$13)="",10^12,OFFSET(PLE!$G$14,$M443,CI$13))))</f>
        <v>1000000000000</v>
      </c>
      <c r="CJ443" s="182">
        <f ca="1">IF($D443&lt;&gt;"Serviço",0,IF(OR(AND(AUTOEVENTO="Manual",$M443=1),$M443&gt;(ROW(PLE.lastrow)-ROW(PLE.firstrow))),0,IF(OFFSET(PLE!$G$14,$M443,CJ$13)="",10^12,OFFSET(PLE!$G$14,$M443,CJ$13))))</f>
        <v>1000000000000</v>
      </c>
      <c r="CK443" s="182">
        <f ca="1">IF($D443&lt;&gt;"Serviço",0,IF(OR(AND(AUTOEVENTO="Manual",$M443=1),$M443&gt;(ROW(PLE.lastrow)-ROW(PLE.firstrow))),0,IF(OFFSET(PLE!$G$14,$M443,CK$13)="",10^12,OFFSET(PLE!$G$14,$M443,CK$13))))</f>
        <v>1000000000000</v>
      </c>
      <c r="CL443" s="182">
        <f ca="1">IF($D443&lt;&gt;"Serviço",0,IF(OR(AND(AUTOEVENTO="Manual",$M443=1),$M443&gt;(ROW(PLE.lastrow)-ROW(PLE.firstrow))),0,IF(OFFSET(PLE!$G$14,$M443,CL$13)="",10^12,OFFSET(PLE!$G$14,$M443,CL$13))))</f>
        <v>1000000000000</v>
      </c>
      <c r="CM443" s="182">
        <f ca="1">IF($D443&lt;&gt;"Serviço",0,IF(OR(AND(AUTOEVENTO="Manual",$M443=1),$M443&gt;(ROW(PLE.lastrow)-ROW(PLE.firstrow))),0,IF(OFFSET(PLE!$G$14,$M443,CM$13)="",10^12,OFFSET(PLE!$G$14,$M443,CM$13))))</f>
        <v>1000000000000</v>
      </c>
    </row>
    <row r="444" spans="1:91" ht="51" x14ac:dyDescent="0.2">
      <c r="A444" s="7" t="str">
        <f t="shared" ca="1" si="15"/>
        <v>421</v>
      </c>
      <c r="B444" s="7" t="str">
        <f ca="1">OFFSET(ORÇAMENTO!C$15,ROW(B444)-ROW(B$15),0)</f>
        <v>S</v>
      </c>
      <c r="C444" s="7" t="str">
        <f ca="1">OFFSET(ORÇAMENTO!L$15,ROW(C444)-ROW(C$15),0)</f>
        <v/>
      </c>
      <c r="D444" s="118" t="str">
        <f ca="1">OFFSET(ORÇAMENTO!N$15,ROW(D444)-ROW(D$15),0)</f>
        <v>Serviço</v>
      </c>
      <c r="E444" s="119" t="str">
        <f ca="1">OFFSET(ORÇAMENTO!O$15,ROW(E444)-ROW(E$15),0)</f>
        <v>-</v>
      </c>
      <c r="F444" s="172" t="str">
        <f ca="1">OFFSET(ORÇAMENTO!R$15,ROW(F444)-ROW(F$15),0)</f>
        <v>(abra o arquivo 'Referência 06-2024.xlsm)</v>
      </c>
      <c r="G444" s="173" t="str">
        <f ca="1">IF($D444&lt;&gt;"Serviço","",OFFSET(ORÇAMENTO!S$15,ROW(G444)-ROW(G$15),0))</f>
        <v>-</v>
      </c>
      <c r="H444" s="124">
        <f ca="1">IF($D444&lt;&gt;"Serviço",0,IF(ACOMPANHAMENTO="BM",ROUND(OFFSET(ORÇAMENTO!AJ$15,ROW(H444)-ROW(H$15),0),15-13*ORÇAMENTO!$AF$7),SUMPRODUCT(($Q$12:$AI$12&lt;&gt;"")*ROUND($Q444:$AI444,15-13*ORÇAMENTO!$AF$7))))</f>
        <v>1.52</v>
      </c>
      <c r="I444" s="561" t="s">
        <v>1107</v>
      </c>
      <c r="K444" s="174"/>
      <c r="L444" s="175" t="s">
        <v>255</v>
      </c>
      <c r="M444" s="176">
        <f ca="1">IF($D444&lt;&gt;"Serviço","",IF(AUTOEVENTO="manual",$A444,IF(ISERROR(MATCH($A444,$A$15:OFFSET($A444,-1,0),0)),MAX($M$15:OFFSET(M444,-1,0))+1,INDEX($M$15:OFFSET(M444,-1,0),MATCH($A444,$A$15:OFFSET($A444,-1,0),0)))))</f>
        <v>49</v>
      </c>
      <c r="N444" s="177" t="str">
        <f ca="1">IF($D444&lt;&gt;"Serviço","",IF(AUTOEVENTO="Manual",IF($A444=0,"&lt;-- defina o número do agrupador",OFFSET(EVENTOS!$D$14,$A444,0)),OFFSET($F$15,$A444,0)))</f>
        <v>SISTEMA DE PROTEÇÃO CONTRA INCÊNDIO - TUBULAÇÕES E CONEXÕES</v>
      </c>
      <c r="O444" s="178"/>
      <c r="Q444" s="178">
        <v>1.52</v>
      </c>
      <c r="R444" s="179"/>
      <c r="S444" s="179"/>
      <c r="T444" s="179"/>
      <c r="U444" s="179"/>
      <c r="V444" s="179"/>
      <c r="W444" s="179"/>
      <c r="X444" s="179"/>
      <c r="Y444" s="179"/>
      <c r="Z444" s="180"/>
      <c r="AA444" s="179"/>
      <c r="AB444" s="179"/>
      <c r="AC444" s="179"/>
      <c r="AD444" s="179"/>
      <c r="AE444" s="179"/>
      <c r="AF444" s="179"/>
      <c r="AG444" s="179"/>
      <c r="AH444" s="180"/>
      <c r="AJ444" s="544">
        <f ca="1">IF(AND($D444="Serviço",AJ$12&lt;&gt;0,$H444&gt;0,OR(AUTOEVENTO&lt;&gt;"manual",$M444&lt;&gt;1)),
IF(Import.TipoArredondamento&lt;&gt;"TransfereGOV",
ROUND(OFFSET($P444,0,AJ$13),15-13*ORÇAMENTO!$AF$7)/$H444*OFFSET(ORÇAMENTO!$X$15,ROW(AJ444)-ROW(AJ$15),0),
ROUND(ROUND(OFFSET($P444,0,AJ$13),15-13*ORÇAMENTO!$AF$7)*OFFSET(ORÇAMENTO!$W$15,ROW(AJ444)-ROW(AJ$15),0),15-13*ORÇAMENTO!$AF$11)),0)</f>
        <v>0</v>
      </c>
      <c r="AK444" s="545">
        <f ca="1">IF(AND($D444="Serviço",AK$12&lt;&gt;0,$H444&gt;0,OR(AUTOEVENTO&lt;&gt;"manual",$M444&lt;&gt;1)),
IF(Import.TipoArredondamento&lt;&gt;"TransfereGOV",
ROUND(OFFSET($P444,0,AK$13),15-13*ORÇAMENTO!$AF$7)/$H444*OFFSET(ORÇAMENTO!$X$15,ROW(AK444)-ROW(AK$15),0),
ROUND(ROUND(OFFSET($P444,0,AK$13),15-13*ORÇAMENTO!$AF$7)*OFFSET(ORÇAMENTO!$W$15,ROW(AK444)-ROW(AK$15),0),15-13*ORÇAMENTO!$AF$11)),0)</f>
        <v>0</v>
      </c>
      <c r="AL444" s="545">
        <f ca="1">IF(AND($D444="Serviço",AL$12&lt;&gt;0,$H444&gt;0,OR(AUTOEVENTO&lt;&gt;"manual",$M444&lt;&gt;1)),
IF(Import.TipoArredondamento&lt;&gt;"TransfereGOV",
ROUND(OFFSET($P444,0,AL$13),15-13*ORÇAMENTO!$AF$7)/$H444*OFFSET(ORÇAMENTO!$X$15,ROW(AL444)-ROW(AL$15),0),
ROUND(ROUND(OFFSET($P444,0,AL$13),15-13*ORÇAMENTO!$AF$7)*OFFSET(ORÇAMENTO!$W$15,ROW(AL444)-ROW(AL$15),0),15-13*ORÇAMENTO!$AF$11)),0)</f>
        <v>0</v>
      </c>
      <c r="AM444" s="545">
        <f ca="1">IF(AND($D444="Serviço",AM$12&lt;&gt;0,$H444&gt;0,OR(AUTOEVENTO&lt;&gt;"manual",$M444&lt;&gt;1)),
IF(Import.TipoArredondamento&lt;&gt;"TransfereGOV",
ROUND(OFFSET($P444,0,AM$13),15-13*ORÇAMENTO!$AF$7)/$H444*OFFSET(ORÇAMENTO!$X$15,ROW(AM444)-ROW(AM$15),0),
ROUND(ROUND(OFFSET($P444,0,AM$13),15-13*ORÇAMENTO!$AF$7)*OFFSET(ORÇAMENTO!$W$15,ROW(AM444)-ROW(AM$15),0),15-13*ORÇAMENTO!$AF$11)),0)</f>
        <v>0</v>
      </c>
      <c r="AN444" s="545">
        <f ca="1">IF(AND($D444="Serviço",AN$12&lt;&gt;0,$H444&gt;0,OR(AUTOEVENTO&lt;&gt;"manual",$M444&lt;&gt;1)),
IF(Import.TipoArredondamento&lt;&gt;"TransfereGOV",
ROUND(OFFSET($P444,0,AN$13),15-13*ORÇAMENTO!$AF$7)/$H444*OFFSET(ORÇAMENTO!$X$15,ROW(AN444)-ROW(AN$15),0),
ROUND(ROUND(OFFSET($P444,0,AN$13),15-13*ORÇAMENTO!$AF$7)*OFFSET(ORÇAMENTO!$W$15,ROW(AN444)-ROW(AN$15),0),15-13*ORÇAMENTO!$AF$11)),0)</f>
        <v>0</v>
      </c>
      <c r="AO444" s="545">
        <f ca="1">IF(AND($D444="Serviço",AO$12&lt;&gt;0,$H444&gt;0,OR(AUTOEVENTO&lt;&gt;"manual",$M444&lt;&gt;1)),
IF(Import.TipoArredondamento&lt;&gt;"TransfereGOV",
ROUND(OFFSET($P444,0,AO$13),15-13*ORÇAMENTO!$AF$7)/$H444*OFFSET(ORÇAMENTO!$X$15,ROW(AO444)-ROW(AO$15),0),
ROUND(ROUND(OFFSET($P444,0,AO$13),15-13*ORÇAMENTO!$AF$7)*OFFSET(ORÇAMENTO!$W$15,ROW(AO444)-ROW(AO$15),0),15-13*ORÇAMENTO!$AF$11)),0)</f>
        <v>0</v>
      </c>
      <c r="AP444" s="545">
        <f ca="1">IF(AND($D444="Serviço",AP$12&lt;&gt;0,$H444&gt;0,OR(AUTOEVENTO&lt;&gt;"manual",$M444&lt;&gt;1)),
IF(Import.TipoArredondamento&lt;&gt;"TransfereGOV",
ROUND(OFFSET($P444,0,AP$13),15-13*ORÇAMENTO!$AF$7)/$H444*OFFSET(ORÇAMENTO!$X$15,ROW(AP444)-ROW(AP$15),0),
ROUND(ROUND(OFFSET($P444,0,AP$13),15-13*ORÇAMENTO!$AF$7)*OFFSET(ORÇAMENTO!$W$15,ROW(AP444)-ROW(AP$15),0),15-13*ORÇAMENTO!$AF$11)),0)</f>
        <v>0</v>
      </c>
      <c r="AQ444" s="545">
        <f ca="1">IF(AND($D444="Serviço",AQ$12&lt;&gt;0,$H444&gt;0,OR(AUTOEVENTO&lt;&gt;"manual",$M444&lt;&gt;1)),
IF(Import.TipoArredondamento&lt;&gt;"TransfereGOV",
ROUND(OFFSET($P444,0,AQ$13),15-13*ORÇAMENTO!$AF$7)/$H444*OFFSET(ORÇAMENTO!$X$15,ROW(AQ444)-ROW(AQ$15),0),
ROUND(ROUND(OFFSET($P444,0,AQ$13),15-13*ORÇAMENTO!$AF$7)*OFFSET(ORÇAMENTO!$W$15,ROW(AQ444)-ROW(AQ$15),0),15-13*ORÇAMENTO!$AF$11)),0)</f>
        <v>0</v>
      </c>
      <c r="AR444" s="545">
        <f ca="1">IF(AND($D444="Serviço",AR$12&lt;&gt;0,$H444&gt;0,OR(AUTOEVENTO&lt;&gt;"manual",$M444&lt;&gt;1)),
IF(Import.TipoArredondamento&lt;&gt;"TransfereGOV",
ROUND(OFFSET($P444,0,AR$13),15-13*ORÇAMENTO!$AF$7)/$H444*OFFSET(ORÇAMENTO!$X$15,ROW(AR444)-ROW(AR$15),0),
ROUND(ROUND(OFFSET($P444,0,AR$13),15-13*ORÇAMENTO!$AF$7)*OFFSET(ORÇAMENTO!$W$15,ROW(AR444)-ROW(AR$15),0),15-13*ORÇAMENTO!$AF$11)),0)</f>
        <v>0</v>
      </c>
      <c r="AS444" s="546">
        <f ca="1">IF(AND($D444="Serviço",AS$12&lt;&gt;0,$H444&gt;0,OR(AUTOEVENTO&lt;&gt;"manual",$M444&lt;&gt;1)),
IF(Import.TipoArredondamento&lt;&gt;"TransfereGOV",
ROUND(OFFSET($P444,0,AS$13),15-13*ORÇAMENTO!$AF$7)/$H444*OFFSET(ORÇAMENTO!$X$15,ROW(AS444)-ROW(AS$15),0),
ROUND(ROUND(OFFSET($P444,0,AS$13),15-13*ORÇAMENTO!$AF$7)*OFFSET(ORÇAMENTO!$W$15,ROW(AS444)-ROW(AS$15),0),15-13*ORÇAMENTO!$AF$11)),0)</f>
        <v>0</v>
      </c>
      <c r="AT444" s="545">
        <f ca="1">IF(AND($D444="Serviço",AT$12&lt;&gt;0,$H444&gt;0,OR(AUTOEVENTO&lt;&gt;"manual",$M444&lt;&gt;1)),
IF(Import.TipoArredondamento&lt;&gt;"TransfereGOV",
ROUND(OFFSET($P444,0,AT$13),15-13*ORÇAMENTO!$AF$7)/$H444*OFFSET(ORÇAMENTO!$X$15,ROW(AT444)-ROW(AT$15),0),
ROUND(ROUND(OFFSET($P444,0,AT$13),15-13*ORÇAMENTO!$AF$7)*OFFSET(ORÇAMENTO!$W$15,ROW(AT444)-ROW(AT$15),0),15-13*ORÇAMENTO!$AF$11)),0)</f>
        <v>0</v>
      </c>
      <c r="AU444" s="545">
        <f ca="1">IF(AND($D444="Serviço",AU$12&lt;&gt;0,$H444&gt;0,OR(AUTOEVENTO&lt;&gt;"manual",$M444&lt;&gt;1)),
IF(Import.TipoArredondamento&lt;&gt;"TransfereGOV",
ROUND(OFFSET($P444,0,AU$13),15-13*ORÇAMENTO!$AF$7)/$H444*OFFSET(ORÇAMENTO!$X$15,ROW(AU444)-ROW(AU$15),0),
ROUND(ROUND(OFFSET($P444,0,AU$13),15-13*ORÇAMENTO!$AF$7)*OFFSET(ORÇAMENTO!$W$15,ROW(AU444)-ROW(AU$15),0),15-13*ORÇAMENTO!$AF$11)),0)</f>
        <v>0</v>
      </c>
      <c r="AV444" s="545">
        <f ca="1">IF(AND($D444="Serviço",AV$12&lt;&gt;0,$H444&gt;0,OR(AUTOEVENTO&lt;&gt;"manual",$M444&lt;&gt;1)),
IF(Import.TipoArredondamento&lt;&gt;"TransfereGOV",
ROUND(OFFSET($P444,0,AV$13),15-13*ORÇAMENTO!$AF$7)/$H444*OFFSET(ORÇAMENTO!$X$15,ROW(AV444)-ROW(AV$15),0),
ROUND(ROUND(OFFSET($P444,0,AV$13),15-13*ORÇAMENTO!$AF$7)*OFFSET(ORÇAMENTO!$W$15,ROW(AV444)-ROW(AV$15),0),15-13*ORÇAMENTO!$AF$11)),0)</f>
        <v>0</v>
      </c>
      <c r="AW444" s="545">
        <f ca="1">IF(AND($D444="Serviço",AW$12&lt;&gt;0,$H444&gt;0,OR(AUTOEVENTO&lt;&gt;"manual",$M444&lt;&gt;1)),
IF(Import.TipoArredondamento&lt;&gt;"TransfereGOV",
ROUND(OFFSET($P444,0,AW$13),15-13*ORÇAMENTO!$AF$7)/$H444*OFFSET(ORÇAMENTO!$X$15,ROW(AW444)-ROW(AW$15),0),
ROUND(ROUND(OFFSET($P444,0,AW$13),15-13*ORÇAMENTO!$AF$7)*OFFSET(ORÇAMENTO!$W$15,ROW(AW444)-ROW(AW$15),0),15-13*ORÇAMENTO!$AF$11)),0)</f>
        <v>0</v>
      </c>
      <c r="AX444" s="545">
        <f ca="1">IF(AND($D444="Serviço",AX$12&lt;&gt;0,$H444&gt;0,OR(AUTOEVENTO&lt;&gt;"manual",$M444&lt;&gt;1)),
IF(Import.TipoArredondamento&lt;&gt;"TransfereGOV",
ROUND(OFFSET($P444,0,AX$13),15-13*ORÇAMENTO!$AF$7)/$H444*OFFSET(ORÇAMENTO!$X$15,ROW(AX444)-ROW(AX$15),0),
ROUND(ROUND(OFFSET($P444,0,AX$13),15-13*ORÇAMENTO!$AF$7)*OFFSET(ORÇAMENTO!$W$15,ROW(AX444)-ROW(AX$15),0),15-13*ORÇAMENTO!$AF$11)),0)</f>
        <v>0</v>
      </c>
      <c r="AY444" s="545">
        <f ca="1">IF(AND($D444="Serviço",AY$12&lt;&gt;0,$H444&gt;0,OR(AUTOEVENTO&lt;&gt;"manual",$M444&lt;&gt;1)),
IF(Import.TipoArredondamento&lt;&gt;"TransfereGOV",
ROUND(OFFSET($P444,0,AY$13),15-13*ORÇAMENTO!$AF$7)/$H444*OFFSET(ORÇAMENTO!$X$15,ROW(AY444)-ROW(AY$15),0),
ROUND(ROUND(OFFSET($P444,0,AY$13),15-13*ORÇAMENTO!$AF$7)*OFFSET(ORÇAMENTO!$W$15,ROW(AY444)-ROW(AY$15),0),15-13*ORÇAMENTO!$AF$11)),0)</f>
        <v>0</v>
      </c>
      <c r="AZ444" s="545">
        <f ca="1">IF(AND($D444="Serviço",AZ$12&lt;&gt;0,$H444&gt;0,OR(AUTOEVENTO&lt;&gt;"manual",$M444&lt;&gt;1)),
IF(Import.TipoArredondamento&lt;&gt;"TransfereGOV",
ROUND(OFFSET($P444,0,AZ$13),15-13*ORÇAMENTO!$AF$7)/$H444*OFFSET(ORÇAMENTO!$X$15,ROW(AZ444)-ROW(AZ$15),0),
ROUND(ROUND(OFFSET($P444,0,AZ$13),15-13*ORÇAMENTO!$AF$7)*OFFSET(ORÇAMENTO!$W$15,ROW(AZ444)-ROW(AZ$15),0),15-13*ORÇAMENTO!$AF$11)),0)</f>
        <v>0</v>
      </c>
      <c r="BA444" s="546">
        <f ca="1">IF(AND($D444="Serviço",BA$12&lt;&gt;0,$H444&gt;0,OR(AUTOEVENTO&lt;&gt;"manual",$M444&lt;&gt;1)),
IF(Import.TipoArredondamento&lt;&gt;"TransfereGOV",
ROUND(OFFSET($P444,0,BA$13),15-13*ORÇAMENTO!$AF$7)/$H444*OFFSET(ORÇAMENTO!$X$15,ROW(BA444)-ROW(BA$15),0),
ROUND(ROUND(OFFSET($P444,0,BA$13),15-13*ORÇAMENTO!$AF$7)*OFFSET(ORÇAMENTO!$W$15,ROW(BA444)-ROW(BA$15),0),15-13*ORÇAMENTO!$AF$11)),0)</f>
        <v>0</v>
      </c>
      <c r="BC444" s="181">
        <f ca="1">IF($D444&lt;&gt;"Serviço",0,IF(AND(AUTOEVENTO="Manual",$M444=1),0,IF(OFFSET(CRONOPLE!$F$14,$M444,BC$13)="",10^12,OFFSET(CRONOPLE!$F$14,$M444,BC$13))))</f>
        <v>10</v>
      </c>
      <c r="BD444" s="181">
        <f ca="1">IF($D444&lt;&gt;"Serviço",0,IF(AND(AUTOEVENTO="Manual",$M444=1),0,IF(OFFSET(CRONOPLE!$F$14,$M444,BD$13)="",10^12,OFFSET(CRONOPLE!$F$14,$M444,BD$13))))</f>
        <v>1000000000000</v>
      </c>
      <c r="BE444" s="181">
        <f ca="1">IF($D444&lt;&gt;"Serviço",0,IF(AND(AUTOEVENTO="Manual",$M444=1),0,IF(OFFSET(CRONOPLE!$F$14,$M444,BE$13)="",10^12,OFFSET(CRONOPLE!$F$14,$M444,BE$13))))</f>
        <v>1000000000000</v>
      </c>
      <c r="BF444" s="181">
        <f ca="1">IF($D444&lt;&gt;"Serviço",0,IF(AND(AUTOEVENTO="Manual",$M444=1),0,IF(OFFSET(CRONOPLE!$F$14,$M444,BF$13)="",10^12,OFFSET(CRONOPLE!$F$14,$M444,BF$13))))</f>
        <v>1000000000000</v>
      </c>
      <c r="BG444" s="181">
        <f ca="1">IF($D444&lt;&gt;"Serviço",0,IF(AND(AUTOEVENTO="Manual",$M444=1),0,IF(OFFSET(CRONOPLE!$F$14,$M444,BG$13)="",10^12,OFFSET(CRONOPLE!$F$14,$M444,BG$13))))</f>
        <v>1000000000000</v>
      </c>
      <c r="BH444" s="181">
        <f ca="1">IF($D444&lt;&gt;"Serviço",0,IF(AND(AUTOEVENTO="Manual",$M444=1),0,IF(OFFSET(CRONOPLE!$F$14,$M444,BH$13)="",10^12,OFFSET(CRONOPLE!$F$14,$M444,BH$13))))</f>
        <v>1000000000000</v>
      </c>
      <c r="BI444" s="181">
        <f ca="1">IF($D444&lt;&gt;"Serviço",0,IF(AND(AUTOEVENTO="Manual",$M444=1),0,IF(OFFSET(CRONOPLE!$F$14,$M444,BI$13)="",10^12,OFFSET(CRONOPLE!$F$14,$M444,BI$13))))</f>
        <v>1000000000000</v>
      </c>
      <c r="BJ444" s="181">
        <f ca="1">IF($D444&lt;&gt;"Serviço",0,IF(AND(AUTOEVENTO="Manual",$M444=1),0,IF(OFFSET(CRONOPLE!$F$14,$M444,BJ$13)="",10^12,OFFSET(CRONOPLE!$F$14,$M444,BJ$13))))</f>
        <v>1000000000000</v>
      </c>
      <c r="BK444" s="181">
        <f ca="1">IF($D444&lt;&gt;"Serviço",0,IF(AND(AUTOEVENTO="Manual",$M444=1),0,IF(OFFSET(CRONOPLE!$F$14,$M444,BK$13)="",10^12,OFFSET(CRONOPLE!$F$14,$M444,BK$13))))</f>
        <v>1000000000000</v>
      </c>
      <c r="BL444" s="181">
        <f ca="1">IF($D444&lt;&gt;"Serviço",0,IF(AND(AUTOEVENTO="Manual",$M444=1),0,IF(OFFSET(CRONOPLE!$F$14,$M444,BL$13)="",10^12,OFFSET(CRONOPLE!$F$14,$M444,BL$13))))</f>
        <v>1000000000000</v>
      </c>
      <c r="BM444" s="181">
        <f ca="1">IF($D444&lt;&gt;"Serviço",0,IF(AND(AUTOEVENTO="Manual",$M444=1),0,IF(OFFSET(CRONOPLE!$F$14,$M444,BM$13)="",10^12,OFFSET(CRONOPLE!$F$14,$M444,BM$13))))</f>
        <v>1000000000000</v>
      </c>
      <c r="BN444" s="181">
        <f ca="1">IF($D444&lt;&gt;"Serviço",0,IF(AND(AUTOEVENTO="Manual",$M444=1),0,IF(OFFSET(CRONOPLE!$F$14,$M444,BN$13)="",10^12,OFFSET(CRONOPLE!$F$14,$M444,BN$13))))</f>
        <v>1000000000000</v>
      </c>
      <c r="BO444" s="181">
        <f ca="1">IF($D444&lt;&gt;"Serviço",0,IF(AND(AUTOEVENTO="Manual",$M444=1),0,IF(OFFSET(CRONOPLE!$F$14,$M444,BO$13)="",10^12,OFFSET(CRONOPLE!$F$14,$M444,BO$13))))</f>
        <v>1000000000000</v>
      </c>
      <c r="BP444" s="181">
        <f ca="1">IF($D444&lt;&gt;"Serviço",0,IF(AND(AUTOEVENTO="Manual",$M444=1),0,IF(OFFSET(CRONOPLE!$F$14,$M444,BP$13)="",10^12,OFFSET(CRONOPLE!$F$14,$M444,BP$13))))</f>
        <v>1000000000000</v>
      </c>
      <c r="BQ444" s="181">
        <f ca="1">IF($D444&lt;&gt;"Serviço",0,IF(AND(AUTOEVENTO="Manual",$M444=1),0,IF(OFFSET(CRONOPLE!$F$14,$M444,BQ$13)="",10^12,OFFSET(CRONOPLE!$F$14,$M444,BQ$13))))</f>
        <v>1000000000000</v>
      </c>
      <c r="BR444" s="181">
        <f ca="1">IF($D444&lt;&gt;"Serviço",0,IF(AND(AUTOEVENTO="Manual",$M444=1),0,IF(OFFSET(CRONOPLE!$F$14,$M444,BR$13)="",10^12,OFFSET(CRONOPLE!$F$14,$M444,BR$13))))</f>
        <v>1000000000000</v>
      </c>
      <c r="BS444" s="181">
        <f ca="1">IF($D444&lt;&gt;"Serviço",0,IF(AND(AUTOEVENTO="Manual",$M444=1),0,IF(OFFSET(CRONOPLE!$F$14,$M444,BS$13)="",10^12,OFFSET(CRONOPLE!$F$14,$M444,BS$13))))</f>
        <v>1000000000000</v>
      </c>
      <c r="BT444" s="181">
        <f ca="1">IF($D444&lt;&gt;"Serviço",0,IF(AND(AUTOEVENTO="Manual",$M444=1),0,IF(OFFSET(CRONOPLE!$F$14,$M444,BT$13)="",10^12,OFFSET(CRONOPLE!$F$14,$M444,BT$13))))</f>
        <v>1000000000000</v>
      </c>
      <c r="BV444" s="182">
        <f ca="1">IF($D444&lt;&gt;"Serviço",0,IF(OR(AND(AUTOEVENTO="Manual",$M444=1),$M444&gt;(ROW(PLE.lastrow)-ROW(PLE.firstrow))),0,IF(OFFSET(PLE!$G$14,$M444,BV$13)="",10^12,OFFSET(PLE!$G$14,$M444,BV$13))))</f>
        <v>1000000000000</v>
      </c>
      <c r="BW444" s="182">
        <f ca="1">IF($D444&lt;&gt;"Serviço",0,IF(OR(AND(AUTOEVENTO="Manual",$M444=1),$M444&gt;(ROW(PLE.lastrow)-ROW(PLE.firstrow))),0,IF(OFFSET(PLE!$G$14,$M444,BW$13)="",10^12,OFFSET(PLE!$G$14,$M444,BW$13))))</f>
        <v>1000000000000</v>
      </c>
      <c r="BX444" s="182">
        <f ca="1">IF($D444&lt;&gt;"Serviço",0,IF(OR(AND(AUTOEVENTO="Manual",$M444=1),$M444&gt;(ROW(PLE.lastrow)-ROW(PLE.firstrow))),0,IF(OFFSET(PLE!$G$14,$M444,BX$13)="",10^12,OFFSET(PLE!$G$14,$M444,BX$13))))</f>
        <v>1000000000000</v>
      </c>
      <c r="BY444" s="182">
        <f ca="1">IF($D444&lt;&gt;"Serviço",0,IF(OR(AND(AUTOEVENTO="Manual",$M444=1),$M444&gt;(ROW(PLE.lastrow)-ROW(PLE.firstrow))),0,IF(OFFSET(PLE!$G$14,$M444,BY$13)="",10^12,OFFSET(PLE!$G$14,$M444,BY$13))))</f>
        <v>1000000000000</v>
      </c>
      <c r="BZ444" s="182">
        <f ca="1">IF($D444&lt;&gt;"Serviço",0,IF(OR(AND(AUTOEVENTO="Manual",$M444=1),$M444&gt;(ROW(PLE.lastrow)-ROW(PLE.firstrow))),0,IF(OFFSET(PLE!$G$14,$M444,BZ$13)="",10^12,OFFSET(PLE!$G$14,$M444,BZ$13))))</f>
        <v>1000000000000</v>
      </c>
      <c r="CA444" s="182">
        <f ca="1">IF($D444&lt;&gt;"Serviço",0,IF(OR(AND(AUTOEVENTO="Manual",$M444=1),$M444&gt;(ROW(PLE.lastrow)-ROW(PLE.firstrow))),0,IF(OFFSET(PLE!$G$14,$M444,CA$13)="",10^12,OFFSET(PLE!$G$14,$M444,CA$13))))</f>
        <v>1000000000000</v>
      </c>
      <c r="CB444" s="182">
        <f ca="1">IF($D444&lt;&gt;"Serviço",0,IF(OR(AND(AUTOEVENTO="Manual",$M444=1),$M444&gt;(ROW(PLE.lastrow)-ROW(PLE.firstrow))),0,IF(OFFSET(PLE!$G$14,$M444,CB$13)="",10^12,OFFSET(PLE!$G$14,$M444,CB$13))))</f>
        <v>1000000000000</v>
      </c>
      <c r="CC444" s="182">
        <f ca="1">IF($D444&lt;&gt;"Serviço",0,IF(OR(AND(AUTOEVENTO="Manual",$M444=1),$M444&gt;(ROW(PLE.lastrow)-ROW(PLE.firstrow))),0,IF(OFFSET(PLE!$G$14,$M444,CC$13)="",10^12,OFFSET(PLE!$G$14,$M444,CC$13))))</f>
        <v>1000000000000</v>
      </c>
      <c r="CD444" s="182">
        <f ca="1">IF($D444&lt;&gt;"Serviço",0,IF(OR(AND(AUTOEVENTO="Manual",$M444=1),$M444&gt;(ROW(PLE.lastrow)-ROW(PLE.firstrow))),0,IF(OFFSET(PLE!$G$14,$M444,CD$13)="",10^12,OFFSET(PLE!$G$14,$M444,CD$13))))</f>
        <v>1000000000000</v>
      </c>
      <c r="CE444" s="182">
        <f ca="1">IF($D444&lt;&gt;"Serviço",0,IF(OR(AND(AUTOEVENTO="Manual",$M444=1),$M444&gt;(ROW(PLE.lastrow)-ROW(PLE.firstrow))),0,IF(OFFSET(PLE!$G$14,$M444,CE$13)="",10^12,OFFSET(PLE!$G$14,$M444,CE$13))))</f>
        <v>1000000000000</v>
      </c>
      <c r="CF444" s="182">
        <f ca="1">IF($D444&lt;&gt;"Serviço",0,IF(OR(AND(AUTOEVENTO="Manual",$M444=1),$M444&gt;(ROW(PLE.lastrow)-ROW(PLE.firstrow))),0,IF(OFFSET(PLE!$G$14,$M444,CF$13)="",10^12,OFFSET(PLE!$G$14,$M444,CF$13))))</f>
        <v>1000000000000</v>
      </c>
      <c r="CG444" s="182">
        <f ca="1">IF($D444&lt;&gt;"Serviço",0,IF(OR(AND(AUTOEVENTO="Manual",$M444=1),$M444&gt;(ROW(PLE.lastrow)-ROW(PLE.firstrow))),0,IF(OFFSET(PLE!$G$14,$M444,CG$13)="",10^12,OFFSET(PLE!$G$14,$M444,CG$13))))</f>
        <v>1000000000000</v>
      </c>
      <c r="CH444" s="182">
        <f ca="1">IF($D444&lt;&gt;"Serviço",0,IF(OR(AND(AUTOEVENTO="Manual",$M444=1),$M444&gt;(ROW(PLE.lastrow)-ROW(PLE.firstrow))),0,IF(OFFSET(PLE!$G$14,$M444,CH$13)="",10^12,OFFSET(PLE!$G$14,$M444,CH$13))))</f>
        <v>1000000000000</v>
      </c>
      <c r="CI444" s="182">
        <f ca="1">IF($D444&lt;&gt;"Serviço",0,IF(OR(AND(AUTOEVENTO="Manual",$M444=1),$M444&gt;(ROW(PLE.lastrow)-ROW(PLE.firstrow))),0,IF(OFFSET(PLE!$G$14,$M444,CI$13)="",10^12,OFFSET(PLE!$G$14,$M444,CI$13))))</f>
        <v>1000000000000</v>
      </c>
      <c r="CJ444" s="182">
        <f ca="1">IF($D444&lt;&gt;"Serviço",0,IF(OR(AND(AUTOEVENTO="Manual",$M444=1),$M444&gt;(ROW(PLE.lastrow)-ROW(PLE.firstrow))),0,IF(OFFSET(PLE!$G$14,$M444,CJ$13)="",10^12,OFFSET(PLE!$G$14,$M444,CJ$13))))</f>
        <v>1000000000000</v>
      </c>
      <c r="CK444" s="182">
        <f ca="1">IF($D444&lt;&gt;"Serviço",0,IF(OR(AND(AUTOEVENTO="Manual",$M444=1),$M444&gt;(ROW(PLE.lastrow)-ROW(PLE.firstrow))),0,IF(OFFSET(PLE!$G$14,$M444,CK$13)="",10^12,OFFSET(PLE!$G$14,$M444,CK$13))))</f>
        <v>1000000000000</v>
      </c>
      <c r="CL444" s="182">
        <f ca="1">IF($D444&lt;&gt;"Serviço",0,IF(OR(AND(AUTOEVENTO="Manual",$M444=1),$M444&gt;(ROW(PLE.lastrow)-ROW(PLE.firstrow))),0,IF(OFFSET(PLE!$G$14,$M444,CL$13)="",10^12,OFFSET(PLE!$G$14,$M444,CL$13))))</f>
        <v>1000000000000</v>
      </c>
      <c r="CM444" s="182">
        <f ca="1">IF($D444&lt;&gt;"Serviço",0,IF(OR(AND(AUTOEVENTO="Manual",$M444=1),$M444&gt;(ROW(PLE.lastrow)-ROW(PLE.firstrow))),0,IF(OFFSET(PLE!$G$14,$M444,CM$13)="",10^12,OFFSET(PLE!$G$14,$M444,CM$13))))</f>
        <v>1000000000000</v>
      </c>
    </row>
    <row r="445" spans="1:91" ht="38.25" x14ac:dyDescent="0.2">
      <c r="A445" s="7" t="str">
        <f t="shared" ca="1" si="15"/>
        <v>421</v>
      </c>
      <c r="B445" s="7" t="str">
        <f ca="1">OFFSET(ORÇAMENTO!C$15,ROW(B445)-ROW(B$15),0)</f>
        <v>S</v>
      </c>
      <c r="C445" s="7" t="str">
        <f ca="1">OFFSET(ORÇAMENTO!L$15,ROW(C445)-ROW(C$15),0)</f>
        <v/>
      </c>
      <c r="D445" s="118" t="str">
        <f ca="1">OFFSET(ORÇAMENTO!N$15,ROW(D445)-ROW(D$15),0)</f>
        <v>Serviço</v>
      </c>
      <c r="E445" s="119" t="str">
        <f ca="1">OFFSET(ORÇAMENTO!O$15,ROW(E445)-ROW(E$15),0)</f>
        <v>-</v>
      </c>
      <c r="F445" s="172" t="str">
        <f ca="1">OFFSET(ORÇAMENTO!R$15,ROW(F445)-ROW(F$15),0)</f>
        <v>(abra o arquivo 'Referência 06-2024.xlsm)</v>
      </c>
      <c r="G445" s="173" t="str">
        <f ca="1">IF($D445&lt;&gt;"Serviço","",OFFSET(ORÇAMENTO!S$15,ROW(G445)-ROW(G$15),0))</f>
        <v>-</v>
      </c>
      <c r="H445" s="124">
        <f ca="1">IF($D445&lt;&gt;"Serviço",0,IF(ACOMPANHAMENTO="BM",ROUND(OFFSET(ORÇAMENTO!AJ$15,ROW(H445)-ROW(H$15),0),15-13*ORÇAMENTO!$AF$7),SUMPRODUCT(($Q$12:$AI$12&lt;&gt;"")*ROUND($Q445:$AI445,15-13*ORÇAMENTO!$AF$7))))</f>
        <v>0.35</v>
      </c>
      <c r="I445" s="561" t="s">
        <v>1107</v>
      </c>
      <c r="K445" s="174"/>
      <c r="L445" s="175" t="s">
        <v>255</v>
      </c>
      <c r="M445" s="176">
        <f ca="1">IF($D445&lt;&gt;"Serviço","",IF(AUTOEVENTO="manual",$A445,IF(ISERROR(MATCH($A445,$A$15:OFFSET($A445,-1,0),0)),MAX($M$15:OFFSET(M445,-1,0))+1,INDEX($M$15:OFFSET(M445,-1,0),MATCH($A445,$A$15:OFFSET($A445,-1,0),0)))))</f>
        <v>49</v>
      </c>
      <c r="N445" s="177" t="str">
        <f ca="1">IF($D445&lt;&gt;"Serviço","",IF(AUTOEVENTO="Manual",IF($A445=0,"&lt;-- defina o número do agrupador",OFFSET(EVENTOS!$D$14,$A445,0)),OFFSET($F$15,$A445,0)))</f>
        <v>SISTEMA DE PROTEÇÃO CONTRA INCÊNDIO - TUBULAÇÕES E CONEXÕES</v>
      </c>
      <c r="O445" s="178"/>
      <c r="Q445" s="178">
        <v>0.35</v>
      </c>
      <c r="R445" s="179"/>
      <c r="S445" s="179"/>
      <c r="T445" s="179"/>
      <c r="U445" s="179"/>
      <c r="V445" s="179"/>
      <c r="W445" s="179"/>
      <c r="X445" s="179"/>
      <c r="Y445" s="179"/>
      <c r="Z445" s="180"/>
      <c r="AA445" s="179"/>
      <c r="AB445" s="179"/>
      <c r="AC445" s="179"/>
      <c r="AD445" s="179"/>
      <c r="AE445" s="179"/>
      <c r="AF445" s="179"/>
      <c r="AG445" s="179"/>
      <c r="AH445" s="180"/>
      <c r="AJ445" s="544">
        <f ca="1">IF(AND($D445="Serviço",AJ$12&lt;&gt;0,$H445&gt;0,OR(AUTOEVENTO&lt;&gt;"manual",$M445&lt;&gt;1)),
IF(Import.TipoArredondamento&lt;&gt;"TransfereGOV",
ROUND(OFFSET($P445,0,AJ$13),15-13*ORÇAMENTO!$AF$7)/$H445*OFFSET(ORÇAMENTO!$X$15,ROW(AJ445)-ROW(AJ$15),0),
ROUND(ROUND(OFFSET($P445,0,AJ$13),15-13*ORÇAMENTO!$AF$7)*OFFSET(ORÇAMENTO!$W$15,ROW(AJ445)-ROW(AJ$15),0),15-13*ORÇAMENTO!$AF$11)),0)</f>
        <v>0</v>
      </c>
      <c r="AK445" s="545">
        <f ca="1">IF(AND($D445="Serviço",AK$12&lt;&gt;0,$H445&gt;0,OR(AUTOEVENTO&lt;&gt;"manual",$M445&lt;&gt;1)),
IF(Import.TipoArredondamento&lt;&gt;"TransfereGOV",
ROUND(OFFSET($P445,0,AK$13),15-13*ORÇAMENTO!$AF$7)/$H445*OFFSET(ORÇAMENTO!$X$15,ROW(AK445)-ROW(AK$15),0),
ROUND(ROUND(OFFSET($P445,0,AK$13),15-13*ORÇAMENTO!$AF$7)*OFFSET(ORÇAMENTO!$W$15,ROW(AK445)-ROW(AK$15),0),15-13*ORÇAMENTO!$AF$11)),0)</f>
        <v>0</v>
      </c>
      <c r="AL445" s="545">
        <f ca="1">IF(AND($D445="Serviço",AL$12&lt;&gt;0,$H445&gt;0,OR(AUTOEVENTO&lt;&gt;"manual",$M445&lt;&gt;1)),
IF(Import.TipoArredondamento&lt;&gt;"TransfereGOV",
ROUND(OFFSET($P445,0,AL$13),15-13*ORÇAMENTO!$AF$7)/$H445*OFFSET(ORÇAMENTO!$X$15,ROW(AL445)-ROW(AL$15),0),
ROUND(ROUND(OFFSET($P445,0,AL$13),15-13*ORÇAMENTO!$AF$7)*OFFSET(ORÇAMENTO!$W$15,ROW(AL445)-ROW(AL$15),0),15-13*ORÇAMENTO!$AF$11)),0)</f>
        <v>0</v>
      </c>
      <c r="AM445" s="545">
        <f ca="1">IF(AND($D445="Serviço",AM$12&lt;&gt;0,$H445&gt;0,OR(AUTOEVENTO&lt;&gt;"manual",$M445&lt;&gt;1)),
IF(Import.TipoArredondamento&lt;&gt;"TransfereGOV",
ROUND(OFFSET($P445,0,AM$13),15-13*ORÇAMENTO!$AF$7)/$H445*OFFSET(ORÇAMENTO!$X$15,ROW(AM445)-ROW(AM$15),0),
ROUND(ROUND(OFFSET($P445,0,AM$13),15-13*ORÇAMENTO!$AF$7)*OFFSET(ORÇAMENTO!$W$15,ROW(AM445)-ROW(AM$15),0),15-13*ORÇAMENTO!$AF$11)),0)</f>
        <v>0</v>
      </c>
      <c r="AN445" s="545">
        <f ca="1">IF(AND($D445="Serviço",AN$12&lt;&gt;0,$H445&gt;0,OR(AUTOEVENTO&lt;&gt;"manual",$M445&lt;&gt;1)),
IF(Import.TipoArredondamento&lt;&gt;"TransfereGOV",
ROUND(OFFSET($P445,0,AN$13),15-13*ORÇAMENTO!$AF$7)/$H445*OFFSET(ORÇAMENTO!$X$15,ROW(AN445)-ROW(AN$15),0),
ROUND(ROUND(OFFSET($P445,0,AN$13),15-13*ORÇAMENTO!$AF$7)*OFFSET(ORÇAMENTO!$W$15,ROW(AN445)-ROW(AN$15),0),15-13*ORÇAMENTO!$AF$11)),0)</f>
        <v>0</v>
      </c>
      <c r="AO445" s="545">
        <f ca="1">IF(AND($D445="Serviço",AO$12&lt;&gt;0,$H445&gt;0,OR(AUTOEVENTO&lt;&gt;"manual",$M445&lt;&gt;1)),
IF(Import.TipoArredondamento&lt;&gt;"TransfereGOV",
ROUND(OFFSET($P445,0,AO$13),15-13*ORÇAMENTO!$AF$7)/$H445*OFFSET(ORÇAMENTO!$X$15,ROW(AO445)-ROW(AO$15),0),
ROUND(ROUND(OFFSET($P445,0,AO$13),15-13*ORÇAMENTO!$AF$7)*OFFSET(ORÇAMENTO!$W$15,ROW(AO445)-ROW(AO$15),0),15-13*ORÇAMENTO!$AF$11)),0)</f>
        <v>0</v>
      </c>
      <c r="AP445" s="545">
        <f ca="1">IF(AND($D445="Serviço",AP$12&lt;&gt;0,$H445&gt;0,OR(AUTOEVENTO&lt;&gt;"manual",$M445&lt;&gt;1)),
IF(Import.TipoArredondamento&lt;&gt;"TransfereGOV",
ROUND(OFFSET($P445,0,AP$13),15-13*ORÇAMENTO!$AF$7)/$H445*OFFSET(ORÇAMENTO!$X$15,ROW(AP445)-ROW(AP$15),0),
ROUND(ROUND(OFFSET($P445,0,AP$13),15-13*ORÇAMENTO!$AF$7)*OFFSET(ORÇAMENTO!$W$15,ROW(AP445)-ROW(AP$15),0),15-13*ORÇAMENTO!$AF$11)),0)</f>
        <v>0</v>
      </c>
      <c r="AQ445" s="545">
        <f ca="1">IF(AND($D445="Serviço",AQ$12&lt;&gt;0,$H445&gt;0,OR(AUTOEVENTO&lt;&gt;"manual",$M445&lt;&gt;1)),
IF(Import.TipoArredondamento&lt;&gt;"TransfereGOV",
ROUND(OFFSET($P445,0,AQ$13),15-13*ORÇAMENTO!$AF$7)/$H445*OFFSET(ORÇAMENTO!$X$15,ROW(AQ445)-ROW(AQ$15),0),
ROUND(ROUND(OFFSET($P445,0,AQ$13),15-13*ORÇAMENTO!$AF$7)*OFFSET(ORÇAMENTO!$W$15,ROW(AQ445)-ROW(AQ$15),0),15-13*ORÇAMENTO!$AF$11)),0)</f>
        <v>0</v>
      </c>
      <c r="AR445" s="545">
        <f ca="1">IF(AND($D445="Serviço",AR$12&lt;&gt;0,$H445&gt;0,OR(AUTOEVENTO&lt;&gt;"manual",$M445&lt;&gt;1)),
IF(Import.TipoArredondamento&lt;&gt;"TransfereGOV",
ROUND(OFFSET($P445,0,AR$13),15-13*ORÇAMENTO!$AF$7)/$H445*OFFSET(ORÇAMENTO!$X$15,ROW(AR445)-ROW(AR$15),0),
ROUND(ROUND(OFFSET($P445,0,AR$13),15-13*ORÇAMENTO!$AF$7)*OFFSET(ORÇAMENTO!$W$15,ROW(AR445)-ROW(AR$15),0),15-13*ORÇAMENTO!$AF$11)),0)</f>
        <v>0</v>
      </c>
      <c r="AS445" s="546">
        <f ca="1">IF(AND($D445="Serviço",AS$12&lt;&gt;0,$H445&gt;0,OR(AUTOEVENTO&lt;&gt;"manual",$M445&lt;&gt;1)),
IF(Import.TipoArredondamento&lt;&gt;"TransfereGOV",
ROUND(OFFSET($P445,0,AS$13),15-13*ORÇAMENTO!$AF$7)/$H445*OFFSET(ORÇAMENTO!$X$15,ROW(AS445)-ROW(AS$15),0),
ROUND(ROUND(OFFSET($P445,0,AS$13),15-13*ORÇAMENTO!$AF$7)*OFFSET(ORÇAMENTO!$W$15,ROW(AS445)-ROW(AS$15),0),15-13*ORÇAMENTO!$AF$11)),0)</f>
        <v>0</v>
      </c>
      <c r="AT445" s="545">
        <f ca="1">IF(AND($D445="Serviço",AT$12&lt;&gt;0,$H445&gt;0,OR(AUTOEVENTO&lt;&gt;"manual",$M445&lt;&gt;1)),
IF(Import.TipoArredondamento&lt;&gt;"TransfereGOV",
ROUND(OFFSET($P445,0,AT$13),15-13*ORÇAMENTO!$AF$7)/$H445*OFFSET(ORÇAMENTO!$X$15,ROW(AT445)-ROW(AT$15),0),
ROUND(ROUND(OFFSET($P445,0,AT$13),15-13*ORÇAMENTO!$AF$7)*OFFSET(ORÇAMENTO!$W$15,ROW(AT445)-ROW(AT$15),0),15-13*ORÇAMENTO!$AF$11)),0)</f>
        <v>0</v>
      </c>
      <c r="AU445" s="545">
        <f ca="1">IF(AND($D445="Serviço",AU$12&lt;&gt;0,$H445&gt;0,OR(AUTOEVENTO&lt;&gt;"manual",$M445&lt;&gt;1)),
IF(Import.TipoArredondamento&lt;&gt;"TransfereGOV",
ROUND(OFFSET($P445,0,AU$13),15-13*ORÇAMENTO!$AF$7)/$H445*OFFSET(ORÇAMENTO!$X$15,ROW(AU445)-ROW(AU$15),0),
ROUND(ROUND(OFFSET($P445,0,AU$13),15-13*ORÇAMENTO!$AF$7)*OFFSET(ORÇAMENTO!$W$15,ROW(AU445)-ROW(AU$15),0),15-13*ORÇAMENTO!$AF$11)),0)</f>
        <v>0</v>
      </c>
      <c r="AV445" s="545">
        <f ca="1">IF(AND($D445="Serviço",AV$12&lt;&gt;0,$H445&gt;0,OR(AUTOEVENTO&lt;&gt;"manual",$M445&lt;&gt;1)),
IF(Import.TipoArredondamento&lt;&gt;"TransfereGOV",
ROUND(OFFSET($P445,0,AV$13),15-13*ORÇAMENTO!$AF$7)/$H445*OFFSET(ORÇAMENTO!$X$15,ROW(AV445)-ROW(AV$15),0),
ROUND(ROUND(OFFSET($P445,0,AV$13),15-13*ORÇAMENTO!$AF$7)*OFFSET(ORÇAMENTO!$W$15,ROW(AV445)-ROW(AV$15),0),15-13*ORÇAMENTO!$AF$11)),0)</f>
        <v>0</v>
      </c>
      <c r="AW445" s="545">
        <f ca="1">IF(AND($D445="Serviço",AW$12&lt;&gt;0,$H445&gt;0,OR(AUTOEVENTO&lt;&gt;"manual",$M445&lt;&gt;1)),
IF(Import.TipoArredondamento&lt;&gt;"TransfereGOV",
ROUND(OFFSET($P445,0,AW$13),15-13*ORÇAMENTO!$AF$7)/$H445*OFFSET(ORÇAMENTO!$X$15,ROW(AW445)-ROW(AW$15),0),
ROUND(ROUND(OFFSET($P445,0,AW$13),15-13*ORÇAMENTO!$AF$7)*OFFSET(ORÇAMENTO!$W$15,ROW(AW445)-ROW(AW$15),0),15-13*ORÇAMENTO!$AF$11)),0)</f>
        <v>0</v>
      </c>
      <c r="AX445" s="545">
        <f ca="1">IF(AND($D445="Serviço",AX$12&lt;&gt;0,$H445&gt;0,OR(AUTOEVENTO&lt;&gt;"manual",$M445&lt;&gt;1)),
IF(Import.TipoArredondamento&lt;&gt;"TransfereGOV",
ROUND(OFFSET($P445,0,AX$13),15-13*ORÇAMENTO!$AF$7)/$H445*OFFSET(ORÇAMENTO!$X$15,ROW(AX445)-ROW(AX$15),0),
ROUND(ROUND(OFFSET($P445,0,AX$13),15-13*ORÇAMENTO!$AF$7)*OFFSET(ORÇAMENTO!$W$15,ROW(AX445)-ROW(AX$15),0),15-13*ORÇAMENTO!$AF$11)),0)</f>
        <v>0</v>
      </c>
      <c r="AY445" s="545">
        <f ca="1">IF(AND($D445="Serviço",AY$12&lt;&gt;0,$H445&gt;0,OR(AUTOEVENTO&lt;&gt;"manual",$M445&lt;&gt;1)),
IF(Import.TipoArredondamento&lt;&gt;"TransfereGOV",
ROUND(OFFSET($P445,0,AY$13),15-13*ORÇAMENTO!$AF$7)/$H445*OFFSET(ORÇAMENTO!$X$15,ROW(AY445)-ROW(AY$15),0),
ROUND(ROUND(OFFSET($P445,0,AY$13),15-13*ORÇAMENTO!$AF$7)*OFFSET(ORÇAMENTO!$W$15,ROW(AY445)-ROW(AY$15),0),15-13*ORÇAMENTO!$AF$11)),0)</f>
        <v>0</v>
      </c>
      <c r="AZ445" s="545">
        <f ca="1">IF(AND($D445="Serviço",AZ$12&lt;&gt;0,$H445&gt;0,OR(AUTOEVENTO&lt;&gt;"manual",$M445&lt;&gt;1)),
IF(Import.TipoArredondamento&lt;&gt;"TransfereGOV",
ROUND(OFFSET($P445,0,AZ$13),15-13*ORÇAMENTO!$AF$7)/$H445*OFFSET(ORÇAMENTO!$X$15,ROW(AZ445)-ROW(AZ$15),0),
ROUND(ROUND(OFFSET($P445,0,AZ$13),15-13*ORÇAMENTO!$AF$7)*OFFSET(ORÇAMENTO!$W$15,ROW(AZ445)-ROW(AZ$15),0),15-13*ORÇAMENTO!$AF$11)),0)</f>
        <v>0</v>
      </c>
      <c r="BA445" s="546">
        <f ca="1">IF(AND($D445="Serviço",BA$12&lt;&gt;0,$H445&gt;0,OR(AUTOEVENTO&lt;&gt;"manual",$M445&lt;&gt;1)),
IF(Import.TipoArredondamento&lt;&gt;"TransfereGOV",
ROUND(OFFSET($P445,0,BA$13),15-13*ORÇAMENTO!$AF$7)/$H445*OFFSET(ORÇAMENTO!$X$15,ROW(BA445)-ROW(BA$15),0),
ROUND(ROUND(OFFSET($P445,0,BA$13),15-13*ORÇAMENTO!$AF$7)*OFFSET(ORÇAMENTO!$W$15,ROW(BA445)-ROW(BA$15),0),15-13*ORÇAMENTO!$AF$11)),0)</f>
        <v>0</v>
      </c>
      <c r="BC445" s="181">
        <f ca="1">IF($D445&lt;&gt;"Serviço",0,IF(AND(AUTOEVENTO="Manual",$M445=1),0,IF(OFFSET(CRONOPLE!$F$14,$M445,BC$13)="",10^12,OFFSET(CRONOPLE!$F$14,$M445,BC$13))))</f>
        <v>10</v>
      </c>
      <c r="BD445" s="181">
        <f ca="1">IF($D445&lt;&gt;"Serviço",0,IF(AND(AUTOEVENTO="Manual",$M445=1),0,IF(OFFSET(CRONOPLE!$F$14,$M445,BD$13)="",10^12,OFFSET(CRONOPLE!$F$14,$M445,BD$13))))</f>
        <v>1000000000000</v>
      </c>
      <c r="BE445" s="181">
        <f ca="1">IF($D445&lt;&gt;"Serviço",0,IF(AND(AUTOEVENTO="Manual",$M445=1),0,IF(OFFSET(CRONOPLE!$F$14,$M445,BE$13)="",10^12,OFFSET(CRONOPLE!$F$14,$M445,BE$13))))</f>
        <v>1000000000000</v>
      </c>
      <c r="BF445" s="181">
        <f ca="1">IF($D445&lt;&gt;"Serviço",0,IF(AND(AUTOEVENTO="Manual",$M445=1),0,IF(OFFSET(CRONOPLE!$F$14,$M445,BF$13)="",10^12,OFFSET(CRONOPLE!$F$14,$M445,BF$13))))</f>
        <v>1000000000000</v>
      </c>
      <c r="BG445" s="181">
        <f ca="1">IF($D445&lt;&gt;"Serviço",0,IF(AND(AUTOEVENTO="Manual",$M445=1),0,IF(OFFSET(CRONOPLE!$F$14,$M445,BG$13)="",10^12,OFFSET(CRONOPLE!$F$14,$M445,BG$13))))</f>
        <v>1000000000000</v>
      </c>
      <c r="BH445" s="181">
        <f ca="1">IF($D445&lt;&gt;"Serviço",0,IF(AND(AUTOEVENTO="Manual",$M445=1),0,IF(OFFSET(CRONOPLE!$F$14,$M445,BH$13)="",10^12,OFFSET(CRONOPLE!$F$14,$M445,BH$13))))</f>
        <v>1000000000000</v>
      </c>
      <c r="BI445" s="181">
        <f ca="1">IF($D445&lt;&gt;"Serviço",0,IF(AND(AUTOEVENTO="Manual",$M445=1),0,IF(OFFSET(CRONOPLE!$F$14,$M445,BI$13)="",10^12,OFFSET(CRONOPLE!$F$14,$M445,BI$13))))</f>
        <v>1000000000000</v>
      </c>
      <c r="BJ445" s="181">
        <f ca="1">IF($D445&lt;&gt;"Serviço",0,IF(AND(AUTOEVENTO="Manual",$M445=1),0,IF(OFFSET(CRONOPLE!$F$14,$M445,BJ$13)="",10^12,OFFSET(CRONOPLE!$F$14,$M445,BJ$13))))</f>
        <v>1000000000000</v>
      </c>
      <c r="BK445" s="181">
        <f ca="1">IF($D445&lt;&gt;"Serviço",0,IF(AND(AUTOEVENTO="Manual",$M445=1),0,IF(OFFSET(CRONOPLE!$F$14,$M445,BK$13)="",10^12,OFFSET(CRONOPLE!$F$14,$M445,BK$13))))</f>
        <v>1000000000000</v>
      </c>
      <c r="BL445" s="181">
        <f ca="1">IF($D445&lt;&gt;"Serviço",0,IF(AND(AUTOEVENTO="Manual",$M445=1),0,IF(OFFSET(CRONOPLE!$F$14,$M445,BL$13)="",10^12,OFFSET(CRONOPLE!$F$14,$M445,BL$13))))</f>
        <v>1000000000000</v>
      </c>
      <c r="BM445" s="181">
        <f ca="1">IF($D445&lt;&gt;"Serviço",0,IF(AND(AUTOEVENTO="Manual",$M445=1),0,IF(OFFSET(CRONOPLE!$F$14,$M445,BM$13)="",10^12,OFFSET(CRONOPLE!$F$14,$M445,BM$13))))</f>
        <v>1000000000000</v>
      </c>
      <c r="BN445" s="181">
        <f ca="1">IF($D445&lt;&gt;"Serviço",0,IF(AND(AUTOEVENTO="Manual",$M445=1),0,IF(OFFSET(CRONOPLE!$F$14,$M445,BN$13)="",10^12,OFFSET(CRONOPLE!$F$14,$M445,BN$13))))</f>
        <v>1000000000000</v>
      </c>
      <c r="BO445" s="181">
        <f ca="1">IF($D445&lt;&gt;"Serviço",0,IF(AND(AUTOEVENTO="Manual",$M445=1),0,IF(OFFSET(CRONOPLE!$F$14,$M445,BO$13)="",10^12,OFFSET(CRONOPLE!$F$14,$M445,BO$13))))</f>
        <v>1000000000000</v>
      </c>
      <c r="BP445" s="181">
        <f ca="1">IF($D445&lt;&gt;"Serviço",0,IF(AND(AUTOEVENTO="Manual",$M445=1),0,IF(OFFSET(CRONOPLE!$F$14,$M445,BP$13)="",10^12,OFFSET(CRONOPLE!$F$14,$M445,BP$13))))</f>
        <v>1000000000000</v>
      </c>
      <c r="BQ445" s="181">
        <f ca="1">IF($D445&lt;&gt;"Serviço",0,IF(AND(AUTOEVENTO="Manual",$M445=1),0,IF(OFFSET(CRONOPLE!$F$14,$M445,BQ$13)="",10^12,OFFSET(CRONOPLE!$F$14,$M445,BQ$13))))</f>
        <v>1000000000000</v>
      </c>
      <c r="BR445" s="181">
        <f ca="1">IF($D445&lt;&gt;"Serviço",0,IF(AND(AUTOEVENTO="Manual",$M445=1),0,IF(OFFSET(CRONOPLE!$F$14,$M445,BR$13)="",10^12,OFFSET(CRONOPLE!$F$14,$M445,BR$13))))</f>
        <v>1000000000000</v>
      </c>
      <c r="BS445" s="181">
        <f ca="1">IF($D445&lt;&gt;"Serviço",0,IF(AND(AUTOEVENTO="Manual",$M445=1),0,IF(OFFSET(CRONOPLE!$F$14,$M445,BS$13)="",10^12,OFFSET(CRONOPLE!$F$14,$M445,BS$13))))</f>
        <v>1000000000000</v>
      </c>
      <c r="BT445" s="181">
        <f ca="1">IF($D445&lt;&gt;"Serviço",0,IF(AND(AUTOEVENTO="Manual",$M445=1),0,IF(OFFSET(CRONOPLE!$F$14,$M445,BT$13)="",10^12,OFFSET(CRONOPLE!$F$14,$M445,BT$13))))</f>
        <v>1000000000000</v>
      </c>
      <c r="BV445" s="182">
        <f ca="1">IF($D445&lt;&gt;"Serviço",0,IF(OR(AND(AUTOEVENTO="Manual",$M445=1),$M445&gt;(ROW(PLE.lastrow)-ROW(PLE.firstrow))),0,IF(OFFSET(PLE!$G$14,$M445,BV$13)="",10^12,OFFSET(PLE!$G$14,$M445,BV$13))))</f>
        <v>1000000000000</v>
      </c>
      <c r="BW445" s="182">
        <f ca="1">IF($D445&lt;&gt;"Serviço",0,IF(OR(AND(AUTOEVENTO="Manual",$M445=1),$M445&gt;(ROW(PLE.lastrow)-ROW(PLE.firstrow))),0,IF(OFFSET(PLE!$G$14,$M445,BW$13)="",10^12,OFFSET(PLE!$G$14,$M445,BW$13))))</f>
        <v>1000000000000</v>
      </c>
      <c r="BX445" s="182">
        <f ca="1">IF($D445&lt;&gt;"Serviço",0,IF(OR(AND(AUTOEVENTO="Manual",$M445=1),$M445&gt;(ROW(PLE.lastrow)-ROW(PLE.firstrow))),0,IF(OFFSET(PLE!$G$14,$M445,BX$13)="",10^12,OFFSET(PLE!$G$14,$M445,BX$13))))</f>
        <v>1000000000000</v>
      </c>
      <c r="BY445" s="182">
        <f ca="1">IF($D445&lt;&gt;"Serviço",0,IF(OR(AND(AUTOEVENTO="Manual",$M445=1),$M445&gt;(ROW(PLE.lastrow)-ROW(PLE.firstrow))),0,IF(OFFSET(PLE!$G$14,$M445,BY$13)="",10^12,OFFSET(PLE!$G$14,$M445,BY$13))))</f>
        <v>1000000000000</v>
      </c>
      <c r="BZ445" s="182">
        <f ca="1">IF($D445&lt;&gt;"Serviço",0,IF(OR(AND(AUTOEVENTO="Manual",$M445=1),$M445&gt;(ROW(PLE.lastrow)-ROW(PLE.firstrow))),0,IF(OFFSET(PLE!$G$14,$M445,BZ$13)="",10^12,OFFSET(PLE!$G$14,$M445,BZ$13))))</f>
        <v>1000000000000</v>
      </c>
      <c r="CA445" s="182">
        <f ca="1">IF($D445&lt;&gt;"Serviço",0,IF(OR(AND(AUTOEVENTO="Manual",$M445=1),$M445&gt;(ROW(PLE.lastrow)-ROW(PLE.firstrow))),0,IF(OFFSET(PLE!$G$14,$M445,CA$13)="",10^12,OFFSET(PLE!$G$14,$M445,CA$13))))</f>
        <v>1000000000000</v>
      </c>
      <c r="CB445" s="182">
        <f ca="1">IF($D445&lt;&gt;"Serviço",0,IF(OR(AND(AUTOEVENTO="Manual",$M445=1),$M445&gt;(ROW(PLE.lastrow)-ROW(PLE.firstrow))),0,IF(OFFSET(PLE!$G$14,$M445,CB$13)="",10^12,OFFSET(PLE!$G$14,$M445,CB$13))))</f>
        <v>1000000000000</v>
      </c>
      <c r="CC445" s="182">
        <f ca="1">IF($D445&lt;&gt;"Serviço",0,IF(OR(AND(AUTOEVENTO="Manual",$M445=1),$M445&gt;(ROW(PLE.lastrow)-ROW(PLE.firstrow))),0,IF(OFFSET(PLE!$G$14,$M445,CC$13)="",10^12,OFFSET(PLE!$G$14,$M445,CC$13))))</f>
        <v>1000000000000</v>
      </c>
      <c r="CD445" s="182">
        <f ca="1">IF($D445&lt;&gt;"Serviço",0,IF(OR(AND(AUTOEVENTO="Manual",$M445=1),$M445&gt;(ROW(PLE.lastrow)-ROW(PLE.firstrow))),0,IF(OFFSET(PLE!$G$14,$M445,CD$13)="",10^12,OFFSET(PLE!$G$14,$M445,CD$13))))</f>
        <v>1000000000000</v>
      </c>
      <c r="CE445" s="182">
        <f ca="1">IF($D445&lt;&gt;"Serviço",0,IF(OR(AND(AUTOEVENTO="Manual",$M445=1),$M445&gt;(ROW(PLE.lastrow)-ROW(PLE.firstrow))),0,IF(OFFSET(PLE!$G$14,$M445,CE$13)="",10^12,OFFSET(PLE!$G$14,$M445,CE$13))))</f>
        <v>1000000000000</v>
      </c>
      <c r="CF445" s="182">
        <f ca="1">IF($D445&lt;&gt;"Serviço",0,IF(OR(AND(AUTOEVENTO="Manual",$M445=1),$M445&gt;(ROW(PLE.lastrow)-ROW(PLE.firstrow))),0,IF(OFFSET(PLE!$G$14,$M445,CF$13)="",10^12,OFFSET(PLE!$G$14,$M445,CF$13))))</f>
        <v>1000000000000</v>
      </c>
      <c r="CG445" s="182">
        <f ca="1">IF($D445&lt;&gt;"Serviço",0,IF(OR(AND(AUTOEVENTO="Manual",$M445=1),$M445&gt;(ROW(PLE.lastrow)-ROW(PLE.firstrow))),0,IF(OFFSET(PLE!$G$14,$M445,CG$13)="",10^12,OFFSET(PLE!$G$14,$M445,CG$13))))</f>
        <v>1000000000000</v>
      </c>
      <c r="CH445" s="182">
        <f ca="1">IF($D445&lt;&gt;"Serviço",0,IF(OR(AND(AUTOEVENTO="Manual",$M445=1),$M445&gt;(ROW(PLE.lastrow)-ROW(PLE.firstrow))),0,IF(OFFSET(PLE!$G$14,$M445,CH$13)="",10^12,OFFSET(PLE!$G$14,$M445,CH$13))))</f>
        <v>1000000000000</v>
      </c>
      <c r="CI445" s="182">
        <f ca="1">IF($D445&lt;&gt;"Serviço",0,IF(OR(AND(AUTOEVENTO="Manual",$M445=1),$M445&gt;(ROW(PLE.lastrow)-ROW(PLE.firstrow))),0,IF(OFFSET(PLE!$G$14,$M445,CI$13)="",10^12,OFFSET(PLE!$G$14,$M445,CI$13))))</f>
        <v>1000000000000</v>
      </c>
      <c r="CJ445" s="182">
        <f ca="1">IF($D445&lt;&gt;"Serviço",0,IF(OR(AND(AUTOEVENTO="Manual",$M445=1),$M445&gt;(ROW(PLE.lastrow)-ROW(PLE.firstrow))),0,IF(OFFSET(PLE!$G$14,$M445,CJ$13)="",10^12,OFFSET(PLE!$G$14,$M445,CJ$13))))</f>
        <v>1000000000000</v>
      </c>
      <c r="CK445" s="182">
        <f ca="1">IF($D445&lt;&gt;"Serviço",0,IF(OR(AND(AUTOEVENTO="Manual",$M445=1),$M445&gt;(ROW(PLE.lastrow)-ROW(PLE.firstrow))),0,IF(OFFSET(PLE!$G$14,$M445,CK$13)="",10^12,OFFSET(PLE!$G$14,$M445,CK$13))))</f>
        <v>1000000000000</v>
      </c>
      <c r="CL445" s="182">
        <f ca="1">IF($D445&lt;&gt;"Serviço",0,IF(OR(AND(AUTOEVENTO="Manual",$M445=1),$M445&gt;(ROW(PLE.lastrow)-ROW(PLE.firstrow))),0,IF(OFFSET(PLE!$G$14,$M445,CL$13)="",10^12,OFFSET(PLE!$G$14,$M445,CL$13))))</f>
        <v>1000000000000</v>
      </c>
      <c r="CM445" s="182">
        <f ca="1">IF($D445&lt;&gt;"Serviço",0,IF(OR(AND(AUTOEVENTO="Manual",$M445=1),$M445&gt;(ROW(PLE.lastrow)-ROW(PLE.firstrow))),0,IF(OFFSET(PLE!$G$14,$M445,CM$13)="",10^12,OFFSET(PLE!$G$14,$M445,CM$13))))</f>
        <v>1000000000000</v>
      </c>
    </row>
    <row r="446" spans="1:91" ht="51" x14ac:dyDescent="0.2">
      <c r="A446" s="7" t="str">
        <f t="shared" ca="1" si="15"/>
        <v>421</v>
      </c>
      <c r="B446" s="7" t="str">
        <f ca="1">OFFSET(ORÇAMENTO!C$15,ROW(B446)-ROW(B$15),0)</f>
        <v>S</v>
      </c>
      <c r="C446" s="7" t="str">
        <f ca="1">OFFSET(ORÇAMENTO!L$15,ROW(C446)-ROW(C$15),0)</f>
        <v/>
      </c>
      <c r="D446" s="118" t="str">
        <f ca="1">OFFSET(ORÇAMENTO!N$15,ROW(D446)-ROW(D$15),0)</f>
        <v>Serviço</v>
      </c>
      <c r="E446" s="119" t="str">
        <f ca="1">OFFSET(ORÇAMENTO!O$15,ROW(E446)-ROW(E$15),0)</f>
        <v>-</v>
      </c>
      <c r="F446" s="172" t="str">
        <f ca="1">OFFSET(ORÇAMENTO!R$15,ROW(F446)-ROW(F$15),0)</f>
        <v>(abra o arquivo 'Referência 06-2024.xlsm)</v>
      </c>
      <c r="G446" s="173" t="str">
        <f ca="1">IF($D446&lt;&gt;"Serviço","",OFFSET(ORÇAMENTO!S$15,ROW(G446)-ROW(G$15),0))</f>
        <v>-</v>
      </c>
      <c r="H446" s="124">
        <f ca="1">IF($D446&lt;&gt;"Serviço",0,IF(ACOMPANHAMENTO="BM",ROUND(OFFSET(ORÇAMENTO!AJ$15,ROW(H446)-ROW(H$15),0),15-13*ORÇAMENTO!$AF$7),SUMPRODUCT(($Q$12:$AI$12&lt;&gt;"")*ROUND($Q446:$AI446,15-13*ORÇAMENTO!$AF$7))))</f>
        <v>96.2</v>
      </c>
      <c r="I446" s="561" t="s">
        <v>1107</v>
      </c>
      <c r="K446" s="174"/>
      <c r="L446" s="175" t="s">
        <v>255</v>
      </c>
      <c r="M446" s="176">
        <f ca="1">IF($D446&lt;&gt;"Serviço","",IF(AUTOEVENTO="manual",$A446,IF(ISERROR(MATCH($A446,$A$15:OFFSET($A446,-1,0),0)),MAX($M$15:OFFSET(M446,-1,0))+1,INDEX($M$15:OFFSET(M446,-1,0),MATCH($A446,$A$15:OFFSET($A446,-1,0),0)))))</f>
        <v>49</v>
      </c>
      <c r="N446" s="177" t="str">
        <f ca="1">IF($D446&lt;&gt;"Serviço","",IF(AUTOEVENTO="Manual",IF($A446=0,"&lt;-- defina o número do agrupador",OFFSET(EVENTOS!$D$14,$A446,0)),OFFSET($F$15,$A446,0)))</f>
        <v>SISTEMA DE PROTEÇÃO CONTRA INCÊNDIO - TUBULAÇÕES E CONEXÕES</v>
      </c>
      <c r="O446" s="178"/>
      <c r="Q446" s="178">
        <v>96.2</v>
      </c>
      <c r="R446" s="179"/>
      <c r="S446" s="179"/>
      <c r="T446" s="179"/>
      <c r="U446" s="179"/>
      <c r="V446" s="179"/>
      <c r="W446" s="179"/>
      <c r="X446" s="179"/>
      <c r="Y446" s="179"/>
      <c r="Z446" s="180"/>
      <c r="AA446" s="179"/>
      <c r="AB446" s="179"/>
      <c r="AC446" s="179"/>
      <c r="AD446" s="179"/>
      <c r="AE446" s="179"/>
      <c r="AF446" s="179"/>
      <c r="AG446" s="179"/>
      <c r="AH446" s="180"/>
      <c r="AJ446" s="544">
        <f ca="1">IF(AND($D446="Serviço",AJ$12&lt;&gt;0,$H446&gt;0,OR(AUTOEVENTO&lt;&gt;"manual",$M446&lt;&gt;1)),
IF(Import.TipoArredondamento&lt;&gt;"TransfereGOV",
ROUND(OFFSET($P446,0,AJ$13),15-13*ORÇAMENTO!$AF$7)/$H446*OFFSET(ORÇAMENTO!$X$15,ROW(AJ446)-ROW(AJ$15),0),
ROUND(ROUND(OFFSET($P446,0,AJ$13),15-13*ORÇAMENTO!$AF$7)*OFFSET(ORÇAMENTO!$W$15,ROW(AJ446)-ROW(AJ$15),0),15-13*ORÇAMENTO!$AF$11)),0)</f>
        <v>0</v>
      </c>
      <c r="AK446" s="545">
        <f ca="1">IF(AND($D446="Serviço",AK$12&lt;&gt;0,$H446&gt;0,OR(AUTOEVENTO&lt;&gt;"manual",$M446&lt;&gt;1)),
IF(Import.TipoArredondamento&lt;&gt;"TransfereGOV",
ROUND(OFFSET($P446,0,AK$13),15-13*ORÇAMENTO!$AF$7)/$H446*OFFSET(ORÇAMENTO!$X$15,ROW(AK446)-ROW(AK$15),0),
ROUND(ROUND(OFFSET($P446,0,AK$13),15-13*ORÇAMENTO!$AF$7)*OFFSET(ORÇAMENTO!$W$15,ROW(AK446)-ROW(AK$15),0),15-13*ORÇAMENTO!$AF$11)),0)</f>
        <v>0</v>
      </c>
      <c r="AL446" s="545">
        <f ca="1">IF(AND($D446="Serviço",AL$12&lt;&gt;0,$H446&gt;0,OR(AUTOEVENTO&lt;&gt;"manual",$M446&lt;&gt;1)),
IF(Import.TipoArredondamento&lt;&gt;"TransfereGOV",
ROUND(OFFSET($P446,0,AL$13),15-13*ORÇAMENTO!$AF$7)/$H446*OFFSET(ORÇAMENTO!$X$15,ROW(AL446)-ROW(AL$15),0),
ROUND(ROUND(OFFSET($P446,0,AL$13),15-13*ORÇAMENTO!$AF$7)*OFFSET(ORÇAMENTO!$W$15,ROW(AL446)-ROW(AL$15),0),15-13*ORÇAMENTO!$AF$11)),0)</f>
        <v>0</v>
      </c>
      <c r="AM446" s="545">
        <f ca="1">IF(AND($D446="Serviço",AM$12&lt;&gt;0,$H446&gt;0,OR(AUTOEVENTO&lt;&gt;"manual",$M446&lt;&gt;1)),
IF(Import.TipoArredondamento&lt;&gt;"TransfereGOV",
ROUND(OFFSET($P446,0,AM$13),15-13*ORÇAMENTO!$AF$7)/$H446*OFFSET(ORÇAMENTO!$X$15,ROW(AM446)-ROW(AM$15),0),
ROUND(ROUND(OFFSET($P446,0,AM$13),15-13*ORÇAMENTO!$AF$7)*OFFSET(ORÇAMENTO!$W$15,ROW(AM446)-ROW(AM$15),0),15-13*ORÇAMENTO!$AF$11)),0)</f>
        <v>0</v>
      </c>
      <c r="AN446" s="545">
        <f ca="1">IF(AND($D446="Serviço",AN$12&lt;&gt;0,$H446&gt;0,OR(AUTOEVENTO&lt;&gt;"manual",$M446&lt;&gt;1)),
IF(Import.TipoArredondamento&lt;&gt;"TransfereGOV",
ROUND(OFFSET($P446,0,AN$13),15-13*ORÇAMENTO!$AF$7)/$H446*OFFSET(ORÇAMENTO!$X$15,ROW(AN446)-ROW(AN$15),0),
ROUND(ROUND(OFFSET($P446,0,AN$13),15-13*ORÇAMENTO!$AF$7)*OFFSET(ORÇAMENTO!$W$15,ROW(AN446)-ROW(AN$15),0),15-13*ORÇAMENTO!$AF$11)),0)</f>
        <v>0</v>
      </c>
      <c r="AO446" s="545">
        <f ca="1">IF(AND($D446="Serviço",AO$12&lt;&gt;0,$H446&gt;0,OR(AUTOEVENTO&lt;&gt;"manual",$M446&lt;&gt;1)),
IF(Import.TipoArredondamento&lt;&gt;"TransfereGOV",
ROUND(OFFSET($P446,0,AO$13),15-13*ORÇAMENTO!$AF$7)/$H446*OFFSET(ORÇAMENTO!$X$15,ROW(AO446)-ROW(AO$15),0),
ROUND(ROUND(OFFSET($P446,0,AO$13),15-13*ORÇAMENTO!$AF$7)*OFFSET(ORÇAMENTO!$W$15,ROW(AO446)-ROW(AO$15),0),15-13*ORÇAMENTO!$AF$11)),0)</f>
        <v>0</v>
      </c>
      <c r="AP446" s="545">
        <f ca="1">IF(AND($D446="Serviço",AP$12&lt;&gt;0,$H446&gt;0,OR(AUTOEVENTO&lt;&gt;"manual",$M446&lt;&gt;1)),
IF(Import.TipoArredondamento&lt;&gt;"TransfereGOV",
ROUND(OFFSET($P446,0,AP$13),15-13*ORÇAMENTO!$AF$7)/$H446*OFFSET(ORÇAMENTO!$X$15,ROW(AP446)-ROW(AP$15),0),
ROUND(ROUND(OFFSET($P446,0,AP$13),15-13*ORÇAMENTO!$AF$7)*OFFSET(ORÇAMENTO!$W$15,ROW(AP446)-ROW(AP$15),0),15-13*ORÇAMENTO!$AF$11)),0)</f>
        <v>0</v>
      </c>
      <c r="AQ446" s="545">
        <f ca="1">IF(AND($D446="Serviço",AQ$12&lt;&gt;0,$H446&gt;0,OR(AUTOEVENTO&lt;&gt;"manual",$M446&lt;&gt;1)),
IF(Import.TipoArredondamento&lt;&gt;"TransfereGOV",
ROUND(OFFSET($P446,0,AQ$13),15-13*ORÇAMENTO!$AF$7)/$H446*OFFSET(ORÇAMENTO!$X$15,ROW(AQ446)-ROW(AQ$15),0),
ROUND(ROUND(OFFSET($P446,0,AQ$13),15-13*ORÇAMENTO!$AF$7)*OFFSET(ORÇAMENTO!$W$15,ROW(AQ446)-ROW(AQ$15),0),15-13*ORÇAMENTO!$AF$11)),0)</f>
        <v>0</v>
      </c>
      <c r="AR446" s="545">
        <f ca="1">IF(AND($D446="Serviço",AR$12&lt;&gt;0,$H446&gt;0,OR(AUTOEVENTO&lt;&gt;"manual",$M446&lt;&gt;1)),
IF(Import.TipoArredondamento&lt;&gt;"TransfereGOV",
ROUND(OFFSET($P446,0,AR$13),15-13*ORÇAMENTO!$AF$7)/$H446*OFFSET(ORÇAMENTO!$X$15,ROW(AR446)-ROW(AR$15),0),
ROUND(ROUND(OFFSET($P446,0,AR$13),15-13*ORÇAMENTO!$AF$7)*OFFSET(ORÇAMENTO!$W$15,ROW(AR446)-ROW(AR$15),0),15-13*ORÇAMENTO!$AF$11)),0)</f>
        <v>0</v>
      </c>
      <c r="AS446" s="546">
        <f ca="1">IF(AND($D446="Serviço",AS$12&lt;&gt;0,$H446&gt;0,OR(AUTOEVENTO&lt;&gt;"manual",$M446&lt;&gt;1)),
IF(Import.TipoArredondamento&lt;&gt;"TransfereGOV",
ROUND(OFFSET($P446,0,AS$13),15-13*ORÇAMENTO!$AF$7)/$H446*OFFSET(ORÇAMENTO!$X$15,ROW(AS446)-ROW(AS$15),0),
ROUND(ROUND(OFFSET($P446,0,AS$13),15-13*ORÇAMENTO!$AF$7)*OFFSET(ORÇAMENTO!$W$15,ROW(AS446)-ROW(AS$15),0),15-13*ORÇAMENTO!$AF$11)),0)</f>
        <v>0</v>
      </c>
      <c r="AT446" s="545">
        <f ca="1">IF(AND($D446="Serviço",AT$12&lt;&gt;0,$H446&gt;0,OR(AUTOEVENTO&lt;&gt;"manual",$M446&lt;&gt;1)),
IF(Import.TipoArredondamento&lt;&gt;"TransfereGOV",
ROUND(OFFSET($P446,0,AT$13),15-13*ORÇAMENTO!$AF$7)/$H446*OFFSET(ORÇAMENTO!$X$15,ROW(AT446)-ROW(AT$15),0),
ROUND(ROUND(OFFSET($P446,0,AT$13),15-13*ORÇAMENTO!$AF$7)*OFFSET(ORÇAMENTO!$W$15,ROW(AT446)-ROW(AT$15),0),15-13*ORÇAMENTO!$AF$11)),0)</f>
        <v>0</v>
      </c>
      <c r="AU446" s="545">
        <f ca="1">IF(AND($D446="Serviço",AU$12&lt;&gt;0,$H446&gt;0,OR(AUTOEVENTO&lt;&gt;"manual",$M446&lt;&gt;1)),
IF(Import.TipoArredondamento&lt;&gt;"TransfereGOV",
ROUND(OFFSET($P446,0,AU$13),15-13*ORÇAMENTO!$AF$7)/$H446*OFFSET(ORÇAMENTO!$X$15,ROW(AU446)-ROW(AU$15),0),
ROUND(ROUND(OFFSET($P446,0,AU$13),15-13*ORÇAMENTO!$AF$7)*OFFSET(ORÇAMENTO!$W$15,ROW(AU446)-ROW(AU$15),0),15-13*ORÇAMENTO!$AF$11)),0)</f>
        <v>0</v>
      </c>
      <c r="AV446" s="545">
        <f ca="1">IF(AND($D446="Serviço",AV$12&lt;&gt;0,$H446&gt;0,OR(AUTOEVENTO&lt;&gt;"manual",$M446&lt;&gt;1)),
IF(Import.TipoArredondamento&lt;&gt;"TransfereGOV",
ROUND(OFFSET($P446,0,AV$13),15-13*ORÇAMENTO!$AF$7)/$H446*OFFSET(ORÇAMENTO!$X$15,ROW(AV446)-ROW(AV$15),0),
ROUND(ROUND(OFFSET($P446,0,AV$13),15-13*ORÇAMENTO!$AF$7)*OFFSET(ORÇAMENTO!$W$15,ROW(AV446)-ROW(AV$15),0),15-13*ORÇAMENTO!$AF$11)),0)</f>
        <v>0</v>
      </c>
      <c r="AW446" s="545">
        <f ca="1">IF(AND($D446="Serviço",AW$12&lt;&gt;0,$H446&gt;0,OR(AUTOEVENTO&lt;&gt;"manual",$M446&lt;&gt;1)),
IF(Import.TipoArredondamento&lt;&gt;"TransfereGOV",
ROUND(OFFSET($P446,0,AW$13),15-13*ORÇAMENTO!$AF$7)/$H446*OFFSET(ORÇAMENTO!$X$15,ROW(AW446)-ROW(AW$15),0),
ROUND(ROUND(OFFSET($P446,0,AW$13),15-13*ORÇAMENTO!$AF$7)*OFFSET(ORÇAMENTO!$W$15,ROW(AW446)-ROW(AW$15),0),15-13*ORÇAMENTO!$AF$11)),0)</f>
        <v>0</v>
      </c>
      <c r="AX446" s="545">
        <f ca="1">IF(AND($D446="Serviço",AX$12&lt;&gt;0,$H446&gt;0,OR(AUTOEVENTO&lt;&gt;"manual",$M446&lt;&gt;1)),
IF(Import.TipoArredondamento&lt;&gt;"TransfereGOV",
ROUND(OFFSET($P446,0,AX$13),15-13*ORÇAMENTO!$AF$7)/$H446*OFFSET(ORÇAMENTO!$X$15,ROW(AX446)-ROW(AX$15),0),
ROUND(ROUND(OFFSET($P446,0,AX$13),15-13*ORÇAMENTO!$AF$7)*OFFSET(ORÇAMENTO!$W$15,ROW(AX446)-ROW(AX$15),0),15-13*ORÇAMENTO!$AF$11)),0)</f>
        <v>0</v>
      </c>
      <c r="AY446" s="545">
        <f ca="1">IF(AND($D446="Serviço",AY$12&lt;&gt;0,$H446&gt;0,OR(AUTOEVENTO&lt;&gt;"manual",$M446&lt;&gt;1)),
IF(Import.TipoArredondamento&lt;&gt;"TransfereGOV",
ROUND(OFFSET($P446,0,AY$13),15-13*ORÇAMENTO!$AF$7)/$H446*OFFSET(ORÇAMENTO!$X$15,ROW(AY446)-ROW(AY$15),0),
ROUND(ROUND(OFFSET($P446,0,AY$13),15-13*ORÇAMENTO!$AF$7)*OFFSET(ORÇAMENTO!$W$15,ROW(AY446)-ROW(AY$15),0),15-13*ORÇAMENTO!$AF$11)),0)</f>
        <v>0</v>
      </c>
      <c r="AZ446" s="545">
        <f ca="1">IF(AND($D446="Serviço",AZ$12&lt;&gt;0,$H446&gt;0,OR(AUTOEVENTO&lt;&gt;"manual",$M446&lt;&gt;1)),
IF(Import.TipoArredondamento&lt;&gt;"TransfereGOV",
ROUND(OFFSET($P446,0,AZ$13),15-13*ORÇAMENTO!$AF$7)/$H446*OFFSET(ORÇAMENTO!$X$15,ROW(AZ446)-ROW(AZ$15),0),
ROUND(ROUND(OFFSET($P446,0,AZ$13),15-13*ORÇAMENTO!$AF$7)*OFFSET(ORÇAMENTO!$W$15,ROW(AZ446)-ROW(AZ$15),0),15-13*ORÇAMENTO!$AF$11)),0)</f>
        <v>0</v>
      </c>
      <c r="BA446" s="546">
        <f ca="1">IF(AND($D446="Serviço",BA$12&lt;&gt;0,$H446&gt;0,OR(AUTOEVENTO&lt;&gt;"manual",$M446&lt;&gt;1)),
IF(Import.TipoArredondamento&lt;&gt;"TransfereGOV",
ROUND(OFFSET($P446,0,BA$13),15-13*ORÇAMENTO!$AF$7)/$H446*OFFSET(ORÇAMENTO!$X$15,ROW(BA446)-ROW(BA$15),0),
ROUND(ROUND(OFFSET($P446,0,BA$13),15-13*ORÇAMENTO!$AF$7)*OFFSET(ORÇAMENTO!$W$15,ROW(BA446)-ROW(BA$15),0),15-13*ORÇAMENTO!$AF$11)),0)</f>
        <v>0</v>
      </c>
      <c r="BC446" s="181">
        <f ca="1">IF($D446&lt;&gt;"Serviço",0,IF(AND(AUTOEVENTO="Manual",$M446=1),0,IF(OFFSET(CRONOPLE!$F$14,$M446,BC$13)="",10^12,OFFSET(CRONOPLE!$F$14,$M446,BC$13))))</f>
        <v>10</v>
      </c>
      <c r="BD446" s="181">
        <f ca="1">IF($D446&lt;&gt;"Serviço",0,IF(AND(AUTOEVENTO="Manual",$M446=1),0,IF(OFFSET(CRONOPLE!$F$14,$M446,BD$13)="",10^12,OFFSET(CRONOPLE!$F$14,$M446,BD$13))))</f>
        <v>1000000000000</v>
      </c>
      <c r="BE446" s="181">
        <f ca="1">IF($D446&lt;&gt;"Serviço",0,IF(AND(AUTOEVENTO="Manual",$M446=1),0,IF(OFFSET(CRONOPLE!$F$14,$M446,BE$13)="",10^12,OFFSET(CRONOPLE!$F$14,$M446,BE$13))))</f>
        <v>1000000000000</v>
      </c>
      <c r="BF446" s="181">
        <f ca="1">IF($D446&lt;&gt;"Serviço",0,IF(AND(AUTOEVENTO="Manual",$M446=1),0,IF(OFFSET(CRONOPLE!$F$14,$M446,BF$13)="",10^12,OFFSET(CRONOPLE!$F$14,$M446,BF$13))))</f>
        <v>1000000000000</v>
      </c>
      <c r="BG446" s="181">
        <f ca="1">IF($D446&lt;&gt;"Serviço",0,IF(AND(AUTOEVENTO="Manual",$M446=1),0,IF(OFFSET(CRONOPLE!$F$14,$M446,BG$13)="",10^12,OFFSET(CRONOPLE!$F$14,$M446,BG$13))))</f>
        <v>1000000000000</v>
      </c>
      <c r="BH446" s="181">
        <f ca="1">IF($D446&lt;&gt;"Serviço",0,IF(AND(AUTOEVENTO="Manual",$M446=1),0,IF(OFFSET(CRONOPLE!$F$14,$M446,BH$13)="",10^12,OFFSET(CRONOPLE!$F$14,$M446,BH$13))))</f>
        <v>1000000000000</v>
      </c>
      <c r="BI446" s="181">
        <f ca="1">IF($D446&lt;&gt;"Serviço",0,IF(AND(AUTOEVENTO="Manual",$M446=1),0,IF(OFFSET(CRONOPLE!$F$14,$M446,BI$13)="",10^12,OFFSET(CRONOPLE!$F$14,$M446,BI$13))))</f>
        <v>1000000000000</v>
      </c>
      <c r="BJ446" s="181">
        <f ca="1">IF($D446&lt;&gt;"Serviço",0,IF(AND(AUTOEVENTO="Manual",$M446=1),0,IF(OFFSET(CRONOPLE!$F$14,$M446,BJ$13)="",10^12,OFFSET(CRONOPLE!$F$14,$M446,BJ$13))))</f>
        <v>1000000000000</v>
      </c>
      <c r="BK446" s="181">
        <f ca="1">IF($D446&lt;&gt;"Serviço",0,IF(AND(AUTOEVENTO="Manual",$M446=1),0,IF(OFFSET(CRONOPLE!$F$14,$M446,BK$13)="",10^12,OFFSET(CRONOPLE!$F$14,$M446,BK$13))))</f>
        <v>1000000000000</v>
      </c>
      <c r="BL446" s="181">
        <f ca="1">IF($D446&lt;&gt;"Serviço",0,IF(AND(AUTOEVENTO="Manual",$M446=1),0,IF(OFFSET(CRONOPLE!$F$14,$M446,BL$13)="",10^12,OFFSET(CRONOPLE!$F$14,$M446,BL$13))))</f>
        <v>1000000000000</v>
      </c>
      <c r="BM446" s="181">
        <f ca="1">IF($D446&lt;&gt;"Serviço",0,IF(AND(AUTOEVENTO="Manual",$M446=1),0,IF(OFFSET(CRONOPLE!$F$14,$M446,BM$13)="",10^12,OFFSET(CRONOPLE!$F$14,$M446,BM$13))))</f>
        <v>1000000000000</v>
      </c>
      <c r="BN446" s="181">
        <f ca="1">IF($D446&lt;&gt;"Serviço",0,IF(AND(AUTOEVENTO="Manual",$M446=1),0,IF(OFFSET(CRONOPLE!$F$14,$M446,BN$13)="",10^12,OFFSET(CRONOPLE!$F$14,$M446,BN$13))))</f>
        <v>1000000000000</v>
      </c>
      <c r="BO446" s="181">
        <f ca="1">IF($D446&lt;&gt;"Serviço",0,IF(AND(AUTOEVENTO="Manual",$M446=1),0,IF(OFFSET(CRONOPLE!$F$14,$M446,BO$13)="",10^12,OFFSET(CRONOPLE!$F$14,$M446,BO$13))))</f>
        <v>1000000000000</v>
      </c>
      <c r="BP446" s="181">
        <f ca="1">IF($D446&lt;&gt;"Serviço",0,IF(AND(AUTOEVENTO="Manual",$M446=1),0,IF(OFFSET(CRONOPLE!$F$14,$M446,BP$13)="",10^12,OFFSET(CRONOPLE!$F$14,$M446,BP$13))))</f>
        <v>1000000000000</v>
      </c>
      <c r="BQ446" s="181">
        <f ca="1">IF($D446&lt;&gt;"Serviço",0,IF(AND(AUTOEVENTO="Manual",$M446=1),0,IF(OFFSET(CRONOPLE!$F$14,$M446,BQ$13)="",10^12,OFFSET(CRONOPLE!$F$14,$M446,BQ$13))))</f>
        <v>1000000000000</v>
      </c>
      <c r="BR446" s="181">
        <f ca="1">IF($D446&lt;&gt;"Serviço",0,IF(AND(AUTOEVENTO="Manual",$M446=1),0,IF(OFFSET(CRONOPLE!$F$14,$M446,BR$13)="",10^12,OFFSET(CRONOPLE!$F$14,$M446,BR$13))))</f>
        <v>1000000000000</v>
      </c>
      <c r="BS446" s="181">
        <f ca="1">IF($D446&lt;&gt;"Serviço",0,IF(AND(AUTOEVENTO="Manual",$M446=1),0,IF(OFFSET(CRONOPLE!$F$14,$M446,BS$13)="",10^12,OFFSET(CRONOPLE!$F$14,$M446,BS$13))))</f>
        <v>1000000000000</v>
      </c>
      <c r="BT446" s="181">
        <f ca="1">IF($D446&lt;&gt;"Serviço",0,IF(AND(AUTOEVENTO="Manual",$M446=1),0,IF(OFFSET(CRONOPLE!$F$14,$M446,BT$13)="",10^12,OFFSET(CRONOPLE!$F$14,$M446,BT$13))))</f>
        <v>1000000000000</v>
      </c>
      <c r="BV446" s="182">
        <f ca="1">IF($D446&lt;&gt;"Serviço",0,IF(OR(AND(AUTOEVENTO="Manual",$M446=1),$M446&gt;(ROW(PLE.lastrow)-ROW(PLE.firstrow))),0,IF(OFFSET(PLE!$G$14,$M446,BV$13)="",10^12,OFFSET(PLE!$G$14,$M446,BV$13))))</f>
        <v>1000000000000</v>
      </c>
      <c r="BW446" s="182">
        <f ca="1">IF($D446&lt;&gt;"Serviço",0,IF(OR(AND(AUTOEVENTO="Manual",$M446=1),$M446&gt;(ROW(PLE.lastrow)-ROW(PLE.firstrow))),0,IF(OFFSET(PLE!$G$14,$M446,BW$13)="",10^12,OFFSET(PLE!$G$14,$M446,BW$13))))</f>
        <v>1000000000000</v>
      </c>
      <c r="BX446" s="182">
        <f ca="1">IF($D446&lt;&gt;"Serviço",0,IF(OR(AND(AUTOEVENTO="Manual",$M446=1),$M446&gt;(ROW(PLE.lastrow)-ROW(PLE.firstrow))),0,IF(OFFSET(PLE!$G$14,$M446,BX$13)="",10^12,OFFSET(PLE!$G$14,$M446,BX$13))))</f>
        <v>1000000000000</v>
      </c>
      <c r="BY446" s="182">
        <f ca="1">IF($D446&lt;&gt;"Serviço",0,IF(OR(AND(AUTOEVENTO="Manual",$M446=1),$M446&gt;(ROW(PLE.lastrow)-ROW(PLE.firstrow))),0,IF(OFFSET(PLE!$G$14,$M446,BY$13)="",10^12,OFFSET(PLE!$G$14,$M446,BY$13))))</f>
        <v>1000000000000</v>
      </c>
      <c r="BZ446" s="182">
        <f ca="1">IF($D446&lt;&gt;"Serviço",0,IF(OR(AND(AUTOEVENTO="Manual",$M446=1),$M446&gt;(ROW(PLE.lastrow)-ROW(PLE.firstrow))),0,IF(OFFSET(PLE!$G$14,$M446,BZ$13)="",10^12,OFFSET(PLE!$G$14,$M446,BZ$13))))</f>
        <v>1000000000000</v>
      </c>
      <c r="CA446" s="182">
        <f ca="1">IF($D446&lt;&gt;"Serviço",0,IF(OR(AND(AUTOEVENTO="Manual",$M446=1),$M446&gt;(ROW(PLE.lastrow)-ROW(PLE.firstrow))),0,IF(OFFSET(PLE!$G$14,$M446,CA$13)="",10^12,OFFSET(PLE!$G$14,$M446,CA$13))))</f>
        <v>1000000000000</v>
      </c>
      <c r="CB446" s="182">
        <f ca="1">IF($D446&lt;&gt;"Serviço",0,IF(OR(AND(AUTOEVENTO="Manual",$M446=1),$M446&gt;(ROW(PLE.lastrow)-ROW(PLE.firstrow))),0,IF(OFFSET(PLE!$G$14,$M446,CB$13)="",10^12,OFFSET(PLE!$G$14,$M446,CB$13))))</f>
        <v>1000000000000</v>
      </c>
      <c r="CC446" s="182">
        <f ca="1">IF($D446&lt;&gt;"Serviço",0,IF(OR(AND(AUTOEVENTO="Manual",$M446=1),$M446&gt;(ROW(PLE.lastrow)-ROW(PLE.firstrow))),0,IF(OFFSET(PLE!$G$14,$M446,CC$13)="",10^12,OFFSET(PLE!$G$14,$M446,CC$13))))</f>
        <v>1000000000000</v>
      </c>
      <c r="CD446" s="182">
        <f ca="1">IF($D446&lt;&gt;"Serviço",0,IF(OR(AND(AUTOEVENTO="Manual",$M446=1),$M446&gt;(ROW(PLE.lastrow)-ROW(PLE.firstrow))),0,IF(OFFSET(PLE!$G$14,$M446,CD$13)="",10^12,OFFSET(PLE!$G$14,$M446,CD$13))))</f>
        <v>1000000000000</v>
      </c>
      <c r="CE446" s="182">
        <f ca="1">IF($D446&lt;&gt;"Serviço",0,IF(OR(AND(AUTOEVENTO="Manual",$M446=1),$M446&gt;(ROW(PLE.lastrow)-ROW(PLE.firstrow))),0,IF(OFFSET(PLE!$G$14,$M446,CE$13)="",10^12,OFFSET(PLE!$G$14,$M446,CE$13))))</f>
        <v>1000000000000</v>
      </c>
      <c r="CF446" s="182">
        <f ca="1">IF($D446&lt;&gt;"Serviço",0,IF(OR(AND(AUTOEVENTO="Manual",$M446=1),$M446&gt;(ROW(PLE.lastrow)-ROW(PLE.firstrow))),0,IF(OFFSET(PLE!$G$14,$M446,CF$13)="",10^12,OFFSET(PLE!$G$14,$M446,CF$13))))</f>
        <v>1000000000000</v>
      </c>
      <c r="CG446" s="182">
        <f ca="1">IF($D446&lt;&gt;"Serviço",0,IF(OR(AND(AUTOEVENTO="Manual",$M446=1),$M446&gt;(ROW(PLE.lastrow)-ROW(PLE.firstrow))),0,IF(OFFSET(PLE!$G$14,$M446,CG$13)="",10^12,OFFSET(PLE!$G$14,$M446,CG$13))))</f>
        <v>1000000000000</v>
      </c>
      <c r="CH446" s="182">
        <f ca="1">IF($D446&lt;&gt;"Serviço",0,IF(OR(AND(AUTOEVENTO="Manual",$M446=1),$M446&gt;(ROW(PLE.lastrow)-ROW(PLE.firstrow))),0,IF(OFFSET(PLE!$G$14,$M446,CH$13)="",10^12,OFFSET(PLE!$G$14,$M446,CH$13))))</f>
        <v>1000000000000</v>
      </c>
      <c r="CI446" s="182">
        <f ca="1">IF($D446&lt;&gt;"Serviço",0,IF(OR(AND(AUTOEVENTO="Manual",$M446=1),$M446&gt;(ROW(PLE.lastrow)-ROW(PLE.firstrow))),0,IF(OFFSET(PLE!$G$14,$M446,CI$13)="",10^12,OFFSET(PLE!$G$14,$M446,CI$13))))</f>
        <v>1000000000000</v>
      </c>
      <c r="CJ446" s="182">
        <f ca="1">IF($D446&lt;&gt;"Serviço",0,IF(OR(AND(AUTOEVENTO="Manual",$M446=1),$M446&gt;(ROW(PLE.lastrow)-ROW(PLE.firstrow))),0,IF(OFFSET(PLE!$G$14,$M446,CJ$13)="",10^12,OFFSET(PLE!$G$14,$M446,CJ$13))))</f>
        <v>1000000000000</v>
      </c>
      <c r="CK446" s="182">
        <f ca="1">IF($D446&lt;&gt;"Serviço",0,IF(OR(AND(AUTOEVENTO="Manual",$M446=1),$M446&gt;(ROW(PLE.lastrow)-ROW(PLE.firstrow))),0,IF(OFFSET(PLE!$G$14,$M446,CK$13)="",10^12,OFFSET(PLE!$G$14,$M446,CK$13))))</f>
        <v>1000000000000</v>
      </c>
      <c r="CL446" s="182">
        <f ca="1">IF($D446&lt;&gt;"Serviço",0,IF(OR(AND(AUTOEVENTO="Manual",$M446=1),$M446&gt;(ROW(PLE.lastrow)-ROW(PLE.firstrow))),0,IF(OFFSET(PLE!$G$14,$M446,CL$13)="",10^12,OFFSET(PLE!$G$14,$M446,CL$13))))</f>
        <v>1000000000000</v>
      </c>
      <c r="CM446" s="182">
        <f ca="1">IF($D446&lt;&gt;"Serviço",0,IF(OR(AND(AUTOEVENTO="Manual",$M446=1),$M446&gt;(ROW(PLE.lastrow)-ROW(PLE.firstrow))),0,IF(OFFSET(PLE!$G$14,$M446,CM$13)="",10^12,OFFSET(PLE!$G$14,$M446,CM$13))))</f>
        <v>1000000000000</v>
      </c>
    </row>
    <row r="447" spans="1:91" ht="38.25" x14ac:dyDescent="0.2">
      <c r="A447" s="7" t="str">
        <f t="shared" ca="1" si="15"/>
        <v>421</v>
      </c>
      <c r="B447" s="7" t="str">
        <f ca="1">OFFSET(ORÇAMENTO!C$15,ROW(B447)-ROW(B$15),0)</f>
        <v>S</v>
      </c>
      <c r="C447" s="7" t="str">
        <f ca="1">OFFSET(ORÇAMENTO!L$15,ROW(C447)-ROW(C$15),0)</f>
        <v/>
      </c>
      <c r="D447" s="118" t="str">
        <f ca="1">OFFSET(ORÇAMENTO!N$15,ROW(D447)-ROW(D$15),0)</f>
        <v>Serviço</v>
      </c>
      <c r="E447" s="119" t="str">
        <f ca="1">OFFSET(ORÇAMENTO!O$15,ROW(E447)-ROW(E$15),0)</f>
        <v>-</v>
      </c>
      <c r="F447" s="172" t="str">
        <f ca="1">OFFSET(ORÇAMENTO!R$15,ROW(F447)-ROW(F$15),0)</f>
        <v>(abra o arquivo 'Referência 06-2024.xlsm)</v>
      </c>
      <c r="G447" s="173" t="str">
        <f ca="1">IF($D447&lt;&gt;"Serviço","",OFFSET(ORÇAMENTO!S$15,ROW(G447)-ROW(G$15),0))</f>
        <v>-</v>
      </c>
      <c r="H447" s="124">
        <f ca="1">IF($D447&lt;&gt;"Serviço",0,IF(ACOMPANHAMENTO="BM",ROUND(OFFSET(ORÇAMENTO!AJ$15,ROW(H447)-ROW(H$15),0),15-13*ORÇAMENTO!$AF$7),SUMPRODUCT(($Q$12:$AI$12&lt;&gt;"")*ROUND($Q447:$AI447,15-13*ORÇAMENTO!$AF$7))))</f>
        <v>8.1999999999999993</v>
      </c>
      <c r="I447" s="561" t="s">
        <v>1107</v>
      </c>
      <c r="K447" s="174"/>
      <c r="L447" s="175" t="s">
        <v>255</v>
      </c>
      <c r="M447" s="176">
        <f ca="1">IF($D447&lt;&gt;"Serviço","",IF(AUTOEVENTO="manual",$A447,IF(ISERROR(MATCH($A447,$A$15:OFFSET($A447,-1,0),0)),MAX($M$15:OFFSET(M447,-1,0))+1,INDEX($M$15:OFFSET(M447,-1,0),MATCH($A447,$A$15:OFFSET($A447,-1,0),0)))))</f>
        <v>49</v>
      </c>
      <c r="N447" s="177" t="str">
        <f ca="1">IF($D447&lt;&gt;"Serviço","",IF(AUTOEVENTO="Manual",IF($A447=0,"&lt;-- defina o número do agrupador",OFFSET(EVENTOS!$D$14,$A447,0)),OFFSET($F$15,$A447,0)))</f>
        <v>SISTEMA DE PROTEÇÃO CONTRA INCÊNDIO - TUBULAÇÕES E CONEXÕES</v>
      </c>
      <c r="O447" s="178"/>
      <c r="Q447" s="178">
        <v>8.1999999999999993</v>
      </c>
      <c r="R447" s="179"/>
      <c r="S447" s="179"/>
      <c r="T447" s="179"/>
      <c r="U447" s="179"/>
      <c r="V447" s="179"/>
      <c r="W447" s="179"/>
      <c r="X447" s="179"/>
      <c r="Y447" s="179"/>
      <c r="Z447" s="180"/>
      <c r="AA447" s="179"/>
      <c r="AB447" s="179"/>
      <c r="AC447" s="179"/>
      <c r="AD447" s="179"/>
      <c r="AE447" s="179"/>
      <c r="AF447" s="179"/>
      <c r="AG447" s="179"/>
      <c r="AH447" s="180"/>
      <c r="AJ447" s="544">
        <f ca="1">IF(AND($D447="Serviço",AJ$12&lt;&gt;0,$H447&gt;0,OR(AUTOEVENTO&lt;&gt;"manual",$M447&lt;&gt;1)),
IF(Import.TipoArredondamento&lt;&gt;"TransfereGOV",
ROUND(OFFSET($P447,0,AJ$13),15-13*ORÇAMENTO!$AF$7)/$H447*OFFSET(ORÇAMENTO!$X$15,ROW(AJ447)-ROW(AJ$15),0),
ROUND(ROUND(OFFSET($P447,0,AJ$13),15-13*ORÇAMENTO!$AF$7)*OFFSET(ORÇAMENTO!$W$15,ROW(AJ447)-ROW(AJ$15),0),15-13*ORÇAMENTO!$AF$11)),0)</f>
        <v>0</v>
      </c>
      <c r="AK447" s="545">
        <f ca="1">IF(AND($D447="Serviço",AK$12&lt;&gt;0,$H447&gt;0,OR(AUTOEVENTO&lt;&gt;"manual",$M447&lt;&gt;1)),
IF(Import.TipoArredondamento&lt;&gt;"TransfereGOV",
ROUND(OFFSET($P447,0,AK$13),15-13*ORÇAMENTO!$AF$7)/$H447*OFFSET(ORÇAMENTO!$X$15,ROW(AK447)-ROW(AK$15),0),
ROUND(ROUND(OFFSET($P447,0,AK$13),15-13*ORÇAMENTO!$AF$7)*OFFSET(ORÇAMENTO!$W$15,ROW(AK447)-ROW(AK$15),0),15-13*ORÇAMENTO!$AF$11)),0)</f>
        <v>0</v>
      </c>
      <c r="AL447" s="545">
        <f ca="1">IF(AND($D447="Serviço",AL$12&lt;&gt;0,$H447&gt;0,OR(AUTOEVENTO&lt;&gt;"manual",$M447&lt;&gt;1)),
IF(Import.TipoArredondamento&lt;&gt;"TransfereGOV",
ROUND(OFFSET($P447,0,AL$13),15-13*ORÇAMENTO!$AF$7)/$H447*OFFSET(ORÇAMENTO!$X$15,ROW(AL447)-ROW(AL$15),0),
ROUND(ROUND(OFFSET($P447,0,AL$13),15-13*ORÇAMENTO!$AF$7)*OFFSET(ORÇAMENTO!$W$15,ROW(AL447)-ROW(AL$15),0),15-13*ORÇAMENTO!$AF$11)),0)</f>
        <v>0</v>
      </c>
      <c r="AM447" s="545">
        <f ca="1">IF(AND($D447="Serviço",AM$12&lt;&gt;0,$H447&gt;0,OR(AUTOEVENTO&lt;&gt;"manual",$M447&lt;&gt;1)),
IF(Import.TipoArredondamento&lt;&gt;"TransfereGOV",
ROUND(OFFSET($P447,0,AM$13),15-13*ORÇAMENTO!$AF$7)/$H447*OFFSET(ORÇAMENTO!$X$15,ROW(AM447)-ROW(AM$15),0),
ROUND(ROUND(OFFSET($P447,0,AM$13),15-13*ORÇAMENTO!$AF$7)*OFFSET(ORÇAMENTO!$W$15,ROW(AM447)-ROW(AM$15),0),15-13*ORÇAMENTO!$AF$11)),0)</f>
        <v>0</v>
      </c>
      <c r="AN447" s="545">
        <f ca="1">IF(AND($D447="Serviço",AN$12&lt;&gt;0,$H447&gt;0,OR(AUTOEVENTO&lt;&gt;"manual",$M447&lt;&gt;1)),
IF(Import.TipoArredondamento&lt;&gt;"TransfereGOV",
ROUND(OFFSET($P447,0,AN$13),15-13*ORÇAMENTO!$AF$7)/$H447*OFFSET(ORÇAMENTO!$X$15,ROW(AN447)-ROW(AN$15),0),
ROUND(ROUND(OFFSET($P447,0,AN$13),15-13*ORÇAMENTO!$AF$7)*OFFSET(ORÇAMENTO!$W$15,ROW(AN447)-ROW(AN$15),0),15-13*ORÇAMENTO!$AF$11)),0)</f>
        <v>0</v>
      </c>
      <c r="AO447" s="545">
        <f ca="1">IF(AND($D447="Serviço",AO$12&lt;&gt;0,$H447&gt;0,OR(AUTOEVENTO&lt;&gt;"manual",$M447&lt;&gt;1)),
IF(Import.TipoArredondamento&lt;&gt;"TransfereGOV",
ROUND(OFFSET($P447,0,AO$13),15-13*ORÇAMENTO!$AF$7)/$H447*OFFSET(ORÇAMENTO!$X$15,ROW(AO447)-ROW(AO$15),0),
ROUND(ROUND(OFFSET($P447,0,AO$13),15-13*ORÇAMENTO!$AF$7)*OFFSET(ORÇAMENTO!$W$15,ROW(AO447)-ROW(AO$15),0),15-13*ORÇAMENTO!$AF$11)),0)</f>
        <v>0</v>
      </c>
      <c r="AP447" s="545">
        <f ca="1">IF(AND($D447="Serviço",AP$12&lt;&gt;0,$H447&gt;0,OR(AUTOEVENTO&lt;&gt;"manual",$M447&lt;&gt;1)),
IF(Import.TipoArredondamento&lt;&gt;"TransfereGOV",
ROUND(OFFSET($P447,0,AP$13),15-13*ORÇAMENTO!$AF$7)/$H447*OFFSET(ORÇAMENTO!$X$15,ROW(AP447)-ROW(AP$15),0),
ROUND(ROUND(OFFSET($P447,0,AP$13),15-13*ORÇAMENTO!$AF$7)*OFFSET(ORÇAMENTO!$W$15,ROW(AP447)-ROW(AP$15),0),15-13*ORÇAMENTO!$AF$11)),0)</f>
        <v>0</v>
      </c>
      <c r="AQ447" s="545">
        <f ca="1">IF(AND($D447="Serviço",AQ$12&lt;&gt;0,$H447&gt;0,OR(AUTOEVENTO&lt;&gt;"manual",$M447&lt;&gt;1)),
IF(Import.TipoArredondamento&lt;&gt;"TransfereGOV",
ROUND(OFFSET($P447,0,AQ$13),15-13*ORÇAMENTO!$AF$7)/$H447*OFFSET(ORÇAMENTO!$X$15,ROW(AQ447)-ROW(AQ$15),0),
ROUND(ROUND(OFFSET($P447,0,AQ$13),15-13*ORÇAMENTO!$AF$7)*OFFSET(ORÇAMENTO!$W$15,ROW(AQ447)-ROW(AQ$15),0),15-13*ORÇAMENTO!$AF$11)),0)</f>
        <v>0</v>
      </c>
      <c r="AR447" s="545">
        <f ca="1">IF(AND($D447="Serviço",AR$12&lt;&gt;0,$H447&gt;0,OR(AUTOEVENTO&lt;&gt;"manual",$M447&lt;&gt;1)),
IF(Import.TipoArredondamento&lt;&gt;"TransfereGOV",
ROUND(OFFSET($P447,0,AR$13),15-13*ORÇAMENTO!$AF$7)/$H447*OFFSET(ORÇAMENTO!$X$15,ROW(AR447)-ROW(AR$15),0),
ROUND(ROUND(OFFSET($P447,0,AR$13),15-13*ORÇAMENTO!$AF$7)*OFFSET(ORÇAMENTO!$W$15,ROW(AR447)-ROW(AR$15),0),15-13*ORÇAMENTO!$AF$11)),0)</f>
        <v>0</v>
      </c>
      <c r="AS447" s="546">
        <f ca="1">IF(AND($D447="Serviço",AS$12&lt;&gt;0,$H447&gt;0,OR(AUTOEVENTO&lt;&gt;"manual",$M447&lt;&gt;1)),
IF(Import.TipoArredondamento&lt;&gt;"TransfereGOV",
ROUND(OFFSET($P447,0,AS$13),15-13*ORÇAMENTO!$AF$7)/$H447*OFFSET(ORÇAMENTO!$X$15,ROW(AS447)-ROW(AS$15),0),
ROUND(ROUND(OFFSET($P447,0,AS$13),15-13*ORÇAMENTO!$AF$7)*OFFSET(ORÇAMENTO!$W$15,ROW(AS447)-ROW(AS$15),0),15-13*ORÇAMENTO!$AF$11)),0)</f>
        <v>0</v>
      </c>
      <c r="AT447" s="545">
        <f ca="1">IF(AND($D447="Serviço",AT$12&lt;&gt;0,$H447&gt;0,OR(AUTOEVENTO&lt;&gt;"manual",$M447&lt;&gt;1)),
IF(Import.TipoArredondamento&lt;&gt;"TransfereGOV",
ROUND(OFFSET($P447,0,AT$13),15-13*ORÇAMENTO!$AF$7)/$H447*OFFSET(ORÇAMENTO!$X$15,ROW(AT447)-ROW(AT$15),0),
ROUND(ROUND(OFFSET($P447,0,AT$13),15-13*ORÇAMENTO!$AF$7)*OFFSET(ORÇAMENTO!$W$15,ROW(AT447)-ROW(AT$15),0),15-13*ORÇAMENTO!$AF$11)),0)</f>
        <v>0</v>
      </c>
      <c r="AU447" s="545">
        <f ca="1">IF(AND($D447="Serviço",AU$12&lt;&gt;0,$H447&gt;0,OR(AUTOEVENTO&lt;&gt;"manual",$M447&lt;&gt;1)),
IF(Import.TipoArredondamento&lt;&gt;"TransfereGOV",
ROUND(OFFSET($P447,0,AU$13),15-13*ORÇAMENTO!$AF$7)/$H447*OFFSET(ORÇAMENTO!$X$15,ROW(AU447)-ROW(AU$15),0),
ROUND(ROUND(OFFSET($P447,0,AU$13),15-13*ORÇAMENTO!$AF$7)*OFFSET(ORÇAMENTO!$W$15,ROW(AU447)-ROW(AU$15),0),15-13*ORÇAMENTO!$AF$11)),0)</f>
        <v>0</v>
      </c>
      <c r="AV447" s="545">
        <f ca="1">IF(AND($D447="Serviço",AV$12&lt;&gt;0,$H447&gt;0,OR(AUTOEVENTO&lt;&gt;"manual",$M447&lt;&gt;1)),
IF(Import.TipoArredondamento&lt;&gt;"TransfereGOV",
ROUND(OFFSET($P447,0,AV$13),15-13*ORÇAMENTO!$AF$7)/$H447*OFFSET(ORÇAMENTO!$X$15,ROW(AV447)-ROW(AV$15),0),
ROUND(ROUND(OFFSET($P447,0,AV$13),15-13*ORÇAMENTO!$AF$7)*OFFSET(ORÇAMENTO!$W$15,ROW(AV447)-ROW(AV$15),0),15-13*ORÇAMENTO!$AF$11)),0)</f>
        <v>0</v>
      </c>
      <c r="AW447" s="545">
        <f ca="1">IF(AND($D447="Serviço",AW$12&lt;&gt;0,$H447&gt;0,OR(AUTOEVENTO&lt;&gt;"manual",$M447&lt;&gt;1)),
IF(Import.TipoArredondamento&lt;&gt;"TransfereGOV",
ROUND(OFFSET($P447,0,AW$13),15-13*ORÇAMENTO!$AF$7)/$H447*OFFSET(ORÇAMENTO!$X$15,ROW(AW447)-ROW(AW$15),0),
ROUND(ROUND(OFFSET($P447,0,AW$13),15-13*ORÇAMENTO!$AF$7)*OFFSET(ORÇAMENTO!$W$15,ROW(AW447)-ROW(AW$15),0),15-13*ORÇAMENTO!$AF$11)),0)</f>
        <v>0</v>
      </c>
      <c r="AX447" s="545">
        <f ca="1">IF(AND($D447="Serviço",AX$12&lt;&gt;0,$H447&gt;0,OR(AUTOEVENTO&lt;&gt;"manual",$M447&lt;&gt;1)),
IF(Import.TipoArredondamento&lt;&gt;"TransfereGOV",
ROUND(OFFSET($P447,0,AX$13),15-13*ORÇAMENTO!$AF$7)/$H447*OFFSET(ORÇAMENTO!$X$15,ROW(AX447)-ROW(AX$15),0),
ROUND(ROUND(OFFSET($P447,0,AX$13),15-13*ORÇAMENTO!$AF$7)*OFFSET(ORÇAMENTO!$W$15,ROW(AX447)-ROW(AX$15),0),15-13*ORÇAMENTO!$AF$11)),0)</f>
        <v>0</v>
      </c>
      <c r="AY447" s="545">
        <f ca="1">IF(AND($D447="Serviço",AY$12&lt;&gt;0,$H447&gt;0,OR(AUTOEVENTO&lt;&gt;"manual",$M447&lt;&gt;1)),
IF(Import.TipoArredondamento&lt;&gt;"TransfereGOV",
ROUND(OFFSET($P447,0,AY$13),15-13*ORÇAMENTO!$AF$7)/$H447*OFFSET(ORÇAMENTO!$X$15,ROW(AY447)-ROW(AY$15),0),
ROUND(ROUND(OFFSET($P447,0,AY$13),15-13*ORÇAMENTO!$AF$7)*OFFSET(ORÇAMENTO!$W$15,ROW(AY447)-ROW(AY$15),0),15-13*ORÇAMENTO!$AF$11)),0)</f>
        <v>0</v>
      </c>
      <c r="AZ447" s="545">
        <f ca="1">IF(AND($D447="Serviço",AZ$12&lt;&gt;0,$H447&gt;0,OR(AUTOEVENTO&lt;&gt;"manual",$M447&lt;&gt;1)),
IF(Import.TipoArredondamento&lt;&gt;"TransfereGOV",
ROUND(OFFSET($P447,0,AZ$13),15-13*ORÇAMENTO!$AF$7)/$H447*OFFSET(ORÇAMENTO!$X$15,ROW(AZ447)-ROW(AZ$15),0),
ROUND(ROUND(OFFSET($P447,0,AZ$13),15-13*ORÇAMENTO!$AF$7)*OFFSET(ORÇAMENTO!$W$15,ROW(AZ447)-ROW(AZ$15),0),15-13*ORÇAMENTO!$AF$11)),0)</f>
        <v>0</v>
      </c>
      <c r="BA447" s="546">
        <f ca="1">IF(AND($D447="Serviço",BA$12&lt;&gt;0,$H447&gt;0,OR(AUTOEVENTO&lt;&gt;"manual",$M447&lt;&gt;1)),
IF(Import.TipoArredondamento&lt;&gt;"TransfereGOV",
ROUND(OFFSET($P447,0,BA$13),15-13*ORÇAMENTO!$AF$7)/$H447*OFFSET(ORÇAMENTO!$X$15,ROW(BA447)-ROW(BA$15),0),
ROUND(ROUND(OFFSET($P447,0,BA$13),15-13*ORÇAMENTO!$AF$7)*OFFSET(ORÇAMENTO!$W$15,ROW(BA447)-ROW(BA$15),0),15-13*ORÇAMENTO!$AF$11)),0)</f>
        <v>0</v>
      </c>
      <c r="BC447" s="181">
        <f ca="1">IF($D447&lt;&gt;"Serviço",0,IF(AND(AUTOEVENTO="Manual",$M447=1),0,IF(OFFSET(CRONOPLE!$F$14,$M447,BC$13)="",10^12,OFFSET(CRONOPLE!$F$14,$M447,BC$13))))</f>
        <v>10</v>
      </c>
      <c r="BD447" s="181">
        <f ca="1">IF($D447&lt;&gt;"Serviço",0,IF(AND(AUTOEVENTO="Manual",$M447=1),0,IF(OFFSET(CRONOPLE!$F$14,$M447,BD$13)="",10^12,OFFSET(CRONOPLE!$F$14,$M447,BD$13))))</f>
        <v>1000000000000</v>
      </c>
      <c r="BE447" s="181">
        <f ca="1">IF($D447&lt;&gt;"Serviço",0,IF(AND(AUTOEVENTO="Manual",$M447=1),0,IF(OFFSET(CRONOPLE!$F$14,$M447,BE$13)="",10^12,OFFSET(CRONOPLE!$F$14,$M447,BE$13))))</f>
        <v>1000000000000</v>
      </c>
      <c r="BF447" s="181">
        <f ca="1">IF($D447&lt;&gt;"Serviço",0,IF(AND(AUTOEVENTO="Manual",$M447=1),0,IF(OFFSET(CRONOPLE!$F$14,$M447,BF$13)="",10^12,OFFSET(CRONOPLE!$F$14,$M447,BF$13))))</f>
        <v>1000000000000</v>
      </c>
      <c r="BG447" s="181">
        <f ca="1">IF($D447&lt;&gt;"Serviço",0,IF(AND(AUTOEVENTO="Manual",$M447=1),0,IF(OFFSET(CRONOPLE!$F$14,$M447,BG$13)="",10^12,OFFSET(CRONOPLE!$F$14,$M447,BG$13))))</f>
        <v>1000000000000</v>
      </c>
      <c r="BH447" s="181">
        <f ca="1">IF($D447&lt;&gt;"Serviço",0,IF(AND(AUTOEVENTO="Manual",$M447=1),0,IF(OFFSET(CRONOPLE!$F$14,$M447,BH$13)="",10^12,OFFSET(CRONOPLE!$F$14,$M447,BH$13))))</f>
        <v>1000000000000</v>
      </c>
      <c r="BI447" s="181">
        <f ca="1">IF($D447&lt;&gt;"Serviço",0,IF(AND(AUTOEVENTO="Manual",$M447=1),0,IF(OFFSET(CRONOPLE!$F$14,$M447,BI$13)="",10^12,OFFSET(CRONOPLE!$F$14,$M447,BI$13))))</f>
        <v>1000000000000</v>
      </c>
      <c r="BJ447" s="181">
        <f ca="1">IF($D447&lt;&gt;"Serviço",0,IF(AND(AUTOEVENTO="Manual",$M447=1),0,IF(OFFSET(CRONOPLE!$F$14,$M447,BJ$13)="",10^12,OFFSET(CRONOPLE!$F$14,$M447,BJ$13))))</f>
        <v>1000000000000</v>
      </c>
      <c r="BK447" s="181">
        <f ca="1">IF($D447&lt;&gt;"Serviço",0,IF(AND(AUTOEVENTO="Manual",$M447=1),0,IF(OFFSET(CRONOPLE!$F$14,$M447,BK$13)="",10^12,OFFSET(CRONOPLE!$F$14,$M447,BK$13))))</f>
        <v>1000000000000</v>
      </c>
      <c r="BL447" s="181">
        <f ca="1">IF($D447&lt;&gt;"Serviço",0,IF(AND(AUTOEVENTO="Manual",$M447=1),0,IF(OFFSET(CRONOPLE!$F$14,$M447,BL$13)="",10^12,OFFSET(CRONOPLE!$F$14,$M447,BL$13))))</f>
        <v>1000000000000</v>
      </c>
      <c r="BM447" s="181">
        <f ca="1">IF($D447&lt;&gt;"Serviço",0,IF(AND(AUTOEVENTO="Manual",$M447=1),0,IF(OFFSET(CRONOPLE!$F$14,$M447,BM$13)="",10^12,OFFSET(CRONOPLE!$F$14,$M447,BM$13))))</f>
        <v>1000000000000</v>
      </c>
      <c r="BN447" s="181">
        <f ca="1">IF($D447&lt;&gt;"Serviço",0,IF(AND(AUTOEVENTO="Manual",$M447=1),0,IF(OFFSET(CRONOPLE!$F$14,$M447,BN$13)="",10^12,OFFSET(CRONOPLE!$F$14,$M447,BN$13))))</f>
        <v>1000000000000</v>
      </c>
      <c r="BO447" s="181">
        <f ca="1">IF($D447&lt;&gt;"Serviço",0,IF(AND(AUTOEVENTO="Manual",$M447=1),0,IF(OFFSET(CRONOPLE!$F$14,$M447,BO$13)="",10^12,OFFSET(CRONOPLE!$F$14,$M447,BO$13))))</f>
        <v>1000000000000</v>
      </c>
      <c r="BP447" s="181">
        <f ca="1">IF($D447&lt;&gt;"Serviço",0,IF(AND(AUTOEVENTO="Manual",$M447=1),0,IF(OFFSET(CRONOPLE!$F$14,$M447,BP$13)="",10^12,OFFSET(CRONOPLE!$F$14,$M447,BP$13))))</f>
        <v>1000000000000</v>
      </c>
      <c r="BQ447" s="181">
        <f ca="1">IF($D447&lt;&gt;"Serviço",0,IF(AND(AUTOEVENTO="Manual",$M447=1),0,IF(OFFSET(CRONOPLE!$F$14,$M447,BQ$13)="",10^12,OFFSET(CRONOPLE!$F$14,$M447,BQ$13))))</f>
        <v>1000000000000</v>
      </c>
      <c r="BR447" s="181">
        <f ca="1">IF($D447&lt;&gt;"Serviço",0,IF(AND(AUTOEVENTO="Manual",$M447=1),0,IF(OFFSET(CRONOPLE!$F$14,$M447,BR$13)="",10^12,OFFSET(CRONOPLE!$F$14,$M447,BR$13))))</f>
        <v>1000000000000</v>
      </c>
      <c r="BS447" s="181">
        <f ca="1">IF($D447&lt;&gt;"Serviço",0,IF(AND(AUTOEVENTO="Manual",$M447=1),0,IF(OFFSET(CRONOPLE!$F$14,$M447,BS$13)="",10^12,OFFSET(CRONOPLE!$F$14,$M447,BS$13))))</f>
        <v>1000000000000</v>
      </c>
      <c r="BT447" s="181">
        <f ca="1">IF($D447&lt;&gt;"Serviço",0,IF(AND(AUTOEVENTO="Manual",$M447=1),0,IF(OFFSET(CRONOPLE!$F$14,$M447,BT$13)="",10^12,OFFSET(CRONOPLE!$F$14,$M447,BT$13))))</f>
        <v>1000000000000</v>
      </c>
      <c r="BV447" s="182">
        <f ca="1">IF($D447&lt;&gt;"Serviço",0,IF(OR(AND(AUTOEVENTO="Manual",$M447=1),$M447&gt;(ROW(PLE.lastrow)-ROW(PLE.firstrow))),0,IF(OFFSET(PLE!$G$14,$M447,BV$13)="",10^12,OFFSET(PLE!$G$14,$M447,BV$13))))</f>
        <v>1000000000000</v>
      </c>
      <c r="BW447" s="182">
        <f ca="1">IF($D447&lt;&gt;"Serviço",0,IF(OR(AND(AUTOEVENTO="Manual",$M447=1),$M447&gt;(ROW(PLE.lastrow)-ROW(PLE.firstrow))),0,IF(OFFSET(PLE!$G$14,$M447,BW$13)="",10^12,OFFSET(PLE!$G$14,$M447,BW$13))))</f>
        <v>1000000000000</v>
      </c>
      <c r="BX447" s="182">
        <f ca="1">IF($D447&lt;&gt;"Serviço",0,IF(OR(AND(AUTOEVENTO="Manual",$M447=1),$M447&gt;(ROW(PLE.lastrow)-ROW(PLE.firstrow))),0,IF(OFFSET(PLE!$G$14,$M447,BX$13)="",10^12,OFFSET(PLE!$G$14,$M447,BX$13))))</f>
        <v>1000000000000</v>
      </c>
      <c r="BY447" s="182">
        <f ca="1">IF($D447&lt;&gt;"Serviço",0,IF(OR(AND(AUTOEVENTO="Manual",$M447=1),$M447&gt;(ROW(PLE.lastrow)-ROW(PLE.firstrow))),0,IF(OFFSET(PLE!$G$14,$M447,BY$13)="",10^12,OFFSET(PLE!$G$14,$M447,BY$13))))</f>
        <v>1000000000000</v>
      </c>
      <c r="BZ447" s="182">
        <f ca="1">IF($D447&lt;&gt;"Serviço",0,IF(OR(AND(AUTOEVENTO="Manual",$M447=1),$M447&gt;(ROW(PLE.lastrow)-ROW(PLE.firstrow))),0,IF(OFFSET(PLE!$G$14,$M447,BZ$13)="",10^12,OFFSET(PLE!$G$14,$M447,BZ$13))))</f>
        <v>1000000000000</v>
      </c>
      <c r="CA447" s="182">
        <f ca="1">IF($D447&lt;&gt;"Serviço",0,IF(OR(AND(AUTOEVENTO="Manual",$M447=1),$M447&gt;(ROW(PLE.lastrow)-ROW(PLE.firstrow))),0,IF(OFFSET(PLE!$G$14,$M447,CA$13)="",10^12,OFFSET(PLE!$G$14,$M447,CA$13))))</f>
        <v>1000000000000</v>
      </c>
      <c r="CB447" s="182">
        <f ca="1">IF($D447&lt;&gt;"Serviço",0,IF(OR(AND(AUTOEVENTO="Manual",$M447=1),$M447&gt;(ROW(PLE.lastrow)-ROW(PLE.firstrow))),0,IF(OFFSET(PLE!$G$14,$M447,CB$13)="",10^12,OFFSET(PLE!$G$14,$M447,CB$13))))</f>
        <v>1000000000000</v>
      </c>
      <c r="CC447" s="182">
        <f ca="1">IF($D447&lt;&gt;"Serviço",0,IF(OR(AND(AUTOEVENTO="Manual",$M447=1),$M447&gt;(ROW(PLE.lastrow)-ROW(PLE.firstrow))),0,IF(OFFSET(PLE!$G$14,$M447,CC$13)="",10^12,OFFSET(PLE!$G$14,$M447,CC$13))))</f>
        <v>1000000000000</v>
      </c>
      <c r="CD447" s="182">
        <f ca="1">IF($D447&lt;&gt;"Serviço",0,IF(OR(AND(AUTOEVENTO="Manual",$M447=1),$M447&gt;(ROW(PLE.lastrow)-ROW(PLE.firstrow))),0,IF(OFFSET(PLE!$G$14,$M447,CD$13)="",10^12,OFFSET(PLE!$G$14,$M447,CD$13))))</f>
        <v>1000000000000</v>
      </c>
      <c r="CE447" s="182">
        <f ca="1">IF($D447&lt;&gt;"Serviço",0,IF(OR(AND(AUTOEVENTO="Manual",$M447=1),$M447&gt;(ROW(PLE.lastrow)-ROW(PLE.firstrow))),0,IF(OFFSET(PLE!$G$14,$M447,CE$13)="",10^12,OFFSET(PLE!$G$14,$M447,CE$13))))</f>
        <v>1000000000000</v>
      </c>
      <c r="CF447" s="182">
        <f ca="1">IF($D447&lt;&gt;"Serviço",0,IF(OR(AND(AUTOEVENTO="Manual",$M447=1),$M447&gt;(ROW(PLE.lastrow)-ROW(PLE.firstrow))),0,IF(OFFSET(PLE!$G$14,$M447,CF$13)="",10^12,OFFSET(PLE!$G$14,$M447,CF$13))))</f>
        <v>1000000000000</v>
      </c>
      <c r="CG447" s="182">
        <f ca="1">IF($D447&lt;&gt;"Serviço",0,IF(OR(AND(AUTOEVENTO="Manual",$M447=1),$M447&gt;(ROW(PLE.lastrow)-ROW(PLE.firstrow))),0,IF(OFFSET(PLE!$G$14,$M447,CG$13)="",10^12,OFFSET(PLE!$G$14,$M447,CG$13))))</f>
        <v>1000000000000</v>
      </c>
      <c r="CH447" s="182">
        <f ca="1">IF($D447&lt;&gt;"Serviço",0,IF(OR(AND(AUTOEVENTO="Manual",$M447=1),$M447&gt;(ROW(PLE.lastrow)-ROW(PLE.firstrow))),0,IF(OFFSET(PLE!$G$14,$M447,CH$13)="",10^12,OFFSET(PLE!$G$14,$M447,CH$13))))</f>
        <v>1000000000000</v>
      </c>
      <c r="CI447" s="182">
        <f ca="1">IF($D447&lt;&gt;"Serviço",0,IF(OR(AND(AUTOEVENTO="Manual",$M447=1),$M447&gt;(ROW(PLE.lastrow)-ROW(PLE.firstrow))),0,IF(OFFSET(PLE!$G$14,$M447,CI$13)="",10^12,OFFSET(PLE!$G$14,$M447,CI$13))))</f>
        <v>1000000000000</v>
      </c>
      <c r="CJ447" s="182">
        <f ca="1">IF($D447&lt;&gt;"Serviço",0,IF(OR(AND(AUTOEVENTO="Manual",$M447=1),$M447&gt;(ROW(PLE.lastrow)-ROW(PLE.firstrow))),0,IF(OFFSET(PLE!$G$14,$M447,CJ$13)="",10^12,OFFSET(PLE!$G$14,$M447,CJ$13))))</f>
        <v>1000000000000</v>
      </c>
      <c r="CK447" s="182">
        <f ca="1">IF($D447&lt;&gt;"Serviço",0,IF(OR(AND(AUTOEVENTO="Manual",$M447=1),$M447&gt;(ROW(PLE.lastrow)-ROW(PLE.firstrow))),0,IF(OFFSET(PLE!$G$14,$M447,CK$13)="",10^12,OFFSET(PLE!$G$14,$M447,CK$13))))</f>
        <v>1000000000000</v>
      </c>
      <c r="CL447" s="182">
        <f ca="1">IF($D447&lt;&gt;"Serviço",0,IF(OR(AND(AUTOEVENTO="Manual",$M447=1),$M447&gt;(ROW(PLE.lastrow)-ROW(PLE.firstrow))),0,IF(OFFSET(PLE!$G$14,$M447,CL$13)="",10^12,OFFSET(PLE!$G$14,$M447,CL$13))))</f>
        <v>1000000000000</v>
      </c>
      <c r="CM447" s="182">
        <f ca="1">IF($D447&lt;&gt;"Serviço",0,IF(OR(AND(AUTOEVENTO="Manual",$M447=1),$M447&gt;(ROW(PLE.lastrow)-ROW(PLE.firstrow))),0,IF(OFFSET(PLE!$G$14,$M447,CM$13)="",10^12,OFFSET(PLE!$G$14,$M447,CM$13))))</f>
        <v>1000000000000</v>
      </c>
    </row>
    <row r="448" spans="1:91" ht="38.25" x14ac:dyDescent="0.2">
      <c r="A448" s="7" t="str">
        <f t="shared" ca="1" si="15"/>
        <v>421</v>
      </c>
      <c r="B448" s="7" t="str">
        <f ca="1">OFFSET(ORÇAMENTO!C$15,ROW(B448)-ROW(B$15),0)</f>
        <v>S</v>
      </c>
      <c r="C448" s="7" t="str">
        <f ca="1">OFFSET(ORÇAMENTO!L$15,ROW(C448)-ROW(C$15),0)</f>
        <v/>
      </c>
      <c r="D448" s="118" t="str">
        <f ca="1">OFFSET(ORÇAMENTO!N$15,ROW(D448)-ROW(D$15),0)</f>
        <v>Serviço</v>
      </c>
      <c r="E448" s="119" t="str">
        <f ca="1">OFFSET(ORÇAMENTO!O$15,ROW(E448)-ROW(E$15),0)</f>
        <v>-</v>
      </c>
      <c r="F448" s="172" t="str">
        <f ca="1">OFFSET(ORÇAMENTO!R$15,ROW(F448)-ROW(F$15),0)</f>
        <v>(abra o arquivo 'Referência 06-2024.xlsm)</v>
      </c>
      <c r="G448" s="173" t="str">
        <f ca="1">IF($D448&lt;&gt;"Serviço","",OFFSET(ORÇAMENTO!S$15,ROW(G448)-ROW(G$15),0))</f>
        <v>-</v>
      </c>
      <c r="H448" s="124">
        <f ca="1">IF($D448&lt;&gt;"Serviço",0,IF(ACOMPANHAMENTO="BM",ROUND(OFFSET(ORÇAMENTO!AJ$15,ROW(H448)-ROW(H$15),0),15-13*ORÇAMENTO!$AF$7),SUMPRODUCT(($Q$12:$AI$12&lt;&gt;"")*ROUND($Q448:$AI448,15-13*ORÇAMENTO!$AF$7))))</f>
        <v>5</v>
      </c>
      <c r="I448" s="561" t="s">
        <v>1107</v>
      </c>
      <c r="K448" s="174"/>
      <c r="L448" s="175" t="s">
        <v>255</v>
      </c>
      <c r="M448" s="176">
        <f ca="1">IF($D448&lt;&gt;"Serviço","",IF(AUTOEVENTO="manual",$A448,IF(ISERROR(MATCH($A448,$A$15:OFFSET($A448,-1,0),0)),MAX($M$15:OFFSET(M448,-1,0))+1,INDEX($M$15:OFFSET(M448,-1,0),MATCH($A448,$A$15:OFFSET($A448,-1,0),0)))))</f>
        <v>49</v>
      </c>
      <c r="N448" s="177" t="str">
        <f ca="1">IF($D448&lt;&gt;"Serviço","",IF(AUTOEVENTO="Manual",IF($A448=0,"&lt;-- defina o número do agrupador",OFFSET(EVENTOS!$D$14,$A448,0)),OFFSET($F$15,$A448,0)))</f>
        <v>SISTEMA DE PROTEÇÃO CONTRA INCÊNDIO - TUBULAÇÕES E CONEXÕES</v>
      </c>
      <c r="O448" s="178"/>
      <c r="Q448" s="178">
        <v>5</v>
      </c>
      <c r="R448" s="179"/>
      <c r="S448" s="179"/>
      <c r="T448" s="179"/>
      <c r="U448" s="179"/>
      <c r="V448" s="179"/>
      <c r="W448" s="179"/>
      <c r="X448" s="179"/>
      <c r="Y448" s="179"/>
      <c r="Z448" s="180"/>
      <c r="AA448" s="179"/>
      <c r="AB448" s="179"/>
      <c r="AC448" s="179"/>
      <c r="AD448" s="179"/>
      <c r="AE448" s="179"/>
      <c r="AF448" s="179"/>
      <c r="AG448" s="179"/>
      <c r="AH448" s="180"/>
      <c r="AJ448" s="544">
        <f ca="1">IF(AND($D448="Serviço",AJ$12&lt;&gt;0,$H448&gt;0,OR(AUTOEVENTO&lt;&gt;"manual",$M448&lt;&gt;1)),
IF(Import.TipoArredondamento&lt;&gt;"TransfereGOV",
ROUND(OFFSET($P448,0,AJ$13),15-13*ORÇAMENTO!$AF$7)/$H448*OFFSET(ORÇAMENTO!$X$15,ROW(AJ448)-ROW(AJ$15),0),
ROUND(ROUND(OFFSET($P448,0,AJ$13),15-13*ORÇAMENTO!$AF$7)*OFFSET(ORÇAMENTO!$W$15,ROW(AJ448)-ROW(AJ$15),0),15-13*ORÇAMENTO!$AF$11)),0)</f>
        <v>0</v>
      </c>
      <c r="AK448" s="545">
        <f ca="1">IF(AND($D448="Serviço",AK$12&lt;&gt;0,$H448&gt;0,OR(AUTOEVENTO&lt;&gt;"manual",$M448&lt;&gt;1)),
IF(Import.TipoArredondamento&lt;&gt;"TransfereGOV",
ROUND(OFFSET($P448,0,AK$13),15-13*ORÇAMENTO!$AF$7)/$H448*OFFSET(ORÇAMENTO!$X$15,ROW(AK448)-ROW(AK$15),0),
ROUND(ROUND(OFFSET($P448,0,AK$13),15-13*ORÇAMENTO!$AF$7)*OFFSET(ORÇAMENTO!$W$15,ROW(AK448)-ROW(AK$15),0),15-13*ORÇAMENTO!$AF$11)),0)</f>
        <v>0</v>
      </c>
      <c r="AL448" s="545">
        <f ca="1">IF(AND($D448="Serviço",AL$12&lt;&gt;0,$H448&gt;0,OR(AUTOEVENTO&lt;&gt;"manual",$M448&lt;&gt;1)),
IF(Import.TipoArredondamento&lt;&gt;"TransfereGOV",
ROUND(OFFSET($P448,0,AL$13),15-13*ORÇAMENTO!$AF$7)/$H448*OFFSET(ORÇAMENTO!$X$15,ROW(AL448)-ROW(AL$15),0),
ROUND(ROUND(OFFSET($P448,0,AL$13),15-13*ORÇAMENTO!$AF$7)*OFFSET(ORÇAMENTO!$W$15,ROW(AL448)-ROW(AL$15),0),15-13*ORÇAMENTO!$AF$11)),0)</f>
        <v>0</v>
      </c>
      <c r="AM448" s="545">
        <f ca="1">IF(AND($D448="Serviço",AM$12&lt;&gt;0,$H448&gt;0,OR(AUTOEVENTO&lt;&gt;"manual",$M448&lt;&gt;1)),
IF(Import.TipoArredondamento&lt;&gt;"TransfereGOV",
ROUND(OFFSET($P448,0,AM$13),15-13*ORÇAMENTO!$AF$7)/$H448*OFFSET(ORÇAMENTO!$X$15,ROW(AM448)-ROW(AM$15),0),
ROUND(ROUND(OFFSET($P448,0,AM$13),15-13*ORÇAMENTO!$AF$7)*OFFSET(ORÇAMENTO!$W$15,ROW(AM448)-ROW(AM$15),0),15-13*ORÇAMENTO!$AF$11)),0)</f>
        <v>0</v>
      </c>
      <c r="AN448" s="545">
        <f ca="1">IF(AND($D448="Serviço",AN$12&lt;&gt;0,$H448&gt;0,OR(AUTOEVENTO&lt;&gt;"manual",$M448&lt;&gt;1)),
IF(Import.TipoArredondamento&lt;&gt;"TransfereGOV",
ROUND(OFFSET($P448,0,AN$13),15-13*ORÇAMENTO!$AF$7)/$H448*OFFSET(ORÇAMENTO!$X$15,ROW(AN448)-ROW(AN$15),0),
ROUND(ROUND(OFFSET($P448,0,AN$13),15-13*ORÇAMENTO!$AF$7)*OFFSET(ORÇAMENTO!$W$15,ROW(AN448)-ROW(AN$15),0),15-13*ORÇAMENTO!$AF$11)),0)</f>
        <v>0</v>
      </c>
      <c r="AO448" s="545">
        <f ca="1">IF(AND($D448="Serviço",AO$12&lt;&gt;0,$H448&gt;0,OR(AUTOEVENTO&lt;&gt;"manual",$M448&lt;&gt;1)),
IF(Import.TipoArredondamento&lt;&gt;"TransfereGOV",
ROUND(OFFSET($P448,0,AO$13),15-13*ORÇAMENTO!$AF$7)/$H448*OFFSET(ORÇAMENTO!$X$15,ROW(AO448)-ROW(AO$15),0),
ROUND(ROUND(OFFSET($P448,0,AO$13),15-13*ORÇAMENTO!$AF$7)*OFFSET(ORÇAMENTO!$W$15,ROW(AO448)-ROW(AO$15),0),15-13*ORÇAMENTO!$AF$11)),0)</f>
        <v>0</v>
      </c>
      <c r="AP448" s="545">
        <f ca="1">IF(AND($D448="Serviço",AP$12&lt;&gt;0,$H448&gt;0,OR(AUTOEVENTO&lt;&gt;"manual",$M448&lt;&gt;1)),
IF(Import.TipoArredondamento&lt;&gt;"TransfereGOV",
ROUND(OFFSET($P448,0,AP$13),15-13*ORÇAMENTO!$AF$7)/$H448*OFFSET(ORÇAMENTO!$X$15,ROW(AP448)-ROW(AP$15),0),
ROUND(ROUND(OFFSET($P448,0,AP$13),15-13*ORÇAMENTO!$AF$7)*OFFSET(ORÇAMENTO!$W$15,ROW(AP448)-ROW(AP$15),0),15-13*ORÇAMENTO!$AF$11)),0)</f>
        <v>0</v>
      </c>
      <c r="AQ448" s="545">
        <f ca="1">IF(AND($D448="Serviço",AQ$12&lt;&gt;0,$H448&gt;0,OR(AUTOEVENTO&lt;&gt;"manual",$M448&lt;&gt;1)),
IF(Import.TipoArredondamento&lt;&gt;"TransfereGOV",
ROUND(OFFSET($P448,0,AQ$13),15-13*ORÇAMENTO!$AF$7)/$H448*OFFSET(ORÇAMENTO!$X$15,ROW(AQ448)-ROW(AQ$15),0),
ROUND(ROUND(OFFSET($P448,0,AQ$13),15-13*ORÇAMENTO!$AF$7)*OFFSET(ORÇAMENTO!$W$15,ROW(AQ448)-ROW(AQ$15),0),15-13*ORÇAMENTO!$AF$11)),0)</f>
        <v>0</v>
      </c>
      <c r="AR448" s="545">
        <f ca="1">IF(AND($D448="Serviço",AR$12&lt;&gt;0,$H448&gt;0,OR(AUTOEVENTO&lt;&gt;"manual",$M448&lt;&gt;1)),
IF(Import.TipoArredondamento&lt;&gt;"TransfereGOV",
ROUND(OFFSET($P448,0,AR$13),15-13*ORÇAMENTO!$AF$7)/$H448*OFFSET(ORÇAMENTO!$X$15,ROW(AR448)-ROW(AR$15),0),
ROUND(ROUND(OFFSET($P448,0,AR$13),15-13*ORÇAMENTO!$AF$7)*OFFSET(ORÇAMENTO!$W$15,ROW(AR448)-ROW(AR$15),0),15-13*ORÇAMENTO!$AF$11)),0)</f>
        <v>0</v>
      </c>
      <c r="AS448" s="546">
        <f ca="1">IF(AND($D448="Serviço",AS$12&lt;&gt;0,$H448&gt;0,OR(AUTOEVENTO&lt;&gt;"manual",$M448&lt;&gt;1)),
IF(Import.TipoArredondamento&lt;&gt;"TransfereGOV",
ROUND(OFFSET($P448,0,AS$13),15-13*ORÇAMENTO!$AF$7)/$H448*OFFSET(ORÇAMENTO!$X$15,ROW(AS448)-ROW(AS$15),0),
ROUND(ROUND(OFFSET($P448,0,AS$13),15-13*ORÇAMENTO!$AF$7)*OFFSET(ORÇAMENTO!$W$15,ROW(AS448)-ROW(AS$15),0),15-13*ORÇAMENTO!$AF$11)),0)</f>
        <v>0</v>
      </c>
      <c r="AT448" s="545">
        <f ca="1">IF(AND($D448="Serviço",AT$12&lt;&gt;0,$H448&gt;0,OR(AUTOEVENTO&lt;&gt;"manual",$M448&lt;&gt;1)),
IF(Import.TipoArredondamento&lt;&gt;"TransfereGOV",
ROUND(OFFSET($P448,0,AT$13),15-13*ORÇAMENTO!$AF$7)/$H448*OFFSET(ORÇAMENTO!$X$15,ROW(AT448)-ROW(AT$15),0),
ROUND(ROUND(OFFSET($P448,0,AT$13),15-13*ORÇAMENTO!$AF$7)*OFFSET(ORÇAMENTO!$W$15,ROW(AT448)-ROW(AT$15),0),15-13*ORÇAMENTO!$AF$11)),0)</f>
        <v>0</v>
      </c>
      <c r="AU448" s="545">
        <f ca="1">IF(AND($D448="Serviço",AU$12&lt;&gt;0,$H448&gt;0,OR(AUTOEVENTO&lt;&gt;"manual",$M448&lt;&gt;1)),
IF(Import.TipoArredondamento&lt;&gt;"TransfereGOV",
ROUND(OFFSET($P448,0,AU$13),15-13*ORÇAMENTO!$AF$7)/$H448*OFFSET(ORÇAMENTO!$X$15,ROW(AU448)-ROW(AU$15),0),
ROUND(ROUND(OFFSET($P448,0,AU$13),15-13*ORÇAMENTO!$AF$7)*OFFSET(ORÇAMENTO!$W$15,ROW(AU448)-ROW(AU$15),0),15-13*ORÇAMENTO!$AF$11)),0)</f>
        <v>0</v>
      </c>
      <c r="AV448" s="545">
        <f ca="1">IF(AND($D448="Serviço",AV$12&lt;&gt;0,$H448&gt;0,OR(AUTOEVENTO&lt;&gt;"manual",$M448&lt;&gt;1)),
IF(Import.TipoArredondamento&lt;&gt;"TransfereGOV",
ROUND(OFFSET($P448,0,AV$13),15-13*ORÇAMENTO!$AF$7)/$H448*OFFSET(ORÇAMENTO!$X$15,ROW(AV448)-ROW(AV$15),0),
ROUND(ROUND(OFFSET($P448,0,AV$13),15-13*ORÇAMENTO!$AF$7)*OFFSET(ORÇAMENTO!$W$15,ROW(AV448)-ROW(AV$15),0),15-13*ORÇAMENTO!$AF$11)),0)</f>
        <v>0</v>
      </c>
      <c r="AW448" s="545">
        <f ca="1">IF(AND($D448="Serviço",AW$12&lt;&gt;0,$H448&gt;0,OR(AUTOEVENTO&lt;&gt;"manual",$M448&lt;&gt;1)),
IF(Import.TipoArredondamento&lt;&gt;"TransfereGOV",
ROUND(OFFSET($P448,0,AW$13),15-13*ORÇAMENTO!$AF$7)/$H448*OFFSET(ORÇAMENTO!$X$15,ROW(AW448)-ROW(AW$15),0),
ROUND(ROUND(OFFSET($P448,0,AW$13),15-13*ORÇAMENTO!$AF$7)*OFFSET(ORÇAMENTO!$W$15,ROW(AW448)-ROW(AW$15),0),15-13*ORÇAMENTO!$AF$11)),0)</f>
        <v>0</v>
      </c>
      <c r="AX448" s="545">
        <f ca="1">IF(AND($D448="Serviço",AX$12&lt;&gt;0,$H448&gt;0,OR(AUTOEVENTO&lt;&gt;"manual",$M448&lt;&gt;1)),
IF(Import.TipoArredondamento&lt;&gt;"TransfereGOV",
ROUND(OFFSET($P448,0,AX$13),15-13*ORÇAMENTO!$AF$7)/$H448*OFFSET(ORÇAMENTO!$X$15,ROW(AX448)-ROW(AX$15),0),
ROUND(ROUND(OFFSET($P448,0,AX$13),15-13*ORÇAMENTO!$AF$7)*OFFSET(ORÇAMENTO!$W$15,ROW(AX448)-ROW(AX$15),0),15-13*ORÇAMENTO!$AF$11)),0)</f>
        <v>0</v>
      </c>
      <c r="AY448" s="545">
        <f ca="1">IF(AND($D448="Serviço",AY$12&lt;&gt;0,$H448&gt;0,OR(AUTOEVENTO&lt;&gt;"manual",$M448&lt;&gt;1)),
IF(Import.TipoArredondamento&lt;&gt;"TransfereGOV",
ROUND(OFFSET($P448,0,AY$13),15-13*ORÇAMENTO!$AF$7)/$H448*OFFSET(ORÇAMENTO!$X$15,ROW(AY448)-ROW(AY$15),0),
ROUND(ROUND(OFFSET($P448,0,AY$13),15-13*ORÇAMENTO!$AF$7)*OFFSET(ORÇAMENTO!$W$15,ROW(AY448)-ROW(AY$15),0),15-13*ORÇAMENTO!$AF$11)),0)</f>
        <v>0</v>
      </c>
      <c r="AZ448" s="545">
        <f ca="1">IF(AND($D448="Serviço",AZ$12&lt;&gt;0,$H448&gt;0,OR(AUTOEVENTO&lt;&gt;"manual",$M448&lt;&gt;1)),
IF(Import.TipoArredondamento&lt;&gt;"TransfereGOV",
ROUND(OFFSET($P448,0,AZ$13),15-13*ORÇAMENTO!$AF$7)/$H448*OFFSET(ORÇAMENTO!$X$15,ROW(AZ448)-ROW(AZ$15),0),
ROUND(ROUND(OFFSET($P448,0,AZ$13),15-13*ORÇAMENTO!$AF$7)*OFFSET(ORÇAMENTO!$W$15,ROW(AZ448)-ROW(AZ$15),0),15-13*ORÇAMENTO!$AF$11)),0)</f>
        <v>0</v>
      </c>
      <c r="BA448" s="546">
        <f ca="1">IF(AND($D448="Serviço",BA$12&lt;&gt;0,$H448&gt;0,OR(AUTOEVENTO&lt;&gt;"manual",$M448&lt;&gt;1)),
IF(Import.TipoArredondamento&lt;&gt;"TransfereGOV",
ROUND(OFFSET($P448,0,BA$13),15-13*ORÇAMENTO!$AF$7)/$H448*OFFSET(ORÇAMENTO!$X$15,ROW(BA448)-ROW(BA$15),0),
ROUND(ROUND(OFFSET($P448,0,BA$13),15-13*ORÇAMENTO!$AF$7)*OFFSET(ORÇAMENTO!$W$15,ROW(BA448)-ROW(BA$15),0),15-13*ORÇAMENTO!$AF$11)),0)</f>
        <v>0</v>
      </c>
      <c r="BC448" s="181">
        <f ca="1">IF($D448&lt;&gt;"Serviço",0,IF(AND(AUTOEVENTO="Manual",$M448=1),0,IF(OFFSET(CRONOPLE!$F$14,$M448,BC$13)="",10^12,OFFSET(CRONOPLE!$F$14,$M448,BC$13))))</f>
        <v>10</v>
      </c>
      <c r="BD448" s="181">
        <f ca="1">IF($D448&lt;&gt;"Serviço",0,IF(AND(AUTOEVENTO="Manual",$M448=1),0,IF(OFFSET(CRONOPLE!$F$14,$M448,BD$13)="",10^12,OFFSET(CRONOPLE!$F$14,$M448,BD$13))))</f>
        <v>1000000000000</v>
      </c>
      <c r="BE448" s="181">
        <f ca="1">IF($D448&lt;&gt;"Serviço",0,IF(AND(AUTOEVENTO="Manual",$M448=1),0,IF(OFFSET(CRONOPLE!$F$14,$M448,BE$13)="",10^12,OFFSET(CRONOPLE!$F$14,$M448,BE$13))))</f>
        <v>1000000000000</v>
      </c>
      <c r="BF448" s="181">
        <f ca="1">IF($D448&lt;&gt;"Serviço",0,IF(AND(AUTOEVENTO="Manual",$M448=1),0,IF(OFFSET(CRONOPLE!$F$14,$M448,BF$13)="",10^12,OFFSET(CRONOPLE!$F$14,$M448,BF$13))))</f>
        <v>1000000000000</v>
      </c>
      <c r="BG448" s="181">
        <f ca="1">IF($D448&lt;&gt;"Serviço",0,IF(AND(AUTOEVENTO="Manual",$M448=1),0,IF(OFFSET(CRONOPLE!$F$14,$M448,BG$13)="",10^12,OFFSET(CRONOPLE!$F$14,$M448,BG$13))))</f>
        <v>1000000000000</v>
      </c>
      <c r="BH448" s="181">
        <f ca="1">IF($D448&lt;&gt;"Serviço",0,IF(AND(AUTOEVENTO="Manual",$M448=1),0,IF(OFFSET(CRONOPLE!$F$14,$M448,BH$13)="",10^12,OFFSET(CRONOPLE!$F$14,$M448,BH$13))))</f>
        <v>1000000000000</v>
      </c>
      <c r="BI448" s="181">
        <f ca="1">IF($D448&lt;&gt;"Serviço",0,IF(AND(AUTOEVENTO="Manual",$M448=1),0,IF(OFFSET(CRONOPLE!$F$14,$M448,BI$13)="",10^12,OFFSET(CRONOPLE!$F$14,$M448,BI$13))))</f>
        <v>1000000000000</v>
      </c>
      <c r="BJ448" s="181">
        <f ca="1">IF($D448&lt;&gt;"Serviço",0,IF(AND(AUTOEVENTO="Manual",$M448=1),0,IF(OFFSET(CRONOPLE!$F$14,$M448,BJ$13)="",10^12,OFFSET(CRONOPLE!$F$14,$M448,BJ$13))))</f>
        <v>1000000000000</v>
      </c>
      <c r="BK448" s="181">
        <f ca="1">IF($D448&lt;&gt;"Serviço",0,IF(AND(AUTOEVENTO="Manual",$M448=1),0,IF(OFFSET(CRONOPLE!$F$14,$M448,BK$13)="",10^12,OFFSET(CRONOPLE!$F$14,$M448,BK$13))))</f>
        <v>1000000000000</v>
      </c>
      <c r="BL448" s="181">
        <f ca="1">IF($D448&lt;&gt;"Serviço",0,IF(AND(AUTOEVENTO="Manual",$M448=1),0,IF(OFFSET(CRONOPLE!$F$14,$M448,BL$13)="",10^12,OFFSET(CRONOPLE!$F$14,$M448,BL$13))))</f>
        <v>1000000000000</v>
      </c>
      <c r="BM448" s="181">
        <f ca="1">IF($D448&lt;&gt;"Serviço",0,IF(AND(AUTOEVENTO="Manual",$M448=1),0,IF(OFFSET(CRONOPLE!$F$14,$M448,BM$13)="",10^12,OFFSET(CRONOPLE!$F$14,$M448,BM$13))))</f>
        <v>1000000000000</v>
      </c>
      <c r="BN448" s="181">
        <f ca="1">IF($D448&lt;&gt;"Serviço",0,IF(AND(AUTOEVENTO="Manual",$M448=1),0,IF(OFFSET(CRONOPLE!$F$14,$M448,BN$13)="",10^12,OFFSET(CRONOPLE!$F$14,$M448,BN$13))))</f>
        <v>1000000000000</v>
      </c>
      <c r="BO448" s="181">
        <f ca="1">IF($D448&lt;&gt;"Serviço",0,IF(AND(AUTOEVENTO="Manual",$M448=1),0,IF(OFFSET(CRONOPLE!$F$14,$M448,BO$13)="",10^12,OFFSET(CRONOPLE!$F$14,$M448,BO$13))))</f>
        <v>1000000000000</v>
      </c>
      <c r="BP448" s="181">
        <f ca="1">IF($D448&lt;&gt;"Serviço",0,IF(AND(AUTOEVENTO="Manual",$M448=1),0,IF(OFFSET(CRONOPLE!$F$14,$M448,BP$13)="",10^12,OFFSET(CRONOPLE!$F$14,$M448,BP$13))))</f>
        <v>1000000000000</v>
      </c>
      <c r="BQ448" s="181">
        <f ca="1">IF($D448&lt;&gt;"Serviço",0,IF(AND(AUTOEVENTO="Manual",$M448=1),0,IF(OFFSET(CRONOPLE!$F$14,$M448,BQ$13)="",10^12,OFFSET(CRONOPLE!$F$14,$M448,BQ$13))))</f>
        <v>1000000000000</v>
      </c>
      <c r="BR448" s="181">
        <f ca="1">IF($D448&lt;&gt;"Serviço",0,IF(AND(AUTOEVENTO="Manual",$M448=1),0,IF(OFFSET(CRONOPLE!$F$14,$M448,BR$13)="",10^12,OFFSET(CRONOPLE!$F$14,$M448,BR$13))))</f>
        <v>1000000000000</v>
      </c>
      <c r="BS448" s="181">
        <f ca="1">IF($D448&lt;&gt;"Serviço",0,IF(AND(AUTOEVENTO="Manual",$M448=1),0,IF(OFFSET(CRONOPLE!$F$14,$M448,BS$13)="",10^12,OFFSET(CRONOPLE!$F$14,$M448,BS$13))))</f>
        <v>1000000000000</v>
      </c>
      <c r="BT448" s="181">
        <f ca="1">IF($D448&lt;&gt;"Serviço",0,IF(AND(AUTOEVENTO="Manual",$M448=1),0,IF(OFFSET(CRONOPLE!$F$14,$M448,BT$13)="",10^12,OFFSET(CRONOPLE!$F$14,$M448,BT$13))))</f>
        <v>1000000000000</v>
      </c>
      <c r="BV448" s="182">
        <f ca="1">IF($D448&lt;&gt;"Serviço",0,IF(OR(AND(AUTOEVENTO="Manual",$M448=1),$M448&gt;(ROW(PLE.lastrow)-ROW(PLE.firstrow))),0,IF(OFFSET(PLE!$G$14,$M448,BV$13)="",10^12,OFFSET(PLE!$G$14,$M448,BV$13))))</f>
        <v>1000000000000</v>
      </c>
      <c r="BW448" s="182">
        <f ca="1">IF($D448&lt;&gt;"Serviço",0,IF(OR(AND(AUTOEVENTO="Manual",$M448=1),$M448&gt;(ROW(PLE.lastrow)-ROW(PLE.firstrow))),0,IF(OFFSET(PLE!$G$14,$M448,BW$13)="",10^12,OFFSET(PLE!$G$14,$M448,BW$13))))</f>
        <v>1000000000000</v>
      </c>
      <c r="BX448" s="182">
        <f ca="1">IF($D448&lt;&gt;"Serviço",0,IF(OR(AND(AUTOEVENTO="Manual",$M448=1),$M448&gt;(ROW(PLE.lastrow)-ROW(PLE.firstrow))),0,IF(OFFSET(PLE!$G$14,$M448,BX$13)="",10^12,OFFSET(PLE!$G$14,$M448,BX$13))))</f>
        <v>1000000000000</v>
      </c>
      <c r="BY448" s="182">
        <f ca="1">IF($D448&lt;&gt;"Serviço",0,IF(OR(AND(AUTOEVENTO="Manual",$M448=1),$M448&gt;(ROW(PLE.lastrow)-ROW(PLE.firstrow))),0,IF(OFFSET(PLE!$G$14,$M448,BY$13)="",10^12,OFFSET(PLE!$G$14,$M448,BY$13))))</f>
        <v>1000000000000</v>
      </c>
      <c r="BZ448" s="182">
        <f ca="1">IF($D448&lt;&gt;"Serviço",0,IF(OR(AND(AUTOEVENTO="Manual",$M448=1),$M448&gt;(ROW(PLE.lastrow)-ROW(PLE.firstrow))),0,IF(OFFSET(PLE!$G$14,$M448,BZ$13)="",10^12,OFFSET(PLE!$G$14,$M448,BZ$13))))</f>
        <v>1000000000000</v>
      </c>
      <c r="CA448" s="182">
        <f ca="1">IF($D448&lt;&gt;"Serviço",0,IF(OR(AND(AUTOEVENTO="Manual",$M448=1),$M448&gt;(ROW(PLE.lastrow)-ROW(PLE.firstrow))),0,IF(OFFSET(PLE!$G$14,$M448,CA$13)="",10^12,OFFSET(PLE!$G$14,$M448,CA$13))))</f>
        <v>1000000000000</v>
      </c>
      <c r="CB448" s="182">
        <f ca="1">IF($D448&lt;&gt;"Serviço",0,IF(OR(AND(AUTOEVENTO="Manual",$M448=1),$M448&gt;(ROW(PLE.lastrow)-ROW(PLE.firstrow))),0,IF(OFFSET(PLE!$G$14,$M448,CB$13)="",10^12,OFFSET(PLE!$G$14,$M448,CB$13))))</f>
        <v>1000000000000</v>
      </c>
      <c r="CC448" s="182">
        <f ca="1">IF($D448&lt;&gt;"Serviço",0,IF(OR(AND(AUTOEVENTO="Manual",$M448=1),$M448&gt;(ROW(PLE.lastrow)-ROW(PLE.firstrow))),0,IF(OFFSET(PLE!$G$14,$M448,CC$13)="",10^12,OFFSET(PLE!$G$14,$M448,CC$13))))</f>
        <v>1000000000000</v>
      </c>
      <c r="CD448" s="182">
        <f ca="1">IF($D448&lt;&gt;"Serviço",0,IF(OR(AND(AUTOEVENTO="Manual",$M448=1),$M448&gt;(ROW(PLE.lastrow)-ROW(PLE.firstrow))),0,IF(OFFSET(PLE!$G$14,$M448,CD$13)="",10^12,OFFSET(PLE!$G$14,$M448,CD$13))))</f>
        <v>1000000000000</v>
      </c>
      <c r="CE448" s="182">
        <f ca="1">IF($D448&lt;&gt;"Serviço",0,IF(OR(AND(AUTOEVENTO="Manual",$M448=1),$M448&gt;(ROW(PLE.lastrow)-ROW(PLE.firstrow))),0,IF(OFFSET(PLE!$G$14,$M448,CE$13)="",10^12,OFFSET(PLE!$G$14,$M448,CE$13))))</f>
        <v>1000000000000</v>
      </c>
      <c r="CF448" s="182">
        <f ca="1">IF($D448&lt;&gt;"Serviço",0,IF(OR(AND(AUTOEVENTO="Manual",$M448=1),$M448&gt;(ROW(PLE.lastrow)-ROW(PLE.firstrow))),0,IF(OFFSET(PLE!$G$14,$M448,CF$13)="",10^12,OFFSET(PLE!$G$14,$M448,CF$13))))</f>
        <v>1000000000000</v>
      </c>
      <c r="CG448" s="182">
        <f ca="1">IF($D448&lt;&gt;"Serviço",0,IF(OR(AND(AUTOEVENTO="Manual",$M448=1),$M448&gt;(ROW(PLE.lastrow)-ROW(PLE.firstrow))),0,IF(OFFSET(PLE!$G$14,$M448,CG$13)="",10^12,OFFSET(PLE!$G$14,$M448,CG$13))))</f>
        <v>1000000000000</v>
      </c>
      <c r="CH448" s="182">
        <f ca="1">IF($D448&lt;&gt;"Serviço",0,IF(OR(AND(AUTOEVENTO="Manual",$M448=1),$M448&gt;(ROW(PLE.lastrow)-ROW(PLE.firstrow))),0,IF(OFFSET(PLE!$G$14,$M448,CH$13)="",10^12,OFFSET(PLE!$G$14,$M448,CH$13))))</f>
        <v>1000000000000</v>
      </c>
      <c r="CI448" s="182">
        <f ca="1">IF($D448&lt;&gt;"Serviço",0,IF(OR(AND(AUTOEVENTO="Manual",$M448=1),$M448&gt;(ROW(PLE.lastrow)-ROW(PLE.firstrow))),0,IF(OFFSET(PLE!$G$14,$M448,CI$13)="",10^12,OFFSET(PLE!$G$14,$M448,CI$13))))</f>
        <v>1000000000000</v>
      </c>
      <c r="CJ448" s="182">
        <f ca="1">IF($D448&lt;&gt;"Serviço",0,IF(OR(AND(AUTOEVENTO="Manual",$M448=1),$M448&gt;(ROW(PLE.lastrow)-ROW(PLE.firstrow))),0,IF(OFFSET(PLE!$G$14,$M448,CJ$13)="",10^12,OFFSET(PLE!$G$14,$M448,CJ$13))))</f>
        <v>1000000000000</v>
      </c>
      <c r="CK448" s="182">
        <f ca="1">IF($D448&lt;&gt;"Serviço",0,IF(OR(AND(AUTOEVENTO="Manual",$M448=1),$M448&gt;(ROW(PLE.lastrow)-ROW(PLE.firstrow))),0,IF(OFFSET(PLE!$G$14,$M448,CK$13)="",10^12,OFFSET(PLE!$G$14,$M448,CK$13))))</f>
        <v>1000000000000</v>
      </c>
      <c r="CL448" s="182">
        <f ca="1">IF($D448&lt;&gt;"Serviço",0,IF(OR(AND(AUTOEVENTO="Manual",$M448=1),$M448&gt;(ROW(PLE.lastrow)-ROW(PLE.firstrow))),0,IF(OFFSET(PLE!$G$14,$M448,CL$13)="",10^12,OFFSET(PLE!$G$14,$M448,CL$13))))</f>
        <v>1000000000000</v>
      </c>
      <c r="CM448" s="182">
        <f ca="1">IF($D448&lt;&gt;"Serviço",0,IF(OR(AND(AUTOEVENTO="Manual",$M448=1),$M448&gt;(ROW(PLE.lastrow)-ROW(PLE.firstrow))),0,IF(OFFSET(PLE!$G$14,$M448,CM$13)="",10^12,OFFSET(PLE!$G$14,$M448,CM$13))))</f>
        <v>1000000000000</v>
      </c>
    </row>
    <row r="449" spans="1:91" ht="51" x14ac:dyDescent="0.2">
      <c r="A449" s="7" t="str">
        <f t="shared" ca="1" si="15"/>
        <v>421</v>
      </c>
      <c r="B449" s="7" t="str">
        <f ca="1">OFFSET(ORÇAMENTO!C$15,ROW(B449)-ROW(B$15),0)</f>
        <v>S</v>
      </c>
      <c r="C449" s="7" t="str">
        <f ca="1">OFFSET(ORÇAMENTO!L$15,ROW(C449)-ROW(C$15),0)</f>
        <v/>
      </c>
      <c r="D449" s="118" t="str">
        <f ca="1">OFFSET(ORÇAMENTO!N$15,ROW(D449)-ROW(D$15),0)</f>
        <v>Serviço</v>
      </c>
      <c r="E449" s="119" t="str">
        <f ca="1">OFFSET(ORÇAMENTO!O$15,ROW(E449)-ROW(E$15),0)</f>
        <v>-</v>
      </c>
      <c r="F449" s="172" t="str">
        <f ca="1">OFFSET(ORÇAMENTO!R$15,ROW(F449)-ROW(F$15),0)</f>
        <v>(abra o arquivo 'Referência 06-2024.xlsm)</v>
      </c>
      <c r="G449" s="173" t="str">
        <f ca="1">IF($D449&lt;&gt;"Serviço","",OFFSET(ORÇAMENTO!S$15,ROW(G449)-ROW(G$15),0))</f>
        <v>-</v>
      </c>
      <c r="H449" s="124">
        <f ca="1">IF($D449&lt;&gt;"Serviço",0,IF(ACOMPANHAMENTO="BM",ROUND(OFFSET(ORÇAMENTO!AJ$15,ROW(H449)-ROW(H$15),0),15-13*ORÇAMENTO!$AF$7),SUMPRODUCT(($Q$12:$AI$12&lt;&gt;"")*ROUND($Q449:$AI449,15-13*ORÇAMENTO!$AF$7))))</f>
        <v>9</v>
      </c>
      <c r="I449" s="561" t="s">
        <v>1107</v>
      </c>
      <c r="K449" s="174"/>
      <c r="L449" s="175" t="s">
        <v>255</v>
      </c>
      <c r="M449" s="176">
        <f ca="1">IF($D449&lt;&gt;"Serviço","",IF(AUTOEVENTO="manual",$A449,IF(ISERROR(MATCH($A449,$A$15:OFFSET($A449,-1,0),0)),MAX($M$15:OFFSET(M449,-1,0))+1,INDEX($M$15:OFFSET(M449,-1,0),MATCH($A449,$A$15:OFFSET($A449,-1,0),0)))))</f>
        <v>49</v>
      </c>
      <c r="N449" s="177" t="str">
        <f ca="1">IF($D449&lt;&gt;"Serviço","",IF(AUTOEVENTO="Manual",IF($A449=0,"&lt;-- defina o número do agrupador",OFFSET(EVENTOS!$D$14,$A449,0)),OFFSET($F$15,$A449,0)))</f>
        <v>SISTEMA DE PROTEÇÃO CONTRA INCÊNDIO - TUBULAÇÕES E CONEXÕES</v>
      </c>
      <c r="O449" s="178"/>
      <c r="Q449" s="178">
        <v>9</v>
      </c>
      <c r="R449" s="179"/>
      <c r="S449" s="179"/>
      <c r="T449" s="179"/>
      <c r="U449" s="179"/>
      <c r="V449" s="179"/>
      <c r="W449" s="179"/>
      <c r="X449" s="179"/>
      <c r="Y449" s="179"/>
      <c r="Z449" s="180"/>
      <c r="AA449" s="179"/>
      <c r="AB449" s="179"/>
      <c r="AC449" s="179"/>
      <c r="AD449" s="179"/>
      <c r="AE449" s="179"/>
      <c r="AF449" s="179"/>
      <c r="AG449" s="179"/>
      <c r="AH449" s="180"/>
      <c r="AJ449" s="544">
        <f ca="1">IF(AND($D449="Serviço",AJ$12&lt;&gt;0,$H449&gt;0,OR(AUTOEVENTO&lt;&gt;"manual",$M449&lt;&gt;1)),
IF(Import.TipoArredondamento&lt;&gt;"TransfereGOV",
ROUND(OFFSET($P449,0,AJ$13),15-13*ORÇAMENTO!$AF$7)/$H449*OFFSET(ORÇAMENTO!$X$15,ROW(AJ449)-ROW(AJ$15),0),
ROUND(ROUND(OFFSET($P449,0,AJ$13),15-13*ORÇAMENTO!$AF$7)*OFFSET(ORÇAMENTO!$W$15,ROW(AJ449)-ROW(AJ$15),0),15-13*ORÇAMENTO!$AF$11)),0)</f>
        <v>0</v>
      </c>
      <c r="AK449" s="545">
        <f ca="1">IF(AND($D449="Serviço",AK$12&lt;&gt;0,$H449&gt;0,OR(AUTOEVENTO&lt;&gt;"manual",$M449&lt;&gt;1)),
IF(Import.TipoArredondamento&lt;&gt;"TransfereGOV",
ROUND(OFFSET($P449,0,AK$13),15-13*ORÇAMENTO!$AF$7)/$H449*OFFSET(ORÇAMENTO!$X$15,ROW(AK449)-ROW(AK$15),0),
ROUND(ROUND(OFFSET($P449,0,AK$13),15-13*ORÇAMENTO!$AF$7)*OFFSET(ORÇAMENTO!$W$15,ROW(AK449)-ROW(AK$15),0),15-13*ORÇAMENTO!$AF$11)),0)</f>
        <v>0</v>
      </c>
      <c r="AL449" s="545">
        <f ca="1">IF(AND($D449="Serviço",AL$12&lt;&gt;0,$H449&gt;0,OR(AUTOEVENTO&lt;&gt;"manual",$M449&lt;&gt;1)),
IF(Import.TipoArredondamento&lt;&gt;"TransfereGOV",
ROUND(OFFSET($P449,0,AL$13),15-13*ORÇAMENTO!$AF$7)/$H449*OFFSET(ORÇAMENTO!$X$15,ROW(AL449)-ROW(AL$15),0),
ROUND(ROUND(OFFSET($P449,0,AL$13),15-13*ORÇAMENTO!$AF$7)*OFFSET(ORÇAMENTO!$W$15,ROW(AL449)-ROW(AL$15),0),15-13*ORÇAMENTO!$AF$11)),0)</f>
        <v>0</v>
      </c>
      <c r="AM449" s="545">
        <f ca="1">IF(AND($D449="Serviço",AM$12&lt;&gt;0,$H449&gt;0,OR(AUTOEVENTO&lt;&gt;"manual",$M449&lt;&gt;1)),
IF(Import.TipoArredondamento&lt;&gt;"TransfereGOV",
ROUND(OFFSET($P449,0,AM$13),15-13*ORÇAMENTO!$AF$7)/$H449*OFFSET(ORÇAMENTO!$X$15,ROW(AM449)-ROW(AM$15),0),
ROUND(ROUND(OFFSET($P449,0,AM$13),15-13*ORÇAMENTO!$AF$7)*OFFSET(ORÇAMENTO!$W$15,ROW(AM449)-ROW(AM$15),0),15-13*ORÇAMENTO!$AF$11)),0)</f>
        <v>0</v>
      </c>
      <c r="AN449" s="545">
        <f ca="1">IF(AND($D449="Serviço",AN$12&lt;&gt;0,$H449&gt;0,OR(AUTOEVENTO&lt;&gt;"manual",$M449&lt;&gt;1)),
IF(Import.TipoArredondamento&lt;&gt;"TransfereGOV",
ROUND(OFFSET($P449,0,AN$13),15-13*ORÇAMENTO!$AF$7)/$H449*OFFSET(ORÇAMENTO!$X$15,ROW(AN449)-ROW(AN$15),0),
ROUND(ROUND(OFFSET($P449,0,AN$13),15-13*ORÇAMENTO!$AF$7)*OFFSET(ORÇAMENTO!$W$15,ROW(AN449)-ROW(AN$15),0),15-13*ORÇAMENTO!$AF$11)),0)</f>
        <v>0</v>
      </c>
      <c r="AO449" s="545">
        <f ca="1">IF(AND($D449="Serviço",AO$12&lt;&gt;0,$H449&gt;0,OR(AUTOEVENTO&lt;&gt;"manual",$M449&lt;&gt;1)),
IF(Import.TipoArredondamento&lt;&gt;"TransfereGOV",
ROUND(OFFSET($P449,0,AO$13),15-13*ORÇAMENTO!$AF$7)/$H449*OFFSET(ORÇAMENTO!$X$15,ROW(AO449)-ROW(AO$15),0),
ROUND(ROUND(OFFSET($P449,0,AO$13),15-13*ORÇAMENTO!$AF$7)*OFFSET(ORÇAMENTO!$W$15,ROW(AO449)-ROW(AO$15),0),15-13*ORÇAMENTO!$AF$11)),0)</f>
        <v>0</v>
      </c>
      <c r="AP449" s="545">
        <f ca="1">IF(AND($D449="Serviço",AP$12&lt;&gt;0,$H449&gt;0,OR(AUTOEVENTO&lt;&gt;"manual",$M449&lt;&gt;1)),
IF(Import.TipoArredondamento&lt;&gt;"TransfereGOV",
ROUND(OFFSET($P449,0,AP$13),15-13*ORÇAMENTO!$AF$7)/$H449*OFFSET(ORÇAMENTO!$X$15,ROW(AP449)-ROW(AP$15),0),
ROUND(ROUND(OFFSET($P449,0,AP$13),15-13*ORÇAMENTO!$AF$7)*OFFSET(ORÇAMENTO!$W$15,ROW(AP449)-ROW(AP$15),0),15-13*ORÇAMENTO!$AF$11)),0)</f>
        <v>0</v>
      </c>
      <c r="AQ449" s="545">
        <f ca="1">IF(AND($D449="Serviço",AQ$12&lt;&gt;0,$H449&gt;0,OR(AUTOEVENTO&lt;&gt;"manual",$M449&lt;&gt;1)),
IF(Import.TipoArredondamento&lt;&gt;"TransfereGOV",
ROUND(OFFSET($P449,0,AQ$13),15-13*ORÇAMENTO!$AF$7)/$H449*OFFSET(ORÇAMENTO!$X$15,ROW(AQ449)-ROW(AQ$15),0),
ROUND(ROUND(OFFSET($P449,0,AQ$13),15-13*ORÇAMENTO!$AF$7)*OFFSET(ORÇAMENTO!$W$15,ROW(AQ449)-ROW(AQ$15),0),15-13*ORÇAMENTO!$AF$11)),0)</f>
        <v>0</v>
      </c>
      <c r="AR449" s="545">
        <f ca="1">IF(AND($D449="Serviço",AR$12&lt;&gt;0,$H449&gt;0,OR(AUTOEVENTO&lt;&gt;"manual",$M449&lt;&gt;1)),
IF(Import.TipoArredondamento&lt;&gt;"TransfereGOV",
ROUND(OFFSET($P449,0,AR$13),15-13*ORÇAMENTO!$AF$7)/$H449*OFFSET(ORÇAMENTO!$X$15,ROW(AR449)-ROW(AR$15),0),
ROUND(ROUND(OFFSET($P449,0,AR$13),15-13*ORÇAMENTO!$AF$7)*OFFSET(ORÇAMENTO!$W$15,ROW(AR449)-ROW(AR$15),0),15-13*ORÇAMENTO!$AF$11)),0)</f>
        <v>0</v>
      </c>
      <c r="AS449" s="546">
        <f ca="1">IF(AND($D449="Serviço",AS$12&lt;&gt;0,$H449&gt;0,OR(AUTOEVENTO&lt;&gt;"manual",$M449&lt;&gt;1)),
IF(Import.TipoArredondamento&lt;&gt;"TransfereGOV",
ROUND(OFFSET($P449,0,AS$13),15-13*ORÇAMENTO!$AF$7)/$H449*OFFSET(ORÇAMENTO!$X$15,ROW(AS449)-ROW(AS$15),0),
ROUND(ROUND(OFFSET($P449,0,AS$13),15-13*ORÇAMENTO!$AF$7)*OFFSET(ORÇAMENTO!$W$15,ROW(AS449)-ROW(AS$15),0),15-13*ORÇAMENTO!$AF$11)),0)</f>
        <v>0</v>
      </c>
      <c r="AT449" s="545">
        <f ca="1">IF(AND($D449="Serviço",AT$12&lt;&gt;0,$H449&gt;0,OR(AUTOEVENTO&lt;&gt;"manual",$M449&lt;&gt;1)),
IF(Import.TipoArredondamento&lt;&gt;"TransfereGOV",
ROUND(OFFSET($P449,0,AT$13),15-13*ORÇAMENTO!$AF$7)/$H449*OFFSET(ORÇAMENTO!$X$15,ROW(AT449)-ROW(AT$15),0),
ROUND(ROUND(OFFSET($P449,0,AT$13),15-13*ORÇAMENTO!$AF$7)*OFFSET(ORÇAMENTO!$W$15,ROW(AT449)-ROW(AT$15),0),15-13*ORÇAMENTO!$AF$11)),0)</f>
        <v>0</v>
      </c>
      <c r="AU449" s="545">
        <f ca="1">IF(AND($D449="Serviço",AU$12&lt;&gt;0,$H449&gt;0,OR(AUTOEVENTO&lt;&gt;"manual",$M449&lt;&gt;1)),
IF(Import.TipoArredondamento&lt;&gt;"TransfereGOV",
ROUND(OFFSET($P449,0,AU$13),15-13*ORÇAMENTO!$AF$7)/$H449*OFFSET(ORÇAMENTO!$X$15,ROW(AU449)-ROW(AU$15),0),
ROUND(ROUND(OFFSET($P449,0,AU$13),15-13*ORÇAMENTO!$AF$7)*OFFSET(ORÇAMENTO!$W$15,ROW(AU449)-ROW(AU$15),0),15-13*ORÇAMENTO!$AF$11)),0)</f>
        <v>0</v>
      </c>
      <c r="AV449" s="545">
        <f ca="1">IF(AND($D449="Serviço",AV$12&lt;&gt;0,$H449&gt;0,OR(AUTOEVENTO&lt;&gt;"manual",$M449&lt;&gt;1)),
IF(Import.TipoArredondamento&lt;&gt;"TransfereGOV",
ROUND(OFFSET($P449,0,AV$13),15-13*ORÇAMENTO!$AF$7)/$H449*OFFSET(ORÇAMENTO!$X$15,ROW(AV449)-ROW(AV$15),0),
ROUND(ROUND(OFFSET($P449,0,AV$13),15-13*ORÇAMENTO!$AF$7)*OFFSET(ORÇAMENTO!$W$15,ROW(AV449)-ROW(AV$15),0),15-13*ORÇAMENTO!$AF$11)),0)</f>
        <v>0</v>
      </c>
      <c r="AW449" s="545">
        <f ca="1">IF(AND($D449="Serviço",AW$12&lt;&gt;0,$H449&gt;0,OR(AUTOEVENTO&lt;&gt;"manual",$M449&lt;&gt;1)),
IF(Import.TipoArredondamento&lt;&gt;"TransfereGOV",
ROUND(OFFSET($P449,0,AW$13),15-13*ORÇAMENTO!$AF$7)/$H449*OFFSET(ORÇAMENTO!$X$15,ROW(AW449)-ROW(AW$15),0),
ROUND(ROUND(OFFSET($P449,0,AW$13),15-13*ORÇAMENTO!$AF$7)*OFFSET(ORÇAMENTO!$W$15,ROW(AW449)-ROW(AW$15),0),15-13*ORÇAMENTO!$AF$11)),0)</f>
        <v>0</v>
      </c>
      <c r="AX449" s="545">
        <f ca="1">IF(AND($D449="Serviço",AX$12&lt;&gt;0,$H449&gt;0,OR(AUTOEVENTO&lt;&gt;"manual",$M449&lt;&gt;1)),
IF(Import.TipoArredondamento&lt;&gt;"TransfereGOV",
ROUND(OFFSET($P449,0,AX$13),15-13*ORÇAMENTO!$AF$7)/$H449*OFFSET(ORÇAMENTO!$X$15,ROW(AX449)-ROW(AX$15),0),
ROUND(ROUND(OFFSET($P449,0,AX$13),15-13*ORÇAMENTO!$AF$7)*OFFSET(ORÇAMENTO!$W$15,ROW(AX449)-ROW(AX$15),0),15-13*ORÇAMENTO!$AF$11)),0)</f>
        <v>0</v>
      </c>
      <c r="AY449" s="545">
        <f ca="1">IF(AND($D449="Serviço",AY$12&lt;&gt;0,$H449&gt;0,OR(AUTOEVENTO&lt;&gt;"manual",$M449&lt;&gt;1)),
IF(Import.TipoArredondamento&lt;&gt;"TransfereGOV",
ROUND(OFFSET($P449,0,AY$13),15-13*ORÇAMENTO!$AF$7)/$H449*OFFSET(ORÇAMENTO!$X$15,ROW(AY449)-ROW(AY$15),0),
ROUND(ROUND(OFFSET($P449,0,AY$13),15-13*ORÇAMENTO!$AF$7)*OFFSET(ORÇAMENTO!$W$15,ROW(AY449)-ROW(AY$15),0),15-13*ORÇAMENTO!$AF$11)),0)</f>
        <v>0</v>
      </c>
      <c r="AZ449" s="545">
        <f ca="1">IF(AND($D449="Serviço",AZ$12&lt;&gt;0,$H449&gt;0,OR(AUTOEVENTO&lt;&gt;"manual",$M449&lt;&gt;1)),
IF(Import.TipoArredondamento&lt;&gt;"TransfereGOV",
ROUND(OFFSET($P449,0,AZ$13),15-13*ORÇAMENTO!$AF$7)/$H449*OFFSET(ORÇAMENTO!$X$15,ROW(AZ449)-ROW(AZ$15),0),
ROUND(ROUND(OFFSET($P449,0,AZ$13),15-13*ORÇAMENTO!$AF$7)*OFFSET(ORÇAMENTO!$W$15,ROW(AZ449)-ROW(AZ$15),0),15-13*ORÇAMENTO!$AF$11)),0)</f>
        <v>0</v>
      </c>
      <c r="BA449" s="546">
        <f ca="1">IF(AND($D449="Serviço",BA$12&lt;&gt;0,$H449&gt;0,OR(AUTOEVENTO&lt;&gt;"manual",$M449&lt;&gt;1)),
IF(Import.TipoArredondamento&lt;&gt;"TransfereGOV",
ROUND(OFFSET($P449,0,BA$13),15-13*ORÇAMENTO!$AF$7)/$H449*OFFSET(ORÇAMENTO!$X$15,ROW(BA449)-ROW(BA$15),0),
ROUND(ROUND(OFFSET($P449,0,BA$13),15-13*ORÇAMENTO!$AF$7)*OFFSET(ORÇAMENTO!$W$15,ROW(BA449)-ROW(BA$15),0),15-13*ORÇAMENTO!$AF$11)),0)</f>
        <v>0</v>
      </c>
      <c r="BC449" s="181">
        <f ca="1">IF($D449&lt;&gt;"Serviço",0,IF(AND(AUTOEVENTO="Manual",$M449=1),0,IF(OFFSET(CRONOPLE!$F$14,$M449,BC$13)="",10^12,OFFSET(CRONOPLE!$F$14,$M449,BC$13))))</f>
        <v>10</v>
      </c>
      <c r="BD449" s="181">
        <f ca="1">IF($D449&lt;&gt;"Serviço",0,IF(AND(AUTOEVENTO="Manual",$M449=1),0,IF(OFFSET(CRONOPLE!$F$14,$M449,BD$13)="",10^12,OFFSET(CRONOPLE!$F$14,$M449,BD$13))))</f>
        <v>1000000000000</v>
      </c>
      <c r="BE449" s="181">
        <f ca="1">IF($D449&lt;&gt;"Serviço",0,IF(AND(AUTOEVENTO="Manual",$M449=1),0,IF(OFFSET(CRONOPLE!$F$14,$M449,BE$13)="",10^12,OFFSET(CRONOPLE!$F$14,$M449,BE$13))))</f>
        <v>1000000000000</v>
      </c>
      <c r="BF449" s="181">
        <f ca="1">IF($D449&lt;&gt;"Serviço",0,IF(AND(AUTOEVENTO="Manual",$M449=1),0,IF(OFFSET(CRONOPLE!$F$14,$M449,BF$13)="",10^12,OFFSET(CRONOPLE!$F$14,$M449,BF$13))))</f>
        <v>1000000000000</v>
      </c>
      <c r="BG449" s="181">
        <f ca="1">IF($D449&lt;&gt;"Serviço",0,IF(AND(AUTOEVENTO="Manual",$M449=1),0,IF(OFFSET(CRONOPLE!$F$14,$M449,BG$13)="",10^12,OFFSET(CRONOPLE!$F$14,$M449,BG$13))))</f>
        <v>1000000000000</v>
      </c>
      <c r="BH449" s="181">
        <f ca="1">IF($D449&lt;&gt;"Serviço",0,IF(AND(AUTOEVENTO="Manual",$M449=1),0,IF(OFFSET(CRONOPLE!$F$14,$M449,BH$13)="",10^12,OFFSET(CRONOPLE!$F$14,$M449,BH$13))))</f>
        <v>1000000000000</v>
      </c>
      <c r="BI449" s="181">
        <f ca="1">IF($D449&lt;&gt;"Serviço",0,IF(AND(AUTOEVENTO="Manual",$M449=1),0,IF(OFFSET(CRONOPLE!$F$14,$M449,BI$13)="",10^12,OFFSET(CRONOPLE!$F$14,$M449,BI$13))))</f>
        <v>1000000000000</v>
      </c>
      <c r="BJ449" s="181">
        <f ca="1">IF($D449&lt;&gt;"Serviço",0,IF(AND(AUTOEVENTO="Manual",$M449=1),0,IF(OFFSET(CRONOPLE!$F$14,$M449,BJ$13)="",10^12,OFFSET(CRONOPLE!$F$14,$M449,BJ$13))))</f>
        <v>1000000000000</v>
      </c>
      <c r="BK449" s="181">
        <f ca="1">IF($D449&lt;&gt;"Serviço",0,IF(AND(AUTOEVENTO="Manual",$M449=1),0,IF(OFFSET(CRONOPLE!$F$14,$M449,BK$13)="",10^12,OFFSET(CRONOPLE!$F$14,$M449,BK$13))))</f>
        <v>1000000000000</v>
      </c>
      <c r="BL449" s="181">
        <f ca="1">IF($D449&lt;&gt;"Serviço",0,IF(AND(AUTOEVENTO="Manual",$M449=1),0,IF(OFFSET(CRONOPLE!$F$14,$M449,BL$13)="",10^12,OFFSET(CRONOPLE!$F$14,$M449,BL$13))))</f>
        <v>1000000000000</v>
      </c>
      <c r="BM449" s="181">
        <f ca="1">IF($D449&lt;&gt;"Serviço",0,IF(AND(AUTOEVENTO="Manual",$M449=1),0,IF(OFFSET(CRONOPLE!$F$14,$M449,BM$13)="",10^12,OFFSET(CRONOPLE!$F$14,$M449,BM$13))))</f>
        <v>1000000000000</v>
      </c>
      <c r="BN449" s="181">
        <f ca="1">IF($D449&lt;&gt;"Serviço",0,IF(AND(AUTOEVENTO="Manual",$M449=1),0,IF(OFFSET(CRONOPLE!$F$14,$M449,BN$13)="",10^12,OFFSET(CRONOPLE!$F$14,$M449,BN$13))))</f>
        <v>1000000000000</v>
      </c>
      <c r="BO449" s="181">
        <f ca="1">IF($D449&lt;&gt;"Serviço",0,IF(AND(AUTOEVENTO="Manual",$M449=1),0,IF(OFFSET(CRONOPLE!$F$14,$M449,BO$13)="",10^12,OFFSET(CRONOPLE!$F$14,$M449,BO$13))))</f>
        <v>1000000000000</v>
      </c>
      <c r="BP449" s="181">
        <f ca="1">IF($D449&lt;&gt;"Serviço",0,IF(AND(AUTOEVENTO="Manual",$M449=1),0,IF(OFFSET(CRONOPLE!$F$14,$M449,BP$13)="",10^12,OFFSET(CRONOPLE!$F$14,$M449,BP$13))))</f>
        <v>1000000000000</v>
      </c>
      <c r="BQ449" s="181">
        <f ca="1">IF($D449&lt;&gt;"Serviço",0,IF(AND(AUTOEVENTO="Manual",$M449=1),0,IF(OFFSET(CRONOPLE!$F$14,$M449,BQ$13)="",10^12,OFFSET(CRONOPLE!$F$14,$M449,BQ$13))))</f>
        <v>1000000000000</v>
      </c>
      <c r="BR449" s="181">
        <f ca="1">IF($D449&lt;&gt;"Serviço",0,IF(AND(AUTOEVENTO="Manual",$M449=1),0,IF(OFFSET(CRONOPLE!$F$14,$M449,BR$13)="",10^12,OFFSET(CRONOPLE!$F$14,$M449,BR$13))))</f>
        <v>1000000000000</v>
      </c>
      <c r="BS449" s="181">
        <f ca="1">IF($D449&lt;&gt;"Serviço",0,IF(AND(AUTOEVENTO="Manual",$M449=1),0,IF(OFFSET(CRONOPLE!$F$14,$M449,BS$13)="",10^12,OFFSET(CRONOPLE!$F$14,$M449,BS$13))))</f>
        <v>1000000000000</v>
      </c>
      <c r="BT449" s="181">
        <f ca="1">IF($D449&lt;&gt;"Serviço",0,IF(AND(AUTOEVENTO="Manual",$M449=1),0,IF(OFFSET(CRONOPLE!$F$14,$M449,BT$13)="",10^12,OFFSET(CRONOPLE!$F$14,$M449,BT$13))))</f>
        <v>1000000000000</v>
      </c>
      <c r="BV449" s="182">
        <f ca="1">IF($D449&lt;&gt;"Serviço",0,IF(OR(AND(AUTOEVENTO="Manual",$M449=1),$M449&gt;(ROW(PLE.lastrow)-ROW(PLE.firstrow))),0,IF(OFFSET(PLE!$G$14,$M449,BV$13)="",10^12,OFFSET(PLE!$G$14,$M449,BV$13))))</f>
        <v>1000000000000</v>
      </c>
      <c r="BW449" s="182">
        <f ca="1">IF($D449&lt;&gt;"Serviço",0,IF(OR(AND(AUTOEVENTO="Manual",$M449=1),$M449&gt;(ROW(PLE.lastrow)-ROW(PLE.firstrow))),0,IF(OFFSET(PLE!$G$14,$M449,BW$13)="",10^12,OFFSET(PLE!$G$14,$M449,BW$13))))</f>
        <v>1000000000000</v>
      </c>
      <c r="BX449" s="182">
        <f ca="1">IF($D449&lt;&gt;"Serviço",0,IF(OR(AND(AUTOEVENTO="Manual",$M449=1),$M449&gt;(ROW(PLE.lastrow)-ROW(PLE.firstrow))),0,IF(OFFSET(PLE!$G$14,$M449,BX$13)="",10^12,OFFSET(PLE!$G$14,$M449,BX$13))))</f>
        <v>1000000000000</v>
      </c>
      <c r="BY449" s="182">
        <f ca="1">IF($D449&lt;&gt;"Serviço",0,IF(OR(AND(AUTOEVENTO="Manual",$M449=1),$M449&gt;(ROW(PLE.lastrow)-ROW(PLE.firstrow))),0,IF(OFFSET(PLE!$G$14,$M449,BY$13)="",10^12,OFFSET(PLE!$G$14,$M449,BY$13))))</f>
        <v>1000000000000</v>
      </c>
      <c r="BZ449" s="182">
        <f ca="1">IF($D449&lt;&gt;"Serviço",0,IF(OR(AND(AUTOEVENTO="Manual",$M449=1),$M449&gt;(ROW(PLE.lastrow)-ROW(PLE.firstrow))),0,IF(OFFSET(PLE!$G$14,$M449,BZ$13)="",10^12,OFFSET(PLE!$G$14,$M449,BZ$13))))</f>
        <v>1000000000000</v>
      </c>
      <c r="CA449" s="182">
        <f ca="1">IF($D449&lt;&gt;"Serviço",0,IF(OR(AND(AUTOEVENTO="Manual",$M449=1),$M449&gt;(ROW(PLE.lastrow)-ROW(PLE.firstrow))),0,IF(OFFSET(PLE!$G$14,$M449,CA$13)="",10^12,OFFSET(PLE!$G$14,$M449,CA$13))))</f>
        <v>1000000000000</v>
      </c>
      <c r="CB449" s="182">
        <f ca="1">IF($D449&lt;&gt;"Serviço",0,IF(OR(AND(AUTOEVENTO="Manual",$M449=1),$M449&gt;(ROW(PLE.lastrow)-ROW(PLE.firstrow))),0,IF(OFFSET(PLE!$G$14,$M449,CB$13)="",10^12,OFFSET(PLE!$G$14,$M449,CB$13))))</f>
        <v>1000000000000</v>
      </c>
      <c r="CC449" s="182">
        <f ca="1">IF($D449&lt;&gt;"Serviço",0,IF(OR(AND(AUTOEVENTO="Manual",$M449=1),$M449&gt;(ROW(PLE.lastrow)-ROW(PLE.firstrow))),0,IF(OFFSET(PLE!$G$14,$M449,CC$13)="",10^12,OFFSET(PLE!$G$14,$M449,CC$13))))</f>
        <v>1000000000000</v>
      </c>
      <c r="CD449" s="182">
        <f ca="1">IF($D449&lt;&gt;"Serviço",0,IF(OR(AND(AUTOEVENTO="Manual",$M449=1),$M449&gt;(ROW(PLE.lastrow)-ROW(PLE.firstrow))),0,IF(OFFSET(PLE!$G$14,$M449,CD$13)="",10^12,OFFSET(PLE!$G$14,$M449,CD$13))))</f>
        <v>1000000000000</v>
      </c>
      <c r="CE449" s="182">
        <f ca="1">IF($D449&lt;&gt;"Serviço",0,IF(OR(AND(AUTOEVENTO="Manual",$M449=1),$M449&gt;(ROW(PLE.lastrow)-ROW(PLE.firstrow))),0,IF(OFFSET(PLE!$G$14,$M449,CE$13)="",10^12,OFFSET(PLE!$G$14,$M449,CE$13))))</f>
        <v>1000000000000</v>
      </c>
      <c r="CF449" s="182">
        <f ca="1">IF($D449&lt;&gt;"Serviço",0,IF(OR(AND(AUTOEVENTO="Manual",$M449=1),$M449&gt;(ROW(PLE.lastrow)-ROW(PLE.firstrow))),0,IF(OFFSET(PLE!$G$14,$M449,CF$13)="",10^12,OFFSET(PLE!$G$14,$M449,CF$13))))</f>
        <v>1000000000000</v>
      </c>
      <c r="CG449" s="182">
        <f ca="1">IF($D449&lt;&gt;"Serviço",0,IF(OR(AND(AUTOEVENTO="Manual",$M449=1),$M449&gt;(ROW(PLE.lastrow)-ROW(PLE.firstrow))),0,IF(OFFSET(PLE!$G$14,$M449,CG$13)="",10^12,OFFSET(PLE!$G$14,$M449,CG$13))))</f>
        <v>1000000000000</v>
      </c>
      <c r="CH449" s="182">
        <f ca="1">IF($D449&lt;&gt;"Serviço",0,IF(OR(AND(AUTOEVENTO="Manual",$M449=1),$M449&gt;(ROW(PLE.lastrow)-ROW(PLE.firstrow))),0,IF(OFFSET(PLE!$G$14,$M449,CH$13)="",10^12,OFFSET(PLE!$G$14,$M449,CH$13))))</f>
        <v>1000000000000</v>
      </c>
      <c r="CI449" s="182">
        <f ca="1">IF($D449&lt;&gt;"Serviço",0,IF(OR(AND(AUTOEVENTO="Manual",$M449=1),$M449&gt;(ROW(PLE.lastrow)-ROW(PLE.firstrow))),0,IF(OFFSET(PLE!$G$14,$M449,CI$13)="",10^12,OFFSET(PLE!$G$14,$M449,CI$13))))</f>
        <v>1000000000000</v>
      </c>
      <c r="CJ449" s="182">
        <f ca="1">IF($D449&lt;&gt;"Serviço",0,IF(OR(AND(AUTOEVENTO="Manual",$M449=1),$M449&gt;(ROW(PLE.lastrow)-ROW(PLE.firstrow))),0,IF(OFFSET(PLE!$G$14,$M449,CJ$13)="",10^12,OFFSET(PLE!$G$14,$M449,CJ$13))))</f>
        <v>1000000000000</v>
      </c>
      <c r="CK449" s="182">
        <f ca="1">IF($D449&lt;&gt;"Serviço",0,IF(OR(AND(AUTOEVENTO="Manual",$M449=1),$M449&gt;(ROW(PLE.lastrow)-ROW(PLE.firstrow))),0,IF(OFFSET(PLE!$G$14,$M449,CK$13)="",10^12,OFFSET(PLE!$G$14,$M449,CK$13))))</f>
        <v>1000000000000</v>
      </c>
      <c r="CL449" s="182">
        <f ca="1">IF($D449&lt;&gt;"Serviço",0,IF(OR(AND(AUTOEVENTO="Manual",$M449=1),$M449&gt;(ROW(PLE.lastrow)-ROW(PLE.firstrow))),0,IF(OFFSET(PLE!$G$14,$M449,CL$13)="",10^12,OFFSET(PLE!$G$14,$M449,CL$13))))</f>
        <v>1000000000000</v>
      </c>
      <c r="CM449" s="182">
        <f ca="1">IF($D449&lt;&gt;"Serviço",0,IF(OR(AND(AUTOEVENTO="Manual",$M449=1),$M449&gt;(ROW(PLE.lastrow)-ROW(PLE.firstrow))),0,IF(OFFSET(PLE!$G$14,$M449,CM$13)="",10^12,OFFSET(PLE!$G$14,$M449,CM$13))))</f>
        <v>1000000000000</v>
      </c>
    </row>
    <row r="450" spans="1:91" ht="38.25" x14ac:dyDescent="0.2">
      <c r="A450" s="7" t="str">
        <f t="shared" ca="1" si="15"/>
        <v>421</v>
      </c>
      <c r="B450" s="7" t="str">
        <f ca="1">OFFSET(ORÇAMENTO!C$15,ROW(B450)-ROW(B$15),0)</f>
        <v>S</v>
      </c>
      <c r="C450" s="7" t="str">
        <f ca="1">OFFSET(ORÇAMENTO!L$15,ROW(C450)-ROW(C$15),0)</f>
        <v/>
      </c>
      <c r="D450" s="118" t="str">
        <f ca="1">OFFSET(ORÇAMENTO!N$15,ROW(D450)-ROW(D$15),0)</f>
        <v>Serviço</v>
      </c>
      <c r="E450" s="119" t="str">
        <f ca="1">OFFSET(ORÇAMENTO!O$15,ROW(E450)-ROW(E$15),0)</f>
        <v>-</v>
      </c>
      <c r="F450" s="172" t="str">
        <f ca="1">OFFSET(ORÇAMENTO!R$15,ROW(F450)-ROW(F$15),0)</f>
        <v>(abra o arquivo 'Referência 06-2024.xlsm)</v>
      </c>
      <c r="G450" s="173" t="str">
        <f ca="1">IF($D450&lt;&gt;"Serviço","",OFFSET(ORÇAMENTO!S$15,ROW(G450)-ROW(G$15),0))</f>
        <v>-</v>
      </c>
      <c r="H450" s="124">
        <f ca="1">IF($D450&lt;&gt;"Serviço",0,IF(ACOMPANHAMENTO="BM",ROUND(OFFSET(ORÇAMENTO!AJ$15,ROW(H450)-ROW(H$15),0),15-13*ORÇAMENTO!$AF$7),SUMPRODUCT(($Q$12:$AI$12&lt;&gt;"")*ROUND($Q450:$AI450,15-13*ORÇAMENTO!$AF$7))))</f>
        <v>5</v>
      </c>
      <c r="I450" s="561" t="s">
        <v>1107</v>
      </c>
      <c r="K450" s="174"/>
      <c r="L450" s="175" t="s">
        <v>255</v>
      </c>
      <c r="M450" s="176">
        <f ca="1">IF($D450&lt;&gt;"Serviço","",IF(AUTOEVENTO="manual",$A450,IF(ISERROR(MATCH($A450,$A$15:OFFSET($A450,-1,0),0)),MAX($M$15:OFFSET(M450,-1,0))+1,INDEX($M$15:OFFSET(M450,-1,0),MATCH($A450,$A$15:OFFSET($A450,-1,0),0)))))</f>
        <v>49</v>
      </c>
      <c r="N450" s="177" t="str">
        <f ca="1">IF($D450&lt;&gt;"Serviço","",IF(AUTOEVENTO="Manual",IF($A450=0,"&lt;-- defina o número do agrupador",OFFSET(EVENTOS!$D$14,$A450,0)),OFFSET($F$15,$A450,0)))</f>
        <v>SISTEMA DE PROTEÇÃO CONTRA INCÊNDIO - TUBULAÇÕES E CONEXÕES</v>
      </c>
      <c r="O450" s="178"/>
      <c r="Q450" s="178">
        <v>5</v>
      </c>
      <c r="R450" s="179"/>
      <c r="S450" s="179"/>
      <c r="T450" s="179"/>
      <c r="U450" s="179"/>
      <c r="V450" s="179"/>
      <c r="W450" s="179"/>
      <c r="X450" s="179"/>
      <c r="Y450" s="179"/>
      <c r="Z450" s="180"/>
      <c r="AA450" s="179"/>
      <c r="AB450" s="179"/>
      <c r="AC450" s="179"/>
      <c r="AD450" s="179"/>
      <c r="AE450" s="179"/>
      <c r="AF450" s="179"/>
      <c r="AG450" s="179"/>
      <c r="AH450" s="180"/>
      <c r="AJ450" s="544">
        <f ca="1">IF(AND($D450="Serviço",AJ$12&lt;&gt;0,$H450&gt;0,OR(AUTOEVENTO&lt;&gt;"manual",$M450&lt;&gt;1)),
IF(Import.TipoArredondamento&lt;&gt;"TransfereGOV",
ROUND(OFFSET($P450,0,AJ$13),15-13*ORÇAMENTO!$AF$7)/$H450*OFFSET(ORÇAMENTO!$X$15,ROW(AJ450)-ROW(AJ$15),0),
ROUND(ROUND(OFFSET($P450,0,AJ$13),15-13*ORÇAMENTO!$AF$7)*OFFSET(ORÇAMENTO!$W$15,ROW(AJ450)-ROW(AJ$15),0),15-13*ORÇAMENTO!$AF$11)),0)</f>
        <v>0</v>
      </c>
      <c r="AK450" s="545">
        <f ca="1">IF(AND($D450="Serviço",AK$12&lt;&gt;0,$H450&gt;0,OR(AUTOEVENTO&lt;&gt;"manual",$M450&lt;&gt;1)),
IF(Import.TipoArredondamento&lt;&gt;"TransfereGOV",
ROUND(OFFSET($P450,0,AK$13),15-13*ORÇAMENTO!$AF$7)/$H450*OFFSET(ORÇAMENTO!$X$15,ROW(AK450)-ROW(AK$15),0),
ROUND(ROUND(OFFSET($P450,0,AK$13),15-13*ORÇAMENTO!$AF$7)*OFFSET(ORÇAMENTO!$W$15,ROW(AK450)-ROW(AK$15),0),15-13*ORÇAMENTO!$AF$11)),0)</f>
        <v>0</v>
      </c>
      <c r="AL450" s="545">
        <f ca="1">IF(AND($D450="Serviço",AL$12&lt;&gt;0,$H450&gt;0,OR(AUTOEVENTO&lt;&gt;"manual",$M450&lt;&gt;1)),
IF(Import.TipoArredondamento&lt;&gt;"TransfereGOV",
ROUND(OFFSET($P450,0,AL$13),15-13*ORÇAMENTO!$AF$7)/$H450*OFFSET(ORÇAMENTO!$X$15,ROW(AL450)-ROW(AL$15),0),
ROUND(ROUND(OFFSET($P450,0,AL$13),15-13*ORÇAMENTO!$AF$7)*OFFSET(ORÇAMENTO!$W$15,ROW(AL450)-ROW(AL$15),0),15-13*ORÇAMENTO!$AF$11)),0)</f>
        <v>0</v>
      </c>
      <c r="AM450" s="545">
        <f ca="1">IF(AND($D450="Serviço",AM$12&lt;&gt;0,$H450&gt;0,OR(AUTOEVENTO&lt;&gt;"manual",$M450&lt;&gt;1)),
IF(Import.TipoArredondamento&lt;&gt;"TransfereGOV",
ROUND(OFFSET($P450,0,AM$13),15-13*ORÇAMENTO!$AF$7)/$H450*OFFSET(ORÇAMENTO!$X$15,ROW(AM450)-ROW(AM$15),0),
ROUND(ROUND(OFFSET($P450,0,AM$13),15-13*ORÇAMENTO!$AF$7)*OFFSET(ORÇAMENTO!$W$15,ROW(AM450)-ROW(AM$15),0),15-13*ORÇAMENTO!$AF$11)),0)</f>
        <v>0</v>
      </c>
      <c r="AN450" s="545">
        <f ca="1">IF(AND($D450="Serviço",AN$12&lt;&gt;0,$H450&gt;0,OR(AUTOEVENTO&lt;&gt;"manual",$M450&lt;&gt;1)),
IF(Import.TipoArredondamento&lt;&gt;"TransfereGOV",
ROUND(OFFSET($P450,0,AN$13),15-13*ORÇAMENTO!$AF$7)/$H450*OFFSET(ORÇAMENTO!$X$15,ROW(AN450)-ROW(AN$15),0),
ROUND(ROUND(OFFSET($P450,0,AN$13),15-13*ORÇAMENTO!$AF$7)*OFFSET(ORÇAMENTO!$W$15,ROW(AN450)-ROW(AN$15),0),15-13*ORÇAMENTO!$AF$11)),0)</f>
        <v>0</v>
      </c>
      <c r="AO450" s="545">
        <f ca="1">IF(AND($D450="Serviço",AO$12&lt;&gt;0,$H450&gt;0,OR(AUTOEVENTO&lt;&gt;"manual",$M450&lt;&gt;1)),
IF(Import.TipoArredondamento&lt;&gt;"TransfereGOV",
ROUND(OFFSET($P450,0,AO$13),15-13*ORÇAMENTO!$AF$7)/$H450*OFFSET(ORÇAMENTO!$X$15,ROW(AO450)-ROW(AO$15),0),
ROUND(ROUND(OFFSET($P450,0,AO$13),15-13*ORÇAMENTO!$AF$7)*OFFSET(ORÇAMENTO!$W$15,ROW(AO450)-ROW(AO$15),0),15-13*ORÇAMENTO!$AF$11)),0)</f>
        <v>0</v>
      </c>
      <c r="AP450" s="545">
        <f ca="1">IF(AND($D450="Serviço",AP$12&lt;&gt;0,$H450&gt;0,OR(AUTOEVENTO&lt;&gt;"manual",$M450&lt;&gt;1)),
IF(Import.TipoArredondamento&lt;&gt;"TransfereGOV",
ROUND(OFFSET($P450,0,AP$13),15-13*ORÇAMENTO!$AF$7)/$H450*OFFSET(ORÇAMENTO!$X$15,ROW(AP450)-ROW(AP$15),0),
ROUND(ROUND(OFFSET($P450,0,AP$13),15-13*ORÇAMENTO!$AF$7)*OFFSET(ORÇAMENTO!$W$15,ROW(AP450)-ROW(AP$15),0),15-13*ORÇAMENTO!$AF$11)),0)</f>
        <v>0</v>
      </c>
      <c r="AQ450" s="545">
        <f ca="1">IF(AND($D450="Serviço",AQ$12&lt;&gt;0,$H450&gt;0,OR(AUTOEVENTO&lt;&gt;"manual",$M450&lt;&gt;1)),
IF(Import.TipoArredondamento&lt;&gt;"TransfereGOV",
ROUND(OFFSET($P450,0,AQ$13),15-13*ORÇAMENTO!$AF$7)/$H450*OFFSET(ORÇAMENTO!$X$15,ROW(AQ450)-ROW(AQ$15),0),
ROUND(ROUND(OFFSET($P450,0,AQ$13),15-13*ORÇAMENTO!$AF$7)*OFFSET(ORÇAMENTO!$W$15,ROW(AQ450)-ROW(AQ$15),0),15-13*ORÇAMENTO!$AF$11)),0)</f>
        <v>0</v>
      </c>
      <c r="AR450" s="545">
        <f ca="1">IF(AND($D450="Serviço",AR$12&lt;&gt;0,$H450&gt;0,OR(AUTOEVENTO&lt;&gt;"manual",$M450&lt;&gt;1)),
IF(Import.TipoArredondamento&lt;&gt;"TransfereGOV",
ROUND(OFFSET($P450,0,AR$13),15-13*ORÇAMENTO!$AF$7)/$H450*OFFSET(ORÇAMENTO!$X$15,ROW(AR450)-ROW(AR$15),0),
ROUND(ROUND(OFFSET($P450,0,AR$13),15-13*ORÇAMENTO!$AF$7)*OFFSET(ORÇAMENTO!$W$15,ROW(AR450)-ROW(AR$15),0),15-13*ORÇAMENTO!$AF$11)),0)</f>
        <v>0</v>
      </c>
      <c r="AS450" s="546">
        <f ca="1">IF(AND($D450="Serviço",AS$12&lt;&gt;0,$H450&gt;0,OR(AUTOEVENTO&lt;&gt;"manual",$M450&lt;&gt;1)),
IF(Import.TipoArredondamento&lt;&gt;"TransfereGOV",
ROUND(OFFSET($P450,0,AS$13),15-13*ORÇAMENTO!$AF$7)/$H450*OFFSET(ORÇAMENTO!$X$15,ROW(AS450)-ROW(AS$15),0),
ROUND(ROUND(OFFSET($P450,0,AS$13),15-13*ORÇAMENTO!$AF$7)*OFFSET(ORÇAMENTO!$W$15,ROW(AS450)-ROW(AS$15),0),15-13*ORÇAMENTO!$AF$11)),0)</f>
        <v>0</v>
      </c>
      <c r="AT450" s="545">
        <f ca="1">IF(AND($D450="Serviço",AT$12&lt;&gt;0,$H450&gt;0,OR(AUTOEVENTO&lt;&gt;"manual",$M450&lt;&gt;1)),
IF(Import.TipoArredondamento&lt;&gt;"TransfereGOV",
ROUND(OFFSET($P450,0,AT$13),15-13*ORÇAMENTO!$AF$7)/$H450*OFFSET(ORÇAMENTO!$X$15,ROW(AT450)-ROW(AT$15),0),
ROUND(ROUND(OFFSET($P450,0,AT$13),15-13*ORÇAMENTO!$AF$7)*OFFSET(ORÇAMENTO!$W$15,ROW(AT450)-ROW(AT$15),0),15-13*ORÇAMENTO!$AF$11)),0)</f>
        <v>0</v>
      </c>
      <c r="AU450" s="545">
        <f ca="1">IF(AND($D450="Serviço",AU$12&lt;&gt;0,$H450&gt;0,OR(AUTOEVENTO&lt;&gt;"manual",$M450&lt;&gt;1)),
IF(Import.TipoArredondamento&lt;&gt;"TransfereGOV",
ROUND(OFFSET($P450,0,AU$13),15-13*ORÇAMENTO!$AF$7)/$H450*OFFSET(ORÇAMENTO!$X$15,ROW(AU450)-ROW(AU$15),0),
ROUND(ROUND(OFFSET($P450,0,AU$13),15-13*ORÇAMENTO!$AF$7)*OFFSET(ORÇAMENTO!$W$15,ROW(AU450)-ROW(AU$15),0),15-13*ORÇAMENTO!$AF$11)),0)</f>
        <v>0</v>
      </c>
      <c r="AV450" s="545">
        <f ca="1">IF(AND($D450="Serviço",AV$12&lt;&gt;0,$H450&gt;0,OR(AUTOEVENTO&lt;&gt;"manual",$M450&lt;&gt;1)),
IF(Import.TipoArredondamento&lt;&gt;"TransfereGOV",
ROUND(OFFSET($P450,0,AV$13),15-13*ORÇAMENTO!$AF$7)/$H450*OFFSET(ORÇAMENTO!$X$15,ROW(AV450)-ROW(AV$15),0),
ROUND(ROUND(OFFSET($P450,0,AV$13),15-13*ORÇAMENTO!$AF$7)*OFFSET(ORÇAMENTO!$W$15,ROW(AV450)-ROW(AV$15),0),15-13*ORÇAMENTO!$AF$11)),0)</f>
        <v>0</v>
      </c>
      <c r="AW450" s="545">
        <f ca="1">IF(AND($D450="Serviço",AW$12&lt;&gt;0,$H450&gt;0,OR(AUTOEVENTO&lt;&gt;"manual",$M450&lt;&gt;1)),
IF(Import.TipoArredondamento&lt;&gt;"TransfereGOV",
ROUND(OFFSET($P450,0,AW$13),15-13*ORÇAMENTO!$AF$7)/$H450*OFFSET(ORÇAMENTO!$X$15,ROW(AW450)-ROW(AW$15),0),
ROUND(ROUND(OFFSET($P450,0,AW$13),15-13*ORÇAMENTO!$AF$7)*OFFSET(ORÇAMENTO!$W$15,ROW(AW450)-ROW(AW$15),0),15-13*ORÇAMENTO!$AF$11)),0)</f>
        <v>0</v>
      </c>
      <c r="AX450" s="545">
        <f ca="1">IF(AND($D450="Serviço",AX$12&lt;&gt;0,$H450&gt;0,OR(AUTOEVENTO&lt;&gt;"manual",$M450&lt;&gt;1)),
IF(Import.TipoArredondamento&lt;&gt;"TransfereGOV",
ROUND(OFFSET($P450,0,AX$13),15-13*ORÇAMENTO!$AF$7)/$H450*OFFSET(ORÇAMENTO!$X$15,ROW(AX450)-ROW(AX$15),0),
ROUND(ROUND(OFFSET($P450,0,AX$13),15-13*ORÇAMENTO!$AF$7)*OFFSET(ORÇAMENTO!$W$15,ROW(AX450)-ROW(AX$15),0),15-13*ORÇAMENTO!$AF$11)),0)</f>
        <v>0</v>
      </c>
      <c r="AY450" s="545">
        <f ca="1">IF(AND($D450="Serviço",AY$12&lt;&gt;0,$H450&gt;0,OR(AUTOEVENTO&lt;&gt;"manual",$M450&lt;&gt;1)),
IF(Import.TipoArredondamento&lt;&gt;"TransfereGOV",
ROUND(OFFSET($P450,0,AY$13),15-13*ORÇAMENTO!$AF$7)/$H450*OFFSET(ORÇAMENTO!$X$15,ROW(AY450)-ROW(AY$15),0),
ROUND(ROUND(OFFSET($P450,0,AY$13),15-13*ORÇAMENTO!$AF$7)*OFFSET(ORÇAMENTO!$W$15,ROW(AY450)-ROW(AY$15),0),15-13*ORÇAMENTO!$AF$11)),0)</f>
        <v>0</v>
      </c>
      <c r="AZ450" s="545">
        <f ca="1">IF(AND($D450="Serviço",AZ$12&lt;&gt;0,$H450&gt;0,OR(AUTOEVENTO&lt;&gt;"manual",$M450&lt;&gt;1)),
IF(Import.TipoArredondamento&lt;&gt;"TransfereGOV",
ROUND(OFFSET($P450,0,AZ$13),15-13*ORÇAMENTO!$AF$7)/$H450*OFFSET(ORÇAMENTO!$X$15,ROW(AZ450)-ROW(AZ$15),0),
ROUND(ROUND(OFFSET($P450,0,AZ$13),15-13*ORÇAMENTO!$AF$7)*OFFSET(ORÇAMENTO!$W$15,ROW(AZ450)-ROW(AZ$15),0),15-13*ORÇAMENTO!$AF$11)),0)</f>
        <v>0</v>
      </c>
      <c r="BA450" s="546">
        <f ca="1">IF(AND($D450="Serviço",BA$12&lt;&gt;0,$H450&gt;0,OR(AUTOEVENTO&lt;&gt;"manual",$M450&lt;&gt;1)),
IF(Import.TipoArredondamento&lt;&gt;"TransfereGOV",
ROUND(OFFSET($P450,0,BA$13),15-13*ORÇAMENTO!$AF$7)/$H450*OFFSET(ORÇAMENTO!$X$15,ROW(BA450)-ROW(BA$15),0),
ROUND(ROUND(OFFSET($P450,0,BA$13),15-13*ORÇAMENTO!$AF$7)*OFFSET(ORÇAMENTO!$W$15,ROW(BA450)-ROW(BA$15),0),15-13*ORÇAMENTO!$AF$11)),0)</f>
        <v>0</v>
      </c>
      <c r="BC450" s="181">
        <f ca="1">IF($D450&lt;&gt;"Serviço",0,IF(AND(AUTOEVENTO="Manual",$M450=1),0,IF(OFFSET(CRONOPLE!$F$14,$M450,BC$13)="",10^12,OFFSET(CRONOPLE!$F$14,$M450,BC$13))))</f>
        <v>10</v>
      </c>
      <c r="BD450" s="181">
        <f ca="1">IF($D450&lt;&gt;"Serviço",0,IF(AND(AUTOEVENTO="Manual",$M450=1),0,IF(OFFSET(CRONOPLE!$F$14,$M450,BD$13)="",10^12,OFFSET(CRONOPLE!$F$14,$M450,BD$13))))</f>
        <v>1000000000000</v>
      </c>
      <c r="BE450" s="181">
        <f ca="1">IF($D450&lt;&gt;"Serviço",0,IF(AND(AUTOEVENTO="Manual",$M450=1),0,IF(OFFSET(CRONOPLE!$F$14,$M450,BE$13)="",10^12,OFFSET(CRONOPLE!$F$14,$M450,BE$13))))</f>
        <v>1000000000000</v>
      </c>
      <c r="BF450" s="181">
        <f ca="1">IF($D450&lt;&gt;"Serviço",0,IF(AND(AUTOEVENTO="Manual",$M450=1),0,IF(OFFSET(CRONOPLE!$F$14,$M450,BF$13)="",10^12,OFFSET(CRONOPLE!$F$14,$M450,BF$13))))</f>
        <v>1000000000000</v>
      </c>
      <c r="BG450" s="181">
        <f ca="1">IF($D450&lt;&gt;"Serviço",0,IF(AND(AUTOEVENTO="Manual",$M450=1),0,IF(OFFSET(CRONOPLE!$F$14,$M450,BG$13)="",10^12,OFFSET(CRONOPLE!$F$14,$M450,BG$13))))</f>
        <v>1000000000000</v>
      </c>
      <c r="BH450" s="181">
        <f ca="1">IF($D450&lt;&gt;"Serviço",0,IF(AND(AUTOEVENTO="Manual",$M450=1),0,IF(OFFSET(CRONOPLE!$F$14,$M450,BH$13)="",10^12,OFFSET(CRONOPLE!$F$14,$M450,BH$13))))</f>
        <v>1000000000000</v>
      </c>
      <c r="BI450" s="181">
        <f ca="1">IF($D450&lt;&gt;"Serviço",0,IF(AND(AUTOEVENTO="Manual",$M450=1),0,IF(OFFSET(CRONOPLE!$F$14,$M450,BI$13)="",10^12,OFFSET(CRONOPLE!$F$14,$M450,BI$13))))</f>
        <v>1000000000000</v>
      </c>
      <c r="BJ450" s="181">
        <f ca="1">IF($D450&lt;&gt;"Serviço",0,IF(AND(AUTOEVENTO="Manual",$M450=1),0,IF(OFFSET(CRONOPLE!$F$14,$M450,BJ$13)="",10^12,OFFSET(CRONOPLE!$F$14,$M450,BJ$13))))</f>
        <v>1000000000000</v>
      </c>
      <c r="BK450" s="181">
        <f ca="1">IF($D450&lt;&gt;"Serviço",0,IF(AND(AUTOEVENTO="Manual",$M450=1),0,IF(OFFSET(CRONOPLE!$F$14,$M450,BK$13)="",10^12,OFFSET(CRONOPLE!$F$14,$M450,BK$13))))</f>
        <v>1000000000000</v>
      </c>
      <c r="BL450" s="181">
        <f ca="1">IF($D450&lt;&gt;"Serviço",0,IF(AND(AUTOEVENTO="Manual",$M450=1),0,IF(OFFSET(CRONOPLE!$F$14,$M450,BL$13)="",10^12,OFFSET(CRONOPLE!$F$14,$M450,BL$13))))</f>
        <v>1000000000000</v>
      </c>
      <c r="BM450" s="181">
        <f ca="1">IF($D450&lt;&gt;"Serviço",0,IF(AND(AUTOEVENTO="Manual",$M450=1),0,IF(OFFSET(CRONOPLE!$F$14,$M450,BM$13)="",10^12,OFFSET(CRONOPLE!$F$14,$M450,BM$13))))</f>
        <v>1000000000000</v>
      </c>
      <c r="BN450" s="181">
        <f ca="1">IF($D450&lt;&gt;"Serviço",0,IF(AND(AUTOEVENTO="Manual",$M450=1),0,IF(OFFSET(CRONOPLE!$F$14,$M450,BN$13)="",10^12,OFFSET(CRONOPLE!$F$14,$M450,BN$13))))</f>
        <v>1000000000000</v>
      </c>
      <c r="BO450" s="181">
        <f ca="1">IF($D450&lt;&gt;"Serviço",0,IF(AND(AUTOEVENTO="Manual",$M450=1),0,IF(OFFSET(CRONOPLE!$F$14,$M450,BO$13)="",10^12,OFFSET(CRONOPLE!$F$14,$M450,BO$13))))</f>
        <v>1000000000000</v>
      </c>
      <c r="BP450" s="181">
        <f ca="1">IF($D450&lt;&gt;"Serviço",0,IF(AND(AUTOEVENTO="Manual",$M450=1),0,IF(OFFSET(CRONOPLE!$F$14,$M450,BP$13)="",10^12,OFFSET(CRONOPLE!$F$14,$M450,BP$13))))</f>
        <v>1000000000000</v>
      </c>
      <c r="BQ450" s="181">
        <f ca="1">IF($D450&lt;&gt;"Serviço",0,IF(AND(AUTOEVENTO="Manual",$M450=1),0,IF(OFFSET(CRONOPLE!$F$14,$M450,BQ$13)="",10^12,OFFSET(CRONOPLE!$F$14,$M450,BQ$13))))</f>
        <v>1000000000000</v>
      </c>
      <c r="BR450" s="181">
        <f ca="1">IF($D450&lt;&gt;"Serviço",0,IF(AND(AUTOEVENTO="Manual",$M450=1),0,IF(OFFSET(CRONOPLE!$F$14,$M450,BR$13)="",10^12,OFFSET(CRONOPLE!$F$14,$M450,BR$13))))</f>
        <v>1000000000000</v>
      </c>
      <c r="BS450" s="181">
        <f ca="1">IF($D450&lt;&gt;"Serviço",0,IF(AND(AUTOEVENTO="Manual",$M450=1),0,IF(OFFSET(CRONOPLE!$F$14,$M450,BS$13)="",10^12,OFFSET(CRONOPLE!$F$14,$M450,BS$13))))</f>
        <v>1000000000000</v>
      </c>
      <c r="BT450" s="181">
        <f ca="1">IF($D450&lt;&gt;"Serviço",0,IF(AND(AUTOEVENTO="Manual",$M450=1),0,IF(OFFSET(CRONOPLE!$F$14,$M450,BT$13)="",10^12,OFFSET(CRONOPLE!$F$14,$M450,BT$13))))</f>
        <v>1000000000000</v>
      </c>
      <c r="BV450" s="182">
        <f ca="1">IF($D450&lt;&gt;"Serviço",0,IF(OR(AND(AUTOEVENTO="Manual",$M450=1),$M450&gt;(ROW(PLE.lastrow)-ROW(PLE.firstrow))),0,IF(OFFSET(PLE!$G$14,$M450,BV$13)="",10^12,OFFSET(PLE!$G$14,$M450,BV$13))))</f>
        <v>1000000000000</v>
      </c>
      <c r="BW450" s="182">
        <f ca="1">IF($D450&lt;&gt;"Serviço",0,IF(OR(AND(AUTOEVENTO="Manual",$M450=1),$M450&gt;(ROW(PLE.lastrow)-ROW(PLE.firstrow))),0,IF(OFFSET(PLE!$G$14,$M450,BW$13)="",10^12,OFFSET(PLE!$G$14,$M450,BW$13))))</f>
        <v>1000000000000</v>
      </c>
      <c r="BX450" s="182">
        <f ca="1">IF($D450&lt;&gt;"Serviço",0,IF(OR(AND(AUTOEVENTO="Manual",$M450=1),$M450&gt;(ROW(PLE.lastrow)-ROW(PLE.firstrow))),0,IF(OFFSET(PLE!$G$14,$M450,BX$13)="",10^12,OFFSET(PLE!$G$14,$M450,BX$13))))</f>
        <v>1000000000000</v>
      </c>
      <c r="BY450" s="182">
        <f ca="1">IF($D450&lt;&gt;"Serviço",0,IF(OR(AND(AUTOEVENTO="Manual",$M450=1),$M450&gt;(ROW(PLE.lastrow)-ROW(PLE.firstrow))),0,IF(OFFSET(PLE!$G$14,$M450,BY$13)="",10^12,OFFSET(PLE!$G$14,$M450,BY$13))))</f>
        <v>1000000000000</v>
      </c>
      <c r="BZ450" s="182">
        <f ca="1">IF($D450&lt;&gt;"Serviço",0,IF(OR(AND(AUTOEVENTO="Manual",$M450=1),$M450&gt;(ROW(PLE.lastrow)-ROW(PLE.firstrow))),0,IF(OFFSET(PLE!$G$14,$M450,BZ$13)="",10^12,OFFSET(PLE!$G$14,$M450,BZ$13))))</f>
        <v>1000000000000</v>
      </c>
      <c r="CA450" s="182">
        <f ca="1">IF($D450&lt;&gt;"Serviço",0,IF(OR(AND(AUTOEVENTO="Manual",$M450=1),$M450&gt;(ROW(PLE.lastrow)-ROW(PLE.firstrow))),0,IF(OFFSET(PLE!$G$14,$M450,CA$13)="",10^12,OFFSET(PLE!$G$14,$M450,CA$13))))</f>
        <v>1000000000000</v>
      </c>
      <c r="CB450" s="182">
        <f ca="1">IF($D450&lt;&gt;"Serviço",0,IF(OR(AND(AUTOEVENTO="Manual",$M450=1),$M450&gt;(ROW(PLE.lastrow)-ROW(PLE.firstrow))),0,IF(OFFSET(PLE!$G$14,$M450,CB$13)="",10^12,OFFSET(PLE!$G$14,$M450,CB$13))))</f>
        <v>1000000000000</v>
      </c>
      <c r="CC450" s="182">
        <f ca="1">IF($D450&lt;&gt;"Serviço",0,IF(OR(AND(AUTOEVENTO="Manual",$M450=1),$M450&gt;(ROW(PLE.lastrow)-ROW(PLE.firstrow))),0,IF(OFFSET(PLE!$G$14,$M450,CC$13)="",10^12,OFFSET(PLE!$G$14,$M450,CC$13))))</f>
        <v>1000000000000</v>
      </c>
      <c r="CD450" s="182">
        <f ca="1">IF($D450&lt;&gt;"Serviço",0,IF(OR(AND(AUTOEVENTO="Manual",$M450=1),$M450&gt;(ROW(PLE.lastrow)-ROW(PLE.firstrow))),0,IF(OFFSET(PLE!$G$14,$M450,CD$13)="",10^12,OFFSET(PLE!$G$14,$M450,CD$13))))</f>
        <v>1000000000000</v>
      </c>
      <c r="CE450" s="182">
        <f ca="1">IF($D450&lt;&gt;"Serviço",0,IF(OR(AND(AUTOEVENTO="Manual",$M450=1),$M450&gt;(ROW(PLE.lastrow)-ROW(PLE.firstrow))),0,IF(OFFSET(PLE!$G$14,$M450,CE$13)="",10^12,OFFSET(PLE!$G$14,$M450,CE$13))))</f>
        <v>1000000000000</v>
      </c>
      <c r="CF450" s="182">
        <f ca="1">IF($D450&lt;&gt;"Serviço",0,IF(OR(AND(AUTOEVENTO="Manual",$M450=1),$M450&gt;(ROW(PLE.lastrow)-ROW(PLE.firstrow))),0,IF(OFFSET(PLE!$G$14,$M450,CF$13)="",10^12,OFFSET(PLE!$G$14,$M450,CF$13))))</f>
        <v>1000000000000</v>
      </c>
      <c r="CG450" s="182">
        <f ca="1">IF($D450&lt;&gt;"Serviço",0,IF(OR(AND(AUTOEVENTO="Manual",$M450=1),$M450&gt;(ROW(PLE.lastrow)-ROW(PLE.firstrow))),0,IF(OFFSET(PLE!$G$14,$M450,CG$13)="",10^12,OFFSET(PLE!$G$14,$M450,CG$13))))</f>
        <v>1000000000000</v>
      </c>
      <c r="CH450" s="182">
        <f ca="1">IF($D450&lt;&gt;"Serviço",0,IF(OR(AND(AUTOEVENTO="Manual",$M450=1),$M450&gt;(ROW(PLE.lastrow)-ROW(PLE.firstrow))),0,IF(OFFSET(PLE!$G$14,$M450,CH$13)="",10^12,OFFSET(PLE!$G$14,$M450,CH$13))))</f>
        <v>1000000000000</v>
      </c>
      <c r="CI450" s="182">
        <f ca="1">IF($D450&lt;&gt;"Serviço",0,IF(OR(AND(AUTOEVENTO="Manual",$M450=1),$M450&gt;(ROW(PLE.lastrow)-ROW(PLE.firstrow))),0,IF(OFFSET(PLE!$G$14,$M450,CI$13)="",10^12,OFFSET(PLE!$G$14,$M450,CI$13))))</f>
        <v>1000000000000</v>
      </c>
      <c r="CJ450" s="182">
        <f ca="1">IF($D450&lt;&gt;"Serviço",0,IF(OR(AND(AUTOEVENTO="Manual",$M450=1),$M450&gt;(ROW(PLE.lastrow)-ROW(PLE.firstrow))),0,IF(OFFSET(PLE!$G$14,$M450,CJ$13)="",10^12,OFFSET(PLE!$G$14,$M450,CJ$13))))</f>
        <v>1000000000000</v>
      </c>
      <c r="CK450" s="182">
        <f ca="1">IF($D450&lt;&gt;"Serviço",0,IF(OR(AND(AUTOEVENTO="Manual",$M450=1),$M450&gt;(ROW(PLE.lastrow)-ROW(PLE.firstrow))),0,IF(OFFSET(PLE!$G$14,$M450,CK$13)="",10^12,OFFSET(PLE!$G$14,$M450,CK$13))))</f>
        <v>1000000000000</v>
      </c>
      <c r="CL450" s="182">
        <f ca="1">IF($D450&lt;&gt;"Serviço",0,IF(OR(AND(AUTOEVENTO="Manual",$M450=1),$M450&gt;(ROW(PLE.lastrow)-ROW(PLE.firstrow))),0,IF(OFFSET(PLE!$G$14,$M450,CL$13)="",10^12,OFFSET(PLE!$G$14,$M450,CL$13))))</f>
        <v>1000000000000</v>
      </c>
      <c r="CM450" s="182">
        <f ca="1">IF($D450&lt;&gt;"Serviço",0,IF(OR(AND(AUTOEVENTO="Manual",$M450=1),$M450&gt;(ROW(PLE.lastrow)-ROW(PLE.firstrow))),0,IF(OFFSET(PLE!$G$14,$M450,CM$13)="",10^12,OFFSET(PLE!$G$14,$M450,CM$13))))</f>
        <v>1000000000000</v>
      </c>
    </row>
    <row r="451" spans="1:91" ht="38.25" x14ac:dyDescent="0.2">
      <c r="A451" s="7" t="str">
        <f t="shared" ca="1" si="15"/>
        <v>421</v>
      </c>
      <c r="B451" s="7" t="str">
        <f ca="1">OFFSET(ORÇAMENTO!C$15,ROW(B451)-ROW(B$15),0)</f>
        <v>S</v>
      </c>
      <c r="C451" s="7" t="str">
        <f ca="1">OFFSET(ORÇAMENTO!L$15,ROW(C451)-ROW(C$15),0)</f>
        <v/>
      </c>
      <c r="D451" s="118" t="str">
        <f ca="1">OFFSET(ORÇAMENTO!N$15,ROW(D451)-ROW(D$15),0)</f>
        <v>Serviço</v>
      </c>
      <c r="E451" s="119" t="str">
        <f ca="1">OFFSET(ORÇAMENTO!O$15,ROW(E451)-ROW(E$15),0)</f>
        <v>-</v>
      </c>
      <c r="F451" s="172" t="str">
        <f ca="1">OFFSET(ORÇAMENTO!R$15,ROW(F451)-ROW(F$15),0)</f>
        <v>(abra o arquivo 'Referência 06-2024.xlsm)</v>
      </c>
      <c r="G451" s="173" t="str">
        <f ca="1">IF($D451&lt;&gt;"Serviço","",OFFSET(ORÇAMENTO!S$15,ROW(G451)-ROW(G$15),0))</f>
        <v>-</v>
      </c>
      <c r="H451" s="124">
        <f ca="1">IF($D451&lt;&gt;"Serviço",0,IF(ACOMPANHAMENTO="BM",ROUND(OFFSET(ORÇAMENTO!AJ$15,ROW(H451)-ROW(H$15),0),15-13*ORÇAMENTO!$AF$7),SUMPRODUCT(($Q$12:$AI$12&lt;&gt;"")*ROUND($Q451:$AI451,15-13*ORÇAMENTO!$AF$7))))</f>
        <v>5</v>
      </c>
      <c r="I451" s="561" t="s">
        <v>1107</v>
      </c>
      <c r="K451" s="174"/>
      <c r="L451" s="175" t="s">
        <v>255</v>
      </c>
      <c r="M451" s="176">
        <f ca="1">IF($D451&lt;&gt;"Serviço","",IF(AUTOEVENTO="manual",$A451,IF(ISERROR(MATCH($A451,$A$15:OFFSET($A451,-1,0),0)),MAX($M$15:OFFSET(M451,-1,0))+1,INDEX($M$15:OFFSET(M451,-1,0),MATCH($A451,$A$15:OFFSET($A451,-1,0),0)))))</f>
        <v>49</v>
      </c>
      <c r="N451" s="177" t="str">
        <f ca="1">IF($D451&lt;&gt;"Serviço","",IF(AUTOEVENTO="Manual",IF($A451=0,"&lt;-- defina o número do agrupador",OFFSET(EVENTOS!$D$14,$A451,0)),OFFSET($F$15,$A451,0)))</f>
        <v>SISTEMA DE PROTEÇÃO CONTRA INCÊNDIO - TUBULAÇÕES E CONEXÕES</v>
      </c>
      <c r="O451" s="178"/>
      <c r="Q451" s="178">
        <v>5</v>
      </c>
      <c r="R451" s="179"/>
      <c r="S451" s="179"/>
      <c r="T451" s="179"/>
      <c r="U451" s="179"/>
      <c r="V451" s="179"/>
      <c r="W451" s="179"/>
      <c r="X451" s="179"/>
      <c r="Y451" s="179"/>
      <c r="Z451" s="180"/>
      <c r="AA451" s="179"/>
      <c r="AB451" s="179"/>
      <c r="AC451" s="179"/>
      <c r="AD451" s="179"/>
      <c r="AE451" s="179"/>
      <c r="AF451" s="179"/>
      <c r="AG451" s="179"/>
      <c r="AH451" s="180"/>
      <c r="AJ451" s="544">
        <f ca="1">IF(AND($D451="Serviço",AJ$12&lt;&gt;0,$H451&gt;0,OR(AUTOEVENTO&lt;&gt;"manual",$M451&lt;&gt;1)),
IF(Import.TipoArredondamento&lt;&gt;"TransfereGOV",
ROUND(OFFSET($P451,0,AJ$13),15-13*ORÇAMENTO!$AF$7)/$H451*OFFSET(ORÇAMENTO!$X$15,ROW(AJ451)-ROW(AJ$15),0),
ROUND(ROUND(OFFSET($P451,0,AJ$13),15-13*ORÇAMENTO!$AF$7)*OFFSET(ORÇAMENTO!$W$15,ROW(AJ451)-ROW(AJ$15),0),15-13*ORÇAMENTO!$AF$11)),0)</f>
        <v>0</v>
      </c>
      <c r="AK451" s="545">
        <f ca="1">IF(AND($D451="Serviço",AK$12&lt;&gt;0,$H451&gt;0,OR(AUTOEVENTO&lt;&gt;"manual",$M451&lt;&gt;1)),
IF(Import.TipoArredondamento&lt;&gt;"TransfereGOV",
ROUND(OFFSET($P451,0,AK$13),15-13*ORÇAMENTO!$AF$7)/$H451*OFFSET(ORÇAMENTO!$X$15,ROW(AK451)-ROW(AK$15),0),
ROUND(ROUND(OFFSET($P451,0,AK$13),15-13*ORÇAMENTO!$AF$7)*OFFSET(ORÇAMENTO!$W$15,ROW(AK451)-ROW(AK$15),0),15-13*ORÇAMENTO!$AF$11)),0)</f>
        <v>0</v>
      </c>
      <c r="AL451" s="545">
        <f ca="1">IF(AND($D451="Serviço",AL$12&lt;&gt;0,$H451&gt;0,OR(AUTOEVENTO&lt;&gt;"manual",$M451&lt;&gt;1)),
IF(Import.TipoArredondamento&lt;&gt;"TransfereGOV",
ROUND(OFFSET($P451,0,AL$13),15-13*ORÇAMENTO!$AF$7)/$H451*OFFSET(ORÇAMENTO!$X$15,ROW(AL451)-ROW(AL$15),0),
ROUND(ROUND(OFFSET($P451,0,AL$13),15-13*ORÇAMENTO!$AF$7)*OFFSET(ORÇAMENTO!$W$15,ROW(AL451)-ROW(AL$15),0),15-13*ORÇAMENTO!$AF$11)),0)</f>
        <v>0</v>
      </c>
      <c r="AM451" s="545">
        <f ca="1">IF(AND($D451="Serviço",AM$12&lt;&gt;0,$H451&gt;0,OR(AUTOEVENTO&lt;&gt;"manual",$M451&lt;&gt;1)),
IF(Import.TipoArredondamento&lt;&gt;"TransfereGOV",
ROUND(OFFSET($P451,0,AM$13),15-13*ORÇAMENTO!$AF$7)/$H451*OFFSET(ORÇAMENTO!$X$15,ROW(AM451)-ROW(AM$15),0),
ROUND(ROUND(OFFSET($P451,0,AM$13),15-13*ORÇAMENTO!$AF$7)*OFFSET(ORÇAMENTO!$W$15,ROW(AM451)-ROW(AM$15),0),15-13*ORÇAMENTO!$AF$11)),0)</f>
        <v>0</v>
      </c>
      <c r="AN451" s="545">
        <f ca="1">IF(AND($D451="Serviço",AN$12&lt;&gt;0,$H451&gt;0,OR(AUTOEVENTO&lt;&gt;"manual",$M451&lt;&gt;1)),
IF(Import.TipoArredondamento&lt;&gt;"TransfereGOV",
ROUND(OFFSET($P451,0,AN$13),15-13*ORÇAMENTO!$AF$7)/$H451*OFFSET(ORÇAMENTO!$X$15,ROW(AN451)-ROW(AN$15),0),
ROUND(ROUND(OFFSET($P451,0,AN$13),15-13*ORÇAMENTO!$AF$7)*OFFSET(ORÇAMENTO!$W$15,ROW(AN451)-ROW(AN$15),0),15-13*ORÇAMENTO!$AF$11)),0)</f>
        <v>0</v>
      </c>
      <c r="AO451" s="545">
        <f ca="1">IF(AND($D451="Serviço",AO$12&lt;&gt;0,$H451&gt;0,OR(AUTOEVENTO&lt;&gt;"manual",$M451&lt;&gt;1)),
IF(Import.TipoArredondamento&lt;&gt;"TransfereGOV",
ROUND(OFFSET($P451,0,AO$13),15-13*ORÇAMENTO!$AF$7)/$H451*OFFSET(ORÇAMENTO!$X$15,ROW(AO451)-ROW(AO$15),0),
ROUND(ROUND(OFFSET($P451,0,AO$13),15-13*ORÇAMENTO!$AF$7)*OFFSET(ORÇAMENTO!$W$15,ROW(AO451)-ROW(AO$15),0),15-13*ORÇAMENTO!$AF$11)),0)</f>
        <v>0</v>
      </c>
      <c r="AP451" s="545">
        <f ca="1">IF(AND($D451="Serviço",AP$12&lt;&gt;0,$H451&gt;0,OR(AUTOEVENTO&lt;&gt;"manual",$M451&lt;&gt;1)),
IF(Import.TipoArredondamento&lt;&gt;"TransfereGOV",
ROUND(OFFSET($P451,0,AP$13),15-13*ORÇAMENTO!$AF$7)/$H451*OFFSET(ORÇAMENTO!$X$15,ROW(AP451)-ROW(AP$15),0),
ROUND(ROUND(OFFSET($P451,0,AP$13),15-13*ORÇAMENTO!$AF$7)*OFFSET(ORÇAMENTO!$W$15,ROW(AP451)-ROW(AP$15),0),15-13*ORÇAMENTO!$AF$11)),0)</f>
        <v>0</v>
      </c>
      <c r="AQ451" s="545">
        <f ca="1">IF(AND($D451="Serviço",AQ$12&lt;&gt;0,$H451&gt;0,OR(AUTOEVENTO&lt;&gt;"manual",$M451&lt;&gt;1)),
IF(Import.TipoArredondamento&lt;&gt;"TransfereGOV",
ROUND(OFFSET($P451,0,AQ$13),15-13*ORÇAMENTO!$AF$7)/$H451*OFFSET(ORÇAMENTO!$X$15,ROW(AQ451)-ROW(AQ$15),0),
ROUND(ROUND(OFFSET($P451,0,AQ$13),15-13*ORÇAMENTO!$AF$7)*OFFSET(ORÇAMENTO!$W$15,ROW(AQ451)-ROW(AQ$15),0),15-13*ORÇAMENTO!$AF$11)),0)</f>
        <v>0</v>
      </c>
      <c r="AR451" s="545">
        <f ca="1">IF(AND($D451="Serviço",AR$12&lt;&gt;0,$H451&gt;0,OR(AUTOEVENTO&lt;&gt;"manual",$M451&lt;&gt;1)),
IF(Import.TipoArredondamento&lt;&gt;"TransfereGOV",
ROUND(OFFSET($P451,0,AR$13),15-13*ORÇAMENTO!$AF$7)/$H451*OFFSET(ORÇAMENTO!$X$15,ROW(AR451)-ROW(AR$15),0),
ROUND(ROUND(OFFSET($P451,0,AR$13),15-13*ORÇAMENTO!$AF$7)*OFFSET(ORÇAMENTO!$W$15,ROW(AR451)-ROW(AR$15),0),15-13*ORÇAMENTO!$AF$11)),0)</f>
        <v>0</v>
      </c>
      <c r="AS451" s="546">
        <f ca="1">IF(AND($D451="Serviço",AS$12&lt;&gt;0,$H451&gt;0,OR(AUTOEVENTO&lt;&gt;"manual",$M451&lt;&gt;1)),
IF(Import.TipoArredondamento&lt;&gt;"TransfereGOV",
ROUND(OFFSET($P451,0,AS$13),15-13*ORÇAMENTO!$AF$7)/$H451*OFFSET(ORÇAMENTO!$X$15,ROW(AS451)-ROW(AS$15),0),
ROUND(ROUND(OFFSET($P451,0,AS$13),15-13*ORÇAMENTO!$AF$7)*OFFSET(ORÇAMENTO!$W$15,ROW(AS451)-ROW(AS$15),0),15-13*ORÇAMENTO!$AF$11)),0)</f>
        <v>0</v>
      </c>
      <c r="AT451" s="545">
        <f ca="1">IF(AND($D451="Serviço",AT$12&lt;&gt;0,$H451&gt;0,OR(AUTOEVENTO&lt;&gt;"manual",$M451&lt;&gt;1)),
IF(Import.TipoArredondamento&lt;&gt;"TransfereGOV",
ROUND(OFFSET($P451,0,AT$13),15-13*ORÇAMENTO!$AF$7)/$H451*OFFSET(ORÇAMENTO!$X$15,ROW(AT451)-ROW(AT$15),0),
ROUND(ROUND(OFFSET($P451,0,AT$13),15-13*ORÇAMENTO!$AF$7)*OFFSET(ORÇAMENTO!$W$15,ROW(AT451)-ROW(AT$15),0),15-13*ORÇAMENTO!$AF$11)),0)</f>
        <v>0</v>
      </c>
      <c r="AU451" s="545">
        <f ca="1">IF(AND($D451="Serviço",AU$12&lt;&gt;0,$H451&gt;0,OR(AUTOEVENTO&lt;&gt;"manual",$M451&lt;&gt;1)),
IF(Import.TipoArredondamento&lt;&gt;"TransfereGOV",
ROUND(OFFSET($P451,0,AU$13),15-13*ORÇAMENTO!$AF$7)/$H451*OFFSET(ORÇAMENTO!$X$15,ROW(AU451)-ROW(AU$15),0),
ROUND(ROUND(OFFSET($P451,0,AU$13),15-13*ORÇAMENTO!$AF$7)*OFFSET(ORÇAMENTO!$W$15,ROW(AU451)-ROW(AU$15),0),15-13*ORÇAMENTO!$AF$11)),0)</f>
        <v>0</v>
      </c>
      <c r="AV451" s="545">
        <f ca="1">IF(AND($D451="Serviço",AV$12&lt;&gt;0,$H451&gt;0,OR(AUTOEVENTO&lt;&gt;"manual",$M451&lt;&gt;1)),
IF(Import.TipoArredondamento&lt;&gt;"TransfereGOV",
ROUND(OFFSET($P451,0,AV$13),15-13*ORÇAMENTO!$AF$7)/$H451*OFFSET(ORÇAMENTO!$X$15,ROW(AV451)-ROW(AV$15),0),
ROUND(ROUND(OFFSET($P451,0,AV$13),15-13*ORÇAMENTO!$AF$7)*OFFSET(ORÇAMENTO!$W$15,ROW(AV451)-ROW(AV$15),0),15-13*ORÇAMENTO!$AF$11)),0)</f>
        <v>0</v>
      </c>
      <c r="AW451" s="545">
        <f ca="1">IF(AND($D451="Serviço",AW$12&lt;&gt;0,$H451&gt;0,OR(AUTOEVENTO&lt;&gt;"manual",$M451&lt;&gt;1)),
IF(Import.TipoArredondamento&lt;&gt;"TransfereGOV",
ROUND(OFFSET($P451,0,AW$13),15-13*ORÇAMENTO!$AF$7)/$H451*OFFSET(ORÇAMENTO!$X$15,ROW(AW451)-ROW(AW$15),0),
ROUND(ROUND(OFFSET($P451,0,AW$13),15-13*ORÇAMENTO!$AF$7)*OFFSET(ORÇAMENTO!$W$15,ROW(AW451)-ROW(AW$15),0),15-13*ORÇAMENTO!$AF$11)),0)</f>
        <v>0</v>
      </c>
      <c r="AX451" s="545">
        <f ca="1">IF(AND($D451="Serviço",AX$12&lt;&gt;0,$H451&gt;0,OR(AUTOEVENTO&lt;&gt;"manual",$M451&lt;&gt;1)),
IF(Import.TipoArredondamento&lt;&gt;"TransfereGOV",
ROUND(OFFSET($P451,0,AX$13),15-13*ORÇAMENTO!$AF$7)/$H451*OFFSET(ORÇAMENTO!$X$15,ROW(AX451)-ROW(AX$15),0),
ROUND(ROUND(OFFSET($P451,0,AX$13),15-13*ORÇAMENTO!$AF$7)*OFFSET(ORÇAMENTO!$W$15,ROW(AX451)-ROW(AX$15),0),15-13*ORÇAMENTO!$AF$11)),0)</f>
        <v>0</v>
      </c>
      <c r="AY451" s="545">
        <f ca="1">IF(AND($D451="Serviço",AY$12&lt;&gt;0,$H451&gt;0,OR(AUTOEVENTO&lt;&gt;"manual",$M451&lt;&gt;1)),
IF(Import.TipoArredondamento&lt;&gt;"TransfereGOV",
ROUND(OFFSET($P451,0,AY$13),15-13*ORÇAMENTO!$AF$7)/$H451*OFFSET(ORÇAMENTO!$X$15,ROW(AY451)-ROW(AY$15),0),
ROUND(ROUND(OFFSET($P451,0,AY$13),15-13*ORÇAMENTO!$AF$7)*OFFSET(ORÇAMENTO!$W$15,ROW(AY451)-ROW(AY$15),0),15-13*ORÇAMENTO!$AF$11)),0)</f>
        <v>0</v>
      </c>
      <c r="AZ451" s="545">
        <f ca="1">IF(AND($D451="Serviço",AZ$12&lt;&gt;0,$H451&gt;0,OR(AUTOEVENTO&lt;&gt;"manual",$M451&lt;&gt;1)),
IF(Import.TipoArredondamento&lt;&gt;"TransfereGOV",
ROUND(OFFSET($P451,0,AZ$13),15-13*ORÇAMENTO!$AF$7)/$H451*OFFSET(ORÇAMENTO!$X$15,ROW(AZ451)-ROW(AZ$15),0),
ROUND(ROUND(OFFSET($P451,0,AZ$13),15-13*ORÇAMENTO!$AF$7)*OFFSET(ORÇAMENTO!$W$15,ROW(AZ451)-ROW(AZ$15),0),15-13*ORÇAMENTO!$AF$11)),0)</f>
        <v>0</v>
      </c>
      <c r="BA451" s="546">
        <f ca="1">IF(AND($D451="Serviço",BA$12&lt;&gt;0,$H451&gt;0,OR(AUTOEVENTO&lt;&gt;"manual",$M451&lt;&gt;1)),
IF(Import.TipoArredondamento&lt;&gt;"TransfereGOV",
ROUND(OFFSET($P451,0,BA$13),15-13*ORÇAMENTO!$AF$7)/$H451*OFFSET(ORÇAMENTO!$X$15,ROW(BA451)-ROW(BA$15),0),
ROUND(ROUND(OFFSET($P451,0,BA$13),15-13*ORÇAMENTO!$AF$7)*OFFSET(ORÇAMENTO!$W$15,ROW(BA451)-ROW(BA$15),0),15-13*ORÇAMENTO!$AF$11)),0)</f>
        <v>0</v>
      </c>
      <c r="BC451" s="181">
        <f ca="1">IF($D451&lt;&gt;"Serviço",0,IF(AND(AUTOEVENTO="Manual",$M451=1),0,IF(OFFSET(CRONOPLE!$F$14,$M451,BC$13)="",10^12,OFFSET(CRONOPLE!$F$14,$M451,BC$13))))</f>
        <v>10</v>
      </c>
      <c r="BD451" s="181">
        <f ca="1">IF($D451&lt;&gt;"Serviço",0,IF(AND(AUTOEVENTO="Manual",$M451=1),0,IF(OFFSET(CRONOPLE!$F$14,$M451,BD$13)="",10^12,OFFSET(CRONOPLE!$F$14,$M451,BD$13))))</f>
        <v>1000000000000</v>
      </c>
      <c r="BE451" s="181">
        <f ca="1">IF($D451&lt;&gt;"Serviço",0,IF(AND(AUTOEVENTO="Manual",$M451=1),0,IF(OFFSET(CRONOPLE!$F$14,$M451,BE$13)="",10^12,OFFSET(CRONOPLE!$F$14,$M451,BE$13))))</f>
        <v>1000000000000</v>
      </c>
      <c r="BF451" s="181">
        <f ca="1">IF($D451&lt;&gt;"Serviço",0,IF(AND(AUTOEVENTO="Manual",$M451=1),0,IF(OFFSET(CRONOPLE!$F$14,$M451,BF$13)="",10^12,OFFSET(CRONOPLE!$F$14,$M451,BF$13))))</f>
        <v>1000000000000</v>
      </c>
      <c r="BG451" s="181">
        <f ca="1">IF($D451&lt;&gt;"Serviço",0,IF(AND(AUTOEVENTO="Manual",$M451=1),0,IF(OFFSET(CRONOPLE!$F$14,$M451,BG$13)="",10^12,OFFSET(CRONOPLE!$F$14,$M451,BG$13))))</f>
        <v>1000000000000</v>
      </c>
      <c r="BH451" s="181">
        <f ca="1">IF($D451&lt;&gt;"Serviço",0,IF(AND(AUTOEVENTO="Manual",$M451=1),0,IF(OFFSET(CRONOPLE!$F$14,$M451,BH$13)="",10^12,OFFSET(CRONOPLE!$F$14,$M451,BH$13))))</f>
        <v>1000000000000</v>
      </c>
      <c r="BI451" s="181">
        <f ca="1">IF($D451&lt;&gt;"Serviço",0,IF(AND(AUTOEVENTO="Manual",$M451=1),0,IF(OFFSET(CRONOPLE!$F$14,$M451,BI$13)="",10^12,OFFSET(CRONOPLE!$F$14,$M451,BI$13))))</f>
        <v>1000000000000</v>
      </c>
      <c r="BJ451" s="181">
        <f ca="1">IF($D451&lt;&gt;"Serviço",0,IF(AND(AUTOEVENTO="Manual",$M451=1),0,IF(OFFSET(CRONOPLE!$F$14,$M451,BJ$13)="",10^12,OFFSET(CRONOPLE!$F$14,$M451,BJ$13))))</f>
        <v>1000000000000</v>
      </c>
      <c r="BK451" s="181">
        <f ca="1">IF($D451&lt;&gt;"Serviço",0,IF(AND(AUTOEVENTO="Manual",$M451=1),0,IF(OFFSET(CRONOPLE!$F$14,$M451,BK$13)="",10^12,OFFSET(CRONOPLE!$F$14,$M451,BK$13))))</f>
        <v>1000000000000</v>
      </c>
      <c r="BL451" s="181">
        <f ca="1">IF($D451&lt;&gt;"Serviço",0,IF(AND(AUTOEVENTO="Manual",$M451=1),0,IF(OFFSET(CRONOPLE!$F$14,$M451,BL$13)="",10^12,OFFSET(CRONOPLE!$F$14,$M451,BL$13))))</f>
        <v>1000000000000</v>
      </c>
      <c r="BM451" s="181">
        <f ca="1">IF($D451&lt;&gt;"Serviço",0,IF(AND(AUTOEVENTO="Manual",$M451=1),0,IF(OFFSET(CRONOPLE!$F$14,$M451,BM$13)="",10^12,OFFSET(CRONOPLE!$F$14,$M451,BM$13))))</f>
        <v>1000000000000</v>
      </c>
      <c r="BN451" s="181">
        <f ca="1">IF($D451&lt;&gt;"Serviço",0,IF(AND(AUTOEVENTO="Manual",$M451=1),0,IF(OFFSET(CRONOPLE!$F$14,$M451,BN$13)="",10^12,OFFSET(CRONOPLE!$F$14,$M451,BN$13))))</f>
        <v>1000000000000</v>
      </c>
      <c r="BO451" s="181">
        <f ca="1">IF($D451&lt;&gt;"Serviço",0,IF(AND(AUTOEVENTO="Manual",$M451=1),0,IF(OFFSET(CRONOPLE!$F$14,$M451,BO$13)="",10^12,OFFSET(CRONOPLE!$F$14,$M451,BO$13))))</f>
        <v>1000000000000</v>
      </c>
      <c r="BP451" s="181">
        <f ca="1">IF($D451&lt;&gt;"Serviço",0,IF(AND(AUTOEVENTO="Manual",$M451=1),0,IF(OFFSET(CRONOPLE!$F$14,$M451,BP$13)="",10^12,OFFSET(CRONOPLE!$F$14,$M451,BP$13))))</f>
        <v>1000000000000</v>
      </c>
      <c r="BQ451" s="181">
        <f ca="1">IF($D451&lt;&gt;"Serviço",0,IF(AND(AUTOEVENTO="Manual",$M451=1),0,IF(OFFSET(CRONOPLE!$F$14,$M451,BQ$13)="",10^12,OFFSET(CRONOPLE!$F$14,$M451,BQ$13))))</f>
        <v>1000000000000</v>
      </c>
      <c r="BR451" s="181">
        <f ca="1">IF($D451&lt;&gt;"Serviço",0,IF(AND(AUTOEVENTO="Manual",$M451=1),0,IF(OFFSET(CRONOPLE!$F$14,$M451,BR$13)="",10^12,OFFSET(CRONOPLE!$F$14,$M451,BR$13))))</f>
        <v>1000000000000</v>
      </c>
      <c r="BS451" s="181">
        <f ca="1">IF($D451&lt;&gt;"Serviço",0,IF(AND(AUTOEVENTO="Manual",$M451=1),0,IF(OFFSET(CRONOPLE!$F$14,$M451,BS$13)="",10^12,OFFSET(CRONOPLE!$F$14,$M451,BS$13))))</f>
        <v>1000000000000</v>
      </c>
      <c r="BT451" s="181">
        <f ca="1">IF($D451&lt;&gt;"Serviço",0,IF(AND(AUTOEVENTO="Manual",$M451=1),0,IF(OFFSET(CRONOPLE!$F$14,$M451,BT$13)="",10^12,OFFSET(CRONOPLE!$F$14,$M451,BT$13))))</f>
        <v>1000000000000</v>
      </c>
      <c r="BV451" s="182">
        <f ca="1">IF($D451&lt;&gt;"Serviço",0,IF(OR(AND(AUTOEVENTO="Manual",$M451=1),$M451&gt;(ROW(PLE.lastrow)-ROW(PLE.firstrow))),0,IF(OFFSET(PLE!$G$14,$M451,BV$13)="",10^12,OFFSET(PLE!$G$14,$M451,BV$13))))</f>
        <v>1000000000000</v>
      </c>
      <c r="BW451" s="182">
        <f ca="1">IF($D451&lt;&gt;"Serviço",0,IF(OR(AND(AUTOEVENTO="Manual",$M451=1),$M451&gt;(ROW(PLE.lastrow)-ROW(PLE.firstrow))),0,IF(OFFSET(PLE!$G$14,$M451,BW$13)="",10^12,OFFSET(PLE!$G$14,$M451,BW$13))))</f>
        <v>1000000000000</v>
      </c>
      <c r="BX451" s="182">
        <f ca="1">IF($D451&lt;&gt;"Serviço",0,IF(OR(AND(AUTOEVENTO="Manual",$M451=1),$M451&gt;(ROW(PLE.lastrow)-ROW(PLE.firstrow))),0,IF(OFFSET(PLE!$G$14,$M451,BX$13)="",10^12,OFFSET(PLE!$G$14,$M451,BX$13))))</f>
        <v>1000000000000</v>
      </c>
      <c r="BY451" s="182">
        <f ca="1">IF($D451&lt;&gt;"Serviço",0,IF(OR(AND(AUTOEVENTO="Manual",$M451=1),$M451&gt;(ROW(PLE.lastrow)-ROW(PLE.firstrow))),0,IF(OFFSET(PLE!$G$14,$M451,BY$13)="",10^12,OFFSET(PLE!$G$14,$M451,BY$13))))</f>
        <v>1000000000000</v>
      </c>
      <c r="BZ451" s="182">
        <f ca="1">IF($D451&lt;&gt;"Serviço",0,IF(OR(AND(AUTOEVENTO="Manual",$M451=1),$M451&gt;(ROW(PLE.lastrow)-ROW(PLE.firstrow))),0,IF(OFFSET(PLE!$G$14,$M451,BZ$13)="",10^12,OFFSET(PLE!$G$14,$M451,BZ$13))))</f>
        <v>1000000000000</v>
      </c>
      <c r="CA451" s="182">
        <f ca="1">IF($D451&lt;&gt;"Serviço",0,IF(OR(AND(AUTOEVENTO="Manual",$M451=1),$M451&gt;(ROW(PLE.lastrow)-ROW(PLE.firstrow))),0,IF(OFFSET(PLE!$G$14,$M451,CA$13)="",10^12,OFFSET(PLE!$G$14,$M451,CA$13))))</f>
        <v>1000000000000</v>
      </c>
      <c r="CB451" s="182">
        <f ca="1">IF($D451&lt;&gt;"Serviço",0,IF(OR(AND(AUTOEVENTO="Manual",$M451=1),$M451&gt;(ROW(PLE.lastrow)-ROW(PLE.firstrow))),0,IF(OFFSET(PLE!$G$14,$M451,CB$13)="",10^12,OFFSET(PLE!$G$14,$M451,CB$13))))</f>
        <v>1000000000000</v>
      </c>
      <c r="CC451" s="182">
        <f ca="1">IF($D451&lt;&gt;"Serviço",0,IF(OR(AND(AUTOEVENTO="Manual",$M451=1),$M451&gt;(ROW(PLE.lastrow)-ROW(PLE.firstrow))),0,IF(OFFSET(PLE!$G$14,$M451,CC$13)="",10^12,OFFSET(PLE!$G$14,$M451,CC$13))))</f>
        <v>1000000000000</v>
      </c>
      <c r="CD451" s="182">
        <f ca="1">IF($D451&lt;&gt;"Serviço",0,IF(OR(AND(AUTOEVENTO="Manual",$M451=1),$M451&gt;(ROW(PLE.lastrow)-ROW(PLE.firstrow))),0,IF(OFFSET(PLE!$G$14,$M451,CD$13)="",10^12,OFFSET(PLE!$G$14,$M451,CD$13))))</f>
        <v>1000000000000</v>
      </c>
      <c r="CE451" s="182">
        <f ca="1">IF($D451&lt;&gt;"Serviço",0,IF(OR(AND(AUTOEVENTO="Manual",$M451=1),$M451&gt;(ROW(PLE.lastrow)-ROW(PLE.firstrow))),0,IF(OFFSET(PLE!$G$14,$M451,CE$13)="",10^12,OFFSET(PLE!$G$14,$M451,CE$13))))</f>
        <v>1000000000000</v>
      </c>
      <c r="CF451" s="182">
        <f ca="1">IF($D451&lt;&gt;"Serviço",0,IF(OR(AND(AUTOEVENTO="Manual",$M451=1),$M451&gt;(ROW(PLE.lastrow)-ROW(PLE.firstrow))),0,IF(OFFSET(PLE!$G$14,$M451,CF$13)="",10^12,OFFSET(PLE!$G$14,$M451,CF$13))))</f>
        <v>1000000000000</v>
      </c>
      <c r="CG451" s="182">
        <f ca="1">IF($D451&lt;&gt;"Serviço",0,IF(OR(AND(AUTOEVENTO="Manual",$M451=1),$M451&gt;(ROW(PLE.lastrow)-ROW(PLE.firstrow))),0,IF(OFFSET(PLE!$G$14,$M451,CG$13)="",10^12,OFFSET(PLE!$G$14,$M451,CG$13))))</f>
        <v>1000000000000</v>
      </c>
      <c r="CH451" s="182">
        <f ca="1">IF($D451&lt;&gt;"Serviço",0,IF(OR(AND(AUTOEVENTO="Manual",$M451=1),$M451&gt;(ROW(PLE.lastrow)-ROW(PLE.firstrow))),0,IF(OFFSET(PLE!$G$14,$M451,CH$13)="",10^12,OFFSET(PLE!$G$14,$M451,CH$13))))</f>
        <v>1000000000000</v>
      </c>
      <c r="CI451" s="182">
        <f ca="1">IF($D451&lt;&gt;"Serviço",0,IF(OR(AND(AUTOEVENTO="Manual",$M451=1),$M451&gt;(ROW(PLE.lastrow)-ROW(PLE.firstrow))),0,IF(OFFSET(PLE!$G$14,$M451,CI$13)="",10^12,OFFSET(PLE!$G$14,$M451,CI$13))))</f>
        <v>1000000000000</v>
      </c>
      <c r="CJ451" s="182">
        <f ca="1">IF($D451&lt;&gt;"Serviço",0,IF(OR(AND(AUTOEVENTO="Manual",$M451=1),$M451&gt;(ROW(PLE.lastrow)-ROW(PLE.firstrow))),0,IF(OFFSET(PLE!$G$14,$M451,CJ$13)="",10^12,OFFSET(PLE!$G$14,$M451,CJ$13))))</f>
        <v>1000000000000</v>
      </c>
      <c r="CK451" s="182">
        <f ca="1">IF($D451&lt;&gt;"Serviço",0,IF(OR(AND(AUTOEVENTO="Manual",$M451=1),$M451&gt;(ROW(PLE.lastrow)-ROW(PLE.firstrow))),0,IF(OFFSET(PLE!$G$14,$M451,CK$13)="",10^12,OFFSET(PLE!$G$14,$M451,CK$13))))</f>
        <v>1000000000000</v>
      </c>
      <c r="CL451" s="182">
        <f ca="1">IF($D451&lt;&gt;"Serviço",0,IF(OR(AND(AUTOEVENTO="Manual",$M451=1),$M451&gt;(ROW(PLE.lastrow)-ROW(PLE.firstrow))),0,IF(OFFSET(PLE!$G$14,$M451,CL$13)="",10^12,OFFSET(PLE!$G$14,$M451,CL$13))))</f>
        <v>1000000000000</v>
      </c>
      <c r="CM451" s="182">
        <f ca="1">IF($D451&lt;&gt;"Serviço",0,IF(OR(AND(AUTOEVENTO="Manual",$M451=1),$M451&gt;(ROW(PLE.lastrow)-ROW(PLE.firstrow))),0,IF(OFFSET(PLE!$G$14,$M451,CM$13)="",10^12,OFFSET(PLE!$G$14,$M451,CM$13))))</f>
        <v>1000000000000</v>
      </c>
    </row>
    <row r="452" spans="1:91" ht="38.25" x14ac:dyDescent="0.2">
      <c r="A452" s="7" t="str">
        <f t="shared" ca="1" si="15"/>
        <v>421</v>
      </c>
      <c r="B452" s="7" t="str">
        <f ca="1">OFFSET(ORÇAMENTO!C$15,ROW(B452)-ROW(B$15),0)</f>
        <v>S</v>
      </c>
      <c r="C452" s="7" t="str">
        <f ca="1">OFFSET(ORÇAMENTO!L$15,ROW(C452)-ROW(C$15),0)</f>
        <v/>
      </c>
      <c r="D452" s="118" t="str">
        <f ca="1">OFFSET(ORÇAMENTO!N$15,ROW(D452)-ROW(D$15),0)</f>
        <v>Serviço</v>
      </c>
      <c r="E452" s="119" t="str">
        <f ca="1">OFFSET(ORÇAMENTO!O$15,ROW(E452)-ROW(E$15),0)</f>
        <v>-</v>
      </c>
      <c r="F452" s="172" t="str">
        <f ca="1">OFFSET(ORÇAMENTO!R$15,ROW(F452)-ROW(F$15),0)</f>
        <v>(abra o arquivo 'Referência 06-2024.xlsm)</v>
      </c>
      <c r="G452" s="173" t="str">
        <f ca="1">IF($D452&lt;&gt;"Serviço","",OFFSET(ORÇAMENTO!S$15,ROW(G452)-ROW(G$15),0))</f>
        <v>-</v>
      </c>
      <c r="H452" s="124">
        <f ca="1">IF($D452&lt;&gt;"Serviço",0,IF(ACOMPANHAMENTO="BM",ROUND(OFFSET(ORÇAMENTO!AJ$15,ROW(H452)-ROW(H$15),0),15-13*ORÇAMENTO!$AF$7),SUMPRODUCT(($Q$12:$AI$12&lt;&gt;"")*ROUND($Q452:$AI452,15-13*ORÇAMENTO!$AF$7))))</f>
        <v>5</v>
      </c>
      <c r="I452" s="561" t="s">
        <v>1107</v>
      </c>
      <c r="K452" s="174"/>
      <c r="L452" s="175" t="s">
        <v>255</v>
      </c>
      <c r="M452" s="176">
        <f ca="1">IF($D452&lt;&gt;"Serviço","",IF(AUTOEVENTO="manual",$A452,IF(ISERROR(MATCH($A452,$A$15:OFFSET($A452,-1,0),0)),MAX($M$15:OFFSET(M452,-1,0))+1,INDEX($M$15:OFFSET(M452,-1,0),MATCH($A452,$A$15:OFFSET($A452,-1,0),0)))))</f>
        <v>49</v>
      </c>
      <c r="N452" s="177" t="str">
        <f ca="1">IF($D452&lt;&gt;"Serviço","",IF(AUTOEVENTO="Manual",IF($A452=0,"&lt;-- defina o número do agrupador",OFFSET(EVENTOS!$D$14,$A452,0)),OFFSET($F$15,$A452,0)))</f>
        <v>SISTEMA DE PROTEÇÃO CONTRA INCÊNDIO - TUBULAÇÕES E CONEXÕES</v>
      </c>
      <c r="O452" s="178"/>
      <c r="Q452" s="178">
        <v>5</v>
      </c>
      <c r="R452" s="179"/>
      <c r="S452" s="179"/>
      <c r="T452" s="179"/>
      <c r="U452" s="179"/>
      <c r="V452" s="179"/>
      <c r="W452" s="179"/>
      <c r="X452" s="179"/>
      <c r="Y452" s="179"/>
      <c r="Z452" s="180"/>
      <c r="AA452" s="179"/>
      <c r="AB452" s="179"/>
      <c r="AC452" s="179"/>
      <c r="AD452" s="179"/>
      <c r="AE452" s="179"/>
      <c r="AF452" s="179"/>
      <c r="AG452" s="179"/>
      <c r="AH452" s="180"/>
      <c r="AJ452" s="544">
        <f ca="1">IF(AND($D452="Serviço",AJ$12&lt;&gt;0,$H452&gt;0,OR(AUTOEVENTO&lt;&gt;"manual",$M452&lt;&gt;1)),
IF(Import.TipoArredondamento&lt;&gt;"TransfereGOV",
ROUND(OFFSET($P452,0,AJ$13),15-13*ORÇAMENTO!$AF$7)/$H452*OFFSET(ORÇAMENTO!$X$15,ROW(AJ452)-ROW(AJ$15),0),
ROUND(ROUND(OFFSET($P452,0,AJ$13),15-13*ORÇAMENTO!$AF$7)*OFFSET(ORÇAMENTO!$W$15,ROW(AJ452)-ROW(AJ$15),0),15-13*ORÇAMENTO!$AF$11)),0)</f>
        <v>0</v>
      </c>
      <c r="AK452" s="545">
        <f ca="1">IF(AND($D452="Serviço",AK$12&lt;&gt;0,$H452&gt;0,OR(AUTOEVENTO&lt;&gt;"manual",$M452&lt;&gt;1)),
IF(Import.TipoArredondamento&lt;&gt;"TransfereGOV",
ROUND(OFFSET($P452,0,AK$13),15-13*ORÇAMENTO!$AF$7)/$H452*OFFSET(ORÇAMENTO!$X$15,ROW(AK452)-ROW(AK$15),0),
ROUND(ROUND(OFFSET($P452,0,AK$13),15-13*ORÇAMENTO!$AF$7)*OFFSET(ORÇAMENTO!$W$15,ROW(AK452)-ROW(AK$15),0),15-13*ORÇAMENTO!$AF$11)),0)</f>
        <v>0</v>
      </c>
      <c r="AL452" s="545">
        <f ca="1">IF(AND($D452="Serviço",AL$12&lt;&gt;0,$H452&gt;0,OR(AUTOEVENTO&lt;&gt;"manual",$M452&lt;&gt;1)),
IF(Import.TipoArredondamento&lt;&gt;"TransfereGOV",
ROUND(OFFSET($P452,0,AL$13),15-13*ORÇAMENTO!$AF$7)/$H452*OFFSET(ORÇAMENTO!$X$15,ROW(AL452)-ROW(AL$15),0),
ROUND(ROUND(OFFSET($P452,0,AL$13),15-13*ORÇAMENTO!$AF$7)*OFFSET(ORÇAMENTO!$W$15,ROW(AL452)-ROW(AL$15),0),15-13*ORÇAMENTO!$AF$11)),0)</f>
        <v>0</v>
      </c>
      <c r="AM452" s="545">
        <f ca="1">IF(AND($D452="Serviço",AM$12&lt;&gt;0,$H452&gt;0,OR(AUTOEVENTO&lt;&gt;"manual",$M452&lt;&gt;1)),
IF(Import.TipoArredondamento&lt;&gt;"TransfereGOV",
ROUND(OFFSET($P452,0,AM$13),15-13*ORÇAMENTO!$AF$7)/$H452*OFFSET(ORÇAMENTO!$X$15,ROW(AM452)-ROW(AM$15),0),
ROUND(ROUND(OFFSET($P452,0,AM$13),15-13*ORÇAMENTO!$AF$7)*OFFSET(ORÇAMENTO!$W$15,ROW(AM452)-ROW(AM$15),0),15-13*ORÇAMENTO!$AF$11)),0)</f>
        <v>0</v>
      </c>
      <c r="AN452" s="545">
        <f ca="1">IF(AND($D452="Serviço",AN$12&lt;&gt;0,$H452&gt;0,OR(AUTOEVENTO&lt;&gt;"manual",$M452&lt;&gt;1)),
IF(Import.TipoArredondamento&lt;&gt;"TransfereGOV",
ROUND(OFFSET($P452,0,AN$13),15-13*ORÇAMENTO!$AF$7)/$H452*OFFSET(ORÇAMENTO!$X$15,ROW(AN452)-ROW(AN$15),0),
ROUND(ROUND(OFFSET($P452,0,AN$13),15-13*ORÇAMENTO!$AF$7)*OFFSET(ORÇAMENTO!$W$15,ROW(AN452)-ROW(AN$15),0),15-13*ORÇAMENTO!$AF$11)),0)</f>
        <v>0</v>
      </c>
      <c r="AO452" s="545">
        <f ca="1">IF(AND($D452="Serviço",AO$12&lt;&gt;0,$H452&gt;0,OR(AUTOEVENTO&lt;&gt;"manual",$M452&lt;&gt;1)),
IF(Import.TipoArredondamento&lt;&gt;"TransfereGOV",
ROUND(OFFSET($P452,0,AO$13),15-13*ORÇAMENTO!$AF$7)/$H452*OFFSET(ORÇAMENTO!$X$15,ROW(AO452)-ROW(AO$15),0),
ROUND(ROUND(OFFSET($P452,0,AO$13),15-13*ORÇAMENTO!$AF$7)*OFFSET(ORÇAMENTO!$W$15,ROW(AO452)-ROW(AO$15),0),15-13*ORÇAMENTO!$AF$11)),0)</f>
        <v>0</v>
      </c>
      <c r="AP452" s="545">
        <f ca="1">IF(AND($D452="Serviço",AP$12&lt;&gt;0,$H452&gt;0,OR(AUTOEVENTO&lt;&gt;"manual",$M452&lt;&gt;1)),
IF(Import.TipoArredondamento&lt;&gt;"TransfereGOV",
ROUND(OFFSET($P452,0,AP$13),15-13*ORÇAMENTO!$AF$7)/$H452*OFFSET(ORÇAMENTO!$X$15,ROW(AP452)-ROW(AP$15),0),
ROUND(ROUND(OFFSET($P452,0,AP$13),15-13*ORÇAMENTO!$AF$7)*OFFSET(ORÇAMENTO!$W$15,ROW(AP452)-ROW(AP$15),0),15-13*ORÇAMENTO!$AF$11)),0)</f>
        <v>0</v>
      </c>
      <c r="AQ452" s="545">
        <f ca="1">IF(AND($D452="Serviço",AQ$12&lt;&gt;0,$H452&gt;0,OR(AUTOEVENTO&lt;&gt;"manual",$M452&lt;&gt;1)),
IF(Import.TipoArredondamento&lt;&gt;"TransfereGOV",
ROUND(OFFSET($P452,0,AQ$13),15-13*ORÇAMENTO!$AF$7)/$H452*OFFSET(ORÇAMENTO!$X$15,ROW(AQ452)-ROW(AQ$15),0),
ROUND(ROUND(OFFSET($P452,0,AQ$13),15-13*ORÇAMENTO!$AF$7)*OFFSET(ORÇAMENTO!$W$15,ROW(AQ452)-ROW(AQ$15),0),15-13*ORÇAMENTO!$AF$11)),0)</f>
        <v>0</v>
      </c>
      <c r="AR452" s="545">
        <f ca="1">IF(AND($D452="Serviço",AR$12&lt;&gt;0,$H452&gt;0,OR(AUTOEVENTO&lt;&gt;"manual",$M452&lt;&gt;1)),
IF(Import.TipoArredondamento&lt;&gt;"TransfereGOV",
ROUND(OFFSET($P452,0,AR$13),15-13*ORÇAMENTO!$AF$7)/$H452*OFFSET(ORÇAMENTO!$X$15,ROW(AR452)-ROW(AR$15),0),
ROUND(ROUND(OFFSET($P452,0,AR$13),15-13*ORÇAMENTO!$AF$7)*OFFSET(ORÇAMENTO!$W$15,ROW(AR452)-ROW(AR$15),0),15-13*ORÇAMENTO!$AF$11)),0)</f>
        <v>0</v>
      </c>
      <c r="AS452" s="546">
        <f ca="1">IF(AND($D452="Serviço",AS$12&lt;&gt;0,$H452&gt;0,OR(AUTOEVENTO&lt;&gt;"manual",$M452&lt;&gt;1)),
IF(Import.TipoArredondamento&lt;&gt;"TransfereGOV",
ROUND(OFFSET($P452,0,AS$13),15-13*ORÇAMENTO!$AF$7)/$H452*OFFSET(ORÇAMENTO!$X$15,ROW(AS452)-ROW(AS$15),0),
ROUND(ROUND(OFFSET($P452,0,AS$13),15-13*ORÇAMENTO!$AF$7)*OFFSET(ORÇAMENTO!$W$15,ROW(AS452)-ROW(AS$15),0),15-13*ORÇAMENTO!$AF$11)),0)</f>
        <v>0</v>
      </c>
      <c r="AT452" s="545">
        <f ca="1">IF(AND($D452="Serviço",AT$12&lt;&gt;0,$H452&gt;0,OR(AUTOEVENTO&lt;&gt;"manual",$M452&lt;&gt;1)),
IF(Import.TipoArredondamento&lt;&gt;"TransfereGOV",
ROUND(OFFSET($P452,0,AT$13),15-13*ORÇAMENTO!$AF$7)/$H452*OFFSET(ORÇAMENTO!$X$15,ROW(AT452)-ROW(AT$15),0),
ROUND(ROUND(OFFSET($P452,0,AT$13),15-13*ORÇAMENTO!$AF$7)*OFFSET(ORÇAMENTO!$W$15,ROW(AT452)-ROW(AT$15),0),15-13*ORÇAMENTO!$AF$11)),0)</f>
        <v>0</v>
      </c>
      <c r="AU452" s="545">
        <f ca="1">IF(AND($D452="Serviço",AU$12&lt;&gt;0,$H452&gt;0,OR(AUTOEVENTO&lt;&gt;"manual",$M452&lt;&gt;1)),
IF(Import.TipoArredondamento&lt;&gt;"TransfereGOV",
ROUND(OFFSET($P452,0,AU$13),15-13*ORÇAMENTO!$AF$7)/$H452*OFFSET(ORÇAMENTO!$X$15,ROW(AU452)-ROW(AU$15),0),
ROUND(ROUND(OFFSET($P452,0,AU$13),15-13*ORÇAMENTO!$AF$7)*OFFSET(ORÇAMENTO!$W$15,ROW(AU452)-ROW(AU$15),0),15-13*ORÇAMENTO!$AF$11)),0)</f>
        <v>0</v>
      </c>
      <c r="AV452" s="545">
        <f ca="1">IF(AND($D452="Serviço",AV$12&lt;&gt;0,$H452&gt;0,OR(AUTOEVENTO&lt;&gt;"manual",$M452&lt;&gt;1)),
IF(Import.TipoArredondamento&lt;&gt;"TransfereGOV",
ROUND(OFFSET($P452,0,AV$13),15-13*ORÇAMENTO!$AF$7)/$H452*OFFSET(ORÇAMENTO!$X$15,ROW(AV452)-ROW(AV$15),0),
ROUND(ROUND(OFFSET($P452,0,AV$13),15-13*ORÇAMENTO!$AF$7)*OFFSET(ORÇAMENTO!$W$15,ROW(AV452)-ROW(AV$15),0),15-13*ORÇAMENTO!$AF$11)),0)</f>
        <v>0</v>
      </c>
      <c r="AW452" s="545">
        <f ca="1">IF(AND($D452="Serviço",AW$12&lt;&gt;0,$H452&gt;0,OR(AUTOEVENTO&lt;&gt;"manual",$M452&lt;&gt;1)),
IF(Import.TipoArredondamento&lt;&gt;"TransfereGOV",
ROUND(OFFSET($P452,0,AW$13),15-13*ORÇAMENTO!$AF$7)/$H452*OFFSET(ORÇAMENTO!$X$15,ROW(AW452)-ROW(AW$15),0),
ROUND(ROUND(OFFSET($P452,0,AW$13),15-13*ORÇAMENTO!$AF$7)*OFFSET(ORÇAMENTO!$W$15,ROW(AW452)-ROW(AW$15),0),15-13*ORÇAMENTO!$AF$11)),0)</f>
        <v>0</v>
      </c>
      <c r="AX452" s="545">
        <f ca="1">IF(AND($D452="Serviço",AX$12&lt;&gt;0,$H452&gt;0,OR(AUTOEVENTO&lt;&gt;"manual",$M452&lt;&gt;1)),
IF(Import.TipoArredondamento&lt;&gt;"TransfereGOV",
ROUND(OFFSET($P452,0,AX$13),15-13*ORÇAMENTO!$AF$7)/$H452*OFFSET(ORÇAMENTO!$X$15,ROW(AX452)-ROW(AX$15),0),
ROUND(ROUND(OFFSET($P452,0,AX$13),15-13*ORÇAMENTO!$AF$7)*OFFSET(ORÇAMENTO!$W$15,ROW(AX452)-ROW(AX$15),0),15-13*ORÇAMENTO!$AF$11)),0)</f>
        <v>0</v>
      </c>
      <c r="AY452" s="545">
        <f ca="1">IF(AND($D452="Serviço",AY$12&lt;&gt;0,$H452&gt;0,OR(AUTOEVENTO&lt;&gt;"manual",$M452&lt;&gt;1)),
IF(Import.TipoArredondamento&lt;&gt;"TransfereGOV",
ROUND(OFFSET($P452,0,AY$13),15-13*ORÇAMENTO!$AF$7)/$H452*OFFSET(ORÇAMENTO!$X$15,ROW(AY452)-ROW(AY$15),0),
ROUND(ROUND(OFFSET($P452,0,AY$13),15-13*ORÇAMENTO!$AF$7)*OFFSET(ORÇAMENTO!$W$15,ROW(AY452)-ROW(AY$15),0),15-13*ORÇAMENTO!$AF$11)),0)</f>
        <v>0</v>
      </c>
      <c r="AZ452" s="545">
        <f ca="1">IF(AND($D452="Serviço",AZ$12&lt;&gt;0,$H452&gt;0,OR(AUTOEVENTO&lt;&gt;"manual",$M452&lt;&gt;1)),
IF(Import.TipoArredondamento&lt;&gt;"TransfereGOV",
ROUND(OFFSET($P452,0,AZ$13),15-13*ORÇAMENTO!$AF$7)/$H452*OFFSET(ORÇAMENTO!$X$15,ROW(AZ452)-ROW(AZ$15),0),
ROUND(ROUND(OFFSET($P452,0,AZ$13),15-13*ORÇAMENTO!$AF$7)*OFFSET(ORÇAMENTO!$W$15,ROW(AZ452)-ROW(AZ$15),0),15-13*ORÇAMENTO!$AF$11)),0)</f>
        <v>0</v>
      </c>
      <c r="BA452" s="546">
        <f ca="1">IF(AND($D452="Serviço",BA$12&lt;&gt;0,$H452&gt;0,OR(AUTOEVENTO&lt;&gt;"manual",$M452&lt;&gt;1)),
IF(Import.TipoArredondamento&lt;&gt;"TransfereGOV",
ROUND(OFFSET($P452,0,BA$13),15-13*ORÇAMENTO!$AF$7)/$H452*OFFSET(ORÇAMENTO!$X$15,ROW(BA452)-ROW(BA$15),0),
ROUND(ROUND(OFFSET($P452,0,BA$13),15-13*ORÇAMENTO!$AF$7)*OFFSET(ORÇAMENTO!$W$15,ROW(BA452)-ROW(BA$15),0),15-13*ORÇAMENTO!$AF$11)),0)</f>
        <v>0</v>
      </c>
      <c r="BC452" s="181">
        <f ca="1">IF($D452&lt;&gt;"Serviço",0,IF(AND(AUTOEVENTO="Manual",$M452=1),0,IF(OFFSET(CRONOPLE!$F$14,$M452,BC$13)="",10^12,OFFSET(CRONOPLE!$F$14,$M452,BC$13))))</f>
        <v>10</v>
      </c>
      <c r="BD452" s="181">
        <f ca="1">IF($D452&lt;&gt;"Serviço",0,IF(AND(AUTOEVENTO="Manual",$M452=1),0,IF(OFFSET(CRONOPLE!$F$14,$M452,BD$13)="",10^12,OFFSET(CRONOPLE!$F$14,$M452,BD$13))))</f>
        <v>1000000000000</v>
      </c>
      <c r="BE452" s="181">
        <f ca="1">IF($D452&lt;&gt;"Serviço",0,IF(AND(AUTOEVENTO="Manual",$M452=1),0,IF(OFFSET(CRONOPLE!$F$14,$M452,BE$13)="",10^12,OFFSET(CRONOPLE!$F$14,$M452,BE$13))))</f>
        <v>1000000000000</v>
      </c>
      <c r="BF452" s="181">
        <f ca="1">IF($D452&lt;&gt;"Serviço",0,IF(AND(AUTOEVENTO="Manual",$M452=1),0,IF(OFFSET(CRONOPLE!$F$14,$M452,BF$13)="",10^12,OFFSET(CRONOPLE!$F$14,$M452,BF$13))))</f>
        <v>1000000000000</v>
      </c>
      <c r="BG452" s="181">
        <f ca="1">IF($D452&lt;&gt;"Serviço",0,IF(AND(AUTOEVENTO="Manual",$M452=1),0,IF(OFFSET(CRONOPLE!$F$14,$M452,BG$13)="",10^12,OFFSET(CRONOPLE!$F$14,$M452,BG$13))))</f>
        <v>1000000000000</v>
      </c>
      <c r="BH452" s="181">
        <f ca="1">IF($D452&lt;&gt;"Serviço",0,IF(AND(AUTOEVENTO="Manual",$M452=1),0,IF(OFFSET(CRONOPLE!$F$14,$M452,BH$13)="",10^12,OFFSET(CRONOPLE!$F$14,$M452,BH$13))))</f>
        <v>1000000000000</v>
      </c>
      <c r="BI452" s="181">
        <f ca="1">IF($D452&lt;&gt;"Serviço",0,IF(AND(AUTOEVENTO="Manual",$M452=1),0,IF(OFFSET(CRONOPLE!$F$14,$M452,BI$13)="",10^12,OFFSET(CRONOPLE!$F$14,$M452,BI$13))))</f>
        <v>1000000000000</v>
      </c>
      <c r="BJ452" s="181">
        <f ca="1">IF($D452&lt;&gt;"Serviço",0,IF(AND(AUTOEVENTO="Manual",$M452=1),0,IF(OFFSET(CRONOPLE!$F$14,$M452,BJ$13)="",10^12,OFFSET(CRONOPLE!$F$14,$M452,BJ$13))))</f>
        <v>1000000000000</v>
      </c>
      <c r="BK452" s="181">
        <f ca="1">IF($D452&lt;&gt;"Serviço",0,IF(AND(AUTOEVENTO="Manual",$M452=1),0,IF(OFFSET(CRONOPLE!$F$14,$M452,BK$13)="",10^12,OFFSET(CRONOPLE!$F$14,$M452,BK$13))))</f>
        <v>1000000000000</v>
      </c>
      <c r="BL452" s="181">
        <f ca="1">IF($D452&lt;&gt;"Serviço",0,IF(AND(AUTOEVENTO="Manual",$M452=1),0,IF(OFFSET(CRONOPLE!$F$14,$M452,BL$13)="",10^12,OFFSET(CRONOPLE!$F$14,$M452,BL$13))))</f>
        <v>1000000000000</v>
      </c>
      <c r="BM452" s="181">
        <f ca="1">IF($D452&lt;&gt;"Serviço",0,IF(AND(AUTOEVENTO="Manual",$M452=1),0,IF(OFFSET(CRONOPLE!$F$14,$M452,BM$13)="",10^12,OFFSET(CRONOPLE!$F$14,$M452,BM$13))))</f>
        <v>1000000000000</v>
      </c>
      <c r="BN452" s="181">
        <f ca="1">IF($D452&lt;&gt;"Serviço",0,IF(AND(AUTOEVENTO="Manual",$M452=1),0,IF(OFFSET(CRONOPLE!$F$14,$M452,BN$13)="",10^12,OFFSET(CRONOPLE!$F$14,$M452,BN$13))))</f>
        <v>1000000000000</v>
      </c>
      <c r="BO452" s="181">
        <f ca="1">IF($D452&lt;&gt;"Serviço",0,IF(AND(AUTOEVENTO="Manual",$M452=1),0,IF(OFFSET(CRONOPLE!$F$14,$M452,BO$13)="",10^12,OFFSET(CRONOPLE!$F$14,$M452,BO$13))))</f>
        <v>1000000000000</v>
      </c>
      <c r="BP452" s="181">
        <f ca="1">IF($D452&lt;&gt;"Serviço",0,IF(AND(AUTOEVENTO="Manual",$M452=1),0,IF(OFFSET(CRONOPLE!$F$14,$M452,BP$13)="",10^12,OFFSET(CRONOPLE!$F$14,$M452,BP$13))))</f>
        <v>1000000000000</v>
      </c>
      <c r="BQ452" s="181">
        <f ca="1">IF($D452&lt;&gt;"Serviço",0,IF(AND(AUTOEVENTO="Manual",$M452=1),0,IF(OFFSET(CRONOPLE!$F$14,$M452,BQ$13)="",10^12,OFFSET(CRONOPLE!$F$14,$M452,BQ$13))))</f>
        <v>1000000000000</v>
      </c>
      <c r="BR452" s="181">
        <f ca="1">IF($D452&lt;&gt;"Serviço",0,IF(AND(AUTOEVENTO="Manual",$M452=1),0,IF(OFFSET(CRONOPLE!$F$14,$M452,BR$13)="",10^12,OFFSET(CRONOPLE!$F$14,$M452,BR$13))))</f>
        <v>1000000000000</v>
      </c>
      <c r="BS452" s="181">
        <f ca="1">IF($D452&lt;&gt;"Serviço",0,IF(AND(AUTOEVENTO="Manual",$M452=1),0,IF(OFFSET(CRONOPLE!$F$14,$M452,BS$13)="",10^12,OFFSET(CRONOPLE!$F$14,$M452,BS$13))))</f>
        <v>1000000000000</v>
      </c>
      <c r="BT452" s="181">
        <f ca="1">IF($D452&lt;&gt;"Serviço",0,IF(AND(AUTOEVENTO="Manual",$M452=1),0,IF(OFFSET(CRONOPLE!$F$14,$M452,BT$13)="",10^12,OFFSET(CRONOPLE!$F$14,$M452,BT$13))))</f>
        <v>1000000000000</v>
      </c>
      <c r="BV452" s="182">
        <f ca="1">IF($D452&lt;&gt;"Serviço",0,IF(OR(AND(AUTOEVENTO="Manual",$M452=1),$M452&gt;(ROW(PLE.lastrow)-ROW(PLE.firstrow))),0,IF(OFFSET(PLE!$G$14,$M452,BV$13)="",10^12,OFFSET(PLE!$G$14,$M452,BV$13))))</f>
        <v>1000000000000</v>
      </c>
      <c r="BW452" s="182">
        <f ca="1">IF($D452&lt;&gt;"Serviço",0,IF(OR(AND(AUTOEVENTO="Manual",$M452=1),$M452&gt;(ROW(PLE.lastrow)-ROW(PLE.firstrow))),0,IF(OFFSET(PLE!$G$14,$M452,BW$13)="",10^12,OFFSET(PLE!$G$14,$M452,BW$13))))</f>
        <v>1000000000000</v>
      </c>
      <c r="BX452" s="182">
        <f ca="1">IF($D452&lt;&gt;"Serviço",0,IF(OR(AND(AUTOEVENTO="Manual",$M452=1),$M452&gt;(ROW(PLE.lastrow)-ROW(PLE.firstrow))),0,IF(OFFSET(PLE!$G$14,$M452,BX$13)="",10^12,OFFSET(PLE!$G$14,$M452,BX$13))))</f>
        <v>1000000000000</v>
      </c>
      <c r="BY452" s="182">
        <f ca="1">IF($D452&lt;&gt;"Serviço",0,IF(OR(AND(AUTOEVENTO="Manual",$M452=1),$M452&gt;(ROW(PLE.lastrow)-ROW(PLE.firstrow))),0,IF(OFFSET(PLE!$G$14,$M452,BY$13)="",10^12,OFFSET(PLE!$G$14,$M452,BY$13))))</f>
        <v>1000000000000</v>
      </c>
      <c r="BZ452" s="182">
        <f ca="1">IF($D452&lt;&gt;"Serviço",0,IF(OR(AND(AUTOEVENTO="Manual",$M452=1),$M452&gt;(ROW(PLE.lastrow)-ROW(PLE.firstrow))),0,IF(OFFSET(PLE!$G$14,$M452,BZ$13)="",10^12,OFFSET(PLE!$G$14,$M452,BZ$13))))</f>
        <v>1000000000000</v>
      </c>
      <c r="CA452" s="182">
        <f ca="1">IF($D452&lt;&gt;"Serviço",0,IF(OR(AND(AUTOEVENTO="Manual",$M452=1),$M452&gt;(ROW(PLE.lastrow)-ROW(PLE.firstrow))),0,IF(OFFSET(PLE!$G$14,$M452,CA$13)="",10^12,OFFSET(PLE!$G$14,$M452,CA$13))))</f>
        <v>1000000000000</v>
      </c>
      <c r="CB452" s="182">
        <f ca="1">IF($D452&lt;&gt;"Serviço",0,IF(OR(AND(AUTOEVENTO="Manual",$M452=1),$M452&gt;(ROW(PLE.lastrow)-ROW(PLE.firstrow))),0,IF(OFFSET(PLE!$G$14,$M452,CB$13)="",10^12,OFFSET(PLE!$G$14,$M452,CB$13))))</f>
        <v>1000000000000</v>
      </c>
      <c r="CC452" s="182">
        <f ca="1">IF($D452&lt;&gt;"Serviço",0,IF(OR(AND(AUTOEVENTO="Manual",$M452=1),$M452&gt;(ROW(PLE.lastrow)-ROW(PLE.firstrow))),0,IF(OFFSET(PLE!$G$14,$M452,CC$13)="",10^12,OFFSET(PLE!$G$14,$M452,CC$13))))</f>
        <v>1000000000000</v>
      </c>
      <c r="CD452" s="182">
        <f ca="1">IF($D452&lt;&gt;"Serviço",0,IF(OR(AND(AUTOEVENTO="Manual",$M452=1),$M452&gt;(ROW(PLE.lastrow)-ROW(PLE.firstrow))),0,IF(OFFSET(PLE!$G$14,$M452,CD$13)="",10^12,OFFSET(PLE!$G$14,$M452,CD$13))))</f>
        <v>1000000000000</v>
      </c>
      <c r="CE452" s="182">
        <f ca="1">IF($D452&lt;&gt;"Serviço",0,IF(OR(AND(AUTOEVENTO="Manual",$M452=1),$M452&gt;(ROW(PLE.lastrow)-ROW(PLE.firstrow))),0,IF(OFFSET(PLE!$G$14,$M452,CE$13)="",10^12,OFFSET(PLE!$G$14,$M452,CE$13))))</f>
        <v>1000000000000</v>
      </c>
      <c r="CF452" s="182">
        <f ca="1">IF($D452&lt;&gt;"Serviço",0,IF(OR(AND(AUTOEVENTO="Manual",$M452=1),$M452&gt;(ROW(PLE.lastrow)-ROW(PLE.firstrow))),0,IF(OFFSET(PLE!$G$14,$M452,CF$13)="",10^12,OFFSET(PLE!$G$14,$M452,CF$13))))</f>
        <v>1000000000000</v>
      </c>
      <c r="CG452" s="182">
        <f ca="1">IF($D452&lt;&gt;"Serviço",0,IF(OR(AND(AUTOEVENTO="Manual",$M452=1),$M452&gt;(ROW(PLE.lastrow)-ROW(PLE.firstrow))),0,IF(OFFSET(PLE!$G$14,$M452,CG$13)="",10^12,OFFSET(PLE!$G$14,$M452,CG$13))))</f>
        <v>1000000000000</v>
      </c>
      <c r="CH452" s="182">
        <f ca="1">IF($D452&lt;&gt;"Serviço",0,IF(OR(AND(AUTOEVENTO="Manual",$M452=1),$M452&gt;(ROW(PLE.lastrow)-ROW(PLE.firstrow))),0,IF(OFFSET(PLE!$G$14,$M452,CH$13)="",10^12,OFFSET(PLE!$G$14,$M452,CH$13))))</f>
        <v>1000000000000</v>
      </c>
      <c r="CI452" s="182">
        <f ca="1">IF($D452&lt;&gt;"Serviço",0,IF(OR(AND(AUTOEVENTO="Manual",$M452=1),$M452&gt;(ROW(PLE.lastrow)-ROW(PLE.firstrow))),0,IF(OFFSET(PLE!$G$14,$M452,CI$13)="",10^12,OFFSET(PLE!$G$14,$M452,CI$13))))</f>
        <v>1000000000000</v>
      </c>
      <c r="CJ452" s="182">
        <f ca="1">IF($D452&lt;&gt;"Serviço",0,IF(OR(AND(AUTOEVENTO="Manual",$M452=1),$M452&gt;(ROW(PLE.lastrow)-ROW(PLE.firstrow))),0,IF(OFFSET(PLE!$G$14,$M452,CJ$13)="",10^12,OFFSET(PLE!$G$14,$M452,CJ$13))))</f>
        <v>1000000000000</v>
      </c>
      <c r="CK452" s="182">
        <f ca="1">IF($D452&lt;&gt;"Serviço",0,IF(OR(AND(AUTOEVENTO="Manual",$M452=1),$M452&gt;(ROW(PLE.lastrow)-ROW(PLE.firstrow))),0,IF(OFFSET(PLE!$G$14,$M452,CK$13)="",10^12,OFFSET(PLE!$G$14,$M452,CK$13))))</f>
        <v>1000000000000</v>
      </c>
      <c r="CL452" s="182">
        <f ca="1">IF($D452&lt;&gt;"Serviço",0,IF(OR(AND(AUTOEVENTO="Manual",$M452=1),$M452&gt;(ROW(PLE.lastrow)-ROW(PLE.firstrow))),0,IF(OFFSET(PLE!$G$14,$M452,CL$13)="",10^12,OFFSET(PLE!$G$14,$M452,CL$13))))</f>
        <v>1000000000000</v>
      </c>
      <c r="CM452" s="182">
        <f ca="1">IF($D452&lt;&gt;"Serviço",0,IF(OR(AND(AUTOEVENTO="Manual",$M452=1),$M452&gt;(ROW(PLE.lastrow)-ROW(PLE.firstrow))),0,IF(OFFSET(PLE!$G$14,$M452,CM$13)="",10^12,OFFSET(PLE!$G$14,$M452,CM$13))))</f>
        <v>1000000000000</v>
      </c>
    </row>
    <row r="453" spans="1:91" ht="38.25" x14ac:dyDescent="0.2">
      <c r="A453" s="7" t="str">
        <f t="shared" ca="1" si="15"/>
        <v>421</v>
      </c>
      <c r="B453" s="7" t="str">
        <f ca="1">OFFSET(ORÇAMENTO!C$15,ROW(B453)-ROW(B$15),0)</f>
        <v>S</v>
      </c>
      <c r="C453" s="7" t="str">
        <f ca="1">OFFSET(ORÇAMENTO!L$15,ROW(C453)-ROW(C$15),0)</f>
        <v/>
      </c>
      <c r="D453" s="118" t="str">
        <f ca="1">OFFSET(ORÇAMENTO!N$15,ROW(D453)-ROW(D$15),0)</f>
        <v>Serviço</v>
      </c>
      <c r="E453" s="119" t="str">
        <f ca="1">OFFSET(ORÇAMENTO!O$15,ROW(E453)-ROW(E$15),0)</f>
        <v>-</v>
      </c>
      <c r="F453" s="172" t="str">
        <f ca="1">OFFSET(ORÇAMENTO!R$15,ROW(F453)-ROW(F$15),0)</f>
        <v>(abra o arquivo 'Referência 06-2024.xlsm)</v>
      </c>
      <c r="G453" s="173" t="str">
        <f ca="1">IF($D453&lt;&gt;"Serviço","",OFFSET(ORÇAMENTO!S$15,ROW(G453)-ROW(G$15),0))</f>
        <v>-</v>
      </c>
      <c r="H453" s="124">
        <f ca="1">IF($D453&lt;&gt;"Serviço",0,IF(ACOMPANHAMENTO="BM",ROUND(OFFSET(ORÇAMENTO!AJ$15,ROW(H453)-ROW(H$15),0),15-13*ORÇAMENTO!$AF$7),SUMPRODUCT(($Q$12:$AI$12&lt;&gt;"")*ROUND($Q453:$AI453,15-13*ORÇAMENTO!$AF$7))))</f>
        <v>1</v>
      </c>
      <c r="I453" s="561" t="s">
        <v>1107</v>
      </c>
      <c r="K453" s="174"/>
      <c r="L453" s="175" t="s">
        <v>255</v>
      </c>
      <c r="M453" s="176">
        <f ca="1">IF($D453&lt;&gt;"Serviço","",IF(AUTOEVENTO="manual",$A453,IF(ISERROR(MATCH($A453,$A$15:OFFSET($A453,-1,0),0)),MAX($M$15:OFFSET(M453,-1,0))+1,INDEX($M$15:OFFSET(M453,-1,0),MATCH($A453,$A$15:OFFSET($A453,-1,0),0)))))</f>
        <v>49</v>
      </c>
      <c r="N453" s="177" t="str">
        <f ca="1">IF($D453&lt;&gt;"Serviço","",IF(AUTOEVENTO="Manual",IF($A453=0,"&lt;-- defina o número do agrupador",OFFSET(EVENTOS!$D$14,$A453,0)),OFFSET($F$15,$A453,0)))</f>
        <v>SISTEMA DE PROTEÇÃO CONTRA INCÊNDIO - TUBULAÇÕES E CONEXÕES</v>
      </c>
      <c r="O453" s="178"/>
      <c r="Q453" s="178">
        <v>1</v>
      </c>
      <c r="R453" s="179"/>
      <c r="S453" s="179"/>
      <c r="T453" s="179"/>
      <c r="U453" s="179"/>
      <c r="V453" s="179"/>
      <c r="W453" s="179"/>
      <c r="X453" s="179"/>
      <c r="Y453" s="179"/>
      <c r="Z453" s="180"/>
      <c r="AA453" s="179"/>
      <c r="AB453" s="179"/>
      <c r="AC453" s="179"/>
      <c r="AD453" s="179"/>
      <c r="AE453" s="179"/>
      <c r="AF453" s="179"/>
      <c r="AG453" s="179"/>
      <c r="AH453" s="180"/>
      <c r="AJ453" s="544">
        <f ca="1">IF(AND($D453="Serviço",AJ$12&lt;&gt;0,$H453&gt;0,OR(AUTOEVENTO&lt;&gt;"manual",$M453&lt;&gt;1)),
IF(Import.TipoArredondamento&lt;&gt;"TransfereGOV",
ROUND(OFFSET($P453,0,AJ$13),15-13*ORÇAMENTO!$AF$7)/$H453*OFFSET(ORÇAMENTO!$X$15,ROW(AJ453)-ROW(AJ$15),0),
ROUND(ROUND(OFFSET($P453,0,AJ$13),15-13*ORÇAMENTO!$AF$7)*OFFSET(ORÇAMENTO!$W$15,ROW(AJ453)-ROW(AJ$15),0),15-13*ORÇAMENTO!$AF$11)),0)</f>
        <v>0</v>
      </c>
      <c r="AK453" s="545">
        <f ca="1">IF(AND($D453="Serviço",AK$12&lt;&gt;0,$H453&gt;0,OR(AUTOEVENTO&lt;&gt;"manual",$M453&lt;&gt;1)),
IF(Import.TipoArredondamento&lt;&gt;"TransfereGOV",
ROUND(OFFSET($P453,0,AK$13),15-13*ORÇAMENTO!$AF$7)/$H453*OFFSET(ORÇAMENTO!$X$15,ROW(AK453)-ROW(AK$15),0),
ROUND(ROUND(OFFSET($P453,0,AK$13),15-13*ORÇAMENTO!$AF$7)*OFFSET(ORÇAMENTO!$W$15,ROW(AK453)-ROW(AK$15),0),15-13*ORÇAMENTO!$AF$11)),0)</f>
        <v>0</v>
      </c>
      <c r="AL453" s="545">
        <f ca="1">IF(AND($D453="Serviço",AL$12&lt;&gt;0,$H453&gt;0,OR(AUTOEVENTO&lt;&gt;"manual",$M453&lt;&gt;1)),
IF(Import.TipoArredondamento&lt;&gt;"TransfereGOV",
ROUND(OFFSET($P453,0,AL$13),15-13*ORÇAMENTO!$AF$7)/$H453*OFFSET(ORÇAMENTO!$X$15,ROW(AL453)-ROW(AL$15),0),
ROUND(ROUND(OFFSET($P453,0,AL$13),15-13*ORÇAMENTO!$AF$7)*OFFSET(ORÇAMENTO!$W$15,ROW(AL453)-ROW(AL$15),0),15-13*ORÇAMENTO!$AF$11)),0)</f>
        <v>0</v>
      </c>
      <c r="AM453" s="545">
        <f ca="1">IF(AND($D453="Serviço",AM$12&lt;&gt;0,$H453&gt;0,OR(AUTOEVENTO&lt;&gt;"manual",$M453&lt;&gt;1)),
IF(Import.TipoArredondamento&lt;&gt;"TransfereGOV",
ROUND(OFFSET($P453,0,AM$13),15-13*ORÇAMENTO!$AF$7)/$H453*OFFSET(ORÇAMENTO!$X$15,ROW(AM453)-ROW(AM$15),0),
ROUND(ROUND(OFFSET($P453,0,AM$13),15-13*ORÇAMENTO!$AF$7)*OFFSET(ORÇAMENTO!$W$15,ROW(AM453)-ROW(AM$15),0),15-13*ORÇAMENTO!$AF$11)),0)</f>
        <v>0</v>
      </c>
      <c r="AN453" s="545">
        <f ca="1">IF(AND($D453="Serviço",AN$12&lt;&gt;0,$H453&gt;0,OR(AUTOEVENTO&lt;&gt;"manual",$M453&lt;&gt;1)),
IF(Import.TipoArredondamento&lt;&gt;"TransfereGOV",
ROUND(OFFSET($P453,0,AN$13),15-13*ORÇAMENTO!$AF$7)/$H453*OFFSET(ORÇAMENTO!$X$15,ROW(AN453)-ROW(AN$15),0),
ROUND(ROUND(OFFSET($P453,0,AN$13),15-13*ORÇAMENTO!$AF$7)*OFFSET(ORÇAMENTO!$W$15,ROW(AN453)-ROW(AN$15),0),15-13*ORÇAMENTO!$AF$11)),0)</f>
        <v>0</v>
      </c>
      <c r="AO453" s="545">
        <f ca="1">IF(AND($D453="Serviço",AO$12&lt;&gt;0,$H453&gt;0,OR(AUTOEVENTO&lt;&gt;"manual",$M453&lt;&gt;1)),
IF(Import.TipoArredondamento&lt;&gt;"TransfereGOV",
ROUND(OFFSET($P453,0,AO$13),15-13*ORÇAMENTO!$AF$7)/$H453*OFFSET(ORÇAMENTO!$X$15,ROW(AO453)-ROW(AO$15),0),
ROUND(ROUND(OFFSET($P453,0,AO$13),15-13*ORÇAMENTO!$AF$7)*OFFSET(ORÇAMENTO!$W$15,ROW(AO453)-ROW(AO$15),0),15-13*ORÇAMENTO!$AF$11)),0)</f>
        <v>0</v>
      </c>
      <c r="AP453" s="545">
        <f ca="1">IF(AND($D453="Serviço",AP$12&lt;&gt;0,$H453&gt;0,OR(AUTOEVENTO&lt;&gt;"manual",$M453&lt;&gt;1)),
IF(Import.TipoArredondamento&lt;&gt;"TransfereGOV",
ROUND(OFFSET($P453,0,AP$13),15-13*ORÇAMENTO!$AF$7)/$H453*OFFSET(ORÇAMENTO!$X$15,ROW(AP453)-ROW(AP$15),0),
ROUND(ROUND(OFFSET($P453,0,AP$13),15-13*ORÇAMENTO!$AF$7)*OFFSET(ORÇAMENTO!$W$15,ROW(AP453)-ROW(AP$15),0),15-13*ORÇAMENTO!$AF$11)),0)</f>
        <v>0</v>
      </c>
      <c r="AQ453" s="545">
        <f ca="1">IF(AND($D453="Serviço",AQ$12&lt;&gt;0,$H453&gt;0,OR(AUTOEVENTO&lt;&gt;"manual",$M453&lt;&gt;1)),
IF(Import.TipoArredondamento&lt;&gt;"TransfereGOV",
ROUND(OFFSET($P453,0,AQ$13),15-13*ORÇAMENTO!$AF$7)/$H453*OFFSET(ORÇAMENTO!$X$15,ROW(AQ453)-ROW(AQ$15),0),
ROUND(ROUND(OFFSET($P453,0,AQ$13),15-13*ORÇAMENTO!$AF$7)*OFFSET(ORÇAMENTO!$W$15,ROW(AQ453)-ROW(AQ$15),0),15-13*ORÇAMENTO!$AF$11)),0)</f>
        <v>0</v>
      </c>
      <c r="AR453" s="545">
        <f ca="1">IF(AND($D453="Serviço",AR$12&lt;&gt;0,$H453&gt;0,OR(AUTOEVENTO&lt;&gt;"manual",$M453&lt;&gt;1)),
IF(Import.TipoArredondamento&lt;&gt;"TransfereGOV",
ROUND(OFFSET($P453,0,AR$13),15-13*ORÇAMENTO!$AF$7)/$H453*OFFSET(ORÇAMENTO!$X$15,ROW(AR453)-ROW(AR$15),0),
ROUND(ROUND(OFFSET($P453,0,AR$13),15-13*ORÇAMENTO!$AF$7)*OFFSET(ORÇAMENTO!$W$15,ROW(AR453)-ROW(AR$15),0),15-13*ORÇAMENTO!$AF$11)),0)</f>
        <v>0</v>
      </c>
      <c r="AS453" s="546">
        <f ca="1">IF(AND($D453="Serviço",AS$12&lt;&gt;0,$H453&gt;0,OR(AUTOEVENTO&lt;&gt;"manual",$M453&lt;&gt;1)),
IF(Import.TipoArredondamento&lt;&gt;"TransfereGOV",
ROUND(OFFSET($P453,0,AS$13),15-13*ORÇAMENTO!$AF$7)/$H453*OFFSET(ORÇAMENTO!$X$15,ROW(AS453)-ROW(AS$15),0),
ROUND(ROUND(OFFSET($P453,0,AS$13),15-13*ORÇAMENTO!$AF$7)*OFFSET(ORÇAMENTO!$W$15,ROW(AS453)-ROW(AS$15),0),15-13*ORÇAMENTO!$AF$11)),0)</f>
        <v>0</v>
      </c>
      <c r="AT453" s="545">
        <f ca="1">IF(AND($D453="Serviço",AT$12&lt;&gt;0,$H453&gt;0,OR(AUTOEVENTO&lt;&gt;"manual",$M453&lt;&gt;1)),
IF(Import.TipoArredondamento&lt;&gt;"TransfereGOV",
ROUND(OFFSET($P453,0,AT$13),15-13*ORÇAMENTO!$AF$7)/$H453*OFFSET(ORÇAMENTO!$X$15,ROW(AT453)-ROW(AT$15),0),
ROUND(ROUND(OFFSET($P453,0,AT$13),15-13*ORÇAMENTO!$AF$7)*OFFSET(ORÇAMENTO!$W$15,ROW(AT453)-ROW(AT$15),0),15-13*ORÇAMENTO!$AF$11)),0)</f>
        <v>0</v>
      </c>
      <c r="AU453" s="545">
        <f ca="1">IF(AND($D453="Serviço",AU$12&lt;&gt;0,$H453&gt;0,OR(AUTOEVENTO&lt;&gt;"manual",$M453&lt;&gt;1)),
IF(Import.TipoArredondamento&lt;&gt;"TransfereGOV",
ROUND(OFFSET($P453,0,AU$13),15-13*ORÇAMENTO!$AF$7)/$H453*OFFSET(ORÇAMENTO!$X$15,ROW(AU453)-ROW(AU$15),0),
ROUND(ROUND(OFFSET($P453,0,AU$13),15-13*ORÇAMENTO!$AF$7)*OFFSET(ORÇAMENTO!$W$15,ROW(AU453)-ROW(AU$15),0),15-13*ORÇAMENTO!$AF$11)),0)</f>
        <v>0</v>
      </c>
      <c r="AV453" s="545">
        <f ca="1">IF(AND($D453="Serviço",AV$12&lt;&gt;0,$H453&gt;0,OR(AUTOEVENTO&lt;&gt;"manual",$M453&lt;&gt;1)),
IF(Import.TipoArredondamento&lt;&gt;"TransfereGOV",
ROUND(OFFSET($P453,0,AV$13),15-13*ORÇAMENTO!$AF$7)/$H453*OFFSET(ORÇAMENTO!$X$15,ROW(AV453)-ROW(AV$15),0),
ROUND(ROUND(OFFSET($P453,0,AV$13),15-13*ORÇAMENTO!$AF$7)*OFFSET(ORÇAMENTO!$W$15,ROW(AV453)-ROW(AV$15),0),15-13*ORÇAMENTO!$AF$11)),0)</f>
        <v>0</v>
      </c>
      <c r="AW453" s="545">
        <f ca="1">IF(AND($D453="Serviço",AW$12&lt;&gt;0,$H453&gt;0,OR(AUTOEVENTO&lt;&gt;"manual",$M453&lt;&gt;1)),
IF(Import.TipoArredondamento&lt;&gt;"TransfereGOV",
ROUND(OFFSET($P453,0,AW$13),15-13*ORÇAMENTO!$AF$7)/$H453*OFFSET(ORÇAMENTO!$X$15,ROW(AW453)-ROW(AW$15),0),
ROUND(ROUND(OFFSET($P453,0,AW$13),15-13*ORÇAMENTO!$AF$7)*OFFSET(ORÇAMENTO!$W$15,ROW(AW453)-ROW(AW$15),0),15-13*ORÇAMENTO!$AF$11)),0)</f>
        <v>0</v>
      </c>
      <c r="AX453" s="545">
        <f ca="1">IF(AND($D453="Serviço",AX$12&lt;&gt;0,$H453&gt;0,OR(AUTOEVENTO&lt;&gt;"manual",$M453&lt;&gt;1)),
IF(Import.TipoArredondamento&lt;&gt;"TransfereGOV",
ROUND(OFFSET($P453,0,AX$13),15-13*ORÇAMENTO!$AF$7)/$H453*OFFSET(ORÇAMENTO!$X$15,ROW(AX453)-ROW(AX$15),0),
ROUND(ROUND(OFFSET($P453,0,AX$13),15-13*ORÇAMENTO!$AF$7)*OFFSET(ORÇAMENTO!$W$15,ROW(AX453)-ROW(AX$15),0),15-13*ORÇAMENTO!$AF$11)),0)</f>
        <v>0</v>
      </c>
      <c r="AY453" s="545">
        <f ca="1">IF(AND($D453="Serviço",AY$12&lt;&gt;0,$H453&gt;0,OR(AUTOEVENTO&lt;&gt;"manual",$M453&lt;&gt;1)),
IF(Import.TipoArredondamento&lt;&gt;"TransfereGOV",
ROUND(OFFSET($P453,0,AY$13),15-13*ORÇAMENTO!$AF$7)/$H453*OFFSET(ORÇAMENTO!$X$15,ROW(AY453)-ROW(AY$15),0),
ROUND(ROUND(OFFSET($P453,0,AY$13),15-13*ORÇAMENTO!$AF$7)*OFFSET(ORÇAMENTO!$W$15,ROW(AY453)-ROW(AY$15),0),15-13*ORÇAMENTO!$AF$11)),0)</f>
        <v>0</v>
      </c>
      <c r="AZ453" s="545">
        <f ca="1">IF(AND($D453="Serviço",AZ$12&lt;&gt;0,$H453&gt;0,OR(AUTOEVENTO&lt;&gt;"manual",$M453&lt;&gt;1)),
IF(Import.TipoArredondamento&lt;&gt;"TransfereGOV",
ROUND(OFFSET($P453,0,AZ$13),15-13*ORÇAMENTO!$AF$7)/$H453*OFFSET(ORÇAMENTO!$X$15,ROW(AZ453)-ROW(AZ$15),0),
ROUND(ROUND(OFFSET($P453,0,AZ$13),15-13*ORÇAMENTO!$AF$7)*OFFSET(ORÇAMENTO!$W$15,ROW(AZ453)-ROW(AZ$15),0),15-13*ORÇAMENTO!$AF$11)),0)</f>
        <v>0</v>
      </c>
      <c r="BA453" s="546">
        <f ca="1">IF(AND($D453="Serviço",BA$12&lt;&gt;0,$H453&gt;0,OR(AUTOEVENTO&lt;&gt;"manual",$M453&lt;&gt;1)),
IF(Import.TipoArredondamento&lt;&gt;"TransfereGOV",
ROUND(OFFSET($P453,0,BA$13),15-13*ORÇAMENTO!$AF$7)/$H453*OFFSET(ORÇAMENTO!$X$15,ROW(BA453)-ROW(BA$15),0),
ROUND(ROUND(OFFSET($P453,0,BA$13),15-13*ORÇAMENTO!$AF$7)*OFFSET(ORÇAMENTO!$W$15,ROW(BA453)-ROW(BA$15),0),15-13*ORÇAMENTO!$AF$11)),0)</f>
        <v>0</v>
      </c>
      <c r="BC453" s="181">
        <f ca="1">IF($D453&lt;&gt;"Serviço",0,IF(AND(AUTOEVENTO="Manual",$M453=1),0,IF(OFFSET(CRONOPLE!$F$14,$M453,BC$13)="",10^12,OFFSET(CRONOPLE!$F$14,$M453,BC$13))))</f>
        <v>10</v>
      </c>
      <c r="BD453" s="181">
        <f ca="1">IF($D453&lt;&gt;"Serviço",0,IF(AND(AUTOEVENTO="Manual",$M453=1),0,IF(OFFSET(CRONOPLE!$F$14,$M453,BD$13)="",10^12,OFFSET(CRONOPLE!$F$14,$M453,BD$13))))</f>
        <v>1000000000000</v>
      </c>
      <c r="BE453" s="181">
        <f ca="1">IF($D453&lt;&gt;"Serviço",0,IF(AND(AUTOEVENTO="Manual",$M453=1),0,IF(OFFSET(CRONOPLE!$F$14,$M453,BE$13)="",10^12,OFFSET(CRONOPLE!$F$14,$M453,BE$13))))</f>
        <v>1000000000000</v>
      </c>
      <c r="BF453" s="181">
        <f ca="1">IF($D453&lt;&gt;"Serviço",0,IF(AND(AUTOEVENTO="Manual",$M453=1),0,IF(OFFSET(CRONOPLE!$F$14,$M453,BF$13)="",10^12,OFFSET(CRONOPLE!$F$14,$M453,BF$13))))</f>
        <v>1000000000000</v>
      </c>
      <c r="BG453" s="181">
        <f ca="1">IF($D453&lt;&gt;"Serviço",0,IF(AND(AUTOEVENTO="Manual",$M453=1),0,IF(OFFSET(CRONOPLE!$F$14,$M453,BG$13)="",10^12,OFFSET(CRONOPLE!$F$14,$M453,BG$13))))</f>
        <v>1000000000000</v>
      </c>
      <c r="BH453" s="181">
        <f ca="1">IF($D453&lt;&gt;"Serviço",0,IF(AND(AUTOEVENTO="Manual",$M453=1),0,IF(OFFSET(CRONOPLE!$F$14,$M453,BH$13)="",10^12,OFFSET(CRONOPLE!$F$14,$M453,BH$13))))</f>
        <v>1000000000000</v>
      </c>
      <c r="BI453" s="181">
        <f ca="1">IF($D453&lt;&gt;"Serviço",0,IF(AND(AUTOEVENTO="Manual",$M453=1),0,IF(OFFSET(CRONOPLE!$F$14,$M453,BI$13)="",10^12,OFFSET(CRONOPLE!$F$14,$M453,BI$13))))</f>
        <v>1000000000000</v>
      </c>
      <c r="BJ453" s="181">
        <f ca="1">IF($D453&lt;&gt;"Serviço",0,IF(AND(AUTOEVENTO="Manual",$M453=1),0,IF(OFFSET(CRONOPLE!$F$14,$M453,BJ$13)="",10^12,OFFSET(CRONOPLE!$F$14,$M453,BJ$13))))</f>
        <v>1000000000000</v>
      </c>
      <c r="BK453" s="181">
        <f ca="1">IF($D453&lt;&gt;"Serviço",0,IF(AND(AUTOEVENTO="Manual",$M453=1),0,IF(OFFSET(CRONOPLE!$F$14,$M453,BK$13)="",10^12,OFFSET(CRONOPLE!$F$14,$M453,BK$13))))</f>
        <v>1000000000000</v>
      </c>
      <c r="BL453" s="181">
        <f ca="1">IF($D453&lt;&gt;"Serviço",0,IF(AND(AUTOEVENTO="Manual",$M453=1),0,IF(OFFSET(CRONOPLE!$F$14,$M453,BL$13)="",10^12,OFFSET(CRONOPLE!$F$14,$M453,BL$13))))</f>
        <v>1000000000000</v>
      </c>
      <c r="BM453" s="181">
        <f ca="1">IF($D453&lt;&gt;"Serviço",0,IF(AND(AUTOEVENTO="Manual",$M453=1),0,IF(OFFSET(CRONOPLE!$F$14,$M453,BM$13)="",10^12,OFFSET(CRONOPLE!$F$14,$M453,BM$13))))</f>
        <v>1000000000000</v>
      </c>
      <c r="BN453" s="181">
        <f ca="1">IF($D453&lt;&gt;"Serviço",0,IF(AND(AUTOEVENTO="Manual",$M453=1),0,IF(OFFSET(CRONOPLE!$F$14,$M453,BN$13)="",10^12,OFFSET(CRONOPLE!$F$14,$M453,BN$13))))</f>
        <v>1000000000000</v>
      </c>
      <c r="BO453" s="181">
        <f ca="1">IF($D453&lt;&gt;"Serviço",0,IF(AND(AUTOEVENTO="Manual",$M453=1),0,IF(OFFSET(CRONOPLE!$F$14,$M453,BO$13)="",10^12,OFFSET(CRONOPLE!$F$14,$M453,BO$13))))</f>
        <v>1000000000000</v>
      </c>
      <c r="BP453" s="181">
        <f ca="1">IF($D453&lt;&gt;"Serviço",0,IF(AND(AUTOEVENTO="Manual",$M453=1),0,IF(OFFSET(CRONOPLE!$F$14,$M453,BP$13)="",10^12,OFFSET(CRONOPLE!$F$14,$M453,BP$13))))</f>
        <v>1000000000000</v>
      </c>
      <c r="BQ453" s="181">
        <f ca="1">IF($D453&lt;&gt;"Serviço",0,IF(AND(AUTOEVENTO="Manual",$M453=1),0,IF(OFFSET(CRONOPLE!$F$14,$M453,BQ$13)="",10^12,OFFSET(CRONOPLE!$F$14,$M453,BQ$13))))</f>
        <v>1000000000000</v>
      </c>
      <c r="BR453" s="181">
        <f ca="1">IF($D453&lt;&gt;"Serviço",0,IF(AND(AUTOEVENTO="Manual",$M453=1),0,IF(OFFSET(CRONOPLE!$F$14,$M453,BR$13)="",10^12,OFFSET(CRONOPLE!$F$14,$M453,BR$13))))</f>
        <v>1000000000000</v>
      </c>
      <c r="BS453" s="181">
        <f ca="1">IF($D453&lt;&gt;"Serviço",0,IF(AND(AUTOEVENTO="Manual",$M453=1),0,IF(OFFSET(CRONOPLE!$F$14,$M453,BS$13)="",10^12,OFFSET(CRONOPLE!$F$14,$M453,BS$13))))</f>
        <v>1000000000000</v>
      </c>
      <c r="BT453" s="181">
        <f ca="1">IF($D453&lt;&gt;"Serviço",0,IF(AND(AUTOEVENTO="Manual",$M453=1),0,IF(OFFSET(CRONOPLE!$F$14,$M453,BT$13)="",10^12,OFFSET(CRONOPLE!$F$14,$M453,BT$13))))</f>
        <v>1000000000000</v>
      </c>
      <c r="BV453" s="182">
        <f ca="1">IF($D453&lt;&gt;"Serviço",0,IF(OR(AND(AUTOEVENTO="Manual",$M453=1),$M453&gt;(ROW(PLE.lastrow)-ROW(PLE.firstrow))),0,IF(OFFSET(PLE!$G$14,$M453,BV$13)="",10^12,OFFSET(PLE!$G$14,$M453,BV$13))))</f>
        <v>1000000000000</v>
      </c>
      <c r="BW453" s="182">
        <f ca="1">IF($D453&lt;&gt;"Serviço",0,IF(OR(AND(AUTOEVENTO="Manual",$M453=1),$M453&gt;(ROW(PLE.lastrow)-ROW(PLE.firstrow))),0,IF(OFFSET(PLE!$G$14,$M453,BW$13)="",10^12,OFFSET(PLE!$G$14,$M453,BW$13))))</f>
        <v>1000000000000</v>
      </c>
      <c r="BX453" s="182">
        <f ca="1">IF($D453&lt;&gt;"Serviço",0,IF(OR(AND(AUTOEVENTO="Manual",$M453=1),$M453&gt;(ROW(PLE.lastrow)-ROW(PLE.firstrow))),0,IF(OFFSET(PLE!$G$14,$M453,BX$13)="",10^12,OFFSET(PLE!$G$14,$M453,BX$13))))</f>
        <v>1000000000000</v>
      </c>
      <c r="BY453" s="182">
        <f ca="1">IF($D453&lt;&gt;"Serviço",0,IF(OR(AND(AUTOEVENTO="Manual",$M453=1),$M453&gt;(ROW(PLE.lastrow)-ROW(PLE.firstrow))),0,IF(OFFSET(PLE!$G$14,$M453,BY$13)="",10^12,OFFSET(PLE!$G$14,$M453,BY$13))))</f>
        <v>1000000000000</v>
      </c>
      <c r="BZ453" s="182">
        <f ca="1">IF($D453&lt;&gt;"Serviço",0,IF(OR(AND(AUTOEVENTO="Manual",$M453=1),$M453&gt;(ROW(PLE.lastrow)-ROW(PLE.firstrow))),0,IF(OFFSET(PLE!$G$14,$M453,BZ$13)="",10^12,OFFSET(PLE!$G$14,$M453,BZ$13))))</f>
        <v>1000000000000</v>
      </c>
      <c r="CA453" s="182">
        <f ca="1">IF($D453&lt;&gt;"Serviço",0,IF(OR(AND(AUTOEVENTO="Manual",$M453=1),$M453&gt;(ROW(PLE.lastrow)-ROW(PLE.firstrow))),0,IF(OFFSET(PLE!$G$14,$M453,CA$13)="",10^12,OFFSET(PLE!$G$14,$M453,CA$13))))</f>
        <v>1000000000000</v>
      </c>
      <c r="CB453" s="182">
        <f ca="1">IF($D453&lt;&gt;"Serviço",0,IF(OR(AND(AUTOEVENTO="Manual",$M453=1),$M453&gt;(ROW(PLE.lastrow)-ROW(PLE.firstrow))),0,IF(OFFSET(PLE!$G$14,$M453,CB$13)="",10^12,OFFSET(PLE!$G$14,$M453,CB$13))))</f>
        <v>1000000000000</v>
      </c>
      <c r="CC453" s="182">
        <f ca="1">IF($D453&lt;&gt;"Serviço",0,IF(OR(AND(AUTOEVENTO="Manual",$M453=1),$M453&gt;(ROW(PLE.lastrow)-ROW(PLE.firstrow))),0,IF(OFFSET(PLE!$G$14,$M453,CC$13)="",10^12,OFFSET(PLE!$G$14,$M453,CC$13))))</f>
        <v>1000000000000</v>
      </c>
      <c r="CD453" s="182">
        <f ca="1">IF($D453&lt;&gt;"Serviço",0,IF(OR(AND(AUTOEVENTO="Manual",$M453=1),$M453&gt;(ROW(PLE.lastrow)-ROW(PLE.firstrow))),0,IF(OFFSET(PLE!$G$14,$M453,CD$13)="",10^12,OFFSET(PLE!$G$14,$M453,CD$13))))</f>
        <v>1000000000000</v>
      </c>
      <c r="CE453" s="182">
        <f ca="1">IF($D453&lt;&gt;"Serviço",0,IF(OR(AND(AUTOEVENTO="Manual",$M453=1),$M453&gt;(ROW(PLE.lastrow)-ROW(PLE.firstrow))),0,IF(OFFSET(PLE!$G$14,$M453,CE$13)="",10^12,OFFSET(PLE!$G$14,$M453,CE$13))))</f>
        <v>1000000000000</v>
      </c>
      <c r="CF453" s="182">
        <f ca="1">IF($D453&lt;&gt;"Serviço",0,IF(OR(AND(AUTOEVENTO="Manual",$M453=1),$M453&gt;(ROW(PLE.lastrow)-ROW(PLE.firstrow))),0,IF(OFFSET(PLE!$G$14,$M453,CF$13)="",10^12,OFFSET(PLE!$G$14,$M453,CF$13))))</f>
        <v>1000000000000</v>
      </c>
      <c r="CG453" s="182">
        <f ca="1">IF($D453&lt;&gt;"Serviço",0,IF(OR(AND(AUTOEVENTO="Manual",$M453=1),$M453&gt;(ROW(PLE.lastrow)-ROW(PLE.firstrow))),0,IF(OFFSET(PLE!$G$14,$M453,CG$13)="",10^12,OFFSET(PLE!$G$14,$M453,CG$13))))</f>
        <v>1000000000000</v>
      </c>
      <c r="CH453" s="182">
        <f ca="1">IF($D453&lt;&gt;"Serviço",0,IF(OR(AND(AUTOEVENTO="Manual",$M453=1),$M453&gt;(ROW(PLE.lastrow)-ROW(PLE.firstrow))),0,IF(OFFSET(PLE!$G$14,$M453,CH$13)="",10^12,OFFSET(PLE!$G$14,$M453,CH$13))))</f>
        <v>1000000000000</v>
      </c>
      <c r="CI453" s="182">
        <f ca="1">IF($D453&lt;&gt;"Serviço",0,IF(OR(AND(AUTOEVENTO="Manual",$M453=1),$M453&gt;(ROW(PLE.lastrow)-ROW(PLE.firstrow))),0,IF(OFFSET(PLE!$G$14,$M453,CI$13)="",10^12,OFFSET(PLE!$G$14,$M453,CI$13))))</f>
        <v>1000000000000</v>
      </c>
      <c r="CJ453" s="182">
        <f ca="1">IF($D453&lt;&gt;"Serviço",0,IF(OR(AND(AUTOEVENTO="Manual",$M453=1),$M453&gt;(ROW(PLE.lastrow)-ROW(PLE.firstrow))),0,IF(OFFSET(PLE!$G$14,$M453,CJ$13)="",10^12,OFFSET(PLE!$G$14,$M453,CJ$13))))</f>
        <v>1000000000000</v>
      </c>
      <c r="CK453" s="182">
        <f ca="1">IF($D453&lt;&gt;"Serviço",0,IF(OR(AND(AUTOEVENTO="Manual",$M453=1),$M453&gt;(ROW(PLE.lastrow)-ROW(PLE.firstrow))),0,IF(OFFSET(PLE!$G$14,$M453,CK$13)="",10^12,OFFSET(PLE!$G$14,$M453,CK$13))))</f>
        <v>1000000000000</v>
      </c>
      <c r="CL453" s="182">
        <f ca="1">IF($D453&lt;&gt;"Serviço",0,IF(OR(AND(AUTOEVENTO="Manual",$M453=1),$M453&gt;(ROW(PLE.lastrow)-ROW(PLE.firstrow))),0,IF(OFFSET(PLE!$G$14,$M453,CL$13)="",10^12,OFFSET(PLE!$G$14,$M453,CL$13))))</f>
        <v>1000000000000</v>
      </c>
      <c r="CM453" s="182">
        <f ca="1">IF($D453&lt;&gt;"Serviço",0,IF(OR(AND(AUTOEVENTO="Manual",$M453=1),$M453&gt;(ROW(PLE.lastrow)-ROW(PLE.firstrow))),0,IF(OFFSET(PLE!$G$14,$M453,CM$13)="",10^12,OFFSET(PLE!$G$14,$M453,CM$13))))</f>
        <v>1000000000000</v>
      </c>
    </row>
    <row r="454" spans="1:91" ht="38.25" x14ac:dyDescent="0.2">
      <c r="A454" s="7" t="str">
        <f t="shared" ca="1" si="15"/>
        <v>421</v>
      </c>
      <c r="B454" s="7" t="str">
        <f ca="1">OFFSET(ORÇAMENTO!C$15,ROW(B454)-ROW(B$15),0)</f>
        <v>S</v>
      </c>
      <c r="C454" s="7" t="str">
        <f ca="1">OFFSET(ORÇAMENTO!L$15,ROW(C454)-ROW(C$15),0)</f>
        <v/>
      </c>
      <c r="D454" s="118" t="str">
        <f ca="1">OFFSET(ORÇAMENTO!N$15,ROW(D454)-ROW(D$15),0)</f>
        <v>Serviço</v>
      </c>
      <c r="E454" s="119" t="str">
        <f ca="1">OFFSET(ORÇAMENTO!O$15,ROW(E454)-ROW(E$15),0)</f>
        <v>-</v>
      </c>
      <c r="F454" s="172" t="str">
        <f ca="1">OFFSET(ORÇAMENTO!R$15,ROW(F454)-ROW(F$15),0)</f>
        <v>(abra o arquivo 'Referência 06-2024.xlsm)</v>
      </c>
      <c r="G454" s="173" t="str">
        <f ca="1">IF($D454&lt;&gt;"Serviço","",OFFSET(ORÇAMENTO!S$15,ROW(G454)-ROW(G$15),0))</f>
        <v>-</v>
      </c>
      <c r="H454" s="124">
        <f ca="1">IF($D454&lt;&gt;"Serviço",0,IF(ACOMPANHAMENTO="BM",ROUND(OFFSET(ORÇAMENTO!AJ$15,ROW(H454)-ROW(H$15),0),15-13*ORÇAMENTO!$AF$7),SUMPRODUCT(($Q$12:$AI$12&lt;&gt;"")*ROUND($Q454:$AI454,15-13*ORÇAMENTO!$AF$7))))</f>
        <v>2</v>
      </c>
      <c r="I454" s="561" t="s">
        <v>1107</v>
      </c>
      <c r="K454" s="174"/>
      <c r="L454" s="175" t="s">
        <v>255</v>
      </c>
      <c r="M454" s="176">
        <f ca="1">IF($D454&lt;&gt;"Serviço","",IF(AUTOEVENTO="manual",$A454,IF(ISERROR(MATCH($A454,$A$15:OFFSET($A454,-1,0),0)),MAX($M$15:OFFSET(M454,-1,0))+1,INDEX($M$15:OFFSET(M454,-1,0),MATCH($A454,$A$15:OFFSET($A454,-1,0),0)))))</f>
        <v>49</v>
      </c>
      <c r="N454" s="177" t="str">
        <f ca="1">IF($D454&lt;&gt;"Serviço","",IF(AUTOEVENTO="Manual",IF($A454=0,"&lt;-- defina o número do agrupador",OFFSET(EVENTOS!$D$14,$A454,0)),OFFSET($F$15,$A454,0)))</f>
        <v>SISTEMA DE PROTEÇÃO CONTRA INCÊNDIO - TUBULAÇÕES E CONEXÕES</v>
      </c>
      <c r="O454" s="178"/>
      <c r="Q454" s="178">
        <v>2</v>
      </c>
      <c r="R454" s="179"/>
      <c r="S454" s="179"/>
      <c r="T454" s="179"/>
      <c r="U454" s="179"/>
      <c r="V454" s="179"/>
      <c r="W454" s="179"/>
      <c r="X454" s="179"/>
      <c r="Y454" s="179"/>
      <c r="Z454" s="180"/>
      <c r="AA454" s="179"/>
      <c r="AB454" s="179"/>
      <c r="AC454" s="179"/>
      <c r="AD454" s="179"/>
      <c r="AE454" s="179"/>
      <c r="AF454" s="179"/>
      <c r="AG454" s="179"/>
      <c r="AH454" s="180"/>
      <c r="AJ454" s="544">
        <f ca="1">IF(AND($D454="Serviço",AJ$12&lt;&gt;0,$H454&gt;0,OR(AUTOEVENTO&lt;&gt;"manual",$M454&lt;&gt;1)),
IF(Import.TipoArredondamento&lt;&gt;"TransfereGOV",
ROUND(OFFSET($P454,0,AJ$13),15-13*ORÇAMENTO!$AF$7)/$H454*OFFSET(ORÇAMENTO!$X$15,ROW(AJ454)-ROW(AJ$15),0),
ROUND(ROUND(OFFSET($P454,0,AJ$13),15-13*ORÇAMENTO!$AF$7)*OFFSET(ORÇAMENTO!$W$15,ROW(AJ454)-ROW(AJ$15),0),15-13*ORÇAMENTO!$AF$11)),0)</f>
        <v>0</v>
      </c>
      <c r="AK454" s="545">
        <f ca="1">IF(AND($D454="Serviço",AK$12&lt;&gt;0,$H454&gt;0,OR(AUTOEVENTO&lt;&gt;"manual",$M454&lt;&gt;1)),
IF(Import.TipoArredondamento&lt;&gt;"TransfereGOV",
ROUND(OFFSET($P454,0,AK$13),15-13*ORÇAMENTO!$AF$7)/$H454*OFFSET(ORÇAMENTO!$X$15,ROW(AK454)-ROW(AK$15),0),
ROUND(ROUND(OFFSET($P454,0,AK$13),15-13*ORÇAMENTO!$AF$7)*OFFSET(ORÇAMENTO!$W$15,ROW(AK454)-ROW(AK$15),0),15-13*ORÇAMENTO!$AF$11)),0)</f>
        <v>0</v>
      </c>
      <c r="AL454" s="545">
        <f ca="1">IF(AND($D454="Serviço",AL$12&lt;&gt;0,$H454&gt;0,OR(AUTOEVENTO&lt;&gt;"manual",$M454&lt;&gt;1)),
IF(Import.TipoArredondamento&lt;&gt;"TransfereGOV",
ROUND(OFFSET($P454,0,AL$13),15-13*ORÇAMENTO!$AF$7)/$H454*OFFSET(ORÇAMENTO!$X$15,ROW(AL454)-ROW(AL$15),0),
ROUND(ROUND(OFFSET($P454,0,AL$13),15-13*ORÇAMENTO!$AF$7)*OFFSET(ORÇAMENTO!$W$15,ROW(AL454)-ROW(AL$15),0),15-13*ORÇAMENTO!$AF$11)),0)</f>
        <v>0</v>
      </c>
      <c r="AM454" s="545">
        <f ca="1">IF(AND($D454="Serviço",AM$12&lt;&gt;0,$H454&gt;0,OR(AUTOEVENTO&lt;&gt;"manual",$M454&lt;&gt;1)),
IF(Import.TipoArredondamento&lt;&gt;"TransfereGOV",
ROUND(OFFSET($P454,0,AM$13),15-13*ORÇAMENTO!$AF$7)/$H454*OFFSET(ORÇAMENTO!$X$15,ROW(AM454)-ROW(AM$15),0),
ROUND(ROUND(OFFSET($P454,0,AM$13),15-13*ORÇAMENTO!$AF$7)*OFFSET(ORÇAMENTO!$W$15,ROW(AM454)-ROW(AM$15),0),15-13*ORÇAMENTO!$AF$11)),0)</f>
        <v>0</v>
      </c>
      <c r="AN454" s="545">
        <f ca="1">IF(AND($D454="Serviço",AN$12&lt;&gt;0,$H454&gt;0,OR(AUTOEVENTO&lt;&gt;"manual",$M454&lt;&gt;1)),
IF(Import.TipoArredondamento&lt;&gt;"TransfereGOV",
ROUND(OFFSET($P454,0,AN$13),15-13*ORÇAMENTO!$AF$7)/$H454*OFFSET(ORÇAMENTO!$X$15,ROW(AN454)-ROW(AN$15),0),
ROUND(ROUND(OFFSET($P454,0,AN$13),15-13*ORÇAMENTO!$AF$7)*OFFSET(ORÇAMENTO!$W$15,ROW(AN454)-ROW(AN$15),0),15-13*ORÇAMENTO!$AF$11)),0)</f>
        <v>0</v>
      </c>
      <c r="AO454" s="545">
        <f ca="1">IF(AND($D454="Serviço",AO$12&lt;&gt;0,$H454&gt;0,OR(AUTOEVENTO&lt;&gt;"manual",$M454&lt;&gt;1)),
IF(Import.TipoArredondamento&lt;&gt;"TransfereGOV",
ROUND(OFFSET($P454,0,AO$13),15-13*ORÇAMENTO!$AF$7)/$H454*OFFSET(ORÇAMENTO!$X$15,ROW(AO454)-ROW(AO$15),0),
ROUND(ROUND(OFFSET($P454,0,AO$13),15-13*ORÇAMENTO!$AF$7)*OFFSET(ORÇAMENTO!$W$15,ROW(AO454)-ROW(AO$15),0),15-13*ORÇAMENTO!$AF$11)),0)</f>
        <v>0</v>
      </c>
      <c r="AP454" s="545">
        <f ca="1">IF(AND($D454="Serviço",AP$12&lt;&gt;0,$H454&gt;0,OR(AUTOEVENTO&lt;&gt;"manual",$M454&lt;&gt;1)),
IF(Import.TipoArredondamento&lt;&gt;"TransfereGOV",
ROUND(OFFSET($P454,0,AP$13),15-13*ORÇAMENTO!$AF$7)/$H454*OFFSET(ORÇAMENTO!$X$15,ROW(AP454)-ROW(AP$15),0),
ROUND(ROUND(OFFSET($P454,0,AP$13),15-13*ORÇAMENTO!$AF$7)*OFFSET(ORÇAMENTO!$W$15,ROW(AP454)-ROW(AP$15),0),15-13*ORÇAMENTO!$AF$11)),0)</f>
        <v>0</v>
      </c>
      <c r="AQ454" s="545">
        <f ca="1">IF(AND($D454="Serviço",AQ$12&lt;&gt;0,$H454&gt;0,OR(AUTOEVENTO&lt;&gt;"manual",$M454&lt;&gt;1)),
IF(Import.TipoArredondamento&lt;&gt;"TransfereGOV",
ROUND(OFFSET($P454,0,AQ$13),15-13*ORÇAMENTO!$AF$7)/$H454*OFFSET(ORÇAMENTO!$X$15,ROW(AQ454)-ROW(AQ$15),0),
ROUND(ROUND(OFFSET($P454,0,AQ$13),15-13*ORÇAMENTO!$AF$7)*OFFSET(ORÇAMENTO!$W$15,ROW(AQ454)-ROW(AQ$15),0),15-13*ORÇAMENTO!$AF$11)),0)</f>
        <v>0</v>
      </c>
      <c r="AR454" s="545">
        <f ca="1">IF(AND($D454="Serviço",AR$12&lt;&gt;0,$H454&gt;0,OR(AUTOEVENTO&lt;&gt;"manual",$M454&lt;&gt;1)),
IF(Import.TipoArredondamento&lt;&gt;"TransfereGOV",
ROUND(OFFSET($P454,0,AR$13),15-13*ORÇAMENTO!$AF$7)/$H454*OFFSET(ORÇAMENTO!$X$15,ROW(AR454)-ROW(AR$15),0),
ROUND(ROUND(OFFSET($P454,0,AR$13),15-13*ORÇAMENTO!$AF$7)*OFFSET(ORÇAMENTO!$W$15,ROW(AR454)-ROW(AR$15),0),15-13*ORÇAMENTO!$AF$11)),0)</f>
        <v>0</v>
      </c>
      <c r="AS454" s="546">
        <f ca="1">IF(AND($D454="Serviço",AS$12&lt;&gt;0,$H454&gt;0,OR(AUTOEVENTO&lt;&gt;"manual",$M454&lt;&gt;1)),
IF(Import.TipoArredondamento&lt;&gt;"TransfereGOV",
ROUND(OFFSET($P454,0,AS$13),15-13*ORÇAMENTO!$AF$7)/$H454*OFFSET(ORÇAMENTO!$X$15,ROW(AS454)-ROW(AS$15),0),
ROUND(ROUND(OFFSET($P454,0,AS$13),15-13*ORÇAMENTO!$AF$7)*OFFSET(ORÇAMENTO!$W$15,ROW(AS454)-ROW(AS$15),0),15-13*ORÇAMENTO!$AF$11)),0)</f>
        <v>0</v>
      </c>
      <c r="AT454" s="545">
        <f ca="1">IF(AND($D454="Serviço",AT$12&lt;&gt;0,$H454&gt;0,OR(AUTOEVENTO&lt;&gt;"manual",$M454&lt;&gt;1)),
IF(Import.TipoArredondamento&lt;&gt;"TransfereGOV",
ROUND(OFFSET($P454,0,AT$13),15-13*ORÇAMENTO!$AF$7)/$H454*OFFSET(ORÇAMENTO!$X$15,ROW(AT454)-ROW(AT$15),0),
ROUND(ROUND(OFFSET($P454,0,AT$13),15-13*ORÇAMENTO!$AF$7)*OFFSET(ORÇAMENTO!$W$15,ROW(AT454)-ROW(AT$15),0),15-13*ORÇAMENTO!$AF$11)),0)</f>
        <v>0</v>
      </c>
      <c r="AU454" s="545">
        <f ca="1">IF(AND($D454="Serviço",AU$12&lt;&gt;0,$H454&gt;0,OR(AUTOEVENTO&lt;&gt;"manual",$M454&lt;&gt;1)),
IF(Import.TipoArredondamento&lt;&gt;"TransfereGOV",
ROUND(OFFSET($P454,0,AU$13),15-13*ORÇAMENTO!$AF$7)/$H454*OFFSET(ORÇAMENTO!$X$15,ROW(AU454)-ROW(AU$15),0),
ROUND(ROUND(OFFSET($P454,0,AU$13),15-13*ORÇAMENTO!$AF$7)*OFFSET(ORÇAMENTO!$W$15,ROW(AU454)-ROW(AU$15),0),15-13*ORÇAMENTO!$AF$11)),0)</f>
        <v>0</v>
      </c>
      <c r="AV454" s="545">
        <f ca="1">IF(AND($D454="Serviço",AV$12&lt;&gt;0,$H454&gt;0,OR(AUTOEVENTO&lt;&gt;"manual",$M454&lt;&gt;1)),
IF(Import.TipoArredondamento&lt;&gt;"TransfereGOV",
ROUND(OFFSET($P454,0,AV$13),15-13*ORÇAMENTO!$AF$7)/$H454*OFFSET(ORÇAMENTO!$X$15,ROW(AV454)-ROW(AV$15),0),
ROUND(ROUND(OFFSET($P454,0,AV$13),15-13*ORÇAMENTO!$AF$7)*OFFSET(ORÇAMENTO!$W$15,ROW(AV454)-ROW(AV$15),0),15-13*ORÇAMENTO!$AF$11)),0)</f>
        <v>0</v>
      </c>
      <c r="AW454" s="545">
        <f ca="1">IF(AND($D454="Serviço",AW$12&lt;&gt;0,$H454&gt;0,OR(AUTOEVENTO&lt;&gt;"manual",$M454&lt;&gt;1)),
IF(Import.TipoArredondamento&lt;&gt;"TransfereGOV",
ROUND(OFFSET($P454,0,AW$13),15-13*ORÇAMENTO!$AF$7)/$H454*OFFSET(ORÇAMENTO!$X$15,ROW(AW454)-ROW(AW$15),0),
ROUND(ROUND(OFFSET($P454,0,AW$13),15-13*ORÇAMENTO!$AF$7)*OFFSET(ORÇAMENTO!$W$15,ROW(AW454)-ROW(AW$15),0),15-13*ORÇAMENTO!$AF$11)),0)</f>
        <v>0</v>
      </c>
      <c r="AX454" s="545">
        <f ca="1">IF(AND($D454="Serviço",AX$12&lt;&gt;0,$H454&gt;0,OR(AUTOEVENTO&lt;&gt;"manual",$M454&lt;&gt;1)),
IF(Import.TipoArredondamento&lt;&gt;"TransfereGOV",
ROUND(OFFSET($P454,0,AX$13),15-13*ORÇAMENTO!$AF$7)/$H454*OFFSET(ORÇAMENTO!$X$15,ROW(AX454)-ROW(AX$15),0),
ROUND(ROUND(OFFSET($P454,0,AX$13),15-13*ORÇAMENTO!$AF$7)*OFFSET(ORÇAMENTO!$W$15,ROW(AX454)-ROW(AX$15),0),15-13*ORÇAMENTO!$AF$11)),0)</f>
        <v>0</v>
      </c>
      <c r="AY454" s="545">
        <f ca="1">IF(AND($D454="Serviço",AY$12&lt;&gt;0,$H454&gt;0,OR(AUTOEVENTO&lt;&gt;"manual",$M454&lt;&gt;1)),
IF(Import.TipoArredondamento&lt;&gt;"TransfereGOV",
ROUND(OFFSET($P454,0,AY$13),15-13*ORÇAMENTO!$AF$7)/$H454*OFFSET(ORÇAMENTO!$X$15,ROW(AY454)-ROW(AY$15),0),
ROUND(ROUND(OFFSET($P454,0,AY$13),15-13*ORÇAMENTO!$AF$7)*OFFSET(ORÇAMENTO!$W$15,ROW(AY454)-ROW(AY$15),0),15-13*ORÇAMENTO!$AF$11)),0)</f>
        <v>0</v>
      </c>
      <c r="AZ454" s="545">
        <f ca="1">IF(AND($D454="Serviço",AZ$12&lt;&gt;0,$H454&gt;0,OR(AUTOEVENTO&lt;&gt;"manual",$M454&lt;&gt;1)),
IF(Import.TipoArredondamento&lt;&gt;"TransfereGOV",
ROUND(OFFSET($P454,0,AZ$13),15-13*ORÇAMENTO!$AF$7)/$H454*OFFSET(ORÇAMENTO!$X$15,ROW(AZ454)-ROW(AZ$15),0),
ROUND(ROUND(OFFSET($P454,0,AZ$13),15-13*ORÇAMENTO!$AF$7)*OFFSET(ORÇAMENTO!$W$15,ROW(AZ454)-ROW(AZ$15),0),15-13*ORÇAMENTO!$AF$11)),0)</f>
        <v>0</v>
      </c>
      <c r="BA454" s="546">
        <f ca="1">IF(AND($D454="Serviço",BA$12&lt;&gt;0,$H454&gt;0,OR(AUTOEVENTO&lt;&gt;"manual",$M454&lt;&gt;1)),
IF(Import.TipoArredondamento&lt;&gt;"TransfereGOV",
ROUND(OFFSET($P454,0,BA$13),15-13*ORÇAMENTO!$AF$7)/$H454*OFFSET(ORÇAMENTO!$X$15,ROW(BA454)-ROW(BA$15),0),
ROUND(ROUND(OFFSET($P454,0,BA$13),15-13*ORÇAMENTO!$AF$7)*OFFSET(ORÇAMENTO!$W$15,ROW(BA454)-ROW(BA$15),0),15-13*ORÇAMENTO!$AF$11)),0)</f>
        <v>0</v>
      </c>
      <c r="BC454" s="181">
        <f ca="1">IF($D454&lt;&gt;"Serviço",0,IF(AND(AUTOEVENTO="Manual",$M454=1),0,IF(OFFSET(CRONOPLE!$F$14,$M454,BC$13)="",10^12,OFFSET(CRONOPLE!$F$14,$M454,BC$13))))</f>
        <v>10</v>
      </c>
      <c r="BD454" s="181">
        <f ca="1">IF($D454&lt;&gt;"Serviço",0,IF(AND(AUTOEVENTO="Manual",$M454=1),0,IF(OFFSET(CRONOPLE!$F$14,$M454,BD$13)="",10^12,OFFSET(CRONOPLE!$F$14,$M454,BD$13))))</f>
        <v>1000000000000</v>
      </c>
      <c r="BE454" s="181">
        <f ca="1">IF($D454&lt;&gt;"Serviço",0,IF(AND(AUTOEVENTO="Manual",$M454=1),0,IF(OFFSET(CRONOPLE!$F$14,$M454,BE$13)="",10^12,OFFSET(CRONOPLE!$F$14,$M454,BE$13))))</f>
        <v>1000000000000</v>
      </c>
      <c r="BF454" s="181">
        <f ca="1">IF($D454&lt;&gt;"Serviço",0,IF(AND(AUTOEVENTO="Manual",$M454=1),0,IF(OFFSET(CRONOPLE!$F$14,$M454,BF$13)="",10^12,OFFSET(CRONOPLE!$F$14,$M454,BF$13))))</f>
        <v>1000000000000</v>
      </c>
      <c r="BG454" s="181">
        <f ca="1">IF($D454&lt;&gt;"Serviço",0,IF(AND(AUTOEVENTO="Manual",$M454=1),0,IF(OFFSET(CRONOPLE!$F$14,$M454,BG$13)="",10^12,OFFSET(CRONOPLE!$F$14,$M454,BG$13))))</f>
        <v>1000000000000</v>
      </c>
      <c r="BH454" s="181">
        <f ca="1">IF($D454&lt;&gt;"Serviço",0,IF(AND(AUTOEVENTO="Manual",$M454=1),0,IF(OFFSET(CRONOPLE!$F$14,$M454,BH$13)="",10^12,OFFSET(CRONOPLE!$F$14,$M454,BH$13))))</f>
        <v>1000000000000</v>
      </c>
      <c r="BI454" s="181">
        <f ca="1">IF($D454&lt;&gt;"Serviço",0,IF(AND(AUTOEVENTO="Manual",$M454=1),0,IF(OFFSET(CRONOPLE!$F$14,$M454,BI$13)="",10^12,OFFSET(CRONOPLE!$F$14,$M454,BI$13))))</f>
        <v>1000000000000</v>
      </c>
      <c r="BJ454" s="181">
        <f ca="1">IF($D454&lt;&gt;"Serviço",0,IF(AND(AUTOEVENTO="Manual",$M454=1),0,IF(OFFSET(CRONOPLE!$F$14,$M454,BJ$13)="",10^12,OFFSET(CRONOPLE!$F$14,$M454,BJ$13))))</f>
        <v>1000000000000</v>
      </c>
      <c r="BK454" s="181">
        <f ca="1">IF($D454&lt;&gt;"Serviço",0,IF(AND(AUTOEVENTO="Manual",$M454=1),0,IF(OFFSET(CRONOPLE!$F$14,$M454,BK$13)="",10^12,OFFSET(CRONOPLE!$F$14,$M454,BK$13))))</f>
        <v>1000000000000</v>
      </c>
      <c r="BL454" s="181">
        <f ca="1">IF($D454&lt;&gt;"Serviço",0,IF(AND(AUTOEVENTO="Manual",$M454=1),0,IF(OFFSET(CRONOPLE!$F$14,$M454,BL$13)="",10^12,OFFSET(CRONOPLE!$F$14,$M454,BL$13))))</f>
        <v>1000000000000</v>
      </c>
      <c r="BM454" s="181">
        <f ca="1">IF($D454&lt;&gt;"Serviço",0,IF(AND(AUTOEVENTO="Manual",$M454=1),0,IF(OFFSET(CRONOPLE!$F$14,$M454,BM$13)="",10^12,OFFSET(CRONOPLE!$F$14,$M454,BM$13))))</f>
        <v>1000000000000</v>
      </c>
      <c r="BN454" s="181">
        <f ca="1">IF($D454&lt;&gt;"Serviço",0,IF(AND(AUTOEVENTO="Manual",$M454=1),0,IF(OFFSET(CRONOPLE!$F$14,$M454,BN$13)="",10^12,OFFSET(CRONOPLE!$F$14,$M454,BN$13))))</f>
        <v>1000000000000</v>
      </c>
      <c r="BO454" s="181">
        <f ca="1">IF($D454&lt;&gt;"Serviço",0,IF(AND(AUTOEVENTO="Manual",$M454=1),0,IF(OFFSET(CRONOPLE!$F$14,$M454,BO$13)="",10^12,OFFSET(CRONOPLE!$F$14,$M454,BO$13))))</f>
        <v>1000000000000</v>
      </c>
      <c r="BP454" s="181">
        <f ca="1">IF($D454&lt;&gt;"Serviço",0,IF(AND(AUTOEVENTO="Manual",$M454=1),0,IF(OFFSET(CRONOPLE!$F$14,$M454,BP$13)="",10^12,OFFSET(CRONOPLE!$F$14,$M454,BP$13))))</f>
        <v>1000000000000</v>
      </c>
      <c r="BQ454" s="181">
        <f ca="1">IF($D454&lt;&gt;"Serviço",0,IF(AND(AUTOEVENTO="Manual",$M454=1),0,IF(OFFSET(CRONOPLE!$F$14,$M454,BQ$13)="",10^12,OFFSET(CRONOPLE!$F$14,$M454,BQ$13))))</f>
        <v>1000000000000</v>
      </c>
      <c r="BR454" s="181">
        <f ca="1">IF($D454&lt;&gt;"Serviço",0,IF(AND(AUTOEVENTO="Manual",$M454=1),0,IF(OFFSET(CRONOPLE!$F$14,$M454,BR$13)="",10^12,OFFSET(CRONOPLE!$F$14,$M454,BR$13))))</f>
        <v>1000000000000</v>
      </c>
      <c r="BS454" s="181">
        <f ca="1">IF($D454&lt;&gt;"Serviço",0,IF(AND(AUTOEVENTO="Manual",$M454=1),0,IF(OFFSET(CRONOPLE!$F$14,$M454,BS$13)="",10^12,OFFSET(CRONOPLE!$F$14,$M454,BS$13))))</f>
        <v>1000000000000</v>
      </c>
      <c r="BT454" s="181">
        <f ca="1">IF($D454&lt;&gt;"Serviço",0,IF(AND(AUTOEVENTO="Manual",$M454=1),0,IF(OFFSET(CRONOPLE!$F$14,$M454,BT$13)="",10^12,OFFSET(CRONOPLE!$F$14,$M454,BT$13))))</f>
        <v>1000000000000</v>
      </c>
      <c r="BV454" s="182">
        <f ca="1">IF($D454&lt;&gt;"Serviço",0,IF(OR(AND(AUTOEVENTO="Manual",$M454=1),$M454&gt;(ROW(PLE.lastrow)-ROW(PLE.firstrow))),0,IF(OFFSET(PLE!$G$14,$M454,BV$13)="",10^12,OFFSET(PLE!$G$14,$M454,BV$13))))</f>
        <v>1000000000000</v>
      </c>
      <c r="BW454" s="182">
        <f ca="1">IF($D454&lt;&gt;"Serviço",0,IF(OR(AND(AUTOEVENTO="Manual",$M454=1),$M454&gt;(ROW(PLE.lastrow)-ROW(PLE.firstrow))),0,IF(OFFSET(PLE!$G$14,$M454,BW$13)="",10^12,OFFSET(PLE!$G$14,$M454,BW$13))))</f>
        <v>1000000000000</v>
      </c>
      <c r="BX454" s="182">
        <f ca="1">IF($D454&lt;&gt;"Serviço",0,IF(OR(AND(AUTOEVENTO="Manual",$M454=1),$M454&gt;(ROW(PLE.lastrow)-ROW(PLE.firstrow))),0,IF(OFFSET(PLE!$G$14,$M454,BX$13)="",10^12,OFFSET(PLE!$G$14,$M454,BX$13))))</f>
        <v>1000000000000</v>
      </c>
      <c r="BY454" s="182">
        <f ca="1">IF($D454&lt;&gt;"Serviço",0,IF(OR(AND(AUTOEVENTO="Manual",$M454=1),$M454&gt;(ROW(PLE.lastrow)-ROW(PLE.firstrow))),0,IF(OFFSET(PLE!$G$14,$M454,BY$13)="",10^12,OFFSET(PLE!$G$14,$M454,BY$13))))</f>
        <v>1000000000000</v>
      </c>
      <c r="BZ454" s="182">
        <f ca="1">IF($D454&lt;&gt;"Serviço",0,IF(OR(AND(AUTOEVENTO="Manual",$M454=1),$M454&gt;(ROW(PLE.lastrow)-ROW(PLE.firstrow))),0,IF(OFFSET(PLE!$G$14,$M454,BZ$13)="",10^12,OFFSET(PLE!$G$14,$M454,BZ$13))))</f>
        <v>1000000000000</v>
      </c>
      <c r="CA454" s="182">
        <f ca="1">IF($D454&lt;&gt;"Serviço",0,IF(OR(AND(AUTOEVENTO="Manual",$M454=1),$M454&gt;(ROW(PLE.lastrow)-ROW(PLE.firstrow))),0,IF(OFFSET(PLE!$G$14,$M454,CA$13)="",10^12,OFFSET(PLE!$G$14,$M454,CA$13))))</f>
        <v>1000000000000</v>
      </c>
      <c r="CB454" s="182">
        <f ca="1">IF($D454&lt;&gt;"Serviço",0,IF(OR(AND(AUTOEVENTO="Manual",$M454=1),$M454&gt;(ROW(PLE.lastrow)-ROW(PLE.firstrow))),0,IF(OFFSET(PLE!$G$14,$M454,CB$13)="",10^12,OFFSET(PLE!$G$14,$M454,CB$13))))</f>
        <v>1000000000000</v>
      </c>
      <c r="CC454" s="182">
        <f ca="1">IF($D454&lt;&gt;"Serviço",0,IF(OR(AND(AUTOEVENTO="Manual",$M454=1),$M454&gt;(ROW(PLE.lastrow)-ROW(PLE.firstrow))),0,IF(OFFSET(PLE!$G$14,$M454,CC$13)="",10^12,OFFSET(PLE!$G$14,$M454,CC$13))))</f>
        <v>1000000000000</v>
      </c>
      <c r="CD454" s="182">
        <f ca="1">IF($D454&lt;&gt;"Serviço",0,IF(OR(AND(AUTOEVENTO="Manual",$M454=1),$M454&gt;(ROW(PLE.lastrow)-ROW(PLE.firstrow))),0,IF(OFFSET(PLE!$G$14,$M454,CD$13)="",10^12,OFFSET(PLE!$G$14,$M454,CD$13))))</f>
        <v>1000000000000</v>
      </c>
      <c r="CE454" s="182">
        <f ca="1">IF($D454&lt;&gt;"Serviço",0,IF(OR(AND(AUTOEVENTO="Manual",$M454=1),$M454&gt;(ROW(PLE.lastrow)-ROW(PLE.firstrow))),0,IF(OFFSET(PLE!$G$14,$M454,CE$13)="",10^12,OFFSET(PLE!$G$14,$M454,CE$13))))</f>
        <v>1000000000000</v>
      </c>
      <c r="CF454" s="182">
        <f ca="1">IF($D454&lt;&gt;"Serviço",0,IF(OR(AND(AUTOEVENTO="Manual",$M454=1),$M454&gt;(ROW(PLE.lastrow)-ROW(PLE.firstrow))),0,IF(OFFSET(PLE!$G$14,$M454,CF$13)="",10^12,OFFSET(PLE!$G$14,$M454,CF$13))))</f>
        <v>1000000000000</v>
      </c>
      <c r="CG454" s="182">
        <f ca="1">IF($D454&lt;&gt;"Serviço",0,IF(OR(AND(AUTOEVENTO="Manual",$M454=1),$M454&gt;(ROW(PLE.lastrow)-ROW(PLE.firstrow))),0,IF(OFFSET(PLE!$G$14,$M454,CG$13)="",10^12,OFFSET(PLE!$G$14,$M454,CG$13))))</f>
        <v>1000000000000</v>
      </c>
      <c r="CH454" s="182">
        <f ca="1">IF($D454&lt;&gt;"Serviço",0,IF(OR(AND(AUTOEVENTO="Manual",$M454=1),$M454&gt;(ROW(PLE.lastrow)-ROW(PLE.firstrow))),0,IF(OFFSET(PLE!$G$14,$M454,CH$13)="",10^12,OFFSET(PLE!$G$14,$M454,CH$13))))</f>
        <v>1000000000000</v>
      </c>
      <c r="CI454" s="182">
        <f ca="1">IF($D454&lt;&gt;"Serviço",0,IF(OR(AND(AUTOEVENTO="Manual",$M454=1),$M454&gt;(ROW(PLE.lastrow)-ROW(PLE.firstrow))),0,IF(OFFSET(PLE!$G$14,$M454,CI$13)="",10^12,OFFSET(PLE!$G$14,$M454,CI$13))))</f>
        <v>1000000000000</v>
      </c>
      <c r="CJ454" s="182">
        <f ca="1">IF($D454&lt;&gt;"Serviço",0,IF(OR(AND(AUTOEVENTO="Manual",$M454=1),$M454&gt;(ROW(PLE.lastrow)-ROW(PLE.firstrow))),0,IF(OFFSET(PLE!$G$14,$M454,CJ$13)="",10^12,OFFSET(PLE!$G$14,$M454,CJ$13))))</f>
        <v>1000000000000</v>
      </c>
      <c r="CK454" s="182">
        <f ca="1">IF($D454&lt;&gt;"Serviço",0,IF(OR(AND(AUTOEVENTO="Manual",$M454=1),$M454&gt;(ROW(PLE.lastrow)-ROW(PLE.firstrow))),0,IF(OFFSET(PLE!$G$14,$M454,CK$13)="",10^12,OFFSET(PLE!$G$14,$M454,CK$13))))</f>
        <v>1000000000000</v>
      </c>
      <c r="CL454" s="182">
        <f ca="1">IF($D454&lt;&gt;"Serviço",0,IF(OR(AND(AUTOEVENTO="Manual",$M454=1),$M454&gt;(ROW(PLE.lastrow)-ROW(PLE.firstrow))),0,IF(OFFSET(PLE!$G$14,$M454,CL$13)="",10^12,OFFSET(PLE!$G$14,$M454,CL$13))))</f>
        <v>1000000000000</v>
      </c>
      <c r="CM454" s="182">
        <f ca="1">IF($D454&lt;&gt;"Serviço",0,IF(OR(AND(AUTOEVENTO="Manual",$M454=1),$M454&gt;(ROW(PLE.lastrow)-ROW(PLE.firstrow))),0,IF(OFFSET(PLE!$G$14,$M454,CM$13)="",10^12,OFFSET(PLE!$G$14,$M454,CM$13))))</f>
        <v>1000000000000</v>
      </c>
    </row>
    <row r="455" spans="1:91" ht="38.25" x14ac:dyDescent="0.2">
      <c r="A455" s="7" t="str">
        <f t="shared" ca="1" si="15"/>
        <v>421</v>
      </c>
      <c r="B455" s="7" t="str">
        <f ca="1">OFFSET(ORÇAMENTO!C$15,ROW(B455)-ROW(B$15),0)</f>
        <v>S</v>
      </c>
      <c r="C455" s="7" t="str">
        <f ca="1">OFFSET(ORÇAMENTO!L$15,ROW(C455)-ROW(C$15),0)</f>
        <v/>
      </c>
      <c r="D455" s="118" t="str">
        <f ca="1">OFFSET(ORÇAMENTO!N$15,ROW(D455)-ROW(D$15),0)</f>
        <v>Serviço</v>
      </c>
      <c r="E455" s="119" t="str">
        <f ca="1">OFFSET(ORÇAMENTO!O$15,ROW(E455)-ROW(E$15),0)</f>
        <v>-</v>
      </c>
      <c r="F455" s="172" t="str">
        <f ca="1">OFFSET(ORÇAMENTO!R$15,ROW(F455)-ROW(F$15),0)</f>
        <v>(abra o arquivo 'Referência 06-2024.xlsm)</v>
      </c>
      <c r="G455" s="173" t="str">
        <f ca="1">IF($D455&lt;&gt;"Serviço","",OFFSET(ORÇAMENTO!S$15,ROW(G455)-ROW(G$15),0))</f>
        <v>-</v>
      </c>
      <c r="H455" s="124">
        <f ca="1">IF($D455&lt;&gt;"Serviço",0,IF(ACOMPANHAMENTO="BM",ROUND(OFFSET(ORÇAMENTO!AJ$15,ROW(H455)-ROW(H$15),0),15-13*ORÇAMENTO!$AF$7),SUMPRODUCT(($Q$12:$AI$12&lt;&gt;"")*ROUND($Q455:$AI455,15-13*ORÇAMENTO!$AF$7))))</f>
        <v>1</v>
      </c>
      <c r="I455" s="561" t="s">
        <v>1107</v>
      </c>
      <c r="K455" s="174"/>
      <c r="L455" s="175" t="s">
        <v>255</v>
      </c>
      <c r="M455" s="176">
        <f ca="1">IF($D455&lt;&gt;"Serviço","",IF(AUTOEVENTO="manual",$A455,IF(ISERROR(MATCH($A455,$A$15:OFFSET($A455,-1,0),0)),MAX($M$15:OFFSET(M455,-1,0))+1,INDEX($M$15:OFFSET(M455,-1,0),MATCH($A455,$A$15:OFFSET($A455,-1,0),0)))))</f>
        <v>49</v>
      </c>
      <c r="N455" s="177" t="str">
        <f ca="1">IF($D455&lt;&gt;"Serviço","",IF(AUTOEVENTO="Manual",IF($A455=0,"&lt;-- defina o número do agrupador",OFFSET(EVENTOS!$D$14,$A455,0)),OFFSET($F$15,$A455,0)))</f>
        <v>SISTEMA DE PROTEÇÃO CONTRA INCÊNDIO - TUBULAÇÕES E CONEXÕES</v>
      </c>
      <c r="O455" s="178"/>
      <c r="Q455" s="178">
        <v>1</v>
      </c>
      <c r="R455" s="179"/>
      <c r="S455" s="179"/>
      <c r="T455" s="179"/>
      <c r="U455" s="179"/>
      <c r="V455" s="179"/>
      <c r="W455" s="179"/>
      <c r="X455" s="179"/>
      <c r="Y455" s="179"/>
      <c r="Z455" s="180"/>
      <c r="AA455" s="179"/>
      <c r="AB455" s="179"/>
      <c r="AC455" s="179"/>
      <c r="AD455" s="179"/>
      <c r="AE455" s="179"/>
      <c r="AF455" s="179"/>
      <c r="AG455" s="179"/>
      <c r="AH455" s="180"/>
      <c r="AJ455" s="544">
        <f ca="1">IF(AND($D455="Serviço",AJ$12&lt;&gt;0,$H455&gt;0,OR(AUTOEVENTO&lt;&gt;"manual",$M455&lt;&gt;1)),
IF(Import.TipoArredondamento&lt;&gt;"TransfereGOV",
ROUND(OFFSET($P455,0,AJ$13),15-13*ORÇAMENTO!$AF$7)/$H455*OFFSET(ORÇAMENTO!$X$15,ROW(AJ455)-ROW(AJ$15),0),
ROUND(ROUND(OFFSET($P455,0,AJ$13),15-13*ORÇAMENTO!$AF$7)*OFFSET(ORÇAMENTO!$W$15,ROW(AJ455)-ROW(AJ$15),0),15-13*ORÇAMENTO!$AF$11)),0)</f>
        <v>0</v>
      </c>
      <c r="AK455" s="545">
        <f ca="1">IF(AND($D455="Serviço",AK$12&lt;&gt;0,$H455&gt;0,OR(AUTOEVENTO&lt;&gt;"manual",$M455&lt;&gt;1)),
IF(Import.TipoArredondamento&lt;&gt;"TransfereGOV",
ROUND(OFFSET($P455,0,AK$13),15-13*ORÇAMENTO!$AF$7)/$H455*OFFSET(ORÇAMENTO!$X$15,ROW(AK455)-ROW(AK$15),0),
ROUND(ROUND(OFFSET($P455,0,AK$13),15-13*ORÇAMENTO!$AF$7)*OFFSET(ORÇAMENTO!$W$15,ROW(AK455)-ROW(AK$15),0),15-13*ORÇAMENTO!$AF$11)),0)</f>
        <v>0</v>
      </c>
      <c r="AL455" s="545">
        <f ca="1">IF(AND($D455="Serviço",AL$12&lt;&gt;0,$H455&gt;0,OR(AUTOEVENTO&lt;&gt;"manual",$M455&lt;&gt;1)),
IF(Import.TipoArredondamento&lt;&gt;"TransfereGOV",
ROUND(OFFSET($P455,0,AL$13),15-13*ORÇAMENTO!$AF$7)/$H455*OFFSET(ORÇAMENTO!$X$15,ROW(AL455)-ROW(AL$15),0),
ROUND(ROUND(OFFSET($P455,0,AL$13),15-13*ORÇAMENTO!$AF$7)*OFFSET(ORÇAMENTO!$W$15,ROW(AL455)-ROW(AL$15),0),15-13*ORÇAMENTO!$AF$11)),0)</f>
        <v>0</v>
      </c>
      <c r="AM455" s="545">
        <f ca="1">IF(AND($D455="Serviço",AM$12&lt;&gt;0,$H455&gt;0,OR(AUTOEVENTO&lt;&gt;"manual",$M455&lt;&gt;1)),
IF(Import.TipoArredondamento&lt;&gt;"TransfereGOV",
ROUND(OFFSET($P455,0,AM$13),15-13*ORÇAMENTO!$AF$7)/$H455*OFFSET(ORÇAMENTO!$X$15,ROW(AM455)-ROW(AM$15),0),
ROUND(ROUND(OFFSET($P455,0,AM$13),15-13*ORÇAMENTO!$AF$7)*OFFSET(ORÇAMENTO!$W$15,ROW(AM455)-ROW(AM$15),0),15-13*ORÇAMENTO!$AF$11)),0)</f>
        <v>0</v>
      </c>
      <c r="AN455" s="545">
        <f ca="1">IF(AND($D455="Serviço",AN$12&lt;&gt;0,$H455&gt;0,OR(AUTOEVENTO&lt;&gt;"manual",$M455&lt;&gt;1)),
IF(Import.TipoArredondamento&lt;&gt;"TransfereGOV",
ROUND(OFFSET($P455,0,AN$13),15-13*ORÇAMENTO!$AF$7)/$H455*OFFSET(ORÇAMENTO!$X$15,ROW(AN455)-ROW(AN$15),0),
ROUND(ROUND(OFFSET($P455,0,AN$13),15-13*ORÇAMENTO!$AF$7)*OFFSET(ORÇAMENTO!$W$15,ROW(AN455)-ROW(AN$15),0),15-13*ORÇAMENTO!$AF$11)),0)</f>
        <v>0</v>
      </c>
      <c r="AO455" s="545">
        <f ca="1">IF(AND($D455="Serviço",AO$12&lt;&gt;0,$H455&gt;0,OR(AUTOEVENTO&lt;&gt;"manual",$M455&lt;&gt;1)),
IF(Import.TipoArredondamento&lt;&gt;"TransfereGOV",
ROUND(OFFSET($P455,0,AO$13),15-13*ORÇAMENTO!$AF$7)/$H455*OFFSET(ORÇAMENTO!$X$15,ROW(AO455)-ROW(AO$15),0),
ROUND(ROUND(OFFSET($P455,0,AO$13),15-13*ORÇAMENTO!$AF$7)*OFFSET(ORÇAMENTO!$W$15,ROW(AO455)-ROW(AO$15),0),15-13*ORÇAMENTO!$AF$11)),0)</f>
        <v>0</v>
      </c>
      <c r="AP455" s="545">
        <f ca="1">IF(AND($D455="Serviço",AP$12&lt;&gt;0,$H455&gt;0,OR(AUTOEVENTO&lt;&gt;"manual",$M455&lt;&gt;1)),
IF(Import.TipoArredondamento&lt;&gt;"TransfereGOV",
ROUND(OFFSET($P455,0,AP$13),15-13*ORÇAMENTO!$AF$7)/$H455*OFFSET(ORÇAMENTO!$X$15,ROW(AP455)-ROW(AP$15),0),
ROUND(ROUND(OFFSET($P455,0,AP$13),15-13*ORÇAMENTO!$AF$7)*OFFSET(ORÇAMENTO!$W$15,ROW(AP455)-ROW(AP$15),0),15-13*ORÇAMENTO!$AF$11)),0)</f>
        <v>0</v>
      </c>
      <c r="AQ455" s="545">
        <f ca="1">IF(AND($D455="Serviço",AQ$12&lt;&gt;0,$H455&gt;0,OR(AUTOEVENTO&lt;&gt;"manual",$M455&lt;&gt;1)),
IF(Import.TipoArredondamento&lt;&gt;"TransfereGOV",
ROUND(OFFSET($P455,0,AQ$13),15-13*ORÇAMENTO!$AF$7)/$H455*OFFSET(ORÇAMENTO!$X$15,ROW(AQ455)-ROW(AQ$15),0),
ROUND(ROUND(OFFSET($P455,0,AQ$13),15-13*ORÇAMENTO!$AF$7)*OFFSET(ORÇAMENTO!$W$15,ROW(AQ455)-ROW(AQ$15),0),15-13*ORÇAMENTO!$AF$11)),0)</f>
        <v>0</v>
      </c>
      <c r="AR455" s="545">
        <f ca="1">IF(AND($D455="Serviço",AR$12&lt;&gt;0,$H455&gt;0,OR(AUTOEVENTO&lt;&gt;"manual",$M455&lt;&gt;1)),
IF(Import.TipoArredondamento&lt;&gt;"TransfereGOV",
ROUND(OFFSET($P455,0,AR$13),15-13*ORÇAMENTO!$AF$7)/$H455*OFFSET(ORÇAMENTO!$X$15,ROW(AR455)-ROW(AR$15),0),
ROUND(ROUND(OFFSET($P455,0,AR$13),15-13*ORÇAMENTO!$AF$7)*OFFSET(ORÇAMENTO!$W$15,ROW(AR455)-ROW(AR$15),0),15-13*ORÇAMENTO!$AF$11)),0)</f>
        <v>0</v>
      </c>
      <c r="AS455" s="546">
        <f ca="1">IF(AND($D455="Serviço",AS$12&lt;&gt;0,$H455&gt;0,OR(AUTOEVENTO&lt;&gt;"manual",$M455&lt;&gt;1)),
IF(Import.TipoArredondamento&lt;&gt;"TransfereGOV",
ROUND(OFFSET($P455,0,AS$13),15-13*ORÇAMENTO!$AF$7)/$H455*OFFSET(ORÇAMENTO!$X$15,ROW(AS455)-ROW(AS$15),0),
ROUND(ROUND(OFFSET($P455,0,AS$13),15-13*ORÇAMENTO!$AF$7)*OFFSET(ORÇAMENTO!$W$15,ROW(AS455)-ROW(AS$15),0),15-13*ORÇAMENTO!$AF$11)),0)</f>
        <v>0</v>
      </c>
      <c r="AT455" s="545">
        <f ca="1">IF(AND($D455="Serviço",AT$12&lt;&gt;0,$H455&gt;0,OR(AUTOEVENTO&lt;&gt;"manual",$M455&lt;&gt;1)),
IF(Import.TipoArredondamento&lt;&gt;"TransfereGOV",
ROUND(OFFSET($P455,0,AT$13),15-13*ORÇAMENTO!$AF$7)/$H455*OFFSET(ORÇAMENTO!$X$15,ROW(AT455)-ROW(AT$15),0),
ROUND(ROUND(OFFSET($P455,0,AT$13),15-13*ORÇAMENTO!$AF$7)*OFFSET(ORÇAMENTO!$W$15,ROW(AT455)-ROW(AT$15),0),15-13*ORÇAMENTO!$AF$11)),0)</f>
        <v>0</v>
      </c>
      <c r="AU455" s="545">
        <f ca="1">IF(AND($D455="Serviço",AU$12&lt;&gt;0,$H455&gt;0,OR(AUTOEVENTO&lt;&gt;"manual",$M455&lt;&gt;1)),
IF(Import.TipoArredondamento&lt;&gt;"TransfereGOV",
ROUND(OFFSET($P455,0,AU$13),15-13*ORÇAMENTO!$AF$7)/$H455*OFFSET(ORÇAMENTO!$X$15,ROW(AU455)-ROW(AU$15),0),
ROUND(ROUND(OFFSET($P455,0,AU$13),15-13*ORÇAMENTO!$AF$7)*OFFSET(ORÇAMENTO!$W$15,ROW(AU455)-ROW(AU$15),0),15-13*ORÇAMENTO!$AF$11)),0)</f>
        <v>0</v>
      </c>
      <c r="AV455" s="545">
        <f ca="1">IF(AND($D455="Serviço",AV$12&lt;&gt;0,$H455&gt;0,OR(AUTOEVENTO&lt;&gt;"manual",$M455&lt;&gt;1)),
IF(Import.TipoArredondamento&lt;&gt;"TransfereGOV",
ROUND(OFFSET($P455,0,AV$13),15-13*ORÇAMENTO!$AF$7)/$H455*OFFSET(ORÇAMENTO!$X$15,ROW(AV455)-ROW(AV$15),0),
ROUND(ROUND(OFFSET($P455,0,AV$13),15-13*ORÇAMENTO!$AF$7)*OFFSET(ORÇAMENTO!$W$15,ROW(AV455)-ROW(AV$15),0),15-13*ORÇAMENTO!$AF$11)),0)</f>
        <v>0</v>
      </c>
      <c r="AW455" s="545">
        <f ca="1">IF(AND($D455="Serviço",AW$12&lt;&gt;0,$H455&gt;0,OR(AUTOEVENTO&lt;&gt;"manual",$M455&lt;&gt;1)),
IF(Import.TipoArredondamento&lt;&gt;"TransfereGOV",
ROUND(OFFSET($P455,0,AW$13),15-13*ORÇAMENTO!$AF$7)/$H455*OFFSET(ORÇAMENTO!$X$15,ROW(AW455)-ROW(AW$15),0),
ROUND(ROUND(OFFSET($P455,0,AW$13),15-13*ORÇAMENTO!$AF$7)*OFFSET(ORÇAMENTO!$W$15,ROW(AW455)-ROW(AW$15),0),15-13*ORÇAMENTO!$AF$11)),0)</f>
        <v>0</v>
      </c>
      <c r="AX455" s="545">
        <f ca="1">IF(AND($D455="Serviço",AX$12&lt;&gt;0,$H455&gt;0,OR(AUTOEVENTO&lt;&gt;"manual",$M455&lt;&gt;1)),
IF(Import.TipoArredondamento&lt;&gt;"TransfereGOV",
ROUND(OFFSET($P455,0,AX$13),15-13*ORÇAMENTO!$AF$7)/$H455*OFFSET(ORÇAMENTO!$X$15,ROW(AX455)-ROW(AX$15),0),
ROUND(ROUND(OFFSET($P455,0,AX$13),15-13*ORÇAMENTO!$AF$7)*OFFSET(ORÇAMENTO!$W$15,ROW(AX455)-ROW(AX$15),0),15-13*ORÇAMENTO!$AF$11)),0)</f>
        <v>0</v>
      </c>
      <c r="AY455" s="545">
        <f ca="1">IF(AND($D455="Serviço",AY$12&lt;&gt;0,$H455&gt;0,OR(AUTOEVENTO&lt;&gt;"manual",$M455&lt;&gt;1)),
IF(Import.TipoArredondamento&lt;&gt;"TransfereGOV",
ROUND(OFFSET($P455,0,AY$13),15-13*ORÇAMENTO!$AF$7)/$H455*OFFSET(ORÇAMENTO!$X$15,ROW(AY455)-ROW(AY$15),0),
ROUND(ROUND(OFFSET($P455,0,AY$13),15-13*ORÇAMENTO!$AF$7)*OFFSET(ORÇAMENTO!$W$15,ROW(AY455)-ROW(AY$15),0),15-13*ORÇAMENTO!$AF$11)),0)</f>
        <v>0</v>
      </c>
      <c r="AZ455" s="545">
        <f ca="1">IF(AND($D455="Serviço",AZ$12&lt;&gt;0,$H455&gt;0,OR(AUTOEVENTO&lt;&gt;"manual",$M455&lt;&gt;1)),
IF(Import.TipoArredondamento&lt;&gt;"TransfereGOV",
ROUND(OFFSET($P455,0,AZ$13),15-13*ORÇAMENTO!$AF$7)/$H455*OFFSET(ORÇAMENTO!$X$15,ROW(AZ455)-ROW(AZ$15),0),
ROUND(ROUND(OFFSET($P455,0,AZ$13),15-13*ORÇAMENTO!$AF$7)*OFFSET(ORÇAMENTO!$W$15,ROW(AZ455)-ROW(AZ$15),0),15-13*ORÇAMENTO!$AF$11)),0)</f>
        <v>0</v>
      </c>
      <c r="BA455" s="546">
        <f ca="1">IF(AND($D455="Serviço",BA$12&lt;&gt;0,$H455&gt;0,OR(AUTOEVENTO&lt;&gt;"manual",$M455&lt;&gt;1)),
IF(Import.TipoArredondamento&lt;&gt;"TransfereGOV",
ROUND(OFFSET($P455,0,BA$13),15-13*ORÇAMENTO!$AF$7)/$H455*OFFSET(ORÇAMENTO!$X$15,ROW(BA455)-ROW(BA$15),0),
ROUND(ROUND(OFFSET($P455,0,BA$13),15-13*ORÇAMENTO!$AF$7)*OFFSET(ORÇAMENTO!$W$15,ROW(BA455)-ROW(BA$15),0),15-13*ORÇAMENTO!$AF$11)),0)</f>
        <v>0</v>
      </c>
      <c r="BC455" s="181">
        <f ca="1">IF($D455&lt;&gt;"Serviço",0,IF(AND(AUTOEVENTO="Manual",$M455=1),0,IF(OFFSET(CRONOPLE!$F$14,$M455,BC$13)="",10^12,OFFSET(CRONOPLE!$F$14,$M455,BC$13))))</f>
        <v>10</v>
      </c>
      <c r="BD455" s="181">
        <f ca="1">IF($D455&lt;&gt;"Serviço",0,IF(AND(AUTOEVENTO="Manual",$M455=1),0,IF(OFFSET(CRONOPLE!$F$14,$M455,BD$13)="",10^12,OFFSET(CRONOPLE!$F$14,$M455,BD$13))))</f>
        <v>1000000000000</v>
      </c>
      <c r="BE455" s="181">
        <f ca="1">IF($D455&lt;&gt;"Serviço",0,IF(AND(AUTOEVENTO="Manual",$M455=1),0,IF(OFFSET(CRONOPLE!$F$14,$M455,BE$13)="",10^12,OFFSET(CRONOPLE!$F$14,$M455,BE$13))))</f>
        <v>1000000000000</v>
      </c>
      <c r="BF455" s="181">
        <f ca="1">IF($D455&lt;&gt;"Serviço",0,IF(AND(AUTOEVENTO="Manual",$M455=1),0,IF(OFFSET(CRONOPLE!$F$14,$M455,BF$13)="",10^12,OFFSET(CRONOPLE!$F$14,$M455,BF$13))))</f>
        <v>1000000000000</v>
      </c>
      <c r="BG455" s="181">
        <f ca="1">IF($D455&lt;&gt;"Serviço",0,IF(AND(AUTOEVENTO="Manual",$M455=1),0,IF(OFFSET(CRONOPLE!$F$14,$M455,BG$13)="",10^12,OFFSET(CRONOPLE!$F$14,$M455,BG$13))))</f>
        <v>1000000000000</v>
      </c>
      <c r="BH455" s="181">
        <f ca="1">IF($D455&lt;&gt;"Serviço",0,IF(AND(AUTOEVENTO="Manual",$M455=1),0,IF(OFFSET(CRONOPLE!$F$14,$M455,BH$13)="",10^12,OFFSET(CRONOPLE!$F$14,$M455,BH$13))))</f>
        <v>1000000000000</v>
      </c>
      <c r="BI455" s="181">
        <f ca="1">IF($D455&lt;&gt;"Serviço",0,IF(AND(AUTOEVENTO="Manual",$M455=1),0,IF(OFFSET(CRONOPLE!$F$14,$M455,BI$13)="",10^12,OFFSET(CRONOPLE!$F$14,$M455,BI$13))))</f>
        <v>1000000000000</v>
      </c>
      <c r="BJ455" s="181">
        <f ca="1">IF($D455&lt;&gt;"Serviço",0,IF(AND(AUTOEVENTO="Manual",$M455=1),0,IF(OFFSET(CRONOPLE!$F$14,$M455,BJ$13)="",10^12,OFFSET(CRONOPLE!$F$14,$M455,BJ$13))))</f>
        <v>1000000000000</v>
      </c>
      <c r="BK455" s="181">
        <f ca="1">IF($D455&lt;&gt;"Serviço",0,IF(AND(AUTOEVENTO="Manual",$M455=1),0,IF(OFFSET(CRONOPLE!$F$14,$M455,BK$13)="",10^12,OFFSET(CRONOPLE!$F$14,$M455,BK$13))))</f>
        <v>1000000000000</v>
      </c>
      <c r="BL455" s="181">
        <f ca="1">IF($D455&lt;&gt;"Serviço",0,IF(AND(AUTOEVENTO="Manual",$M455=1),0,IF(OFFSET(CRONOPLE!$F$14,$M455,BL$13)="",10^12,OFFSET(CRONOPLE!$F$14,$M455,BL$13))))</f>
        <v>1000000000000</v>
      </c>
      <c r="BM455" s="181">
        <f ca="1">IF($D455&lt;&gt;"Serviço",0,IF(AND(AUTOEVENTO="Manual",$M455=1),0,IF(OFFSET(CRONOPLE!$F$14,$M455,BM$13)="",10^12,OFFSET(CRONOPLE!$F$14,$M455,BM$13))))</f>
        <v>1000000000000</v>
      </c>
      <c r="BN455" s="181">
        <f ca="1">IF($D455&lt;&gt;"Serviço",0,IF(AND(AUTOEVENTO="Manual",$M455=1),0,IF(OFFSET(CRONOPLE!$F$14,$M455,BN$13)="",10^12,OFFSET(CRONOPLE!$F$14,$M455,BN$13))))</f>
        <v>1000000000000</v>
      </c>
      <c r="BO455" s="181">
        <f ca="1">IF($D455&lt;&gt;"Serviço",0,IF(AND(AUTOEVENTO="Manual",$M455=1),0,IF(OFFSET(CRONOPLE!$F$14,$M455,BO$13)="",10^12,OFFSET(CRONOPLE!$F$14,$M455,BO$13))))</f>
        <v>1000000000000</v>
      </c>
      <c r="BP455" s="181">
        <f ca="1">IF($D455&lt;&gt;"Serviço",0,IF(AND(AUTOEVENTO="Manual",$M455=1),0,IF(OFFSET(CRONOPLE!$F$14,$M455,BP$13)="",10^12,OFFSET(CRONOPLE!$F$14,$M455,BP$13))))</f>
        <v>1000000000000</v>
      </c>
      <c r="BQ455" s="181">
        <f ca="1">IF($D455&lt;&gt;"Serviço",0,IF(AND(AUTOEVENTO="Manual",$M455=1),0,IF(OFFSET(CRONOPLE!$F$14,$M455,BQ$13)="",10^12,OFFSET(CRONOPLE!$F$14,$M455,BQ$13))))</f>
        <v>1000000000000</v>
      </c>
      <c r="BR455" s="181">
        <f ca="1">IF($D455&lt;&gt;"Serviço",0,IF(AND(AUTOEVENTO="Manual",$M455=1),0,IF(OFFSET(CRONOPLE!$F$14,$M455,BR$13)="",10^12,OFFSET(CRONOPLE!$F$14,$M455,BR$13))))</f>
        <v>1000000000000</v>
      </c>
      <c r="BS455" s="181">
        <f ca="1">IF($D455&lt;&gt;"Serviço",0,IF(AND(AUTOEVENTO="Manual",$M455=1),0,IF(OFFSET(CRONOPLE!$F$14,$M455,BS$13)="",10^12,OFFSET(CRONOPLE!$F$14,$M455,BS$13))))</f>
        <v>1000000000000</v>
      </c>
      <c r="BT455" s="181">
        <f ca="1">IF($D455&lt;&gt;"Serviço",0,IF(AND(AUTOEVENTO="Manual",$M455=1),0,IF(OFFSET(CRONOPLE!$F$14,$M455,BT$13)="",10^12,OFFSET(CRONOPLE!$F$14,$M455,BT$13))))</f>
        <v>1000000000000</v>
      </c>
      <c r="BV455" s="182">
        <f ca="1">IF($D455&lt;&gt;"Serviço",0,IF(OR(AND(AUTOEVENTO="Manual",$M455=1),$M455&gt;(ROW(PLE.lastrow)-ROW(PLE.firstrow))),0,IF(OFFSET(PLE!$G$14,$M455,BV$13)="",10^12,OFFSET(PLE!$G$14,$M455,BV$13))))</f>
        <v>1000000000000</v>
      </c>
      <c r="BW455" s="182">
        <f ca="1">IF($D455&lt;&gt;"Serviço",0,IF(OR(AND(AUTOEVENTO="Manual",$M455=1),$M455&gt;(ROW(PLE.lastrow)-ROW(PLE.firstrow))),0,IF(OFFSET(PLE!$G$14,$M455,BW$13)="",10^12,OFFSET(PLE!$G$14,$M455,BW$13))))</f>
        <v>1000000000000</v>
      </c>
      <c r="BX455" s="182">
        <f ca="1">IF($D455&lt;&gt;"Serviço",0,IF(OR(AND(AUTOEVENTO="Manual",$M455=1),$M455&gt;(ROW(PLE.lastrow)-ROW(PLE.firstrow))),0,IF(OFFSET(PLE!$G$14,$M455,BX$13)="",10^12,OFFSET(PLE!$G$14,$M455,BX$13))))</f>
        <v>1000000000000</v>
      </c>
      <c r="BY455" s="182">
        <f ca="1">IF($D455&lt;&gt;"Serviço",0,IF(OR(AND(AUTOEVENTO="Manual",$M455=1),$M455&gt;(ROW(PLE.lastrow)-ROW(PLE.firstrow))),0,IF(OFFSET(PLE!$G$14,$M455,BY$13)="",10^12,OFFSET(PLE!$G$14,$M455,BY$13))))</f>
        <v>1000000000000</v>
      </c>
      <c r="BZ455" s="182">
        <f ca="1">IF($D455&lt;&gt;"Serviço",0,IF(OR(AND(AUTOEVENTO="Manual",$M455=1),$M455&gt;(ROW(PLE.lastrow)-ROW(PLE.firstrow))),0,IF(OFFSET(PLE!$G$14,$M455,BZ$13)="",10^12,OFFSET(PLE!$G$14,$M455,BZ$13))))</f>
        <v>1000000000000</v>
      </c>
      <c r="CA455" s="182">
        <f ca="1">IF($D455&lt;&gt;"Serviço",0,IF(OR(AND(AUTOEVENTO="Manual",$M455=1),$M455&gt;(ROW(PLE.lastrow)-ROW(PLE.firstrow))),0,IF(OFFSET(PLE!$G$14,$M455,CA$13)="",10^12,OFFSET(PLE!$G$14,$M455,CA$13))))</f>
        <v>1000000000000</v>
      </c>
      <c r="CB455" s="182">
        <f ca="1">IF($D455&lt;&gt;"Serviço",0,IF(OR(AND(AUTOEVENTO="Manual",$M455=1),$M455&gt;(ROW(PLE.lastrow)-ROW(PLE.firstrow))),0,IF(OFFSET(PLE!$G$14,$M455,CB$13)="",10^12,OFFSET(PLE!$G$14,$M455,CB$13))))</f>
        <v>1000000000000</v>
      </c>
      <c r="CC455" s="182">
        <f ca="1">IF($D455&lt;&gt;"Serviço",0,IF(OR(AND(AUTOEVENTO="Manual",$M455=1),$M455&gt;(ROW(PLE.lastrow)-ROW(PLE.firstrow))),0,IF(OFFSET(PLE!$G$14,$M455,CC$13)="",10^12,OFFSET(PLE!$G$14,$M455,CC$13))))</f>
        <v>1000000000000</v>
      </c>
      <c r="CD455" s="182">
        <f ca="1">IF($D455&lt;&gt;"Serviço",0,IF(OR(AND(AUTOEVENTO="Manual",$M455=1),$M455&gt;(ROW(PLE.lastrow)-ROW(PLE.firstrow))),0,IF(OFFSET(PLE!$G$14,$M455,CD$13)="",10^12,OFFSET(PLE!$G$14,$M455,CD$13))))</f>
        <v>1000000000000</v>
      </c>
      <c r="CE455" s="182">
        <f ca="1">IF($D455&lt;&gt;"Serviço",0,IF(OR(AND(AUTOEVENTO="Manual",$M455=1),$M455&gt;(ROW(PLE.lastrow)-ROW(PLE.firstrow))),0,IF(OFFSET(PLE!$G$14,$M455,CE$13)="",10^12,OFFSET(PLE!$G$14,$M455,CE$13))))</f>
        <v>1000000000000</v>
      </c>
      <c r="CF455" s="182">
        <f ca="1">IF($D455&lt;&gt;"Serviço",0,IF(OR(AND(AUTOEVENTO="Manual",$M455=1),$M455&gt;(ROW(PLE.lastrow)-ROW(PLE.firstrow))),0,IF(OFFSET(PLE!$G$14,$M455,CF$13)="",10^12,OFFSET(PLE!$G$14,$M455,CF$13))))</f>
        <v>1000000000000</v>
      </c>
      <c r="CG455" s="182">
        <f ca="1">IF($D455&lt;&gt;"Serviço",0,IF(OR(AND(AUTOEVENTO="Manual",$M455=1),$M455&gt;(ROW(PLE.lastrow)-ROW(PLE.firstrow))),0,IF(OFFSET(PLE!$G$14,$M455,CG$13)="",10^12,OFFSET(PLE!$G$14,$M455,CG$13))))</f>
        <v>1000000000000</v>
      </c>
      <c r="CH455" s="182">
        <f ca="1">IF($D455&lt;&gt;"Serviço",0,IF(OR(AND(AUTOEVENTO="Manual",$M455=1),$M455&gt;(ROW(PLE.lastrow)-ROW(PLE.firstrow))),0,IF(OFFSET(PLE!$G$14,$M455,CH$13)="",10^12,OFFSET(PLE!$G$14,$M455,CH$13))))</f>
        <v>1000000000000</v>
      </c>
      <c r="CI455" s="182">
        <f ca="1">IF($D455&lt;&gt;"Serviço",0,IF(OR(AND(AUTOEVENTO="Manual",$M455=1),$M455&gt;(ROW(PLE.lastrow)-ROW(PLE.firstrow))),0,IF(OFFSET(PLE!$G$14,$M455,CI$13)="",10^12,OFFSET(PLE!$G$14,$M455,CI$13))))</f>
        <v>1000000000000</v>
      </c>
      <c r="CJ455" s="182">
        <f ca="1">IF($D455&lt;&gt;"Serviço",0,IF(OR(AND(AUTOEVENTO="Manual",$M455=1),$M455&gt;(ROW(PLE.lastrow)-ROW(PLE.firstrow))),0,IF(OFFSET(PLE!$G$14,$M455,CJ$13)="",10^12,OFFSET(PLE!$G$14,$M455,CJ$13))))</f>
        <v>1000000000000</v>
      </c>
      <c r="CK455" s="182">
        <f ca="1">IF($D455&lt;&gt;"Serviço",0,IF(OR(AND(AUTOEVENTO="Manual",$M455=1),$M455&gt;(ROW(PLE.lastrow)-ROW(PLE.firstrow))),0,IF(OFFSET(PLE!$G$14,$M455,CK$13)="",10^12,OFFSET(PLE!$G$14,$M455,CK$13))))</f>
        <v>1000000000000</v>
      </c>
      <c r="CL455" s="182">
        <f ca="1">IF($D455&lt;&gt;"Serviço",0,IF(OR(AND(AUTOEVENTO="Manual",$M455=1),$M455&gt;(ROW(PLE.lastrow)-ROW(PLE.firstrow))),0,IF(OFFSET(PLE!$G$14,$M455,CL$13)="",10^12,OFFSET(PLE!$G$14,$M455,CL$13))))</f>
        <v>1000000000000</v>
      </c>
      <c r="CM455" s="182">
        <f ca="1">IF($D455&lt;&gt;"Serviço",0,IF(OR(AND(AUTOEVENTO="Manual",$M455=1),$M455&gt;(ROW(PLE.lastrow)-ROW(PLE.firstrow))),0,IF(OFFSET(PLE!$G$14,$M455,CM$13)="",10^12,OFFSET(PLE!$G$14,$M455,CM$13))))</f>
        <v>1000000000000</v>
      </c>
    </row>
    <row r="456" spans="1:91" ht="38.25" x14ac:dyDescent="0.2">
      <c r="A456" s="7" t="str">
        <f t="shared" ca="1" si="15"/>
        <v>421</v>
      </c>
      <c r="B456" s="7" t="str">
        <f ca="1">OFFSET(ORÇAMENTO!C$15,ROW(B456)-ROW(B$15),0)</f>
        <v>S</v>
      </c>
      <c r="C456" s="7" t="str">
        <f ca="1">OFFSET(ORÇAMENTO!L$15,ROW(C456)-ROW(C$15),0)</f>
        <v/>
      </c>
      <c r="D456" s="118" t="str">
        <f ca="1">OFFSET(ORÇAMENTO!N$15,ROW(D456)-ROW(D$15),0)</f>
        <v>Serviço</v>
      </c>
      <c r="E456" s="119" t="str">
        <f ca="1">OFFSET(ORÇAMENTO!O$15,ROW(E456)-ROW(E$15),0)</f>
        <v>-</v>
      </c>
      <c r="F456" s="172" t="str">
        <f ca="1">OFFSET(ORÇAMENTO!R$15,ROW(F456)-ROW(F$15),0)</f>
        <v>(abra o arquivo 'Referência 06-2024.xlsm)</v>
      </c>
      <c r="G456" s="173" t="str">
        <f ca="1">IF($D456&lt;&gt;"Serviço","",OFFSET(ORÇAMENTO!S$15,ROW(G456)-ROW(G$15),0))</f>
        <v>-</v>
      </c>
      <c r="H456" s="124">
        <f ca="1">IF($D456&lt;&gt;"Serviço",0,IF(ACOMPANHAMENTO="BM",ROUND(OFFSET(ORÇAMENTO!AJ$15,ROW(H456)-ROW(H$15),0),15-13*ORÇAMENTO!$AF$7),SUMPRODUCT(($Q$12:$AI$12&lt;&gt;"")*ROUND($Q456:$AI456,15-13*ORÇAMENTO!$AF$7))))</f>
        <v>1</v>
      </c>
      <c r="I456" s="561" t="s">
        <v>1107</v>
      </c>
      <c r="K456" s="174"/>
      <c r="L456" s="175" t="s">
        <v>255</v>
      </c>
      <c r="M456" s="176">
        <f ca="1">IF($D456&lt;&gt;"Serviço","",IF(AUTOEVENTO="manual",$A456,IF(ISERROR(MATCH($A456,$A$15:OFFSET($A456,-1,0),0)),MAX($M$15:OFFSET(M456,-1,0))+1,INDEX($M$15:OFFSET(M456,-1,0),MATCH($A456,$A$15:OFFSET($A456,-1,0),0)))))</f>
        <v>49</v>
      </c>
      <c r="N456" s="177" t="str">
        <f ca="1">IF($D456&lt;&gt;"Serviço","",IF(AUTOEVENTO="Manual",IF($A456=0,"&lt;-- defina o número do agrupador",OFFSET(EVENTOS!$D$14,$A456,0)),OFFSET($F$15,$A456,0)))</f>
        <v>SISTEMA DE PROTEÇÃO CONTRA INCÊNDIO - TUBULAÇÕES E CONEXÕES</v>
      </c>
      <c r="O456" s="178"/>
      <c r="Q456" s="178">
        <v>1</v>
      </c>
      <c r="R456" s="179"/>
      <c r="S456" s="179"/>
      <c r="T456" s="179"/>
      <c r="U456" s="179"/>
      <c r="V456" s="179"/>
      <c r="W456" s="179"/>
      <c r="X456" s="179"/>
      <c r="Y456" s="179"/>
      <c r="Z456" s="180"/>
      <c r="AA456" s="179"/>
      <c r="AB456" s="179"/>
      <c r="AC456" s="179"/>
      <c r="AD456" s="179"/>
      <c r="AE456" s="179"/>
      <c r="AF456" s="179"/>
      <c r="AG456" s="179"/>
      <c r="AH456" s="180"/>
      <c r="AJ456" s="544">
        <f ca="1">IF(AND($D456="Serviço",AJ$12&lt;&gt;0,$H456&gt;0,OR(AUTOEVENTO&lt;&gt;"manual",$M456&lt;&gt;1)),
IF(Import.TipoArredondamento&lt;&gt;"TransfereGOV",
ROUND(OFFSET($P456,0,AJ$13),15-13*ORÇAMENTO!$AF$7)/$H456*OFFSET(ORÇAMENTO!$X$15,ROW(AJ456)-ROW(AJ$15),0),
ROUND(ROUND(OFFSET($P456,0,AJ$13),15-13*ORÇAMENTO!$AF$7)*OFFSET(ORÇAMENTO!$W$15,ROW(AJ456)-ROW(AJ$15),0),15-13*ORÇAMENTO!$AF$11)),0)</f>
        <v>0</v>
      </c>
      <c r="AK456" s="545">
        <f ca="1">IF(AND($D456="Serviço",AK$12&lt;&gt;0,$H456&gt;0,OR(AUTOEVENTO&lt;&gt;"manual",$M456&lt;&gt;1)),
IF(Import.TipoArredondamento&lt;&gt;"TransfereGOV",
ROUND(OFFSET($P456,0,AK$13),15-13*ORÇAMENTO!$AF$7)/$H456*OFFSET(ORÇAMENTO!$X$15,ROW(AK456)-ROW(AK$15),0),
ROUND(ROUND(OFFSET($P456,0,AK$13),15-13*ORÇAMENTO!$AF$7)*OFFSET(ORÇAMENTO!$W$15,ROW(AK456)-ROW(AK$15),0),15-13*ORÇAMENTO!$AF$11)),0)</f>
        <v>0</v>
      </c>
      <c r="AL456" s="545">
        <f ca="1">IF(AND($D456="Serviço",AL$12&lt;&gt;0,$H456&gt;0,OR(AUTOEVENTO&lt;&gt;"manual",$M456&lt;&gt;1)),
IF(Import.TipoArredondamento&lt;&gt;"TransfereGOV",
ROUND(OFFSET($P456,0,AL$13),15-13*ORÇAMENTO!$AF$7)/$H456*OFFSET(ORÇAMENTO!$X$15,ROW(AL456)-ROW(AL$15),0),
ROUND(ROUND(OFFSET($P456,0,AL$13),15-13*ORÇAMENTO!$AF$7)*OFFSET(ORÇAMENTO!$W$15,ROW(AL456)-ROW(AL$15),0),15-13*ORÇAMENTO!$AF$11)),0)</f>
        <v>0</v>
      </c>
      <c r="AM456" s="545">
        <f ca="1">IF(AND($D456="Serviço",AM$12&lt;&gt;0,$H456&gt;0,OR(AUTOEVENTO&lt;&gt;"manual",$M456&lt;&gt;1)),
IF(Import.TipoArredondamento&lt;&gt;"TransfereGOV",
ROUND(OFFSET($P456,0,AM$13),15-13*ORÇAMENTO!$AF$7)/$H456*OFFSET(ORÇAMENTO!$X$15,ROW(AM456)-ROW(AM$15),0),
ROUND(ROUND(OFFSET($P456,0,AM$13),15-13*ORÇAMENTO!$AF$7)*OFFSET(ORÇAMENTO!$W$15,ROW(AM456)-ROW(AM$15),0),15-13*ORÇAMENTO!$AF$11)),0)</f>
        <v>0</v>
      </c>
      <c r="AN456" s="545">
        <f ca="1">IF(AND($D456="Serviço",AN$12&lt;&gt;0,$H456&gt;0,OR(AUTOEVENTO&lt;&gt;"manual",$M456&lt;&gt;1)),
IF(Import.TipoArredondamento&lt;&gt;"TransfereGOV",
ROUND(OFFSET($P456,0,AN$13),15-13*ORÇAMENTO!$AF$7)/$H456*OFFSET(ORÇAMENTO!$X$15,ROW(AN456)-ROW(AN$15),0),
ROUND(ROUND(OFFSET($P456,0,AN$13),15-13*ORÇAMENTO!$AF$7)*OFFSET(ORÇAMENTO!$W$15,ROW(AN456)-ROW(AN$15),0),15-13*ORÇAMENTO!$AF$11)),0)</f>
        <v>0</v>
      </c>
      <c r="AO456" s="545">
        <f ca="1">IF(AND($D456="Serviço",AO$12&lt;&gt;0,$H456&gt;0,OR(AUTOEVENTO&lt;&gt;"manual",$M456&lt;&gt;1)),
IF(Import.TipoArredondamento&lt;&gt;"TransfereGOV",
ROUND(OFFSET($P456,0,AO$13),15-13*ORÇAMENTO!$AF$7)/$H456*OFFSET(ORÇAMENTO!$X$15,ROW(AO456)-ROW(AO$15),0),
ROUND(ROUND(OFFSET($P456,0,AO$13),15-13*ORÇAMENTO!$AF$7)*OFFSET(ORÇAMENTO!$W$15,ROW(AO456)-ROW(AO$15),0),15-13*ORÇAMENTO!$AF$11)),0)</f>
        <v>0</v>
      </c>
      <c r="AP456" s="545">
        <f ca="1">IF(AND($D456="Serviço",AP$12&lt;&gt;0,$H456&gt;0,OR(AUTOEVENTO&lt;&gt;"manual",$M456&lt;&gt;1)),
IF(Import.TipoArredondamento&lt;&gt;"TransfereGOV",
ROUND(OFFSET($P456,0,AP$13),15-13*ORÇAMENTO!$AF$7)/$H456*OFFSET(ORÇAMENTO!$X$15,ROW(AP456)-ROW(AP$15),0),
ROUND(ROUND(OFFSET($P456,0,AP$13),15-13*ORÇAMENTO!$AF$7)*OFFSET(ORÇAMENTO!$W$15,ROW(AP456)-ROW(AP$15),0),15-13*ORÇAMENTO!$AF$11)),0)</f>
        <v>0</v>
      </c>
      <c r="AQ456" s="545">
        <f ca="1">IF(AND($D456="Serviço",AQ$12&lt;&gt;0,$H456&gt;0,OR(AUTOEVENTO&lt;&gt;"manual",$M456&lt;&gt;1)),
IF(Import.TipoArredondamento&lt;&gt;"TransfereGOV",
ROUND(OFFSET($P456,0,AQ$13),15-13*ORÇAMENTO!$AF$7)/$H456*OFFSET(ORÇAMENTO!$X$15,ROW(AQ456)-ROW(AQ$15),0),
ROUND(ROUND(OFFSET($P456,0,AQ$13),15-13*ORÇAMENTO!$AF$7)*OFFSET(ORÇAMENTO!$W$15,ROW(AQ456)-ROW(AQ$15),0),15-13*ORÇAMENTO!$AF$11)),0)</f>
        <v>0</v>
      </c>
      <c r="AR456" s="545">
        <f ca="1">IF(AND($D456="Serviço",AR$12&lt;&gt;0,$H456&gt;0,OR(AUTOEVENTO&lt;&gt;"manual",$M456&lt;&gt;1)),
IF(Import.TipoArredondamento&lt;&gt;"TransfereGOV",
ROUND(OFFSET($P456,0,AR$13),15-13*ORÇAMENTO!$AF$7)/$H456*OFFSET(ORÇAMENTO!$X$15,ROW(AR456)-ROW(AR$15),0),
ROUND(ROUND(OFFSET($P456,0,AR$13),15-13*ORÇAMENTO!$AF$7)*OFFSET(ORÇAMENTO!$W$15,ROW(AR456)-ROW(AR$15),0),15-13*ORÇAMENTO!$AF$11)),0)</f>
        <v>0</v>
      </c>
      <c r="AS456" s="546">
        <f ca="1">IF(AND($D456="Serviço",AS$12&lt;&gt;0,$H456&gt;0,OR(AUTOEVENTO&lt;&gt;"manual",$M456&lt;&gt;1)),
IF(Import.TipoArredondamento&lt;&gt;"TransfereGOV",
ROUND(OFFSET($P456,0,AS$13),15-13*ORÇAMENTO!$AF$7)/$H456*OFFSET(ORÇAMENTO!$X$15,ROW(AS456)-ROW(AS$15),0),
ROUND(ROUND(OFFSET($P456,0,AS$13),15-13*ORÇAMENTO!$AF$7)*OFFSET(ORÇAMENTO!$W$15,ROW(AS456)-ROW(AS$15),0),15-13*ORÇAMENTO!$AF$11)),0)</f>
        <v>0</v>
      </c>
      <c r="AT456" s="545">
        <f ca="1">IF(AND($D456="Serviço",AT$12&lt;&gt;0,$H456&gt;0,OR(AUTOEVENTO&lt;&gt;"manual",$M456&lt;&gt;1)),
IF(Import.TipoArredondamento&lt;&gt;"TransfereGOV",
ROUND(OFFSET($P456,0,AT$13),15-13*ORÇAMENTO!$AF$7)/$H456*OFFSET(ORÇAMENTO!$X$15,ROW(AT456)-ROW(AT$15),0),
ROUND(ROUND(OFFSET($P456,0,AT$13),15-13*ORÇAMENTO!$AF$7)*OFFSET(ORÇAMENTO!$W$15,ROW(AT456)-ROW(AT$15),0),15-13*ORÇAMENTO!$AF$11)),0)</f>
        <v>0</v>
      </c>
      <c r="AU456" s="545">
        <f ca="1">IF(AND($D456="Serviço",AU$12&lt;&gt;0,$H456&gt;0,OR(AUTOEVENTO&lt;&gt;"manual",$M456&lt;&gt;1)),
IF(Import.TipoArredondamento&lt;&gt;"TransfereGOV",
ROUND(OFFSET($P456,0,AU$13),15-13*ORÇAMENTO!$AF$7)/$H456*OFFSET(ORÇAMENTO!$X$15,ROW(AU456)-ROW(AU$15),0),
ROUND(ROUND(OFFSET($P456,0,AU$13),15-13*ORÇAMENTO!$AF$7)*OFFSET(ORÇAMENTO!$W$15,ROW(AU456)-ROW(AU$15),0),15-13*ORÇAMENTO!$AF$11)),0)</f>
        <v>0</v>
      </c>
      <c r="AV456" s="545">
        <f ca="1">IF(AND($D456="Serviço",AV$12&lt;&gt;0,$H456&gt;0,OR(AUTOEVENTO&lt;&gt;"manual",$M456&lt;&gt;1)),
IF(Import.TipoArredondamento&lt;&gt;"TransfereGOV",
ROUND(OFFSET($P456,0,AV$13),15-13*ORÇAMENTO!$AF$7)/$H456*OFFSET(ORÇAMENTO!$X$15,ROW(AV456)-ROW(AV$15),0),
ROUND(ROUND(OFFSET($P456,0,AV$13),15-13*ORÇAMENTO!$AF$7)*OFFSET(ORÇAMENTO!$W$15,ROW(AV456)-ROW(AV$15),0),15-13*ORÇAMENTO!$AF$11)),0)</f>
        <v>0</v>
      </c>
      <c r="AW456" s="545">
        <f ca="1">IF(AND($D456="Serviço",AW$12&lt;&gt;0,$H456&gt;0,OR(AUTOEVENTO&lt;&gt;"manual",$M456&lt;&gt;1)),
IF(Import.TipoArredondamento&lt;&gt;"TransfereGOV",
ROUND(OFFSET($P456,0,AW$13),15-13*ORÇAMENTO!$AF$7)/$H456*OFFSET(ORÇAMENTO!$X$15,ROW(AW456)-ROW(AW$15),0),
ROUND(ROUND(OFFSET($P456,0,AW$13),15-13*ORÇAMENTO!$AF$7)*OFFSET(ORÇAMENTO!$W$15,ROW(AW456)-ROW(AW$15),0),15-13*ORÇAMENTO!$AF$11)),0)</f>
        <v>0</v>
      </c>
      <c r="AX456" s="545">
        <f ca="1">IF(AND($D456="Serviço",AX$12&lt;&gt;0,$H456&gt;0,OR(AUTOEVENTO&lt;&gt;"manual",$M456&lt;&gt;1)),
IF(Import.TipoArredondamento&lt;&gt;"TransfereGOV",
ROUND(OFFSET($P456,0,AX$13),15-13*ORÇAMENTO!$AF$7)/$H456*OFFSET(ORÇAMENTO!$X$15,ROW(AX456)-ROW(AX$15),0),
ROUND(ROUND(OFFSET($P456,0,AX$13),15-13*ORÇAMENTO!$AF$7)*OFFSET(ORÇAMENTO!$W$15,ROW(AX456)-ROW(AX$15),0),15-13*ORÇAMENTO!$AF$11)),0)</f>
        <v>0</v>
      </c>
      <c r="AY456" s="545">
        <f ca="1">IF(AND($D456="Serviço",AY$12&lt;&gt;0,$H456&gt;0,OR(AUTOEVENTO&lt;&gt;"manual",$M456&lt;&gt;1)),
IF(Import.TipoArredondamento&lt;&gt;"TransfereGOV",
ROUND(OFFSET($P456,0,AY$13),15-13*ORÇAMENTO!$AF$7)/$H456*OFFSET(ORÇAMENTO!$X$15,ROW(AY456)-ROW(AY$15),0),
ROUND(ROUND(OFFSET($P456,0,AY$13),15-13*ORÇAMENTO!$AF$7)*OFFSET(ORÇAMENTO!$W$15,ROW(AY456)-ROW(AY$15),0),15-13*ORÇAMENTO!$AF$11)),0)</f>
        <v>0</v>
      </c>
      <c r="AZ456" s="545">
        <f ca="1">IF(AND($D456="Serviço",AZ$12&lt;&gt;0,$H456&gt;0,OR(AUTOEVENTO&lt;&gt;"manual",$M456&lt;&gt;1)),
IF(Import.TipoArredondamento&lt;&gt;"TransfereGOV",
ROUND(OFFSET($P456,0,AZ$13),15-13*ORÇAMENTO!$AF$7)/$H456*OFFSET(ORÇAMENTO!$X$15,ROW(AZ456)-ROW(AZ$15),0),
ROUND(ROUND(OFFSET($P456,0,AZ$13),15-13*ORÇAMENTO!$AF$7)*OFFSET(ORÇAMENTO!$W$15,ROW(AZ456)-ROW(AZ$15),0),15-13*ORÇAMENTO!$AF$11)),0)</f>
        <v>0</v>
      </c>
      <c r="BA456" s="546">
        <f ca="1">IF(AND($D456="Serviço",BA$12&lt;&gt;0,$H456&gt;0,OR(AUTOEVENTO&lt;&gt;"manual",$M456&lt;&gt;1)),
IF(Import.TipoArredondamento&lt;&gt;"TransfereGOV",
ROUND(OFFSET($P456,0,BA$13),15-13*ORÇAMENTO!$AF$7)/$H456*OFFSET(ORÇAMENTO!$X$15,ROW(BA456)-ROW(BA$15),0),
ROUND(ROUND(OFFSET($P456,0,BA$13),15-13*ORÇAMENTO!$AF$7)*OFFSET(ORÇAMENTO!$W$15,ROW(BA456)-ROW(BA$15),0),15-13*ORÇAMENTO!$AF$11)),0)</f>
        <v>0</v>
      </c>
      <c r="BC456" s="181">
        <f ca="1">IF($D456&lt;&gt;"Serviço",0,IF(AND(AUTOEVENTO="Manual",$M456=1),0,IF(OFFSET(CRONOPLE!$F$14,$M456,BC$13)="",10^12,OFFSET(CRONOPLE!$F$14,$M456,BC$13))))</f>
        <v>10</v>
      </c>
      <c r="BD456" s="181">
        <f ca="1">IF($D456&lt;&gt;"Serviço",0,IF(AND(AUTOEVENTO="Manual",$M456=1),0,IF(OFFSET(CRONOPLE!$F$14,$M456,BD$13)="",10^12,OFFSET(CRONOPLE!$F$14,$M456,BD$13))))</f>
        <v>1000000000000</v>
      </c>
      <c r="BE456" s="181">
        <f ca="1">IF($D456&lt;&gt;"Serviço",0,IF(AND(AUTOEVENTO="Manual",$M456=1),0,IF(OFFSET(CRONOPLE!$F$14,$M456,BE$13)="",10^12,OFFSET(CRONOPLE!$F$14,$M456,BE$13))))</f>
        <v>1000000000000</v>
      </c>
      <c r="BF456" s="181">
        <f ca="1">IF($D456&lt;&gt;"Serviço",0,IF(AND(AUTOEVENTO="Manual",$M456=1),0,IF(OFFSET(CRONOPLE!$F$14,$M456,BF$13)="",10^12,OFFSET(CRONOPLE!$F$14,$M456,BF$13))))</f>
        <v>1000000000000</v>
      </c>
      <c r="BG456" s="181">
        <f ca="1">IF($D456&lt;&gt;"Serviço",0,IF(AND(AUTOEVENTO="Manual",$M456=1),0,IF(OFFSET(CRONOPLE!$F$14,$M456,BG$13)="",10^12,OFFSET(CRONOPLE!$F$14,$M456,BG$13))))</f>
        <v>1000000000000</v>
      </c>
      <c r="BH456" s="181">
        <f ca="1">IF($D456&lt;&gt;"Serviço",0,IF(AND(AUTOEVENTO="Manual",$M456=1),0,IF(OFFSET(CRONOPLE!$F$14,$M456,BH$13)="",10^12,OFFSET(CRONOPLE!$F$14,$M456,BH$13))))</f>
        <v>1000000000000</v>
      </c>
      <c r="BI456" s="181">
        <f ca="1">IF($D456&lt;&gt;"Serviço",0,IF(AND(AUTOEVENTO="Manual",$M456=1),0,IF(OFFSET(CRONOPLE!$F$14,$M456,BI$13)="",10^12,OFFSET(CRONOPLE!$F$14,$M456,BI$13))))</f>
        <v>1000000000000</v>
      </c>
      <c r="BJ456" s="181">
        <f ca="1">IF($D456&lt;&gt;"Serviço",0,IF(AND(AUTOEVENTO="Manual",$M456=1),0,IF(OFFSET(CRONOPLE!$F$14,$M456,BJ$13)="",10^12,OFFSET(CRONOPLE!$F$14,$M456,BJ$13))))</f>
        <v>1000000000000</v>
      </c>
      <c r="BK456" s="181">
        <f ca="1">IF($D456&lt;&gt;"Serviço",0,IF(AND(AUTOEVENTO="Manual",$M456=1),0,IF(OFFSET(CRONOPLE!$F$14,$M456,BK$13)="",10^12,OFFSET(CRONOPLE!$F$14,$M456,BK$13))))</f>
        <v>1000000000000</v>
      </c>
      <c r="BL456" s="181">
        <f ca="1">IF($D456&lt;&gt;"Serviço",0,IF(AND(AUTOEVENTO="Manual",$M456=1),0,IF(OFFSET(CRONOPLE!$F$14,$M456,BL$13)="",10^12,OFFSET(CRONOPLE!$F$14,$M456,BL$13))))</f>
        <v>1000000000000</v>
      </c>
      <c r="BM456" s="181">
        <f ca="1">IF($D456&lt;&gt;"Serviço",0,IF(AND(AUTOEVENTO="Manual",$M456=1),0,IF(OFFSET(CRONOPLE!$F$14,$M456,BM$13)="",10^12,OFFSET(CRONOPLE!$F$14,$M456,BM$13))))</f>
        <v>1000000000000</v>
      </c>
      <c r="BN456" s="181">
        <f ca="1">IF($D456&lt;&gt;"Serviço",0,IF(AND(AUTOEVENTO="Manual",$M456=1),0,IF(OFFSET(CRONOPLE!$F$14,$M456,BN$13)="",10^12,OFFSET(CRONOPLE!$F$14,$M456,BN$13))))</f>
        <v>1000000000000</v>
      </c>
      <c r="BO456" s="181">
        <f ca="1">IF($D456&lt;&gt;"Serviço",0,IF(AND(AUTOEVENTO="Manual",$M456=1),0,IF(OFFSET(CRONOPLE!$F$14,$M456,BO$13)="",10^12,OFFSET(CRONOPLE!$F$14,$M456,BO$13))))</f>
        <v>1000000000000</v>
      </c>
      <c r="BP456" s="181">
        <f ca="1">IF($D456&lt;&gt;"Serviço",0,IF(AND(AUTOEVENTO="Manual",$M456=1),0,IF(OFFSET(CRONOPLE!$F$14,$M456,BP$13)="",10^12,OFFSET(CRONOPLE!$F$14,$M456,BP$13))))</f>
        <v>1000000000000</v>
      </c>
      <c r="BQ456" s="181">
        <f ca="1">IF($D456&lt;&gt;"Serviço",0,IF(AND(AUTOEVENTO="Manual",$M456=1),0,IF(OFFSET(CRONOPLE!$F$14,$M456,BQ$13)="",10^12,OFFSET(CRONOPLE!$F$14,$M456,BQ$13))))</f>
        <v>1000000000000</v>
      </c>
      <c r="BR456" s="181">
        <f ca="1">IF($D456&lt;&gt;"Serviço",0,IF(AND(AUTOEVENTO="Manual",$M456=1),0,IF(OFFSET(CRONOPLE!$F$14,$M456,BR$13)="",10^12,OFFSET(CRONOPLE!$F$14,$M456,BR$13))))</f>
        <v>1000000000000</v>
      </c>
      <c r="BS456" s="181">
        <f ca="1">IF($D456&lt;&gt;"Serviço",0,IF(AND(AUTOEVENTO="Manual",$M456=1),0,IF(OFFSET(CRONOPLE!$F$14,$M456,BS$13)="",10^12,OFFSET(CRONOPLE!$F$14,$M456,BS$13))))</f>
        <v>1000000000000</v>
      </c>
      <c r="BT456" s="181">
        <f ca="1">IF($D456&lt;&gt;"Serviço",0,IF(AND(AUTOEVENTO="Manual",$M456=1),0,IF(OFFSET(CRONOPLE!$F$14,$M456,BT$13)="",10^12,OFFSET(CRONOPLE!$F$14,$M456,BT$13))))</f>
        <v>1000000000000</v>
      </c>
      <c r="BV456" s="182">
        <f ca="1">IF($D456&lt;&gt;"Serviço",0,IF(OR(AND(AUTOEVENTO="Manual",$M456=1),$M456&gt;(ROW(PLE.lastrow)-ROW(PLE.firstrow))),0,IF(OFFSET(PLE!$G$14,$M456,BV$13)="",10^12,OFFSET(PLE!$G$14,$M456,BV$13))))</f>
        <v>1000000000000</v>
      </c>
      <c r="BW456" s="182">
        <f ca="1">IF($D456&lt;&gt;"Serviço",0,IF(OR(AND(AUTOEVENTO="Manual",$M456=1),$M456&gt;(ROW(PLE.lastrow)-ROW(PLE.firstrow))),0,IF(OFFSET(PLE!$G$14,$M456,BW$13)="",10^12,OFFSET(PLE!$G$14,$M456,BW$13))))</f>
        <v>1000000000000</v>
      </c>
      <c r="BX456" s="182">
        <f ca="1">IF($D456&lt;&gt;"Serviço",0,IF(OR(AND(AUTOEVENTO="Manual",$M456=1),$M456&gt;(ROW(PLE.lastrow)-ROW(PLE.firstrow))),0,IF(OFFSET(PLE!$G$14,$M456,BX$13)="",10^12,OFFSET(PLE!$G$14,$M456,BX$13))))</f>
        <v>1000000000000</v>
      </c>
      <c r="BY456" s="182">
        <f ca="1">IF($D456&lt;&gt;"Serviço",0,IF(OR(AND(AUTOEVENTO="Manual",$M456=1),$M456&gt;(ROW(PLE.lastrow)-ROW(PLE.firstrow))),0,IF(OFFSET(PLE!$G$14,$M456,BY$13)="",10^12,OFFSET(PLE!$G$14,$M456,BY$13))))</f>
        <v>1000000000000</v>
      </c>
      <c r="BZ456" s="182">
        <f ca="1">IF($D456&lt;&gt;"Serviço",0,IF(OR(AND(AUTOEVENTO="Manual",$M456=1),$M456&gt;(ROW(PLE.lastrow)-ROW(PLE.firstrow))),0,IF(OFFSET(PLE!$G$14,$M456,BZ$13)="",10^12,OFFSET(PLE!$G$14,$M456,BZ$13))))</f>
        <v>1000000000000</v>
      </c>
      <c r="CA456" s="182">
        <f ca="1">IF($D456&lt;&gt;"Serviço",0,IF(OR(AND(AUTOEVENTO="Manual",$M456=1),$M456&gt;(ROW(PLE.lastrow)-ROW(PLE.firstrow))),0,IF(OFFSET(PLE!$G$14,$M456,CA$13)="",10^12,OFFSET(PLE!$G$14,$M456,CA$13))))</f>
        <v>1000000000000</v>
      </c>
      <c r="CB456" s="182">
        <f ca="1">IF($D456&lt;&gt;"Serviço",0,IF(OR(AND(AUTOEVENTO="Manual",$M456=1),$M456&gt;(ROW(PLE.lastrow)-ROW(PLE.firstrow))),0,IF(OFFSET(PLE!$G$14,$M456,CB$13)="",10^12,OFFSET(PLE!$G$14,$M456,CB$13))))</f>
        <v>1000000000000</v>
      </c>
      <c r="CC456" s="182">
        <f ca="1">IF($D456&lt;&gt;"Serviço",0,IF(OR(AND(AUTOEVENTO="Manual",$M456=1),$M456&gt;(ROW(PLE.lastrow)-ROW(PLE.firstrow))),0,IF(OFFSET(PLE!$G$14,$M456,CC$13)="",10^12,OFFSET(PLE!$G$14,$M456,CC$13))))</f>
        <v>1000000000000</v>
      </c>
      <c r="CD456" s="182">
        <f ca="1">IF($D456&lt;&gt;"Serviço",0,IF(OR(AND(AUTOEVENTO="Manual",$M456=1),$M456&gt;(ROW(PLE.lastrow)-ROW(PLE.firstrow))),0,IF(OFFSET(PLE!$G$14,$M456,CD$13)="",10^12,OFFSET(PLE!$G$14,$M456,CD$13))))</f>
        <v>1000000000000</v>
      </c>
      <c r="CE456" s="182">
        <f ca="1">IF($D456&lt;&gt;"Serviço",0,IF(OR(AND(AUTOEVENTO="Manual",$M456=1),$M456&gt;(ROW(PLE.lastrow)-ROW(PLE.firstrow))),0,IF(OFFSET(PLE!$G$14,$M456,CE$13)="",10^12,OFFSET(PLE!$G$14,$M456,CE$13))))</f>
        <v>1000000000000</v>
      </c>
      <c r="CF456" s="182">
        <f ca="1">IF($D456&lt;&gt;"Serviço",0,IF(OR(AND(AUTOEVENTO="Manual",$M456=1),$M456&gt;(ROW(PLE.lastrow)-ROW(PLE.firstrow))),0,IF(OFFSET(PLE!$G$14,$M456,CF$13)="",10^12,OFFSET(PLE!$G$14,$M456,CF$13))))</f>
        <v>1000000000000</v>
      </c>
      <c r="CG456" s="182">
        <f ca="1">IF($D456&lt;&gt;"Serviço",0,IF(OR(AND(AUTOEVENTO="Manual",$M456=1),$M456&gt;(ROW(PLE.lastrow)-ROW(PLE.firstrow))),0,IF(OFFSET(PLE!$G$14,$M456,CG$13)="",10^12,OFFSET(PLE!$G$14,$M456,CG$13))))</f>
        <v>1000000000000</v>
      </c>
      <c r="CH456" s="182">
        <f ca="1">IF($D456&lt;&gt;"Serviço",0,IF(OR(AND(AUTOEVENTO="Manual",$M456=1),$M456&gt;(ROW(PLE.lastrow)-ROW(PLE.firstrow))),0,IF(OFFSET(PLE!$G$14,$M456,CH$13)="",10^12,OFFSET(PLE!$G$14,$M456,CH$13))))</f>
        <v>1000000000000</v>
      </c>
      <c r="CI456" s="182">
        <f ca="1">IF($D456&lt;&gt;"Serviço",0,IF(OR(AND(AUTOEVENTO="Manual",$M456=1),$M456&gt;(ROW(PLE.lastrow)-ROW(PLE.firstrow))),0,IF(OFFSET(PLE!$G$14,$M456,CI$13)="",10^12,OFFSET(PLE!$G$14,$M456,CI$13))))</f>
        <v>1000000000000</v>
      </c>
      <c r="CJ456" s="182">
        <f ca="1">IF($D456&lt;&gt;"Serviço",0,IF(OR(AND(AUTOEVENTO="Manual",$M456=1),$M456&gt;(ROW(PLE.lastrow)-ROW(PLE.firstrow))),0,IF(OFFSET(PLE!$G$14,$M456,CJ$13)="",10^12,OFFSET(PLE!$G$14,$M456,CJ$13))))</f>
        <v>1000000000000</v>
      </c>
      <c r="CK456" s="182">
        <f ca="1">IF($D456&lt;&gt;"Serviço",0,IF(OR(AND(AUTOEVENTO="Manual",$M456=1),$M456&gt;(ROW(PLE.lastrow)-ROW(PLE.firstrow))),0,IF(OFFSET(PLE!$G$14,$M456,CK$13)="",10^12,OFFSET(PLE!$G$14,$M456,CK$13))))</f>
        <v>1000000000000</v>
      </c>
      <c r="CL456" s="182">
        <f ca="1">IF($D456&lt;&gt;"Serviço",0,IF(OR(AND(AUTOEVENTO="Manual",$M456=1),$M456&gt;(ROW(PLE.lastrow)-ROW(PLE.firstrow))),0,IF(OFFSET(PLE!$G$14,$M456,CL$13)="",10^12,OFFSET(PLE!$G$14,$M456,CL$13))))</f>
        <v>1000000000000</v>
      </c>
      <c r="CM456" s="182">
        <f ca="1">IF($D456&lt;&gt;"Serviço",0,IF(OR(AND(AUTOEVENTO="Manual",$M456=1),$M456&gt;(ROW(PLE.lastrow)-ROW(PLE.firstrow))),0,IF(OFFSET(PLE!$G$14,$M456,CM$13)="",10^12,OFFSET(PLE!$G$14,$M456,CM$13))))</f>
        <v>1000000000000</v>
      </c>
    </row>
    <row r="457" spans="1:91" ht="38.25" x14ac:dyDescent="0.2">
      <c r="A457" s="7" t="str">
        <f t="shared" ca="1" si="15"/>
        <v>421</v>
      </c>
      <c r="B457" s="7" t="str">
        <f ca="1">OFFSET(ORÇAMENTO!C$15,ROW(B457)-ROW(B$15),0)</f>
        <v>S</v>
      </c>
      <c r="C457" s="7" t="str">
        <f ca="1">OFFSET(ORÇAMENTO!L$15,ROW(C457)-ROW(C$15),0)</f>
        <v/>
      </c>
      <c r="D457" s="118" t="str">
        <f ca="1">OFFSET(ORÇAMENTO!N$15,ROW(D457)-ROW(D$15),0)</f>
        <v>Serviço</v>
      </c>
      <c r="E457" s="119" t="str">
        <f ca="1">OFFSET(ORÇAMENTO!O$15,ROW(E457)-ROW(E$15),0)</f>
        <v>-</v>
      </c>
      <c r="F457" s="172" t="str">
        <f ca="1">OFFSET(ORÇAMENTO!R$15,ROW(F457)-ROW(F$15),0)</f>
        <v>(abra o arquivo 'Referência 06-2024.xlsm)</v>
      </c>
      <c r="G457" s="173" t="str">
        <f ca="1">IF($D457&lt;&gt;"Serviço","",OFFSET(ORÇAMENTO!S$15,ROW(G457)-ROW(G$15),0))</f>
        <v>-</v>
      </c>
      <c r="H457" s="124">
        <f ca="1">IF($D457&lt;&gt;"Serviço",0,IF(ACOMPANHAMENTO="BM",ROUND(OFFSET(ORÇAMENTO!AJ$15,ROW(H457)-ROW(H$15),0),15-13*ORÇAMENTO!$AF$7),SUMPRODUCT(($Q$12:$AI$12&lt;&gt;"")*ROUND($Q457:$AI457,15-13*ORÇAMENTO!$AF$7))))</f>
        <v>2</v>
      </c>
      <c r="I457" s="561" t="s">
        <v>1107</v>
      </c>
      <c r="K457" s="174"/>
      <c r="L457" s="175" t="s">
        <v>255</v>
      </c>
      <c r="M457" s="176">
        <f ca="1">IF($D457&lt;&gt;"Serviço","",IF(AUTOEVENTO="manual",$A457,IF(ISERROR(MATCH($A457,$A$15:OFFSET($A457,-1,0),0)),MAX($M$15:OFFSET(M457,-1,0))+1,INDEX($M$15:OFFSET(M457,-1,0),MATCH($A457,$A$15:OFFSET($A457,-1,0),0)))))</f>
        <v>49</v>
      </c>
      <c r="N457" s="177" t="str">
        <f ca="1">IF($D457&lt;&gt;"Serviço","",IF(AUTOEVENTO="Manual",IF($A457=0,"&lt;-- defina o número do agrupador",OFFSET(EVENTOS!$D$14,$A457,0)),OFFSET($F$15,$A457,0)))</f>
        <v>SISTEMA DE PROTEÇÃO CONTRA INCÊNDIO - TUBULAÇÕES E CONEXÕES</v>
      </c>
      <c r="O457" s="178"/>
      <c r="Q457" s="178">
        <v>2</v>
      </c>
      <c r="R457" s="179"/>
      <c r="S457" s="179"/>
      <c r="T457" s="179"/>
      <c r="U457" s="179"/>
      <c r="V457" s="179"/>
      <c r="W457" s="179"/>
      <c r="X457" s="179"/>
      <c r="Y457" s="179"/>
      <c r="Z457" s="180"/>
      <c r="AA457" s="179"/>
      <c r="AB457" s="179"/>
      <c r="AC457" s="179"/>
      <c r="AD457" s="179"/>
      <c r="AE457" s="179"/>
      <c r="AF457" s="179"/>
      <c r="AG457" s="179"/>
      <c r="AH457" s="180"/>
      <c r="AJ457" s="544">
        <f ca="1">IF(AND($D457="Serviço",AJ$12&lt;&gt;0,$H457&gt;0,OR(AUTOEVENTO&lt;&gt;"manual",$M457&lt;&gt;1)),
IF(Import.TipoArredondamento&lt;&gt;"TransfereGOV",
ROUND(OFFSET($P457,0,AJ$13),15-13*ORÇAMENTO!$AF$7)/$H457*OFFSET(ORÇAMENTO!$X$15,ROW(AJ457)-ROW(AJ$15),0),
ROUND(ROUND(OFFSET($P457,0,AJ$13),15-13*ORÇAMENTO!$AF$7)*OFFSET(ORÇAMENTO!$W$15,ROW(AJ457)-ROW(AJ$15),0),15-13*ORÇAMENTO!$AF$11)),0)</f>
        <v>0</v>
      </c>
      <c r="AK457" s="545">
        <f ca="1">IF(AND($D457="Serviço",AK$12&lt;&gt;0,$H457&gt;0,OR(AUTOEVENTO&lt;&gt;"manual",$M457&lt;&gt;1)),
IF(Import.TipoArredondamento&lt;&gt;"TransfereGOV",
ROUND(OFFSET($P457,0,AK$13),15-13*ORÇAMENTO!$AF$7)/$H457*OFFSET(ORÇAMENTO!$X$15,ROW(AK457)-ROW(AK$15),0),
ROUND(ROUND(OFFSET($P457,0,AK$13),15-13*ORÇAMENTO!$AF$7)*OFFSET(ORÇAMENTO!$W$15,ROW(AK457)-ROW(AK$15),0),15-13*ORÇAMENTO!$AF$11)),0)</f>
        <v>0</v>
      </c>
      <c r="AL457" s="545">
        <f ca="1">IF(AND($D457="Serviço",AL$12&lt;&gt;0,$H457&gt;0,OR(AUTOEVENTO&lt;&gt;"manual",$M457&lt;&gt;1)),
IF(Import.TipoArredondamento&lt;&gt;"TransfereGOV",
ROUND(OFFSET($P457,0,AL$13),15-13*ORÇAMENTO!$AF$7)/$H457*OFFSET(ORÇAMENTO!$X$15,ROW(AL457)-ROW(AL$15),0),
ROUND(ROUND(OFFSET($P457,0,AL$13),15-13*ORÇAMENTO!$AF$7)*OFFSET(ORÇAMENTO!$W$15,ROW(AL457)-ROW(AL$15),0),15-13*ORÇAMENTO!$AF$11)),0)</f>
        <v>0</v>
      </c>
      <c r="AM457" s="545">
        <f ca="1">IF(AND($D457="Serviço",AM$12&lt;&gt;0,$H457&gt;0,OR(AUTOEVENTO&lt;&gt;"manual",$M457&lt;&gt;1)),
IF(Import.TipoArredondamento&lt;&gt;"TransfereGOV",
ROUND(OFFSET($P457,0,AM$13),15-13*ORÇAMENTO!$AF$7)/$H457*OFFSET(ORÇAMENTO!$X$15,ROW(AM457)-ROW(AM$15),0),
ROUND(ROUND(OFFSET($P457,0,AM$13),15-13*ORÇAMENTO!$AF$7)*OFFSET(ORÇAMENTO!$W$15,ROW(AM457)-ROW(AM$15),0),15-13*ORÇAMENTO!$AF$11)),0)</f>
        <v>0</v>
      </c>
      <c r="AN457" s="545">
        <f ca="1">IF(AND($D457="Serviço",AN$12&lt;&gt;0,$H457&gt;0,OR(AUTOEVENTO&lt;&gt;"manual",$M457&lt;&gt;1)),
IF(Import.TipoArredondamento&lt;&gt;"TransfereGOV",
ROUND(OFFSET($P457,0,AN$13),15-13*ORÇAMENTO!$AF$7)/$H457*OFFSET(ORÇAMENTO!$X$15,ROW(AN457)-ROW(AN$15),0),
ROUND(ROUND(OFFSET($P457,0,AN$13),15-13*ORÇAMENTO!$AF$7)*OFFSET(ORÇAMENTO!$W$15,ROW(AN457)-ROW(AN$15),0),15-13*ORÇAMENTO!$AF$11)),0)</f>
        <v>0</v>
      </c>
      <c r="AO457" s="545">
        <f ca="1">IF(AND($D457="Serviço",AO$12&lt;&gt;0,$H457&gt;0,OR(AUTOEVENTO&lt;&gt;"manual",$M457&lt;&gt;1)),
IF(Import.TipoArredondamento&lt;&gt;"TransfereGOV",
ROUND(OFFSET($P457,0,AO$13),15-13*ORÇAMENTO!$AF$7)/$H457*OFFSET(ORÇAMENTO!$X$15,ROW(AO457)-ROW(AO$15),0),
ROUND(ROUND(OFFSET($P457,0,AO$13),15-13*ORÇAMENTO!$AF$7)*OFFSET(ORÇAMENTO!$W$15,ROW(AO457)-ROW(AO$15),0),15-13*ORÇAMENTO!$AF$11)),0)</f>
        <v>0</v>
      </c>
      <c r="AP457" s="545">
        <f ca="1">IF(AND($D457="Serviço",AP$12&lt;&gt;0,$H457&gt;0,OR(AUTOEVENTO&lt;&gt;"manual",$M457&lt;&gt;1)),
IF(Import.TipoArredondamento&lt;&gt;"TransfereGOV",
ROUND(OFFSET($P457,0,AP$13),15-13*ORÇAMENTO!$AF$7)/$H457*OFFSET(ORÇAMENTO!$X$15,ROW(AP457)-ROW(AP$15),0),
ROUND(ROUND(OFFSET($P457,0,AP$13),15-13*ORÇAMENTO!$AF$7)*OFFSET(ORÇAMENTO!$W$15,ROW(AP457)-ROW(AP$15),0),15-13*ORÇAMENTO!$AF$11)),0)</f>
        <v>0</v>
      </c>
      <c r="AQ457" s="545">
        <f ca="1">IF(AND($D457="Serviço",AQ$12&lt;&gt;0,$H457&gt;0,OR(AUTOEVENTO&lt;&gt;"manual",$M457&lt;&gt;1)),
IF(Import.TipoArredondamento&lt;&gt;"TransfereGOV",
ROUND(OFFSET($P457,0,AQ$13),15-13*ORÇAMENTO!$AF$7)/$H457*OFFSET(ORÇAMENTO!$X$15,ROW(AQ457)-ROW(AQ$15),0),
ROUND(ROUND(OFFSET($P457,0,AQ$13),15-13*ORÇAMENTO!$AF$7)*OFFSET(ORÇAMENTO!$W$15,ROW(AQ457)-ROW(AQ$15),0),15-13*ORÇAMENTO!$AF$11)),0)</f>
        <v>0</v>
      </c>
      <c r="AR457" s="545">
        <f ca="1">IF(AND($D457="Serviço",AR$12&lt;&gt;0,$H457&gt;0,OR(AUTOEVENTO&lt;&gt;"manual",$M457&lt;&gt;1)),
IF(Import.TipoArredondamento&lt;&gt;"TransfereGOV",
ROUND(OFFSET($P457,0,AR$13),15-13*ORÇAMENTO!$AF$7)/$H457*OFFSET(ORÇAMENTO!$X$15,ROW(AR457)-ROW(AR$15),0),
ROUND(ROUND(OFFSET($P457,0,AR$13),15-13*ORÇAMENTO!$AF$7)*OFFSET(ORÇAMENTO!$W$15,ROW(AR457)-ROW(AR$15),0),15-13*ORÇAMENTO!$AF$11)),0)</f>
        <v>0</v>
      </c>
      <c r="AS457" s="546">
        <f ca="1">IF(AND($D457="Serviço",AS$12&lt;&gt;0,$H457&gt;0,OR(AUTOEVENTO&lt;&gt;"manual",$M457&lt;&gt;1)),
IF(Import.TipoArredondamento&lt;&gt;"TransfereGOV",
ROUND(OFFSET($P457,0,AS$13),15-13*ORÇAMENTO!$AF$7)/$H457*OFFSET(ORÇAMENTO!$X$15,ROW(AS457)-ROW(AS$15),0),
ROUND(ROUND(OFFSET($P457,0,AS$13),15-13*ORÇAMENTO!$AF$7)*OFFSET(ORÇAMENTO!$W$15,ROW(AS457)-ROW(AS$15),0),15-13*ORÇAMENTO!$AF$11)),0)</f>
        <v>0</v>
      </c>
      <c r="AT457" s="545">
        <f ca="1">IF(AND($D457="Serviço",AT$12&lt;&gt;0,$H457&gt;0,OR(AUTOEVENTO&lt;&gt;"manual",$M457&lt;&gt;1)),
IF(Import.TipoArredondamento&lt;&gt;"TransfereGOV",
ROUND(OFFSET($P457,0,AT$13),15-13*ORÇAMENTO!$AF$7)/$H457*OFFSET(ORÇAMENTO!$X$15,ROW(AT457)-ROW(AT$15),0),
ROUND(ROUND(OFFSET($P457,0,AT$13),15-13*ORÇAMENTO!$AF$7)*OFFSET(ORÇAMENTO!$W$15,ROW(AT457)-ROW(AT$15),0),15-13*ORÇAMENTO!$AF$11)),0)</f>
        <v>0</v>
      </c>
      <c r="AU457" s="545">
        <f ca="1">IF(AND($D457="Serviço",AU$12&lt;&gt;0,$H457&gt;0,OR(AUTOEVENTO&lt;&gt;"manual",$M457&lt;&gt;1)),
IF(Import.TipoArredondamento&lt;&gt;"TransfereGOV",
ROUND(OFFSET($P457,0,AU$13),15-13*ORÇAMENTO!$AF$7)/$H457*OFFSET(ORÇAMENTO!$X$15,ROW(AU457)-ROW(AU$15),0),
ROUND(ROUND(OFFSET($P457,0,AU$13),15-13*ORÇAMENTO!$AF$7)*OFFSET(ORÇAMENTO!$W$15,ROW(AU457)-ROW(AU$15),0),15-13*ORÇAMENTO!$AF$11)),0)</f>
        <v>0</v>
      </c>
      <c r="AV457" s="545">
        <f ca="1">IF(AND($D457="Serviço",AV$12&lt;&gt;0,$H457&gt;0,OR(AUTOEVENTO&lt;&gt;"manual",$M457&lt;&gt;1)),
IF(Import.TipoArredondamento&lt;&gt;"TransfereGOV",
ROUND(OFFSET($P457,0,AV$13),15-13*ORÇAMENTO!$AF$7)/$H457*OFFSET(ORÇAMENTO!$X$15,ROW(AV457)-ROW(AV$15),0),
ROUND(ROUND(OFFSET($P457,0,AV$13),15-13*ORÇAMENTO!$AF$7)*OFFSET(ORÇAMENTO!$W$15,ROW(AV457)-ROW(AV$15),0),15-13*ORÇAMENTO!$AF$11)),0)</f>
        <v>0</v>
      </c>
      <c r="AW457" s="545">
        <f ca="1">IF(AND($D457="Serviço",AW$12&lt;&gt;0,$H457&gt;0,OR(AUTOEVENTO&lt;&gt;"manual",$M457&lt;&gt;1)),
IF(Import.TipoArredondamento&lt;&gt;"TransfereGOV",
ROUND(OFFSET($P457,0,AW$13),15-13*ORÇAMENTO!$AF$7)/$H457*OFFSET(ORÇAMENTO!$X$15,ROW(AW457)-ROW(AW$15),0),
ROUND(ROUND(OFFSET($P457,0,AW$13),15-13*ORÇAMENTO!$AF$7)*OFFSET(ORÇAMENTO!$W$15,ROW(AW457)-ROW(AW$15),0),15-13*ORÇAMENTO!$AF$11)),0)</f>
        <v>0</v>
      </c>
      <c r="AX457" s="545">
        <f ca="1">IF(AND($D457="Serviço",AX$12&lt;&gt;0,$H457&gt;0,OR(AUTOEVENTO&lt;&gt;"manual",$M457&lt;&gt;1)),
IF(Import.TipoArredondamento&lt;&gt;"TransfereGOV",
ROUND(OFFSET($P457,0,AX$13),15-13*ORÇAMENTO!$AF$7)/$H457*OFFSET(ORÇAMENTO!$X$15,ROW(AX457)-ROW(AX$15),0),
ROUND(ROUND(OFFSET($P457,0,AX$13),15-13*ORÇAMENTO!$AF$7)*OFFSET(ORÇAMENTO!$W$15,ROW(AX457)-ROW(AX$15),0),15-13*ORÇAMENTO!$AF$11)),0)</f>
        <v>0</v>
      </c>
      <c r="AY457" s="545">
        <f ca="1">IF(AND($D457="Serviço",AY$12&lt;&gt;0,$H457&gt;0,OR(AUTOEVENTO&lt;&gt;"manual",$M457&lt;&gt;1)),
IF(Import.TipoArredondamento&lt;&gt;"TransfereGOV",
ROUND(OFFSET($P457,0,AY$13),15-13*ORÇAMENTO!$AF$7)/$H457*OFFSET(ORÇAMENTO!$X$15,ROW(AY457)-ROW(AY$15),0),
ROUND(ROUND(OFFSET($P457,0,AY$13),15-13*ORÇAMENTO!$AF$7)*OFFSET(ORÇAMENTO!$W$15,ROW(AY457)-ROW(AY$15),0),15-13*ORÇAMENTO!$AF$11)),0)</f>
        <v>0</v>
      </c>
      <c r="AZ457" s="545">
        <f ca="1">IF(AND($D457="Serviço",AZ$12&lt;&gt;0,$H457&gt;0,OR(AUTOEVENTO&lt;&gt;"manual",$M457&lt;&gt;1)),
IF(Import.TipoArredondamento&lt;&gt;"TransfereGOV",
ROUND(OFFSET($P457,0,AZ$13),15-13*ORÇAMENTO!$AF$7)/$H457*OFFSET(ORÇAMENTO!$X$15,ROW(AZ457)-ROW(AZ$15),0),
ROUND(ROUND(OFFSET($P457,0,AZ$13),15-13*ORÇAMENTO!$AF$7)*OFFSET(ORÇAMENTO!$W$15,ROW(AZ457)-ROW(AZ$15),0),15-13*ORÇAMENTO!$AF$11)),0)</f>
        <v>0</v>
      </c>
      <c r="BA457" s="546">
        <f ca="1">IF(AND($D457="Serviço",BA$12&lt;&gt;0,$H457&gt;0,OR(AUTOEVENTO&lt;&gt;"manual",$M457&lt;&gt;1)),
IF(Import.TipoArredondamento&lt;&gt;"TransfereGOV",
ROUND(OFFSET($P457,0,BA$13),15-13*ORÇAMENTO!$AF$7)/$H457*OFFSET(ORÇAMENTO!$X$15,ROW(BA457)-ROW(BA$15),0),
ROUND(ROUND(OFFSET($P457,0,BA$13),15-13*ORÇAMENTO!$AF$7)*OFFSET(ORÇAMENTO!$W$15,ROW(BA457)-ROW(BA$15),0),15-13*ORÇAMENTO!$AF$11)),0)</f>
        <v>0</v>
      </c>
      <c r="BC457" s="181">
        <f ca="1">IF($D457&lt;&gt;"Serviço",0,IF(AND(AUTOEVENTO="Manual",$M457=1),0,IF(OFFSET(CRONOPLE!$F$14,$M457,BC$13)="",10^12,OFFSET(CRONOPLE!$F$14,$M457,BC$13))))</f>
        <v>10</v>
      </c>
      <c r="BD457" s="181">
        <f ca="1">IF($D457&lt;&gt;"Serviço",0,IF(AND(AUTOEVENTO="Manual",$M457=1),0,IF(OFFSET(CRONOPLE!$F$14,$M457,BD$13)="",10^12,OFFSET(CRONOPLE!$F$14,$M457,BD$13))))</f>
        <v>1000000000000</v>
      </c>
      <c r="BE457" s="181">
        <f ca="1">IF($D457&lt;&gt;"Serviço",0,IF(AND(AUTOEVENTO="Manual",$M457=1),0,IF(OFFSET(CRONOPLE!$F$14,$M457,BE$13)="",10^12,OFFSET(CRONOPLE!$F$14,$M457,BE$13))))</f>
        <v>1000000000000</v>
      </c>
      <c r="BF457" s="181">
        <f ca="1">IF($D457&lt;&gt;"Serviço",0,IF(AND(AUTOEVENTO="Manual",$M457=1),0,IF(OFFSET(CRONOPLE!$F$14,$M457,BF$13)="",10^12,OFFSET(CRONOPLE!$F$14,$M457,BF$13))))</f>
        <v>1000000000000</v>
      </c>
      <c r="BG457" s="181">
        <f ca="1">IF($D457&lt;&gt;"Serviço",0,IF(AND(AUTOEVENTO="Manual",$M457=1),0,IF(OFFSET(CRONOPLE!$F$14,$M457,BG$13)="",10^12,OFFSET(CRONOPLE!$F$14,$M457,BG$13))))</f>
        <v>1000000000000</v>
      </c>
      <c r="BH457" s="181">
        <f ca="1">IF($D457&lt;&gt;"Serviço",0,IF(AND(AUTOEVENTO="Manual",$M457=1),0,IF(OFFSET(CRONOPLE!$F$14,$M457,BH$13)="",10^12,OFFSET(CRONOPLE!$F$14,$M457,BH$13))))</f>
        <v>1000000000000</v>
      </c>
      <c r="BI457" s="181">
        <f ca="1">IF($D457&lt;&gt;"Serviço",0,IF(AND(AUTOEVENTO="Manual",$M457=1),0,IF(OFFSET(CRONOPLE!$F$14,$M457,BI$13)="",10^12,OFFSET(CRONOPLE!$F$14,$M457,BI$13))))</f>
        <v>1000000000000</v>
      </c>
      <c r="BJ457" s="181">
        <f ca="1">IF($D457&lt;&gt;"Serviço",0,IF(AND(AUTOEVENTO="Manual",$M457=1),0,IF(OFFSET(CRONOPLE!$F$14,$M457,BJ$13)="",10^12,OFFSET(CRONOPLE!$F$14,$M457,BJ$13))))</f>
        <v>1000000000000</v>
      </c>
      <c r="BK457" s="181">
        <f ca="1">IF($D457&lt;&gt;"Serviço",0,IF(AND(AUTOEVENTO="Manual",$M457=1),0,IF(OFFSET(CRONOPLE!$F$14,$M457,BK$13)="",10^12,OFFSET(CRONOPLE!$F$14,$M457,BK$13))))</f>
        <v>1000000000000</v>
      </c>
      <c r="BL457" s="181">
        <f ca="1">IF($D457&lt;&gt;"Serviço",0,IF(AND(AUTOEVENTO="Manual",$M457=1),0,IF(OFFSET(CRONOPLE!$F$14,$M457,BL$13)="",10^12,OFFSET(CRONOPLE!$F$14,$M457,BL$13))))</f>
        <v>1000000000000</v>
      </c>
      <c r="BM457" s="181">
        <f ca="1">IF($D457&lt;&gt;"Serviço",0,IF(AND(AUTOEVENTO="Manual",$M457=1),0,IF(OFFSET(CRONOPLE!$F$14,$M457,BM$13)="",10^12,OFFSET(CRONOPLE!$F$14,$M457,BM$13))))</f>
        <v>1000000000000</v>
      </c>
      <c r="BN457" s="181">
        <f ca="1">IF($D457&lt;&gt;"Serviço",0,IF(AND(AUTOEVENTO="Manual",$M457=1),0,IF(OFFSET(CRONOPLE!$F$14,$M457,BN$13)="",10^12,OFFSET(CRONOPLE!$F$14,$M457,BN$13))))</f>
        <v>1000000000000</v>
      </c>
      <c r="BO457" s="181">
        <f ca="1">IF($D457&lt;&gt;"Serviço",0,IF(AND(AUTOEVENTO="Manual",$M457=1),0,IF(OFFSET(CRONOPLE!$F$14,$M457,BO$13)="",10^12,OFFSET(CRONOPLE!$F$14,$M457,BO$13))))</f>
        <v>1000000000000</v>
      </c>
      <c r="BP457" s="181">
        <f ca="1">IF($D457&lt;&gt;"Serviço",0,IF(AND(AUTOEVENTO="Manual",$M457=1),0,IF(OFFSET(CRONOPLE!$F$14,$M457,BP$13)="",10^12,OFFSET(CRONOPLE!$F$14,$M457,BP$13))))</f>
        <v>1000000000000</v>
      </c>
      <c r="BQ457" s="181">
        <f ca="1">IF($D457&lt;&gt;"Serviço",0,IF(AND(AUTOEVENTO="Manual",$M457=1),0,IF(OFFSET(CRONOPLE!$F$14,$M457,BQ$13)="",10^12,OFFSET(CRONOPLE!$F$14,$M457,BQ$13))))</f>
        <v>1000000000000</v>
      </c>
      <c r="BR457" s="181">
        <f ca="1">IF($D457&lt;&gt;"Serviço",0,IF(AND(AUTOEVENTO="Manual",$M457=1),0,IF(OFFSET(CRONOPLE!$F$14,$M457,BR$13)="",10^12,OFFSET(CRONOPLE!$F$14,$M457,BR$13))))</f>
        <v>1000000000000</v>
      </c>
      <c r="BS457" s="181">
        <f ca="1">IF($D457&lt;&gt;"Serviço",0,IF(AND(AUTOEVENTO="Manual",$M457=1),0,IF(OFFSET(CRONOPLE!$F$14,$M457,BS$13)="",10^12,OFFSET(CRONOPLE!$F$14,$M457,BS$13))))</f>
        <v>1000000000000</v>
      </c>
      <c r="BT457" s="181">
        <f ca="1">IF($D457&lt;&gt;"Serviço",0,IF(AND(AUTOEVENTO="Manual",$M457=1),0,IF(OFFSET(CRONOPLE!$F$14,$M457,BT$13)="",10^12,OFFSET(CRONOPLE!$F$14,$M457,BT$13))))</f>
        <v>1000000000000</v>
      </c>
      <c r="BV457" s="182">
        <f ca="1">IF($D457&lt;&gt;"Serviço",0,IF(OR(AND(AUTOEVENTO="Manual",$M457=1),$M457&gt;(ROW(PLE.lastrow)-ROW(PLE.firstrow))),0,IF(OFFSET(PLE!$G$14,$M457,BV$13)="",10^12,OFFSET(PLE!$G$14,$M457,BV$13))))</f>
        <v>1000000000000</v>
      </c>
      <c r="BW457" s="182">
        <f ca="1">IF($D457&lt;&gt;"Serviço",0,IF(OR(AND(AUTOEVENTO="Manual",$M457=1),$M457&gt;(ROW(PLE.lastrow)-ROW(PLE.firstrow))),0,IF(OFFSET(PLE!$G$14,$M457,BW$13)="",10^12,OFFSET(PLE!$G$14,$M457,BW$13))))</f>
        <v>1000000000000</v>
      </c>
      <c r="BX457" s="182">
        <f ca="1">IF($D457&lt;&gt;"Serviço",0,IF(OR(AND(AUTOEVENTO="Manual",$M457=1),$M457&gt;(ROW(PLE.lastrow)-ROW(PLE.firstrow))),0,IF(OFFSET(PLE!$G$14,$M457,BX$13)="",10^12,OFFSET(PLE!$G$14,$M457,BX$13))))</f>
        <v>1000000000000</v>
      </c>
      <c r="BY457" s="182">
        <f ca="1">IF($D457&lt;&gt;"Serviço",0,IF(OR(AND(AUTOEVENTO="Manual",$M457=1),$M457&gt;(ROW(PLE.lastrow)-ROW(PLE.firstrow))),0,IF(OFFSET(PLE!$G$14,$M457,BY$13)="",10^12,OFFSET(PLE!$G$14,$M457,BY$13))))</f>
        <v>1000000000000</v>
      </c>
      <c r="BZ457" s="182">
        <f ca="1">IF($D457&lt;&gt;"Serviço",0,IF(OR(AND(AUTOEVENTO="Manual",$M457=1),$M457&gt;(ROW(PLE.lastrow)-ROW(PLE.firstrow))),0,IF(OFFSET(PLE!$G$14,$M457,BZ$13)="",10^12,OFFSET(PLE!$G$14,$M457,BZ$13))))</f>
        <v>1000000000000</v>
      </c>
      <c r="CA457" s="182">
        <f ca="1">IF($D457&lt;&gt;"Serviço",0,IF(OR(AND(AUTOEVENTO="Manual",$M457=1),$M457&gt;(ROW(PLE.lastrow)-ROW(PLE.firstrow))),0,IF(OFFSET(PLE!$G$14,$M457,CA$13)="",10^12,OFFSET(PLE!$G$14,$M457,CA$13))))</f>
        <v>1000000000000</v>
      </c>
      <c r="CB457" s="182">
        <f ca="1">IF($D457&lt;&gt;"Serviço",0,IF(OR(AND(AUTOEVENTO="Manual",$M457=1),$M457&gt;(ROW(PLE.lastrow)-ROW(PLE.firstrow))),0,IF(OFFSET(PLE!$G$14,$M457,CB$13)="",10^12,OFFSET(PLE!$G$14,$M457,CB$13))))</f>
        <v>1000000000000</v>
      </c>
      <c r="CC457" s="182">
        <f ca="1">IF($D457&lt;&gt;"Serviço",0,IF(OR(AND(AUTOEVENTO="Manual",$M457=1),$M457&gt;(ROW(PLE.lastrow)-ROW(PLE.firstrow))),0,IF(OFFSET(PLE!$G$14,$M457,CC$13)="",10^12,OFFSET(PLE!$G$14,$M457,CC$13))))</f>
        <v>1000000000000</v>
      </c>
      <c r="CD457" s="182">
        <f ca="1">IF($D457&lt;&gt;"Serviço",0,IF(OR(AND(AUTOEVENTO="Manual",$M457=1),$M457&gt;(ROW(PLE.lastrow)-ROW(PLE.firstrow))),0,IF(OFFSET(PLE!$G$14,$M457,CD$13)="",10^12,OFFSET(PLE!$G$14,$M457,CD$13))))</f>
        <v>1000000000000</v>
      </c>
      <c r="CE457" s="182">
        <f ca="1">IF($D457&lt;&gt;"Serviço",0,IF(OR(AND(AUTOEVENTO="Manual",$M457=1),$M457&gt;(ROW(PLE.lastrow)-ROW(PLE.firstrow))),0,IF(OFFSET(PLE!$G$14,$M457,CE$13)="",10^12,OFFSET(PLE!$G$14,$M457,CE$13))))</f>
        <v>1000000000000</v>
      </c>
      <c r="CF457" s="182">
        <f ca="1">IF($D457&lt;&gt;"Serviço",0,IF(OR(AND(AUTOEVENTO="Manual",$M457=1),$M457&gt;(ROW(PLE.lastrow)-ROW(PLE.firstrow))),0,IF(OFFSET(PLE!$G$14,$M457,CF$13)="",10^12,OFFSET(PLE!$G$14,$M457,CF$13))))</f>
        <v>1000000000000</v>
      </c>
      <c r="CG457" s="182">
        <f ca="1">IF($D457&lt;&gt;"Serviço",0,IF(OR(AND(AUTOEVENTO="Manual",$M457=1),$M457&gt;(ROW(PLE.lastrow)-ROW(PLE.firstrow))),0,IF(OFFSET(PLE!$G$14,$M457,CG$13)="",10^12,OFFSET(PLE!$G$14,$M457,CG$13))))</f>
        <v>1000000000000</v>
      </c>
      <c r="CH457" s="182">
        <f ca="1">IF($D457&lt;&gt;"Serviço",0,IF(OR(AND(AUTOEVENTO="Manual",$M457=1),$M457&gt;(ROW(PLE.lastrow)-ROW(PLE.firstrow))),0,IF(OFFSET(PLE!$G$14,$M457,CH$13)="",10^12,OFFSET(PLE!$G$14,$M457,CH$13))))</f>
        <v>1000000000000</v>
      </c>
      <c r="CI457" s="182">
        <f ca="1">IF($D457&lt;&gt;"Serviço",0,IF(OR(AND(AUTOEVENTO="Manual",$M457=1),$M457&gt;(ROW(PLE.lastrow)-ROW(PLE.firstrow))),0,IF(OFFSET(PLE!$G$14,$M457,CI$13)="",10^12,OFFSET(PLE!$G$14,$M457,CI$13))))</f>
        <v>1000000000000</v>
      </c>
      <c r="CJ457" s="182">
        <f ca="1">IF($D457&lt;&gt;"Serviço",0,IF(OR(AND(AUTOEVENTO="Manual",$M457=1),$M457&gt;(ROW(PLE.lastrow)-ROW(PLE.firstrow))),0,IF(OFFSET(PLE!$G$14,$M457,CJ$13)="",10^12,OFFSET(PLE!$G$14,$M457,CJ$13))))</f>
        <v>1000000000000</v>
      </c>
      <c r="CK457" s="182">
        <f ca="1">IF($D457&lt;&gt;"Serviço",0,IF(OR(AND(AUTOEVENTO="Manual",$M457=1),$M457&gt;(ROW(PLE.lastrow)-ROW(PLE.firstrow))),0,IF(OFFSET(PLE!$G$14,$M457,CK$13)="",10^12,OFFSET(PLE!$G$14,$M457,CK$13))))</f>
        <v>1000000000000</v>
      </c>
      <c r="CL457" s="182">
        <f ca="1">IF($D457&lt;&gt;"Serviço",0,IF(OR(AND(AUTOEVENTO="Manual",$M457=1),$M457&gt;(ROW(PLE.lastrow)-ROW(PLE.firstrow))),0,IF(OFFSET(PLE!$G$14,$M457,CL$13)="",10^12,OFFSET(PLE!$G$14,$M457,CL$13))))</f>
        <v>1000000000000</v>
      </c>
      <c r="CM457" s="182">
        <f ca="1">IF($D457&lt;&gt;"Serviço",0,IF(OR(AND(AUTOEVENTO="Manual",$M457=1),$M457&gt;(ROW(PLE.lastrow)-ROW(PLE.firstrow))),0,IF(OFFSET(PLE!$G$14,$M457,CM$13)="",10^12,OFFSET(PLE!$G$14,$M457,CM$13))))</f>
        <v>1000000000000</v>
      </c>
    </row>
    <row r="458" spans="1:91" ht="38.25" x14ac:dyDescent="0.2">
      <c r="A458" s="7" t="str">
        <f t="shared" ca="1" si="12"/>
        <v>421</v>
      </c>
      <c r="B458" s="7" t="str">
        <f ca="1">OFFSET(ORÇAMENTO!C$15,ROW(B458)-ROW(B$15),0)</f>
        <v>S</v>
      </c>
      <c r="C458" s="7" t="str">
        <f ca="1">OFFSET(ORÇAMENTO!L$15,ROW(C458)-ROW(C$15),0)</f>
        <v/>
      </c>
      <c r="D458" s="118" t="str">
        <f ca="1">OFFSET(ORÇAMENTO!N$15,ROW(D458)-ROW(D$15),0)</f>
        <v>Serviço</v>
      </c>
      <c r="E458" s="119" t="str">
        <f ca="1">OFFSET(ORÇAMENTO!O$15,ROW(E458)-ROW(E$15),0)</f>
        <v>-</v>
      </c>
      <c r="F458" s="172" t="str">
        <f ca="1">OFFSET(ORÇAMENTO!R$15,ROW(F458)-ROW(F$15),0)</f>
        <v>(abra o arquivo 'Referência 06-2024.xlsm)</v>
      </c>
      <c r="G458" s="173" t="str">
        <f ca="1">IF($D458&lt;&gt;"Serviço","",OFFSET(ORÇAMENTO!S$15,ROW(G458)-ROW(G$15),0))</f>
        <v>-</v>
      </c>
      <c r="H458" s="124">
        <f ca="1">IF($D458&lt;&gt;"Serviço",0,IF(ACOMPANHAMENTO="BM",ROUND(OFFSET(ORÇAMENTO!AJ$15,ROW(H458)-ROW(H$15),0),15-13*ORÇAMENTO!$AF$7),SUMPRODUCT(($Q$12:$AI$12&lt;&gt;"")*ROUND($Q458:$AI458,15-13*ORÇAMENTO!$AF$7))))</f>
        <v>1</v>
      </c>
      <c r="I458" s="561" t="s">
        <v>1107</v>
      </c>
      <c r="K458" s="174"/>
      <c r="L458" s="175" t="s">
        <v>255</v>
      </c>
      <c r="M458" s="176">
        <f ca="1">IF($D458&lt;&gt;"Serviço","",IF(AUTOEVENTO="manual",$A458,IF(ISERROR(MATCH($A458,$A$15:OFFSET($A458,-1,0),0)),MAX($M$15:OFFSET(M458,-1,0))+1,INDEX($M$15:OFFSET(M458,-1,0),MATCH($A458,$A$15:OFFSET($A458,-1,0),0)))))</f>
        <v>49</v>
      </c>
      <c r="N458" s="177" t="str">
        <f ca="1">IF($D458&lt;&gt;"Serviço","",IF(AUTOEVENTO="Manual",IF($A458=0,"&lt;-- defina o número do agrupador",OFFSET(EVENTOS!$D$14,$A458,0)),OFFSET($F$15,$A458,0)))</f>
        <v>SISTEMA DE PROTEÇÃO CONTRA INCÊNDIO - TUBULAÇÕES E CONEXÕES</v>
      </c>
      <c r="O458" s="178"/>
      <c r="Q458" s="178">
        <v>1</v>
      </c>
      <c r="R458" s="179"/>
      <c r="S458" s="179"/>
      <c r="T458" s="179"/>
      <c r="U458" s="179"/>
      <c r="V458" s="179"/>
      <c r="W458" s="179"/>
      <c r="X458" s="179"/>
      <c r="Y458" s="179"/>
      <c r="Z458" s="180"/>
      <c r="AA458" s="179"/>
      <c r="AB458" s="179"/>
      <c r="AC458" s="179"/>
      <c r="AD458" s="179"/>
      <c r="AE458" s="179"/>
      <c r="AF458" s="179"/>
      <c r="AG458" s="179"/>
      <c r="AH458" s="180"/>
      <c r="AJ458" s="544">
        <f ca="1">IF(AND($D458="Serviço",AJ$12&lt;&gt;0,$H458&gt;0,OR(AUTOEVENTO&lt;&gt;"manual",$M458&lt;&gt;1)),
IF(Import.TipoArredondamento&lt;&gt;"TransfereGOV",
ROUND(OFFSET($P458,0,AJ$13),15-13*ORÇAMENTO!$AF$7)/$H458*OFFSET(ORÇAMENTO!$X$15,ROW(AJ458)-ROW(AJ$15),0),
ROUND(ROUND(OFFSET($P458,0,AJ$13),15-13*ORÇAMENTO!$AF$7)*OFFSET(ORÇAMENTO!$W$15,ROW(AJ458)-ROW(AJ$15),0),15-13*ORÇAMENTO!$AF$11)),0)</f>
        <v>0</v>
      </c>
      <c r="AK458" s="545">
        <f ca="1">IF(AND($D458="Serviço",AK$12&lt;&gt;0,$H458&gt;0,OR(AUTOEVENTO&lt;&gt;"manual",$M458&lt;&gt;1)),
IF(Import.TipoArredondamento&lt;&gt;"TransfereGOV",
ROUND(OFFSET($P458,0,AK$13),15-13*ORÇAMENTO!$AF$7)/$H458*OFFSET(ORÇAMENTO!$X$15,ROW(AK458)-ROW(AK$15),0),
ROUND(ROUND(OFFSET($P458,0,AK$13),15-13*ORÇAMENTO!$AF$7)*OFFSET(ORÇAMENTO!$W$15,ROW(AK458)-ROW(AK$15),0),15-13*ORÇAMENTO!$AF$11)),0)</f>
        <v>0</v>
      </c>
      <c r="AL458" s="545">
        <f ca="1">IF(AND($D458="Serviço",AL$12&lt;&gt;0,$H458&gt;0,OR(AUTOEVENTO&lt;&gt;"manual",$M458&lt;&gt;1)),
IF(Import.TipoArredondamento&lt;&gt;"TransfereGOV",
ROUND(OFFSET($P458,0,AL$13),15-13*ORÇAMENTO!$AF$7)/$H458*OFFSET(ORÇAMENTO!$X$15,ROW(AL458)-ROW(AL$15),0),
ROUND(ROUND(OFFSET($P458,0,AL$13),15-13*ORÇAMENTO!$AF$7)*OFFSET(ORÇAMENTO!$W$15,ROW(AL458)-ROW(AL$15),0),15-13*ORÇAMENTO!$AF$11)),0)</f>
        <v>0</v>
      </c>
      <c r="AM458" s="545">
        <f ca="1">IF(AND($D458="Serviço",AM$12&lt;&gt;0,$H458&gt;0,OR(AUTOEVENTO&lt;&gt;"manual",$M458&lt;&gt;1)),
IF(Import.TipoArredondamento&lt;&gt;"TransfereGOV",
ROUND(OFFSET($P458,0,AM$13),15-13*ORÇAMENTO!$AF$7)/$H458*OFFSET(ORÇAMENTO!$X$15,ROW(AM458)-ROW(AM$15),0),
ROUND(ROUND(OFFSET($P458,0,AM$13),15-13*ORÇAMENTO!$AF$7)*OFFSET(ORÇAMENTO!$W$15,ROW(AM458)-ROW(AM$15),0),15-13*ORÇAMENTO!$AF$11)),0)</f>
        <v>0</v>
      </c>
      <c r="AN458" s="545">
        <f ca="1">IF(AND($D458="Serviço",AN$12&lt;&gt;0,$H458&gt;0,OR(AUTOEVENTO&lt;&gt;"manual",$M458&lt;&gt;1)),
IF(Import.TipoArredondamento&lt;&gt;"TransfereGOV",
ROUND(OFFSET($P458,0,AN$13),15-13*ORÇAMENTO!$AF$7)/$H458*OFFSET(ORÇAMENTO!$X$15,ROW(AN458)-ROW(AN$15),0),
ROUND(ROUND(OFFSET($P458,0,AN$13),15-13*ORÇAMENTO!$AF$7)*OFFSET(ORÇAMENTO!$W$15,ROW(AN458)-ROW(AN$15),0),15-13*ORÇAMENTO!$AF$11)),0)</f>
        <v>0</v>
      </c>
      <c r="AO458" s="545">
        <f ca="1">IF(AND($D458="Serviço",AO$12&lt;&gt;0,$H458&gt;0,OR(AUTOEVENTO&lt;&gt;"manual",$M458&lt;&gt;1)),
IF(Import.TipoArredondamento&lt;&gt;"TransfereGOV",
ROUND(OFFSET($P458,0,AO$13),15-13*ORÇAMENTO!$AF$7)/$H458*OFFSET(ORÇAMENTO!$X$15,ROW(AO458)-ROW(AO$15),0),
ROUND(ROUND(OFFSET($P458,0,AO$13),15-13*ORÇAMENTO!$AF$7)*OFFSET(ORÇAMENTO!$W$15,ROW(AO458)-ROW(AO$15),0),15-13*ORÇAMENTO!$AF$11)),0)</f>
        <v>0</v>
      </c>
      <c r="AP458" s="545">
        <f ca="1">IF(AND($D458="Serviço",AP$12&lt;&gt;0,$H458&gt;0,OR(AUTOEVENTO&lt;&gt;"manual",$M458&lt;&gt;1)),
IF(Import.TipoArredondamento&lt;&gt;"TransfereGOV",
ROUND(OFFSET($P458,0,AP$13),15-13*ORÇAMENTO!$AF$7)/$H458*OFFSET(ORÇAMENTO!$X$15,ROW(AP458)-ROW(AP$15),0),
ROUND(ROUND(OFFSET($P458,0,AP$13),15-13*ORÇAMENTO!$AF$7)*OFFSET(ORÇAMENTO!$W$15,ROW(AP458)-ROW(AP$15),0),15-13*ORÇAMENTO!$AF$11)),0)</f>
        <v>0</v>
      </c>
      <c r="AQ458" s="545">
        <f ca="1">IF(AND($D458="Serviço",AQ$12&lt;&gt;0,$H458&gt;0,OR(AUTOEVENTO&lt;&gt;"manual",$M458&lt;&gt;1)),
IF(Import.TipoArredondamento&lt;&gt;"TransfereGOV",
ROUND(OFFSET($P458,0,AQ$13),15-13*ORÇAMENTO!$AF$7)/$H458*OFFSET(ORÇAMENTO!$X$15,ROW(AQ458)-ROW(AQ$15),0),
ROUND(ROUND(OFFSET($P458,0,AQ$13),15-13*ORÇAMENTO!$AF$7)*OFFSET(ORÇAMENTO!$W$15,ROW(AQ458)-ROW(AQ$15),0),15-13*ORÇAMENTO!$AF$11)),0)</f>
        <v>0</v>
      </c>
      <c r="AR458" s="545">
        <f ca="1">IF(AND($D458="Serviço",AR$12&lt;&gt;0,$H458&gt;0,OR(AUTOEVENTO&lt;&gt;"manual",$M458&lt;&gt;1)),
IF(Import.TipoArredondamento&lt;&gt;"TransfereGOV",
ROUND(OFFSET($P458,0,AR$13),15-13*ORÇAMENTO!$AF$7)/$H458*OFFSET(ORÇAMENTO!$X$15,ROW(AR458)-ROW(AR$15),0),
ROUND(ROUND(OFFSET($P458,0,AR$13),15-13*ORÇAMENTO!$AF$7)*OFFSET(ORÇAMENTO!$W$15,ROW(AR458)-ROW(AR$15),0),15-13*ORÇAMENTO!$AF$11)),0)</f>
        <v>0</v>
      </c>
      <c r="AS458" s="546">
        <f ca="1">IF(AND($D458="Serviço",AS$12&lt;&gt;0,$H458&gt;0,OR(AUTOEVENTO&lt;&gt;"manual",$M458&lt;&gt;1)),
IF(Import.TipoArredondamento&lt;&gt;"TransfereGOV",
ROUND(OFFSET($P458,0,AS$13),15-13*ORÇAMENTO!$AF$7)/$H458*OFFSET(ORÇAMENTO!$X$15,ROW(AS458)-ROW(AS$15),0),
ROUND(ROUND(OFFSET($P458,0,AS$13),15-13*ORÇAMENTO!$AF$7)*OFFSET(ORÇAMENTO!$W$15,ROW(AS458)-ROW(AS$15),0),15-13*ORÇAMENTO!$AF$11)),0)</f>
        <v>0</v>
      </c>
      <c r="AT458" s="545">
        <f ca="1">IF(AND($D458="Serviço",AT$12&lt;&gt;0,$H458&gt;0,OR(AUTOEVENTO&lt;&gt;"manual",$M458&lt;&gt;1)),
IF(Import.TipoArredondamento&lt;&gt;"TransfereGOV",
ROUND(OFFSET($P458,0,AT$13),15-13*ORÇAMENTO!$AF$7)/$H458*OFFSET(ORÇAMENTO!$X$15,ROW(AT458)-ROW(AT$15),0),
ROUND(ROUND(OFFSET($P458,0,AT$13),15-13*ORÇAMENTO!$AF$7)*OFFSET(ORÇAMENTO!$W$15,ROW(AT458)-ROW(AT$15),0),15-13*ORÇAMENTO!$AF$11)),0)</f>
        <v>0</v>
      </c>
      <c r="AU458" s="545">
        <f ca="1">IF(AND($D458="Serviço",AU$12&lt;&gt;0,$H458&gt;0,OR(AUTOEVENTO&lt;&gt;"manual",$M458&lt;&gt;1)),
IF(Import.TipoArredondamento&lt;&gt;"TransfereGOV",
ROUND(OFFSET($P458,0,AU$13),15-13*ORÇAMENTO!$AF$7)/$H458*OFFSET(ORÇAMENTO!$X$15,ROW(AU458)-ROW(AU$15),0),
ROUND(ROUND(OFFSET($P458,0,AU$13),15-13*ORÇAMENTO!$AF$7)*OFFSET(ORÇAMENTO!$W$15,ROW(AU458)-ROW(AU$15),0),15-13*ORÇAMENTO!$AF$11)),0)</f>
        <v>0</v>
      </c>
      <c r="AV458" s="545">
        <f ca="1">IF(AND($D458="Serviço",AV$12&lt;&gt;0,$H458&gt;0,OR(AUTOEVENTO&lt;&gt;"manual",$M458&lt;&gt;1)),
IF(Import.TipoArredondamento&lt;&gt;"TransfereGOV",
ROUND(OFFSET($P458,0,AV$13),15-13*ORÇAMENTO!$AF$7)/$H458*OFFSET(ORÇAMENTO!$X$15,ROW(AV458)-ROW(AV$15),0),
ROUND(ROUND(OFFSET($P458,0,AV$13),15-13*ORÇAMENTO!$AF$7)*OFFSET(ORÇAMENTO!$W$15,ROW(AV458)-ROW(AV$15),0),15-13*ORÇAMENTO!$AF$11)),0)</f>
        <v>0</v>
      </c>
      <c r="AW458" s="545">
        <f ca="1">IF(AND($D458="Serviço",AW$12&lt;&gt;0,$H458&gt;0,OR(AUTOEVENTO&lt;&gt;"manual",$M458&lt;&gt;1)),
IF(Import.TipoArredondamento&lt;&gt;"TransfereGOV",
ROUND(OFFSET($P458,0,AW$13),15-13*ORÇAMENTO!$AF$7)/$H458*OFFSET(ORÇAMENTO!$X$15,ROW(AW458)-ROW(AW$15),0),
ROUND(ROUND(OFFSET($P458,0,AW$13),15-13*ORÇAMENTO!$AF$7)*OFFSET(ORÇAMENTO!$W$15,ROW(AW458)-ROW(AW$15),0),15-13*ORÇAMENTO!$AF$11)),0)</f>
        <v>0</v>
      </c>
      <c r="AX458" s="545">
        <f ca="1">IF(AND($D458="Serviço",AX$12&lt;&gt;0,$H458&gt;0,OR(AUTOEVENTO&lt;&gt;"manual",$M458&lt;&gt;1)),
IF(Import.TipoArredondamento&lt;&gt;"TransfereGOV",
ROUND(OFFSET($P458,0,AX$13),15-13*ORÇAMENTO!$AF$7)/$H458*OFFSET(ORÇAMENTO!$X$15,ROW(AX458)-ROW(AX$15),0),
ROUND(ROUND(OFFSET($P458,0,AX$13),15-13*ORÇAMENTO!$AF$7)*OFFSET(ORÇAMENTO!$W$15,ROW(AX458)-ROW(AX$15),0),15-13*ORÇAMENTO!$AF$11)),0)</f>
        <v>0</v>
      </c>
      <c r="AY458" s="545">
        <f ca="1">IF(AND($D458="Serviço",AY$12&lt;&gt;0,$H458&gt;0,OR(AUTOEVENTO&lt;&gt;"manual",$M458&lt;&gt;1)),
IF(Import.TipoArredondamento&lt;&gt;"TransfereGOV",
ROUND(OFFSET($P458,0,AY$13),15-13*ORÇAMENTO!$AF$7)/$H458*OFFSET(ORÇAMENTO!$X$15,ROW(AY458)-ROW(AY$15),0),
ROUND(ROUND(OFFSET($P458,0,AY$13),15-13*ORÇAMENTO!$AF$7)*OFFSET(ORÇAMENTO!$W$15,ROW(AY458)-ROW(AY$15),0),15-13*ORÇAMENTO!$AF$11)),0)</f>
        <v>0</v>
      </c>
      <c r="AZ458" s="545">
        <f ca="1">IF(AND($D458="Serviço",AZ$12&lt;&gt;0,$H458&gt;0,OR(AUTOEVENTO&lt;&gt;"manual",$M458&lt;&gt;1)),
IF(Import.TipoArredondamento&lt;&gt;"TransfereGOV",
ROUND(OFFSET($P458,0,AZ$13),15-13*ORÇAMENTO!$AF$7)/$H458*OFFSET(ORÇAMENTO!$X$15,ROW(AZ458)-ROW(AZ$15),0),
ROUND(ROUND(OFFSET($P458,0,AZ$13),15-13*ORÇAMENTO!$AF$7)*OFFSET(ORÇAMENTO!$W$15,ROW(AZ458)-ROW(AZ$15),0),15-13*ORÇAMENTO!$AF$11)),0)</f>
        <v>0</v>
      </c>
      <c r="BA458" s="546">
        <f ca="1">IF(AND($D458="Serviço",BA$12&lt;&gt;0,$H458&gt;0,OR(AUTOEVENTO&lt;&gt;"manual",$M458&lt;&gt;1)),
IF(Import.TipoArredondamento&lt;&gt;"TransfereGOV",
ROUND(OFFSET($P458,0,BA$13),15-13*ORÇAMENTO!$AF$7)/$H458*OFFSET(ORÇAMENTO!$X$15,ROW(BA458)-ROW(BA$15),0),
ROUND(ROUND(OFFSET($P458,0,BA$13),15-13*ORÇAMENTO!$AF$7)*OFFSET(ORÇAMENTO!$W$15,ROW(BA458)-ROW(BA$15),0),15-13*ORÇAMENTO!$AF$11)),0)</f>
        <v>0</v>
      </c>
      <c r="BC458" s="181">
        <f ca="1">IF($D458&lt;&gt;"Serviço",0,IF(AND(AUTOEVENTO="Manual",$M458=1),0,IF(OFFSET(CRONOPLE!$F$14,$M458,BC$13)="",10^12,OFFSET(CRONOPLE!$F$14,$M458,BC$13))))</f>
        <v>10</v>
      </c>
      <c r="BD458" s="181">
        <f ca="1">IF($D458&lt;&gt;"Serviço",0,IF(AND(AUTOEVENTO="Manual",$M458=1),0,IF(OFFSET(CRONOPLE!$F$14,$M458,BD$13)="",10^12,OFFSET(CRONOPLE!$F$14,$M458,BD$13))))</f>
        <v>1000000000000</v>
      </c>
      <c r="BE458" s="181">
        <f ca="1">IF($D458&lt;&gt;"Serviço",0,IF(AND(AUTOEVENTO="Manual",$M458=1),0,IF(OFFSET(CRONOPLE!$F$14,$M458,BE$13)="",10^12,OFFSET(CRONOPLE!$F$14,$M458,BE$13))))</f>
        <v>1000000000000</v>
      </c>
      <c r="BF458" s="181">
        <f ca="1">IF($D458&lt;&gt;"Serviço",0,IF(AND(AUTOEVENTO="Manual",$M458=1),0,IF(OFFSET(CRONOPLE!$F$14,$M458,BF$13)="",10^12,OFFSET(CRONOPLE!$F$14,$M458,BF$13))))</f>
        <v>1000000000000</v>
      </c>
      <c r="BG458" s="181">
        <f ca="1">IF($D458&lt;&gt;"Serviço",0,IF(AND(AUTOEVENTO="Manual",$M458=1),0,IF(OFFSET(CRONOPLE!$F$14,$M458,BG$13)="",10^12,OFFSET(CRONOPLE!$F$14,$M458,BG$13))))</f>
        <v>1000000000000</v>
      </c>
      <c r="BH458" s="181">
        <f ca="1">IF($D458&lt;&gt;"Serviço",0,IF(AND(AUTOEVENTO="Manual",$M458=1),0,IF(OFFSET(CRONOPLE!$F$14,$M458,BH$13)="",10^12,OFFSET(CRONOPLE!$F$14,$M458,BH$13))))</f>
        <v>1000000000000</v>
      </c>
      <c r="BI458" s="181">
        <f ca="1">IF($D458&lt;&gt;"Serviço",0,IF(AND(AUTOEVENTO="Manual",$M458=1),0,IF(OFFSET(CRONOPLE!$F$14,$M458,BI$13)="",10^12,OFFSET(CRONOPLE!$F$14,$M458,BI$13))))</f>
        <v>1000000000000</v>
      </c>
      <c r="BJ458" s="181">
        <f ca="1">IF($D458&lt;&gt;"Serviço",0,IF(AND(AUTOEVENTO="Manual",$M458=1),0,IF(OFFSET(CRONOPLE!$F$14,$M458,BJ$13)="",10^12,OFFSET(CRONOPLE!$F$14,$M458,BJ$13))))</f>
        <v>1000000000000</v>
      </c>
      <c r="BK458" s="181">
        <f ca="1">IF($D458&lt;&gt;"Serviço",0,IF(AND(AUTOEVENTO="Manual",$M458=1),0,IF(OFFSET(CRONOPLE!$F$14,$M458,BK$13)="",10^12,OFFSET(CRONOPLE!$F$14,$M458,BK$13))))</f>
        <v>1000000000000</v>
      </c>
      <c r="BL458" s="181">
        <f ca="1">IF($D458&lt;&gt;"Serviço",0,IF(AND(AUTOEVENTO="Manual",$M458=1),0,IF(OFFSET(CRONOPLE!$F$14,$M458,BL$13)="",10^12,OFFSET(CRONOPLE!$F$14,$M458,BL$13))))</f>
        <v>1000000000000</v>
      </c>
      <c r="BM458" s="181">
        <f ca="1">IF($D458&lt;&gt;"Serviço",0,IF(AND(AUTOEVENTO="Manual",$M458=1),0,IF(OFFSET(CRONOPLE!$F$14,$M458,BM$13)="",10^12,OFFSET(CRONOPLE!$F$14,$M458,BM$13))))</f>
        <v>1000000000000</v>
      </c>
      <c r="BN458" s="181">
        <f ca="1">IF($D458&lt;&gt;"Serviço",0,IF(AND(AUTOEVENTO="Manual",$M458=1),0,IF(OFFSET(CRONOPLE!$F$14,$M458,BN$13)="",10^12,OFFSET(CRONOPLE!$F$14,$M458,BN$13))))</f>
        <v>1000000000000</v>
      </c>
      <c r="BO458" s="181">
        <f ca="1">IF($D458&lt;&gt;"Serviço",0,IF(AND(AUTOEVENTO="Manual",$M458=1),0,IF(OFFSET(CRONOPLE!$F$14,$M458,BO$13)="",10^12,OFFSET(CRONOPLE!$F$14,$M458,BO$13))))</f>
        <v>1000000000000</v>
      </c>
      <c r="BP458" s="181">
        <f ca="1">IF($D458&lt;&gt;"Serviço",0,IF(AND(AUTOEVENTO="Manual",$M458=1),0,IF(OFFSET(CRONOPLE!$F$14,$M458,BP$13)="",10^12,OFFSET(CRONOPLE!$F$14,$M458,BP$13))))</f>
        <v>1000000000000</v>
      </c>
      <c r="BQ458" s="181">
        <f ca="1">IF($D458&lt;&gt;"Serviço",0,IF(AND(AUTOEVENTO="Manual",$M458=1),0,IF(OFFSET(CRONOPLE!$F$14,$M458,BQ$13)="",10^12,OFFSET(CRONOPLE!$F$14,$M458,BQ$13))))</f>
        <v>1000000000000</v>
      </c>
      <c r="BR458" s="181">
        <f ca="1">IF($D458&lt;&gt;"Serviço",0,IF(AND(AUTOEVENTO="Manual",$M458=1),0,IF(OFFSET(CRONOPLE!$F$14,$M458,BR$13)="",10^12,OFFSET(CRONOPLE!$F$14,$M458,BR$13))))</f>
        <v>1000000000000</v>
      </c>
      <c r="BS458" s="181">
        <f ca="1">IF($D458&lt;&gt;"Serviço",0,IF(AND(AUTOEVENTO="Manual",$M458=1),0,IF(OFFSET(CRONOPLE!$F$14,$M458,BS$13)="",10^12,OFFSET(CRONOPLE!$F$14,$M458,BS$13))))</f>
        <v>1000000000000</v>
      </c>
      <c r="BT458" s="181">
        <f ca="1">IF($D458&lt;&gt;"Serviço",0,IF(AND(AUTOEVENTO="Manual",$M458=1),0,IF(OFFSET(CRONOPLE!$F$14,$M458,BT$13)="",10^12,OFFSET(CRONOPLE!$F$14,$M458,BT$13))))</f>
        <v>1000000000000</v>
      </c>
      <c r="BV458" s="182">
        <f ca="1">IF($D458&lt;&gt;"Serviço",0,IF(OR(AND(AUTOEVENTO="Manual",$M458=1),$M458&gt;(ROW(PLE.lastrow)-ROW(PLE.firstrow))),0,IF(OFFSET(PLE!$G$14,$M458,BV$13)="",10^12,OFFSET(PLE!$G$14,$M458,BV$13))))</f>
        <v>1000000000000</v>
      </c>
      <c r="BW458" s="182">
        <f ca="1">IF($D458&lt;&gt;"Serviço",0,IF(OR(AND(AUTOEVENTO="Manual",$M458=1),$M458&gt;(ROW(PLE.lastrow)-ROW(PLE.firstrow))),0,IF(OFFSET(PLE!$G$14,$M458,BW$13)="",10^12,OFFSET(PLE!$G$14,$M458,BW$13))))</f>
        <v>1000000000000</v>
      </c>
      <c r="BX458" s="182">
        <f ca="1">IF($D458&lt;&gt;"Serviço",0,IF(OR(AND(AUTOEVENTO="Manual",$M458=1),$M458&gt;(ROW(PLE.lastrow)-ROW(PLE.firstrow))),0,IF(OFFSET(PLE!$G$14,$M458,BX$13)="",10^12,OFFSET(PLE!$G$14,$M458,BX$13))))</f>
        <v>1000000000000</v>
      </c>
      <c r="BY458" s="182">
        <f ca="1">IF($D458&lt;&gt;"Serviço",0,IF(OR(AND(AUTOEVENTO="Manual",$M458=1),$M458&gt;(ROW(PLE.lastrow)-ROW(PLE.firstrow))),0,IF(OFFSET(PLE!$G$14,$M458,BY$13)="",10^12,OFFSET(PLE!$G$14,$M458,BY$13))))</f>
        <v>1000000000000</v>
      </c>
      <c r="BZ458" s="182">
        <f ca="1">IF($D458&lt;&gt;"Serviço",0,IF(OR(AND(AUTOEVENTO="Manual",$M458=1),$M458&gt;(ROW(PLE.lastrow)-ROW(PLE.firstrow))),0,IF(OFFSET(PLE!$G$14,$M458,BZ$13)="",10^12,OFFSET(PLE!$G$14,$M458,BZ$13))))</f>
        <v>1000000000000</v>
      </c>
      <c r="CA458" s="182">
        <f ca="1">IF($D458&lt;&gt;"Serviço",0,IF(OR(AND(AUTOEVENTO="Manual",$M458=1),$M458&gt;(ROW(PLE.lastrow)-ROW(PLE.firstrow))),0,IF(OFFSET(PLE!$G$14,$M458,CA$13)="",10^12,OFFSET(PLE!$G$14,$M458,CA$13))))</f>
        <v>1000000000000</v>
      </c>
      <c r="CB458" s="182">
        <f ca="1">IF($D458&lt;&gt;"Serviço",0,IF(OR(AND(AUTOEVENTO="Manual",$M458=1),$M458&gt;(ROW(PLE.lastrow)-ROW(PLE.firstrow))),0,IF(OFFSET(PLE!$G$14,$M458,CB$13)="",10^12,OFFSET(PLE!$G$14,$M458,CB$13))))</f>
        <v>1000000000000</v>
      </c>
      <c r="CC458" s="182">
        <f ca="1">IF($D458&lt;&gt;"Serviço",0,IF(OR(AND(AUTOEVENTO="Manual",$M458=1),$M458&gt;(ROW(PLE.lastrow)-ROW(PLE.firstrow))),0,IF(OFFSET(PLE!$G$14,$M458,CC$13)="",10^12,OFFSET(PLE!$G$14,$M458,CC$13))))</f>
        <v>1000000000000</v>
      </c>
      <c r="CD458" s="182">
        <f ca="1">IF($D458&lt;&gt;"Serviço",0,IF(OR(AND(AUTOEVENTO="Manual",$M458=1),$M458&gt;(ROW(PLE.lastrow)-ROW(PLE.firstrow))),0,IF(OFFSET(PLE!$G$14,$M458,CD$13)="",10^12,OFFSET(PLE!$G$14,$M458,CD$13))))</f>
        <v>1000000000000</v>
      </c>
      <c r="CE458" s="182">
        <f ca="1">IF($D458&lt;&gt;"Serviço",0,IF(OR(AND(AUTOEVENTO="Manual",$M458=1),$M458&gt;(ROW(PLE.lastrow)-ROW(PLE.firstrow))),0,IF(OFFSET(PLE!$G$14,$M458,CE$13)="",10^12,OFFSET(PLE!$G$14,$M458,CE$13))))</f>
        <v>1000000000000</v>
      </c>
      <c r="CF458" s="182">
        <f ca="1">IF($D458&lt;&gt;"Serviço",0,IF(OR(AND(AUTOEVENTO="Manual",$M458=1),$M458&gt;(ROW(PLE.lastrow)-ROW(PLE.firstrow))),0,IF(OFFSET(PLE!$G$14,$M458,CF$13)="",10^12,OFFSET(PLE!$G$14,$M458,CF$13))))</f>
        <v>1000000000000</v>
      </c>
      <c r="CG458" s="182">
        <f ca="1">IF($D458&lt;&gt;"Serviço",0,IF(OR(AND(AUTOEVENTO="Manual",$M458=1),$M458&gt;(ROW(PLE.lastrow)-ROW(PLE.firstrow))),0,IF(OFFSET(PLE!$G$14,$M458,CG$13)="",10^12,OFFSET(PLE!$G$14,$M458,CG$13))))</f>
        <v>1000000000000</v>
      </c>
      <c r="CH458" s="182">
        <f ca="1">IF($D458&lt;&gt;"Serviço",0,IF(OR(AND(AUTOEVENTO="Manual",$M458=1),$M458&gt;(ROW(PLE.lastrow)-ROW(PLE.firstrow))),0,IF(OFFSET(PLE!$G$14,$M458,CH$13)="",10^12,OFFSET(PLE!$G$14,$M458,CH$13))))</f>
        <v>1000000000000</v>
      </c>
      <c r="CI458" s="182">
        <f ca="1">IF($D458&lt;&gt;"Serviço",0,IF(OR(AND(AUTOEVENTO="Manual",$M458=1),$M458&gt;(ROW(PLE.lastrow)-ROW(PLE.firstrow))),0,IF(OFFSET(PLE!$G$14,$M458,CI$13)="",10^12,OFFSET(PLE!$G$14,$M458,CI$13))))</f>
        <v>1000000000000</v>
      </c>
      <c r="CJ458" s="182">
        <f ca="1">IF($D458&lt;&gt;"Serviço",0,IF(OR(AND(AUTOEVENTO="Manual",$M458=1),$M458&gt;(ROW(PLE.lastrow)-ROW(PLE.firstrow))),0,IF(OFFSET(PLE!$G$14,$M458,CJ$13)="",10^12,OFFSET(PLE!$G$14,$M458,CJ$13))))</f>
        <v>1000000000000</v>
      </c>
      <c r="CK458" s="182">
        <f ca="1">IF($D458&lt;&gt;"Serviço",0,IF(OR(AND(AUTOEVENTO="Manual",$M458=1),$M458&gt;(ROW(PLE.lastrow)-ROW(PLE.firstrow))),0,IF(OFFSET(PLE!$G$14,$M458,CK$13)="",10^12,OFFSET(PLE!$G$14,$M458,CK$13))))</f>
        <v>1000000000000</v>
      </c>
      <c r="CL458" s="182">
        <f ca="1">IF($D458&lt;&gt;"Serviço",0,IF(OR(AND(AUTOEVENTO="Manual",$M458=1),$M458&gt;(ROW(PLE.lastrow)-ROW(PLE.firstrow))),0,IF(OFFSET(PLE!$G$14,$M458,CL$13)="",10^12,OFFSET(PLE!$G$14,$M458,CL$13))))</f>
        <v>1000000000000</v>
      </c>
      <c r="CM458" s="182">
        <f ca="1">IF($D458&lt;&gt;"Serviço",0,IF(OR(AND(AUTOEVENTO="Manual",$M458=1),$M458&gt;(ROW(PLE.lastrow)-ROW(PLE.firstrow))),0,IF(OFFSET(PLE!$G$14,$M458,CM$13)="",10^12,OFFSET(PLE!$G$14,$M458,CM$13))))</f>
        <v>1000000000000</v>
      </c>
    </row>
    <row r="459" spans="1:91" ht="38.25" x14ac:dyDescent="0.2">
      <c r="A459" s="7" t="str">
        <f t="shared" ca="1" si="12"/>
        <v>421</v>
      </c>
      <c r="B459" s="7" t="str">
        <f ca="1">OFFSET(ORÇAMENTO!C$15,ROW(B459)-ROW(B$15),0)</f>
        <v>S</v>
      </c>
      <c r="C459" s="7" t="str">
        <f ca="1">OFFSET(ORÇAMENTO!L$15,ROW(C459)-ROW(C$15),0)</f>
        <v/>
      </c>
      <c r="D459" s="118" t="str">
        <f ca="1">OFFSET(ORÇAMENTO!N$15,ROW(D459)-ROW(D$15),0)</f>
        <v>Serviço</v>
      </c>
      <c r="E459" s="119" t="str">
        <f ca="1">OFFSET(ORÇAMENTO!O$15,ROW(E459)-ROW(E$15),0)</f>
        <v>-</v>
      </c>
      <c r="F459" s="172" t="str">
        <f ca="1">OFFSET(ORÇAMENTO!R$15,ROW(F459)-ROW(F$15),0)</f>
        <v>(abra o arquivo 'Referência 06-2024.xlsm)</v>
      </c>
      <c r="G459" s="173" t="str">
        <f ca="1">IF($D459&lt;&gt;"Serviço","",OFFSET(ORÇAMENTO!S$15,ROW(G459)-ROW(G$15),0))</f>
        <v>-</v>
      </c>
      <c r="H459" s="124">
        <f ca="1">IF($D459&lt;&gt;"Serviço",0,IF(ACOMPANHAMENTO="BM",ROUND(OFFSET(ORÇAMENTO!AJ$15,ROW(H459)-ROW(H$15),0),15-13*ORÇAMENTO!$AF$7),SUMPRODUCT(($Q$12:$AI$12&lt;&gt;"")*ROUND($Q459:$AI459,15-13*ORÇAMENTO!$AF$7))))</f>
        <v>2</v>
      </c>
      <c r="I459" s="561" t="s">
        <v>1107</v>
      </c>
      <c r="K459" s="174"/>
      <c r="L459" s="175" t="s">
        <v>255</v>
      </c>
      <c r="M459" s="176">
        <f ca="1">IF($D459&lt;&gt;"Serviço","",IF(AUTOEVENTO="manual",$A459,IF(ISERROR(MATCH($A459,$A$15:OFFSET($A459,-1,0),0)),MAX($M$15:OFFSET(M459,-1,0))+1,INDEX($M$15:OFFSET(M459,-1,0),MATCH($A459,$A$15:OFFSET($A459,-1,0),0)))))</f>
        <v>49</v>
      </c>
      <c r="N459" s="177" t="str">
        <f ca="1">IF($D459&lt;&gt;"Serviço","",IF(AUTOEVENTO="Manual",IF($A459=0,"&lt;-- defina o número do agrupador",OFFSET(EVENTOS!$D$14,$A459,0)),OFFSET($F$15,$A459,0)))</f>
        <v>SISTEMA DE PROTEÇÃO CONTRA INCÊNDIO - TUBULAÇÕES E CONEXÕES</v>
      </c>
      <c r="O459" s="178"/>
      <c r="Q459" s="178">
        <v>2</v>
      </c>
      <c r="R459" s="179"/>
      <c r="S459" s="179"/>
      <c r="T459" s="179"/>
      <c r="U459" s="179"/>
      <c r="V459" s="179"/>
      <c r="W459" s="179"/>
      <c r="X459" s="179"/>
      <c r="Y459" s="179"/>
      <c r="Z459" s="180"/>
      <c r="AA459" s="179"/>
      <c r="AB459" s="179"/>
      <c r="AC459" s="179"/>
      <c r="AD459" s="179"/>
      <c r="AE459" s="179"/>
      <c r="AF459" s="179"/>
      <c r="AG459" s="179"/>
      <c r="AH459" s="180"/>
      <c r="AJ459" s="544">
        <f ca="1">IF(AND($D459="Serviço",AJ$12&lt;&gt;0,$H459&gt;0,OR(AUTOEVENTO&lt;&gt;"manual",$M459&lt;&gt;1)),
IF(Import.TipoArredondamento&lt;&gt;"TransfereGOV",
ROUND(OFFSET($P459,0,AJ$13),15-13*ORÇAMENTO!$AF$7)/$H459*OFFSET(ORÇAMENTO!$X$15,ROW(AJ459)-ROW(AJ$15),0),
ROUND(ROUND(OFFSET($P459,0,AJ$13),15-13*ORÇAMENTO!$AF$7)*OFFSET(ORÇAMENTO!$W$15,ROW(AJ459)-ROW(AJ$15),0),15-13*ORÇAMENTO!$AF$11)),0)</f>
        <v>0</v>
      </c>
      <c r="AK459" s="545">
        <f ca="1">IF(AND($D459="Serviço",AK$12&lt;&gt;0,$H459&gt;0,OR(AUTOEVENTO&lt;&gt;"manual",$M459&lt;&gt;1)),
IF(Import.TipoArredondamento&lt;&gt;"TransfereGOV",
ROUND(OFFSET($P459,0,AK$13),15-13*ORÇAMENTO!$AF$7)/$H459*OFFSET(ORÇAMENTO!$X$15,ROW(AK459)-ROW(AK$15),0),
ROUND(ROUND(OFFSET($P459,0,AK$13),15-13*ORÇAMENTO!$AF$7)*OFFSET(ORÇAMENTO!$W$15,ROW(AK459)-ROW(AK$15),0),15-13*ORÇAMENTO!$AF$11)),0)</f>
        <v>0</v>
      </c>
      <c r="AL459" s="545">
        <f ca="1">IF(AND($D459="Serviço",AL$12&lt;&gt;0,$H459&gt;0,OR(AUTOEVENTO&lt;&gt;"manual",$M459&lt;&gt;1)),
IF(Import.TipoArredondamento&lt;&gt;"TransfereGOV",
ROUND(OFFSET($P459,0,AL$13),15-13*ORÇAMENTO!$AF$7)/$H459*OFFSET(ORÇAMENTO!$X$15,ROW(AL459)-ROW(AL$15),0),
ROUND(ROUND(OFFSET($P459,0,AL$13),15-13*ORÇAMENTO!$AF$7)*OFFSET(ORÇAMENTO!$W$15,ROW(AL459)-ROW(AL$15),0),15-13*ORÇAMENTO!$AF$11)),0)</f>
        <v>0</v>
      </c>
      <c r="AM459" s="545">
        <f ca="1">IF(AND($D459="Serviço",AM$12&lt;&gt;0,$H459&gt;0,OR(AUTOEVENTO&lt;&gt;"manual",$M459&lt;&gt;1)),
IF(Import.TipoArredondamento&lt;&gt;"TransfereGOV",
ROUND(OFFSET($P459,0,AM$13),15-13*ORÇAMENTO!$AF$7)/$H459*OFFSET(ORÇAMENTO!$X$15,ROW(AM459)-ROW(AM$15),0),
ROUND(ROUND(OFFSET($P459,0,AM$13),15-13*ORÇAMENTO!$AF$7)*OFFSET(ORÇAMENTO!$W$15,ROW(AM459)-ROW(AM$15),0),15-13*ORÇAMENTO!$AF$11)),0)</f>
        <v>0</v>
      </c>
      <c r="AN459" s="545">
        <f ca="1">IF(AND($D459="Serviço",AN$12&lt;&gt;0,$H459&gt;0,OR(AUTOEVENTO&lt;&gt;"manual",$M459&lt;&gt;1)),
IF(Import.TipoArredondamento&lt;&gt;"TransfereGOV",
ROUND(OFFSET($P459,0,AN$13),15-13*ORÇAMENTO!$AF$7)/$H459*OFFSET(ORÇAMENTO!$X$15,ROW(AN459)-ROW(AN$15),0),
ROUND(ROUND(OFFSET($P459,0,AN$13),15-13*ORÇAMENTO!$AF$7)*OFFSET(ORÇAMENTO!$W$15,ROW(AN459)-ROW(AN$15),0),15-13*ORÇAMENTO!$AF$11)),0)</f>
        <v>0</v>
      </c>
      <c r="AO459" s="545">
        <f ca="1">IF(AND($D459="Serviço",AO$12&lt;&gt;0,$H459&gt;0,OR(AUTOEVENTO&lt;&gt;"manual",$M459&lt;&gt;1)),
IF(Import.TipoArredondamento&lt;&gt;"TransfereGOV",
ROUND(OFFSET($P459,0,AO$13),15-13*ORÇAMENTO!$AF$7)/$H459*OFFSET(ORÇAMENTO!$X$15,ROW(AO459)-ROW(AO$15),0),
ROUND(ROUND(OFFSET($P459,0,AO$13),15-13*ORÇAMENTO!$AF$7)*OFFSET(ORÇAMENTO!$W$15,ROW(AO459)-ROW(AO$15),0),15-13*ORÇAMENTO!$AF$11)),0)</f>
        <v>0</v>
      </c>
      <c r="AP459" s="545">
        <f ca="1">IF(AND($D459="Serviço",AP$12&lt;&gt;0,$H459&gt;0,OR(AUTOEVENTO&lt;&gt;"manual",$M459&lt;&gt;1)),
IF(Import.TipoArredondamento&lt;&gt;"TransfereGOV",
ROUND(OFFSET($P459,0,AP$13),15-13*ORÇAMENTO!$AF$7)/$H459*OFFSET(ORÇAMENTO!$X$15,ROW(AP459)-ROW(AP$15),0),
ROUND(ROUND(OFFSET($P459,0,AP$13),15-13*ORÇAMENTO!$AF$7)*OFFSET(ORÇAMENTO!$W$15,ROW(AP459)-ROW(AP$15),0),15-13*ORÇAMENTO!$AF$11)),0)</f>
        <v>0</v>
      </c>
      <c r="AQ459" s="545">
        <f ca="1">IF(AND($D459="Serviço",AQ$12&lt;&gt;0,$H459&gt;0,OR(AUTOEVENTO&lt;&gt;"manual",$M459&lt;&gt;1)),
IF(Import.TipoArredondamento&lt;&gt;"TransfereGOV",
ROUND(OFFSET($P459,0,AQ$13),15-13*ORÇAMENTO!$AF$7)/$H459*OFFSET(ORÇAMENTO!$X$15,ROW(AQ459)-ROW(AQ$15),0),
ROUND(ROUND(OFFSET($P459,0,AQ$13),15-13*ORÇAMENTO!$AF$7)*OFFSET(ORÇAMENTO!$W$15,ROW(AQ459)-ROW(AQ$15),0),15-13*ORÇAMENTO!$AF$11)),0)</f>
        <v>0</v>
      </c>
      <c r="AR459" s="545">
        <f ca="1">IF(AND($D459="Serviço",AR$12&lt;&gt;0,$H459&gt;0,OR(AUTOEVENTO&lt;&gt;"manual",$M459&lt;&gt;1)),
IF(Import.TipoArredondamento&lt;&gt;"TransfereGOV",
ROUND(OFFSET($P459,0,AR$13),15-13*ORÇAMENTO!$AF$7)/$H459*OFFSET(ORÇAMENTO!$X$15,ROW(AR459)-ROW(AR$15),0),
ROUND(ROUND(OFFSET($P459,0,AR$13),15-13*ORÇAMENTO!$AF$7)*OFFSET(ORÇAMENTO!$W$15,ROW(AR459)-ROW(AR$15),0),15-13*ORÇAMENTO!$AF$11)),0)</f>
        <v>0</v>
      </c>
      <c r="AS459" s="546">
        <f ca="1">IF(AND($D459="Serviço",AS$12&lt;&gt;0,$H459&gt;0,OR(AUTOEVENTO&lt;&gt;"manual",$M459&lt;&gt;1)),
IF(Import.TipoArredondamento&lt;&gt;"TransfereGOV",
ROUND(OFFSET($P459,0,AS$13),15-13*ORÇAMENTO!$AF$7)/$H459*OFFSET(ORÇAMENTO!$X$15,ROW(AS459)-ROW(AS$15),0),
ROUND(ROUND(OFFSET($P459,0,AS$13),15-13*ORÇAMENTO!$AF$7)*OFFSET(ORÇAMENTO!$W$15,ROW(AS459)-ROW(AS$15),0),15-13*ORÇAMENTO!$AF$11)),0)</f>
        <v>0</v>
      </c>
      <c r="AT459" s="545">
        <f ca="1">IF(AND($D459="Serviço",AT$12&lt;&gt;0,$H459&gt;0,OR(AUTOEVENTO&lt;&gt;"manual",$M459&lt;&gt;1)),
IF(Import.TipoArredondamento&lt;&gt;"TransfereGOV",
ROUND(OFFSET($P459,0,AT$13),15-13*ORÇAMENTO!$AF$7)/$H459*OFFSET(ORÇAMENTO!$X$15,ROW(AT459)-ROW(AT$15),0),
ROUND(ROUND(OFFSET($P459,0,AT$13),15-13*ORÇAMENTO!$AF$7)*OFFSET(ORÇAMENTO!$W$15,ROW(AT459)-ROW(AT$15),0),15-13*ORÇAMENTO!$AF$11)),0)</f>
        <v>0</v>
      </c>
      <c r="AU459" s="545">
        <f ca="1">IF(AND($D459="Serviço",AU$12&lt;&gt;0,$H459&gt;0,OR(AUTOEVENTO&lt;&gt;"manual",$M459&lt;&gt;1)),
IF(Import.TipoArredondamento&lt;&gt;"TransfereGOV",
ROUND(OFFSET($P459,0,AU$13),15-13*ORÇAMENTO!$AF$7)/$H459*OFFSET(ORÇAMENTO!$X$15,ROW(AU459)-ROW(AU$15),0),
ROUND(ROUND(OFFSET($P459,0,AU$13),15-13*ORÇAMENTO!$AF$7)*OFFSET(ORÇAMENTO!$W$15,ROW(AU459)-ROW(AU$15),0),15-13*ORÇAMENTO!$AF$11)),0)</f>
        <v>0</v>
      </c>
      <c r="AV459" s="545">
        <f ca="1">IF(AND($D459="Serviço",AV$12&lt;&gt;0,$H459&gt;0,OR(AUTOEVENTO&lt;&gt;"manual",$M459&lt;&gt;1)),
IF(Import.TipoArredondamento&lt;&gt;"TransfereGOV",
ROUND(OFFSET($P459,0,AV$13),15-13*ORÇAMENTO!$AF$7)/$H459*OFFSET(ORÇAMENTO!$X$15,ROW(AV459)-ROW(AV$15),0),
ROUND(ROUND(OFFSET($P459,0,AV$13),15-13*ORÇAMENTO!$AF$7)*OFFSET(ORÇAMENTO!$W$15,ROW(AV459)-ROW(AV$15),0),15-13*ORÇAMENTO!$AF$11)),0)</f>
        <v>0</v>
      </c>
      <c r="AW459" s="545">
        <f ca="1">IF(AND($D459="Serviço",AW$12&lt;&gt;0,$H459&gt;0,OR(AUTOEVENTO&lt;&gt;"manual",$M459&lt;&gt;1)),
IF(Import.TipoArredondamento&lt;&gt;"TransfereGOV",
ROUND(OFFSET($P459,0,AW$13),15-13*ORÇAMENTO!$AF$7)/$H459*OFFSET(ORÇAMENTO!$X$15,ROW(AW459)-ROW(AW$15),0),
ROUND(ROUND(OFFSET($P459,0,AW$13),15-13*ORÇAMENTO!$AF$7)*OFFSET(ORÇAMENTO!$W$15,ROW(AW459)-ROW(AW$15),0),15-13*ORÇAMENTO!$AF$11)),0)</f>
        <v>0</v>
      </c>
      <c r="AX459" s="545">
        <f ca="1">IF(AND($D459="Serviço",AX$12&lt;&gt;0,$H459&gt;0,OR(AUTOEVENTO&lt;&gt;"manual",$M459&lt;&gt;1)),
IF(Import.TipoArredondamento&lt;&gt;"TransfereGOV",
ROUND(OFFSET($P459,0,AX$13),15-13*ORÇAMENTO!$AF$7)/$H459*OFFSET(ORÇAMENTO!$X$15,ROW(AX459)-ROW(AX$15),0),
ROUND(ROUND(OFFSET($P459,0,AX$13),15-13*ORÇAMENTO!$AF$7)*OFFSET(ORÇAMENTO!$W$15,ROW(AX459)-ROW(AX$15),0),15-13*ORÇAMENTO!$AF$11)),0)</f>
        <v>0</v>
      </c>
      <c r="AY459" s="545">
        <f ca="1">IF(AND($D459="Serviço",AY$12&lt;&gt;0,$H459&gt;0,OR(AUTOEVENTO&lt;&gt;"manual",$M459&lt;&gt;1)),
IF(Import.TipoArredondamento&lt;&gt;"TransfereGOV",
ROUND(OFFSET($P459,0,AY$13),15-13*ORÇAMENTO!$AF$7)/$H459*OFFSET(ORÇAMENTO!$X$15,ROW(AY459)-ROW(AY$15),0),
ROUND(ROUND(OFFSET($P459,0,AY$13),15-13*ORÇAMENTO!$AF$7)*OFFSET(ORÇAMENTO!$W$15,ROW(AY459)-ROW(AY$15),0),15-13*ORÇAMENTO!$AF$11)),0)</f>
        <v>0</v>
      </c>
      <c r="AZ459" s="545">
        <f ca="1">IF(AND($D459="Serviço",AZ$12&lt;&gt;0,$H459&gt;0,OR(AUTOEVENTO&lt;&gt;"manual",$M459&lt;&gt;1)),
IF(Import.TipoArredondamento&lt;&gt;"TransfereGOV",
ROUND(OFFSET($P459,0,AZ$13),15-13*ORÇAMENTO!$AF$7)/$H459*OFFSET(ORÇAMENTO!$X$15,ROW(AZ459)-ROW(AZ$15),0),
ROUND(ROUND(OFFSET($P459,0,AZ$13),15-13*ORÇAMENTO!$AF$7)*OFFSET(ORÇAMENTO!$W$15,ROW(AZ459)-ROW(AZ$15),0),15-13*ORÇAMENTO!$AF$11)),0)</f>
        <v>0</v>
      </c>
      <c r="BA459" s="546">
        <f ca="1">IF(AND($D459="Serviço",BA$12&lt;&gt;0,$H459&gt;0,OR(AUTOEVENTO&lt;&gt;"manual",$M459&lt;&gt;1)),
IF(Import.TipoArredondamento&lt;&gt;"TransfereGOV",
ROUND(OFFSET($P459,0,BA$13),15-13*ORÇAMENTO!$AF$7)/$H459*OFFSET(ORÇAMENTO!$X$15,ROW(BA459)-ROW(BA$15),0),
ROUND(ROUND(OFFSET($P459,0,BA$13),15-13*ORÇAMENTO!$AF$7)*OFFSET(ORÇAMENTO!$W$15,ROW(BA459)-ROW(BA$15),0),15-13*ORÇAMENTO!$AF$11)),0)</f>
        <v>0</v>
      </c>
      <c r="BC459" s="181">
        <f ca="1">IF($D459&lt;&gt;"Serviço",0,IF(AND(AUTOEVENTO="Manual",$M459=1),0,IF(OFFSET(CRONOPLE!$F$14,$M459,BC$13)="",10^12,OFFSET(CRONOPLE!$F$14,$M459,BC$13))))</f>
        <v>10</v>
      </c>
      <c r="BD459" s="181">
        <f ca="1">IF($D459&lt;&gt;"Serviço",0,IF(AND(AUTOEVENTO="Manual",$M459=1),0,IF(OFFSET(CRONOPLE!$F$14,$M459,BD$13)="",10^12,OFFSET(CRONOPLE!$F$14,$M459,BD$13))))</f>
        <v>1000000000000</v>
      </c>
      <c r="BE459" s="181">
        <f ca="1">IF($D459&lt;&gt;"Serviço",0,IF(AND(AUTOEVENTO="Manual",$M459=1),0,IF(OFFSET(CRONOPLE!$F$14,$M459,BE$13)="",10^12,OFFSET(CRONOPLE!$F$14,$M459,BE$13))))</f>
        <v>1000000000000</v>
      </c>
      <c r="BF459" s="181">
        <f ca="1">IF($D459&lt;&gt;"Serviço",0,IF(AND(AUTOEVENTO="Manual",$M459=1),0,IF(OFFSET(CRONOPLE!$F$14,$M459,BF$13)="",10^12,OFFSET(CRONOPLE!$F$14,$M459,BF$13))))</f>
        <v>1000000000000</v>
      </c>
      <c r="BG459" s="181">
        <f ca="1">IF($D459&lt;&gt;"Serviço",0,IF(AND(AUTOEVENTO="Manual",$M459=1),0,IF(OFFSET(CRONOPLE!$F$14,$M459,BG$13)="",10^12,OFFSET(CRONOPLE!$F$14,$M459,BG$13))))</f>
        <v>1000000000000</v>
      </c>
      <c r="BH459" s="181">
        <f ca="1">IF($D459&lt;&gt;"Serviço",0,IF(AND(AUTOEVENTO="Manual",$M459=1),0,IF(OFFSET(CRONOPLE!$F$14,$M459,BH$13)="",10^12,OFFSET(CRONOPLE!$F$14,$M459,BH$13))))</f>
        <v>1000000000000</v>
      </c>
      <c r="BI459" s="181">
        <f ca="1">IF($D459&lt;&gt;"Serviço",0,IF(AND(AUTOEVENTO="Manual",$M459=1),0,IF(OFFSET(CRONOPLE!$F$14,$M459,BI$13)="",10^12,OFFSET(CRONOPLE!$F$14,$M459,BI$13))))</f>
        <v>1000000000000</v>
      </c>
      <c r="BJ459" s="181">
        <f ca="1">IF($D459&lt;&gt;"Serviço",0,IF(AND(AUTOEVENTO="Manual",$M459=1),0,IF(OFFSET(CRONOPLE!$F$14,$M459,BJ$13)="",10^12,OFFSET(CRONOPLE!$F$14,$M459,BJ$13))))</f>
        <v>1000000000000</v>
      </c>
      <c r="BK459" s="181">
        <f ca="1">IF($D459&lt;&gt;"Serviço",0,IF(AND(AUTOEVENTO="Manual",$M459=1),0,IF(OFFSET(CRONOPLE!$F$14,$M459,BK$13)="",10^12,OFFSET(CRONOPLE!$F$14,$M459,BK$13))))</f>
        <v>1000000000000</v>
      </c>
      <c r="BL459" s="181">
        <f ca="1">IF($D459&lt;&gt;"Serviço",0,IF(AND(AUTOEVENTO="Manual",$M459=1),0,IF(OFFSET(CRONOPLE!$F$14,$M459,BL$13)="",10^12,OFFSET(CRONOPLE!$F$14,$M459,BL$13))))</f>
        <v>1000000000000</v>
      </c>
      <c r="BM459" s="181">
        <f ca="1">IF($D459&lt;&gt;"Serviço",0,IF(AND(AUTOEVENTO="Manual",$M459=1),0,IF(OFFSET(CRONOPLE!$F$14,$M459,BM$13)="",10^12,OFFSET(CRONOPLE!$F$14,$M459,BM$13))))</f>
        <v>1000000000000</v>
      </c>
      <c r="BN459" s="181">
        <f ca="1">IF($D459&lt;&gt;"Serviço",0,IF(AND(AUTOEVENTO="Manual",$M459=1),0,IF(OFFSET(CRONOPLE!$F$14,$M459,BN$13)="",10^12,OFFSET(CRONOPLE!$F$14,$M459,BN$13))))</f>
        <v>1000000000000</v>
      </c>
      <c r="BO459" s="181">
        <f ca="1">IF($D459&lt;&gt;"Serviço",0,IF(AND(AUTOEVENTO="Manual",$M459=1),0,IF(OFFSET(CRONOPLE!$F$14,$M459,BO$13)="",10^12,OFFSET(CRONOPLE!$F$14,$M459,BO$13))))</f>
        <v>1000000000000</v>
      </c>
      <c r="BP459" s="181">
        <f ca="1">IF($D459&lt;&gt;"Serviço",0,IF(AND(AUTOEVENTO="Manual",$M459=1),0,IF(OFFSET(CRONOPLE!$F$14,$M459,BP$13)="",10^12,OFFSET(CRONOPLE!$F$14,$M459,BP$13))))</f>
        <v>1000000000000</v>
      </c>
      <c r="BQ459" s="181">
        <f ca="1">IF($D459&lt;&gt;"Serviço",0,IF(AND(AUTOEVENTO="Manual",$M459=1),0,IF(OFFSET(CRONOPLE!$F$14,$M459,BQ$13)="",10^12,OFFSET(CRONOPLE!$F$14,$M459,BQ$13))))</f>
        <v>1000000000000</v>
      </c>
      <c r="BR459" s="181">
        <f ca="1">IF($D459&lt;&gt;"Serviço",0,IF(AND(AUTOEVENTO="Manual",$M459=1),0,IF(OFFSET(CRONOPLE!$F$14,$M459,BR$13)="",10^12,OFFSET(CRONOPLE!$F$14,$M459,BR$13))))</f>
        <v>1000000000000</v>
      </c>
      <c r="BS459" s="181">
        <f ca="1">IF($D459&lt;&gt;"Serviço",0,IF(AND(AUTOEVENTO="Manual",$M459=1),0,IF(OFFSET(CRONOPLE!$F$14,$M459,BS$13)="",10^12,OFFSET(CRONOPLE!$F$14,$M459,BS$13))))</f>
        <v>1000000000000</v>
      </c>
      <c r="BT459" s="181">
        <f ca="1">IF($D459&lt;&gt;"Serviço",0,IF(AND(AUTOEVENTO="Manual",$M459=1),0,IF(OFFSET(CRONOPLE!$F$14,$M459,BT$13)="",10^12,OFFSET(CRONOPLE!$F$14,$M459,BT$13))))</f>
        <v>1000000000000</v>
      </c>
      <c r="BV459" s="182">
        <f ca="1">IF($D459&lt;&gt;"Serviço",0,IF(OR(AND(AUTOEVENTO="Manual",$M459=1),$M459&gt;(ROW(PLE.lastrow)-ROW(PLE.firstrow))),0,IF(OFFSET(PLE!$G$14,$M459,BV$13)="",10^12,OFFSET(PLE!$G$14,$M459,BV$13))))</f>
        <v>1000000000000</v>
      </c>
      <c r="BW459" s="182">
        <f ca="1">IF($D459&lt;&gt;"Serviço",0,IF(OR(AND(AUTOEVENTO="Manual",$M459=1),$M459&gt;(ROW(PLE.lastrow)-ROW(PLE.firstrow))),0,IF(OFFSET(PLE!$G$14,$M459,BW$13)="",10^12,OFFSET(PLE!$G$14,$M459,BW$13))))</f>
        <v>1000000000000</v>
      </c>
      <c r="BX459" s="182">
        <f ca="1">IF($D459&lt;&gt;"Serviço",0,IF(OR(AND(AUTOEVENTO="Manual",$M459=1),$M459&gt;(ROW(PLE.lastrow)-ROW(PLE.firstrow))),0,IF(OFFSET(PLE!$G$14,$M459,BX$13)="",10^12,OFFSET(PLE!$G$14,$M459,BX$13))))</f>
        <v>1000000000000</v>
      </c>
      <c r="BY459" s="182">
        <f ca="1">IF($D459&lt;&gt;"Serviço",0,IF(OR(AND(AUTOEVENTO="Manual",$M459=1),$M459&gt;(ROW(PLE.lastrow)-ROW(PLE.firstrow))),0,IF(OFFSET(PLE!$G$14,$M459,BY$13)="",10^12,OFFSET(PLE!$G$14,$M459,BY$13))))</f>
        <v>1000000000000</v>
      </c>
      <c r="BZ459" s="182">
        <f ca="1">IF($D459&lt;&gt;"Serviço",0,IF(OR(AND(AUTOEVENTO="Manual",$M459=1),$M459&gt;(ROW(PLE.lastrow)-ROW(PLE.firstrow))),0,IF(OFFSET(PLE!$G$14,$M459,BZ$13)="",10^12,OFFSET(PLE!$G$14,$M459,BZ$13))))</f>
        <v>1000000000000</v>
      </c>
      <c r="CA459" s="182">
        <f ca="1">IF($D459&lt;&gt;"Serviço",0,IF(OR(AND(AUTOEVENTO="Manual",$M459=1),$M459&gt;(ROW(PLE.lastrow)-ROW(PLE.firstrow))),0,IF(OFFSET(PLE!$G$14,$M459,CA$13)="",10^12,OFFSET(PLE!$G$14,$M459,CA$13))))</f>
        <v>1000000000000</v>
      </c>
      <c r="CB459" s="182">
        <f ca="1">IF($D459&lt;&gt;"Serviço",0,IF(OR(AND(AUTOEVENTO="Manual",$M459=1),$M459&gt;(ROW(PLE.lastrow)-ROW(PLE.firstrow))),0,IF(OFFSET(PLE!$G$14,$M459,CB$13)="",10^12,OFFSET(PLE!$G$14,$M459,CB$13))))</f>
        <v>1000000000000</v>
      </c>
      <c r="CC459" s="182">
        <f ca="1">IF($D459&lt;&gt;"Serviço",0,IF(OR(AND(AUTOEVENTO="Manual",$M459=1),$M459&gt;(ROW(PLE.lastrow)-ROW(PLE.firstrow))),0,IF(OFFSET(PLE!$G$14,$M459,CC$13)="",10^12,OFFSET(PLE!$G$14,$M459,CC$13))))</f>
        <v>1000000000000</v>
      </c>
      <c r="CD459" s="182">
        <f ca="1">IF($D459&lt;&gt;"Serviço",0,IF(OR(AND(AUTOEVENTO="Manual",$M459=1),$M459&gt;(ROW(PLE.lastrow)-ROW(PLE.firstrow))),0,IF(OFFSET(PLE!$G$14,$M459,CD$13)="",10^12,OFFSET(PLE!$G$14,$M459,CD$13))))</f>
        <v>1000000000000</v>
      </c>
      <c r="CE459" s="182">
        <f ca="1">IF($D459&lt;&gt;"Serviço",0,IF(OR(AND(AUTOEVENTO="Manual",$M459=1),$M459&gt;(ROW(PLE.lastrow)-ROW(PLE.firstrow))),0,IF(OFFSET(PLE!$G$14,$M459,CE$13)="",10^12,OFFSET(PLE!$G$14,$M459,CE$13))))</f>
        <v>1000000000000</v>
      </c>
      <c r="CF459" s="182">
        <f ca="1">IF($D459&lt;&gt;"Serviço",0,IF(OR(AND(AUTOEVENTO="Manual",$M459=1),$M459&gt;(ROW(PLE.lastrow)-ROW(PLE.firstrow))),0,IF(OFFSET(PLE!$G$14,$M459,CF$13)="",10^12,OFFSET(PLE!$G$14,$M459,CF$13))))</f>
        <v>1000000000000</v>
      </c>
      <c r="CG459" s="182">
        <f ca="1">IF($D459&lt;&gt;"Serviço",0,IF(OR(AND(AUTOEVENTO="Manual",$M459=1),$M459&gt;(ROW(PLE.lastrow)-ROW(PLE.firstrow))),0,IF(OFFSET(PLE!$G$14,$M459,CG$13)="",10^12,OFFSET(PLE!$G$14,$M459,CG$13))))</f>
        <v>1000000000000</v>
      </c>
      <c r="CH459" s="182">
        <f ca="1">IF($D459&lt;&gt;"Serviço",0,IF(OR(AND(AUTOEVENTO="Manual",$M459=1),$M459&gt;(ROW(PLE.lastrow)-ROW(PLE.firstrow))),0,IF(OFFSET(PLE!$G$14,$M459,CH$13)="",10^12,OFFSET(PLE!$G$14,$M459,CH$13))))</f>
        <v>1000000000000</v>
      </c>
      <c r="CI459" s="182">
        <f ca="1">IF($D459&lt;&gt;"Serviço",0,IF(OR(AND(AUTOEVENTO="Manual",$M459=1),$M459&gt;(ROW(PLE.lastrow)-ROW(PLE.firstrow))),0,IF(OFFSET(PLE!$G$14,$M459,CI$13)="",10^12,OFFSET(PLE!$G$14,$M459,CI$13))))</f>
        <v>1000000000000</v>
      </c>
      <c r="CJ459" s="182">
        <f ca="1">IF($D459&lt;&gt;"Serviço",0,IF(OR(AND(AUTOEVENTO="Manual",$M459=1),$M459&gt;(ROW(PLE.lastrow)-ROW(PLE.firstrow))),0,IF(OFFSET(PLE!$G$14,$M459,CJ$13)="",10^12,OFFSET(PLE!$G$14,$M459,CJ$13))))</f>
        <v>1000000000000</v>
      </c>
      <c r="CK459" s="182">
        <f ca="1">IF($D459&lt;&gt;"Serviço",0,IF(OR(AND(AUTOEVENTO="Manual",$M459=1),$M459&gt;(ROW(PLE.lastrow)-ROW(PLE.firstrow))),0,IF(OFFSET(PLE!$G$14,$M459,CK$13)="",10^12,OFFSET(PLE!$G$14,$M459,CK$13))))</f>
        <v>1000000000000</v>
      </c>
      <c r="CL459" s="182">
        <f ca="1">IF($D459&lt;&gt;"Serviço",0,IF(OR(AND(AUTOEVENTO="Manual",$M459=1),$M459&gt;(ROW(PLE.lastrow)-ROW(PLE.firstrow))),0,IF(OFFSET(PLE!$G$14,$M459,CL$13)="",10^12,OFFSET(PLE!$G$14,$M459,CL$13))))</f>
        <v>1000000000000</v>
      </c>
      <c r="CM459" s="182">
        <f ca="1">IF($D459&lt;&gt;"Serviço",0,IF(OR(AND(AUTOEVENTO="Manual",$M459=1),$M459&gt;(ROW(PLE.lastrow)-ROW(PLE.firstrow))),0,IF(OFFSET(PLE!$G$14,$M459,CM$13)="",10^12,OFFSET(PLE!$G$14,$M459,CM$13))))</f>
        <v>1000000000000</v>
      </c>
    </row>
    <row r="460" spans="1:91" ht="38.25" x14ac:dyDescent="0.2">
      <c r="A460" s="7" t="str">
        <f t="shared" ca="1" si="12"/>
        <v>421</v>
      </c>
      <c r="B460" s="7" t="str">
        <f ca="1">OFFSET(ORÇAMENTO!C$15,ROW(B460)-ROW(B$15),0)</f>
        <v>S</v>
      </c>
      <c r="C460" s="7" t="str">
        <f ca="1">OFFSET(ORÇAMENTO!L$15,ROW(C460)-ROW(C$15),0)</f>
        <v/>
      </c>
      <c r="D460" s="118" t="str">
        <f ca="1">OFFSET(ORÇAMENTO!N$15,ROW(D460)-ROW(D$15),0)</f>
        <v>Serviço</v>
      </c>
      <c r="E460" s="119" t="str">
        <f ca="1">OFFSET(ORÇAMENTO!O$15,ROW(E460)-ROW(E$15),0)</f>
        <v>-</v>
      </c>
      <c r="F460" s="172" t="str">
        <f ca="1">OFFSET(ORÇAMENTO!R$15,ROW(F460)-ROW(F$15),0)</f>
        <v>(abra o arquivo 'Referência 06-2024.xlsm)</v>
      </c>
      <c r="G460" s="173" t="str">
        <f ca="1">IF($D460&lt;&gt;"Serviço","",OFFSET(ORÇAMENTO!S$15,ROW(G460)-ROW(G$15),0))</f>
        <v>-</v>
      </c>
      <c r="H460" s="124">
        <f ca="1">IF($D460&lt;&gt;"Serviço",0,IF(ACOMPANHAMENTO="BM",ROUND(OFFSET(ORÇAMENTO!AJ$15,ROW(H460)-ROW(H$15),0),15-13*ORÇAMENTO!$AF$7),SUMPRODUCT(($Q$12:$AI$12&lt;&gt;"")*ROUND($Q460:$AI460,15-13*ORÇAMENTO!$AF$7))))</f>
        <v>2</v>
      </c>
      <c r="I460" s="561" t="s">
        <v>1107</v>
      </c>
      <c r="K460" s="174"/>
      <c r="L460" s="175" t="s">
        <v>255</v>
      </c>
      <c r="M460" s="176">
        <f ca="1">IF($D460&lt;&gt;"Serviço","",IF(AUTOEVENTO="manual",$A460,IF(ISERROR(MATCH($A460,$A$15:OFFSET($A460,-1,0),0)),MAX($M$15:OFFSET(M460,-1,0))+1,INDEX($M$15:OFFSET(M460,-1,0),MATCH($A460,$A$15:OFFSET($A460,-1,0),0)))))</f>
        <v>49</v>
      </c>
      <c r="N460" s="177" t="str">
        <f ca="1">IF($D460&lt;&gt;"Serviço","",IF(AUTOEVENTO="Manual",IF($A460=0,"&lt;-- defina o número do agrupador",OFFSET(EVENTOS!$D$14,$A460,0)),OFFSET($F$15,$A460,0)))</f>
        <v>SISTEMA DE PROTEÇÃO CONTRA INCÊNDIO - TUBULAÇÕES E CONEXÕES</v>
      </c>
      <c r="O460" s="178"/>
      <c r="Q460" s="178">
        <v>2</v>
      </c>
      <c r="R460" s="179"/>
      <c r="S460" s="179"/>
      <c r="T460" s="179"/>
      <c r="U460" s="179"/>
      <c r="V460" s="179"/>
      <c r="W460" s="179"/>
      <c r="X460" s="179"/>
      <c r="Y460" s="179"/>
      <c r="Z460" s="180"/>
      <c r="AA460" s="179"/>
      <c r="AB460" s="179"/>
      <c r="AC460" s="179"/>
      <c r="AD460" s="179"/>
      <c r="AE460" s="179"/>
      <c r="AF460" s="179"/>
      <c r="AG460" s="179"/>
      <c r="AH460" s="180"/>
      <c r="AJ460" s="544">
        <f ca="1">IF(AND($D460="Serviço",AJ$12&lt;&gt;0,$H460&gt;0,OR(AUTOEVENTO&lt;&gt;"manual",$M460&lt;&gt;1)),
IF(Import.TipoArredondamento&lt;&gt;"TransfereGOV",
ROUND(OFFSET($P460,0,AJ$13),15-13*ORÇAMENTO!$AF$7)/$H460*OFFSET(ORÇAMENTO!$X$15,ROW(AJ460)-ROW(AJ$15),0),
ROUND(ROUND(OFFSET($P460,0,AJ$13),15-13*ORÇAMENTO!$AF$7)*OFFSET(ORÇAMENTO!$W$15,ROW(AJ460)-ROW(AJ$15),0),15-13*ORÇAMENTO!$AF$11)),0)</f>
        <v>0</v>
      </c>
      <c r="AK460" s="545">
        <f ca="1">IF(AND($D460="Serviço",AK$12&lt;&gt;0,$H460&gt;0,OR(AUTOEVENTO&lt;&gt;"manual",$M460&lt;&gt;1)),
IF(Import.TipoArredondamento&lt;&gt;"TransfereGOV",
ROUND(OFFSET($P460,0,AK$13),15-13*ORÇAMENTO!$AF$7)/$H460*OFFSET(ORÇAMENTO!$X$15,ROW(AK460)-ROW(AK$15),0),
ROUND(ROUND(OFFSET($P460,0,AK$13),15-13*ORÇAMENTO!$AF$7)*OFFSET(ORÇAMENTO!$W$15,ROW(AK460)-ROW(AK$15),0),15-13*ORÇAMENTO!$AF$11)),0)</f>
        <v>0</v>
      </c>
      <c r="AL460" s="545">
        <f ca="1">IF(AND($D460="Serviço",AL$12&lt;&gt;0,$H460&gt;0,OR(AUTOEVENTO&lt;&gt;"manual",$M460&lt;&gt;1)),
IF(Import.TipoArredondamento&lt;&gt;"TransfereGOV",
ROUND(OFFSET($P460,0,AL$13),15-13*ORÇAMENTO!$AF$7)/$H460*OFFSET(ORÇAMENTO!$X$15,ROW(AL460)-ROW(AL$15),0),
ROUND(ROUND(OFFSET($P460,0,AL$13),15-13*ORÇAMENTO!$AF$7)*OFFSET(ORÇAMENTO!$W$15,ROW(AL460)-ROW(AL$15),0),15-13*ORÇAMENTO!$AF$11)),0)</f>
        <v>0</v>
      </c>
      <c r="AM460" s="545">
        <f ca="1">IF(AND($D460="Serviço",AM$12&lt;&gt;0,$H460&gt;0,OR(AUTOEVENTO&lt;&gt;"manual",$M460&lt;&gt;1)),
IF(Import.TipoArredondamento&lt;&gt;"TransfereGOV",
ROUND(OFFSET($P460,0,AM$13),15-13*ORÇAMENTO!$AF$7)/$H460*OFFSET(ORÇAMENTO!$X$15,ROW(AM460)-ROW(AM$15),0),
ROUND(ROUND(OFFSET($P460,0,AM$13),15-13*ORÇAMENTO!$AF$7)*OFFSET(ORÇAMENTO!$W$15,ROW(AM460)-ROW(AM$15),0),15-13*ORÇAMENTO!$AF$11)),0)</f>
        <v>0</v>
      </c>
      <c r="AN460" s="545">
        <f ca="1">IF(AND($D460="Serviço",AN$12&lt;&gt;0,$H460&gt;0,OR(AUTOEVENTO&lt;&gt;"manual",$M460&lt;&gt;1)),
IF(Import.TipoArredondamento&lt;&gt;"TransfereGOV",
ROUND(OFFSET($P460,0,AN$13),15-13*ORÇAMENTO!$AF$7)/$H460*OFFSET(ORÇAMENTO!$X$15,ROW(AN460)-ROW(AN$15),0),
ROUND(ROUND(OFFSET($P460,0,AN$13),15-13*ORÇAMENTO!$AF$7)*OFFSET(ORÇAMENTO!$W$15,ROW(AN460)-ROW(AN$15),0),15-13*ORÇAMENTO!$AF$11)),0)</f>
        <v>0</v>
      </c>
      <c r="AO460" s="545">
        <f ca="1">IF(AND($D460="Serviço",AO$12&lt;&gt;0,$H460&gt;0,OR(AUTOEVENTO&lt;&gt;"manual",$M460&lt;&gt;1)),
IF(Import.TipoArredondamento&lt;&gt;"TransfereGOV",
ROUND(OFFSET($P460,0,AO$13),15-13*ORÇAMENTO!$AF$7)/$H460*OFFSET(ORÇAMENTO!$X$15,ROW(AO460)-ROW(AO$15),0),
ROUND(ROUND(OFFSET($P460,0,AO$13),15-13*ORÇAMENTO!$AF$7)*OFFSET(ORÇAMENTO!$W$15,ROW(AO460)-ROW(AO$15),0),15-13*ORÇAMENTO!$AF$11)),0)</f>
        <v>0</v>
      </c>
      <c r="AP460" s="545">
        <f ca="1">IF(AND($D460="Serviço",AP$12&lt;&gt;0,$H460&gt;0,OR(AUTOEVENTO&lt;&gt;"manual",$M460&lt;&gt;1)),
IF(Import.TipoArredondamento&lt;&gt;"TransfereGOV",
ROUND(OFFSET($P460,0,AP$13),15-13*ORÇAMENTO!$AF$7)/$H460*OFFSET(ORÇAMENTO!$X$15,ROW(AP460)-ROW(AP$15),0),
ROUND(ROUND(OFFSET($P460,0,AP$13),15-13*ORÇAMENTO!$AF$7)*OFFSET(ORÇAMENTO!$W$15,ROW(AP460)-ROW(AP$15),0),15-13*ORÇAMENTO!$AF$11)),0)</f>
        <v>0</v>
      </c>
      <c r="AQ460" s="545">
        <f ca="1">IF(AND($D460="Serviço",AQ$12&lt;&gt;0,$H460&gt;0,OR(AUTOEVENTO&lt;&gt;"manual",$M460&lt;&gt;1)),
IF(Import.TipoArredondamento&lt;&gt;"TransfereGOV",
ROUND(OFFSET($P460,0,AQ$13),15-13*ORÇAMENTO!$AF$7)/$H460*OFFSET(ORÇAMENTO!$X$15,ROW(AQ460)-ROW(AQ$15),0),
ROUND(ROUND(OFFSET($P460,0,AQ$13),15-13*ORÇAMENTO!$AF$7)*OFFSET(ORÇAMENTO!$W$15,ROW(AQ460)-ROW(AQ$15),0),15-13*ORÇAMENTO!$AF$11)),0)</f>
        <v>0</v>
      </c>
      <c r="AR460" s="545">
        <f ca="1">IF(AND($D460="Serviço",AR$12&lt;&gt;0,$H460&gt;0,OR(AUTOEVENTO&lt;&gt;"manual",$M460&lt;&gt;1)),
IF(Import.TipoArredondamento&lt;&gt;"TransfereGOV",
ROUND(OFFSET($P460,0,AR$13),15-13*ORÇAMENTO!$AF$7)/$H460*OFFSET(ORÇAMENTO!$X$15,ROW(AR460)-ROW(AR$15),0),
ROUND(ROUND(OFFSET($P460,0,AR$13),15-13*ORÇAMENTO!$AF$7)*OFFSET(ORÇAMENTO!$W$15,ROW(AR460)-ROW(AR$15),0),15-13*ORÇAMENTO!$AF$11)),0)</f>
        <v>0</v>
      </c>
      <c r="AS460" s="546">
        <f ca="1">IF(AND($D460="Serviço",AS$12&lt;&gt;0,$H460&gt;0,OR(AUTOEVENTO&lt;&gt;"manual",$M460&lt;&gt;1)),
IF(Import.TipoArredondamento&lt;&gt;"TransfereGOV",
ROUND(OFFSET($P460,0,AS$13),15-13*ORÇAMENTO!$AF$7)/$H460*OFFSET(ORÇAMENTO!$X$15,ROW(AS460)-ROW(AS$15),0),
ROUND(ROUND(OFFSET($P460,0,AS$13),15-13*ORÇAMENTO!$AF$7)*OFFSET(ORÇAMENTO!$W$15,ROW(AS460)-ROW(AS$15),0),15-13*ORÇAMENTO!$AF$11)),0)</f>
        <v>0</v>
      </c>
      <c r="AT460" s="545">
        <f ca="1">IF(AND($D460="Serviço",AT$12&lt;&gt;0,$H460&gt;0,OR(AUTOEVENTO&lt;&gt;"manual",$M460&lt;&gt;1)),
IF(Import.TipoArredondamento&lt;&gt;"TransfereGOV",
ROUND(OFFSET($P460,0,AT$13),15-13*ORÇAMENTO!$AF$7)/$H460*OFFSET(ORÇAMENTO!$X$15,ROW(AT460)-ROW(AT$15),0),
ROUND(ROUND(OFFSET($P460,0,AT$13),15-13*ORÇAMENTO!$AF$7)*OFFSET(ORÇAMENTO!$W$15,ROW(AT460)-ROW(AT$15),0),15-13*ORÇAMENTO!$AF$11)),0)</f>
        <v>0</v>
      </c>
      <c r="AU460" s="545">
        <f ca="1">IF(AND($D460="Serviço",AU$12&lt;&gt;0,$H460&gt;0,OR(AUTOEVENTO&lt;&gt;"manual",$M460&lt;&gt;1)),
IF(Import.TipoArredondamento&lt;&gt;"TransfereGOV",
ROUND(OFFSET($P460,0,AU$13),15-13*ORÇAMENTO!$AF$7)/$H460*OFFSET(ORÇAMENTO!$X$15,ROW(AU460)-ROW(AU$15),0),
ROUND(ROUND(OFFSET($P460,0,AU$13),15-13*ORÇAMENTO!$AF$7)*OFFSET(ORÇAMENTO!$W$15,ROW(AU460)-ROW(AU$15),0),15-13*ORÇAMENTO!$AF$11)),0)</f>
        <v>0</v>
      </c>
      <c r="AV460" s="545">
        <f ca="1">IF(AND($D460="Serviço",AV$12&lt;&gt;0,$H460&gt;0,OR(AUTOEVENTO&lt;&gt;"manual",$M460&lt;&gt;1)),
IF(Import.TipoArredondamento&lt;&gt;"TransfereGOV",
ROUND(OFFSET($P460,0,AV$13),15-13*ORÇAMENTO!$AF$7)/$H460*OFFSET(ORÇAMENTO!$X$15,ROW(AV460)-ROW(AV$15),0),
ROUND(ROUND(OFFSET($P460,0,AV$13),15-13*ORÇAMENTO!$AF$7)*OFFSET(ORÇAMENTO!$W$15,ROW(AV460)-ROW(AV$15),0),15-13*ORÇAMENTO!$AF$11)),0)</f>
        <v>0</v>
      </c>
      <c r="AW460" s="545">
        <f ca="1">IF(AND($D460="Serviço",AW$12&lt;&gt;0,$H460&gt;0,OR(AUTOEVENTO&lt;&gt;"manual",$M460&lt;&gt;1)),
IF(Import.TipoArredondamento&lt;&gt;"TransfereGOV",
ROUND(OFFSET($P460,0,AW$13),15-13*ORÇAMENTO!$AF$7)/$H460*OFFSET(ORÇAMENTO!$X$15,ROW(AW460)-ROW(AW$15),0),
ROUND(ROUND(OFFSET($P460,0,AW$13),15-13*ORÇAMENTO!$AF$7)*OFFSET(ORÇAMENTO!$W$15,ROW(AW460)-ROW(AW$15),0),15-13*ORÇAMENTO!$AF$11)),0)</f>
        <v>0</v>
      </c>
      <c r="AX460" s="545">
        <f ca="1">IF(AND($D460="Serviço",AX$12&lt;&gt;0,$H460&gt;0,OR(AUTOEVENTO&lt;&gt;"manual",$M460&lt;&gt;1)),
IF(Import.TipoArredondamento&lt;&gt;"TransfereGOV",
ROUND(OFFSET($P460,0,AX$13),15-13*ORÇAMENTO!$AF$7)/$H460*OFFSET(ORÇAMENTO!$X$15,ROW(AX460)-ROW(AX$15),0),
ROUND(ROUND(OFFSET($P460,0,AX$13),15-13*ORÇAMENTO!$AF$7)*OFFSET(ORÇAMENTO!$W$15,ROW(AX460)-ROW(AX$15),0),15-13*ORÇAMENTO!$AF$11)),0)</f>
        <v>0</v>
      </c>
      <c r="AY460" s="545">
        <f ca="1">IF(AND($D460="Serviço",AY$12&lt;&gt;0,$H460&gt;0,OR(AUTOEVENTO&lt;&gt;"manual",$M460&lt;&gt;1)),
IF(Import.TipoArredondamento&lt;&gt;"TransfereGOV",
ROUND(OFFSET($P460,0,AY$13),15-13*ORÇAMENTO!$AF$7)/$H460*OFFSET(ORÇAMENTO!$X$15,ROW(AY460)-ROW(AY$15),0),
ROUND(ROUND(OFFSET($P460,0,AY$13),15-13*ORÇAMENTO!$AF$7)*OFFSET(ORÇAMENTO!$W$15,ROW(AY460)-ROW(AY$15),0),15-13*ORÇAMENTO!$AF$11)),0)</f>
        <v>0</v>
      </c>
      <c r="AZ460" s="545">
        <f ca="1">IF(AND($D460="Serviço",AZ$12&lt;&gt;0,$H460&gt;0,OR(AUTOEVENTO&lt;&gt;"manual",$M460&lt;&gt;1)),
IF(Import.TipoArredondamento&lt;&gt;"TransfereGOV",
ROUND(OFFSET($P460,0,AZ$13),15-13*ORÇAMENTO!$AF$7)/$H460*OFFSET(ORÇAMENTO!$X$15,ROW(AZ460)-ROW(AZ$15),0),
ROUND(ROUND(OFFSET($P460,0,AZ$13),15-13*ORÇAMENTO!$AF$7)*OFFSET(ORÇAMENTO!$W$15,ROW(AZ460)-ROW(AZ$15),0),15-13*ORÇAMENTO!$AF$11)),0)</f>
        <v>0</v>
      </c>
      <c r="BA460" s="546">
        <f ca="1">IF(AND($D460="Serviço",BA$12&lt;&gt;0,$H460&gt;0,OR(AUTOEVENTO&lt;&gt;"manual",$M460&lt;&gt;1)),
IF(Import.TipoArredondamento&lt;&gt;"TransfereGOV",
ROUND(OFFSET($P460,0,BA$13),15-13*ORÇAMENTO!$AF$7)/$H460*OFFSET(ORÇAMENTO!$X$15,ROW(BA460)-ROW(BA$15),0),
ROUND(ROUND(OFFSET($P460,0,BA$13),15-13*ORÇAMENTO!$AF$7)*OFFSET(ORÇAMENTO!$W$15,ROW(BA460)-ROW(BA$15),0),15-13*ORÇAMENTO!$AF$11)),0)</f>
        <v>0</v>
      </c>
      <c r="BC460" s="181">
        <f ca="1">IF($D460&lt;&gt;"Serviço",0,IF(AND(AUTOEVENTO="Manual",$M460=1),0,IF(OFFSET(CRONOPLE!$F$14,$M460,BC$13)="",10^12,OFFSET(CRONOPLE!$F$14,$M460,BC$13))))</f>
        <v>10</v>
      </c>
      <c r="BD460" s="181">
        <f ca="1">IF($D460&lt;&gt;"Serviço",0,IF(AND(AUTOEVENTO="Manual",$M460=1),0,IF(OFFSET(CRONOPLE!$F$14,$M460,BD$13)="",10^12,OFFSET(CRONOPLE!$F$14,$M460,BD$13))))</f>
        <v>1000000000000</v>
      </c>
      <c r="BE460" s="181">
        <f ca="1">IF($D460&lt;&gt;"Serviço",0,IF(AND(AUTOEVENTO="Manual",$M460=1),0,IF(OFFSET(CRONOPLE!$F$14,$M460,BE$13)="",10^12,OFFSET(CRONOPLE!$F$14,$M460,BE$13))))</f>
        <v>1000000000000</v>
      </c>
      <c r="BF460" s="181">
        <f ca="1">IF($D460&lt;&gt;"Serviço",0,IF(AND(AUTOEVENTO="Manual",$M460=1),0,IF(OFFSET(CRONOPLE!$F$14,$M460,BF$13)="",10^12,OFFSET(CRONOPLE!$F$14,$M460,BF$13))))</f>
        <v>1000000000000</v>
      </c>
      <c r="BG460" s="181">
        <f ca="1">IF($D460&lt;&gt;"Serviço",0,IF(AND(AUTOEVENTO="Manual",$M460=1),0,IF(OFFSET(CRONOPLE!$F$14,$M460,BG$13)="",10^12,OFFSET(CRONOPLE!$F$14,$M460,BG$13))))</f>
        <v>1000000000000</v>
      </c>
      <c r="BH460" s="181">
        <f ca="1">IF($D460&lt;&gt;"Serviço",0,IF(AND(AUTOEVENTO="Manual",$M460=1),0,IF(OFFSET(CRONOPLE!$F$14,$M460,BH$13)="",10^12,OFFSET(CRONOPLE!$F$14,$M460,BH$13))))</f>
        <v>1000000000000</v>
      </c>
      <c r="BI460" s="181">
        <f ca="1">IF($D460&lt;&gt;"Serviço",0,IF(AND(AUTOEVENTO="Manual",$M460=1),0,IF(OFFSET(CRONOPLE!$F$14,$M460,BI$13)="",10^12,OFFSET(CRONOPLE!$F$14,$M460,BI$13))))</f>
        <v>1000000000000</v>
      </c>
      <c r="BJ460" s="181">
        <f ca="1">IF($D460&lt;&gt;"Serviço",0,IF(AND(AUTOEVENTO="Manual",$M460=1),0,IF(OFFSET(CRONOPLE!$F$14,$M460,BJ$13)="",10^12,OFFSET(CRONOPLE!$F$14,$M460,BJ$13))))</f>
        <v>1000000000000</v>
      </c>
      <c r="BK460" s="181">
        <f ca="1">IF($D460&lt;&gt;"Serviço",0,IF(AND(AUTOEVENTO="Manual",$M460=1),0,IF(OFFSET(CRONOPLE!$F$14,$M460,BK$13)="",10^12,OFFSET(CRONOPLE!$F$14,$M460,BK$13))))</f>
        <v>1000000000000</v>
      </c>
      <c r="BL460" s="181">
        <f ca="1">IF($D460&lt;&gt;"Serviço",0,IF(AND(AUTOEVENTO="Manual",$M460=1),0,IF(OFFSET(CRONOPLE!$F$14,$M460,BL$13)="",10^12,OFFSET(CRONOPLE!$F$14,$M460,BL$13))))</f>
        <v>1000000000000</v>
      </c>
      <c r="BM460" s="181">
        <f ca="1">IF($D460&lt;&gt;"Serviço",0,IF(AND(AUTOEVENTO="Manual",$M460=1),0,IF(OFFSET(CRONOPLE!$F$14,$M460,BM$13)="",10^12,OFFSET(CRONOPLE!$F$14,$M460,BM$13))))</f>
        <v>1000000000000</v>
      </c>
      <c r="BN460" s="181">
        <f ca="1">IF($D460&lt;&gt;"Serviço",0,IF(AND(AUTOEVENTO="Manual",$M460=1),0,IF(OFFSET(CRONOPLE!$F$14,$M460,BN$13)="",10^12,OFFSET(CRONOPLE!$F$14,$M460,BN$13))))</f>
        <v>1000000000000</v>
      </c>
      <c r="BO460" s="181">
        <f ca="1">IF($D460&lt;&gt;"Serviço",0,IF(AND(AUTOEVENTO="Manual",$M460=1),0,IF(OFFSET(CRONOPLE!$F$14,$M460,BO$13)="",10^12,OFFSET(CRONOPLE!$F$14,$M460,BO$13))))</f>
        <v>1000000000000</v>
      </c>
      <c r="BP460" s="181">
        <f ca="1">IF($D460&lt;&gt;"Serviço",0,IF(AND(AUTOEVENTO="Manual",$M460=1),0,IF(OFFSET(CRONOPLE!$F$14,$M460,BP$13)="",10^12,OFFSET(CRONOPLE!$F$14,$M460,BP$13))))</f>
        <v>1000000000000</v>
      </c>
      <c r="BQ460" s="181">
        <f ca="1">IF($D460&lt;&gt;"Serviço",0,IF(AND(AUTOEVENTO="Manual",$M460=1),0,IF(OFFSET(CRONOPLE!$F$14,$M460,BQ$13)="",10^12,OFFSET(CRONOPLE!$F$14,$M460,BQ$13))))</f>
        <v>1000000000000</v>
      </c>
      <c r="BR460" s="181">
        <f ca="1">IF($D460&lt;&gt;"Serviço",0,IF(AND(AUTOEVENTO="Manual",$M460=1),0,IF(OFFSET(CRONOPLE!$F$14,$M460,BR$13)="",10^12,OFFSET(CRONOPLE!$F$14,$M460,BR$13))))</f>
        <v>1000000000000</v>
      </c>
      <c r="BS460" s="181">
        <f ca="1">IF($D460&lt;&gt;"Serviço",0,IF(AND(AUTOEVENTO="Manual",$M460=1),0,IF(OFFSET(CRONOPLE!$F$14,$M460,BS$13)="",10^12,OFFSET(CRONOPLE!$F$14,$M460,BS$13))))</f>
        <v>1000000000000</v>
      </c>
      <c r="BT460" s="181">
        <f ca="1">IF($D460&lt;&gt;"Serviço",0,IF(AND(AUTOEVENTO="Manual",$M460=1),0,IF(OFFSET(CRONOPLE!$F$14,$M460,BT$13)="",10^12,OFFSET(CRONOPLE!$F$14,$M460,BT$13))))</f>
        <v>1000000000000</v>
      </c>
      <c r="BV460" s="182">
        <f ca="1">IF($D460&lt;&gt;"Serviço",0,IF(OR(AND(AUTOEVENTO="Manual",$M460=1),$M460&gt;(ROW(PLE.lastrow)-ROW(PLE.firstrow))),0,IF(OFFSET(PLE!$G$14,$M460,BV$13)="",10^12,OFFSET(PLE!$G$14,$M460,BV$13))))</f>
        <v>1000000000000</v>
      </c>
      <c r="BW460" s="182">
        <f ca="1">IF($D460&lt;&gt;"Serviço",0,IF(OR(AND(AUTOEVENTO="Manual",$M460=1),$M460&gt;(ROW(PLE.lastrow)-ROW(PLE.firstrow))),0,IF(OFFSET(PLE!$G$14,$M460,BW$13)="",10^12,OFFSET(PLE!$G$14,$M460,BW$13))))</f>
        <v>1000000000000</v>
      </c>
      <c r="BX460" s="182">
        <f ca="1">IF($D460&lt;&gt;"Serviço",0,IF(OR(AND(AUTOEVENTO="Manual",$M460=1),$M460&gt;(ROW(PLE.lastrow)-ROW(PLE.firstrow))),0,IF(OFFSET(PLE!$G$14,$M460,BX$13)="",10^12,OFFSET(PLE!$G$14,$M460,BX$13))))</f>
        <v>1000000000000</v>
      </c>
      <c r="BY460" s="182">
        <f ca="1">IF($D460&lt;&gt;"Serviço",0,IF(OR(AND(AUTOEVENTO="Manual",$M460=1),$M460&gt;(ROW(PLE.lastrow)-ROW(PLE.firstrow))),0,IF(OFFSET(PLE!$G$14,$M460,BY$13)="",10^12,OFFSET(PLE!$G$14,$M460,BY$13))))</f>
        <v>1000000000000</v>
      </c>
      <c r="BZ460" s="182">
        <f ca="1">IF($D460&lt;&gt;"Serviço",0,IF(OR(AND(AUTOEVENTO="Manual",$M460=1),$M460&gt;(ROW(PLE.lastrow)-ROW(PLE.firstrow))),0,IF(OFFSET(PLE!$G$14,$M460,BZ$13)="",10^12,OFFSET(PLE!$G$14,$M460,BZ$13))))</f>
        <v>1000000000000</v>
      </c>
      <c r="CA460" s="182">
        <f ca="1">IF($D460&lt;&gt;"Serviço",0,IF(OR(AND(AUTOEVENTO="Manual",$M460=1),$M460&gt;(ROW(PLE.lastrow)-ROW(PLE.firstrow))),0,IF(OFFSET(PLE!$G$14,$M460,CA$13)="",10^12,OFFSET(PLE!$G$14,$M460,CA$13))))</f>
        <v>1000000000000</v>
      </c>
      <c r="CB460" s="182">
        <f ca="1">IF($D460&lt;&gt;"Serviço",0,IF(OR(AND(AUTOEVENTO="Manual",$M460=1),$M460&gt;(ROW(PLE.lastrow)-ROW(PLE.firstrow))),0,IF(OFFSET(PLE!$G$14,$M460,CB$13)="",10^12,OFFSET(PLE!$G$14,$M460,CB$13))))</f>
        <v>1000000000000</v>
      </c>
      <c r="CC460" s="182">
        <f ca="1">IF($D460&lt;&gt;"Serviço",0,IF(OR(AND(AUTOEVENTO="Manual",$M460=1),$M460&gt;(ROW(PLE.lastrow)-ROW(PLE.firstrow))),0,IF(OFFSET(PLE!$G$14,$M460,CC$13)="",10^12,OFFSET(PLE!$G$14,$M460,CC$13))))</f>
        <v>1000000000000</v>
      </c>
      <c r="CD460" s="182">
        <f ca="1">IF($D460&lt;&gt;"Serviço",0,IF(OR(AND(AUTOEVENTO="Manual",$M460=1),$M460&gt;(ROW(PLE.lastrow)-ROW(PLE.firstrow))),0,IF(OFFSET(PLE!$G$14,$M460,CD$13)="",10^12,OFFSET(PLE!$G$14,$M460,CD$13))))</f>
        <v>1000000000000</v>
      </c>
      <c r="CE460" s="182">
        <f ca="1">IF($D460&lt;&gt;"Serviço",0,IF(OR(AND(AUTOEVENTO="Manual",$M460=1),$M460&gt;(ROW(PLE.lastrow)-ROW(PLE.firstrow))),0,IF(OFFSET(PLE!$G$14,$M460,CE$13)="",10^12,OFFSET(PLE!$G$14,$M460,CE$13))))</f>
        <v>1000000000000</v>
      </c>
      <c r="CF460" s="182">
        <f ca="1">IF($D460&lt;&gt;"Serviço",0,IF(OR(AND(AUTOEVENTO="Manual",$M460=1),$M460&gt;(ROW(PLE.lastrow)-ROW(PLE.firstrow))),0,IF(OFFSET(PLE!$G$14,$M460,CF$13)="",10^12,OFFSET(PLE!$G$14,$M460,CF$13))))</f>
        <v>1000000000000</v>
      </c>
      <c r="CG460" s="182">
        <f ca="1">IF($D460&lt;&gt;"Serviço",0,IF(OR(AND(AUTOEVENTO="Manual",$M460=1),$M460&gt;(ROW(PLE.lastrow)-ROW(PLE.firstrow))),0,IF(OFFSET(PLE!$G$14,$M460,CG$13)="",10^12,OFFSET(PLE!$G$14,$M460,CG$13))))</f>
        <v>1000000000000</v>
      </c>
      <c r="CH460" s="182">
        <f ca="1">IF($D460&lt;&gt;"Serviço",0,IF(OR(AND(AUTOEVENTO="Manual",$M460=1),$M460&gt;(ROW(PLE.lastrow)-ROW(PLE.firstrow))),0,IF(OFFSET(PLE!$G$14,$M460,CH$13)="",10^12,OFFSET(PLE!$G$14,$M460,CH$13))))</f>
        <v>1000000000000</v>
      </c>
      <c r="CI460" s="182">
        <f ca="1">IF($D460&lt;&gt;"Serviço",0,IF(OR(AND(AUTOEVENTO="Manual",$M460=1),$M460&gt;(ROW(PLE.lastrow)-ROW(PLE.firstrow))),0,IF(OFFSET(PLE!$G$14,$M460,CI$13)="",10^12,OFFSET(PLE!$G$14,$M460,CI$13))))</f>
        <v>1000000000000</v>
      </c>
      <c r="CJ460" s="182">
        <f ca="1">IF($D460&lt;&gt;"Serviço",0,IF(OR(AND(AUTOEVENTO="Manual",$M460=1),$M460&gt;(ROW(PLE.lastrow)-ROW(PLE.firstrow))),0,IF(OFFSET(PLE!$G$14,$M460,CJ$13)="",10^12,OFFSET(PLE!$G$14,$M460,CJ$13))))</f>
        <v>1000000000000</v>
      </c>
      <c r="CK460" s="182">
        <f ca="1">IF($D460&lt;&gt;"Serviço",0,IF(OR(AND(AUTOEVENTO="Manual",$M460=1),$M460&gt;(ROW(PLE.lastrow)-ROW(PLE.firstrow))),0,IF(OFFSET(PLE!$G$14,$M460,CK$13)="",10^12,OFFSET(PLE!$G$14,$M460,CK$13))))</f>
        <v>1000000000000</v>
      </c>
      <c r="CL460" s="182">
        <f ca="1">IF($D460&lt;&gt;"Serviço",0,IF(OR(AND(AUTOEVENTO="Manual",$M460=1),$M460&gt;(ROW(PLE.lastrow)-ROW(PLE.firstrow))),0,IF(OFFSET(PLE!$G$14,$M460,CL$13)="",10^12,OFFSET(PLE!$G$14,$M460,CL$13))))</f>
        <v>1000000000000</v>
      </c>
      <c r="CM460" s="182">
        <f ca="1">IF($D460&lt;&gt;"Serviço",0,IF(OR(AND(AUTOEVENTO="Manual",$M460=1),$M460&gt;(ROW(PLE.lastrow)-ROW(PLE.firstrow))),0,IF(OFFSET(PLE!$G$14,$M460,CM$13)="",10^12,OFFSET(PLE!$G$14,$M460,CM$13))))</f>
        <v>1000000000000</v>
      </c>
    </row>
    <row r="461" spans="1:91" ht="38.25" x14ac:dyDescent="0.2">
      <c r="A461" s="7" t="str">
        <f t="shared" ca="1" si="12"/>
        <v>421</v>
      </c>
      <c r="B461" s="7" t="str">
        <f ca="1">OFFSET(ORÇAMENTO!C$15,ROW(B461)-ROW(B$15),0)</f>
        <v>S</v>
      </c>
      <c r="C461" s="7" t="str">
        <f ca="1">OFFSET(ORÇAMENTO!L$15,ROW(C461)-ROW(C$15),0)</f>
        <v/>
      </c>
      <c r="D461" s="118" t="str">
        <f ca="1">OFFSET(ORÇAMENTO!N$15,ROW(D461)-ROW(D$15),0)</f>
        <v>Serviço</v>
      </c>
      <c r="E461" s="119" t="str">
        <f ca="1">OFFSET(ORÇAMENTO!O$15,ROW(E461)-ROW(E$15),0)</f>
        <v>-</v>
      </c>
      <c r="F461" s="172" t="str">
        <f ca="1">OFFSET(ORÇAMENTO!R$15,ROW(F461)-ROW(F$15),0)</f>
        <v>(abra o arquivo 'Referência 06-2024.xlsm)</v>
      </c>
      <c r="G461" s="173" t="str">
        <f ca="1">IF($D461&lt;&gt;"Serviço","",OFFSET(ORÇAMENTO!S$15,ROW(G461)-ROW(G$15),0))</f>
        <v>-</v>
      </c>
      <c r="H461" s="124">
        <f ca="1">IF($D461&lt;&gt;"Serviço",0,IF(ACOMPANHAMENTO="BM",ROUND(OFFSET(ORÇAMENTO!AJ$15,ROW(H461)-ROW(H$15),0),15-13*ORÇAMENTO!$AF$7),SUMPRODUCT(($Q$12:$AI$12&lt;&gt;"")*ROUND($Q461:$AI461,15-13*ORÇAMENTO!$AF$7))))</f>
        <v>1</v>
      </c>
      <c r="I461" s="561" t="s">
        <v>1107</v>
      </c>
      <c r="K461" s="174"/>
      <c r="L461" s="175" t="s">
        <v>255</v>
      </c>
      <c r="M461" s="176">
        <f ca="1">IF($D461&lt;&gt;"Serviço","",IF(AUTOEVENTO="manual",$A461,IF(ISERROR(MATCH($A461,$A$15:OFFSET($A461,-1,0),0)),MAX($M$15:OFFSET(M461,-1,0))+1,INDEX($M$15:OFFSET(M461,-1,0),MATCH($A461,$A$15:OFFSET($A461,-1,0),0)))))</f>
        <v>49</v>
      </c>
      <c r="N461" s="177" t="str">
        <f ca="1">IF($D461&lt;&gt;"Serviço","",IF(AUTOEVENTO="Manual",IF($A461=0,"&lt;-- defina o número do agrupador",OFFSET(EVENTOS!$D$14,$A461,0)),OFFSET($F$15,$A461,0)))</f>
        <v>SISTEMA DE PROTEÇÃO CONTRA INCÊNDIO - TUBULAÇÕES E CONEXÕES</v>
      </c>
      <c r="O461" s="178"/>
      <c r="Q461" s="178">
        <v>1</v>
      </c>
      <c r="R461" s="179"/>
      <c r="S461" s="179"/>
      <c r="T461" s="179"/>
      <c r="U461" s="179"/>
      <c r="V461" s="179"/>
      <c r="W461" s="179"/>
      <c r="X461" s="179"/>
      <c r="Y461" s="179"/>
      <c r="Z461" s="180"/>
      <c r="AA461" s="179"/>
      <c r="AB461" s="179"/>
      <c r="AC461" s="179"/>
      <c r="AD461" s="179"/>
      <c r="AE461" s="179"/>
      <c r="AF461" s="179"/>
      <c r="AG461" s="179"/>
      <c r="AH461" s="180"/>
      <c r="AJ461" s="544">
        <f ca="1">IF(AND($D461="Serviço",AJ$12&lt;&gt;0,$H461&gt;0,OR(AUTOEVENTO&lt;&gt;"manual",$M461&lt;&gt;1)),
IF(Import.TipoArredondamento&lt;&gt;"TransfereGOV",
ROUND(OFFSET($P461,0,AJ$13),15-13*ORÇAMENTO!$AF$7)/$H461*OFFSET(ORÇAMENTO!$X$15,ROW(AJ461)-ROW(AJ$15),0),
ROUND(ROUND(OFFSET($P461,0,AJ$13),15-13*ORÇAMENTO!$AF$7)*OFFSET(ORÇAMENTO!$W$15,ROW(AJ461)-ROW(AJ$15),0),15-13*ORÇAMENTO!$AF$11)),0)</f>
        <v>0</v>
      </c>
      <c r="AK461" s="545">
        <f ca="1">IF(AND($D461="Serviço",AK$12&lt;&gt;0,$H461&gt;0,OR(AUTOEVENTO&lt;&gt;"manual",$M461&lt;&gt;1)),
IF(Import.TipoArredondamento&lt;&gt;"TransfereGOV",
ROUND(OFFSET($P461,0,AK$13),15-13*ORÇAMENTO!$AF$7)/$H461*OFFSET(ORÇAMENTO!$X$15,ROW(AK461)-ROW(AK$15),0),
ROUND(ROUND(OFFSET($P461,0,AK$13),15-13*ORÇAMENTO!$AF$7)*OFFSET(ORÇAMENTO!$W$15,ROW(AK461)-ROW(AK$15),0),15-13*ORÇAMENTO!$AF$11)),0)</f>
        <v>0</v>
      </c>
      <c r="AL461" s="545">
        <f ca="1">IF(AND($D461="Serviço",AL$12&lt;&gt;0,$H461&gt;0,OR(AUTOEVENTO&lt;&gt;"manual",$M461&lt;&gt;1)),
IF(Import.TipoArredondamento&lt;&gt;"TransfereGOV",
ROUND(OFFSET($P461,0,AL$13),15-13*ORÇAMENTO!$AF$7)/$H461*OFFSET(ORÇAMENTO!$X$15,ROW(AL461)-ROW(AL$15),0),
ROUND(ROUND(OFFSET($P461,0,AL$13),15-13*ORÇAMENTO!$AF$7)*OFFSET(ORÇAMENTO!$W$15,ROW(AL461)-ROW(AL$15),0),15-13*ORÇAMENTO!$AF$11)),0)</f>
        <v>0</v>
      </c>
      <c r="AM461" s="545">
        <f ca="1">IF(AND($D461="Serviço",AM$12&lt;&gt;0,$H461&gt;0,OR(AUTOEVENTO&lt;&gt;"manual",$M461&lt;&gt;1)),
IF(Import.TipoArredondamento&lt;&gt;"TransfereGOV",
ROUND(OFFSET($P461,0,AM$13),15-13*ORÇAMENTO!$AF$7)/$H461*OFFSET(ORÇAMENTO!$X$15,ROW(AM461)-ROW(AM$15),0),
ROUND(ROUND(OFFSET($P461,0,AM$13),15-13*ORÇAMENTO!$AF$7)*OFFSET(ORÇAMENTO!$W$15,ROW(AM461)-ROW(AM$15),0),15-13*ORÇAMENTO!$AF$11)),0)</f>
        <v>0</v>
      </c>
      <c r="AN461" s="545">
        <f ca="1">IF(AND($D461="Serviço",AN$12&lt;&gt;0,$H461&gt;0,OR(AUTOEVENTO&lt;&gt;"manual",$M461&lt;&gt;1)),
IF(Import.TipoArredondamento&lt;&gt;"TransfereGOV",
ROUND(OFFSET($P461,0,AN$13),15-13*ORÇAMENTO!$AF$7)/$H461*OFFSET(ORÇAMENTO!$X$15,ROW(AN461)-ROW(AN$15),0),
ROUND(ROUND(OFFSET($P461,0,AN$13),15-13*ORÇAMENTO!$AF$7)*OFFSET(ORÇAMENTO!$W$15,ROW(AN461)-ROW(AN$15),0),15-13*ORÇAMENTO!$AF$11)),0)</f>
        <v>0</v>
      </c>
      <c r="AO461" s="545">
        <f ca="1">IF(AND($D461="Serviço",AO$12&lt;&gt;0,$H461&gt;0,OR(AUTOEVENTO&lt;&gt;"manual",$M461&lt;&gt;1)),
IF(Import.TipoArredondamento&lt;&gt;"TransfereGOV",
ROUND(OFFSET($P461,0,AO$13),15-13*ORÇAMENTO!$AF$7)/$H461*OFFSET(ORÇAMENTO!$X$15,ROW(AO461)-ROW(AO$15),0),
ROUND(ROUND(OFFSET($P461,0,AO$13),15-13*ORÇAMENTO!$AF$7)*OFFSET(ORÇAMENTO!$W$15,ROW(AO461)-ROW(AO$15),0),15-13*ORÇAMENTO!$AF$11)),0)</f>
        <v>0</v>
      </c>
      <c r="AP461" s="545">
        <f ca="1">IF(AND($D461="Serviço",AP$12&lt;&gt;0,$H461&gt;0,OR(AUTOEVENTO&lt;&gt;"manual",$M461&lt;&gt;1)),
IF(Import.TipoArredondamento&lt;&gt;"TransfereGOV",
ROUND(OFFSET($P461,0,AP$13),15-13*ORÇAMENTO!$AF$7)/$H461*OFFSET(ORÇAMENTO!$X$15,ROW(AP461)-ROW(AP$15),0),
ROUND(ROUND(OFFSET($P461,0,AP$13),15-13*ORÇAMENTO!$AF$7)*OFFSET(ORÇAMENTO!$W$15,ROW(AP461)-ROW(AP$15),0),15-13*ORÇAMENTO!$AF$11)),0)</f>
        <v>0</v>
      </c>
      <c r="AQ461" s="545">
        <f ca="1">IF(AND($D461="Serviço",AQ$12&lt;&gt;0,$H461&gt;0,OR(AUTOEVENTO&lt;&gt;"manual",$M461&lt;&gt;1)),
IF(Import.TipoArredondamento&lt;&gt;"TransfereGOV",
ROUND(OFFSET($P461,0,AQ$13),15-13*ORÇAMENTO!$AF$7)/$H461*OFFSET(ORÇAMENTO!$X$15,ROW(AQ461)-ROW(AQ$15),0),
ROUND(ROUND(OFFSET($P461,0,AQ$13),15-13*ORÇAMENTO!$AF$7)*OFFSET(ORÇAMENTO!$W$15,ROW(AQ461)-ROW(AQ$15),0),15-13*ORÇAMENTO!$AF$11)),0)</f>
        <v>0</v>
      </c>
      <c r="AR461" s="545">
        <f ca="1">IF(AND($D461="Serviço",AR$12&lt;&gt;0,$H461&gt;0,OR(AUTOEVENTO&lt;&gt;"manual",$M461&lt;&gt;1)),
IF(Import.TipoArredondamento&lt;&gt;"TransfereGOV",
ROUND(OFFSET($P461,0,AR$13),15-13*ORÇAMENTO!$AF$7)/$H461*OFFSET(ORÇAMENTO!$X$15,ROW(AR461)-ROW(AR$15),0),
ROUND(ROUND(OFFSET($P461,0,AR$13),15-13*ORÇAMENTO!$AF$7)*OFFSET(ORÇAMENTO!$W$15,ROW(AR461)-ROW(AR$15),0),15-13*ORÇAMENTO!$AF$11)),0)</f>
        <v>0</v>
      </c>
      <c r="AS461" s="546">
        <f ca="1">IF(AND($D461="Serviço",AS$12&lt;&gt;0,$H461&gt;0,OR(AUTOEVENTO&lt;&gt;"manual",$M461&lt;&gt;1)),
IF(Import.TipoArredondamento&lt;&gt;"TransfereGOV",
ROUND(OFFSET($P461,0,AS$13),15-13*ORÇAMENTO!$AF$7)/$H461*OFFSET(ORÇAMENTO!$X$15,ROW(AS461)-ROW(AS$15),0),
ROUND(ROUND(OFFSET($P461,0,AS$13),15-13*ORÇAMENTO!$AF$7)*OFFSET(ORÇAMENTO!$W$15,ROW(AS461)-ROW(AS$15),0),15-13*ORÇAMENTO!$AF$11)),0)</f>
        <v>0</v>
      </c>
      <c r="AT461" s="545">
        <f ca="1">IF(AND($D461="Serviço",AT$12&lt;&gt;0,$H461&gt;0,OR(AUTOEVENTO&lt;&gt;"manual",$M461&lt;&gt;1)),
IF(Import.TipoArredondamento&lt;&gt;"TransfereGOV",
ROUND(OFFSET($P461,0,AT$13),15-13*ORÇAMENTO!$AF$7)/$H461*OFFSET(ORÇAMENTO!$X$15,ROW(AT461)-ROW(AT$15),0),
ROUND(ROUND(OFFSET($P461,0,AT$13),15-13*ORÇAMENTO!$AF$7)*OFFSET(ORÇAMENTO!$W$15,ROW(AT461)-ROW(AT$15),0),15-13*ORÇAMENTO!$AF$11)),0)</f>
        <v>0</v>
      </c>
      <c r="AU461" s="545">
        <f ca="1">IF(AND($D461="Serviço",AU$12&lt;&gt;0,$H461&gt;0,OR(AUTOEVENTO&lt;&gt;"manual",$M461&lt;&gt;1)),
IF(Import.TipoArredondamento&lt;&gt;"TransfereGOV",
ROUND(OFFSET($P461,0,AU$13),15-13*ORÇAMENTO!$AF$7)/$H461*OFFSET(ORÇAMENTO!$X$15,ROW(AU461)-ROW(AU$15),0),
ROUND(ROUND(OFFSET($P461,0,AU$13),15-13*ORÇAMENTO!$AF$7)*OFFSET(ORÇAMENTO!$W$15,ROW(AU461)-ROW(AU$15),0),15-13*ORÇAMENTO!$AF$11)),0)</f>
        <v>0</v>
      </c>
      <c r="AV461" s="545">
        <f ca="1">IF(AND($D461="Serviço",AV$12&lt;&gt;0,$H461&gt;0,OR(AUTOEVENTO&lt;&gt;"manual",$M461&lt;&gt;1)),
IF(Import.TipoArredondamento&lt;&gt;"TransfereGOV",
ROUND(OFFSET($P461,0,AV$13),15-13*ORÇAMENTO!$AF$7)/$H461*OFFSET(ORÇAMENTO!$X$15,ROW(AV461)-ROW(AV$15),0),
ROUND(ROUND(OFFSET($P461,0,AV$13),15-13*ORÇAMENTO!$AF$7)*OFFSET(ORÇAMENTO!$W$15,ROW(AV461)-ROW(AV$15),0),15-13*ORÇAMENTO!$AF$11)),0)</f>
        <v>0</v>
      </c>
      <c r="AW461" s="545">
        <f ca="1">IF(AND($D461="Serviço",AW$12&lt;&gt;0,$H461&gt;0,OR(AUTOEVENTO&lt;&gt;"manual",$M461&lt;&gt;1)),
IF(Import.TipoArredondamento&lt;&gt;"TransfereGOV",
ROUND(OFFSET($P461,0,AW$13),15-13*ORÇAMENTO!$AF$7)/$H461*OFFSET(ORÇAMENTO!$X$15,ROW(AW461)-ROW(AW$15),0),
ROUND(ROUND(OFFSET($P461,0,AW$13),15-13*ORÇAMENTO!$AF$7)*OFFSET(ORÇAMENTO!$W$15,ROW(AW461)-ROW(AW$15),0),15-13*ORÇAMENTO!$AF$11)),0)</f>
        <v>0</v>
      </c>
      <c r="AX461" s="545">
        <f ca="1">IF(AND($D461="Serviço",AX$12&lt;&gt;0,$H461&gt;0,OR(AUTOEVENTO&lt;&gt;"manual",$M461&lt;&gt;1)),
IF(Import.TipoArredondamento&lt;&gt;"TransfereGOV",
ROUND(OFFSET($P461,0,AX$13),15-13*ORÇAMENTO!$AF$7)/$H461*OFFSET(ORÇAMENTO!$X$15,ROW(AX461)-ROW(AX$15),0),
ROUND(ROUND(OFFSET($P461,0,AX$13),15-13*ORÇAMENTO!$AF$7)*OFFSET(ORÇAMENTO!$W$15,ROW(AX461)-ROW(AX$15),0),15-13*ORÇAMENTO!$AF$11)),0)</f>
        <v>0</v>
      </c>
      <c r="AY461" s="545">
        <f ca="1">IF(AND($D461="Serviço",AY$12&lt;&gt;0,$H461&gt;0,OR(AUTOEVENTO&lt;&gt;"manual",$M461&lt;&gt;1)),
IF(Import.TipoArredondamento&lt;&gt;"TransfereGOV",
ROUND(OFFSET($P461,0,AY$13),15-13*ORÇAMENTO!$AF$7)/$H461*OFFSET(ORÇAMENTO!$X$15,ROW(AY461)-ROW(AY$15),0),
ROUND(ROUND(OFFSET($P461,0,AY$13),15-13*ORÇAMENTO!$AF$7)*OFFSET(ORÇAMENTO!$W$15,ROW(AY461)-ROW(AY$15),0),15-13*ORÇAMENTO!$AF$11)),0)</f>
        <v>0</v>
      </c>
      <c r="AZ461" s="545">
        <f ca="1">IF(AND($D461="Serviço",AZ$12&lt;&gt;0,$H461&gt;0,OR(AUTOEVENTO&lt;&gt;"manual",$M461&lt;&gt;1)),
IF(Import.TipoArredondamento&lt;&gt;"TransfereGOV",
ROUND(OFFSET($P461,0,AZ$13),15-13*ORÇAMENTO!$AF$7)/$H461*OFFSET(ORÇAMENTO!$X$15,ROW(AZ461)-ROW(AZ$15),0),
ROUND(ROUND(OFFSET($P461,0,AZ$13),15-13*ORÇAMENTO!$AF$7)*OFFSET(ORÇAMENTO!$W$15,ROW(AZ461)-ROW(AZ$15),0),15-13*ORÇAMENTO!$AF$11)),0)</f>
        <v>0</v>
      </c>
      <c r="BA461" s="546">
        <f ca="1">IF(AND($D461="Serviço",BA$12&lt;&gt;0,$H461&gt;0,OR(AUTOEVENTO&lt;&gt;"manual",$M461&lt;&gt;1)),
IF(Import.TipoArredondamento&lt;&gt;"TransfereGOV",
ROUND(OFFSET($P461,0,BA$13),15-13*ORÇAMENTO!$AF$7)/$H461*OFFSET(ORÇAMENTO!$X$15,ROW(BA461)-ROW(BA$15),0),
ROUND(ROUND(OFFSET($P461,0,BA$13),15-13*ORÇAMENTO!$AF$7)*OFFSET(ORÇAMENTO!$W$15,ROW(BA461)-ROW(BA$15),0),15-13*ORÇAMENTO!$AF$11)),0)</f>
        <v>0</v>
      </c>
      <c r="BC461" s="181">
        <f ca="1">IF($D461&lt;&gt;"Serviço",0,IF(AND(AUTOEVENTO="Manual",$M461=1),0,IF(OFFSET(CRONOPLE!$F$14,$M461,BC$13)="",10^12,OFFSET(CRONOPLE!$F$14,$M461,BC$13))))</f>
        <v>10</v>
      </c>
      <c r="BD461" s="181">
        <f ca="1">IF($D461&lt;&gt;"Serviço",0,IF(AND(AUTOEVENTO="Manual",$M461=1),0,IF(OFFSET(CRONOPLE!$F$14,$M461,BD$13)="",10^12,OFFSET(CRONOPLE!$F$14,$M461,BD$13))))</f>
        <v>1000000000000</v>
      </c>
      <c r="BE461" s="181">
        <f ca="1">IF($D461&lt;&gt;"Serviço",0,IF(AND(AUTOEVENTO="Manual",$M461=1),0,IF(OFFSET(CRONOPLE!$F$14,$M461,BE$13)="",10^12,OFFSET(CRONOPLE!$F$14,$M461,BE$13))))</f>
        <v>1000000000000</v>
      </c>
      <c r="BF461" s="181">
        <f ca="1">IF($D461&lt;&gt;"Serviço",0,IF(AND(AUTOEVENTO="Manual",$M461=1),0,IF(OFFSET(CRONOPLE!$F$14,$M461,BF$13)="",10^12,OFFSET(CRONOPLE!$F$14,$M461,BF$13))))</f>
        <v>1000000000000</v>
      </c>
      <c r="BG461" s="181">
        <f ca="1">IF($D461&lt;&gt;"Serviço",0,IF(AND(AUTOEVENTO="Manual",$M461=1),0,IF(OFFSET(CRONOPLE!$F$14,$M461,BG$13)="",10^12,OFFSET(CRONOPLE!$F$14,$M461,BG$13))))</f>
        <v>1000000000000</v>
      </c>
      <c r="BH461" s="181">
        <f ca="1">IF($D461&lt;&gt;"Serviço",0,IF(AND(AUTOEVENTO="Manual",$M461=1),0,IF(OFFSET(CRONOPLE!$F$14,$M461,BH$13)="",10^12,OFFSET(CRONOPLE!$F$14,$M461,BH$13))))</f>
        <v>1000000000000</v>
      </c>
      <c r="BI461" s="181">
        <f ca="1">IF($D461&lt;&gt;"Serviço",0,IF(AND(AUTOEVENTO="Manual",$M461=1),0,IF(OFFSET(CRONOPLE!$F$14,$M461,BI$13)="",10^12,OFFSET(CRONOPLE!$F$14,$M461,BI$13))))</f>
        <v>1000000000000</v>
      </c>
      <c r="BJ461" s="181">
        <f ca="1">IF($D461&lt;&gt;"Serviço",0,IF(AND(AUTOEVENTO="Manual",$M461=1),0,IF(OFFSET(CRONOPLE!$F$14,$M461,BJ$13)="",10^12,OFFSET(CRONOPLE!$F$14,$M461,BJ$13))))</f>
        <v>1000000000000</v>
      </c>
      <c r="BK461" s="181">
        <f ca="1">IF($D461&lt;&gt;"Serviço",0,IF(AND(AUTOEVENTO="Manual",$M461=1),0,IF(OFFSET(CRONOPLE!$F$14,$M461,BK$13)="",10^12,OFFSET(CRONOPLE!$F$14,$M461,BK$13))))</f>
        <v>1000000000000</v>
      </c>
      <c r="BL461" s="181">
        <f ca="1">IF($D461&lt;&gt;"Serviço",0,IF(AND(AUTOEVENTO="Manual",$M461=1),0,IF(OFFSET(CRONOPLE!$F$14,$M461,BL$13)="",10^12,OFFSET(CRONOPLE!$F$14,$M461,BL$13))))</f>
        <v>1000000000000</v>
      </c>
      <c r="BM461" s="181">
        <f ca="1">IF($D461&lt;&gt;"Serviço",0,IF(AND(AUTOEVENTO="Manual",$M461=1),0,IF(OFFSET(CRONOPLE!$F$14,$M461,BM$13)="",10^12,OFFSET(CRONOPLE!$F$14,$M461,BM$13))))</f>
        <v>1000000000000</v>
      </c>
      <c r="BN461" s="181">
        <f ca="1">IF($D461&lt;&gt;"Serviço",0,IF(AND(AUTOEVENTO="Manual",$M461=1),0,IF(OFFSET(CRONOPLE!$F$14,$M461,BN$13)="",10^12,OFFSET(CRONOPLE!$F$14,$M461,BN$13))))</f>
        <v>1000000000000</v>
      </c>
      <c r="BO461" s="181">
        <f ca="1">IF($D461&lt;&gt;"Serviço",0,IF(AND(AUTOEVENTO="Manual",$M461=1),0,IF(OFFSET(CRONOPLE!$F$14,$M461,BO$13)="",10^12,OFFSET(CRONOPLE!$F$14,$M461,BO$13))))</f>
        <v>1000000000000</v>
      </c>
      <c r="BP461" s="181">
        <f ca="1">IF($D461&lt;&gt;"Serviço",0,IF(AND(AUTOEVENTO="Manual",$M461=1),0,IF(OFFSET(CRONOPLE!$F$14,$M461,BP$13)="",10^12,OFFSET(CRONOPLE!$F$14,$M461,BP$13))))</f>
        <v>1000000000000</v>
      </c>
      <c r="BQ461" s="181">
        <f ca="1">IF($D461&lt;&gt;"Serviço",0,IF(AND(AUTOEVENTO="Manual",$M461=1),0,IF(OFFSET(CRONOPLE!$F$14,$M461,BQ$13)="",10^12,OFFSET(CRONOPLE!$F$14,$M461,BQ$13))))</f>
        <v>1000000000000</v>
      </c>
      <c r="BR461" s="181">
        <f ca="1">IF($D461&lt;&gt;"Serviço",0,IF(AND(AUTOEVENTO="Manual",$M461=1),0,IF(OFFSET(CRONOPLE!$F$14,$M461,BR$13)="",10^12,OFFSET(CRONOPLE!$F$14,$M461,BR$13))))</f>
        <v>1000000000000</v>
      </c>
      <c r="BS461" s="181">
        <f ca="1">IF($D461&lt;&gt;"Serviço",0,IF(AND(AUTOEVENTO="Manual",$M461=1),0,IF(OFFSET(CRONOPLE!$F$14,$M461,BS$13)="",10^12,OFFSET(CRONOPLE!$F$14,$M461,BS$13))))</f>
        <v>1000000000000</v>
      </c>
      <c r="BT461" s="181">
        <f ca="1">IF($D461&lt;&gt;"Serviço",0,IF(AND(AUTOEVENTO="Manual",$M461=1),0,IF(OFFSET(CRONOPLE!$F$14,$M461,BT$13)="",10^12,OFFSET(CRONOPLE!$F$14,$M461,BT$13))))</f>
        <v>1000000000000</v>
      </c>
      <c r="BV461" s="182">
        <f ca="1">IF($D461&lt;&gt;"Serviço",0,IF(OR(AND(AUTOEVENTO="Manual",$M461=1),$M461&gt;(ROW(PLE.lastrow)-ROW(PLE.firstrow))),0,IF(OFFSET(PLE!$G$14,$M461,BV$13)="",10^12,OFFSET(PLE!$G$14,$M461,BV$13))))</f>
        <v>1000000000000</v>
      </c>
      <c r="BW461" s="182">
        <f ca="1">IF($D461&lt;&gt;"Serviço",0,IF(OR(AND(AUTOEVENTO="Manual",$M461=1),$M461&gt;(ROW(PLE.lastrow)-ROW(PLE.firstrow))),0,IF(OFFSET(PLE!$G$14,$M461,BW$13)="",10^12,OFFSET(PLE!$G$14,$M461,BW$13))))</f>
        <v>1000000000000</v>
      </c>
      <c r="BX461" s="182">
        <f ca="1">IF($D461&lt;&gt;"Serviço",0,IF(OR(AND(AUTOEVENTO="Manual",$M461=1),$M461&gt;(ROW(PLE.lastrow)-ROW(PLE.firstrow))),0,IF(OFFSET(PLE!$G$14,$M461,BX$13)="",10^12,OFFSET(PLE!$G$14,$M461,BX$13))))</f>
        <v>1000000000000</v>
      </c>
      <c r="BY461" s="182">
        <f ca="1">IF($D461&lt;&gt;"Serviço",0,IF(OR(AND(AUTOEVENTO="Manual",$M461=1),$M461&gt;(ROW(PLE.lastrow)-ROW(PLE.firstrow))),0,IF(OFFSET(PLE!$G$14,$M461,BY$13)="",10^12,OFFSET(PLE!$G$14,$M461,BY$13))))</f>
        <v>1000000000000</v>
      </c>
      <c r="BZ461" s="182">
        <f ca="1">IF($D461&lt;&gt;"Serviço",0,IF(OR(AND(AUTOEVENTO="Manual",$M461=1),$M461&gt;(ROW(PLE.lastrow)-ROW(PLE.firstrow))),0,IF(OFFSET(PLE!$G$14,$M461,BZ$13)="",10^12,OFFSET(PLE!$G$14,$M461,BZ$13))))</f>
        <v>1000000000000</v>
      </c>
      <c r="CA461" s="182">
        <f ca="1">IF($D461&lt;&gt;"Serviço",0,IF(OR(AND(AUTOEVENTO="Manual",$M461=1),$M461&gt;(ROW(PLE.lastrow)-ROW(PLE.firstrow))),0,IF(OFFSET(PLE!$G$14,$M461,CA$13)="",10^12,OFFSET(PLE!$G$14,$M461,CA$13))))</f>
        <v>1000000000000</v>
      </c>
      <c r="CB461" s="182">
        <f ca="1">IF($D461&lt;&gt;"Serviço",0,IF(OR(AND(AUTOEVENTO="Manual",$M461=1),$M461&gt;(ROW(PLE.lastrow)-ROW(PLE.firstrow))),0,IF(OFFSET(PLE!$G$14,$M461,CB$13)="",10^12,OFFSET(PLE!$G$14,$M461,CB$13))))</f>
        <v>1000000000000</v>
      </c>
      <c r="CC461" s="182">
        <f ca="1">IF($D461&lt;&gt;"Serviço",0,IF(OR(AND(AUTOEVENTO="Manual",$M461=1),$M461&gt;(ROW(PLE.lastrow)-ROW(PLE.firstrow))),0,IF(OFFSET(PLE!$G$14,$M461,CC$13)="",10^12,OFFSET(PLE!$G$14,$M461,CC$13))))</f>
        <v>1000000000000</v>
      </c>
      <c r="CD461" s="182">
        <f ca="1">IF($D461&lt;&gt;"Serviço",0,IF(OR(AND(AUTOEVENTO="Manual",$M461=1),$M461&gt;(ROW(PLE.lastrow)-ROW(PLE.firstrow))),0,IF(OFFSET(PLE!$G$14,$M461,CD$13)="",10^12,OFFSET(PLE!$G$14,$M461,CD$13))))</f>
        <v>1000000000000</v>
      </c>
      <c r="CE461" s="182">
        <f ca="1">IF($D461&lt;&gt;"Serviço",0,IF(OR(AND(AUTOEVENTO="Manual",$M461=1),$M461&gt;(ROW(PLE.lastrow)-ROW(PLE.firstrow))),0,IF(OFFSET(PLE!$G$14,$M461,CE$13)="",10^12,OFFSET(PLE!$G$14,$M461,CE$13))))</f>
        <v>1000000000000</v>
      </c>
      <c r="CF461" s="182">
        <f ca="1">IF($D461&lt;&gt;"Serviço",0,IF(OR(AND(AUTOEVENTO="Manual",$M461=1),$M461&gt;(ROW(PLE.lastrow)-ROW(PLE.firstrow))),0,IF(OFFSET(PLE!$G$14,$M461,CF$13)="",10^12,OFFSET(PLE!$G$14,$M461,CF$13))))</f>
        <v>1000000000000</v>
      </c>
      <c r="CG461" s="182">
        <f ca="1">IF($D461&lt;&gt;"Serviço",0,IF(OR(AND(AUTOEVENTO="Manual",$M461=1),$M461&gt;(ROW(PLE.lastrow)-ROW(PLE.firstrow))),0,IF(OFFSET(PLE!$G$14,$M461,CG$13)="",10^12,OFFSET(PLE!$G$14,$M461,CG$13))))</f>
        <v>1000000000000</v>
      </c>
      <c r="CH461" s="182">
        <f ca="1">IF($D461&lt;&gt;"Serviço",0,IF(OR(AND(AUTOEVENTO="Manual",$M461=1),$M461&gt;(ROW(PLE.lastrow)-ROW(PLE.firstrow))),0,IF(OFFSET(PLE!$G$14,$M461,CH$13)="",10^12,OFFSET(PLE!$G$14,$M461,CH$13))))</f>
        <v>1000000000000</v>
      </c>
      <c r="CI461" s="182">
        <f ca="1">IF($D461&lt;&gt;"Serviço",0,IF(OR(AND(AUTOEVENTO="Manual",$M461=1),$M461&gt;(ROW(PLE.lastrow)-ROW(PLE.firstrow))),0,IF(OFFSET(PLE!$G$14,$M461,CI$13)="",10^12,OFFSET(PLE!$G$14,$M461,CI$13))))</f>
        <v>1000000000000</v>
      </c>
      <c r="CJ461" s="182">
        <f ca="1">IF($D461&lt;&gt;"Serviço",0,IF(OR(AND(AUTOEVENTO="Manual",$M461=1),$M461&gt;(ROW(PLE.lastrow)-ROW(PLE.firstrow))),0,IF(OFFSET(PLE!$G$14,$M461,CJ$13)="",10^12,OFFSET(PLE!$G$14,$M461,CJ$13))))</f>
        <v>1000000000000</v>
      </c>
      <c r="CK461" s="182">
        <f ca="1">IF($D461&lt;&gt;"Serviço",0,IF(OR(AND(AUTOEVENTO="Manual",$M461=1),$M461&gt;(ROW(PLE.lastrow)-ROW(PLE.firstrow))),0,IF(OFFSET(PLE!$G$14,$M461,CK$13)="",10^12,OFFSET(PLE!$G$14,$M461,CK$13))))</f>
        <v>1000000000000</v>
      </c>
      <c r="CL461" s="182">
        <f ca="1">IF($D461&lt;&gt;"Serviço",0,IF(OR(AND(AUTOEVENTO="Manual",$M461=1),$M461&gt;(ROW(PLE.lastrow)-ROW(PLE.firstrow))),0,IF(OFFSET(PLE!$G$14,$M461,CL$13)="",10^12,OFFSET(PLE!$G$14,$M461,CL$13))))</f>
        <v>1000000000000</v>
      </c>
      <c r="CM461" s="182">
        <f ca="1">IF($D461&lt;&gt;"Serviço",0,IF(OR(AND(AUTOEVENTO="Manual",$M461=1),$M461&gt;(ROW(PLE.lastrow)-ROW(PLE.firstrow))),0,IF(OFFSET(PLE!$G$14,$M461,CM$13)="",10^12,OFFSET(PLE!$G$14,$M461,CM$13))))</f>
        <v>1000000000000</v>
      </c>
    </row>
    <row r="462" spans="1:91" ht="38.25" x14ac:dyDescent="0.2">
      <c r="A462" s="7" t="str">
        <f t="shared" ca="1" si="12"/>
        <v>421</v>
      </c>
      <c r="B462" s="7" t="str">
        <f ca="1">OFFSET(ORÇAMENTO!C$15,ROW(B462)-ROW(B$15),0)</f>
        <v>S</v>
      </c>
      <c r="C462" s="7" t="str">
        <f ca="1">OFFSET(ORÇAMENTO!L$15,ROW(C462)-ROW(C$15),0)</f>
        <v/>
      </c>
      <c r="D462" s="118" t="str">
        <f ca="1">OFFSET(ORÇAMENTO!N$15,ROW(D462)-ROW(D$15),0)</f>
        <v>Serviço</v>
      </c>
      <c r="E462" s="119" t="str">
        <f ca="1">OFFSET(ORÇAMENTO!O$15,ROW(E462)-ROW(E$15),0)</f>
        <v>-</v>
      </c>
      <c r="F462" s="172" t="str">
        <f ca="1">OFFSET(ORÇAMENTO!R$15,ROW(F462)-ROW(F$15),0)</f>
        <v>(abra o arquivo 'Referência 06-2024.xlsm)</v>
      </c>
      <c r="G462" s="173" t="str">
        <f ca="1">IF($D462&lt;&gt;"Serviço","",OFFSET(ORÇAMENTO!S$15,ROW(G462)-ROW(G$15),0))</f>
        <v>-</v>
      </c>
      <c r="H462" s="124">
        <f ca="1">IF($D462&lt;&gt;"Serviço",0,IF(ACOMPANHAMENTO="BM",ROUND(OFFSET(ORÇAMENTO!AJ$15,ROW(H462)-ROW(H$15),0),15-13*ORÇAMENTO!$AF$7),SUMPRODUCT(($Q$12:$AI$12&lt;&gt;"")*ROUND($Q462:$AI462,15-13*ORÇAMENTO!$AF$7))))</f>
        <v>1</v>
      </c>
      <c r="I462" s="561" t="s">
        <v>1107</v>
      </c>
      <c r="K462" s="174"/>
      <c r="L462" s="175" t="s">
        <v>255</v>
      </c>
      <c r="M462" s="176">
        <f ca="1">IF($D462&lt;&gt;"Serviço","",IF(AUTOEVENTO="manual",$A462,IF(ISERROR(MATCH($A462,$A$15:OFFSET($A462,-1,0),0)),MAX($M$15:OFFSET(M462,-1,0))+1,INDEX($M$15:OFFSET(M462,-1,0),MATCH($A462,$A$15:OFFSET($A462,-1,0),0)))))</f>
        <v>49</v>
      </c>
      <c r="N462" s="177" t="str">
        <f ca="1">IF($D462&lt;&gt;"Serviço","",IF(AUTOEVENTO="Manual",IF($A462=0,"&lt;-- defina o número do agrupador",OFFSET(EVENTOS!$D$14,$A462,0)),OFFSET($F$15,$A462,0)))</f>
        <v>SISTEMA DE PROTEÇÃO CONTRA INCÊNDIO - TUBULAÇÕES E CONEXÕES</v>
      </c>
      <c r="O462" s="178"/>
      <c r="Q462" s="178">
        <v>1</v>
      </c>
      <c r="R462" s="179"/>
      <c r="S462" s="179"/>
      <c r="T462" s="179"/>
      <c r="U462" s="179"/>
      <c r="V462" s="179"/>
      <c r="W462" s="179"/>
      <c r="X462" s="179"/>
      <c r="Y462" s="179"/>
      <c r="Z462" s="180"/>
      <c r="AA462" s="179"/>
      <c r="AB462" s="179"/>
      <c r="AC462" s="179"/>
      <c r="AD462" s="179"/>
      <c r="AE462" s="179"/>
      <c r="AF462" s="179"/>
      <c r="AG462" s="179"/>
      <c r="AH462" s="180"/>
      <c r="AJ462" s="544">
        <f ca="1">IF(AND($D462="Serviço",AJ$12&lt;&gt;0,$H462&gt;0,OR(AUTOEVENTO&lt;&gt;"manual",$M462&lt;&gt;1)),
IF(Import.TipoArredondamento&lt;&gt;"TransfereGOV",
ROUND(OFFSET($P462,0,AJ$13),15-13*ORÇAMENTO!$AF$7)/$H462*OFFSET(ORÇAMENTO!$X$15,ROW(AJ462)-ROW(AJ$15),0),
ROUND(ROUND(OFFSET($P462,0,AJ$13),15-13*ORÇAMENTO!$AF$7)*OFFSET(ORÇAMENTO!$W$15,ROW(AJ462)-ROW(AJ$15),0),15-13*ORÇAMENTO!$AF$11)),0)</f>
        <v>0</v>
      </c>
      <c r="AK462" s="545">
        <f ca="1">IF(AND($D462="Serviço",AK$12&lt;&gt;0,$H462&gt;0,OR(AUTOEVENTO&lt;&gt;"manual",$M462&lt;&gt;1)),
IF(Import.TipoArredondamento&lt;&gt;"TransfereGOV",
ROUND(OFFSET($P462,0,AK$13),15-13*ORÇAMENTO!$AF$7)/$H462*OFFSET(ORÇAMENTO!$X$15,ROW(AK462)-ROW(AK$15),0),
ROUND(ROUND(OFFSET($P462,0,AK$13),15-13*ORÇAMENTO!$AF$7)*OFFSET(ORÇAMENTO!$W$15,ROW(AK462)-ROW(AK$15),0),15-13*ORÇAMENTO!$AF$11)),0)</f>
        <v>0</v>
      </c>
      <c r="AL462" s="545">
        <f ca="1">IF(AND($D462="Serviço",AL$12&lt;&gt;0,$H462&gt;0,OR(AUTOEVENTO&lt;&gt;"manual",$M462&lt;&gt;1)),
IF(Import.TipoArredondamento&lt;&gt;"TransfereGOV",
ROUND(OFFSET($P462,0,AL$13),15-13*ORÇAMENTO!$AF$7)/$H462*OFFSET(ORÇAMENTO!$X$15,ROW(AL462)-ROW(AL$15),0),
ROUND(ROUND(OFFSET($P462,0,AL$13),15-13*ORÇAMENTO!$AF$7)*OFFSET(ORÇAMENTO!$W$15,ROW(AL462)-ROW(AL$15),0),15-13*ORÇAMENTO!$AF$11)),0)</f>
        <v>0</v>
      </c>
      <c r="AM462" s="545">
        <f ca="1">IF(AND($D462="Serviço",AM$12&lt;&gt;0,$H462&gt;0,OR(AUTOEVENTO&lt;&gt;"manual",$M462&lt;&gt;1)),
IF(Import.TipoArredondamento&lt;&gt;"TransfereGOV",
ROUND(OFFSET($P462,0,AM$13),15-13*ORÇAMENTO!$AF$7)/$H462*OFFSET(ORÇAMENTO!$X$15,ROW(AM462)-ROW(AM$15),0),
ROUND(ROUND(OFFSET($P462,0,AM$13),15-13*ORÇAMENTO!$AF$7)*OFFSET(ORÇAMENTO!$W$15,ROW(AM462)-ROW(AM$15),0),15-13*ORÇAMENTO!$AF$11)),0)</f>
        <v>0</v>
      </c>
      <c r="AN462" s="545">
        <f ca="1">IF(AND($D462="Serviço",AN$12&lt;&gt;0,$H462&gt;0,OR(AUTOEVENTO&lt;&gt;"manual",$M462&lt;&gt;1)),
IF(Import.TipoArredondamento&lt;&gt;"TransfereGOV",
ROUND(OFFSET($P462,0,AN$13),15-13*ORÇAMENTO!$AF$7)/$H462*OFFSET(ORÇAMENTO!$X$15,ROW(AN462)-ROW(AN$15),0),
ROUND(ROUND(OFFSET($P462,0,AN$13),15-13*ORÇAMENTO!$AF$7)*OFFSET(ORÇAMENTO!$W$15,ROW(AN462)-ROW(AN$15),0),15-13*ORÇAMENTO!$AF$11)),0)</f>
        <v>0</v>
      </c>
      <c r="AO462" s="545">
        <f ca="1">IF(AND($D462="Serviço",AO$12&lt;&gt;0,$H462&gt;0,OR(AUTOEVENTO&lt;&gt;"manual",$M462&lt;&gt;1)),
IF(Import.TipoArredondamento&lt;&gt;"TransfereGOV",
ROUND(OFFSET($P462,0,AO$13),15-13*ORÇAMENTO!$AF$7)/$H462*OFFSET(ORÇAMENTO!$X$15,ROW(AO462)-ROW(AO$15),0),
ROUND(ROUND(OFFSET($P462,0,AO$13),15-13*ORÇAMENTO!$AF$7)*OFFSET(ORÇAMENTO!$W$15,ROW(AO462)-ROW(AO$15),0),15-13*ORÇAMENTO!$AF$11)),0)</f>
        <v>0</v>
      </c>
      <c r="AP462" s="545">
        <f ca="1">IF(AND($D462="Serviço",AP$12&lt;&gt;0,$H462&gt;0,OR(AUTOEVENTO&lt;&gt;"manual",$M462&lt;&gt;1)),
IF(Import.TipoArredondamento&lt;&gt;"TransfereGOV",
ROUND(OFFSET($P462,0,AP$13),15-13*ORÇAMENTO!$AF$7)/$H462*OFFSET(ORÇAMENTO!$X$15,ROW(AP462)-ROW(AP$15),0),
ROUND(ROUND(OFFSET($P462,0,AP$13),15-13*ORÇAMENTO!$AF$7)*OFFSET(ORÇAMENTO!$W$15,ROW(AP462)-ROW(AP$15),0),15-13*ORÇAMENTO!$AF$11)),0)</f>
        <v>0</v>
      </c>
      <c r="AQ462" s="545">
        <f ca="1">IF(AND($D462="Serviço",AQ$12&lt;&gt;0,$H462&gt;0,OR(AUTOEVENTO&lt;&gt;"manual",$M462&lt;&gt;1)),
IF(Import.TipoArredondamento&lt;&gt;"TransfereGOV",
ROUND(OFFSET($P462,0,AQ$13),15-13*ORÇAMENTO!$AF$7)/$H462*OFFSET(ORÇAMENTO!$X$15,ROW(AQ462)-ROW(AQ$15),0),
ROUND(ROUND(OFFSET($P462,0,AQ$13),15-13*ORÇAMENTO!$AF$7)*OFFSET(ORÇAMENTO!$W$15,ROW(AQ462)-ROW(AQ$15),0),15-13*ORÇAMENTO!$AF$11)),0)</f>
        <v>0</v>
      </c>
      <c r="AR462" s="545">
        <f ca="1">IF(AND($D462="Serviço",AR$12&lt;&gt;0,$H462&gt;0,OR(AUTOEVENTO&lt;&gt;"manual",$M462&lt;&gt;1)),
IF(Import.TipoArredondamento&lt;&gt;"TransfereGOV",
ROUND(OFFSET($P462,0,AR$13),15-13*ORÇAMENTO!$AF$7)/$H462*OFFSET(ORÇAMENTO!$X$15,ROW(AR462)-ROW(AR$15),0),
ROUND(ROUND(OFFSET($P462,0,AR$13),15-13*ORÇAMENTO!$AF$7)*OFFSET(ORÇAMENTO!$W$15,ROW(AR462)-ROW(AR$15),0),15-13*ORÇAMENTO!$AF$11)),0)</f>
        <v>0</v>
      </c>
      <c r="AS462" s="546">
        <f ca="1">IF(AND($D462="Serviço",AS$12&lt;&gt;0,$H462&gt;0,OR(AUTOEVENTO&lt;&gt;"manual",$M462&lt;&gt;1)),
IF(Import.TipoArredondamento&lt;&gt;"TransfereGOV",
ROUND(OFFSET($P462,0,AS$13),15-13*ORÇAMENTO!$AF$7)/$H462*OFFSET(ORÇAMENTO!$X$15,ROW(AS462)-ROW(AS$15),0),
ROUND(ROUND(OFFSET($P462,0,AS$13),15-13*ORÇAMENTO!$AF$7)*OFFSET(ORÇAMENTO!$W$15,ROW(AS462)-ROW(AS$15),0),15-13*ORÇAMENTO!$AF$11)),0)</f>
        <v>0</v>
      </c>
      <c r="AT462" s="545">
        <f ca="1">IF(AND($D462="Serviço",AT$12&lt;&gt;0,$H462&gt;0,OR(AUTOEVENTO&lt;&gt;"manual",$M462&lt;&gt;1)),
IF(Import.TipoArredondamento&lt;&gt;"TransfereGOV",
ROUND(OFFSET($P462,0,AT$13),15-13*ORÇAMENTO!$AF$7)/$H462*OFFSET(ORÇAMENTO!$X$15,ROW(AT462)-ROW(AT$15),0),
ROUND(ROUND(OFFSET($P462,0,AT$13),15-13*ORÇAMENTO!$AF$7)*OFFSET(ORÇAMENTO!$W$15,ROW(AT462)-ROW(AT$15),0),15-13*ORÇAMENTO!$AF$11)),0)</f>
        <v>0</v>
      </c>
      <c r="AU462" s="545">
        <f ca="1">IF(AND($D462="Serviço",AU$12&lt;&gt;0,$H462&gt;0,OR(AUTOEVENTO&lt;&gt;"manual",$M462&lt;&gt;1)),
IF(Import.TipoArredondamento&lt;&gt;"TransfereGOV",
ROUND(OFFSET($P462,0,AU$13),15-13*ORÇAMENTO!$AF$7)/$H462*OFFSET(ORÇAMENTO!$X$15,ROW(AU462)-ROW(AU$15),0),
ROUND(ROUND(OFFSET($P462,0,AU$13),15-13*ORÇAMENTO!$AF$7)*OFFSET(ORÇAMENTO!$W$15,ROW(AU462)-ROW(AU$15),0),15-13*ORÇAMENTO!$AF$11)),0)</f>
        <v>0</v>
      </c>
      <c r="AV462" s="545">
        <f ca="1">IF(AND($D462="Serviço",AV$12&lt;&gt;0,$H462&gt;0,OR(AUTOEVENTO&lt;&gt;"manual",$M462&lt;&gt;1)),
IF(Import.TipoArredondamento&lt;&gt;"TransfereGOV",
ROUND(OFFSET($P462,0,AV$13),15-13*ORÇAMENTO!$AF$7)/$H462*OFFSET(ORÇAMENTO!$X$15,ROW(AV462)-ROW(AV$15),0),
ROUND(ROUND(OFFSET($P462,0,AV$13),15-13*ORÇAMENTO!$AF$7)*OFFSET(ORÇAMENTO!$W$15,ROW(AV462)-ROW(AV$15),0),15-13*ORÇAMENTO!$AF$11)),0)</f>
        <v>0</v>
      </c>
      <c r="AW462" s="545">
        <f ca="1">IF(AND($D462="Serviço",AW$12&lt;&gt;0,$H462&gt;0,OR(AUTOEVENTO&lt;&gt;"manual",$M462&lt;&gt;1)),
IF(Import.TipoArredondamento&lt;&gt;"TransfereGOV",
ROUND(OFFSET($P462,0,AW$13),15-13*ORÇAMENTO!$AF$7)/$H462*OFFSET(ORÇAMENTO!$X$15,ROW(AW462)-ROW(AW$15),0),
ROUND(ROUND(OFFSET($P462,0,AW$13),15-13*ORÇAMENTO!$AF$7)*OFFSET(ORÇAMENTO!$W$15,ROW(AW462)-ROW(AW$15),0),15-13*ORÇAMENTO!$AF$11)),0)</f>
        <v>0</v>
      </c>
      <c r="AX462" s="545">
        <f ca="1">IF(AND($D462="Serviço",AX$12&lt;&gt;0,$H462&gt;0,OR(AUTOEVENTO&lt;&gt;"manual",$M462&lt;&gt;1)),
IF(Import.TipoArredondamento&lt;&gt;"TransfereGOV",
ROUND(OFFSET($P462,0,AX$13),15-13*ORÇAMENTO!$AF$7)/$H462*OFFSET(ORÇAMENTO!$X$15,ROW(AX462)-ROW(AX$15),0),
ROUND(ROUND(OFFSET($P462,0,AX$13),15-13*ORÇAMENTO!$AF$7)*OFFSET(ORÇAMENTO!$W$15,ROW(AX462)-ROW(AX$15),0),15-13*ORÇAMENTO!$AF$11)),0)</f>
        <v>0</v>
      </c>
      <c r="AY462" s="545">
        <f ca="1">IF(AND($D462="Serviço",AY$12&lt;&gt;0,$H462&gt;0,OR(AUTOEVENTO&lt;&gt;"manual",$M462&lt;&gt;1)),
IF(Import.TipoArredondamento&lt;&gt;"TransfereGOV",
ROUND(OFFSET($P462,0,AY$13),15-13*ORÇAMENTO!$AF$7)/$H462*OFFSET(ORÇAMENTO!$X$15,ROW(AY462)-ROW(AY$15),0),
ROUND(ROUND(OFFSET($P462,0,AY$13),15-13*ORÇAMENTO!$AF$7)*OFFSET(ORÇAMENTO!$W$15,ROW(AY462)-ROW(AY$15),0),15-13*ORÇAMENTO!$AF$11)),0)</f>
        <v>0</v>
      </c>
      <c r="AZ462" s="545">
        <f ca="1">IF(AND($D462="Serviço",AZ$12&lt;&gt;0,$H462&gt;0,OR(AUTOEVENTO&lt;&gt;"manual",$M462&lt;&gt;1)),
IF(Import.TipoArredondamento&lt;&gt;"TransfereGOV",
ROUND(OFFSET($P462,0,AZ$13),15-13*ORÇAMENTO!$AF$7)/$H462*OFFSET(ORÇAMENTO!$X$15,ROW(AZ462)-ROW(AZ$15),0),
ROUND(ROUND(OFFSET($P462,0,AZ$13),15-13*ORÇAMENTO!$AF$7)*OFFSET(ORÇAMENTO!$W$15,ROW(AZ462)-ROW(AZ$15),0),15-13*ORÇAMENTO!$AF$11)),0)</f>
        <v>0</v>
      </c>
      <c r="BA462" s="546">
        <f ca="1">IF(AND($D462="Serviço",BA$12&lt;&gt;0,$H462&gt;0,OR(AUTOEVENTO&lt;&gt;"manual",$M462&lt;&gt;1)),
IF(Import.TipoArredondamento&lt;&gt;"TransfereGOV",
ROUND(OFFSET($P462,0,BA$13),15-13*ORÇAMENTO!$AF$7)/$H462*OFFSET(ORÇAMENTO!$X$15,ROW(BA462)-ROW(BA$15),0),
ROUND(ROUND(OFFSET($P462,0,BA$13),15-13*ORÇAMENTO!$AF$7)*OFFSET(ORÇAMENTO!$W$15,ROW(BA462)-ROW(BA$15),0),15-13*ORÇAMENTO!$AF$11)),0)</f>
        <v>0</v>
      </c>
      <c r="BC462" s="181">
        <f ca="1">IF($D462&lt;&gt;"Serviço",0,IF(AND(AUTOEVENTO="Manual",$M462=1),0,IF(OFFSET(CRONOPLE!$F$14,$M462,BC$13)="",10^12,OFFSET(CRONOPLE!$F$14,$M462,BC$13))))</f>
        <v>10</v>
      </c>
      <c r="BD462" s="181">
        <f ca="1">IF($D462&lt;&gt;"Serviço",0,IF(AND(AUTOEVENTO="Manual",$M462=1),0,IF(OFFSET(CRONOPLE!$F$14,$M462,BD$13)="",10^12,OFFSET(CRONOPLE!$F$14,$M462,BD$13))))</f>
        <v>1000000000000</v>
      </c>
      <c r="BE462" s="181">
        <f ca="1">IF($D462&lt;&gt;"Serviço",0,IF(AND(AUTOEVENTO="Manual",$M462=1),0,IF(OFFSET(CRONOPLE!$F$14,$M462,BE$13)="",10^12,OFFSET(CRONOPLE!$F$14,$M462,BE$13))))</f>
        <v>1000000000000</v>
      </c>
      <c r="BF462" s="181">
        <f ca="1">IF($D462&lt;&gt;"Serviço",0,IF(AND(AUTOEVENTO="Manual",$M462=1),0,IF(OFFSET(CRONOPLE!$F$14,$M462,BF$13)="",10^12,OFFSET(CRONOPLE!$F$14,$M462,BF$13))))</f>
        <v>1000000000000</v>
      </c>
      <c r="BG462" s="181">
        <f ca="1">IF($D462&lt;&gt;"Serviço",0,IF(AND(AUTOEVENTO="Manual",$M462=1),0,IF(OFFSET(CRONOPLE!$F$14,$M462,BG$13)="",10^12,OFFSET(CRONOPLE!$F$14,$M462,BG$13))))</f>
        <v>1000000000000</v>
      </c>
      <c r="BH462" s="181">
        <f ca="1">IF($D462&lt;&gt;"Serviço",0,IF(AND(AUTOEVENTO="Manual",$M462=1),0,IF(OFFSET(CRONOPLE!$F$14,$M462,BH$13)="",10^12,OFFSET(CRONOPLE!$F$14,$M462,BH$13))))</f>
        <v>1000000000000</v>
      </c>
      <c r="BI462" s="181">
        <f ca="1">IF($D462&lt;&gt;"Serviço",0,IF(AND(AUTOEVENTO="Manual",$M462=1),0,IF(OFFSET(CRONOPLE!$F$14,$M462,BI$13)="",10^12,OFFSET(CRONOPLE!$F$14,$M462,BI$13))))</f>
        <v>1000000000000</v>
      </c>
      <c r="BJ462" s="181">
        <f ca="1">IF($D462&lt;&gt;"Serviço",0,IF(AND(AUTOEVENTO="Manual",$M462=1),0,IF(OFFSET(CRONOPLE!$F$14,$M462,BJ$13)="",10^12,OFFSET(CRONOPLE!$F$14,$M462,BJ$13))))</f>
        <v>1000000000000</v>
      </c>
      <c r="BK462" s="181">
        <f ca="1">IF($D462&lt;&gt;"Serviço",0,IF(AND(AUTOEVENTO="Manual",$M462=1),0,IF(OFFSET(CRONOPLE!$F$14,$M462,BK$13)="",10^12,OFFSET(CRONOPLE!$F$14,$M462,BK$13))))</f>
        <v>1000000000000</v>
      </c>
      <c r="BL462" s="181">
        <f ca="1">IF($D462&lt;&gt;"Serviço",0,IF(AND(AUTOEVENTO="Manual",$M462=1),0,IF(OFFSET(CRONOPLE!$F$14,$M462,BL$13)="",10^12,OFFSET(CRONOPLE!$F$14,$M462,BL$13))))</f>
        <v>1000000000000</v>
      </c>
      <c r="BM462" s="181">
        <f ca="1">IF($D462&lt;&gt;"Serviço",0,IF(AND(AUTOEVENTO="Manual",$M462=1),0,IF(OFFSET(CRONOPLE!$F$14,$M462,BM$13)="",10^12,OFFSET(CRONOPLE!$F$14,$M462,BM$13))))</f>
        <v>1000000000000</v>
      </c>
      <c r="BN462" s="181">
        <f ca="1">IF($D462&lt;&gt;"Serviço",0,IF(AND(AUTOEVENTO="Manual",$M462=1),0,IF(OFFSET(CRONOPLE!$F$14,$M462,BN$13)="",10^12,OFFSET(CRONOPLE!$F$14,$M462,BN$13))))</f>
        <v>1000000000000</v>
      </c>
      <c r="BO462" s="181">
        <f ca="1">IF($D462&lt;&gt;"Serviço",0,IF(AND(AUTOEVENTO="Manual",$M462=1),0,IF(OFFSET(CRONOPLE!$F$14,$M462,BO$13)="",10^12,OFFSET(CRONOPLE!$F$14,$M462,BO$13))))</f>
        <v>1000000000000</v>
      </c>
      <c r="BP462" s="181">
        <f ca="1">IF($D462&lt;&gt;"Serviço",0,IF(AND(AUTOEVENTO="Manual",$M462=1),0,IF(OFFSET(CRONOPLE!$F$14,$M462,BP$13)="",10^12,OFFSET(CRONOPLE!$F$14,$M462,BP$13))))</f>
        <v>1000000000000</v>
      </c>
      <c r="BQ462" s="181">
        <f ca="1">IF($D462&lt;&gt;"Serviço",0,IF(AND(AUTOEVENTO="Manual",$M462=1),0,IF(OFFSET(CRONOPLE!$F$14,$M462,BQ$13)="",10^12,OFFSET(CRONOPLE!$F$14,$M462,BQ$13))))</f>
        <v>1000000000000</v>
      </c>
      <c r="BR462" s="181">
        <f ca="1">IF($D462&lt;&gt;"Serviço",0,IF(AND(AUTOEVENTO="Manual",$M462=1),0,IF(OFFSET(CRONOPLE!$F$14,$M462,BR$13)="",10^12,OFFSET(CRONOPLE!$F$14,$M462,BR$13))))</f>
        <v>1000000000000</v>
      </c>
      <c r="BS462" s="181">
        <f ca="1">IF($D462&lt;&gt;"Serviço",0,IF(AND(AUTOEVENTO="Manual",$M462=1),0,IF(OFFSET(CRONOPLE!$F$14,$M462,BS$13)="",10^12,OFFSET(CRONOPLE!$F$14,$M462,BS$13))))</f>
        <v>1000000000000</v>
      </c>
      <c r="BT462" s="181">
        <f ca="1">IF($D462&lt;&gt;"Serviço",0,IF(AND(AUTOEVENTO="Manual",$M462=1),0,IF(OFFSET(CRONOPLE!$F$14,$M462,BT$13)="",10^12,OFFSET(CRONOPLE!$F$14,$M462,BT$13))))</f>
        <v>1000000000000</v>
      </c>
      <c r="BV462" s="182">
        <f ca="1">IF($D462&lt;&gt;"Serviço",0,IF(OR(AND(AUTOEVENTO="Manual",$M462=1),$M462&gt;(ROW(PLE.lastrow)-ROW(PLE.firstrow))),0,IF(OFFSET(PLE!$G$14,$M462,BV$13)="",10^12,OFFSET(PLE!$G$14,$M462,BV$13))))</f>
        <v>1000000000000</v>
      </c>
      <c r="BW462" s="182">
        <f ca="1">IF($D462&lt;&gt;"Serviço",0,IF(OR(AND(AUTOEVENTO="Manual",$M462=1),$M462&gt;(ROW(PLE.lastrow)-ROW(PLE.firstrow))),0,IF(OFFSET(PLE!$G$14,$M462,BW$13)="",10^12,OFFSET(PLE!$G$14,$M462,BW$13))))</f>
        <v>1000000000000</v>
      </c>
      <c r="BX462" s="182">
        <f ca="1">IF($D462&lt;&gt;"Serviço",0,IF(OR(AND(AUTOEVENTO="Manual",$M462=1),$M462&gt;(ROW(PLE.lastrow)-ROW(PLE.firstrow))),0,IF(OFFSET(PLE!$G$14,$M462,BX$13)="",10^12,OFFSET(PLE!$G$14,$M462,BX$13))))</f>
        <v>1000000000000</v>
      </c>
      <c r="BY462" s="182">
        <f ca="1">IF($D462&lt;&gt;"Serviço",0,IF(OR(AND(AUTOEVENTO="Manual",$M462=1),$M462&gt;(ROW(PLE.lastrow)-ROW(PLE.firstrow))),0,IF(OFFSET(PLE!$G$14,$M462,BY$13)="",10^12,OFFSET(PLE!$G$14,$M462,BY$13))))</f>
        <v>1000000000000</v>
      </c>
      <c r="BZ462" s="182">
        <f ca="1">IF($D462&lt;&gt;"Serviço",0,IF(OR(AND(AUTOEVENTO="Manual",$M462=1),$M462&gt;(ROW(PLE.lastrow)-ROW(PLE.firstrow))),0,IF(OFFSET(PLE!$G$14,$M462,BZ$13)="",10^12,OFFSET(PLE!$G$14,$M462,BZ$13))))</f>
        <v>1000000000000</v>
      </c>
      <c r="CA462" s="182">
        <f ca="1">IF($D462&lt;&gt;"Serviço",0,IF(OR(AND(AUTOEVENTO="Manual",$M462=1),$M462&gt;(ROW(PLE.lastrow)-ROW(PLE.firstrow))),0,IF(OFFSET(PLE!$G$14,$M462,CA$13)="",10^12,OFFSET(PLE!$G$14,$M462,CA$13))))</f>
        <v>1000000000000</v>
      </c>
      <c r="CB462" s="182">
        <f ca="1">IF($D462&lt;&gt;"Serviço",0,IF(OR(AND(AUTOEVENTO="Manual",$M462=1),$M462&gt;(ROW(PLE.lastrow)-ROW(PLE.firstrow))),0,IF(OFFSET(PLE!$G$14,$M462,CB$13)="",10^12,OFFSET(PLE!$G$14,$M462,CB$13))))</f>
        <v>1000000000000</v>
      </c>
      <c r="CC462" s="182">
        <f ca="1">IF($D462&lt;&gt;"Serviço",0,IF(OR(AND(AUTOEVENTO="Manual",$M462=1),$M462&gt;(ROW(PLE.lastrow)-ROW(PLE.firstrow))),0,IF(OFFSET(PLE!$G$14,$M462,CC$13)="",10^12,OFFSET(PLE!$G$14,$M462,CC$13))))</f>
        <v>1000000000000</v>
      </c>
      <c r="CD462" s="182">
        <f ca="1">IF($D462&lt;&gt;"Serviço",0,IF(OR(AND(AUTOEVENTO="Manual",$M462=1),$M462&gt;(ROW(PLE.lastrow)-ROW(PLE.firstrow))),0,IF(OFFSET(PLE!$G$14,$M462,CD$13)="",10^12,OFFSET(PLE!$G$14,$M462,CD$13))))</f>
        <v>1000000000000</v>
      </c>
      <c r="CE462" s="182">
        <f ca="1">IF($D462&lt;&gt;"Serviço",0,IF(OR(AND(AUTOEVENTO="Manual",$M462=1),$M462&gt;(ROW(PLE.lastrow)-ROW(PLE.firstrow))),0,IF(OFFSET(PLE!$G$14,$M462,CE$13)="",10^12,OFFSET(PLE!$G$14,$M462,CE$13))))</f>
        <v>1000000000000</v>
      </c>
      <c r="CF462" s="182">
        <f ca="1">IF($D462&lt;&gt;"Serviço",0,IF(OR(AND(AUTOEVENTO="Manual",$M462=1),$M462&gt;(ROW(PLE.lastrow)-ROW(PLE.firstrow))),0,IF(OFFSET(PLE!$G$14,$M462,CF$13)="",10^12,OFFSET(PLE!$G$14,$M462,CF$13))))</f>
        <v>1000000000000</v>
      </c>
      <c r="CG462" s="182">
        <f ca="1">IF($D462&lt;&gt;"Serviço",0,IF(OR(AND(AUTOEVENTO="Manual",$M462=1),$M462&gt;(ROW(PLE.lastrow)-ROW(PLE.firstrow))),0,IF(OFFSET(PLE!$G$14,$M462,CG$13)="",10^12,OFFSET(PLE!$G$14,$M462,CG$13))))</f>
        <v>1000000000000</v>
      </c>
      <c r="CH462" s="182">
        <f ca="1">IF($D462&lt;&gt;"Serviço",0,IF(OR(AND(AUTOEVENTO="Manual",$M462=1),$M462&gt;(ROW(PLE.lastrow)-ROW(PLE.firstrow))),0,IF(OFFSET(PLE!$G$14,$M462,CH$13)="",10^12,OFFSET(PLE!$G$14,$M462,CH$13))))</f>
        <v>1000000000000</v>
      </c>
      <c r="CI462" s="182">
        <f ca="1">IF($D462&lt;&gt;"Serviço",0,IF(OR(AND(AUTOEVENTO="Manual",$M462=1),$M462&gt;(ROW(PLE.lastrow)-ROW(PLE.firstrow))),0,IF(OFFSET(PLE!$G$14,$M462,CI$13)="",10^12,OFFSET(PLE!$G$14,$M462,CI$13))))</f>
        <v>1000000000000</v>
      </c>
      <c r="CJ462" s="182">
        <f ca="1">IF($D462&lt;&gt;"Serviço",0,IF(OR(AND(AUTOEVENTO="Manual",$M462=1),$M462&gt;(ROW(PLE.lastrow)-ROW(PLE.firstrow))),0,IF(OFFSET(PLE!$G$14,$M462,CJ$13)="",10^12,OFFSET(PLE!$G$14,$M462,CJ$13))))</f>
        <v>1000000000000</v>
      </c>
      <c r="CK462" s="182">
        <f ca="1">IF($D462&lt;&gt;"Serviço",0,IF(OR(AND(AUTOEVENTO="Manual",$M462=1),$M462&gt;(ROW(PLE.lastrow)-ROW(PLE.firstrow))),0,IF(OFFSET(PLE!$G$14,$M462,CK$13)="",10^12,OFFSET(PLE!$G$14,$M462,CK$13))))</f>
        <v>1000000000000</v>
      </c>
      <c r="CL462" s="182">
        <f ca="1">IF($D462&lt;&gt;"Serviço",0,IF(OR(AND(AUTOEVENTO="Manual",$M462=1),$M462&gt;(ROW(PLE.lastrow)-ROW(PLE.firstrow))),0,IF(OFFSET(PLE!$G$14,$M462,CL$13)="",10^12,OFFSET(PLE!$G$14,$M462,CL$13))))</f>
        <v>1000000000000</v>
      </c>
      <c r="CM462" s="182">
        <f ca="1">IF($D462&lt;&gt;"Serviço",0,IF(OR(AND(AUTOEVENTO="Manual",$M462=1),$M462&gt;(ROW(PLE.lastrow)-ROW(PLE.firstrow))),0,IF(OFFSET(PLE!$G$14,$M462,CM$13)="",10^12,OFFSET(PLE!$G$14,$M462,CM$13))))</f>
        <v>1000000000000</v>
      </c>
    </row>
    <row r="463" spans="1:91" ht="38.25" x14ac:dyDescent="0.2">
      <c r="A463" s="7" t="str">
        <f t="shared" ca="1" si="12"/>
        <v>421</v>
      </c>
      <c r="B463" s="7" t="str">
        <f ca="1">OFFSET(ORÇAMENTO!C$15,ROW(B463)-ROW(B$15),0)</f>
        <v>S</v>
      </c>
      <c r="C463" s="7" t="str">
        <f ca="1">OFFSET(ORÇAMENTO!L$15,ROW(C463)-ROW(C$15),0)</f>
        <v/>
      </c>
      <c r="D463" s="118" t="str">
        <f ca="1">OFFSET(ORÇAMENTO!N$15,ROW(D463)-ROW(D$15),0)</f>
        <v>Serviço</v>
      </c>
      <c r="E463" s="119" t="str">
        <f ca="1">OFFSET(ORÇAMENTO!O$15,ROW(E463)-ROW(E$15),0)</f>
        <v>-</v>
      </c>
      <c r="F463" s="172" t="str">
        <f ca="1">OFFSET(ORÇAMENTO!R$15,ROW(F463)-ROW(F$15),0)</f>
        <v>(abra o arquivo 'Referência 06-2024.xlsm)</v>
      </c>
      <c r="G463" s="173" t="str">
        <f ca="1">IF($D463&lt;&gt;"Serviço","",OFFSET(ORÇAMENTO!S$15,ROW(G463)-ROW(G$15),0))</f>
        <v>-</v>
      </c>
      <c r="H463" s="124">
        <f ca="1">IF($D463&lt;&gt;"Serviço",0,IF(ACOMPANHAMENTO="BM",ROUND(OFFSET(ORÇAMENTO!AJ$15,ROW(H463)-ROW(H$15),0),15-13*ORÇAMENTO!$AF$7),SUMPRODUCT(($Q$12:$AI$12&lt;&gt;"")*ROUND($Q463:$AI463,15-13*ORÇAMENTO!$AF$7))))</f>
        <v>2</v>
      </c>
      <c r="I463" s="561" t="s">
        <v>1107</v>
      </c>
      <c r="K463" s="174"/>
      <c r="L463" s="175" t="s">
        <v>255</v>
      </c>
      <c r="M463" s="176">
        <f ca="1">IF($D463&lt;&gt;"Serviço","",IF(AUTOEVENTO="manual",$A463,IF(ISERROR(MATCH($A463,$A$15:OFFSET($A463,-1,0),0)),MAX($M$15:OFFSET(M463,-1,0))+1,INDEX($M$15:OFFSET(M463,-1,0),MATCH($A463,$A$15:OFFSET($A463,-1,0),0)))))</f>
        <v>49</v>
      </c>
      <c r="N463" s="177" t="str">
        <f ca="1">IF($D463&lt;&gt;"Serviço","",IF(AUTOEVENTO="Manual",IF($A463=0,"&lt;-- defina o número do agrupador",OFFSET(EVENTOS!$D$14,$A463,0)),OFFSET($F$15,$A463,0)))</f>
        <v>SISTEMA DE PROTEÇÃO CONTRA INCÊNDIO - TUBULAÇÕES E CONEXÕES</v>
      </c>
      <c r="O463" s="178"/>
      <c r="Q463" s="178">
        <v>2</v>
      </c>
      <c r="R463" s="179"/>
      <c r="S463" s="179"/>
      <c r="T463" s="179"/>
      <c r="U463" s="179"/>
      <c r="V463" s="179"/>
      <c r="W463" s="179"/>
      <c r="X463" s="179"/>
      <c r="Y463" s="179"/>
      <c r="Z463" s="180"/>
      <c r="AA463" s="179"/>
      <c r="AB463" s="179"/>
      <c r="AC463" s="179"/>
      <c r="AD463" s="179"/>
      <c r="AE463" s="179"/>
      <c r="AF463" s="179"/>
      <c r="AG463" s="179"/>
      <c r="AH463" s="180"/>
      <c r="AJ463" s="544">
        <f ca="1">IF(AND($D463="Serviço",AJ$12&lt;&gt;0,$H463&gt;0,OR(AUTOEVENTO&lt;&gt;"manual",$M463&lt;&gt;1)),
IF(Import.TipoArredondamento&lt;&gt;"TransfereGOV",
ROUND(OFFSET($P463,0,AJ$13),15-13*ORÇAMENTO!$AF$7)/$H463*OFFSET(ORÇAMENTO!$X$15,ROW(AJ463)-ROW(AJ$15),0),
ROUND(ROUND(OFFSET($P463,0,AJ$13),15-13*ORÇAMENTO!$AF$7)*OFFSET(ORÇAMENTO!$W$15,ROW(AJ463)-ROW(AJ$15),0),15-13*ORÇAMENTO!$AF$11)),0)</f>
        <v>0</v>
      </c>
      <c r="AK463" s="545">
        <f ca="1">IF(AND($D463="Serviço",AK$12&lt;&gt;0,$H463&gt;0,OR(AUTOEVENTO&lt;&gt;"manual",$M463&lt;&gt;1)),
IF(Import.TipoArredondamento&lt;&gt;"TransfereGOV",
ROUND(OFFSET($P463,0,AK$13),15-13*ORÇAMENTO!$AF$7)/$H463*OFFSET(ORÇAMENTO!$X$15,ROW(AK463)-ROW(AK$15),0),
ROUND(ROUND(OFFSET($P463,0,AK$13),15-13*ORÇAMENTO!$AF$7)*OFFSET(ORÇAMENTO!$W$15,ROW(AK463)-ROW(AK$15),0),15-13*ORÇAMENTO!$AF$11)),0)</f>
        <v>0</v>
      </c>
      <c r="AL463" s="545">
        <f ca="1">IF(AND($D463="Serviço",AL$12&lt;&gt;0,$H463&gt;0,OR(AUTOEVENTO&lt;&gt;"manual",$M463&lt;&gt;1)),
IF(Import.TipoArredondamento&lt;&gt;"TransfereGOV",
ROUND(OFFSET($P463,0,AL$13),15-13*ORÇAMENTO!$AF$7)/$H463*OFFSET(ORÇAMENTO!$X$15,ROW(AL463)-ROW(AL$15),0),
ROUND(ROUND(OFFSET($P463,0,AL$13),15-13*ORÇAMENTO!$AF$7)*OFFSET(ORÇAMENTO!$W$15,ROW(AL463)-ROW(AL$15),0),15-13*ORÇAMENTO!$AF$11)),0)</f>
        <v>0</v>
      </c>
      <c r="AM463" s="545">
        <f ca="1">IF(AND($D463="Serviço",AM$12&lt;&gt;0,$H463&gt;0,OR(AUTOEVENTO&lt;&gt;"manual",$M463&lt;&gt;1)),
IF(Import.TipoArredondamento&lt;&gt;"TransfereGOV",
ROUND(OFFSET($P463,0,AM$13),15-13*ORÇAMENTO!$AF$7)/$H463*OFFSET(ORÇAMENTO!$X$15,ROW(AM463)-ROW(AM$15),0),
ROUND(ROUND(OFFSET($P463,0,AM$13),15-13*ORÇAMENTO!$AF$7)*OFFSET(ORÇAMENTO!$W$15,ROW(AM463)-ROW(AM$15),0),15-13*ORÇAMENTO!$AF$11)),0)</f>
        <v>0</v>
      </c>
      <c r="AN463" s="545">
        <f ca="1">IF(AND($D463="Serviço",AN$12&lt;&gt;0,$H463&gt;0,OR(AUTOEVENTO&lt;&gt;"manual",$M463&lt;&gt;1)),
IF(Import.TipoArredondamento&lt;&gt;"TransfereGOV",
ROUND(OFFSET($P463,0,AN$13),15-13*ORÇAMENTO!$AF$7)/$H463*OFFSET(ORÇAMENTO!$X$15,ROW(AN463)-ROW(AN$15),0),
ROUND(ROUND(OFFSET($P463,0,AN$13),15-13*ORÇAMENTO!$AF$7)*OFFSET(ORÇAMENTO!$W$15,ROW(AN463)-ROW(AN$15),0),15-13*ORÇAMENTO!$AF$11)),0)</f>
        <v>0</v>
      </c>
      <c r="AO463" s="545">
        <f ca="1">IF(AND($D463="Serviço",AO$12&lt;&gt;0,$H463&gt;0,OR(AUTOEVENTO&lt;&gt;"manual",$M463&lt;&gt;1)),
IF(Import.TipoArredondamento&lt;&gt;"TransfereGOV",
ROUND(OFFSET($P463,0,AO$13),15-13*ORÇAMENTO!$AF$7)/$H463*OFFSET(ORÇAMENTO!$X$15,ROW(AO463)-ROW(AO$15),0),
ROUND(ROUND(OFFSET($P463,0,AO$13),15-13*ORÇAMENTO!$AF$7)*OFFSET(ORÇAMENTO!$W$15,ROW(AO463)-ROW(AO$15),0),15-13*ORÇAMENTO!$AF$11)),0)</f>
        <v>0</v>
      </c>
      <c r="AP463" s="545">
        <f ca="1">IF(AND($D463="Serviço",AP$12&lt;&gt;0,$H463&gt;0,OR(AUTOEVENTO&lt;&gt;"manual",$M463&lt;&gt;1)),
IF(Import.TipoArredondamento&lt;&gt;"TransfereGOV",
ROUND(OFFSET($P463,0,AP$13),15-13*ORÇAMENTO!$AF$7)/$H463*OFFSET(ORÇAMENTO!$X$15,ROW(AP463)-ROW(AP$15),0),
ROUND(ROUND(OFFSET($P463,0,AP$13),15-13*ORÇAMENTO!$AF$7)*OFFSET(ORÇAMENTO!$W$15,ROW(AP463)-ROW(AP$15),0),15-13*ORÇAMENTO!$AF$11)),0)</f>
        <v>0</v>
      </c>
      <c r="AQ463" s="545">
        <f ca="1">IF(AND($D463="Serviço",AQ$12&lt;&gt;0,$H463&gt;0,OR(AUTOEVENTO&lt;&gt;"manual",$M463&lt;&gt;1)),
IF(Import.TipoArredondamento&lt;&gt;"TransfereGOV",
ROUND(OFFSET($P463,0,AQ$13),15-13*ORÇAMENTO!$AF$7)/$H463*OFFSET(ORÇAMENTO!$X$15,ROW(AQ463)-ROW(AQ$15),0),
ROUND(ROUND(OFFSET($P463,0,AQ$13),15-13*ORÇAMENTO!$AF$7)*OFFSET(ORÇAMENTO!$W$15,ROW(AQ463)-ROW(AQ$15),0),15-13*ORÇAMENTO!$AF$11)),0)</f>
        <v>0</v>
      </c>
      <c r="AR463" s="545">
        <f ca="1">IF(AND($D463="Serviço",AR$12&lt;&gt;0,$H463&gt;0,OR(AUTOEVENTO&lt;&gt;"manual",$M463&lt;&gt;1)),
IF(Import.TipoArredondamento&lt;&gt;"TransfereGOV",
ROUND(OFFSET($P463,0,AR$13),15-13*ORÇAMENTO!$AF$7)/$H463*OFFSET(ORÇAMENTO!$X$15,ROW(AR463)-ROW(AR$15),0),
ROUND(ROUND(OFFSET($P463,0,AR$13),15-13*ORÇAMENTO!$AF$7)*OFFSET(ORÇAMENTO!$W$15,ROW(AR463)-ROW(AR$15),0),15-13*ORÇAMENTO!$AF$11)),0)</f>
        <v>0</v>
      </c>
      <c r="AS463" s="546">
        <f ca="1">IF(AND($D463="Serviço",AS$12&lt;&gt;0,$H463&gt;0,OR(AUTOEVENTO&lt;&gt;"manual",$M463&lt;&gt;1)),
IF(Import.TipoArredondamento&lt;&gt;"TransfereGOV",
ROUND(OFFSET($P463,0,AS$13),15-13*ORÇAMENTO!$AF$7)/$H463*OFFSET(ORÇAMENTO!$X$15,ROW(AS463)-ROW(AS$15),0),
ROUND(ROUND(OFFSET($P463,0,AS$13),15-13*ORÇAMENTO!$AF$7)*OFFSET(ORÇAMENTO!$W$15,ROW(AS463)-ROW(AS$15),0),15-13*ORÇAMENTO!$AF$11)),0)</f>
        <v>0</v>
      </c>
      <c r="AT463" s="545">
        <f ca="1">IF(AND($D463="Serviço",AT$12&lt;&gt;0,$H463&gt;0,OR(AUTOEVENTO&lt;&gt;"manual",$M463&lt;&gt;1)),
IF(Import.TipoArredondamento&lt;&gt;"TransfereGOV",
ROUND(OFFSET($P463,0,AT$13),15-13*ORÇAMENTO!$AF$7)/$H463*OFFSET(ORÇAMENTO!$X$15,ROW(AT463)-ROW(AT$15),0),
ROUND(ROUND(OFFSET($P463,0,AT$13),15-13*ORÇAMENTO!$AF$7)*OFFSET(ORÇAMENTO!$W$15,ROW(AT463)-ROW(AT$15),0),15-13*ORÇAMENTO!$AF$11)),0)</f>
        <v>0</v>
      </c>
      <c r="AU463" s="545">
        <f ca="1">IF(AND($D463="Serviço",AU$12&lt;&gt;0,$H463&gt;0,OR(AUTOEVENTO&lt;&gt;"manual",$M463&lt;&gt;1)),
IF(Import.TipoArredondamento&lt;&gt;"TransfereGOV",
ROUND(OFFSET($P463,0,AU$13),15-13*ORÇAMENTO!$AF$7)/$H463*OFFSET(ORÇAMENTO!$X$15,ROW(AU463)-ROW(AU$15),0),
ROUND(ROUND(OFFSET($P463,0,AU$13),15-13*ORÇAMENTO!$AF$7)*OFFSET(ORÇAMENTO!$W$15,ROW(AU463)-ROW(AU$15),0),15-13*ORÇAMENTO!$AF$11)),0)</f>
        <v>0</v>
      </c>
      <c r="AV463" s="545">
        <f ca="1">IF(AND($D463="Serviço",AV$12&lt;&gt;0,$H463&gt;0,OR(AUTOEVENTO&lt;&gt;"manual",$M463&lt;&gt;1)),
IF(Import.TipoArredondamento&lt;&gt;"TransfereGOV",
ROUND(OFFSET($P463,0,AV$13),15-13*ORÇAMENTO!$AF$7)/$H463*OFFSET(ORÇAMENTO!$X$15,ROW(AV463)-ROW(AV$15),0),
ROUND(ROUND(OFFSET($P463,0,AV$13),15-13*ORÇAMENTO!$AF$7)*OFFSET(ORÇAMENTO!$W$15,ROW(AV463)-ROW(AV$15),0),15-13*ORÇAMENTO!$AF$11)),0)</f>
        <v>0</v>
      </c>
      <c r="AW463" s="545">
        <f ca="1">IF(AND($D463="Serviço",AW$12&lt;&gt;0,$H463&gt;0,OR(AUTOEVENTO&lt;&gt;"manual",$M463&lt;&gt;1)),
IF(Import.TipoArredondamento&lt;&gt;"TransfereGOV",
ROUND(OFFSET($P463,0,AW$13),15-13*ORÇAMENTO!$AF$7)/$H463*OFFSET(ORÇAMENTO!$X$15,ROW(AW463)-ROW(AW$15),0),
ROUND(ROUND(OFFSET($P463,0,AW$13),15-13*ORÇAMENTO!$AF$7)*OFFSET(ORÇAMENTO!$W$15,ROW(AW463)-ROW(AW$15),0),15-13*ORÇAMENTO!$AF$11)),0)</f>
        <v>0</v>
      </c>
      <c r="AX463" s="545">
        <f ca="1">IF(AND($D463="Serviço",AX$12&lt;&gt;0,$H463&gt;0,OR(AUTOEVENTO&lt;&gt;"manual",$M463&lt;&gt;1)),
IF(Import.TipoArredondamento&lt;&gt;"TransfereGOV",
ROUND(OFFSET($P463,0,AX$13),15-13*ORÇAMENTO!$AF$7)/$H463*OFFSET(ORÇAMENTO!$X$15,ROW(AX463)-ROW(AX$15),0),
ROUND(ROUND(OFFSET($P463,0,AX$13),15-13*ORÇAMENTO!$AF$7)*OFFSET(ORÇAMENTO!$W$15,ROW(AX463)-ROW(AX$15),0),15-13*ORÇAMENTO!$AF$11)),0)</f>
        <v>0</v>
      </c>
      <c r="AY463" s="545">
        <f ca="1">IF(AND($D463="Serviço",AY$12&lt;&gt;0,$H463&gt;0,OR(AUTOEVENTO&lt;&gt;"manual",$M463&lt;&gt;1)),
IF(Import.TipoArredondamento&lt;&gt;"TransfereGOV",
ROUND(OFFSET($P463,0,AY$13),15-13*ORÇAMENTO!$AF$7)/$H463*OFFSET(ORÇAMENTO!$X$15,ROW(AY463)-ROW(AY$15),0),
ROUND(ROUND(OFFSET($P463,0,AY$13),15-13*ORÇAMENTO!$AF$7)*OFFSET(ORÇAMENTO!$W$15,ROW(AY463)-ROW(AY$15),0),15-13*ORÇAMENTO!$AF$11)),0)</f>
        <v>0</v>
      </c>
      <c r="AZ463" s="545">
        <f ca="1">IF(AND($D463="Serviço",AZ$12&lt;&gt;0,$H463&gt;0,OR(AUTOEVENTO&lt;&gt;"manual",$M463&lt;&gt;1)),
IF(Import.TipoArredondamento&lt;&gt;"TransfereGOV",
ROUND(OFFSET($P463,0,AZ$13),15-13*ORÇAMENTO!$AF$7)/$H463*OFFSET(ORÇAMENTO!$X$15,ROW(AZ463)-ROW(AZ$15),0),
ROUND(ROUND(OFFSET($P463,0,AZ$13),15-13*ORÇAMENTO!$AF$7)*OFFSET(ORÇAMENTO!$W$15,ROW(AZ463)-ROW(AZ$15),0),15-13*ORÇAMENTO!$AF$11)),0)</f>
        <v>0</v>
      </c>
      <c r="BA463" s="546">
        <f ca="1">IF(AND($D463="Serviço",BA$12&lt;&gt;0,$H463&gt;0,OR(AUTOEVENTO&lt;&gt;"manual",$M463&lt;&gt;1)),
IF(Import.TipoArredondamento&lt;&gt;"TransfereGOV",
ROUND(OFFSET($P463,0,BA$13),15-13*ORÇAMENTO!$AF$7)/$H463*OFFSET(ORÇAMENTO!$X$15,ROW(BA463)-ROW(BA$15),0),
ROUND(ROUND(OFFSET($P463,0,BA$13),15-13*ORÇAMENTO!$AF$7)*OFFSET(ORÇAMENTO!$W$15,ROW(BA463)-ROW(BA$15),0),15-13*ORÇAMENTO!$AF$11)),0)</f>
        <v>0</v>
      </c>
      <c r="BC463" s="181">
        <f ca="1">IF($D463&lt;&gt;"Serviço",0,IF(AND(AUTOEVENTO="Manual",$M463=1),0,IF(OFFSET(CRONOPLE!$F$14,$M463,BC$13)="",10^12,OFFSET(CRONOPLE!$F$14,$M463,BC$13))))</f>
        <v>10</v>
      </c>
      <c r="BD463" s="181">
        <f ca="1">IF($D463&lt;&gt;"Serviço",0,IF(AND(AUTOEVENTO="Manual",$M463=1),0,IF(OFFSET(CRONOPLE!$F$14,$M463,BD$13)="",10^12,OFFSET(CRONOPLE!$F$14,$M463,BD$13))))</f>
        <v>1000000000000</v>
      </c>
      <c r="BE463" s="181">
        <f ca="1">IF($D463&lt;&gt;"Serviço",0,IF(AND(AUTOEVENTO="Manual",$M463=1),0,IF(OFFSET(CRONOPLE!$F$14,$M463,BE$13)="",10^12,OFFSET(CRONOPLE!$F$14,$M463,BE$13))))</f>
        <v>1000000000000</v>
      </c>
      <c r="BF463" s="181">
        <f ca="1">IF($D463&lt;&gt;"Serviço",0,IF(AND(AUTOEVENTO="Manual",$M463=1),0,IF(OFFSET(CRONOPLE!$F$14,$M463,BF$13)="",10^12,OFFSET(CRONOPLE!$F$14,$M463,BF$13))))</f>
        <v>1000000000000</v>
      </c>
      <c r="BG463" s="181">
        <f ca="1">IF($D463&lt;&gt;"Serviço",0,IF(AND(AUTOEVENTO="Manual",$M463=1),0,IF(OFFSET(CRONOPLE!$F$14,$M463,BG$13)="",10^12,OFFSET(CRONOPLE!$F$14,$M463,BG$13))))</f>
        <v>1000000000000</v>
      </c>
      <c r="BH463" s="181">
        <f ca="1">IF($D463&lt;&gt;"Serviço",0,IF(AND(AUTOEVENTO="Manual",$M463=1),0,IF(OFFSET(CRONOPLE!$F$14,$M463,BH$13)="",10^12,OFFSET(CRONOPLE!$F$14,$M463,BH$13))))</f>
        <v>1000000000000</v>
      </c>
      <c r="BI463" s="181">
        <f ca="1">IF($D463&lt;&gt;"Serviço",0,IF(AND(AUTOEVENTO="Manual",$M463=1),0,IF(OFFSET(CRONOPLE!$F$14,$M463,BI$13)="",10^12,OFFSET(CRONOPLE!$F$14,$M463,BI$13))))</f>
        <v>1000000000000</v>
      </c>
      <c r="BJ463" s="181">
        <f ca="1">IF($D463&lt;&gt;"Serviço",0,IF(AND(AUTOEVENTO="Manual",$M463=1),0,IF(OFFSET(CRONOPLE!$F$14,$M463,BJ$13)="",10^12,OFFSET(CRONOPLE!$F$14,$M463,BJ$13))))</f>
        <v>1000000000000</v>
      </c>
      <c r="BK463" s="181">
        <f ca="1">IF($D463&lt;&gt;"Serviço",0,IF(AND(AUTOEVENTO="Manual",$M463=1),0,IF(OFFSET(CRONOPLE!$F$14,$M463,BK$13)="",10^12,OFFSET(CRONOPLE!$F$14,$M463,BK$13))))</f>
        <v>1000000000000</v>
      </c>
      <c r="BL463" s="181">
        <f ca="1">IF($D463&lt;&gt;"Serviço",0,IF(AND(AUTOEVENTO="Manual",$M463=1),0,IF(OFFSET(CRONOPLE!$F$14,$M463,BL$13)="",10^12,OFFSET(CRONOPLE!$F$14,$M463,BL$13))))</f>
        <v>1000000000000</v>
      </c>
      <c r="BM463" s="181">
        <f ca="1">IF($D463&lt;&gt;"Serviço",0,IF(AND(AUTOEVENTO="Manual",$M463=1),0,IF(OFFSET(CRONOPLE!$F$14,$M463,BM$13)="",10^12,OFFSET(CRONOPLE!$F$14,$M463,BM$13))))</f>
        <v>1000000000000</v>
      </c>
      <c r="BN463" s="181">
        <f ca="1">IF($D463&lt;&gt;"Serviço",0,IF(AND(AUTOEVENTO="Manual",$M463=1),0,IF(OFFSET(CRONOPLE!$F$14,$M463,BN$13)="",10^12,OFFSET(CRONOPLE!$F$14,$M463,BN$13))))</f>
        <v>1000000000000</v>
      </c>
      <c r="BO463" s="181">
        <f ca="1">IF($D463&lt;&gt;"Serviço",0,IF(AND(AUTOEVENTO="Manual",$M463=1),0,IF(OFFSET(CRONOPLE!$F$14,$M463,BO$13)="",10^12,OFFSET(CRONOPLE!$F$14,$M463,BO$13))))</f>
        <v>1000000000000</v>
      </c>
      <c r="BP463" s="181">
        <f ca="1">IF($D463&lt;&gt;"Serviço",0,IF(AND(AUTOEVENTO="Manual",$M463=1),0,IF(OFFSET(CRONOPLE!$F$14,$M463,BP$13)="",10^12,OFFSET(CRONOPLE!$F$14,$M463,BP$13))))</f>
        <v>1000000000000</v>
      </c>
      <c r="BQ463" s="181">
        <f ca="1">IF($D463&lt;&gt;"Serviço",0,IF(AND(AUTOEVENTO="Manual",$M463=1),0,IF(OFFSET(CRONOPLE!$F$14,$M463,BQ$13)="",10^12,OFFSET(CRONOPLE!$F$14,$M463,BQ$13))))</f>
        <v>1000000000000</v>
      </c>
      <c r="BR463" s="181">
        <f ca="1">IF($D463&lt;&gt;"Serviço",0,IF(AND(AUTOEVENTO="Manual",$M463=1),0,IF(OFFSET(CRONOPLE!$F$14,$M463,BR$13)="",10^12,OFFSET(CRONOPLE!$F$14,$M463,BR$13))))</f>
        <v>1000000000000</v>
      </c>
      <c r="BS463" s="181">
        <f ca="1">IF($D463&lt;&gt;"Serviço",0,IF(AND(AUTOEVENTO="Manual",$M463=1),0,IF(OFFSET(CRONOPLE!$F$14,$M463,BS$13)="",10^12,OFFSET(CRONOPLE!$F$14,$M463,BS$13))))</f>
        <v>1000000000000</v>
      </c>
      <c r="BT463" s="181">
        <f ca="1">IF($D463&lt;&gt;"Serviço",0,IF(AND(AUTOEVENTO="Manual",$M463=1),0,IF(OFFSET(CRONOPLE!$F$14,$M463,BT$13)="",10^12,OFFSET(CRONOPLE!$F$14,$M463,BT$13))))</f>
        <v>1000000000000</v>
      </c>
      <c r="BV463" s="182">
        <f ca="1">IF($D463&lt;&gt;"Serviço",0,IF(OR(AND(AUTOEVENTO="Manual",$M463=1),$M463&gt;(ROW(PLE.lastrow)-ROW(PLE.firstrow))),0,IF(OFFSET(PLE!$G$14,$M463,BV$13)="",10^12,OFFSET(PLE!$G$14,$M463,BV$13))))</f>
        <v>1000000000000</v>
      </c>
      <c r="BW463" s="182">
        <f ca="1">IF($D463&lt;&gt;"Serviço",0,IF(OR(AND(AUTOEVENTO="Manual",$M463=1),$M463&gt;(ROW(PLE.lastrow)-ROW(PLE.firstrow))),0,IF(OFFSET(PLE!$G$14,$M463,BW$13)="",10^12,OFFSET(PLE!$G$14,$M463,BW$13))))</f>
        <v>1000000000000</v>
      </c>
      <c r="BX463" s="182">
        <f ca="1">IF($D463&lt;&gt;"Serviço",0,IF(OR(AND(AUTOEVENTO="Manual",$M463=1),$M463&gt;(ROW(PLE.lastrow)-ROW(PLE.firstrow))),0,IF(OFFSET(PLE!$G$14,$M463,BX$13)="",10^12,OFFSET(PLE!$G$14,$M463,BX$13))))</f>
        <v>1000000000000</v>
      </c>
      <c r="BY463" s="182">
        <f ca="1">IF($D463&lt;&gt;"Serviço",0,IF(OR(AND(AUTOEVENTO="Manual",$M463=1),$M463&gt;(ROW(PLE.lastrow)-ROW(PLE.firstrow))),0,IF(OFFSET(PLE!$G$14,$M463,BY$13)="",10^12,OFFSET(PLE!$G$14,$M463,BY$13))))</f>
        <v>1000000000000</v>
      </c>
      <c r="BZ463" s="182">
        <f ca="1">IF($D463&lt;&gt;"Serviço",0,IF(OR(AND(AUTOEVENTO="Manual",$M463=1),$M463&gt;(ROW(PLE.lastrow)-ROW(PLE.firstrow))),0,IF(OFFSET(PLE!$G$14,$M463,BZ$13)="",10^12,OFFSET(PLE!$G$14,$M463,BZ$13))))</f>
        <v>1000000000000</v>
      </c>
      <c r="CA463" s="182">
        <f ca="1">IF($D463&lt;&gt;"Serviço",0,IF(OR(AND(AUTOEVENTO="Manual",$M463=1),$M463&gt;(ROW(PLE.lastrow)-ROW(PLE.firstrow))),0,IF(OFFSET(PLE!$G$14,$M463,CA$13)="",10^12,OFFSET(PLE!$G$14,$M463,CA$13))))</f>
        <v>1000000000000</v>
      </c>
      <c r="CB463" s="182">
        <f ca="1">IF($D463&lt;&gt;"Serviço",0,IF(OR(AND(AUTOEVENTO="Manual",$M463=1),$M463&gt;(ROW(PLE.lastrow)-ROW(PLE.firstrow))),0,IF(OFFSET(PLE!$G$14,$M463,CB$13)="",10^12,OFFSET(PLE!$G$14,$M463,CB$13))))</f>
        <v>1000000000000</v>
      </c>
      <c r="CC463" s="182">
        <f ca="1">IF($D463&lt;&gt;"Serviço",0,IF(OR(AND(AUTOEVENTO="Manual",$M463=1),$M463&gt;(ROW(PLE.lastrow)-ROW(PLE.firstrow))),0,IF(OFFSET(PLE!$G$14,$M463,CC$13)="",10^12,OFFSET(PLE!$G$14,$M463,CC$13))))</f>
        <v>1000000000000</v>
      </c>
      <c r="CD463" s="182">
        <f ca="1">IF($D463&lt;&gt;"Serviço",0,IF(OR(AND(AUTOEVENTO="Manual",$M463=1),$M463&gt;(ROW(PLE.lastrow)-ROW(PLE.firstrow))),0,IF(OFFSET(PLE!$G$14,$M463,CD$13)="",10^12,OFFSET(PLE!$G$14,$M463,CD$13))))</f>
        <v>1000000000000</v>
      </c>
      <c r="CE463" s="182">
        <f ca="1">IF($D463&lt;&gt;"Serviço",0,IF(OR(AND(AUTOEVENTO="Manual",$M463=1),$M463&gt;(ROW(PLE.lastrow)-ROW(PLE.firstrow))),0,IF(OFFSET(PLE!$G$14,$M463,CE$13)="",10^12,OFFSET(PLE!$G$14,$M463,CE$13))))</f>
        <v>1000000000000</v>
      </c>
      <c r="CF463" s="182">
        <f ca="1">IF($D463&lt;&gt;"Serviço",0,IF(OR(AND(AUTOEVENTO="Manual",$M463=1),$M463&gt;(ROW(PLE.lastrow)-ROW(PLE.firstrow))),0,IF(OFFSET(PLE!$G$14,$M463,CF$13)="",10^12,OFFSET(PLE!$G$14,$M463,CF$13))))</f>
        <v>1000000000000</v>
      </c>
      <c r="CG463" s="182">
        <f ca="1">IF($D463&lt;&gt;"Serviço",0,IF(OR(AND(AUTOEVENTO="Manual",$M463=1),$M463&gt;(ROW(PLE.lastrow)-ROW(PLE.firstrow))),0,IF(OFFSET(PLE!$G$14,$M463,CG$13)="",10^12,OFFSET(PLE!$G$14,$M463,CG$13))))</f>
        <v>1000000000000</v>
      </c>
      <c r="CH463" s="182">
        <f ca="1">IF($D463&lt;&gt;"Serviço",0,IF(OR(AND(AUTOEVENTO="Manual",$M463=1),$M463&gt;(ROW(PLE.lastrow)-ROW(PLE.firstrow))),0,IF(OFFSET(PLE!$G$14,$M463,CH$13)="",10^12,OFFSET(PLE!$G$14,$M463,CH$13))))</f>
        <v>1000000000000</v>
      </c>
      <c r="CI463" s="182">
        <f ca="1">IF($D463&lt;&gt;"Serviço",0,IF(OR(AND(AUTOEVENTO="Manual",$M463=1),$M463&gt;(ROW(PLE.lastrow)-ROW(PLE.firstrow))),0,IF(OFFSET(PLE!$G$14,$M463,CI$13)="",10^12,OFFSET(PLE!$G$14,$M463,CI$13))))</f>
        <v>1000000000000</v>
      </c>
      <c r="CJ463" s="182">
        <f ca="1">IF($D463&lt;&gt;"Serviço",0,IF(OR(AND(AUTOEVENTO="Manual",$M463=1),$M463&gt;(ROW(PLE.lastrow)-ROW(PLE.firstrow))),0,IF(OFFSET(PLE!$G$14,$M463,CJ$13)="",10^12,OFFSET(PLE!$G$14,$M463,CJ$13))))</f>
        <v>1000000000000</v>
      </c>
      <c r="CK463" s="182">
        <f ca="1">IF($D463&lt;&gt;"Serviço",0,IF(OR(AND(AUTOEVENTO="Manual",$M463=1),$M463&gt;(ROW(PLE.lastrow)-ROW(PLE.firstrow))),0,IF(OFFSET(PLE!$G$14,$M463,CK$13)="",10^12,OFFSET(PLE!$G$14,$M463,CK$13))))</f>
        <v>1000000000000</v>
      </c>
      <c r="CL463" s="182">
        <f ca="1">IF($D463&lt;&gt;"Serviço",0,IF(OR(AND(AUTOEVENTO="Manual",$M463=1),$M463&gt;(ROW(PLE.lastrow)-ROW(PLE.firstrow))),0,IF(OFFSET(PLE!$G$14,$M463,CL$13)="",10^12,OFFSET(PLE!$G$14,$M463,CL$13))))</f>
        <v>1000000000000</v>
      </c>
      <c r="CM463" s="182">
        <f ca="1">IF($D463&lt;&gt;"Serviço",0,IF(OR(AND(AUTOEVENTO="Manual",$M463=1),$M463&gt;(ROW(PLE.lastrow)-ROW(PLE.firstrow))),0,IF(OFFSET(PLE!$G$14,$M463,CM$13)="",10^12,OFFSET(PLE!$G$14,$M463,CM$13))))</f>
        <v>1000000000000</v>
      </c>
    </row>
    <row r="464" spans="1:91" ht="38.25" x14ac:dyDescent="0.2">
      <c r="A464" s="7" t="str">
        <f t="shared" ca="1" si="12"/>
        <v>421</v>
      </c>
      <c r="B464" s="7" t="str">
        <f ca="1">OFFSET(ORÇAMENTO!C$15,ROW(B464)-ROW(B$15),0)</f>
        <v>S</v>
      </c>
      <c r="C464" s="7" t="str">
        <f ca="1">OFFSET(ORÇAMENTO!L$15,ROW(C464)-ROW(C$15),0)</f>
        <v/>
      </c>
      <c r="D464" s="118" t="str">
        <f ca="1">OFFSET(ORÇAMENTO!N$15,ROW(D464)-ROW(D$15),0)</f>
        <v>Serviço</v>
      </c>
      <c r="E464" s="119" t="str">
        <f ca="1">OFFSET(ORÇAMENTO!O$15,ROW(E464)-ROW(E$15),0)</f>
        <v>-</v>
      </c>
      <c r="F464" s="172" t="str">
        <f ca="1">OFFSET(ORÇAMENTO!R$15,ROW(F464)-ROW(F$15),0)</f>
        <v>(abra o arquivo 'Referência 06-2024.xlsm)</v>
      </c>
      <c r="G464" s="173" t="str">
        <f ca="1">IF($D464&lt;&gt;"Serviço","",OFFSET(ORÇAMENTO!S$15,ROW(G464)-ROW(G$15),0))</f>
        <v>-</v>
      </c>
      <c r="H464" s="124">
        <f ca="1">IF($D464&lt;&gt;"Serviço",0,IF(ACOMPANHAMENTO="BM",ROUND(OFFSET(ORÇAMENTO!AJ$15,ROW(H464)-ROW(H$15),0),15-13*ORÇAMENTO!$AF$7),SUMPRODUCT(($Q$12:$AI$12&lt;&gt;"")*ROUND($Q464:$AI464,15-13*ORÇAMENTO!$AF$7))))</f>
        <v>1</v>
      </c>
      <c r="I464" s="561" t="s">
        <v>1107</v>
      </c>
      <c r="K464" s="174"/>
      <c r="L464" s="175" t="s">
        <v>255</v>
      </c>
      <c r="M464" s="176">
        <f ca="1">IF($D464&lt;&gt;"Serviço","",IF(AUTOEVENTO="manual",$A464,IF(ISERROR(MATCH($A464,$A$15:OFFSET($A464,-1,0),0)),MAX($M$15:OFFSET(M464,-1,0))+1,INDEX($M$15:OFFSET(M464,-1,0),MATCH($A464,$A$15:OFFSET($A464,-1,0),0)))))</f>
        <v>49</v>
      </c>
      <c r="N464" s="177" t="str">
        <f ca="1">IF($D464&lt;&gt;"Serviço","",IF(AUTOEVENTO="Manual",IF($A464=0,"&lt;-- defina o número do agrupador",OFFSET(EVENTOS!$D$14,$A464,0)),OFFSET($F$15,$A464,0)))</f>
        <v>SISTEMA DE PROTEÇÃO CONTRA INCÊNDIO - TUBULAÇÕES E CONEXÕES</v>
      </c>
      <c r="O464" s="178"/>
      <c r="Q464" s="178">
        <v>1</v>
      </c>
      <c r="R464" s="179"/>
      <c r="S464" s="179"/>
      <c r="T464" s="179"/>
      <c r="U464" s="179"/>
      <c r="V464" s="179"/>
      <c r="W464" s="179"/>
      <c r="X464" s="179"/>
      <c r="Y464" s="179"/>
      <c r="Z464" s="180"/>
      <c r="AA464" s="179"/>
      <c r="AB464" s="179"/>
      <c r="AC464" s="179"/>
      <c r="AD464" s="179"/>
      <c r="AE464" s="179"/>
      <c r="AF464" s="179"/>
      <c r="AG464" s="179"/>
      <c r="AH464" s="180"/>
      <c r="AJ464" s="544">
        <f ca="1">IF(AND($D464="Serviço",AJ$12&lt;&gt;0,$H464&gt;0,OR(AUTOEVENTO&lt;&gt;"manual",$M464&lt;&gt;1)),
IF(Import.TipoArredondamento&lt;&gt;"TransfereGOV",
ROUND(OFFSET($P464,0,AJ$13),15-13*ORÇAMENTO!$AF$7)/$H464*OFFSET(ORÇAMENTO!$X$15,ROW(AJ464)-ROW(AJ$15),0),
ROUND(ROUND(OFFSET($P464,0,AJ$13),15-13*ORÇAMENTO!$AF$7)*OFFSET(ORÇAMENTO!$W$15,ROW(AJ464)-ROW(AJ$15),0),15-13*ORÇAMENTO!$AF$11)),0)</f>
        <v>0</v>
      </c>
      <c r="AK464" s="545">
        <f ca="1">IF(AND($D464="Serviço",AK$12&lt;&gt;0,$H464&gt;0,OR(AUTOEVENTO&lt;&gt;"manual",$M464&lt;&gt;1)),
IF(Import.TipoArredondamento&lt;&gt;"TransfereGOV",
ROUND(OFFSET($P464,0,AK$13),15-13*ORÇAMENTO!$AF$7)/$H464*OFFSET(ORÇAMENTO!$X$15,ROW(AK464)-ROW(AK$15),0),
ROUND(ROUND(OFFSET($P464,0,AK$13),15-13*ORÇAMENTO!$AF$7)*OFFSET(ORÇAMENTO!$W$15,ROW(AK464)-ROW(AK$15),0),15-13*ORÇAMENTO!$AF$11)),0)</f>
        <v>0</v>
      </c>
      <c r="AL464" s="545">
        <f ca="1">IF(AND($D464="Serviço",AL$12&lt;&gt;0,$H464&gt;0,OR(AUTOEVENTO&lt;&gt;"manual",$M464&lt;&gt;1)),
IF(Import.TipoArredondamento&lt;&gt;"TransfereGOV",
ROUND(OFFSET($P464,0,AL$13),15-13*ORÇAMENTO!$AF$7)/$H464*OFFSET(ORÇAMENTO!$X$15,ROW(AL464)-ROW(AL$15),0),
ROUND(ROUND(OFFSET($P464,0,AL$13),15-13*ORÇAMENTO!$AF$7)*OFFSET(ORÇAMENTO!$W$15,ROW(AL464)-ROW(AL$15),0),15-13*ORÇAMENTO!$AF$11)),0)</f>
        <v>0</v>
      </c>
      <c r="AM464" s="545">
        <f ca="1">IF(AND($D464="Serviço",AM$12&lt;&gt;0,$H464&gt;0,OR(AUTOEVENTO&lt;&gt;"manual",$M464&lt;&gt;1)),
IF(Import.TipoArredondamento&lt;&gt;"TransfereGOV",
ROUND(OFFSET($P464,0,AM$13),15-13*ORÇAMENTO!$AF$7)/$H464*OFFSET(ORÇAMENTO!$X$15,ROW(AM464)-ROW(AM$15),0),
ROUND(ROUND(OFFSET($P464,0,AM$13),15-13*ORÇAMENTO!$AF$7)*OFFSET(ORÇAMENTO!$W$15,ROW(AM464)-ROW(AM$15),0),15-13*ORÇAMENTO!$AF$11)),0)</f>
        <v>0</v>
      </c>
      <c r="AN464" s="545">
        <f ca="1">IF(AND($D464="Serviço",AN$12&lt;&gt;0,$H464&gt;0,OR(AUTOEVENTO&lt;&gt;"manual",$M464&lt;&gt;1)),
IF(Import.TipoArredondamento&lt;&gt;"TransfereGOV",
ROUND(OFFSET($P464,0,AN$13),15-13*ORÇAMENTO!$AF$7)/$H464*OFFSET(ORÇAMENTO!$X$15,ROW(AN464)-ROW(AN$15),0),
ROUND(ROUND(OFFSET($P464,0,AN$13),15-13*ORÇAMENTO!$AF$7)*OFFSET(ORÇAMENTO!$W$15,ROW(AN464)-ROW(AN$15),0),15-13*ORÇAMENTO!$AF$11)),0)</f>
        <v>0</v>
      </c>
      <c r="AO464" s="545">
        <f ca="1">IF(AND($D464="Serviço",AO$12&lt;&gt;0,$H464&gt;0,OR(AUTOEVENTO&lt;&gt;"manual",$M464&lt;&gt;1)),
IF(Import.TipoArredondamento&lt;&gt;"TransfereGOV",
ROUND(OFFSET($P464,0,AO$13),15-13*ORÇAMENTO!$AF$7)/$H464*OFFSET(ORÇAMENTO!$X$15,ROW(AO464)-ROW(AO$15),0),
ROUND(ROUND(OFFSET($P464,0,AO$13),15-13*ORÇAMENTO!$AF$7)*OFFSET(ORÇAMENTO!$W$15,ROW(AO464)-ROW(AO$15),0),15-13*ORÇAMENTO!$AF$11)),0)</f>
        <v>0</v>
      </c>
      <c r="AP464" s="545">
        <f ca="1">IF(AND($D464="Serviço",AP$12&lt;&gt;0,$H464&gt;0,OR(AUTOEVENTO&lt;&gt;"manual",$M464&lt;&gt;1)),
IF(Import.TipoArredondamento&lt;&gt;"TransfereGOV",
ROUND(OFFSET($P464,0,AP$13),15-13*ORÇAMENTO!$AF$7)/$H464*OFFSET(ORÇAMENTO!$X$15,ROW(AP464)-ROW(AP$15),0),
ROUND(ROUND(OFFSET($P464,0,AP$13),15-13*ORÇAMENTO!$AF$7)*OFFSET(ORÇAMENTO!$W$15,ROW(AP464)-ROW(AP$15),0),15-13*ORÇAMENTO!$AF$11)),0)</f>
        <v>0</v>
      </c>
      <c r="AQ464" s="545">
        <f ca="1">IF(AND($D464="Serviço",AQ$12&lt;&gt;0,$H464&gt;0,OR(AUTOEVENTO&lt;&gt;"manual",$M464&lt;&gt;1)),
IF(Import.TipoArredondamento&lt;&gt;"TransfereGOV",
ROUND(OFFSET($P464,0,AQ$13),15-13*ORÇAMENTO!$AF$7)/$H464*OFFSET(ORÇAMENTO!$X$15,ROW(AQ464)-ROW(AQ$15),0),
ROUND(ROUND(OFFSET($P464,0,AQ$13),15-13*ORÇAMENTO!$AF$7)*OFFSET(ORÇAMENTO!$W$15,ROW(AQ464)-ROW(AQ$15),0),15-13*ORÇAMENTO!$AF$11)),0)</f>
        <v>0</v>
      </c>
      <c r="AR464" s="545">
        <f ca="1">IF(AND($D464="Serviço",AR$12&lt;&gt;0,$H464&gt;0,OR(AUTOEVENTO&lt;&gt;"manual",$M464&lt;&gt;1)),
IF(Import.TipoArredondamento&lt;&gt;"TransfereGOV",
ROUND(OFFSET($P464,0,AR$13),15-13*ORÇAMENTO!$AF$7)/$H464*OFFSET(ORÇAMENTO!$X$15,ROW(AR464)-ROW(AR$15),0),
ROUND(ROUND(OFFSET($P464,0,AR$13),15-13*ORÇAMENTO!$AF$7)*OFFSET(ORÇAMENTO!$W$15,ROW(AR464)-ROW(AR$15),0),15-13*ORÇAMENTO!$AF$11)),0)</f>
        <v>0</v>
      </c>
      <c r="AS464" s="546">
        <f ca="1">IF(AND($D464="Serviço",AS$12&lt;&gt;0,$H464&gt;0,OR(AUTOEVENTO&lt;&gt;"manual",$M464&lt;&gt;1)),
IF(Import.TipoArredondamento&lt;&gt;"TransfereGOV",
ROUND(OFFSET($P464,0,AS$13),15-13*ORÇAMENTO!$AF$7)/$H464*OFFSET(ORÇAMENTO!$X$15,ROW(AS464)-ROW(AS$15),0),
ROUND(ROUND(OFFSET($P464,0,AS$13),15-13*ORÇAMENTO!$AF$7)*OFFSET(ORÇAMENTO!$W$15,ROW(AS464)-ROW(AS$15),0),15-13*ORÇAMENTO!$AF$11)),0)</f>
        <v>0</v>
      </c>
      <c r="AT464" s="545">
        <f ca="1">IF(AND($D464="Serviço",AT$12&lt;&gt;0,$H464&gt;0,OR(AUTOEVENTO&lt;&gt;"manual",$M464&lt;&gt;1)),
IF(Import.TipoArredondamento&lt;&gt;"TransfereGOV",
ROUND(OFFSET($P464,0,AT$13),15-13*ORÇAMENTO!$AF$7)/$H464*OFFSET(ORÇAMENTO!$X$15,ROW(AT464)-ROW(AT$15),0),
ROUND(ROUND(OFFSET($P464,0,AT$13),15-13*ORÇAMENTO!$AF$7)*OFFSET(ORÇAMENTO!$W$15,ROW(AT464)-ROW(AT$15),0),15-13*ORÇAMENTO!$AF$11)),0)</f>
        <v>0</v>
      </c>
      <c r="AU464" s="545">
        <f ca="1">IF(AND($D464="Serviço",AU$12&lt;&gt;0,$H464&gt;0,OR(AUTOEVENTO&lt;&gt;"manual",$M464&lt;&gt;1)),
IF(Import.TipoArredondamento&lt;&gt;"TransfereGOV",
ROUND(OFFSET($P464,0,AU$13),15-13*ORÇAMENTO!$AF$7)/$H464*OFFSET(ORÇAMENTO!$X$15,ROW(AU464)-ROW(AU$15),0),
ROUND(ROUND(OFFSET($P464,0,AU$13),15-13*ORÇAMENTO!$AF$7)*OFFSET(ORÇAMENTO!$W$15,ROW(AU464)-ROW(AU$15),0),15-13*ORÇAMENTO!$AF$11)),0)</f>
        <v>0</v>
      </c>
      <c r="AV464" s="545">
        <f ca="1">IF(AND($D464="Serviço",AV$12&lt;&gt;0,$H464&gt;0,OR(AUTOEVENTO&lt;&gt;"manual",$M464&lt;&gt;1)),
IF(Import.TipoArredondamento&lt;&gt;"TransfereGOV",
ROUND(OFFSET($P464,0,AV$13),15-13*ORÇAMENTO!$AF$7)/$H464*OFFSET(ORÇAMENTO!$X$15,ROW(AV464)-ROW(AV$15),0),
ROUND(ROUND(OFFSET($P464,0,AV$13),15-13*ORÇAMENTO!$AF$7)*OFFSET(ORÇAMENTO!$W$15,ROW(AV464)-ROW(AV$15),0),15-13*ORÇAMENTO!$AF$11)),0)</f>
        <v>0</v>
      </c>
      <c r="AW464" s="545">
        <f ca="1">IF(AND($D464="Serviço",AW$12&lt;&gt;0,$H464&gt;0,OR(AUTOEVENTO&lt;&gt;"manual",$M464&lt;&gt;1)),
IF(Import.TipoArredondamento&lt;&gt;"TransfereGOV",
ROUND(OFFSET($P464,0,AW$13),15-13*ORÇAMENTO!$AF$7)/$H464*OFFSET(ORÇAMENTO!$X$15,ROW(AW464)-ROW(AW$15),0),
ROUND(ROUND(OFFSET($P464,0,AW$13),15-13*ORÇAMENTO!$AF$7)*OFFSET(ORÇAMENTO!$W$15,ROW(AW464)-ROW(AW$15),0),15-13*ORÇAMENTO!$AF$11)),0)</f>
        <v>0</v>
      </c>
      <c r="AX464" s="545">
        <f ca="1">IF(AND($D464="Serviço",AX$12&lt;&gt;0,$H464&gt;0,OR(AUTOEVENTO&lt;&gt;"manual",$M464&lt;&gt;1)),
IF(Import.TipoArredondamento&lt;&gt;"TransfereGOV",
ROUND(OFFSET($P464,0,AX$13),15-13*ORÇAMENTO!$AF$7)/$H464*OFFSET(ORÇAMENTO!$X$15,ROW(AX464)-ROW(AX$15),0),
ROUND(ROUND(OFFSET($P464,0,AX$13),15-13*ORÇAMENTO!$AF$7)*OFFSET(ORÇAMENTO!$W$15,ROW(AX464)-ROW(AX$15),0),15-13*ORÇAMENTO!$AF$11)),0)</f>
        <v>0</v>
      </c>
      <c r="AY464" s="545">
        <f ca="1">IF(AND($D464="Serviço",AY$12&lt;&gt;0,$H464&gt;0,OR(AUTOEVENTO&lt;&gt;"manual",$M464&lt;&gt;1)),
IF(Import.TipoArredondamento&lt;&gt;"TransfereGOV",
ROUND(OFFSET($P464,0,AY$13),15-13*ORÇAMENTO!$AF$7)/$H464*OFFSET(ORÇAMENTO!$X$15,ROW(AY464)-ROW(AY$15),0),
ROUND(ROUND(OFFSET($P464,0,AY$13),15-13*ORÇAMENTO!$AF$7)*OFFSET(ORÇAMENTO!$W$15,ROW(AY464)-ROW(AY$15),0),15-13*ORÇAMENTO!$AF$11)),0)</f>
        <v>0</v>
      </c>
      <c r="AZ464" s="545">
        <f ca="1">IF(AND($D464="Serviço",AZ$12&lt;&gt;0,$H464&gt;0,OR(AUTOEVENTO&lt;&gt;"manual",$M464&lt;&gt;1)),
IF(Import.TipoArredondamento&lt;&gt;"TransfereGOV",
ROUND(OFFSET($P464,0,AZ$13),15-13*ORÇAMENTO!$AF$7)/$H464*OFFSET(ORÇAMENTO!$X$15,ROW(AZ464)-ROW(AZ$15),0),
ROUND(ROUND(OFFSET($P464,0,AZ$13),15-13*ORÇAMENTO!$AF$7)*OFFSET(ORÇAMENTO!$W$15,ROW(AZ464)-ROW(AZ$15),0),15-13*ORÇAMENTO!$AF$11)),0)</f>
        <v>0</v>
      </c>
      <c r="BA464" s="546">
        <f ca="1">IF(AND($D464="Serviço",BA$12&lt;&gt;0,$H464&gt;0,OR(AUTOEVENTO&lt;&gt;"manual",$M464&lt;&gt;1)),
IF(Import.TipoArredondamento&lt;&gt;"TransfereGOV",
ROUND(OFFSET($P464,0,BA$13),15-13*ORÇAMENTO!$AF$7)/$H464*OFFSET(ORÇAMENTO!$X$15,ROW(BA464)-ROW(BA$15),0),
ROUND(ROUND(OFFSET($P464,0,BA$13),15-13*ORÇAMENTO!$AF$7)*OFFSET(ORÇAMENTO!$W$15,ROW(BA464)-ROW(BA$15),0),15-13*ORÇAMENTO!$AF$11)),0)</f>
        <v>0</v>
      </c>
      <c r="BC464" s="181">
        <f ca="1">IF($D464&lt;&gt;"Serviço",0,IF(AND(AUTOEVENTO="Manual",$M464=1),0,IF(OFFSET(CRONOPLE!$F$14,$M464,BC$13)="",10^12,OFFSET(CRONOPLE!$F$14,$M464,BC$13))))</f>
        <v>10</v>
      </c>
      <c r="BD464" s="181">
        <f ca="1">IF($D464&lt;&gt;"Serviço",0,IF(AND(AUTOEVENTO="Manual",$M464=1),0,IF(OFFSET(CRONOPLE!$F$14,$M464,BD$13)="",10^12,OFFSET(CRONOPLE!$F$14,$M464,BD$13))))</f>
        <v>1000000000000</v>
      </c>
      <c r="BE464" s="181">
        <f ca="1">IF($D464&lt;&gt;"Serviço",0,IF(AND(AUTOEVENTO="Manual",$M464=1),0,IF(OFFSET(CRONOPLE!$F$14,$M464,BE$13)="",10^12,OFFSET(CRONOPLE!$F$14,$M464,BE$13))))</f>
        <v>1000000000000</v>
      </c>
      <c r="BF464" s="181">
        <f ca="1">IF($D464&lt;&gt;"Serviço",0,IF(AND(AUTOEVENTO="Manual",$M464=1),0,IF(OFFSET(CRONOPLE!$F$14,$M464,BF$13)="",10^12,OFFSET(CRONOPLE!$F$14,$M464,BF$13))))</f>
        <v>1000000000000</v>
      </c>
      <c r="BG464" s="181">
        <f ca="1">IF($D464&lt;&gt;"Serviço",0,IF(AND(AUTOEVENTO="Manual",$M464=1),0,IF(OFFSET(CRONOPLE!$F$14,$M464,BG$13)="",10^12,OFFSET(CRONOPLE!$F$14,$M464,BG$13))))</f>
        <v>1000000000000</v>
      </c>
      <c r="BH464" s="181">
        <f ca="1">IF($D464&lt;&gt;"Serviço",0,IF(AND(AUTOEVENTO="Manual",$M464=1),0,IF(OFFSET(CRONOPLE!$F$14,$M464,BH$13)="",10^12,OFFSET(CRONOPLE!$F$14,$M464,BH$13))))</f>
        <v>1000000000000</v>
      </c>
      <c r="BI464" s="181">
        <f ca="1">IF($D464&lt;&gt;"Serviço",0,IF(AND(AUTOEVENTO="Manual",$M464=1),0,IF(OFFSET(CRONOPLE!$F$14,$M464,BI$13)="",10^12,OFFSET(CRONOPLE!$F$14,$M464,BI$13))))</f>
        <v>1000000000000</v>
      </c>
      <c r="BJ464" s="181">
        <f ca="1">IF($D464&lt;&gt;"Serviço",0,IF(AND(AUTOEVENTO="Manual",$M464=1),0,IF(OFFSET(CRONOPLE!$F$14,$M464,BJ$13)="",10^12,OFFSET(CRONOPLE!$F$14,$M464,BJ$13))))</f>
        <v>1000000000000</v>
      </c>
      <c r="BK464" s="181">
        <f ca="1">IF($D464&lt;&gt;"Serviço",0,IF(AND(AUTOEVENTO="Manual",$M464=1),0,IF(OFFSET(CRONOPLE!$F$14,$M464,BK$13)="",10^12,OFFSET(CRONOPLE!$F$14,$M464,BK$13))))</f>
        <v>1000000000000</v>
      </c>
      <c r="BL464" s="181">
        <f ca="1">IF($D464&lt;&gt;"Serviço",0,IF(AND(AUTOEVENTO="Manual",$M464=1),0,IF(OFFSET(CRONOPLE!$F$14,$M464,BL$13)="",10^12,OFFSET(CRONOPLE!$F$14,$M464,BL$13))))</f>
        <v>1000000000000</v>
      </c>
      <c r="BM464" s="181">
        <f ca="1">IF($D464&lt;&gt;"Serviço",0,IF(AND(AUTOEVENTO="Manual",$M464=1),0,IF(OFFSET(CRONOPLE!$F$14,$M464,BM$13)="",10^12,OFFSET(CRONOPLE!$F$14,$M464,BM$13))))</f>
        <v>1000000000000</v>
      </c>
      <c r="BN464" s="181">
        <f ca="1">IF($D464&lt;&gt;"Serviço",0,IF(AND(AUTOEVENTO="Manual",$M464=1),0,IF(OFFSET(CRONOPLE!$F$14,$M464,BN$13)="",10^12,OFFSET(CRONOPLE!$F$14,$M464,BN$13))))</f>
        <v>1000000000000</v>
      </c>
      <c r="BO464" s="181">
        <f ca="1">IF($D464&lt;&gt;"Serviço",0,IF(AND(AUTOEVENTO="Manual",$M464=1),0,IF(OFFSET(CRONOPLE!$F$14,$M464,BO$13)="",10^12,OFFSET(CRONOPLE!$F$14,$M464,BO$13))))</f>
        <v>1000000000000</v>
      </c>
      <c r="BP464" s="181">
        <f ca="1">IF($D464&lt;&gt;"Serviço",0,IF(AND(AUTOEVENTO="Manual",$M464=1),0,IF(OFFSET(CRONOPLE!$F$14,$M464,BP$13)="",10^12,OFFSET(CRONOPLE!$F$14,$M464,BP$13))))</f>
        <v>1000000000000</v>
      </c>
      <c r="BQ464" s="181">
        <f ca="1">IF($D464&lt;&gt;"Serviço",0,IF(AND(AUTOEVENTO="Manual",$M464=1),0,IF(OFFSET(CRONOPLE!$F$14,$M464,BQ$13)="",10^12,OFFSET(CRONOPLE!$F$14,$M464,BQ$13))))</f>
        <v>1000000000000</v>
      </c>
      <c r="BR464" s="181">
        <f ca="1">IF($D464&lt;&gt;"Serviço",0,IF(AND(AUTOEVENTO="Manual",$M464=1),0,IF(OFFSET(CRONOPLE!$F$14,$M464,BR$13)="",10^12,OFFSET(CRONOPLE!$F$14,$M464,BR$13))))</f>
        <v>1000000000000</v>
      </c>
      <c r="BS464" s="181">
        <f ca="1">IF($D464&lt;&gt;"Serviço",0,IF(AND(AUTOEVENTO="Manual",$M464=1),0,IF(OFFSET(CRONOPLE!$F$14,$M464,BS$13)="",10^12,OFFSET(CRONOPLE!$F$14,$M464,BS$13))))</f>
        <v>1000000000000</v>
      </c>
      <c r="BT464" s="181">
        <f ca="1">IF($D464&lt;&gt;"Serviço",0,IF(AND(AUTOEVENTO="Manual",$M464=1),0,IF(OFFSET(CRONOPLE!$F$14,$M464,BT$13)="",10^12,OFFSET(CRONOPLE!$F$14,$M464,BT$13))))</f>
        <v>1000000000000</v>
      </c>
      <c r="BV464" s="182">
        <f ca="1">IF($D464&lt;&gt;"Serviço",0,IF(OR(AND(AUTOEVENTO="Manual",$M464=1),$M464&gt;(ROW(PLE.lastrow)-ROW(PLE.firstrow))),0,IF(OFFSET(PLE!$G$14,$M464,BV$13)="",10^12,OFFSET(PLE!$G$14,$M464,BV$13))))</f>
        <v>1000000000000</v>
      </c>
      <c r="BW464" s="182">
        <f ca="1">IF($D464&lt;&gt;"Serviço",0,IF(OR(AND(AUTOEVENTO="Manual",$M464=1),$M464&gt;(ROW(PLE.lastrow)-ROW(PLE.firstrow))),0,IF(OFFSET(PLE!$G$14,$M464,BW$13)="",10^12,OFFSET(PLE!$G$14,$M464,BW$13))))</f>
        <v>1000000000000</v>
      </c>
      <c r="BX464" s="182">
        <f ca="1">IF($D464&lt;&gt;"Serviço",0,IF(OR(AND(AUTOEVENTO="Manual",$M464=1),$M464&gt;(ROW(PLE.lastrow)-ROW(PLE.firstrow))),0,IF(OFFSET(PLE!$G$14,$M464,BX$13)="",10^12,OFFSET(PLE!$G$14,$M464,BX$13))))</f>
        <v>1000000000000</v>
      </c>
      <c r="BY464" s="182">
        <f ca="1">IF($D464&lt;&gt;"Serviço",0,IF(OR(AND(AUTOEVENTO="Manual",$M464=1),$M464&gt;(ROW(PLE.lastrow)-ROW(PLE.firstrow))),0,IF(OFFSET(PLE!$G$14,$M464,BY$13)="",10^12,OFFSET(PLE!$G$14,$M464,BY$13))))</f>
        <v>1000000000000</v>
      </c>
      <c r="BZ464" s="182">
        <f ca="1">IF($D464&lt;&gt;"Serviço",0,IF(OR(AND(AUTOEVENTO="Manual",$M464=1),$M464&gt;(ROW(PLE.lastrow)-ROW(PLE.firstrow))),0,IF(OFFSET(PLE!$G$14,$M464,BZ$13)="",10^12,OFFSET(PLE!$G$14,$M464,BZ$13))))</f>
        <v>1000000000000</v>
      </c>
      <c r="CA464" s="182">
        <f ca="1">IF($D464&lt;&gt;"Serviço",0,IF(OR(AND(AUTOEVENTO="Manual",$M464=1),$M464&gt;(ROW(PLE.lastrow)-ROW(PLE.firstrow))),0,IF(OFFSET(PLE!$G$14,$M464,CA$13)="",10^12,OFFSET(PLE!$G$14,$M464,CA$13))))</f>
        <v>1000000000000</v>
      </c>
      <c r="CB464" s="182">
        <f ca="1">IF($D464&lt;&gt;"Serviço",0,IF(OR(AND(AUTOEVENTO="Manual",$M464=1),$M464&gt;(ROW(PLE.lastrow)-ROW(PLE.firstrow))),0,IF(OFFSET(PLE!$G$14,$M464,CB$13)="",10^12,OFFSET(PLE!$G$14,$M464,CB$13))))</f>
        <v>1000000000000</v>
      </c>
      <c r="CC464" s="182">
        <f ca="1">IF($D464&lt;&gt;"Serviço",0,IF(OR(AND(AUTOEVENTO="Manual",$M464=1),$M464&gt;(ROW(PLE.lastrow)-ROW(PLE.firstrow))),0,IF(OFFSET(PLE!$G$14,$M464,CC$13)="",10^12,OFFSET(PLE!$G$14,$M464,CC$13))))</f>
        <v>1000000000000</v>
      </c>
      <c r="CD464" s="182">
        <f ca="1">IF($D464&lt;&gt;"Serviço",0,IF(OR(AND(AUTOEVENTO="Manual",$M464=1),$M464&gt;(ROW(PLE.lastrow)-ROW(PLE.firstrow))),0,IF(OFFSET(PLE!$G$14,$M464,CD$13)="",10^12,OFFSET(PLE!$G$14,$M464,CD$13))))</f>
        <v>1000000000000</v>
      </c>
      <c r="CE464" s="182">
        <f ca="1">IF($D464&lt;&gt;"Serviço",0,IF(OR(AND(AUTOEVENTO="Manual",$M464=1),$M464&gt;(ROW(PLE.lastrow)-ROW(PLE.firstrow))),0,IF(OFFSET(PLE!$G$14,$M464,CE$13)="",10^12,OFFSET(PLE!$G$14,$M464,CE$13))))</f>
        <v>1000000000000</v>
      </c>
      <c r="CF464" s="182">
        <f ca="1">IF($D464&lt;&gt;"Serviço",0,IF(OR(AND(AUTOEVENTO="Manual",$M464=1),$M464&gt;(ROW(PLE.lastrow)-ROW(PLE.firstrow))),0,IF(OFFSET(PLE!$G$14,$M464,CF$13)="",10^12,OFFSET(PLE!$G$14,$M464,CF$13))))</f>
        <v>1000000000000</v>
      </c>
      <c r="CG464" s="182">
        <f ca="1">IF($D464&lt;&gt;"Serviço",0,IF(OR(AND(AUTOEVENTO="Manual",$M464=1),$M464&gt;(ROW(PLE.lastrow)-ROW(PLE.firstrow))),0,IF(OFFSET(PLE!$G$14,$M464,CG$13)="",10^12,OFFSET(PLE!$G$14,$M464,CG$13))))</f>
        <v>1000000000000</v>
      </c>
      <c r="CH464" s="182">
        <f ca="1">IF($D464&lt;&gt;"Serviço",0,IF(OR(AND(AUTOEVENTO="Manual",$M464=1),$M464&gt;(ROW(PLE.lastrow)-ROW(PLE.firstrow))),0,IF(OFFSET(PLE!$G$14,$M464,CH$13)="",10^12,OFFSET(PLE!$G$14,$M464,CH$13))))</f>
        <v>1000000000000</v>
      </c>
      <c r="CI464" s="182">
        <f ca="1">IF($D464&lt;&gt;"Serviço",0,IF(OR(AND(AUTOEVENTO="Manual",$M464=1),$M464&gt;(ROW(PLE.lastrow)-ROW(PLE.firstrow))),0,IF(OFFSET(PLE!$G$14,$M464,CI$13)="",10^12,OFFSET(PLE!$G$14,$M464,CI$13))))</f>
        <v>1000000000000</v>
      </c>
      <c r="CJ464" s="182">
        <f ca="1">IF($D464&lt;&gt;"Serviço",0,IF(OR(AND(AUTOEVENTO="Manual",$M464=1),$M464&gt;(ROW(PLE.lastrow)-ROW(PLE.firstrow))),0,IF(OFFSET(PLE!$G$14,$M464,CJ$13)="",10^12,OFFSET(PLE!$G$14,$M464,CJ$13))))</f>
        <v>1000000000000</v>
      </c>
      <c r="CK464" s="182">
        <f ca="1">IF($D464&lt;&gt;"Serviço",0,IF(OR(AND(AUTOEVENTO="Manual",$M464=1),$M464&gt;(ROW(PLE.lastrow)-ROW(PLE.firstrow))),0,IF(OFFSET(PLE!$G$14,$M464,CK$13)="",10^12,OFFSET(PLE!$G$14,$M464,CK$13))))</f>
        <v>1000000000000</v>
      </c>
      <c r="CL464" s="182">
        <f ca="1">IF($D464&lt;&gt;"Serviço",0,IF(OR(AND(AUTOEVENTO="Manual",$M464=1),$M464&gt;(ROW(PLE.lastrow)-ROW(PLE.firstrow))),0,IF(OFFSET(PLE!$G$14,$M464,CL$13)="",10^12,OFFSET(PLE!$G$14,$M464,CL$13))))</f>
        <v>1000000000000</v>
      </c>
      <c r="CM464" s="182">
        <f ca="1">IF($D464&lt;&gt;"Serviço",0,IF(OR(AND(AUTOEVENTO="Manual",$M464=1),$M464&gt;(ROW(PLE.lastrow)-ROW(PLE.firstrow))),0,IF(OFFSET(PLE!$G$14,$M464,CM$13)="",10^12,OFFSET(PLE!$G$14,$M464,CM$13))))</f>
        <v>1000000000000</v>
      </c>
    </row>
    <row r="465" spans="1:91" ht="38.25" x14ac:dyDescent="0.2">
      <c r="A465" s="7" t="str">
        <f t="shared" ca="1" si="12"/>
        <v>421</v>
      </c>
      <c r="B465" s="7" t="str">
        <f ca="1">OFFSET(ORÇAMENTO!C$15,ROW(B465)-ROW(B$15),0)</f>
        <v>S</v>
      </c>
      <c r="C465" s="7" t="str">
        <f ca="1">OFFSET(ORÇAMENTO!L$15,ROW(C465)-ROW(C$15),0)</f>
        <v/>
      </c>
      <c r="D465" s="118" t="str">
        <f ca="1">OFFSET(ORÇAMENTO!N$15,ROW(D465)-ROW(D$15),0)</f>
        <v>Serviço</v>
      </c>
      <c r="E465" s="119" t="str">
        <f ca="1">OFFSET(ORÇAMENTO!O$15,ROW(E465)-ROW(E$15),0)</f>
        <v>-</v>
      </c>
      <c r="F465" s="172" t="str">
        <f ca="1">OFFSET(ORÇAMENTO!R$15,ROW(F465)-ROW(F$15),0)</f>
        <v>(abra o arquivo 'Referência 06-2024.xlsm)</v>
      </c>
      <c r="G465" s="173" t="str">
        <f ca="1">IF($D465&lt;&gt;"Serviço","",OFFSET(ORÇAMENTO!S$15,ROW(G465)-ROW(G$15),0))</f>
        <v>-</v>
      </c>
      <c r="H465" s="124">
        <f ca="1">IF($D465&lt;&gt;"Serviço",0,IF(ACOMPANHAMENTO="BM",ROUND(OFFSET(ORÇAMENTO!AJ$15,ROW(H465)-ROW(H$15),0),15-13*ORÇAMENTO!$AF$7),SUMPRODUCT(($Q$12:$AI$12&lt;&gt;"")*ROUND($Q465:$AI465,15-13*ORÇAMENTO!$AF$7))))</f>
        <v>2</v>
      </c>
      <c r="I465" s="561" t="s">
        <v>1107</v>
      </c>
      <c r="K465" s="174"/>
      <c r="L465" s="175" t="s">
        <v>255</v>
      </c>
      <c r="M465" s="176">
        <f ca="1">IF($D465&lt;&gt;"Serviço","",IF(AUTOEVENTO="manual",$A465,IF(ISERROR(MATCH($A465,$A$15:OFFSET($A465,-1,0),0)),MAX($M$15:OFFSET(M465,-1,0))+1,INDEX($M$15:OFFSET(M465,-1,0),MATCH($A465,$A$15:OFFSET($A465,-1,0),0)))))</f>
        <v>49</v>
      </c>
      <c r="N465" s="177" t="str">
        <f ca="1">IF($D465&lt;&gt;"Serviço","",IF(AUTOEVENTO="Manual",IF($A465=0,"&lt;-- defina o número do agrupador",OFFSET(EVENTOS!$D$14,$A465,0)),OFFSET($F$15,$A465,0)))</f>
        <v>SISTEMA DE PROTEÇÃO CONTRA INCÊNDIO - TUBULAÇÕES E CONEXÕES</v>
      </c>
      <c r="O465" s="178"/>
      <c r="Q465" s="178">
        <v>2</v>
      </c>
      <c r="R465" s="179"/>
      <c r="S465" s="179"/>
      <c r="T465" s="179"/>
      <c r="U465" s="179"/>
      <c r="V465" s="179"/>
      <c r="W465" s="179"/>
      <c r="X465" s="179"/>
      <c r="Y465" s="179"/>
      <c r="Z465" s="180"/>
      <c r="AA465" s="179"/>
      <c r="AB465" s="179"/>
      <c r="AC465" s="179"/>
      <c r="AD465" s="179"/>
      <c r="AE465" s="179"/>
      <c r="AF465" s="179"/>
      <c r="AG465" s="179"/>
      <c r="AH465" s="180"/>
      <c r="AJ465" s="544">
        <f ca="1">IF(AND($D465="Serviço",AJ$12&lt;&gt;0,$H465&gt;0,OR(AUTOEVENTO&lt;&gt;"manual",$M465&lt;&gt;1)),
IF(Import.TipoArredondamento&lt;&gt;"TransfereGOV",
ROUND(OFFSET($P465,0,AJ$13),15-13*ORÇAMENTO!$AF$7)/$H465*OFFSET(ORÇAMENTO!$X$15,ROW(AJ465)-ROW(AJ$15),0),
ROUND(ROUND(OFFSET($P465,0,AJ$13),15-13*ORÇAMENTO!$AF$7)*OFFSET(ORÇAMENTO!$W$15,ROW(AJ465)-ROW(AJ$15),0),15-13*ORÇAMENTO!$AF$11)),0)</f>
        <v>0</v>
      </c>
      <c r="AK465" s="545">
        <f ca="1">IF(AND($D465="Serviço",AK$12&lt;&gt;0,$H465&gt;0,OR(AUTOEVENTO&lt;&gt;"manual",$M465&lt;&gt;1)),
IF(Import.TipoArredondamento&lt;&gt;"TransfereGOV",
ROUND(OFFSET($P465,0,AK$13),15-13*ORÇAMENTO!$AF$7)/$H465*OFFSET(ORÇAMENTO!$X$15,ROW(AK465)-ROW(AK$15),0),
ROUND(ROUND(OFFSET($P465,0,AK$13),15-13*ORÇAMENTO!$AF$7)*OFFSET(ORÇAMENTO!$W$15,ROW(AK465)-ROW(AK$15),0),15-13*ORÇAMENTO!$AF$11)),0)</f>
        <v>0</v>
      </c>
      <c r="AL465" s="545">
        <f ca="1">IF(AND($D465="Serviço",AL$12&lt;&gt;0,$H465&gt;0,OR(AUTOEVENTO&lt;&gt;"manual",$M465&lt;&gt;1)),
IF(Import.TipoArredondamento&lt;&gt;"TransfereGOV",
ROUND(OFFSET($P465,0,AL$13),15-13*ORÇAMENTO!$AF$7)/$H465*OFFSET(ORÇAMENTO!$X$15,ROW(AL465)-ROW(AL$15),0),
ROUND(ROUND(OFFSET($P465,0,AL$13),15-13*ORÇAMENTO!$AF$7)*OFFSET(ORÇAMENTO!$W$15,ROW(AL465)-ROW(AL$15),0),15-13*ORÇAMENTO!$AF$11)),0)</f>
        <v>0</v>
      </c>
      <c r="AM465" s="545">
        <f ca="1">IF(AND($D465="Serviço",AM$12&lt;&gt;0,$H465&gt;0,OR(AUTOEVENTO&lt;&gt;"manual",$M465&lt;&gt;1)),
IF(Import.TipoArredondamento&lt;&gt;"TransfereGOV",
ROUND(OFFSET($P465,0,AM$13),15-13*ORÇAMENTO!$AF$7)/$H465*OFFSET(ORÇAMENTO!$X$15,ROW(AM465)-ROW(AM$15),0),
ROUND(ROUND(OFFSET($P465,0,AM$13),15-13*ORÇAMENTO!$AF$7)*OFFSET(ORÇAMENTO!$W$15,ROW(AM465)-ROW(AM$15),0),15-13*ORÇAMENTO!$AF$11)),0)</f>
        <v>0</v>
      </c>
      <c r="AN465" s="545">
        <f ca="1">IF(AND($D465="Serviço",AN$12&lt;&gt;0,$H465&gt;0,OR(AUTOEVENTO&lt;&gt;"manual",$M465&lt;&gt;1)),
IF(Import.TipoArredondamento&lt;&gt;"TransfereGOV",
ROUND(OFFSET($P465,0,AN$13),15-13*ORÇAMENTO!$AF$7)/$H465*OFFSET(ORÇAMENTO!$X$15,ROW(AN465)-ROW(AN$15),0),
ROUND(ROUND(OFFSET($P465,0,AN$13),15-13*ORÇAMENTO!$AF$7)*OFFSET(ORÇAMENTO!$W$15,ROW(AN465)-ROW(AN$15),0),15-13*ORÇAMENTO!$AF$11)),0)</f>
        <v>0</v>
      </c>
      <c r="AO465" s="545">
        <f ca="1">IF(AND($D465="Serviço",AO$12&lt;&gt;0,$H465&gt;0,OR(AUTOEVENTO&lt;&gt;"manual",$M465&lt;&gt;1)),
IF(Import.TipoArredondamento&lt;&gt;"TransfereGOV",
ROUND(OFFSET($P465,0,AO$13),15-13*ORÇAMENTO!$AF$7)/$H465*OFFSET(ORÇAMENTO!$X$15,ROW(AO465)-ROW(AO$15),0),
ROUND(ROUND(OFFSET($P465,0,AO$13),15-13*ORÇAMENTO!$AF$7)*OFFSET(ORÇAMENTO!$W$15,ROW(AO465)-ROW(AO$15),0),15-13*ORÇAMENTO!$AF$11)),0)</f>
        <v>0</v>
      </c>
      <c r="AP465" s="545">
        <f ca="1">IF(AND($D465="Serviço",AP$12&lt;&gt;0,$H465&gt;0,OR(AUTOEVENTO&lt;&gt;"manual",$M465&lt;&gt;1)),
IF(Import.TipoArredondamento&lt;&gt;"TransfereGOV",
ROUND(OFFSET($P465,0,AP$13),15-13*ORÇAMENTO!$AF$7)/$H465*OFFSET(ORÇAMENTO!$X$15,ROW(AP465)-ROW(AP$15),0),
ROUND(ROUND(OFFSET($P465,0,AP$13),15-13*ORÇAMENTO!$AF$7)*OFFSET(ORÇAMENTO!$W$15,ROW(AP465)-ROW(AP$15),0),15-13*ORÇAMENTO!$AF$11)),0)</f>
        <v>0</v>
      </c>
      <c r="AQ465" s="545">
        <f ca="1">IF(AND($D465="Serviço",AQ$12&lt;&gt;0,$H465&gt;0,OR(AUTOEVENTO&lt;&gt;"manual",$M465&lt;&gt;1)),
IF(Import.TipoArredondamento&lt;&gt;"TransfereGOV",
ROUND(OFFSET($P465,0,AQ$13),15-13*ORÇAMENTO!$AF$7)/$H465*OFFSET(ORÇAMENTO!$X$15,ROW(AQ465)-ROW(AQ$15),0),
ROUND(ROUND(OFFSET($P465,0,AQ$13),15-13*ORÇAMENTO!$AF$7)*OFFSET(ORÇAMENTO!$W$15,ROW(AQ465)-ROW(AQ$15),0),15-13*ORÇAMENTO!$AF$11)),0)</f>
        <v>0</v>
      </c>
      <c r="AR465" s="545">
        <f ca="1">IF(AND($D465="Serviço",AR$12&lt;&gt;0,$H465&gt;0,OR(AUTOEVENTO&lt;&gt;"manual",$M465&lt;&gt;1)),
IF(Import.TipoArredondamento&lt;&gt;"TransfereGOV",
ROUND(OFFSET($P465,0,AR$13),15-13*ORÇAMENTO!$AF$7)/$H465*OFFSET(ORÇAMENTO!$X$15,ROW(AR465)-ROW(AR$15),0),
ROUND(ROUND(OFFSET($P465,0,AR$13),15-13*ORÇAMENTO!$AF$7)*OFFSET(ORÇAMENTO!$W$15,ROW(AR465)-ROW(AR$15),0),15-13*ORÇAMENTO!$AF$11)),0)</f>
        <v>0</v>
      </c>
      <c r="AS465" s="546">
        <f ca="1">IF(AND($D465="Serviço",AS$12&lt;&gt;0,$H465&gt;0,OR(AUTOEVENTO&lt;&gt;"manual",$M465&lt;&gt;1)),
IF(Import.TipoArredondamento&lt;&gt;"TransfereGOV",
ROUND(OFFSET($P465,0,AS$13),15-13*ORÇAMENTO!$AF$7)/$H465*OFFSET(ORÇAMENTO!$X$15,ROW(AS465)-ROW(AS$15),0),
ROUND(ROUND(OFFSET($P465,0,AS$13),15-13*ORÇAMENTO!$AF$7)*OFFSET(ORÇAMENTO!$W$15,ROW(AS465)-ROW(AS$15),0),15-13*ORÇAMENTO!$AF$11)),0)</f>
        <v>0</v>
      </c>
      <c r="AT465" s="545">
        <f ca="1">IF(AND($D465="Serviço",AT$12&lt;&gt;0,$H465&gt;0,OR(AUTOEVENTO&lt;&gt;"manual",$M465&lt;&gt;1)),
IF(Import.TipoArredondamento&lt;&gt;"TransfereGOV",
ROUND(OFFSET($P465,0,AT$13),15-13*ORÇAMENTO!$AF$7)/$H465*OFFSET(ORÇAMENTO!$X$15,ROW(AT465)-ROW(AT$15),0),
ROUND(ROUND(OFFSET($P465,0,AT$13),15-13*ORÇAMENTO!$AF$7)*OFFSET(ORÇAMENTO!$W$15,ROW(AT465)-ROW(AT$15),0),15-13*ORÇAMENTO!$AF$11)),0)</f>
        <v>0</v>
      </c>
      <c r="AU465" s="545">
        <f ca="1">IF(AND($D465="Serviço",AU$12&lt;&gt;0,$H465&gt;0,OR(AUTOEVENTO&lt;&gt;"manual",$M465&lt;&gt;1)),
IF(Import.TipoArredondamento&lt;&gt;"TransfereGOV",
ROUND(OFFSET($P465,0,AU$13),15-13*ORÇAMENTO!$AF$7)/$H465*OFFSET(ORÇAMENTO!$X$15,ROW(AU465)-ROW(AU$15),0),
ROUND(ROUND(OFFSET($P465,0,AU$13),15-13*ORÇAMENTO!$AF$7)*OFFSET(ORÇAMENTO!$W$15,ROW(AU465)-ROW(AU$15),0),15-13*ORÇAMENTO!$AF$11)),0)</f>
        <v>0</v>
      </c>
      <c r="AV465" s="545">
        <f ca="1">IF(AND($D465="Serviço",AV$12&lt;&gt;0,$H465&gt;0,OR(AUTOEVENTO&lt;&gt;"manual",$M465&lt;&gt;1)),
IF(Import.TipoArredondamento&lt;&gt;"TransfereGOV",
ROUND(OFFSET($P465,0,AV$13),15-13*ORÇAMENTO!$AF$7)/$H465*OFFSET(ORÇAMENTO!$X$15,ROW(AV465)-ROW(AV$15),0),
ROUND(ROUND(OFFSET($P465,0,AV$13),15-13*ORÇAMENTO!$AF$7)*OFFSET(ORÇAMENTO!$W$15,ROW(AV465)-ROW(AV$15),0),15-13*ORÇAMENTO!$AF$11)),0)</f>
        <v>0</v>
      </c>
      <c r="AW465" s="545">
        <f ca="1">IF(AND($D465="Serviço",AW$12&lt;&gt;0,$H465&gt;0,OR(AUTOEVENTO&lt;&gt;"manual",$M465&lt;&gt;1)),
IF(Import.TipoArredondamento&lt;&gt;"TransfereGOV",
ROUND(OFFSET($P465,0,AW$13),15-13*ORÇAMENTO!$AF$7)/$H465*OFFSET(ORÇAMENTO!$X$15,ROW(AW465)-ROW(AW$15),0),
ROUND(ROUND(OFFSET($P465,0,AW$13),15-13*ORÇAMENTO!$AF$7)*OFFSET(ORÇAMENTO!$W$15,ROW(AW465)-ROW(AW$15),0),15-13*ORÇAMENTO!$AF$11)),0)</f>
        <v>0</v>
      </c>
      <c r="AX465" s="545">
        <f ca="1">IF(AND($D465="Serviço",AX$12&lt;&gt;0,$H465&gt;0,OR(AUTOEVENTO&lt;&gt;"manual",$M465&lt;&gt;1)),
IF(Import.TipoArredondamento&lt;&gt;"TransfereGOV",
ROUND(OFFSET($P465,0,AX$13),15-13*ORÇAMENTO!$AF$7)/$H465*OFFSET(ORÇAMENTO!$X$15,ROW(AX465)-ROW(AX$15),0),
ROUND(ROUND(OFFSET($P465,0,AX$13),15-13*ORÇAMENTO!$AF$7)*OFFSET(ORÇAMENTO!$W$15,ROW(AX465)-ROW(AX$15),0),15-13*ORÇAMENTO!$AF$11)),0)</f>
        <v>0</v>
      </c>
      <c r="AY465" s="545">
        <f ca="1">IF(AND($D465="Serviço",AY$12&lt;&gt;0,$H465&gt;0,OR(AUTOEVENTO&lt;&gt;"manual",$M465&lt;&gt;1)),
IF(Import.TipoArredondamento&lt;&gt;"TransfereGOV",
ROUND(OFFSET($P465,0,AY$13),15-13*ORÇAMENTO!$AF$7)/$H465*OFFSET(ORÇAMENTO!$X$15,ROW(AY465)-ROW(AY$15),0),
ROUND(ROUND(OFFSET($P465,0,AY$13),15-13*ORÇAMENTO!$AF$7)*OFFSET(ORÇAMENTO!$W$15,ROW(AY465)-ROW(AY$15),0),15-13*ORÇAMENTO!$AF$11)),0)</f>
        <v>0</v>
      </c>
      <c r="AZ465" s="545">
        <f ca="1">IF(AND($D465="Serviço",AZ$12&lt;&gt;0,$H465&gt;0,OR(AUTOEVENTO&lt;&gt;"manual",$M465&lt;&gt;1)),
IF(Import.TipoArredondamento&lt;&gt;"TransfereGOV",
ROUND(OFFSET($P465,0,AZ$13),15-13*ORÇAMENTO!$AF$7)/$H465*OFFSET(ORÇAMENTO!$X$15,ROW(AZ465)-ROW(AZ$15),0),
ROUND(ROUND(OFFSET($P465,0,AZ$13),15-13*ORÇAMENTO!$AF$7)*OFFSET(ORÇAMENTO!$W$15,ROW(AZ465)-ROW(AZ$15),0),15-13*ORÇAMENTO!$AF$11)),0)</f>
        <v>0</v>
      </c>
      <c r="BA465" s="546">
        <f ca="1">IF(AND($D465="Serviço",BA$12&lt;&gt;0,$H465&gt;0,OR(AUTOEVENTO&lt;&gt;"manual",$M465&lt;&gt;1)),
IF(Import.TipoArredondamento&lt;&gt;"TransfereGOV",
ROUND(OFFSET($P465,0,BA$13),15-13*ORÇAMENTO!$AF$7)/$H465*OFFSET(ORÇAMENTO!$X$15,ROW(BA465)-ROW(BA$15),0),
ROUND(ROUND(OFFSET($P465,0,BA$13),15-13*ORÇAMENTO!$AF$7)*OFFSET(ORÇAMENTO!$W$15,ROW(BA465)-ROW(BA$15),0),15-13*ORÇAMENTO!$AF$11)),0)</f>
        <v>0</v>
      </c>
      <c r="BC465" s="181">
        <f ca="1">IF($D465&lt;&gt;"Serviço",0,IF(AND(AUTOEVENTO="Manual",$M465=1),0,IF(OFFSET(CRONOPLE!$F$14,$M465,BC$13)="",10^12,OFFSET(CRONOPLE!$F$14,$M465,BC$13))))</f>
        <v>10</v>
      </c>
      <c r="BD465" s="181">
        <f ca="1">IF($D465&lt;&gt;"Serviço",0,IF(AND(AUTOEVENTO="Manual",$M465=1),0,IF(OFFSET(CRONOPLE!$F$14,$M465,BD$13)="",10^12,OFFSET(CRONOPLE!$F$14,$M465,BD$13))))</f>
        <v>1000000000000</v>
      </c>
      <c r="BE465" s="181">
        <f ca="1">IF($D465&lt;&gt;"Serviço",0,IF(AND(AUTOEVENTO="Manual",$M465=1),0,IF(OFFSET(CRONOPLE!$F$14,$M465,BE$13)="",10^12,OFFSET(CRONOPLE!$F$14,$M465,BE$13))))</f>
        <v>1000000000000</v>
      </c>
      <c r="BF465" s="181">
        <f ca="1">IF($D465&lt;&gt;"Serviço",0,IF(AND(AUTOEVENTO="Manual",$M465=1),0,IF(OFFSET(CRONOPLE!$F$14,$M465,BF$13)="",10^12,OFFSET(CRONOPLE!$F$14,$M465,BF$13))))</f>
        <v>1000000000000</v>
      </c>
      <c r="BG465" s="181">
        <f ca="1">IF($D465&lt;&gt;"Serviço",0,IF(AND(AUTOEVENTO="Manual",$M465=1),0,IF(OFFSET(CRONOPLE!$F$14,$M465,BG$13)="",10^12,OFFSET(CRONOPLE!$F$14,$M465,BG$13))))</f>
        <v>1000000000000</v>
      </c>
      <c r="BH465" s="181">
        <f ca="1">IF($D465&lt;&gt;"Serviço",0,IF(AND(AUTOEVENTO="Manual",$M465=1),0,IF(OFFSET(CRONOPLE!$F$14,$M465,BH$13)="",10^12,OFFSET(CRONOPLE!$F$14,$M465,BH$13))))</f>
        <v>1000000000000</v>
      </c>
      <c r="BI465" s="181">
        <f ca="1">IF($D465&lt;&gt;"Serviço",0,IF(AND(AUTOEVENTO="Manual",$M465=1),0,IF(OFFSET(CRONOPLE!$F$14,$M465,BI$13)="",10^12,OFFSET(CRONOPLE!$F$14,$M465,BI$13))))</f>
        <v>1000000000000</v>
      </c>
      <c r="BJ465" s="181">
        <f ca="1">IF($D465&lt;&gt;"Serviço",0,IF(AND(AUTOEVENTO="Manual",$M465=1),0,IF(OFFSET(CRONOPLE!$F$14,$M465,BJ$13)="",10^12,OFFSET(CRONOPLE!$F$14,$M465,BJ$13))))</f>
        <v>1000000000000</v>
      </c>
      <c r="BK465" s="181">
        <f ca="1">IF($D465&lt;&gt;"Serviço",0,IF(AND(AUTOEVENTO="Manual",$M465=1),0,IF(OFFSET(CRONOPLE!$F$14,$M465,BK$13)="",10^12,OFFSET(CRONOPLE!$F$14,$M465,BK$13))))</f>
        <v>1000000000000</v>
      </c>
      <c r="BL465" s="181">
        <f ca="1">IF($D465&lt;&gt;"Serviço",0,IF(AND(AUTOEVENTO="Manual",$M465=1),0,IF(OFFSET(CRONOPLE!$F$14,$M465,BL$13)="",10^12,OFFSET(CRONOPLE!$F$14,$M465,BL$13))))</f>
        <v>1000000000000</v>
      </c>
      <c r="BM465" s="181">
        <f ca="1">IF($D465&lt;&gt;"Serviço",0,IF(AND(AUTOEVENTO="Manual",$M465=1),0,IF(OFFSET(CRONOPLE!$F$14,$M465,BM$13)="",10^12,OFFSET(CRONOPLE!$F$14,$M465,BM$13))))</f>
        <v>1000000000000</v>
      </c>
      <c r="BN465" s="181">
        <f ca="1">IF($D465&lt;&gt;"Serviço",0,IF(AND(AUTOEVENTO="Manual",$M465=1),0,IF(OFFSET(CRONOPLE!$F$14,$M465,BN$13)="",10^12,OFFSET(CRONOPLE!$F$14,$M465,BN$13))))</f>
        <v>1000000000000</v>
      </c>
      <c r="BO465" s="181">
        <f ca="1">IF($D465&lt;&gt;"Serviço",0,IF(AND(AUTOEVENTO="Manual",$M465=1),0,IF(OFFSET(CRONOPLE!$F$14,$M465,BO$13)="",10^12,OFFSET(CRONOPLE!$F$14,$M465,BO$13))))</f>
        <v>1000000000000</v>
      </c>
      <c r="BP465" s="181">
        <f ca="1">IF($D465&lt;&gt;"Serviço",0,IF(AND(AUTOEVENTO="Manual",$M465=1),0,IF(OFFSET(CRONOPLE!$F$14,$M465,BP$13)="",10^12,OFFSET(CRONOPLE!$F$14,$M465,BP$13))))</f>
        <v>1000000000000</v>
      </c>
      <c r="BQ465" s="181">
        <f ca="1">IF($D465&lt;&gt;"Serviço",0,IF(AND(AUTOEVENTO="Manual",$M465=1),0,IF(OFFSET(CRONOPLE!$F$14,$M465,BQ$13)="",10^12,OFFSET(CRONOPLE!$F$14,$M465,BQ$13))))</f>
        <v>1000000000000</v>
      </c>
      <c r="BR465" s="181">
        <f ca="1">IF($D465&lt;&gt;"Serviço",0,IF(AND(AUTOEVENTO="Manual",$M465=1),0,IF(OFFSET(CRONOPLE!$F$14,$M465,BR$13)="",10^12,OFFSET(CRONOPLE!$F$14,$M465,BR$13))))</f>
        <v>1000000000000</v>
      </c>
      <c r="BS465" s="181">
        <f ca="1">IF($D465&lt;&gt;"Serviço",0,IF(AND(AUTOEVENTO="Manual",$M465=1),0,IF(OFFSET(CRONOPLE!$F$14,$M465,BS$13)="",10^12,OFFSET(CRONOPLE!$F$14,$M465,BS$13))))</f>
        <v>1000000000000</v>
      </c>
      <c r="BT465" s="181">
        <f ca="1">IF($D465&lt;&gt;"Serviço",0,IF(AND(AUTOEVENTO="Manual",$M465=1),0,IF(OFFSET(CRONOPLE!$F$14,$M465,BT$13)="",10^12,OFFSET(CRONOPLE!$F$14,$M465,BT$13))))</f>
        <v>1000000000000</v>
      </c>
      <c r="BV465" s="182">
        <f ca="1">IF($D465&lt;&gt;"Serviço",0,IF(OR(AND(AUTOEVENTO="Manual",$M465=1),$M465&gt;(ROW(PLE.lastrow)-ROW(PLE.firstrow))),0,IF(OFFSET(PLE!$G$14,$M465,BV$13)="",10^12,OFFSET(PLE!$G$14,$M465,BV$13))))</f>
        <v>1000000000000</v>
      </c>
      <c r="BW465" s="182">
        <f ca="1">IF($D465&lt;&gt;"Serviço",0,IF(OR(AND(AUTOEVENTO="Manual",$M465=1),$M465&gt;(ROW(PLE.lastrow)-ROW(PLE.firstrow))),0,IF(OFFSET(PLE!$G$14,$M465,BW$13)="",10^12,OFFSET(PLE!$G$14,$M465,BW$13))))</f>
        <v>1000000000000</v>
      </c>
      <c r="BX465" s="182">
        <f ca="1">IF($D465&lt;&gt;"Serviço",0,IF(OR(AND(AUTOEVENTO="Manual",$M465=1),$M465&gt;(ROW(PLE.lastrow)-ROW(PLE.firstrow))),0,IF(OFFSET(PLE!$G$14,$M465,BX$13)="",10^12,OFFSET(PLE!$G$14,$M465,BX$13))))</f>
        <v>1000000000000</v>
      </c>
      <c r="BY465" s="182">
        <f ca="1">IF($D465&lt;&gt;"Serviço",0,IF(OR(AND(AUTOEVENTO="Manual",$M465=1),$M465&gt;(ROW(PLE.lastrow)-ROW(PLE.firstrow))),0,IF(OFFSET(PLE!$G$14,$M465,BY$13)="",10^12,OFFSET(PLE!$G$14,$M465,BY$13))))</f>
        <v>1000000000000</v>
      </c>
      <c r="BZ465" s="182">
        <f ca="1">IF($D465&lt;&gt;"Serviço",0,IF(OR(AND(AUTOEVENTO="Manual",$M465=1),$M465&gt;(ROW(PLE.lastrow)-ROW(PLE.firstrow))),0,IF(OFFSET(PLE!$G$14,$M465,BZ$13)="",10^12,OFFSET(PLE!$G$14,$M465,BZ$13))))</f>
        <v>1000000000000</v>
      </c>
      <c r="CA465" s="182">
        <f ca="1">IF($D465&lt;&gt;"Serviço",0,IF(OR(AND(AUTOEVENTO="Manual",$M465=1),$M465&gt;(ROW(PLE.lastrow)-ROW(PLE.firstrow))),0,IF(OFFSET(PLE!$G$14,$M465,CA$13)="",10^12,OFFSET(PLE!$G$14,$M465,CA$13))))</f>
        <v>1000000000000</v>
      </c>
      <c r="CB465" s="182">
        <f ca="1">IF($D465&lt;&gt;"Serviço",0,IF(OR(AND(AUTOEVENTO="Manual",$M465=1),$M465&gt;(ROW(PLE.lastrow)-ROW(PLE.firstrow))),0,IF(OFFSET(PLE!$G$14,$M465,CB$13)="",10^12,OFFSET(PLE!$G$14,$M465,CB$13))))</f>
        <v>1000000000000</v>
      </c>
      <c r="CC465" s="182">
        <f ca="1">IF($D465&lt;&gt;"Serviço",0,IF(OR(AND(AUTOEVENTO="Manual",$M465=1),$M465&gt;(ROW(PLE.lastrow)-ROW(PLE.firstrow))),0,IF(OFFSET(PLE!$G$14,$M465,CC$13)="",10^12,OFFSET(PLE!$G$14,$M465,CC$13))))</f>
        <v>1000000000000</v>
      </c>
      <c r="CD465" s="182">
        <f ca="1">IF($D465&lt;&gt;"Serviço",0,IF(OR(AND(AUTOEVENTO="Manual",$M465=1),$M465&gt;(ROW(PLE.lastrow)-ROW(PLE.firstrow))),0,IF(OFFSET(PLE!$G$14,$M465,CD$13)="",10^12,OFFSET(PLE!$G$14,$M465,CD$13))))</f>
        <v>1000000000000</v>
      </c>
      <c r="CE465" s="182">
        <f ca="1">IF($D465&lt;&gt;"Serviço",0,IF(OR(AND(AUTOEVENTO="Manual",$M465=1),$M465&gt;(ROW(PLE.lastrow)-ROW(PLE.firstrow))),0,IF(OFFSET(PLE!$G$14,$M465,CE$13)="",10^12,OFFSET(PLE!$G$14,$M465,CE$13))))</f>
        <v>1000000000000</v>
      </c>
      <c r="CF465" s="182">
        <f ca="1">IF($D465&lt;&gt;"Serviço",0,IF(OR(AND(AUTOEVENTO="Manual",$M465=1),$M465&gt;(ROW(PLE.lastrow)-ROW(PLE.firstrow))),0,IF(OFFSET(PLE!$G$14,$M465,CF$13)="",10^12,OFFSET(PLE!$G$14,$M465,CF$13))))</f>
        <v>1000000000000</v>
      </c>
      <c r="CG465" s="182">
        <f ca="1">IF($D465&lt;&gt;"Serviço",0,IF(OR(AND(AUTOEVENTO="Manual",$M465=1),$M465&gt;(ROW(PLE.lastrow)-ROW(PLE.firstrow))),0,IF(OFFSET(PLE!$G$14,$M465,CG$13)="",10^12,OFFSET(PLE!$G$14,$M465,CG$13))))</f>
        <v>1000000000000</v>
      </c>
      <c r="CH465" s="182">
        <f ca="1">IF($D465&lt;&gt;"Serviço",0,IF(OR(AND(AUTOEVENTO="Manual",$M465=1),$M465&gt;(ROW(PLE.lastrow)-ROW(PLE.firstrow))),0,IF(OFFSET(PLE!$G$14,$M465,CH$13)="",10^12,OFFSET(PLE!$G$14,$M465,CH$13))))</f>
        <v>1000000000000</v>
      </c>
      <c r="CI465" s="182">
        <f ca="1">IF($D465&lt;&gt;"Serviço",0,IF(OR(AND(AUTOEVENTO="Manual",$M465=1),$M465&gt;(ROW(PLE.lastrow)-ROW(PLE.firstrow))),0,IF(OFFSET(PLE!$G$14,$M465,CI$13)="",10^12,OFFSET(PLE!$G$14,$M465,CI$13))))</f>
        <v>1000000000000</v>
      </c>
      <c r="CJ465" s="182">
        <f ca="1">IF($D465&lt;&gt;"Serviço",0,IF(OR(AND(AUTOEVENTO="Manual",$M465=1),$M465&gt;(ROW(PLE.lastrow)-ROW(PLE.firstrow))),0,IF(OFFSET(PLE!$G$14,$M465,CJ$13)="",10^12,OFFSET(PLE!$G$14,$M465,CJ$13))))</f>
        <v>1000000000000</v>
      </c>
      <c r="CK465" s="182">
        <f ca="1">IF($D465&lt;&gt;"Serviço",0,IF(OR(AND(AUTOEVENTO="Manual",$M465=1),$M465&gt;(ROW(PLE.lastrow)-ROW(PLE.firstrow))),0,IF(OFFSET(PLE!$G$14,$M465,CK$13)="",10^12,OFFSET(PLE!$G$14,$M465,CK$13))))</f>
        <v>1000000000000</v>
      </c>
      <c r="CL465" s="182">
        <f ca="1">IF($D465&lt;&gt;"Serviço",0,IF(OR(AND(AUTOEVENTO="Manual",$M465=1),$M465&gt;(ROW(PLE.lastrow)-ROW(PLE.firstrow))),0,IF(OFFSET(PLE!$G$14,$M465,CL$13)="",10^12,OFFSET(PLE!$G$14,$M465,CL$13))))</f>
        <v>1000000000000</v>
      </c>
      <c r="CM465" s="182">
        <f ca="1">IF($D465&lt;&gt;"Serviço",0,IF(OR(AND(AUTOEVENTO="Manual",$M465=1),$M465&gt;(ROW(PLE.lastrow)-ROW(PLE.firstrow))),0,IF(OFFSET(PLE!$G$14,$M465,CM$13)="",10^12,OFFSET(PLE!$G$14,$M465,CM$13))))</f>
        <v>1000000000000</v>
      </c>
    </row>
    <row r="466" spans="1:91" ht="38.25" x14ac:dyDescent="0.2">
      <c r="A466" s="7" t="str">
        <f t="shared" ca="1" si="12"/>
        <v>421</v>
      </c>
      <c r="B466" s="7" t="str">
        <f ca="1">OFFSET(ORÇAMENTO!C$15,ROW(B466)-ROW(B$15),0)</f>
        <v>S</v>
      </c>
      <c r="C466" s="7" t="str">
        <f ca="1">OFFSET(ORÇAMENTO!L$15,ROW(C466)-ROW(C$15),0)</f>
        <v/>
      </c>
      <c r="D466" s="118" t="str">
        <f ca="1">OFFSET(ORÇAMENTO!N$15,ROW(D466)-ROW(D$15),0)</f>
        <v>Serviço</v>
      </c>
      <c r="E466" s="119" t="str">
        <f ca="1">OFFSET(ORÇAMENTO!O$15,ROW(E466)-ROW(E$15),0)</f>
        <v>-</v>
      </c>
      <c r="F466" s="172" t="str">
        <f ca="1">OFFSET(ORÇAMENTO!R$15,ROW(F466)-ROW(F$15),0)</f>
        <v>(abra o arquivo 'Referência 06-2024.xlsm)</v>
      </c>
      <c r="G466" s="173" t="str">
        <f ca="1">IF($D466&lt;&gt;"Serviço","",OFFSET(ORÇAMENTO!S$15,ROW(G466)-ROW(G$15),0))</f>
        <v>-</v>
      </c>
      <c r="H466" s="124">
        <f ca="1">IF($D466&lt;&gt;"Serviço",0,IF(ACOMPANHAMENTO="BM",ROUND(OFFSET(ORÇAMENTO!AJ$15,ROW(H466)-ROW(H$15),0),15-13*ORÇAMENTO!$AF$7),SUMPRODUCT(($Q$12:$AI$12&lt;&gt;"")*ROUND($Q466:$AI466,15-13*ORÇAMENTO!$AF$7))))</f>
        <v>4</v>
      </c>
      <c r="I466" s="561" t="s">
        <v>1107</v>
      </c>
      <c r="K466" s="174"/>
      <c r="L466" s="175" t="s">
        <v>255</v>
      </c>
      <c r="M466" s="176">
        <f ca="1">IF($D466&lt;&gt;"Serviço","",IF(AUTOEVENTO="manual",$A466,IF(ISERROR(MATCH($A466,$A$15:OFFSET($A466,-1,0),0)),MAX($M$15:OFFSET(M466,-1,0))+1,INDEX($M$15:OFFSET(M466,-1,0),MATCH($A466,$A$15:OFFSET($A466,-1,0),0)))))</f>
        <v>49</v>
      </c>
      <c r="N466" s="177" t="str">
        <f ca="1">IF($D466&lt;&gt;"Serviço","",IF(AUTOEVENTO="Manual",IF($A466=0,"&lt;-- defina o número do agrupador",OFFSET(EVENTOS!$D$14,$A466,0)),OFFSET($F$15,$A466,0)))</f>
        <v>SISTEMA DE PROTEÇÃO CONTRA INCÊNDIO - TUBULAÇÕES E CONEXÕES</v>
      </c>
      <c r="O466" s="178"/>
      <c r="Q466" s="178">
        <v>4</v>
      </c>
      <c r="R466" s="179"/>
      <c r="S466" s="179"/>
      <c r="T466" s="179"/>
      <c r="U466" s="179"/>
      <c r="V466" s="179"/>
      <c r="W466" s="179"/>
      <c r="X466" s="179"/>
      <c r="Y466" s="179"/>
      <c r="Z466" s="180"/>
      <c r="AA466" s="179"/>
      <c r="AB466" s="179"/>
      <c r="AC466" s="179"/>
      <c r="AD466" s="179"/>
      <c r="AE466" s="179"/>
      <c r="AF466" s="179"/>
      <c r="AG466" s="179"/>
      <c r="AH466" s="180"/>
      <c r="AJ466" s="544">
        <f ca="1">IF(AND($D466="Serviço",AJ$12&lt;&gt;0,$H466&gt;0,OR(AUTOEVENTO&lt;&gt;"manual",$M466&lt;&gt;1)),
IF(Import.TipoArredondamento&lt;&gt;"TransfereGOV",
ROUND(OFFSET($P466,0,AJ$13),15-13*ORÇAMENTO!$AF$7)/$H466*OFFSET(ORÇAMENTO!$X$15,ROW(AJ466)-ROW(AJ$15),0),
ROUND(ROUND(OFFSET($P466,0,AJ$13),15-13*ORÇAMENTO!$AF$7)*OFFSET(ORÇAMENTO!$W$15,ROW(AJ466)-ROW(AJ$15),0),15-13*ORÇAMENTO!$AF$11)),0)</f>
        <v>0</v>
      </c>
      <c r="AK466" s="545">
        <f ca="1">IF(AND($D466="Serviço",AK$12&lt;&gt;0,$H466&gt;0,OR(AUTOEVENTO&lt;&gt;"manual",$M466&lt;&gt;1)),
IF(Import.TipoArredondamento&lt;&gt;"TransfereGOV",
ROUND(OFFSET($P466,0,AK$13),15-13*ORÇAMENTO!$AF$7)/$H466*OFFSET(ORÇAMENTO!$X$15,ROW(AK466)-ROW(AK$15),0),
ROUND(ROUND(OFFSET($P466,0,AK$13),15-13*ORÇAMENTO!$AF$7)*OFFSET(ORÇAMENTO!$W$15,ROW(AK466)-ROW(AK$15),0),15-13*ORÇAMENTO!$AF$11)),0)</f>
        <v>0</v>
      </c>
      <c r="AL466" s="545">
        <f ca="1">IF(AND($D466="Serviço",AL$12&lt;&gt;0,$H466&gt;0,OR(AUTOEVENTO&lt;&gt;"manual",$M466&lt;&gt;1)),
IF(Import.TipoArredondamento&lt;&gt;"TransfereGOV",
ROUND(OFFSET($P466,0,AL$13),15-13*ORÇAMENTO!$AF$7)/$H466*OFFSET(ORÇAMENTO!$X$15,ROW(AL466)-ROW(AL$15),0),
ROUND(ROUND(OFFSET($P466,0,AL$13),15-13*ORÇAMENTO!$AF$7)*OFFSET(ORÇAMENTO!$W$15,ROW(AL466)-ROW(AL$15),0),15-13*ORÇAMENTO!$AF$11)),0)</f>
        <v>0</v>
      </c>
      <c r="AM466" s="545">
        <f ca="1">IF(AND($D466="Serviço",AM$12&lt;&gt;0,$H466&gt;0,OR(AUTOEVENTO&lt;&gt;"manual",$M466&lt;&gt;1)),
IF(Import.TipoArredondamento&lt;&gt;"TransfereGOV",
ROUND(OFFSET($P466,0,AM$13),15-13*ORÇAMENTO!$AF$7)/$H466*OFFSET(ORÇAMENTO!$X$15,ROW(AM466)-ROW(AM$15),0),
ROUND(ROUND(OFFSET($P466,0,AM$13),15-13*ORÇAMENTO!$AF$7)*OFFSET(ORÇAMENTO!$W$15,ROW(AM466)-ROW(AM$15),0),15-13*ORÇAMENTO!$AF$11)),0)</f>
        <v>0</v>
      </c>
      <c r="AN466" s="545">
        <f ca="1">IF(AND($D466="Serviço",AN$12&lt;&gt;0,$H466&gt;0,OR(AUTOEVENTO&lt;&gt;"manual",$M466&lt;&gt;1)),
IF(Import.TipoArredondamento&lt;&gt;"TransfereGOV",
ROUND(OFFSET($P466,0,AN$13),15-13*ORÇAMENTO!$AF$7)/$H466*OFFSET(ORÇAMENTO!$X$15,ROW(AN466)-ROW(AN$15),0),
ROUND(ROUND(OFFSET($P466,0,AN$13),15-13*ORÇAMENTO!$AF$7)*OFFSET(ORÇAMENTO!$W$15,ROW(AN466)-ROW(AN$15),0),15-13*ORÇAMENTO!$AF$11)),0)</f>
        <v>0</v>
      </c>
      <c r="AO466" s="545">
        <f ca="1">IF(AND($D466="Serviço",AO$12&lt;&gt;0,$H466&gt;0,OR(AUTOEVENTO&lt;&gt;"manual",$M466&lt;&gt;1)),
IF(Import.TipoArredondamento&lt;&gt;"TransfereGOV",
ROUND(OFFSET($P466,0,AO$13),15-13*ORÇAMENTO!$AF$7)/$H466*OFFSET(ORÇAMENTO!$X$15,ROW(AO466)-ROW(AO$15),0),
ROUND(ROUND(OFFSET($P466,0,AO$13),15-13*ORÇAMENTO!$AF$7)*OFFSET(ORÇAMENTO!$W$15,ROW(AO466)-ROW(AO$15),0),15-13*ORÇAMENTO!$AF$11)),0)</f>
        <v>0</v>
      </c>
      <c r="AP466" s="545">
        <f ca="1">IF(AND($D466="Serviço",AP$12&lt;&gt;0,$H466&gt;0,OR(AUTOEVENTO&lt;&gt;"manual",$M466&lt;&gt;1)),
IF(Import.TipoArredondamento&lt;&gt;"TransfereGOV",
ROUND(OFFSET($P466,0,AP$13),15-13*ORÇAMENTO!$AF$7)/$H466*OFFSET(ORÇAMENTO!$X$15,ROW(AP466)-ROW(AP$15),0),
ROUND(ROUND(OFFSET($P466,0,AP$13),15-13*ORÇAMENTO!$AF$7)*OFFSET(ORÇAMENTO!$W$15,ROW(AP466)-ROW(AP$15),0),15-13*ORÇAMENTO!$AF$11)),0)</f>
        <v>0</v>
      </c>
      <c r="AQ466" s="545">
        <f ca="1">IF(AND($D466="Serviço",AQ$12&lt;&gt;0,$H466&gt;0,OR(AUTOEVENTO&lt;&gt;"manual",$M466&lt;&gt;1)),
IF(Import.TipoArredondamento&lt;&gt;"TransfereGOV",
ROUND(OFFSET($P466,0,AQ$13),15-13*ORÇAMENTO!$AF$7)/$H466*OFFSET(ORÇAMENTO!$X$15,ROW(AQ466)-ROW(AQ$15),0),
ROUND(ROUND(OFFSET($P466,0,AQ$13),15-13*ORÇAMENTO!$AF$7)*OFFSET(ORÇAMENTO!$W$15,ROW(AQ466)-ROW(AQ$15),0),15-13*ORÇAMENTO!$AF$11)),0)</f>
        <v>0</v>
      </c>
      <c r="AR466" s="545">
        <f ca="1">IF(AND($D466="Serviço",AR$12&lt;&gt;0,$H466&gt;0,OR(AUTOEVENTO&lt;&gt;"manual",$M466&lt;&gt;1)),
IF(Import.TipoArredondamento&lt;&gt;"TransfereGOV",
ROUND(OFFSET($P466,0,AR$13),15-13*ORÇAMENTO!$AF$7)/$H466*OFFSET(ORÇAMENTO!$X$15,ROW(AR466)-ROW(AR$15),0),
ROUND(ROUND(OFFSET($P466,0,AR$13),15-13*ORÇAMENTO!$AF$7)*OFFSET(ORÇAMENTO!$W$15,ROW(AR466)-ROW(AR$15),0),15-13*ORÇAMENTO!$AF$11)),0)</f>
        <v>0</v>
      </c>
      <c r="AS466" s="546">
        <f ca="1">IF(AND($D466="Serviço",AS$12&lt;&gt;0,$H466&gt;0,OR(AUTOEVENTO&lt;&gt;"manual",$M466&lt;&gt;1)),
IF(Import.TipoArredondamento&lt;&gt;"TransfereGOV",
ROUND(OFFSET($P466,0,AS$13),15-13*ORÇAMENTO!$AF$7)/$H466*OFFSET(ORÇAMENTO!$X$15,ROW(AS466)-ROW(AS$15),0),
ROUND(ROUND(OFFSET($P466,0,AS$13),15-13*ORÇAMENTO!$AF$7)*OFFSET(ORÇAMENTO!$W$15,ROW(AS466)-ROW(AS$15),0),15-13*ORÇAMENTO!$AF$11)),0)</f>
        <v>0</v>
      </c>
      <c r="AT466" s="545">
        <f ca="1">IF(AND($D466="Serviço",AT$12&lt;&gt;0,$H466&gt;0,OR(AUTOEVENTO&lt;&gt;"manual",$M466&lt;&gt;1)),
IF(Import.TipoArredondamento&lt;&gt;"TransfereGOV",
ROUND(OFFSET($P466,0,AT$13),15-13*ORÇAMENTO!$AF$7)/$H466*OFFSET(ORÇAMENTO!$X$15,ROW(AT466)-ROW(AT$15),0),
ROUND(ROUND(OFFSET($P466,0,AT$13),15-13*ORÇAMENTO!$AF$7)*OFFSET(ORÇAMENTO!$W$15,ROW(AT466)-ROW(AT$15),0),15-13*ORÇAMENTO!$AF$11)),0)</f>
        <v>0</v>
      </c>
      <c r="AU466" s="545">
        <f ca="1">IF(AND($D466="Serviço",AU$12&lt;&gt;0,$H466&gt;0,OR(AUTOEVENTO&lt;&gt;"manual",$M466&lt;&gt;1)),
IF(Import.TipoArredondamento&lt;&gt;"TransfereGOV",
ROUND(OFFSET($P466,0,AU$13),15-13*ORÇAMENTO!$AF$7)/$H466*OFFSET(ORÇAMENTO!$X$15,ROW(AU466)-ROW(AU$15),0),
ROUND(ROUND(OFFSET($P466,0,AU$13),15-13*ORÇAMENTO!$AF$7)*OFFSET(ORÇAMENTO!$W$15,ROW(AU466)-ROW(AU$15),0),15-13*ORÇAMENTO!$AF$11)),0)</f>
        <v>0</v>
      </c>
      <c r="AV466" s="545">
        <f ca="1">IF(AND($D466="Serviço",AV$12&lt;&gt;0,$H466&gt;0,OR(AUTOEVENTO&lt;&gt;"manual",$M466&lt;&gt;1)),
IF(Import.TipoArredondamento&lt;&gt;"TransfereGOV",
ROUND(OFFSET($P466,0,AV$13),15-13*ORÇAMENTO!$AF$7)/$H466*OFFSET(ORÇAMENTO!$X$15,ROW(AV466)-ROW(AV$15),0),
ROUND(ROUND(OFFSET($P466,0,AV$13),15-13*ORÇAMENTO!$AF$7)*OFFSET(ORÇAMENTO!$W$15,ROW(AV466)-ROW(AV$15),0),15-13*ORÇAMENTO!$AF$11)),0)</f>
        <v>0</v>
      </c>
      <c r="AW466" s="545">
        <f ca="1">IF(AND($D466="Serviço",AW$12&lt;&gt;0,$H466&gt;0,OR(AUTOEVENTO&lt;&gt;"manual",$M466&lt;&gt;1)),
IF(Import.TipoArredondamento&lt;&gt;"TransfereGOV",
ROUND(OFFSET($P466,0,AW$13),15-13*ORÇAMENTO!$AF$7)/$H466*OFFSET(ORÇAMENTO!$X$15,ROW(AW466)-ROW(AW$15),0),
ROUND(ROUND(OFFSET($P466,0,AW$13),15-13*ORÇAMENTO!$AF$7)*OFFSET(ORÇAMENTO!$W$15,ROW(AW466)-ROW(AW$15),0),15-13*ORÇAMENTO!$AF$11)),0)</f>
        <v>0</v>
      </c>
      <c r="AX466" s="545">
        <f ca="1">IF(AND($D466="Serviço",AX$12&lt;&gt;0,$H466&gt;0,OR(AUTOEVENTO&lt;&gt;"manual",$M466&lt;&gt;1)),
IF(Import.TipoArredondamento&lt;&gt;"TransfereGOV",
ROUND(OFFSET($P466,0,AX$13),15-13*ORÇAMENTO!$AF$7)/$H466*OFFSET(ORÇAMENTO!$X$15,ROW(AX466)-ROW(AX$15),0),
ROUND(ROUND(OFFSET($P466,0,AX$13),15-13*ORÇAMENTO!$AF$7)*OFFSET(ORÇAMENTO!$W$15,ROW(AX466)-ROW(AX$15),0),15-13*ORÇAMENTO!$AF$11)),0)</f>
        <v>0</v>
      </c>
      <c r="AY466" s="545">
        <f ca="1">IF(AND($D466="Serviço",AY$12&lt;&gt;0,$H466&gt;0,OR(AUTOEVENTO&lt;&gt;"manual",$M466&lt;&gt;1)),
IF(Import.TipoArredondamento&lt;&gt;"TransfereGOV",
ROUND(OFFSET($P466,0,AY$13),15-13*ORÇAMENTO!$AF$7)/$H466*OFFSET(ORÇAMENTO!$X$15,ROW(AY466)-ROW(AY$15),0),
ROUND(ROUND(OFFSET($P466,0,AY$13),15-13*ORÇAMENTO!$AF$7)*OFFSET(ORÇAMENTO!$W$15,ROW(AY466)-ROW(AY$15),0),15-13*ORÇAMENTO!$AF$11)),0)</f>
        <v>0</v>
      </c>
      <c r="AZ466" s="545">
        <f ca="1">IF(AND($D466="Serviço",AZ$12&lt;&gt;0,$H466&gt;0,OR(AUTOEVENTO&lt;&gt;"manual",$M466&lt;&gt;1)),
IF(Import.TipoArredondamento&lt;&gt;"TransfereGOV",
ROUND(OFFSET($P466,0,AZ$13),15-13*ORÇAMENTO!$AF$7)/$H466*OFFSET(ORÇAMENTO!$X$15,ROW(AZ466)-ROW(AZ$15),0),
ROUND(ROUND(OFFSET($P466,0,AZ$13),15-13*ORÇAMENTO!$AF$7)*OFFSET(ORÇAMENTO!$W$15,ROW(AZ466)-ROW(AZ$15),0),15-13*ORÇAMENTO!$AF$11)),0)</f>
        <v>0</v>
      </c>
      <c r="BA466" s="546">
        <f ca="1">IF(AND($D466="Serviço",BA$12&lt;&gt;0,$H466&gt;0,OR(AUTOEVENTO&lt;&gt;"manual",$M466&lt;&gt;1)),
IF(Import.TipoArredondamento&lt;&gt;"TransfereGOV",
ROUND(OFFSET($P466,0,BA$13),15-13*ORÇAMENTO!$AF$7)/$H466*OFFSET(ORÇAMENTO!$X$15,ROW(BA466)-ROW(BA$15),0),
ROUND(ROUND(OFFSET($P466,0,BA$13),15-13*ORÇAMENTO!$AF$7)*OFFSET(ORÇAMENTO!$W$15,ROW(BA466)-ROW(BA$15),0),15-13*ORÇAMENTO!$AF$11)),0)</f>
        <v>0</v>
      </c>
      <c r="BC466" s="181">
        <f ca="1">IF($D466&lt;&gt;"Serviço",0,IF(AND(AUTOEVENTO="Manual",$M466=1),0,IF(OFFSET(CRONOPLE!$F$14,$M466,BC$13)="",10^12,OFFSET(CRONOPLE!$F$14,$M466,BC$13))))</f>
        <v>10</v>
      </c>
      <c r="BD466" s="181">
        <f ca="1">IF($D466&lt;&gt;"Serviço",0,IF(AND(AUTOEVENTO="Manual",$M466=1),0,IF(OFFSET(CRONOPLE!$F$14,$M466,BD$13)="",10^12,OFFSET(CRONOPLE!$F$14,$M466,BD$13))))</f>
        <v>1000000000000</v>
      </c>
      <c r="BE466" s="181">
        <f ca="1">IF($D466&lt;&gt;"Serviço",0,IF(AND(AUTOEVENTO="Manual",$M466=1),0,IF(OFFSET(CRONOPLE!$F$14,$M466,BE$13)="",10^12,OFFSET(CRONOPLE!$F$14,$M466,BE$13))))</f>
        <v>1000000000000</v>
      </c>
      <c r="BF466" s="181">
        <f ca="1">IF($D466&lt;&gt;"Serviço",0,IF(AND(AUTOEVENTO="Manual",$M466=1),0,IF(OFFSET(CRONOPLE!$F$14,$M466,BF$13)="",10^12,OFFSET(CRONOPLE!$F$14,$M466,BF$13))))</f>
        <v>1000000000000</v>
      </c>
      <c r="BG466" s="181">
        <f ca="1">IF($D466&lt;&gt;"Serviço",0,IF(AND(AUTOEVENTO="Manual",$M466=1),0,IF(OFFSET(CRONOPLE!$F$14,$M466,BG$13)="",10^12,OFFSET(CRONOPLE!$F$14,$M466,BG$13))))</f>
        <v>1000000000000</v>
      </c>
      <c r="BH466" s="181">
        <f ca="1">IF($D466&lt;&gt;"Serviço",0,IF(AND(AUTOEVENTO="Manual",$M466=1),0,IF(OFFSET(CRONOPLE!$F$14,$M466,BH$13)="",10^12,OFFSET(CRONOPLE!$F$14,$M466,BH$13))))</f>
        <v>1000000000000</v>
      </c>
      <c r="BI466" s="181">
        <f ca="1">IF($D466&lt;&gt;"Serviço",0,IF(AND(AUTOEVENTO="Manual",$M466=1),0,IF(OFFSET(CRONOPLE!$F$14,$M466,BI$13)="",10^12,OFFSET(CRONOPLE!$F$14,$M466,BI$13))))</f>
        <v>1000000000000</v>
      </c>
      <c r="BJ466" s="181">
        <f ca="1">IF($D466&lt;&gt;"Serviço",0,IF(AND(AUTOEVENTO="Manual",$M466=1),0,IF(OFFSET(CRONOPLE!$F$14,$M466,BJ$13)="",10^12,OFFSET(CRONOPLE!$F$14,$M466,BJ$13))))</f>
        <v>1000000000000</v>
      </c>
      <c r="BK466" s="181">
        <f ca="1">IF($D466&lt;&gt;"Serviço",0,IF(AND(AUTOEVENTO="Manual",$M466=1),0,IF(OFFSET(CRONOPLE!$F$14,$M466,BK$13)="",10^12,OFFSET(CRONOPLE!$F$14,$M466,BK$13))))</f>
        <v>1000000000000</v>
      </c>
      <c r="BL466" s="181">
        <f ca="1">IF($D466&lt;&gt;"Serviço",0,IF(AND(AUTOEVENTO="Manual",$M466=1),0,IF(OFFSET(CRONOPLE!$F$14,$M466,BL$13)="",10^12,OFFSET(CRONOPLE!$F$14,$M466,BL$13))))</f>
        <v>1000000000000</v>
      </c>
      <c r="BM466" s="181">
        <f ca="1">IF($D466&lt;&gt;"Serviço",0,IF(AND(AUTOEVENTO="Manual",$M466=1),0,IF(OFFSET(CRONOPLE!$F$14,$M466,BM$13)="",10^12,OFFSET(CRONOPLE!$F$14,$M466,BM$13))))</f>
        <v>1000000000000</v>
      </c>
      <c r="BN466" s="181">
        <f ca="1">IF($D466&lt;&gt;"Serviço",0,IF(AND(AUTOEVENTO="Manual",$M466=1),0,IF(OFFSET(CRONOPLE!$F$14,$M466,BN$13)="",10^12,OFFSET(CRONOPLE!$F$14,$M466,BN$13))))</f>
        <v>1000000000000</v>
      </c>
      <c r="BO466" s="181">
        <f ca="1">IF($D466&lt;&gt;"Serviço",0,IF(AND(AUTOEVENTO="Manual",$M466=1),0,IF(OFFSET(CRONOPLE!$F$14,$M466,BO$13)="",10^12,OFFSET(CRONOPLE!$F$14,$M466,BO$13))))</f>
        <v>1000000000000</v>
      </c>
      <c r="BP466" s="181">
        <f ca="1">IF($D466&lt;&gt;"Serviço",0,IF(AND(AUTOEVENTO="Manual",$M466=1),0,IF(OFFSET(CRONOPLE!$F$14,$M466,BP$13)="",10^12,OFFSET(CRONOPLE!$F$14,$M466,BP$13))))</f>
        <v>1000000000000</v>
      </c>
      <c r="BQ466" s="181">
        <f ca="1">IF($D466&lt;&gt;"Serviço",0,IF(AND(AUTOEVENTO="Manual",$M466=1),0,IF(OFFSET(CRONOPLE!$F$14,$M466,BQ$13)="",10^12,OFFSET(CRONOPLE!$F$14,$M466,BQ$13))))</f>
        <v>1000000000000</v>
      </c>
      <c r="BR466" s="181">
        <f ca="1">IF($D466&lt;&gt;"Serviço",0,IF(AND(AUTOEVENTO="Manual",$M466=1),0,IF(OFFSET(CRONOPLE!$F$14,$M466,BR$13)="",10^12,OFFSET(CRONOPLE!$F$14,$M466,BR$13))))</f>
        <v>1000000000000</v>
      </c>
      <c r="BS466" s="181">
        <f ca="1">IF($D466&lt;&gt;"Serviço",0,IF(AND(AUTOEVENTO="Manual",$M466=1),0,IF(OFFSET(CRONOPLE!$F$14,$M466,BS$13)="",10^12,OFFSET(CRONOPLE!$F$14,$M466,BS$13))))</f>
        <v>1000000000000</v>
      </c>
      <c r="BT466" s="181">
        <f ca="1">IF($D466&lt;&gt;"Serviço",0,IF(AND(AUTOEVENTO="Manual",$M466=1),0,IF(OFFSET(CRONOPLE!$F$14,$M466,BT$13)="",10^12,OFFSET(CRONOPLE!$F$14,$M466,BT$13))))</f>
        <v>1000000000000</v>
      </c>
      <c r="BV466" s="182">
        <f ca="1">IF($D466&lt;&gt;"Serviço",0,IF(OR(AND(AUTOEVENTO="Manual",$M466=1),$M466&gt;(ROW(PLE.lastrow)-ROW(PLE.firstrow))),0,IF(OFFSET(PLE!$G$14,$M466,BV$13)="",10^12,OFFSET(PLE!$G$14,$M466,BV$13))))</f>
        <v>1000000000000</v>
      </c>
      <c r="BW466" s="182">
        <f ca="1">IF($D466&lt;&gt;"Serviço",0,IF(OR(AND(AUTOEVENTO="Manual",$M466=1),$M466&gt;(ROW(PLE.lastrow)-ROW(PLE.firstrow))),0,IF(OFFSET(PLE!$G$14,$M466,BW$13)="",10^12,OFFSET(PLE!$G$14,$M466,BW$13))))</f>
        <v>1000000000000</v>
      </c>
      <c r="BX466" s="182">
        <f ca="1">IF($D466&lt;&gt;"Serviço",0,IF(OR(AND(AUTOEVENTO="Manual",$M466=1),$M466&gt;(ROW(PLE.lastrow)-ROW(PLE.firstrow))),0,IF(OFFSET(PLE!$G$14,$M466,BX$13)="",10^12,OFFSET(PLE!$G$14,$M466,BX$13))))</f>
        <v>1000000000000</v>
      </c>
      <c r="BY466" s="182">
        <f ca="1">IF($D466&lt;&gt;"Serviço",0,IF(OR(AND(AUTOEVENTO="Manual",$M466=1),$M466&gt;(ROW(PLE.lastrow)-ROW(PLE.firstrow))),0,IF(OFFSET(PLE!$G$14,$M466,BY$13)="",10^12,OFFSET(PLE!$G$14,$M466,BY$13))))</f>
        <v>1000000000000</v>
      </c>
      <c r="BZ466" s="182">
        <f ca="1">IF($D466&lt;&gt;"Serviço",0,IF(OR(AND(AUTOEVENTO="Manual",$M466=1),$M466&gt;(ROW(PLE.lastrow)-ROW(PLE.firstrow))),0,IF(OFFSET(PLE!$G$14,$M466,BZ$13)="",10^12,OFFSET(PLE!$G$14,$M466,BZ$13))))</f>
        <v>1000000000000</v>
      </c>
      <c r="CA466" s="182">
        <f ca="1">IF($D466&lt;&gt;"Serviço",0,IF(OR(AND(AUTOEVENTO="Manual",$M466=1),$M466&gt;(ROW(PLE.lastrow)-ROW(PLE.firstrow))),0,IF(OFFSET(PLE!$G$14,$M466,CA$13)="",10^12,OFFSET(PLE!$G$14,$M466,CA$13))))</f>
        <v>1000000000000</v>
      </c>
      <c r="CB466" s="182">
        <f ca="1">IF($D466&lt;&gt;"Serviço",0,IF(OR(AND(AUTOEVENTO="Manual",$M466=1),$M466&gt;(ROW(PLE.lastrow)-ROW(PLE.firstrow))),0,IF(OFFSET(PLE!$G$14,$M466,CB$13)="",10^12,OFFSET(PLE!$G$14,$M466,CB$13))))</f>
        <v>1000000000000</v>
      </c>
      <c r="CC466" s="182">
        <f ca="1">IF($D466&lt;&gt;"Serviço",0,IF(OR(AND(AUTOEVENTO="Manual",$M466=1),$M466&gt;(ROW(PLE.lastrow)-ROW(PLE.firstrow))),0,IF(OFFSET(PLE!$G$14,$M466,CC$13)="",10^12,OFFSET(PLE!$G$14,$M466,CC$13))))</f>
        <v>1000000000000</v>
      </c>
      <c r="CD466" s="182">
        <f ca="1">IF($D466&lt;&gt;"Serviço",0,IF(OR(AND(AUTOEVENTO="Manual",$M466=1),$M466&gt;(ROW(PLE.lastrow)-ROW(PLE.firstrow))),0,IF(OFFSET(PLE!$G$14,$M466,CD$13)="",10^12,OFFSET(PLE!$G$14,$M466,CD$13))))</f>
        <v>1000000000000</v>
      </c>
      <c r="CE466" s="182">
        <f ca="1">IF($D466&lt;&gt;"Serviço",0,IF(OR(AND(AUTOEVENTO="Manual",$M466=1),$M466&gt;(ROW(PLE.lastrow)-ROW(PLE.firstrow))),0,IF(OFFSET(PLE!$G$14,$M466,CE$13)="",10^12,OFFSET(PLE!$G$14,$M466,CE$13))))</f>
        <v>1000000000000</v>
      </c>
      <c r="CF466" s="182">
        <f ca="1">IF($D466&lt;&gt;"Serviço",0,IF(OR(AND(AUTOEVENTO="Manual",$M466=1),$M466&gt;(ROW(PLE.lastrow)-ROW(PLE.firstrow))),0,IF(OFFSET(PLE!$G$14,$M466,CF$13)="",10^12,OFFSET(PLE!$G$14,$M466,CF$13))))</f>
        <v>1000000000000</v>
      </c>
      <c r="CG466" s="182">
        <f ca="1">IF($D466&lt;&gt;"Serviço",0,IF(OR(AND(AUTOEVENTO="Manual",$M466=1),$M466&gt;(ROW(PLE.lastrow)-ROW(PLE.firstrow))),0,IF(OFFSET(PLE!$G$14,$M466,CG$13)="",10^12,OFFSET(PLE!$G$14,$M466,CG$13))))</f>
        <v>1000000000000</v>
      </c>
      <c r="CH466" s="182">
        <f ca="1">IF($D466&lt;&gt;"Serviço",0,IF(OR(AND(AUTOEVENTO="Manual",$M466=1),$M466&gt;(ROW(PLE.lastrow)-ROW(PLE.firstrow))),0,IF(OFFSET(PLE!$G$14,$M466,CH$13)="",10^12,OFFSET(PLE!$G$14,$M466,CH$13))))</f>
        <v>1000000000000</v>
      </c>
      <c r="CI466" s="182">
        <f ca="1">IF($D466&lt;&gt;"Serviço",0,IF(OR(AND(AUTOEVENTO="Manual",$M466=1),$M466&gt;(ROW(PLE.lastrow)-ROW(PLE.firstrow))),0,IF(OFFSET(PLE!$G$14,$M466,CI$13)="",10^12,OFFSET(PLE!$G$14,$M466,CI$13))))</f>
        <v>1000000000000</v>
      </c>
      <c r="CJ466" s="182">
        <f ca="1">IF($D466&lt;&gt;"Serviço",0,IF(OR(AND(AUTOEVENTO="Manual",$M466=1),$M466&gt;(ROW(PLE.lastrow)-ROW(PLE.firstrow))),0,IF(OFFSET(PLE!$G$14,$M466,CJ$13)="",10^12,OFFSET(PLE!$G$14,$M466,CJ$13))))</f>
        <v>1000000000000</v>
      </c>
      <c r="CK466" s="182">
        <f ca="1">IF($D466&lt;&gt;"Serviço",0,IF(OR(AND(AUTOEVENTO="Manual",$M466=1),$M466&gt;(ROW(PLE.lastrow)-ROW(PLE.firstrow))),0,IF(OFFSET(PLE!$G$14,$M466,CK$13)="",10^12,OFFSET(PLE!$G$14,$M466,CK$13))))</f>
        <v>1000000000000</v>
      </c>
      <c r="CL466" s="182">
        <f ca="1">IF($D466&lt;&gt;"Serviço",0,IF(OR(AND(AUTOEVENTO="Manual",$M466=1),$M466&gt;(ROW(PLE.lastrow)-ROW(PLE.firstrow))),0,IF(OFFSET(PLE!$G$14,$M466,CL$13)="",10^12,OFFSET(PLE!$G$14,$M466,CL$13))))</f>
        <v>1000000000000</v>
      </c>
      <c r="CM466" s="182">
        <f ca="1">IF($D466&lt;&gt;"Serviço",0,IF(OR(AND(AUTOEVENTO="Manual",$M466=1),$M466&gt;(ROW(PLE.lastrow)-ROW(PLE.firstrow))),0,IF(OFFSET(PLE!$G$14,$M466,CM$13)="",10^12,OFFSET(PLE!$G$14,$M466,CM$13))))</f>
        <v>1000000000000</v>
      </c>
    </row>
    <row r="467" spans="1:91" ht="38.25" x14ac:dyDescent="0.2">
      <c r="A467" s="7" t="str">
        <f t="shared" ca="1" si="12"/>
        <v>421</v>
      </c>
      <c r="B467" s="7" t="str">
        <f ca="1">OFFSET(ORÇAMENTO!C$15,ROW(B467)-ROW(B$15),0)</f>
        <v>S</v>
      </c>
      <c r="C467" s="7" t="str">
        <f ca="1">OFFSET(ORÇAMENTO!L$15,ROW(C467)-ROW(C$15),0)</f>
        <v/>
      </c>
      <c r="D467" s="118" t="str">
        <f ca="1">OFFSET(ORÇAMENTO!N$15,ROW(D467)-ROW(D$15),0)</f>
        <v>Serviço</v>
      </c>
      <c r="E467" s="119" t="str">
        <f ca="1">OFFSET(ORÇAMENTO!O$15,ROW(E467)-ROW(E$15),0)</f>
        <v>-</v>
      </c>
      <c r="F467" s="172" t="str">
        <f ca="1">OFFSET(ORÇAMENTO!R$15,ROW(F467)-ROW(F$15),0)</f>
        <v>(abra o arquivo 'Referência 06-2024.xlsm)</v>
      </c>
      <c r="G467" s="173" t="str">
        <f ca="1">IF($D467&lt;&gt;"Serviço","",OFFSET(ORÇAMENTO!S$15,ROW(G467)-ROW(G$15),0))</f>
        <v>-</v>
      </c>
      <c r="H467" s="124">
        <f ca="1">IF($D467&lt;&gt;"Serviço",0,IF(ACOMPANHAMENTO="BM",ROUND(OFFSET(ORÇAMENTO!AJ$15,ROW(H467)-ROW(H$15),0),15-13*ORÇAMENTO!$AF$7),SUMPRODUCT(($Q$12:$AI$12&lt;&gt;"")*ROUND($Q467:$AI467,15-13*ORÇAMENTO!$AF$7))))</f>
        <v>1</v>
      </c>
      <c r="I467" s="561" t="s">
        <v>1107</v>
      </c>
      <c r="K467" s="174"/>
      <c r="L467" s="175" t="s">
        <v>255</v>
      </c>
      <c r="M467" s="176">
        <f ca="1">IF($D467&lt;&gt;"Serviço","",IF(AUTOEVENTO="manual",$A467,IF(ISERROR(MATCH($A467,$A$15:OFFSET($A467,-1,0),0)),MAX($M$15:OFFSET(M467,-1,0))+1,INDEX($M$15:OFFSET(M467,-1,0),MATCH($A467,$A$15:OFFSET($A467,-1,0),0)))))</f>
        <v>49</v>
      </c>
      <c r="N467" s="177" t="str">
        <f ca="1">IF($D467&lt;&gt;"Serviço","",IF(AUTOEVENTO="Manual",IF($A467=0,"&lt;-- defina o número do agrupador",OFFSET(EVENTOS!$D$14,$A467,0)),OFFSET($F$15,$A467,0)))</f>
        <v>SISTEMA DE PROTEÇÃO CONTRA INCÊNDIO - TUBULAÇÕES E CONEXÕES</v>
      </c>
      <c r="O467" s="178"/>
      <c r="Q467" s="178">
        <v>1</v>
      </c>
      <c r="R467" s="179"/>
      <c r="S467" s="179"/>
      <c r="T467" s="179"/>
      <c r="U467" s="179"/>
      <c r="V467" s="179"/>
      <c r="W467" s="179"/>
      <c r="X467" s="179"/>
      <c r="Y467" s="179"/>
      <c r="Z467" s="180"/>
      <c r="AA467" s="179"/>
      <c r="AB467" s="179"/>
      <c r="AC467" s="179"/>
      <c r="AD467" s="179"/>
      <c r="AE467" s="179"/>
      <c r="AF467" s="179"/>
      <c r="AG467" s="179"/>
      <c r="AH467" s="180"/>
      <c r="AJ467" s="544">
        <f ca="1">IF(AND($D467="Serviço",AJ$12&lt;&gt;0,$H467&gt;0,OR(AUTOEVENTO&lt;&gt;"manual",$M467&lt;&gt;1)),
IF(Import.TipoArredondamento&lt;&gt;"TransfereGOV",
ROUND(OFFSET($P467,0,AJ$13),15-13*ORÇAMENTO!$AF$7)/$H467*OFFSET(ORÇAMENTO!$X$15,ROW(AJ467)-ROW(AJ$15),0),
ROUND(ROUND(OFFSET($P467,0,AJ$13),15-13*ORÇAMENTO!$AF$7)*OFFSET(ORÇAMENTO!$W$15,ROW(AJ467)-ROW(AJ$15),0),15-13*ORÇAMENTO!$AF$11)),0)</f>
        <v>0</v>
      </c>
      <c r="AK467" s="545">
        <f ca="1">IF(AND($D467="Serviço",AK$12&lt;&gt;0,$H467&gt;0,OR(AUTOEVENTO&lt;&gt;"manual",$M467&lt;&gt;1)),
IF(Import.TipoArredondamento&lt;&gt;"TransfereGOV",
ROUND(OFFSET($P467,0,AK$13),15-13*ORÇAMENTO!$AF$7)/$H467*OFFSET(ORÇAMENTO!$X$15,ROW(AK467)-ROW(AK$15),0),
ROUND(ROUND(OFFSET($P467,0,AK$13),15-13*ORÇAMENTO!$AF$7)*OFFSET(ORÇAMENTO!$W$15,ROW(AK467)-ROW(AK$15),0),15-13*ORÇAMENTO!$AF$11)),0)</f>
        <v>0</v>
      </c>
      <c r="AL467" s="545">
        <f ca="1">IF(AND($D467="Serviço",AL$12&lt;&gt;0,$H467&gt;0,OR(AUTOEVENTO&lt;&gt;"manual",$M467&lt;&gt;1)),
IF(Import.TipoArredondamento&lt;&gt;"TransfereGOV",
ROUND(OFFSET($P467,0,AL$13),15-13*ORÇAMENTO!$AF$7)/$H467*OFFSET(ORÇAMENTO!$X$15,ROW(AL467)-ROW(AL$15),0),
ROUND(ROUND(OFFSET($P467,0,AL$13),15-13*ORÇAMENTO!$AF$7)*OFFSET(ORÇAMENTO!$W$15,ROW(AL467)-ROW(AL$15),0),15-13*ORÇAMENTO!$AF$11)),0)</f>
        <v>0</v>
      </c>
      <c r="AM467" s="545">
        <f ca="1">IF(AND($D467="Serviço",AM$12&lt;&gt;0,$H467&gt;0,OR(AUTOEVENTO&lt;&gt;"manual",$M467&lt;&gt;1)),
IF(Import.TipoArredondamento&lt;&gt;"TransfereGOV",
ROUND(OFFSET($P467,0,AM$13),15-13*ORÇAMENTO!$AF$7)/$H467*OFFSET(ORÇAMENTO!$X$15,ROW(AM467)-ROW(AM$15),0),
ROUND(ROUND(OFFSET($P467,0,AM$13),15-13*ORÇAMENTO!$AF$7)*OFFSET(ORÇAMENTO!$W$15,ROW(AM467)-ROW(AM$15),0),15-13*ORÇAMENTO!$AF$11)),0)</f>
        <v>0</v>
      </c>
      <c r="AN467" s="545">
        <f ca="1">IF(AND($D467="Serviço",AN$12&lt;&gt;0,$H467&gt;0,OR(AUTOEVENTO&lt;&gt;"manual",$M467&lt;&gt;1)),
IF(Import.TipoArredondamento&lt;&gt;"TransfereGOV",
ROUND(OFFSET($P467,0,AN$13),15-13*ORÇAMENTO!$AF$7)/$H467*OFFSET(ORÇAMENTO!$X$15,ROW(AN467)-ROW(AN$15),0),
ROUND(ROUND(OFFSET($P467,0,AN$13),15-13*ORÇAMENTO!$AF$7)*OFFSET(ORÇAMENTO!$W$15,ROW(AN467)-ROW(AN$15),0),15-13*ORÇAMENTO!$AF$11)),0)</f>
        <v>0</v>
      </c>
      <c r="AO467" s="545">
        <f ca="1">IF(AND($D467="Serviço",AO$12&lt;&gt;0,$H467&gt;0,OR(AUTOEVENTO&lt;&gt;"manual",$M467&lt;&gt;1)),
IF(Import.TipoArredondamento&lt;&gt;"TransfereGOV",
ROUND(OFFSET($P467,0,AO$13),15-13*ORÇAMENTO!$AF$7)/$H467*OFFSET(ORÇAMENTO!$X$15,ROW(AO467)-ROW(AO$15),0),
ROUND(ROUND(OFFSET($P467,0,AO$13),15-13*ORÇAMENTO!$AF$7)*OFFSET(ORÇAMENTO!$W$15,ROW(AO467)-ROW(AO$15),0),15-13*ORÇAMENTO!$AF$11)),0)</f>
        <v>0</v>
      </c>
      <c r="AP467" s="545">
        <f ca="1">IF(AND($D467="Serviço",AP$12&lt;&gt;0,$H467&gt;0,OR(AUTOEVENTO&lt;&gt;"manual",$M467&lt;&gt;1)),
IF(Import.TipoArredondamento&lt;&gt;"TransfereGOV",
ROUND(OFFSET($P467,0,AP$13),15-13*ORÇAMENTO!$AF$7)/$H467*OFFSET(ORÇAMENTO!$X$15,ROW(AP467)-ROW(AP$15),0),
ROUND(ROUND(OFFSET($P467,0,AP$13),15-13*ORÇAMENTO!$AF$7)*OFFSET(ORÇAMENTO!$W$15,ROW(AP467)-ROW(AP$15),0),15-13*ORÇAMENTO!$AF$11)),0)</f>
        <v>0</v>
      </c>
      <c r="AQ467" s="545">
        <f ca="1">IF(AND($D467="Serviço",AQ$12&lt;&gt;0,$H467&gt;0,OR(AUTOEVENTO&lt;&gt;"manual",$M467&lt;&gt;1)),
IF(Import.TipoArredondamento&lt;&gt;"TransfereGOV",
ROUND(OFFSET($P467,0,AQ$13),15-13*ORÇAMENTO!$AF$7)/$H467*OFFSET(ORÇAMENTO!$X$15,ROW(AQ467)-ROW(AQ$15),0),
ROUND(ROUND(OFFSET($P467,0,AQ$13),15-13*ORÇAMENTO!$AF$7)*OFFSET(ORÇAMENTO!$W$15,ROW(AQ467)-ROW(AQ$15),0),15-13*ORÇAMENTO!$AF$11)),0)</f>
        <v>0</v>
      </c>
      <c r="AR467" s="545">
        <f ca="1">IF(AND($D467="Serviço",AR$12&lt;&gt;0,$H467&gt;0,OR(AUTOEVENTO&lt;&gt;"manual",$M467&lt;&gt;1)),
IF(Import.TipoArredondamento&lt;&gt;"TransfereGOV",
ROUND(OFFSET($P467,0,AR$13),15-13*ORÇAMENTO!$AF$7)/$H467*OFFSET(ORÇAMENTO!$X$15,ROW(AR467)-ROW(AR$15),0),
ROUND(ROUND(OFFSET($P467,0,AR$13),15-13*ORÇAMENTO!$AF$7)*OFFSET(ORÇAMENTO!$W$15,ROW(AR467)-ROW(AR$15),0),15-13*ORÇAMENTO!$AF$11)),0)</f>
        <v>0</v>
      </c>
      <c r="AS467" s="546">
        <f ca="1">IF(AND($D467="Serviço",AS$12&lt;&gt;0,$H467&gt;0,OR(AUTOEVENTO&lt;&gt;"manual",$M467&lt;&gt;1)),
IF(Import.TipoArredondamento&lt;&gt;"TransfereGOV",
ROUND(OFFSET($P467,0,AS$13),15-13*ORÇAMENTO!$AF$7)/$H467*OFFSET(ORÇAMENTO!$X$15,ROW(AS467)-ROW(AS$15),0),
ROUND(ROUND(OFFSET($P467,0,AS$13),15-13*ORÇAMENTO!$AF$7)*OFFSET(ORÇAMENTO!$W$15,ROW(AS467)-ROW(AS$15),0),15-13*ORÇAMENTO!$AF$11)),0)</f>
        <v>0</v>
      </c>
      <c r="AT467" s="545">
        <f ca="1">IF(AND($D467="Serviço",AT$12&lt;&gt;0,$H467&gt;0,OR(AUTOEVENTO&lt;&gt;"manual",$M467&lt;&gt;1)),
IF(Import.TipoArredondamento&lt;&gt;"TransfereGOV",
ROUND(OFFSET($P467,0,AT$13),15-13*ORÇAMENTO!$AF$7)/$H467*OFFSET(ORÇAMENTO!$X$15,ROW(AT467)-ROW(AT$15),0),
ROUND(ROUND(OFFSET($P467,0,AT$13),15-13*ORÇAMENTO!$AF$7)*OFFSET(ORÇAMENTO!$W$15,ROW(AT467)-ROW(AT$15),0),15-13*ORÇAMENTO!$AF$11)),0)</f>
        <v>0</v>
      </c>
      <c r="AU467" s="545">
        <f ca="1">IF(AND($D467="Serviço",AU$12&lt;&gt;0,$H467&gt;0,OR(AUTOEVENTO&lt;&gt;"manual",$M467&lt;&gt;1)),
IF(Import.TipoArredondamento&lt;&gt;"TransfereGOV",
ROUND(OFFSET($P467,0,AU$13),15-13*ORÇAMENTO!$AF$7)/$H467*OFFSET(ORÇAMENTO!$X$15,ROW(AU467)-ROW(AU$15),0),
ROUND(ROUND(OFFSET($P467,0,AU$13),15-13*ORÇAMENTO!$AF$7)*OFFSET(ORÇAMENTO!$W$15,ROW(AU467)-ROW(AU$15),0),15-13*ORÇAMENTO!$AF$11)),0)</f>
        <v>0</v>
      </c>
      <c r="AV467" s="545">
        <f ca="1">IF(AND($D467="Serviço",AV$12&lt;&gt;0,$H467&gt;0,OR(AUTOEVENTO&lt;&gt;"manual",$M467&lt;&gt;1)),
IF(Import.TipoArredondamento&lt;&gt;"TransfereGOV",
ROUND(OFFSET($P467,0,AV$13),15-13*ORÇAMENTO!$AF$7)/$H467*OFFSET(ORÇAMENTO!$X$15,ROW(AV467)-ROW(AV$15),0),
ROUND(ROUND(OFFSET($P467,0,AV$13),15-13*ORÇAMENTO!$AF$7)*OFFSET(ORÇAMENTO!$W$15,ROW(AV467)-ROW(AV$15),0),15-13*ORÇAMENTO!$AF$11)),0)</f>
        <v>0</v>
      </c>
      <c r="AW467" s="545">
        <f ca="1">IF(AND($D467="Serviço",AW$12&lt;&gt;0,$H467&gt;0,OR(AUTOEVENTO&lt;&gt;"manual",$M467&lt;&gt;1)),
IF(Import.TipoArredondamento&lt;&gt;"TransfereGOV",
ROUND(OFFSET($P467,0,AW$13),15-13*ORÇAMENTO!$AF$7)/$H467*OFFSET(ORÇAMENTO!$X$15,ROW(AW467)-ROW(AW$15),0),
ROUND(ROUND(OFFSET($P467,0,AW$13),15-13*ORÇAMENTO!$AF$7)*OFFSET(ORÇAMENTO!$W$15,ROW(AW467)-ROW(AW$15),0),15-13*ORÇAMENTO!$AF$11)),0)</f>
        <v>0</v>
      </c>
      <c r="AX467" s="545">
        <f ca="1">IF(AND($D467="Serviço",AX$12&lt;&gt;0,$H467&gt;0,OR(AUTOEVENTO&lt;&gt;"manual",$M467&lt;&gt;1)),
IF(Import.TipoArredondamento&lt;&gt;"TransfereGOV",
ROUND(OFFSET($P467,0,AX$13),15-13*ORÇAMENTO!$AF$7)/$H467*OFFSET(ORÇAMENTO!$X$15,ROW(AX467)-ROW(AX$15),0),
ROUND(ROUND(OFFSET($P467,0,AX$13),15-13*ORÇAMENTO!$AF$7)*OFFSET(ORÇAMENTO!$W$15,ROW(AX467)-ROW(AX$15),0),15-13*ORÇAMENTO!$AF$11)),0)</f>
        <v>0</v>
      </c>
      <c r="AY467" s="545">
        <f ca="1">IF(AND($D467="Serviço",AY$12&lt;&gt;0,$H467&gt;0,OR(AUTOEVENTO&lt;&gt;"manual",$M467&lt;&gt;1)),
IF(Import.TipoArredondamento&lt;&gt;"TransfereGOV",
ROUND(OFFSET($P467,0,AY$13),15-13*ORÇAMENTO!$AF$7)/$H467*OFFSET(ORÇAMENTO!$X$15,ROW(AY467)-ROW(AY$15),0),
ROUND(ROUND(OFFSET($P467,0,AY$13),15-13*ORÇAMENTO!$AF$7)*OFFSET(ORÇAMENTO!$W$15,ROW(AY467)-ROW(AY$15),0),15-13*ORÇAMENTO!$AF$11)),0)</f>
        <v>0</v>
      </c>
      <c r="AZ467" s="545">
        <f ca="1">IF(AND($D467="Serviço",AZ$12&lt;&gt;0,$H467&gt;0,OR(AUTOEVENTO&lt;&gt;"manual",$M467&lt;&gt;1)),
IF(Import.TipoArredondamento&lt;&gt;"TransfereGOV",
ROUND(OFFSET($P467,0,AZ$13),15-13*ORÇAMENTO!$AF$7)/$H467*OFFSET(ORÇAMENTO!$X$15,ROW(AZ467)-ROW(AZ$15),0),
ROUND(ROUND(OFFSET($P467,0,AZ$13),15-13*ORÇAMENTO!$AF$7)*OFFSET(ORÇAMENTO!$W$15,ROW(AZ467)-ROW(AZ$15),0),15-13*ORÇAMENTO!$AF$11)),0)</f>
        <v>0</v>
      </c>
      <c r="BA467" s="546">
        <f ca="1">IF(AND($D467="Serviço",BA$12&lt;&gt;0,$H467&gt;0,OR(AUTOEVENTO&lt;&gt;"manual",$M467&lt;&gt;1)),
IF(Import.TipoArredondamento&lt;&gt;"TransfereGOV",
ROUND(OFFSET($P467,0,BA$13),15-13*ORÇAMENTO!$AF$7)/$H467*OFFSET(ORÇAMENTO!$X$15,ROW(BA467)-ROW(BA$15),0),
ROUND(ROUND(OFFSET($P467,0,BA$13),15-13*ORÇAMENTO!$AF$7)*OFFSET(ORÇAMENTO!$W$15,ROW(BA467)-ROW(BA$15),0),15-13*ORÇAMENTO!$AF$11)),0)</f>
        <v>0</v>
      </c>
      <c r="BC467" s="181">
        <f ca="1">IF($D467&lt;&gt;"Serviço",0,IF(AND(AUTOEVENTO="Manual",$M467=1),0,IF(OFFSET(CRONOPLE!$F$14,$M467,BC$13)="",10^12,OFFSET(CRONOPLE!$F$14,$M467,BC$13))))</f>
        <v>10</v>
      </c>
      <c r="BD467" s="181">
        <f ca="1">IF($D467&lt;&gt;"Serviço",0,IF(AND(AUTOEVENTO="Manual",$M467=1),0,IF(OFFSET(CRONOPLE!$F$14,$M467,BD$13)="",10^12,OFFSET(CRONOPLE!$F$14,$M467,BD$13))))</f>
        <v>1000000000000</v>
      </c>
      <c r="BE467" s="181">
        <f ca="1">IF($D467&lt;&gt;"Serviço",0,IF(AND(AUTOEVENTO="Manual",$M467=1),0,IF(OFFSET(CRONOPLE!$F$14,$M467,BE$13)="",10^12,OFFSET(CRONOPLE!$F$14,$M467,BE$13))))</f>
        <v>1000000000000</v>
      </c>
      <c r="BF467" s="181">
        <f ca="1">IF($D467&lt;&gt;"Serviço",0,IF(AND(AUTOEVENTO="Manual",$M467=1),0,IF(OFFSET(CRONOPLE!$F$14,$M467,BF$13)="",10^12,OFFSET(CRONOPLE!$F$14,$M467,BF$13))))</f>
        <v>1000000000000</v>
      </c>
      <c r="BG467" s="181">
        <f ca="1">IF($D467&lt;&gt;"Serviço",0,IF(AND(AUTOEVENTO="Manual",$M467=1),0,IF(OFFSET(CRONOPLE!$F$14,$M467,BG$13)="",10^12,OFFSET(CRONOPLE!$F$14,$M467,BG$13))))</f>
        <v>1000000000000</v>
      </c>
      <c r="BH467" s="181">
        <f ca="1">IF($D467&lt;&gt;"Serviço",0,IF(AND(AUTOEVENTO="Manual",$M467=1),0,IF(OFFSET(CRONOPLE!$F$14,$M467,BH$13)="",10^12,OFFSET(CRONOPLE!$F$14,$M467,BH$13))))</f>
        <v>1000000000000</v>
      </c>
      <c r="BI467" s="181">
        <f ca="1">IF($D467&lt;&gt;"Serviço",0,IF(AND(AUTOEVENTO="Manual",$M467=1),0,IF(OFFSET(CRONOPLE!$F$14,$M467,BI$13)="",10^12,OFFSET(CRONOPLE!$F$14,$M467,BI$13))))</f>
        <v>1000000000000</v>
      </c>
      <c r="BJ467" s="181">
        <f ca="1">IF($D467&lt;&gt;"Serviço",0,IF(AND(AUTOEVENTO="Manual",$M467=1),0,IF(OFFSET(CRONOPLE!$F$14,$M467,BJ$13)="",10^12,OFFSET(CRONOPLE!$F$14,$M467,BJ$13))))</f>
        <v>1000000000000</v>
      </c>
      <c r="BK467" s="181">
        <f ca="1">IF($D467&lt;&gt;"Serviço",0,IF(AND(AUTOEVENTO="Manual",$M467=1),0,IF(OFFSET(CRONOPLE!$F$14,$M467,BK$13)="",10^12,OFFSET(CRONOPLE!$F$14,$M467,BK$13))))</f>
        <v>1000000000000</v>
      </c>
      <c r="BL467" s="181">
        <f ca="1">IF($D467&lt;&gt;"Serviço",0,IF(AND(AUTOEVENTO="Manual",$M467=1),0,IF(OFFSET(CRONOPLE!$F$14,$M467,BL$13)="",10^12,OFFSET(CRONOPLE!$F$14,$M467,BL$13))))</f>
        <v>1000000000000</v>
      </c>
      <c r="BM467" s="181">
        <f ca="1">IF($D467&lt;&gt;"Serviço",0,IF(AND(AUTOEVENTO="Manual",$M467=1),0,IF(OFFSET(CRONOPLE!$F$14,$M467,BM$13)="",10^12,OFFSET(CRONOPLE!$F$14,$M467,BM$13))))</f>
        <v>1000000000000</v>
      </c>
      <c r="BN467" s="181">
        <f ca="1">IF($D467&lt;&gt;"Serviço",0,IF(AND(AUTOEVENTO="Manual",$M467=1),0,IF(OFFSET(CRONOPLE!$F$14,$M467,BN$13)="",10^12,OFFSET(CRONOPLE!$F$14,$M467,BN$13))))</f>
        <v>1000000000000</v>
      </c>
      <c r="BO467" s="181">
        <f ca="1">IF($D467&lt;&gt;"Serviço",0,IF(AND(AUTOEVENTO="Manual",$M467=1),0,IF(OFFSET(CRONOPLE!$F$14,$M467,BO$13)="",10^12,OFFSET(CRONOPLE!$F$14,$M467,BO$13))))</f>
        <v>1000000000000</v>
      </c>
      <c r="BP467" s="181">
        <f ca="1">IF($D467&lt;&gt;"Serviço",0,IF(AND(AUTOEVENTO="Manual",$M467=1),0,IF(OFFSET(CRONOPLE!$F$14,$M467,BP$13)="",10^12,OFFSET(CRONOPLE!$F$14,$M467,BP$13))))</f>
        <v>1000000000000</v>
      </c>
      <c r="BQ467" s="181">
        <f ca="1">IF($D467&lt;&gt;"Serviço",0,IF(AND(AUTOEVENTO="Manual",$M467=1),0,IF(OFFSET(CRONOPLE!$F$14,$M467,BQ$13)="",10^12,OFFSET(CRONOPLE!$F$14,$M467,BQ$13))))</f>
        <v>1000000000000</v>
      </c>
      <c r="BR467" s="181">
        <f ca="1">IF($D467&lt;&gt;"Serviço",0,IF(AND(AUTOEVENTO="Manual",$M467=1),0,IF(OFFSET(CRONOPLE!$F$14,$M467,BR$13)="",10^12,OFFSET(CRONOPLE!$F$14,$M467,BR$13))))</f>
        <v>1000000000000</v>
      </c>
      <c r="BS467" s="181">
        <f ca="1">IF($D467&lt;&gt;"Serviço",0,IF(AND(AUTOEVENTO="Manual",$M467=1),0,IF(OFFSET(CRONOPLE!$F$14,$M467,BS$13)="",10^12,OFFSET(CRONOPLE!$F$14,$M467,BS$13))))</f>
        <v>1000000000000</v>
      </c>
      <c r="BT467" s="181">
        <f ca="1">IF($D467&lt;&gt;"Serviço",0,IF(AND(AUTOEVENTO="Manual",$M467=1),0,IF(OFFSET(CRONOPLE!$F$14,$M467,BT$13)="",10^12,OFFSET(CRONOPLE!$F$14,$M467,BT$13))))</f>
        <v>1000000000000</v>
      </c>
      <c r="BV467" s="182">
        <f ca="1">IF($D467&lt;&gt;"Serviço",0,IF(OR(AND(AUTOEVENTO="Manual",$M467=1),$M467&gt;(ROW(PLE.lastrow)-ROW(PLE.firstrow))),0,IF(OFFSET(PLE!$G$14,$M467,BV$13)="",10^12,OFFSET(PLE!$G$14,$M467,BV$13))))</f>
        <v>1000000000000</v>
      </c>
      <c r="BW467" s="182">
        <f ca="1">IF($D467&lt;&gt;"Serviço",0,IF(OR(AND(AUTOEVENTO="Manual",$M467=1),$M467&gt;(ROW(PLE.lastrow)-ROW(PLE.firstrow))),0,IF(OFFSET(PLE!$G$14,$M467,BW$13)="",10^12,OFFSET(PLE!$G$14,$M467,BW$13))))</f>
        <v>1000000000000</v>
      </c>
      <c r="BX467" s="182">
        <f ca="1">IF($D467&lt;&gt;"Serviço",0,IF(OR(AND(AUTOEVENTO="Manual",$M467=1),$M467&gt;(ROW(PLE.lastrow)-ROW(PLE.firstrow))),0,IF(OFFSET(PLE!$G$14,$M467,BX$13)="",10^12,OFFSET(PLE!$G$14,$M467,BX$13))))</f>
        <v>1000000000000</v>
      </c>
      <c r="BY467" s="182">
        <f ca="1">IF($D467&lt;&gt;"Serviço",0,IF(OR(AND(AUTOEVENTO="Manual",$M467=1),$M467&gt;(ROW(PLE.lastrow)-ROW(PLE.firstrow))),0,IF(OFFSET(PLE!$G$14,$M467,BY$13)="",10^12,OFFSET(PLE!$G$14,$M467,BY$13))))</f>
        <v>1000000000000</v>
      </c>
      <c r="BZ467" s="182">
        <f ca="1">IF($D467&lt;&gt;"Serviço",0,IF(OR(AND(AUTOEVENTO="Manual",$M467=1),$M467&gt;(ROW(PLE.lastrow)-ROW(PLE.firstrow))),0,IF(OFFSET(PLE!$G$14,$M467,BZ$13)="",10^12,OFFSET(PLE!$G$14,$M467,BZ$13))))</f>
        <v>1000000000000</v>
      </c>
      <c r="CA467" s="182">
        <f ca="1">IF($D467&lt;&gt;"Serviço",0,IF(OR(AND(AUTOEVENTO="Manual",$M467=1),$M467&gt;(ROW(PLE.lastrow)-ROW(PLE.firstrow))),0,IF(OFFSET(PLE!$G$14,$M467,CA$13)="",10^12,OFFSET(PLE!$G$14,$M467,CA$13))))</f>
        <v>1000000000000</v>
      </c>
      <c r="CB467" s="182">
        <f ca="1">IF($D467&lt;&gt;"Serviço",0,IF(OR(AND(AUTOEVENTO="Manual",$M467=1),$M467&gt;(ROW(PLE.lastrow)-ROW(PLE.firstrow))),0,IF(OFFSET(PLE!$G$14,$M467,CB$13)="",10^12,OFFSET(PLE!$G$14,$M467,CB$13))))</f>
        <v>1000000000000</v>
      </c>
      <c r="CC467" s="182">
        <f ca="1">IF($D467&lt;&gt;"Serviço",0,IF(OR(AND(AUTOEVENTO="Manual",$M467=1),$M467&gt;(ROW(PLE.lastrow)-ROW(PLE.firstrow))),0,IF(OFFSET(PLE!$G$14,$M467,CC$13)="",10^12,OFFSET(PLE!$G$14,$M467,CC$13))))</f>
        <v>1000000000000</v>
      </c>
      <c r="CD467" s="182">
        <f ca="1">IF($D467&lt;&gt;"Serviço",0,IF(OR(AND(AUTOEVENTO="Manual",$M467=1),$M467&gt;(ROW(PLE.lastrow)-ROW(PLE.firstrow))),0,IF(OFFSET(PLE!$G$14,$M467,CD$13)="",10^12,OFFSET(PLE!$G$14,$M467,CD$13))))</f>
        <v>1000000000000</v>
      </c>
      <c r="CE467" s="182">
        <f ca="1">IF($D467&lt;&gt;"Serviço",0,IF(OR(AND(AUTOEVENTO="Manual",$M467=1),$M467&gt;(ROW(PLE.lastrow)-ROW(PLE.firstrow))),0,IF(OFFSET(PLE!$G$14,$M467,CE$13)="",10^12,OFFSET(PLE!$G$14,$M467,CE$13))))</f>
        <v>1000000000000</v>
      </c>
      <c r="CF467" s="182">
        <f ca="1">IF($D467&lt;&gt;"Serviço",0,IF(OR(AND(AUTOEVENTO="Manual",$M467=1),$M467&gt;(ROW(PLE.lastrow)-ROW(PLE.firstrow))),0,IF(OFFSET(PLE!$G$14,$M467,CF$13)="",10^12,OFFSET(PLE!$G$14,$M467,CF$13))))</f>
        <v>1000000000000</v>
      </c>
      <c r="CG467" s="182">
        <f ca="1">IF($D467&lt;&gt;"Serviço",0,IF(OR(AND(AUTOEVENTO="Manual",$M467=1),$M467&gt;(ROW(PLE.lastrow)-ROW(PLE.firstrow))),0,IF(OFFSET(PLE!$G$14,$M467,CG$13)="",10^12,OFFSET(PLE!$G$14,$M467,CG$13))))</f>
        <v>1000000000000</v>
      </c>
      <c r="CH467" s="182">
        <f ca="1">IF($D467&lt;&gt;"Serviço",0,IF(OR(AND(AUTOEVENTO="Manual",$M467=1),$M467&gt;(ROW(PLE.lastrow)-ROW(PLE.firstrow))),0,IF(OFFSET(PLE!$G$14,$M467,CH$13)="",10^12,OFFSET(PLE!$G$14,$M467,CH$13))))</f>
        <v>1000000000000</v>
      </c>
      <c r="CI467" s="182">
        <f ca="1">IF($D467&lt;&gt;"Serviço",0,IF(OR(AND(AUTOEVENTO="Manual",$M467=1),$M467&gt;(ROW(PLE.lastrow)-ROW(PLE.firstrow))),0,IF(OFFSET(PLE!$G$14,$M467,CI$13)="",10^12,OFFSET(PLE!$G$14,$M467,CI$13))))</f>
        <v>1000000000000</v>
      </c>
      <c r="CJ467" s="182">
        <f ca="1">IF($D467&lt;&gt;"Serviço",0,IF(OR(AND(AUTOEVENTO="Manual",$M467=1),$M467&gt;(ROW(PLE.lastrow)-ROW(PLE.firstrow))),0,IF(OFFSET(PLE!$G$14,$M467,CJ$13)="",10^12,OFFSET(PLE!$G$14,$M467,CJ$13))))</f>
        <v>1000000000000</v>
      </c>
      <c r="CK467" s="182">
        <f ca="1">IF($D467&lt;&gt;"Serviço",0,IF(OR(AND(AUTOEVENTO="Manual",$M467=1),$M467&gt;(ROW(PLE.lastrow)-ROW(PLE.firstrow))),0,IF(OFFSET(PLE!$G$14,$M467,CK$13)="",10^12,OFFSET(PLE!$G$14,$M467,CK$13))))</f>
        <v>1000000000000</v>
      </c>
      <c r="CL467" s="182">
        <f ca="1">IF($D467&lt;&gt;"Serviço",0,IF(OR(AND(AUTOEVENTO="Manual",$M467=1),$M467&gt;(ROW(PLE.lastrow)-ROW(PLE.firstrow))),0,IF(OFFSET(PLE!$G$14,$M467,CL$13)="",10^12,OFFSET(PLE!$G$14,$M467,CL$13))))</f>
        <v>1000000000000</v>
      </c>
      <c r="CM467" s="182">
        <f ca="1">IF($D467&lt;&gt;"Serviço",0,IF(OR(AND(AUTOEVENTO="Manual",$M467=1),$M467&gt;(ROW(PLE.lastrow)-ROW(PLE.firstrow))),0,IF(OFFSET(PLE!$G$14,$M467,CM$13)="",10^12,OFFSET(PLE!$G$14,$M467,CM$13))))</f>
        <v>1000000000000</v>
      </c>
    </row>
    <row r="468" spans="1:91" ht="38.25" x14ac:dyDescent="0.2">
      <c r="A468" s="7" t="str">
        <f t="shared" ca="1" si="12"/>
        <v>421</v>
      </c>
      <c r="B468" s="7" t="str">
        <f ca="1">OFFSET(ORÇAMENTO!C$15,ROW(B468)-ROW(B$15),0)</f>
        <v>S</v>
      </c>
      <c r="C468" s="7" t="str">
        <f ca="1">OFFSET(ORÇAMENTO!L$15,ROW(C468)-ROW(C$15),0)</f>
        <v/>
      </c>
      <c r="D468" s="118" t="str">
        <f ca="1">OFFSET(ORÇAMENTO!N$15,ROW(D468)-ROW(D$15),0)</f>
        <v>Serviço</v>
      </c>
      <c r="E468" s="119" t="str">
        <f ca="1">OFFSET(ORÇAMENTO!O$15,ROW(E468)-ROW(E$15),0)</f>
        <v>-</v>
      </c>
      <c r="F468" s="172" t="str">
        <f ca="1">OFFSET(ORÇAMENTO!R$15,ROW(F468)-ROW(F$15),0)</f>
        <v>(abra o arquivo 'Referência 06-2024.xlsm)</v>
      </c>
      <c r="G468" s="173" t="str">
        <f ca="1">IF($D468&lt;&gt;"Serviço","",OFFSET(ORÇAMENTO!S$15,ROW(G468)-ROW(G$15),0))</f>
        <v>-</v>
      </c>
      <c r="H468" s="124">
        <f ca="1">IF($D468&lt;&gt;"Serviço",0,IF(ACOMPANHAMENTO="BM",ROUND(OFFSET(ORÇAMENTO!AJ$15,ROW(H468)-ROW(H$15),0),15-13*ORÇAMENTO!$AF$7),SUMPRODUCT(($Q$12:$AI$12&lt;&gt;"")*ROUND($Q468:$AI468,15-13*ORÇAMENTO!$AF$7))))</f>
        <v>2</v>
      </c>
      <c r="I468" s="561" t="s">
        <v>1107</v>
      </c>
      <c r="K468" s="174"/>
      <c r="L468" s="175" t="s">
        <v>255</v>
      </c>
      <c r="M468" s="176">
        <f ca="1">IF($D468&lt;&gt;"Serviço","",IF(AUTOEVENTO="manual",$A468,IF(ISERROR(MATCH($A468,$A$15:OFFSET($A468,-1,0),0)),MAX($M$15:OFFSET(M468,-1,0))+1,INDEX($M$15:OFFSET(M468,-1,0),MATCH($A468,$A$15:OFFSET($A468,-1,0),0)))))</f>
        <v>49</v>
      </c>
      <c r="N468" s="177" t="str">
        <f ca="1">IF($D468&lt;&gt;"Serviço","",IF(AUTOEVENTO="Manual",IF($A468=0,"&lt;-- defina o número do agrupador",OFFSET(EVENTOS!$D$14,$A468,0)),OFFSET($F$15,$A468,0)))</f>
        <v>SISTEMA DE PROTEÇÃO CONTRA INCÊNDIO - TUBULAÇÕES E CONEXÕES</v>
      </c>
      <c r="O468" s="178"/>
      <c r="Q468" s="178">
        <v>2</v>
      </c>
      <c r="R468" s="179"/>
      <c r="S468" s="179"/>
      <c r="T468" s="179"/>
      <c r="U468" s="179"/>
      <c r="V468" s="179"/>
      <c r="W468" s="179"/>
      <c r="X468" s="179"/>
      <c r="Y468" s="179"/>
      <c r="Z468" s="180"/>
      <c r="AA468" s="179"/>
      <c r="AB468" s="179"/>
      <c r="AC468" s="179"/>
      <c r="AD468" s="179"/>
      <c r="AE468" s="179"/>
      <c r="AF468" s="179"/>
      <c r="AG468" s="179"/>
      <c r="AH468" s="180"/>
      <c r="AJ468" s="544">
        <f ca="1">IF(AND($D468="Serviço",AJ$12&lt;&gt;0,$H468&gt;0,OR(AUTOEVENTO&lt;&gt;"manual",$M468&lt;&gt;1)),
IF(Import.TipoArredondamento&lt;&gt;"TransfereGOV",
ROUND(OFFSET($P468,0,AJ$13),15-13*ORÇAMENTO!$AF$7)/$H468*OFFSET(ORÇAMENTO!$X$15,ROW(AJ468)-ROW(AJ$15),0),
ROUND(ROUND(OFFSET($P468,0,AJ$13),15-13*ORÇAMENTO!$AF$7)*OFFSET(ORÇAMENTO!$W$15,ROW(AJ468)-ROW(AJ$15),0),15-13*ORÇAMENTO!$AF$11)),0)</f>
        <v>0</v>
      </c>
      <c r="AK468" s="545">
        <f ca="1">IF(AND($D468="Serviço",AK$12&lt;&gt;0,$H468&gt;0,OR(AUTOEVENTO&lt;&gt;"manual",$M468&lt;&gt;1)),
IF(Import.TipoArredondamento&lt;&gt;"TransfereGOV",
ROUND(OFFSET($P468,0,AK$13),15-13*ORÇAMENTO!$AF$7)/$H468*OFFSET(ORÇAMENTO!$X$15,ROW(AK468)-ROW(AK$15),0),
ROUND(ROUND(OFFSET($P468,0,AK$13),15-13*ORÇAMENTO!$AF$7)*OFFSET(ORÇAMENTO!$W$15,ROW(AK468)-ROW(AK$15),0),15-13*ORÇAMENTO!$AF$11)),0)</f>
        <v>0</v>
      </c>
      <c r="AL468" s="545">
        <f ca="1">IF(AND($D468="Serviço",AL$12&lt;&gt;0,$H468&gt;0,OR(AUTOEVENTO&lt;&gt;"manual",$M468&lt;&gt;1)),
IF(Import.TipoArredondamento&lt;&gt;"TransfereGOV",
ROUND(OFFSET($P468,0,AL$13),15-13*ORÇAMENTO!$AF$7)/$H468*OFFSET(ORÇAMENTO!$X$15,ROW(AL468)-ROW(AL$15),0),
ROUND(ROUND(OFFSET($P468,0,AL$13),15-13*ORÇAMENTO!$AF$7)*OFFSET(ORÇAMENTO!$W$15,ROW(AL468)-ROW(AL$15),0),15-13*ORÇAMENTO!$AF$11)),0)</f>
        <v>0</v>
      </c>
      <c r="AM468" s="545">
        <f ca="1">IF(AND($D468="Serviço",AM$12&lt;&gt;0,$H468&gt;0,OR(AUTOEVENTO&lt;&gt;"manual",$M468&lt;&gt;1)),
IF(Import.TipoArredondamento&lt;&gt;"TransfereGOV",
ROUND(OFFSET($P468,0,AM$13),15-13*ORÇAMENTO!$AF$7)/$H468*OFFSET(ORÇAMENTO!$X$15,ROW(AM468)-ROW(AM$15),0),
ROUND(ROUND(OFFSET($P468,0,AM$13),15-13*ORÇAMENTO!$AF$7)*OFFSET(ORÇAMENTO!$W$15,ROW(AM468)-ROW(AM$15),0),15-13*ORÇAMENTO!$AF$11)),0)</f>
        <v>0</v>
      </c>
      <c r="AN468" s="545">
        <f ca="1">IF(AND($D468="Serviço",AN$12&lt;&gt;0,$H468&gt;0,OR(AUTOEVENTO&lt;&gt;"manual",$M468&lt;&gt;1)),
IF(Import.TipoArredondamento&lt;&gt;"TransfereGOV",
ROUND(OFFSET($P468,0,AN$13),15-13*ORÇAMENTO!$AF$7)/$H468*OFFSET(ORÇAMENTO!$X$15,ROW(AN468)-ROW(AN$15),0),
ROUND(ROUND(OFFSET($P468,0,AN$13),15-13*ORÇAMENTO!$AF$7)*OFFSET(ORÇAMENTO!$W$15,ROW(AN468)-ROW(AN$15),0),15-13*ORÇAMENTO!$AF$11)),0)</f>
        <v>0</v>
      </c>
      <c r="AO468" s="545">
        <f ca="1">IF(AND($D468="Serviço",AO$12&lt;&gt;0,$H468&gt;0,OR(AUTOEVENTO&lt;&gt;"manual",$M468&lt;&gt;1)),
IF(Import.TipoArredondamento&lt;&gt;"TransfereGOV",
ROUND(OFFSET($P468,0,AO$13),15-13*ORÇAMENTO!$AF$7)/$H468*OFFSET(ORÇAMENTO!$X$15,ROW(AO468)-ROW(AO$15),0),
ROUND(ROUND(OFFSET($P468,0,AO$13),15-13*ORÇAMENTO!$AF$7)*OFFSET(ORÇAMENTO!$W$15,ROW(AO468)-ROW(AO$15),0),15-13*ORÇAMENTO!$AF$11)),0)</f>
        <v>0</v>
      </c>
      <c r="AP468" s="545">
        <f ca="1">IF(AND($D468="Serviço",AP$12&lt;&gt;0,$H468&gt;0,OR(AUTOEVENTO&lt;&gt;"manual",$M468&lt;&gt;1)),
IF(Import.TipoArredondamento&lt;&gt;"TransfereGOV",
ROUND(OFFSET($P468,0,AP$13),15-13*ORÇAMENTO!$AF$7)/$H468*OFFSET(ORÇAMENTO!$X$15,ROW(AP468)-ROW(AP$15),0),
ROUND(ROUND(OFFSET($P468,0,AP$13),15-13*ORÇAMENTO!$AF$7)*OFFSET(ORÇAMENTO!$W$15,ROW(AP468)-ROW(AP$15),0),15-13*ORÇAMENTO!$AF$11)),0)</f>
        <v>0</v>
      </c>
      <c r="AQ468" s="545">
        <f ca="1">IF(AND($D468="Serviço",AQ$12&lt;&gt;0,$H468&gt;0,OR(AUTOEVENTO&lt;&gt;"manual",$M468&lt;&gt;1)),
IF(Import.TipoArredondamento&lt;&gt;"TransfereGOV",
ROUND(OFFSET($P468,0,AQ$13),15-13*ORÇAMENTO!$AF$7)/$H468*OFFSET(ORÇAMENTO!$X$15,ROW(AQ468)-ROW(AQ$15),0),
ROUND(ROUND(OFFSET($P468,0,AQ$13),15-13*ORÇAMENTO!$AF$7)*OFFSET(ORÇAMENTO!$W$15,ROW(AQ468)-ROW(AQ$15),0),15-13*ORÇAMENTO!$AF$11)),0)</f>
        <v>0</v>
      </c>
      <c r="AR468" s="545">
        <f ca="1">IF(AND($D468="Serviço",AR$12&lt;&gt;0,$H468&gt;0,OR(AUTOEVENTO&lt;&gt;"manual",$M468&lt;&gt;1)),
IF(Import.TipoArredondamento&lt;&gt;"TransfereGOV",
ROUND(OFFSET($P468,0,AR$13),15-13*ORÇAMENTO!$AF$7)/$H468*OFFSET(ORÇAMENTO!$X$15,ROW(AR468)-ROW(AR$15),0),
ROUND(ROUND(OFFSET($P468,0,AR$13),15-13*ORÇAMENTO!$AF$7)*OFFSET(ORÇAMENTO!$W$15,ROW(AR468)-ROW(AR$15),0),15-13*ORÇAMENTO!$AF$11)),0)</f>
        <v>0</v>
      </c>
      <c r="AS468" s="546">
        <f ca="1">IF(AND($D468="Serviço",AS$12&lt;&gt;0,$H468&gt;0,OR(AUTOEVENTO&lt;&gt;"manual",$M468&lt;&gt;1)),
IF(Import.TipoArredondamento&lt;&gt;"TransfereGOV",
ROUND(OFFSET($P468,0,AS$13),15-13*ORÇAMENTO!$AF$7)/$H468*OFFSET(ORÇAMENTO!$X$15,ROW(AS468)-ROW(AS$15),0),
ROUND(ROUND(OFFSET($P468,0,AS$13),15-13*ORÇAMENTO!$AF$7)*OFFSET(ORÇAMENTO!$W$15,ROW(AS468)-ROW(AS$15),0),15-13*ORÇAMENTO!$AF$11)),0)</f>
        <v>0</v>
      </c>
      <c r="AT468" s="545">
        <f ca="1">IF(AND($D468="Serviço",AT$12&lt;&gt;0,$H468&gt;0,OR(AUTOEVENTO&lt;&gt;"manual",$M468&lt;&gt;1)),
IF(Import.TipoArredondamento&lt;&gt;"TransfereGOV",
ROUND(OFFSET($P468,0,AT$13),15-13*ORÇAMENTO!$AF$7)/$H468*OFFSET(ORÇAMENTO!$X$15,ROW(AT468)-ROW(AT$15),0),
ROUND(ROUND(OFFSET($P468,0,AT$13),15-13*ORÇAMENTO!$AF$7)*OFFSET(ORÇAMENTO!$W$15,ROW(AT468)-ROW(AT$15),0),15-13*ORÇAMENTO!$AF$11)),0)</f>
        <v>0</v>
      </c>
      <c r="AU468" s="545">
        <f ca="1">IF(AND($D468="Serviço",AU$12&lt;&gt;0,$H468&gt;0,OR(AUTOEVENTO&lt;&gt;"manual",$M468&lt;&gt;1)),
IF(Import.TipoArredondamento&lt;&gt;"TransfereGOV",
ROUND(OFFSET($P468,0,AU$13),15-13*ORÇAMENTO!$AF$7)/$H468*OFFSET(ORÇAMENTO!$X$15,ROW(AU468)-ROW(AU$15),0),
ROUND(ROUND(OFFSET($P468,0,AU$13),15-13*ORÇAMENTO!$AF$7)*OFFSET(ORÇAMENTO!$W$15,ROW(AU468)-ROW(AU$15),0),15-13*ORÇAMENTO!$AF$11)),0)</f>
        <v>0</v>
      </c>
      <c r="AV468" s="545">
        <f ca="1">IF(AND($D468="Serviço",AV$12&lt;&gt;0,$H468&gt;0,OR(AUTOEVENTO&lt;&gt;"manual",$M468&lt;&gt;1)),
IF(Import.TipoArredondamento&lt;&gt;"TransfereGOV",
ROUND(OFFSET($P468,0,AV$13),15-13*ORÇAMENTO!$AF$7)/$H468*OFFSET(ORÇAMENTO!$X$15,ROW(AV468)-ROW(AV$15),0),
ROUND(ROUND(OFFSET($P468,0,AV$13),15-13*ORÇAMENTO!$AF$7)*OFFSET(ORÇAMENTO!$W$15,ROW(AV468)-ROW(AV$15),0),15-13*ORÇAMENTO!$AF$11)),0)</f>
        <v>0</v>
      </c>
      <c r="AW468" s="545">
        <f ca="1">IF(AND($D468="Serviço",AW$12&lt;&gt;0,$H468&gt;0,OR(AUTOEVENTO&lt;&gt;"manual",$M468&lt;&gt;1)),
IF(Import.TipoArredondamento&lt;&gt;"TransfereGOV",
ROUND(OFFSET($P468,0,AW$13),15-13*ORÇAMENTO!$AF$7)/$H468*OFFSET(ORÇAMENTO!$X$15,ROW(AW468)-ROW(AW$15),0),
ROUND(ROUND(OFFSET($P468,0,AW$13),15-13*ORÇAMENTO!$AF$7)*OFFSET(ORÇAMENTO!$W$15,ROW(AW468)-ROW(AW$15),0),15-13*ORÇAMENTO!$AF$11)),0)</f>
        <v>0</v>
      </c>
      <c r="AX468" s="545">
        <f ca="1">IF(AND($D468="Serviço",AX$12&lt;&gt;0,$H468&gt;0,OR(AUTOEVENTO&lt;&gt;"manual",$M468&lt;&gt;1)),
IF(Import.TipoArredondamento&lt;&gt;"TransfereGOV",
ROUND(OFFSET($P468,0,AX$13),15-13*ORÇAMENTO!$AF$7)/$H468*OFFSET(ORÇAMENTO!$X$15,ROW(AX468)-ROW(AX$15),0),
ROUND(ROUND(OFFSET($P468,0,AX$13),15-13*ORÇAMENTO!$AF$7)*OFFSET(ORÇAMENTO!$W$15,ROW(AX468)-ROW(AX$15),0),15-13*ORÇAMENTO!$AF$11)),0)</f>
        <v>0</v>
      </c>
      <c r="AY468" s="545">
        <f ca="1">IF(AND($D468="Serviço",AY$12&lt;&gt;0,$H468&gt;0,OR(AUTOEVENTO&lt;&gt;"manual",$M468&lt;&gt;1)),
IF(Import.TipoArredondamento&lt;&gt;"TransfereGOV",
ROUND(OFFSET($P468,0,AY$13),15-13*ORÇAMENTO!$AF$7)/$H468*OFFSET(ORÇAMENTO!$X$15,ROW(AY468)-ROW(AY$15),0),
ROUND(ROUND(OFFSET($P468,0,AY$13),15-13*ORÇAMENTO!$AF$7)*OFFSET(ORÇAMENTO!$W$15,ROW(AY468)-ROW(AY$15),0),15-13*ORÇAMENTO!$AF$11)),0)</f>
        <v>0</v>
      </c>
      <c r="AZ468" s="545">
        <f ca="1">IF(AND($D468="Serviço",AZ$12&lt;&gt;0,$H468&gt;0,OR(AUTOEVENTO&lt;&gt;"manual",$M468&lt;&gt;1)),
IF(Import.TipoArredondamento&lt;&gt;"TransfereGOV",
ROUND(OFFSET($P468,0,AZ$13),15-13*ORÇAMENTO!$AF$7)/$H468*OFFSET(ORÇAMENTO!$X$15,ROW(AZ468)-ROW(AZ$15),0),
ROUND(ROUND(OFFSET($P468,0,AZ$13),15-13*ORÇAMENTO!$AF$7)*OFFSET(ORÇAMENTO!$W$15,ROW(AZ468)-ROW(AZ$15),0),15-13*ORÇAMENTO!$AF$11)),0)</f>
        <v>0</v>
      </c>
      <c r="BA468" s="546">
        <f ca="1">IF(AND($D468="Serviço",BA$12&lt;&gt;0,$H468&gt;0,OR(AUTOEVENTO&lt;&gt;"manual",$M468&lt;&gt;1)),
IF(Import.TipoArredondamento&lt;&gt;"TransfereGOV",
ROUND(OFFSET($P468,0,BA$13),15-13*ORÇAMENTO!$AF$7)/$H468*OFFSET(ORÇAMENTO!$X$15,ROW(BA468)-ROW(BA$15),0),
ROUND(ROUND(OFFSET($P468,0,BA$13),15-13*ORÇAMENTO!$AF$7)*OFFSET(ORÇAMENTO!$W$15,ROW(BA468)-ROW(BA$15),0),15-13*ORÇAMENTO!$AF$11)),0)</f>
        <v>0</v>
      </c>
      <c r="BC468" s="181">
        <f ca="1">IF($D468&lt;&gt;"Serviço",0,IF(AND(AUTOEVENTO="Manual",$M468=1),0,IF(OFFSET(CRONOPLE!$F$14,$M468,BC$13)="",10^12,OFFSET(CRONOPLE!$F$14,$M468,BC$13))))</f>
        <v>10</v>
      </c>
      <c r="BD468" s="181">
        <f ca="1">IF($D468&lt;&gt;"Serviço",0,IF(AND(AUTOEVENTO="Manual",$M468=1),0,IF(OFFSET(CRONOPLE!$F$14,$M468,BD$13)="",10^12,OFFSET(CRONOPLE!$F$14,$M468,BD$13))))</f>
        <v>1000000000000</v>
      </c>
      <c r="BE468" s="181">
        <f ca="1">IF($D468&lt;&gt;"Serviço",0,IF(AND(AUTOEVENTO="Manual",$M468=1),0,IF(OFFSET(CRONOPLE!$F$14,$M468,BE$13)="",10^12,OFFSET(CRONOPLE!$F$14,$M468,BE$13))))</f>
        <v>1000000000000</v>
      </c>
      <c r="BF468" s="181">
        <f ca="1">IF($D468&lt;&gt;"Serviço",0,IF(AND(AUTOEVENTO="Manual",$M468=1),0,IF(OFFSET(CRONOPLE!$F$14,$M468,BF$13)="",10^12,OFFSET(CRONOPLE!$F$14,$M468,BF$13))))</f>
        <v>1000000000000</v>
      </c>
      <c r="BG468" s="181">
        <f ca="1">IF($D468&lt;&gt;"Serviço",0,IF(AND(AUTOEVENTO="Manual",$M468=1),0,IF(OFFSET(CRONOPLE!$F$14,$M468,BG$13)="",10^12,OFFSET(CRONOPLE!$F$14,$M468,BG$13))))</f>
        <v>1000000000000</v>
      </c>
      <c r="BH468" s="181">
        <f ca="1">IF($D468&lt;&gt;"Serviço",0,IF(AND(AUTOEVENTO="Manual",$M468=1),0,IF(OFFSET(CRONOPLE!$F$14,$M468,BH$13)="",10^12,OFFSET(CRONOPLE!$F$14,$M468,BH$13))))</f>
        <v>1000000000000</v>
      </c>
      <c r="BI468" s="181">
        <f ca="1">IF($D468&lt;&gt;"Serviço",0,IF(AND(AUTOEVENTO="Manual",$M468=1),0,IF(OFFSET(CRONOPLE!$F$14,$M468,BI$13)="",10^12,OFFSET(CRONOPLE!$F$14,$M468,BI$13))))</f>
        <v>1000000000000</v>
      </c>
      <c r="BJ468" s="181">
        <f ca="1">IF($D468&lt;&gt;"Serviço",0,IF(AND(AUTOEVENTO="Manual",$M468=1),0,IF(OFFSET(CRONOPLE!$F$14,$M468,BJ$13)="",10^12,OFFSET(CRONOPLE!$F$14,$M468,BJ$13))))</f>
        <v>1000000000000</v>
      </c>
      <c r="BK468" s="181">
        <f ca="1">IF($D468&lt;&gt;"Serviço",0,IF(AND(AUTOEVENTO="Manual",$M468=1),0,IF(OFFSET(CRONOPLE!$F$14,$M468,BK$13)="",10^12,OFFSET(CRONOPLE!$F$14,$M468,BK$13))))</f>
        <v>1000000000000</v>
      </c>
      <c r="BL468" s="181">
        <f ca="1">IF($D468&lt;&gt;"Serviço",0,IF(AND(AUTOEVENTO="Manual",$M468=1),0,IF(OFFSET(CRONOPLE!$F$14,$M468,BL$13)="",10^12,OFFSET(CRONOPLE!$F$14,$M468,BL$13))))</f>
        <v>1000000000000</v>
      </c>
      <c r="BM468" s="181">
        <f ca="1">IF($D468&lt;&gt;"Serviço",0,IF(AND(AUTOEVENTO="Manual",$M468=1),0,IF(OFFSET(CRONOPLE!$F$14,$M468,BM$13)="",10^12,OFFSET(CRONOPLE!$F$14,$M468,BM$13))))</f>
        <v>1000000000000</v>
      </c>
      <c r="BN468" s="181">
        <f ca="1">IF($D468&lt;&gt;"Serviço",0,IF(AND(AUTOEVENTO="Manual",$M468=1),0,IF(OFFSET(CRONOPLE!$F$14,$M468,BN$13)="",10^12,OFFSET(CRONOPLE!$F$14,$M468,BN$13))))</f>
        <v>1000000000000</v>
      </c>
      <c r="BO468" s="181">
        <f ca="1">IF($D468&lt;&gt;"Serviço",0,IF(AND(AUTOEVENTO="Manual",$M468=1),0,IF(OFFSET(CRONOPLE!$F$14,$M468,BO$13)="",10^12,OFFSET(CRONOPLE!$F$14,$M468,BO$13))))</f>
        <v>1000000000000</v>
      </c>
      <c r="BP468" s="181">
        <f ca="1">IF($D468&lt;&gt;"Serviço",0,IF(AND(AUTOEVENTO="Manual",$M468=1),0,IF(OFFSET(CRONOPLE!$F$14,$M468,BP$13)="",10^12,OFFSET(CRONOPLE!$F$14,$M468,BP$13))))</f>
        <v>1000000000000</v>
      </c>
      <c r="BQ468" s="181">
        <f ca="1">IF($D468&lt;&gt;"Serviço",0,IF(AND(AUTOEVENTO="Manual",$M468=1),0,IF(OFFSET(CRONOPLE!$F$14,$M468,BQ$13)="",10^12,OFFSET(CRONOPLE!$F$14,$M468,BQ$13))))</f>
        <v>1000000000000</v>
      </c>
      <c r="BR468" s="181">
        <f ca="1">IF($D468&lt;&gt;"Serviço",0,IF(AND(AUTOEVENTO="Manual",$M468=1),0,IF(OFFSET(CRONOPLE!$F$14,$M468,BR$13)="",10^12,OFFSET(CRONOPLE!$F$14,$M468,BR$13))))</f>
        <v>1000000000000</v>
      </c>
      <c r="BS468" s="181">
        <f ca="1">IF($D468&lt;&gt;"Serviço",0,IF(AND(AUTOEVENTO="Manual",$M468=1),0,IF(OFFSET(CRONOPLE!$F$14,$M468,BS$13)="",10^12,OFFSET(CRONOPLE!$F$14,$M468,BS$13))))</f>
        <v>1000000000000</v>
      </c>
      <c r="BT468" s="181">
        <f ca="1">IF($D468&lt;&gt;"Serviço",0,IF(AND(AUTOEVENTO="Manual",$M468=1),0,IF(OFFSET(CRONOPLE!$F$14,$M468,BT$13)="",10^12,OFFSET(CRONOPLE!$F$14,$M468,BT$13))))</f>
        <v>1000000000000</v>
      </c>
      <c r="BV468" s="182">
        <f ca="1">IF($D468&lt;&gt;"Serviço",0,IF(OR(AND(AUTOEVENTO="Manual",$M468=1),$M468&gt;(ROW(PLE.lastrow)-ROW(PLE.firstrow))),0,IF(OFFSET(PLE!$G$14,$M468,BV$13)="",10^12,OFFSET(PLE!$G$14,$M468,BV$13))))</f>
        <v>1000000000000</v>
      </c>
      <c r="BW468" s="182">
        <f ca="1">IF($D468&lt;&gt;"Serviço",0,IF(OR(AND(AUTOEVENTO="Manual",$M468=1),$M468&gt;(ROW(PLE.lastrow)-ROW(PLE.firstrow))),0,IF(OFFSET(PLE!$G$14,$M468,BW$13)="",10^12,OFFSET(PLE!$G$14,$M468,BW$13))))</f>
        <v>1000000000000</v>
      </c>
      <c r="BX468" s="182">
        <f ca="1">IF($D468&lt;&gt;"Serviço",0,IF(OR(AND(AUTOEVENTO="Manual",$M468=1),$M468&gt;(ROW(PLE.lastrow)-ROW(PLE.firstrow))),0,IF(OFFSET(PLE!$G$14,$M468,BX$13)="",10^12,OFFSET(PLE!$G$14,$M468,BX$13))))</f>
        <v>1000000000000</v>
      </c>
      <c r="BY468" s="182">
        <f ca="1">IF($D468&lt;&gt;"Serviço",0,IF(OR(AND(AUTOEVENTO="Manual",$M468=1),$M468&gt;(ROW(PLE.lastrow)-ROW(PLE.firstrow))),0,IF(OFFSET(PLE!$G$14,$M468,BY$13)="",10^12,OFFSET(PLE!$G$14,$M468,BY$13))))</f>
        <v>1000000000000</v>
      </c>
      <c r="BZ468" s="182">
        <f ca="1">IF($D468&lt;&gt;"Serviço",0,IF(OR(AND(AUTOEVENTO="Manual",$M468=1),$M468&gt;(ROW(PLE.lastrow)-ROW(PLE.firstrow))),0,IF(OFFSET(PLE!$G$14,$M468,BZ$13)="",10^12,OFFSET(PLE!$G$14,$M468,BZ$13))))</f>
        <v>1000000000000</v>
      </c>
      <c r="CA468" s="182">
        <f ca="1">IF($D468&lt;&gt;"Serviço",0,IF(OR(AND(AUTOEVENTO="Manual",$M468=1),$M468&gt;(ROW(PLE.lastrow)-ROW(PLE.firstrow))),0,IF(OFFSET(PLE!$G$14,$M468,CA$13)="",10^12,OFFSET(PLE!$G$14,$M468,CA$13))))</f>
        <v>1000000000000</v>
      </c>
      <c r="CB468" s="182">
        <f ca="1">IF($D468&lt;&gt;"Serviço",0,IF(OR(AND(AUTOEVENTO="Manual",$M468=1),$M468&gt;(ROW(PLE.lastrow)-ROW(PLE.firstrow))),0,IF(OFFSET(PLE!$G$14,$M468,CB$13)="",10^12,OFFSET(PLE!$G$14,$M468,CB$13))))</f>
        <v>1000000000000</v>
      </c>
      <c r="CC468" s="182">
        <f ca="1">IF($D468&lt;&gt;"Serviço",0,IF(OR(AND(AUTOEVENTO="Manual",$M468=1),$M468&gt;(ROW(PLE.lastrow)-ROW(PLE.firstrow))),0,IF(OFFSET(PLE!$G$14,$M468,CC$13)="",10^12,OFFSET(PLE!$G$14,$M468,CC$13))))</f>
        <v>1000000000000</v>
      </c>
      <c r="CD468" s="182">
        <f ca="1">IF($D468&lt;&gt;"Serviço",0,IF(OR(AND(AUTOEVENTO="Manual",$M468=1),$M468&gt;(ROW(PLE.lastrow)-ROW(PLE.firstrow))),0,IF(OFFSET(PLE!$G$14,$M468,CD$13)="",10^12,OFFSET(PLE!$G$14,$M468,CD$13))))</f>
        <v>1000000000000</v>
      </c>
      <c r="CE468" s="182">
        <f ca="1">IF($D468&lt;&gt;"Serviço",0,IF(OR(AND(AUTOEVENTO="Manual",$M468=1),$M468&gt;(ROW(PLE.lastrow)-ROW(PLE.firstrow))),0,IF(OFFSET(PLE!$G$14,$M468,CE$13)="",10^12,OFFSET(PLE!$G$14,$M468,CE$13))))</f>
        <v>1000000000000</v>
      </c>
      <c r="CF468" s="182">
        <f ca="1">IF($D468&lt;&gt;"Serviço",0,IF(OR(AND(AUTOEVENTO="Manual",$M468=1),$M468&gt;(ROW(PLE.lastrow)-ROW(PLE.firstrow))),0,IF(OFFSET(PLE!$G$14,$M468,CF$13)="",10^12,OFFSET(PLE!$G$14,$M468,CF$13))))</f>
        <v>1000000000000</v>
      </c>
      <c r="CG468" s="182">
        <f ca="1">IF($D468&lt;&gt;"Serviço",0,IF(OR(AND(AUTOEVENTO="Manual",$M468=1),$M468&gt;(ROW(PLE.lastrow)-ROW(PLE.firstrow))),0,IF(OFFSET(PLE!$G$14,$M468,CG$13)="",10^12,OFFSET(PLE!$G$14,$M468,CG$13))))</f>
        <v>1000000000000</v>
      </c>
      <c r="CH468" s="182">
        <f ca="1">IF($D468&lt;&gt;"Serviço",0,IF(OR(AND(AUTOEVENTO="Manual",$M468=1),$M468&gt;(ROW(PLE.lastrow)-ROW(PLE.firstrow))),0,IF(OFFSET(PLE!$G$14,$M468,CH$13)="",10^12,OFFSET(PLE!$G$14,$M468,CH$13))))</f>
        <v>1000000000000</v>
      </c>
      <c r="CI468" s="182">
        <f ca="1">IF($D468&lt;&gt;"Serviço",0,IF(OR(AND(AUTOEVENTO="Manual",$M468=1),$M468&gt;(ROW(PLE.lastrow)-ROW(PLE.firstrow))),0,IF(OFFSET(PLE!$G$14,$M468,CI$13)="",10^12,OFFSET(PLE!$G$14,$M468,CI$13))))</f>
        <v>1000000000000</v>
      </c>
      <c r="CJ468" s="182">
        <f ca="1">IF($D468&lt;&gt;"Serviço",0,IF(OR(AND(AUTOEVENTO="Manual",$M468=1),$M468&gt;(ROW(PLE.lastrow)-ROW(PLE.firstrow))),0,IF(OFFSET(PLE!$G$14,$M468,CJ$13)="",10^12,OFFSET(PLE!$G$14,$M468,CJ$13))))</f>
        <v>1000000000000</v>
      </c>
      <c r="CK468" s="182">
        <f ca="1">IF($D468&lt;&gt;"Serviço",0,IF(OR(AND(AUTOEVENTO="Manual",$M468=1),$M468&gt;(ROW(PLE.lastrow)-ROW(PLE.firstrow))),0,IF(OFFSET(PLE!$G$14,$M468,CK$13)="",10^12,OFFSET(PLE!$G$14,$M468,CK$13))))</f>
        <v>1000000000000</v>
      </c>
      <c r="CL468" s="182">
        <f ca="1">IF($D468&lt;&gt;"Serviço",0,IF(OR(AND(AUTOEVENTO="Manual",$M468=1),$M468&gt;(ROW(PLE.lastrow)-ROW(PLE.firstrow))),0,IF(OFFSET(PLE!$G$14,$M468,CL$13)="",10^12,OFFSET(PLE!$G$14,$M468,CL$13))))</f>
        <v>1000000000000</v>
      </c>
      <c r="CM468" s="182">
        <f ca="1">IF($D468&lt;&gt;"Serviço",0,IF(OR(AND(AUTOEVENTO="Manual",$M468=1),$M468&gt;(ROW(PLE.lastrow)-ROW(PLE.firstrow))),0,IF(OFFSET(PLE!$G$14,$M468,CM$13)="",10^12,OFFSET(PLE!$G$14,$M468,CM$13))))</f>
        <v>1000000000000</v>
      </c>
    </row>
    <row r="469" spans="1:91" ht="38.25" x14ac:dyDescent="0.2">
      <c r="A469" s="7" t="str">
        <f t="shared" ca="1" si="12"/>
        <v>421</v>
      </c>
      <c r="B469" s="7" t="str">
        <f ca="1">OFFSET(ORÇAMENTO!C$15,ROW(B469)-ROW(B$15),0)</f>
        <v>S</v>
      </c>
      <c r="C469" s="7" t="str">
        <f ca="1">OFFSET(ORÇAMENTO!L$15,ROW(C469)-ROW(C$15),0)</f>
        <v/>
      </c>
      <c r="D469" s="118" t="str">
        <f ca="1">OFFSET(ORÇAMENTO!N$15,ROW(D469)-ROW(D$15),0)</f>
        <v>Serviço</v>
      </c>
      <c r="E469" s="119" t="str">
        <f ca="1">OFFSET(ORÇAMENTO!O$15,ROW(E469)-ROW(E$15),0)</f>
        <v>-</v>
      </c>
      <c r="F469" s="172" t="str">
        <f ca="1">OFFSET(ORÇAMENTO!R$15,ROW(F469)-ROW(F$15),0)</f>
        <v>(abra o arquivo 'Referência 06-2024.xlsm)</v>
      </c>
      <c r="G469" s="173" t="str">
        <f ca="1">IF($D469&lt;&gt;"Serviço","",OFFSET(ORÇAMENTO!S$15,ROW(G469)-ROW(G$15),0))</f>
        <v>-</v>
      </c>
      <c r="H469" s="124">
        <f ca="1">IF($D469&lt;&gt;"Serviço",0,IF(ACOMPANHAMENTO="BM",ROUND(OFFSET(ORÇAMENTO!AJ$15,ROW(H469)-ROW(H$15),0),15-13*ORÇAMENTO!$AF$7),SUMPRODUCT(($Q$12:$AI$12&lt;&gt;"")*ROUND($Q469:$AI469,15-13*ORÇAMENTO!$AF$7))))</f>
        <v>1</v>
      </c>
      <c r="I469" s="561" t="s">
        <v>1107</v>
      </c>
      <c r="K469" s="174"/>
      <c r="L469" s="175" t="s">
        <v>255</v>
      </c>
      <c r="M469" s="176">
        <f ca="1">IF($D469&lt;&gt;"Serviço","",IF(AUTOEVENTO="manual",$A469,IF(ISERROR(MATCH($A469,$A$15:OFFSET($A469,-1,0),0)),MAX($M$15:OFFSET(M469,-1,0))+1,INDEX($M$15:OFFSET(M469,-1,0),MATCH($A469,$A$15:OFFSET($A469,-1,0),0)))))</f>
        <v>49</v>
      </c>
      <c r="N469" s="177" t="str">
        <f ca="1">IF($D469&lt;&gt;"Serviço","",IF(AUTOEVENTO="Manual",IF($A469=0,"&lt;-- defina o número do agrupador",OFFSET(EVENTOS!$D$14,$A469,0)),OFFSET($F$15,$A469,0)))</f>
        <v>SISTEMA DE PROTEÇÃO CONTRA INCÊNDIO - TUBULAÇÕES E CONEXÕES</v>
      </c>
      <c r="O469" s="178"/>
      <c r="Q469" s="178">
        <v>1</v>
      </c>
      <c r="R469" s="179"/>
      <c r="S469" s="179"/>
      <c r="T469" s="179"/>
      <c r="U469" s="179"/>
      <c r="V469" s="179"/>
      <c r="W469" s="179"/>
      <c r="X469" s="179"/>
      <c r="Y469" s="179"/>
      <c r="Z469" s="180"/>
      <c r="AA469" s="179"/>
      <c r="AB469" s="179"/>
      <c r="AC469" s="179"/>
      <c r="AD469" s="179"/>
      <c r="AE469" s="179"/>
      <c r="AF469" s="179"/>
      <c r="AG469" s="179"/>
      <c r="AH469" s="180"/>
      <c r="AJ469" s="544">
        <f ca="1">IF(AND($D469="Serviço",AJ$12&lt;&gt;0,$H469&gt;0,OR(AUTOEVENTO&lt;&gt;"manual",$M469&lt;&gt;1)),
IF(Import.TipoArredondamento&lt;&gt;"TransfereGOV",
ROUND(OFFSET($P469,0,AJ$13),15-13*ORÇAMENTO!$AF$7)/$H469*OFFSET(ORÇAMENTO!$X$15,ROW(AJ469)-ROW(AJ$15),0),
ROUND(ROUND(OFFSET($P469,0,AJ$13),15-13*ORÇAMENTO!$AF$7)*OFFSET(ORÇAMENTO!$W$15,ROW(AJ469)-ROW(AJ$15),0),15-13*ORÇAMENTO!$AF$11)),0)</f>
        <v>0</v>
      </c>
      <c r="AK469" s="545">
        <f ca="1">IF(AND($D469="Serviço",AK$12&lt;&gt;0,$H469&gt;0,OR(AUTOEVENTO&lt;&gt;"manual",$M469&lt;&gt;1)),
IF(Import.TipoArredondamento&lt;&gt;"TransfereGOV",
ROUND(OFFSET($P469,0,AK$13),15-13*ORÇAMENTO!$AF$7)/$H469*OFFSET(ORÇAMENTO!$X$15,ROW(AK469)-ROW(AK$15),0),
ROUND(ROUND(OFFSET($P469,0,AK$13),15-13*ORÇAMENTO!$AF$7)*OFFSET(ORÇAMENTO!$W$15,ROW(AK469)-ROW(AK$15),0),15-13*ORÇAMENTO!$AF$11)),0)</f>
        <v>0</v>
      </c>
      <c r="AL469" s="545">
        <f ca="1">IF(AND($D469="Serviço",AL$12&lt;&gt;0,$H469&gt;0,OR(AUTOEVENTO&lt;&gt;"manual",$M469&lt;&gt;1)),
IF(Import.TipoArredondamento&lt;&gt;"TransfereGOV",
ROUND(OFFSET($P469,0,AL$13),15-13*ORÇAMENTO!$AF$7)/$H469*OFFSET(ORÇAMENTO!$X$15,ROW(AL469)-ROW(AL$15),0),
ROUND(ROUND(OFFSET($P469,0,AL$13),15-13*ORÇAMENTO!$AF$7)*OFFSET(ORÇAMENTO!$W$15,ROW(AL469)-ROW(AL$15),0),15-13*ORÇAMENTO!$AF$11)),0)</f>
        <v>0</v>
      </c>
      <c r="AM469" s="545">
        <f ca="1">IF(AND($D469="Serviço",AM$12&lt;&gt;0,$H469&gt;0,OR(AUTOEVENTO&lt;&gt;"manual",$M469&lt;&gt;1)),
IF(Import.TipoArredondamento&lt;&gt;"TransfereGOV",
ROUND(OFFSET($P469,0,AM$13),15-13*ORÇAMENTO!$AF$7)/$H469*OFFSET(ORÇAMENTO!$X$15,ROW(AM469)-ROW(AM$15),0),
ROUND(ROUND(OFFSET($P469,0,AM$13),15-13*ORÇAMENTO!$AF$7)*OFFSET(ORÇAMENTO!$W$15,ROW(AM469)-ROW(AM$15),0),15-13*ORÇAMENTO!$AF$11)),0)</f>
        <v>0</v>
      </c>
      <c r="AN469" s="545">
        <f ca="1">IF(AND($D469="Serviço",AN$12&lt;&gt;0,$H469&gt;0,OR(AUTOEVENTO&lt;&gt;"manual",$M469&lt;&gt;1)),
IF(Import.TipoArredondamento&lt;&gt;"TransfereGOV",
ROUND(OFFSET($P469,0,AN$13),15-13*ORÇAMENTO!$AF$7)/$H469*OFFSET(ORÇAMENTO!$X$15,ROW(AN469)-ROW(AN$15),0),
ROUND(ROUND(OFFSET($P469,0,AN$13),15-13*ORÇAMENTO!$AF$7)*OFFSET(ORÇAMENTO!$W$15,ROW(AN469)-ROW(AN$15),0),15-13*ORÇAMENTO!$AF$11)),0)</f>
        <v>0</v>
      </c>
      <c r="AO469" s="545">
        <f ca="1">IF(AND($D469="Serviço",AO$12&lt;&gt;0,$H469&gt;0,OR(AUTOEVENTO&lt;&gt;"manual",$M469&lt;&gt;1)),
IF(Import.TipoArredondamento&lt;&gt;"TransfereGOV",
ROUND(OFFSET($P469,0,AO$13),15-13*ORÇAMENTO!$AF$7)/$H469*OFFSET(ORÇAMENTO!$X$15,ROW(AO469)-ROW(AO$15),0),
ROUND(ROUND(OFFSET($P469,0,AO$13),15-13*ORÇAMENTO!$AF$7)*OFFSET(ORÇAMENTO!$W$15,ROW(AO469)-ROW(AO$15),0),15-13*ORÇAMENTO!$AF$11)),0)</f>
        <v>0</v>
      </c>
      <c r="AP469" s="545">
        <f ca="1">IF(AND($D469="Serviço",AP$12&lt;&gt;0,$H469&gt;0,OR(AUTOEVENTO&lt;&gt;"manual",$M469&lt;&gt;1)),
IF(Import.TipoArredondamento&lt;&gt;"TransfereGOV",
ROUND(OFFSET($P469,0,AP$13),15-13*ORÇAMENTO!$AF$7)/$H469*OFFSET(ORÇAMENTO!$X$15,ROW(AP469)-ROW(AP$15),0),
ROUND(ROUND(OFFSET($P469,0,AP$13),15-13*ORÇAMENTO!$AF$7)*OFFSET(ORÇAMENTO!$W$15,ROW(AP469)-ROW(AP$15),0),15-13*ORÇAMENTO!$AF$11)),0)</f>
        <v>0</v>
      </c>
      <c r="AQ469" s="545">
        <f ca="1">IF(AND($D469="Serviço",AQ$12&lt;&gt;0,$H469&gt;0,OR(AUTOEVENTO&lt;&gt;"manual",$M469&lt;&gt;1)),
IF(Import.TipoArredondamento&lt;&gt;"TransfereGOV",
ROUND(OFFSET($P469,0,AQ$13),15-13*ORÇAMENTO!$AF$7)/$H469*OFFSET(ORÇAMENTO!$X$15,ROW(AQ469)-ROW(AQ$15),0),
ROUND(ROUND(OFFSET($P469,0,AQ$13),15-13*ORÇAMENTO!$AF$7)*OFFSET(ORÇAMENTO!$W$15,ROW(AQ469)-ROW(AQ$15),0),15-13*ORÇAMENTO!$AF$11)),0)</f>
        <v>0</v>
      </c>
      <c r="AR469" s="545">
        <f ca="1">IF(AND($D469="Serviço",AR$12&lt;&gt;0,$H469&gt;0,OR(AUTOEVENTO&lt;&gt;"manual",$M469&lt;&gt;1)),
IF(Import.TipoArredondamento&lt;&gt;"TransfereGOV",
ROUND(OFFSET($P469,0,AR$13),15-13*ORÇAMENTO!$AF$7)/$H469*OFFSET(ORÇAMENTO!$X$15,ROW(AR469)-ROW(AR$15),0),
ROUND(ROUND(OFFSET($P469,0,AR$13),15-13*ORÇAMENTO!$AF$7)*OFFSET(ORÇAMENTO!$W$15,ROW(AR469)-ROW(AR$15),0),15-13*ORÇAMENTO!$AF$11)),0)</f>
        <v>0</v>
      </c>
      <c r="AS469" s="546">
        <f ca="1">IF(AND($D469="Serviço",AS$12&lt;&gt;0,$H469&gt;0,OR(AUTOEVENTO&lt;&gt;"manual",$M469&lt;&gt;1)),
IF(Import.TipoArredondamento&lt;&gt;"TransfereGOV",
ROUND(OFFSET($P469,0,AS$13),15-13*ORÇAMENTO!$AF$7)/$H469*OFFSET(ORÇAMENTO!$X$15,ROW(AS469)-ROW(AS$15),0),
ROUND(ROUND(OFFSET($P469,0,AS$13),15-13*ORÇAMENTO!$AF$7)*OFFSET(ORÇAMENTO!$W$15,ROW(AS469)-ROW(AS$15),0),15-13*ORÇAMENTO!$AF$11)),0)</f>
        <v>0</v>
      </c>
      <c r="AT469" s="545">
        <f ca="1">IF(AND($D469="Serviço",AT$12&lt;&gt;0,$H469&gt;0,OR(AUTOEVENTO&lt;&gt;"manual",$M469&lt;&gt;1)),
IF(Import.TipoArredondamento&lt;&gt;"TransfereGOV",
ROUND(OFFSET($P469,0,AT$13),15-13*ORÇAMENTO!$AF$7)/$H469*OFFSET(ORÇAMENTO!$X$15,ROW(AT469)-ROW(AT$15),0),
ROUND(ROUND(OFFSET($P469,0,AT$13),15-13*ORÇAMENTO!$AF$7)*OFFSET(ORÇAMENTO!$W$15,ROW(AT469)-ROW(AT$15),0),15-13*ORÇAMENTO!$AF$11)),0)</f>
        <v>0</v>
      </c>
      <c r="AU469" s="545">
        <f ca="1">IF(AND($D469="Serviço",AU$12&lt;&gt;0,$H469&gt;0,OR(AUTOEVENTO&lt;&gt;"manual",$M469&lt;&gt;1)),
IF(Import.TipoArredondamento&lt;&gt;"TransfereGOV",
ROUND(OFFSET($P469,0,AU$13),15-13*ORÇAMENTO!$AF$7)/$H469*OFFSET(ORÇAMENTO!$X$15,ROW(AU469)-ROW(AU$15),0),
ROUND(ROUND(OFFSET($P469,0,AU$13),15-13*ORÇAMENTO!$AF$7)*OFFSET(ORÇAMENTO!$W$15,ROW(AU469)-ROW(AU$15),0),15-13*ORÇAMENTO!$AF$11)),0)</f>
        <v>0</v>
      </c>
      <c r="AV469" s="545">
        <f ca="1">IF(AND($D469="Serviço",AV$12&lt;&gt;0,$H469&gt;0,OR(AUTOEVENTO&lt;&gt;"manual",$M469&lt;&gt;1)),
IF(Import.TipoArredondamento&lt;&gt;"TransfereGOV",
ROUND(OFFSET($P469,0,AV$13),15-13*ORÇAMENTO!$AF$7)/$H469*OFFSET(ORÇAMENTO!$X$15,ROW(AV469)-ROW(AV$15),0),
ROUND(ROUND(OFFSET($P469,0,AV$13),15-13*ORÇAMENTO!$AF$7)*OFFSET(ORÇAMENTO!$W$15,ROW(AV469)-ROW(AV$15),0),15-13*ORÇAMENTO!$AF$11)),0)</f>
        <v>0</v>
      </c>
      <c r="AW469" s="545">
        <f ca="1">IF(AND($D469="Serviço",AW$12&lt;&gt;0,$H469&gt;0,OR(AUTOEVENTO&lt;&gt;"manual",$M469&lt;&gt;1)),
IF(Import.TipoArredondamento&lt;&gt;"TransfereGOV",
ROUND(OFFSET($P469,0,AW$13),15-13*ORÇAMENTO!$AF$7)/$H469*OFFSET(ORÇAMENTO!$X$15,ROW(AW469)-ROW(AW$15),0),
ROUND(ROUND(OFFSET($P469,0,AW$13),15-13*ORÇAMENTO!$AF$7)*OFFSET(ORÇAMENTO!$W$15,ROW(AW469)-ROW(AW$15),0),15-13*ORÇAMENTO!$AF$11)),0)</f>
        <v>0</v>
      </c>
      <c r="AX469" s="545">
        <f ca="1">IF(AND($D469="Serviço",AX$12&lt;&gt;0,$H469&gt;0,OR(AUTOEVENTO&lt;&gt;"manual",$M469&lt;&gt;1)),
IF(Import.TipoArredondamento&lt;&gt;"TransfereGOV",
ROUND(OFFSET($P469,0,AX$13),15-13*ORÇAMENTO!$AF$7)/$H469*OFFSET(ORÇAMENTO!$X$15,ROW(AX469)-ROW(AX$15),0),
ROUND(ROUND(OFFSET($P469,0,AX$13),15-13*ORÇAMENTO!$AF$7)*OFFSET(ORÇAMENTO!$W$15,ROW(AX469)-ROW(AX$15),0),15-13*ORÇAMENTO!$AF$11)),0)</f>
        <v>0</v>
      </c>
      <c r="AY469" s="545">
        <f ca="1">IF(AND($D469="Serviço",AY$12&lt;&gt;0,$H469&gt;0,OR(AUTOEVENTO&lt;&gt;"manual",$M469&lt;&gt;1)),
IF(Import.TipoArredondamento&lt;&gt;"TransfereGOV",
ROUND(OFFSET($P469,0,AY$13),15-13*ORÇAMENTO!$AF$7)/$H469*OFFSET(ORÇAMENTO!$X$15,ROW(AY469)-ROW(AY$15),0),
ROUND(ROUND(OFFSET($P469,0,AY$13),15-13*ORÇAMENTO!$AF$7)*OFFSET(ORÇAMENTO!$W$15,ROW(AY469)-ROW(AY$15),0),15-13*ORÇAMENTO!$AF$11)),0)</f>
        <v>0</v>
      </c>
      <c r="AZ469" s="545">
        <f ca="1">IF(AND($D469="Serviço",AZ$12&lt;&gt;0,$H469&gt;0,OR(AUTOEVENTO&lt;&gt;"manual",$M469&lt;&gt;1)),
IF(Import.TipoArredondamento&lt;&gt;"TransfereGOV",
ROUND(OFFSET($P469,0,AZ$13),15-13*ORÇAMENTO!$AF$7)/$H469*OFFSET(ORÇAMENTO!$X$15,ROW(AZ469)-ROW(AZ$15),0),
ROUND(ROUND(OFFSET($P469,0,AZ$13),15-13*ORÇAMENTO!$AF$7)*OFFSET(ORÇAMENTO!$W$15,ROW(AZ469)-ROW(AZ$15),0),15-13*ORÇAMENTO!$AF$11)),0)</f>
        <v>0</v>
      </c>
      <c r="BA469" s="546">
        <f ca="1">IF(AND($D469="Serviço",BA$12&lt;&gt;0,$H469&gt;0,OR(AUTOEVENTO&lt;&gt;"manual",$M469&lt;&gt;1)),
IF(Import.TipoArredondamento&lt;&gt;"TransfereGOV",
ROUND(OFFSET($P469,0,BA$13),15-13*ORÇAMENTO!$AF$7)/$H469*OFFSET(ORÇAMENTO!$X$15,ROW(BA469)-ROW(BA$15),0),
ROUND(ROUND(OFFSET($P469,0,BA$13),15-13*ORÇAMENTO!$AF$7)*OFFSET(ORÇAMENTO!$W$15,ROW(BA469)-ROW(BA$15),0),15-13*ORÇAMENTO!$AF$11)),0)</f>
        <v>0</v>
      </c>
      <c r="BC469" s="181">
        <f ca="1">IF($D469&lt;&gt;"Serviço",0,IF(AND(AUTOEVENTO="Manual",$M469=1),0,IF(OFFSET(CRONOPLE!$F$14,$M469,BC$13)="",10^12,OFFSET(CRONOPLE!$F$14,$M469,BC$13))))</f>
        <v>10</v>
      </c>
      <c r="BD469" s="181">
        <f ca="1">IF($D469&lt;&gt;"Serviço",0,IF(AND(AUTOEVENTO="Manual",$M469=1),0,IF(OFFSET(CRONOPLE!$F$14,$M469,BD$13)="",10^12,OFFSET(CRONOPLE!$F$14,$M469,BD$13))))</f>
        <v>1000000000000</v>
      </c>
      <c r="BE469" s="181">
        <f ca="1">IF($D469&lt;&gt;"Serviço",0,IF(AND(AUTOEVENTO="Manual",$M469=1),0,IF(OFFSET(CRONOPLE!$F$14,$M469,BE$13)="",10^12,OFFSET(CRONOPLE!$F$14,$M469,BE$13))))</f>
        <v>1000000000000</v>
      </c>
      <c r="BF469" s="181">
        <f ca="1">IF($D469&lt;&gt;"Serviço",0,IF(AND(AUTOEVENTO="Manual",$M469=1),0,IF(OFFSET(CRONOPLE!$F$14,$M469,BF$13)="",10^12,OFFSET(CRONOPLE!$F$14,$M469,BF$13))))</f>
        <v>1000000000000</v>
      </c>
      <c r="BG469" s="181">
        <f ca="1">IF($D469&lt;&gt;"Serviço",0,IF(AND(AUTOEVENTO="Manual",$M469=1),0,IF(OFFSET(CRONOPLE!$F$14,$M469,BG$13)="",10^12,OFFSET(CRONOPLE!$F$14,$M469,BG$13))))</f>
        <v>1000000000000</v>
      </c>
      <c r="BH469" s="181">
        <f ca="1">IF($D469&lt;&gt;"Serviço",0,IF(AND(AUTOEVENTO="Manual",$M469=1),0,IF(OFFSET(CRONOPLE!$F$14,$M469,BH$13)="",10^12,OFFSET(CRONOPLE!$F$14,$M469,BH$13))))</f>
        <v>1000000000000</v>
      </c>
      <c r="BI469" s="181">
        <f ca="1">IF($D469&lt;&gt;"Serviço",0,IF(AND(AUTOEVENTO="Manual",$M469=1),0,IF(OFFSET(CRONOPLE!$F$14,$M469,BI$13)="",10^12,OFFSET(CRONOPLE!$F$14,$M469,BI$13))))</f>
        <v>1000000000000</v>
      </c>
      <c r="BJ469" s="181">
        <f ca="1">IF($D469&lt;&gt;"Serviço",0,IF(AND(AUTOEVENTO="Manual",$M469=1),0,IF(OFFSET(CRONOPLE!$F$14,$M469,BJ$13)="",10^12,OFFSET(CRONOPLE!$F$14,$M469,BJ$13))))</f>
        <v>1000000000000</v>
      </c>
      <c r="BK469" s="181">
        <f ca="1">IF($D469&lt;&gt;"Serviço",0,IF(AND(AUTOEVENTO="Manual",$M469=1),0,IF(OFFSET(CRONOPLE!$F$14,$M469,BK$13)="",10^12,OFFSET(CRONOPLE!$F$14,$M469,BK$13))))</f>
        <v>1000000000000</v>
      </c>
      <c r="BL469" s="181">
        <f ca="1">IF($D469&lt;&gt;"Serviço",0,IF(AND(AUTOEVENTO="Manual",$M469=1),0,IF(OFFSET(CRONOPLE!$F$14,$M469,BL$13)="",10^12,OFFSET(CRONOPLE!$F$14,$M469,BL$13))))</f>
        <v>1000000000000</v>
      </c>
      <c r="BM469" s="181">
        <f ca="1">IF($D469&lt;&gt;"Serviço",0,IF(AND(AUTOEVENTO="Manual",$M469=1),0,IF(OFFSET(CRONOPLE!$F$14,$M469,BM$13)="",10^12,OFFSET(CRONOPLE!$F$14,$M469,BM$13))))</f>
        <v>1000000000000</v>
      </c>
      <c r="BN469" s="181">
        <f ca="1">IF($D469&lt;&gt;"Serviço",0,IF(AND(AUTOEVENTO="Manual",$M469=1),0,IF(OFFSET(CRONOPLE!$F$14,$M469,BN$13)="",10^12,OFFSET(CRONOPLE!$F$14,$M469,BN$13))))</f>
        <v>1000000000000</v>
      </c>
      <c r="BO469" s="181">
        <f ca="1">IF($D469&lt;&gt;"Serviço",0,IF(AND(AUTOEVENTO="Manual",$M469=1),0,IF(OFFSET(CRONOPLE!$F$14,$M469,BO$13)="",10^12,OFFSET(CRONOPLE!$F$14,$M469,BO$13))))</f>
        <v>1000000000000</v>
      </c>
      <c r="BP469" s="181">
        <f ca="1">IF($D469&lt;&gt;"Serviço",0,IF(AND(AUTOEVENTO="Manual",$M469=1),0,IF(OFFSET(CRONOPLE!$F$14,$M469,BP$13)="",10^12,OFFSET(CRONOPLE!$F$14,$M469,BP$13))))</f>
        <v>1000000000000</v>
      </c>
      <c r="BQ469" s="181">
        <f ca="1">IF($D469&lt;&gt;"Serviço",0,IF(AND(AUTOEVENTO="Manual",$M469=1),0,IF(OFFSET(CRONOPLE!$F$14,$M469,BQ$13)="",10^12,OFFSET(CRONOPLE!$F$14,$M469,BQ$13))))</f>
        <v>1000000000000</v>
      </c>
      <c r="BR469" s="181">
        <f ca="1">IF($D469&lt;&gt;"Serviço",0,IF(AND(AUTOEVENTO="Manual",$M469=1),0,IF(OFFSET(CRONOPLE!$F$14,$M469,BR$13)="",10^12,OFFSET(CRONOPLE!$F$14,$M469,BR$13))))</f>
        <v>1000000000000</v>
      </c>
      <c r="BS469" s="181">
        <f ca="1">IF($D469&lt;&gt;"Serviço",0,IF(AND(AUTOEVENTO="Manual",$M469=1),0,IF(OFFSET(CRONOPLE!$F$14,$M469,BS$13)="",10^12,OFFSET(CRONOPLE!$F$14,$M469,BS$13))))</f>
        <v>1000000000000</v>
      </c>
      <c r="BT469" s="181">
        <f ca="1">IF($D469&lt;&gt;"Serviço",0,IF(AND(AUTOEVENTO="Manual",$M469=1),0,IF(OFFSET(CRONOPLE!$F$14,$M469,BT$13)="",10^12,OFFSET(CRONOPLE!$F$14,$M469,BT$13))))</f>
        <v>1000000000000</v>
      </c>
      <c r="BV469" s="182">
        <f ca="1">IF($D469&lt;&gt;"Serviço",0,IF(OR(AND(AUTOEVENTO="Manual",$M469=1),$M469&gt;(ROW(PLE.lastrow)-ROW(PLE.firstrow))),0,IF(OFFSET(PLE!$G$14,$M469,BV$13)="",10^12,OFFSET(PLE!$G$14,$M469,BV$13))))</f>
        <v>1000000000000</v>
      </c>
      <c r="BW469" s="182">
        <f ca="1">IF($D469&lt;&gt;"Serviço",0,IF(OR(AND(AUTOEVENTO="Manual",$M469=1),$M469&gt;(ROW(PLE.lastrow)-ROW(PLE.firstrow))),0,IF(OFFSET(PLE!$G$14,$M469,BW$13)="",10^12,OFFSET(PLE!$G$14,$M469,BW$13))))</f>
        <v>1000000000000</v>
      </c>
      <c r="BX469" s="182">
        <f ca="1">IF($D469&lt;&gt;"Serviço",0,IF(OR(AND(AUTOEVENTO="Manual",$M469=1),$M469&gt;(ROW(PLE.lastrow)-ROW(PLE.firstrow))),0,IF(OFFSET(PLE!$G$14,$M469,BX$13)="",10^12,OFFSET(PLE!$G$14,$M469,BX$13))))</f>
        <v>1000000000000</v>
      </c>
      <c r="BY469" s="182">
        <f ca="1">IF($D469&lt;&gt;"Serviço",0,IF(OR(AND(AUTOEVENTO="Manual",$M469=1),$M469&gt;(ROW(PLE.lastrow)-ROW(PLE.firstrow))),0,IF(OFFSET(PLE!$G$14,$M469,BY$13)="",10^12,OFFSET(PLE!$G$14,$M469,BY$13))))</f>
        <v>1000000000000</v>
      </c>
      <c r="BZ469" s="182">
        <f ca="1">IF($D469&lt;&gt;"Serviço",0,IF(OR(AND(AUTOEVENTO="Manual",$M469=1),$M469&gt;(ROW(PLE.lastrow)-ROW(PLE.firstrow))),0,IF(OFFSET(PLE!$G$14,$M469,BZ$13)="",10^12,OFFSET(PLE!$G$14,$M469,BZ$13))))</f>
        <v>1000000000000</v>
      </c>
      <c r="CA469" s="182">
        <f ca="1">IF($D469&lt;&gt;"Serviço",0,IF(OR(AND(AUTOEVENTO="Manual",$M469=1),$M469&gt;(ROW(PLE.lastrow)-ROW(PLE.firstrow))),0,IF(OFFSET(PLE!$G$14,$M469,CA$13)="",10^12,OFFSET(PLE!$G$14,$M469,CA$13))))</f>
        <v>1000000000000</v>
      </c>
      <c r="CB469" s="182">
        <f ca="1">IF($D469&lt;&gt;"Serviço",0,IF(OR(AND(AUTOEVENTO="Manual",$M469=1),$M469&gt;(ROW(PLE.lastrow)-ROW(PLE.firstrow))),0,IF(OFFSET(PLE!$G$14,$M469,CB$13)="",10^12,OFFSET(PLE!$G$14,$M469,CB$13))))</f>
        <v>1000000000000</v>
      </c>
      <c r="CC469" s="182">
        <f ca="1">IF($D469&lt;&gt;"Serviço",0,IF(OR(AND(AUTOEVENTO="Manual",$M469=1),$M469&gt;(ROW(PLE.lastrow)-ROW(PLE.firstrow))),0,IF(OFFSET(PLE!$G$14,$M469,CC$13)="",10^12,OFFSET(PLE!$G$14,$M469,CC$13))))</f>
        <v>1000000000000</v>
      </c>
      <c r="CD469" s="182">
        <f ca="1">IF($D469&lt;&gt;"Serviço",0,IF(OR(AND(AUTOEVENTO="Manual",$M469=1),$M469&gt;(ROW(PLE.lastrow)-ROW(PLE.firstrow))),0,IF(OFFSET(PLE!$G$14,$M469,CD$13)="",10^12,OFFSET(PLE!$G$14,$M469,CD$13))))</f>
        <v>1000000000000</v>
      </c>
      <c r="CE469" s="182">
        <f ca="1">IF($D469&lt;&gt;"Serviço",0,IF(OR(AND(AUTOEVENTO="Manual",$M469=1),$M469&gt;(ROW(PLE.lastrow)-ROW(PLE.firstrow))),0,IF(OFFSET(PLE!$G$14,$M469,CE$13)="",10^12,OFFSET(PLE!$G$14,$M469,CE$13))))</f>
        <v>1000000000000</v>
      </c>
      <c r="CF469" s="182">
        <f ca="1">IF($D469&lt;&gt;"Serviço",0,IF(OR(AND(AUTOEVENTO="Manual",$M469=1),$M469&gt;(ROW(PLE.lastrow)-ROW(PLE.firstrow))),0,IF(OFFSET(PLE!$G$14,$M469,CF$13)="",10^12,OFFSET(PLE!$G$14,$M469,CF$13))))</f>
        <v>1000000000000</v>
      </c>
      <c r="CG469" s="182">
        <f ca="1">IF($D469&lt;&gt;"Serviço",0,IF(OR(AND(AUTOEVENTO="Manual",$M469=1),$M469&gt;(ROW(PLE.lastrow)-ROW(PLE.firstrow))),0,IF(OFFSET(PLE!$G$14,$M469,CG$13)="",10^12,OFFSET(PLE!$G$14,$M469,CG$13))))</f>
        <v>1000000000000</v>
      </c>
      <c r="CH469" s="182">
        <f ca="1">IF($D469&lt;&gt;"Serviço",0,IF(OR(AND(AUTOEVENTO="Manual",$M469=1),$M469&gt;(ROW(PLE.lastrow)-ROW(PLE.firstrow))),0,IF(OFFSET(PLE!$G$14,$M469,CH$13)="",10^12,OFFSET(PLE!$G$14,$M469,CH$13))))</f>
        <v>1000000000000</v>
      </c>
      <c r="CI469" s="182">
        <f ca="1">IF($D469&lt;&gt;"Serviço",0,IF(OR(AND(AUTOEVENTO="Manual",$M469=1),$M469&gt;(ROW(PLE.lastrow)-ROW(PLE.firstrow))),0,IF(OFFSET(PLE!$G$14,$M469,CI$13)="",10^12,OFFSET(PLE!$G$14,$M469,CI$13))))</f>
        <v>1000000000000</v>
      </c>
      <c r="CJ469" s="182">
        <f ca="1">IF($D469&lt;&gt;"Serviço",0,IF(OR(AND(AUTOEVENTO="Manual",$M469=1),$M469&gt;(ROW(PLE.lastrow)-ROW(PLE.firstrow))),0,IF(OFFSET(PLE!$G$14,$M469,CJ$13)="",10^12,OFFSET(PLE!$G$14,$M469,CJ$13))))</f>
        <v>1000000000000</v>
      </c>
      <c r="CK469" s="182">
        <f ca="1">IF($D469&lt;&gt;"Serviço",0,IF(OR(AND(AUTOEVENTO="Manual",$M469=1),$M469&gt;(ROW(PLE.lastrow)-ROW(PLE.firstrow))),0,IF(OFFSET(PLE!$G$14,$M469,CK$13)="",10^12,OFFSET(PLE!$G$14,$M469,CK$13))))</f>
        <v>1000000000000</v>
      </c>
      <c r="CL469" s="182">
        <f ca="1">IF($D469&lt;&gt;"Serviço",0,IF(OR(AND(AUTOEVENTO="Manual",$M469=1),$M469&gt;(ROW(PLE.lastrow)-ROW(PLE.firstrow))),0,IF(OFFSET(PLE!$G$14,$M469,CL$13)="",10^12,OFFSET(PLE!$G$14,$M469,CL$13))))</f>
        <v>1000000000000</v>
      </c>
      <c r="CM469" s="182">
        <f ca="1">IF($D469&lt;&gt;"Serviço",0,IF(OR(AND(AUTOEVENTO="Manual",$M469=1),$M469&gt;(ROW(PLE.lastrow)-ROW(PLE.firstrow))),0,IF(OFFSET(PLE!$G$14,$M469,CM$13)="",10^12,OFFSET(PLE!$G$14,$M469,CM$13))))</f>
        <v>1000000000000</v>
      </c>
    </row>
    <row r="470" spans="1:91" ht="38.25" x14ac:dyDescent="0.2">
      <c r="A470" s="7" t="str">
        <f t="shared" ca="1" si="12"/>
        <v>421</v>
      </c>
      <c r="B470" s="7" t="str">
        <f ca="1">OFFSET(ORÇAMENTO!C$15,ROW(B470)-ROW(B$15),0)</f>
        <v>S</v>
      </c>
      <c r="C470" s="7" t="str">
        <f ca="1">OFFSET(ORÇAMENTO!L$15,ROW(C470)-ROW(C$15),0)</f>
        <v/>
      </c>
      <c r="D470" s="118" t="str">
        <f ca="1">OFFSET(ORÇAMENTO!N$15,ROW(D470)-ROW(D$15),0)</f>
        <v>Serviço</v>
      </c>
      <c r="E470" s="119" t="str">
        <f ca="1">OFFSET(ORÇAMENTO!O$15,ROW(E470)-ROW(E$15),0)</f>
        <v>-</v>
      </c>
      <c r="F470" s="172" t="str">
        <f ca="1">OFFSET(ORÇAMENTO!R$15,ROW(F470)-ROW(F$15),0)</f>
        <v>(abra o arquivo 'Referência 06-2024.xlsm)</v>
      </c>
      <c r="G470" s="173" t="str">
        <f ca="1">IF($D470&lt;&gt;"Serviço","",OFFSET(ORÇAMENTO!S$15,ROW(G470)-ROW(G$15),0))</f>
        <v>-</v>
      </c>
      <c r="H470" s="124">
        <f ca="1">IF($D470&lt;&gt;"Serviço",0,IF(ACOMPANHAMENTO="BM",ROUND(OFFSET(ORÇAMENTO!AJ$15,ROW(H470)-ROW(H$15),0),15-13*ORÇAMENTO!$AF$7),SUMPRODUCT(($Q$12:$AI$12&lt;&gt;"")*ROUND($Q470:$AI470,15-13*ORÇAMENTO!$AF$7))))</f>
        <v>2</v>
      </c>
      <c r="I470" s="561" t="s">
        <v>1107</v>
      </c>
      <c r="K470" s="174"/>
      <c r="L470" s="175" t="s">
        <v>255</v>
      </c>
      <c r="M470" s="176">
        <f ca="1">IF($D470&lt;&gt;"Serviço","",IF(AUTOEVENTO="manual",$A470,IF(ISERROR(MATCH($A470,$A$15:OFFSET($A470,-1,0),0)),MAX($M$15:OFFSET(M470,-1,0))+1,INDEX($M$15:OFFSET(M470,-1,0),MATCH($A470,$A$15:OFFSET($A470,-1,0),0)))))</f>
        <v>49</v>
      </c>
      <c r="N470" s="177" t="str">
        <f ca="1">IF($D470&lt;&gt;"Serviço","",IF(AUTOEVENTO="Manual",IF($A470=0,"&lt;-- defina o número do agrupador",OFFSET(EVENTOS!$D$14,$A470,0)),OFFSET($F$15,$A470,0)))</f>
        <v>SISTEMA DE PROTEÇÃO CONTRA INCÊNDIO - TUBULAÇÕES E CONEXÕES</v>
      </c>
      <c r="O470" s="178"/>
      <c r="Q470" s="178">
        <v>2</v>
      </c>
      <c r="R470" s="179"/>
      <c r="S470" s="179"/>
      <c r="T470" s="179"/>
      <c r="U470" s="179"/>
      <c r="V470" s="179"/>
      <c r="W470" s="179"/>
      <c r="X470" s="179"/>
      <c r="Y470" s="179"/>
      <c r="Z470" s="180"/>
      <c r="AA470" s="179"/>
      <c r="AB470" s="179"/>
      <c r="AC470" s="179"/>
      <c r="AD470" s="179"/>
      <c r="AE470" s="179"/>
      <c r="AF470" s="179"/>
      <c r="AG470" s="179"/>
      <c r="AH470" s="180"/>
      <c r="AJ470" s="544">
        <f ca="1">IF(AND($D470="Serviço",AJ$12&lt;&gt;0,$H470&gt;0,OR(AUTOEVENTO&lt;&gt;"manual",$M470&lt;&gt;1)),
IF(Import.TipoArredondamento&lt;&gt;"TransfereGOV",
ROUND(OFFSET($P470,0,AJ$13),15-13*ORÇAMENTO!$AF$7)/$H470*OFFSET(ORÇAMENTO!$X$15,ROW(AJ470)-ROW(AJ$15),0),
ROUND(ROUND(OFFSET($P470,0,AJ$13),15-13*ORÇAMENTO!$AF$7)*OFFSET(ORÇAMENTO!$W$15,ROW(AJ470)-ROW(AJ$15),0),15-13*ORÇAMENTO!$AF$11)),0)</f>
        <v>0</v>
      </c>
      <c r="AK470" s="545">
        <f ca="1">IF(AND($D470="Serviço",AK$12&lt;&gt;0,$H470&gt;0,OR(AUTOEVENTO&lt;&gt;"manual",$M470&lt;&gt;1)),
IF(Import.TipoArredondamento&lt;&gt;"TransfereGOV",
ROUND(OFFSET($P470,0,AK$13),15-13*ORÇAMENTO!$AF$7)/$H470*OFFSET(ORÇAMENTO!$X$15,ROW(AK470)-ROW(AK$15),0),
ROUND(ROUND(OFFSET($P470,0,AK$13),15-13*ORÇAMENTO!$AF$7)*OFFSET(ORÇAMENTO!$W$15,ROW(AK470)-ROW(AK$15),0),15-13*ORÇAMENTO!$AF$11)),0)</f>
        <v>0</v>
      </c>
      <c r="AL470" s="545">
        <f ca="1">IF(AND($D470="Serviço",AL$12&lt;&gt;0,$H470&gt;0,OR(AUTOEVENTO&lt;&gt;"manual",$M470&lt;&gt;1)),
IF(Import.TipoArredondamento&lt;&gt;"TransfereGOV",
ROUND(OFFSET($P470,0,AL$13),15-13*ORÇAMENTO!$AF$7)/$H470*OFFSET(ORÇAMENTO!$X$15,ROW(AL470)-ROW(AL$15),0),
ROUND(ROUND(OFFSET($P470,0,AL$13),15-13*ORÇAMENTO!$AF$7)*OFFSET(ORÇAMENTO!$W$15,ROW(AL470)-ROW(AL$15),0),15-13*ORÇAMENTO!$AF$11)),0)</f>
        <v>0</v>
      </c>
      <c r="AM470" s="545">
        <f ca="1">IF(AND($D470="Serviço",AM$12&lt;&gt;0,$H470&gt;0,OR(AUTOEVENTO&lt;&gt;"manual",$M470&lt;&gt;1)),
IF(Import.TipoArredondamento&lt;&gt;"TransfereGOV",
ROUND(OFFSET($P470,0,AM$13),15-13*ORÇAMENTO!$AF$7)/$H470*OFFSET(ORÇAMENTO!$X$15,ROW(AM470)-ROW(AM$15),0),
ROUND(ROUND(OFFSET($P470,0,AM$13),15-13*ORÇAMENTO!$AF$7)*OFFSET(ORÇAMENTO!$W$15,ROW(AM470)-ROW(AM$15),0),15-13*ORÇAMENTO!$AF$11)),0)</f>
        <v>0</v>
      </c>
      <c r="AN470" s="545">
        <f ca="1">IF(AND($D470="Serviço",AN$12&lt;&gt;0,$H470&gt;0,OR(AUTOEVENTO&lt;&gt;"manual",$M470&lt;&gt;1)),
IF(Import.TipoArredondamento&lt;&gt;"TransfereGOV",
ROUND(OFFSET($P470,0,AN$13),15-13*ORÇAMENTO!$AF$7)/$H470*OFFSET(ORÇAMENTO!$X$15,ROW(AN470)-ROW(AN$15),0),
ROUND(ROUND(OFFSET($P470,0,AN$13),15-13*ORÇAMENTO!$AF$7)*OFFSET(ORÇAMENTO!$W$15,ROW(AN470)-ROW(AN$15),0),15-13*ORÇAMENTO!$AF$11)),0)</f>
        <v>0</v>
      </c>
      <c r="AO470" s="545">
        <f ca="1">IF(AND($D470="Serviço",AO$12&lt;&gt;0,$H470&gt;0,OR(AUTOEVENTO&lt;&gt;"manual",$M470&lt;&gt;1)),
IF(Import.TipoArredondamento&lt;&gt;"TransfereGOV",
ROUND(OFFSET($P470,0,AO$13),15-13*ORÇAMENTO!$AF$7)/$H470*OFFSET(ORÇAMENTO!$X$15,ROW(AO470)-ROW(AO$15),0),
ROUND(ROUND(OFFSET($P470,0,AO$13),15-13*ORÇAMENTO!$AF$7)*OFFSET(ORÇAMENTO!$W$15,ROW(AO470)-ROW(AO$15),0),15-13*ORÇAMENTO!$AF$11)),0)</f>
        <v>0</v>
      </c>
      <c r="AP470" s="545">
        <f ca="1">IF(AND($D470="Serviço",AP$12&lt;&gt;0,$H470&gt;0,OR(AUTOEVENTO&lt;&gt;"manual",$M470&lt;&gt;1)),
IF(Import.TipoArredondamento&lt;&gt;"TransfereGOV",
ROUND(OFFSET($P470,0,AP$13),15-13*ORÇAMENTO!$AF$7)/$H470*OFFSET(ORÇAMENTO!$X$15,ROW(AP470)-ROW(AP$15),0),
ROUND(ROUND(OFFSET($P470,0,AP$13),15-13*ORÇAMENTO!$AF$7)*OFFSET(ORÇAMENTO!$W$15,ROW(AP470)-ROW(AP$15),0),15-13*ORÇAMENTO!$AF$11)),0)</f>
        <v>0</v>
      </c>
      <c r="AQ470" s="545">
        <f ca="1">IF(AND($D470="Serviço",AQ$12&lt;&gt;0,$H470&gt;0,OR(AUTOEVENTO&lt;&gt;"manual",$M470&lt;&gt;1)),
IF(Import.TipoArredondamento&lt;&gt;"TransfereGOV",
ROUND(OFFSET($P470,0,AQ$13),15-13*ORÇAMENTO!$AF$7)/$H470*OFFSET(ORÇAMENTO!$X$15,ROW(AQ470)-ROW(AQ$15),0),
ROUND(ROUND(OFFSET($P470,0,AQ$13),15-13*ORÇAMENTO!$AF$7)*OFFSET(ORÇAMENTO!$W$15,ROW(AQ470)-ROW(AQ$15),0),15-13*ORÇAMENTO!$AF$11)),0)</f>
        <v>0</v>
      </c>
      <c r="AR470" s="545">
        <f ca="1">IF(AND($D470="Serviço",AR$12&lt;&gt;0,$H470&gt;0,OR(AUTOEVENTO&lt;&gt;"manual",$M470&lt;&gt;1)),
IF(Import.TipoArredondamento&lt;&gt;"TransfereGOV",
ROUND(OFFSET($P470,0,AR$13),15-13*ORÇAMENTO!$AF$7)/$H470*OFFSET(ORÇAMENTO!$X$15,ROW(AR470)-ROW(AR$15),0),
ROUND(ROUND(OFFSET($P470,0,AR$13),15-13*ORÇAMENTO!$AF$7)*OFFSET(ORÇAMENTO!$W$15,ROW(AR470)-ROW(AR$15),0),15-13*ORÇAMENTO!$AF$11)),0)</f>
        <v>0</v>
      </c>
      <c r="AS470" s="546">
        <f ca="1">IF(AND($D470="Serviço",AS$12&lt;&gt;0,$H470&gt;0,OR(AUTOEVENTO&lt;&gt;"manual",$M470&lt;&gt;1)),
IF(Import.TipoArredondamento&lt;&gt;"TransfereGOV",
ROUND(OFFSET($P470,0,AS$13),15-13*ORÇAMENTO!$AF$7)/$H470*OFFSET(ORÇAMENTO!$X$15,ROW(AS470)-ROW(AS$15),0),
ROUND(ROUND(OFFSET($P470,0,AS$13),15-13*ORÇAMENTO!$AF$7)*OFFSET(ORÇAMENTO!$W$15,ROW(AS470)-ROW(AS$15),0),15-13*ORÇAMENTO!$AF$11)),0)</f>
        <v>0</v>
      </c>
      <c r="AT470" s="545">
        <f ca="1">IF(AND($D470="Serviço",AT$12&lt;&gt;0,$H470&gt;0,OR(AUTOEVENTO&lt;&gt;"manual",$M470&lt;&gt;1)),
IF(Import.TipoArredondamento&lt;&gt;"TransfereGOV",
ROUND(OFFSET($P470,0,AT$13),15-13*ORÇAMENTO!$AF$7)/$H470*OFFSET(ORÇAMENTO!$X$15,ROW(AT470)-ROW(AT$15),0),
ROUND(ROUND(OFFSET($P470,0,AT$13),15-13*ORÇAMENTO!$AF$7)*OFFSET(ORÇAMENTO!$W$15,ROW(AT470)-ROW(AT$15),0),15-13*ORÇAMENTO!$AF$11)),0)</f>
        <v>0</v>
      </c>
      <c r="AU470" s="545">
        <f ca="1">IF(AND($D470="Serviço",AU$12&lt;&gt;0,$H470&gt;0,OR(AUTOEVENTO&lt;&gt;"manual",$M470&lt;&gt;1)),
IF(Import.TipoArredondamento&lt;&gt;"TransfereGOV",
ROUND(OFFSET($P470,0,AU$13),15-13*ORÇAMENTO!$AF$7)/$H470*OFFSET(ORÇAMENTO!$X$15,ROW(AU470)-ROW(AU$15),0),
ROUND(ROUND(OFFSET($P470,0,AU$13),15-13*ORÇAMENTO!$AF$7)*OFFSET(ORÇAMENTO!$W$15,ROW(AU470)-ROW(AU$15),0),15-13*ORÇAMENTO!$AF$11)),0)</f>
        <v>0</v>
      </c>
      <c r="AV470" s="545">
        <f ca="1">IF(AND($D470="Serviço",AV$12&lt;&gt;0,$H470&gt;0,OR(AUTOEVENTO&lt;&gt;"manual",$M470&lt;&gt;1)),
IF(Import.TipoArredondamento&lt;&gt;"TransfereGOV",
ROUND(OFFSET($P470,0,AV$13),15-13*ORÇAMENTO!$AF$7)/$H470*OFFSET(ORÇAMENTO!$X$15,ROW(AV470)-ROW(AV$15),0),
ROUND(ROUND(OFFSET($P470,0,AV$13),15-13*ORÇAMENTO!$AF$7)*OFFSET(ORÇAMENTO!$W$15,ROW(AV470)-ROW(AV$15),0),15-13*ORÇAMENTO!$AF$11)),0)</f>
        <v>0</v>
      </c>
      <c r="AW470" s="545">
        <f ca="1">IF(AND($D470="Serviço",AW$12&lt;&gt;0,$H470&gt;0,OR(AUTOEVENTO&lt;&gt;"manual",$M470&lt;&gt;1)),
IF(Import.TipoArredondamento&lt;&gt;"TransfereGOV",
ROUND(OFFSET($P470,0,AW$13),15-13*ORÇAMENTO!$AF$7)/$H470*OFFSET(ORÇAMENTO!$X$15,ROW(AW470)-ROW(AW$15),0),
ROUND(ROUND(OFFSET($P470,0,AW$13),15-13*ORÇAMENTO!$AF$7)*OFFSET(ORÇAMENTO!$W$15,ROW(AW470)-ROW(AW$15),0),15-13*ORÇAMENTO!$AF$11)),0)</f>
        <v>0</v>
      </c>
      <c r="AX470" s="545">
        <f ca="1">IF(AND($D470="Serviço",AX$12&lt;&gt;0,$H470&gt;0,OR(AUTOEVENTO&lt;&gt;"manual",$M470&lt;&gt;1)),
IF(Import.TipoArredondamento&lt;&gt;"TransfereGOV",
ROUND(OFFSET($P470,0,AX$13),15-13*ORÇAMENTO!$AF$7)/$H470*OFFSET(ORÇAMENTO!$X$15,ROW(AX470)-ROW(AX$15),0),
ROUND(ROUND(OFFSET($P470,0,AX$13),15-13*ORÇAMENTO!$AF$7)*OFFSET(ORÇAMENTO!$W$15,ROW(AX470)-ROW(AX$15),0),15-13*ORÇAMENTO!$AF$11)),0)</f>
        <v>0</v>
      </c>
      <c r="AY470" s="545">
        <f ca="1">IF(AND($D470="Serviço",AY$12&lt;&gt;0,$H470&gt;0,OR(AUTOEVENTO&lt;&gt;"manual",$M470&lt;&gt;1)),
IF(Import.TipoArredondamento&lt;&gt;"TransfereGOV",
ROUND(OFFSET($P470,0,AY$13),15-13*ORÇAMENTO!$AF$7)/$H470*OFFSET(ORÇAMENTO!$X$15,ROW(AY470)-ROW(AY$15),0),
ROUND(ROUND(OFFSET($P470,0,AY$13),15-13*ORÇAMENTO!$AF$7)*OFFSET(ORÇAMENTO!$W$15,ROW(AY470)-ROW(AY$15),0),15-13*ORÇAMENTO!$AF$11)),0)</f>
        <v>0</v>
      </c>
      <c r="AZ470" s="545">
        <f ca="1">IF(AND($D470="Serviço",AZ$12&lt;&gt;0,$H470&gt;0,OR(AUTOEVENTO&lt;&gt;"manual",$M470&lt;&gt;1)),
IF(Import.TipoArredondamento&lt;&gt;"TransfereGOV",
ROUND(OFFSET($P470,0,AZ$13),15-13*ORÇAMENTO!$AF$7)/$H470*OFFSET(ORÇAMENTO!$X$15,ROW(AZ470)-ROW(AZ$15),0),
ROUND(ROUND(OFFSET($P470,0,AZ$13),15-13*ORÇAMENTO!$AF$7)*OFFSET(ORÇAMENTO!$W$15,ROW(AZ470)-ROW(AZ$15),0),15-13*ORÇAMENTO!$AF$11)),0)</f>
        <v>0</v>
      </c>
      <c r="BA470" s="546">
        <f ca="1">IF(AND($D470="Serviço",BA$12&lt;&gt;0,$H470&gt;0,OR(AUTOEVENTO&lt;&gt;"manual",$M470&lt;&gt;1)),
IF(Import.TipoArredondamento&lt;&gt;"TransfereGOV",
ROUND(OFFSET($P470,0,BA$13),15-13*ORÇAMENTO!$AF$7)/$H470*OFFSET(ORÇAMENTO!$X$15,ROW(BA470)-ROW(BA$15),0),
ROUND(ROUND(OFFSET($P470,0,BA$13),15-13*ORÇAMENTO!$AF$7)*OFFSET(ORÇAMENTO!$W$15,ROW(BA470)-ROW(BA$15),0),15-13*ORÇAMENTO!$AF$11)),0)</f>
        <v>0</v>
      </c>
      <c r="BC470" s="181">
        <f ca="1">IF($D470&lt;&gt;"Serviço",0,IF(AND(AUTOEVENTO="Manual",$M470=1),0,IF(OFFSET(CRONOPLE!$F$14,$M470,BC$13)="",10^12,OFFSET(CRONOPLE!$F$14,$M470,BC$13))))</f>
        <v>10</v>
      </c>
      <c r="BD470" s="181">
        <f ca="1">IF($D470&lt;&gt;"Serviço",0,IF(AND(AUTOEVENTO="Manual",$M470=1),0,IF(OFFSET(CRONOPLE!$F$14,$M470,BD$13)="",10^12,OFFSET(CRONOPLE!$F$14,$M470,BD$13))))</f>
        <v>1000000000000</v>
      </c>
      <c r="BE470" s="181">
        <f ca="1">IF($D470&lt;&gt;"Serviço",0,IF(AND(AUTOEVENTO="Manual",$M470=1),0,IF(OFFSET(CRONOPLE!$F$14,$M470,BE$13)="",10^12,OFFSET(CRONOPLE!$F$14,$M470,BE$13))))</f>
        <v>1000000000000</v>
      </c>
      <c r="BF470" s="181">
        <f ca="1">IF($D470&lt;&gt;"Serviço",0,IF(AND(AUTOEVENTO="Manual",$M470=1),0,IF(OFFSET(CRONOPLE!$F$14,$M470,BF$13)="",10^12,OFFSET(CRONOPLE!$F$14,$M470,BF$13))))</f>
        <v>1000000000000</v>
      </c>
      <c r="BG470" s="181">
        <f ca="1">IF($D470&lt;&gt;"Serviço",0,IF(AND(AUTOEVENTO="Manual",$M470=1),0,IF(OFFSET(CRONOPLE!$F$14,$M470,BG$13)="",10^12,OFFSET(CRONOPLE!$F$14,$M470,BG$13))))</f>
        <v>1000000000000</v>
      </c>
      <c r="BH470" s="181">
        <f ca="1">IF($D470&lt;&gt;"Serviço",0,IF(AND(AUTOEVENTO="Manual",$M470=1),0,IF(OFFSET(CRONOPLE!$F$14,$M470,BH$13)="",10^12,OFFSET(CRONOPLE!$F$14,$M470,BH$13))))</f>
        <v>1000000000000</v>
      </c>
      <c r="BI470" s="181">
        <f ca="1">IF($D470&lt;&gt;"Serviço",0,IF(AND(AUTOEVENTO="Manual",$M470=1),0,IF(OFFSET(CRONOPLE!$F$14,$M470,BI$13)="",10^12,OFFSET(CRONOPLE!$F$14,$M470,BI$13))))</f>
        <v>1000000000000</v>
      </c>
      <c r="BJ470" s="181">
        <f ca="1">IF($D470&lt;&gt;"Serviço",0,IF(AND(AUTOEVENTO="Manual",$M470=1),0,IF(OFFSET(CRONOPLE!$F$14,$M470,BJ$13)="",10^12,OFFSET(CRONOPLE!$F$14,$M470,BJ$13))))</f>
        <v>1000000000000</v>
      </c>
      <c r="BK470" s="181">
        <f ca="1">IF($D470&lt;&gt;"Serviço",0,IF(AND(AUTOEVENTO="Manual",$M470=1),0,IF(OFFSET(CRONOPLE!$F$14,$M470,BK$13)="",10^12,OFFSET(CRONOPLE!$F$14,$M470,BK$13))))</f>
        <v>1000000000000</v>
      </c>
      <c r="BL470" s="181">
        <f ca="1">IF($D470&lt;&gt;"Serviço",0,IF(AND(AUTOEVENTO="Manual",$M470=1),0,IF(OFFSET(CRONOPLE!$F$14,$M470,BL$13)="",10^12,OFFSET(CRONOPLE!$F$14,$M470,BL$13))))</f>
        <v>1000000000000</v>
      </c>
      <c r="BM470" s="181">
        <f ca="1">IF($D470&lt;&gt;"Serviço",0,IF(AND(AUTOEVENTO="Manual",$M470=1),0,IF(OFFSET(CRONOPLE!$F$14,$M470,BM$13)="",10^12,OFFSET(CRONOPLE!$F$14,$M470,BM$13))))</f>
        <v>1000000000000</v>
      </c>
      <c r="BN470" s="181">
        <f ca="1">IF($D470&lt;&gt;"Serviço",0,IF(AND(AUTOEVENTO="Manual",$M470=1),0,IF(OFFSET(CRONOPLE!$F$14,$M470,BN$13)="",10^12,OFFSET(CRONOPLE!$F$14,$M470,BN$13))))</f>
        <v>1000000000000</v>
      </c>
      <c r="BO470" s="181">
        <f ca="1">IF($D470&lt;&gt;"Serviço",0,IF(AND(AUTOEVENTO="Manual",$M470=1),0,IF(OFFSET(CRONOPLE!$F$14,$M470,BO$13)="",10^12,OFFSET(CRONOPLE!$F$14,$M470,BO$13))))</f>
        <v>1000000000000</v>
      </c>
      <c r="BP470" s="181">
        <f ca="1">IF($D470&lt;&gt;"Serviço",0,IF(AND(AUTOEVENTO="Manual",$M470=1),0,IF(OFFSET(CRONOPLE!$F$14,$M470,BP$13)="",10^12,OFFSET(CRONOPLE!$F$14,$M470,BP$13))))</f>
        <v>1000000000000</v>
      </c>
      <c r="BQ470" s="181">
        <f ca="1">IF($D470&lt;&gt;"Serviço",0,IF(AND(AUTOEVENTO="Manual",$M470=1),0,IF(OFFSET(CRONOPLE!$F$14,$M470,BQ$13)="",10^12,OFFSET(CRONOPLE!$F$14,$M470,BQ$13))))</f>
        <v>1000000000000</v>
      </c>
      <c r="BR470" s="181">
        <f ca="1">IF($D470&lt;&gt;"Serviço",0,IF(AND(AUTOEVENTO="Manual",$M470=1),0,IF(OFFSET(CRONOPLE!$F$14,$M470,BR$13)="",10^12,OFFSET(CRONOPLE!$F$14,$M470,BR$13))))</f>
        <v>1000000000000</v>
      </c>
      <c r="BS470" s="181">
        <f ca="1">IF($D470&lt;&gt;"Serviço",0,IF(AND(AUTOEVENTO="Manual",$M470=1),0,IF(OFFSET(CRONOPLE!$F$14,$M470,BS$13)="",10^12,OFFSET(CRONOPLE!$F$14,$M470,BS$13))))</f>
        <v>1000000000000</v>
      </c>
      <c r="BT470" s="181">
        <f ca="1">IF($D470&lt;&gt;"Serviço",0,IF(AND(AUTOEVENTO="Manual",$M470=1),0,IF(OFFSET(CRONOPLE!$F$14,$M470,BT$13)="",10^12,OFFSET(CRONOPLE!$F$14,$M470,BT$13))))</f>
        <v>1000000000000</v>
      </c>
      <c r="BV470" s="182">
        <f ca="1">IF($D470&lt;&gt;"Serviço",0,IF(OR(AND(AUTOEVENTO="Manual",$M470=1),$M470&gt;(ROW(PLE.lastrow)-ROW(PLE.firstrow))),0,IF(OFFSET(PLE!$G$14,$M470,BV$13)="",10^12,OFFSET(PLE!$G$14,$M470,BV$13))))</f>
        <v>1000000000000</v>
      </c>
      <c r="BW470" s="182">
        <f ca="1">IF($D470&lt;&gt;"Serviço",0,IF(OR(AND(AUTOEVENTO="Manual",$M470=1),$M470&gt;(ROW(PLE.lastrow)-ROW(PLE.firstrow))),0,IF(OFFSET(PLE!$G$14,$M470,BW$13)="",10^12,OFFSET(PLE!$G$14,$M470,BW$13))))</f>
        <v>1000000000000</v>
      </c>
      <c r="BX470" s="182">
        <f ca="1">IF($D470&lt;&gt;"Serviço",0,IF(OR(AND(AUTOEVENTO="Manual",$M470=1),$M470&gt;(ROW(PLE.lastrow)-ROW(PLE.firstrow))),0,IF(OFFSET(PLE!$G$14,$M470,BX$13)="",10^12,OFFSET(PLE!$G$14,$M470,BX$13))))</f>
        <v>1000000000000</v>
      </c>
      <c r="BY470" s="182">
        <f ca="1">IF($D470&lt;&gt;"Serviço",0,IF(OR(AND(AUTOEVENTO="Manual",$M470=1),$M470&gt;(ROW(PLE.lastrow)-ROW(PLE.firstrow))),0,IF(OFFSET(PLE!$G$14,$M470,BY$13)="",10^12,OFFSET(PLE!$G$14,$M470,BY$13))))</f>
        <v>1000000000000</v>
      </c>
      <c r="BZ470" s="182">
        <f ca="1">IF($D470&lt;&gt;"Serviço",0,IF(OR(AND(AUTOEVENTO="Manual",$M470=1),$M470&gt;(ROW(PLE.lastrow)-ROW(PLE.firstrow))),0,IF(OFFSET(PLE!$G$14,$M470,BZ$13)="",10^12,OFFSET(PLE!$G$14,$M470,BZ$13))))</f>
        <v>1000000000000</v>
      </c>
      <c r="CA470" s="182">
        <f ca="1">IF($D470&lt;&gt;"Serviço",0,IF(OR(AND(AUTOEVENTO="Manual",$M470=1),$M470&gt;(ROW(PLE.lastrow)-ROW(PLE.firstrow))),0,IF(OFFSET(PLE!$G$14,$M470,CA$13)="",10^12,OFFSET(PLE!$G$14,$M470,CA$13))))</f>
        <v>1000000000000</v>
      </c>
      <c r="CB470" s="182">
        <f ca="1">IF($D470&lt;&gt;"Serviço",0,IF(OR(AND(AUTOEVENTO="Manual",$M470=1),$M470&gt;(ROW(PLE.lastrow)-ROW(PLE.firstrow))),0,IF(OFFSET(PLE!$G$14,$M470,CB$13)="",10^12,OFFSET(PLE!$G$14,$M470,CB$13))))</f>
        <v>1000000000000</v>
      </c>
      <c r="CC470" s="182">
        <f ca="1">IF($D470&lt;&gt;"Serviço",0,IF(OR(AND(AUTOEVENTO="Manual",$M470=1),$M470&gt;(ROW(PLE.lastrow)-ROW(PLE.firstrow))),0,IF(OFFSET(PLE!$G$14,$M470,CC$13)="",10^12,OFFSET(PLE!$G$14,$M470,CC$13))))</f>
        <v>1000000000000</v>
      </c>
      <c r="CD470" s="182">
        <f ca="1">IF($D470&lt;&gt;"Serviço",0,IF(OR(AND(AUTOEVENTO="Manual",$M470=1),$M470&gt;(ROW(PLE.lastrow)-ROW(PLE.firstrow))),0,IF(OFFSET(PLE!$G$14,$M470,CD$13)="",10^12,OFFSET(PLE!$G$14,$M470,CD$13))))</f>
        <v>1000000000000</v>
      </c>
      <c r="CE470" s="182">
        <f ca="1">IF($D470&lt;&gt;"Serviço",0,IF(OR(AND(AUTOEVENTO="Manual",$M470=1),$M470&gt;(ROW(PLE.lastrow)-ROW(PLE.firstrow))),0,IF(OFFSET(PLE!$G$14,$M470,CE$13)="",10^12,OFFSET(PLE!$G$14,$M470,CE$13))))</f>
        <v>1000000000000</v>
      </c>
      <c r="CF470" s="182">
        <f ca="1">IF($D470&lt;&gt;"Serviço",0,IF(OR(AND(AUTOEVENTO="Manual",$M470=1),$M470&gt;(ROW(PLE.lastrow)-ROW(PLE.firstrow))),0,IF(OFFSET(PLE!$G$14,$M470,CF$13)="",10^12,OFFSET(PLE!$G$14,$M470,CF$13))))</f>
        <v>1000000000000</v>
      </c>
      <c r="CG470" s="182">
        <f ca="1">IF($D470&lt;&gt;"Serviço",0,IF(OR(AND(AUTOEVENTO="Manual",$M470=1),$M470&gt;(ROW(PLE.lastrow)-ROW(PLE.firstrow))),0,IF(OFFSET(PLE!$G$14,$M470,CG$13)="",10^12,OFFSET(PLE!$G$14,$M470,CG$13))))</f>
        <v>1000000000000</v>
      </c>
      <c r="CH470" s="182">
        <f ca="1">IF($D470&lt;&gt;"Serviço",0,IF(OR(AND(AUTOEVENTO="Manual",$M470=1),$M470&gt;(ROW(PLE.lastrow)-ROW(PLE.firstrow))),0,IF(OFFSET(PLE!$G$14,$M470,CH$13)="",10^12,OFFSET(PLE!$G$14,$M470,CH$13))))</f>
        <v>1000000000000</v>
      </c>
      <c r="CI470" s="182">
        <f ca="1">IF($D470&lt;&gt;"Serviço",0,IF(OR(AND(AUTOEVENTO="Manual",$M470=1),$M470&gt;(ROW(PLE.lastrow)-ROW(PLE.firstrow))),0,IF(OFFSET(PLE!$G$14,$M470,CI$13)="",10^12,OFFSET(PLE!$G$14,$M470,CI$13))))</f>
        <v>1000000000000</v>
      </c>
      <c r="CJ470" s="182">
        <f ca="1">IF($D470&lt;&gt;"Serviço",0,IF(OR(AND(AUTOEVENTO="Manual",$M470=1),$M470&gt;(ROW(PLE.lastrow)-ROW(PLE.firstrow))),0,IF(OFFSET(PLE!$G$14,$M470,CJ$13)="",10^12,OFFSET(PLE!$G$14,$M470,CJ$13))))</f>
        <v>1000000000000</v>
      </c>
      <c r="CK470" s="182">
        <f ca="1">IF($D470&lt;&gt;"Serviço",0,IF(OR(AND(AUTOEVENTO="Manual",$M470=1),$M470&gt;(ROW(PLE.lastrow)-ROW(PLE.firstrow))),0,IF(OFFSET(PLE!$G$14,$M470,CK$13)="",10^12,OFFSET(PLE!$G$14,$M470,CK$13))))</f>
        <v>1000000000000</v>
      </c>
      <c r="CL470" s="182">
        <f ca="1">IF($D470&lt;&gt;"Serviço",0,IF(OR(AND(AUTOEVENTO="Manual",$M470=1),$M470&gt;(ROW(PLE.lastrow)-ROW(PLE.firstrow))),0,IF(OFFSET(PLE!$G$14,$M470,CL$13)="",10^12,OFFSET(PLE!$G$14,$M470,CL$13))))</f>
        <v>1000000000000</v>
      </c>
      <c r="CM470" s="182">
        <f ca="1">IF($D470&lt;&gt;"Serviço",0,IF(OR(AND(AUTOEVENTO="Manual",$M470=1),$M470&gt;(ROW(PLE.lastrow)-ROW(PLE.firstrow))),0,IF(OFFSET(PLE!$G$14,$M470,CM$13)="",10^12,OFFSET(PLE!$G$14,$M470,CM$13))))</f>
        <v>1000000000000</v>
      </c>
    </row>
    <row r="471" spans="1:91" ht="38.25" x14ac:dyDescent="0.2">
      <c r="A471" s="7" t="str">
        <f t="shared" ca="1" si="12"/>
        <v>421</v>
      </c>
      <c r="B471" s="7" t="str">
        <f ca="1">OFFSET(ORÇAMENTO!C$15,ROW(B471)-ROW(B$15),0)</f>
        <v>S</v>
      </c>
      <c r="C471" s="7" t="str">
        <f ca="1">OFFSET(ORÇAMENTO!L$15,ROW(C471)-ROW(C$15),0)</f>
        <v/>
      </c>
      <c r="D471" s="118" t="str">
        <f ca="1">OFFSET(ORÇAMENTO!N$15,ROW(D471)-ROW(D$15),0)</f>
        <v>Serviço</v>
      </c>
      <c r="E471" s="119" t="str">
        <f ca="1">OFFSET(ORÇAMENTO!O$15,ROW(E471)-ROW(E$15),0)</f>
        <v>-</v>
      </c>
      <c r="F471" s="172" t="str">
        <f ca="1">OFFSET(ORÇAMENTO!R$15,ROW(F471)-ROW(F$15),0)</f>
        <v>(abra o arquivo 'Referência 06-2024.xlsm)</v>
      </c>
      <c r="G471" s="173" t="str">
        <f ca="1">IF($D471&lt;&gt;"Serviço","",OFFSET(ORÇAMENTO!S$15,ROW(G471)-ROW(G$15),0))</f>
        <v>-</v>
      </c>
      <c r="H471" s="124">
        <f ca="1">IF($D471&lt;&gt;"Serviço",0,IF(ACOMPANHAMENTO="BM",ROUND(OFFSET(ORÇAMENTO!AJ$15,ROW(H471)-ROW(H$15),0),15-13*ORÇAMENTO!$AF$7),SUMPRODUCT(($Q$12:$AI$12&lt;&gt;"")*ROUND($Q471:$AI471,15-13*ORÇAMENTO!$AF$7))))</f>
        <v>1</v>
      </c>
      <c r="I471" s="561" t="s">
        <v>1107</v>
      </c>
      <c r="K471" s="174"/>
      <c r="L471" s="175" t="s">
        <v>255</v>
      </c>
      <c r="M471" s="176">
        <f ca="1">IF($D471&lt;&gt;"Serviço","",IF(AUTOEVENTO="manual",$A471,IF(ISERROR(MATCH($A471,$A$15:OFFSET($A471,-1,0),0)),MAX($M$15:OFFSET(M471,-1,0))+1,INDEX($M$15:OFFSET(M471,-1,0),MATCH($A471,$A$15:OFFSET($A471,-1,0),0)))))</f>
        <v>49</v>
      </c>
      <c r="N471" s="177" t="str">
        <f ca="1">IF($D471&lt;&gt;"Serviço","",IF(AUTOEVENTO="Manual",IF($A471=0,"&lt;-- defina o número do agrupador",OFFSET(EVENTOS!$D$14,$A471,0)),OFFSET($F$15,$A471,0)))</f>
        <v>SISTEMA DE PROTEÇÃO CONTRA INCÊNDIO - TUBULAÇÕES E CONEXÕES</v>
      </c>
      <c r="O471" s="178"/>
      <c r="Q471" s="178">
        <v>1</v>
      </c>
      <c r="R471" s="179"/>
      <c r="S471" s="179"/>
      <c r="T471" s="179"/>
      <c r="U471" s="179"/>
      <c r="V471" s="179"/>
      <c r="W471" s="179"/>
      <c r="X471" s="179"/>
      <c r="Y471" s="179"/>
      <c r="Z471" s="180"/>
      <c r="AA471" s="179"/>
      <c r="AB471" s="179"/>
      <c r="AC471" s="179"/>
      <c r="AD471" s="179"/>
      <c r="AE471" s="179"/>
      <c r="AF471" s="179"/>
      <c r="AG471" s="179"/>
      <c r="AH471" s="180"/>
      <c r="AJ471" s="544">
        <f ca="1">IF(AND($D471="Serviço",AJ$12&lt;&gt;0,$H471&gt;0,OR(AUTOEVENTO&lt;&gt;"manual",$M471&lt;&gt;1)),
IF(Import.TipoArredondamento&lt;&gt;"TransfereGOV",
ROUND(OFFSET($P471,0,AJ$13),15-13*ORÇAMENTO!$AF$7)/$H471*OFFSET(ORÇAMENTO!$X$15,ROW(AJ471)-ROW(AJ$15),0),
ROUND(ROUND(OFFSET($P471,0,AJ$13),15-13*ORÇAMENTO!$AF$7)*OFFSET(ORÇAMENTO!$W$15,ROW(AJ471)-ROW(AJ$15),0),15-13*ORÇAMENTO!$AF$11)),0)</f>
        <v>0</v>
      </c>
      <c r="AK471" s="545">
        <f ca="1">IF(AND($D471="Serviço",AK$12&lt;&gt;0,$H471&gt;0,OR(AUTOEVENTO&lt;&gt;"manual",$M471&lt;&gt;1)),
IF(Import.TipoArredondamento&lt;&gt;"TransfereGOV",
ROUND(OFFSET($P471,0,AK$13),15-13*ORÇAMENTO!$AF$7)/$H471*OFFSET(ORÇAMENTO!$X$15,ROW(AK471)-ROW(AK$15),0),
ROUND(ROUND(OFFSET($P471,0,AK$13),15-13*ORÇAMENTO!$AF$7)*OFFSET(ORÇAMENTO!$W$15,ROW(AK471)-ROW(AK$15),0),15-13*ORÇAMENTO!$AF$11)),0)</f>
        <v>0</v>
      </c>
      <c r="AL471" s="545">
        <f ca="1">IF(AND($D471="Serviço",AL$12&lt;&gt;0,$H471&gt;0,OR(AUTOEVENTO&lt;&gt;"manual",$M471&lt;&gt;1)),
IF(Import.TipoArredondamento&lt;&gt;"TransfereGOV",
ROUND(OFFSET($P471,0,AL$13),15-13*ORÇAMENTO!$AF$7)/$H471*OFFSET(ORÇAMENTO!$X$15,ROW(AL471)-ROW(AL$15),0),
ROUND(ROUND(OFFSET($P471,0,AL$13),15-13*ORÇAMENTO!$AF$7)*OFFSET(ORÇAMENTO!$W$15,ROW(AL471)-ROW(AL$15),0),15-13*ORÇAMENTO!$AF$11)),0)</f>
        <v>0</v>
      </c>
      <c r="AM471" s="545">
        <f ca="1">IF(AND($D471="Serviço",AM$12&lt;&gt;0,$H471&gt;0,OR(AUTOEVENTO&lt;&gt;"manual",$M471&lt;&gt;1)),
IF(Import.TipoArredondamento&lt;&gt;"TransfereGOV",
ROUND(OFFSET($P471,0,AM$13),15-13*ORÇAMENTO!$AF$7)/$H471*OFFSET(ORÇAMENTO!$X$15,ROW(AM471)-ROW(AM$15),0),
ROUND(ROUND(OFFSET($P471,0,AM$13),15-13*ORÇAMENTO!$AF$7)*OFFSET(ORÇAMENTO!$W$15,ROW(AM471)-ROW(AM$15),0),15-13*ORÇAMENTO!$AF$11)),0)</f>
        <v>0</v>
      </c>
      <c r="AN471" s="545">
        <f ca="1">IF(AND($D471="Serviço",AN$12&lt;&gt;0,$H471&gt;0,OR(AUTOEVENTO&lt;&gt;"manual",$M471&lt;&gt;1)),
IF(Import.TipoArredondamento&lt;&gt;"TransfereGOV",
ROUND(OFFSET($P471,0,AN$13),15-13*ORÇAMENTO!$AF$7)/$H471*OFFSET(ORÇAMENTO!$X$15,ROW(AN471)-ROW(AN$15),0),
ROUND(ROUND(OFFSET($P471,0,AN$13),15-13*ORÇAMENTO!$AF$7)*OFFSET(ORÇAMENTO!$W$15,ROW(AN471)-ROW(AN$15),0),15-13*ORÇAMENTO!$AF$11)),0)</f>
        <v>0</v>
      </c>
      <c r="AO471" s="545">
        <f ca="1">IF(AND($D471="Serviço",AO$12&lt;&gt;0,$H471&gt;0,OR(AUTOEVENTO&lt;&gt;"manual",$M471&lt;&gt;1)),
IF(Import.TipoArredondamento&lt;&gt;"TransfereGOV",
ROUND(OFFSET($P471,0,AO$13),15-13*ORÇAMENTO!$AF$7)/$H471*OFFSET(ORÇAMENTO!$X$15,ROW(AO471)-ROW(AO$15),0),
ROUND(ROUND(OFFSET($P471,0,AO$13),15-13*ORÇAMENTO!$AF$7)*OFFSET(ORÇAMENTO!$W$15,ROW(AO471)-ROW(AO$15),0),15-13*ORÇAMENTO!$AF$11)),0)</f>
        <v>0</v>
      </c>
      <c r="AP471" s="545">
        <f ca="1">IF(AND($D471="Serviço",AP$12&lt;&gt;0,$H471&gt;0,OR(AUTOEVENTO&lt;&gt;"manual",$M471&lt;&gt;1)),
IF(Import.TipoArredondamento&lt;&gt;"TransfereGOV",
ROUND(OFFSET($P471,0,AP$13),15-13*ORÇAMENTO!$AF$7)/$H471*OFFSET(ORÇAMENTO!$X$15,ROW(AP471)-ROW(AP$15),0),
ROUND(ROUND(OFFSET($P471,0,AP$13),15-13*ORÇAMENTO!$AF$7)*OFFSET(ORÇAMENTO!$W$15,ROW(AP471)-ROW(AP$15),0),15-13*ORÇAMENTO!$AF$11)),0)</f>
        <v>0</v>
      </c>
      <c r="AQ471" s="545">
        <f ca="1">IF(AND($D471="Serviço",AQ$12&lt;&gt;0,$H471&gt;0,OR(AUTOEVENTO&lt;&gt;"manual",$M471&lt;&gt;1)),
IF(Import.TipoArredondamento&lt;&gt;"TransfereGOV",
ROUND(OFFSET($P471,0,AQ$13),15-13*ORÇAMENTO!$AF$7)/$H471*OFFSET(ORÇAMENTO!$X$15,ROW(AQ471)-ROW(AQ$15),0),
ROUND(ROUND(OFFSET($P471,0,AQ$13),15-13*ORÇAMENTO!$AF$7)*OFFSET(ORÇAMENTO!$W$15,ROW(AQ471)-ROW(AQ$15),0),15-13*ORÇAMENTO!$AF$11)),0)</f>
        <v>0</v>
      </c>
      <c r="AR471" s="545">
        <f ca="1">IF(AND($D471="Serviço",AR$12&lt;&gt;0,$H471&gt;0,OR(AUTOEVENTO&lt;&gt;"manual",$M471&lt;&gt;1)),
IF(Import.TipoArredondamento&lt;&gt;"TransfereGOV",
ROUND(OFFSET($P471,0,AR$13),15-13*ORÇAMENTO!$AF$7)/$H471*OFFSET(ORÇAMENTO!$X$15,ROW(AR471)-ROW(AR$15),0),
ROUND(ROUND(OFFSET($P471,0,AR$13),15-13*ORÇAMENTO!$AF$7)*OFFSET(ORÇAMENTO!$W$15,ROW(AR471)-ROW(AR$15),0),15-13*ORÇAMENTO!$AF$11)),0)</f>
        <v>0</v>
      </c>
      <c r="AS471" s="546">
        <f ca="1">IF(AND($D471="Serviço",AS$12&lt;&gt;0,$H471&gt;0,OR(AUTOEVENTO&lt;&gt;"manual",$M471&lt;&gt;1)),
IF(Import.TipoArredondamento&lt;&gt;"TransfereGOV",
ROUND(OFFSET($P471,0,AS$13),15-13*ORÇAMENTO!$AF$7)/$H471*OFFSET(ORÇAMENTO!$X$15,ROW(AS471)-ROW(AS$15),0),
ROUND(ROUND(OFFSET($P471,0,AS$13),15-13*ORÇAMENTO!$AF$7)*OFFSET(ORÇAMENTO!$W$15,ROW(AS471)-ROW(AS$15),0),15-13*ORÇAMENTO!$AF$11)),0)</f>
        <v>0</v>
      </c>
      <c r="AT471" s="545">
        <f ca="1">IF(AND($D471="Serviço",AT$12&lt;&gt;0,$H471&gt;0,OR(AUTOEVENTO&lt;&gt;"manual",$M471&lt;&gt;1)),
IF(Import.TipoArredondamento&lt;&gt;"TransfereGOV",
ROUND(OFFSET($P471,0,AT$13),15-13*ORÇAMENTO!$AF$7)/$H471*OFFSET(ORÇAMENTO!$X$15,ROW(AT471)-ROW(AT$15),0),
ROUND(ROUND(OFFSET($P471,0,AT$13),15-13*ORÇAMENTO!$AF$7)*OFFSET(ORÇAMENTO!$W$15,ROW(AT471)-ROW(AT$15),0),15-13*ORÇAMENTO!$AF$11)),0)</f>
        <v>0</v>
      </c>
      <c r="AU471" s="545">
        <f ca="1">IF(AND($D471="Serviço",AU$12&lt;&gt;0,$H471&gt;0,OR(AUTOEVENTO&lt;&gt;"manual",$M471&lt;&gt;1)),
IF(Import.TipoArredondamento&lt;&gt;"TransfereGOV",
ROUND(OFFSET($P471,0,AU$13),15-13*ORÇAMENTO!$AF$7)/$H471*OFFSET(ORÇAMENTO!$X$15,ROW(AU471)-ROW(AU$15),0),
ROUND(ROUND(OFFSET($P471,0,AU$13),15-13*ORÇAMENTO!$AF$7)*OFFSET(ORÇAMENTO!$W$15,ROW(AU471)-ROW(AU$15),0),15-13*ORÇAMENTO!$AF$11)),0)</f>
        <v>0</v>
      </c>
      <c r="AV471" s="545">
        <f ca="1">IF(AND($D471="Serviço",AV$12&lt;&gt;0,$H471&gt;0,OR(AUTOEVENTO&lt;&gt;"manual",$M471&lt;&gt;1)),
IF(Import.TipoArredondamento&lt;&gt;"TransfereGOV",
ROUND(OFFSET($P471,0,AV$13),15-13*ORÇAMENTO!$AF$7)/$H471*OFFSET(ORÇAMENTO!$X$15,ROW(AV471)-ROW(AV$15),0),
ROUND(ROUND(OFFSET($P471,0,AV$13),15-13*ORÇAMENTO!$AF$7)*OFFSET(ORÇAMENTO!$W$15,ROW(AV471)-ROW(AV$15),0),15-13*ORÇAMENTO!$AF$11)),0)</f>
        <v>0</v>
      </c>
      <c r="AW471" s="545">
        <f ca="1">IF(AND($D471="Serviço",AW$12&lt;&gt;0,$H471&gt;0,OR(AUTOEVENTO&lt;&gt;"manual",$M471&lt;&gt;1)),
IF(Import.TipoArredondamento&lt;&gt;"TransfereGOV",
ROUND(OFFSET($P471,0,AW$13),15-13*ORÇAMENTO!$AF$7)/$H471*OFFSET(ORÇAMENTO!$X$15,ROW(AW471)-ROW(AW$15),0),
ROUND(ROUND(OFFSET($P471,0,AW$13),15-13*ORÇAMENTO!$AF$7)*OFFSET(ORÇAMENTO!$W$15,ROW(AW471)-ROW(AW$15),0),15-13*ORÇAMENTO!$AF$11)),0)</f>
        <v>0</v>
      </c>
      <c r="AX471" s="545">
        <f ca="1">IF(AND($D471="Serviço",AX$12&lt;&gt;0,$H471&gt;0,OR(AUTOEVENTO&lt;&gt;"manual",$M471&lt;&gt;1)),
IF(Import.TipoArredondamento&lt;&gt;"TransfereGOV",
ROUND(OFFSET($P471,0,AX$13),15-13*ORÇAMENTO!$AF$7)/$H471*OFFSET(ORÇAMENTO!$X$15,ROW(AX471)-ROW(AX$15),0),
ROUND(ROUND(OFFSET($P471,0,AX$13),15-13*ORÇAMENTO!$AF$7)*OFFSET(ORÇAMENTO!$W$15,ROW(AX471)-ROW(AX$15),0),15-13*ORÇAMENTO!$AF$11)),0)</f>
        <v>0</v>
      </c>
      <c r="AY471" s="545">
        <f ca="1">IF(AND($D471="Serviço",AY$12&lt;&gt;0,$H471&gt;0,OR(AUTOEVENTO&lt;&gt;"manual",$M471&lt;&gt;1)),
IF(Import.TipoArredondamento&lt;&gt;"TransfereGOV",
ROUND(OFFSET($P471,0,AY$13),15-13*ORÇAMENTO!$AF$7)/$H471*OFFSET(ORÇAMENTO!$X$15,ROW(AY471)-ROW(AY$15),0),
ROUND(ROUND(OFFSET($P471,0,AY$13),15-13*ORÇAMENTO!$AF$7)*OFFSET(ORÇAMENTO!$W$15,ROW(AY471)-ROW(AY$15),0),15-13*ORÇAMENTO!$AF$11)),0)</f>
        <v>0</v>
      </c>
      <c r="AZ471" s="545">
        <f ca="1">IF(AND($D471="Serviço",AZ$12&lt;&gt;0,$H471&gt;0,OR(AUTOEVENTO&lt;&gt;"manual",$M471&lt;&gt;1)),
IF(Import.TipoArredondamento&lt;&gt;"TransfereGOV",
ROUND(OFFSET($P471,0,AZ$13),15-13*ORÇAMENTO!$AF$7)/$H471*OFFSET(ORÇAMENTO!$X$15,ROW(AZ471)-ROW(AZ$15),0),
ROUND(ROUND(OFFSET($P471,0,AZ$13),15-13*ORÇAMENTO!$AF$7)*OFFSET(ORÇAMENTO!$W$15,ROW(AZ471)-ROW(AZ$15),0),15-13*ORÇAMENTO!$AF$11)),0)</f>
        <v>0</v>
      </c>
      <c r="BA471" s="546">
        <f ca="1">IF(AND($D471="Serviço",BA$12&lt;&gt;0,$H471&gt;0,OR(AUTOEVENTO&lt;&gt;"manual",$M471&lt;&gt;1)),
IF(Import.TipoArredondamento&lt;&gt;"TransfereGOV",
ROUND(OFFSET($P471,0,BA$13),15-13*ORÇAMENTO!$AF$7)/$H471*OFFSET(ORÇAMENTO!$X$15,ROW(BA471)-ROW(BA$15),0),
ROUND(ROUND(OFFSET($P471,0,BA$13),15-13*ORÇAMENTO!$AF$7)*OFFSET(ORÇAMENTO!$W$15,ROW(BA471)-ROW(BA$15),0),15-13*ORÇAMENTO!$AF$11)),0)</f>
        <v>0</v>
      </c>
      <c r="BC471" s="181">
        <f ca="1">IF($D471&lt;&gt;"Serviço",0,IF(AND(AUTOEVENTO="Manual",$M471=1),0,IF(OFFSET(CRONOPLE!$F$14,$M471,BC$13)="",10^12,OFFSET(CRONOPLE!$F$14,$M471,BC$13))))</f>
        <v>10</v>
      </c>
      <c r="BD471" s="181">
        <f ca="1">IF($D471&lt;&gt;"Serviço",0,IF(AND(AUTOEVENTO="Manual",$M471=1),0,IF(OFFSET(CRONOPLE!$F$14,$M471,BD$13)="",10^12,OFFSET(CRONOPLE!$F$14,$M471,BD$13))))</f>
        <v>1000000000000</v>
      </c>
      <c r="BE471" s="181">
        <f ca="1">IF($D471&lt;&gt;"Serviço",0,IF(AND(AUTOEVENTO="Manual",$M471=1),0,IF(OFFSET(CRONOPLE!$F$14,$M471,BE$13)="",10^12,OFFSET(CRONOPLE!$F$14,$M471,BE$13))))</f>
        <v>1000000000000</v>
      </c>
      <c r="BF471" s="181">
        <f ca="1">IF($D471&lt;&gt;"Serviço",0,IF(AND(AUTOEVENTO="Manual",$M471=1),0,IF(OFFSET(CRONOPLE!$F$14,$M471,BF$13)="",10^12,OFFSET(CRONOPLE!$F$14,$M471,BF$13))))</f>
        <v>1000000000000</v>
      </c>
      <c r="BG471" s="181">
        <f ca="1">IF($D471&lt;&gt;"Serviço",0,IF(AND(AUTOEVENTO="Manual",$M471=1),0,IF(OFFSET(CRONOPLE!$F$14,$M471,BG$13)="",10^12,OFFSET(CRONOPLE!$F$14,$M471,BG$13))))</f>
        <v>1000000000000</v>
      </c>
      <c r="BH471" s="181">
        <f ca="1">IF($D471&lt;&gt;"Serviço",0,IF(AND(AUTOEVENTO="Manual",$M471=1),0,IF(OFFSET(CRONOPLE!$F$14,$M471,BH$13)="",10^12,OFFSET(CRONOPLE!$F$14,$M471,BH$13))))</f>
        <v>1000000000000</v>
      </c>
      <c r="BI471" s="181">
        <f ca="1">IF($D471&lt;&gt;"Serviço",0,IF(AND(AUTOEVENTO="Manual",$M471=1),0,IF(OFFSET(CRONOPLE!$F$14,$M471,BI$13)="",10^12,OFFSET(CRONOPLE!$F$14,$M471,BI$13))))</f>
        <v>1000000000000</v>
      </c>
      <c r="BJ471" s="181">
        <f ca="1">IF($D471&lt;&gt;"Serviço",0,IF(AND(AUTOEVENTO="Manual",$M471=1),0,IF(OFFSET(CRONOPLE!$F$14,$M471,BJ$13)="",10^12,OFFSET(CRONOPLE!$F$14,$M471,BJ$13))))</f>
        <v>1000000000000</v>
      </c>
      <c r="BK471" s="181">
        <f ca="1">IF($D471&lt;&gt;"Serviço",0,IF(AND(AUTOEVENTO="Manual",$M471=1),0,IF(OFFSET(CRONOPLE!$F$14,$M471,BK$13)="",10^12,OFFSET(CRONOPLE!$F$14,$M471,BK$13))))</f>
        <v>1000000000000</v>
      </c>
      <c r="BL471" s="181">
        <f ca="1">IF($D471&lt;&gt;"Serviço",0,IF(AND(AUTOEVENTO="Manual",$M471=1),0,IF(OFFSET(CRONOPLE!$F$14,$M471,BL$13)="",10^12,OFFSET(CRONOPLE!$F$14,$M471,BL$13))))</f>
        <v>1000000000000</v>
      </c>
      <c r="BM471" s="181">
        <f ca="1">IF($D471&lt;&gt;"Serviço",0,IF(AND(AUTOEVENTO="Manual",$M471=1),0,IF(OFFSET(CRONOPLE!$F$14,$M471,BM$13)="",10^12,OFFSET(CRONOPLE!$F$14,$M471,BM$13))))</f>
        <v>1000000000000</v>
      </c>
      <c r="BN471" s="181">
        <f ca="1">IF($D471&lt;&gt;"Serviço",0,IF(AND(AUTOEVENTO="Manual",$M471=1),0,IF(OFFSET(CRONOPLE!$F$14,$M471,BN$13)="",10^12,OFFSET(CRONOPLE!$F$14,$M471,BN$13))))</f>
        <v>1000000000000</v>
      </c>
      <c r="BO471" s="181">
        <f ca="1">IF($D471&lt;&gt;"Serviço",0,IF(AND(AUTOEVENTO="Manual",$M471=1),0,IF(OFFSET(CRONOPLE!$F$14,$M471,BO$13)="",10^12,OFFSET(CRONOPLE!$F$14,$M471,BO$13))))</f>
        <v>1000000000000</v>
      </c>
      <c r="BP471" s="181">
        <f ca="1">IF($D471&lt;&gt;"Serviço",0,IF(AND(AUTOEVENTO="Manual",$M471=1),0,IF(OFFSET(CRONOPLE!$F$14,$M471,BP$13)="",10^12,OFFSET(CRONOPLE!$F$14,$M471,BP$13))))</f>
        <v>1000000000000</v>
      </c>
      <c r="BQ471" s="181">
        <f ca="1">IF($D471&lt;&gt;"Serviço",0,IF(AND(AUTOEVENTO="Manual",$M471=1),0,IF(OFFSET(CRONOPLE!$F$14,$M471,BQ$13)="",10^12,OFFSET(CRONOPLE!$F$14,$M471,BQ$13))))</f>
        <v>1000000000000</v>
      </c>
      <c r="BR471" s="181">
        <f ca="1">IF($D471&lt;&gt;"Serviço",0,IF(AND(AUTOEVENTO="Manual",$M471=1),0,IF(OFFSET(CRONOPLE!$F$14,$M471,BR$13)="",10^12,OFFSET(CRONOPLE!$F$14,$M471,BR$13))))</f>
        <v>1000000000000</v>
      </c>
      <c r="BS471" s="181">
        <f ca="1">IF($D471&lt;&gt;"Serviço",0,IF(AND(AUTOEVENTO="Manual",$M471=1),0,IF(OFFSET(CRONOPLE!$F$14,$M471,BS$13)="",10^12,OFFSET(CRONOPLE!$F$14,$M471,BS$13))))</f>
        <v>1000000000000</v>
      </c>
      <c r="BT471" s="181">
        <f ca="1">IF($D471&lt;&gt;"Serviço",0,IF(AND(AUTOEVENTO="Manual",$M471=1),0,IF(OFFSET(CRONOPLE!$F$14,$M471,BT$13)="",10^12,OFFSET(CRONOPLE!$F$14,$M471,BT$13))))</f>
        <v>1000000000000</v>
      </c>
      <c r="BV471" s="182">
        <f ca="1">IF($D471&lt;&gt;"Serviço",0,IF(OR(AND(AUTOEVENTO="Manual",$M471=1),$M471&gt;(ROW(PLE.lastrow)-ROW(PLE.firstrow))),0,IF(OFFSET(PLE!$G$14,$M471,BV$13)="",10^12,OFFSET(PLE!$G$14,$M471,BV$13))))</f>
        <v>1000000000000</v>
      </c>
      <c r="BW471" s="182">
        <f ca="1">IF($D471&lt;&gt;"Serviço",0,IF(OR(AND(AUTOEVENTO="Manual",$M471=1),$M471&gt;(ROW(PLE.lastrow)-ROW(PLE.firstrow))),0,IF(OFFSET(PLE!$G$14,$M471,BW$13)="",10^12,OFFSET(PLE!$G$14,$M471,BW$13))))</f>
        <v>1000000000000</v>
      </c>
      <c r="BX471" s="182">
        <f ca="1">IF($D471&lt;&gt;"Serviço",0,IF(OR(AND(AUTOEVENTO="Manual",$M471=1),$M471&gt;(ROW(PLE.lastrow)-ROW(PLE.firstrow))),0,IF(OFFSET(PLE!$G$14,$M471,BX$13)="",10^12,OFFSET(PLE!$G$14,$M471,BX$13))))</f>
        <v>1000000000000</v>
      </c>
      <c r="BY471" s="182">
        <f ca="1">IF($D471&lt;&gt;"Serviço",0,IF(OR(AND(AUTOEVENTO="Manual",$M471=1),$M471&gt;(ROW(PLE.lastrow)-ROW(PLE.firstrow))),0,IF(OFFSET(PLE!$G$14,$M471,BY$13)="",10^12,OFFSET(PLE!$G$14,$M471,BY$13))))</f>
        <v>1000000000000</v>
      </c>
      <c r="BZ471" s="182">
        <f ca="1">IF($D471&lt;&gt;"Serviço",0,IF(OR(AND(AUTOEVENTO="Manual",$M471=1),$M471&gt;(ROW(PLE.lastrow)-ROW(PLE.firstrow))),0,IF(OFFSET(PLE!$G$14,$M471,BZ$13)="",10^12,OFFSET(PLE!$G$14,$M471,BZ$13))))</f>
        <v>1000000000000</v>
      </c>
      <c r="CA471" s="182">
        <f ca="1">IF($D471&lt;&gt;"Serviço",0,IF(OR(AND(AUTOEVENTO="Manual",$M471=1),$M471&gt;(ROW(PLE.lastrow)-ROW(PLE.firstrow))),0,IF(OFFSET(PLE!$G$14,$M471,CA$13)="",10^12,OFFSET(PLE!$G$14,$M471,CA$13))))</f>
        <v>1000000000000</v>
      </c>
      <c r="CB471" s="182">
        <f ca="1">IF($D471&lt;&gt;"Serviço",0,IF(OR(AND(AUTOEVENTO="Manual",$M471=1),$M471&gt;(ROW(PLE.lastrow)-ROW(PLE.firstrow))),0,IF(OFFSET(PLE!$G$14,$M471,CB$13)="",10^12,OFFSET(PLE!$G$14,$M471,CB$13))))</f>
        <v>1000000000000</v>
      </c>
      <c r="CC471" s="182">
        <f ca="1">IF($D471&lt;&gt;"Serviço",0,IF(OR(AND(AUTOEVENTO="Manual",$M471=1),$M471&gt;(ROW(PLE.lastrow)-ROW(PLE.firstrow))),0,IF(OFFSET(PLE!$G$14,$M471,CC$13)="",10^12,OFFSET(PLE!$G$14,$M471,CC$13))))</f>
        <v>1000000000000</v>
      </c>
      <c r="CD471" s="182">
        <f ca="1">IF($D471&lt;&gt;"Serviço",0,IF(OR(AND(AUTOEVENTO="Manual",$M471=1),$M471&gt;(ROW(PLE.lastrow)-ROW(PLE.firstrow))),0,IF(OFFSET(PLE!$G$14,$M471,CD$13)="",10^12,OFFSET(PLE!$G$14,$M471,CD$13))))</f>
        <v>1000000000000</v>
      </c>
      <c r="CE471" s="182">
        <f ca="1">IF($D471&lt;&gt;"Serviço",0,IF(OR(AND(AUTOEVENTO="Manual",$M471=1),$M471&gt;(ROW(PLE.lastrow)-ROW(PLE.firstrow))),0,IF(OFFSET(PLE!$G$14,$M471,CE$13)="",10^12,OFFSET(PLE!$G$14,$M471,CE$13))))</f>
        <v>1000000000000</v>
      </c>
      <c r="CF471" s="182">
        <f ca="1">IF($D471&lt;&gt;"Serviço",0,IF(OR(AND(AUTOEVENTO="Manual",$M471=1),$M471&gt;(ROW(PLE.lastrow)-ROW(PLE.firstrow))),0,IF(OFFSET(PLE!$G$14,$M471,CF$13)="",10^12,OFFSET(PLE!$G$14,$M471,CF$13))))</f>
        <v>1000000000000</v>
      </c>
      <c r="CG471" s="182">
        <f ca="1">IF($D471&lt;&gt;"Serviço",0,IF(OR(AND(AUTOEVENTO="Manual",$M471=1),$M471&gt;(ROW(PLE.lastrow)-ROW(PLE.firstrow))),0,IF(OFFSET(PLE!$G$14,$M471,CG$13)="",10^12,OFFSET(PLE!$G$14,$M471,CG$13))))</f>
        <v>1000000000000</v>
      </c>
      <c r="CH471" s="182">
        <f ca="1">IF($D471&lt;&gt;"Serviço",0,IF(OR(AND(AUTOEVENTO="Manual",$M471=1),$M471&gt;(ROW(PLE.lastrow)-ROW(PLE.firstrow))),0,IF(OFFSET(PLE!$G$14,$M471,CH$13)="",10^12,OFFSET(PLE!$G$14,$M471,CH$13))))</f>
        <v>1000000000000</v>
      </c>
      <c r="CI471" s="182">
        <f ca="1">IF($D471&lt;&gt;"Serviço",0,IF(OR(AND(AUTOEVENTO="Manual",$M471=1),$M471&gt;(ROW(PLE.lastrow)-ROW(PLE.firstrow))),0,IF(OFFSET(PLE!$G$14,$M471,CI$13)="",10^12,OFFSET(PLE!$G$14,$M471,CI$13))))</f>
        <v>1000000000000</v>
      </c>
      <c r="CJ471" s="182">
        <f ca="1">IF($D471&lt;&gt;"Serviço",0,IF(OR(AND(AUTOEVENTO="Manual",$M471=1),$M471&gt;(ROW(PLE.lastrow)-ROW(PLE.firstrow))),0,IF(OFFSET(PLE!$G$14,$M471,CJ$13)="",10^12,OFFSET(PLE!$G$14,$M471,CJ$13))))</f>
        <v>1000000000000</v>
      </c>
      <c r="CK471" s="182">
        <f ca="1">IF($D471&lt;&gt;"Serviço",0,IF(OR(AND(AUTOEVENTO="Manual",$M471=1),$M471&gt;(ROW(PLE.lastrow)-ROW(PLE.firstrow))),0,IF(OFFSET(PLE!$G$14,$M471,CK$13)="",10^12,OFFSET(PLE!$G$14,$M471,CK$13))))</f>
        <v>1000000000000</v>
      </c>
      <c r="CL471" s="182">
        <f ca="1">IF($D471&lt;&gt;"Serviço",0,IF(OR(AND(AUTOEVENTO="Manual",$M471=1),$M471&gt;(ROW(PLE.lastrow)-ROW(PLE.firstrow))),0,IF(OFFSET(PLE!$G$14,$M471,CL$13)="",10^12,OFFSET(PLE!$G$14,$M471,CL$13))))</f>
        <v>1000000000000</v>
      </c>
      <c r="CM471" s="182">
        <f ca="1">IF($D471&lt;&gt;"Serviço",0,IF(OR(AND(AUTOEVENTO="Manual",$M471=1),$M471&gt;(ROW(PLE.lastrow)-ROW(PLE.firstrow))),0,IF(OFFSET(PLE!$G$14,$M471,CM$13)="",10^12,OFFSET(PLE!$G$14,$M471,CM$13))))</f>
        <v>1000000000000</v>
      </c>
    </row>
    <row r="472" spans="1:91" ht="12.75" x14ac:dyDescent="0.2">
      <c r="A472" s="7" t="str">
        <f t="shared" ref="A472:A528" ca="1" si="16">IF(AUTOEVENTO="Manual",IF(K472&lt;&gt;"",MIN(VALUE(LEFT(K472,FIND(".",K472)-1)),COUNTA(EVENTOS.Lista)),0),IF(OR($B472&gt;AUTOEVENTO,$B472="S",$B472=0),SUBSTITUTE(OFFSET($A472,-1,0),IF($D472="Serviço",".",""),""),ROW(A472)-ROW($A$15)&amp;"."))</f>
        <v>457.</v>
      </c>
      <c r="B472" s="7">
        <f ca="1">OFFSET(ORÇAMENTO!C$15,ROW(B472)-ROW(B$15),0)</f>
        <v>2</v>
      </c>
      <c r="C472" s="7" t="str">
        <f ca="1">OFFSET(ORÇAMENTO!L$15,ROW(C472)-ROW(C$15),0)</f>
        <v>F</v>
      </c>
      <c r="D472" s="118" t="str">
        <f ca="1">OFFSET(ORÇAMENTO!N$15,ROW(D472)-ROW(D$15),0)</f>
        <v>Nível 2</v>
      </c>
      <c r="E472" s="119" t="str">
        <f ca="1">OFFSET(ORÇAMENTO!O$15,ROW(E472)-ROW(E$15),0)</f>
        <v>1.49.</v>
      </c>
      <c r="F472" s="172" t="str">
        <f ca="1">OFFSET(ORÇAMENTO!R$15,ROW(F472)-ROW(F$15),0)</f>
        <v>SISTEMA DE PROTEÇÃO CONTRA INCÊNDIO - SINALIZAÇÕES</v>
      </c>
      <c r="G472" s="173" t="str">
        <f ca="1">IF($D472&lt;&gt;"Serviço","",OFFSET(ORÇAMENTO!S$15,ROW(G472)-ROW(G$15),0))</f>
        <v/>
      </c>
      <c r="H472" s="124">
        <f ca="1">IF($D472&lt;&gt;"Serviço",0,IF(ACOMPANHAMENTO="BM",ROUND(OFFSET(ORÇAMENTO!AJ$15,ROW(H472)-ROW(H$15),0),15-13*ORÇAMENTO!$AF$7),SUMPRODUCT(($Q$12:$AI$12&lt;&gt;"")*ROUND($Q472:$AI472,15-13*ORÇAMENTO!$AF$7))))</f>
        <v>0</v>
      </c>
      <c r="I472" s="561"/>
      <c r="K472" s="174"/>
      <c r="L472" s="175" t="s">
        <v>255</v>
      </c>
      <c r="M472" s="176" t="str">
        <f ca="1">IF($D472&lt;&gt;"Serviço","",IF(AUTOEVENTO="manual",$A472,IF(ISERROR(MATCH($A472,$A$15:OFFSET($A472,-1,0),0)),MAX($M$15:OFFSET(M472,-1,0))+1,INDEX($M$15:OFFSET(M472,-1,0),MATCH($A472,$A$15:OFFSET($A472,-1,0),0)))))</f>
        <v/>
      </c>
      <c r="N472" s="177" t="str">
        <f ca="1">IF($D472&lt;&gt;"Serviço","",IF(AUTOEVENTO="Manual",IF($A472=0,"&lt;-- defina o número do agrupador",OFFSET(EVENTOS!$D$14,$A472,0)),OFFSET($F$15,$A472,0)))</f>
        <v/>
      </c>
      <c r="O472" s="178"/>
      <c r="Q472" s="178">
        <v>0</v>
      </c>
      <c r="R472" s="179"/>
      <c r="S472" s="179"/>
      <c r="T472" s="179"/>
      <c r="U472" s="179"/>
      <c r="V472" s="179"/>
      <c r="W472" s="179"/>
      <c r="X472" s="179"/>
      <c r="Y472" s="179"/>
      <c r="Z472" s="180"/>
      <c r="AA472" s="179"/>
      <c r="AB472" s="179"/>
      <c r="AC472" s="179"/>
      <c r="AD472" s="179"/>
      <c r="AE472" s="179"/>
      <c r="AF472" s="179"/>
      <c r="AG472" s="179"/>
      <c r="AH472" s="180"/>
      <c r="AJ472" s="544">
        <f ca="1">IF(AND($D472="Serviço",AJ$12&lt;&gt;0,$H472&gt;0,OR(AUTOEVENTO&lt;&gt;"manual",$M472&lt;&gt;1)),
IF(Import.TipoArredondamento&lt;&gt;"TransfereGOV",
ROUND(OFFSET($P472,0,AJ$13),15-13*ORÇAMENTO!$AF$7)/$H472*OFFSET(ORÇAMENTO!$X$15,ROW(AJ472)-ROW(AJ$15),0),
ROUND(ROUND(OFFSET($P472,0,AJ$13),15-13*ORÇAMENTO!$AF$7)*OFFSET(ORÇAMENTO!$W$15,ROW(AJ472)-ROW(AJ$15),0),15-13*ORÇAMENTO!$AF$11)),0)</f>
        <v>0</v>
      </c>
      <c r="AK472" s="545">
        <f ca="1">IF(AND($D472="Serviço",AK$12&lt;&gt;0,$H472&gt;0,OR(AUTOEVENTO&lt;&gt;"manual",$M472&lt;&gt;1)),
IF(Import.TipoArredondamento&lt;&gt;"TransfereGOV",
ROUND(OFFSET($P472,0,AK$13),15-13*ORÇAMENTO!$AF$7)/$H472*OFFSET(ORÇAMENTO!$X$15,ROW(AK472)-ROW(AK$15),0),
ROUND(ROUND(OFFSET($P472,0,AK$13),15-13*ORÇAMENTO!$AF$7)*OFFSET(ORÇAMENTO!$W$15,ROW(AK472)-ROW(AK$15),0),15-13*ORÇAMENTO!$AF$11)),0)</f>
        <v>0</v>
      </c>
      <c r="AL472" s="545">
        <f ca="1">IF(AND($D472="Serviço",AL$12&lt;&gt;0,$H472&gt;0,OR(AUTOEVENTO&lt;&gt;"manual",$M472&lt;&gt;1)),
IF(Import.TipoArredondamento&lt;&gt;"TransfereGOV",
ROUND(OFFSET($P472,0,AL$13),15-13*ORÇAMENTO!$AF$7)/$H472*OFFSET(ORÇAMENTO!$X$15,ROW(AL472)-ROW(AL$15),0),
ROUND(ROUND(OFFSET($P472,0,AL$13),15-13*ORÇAMENTO!$AF$7)*OFFSET(ORÇAMENTO!$W$15,ROW(AL472)-ROW(AL$15),0),15-13*ORÇAMENTO!$AF$11)),0)</f>
        <v>0</v>
      </c>
      <c r="AM472" s="545">
        <f ca="1">IF(AND($D472="Serviço",AM$12&lt;&gt;0,$H472&gt;0,OR(AUTOEVENTO&lt;&gt;"manual",$M472&lt;&gt;1)),
IF(Import.TipoArredondamento&lt;&gt;"TransfereGOV",
ROUND(OFFSET($P472,0,AM$13),15-13*ORÇAMENTO!$AF$7)/$H472*OFFSET(ORÇAMENTO!$X$15,ROW(AM472)-ROW(AM$15),0),
ROUND(ROUND(OFFSET($P472,0,AM$13),15-13*ORÇAMENTO!$AF$7)*OFFSET(ORÇAMENTO!$W$15,ROW(AM472)-ROW(AM$15),0),15-13*ORÇAMENTO!$AF$11)),0)</f>
        <v>0</v>
      </c>
      <c r="AN472" s="545">
        <f ca="1">IF(AND($D472="Serviço",AN$12&lt;&gt;0,$H472&gt;0,OR(AUTOEVENTO&lt;&gt;"manual",$M472&lt;&gt;1)),
IF(Import.TipoArredondamento&lt;&gt;"TransfereGOV",
ROUND(OFFSET($P472,0,AN$13),15-13*ORÇAMENTO!$AF$7)/$H472*OFFSET(ORÇAMENTO!$X$15,ROW(AN472)-ROW(AN$15),0),
ROUND(ROUND(OFFSET($P472,0,AN$13),15-13*ORÇAMENTO!$AF$7)*OFFSET(ORÇAMENTO!$W$15,ROW(AN472)-ROW(AN$15),0),15-13*ORÇAMENTO!$AF$11)),0)</f>
        <v>0</v>
      </c>
      <c r="AO472" s="545">
        <f ca="1">IF(AND($D472="Serviço",AO$12&lt;&gt;0,$H472&gt;0,OR(AUTOEVENTO&lt;&gt;"manual",$M472&lt;&gt;1)),
IF(Import.TipoArredondamento&lt;&gt;"TransfereGOV",
ROUND(OFFSET($P472,0,AO$13),15-13*ORÇAMENTO!$AF$7)/$H472*OFFSET(ORÇAMENTO!$X$15,ROW(AO472)-ROW(AO$15),0),
ROUND(ROUND(OFFSET($P472,0,AO$13),15-13*ORÇAMENTO!$AF$7)*OFFSET(ORÇAMENTO!$W$15,ROW(AO472)-ROW(AO$15),0),15-13*ORÇAMENTO!$AF$11)),0)</f>
        <v>0</v>
      </c>
      <c r="AP472" s="545">
        <f ca="1">IF(AND($D472="Serviço",AP$12&lt;&gt;0,$H472&gt;0,OR(AUTOEVENTO&lt;&gt;"manual",$M472&lt;&gt;1)),
IF(Import.TipoArredondamento&lt;&gt;"TransfereGOV",
ROUND(OFFSET($P472,0,AP$13),15-13*ORÇAMENTO!$AF$7)/$H472*OFFSET(ORÇAMENTO!$X$15,ROW(AP472)-ROW(AP$15),0),
ROUND(ROUND(OFFSET($P472,0,AP$13),15-13*ORÇAMENTO!$AF$7)*OFFSET(ORÇAMENTO!$W$15,ROW(AP472)-ROW(AP$15),0),15-13*ORÇAMENTO!$AF$11)),0)</f>
        <v>0</v>
      </c>
      <c r="AQ472" s="545">
        <f ca="1">IF(AND($D472="Serviço",AQ$12&lt;&gt;0,$H472&gt;0,OR(AUTOEVENTO&lt;&gt;"manual",$M472&lt;&gt;1)),
IF(Import.TipoArredondamento&lt;&gt;"TransfereGOV",
ROUND(OFFSET($P472,0,AQ$13),15-13*ORÇAMENTO!$AF$7)/$H472*OFFSET(ORÇAMENTO!$X$15,ROW(AQ472)-ROW(AQ$15),0),
ROUND(ROUND(OFFSET($P472,0,AQ$13),15-13*ORÇAMENTO!$AF$7)*OFFSET(ORÇAMENTO!$W$15,ROW(AQ472)-ROW(AQ$15),0),15-13*ORÇAMENTO!$AF$11)),0)</f>
        <v>0</v>
      </c>
      <c r="AR472" s="545">
        <f ca="1">IF(AND($D472="Serviço",AR$12&lt;&gt;0,$H472&gt;0,OR(AUTOEVENTO&lt;&gt;"manual",$M472&lt;&gt;1)),
IF(Import.TipoArredondamento&lt;&gt;"TransfereGOV",
ROUND(OFFSET($P472,0,AR$13),15-13*ORÇAMENTO!$AF$7)/$H472*OFFSET(ORÇAMENTO!$X$15,ROW(AR472)-ROW(AR$15),0),
ROUND(ROUND(OFFSET($P472,0,AR$13),15-13*ORÇAMENTO!$AF$7)*OFFSET(ORÇAMENTO!$W$15,ROW(AR472)-ROW(AR$15),0),15-13*ORÇAMENTO!$AF$11)),0)</f>
        <v>0</v>
      </c>
      <c r="AS472" s="546">
        <f ca="1">IF(AND($D472="Serviço",AS$12&lt;&gt;0,$H472&gt;0,OR(AUTOEVENTO&lt;&gt;"manual",$M472&lt;&gt;1)),
IF(Import.TipoArredondamento&lt;&gt;"TransfereGOV",
ROUND(OFFSET($P472,0,AS$13),15-13*ORÇAMENTO!$AF$7)/$H472*OFFSET(ORÇAMENTO!$X$15,ROW(AS472)-ROW(AS$15),0),
ROUND(ROUND(OFFSET($P472,0,AS$13),15-13*ORÇAMENTO!$AF$7)*OFFSET(ORÇAMENTO!$W$15,ROW(AS472)-ROW(AS$15),0),15-13*ORÇAMENTO!$AF$11)),0)</f>
        <v>0</v>
      </c>
      <c r="AT472" s="545">
        <f ca="1">IF(AND($D472="Serviço",AT$12&lt;&gt;0,$H472&gt;0,OR(AUTOEVENTO&lt;&gt;"manual",$M472&lt;&gt;1)),
IF(Import.TipoArredondamento&lt;&gt;"TransfereGOV",
ROUND(OFFSET($P472,0,AT$13),15-13*ORÇAMENTO!$AF$7)/$H472*OFFSET(ORÇAMENTO!$X$15,ROW(AT472)-ROW(AT$15),0),
ROUND(ROUND(OFFSET($P472,0,AT$13),15-13*ORÇAMENTO!$AF$7)*OFFSET(ORÇAMENTO!$W$15,ROW(AT472)-ROW(AT$15),0),15-13*ORÇAMENTO!$AF$11)),0)</f>
        <v>0</v>
      </c>
      <c r="AU472" s="545">
        <f ca="1">IF(AND($D472="Serviço",AU$12&lt;&gt;0,$H472&gt;0,OR(AUTOEVENTO&lt;&gt;"manual",$M472&lt;&gt;1)),
IF(Import.TipoArredondamento&lt;&gt;"TransfereGOV",
ROUND(OFFSET($P472,0,AU$13),15-13*ORÇAMENTO!$AF$7)/$H472*OFFSET(ORÇAMENTO!$X$15,ROW(AU472)-ROW(AU$15),0),
ROUND(ROUND(OFFSET($P472,0,AU$13),15-13*ORÇAMENTO!$AF$7)*OFFSET(ORÇAMENTO!$W$15,ROW(AU472)-ROW(AU$15),0),15-13*ORÇAMENTO!$AF$11)),0)</f>
        <v>0</v>
      </c>
      <c r="AV472" s="545">
        <f ca="1">IF(AND($D472="Serviço",AV$12&lt;&gt;0,$H472&gt;0,OR(AUTOEVENTO&lt;&gt;"manual",$M472&lt;&gt;1)),
IF(Import.TipoArredondamento&lt;&gt;"TransfereGOV",
ROUND(OFFSET($P472,0,AV$13),15-13*ORÇAMENTO!$AF$7)/$H472*OFFSET(ORÇAMENTO!$X$15,ROW(AV472)-ROW(AV$15),0),
ROUND(ROUND(OFFSET($P472,0,AV$13),15-13*ORÇAMENTO!$AF$7)*OFFSET(ORÇAMENTO!$W$15,ROW(AV472)-ROW(AV$15),0),15-13*ORÇAMENTO!$AF$11)),0)</f>
        <v>0</v>
      </c>
      <c r="AW472" s="545">
        <f ca="1">IF(AND($D472="Serviço",AW$12&lt;&gt;0,$H472&gt;0,OR(AUTOEVENTO&lt;&gt;"manual",$M472&lt;&gt;1)),
IF(Import.TipoArredondamento&lt;&gt;"TransfereGOV",
ROUND(OFFSET($P472,0,AW$13),15-13*ORÇAMENTO!$AF$7)/$H472*OFFSET(ORÇAMENTO!$X$15,ROW(AW472)-ROW(AW$15),0),
ROUND(ROUND(OFFSET($P472,0,AW$13),15-13*ORÇAMENTO!$AF$7)*OFFSET(ORÇAMENTO!$W$15,ROW(AW472)-ROW(AW$15),0),15-13*ORÇAMENTO!$AF$11)),0)</f>
        <v>0</v>
      </c>
      <c r="AX472" s="545">
        <f ca="1">IF(AND($D472="Serviço",AX$12&lt;&gt;0,$H472&gt;0,OR(AUTOEVENTO&lt;&gt;"manual",$M472&lt;&gt;1)),
IF(Import.TipoArredondamento&lt;&gt;"TransfereGOV",
ROUND(OFFSET($P472,0,AX$13),15-13*ORÇAMENTO!$AF$7)/$H472*OFFSET(ORÇAMENTO!$X$15,ROW(AX472)-ROW(AX$15),0),
ROUND(ROUND(OFFSET($P472,0,AX$13),15-13*ORÇAMENTO!$AF$7)*OFFSET(ORÇAMENTO!$W$15,ROW(AX472)-ROW(AX$15),0),15-13*ORÇAMENTO!$AF$11)),0)</f>
        <v>0</v>
      </c>
      <c r="AY472" s="545">
        <f ca="1">IF(AND($D472="Serviço",AY$12&lt;&gt;0,$H472&gt;0,OR(AUTOEVENTO&lt;&gt;"manual",$M472&lt;&gt;1)),
IF(Import.TipoArredondamento&lt;&gt;"TransfereGOV",
ROUND(OFFSET($P472,0,AY$13),15-13*ORÇAMENTO!$AF$7)/$H472*OFFSET(ORÇAMENTO!$X$15,ROW(AY472)-ROW(AY$15),0),
ROUND(ROUND(OFFSET($P472,0,AY$13),15-13*ORÇAMENTO!$AF$7)*OFFSET(ORÇAMENTO!$W$15,ROW(AY472)-ROW(AY$15),0),15-13*ORÇAMENTO!$AF$11)),0)</f>
        <v>0</v>
      </c>
      <c r="AZ472" s="545">
        <f ca="1">IF(AND($D472="Serviço",AZ$12&lt;&gt;0,$H472&gt;0,OR(AUTOEVENTO&lt;&gt;"manual",$M472&lt;&gt;1)),
IF(Import.TipoArredondamento&lt;&gt;"TransfereGOV",
ROUND(OFFSET($P472,0,AZ$13),15-13*ORÇAMENTO!$AF$7)/$H472*OFFSET(ORÇAMENTO!$X$15,ROW(AZ472)-ROW(AZ$15),0),
ROUND(ROUND(OFFSET($P472,0,AZ$13),15-13*ORÇAMENTO!$AF$7)*OFFSET(ORÇAMENTO!$W$15,ROW(AZ472)-ROW(AZ$15),0),15-13*ORÇAMENTO!$AF$11)),0)</f>
        <v>0</v>
      </c>
      <c r="BA472" s="546">
        <f ca="1">IF(AND($D472="Serviço",BA$12&lt;&gt;0,$H472&gt;0,OR(AUTOEVENTO&lt;&gt;"manual",$M472&lt;&gt;1)),
IF(Import.TipoArredondamento&lt;&gt;"TransfereGOV",
ROUND(OFFSET($P472,0,BA$13),15-13*ORÇAMENTO!$AF$7)/$H472*OFFSET(ORÇAMENTO!$X$15,ROW(BA472)-ROW(BA$15),0),
ROUND(ROUND(OFFSET($P472,0,BA$13),15-13*ORÇAMENTO!$AF$7)*OFFSET(ORÇAMENTO!$W$15,ROW(BA472)-ROW(BA$15),0),15-13*ORÇAMENTO!$AF$11)),0)</f>
        <v>0</v>
      </c>
      <c r="BC472" s="181">
        <f ca="1">IF($D472&lt;&gt;"Serviço",0,IF(AND(AUTOEVENTO="Manual",$M472=1),0,IF(OFFSET(CRONOPLE!$F$14,$M472,BC$13)="",10^12,OFFSET(CRONOPLE!$F$14,$M472,BC$13))))</f>
        <v>0</v>
      </c>
      <c r="BD472" s="181">
        <f ca="1">IF($D472&lt;&gt;"Serviço",0,IF(AND(AUTOEVENTO="Manual",$M472=1),0,IF(OFFSET(CRONOPLE!$F$14,$M472,BD$13)="",10^12,OFFSET(CRONOPLE!$F$14,$M472,BD$13))))</f>
        <v>0</v>
      </c>
      <c r="BE472" s="181">
        <f ca="1">IF($D472&lt;&gt;"Serviço",0,IF(AND(AUTOEVENTO="Manual",$M472=1),0,IF(OFFSET(CRONOPLE!$F$14,$M472,BE$13)="",10^12,OFFSET(CRONOPLE!$F$14,$M472,BE$13))))</f>
        <v>0</v>
      </c>
      <c r="BF472" s="181">
        <f ca="1">IF($D472&lt;&gt;"Serviço",0,IF(AND(AUTOEVENTO="Manual",$M472=1),0,IF(OFFSET(CRONOPLE!$F$14,$M472,BF$13)="",10^12,OFFSET(CRONOPLE!$F$14,$M472,BF$13))))</f>
        <v>0</v>
      </c>
      <c r="BG472" s="181">
        <f ca="1">IF($D472&lt;&gt;"Serviço",0,IF(AND(AUTOEVENTO="Manual",$M472=1),0,IF(OFFSET(CRONOPLE!$F$14,$M472,BG$13)="",10^12,OFFSET(CRONOPLE!$F$14,$M472,BG$13))))</f>
        <v>0</v>
      </c>
      <c r="BH472" s="181">
        <f ca="1">IF($D472&lt;&gt;"Serviço",0,IF(AND(AUTOEVENTO="Manual",$M472=1),0,IF(OFFSET(CRONOPLE!$F$14,$M472,BH$13)="",10^12,OFFSET(CRONOPLE!$F$14,$M472,BH$13))))</f>
        <v>0</v>
      </c>
      <c r="BI472" s="181">
        <f ca="1">IF($D472&lt;&gt;"Serviço",0,IF(AND(AUTOEVENTO="Manual",$M472=1),0,IF(OFFSET(CRONOPLE!$F$14,$M472,BI$13)="",10^12,OFFSET(CRONOPLE!$F$14,$M472,BI$13))))</f>
        <v>0</v>
      </c>
      <c r="BJ472" s="181">
        <f ca="1">IF($D472&lt;&gt;"Serviço",0,IF(AND(AUTOEVENTO="Manual",$M472=1),0,IF(OFFSET(CRONOPLE!$F$14,$M472,BJ$13)="",10^12,OFFSET(CRONOPLE!$F$14,$M472,BJ$13))))</f>
        <v>0</v>
      </c>
      <c r="BK472" s="181">
        <f ca="1">IF($D472&lt;&gt;"Serviço",0,IF(AND(AUTOEVENTO="Manual",$M472=1),0,IF(OFFSET(CRONOPLE!$F$14,$M472,BK$13)="",10^12,OFFSET(CRONOPLE!$F$14,$M472,BK$13))))</f>
        <v>0</v>
      </c>
      <c r="BL472" s="181">
        <f ca="1">IF($D472&lt;&gt;"Serviço",0,IF(AND(AUTOEVENTO="Manual",$M472=1),0,IF(OFFSET(CRONOPLE!$F$14,$M472,BL$13)="",10^12,OFFSET(CRONOPLE!$F$14,$M472,BL$13))))</f>
        <v>0</v>
      </c>
      <c r="BM472" s="181">
        <f ca="1">IF($D472&lt;&gt;"Serviço",0,IF(AND(AUTOEVENTO="Manual",$M472=1),0,IF(OFFSET(CRONOPLE!$F$14,$M472,BM$13)="",10^12,OFFSET(CRONOPLE!$F$14,$M472,BM$13))))</f>
        <v>0</v>
      </c>
      <c r="BN472" s="181">
        <f ca="1">IF($D472&lt;&gt;"Serviço",0,IF(AND(AUTOEVENTO="Manual",$M472=1),0,IF(OFFSET(CRONOPLE!$F$14,$M472,BN$13)="",10^12,OFFSET(CRONOPLE!$F$14,$M472,BN$13))))</f>
        <v>0</v>
      </c>
      <c r="BO472" s="181">
        <f ca="1">IF($D472&lt;&gt;"Serviço",0,IF(AND(AUTOEVENTO="Manual",$M472=1),0,IF(OFFSET(CRONOPLE!$F$14,$M472,BO$13)="",10^12,OFFSET(CRONOPLE!$F$14,$M472,BO$13))))</f>
        <v>0</v>
      </c>
      <c r="BP472" s="181">
        <f ca="1">IF($D472&lt;&gt;"Serviço",0,IF(AND(AUTOEVENTO="Manual",$M472=1),0,IF(OFFSET(CRONOPLE!$F$14,$M472,BP$13)="",10^12,OFFSET(CRONOPLE!$F$14,$M472,BP$13))))</f>
        <v>0</v>
      </c>
      <c r="BQ472" s="181">
        <f ca="1">IF($D472&lt;&gt;"Serviço",0,IF(AND(AUTOEVENTO="Manual",$M472=1),0,IF(OFFSET(CRONOPLE!$F$14,$M472,BQ$13)="",10^12,OFFSET(CRONOPLE!$F$14,$M472,BQ$13))))</f>
        <v>0</v>
      </c>
      <c r="BR472" s="181">
        <f ca="1">IF($D472&lt;&gt;"Serviço",0,IF(AND(AUTOEVENTO="Manual",$M472=1),0,IF(OFFSET(CRONOPLE!$F$14,$M472,BR$13)="",10^12,OFFSET(CRONOPLE!$F$14,$M472,BR$13))))</f>
        <v>0</v>
      </c>
      <c r="BS472" s="181">
        <f ca="1">IF($D472&lt;&gt;"Serviço",0,IF(AND(AUTOEVENTO="Manual",$M472=1),0,IF(OFFSET(CRONOPLE!$F$14,$M472,BS$13)="",10^12,OFFSET(CRONOPLE!$F$14,$M472,BS$13))))</f>
        <v>0</v>
      </c>
      <c r="BT472" s="181">
        <f ca="1">IF($D472&lt;&gt;"Serviço",0,IF(AND(AUTOEVENTO="Manual",$M472=1),0,IF(OFFSET(CRONOPLE!$F$14,$M472,BT$13)="",10^12,OFFSET(CRONOPLE!$F$14,$M472,BT$13))))</f>
        <v>0</v>
      </c>
      <c r="BV472" s="182">
        <f ca="1">IF($D472&lt;&gt;"Serviço",0,IF(OR(AND(AUTOEVENTO="Manual",$M472=1),$M472&gt;(ROW(PLE.lastrow)-ROW(PLE.firstrow))),0,IF(OFFSET(PLE!$G$14,$M472,BV$13)="",10^12,OFFSET(PLE!$G$14,$M472,BV$13))))</f>
        <v>0</v>
      </c>
      <c r="BW472" s="182">
        <f ca="1">IF($D472&lt;&gt;"Serviço",0,IF(OR(AND(AUTOEVENTO="Manual",$M472=1),$M472&gt;(ROW(PLE.lastrow)-ROW(PLE.firstrow))),0,IF(OFFSET(PLE!$G$14,$M472,BW$13)="",10^12,OFFSET(PLE!$G$14,$M472,BW$13))))</f>
        <v>0</v>
      </c>
      <c r="BX472" s="182">
        <f ca="1">IF($D472&lt;&gt;"Serviço",0,IF(OR(AND(AUTOEVENTO="Manual",$M472=1),$M472&gt;(ROW(PLE.lastrow)-ROW(PLE.firstrow))),0,IF(OFFSET(PLE!$G$14,$M472,BX$13)="",10^12,OFFSET(PLE!$G$14,$M472,BX$13))))</f>
        <v>0</v>
      </c>
      <c r="BY472" s="182">
        <f ca="1">IF($D472&lt;&gt;"Serviço",0,IF(OR(AND(AUTOEVENTO="Manual",$M472=1),$M472&gt;(ROW(PLE.lastrow)-ROW(PLE.firstrow))),0,IF(OFFSET(PLE!$G$14,$M472,BY$13)="",10^12,OFFSET(PLE!$G$14,$M472,BY$13))))</f>
        <v>0</v>
      </c>
      <c r="BZ472" s="182">
        <f ca="1">IF($D472&lt;&gt;"Serviço",0,IF(OR(AND(AUTOEVENTO="Manual",$M472=1),$M472&gt;(ROW(PLE.lastrow)-ROW(PLE.firstrow))),0,IF(OFFSET(PLE!$G$14,$M472,BZ$13)="",10^12,OFFSET(PLE!$G$14,$M472,BZ$13))))</f>
        <v>0</v>
      </c>
      <c r="CA472" s="182">
        <f ca="1">IF($D472&lt;&gt;"Serviço",0,IF(OR(AND(AUTOEVENTO="Manual",$M472=1),$M472&gt;(ROW(PLE.lastrow)-ROW(PLE.firstrow))),0,IF(OFFSET(PLE!$G$14,$M472,CA$13)="",10^12,OFFSET(PLE!$G$14,$M472,CA$13))))</f>
        <v>0</v>
      </c>
      <c r="CB472" s="182">
        <f ca="1">IF($D472&lt;&gt;"Serviço",0,IF(OR(AND(AUTOEVENTO="Manual",$M472=1),$M472&gt;(ROW(PLE.lastrow)-ROW(PLE.firstrow))),0,IF(OFFSET(PLE!$G$14,$M472,CB$13)="",10^12,OFFSET(PLE!$G$14,$M472,CB$13))))</f>
        <v>0</v>
      </c>
      <c r="CC472" s="182">
        <f ca="1">IF($D472&lt;&gt;"Serviço",0,IF(OR(AND(AUTOEVENTO="Manual",$M472=1),$M472&gt;(ROW(PLE.lastrow)-ROW(PLE.firstrow))),0,IF(OFFSET(PLE!$G$14,$M472,CC$13)="",10^12,OFFSET(PLE!$G$14,$M472,CC$13))))</f>
        <v>0</v>
      </c>
      <c r="CD472" s="182">
        <f ca="1">IF($D472&lt;&gt;"Serviço",0,IF(OR(AND(AUTOEVENTO="Manual",$M472=1),$M472&gt;(ROW(PLE.lastrow)-ROW(PLE.firstrow))),0,IF(OFFSET(PLE!$G$14,$M472,CD$13)="",10^12,OFFSET(PLE!$G$14,$M472,CD$13))))</f>
        <v>0</v>
      </c>
      <c r="CE472" s="182">
        <f ca="1">IF($D472&lt;&gt;"Serviço",0,IF(OR(AND(AUTOEVENTO="Manual",$M472=1),$M472&gt;(ROW(PLE.lastrow)-ROW(PLE.firstrow))),0,IF(OFFSET(PLE!$G$14,$M472,CE$13)="",10^12,OFFSET(PLE!$G$14,$M472,CE$13))))</f>
        <v>0</v>
      </c>
      <c r="CF472" s="182">
        <f ca="1">IF($D472&lt;&gt;"Serviço",0,IF(OR(AND(AUTOEVENTO="Manual",$M472=1),$M472&gt;(ROW(PLE.lastrow)-ROW(PLE.firstrow))),0,IF(OFFSET(PLE!$G$14,$M472,CF$13)="",10^12,OFFSET(PLE!$G$14,$M472,CF$13))))</f>
        <v>0</v>
      </c>
      <c r="CG472" s="182">
        <f ca="1">IF($D472&lt;&gt;"Serviço",0,IF(OR(AND(AUTOEVENTO="Manual",$M472=1),$M472&gt;(ROW(PLE.lastrow)-ROW(PLE.firstrow))),0,IF(OFFSET(PLE!$G$14,$M472,CG$13)="",10^12,OFFSET(PLE!$G$14,$M472,CG$13))))</f>
        <v>0</v>
      </c>
      <c r="CH472" s="182">
        <f ca="1">IF($D472&lt;&gt;"Serviço",0,IF(OR(AND(AUTOEVENTO="Manual",$M472=1),$M472&gt;(ROW(PLE.lastrow)-ROW(PLE.firstrow))),0,IF(OFFSET(PLE!$G$14,$M472,CH$13)="",10^12,OFFSET(PLE!$G$14,$M472,CH$13))))</f>
        <v>0</v>
      </c>
      <c r="CI472" s="182">
        <f ca="1">IF($D472&lt;&gt;"Serviço",0,IF(OR(AND(AUTOEVENTO="Manual",$M472=1),$M472&gt;(ROW(PLE.lastrow)-ROW(PLE.firstrow))),0,IF(OFFSET(PLE!$G$14,$M472,CI$13)="",10^12,OFFSET(PLE!$G$14,$M472,CI$13))))</f>
        <v>0</v>
      </c>
      <c r="CJ472" s="182">
        <f ca="1">IF($D472&lt;&gt;"Serviço",0,IF(OR(AND(AUTOEVENTO="Manual",$M472=1),$M472&gt;(ROW(PLE.lastrow)-ROW(PLE.firstrow))),0,IF(OFFSET(PLE!$G$14,$M472,CJ$13)="",10^12,OFFSET(PLE!$G$14,$M472,CJ$13))))</f>
        <v>0</v>
      </c>
      <c r="CK472" s="182">
        <f ca="1">IF($D472&lt;&gt;"Serviço",0,IF(OR(AND(AUTOEVENTO="Manual",$M472=1),$M472&gt;(ROW(PLE.lastrow)-ROW(PLE.firstrow))),0,IF(OFFSET(PLE!$G$14,$M472,CK$13)="",10^12,OFFSET(PLE!$G$14,$M472,CK$13))))</f>
        <v>0</v>
      </c>
      <c r="CL472" s="182">
        <f ca="1">IF($D472&lt;&gt;"Serviço",0,IF(OR(AND(AUTOEVENTO="Manual",$M472=1),$M472&gt;(ROW(PLE.lastrow)-ROW(PLE.firstrow))),0,IF(OFFSET(PLE!$G$14,$M472,CL$13)="",10^12,OFFSET(PLE!$G$14,$M472,CL$13))))</f>
        <v>0</v>
      </c>
      <c r="CM472" s="182">
        <f ca="1">IF($D472&lt;&gt;"Serviço",0,IF(OR(AND(AUTOEVENTO="Manual",$M472=1),$M472&gt;(ROW(PLE.lastrow)-ROW(PLE.firstrow))),0,IF(OFFSET(PLE!$G$14,$M472,CM$13)="",10^12,OFFSET(PLE!$G$14,$M472,CM$13))))</f>
        <v>0</v>
      </c>
    </row>
    <row r="473" spans="1:91" ht="38.25" x14ac:dyDescent="0.2">
      <c r="A473" s="7" t="str">
        <f t="shared" ca="1" si="16"/>
        <v>457</v>
      </c>
      <c r="B473" s="7" t="str">
        <f ca="1">OFFSET(ORÇAMENTO!C$15,ROW(B473)-ROW(B$15),0)</f>
        <v>S</v>
      </c>
      <c r="C473" s="7" t="str">
        <f ca="1">OFFSET(ORÇAMENTO!L$15,ROW(C473)-ROW(C$15),0)</f>
        <v/>
      </c>
      <c r="D473" s="118" t="str">
        <f ca="1">OFFSET(ORÇAMENTO!N$15,ROW(D473)-ROW(D$15),0)</f>
        <v>Serviço</v>
      </c>
      <c r="E473" s="119" t="str">
        <f ca="1">OFFSET(ORÇAMENTO!O$15,ROW(E473)-ROW(E$15),0)</f>
        <v>-</v>
      </c>
      <c r="F473" s="172" t="str">
        <f ca="1">OFFSET(ORÇAMENTO!R$15,ROW(F473)-ROW(F$15),0)</f>
        <v>(abra o arquivo 'Referência 06-2024.xlsm)</v>
      </c>
      <c r="G473" s="173" t="str">
        <f ca="1">IF($D473&lt;&gt;"Serviço","",OFFSET(ORÇAMENTO!S$15,ROW(G473)-ROW(G$15),0))</f>
        <v>-</v>
      </c>
      <c r="H473" s="124">
        <f ca="1">IF($D473&lt;&gt;"Serviço",0,IF(ACOMPANHAMENTO="BM",ROUND(OFFSET(ORÇAMENTO!AJ$15,ROW(H473)-ROW(H$15),0),15-13*ORÇAMENTO!$AF$7),SUMPRODUCT(($Q$12:$AI$12&lt;&gt;"")*ROUND($Q473:$AI473,15-13*ORÇAMENTO!$AF$7))))</f>
        <v>36</v>
      </c>
      <c r="I473" s="561" t="s">
        <v>1107</v>
      </c>
      <c r="K473" s="174"/>
      <c r="L473" s="175" t="s">
        <v>255</v>
      </c>
      <c r="M473" s="176">
        <f ca="1">IF($D473&lt;&gt;"Serviço","",IF(AUTOEVENTO="manual",$A473,IF(ISERROR(MATCH($A473,$A$15:OFFSET($A473,-1,0),0)),MAX($M$15:OFFSET(M473,-1,0))+1,INDEX($M$15:OFFSET(M473,-1,0),MATCH($A473,$A$15:OFFSET($A473,-1,0),0)))))</f>
        <v>50</v>
      </c>
      <c r="N473" s="177" t="str">
        <f ca="1">IF($D473&lt;&gt;"Serviço","",IF(AUTOEVENTO="Manual",IF($A473=0,"&lt;-- defina o número do agrupador",OFFSET(EVENTOS!$D$14,$A473,0)),OFFSET($F$15,$A473,0)))</f>
        <v>SISTEMA DE PROTEÇÃO CONTRA INCÊNDIO - SINALIZAÇÕES</v>
      </c>
      <c r="O473" s="178"/>
      <c r="Q473" s="178">
        <v>36</v>
      </c>
      <c r="R473" s="179"/>
      <c r="S473" s="179"/>
      <c r="T473" s="179"/>
      <c r="U473" s="179"/>
      <c r="V473" s="179"/>
      <c r="W473" s="179"/>
      <c r="X473" s="179"/>
      <c r="Y473" s="179"/>
      <c r="Z473" s="180"/>
      <c r="AA473" s="179"/>
      <c r="AB473" s="179"/>
      <c r="AC473" s="179"/>
      <c r="AD473" s="179"/>
      <c r="AE473" s="179"/>
      <c r="AF473" s="179"/>
      <c r="AG473" s="179"/>
      <c r="AH473" s="180"/>
      <c r="AJ473" s="544">
        <f ca="1">IF(AND($D473="Serviço",AJ$12&lt;&gt;0,$H473&gt;0,OR(AUTOEVENTO&lt;&gt;"manual",$M473&lt;&gt;1)),
IF(Import.TipoArredondamento&lt;&gt;"TransfereGOV",
ROUND(OFFSET($P473,0,AJ$13),15-13*ORÇAMENTO!$AF$7)/$H473*OFFSET(ORÇAMENTO!$X$15,ROW(AJ473)-ROW(AJ$15),0),
ROUND(ROUND(OFFSET($P473,0,AJ$13),15-13*ORÇAMENTO!$AF$7)*OFFSET(ORÇAMENTO!$W$15,ROW(AJ473)-ROW(AJ$15),0),15-13*ORÇAMENTO!$AF$11)),0)</f>
        <v>0</v>
      </c>
      <c r="AK473" s="545">
        <f ca="1">IF(AND($D473="Serviço",AK$12&lt;&gt;0,$H473&gt;0,OR(AUTOEVENTO&lt;&gt;"manual",$M473&lt;&gt;1)),
IF(Import.TipoArredondamento&lt;&gt;"TransfereGOV",
ROUND(OFFSET($P473,0,AK$13),15-13*ORÇAMENTO!$AF$7)/$H473*OFFSET(ORÇAMENTO!$X$15,ROW(AK473)-ROW(AK$15),0),
ROUND(ROUND(OFFSET($P473,0,AK$13),15-13*ORÇAMENTO!$AF$7)*OFFSET(ORÇAMENTO!$W$15,ROW(AK473)-ROW(AK$15),0),15-13*ORÇAMENTO!$AF$11)),0)</f>
        <v>0</v>
      </c>
      <c r="AL473" s="545">
        <f ca="1">IF(AND($D473="Serviço",AL$12&lt;&gt;0,$H473&gt;0,OR(AUTOEVENTO&lt;&gt;"manual",$M473&lt;&gt;1)),
IF(Import.TipoArredondamento&lt;&gt;"TransfereGOV",
ROUND(OFFSET($P473,0,AL$13),15-13*ORÇAMENTO!$AF$7)/$H473*OFFSET(ORÇAMENTO!$X$15,ROW(AL473)-ROW(AL$15),0),
ROUND(ROUND(OFFSET($P473,0,AL$13),15-13*ORÇAMENTO!$AF$7)*OFFSET(ORÇAMENTO!$W$15,ROW(AL473)-ROW(AL$15),0),15-13*ORÇAMENTO!$AF$11)),0)</f>
        <v>0</v>
      </c>
      <c r="AM473" s="545">
        <f ca="1">IF(AND($D473="Serviço",AM$12&lt;&gt;0,$H473&gt;0,OR(AUTOEVENTO&lt;&gt;"manual",$M473&lt;&gt;1)),
IF(Import.TipoArredondamento&lt;&gt;"TransfereGOV",
ROUND(OFFSET($P473,0,AM$13),15-13*ORÇAMENTO!$AF$7)/$H473*OFFSET(ORÇAMENTO!$X$15,ROW(AM473)-ROW(AM$15),0),
ROUND(ROUND(OFFSET($P473,0,AM$13),15-13*ORÇAMENTO!$AF$7)*OFFSET(ORÇAMENTO!$W$15,ROW(AM473)-ROW(AM$15),0),15-13*ORÇAMENTO!$AF$11)),0)</f>
        <v>0</v>
      </c>
      <c r="AN473" s="545">
        <f ca="1">IF(AND($D473="Serviço",AN$12&lt;&gt;0,$H473&gt;0,OR(AUTOEVENTO&lt;&gt;"manual",$M473&lt;&gt;1)),
IF(Import.TipoArredondamento&lt;&gt;"TransfereGOV",
ROUND(OFFSET($P473,0,AN$13),15-13*ORÇAMENTO!$AF$7)/$H473*OFFSET(ORÇAMENTO!$X$15,ROW(AN473)-ROW(AN$15),0),
ROUND(ROUND(OFFSET($P473,0,AN$13),15-13*ORÇAMENTO!$AF$7)*OFFSET(ORÇAMENTO!$W$15,ROW(AN473)-ROW(AN$15),0),15-13*ORÇAMENTO!$AF$11)),0)</f>
        <v>0</v>
      </c>
      <c r="AO473" s="545">
        <f ca="1">IF(AND($D473="Serviço",AO$12&lt;&gt;0,$H473&gt;0,OR(AUTOEVENTO&lt;&gt;"manual",$M473&lt;&gt;1)),
IF(Import.TipoArredondamento&lt;&gt;"TransfereGOV",
ROUND(OFFSET($P473,0,AO$13),15-13*ORÇAMENTO!$AF$7)/$H473*OFFSET(ORÇAMENTO!$X$15,ROW(AO473)-ROW(AO$15),0),
ROUND(ROUND(OFFSET($P473,0,AO$13),15-13*ORÇAMENTO!$AF$7)*OFFSET(ORÇAMENTO!$W$15,ROW(AO473)-ROW(AO$15),0),15-13*ORÇAMENTO!$AF$11)),0)</f>
        <v>0</v>
      </c>
      <c r="AP473" s="545">
        <f ca="1">IF(AND($D473="Serviço",AP$12&lt;&gt;0,$H473&gt;0,OR(AUTOEVENTO&lt;&gt;"manual",$M473&lt;&gt;1)),
IF(Import.TipoArredondamento&lt;&gt;"TransfereGOV",
ROUND(OFFSET($P473,0,AP$13),15-13*ORÇAMENTO!$AF$7)/$H473*OFFSET(ORÇAMENTO!$X$15,ROW(AP473)-ROW(AP$15),0),
ROUND(ROUND(OFFSET($P473,0,AP$13),15-13*ORÇAMENTO!$AF$7)*OFFSET(ORÇAMENTO!$W$15,ROW(AP473)-ROW(AP$15),0),15-13*ORÇAMENTO!$AF$11)),0)</f>
        <v>0</v>
      </c>
      <c r="AQ473" s="545">
        <f ca="1">IF(AND($D473="Serviço",AQ$12&lt;&gt;0,$H473&gt;0,OR(AUTOEVENTO&lt;&gt;"manual",$M473&lt;&gt;1)),
IF(Import.TipoArredondamento&lt;&gt;"TransfereGOV",
ROUND(OFFSET($P473,0,AQ$13),15-13*ORÇAMENTO!$AF$7)/$H473*OFFSET(ORÇAMENTO!$X$15,ROW(AQ473)-ROW(AQ$15),0),
ROUND(ROUND(OFFSET($P473,0,AQ$13),15-13*ORÇAMENTO!$AF$7)*OFFSET(ORÇAMENTO!$W$15,ROW(AQ473)-ROW(AQ$15),0),15-13*ORÇAMENTO!$AF$11)),0)</f>
        <v>0</v>
      </c>
      <c r="AR473" s="545">
        <f ca="1">IF(AND($D473="Serviço",AR$12&lt;&gt;0,$H473&gt;0,OR(AUTOEVENTO&lt;&gt;"manual",$M473&lt;&gt;1)),
IF(Import.TipoArredondamento&lt;&gt;"TransfereGOV",
ROUND(OFFSET($P473,0,AR$13),15-13*ORÇAMENTO!$AF$7)/$H473*OFFSET(ORÇAMENTO!$X$15,ROW(AR473)-ROW(AR$15),0),
ROUND(ROUND(OFFSET($P473,0,AR$13),15-13*ORÇAMENTO!$AF$7)*OFFSET(ORÇAMENTO!$W$15,ROW(AR473)-ROW(AR$15),0),15-13*ORÇAMENTO!$AF$11)),0)</f>
        <v>0</v>
      </c>
      <c r="AS473" s="546">
        <f ca="1">IF(AND($D473="Serviço",AS$12&lt;&gt;0,$H473&gt;0,OR(AUTOEVENTO&lt;&gt;"manual",$M473&lt;&gt;1)),
IF(Import.TipoArredondamento&lt;&gt;"TransfereGOV",
ROUND(OFFSET($P473,0,AS$13),15-13*ORÇAMENTO!$AF$7)/$H473*OFFSET(ORÇAMENTO!$X$15,ROW(AS473)-ROW(AS$15),0),
ROUND(ROUND(OFFSET($P473,0,AS$13),15-13*ORÇAMENTO!$AF$7)*OFFSET(ORÇAMENTO!$W$15,ROW(AS473)-ROW(AS$15),0),15-13*ORÇAMENTO!$AF$11)),0)</f>
        <v>0</v>
      </c>
      <c r="AT473" s="545">
        <f ca="1">IF(AND($D473="Serviço",AT$12&lt;&gt;0,$H473&gt;0,OR(AUTOEVENTO&lt;&gt;"manual",$M473&lt;&gt;1)),
IF(Import.TipoArredondamento&lt;&gt;"TransfereGOV",
ROUND(OFFSET($P473,0,AT$13),15-13*ORÇAMENTO!$AF$7)/$H473*OFFSET(ORÇAMENTO!$X$15,ROW(AT473)-ROW(AT$15),0),
ROUND(ROUND(OFFSET($P473,0,AT$13),15-13*ORÇAMENTO!$AF$7)*OFFSET(ORÇAMENTO!$W$15,ROW(AT473)-ROW(AT$15),0),15-13*ORÇAMENTO!$AF$11)),0)</f>
        <v>0</v>
      </c>
      <c r="AU473" s="545">
        <f ca="1">IF(AND($D473="Serviço",AU$12&lt;&gt;0,$H473&gt;0,OR(AUTOEVENTO&lt;&gt;"manual",$M473&lt;&gt;1)),
IF(Import.TipoArredondamento&lt;&gt;"TransfereGOV",
ROUND(OFFSET($P473,0,AU$13),15-13*ORÇAMENTO!$AF$7)/$H473*OFFSET(ORÇAMENTO!$X$15,ROW(AU473)-ROW(AU$15),0),
ROUND(ROUND(OFFSET($P473,0,AU$13),15-13*ORÇAMENTO!$AF$7)*OFFSET(ORÇAMENTO!$W$15,ROW(AU473)-ROW(AU$15),0),15-13*ORÇAMENTO!$AF$11)),0)</f>
        <v>0</v>
      </c>
      <c r="AV473" s="545">
        <f ca="1">IF(AND($D473="Serviço",AV$12&lt;&gt;0,$H473&gt;0,OR(AUTOEVENTO&lt;&gt;"manual",$M473&lt;&gt;1)),
IF(Import.TipoArredondamento&lt;&gt;"TransfereGOV",
ROUND(OFFSET($P473,0,AV$13),15-13*ORÇAMENTO!$AF$7)/$H473*OFFSET(ORÇAMENTO!$X$15,ROW(AV473)-ROW(AV$15),0),
ROUND(ROUND(OFFSET($P473,0,AV$13),15-13*ORÇAMENTO!$AF$7)*OFFSET(ORÇAMENTO!$W$15,ROW(AV473)-ROW(AV$15),0),15-13*ORÇAMENTO!$AF$11)),0)</f>
        <v>0</v>
      </c>
      <c r="AW473" s="545">
        <f ca="1">IF(AND($D473="Serviço",AW$12&lt;&gt;0,$H473&gt;0,OR(AUTOEVENTO&lt;&gt;"manual",$M473&lt;&gt;1)),
IF(Import.TipoArredondamento&lt;&gt;"TransfereGOV",
ROUND(OFFSET($P473,0,AW$13),15-13*ORÇAMENTO!$AF$7)/$H473*OFFSET(ORÇAMENTO!$X$15,ROW(AW473)-ROW(AW$15),0),
ROUND(ROUND(OFFSET($P473,0,AW$13),15-13*ORÇAMENTO!$AF$7)*OFFSET(ORÇAMENTO!$W$15,ROW(AW473)-ROW(AW$15),0),15-13*ORÇAMENTO!$AF$11)),0)</f>
        <v>0</v>
      </c>
      <c r="AX473" s="545">
        <f ca="1">IF(AND($D473="Serviço",AX$12&lt;&gt;0,$H473&gt;0,OR(AUTOEVENTO&lt;&gt;"manual",$M473&lt;&gt;1)),
IF(Import.TipoArredondamento&lt;&gt;"TransfereGOV",
ROUND(OFFSET($P473,0,AX$13),15-13*ORÇAMENTO!$AF$7)/$H473*OFFSET(ORÇAMENTO!$X$15,ROW(AX473)-ROW(AX$15),0),
ROUND(ROUND(OFFSET($P473,0,AX$13),15-13*ORÇAMENTO!$AF$7)*OFFSET(ORÇAMENTO!$W$15,ROW(AX473)-ROW(AX$15),0),15-13*ORÇAMENTO!$AF$11)),0)</f>
        <v>0</v>
      </c>
      <c r="AY473" s="545">
        <f ca="1">IF(AND($D473="Serviço",AY$12&lt;&gt;0,$H473&gt;0,OR(AUTOEVENTO&lt;&gt;"manual",$M473&lt;&gt;1)),
IF(Import.TipoArredondamento&lt;&gt;"TransfereGOV",
ROUND(OFFSET($P473,0,AY$13),15-13*ORÇAMENTO!$AF$7)/$H473*OFFSET(ORÇAMENTO!$X$15,ROW(AY473)-ROW(AY$15),0),
ROUND(ROUND(OFFSET($P473,0,AY$13),15-13*ORÇAMENTO!$AF$7)*OFFSET(ORÇAMENTO!$W$15,ROW(AY473)-ROW(AY$15),0),15-13*ORÇAMENTO!$AF$11)),0)</f>
        <v>0</v>
      </c>
      <c r="AZ473" s="545">
        <f ca="1">IF(AND($D473="Serviço",AZ$12&lt;&gt;0,$H473&gt;0,OR(AUTOEVENTO&lt;&gt;"manual",$M473&lt;&gt;1)),
IF(Import.TipoArredondamento&lt;&gt;"TransfereGOV",
ROUND(OFFSET($P473,0,AZ$13),15-13*ORÇAMENTO!$AF$7)/$H473*OFFSET(ORÇAMENTO!$X$15,ROW(AZ473)-ROW(AZ$15),0),
ROUND(ROUND(OFFSET($P473,0,AZ$13),15-13*ORÇAMENTO!$AF$7)*OFFSET(ORÇAMENTO!$W$15,ROW(AZ473)-ROW(AZ$15),0),15-13*ORÇAMENTO!$AF$11)),0)</f>
        <v>0</v>
      </c>
      <c r="BA473" s="546">
        <f ca="1">IF(AND($D473="Serviço",BA$12&lt;&gt;0,$H473&gt;0,OR(AUTOEVENTO&lt;&gt;"manual",$M473&lt;&gt;1)),
IF(Import.TipoArredondamento&lt;&gt;"TransfereGOV",
ROUND(OFFSET($P473,0,BA$13),15-13*ORÇAMENTO!$AF$7)/$H473*OFFSET(ORÇAMENTO!$X$15,ROW(BA473)-ROW(BA$15),0),
ROUND(ROUND(OFFSET($P473,0,BA$13),15-13*ORÇAMENTO!$AF$7)*OFFSET(ORÇAMENTO!$W$15,ROW(BA473)-ROW(BA$15),0),15-13*ORÇAMENTO!$AF$11)),0)</f>
        <v>0</v>
      </c>
      <c r="BC473" s="181">
        <f ca="1">IF($D473&lt;&gt;"Serviço",0,IF(AND(AUTOEVENTO="Manual",$M473=1),0,IF(OFFSET(CRONOPLE!$F$14,$M473,BC$13)="",10^12,OFFSET(CRONOPLE!$F$14,$M473,BC$13))))</f>
        <v>10</v>
      </c>
      <c r="BD473" s="181">
        <f ca="1">IF($D473&lt;&gt;"Serviço",0,IF(AND(AUTOEVENTO="Manual",$M473=1),0,IF(OFFSET(CRONOPLE!$F$14,$M473,BD$13)="",10^12,OFFSET(CRONOPLE!$F$14,$M473,BD$13))))</f>
        <v>1000000000000</v>
      </c>
      <c r="BE473" s="181">
        <f ca="1">IF($D473&lt;&gt;"Serviço",0,IF(AND(AUTOEVENTO="Manual",$M473=1),0,IF(OFFSET(CRONOPLE!$F$14,$M473,BE$13)="",10^12,OFFSET(CRONOPLE!$F$14,$M473,BE$13))))</f>
        <v>1000000000000</v>
      </c>
      <c r="BF473" s="181">
        <f ca="1">IF($D473&lt;&gt;"Serviço",0,IF(AND(AUTOEVENTO="Manual",$M473=1),0,IF(OFFSET(CRONOPLE!$F$14,$M473,BF$13)="",10^12,OFFSET(CRONOPLE!$F$14,$M473,BF$13))))</f>
        <v>1000000000000</v>
      </c>
      <c r="BG473" s="181">
        <f ca="1">IF($D473&lt;&gt;"Serviço",0,IF(AND(AUTOEVENTO="Manual",$M473=1),0,IF(OFFSET(CRONOPLE!$F$14,$M473,BG$13)="",10^12,OFFSET(CRONOPLE!$F$14,$M473,BG$13))))</f>
        <v>1000000000000</v>
      </c>
      <c r="BH473" s="181">
        <f ca="1">IF($D473&lt;&gt;"Serviço",0,IF(AND(AUTOEVENTO="Manual",$M473=1),0,IF(OFFSET(CRONOPLE!$F$14,$M473,BH$13)="",10^12,OFFSET(CRONOPLE!$F$14,$M473,BH$13))))</f>
        <v>1000000000000</v>
      </c>
      <c r="BI473" s="181">
        <f ca="1">IF($D473&lt;&gt;"Serviço",0,IF(AND(AUTOEVENTO="Manual",$M473=1),0,IF(OFFSET(CRONOPLE!$F$14,$M473,BI$13)="",10^12,OFFSET(CRONOPLE!$F$14,$M473,BI$13))))</f>
        <v>1000000000000</v>
      </c>
      <c r="BJ473" s="181">
        <f ca="1">IF($D473&lt;&gt;"Serviço",0,IF(AND(AUTOEVENTO="Manual",$M473=1),0,IF(OFFSET(CRONOPLE!$F$14,$M473,BJ$13)="",10^12,OFFSET(CRONOPLE!$F$14,$M473,BJ$13))))</f>
        <v>1000000000000</v>
      </c>
      <c r="BK473" s="181">
        <f ca="1">IF($D473&lt;&gt;"Serviço",0,IF(AND(AUTOEVENTO="Manual",$M473=1),0,IF(OFFSET(CRONOPLE!$F$14,$M473,BK$13)="",10^12,OFFSET(CRONOPLE!$F$14,$M473,BK$13))))</f>
        <v>1000000000000</v>
      </c>
      <c r="BL473" s="181">
        <f ca="1">IF($D473&lt;&gt;"Serviço",0,IF(AND(AUTOEVENTO="Manual",$M473=1),0,IF(OFFSET(CRONOPLE!$F$14,$M473,BL$13)="",10^12,OFFSET(CRONOPLE!$F$14,$M473,BL$13))))</f>
        <v>1000000000000</v>
      </c>
      <c r="BM473" s="181">
        <f ca="1">IF($D473&lt;&gt;"Serviço",0,IF(AND(AUTOEVENTO="Manual",$M473=1),0,IF(OFFSET(CRONOPLE!$F$14,$M473,BM$13)="",10^12,OFFSET(CRONOPLE!$F$14,$M473,BM$13))))</f>
        <v>1000000000000</v>
      </c>
      <c r="BN473" s="181">
        <f ca="1">IF($D473&lt;&gt;"Serviço",0,IF(AND(AUTOEVENTO="Manual",$M473=1),0,IF(OFFSET(CRONOPLE!$F$14,$M473,BN$13)="",10^12,OFFSET(CRONOPLE!$F$14,$M473,BN$13))))</f>
        <v>1000000000000</v>
      </c>
      <c r="BO473" s="181">
        <f ca="1">IF($D473&lt;&gt;"Serviço",0,IF(AND(AUTOEVENTO="Manual",$M473=1),0,IF(OFFSET(CRONOPLE!$F$14,$M473,BO$13)="",10^12,OFFSET(CRONOPLE!$F$14,$M473,BO$13))))</f>
        <v>1000000000000</v>
      </c>
      <c r="BP473" s="181">
        <f ca="1">IF($D473&lt;&gt;"Serviço",0,IF(AND(AUTOEVENTO="Manual",$M473=1),0,IF(OFFSET(CRONOPLE!$F$14,$M473,BP$13)="",10^12,OFFSET(CRONOPLE!$F$14,$M473,BP$13))))</f>
        <v>1000000000000</v>
      </c>
      <c r="BQ473" s="181">
        <f ca="1">IF($D473&lt;&gt;"Serviço",0,IF(AND(AUTOEVENTO="Manual",$M473=1),0,IF(OFFSET(CRONOPLE!$F$14,$M473,BQ$13)="",10^12,OFFSET(CRONOPLE!$F$14,$M473,BQ$13))))</f>
        <v>1000000000000</v>
      </c>
      <c r="BR473" s="181">
        <f ca="1">IF($D473&lt;&gt;"Serviço",0,IF(AND(AUTOEVENTO="Manual",$M473=1),0,IF(OFFSET(CRONOPLE!$F$14,$M473,BR$13)="",10^12,OFFSET(CRONOPLE!$F$14,$M473,BR$13))))</f>
        <v>1000000000000</v>
      </c>
      <c r="BS473" s="181">
        <f ca="1">IF($D473&lt;&gt;"Serviço",0,IF(AND(AUTOEVENTO="Manual",$M473=1),0,IF(OFFSET(CRONOPLE!$F$14,$M473,BS$13)="",10^12,OFFSET(CRONOPLE!$F$14,$M473,BS$13))))</f>
        <v>1000000000000</v>
      </c>
      <c r="BT473" s="181">
        <f ca="1">IF($D473&lt;&gt;"Serviço",0,IF(AND(AUTOEVENTO="Manual",$M473=1),0,IF(OFFSET(CRONOPLE!$F$14,$M473,BT$13)="",10^12,OFFSET(CRONOPLE!$F$14,$M473,BT$13))))</f>
        <v>1000000000000</v>
      </c>
      <c r="BV473" s="182">
        <f ca="1">IF($D473&lt;&gt;"Serviço",0,IF(OR(AND(AUTOEVENTO="Manual",$M473=1),$M473&gt;(ROW(PLE.lastrow)-ROW(PLE.firstrow))),0,IF(OFFSET(PLE!$G$14,$M473,BV$13)="",10^12,OFFSET(PLE!$G$14,$M473,BV$13))))</f>
        <v>1000000000000</v>
      </c>
      <c r="BW473" s="182">
        <f ca="1">IF($D473&lt;&gt;"Serviço",0,IF(OR(AND(AUTOEVENTO="Manual",$M473=1),$M473&gt;(ROW(PLE.lastrow)-ROW(PLE.firstrow))),0,IF(OFFSET(PLE!$G$14,$M473,BW$13)="",10^12,OFFSET(PLE!$G$14,$M473,BW$13))))</f>
        <v>1000000000000</v>
      </c>
      <c r="BX473" s="182">
        <f ca="1">IF($D473&lt;&gt;"Serviço",0,IF(OR(AND(AUTOEVENTO="Manual",$M473=1),$M473&gt;(ROW(PLE.lastrow)-ROW(PLE.firstrow))),0,IF(OFFSET(PLE!$G$14,$M473,BX$13)="",10^12,OFFSET(PLE!$G$14,$M473,BX$13))))</f>
        <v>1000000000000</v>
      </c>
      <c r="BY473" s="182">
        <f ca="1">IF($D473&lt;&gt;"Serviço",0,IF(OR(AND(AUTOEVENTO="Manual",$M473=1),$M473&gt;(ROW(PLE.lastrow)-ROW(PLE.firstrow))),0,IF(OFFSET(PLE!$G$14,$M473,BY$13)="",10^12,OFFSET(PLE!$G$14,$M473,BY$13))))</f>
        <v>1000000000000</v>
      </c>
      <c r="BZ473" s="182">
        <f ca="1">IF($D473&lt;&gt;"Serviço",0,IF(OR(AND(AUTOEVENTO="Manual",$M473=1),$M473&gt;(ROW(PLE.lastrow)-ROW(PLE.firstrow))),0,IF(OFFSET(PLE!$G$14,$M473,BZ$13)="",10^12,OFFSET(PLE!$G$14,$M473,BZ$13))))</f>
        <v>1000000000000</v>
      </c>
      <c r="CA473" s="182">
        <f ca="1">IF($D473&lt;&gt;"Serviço",0,IF(OR(AND(AUTOEVENTO="Manual",$M473=1),$M473&gt;(ROW(PLE.lastrow)-ROW(PLE.firstrow))),0,IF(OFFSET(PLE!$G$14,$M473,CA$13)="",10^12,OFFSET(PLE!$G$14,$M473,CA$13))))</f>
        <v>1000000000000</v>
      </c>
      <c r="CB473" s="182">
        <f ca="1">IF($D473&lt;&gt;"Serviço",0,IF(OR(AND(AUTOEVENTO="Manual",$M473=1),$M473&gt;(ROW(PLE.lastrow)-ROW(PLE.firstrow))),0,IF(OFFSET(PLE!$G$14,$M473,CB$13)="",10^12,OFFSET(PLE!$G$14,$M473,CB$13))))</f>
        <v>1000000000000</v>
      </c>
      <c r="CC473" s="182">
        <f ca="1">IF($D473&lt;&gt;"Serviço",0,IF(OR(AND(AUTOEVENTO="Manual",$M473=1),$M473&gt;(ROW(PLE.lastrow)-ROW(PLE.firstrow))),0,IF(OFFSET(PLE!$G$14,$M473,CC$13)="",10^12,OFFSET(PLE!$G$14,$M473,CC$13))))</f>
        <v>1000000000000</v>
      </c>
      <c r="CD473" s="182">
        <f ca="1">IF($D473&lt;&gt;"Serviço",0,IF(OR(AND(AUTOEVENTO="Manual",$M473=1),$M473&gt;(ROW(PLE.lastrow)-ROW(PLE.firstrow))),0,IF(OFFSET(PLE!$G$14,$M473,CD$13)="",10^12,OFFSET(PLE!$G$14,$M473,CD$13))))</f>
        <v>1000000000000</v>
      </c>
      <c r="CE473" s="182">
        <f ca="1">IF($D473&lt;&gt;"Serviço",0,IF(OR(AND(AUTOEVENTO="Manual",$M473=1),$M473&gt;(ROW(PLE.lastrow)-ROW(PLE.firstrow))),0,IF(OFFSET(PLE!$G$14,$M473,CE$13)="",10^12,OFFSET(PLE!$G$14,$M473,CE$13))))</f>
        <v>1000000000000</v>
      </c>
      <c r="CF473" s="182">
        <f ca="1">IF($D473&lt;&gt;"Serviço",0,IF(OR(AND(AUTOEVENTO="Manual",$M473=1),$M473&gt;(ROW(PLE.lastrow)-ROW(PLE.firstrow))),0,IF(OFFSET(PLE!$G$14,$M473,CF$13)="",10^12,OFFSET(PLE!$G$14,$M473,CF$13))))</f>
        <v>1000000000000</v>
      </c>
      <c r="CG473" s="182">
        <f ca="1">IF($D473&lt;&gt;"Serviço",0,IF(OR(AND(AUTOEVENTO="Manual",$M473=1),$M473&gt;(ROW(PLE.lastrow)-ROW(PLE.firstrow))),0,IF(OFFSET(PLE!$G$14,$M473,CG$13)="",10^12,OFFSET(PLE!$G$14,$M473,CG$13))))</f>
        <v>1000000000000</v>
      </c>
      <c r="CH473" s="182">
        <f ca="1">IF($D473&lt;&gt;"Serviço",0,IF(OR(AND(AUTOEVENTO="Manual",$M473=1),$M473&gt;(ROW(PLE.lastrow)-ROW(PLE.firstrow))),0,IF(OFFSET(PLE!$G$14,$M473,CH$13)="",10^12,OFFSET(PLE!$G$14,$M473,CH$13))))</f>
        <v>1000000000000</v>
      </c>
      <c r="CI473" s="182">
        <f ca="1">IF($D473&lt;&gt;"Serviço",0,IF(OR(AND(AUTOEVENTO="Manual",$M473=1),$M473&gt;(ROW(PLE.lastrow)-ROW(PLE.firstrow))),0,IF(OFFSET(PLE!$G$14,$M473,CI$13)="",10^12,OFFSET(PLE!$G$14,$M473,CI$13))))</f>
        <v>1000000000000</v>
      </c>
      <c r="CJ473" s="182">
        <f ca="1">IF($D473&lt;&gt;"Serviço",0,IF(OR(AND(AUTOEVENTO="Manual",$M473=1),$M473&gt;(ROW(PLE.lastrow)-ROW(PLE.firstrow))),0,IF(OFFSET(PLE!$G$14,$M473,CJ$13)="",10^12,OFFSET(PLE!$G$14,$M473,CJ$13))))</f>
        <v>1000000000000</v>
      </c>
      <c r="CK473" s="182">
        <f ca="1">IF($D473&lt;&gt;"Serviço",0,IF(OR(AND(AUTOEVENTO="Manual",$M473=1),$M473&gt;(ROW(PLE.lastrow)-ROW(PLE.firstrow))),0,IF(OFFSET(PLE!$G$14,$M473,CK$13)="",10^12,OFFSET(PLE!$G$14,$M473,CK$13))))</f>
        <v>1000000000000</v>
      </c>
      <c r="CL473" s="182">
        <f ca="1">IF($D473&lt;&gt;"Serviço",0,IF(OR(AND(AUTOEVENTO="Manual",$M473=1),$M473&gt;(ROW(PLE.lastrow)-ROW(PLE.firstrow))),0,IF(OFFSET(PLE!$G$14,$M473,CL$13)="",10^12,OFFSET(PLE!$G$14,$M473,CL$13))))</f>
        <v>1000000000000</v>
      </c>
      <c r="CM473" s="182">
        <f ca="1">IF($D473&lt;&gt;"Serviço",0,IF(OR(AND(AUTOEVENTO="Manual",$M473=1),$M473&gt;(ROW(PLE.lastrow)-ROW(PLE.firstrow))),0,IF(OFFSET(PLE!$G$14,$M473,CM$13)="",10^12,OFFSET(PLE!$G$14,$M473,CM$13))))</f>
        <v>1000000000000</v>
      </c>
    </row>
    <row r="474" spans="1:91" ht="38.25" x14ac:dyDescent="0.2">
      <c r="A474" s="7" t="str">
        <f t="shared" ca="1" si="16"/>
        <v>457</v>
      </c>
      <c r="B474" s="7" t="str">
        <f ca="1">OFFSET(ORÇAMENTO!C$15,ROW(B474)-ROW(B$15),0)</f>
        <v>S</v>
      </c>
      <c r="C474" s="7" t="str">
        <f ca="1">OFFSET(ORÇAMENTO!L$15,ROW(C474)-ROW(C$15),0)</f>
        <v/>
      </c>
      <c r="D474" s="118" t="str">
        <f ca="1">OFFSET(ORÇAMENTO!N$15,ROW(D474)-ROW(D$15),0)</f>
        <v>Serviço</v>
      </c>
      <c r="E474" s="119" t="str">
        <f ca="1">OFFSET(ORÇAMENTO!O$15,ROW(E474)-ROW(E$15),0)</f>
        <v>-</v>
      </c>
      <c r="F474" s="172" t="str">
        <f ca="1">OFFSET(ORÇAMENTO!R$15,ROW(F474)-ROW(F$15),0)</f>
        <v>(abra o arquivo 'Referência 06-2024.xlsm)</v>
      </c>
      <c r="G474" s="173" t="str">
        <f ca="1">IF($D474&lt;&gt;"Serviço","",OFFSET(ORÇAMENTO!S$15,ROW(G474)-ROW(G$15),0))</f>
        <v>-</v>
      </c>
      <c r="H474" s="124">
        <f ca="1">IF($D474&lt;&gt;"Serviço",0,IF(ACOMPANHAMENTO="BM",ROUND(OFFSET(ORÇAMENTO!AJ$15,ROW(H474)-ROW(H$15),0),15-13*ORÇAMENTO!$AF$7),SUMPRODUCT(($Q$12:$AI$12&lt;&gt;"")*ROUND($Q474:$AI474,15-13*ORÇAMENTO!$AF$7))))</f>
        <v>80</v>
      </c>
      <c r="I474" s="561" t="s">
        <v>1107</v>
      </c>
      <c r="K474" s="174"/>
      <c r="L474" s="175" t="s">
        <v>255</v>
      </c>
      <c r="M474" s="176">
        <f ca="1">IF($D474&lt;&gt;"Serviço","",IF(AUTOEVENTO="manual",$A474,IF(ISERROR(MATCH($A474,$A$15:OFFSET($A474,-1,0),0)),MAX($M$15:OFFSET(M474,-1,0))+1,INDEX($M$15:OFFSET(M474,-1,0),MATCH($A474,$A$15:OFFSET($A474,-1,0),0)))))</f>
        <v>50</v>
      </c>
      <c r="N474" s="177" t="str">
        <f ca="1">IF($D474&lt;&gt;"Serviço","",IF(AUTOEVENTO="Manual",IF($A474=0,"&lt;-- defina o número do agrupador",OFFSET(EVENTOS!$D$14,$A474,0)),OFFSET($F$15,$A474,0)))</f>
        <v>SISTEMA DE PROTEÇÃO CONTRA INCÊNDIO - SINALIZAÇÕES</v>
      </c>
      <c r="O474" s="178"/>
      <c r="Q474" s="178">
        <v>80</v>
      </c>
      <c r="R474" s="179"/>
      <c r="S474" s="179"/>
      <c r="T474" s="179"/>
      <c r="U474" s="179"/>
      <c r="V474" s="179"/>
      <c r="W474" s="179"/>
      <c r="X474" s="179"/>
      <c r="Y474" s="179"/>
      <c r="Z474" s="180"/>
      <c r="AA474" s="179"/>
      <c r="AB474" s="179"/>
      <c r="AC474" s="179"/>
      <c r="AD474" s="179"/>
      <c r="AE474" s="179"/>
      <c r="AF474" s="179"/>
      <c r="AG474" s="179"/>
      <c r="AH474" s="180"/>
      <c r="AJ474" s="544">
        <f ca="1">IF(AND($D474="Serviço",AJ$12&lt;&gt;0,$H474&gt;0,OR(AUTOEVENTO&lt;&gt;"manual",$M474&lt;&gt;1)),
IF(Import.TipoArredondamento&lt;&gt;"TransfereGOV",
ROUND(OFFSET($P474,0,AJ$13),15-13*ORÇAMENTO!$AF$7)/$H474*OFFSET(ORÇAMENTO!$X$15,ROW(AJ474)-ROW(AJ$15),0),
ROUND(ROUND(OFFSET($P474,0,AJ$13),15-13*ORÇAMENTO!$AF$7)*OFFSET(ORÇAMENTO!$W$15,ROW(AJ474)-ROW(AJ$15),0),15-13*ORÇAMENTO!$AF$11)),0)</f>
        <v>0</v>
      </c>
      <c r="AK474" s="545">
        <f ca="1">IF(AND($D474="Serviço",AK$12&lt;&gt;0,$H474&gt;0,OR(AUTOEVENTO&lt;&gt;"manual",$M474&lt;&gt;1)),
IF(Import.TipoArredondamento&lt;&gt;"TransfereGOV",
ROUND(OFFSET($P474,0,AK$13),15-13*ORÇAMENTO!$AF$7)/$H474*OFFSET(ORÇAMENTO!$X$15,ROW(AK474)-ROW(AK$15),0),
ROUND(ROUND(OFFSET($P474,0,AK$13),15-13*ORÇAMENTO!$AF$7)*OFFSET(ORÇAMENTO!$W$15,ROW(AK474)-ROW(AK$15),0),15-13*ORÇAMENTO!$AF$11)),0)</f>
        <v>0</v>
      </c>
      <c r="AL474" s="545">
        <f ca="1">IF(AND($D474="Serviço",AL$12&lt;&gt;0,$H474&gt;0,OR(AUTOEVENTO&lt;&gt;"manual",$M474&lt;&gt;1)),
IF(Import.TipoArredondamento&lt;&gt;"TransfereGOV",
ROUND(OFFSET($P474,0,AL$13),15-13*ORÇAMENTO!$AF$7)/$H474*OFFSET(ORÇAMENTO!$X$15,ROW(AL474)-ROW(AL$15),0),
ROUND(ROUND(OFFSET($P474,0,AL$13),15-13*ORÇAMENTO!$AF$7)*OFFSET(ORÇAMENTO!$W$15,ROW(AL474)-ROW(AL$15),0),15-13*ORÇAMENTO!$AF$11)),0)</f>
        <v>0</v>
      </c>
      <c r="AM474" s="545">
        <f ca="1">IF(AND($D474="Serviço",AM$12&lt;&gt;0,$H474&gt;0,OR(AUTOEVENTO&lt;&gt;"manual",$M474&lt;&gt;1)),
IF(Import.TipoArredondamento&lt;&gt;"TransfereGOV",
ROUND(OFFSET($P474,0,AM$13),15-13*ORÇAMENTO!$AF$7)/$H474*OFFSET(ORÇAMENTO!$X$15,ROW(AM474)-ROW(AM$15),0),
ROUND(ROUND(OFFSET($P474,0,AM$13),15-13*ORÇAMENTO!$AF$7)*OFFSET(ORÇAMENTO!$W$15,ROW(AM474)-ROW(AM$15),0),15-13*ORÇAMENTO!$AF$11)),0)</f>
        <v>0</v>
      </c>
      <c r="AN474" s="545">
        <f ca="1">IF(AND($D474="Serviço",AN$12&lt;&gt;0,$H474&gt;0,OR(AUTOEVENTO&lt;&gt;"manual",$M474&lt;&gt;1)),
IF(Import.TipoArredondamento&lt;&gt;"TransfereGOV",
ROUND(OFFSET($P474,0,AN$13),15-13*ORÇAMENTO!$AF$7)/$H474*OFFSET(ORÇAMENTO!$X$15,ROW(AN474)-ROW(AN$15),0),
ROUND(ROUND(OFFSET($P474,0,AN$13),15-13*ORÇAMENTO!$AF$7)*OFFSET(ORÇAMENTO!$W$15,ROW(AN474)-ROW(AN$15),0),15-13*ORÇAMENTO!$AF$11)),0)</f>
        <v>0</v>
      </c>
      <c r="AO474" s="545">
        <f ca="1">IF(AND($D474="Serviço",AO$12&lt;&gt;0,$H474&gt;0,OR(AUTOEVENTO&lt;&gt;"manual",$M474&lt;&gt;1)),
IF(Import.TipoArredondamento&lt;&gt;"TransfereGOV",
ROUND(OFFSET($P474,0,AO$13),15-13*ORÇAMENTO!$AF$7)/$H474*OFFSET(ORÇAMENTO!$X$15,ROW(AO474)-ROW(AO$15),0),
ROUND(ROUND(OFFSET($P474,0,AO$13),15-13*ORÇAMENTO!$AF$7)*OFFSET(ORÇAMENTO!$W$15,ROW(AO474)-ROW(AO$15),0),15-13*ORÇAMENTO!$AF$11)),0)</f>
        <v>0</v>
      </c>
      <c r="AP474" s="545">
        <f ca="1">IF(AND($D474="Serviço",AP$12&lt;&gt;0,$H474&gt;0,OR(AUTOEVENTO&lt;&gt;"manual",$M474&lt;&gt;1)),
IF(Import.TipoArredondamento&lt;&gt;"TransfereGOV",
ROUND(OFFSET($P474,0,AP$13),15-13*ORÇAMENTO!$AF$7)/$H474*OFFSET(ORÇAMENTO!$X$15,ROW(AP474)-ROW(AP$15),0),
ROUND(ROUND(OFFSET($P474,0,AP$13),15-13*ORÇAMENTO!$AF$7)*OFFSET(ORÇAMENTO!$W$15,ROW(AP474)-ROW(AP$15),0),15-13*ORÇAMENTO!$AF$11)),0)</f>
        <v>0</v>
      </c>
      <c r="AQ474" s="545">
        <f ca="1">IF(AND($D474="Serviço",AQ$12&lt;&gt;0,$H474&gt;0,OR(AUTOEVENTO&lt;&gt;"manual",$M474&lt;&gt;1)),
IF(Import.TipoArredondamento&lt;&gt;"TransfereGOV",
ROUND(OFFSET($P474,0,AQ$13),15-13*ORÇAMENTO!$AF$7)/$H474*OFFSET(ORÇAMENTO!$X$15,ROW(AQ474)-ROW(AQ$15),0),
ROUND(ROUND(OFFSET($P474,0,AQ$13),15-13*ORÇAMENTO!$AF$7)*OFFSET(ORÇAMENTO!$W$15,ROW(AQ474)-ROW(AQ$15),0),15-13*ORÇAMENTO!$AF$11)),0)</f>
        <v>0</v>
      </c>
      <c r="AR474" s="545">
        <f ca="1">IF(AND($D474="Serviço",AR$12&lt;&gt;0,$H474&gt;0,OR(AUTOEVENTO&lt;&gt;"manual",$M474&lt;&gt;1)),
IF(Import.TipoArredondamento&lt;&gt;"TransfereGOV",
ROUND(OFFSET($P474,0,AR$13),15-13*ORÇAMENTO!$AF$7)/$H474*OFFSET(ORÇAMENTO!$X$15,ROW(AR474)-ROW(AR$15),0),
ROUND(ROUND(OFFSET($P474,0,AR$13),15-13*ORÇAMENTO!$AF$7)*OFFSET(ORÇAMENTO!$W$15,ROW(AR474)-ROW(AR$15),0),15-13*ORÇAMENTO!$AF$11)),0)</f>
        <v>0</v>
      </c>
      <c r="AS474" s="546">
        <f ca="1">IF(AND($D474="Serviço",AS$12&lt;&gt;0,$H474&gt;0,OR(AUTOEVENTO&lt;&gt;"manual",$M474&lt;&gt;1)),
IF(Import.TipoArredondamento&lt;&gt;"TransfereGOV",
ROUND(OFFSET($P474,0,AS$13),15-13*ORÇAMENTO!$AF$7)/$H474*OFFSET(ORÇAMENTO!$X$15,ROW(AS474)-ROW(AS$15),0),
ROUND(ROUND(OFFSET($P474,0,AS$13),15-13*ORÇAMENTO!$AF$7)*OFFSET(ORÇAMENTO!$W$15,ROW(AS474)-ROW(AS$15),0),15-13*ORÇAMENTO!$AF$11)),0)</f>
        <v>0</v>
      </c>
      <c r="AT474" s="545">
        <f ca="1">IF(AND($D474="Serviço",AT$12&lt;&gt;0,$H474&gt;0,OR(AUTOEVENTO&lt;&gt;"manual",$M474&lt;&gt;1)),
IF(Import.TipoArredondamento&lt;&gt;"TransfereGOV",
ROUND(OFFSET($P474,0,AT$13),15-13*ORÇAMENTO!$AF$7)/$H474*OFFSET(ORÇAMENTO!$X$15,ROW(AT474)-ROW(AT$15),0),
ROUND(ROUND(OFFSET($P474,0,AT$13),15-13*ORÇAMENTO!$AF$7)*OFFSET(ORÇAMENTO!$W$15,ROW(AT474)-ROW(AT$15),0),15-13*ORÇAMENTO!$AF$11)),0)</f>
        <v>0</v>
      </c>
      <c r="AU474" s="545">
        <f ca="1">IF(AND($D474="Serviço",AU$12&lt;&gt;0,$H474&gt;0,OR(AUTOEVENTO&lt;&gt;"manual",$M474&lt;&gt;1)),
IF(Import.TipoArredondamento&lt;&gt;"TransfereGOV",
ROUND(OFFSET($P474,0,AU$13),15-13*ORÇAMENTO!$AF$7)/$H474*OFFSET(ORÇAMENTO!$X$15,ROW(AU474)-ROW(AU$15),0),
ROUND(ROUND(OFFSET($P474,0,AU$13),15-13*ORÇAMENTO!$AF$7)*OFFSET(ORÇAMENTO!$W$15,ROW(AU474)-ROW(AU$15),0),15-13*ORÇAMENTO!$AF$11)),0)</f>
        <v>0</v>
      </c>
      <c r="AV474" s="545">
        <f ca="1">IF(AND($D474="Serviço",AV$12&lt;&gt;0,$H474&gt;0,OR(AUTOEVENTO&lt;&gt;"manual",$M474&lt;&gt;1)),
IF(Import.TipoArredondamento&lt;&gt;"TransfereGOV",
ROUND(OFFSET($P474,0,AV$13),15-13*ORÇAMENTO!$AF$7)/$H474*OFFSET(ORÇAMENTO!$X$15,ROW(AV474)-ROW(AV$15),0),
ROUND(ROUND(OFFSET($P474,0,AV$13),15-13*ORÇAMENTO!$AF$7)*OFFSET(ORÇAMENTO!$W$15,ROW(AV474)-ROW(AV$15),0),15-13*ORÇAMENTO!$AF$11)),0)</f>
        <v>0</v>
      </c>
      <c r="AW474" s="545">
        <f ca="1">IF(AND($D474="Serviço",AW$12&lt;&gt;0,$H474&gt;0,OR(AUTOEVENTO&lt;&gt;"manual",$M474&lt;&gt;1)),
IF(Import.TipoArredondamento&lt;&gt;"TransfereGOV",
ROUND(OFFSET($P474,0,AW$13),15-13*ORÇAMENTO!$AF$7)/$H474*OFFSET(ORÇAMENTO!$X$15,ROW(AW474)-ROW(AW$15),0),
ROUND(ROUND(OFFSET($P474,0,AW$13),15-13*ORÇAMENTO!$AF$7)*OFFSET(ORÇAMENTO!$W$15,ROW(AW474)-ROW(AW$15),0),15-13*ORÇAMENTO!$AF$11)),0)</f>
        <v>0</v>
      </c>
      <c r="AX474" s="545">
        <f ca="1">IF(AND($D474="Serviço",AX$12&lt;&gt;0,$H474&gt;0,OR(AUTOEVENTO&lt;&gt;"manual",$M474&lt;&gt;1)),
IF(Import.TipoArredondamento&lt;&gt;"TransfereGOV",
ROUND(OFFSET($P474,0,AX$13),15-13*ORÇAMENTO!$AF$7)/$H474*OFFSET(ORÇAMENTO!$X$15,ROW(AX474)-ROW(AX$15),0),
ROUND(ROUND(OFFSET($P474,0,AX$13),15-13*ORÇAMENTO!$AF$7)*OFFSET(ORÇAMENTO!$W$15,ROW(AX474)-ROW(AX$15),0),15-13*ORÇAMENTO!$AF$11)),0)</f>
        <v>0</v>
      </c>
      <c r="AY474" s="545">
        <f ca="1">IF(AND($D474="Serviço",AY$12&lt;&gt;0,$H474&gt;0,OR(AUTOEVENTO&lt;&gt;"manual",$M474&lt;&gt;1)),
IF(Import.TipoArredondamento&lt;&gt;"TransfereGOV",
ROUND(OFFSET($P474,0,AY$13),15-13*ORÇAMENTO!$AF$7)/$H474*OFFSET(ORÇAMENTO!$X$15,ROW(AY474)-ROW(AY$15),0),
ROUND(ROUND(OFFSET($P474,0,AY$13),15-13*ORÇAMENTO!$AF$7)*OFFSET(ORÇAMENTO!$W$15,ROW(AY474)-ROW(AY$15),0),15-13*ORÇAMENTO!$AF$11)),0)</f>
        <v>0</v>
      </c>
      <c r="AZ474" s="545">
        <f ca="1">IF(AND($D474="Serviço",AZ$12&lt;&gt;0,$H474&gt;0,OR(AUTOEVENTO&lt;&gt;"manual",$M474&lt;&gt;1)),
IF(Import.TipoArredondamento&lt;&gt;"TransfereGOV",
ROUND(OFFSET($P474,0,AZ$13),15-13*ORÇAMENTO!$AF$7)/$H474*OFFSET(ORÇAMENTO!$X$15,ROW(AZ474)-ROW(AZ$15),0),
ROUND(ROUND(OFFSET($P474,0,AZ$13),15-13*ORÇAMENTO!$AF$7)*OFFSET(ORÇAMENTO!$W$15,ROW(AZ474)-ROW(AZ$15),0),15-13*ORÇAMENTO!$AF$11)),0)</f>
        <v>0</v>
      </c>
      <c r="BA474" s="546">
        <f ca="1">IF(AND($D474="Serviço",BA$12&lt;&gt;0,$H474&gt;0,OR(AUTOEVENTO&lt;&gt;"manual",$M474&lt;&gt;1)),
IF(Import.TipoArredondamento&lt;&gt;"TransfereGOV",
ROUND(OFFSET($P474,0,BA$13),15-13*ORÇAMENTO!$AF$7)/$H474*OFFSET(ORÇAMENTO!$X$15,ROW(BA474)-ROW(BA$15),0),
ROUND(ROUND(OFFSET($P474,0,BA$13),15-13*ORÇAMENTO!$AF$7)*OFFSET(ORÇAMENTO!$W$15,ROW(BA474)-ROW(BA$15),0),15-13*ORÇAMENTO!$AF$11)),0)</f>
        <v>0</v>
      </c>
      <c r="BC474" s="181">
        <f ca="1">IF($D474&lt;&gt;"Serviço",0,IF(AND(AUTOEVENTO="Manual",$M474=1),0,IF(OFFSET(CRONOPLE!$F$14,$M474,BC$13)="",10^12,OFFSET(CRONOPLE!$F$14,$M474,BC$13))))</f>
        <v>10</v>
      </c>
      <c r="BD474" s="181">
        <f ca="1">IF($D474&lt;&gt;"Serviço",0,IF(AND(AUTOEVENTO="Manual",$M474=1),0,IF(OFFSET(CRONOPLE!$F$14,$M474,BD$13)="",10^12,OFFSET(CRONOPLE!$F$14,$M474,BD$13))))</f>
        <v>1000000000000</v>
      </c>
      <c r="BE474" s="181">
        <f ca="1">IF($D474&lt;&gt;"Serviço",0,IF(AND(AUTOEVENTO="Manual",$M474=1),0,IF(OFFSET(CRONOPLE!$F$14,$M474,BE$13)="",10^12,OFFSET(CRONOPLE!$F$14,$M474,BE$13))))</f>
        <v>1000000000000</v>
      </c>
      <c r="BF474" s="181">
        <f ca="1">IF($D474&lt;&gt;"Serviço",0,IF(AND(AUTOEVENTO="Manual",$M474=1),0,IF(OFFSET(CRONOPLE!$F$14,$M474,BF$13)="",10^12,OFFSET(CRONOPLE!$F$14,$M474,BF$13))))</f>
        <v>1000000000000</v>
      </c>
      <c r="BG474" s="181">
        <f ca="1">IF($D474&lt;&gt;"Serviço",0,IF(AND(AUTOEVENTO="Manual",$M474=1),0,IF(OFFSET(CRONOPLE!$F$14,$M474,BG$13)="",10^12,OFFSET(CRONOPLE!$F$14,$M474,BG$13))))</f>
        <v>1000000000000</v>
      </c>
      <c r="BH474" s="181">
        <f ca="1">IF($D474&lt;&gt;"Serviço",0,IF(AND(AUTOEVENTO="Manual",$M474=1),0,IF(OFFSET(CRONOPLE!$F$14,$M474,BH$13)="",10^12,OFFSET(CRONOPLE!$F$14,$M474,BH$13))))</f>
        <v>1000000000000</v>
      </c>
      <c r="BI474" s="181">
        <f ca="1">IF($D474&lt;&gt;"Serviço",0,IF(AND(AUTOEVENTO="Manual",$M474=1),0,IF(OFFSET(CRONOPLE!$F$14,$M474,BI$13)="",10^12,OFFSET(CRONOPLE!$F$14,$M474,BI$13))))</f>
        <v>1000000000000</v>
      </c>
      <c r="BJ474" s="181">
        <f ca="1">IF($D474&lt;&gt;"Serviço",0,IF(AND(AUTOEVENTO="Manual",$M474=1),0,IF(OFFSET(CRONOPLE!$F$14,$M474,BJ$13)="",10^12,OFFSET(CRONOPLE!$F$14,$M474,BJ$13))))</f>
        <v>1000000000000</v>
      </c>
      <c r="BK474" s="181">
        <f ca="1">IF($D474&lt;&gt;"Serviço",0,IF(AND(AUTOEVENTO="Manual",$M474=1),0,IF(OFFSET(CRONOPLE!$F$14,$M474,BK$13)="",10^12,OFFSET(CRONOPLE!$F$14,$M474,BK$13))))</f>
        <v>1000000000000</v>
      </c>
      <c r="BL474" s="181">
        <f ca="1">IF($D474&lt;&gt;"Serviço",0,IF(AND(AUTOEVENTO="Manual",$M474=1),0,IF(OFFSET(CRONOPLE!$F$14,$M474,BL$13)="",10^12,OFFSET(CRONOPLE!$F$14,$M474,BL$13))))</f>
        <v>1000000000000</v>
      </c>
      <c r="BM474" s="181">
        <f ca="1">IF($D474&lt;&gt;"Serviço",0,IF(AND(AUTOEVENTO="Manual",$M474=1),0,IF(OFFSET(CRONOPLE!$F$14,$M474,BM$13)="",10^12,OFFSET(CRONOPLE!$F$14,$M474,BM$13))))</f>
        <v>1000000000000</v>
      </c>
      <c r="BN474" s="181">
        <f ca="1">IF($D474&lt;&gt;"Serviço",0,IF(AND(AUTOEVENTO="Manual",$M474=1),0,IF(OFFSET(CRONOPLE!$F$14,$M474,BN$13)="",10^12,OFFSET(CRONOPLE!$F$14,$M474,BN$13))))</f>
        <v>1000000000000</v>
      </c>
      <c r="BO474" s="181">
        <f ca="1">IF($D474&lt;&gt;"Serviço",0,IF(AND(AUTOEVENTO="Manual",$M474=1),0,IF(OFFSET(CRONOPLE!$F$14,$M474,BO$13)="",10^12,OFFSET(CRONOPLE!$F$14,$M474,BO$13))))</f>
        <v>1000000000000</v>
      </c>
      <c r="BP474" s="181">
        <f ca="1">IF($D474&lt;&gt;"Serviço",0,IF(AND(AUTOEVENTO="Manual",$M474=1),0,IF(OFFSET(CRONOPLE!$F$14,$M474,BP$13)="",10^12,OFFSET(CRONOPLE!$F$14,$M474,BP$13))))</f>
        <v>1000000000000</v>
      </c>
      <c r="BQ474" s="181">
        <f ca="1">IF($D474&lt;&gt;"Serviço",0,IF(AND(AUTOEVENTO="Manual",$M474=1),0,IF(OFFSET(CRONOPLE!$F$14,$M474,BQ$13)="",10^12,OFFSET(CRONOPLE!$F$14,$M474,BQ$13))))</f>
        <v>1000000000000</v>
      </c>
      <c r="BR474" s="181">
        <f ca="1">IF($D474&lt;&gt;"Serviço",0,IF(AND(AUTOEVENTO="Manual",$M474=1),0,IF(OFFSET(CRONOPLE!$F$14,$M474,BR$13)="",10^12,OFFSET(CRONOPLE!$F$14,$M474,BR$13))))</f>
        <v>1000000000000</v>
      </c>
      <c r="BS474" s="181">
        <f ca="1">IF($D474&lt;&gt;"Serviço",0,IF(AND(AUTOEVENTO="Manual",$M474=1),0,IF(OFFSET(CRONOPLE!$F$14,$M474,BS$13)="",10^12,OFFSET(CRONOPLE!$F$14,$M474,BS$13))))</f>
        <v>1000000000000</v>
      </c>
      <c r="BT474" s="181">
        <f ca="1">IF($D474&lt;&gt;"Serviço",0,IF(AND(AUTOEVENTO="Manual",$M474=1),0,IF(OFFSET(CRONOPLE!$F$14,$M474,BT$13)="",10^12,OFFSET(CRONOPLE!$F$14,$M474,BT$13))))</f>
        <v>1000000000000</v>
      </c>
      <c r="BV474" s="182">
        <f ca="1">IF($D474&lt;&gt;"Serviço",0,IF(OR(AND(AUTOEVENTO="Manual",$M474=1),$M474&gt;(ROW(PLE.lastrow)-ROW(PLE.firstrow))),0,IF(OFFSET(PLE!$G$14,$M474,BV$13)="",10^12,OFFSET(PLE!$G$14,$M474,BV$13))))</f>
        <v>1000000000000</v>
      </c>
      <c r="BW474" s="182">
        <f ca="1">IF($D474&lt;&gt;"Serviço",0,IF(OR(AND(AUTOEVENTO="Manual",$M474=1),$M474&gt;(ROW(PLE.lastrow)-ROW(PLE.firstrow))),0,IF(OFFSET(PLE!$G$14,$M474,BW$13)="",10^12,OFFSET(PLE!$G$14,$M474,BW$13))))</f>
        <v>1000000000000</v>
      </c>
      <c r="BX474" s="182">
        <f ca="1">IF($D474&lt;&gt;"Serviço",0,IF(OR(AND(AUTOEVENTO="Manual",$M474=1),$M474&gt;(ROW(PLE.lastrow)-ROW(PLE.firstrow))),0,IF(OFFSET(PLE!$G$14,$M474,BX$13)="",10^12,OFFSET(PLE!$G$14,$M474,BX$13))))</f>
        <v>1000000000000</v>
      </c>
      <c r="BY474" s="182">
        <f ca="1">IF($D474&lt;&gt;"Serviço",0,IF(OR(AND(AUTOEVENTO="Manual",$M474=1),$M474&gt;(ROW(PLE.lastrow)-ROW(PLE.firstrow))),0,IF(OFFSET(PLE!$G$14,$M474,BY$13)="",10^12,OFFSET(PLE!$G$14,$M474,BY$13))))</f>
        <v>1000000000000</v>
      </c>
      <c r="BZ474" s="182">
        <f ca="1">IF($D474&lt;&gt;"Serviço",0,IF(OR(AND(AUTOEVENTO="Manual",$M474=1),$M474&gt;(ROW(PLE.lastrow)-ROW(PLE.firstrow))),0,IF(OFFSET(PLE!$G$14,$M474,BZ$13)="",10^12,OFFSET(PLE!$G$14,$M474,BZ$13))))</f>
        <v>1000000000000</v>
      </c>
      <c r="CA474" s="182">
        <f ca="1">IF($D474&lt;&gt;"Serviço",0,IF(OR(AND(AUTOEVENTO="Manual",$M474=1),$M474&gt;(ROW(PLE.lastrow)-ROW(PLE.firstrow))),0,IF(OFFSET(PLE!$G$14,$M474,CA$13)="",10^12,OFFSET(PLE!$G$14,$M474,CA$13))))</f>
        <v>1000000000000</v>
      </c>
      <c r="CB474" s="182">
        <f ca="1">IF($D474&lt;&gt;"Serviço",0,IF(OR(AND(AUTOEVENTO="Manual",$M474=1),$M474&gt;(ROW(PLE.lastrow)-ROW(PLE.firstrow))),0,IF(OFFSET(PLE!$G$14,$M474,CB$13)="",10^12,OFFSET(PLE!$G$14,$M474,CB$13))))</f>
        <v>1000000000000</v>
      </c>
      <c r="CC474" s="182">
        <f ca="1">IF($D474&lt;&gt;"Serviço",0,IF(OR(AND(AUTOEVENTO="Manual",$M474=1),$M474&gt;(ROW(PLE.lastrow)-ROW(PLE.firstrow))),0,IF(OFFSET(PLE!$G$14,$M474,CC$13)="",10^12,OFFSET(PLE!$G$14,$M474,CC$13))))</f>
        <v>1000000000000</v>
      </c>
      <c r="CD474" s="182">
        <f ca="1">IF($D474&lt;&gt;"Serviço",0,IF(OR(AND(AUTOEVENTO="Manual",$M474=1),$M474&gt;(ROW(PLE.lastrow)-ROW(PLE.firstrow))),0,IF(OFFSET(PLE!$G$14,$M474,CD$13)="",10^12,OFFSET(PLE!$G$14,$M474,CD$13))))</f>
        <v>1000000000000</v>
      </c>
      <c r="CE474" s="182">
        <f ca="1">IF($D474&lt;&gt;"Serviço",0,IF(OR(AND(AUTOEVENTO="Manual",$M474=1),$M474&gt;(ROW(PLE.lastrow)-ROW(PLE.firstrow))),0,IF(OFFSET(PLE!$G$14,$M474,CE$13)="",10^12,OFFSET(PLE!$G$14,$M474,CE$13))))</f>
        <v>1000000000000</v>
      </c>
      <c r="CF474" s="182">
        <f ca="1">IF($D474&lt;&gt;"Serviço",0,IF(OR(AND(AUTOEVENTO="Manual",$M474=1),$M474&gt;(ROW(PLE.lastrow)-ROW(PLE.firstrow))),0,IF(OFFSET(PLE!$G$14,$M474,CF$13)="",10^12,OFFSET(PLE!$G$14,$M474,CF$13))))</f>
        <v>1000000000000</v>
      </c>
      <c r="CG474" s="182">
        <f ca="1">IF($D474&lt;&gt;"Serviço",0,IF(OR(AND(AUTOEVENTO="Manual",$M474=1),$M474&gt;(ROW(PLE.lastrow)-ROW(PLE.firstrow))),0,IF(OFFSET(PLE!$G$14,$M474,CG$13)="",10^12,OFFSET(PLE!$G$14,$M474,CG$13))))</f>
        <v>1000000000000</v>
      </c>
      <c r="CH474" s="182">
        <f ca="1">IF($D474&lt;&gt;"Serviço",0,IF(OR(AND(AUTOEVENTO="Manual",$M474=1),$M474&gt;(ROW(PLE.lastrow)-ROW(PLE.firstrow))),0,IF(OFFSET(PLE!$G$14,$M474,CH$13)="",10^12,OFFSET(PLE!$G$14,$M474,CH$13))))</f>
        <v>1000000000000</v>
      </c>
      <c r="CI474" s="182">
        <f ca="1">IF($D474&lt;&gt;"Serviço",0,IF(OR(AND(AUTOEVENTO="Manual",$M474=1),$M474&gt;(ROW(PLE.lastrow)-ROW(PLE.firstrow))),0,IF(OFFSET(PLE!$G$14,$M474,CI$13)="",10^12,OFFSET(PLE!$G$14,$M474,CI$13))))</f>
        <v>1000000000000</v>
      </c>
      <c r="CJ474" s="182">
        <f ca="1">IF($D474&lt;&gt;"Serviço",0,IF(OR(AND(AUTOEVENTO="Manual",$M474=1),$M474&gt;(ROW(PLE.lastrow)-ROW(PLE.firstrow))),0,IF(OFFSET(PLE!$G$14,$M474,CJ$13)="",10^12,OFFSET(PLE!$G$14,$M474,CJ$13))))</f>
        <v>1000000000000</v>
      </c>
      <c r="CK474" s="182">
        <f ca="1">IF($D474&lt;&gt;"Serviço",0,IF(OR(AND(AUTOEVENTO="Manual",$M474=1),$M474&gt;(ROW(PLE.lastrow)-ROW(PLE.firstrow))),0,IF(OFFSET(PLE!$G$14,$M474,CK$13)="",10^12,OFFSET(PLE!$G$14,$M474,CK$13))))</f>
        <v>1000000000000</v>
      </c>
      <c r="CL474" s="182">
        <f ca="1">IF($D474&lt;&gt;"Serviço",0,IF(OR(AND(AUTOEVENTO="Manual",$M474=1),$M474&gt;(ROW(PLE.lastrow)-ROW(PLE.firstrow))),0,IF(OFFSET(PLE!$G$14,$M474,CL$13)="",10^12,OFFSET(PLE!$G$14,$M474,CL$13))))</f>
        <v>1000000000000</v>
      </c>
      <c r="CM474" s="182">
        <f ca="1">IF($D474&lt;&gt;"Serviço",0,IF(OR(AND(AUTOEVENTO="Manual",$M474=1),$M474&gt;(ROW(PLE.lastrow)-ROW(PLE.firstrow))),0,IF(OFFSET(PLE!$G$14,$M474,CM$13)="",10^12,OFFSET(PLE!$G$14,$M474,CM$13))))</f>
        <v>1000000000000</v>
      </c>
    </row>
    <row r="475" spans="1:91" ht="38.25" x14ac:dyDescent="0.2">
      <c r="A475" s="7" t="str">
        <f t="shared" ca="1" si="16"/>
        <v>457</v>
      </c>
      <c r="B475" s="7" t="str">
        <f ca="1">OFFSET(ORÇAMENTO!C$15,ROW(B475)-ROW(B$15),0)</f>
        <v>S</v>
      </c>
      <c r="C475" s="7" t="str">
        <f ca="1">OFFSET(ORÇAMENTO!L$15,ROW(C475)-ROW(C$15),0)</f>
        <v/>
      </c>
      <c r="D475" s="118" t="str">
        <f ca="1">OFFSET(ORÇAMENTO!N$15,ROW(D475)-ROW(D$15),0)</f>
        <v>Serviço</v>
      </c>
      <c r="E475" s="119" t="str">
        <f ca="1">OFFSET(ORÇAMENTO!O$15,ROW(E475)-ROW(E$15),0)</f>
        <v>-</v>
      </c>
      <c r="F475" s="172" t="str">
        <f ca="1">OFFSET(ORÇAMENTO!R$15,ROW(F475)-ROW(F$15),0)</f>
        <v>(abra o arquivo 'Referência 06-2024.xlsm)</v>
      </c>
      <c r="G475" s="173" t="str">
        <f ca="1">IF($D475&lt;&gt;"Serviço","",OFFSET(ORÇAMENTO!S$15,ROW(G475)-ROW(G$15),0))</f>
        <v>-</v>
      </c>
      <c r="H475" s="124">
        <f ca="1">IF($D475&lt;&gt;"Serviço",0,IF(ACOMPANHAMENTO="BM",ROUND(OFFSET(ORÇAMENTO!AJ$15,ROW(H475)-ROW(H$15),0),15-13*ORÇAMENTO!$AF$7),SUMPRODUCT(($Q$12:$AI$12&lt;&gt;"")*ROUND($Q475:$AI475,15-13*ORÇAMENTO!$AF$7))))</f>
        <v>12</v>
      </c>
      <c r="I475" s="561" t="s">
        <v>1107</v>
      </c>
      <c r="K475" s="174"/>
      <c r="L475" s="175" t="s">
        <v>255</v>
      </c>
      <c r="M475" s="176">
        <f ca="1">IF($D475&lt;&gt;"Serviço","",IF(AUTOEVENTO="manual",$A475,IF(ISERROR(MATCH($A475,$A$15:OFFSET($A475,-1,0),0)),MAX($M$15:OFFSET(M475,-1,0))+1,INDEX($M$15:OFFSET(M475,-1,0),MATCH($A475,$A$15:OFFSET($A475,-1,0),0)))))</f>
        <v>50</v>
      </c>
      <c r="N475" s="177" t="str">
        <f ca="1">IF($D475&lt;&gt;"Serviço","",IF(AUTOEVENTO="Manual",IF($A475=0,"&lt;-- defina o número do agrupador",OFFSET(EVENTOS!$D$14,$A475,0)),OFFSET($F$15,$A475,0)))</f>
        <v>SISTEMA DE PROTEÇÃO CONTRA INCÊNDIO - SINALIZAÇÕES</v>
      </c>
      <c r="O475" s="178"/>
      <c r="Q475" s="178">
        <v>12</v>
      </c>
      <c r="R475" s="179"/>
      <c r="S475" s="179"/>
      <c r="T475" s="179"/>
      <c r="U475" s="179"/>
      <c r="V475" s="179"/>
      <c r="W475" s="179"/>
      <c r="X475" s="179"/>
      <c r="Y475" s="179"/>
      <c r="Z475" s="180"/>
      <c r="AA475" s="179"/>
      <c r="AB475" s="179"/>
      <c r="AC475" s="179"/>
      <c r="AD475" s="179"/>
      <c r="AE475" s="179"/>
      <c r="AF475" s="179"/>
      <c r="AG475" s="179"/>
      <c r="AH475" s="180"/>
      <c r="AJ475" s="544">
        <f ca="1">IF(AND($D475="Serviço",AJ$12&lt;&gt;0,$H475&gt;0,OR(AUTOEVENTO&lt;&gt;"manual",$M475&lt;&gt;1)),
IF(Import.TipoArredondamento&lt;&gt;"TransfereGOV",
ROUND(OFFSET($P475,0,AJ$13),15-13*ORÇAMENTO!$AF$7)/$H475*OFFSET(ORÇAMENTO!$X$15,ROW(AJ475)-ROW(AJ$15),0),
ROUND(ROUND(OFFSET($P475,0,AJ$13),15-13*ORÇAMENTO!$AF$7)*OFFSET(ORÇAMENTO!$W$15,ROW(AJ475)-ROW(AJ$15),0),15-13*ORÇAMENTO!$AF$11)),0)</f>
        <v>0</v>
      </c>
      <c r="AK475" s="545">
        <f ca="1">IF(AND($D475="Serviço",AK$12&lt;&gt;0,$H475&gt;0,OR(AUTOEVENTO&lt;&gt;"manual",$M475&lt;&gt;1)),
IF(Import.TipoArredondamento&lt;&gt;"TransfereGOV",
ROUND(OFFSET($P475,0,AK$13),15-13*ORÇAMENTO!$AF$7)/$H475*OFFSET(ORÇAMENTO!$X$15,ROW(AK475)-ROW(AK$15),0),
ROUND(ROUND(OFFSET($P475,0,AK$13),15-13*ORÇAMENTO!$AF$7)*OFFSET(ORÇAMENTO!$W$15,ROW(AK475)-ROW(AK$15),0),15-13*ORÇAMENTO!$AF$11)),0)</f>
        <v>0</v>
      </c>
      <c r="AL475" s="545">
        <f ca="1">IF(AND($D475="Serviço",AL$12&lt;&gt;0,$H475&gt;0,OR(AUTOEVENTO&lt;&gt;"manual",$M475&lt;&gt;1)),
IF(Import.TipoArredondamento&lt;&gt;"TransfereGOV",
ROUND(OFFSET($P475,0,AL$13),15-13*ORÇAMENTO!$AF$7)/$H475*OFFSET(ORÇAMENTO!$X$15,ROW(AL475)-ROW(AL$15),0),
ROUND(ROUND(OFFSET($P475,0,AL$13),15-13*ORÇAMENTO!$AF$7)*OFFSET(ORÇAMENTO!$W$15,ROW(AL475)-ROW(AL$15),0),15-13*ORÇAMENTO!$AF$11)),0)</f>
        <v>0</v>
      </c>
      <c r="AM475" s="545">
        <f ca="1">IF(AND($D475="Serviço",AM$12&lt;&gt;0,$H475&gt;0,OR(AUTOEVENTO&lt;&gt;"manual",$M475&lt;&gt;1)),
IF(Import.TipoArredondamento&lt;&gt;"TransfereGOV",
ROUND(OFFSET($P475,0,AM$13),15-13*ORÇAMENTO!$AF$7)/$H475*OFFSET(ORÇAMENTO!$X$15,ROW(AM475)-ROW(AM$15),0),
ROUND(ROUND(OFFSET($P475,0,AM$13),15-13*ORÇAMENTO!$AF$7)*OFFSET(ORÇAMENTO!$W$15,ROW(AM475)-ROW(AM$15),0),15-13*ORÇAMENTO!$AF$11)),0)</f>
        <v>0</v>
      </c>
      <c r="AN475" s="545">
        <f ca="1">IF(AND($D475="Serviço",AN$12&lt;&gt;0,$H475&gt;0,OR(AUTOEVENTO&lt;&gt;"manual",$M475&lt;&gt;1)),
IF(Import.TipoArredondamento&lt;&gt;"TransfereGOV",
ROUND(OFFSET($P475,0,AN$13),15-13*ORÇAMENTO!$AF$7)/$H475*OFFSET(ORÇAMENTO!$X$15,ROW(AN475)-ROW(AN$15),0),
ROUND(ROUND(OFFSET($P475,0,AN$13),15-13*ORÇAMENTO!$AF$7)*OFFSET(ORÇAMENTO!$W$15,ROW(AN475)-ROW(AN$15),0),15-13*ORÇAMENTO!$AF$11)),0)</f>
        <v>0</v>
      </c>
      <c r="AO475" s="545">
        <f ca="1">IF(AND($D475="Serviço",AO$12&lt;&gt;0,$H475&gt;0,OR(AUTOEVENTO&lt;&gt;"manual",$M475&lt;&gt;1)),
IF(Import.TipoArredondamento&lt;&gt;"TransfereGOV",
ROUND(OFFSET($P475,0,AO$13),15-13*ORÇAMENTO!$AF$7)/$H475*OFFSET(ORÇAMENTO!$X$15,ROW(AO475)-ROW(AO$15),0),
ROUND(ROUND(OFFSET($P475,0,AO$13),15-13*ORÇAMENTO!$AF$7)*OFFSET(ORÇAMENTO!$W$15,ROW(AO475)-ROW(AO$15),0),15-13*ORÇAMENTO!$AF$11)),0)</f>
        <v>0</v>
      </c>
      <c r="AP475" s="545">
        <f ca="1">IF(AND($D475="Serviço",AP$12&lt;&gt;0,$H475&gt;0,OR(AUTOEVENTO&lt;&gt;"manual",$M475&lt;&gt;1)),
IF(Import.TipoArredondamento&lt;&gt;"TransfereGOV",
ROUND(OFFSET($P475,0,AP$13),15-13*ORÇAMENTO!$AF$7)/$H475*OFFSET(ORÇAMENTO!$X$15,ROW(AP475)-ROW(AP$15),0),
ROUND(ROUND(OFFSET($P475,0,AP$13),15-13*ORÇAMENTO!$AF$7)*OFFSET(ORÇAMENTO!$W$15,ROW(AP475)-ROW(AP$15),0),15-13*ORÇAMENTO!$AF$11)),0)</f>
        <v>0</v>
      </c>
      <c r="AQ475" s="545">
        <f ca="1">IF(AND($D475="Serviço",AQ$12&lt;&gt;0,$H475&gt;0,OR(AUTOEVENTO&lt;&gt;"manual",$M475&lt;&gt;1)),
IF(Import.TipoArredondamento&lt;&gt;"TransfereGOV",
ROUND(OFFSET($P475,0,AQ$13),15-13*ORÇAMENTO!$AF$7)/$H475*OFFSET(ORÇAMENTO!$X$15,ROW(AQ475)-ROW(AQ$15),0),
ROUND(ROUND(OFFSET($P475,0,AQ$13),15-13*ORÇAMENTO!$AF$7)*OFFSET(ORÇAMENTO!$W$15,ROW(AQ475)-ROW(AQ$15),0),15-13*ORÇAMENTO!$AF$11)),0)</f>
        <v>0</v>
      </c>
      <c r="AR475" s="545">
        <f ca="1">IF(AND($D475="Serviço",AR$12&lt;&gt;0,$H475&gt;0,OR(AUTOEVENTO&lt;&gt;"manual",$M475&lt;&gt;1)),
IF(Import.TipoArredondamento&lt;&gt;"TransfereGOV",
ROUND(OFFSET($P475,0,AR$13),15-13*ORÇAMENTO!$AF$7)/$H475*OFFSET(ORÇAMENTO!$X$15,ROW(AR475)-ROW(AR$15),0),
ROUND(ROUND(OFFSET($P475,0,AR$13),15-13*ORÇAMENTO!$AF$7)*OFFSET(ORÇAMENTO!$W$15,ROW(AR475)-ROW(AR$15),0),15-13*ORÇAMENTO!$AF$11)),0)</f>
        <v>0</v>
      </c>
      <c r="AS475" s="546">
        <f ca="1">IF(AND($D475="Serviço",AS$12&lt;&gt;0,$H475&gt;0,OR(AUTOEVENTO&lt;&gt;"manual",$M475&lt;&gt;1)),
IF(Import.TipoArredondamento&lt;&gt;"TransfereGOV",
ROUND(OFFSET($P475,0,AS$13),15-13*ORÇAMENTO!$AF$7)/$H475*OFFSET(ORÇAMENTO!$X$15,ROW(AS475)-ROW(AS$15),0),
ROUND(ROUND(OFFSET($P475,0,AS$13),15-13*ORÇAMENTO!$AF$7)*OFFSET(ORÇAMENTO!$W$15,ROW(AS475)-ROW(AS$15),0),15-13*ORÇAMENTO!$AF$11)),0)</f>
        <v>0</v>
      </c>
      <c r="AT475" s="545">
        <f ca="1">IF(AND($D475="Serviço",AT$12&lt;&gt;0,$H475&gt;0,OR(AUTOEVENTO&lt;&gt;"manual",$M475&lt;&gt;1)),
IF(Import.TipoArredondamento&lt;&gt;"TransfereGOV",
ROUND(OFFSET($P475,0,AT$13),15-13*ORÇAMENTO!$AF$7)/$H475*OFFSET(ORÇAMENTO!$X$15,ROW(AT475)-ROW(AT$15),0),
ROUND(ROUND(OFFSET($P475,0,AT$13),15-13*ORÇAMENTO!$AF$7)*OFFSET(ORÇAMENTO!$W$15,ROW(AT475)-ROW(AT$15),0),15-13*ORÇAMENTO!$AF$11)),0)</f>
        <v>0</v>
      </c>
      <c r="AU475" s="545">
        <f ca="1">IF(AND($D475="Serviço",AU$12&lt;&gt;0,$H475&gt;0,OR(AUTOEVENTO&lt;&gt;"manual",$M475&lt;&gt;1)),
IF(Import.TipoArredondamento&lt;&gt;"TransfereGOV",
ROUND(OFFSET($P475,0,AU$13),15-13*ORÇAMENTO!$AF$7)/$H475*OFFSET(ORÇAMENTO!$X$15,ROW(AU475)-ROW(AU$15),0),
ROUND(ROUND(OFFSET($P475,0,AU$13),15-13*ORÇAMENTO!$AF$7)*OFFSET(ORÇAMENTO!$W$15,ROW(AU475)-ROW(AU$15),0),15-13*ORÇAMENTO!$AF$11)),0)</f>
        <v>0</v>
      </c>
      <c r="AV475" s="545">
        <f ca="1">IF(AND($D475="Serviço",AV$12&lt;&gt;0,$H475&gt;0,OR(AUTOEVENTO&lt;&gt;"manual",$M475&lt;&gt;1)),
IF(Import.TipoArredondamento&lt;&gt;"TransfereGOV",
ROUND(OFFSET($P475,0,AV$13),15-13*ORÇAMENTO!$AF$7)/$H475*OFFSET(ORÇAMENTO!$X$15,ROW(AV475)-ROW(AV$15),0),
ROUND(ROUND(OFFSET($P475,0,AV$13),15-13*ORÇAMENTO!$AF$7)*OFFSET(ORÇAMENTO!$W$15,ROW(AV475)-ROW(AV$15),0),15-13*ORÇAMENTO!$AF$11)),0)</f>
        <v>0</v>
      </c>
      <c r="AW475" s="545">
        <f ca="1">IF(AND($D475="Serviço",AW$12&lt;&gt;0,$H475&gt;0,OR(AUTOEVENTO&lt;&gt;"manual",$M475&lt;&gt;1)),
IF(Import.TipoArredondamento&lt;&gt;"TransfereGOV",
ROUND(OFFSET($P475,0,AW$13),15-13*ORÇAMENTO!$AF$7)/$H475*OFFSET(ORÇAMENTO!$X$15,ROW(AW475)-ROW(AW$15),0),
ROUND(ROUND(OFFSET($P475,0,AW$13),15-13*ORÇAMENTO!$AF$7)*OFFSET(ORÇAMENTO!$W$15,ROW(AW475)-ROW(AW$15),0),15-13*ORÇAMENTO!$AF$11)),0)</f>
        <v>0</v>
      </c>
      <c r="AX475" s="545">
        <f ca="1">IF(AND($D475="Serviço",AX$12&lt;&gt;0,$H475&gt;0,OR(AUTOEVENTO&lt;&gt;"manual",$M475&lt;&gt;1)),
IF(Import.TipoArredondamento&lt;&gt;"TransfereGOV",
ROUND(OFFSET($P475,0,AX$13),15-13*ORÇAMENTO!$AF$7)/$H475*OFFSET(ORÇAMENTO!$X$15,ROW(AX475)-ROW(AX$15),0),
ROUND(ROUND(OFFSET($P475,0,AX$13),15-13*ORÇAMENTO!$AF$7)*OFFSET(ORÇAMENTO!$W$15,ROW(AX475)-ROW(AX$15),0),15-13*ORÇAMENTO!$AF$11)),0)</f>
        <v>0</v>
      </c>
      <c r="AY475" s="545">
        <f ca="1">IF(AND($D475="Serviço",AY$12&lt;&gt;0,$H475&gt;0,OR(AUTOEVENTO&lt;&gt;"manual",$M475&lt;&gt;1)),
IF(Import.TipoArredondamento&lt;&gt;"TransfereGOV",
ROUND(OFFSET($P475,0,AY$13),15-13*ORÇAMENTO!$AF$7)/$H475*OFFSET(ORÇAMENTO!$X$15,ROW(AY475)-ROW(AY$15),0),
ROUND(ROUND(OFFSET($P475,0,AY$13),15-13*ORÇAMENTO!$AF$7)*OFFSET(ORÇAMENTO!$W$15,ROW(AY475)-ROW(AY$15),0),15-13*ORÇAMENTO!$AF$11)),0)</f>
        <v>0</v>
      </c>
      <c r="AZ475" s="545">
        <f ca="1">IF(AND($D475="Serviço",AZ$12&lt;&gt;0,$H475&gt;0,OR(AUTOEVENTO&lt;&gt;"manual",$M475&lt;&gt;1)),
IF(Import.TipoArredondamento&lt;&gt;"TransfereGOV",
ROUND(OFFSET($P475,0,AZ$13),15-13*ORÇAMENTO!$AF$7)/$H475*OFFSET(ORÇAMENTO!$X$15,ROW(AZ475)-ROW(AZ$15),0),
ROUND(ROUND(OFFSET($P475,0,AZ$13),15-13*ORÇAMENTO!$AF$7)*OFFSET(ORÇAMENTO!$W$15,ROW(AZ475)-ROW(AZ$15),0),15-13*ORÇAMENTO!$AF$11)),0)</f>
        <v>0</v>
      </c>
      <c r="BA475" s="546">
        <f ca="1">IF(AND($D475="Serviço",BA$12&lt;&gt;0,$H475&gt;0,OR(AUTOEVENTO&lt;&gt;"manual",$M475&lt;&gt;1)),
IF(Import.TipoArredondamento&lt;&gt;"TransfereGOV",
ROUND(OFFSET($P475,0,BA$13),15-13*ORÇAMENTO!$AF$7)/$H475*OFFSET(ORÇAMENTO!$X$15,ROW(BA475)-ROW(BA$15),0),
ROUND(ROUND(OFFSET($P475,0,BA$13),15-13*ORÇAMENTO!$AF$7)*OFFSET(ORÇAMENTO!$W$15,ROW(BA475)-ROW(BA$15),0),15-13*ORÇAMENTO!$AF$11)),0)</f>
        <v>0</v>
      </c>
      <c r="BC475" s="181">
        <f ca="1">IF($D475&lt;&gt;"Serviço",0,IF(AND(AUTOEVENTO="Manual",$M475=1),0,IF(OFFSET(CRONOPLE!$F$14,$M475,BC$13)="",10^12,OFFSET(CRONOPLE!$F$14,$M475,BC$13))))</f>
        <v>10</v>
      </c>
      <c r="BD475" s="181">
        <f ca="1">IF($D475&lt;&gt;"Serviço",0,IF(AND(AUTOEVENTO="Manual",$M475=1),0,IF(OFFSET(CRONOPLE!$F$14,$M475,BD$13)="",10^12,OFFSET(CRONOPLE!$F$14,$M475,BD$13))))</f>
        <v>1000000000000</v>
      </c>
      <c r="BE475" s="181">
        <f ca="1">IF($D475&lt;&gt;"Serviço",0,IF(AND(AUTOEVENTO="Manual",$M475=1),0,IF(OFFSET(CRONOPLE!$F$14,$M475,BE$13)="",10^12,OFFSET(CRONOPLE!$F$14,$M475,BE$13))))</f>
        <v>1000000000000</v>
      </c>
      <c r="BF475" s="181">
        <f ca="1">IF($D475&lt;&gt;"Serviço",0,IF(AND(AUTOEVENTO="Manual",$M475=1),0,IF(OFFSET(CRONOPLE!$F$14,$M475,BF$13)="",10^12,OFFSET(CRONOPLE!$F$14,$M475,BF$13))))</f>
        <v>1000000000000</v>
      </c>
      <c r="BG475" s="181">
        <f ca="1">IF($D475&lt;&gt;"Serviço",0,IF(AND(AUTOEVENTO="Manual",$M475=1),0,IF(OFFSET(CRONOPLE!$F$14,$M475,BG$13)="",10^12,OFFSET(CRONOPLE!$F$14,$M475,BG$13))))</f>
        <v>1000000000000</v>
      </c>
      <c r="BH475" s="181">
        <f ca="1">IF($D475&lt;&gt;"Serviço",0,IF(AND(AUTOEVENTO="Manual",$M475=1),0,IF(OFFSET(CRONOPLE!$F$14,$M475,BH$13)="",10^12,OFFSET(CRONOPLE!$F$14,$M475,BH$13))))</f>
        <v>1000000000000</v>
      </c>
      <c r="BI475" s="181">
        <f ca="1">IF($D475&lt;&gt;"Serviço",0,IF(AND(AUTOEVENTO="Manual",$M475=1),0,IF(OFFSET(CRONOPLE!$F$14,$M475,BI$13)="",10^12,OFFSET(CRONOPLE!$F$14,$M475,BI$13))))</f>
        <v>1000000000000</v>
      </c>
      <c r="BJ475" s="181">
        <f ca="1">IF($D475&lt;&gt;"Serviço",0,IF(AND(AUTOEVENTO="Manual",$M475=1),0,IF(OFFSET(CRONOPLE!$F$14,$M475,BJ$13)="",10^12,OFFSET(CRONOPLE!$F$14,$M475,BJ$13))))</f>
        <v>1000000000000</v>
      </c>
      <c r="BK475" s="181">
        <f ca="1">IF($D475&lt;&gt;"Serviço",0,IF(AND(AUTOEVENTO="Manual",$M475=1),0,IF(OFFSET(CRONOPLE!$F$14,$M475,BK$13)="",10^12,OFFSET(CRONOPLE!$F$14,$M475,BK$13))))</f>
        <v>1000000000000</v>
      </c>
      <c r="BL475" s="181">
        <f ca="1">IF($D475&lt;&gt;"Serviço",0,IF(AND(AUTOEVENTO="Manual",$M475=1),0,IF(OFFSET(CRONOPLE!$F$14,$M475,BL$13)="",10^12,OFFSET(CRONOPLE!$F$14,$M475,BL$13))))</f>
        <v>1000000000000</v>
      </c>
      <c r="BM475" s="181">
        <f ca="1">IF($D475&lt;&gt;"Serviço",0,IF(AND(AUTOEVENTO="Manual",$M475=1),0,IF(OFFSET(CRONOPLE!$F$14,$M475,BM$13)="",10^12,OFFSET(CRONOPLE!$F$14,$M475,BM$13))))</f>
        <v>1000000000000</v>
      </c>
      <c r="BN475" s="181">
        <f ca="1">IF($D475&lt;&gt;"Serviço",0,IF(AND(AUTOEVENTO="Manual",$M475=1),0,IF(OFFSET(CRONOPLE!$F$14,$M475,BN$13)="",10^12,OFFSET(CRONOPLE!$F$14,$M475,BN$13))))</f>
        <v>1000000000000</v>
      </c>
      <c r="BO475" s="181">
        <f ca="1">IF($D475&lt;&gt;"Serviço",0,IF(AND(AUTOEVENTO="Manual",$M475=1),0,IF(OFFSET(CRONOPLE!$F$14,$M475,BO$13)="",10^12,OFFSET(CRONOPLE!$F$14,$M475,BO$13))))</f>
        <v>1000000000000</v>
      </c>
      <c r="BP475" s="181">
        <f ca="1">IF($D475&lt;&gt;"Serviço",0,IF(AND(AUTOEVENTO="Manual",$M475=1),0,IF(OFFSET(CRONOPLE!$F$14,$M475,BP$13)="",10^12,OFFSET(CRONOPLE!$F$14,$M475,BP$13))))</f>
        <v>1000000000000</v>
      </c>
      <c r="BQ475" s="181">
        <f ca="1">IF($D475&lt;&gt;"Serviço",0,IF(AND(AUTOEVENTO="Manual",$M475=1),0,IF(OFFSET(CRONOPLE!$F$14,$M475,BQ$13)="",10^12,OFFSET(CRONOPLE!$F$14,$M475,BQ$13))))</f>
        <v>1000000000000</v>
      </c>
      <c r="BR475" s="181">
        <f ca="1">IF($D475&lt;&gt;"Serviço",0,IF(AND(AUTOEVENTO="Manual",$M475=1),0,IF(OFFSET(CRONOPLE!$F$14,$M475,BR$13)="",10^12,OFFSET(CRONOPLE!$F$14,$M475,BR$13))))</f>
        <v>1000000000000</v>
      </c>
      <c r="BS475" s="181">
        <f ca="1">IF($D475&lt;&gt;"Serviço",0,IF(AND(AUTOEVENTO="Manual",$M475=1),0,IF(OFFSET(CRONOPLE!$F$14,$M475,BS$13)="",10^12,OFFSET(CRONOPLE!$F$14,$M475,BS$13))))</f>
        <v>1000000000000</v>
      </c>
      <c r="BT475" s="181">
        <f ca="1">IF($D475&lt;&gt;"Serviço",0,IF(AND(AUTOEVENTO="Manual",$M475=1),0,IF(OFFSET(CRONOPLE!$F$14,$M475,BT$13)="",10^12,OFFSET(CRONOPLE!$F$14,$M475,BT$13))))</f>
        <v>1000000000000</v>
      </c>
      <c r="BV475" s="182">
        <f ca="1">IF($D475&lt;&gt;"Serviço",0,IF(OR(AND(AUTOEVENTO="Manual",$M475=1),$M475&gt;(ROW(PLE.lastrow)-ROW(PLE.firstrow))),0,IF(OFFSET(PLE!$G$14,$M475,BV$13)="",10^12,OFFSET(PLE!$G$14,$M475,BV$13))))</f>
        <v>1000000000000</v>
      </c>
      <c r="BW475" s="182">
        <f ca="1">IF($D475&lt;&gt;"Serviço",0,IF(OR(AND(AUTOEVENTO="Manual",$M475=1),$M475&gt;(ROW(PLE.lastrow)-ROW(PLE.firstrow))),0,IF(OFFSET(PLE!$G$14,$M475,BW$13)="",10^12,OFFSET(PLE!$G$14,$M475,BW$13))))</f>
        <v>1000000000000</v>
      </c>
      <c r="BX475" s="182">
        <f ca="1">IF($D475&lt;&gt;"Serviço",0,IF(OR(AND(AUTOEVENTO="Manual",$M475=1),$M475&gt;(ROW(PLE.lastrow)-ROW(PLE.firstrow))),0,IF(OFFSET(PLE!$G$14,$M475,BX$13)="",10^12,OFFSET(PLE!$G$14,$M475,BX$13))))</f>
        <v>1000000000000</v>
      </c>
      <c r="BY475" s="182">
        <f ca="1">IF($D475&lt;&gt;"Serviço",0,IF(OR(AND(AUTOEVENTO="Manual",$M475=1),$M475&gt;(ROW(PLE.lastrow)-ROW(PLE.firstrow))),0,IF(OFFSET(PLE!$G$14,$M475,BY$13)="",10^12,OFFSET(PLE!$G$14,$M475,BY$13))))</f>
        <v>1000000000000</v>
      </c>
      <c r="BZ475" s="182">
        <f ca="1">IF($D475&lt;&gt;"Serviço",0,IF(OR(AND(AUTOEVENTO="Manual",$M475=1),$M475&gt;(ROW(PLE.lastrow)-ROW(PLE.firstrow))),0,IF(OFFSET(PLE!$G$14,$M475,BZ$13)="",10^12,OFFSET(PLE!$G$14,$M475,BZ$13))))</f>
        <v>1000000000000</v>
      </c>
      <c r="CA475" s="182">
        <f ca="1">IF($D475&lt;&gt;"Serviço",0,IF(OR(AND(AUTOEVENTO="Manual",$M475=1),$M475&gt;(ROW(PLE.lastrow)-ROW(PLE.firstrow))),0,IF(OFFSET(PLE!$G$14,$M475,CA$13)="",10^12,OFFSET(PLE!$G$14,$M475,CA$13))))</f>
        <v>1000000000000</v>
      </c>
      <c r="CB475" s="182">
        <f ca="1">IF($D475&lt;&gt;"Serviço",0,IF(OR(AND(AUTOEVENTO="Manual",$M475=1),$M475&gt;(ROW(PLE.lastrow)-ROW(PLE.firstrow))),0,IF(OFFSET(PLE!$G$14,$M475,CB$13)="",10^12,OFFSET(PLE!$G$14,$M475,CB$13))))</f>
        <v>1000000000000</v>
      </c>
      <c r="CC475" s="182">
        <f ca="1">IF($D475&lt;&gt;"Serviço",0,IF(OR(AND(AUTOEVENTO="Manual",$M475=1),$M475&gt;(ROW(PLE.lastrow)-ROW(PLE.firstrow))),0,IF(OFFSET(PLE!$G$14,$M475,CC$13)="",10^12,OFFSET(PLE!$G$14,$M475,CC$13))))</f>
        <v>1000000000000</v>
      </c>
      <c r="CD475" s="182">
        <f ca="1">IF($D475&lt;&gt;"Serviço",0,IF(OR(AND(AUTOEVENTO="Manual",$M475=1),$M475&gt;(ROW(PLE.lastrow)-ROW(PLE.firstrow))),0,IF(OFFSET(PLE!$G$14,$M475,CD$13)="",10^12,OFFSET(PLE!$G$14,$M475,CD$13))))</f>
        <v>1000000000000</v>
      </c>
      <c r="CE475" s="182">
        <f ca="1">IF($D475&lt;&gt;"Serviço",0,IF(OR(AND(AUTOEVENTO="Manual",$M475=1),$M475&gt;(ROW(PLE.lastrow)-ROW(PLE.firstrow))),0,IF(OFFSET(PLE!$G$14,$M475,CE$13)="",10^12,OFFSET(PLE!$G$14,$M475,CE$13))))</f>
        <v>1000000000000</v>
      </c>
      <c r="CF475" s="182">
        <f ca="1">IF($D475&lt;&gt;"Serviço",0,IF(OR(AND(AUTOEVENTO="Manual",$M475=1),$M475&gt;(ROW(PLE.lastrow)-ROW(PLE.firstrow))),0,IF(OFFSET(PLE!$G$14,$M475,CF$13)="",10^12,OFFSET(PLE!$G$14,$M475,CF$13))))</f>
        <v>1000000000000</v>
      </c>
      <c r="CG475" s="182">
        <f ca="1">IF($D475&lt;&gt;"Serviço",0,IF(OR(AND(AUTOEVENTO="Manual",$M475=1),$M475&gt;(ROW(PLE.lastrow)-ROW(PLE.firstrow))),0,IF(OFFSET(PLE!$G$14,$M475,CG$13)="",10^12,OFFSET(PLE!$G$14,$M475,CG$13))))</f>
        <v>1000000000000</v>
      </c>
      <c r="CH475" s="182">
        <f ca="1">IF($D475&lt;&gt;"Serviço",0,IF(OR(AND(AUTOEVENTO="Manual",$M475=1),$M475&gt;(ROW(PLE.lastrow)-ROW(PLE.firstrow))),0,IF(OFFSET(PLE!$G$14,$M475,CH$13)="",10^12,OFFSET(PLE!$G$14,$M475,CH$13))))</f>
        <v>1000000000000</v>
      </c>
      <c r="CI475" s="182">
        <f ca="1">IF($D475&lt;&gt;"Serviço",0,IF(OR(AND(AUTOEVENTO="Manual",$M475=1),$M475&gt;(ROW(PLE.lastrow)-ROW(PLE.firstrow))),0,IF(OFFSET(PLE!$G$14,$M475,CI$13)="",10^12,OFFSET(PLE!$G$14,$M475,CI$13))))</f>
        <v>1000000000000</v>
      </c>
      <c r="CJ475" s="182">
        <f ca="1">IF($D475&lt;&gt;"Serviço",0,IF(OR(AND(AUTOEVENTO="Manual",$M475=1),$M475&gt;(ROW(PLE.lastrow)-ROW(PLE.firstrow))),0,IF(OFFSET(PLE!$G$14,$M475,CJ$13)="",10^12,OFFSET(PLE!$G$14,$M475,CJ$13))))</f>
        <v>1000000000000</v>
      </c>
      <c r="CK475" s="182">
        <f ca="1">IF($D475&lt;&gt;"Serviço",0,IF(OR(AND(AUTOEVENTO="Manual",$M475=1),$M475&gt;(ROW(PLE.lastrow)-ROW(PLE.firstrow))),0,IF(OFFSET(PLE!$G$14,$M475,CK$13)="",10^12,OFFSET(PLE!$G$14,$M475,CK$13))))</f>
        <v>1000000000000</v>
      </c>
      <c r="CL475" s="182">
        <f ca="1">IF($D475&lt;&gt;"Serviço",0,IF(OR(AND(AUTOEVENTO="Manual",$M475=1),$M475&gt;(ROW(PLE.lastrow)-ROW(PLE.firstrow))),0,IF(OFFSET(PLE!$G$14,$M475,CL$13)="",10^12,OFFSET(PLE!$G$14,$M475,CL$13))))</f>
        <v>1000000000000</v>
      </c>
      <c r="CM475" s="182">
        <f ca="1">IF($D475&lt;&gt;"Serviço",0,IF(OR(AND(AUTOEVENTO="Manual",$M475=1),$M475&gt;(ROW(PLE.lastrow)-ROW(PLE.firstrow))),0,IF(OFFSET(PLE!$G$14,$M475,CM$13)="",10^12,OFFSET(PLE!$G$14,$M475,CM$13))))</f>
        <v>1000000000000</v>
      </c>
    </row>
    <row r="476" spans="1:91" ht="25.5" x14ac:dyDescent="0.2">
      <c r="A476" s="7" t="str">
        <f t="shared" ca="1" si="16"/>
        <v>461.</v>
      </c>
      <c r="B476" s="7">
        <f ca="1">OFFSET(ORÇAMENTO!C$15,ROW(B476)-ROW(B$15),0)</f>
        <v>2</v>
      </c>
      <c r="C476" s="7" t="str">
        <f ca="1">OFFSET(ORÇAMENTO!L$15,ROW(C476)-ROW(C$15),0)</f>
        <v>F</v>
      </c>
      <c r="D476" s="118" t="str">
        <f ca="1">OFFSET(ORÇAMENTO!N$15,ROW(D476)-ROW(D$15),0)</f>
        <v>Nível 2</v>
      </c>
      <c r="E476" s="119" t="str">
        <f ca="1">OFFSET(ORÇAMENTO!O$15,ROW(E476)-ROW(E$15),0)</f>
        <v>1.50.</v>
      </c>
      <c r="F476" s="172" t="str">
        <f ca="1">OFFSET(ORÇAMENTO!R$15,ROW(F476)-ROW(F$15),0)</f>
        <v>INSTALAÇÃO ELÉTRICA 110V - ACESSÓRIOS PERFILADOS PERFURADOS</v>
      </c>
      <c r="G476" s="173" t="str">
        <f ca="1">IF($D476&lt;&gt;"Serviço","",OFFSET(ORÇAMENTO!S$15,ROW(G476)-ROW(G$15),0))</f>
        <v/>
      </c>
      <c r="H476" s="124">
        <f ca="1">IF($D476&lt;&gt;"Serviço",0,IF(ACOMPANHAMENTO="BM",ROUND(OFFSET(ORÇAMENTO!AJ$15,ROW(H476)-ROW(H$15),0),15-13*ORÇAMENTO!$AF$7),SUMPRODUCT(($Q$12:$AI$12&lt;&gt;"")*ROUND($Q476:$AI476,15-13*ORÇAMENTO!$AF$7))))</f>
        <v>0</v>
      </c>
      <c r="I476" s="561"/>
      <c r="K476" s="174"/>
      <c r="L476" s="175" t="s">
        <v>255</v>
      </c>
      <c r="M476" s="176" t="str">
        <f ca="1">IF($D476&lt;&gt;"Serviço","",IF(AUTOEVENTO="manual",$A476,IF(ISERROR(MATCH($A476,$A$15:OFFSET($A476,-1,0),0)),MAX($M$15:OFFSET(M476,-1,0))+1,INDEX($M$15:OFFSET(M476,-1,0),MATCH($A476,$A$15:OFFSET($A476,-1,0),0)))))</f>
        <v/>
      </c>
      <c r="N476" s="177" t="str">
        <f ca="1">IF($D476&lt;&gt;"Serviço","",IF(AUTOEVENTO="Manual",IF($A476=0,"&lt;-- defina o número do agrupador",OFFSET(EVENTOS!$D$14,$A476,0)),OFFSET($F$15,$A476,0)))</f>
        <v/>
      </c>
      <c r="O476" s="178"/>
      <c r="Q476" s="178">
        <v>0</v>
      </c>
      <c r="R476" s="179"/>
      <c r="S476" s="179"/>
      <c r="T476" s="179"/>
      <c r="U476" s="179"/>
      <c r="V476" s="179"/>
      <c r="W476" s="179"/>
      <c r="X476" s="179"/>
      <c r="Y476" s="179"/>
      <c r="Z476" s="180"/>
      <c r="AA476" s="179"/>
      <c r="AB476" s="179"/>
      <c r="AC476" s="179"/>
      <c r="AD476" s="179"/>
      <c r="AE476" s="179"/>
      <c r="AF476" s="179"/>
      <c r="AG476" s="179"/>
      <c r="AH476" s="180"/>
      <c r="AJ476" s="544">
        <f ca="1">IF(AND($D476="Serviço",AJ$12&lt;&gt;0,$H476&gt;0,OR(AUTOEVENTO&lt;&gt;"manual",$M476&lt;&gt;1)),
IF(Import.TipoArredondamento&lt;&gt;"TransfereGOV",
ROUND(OFFSET($P476,0,AJ$13),15-13*ORÇAMENTO!$AF$7)/$H476*OFFSET(ORÇAMENTO!$X$15,ROW(AJ476)-ROW(AJ$15),0),
ROUND(ROUND(OFFSET($P476,0,AJ$13),15-13*ORÇAMENTO!$AF$7)*OFFSET(ORÇAMENTO!$W$15,ROW(AJ476)-ROW(AJ$15),0),15-13*ORÇAMENTO!$AF$11)),0)</f>
        <v>0</v>
      </c>
      <c r="AK476" s="545">
        <f ca="1">IF(AND($D476="Serviço",AK$12&lt;&gt;0,$H476&gt;0,OR(AUTOEVENTO&lt;&gt;"manual",$M476&lt;&gt;1)),
IF(Import.TipoArredondamento&lt;&gt;"TransfereGOV",
ROUND(OFFSET($P476,0,AK$13),15-13*ORÇAMENTO!$AF$7)/$H476*OFFSET(ORÇAMENTO!$X$15,ROW(AK476)-ROW(AK$15),0),
ROUND(ROUND(OFFSET($P476,0,AK$13),15-13*ORÇAMENTO!$AF$7)*OFFSET(ORÇAMENTO!$W$15,ROW(AK476)-ROW(AK$15),0),15-13*ORÇAMENTO!$AF$11)),0)</f>
        <v>0</v>
      </c>
      <c r="AL476" s="545">
        <f ca="1">IF(AND($D476="Serviço",AL$12&lt;&gt;0,$H476&gt;0,OR(AUTOEVENTO&lt;&gt;"manual",$M476&lt;&gt;1)),
IF(Import.TipoArredondamento&lt;&gt;"TransfereGOV",
ROUND(OFFSET($P476,0,AL$13),15-13*ORÇAMENTO!$AF$7)/$H476*OFFSET(ORÇAMENTO!$X$15,ROW(AL476)-ROW(AL$15),0),
ROUND(ROUND(OFFSET($P476,0,AL$13),15-13*ORÇAMENTO!$AF$7)*OFFSET(ORÇAMENTO!$W$15,ROW(AL476)-ROW(AL$15),0),15-13*ORÇAMENTO!$AF$11)),0)</f>
        <v>0</v>
      </c>
      <c r="AM476" s="545">
        <f ca="1">IF(AND($D476="Serviço",AM$12&lt;&gt;0,$H476&gt;0,OR(AUTOEVENTO&lt;&gt;"manual",$M476&lt;&gt;1)),
IF(Import.TipoArredondamento&lt;&gt;"TransfereGOV",
ROUND(OFFSET($P476,0,AM$13),15-13*ORÇAMENTO!$AF$7)/$H476*OFFSET(ORÇAMENTO!$X$15,ROW(AM476)-ROW(AM$15),0),
ROUND(ROUND(OFFSET($P476,0,AM$13),15-13*ORÇAMENTO!$AF$7)*OFFSET(ORÇAMENTO!$W$15,ROW(AM476)-ROW(AM$15),0),15-13*ORÇAMENTO!$AF$11)),0)</f>
        <v>0</v>
      </c>
      <c r="AN476" s="545">
        <f ca="1">IF(AND($D476="Serviço",AN$12&lt;&gt;0,$H476&gt;0,OR(AUTOEVENTO&lt;&gt;"manual",$M476&lt;&gt;1)),
IF(Import.TipoArredondamento&lt;&gt;"TransfereGOV",
ROUND(OFFSET($P476,0,AN$13),15-13*ORÇAMENTO!$AF$7)/$H476*OFFSET(ORÇAMENTO!$X$15,ROW(AN476)-ROW(AN$15),0),
ROUND(ROUND(OFFSET($P476,0,AN$13),15-13*ORÇAMENTO!$AF$7)*OFFSET(ORÇAMENTO!$W$15,ROW(AN476)-ROW(AN$15),0),15-13*ORÇAMENTO!$AF$11)),0)</f>
        <v>0</v>
      </c>
      <c r="AO476" s="545">
        <f ca="1">IF(AND($D476="Serviço",AO$12&lt;&gt;0,$H476&gt;0,OR(AUTOEVENTO&lt;&gt;"manual",$M476&lt;&gt;1)),
IF(Import.TipoArredondamento&lt;&gt;"TransfereGOV",
ROUND(OFFSET($P476,0,AO$13),15-13*ORÇAMENTO!$AF$7)/$H476*OFFSET(ORÇAMENTO!$X$15,ROW(AO476)-ROW(AO$15),0),
ROUND(ROUND(OFFSET($P476,0,AO$13),15-13*ORÇAMENTO!$AF$7)*OFFSET(ORÇAMENTO!$W$15,ROW(AO476)-ROW(AO$15),0),15-13*ORÇAMENTO!$AF$11)),0)</f>
        <v>0</v>
      </c>
      <c r="AP476" s="545">
        <f ca="1">IF(AND($D476="Serviço",AP$12&lt;&gt;0,$H476&gt;0,OR(AUTOEVENTO&lt;&gt;"manual",$M476&lt;&gt;1)),
IF(Import.TipoArredondamento&lt;&gt;"TransfereGOV",
ROUND(OFFSET($P476,0,AP$13),15-13*ORÇAMENTO!$AF$7)/$H476*OFFSET(ORÇAMENTO!$X$15,ROW(AP476)-ROW(AP$15),0),
ROUND(ROUND(OFFSET($P476,0,AP$13),15-13*ORÇAMENTO!$AF$7)*OFFSET(ORÇAMENTO!$W$15,ROW(AP476)-ROW(AP$15),0),15-13*ORÇAMENTO!$AF$11)),0)</f>
        <v>0</v>
      </c>
      <c r="AQ476" s="545">
        <f ca="1">IF(AND($D476="Serviço",AQ$12&lt;&gt;0,$H476&gt;0,OR(AUTOEVENTO&lt;&gt;"manual",$M476&lt;&gt;1)),
IF(Import.TipoArredondamento&lt;&gt;"TransfereGOV",
ROUND(OFFSET($P476,0,AQ$13),15-13*ORÇAMENTO!$AF$7)/$H476*OFFSET(ORÇAMENTO!$X$15,ROW(AQ476)-ROW(AQ$15),0),
ROUND(ROUND(OFFSET($P476,0,AQ$13),15-13*ORÇAMENTO!$AF$7)*OFFSET(ORÇAMENTO!$W$15,ROW(AQ476)-ROW(AQ$15),0),15-13*ORÇAMENTO!$AF$11)),0)</f>
        <v>0</v>
      </c>
      <c r="AR476" s="545">
        <f ca="1">IF(AND($D476="Serviço",AR$12&lt;&gt;0,$H476&gt;0,OR(AUTOEVENTO&lt;&gt;"manual",$M476&lt;&gt;1)),
IF(Import.TipoArredondamento&lt;&gt;"TransfereGOV",
ROUND(OFFSET($P476,0,AR$13),15-13*ORÇAMENTO!$AF$7)/$H476*OFFSET(ORÇAMENTO!$X$15,ROW(AR476)-ROW(AR$15),0),
ROUND(ROUND(OFFSET($P476,0,AR$13),15-13*ORÇAMENTO!$AF$7)*OFFSET(ORÇAMENTO!$W$15,ROW(AR476)-ROW(AR$15),0),15-13*ORÇAMENTO!$AF$11)),0)</f>
        <v>0</v>
      </c>
      <c r="AS476" s="546">
        <f ca="1">IF(AND($D476="Serviço",AS$12&lt;&gt;0,$H476&gt;0,OR(AUTOEVENTO&lt;&gt;"manual",$M476&lt;&gt;1)),
IF(Import.TipoArredondamento&lt;&gt;"TransfereGOV",
ROUND(OFFSET($P476,0,AS$13),15-13*ORÇAMENTO!$AF$7)/$H476*OFFSET(ORÇAMENTO!$X$15,ROW(AS476)-ROW(AS$15),0),
ROUND(ROUND(OFFSET($P476,0,AS$13),15-13*ORÇAMENTO!$AF$7)*OFFSET(ORÇAMENTO!$W$15,ROW(AS476)-ROW(AS$15),0),15-13*ORÇAMENTO!$AF$11)),0)</f>
        <v>0</v>
      </c>
      <c r="AT476" s="545">
        <f ca="1">IF(AND($D476="Serviço",AT$12&lt;&gt;0,$H476&gt;0,OR(AUTOEVENTO&lt;&gt;"manual",$M476&lt;&gt;1)),
IF(Import.TipoArredondamento&lt;&gt;"TransfereGOV",
ROUND(OFFSET($P476,0,AT$13),15-13*ORÇAMENTO!$AF$7)/$H476*OFFSET(ORÇAMENTO!$X$15,ROW(AT476)-ROW(AT$15),0),
ROUND(ROUND(OFFSET($P476,0,AT$13),15-13*ORÇAMENTO!$AF$7)*OFFSET(ORÇAMENTO!$W$15,ROW(AT476)-ROW(AT$15),0),15-13*ORÇAMENTO!$AF$11)),0)</f>
        <v>0</v>
      </c>
      <c r="AU476" s="545">
        <f ca="1">IF(AND($D476="Serviço",AU$12&lt;&gt;0,$H476&gt;0,OR(AUTOEVENTO&lt;&gt;"manual",$M476&lt;&gt;1)),
IF(Import.TipoArredondamento&lt;&gt;"TransfereGOV",
ROUND(OFFSET($P476,0,AU$13),15-13*ORÇAMENTO!$AF$7)/$H476*OFFSET(ORÇAMENTO!$X$15,ROW(AU476)-ROW(AU$15),0),
ROUND(ROUND(OFFSET($P476,0,AU$13),15-13*ORÇAMENTO!$AF$7)*OFFSET(ORÇAMENTO!$W$15,ROW(AU476)-ROW(AU$15),0),15-13*ORÇAMENTO!$AF$11)),0)</f>
        <v>0</v>
      </c>
      <c r="AV476" s="545">
        <f ca="1">IF(AND($D476="Serviço",AV$12&lt;&gt;0,$H476&gt;0,OR(AUTOEVENTO&lt;&gt;"manual",$M476&lt;&gt;1)),
IF(Import.TipoArredondamento&lt;&gt;"TransfereGOV",
ROUND(OFFSET($P476,0,AV$13),15-13*ORÇAMENTO!$AF$7)/$H476*OFFSET(ORÇAMENTO!$X$15,ROW(AV476)-ROW(AV$15),0),
ROUND(ROUND(OFFSET($P476,0,AV$13),15-13*ORÇAMENTO!$AF$7)*OFFSET(ORÇAMENTO!$W$15,ROW(AV476)-ROW(AV$15),0),15-13*ORÇAMENTO!$AF$11)),0)</f>
        <v>0</v>
      </c>
      <c r="AW476" s="545">
        <f ca="1">IF(AND($D476="Serviço",AW$12&lt;&gt;0,$H476&gt;0,OR(AUTOEVENTO&lt;&gt;"manual",$M476&lt;&gt;1)),
IF(Import.TipoArredondamento&lt;&gt;"TransfereGOV",
ROUND(OFFSET($P476,0,AW$13),15-13*ORÇAMENTO!$AF$7)/$H476*OFFSET(ORÇAMENTO!$X$15,ROW(AW476)-ROW(AW$15),0),
ROUND(ROUND(OFFSET($P476,0,AW$13),15-13*ORÇAMENTO!$AF$7)*OFFSET(ORÇAMENTO!$W$15,ROW(AW476)-ROW(AW$15),0),15-13*ORÇAMENTO!$AF$11)),0)</f>
        <v>0</v>
      </c>
      <c r="AX476" s="545">
        <f ca="1">IF(AND($D476="Serviço",AX$12&lt;&gt;0,$H476&gt;0,OR(AUTOEVENTO&lt;&gt;"manual",$M476&lt;&gt;1)),
IF(Import.TipoArredondamento&lt;&gt;"TransfereGOV",
ROUND(OFFSET($P476,0,AX$13),15-13*ORÇAMENTO!$AF$7)/$H476*OFFSET(ORÇAMENTO!$X$15,ROW(AX476)-ROW(AX$15),0),
ROUND(ROUND(OFFSET($P476,0,AX$13),15-13*ORÇAMENTO!$AF$7)*OFFSET(ORÇAMENTO!$W$15,ROW(AX476)-ROW(AX$15),0),15-13*ORÇAMENTO!$AF$11)),0)</f>
        <v>0</v>
      </c>
      <c r="AY476" s="545">
        <f ca="1">IF(AND($D476="Serviço",AY$12&lt;&gt;0,$H476&gt;0,OR(AUTOEVENTO&lt;&gt;"manual",$M476&lt;&gt;1)),
IF(Import.TipoArredondamento&lt;&gt;"TransfereGOV",
ROUND(OFFSET($P476,0,AY$13),15-13*ORÇAMENTO!$AF$7)/$H476*OFFSET(ORÇAMENTO!$X$15,ROW(AY476)-ROW(AY$15),0),
ROUND(ROUND(OFFSET($P476,0,AY$13),15-13*ORÇAMENTO!$AF$7)*OFFSET(ORÇAMENTO!$W$15,ROW(AY476)-ROW(AY$15),0),15-13*ORÇAMENTO!$AF$11)),0)</f>
        <v>0</v>
      </c>
      <c r="AZ476" s="545">
        <f ca="1">IF(AND($D476="Serviço",AZ$12&lt;&gt;0,$H476&gt;0,OR(AUTOEVENTO&lt;&gt;"manual",$M476&lt;&gt;1)),
IF(Import.TipoArredondamento&lt;&gt;"TransfereGOV",
ROUND(OFFSET($P476,0,AZ$13),15-13*ORÇAMENTO!$AF$7)/$H476*OFFSET(ORÇAMENTO!$X$15,ROW(AZ476)-ROW(AZ$15),0),
ROUND(ROUND(OFFSET($P476,0,AZ$13),15-13*ORÇAMENTO!$AF$7)*OFFSET(ORÇAMENTO!$W$15,ROW(AZ476)-ROW(AZ$15),0),15-13*ORÇAMENTO!$AF$11)),0)</f>
        <v>0</v>
      </c>
      <c r="BA476" s="546">
        <f ca="1">IF(AND($D476="Serviço",BA$12&lt;&gt;0,$H476&gt;0,OR(AUTOEVENTO&lt;&gt;"manual",$M476&lt;&gt;1)),
IF(Import.TipoArredondamento&lt;&gt;"TransfereGOV",
ROUND(OFFSET($P476,0,BA$13),15-13*ORÇAMENTO!$AF$7)/$H476*OFFSET(ORÇAMENTO!$X$15,ROW(BA476)-ROW(BA$15),0),
ROUND(ROUND(OFFSET($P476,0,BA$13),15-13*ORÇAMENTO!$AF$7)*OFFSET(ORÇAMENTO!$W$15,ROW(BA476)-ROW(BA$15),0),15-13*ORÇAMENTO!$AF$11)),0)</f>
        <v>0</v>
      </c>
      <c r="BC476" s="181">
        <f ca="1">IF($D476&lt;&gt;"Serviço",0,IF(AND(AUTOEVENTO="Manual",$M476=1),0,IF(OFFSET(CRONOPLE!$F$14,$M476,BC$13)="",10^12,OFFSET(CRONOPLE!$F$14,$M476,BC$13))))</f>
        <v>0</v>
      </c>
      <c r="BD476" s="181">
        <f ca="1">IF($D476&lt;&gt;"Serviço",0,IF(AND(AUTOEVENTO="Manual",$M476=1),0,IF(OFFSET(CRONOPLE!$F$14,$M476,BD$13)="",10^12,OFFSET(CRONOPLE!$F$14,$M476,BD$13))))</f>
        <v>0</v>
      </c>
      <c r="BE476" s="181">
        <f ca="1">IF($D476&lt;&gt;"Serviço",0,IF(AND(AUTOEVENTO="Manual",$M476=1),0,IF(OFFSET(CRONOPLE!$F$14,$M476,BE$13)="",10^12,OFFSET(CRONOPLE!$F$14,$M476,BE$13))))</f>
        <v>0</v>
      </c>
      <c r="BF476" s="181">
        <f ca="1">IF($D476&lt;&gt;"Serviço",0,IF(AND(AUTOEVENTO="Manual",$M476=1),0,IF(OFFSET(CRONOPLE!$F$14,$M476,BF$13)="",10^12,OFFSET(CRONOPLE!$F$14,$M476,BF$13))))</f>
        <v>0</v>
      </c>
      <c r="BG476" s="181">
        <f ca="1">IF($D476&lt;&gt;"Serviço",0,IF(AND(AUTOEVENTO="Manual",$M476=1),0,IF(OFFSET(CRONOPLE!$F$14,$M476,BG$13)="",10^12,OFFSET(CRONOPLE!$F$14,$M476,BG$13))))</f>
        <v>0</v>
      </c>
      <c r="BH476" s="181">
        <f ca="1">IF($D476&lt;&gt;"Serviço",0,IF(AND(AUTOEVENTO="Manual",$M476=1),0,IF(OFFSET(CRONOPLE!$F$14,$M476,BH$13)="",10^12,OFFSET(CRONOPLE!$F$14,$M476,BH$13))))</f>
        <v>0</v>
      </c>
      <c r="BI476" s="181">
        <f ca="1">IF($D476&lt;&gt;"Serviço",0,IF(AND(AUTOEVENTO="Manual",$M476=1),0,IF(OFFSET(CRONOPLE!$F$14,$M476,BI$13)="",10^12,OFFSET(CRONOPLE!$F$14,$M476,BI$13))))</f>
        <v>0</v>
      </c>
      <c r="BJ476" s="181">
        <f ca="1">IF($D476&lt;&gt;"Serviço",0,IF(AND(AUTOEVENTO="Manual",$M476=1),0,IF(OFFSET(CRONOPLE!$F$14,$M476,BJ$13)="",10^12,OFFSET(CRONOPLE!$F$14,$M476,BJ$13))))</f>
        <v>0</v>
      </c>
      <c r="BK476" s="181">
        <f ca="1">IF($D476&lt;&gt;"Serviço",0,IF(AND(AUTOEVENTO="Manual",$M476=1),0,IF(OFFSET(CRONOPLE!$F$14,$M476,BK$13)="",10^12,OFFSET(CRONOPLE!$F$14,$M476,BK$13))))</f>
        <v>0</v>
      </c>
      <c r="BL476" s="181">
        <f ca="1">IF($D476&lt;&gt;"Serviço",0,IF(AND(AUTOEVENTO="Manual",$M476=1),0,IF(OFFSET(CRONOPLE!$F$14,$M476,BL$13)="",10^12,OFFSET(CRONOPLE!$F$14,$M476,BL$13))))</f>
        <v>0</v>
      </c>
      <c r="BM476" s="181">
        <f ca="1">IF($D476&lt;&gt;"Serviço",0,IF(AND(AUTOEVENTO="Manual",$M476=1),0,IF(OFFSET(CRONOPLE!$F$14,$M476,BM$13)="",10^12,OFFSET(CRONOPLE!$F$14,$M476,BM$13))))</f>
        <v>0</v>
      </c>
      <c r="BN476" s="181">
        <f ca="1">IF($D476&lt;&gt;"Serviço",0,IF(AND(AUTOEVENTO="Manual",$M476=1),0,IF(OFFSET(CRONOPLE!$F$14,$M476,BN$13)="",10^12,OFFSET(CRONOPLE!$F$14,$M476,BN$13))))</f>
        <v>0</v>
      </c>
      <c r="BO476" s="181">
        <f ca="1">IF($D476&lt;&gt;"Serviço",0,IF(AND(AUTOEVENTO="Manual",$M476=1),0,IF(OFFSET(CRONOPLE!$F$14,$M476,BO$13)="",10^12,OFFSET(CRONOPLE!$F$14,$M476,BO$13))))</f>
        <v>0</v>
      </c>
      <c r="BP476" s="181">
        <f ca="1">IF($D476&lt;&gt;"Serviço",0,IF(AND(AUTOEVENTO="Manual",$M476=1),0,IF(OFFSET(CRONOPLE!$F$14,$M476,BP$13)="",10^12,OFFSET(CRONOPLE!$F$14,$M476,BP$13))))</f>
        <v>0</v>
      </c>
      <c r="BQ476" s="181">
        <f ca="1">IF($D476&lt;&gt;"Serviço",0,IF(AND(AUTOEVENTO="Manual",$M476=1),0,IF(OFFSET(CRONOPLE!$F$14,$M476,BQ$13)="",10^12,OFFSET(CRONOPLE!$F$14,$M476,BQ$13))))</f>
        <v>0</v>
      </c>
      <c r="BR476" s="181">
        <f ca="1">IF($D476&lt;&gt;"Serviço",0,IF(AND(AUTOEVENTO="Manual",$M476=1),0,IF(OFFSET(CRONOPLE!$F$14,$M476,BR$13)="",10^12,OFFSET(CRONOPLE!$F$14,$M476,BR$13))))</f>
        <v>0</v>
      </c>
      <c r="BS476" s="181">
        <f ca="1">IF($D476&lt;&gt;"Serviço",0,IF(AND(AUTOEVENTO="Manual",$M476=1),0,IF(OFFSET(CRONOPLE!$F$14,$M476,BS$13)="",10^12,OFFSET(CRONOPLE!$F$14,$M476,BS$13))))</f>
        <v>0</v>
      </c>
      <c r="BT476" s="181">
        <f ca="1">IF($D476&lt;&gt;"Serviço",0,IF(AND(AUTOEVENTO="Manual",$M476=1),0,IF(OFFSET(CRONOPLE!$F$14,$M476,BT$13)="",10^12,OFFSET(CRONOPLE!$F$14,$M476,BT$13))))</f>
        <v>0</v>
      </c>
      <c r="BV476" s="182">
        <f ca="1">IF($D476&lt;&gt;"Serviço",0,IF(OR(AND(AUTOEVENTO="Manual",$M476=1),$M476&gt;(ROW(PLE.lastrow)-ROW(PLE.firstrow))),0,IF(OFFSET(PLE!$G$14,$M476,BV$13)="",10^12,OFFSET(PLE!$G$14,$M476,BV$13))))</f>
        <v>0</v>
      </c>
      <c r="BW476" s="182">
        <f ca="1">IF($D476&lt;&gt;"Serviço",0,IF(OR(AND(AUTOEVENTO="Manual",$M476=1),$M476&gt;(ROW(PLE.lastrow)-ROW(PLE.firstrow))),0,IF(OFFSET(PLE!$G$14,$M476,BW$13)="",10^12,OFFSET(PLE!$G$14,$M476,BW$13))))</f>
        <v>0</v>
      </c>
      <c r="BX476" s="182">
        <f ca="1">IF($D476&lt;&gt;"Serviço",0,IF(OR(AND(AUTOEVENTO="Manual",$M476=1),$M476&gt;(ROW(PLE.lastrow)-ROW(PLE.firstrow))),0,IF(OFFSET(PLE!$G$14,$M476,BX$13)="",10^12,OFFSET(PLE!$G$14,$M476,BX$13))))</f>
        <v>0</v>
      </c>
      <c r="BY476" s="182">
        <f ca="1">IF($D476&lt;&gt;"Serviço",0,IF(OR(AND(AUTOEVENTO="Manual",$M476=1),$M476&gt;(ROW(PLE.lastrow)-ROW(PLE.firstrow))),0,IF(OFFSET(PLE!$G$14,$M476,BY$13)="",10^12,OFFSET(PLE!$G$14,$M476,BY$13))))</f>
        <v>0</v>
      </c>
      <c r="BZ476" s="182">
        <f ca="1">IF($D476&lt;&gt;"Serviço",0,IF(OR(AND(AUTOEVENTO="Manual",$M476=1),$M476&gt;(ROW(PLE.lastrow)-ROW(PLE.firstrow))),0,IF(OFFSET(PLE!$G$14,$M476,BZ$13)="",10^12,OFFSET(PLE!$G$14,$M476,BZ$13))))</f>
        <v>0</v>
      </c>
      <c r="CA476" s="182">
        <f ca="1">IF($D476&lt;&gt;"Serviço",0,IF(OR(AND(AUTOEVENTO="Manual",$M476=1),$M476&gt;(ROW(PLE.lastrow)-ROW(PLE.firstrow))),0,IF(OFFSET(PLE!$G$14,$M476,CA$13)="",10^12,OFFSET(PLE!$G$14,$M476,CA$13))))</f>
        <v>0</v>
      </c>
      <c r="CB476" s="182">
        <f ca="1">IF($D476&lt;&gt;"Serviço",0,IF(OR(AND(AUTOEVENTO="Manual",$M476=1),$M476&gt;(ROW(PLE.lastrow)-ROW(PLE.firstrow))),0,IF(OFFSET(PLE!$G$14,$M476,CB$13)="",10^12,OFFSET(PLE!$G$14,$M476,CB$13))))</f>
        <v>0</v>
      </c>
      <c r="CC476" s="182">
        <f ca="1">IF($D476&lt;&gt;"Serviço",0,IF(OR(AND(AUTOEVENTO="Manual",$M476=1),$M476&gt;(ROW(PLE.lastrow)-ROW(PLE.firstrow))),0,IF(OFFSET(PLE!$G$14,$M476,CC$13)="",10^12,OFFSET(PLE!$G$14,$M476,CC$13))))</f>
        <v>0</v>
      </c>
      <c r="CD476" s="182">
        <f ca="1">IF($D476&lt;&gt;"Serviço",0,IF(OR(AND(AUTOEVENTO="Manual",$M476=1),$M476&gt;(ROW(PLE.lastrow)-ROW(PLE.firstrow))),0,IF(OFFSET(PLE!$G$14,$M476,CD$13)="",10^12,OFFSET(PLE!$G$14,$M476,CD$13))))</f>
        <v>0</v>
      </c>
      <c r="CE476" s="182">
        <f ca="1">IF($D476&lt;&gt;"Serviço",0,IF(OR(AND(AUTOEVENTO="Manual",$M476=1),$M476&gt;(ROW(PLE.lastrow)-ROW(PLE.firstrow))),0,IF(OFFSET(PLE!$G$14,$M476,CE$13)="",10^12,OFFSET(PLE!$G$14,$M476,CE$13))))</f>
        <v>0</v>
      </c>
      <c r="CF476" s="182">
        <f ca="1">IF($D476&lt;&gt;"Serviço",0,IF(OR(AND(AUTOEVENTO="Manual",$M476=1),$M476&gt;(ROW(PLE.lastrow)-ROW(PLE.firstrow))),0,IF(OFFSET(PLE!$G$14,$M476,CF$13)="",10^12,OFFSET(PLE!$G$14,$M476,CF$13))))</f>
        <v>0</v>
      </c>
      <c r="CG476" s="182">
        <f ca="1">IF($D476&lt;&gt;"Serviço",0,IF(OR(AND(AUTOEVENTO="Manual",$M476=1),$M476&gt;(ROW(PLE.lastrow)-ROW(PLE.firstrow))),0,IF(OFFSET(PLE!$G$14,$M476,CG$13)="",10^12,OFFSET(PLE!$G$14,$M476,CG$13))))</f>
        <v>0</v>
      </c>
      <c r="CH476" s="182">
        <f ca="1">IF($D476&lt;&gt;"Serviço",0,IF(OR(AND(AUTOEVENTO="Manual",$M476=1),$M476&gt;(ROW(PLE.lastrow)-ROW(PLE.firstrow))),0,IF(OFFSET(PLE!$G$14,$M476,CH$13)="",10^12,OFFSET(PLE!$G$14,$M476,CH$13))))</f>
        <v>0</v>
      </c>
      <c r="CI476" s="182">
        <f ca="1">IF($D476&lt;&gt;"Serviço",0,IF(OR(AND(AUTOEVENTO="Manual",$M476=1),$M476&gt;(ROW(PLE.lastrow)-ROW(PLE.firstrow))),0,IF(OFFSET(PLE!$G$14,$M476,CI$13)="",10^12,OFFSET(PLE!$G$14,$M476,CI$13))))</f>
        <v>0</v>
      </c>
      <c r="CJ476" s="182">
        <f ca="1">IF($D476&lt;&gt;"Serviço",0,IF(OR(AND(AUTOEVENTO="Manual",$M476=1),$M476&gt;(ROW(PLE.lastrow)-ROW(PLE.firstrow))),0,IF(OFFSET(PLE!$G$14,$M476,CJ$13)="",10^12,OFFSET(PLE!$G$14,$M476,CJ$13))))</f>
        <v>0</v>
      </c>
      <c r="CK476" s="182">
        <f ca="1">IF($D476&lt;&gt;"Serviço",0,IF(OR(AND(AUTOEVENTO="Manual",$M476=1),$M476&gt;(ROW(PLE.lastrow)-ROW(PLE.firstrow))),0,IF(OFFSET(PLE!$G$14,$M476,CK$13)="",10^12,OFFSET(PLE!$G$14,$M476,CK$13))))</f>
        <v>0</v>
      </c>
      <c r="CL476" s="182">
        <f ca="1">IF($D476&lt;&gt;"Serviço",0,IF(OR(AND(AUTOEVENTO="Manual",$M476=1),$M476&gt;(ROW(PLE.lastrow)-ROW(PLE.firstrow))),0,IF(OFFSET(PLE!$G$14,$M476,CL$13)="",10^12,OFFSET(PLE!$G$14,$M476,CL$13))))</f>
        <v>0</v>
      </c>
      <c r="CM476" s="182">
        <f ca="1">IF($D476&lt;&gt;"Serviço",0,IF(OR(AND(AUTOEVENTO="Manual",$M476=1),$M476&gt;(ROW(PLE.lastrow)-ROW(PLE.firstrow))),0,IF(OFFSET(PLE!$G$14,$M476,CM$13)="",10^12,OFFSET(PLE!$G$14,$M476,CM$13))))</f>
        <v>0</v>
      </c>
    </row>
    <row r="477" spans="1:91" ht="38.25" x14ac:dyDescent="0.2">
      <c r="A477" s="7" t="str">
        <f t="shared" ca="1" si="16"/>
        <v>461</v>
      </c>
      <c r="B477" s="7" t="str">
        <f ca="1">OFFSET(ORÇAMENTO!C$15,ROW(B477)-ROW(B$15),0)</f>
        <v>S</v>
      </c>
      <c r="C477" s="7" t="str">
        <f ca="1">OFFSET(ORÇAMENTO!L$15,ROW(C477)-ROW(C$15),0)</f>
        <v/>
      </c>
      <c r="D477" s="118" t="str">
        <f ca="1">OFFSET(ORÇAMENTO!N$15,ROW(D477)-ROW(D$15),0)</f>
        <v>Serviço</v>
      </c>
      <c r="E477" s="119" t="str">
        <f ca="1">OFFSET(ORÇAMENTO!O$15,ROW(E477)-ROW(E$15),0)</f>
        <v>-</v>
      </c>
      <c r="F477" s="172" t="str">
        <f ca="1">OFFSET(ORÇAMENTO!R$15,ROW(F477)-ROW(F$15),0)</f>
        <v>(abra o arquivo 'Referência 06-2024.xlsm)</v>
      </c>
      <c r="G477" s="173" t="str">
        <f ca="1">IF($D477&lt;&gt;"Serviço","",OFFSET(ORÇAMENTO!S$15,ROW(G477)-ROW(G$15),0))</f>
        <v>-</v>
      </c>
      <c r="H477" s="124">
        <f ca="1">IF($D477&lt;&gt;"Serviço",0,IF(ACOMPANHAMENTO="BM",ROUND(OFFSET(ORÇAMENTO!AJ$15,ROW(H477)-ROW(H$15),0),15-13*ORÇAMENTO!$AF$7),SUMPRODUCT(($Q$12:$AI$12&lt;&gt;"")*ROUND($Q477:$AI477,15-13*ORÇAMENTO!$AF$7))))</f>
        <v>1</v>
      </c>
      <c r="I477" s="561" t="s">
        <v>1107</v>
      </c>
      <c r="K477" s="174"/>
      <c r="L477" s="175" t="s">
        <v>255</v>
      </c>
      <c r="M477" s="176">
        <f ca="1">IF($D477&lt;&gt;"Serviço","",IF(AUTOEVENTO="manual",$A477,IF(ISERROR(MATCH($A477,$A$15:OFFSET($A477,-1,0),0)),MAX($M$15:OFFSET(M477,-1,0))+1,INDEX($M$15:OFFSET(M477,-1,0),MATCH($A477,$A$15:OFFSET($A477,-1,0),0)))))</f>
        <v>51</v>
      </c>
      <c r="N477" s="177" t="str">
        <f ca="1">IF($D477&lt;&gt;"Serviço","",IF(AUTOEVENTO="Manual",IF($A477=0,"&lt;-- defina o número do agrupador",OFFSET(EVENTOS!$D$14,$A477,0)),OFFSET($F$15,$A477,0)))</f>
        <v>INSTALAÇÃO ELÉTRICA 110V - ACESSÓRIOS PERFILADOS PERFURADOS</v>
      </c>
      <c r="O477" s="178"/>
      <c r="Q477" s="178">
        <v>1</v>
      </c>
      <c r="R477" s="179"/>
      <c r="S477" s="179"/>
      <c r="T477" s="179"/>
      <c r="U477" s="179"/>
      <c r="V477" s="179"/>
      <c r="W477" s="179"/>
      <c r="X477" s="179"/>
      <c r="Y477" s="179"/>
      <c r="Z477" s="180"/>
      <c r="AA477" s="179"/>
      <c r="AB477" s="179"/>
      <c r="AC477" s="179"/>
      <c r="AD477" s="179"/>
      <c r="AE477" s="179"/>
      <c r="AF477" s="179"/>
      <c r="AG477" s="179"/>
      <c r="AH477" s="180"/>
      <c r="AJ477" s="544">
        <f ca="1">IF(AND($D477="Serviço",AJ$12&lt;&gt;0,$H477&gt;0,OR(AUTOEVENTO&lt;&gt;"manual",$M477&lt;&gt;1)),
IF(Import.TipoArredondamento&lt;&gt;"TransfereGOV",
ROUND(OFFSET($P477,0,AJ$13),15-13*ORÇAMENTO!$AF$7)/$H477*OFFSET(ORÇAMENTO!$X$15,ROW(AJ477)-ROW(AJ$15),0),
ROUND(ROUND(OFFSET($P477,0,AJ$13),15-13*ORÇAMENTO!$AF$7)*OFFSET(ORÇAMENTO!$W$15,ROW(AJ477)-ROW(AJ$15),0),15-13*ORÇAMENTO!$AF$11)),0)</f>
        <v>0</v>
      </c>
      <c r="AK477" s="545">
        <f ca="1">IF(AND($D477="Serviço",AK$12&lt;&gt;0,$H477&gt;0,OR(AUTOEVENTO&lt;&gt;"manual",$M477&lt;&gt;1)),
IF(Import.TipoArredondamento&lt;&gt;"TransfereGOV",
ROUND(OFFSET($P477,0,AK$13),15-13*ORÇAMENTO!$AF$7)/$H477*OFFSET(ORÇAMENTO!$X$15,ROW(AK477)-ROW(AK$15),0),
ROUND(ROUND(OFFSET($P477,0,AK$13),15-13*ORÇAMENTO!$AF$7)*OFFSET(ORÇAMENTO!$W$15,ROW(AK477)-ROW(AK$15),0),15-13*ORÇAMENTO!$AF$11)),0)</f>
        <v>0</v>
      </c>
      <c r="AL477" s="545">
        <f ca="1">IF(AND($D477="Serviço",AL$12&lt;&gt;0,$H477&gt;0,OR(AUTOEVENTO&lt;&gt;"manual",$M477&lt;&gt;1)),
IF(Import.TipoArredondamento&lt;&gt;"TransfereGOV",
ROUND(OFFSET($P477,0,AL$13),15-13*ORÇAMENTO!$AF$7)/$H477*OFFSET(ORÇAMENTO!$X$15,ROW(AL477)-ROW(AL$15),0),
ROUND(ROUND(OFFSET($P477,0,AL$13),15-13*ORÇAMENTO!$AF$7)*OFFSET(ORÇAMENTO!$W$15,ROW(AL477)-ROW(AL$15),0),15-13*ORÇAMENTO!$AF$11)),0)</f>
        <v>0</v>
      </c>
      <c r="AM477" s="545">
        <f ca="1">IF(AND($D477="Serviço",AM$12&lt;&gt;0,$H477&gt;0,OR(AUTOEVENTO&lt;&gt;"manual",$M477&lt;&gt;1)),
IF(Import.TipoArredondamento&lt;&gt;"TransfereGOV",
ROUND(OFFSET($P477,0,AM$13),15-13*ORÇAMENTO!$AF$7)/$H477*OFFSET(ORÇAMENTO!$X$15,ROW(AM477)-ROW(AM$15),0),
ROUND(ROUND(OFFSET($P477,0,AM$13),15-13*ORÇAMENTO!$AF$7)*OFFSET(ORÇAMENTO!$W$15,ROW(AM477)-ROW(AM$15),0),15-13*ORÇAMENTO!$AF$11)),0)</f>
        <v>0</v>
      </c>
      <c r="AN477" s="545">
        <f ca="1">IF(AND($D477="Serviço",AN$12&lt;&gt;0,$H477&gt;0,OR(AUTOEVENTO&lt;&gt;"manual",$M477&lt;&gt;1)),
IF(Import.TipoArredondamento&lt;&gt;"TransfereGOV",
ROUND(OFFSET($P477,0,AN$13),15-13*ORÇAMENTO!$AF$7)/$H477*OFFSET(ORÇAMENTO!$X$15,ROW(AN477)-ROW(AN$15),0),
ROUND(ROUND(OFFSET($P477,0,AN$13),15-13*ORÇAMENTO!$AF$7)*OFFSET(ORÇAMENTO!$W$15,ROW(AN477)-ROW(AN$15),0),15-13*ORÇAMENTO!$AF$11)),0)</f>
        <v>0</v>
      </c>
      <c r="AO477" s="545">
        <f ca="1">IF(AND($D477="Serviço",AO$12&lt;&gt;0,$H477&gt;0,OR(AUTOEVENTO&lt;&gt;"manual",$M477&lt;&gt;1)),
IF(Import.TipoArredondamento&lt;&gt;"TransfereGOV",
ROUND(OFFSET($P477,0,AO$13),15-13*ORÇAMENTO!$AF$7)/$H477*OFFSET(ORÇAMENTO!$X$15,ROW(AO477)-ROW(AO$15),0),
ROUND(ROUND(OFFSET($P477,0,AO$13),15-13*ORÇAMENTO!$AF$7)*OFFSET(ORÇAMENTO!$W$15,ROW(AO477)-ROW(AO$15),0),15-13*ORÇAMENTO!$AF$11)),0)</f>
        <v>0</v>
      </c>
      <c r="AP477" s="545">
        <f ca="1">IF(AND($D477="Serviço",AP$12&lt;&gt;0,$H477&gt;0,OR(AUTOEVENTO&lt;&gt;"manual",$M477&lt;&gt;1)),
IF(Import.TipoArredondamento&lt;&gt;"TransfereGOV",
ROUND(OFFSET($P477,0,AP$13),15-13*ORÇAMENTO!$AF$7)/$H477*OFFSET(ORÇAMENTO!$X$15,ROW(AP477)-ROW(AP$15),0),
ROUND(ROUND(OFFSET($P477,0,AP$13),15-13*ORÇAMENTO!$AF$7)*OFFSET(ORÇAMENTO!$W$15,ROW(AP477)-ROW(AP$15),0),15-13*ORÇAMENTO!$AF$11)),0)</f>
        <v>0</v>
      </c>
      <c r="AQ477" s="545">
        <f ca="1">IF(AND($D477="Serviço",AQ$12&lt;&gt;0,$H477&gt;0,OR(AUTOEVENTO&lt;&gt;"manual",$M477&lt;&gt;1)),
IF(Import.TipoArredondamento&lt;&gt;"TransfereGOV",
ROUND(OFFSET($P477,0,AQ$13),15-13*ORÇAMENTO!$AF$7)/$H477*OFFSET(ORÇAMENTO!$X$15,ROW(AQ477)-ROW(AQ$15),0),
ROUND(ROUND(OFFSET($P477,0,AQ$13),15-13*ORÇAMENTO!$AF$7)*OFFSET(ORÇAMENTO!$W$15,ROW(AQ477)-ROW(AQ$15),0),15-13*ORÇAMENTO!$AF$11)),0)</f>
        <v>0</v>
      </c>
      <c r="AR477" s="545">
        <f ca="1">IF(AND($D477="Serviço",AR$12&lt;&gt;0,$H477&gt;0,OR(AUTOEVENTO&lt;&gt;"manual",$M477&lt;&gt;1)),
IF(Import.TipoArredondamento&lt;&gt;"TransfereGOV",
ROUND(OFFSET($P477,0,AR$13),15-13*ORÇAMENTO!$AF$7)/$H477*OFFSET(ORÇAMENTO!$X$15,ROW(AR477)-ROW(AR$15),0),
ROUND(ROUND(OFFSET($P477,0,AR$13),15-13*ORÇAMENTO!$AF$7)*OFFSET(ORÇAMENTO!$W$15,ROW(AR477)-ROW(AR$15),0),15-13*ORÇAMENTO!$AF$11)),0)</f>
        <v>0</v>
      </c>
      <c r="AS477" s="546">
        <f ca="1">IF(AND($D477="Serviço",AS$12&lt;&gt;0,$H477&gt;0,OR(AUTOEVENTO&lt;&gt;"manual",$M477&lt;&gt;1)),
IF(Import.TipoArredondamento&lt;&gt;"TransfereGOV",
ROUND(OFFSET($P477,0,AS$13),15-13*ORÇAMENTO!$AF$7)/$H477*OFFSET(ORÇAMENTO!$X$15,ROW(AS477)-ROW(AS$15),0),
ROUND(ROUND(OFFSET($P477,0,AS$13),15-13*ORÇAMENTO!$AF$7)*OFFSET(ORÇAMENTO!$W$15,ROW(AS477)-ROW(AS$15),0),15-13*ORÇAMENTO!$AF$11)),0)</f>
        <v>0</v>
      </c>
      <c r="AT477" s="545">
        <f ca="1">IF(AND($D477="Serviço",AT$12&lt;&gt;0,$H477&gt;0,OR(AUTOEVENTO&lt;&gt;"manual",$M477&lt;&gt;1)),
IF(Import.TipoArredondamento&lt;&gt;"TransfereGOV",
ROUND(OFFSET($P477,0,AT$13),15-13*ORÇAMENTO!$AF$7)/$H477*OFFSET(ORÇAMENTO!$X$15,ROW(AT477)-ROW(AT$15),0),
ROUND(ROUND(OFFSET($P477,0,AT$13),15-13*ORÇAMENTO!$AF$7)*OFFSET(ORÇAMENTO!$W$15,ROW(AT477)-ROW(AT$15),0),15-13*ORÇAMENTO!$AF$11)),0)</f>
        <v>0</v>
      </c>
      <c r="AU477" s="545">
        <f ca="1">IF(AND($D477="Serviço",AU$12&lt;&gt;0,$H477&gt;0,OR(AUTOEVENTO&lt;&gt;"manual",$M477&lt;&gt;1)),
IF(Import.TipoArredondamento&lt;&gt;"TransfereGOV",
ROUND(OFFSET($P477,0,AU$13),15-13*ORÇAMENTO!$AF$7)/$H477*OFFSET(ORÇAMENTO!$X$15,ROW(AU477)-ROW(AU$15),0),
ROUND(ROUND(OFFSET($P477,0,AU$13),15-13*ORÇAMENTO!$AF$7)*OFFSET(ORÇAMENTO!$W$15,ROW(AU477)-ROW(AU$15),0),15-13*ORÇAMENTO!$AF$11)),0)</f>
        <v>0</v>
      </c>
      <c r="AV477" s="545">
        <f ca="1">IF(AND($D477="Serviço",AV$12&lt;&gt;0,$H477&gt;0,OR(AUTOEVENTO&lt;&gt;"manual",$M477&lt;&gt;1)),
IF(Import.TipoArredondamento&lt;&gt;"TransfereGOV",
ROUND(OFFSET($P477,0,AV$13),15-13*ORÇAMENTO!$AF$7)/$H477*OFFSET(ORÇAMENTO!$X$15,ROW(AV477)-ROW(AV$15),0),
ROUND(ROUND(OFFSET($P477,0,AV$13),15-13*ORÇAMENTO!$AF$7)*OFFSET(ORÇAMENTO!$W$15,ROW(AV477)-ROW(AV$15),0),15-13*ORÇAMENTO!$AF$11)),0)</f>
        <v>0</v>
      </c>
      <c r="AW477" s="545">
        <f ca="1">IF(AND($D477="Serviço",AW$12&lt;&gt;0,$H477&gt;0,OR(AUTOEVENTO&lt;&gt;"manual",$M477&lt;&gt;1)),
IF(Import.TipoArredondamento&lt;&gt;"TransfereGOV",
ROUND(OFFSET($P477,0,AW$13),15-13*ORÇAMENTO!$AF$7)/$H477*OFFSET(ORÇAMENTO!$X$15,ROW(AW477)-ROW(AW$15),0),
ROUND(ROUND(OFFSET($P477,0,AW$13),15-13*ORÇAMENTO!$AF$7)*OFFSET(ORÇAMENTO!$W$15,ROW(AW477)-ROW(AW$15),0),15-13*ORÇAMENTO!$AF$11)),0)</f>
        <v>0</v>
      </c>
      <c r="AX477" s="545">
        <f ca="1">IF(AND($D477="Serviço",AX$12&lt;&gt;0,$H477&gt;0,OR(AUTOEVENTO&lt;&gt;"manual",$M477&lt;&gt;1)),
IF(Import.TipoArredondamento&lt;&gt;"TransfereGOV",
ROUND(OFFSET($P477,0,AX$13),15-13*ORÇAMENTO!$AF$7)/$H477*OFFSET(ORÇAMENTO!$X$15,ROW(AX477)-ROW(AX$15),0),
ROUND(ROUND(OFFSET($P477,0,AX$13),15-13*ORÇAMENTO!$AF$7)*OFFSET(ORÇAMENTO!$W$15,ROW(AX477)-ROW(AX$15),0),15-13*ORÇAMENTO!$AF$11)),0)</f>
        <v>0</v>
      </c>
      <c r="AY477" s="545">
        <f ca="1">IF(AND($D477="Serviço",AY$12&lt;&gt;0,$H477&gt;0,OR(AUTOEVENTO&lt;&gt;"manual",$M477&lt;&gt;1)),
IF(Import.TipoArredondamento&lt;&gt;"TransfereGOV",
ROUND(OFFSET($P477,0,AY$13),15-13*ORÇAMENTO!$AF$7)/$H477*OFFSET(ORÇAMENTO!$X$15,ROW(AY477)-ROW(AY$15),0),
ROUND(ROUND(OFFSET($P477,0,AY$13),15-13*ORÇAMENTO!$AF$7)*OFFSET(ORÇAMENTO!$W$15,ROW(AY477)-ROW(AY$15),0),15-13*ORÇAMENTO!$AF$11)),0)</f>
        <v>0</v>
      </c>
      <c r="AZ477" s="545">
        <f ca="1">IF(AND($D477="Serviço",AZ$12&lt;&gt;0,$H477&gt;0,OR(AUTOEVENTO&lt;&gt;"manual",$M477&lt;&gt;1)),
IF(Import.TipoArredondamento&lt;&gt;"TransfereGOV",
ROUND(OFFSET($P477,0,AZ$13),15-13*ORÇAMENTO!$AF$7)/$H477*OFFSET(ORÇAMENTO!$X$15,ROW(AZ477)-ROW(AZ$15),0),
ROUND(ROUND(OFFSET($P477,0,AZ$13),15-13*ORÇAMENTO!$AF$7)*OFFSET(ORÇAMENTO!$W$15,ROW(AZ477)-ROW(AZ$15),0),15-13*ORÇAMENTO!$AF$11)),0)</f>
        <v>0</v>
      </c>
      <c r="BA477" s="546">
        <f ca="1">IF(AND($D477="Serviço",BA$12&lt;&gt;0,$H477&gt;0,OR(AUTOEVENTO&lt;&gt;"manual",$M477&lt;&gt;1)),
IF(Import.TipoArredondamento&lt;&gt;"TransfereGOV",
ROUND(OFFSET($P477,0,BA$13),15-13*ORÇAMENTO!$AF$7)/$H477*OFFSET(ORÇAMENTO!$X$15,ROW(BA477)-ROW(BA$15),0),
ROUND(ROUND(OFFSET($P477,0,BA$13),15-13*ORÇAMENTO!$AF$7)*OFFSET(ORÇAMENTO!$W$15,ROW(BA477)-ROW(BA$15),0),15-13*ORÇAMENTO!$AF$11)),0)</f>
        <v>0</v>
      </c>
      <c r="BC477" s="181">
        <f ca="1">IF($D477&lt;&gt;"Serviço",0,IF(AND(AUTOEVENTO="Manual",$M477=1),0,IF(OFFSET(CRONOPLE!$F$14,$M477,BC$13)="",10^12,OFFSET(CRONOPLE!$F$14,$M477,BC$13))))</f>
        <v>10</v>
      </c>
      <c r="BD477" s="181">
        <f ca="1">IF($D477&lt;&gt;"Serviço",0,IF(AND(AUTOEVENTO="Manual",$M477=1),0,IF(OFFSET(CRONOPLE!$F$14,$M477,BD$13)="",10^12,OFFSET(CRONOPLE!$F$14,$M477,BD$13))))</f>
        <v>1000000000000</v>
      </c>
      <c r="BE477" s="181">
        <f ca="1">IF($D477&lt;&gt;"Serviço",0,IF(AND(AUTOEVENTO="Manual",$M477=1),0,IF(OFFSET(CRONOPLE!$F$14,$M477,BE$13)="",10^12,OFFSET(CRONOPLE!$F$14,$M477,BE$13))))</f>
        <v>1000000000000</v>
      </c>
      <c r="BF477" s="181">
        <f ca="1">IF($D477&lt;&gt;"Serviço",0,IF(AND(AUTOEVENTO="Manual",$M477=1),0,IF(OFFSET(CRONOPLE!$F$14,$M477,BF$13)="",10^12,OFFSET(CRONOPLE!$F$14,$M477,BF$13))))</f>
        <v>1000000000000</v>
      </c>
      <c r="BG477" s="181">
        <f ca="1">IF($D477&lt;&gt;"Serviço",0,IF(AND(AUTOEVENTO="Manual",$M477=1),0,IF(OFFSET(CRONOPLE!$F$14,$M477,BG$13)="",10^12,OFFSET(CRONOPLE!$F$14,$M477,BG$13))))</f>
        <v>1000000000000</v>
      </c>
      <c r="BH477" s="181">
        <f ca="1">IF($D477&lt;&gt;"Serviço",0,IF(AND(AUTOEVENTO="Manual",$M477=1),0,IF(OFFSET(CRONOPLE!$F$14,$M477,BH$13)="",10^12,OFFSET(CRONOPLE!$F$14,$M477,BH$13))))</f>
        <v>1000000000000</v>
      </c>
      <c r="BI477" s="181">
        <f ca="1">IF($D477&lt;&gt;"Serviço",0,IF(AND(AUTOEVENTO="Manual",$M477=1),0,IF(OFFSET(CRONOPLE!$F$14,$M477,BI$13)="",10^12,OFFSET(CRONOPLE!$F$14,$M477,BI$13))))</f>
        <v>1000000000000</v>
      </c>
      <c r="BJ477" s="181">
        <f ca="1">IF($D477&lt;&gt;"Serviço",0,IF(AND(AUTOEVENTO="Manual",$M477=1),0,IF(OFFSET(CRONOPLE!$F$14,$M477,BJ$13)="",10^12,OFFSET(CRONOPLE!$F$14,$M477,BJ$13))))</f>
        <v>1000000000000</v>
      </c>
      <c r="BK477" s="181">
        <f ca="1">IF($D477&lt;&gt;"Serviço",0,IF(AND(AUTOEVENTO="Manual",$M477=1),0,IF(OFFSET(CRONOPLE!$F$14,$M477,BK$13)="",10^12,OFFSET(CRONOPLE!$F$14,$M477,BK$13))))</f>
        <v>1000000000000</v>
      </c>
      <c r="BL477" s="181">
        <f ca="1">IF($D477&lt;&gt;"Serviço",0,IF(AND(AUTOEVENTO="Manual",$M477=1),0,IF(OFFSET(CRONOPLE!$F$14,$M477,BL$13)="",10^12,OFFSET(CRONOPLE!$F$14,$M477,BL$13))))</f>
        <v>1000000000000</v>
      </c>
      <c r="BM477" s="181">
        <f ca="1">IF($D477&lt;&gt;"Serviço",0,IF(AND(AUTOEVENTO="Manual",$M477=1),0,IF(OFFSET(CRONOPLE!$F$14,$M477,BM$13)="",10^12,OFFSET(CRONOPLE!$F$14,$M477,BM$13))))</f>
        <v>1000000000000</v>
      </c>
      <c r="BN477" s="181">
        <f ca="1">IF($D477&lt;&gt;"Serviço",0,IF(AND(AUTOEVENTO="Manual",$M477=1),0,IF(OFFSET(CRONOPLE!$F$14,$M477,BN$13)="",10^12,OFFSET(CRONOPLE!$F$14,$M477,BN$13))))</f>
        <v>1000000000000</v>
      </c>
      <c r="BO477" s="181">
        <f ca="1">IF($D477&lt;&gt;"Serviço",0,IF(AND(AUTOEVENTO="Manual",$M477=1),0,IF(OFFSET(CRONOPLE!$F$14,$M477,BO$13)="",10^12,OFFSET(CRONOPLE!$F$14,$M477,BO$13))))</f>
        <v>1000000000000</v>
      </c>
      <c r="BP477" s="181">
        <f ca="1">IF($D477&lt;&gt;"Serviço",0,IF(AND(AUTOEVENTO="Manual",$M477=1),0,IF(OFFSET(CRONOPLE!$F$14,$M477,BP$13)="",10^12,OFFSET(CRONOPLE!$F$14,$M477,BP$13))))</f>
        <v>1000000000000</v>
      </c>
      <c r="BQ477" s="181">
        <f ca="1">IF($D477&lt;&gt;"Serviço",0,IF(AND(AUTOEVENTO="Manual",$M477=1),0,IF(OFFSET(CRONOPLE!$F$14,$M477,BQ$13)="",10^12,OFFSET(CRONOPLE!$F$14,$M477,BQ$13))))</f>
        <v>1000000000000</v>
      </c>
      <c r="BR477" s="181">
        <f ca="1">IF($D477&lt;&gt;"Serviço",0,IF(AND(AUTOEVENTO="Manual",$M477=1),0,IF(OFFSET(CRONOPLE!$F$14,$M477,BR$13)="",10^12,OFFSET(CRONOPLE!$F$14,$M477,BR$13))))</f>
        <v>1000000000000</v>
      </c>
      <c r="BS477" s="181">
        <f ca="1">IF($D477&lt;&gt;"Serviço",0,IF(AND(AUTOEVENTO="Manual",$M477=1),0,IF(OFFSET(CRONOPLE!$F$14,$M477,BS$13)="",10^12,OFFSET(CRONOPLE!$F$14,$M477,BS$13))))</f>
        <v>1000000000000</v>
      </c>
      <c r="BT477" s="181">
        <f ca="1">IF($D477&lt;&gt;"Serviço",0,IF(AND(AUTOEVENTO="Manual",$M477=1),0,IF(OFFSET(CRONOPLE!$F$14,$M477,BT$13)="",10^12,OFFSET(CRONOPLE!$F$14,$M477,BT$13))))</f>
        <v>1000000000000</v>
      </c>
      <c r="BV477" s="182">
        <f ca="1">IF($D477&lt;&gt;"Serviço",0,IF(OR(AND(AUTOEVENTO="Manual",$M477=1),$M477&gt;(ROW(PLE.lastrow)-ROW(PLE.firstrow))),0,IF(OFFSET(PLE!$G$14,$M477,BV$13)="",10^12,OFFSET(PLE!$G$14,$M477,BV$13))))</f>
        <v>1000000000000</v>
      </c>
      <c r="BW477" s="182">
        <f ca="1">IF($D477&lt;&gt;"Serviço",0,IF(OR(AND(AUTOEVENTO="Manual",$M477=1),$M477&gt;(ROW(PLE.lastrow)-ROW(PLE.firstrow))),0,IF(OFFSET(PLE!$G$14,$M477,BW$13)="",10^12,OFFSET(PLE!$G$14,$M477,BW$13))))</f>
        <v>1000000000000</v>
      </c>
      <c r="BX477" s="182">
        <f ca="1">IF($D477&lt;&gt;"Serviço",0,IF(OR(AND(AUTOEVENTO="Manual",$M477=1),$M477&gt;(ROW(PLE.lastrow)-ROW(PLE.firstrow))),0,IF(OFFSET(PLE!$G$14,$M477,BX$13)="",10^12,OFFSET(PLE!$G$14,$M477,BX$13))))</f>
        <v>1000000000000</v>
      </c>
      <c r="BY477" s="182">
        <f ca="1">IF($D477&lt;&gt;"Serviço",0,IF(OR(AND(AUTOEVENTO="Manual",$M477=1),$M477&gt;(ROW(PLE.lastrow)-ROW(PLE.firstrow))),0,IF(OFFSET(PLE!$G$14,$M477,BY$13)="",10^12,OFFSET(PLE!$G$14,$M477,BY$13))))</f>
        <v>1000000000000</v>
      </c>
      <c r="BZ477" s="182">
        <f ca="1">IF($D477&lt;&gt;"Serviço",0,IF(OR(AND(AUTOEVENTO="Manual",$M477=1),$M477&gt;(ROW(PLE.lastrow)-ROW(PLE.firstrow))),0,IF(OFFSET(PLE!$G$14,$M477,BZ$13)="",10^12,OFFSET(PLE!$G$14,$M477,BZ$13))))</f>
        <v>1000000000000</v>
      </c>
      <c r="CA477" s="182">
        <f ca="1">IF($D477&lt;&gt;"Serviço",0,IF(OR(AND(AUTOEVENTO="Manual",$M477=1),$M477&gt;(ROW(PLE.lastrow)-ROW(PLE.firstrow))),0,IF(OFFSET(PLE!$G$14,$M477,CA$13)="",10^12,OFFSET(PLE!$G$14,$M477,CA$13))))</f>
        <v>1000000000000</v>
      </c>
      <c r="CB477" s="182">
        <f ca="1">IF($D477&lt;&gt;"Serviço",0,IF(OR(AND(AUTOEVENTO="Manual",$M477=1),$M477&gt;(ROW(PLE.lastrow)-ROW(PLE.firstrow))),0,IF(OFFSET(PLE!$G$14,$M477,CB$13)="",10^12,OFFSET(PLE!$G$14,$M477,CB$13))))</f>
        <v>1000000000000</v>
      </c>
      <c r="CC477" s="182">
        <f ca="1">IF($D477&lt;&gt;"Serviço",0,IF(OR(AND(AUTOEVENTO="Manual",$M477=1),$M477&gt;(ROW(PLE.lastrow)-ROW(PLE.firstrow))),0,IF(OFFSET(PLE!$G$14,$M477,CC$13)="",10^12,OFFSET(PLE!$G$14,$M477,CC$13))))</f>
        <v>1000000000000</v>
      </c>
      <c r="CD477" s="182">
        <f ca="1">IF($D477&lt;&gt;"Serviço",0,IF(OR(AND(AUTOEVENTO="Manual",$M477=1),$M477&gt;(ROW(PLE.lastrow)-ROW(PLE.firstrow))),0,IF(OFFSET(PLE!$G$14,$M477,CD$13)="",10^12,OFFSET(PLE!$G$14,$M477,CD$13))))</f>
        <v>1000000000000</v>
      </c>
      <c r="CE477" s="182">
        <f ca="1">IF($D477&lt;&gt;"Serviço",0,IF(OR(AND(AUTOEVENTO="Manual",$M477=1),$M477&gt;(ROW(PLE.lastrow)-ROW(PLE.firstrow))),0,IF(OFFSET(PLE!$G$14,$M477,CE$13)="",10^12,OFFSET(PLE!$G$14,$M477,CE$13))))</f>
        <v>1000000000000</v>
      </c>
      <c r="CF477" s="182">
        <f ca="1">IF($D477&lt;&gt;"Serviço",0,IF(OR(AND(AUTOEVENTO="Manual",$M477=1),$M477&gt;(ROW(PLE.lastrow)-ROW(PLE.firstrow))),0,IF(OFFSET(PLE!$G$14,$M477,CF$13)="",10^12,OFFSET(PLE!$G$14,$M477,CF$13))))</f>
        <v>1000000000000</v>
      </c>
      <c r="CG477" s="182">
        <f ca="1">IF($D477&lt;&gt;"Serviço",0,IF(OR(AND(AUTOEVENTO="Manual",$M477=1),$M477&gt;(ROW(PLE.lastrow)-ROW(PLE.firstrow))),0,IF(OFFSET(PLE!$G$14,$M477,CG$13)="",10^12,OFFSET(PLE!$G$14,$M477,CG$13))))</f>
        <v>1000000000000</v>
      </c>
      <c r="CH477" s="182">
        <f ca="1">IF($D477&lt;&gt;"Serviço",0,IF(OR(AND(AUTOEVENTO="Manual",$M477=1),$M477&gt;(ROW(PLE.lastrow)-ROW(PLE.firstrow))),0,IF(OFFSET(PLE!$G$14,$M477,CH$13)="",10^12,OFFSET(PLE!$G$14,$M477,CH$13))))</f>
        <v>1000000000000</v>
      </c>
      <c r="CI477" s="182">
        <f ca="1">IF($D477&lt;&gt;"Serviço",0,IF(OR(AND(AUTOEVENTO="Manual",$M477=1),$M477&gt;(ROW(PLE.lastrow)-ROW(PLE.firstrow))),0,IF(OFFSET(PLE!$G$14,$M477,CI$13)="",10^12,OFFSET(PLE!$G$14,$M477,CI$13))))</f>
        <v>1000000000000</v>
      </c>
      <c r="CJ477" s="182">
        <f ca="1">IF($D477&lt;&gt;"Serviço",0,IF(OR(AND(AUTOEVENTO="Manual",$M477=1),$M477&gt;(ROW(PLE.lastrow)-ROW(PLE.firstrow))),0,IF(OFFSET(PLE!$G$14,$M477,CJ$13)="",10^12,OFFSET(PLE!$G$14,$M477,CJ$13))))</f>
        <v>1000000000000</v>
      </c>
      <c r="CK477" s="182">
        <f ca="1">IF($D477&lt;&gt;"Serviço",0,IF(OR(AND(AUTOEVENTO="Manual",$M477=1),$M477&gt;(ROW(PLE.lastrow)-ROW(PLE.firstrow))),0,IF(OFFSET(PLE!$G$14,$M477,CK$13)="",10^12,OFFSET(PLE!$G$14,$M477,CK$13))))</f>
        <v>1000000000000</v>
      </c>
      <c r="CL477" s="182">
        <f ca="1">IF($D477&lt;&gt;"Serviço",0,IF(OR(AND(AUTOEVENTO="Manual",$M477=1),$M477&gt;(ROW(PLE.lastrow)-ROW(PLE.firstrow))),0,IF(OFFSET(PLE!$G$14,$M477,CL$13)="",10^12,OFFSET(PLE!$G$14,$M477,CL$13))))</f>
        <v>1000000000000</v>
      </c>
      <c r="CM477" s="182">
        <f ca="1">IF($D477&lt;&gt;"Serviço",0,IF(OR(AND(AUTOEVENTO="Manual",$M477=1),$M477&gt;(ROW(PLE.lastrow)-ROW(PLE.firstrow))),0,IF(OFFSET(PLE!$G$14,$M477,CM$13)="",10^12,OFFSET(PLE!$G$14,$M477,CM$13))))</f>
        <v>1000000000000</v>
      </c>
    </row>
    <row r="478" spans="1:91" ht="38.25" x14ac:dyDescent="0.2">
      <c r="A478" s="7" t="str">
        <f t="shared" ca="1" si="16"/>
        <v>461</v>
      </c>
      <c r="B478" s="7" t="str">
        <f ca="1">OFFSET(ORÇAMENTO!C$15,ROW(B478)-ROW(B$15),0)</f>
        <v>S</v>
      </c>
      <c r="C478" s="7" t="str">
        <f ca="1">OFFSET(ORÇAMENTO!L$15,ROW(C478)-ROW(C$15),0)</f>
        <v/>
      </c>
      <c r="D478" s="118" t="str">
        <f ca="1">OFFSET(ORÇAMENTO!N$15,ROW(D478)-ROW(D$15),0)</f>
        <v>Serviço</v>
      </c>
      <c r="E478" s="119" t="str">
        <f ca="1">OFFSET(ORÇAMENTO!O$15,ROW(E478)-ROW(E$15),0)</f>
        <v>-</v>
      </c>
      <c r="F478" s="172" t="str">
        <f ca="1">OFFSET(ORÇAMENTO!R$15,ROW(F478)-ROW(F$15),0)</f>
        <v>(abra o arquivo 'Referência 06-2024.xlsm)</v>
      </c>
      <c r="G478" s="173" t="str">
        <f ca="1">IF($D478&lt;&gt;"Serviço","",OFFSET(ORÇAMENTO!S$15,ROW(G478)-ROW(G$15),0))</f>
        <v>-</v>
      </c>
      <c r="H478" s="124">
        <f ca="1">IF($D478&lt;&gt;"Serviço",0,IF(ACOMPANHAMENTO="BM",ROUND(OFFSET(ORÇAMENTO!AJ$15,ROW(H478)-ROW(H$15),0),15-13*ORÇAMENTO!$AF$7),SUMPRODUCT(($Q$12:$AI$12&lt;&gt;"")*ROUND($Q478:$AI478,15-13*ORÇAMENTO!$AF$7))))</f>
        <v>1</v>
      </c>
      <c r="I478" s="561" t="s">
        <v>1107</v>
      </c>
      <c r="K478" s="174"/>
      <c r="L478" s="175" t="s">
        <v>255</v>
      </c>
      <c r="M478" s="176">
        <f ca="1">IF($D478&lt;&gt;"Serviço","",IF(AUTOEVENTO="manual",$A478,IF(ISERROR(MATCH($A478,$A$15:OFFSET($A478,-1,0),0)),MAX($M$15:OFFSET(M478,-1,0))+1,INDEX($M$15:OFFSET(M478,-1,0),MATCH($A478,$A$15:OFFSET($A478,-1,0),0)))))</f>
        <v>51</v>
      </c>
      <c r="N478" s="177" t="str">
        <f ca="1">IF($D478&lt;&gt;"Serviço","",IF(AUTOEVENTO="Manual",IF($A478=0,"&lt;-- defina o número do agrupador",OFFSET(EVENTOS!$D$14,$A478,0)),OFFSET($F$15,$A478,0)))</f>
        <v>INSTALAÇÃO ELÉTRICA 110V - ACESSÓRIOS PERFILADOS PERFURADOS</v>
      </c>
      <c r="O478" s="178"/>
      <c r="Q478" s="178">
        <v>1</v>
      </c>
      <c r="R478" s="179"/>
      <c r="S478" s="179"/>
      <c r="T478" s="179"/>
      <c r="U478" s="179"/>
      <c r="V478" s="179"/>
      <c r="W478" s="179"/>
      <c r="X478" s="179"/>
      <c r="Y478" s="179"/>
      <c r="Z478" s="180"/>
      <c r="AA478" s="179"/>
      <c r="AB478" s="179"/>
      <c r="AC478" s="179"/>
      <c r="AD478" s="179"/>
      <c r="AE478" s="179"/>
      <c r="AF478" s="179"/>
      <c r="AG478" s="179"/>
      <c r="AH478" s="180"/>
      <c r="AJ478" s="544">
        <f ca="1">IF(AND($D478="Serviço",AJ$12&lt;&gt;0,$H478&gt;0,OR(AUTOEVENTO&lt;&gt;"manual",$M478&lt;&gt;1)),
IF(Import.TipoArredondamento&lt;&gt;"TransfereGOV",
ROUND(OFFSET($P478,0,AJ$13),15-13*ORÇAMENTO!$AF$7)/$H478*OFFSET(ORÇAMENTO!$X$15,ROW(AJ478)-ROW(AJ$15),0),
ROUND(ROUND(OFFSET($P478,0,AJ$13),15-13*ORÇAMENTO!$AF$7)*OFFSET(ORÇAMENTO!$W$15,ROW(AJ478)-ROW(AJ$15),0),15-13*ORÇAMENTO!$AF$11)),0)</f>
        <v>0</v>
      </c>
      <c r="AK478" s="545">
        <f ca="1">IF(AND($D478="Serviço",AK$12&lt;&gt;0,$H478&gt;0,OR(AUTOEVENTO&lt;&gt;"manual",$M478&lt;&gt;1)),
IF(Import.TipoArredondamento&lt;&gt;"TransfereGOV",
ROUND(OFFSET($P478,0,AK$13),15-13*ORÇAMENTO!$AF$7)/$H478*OFFSET(ORÇAMENTO!$X$15,ROW(AK478)-ROW(AK$15),0),
ROUND(ROUND(OFFSET($P478,0,AK$13),15-13*ORÇAMENTO!$AF$7)*OFFSET(ORÇAMENTO!$W$15,ROW(AK478)-ROW(AK$15),0),15-13*ORÇAMENTO!$AF$11)),0)</f>
        <v>0</v>
      </c>
      <c r="AL478" s="545">
        <f ca="1">IF(AND($D478="Serviço",AL$12&lt;&gt;0,$H478&gt;0,OR(AUTOEVENTO&lt;&gt;"manual",$M478&lt;&gt;1)),
IF(Import.TipoArredondamento&lt;&gt;"TransfereGOV",
ROUND(OFFSET($P478,0,AL$13),15-13*ORÇAMENTO!$AF$7)/$H478*OFFSET(ORÇAMENTO!$X$15,ROW(AL478)-ROW(AL$15),0),
ROUND(ROUND(OFFSET($P478,0,AL$13),15-13*ORÇAMENTO!$AF$7)*OFFSET(ORÇAMENTO!$W$15,ROW(AL478)-ROW(AL$15),0),15-13*ORÇAMENTO!$AF$11)),0)</f>
        <v>0</v>
      </c>
      <c r="AM478" s="545">
        <f ca="1">IF(AND($D478="Serviço",AM$12&lt;&gt;0,$H478&gt;0,OR(AUTOEVENTO&lt;&gt;"manual",$M478&lt;&gt;1)),
IF(Import.TipoArredondamento&lt;&gt;"TransfereGOV",
ROUND(OFFSET($P478,0,AM$13),15-13*ORÇAMENTO!$AF$7)/$H478*OFFSET(ORÇAMENTO!$X$15,ROW(AM478)-ROW(AM$15),0),
ROUND(ROUND(OFFSET($P478,0,AM$13),15-13*ORÇAMENTO!$AF$7)*OFFSET(ORÇAMENTO!$W$15,ROW(AM478)-ROW(AM$15),0),15-13*ORÇAMENTO!$AF$11)),0)</f>
        <v>0</v>
      </c>
      <c r="AN478" s="545">
        <f ca="1">IF(AND($D478="Serviço",AN$12&lt;&gt;0,$H478&gt;0,OR(AUTOEVENTO&lt;&gt;"manual",$M478&lt;&gt;1)),
IF(Import.TipoArredondamento&lt;&gt;"TransfereGOV",
ROUND(OFFSET($P478,0,AN$13),15-13*ORÇAMENTO!$AF$7)/$H478*OFFSET(ORÇAMENTO!$X$15,ROW(AN478)-ROW(AN$15),0),
ROUND(ROUND(OFFSET($P478,0,AN$13),15-13*ORÇAMENTO!$AF$7)*OFFSET(ORÇAMENTO!$W$15,ROW(AN478)-ROW(AN$15),0),15-13*ORÇAMENTO!$AF$11)),0)</f>
        <v>0</v>
      </c>
      <c r="AO478" s="545">
        <f ca="1">IF(AND($D478="Serviço",AO$12&lt;&gt;0,$H478&gt;0,OR(AUTOEVENTO&lt;&gt;"manual",$M478&lt;&gt;1)),
IF(Import.TipoArredondamento&lt;&gt;"TransfereGOV",
ROUND(OFFSET($P478,0,AO$13),15-13*ORÇAMENTO!$AF$7)/$H478*OFFSET(ORÇAMENTO!$X$15,ROW(AO478)-ROW(AO$15),0),
ROUND(ROUND(OFFSET($P478,0,AO$13),15-13*ORÇAMENTO!$AF$7)*OFFSET(ORÇAMENTO!$W$15,ROW(AO478)-ROW(AO$15),0),15-13*ORÇAMENTO!$AF$11)),0)</f>
        <v>0</v>
      </c>
      <c r="AP478" s="545">
        <f ca="1">IF(AND($D478="Serviço",AP$12&lt;&gt;0,$H478&gt;0,OR(AUTOEVENTO&lt;&gt;"manual",$M478&lt;&gt;1)),
IF(Import.TipoArredondamento&lt;&gt;"TransfereGOV",
ROUND(OFFSET($P478,0,AP$13),15-13*ORÇAMENTO!$AF$7)/$H478*OFFSET(ORÇAMENTO!$X$15,ROW(AP478)-ROW(AP$15),0),
ROUND(ROUND(OFFSET($P478,0,AP$13),15-13*ORÇAMENTO!$AF$7)*OFFSET(ORÇAMENTO!$W$15,ROW(AP478)-ROW(AP$15),0),15-13*ORÇAMENTO!$AF$11)),0)</f>
        <v>0</v>
      </c>
      <c r="AQ478" s="545">
        <f ca="1">IF(AND($D478="Serviço",AQ$12&lt;&gt;0,$H478&gt;0,OR(AUTOEVENTO&lt;&gt;"manual",$M478&lt;&gt;1)),
IF(Import.TipoArredondamento&lt;&gt;"TransfereGOV",
ROUND(OFFSET($P478,0,AQ$13),15-13*ORÇAMENTO!$AF$7)/$H478*OFFSET(ORÇAMENTO!$X$15,ROW(AQ478)-ROW(AQ$15),0),
ROUND(ROUND(OFFSET($P478,0,AQ$13),15-13*ORÇAMENTO!$AF$7)*OFFSET(ORÇAMENTO!$W$15,ROW(AQ478)-ROW(AQ$15),0),15-13*ORÇAMENTO!$AF$11)),0)</f>
        <v>0</v>
      </c>
      <c r="AR478" s="545">
        <f ca="1">IF(AND($D478="Serviço",AR$12&lt;&gt;0,$H478&gt;0,OR(AUTOEVENTO&lt;&gt;"manual",$M478&lt;&gt;1)),
IF(Import.TipoArredondamento&lt;&gt;"TransfereGOV",
ROUND(OFFSET($P478,0,AR$13),15-13*ORÇAMENTO!$AF$7)/$H478*OFFSET(ORÇAMENTO!$X$15,ROW(AR478)-ROW(AR$15),0),
ROUND(ROUND(OFFSET($P478,0,AR$13),15-13*ORÇAMENTO!$AF$7)*OFFSET(ORÇAMENTO!$W$15,ROW(AR478)-ROW(AR$15),0),15-13*ORÇAMENTO!$AF$11)),0)</f>
        <v>0</v>
      </c>
      <c r="AS478" s="546">
        <f ca="1">IF(AND($D478="Serviço",AS$12&lt;&gt;0,$H478&gt;0,OR(AUTOEVENTO&lt;&gt;"manual",$M478&lt;&gt;1)),
IF(Import.TipoArredondamento&lt;&gt;"TransfereGOV",
ROUND(OFFSET($P478,0,AS$13),15-13*ORÇAMENTO!$AF$7)/$H478*OFFSET(ORÇAMENTO!$X$15,ROW(AS478)-ROW(AS$15),0),
ROUND(ROUND(OFFSET($P478,0,AS$13),15-13*ORÇAMENTO!$AF$7)*OFFSET(ORÇAMENTO!$W$15,ROW(AS478)-ROW(AS$15),0),15-13*ORÇAMENTO!$AF$11)),0)</f>
        <v>0</v>
      </c>
      <c r="AT478" s="545">
        <f ca="1">IF(AND($D478="Serviço",AT$12&lt;&gt;0,$H478&gt;0,OR(AUTOEVENTO&lt;&gt;"manual",$M478&lt;&gt;1)),
IF(Import.TipoArredondamento&lt;&gt;"TransfereGOV",
ROUND(OFFSET($P478,0,AT$13),15-13*ORÇAMENTO!$AF$7)/$H478*OFFSET(ORÇAMENTO!$X$15,ROW(AT478)-ROW(AT$15),0),
ROUND(ROUND(OFFSET($P478,0,AT$13),15-13*ORÇAMENTO!$AF$7)*OFFSET(ORÇAMENTO!$W$15,ROW(AT478)-ROW(AT$15),0),15-13*ORÇAMENTO!$AF$11)),0)</f>
        <v>0</v>
      </c>
      <c r="AU478" s="545">
        <f ca="1">IF(AND($D478="Serviço",AU$12&lt;&gt;0,$H478&gt;0,OR(AUTOEVENTO&lt;&gt;"manual",$M478&lt;&gt;1)),
IF(Import.TipoArredondamento&lt;&gt;"TransfereGOV",
ROUND(OFFSET($P478,0,AU$13),15-13*ORÇAMENTO!$AF$7)/$H478*OFFSET(ORÇAMENTO!$X$15,ROW(AU478)-ROW(AU$15),0),
ROUND(ROUND(OFFSET($P478,0,AU$13),15-13*ORÇAMENTO!$AF$7)*OFFSET(ORÇAMENTO!$W$15,ROW(AU478)-ROW(AU$15),0),15-13*ORÇAMENTO!$AF$11)),0)</f>
        <v>0</v>
      </c>
      <c r="AV478" s="545">
        <f ca="1">IF(AND($D478="Serviço",AV$12&lt;&gt;0,$H478&gt;0,OR(AUTOEVENTO&lt;&gt;"manual",$M478&lt;&gt;1)),
IF(Import.TipoArredondamento&lt;&gt;"TransfereGOV",
ROUND(OFFSET($P478,0,AV$13),15-13*ORÇAMENTO!$AF$7)/$H478*OFFSET(ORÇAMENTO!$X$15,ROW(AV478)-ROW(AV$15),0),
ROUND(ROUND(OFFSET($P478,0,AV$13),15-13*ORÇAMENTO!$AF$7)*OFFSET(ORÇAMENTO!$W$15,ROW(AV478)-ROW(AV$15),0),15-13*ORÇAMENTO!$AF$11)),0)</f>
        <v>0</v>
      </c>
      <c r="AW478" s="545">
        <f ca="1">IF(AND($D478="Serviço",AW$12&lt;&gt;0,$H478&gt;0,OR(AUTOEVENTO&lt;&gt;"manual",$M478&lt;&gt;1)),
IF(Import.TipoArredondamento&lt;&gt;"TransfereGOV",
ROUND(OFFSET($P478,0,AW$13),15-13*ORÇAMENTO!$AF$7)/$H478*OFFSET(ORÇAMENTO!$X$15,ROW(AW478)-ROW(AW$15),0),
ROUND(ROUND(OFFSET($P478,0,AW$13),15-13*ORÇAMENTO!$AF$7)*OFFSET(ORÇAMENTO!$W$15,ROW(AW478)-ROW(AW$15),0),15-13*ORÇAMENTO!$AF$11)),0)</f>
        <v>0</v>
      </c>
      <c r="AX478" s="545">
        <f ca="1">IF(AND($D478="Serviço",AX$12&lt;&gt;0,$H478&gt;0,OR(AUTOEVENTO&lt;&gt;"manual",$M478&lt;&gt;1)),
IF(Import.TipoArredondamento&lt;&gt;"TransfereGOV",
ROUND(OFFSET($P478,0,AX$13),15-13*ORÇAMENTO!$AF$7)/$H478*OFFSET(ORÇAMENTO!$X$15,ROW(AX478)-ROW(AX$15),0),
ROUND(ROUND(OFFSET($P478,0,AX$13),15-13*ORÇAMENTO!$AF$7)*OFFSET(ORÇAMENTO!$W$15,ROW(AX478)-ROW(AX$15),0),15-13*ORÇAMENTO!$AF$11)),0)</f>
        <v>0</v>
      </c>
      <c r="AY478" s="545">
        <f ca="1">IF(AND($D478="Serviço",AY$12&lt;&gt;0,$H478&gt;0,OR(AUTOEVENTO&lt;&gt;"manual",$M478&lt;&gt;1)),
IF(Import.TipoArredondamento&lt;&gt;"TransfereGOV",
ROUND(OFFSET($P478,0,AY$13),15-13*ORÇAMENTO!$AF$7)/$H478*OFFSET(ORÇAMENTO!$X$15,ROW(AY478)-ROW(AY$15),0),
ROUND(ROUND(OFFSET($P478,0,AY$13),15-13*ORÇAMENTO!$AF$7)*OFFSET(ORÇAMENTO!$W$15,ROW(AY478)-ROW(AY$15),0),15-13*ORÇAMENTO!$AF$11)),0)</f>
        <v>0</v>
      </c>
      <c r="AZ478" s="545">
        <f ca="1">IF(AND($D478="Serviço",AZ$12&lt;&gt;0,$H478&gt;0,OR(AUTOEVENTO&lt;&gt;"manual",$M478&lt;&gt;1)),
IF(Import.TipoArredondamento&lt;&gt;"TransfereGOV",
ROUND(OFFSET($P478,0,AZ$13),15-13*ORÇAMENTO!$AF$7)/$H478*OFFSET(ORÇAMENTO!$X$15,ROW(AZ478)-ROW(AZ$15),0),
ROUND(ROUND(OFFSET($P478,0,AZ$13),15-13*ORÇAMENTO!$AF$7)*OFFSET(ORÇAMENTO!$W$15,ROW(AZ478)-ROW(AZ$15),0),15-13*ORÇAMENTO!$AF$11)),0)</f>
        <v>0</v>
      </c>
      <c r="BA478" s="546">
        <f ca="1">IF(AND($D478="Serviço",BA$12&lt;&gt;0,$H478&gt;0,OR(AUTOEVENTO&lt;&gt;"manual",$M478&lt;&gt;1)),
IF(Import.TipoArredondamento&lt;&gt;"TransfereGOV",
ROUND(OFFSET($P478,0,BA$13),15-13*ORÇAMENTO!$AF$7)/$H478*OFFSET(ORÇAMENTO!$X$15,ROW(BA478)-ROW(BA$15),0),
ROUND(ROUND(OFFSET($P478,0,BA$13),15-13*ORÇAMENTO!$AF$7)*OFFSET(ORÇAMENTO!$W$15,ROW(BA478)-ROW(BA$15),0),15-13*ORÇAMENTO!$AF$11)),0)</f>
        <v>0</v>
      </c>
      <c r="BC478" s="181">
        <f ca="1">IF($D478&lt;&gt;"Serviço",0,IF(AND(AUTOEVENTO="Manual",$M478=1),0,IF(OFFSET(CRONOPLE!$F$14,$M478,BC$13)="",10^12,OFFSET(CRONOPLE!$F$14,$M478,BC$13))))</f>
        <v>10</v>
      </c>
      <c r="BD478" s="181">
        <f ca="1">IF($D478&lt;&gt;"Serviço",0,IF(AND(AUTOEVENTO="Manual",$M478=1),0,IF(OFFSET(CRONOPLE!$F$14,$M478,BD$13)="",10^12,OFFSET(CRONOPLE!$F$14,$M478,BD$13))))</f>
        <v>1000000000000</v>
      </c>
      <c r="BE478" s="181">
        <f ca="1">IF($D478&lt;&gt;"Serviço",0,IF(AND(AUTOEVENTO="Manual",$M478=1),0,IF(OFFSET(CRONOPLE!$F$14,$M478,BE$13)="",10^12,OFFSET(CRONOPLE!$F$14,$M478,BE$13))))</f>
        <v>1000000000000</v>
      </c>
      <c r="BF478" s="181">
        <f ca="1">IF($D478&lt;&gt;"Serviço",0,IF(AND(AUTOEVENTO="Manual",$M478=1),0,IF(OFFSET(CRONOPLE!$F$14,$M478,BF$13)="",10^12,OFFSET(CRONOPLE!$F$14,$M478,BF$13))))</f>
        <v>1000000000000</v>
      </c>
      <c r="BG478" s="181">
        <f ca="1">IF($D478&lt;&gt;"Serviço",0,IF(AND(AUTOEVENTO="Manual",$M478=1),0,IF(OFFSET(CRONOPLE!$F$14,$M478,BG$13)="",10^12,OFFSET(CRONOPLE!$F$14,$M478,BG$13))))</f>
        <v>1000000000000</v>
      </c>
      <c r="BH478" s="181">
        <f ca="1">IF($D478&lt;&gt;"Serviço",0,IF(AND(AUTOEVENTO="Manual",$M478=1),0,IF(OFFSET(CRONOPLE!$F$14,$M478,BH$13)="",10^12,OFFSET(CRONOPLE!$F$14,$M478,BH$13))))</f>
        <v>1000000000000</v>
      </c>
      <c r="BI478" s="181">
        <f ca="1">IF($D478&lt;&gt;"Serviço",0,IF(AND(AUTOEVENTO="Manual",$M478=1),0,IF(OFFSET(CRONOPLE!$F$14,$M478,BI$13)="",10^12,OFFSET(CRONOPLE!$F$14,$M478,BI$13))))</f>
        <v>1000000000000</v>
      </c>
      <c r="BJ478" s="181">
        <f ca="1">IF($D478&lt;&gt;"Serviço",0,IF(AND(AUTOEVENTO="Manual",$M478=1),0,IF(OFFSET(CRONOPLE!$F$14,$M478,BJ$13)="",10^12,OFFSET(CRONOPLE!$F$14,$M478,BJ$13))))</f>
        <v>1000000000000</v>
      </c>
      <c r="BK478" s="181">
        <f ca="1">IF($D478&lt;&gt;"Serviço",0,IF(AND(AUTOEVENTO="Manual",$M478=1),0,IF(OFFSET(CRONOPLE!$F$14,$M478,BK$13)="",10^12,OFFSET(CRONOPLE!$F$14,$M478,BK$13))))</f>
        <v>1000000000000</v>
      </c>
      <c r="BL478" s="181">
        <f ca="1">IF($D478&lt;&gt;"Serviço",0,IF(AND(AUTOEVENTO="Manual",$M478=1),0,IF(OFFSET(CRONOPLE!$F$14,$M478,BL$13)="",10^12,OFFSET(CRONOPLE!$F$14,$M478,BL$13))))</f>
        <v>1000000000000</v>
      </c>
      <c r="BM478" s="181">
        <f ca="1">IF($D478&lt;&gt;"Serviço",0,IF(AND(AUTOEVENTO="Manual",$M478=1),0,IF(OFFSET(CRONOPLE!$F$14,$M478,BM$13)="",10^12,OFFSET(CRONOPLE!$F$14,$M478,BM$13))))</f>
        <v>1000000000000</v>
      </c>
      <c r="BN478" s="181">
        <f ca="1">IF($D478&lt;&gt;"Serviço",0,IF(AND(AUTOEVENTO="Manual",$M478=1),0,IF(OFFSET(CRONOPLE!$F$14,$M478,BN$13)="",10^12,OFFSET(CRONOPLE!$F$14,$M478,BN$13))))</f>
        <v>1000000000000</v>
      </c>
      <c r="BO478" s="181">
        <f ca="1">IF($D478&lt;&gt;"Serviço",0,IF(AND(AUTOEVENTO="Manual",$M478=1),0,IF(OFFSET(CRONOPLE!$F$14,$M478,BO$13)="",10^12,OFFSET(CRONOPLE!$F$14,$M478,BO$13))))</f>
        <v>1000000000000</v>
      </c>
      <c r="BP478" s="181">
        <f ca="1">IF($D478&lt;&gt;"Serviço",0,IF(AND(AUTOEVENTO="Manual",$M478=1),0,IF(OFFSET(CRONOPLE!$F$14,$M478,BP$13)="",10^12,OFFSET(CRONOPLE!$F$14,$M478,BP$13))))</f>
        <v>1000000000000</v>
      </c>
      <c r="BQ478" s="181">
        <f ca="1">IF($D478&lt;&gt;"Serviço",0,IF(AND(AUTOEVENTO="Manual",$M478=1),0,IF(OFFSET(CRONOPLE!$F$14,$M478,BQ$13)="",10^12,OFFSET(CRONOPLE!$F$14,$M478,BQ$13))))</f>
        <v>1000000000000</v>
      </c>
      <c r="BR478" s="181">
        <f ca="1">IF($D478&lt;&gt;"Serviço",0,IF(AND(AUTOEVENTO="Manual",$M478=1),0,IF(OFFSET(CRONOPLE!$F$14,$M478,BR$13)="",10^12,OFFSET(CRONOPLE!$F$14,$M478,BR$13))))</f>
        <v>1000000000000</v>
      </c>
      <c r="BS478" s="181">
        <f ca="1">IF($D478&lt;&gt;"Serviço",0,IF(AND(AUTOEVENTO="Manual",$M478=1),0,IF(OFFSET(CRONOPLE!$F$14,$M478,BS$13)="",10^12,OFFSET(CRONOPLE!$F$14,$M478,BS$13))))</f>
        <v>1000000000000</v>
      </c>
      <c r="BT478" s="181">
        <f ca="1">IF($D478&lt;&gt;"Serviço",0,IF(AND(AUTOEVENTO="Manual",$M478=1),0,IF(OFFSET(CRONOPLE!$F$14,$M478,BT$13)="",10^12,OFFSET(CRONOPLE!$F$14,$M478,BT$13))))</f>
        <v>1000000000000</v>
      </c>
      <c r="BV478" s="182">
        <f ca="1">IF($D478&lt;&gt;"Serviço",0,IF(OR(AND(AUTOEVENTO="Manual",$M478=1),$M478&gt;(ROW(PLE.lastrow)-ROW(PLE.firstrow))),0,IF(OFFSET(PLE!$G$14,$M478,BV$13)="",10^12,OFFSET(PLE!$G$14,$M478,BV$13))))</f>
        <v>1000000000000</v>
      </c>
      <c r="BW478" s="182">
        <f ca="1">IF($D478&lt;&gt;"Serviço",0,IF(OR(AND(AUTOEVENTO="Manual",$M478=1),$M478&gt;(ROW(PLE.lastrow)-ROW(PLE.firstrow))),0,IF(OFFSET(PLE!$G$14,$M478,BW$13)="",10^12,OFFSET(PLE!$G$14,$M478,BW$13))))</f>
        <v>1000000000000</v>
      </c>
      <c r="BX478" s="182">
        <f ca="1">IF($D478&lt;&gt;"Serviço",0,IF(OR(AND(AUTOEVENTO="Manual",$M478=1),$M478&gt;(ROW(PLE.lastrow)-ROW(PLE.firstrow))),0,IF(OFFSET(PLE!$G$14,$M478,BX$13)="",10^12,OFFSET(PLE!$G$14,$M478,BX$13))))</f>
        <v>1000000000000</v>
      </c>
      <c r="BY478" s="182">
        <f ca="1">IF($D478&lt;&gt;"Serviço",0,IF(OR(AND(AUTOEVENTO="Manual",$M478=1),$M478&gt;(ROW(PLE.lastrow)-ROW(PLE.firstrow))),0,IF(OFFSET(PLE!$G$14,$M478,BY$13)="",10^12,OFFSET(PLE!$G$14,$M478,BY$13))))</f>
        <v>1000000000000</v>
      </c>
      <c r="BZ478" s="182">
        <f ca="1">IF($D478&lt;&gt;"Serviço",0,IF(OR(AND(AUTOEVENTO="Manual",$M478=1),$M478&gt;(ROW(PLE.lastrow)-ROW(PLE.firstrow))),0,IF(OFFSET(PLE!$G$14,$M478,BZ$13)="",10^12,OFFSET(PLE!$G$14,$M478,BZ$13))))</f>
        <v>1000000000000</v>
      </c>
      <c r="CA478" s="182">
        <f ca="1">IF($D478&lt;&gt;"Serviço",0,IF(OR(AND(AUTOEVENTO="Manual",$M478=1),$M478&gt;(ROW(PLE.lastrow)-ROW(PLE.firstrow))),0,IF(OFFSET(PLE!$G$14,$M478,CA$13)="",10^12,OFFSET(PLE!$G$14,$M478,CA$13))))</f>
        <v>1000000000000</v>
      </c>
      <c r="CB478" s="182">
        <f ca="1">IF($D478&lt;&gt;"Serviço",0,IF(OR(AND(AUTOEVENTO="Manual",$M478=1),$M478&gt;(ROW(PLE.lastrow)-ROW(PLE.firstrow))),0,IF(OFFSET(PLE!$G$14,$M478,CB$13)="",10^12,OFFSET(PLE!$G$14,$M478,CB$13))))</f>
        <v>1000000000000</v>
      </c>
      <c r="CC478" s="182">
        <f ca="1">IF($D478&lt;&gt;"Serviço",0,IF(OR(AND(AUTOEVENTO="Manual",$M478=1),$M478&gt;(ROW(PLE.lastrow)-ROW(PLE.firstrow))),0,IF(OFFSET(PLE!$G$14,$M478,CC$13)="",10^12,OFFSET(PLE!$G$14,$M478,CC$13))))</f>
        <v>1000000000000</v>
      </c>
      <c r="CD478" s="182">
        <f ca="1">IF($D478&lt;&gt;"Serviço",0,IF(OR(AND(AUTOEVENTO="Manual",$M478=1),$M478&gt;(ROW(PLE.lastrow)-ROW(PLE.firstrow))),0,IF(OFFSET(PLE!$G$14,$M478,CD$13)="",10^12,OFFSET(PLE!$G$14,$M478,CD$13))))</f>
        <v>1000000000000</v>
      </c>
      <c r="CE478" s="182">
        <f ca="1">IF($D478&lt;&gt;"Serviço",0,IF(OR(AND(AUTOEVENTO="Manual",$M478=1),$M478&gt;(ROW(PLE.lastrow)-ROW(PLE.firstrow))),0,IF(OFFSET(PLE!$G$14,$M478,CE$13)="",10^12,OFFSET(PLE!$G$14,$M478,CE$13))))</f>
        <v>1000000000000</v>
      </c>
      <c r="CF478" s="182">
        <f ca="1">IF($D478&lt;&gt;"Serviço",0,IF(OR(AND(AUTOEVENTO="Manual",$M478=1),$M478&gt;(ROW(PLE.lastrow)-ROW(PLE.firstrow))),0,IF(OFFSET(PLE!$G$14,$M478,CF$13)="",10^12,OFFSET(PLE!$G$14,$M478,CF$13))))</f>
        <v>1000000000000</v>
      </c>
      <c r="CG478" s="182">
        <f ca="1">IF($D478&lt;&gt;"Serviço",0,IF(OR(AND(AUTOEVENTO="Manual",$M478=1),$M478&gt;(ROW(PLE.lastrow)-ROW(PLE.firstrow))),0,IF(OFFSET(PLE!$G$14,$M478,CG$13)="",10^12,OFFSET(PLE!$G$14,$M478,CG$13))))</f>
        <v>1000000000000</v>
      </c>
      <c r="CH478" s="182">
        <f ca="1">IF($D478&lt;&gt;"Serviço",0,IF(OR(AND(AUTOEVENTO="Manual",$M478=1),$M478&gt;(ROW(PLE.lastrow)-ROW(PLE.firstrow))),0,IF(OFFSET(PLE!$G$14,$M478,CH$13)="",10^12,OFFSET(PLE!$G$14,$M478,CH$13))))</f>
        <v>1000000000000</v>
      </c>
      <c r="CI478" s="182">
        <f ca="1">IF($D478&lt;&gt;"Serviço",0,IF(OR(AND(AUTOEVENTO="Manual",$M478=1),$M478&gt;(ROW(PLE.lastrow)-ROW(PLE.firstrow))),0,IF(OFFSET(PLE!$G$14,$M478,CI$13)="",10^12,OFFSET(PLE!$G$14,$M478,CI$13))))</f>
        <v>1000000000000</v>
      </c>
      <c r="CJ478" s="182">
        <f ca="1">IF($D478&lt;&gt;"Serviço",0,IF(OR(AND(AUTOEVENTO="Manual",$M478=1),$M478&gt;(ROW(PLE.lastrow)-ROW(PLE.firstrow))),0,IF(OFFSET(PLE!$G$14,$M478,CJ$13)="",10^12,OFFSET(PLE!$G$14,$M478,CJ$13))))</f>
        <v>1000000000000</v>
      </c>
      <c r="CK478" s="182">
        <f ca="1">IF($D478&lt;&gt;"Serviço",0,IF(OR(AND(AUTOEVENTO="Manual",$M478=1),$M478&gt;(ROW(PLE.lastrow)-ROW(PLE.firstrow))),0,IF(OFFSET(PLE!$G$14,$M478,CK$13)="",10^12,OFFSET(PLE!$G$14,$M478,CK$13))))</f>
        <v>1000000000000</v>
      </c>
      <c r="CL478" s="182">
        <f ca="1">IF($D478&lt;&gt;"Serviço",0,IF(OR(AND(AUTOEVENTO="Manual",$M478=1),$M478&gt;(ROW(PLE.lastrow)-ROW(PLE.firstrow))),0,IF(OFFSET(PLE!$G$14,$M478,CL$13)="",10^12,OFFSET(PLE!$G$14,$M478,CL$13))))</f>
        <v>1000000000000</v>
      </c>
      <c r="CM478" s="182">
        <f ca="1">IF($D478&lt;&gt;"Serviço",0,IF(OR(AND(AUTOEVENTO="Manual",$M478=1),$M478&gt;(ROW(PLE.lastrow)-ROW(PLE.firstrow))),0,IF(OFFSET(PLE!$G$14,$M478,CM$13)="",10^12,OFFSET(PLE!$G$14,$M478,CM$13))))</f>
        <v>1000000000000</v>
      </c>
    </row>
    <row r="479" spans="1:91" ht="12.75" x14ac:dyDescent="0.2">
      <c r="A479" s="7" t="str">
        <f t="shared" ca="1" si="16"/>
        <v>464.</v>
      </c>
      <c r="B479" s="7">
        <f ca="1">OFFSET(ORÇAMENTO!C$15,ROW(B479)-ROW(B$15),0)</f>
        <v>2</v>
      </c>
      <c r="C479" s="7" t="str">
        <f ca="1">OFFSET(ORÇAMENTO!L$15,ROW(C479)-ROW(C$15),0)</f>
        <v>F</v>
      </c>
      <c r="D479" s="118" t="str">
        <f ca="1">OFFSET(ORÇAMENTO!N$15,ROW(D479)-ROW(D$15),0)</f>
        <v>Nível 2</v>
      </c>
      <c r="E479" s="119" t="str">
        <f ca="1">OFFSET(ORÇAMENTO!O$15,ROW(E479)-ROW(E$15),0)</f>
        <v>1.51.</v>
      </c>
      <c r="F479" s="172" t="str">
        <f ca="1">OFFSET(ORÇAMENTO!R$15,ROW(F479)-ROW(F$15),0)</f>
        <v>INSTALAÇÃO ELÉTRICA 110V - ACESSÓRIOS PARA ELETRODUTOS</v>
      </c>
      <c r="G479" s="173" t="str">
        <f ca="1">IF($D479&lt;&gt;"Serviço","",OFFSET(ORÇAMENTO!S$15,ROW(G479)-ROW(G$15),0))</f>
        <v/>
      </c>
      <c r="H479" s="124">
        <f ca="1">IF($D479&lt;&gt;"Serviço",0,IF(ACOMPANHAMENTO="BM",ROUND(OFFSET(ORÇAMENTO!AJ$15,ROW(H479)-ROW(H$15),0),15-13*ORÇAMENTO!$AF$7),SUMPRODUCT(($Q$12:$AI$12&lt;&gt;"")*ROUND($Q479:$AI479,15-13*ORÇAMENTO!$AF$7))))</f>
        <v>0</v>
      </c>
      <c r="I479" s="561"/>
      <c r="K479" s="174"/>
      <c r="L479" s="175" t="s">
        <v>255</v>
      </c>
      <c r="M479" s="176" t="str">
        <f ca="1">IF($D479&lt;&gt;"Serviço","",IF(AUTOEVENTO="manual",$A479,IF(ISERROR(MATCH($A479,$A$15:OFFSET($A479,-1,0),0)),MAX($M$15:OFFSET(M479,-1,0))+1,INDEX($M$15:OFFSET(M479,-1,0),MATCH($A479,$A$15:OFFSET($A479,-1,0),0)))))</f>
        <v/>
      </c>
      <c r="N479" s="177" t="str">
        <f ca="1">IF($D479&lt;&gt;"Serviço","",IF(AUTOEVENTO="Manual",IF($A479=0,"&lt;-- defina o número do agrupador",OFFSET(EVENTOS!$D$14,$A479,0)),OFFSET($F$15,$A479,0)))</f>
        <v/>
      </c>
      <c r="O479" s="178"/>
      <c r="Q479" s="178">
        <v>0</v>
      </c>
      <c r="R479" s="179"/>
      <c r="S479" s="179"/>
      <c r="T479" s="179"/>
      <c r="U479" s="179"/>
      <c r="V479" s="179"/>
      <c r="W479" s="179"/>
      <c r="X479" s="179"/>
      <c r="Y479" s="179"/>
      <c r="Z479" s="180"/>
      <c r="AA479" s="179"/>
      <c r="AB479" s="179"/>
      <c r="AC479" s="179"/>
      <c r="AD479" s="179"/>
      <c r="AE479" s="179"/>
      <c r="AF479" s="179"/>
      <c r="AG479" s="179"/>
      <c r="AH479" s="180"/>
      <c r="AJ479" s="544">
        <f ca="1">IF(AND($D479="Serviço",AJ$12&lt;&gt;0,$H479&gt;0,OR(AUTOEVENTO&lt;&gt;"manual",$M479&lt;&gt;1)),
IF(Import.TipoArredondamento&lt;&gt;"TransfereGOV",
ROUND(OFFSET($P479,0,AJ$13),15-13*ORÇAMENTO!$AF$7)/$H479*OFFSET(ORÇAMENTO!$X$15,ROW(AJ479)-ROW(AJ$15),0),
ROUND(ROUND(OFFSET($P479,0,AJ$13),15-13*ORÇAMENTO!$AF$7)*OFFSET(ORÇAMENTO!$W$15,ROW(AJ479)-ROW(AJ$15),0),15-13*ORÇAMENTO!$AF$11)),0)</f>
        <v>0</v>
      </c>
      <c r="AK479" s="545">
        <f ca="1">IF(AND($D479="Serviço",AK$12&lt;&gt;0,$H479&gt;0,OR(AUTOEVENTO&lt;&gt;"manual",$M479&lt;&gt;1)),
IF(Import.TipoArredondamento&lt;&gt;"TransfereGOV",
ROUND(OFFSET($P479,0,AK$13),15-13*ORÇAMENTO!$AF$7)/$H479*OFFSET(ORÇAMENTO!$X$15,ROW(AK479)-ROW(AK$15),0),
ROUND(ROUND(OFFSET($P479,0,AK$13),15-13*ORÇAMENTO!$AF$7)*OFFSET(ORÇAMENTO!$W$15,ROW(AK479)-ROW(AK$15),0),15-13*ORÇAMENTO!$AF$11)),0)</f>
        <v>0</v>
      </c>
      <c r="AL479" s="545">
        <f ca="1">IF(AND($D479="Serviço",AL$12&lt;&gt;0,$H479&gt;0,OR(AUTOEVENTO&lt;&gt;"manual",$M479&lt;&gt;1)),
IF(Import.TipoArredondamento&lt;&gt;"TransfereGOV",
ROUND(OFFSET($P479,0,AL$13),15-13*ORÇAMENTO!$AF$7)/$H479*OFFSET(ORÇAMENTO!$X$15,ROW(AL479)-ROW(AL$15),0),
ROUND(ROUND(OFFSET($P479,0,AL$13),15-13*ORÇAMENTO!$AF$7)*OFFSET(ORÇAMENTO!$W$15,ROW(AL479)-ROW(AL$15),0),15-13*ORÇAMENTO!$AF$11)),0)</f>
        <v>0</v>
      </c>
      <c r="AM479" s="545">
        <f ca="1">IF(AND($D479="Serviço",AM$12&lt;&gt;0,$H479&gt;0,OR(AUTOEVENTO&lt;&gt;"manual",$M479&lt;&gt;1)),
IF(Import.TipoArredondamento&lt;&gt;"TransfereGOV",
ROUND(OFFSET($P479,0,AM$13),15-13*ORÇAMENTO!$AF$7)/$H479*OFFSET(ORÇAMENTO!$X$15,ROW(AM479)-ROW(AM$15),0),
ROUND(ROUND(OFFSET($P479,0,AM$13),15-13*ORÇAMENTO!$AF$7)*OFFSET(ORÇAMENTO!$W$15,ROW(AM479)-ROW(AM$15),0),15-13*ORÇAMENTO!$AF$11)),0)</f>
        <v>0</v>
      </c>
      <c r="AN479" s="545">
        <f ca="1">IF(AND($D479="Serviço",AN$12&lt;&gt;0,$H479&gt;0,OR(AUTOEVENTO&lt;&gt;"manual",$M479&lt;&gt;1)),
IF(Import.TipoArredondamento&lt;&gt;"TransfereGOV",
ROUND(OFFSET($P479,0,AN$13),15-13*ORÇAMENTO!$AF$7)/$H479*OFFSET(ORÇAMENTO!$X$15,ROW(AN479)-ROW(AN$15),0),
ROUND(ROUND(OFFSET($P479,0,AN$13),15-13*ORÇAMENTO!$AF$7)*OFFSET(ORÇAMENTO!$W$15,ROW(AN479)-ROW(AN$15),0),15-13*ORÇAMENTO!$AF$11)),0)</f>
        <v>0</v>
      </c>
      <c r="AO479" s="545">
        <f ca="1">IF(AND($D479="Serviço",AO$12&lt;&gt;0,$H479&gt;0,OR(AUTOEVENTO&lt;&gt;"manual",$M479&lt;&gt;1)),
IF(Import.TipoArredondamento&lt;&gt;"TransfereGOV",
ROUND(OFFSET($P479,0,AO$13),15-13*ORÇAMENTO!$AF$7)/$H479*OFFSET(ORÇAMENTO!$X$15,ROW(AO479)-ROW(AO$15),0),
ROUND(ROUND(OFFSET($P479,0,AO$13),15-13*ORÇAMENTO!$AF$7)*OFFSET(ORÇAMENTO!$W$15,ROW(AO479)-ROW(AO$15),0),15-13*ORÇAMENTO!$AF$11)),0)</f>
        <v>0</v>
      </c>
      <c r="AP479" s="545">
        <f ca="1">IF(AND($D479="Serviço",AP$12&lt;&gt;0,$H479&gt;0,OR(AUTOEVENTO&lt;&gt;"manual",$M479&lt;&gt;1)),
IF(Import.TipoArredondamento&lt;&gt;"TransfereGOV",
ROUND(OFFSET($P479,0,AP$13),15-13*ORÇAMENTO!$AF$7)/$H479*OFFSET(ORÇAMENTO!$X$15,ROW(AP479)-ROW(AP$15),0),
ROUND(ROUND(OFFSET($P479,0,AP$13),15-13*ORÇAMENTO!$AF$7)*OFFSET(ORÇAMENTO!$W$15,ROW(AP479)-ROW(AP$15),0),15-13*ORÇAMENTO!$AF$11)),0)</f>
        <v>0</v>
      </c>
      <c r="AQ479" s="545">
        <f ca="1">IF(AND($D479="Serviço",AQ$12&lt;&gt;0,$H479&gt;0,OR(AUTOEVENTO&lt;&gt;"manual",$M479&lt;&gt;1)),
IF(Import.TipoArredondamento&lt;&gt;"TransfereGOV",
ROUND(OFFSET($P479,0,AQ$13),15-13*ORÇAMENTO!$AF$7)/$H479*OFFSET(ORÇAMENTO!$X$15,ROW(AQ479)-ROW(AQ$15),0),
ROUND(ROUND(OFFSET($P479,0,AQ$13),15-13*ORÇAMENTO!$AF$7)*OFFSET(ORÇAMENTO!$W$15,ROW(AQ479)-ROW(AQ$15),0),15-13*ORÇAMENTO!$AF$11)),0)</f>
        <v>0</v>
      </c>
      <c r="AR479" s="545">
        <f ca="1">IF(AND($D479="Serviço",AR$12&lt;&gt;0,$H479&gt;0,OR(AUTOEVENTO&lt;&gt;"manual",$M479&lt;&gt;1)),
IF(Import.TipoArredondamento&lt;&gt;"TransfereGOV",
ROUND(OFFSET($P479,0,AR$13),15-13*ORÇAMENTO!$AF$7)/$H479*OFFSET(ORÇAMENTO!$X$15,ROW(AR479)-ROW(AR$15),0),
ROUND(ROUND(OFFSET($P479,0,AR$13),15-13*ORÇAMENTO!$AF$7)*OFFSET(ORÇAMENTO!$W$15,ROW(AR479)-ROW(AR$15),0),15-13*ORÇAMENTO!$AF$11)),0)</f>
        <v>0</v>
      </c>
      <c r="AS479" s="546">
        <f ca="1">IF(AND($D479="Serviço",AS$12&lt;&gt;0,$H479&gt;0,OR(AUTOEVENTO&lt;&gt;"manual",$M479&lt;&gt;1)),
IF(Import.TipoArredondamento&lt;&gt;"TransfereGOV",
ROUND(OFFSET($P479,0,AS$13),15-13*ORÇAMENTO!$AF$7)/$H479*OFFSET(ORÇAMENTO!$X$15,ROW(AS479)-ROW(AS$15),0),
ROUND(ROUND(OFFSET($P479,0,AS$13),15-13*ORÇAMENTO!$AF$7)*OFFSET(ORÇAMENTO!$W$15,ROW(AS479)-ROW(AS$15),0),15-13*ORÇAMENTO!$AF$11)),0)</f>
        <v>0</v>
      </c>
      <c r="AT479" s="545">
        <f ca="1">IF(AND($D479="Serviço",AT$12&lt;&gt;0,$H479&gt;0,OR(AUTOEVENTO&lt;&gt;"manual",$M479&lt;&gt;1)),
IF(Import.TipoArredondamento&lt;&gt;"TransfereGOV",
ROUND(OFFSET($P479,0,AT$13),15-13*ORÇAMENTO!$AF$7)/$H479*OFFSET(ORÇAMENTO!$X$15,ROW(AT479)-ROW(AT$15),0),
ROUND(ROUND(OFFSET($P479,0,AT$13),15-13*ORÇAMENTO!$AF$7)*OFFSET(ORÇAMENTO!$W$15,ROW(AT479)-ROW(AT$15),0),15-13*ORÇAMENTO!$AF$11)),0)</f>
        <v>0</v>
      </c>
      <c r="AU479" s="545">
        <f ca="1">IF(AND($D479="Serviço",AU$12&lt;&gt;0,$H479&gt;0,OR(AUTOEVENTO&lt;&gt;"manual",$M479&lt;&gt;1)),
IF(Import.TipoArredondamento&lt;&gt;"TransfereGOV",
ROUND(OFFSET($P479,0,AU$13),15-13*ORÇAMENTO!$AF$7)/$H479*OFFSET(ORÇAMENTO!$X$15,ROW(AU479)-ROW(AU$15),0),
ROUND(ROUND(OFFSET($P479,0,AU$13),15-13*ORÇAMENTO!$AF$7)*OFFSET(ORÇAMENTO!$W$15,ROW(AU479)-ROW(AU$15),0),15-13*ORÇAMENTO!$AF$11)),0)</f>
        <v>0</v>
      </c>
      <c r="AV479" s="545">
        <f ca="1">IF(AND($D479="Serviço",AV$12&lt;&gt;0,$H479&gt;0,OR(AUTOEVENTO&lt;&gt;"manual",$M479&lt;&gt;1)),
IF(Import.TipoArredondamento&lt;&gt;"TransfereGOV",
ROUND(OFFSET($P479,0,AV$13),15-13*ORÇAMENTO!$AF$7)/$H479*OFFSET(ORÇAMENTO!$X$15,ROW(AV479)-ROW(AV$15),0),
ROUND(ROUND(OFFSET($P479,0,AV$13),15-13*ORÇAMENTO!$AF$7)*OFFSET(ORÇAMENTO!$W$15,ROW(AV479)-ROW(AV$15),0),15-13*ORÇAMENTO!$AF$11)),0)</f>
        <v>0</v>
      </c>
      <c r="AW479" s="545">
        <f ca="1">IF(AND($D479="Serviço",AW$12&lt;&gt;0,$H479&gt;0,OR(AUTOEVENTO&lt;&gt;"manual",$M479&lt;&gt;1)),
IF(Import.TipoArredondamento&lt;&gt;"TransfereGOV",
ROUND(OFFSET($P479,0,AW$13),15-13*ORÇAMENTO!$AF$7)/$H479*OFFSET(ORÇAMENTO!$X$15,ROW(AW479)-ROW(AW$15),0),
ROUND(ROUND(OFFSET($P479,0,AW$13),15-13*ORÇAMENTO!$AF$7)*OFFSET(ORÇAMENTO!$W$15,ROW(AW479)-ROW(AW$15),0),15-13*ORÇAMENTO!$AF$11)),0)</f>
        <v>0</v>
      </c>
      <c r="AX479" s="545">
        <f ca="1">IF(AND($D479="Serviço",AX$12&lt;&gt;0,$H479&gt;0,OR(AUTOEVENTO&lt;&gt;"manual",$M479&lt;&gt;1)),
IF(Import.TipoArredondamento&lt;&gt;"TransfereGOV",
ROUND(OFFSET($P479,0,AX$13),15-13*ORÇAMENTO!$AF$7)/$H479*OFFSET(ORÇAMENTO!$X$15,ROW(AX479)-ROW(AX$15),0),
ROUND(ROUND(OFFSET($P479,0,AX$13),15-13*ORÇAMENTO!$AF$7)*OFFSET(ORÇAMENTO!$W$15,ROW(AX479)-ROW(AX$15),0),15-13*ORÇAMENTO!$AF$11)),0)</f>
        <v>0</v>
      </c>
      <c r="AY479" s="545">
        <f ca="1">IF(AND($D479="Serviço",AY$12&lt;&gt;0,$H479&gt;0,OR(AUTOEVENTO&lt;&gt;"manual",$M479&lt;&gt;1)),
IF(Import.TipoArredondamento&lt;&gt;"TransfereGOV",
ROUND(OFFSET($P479,0,AY$13),15-13*ORÇAMENTO!$AF$7)/$H479*OFFSET(ORÇAMENTO!$X$15,ROW(AY479)-ROW(AY$15),0),
ROUND(ROUND(OFFSET($P479,0,AY$13),15-13*ORÇAMENTO!$AF$7)*OFFSET(ORÇAMENTO!$W$15,ROW(AY479)-ROW(AY$15),0),15-13*ORÇAMENTO!$AF$11)),0)</f>
        <v>0</v>
      </c>
      <c r="AZ479" s="545">
        <f ca="1">IF(AND($D479="Serviço",AZ$12&lt;&gt;0,$H479&gt;0,OR(AUTOEVENTO&lt;&gt;"manual",$M479&lt;&gt;1)),
IF(Import.TipoArredondamento&lt;&gt;"TransfereGOV",
ROUND(OFFSET($P479,0,AZ$13),15-13*ORÇAMENTO!$AF$7)/$H479*OFFSET(ORÇAMENTO!$X$15,ROW(AZ479)-ROW(AZ$15),0),
ROUND(ROUND(OFFSET($P479,0,AZ$13),15-13*ORÇAMENTO!$AF$7)*OFFSET(ORÇAMENTO!$W$15,ROW(AZ479)-ROW(AZ$15),0),15-13*ORÇAMENTO!$AF$11)),0)</f>
        <v>0</v>
      </c>
      <c r="BA479" s="546">
        <f ca="1">IF(AND($D479="Serviço",BA$12&lt;&gt;0,$H479&gt;0,OR(AUTOEVENTO&lt;&gt;"manual",$M479&lt;&gt;1)),
IF(Import.TipoArredondamento&lt;&gt;"TransfereGOV",
ROUND(OFFSET($P479,0,BA$13),15-13*ORÇAMENTO!$AF$7)/$H479*OFFSET(ORÇAMENTO!$X$15,ROW(BA479)-ROW(BA$15),0),
ROUND(ROUND(OFFSET($P479,0,BA$13),15-13*ORÇAMENTO!$AF$7)*OFFSET(ORÇAMENTO!$W$15,ROW(BA479)-ROW(BA$15),0),15-13*ORÇAMENTO!$AF$11)),0)</f>
        <v>0</v>
      </c>
      <c r="BC479" s="181">
        <f ca="1">IF($D479&lt;&gt;"Serviço",0,IF(AND(AUTOEVENTO="Manual",$M479=1),0,IF(OFFSET(CRONOPLE!$F$14,$M479,BC$13)="",10^12,OFFSET(CRONOPLE!$F$14,$M479,BC$13))))</f>
        <v>0</v>
      </c>
      <c r="BD479" s="181">
        <f ca="1">IF($D479&lt;&gt;"Serviço",0,IF(AND(AUTOEVENTO="Manual",$M479=1),0,IF(OFFSET(CRONOPLE!$F$14,$M479,BD$13)="",10^12,OFFSET(CRONOPLE!$F$14,$M479,BD$13))))</f>
        <v>0</v>
      </c>
      <c r="BE479" s="181">
        <f ca="1">IF($D479&lt;&gt;"Serviço",0,IF(AND(AUTOEVENTO="Manual",$M479=1),0,IF(OFFSET(CRONOPLE!$F$14,$M479,BE$13)="",10^12,OFFSET(CRONOPLE!$F$14,$M479,BE$13))))</f>
        <v>0</v>
      </c>
      <c r="BF479" s="181">
        <f ca="1">IF($D479&lt;&gt;"Serviço",0,IF(AND(AUTOEVENTO="Manual",$M479=1),0,IF(OFFSET(CRONOPLE!$F$14,$M479,BF$13)="",10^12,OFFSET(CRONOPLE!$F$14,$M479,BF$13))))</f>
        <v>0</v>
      </c>
      <c r="BG479" s="181">
        <f ca="1">IF($D479&lt;&gt;"Serviço",0,IF(AND(AUTOEVENTO="Manual",$M479=1),0,IF(OFFSET(CRONOPLE!$F$14,$M479,BG$13)="",10^12,OFFSET(CRONOPLE!$F$14,$M479,BG$13))))</f>
        <v>0</v>
      </c>
      <c r="BH479" s="181">
        <f ca="1">IF($D479&lt;&gt;"Serviço",0,IF(AND(AUTOEVENTO="Manual",$M479=1),0,IF(OFFSET(CRONOPLE!$F$14,$M479,BH$13)="",10^12,OFFSET(CRONOPLE!$F$14,$M479,BH$13))))</f>
        <v>0</v>
      </c>
      <c r="BI479" s="181">
        <f ca="1">IF($D479&lt;&gt;"Serviço",0,IF(AND(AUTOEVENTO="Manual",$M479=1),0,IF(OFFSET(CRONOPLE!$F$14,$M479,BI$13)="",10^12,OFFSET(CRONOPLE!$F$14,$M479,BI$13))))</f>
        <v>0</v>
      </c>
      <c r="BJ479" s="181">
        <f ca="1">IF($D479&lt;&gt;"Serviço",0,IF(AND(AUTOEVENTO="Manual",$M479=1),0,IF(OFFSET(CRONOPLE!$F$14,$M479,BJ$13)="",10^12,OFFSET(CRONOPLE!$F$14,$M479,BJ$13))))</f>
        <v>0</v>
      </c>
      <c r="BK479" s="181">
        <f ca="1">IF($D479&lt;&gt;"Serviço",0,IF(AND(AUTOEVENTO="Manual",$M479=1),0,IF(OFFSET(CRONOPLE!$F$14,$M479,BK$13)="",10^12,OFFSET(CRONOPLE!$F$14,$M479,BK$13))))</f>
        <v>0</v>
      </c>
      <c r="BL479" s="181">
        <f ca="1">IF($D479&lt;&gt;"Serviço",0,IF(AND(AUTOEVENTO="Manual",$M479=1),0,IF(OFFSET(CRONOPLE!$F$14,$M479,BL$13)="",10^12,OFFSET(CRONOPLE!$F$14,$M479,BL$13))))</f>
        <v>0</v>
      </c>
      <c r="BM479" s="181">
        <f ca="1">IF($D479&lt;&gt;"Serviço",0,IF(AND(AUTOEVENTO="Manual",$M479=1),0,IF(OFFSET(CRONOPLE!$F$14,$M479,BM$13)="",10^12,OFFSET(CRONOPLE!$F$14,$M479,BM$13))))</f>
        <v>0</v>
      </c>
      <c r="BN479" s="181">
        <f ca="1">IF($D479&lt;&gt;"Serviço",0,IF(AND(AUTOEVENTO="Manual",$M479=1),0,IF(OFFSET(CRONOPLE!$F$14,$M479,BN$13)="",10^12,OFFSET(CRONOPLE!$F$14,$M479,BN$13))))</f>
        <v>0</v>
      </c>
      <c r="BO479" s="181">
        <f ca="1">IF($D479&lt;&gt;"Serviço",0,IF(AND(AUTOEVENTO="Manual",$M479=1),0,IF(OFFSET(CRONOPLE!$F$14,$M479,BO$13)="",10^12,OFFSET(CRONOPLE!$F$14,$M479,BO$13))))</f>
        <v>0</v>
      </c>
      <c r="BP479" s="181">
        <f ca="1">IF($D479&lt;&gt;"Serviço",0,IF(AND(AUTOEVENTO="Manual",$M479=1),0,IF(OFFSET(CRONOPLE!$F$14,$M479,BP$13)="",10^12,OFFSET(CRONOPLE!$F$14,$M479,BP$13))))</f>
        <v>0</v>
      </c>
      <c r="BQ479" s="181">
        <f ca="1">IF($D479&lt;&gt;"Serviço",0,IF(AND(AUTOEVENTO="Manual",$M479=1),0,IF(OFFSET(CRONOPLE!$F$14,$M479,BQ$13)="",10^12,OFFSET(CRONOPLE!$F$14,$M479,BQ$13))))</f>
        <v>0</v>
      </c>
      <c r="BR479" s="181">
        <f ca="1">IF($D479&lt;&gt;"Serviço",0,IF(AND(AUTOEVENTO="Manual",$M479=1),0,IF(OFFSET(CRONOPLE!$F$14,$M479,BR$13)="",10^12,OFFSET(CRONOPLE!$F$14,$M479,BR$13))))</f>
        <v>0</v>
      </c>
      <c r="BS479" s="181">
        <f ca="1">IF($D479&lt;&gt;"Serviço",0,IF(AND(AUTOEVENTO="Manual",$M479=1),0,IF(OFFSET(CRONOPLE!$F$14,$M479,BS$13)="",10^12,OFFSET(CRONOPLE!$F$14,$M479,BS$13))))</f>
        <v>0</v>
      </c>
      <c r="BT479" s="181">
        <f ca="1">IF($D479&lt;&gt;"Serviço",0,IF(AND(AUTOEVENTO="Manual",$M479=1),0,IF(OFFSET(CRONOPLE!$F$14,$M479,BT$13)="",10^12,OFFSET(CRONOPLE!$F$14,$M479,BT$13))))</f>
        <v>0</v>
      </c>
      <c r="BV479" s="182">
        <f ca="1">IF($D479&lt;&gt;"Serviço",0,IF(OR(AND(AUTOEVENTO="Manual",$M479=1),$M479&gt;(ROW(PLE.lastrow)-ROW(PLE.firstrow))),0,IF(OFFSET(PLE!$G$14,$M479,BV$13)="",10^12,OFFSET(PLE!$G$14,$M479,BV$13))))</f>
        <v>0</v>
      </c>
      <c r="BW479" s="182">
        <f ca="1">IF($D479&lt;&gt;"Serviço",0,IF(OR(AND(AUTOEVENTO="Manual",$M479=1),$M479&gt;(ROW(PLE.lastrow)-ROW(PLE.firstrow))),0,IF(OFFSET(PLE!$G$14,$M479,BW$13)="",10^12,OFFSET(PLE!$G$14,$M479,BW$13))))</f>
        <v>0</v>
      </c>
      <c r="BX479" s="182">
        <f ca="1">IF($D479&lt;&gt;"Serviço",0,IF(OR(AND(AUTOEVENTO="Manual",$M479=1),$M479&gt;(ROW(PLE.lastrow)-ROW(PLE.firstrow))),0,IF(OFFSET(PLE!$G$14,$M479,BX$13)="",10^12,OFFSET(PLE!$G$14,$M479,BX$13))))</f>
        <v>0</v>
      </c>
      <c r="BY479" s="182">
        <f ca="1">IF($D479&lt;&gt;"Serviço",0,IF(OR(AND(AUTOEVENTO="Manual",$M479=1),$M479&gt;(ROW(PLE.lastrow)-ROW(PLE.firstrow))),0,IF(OFFSET(PLE!$G$14,$M479,BY$13)="",10^12,OFFSET(PLE!$G$14,$M479,BY$13))))</f>
        <v>0</v>
      </c>
      <c r="BZ479" s="182">
        <f ca="1">IF($D479&lt;&gt;"Serviço",0,IF(OR(AND(AUTOEVENTO="Manual",$M479=1),$M479&gt;(ROW(PLE.lastrow)-ROW(PLE.firstrow))),0,IF(OFFSET(PLE!$G$14,$M479,BZ$13)="",10^12,OFFSET(PLE!$G$14,$M479,BZ$13))))</f>
        <v>0</v>
      </c>
      <c r="CA479" s="182">
        <f ca="1">IF($D479&lt;&gt;"Serviço",0,IF(OR(AND(AUTOEVENTO="Manual",$M479=1),$M479&gt;(ROW(PLE.lastrow)-ROW(PLE.firstrow))),0,IF(OFFSET(PLE!$G$14,$M479,CA$13)="",10^12,OFFSET(PLE!$G$14,$M479,CA$13))))</f>
        <v>0</v>
      </c>
      <c r="CB479" s="182">
        <f ca="1">IF($D479&lt;&gt;"Serviço",0,IF(OR(AND(AUTOEVENTO="Manual",$M479=1),$M479&gt;(ROW(PLE.lastrow)-ROW(PLE.firstrow))),0,IF(OFFSET(PLE!$G$14,$M479,CB$13)="",10^12,OFFSET(PLE!$G$14,$M479,CB$13))))</f>
        <v>0</v>
      </c>
      <c r="CC479" s="182">
        <f ca="1">IF($D479&lt;&gt;"Serviço",0,IF(OR(AND(AUTOEVENTO="Manual",$M479=1),$M479&gt;(ROW(PLE.lastrow)-ROW(PLE.firstrow))),0,IF(OFFSET(PLE!$G$14,$M479,CC$13)="",10^12,OFFSET(PLE!$G$14,$M479,CC$13))))</f>
        <v>0</v>
      </c>
      <c r="CD479" s="182">
        <f ca="1">IF($D479&lt;&gt;"Serviço",0,IF(OR(AND(AUTOEVENTO="Manual",$M479=1),$M479&gt;(ROW(PLE.lastrow)-ROW(PLE.firstrow))),0,IF(OFFSET(PLE!$G$14,$M479,CD$13)="",10^12,OFFSET(PLE!$G$14,$M479,CD$13))))</f>
        <v>0</v>
      </c>
      <c r="CE479" s="182">
        <f ca="1">IF($D479&lt;&gt;"Serviço",0,IF(OR(AND(AUTOEVENTO="Manual",$M479=1),$M479&gt;(ROW(PLE.lastrow)-ROW(PLE.firstrow))),0,IF(OFFSET(PLE!$G$14,$M479,CE$13)="",10^12,OFFSET(PLE!$G$14,$M479,CE$13))))</f>
        <v>0</v>
      </c>
      <c r="CF479" s="182">
        <f ca="1">IF($D479&lt;&gt;"Serviço",0,IF(OR(AND(AUTOEVENTO="Manual",$M479=1),$M479&gt;(ROW(PLE.lastrow)-ROW(PLE.firstrow))),0,IF(OFFSET(PLE!$G$14,$M479,CF$13)="",10^12,OFFSET(PLE!$G$14,$M479,CF$13))))</f>
        <v>0</v>
      </c>
      <c r="CG479" s="182">
        <f ca="1">IF($D479&lt;&gt;"Serviço",0,IF(OR(AND(AUTOEVENTO="Manual",$M479=1),$M479&gt;(ROW(PLE.lastrow)-ROW(PLE.firstrow))),0,IF(OFFSET(PLE!$G$14,$M479,CG$13)="",10^12,OFFSET(PLE!$G$14,$M479,CG$13))))</f>
        <v>0</v>
      </c>
      <c r="CH479" s="182">
        <f ca="1">IF($D479&lt;&gt;"Serviço",0,IF(OR(AND(AUTOEVENTO="Manual",$M479=1),$M479&gt;(ROW(PLE.lastrow)-ROW(PLE.firstrow))),0,IF(OFFSET(PLE!$G$14,$M479,CH$13)="",10^12,OFFSET(PLE!$G$14,$M479,CH$13))))</f>
        <v>0</v>
      </c>
      <c r="CI479" s="182">
        <f ca="1">IF($D479&lt;&gt;"Serviço",0,IF(OR(AND(AUTOEVENTO="Manual",$M479=1),$M479&gt;(ROW(PLE.lastrow)-ROW(PLE.firstrow))),0,IF(OFFSET(PLE!$G$14,$M479,CI$13)="",10^12,OFFSET(PLE!$G$14,$M479,CI$13))))</f>
        <v>0</v>
      </c>
      <c r="CJ479" s="182">
        <f ca="1">IF($D479&lt;&gt;"Serviço",0,IF(OR(AND(AUTOEVENTO="Manual",$M479=1),$M479&gt;(ROW(PLE.lastrow)-ROW(PLE.firstrow))),0,IF(OFFSET(PLE!$G$14,$M479,CJ$13)="",10^12,OFFSET(PLE!$G$14,$M479,CJ$13))))</f>
        <v>0</v>
      </c>
      <c r="CK479" s="182">
        <f ca="1">IF($D479&lt;&gt;"Serviço",0,IF(OR(AND(AUTOEVENTO="Manual",$M479=1),$M479&gt;(ROW(PLE.lastrow)-ROW(PLE.firstrow))),0,IF(OFFSET(PLE!$G$14,$M479,CK$13)="",10^12,OFFSET(PLE!$G$14,$M479,CK$13))))</f>
        <v>0</v>
      </c>
      <c r="CL479" s="182">
        <f ca="1">IF($D479&lt;&gt;"Serviço",0,IF(OR(AND(AUTOEVENTO="Manual",$M479=1),$M479&gt;(ROW(PLE.lastrow)-ROW(PLE.firstrow))),0,IF(OFFSET(PLE!$G$14,$M479,CL$13)="",10^12,OFFSET(PLE!$G$14,$M479,CL$13))))</f>
        <v>0</v>
      </c>
      <c r="CM479" s="182">
        <f ca="1">IF($D479&lt;&gt;"Serviço",0,IF(OR(AND(AUTOEVENTO="Manual",$M479=1),$M479&gt;(ROW(PLE.lastrow)-ROW(PLE.firstrow))),0,IF(OFFSET(PLE!$G$14,$M479,CM$13)="",10^12,OFFSET(PLE!$G$14,$M479,CM$13))))</f>
        <v>0</v>
      </c>
    </row>
    <row r="480" spans="1:91" ht="38.25" x14ac:dyDescent="0.2">
      <c r="A480" s="7" t="str">
        <f t="shared" ca="1" si="16"/>
        <v>464</v>
      </c>
      <c r="B480" s="7" t="str">
        <f ca="1">OFFSET(ORÇAMENTO!C$15,ROW(B480)-ROW(B$15),0)</f>
        <v>S</v>
      </c>
      <c r="C480" s="7" t="str">
        <f ca="1">OFFSET(ORÇAMENTO!L$15,ROW(C480)-ROW(C$15),0)</f>
        <v/>
      </c>
      <c r="D480" s="118" t="str">
        <f ca="1">OFFSET(ORÇAMENTO!N$15,ROW(D480)-ROW(D$15),0)</f>
        <v>Serviço</v>
      </c>
      <c r="E480" s="119" t="str">
        <f ca="1">OFFSET(ORÇAMENTO!O$15,ROW(E480)-ROW(E$15),0)</f>
        <v>-</v>
      </c>
      <c r="F480" s="172" t="str">
        <f ca="1">OFFSET(ORÇAMENTO!R$15,ROW(F480)-ROW(F$15),0)</f>
        <v>(abra o arquivo 'Referência 06-2024.xlsm)</v>
      </c>
      <c r="G480" s="173" t="str">
        <f ca="1">IF($D480&lt;&gt;"Serviço","",OFFSET(ORÇAMENTO!S$15,ROW(G480)-ROW(G$15),0))</f>
        <v>-</v>
      </c>
      <c r="H480" s="124">
        <f ca="1">IF($D480&lt;&gt;"Serviço",0,IF(ACOMPANHAMENTO="BM",ROUND(OFFSET(ORÇAMENTO!AJ$15,ROW(H480)-ROW(H$15),0),15-13*ORÇAMENTO!$AF$7),SUMPRODUCT(($Q$12:$AI$12&lt;&gt;"")*ROUND($Q480:$AI480,15-13*ORÇAMENTO!$AF$7))))</f>
        <v>4</v>
      </c>
      <c r="I480" s="561" t="s">
        <v>1107</v>
      </c>
      <c r="K480" s="174"/>
      <c r="L480" s="175" t="s">
        <v>255</v>
      </c>
      <c r="M480" s="176">
        <f ca="1">IF($D480&lt;&gt;"Serviço","",IF(AUTOEVENTO="manual",$A480,IF(ISERROR(MATCH($A480,$A$15:OFFSET($A480,-1,0),0)),MAX($M$15:OFFSET(M480,-1,0))+1,INDEX($M$15:OFFSET(M480,-1,0),MATCH($A480,$A$15:OFFSET($A480,-1,0),0)))))</f>
        <v>52</v>
      </c>
      <c r="N480" s="177" t="str">
        <f ca="1">IF($D480&lt;&gt;"Serviço","",IF(AUTOEVENTO="Manual",IF($A480=0,"&lt;-- defina o número do agrupador",OFFSET(EVENTOS!$D$14,$A480,0)),OFFSET($F$15,$A480,0)))</f>
        <v>INSTALAÇÃO ELÉTRICA 110V - ACESSÓRIOS PARA ELETRODUTOS</v>
      </c>
      <c r="O480" s="178"/>
      <c r="Q480" s="178">
        <v>4</v>
      </c>
      <c r="R480" s="179"/>
      <c r="S480" s="179"/>
      <c r="T480" s="179"/>
      <c r="U480" s="179"/>
      <c r="V480" s="179"/>
      <c r="W480" s="179"/>
      <c r="X480" s="179"/>
      <c r="Y480" s="179"/>
      <c r="Z480" s="180"/>
      <c r="AA480" s="179"/>
      <c r="AB480" s="179"/>
      <c r="AC480" s="179"/>
      <c r="AD480" s="179"/>
      <c r="AE480" s="179"/>
      <c r="AF480" s="179"/>
      <c r="AG480" s="179"/>
      <c r="AH480" s="180"/>
      <c r="AJ480" s="544">
        <f ca="1">IF(AND($D480="Serviço",AJ$12&lt;&gt;0,$H480&gt;0,OR(AUTOEVENTO&lt;&gt;"manual",$M480&lt;&gt;1)),
IF(Import.TipoArredondamento&lt;&gt;"TransfereGOV",
ROUND(OFFSET($P480,0,AJ$13),15-13*ORÇAMENTO!$AF$7)/$H480*OFFSET(ORÇAMENTO!$X$15,ROW(AJ480)-ROW(AJ$15),0),
ROUND(ROUND(OFFSET($P480,0,AJ$13),15-13*ORÇAMENTO!$AF$7)*OFFSET(ORÇAMENTO!$W$15,ROW(AJ480)-ROW(AJ$15),0),15-13*ORÇAMENTO!$AF$11)),0)</f>
        <v>0</v>
      </c>
      <c r="AK480" s="545">
        <f ca="1">IF(AND($D480="Serviço",AK$12&lt;&gt;0,$H480&gt;0,OR(AUTOEVENTO&lt;&gt;"manual",$M480&lt;&gt;1)),
IF(Import.TipoArredondamento&lt;&gt;"TransfereGOV",
ROUND(OFFSET($P480,0,AK$13),15-13*ORÇAMENTO!$AF$7)/$H480*OFFSET(ORÇAMENTO!$X$15,ROW(AK480)-ROW(AK$15),0),
ROUND(ROUND(OFFSET($P480,0,AK$13),15-13*ORÇAMENTO!$AF$7)*OFFSET(ORÇAMENTO!$W$15,ROW(AK480)-ROW(AK$15),0),15-13*ORÇAMENTO!$AF$11)),0)</f>
        <v>0</v>
      </c>
      <c r="AL480" s="545">
        <f ca="1">IF(AND($D480="Serviço",AL$12&lt;&gt;0,$H480&gt;0,OR(AUTOEVENTO&lt;&gt;"manual",$M480&lt;&gt;1)),
IF(Import.TipoArredondamento&lt;&gt;"TransfereGOV",
ROUND(OFFSET($P480,0,AL$13),15-13*ORÇAMENTO!$AF$7)/$H480*OFFSET(ORÇAMENTO!$X$15,ROW(AL480)-ROW(AL$15),0),
ROUND(ROUND(OFFSET($P480,0,AL$13),15-13*ORÇAMENTO!$AF$7)*OFFSET(ORÇAMENTO!$W$15,ROW(AL480)-ROW(AL$15),0),15-13*ORÇAMENTO!$AF$11)),0)</f>
        <v>0</v>
      </c>
      <c r="AM480" s="545">
        <f ca="1">IF(AND($D480="Serviço",AM$12&lt;&gt;0,$H480&gt;0,OR(AUTOEVENTO&lt;&gt;"manual",$M480&lt;&gt;1)),
IF(Import.TipoArredondamento&lt;&gt;"TransfereGOV",
ROUND(OFFSET($P480,0,AM$13),15-13*ORÇAMENTO!$AF$7)/$H480*OFFSET(ORÇAMENTO!$X$15,ROW(AM480)-ROW(AM$15),0),
ROUND(ROUND(OFFSET($P480,0,AM$13),15-13*ORÇAMENTO!$AF$7)*OFFSET(ORÇAMENTO!$W$15,ROW(AM480)-ROW(AM$15),0),15-13*ORÇAMENTO!$AF$11)),0)</f>
        <v>0</v>
      </c>
      <c r="AN480" s="545">
        <f ca="1">IF(AND($D480="Serviço",AN$12&lt;&gt;0,$H480&gt;0,OR(AUTOEVENTO&lt;&gt;"manual",$M480&lt;&gt;1)),
IF(Import.TipoArredondamento&lt;&gt;"TransfereGOV",
ROUND(OFFSET($P480,0,AN$13),15-13*ORÇAMENTO!$AF$7)/$H480*OFFSET(ORÇAMENTO!$X$15,ROW(AN480)-ROW(AN$15),0),
ROUND(ROUND(OFFSET($P480,0,AN$13),15-13*ORÇAMENTO!$AF$7)*OFFSET(ORÇAMENTO!$W$15,ROW(AN480)-ROW(AN$15),0),15-13*ORÇAMENTO!$AF$11)),0)</f>
        <v>0</v>
      </c>
      <c r="AO480" s="545">
        <f ca="1">IF(AND($D480="Serviço",AO$12&lt;&gt;0,$H480&gt;0,OR(AUTOEVENTO&lt;&gt;"manual",$M480&lt;&gt;1)),
IF(Import.TipoArredondamento&lt;&gt;"TransfereGOV",
ROUND(OFFSET($P480,0,AO$13),15-13*ORÇAMENTO!$AF$7)/$H480*OFFSET(ORÇAMENTO!$X$15,ROW(AO480)-ROW(AO$15),0),
ROUND(ROUND(OFFSET($P480,0,AO$13),15-13*ORÇAMENTO!$AF$7)*OFFSET(ORÇAMENTO!$W$15,ROW(AO480)-ROW(AO$15),0),15-13*ORÇAMENTO!$AF$11)),0)</f>
        <v>0</v>
      </c>
      <c r="AP480" s="545">
        <f ca="1">IF(AND($D480="Serviço",AP$12&lt;&gt;0,$H480&gt;0,OR(AUTOEVENTO&lt;&gt;"manual",$M480&lt;&gt;1)),
IF(Import.TipoArredondamento&lt;&gt;"TransfereGOV",
ROUND(OFFSET($P480,0,AP$13),15-13*ORÇAMENTO!$AF$7)/$H480*OFFSET(ORÇAMENTO!$X$15,ROW(AP480)-ROW(AP$15),0),
ROUND(ROUND(OFFSET($P480,0,AP$13),15-13*ORÇAMENTO!$AF$7)*OFFSET(ORÇAMENTO!$W$15,ROW(AP480)-ROW(AP$15),0),15-13*ORÇAMENTO!$AF$11)),0)</f>
        <v>0</v>
      </c>
      <c r="AQ480" s="545">
        <f ca="1">IF(AND($D480="Serviço",AQ$12&lt;&gt;0,$H480&gt;0,OR(AUTOEVENTO&lt;&gt;"manual",$M480&lt;&gt;1)),
IF(Import.TipoArredondamento&lt;&gt;"TransfereGOV",
ROUND(OFFSET($P480,0,AQ$13),15-13*ORÇAMENTO!$AF$7)/$H480*OFFSET(ORÇAMENTO!$X$15,ROW(AQ480)-ROW(AQ$15),0),
ROUND(ROUND(OFFSET($P480,0,AQ$13),15-13*ORÇAMENTO!$AF$7)*OFFSET(ORÇAMENTO!$W$15,ROW(AQ480)-ROW(AQ$15),0),15-13*ORÇAMENTO!$AF$11)),0)</f>
        <v>0</v>
      </c>
      <c r="AR480" s="545">
        <f ca="1">IF(AND($D480="Serviço",AR$12&lt;&gt;0,$H480&gt;0,OR(AUTOEVENTO&lt;&gt;"manual",$M480&lt;&gt;1)),
IF(Import.TipoArredondamento&lt;&gt;"TransfereGOV",
ROUND(OFFSET($P480,0,AR$13),15-13*ORÇAMENTO!$AF$7)/$H480*OFFSET(ORÇAMENTO!$X$15,ROW(AR480)-ROW(AR$15),0),
ROUND(ROUND(OFFSET($P480,0,AR$13),15-13*ORÇAMENTO!$AF$7)*OFFSET(ORÇAMENTO!$W$15,ROW(AR480)-ROW(AR$15),0),15-13*ORÇAMENTO!$AF$11)),0)</f>
        <v>0</v>
      </c>
      <c r="AS480" s="546">
        <f ca="1">IF(AND($D480="Serviço",AS$12&lt;&gt;0,$H480&gt;0,OR(AUTOEVENTO&lt;&gt;"manual",$M480&lt;&gt;1)),
IF(Import.TipoArredondamento&lt;&gt;"TransfereGOV",
ROUND(OFFSET($P480,0,AS$13),15-13*ORÇAMENTO!$AF$7)/$H480*OFFSET(ORÇAMENTO!$X$15,ROW(AS480)-ROW(AS$15),0),
ROUND(ROUND(OFFSET($P480,0,AS$13),15-13*ORÇAMENTO!$AF$7)*OFFSET(ORÇAMENTO!$W$15,ROW(AS480)-ROW(AS$15),0),15-13*ORÇAMENTO!$AF$11)),0)</f>
        <v>0</v>
      </c>
      <c r="AT480" s="545">
        <f ca="1">IF(AND($D480="Serviço",AT$12&lt;&gt;0,$H480&gt;0,OR(AUTOEVENTO&lt;&gt;"manual",$M480&lt;&gt;1)),
IF(Import.TipoArredondamento&lt;&gt;"TransfereGOV",
ROUND(OFFSET($P480,0,AT$13),15-13*ORÇAMENTO!$AF$7)/$H480*OFFSET(ORÇAMENTO!$X$15,ROW(AT480)-ROW(AT$15),0),
ROUND(ROUND(OFFSET($P480,0,AT$13),15-13*ORÇAMENTO!$AF$7)*OFFSET(ORÇAMENTO!$W$15,ROW(AT480)-ROW(AT$15),0),15-13*ORÇAMENTO!$AF$11)),0)</f>
        <v>0</v>
      </c>
      <c r="AU480" s="545">
        <f ca="1">IF(AND($D480="Serviço",AU$12&lt;&gt;0,$H480&gt;0,OR(AUTOEVENTO&lt;&gt;"manual",$M480&lt;&gt;1)),
IF(Import.TipoArredondamento&lt;&gt;"TransfereGOV",
ROUND(OFFSET($P480,0,AU$13),15-13*ORÇAMENTO!$AF$7)/$H480*OFFSET(ORÇAMENTO!$X$15,ROW(AU480)-ROW(AU$15),0),
ROUND(ROUND(OFFSET($P480,0,AU$13),15-13*ORÇAMENTO!$AF$7)*OFFSET(ORÇAMENTO!$W$15,ROW(AU480)-ROW(AU$15),0),15-13*ORÇAMENTO!$AF$11)),0)</f>
        <v>0</v>
      </c>
      <c r="AV480" s="545">
        <f ca="1">IF(AND($D480="Serviço",AV$12&lt;&gt;0,$H480&gt;0,OR(AUTOEVENTO&lt;&gt;"manual",$M480&lt;&gt;1)),
IF(Import.TipoArredondamento&lt;&gt;"TransfereGOV",
ROUND(OFFSET($P480,0,AV$13),15-13*ORÇAMENTO!$AF$7)/$H480*OFFSET(ORÇAMENTO!$X$15,ROW(AV480)-ROW(AV$15),0),
ROUND(ROUND(OFFSET($P480,0,AV$13),15-13*ORÇAMENTO!$AF$7)*OFFSET(ORÇAMENTO!$W$15,ROW(AV480)-ROW(AV$15),0),15-13*ORÇAMENTO!$AF$11)),0)</f>
        <v>0</v>
      </c>
      <c r="AW480" s="545">
        <f ca="1">IF(AND($D480="Serviço",AW$12&lt;&gt;0,$H480&gt;0,OR(AUTOEVENTO&lt;&gt;"manual",$M480&lt;&gt;1)),
IF(Import.TipoArredondamento&lt;&gt;"TransfereGOV",
ROUND(OFFSET($P480,0,AW$13),15-13*ORÇAMENTO!$AF$7)/$H480*OFFSET(ORÇAMENTO!$X$15,ROW(AW480)-ROW(AW$15),0),
ROUND(ROUND(OFFSET($P480,0,AW$13),15-13*ORÇAMENTO!$AF$7)*OFFSET(ORÇAMENTO!$W$15,ROW(AW480)-ROW(AW$15),0),15-13*ORÇAMENTO!$AF$11)),0)</f>
        <v>0</v>
      </c>
      <c r="AX480" s="545">
        <f ca="1">IF(AND($D480="Serviço",AX$12&lt;&gt;0,$H480&gt;0,OR(AUTOEVENTO&lt;&gt;"manual",$M480&lt;&gt;1)),
IF(Import.TipoArredondamento&lt;&gt;"TransfereGOV",
ROUND(OFFSET($P480,0,AX$13),15-13*ORÇAMENTO!$AF$7)/$H480*OFFSET(ORÇAMENTO!$X$15,ROW(AX480)-ROW(AX$15),0),
ROUND(ROUND(OFFSET($P480,0,AX$13),15-13*ORÇAMENTO!$AF$7)*OFFSET(ORÇAMENTO!$W$15,ROW(AX480)-ROW(AX$15),0),15-13*ORÇAMENTO!$AF$11)),0)</f>
        <v>0</v>
      </c>
      <c r="AY480" s="545">
        <f ca="1">IF(AND($D480="Serviço",AY$12&lt;&gt;0,$H480&gt;0,OR(AUTOEVENTO&lt;&gt;"manual",$M480&lt;&gt;1)),
IF(Import.TipoArredondamento&lt;&gt;"TransfereGOV",
ROUND(OFFSET($P480,0,AY$13),15-13*ORÇAMENTO!$AF$7)/$H480*OFFSET(ORÇAMENTO!$X$15,ROW(AY480)-ROW(AY$15),0),
ROUND(ROUND(OFFSET($P480,0,AY$13),15-13*ORÇAMENTO!$AF$7)*OFFSET(ORÇAMENTO!$W$15,ROW(AY480)-ROW(AY$15),0),15-13*ORÇAMENTO!$AF$11)),0)</f>
        <v>0</v>
      </c>
      <c r="AZ480" s="545">
        <f ca="1">IF(AND($D480="Serviço",AZ$12&lt;&gt;0,$H480&gt;0,OR(AUTOEVENTO&lt;&gt;"manual",$M480&lt;&gt;1)),
IF(Import.TipoArredondamento&lt;&gt;"TransfereGOV",
ROUND(OFFSET($P480,0,AZ$13),15-13*ORÇAMENTO!$AF$7)/$H480*OFFSET(ORÇAMENTO!$X$15,ROW(AZ480)-ROW(AZ$15),0),
ROUND(ROUND(OFFSET($P480,0,AZ$13),15-13*ORÇAMENTO!$AF$7)*OFFSET(ORÇAMENTO!$W$15,ROW(AZ480)-ROW(AZ$15),0),15-13*ORÇAMENTO!$AF$11)),0)</f>
        <v>0</v>
      </c>
      <c r="BA480" s="546">
        <f ca="1">IF(AND($D480="Serviço",BA$12&lt;&gt;0,$H480&gt;0,OR(AUTOEVENTO&lt;&gt;"manual",$M480&lt;&gt;1)),
IF(Import.TipoArredondamento&lt;&gt;"TransfereGOV",
ROUND(OFFSET($P480,0,BA$13),15-13*ORÇAMENTO!$AF$7)/$H480*OFFSET(ORÇAMENTO!$X$15,ROW(BA480)-ROW(BA$15),0),
ROUND(ROUND(OFFSET($P480,0,BA$13),15-13*ORÇAMENTO!$AF$7)*OFFSET(ORÇAMENTO!$W$15,ROW(BA480)-ROW(BA$15),0),15-13*ORÇAMENTO!$AF$11)),0)</f>
        <v>0</v>
      </c>
      <c r="BC480" s="181">
        <f ca="1">IF($D480&lt;&gt;"Serviço",0,IF(AND(AUTOEVENTO="Manual",$M480=1),0,IF(OFFSET(CRONOPLE!$F$14,$M480,BC$13)="",10^12,OFFSET(CRONOPLE!$F$14,$M480,BC$13))))</f>
        <v>10</v>
      </c>
      <c r="BD480" s="181">
        <f ca="1">IF($D480&lt;&gt;"Serviço",0,IF(AND(AUTOEVENTO="Manual",$M480=1),0,IF(OFFSET(CRONOPLE!$F$14,$M480,BD$13)="",10^12,OFFSET(CRONOPLE!$F$14,$M480,BD$13))))</f>
        <v>1000000000000</v>
      </c>
      <c r="BE480" s="181">
        <f ca="1">IF($D480&lt;&gt;"Serviço",0,IF(AND(AUTOEVENTO="Manual",$M480=1),0,IF(OFFSET(CRONOPLE!$F$14,$M480,BE$13)="",10^12,OFFSET(CRONOPLE!$F$14,$M480,BE$13))))</f>
        <v>1000000000000</v>
      </c>
      <c r="BF480" s="181">
        <f ca="1">IF($D480&lt;&gt;"Serviço",0,IF(AND(AUTOEVENTO="Manual",$M480=1),0,IF(OFFSET(CRONOPLE!$F$14,$M480,BF$13)="",10^12,OFFSET(CRONOPLE!$F$14,$M480,BF$13))))</f>
        <v>1000000000000</v>
      </c>
      <c r="BG480" s="181">
        <f ca="1">IF($D480&lt;&gt;"Serviço",0,IF(AND(AUTOEVENTO="Manual",$M480=1),0,IF(OFFSET(CRONOPLE!$F$14,$M480,BG$13)="",10^12,OFFSET(CRONOPLE!$F$14,$M480,BG$13))))</f>
        <v>1000000000000</v>
      </c>
      <c r="BH480" s="181">
        <f ca="1">IF($D480&lt;&gt;"Serviço",0,IF(AND(AUTOEVENTO="Manual",$M480=1),0,IF(OFFSET(CRONOPLE!$F$14,$M480,BH$13)="",10^12,OFFSET(CRONOPLE!$F$14,$M480,BH$13))))</f>
        <v>1000000000000</v>
      </c>
      <c r="BI480" s="181">
        <f ca="1">IF($D480&lt;&gt;"Serviço",0,IF(AND(AUTOEVENTO="Manual",$M480=1),0,IF(OFFSET(CRONOPLE!$F$14,$M480,BI$13)="",10^12,OFFSET(CRONOPLE!$F$14,$M480,BI$13))))</f>
        <v>1000000000000</v>
      </c>
      <c r="BJ480" s="181">
        <f ca="1">IF($D480&lt;&gt;"Serviço",0,IF(AND(AUTOEVENTO="Manual",$M480=1),0,IF(OFFSET(CRONOPLE!$F$14,$M480,BJ$13)="",10^12,OFFSET(CRONOPLE!$F$14,$M480,BJ$13))))</f>
        <v>1000000000000</v>
      </c>
      <c r="BK480" s="181">
        <f ca="1">IF($D480&lt;&gt;"Serviço",0,IF(AND(AUTOEVENTO="Manual",$M480=1),0,IF(OFFSET(CRONOPLE!$F$14,$M480,BK$13)="",10^12,OFFSET(CRONOPLE!$F$14,$M480,BK$13))))</f>
        <v>1000000000000</v>
      </c>
      <c r="BL480" s="181">
        <f ca="1">IF($D480&lt;&gt;"Serviço",0,IF(AND(AUTOEVENTO="Manual",$M480=1),0,IF(OFFSET(CRONOPLE!$F$14,$M480,BL$13)="",10^12,OFFSET(CRONOPLE!$F$14,$M480,BL$13))))</f>
        <v>1000000000000</v>
      </c>
      <c r="BM480" s="181">
        <f ca="1">IF($D480&lt;&gt;"Serviço",0,IF(AND(AUTOEVENTO="Manual",$M480=1),0,IF(OFFSET(CRONOPLE!$F$14,$M480,BM$13)="",10^12,OFFSET(CRONOPLE!$F$14,$M480,BM$13))))</f>
        <v>1000000000000</v>
      </c>
      <c r="BN480" s="181">
        <f ca="1">IF($D480&lt;&gt;"Serviço",0,IF(AND(AUTOEVENTO="Manual",$M480=1),0,IF(OFFSET(CRONOPLE!$F$14,$M480,BN$13)="",10^12,OFFSET(CRONOPLE!$F$14,$M480,BN$13))))</f>
        <v>1000000000000</v>
      </c>
      <c r="BO480" s="181">
        <f ca="1">IF($D480&lt;&gt;"Serviço",0,IF(AND(AUTOEVENTO="Manual",$M480=1),0,IF(OFFSET(CRONOPLE!$F$14,$M480,BO$13)="",10^12,OFFSET(CRONOPLE!$F$14,$M480,BO$13))))</f>
        <v>1000000000000</v>
      </c>
      <c r="BP480" s="181">
        <f ca="1">IF($D480&lt;&gt;"Serviço",0,IF(AND(AUTOEVENTO="Manual",$M480=1),0,IF(OFFSET(CRONOPLE!$F$14,$M480,BP$13)="",10^12,OFFSET(CRONOPLE!$F$14,$M480,BP$13))))</f>
        <v>1000000000000</v>
      </c>
      <c r="BQ480" s="181">
        <f ca="1">IF($D480&lt;&gt;"Serviço",0,IF(AND(AUTOEVENTO="Manual",$M480=1),0,IF(OFFSET(CRONOPLE!$F$14,$M480,BQ$13)="",10^12,OFFSET(CRONOPLE!$F$14,$M480,BQ$13))))</f>
        <v>1000000000000</v>
      </c>
      <c r="BR480" s="181">
        <f ca="1">IF($D480&lt;&gt;"Serviço",0,IF(AND(AUTOEVENTO="Manual",$M480=1),0,IF(OFFSET(CRONOPLE!$F$14,$M480,BR$13)="",10^12,OFFSET(CRONOPLE!$F$14,$M480,BR$13))))</f>
        <v>1000000000000</v>
      </c>
      <c r="BS480" s="181">
        <f ca="1">IF($D480&lt;&gt;"Serviço",0,IF(AND(AUTOEVENTO="Manual",$M480=1),0,IF(OFFSET(CRONOPLE!$F$14,$M480,BS$13)="",10^12,OFFSET(CRONOPLE!$F$14,$M480,BS$13))))</f>
        <v>1000000000000</v>
      </c>
      <c r="BT480" s="181">
        <f ca="1">IF($D480&lt;&gt;"Serviço",0,IF(AND(AUTOEVENTO="Manual",$M480=1),0,IF(OFFSET(CRONOPLE!$F$14,$M480,BT$13)="",10^12,OFFSET(CRONOPLE!$F$14,$M480,BT$13))))</f>
        <v>1000000000000</v>
      </c>
      <c r="BV480" s="182">
        <f ca="1">IF($D480&lt;&gt;"Serviço",0,IF(OR(AND(AUTOEVENTO="Manual",$M480=1),$M480&gt;(ROW(PLE.lastrow)-ROW(PLE.firstrow))),0,IF(OFFSET(PLE!$G$14,$M480,BV$13)="",10^12,OFFSET(PLE!$G$14,$M480,BV$13))))</f>
        <v>1000000000000</v>
      </c>
      <c r="BW480" s="182">
        <f ca="1">IF($D480&lt;&gt;"Serviço",0,IF(OR(AND(AUTOEVENTO="Manual",$M480=1),$M480&gt;(ROW(PLE.lastrow)-ROW(PLE.firstrow))),0,IF(OFFSET(PLE!$G$14,$M480,BW$13)="",10^12,OFFSET(PLE!$G$14,$M480,BW$13))))</f>
        <v>1000000000000</v>
      </c>
      <c r="BX480" s="182">
        <f ca="1">IF($D480&lt;&gt;"Serviço",0,IF(OR(AND(AUTOEVENTO="Manual",$M480=1),$M480&gt;(ROW(PLE.lastrow)-ROW(PLE.firstrow))),0,IF(OFFSET(PLE!$G$14,$M480,BX$13)="",10^12,OFFSET(PLE!$G$14,$M480,BX$13))))</f>
        <v>1000000000000</v>
      </c>
      <c r="BY480" s="182">
        <f ca="1">IF($D480&lt;&gt;"Serviço",0,IF(OR(AND(AUTOEVENTO="Manual",$M480=1),$M480&gt;(ROW(PLE.lastrow)-ROW(PLE.firstrow))),0,IF(OFFSET(PLE!$G$14,$M480,BY$13)="",10^12,OFFSET(PLE!$G$14,$M480,BY$13))))</f>
        <v>1000000000000</v>
      </c>
      <c r="BZ480" s="182">
        <f ca="1">IF($D480&lt;&gt;"Serviço",0,IF(OR(AND(AUTOEVENTO="Manual",$M480=1),$M480&gt;(ROW(PLE.lastrow)-ROW(PLE.firstrow))),0,IF(OFFSET(PLE!$G$14,$M480,BZ$13)="",10^12,OFFSET(PLE!$G$14,$M480,BZ$13))))</f>
        <v>1000000000000</v>
      </c>
      <c r="CA480" s="182">
        <f ca="1">IF($D480&lt;&gt;"Serviço",0,IF(OR(AND(AUTOEVENTO="Manual",$M480=1),$M480&gt;(ROW(PLE.lastrow)-ROW(PLE.firstrow))),0,IF(OFFSET(PLE!$G$14,$M480,CA$13)="",10^12,OFFSET(PLE!$G$14,$M480,CA$13))))</f>
        <v>1000000000000</v>
      </c>
      <c r="CB480" s="182">
        <f ca="1">IF($D480&lt;&gt;"Serviço",0,IF(OR(AND(AUTOEVENTO="Manual",$M480=1),$M480&gt;(ROW(PLE.lastrow)-ROW(PLE.firstrow))),0,IF(OFFSET(PLE!$G$14,$M480,CB$13)="",10^12,OFFSET(PLE!$G$14,$M480,CB$13))))</f>
        <v>1000000000000</v>
      </c>
      <c r="CC480" s="182">
        <f ca="1">IF($D480&lt;&gt;"Serviço",0,IF(OR(AND(AUTOEVENTO="Manual",$M480=1),$M480&gt;(ROW(PLE.lastrow)-ROW(PLE.firstrow))),0,IF(OFFSET(PLE!$G$14,$M480,CC$13)="",10^12,OFFSET(PLE!$G$14,$M480,CC$13))))</f>
        <v>1000000000000</v>
      </c>
      <c r="CD480" s="182">
        <f ca="1">IF($D480&lt;&gt;"Serviço",0,IF(OR(AND(AUTOEVENTO="Manual",$M480=1),$M480&gt;(ROW(PLE.lastrow)-ROW(PLE.firstrow))),0,IF(OFFSET(PLE!$G$14,$M480,CD$13)="",10^12,OFFSET(PLE!$G$14,$M480,CD$13))))</f>
        <v>1000000000000</v>
      </c>
      <c r="CE480" s="182">
        <f ca="1">IF($D480&lt;&gt;"Serviço",0,IF(OR(AND(AUTOEVENTO="Manual",$M480=1),$M480&gt;(ROW(PLE.lastrow)-ROW(PLE.firstrow))),0,IF(OFFSET(PLE!$G$14,$M480,CE$13)="",10^12,OFFSET(PLE!$G$14,$M480,CE$13))))</f>
        <v>1000000000000</v>
      </c>
      <c r="CF480" s="182">
        <f ca="1">IF($D480&lt;&gt;"Serviço",0,IF(OR(AND(AUTOEVENTO="Manual",$M480=1),$M480&gt;(ROW(PLE.lastrow)-ROW(PLE.firstrow))),0,IF(OFFSET(PLE!$G$14,$M480,CF$13)="",10^12,OFFSET(PLE!$G$14,$M480,CF$13))))</f>
        <v>1000000000000</v>
      </c>
      <c r="CG480" s="182">
        <f ca="1">IF($D480&lt;&gt;"Serviço",0,IF(OR(AND(AUTOEVENTO="Manual",$M480=1),$M480&gt;(ROW(PLE.lastrow)-ROW(PLE.firstrow))),0,IF(OFFSET(PLE!$G$14,$M480,CG$13)="",10^12,OFFSET(PLE!$G$14,$M480,CG$13))))</f>
        <v>1000000000000</v>
      </c>
      <c r="CH480" s="182">
        <f ca="1">IF($D480&lt;&gt;"Serviço",0,IF(OR(AND(AUTOEVENTO="Manual",$M480=1),$M480&gt;(ROW(PLE.lastrow)-ROW(PLE.firstrow))),0,IF(OFFSET(PLE!$G$14,$M480,CH$13)="",10^12,OFFSET(PLE!$G$14,$M480,CH$13))))</f>
        <v>1000000000000</v>
      </c>
      <c r="CI480" s="182">
        <f ca="1">IF($D480&lt;&gt;"Serviço",0,IF(OR(AND(AUTOEVENTO="Manual",$M480=1),$M480&gt;(ROW(PLE.lastrow)-ROW(PLE.firstrow))),0,IF(OFFSET(PLE!$G$14,$M480,CI$13)="",10^12,OFFSET(PLE!$G$14,$M480,CI$13))))</f>
        <v>1000000000000</v>
      </c>
      <c r="CJ480" s="182">
        <f ca="1">IF($D480&lt;&gt;"Serviço",0,IF(OR(AND(AUTOEVENTO="Manual",$M480=1),$M480&gt;(ROW(PLE.lastrow)-ROW(PLE.firstrow))),0,IF(OFFSET(PLE!$G$14,$M480,CJ$13)="",10^12,OFFSET(PLE!$G$14,$M480,CJ$13))))</f>
        <v>1000000000000</v>
      </c>
      <c r="CK480" s="182">
        <f ca="1">IF($D480&lt;&gt;"Serviço",0,IF(OR(AND(AUTOEVENTO="Manual",$M480=1),$M480&gt;(ROW(PLE.lastrow)-ROW(PLE.firstrow))),0,IF(OFFSET(PLE!$G$14,$M480,CK$13)="",10^12,OFFSET(PLE!$G$14,$M480,CK$13))))</f>
        <v>1000000000000</v>
      </c>
      <c r="CL480" s="182">
        <f ca="1">IF($D480&lt;&gt;"Serviço",0,IF(OR(AND(AUTOEVENTO="Manual",$M480=1),$M480&gt;(ROW(PLE.lastrow)-ROW(PLE.firstrow))),0,IF(OFFSET(PLE!$G$14,$M480,CL$13)="",10^12,OFFSET(PLE!$G$14,$M480,CL$13))))</f>
        <v>1000000000000</v>
      </c>
      <c r="CM480" s="182">
        <f ca="1">IF($D480&lt;&gt;"Serviço",0,IF(OR(AND(AUTOEVENTO="Manual",$M480=1),$M480&gt;(ROW(PLE.lastrow)-ROW(PLE.firstrow))),0,IF(OFFSET(PLE!$G$14,$M480,CM$13)="",10^12,OFFSET(PLE!$G$14,$M480,CM$13))))</f>
        <v>1000000000000</v>
      </c>
    </row>
    <row r="481" spans="1:91" ht="38.25" x14ac:dyDescent="0.2">
      <c r="A481" s="7" t="str">
        <f t="shared" ca="1" si="16"/>
        <v>464</v>
      </c>
      <c r="B481" s="7" t="str">
        <f ca="1">OFFSET(ORÇAMENTO!C$15,ROW(B481)-ROW(B$15),0)</f>
        <v>S</v>
      </c>
      <c r="C481" s="7" t="str">
        <f ca="1">OFFSET(ORÇAMENTO!L$15,ROW(C481)-ROW(C$15),0)</f>
        <v/>
      </c>
      <c r="D481" s="118" t="str">
        <f ca="1">OFFSET(ORÇAMENTO!N$15,ROW(D481)-ROW(D$15),0)</f>
        <v>Serviço</v>
      </c>
      <c r="E481" s="119" t="str">
        <f ca="1">OFFSET(ORÇAMENTO!O$15,ROW(E481)-ROW(E$15),0)</f>
        <v>-</v>
      </c>
      <c r="F481" s="172" t="str">
        <f ca="1">OFFSET(ORÇAMENTO!R$15,ROW(F481)-ROW(F$15),0)</f>
        <v>(abra o arquivo 'Referência 06-2024.xlsm)</v>
      </c>
      <c r="G481" s="173" t="str">
        <f ca="1">IF($D481&lt;&gt;"Serviço","",OFFSET(ORÇAMENTO!S$15,ROW(G481)-ROW(G$15),0))</f>
        <v>-</v>
      </c>
      <c r="H481" s="124">
        <f ca="1">IF($D481&lt;&gt;"Serviço",0,IF(ACOMPANHAMENTO="BM",ROUND(OFFSET(ORÇAMENTO!AJ$15,ROW(H481)-ROW(H$15),0),15-13*ORÇAMENTO!$AF$7),SUMPRODUCT(($Q$12:$AI$12&lt;&gt;"")*ROUND($Q481:$AI481,15-13*ORÇAMENTO!$AF$7))))</f>
        <v>4</v>
      </c>
      <c r="I481" s="561" t="s">
        <v>1107</v>
      </c>
      <c r="K481" s="174"/>
      <c r="L481" s="175" t="s">
        <v>255</v>
      </c>
      <c r="M481" s="176">
        <f ca="1">IF($D481&lt;&gt;"Serviço","",IF(AUTOEVENTO="manual",$A481,IF(ISERROR(MATCH($A481,$A$15:OFFSET($A481,-1,0),0)),MAX($M$15:OFFSET(M481,-1,0))+1,INDEX($M$15:OFFSET(M481,-1,0),MATCH($A481,$A$15:OFFSET($A481,-1,0),0)))))</f>
        <v>52</v>
      </c>
      <c r="N481" s="177" t="str">
        <f ca="1">IF($D481&lt;&gt;"Serviço","",IF(AUTOEVENTO="Manual",IF($A481=0,"&lt;-- defina o número do agrupador",OFFSET(EVENTOS!$D$14,$A481,0)),OFFSET($F$15,$A481,0)))</f>
        <v>INSTALAÇÃO ELÉTRICA 110V - ACESSÓRIOS PARA ELETRODUTOS</v>
      </c>
      <c r="O481" s="178"/>
      <c r="Q481" s="178">
        <v>4</v>
      </c>
      <c r="R481" s="179"/>
      <c r="S481" s="179"/>
      <c r="T481" s="179"/>
      <c r="U481" s="179"/>
      <c r="V481" s="179"/>
      <c r="W481" s="179"/>
      <c r="X481" s="179"/>
      <c r="Y481" s="179"/>
      <c r="Z481" s="180"/>
      <c r="AA481" s="179"/>
      <c r="AB481" s="179"/>
      <c r="AC481" s="179"/>
      <c r="AD481" s="179"/>
      <c r="AE481" s="179"/>
      <c r="AF481" s="179"/>
      <c r="AG481" s="179"/>
      <c r="AH481" s="180"/>
      <c r="AJ481" s="544">
        <f ca="1">IF(AND($D481="Serviço",AJ$12&lt;&gt;0,$H481&gt;0,OR(AUTOEVENTO&lt;&gt;"manual",$M481&lt;&gt;1)),
IF(Import.TipoArredondamento&lt;&gt;"TransfereGOV",
ROUND(OFFSET($P481,0,AJ$13),15-13*ORÇAMENTO!$AF$7)/$H481*OFFSET(ORÇAMENTO!$X$15,ROW(AJ481)-ROW(AJ$15),0),
ROUND(ROUND(OFFSET($P481,0,AJ$13),15-13*ORÇAMENTO!$AF$7)*OFFSET(ORÇAMENTO!$W$15,ROW(AJ481)-ROW(AJ$15),0),15-13*ORÇAMENTO!$AF$11)),0)</f>
        <v>0</v>
      </c>
      <c r="AK481" s="545">
        <f ca="1">IF(AND($D481="Serviço",AK$12&lt;&gt;0,$H481&gt;0,OR(AUTOEVENTO&lt;&gt;"manual",$M481&lt;&gt;1)),
IF(Import.TipoArredondamento&lt;&gt;"TransfereGOV",
ROUND(OFFSET($P481,0,AK$13),15-13*ORÇAMENTO!$AF$7)/$H481*OFFSET(ORÇAMENTO!$X$15,ROW(AK481)-ROW(AK$15),0),
ROUND(ROUND(OFFSET($P481,0,AK$13),15-13*ORÇAMENTO!$AF$7)*OFFSET(ORÇAMENTO!$W$15,ROW(AK481)-ROW(AK$15),0),15-13*ORÇAMENTO!$AF$11)),0)</f>
        <v>0</v>
      </c>
      <c r="AL481" s="545">
        <f ca="1">IF(AND($D481="Serviço",AL$12&lt;&gt;0,$H481&gt;0,OR(AUTOEVENTO&lt;&gt;"manual",$M481&lt;&gt;1)),
IF(Import.TipoArredondamento&lt;&gt;"TransfereGOV",
ROUND(OFFSET($P481,0,AL$13),15-13*ORÇAMENTO!$AF$7)/$H481*OFFSET(ORÇAMENTO!$X$15,ROW(AL481)-ROW(AL$15),0),
ROUND(ROUND(OFFSET($P481,0,AL$13),15-13*ORÇAMENTO!$AF$7)*OFFSET(ORÇAMENTO!$W$15,ROW(AL481)-ROW(AL$15),0),15-13*ORÇAMENTO!$AF$11)),0)</f>
        <v>0</v>
      </c>
      <c r="AM481" s="545">
        <f ca="1">IF(AND($D481="Serviço",AM$12&lt;&gt;0,$H481&gt;0,OR(AUTOEVENTO&lt;&gt;"manual",$M481&lt;&gt;1)),
IF(Import.TipoArredondamento&lt;&gt;"TransfereGOV",
ROUND(OFFSET($P481,0,AM$13),15-13*ORÇAMENTO!$AF$7)/$H481*OFFSET(ORÇAMENTO!$X$15,ROW(AM481)-ROW(AM$15),0),
ROUND(ROUND(OFFSET($P481,0,AM$13),15-13*ORÇAMENTO!$AF$7)*OFFSET(ORÇAMENTO!$W$15,ROW(AM481)-ROW(AM$15),0),15-13*ORÇAMENTO!$AF$11)),0)</f>
        <v>0</v>
      </c>
      <c r="AN481" s="545">
        <f ca="1">IF(AND($D481="Serviço",AN$12&lt;&gt;0,$H481&gt;0,OR(AUTOEVENTO&lt;&gt;"manual",$M481&lt;&gt;1)),
IF(Import.TipoArredondamento&lt;&gt;"TransfereGOV",
ROUND(OFFSET($P481,0,AN$13),15-13*ORÇAMENTO!$AF$7)/$H481*OFFSET(ORÇAMENTO!$X$15,ROW(AN481)-ROW(AN$15),0),
ROUND(ROUND(OFFSET($P481,0,AN$13),15-13*ORÇAMENTO!$AF$7)*OFFSET(ORÇAMENTO!$W$15,ROW(AN481)-ROW(AN$15),0),15-13*ORÇAMENTO!$AF$11)),0)</f>
        <v>0</v>
      </c>
      <c r="AO481" s="545">
        <f ca="1">IF(AND($D481="Serviço",AO$12&lt;&gt;0,$H481&gt;0,OR(AUTOEVENTO&lt;&gt;"manual",$M481&lt;&gt;1)),
IF(Import.TipoArredondamento&lt;&gt;"TransfereGOV",
ROUND(OFFSET($P481,0,AO$13),15-13*ORÇAMENTO!$AF$7)/$H481*OFFSET(ORÇAMENTO!$X$15,ROW(AO481)-ROW(AO$15),0),
ROUND(ROUND(OFFSET($P481,0,AO$13),15-13*ORÇAMENTO!$AF$7)*OFFSET(ORÇAMENTO!$W$15,ROW(AO481)-ROW(AO$15),0),15-13*ORÇAMENTO!$AF$11)),0)</f>
        <v>0</v>
      </c>
      <c r="AP481" s="545">
        <f ca="1">IF(AND($D481="Serviço",AP$12&lt;&gt;0,$H481&gt;0,OR(AUTOEVENTO&lt;&gt;"manual",$M481&lt;&gt;1)),
IF(Import.TipoArredondamento&lt;&gt;"TransfereGOV",
ROUND(OFFSET($P481,0,AP$13),15-13*ORÇAMENTO!$AF$7)/$H481*OFFSET(ORÇAMENTO!$X$15,ROW(AP481)-ROW(AP$15),0),
ROUND(ROUND(OFFSET($P481,0,AP$13),15-13*ORÇAMENTO!$AF$7)*OFFSET(ORÇAMENTO!$W$15,ROW(AP481)-ROW(AP$15),0),15-13*ORÇAMENTO!$AF$11)),0)</f>
        <v>0</v>
      </c>
      <c r="AQ481" s="545">
        <f ca="1">IF(AND($D481="Serviço",AQ$12&lt;&gt;0,$H481&gt;0,OR(AUTOEVENTO&lt;&gt;"manual",$M481&lt;&gt;1)),
IF(Import.TipoArredondamento&lt;&gt;"TransfereGOV",
ROUND(OFFSET($P481,0,AQ$13),15-13*ORÇAMENTO!$AF$7)/$H481*OFFSET(ORÇAMENTO!$X$15,ROW(AQ481)-ROW(AQ$15),0),
ROUND(ROUND(OFFSET($P481,0,AQ$13),15-13*ORÇAMENTO!$AF$7)*OFFSET(ORÇAMENTO!$W$15,ROW(AQ481)-ROW(AQ$15),0),15-13*ORÇAMENTO!$AF$11)),0)</f>
        <v>0</v>
      </c>
      <c r="AR481" s="545">
        <f ca="1">IF(AND($D481="Serviço",AR$12&lt;&gt;0,$H481&gt;0,OR(AUTOEVENTO&lt;&gt;"manual",$M481&lt;&gt;1)),
IF(Import.TipoArredondamento&lt;&gt;"TransfereGOV",
ROUND(OFFSET($P481,0,AR$13),15-13*ORÇAMENTO!$AF$7)/$H481*OFFSET(ORÇAMENTO!$X$15,ROW(AR481)-ROW(AR$15),0),
ROUND(ROUND(OFFSET($P481,0,AR$13),15-13*ORÇAMENTO!$AF$7)*OFFSET(ORÇAMENTO!$W$15,ROW(AR481)-ROW(AR$15),0),15-13*ORÇAMENTO!$AF$11)),0)</f>
        <v>0</v>
      </c>
      <c r="AS481" s="546">
        <f ca="1">IF(AND($D481="Serviço",AS$12&lt;&gt;0,$H481&gt;0,OR(AUTOEVENTO&lt;&gt;"manual",$M481&lt;&gt;1)),
IF(Import.TipoArredondamento&lt;&gt;"TransfereGOV",
ROUND(OFFSET($P481,0,AS$13),15-13*ORÇAMENTO!$AF$7)/$H481*OFFSET(ORÇAMENTO!$X$15,ROW(AS481)-ROW(AS$15),0),
ROUND(ROUND(OFFSET($P481,0,AS$13),15-13*ORÇAMENTO!$AF$7)*OFFSET(ORÇAMENTO!$W$15,ROW(AS481)-ROW(AS$15),0),15-13*ORÇAMENTO!$AF$11)),0)</f>
        <v>0</v>
      </c>
      <c r="AT481" s="545">
        <f ca="1">IF(AND($D481="Serviço",AT$12&lt;&gt;0,$H481&gt;0,OR(AUTOEVENTO&lt;&gt;"manual",$M481&lt;&gt;1)),
IF(Import.TipoArredondamento&lt;&gt;"TransfereGOV",
ROUND(OFFSET($P481,0,AT$13),15-13*ORÇAMENTO!$AF$7)/$H481*OFFSET(ORÇAMENTO!$X$15,ROW(AT481)-ROW(AT$15),0),
ROUND(ROUND(OFFSET($P481,0,AT$13),15-13*ORÇAMENTO!$AF$7)*OFFSET(ORÇAMENTO!$W$15,ROW(AT481)-ROW(AT$15),0),15-13*ORÇAMENTO!$AF$11)),0)</f>
        <v>0</v>
      </c>
      <c r="AU481" s="545">
        <f ca="1">IF(AND($D481="Serviço",AU$12&lt;&gt;0,$H481&gt;0,OR(AUTOEVENTO&lt;&gt;"manual",$M481&lt;&gt;1)),
IF(Import.TipoArredondamento&lt;&gt;"TransfereGOV",
ROUND(OFFSET($P481,0,AU$13),15-13*ORÇAMENTO!$AF$7)/$H481*OFFSET(ORÇAMENTO!$X$15,ROW(AU481)-ROW(AU$15),0),
ROUND(ROUND(OFFSET($P481,0,AU$13),15-13*ORÇAMENTO!$AF$7)*OFFSET(ORÇAMENTO!$W$15,ROW(AU481)-ROW(AU$15),0),15-13*ORÇAMENTO!$AF$11)),0)</f>
        <v>0</v>
      </c>
      <c r="AV481" s="545">
        <f ca="1">IF(AND($D481="Serviço",AV$12&lt;&gt;0,$H481&gt;0,OR(AUTOEVENTO&lt;&gt;"manual",$M481&lt;&gt;1)),
IF(Import.TipoArredondamento&lt;&gt;"TransfereGOV",
ROUND(OFFSET($P481,0,AV$13),15-13*ORÇAMENTO!$AF$7)/$H481*OFFSET(ORÇAMENTO!$X$15,ROW(AV481)-ROW(AV$15),0),
ROUND(ROUND(OFFSET($P481,0,AV$13),15-13*ORÇAMENTO!$AF$7)*OFFSET(ORÇAMENTO!$W$15,ROW(AV481)-ROW(AV$15),0),15-13*ORÇAMENTO!$AF$11)),0)</f>
        <v>0</v>
      </c>
      <c r="AW481" s="545">
        <f ca="1">IF(AND($D481="Serviço",AW$12&lt;&gt;0,$H481&gt;0,OR(AUTOEVENTO&lt;&gt;"manual",$M481&lt;&gt;1)),
IF(Import.TipoArredondamento&lt;&gt;"TransfereGOV",
ROUND(OFFSET($P481,0,AW$13),15-13*ORÇAMENTO!$AF$7)/$H481*OFFSET(ORÇAMENTO!$X$15,ROW(AW481)-ROW(AW$15),0),
ROUND(ROUND(OFFSET($P481,0,AW$13),15-13*ORÇAMENTO!$AF$7)*OFFSET(ORÇAMENTO!$W$15,ROW(AW481)-ROW(AW$15),0),15-13*ORÇAMENTO!$AF$11)),0)</f>
        <v>0</v>
      </c>
      <c r="AX481" s="545">
        <f ca="1">IF(AND($D481="Serviço",AX$12&lt;&gt;0,$H481&gt;0,OR(AUTOEVENTO&lt;&gt;"manual",$M481&lt;&gt;1)),
IF(Import.TipoArredondamento&lt;&gt;"TransfereGOV",
ROUND(OFFSET($P481,0,AX$13),15-13*ORÇAMENTO!$AF$7)/$H481*OFFSET(ORÇAMENTO!$X$15,ROW(AX481)-ROW(AX$15),0),
ROUND(ROUND(OFFSET($P481,0,AX$13),15-13*ORÇAMENTO!$AF$7)*OFFSET(ORÇAMENTO!$W$15,ROW(AX481)-ROW(AX$15),0),15-13*ORÇAMENTO!$AF$11)),0)</f>
        <v>0</v>
      </c>
      <c r="AY481" s="545">
        <f ca="1">IF(AND($D481="Serviço",AY$12&lt;&gt;0,$H481&gt;0,OR(AUTOEVENTO&lt;&gt;"manual",$M481&lt;&gt;1)),
IF(Import.TipoArredondamento&lt;&gt;"TransfereGOV",
ROUND(OFFSET($P481,0,AY$13),15-13*ORÇAMENTO!$AF$7)/$H481*OFFSET(ORÇAMENTO!$X$15,ROW(AY481)-ROW(AY$15),0),
ROUND(ROUND(OFFSET($P481,0,AY$13),15-13*ORÇAMENTO!$AF$7)*OFFSET(ORÇAMENTO!$W$15,ROW(AY481)-ROW(AY$15),0),15-13*ORÇAMENTO!$AF$11)),0)</f>
        <v>0</v>
      </c>
      <c r="AZ481" s="545">
        <f ca="1">IF(AND($D481="Serviço",AZ$12&lt;&gt;0,$H481&gt;0,OR(AUTOEVENTO&lt;&gt;"manual",$M481&lt;&gt;1)),
IF(Import.TipoArredondamento&lt;&gt;"TransfereGOV",
ROUND(OFFSET($P481,0,AZ$13),15-13*ORÇAMENTO!$AF$7)/$H481*OFFSET(ORÇAMENTO!$X$15,ROW(AZ481)-ROW(AZ$15),0),
ROUND(ROUND(OFFSET($P481,0,AZ$13),15-13*ORÇAMENTO!$AF$7)*OFFSET(ORÇAMENTO!$W$15,ROW(AZ481)-ROW(AZ$15),0),15-13*ORÇAMENTO!$AF$11)),0)</f>
        <v>0</v>
      </c>
      <c r="BA481" s="546">
        <f ca="1">IF(AND($D481="Serviço",BA$12&lt;&gt;0,$H481&gt;0,OR(AUTOEVENTO&lt;&gt;"manual",$M481&lt;&gt;1)),
IF(Import.TipoArredondamento&lt;&gt;"TransfereGOV",
ROUND(OFFSET($P481,0,BA$13),15-13*ORÇAMENTO!$AF$7)/$H481*OFFSET(ORÇAMENTO!$X$15,ROW(BA481)-ROW(BA$15),0),
ROUND(ROUND(OFFSET($P481,0,BA$13),15-13*ORÇAMENTO!$AF$7)*OFFSET(ORÇAMENTO!$W$15,ROW(BA481)-ROW(BA$15),0),15-13*ORÇAMENTO!$AF$11)),0)</f>
        <v>0</v>
      </c>
      <c r="BC481" s="181">
        <f ca="1">IF($D481&lt;&gt;"Serviço",0,IF(AND(AUTOEVENTO="Manual",$M481=1),0,IF(OFFSET(CRONOPLE!$F$14,$M481,BC$13)="",10^12,OFFSET(CRONOPLE!$F$14,$M481,BC$13))))</f>
        <v>10</v>
      </c>
      <c r="BD481" s="181">
        <f ca="1">IF($D481&lt;&gt;"Serviço",0,IF(AND(AUTOEVENTO="Manual",$M481=1),0,IF(OFFSET(CRONOPLE!$F$14,$M481,BD$13)="",10^12,OFFSET(CRONOPLE!$F$14,$M481,BD$13))))</f>
        <v>1000000000000</v>
      </c>
      <c r="BE481" s="181">
        <f ca="1">IF($D481&lt;&gt;"Serviço",0,IF(AND(AUTOEVENTO="Manual",$M481=1),0,IF(OFFSET(CRONOPLE!$F$14,$M481,BE$13)="",10^12,OFFSET(CRONOPLE!$F$14,$M481,BE$13))))</f>
        <v>1000000000000</v>
      </c>
      <c r="BF481" s="181">
        <f ca="1">IF($D481&lt;&gt;"Serviço",0,IF(AND(AUTOEVENTO="Manual",$M481=1),0,IF(OFFSET(CRONOPLE!$F$14,$M481,BF$13)="",10^12,OFFSET(CRONOPLE!$F$14,$M481,BF$13))))</f>
        <v>1000000000000</v>
      </c>
      <c r="BG481" s="181">
        <f ca="1">IF($D481&lt;&gt;"Serviço",0,IF(AND(AUTOEVENTO="Manual",$M481=1),0,IF(OFFSET(CRONOPLE!$F$14,$M481,BG$13)="",10^12,OFFSET(CRONOPLE!$F$14,$M481,BG$13))))</f>
        <v>1000000000000</v>
      </c>
      <c r="BH481" s="181">
        <f ca="1">IF($D481&lt;&gt;"Serviço",0,IF(AND(AUTOEVENTO="Manual",$M481=1),0,IF(OFFSET(CRONOPLE!$F$14,$M481,BH$13)="",10^12,OFFSET(CRONOPLE!$F$14,$M481,BH$13))))</f>
        <v>1000000000000</v>
      </c>
      <c r="BI481" s="181">
        <f ca="1">IF($D481&lt;&gt;"Serviço",0,IF(AND(AUTOEVENTO="Manual",$M481=1),0,IF(OFFSET(CRONOPLE!$F$14,$M481,BI$13)="",10^12,OFFSET(CRONOPLE!$F$14,$M481,BI$13))))</f>
        <v>1000000000000</v>
      </c>
      <c r="BJ481" s="181">
        <f ca="1">IF($D481&lt;&gt;"Serviço",0,IF(AND(AUTOEVENTO="Manual",$M481=1),0,IF(OFFSET(CRONOPLE!$F$14,$M481,BJ$13)="",10^12,OFFSET(CRONOPLE!$F$14,$M481,BJ$13))))</f>
        <v>1000000000000</v>
      </c>
      <c r="BK481" s="181">
        <f ca="1">IF($D481&lt;&gt;"Serviço",0,IF(AND(AUTOEVENTO="Manual",$M481=1),0,IF(OFFSET(CRONOPLE!$F$14,$M481,BK$13)="",10^12,OFFSET(CRONOPLE!$F$14,$M481,BK$13))))</f>
        <v>1000000000000</v>
      </c>
      <c r="BL481" s="181">
        <f ca="1">IF($D481&lt;&gt;"Serviço",0,IF(AND(AUTOEVENTO="Manual",$M481=1),0,IF(OFFSET(CRONOPLE!$F$14,$M481,BL$13)="",10^12,OFFSET(CRONOPLE!$F$14,$M481,BL$13))))</f>
        <v>1000000000000</v>
      </c>
      <c r="BM481" s="181">
        <f ca="1">IF($D481&lt;&gt;"Serviço",0,IF(AND(AUTOEVENTO="Manual",$M481=1),0,IF(OFFSET(CRONOPLE!$F$14,$M481,BM$13)="",10^12,OFFSET(CRONOPLE!$F$14,$M481,BM$13))))</f>
        <v>1000000000000</v>
      </c>
      <c r="BN481" s="181">
        <f ca="1">IF($D481&lt;&gt;"Serviço",0,IF(AND(AUTOEVENTO="Manual",$M481=1),0,IF(OFFSET(CRONOPLE!$F$14,$M481,BN$13)="",10^12,OFFSET(CRONOPLE!$F$14,$M481,BN$13))))</f>
        <v>1000000000000</v>
      </c>
      <c r="BO481" s="181">
        <f ca="1">IF($D481&lt;&gt;"Serviço",0,IF(AND(AUTOEVENTO="Manual",$M481=1),0,IF(OFFSET(CRONOPLE!$F$14,$M481,BO$13)="",10^12,OFFSET(CRONOPLE!$F$14,$M481,BO$13))))</f>
        <v>1000000000000</v>
      </c>
      <c r="BP481" s="181">
        <f ca="1">IF($D481&lt;&gt;"Serviço",0,IF(AND(AUTOEVENTO="Manual",$M481=1),0,IF(OFFSET(CRONOPLE!$F$14,$M481,BP$13)="",10^12,OFFSET(CRONOPLE!$F$14,$M481,BP$13))))</f>
        <v>1000000000000</v>
      </c>
      <c r="BQ481" s="181">
        <f ca="1">IF($D481&lt;&gt;"Serviço",0,IF(AND(AUTOEVENTO="Manual",$M481=1),0,IF(OFFSET(CRONOPLE!$F$14,$M481,BQ$13)="",10^12,OFFSET(CRONOPLE!$F$14,$M481,BQ$13))))</f>
        <v>1000000000000</v>
      </c>
      <c r="BR481" s="181">
        <f ca="1">IF($D481&lt;&gt;"Serviço",0,IF(AND(AUTOEVENTO="Manual",$M481=1),0,IF(OFFSET(CRONOPLE!$F$14,$M481,BR$13)="",10^12,OFFSET(CRONOPLE!$F$14,$M481,BR$13))))</f>
        <v>1000000000000</v>
      </c>
      <c r="BS481" s="181">
        <f ca="1">IF($D481&lt;&gt;"Serviço",0,IF(AND(AUTOEVENTO="Manual",$M481=1),0,IF(OFFSET(CRONOPLE!$F$14,$M481,BS$13)="",10^12,OFFSET(CRONOPLE!$F$14,$M481,BS$13))))</f>
        <v>1000000000000</v>
      </c>
      <c r="BT481" s="181">
        <f ca="1">IF($D481&lt;&gt;"Serviço",0,IF(AND(AUTOEVENTO="Manual",$M481=1),0,IF(OFFSET(CRONOPLE!$F$14,$M481,BT$13)="",10^12,OFFSET(CRONOPLE!$F$14,$M481,BT$13))))</f>
        <v>1000000000000</v>
      </c>
      <c r="BV481" s="182">
        <f ca="1">IF($D481&lt;&gt;"Serviço",0,IF(OR(AND(AUTOEVENTO="Manual",$M481=1),$M481&gt;(ROW(PLE.lastrow)-ROW(PLE.firstrow))),0,IF(OFFSET(PLE!$G$14,$M481,BV$13)="",10^12,OFFSET(PLE!$G$14,$M481,BV$13))))</f>
        <v>1000000000000</v>
      </c>
      <c r="BW481" s="182">
        <f ca="1">IF($D481&lt;&gt;"Serviço",0,IF(OR(AND(AUTOEVENTO="Manual",$M481=1),$M481&gt;(ROW(PLE.lastrow)-ROW(PLE.firstrow))),0,IF(OFFSET(PLE!$G$14,$M481,BW$13)="",10^12,OFFSET(PLE!$G$14,$M481,BW$13))))</f>
        <v>1000000000000</v>
      </c>
      <c r="BX481" s="182">
        <f ca="1">IF($D481&lt;&gt;"Serviço",0,IF(OR(AND(AUTOEVENTO="Manual",$M481=1),$M481&gt;(ROW(PLE.lastrow)-ROW(PLE.firstrow))),0,IF(OFFSET(PLE!$G$14,$M481,BX$13)="",10^12,OFFSET(PLE!$G$14,$M481,BX$13))))</f>
        <v>1000000000000</v>
      </c>
      <c r="BY481" s="182">
        <f ca="1">IF($D481&lt;&gt;"Serviço",0,IF(OR(AND(AUTOEVENTO="Manual",$M481=1),$M481&gt;(ROW(PLE.lastrow)-ROW(PLE.firstrow))),0,IF(OFFSET(PLE!$G$14,$M481,BY$13)="",10^12,OFFSET(PLE!$G$14,$M481,BY$13))))</f>
        <v>1000000000000</v>
      </c>
      <c r="BZ481" s="182">
        <f ca="1">IF($D481&lt;&gt;"Serviço",0,IF(OR(AND(AUTOEVENTO="Manual",$M481=1),$M481&gt;(ROW(PLE.lastrow)-ROW(PLE.firstrow))),0,IF(OFFSET(PLE!$G$14,$M481,BZ$13)="",10^12,OFFSET(PLE!$G$14,$M481,BZ$13))))</f>
        <v>1000000000000</v>
      </c>
      <c r="CA481" s="182">
        <f ca="1">IF($D481&lt;&gt;"Serviço",0,IF(OR(AND(AUTOEVENTO="Manual",$M481=1),$M481&gt;(ROW(PLE.lastrow)-ROW(PLE.firstrow))),0,IF(OFFSET(PLE!$G$14,$M481,CA$13)="",10^12,OFFSET(PLE!$G$14,$M481,CA$13))))</f>
        <v>1000000000000</v>
      </c>
      <c r="CB481" s="182">
        <f ca="1">IF($D481&lt;&gt;"Serviço",0,IF(OR(AND(AUTOEVENTO="Manual",$M481=1),$M481&gt;(ROW(PLE.lastrow)-ROW(PLE.firstrow))),0,IF(OFFSET(PLE!$G$14,$M481,CB$13)="",10^12,OFFSET(PLE!$G$14,$M481,CB$13))))</f>
        <v>1000000000000</v>
      </c>
      <c r="CC481" s="182">
        <f ca="1">IF($D481&lt;&gt;"Serviço",0,IF(OR(AND(AUTOEVENTO="Manual",$M481=1),$M481&gt;(ROW(PLE.lastrow)-ROW(PLE.firstrow))),0,IF(OFFSET(PLE!$G$14,$M481,CC$13)="",10^12,OFFSET(PLE!$G$14,$M481,CC$13))))</f>
        <v>1000000000000</v>
      </c>
      <c r="CD481" s="182">
        <f ca="1">IF($D481&lt;&gt;"Serviço",0,IF(OR(AND(AUTOEVENTO="Manual",$M481=1),$M481&gt;(ROW(PLE.lastrow)-ROW(PLE.firstrow))),0,IF(OFFSET(PLE!$G$14,$M481,CD$13)="",10^12,OFFSET(PLE!$G$14,$M481,CD$13))))</f>
        <v>1000000000000</v>
      </c>
      <c r="CE481" s="182">
        <f ca="1">IF($D481&lt;&gt;"Serviço",0,IF(OR(AND(AUTOEVENTO="Manual",$M481=1),$M481&gt;(ROW(PLE.lastrow)-ROW(PLE.firstrow))),0,IF(OFFSET(PLE!$G$14,$M481,CE$13)="",10^12,OFFSET(PLE!$G$14,$M481,CE$13))))</f>
        <v>1000000000000</v>
      </c>
      <c r="CF481" s="182">
        <f ca="1">IF($D481&lt;&gt;"Serviço",0,IF(OR(AND(AUTOEVENTO="Manual",$M481=1),$M481&gt;(ROW(PLE.lastrow)-ROW(PLE.firstrow))),0,IF(OFFSET(PLE!$G$14,$M481,CF$13)="",10^12,OFFSET(PLE!$G$14,$M481,CF$13))))</f>
        <v>1000000000000</v>
      </c>
      <c r="CG481" s="182">
        <f ca="1">IF($D481&lt;&gt;"Serviço",0,IF(OR(AND(AUTOEVENTO="Manual",$M481=1),$M481&gt;(ROW(PLE.lastrow)-ROW(PLE.firstrow))),0,IF(OFFSET(PLE!$G$14,$M481,CG$13)="",10^12,OFFSET(PLE!$G$14,$M481,CG$13))))</f>
        <v>1000000000000</v>
      </c>
      <c r="CH481" s="182">
        <f ca="1">IF($D481&lt;&gt;"Serviço",0,IF(OR(AND(AUTOEVENTO="Manual",$M481=1),$M481&gt;(ROW(PLE.lastrow)-ROW(PLE.firstrow))),0,IF(OFFSET(PLE!$G$14,$M481,CH$13)="",10^12,OFFSET(PLE!$G$14,$M481,CH$13))))</f>
        <v>1000000000000</v>
      </c>
      <c r="CI481" s="182">
        <f ca="1">IF($D481&lt;&gt;"Serviço",0,IF(OR(AND(AUTOEVENTO="Manual",$M481=1),$M481&gt;(ROW(PLE.lastrow)-ROW(PLE.firstrow))),0,IF(OFFSET(PLE!$G$14,$M481,CI$13)="",10^12,OFFSET(PLE!$G$14,$M481,CI$13))))</f>
        <v>1000000000000</v>
      </c>
      <c r="CJ481" s="182">
        <f ca="1">IF($D481&lt;&gt;"Serviço",0,IF(OR(AND(AUTOEVENTO="Manual",$M481=1),$M481&gt;(ROW(PLE.lastrow)-ROW(PLE.firstrow))),0,IF(OFFSET(PLE!$G$14,$M481,CJ$13)="",10^12,OFFSET(PLE!$G$14,$M481,CJ$13))))</f>
        <v>1000000000000</v>
      </c>
      <c r="CK481" s="182">
        <f ca="1">IF($D481&lt;&gt;"Serviço",0,IF(OR(AND(AUTOEVENTO="Manual",$M481=1),$M481&gt;(ROW(PLE.lastrow)-ROW(PLE.firstrow))),0,IF(OFFSET(PLE!$G$14,$M481,CK$13)="",10^12,OFFSET(PLE!$G$14,$M481,CK$13))))</f>
        <v>1000000000000</v>
      </c>
      <c r="CL481" s="182">
        <f ca="1">IF($D481&lt;&gt;"Serviço",0,IF(OR(AND(AUTOEVENTO="Manual",$M481=1),$M481&gt;(ROW(PLE.lastrow)-ROW(PLE.firstrow))),0,IF(OFFSET(PLE!$G$14,$M481,CL$13)="",10^12,OFFSET(PLE!$G$14,$M481,CL$13))))</f>
        <v>1000000000000</v>
      </c>
      <c r="CM481" s="182">
        <f ca="1">IF($D481&lt;&gt;"Serviço",0,IF(OR(AND(AUTOEVENTO="Manual",$M481=1),$M481&gt;(ROW(PLE.lastrow)-ROW(PLE.firstrow))),0,IF(OFFSET(PLE!$G$14,$M481,CM$13)="",10^12,OFFSET(PLE!$G$14,$M481,CM$13))))</f>
        <v>1000000000000</v>
      </c>
    </row>
    <row r="482" spans="1:91" ht="38.25" x14ac:dyDescent="0.2">
      <c r="A482" s="7" t="str">
        <f t="shared" ca="1" si="16"/>
        <v>464</v>
      </c>
      <c r="B482" s="7" t="str">
        <f ca="1">OFFSET(ORÇAMENTO!C$15,ROW(B482)-ROW(B$15),0)</f>
        <v>S</v>
      </c>
      <c r="C482" s="7" t="str">
        <f ca="1">OFFSET(ORÇAMENTO!L$15,ROW(C482)-ROW(C$15),0)</f>
        <v/>
      </c>
      <c r="D482" s="118" t="str">
        <f ca="1">OFFSET(ORÇAMENTO!N$15,ROW(D482)-ROW(D$15),0)</f>
        <v>Serviço</v>
      </c>
      <c r="E482" s="119" t="str">
        <f ca="1">OFFSET(ORÇAMENTO!O$15,ROW(E482)-ROW(E$15),0)</f>
        <v>-</v>
      </c>
      <c r="F482" s="172" t="str">
        <f ca="1">OFFSET(ORÇAMENTO!R$15,ROW(F482)-ROW(F$15),0)</f>
        <v>(abra o arquivo 'Referência 06-2024.xlsm)</v>
      </c>
      <c r="G482" s="173" t="str">
        <f ca="1">IF($D482&lt;&gt;"Serviço","",OFFSET(ORÇAMENTO!S$15,ROW(G482)-ROW(G$15),0))</f>
        <v>-</v>
      </c>
      <c r="H482" s="124">
        <f ca="1">IF($D482&lt;&gt;"Serviço",0,IF(ACOMPANHAMENTO="BM",ROUND(OFFSET(ORÇAMENTO!AJ$15,ROW(H482)-ROW(H$15),0),15-13*ORÇAMENTO!$AF$7),SUMPRODUCT(($Q$12:$AI$12&lt;&gt;"")*ROUND($Q482:$AI482,15-13*ORÇAMENTO!$AF$7))))</f>
        <v>236</v>
      </c>
      <c r="I482" s="561" t="s">
        <v>1107</v>
      </c>
      <c r="K482" s="174"/>
      <c r="L482" s="175" t="s">
        <v>255</v>
      </c>
      <c r="M482" s="176">
        <f ca="1">IF($D482&lt;&gt;"Serviço","",IF(AUTOEVENTO="manual",$A482,IF(ISERROR(MATCH($A482,$A$15:OFFSET($A482,-1,0),0)),MAX($M$15:OFFSET(M482,-1,0))+1,INDEX($M$15:OFFSET(M482,-1,0),MATCH($A482,$A$15:OFFSET($A482,-1,0),0)))))</f>
        <v>52</v>
      </c>
      <c r="N482" s="177" t="str">
        <f ca="1">IF($D482&lt;&gt;"Serviço","",IF(AUTOEVENTO="Manual",IF($A482=0,"&lt;-- defina o número do agrupador",OFFSET(EVENTOS!$D$14,$A482,0)),OFFSET($F$15,$A482,0)))</f>
        <v>INSTALAÇÃO ELÉTRICA 110V - ACESSÓRIOS PARA ELETRODUTOS</v>
      </c>
      <c r="O482" s="178"/>
      <c r="Q482" s="178">
        <v>236</v>
      </c>
      <c r="R482" s="179"/>
      <c r="S482" s="179"/>
      <c r="T482" s="179"/>
      <c r="U482" s="179"/>
      <c r="V482" s="179"/>
      <c r="W482" s="179"/>
      <c r="X482" s="179"/>
      <c r="Y482" s="179"/>
      <c r="Z482" s="180"/>
      <c r="AA482" s="179"/>
      <c r="AB482" s="179"/>
      <c r="AC482" s="179"/>
      <c r="AD482" s="179"/>
      <c r="AE482" s="179"/>
      <c r="AF482" s="179"/>
      <c r="AG482" s="179"/>
      <c r="AH482" s="180"/>
      <c r="AJ482" s="544">
        <f ca="1">IF(AND($D482="Serviço",AJ$12&lt;&gt;0,$H482&gt;0,OR(AUTOEVENTO&lt;&gt;"manual",$M482&lt;&gt;1)),
IF(Import.TipoArredondamento&lt;&gt;"TransfereGOV",
ROUND(OFFSET($P482,0,AJ$13),15-13*ORÇAMENTO!$AF$7)/$H482*OFFSET(ORÇAMENTO!$X$15,ROW(AJ482)-ROW(AJ$15),0),
ROUND(ROUND(OFFSET($P482,0,AJ$13),15-13*ORÇAMENTO!$AF$7)*OFFSET(ORÇAMENTO!$W$15,ROW(AJ482)-ROW(AJ$15),0),15-13*ORÇAMENTO!$AF$11)),0)</f>
        <v>0</v>
      </c>
      <c r="AK482" s="545">
        <f ca="1">IF(AND($D482="Serviço",AK$12&lt;&gt;0,$H482&gt;0,OR(AUTOEVENTO&lt;&gt;"manual",$M482&lt;&gt;1)),
IF(Import.TipoArredondamento&lt;&gt;"TransfereGOV",
ROUND(OFFSET($P482,0,AK$13),15-13*ORÇAMENTO!$AF$7)/$H482*OFFSET(ORÇAMENTO!$X$15,ROW(AK482)-ROW(AK$15),0),
ROUND(ROUND(OFFSET($P482,0,AK$13),15-13*ORÇAMENTO!$AF$7)*OFFSET(ORÇAMENTO!$W$15,ROW(AK482)-ROW(AK$15),0),15-13*ORÇAMENTO!$AF$11)),0)</f>
        <v>0</v>
      </c>
      <c r="AL482" s="545">
        <f ca="1">IF(AND($D482="Serviço",AL$12&lt;&gt;0,$H482&gt;0,OR(AUTOEVENTO&lt;&gt;"manual",$M482&lt;&gt;1)),
IF(Import.TipoArredondamento&lt;&gt;"TransfereGOV",
ROUND(OFFSET($P482,0,AL$13),15-13*ORÇAMENTO!$AF$7)/$H482*OFFSET(ORÇAMENTO!$X$15,ROW(AL482)-ROW(AL$15),0),
ROUND(ROUND(OFFSET($P482,0,AL$13),15-13*ORÇAMENTO!$AF$7)*OFFSET(ORÇAMENTO!$W$15,ROW(AL482)-ROW(AL$15),0),15-13*ORÇAMENTO!$AF$11)),0)</f>
        <v>0</v>
      </c>
      <c r="AM482" s="545">
        <f ca="1">IF(AND($D482="Serviço",AM$12&lt;&gt;0,$H482&gt;0,OR(AUTOEVENTO&lt;&gt;"manual",$M482&lt;&gt;1)),
IF(Import.TipoArredondamento&lt;&gt;"TransfereGOV",
ROUND(OFFSET($P482,0,AM$13),15-13*ORÇAMENTO!$AF$7)/$H482*OFFSET(ORÇAMENTO!$X$15,ROW(AM482)-ROW(AM$15),0),
ROUND(ROUND(OFFSET($P482,0,AM$13),15-13*ORÇAMENTO!$AF$7)*OFFSET(ORÇAMENTO!$W$15,ROW(AM482)-ROW(AM$15),0),15-13*ORÇAMENTO!$AF$11)),0)</f>
        <v>0</v>
      </c>
      <c r="AN482" s="545">
        <f ca="1">IF(AND($D482="Serviço",AN$12&lt;&gt;0,$H482&gt;0,OR(AUTOEVENTO&lt;&gt;"manual",$M482&lt;&gt;1)),
IF(Import.TipoArredondamento&lt;&gt;"TransfereGOV",
ROUND(OFFSET($P482,0,AN$13),15-13*ORÇAMENTO!$AF$7)/$H482*OFFSET(ORÇAMENTO!$X$15,ROW(AN482)-ROW(AN$15),0),
ROUND(ROUND(OFFSET($P482,0,AN$13),15-13*ORÇAMENTO!$AF$7)*OFFSET(ORÇAMENTO!$W$15,ROW(AN482)-ROW(AN$15),0),15-13*ORÇAMENTO!$AF$11)),0)</f>
        <v>0</v>
      </c>
      <c r="AO482" s="545">
        <f ca="1">IF(AND($D482="Serviço",AO$12&lt;&gt;0,$H482&gt;0,OR(AUTOEVENTO&lt;&gt;"manual",$M482&lt;&gt;1)),
IF(Import.TipoArredondamento&lt;&gt;"TransfereGOV",
ROUND(OFFSET($P482,0,AO$13),15-13*ORÇAMENTO!$AF$7)/$H482*OFFSET(ORÇAMENTO!$X$15,ROW(AO482)-ROW(AO$15),0),
ROUND(ROUND(OFFSET($P482,0,AO$13),15-13*ORÇAMENTO!$AF$7)*OFFSET(ORÇAMENTO!$W$15,ROW(AO482)-ROW(AO$15),0),15-13*ORÇAMENTO!$AF$11)),0)</f>
        <v>0</v>
      </c>
      <c r="AP482" s="545">
        <f ca="1">IF(AND($D482="Serviço",AP$12&lt;&gt;0,$H482&gt;0,OR(AUTOEVENTO&lt;&gt;"manual",$M482&lt;&gt;1)),
IF(Import.TipoArredondamento&lt;&gt;"TransfereGOV",
ROUND(OFFSET($P482,0,AP$13),15-13*ORÇAMENTO!$AF$7)/$H482*OFFSET(ORÇAMENTO!$X$15,ROW(AP482)-ROW(AP$15),0),
ROUND(ROUND(OFFSET($P482,0,AP$13),15-13*ORÇAMENTO!$AF$7)*OFFSET(ORÇAMENTO!$W$15,ROW(AP482)-ROW(AP$15),0),15-13*ORÇAMENTO!$AF$11)),0)</f>
        <v>0</v>
      </c>
      <c r="AQ482" s="545">
        <f ca="1">IF(AND($D482="Serviço",AQ$12&lt;&gt;0,$H482&gt;0,OR(AUTOEVENTO&lt;&gt;"manual",$M482&lt;&gt;1)),
IF(Import.TipoArredondamento&lt;&gt;"TransfereGOV",
ROUND(OFFSET($P482,0,AQ$13),15-13*ORÇAMENTO!$AF$7)/$H482*OFFSET(ORÇAMENTO!$X$15,ROW(AQ482)-ROW(AQ$15),0),
ROUND(ROUND(OFFSET($P482,0,AQ$13),15-13*ORÇAMENTO!$AF$7)*OFFSET(ORÇAMENTO!$W$15,ROW(AQ482)-ROW(AQ$15),0),15-13*ORÇAMENTO!$AF$11)),0)</f>
        <v>0</v>
      </c>
      <c r="AR482" s="545">
        <f ca="1">IF(AND($D482="Serviço",AR$12&lt;&gt;0,$H482&gt;0,OR(AUTOEVENTO&lt;&gt;"manual",$M482&lt;&gt;1)),
IF(Import.TipoArredondamento&lt;&gt;"TransfereGOV",
ROUND(OFFSET($P482,0,AR$13),15-13*ORÇAMENTO!$AF$7)/$H482*OFFSET(ORÇAMENTO!$X$15,ROW(AR482)-ROW(AR$15),0),
ROUND(ROUND(OFFSET($P482,0,AR$13),15-13*ORÇAMENTO!$AF$7)*OFFSET(ORÇAMENTO!$W$15,ROW(AR482)-ROW(AR$15),0),15-13*ORÇAMENTO!$AF$11)),0)</f>
        <v>0</v>
      </c>
      <c r="AS482" s="546">
        <f ca="1">IF(AND($D482="Serviço",AS$12&lt;&gt;0,$H482&gt;0,OR(AUTOEVENTO&lt;&gt;"manual",$M482&lt;&gt;1)),
IF(Import.TipoArredondamento&lt;&gt;"TransfereGOV",
ROUND(OFFSET($P482,0,AS$13),15-13*ORÇAMENTO!$AF$7)/$H482*OFFSET(ORÇAMENTO!$X$15,ROW(AS482)-ROW(AS$15),0),
ROUND(ROUND(OFFSET($P482,0,AS$13),15-13*ORÇAMENTO!$AF$7)*OFFSET(ORÇAMENTO!$W$15,ROW(AS482)-ROW(AS$15),0),15-13*ORÇAMENTO!$AF$11)),0)</f>
        <v>0</v>
      </c>
      <c r="AT482" s="545">
        <f ca="1">IF(AND($D482="Serviço",AT$12&lt;&gt;0,$H482&gt;0,OR(AUTOEVENTO&lt;&gt;"manual",$M482&lt;&gt;1)),
IF(Import.TipoArredondamento&lt;&gt;"TransfereGOV",
ROUND(OFFSET($P482,0,AT$13),15-13*ORÇAMENTO!$AF$7)/$H482*OFFSET(ORÇAMENTO!$X$15,ROW(AT482)-ROW(AT$15),0),
ROUND(ROUND(OFFSET($P482,0,AT$13),15-13*ORÇAMENTO!$AF$7)*OFFSET(ORÇAMENTO!$W$15,ROW(AT482)-ROW(AT$15),0),15-13*ORÇAMENTO!$AF$11)),0)</f>
        <v>0</v>
      </c>
      <c r="AU482" s="545">
        <f ca="1">IF(AND($D482="Serviço",AU$12&lt;&gt;0,$H482&gt;0,OR(AUTOEVENTO&lt;&gt;"manual",$M482&lt;&gt;1)),
IF(Import.TipoArredondamento&lt;&gt;"TransfereGOV",
ROUND(OFFSET($P482,0,AU$13),15-13*ORÇAMENTO!$AF$7)/$H482*OFFSET(ORÇAMENTO!$X$15,ROW(AU482)-ROW(AU$15),0),
ROUND(ROUND(OFFSET($P482,0,AU$13),15-13*ORÇAMENTO!$AF$7)*OFFSET(ORÇAMENTO!$W$15,ROW(AU482)-ROW(AU$15),0),15-13*ORÇAMENTO!$AF$11)),0)</f>
        <v>0</v>
      </c>
      <c r="AV482" s="545">
        <f ca="1">IF(AND($D482="Serviço",AV$12&lt;&gt;0,$H482&gt;0,OR(AUTOEVENTO&lt;&gt;"manual",$M482&lt;&gt;1)),
IF(Import.TipoArredondamento&lt;&gt;"TransfereGOV",
ROUND(OFFSET($P482,0,AV$13),15-13*ORÇAMENTO!$AF$7)/$H482*OFFSET(ORÇAMENTO!$X$15,ROW(AV482)-ROW(AV$15),0),
ROUND(ROUND(OFFSET($P482,0,AV$13),15-13*ORÇAMENTO!$AF$7)*OFFSET(ORÇAMENTO!$W$15,ROW(AV482)-ROW(AV$15),0),15-13*ORÇAMENTO!$AF$11)),0)</f>
        <v>0</v>
      </c>
      <c r="AW482" s="545">
        <f ca="1">IF(AND($D482="Serviço",AW$12&lt;&gt;0,$H482&gt;0,OR(AUTOEVENTO&lt;&gt;"manual",$M482&lt;&gt;1)),
IF(Import.TipoArredondamento&lt;&gt;"TransfereGOV",
ROUND(OFFSET($P482,0,AW$13),15-13*ORÇAMENTO!$AF$7)/$H482*OFFSET(ORÇAMENTO!$X$15,ROW(AW482)-ROW(AW$15),0),
ROUND(ROUND(OFFSET($P482,0,AW$13),15-13*ORÇAMENTO!$AF$7)*OFFSET(ORÇAMENTO!$W$15,ROW(AW482)-ROW(AW$15),0),15-13*ORÇAMENTO!$AF$11)),0)</f>
        <v>0</v>
      </c>
      <c r="AX482" s="545">
        <f ca="1">IF(AND($D482="Serviço",AX$12&lt;&gt;0,$H482&gt;0,OR(AUTOEVENTO&lt;&gt;"manual",$M482&lt;&gt;1)),
IF(Import.TipoArredondamento&lt;&gt;"TransfereGOV",
ROUND(OFFSET($P482,0,AX$13),15-13*ORÇAMENTO!$AF$7)/$H482*OFFSET(ORÇAMENTO!$X$15,ROW(AX482)-ROW(AX$15),0),
ROUND(ROUND(OFFSET($P482,0,AX$13),15-13*ORÇAMENTO!$AF$7)*OFFSET(ORÇAMENTO!$W$15,ROW(AX482)-ROW(AX$15),0),15-13*ORÇAMENTO!$AF$11)),0)</f>
        <v>0</v>
      </c>
      <c r="AY482" s="545">
        <f ca="1">IF(AND($D482="Serviço",AY$12&lt;&gt;0,$H482&gt;0,OR(AUTOEVENTO&lt;&gt;"manual",$M482&lt;&gt;1)),
IF(Import.TipoArredondamento&lt;&gt;"TransfereGOV",
ROUND(OFFSET($P482,0,AY$13),15-13*ORÇAMENTO!$AF$7)/$H482*OFFSET(ORÇAMENTO!$X$15,ROW(AY482)-ROW(AY$15),0),
ROUND(ROUND(OFFSET($P482,0,AY$13),15-13*ORÇAMENTO!$AF$7)*OFFSET(ORÇAMENTO!$W$15,ROW(AY482)-ROW(AY$15),0),15-13*ORÇAMENTO!$AF$11)),0)</f>
        <v>0</v>
      </c>
      <c r="AZ482" s="545">
        <f ca="1">IF(AND($D482="Serviço",AZ$12&lt;&gt;0,$H482&gt;0,OR(AUTOEVENTO&lt;&gt;"manual",$M482&lt;&gt;1)),
IF(Import.TipoArredondamento&lt;&gt;"TransfereGOV",
ROUND(OFFSET($P482,0,AZ$13),15-13*ORÇAMENTO!$AF$7)/$H482*OFFSET(ORÇAMENTO!$X$15,ROW(AZ482)-ROW(AZ$15),0),
ROUND(ROUND(OFFSET($P482,0,AZ$13),15-13*ORÇAMENTO!$AF$7)*OFFSET(ORÇAMENTO!$W$15,ROW(AZ482)-ROW(AZ$15),0),15-13*ORÇAMENTO!$AF$11)),0)</f>
        <v>0</v>
      </c>
      <c r="BA482" s="546">
        <f ca="1">IF(AND($D482="Serviço",BA$12&lt;&gt;0,$H482&gt;0,OR(AUTOEVENTO&lt;&gt;"manual",$M482&lt;&gt;1)),
IF(Import.TipoArredondamento&lt;&gt;"TransfereGOV",
ROUND(OFFSET($P482,0,BA$13),15-13*ORÇAMENTO!$AF$7)/$H482*OFFSET(ORÇAMENTO!$X$15,ROW(BA482)-ROW(BA$15),0),
ROUND(ROUND(OFFSET($P482,0,BA$13),15-13*ORÇAMENTO!$AF$7)*OFFSET(ORÇAMENTO!$W$15,ROW(BA482)-ROW(BA$15),0),15-13*ORÇAMENTO!$AF$11)),0)</f>
        <v>0</v>
      </c>
      <c r="BC482" s="181">
        <f ca="1">IF($D482&lt;&gt;"Serviço",0,IF(AND(AUTOEVENTO="Manual",$M482=1),0,IF(OFFSET(CRONOPLE!$F$14,$M482,BC$13)="",10^12,OFFSET(CRONOPLE!$F$14,$M482,BC$13))))</f>
        <v>10</v>
      </c>
      <c r="BD482" s="181">
        <f ca="1">IF($D482&lt;&gt;"Serviço",0,IF(AND(AUTOEVENTO="Manual",$M482=1),0,IF(OFFSET(CRONOPLE!$F$14,$M482,BD$13)="",10^12,OFFSET(CRONOPLE!$F$14,$M482,BD$13))))</f>
        <v>1000000000000</v>
      </c>
      <c r="BE482" s="181">
        <f ca="1">IF($D482&lt;&gt;"Serviço",0,IF(AND(AUTOEVENTO="Manual",$M482=1),0,IF(OFFSET(CRONOPLE!$F$14,$M482,BE$13)="",10^12,OFFSET(CRONOPLE!$F$14,$M482,BE$13))))</f>
        <v>1000000000000</v>
      </c>
      <c r="BF482" s="181">
        <f ca="1">IF($D482&lt;&gt;"Serviço",0,IF(AND(AUTOEVENTO="Manual",$M482=1),0,IF(OFFSET(CRONOPLE!$F$14,$M482,BF$13)="",10^12,OFFSET(CRONOPLE!$F$14,$M482,BF$13))))</f>
        <v>1000000000000</v>
      </c>
      <c r="BG482" s="181">
        <f ca="1">IF($D482&lt;&gt;"Serviço",0,IF(AND(AUTOEVENTO="Manual",$M482=1),0,IF(OFFSET(CRONOPLE!$F$14,$M482,BG$13)="",10^12,OFFSET(CRONOPLE!$F$14,$M482,BG$13))))</f>
        <v>1000000000000</v>
      </c>
      <c r="BH482" s="181">
        <f ca="1">IF($D482&lt;&gt;"Serviço",0,IF(AND(AUTOEVENTO="Manual",$M482=1),0,IF(OFFSET(CRONOPLE!$F$14,$M482,BH$13)="",10^12,OFFSET(CRONOPLE!$F$14,$M482,BH$13))))</f>
        <v>1000000000000</v>
      </c>
      <c r="BI482" s="181">
        <f ca="1">IF($D482&lt;&gt;"Serviço",0,IF(AND(AUTOEVENTO="Manual",$M482=1),0,IF(OFFSET(CRONOPLE!$F$14,$M482,BI$13)="",10^12,OFFSET(CRONOPLE!$F$14,$M482,BI$13))))</f>
        <v>1000000000000</v>
      </c>
      <c r="BJ482" s="181">
        <f ca="1">IF($D482&lt;&gt;"Serviço",0,IF(AND(AUTOEVENTO="Manual",$M482=1),0,IF(OFFSET(CRONOPLE!$F$14,$M482,BJ$13)="",10^12,OFFSET(CRONOPLE!$F$14,$M482,BJ$13))))</f>
        <v>1000000000000</v>
      </c>
      <c r="BK482" s="181">
        <f ca="1">IF($D482&lt;&gt;"Serviço",0,IF(AND(AUTOEVENTO="Manual",$M482=1),0,IF(OFFSET(CRONOPLE!$F$14,$M482,BK$13)="",10^12,OFFSET(CRONOPLE!$F$14,$M482,BK$13))))</f>
        <v>1000000000000</v>
      </c>
      <c r="BL482" s="181">
        <f ca="1">IF($D482&lt;&gt;"Serviço",0,IF(AND(AUTOEVENTO="Manual",$M482=1),0,IF(OFFSET(CRONOPLE!$F$14,$M482,BL$13)="",10^12,OFFSET(CRONOPLE!$F$14,$M482,BL$13))))</f>
        <v>1000000000000</v>
      </c>
      <c r="BM482" s="181">
        <f ca="1">IF($D482&lt;&gt;"Serviço",0,IF(AND(AUTOEVENTO="Manual",$M482=1),0,IF(OFFSET(CRONOPLE!$F$14,$M482,BM$13)="",10^12,OFFSET(CRONOPLE!$F$14,$M482,BM$13))))</f>
        <v>1000000000000</v>
      </c>
      <c r="BN482" s="181">
        <f ca="1">IF($D482&lt;&gt;"Serviço",0,IF(AND(AUTOEVENTO="Manual",$M482=1),0,IF(OFFSET(CRONOPLE!$F$14,$M482,BN$13)="",10^12,OFFSET(CRONOPLE!$F$14,$M482,BN$13))))</f>
        <v>1000000000000</v>
      </c>
      <c r="BO482" s="181">
        <f ca="1">IF($D482&lt;&gt;"Serviço",0,IF(AND(AUTOEVENTO="Manual",$M482=1),0,IF(OFFSET(CRONOPLE!$F$14,$M482,BO$13)="",10^12,OFFSET(CRONOPLE!$F$14,$M482,BO$13))))</f>
        <v>1000000000000</v>
      </c>
      <c r="BP482" s="181">
        <f ca="1">IF($D482&lt;&gt;"Serviço",0,IF(AND(AUTOEVENTO="Manual",$M482=1),0,IF(OFFSET(CRONOPLE!$F$14,$M482,BP$13)="",10^12,OFFSET(CRONOPLE!$F$14,$M482,BP$13))))</f>
        <v>1000000000000</v>
      </c>
      <c r="BQ482" s="181">
        <f ca="1">IF($D482&lt;&gt;"Serviço",0,IF(AND(AUTOEVENTO="Manual",$M482=1),0,IF(OFFSET(CRONOPLE!$F$14,$M482,BQ$13)="",10^12,OFFSET(CRONOPLE!$F$14,$M482,BQ$13))))</f>
        <v>1000000000000</v>
      </c>
      <c r="BR482" s="181">
        <f ca="1">IF($D482&lt;&gt;"Serviço",0,IF(AND(AUTOEVENTO="Manual",$M482=1),0,IF(OFFSET(CRONOPLE!$F$14,$M482,BR$13)="",10^12,OFFSET(CRONOPLE!$F$14,$M482,BR$13))))</f>
        <v>1000000000000</v>
      </c>
      <c r="BS482" s="181">
        <f ca="1">IF($D482&lt;&gt;"Serviço",0,IF(AND(AUTOEVENTO="Manual",$M482=1),0,IF(OFFSET(CRONOPLE!$F$14,$M482,BS$13)="",10^12,OFFSET(CRONOPLE!$F$14,$M482,BS$13))))</f>
        <v>1000000000000</v>
      </c>
      <c r="BT482" s="181">
        <f ca="1">IF($D482&lt;&gt;"Serviço",0,IF(AND(AUTOEVENTO="Manual",$M482=1),0,IF(OFFSET(CRONOPLE!$F$14,$M482,BT$13)="",10^12,OFFSET(CRONOPLE!$F$14,$M482,BT$13))))</f>
        <v>1000000000000</v>
      </c>
      <c r="BV482" s="182">
        <f ca="1">IF($D482&lt;&gt;"Serviço",0,IF(OR(AND(AUTOEVENTO="Manual",$M482=1),$M482&gt;(ROW(PLE.lastrow)-ROW(PLE.firstrow))),0,IF(OFFSET(PLE!$G$14,$M482,BV$13)="",10^12,OFFSET(PLE!$G$14,$M482,BV$13))))</f>
        <v>1000000000000</v>
      </c>
      <c r="BW482" s="182">
        <f ca="1">IF($D482&lt;&gt;"Serviço",0,IF(OR(AND(AUTOEVENTO="Manual",$M482=1),$M482&gt;(ROW(PLE.lastrow)-ROW(PLE.firstrow))),0,IF(OFFSET(PLE!$G$14,$M482,BW$13)="",10^12,OFFSET(PLE!$G$14,$M482,BW$13))))</f>
        <v>1000000000000</v>
      </c>
      <c r="BX482" s="182">
        <f ca="1">IF($D482&lt;&gt;"Serviço",0,IF(OR(AND(AUTOEVENTO="Manual",$M482=1),$M482&gt;(ROW(PLE.lastrow)-ROW(PLE.firstrow))),0,IF(OFFSET(PLE!$G$14,$M482,BX$13)="",10^12,OFFSET(PLE!$G$14,$M482,BX$13))))</f>
        <v>1000000000000</v>
      </c>
      <c r="BY482" s="182">
        <f ca="1">IF($D482&lt;&gt;"Serviço",0,IF(OR(AND(AUTOEVENTO="Manual",$M482=1),$M482&gt;(ROW(PLE.lastrow)-ROW(PLE.firstrow))),0,IF(OFFSET(PLE!$G$14,$M482,BY$13)="",10^12,OFFSET(PLE!$G$14,$M482,BY$13))))</f>
        <v>1000000000000</v>
      </c>
      <c r="BZ482" s="182">
        <f ca="1">IF($D482&lt;&gt;"Serviço",0,IF(OR(AND(AUTOEVENTO="Manual",$M482=1),$M482&gt;(ROW(PLE.lastrow)-ROW(PLE.firstrow))),0,IF(OFFSET(PLE!$G$14,$M482,BZ$13)="",10^12,OFFSET(PLE!$G$14,$M482,BZ$13))))</f>
        <v>1000000000000</v>
      </c>
      <c r="CA482" s="182">
        <f ca="1">IF($D482&lt;&gt;"Serviço",0,IF(OR(AND(AUTOEVENTO="Manual",$M482=1),$M482&gt;(ROW(PLE.lastrow)-ROW(PLE.firstrow))),0,IF(OFFSET(PLE!$G$14,$M482,CA$13)="",10^12,OFFSET(PLE!$G$14,$M482,CA$13))))</f>
        <v>1000000000000</v>
      </c>
      <c r="CB482" s="182">
        <f ca="1">IF($D482&lt;&gt;"Serviço",0,IF(OR(AND(AUTOEVENTO="Manual",$M482=1),$M482&gt;(ROW(PLE.lastrow)-ROW(PLE.firstrow))),0,IF(OFFSET(PLE!$G$14,$M482,CB$13)="",10^12,OFFSET(PLE!$G$14,$M482,CB$13))))</f>
        <v>1000000000000</v>
      </c>
      <c r="CC482" s="182">
        <f ca="1">IF($D482&lt;&gt;"Serviço",0,IF(OR(AND(AUTOEVENTO="Manual",$M482=1),$M482&gt;(ROW(PLE.lastrow)-ROW(PLE.firstrow))),0,IF(OFFSET(PLE!$G$14,$M482,CC$13)="",10^12,OFFSET(PLE!$G$14,$M482,CC$13))))</f>
        <v>1000000000000</v>
      </c>
      <c r="CD482" s="182">
        <f ca="1">IF($D482&lt;&gt;"Serviço",0,IF(OR(AND(AUTOEVENTO="Manual",$M482=1),$M482&gt;(ROW(PLE.lastrow)-ROW(PLE.firstrow))),0,IF(OFFSET(PLE!$G$14,$M482,CD$13)="",10^12,OFFSET(PLE!$G$14,$M482,CD$13))))</f>
        <v>1000000000000</v>
      </c>
      <c r="CE482" s="182">
        <f ca="1">IF($D482&lt;&gt;"Serviço",0,IF(OR(AND(AUTOEVENTO="Manual",$M482=1),$M482&gt;(ROW(PLE.lastrow)-ROW(PLE.firstrow))),0,IF(OFFSET(PLE!$G$14,$M482,CE$13)="",10^12,OFFSET(PLE!$G$14,$M482,CE$13))))</f>
        <v>1000000000000</v>
      </c>
      <c r="CF482" s="182">
        <f ca="1">IF($D482&lt;&gt;"Serviço",0,IF(OR(AND(AUTOEVENTO="Manual",$M482=1),$M482&gt;(ROW(PLE.lastrow)-ROW(PLE.firstrow))),0,IF(OFFSET(PLE!$G$14,$M482,CF$13)="",10^12,OFFSET(PLE!$G$14,$M482,CF$13))))</f>
        <v>1000000000000</v>
      </c>
      <c r="CG482" s="182">
        <f ca="1">IF($D482&lt;&gt;"Serviço",0,IF(OR(AND(AUTOEVENTO="Manual",$M482=1),$M482&gt;(ROW(PLE.lastrow)-ROW(PLE.firstrow))),0,IF(OFFSET(PLE!$G$14,$M482,CG$13)="",10^12,OFFSET(PLE!$G$14,$M482,CG$13))))</f>
        <v>1000000000000</v>
      </c>
      <c r="CH482" s="182">
        <f ca="1">IF($D482&lt;&gt;"Serviço",0,IF(OR(AND(AUTOEVENTO="Manual",$M482=1),$M482&gt;(ROW(PLE.lastrow)-ROW(PLE.firstrow))),0,IF(OFFSET(PLE!$G$14,$M482,CH$13)="",10^12,OFFSET(PLE!$G$14,$M482,CH$13))))</f>
        <v>1000000000000</v>
      </c>
      <c r="CI482" s="182">
        <f ca="1">IF($D482&lt;&gt;"Serviço",0,IF(OR(AND(AUTOEVENTO="Manual",$M482=1),$M482&gt;(ROW(PLE.lastrow)-ROW(PLE.firstrow))),0,IF(OFFSET(PLE!$G$14,$M482,CI$13)="",10^12,OFFSET(PLE!$G$14,$M482,CI$13))))</f>
        <v>1000000000000</v>
      </c>
      <c r="CJ482" s="182">
        <f ca="1">IF($D482&lt;&gt;"Serviço",0,IF(OR(AND(AUTOEVENTO="Manual",$M482=1),$M482&gt;(ROW(PLE.lastrow)-ROW(PLE.firstrow))),0,IF(OFFSET(PLE!$G$14,$M482,CJ$13)="",10^12,OFFSET(PLE!$G$14,$M482,CJ$13))))</f>
        <v>1000000000000</v>
      </c>
      <c r="CK482" s="182">
        <f ca="1">IF($D482&lt;&gt;"Serviço",0,IF(OR(AND(AUTOEVENTO="Manual",$M482=1),$M482&gt;(ROW(PLE.lastrow)-ROW(PLE.firstrow))),0,IF(OFFSET(PLE!$G$14,$M482,CK$13)="",10^12,OFFSET(PLE!$G$14,$M482,CK$13))))</f>
        <v>1000000000000</v>
      </c>
      <c r="CL482" s="182">
        <f ca="1">IF($D482&lt;&gt;"Serviço",0,IF(OR(AND(AUTOEVENTO="Manual",$M482=1),$M482&gt;(ROW(PLE.lastrow)-ROW(PLE.firstrow))),0,IF(OFFSET(PLE!$G$14,$M482,CL$13)="",10^12,OFFSET(PLE!$G$14,$M482,CL$13))))</f>
        <v>1000000000000</v>
      </c>
      <c r="CM482" s="182">
        <f ca="1">IF($D482&lt;&gt;"Serviço",0,IF(OR(AND(AUTOEVENTO="Manual",$M482=1),$M482&gt;(ROW(PLE.lastrow)-ROW(PLE.firstrow))),0,IF(OFFSET(PLE!$G$14,$M482,CM$13)="",10^12,OFFSET(PLE!$G$14,$M482,CM$13))))</f>
        <v>1000000000000</v>
      </c>
    </row>
    <row r="483" spans="1:91" ht="38.25" x14ac:dyDescent="0.2">
      <c r="A483" s="7" t="str">
        <f t="shared" ca="1" si="16"/>
        <v>464</v>
      </c>
      <c r="B483" s="7" t="str">
        <f ca="1">OFFSET(ORÇAMENTO!C$15,ROW(B483)-ROW(B$15),0)</f>
        <v>S</v>
      </c>
      <c r="C483" s="7" t="str">
        <f ca="1">OFFSET(ORÇAMENTO!L$15,ROW(C483)-ROW(C$15),0)</f>
        <v/>
      </c>
      <c r="D483" s="118" t="str">
        <f ca="1">OFFSET(ORÇAMENTO!N$15,ROW(D483)-ROW(D$15),0)</f>
        <v>Serviço</v>
      </c>
      <c r="E483" s="119" t="str">
        <f ca="1">OFFSET(ORÇAMENTO!O$15,ROW(E483)-ROW(E$15),0)</f>
        <v>-</v>
      </c>
      <c r="F483" s="172" t="str">
        <f ca="1">OFFSET(ORÇAMENTO!R$15,ROW(F483)-ROW(F$15),0)</f>
        <v>(abra o arquivo 'Referência 06-2024.xlsm)</v>
      </c>
      <c r="G483" s="173" t="str">
        <f ca="1">IF($D483&lt;&gt;"Serviço","",OFFSET(ORÇAMENTO!S$15,ROW(G483)-ROW(G$15),0))</f>
        <v>-</v>
      </c>
      <c r="H483" s="124">
        <f ca="1">IF($D483&lt;&gt;"Serviço",0,IF(ACOMPANHAMENTO="BM",ROUND(OFFSET(ORÇAMENTO!AJ$15,ROW(H483)-ROW(H$15),0),15-13*ORÇAMENTO!$AF$7),SUMPRODUCT(($Q$12:$AI$12&lt;&gt;"")*ROUND($Q483:$AI483,15-13*ORÇAMENTO!$AF$7))))</f>
        <v>2</v>
      </c>
      <c r="I483" s="561" t="s">
        <v>1107</v>
      </c>
      <c r="K483" s="174"/>
      <c r="L483" s="175" t="s">
        <v>255</v>
      </c>
      <c r="M483" s="176">
        <f ca="1">IF($D483&lt;&gt;"Serviço","",IF(AUTOEVENTO="manual",$A483,IF(ISERROR(MATCH($A483,$A$15:OFFSET($A483,-1,0),0)),MAX($M$15:OFFSET(M483,-1,0))+1,INDEX($M$15:OFFSET(M483,-1,0),MATCH($A483,$A$15:OFFSET($A483,-1,0),0)))))</f>
        <v>52</v>
      </c>
      <c r="N483" s="177" t="str">
        <f ca="1">IF($D483&lt;&gt;"Serviço","",IF(AUTOEVENTO="Manual",IF($A483=0,"&lt;-- defina o número do agrupador",OFFSET(EVENTOS!$D$14,$A483,0)),OFFSET($F$15,$A483,0)))</f>
        <v>INSTALAÇÃO ELÉTRICA 110V - ACESSÓRIOS PARA ELETRODUTOS</v>
      </c>
      <c r="O483" s="178"/>
      <c r="Q483" s="178">
        <v>2</v>
      </c>
      <c r="R483" s="179"/>
      <c r="S483" s="179"/>
      <c r="T483" s="179"/>
      <c r="U483" s="179"/>
      <c r="V483" s="179"/>
      <c r="W483" s="179"/>
      <c r="X483" s="179"/>
      <c r="Y483" s="179"/>
      <c r="Z483" s="180"/>
      <c r="AA483" s="179"/>
      <c r="AB483" s="179"/>
      <c r="AC483" s="179"/>
      <c r="AD483" s="179"/>
      <c r="AE483" s="179"/>
      <c r="AF483" s="179"/>
      <c r="AG483" s="179"/>
      <c r="AH483" s="180"/>
      <c r="AJ483" s="544">
        <f ca="1">IF(AND($D483="Serviço",AJ$12&lt;&gt;0,$H483&gt;0,OR(AUTOEVENTO&lt;&gt;"manual",$M483&lt;&gt;1)),
IF(Import.TipoArredondamento&lt;&gt;"TransfereGOV",
ROUND(OFFSET($P483,0,AJ$13),15-13*ORÇAMENTO!$AF$7)/$H483*OFFSET(ORÇAMENTO!$X$15,ROW(AJ483)-ROW(AJ$15),0),
ROUND(ROUND(OFFSET($P483,0,AJ$13),15-13*ORÇAMENTO!$AF$7)*OFFSET(ORÇAMENTO!$W$15,ROW(AJ483)-ROW(AJ$15),0),15-13*ORÇAMENTO!$AF$11)),0)</f>
        <v>0</v>
      </c>
      <c r="AK483" s="545">
        <f ca="1">IF(AND($D483="Serviço",AK$12&lt;&gt;0,$H483&gt;0,OR(AUTOEVENTO&lt;&gt;"manual",$M483&lt;&gt;1)),
IF(Import.TipoArredondamento&lt;&gt;"TransfereGOV",
ROUND(OFFSET($P483,0,AK$13),15-13*ORÇAMENTO!$AF$7)/$H483*OFFSET(ORÇAMENTO!$X$15,ROW(AK483)-ROW(AK$15),0),
ROUND(ROUND(OFFSET($P483,0,AK$13),15-13*ORÇAMENTO!$AF$7)*OFFSET(ORÇAMENTO!$W$15,ROW(AK483)-ROW(AK$15),0),15-13*ORÇAMENTO!$AF$11)),0)</f>
        <v>0</v>
      </c>
      <c r="AL483" s="545">
        <f ca="1">IF(AND($D483="Serviço",AL$12&lt;&gt;0,$H483&gt;0,OR(AUTOEVENTO&lt;&gt;"manual",$M483&lt;&gt;1)),
IF(Import.TipoArredondamento&lt;&gt;"TransfereGOV",
ROUND(OFFSET($P483,0,AL$13),15-13*ORÇAMENTO!$AF$7)/$H483*OFFSET(ORÇAMENTO!$X$15,ROW(AL483)-ROW(AL$15),0),
ROUND(ROUND(OFFSET($P483,0,AL$13),15-13*ORÇAMENTO!$AF$7)*OFFSET(ORÇAMENTO!$W$15,ROW(AL483)-ROW(AL$15),0),15-13*ORÇAMENTO!$AF$11)),0)</f>
        <v>0</v>
      </c>
      <c r="AM483" s="545">
        <f ca="1">IF(AND($D483="Serviço",AM$12&lt;&gt;0,$H483&gt;0,OR(AUTOEVENTO&lt;&gt;"manual",$M483&lt;&gt;1)),
IF(Import.TipoArredondamento&lt;&gt;"TransfereGOV",
ROUND(OFFSET($P483,0,AM$13),15-13*ORÇAMENTO!$AF$7)/$H483*OFFSET(ORÇAMENTO!$X$15,ROW(AM483)-ROW(AM$15),0),
ROUND(ROUND(OFFSET($P483,0,AM$13),15-13*ORÇAMENTO!$AF$7)*OFFSET(ORÇAMENTO!$W$15,ROW(AM483)-ROW(AM$15),0),15-13*ORÇAMENTO!$AF$11)),0)</f>
        <v>0</v>
      </c>
      <c r="AN483" s="545">
        <f ca="1">IF(AND($D483="Serviço",AN$12&lt;&gt;0,$H483&gt;0,OR(AUTOEVENTO&lt;&gt;"manual",$M483&lt;&gt;1)),
IF(Import.TipoArredondamento&lt;&gt;"TransfereGOV",
ROUND(OFFSET($P483,0,AN$13),15-13*ORÇAMENTO!$AF$7)/$H483*OFFSET(ORÇAMENTO!$X$15,ROW(AN483)-ROW(AN$15),0),
ROUND(ROUND(OFFSET($P483,0,AN$13),15-13*ORÇAMENTO!$AF$7)*OFFSET(ORÇAMENTO!$W$15,ROW(AN483)-ROW(AN$15),0),15-13*ORÇAMENTO!$AF$11)),0)</f>
        <v>0</v>
      </c>
      <c r="AO483" s="545">
        <f ca="1">IF(AND($D483="Serviço",AO$12&lt;&gt;0,$H483&gt;0,OR(AUTOEVENTO&lt;&gt;"manual",$M483&lt;&gt;1)),
IF(Import.TipoArredondamento&lt;&gt;"TransfereGOV",
ROUND(OFFSET($P483,0,AO$13),15-13*ORÇAMENTO!$AF$7)/$H483*OFFSET(ORÇAMENTO!$X$15,ROW(AO483)-ROW(AO$15),0),
ROUND(ROUND(OFFSET($P483,0,AO$13),15-13*ORÇAMENTO!$AF$7)*OFFSET(ORÇAMENTO!$W$15,ROW(AO483)-ROW(AO$15),0),15-13*ORÇAMENTO!$AF$11)),0)</f>
        <v>0</v>
      </c>
      <c r="AP483" s="545">
        <f ca="1">IF(AND($D483="Serviço",AP$12&lt;&gt;0,$H483&gt;0,OR(AUTOEVENTO&lt;&gt;"manual",$M483&lt;&gt;1)),
IF(Import.TipoArredondamento&lt;&gt;"TransfereGOV",
ROUND(OFFSET($P483,0,AP$13),15-13*ORÇAMENTO!$AF$7)/$H483*OFFSET(ORÇAMENTO!$X$15,ROW(AP483)-ROW(AP$15),0),
ROUND(ROUND(OFFSET($P483,0,AP$13),15-13*ORÇAMENTO!$AF$7)*OFFSET(ORÇAMENTO!$W$15,ROW(AP483)-ROW(AP$15),0),15-13*ORÇAMENTO!$AF$11)),0)</f>
        <v>0</v>
      </c>
      <c r="AQ483" s="545">
        <f ca="1">IF(AND($D483="Serviço",AQ$12&lt;&gt;0,$H483&gt;0,OR(AUTOEVENTO&lt;&gt;"manual",$M483&lt;&gt;1)),
IF(Import.TipoArredondamento&lt;&gt;"TransfereGOV",
ROUND(OFFSET($P483,0,AQ$13),15-13*ORÇAMENTO!$AF$7)/$H483*OFFSET(ORÇAMENTO!$X$15,ROW(AQ483)-ROW(AQ$15),0),
ROUND(ROUND(OFFSET($P483,0,AQ$13),15-13*ORÇAMENTO!$AF$7)*OFFSET(ORÇAMENTO!$W$15,ROW(AQ483)-ROW(AQ$15),0),15-13*ORÇAMENTO!$AF$11)),0)</f>
        <v>0</v>
      </c>
      <c r="AR483" s="545">
        <f ca="1">IF(AND($D483="Serviço",AR$12&lt;&gt;0,$H483&gt;0,OR(AUTOEVENTO&lt;&gt;"manual",$M483&lt;&gt;1)),
IF(Import.TipoArredondamento&lt;&gt;"TransfereGOV",
ROUND(OFFSET($P483,0,AR$13),15-13*ORÇAMENTO!$AF$7)/$H483*OFFSET(ORÇAMENTO!$X$15,ROW(AR483)-ROW(AR$15),0),
ROUND(ROUND(OFFSET($P483,0,AR$13),15-13*ORÇAMENTO!$AF$7)*OFFSET(ORÇAMENTO!$W$15,ROW(AR483)-ROW(AR$15),0),15-13*ORÇAMENTO!$AF$11)),0)</f>
        <v>0</v>
      </c>
      <c r="AS483" s="546">
        <f ca="1">IF(AND($D483="Serviço",AS$12&lt;&gt;0,$H483&gt;0,OR(AUTOEVENTO&lt;&gt;"manual",$M483&lt;&gt;1)),
IF(Import.TipoArredondamento&lt;&gt;"TransfereGOV",
ROUND(OFFSET($P483,0,AS$13),15-13*ORÇAMENTO!$AF$7)/$H483*OFFSET(ORÇAMENTO!$X$15,ROW(AS483)-ROW(AS$15),0),
ROUND(ROUND(OFFSET($P483,0,AS$13),15-13*ORÇAMENTO!$AF$7)*OFFSET(ORÇAMENTO!$W$15,ROW(AS483)-ROW(AS$15),0),15-13*ORÇAMENTO!$AF$11)),0)</f>
        <v>0</v>
      </c>
      <c r="AT483" s="545">
        <f ca="1">IF(AND($D483="Serviço",AT$12&lt;&gt;0,$H483&gt;0,OR(AUTOEVENTO&lt;&gt;"manual",$M483&lt;&gt;1)),
IF(Import.TipoArredondamento&lt;&gt;"TransfereGOV",
ROUND(OFFSET($P483,0,AT$13),15-13*ORÇAMENTO!$AF$7)/$H483*OFFSET(ORÇAMENTO!$X$15,ROW(AT483)-ROW(AT$15),0),
ROUND(ROUND(OFFSET($P483,0,AT$13),15-13*ORÇAMENTO!$AF$7)*OFFSET(ORÇAMENTO!$W$15,ROW(AT483)-ROW(AT$15),0),15-13*ORÇAMENTO!$AF$11)),0)</f>
        <v>0</v>
      </c>
      <c r="AU483" s="545">
        <f ca="1">IF(AND($D483="Serviço",AU$12&lt;&gt;0,$H483&gt;0,OR(AUTOEVENTO&lt;&gt;"manual",$M483&lt;&gt;1)),
IF(Import.TipoArredondamento&lt;&gt;"TransfereGOV",
ROUND(OFFSET($P483,0,AU$13),15-13*ORÇAMENTO!$AF$7)/$H483*OFFSET(ORÇAMENTO!$X$15,ROW(AU483)-ROW(AU$15),0),
ROUND(ROUND(OFFSET($P483,0,AU$13),15-13*ORÇAMENTO!$AF$7)*OFFSET(ORÇAMENTO!$W$15,ROW(AU483)-ROW(AU$15),0),15-13*ORÇAMENTO!$AF$11)),0)</f>
        <v>0</v>
      </c>
      <c r="AV483" s="545">
        <f ca="1">IF(AND($D483="Serviço",AV$12&lt;&gt;0,$H483&gt;0,OR(AUTOEVENTO&lt;&gt;"manual",$M483&lt;&gt;1)),
IF(Import.TipoArredondamento&lt;&gt;"TransfereGOV",
ROUND(OFFSET($P483,0,AV$13),15-13*ORÇAMENTO!$AF$7)/$H483*OFFSET(ORÇAMENTO!$X$15,ROW(AV483)-ROW(AV$15),0),
ROUND(ROUND(OFFSET($P483,0,AV$13),15-13*ORÇAMENTO!$AF$7)*OFFSET(ORÇAMENTO!$W$15,ROW(AV483)-ROW(AV$15),0),15-13*ORÇAMENTO!$AF$11)),0)</f>
        <v>0</v>
      </c>
      <c r="AW483" s="545">
        <f ca="1">IF(AND($D483="Serviço",AW$12&lt;&gt;0,$H483&gt;0,OR(AUTOEVENTO&lt;&gt;"manual",$M483&lt;&gt;1)),
IF(Import.TipoArredondamento&lt;&gt;"TransfereGOV",
ROUND(OFFSET($P483,0,AW$13),15-13*ORÇAMENTO!$AF$7)/$H483*OFFSET(ORÇAMENTO!$X$15,ROW(AW483)-ROW(AW$15),0),
ROUND(ROUND(OFFSET($P483,0,AW$13),15-13*ORÇAMENTO!$AF$7)*OFFSET(ORÇAMENTO!$W$15,ROW(AW483)-ROW(AW$15),0),15-13*ORÇAMENTO!$AF$11)),0)</f>
        <v>0</v>
      </c>
      <c r="AX483" s="545">
        <f ca="1">IF(AND($D483="Serviço",AX$12&lt;&gt;0,$H483&gt;0,OR(AUTOEVENTO&lt;&gt;"manual",$M483&lt;&gt;1)),
IF(Import.TipoArredondamento&lt;&gt;"TransfereGOV",
ROUND(OFFSET($P483,0,AX$13),15-13*ORÇAMENTO!$AF$7)/$H483*OFFSET(ORÇAMENTO!$X$15,ROW(AX483)-ROW(AX$15),0),
ROUND(ROUND(OFFSET($P483,0,AX$13),15-13*ORÇAMENTO!$AF$7)*OFFSET(ORÇAMENTO!$W$15,ROW(AX483)-ROW(AX$15),0),15-13*ORÇAMENTO!$AF$11)),0)</f>
        <v>0</v>
      </c>
      <c r="AY483" s="545">
        <f ca="1">IF(AND($D483="Serviço",AY$12&lt;&gt;0,$H483&gt;0,OR(AUTOEVENTO&lt;&gt;"manual",$M483&lt;&gt;1)),
IF(Import.TipoArredondamento&lt;&gt;"TransfereGOV",
ROUND(OFFSET($P483,0,AY$13),15-13*ORÇAMENTO!$AF$7)/$H483*OFFSET(ORÇAMENTO!$X$15,ROW(AY483)-ROW(AY$15),0),
ROUND(ROUND(OFFSET($P483,0,AY$13),15-13*ORÇAMENTO!$AF$7)*OFFSET(ORÇAMENTO!$W$15,ROW(AY483)-ROW(AY$15),0),15-13*ORÇAMENTO!$AF$11)),0)</f>
        <v>0</v>
      </c>
      <c r="AZ483" s="545">
        <f ca="1">IF(AND($D483="Serviço",AZ$12&lt;&gt;0,$H483&gt;0,OR(AUTOEVENTO&lt;&gt;"manual",$M483&lt;&gt;1)),
IF(Import.TipoArredondamento&lt;&gt;"TransfereGOV",
ROUND(OFFSET($P483,0,AZ$13),15-13*ORÇAMENTO!$AF$7)/$H483*OFFSET(ORÇAMENTO!$X$15,ROW(AZ483)-ROW(AZ$15),0),
ROUND(ROUND(OFFSET($P483,0,AZ$13),15-13*ORÇAMENTO!$AF$7)*OFFSET(ORÇAMENTO!$W$15,ROW(AZ483)-ROW(AZ$15),0),15-13*ORÇAMENTO!$AF$11)),0)</f>
        <v>0</v>
      </c>
      <c r="BA483" s="546">
        <f ca="1">IF(AND($D483="Serviço",BA$12&lt;&gt;0,$H483&gt;0,OR(AUTOEVENTO&lt;&gt;"manual",$M483&lt;&gt;1)),
IF(Import.TipoArredondamento&lt;&gt;"TransfereGOV",
ROUND(OFFSET($P483,0,BA$13),15-13*ORÇAMENTO!$AF$7)/$H483*OFFSET(ORÇAMENTO!$X$15,ROW(BA483)-ROW(BA$15),0),
ROUND(ROUND(OFFSET($P483,0,BA$13),15-13*ORÇAMENTO!$AF$7)*OFFSET(ORÇAMENTO!$W$15,ROW(BA483)-ROW(BA$15),0),15-13*ORÇAMENTO!$AF$11)),0)</f>
        <v>0</v>
      </c>
      <c r="BC483" s="181">
        <f ca="1">IF($D483&lt;&gt;"Serviço",0,IF(AND(AUTOEVENTO="Manual",$M483=1),0,IF(OFFSET(CRONOPLE!$F$14,$M483,BC$13)="",10^12,OFFSET(CRONOPLE!$F$14,$M483,BC$13))))</f>
        <v>10</v>
      </c>
      <c r="BD483" s="181">
        <f ca="1">IF($D483&lt;&gt;"Serviço",0,IF(AND(AUTOEVENTO="Manual",$M483=1),0,IF(OFFSET(CRONOPLE!$F$14,$M483,BD$13)="",10^12,OFFSET(CRONOPLE!$F$14,$M483,BD$13))))</f>
        <v>1000000000000</v>
      </c>
      <c r="BE483" s="181">
        <f ca="1">IF($D483&lt;&gt;"Serviço",0,IF(AND(AUTOEVENTO="Manual",$M483=1),0,IF(OFFSET(CRONOPLE!$F$14,$M483,BE$13)="",10^12,OFFSET(CRONOPLE!$F$14,$M483,BE$13))))</f>
        <v>1000000000000</v>
      </c>
      <c r="BF483" s="181">
        <f ca="1">IF($D483&lt;&gt;"Serviço",0,IF(AND(AUTOEVENTO="Manual",$M483=1),0,IF(OFFSET(CRONOPLE!$F$14,$M483,BF$13)="",10^12,OFFSET(CRONOPLE!$F$14,$M483,BF$13))))</f>
        <v>1000000000000</v>
      </c>
      <c r="BG483" s="181">
        <f ca="1">IF($D483&lt;&gt;"Serviço",0,IF(AND(AUTOEVENTO="Manual",$M483=1),0,IF(OFFSET(CRONOPLE!$F$14,$M483,BG$13)="",10^12,OFFSET(CRONOPLE!$F$14,$M483,BG$13))))</f>
        <v>1000000000000</v>
      </c>
      <c r="BH483" s="181">
        <f ca="1">IF($D483&lt;&gt;"Serviço",0,IF(AND(AUTOEVENTO="Manual",$M483=1),0,IF(OFFSET(CRONOPLE!$F$14,$M483,BH$13)="",10^12,OFFSET(CRONOPLE!$F$14,$M483,BH$13))))</f>
        <v>1000000000000</v>
      </c>
      <c r="BI483" s="181">
        <f ca="1">IF($D483&lt;&gt;"Serviço",0,IF(AND(AUTOEVENTO="Manual",$M483=1),0,IF(OFFSET(CRONOPLE!$F$14,$M483,BI$13)="",10^12,OFFSET(CRONOPLE!$F$14,$M483,BI$13))))</f>
        <v>1000000000000</v>
      </c>
      <c r="BJ483" s="181">
        <f ca="1">IF($D483&lt;&gt;"Serviço",0,IF(AND(AUTOEVENTO="Manual",$M483=1),0,IF(OFFSET(CRONOPLE!$F$14,$M483,BJ$13)="",10^12,OFFSET(CRONOPLE!$F$14,$M483,BJ$13))))</f>
        <v>1000000000000</v>
      </c>
      <c r="BK483" s="181">
        <f ca="1">IF($D483&lt;&gt;"Serviço",0,IF(AND(AUTOEVENTO="Manual",$M483=1),0,IF(OFFSET(CRONOPLE!$F$14,$M483,BK$13)="",10^12,OFFSET(CRONOPLE!$F$14,$M483,BK$13))))</f>
        <v>1000000000000</v>
      </c>
      <c r="BL483" s="181">
        <f ca="1">IF($D483&lt;&gt;"Serviço",0,IF(AND(AUTOEVENTO="Manual",$M483=1),0,IF(OFFSET(CRONOPLE!$F$14,$M483,BL$13)="",10^12,OFFSET(CRONOPLE!$F$14,$M483,BL$13))))</f>
        <v>1000000000000</v>
      </c>
      <c r="BM483" s="181">
        <f ca="1">IF($D483&lt;&gt;"Serviço",0,IF(AND(AUTOEVENTO="Manual",$M483=1),0,IF(OFFSET(CRONOPLE!$F$14,$M483,BM$13)="",10^12,OFFSET(CRONOPLE!$F$14,$M483,BM$13))))</f>
        <v>1000000000000</v>
      </c>
      <c r="BN483" s="181">
        <f ca="1">IF($D483&lt;&gt;"Serviço",0,IF(AND(AUTOEVENTO="Manual",$M483=1),0,IF(OFFSET(CRONOPLE!$F$14,$M483,BN$13)="",10^12,OFFSET(CRONOPLE!$F$14,$M483,BN$13))))</f>
        <v>1000000000000</v>
      </c>
      <c r="BO483" s="181">
        <f ca="1">IF($D483&lt;&gt;"Serviço",0,IF(AND(AUTOEVENTO="Manual",$M483=1),0,IF(OFFSET(CRONOPLE!$F$14,$M483,BO$13)="",10^12,OFFSET(CRONOPLE!$F$14,$M483,BO$13))))</f>
        <v>1000000000000</v>
      </c>
      <c r="BP483" s="181">
        <f ca="1">IF($D483&lt;&gt;"Serviço",0,IF(AND(AUTOEVENTO="Manual",$M483=1),0,IF(OFFSET(CRONOPLE!$F$14,$M483,BP$13)="",10^12,OFFSET(CRONOPLE!$F$14,$M483,BP$13))))</f>
        <v>1000000000000</v>
      </c>
      <c r="BQ483" s="181">
        <f ca="1">IF($D483&lt;&gt;"Serviço",0,IF(AND(AUTOEVENTO="Manual",$M483=1),0,IF(OFFSET(CRONOPLE!$F$14,$M483,BQ$13)="",10^12,OFFSET(CRONOPLE!$F$14,$M483,BQ$13))))</f>
        <v>1000000000000</v>
      </c>
      <c r="BR483" s="181">
        <f ca="1">IF($D483&lt;&gt;"Serviço",0,IF(AND(AUTOEVENTO="Manual",$M483=1),0,IF(OFFSET(CRONOPLE!$F$14,$M483,BR$13)="",10^12,OFFSET(CRONOPLE!$F$14,$M483,BR$13))))</f>
        <v>1000000000000</v>
      </c>
      <c r="BS483" s="181">
        <f ca="1">IF($D483&lt;&gt;"Serviço",0,IF(AND(AUTOEVENTO="Manual",$M483=1),0,IF(OFFSET(CRONOPLE!$F$14,$M483,BS$13)="",10^12,OFFSET(CRONOPLE!$F$14,$M483,BS$13))))</f>
        <v>1000000000000</v>
      </c>
      <c r="BT483" s="181">
        <f ca="1">IF($D483&lt;&gt;"Serviço",0,IF(AND(AUTOEVENTO="Manual",$M483=1),0,IF(OFFSET(CRONOPLE!$F$14,$M483,BT$13)="",10^12,OFFSET(CRONOPLE!$F$14,$M483,BT$13))))</f>
        <v>1000000000000</v>
      </c>
      <c r="BV483" s="182">
        <f ca="1">IF($D483&lt;&gt;"Serviço",0,IF(OR(AND(AUTOEVENTO="Manual",$M483=1),$M483&gt;(ROW(PLE.lastrow)-ROW(PLE.firstrow))),0,IF(OFFSET(PLE!$G$14,$M483,BV$13)="",10^12,OFFSET(PLE!$G$14,$M483,BV$13))))</f>
        <v>1000000000000</v>
      </c>
      <c r="BW483" s="182">
        <f ca="1">IF($D483&lt;&gt;"Serviço",0,IF(OR(AND(AUTOEVENTO="Manual",$M483=1),$M483&gt;(ROW(PLE.lastrow)-ROW(PLE.firstrow))),0,IF(OFFSET(PLE!$G$14,$M483,BW$13)="",10^12,OFFSET(PLE!$G$14,$M483,BW$13))))</f>
        <v>1000000000000</v>
      </c>
      <c r="BX483" s="182">
        <f ca="1">IF($D483&lt;&gt;"Serviço",0,IF(OR(AND(AUTOEVENTO="Manual",$M483=1),$M483&gt;(ROW(PLE.lastrow)-ROW(PLE.firstrow))),0,IF(OFFSET(PLE!$G$14,$M483,BX$13)="",10^12,OFFSET(PLE!$G$14,$M483,BX$13))))</f>
        <v>1000000000000</v>
      </c>
      <c r="BY483" s="182">
        <f ca="1">IF($D483&lt;&gt;"Serviço",0,IF(OR(AND(AUTOEVENTO="Manual",$M483=1),$M483&gt;(ROW(PLE.lastrow)-ROW(PLE.firstrow))),0,IF(OFFSET(PLE!$G$14,$M483,BY$13)="",10^12,OFFSET(PLE!$G$14,$M483,BY$13))))</f>
        <v>1000000000000</v>
      </c>
      <c r="BZ483" s="182">
        <f ca="1">IF($D483&lt;&gt;"Serviço",0,IF(OR(AND(AUTOEVENTO="Manual",$M483=1),$M483&gt;(ROW(PLE.lastrow)-ROW(PLE.firstrow))),0,IF(OFFSET(PLE!$G$14,$M483,BZ$13)="",10^12,OFFSET(PLE!$G$14,$M483,BZ$13))))</f>
        <v>1000000000000</v>
      </c>
      <c r="CA483" s="182">
        <f ca="1">IF($D483&lt;&gt;"Serviço",0,IF(OR(AND(AUTOEVENTO="Manual",$M483=1),$M483&gt;(ROW(PLE.lastrow)-ROW(PLE.firstrow))),0,IF(OFFSET(PLE!$G$14,$M483,CA$13)="",10^12,OFFSET(PLE!$G$14,$M483,CA$13))))</f>
        <v>1000000000000</v>
      </c>
      <c r="CB483" s="182">
        <f ca="1">IF($D483&lt;&gt;"Serviço",0,IF(OR(AND(AUTOEVENTO="Manual",$M483=1),$M483&gt;(ROW(PLE.lastrow)-ROW(PLE.firstrow))),0,IF(OFFSET(PLE!$G$14,$M483,CB$13)="",10^12,OFFSET(PLE!$G$14,$M483,CB$13))))</f>
        <v>1000000000000</v>
      </c>
      <c r="CC483" s="182">
        <f ca="1">IF($D483&lt;&gt;"Serviço",0,IF(OR(AND(AUTOEVENTO="Manual",$M483=1),$M483&gt;(ROW(PLE.lastrow)-ROW(PLE.firstrow))),0,IF(OFFSET(PLE!$G$14,$M483,CC$13)="",10^12,OFFSET(PLE!$G$14,$M483,CC$13))))</f>
        <v>1000000000000</v>
      </c>
      <c r="CD483" s="182">
        <f ca="1">IF($D483&lt;&gt;"Serviço",0,IF(OR(AND(AUTOEVENTO="Manual",$M483=1),$M483&gt;(ROW(PLE.lastrow)-ROW(PLE.firstrow))),0,IF(OFFSET(PLE!$G$14,$M483,CD$13)="",10^12,OFFSET(PLE!$G$14,$M483,CD$13))))</f>
        <v>1000000000000</v>
      </c>
      <c r="CE483" s="182">
        <f ca="1">IF($D483&lt;&gt;"Serviço",0,IF(OR(AND(AUTOEVENTO="Manual",$M483=1),$M483&gt;(ROW(PLE.lastrow)-ROW(PLE.firstrow))),0,IF(OFFSET(PLE!$G$14,$M483,CE$13)="",10^12,OFFSET(PLE!$G$14,$M483,CE$13))))</f>
        <v>1000000000000</v>
      </c>
      <c r="CF483" s="182">
        <f ca="1">IF($D483&lt;&gt;"Serviço",0,IF(OR(AND(AUTOEVENTO="Manual",$M483=1),$M483&gt;(ROW(PLE.lastrow)-ROW(PLE.firstrow))),0,IF(OFFSET(PLE!$G$14,$M483,CF$13)="",10^12,OFFSET(PLE!$G$14,$M483,CF$13))))</f>
        <v>1000000000000</v>
      </c>
      <c r="CG483" s="182">
        <f ca="1">IF($D483&lt;&gt;"Serviço",0,IF(OR(AND(AUTOEVENTO="Manual",$M483=1),$M483&gt;(ROW(PLE.lastrow)-ROW(PLE.firstrow))),0,IF(OFFSET(PLE!$G$14,$M483,CG$13)="",10^12,OFFSET(PLE!$G$14,$M483,CG$13))))</f>
        <v>1000000000000</v>
      </c>
      <c r="CH483" s="182">
        <f ca="1">IF($D483&lt;&gt;"Serviço",0,IF(OR(AND(AUTOEVENTO="Manual",$M483=1),$M483&gt;(ROW(PLE.lastrow)-ROW(PLE.firstrow))),0,IF(OFFSET(PLE!$G$14,$M483,CH$13)="",10^12,OFFSET(PLE!$G$14,$M483,CH$13))))</f>
        <v>1000000000000</v>
      </c>
      <c r="CI483" s="182">
        <f ca="1">IF($D483&lt;&gt;"Serviço",0,IF(OR(AND(AUTOEVENTO="Manual",$M483=1),$M483&gt;(ROW(PLE.lastrow)-ROW(PLE.firstrow))),0,IF(OFFSET(PLE!$G$14,$M483,CI$13)="",10^12,OFFSET(PLE!$G$14,$M483,CI$13))))</f>
        <v>1000000000000</v>
      </c>
      <c r="CJ483" s="182">
        <f ca="1">IF($D483&lt;&gt;"Serviço",0,IF(OR(AND(AUTOEVENTO="Manual",$M483=1),$M483&gt;(ROW(PLE.lastrow)-ROW(PLE.firstrow))),0,IF(OFFSET(PLE!$G$14,$M483,CJ$13)="",10^12,OFFSET(PLE!$G$14,$M483,CJ$13))))</f>
        <v>1000000000000</v>
      </c>
      <c r="CK483" s="182">
        <f ca="1">IF($D483&lt;&gt;"Serviço",0,IF(OR(AND(AUTOEVENTO="Manual",$M483=1),$M483&gt;(ROW(PLE.lastrow)-ROW(PLE.firstrow))),0,IF(OFFSET(PLE!$G$14,$M483,CK$13)="",10^12,OFFSET(PLE!$G$14,$M483,CK$13))))</f>
        <v>1000000000000</v>
      </c>
      <c r="CL483" s="182">
        <f ca="1">IF($D483&lt;&gt;"Serviço",0,IF(OR(AND(AUTOEVENTO="Manual",$M483=1),$M483&gt;(ROW(PLE.lastrow)-ROW(PLE.firstrow))),0,IF(OFFSET(PLE!$G$14,$M483,CL$13)="",10^12,OFFSET(PLE!$G$14,$M483,CL$13))))</f>
        <v>1000000000000</v>
      </c>
      <c r="CM483" s="182">
        <f ca="1">IF($D483&lt;&gt;"Serviço",0,IF(OR(AND(AUTOEVENTO="Manual",$M483=1),$M483&gt;(ROW(PLE.lastrow)-ROW(PLE.firstrow))),0,IF(OFFSET(PLE!$G$14,$M483,CM$13)="",10^12,OFFSET(PLE!$G$14,$M483,CM$13))))</f>
        <v>1000000000000</v>
      </c>
    </row>
    <row r="484" spans="1:91" ht="38.25" x14ac:dyDescent="0.2">
      <c r="A484" s="7" t="str">
        <f t="shared" ca="1" si="16"/>
        <v>464</v>
      </c>
      <c r="B484" s="7" t="str">
        <f ca="1">OFFSET(ORÇAMENTO!C$15,ROW(B484)-ROW(B$15),0)</f>
        <v>S</v>
      </c>
      <c r="C484" s="7" t="str">
        <f ca="1">OFFSET(ORÇAMENTO!L$15,ROW(C484)-ROW(C$15),0)</f>
        <v/>
      </c>
      <c r="D484" s="118" t="str">
        <f ca="1">OFFSET(ORÇAMENTO!N$15,ROW(D484)-ROW(D$15),0)</f>
        <v>Serviço</v>
      </c>
      <c r="E484" s="119" t="str">
        <f ca="1">OFFSET(ORÇAMENTO!O$15,ROW(E484)-ROW(E$15),0)</f>
        <v>-</v>
      </c>
      <c r="F484" s="172" t="str">
        <f ca="1">OFFSET(ORÇAMENTO!R$15,ROW(F484)-ROW(F$15),0)</f>
        <v>(abra o arquivo 'Referência 06-2024.xlsm)</v>
      </c>
      <c r="G484" s="173" t="str">
        <f ca="1">IF($D484&lt;&gt;"Serviço","",OFFSET(ORÇAMENTO!S$15,ROW(G484)-ROW(G$15),0))</f>
        <v>-</v>
      </c>
      <c r="H484" s="124">
        <f ca="1">IF($D484&lt;&gt;"Serviço",0,IF(ACOMPANHAMENTO="BM",ROUND(OFFSET(ORÇAMENTO!AJ$15,ROW(H484)-ROW(H$15),0),15-13*ORÇAMENTO!$AF$7),SUMPRODUCT(($Q$12:$AI$12&lt;&gt;"")*ROUND($Q484:$AI484,15-13*ORÇAMENTO!$AF$7))))</f>
        <v>1</v>
      </c>
      <c r="I484" s="561" t="s">
        <v>1107</v>
      </c>
      <c r="K484" s="174"/>
      <c r="L484" s="175" t="s">
        <v>255</v>
      </c>
      <c r="M484" s="176">
        <f ca="1">IF($D484&lt;&gt;"Serviço","",IF(AUTOEVENTO="manual",$A484,IF(ISERROR(MATCH($A484,$A$15:OFFSET($A484,-1,0),0)),MAX($M$15:OFFSET(M484,-1,0))+1,INDEX($M$15:OFFSET(M484,-1,0),MATCH($A484,$A$15:OFFSET($A484,-1,0),0)))))</f>
        <v>52</v>
      </c>
      <c r="N484" s="177" t="str">
        <f ca="1">IF($D484&lt;&gt;"Serviço","",IF(AUTOEVENTO="Manual",IF($A484=0,"&lt;-- defina o número do agrupador",OFFSET(EVENTOS!$D$14,$A484,0)),OFFSET($F$15,$A484,0)))</f>
        <v>INSTALAÇÃO ELÉTRICA 110V - ACESSÓRIOS PARA ELETRODUTOS</v>
      </c>
      <c r="O484" s="178"/>
      <c r="Q484" s="178">
        <v>1</v>
      </c>
      <c r="R484" s="179"/>
      <c r="S484" s="179"/>
      <c r="T484" s="179"/>
      <c r="U484" s="179"/>
      <c r="V484" s="179"/>
      <c r="W484" s="179"/>
      <c r="X484" s="179"/>
      <c r="Y484" s="179"/>
      <c r="Z484" s="180"/>
      <c r="AA484" s="179"/>
      <c r="AB484" s="179"/>
      <c r="AC484" s="179"/>
      <c r="AD484" s="179"/>
      <c r="AE484" s="179"/>
      <c r="AF484" s="179"/>
      <c r="AG484" s="179"/>
      <c r="AH484" s="180"/>
      <c r="AJ484" s="544">
        <f ca="1">IF(AND($D484="Serviço",AJ$12&lt;&gt;0,$H484&gt;0,OR(AUTOEVENTO&lt;&gt;"manual",$M484&lt;&gt;1)),
IF(Import.TipoArredondamento&lt;&gt;"TransfereGOV",
ROUND(OFFSET($P484,0,AJ$13),15-13*ORÇAMENTO!$AF$7)/$H484*OFFSET(ORÇAMENTO!$X$15,ROW(AJ484)-ROW(AJ$15),0),
ROUND(ROUND(OFFSET($P484,0,AJ$13),15-13*ORÇAMENTO!$AF$7)*OFFSET(ORÇAMENTO!$W$15,ROW(AJ484)-ROW(AJ$15),0),15-13*ORÇAMENTO!$AF$11)),0)</f>
        <v>0</v>
      </c>
      <c r="AK484" s="545">
        <f ca="1">IF(AND($D484="Serviço",AK$12&lt;&gt;0,$H484&gt;0,OR(AUTOEVENTO&lt;&gt;"manual",$M484&lt;&gt;1)),
IF(Import.TipoArredondamento&lt;&gt;"TransfereGOV",
ROUND(OFFSET($P484,0,AK$13),15-13*ORÇAMENTO!$AF$7)/$H484*OFFSET(ORÇAMENTO!$X$15,ROW(AK484)-ROW(AK$15),0),
ROUND(ROUND(OFFSET($P484,0,AK$13),15-13*ORÇAMENTO!$AF$7)*OFFSET(ORÇAMENTO!$W$15,ROW(AK484)-ROW(AK$15),0),15-13*ORÇAMENTO!$AF$11)),0)</f>
        <v>0</v>
      </c>
      <c r="AL484" s="545">
        <f ca="1">IF(AND($D484="Serviço",AL$12&lt;&gt;0,$H484&gt;0,OR(AUTOEVENTO&lt;&gt;"manual",$M484&lt;&gt;1)),
IF(Import.TipoArredondamento&lt;&gt;"TransfereGOV",
ROUND(OFFSET($P484,0,AL$13),15-13*ORÇAMENTO!$AF$7)/$H484*OFFSET(ORÇAMENTO!$X$15,ROW(AL484)-ROW(AL$15),0),
ROUND(ROUND(OFFSET($P484,0,AL$13),15-13*ORÇAMENTO!$AF$7)*OFFSET(ORÇAMENTO!$W$15,ROW(AL484)-ROW(AL$15),0),15-13*ORÇAMENTO!$AF$11)),0)</f>
        <v>0</v>
      </c>
      <c r="AM484" s="545">
        <f ca="1">IF(AND($D484="Serviço",AM$12&lt;&gt;0,$H484&gt;0,OR(AUTOEVENTO&lt;&gt;"manual",$M484&lt;&gt;1)),
IF(Import.TipoArredondamento&lt;&gt;"TransfereGOV",
ROUND(OFFSET($P484,0,AM$13),15-13*ORÇAMENTO!$AF$7)/$H484*OFFSET(ORÇAMENTO!$X$15,ROW(AM484)-ROW(AM$15),0),
ROUND(ROUND(OFFSET($P484,0,AM$13),15-13*ORÇAMENTO!$AF$7)*OFFSET(ORÇAMENTO!$W$15,ROW(AM484)-ROW(AM$15),0),15-13*ORÇAMENTO!$AF$11)),0)</f>
        <v>0</v>
      </c>
      <c r="AN484" s="545">
        <f ca="1">IF(AND($D484="Serviço",AN$12&lt;&gt;0,$H484&gt;0,OR(AUTOEVENTO&lt;&gt;"manual",$M484&lt;&gt;1)),
IF(Import.TipoArredondamento&lt;&gt;"TransfereGOV",
ROUND(OFFSET($P484,0,AN$13),15-13*ORÇAMENTO!$AF$7)/$H484*OFFSET(ORÇAMENTO!$X$15,ROW(AN484)-ROW(AN$15),0),
ROUND(ROUND(OFFSET($P484,0,AN$13),15-13*ORÇAMENTO!$AF$7)*OFFSET(ORÇAMENTO!$W$15,ROW(AN484)-ROW(AN$15),0),15-13*ORÇAMENTO!$AF$11)),0)</f>
        <v>0</v>
      </c>
      <c r="AO484" s="545">
        <f ca="1">IF(AND($D484="Serviço",AO$12&lt;&gt;0,$H484&gt;0,OR(AUTOEVENTO&lt;&gt;"manual",$M484&lt;&gt;1)),
IF(Import.TipoArredondamento&lt;&gt;"TransfereGOV",
ROUND(OFFSET($P484,0,AO$13),15-13*ORÇAMENTO!$AF$7)/$H484*OFFSET(ORÇAMENTO!$X$15,ROW(AO484)-ROW(AO$15),0),
ROUND(ROUND(OFFSET($P484,0,AO$13),15-13*ORÇAMENTO!$AF$7)*OFFSET(ORÇAMENTO!$W$15,ROW(AO484)-ROW(AO$15),0),15-13*ORÇAMENTO!$AF$11)),0)</f>
        <v>0</v>
      </c>
      <c r="AP484" s="545">
        <f ca="1">IF(AND($D484="Serviço",AP$12&lt;&gt;0,$H484&gt;0,OR(AUTOEVENTO&lt;&gt;"manual",$M484&lt;&gt;1)),
IF(Import.TipoArredondamento&lt;&gt;"TransfereGOV",
ROUND(OFFSET($P484,0,AP$13),15-13*ORÇAMENTO!$AF$7)/$H484*OFFSET(ORÇAMENTO!$X$15,ROW(AP484)-ROW(AP$15),0),
ROUND(ROUND(OFFSET($P484,0,AP$13),15-13*ORÇAMENTO!$AF$7)*OFFSET(ORÇAMENTO!$W$15,ROW(AP484)-ROW(AP$15),0),15-13*ORÇAMENTO!$AF$11)),0)</f>
        <v>0</v>
      </c>
      <c r="AQ484" s="545">
        <f ca="1">IF(AND($D484="Serviço",AQ$12&lt;&gt;0,$H484&gt;0,OR(AUTOEVENTO&lt;&gt;"manual",$M484&lt;&gt;1)),
IF(Import.TipoArredondamento&lt;&gt;"TransfereGOV",
ROUND(OFFSET($P484,0,AQ$13),15-13*ORÇAMENTO!$AF$7)/$H484*OFFSET(ORÇAMENTO!$X$15,ROW(AQ484)-ROW(AQ$15),0),
ROUND(ROUND(OFFSET($P484,0,AQ$13),15-13*ORÇAMENTO!$AF$7)*OFFSET(ORÇAMENTO!$W$15,ROW(AQ484)-ROW(AQ$15),0),15-13*ORÇAMENTO!$AF$11)),0)</f>
        <v>0</v>
      </c>
      <c r="AR484" s="545">
        <f ca="1">IF(AND($D484="Serviço",AR$12&lt;&gt;0,$H484&gt;0,OR(AUTOEVENTO&lt;&gt;"manual",$M484&lt;&gt;1)),
IF(Import.TipoArredondamento&lt;&gt;"TransfereGOV",
ROUND(OFFSET($P484,0,AR$13),15-13*ORÇAMENTO!$AF$7)/$H484*OFFSET(ORÇAMENTO!$X$15,ROW(AR484)-ROW(AR$15),0),
ROUND(ROUND(OFFSET($P484,0,AR$13),15-13*ORÇAMENTO!$AF$7)*OFFSET(ORÇAMENTO!$W$15,ROW(AR484)-ROW(AR$15),0),15-13*ORÇAMENTO!$AF$11)),0)</f>
        <v>0</v>
      </c>
      <c r="AS484" s="546">
        <f ca="1">IF(AND($D484="Serviço",AS$12&lt;&gt;0,$H484&gt;0,OR(AUTOEVENTO&lt;&gt;"manual",$M484&lt;&gt;1)),
IF(Import.TipoArredondamento&lt;&gt;"TransfereGOV",
ROUND(OFFSET($P484,0,AS$13),15-13*ORÇAMENTO!$AF$7)/$H484*OFFSET(ORÇAMENTO!$X$15,ROW(AS484)-ROW(AS$15),0),
ROUND(ROUND(OFFSET($P484,0,AS$13),15-13*ORÇAMENTO!$AF$7)*OFFSET(ORÇAMENTO!$W$15,ROW(AS484)-ROW(AS$15),0),15-13*ORÇAMENTO!$AF$11)),0)</f>
        <v>0</v>
      </c>
      <c r="AT484" s="545">
        <f ca="1">IF(AND($D484="Serviço",AT$12&lt;&gt;0,$H484&gt;0,OR(AUTOEVENTO&lt;&gt;"manual",$M484&lt;&gt;1)),
IF(Import.TipoArredondamento&lt;&gt;"TransfereGOV",
ROUND(OFFSET($P484,0,AT$13),15-13*ORÇAMENTO!$AF$7)/$H484*OFFSET(ORÇAMENTO!$X$15,ROW(AT484)-ROW(AT$15),0),
ROUND(ROUND(OFFSET($P484,0,AT$13),15-13*ORÇAMENTO!$AF$7)*OFFSET(ORÇAMENTO!$W$15,ROW(AT484)-ROW(AT$15),0),15-13*ORÇAMENTO!$AF$11)),0)</f>
        <v>0</v>
      </c>
      <c r="AU484" s="545">
        <f ca="1">IF(AND($D484="Serviço",AU$12&lt;&gt;0,$H484&gt;0,OR(AUTOEVENTO&lt;&gt;"manual",$M484&lt;&gt;1)),
IF(Import.TipoArredondamento&lt;&gt;"TransfereGOV",
ROUND(OFFSET($P484,0,AU$13),15-13*ORÇAMENTO!$AF$7)/$H484*OFFSET(ORÇAMENTO!$X$15,ROW(AU484)-ROW(AU$15),0),
ROUND(ROUND(OFFSET($P484,0,AU$13),15-13*ORÇAMENTO!$AF$7)*OFFSET(ORÇAMENTO!$W$15,ROW(AU484)-ROW(AU$15),0),15-13*ORÇAMENTO!$AF$11)),0)</f>
        <v>0</v>
      </c>
      <c r="AV484" s="545">
        <f ca="1">IF(AND($D484="Serviço",AV$12&lt;&gt;0,$H484&gt;0,OR(AUTOEVENTO&lt;&gt;"manual",$M484&lt;&gt;1)),
IF(Import.TipoArredondamento&lt;&gt;"TransfereGOV",
ROUND(OFFSET($P484,0,AV$13),15-13*ORÇAMENTO!$AF$7)/$H484*OFFSET(ORÇAMENTO!$X$15,ROW(AV484)-ROW(AV$15),0),
ROUND(ROUND(OFFSET($P484,0,AV$13),15-13*ORÇAMENTO!$AF$7)*OFFSET(ORÇAMENTO!$W$15,ROW(AV484)-ROW(AV$15),0),15-13*ORÇAMENTO!$AF$11)),0)</f>
        <v>0</v>
      </c>
      <c r="AW484" s="545">
        <f ca="1">IF(AND($D484="Serviço",AW$12&lt;&gt;0,$H484&gt;0,OR(AUTOEVENTO&lt;&gt;"manual",$M484&lt;&gt;1)),
IF(Import.TipoArredondamento&lt;&gt;"TransfereGOV",
ROUND(OFFSET($P484,0,AW$13),15-13*ORÇAMENTO!$AF$7)/$H484*OFFSET(ORÇAMENTO!$X$15,ROW(AW484)-ROW(AW$15),0),
ROUND(ROUND(OFFSET($P484,0,AW$13),15-13*ORÇAMENTO!$AF$7)*OFFSET(ORÇAMENTO!$W$15,ROW(AW484)-ROW(AW$15),0),15-13*ORÇAMENTO!$AF$11)),0)</f>
        <v>0</v>
      </c>
      <c r="AX484" s="545">
        <f ca="1">IF(AND($D484="Serviço",AX$12&lt;&gt;0,$H484&gt;0,OR(AUTOEVENTO&lt;&gt;"manual",$M484&lt;&gt;1)),
IF(Import.TipoArredondamento&lt;&gt;"TransfereGOV",
ROUND(OFFSET($P484,0,AX$13),15-13*ORÇAMENTO!$AF$7)/$H484*OFFSET(ORÇAMENTO!$X$15,ROW(AX484)-ROW(AX$15),0),
ROUND(ROUND(OFFSET($P484,0,AX$13),15-13*ORÇAMENTO!$AF$7)*OFFSET(ORÇAMENTO!$W$15,ROW(AX484)-ROW(AX$15),0),15-13*ORÇAMENTO!$AF$11)),0)</f>
        <v>0</v>
      </c>
      <c r="AY484" s="545">
        <f ca="1">IF(AND($D484="Serviço",AY$12&lt;&gt;0,$H484&gt;0,OR(AUTOEVENTO&lt;&gt;"manual",$M484&lt;&gt;1)),
IF(Import.TipoArredondamento&lt;&gt;"TransfereGOV",
ROUND(OFFSET($P484,0,AY$13),15-13*ORÇAMENTO!$AF$7)/$H484*OFFSET(ORÇAMENTO!$X$15,ROW(AY484)-ROW(AY$15),0),
ROUND(ROUND(OFFSET($P484,0,AY$13),15-13*ORÇAMENTO!$AF$7)*OFFSET(ORÇAMENTO!$W$15,ROW(AY484)-ROW(AY$15),0),15-13*ORÇAMENTO!$AF$11)),0)</f>
        <v>0</v>
      </c>
      <c r="AZ484" s="545">
        <f ca="1">IF(AND($D484="Serviço",AZ$12&lt;&gt;0,$H484&gt;0,OR(AUTOEVENTO&lt;&gt;"manual",$M484&lt;&gt;1)),
IF(Import.TipoArredondamento&lt;&gt;"TransfereGOV",
ROUND(OFFSET($P484,0,AZ$13),15-13*ORÇAMENTO!$AF$7)/$H484*OFFSET(ORÇAMENTO!$X$15,ROW(AZ484)-ROW(AZ$15),0),
ROUND(ROUND(OFFSET($P484,0,AZ$13),15-13*ORÇAMENTO!$AF$7)*OFFSET(ORÇAMENTO!$W$15,ROW(AZ484)-ROW(AZ$15),0),15-13*ORÇAMENTO!$AF$11)),0)</f>
        <v>0</v>
      </c>
      <c r="BA484" s="546">
        <f ca="1">IF(AND($D484="Serviço",BA$12&lt;&gt;0,$H484&gt;0,OR(AUTOEVENTO&lt;&gt;"manual",$M484&lt;&gt;1)),
IF(Import.TipoArredondamento&lt;&gt;"TransfereGOV",
ROUND(OFFSET($P484,0,BA$13),15-13*ORÇAMENTO!$AF$7)/$H484*OFFSET(ORÇAMENTO!$X$15,ROW(BA484)-ROW(BA$15),0),
ROUND(ROUND(OFFSET($P484,0,BA$13),15-13*ORÇAMENTO!$AF$7)*OFFSET(ORÇAMENTO!$W$15,ROW(BA484)-ROW(BA$15),0),15-13*ORÇAMENTO!$AF$11)),0)</f>
        <v>0</v>
      </c>
      <c r="BC484" s="181">
        <f ca="1">IF($D484&lt;&gt;"Serviço",0,IF(AND(AUTOEVENTO="Manual",$M484=1),0,IF(OFFSET(CRONOPLE!$F$14,$M484,BC$13)="",10^12,OFFSET(CRONOPLE!$F$14,$M484,BC$13))))</f>
        <v>10</v>
      </c>
      <c r="BD484" s="181">
        <f ca="1">IF($D484&lt;&gt;"Serviço",0,IF(AND(AUTOEVENTO="Manual",$M484=1),0,IF(OFFSET(CRONOPLE!$F$14,$M484,BD$13)="",10^12,OFFSET(CRONOPLE!$F$14,$M484,BD$13))))</f>
        <v>1000000000000</v>
      </c>
      <c r="BE484" s="181">
        <f ca="1">IF($D484&lt;&gt;"Serviço",0,IF(AND(AUTOEVENTO="Manual",$M484=1),0,IF(OFFSET(CRONOPLE!$F$14,$M484,BE$13)="",10^12,OFFSET(CRONOPLE!$F$14,$M484,BE$13))))</f>
        <v>1000000000000</v>
      </c>
      <c r="BF484" s="181">
        <f ca="1">IF($D484&lt;&gt;"Serviço",0,IF(AND(AUTOEVENTO="Manual",$M484=1),0,IF(OFFSET(CRONOPLE!$F$14,$M484,BF$13)="",10^12,OFFSET(CRONOPLE!$F$14,$M484,BF$13))))</f>
        <v>1000000000000</v>
      </c>
      <c r="BG484" s="181">
        <f ca="1">IF($D484&lt;&gt;"Serviço",0,IF(AND(AUTOEVENTO="Manual",$M484=1),0,IF(OFFSET(CRONOPLE!$F$14,$M484,BG$13)="",10^12,OFFSET(CRONOPLE!$F$14,$M484,BG$13))))</f>
        <v>1000000000000</v>
      </c>
      <c r="BH484" s="181">
        <f ca="1">IF($D484&lt;&gt;"Serviço",0,IF(AND(AUTOEVENTO="Manual",$M484=1),0,IF(OFFSET(CRONOPLE!$F$14,$M484,BH$13)="",10^12,OFFSET(CRONOPLE!$F$14,$M484,BH$13))))</f>
        <v>1000000000000</v>
      </c>
      <c r="BI484" s="181">
        <f ca="1">IF($D484&lt;&gt;"Serviço",0,IF(AND(AUTOEVENTO="Manual",$M484=1),0,IF(OFFSET(CRONOPLE!$F$14,$M484,BI$13)="",10^12,OFFSET(CRONOPLE!$F$14,$M484,BI$13))))</f>
        <v>1000000000000</v>
      </c>
      <c r="BJ484" s="181">
        <f ca="1">IF($D484&lt;&gt;"Serviço",0,IF(AND(AUTOEVENTO="Manual",$M484=1),0,IF(OFFSET(CRONOPLE!$F$14,$M484,BJ$13)="",10^12,OFFSET(CRONOPLE!$F$14,$M484,BJ$13))))</f>
        <v>1000000000000</v>
      </c>
      <c r="BK484" s="181">
        <f ca="1">IF($D484&lt;&gt;"Serviço",0,IF(AND(AUTOEVENTO="Manual",$M484=1),0,IF(OFFSET(CRONOPLE!$F$14,$M484,BK$13)="",10^12,OFFSET(CRONOPLE!$F$14,$M484,BK$13))))</f>
        <v>1000000000000</v>
      </c>
      <c r="BL484" s="181">
        <f ca="1">IF($D484&lt;&gt;"Serviço",0,IF(AND(AUTOEVENTO="Manual",$M484=1),0,IF(OFFSET(CRONOPLE!$F$14,$M484,BL$13)="",10^12,OFFSET(CRONOPLE!$F$14,$M484,BL$13))))</f>
        <v>1000000000000</v>
      </c>
      <c r="BM484" s="181">
        <f ca="1">IF($D484&lt;&gt;"Serviço",0,IF(AND(AUTOEVENTO="Manual",$M484=1),0,IF(OFFSET(CRONOPLE!$F$14,$M484,BM$13)="",10^12,OFFSET(CRONOPLE!$F$14,$M484,BM$13))))</f>
        <v>1000000000000</v>
      </c>
      <c r="BN484" s="181">
        <f ca="1">IF($D484&lt;&gt;"Serviço",0,IF(AND(AUTOEVENTO="Manual",$M484=1),0,IF(OFFSET(CRONOPLE!$F$14,$M484,BN$13)="",10^12,OFFSET(CRONOPLE!$F$14,$M484,BN$13))))</f>
        <v>1000000000000</v>
      </c>
      <c r="BO484" s="181">
        <f ca="1">IF($D484&lt;&gt;"Serviço",0,IF(AND(AUTOEVENTO="Manual",$M484=1),0,IF(OFFSET(CRONOPLE!$F$14,$M484,BO$13)="",10^12,OFFSET(CRONOPLE!$F$14,$M484,BO$13))))</f>
        <v>1000000000000</v>
      </c>
      <c r="BP484" s="181">
        <f ca="1">IF($D484&lt;&gt;"Serviço",0,IF(AND(AUTOEVENTO="Manual",$M484=1),0,IF(OFFSET(CRONOPLE!$F$14,$M484,BP$13)="",10^12,OFFSET(CRONOPLE!$F$14,$M484,BP$13))))</f>
        <v>1000000000000</v>
      </c>
      <c r="BQ484" s="181">
        <f ca="1">IF($D484&lt;&gt;"Serviço",0,IF(AND(AUTOEVENTO="Manual",$M484=1),0,IF(OFFSET(CRONOPLE!$F$14,$M484,BQ$13)="",10^12,OFFSET(CRONOPLE!$F$14,$M484,BQ$13))))</f>
        <v>1000000000000</v>
      </c>
      <c r="BR484" s="181">
        <f ca="1">IF($D484&lt;&gt;"Serviço",0,IF(AND(AUTOEVENTO="Manual",$M484=1),0,IF(OFFSET(CRONOPLE!$F$14,$M484,BR$13)="",10^12,OFFSET(CRONOPLE!$F$14,$M484,BR$13))))</f>
        <v>1000000000000</v>
      </c>
      <c r="BS484" s="181">
        <f ca="1">IF($D484&lt;&gt;"Serviço",0,IF(AND(AUTOEVENTO="Manual",$M484=1),0,IF(OFFSET(CRONOPLE!$F$14,$M484,BS$13)="",10^12,OFFSET(CRONOPLE!$F$14,$M484,BS$13))))</f>
        <v>1000000000000</v>
      </c>
      <c r="BT484" s="181">
        <f ca="1">IF($D484&lt;&gt;"Serviço",0,IF(AND(AUTOEVENTO="Manual",$M484=1),0,IF(OFFSET(CRONOPLE!$F$14,$M484,BT$13)="",10^12,OFFSET(CRONOPLE!$F$14,$M484,BT$13))))</f>
        <v>1000000000000</v>
      </c>
      <c r="BV484" s="182">
        <f ca="1">IF($D484&lt;&gt;"Serviço",0,IF(OR(AND(AUTOEVENTO="Manual",$M484=1),$M484&gt;(ROW(PLE.lastrow)-ROW(PLE.firstrow))),0,IF(OFFSET(PLE!$G$14,$M484,BV$13)="",10^12,OFFSET(PLE!$G$14,$M484,BV$13))))</f>
        <v>1000000000000</v>
      </c>
      <c r="BW484" s="182">
        <f ca="1">IF($D484&lt;&gt;"Serviço",0,IF(OR(AND(AUTOEVENTO="Manual",$M484=1),$M484&gt;(ROW(PLE.lastrow)-ROW(PLE.firstrow))),0,IF(OFFSET(PLE!$G$14,$M484,BW$13)="",10^12,OFFSET(PLE!$G$14,$M484,BW$13))))</f>
        <v>1000000000000</v>
      </c>
      <c r="BX484" s="182">
        <f ca="1">IF($D484&lt;&gt;"Serviço",0,IF(OR(AND(AUTOEVENTO="Manual",$M484=1),$M484&gt;(ROW(PLE.lastrow)-ROW(PLE.firstrow))),0,IF(OFFSET(PLE!$G$14,$M484,BX$13)="",10^12,OFFSET(PLE!$G$14,$M484,BX$13))))</f>
        <v>1000000000000</v>
      </c>
      <c r="BY484" s="182">
        <f ca="1">IF($D484&lt;&gt;"Serviço",0,IF(OR(AND(AUTOEVENTO="Manual",$M484=1),$M484&gt;(ROW(PLE.lastrow)-ROW(PLE.firstrow))),0,IF(OFFSET(PLE!$G$14,$M484,BY$13)="",10^12,OFFSET(PLE!$G$14,$M484,BY$13))))</f>
        <v>1000000000000</v>
      </c>
      <c r="BZ484" s="182">
        <f ca="1">IF($D484&lt;&gt;"Serviço",0,IF(OR(AND(AUTOEVENTO="Manual",$M484=1),$M484&gt;(ROW(PLE.lastrow)-ROW(PLE.firstrow))),0,IF(OFFSET(PLE!$G$14,$M484,BZ$13)="",10^12,OFFSET(PLE!$G$14,$M484,BZ$13))))</f>
        <v>1000000000000</v>
      </c>
      <c r="CA484" s="182">
        <f ca="1">IF($D484&lt;&gt;"Serviço",0,IF(OR(AND(AUTOEVENTO="Manual",$M484=1),$M484&gt;(ROW(PLE.lastrow)-ROW(PLE.firstrow))),0,IF(OFFSET(PLE!$G$14,$M484,CA$13)="",10^12,OFFSET(PLE!$G$14,$M484,CA$13))))</f>
        <v>1000000000000</v>
      </c>
      <c r="CB484" s="182">
        <f ca="1">IF($D484&lt;&gt;"Serviço",0,IF(OR(AND(AUTOEVENTO="Manual",$M484=1),$M484&gt;(ROW(PLE.lastrow)-ROW(PLE.firstrow))),0,IF(OFFSET(PLE!$G$14,$M484,CB$13)="",10^12,OFFSET(PLE!$G$14,$M484,CB$13))))</f>
        <v>1000000000000</v>
      </c>
      <c r="CC484" s="182">
        <f ca="1">IF($D484&lt;&gt;"Serviço",0,IF(OR(AND(AUTOEVENTO="Manual",$M484=1),$M484&gt;(ROW(PLE.lastrow)-ROW(PLE.firstrow))),0,IF(OFFSET(PLE!$G$14,$M484,CC$13)="",10^12,OFFSET(PLE!$G$14,$M484,CC$13))))</f>
        <v>1000000000000</v>
      </c>
      <c r="CD484" s="182">
        <f ca="1">IF($D484&lt;&gt;"Serviço",0,IF(OR(AND(AUTOEVENTO="Manual",$M484=1),$M484&gt;(ROW(PLE.lastrow)-ROW(PLE.firstrow))),0,IF(OFFSET(PLE!$G$14,$M484,CD$13)="",10^12,OFFSET(PLE!$G$14,$M484,CD$13))))</f>
        <v>1000000000000</v>
      </c>
      <c r="CE484" s="182">
        <f ca="1">IF($D484&lt;&gt;"Serviço",0,IF(OR(AND(AUTOEVENTO="Manual",$M484=1),$M484&gt;(ROW(PLE.lastrow)-ROW(PLE.firstrow))),0,IF(OFFSET(PLE!$G$14,$M484,CE$13)="",10^12,OFFSET(PLE!$G$14,$M484,CE$13))))</f>
        <v>1000000000000</v>
      </c>
      <c r="CF484" s="182">
        <f ca="1">IF($D484&lt;&gt;"Serviço",0,IF(OR(AND(AUTOEVENTO="Manual",$M484=1),$M484&gt;(ROW(PLE.lastrow)-ROW(PLE.firstrow))),0,IF(OFFSET(PLE!$G$14,$M484,CF$13)="",10^12,OFFSET(PLE!$G$14,$M484,CF$13))))</f>
        <v>1000000000000</v>
      </c>
      <c r="CG484" s="182">
        <f ca="1">IF($D484&lt;&gt;"Serviço",0,IF(OR(AND(AUTOEVENTO="Manual",$M484=1),$M484&gt;(ROW(PLE.lastrow)-ROW(PLE.firstrow))),0,IF(OFFSET(PLE!$G$14,$M484,CG$13)="",10^12,OFFSET(PLE!$G$14,$M484,CG$13))))</f>
        <v>1000000000000</v>
      </c>
      <c r="CH484" s="182">
        <f ca="1">IF($D484&lt;&gt;"Serviço",0,IF(OR(AND(AUTOEVENTO="Manual",$M484=1),$M484&gt;(ROW(PLE.lastrow)-ROW(PLE.firstrow))),0,IF(OFFSET(PLE!$G$14,$M484,CH$13)="",10^12,OFFSET(PLE!$G$14,$M484,CH$13))))</f>
        <v>1000000000000</v>
      </c>
      <c r="CI484" s="182">
        <f ca="1">IF($D484&lt;&gt;"Serviço",0,IF(OR(AND(AUTOEVENTO="Manual",$M484=1),$M484&gt;(ROW(PLE.lastrow)-ROW(PLE.firstrow))),0,IF(OFFSET(PLE!$G$14,$M484,CI$13)="",10^12,OFFSET(PLE!$G$14,$M484,CI$13))))</f>
        <v>1000000000000</v>
      </c>
      <c r="CJ484" s="182">
        <f ca="1">IF($D484&lt;&gt;"Serviço",0,IF(OR(AND(AUTOEVENTO="Manual",$M484=1),$M484&gt;(ROW(PLE.lastrow)-ROW(PLE.firstrow))),0,IF(OFFSET(PLE!$G$14,$M484,CJ$13)="",10^12,OFFSET(PLE!$G$14,$M484,CJ$13))))</f>
        <v>1000000000000</v>
      </c>
      <c r="CK484" s="182">
        <f ca="1">IF($D484&lt;&gt;"Serviço",0,IF(OR(AND(AUTOEVENTO="Manual",$M484=1),$M484&gt;(ROW(PLE.lastrow)-ROW(PLE.firstrow))),0,IF(OFFSET(PLE!$G$14,$M484,CK$13)="",10^12,OFFSET(PLE!$G$14,$M484,CK$13))))</f>
        <v>1000000000000</v>
      </c>
      <c r="CL484" s="182">
        <f ca="1">IF($D484&lt;&gt;"Serviço",0,IF(OR(AND(AUTOEVENTO="Manual",$M484=1),$M484&gt;(ROW(PLE.lastrow)-ROW(PLE.firstrow))),0,IF(OFFSET(PLE!$G$14,$M484,CL$13)="",10^12,OFFSET(PLE!$G$14,$M484,CL$13))))</f>
        <v>1000000000000</v>
      </c>
      <c r="CM484" s="182">
        <f ca="1">IF($D484&lt;&gt;"Serviço",0,IF(OR(AND(AUTOEVENTO="Manual",$M484=1),$M484&gt;(ROW(PLE.lastrow)-ROW(PLE.firstrow))),0,IF(OFFSET(PLE!$G$14,$M484,CM$13)="",10^12,OFFSET(PLE!$G$14,$M484,CM$13))))</f>
        <v>1000000000000</v>
      </c>
    </row>
    <row r="485" spans="1:91" ht="38.25" x14ac:dyDescent="0.2">
      <c r="A485" s="7" t="str">
        <f t="shared" ca="1" si="16"/>
        <v>464</v>
      </c>
      <c r="B485" s="7" t="str">
        <f ca="1">OFFSET(ORÇAMENTO!C$15,ROW(B485)-ROW(B$15),0)</f>
        <v>S</v>
      </c>
      <c r="C485" s="7" t="str">
        <f ca="1">OFFSET(ORÇAMENTO!L$15,ROW(C485)-ROW(C$15),0)</f>
        <v/>
      </c>
      <c r="D485" s="118" t="str">
        <f ca="1">OFFSET(ORÇAMENTO!N$15,ROW(D485)-ROW(D$15),0)</f>
        <v>Serviço</v>
      </c>
      <c r="E485" s="119" t="str">
        <f ca="1">OFFSET(ORÇAMENTO!O$15,ROW(E485)-ROW(E$15),0)</f>
        <v>-</v>
      </c>
      <c r="F485" s="172" t="str">
        <f ca="1">OFFSET(ORÇAMENTO!R$15,ROW(F485)-ROW(F$15),0)</f>
        <v>(abra o arquivo 'Referência 06-2024.xlsm)</v>
      </c>
      <c r="G485" s="173" t="str">
        <f ca="1">IF($D485&lt;&gt;"Serviço","",OFFSET(ORÇAMENTO!S$15,ROW(G485)-ROW(G$15),0))</f>
        <v>-</v>
      </c>
      <c r="H485" s="124">
        <f ca="1">IF($D485&lt;&gt;"Serviço",0,IF(ACOMPANHAMENTO="BM",ROUND(OFFSET(ORÇAMENTO!AJ$15,ROW(H485)-ROW(H$15),0),15-13*ORÇAMENTO!$AF$7),SUMPRODUCT(($Q$12:$AI$12&lt;&gt;"")*ROUND($Q485:$AI485,15-13*ORÇAMENTO!$AF$7))))</f>
        <v>34</v>
      </c>
      <c r="I485" s="561" t="s">
        <v>1107</v>
      </c>
      <c r="K485" s="174"/>
      <c r="L485" s="175" t="s">
        <v>255</v>
      </c>
      <c r="M485" s="176">
        <f ca="1">IF($D485&lt;&gt;"Serviço","",IF(AUTOEVENTO="manual",$A485,IF(ISERROR(MATCH($A485,$A$15:OFFSET($A485,-1,0),0)),MAX($M$15:OFFSET(M485,-1,0))+1,INDEX($M$15:OFFSET(M485,-1,0),MATCH($A485,$A$15:OFFSET($A485,-1,0),0)))))</f>
        <v>52</v>
      </c>
      <c r="N485" s="177" t="str">
        <f ca="1">IF($D485&lt;&gt;"Serviço","",IF(AUTOEVENTO="Manual",IF($A485=0,"&lt;-- defina o número do agrupador",OFFSET(EVENTOS!$D$14,$A485,0)),OFFSET($F$15,$A485,0)))</f>
        <v>INSTALAÇÃO ELÉTRICA 110V - ACESSÓRIOS PARA ELETRODUTOS</v>
      </c>
      <c r="O485" s="178"/>
      <c r="Q485" s="178">
        <v>34</v>
      </c>
      <c r="R485" s="179"/>
      <c r="S485" s="179"/>
      <c r="T485" s="179"/>
      <c r="U485" s="179"/>
      <c r="V485" s="179"/>
      <c r="W485" s="179"/>
      <c r="X485" s="179"/>
      <c r="Y485" s="179"/>
      <c r="Z485" s="180"/>
      <c r="AA485" s="179"/>
      <c r="AB485" s="179"/>
      <c r="AC485" s="179"/>
      <c r="AD485" s="179"/>
      <c r="AE485" s="179"/>
      <c r="AF485" s="179"/>
      <c r="AG485" s="179"/>
      <c r="AH485" s="180"/>
      <c r="AJ485" s="544">
        <f ca="1">IF(AND($D485="Serviço",AJ$12&lt;&gt;0,$H485&gt;0,OR(AUTOEVENTO&lt;&gt;"manual",$M485&lt;&gt;1)),
IF(Import.TipoArredondamento&lt;&gt;"TransfereGOV",
ROUND(OFFSET($P485,0,AJ$13),15-13*ORÇAMENTO!$AF$7)/$H485*OFFSET(ORÇAMENTO!$X$15,ROW(AJ485)-ROW(AJ$15),0),
ROUND(ROUND(OFFSET($P485,0,AJ$13),15-13*ORÇAMENTO!$AF$7)*OFFSET(ORÇAMENTO!$W$15,ROW(AJ485)-ROW(AJ$15),0),15-13*ORÇAMENTO!$AF$11)),0)</f>
        <v>0</v>
      </c>
      <c r="AK485" s="545">
        <f ca="1">IF(AND($D485="Serviço",AK$12&lt;&gt;0,$H485&gt;0,OR(AUTOEVENTO&lt;&gt;"manual",$M485&lt;&gt;1)),
IF(Import.TipoArredondamento&lt;&gt;"TransfereGOV",
ROUND(OFFSET($P485,0,AK$13),15-13*ORÇAMENTO!$AF$7)/$H485*OFFSET(ORÇAMENTO!$X$15,ROW(AK485)-ROW(AK$15),0),
ROUND(ROUND(OFFSET($P485,0,AK$13),15-13*ORÇAMENTO!$AF$7)*OFFSET(ORÇAMENTO!$W$15,ROW(AK485)-ROW(AK$15),0),15-13*ORÇAMENTO!$AF$11)),0)</f>
        <v>0</v>
      </c>
      <c r="AL485" s="545">
        <f ca="1">IF(AND($D485="Serviço",AL$12&lt;&gt;0,$H485&gt;0,OR(AUTOEVENTO&lt;&gt;"manual",$M485&lt;&gt;1)),
IF(Import.TipoArredondamento&lt;&gt;"TransfereGOV",
ROUND(OFFSET($P485,0,AL$13),15-13*ORÇAMENTO!$AF$7)/$H485*OFFSET(ORÇAMENTO!$X$15,ROW(AL485)-ROW(AL$15),0),
ROUND(ROUND(OFFSET($P485,0,AL$13),15-13*ORÇAMENTO!$AF$7)*OFFSET(ORÇAMENTO!$W$15,ROW(AL485)-ROW(AL$15),0),15-13*ORÇAMENTO!$AF$11)),0)</f>
        <v>0</v>
      </c>
      <c r="AM485" s="545">
        <f ca="1">IF(AND($D485="Serviço",AM$12&lt;&gt;0,$H485&gt;0,OR(AUTOEVENTO&lt;&gt;"manual",$M485&lt;&gt;1)),
IF(Import.TipoArredondamento&lt;&gt;"TransfereGOV",
ROUND(OFFSET($P485,0,AM$13),15-13*ORÇAMENTO!$AF$7)/$H485*OFFSET(ORÇAMENTO!$X$15,ROW(AM485)-ROW(AM$15),0),
ROUND(ROUND(OFFSET($P485,0,AM$13),15-13*ORÇAMENTO!$AF$7)*OFFSET(ORÇAMENTO!$W$15,ROW(AM485)-ROW(AM$15),0),15-13*ORÇAMENTO!$AF$11)),0)</f>
        <v>0</v>
      </c>
      <c r="AN485" s="545">
        <f ca="1">IF(AND($D485="Serviço",AN$12&lt;&gt;0,$H485&gt;0,OR(AUTOEVENTO&lt;&gt;"manual",$M485&lt;&gt;1)),
IF(Import.TipoArredondamento&lt;&gt;"TransfereGOV",
ROUND(OFFSET($P485,0,AN$13),15-13*ORÇAMENTO!$AF$7)/$H485*OFFSET(ORÇAMENTO!$X$15,ROW(AN485)-ROW(AN$15),0),
ROUND(ROUND(OFFSET($P485,0,AN$13),15-13*ORÇAMENTO!$AF$7)*OFFSET(ORÇAMENTO!$W$15,ROW(AN485)-ROW(AN$15),0),15-13*ORÇAMENTO!$AF$11)),0)</f>
        <v>0</v>
      </c>
      <c r="AO485" s="545">
        <f ca="1">IF(AND($D485="Serviço",AO$12&lt;&gt;0,$H485&gt;0,OR(AUTOEVENTO&lt;&gt;"manual",$M485&lt;&gt;1)),
IF(Import.TipoArredondamento&lt;&gt;"TransfereGOV",
ROUND(OFFSET($P485,0,AO$13),15-13*ORÇAMENTO!$AF$7)/$H485*OFFSET(ORÇAMENTO!$X$15,ROW(AO485)-ROW(AO$15),0),
ROUND(ROUND(OFFSET($P485,0,AO$13),15-13*ORÇAMENTO!$AF$7)*OFFSET(ORÇAMENTO!$W$15,ROW(AO485)-ROW(AO$15),0),15-13*ORÇAMENTO!$AF$11)),0)</f>
        <v>0</v>
      </c>
      <c r="AP485" s="545">
        <f ca="1">IF(AND($D485="Serviço",AP$12&lt;&gt;0,$H485&gt;0,OR(AUTOEVENTO&lt;&gt;"manual",$M485&lt;&gt;1)),
IF(Import.TipoArredondamento&lt;&gt;"TransfereGOV",
ROUND(OFFSET($P485,0,AP$13),15-13*ORÇAMENTO!$AF$7)/$H485*OFFSET(ORÇAMENTO!$X$15,ROW(AP485)-ROW(AP$15),0),
ROUND(ROUND(OFFSET($P485,0,AP$13),15-13*ORÇAMENTO!$AF$7)*OFFSET(ORÇAMENTO!$W$15,ROW(AP485)-ROW(AP$15),0),15-13*ORÇAMENTO!$AF$11)),0)</f>
        <v>0</v>
      </c>
      <c r="AQ485" s="545">
        <f ca="1">IF(AND($D485="Serviço",AQ$12&lt;&gt;0,$H485&gt;0,OR(AUTOEVENTO&lt;&gt;"manual",$M485&lt;&gt;1)),
IF(Import.TipoArredondamento&lt;&gt;"TransfereGOV",
ROUND(OFFSET($P485,0,AQ$13),15-13*ORÇAMENTO!$AF$7)/$H485*OFFSET(ORÇAMENTO!$X$15,ROW(AQ485)-ROW(AQ$15),0),
ROUND(ROUND(OFFSET($P485,0,AQ$13),15-13*ORÇAMENTO!$AF$7)*OFFSET(ORÇAMENTO!$W$15,ROW(AQ485)-ROW(AQ$15),0),15-13*ORÇAMENTO!$AF$11)),0)</f>
        <v>0</v>
      </c>
      <c r="AR485" s="545">
        <f ca="1">IF(AND($D485="Serviço",AR$12&lt;&gt;0,$H485&gt;0,OR(AUTOEVENTO&lt;&gt;"manual",$M485&lt;&gt;1)),
IF(Import.TipoArredondamento&lt;&gt;"TransfereGOV",
ROUND(OFFSET($P485,0,AR$13),15-13*ORÇAMENTO!$AF$7)/$H485*OFFSET(ORÇAMENTO!$X$15,ROW(AR485)-ROW(AR$15),0),
ROUND(ROUND(OFFSET($P485,0,AR$13),15-13*ORÇAMENTO!$AF$7)*OFFSET(ORÇAMENTO!$W$15,ROW(AR485)-ROW(AR$15),0),15-13*ORÇAMENTO!$AF$11)),0)</f>
        <v>0</v>
      </c>
      <c r="AS485" s="546">
        <f ca="1">IF(AND($D485="Serviço",AS$12&lt;&gt;0,$H485&gt;0,OR(AUTOEVENTO&lt;&gt;"manual",$M485&lt;&gt;1)),
IF(Import.TipoArredondamento&lt;&gt;"TransfereGOV",
ROUND(OFFSET($P485,0,AS$13),15-13*ORÇAMENTO!$AF$7)/$H485*OFFSET(ORÇAMENTO!$X$15,ROW(AS485)-ROW(AS$15),0),
ROUND(ROUND(OFFSET($P485,0,AS$13),15-13*ORÇAMENTO!$AF$7)*OFFSET(ORÇAMENTO!$W$15,ROW(AS485)-ROW(AS$15),0),15-13*ORÇAMENTO!$AF$11)),0)</f>
        <v>0</v>
      </c>
      <c r="AT485" s="545">
        <f ca="1">IF(AND($D485="Serviço",AT$12&lt;&gt;0,$H485&gt;0,OR(AUTOEVENTO&lt;&gt;"manual",$M485&lt;&gt;1)),
IF(Import.TipoArredondamento&lt;&gt;"TransfereGOV",
ROUND(OFFSET($P485,0,AT$13),15-13*ORÇAMENTO!$AF$7)/$H485*OFFSET(ORÇAMENTO!$X$15,ROW(AT485)-ROW(AT$15),0),
ROUND(ROUND(OFFSET($P485,0,AT$13),15-13*ORÇAMENTO!$AF$7)*OFFSET(ORÇAMENTO!$W$15,ROW(AT485)-ROW(AT$15),0),15-13*ORÇAMENTO!$AF$11)),0)</f>
        <v>0</v>
      </c>
      <c r="AU485" s="545">
        <f ca="1">IF(AND($D485="Serviço",AU$12&lt;&gt;0,$H485&gt;0,OR(AUTOEVENTO&lt;&gt;"manual",$M485&lt;&gt;1)),
IF(Import.TipoArredondamento&lt;&gt;"TransfereGOV",
ROUND(OFFSET($P485,0,AU$13),15-13*ORÇAMENTO!$AF$7)/$H485*OFFSET(ORÇAMENTO!$X$15,ROW(AU485)-ROW(AU$15),0),
ROUND(ROUND(OFFSET($P485,0,AU$13),15-13*ORÇAMENTO!$AF$7)*OFFSET(ORÇAMENTO!$W$15,ROW(AU485)-ROW(AU$15),0),15-13*ORÇAMENTO!$AF$11)),0)</f>
        <v>0</v>
      </c>
      <c r="AV485" s="545">
        <f ca="1">IF(AND($D485="Serviço",AV$12&lt;&gt;0,$H485&gt;0,OR(AUTOEVENTO&lt;&gt;"manual",$M485&lt;&gt;1)),
IF(Import.TipoArredondamento&lt;&gt;"TransfereGOV",
ROUND(OFFSET($P485,0,AV$13),15-13*ORÇAMENTO!$AF$7)/$H485*OFFSET(ORÇAMENTO!$X$15,ROW(AV485)-ROW(AV$15),0),
ROUND(ROUND(OFFSET($P485,0,AV$13),15-13*ORÇAMENTO!$AF$7)*OFFSET(ORÇAMENTO!$W$15,ROW(AV485)-ROW(AV$15),0),15-13*ORÇAMENTO!$AF$11)),0)</f>
        <v>0</v>
      </c>
      <c r="AW485" s="545">
        <f ca="1">IF(AND($D485="Serviço",AW$12&lt;&gt;0,$H485&gt;0,OR(AUTOEVENTO&lt;&gt;"manual",$M485&lt;&gt;1)),
IF(Import.TipoArredondamento&lt;&gt;"TransfereGOV",
ROUND(OFFSET($P485,0,AW$13),15-13*ORÇAMENTO!$AF$7)/$H485*OFFSET(ORÇAMENTO!$X$15,ROW(AW485)-ROW(AW$15),0),
ROUND(ROUND(OFFSET($P485,0,AW$13),15-13*ORÇAMENTO!$AF$7)*OFFSET(ORÇAMENTO!$W$15,ROW(AW485)-ROW(AW$15),0),15-13*ORÇAMENTO!$AF$11)),0)</f>
        <v>0</v>
      </c>
      <c r="AX485" s="545">
        <f ca="1">IF(AND($D485="Serviço",AX$12&lt;&gt;0,$H485&gt;0,OR(AUTOEVENTO&lt;&gt;"manual",$M485&lt;&gt;1)),
IF(Import.TipoArredondamento&lt;&gt;"TransfereGOV",
ROUND(OFFSET($P485,0,AX$13),15-13*ORÇAMENTO!$AF$7)/$H485*OFFSET(ORÇAMENTO!$X$15,ROW(AX485)-ROW(AX$15),0),
ROUND(ROUND(OFFSET($P485,0,AX$13),15-13*ORÇAMENTO!$AF$7)*OFFSET(ORÇAMENTO!$W$15,ROW(AX485)-ROW(AX$15),0),15-13*ORÇAMENTO!$AF$11)),0)</f>
        <v>0</v>
      </c>
      <c r="AY485" s="545">
        <f ca="1">IF(AND($D485="Serviço",AY$12&lt;&gt;0,$H485&gt;0,OR(AUTOEVENTO&lt;&gt;"manual",$M485&lt;&gt;1)),
IF(Import.TipoArredondamento&lt;&gt;"TransfereGOV",
ROUND(OFFSET($P485,0,AY$13),15-13*ORÇAMENTO!$AF$7)/$H485*OFFSET(ORÇAMENTO!$X$15,ROW(AY485)-ROW(AY$15),0),
ROUND(ROUND(OFFSET($P485,0,AY$13),15-13*ORÇAMENTO!$AF$7)*OFFSET(ORÇAMENTO!$W$15,ROW(AY485)-ROW(AY$15),0),15-13*ORÇAMENTO!$AF$11)),0)</f>
        <v>0</v>
      </c>
      <c r="AZ485" s="545">
        <f ca="1">IF(AND($D485="Serviço",AZ$12&lt;&gt;0,$H485&gt;0,OR(AUTOEVENTO&lt;&gt;"manual",$M485&lt;&gt;1)),
IF(Import.TipoArredondamento&lt;&gt;"TransfereGOV",
ROUND(OFFSET($P485,0,AZ$13),15-13*ORÇAMENTO!$AF$7)/$H485*OFFSET(ORÇAMENTO!$X$15,ROW(AZ485)-ROW(AZ$15),0),
ROUND(ROUND(OFFSET($P485,0,AZ$13),15-13*ORÇAMENTO!$AF$7)*OFFSET(ORÇAMENTO!$W$15,ROW(AZ485)-ROW(AZ$15),0),15-13*ORÇAMENTO!$AF$11)),0)</f>
        <v>0</v>
      </c>
      <c r="BA485" s="546">
        <f ca="1">IF(AND($D485="Serviço",BA$12&lt;&gt;0,$H485&gt;0,OR(AUTOEVENTO&lt;&gt;"manual",$M485&lt;&gt;1)),
IF(Import.TipoArredondamento&lt;&gt;"TransfereGOV",
ROUND(OFFSET($P485,0,BA$13),15-13*ORÇAMENTO!$AF$7)/$H485*OFFSET(ORÇAMENTO!$X$15,ROW(BA485)-ROW(BA$15),0),
ROUND(ROUND(OFFSET($P485,0,BA$13),15-13*ORÇAMENTO!$AF$7)*OFFSET(ORÇAMENTO!$W$15,ROW(BA485)-ROW(BA$15),0),15-13*ORÇAMENTO!$AF$11)),0)</f>
        <v>0</v>
      </c>
      <c r="BC485" s="181">
        <f ca="1">IF($D485&lt;&gt;"Serviço",0,IF(AND(AUTOEVENTO="Manual",$M485=1),0,IF(OFFSET(CRONOPLE!$F$14,$M485,BC$13)="",10^12,OFFSET(CRONOPLE!$F$14,$M485,BC$13))))</f>
        <v>10</v>
      </c>
      <c r="BD485" s="181">
        <f ca="1">IF($D485&lt;&gt;"Serviço",0,IF(AND(AUTOEVENTO="Manual",$M485=1),0,IF(OFFSET(CRONOPLE!$F$14,$M485,BD$13)="",10^12,OFFSET(CRONOPLE!$F$14,$M485,BD$13))))</f>
        <v>1000000000000</v>
      </c>
      <c r="BE485" s="181">
        <f ca="1">IF($D485&lt;&gt;"Serviço",0,IF(AND(AUTOEVENTO="Manual",$M485=1),0,IF(OFFSET(CRONOPLE!$F$14,$M485,BE$13)="",10^12,OFFSET(CRONOPLE!$F$14,$M485,BE$13))))</f>
        <v>1000000000000</v>
      </c>
      <c r="BF485" s="181">
        <f ca="1">IF($D485&lt;&gt;"Serviço",0,IF(AND(AUTOEVENTO="Manual",$M485=1),0,IF(OFFSET(CRONOPLE!$F$14,$M485,BF$13)="",10^12,OFFSET(CRONOPLE!$F$14,$M485,BF$13))))</f>
        <v>1000000000000</v>
      </c>
      <c r="BG485" s="181">
        <f ca="1">IF($D485&lt;&gt;"Serviço",0,IF(AND(AUTOEVENTO="Manual",$M485=1),0,IF(OFFSET(CRONOPLE!$F$14,$M485,BG$13)="",10^12,OFFSET(CRONOPLE!$F$14,$M485,BG$13))))</f>
        <v>1000000000000</v>
      </c>
      <c r="BH485" s="181">
        <f ca="1">IF($D485&lt;&gt;"Serviço",0,IF(AND(AUTOEVENTO="Manual",$M485=1),0,IF(OFFSET(CRONOPLE!$F$14,$M485,BH$13)="",10^12,OFFSET(CRONOPLE!$F$14,$M485,BH$13))))</f>
        <v>1000000000000</v>
      </c>
      <c r="BI485" s="181">
        <f ca="1">IF($D485&lt;&gt;"Serviço",0,IF(AND(AUTOEVENTO="Manual",$M485=1),0,IF(OFFSET(CRONOPLE!$F$14,$M485,BI$13)="",10^12,OFFSET(CRONOPLE!$F$14,$M485,BI$13))))</f>
        <v>1000000000000</v>
      </c>
      <c r="BJ485" s="181">
        <f ca="1">IF($D485&lt;&gt;"Serviço",0,IF(AND(AUTOEVENTO="Manual",$M485=1),0,IF(OFFSET(CRONOPLE!$F$14,$M485,BJ$13)="",10^12,OFFSET(CRONOPLE!$F$14,$M485,BJ$13))))</f>
        <v>1000000000000</v>
      </c>
      <c r="BK485" s="181">
        <f ca="1">IF($D485&lt;&gt;"Serviço",0,IF(AND(AUTOEVENTO="Manual",$M485=1),0,IF(OFFSET(CRONOPLE!$F$14,$M485,BK$13)="",10^12,OFFSET(CRONOPLE!$F$14,$M485,BK$13))))</f>
        <v>1000000000000</v>
      </c>
      <c r="BL485" s="181">
        <f ca="1">IF($D485&lt;&gt;"Serviço",0,IF(AND(AUTOEVENTO="Manual",$M485=1),0,IF(OFFSET(CRONOPLE!$F$14,$M485,BL$13)="",10^12,OFFSET(CRONOPLE!$F$14,$M485,BL$13))))</f>
        <v>1000000000000</v>
      </c>
      <c r="BM485" s="181">
        <f ca="1">IF($D485&lt;&gt;"Serviço",0,IF(AND(AUTOEVENTO="Manual",$M485=1),0,IF(OFFSET(CRONOPLE!$F$14,$M485,BM$13)="",10^12,OFFSET(CRONOPLE!$F$14,$M485,BM$13))))</f>
        <v>1000000000000</v>
      </c>
      <c r="BN485" s="181">
        <f ca="1">IF($D485&lt;&gt;"Serviço",0,IF(AND(AUTOEVENTO="Manual",$M485=1),0,IF(OFFSET(CRONOPLE!$F$14,$M485,BN$13)="",10^12,OFFSET(CRONOPLE!$F$14,$M485,BN$13))))</f>
        <v>1000000000000</v>
      </c>
      <c r="BO485" s="181">
        <f ca="1">IF($D485&lt;&gt;"Serviço",0,IF(AND(AUTOEVENTO="Manual",$M485=1),0,IF(OFFSET(CRONOPLE!$F$14,$M485,BO$13)="",10^12,OFFSET(CRONOPLE!$F$14,$M485,BO$13))))</f>
        <v>1000000000000</v>
      </c>
      <c r="BP485" s="181">
        <f ca="1">IF($D485&lt;&gt;"Serviço",0,IF(AND(AUTOEVENTO="Manual",$M485=1),0,IF(OFFSET(CRONOPLE!$F$14,$M485,BP$13)="",10^12,OFFSET(CRONOPLE!$F$14,$M485,BP$13))))</f>
        <v>1000000000000</v>
      </c>
      <c r="BQ485" s="181">
        <f ca="1">IF($D485&lt;&gt;"Serviço",0,IF(AND(AUTOEVENTO="Manual",$M485=1),0,IF(OFFSET(CRONOPLE!$F$14,$M485,BQ$13)="",10^12,OFFSET(CRONOPLE!$F$14,$M485,BQ$13))))</f>
        <v>1000000000000</v>
      </c>
      <c r="BR485" s="181">
        <f ca="1">IF($D485&lt;&gt;"Serviço",0,IF(AND(AUTOEVENTO="Manual",$M485=1),0,IF(OFFSET(CRONOPLE!$F$14,$M485,BR$13)="",10^12,OFFSET(CRONOPLE!$F$14,$M485,BR$13))))</f>
        <v>1000000000000</v>
      </c>
      <c r="BS485" s="181">
        <f ca="1">IF($D485&lt;&gt;"Serviço",0,IF(AND(AUTOEVENTO="Manual",$M485=1),0,IF(OFFSET(CRONOPLE!$F$14,$M485,BS$13)="",10^12,OFFSET(CRONOPLE!$F$14,$M485,BS$13))))</f>
        <v>1000000000000</v>
      </c>
      <c r="BT485" s="181">
        <f ca="1">IF($D485&lt;&gt;"Serviço",0,IF(AND(AUTOEVENTO="Manual",$M485=1),0,IF(OFFSET(CRONOPLE!$F$14,$M485,BT$13)="",10^12,OFFSET(CRONOPLE!$F$14,$M485,BT$13))))</f>
        <v>1000000000000</v>
      </c>
      <c r="BV485" s="182">
        <f ca="1">IF($D485&lt;&gt;"Serviço",0,IF(OR(AND(AUTOEVENTO="Manual",$M485=1),$M485&gt;(ROW(PLE.lastrow)-ROW(PLE.firstrow))),0,IF(OFFSET(PLE!$G$14,$M485,BV$13)="",10^12,OFFSET(PLE!$G$14,$M485,BV$13))))</f>
        <v>1000000000000</v>
      </c>
      <c r="BW485" s="182">
        <f ca="1">IF($D485&lt;&gt;"Serviço",0,IF(OR(AND(AUTOEVENTO="Manual",$M485=1),$M485&gt;(ROW(PLE.lastrow)-ROW(PLE.firstrow))),0,IF(OFFSET(PLE!$G$14,$M485,BW$13)="",10^12,OFFSET(PLE!$G$14,$M485,BW$13))))</f>
        <v>1000000000000</v>
      </c>
      <c r="BX485" s="182">
        <f ca="1">IF($D485&lt;&gt;"Serviço",0,IF(OR(AND(AUTOEVENTO="Manual",$M485=1),$M485&gt;(ROW(PLE.lastrow)-ROW(PLE.firstrow))),0,IF(OFFSET(PLE!$G$14,$M485,BX$13)="",10^12,OFFSET(PLE!$G$14,$M485,BX$13))))</f>
        <v>1000000000000</v>
      </c>
      <c r="BY485" s="182">
        <f ca="1">IF($D485&lt;&gt;"Serviço",0,IF(OR(AND(AUTOEVENTO="Manual",$M485=1),$M485&gt;(ROW(PLE.lastrow)-ROW(PLE.firstrow))),0,IF(OFFSET(PLE!$G$14,$M485,BY$13)="",10^12,OFFSET(PLE!$G$14,$M485,BY$13))))</f>
        <v>1000000000000</v>
      </c>
      <c r="BZ485" s="182">
        <f ca="1">IF($D485&lt;&gt;"Serviço",0,IF(OR(AND(AUTOEVENTO="Manual",$M485=1),$M485&gt;(ROW(PLE.lastrow)-ROW(PLE.firstrow))),0,IF(OFFSET(PLE!$G$14,$M485,BZ$13)="",10^12,OFFSET(PLE!$G$14,$M485,BZ$13))))</f>
        <v>1000000000000</v>
      </c>
      <c r="CA485" s="182">
        <f ca="1">IF($D485&lt;&gt;"Serviço",0,IF(OR(AND(AUTOEVENTO="Manual",$M485=1),$M485&gt;(ROW(PLE.lastrow)-ROW(PLE.firstrow))),0,IF(OFFSET(PLE!$G$14,$M485,CA$13)="",10^12,OFFSET(PLE!$G$14,$M485,CA$13))))</f>
        <v>1000000000000</v>
      </c>
      <c r="CB485" s="182">
        <f ca="1">IF($D485&lt;&gt;"Serviço",0,IF(OR(AND(AUTOEVENTO="Manual",$M485=1),$M485&gt;(ROW(PLE.lastrow)-ROW(PLE.firstrow))),0,IF(OFFSET(PLE!$G$14,$M485,CB$13)="",10^12,OFFSET(PLE!$G$14,$M485,CB$13))))</f>
        <v>1000000000000</v>
      </c>
      <c r="CC485" s="182">
        <f ca="1">IF($D485&lt;&gt;"Serviço",0,IF(OR(AND(AUTOEVENTO="Manual",$M485=1),$M485&gt;(ROW(PLE.lastrow)-ROW(PLE.firstrow))),0,IF(OFFSET(PLE!$G$14,$M485,CC$13)="",10^12,OFFSET(PLE!$G$14,$M485,CC$13))))</f>
        <v>1000000000000</v>
      </c>
      <c r="CD485" s="182">
        <f ca="1">IF($D485&lt;&gt;"Serviço",0,IF(OR(AND(AUTOEVENTO="Manual",$M485=1),$M485&gt;(ROW(PLE.lastrow)-ROW(PLE.firstrow))),0,IF(OFFSET(PLE!$G$14,$M485,CD$13)="",10^12,OFFSET(PLE!$G$14,$M485,CD$13))))</f>
        <v>1000000000000</v>
      </c>
      <c r="CE485" s="182">
        <f ca="1">IF($D485&lt;&gt;"Serviço",0,IF(OR(AND(AUTOEVENTO="Manual",$M485=1),$M485&gt;(ROW(PLE.lastrow)-ROW(PLE.firstrow))),0,IF(OFFSET(PLE!$G$14,$M485,CE$13)="",10^12,OFFSET(PLE!$G$14,$M485,CE$13))))</f>
        <v>1000000000000</v>
      </c>
      <c r="CF485" s="182">
        <f ca="1">IF($D485&lt;&gt;"Serviço",0,IF(OR(AND(AUTOEVENTO="Manual",$M485=1),$M485&gt;(ROW(PLE.lastrow)-ROW(PLE.firstrow))),0,IF(OFFSET(PLE!$G$14,$M485,CF$13)="",10^12,OFFSET(PLE!$G$14,$M485,CF$13))))</f>
        <v>1000000000000</v>
      </c>
      <c r="CG485" s="182">
        <f ca="1">IF($D485&lt;&gt;"Serviço",0,IF(OR(AND(AUTOEVENTO="Manual",$M485=1),$M485&gt;(ROW(PLE.lastrow)-ROW(PLE.firstrow))),0,IF(OFFSET(PLE!$G$14,$M485,CG$13)="",10^12,OFFSET(PLE!$G$14,$M485,CG$13))))</f>
        <v>1000000000000</v>
      </c>
      <c r="CH485" s="182">
        <f ca="1">IF($D485&lt;&gt;"Serviço",0,IF(OR(AND(AUTOEVENTO="Manual",$M485=1),$M485&gt;(ROW(PLE.lastrow)-ROW(PLE.firstrow))),0,IF(OFFSET(PLE!$G$14,$M485,CH$13)="",10^12,OFFSET(PLE!$G$14,$M485,CH$13))))</f>
        <v>1000000000000</v>
      </c>
      <c r="CI485" s="182">
        <f ca="1">IF($D485&lt;&gt;"Serviço",0,IF(OR(AND(AUTOEVENTO="Manual",$M485=1),$M485&gt;(ROW(PLE.lastrow)-ROW(PLE.firstrow))),0,IF(OFFSET(PLE!$G$14,$M485,CI$13)="",10^12,OFFSET(PLE!$G$14,$M485,CI$13))))</f>
        <v>1000000000000</v>
      </c>
      <c r="CJ485" s="182">
        <f ca="1">IF($D485&lt;&gt;"Serviço",0,IF(OR(AND(AUTOEVENTO="Manual",$M485=1),$M485&gt;(ROW(PLE.lastrow)-ROW(PLE.firstrow))),0,IF(OFFSET(PLE!$G$14,$M485,CJ$13)="",10^12,OFFSET(PLE!$G$14,$M485,CJ$13))))</f>
        <v>1000000000000</v>
      </c>
      <c r="CK485" s="182">
        <f ca="1">IF($D485&lt;&gt;"Serviço",0,IF(OR(AND(AUTOEVENTO="Manual",$M485=1),$M485&gt;(ROW(PLE.lastrow)-ROW(PLE.firstrow))),0,IF(OFFSET(PLE!$G$14,$M485,CK$13)="",10^12,OFFSET(PLE!$G$14,$M485,CK$13))))</f>
        <v>1000000000000</v>
      </c>
      <c r="CL485" s="182">
        <f ca="1">IF($D485&lt;&gt;"Serviço",0,IF(OR(AND(AUTOEVENTO="Manual",$M485=1),$M485&gt;(ROW(PLE.lastrow)-ROW(PLE.firstrow))),0,IF(OFFSET(PLE!$G$14,$M485,CL$13)="",10^12,OFFSET(PLE!$G$14,$M485,CL$13))))</f>
        <v>1000000000000</v>
      </c>
      <c r="CM485" s="182">
        <f ca="1">IF($D485&lt;&gt;"Serviço",0,IF(OR(AND(AUTOEVENTO="Manual",$M485=1),$M485&gt;(ROW(PLE.lastrow)-ROW(PLE.firstrow))),0,IF(OFFSET(PLE!$G$14,$M485,CM$13)="",10^12,OFFSET(PLE!$G$14,$M485,CM$13))))</f>
        <v>1000000000000</v>
      </c>
    </row>
    <row r="486" spans="1:91" ht="38.25" x14ac:dyDescent="0.2">
      <c r="A486" s="7" t="str">
        <f t="shared" ca="1" si="16"/>
        <v>464</v>
      </c>
      <c r="B486" s="7" t="str">
        <f ca="1">OFFSET(ORÇAMENTO!C$15,ROW(B486)-ROW(B$15),0)</f>
        <v>S</v>
      </c>
      <c r="C486" s="7" t="str">
        <f ca="1">OFFSET(ORÇAMENTO!L$15,ROW(C486)-ROW(C$15),0)</f>
        <v/>
      </c>
      <c r="D486" s="118" t="str">
        <f ca="1">OFFSET(ORÇAMENTO!N$15,ROW(D486)-ROW(D$15),0)</f>
        <v>Serviço</v>
      </c>
      <c r="E486" s="119" t="str">
        <f ca="1">OFFSET(ORÇAMENTO!O$15,ROW(E486)-ROW(E$15),0)</f>
        <v>-</v>
      </c>
      <c r="F486" s="172" t="str">
        <f ca="1">OFFSET(ORÇAMENTO!R$15,ROW(F486)-ROW(F$15),0)</f>
        <v>(abra o arquivo 'Referência 06-2024.xlsm)</v>
      </c>
      <c r="G486" s="173" t="str">
        <f ca="1">IF($D486&lt;&gt;"Serviço","",OFFSET(ORÇAMENTO!S$15,ROW(G486)-ROW(G$15),0))</f>
        <v>-</v>
      </c>
      <c r="H486" s="124">
        <f ca="1">IF($D486&lt;&gt;"Serviço",0,IF(ACOMPANHAMENTO="BM",ROUND(OFFSET(ORÇAMENTO!AJ$15,ROW(H486)-ROW(H$15),0),15-13*ORÇAMENTO!$AF$7),SUMPRODUCT(($Q$12:$AI$12&lt;&gt;"")*ROUND($Q486:$AI486,15-13*ORÇAMENTO!$AF$7))))</f>
        <v>1</v>
      </c>
      <c r="I486" s="561" t="s">
        <v>1107</v>
      </c>
      <c r="K486" s="174"/>
      <c r="L486" s="175" t="s">
        <v>255</v>
      </c>
      <c r="M486" s="176">
        <f ca="1">IF($D486&lt;&gt;"Serviço","",IF(AUTOEVENTO="manual",$A486,IF(ISERROR(MATCH($A486,$A$15:OFFSET($A486,-1,0),0)),MAX($M$15:OFFSET(M486,-1,0))+1,INDEX($M$15:OFFSET(M486,-1,0),MATCH($A486,$A$15:OFFSET($A486,-1,0),0)))))</f>
        <v>52</v>
      </c>
      <c r="N486" s="177" t="str">
        <f ca="1">IF($D486&lt;&gt;"Serviço","",IF(AUTOEVENTO="Manual",IF($A486=0,"&lt;-- defina o número do agrupador",OFFSET(EVENTOS!$D$14,$A486,0)),OFFSET($F$15,$A486,0)))</f>
        <v>INSTALAÇÃO ELÉTRICA 110V - ACESSÓRIOS PARA ELETRODUTOS</v>
      </c>
      <c r="O486" s="178"/>
      <c r="Q486" s="178">
        <v>1</v>
      </c>
      <c r="R486" s="179"/>
      <c r="S486" s="179"/>
      <c r="T486" s="179"/>
      <c r="U486" s="179"/>
      <c r="V486" s="179"/>
      <c r="W486" s="179"/>
      <c r="X486" s="179"/>
      <c r="Y486" s="179"/>
      <c r="Z486" s="180"/>
      <c r="AA486" s="179"/>
      <c r="AB486" s="179"/>
      <c r="AC486" s="179"/>
      <c r="AD486" s="179"/>
      <c r="AE486" s="179"/>
      <c r="AF486" s="179"/>
      <c r="AG486" s="179"/>
      <c r="AH486" s="180"/>
      <c r="AJ486" s="544">
        <f ca="1">IF(AND($D486="Serviço",AJ$12&lt;&gt;0,$H486&gt;0,OR(AUTOEVENTO&lt;&gt;"manual",$M486&lt;&gt;1)),
IF(Import.TipoArredondamento&lt;&gt;"TransfereGOV",
ROUND(OFFSET($P486,0,AJ$13),15-13*ORÇAMENTO!$AF$7)/$H486*OFFSET(ORÇAMENTO!$X$15,ROW(AJ486)-ROW(AJ$15),0),
ROUND(ROUND(OFFSET($P486,0,AJ$13),15-13*ORÇAMENTO!$AF$7)*OFFSET(ORÇAMENTO!$W$15,ROW(AJ486)-ROW(AJ$15),0),15-13*ORÇAMENTO!$AF$11)),0)</f>
        <v>0</v>
      </c>
      <c r="AK486" s="545">
        <f ca="1">IF(AND($D486="Serviço",AK$12&lt;&gt;0,$H486&gt;0,OR(AUTOEVENTO&lt;&gt;"manual",$M486&lt;&gt;1)),
IF(Import.TipoArredondamento&lt;&gt;"TransfereGOV",
ROUND(OFFSET($P486,0,AK$13),15-13*ORÇAMENTO!$AF$7)/$H486*OFFSET(ORÇAMENTO!$X$15,ROW(AK486)-ROW(AK$15),0),
ROUND(ROUND(OFFSET($P486,0,AK$13),15-13*ORÇAMENTO!$AF$7)*OFFSET(ORÇAMENTO!$W$15,ROW(AK486)-ROW(AK$15),0),15-13*ORÇAMENTO!$AF$11)),0)</f>
        <v>0</v>
      </c>
      <c r="AL486" s="545">
        <f ca="1">IF(AND($D486="Serviço",AL$12&lt;&gt;0,$H486&gt;0,OR(AUTOEVENTO&lt;&gt;"manual",$M486&lt;&gt;1)),
IF(Import.TipoArredondamento&lt;&gt;"TransfereGOV",
ROUND(OFFSET($P486,0,AL$13),15-13*ORÇAMENTO!$AF$7)/$H486*OFFSET(ORÇAMENTO!$X$15,ROW(AL486)-ROW(AL$15),0),
ROUND(ROUND(OFFSET($P486,0,AL$13),15-13*ORÇAMENTO!$AF$7)*OFFSET(ORÇAMENTO!$W$15,ROW(AL486)-ROW(AL$15),0),15-13*ORÇAMENTO!$AF$11)),0)</f>
        <v>0</v>
      </c>
      <c r="AM486" s="545">
        <f ca="1">IF(AND($D486="Serviço",AM$12&lt;&gt;0,$H486&gt;0,OR(AUTOEVENTO&lt;&gt;"manual",$M486&lt;&gt;1)),
IF(Import.TipoArredondamento&lt;&gt;"TransfereGOV",
ROUND(OFFSET($P486,0,AM$13),15-13*ORÇAMENTO!$AF$7)/$H486*OFFSET(ORÇAMENTO!$X$15,ROW(AM486)-ROW(AM$15),0),
ROUND(ROUND(OFFSET($P486,0,AM$13),15-13*ORÇAMENTO!$AF$7)*OFFSET(ORÇAMENTO!$W$15,ROW(AM486)-ROW(AM$15),0),15-13*ORÇAMENTO!$AF$11)),0)</f>
        <v>0</v>
      </c>
      <c r="AN486" s="545">
        <f ca="1">IF(AND($D486="Serviço",AN$12&lt;&gt;0,$H486&gt;0,OR(AUTOEVENTO&lt;&gt;"manual",$M486&lt;&gt;1)),
IF(Import.TipoArredondamento&lt;&gt;"TransfereGOV",
ROUND(OFFSET($P486,0,AN$13),15-13*ORÇAMENTO!$AF$7)/$H486*OFFSET(ORÇAMENTO!$X$15,ROW(AN486)-ROW(AN$15),0),
ROUND(ROUND(OFFSET($P486,0,AN$13),15-13*ORÇAMENTO!$AF$7)*OFFSET(ORÇAMENTO!$W$15,ROW(AN486)-ROW(AN$15),0),15-13*ORÇAMENTO!$AF$11)),0)</f>
        <v>0</v>
      </c>
      <c r="AO486" s="545">
        <f ca="1">IF(AND($D486="Serviço",AO$12&lt;&gt;0,$H486&gt;0,OR(AUTOEVENTO&lt;&gt;"manual",$M486&lt;&gt;1)),
IF(Import.TipoArredondamento&lt;&gt;"TransfereGOV",
ROUND(OFFSET($P486,0,AO$13),15-13*ORÇAMENTO!$AF$7)/$H486*OFFSET(ORÇAMENTO!$X$15,ROW(AO486)-ROW(AO$15),0),
ROUND(ROUND(OFFSET($P486,0,AO$13),15-13*ORÇAMENTO!$AF$7)*OFFSET(ORÇAMENTO!$W$15,ROW(AO486)-ROW(AO$15),0),15-13*ORÇAMENTO!$AF$11)),0)</f>
        <v>0</v>
      </c>
      <c r="AP486" s="545">
        <f ca="1">IF(AND($D486="Serviço",AP$12&lt;&gt;0,$H486&gt;0,OR(AUTOEVENTO&lt;&gt;"manual",$M486&lt;&gt;1)),
IF(Import.TipoArredondamento&lt;&gt;"TransfereGOV",
ROUND(OFFSET($P486,0,AP$13),15-13*ORÇAMENTO!$AF$7)/$H486*OFFSET(ORÇAMENTO!$X$15,ROW(AP486)-ROW(AP$15),0),
ROUND(ROUND(OFFSET($P486,0,AP$13),15-13*ORÇAMENTO!$AF$7)*OFFSET(ORÇAMENTO!$W$15,ROW(AP486)-ROW(AP$15),0),15-13*ORÇAMENTO!$AF$11)),0)</f>
        <v>0</v>
      </c>
      <c r="AQ486" s="545">
        <f ca="1">IF(AND($D486="Serviço",AQ$12&lt;&gt;0,$H486&gt;0,OR(AUTOEVENTO&lt;&gt;"manual",$M486&lt;&gt;1)),
IF(Import.TipoArredondamento&lt;&gt;"TransfereGOV",
ROUND(OFFSET($P486,0,AQ$13),15-13*ORÇAMENTO!$AF$7)/$H486*OFFSET(ORÇAMENTO!$X$15,ROW(AQ486)-ROW(AQ$15),0),
ROUND(ROUND(OFFSET($P486,0,AQ$13),15-13*ORÇAMENTO!$AF$7)*OFFSET(ORÇAMENTO!$W$15,ROW(AQ486)-ROW(AQ$15),0),15-13*ORÇAMENTO!$AF$11)),0)</f>
        <v>0</v>
      </c>
      <c r="AR486" s="545">
        <f ca="1">IF(AND($D486="Serviço",AR$12&lt;&gt;0,$H486&gt;0,OR(AUTOEVENTO&lt;&gt;"manual",$M486&lt;&gt;1)),
IF(Import.TipoArredondamento&lt;&gt;"TransfereGOV",
ROUND(OFFSET($P486,0,AR$13),15-13*ORÇAMENTO!$AF$7)/$H486*OFFSET(ORÇAMENTO!$X$15,ROW(AR486)-ROW(AR$15),0),
ROUND(ROUND(OFFSET($P486,0,AR$13),15-13*ORÇAMENTO!$AF$7)*OFFSET(ORÇAMENTO!$W$15,ROW(AR486)-ROW(AR$15),0),15-13*ORÇAMENTO!$AF$11)),0)</f>
        <v>0</v>
      </c>
      <c r="AS486" s="546">
        <f ca="1">IF(AND($D486="Serviço",AS$12&lt;&gt;0,$H486&gt;0,OR(AUTOEVENTO&lt;&gt;"manual",$M486&lt;&gt;1)),
IF(Import.TipoArredondamento&lt;&gt;"TransfereGOV",
ROUND(OFFSET($P486,0,AS$13),15-13*ORÇAMENTO!$AF$7)/$H486*OFFSET(ORÇAMENTO!$X$15,ROW(AS486)-ROW(AS$15),0),
ROUND(ROUND(OFFSET($P486,0,AS$13),15-13*ORÇAMENTO!$AF$7)*OFFSET(ORÇAMENTO!$W$15,ROW(AS486)-ROW(AS$15),0),15-13*ORÇAMENTO!$AF$11)),0)</f>
        <v>0</v>
      </c>
      <c r="AT486" s="545">
        <f ca="1">IF(AND($D486="Serviço",AT$12&lt;&gt;0,$H486&gt;0,OR(AUTOEVENTO&lt;&gt;"manual",$M486&lt;&gt;1)),
IF(Import.TipoArredondamento&lt;&gt;"TransfereGOV",
ROUND(OFFSET($P486,0,AT$13),15-13*ORÇAMENTO!$AF$7)/$H486*OFFSET(ORÇAMENTO!$X$15,ROW(AT486)-ROW(AT$15),0),
ROUND(ROUND(OFFSET($P486,0,AT$13),15-13*ORÇAMENTO!$AF$7)*OFFSET(ORÇAMENTO!$W$15,ROW(AT486)-ROW(AT$15),0),15-13*ORÇAMENTO!$AF$11)),0)</f>
        <v>0</v>
      </c>
      <c r="AU486" s="545">
        <f ca="1">IF(AND($D486="Serviço",AU$12&lt;&gt;0,$H486&gt;0,OR(AUTOEVENTO&lt;&gt;"manual",$M486&lt;&gt;1)),
IF(Import.TipoArredondamento&lt;&gt;"TransfereGOV",
ROUND(OFFSET($P486,0,AU$13),15-13*ORÇAMENTO!$AF$7)/$H486*OFFSET(ORÇAMENTO!$X$15,ROW(AU486)-ROW(AU$15),0),
ROUND(ROUND(OFFSET($P486,0,AU$13),15-13*ORÇAMENTO!$AF$7)*OFFSET(ORÇAMENTO!$W$15,ROW(AU486)-ROW(AU$15),0),15-13*ORÇAMENTO!$AF$11)),0)</f>
        <v>0</v>
      </c>
      <c r="AV486" s="545">
        <f ca="1">IF(AND($D486="Serviço",AV$12&lt;&gt;0,$H486&gt;0,OR(AUTOEVENTO&lt;&gt;"manual",$M486&lt;&gt;1)),
IF(Import.TipoArredondamento&lt;&gt;"TransfereGOV",
ROUND(OFFSET($P486,0,AV$13),15-13*ORÇAMENTO!$AF$7)/$H486*OFFSET(ORÇAMENTO!$X$15,ROW(AV486)-ROW(AV$15),0),
ROUND(ROUND(OFFSET($P486,0,AV$13),15-13*ORÇAMENTO!$AF$7)*OFFSET(ORÇAMENTO!$W$15,ROW(AV486)-ROW(AV$15),0),15-13*ORÇAMENTO!$AF$11)),0)</f>
        <v>0</v>
      </c>
      <c r="AW486" s="545">
        <f ca="1">IF(AND($D486="Serviço",AW$12&lt;&gt;0,$H486&gt;0,OR(AUTOEVENTO&lt;&gt;"manual",$M486&lt;&gt;1)),
IF(Import.TipoArredondamento&lt;&gt;"TransfereGOV",
ROUND(OFFSET($P486,0,AW$13),15-13*ORÇAMENTO!$AF$7)/$H486*OFFSET(ORÇAMENTO!$X$15,ROW(AW486)-ROW(AW$15),0),
ROUND(ROUND(OFFSET($P486,0,AW$13),15-13*ORÇAMENTO!$AF$7)*OFFSET(ORÇAMENTO!$W$15,ROW(AW486)-ROW(AW$15),0),15-13*ORÇAMENTO!$AF$11)),0)</f>
        <v>0</v>
      </c>
      <c r="AX486" s="545">
        <f ca="1">IF(AND($D486="Serviço",AX$12&lt;&gt;0,$H486&gt;0,OR(AUTOEVENTO&lt;&gt;"manual",$M486&lt;&gt;1)),
IF(Import.TipoArredondamento&lt;&gt;"TransfereGOV",
ROUND(OFFSET($P486,0,AX$13),15-13*ORÇAMENTO!$AF$7)/$H486*OFFSET(ORÇAMENTO!$X$15,ROW(AX486)-ROW(AX$15),0),
ROUND(ROUND(OFFSET($P486,0,AX$13),15-13*ORÇAMENTO!$AF$7)*OFFSET(ORÇAMENTO!$W$15,ROW(AX486)-ROW(AX$15),0),15-13*ORÇAMENTO!$AF$11)),0)</f>
        <v>0</v>
      </c>
      <c r="AY486" s="545">
        <f ca="1">IF(AND($D486="Serviço",AY$12&lt;&gt;0,$H486&gt;0,OR(AUTOEVENTO&lt;&gt;"manual",$M486&lt;&gt;1)),
IF(Import.TipoArredondamento&lt;&gt;"TransfereGOV",
ROUND(OFFSET($P486,0,AY$13),15-13*ORÇAMENTO!$AF$7)/$H486*OFFSET(ORÇAMENTO!$X$15,ROW(AY486)-ROW(AY$15),0),
ROUND(ROUND(OFFSET($P486,0,AY$13),15-13*ORÇAMENTO!$AF$7)*OFFSET(ORÇAMENTO!$W$15,ROW(AY486)-ROW(AY$15),0),15-13*ORÇAMENTO!$AF$11)),0)</f>
        <v>0</v>
      </c>
      <c r="AZ486" s="545">
        <f ca="1">IF(AND($D486="Serviço",AZ$12&lt;&gt;0,$H486&gt;0,OR(AUTOEVENTO&lt;&gt;"manual",$M486&lt;&gt;1)),
IF(Import.TipoArredondamento&lt;&gt;"TransfereGOV",
ROUND(OFFSET($P486,0,AZ$13),15-13*ORÇAMENTO!$AF$7)/$H486*OFFSET(ORÇAMENTO!$X$15,ROW(AZ486)-ROW(AZ$15),0),
ROUND(ROUND(OFFSET($P486,0,AZ$13),15-13*ORÇAMENTO!$AF$7)*OFFSET(ORÇAMENTO!$W$15,ROW(AZ486)-ROW(AZ$15),0),15-13*ORÇAMENTO!$AF$11)),0)</f>
        <v>0</v>
      </c>
      <c r="BA486" s="546">
        <f ca="1">IF(AND($D486="Serviço",BA$12&lt;&gt;0,$H486&gt;0,OR(AUTOEVENTO&lt;&gt;"manual",$M486&lt;&gt;1)),
IF(Import.TipoArredondamento&lt;&gt;"TransfereGOV",
ROUND(OFFSET($P486,0,BA$13),15-13*ORÇAMENTO!$AF$7)/$H486*OFFSET(ORÇAMENTO!$X$15,ROW(BA486)-ROW(BA$15),0),
ROUND(ROUND(OFFSET($P486,0,BA$13),15-13*ORÇAMENTO!$AF$7)*OFFSET(ORÇAMENTO!$W$15,ROW(BA486)-ROW(BA$15),0),15-13*ORÇAMENTO!$AF$11)),0)</f>
        <v>0</v>
      </c>
      <c r="BC486" s="181">
        <f ca="1">IF($D486&lt;&gt;"Serviço",0,IF(AND(AUTOEVENTO="Manual",$M486=1),0,IF(OFFSET(CRONOPLE!$F$14,$M486,BC$13)="",10^12,OFFSET(CRONOPLE!$F$14,$M486,BC$13))))</f>
        <v>10</v>
      </c>
      <c r="BD486" s="181">
        <f ca="1">IF($D486&lt;&gt;"Serviço",0,IF(AND(AUTOEVENTO="Manual",$M486=1),0,IF(OFFSET(CRONOPLE!$F$14,$M486,BD$13)="",10^12,OFFSET(CRONOPLE!$F$14,$M486,BD$13))))</f>
        <v>1000000000000</v>
      </c>
      <c r="BE486" s="181">
        <f ca="1">IF($D486&lt;&gt;"Serviço",0,IF(AND(AUTOEVENTO="Manual",$M486=1),0,IF(OFFSET(CRONOPLE!$F$14,$M486,BE$13)="",10^12,OFFSET(CRONOPLE!$F$14,$M486,BE$13))))</f>
        <v>1000000000000</v>
      </c>
      <c r="BF486" s="181">
        <f ca="1">IF($D486&lt;&gt;"Serviço",0,IF(AND(AUTOEVENTO="Manual",$M486=1),0,IF(OFFSET(CRONOPLE!$F$14,$M486,BF$13)="",10^12,OFFSET(CRONOPLE!$F$14,$M486,BF$13))))</f>
        <v>1000000000000</v>
      </c>
      <c r="BG486" s="181">
        <f ca="1">IF($D486&lt;&gt;"Serviço",0,IF(AND(AUTOEVENTO="Manual",$M486=1),0,IF(OFFSET(CRONOPLE!$F$14,$M486,BG$13)="",10^12,OFFSET(CRONOPLE!$F$14,$M486,BG$13))))</f>
        <v>1000000000000</v>
      </c>
      <c r="BH486" s="181">
        <f ca="1">IF($D486&lt;&gt;"Serviço",0,IF(AND(AUTOEVENTO="Manual",$M486=1),0,IF(OFFSET(CRONOPLE!$F$14,$M486,BH$13)="",10^12,OFFSET(CRONOPLE!$F$14,$M486,BH$13))))</f>
        <v>1000000000000</v>
      </c>
      <c r="BI486" s="181">
        <f ca="1">IF($D486&lt;&gt;"Serviço",0,IF(AND(AUTOEVENTO="Manual",$M486=1),0,IF(OFFSET(CRONOPLE!$F$14,$M486,BI$13)="",10^12,OFFSET(CRONOPLE!$F$14,$M486,BI$13))))</f>
        <v>1000000000000</v>
      </c>
      <c r="BJ486" s="181">
        <f ca="1">IF($D486&lt;&gt;"Serviço",0,IF(AND(AUTOEVENTO="Manual",$M486=1),0,IF(OFFSET(CRONOPLE!$F$14,$M486,BJ$13)="",10^12,OFFSET(CRONOPLE!$F$14,$M486,BJ$13))))</f>
        <v>1000000000000</v>
      </c>
      <c r="BK486" s="181">
        <f ca="1">IF($D486&lt;&gt;"Serviço",0,IF(AND(AUTOEVENTO="Manual",$M486=1),0,IF(OFFSET(CRONOPLE!$F$14,$M486,BK$13)="",10^12,OFFSET(CRONOPLE!$F$14,$M486,BK$13))))</f>
        <v>1000000000000</v>
      </c>
      <c r="BL486" s="181">
        <f ca="1">IF($D486&lt;&gt;"Serviço",0,IF(AND(AUTOEVENTO="Manual",$M486=1),0,IF(OFFSET(CRONOPLE!$F$14,$M486,BL$13)="",10^12,OFFSET(CRONOPLE!$F$14,$M486,BL$13))))</f>
        <v>1000000000000</v>
      </c>
      <c r="BM486" s="181">
        <f ca="1">IF($D486&lt;&gt;"Serviço",0,IF(AND(AUTOEVENTO="Manual",$M486=1),0,IF(OFFSET(CRONOPLE!$F$14,$M486,BM$13)="",10^12,OFFSET(CRONOPLE!$F$14,$M486,BM$13))))</f>
        <v>1000000000000</v>
      </c>
      <c r="BN486" s="181">
        <f ca="1">IF($D486&lt;&gt;"Serviço",0,IF(AND(AUTOEVENTO="Manual",$M486=1),0,IF(OFFSET(CRONOPLE!$F$14,$M486,BN$13)="",10^12,OFFSET(CRONOPLE!$F$14,$M486,BN$13))))</f>
        <v>1000000000000</v>
      </c>
      <c r="BO486" s="181">
        <f ca="1">IF($D486&lt;&gt;"Serviço",0,IF(AND(AUTOEVENTO="Manual",$M486=1),0,IF(OFFSET(CRONOPLE!$F$14,$M486,BO$13)="",10^12,OFFSET(CRONOPLE!$F$14,$M486,BO$13))))</f>
        <v>1000000000000</v>
      </c>
      <c r="BP486" s="181">
        <f ca="1">IF($D486&lt;&gt;"Serviço",0,IF(AND(AUTOEVENTO="Manual",$M486=1),0,IF(OFFSET(CRONOPLE!$F$14,$M486,BP$13)="",10^12,OFFSET(CRONOPLE!$F$14,$M486,BP$13))))</f>
        <v>1000000000000</v>
      </c>
      <c r="BQ486" s="181">
        <f ca="1">IF($D486&lt;&gt;"Serviço",0,IF(AND(AUTOEVENTO="Manual",$M486=1),0,IF(OFFSET(CRONOPLE!$F$14,$M486,BQ$13)="",10^12,OFFSET(CRONOPLE!$F$14,$M486,BQ$13))))</f>
        <v>1000000000000</v>
      </c>
      <c r="BR486" s="181">
        <f ca="1">IF($D486&lt;&gt;"Serviço",0,IF(AND(AUTOEVENTO="Manual",$M486=1),0,IF(OFFSET(CRONOPLE!$F$14,$M486,BR$13)="",10^12,OFFSET(CRONOPLE!$F$14,$M486,BR$13))))</f>
        <v>1000000000000</v>
      </c>
      <c r="BS486" s="181">
        <f ca="1">IF($D486&lt;&gt;"Serviço",0,IF(AND(AUTOEVENTO="Manual",$M486=1),0,IF(OFFSET(CRONOPLE!$F$14,$M486,BS$13)="",10^12,OFFSET(CRONOPLE!$F$14,$M486,BS$13))))</f>
        <v>1000000000000</v>
      </c>
      <c r="BT486" s="181">
        <f ca="1">IF($D486&lt;&gt;"Serviço",0,IF(AND(AUTOEVENTO="Manual",$M486=1),0,IF(OFFSET(CRONOPLE!$F$14,$M486,BT$13)="",10^12,OFFSET(CRONOPLE!$F$14,$M486,BT$13))))</f>
        <v>1000000000000</v>
      </c>
      <c r="BV486" s="182">
        <f ca="1">IF($D486&lt;&gt;"Serviço",0,IF(OR(AND(AUTOEVENTO="Manual",$M486=1),$M486&gt;(ROW(PLE.lastrow)-ROW(PLE.firstrow))),0,IF(OFFSET(PLE!$G$14,$M486,BV$13)="",10^12,OFFSET(PLE!$G$14,$M486,BV$13))))</f>
        <v>1000000000000</v>
      </c>
      <c r="BW486" s="182">
        <f ca="1">IF($D486&lt;&gt;"Serviço",0,IF(OR(AND(AUTOEVENTO="Manual",$M486=1),$M486&gt;(ROW(PLE.lastrow)-ROW(PLE.firstrow))),0,IF(OFFSET(PLE!$G$14,$M486,BW$13)="",10^12,OFFSET(PLE!$G$14,$M486,BW$13))))</f>
        <v>1000000000000</v>
      </c>
      <c r="BX486" s="182">
        <f ca="1">IF($D486&lt;&gt;"Serviço",0,IF(OR(AND(AUTOEVENTO="Manual",$M486=1),$M486&gt;(ROW(PLE.lastrow)-ROW(PLE.firstrow))),0,IF(OFFSET(PLE!$G$14,$M486,BX$13)="",10^12,OFFSET(PLE!$G$14,$M486,BX$13))))</f>
        <v>1000000000000</v>
      </c>
      <c r="BY486" s="182">
        <f ca="1">IF($D486&lt;&gt;"Serviço",0,IF(OR(AND(AUTOEVENTO="Manual",$M486=1),$M486&gt;(ROW(PLE.lastrow)-ROW(PLE.firstrow))),0,IF(OFFSET(PLE!$G$14,$M486,BY$13)="",10^12,OFFSET(PLE!$G$14,$M486,BY$13))))</f>
        <v>1000000000000</v>
      </c>
      <c r="BZ486" s="182">
        <f ca="1">IF($D486&lt;&gt;"Serviço",0,IF(OR(AND(AUTOEVENTO="Manual",$M486=1),$M486&gt;(ROW(PLE.lastrow)-ROW(PLE.firstrow))),0,IF(OFFSET(PLE!$G$14,$M486,BZ$13)="",10^12,OFFSET(PLE!$G$14,$M486,BZ$13))))</f>
        <v>1000000000000</v>
      </c>
      <c r="CA486" s="182">
        <f ca="1">IF($D486&lt;&gt;"Serviço",0,IF(OR(AND(AUTOEVENTO="Manual",$M486=1),$M486&gt;(ROW(PLE.lastrow)-ROW(PLE.firstrow))),0,IF(OFFSET(PLE!$G$14,$M486,CA$13)="",10^12,OFFSET(PLE!$G$14,$M486,CA$13))))</f>
        <v>1000000000000</v>
      </c>
      <c r="CB486" s="182">
        <f ca="1">IF($D486&lt;&gt;"Serviço",0,IF(OR(AND(AUTOEVENTO="Manual",$M486=1),$M486&gt;(ROW(PLE.lastrow)-ROW(PLE.firstrow))),0,IF(OFFSET(PLE!$G$14,$M486,CB$13)="",10^12,OFFSET(PLE!$G$14,$M486,CB$13))))</f>
        <v>1000000000000</v>
      </c>
      <c r="CC486" s="182">
        <f ca="1">IF($D486&lt;&gt;"Serviço",0,IF(OR(AND(AUTOEVENTO="Manual",$M486=1),$M486&gt;(ROW(PLE.lastrow)-ROW(PLE.firstrow))),0,IF(OFFSET(PLE!$G$14,$M486,CC$13)="",10^12,OFFSET(PLE!$G$14,$M486,CC$13))))</f>
        <v>1000000000000</v>
      </c>
      <c r="CD486" s="182">
        <f ca="1">IF($D486&lt;&gt;"Serviço",0,IF(OR(AND(AUTOEVENTO="Manual",$M486=1),$M486&gt;(ROW(PLE.lastrow)-ROW(PLE.firstrow))),0,IF(OFFSET(PLE!$G$14,$M486,CD$13)="",10^12,OFFSET(PLE!$G$14,$M486,CD$13))))</f>
        <v>1000000000000</v>
      </c>
      <c r="CE486" s="182">
        <f ca="1">IF($D486&lt;&gt;"Serviço",0,IF(OR(AND(AUTOEVENTO="Manual",$M486=1),$M486&gt;(ROW(PLE.lastrow)-ROW(PLE.firstrow))),0,IF(OFFSET(PLE!$G$14,$M486,CE$13)="",10^12,OFFSET(PLE!$G$14,$M486,CE$13))))</f>
        <v>1000000000000</v>
      </c>
      <c r="CF486" s="182">
        <f ca="1">IF($D486&lt;&gt;"Serviço",0,IF(OR(AND(AUTOEVENTO="Manual",$M486=1),$M486&gt;(ROW(PLE.lastrow)-ROW(PLE.firstrow))),0,IF(OFFSET(PLE!$G$14,$M486,CF$13)="",10^12,OFFSET(PLE!$G$14,$M486,CF$13))))</f>
        <v>1000000000000</v>
      </c>
      <c r="CG486" s="182">
        <f ca="1">IF($D486&lt;&gt;"Serviço",0,IF(OR(AND(AUTOEVENTO="Manual",$M486=1),$M486&gt;(ROW(PLE.lastrow)-ROW(PLE.firstrow))),0,IF(OFFSET(PLE!$G$14,$M486,CG$13)="",10^12,OFFSET(PLE!$G$14,$M486,CG$13))))</f>
        <v>1000000000000</v>
      </c>
      <c r="CH486" s="182">
        <f ca="1">IF($D486&lt;&gt;"Serviço",0,IF(OR(AND(AUTOEVENTO="Manual",$M486=1),$M486&gt;(ROW(PLE.lastrow)-ROW(PLE.firstrow))),0,IF(OFFSET(PLE!$G$14,$M486,CH$13)="",10^12,OFFSET(PLE!$G$14,$M486,CH$13))))</f>
        <v>1000000000000</v>
      </c>
      <c r="CI486" s="182">
        <f ca="1">IF($D486&lt;&gt;"Serviço",0,IF(OR(AND(AUTOEVENTO="Manual",$M486=1),$M486&gt;(ROW(PLE.lastrow)-ROW(PLE.firstrow))),0,IF(OFFSET(PLE!$G$14,$M486,CI$13)="",10^12,OFFSET(PLE!$G$14,$M486,CI$13))))</f>
        <v>1000000000000</v>
      </c>
      <c r="CJ486" s="182">
        <f ca="1">IF($D486&lt;&gt;"Serviço",0,IF(OR(AND(AUTOEVENTO="Manual",$M486=1),$M486&gt;(ROW(PLE.lastrow)-ROW(PLE.firstrow))),0,IF(OFFSET(PLE!$G$14,$M486,CJ$13)="",10^12,OFFSET(PLE!$G$14,$M486,CJ$13))))</f>
        <v>1000000000000</v>
      </c>
      <c r="CK486" s="182">
        <f ca="1">IF($D486&lt;&gt;"Serviço",0,IF(OR(AND(AUTOEVENTO="Manual",$M486=1),$M486&gt;(ROW(PLE.lastrow)-ROW(PLE.firstrow))),0,IF(OFFSET(PLE!$G$14,$M486,CK$13)="",10^12,OFFSET(PLE!$G$14,$M486,CK$13))))</f>
        <v>1000000000000</v>
      </c>
      <c r="CL486" s="182">
        <f ca="1">IF($D486&lt;&gt;"Serviço",0,IF(OR(AND(AUTOEVENTO="Manual",$M486=1),$M486&gt;(ROW(PLE.lastrow)-ROW(PLE.firstrow))),0,IF(OFFSET(PLE!$G$14,$M486,CL$13)="",10^12,OFFSET(PLE!$G$14,$M486,CL$13))))</f>
        <v>1000000000000</v>
      </c>
      <c r="CM486" s="182">
        <f ca="1">IF($D486&lt;&gt;"Serviço",0,IF(OR(AND(AUTOEVENTO="Manual",$M486=1),$M486&gt;(ROW(PLE.lastrow)-ROW(PLE.firstrow))),0,IF(OFFSET(PLE!$G$14,$M486,CM$13)="",10^12,OFFSET(PLE!$G$14,$M486,CM$13))))</f>
        <v>1000000000000</v>
      </c>
    </row>
    <row r="487" spans="1:91" ht="38.25" x14ac:dyDescent="0.2">
      <c r="A487" s="7" t="str">
        <f t="shared" ca="1" si="16"/>
        <v>464</v>
      </c>
      <c r="B487" s="7" t="str">
        <f ca="1">OFFSET(ORÇAMENTO!C$15,ROW(B487)-ROW(B$15),0)</f>
        <v>S</v>
      </c>
      <c r="C487" s="7" t="str">
        <f ca="1">OFFSET(ORÇAMENTO!L$15,ROW(C487)-ROW(C$15),0)</f>
        <v/>
      </c>
      <c r="D487" s="118" t="str">
        <f ca="1">OFFSET(ORÇAMENTO!N$15,ROW(D487)-ROW(D$15),0)</f>
        <v>Serviço</v>
      </c>
      <c r="E487" s="119" t="str">
        <f ca="1">OFFSET(ORÇAMENTO!O$15,ROW(E487)-ROW(E$15),0)</f>
        <v>-</v>
      </c>
      <c r="F487" s="172" t="str">
        <f ca="1">OFFSET(ORÇAMENTO!R$15,ROW(F487)-ROW(F$15),0)</f>
        <v>(abra o arquivo 'Referência 06-2024.xlsm)</v>
      </c>
      <c r="G487" s="173" t="str">
        <f ca="1">IF($D487&lt;&gt;"Serviço","",OFFSET(ORÇAMENTO!S$15,ROW(G487)-ROW(G$15),0))</f>
        <v>-</v>
      </c>
      <c r="H487" s="124">
        <f ca="1">IF($D487&lt;&gt;"Serviço",0,IF(ACOMPANHAMENTO="BM",ROUND(OFFSET(ORÇAMENTO!AJ$15,ROW(H487)-ROW(H$15),0),15-13*ORÇAMENTO!$AF$7),SUMPRODUCT(($Q$12:$AI$12&lt;&gt;"")*ROUND($Q487:$AI487,15-13*ORÇAMENTO!$AF$7))))</f>
        <v>2</v>
      </c>
      <c r="I487" s="561" t="s">
        <v>1107</v>
      </c>
      <c r="K487" s="174"/>
      <c r="L487" s="175" t="s">
        <v>255</v>
      </c>
      <c r="M487" s="176">
        <f ca="1">IF($D487&lt;&gt;"Serviço","",IF(AUTOEVENTO="manual",$A487,IF(ISERROR(MATCH($A487,$A$15:OFFSET($A487,-1,0),0)),MAX($M$15:OFFSET(M487,-1,0))+1,INDEX($M$15:OFFSET(M487,-1,0),MATCH($A487,$A$15:OFFSET($A487,-1,0),0)))))</f>
        <v>52</v>
      </c>
      <c r="N487" s="177" t="str">
        <f ca="1">IF($D487&lt;&gt;"Serviço","",IF(AUTOEVENTO="Manual",IF($A487=0,"&lt;-- defina o número do agrupador",OFFSET(EVENTOS!$D$14,$A487,0)),OFFSET($F$15,$A487,0)))</f>
        <v>INSTALAÇÃO ELÉTRICA 110V - ACESSÓRIOS PARA ELETRODUTOS</v>
      </c>
      <c r="O487" s="178"/>
      <c r="Q487" s="178">
        <v>2</v>
      </c>
      <c r="R487" s="179"/>
      <c r="S487" s="179"/>
      <c r="T487" s="179"/>
      <c r="U487" s="179"/>
      <c r="V487" s="179"/>
      <c r="W487" s="179"/>
      <c r="X487" s="179"/>
      <c r="Y487" s="179"/>
      <c r="Z487" s="180"/>
      <c r="AA487" s="179"/>
      <c r="AB487" s="179"/>
      <c r="AC487" s="179"/>
      <c r="AD487" s="179"/>
      <c r="AE487" s="179"/>
      <c r="AF487" s="179"/>
      <c r="AG487" s="179"/>
      <c r="AH487" s="180"/>
      <c r="AJ487" s="544">
        <f ca="1">IF(AND($D487="Serviço",AJ$12&lt;&gt;0,$H487&gt;0,OR(AUTOEVENTO&lt;&gt;"manual",$M487&lt;&gt;1)),
IF(Import.TipoArredondamento&lt;&gt;"TransfereGOV",
ROUND(OFFSET($P487,0,AJ$13),15-13*ORÇAMENTO!$AF$7)/$H487*OFFSET(ORÇAMENTO!$X$15,ROW(AJ487)-ROW(AJ$15),0),
ROUND(ROUND(OFFSET($P487,0,AJ$13),15-13*ORÇAMENTO!$AF$7)*OFFSET(ORÇAMENTO!$W$15,ROW(AJ487)-ROW(AJ$15),0),15-13*ORÇAMENTO!$AF$11)),0)</f>
        <v>0</v>
      </c>
      <c r="AK487" s="545">
        <f ca="1">IF(AND($D487="Serviço",AK$12&lt;&gt;0,$H487&gt;0,OR(AUTOEVENTO&lt;&gt;"manual",$M487&lt;&gt;1)),
IF(Import.TipoArredondamento&lt;&gt;"TransfereGOV",
ROUND(OFFSET($P487,0,AK$13),15-13*ORÇAMENTO!$AF$7)/$H487*OFFSET(ORÇAMENTO!$X$15,ROW(AK487)-ROW(AK$15),0),
ROUND(ROUND(OFFSET($P487,0,AK$13),15-13*ORÇAMENTO!$AF$7)*OFFSET(ORÇAMENTO!$W$15,ROW(AK487)-ROW(AK$15),0),15-13*ORÇAMENTO!$AF$11)),0)</f>
        <v>0</v>
      </c>
      <c r="AL487" s="545">
        <f ca="1">IF(AND($D487="Serviço",AL$12&lt;&gt;0,$H487&gt;0,OR(AUTOEVENTO&lt;&gt;"manual",$M487&lt;&gt;1)),
IF(Import.TipoArredondamento&lt;&gt;"TransfereGOV",
ROUND(OFFSET($P487,0,AL$13),15-13*ORÇAMENTO!$AF$7)/$H487*OFFSET(ORÇAMENTO!$X$15,ROW(AL487)-ROW(AL$15),0),
ROUND(ROUND(OFFSET($P487,0,AL$13),15-13*ORÇAMENTO!$AF$7)*OFFSET(ORÇAMENTO!$W$15,ROW(AL487)-ROW(AL$15),0),15-13*ORÇAMENTO!$AF$11)),0)</f>
        <v>0</v>
      </c>
      <c r="AM487" s="545">
        <f ca="1">IF(AND($D487="Serviço",AM$12&lt;&gt;0,$H487&gt;0,OR(AUTOEVENTO&lt;&gt;"manual",$M487&lt;&gt;1)),
IF(Import.TipoArredondamento&lt;&gt;"TransfereGOV",
ROUND(OFFSET($P487,0,AM$13),15-13*ORÇAMENTO!$AF$7)/$H487*OFFSET(ORÇAMENTO!$X$15,ROW(AM487)-ROW(AM$15),0),
ROUND(ROUND(OFFSET($P487,0,AM$13),15-13*ORÇAMENTO!$AF$7)*OFFSET(ORÇAMENTO!$W$15,ROW(AM487)-ROW(AM$15),0),15-13*ORÇAMENTO!$AF$11)),0)</f>
        <v>0</v>
      </c>
      <c r="AN487" s="545">
        <f ca="1">IF(AND($D487="Serviço",AN$12&lt;&gt;0,$H487&gt;0,OR(AUTOEVENTO&lt;&gt;"manual",$M487&lt;&gt;1)),
IF(Import.TipoArredondamento&lt;&gt;"TransfereGOV",
ROUND(OFFSET($P487,0,AN$13),15-13*ORÇAMENTO!$AF$7)/$H487*OFFSET(ORÇAMENTO!$X$15,ROW(AN487)-ROW(AN$15),0),
ROUND(ROUND(OFFSET($P487,0,AN$13),15-13*ORÇAMENTO!$AF$7)*OFFSET(ORÇAMENTO!$W$15,ROW(AN487)-ROW(AN$15),0),15-13*ORÇAMENTO!$AF$11)),0)</f>
        <v>0</v>
      </c>
      <c r="AO487" s="545">
        <f ca="1">IF(AND($D487="Serviço",AO$12&lt;&gt;0,$H487&gt;0,OR(AUTOEVENTO&lt;&gt;"manual",$M487&lt;&gt;1)),
IF(Import.TipoArredondamento&lt;&gt;"TransfereGOV",
ROUND(OFFSET($P487,0,AO$13),15-13*ORÇAMENTO!$AF$7)/$H487*OFFSET(ORÇAMENTO!$X$15,ROW(AO487)-ROW(AO$15),0),
ROUND(ROUND(OFFSET($P487,0,AO$13),15-13*ORÇAMENTO!$AF$7)*OFFSET(ORÇAMENTO!$W$15,ROW(AO487)-ROW(AO$15),0),15-13*ORÇAMENTO!$AF$11)),0)</f>
        <v>0</v>
      </c>
      <c r="AP487" s="545">
        <f ca="1">IF(AND($D487="Serviço",AP$12&lt;&gt;0,$H487&gt;0,OR(AUTOEVENTO&lt;&gt;"manual",$M487&lt;&gt;1)),
IF(Import.TipoArredondamento&lt;&gt;"TransfereGOV",
ROUND(OFFSET($P487,0,AP$13),15-13*ORÇAMENTO!$AF$7)/$H487*OFFSET(ORÇAMENTO!$X$15,ROW(AP487)-ROW(AP$15),0),
ROUND(ROUND(OFFSET($P487,0,AP$13),15-13*ORÇAMENTO!$AF$7)*OFFSET(ORÇAMENTO!$W$15,ROW(AP487)-ROW(AP$15),0),15-13*ORÇAMENTO!$AF$11)),0)</f>
        <v>0</v>
      </c>
      <c r="AQ487" s="545">
        <f ca="1">IF(AND($D487="Serviço",AQ$12&lt;&gt;0,$H487&gt;0,OR(AUTOEVENTO&lt;&gt;"manual",$M487&lt;&gt;1)),
IF(Import.TipoArredondamento&lt;&gt;"TransfereGOV",
ROUND(OFFSET($P487,0,AQ$13),15-13*ORÇAMENTO!$AF$7)/$H487*OFFSET(ORÇAMENTO!$X$15,ROW(AQ487)-ROW(AQ$15),0),
ROUND(ROUND(OFFSET($P487,0,AQ$13),15-13*ORÇAMENTO!$AF$7)*OFFSET(ORÇAMENTO!$W$15,ROW(AQ487)-ROW(AQ$15),0),15-13*ORÇAMENTO!$AF$11)),0)</f>
        <v>0</v>
      </c>
      <c r="AR487" s="545">
        <f ca="1">IF(AND($D487="Serviço",AR$12&lt;&gt;0,$H487&gt;0,OR(AUTOEVENTO&lt;&gt;"manual",$M487&lt;&gt;1)),
IF(Import.TipoArredondamento&lt;&gt;"TransfereGOV",
ROUND(OFFSET($P487,0,AR$13),15-13*ORÇAMENTO!$AF$7)/$H487*OFFSET(ORÇAMENTO!$X$15,ROW(AR487)-ROW(AR$15),0),
ROUND(ROUND(OFFSET($P487,0,AR$13),15-13*ORÇAMENTO!$AF$7)*OFFSET(ORÇAMENTO!$W$15,ROW(AR487)-ROW(AR$15),0),15-13*ORÇAMENTO!$AF$11)),0)</f>
        <v>0</v>
      </c>
      <c r="AS487" s="546">
        <f ca="1">IF(AND($D487="Serviço",AS$12&lt;&gt;0,$H487&gt;0,OR(AUTOEVENTO&lt;&gt;"manual",$M487&lt;&gt;1)),
IF(Import.TipoArredondamento&lt;&gt;"TransfereGOV",
ROUND(OFFSET($P487,0,AS$13),15-13*ORÇAMENTO!$AF$7)/$H487*OFFSET(ORÇAMENTO!$X$15,ROW(AS487)-ROW(AS$15),0),
ROUND(ROUND(OFFSET($P487,0,AS$13),15-13*ORÇAMENTO!$AF$7)*OFFSET(ORÇAMENTO!$W$15,ROW(AS487)-ROW(AS$15),0),15-13*ORÇAMENTO!$AF$11)),0)</f>
        <v>0</v>
      </c>
      <c r="AT487" s="545">
        <f ca="1">IF(AND($D487="Serviço",AT$12&lt;&gt;0,$H487&gt;0,OR(AUTOEVENTO&lt;&gt;"manual",$M487&lt;&gt;1)),
IF(Import.TipoArredondamento&lt;&gt;"TransfereGOV",
ROUND(OFFSET($P487,0,AT$13),15-13*ORÇAMENTO!$AF$7)/$H487*OFFSET(ORÇAMENTO!$X$15,ROW(AT487)-ROW(AT$15),0),
ROUND(ROUND(OFFSET($P487,0,AT$13),15-13*ORÇAMENTO!$AF$7)*OFFSET(ORÇAMENTO!$W$15,ROW(AT487)-ROW(AT$15),0),15-13*ORÇAMENTO!$AF$11)),0)</f>
        <v>0</v>
      </c>
      <c r="AU487" s="545">
        <f ca="1">IF(AND($D487="Serviço",AU$12&lt;&gt;0,$H487&gt;0,OR(AUTOEVENTO&lt;&gt;"manual",$M487&lt;&gt;1)),
IF(Import.TipoArredondamento&lt;&gt;"TransfereGOV",
ROUND(OFFSET($P487,0,AU$13),15-13*ORÇAMENTO!$AF$7)/$H487*OFFSET(ORÇAMENTO!$X$15,ROW(AU487)-ROW(AU$15),0),
ROUND(ROUND(OFFSET($P487,0,AU$13),15-13*ORÇAMENTO!$AF$7)*OFFSET(ORÇAMENTO!$W$15,ROW(AU487)-ROW(AU$15),0),15-13*ORÇAMENTO!$AF$11)),0)</f>
        <v>0</v>
      </c>
      <c r="AV487" s="545">
        <f ca="1">IF(AND($D487="Serviço",AV$12&lt;&gt;0,$H487&gt;0,OR(AUTOEVENTO&lt;&gt;"manual",$M487&lt;&gt;1)),
IF(Import.TipoArredondamento&lt;&gt;"TransfereGOV",
ROUND(OFFSET($P487,0,AV$13),15-13*ORÇAMENTO!$AF$7)/$H487*OFFSET(ORÇAMENTO!$X$15,ROW(AV487)-ROW(AV$15),0),
ROUND(ROUND(OFFSET($P487,0,AV$13),15-13*ORÇAMENTO!$AF$7)*OFFSET(ORÇAMENTO!$W$15,ROW(AV487)-ROW(AV$15),0),15-13*ORÇAMENTO!$AF$11)),0)</f>
        <v>0</v>
      </c>
      <c r="AW487" s="545">
        <f ca="1">IF(AND($D487="Serviço",AW$12&lt;&gt;0,$H487&gt;0,OR(AUTOEVENTO&lt;&gt;"manual",$M487&lt;&gt;1)),
IF(Import.TipoArredondamento&lt;&gt;"TransfereGOV",
ROUND(OFFSET($P487,0,AW$13),15-13*ORÇAMENTO!$AF$7)/$H487*OFFSET(ORÇAMENTO!$X$15,ROW(AW487)-ROW(AW$15),0),
ROUND(ROUND(OFFSET($P487,0,AW$13),15-13*ORÇAMENTO!$AF$7)*OFFSET(ORÇAMENTO!$W$15,ROW(AW487)-ROW(AW$15),0),15-13*ORÇAMENTO!$AF$11)),0)</f>
        <v>0</v>
      </c>
      <c r="AX487" s="545">
        <f ca="1">IF(AND($D487="Serviço",AX$12&lt;&gt;0,$H487&gt;0,OR(AUTOEVENTO&lt;&gt;"manual",$M487&lt;&gt;1)),
IF(Import.TipoArredondamento&lt;&gt;"TransfereGOV",
ROUND(OFFSET($P487,0,AX$13),15-13*ORÇAMENTO!$AF$7)/$H487*OFFSET(ORÇAMENTO!$X$15,ROW(AX487)-ROW(AX$15),0),
ROUND(ROUND(OFFSET($P487,0,AX$13),15-13*ORÇAMENTO!$AF$7)*OFFSET(ORÇAMENTO!$W$15,ROW(AX487)-ROW(AX$15),0),15-13*ORÇAMENTO!$AF$11)),0)</f>
        <v>0</v>
      </c>
      <c r="AY487" s="545">
        <f ca="1">IF(AND($D487="Serviço",AY$12&lt;&gt;0,$H487&gt;0,OR(AUTOEVENTO&lt;&gt;"manual",$M487&lt;&gt;1)),
IF(Import.TipoArredondamento&lt;&gt;"TransfereGOV",
ROUND(OFFSET($P487,0,AY$13),15-13*ORÇAMENTO!$AF$7)/$H487*OFFSET(ORÇAMENTO!$X$15,ROW(AY487)-ROW(AY$15),0),
ROUND(ROUND(OFFSET($P487,0,AY$13),15-13*ORÇAMENTO!$AF$7)*OFFSET(ORÇAMENTO!$W$15,ROW(AY487)-ROW(AY$15),0),15-13*ORÇAMENTO!$AF$11)),0)</f>
        <v>0</v>
      </c>
      <c r="AZ487" s="545">
        <f ca="1">IF(AND($D487="Serviço",AZ$12&lt;&gt;0,$H487&gt;0,OR(AUTOEVENTO&lt;&gt;"manual",$M487&lt;&gt;1)),
IF(Import.TipoArredondamento&lt;&gt;"TransfereGOV",
ROUND(OFFSET($P487,0,AZ$13),15-13*ORÇAMENTO!$AF$7)/$H487*OFFSET(ORÇAMENTO!$X$15,ROW(AZ487)-ROW(AZ$15),0),
ROUND(ROUND(OFFSET($P487,0,AZ$13),15-13*ORÇAMENTO!$AF$7)*OFFSET(ORÇAMENTO!$W$15,ROW(AZ487)-ROW(AZ$15),0),15-13*ORÇAMENTO!$AF$11)),0)</f>
        <v>0</v>
      </c>
      <c r="BA487" s="546">
        <f ca="1">IF(AND($D487="Serviço",BA$12&lt;&gt;0,$H487&gt;0,OR(AUTOEVENTO&lt;&gt;"manual",$M487&lt;&gt;1)),
IF(Import.TipoArredondamento&lt;&gt;"TransfereGOV",
ROUND(OFFSET($P487,0,BA$13),15-13*ORÇAMENTO!$AF$7)/$H487*OFFSET(ORÇAMENTO!$X$15,ROW(BA487)-ROW(BA$15),0),
ROUND(ROUND(OFFSET($P487,0,BA$13),15-13*ORÇAMENTO!$AF$7)*OFFSET(ORÇAMENTO!$W$15,ROW(BA487)-ROW(BA$15),0),15-13*ORÇAMENTO!$AF$11)),0)</f>
        <v>0</v>
      </c>
      <c r="BC487" s="181">
        <f ca="1">IF($D487&lt;&gt;"Serviço",0,IF(AND(AUTOEVENTO="Manual",$M487=1),0,IF(OFFSET(CRONOPLE!$F$14,$M487,BC$13)="",10^12,OFFSET(CRONOPLE!$F$14,$M487,BC$13))))</f>
        <v>10</v>
      </c>
      <c r="BD487" s="181">
        <f ca="1">IF($D487&lt;&gt;"Serviço",0,IF(AND(AUTOEVENTO="Manual",$M487=1),0,IF(OFFSET(CRONOPLE!$F$14,$M487,BD$13)="",10^12,OFFSET(CRONOPLE!$F$14,$M487,BD$13))))</f>
        <v>1000000000000</v>
      </c>
      <c r="BE487" s="181">
        <f ca="1">IF($D487&lt;&gt;"Serviço",0,IF(AND(AUTOEVENTO="Manual",$M487=1),0,IF(OFFSET(CRONOPLE!$F$14,$M487,BE$13)="",10^12,OFFSET(CRONOPLE!$F$14,$M487,BE$13))))</f>
        <v>1000000000000</v>
      </c>
      <c r="BF487" s="181">
        <f ca="1">IF($D487&lt;&gt;"Serviço",0,IF(AND(AUTOEVENTO="Manual",$M487=1),0,IF(OFFSET(CRONOPLE!$F$14,$M487,BF$13)="",10^12,OFFSET(CRONOPLE!$F$14,$M487,BF$13))))</f>
        <v>1000000000000</v>
      </c>
      <c r="BG487" s="181">
        <f ca="1">IF($D487&lt;&gt;"Serviço",0,IF(AND(AUTOEVENTO="Manual",$M487=1),0,IF(OFFSET(CRONOPLE!$F$14,$M487,BG$13)="",10^12,OFFSET(CRONOPLE!$F$14,$M487,BG$13))))</f>
        <v>1000000000000</v>
      </c>
      <c r="BH487" s="181">
        <f ca="1">IF($D487&lt;&gt;"Serviço",0,IF(AND(AUTOEVENTO="Manual",$M487=1),0,IF(OFFSET(CRONOPLE!$F$14,$M487,BH$13)="",10^12,OFFSET(CRONOPLE!$F$14,$M487,BH$13))))</f>
        <v>1000000000000</v>
      </c>
      <c r="BI487" s="181">
        <f ca="1">IF($D487&lt;&gt;"Serviço",0,IF(AND(AUTOEVENTO="Manual",$M487=1),0,IF(OFFSET(CRONOPLE!$F$14,$M487,BI$13)="",10^12,OFFSET(CRONOPLE!$F$14,$M487,BI$13))))</f>
        <v>1000000000000</v>
      </c>
      <c r="BJ487" s="181">
        <f ca="1">IF($D487&lt;&gt;"Serviço",0,IF(AND(AUTOEVENTO="Manual",$M487=1),0,IF(OFFSET(CRONOPLE!$F$14,$M487,BJ$13)="",10^12,OFFSET(CRONOPLE!$F$14,$M487,BJ$13))))</f>
        <v>1000000000000</v>
      </c>
      <c r="BK487" s="181">
        <f ca="1">IF($D487&lt;&gt;"Serviço",0,IF(AND(AUTOEVENTO="Manual",$M487=1),0,IF(OFFSET(CRONOPLE!$F$14,$M487,BK$13)="",10^12,OFFSET(CRONOPLE!$F$14,$M487,BK$13))))</f>
        <v>1000000000000</v>
      </c>
      <c r="BL487" s="181">
        <f ca="1">IF($D487&lt;&gt;"Serviço",0,IF(AND(AUTOEVENTO="Manual",$M487=1),0,IF(OFFSET(CRONOPLE!$F$14,$M487,BL$13)="",10^12,OFFSET(CRONOPLE!$F$14,$M487,BL$13))))</f>
        <v>1000000000000</v>
      </c>
      <c r="BM487" s="181">
        <f ca="1">IF($D487&lt;&gt;"Serviço",0,IF(AND(AUTOEVENTO="Manual",$M487=1),0,IF(OFFSET(CRONOPLE!$F$14,$M487,BM$13)="",10^12,OFFSET(CRONOPLE!$F$14,$M487,BM$13))))</f>
        <v>1000000000000</v>
      </c>
      <c r="BN487" s="181">
        <f ca="1">IF($D487&lt;&gt;"Serviço",0,IF(AND(AUTOEVENTO="Manual",$M487=1),0,IF(OFFSET(CRONOPLE!$F$14,$M487,BN$13)="",10^12,OFFSET(CRONOPLE!$F$14,$M487,BN$13))))</f>
        <v>1000000000000</v>
      </c>
      <c r="BO487" s="181">
        <f ca="1">IF($D487&lt;&gt;"Serviço",0,IF(AND(AUTOEVENTO="Manual",$M487=1),0,IF(OFFSET(CRONOPLE!$F$14,$M487,BO$13)="",10^12,OFFSET(CRONOPLE!$F$14,$M487,BO$13))))</f>
        <v>1000000000000</v>
      </c>
      <c r="BP487" s="181">
        <f ca="1">IF($D487&lt;&gt;"Serviço",0,IF(AND(AUTOEVENTO="Manual",$M487=1),0,IF(OFFSET(CRONOPLE!$F$14,$M487,BP$13)="",10^12,OFFSET(CRONOPLE!$F$14,$M487,BP$13))))</f>
        <v>1000000000000</v>
      </c>
      <c r="BQ487" s="181">
        <f ca="1">IF($D487&lt;&gt;"Serviço",0,IF(AND(AUTOEVENTO="Manual",$M487=1),0,IF(OFFSET(CRONOPLE!$F$14,$M487,BQ$13)="",10^12,OFFSET(CRONOPLE!$F$14,$M487,BQ$13))))</f>
        <v>1000000000000</v>
      </c>
      <c r="BR487" s="181">
        <f ca="1">IF($D487&lt;&gt;"Serviço",0,IF(AND(AUTOEVENTO="Manual",$M487=1),0,IF(OFFSET(CRONOPLE!$F$14,$M487,BR$13)="",10^12,OFFSET(CRONOPLE!$F$14,$M487,BR$13))))</f>
        <v>1000000000000</v>
      </c>
      <c r="BS487" s="181">
        <f ca="1">IF($D487&lt;&gt;"Serviço",0,IF(AND(AUTOEVENTO="Manual",$M487=1),0,IF(OFFSET(CRONOPLE!$F$14,$M487,BS$13)="",10^12,OFFSET(CRONOPLE!$F$14,$M487,BS$13))))</f>
        <v>1000000000000</v>
      </c>
      <c r="BT487" s="181">
        <f ca="1">IF($D487&lt;&gt;"Serviço",0,IF(AND(AUTOEVENTO="Manual",$M487=1),0,IF(OFFSET(CRONOPLE!$F$14,$M487,BT$13)="",10^12,OFFSET(CRONOPLE!$F$14,$M487,BT$13))))</f>
        <v>1000000000000</v>
      </c>
      <c r="BV487" s="182">
        <f ca="1">IF($D487&lt;&gt;"Serviço",0,IF(OR(AND(AUTOEVENTO="Manual",$M487=1),$M487&gt;(ROW(PLE.lastrow)-ROW(PLE.firstrow))),0,IF(OFFSET(PLE!$G$14,$M487,BV$13)="",10^12,OFFSET(PLE!$G$14,$M487,BV$13))))</f>
        <v>1000000000000</v>
      </c>
      <c r="BW487" s="182">
        <f ca="1">IF($D487&lt;&gt;"Serviço",0,IF(OR(AND(AUTOEVENTO="Manual",$M487=1),$M487&gt;(ROW(PLE.lastrow)-ROW(PLE.firstrow))),0,IF(OFFSET(PLE!$G$14,$M487,BW$13)="",10^12,OFFSET(PLE!$G$14,$M487,BW$13))))</f>
        <v>1000000000000</v>
      </c>
      <c r="BX487" s="182">
        <f ca="1">IF($D487&lt;&gt;"Serviço",0,IF(OR(AND(AUTOEVENTO="Manual",$M487=1),$M487&gt;(ROW(PLE.lastrow)-ROW(PLE.firstrow))),0,IF(OFFSET(PLE!$G$14,$M487,BX$13)="",10^12,OFFSET(PLE!$G$14,$M487,BX$13))))</f>
        <v>1000000000000</v>
      </c>
      <c r="BY487" s="182">
        <f ca="1">IF($D487&lt;&gt;"Serviço",0,IF(OR(AND(AUTOEVENTO="Manual",$M487=1),$M487&gt;(ROW(PLE.lastrow)-ROW(PLE.firstrow))),0,IF(OFFSET(PLE!$G$14,$M487,BY$13)="",10^12,OFFSET(PLE!$G$14,$M487,BY$13))))</f>
        <v>1000000000000</v>
      </c>
      <c r="BZ487" s="182">
        <f ca="1">IF($D487&lt;&gt;"Serviço",0,IF(OR(AND(AUTOEVENTO="Manual",$M487=1),$M487&gt;(ROW(PLE.lastrow)-ROW(PLE.firstrow))),0,IF(OFFSET(PLE!$G$14,$M487,BZ$13)="",10^12,OFFSET(PLE!$G$14,$M487,BZ$13))))</f>
        <v>1000000000000</v>
      </c>
      <c r="CA487" s="182">
        <f ca="1">IF($D487&lt;&gt;"Serviço",0,IF(OR(AND(AUTOEVENTO="Manual",$M487=1),$M487&gt;(ROW(PLE.lastrow)-ROW(PLE.firstrow))),0,IF(OFFSET(PLE!$G$14,$M487,CA$13)="",10^12,OFFSET(PLE!$G$14,$M487,CA$13))))</f>
        <v>1000000000000</v>
      </c>
      <c r="CB487" s="182">
        <f ca="1">IF($D487&lt;&gt;"Serviço",0,IF(OR(AND(AUTOEVENTO="Manual",$M487=1),$M487&gt;(ROW(PLE.lastrow)-ROW(PLE.firstrow))),0,IF(OFFSET(PLE!$G$14,$M487,CB$13)="",10^12,OFFSET(PLE!$G$14,$M487,CB$13))))</f>
        <v>1000000000000</v>
      </c>
      <c r="CC487" s="182">
        <f ca="1">IF($D487&lt;&gt;"Serviço",0,IF(OR(AND(AUTOEVENTO="Manual",$M487=1),$M487&gt;(ROW(PLE.lastrow)-ROW(PLE.firstrow))),0,IF(OFFSET(PLE!$G$14,$M487,CC$13)="",10^12,OFFSET(PLE!$G$14,$M487,CC$13))))</f>
        <v>1000000000000</v>
      </c>
      <c r="CD487" s="182">
        <f ca="1">IF($D487&lt;&gt;"Serviço",0,IF(OR(AND(AUTOEVENTO="Manual",$M487=1),$M487&gt;(ROW(PLE.lastrow)-ROW(PLE.firstrow))),0,IF(OFFSET(PLE!$G$14,$M487,CD$13)="",10^12,OFFSET(PLE!$G$14,$M487,CD$13))))</f>
        <v>1000000000000</v>
      </c>
      <c r="CE487" s="182">
        <f ca="1">IF($D487&lt;&gt;"Serviço",0,IF(OR(AND(AUTOEVENTO="Manual",$M487=1),$M487&gt;(ROW(PLE.lastrow)-ROW(PLE.firstrow))),0,IF(OFFSET(PLE!$G$14,$M487,CE$13)="",10^12,OFFSET(PLE!$G$14,$M487,CE$13))))</f>
        <v>1000000000000</v>
      </c>
      <c r="CF487" s="182">
        <f ca="1">IF($D487&lt;&gt;"Serviço",0,IF(OR(AND(AUTOEVENTO="Manual",$M487=1),$M487&gt;(ROW(PLE.lastrow)-ROW(PLE.firstrow))),0,IF(OFFSET(PLE!$G$14,$M487,CF$13)="",10^12,OFFSET(PLE!$G$14,$M487,CF$13))))</f>
        <v>1000000000000</v>
      </c>
      <c r="CG487" s="182">
        <f ca="1">IF($D487&lt;&gt;"Serviço",0,IF(OR(AND(AUTOEVENTO="Manual",$M487=1),$M487&gt;(ROW(PLE.lastrow)-ROW(PLE.firstrow))),0,IF(OFFSET(PLE!$G$14,$M487,CG$13)="",10^12,OFFSET(PLE!$G$14,$M487,CG$13))))</f>
        <v>1000000000000</v>
      </c>
      <c r="CH487" s="182">
        <f ca="1">IF($D487&lt;&gt;"Serviço",0,IF(OR(AND(AUTOEVENTO="Manual",$M487=1),$M487&gt;(ROW(PLE.lastrow)-ROW(PLE.firstrow))),0,IF(OFFSET(PLE!$G$14,$M487,CH$13)="",10^12,OFFSET(PLE!$G$14,$M487,CH$13))))</f>
        <v>1000000000000</v>
      </c>
      <c r="CI487" s="182">
        <f ca="1">IF($D487&lt;&gt;"Serviço",0,IF(OR(AND(AUTOEVENTO="Manual",$M487=1),$M487&gt;(ROW(PLE.lastrow)-ROW(PLE.firstrow))),0,IF(OFFSET(PLE!$G$14,$M487,CI$13)="",10^12,OFFSET(PLE!$G$14,$M487,CI$13))))</f>
        <v>1000000000000</v>
      </c>
      <c r="CJ487" s="182">
        <f ca="1">IF($D487&lt;&gt;"Serviço",0,IF(OR(AND(AUTOEVENTO="Manual",$M487=1),$M487&gt;(ROW(PLE.lastrow)-ROW(PLE.firstrow))),0,IF(OFFSET(PLE!$G$14,$M487,CJ$13)="",10^12,OFFSET(PLE!$G$14,$M487,CJ$13))))</f>
        <v>1000000000000</v>
      </c>
      <c r="CK487" s="182">
        <f ca="1">IF($D487&lt;&gt;"Serviço",0,IF(OR(AND(AUTOEVENTO="Manual",$M487=1),$M487&gt;(ROW(PLE.lastrow)-ROW(PLE.firstrow))),0,IF(OFFSET(PLE!$G$14,$M487,CK$13)="",10^12,OFFSET(PLE!$G$14,$M487,CK$13))))</f>
        <v>1000000000000</v>
      </c>
      <c r="CL487" s="182">
        <f ca="1">IF($D487&lt;&gt;"Serviço",0,IF(OR(AND(AUTOEVENTO="Manual",$M487=1),$M487&gt;(ROW(PLE.lastrow)-ROW(PLE.firstrow))),0,IF(OFFSET(PLE!$G$14,$M487,CL$13)="",10^12,OFFSET(PLE!$G$14,$M487,CL$13))))</f>
        <v>1000000000000</v>
      </c>
      <c r="CM487" s="182">
        <f ca="1">IF($D487&lt;&gt;"Serviço",0,IF(OR(AND(AUTOEVENTO="Manual",$M487=1),$M487&gt;(ROW(PLE.lastrow)-ROW(PLE.firstrow))),0,IF(OFFSET(PLE!$G$14,$M487,CM$13)="",10^12,OFFSET(PLE!$G$14,$M487,CM$13))))</f>
        <v>1000000000000</v>
      </c>
    </row>
    <row r="488" spans="1:91" ht="38.25" x14ac:dyDescent="0.2">
      <c r="A488" s="7" t="str">
        <f t="shared" ca="1" si="16"/>
        <v>464</v>
      </c>
      <c r="B488" s="7" t="str">
        <f ca="1">OFFSET(ORÇAMENTO!C$15,ROW(B488)-ROW(B$15),0)</f>
        <v>S</v>
      </c>
      <c r="C488" s="7" t="str">
        <f ca="1">OFFSET(ORÇAMENTO!L$15,ROW(C488)-ROW(C$15),0)</f>
        <v/>
      </c>
      <c r="D488" s="118" t="str">
        <f ca="1">OFFSET(ORÇAMENTO!N$15,ROW(D488)-ROW(D$15),0)</f>
        <v>Serviço</v>
      </c>
      <c r="E488" s="119" t="str">
        <f ca="1">OFFSET(ORÇAMENTO!O$15,ROW(E488)-ROW(E$15),0)</f>
        <v>-</v>
      </c>
      <c r="F488" s="172" t="str">
        <f ca="1">OFFSET(ORÇAMENTO!R$15,ROW(F488)-ROW(F$15),0)</f>
        <v>(abra o arquivo 'Referência 06-2024.xlsm)</v>
      </c>
      <c r="G488" s="173" t="str">
        <f ca="1">IF($D488&lt;&gt;"Serviço","",OFFSET(ORÇAMENTO!S$15,ROW(G488)-ROW(G$15),0))</f>
        <v>-</v>
      </c>
      <c r="H488" s="124">
        <f ca="1">IF($D488&lt;&gt;"Serviço",0,IF(ACOMPANHAMENTO="BM",ROUND(OFFSET(ORÇAMENTO!AJ$15,ROW(H488)-ROW(H$15),0),15-13*ORÇAMENTO!$AF$7),SUMPRODUCT(($Q$12:$AI$12&lt;&gt;"")*ROUND($Q488:$AI488,15-13*ORÇAMENTO!$AF$7))))</f>
        <v>4</v>
      </c>
      <c r="I488" s="561" t="s">
        <v>1107</v>
      </c>
      <c r="K488" s="174"/>
      <c r="L488" s="175" t="s">
        <v>255</v>
      </c>
      <c r="M488" s="176">
        <f ca="1">IF($D488&lt;&gt;"Serviço","",IF(AUTOEVENTO="manual",$A488,IF(ISERROR(MATCH($A488,$A$15:OFFSET($A488,-1,0),0)),MAX($M$15:OFFSET(M488,-1,0))+1,INDEX($M$15:OFFSET(M488,-1,0),MATCH($A488,$A$15:OFFSET($A488,-1,0),0)))))</f>
        <v>52</v>
      </c>
      <c r="N488" s="177" t="str">
        <f ca="1">IF($D488&lt;&gt;"Serviço","",IF(AUTOEVENTO="Manual",IF($A488=0,"&lt;-- defina o número do agrupador",OFFSET(EVENTOS!$D$14,$A488,0)),OFFSET($F$15,$A488,0)))</f>
        <v>INSTALAÇÃO ELÉTRICA 110V - ACESSÓRIOS PARA ELETRODUTOS</v>
      </c>
      <c r="O488" s="178"/>
      <c r="Q488" s="178">
        <v>4</v>
      </c>
      <c r="R488" s="179"/>
      <c r="S488" s="179"/>
      <c r="T488" s="179"/>
      <c r="U488" s="179"/>
      <c r="V488" s="179"/>
      <c r="W488" s="179"/>
      <c r="X488" s="179"/>
      <c r="Y488" s="179"/>
      <c r="Z488" s="180"/>
      <c r="AA488" s="179"/>
      <c r="AB488" s="179"/>
      <c r="AC488" s="179"/>
      <c r="AD488" s="179"/>
      <c r="AE488" s="179"/>
      <c r="AF488" s="179"/>
      <c r="AG488" s="179"/>
      <c r="AH488" s="180"/>
      <c r="AJ488" s="544">
        <f ca="1">IF(AND($D488="Serviço",AJ$12&lt;&gt;0,$H488&gt;0,OR(AUTOEVENTO&lt;&gt;"manual",$M488&lt;&gt;1)),
IF(Import.TipoArredondamento&lt;&gt;"TransfereGOV",
ROUND(OFFSET($P488,0,AJ$13),15-13*ORÇAMENTO!$AF$7)/$H488*OFFSET(ORÇAMENTO!$X$15,ROW(AJ488)-ROW(AJ$15),0),
ROUND(ROUND(OFFSET($P488,0,AJ$13),15-13*ORÇAMENTO!$AF$7)*OFFSET(ORÇAMENTO!$W$15,ROW(AJ488)-ROW(AJ$15),0),15-13*ORÇAMENTO!$AF$11)),0)</f>
        <v>0</v>
      </c>
      <c r="AK488" s="545">
        <f ca="1">IF(AND($D488="Serviço",AK$12&lt;&gt;0,$H488&gt;0,OR(AUTOEVENTO&lt;&gt;"manual",$M488&lt;&gt;1)),
IF(Import.TipoArredondamento&lt;&gt;"TransfereGOV",
ROUND(OFFSET($P488,0,AK$13),15-13*ORÇAMENTO!$AF$7)/$H488*OFFSET(ORÇAMENTO!$X$15,ROW(AK488)-ROW(AK$15),0),
ROUND(ROUND(OFFSET($P488,0,AK$13),15-13*ORÇAMENTO!$AF$7)*OFFSET(ORÇAMENTO!$W$15,ROW(AK488)-ROW(AK$15),0),15-13*ORÇAMENTO!$AF$11)),0)</f>
        <v>0</v>
      </c>
      <c r="AL488" s="545">
        <f ca="1">IF(AND($D488="Serviço",AL$12&lt;&gt;0,$H488&gt;0,OR(AUTOEVENTO&lt;&gt;"manual",$M488&lt;&gt;1)),
IF(Import.TipoArredondamento&lt;&gt;"TransfereGOV",
ROUND(OFFSET($P488,0,AL$13),15-13*ORÇAMENTO!$AF$7)/$H488*OFFSET(ORÇAMENTO!$X$15,ROW(AL488)-ROW(AL$15),0),
ROUND(ROUND(OFFSET($P488,0,AL$13),15-13*ORÇAMENTO!$AF$7)*OFFSET(ORÇAMENTO!$W$15,ROW(AL488)-ROW(AL$15),0),15-13*ORÇAMENTO!$AF$11)),0)</f>
        <v>0</v>
      </c>
      <c r="AM488" s="545">
        <f ca="1">IF(AND($D488="Serviço",AM$12&lt;&gt;0,$H488&gt;0,OR(AUTOEVENTO&lt;&gt;"manual",$M488&lt;&gt;1)),
IF(Import.TipoArredondamento&lt;&gt;"TransfereGOV",
ROUND(OFFSET($P488,0,AM$13),15-13*ORÇAMENTO!$AF$7)/$H488*OFFSET(ORÇAMENTO!$X$15,ROW(AM488)-ROW(AM$15),0),
ROUND(ROUND(OFFSET($P488,0,AM$13),15-13*ORÇAMENTO!$AF$7)*OFFSET(ORÇAMENTO!$W$15,ROW(AM488)-ROW(AM$15),0),15-13*ORÇAMENTO!$AF$11)),0)</f>
        <v>0</v>
      </c>
      <c r="AN488" s="545">
        <f ca="1">IF(AND($D488="Serviço",AN$12&lt;&gt;0,$H488&gt;0,OR(AUTOEVENTO&lt;&gt;"manual",$M488&lt;&gt;1)),
IF(Import.TipoArredondamento&lt;&gt;"TransfereGOV",
ROUND(OFFSET($P488,0,AN$13),15-13*ORÇAMENTO!$AF$7)/$H488*OFFSET(ORÇAMENTO!$X$15,ROW(AN488)-ROW(AN$15),0),
ROUND(ROUND(OFFSET($P488,0,AN$13),15-13*ORÇAMENTO!$AF$7)*OFFSET(ORÇAMENTO!$W$15,ROW(AN488)-ROW(AN$15),0),15-13*ORÇAMENTO!$AF$11)),0)</f>
        <v>0</v>
      </c>
      <c r="AO488" s="545">
        <f ca="1">IF(AND($D488="Serviço",AO$12&lt;&gt;0,$H488&gt;0,OR(AUTOEVENTO&lt;&gt;"manual",$M488&lt;&gt;1)),
IF(Import.TipoArredondamento&lt;&gt;"TransfereGOV",
ROUND(OFFSET($P488,0,AO$13),15-13*ORÇAMENTO!$AF$7)/$H488*OFFSET(ORÇAMENTO!$X$15,ROW(AO488)-ROW(AO$15),0),
ROUND(ROUND(OFFSET($P488,0,AO$13),15-13*ORÇAMENTO!$AF$7)*OFFSET(ORÇAMENTO!$W$15,ROW(AO488)-ROW(AO$15),0),15-13*ORÇAMENTO!$AF$11)),0)</f>
        <v>0</v>
      </c>
      <c r="AP488" s="545">
        <f ca="1">IF(AND($D488="Serviço",AP$12&lt;&gt;0,$H488&gt;0,OR(AUTOEVENTO&lt;&gt;"manual",$M488&lt;&gt;1)),
IF(Import.TipoArredondamento&lt;&gt;"TransfereGOV",
ROUND(OFFSET($P488,0,AP$13),15-13*ORÇAMENTO!$AF$7)/$H488*OFFSET(ORÇAMENTO!$X$15,ROW(AP488)-ROW(AP$15),0),
ROUND(ROUND(OFFSET($P488,0,AP$13),15-13*ORÇAMENTO!$AF$7)*OFFSET(ORÇAMENTO!$W$15,ROW(AP488)-ROW(AP$15),0),15-13*ORÇAMENTO!$AF$11)),0)</f>
        <v>0</v>
      </c>
      <c r="AQ488" s="545">
        <f ca="1">IF(AND($D488="Serviço",AQ$12&lt;&gt;0,$H488&gt;0,OR(AUTOEVENTO&lt;&gt;"manual",$M488&lt;&gt;1)),
IF(Import.TipoArredondamento&lt;&gt;"TransfereGOV",
ROUND(OFFSET($P488,0,AQ$13),15-13*ORÇAMENTO!$AF$7)/$H488*OFFSET(ORÇAMENTO!$X$15,ROW(AQ488)-ROW(AQ$15),0),
ROUND(ROUND(OFFSET($P488,0,AQ$13),15-13*ORÇAMENTO!$AF$7)*OFFSET(ORÇAMENTO!$W$15,ROW(AQ488)-ROW(AQ$15),0),15-13*ORÇAMENTO!$AF$11)),0)</f>
        <v>0</v>
      </c>
      <c r="AR488" s="545">
        <f ca="1">IF(AND($D488="Serviço",AR$12&lt;&gt;0,$H488&gt;0,OR(AUTOEVENTO&lt;&gt;"manual",$M488&lt;&gt;1)),
IF(Import.TipoArredondamento&lt;&gt;"TransfereGOV",
ROUND(OFFSET($P488,0,AR$13),15-13*ORÇAMENTO!$AF$7)/$H488*OFFSET(ORÇAMENTO!$X$15,ROW(AR488)-ROW(AR$15),0),
ROUND(ROUND(OFFSET($P488,0,AR$13),15-13*ORÇAMENTO!$AF$7)*OFFSET(ORÇAMENTO!$W$15,ROW(AR488)-ROW(AR$15),0),15-13*ORÇAMENTO!$AF$11)),0)</f>
        <v>0</v>
      </c>
      <c r="AS488" s="546">
        <f ca="1">IF(AND($D488="Serviço",AS$12&lt;&gt;0,$H488&gt;0,OR(AUTOEVENTO&lt;&gt;"manual",$M488&lt;&gt;1)),
IF(Import.TipoArredondamento&lt;&gt;"TransfereGOV",
ROUND(OFFSET($P488,0,AS$13),15-13*ORÇAMENTO!$AF$7)/$H488*OFFSET(ORÇAMENTO!$X$15,ROW(AS488)-ROW(AS$15),0),
ROUND(ROUND(OFFSET($P488,0,AS$13),15-13*ORÇAMENTO!$AF$7)*OFFSET(ORÇAMENTO!$W$15,ROW(AS488)-ROW(AS$15),0),15-13*ORÇAMENTO!$AF$11)),0)</f>
        <v>0</v>
      </c>
      <c r="AT488" s="545">
        <f ca="1">IF(AND($D488="Serviço",AT$12&lt;&gt;0,$H488&gt;0,OR(AUTOEVENTO&lt;&gt;"manual",$M488&lt;&gt;1)),
IF(Import.TipoArredondamento&lt;&gt;"TransfereGOV",
ROUND(OFFSET($P488,0,AT$13),15-13*ORÇAMENTO!$AF$7)/$H488*OFFSET(ORÇAMENTO!$X$15,ROW(AT488)-ROW(AT$15),0),
ROUND(ROUND(OFFSET($P488,0,AT$13),15-13*ORÇAMENTO!$AF$7)*OFFSET(ORÇAMENTO!$W$15,ROW(AT488)-ROW(AT$15),0),15-13*ORÇAMENTO!$AF$11)),0)</f>
        <v>0</v>
      </c>
      <c r="AU488" s="545">
        <f ca="1">IF(AND($D488="Serviço",AU$12&lt;&gt;0,$H488&gt;0,OR(AUTOEVENTO&lt;&gt;"manual",$M488&lt;&gt;1)),
IF(Import.TipoArredondamento&lt;&gt;"TransfereGOV",
ROUND(OFFSET($P488,0,AU$13),15-13*ORÇAMENTO!$AF$7)/$H488*OFFSET(ORÇAMENTO!$X$15,ROW(AU488)-ROW(AU$15),0),
ROUND(ROUND(OFFSET($P488,0,AU$13),15-13*ORÇAMENTO!$AF$7)*OFFSET(ORÇAMENTO!$W$15,ROW(AU488)-ROW(AU$15),0),15-13*ORÇAMENTO!$AF$11)),0)</f>
        <v>0</v>
      </c>
      <c r="AV488" s="545">
        <f ca="1">IF(AND($D488="Serviço",AV$12&lt;&gt;0,$H488&gt;0,OR(AUTOEVENTO&lt;&gt;"manual",$M488&lt;&gt;1)),
IF(Import.TipoArredondamento&lt;&gt;"TransfereGOV",
ROUND(OFFSET($P488,0,AV$13),15-13*ORÇAMENTO!$AF$7)/$H488*OFFSET(ORÇAMENTO!$X$15,ROW(AV488)-ROW(AV$15),0),
ROUND(ROUND(OFFSET($P488,0,AV$13),15-13*ORÇAMENTO!$AF$7)*OFFSET(ORÇAMENTO!$W$15,ROW(AV488)-ROW(AV$15),0),15-13*ORÇAMENTO!$AF$11)),0)</f>
        <v>0</v>
      </c>
      <c r="AW488" s="545">
        <f ca="1">IF(AND($D488="Serviço",AW$12&lt;&gt;0,$H488&gt;0,OR(AUTOEVENTO&lt;&gt;"manual",$M488&lt;&gt;1)),
IF(Import.TipoArredondamento&lt;&gt;"TransfereGOV",
ROUND(OFFSET($P488,0,AW$13),15-13*ORÇAMENTO!$AF$7)/$H488*OFFSET(ORÇAMENTO!$X$15,ROW(AW488)-ROW(AW$15),0),
ROUND(ROUND(OFFSET($P488,0,AW$13),15-13*ORÇAMENTO!$AF$7)*OFFSET(ORÇAMENTO!$W$15,ROW(AW488)-ROW(AW$15),0),15-13*ORÇAMENTO!$AF$11)),0)</f>
        <v>0</v>
      </c>
      <c r="AX488" s="545">
        <f ca="1">IF(AND($D488="Serviço",AX$12&lt;&gt;0,$H488&gt;0,OR(AUTOEVENTO&lt;&gt;"manual",$M488&lt;&gt;1)),
IF(Import.TipoArredondamento&lt;&gt;"TransfereGOV",
ROUND(OFFSET($P488,0,AX$13),15-13*ORÇAMENTO!$AF$7)/$H488*OFFSET(ORÇAMENTO!$X$15,ROW(AX488)-ROW(AX$15),0),
ROUND(ROUND(OFFSET($P488,0,AX$13),15-13*ORÇAMENTO!$AF$7)*OFFSET(ORÇAMENTO!$W$15,ROW(AX488)-ROW(AX$15),0),15-13*ORÇAMENTO!$AF$11)),0)</f>
        <v>0</v>
      </c>
      <c r="AY488" s="545">
        <f ca="1">IF(AND($D488="Serviço",AY$12&lt;&gt;0,$H488&gt;0,OR(AUTOEVENTO&lt;&gt;"manual",$M488&lt;&gt;1)),
IF(Import.TipoArredondamento&lt;&gt;"TransfereGOV",
ROUND(OFFSET($P488,0,AY$13),15-13*ORÇAMENTO!$AF$7)/$H488*OFFSET(ORÇAMENTO!$X$15,ROW(AY488)-ROW(AY$15),0),
ROUND(ROUND(OFFSET($P488,0,AY$13),15-13*ORÇAMENTO!$AF$7)*OFFSET(ORÇAMENTO!$W$15,ROW(AY488)-ROW(AY$15),0),15-13*ORÇAMENTO!$AF$11)),0)</f>
        <v>0</v>
      </c>
      <c r="AZ488" s="545">
        <f ca="1">IF(AND($D488="Serviço",AZ$12&lt;&gt;0,$H488&gt;0,OR(AUTOEVENTO&lt;&gt;"manual",$M488&lt;&gt;1)),
IF(Import.TipoArredondamento&lt;&gt;"TransfereGOV",
ROUND(OFFSET($P488,0,AZ$13),15-13*ORÇAMENTO!$AF$7)/$H488*OFFSET(ORÇAMENTO!$X$15,ROW(AZ488)-ROW(AZ$15),0),
ROUND(ROUND(OFFSET($P488,0,AZ$13),15-13*ORÇAMENTO!$AF$7)*OFFSET(ORÇAMENTO!$W$15,ROW(AZ488)-ROW(AZ$15),0),15-13*ORÇAMENTO!$AF$11)),0)</f>
        <v>0</v>
      </c>
      <c r="BA488" s="546">
        <f ca="1">IF(AND($D488="Serviço",BA$12&lt;&gt;0,$H488&gt;0,OR(AUTOEVENTO&lt;&gt;"manual",$M488&lt;&gt;1)),
IF(Import.TipoArredondamento&lt;&gt;"TransfereGOV",
ROUND(OFFSET($P488,0,BA$13),15-13*ORÇAMENTO!$AF$7)/$H488*OFFSET(ORÇAMENTO!$X$15,ROW(BA488)-ROW(BA$15),0),
ROUND(ROUND(OFFSET($P488,0,BA$13),15-13*ORÇAMENTO!$AF$7)*OFFSET(ORÇAMENTO!$W$15,ROW(BA488)-ROW(BA$15),0),15-13*ORÇAMENTO!$AF$11)),0)</f>
        <v>0</v>
      </c>
      <c r="BC488" s="181">
        <f ca="1">IF($D488&lt;&gt;"Serviço",0,IF(AND(AUTOEVENTO="Manual",$M488=1),0,IF(OFFSET(CRONOPLE!$F$14,$M488,BC$13)="",10^12,OFFSET(CRONOPLE!$F$14,$M488,BC$13))))</f>
        <v>10</v>
      </c>
      <c r="BD488" s="181">
        <f ca="1">IF($D488&lt;&gt;"Serviço",0,IF(AND(AUTOEVENTO="Manual",$M488=1),0,IF(OFFSET(CRONOPLE!$F$14,$M488,BD$13)="",10^12,OFFSET(CRONOPLE!$F$14,$M488,BD$13))))</f>
        <v>1000000000000</v>
      </c>
      <c r="BE488" s="181">
        <f ca="1">IF($D488&lt;&gt;"Serviço",0,IF(AND(AUTOEVENTO="Manual",$M488=1),0,IF(OFFSET(CRONOPLE!$F$14,$M488,BE$13)="",10^12,OFFSET(CRONOPLE!$F$14,$M488,BE$13))))</f>
        <v>1000000000000</v>
      </c>
      <c r="BF488" s="181">
        <f ca="1">IF($D488&lt;&gt;"Serviço",0,IF(AND(AUTOEVENTO="Manual",$M488=1),0,IF(OFFSET(CRONOPLE!$F$14,$M488,BF$13)="",10^12,OFFSET(CRONOPLE!$F$14,$M488,BF$13))))</f>
        <v>1000000000000</v>
      </c>
      <c r="BG488" s="181">
        <f ca="1">IF($D488&lt;&gt;"Serviço",0,IF(AND(AUTOEVENTO="Manual",$M488=1),0,IF(OFFSET(CRONOPLE!$F$14,$M488,BG$13)="",10^12,OFFSET(CRONOPLE!$F$14,$M488,BG$13))))</f>
        <v>1000000000000</v>
      </c>
      <c r="BH488" s="181">
        <f ca="1">IF($D488&lt;&gt;"Serviço",0,IF(AND(AUTOEVENTO="Manual",$M488=1),0,IF(OFFSET(CRONOPLE!$F$14,$M488,BH$13)="",10^12,OFFSET(CRONOPLE!$F$14,$M488,BH$13))))</f>
        <v>1000000000000</v>
      </c>
      <c r="BI488" s="181">
        <f ca="1">IF($D488&lt;&gt;"Serviço",0,IF(AND(AUTOEVENTO="Manual",$M488=1),0,IF(OFFSET(CRONOPLE!$F$14,$M488,BI$13)="",10^12,OFFSET(CRONOPLE!$F$14,$M488,BI$13))))</f>
        <v>1000000000000</v>
      </c>
      <c r="BJ488" s="181">
        <f ca="1">IF($D488&lt;&gt;"Serviço",0,IF(AND(AUTOEVENTO="Manual",$M488=1),0,IF(OFFSET(CRONOPLE!$F$14,$M488,BJ$13)="",10^12,OFFSET(CRONOPLE!$F$14,$M488,BJ$13))))</f>
        <v>1000000000000</v>
      </c>
      <c r="BK488" s="181">
        <f ca="1">IF($D488&lt;&gt;"Serviço",0,IF(AND(AUTOEVENTO="Manual",$M488=1),0,IF(OFFSET(CRONOPLE!$F$14,$M488,BK$13)="",10^12,OFFSET(CRONOPLE!$F$14,$M488,BK$13))))</f>
        <v>1000000000000</v>
      </c>
      <c r="BL488" s="181">
        <f ca="1">IF($D488&lt;&gt;"Serviço",0,IF(AND(AUTOEVENTO="Manual",$M488=1),0,IF(OFFSET(CRONOPLE!$F$14,$M488,BL$13)="",10^12,OFFSET(CRONOPLE!$F$14,$M488,BL$13))))</f>
        <v>1000000000000</v>
      </c>
      <c r="BM488" s="181">
        <f ca="1">IF($D488&lt;&gt;"Serviço",0,IF(AND(AUTOEVENTO="Manual",$M488=1),0,IF(OFFSET(CRONOPLE!$F$14,$M488,BM$13)="",10^12,OFFSET(CRONOPLE!$F$14,$M488,BM$13))))</f>
        <v>1000000000000</v>
      </c>
      <c r="BN488" s="181">
        <f ca="1">IF($D488&lt;&gt;"Serviço",0,IF(AND(AUTOEVENTO="Manual",$M488=1),0,IF(OFFSET(CRONOPLE!$F$14,$M488,BN$13)="",10^12,OFFSET(CRONOPLE!$F$14,$M488,BN$13))))</f>
        <v>1000000000000</v>
      </c>
      <c r="BO488" s="181">
        <f ca="1">IF($D488&lt;&gt;"Serviço",0,IF(AND(AUTOEVENTO="Manual",$M488=1),0,IF(OFFSET(CRONOPLE!$F$14,$M488,BO$13)="",10^12,OFFSET(CRONOPLE!$F$14,$M488,BO$13))))</f>
        <v>1000000000000</v>
      </c>
      <c r="BP488" s="181">
        <f ca="1">IF($D488&lt;&gt;"Serviço",0,IF(AND(AUTOEVENTO="Manual",$M488=1),0,IF(OFFSET(CRONOPLE!$F$14,$M488,BP$13)="",10^12,OFFSET(CRONOPLE!$F$14,$M488,BP$13))))</f>
        <v>1000000000000</v>
      </c>
      <c r="BQ488" s="181">
        <f ca="1">IF($D488&lt;&gt;"Serviço",0,IF(AND(AUTOEVENTO="Manual",$M488=1),0,IF(OFFSET(CRONOPLE!$F$14,$M488,BQ$13)="",10^12,OFFSET(CRONOPLE!$F$14,$M488,BQ$13))))</f>
        <v>1000000000000</v>
      </c>
      <c r="BR488" s="181">
        <f ca="1">IF($D488&lt;&gt;"Serviço",0,IF(AND(AUTOEVENTO="Manual",$M488=1),0,IF(OFFSET(CRONOPLE!$F$14,$M488,BR$13)="",10^12,OFFSET(CRONOPLE!$F$14,$M488,BR$13))))</f>
        <v>1000000000000</v>
      </c>
      <c r="BS488" s="181">
        <f ca="1">IF($D488&lt;&gt;"Serviço",0,IF(AND(AUTOEVENTO="Manual",$M488=1),0,IF(OFFSET(CRONOPLE!$F$14,$M488,BS$13)="",10^12,OFFSET(CRONOPLE!$F$14,$M488,BS$13))))</f>
        <v>1000000000000</v>
      </c>
      <c r="BT488" s="181">
        <f ca="1">IF($D488&lt;&gt;"Serviço",0,IF(AND(AUTOEVENTO="Manual",$M488=1),0,IF(OFFSET(CRONOPLE!$F$14,$M488,BT$13)="",10^12,OFFSET(CRONOPLE!$F$14,$M488,BT$13))))</f>
        <v>1000000000000</v>
      </c>
      <c r="BV488" s="182">
        <f ca="1">IF($D488&lt;&gt;"Serviço",0,IF(OR(AND(AUTOEVENTO="Manual",$M488=1),$M488&gt;(ROW(PLE.lastrow)-ROW(PLE.firstrow))),0,IF(OFFSET(PLE!$G$14,$M488,BV$13)="",10^12,OFFSET(PLE!$G$14,$M488,BV$13))))</f>
        <v>1000000000000</v>
      </c>
      <c r="BW488" s="182">
        <f ca="1">IF($D488&lt;&gt;"Serviço",0,IF(OR(AND(AUTOEVENTO="Manual",$M488=1),$M488&gt;(ROW(PLE.lastrow)-ROW(PLE.firstrow))),0,IF(OFFSET(PLE!$G$14,$M488,BW$13)="",10^12,OFFSET(PLE!$G$14,$M488,BW$13))))</f>
        <v>1000000000000</v>
      </c>
      <c r="BX488" s="182">
        <f ca="1">IF($D488&lt;&gt;"Serviço",0,IF(OR(AND(AUTOEVENTO="Manual",$M488=1),$M488&gt;(ROW(PLE.lastrow)-ROW(PLE.firstrow))),0,IF(OFFSET(PLE!$G$14,$M488,BX$13)="",10^12,OFFSET(PLE!$G$14,$M488,BX$13))))</f>
        <v>1000000000000</v>
      </c>
      <c r="BY488" s="182">
        <f ca="1">IF($D488&lt;&gt;"Serviço",0,IF(OR(AND(AUTOEVENTO="Manual",$M488=1),$M488&gt;(ROW(PLE.lastrow)-ROW(PLE.firstrow))),0,IF(OFFSET(PLE!$G$14,$M488,BY$13)="",10^12,OFFSET(PLE!$G$14,$M488,BY$13))))</f>
        <v>1000000000000</v>
      </c>
      <c r="BZ488" s="182">
        <f ca="1">IF($D488&lt;&gt;"Serviço",0,IF(OR(AND(AUTOEVENTO="Manual",$M488=1),$M488&gt;(ROW(PLE.lastrow)-ROW(PLE.firstrow))),0,IF(OFFSET(PLE!$G$14,$M488,BZ$13)="",10^12,OFFSET(PLE!$G$14,$M488,BZ$13))))</f>
        <v>1000000000000</v>
      </c>
      <c r="CA488" s="182">
        <f ca="1">IF($D488&lt;&gt;"Serviço",0,IF(OR(AND(AUTOEVENTO="Manual",$M488=1),$M488&gt;(ROW(PLE.lastrow)-ROW(PLE.firstrow))),0,IF(OFFSET(PLE!$G$14,$M488,CA$13)="",10^12,OFFSET(PLE!$G$14,$M488,CA$13))))</f>
        <v>1000000000000</v>
      </c>
      <c r="CB488" s="182">
        <f ca="1">IF($D488&lt;&gt;"Serviço",0,IF(OR(AND(AUTOEVENTO="Manual",$M488=1),$M488&gt;(ROW(PLE.lastrow)-ROW(PLE.firstrow))),0,IF(OFFSET(PLE!$G$14,$M488,CB$13)="",10^12,OFFSET(PLE!$G$14,$M488,CB$13))))</f>
        <v>1000000000000</v>
      </c>
      <c r="CC488" s="182">
        <f ca="1">IF($D488&lt;&gt;"Serviço",0,IF(OR(AND(AUTOEVENTO="Manual",$M488=1),$M488&gt;(ROW(PLE.lastrow)-ROW(PLE.firstrow))),0,IF(OFFSET(PLE!$G$14,$M488,CC$13)="",10^12,OFFSET(PLE!$G$14,$M488,CC$13))))</f>
        <v>1000000000000</v>
      </c>
      <c r="CD488" s="182">
        <f ca="1">IF($D488&lt;&gt;"Serviço",0,IF(OR(AND(AUTOEVENTO="Manual",$M488=1),$M488&gt;(ROW(PLE.lastrow)-ROW(PLE.firstrow))),0,IF(OFFSET(PLE!$G$14,$M488,CD$13)="",10^12,OFFSET(PLE!$G$14,$M488,CD$13))))</f>
        <v>1000000000000</v>
      </c>
      <c r="CE488" s="182">
        <f ca="1">IF($D488&lt;&gt;"Serviço",0,IF(OR(AND(AUTOEVENTO="Manual",$M488=1),$M488&gt;(ROW(PLE.lastrow)-ROW(PLE.firstrow))),0,IF(OFFSET(PLE!$G$14,$M488,CE$13)="",10^12,OFFSET(PLE!$G$14,$M488,CE$13))))</f>
        <v>1000000000000</v>
      </c>
      <c r="CF488" s="182">
        <f ca="1">IF($D488&lt;&gt;"Serviço",0,IF(OR(AND(AUTOEVENTO="Manual",$M488=1),$M488&gt;(ROW(PLE.lastrow)-ROW(PLE.firstrow))),0,IF(OFFSET(PLE!$G$14,$M488,CF$13)="",10^12,OFFSET(PLE!$G$14,$M488,CF$13))))</f>
        <v>1000000000000</v>
      </c>
      <c r="CG488" s="182">
        <f ca="1">IF($D488&lt;&gt;"Serviço",0,IF(OR(AND(AUTOEVENTO="Manual",$M488=1),$M488&gt;(ROW(PLE.lastrow)-ROW(PLE.firstrow))),0,IF(OFFSET(PLE!$G$14,$M488,CG$13)="",10^12,OFFSET(PLE!$G$14,$M488,CG$13))))</f>
        <v>1000000000000</v>
      </c>
      <c r="CH488" s="182">
        <f ca="1">IF($D488&lt;&gt;"Serviço",0,IF(OR(AND(AUTOEVENTO="Manual",$M488=1),$M488&gt;(ROW(PLE.lastrow)-ROW(PLE.firstrow))),0,IF(OFFSET(PLE!$G$14,$M488,CH$13)="",10^12,OFFSET(PLE!$G$14,$M488,CH$13))))</f>
        <v>1000000000000</v>
      </c>
      <c r="CI488" s="182">
        <f ca="1">IF($D488&lt;&gt;"Serviço",0,IF(OR(AND(AUTOEVENTO="Manual",$M488=1),$M488&gt;(ROW(PLE.lastrow)-ROW(PLE.firstrow))),0,IF(OFFSET(PLE!$G$14,$M488,CI$13)="",10^12,OFFSET(PLE!$G$14,$M488,CI$13))))</f>
        <v>1000000000000</v>
      </c>
      <c r="CJ488" s="182">
        <f ca="1">IF($D488&lt;&gt;"Serviço",0,IF(OR(AND(AUTOEVENTO="Manual",$M488=1),$M488&gt;(ROW(PLE.lastrow)-ROW(PLE.firstrow))),0,IF(OFFSET(PLE!$G$14,$M488,CJ$13)="",10^12,OFFSET(PLE!$G$14,$M488,CJ$13))))</f>
        <v>1000000000000</v>
      </c>
      <c r="CK488" s="182">
        <f ca="1">IF($D488&lt;&gt;"Serviço",0,IF(OR(AND(AUTOEVENTO="Manual",$M488=1),$M488&gt;(ROW(PLE.lastrow)-ROW(PLE.firstrow))),0,IF(OFFSET(PLE!$G$14,$M488,CK$13)="",10^12,OFFSET(PLE!$G$14,$M488,CK$13))))</f>
        <v>1000000000000</v>
      </c>
      <c r="CL488" s="182">
        <f ca="1">IF($D488&lt;&gt;"Serviço",0,IF(OR(AND(AUTOEVENTO="Manual",$M488=1),$M488&gt;(ROW(PLE.lastrow)-ROW(PLE.firstrow))),0,IF(OFFSET(PLE!$G$14,$M488,CL$13)="",10^12,OFFSET(PLE!$G$14,$M488,CL$13))))</f>
        <v>1000000000000</v>
      </c>
      <c r="CM488" s="182">
        <f ca="1">IF($D488&lt;&gt;"Serviço",0,IF(OR(AND(AUTOEVENTO="Manual",$M488=1),$M488&gt;(ROW(PLE.lastrow)-ROW(PLE.firstrow))),0,IF(OFFSET(PLE!$G$14,$M488,CM$13)="",10^12,OFFSET(PLE!$G$14,$M488,CM$13))))</f>
        <v>1000000000000</v>
      </c>
    </row>
    <row r="489" spans="1:91" ht="38.25" x14ac:dyDescent="0.2">
      <c r="A489" s="7" t="str">
        <f t="shared" ca="1" si="16"/>
        <v>464</v>
      </c>
      <c r="B489" s="7" t="str">
        <f ca="1">OFFSET(ORÇAMENTO!C$15,ROW(B489)-ROW(B$15),0)</f>
        <v>S</v>
      </c>
      <c r="C489" s="7" t="str">
        <f ca="1">OFFSET(ORÇAMENTO!L$15,ROW(C489)-ROW(C$15),0)</f>
        <v/>
      </c>
      <c r="D489" s="118" t="str">
        <f ca="1">OFFSET(ORÇAMENTO!N$15,ROW(D489)-ROW(D$15),0)</f>
        <v>Serviço</v>
      </c>
      <c r="E489" s="119" t="str">
        <f ca="1">OFFSET(ORÇAMENTO!O$15,ROW(E489)-ROW(E$15),0)</f>
        <v>-</v>
      </c>
      <c r="F489" s="172" t="str">
        <f ca="1">OFFSET(ORÇAMENTO!R$15,ROW(F489)-ROW(F$15),0)</f>
        <v>(abra o arquivo 'Referência 06-2024.xlsm)</v>
      </c>
      <c r="G489" s="173" t="str">
        <f ca="1">IF($D489&lt;&gt;"Serviço","",OFFSET(ORÇAMENTO!S$15,ROW(G489)-ROW(G$15),0))</f>
        <v>-</v>
      </c>
      <c r="H489" s="124">
        <f ca="1">IF($D489&lt;&gt;"Serviço",0,IF(ACOMPANHAMENTO="BM",ROUND(OFFSET(ORÇAMENTO!AJ$15,ROW(H489)-ROW(H$15),0),15-13*ORÇAMENTO!$AF$7),SUMPRODUCT(($Q$12:$AI$12&lt;&gt;"")*ROUND($Q489:$AI489,15-13*ORÇAMENTO!$AF$7))))</f>
        <v>4</v>
      </c>
      <c r="I489" s="561" t="s">
        <v>1107</v>
      </c>
      <c r="K489" s="174"/>
      <c r="L489" s="175" t="s">
        <v>255</v>
      </c>
      <c r="M489" s="176">
        <f ca="1">IF($D489&lt;&gt;"Serviço","",IF(AUTOEVENTO="manual",$A489,IF(ISERROR(MATCH($A489,$A$15:OFFSET($A489,-1,0),0)),MAX($M$15:OFFSET(M489,-1,0))+1,INDEX($M$15:OFFSET(M489,-1,0),MATCH($A489,$A$15:OFFSET($A489,-1,0),0)))))</f>
        <v>52</v>
      </c>
      <c r="N489" s="177" t="str">
        <f ca="1">IF($D489&lt;&gt;"Serviço","",IF(AUTOEVENTO="Manual",IF($A489=0,"&lt;-- defina o número do agrupador",OFFSET(EVENTOS!$D$14,$A489,0)),OFFSET($F$15,$A489,0)))</f>
        <v>INSTALAÇÃO ELÉTRICA 110V - ACESSÓRIOS PARA ELETRODUTOS</v>
      </c>
      <c r="O489" s="178"/>
      <c r="Q489" s="178">
        <v>4</v>
      </c>
      <c r="R489" s="179"/>
      <c r="S489" s="179"/>
      <c r="T489" s="179"/>
      <c r="U489" s="179"/>
      <c r="V489" s="179"/>
      <c r="W489" s="179"/>
      <c r="X489" s="179"/>
      <c r="Y489" s="179"/>
      <c r="Z489" s="180"/>
      <c r="AA489" s="179"/>
      <c r="AB489" s="179"/>
      <c r="AC489" s="179"/>
      <c r="AD489" s="179"/>
      <c r="AE489" s="179"/>
      <c r="AF489" s="179"/>
      <c r="AG489" s="179"/>
      <c r="AH489" s="180"/>
      <c r="AJ489" s="544">
        <f ca="1">IF(AND($D489="Serviço",AJ$12&lt;&gt;0,$H489&gt;0,OR(AUTOEVENTO&lt;&gt;"manual",$M489&lt;&gt;1)),
IF(Import.TipoArredondamento&lt;&gt;"TransfereGOV",
ROUND(OFFSET($P489,0,AJ$13),15-13*ORÇAMENTO!$AF$7)/$H489*OFFSET(ORÇAMENTO!$X$15,ROW(AJ489)-ROW(AJ$15),0),
ROUND(ROUND(OFFSET($P489,0,AJ$13),15-13*ORÇAMENTO!$AF$7)*OFFSET(ORÇAMENTO!$W$15,ROW(AJ489)-ROW(AJ$15),0),15-13*ORÇAMENTO!$AF$11)),0)</f>
        <v>0</v>
      </c>
      <c r="AK489" s="545">
        <f ca="1">IF(AND($D489="Serviço",AK$12&lt;&gt;0,$H489&gt;0,OR(AUTOEVENTO&lt;&gt;"manual",$M489&lt;&gt;1)),
IF(Import.TipoArredondamento&lt;&gt;"TransfereGOV",
ROUND(OFFSET($P489,0,AK$13),15-13*ORÇAMENTO!$AF$7)/$H489*OFFSET(ORÇAMENTO!$X$15,ROW(AK489)-ROW(AK$15),0),
ROUND(ROUND(OFFSET($P489,0,AK$13),15-13*ORÇAMENTO!$AF$7)*OFFSET(ORÇAMENTO!$W$15,ROW(AK489)-ROW(AK$15),0),15-13*ORÇAMENTO!$AF$11)),0)</f>
        <v>0</v>
      </c>
      <c r="AL489" s="545">
        <f ca="1">IF(AND($D489="Serviço",AL$12&lt;&gt;0,$H489&gt;0,OR(AUTOEVENTO&lt;&gt;"manual",$M489&lt;&gt;1)),
IF(Import.TipoArredondamento&lt;&gt;"TransfereGOV",
ROUND(OFFSET($P489,0,AL$13),15-13*ORÇAMENTO!$AF$7)/$H489*OFFSET(ORÇAMENTO!$X$15,ROW(AL489)-ROW(AL$15),0),
ROUND(ROUND(OFFSET($P489,0,AL$13),15-13*ORÇAMENTO!$AF$7)*OFFSET(ORÇAMENTO!$W$15,ROW(AL489)-ROW(AL$15),0),15-13*ORÇAMENTO!$AF$11)),0)</f>
        <v>0</v>
      </c>
      <c r="AM489" s="545">
        <f ca="1">IF(AND($D489="Serviço",AM$12&lt;&gt;0,$H489&gt;0,OR(AUTOEVENTO&lt;&gt;"manual",$M489&lt;&gt;1)),
IF(Import.TipoArredondamento&lt;&gt;"TransfereGOV",
ROUND(OFFSET($P489,0,AM$13),15-13*ORÇAMENTO!$AF$7)/$H489*OFFSET(ORÇAMENTO!$X$15,ROW(AM489)-ROW(AM$15),0),
ROUND(ROUND(OFFSET($P489,0,AM$13),15-13*ORÇAMENTO!$AF$7)*OFFSET(ORÇAMENTO!$W$15,ROW(AM489)-ROW(AM$15),0),15-13*ORÇAMENTO!$AF$11)),0)</f>
        <v>0</v>
      </c>
      <c r="AN489" s="545">
        <f ca="1">IF(AND($D489="Serviço",AN$12&lt;&gt;0,$H489&gt;0,OR(AUTOEVENTO&lt;&gt;"manual",$M489&lt;&gt;1)),
IF(Import.TipoArredondamento&lt;&gt;"TransfereGOV",
ROUND(OFFSET($P489,0,AN$13),15-13*ORÇAMENTO!$AF$7)/$H489*OFFSET(ORÇAMENTO!$X$15,ROW(AN489)-ROW(AN$15),0),
ROUND(ROUND(OFFSET($P489,0,AN$13),15-13*ORÇAMENTO!$AF$7)*OFFSET(ORÇAMENTO!$W$15,ROW(AN489)-ROW(AN$15),0),15-13*ORÇAMENTO!$AF$11)),0)</f>
        <v>0</v>
      </c>
      <c r="AO489" s="545">
        <f ca="1">IF(AND($D489="Serviço",AO$12&lt;&gt;0,$H489&gt;0,OR(AUTOEVENTO&lt;&gt;"manual",$M489&lt;&gt;1)),
IF(Import.TipoArredondamento&lt;&gt;"TransfereGOV",
ROUND(OFFSET($P489,0,AO$13),15-13*ORÇAMENTO!$AF$7)/$H489*OFFSET(ORÇAMENTO!$X$15,ROW(AO489)-ROW(AO$15),0),
ROUND(ROUND(OFFSET($P489,0,AO$13),15-13*ORÇAMENTO!$AF$7)*OFFSET(ORÇAMENTO!$W$15,ROW(AO489)-ROW(AO$15),0),15-13*ORÇAMENTO!$AF$11)),0)</f>
        <v>0</v>
      </c>
      <c r="AP489" s="545">
        <f ca="1">IF(AND($D489="Serviço",AP$12&lt;&gt;0,$H489&gt;0,OR(AUTOEVENTO&lt;&gt;"manual",$M489&lt;&gt;1)),
IF(Import.TipoArredondamento&lt;&gt;"TransfereGOV",
ROUND(OFFSET($P489,0,AP$13),15-13*ORÇAMENTO!$AF$7)/$H489*OFFSET(ORÇAMENTO!$X$15,ROW(AP489)-ROW(AP$15),0),
ROUND(ROUND(OFFSET($P489,0,AP$13),15-13*ORÇAMENTO!$AF$7)*OFFSET(ORÇAMENTO!$W$15,ROW(AP489)-ROW(AP$15),0),15-13*ORÇAMENTO!$AF$11)),0)</f>
        <v>0</v>
      </c>
      <c r="AQ489" s="545">
        <f ca="1">IF(AND($D489="Serviço",AQ$12&lt;&gt;0,$H489&gt;0,OR(AUTOEVENTO&lt;&gt;"manual",$M489&lt;&gt;1)),
IF(Import.TipoArredondamento&lt;&gt;"TransfereGOV",
ROUND(OFFSET($P489,0,AQ$13),15-13*ORÇAMENTO!$AF$7)/$H489*OFFSET(ORÇAMENTO!$X$15,ROW(AQ489)-ROW(AQ$15),0),
ROUND(ROUND(OFFSET($P489,0,AQ$13),15-13*ORÇAMENTO!$AF$7)*OFFSET(ORÇAMENTO!$W$15,ROW(AQ489)-ROW(AQ$15),0),15-13*ORÇAMENTO!$AF$11)),0)</f>
        <v>0</v>
      </c>
      <c r="AR489" s="545">
        <f ca="1">IF(AND($D489="Serviço",AR$12&lt;&gt;0,$H489&gt;0,OR(AUTOEVENTO&lt;&gt;"manual",$M489&lt;&gt;1)),
IF(Import.TipoArredondamento&lt;&gt;"TransfereGOV",
ROUND(OFFSET($P489,0,AR$13),15-13*ORÇAMENTO!$AF$7)/$H489*OFFSET(ORÇAMENTO!$X$15,ROW(AR489)-ROW(AR$15),0),
ROUND(ROUND(OFFSET($P489,0,AR$13),15-13*ORÇAMENTO!$AF$7)*OFFSET(ORÇAMENTO!$W$15,ROW(AR489)-ROW(AR$15),0),15-13*ORÇAMENTO!$AF$11)),0)</f>
        <v>0</v>
      </c>
      <c r="AS489" s="546">
        <f ca="1">IF(AND($D489="Serviço",AS$12&lt;&gt;0,$H489&gt;0,OR(AUTOEVENTO&lt;&gt;"manual",$M489&lt;&gt;1)),
IF(Import.TipoArredondamento&lt;&gt;"TransfereGOV",
ROUND(OFFSET($P489,0,AS$13),15-13*ORÇAMENTO!$AF$7)/$H489*OFFSET(ORÇAMENTO!$X$15,ROW(AS489)-ROW(AS$15),0),
ROUND(ROUND(OFFSET($P489,0,AS$13),15-13*ORÇAMENTO!$AF$7)*OFFSET(ORÇAMENTO!$W$15,ROW(AS489)-ROW(AS$15),0),15-13*ORÇAMENTO!$AF$11)),0)</f>
        <v>0</v>
      </c>
      <c r="AT489" s="545">
        <f ca="1">IF(AND($D489="Serviço",AT$12&lt;&gt;0,$H489&gt;0,OR(AUTOEVENTO&lt;&gt;"manual",$M489&lt;&gt;1)),
IF(Import.TipoArredondamento&lt;&gt;"TransfereGOV",
ROUND(OFFSET($P489,0,AT$13),15-13*ORÇAMENTO!$AF$7)/$H489*OFFSET(ORÇAMENTO!$X$15,ROW(AT489)-ROW(AT$15),0),
ROUND(ROUND(OFFSET($P489,0,AT$13),15-13*ORÇAMENTO!$AF$7)*OFFSET(ORÇAMENTO!$W$15,ROW(AT489)-ROW(AT$15),0),15-13*ORÇAMENTO!$AF$11)),0)</f>
        <v>0</v>
      </c>
      <c r="AU489" s="545">
        <f ca="1">IF(AND($D489="Serviço",AU$12&lt;&gt;0,$H489&gt;0,OR(AUTOEVENTO&lt;&gt;"manual",$M489&lt;&gt;1)),
IF(Import.TipoArredondamento&lt;&gt;"TransfereGOV",
ROUND(OFFSET($P489,0,AU$13),15-13*ORÇAMENTO!$AF$7)/$H489*OFFSET(ORÇAMENTO!$X$15,ROW(AU489)-ROW(AU$15),0),
ROUND(ROUND(OFFSET($P489,0,AU$13),15-13*ORÇAMENTO!$AF$7)*OFFSET(ORÇAMENTO!$W$15,ROW(AU489)-ROW(AU$15),0),15-13*ORÇAMENTO!$AF$11)),0)</f>
        <v>0</v>
      </c>
      <c r="AV489" s="545">
        <f ca="1">IF(AND($D489="Serviço",AV$12&lt;&gt;0,$H489&gt;0,OR(AUTOEVENTO&lt;&gt;"manual",$M489&lt;&gt;1)),
IF(Import.TipoArredondamento&lt;&gt;"TransfereGOV",
ROUND(OFFSET($P489,0,AV$13),15-13*ORÇAMENTO!$AF$7)/$H489*OFFSET(ORÇAMENTO!$X$15,ROW(AV489)-ROW(AV$15),0),
ROUND(ROUND(OFFSET($P489,0,AV$13),15-13*ORÇAMENTO!$AF$7)*OFFSET(ORÇAMENTO!$W$15,ROW(AV489)-ROW(AV$15),0),15-13*ORÇAMENTO!$AF$11)),0)</f>
        <v>0</v>
      </c>
      <c r="AW489" s="545">
        <f ca="1">IF(AND($D489="Serviço",AW$12&lt;&gt;0,$H489&gt;0,OR(AUTOEVENTO&lt;&gt;"manual",$M489&lt;&gt;1)),
IF(Import.TipoArredondamento&lt;&gt;"TransfereGOV",
ROUND(OFFSET($P489,0,AW$13),15-13*ORÇAMENTO!$AF$7)/$H489*OFFSET(ORÇAMENTO!$X$15,ROW(AW489)-ROW(AW$15),0),
ROUND(ROUND(OFFSET($P489,0,AW$13),15-13*ORÇAMENTO!$AF$7)*OFFSET(ORÇAMENTO!$W$15,ROW(AW489)-ROW(AW$15),0),15-13*ORÇAMENTO!$AF$11)),0)</f>
        <v>0</v>
      </c>
      <c r="AX489" s="545">
        <f ca="1">IF(AND($D489="Serviço",AX$12&lt;&gt;0,$H489&gt;0,OR(AUTOEVENTO&lt;&gt;"manual",$M489&lt;&gt;1)),
IF(Import.TipoArredondamento&lt;&gt;"TransfereGOV",
ROUND(OFFSET($P489,0,AX$13),15-13*ORÇAMENTO!$AF$7)/$H489*OFFSET(ORÇAMENTO!$X$15,ROW(AX489)-ROW(AX$15),0),
ROUND(ROUND(OFFSET($P489,0,AX$13),15-13*ORÇAMENTO!$AF$7)*OFFSET(ORÇAMENTO!$W$15,ROW(AX489)-ROW(AX$15),0),15-13*ORÇAMENTO!$AF$11)),0)</f>
        <v>0</v>
      </c>
      <c r="AY489" s="545">
        <f ca="1">IF(AND($D489="Serviço",AY$12&lt;&gt;0,$H489&gt;0,OR(AUTOEVENTO&lt;&gt;"manual",$M489&lt;&gt;1)),
IF(Import.TipoArredondamento&lt;&gt;"TransfereGOV",
ROUND(OFFSET($P489,0,AY$13),15-13*ORÇAMENTO!$AF$7)/$H489*OFFSET(ORÇAMENTO!$X$15,ROW(AY489)-ROW(AY$15),0),
ROUND(ROUND(OFFSET($P489,0,AY$13),15-13*ORÇAMENTO!$AF$7)*OFFSET(ORÇAMENTO!$W$15,ROW(AY489)-ROW(AY$15),0),15-13*ORÇAMENTO!$AF$11)),0)</f>
        <v>0</v>
      </c>
      <c r="AZ489" s="545">
        <f ca="1">IF(AND($D489="Serviço",AZ$12&lt;&gt;0,$H489&gt;0,OR(AUTOEVENTO&lt;&gt;"manual",$M489&lt;&gt;1)),
IF(Import.TipoArredondamento&lt;&gt;"TransfereGOV",
ROUND(OFFSET($P489,0,AZ$13),15-13*ORÇAMENTO!$AF$7)/$H489*OFFSET(ORÇAMENTO!$X$15,ROW(AZ489)-ROW(AZ$15),0),
ROUND(ROUND(OFFSET($P489,0,AZ$13),15-13*ORÇAMENTO!$AF$7)*OFFSET(ORÇAMENTO!$W$15,ROW(AZ489)-ROW(AZ$15),0),15-13*ORÇAMENTO!$AF$11)),0)</f>
        <v>0</v>
      </c>
      <c r="BA489" s="546">
        <f ca="1">IF(AND($D489="Serviço",BA$12&lt;&gt;0,$H489&gt;0,OR(AUTOEVENTO&lt;&gt;"manual",$M489&lt;&gt;1)),
IF(Import.TipoArredondamento&lt;&gt;"TransfereGOV",
ROUND(OFFSET($P489,0,BA$13),15-13*ORÇAMENTO!$AF$7)/$H489*OFFSET(ORÇAMENTO!$X$15,ROW(BA489)-ROW(BA$15),0),
ROUND(ROUND(OFFSET($P489,0,BA$13),15-13*ORÇAMENTO!$AF$7)*OFFSET(ORÇAMENTO!$W$15,ROW(BA489)-ROW(BA$15),0),15-13*ORÇAMENTO!$AF$11)),0)</f>
        <v>0</v>
      </c>
      <c r="BC489" s="181">
        <f ca="1">IF($D489&lt;&gt;"Serviço",0,IF(AND(AUTOEVENTO="Manual",$M489=1),0,IF(OFFSET(CRONOPLE!$F$14,$M489,BC$13)="",10^12,OFFSET(CRONOPLE!$F$14,$M489,BC$13))))</f>
        <v>10</v>
      </c>
      <c r="BD489" s="181">
        <f ca="1">IF($D489&lt;&gt;"Serviço",0,IF(AND(AUTOEVENTO="Manual",$M489=1),0,IF(OFFSET(CRONOPLE!$F$14,$M489,BD$13)="",10^12,OFFSET(CRONOPLE!$F$14,$M489,BD$13))))</f>
        <v>1000000000000</v>
      </c>
      <c r="BE489" s="181">
        <f ca="1">IF($D489&lt;&gt;"Serviço",0,IF(AND(AUTOEVENTO="Manual",$M489=1),0,IF(OFFSET(CRONOPLE!$F$14,$M489,BE$13)="",10^12,OFFSET(CRONOPLE!$F$14,$M489,BE$13))))</f>
        <v>1000000000000</v>
      </c>
      <c r="BF489" s="181">
        <f ca="1">IF($D489&lt;&gt;"Serviço",0,IF(AND(AUTOEVENTO="Manual",$M489=1),0,IF(OFFSET(CRONOPLE!$F$14,$M489,BF$13)="",10^12,OFFSET(CRONOPLE!$F$14,$M489,BF$13))))</f>
        <v>1000000000000</v>
      </c>
      <c r="BG489" s="181">
        <f ca="1">IF($D489&lt;&gt;"Serviço",0,IF(AND(AUTOEVENTO="Manual",$M489=1),0,IF(OFFSET(CRONOPLE!$F$14,$M489,BG$13)="",10^12,OFFSET(CRONOPLE!$F$14,$M489,BG$13))))</f>
        <v>1000000000000</v>
      </c>
      <c r="BH489" s="181">
        <f ca="1">IF($D489&lt;&gt;"Serviço",0,IF(AND(AUTOEVENTO="Manual",$M489=1),0,IF(OFFSET(CRONOPLE!$F$14,$M489,BH$13)="",10^12,OFFSET(CRONOPLE!$F$14,$M489,BH$13))))</f>
        <v>1000000000000</v>
      </c>
      <c r="BI489" s="181">
        <f ca="1">IF($D489&lt;&gt;"Serviço",0,IF(AND(AUTOEVENTO="Manual",$M489=1),0,IF(OFFSET(CRONOPLE!$F$14,$M489,BI$13)="",10^12,OFFSET(CRONOPLE!$F$14,$M489,BI$13))))</f>
        <v>1000000000000</v>
      </c>
      <c r="BJ489" s="181">
        <f ca="1">IF($D489&lt;&gt;"Serviço",0,IF(AND(AUTOEVENTO="Manual",$M489=1),0,IF(OFFSET(CRONOPLE!$F$14,$M489,BJ$13)="",10^12,OFFSET(CRONOPLE!$F$14,$M489,BJ$13))))</f>
        <v>1000000000000</v>
      </c>
      <c r="BK489" s="181">
        <f ca="1">IF($D489&lt;&gt;"Serviço",0,IF(AND(AUTOEVENTO="Manual",$M489=1),0,IF(OFFSET(CRONOPLE!$F$14,$M489,BK$13)="",10^12,OFFSET(CRONOPLE!$F$14,$M489,BK$13))))</f>
        <v>1000000000000</v>
      </c>
      <c r="BL489" s="181">
        <f ca="1">IF($D489&lt;&gt;"Serviço",0,IF(AND(AUTOEVENTO="Manual",$M489=1),0,IF(OFFSET(CRONOPLE!$F$14,$M489,BL$13)="",10^12,OFFSET(CRONOPLE!$F$14,$M489,BL$13))))</f>
        <v>1000000000000</v>
      </c>
      <c r="BM489" s="181">
        <f ca="1">IF($D489&lt;&gt;"Serviço",0,IF(AND(AUTOEVENTO="Manual",$M489=1),0,IF(OFFSET(CRONOPLE!$F$14,$M489,BM$13)="",10^12,OFFSET(CRONOPLE!$F$14,$M489,BM$13))))</f>
        <v>1000000000000</v>
      </c>
      <c r="BN489" s="181">
        <f ca="1">IF($D489&lt;&gt;"Serviço",0,IF(AND(AUTOEVENTO="Manual",$M489=1),0,IF(OFFSET(CRONOPLE!$F$14,$M489,BN$13)="",10^12,OFFSET(CRONOPLE!$F$14,$M489,BN$13))))</f>
        <v>1000000000000</v>
      </c>
      <c r="BO489" s="181">
        <f ca="1">IF($D489&lt;&gt;"Serviço",0,IF(AND(AUTOEVENTO="Manual",$M489=1),0,IF(OFFSET(CRONOPLE!$F$14,$M489,BO$13)="",10^12,OFFSET(CRONOPLE!$F$14,$M489,BO$13))))</f>
        <v>1000000000000</v>
      </c>
      <c r="BP489" s="181">
        <f ca="1">IF($D489&lt;&gt;"Serviço",0,IF(AND(AUTOEVENTO="Manual",$M489=1),0,IF(OFFSET(CRONOPLE!$F$14,$M489,BP$13)="",10^12,OFFSET(CRONOPLE!$F$14,$M489,BP$13))))</f>
        <v>1000000000000</v>
      </c>
      <c r="BQ489" s="181">
        <f ca="1">IF($D489&lt;&gt;"Serviço",0,IF(AND(AUTOEVENTO="Manual",$M489=1),0,IF(OFFSET(CRONOPLE!$F$14,$M489,BQ$13)="",10^12,OFFSET(CRONOPLE!$F$14,$M489,BQ$13))))</f>
        <v>1000000000000</v>
      </c>
      <c r="BR489" s="181">
        <f ca="1">IF($D489&lt;&gt;"Serviço",0,IF(AND(AUTOEVENTO="Manual",$M489=1),0,IF(OFFSET(CRONOPLE!$F$14,$M489,BR$13)="",10^12,OFFSET(CRONOPLE!$F$14,$M489,BR$13))))</f>
        <v>1000000000000</v>
      </c>
      <c r="BS489" s="181">
        <f ca="1">IF($D489&lt;&gt;"Serviço",0,IF(AND(AUTOEVENTO="Manual",$M489=1),0,IF(OFFSET(CRONOPLE!$F$14,$M489,BS$13)="",10^12,OFFSET(CRONOPLE!$F$14,$M489,BS$13))))</f>
        <v>1000000000000</v>
      </c>
      <c r="BT489" s="181">
        <f ca="1">IF($D489&lt;&gt;"Serviço",0,IF(AND(AUTOEVENTO="Manual",$M489=1),0,IF(OFFSET(CRONOPLE!$F$14,$M489,BT$13)="",10^12,OFFSET(CRONOPLE!$F$14,$M489,BT$13))))</f>
        <v>1000000000000</v>
      </c>
      <c r="BV489" s="182">
        <f ca="1">IF($D489&lt;&gt;"Serviço",0,IF(OR(AND(AUTOEVENTO="Manual",$M489=1),$M489&gt;(ROW(PLE.lastrow)-ROW(PLE.firstrow))),0,IF(OFFSET(PLE!$G$14,$M489,BV$13)="",10^12,OFFSET(PLE!$G$14,$M489,BV$13))))</f>
        <v>1000000000000</v>
      </c>
      <c r="BW489" s="182">
        <f ca="1">IF($D489&lt;&gt;"Serviço",0,IF(OR(AND(AUTOEVENTO="Manual",$M489=1),$M489&gt;(ROW(PLE.lastrow)-ROW(PLE.firstrow))),0,IF(OFFSET(PLE!$G$14,$M489,BW$13)="",10^12,OFFSET(PLE!$G$14,$M489,BW$13))))</f>
        <v>1000000000000</v>
      </c>
      <c r="BX489" s="182">
        <f ca="1">IF($D489&lt;&gt;"Serviço",0,IF(OR(AND(AUTOEVENTO="Manual",$M489=1),$M489&gt;(ROW(PLE.lastrow)-ROW(PLE.firstrow))),0,IF(OFFSET(PLE!$G$14,$M489,BX$13)="",10^12,OFFSET(PLE!$G$14,$M489,BX$13))))</f>
        <v>1000000000000</v>
      </c>
      <c r="BY489" s="182">
        <f ca="1">IF($D489&lt;&gt;"Serviço",0,IF(OR(AND(AUTOEVENTO="Manual",$M489=1),$M489&gt;(ROW(PLE.lastrow)-ROW(PLE.firstrow))),0,IF(OFFSET(PLE!$G$14,$M489,BY$13)="",10^12,OFFSET(PLE!$G$14,$M489,BY$13))))</f>
        <v>1000000000000</v>
      </c>
      <c r="BZ489" s="182">
        <f ca="1">IF($D489&lt;&gt;"Serviço",0,IF(OR(AND(AUTOEVENTO="Manual",$M489=1),$M489&gt;(ROW(PLE.lastrow)-ROW(PLE.firstrow))),0,IF(OFFSET(PLE!$G$14,$M489,BZ$13)="",10^12,OFFSET(PLE!$G$14,$M489,BZ$13))))</f>
        <v>1000000000000</v>
      </c>
      <c r="CA489" s="182">
        <f ca="1">IF($D489&lt;&gt;"Serviço",0,IF(OR(AND(AUTOEVENTO="Manual",$M489=1),$M489&gt;(ROW(PLE.lastrow)-ROW(PLE.firstrow))),0,IF(OFFSET(PLE!$G$14,$M489,CA$13)="",10^12,OFFSET(PLE!$G$14,$M489,CA$13))))</f>
        <v>1000000000000</v>
      </c>
      <c r="CB489" s="182">
        <f ca="1">IF($D489&lt;&gt;"Serviço",0,IF(OR(AND(AUTOEVENTO="Manual",$M489=1),$M489&gt;(ROW(PLE.lastrow)-ROW(PLE.firstrow))),0,IF(OFFSET(PLE!$G$14,$M489,CB$13)="",10^12,OFFSET(PLE!$G$14,$M489,CB$13))))</f>
        <v>1000000000000</v>
      </c>
      <c r="CC489" s="182">
        <f ca="1">IF($D489&lt;&gt;"Serviço",0,IF(OR(AND(AUTOEVENTO="Manual",$M489=1),$M489&gt;(ROW(PLE.lastrow)-ROW(PLE.firstrow))),0,IF(OFFSET(PLE!$G$14,$M489,CC$13)="",10^12,OFFSET(PLE!$G$14,$M489,CC$13))))</f>
        <v>1000000000000</v>
      </c>
      <c r="CD489" s="182">
        <f ca="1">IF($D489&lt;&gt;"Serviço",0,IF(OR(AND(AUTOEVENTO="Manual",$M489=1),$M489&gt;(ROW(PLE.lastrow)-ROW(PLE.firstrow))),0,IF(OFFSET(PLE!$G$14,$M489,CD$13)="",10^12,OFFSET(PLE!$G$14,$M489,CD$13))))</f>
        <v>1000000000000</v>
      </c>
      <c r="CE489" s="182">
        <f ca="1">IF($D489&lt;&gt;"Serviço",0,IF(OR(AND(AUTOEVENTO="Manual",$M489=1),$M489&gt;(ROW(PLE.lastrow)-ROW(PLE.firstrow))),0,IF(OFFSET(PLE!$G$14,$M489,CE$13)="",10^12,OFFSET(PLE!$G$14,$M489,CE$13))))</f>
        <v>1000000000000</v>
      </c>
      <c r="CF489" s="182">
        <f ca="1">IF($D489&lt;&gt;"Serviço",0,IF(OR(AND(AUTOEVENTO="Manual",$M489=1),$M489&gt;(ROW(PLE.lastrow)-ROW(PLE.firstrow))),0,IF(OFFSET(PLE!$G$14,$M489,CF$13)="",10^12,OFFSET(PLE!$G$14,$M489,CF$13))))</f>
        <v>1000000000000</v>
      </c>
      <c r="CG489" s="182">
        <f ca="1">IF($D489&lt;&gt;"Serviço",0,IF(OR(AND(AUTOEVENTO="Manual",$M489=1),$M489&gt;(ROW(PLE.lastrow)-ROW(PLE.firstrow))),0,IF(OFFSET(PLE!$G$14,$M489,CG$13)="",10^12,OFFSET(PLE!$G$14,$M489,CG$13))))</f>
        <v>1000000000000</v>
      </c>
      <c r="CH489" s="182">
        <f ca="1">IF($D489&lt;&gt;"Serviço",0,IF(OR(AND(AUTOEVENTO="Manual",$M489=1),$M489&gt;(ROW(PLE.lastrow)-ROW(PLE.firstrow))),0,IF(OFFSET(PLE!$G$14,$M489,CH$13)="",10^12,OFFSET(PLE!$G$14,$M489,CH$13))))</f>
        <v>1000000000000</v>
      </c>
      <c r="CI489" s="182">
        <f ca="1">IF($D489&lt;&gt;"Serviço",0,IF(OR(AND(AUTOEVENTO="Manual",$M489=1),$M489&gt;(ROW(PLE.lastrow)-ROW(PLE.firstrow))),0,IF(OFFSET(PLE!$G$14,$M489,CI$13)="",10^12,OFFSET(PLE!$G$14,$M489,CI$13))))</f>
        <v>1000000000000</v>
      </c>
      <c r="CJ489" s="182">
        <f ca="1">IF($D489&lt;&gt;"Serviço",0,IF(OR(AND(AUTOEVENTO="Manual",$M489=1),$M489&gt;(ROW(PLE.lastrow)-ROW(PLE.firstrow))),0,IF(OFFSET(PLE!$G$14,$M489,CJ$13)="",10^12,OFFSET(PLE!$G$14,$M489,CJ$13))))</f>
        <v>1000000000000</v>
      </c>
      <c r="CK489" s="182">
        <f ca="1">IF($D489&lt;&gt;"Serviço",0,IF(OR(AND(AUTOEVENTO="Manual",$M489=1),$M489&gt;(ROW(PLE.lastrow)-ROW(PLE.firstrow))),0,IF(OFFSET(PLE!$G$14,$M489,CK$13)="",10^12,OFFSET(PLE!$G$14,$M489,CK$13))))</f>
        <v>1000000000000</v>
      </c>
      <c r="CL489" s="182">
        <f ca="1">IF($D489&lt;&gt;"Serviço",0,IF(OR(AND(AUTOEVENTO="Manual",$M489=1),$M489&gt;(ROW(PLE.lastrow)-ROW(PLE.firstrow))),0,IF(OFFSET(PLE!$G$14,$M489,CL$13)="",10^12,OFFSET(PLE!$G$14,$M489,CL$13))))</f>
        <v>1000000000000</v>
      </c>
      <c r="CM489" s="182">
        <f ca="1">IF($D489&lt;&gt;"Serviço",0,IF(OR(AND(AUTOEVENTO="Manual",$M489=1),$M489&gt;(ROW(PLE.lastrow)-ROW(PLE.firstrow))),0,IF(OFFSET(PLE!$G$14,$M489,CM$13)="",10^12,OFFSET(PLE!$G$14,$M489,CM$13))))</f>
        <v>1000000000000</v>
      </c>
    </row>
    <row r="490" spans="1:91" ht="12.75" x14ac:dyDescent="0.2">
      <c r="A490" s="7" t="str">
        <f t="shared" ca="1" si="16"/>
        <v>475.</v>
      </c>
      <c r="B490" s="7">
        <f ca="1">OFFSET(ORÇAMENTO!C$15,ROW(B490)-ROW(B$15),0)</f>
        <v>2</v>
      </c>
      <c r="C490" s="7" t="str">
        <f ca="1">OFFSET(ORÇAMENTO!L$15,ROW(C490)-ROW(C$15),0)</f>
        <v>F</v>
      </c>
      <c r="D490" s="118" t="str">
        <f ca="1">OFFSET(ORÇAMENTO!N$15,ROW(D490)-ROW(D$15),0)</f>
        <v>Nível 2</v>
      </c>
      <c r="E490" s="119" t="str">
        <f ca="1">OFFSET(ORÇAMENTO!O$15,ROW(E490)-ROW(E$15),0)</f>
        <v>1.52.</v>
      </c>
      <c r="F490" s="172" t="str">
        <f ca="1">OFFSET(ORÇAMENTO!R$15,ROW(F490)-ROW(F$15),0)</f>
        <v>INSTALAÇÃO ELÉTRICA 110V - ACESSÓRIOS EM GERAL</v>
      </c>
      <c r="G490" s="173" t="str">
        <f ca="1">IF($D490&lt;&gt;"Serviço","",OFFSET(ORÇAMENTO!S$15,ROW(G490)-ROW(G$15),0))</f>
        <v/>
      </c>
      <c r="H490" s="124">
        <f ca="1">IF($D490&lt;&gt;"Serviço",0,IF(ACOMPANHAMENTO="BM",ROUND(OFFSET(ORÇAMENTO!AJ$15,ROW(H490)-ROW(H$15),0),15-13*ORÇAMENTO!$AF$7),SUMPRODUCT(($Q$12:$AI$12&lt;&gt;"")*ROUND($Q490:$AI490,15-13*ORÇAMENTO!$AF$7))))</f>
        <v>0</v>
      </c>
      <c r="I490" s="561"/>
      <c r="K490" s="174"/>
      <c r="L490" s="175" t="s">
        <v>255</v>
      </c>
      <c r="M490" s="176" t="str">
        <f ca="1">IF($D490&lt;&gt;"Serviço","",IF(AUTOEVENTO="manual",$A490,IF(ISERROR(MATCH($A490,$A$15:OFFSET($A490,-1,0),0)),MAX($M$15:OFFSET(M490,-1,0))+1,INDEX($M$15:OFFSET(M490,-1,0),MATCH($A490,$A$15:OFFSET($A490,-1,0),0)))))</f>
        <v/>
      </c>
      <c r="N490" s="177" t="str">
        <f ca="1">IF($D490&lt;&gt;"Serviço","",IF(AUTOEVENTO="Manual",IF($A490=0,"&lt;-- defina o número do agrupador",OFFSET(EVENTOS!$D$14,$A490,0)),OFFSET($F$15,$A490,0)))</f>
        <v/>
      </c>
      <c r="O490" s="178"/>
      <c r="Q490" s="178">
        <v>0</v>
      </c>
      <c r="R490" s="179"/>
      <c r="S490" s="179"/>
      <c r="T490" s="179"/>
      <c r="U490" s="179"/>
      <c r="V490" s="179"/>
      <c r="W490" s="179"/>
      <c r="X490" s="179"/>
      <c r="Y490" s="179"/>
      <c r="Z490" s="180"/>
      <c r="AA490" s="179"/>
      <c r="AB490" s="179"/>
      <c r="AC490" s="179"/>
      <c r="AD490" s="179"/>
      <c r="AE490" s="179"/>
      <c r="AF490" s="179"/>
      <c r="AG490" s="179"/>
      <c r="AH490" s="180"/>
      <c r="AJ490" s="544">
        <f ca="1">IF(AND($D490="Serviço",AJ$12&lt;&gt;0,$H490&gt;0,OR(AUTOEVENTO&lt;&gt;"manual",$M490&lt;&gt;1)),
IF(Import.TipoArredondamento&lt;&gt;"TransfereGOV",
ROUND(OFFSET($P490,0,AJ$13),15-13*ORÇAMENTO!$AF$7)/$H490*OFFSET(ORÇAMENTO!$X$15,ROW(AJ490)-ROW(AJ$15),0),
ROUND(ROUND(OFFSET($P490,0,AJ$13),15-13*ORÇAMENTO!$AF$7)*OFFSET(ORÇAMENTO!$W$15,ROW(AJ490)-ROW(AJ$15),0),15-13*ORÇAMENTO!$AF$11)),0)</f>
        <v>0</v>
      </c>
      <c r="AK490" s="545">
        <f ca="1">IF(AND($D490="Serviço",AK$12&lt;&gt;0,$H490&gt;0,OR(AUTOEVENTO&lt;&gt;"manual",$M490&lt;&gt;1)),
IF(Import.TipoArredondamento&lt;&gt;"TransfereGOV",
ROUND(OFFSET($P490,0,AK$13),15-13*ORÇAMENTO!$AF$7)/$H490*OFFSET(ORÇAMENTO!$X$15,ROW(AK490)-ROW(AK$15),0),
ROUND(ROUND(OFFSET($P490,0,AK$13),15-13*ORÇAMENTO!$AF$7)*OFFSET(ORÇAMENTO!$W$15,ROW(AK490)-ROW(AK$15),0),15-13*ORÇAMENTO!$AF$11)),0)</f>
        <v>0</v>
      </c>
      <c r="AL490" s="545">
        <f ca="1">IF(AND($D490="Serviço",AL$12&lt;&gt;0,$H490&gt;0,OR(AUTOEVENTO&lt;&gt;"manual",$M490&lt;&gt;1)),
IF(Import.TipoArredondamento&lt;&gt;"TransfereGOV",
ROUND(OFFSET($P490,0,AL$13),15-13*ORÇAMENTO!$AF$7)/$H490*OFFSET(ORÇAMENTO!$X$15,ROW(AL490)-ROW(AL$15),0),
ROUND(ROUND(OFFSET($P490,0,AL$13),15-13*ORÇAMENTO!$AF$7)*OFFSET(ORÇAMENTO!$W$15,ROW(AL490)-ROW(AL$15),0),15-13*ORÇAMENTO!$AF$11)),0)</f>
        <v>0</v>
      </c>
      <c r="AM490" s="545">
        <f ca="1">IF(AND($D490="Serviço",AM$12&lt;&gt;0,$H490&gt;0,OR(AUTOEVENTO&lt;&gt;"manual",$M490&lt;&gt;1)),
IF(Import.TipoArredondamento&lt;&gt;"TransfereGOV",
ROUND(OFFSET($P490,0,AM$13),15-13*ORÇAMENTO!$AF$7)/$H490*OFFSET(ORÇAMENTO!$X$15,ROW(AM490)-ROW(AM$15),0),
ROUND(ROUND(OFFSET($P490,0,AM$13),15-13*ORÇAMENTO!$AF$7)*OFFSET(ORÇAMENTO!$W$15,ROW(AM490)-ROW(AM$15),0),15-13*ORÇAMENTO!$AF$11)),0)</f>
        <v>0</v>
      </c>
      <c r="AN490" s="545">
        <f ca="1">IF(AND($D490="Serviço",AN$12&lt;&gt;0,$H490&gt;0,OR(AUTOEVENTO&lt;&gt;"manual",$M490&lt;&gt;1)),
IF(Import.TipoArredondamento&lt;&gt;"TransfereGOV",
ROUND(OFFSET($P490,0,AN$13),15-13*ORÇAMENTO!$AF$7)/$H490*OFFSET(ORÇAMENTO!$X$15,ROW(AN490)-ROW(AN$15),0),
ROUND(ROUND(OFFSET($P490,0,AN$13),15-13*ORÇAMENTO!$AF$7)*OFFSET(ORÇAMENTO!$W$15,ROW(AN490)-ROW(AN$15),0),15-13*ORÇAMENTO!$AF$11)),0)</f>
        <v>0</v>
      </c>
      <c r="AO490" s="545">
        <f ca="1">IF(AND($D490="Serviço",AO$12&lt;&gt;0,$H490&gt;0,OR(AUTOEVENTO&lt;&gt;"manual",$M490&lt;&gt;1)),
IF(Import.TipoArredondamento&lt;&gt;"TransfereGOV",
ROUND(OFFSET($P490,0,AO$13),15-13*ORÇAMENTO!$AF$7)/$H490*OFFSET(ORÇAMENTO!$X$15,ROW(AO490)-ROW(AO$15),0),
ROUND(ROUND(OFFSET($P490,0,AO$13),15-13*ORÇAMENTO!$AF$7)*OFFSET(ORÇAMENTO!$W$15,ROW(AO490)-ROW(AO$15),0),15-13*ORÇAMENTO!$AF$11)),0)</f>
        <v>0</v>
      </c>
      <c r="AP490" s="545">
        <f ca="1">IF(AND($D490="Serviço",AP$12&lt;&gt;0,$H490&gt;0,OR(AUTOEVENTO&lt;&gt;"manual",$M490&lt;&gt;1)),
IF(Import.TipoArredondamento&lt;&gt;"TransfereGOV",
ROUND(OFFSET($P490,0,AP$13),15-13*ORÇAMENTO!$AF$7)/$H490*OFFSET(ORÇAMENTO!$X$15,ROW(AP490)-ROW(AP$15),0),
ROUND(ROUND(OFFSET($P490,0,AP$13),15-13*ORÇAMENTO!$AF$7)*OFFSET(ORÇAMENTO!$W$15,ROW(AP490)-ROW(AP$15),0),15-13*ORÇAMENTO!$AF$11)),0)</f>
        <v>0</v>
      </c>
      <c r="AQ490" s="545">
        <f ca="1">IF(AND($D490="Serviço",AQ$12&lt;&gt;0,$H490&gt;0,OR(AUTOEVENTO&lt;&gt;"manual",$M490&lt;&gt;1)),
IF(Import.TipoArredondamento&lt;&gt;"TransfereGOV",
ROUND(OFFSET($P490,0,AQ$13),15-13*ORÇAMENTO!$AF$7)/$H490*OFFSET(ORÇAMENTO!$X$15,ROW(AQ490)-ROW(AQ$15),0),
ROUND(ROUND(OFFSET($P490,0,AQ$13),15-13*ORÇAMENTO!$AF$7)*OFFSET(ORÇAMENTO!$W$15,ROW(AQ490)-ROW(AQ$15),0),15-13*ORÇAMENTO!$AF$11)),0)</f>
        <v>0</v>
      </c>
      <c r="AR490" s="545">
        <f ca="1">IF(AND($D490="Serviço",AR$12&lt;&gt;0,$H490&gt;0,OR(AUTOEVENTO&lt;&gt;"manual",$M490&lt;&gt;1)),
IF(Import.TipoArredondamento&lt;&gt;"TransfereGOV",
ROUND(OFFSET($P490,0,AR$13),15-13*ORÇAMENTO!$AF$7)/$H490*OFFSET(ORÇAMENTO!$X$15,ROW(AR490)-ROW(AR$15),0),
ROUND(ROUND(OFFSET($P490,0,AR$13),15-13*ORÇAMENTO!$AF$7)*OFFSET(ORÇAMENTO!$W$15,ROW(AR490)-ROW(AR$15),0),15-13*ORÇAMENTO!$AF$11)),0)</f>
        <v>0</v>
      </c>
      <c r="AS490" s="546">
        <f ca="1">IF(AND($D490="Serviço",AS$12&lt;&gt;0,$H490&gt;0,OR(AUTOEVENTO&lt;&gt;"manual",$M490&lt;&gt;1)),
IF(Import.TipoArredondamento&lt;&gt;"TransfereGOV",
ROUND(OFFSET($P490,0,AS$13),15-13*ORÇAMENTO!$AF$7)/$H490*OFFSET(ORÇAMENTO!$X$15,ROW(AS490)-ROW(AS$15),0),
ROUND(ROUND(OFFSET($P490,0,AS$13),15-13*ORÇAMENTO!$AF$7)*OFFSET(ORÇAMENTO!$W$15,ROW(AS490)-ROW(AS$15),0),15-13*ORÇAMENTO!$AF$11)),0)</f>
        <v>0</v>
      </c>
      <c r="AT490" s="545">
        <f ca="1">IF(AND($D490="Serviço",AT$12&lt;&gt;0,$H490&gt;0,OR(AUTOEVENTO&lt;&gt;"manual",$M490&lt;&gt;1)),
IF(Import.TipoArredondamento&lt;&gt;"TransfereGOV",
ROUND(OFFSET($P490,0,AT$13),15-13*ORÇAMENTO!$AF$7)/$H490*OFFSET(ORÇAMENTO!$X$15,ROW(AT490)-ROW(AT$15),0),
ROUND(ROUND(OFFSET($P490,0,AT$13),15-13*ORÇAMENTO!$AF$7)*OFFSET(ORÇAMENTO!$W$15,ROW(AT490)-ROW(AT$15),0),15-13*ORÇAMENTO!$AF$11)),0)</f>
        <v>0</v>
      </c>
      <c r="AU490" s="545">
        <f ca="1">IF(AND($D490="Serviço",AU$12&lt;&gt;0,$H490&gt;0,OR(AUTOEVENTO&lt;&gt;"manual",$M490&lt;&gt;1)),
IF(Import.TipoArredondamento&lt;&gt;"TransfereGOV",
ROUND(OFFSET($P490,0,AU$13),15-13*ORÇAMENTO!$AF$7)/$H490*OFFSET(ORÇAMENTO!$X$15,ROW(AU490)-ROW(AU$15),0),
ROUND(ROUND(OFFSET($P490,0,AU$13),15-13*ORÇAMENTO!$AF$7)*OFFSET(ORÇAMENTO!$W$15,ROW(AU490)-ROW(AU$15),0),15-13*ORÇAMENTO!$AF$11)),0)</f>
        <v>0</v>
      </c>
      <c r="AV490" s="545">
        <f ca="1">IF(AND($D490="Serviço",AV$12&lt;&gt;0,$H490&gt;0,OR(AUTOEVENTO&lt;&gt;"manual",$M490&lt;&gt;1)),
IF(Import.TipoArredondamento&lt;&gt;"TransfereGOV",
ROUND(OFFSET($P490,0,AV$13),15-13*ORÇAMENTO!$AF$7)/$H490*OFFSET(ORÇAMENTO!$X$15,ROW(AV490)-ROW(AV$15),0),
ROUND(ROUND(OFFSET($P490,0,AV$13),15-13*ORÇAMENTO!$AF$7)*OFFSET(ORÇAMENTO!$W$15,ROW(AV490)-ROW(AV$15),0),15-13*ORÇAMENTO!$AF$11)),0)</f>
        <v>0</v>
      </c>
      <c r="AW490" s="545">
        <f ca="1">IF(AND($D490="Serviço",AW$12&lt;&gt;0,$H490&gt;0,OR(AUTOEVENTO&lt;&gt;"manual",$M490&lt;&gt;1)),
IF(Import.TipoArredondamento&lt;&gt;"TransfereGOV",
ROUND(OFFSET($P490,0,AW$13),15-13*ORÇAMENTO!$AF$7)/$H490*OFFSET(ORÇAMENTO!$X$15,ROW(AW490)-ROW(AW$15),0),
ROUND(ROUND(OFFSET($P490,0,AW$13),15-13*ORÇAMENTO!$AF$7)*OFFSET(ORÇAMENTO!$W$15,ROW(AW490)-ROW(AW$15),0),15-13*ORÇAMENTO!$AF$11)),0)</f>
        <v>0</v>
      </c>
      <c r="AX490" s="545">
        <f ca="1">IF(AND($D490="Serviço",AX$12&lt;&gt;0,$H490&gt;0,OR(AUTOEVENTO&lt;&gt;"manual",$M490&lt;&gt;1)),
IF(Import.TipoArredondamento&lt;&gt;"TransfereGOV",
ROUND(OFFSET($P490,0,AX$13),15-13*ORÇAMENTO!$AF$7)/$H490*OFFSET(ORÇAMENTO!$X$15,ROW(AX490)-ROW(AX$15),0),
ROUND(ROUND(OFFSET($P490,0,AX$13),15-13*ORÇAMENTO!$AF$7)*OFFSET(ORÇAMENTO!$W$15,ROW(AX490)-ROW(AX$15),0),15-13*ORÇAMENTO!$AF$11)),0)</f>
        <v>0</v>
      </c>
      <c r="AY490" s="545">
        <f ca="1">IF(AND($D490="Serviço",AY$12&lt;&gt;0,$H490&gt;0,OR(AUTOEVENTO&lt;&gt;"manual",$M490&lt;&gt;1)),
IF(Import.TipoArredondamento&lt;&gt;"TransfereGOV",
ROUND(OFFSET($P490,0,AY$13),15-13*ORÇAMENTO!$AF$7)/$H490*OFFSET(ORÇAMENTO!$X$15,ROW(AY490)-ROW(AY$15),0),
ROUND(ROUND(OFFSET($P490,0,AY$13),15-13*ORÇAMENTO!$AF$7)*OFFSET(ORÇAMENTO!$W$15,ROW(AY490)-ROW(AY$15),0),15-13*ORÇAMENTO!$AF$11)),0)</f>
        <v>0</v>
      </c>
      <c r="AZ490" s="545">
        <f ca="1">IF(AND($D490="Serviço",AZ$12&lt;&gt;0,$H490&gt;0,OR(AUTOEVENTO&lt;&gt;"manual",$M490&lt;&gt;1)),
IF(Import.TipoArredondamento&lt;&gt;"TransfereGOV",
ROUND(OFFSET($P490,0,AZ$13),15-13*ORÇAMENTO!$AF$7)/$H490*OFFSET(ORÇAMENTO!$X$15,ROW(AZ490)-ROW(AZ$15),0),
ROUND(ROUND(OFFSET($P490,0,AZ$13),15-13*ORÇAMENTO!$AF$7)*OFFSET(ORÇAMENTO!$W$15,ROW(AZ490)-ROW(AZ$15),0),15-13*ORÇAMENTO!$AF$11)),0)</f>
        <v>0</v>
      </c>
      <c r="BA490" s="546">
        <f ca="1">IF(AND($D490="Serviço",BA$12&lt;&gt;0,$H490&gt;0,OR(AUTOEVENTO&lt;&gt;"manual",$M490&lt;&gt;1)),
IF(Import.TipoArredondamento&lt;&gt;"TransfereGOV",
ROUND(OFFSET($P490,0,BA$13),15-13*ORÇAMENTO!$AF$7)/$H490*OFFSET(ORÇAMENTO!$X$15,ROW(BA490)-ROW(BA$15),0),
ROUND(ROUND(OFFSET($P490,0,BA$13),15-13*ORÇAMENTO!$AF$7)*OFFSET(ORÇAMENTO!$W$15,ROW(BA490)-ROW(BA$15),0),15-13*ORÇAMENTO!$AF$11)),0)</f>
        <v>0</v>
      </c>
      <c r="BC490" s="181">
        <f ca="1">IF($D490&lt;&gt;"Serviço",0,IF(AND(AUTOEVENTO="Manual",$M490=1),0,IF(OFFSET(CRONOPLE!$F$14,$M490,BC$13)="",10^12,OFFSET(CRONOPLE!$F$14,$M490,BC$13))))</f>
        <v>0</v>
      </c>
      <c r="BD490" s="181">
        <f ca="1">IF($D490&lt;&gt;"Serviço",0,IF(AND(AUTOEVENTO="Manual",$M490=1),0,IF(OFFSET(CRONOPLE!$F$14,$M490,BD$13)="",10^12,OFFSET(CRONOPLE!$F$14,$M490,BD$13))))</f>
        <v>0</v>
      </c>
      <c r="BE490" s="181">
        <f ca="1">IF($D490&lt;&gt;"Serviço",0,IF(AND(AUTOEVENTO="Manual",$M490=1),0,IF(OFFSET(CRONOPLE!$F$14,$M490,BE$13)="",10^12,OFFSET(CRONOPLE!$F$14,$M490,BE$13))))</f>
        <v>0</v>
      </c>
      <c r="BF490" s="181">
        <f ca="1">IF($D490&lt;&gt;"Serviço",0,IF(AND(AUTOEVENTO="Manual",$M490=1),0,IF(OFFSET(CRONOPLE!$F$14,$M490,BF$13)="",10^12,OFFSET(CRONOPLE!$F$14,$M490,BF$13))))</f>
        <v>0</v>
      </c>
      <c r="BG490" s="181">
        <f ca="1">IF($D490&lt;&gt;"Serviço",0,IF(AND(AUTOEVENTO="Manual",$M490=1),0,IF(OFFSET(CRONOPLE!$F$14,$M490,BG$13)="",10^12,OFFSET(CRONOPLE!$F$14,$M490,BG$13))))</f>
        <v>0</v>
      </c>
      <c r="BH490" s="181">
        <f ca="1">IF($D490&lt;&gt;"Serviço",0,IF(AND(AUTOEVENTO="Manual",$M490=1),0,IF(OFFSET(CRONOPLE!$F$14,$M490,BH$13)="",10^12,OFFSET(CRONOPLE!$F$14,$M490,BH$13))))</f>
        <v>0</v>
      </c>
      <c r="BI490" s="181">
        <f ca="1">IF($D490&lt;&gt;"Serviço",0,IF(AND(AUTOEVENTO="Manual",$M490=1),0,IF(OFFSET(CRONOPLE!$F$14,$M490,BI$13)="",10^12,OFFSET(CRONOPLE!$F$14,$M490,BI$13))))</f>
        <v>0</v>
      </c>
      <c r="BJ490" s="181">
        <f ca="1">IF($D490&lt;&gt;"Serviço",0,IF(AND(AUTOEVENTO="Manual",$M490=1),0,IF(OFFSET(CRONOPLE!$F$14,$M490,BJ$13)="",10^12,OFFSET(CRONOPLE!$F$14,$M490,BJ$13))))</f>
        <v>0</v>
      </c>
      <c r="BK490" s="181">
        <f ca="1">IF($D490&lt;&gt;"Serviço",0,IF(AND(AUTOEVENTO="Manual",$M490=1),0,IF(OFFSET(CRONOPLE!$F$14,$M490,BK$13)="",10^12,OFFSET(CRONOPLE!$F$14,$M490,BK$13))))</f>
        <v>0</v>
      </c>
      <c r="BL490" s="181">
        <f ca="1">IF($D490&lt;&gt;"Serviço",0,IF(AND(AUTOEVENTO="Manual",$M490=1),0,IF(OFFSET(CRONOPLE!$F$14,$M490,BL$13)="",10^12,OFFSET(CRONOPLE!$F$14,$M490,BL$13))))</f>
        <v>0</v>
      </c>
      <c r="BM490" s="181">
        <f ca="1">IF($D490&lt;&gt;"Serviço",0,IF(AND(AUTOEVENTO="Manual",$M490=1),0,IF(OFFSET(CRONOPLE!$F$14,$M490,BM$13)="",10^12,OFFSET(CRONOPLE!$F$14,$M490,BM$13))))</f>
        <v>0</v>
      </c>
      <c r="BN490" s="181">
        <f ca="1">IF($D490&lt;&gt;"Serviço",0,IF(AND(AUTOEVENTO="Manual",$M490=1),0,IF(OFFSET(CRONOPLE!$F$14,$M490,BN$13)="",10^12,OFFSET(CRONOPLE!$F$14,$M490,BN$13))))</f>
        <v>0</v>
      </c>
      <c r="BO490" s="181">
        <f ca="1">IF($D490&lt;&gt;"Serviço",0,IF(AND(AUTOEVENTO="Manual",$M490=1),0,IF(OFFSET(CRONOPLE!$F$14,$M490,BO$13)="",10^12,OFFSET(CRONOPLE!$F$14,$M490,BO$13))))</f>
        <v>0</v>
      </c>
      <c r="BP490" s="181">
        <f ca="1">IF($D490&lt;&gt;"Serviço",0,IF(AND(AUTOEVENTO="Manual",$M490=1),0,IF(OFFSET(CRONOPLE!$F$14,$M490,BP$13)="",10^12,OFFSET(CRONOPLE!$F$14,$M490,BP$13))))</f>
        <v>0</v>
      </c>
      <c r="BQ490" s="181">
        <f ca="1">IF($D490&lt;&gt;"Serviço",0,IF(AND(AUTOEVENTO="Manual",$M490=1),0,IF(OFFSET(CRONOPLE!$F$14,$M490,BQ$13)="",10^12,OFFSET(CRONOPLE!$F$14,$M490,BQ$13))))</f>
        <v>0</v>
      </c>
      <c r="BR490" s="181">
        <f ca="1">IF($D490&lt;&gt;"Serviço",0,IF(AND(AUTOEVENTO="Manual",$M490=1),0,IF(OFFSET(CRONOPLE!$F$14,$M490,BR$13)="",10^12,OFFSET(CRONOPLE!$F$14,$M490,BR$13))))</f>
        <v>0</v>
      </c>
      <c r="BS490" s="181">
        <f ca="1">IF($D490&lt;&gt;"Serviço",0,IF(AND(AUTOEVENTO="Manual",$M490=1),0,IF(OFFSET(CRONOPLE!$F$14,$M490,BS$13)="",10^12,OFFSET(CRONOPLE!$F$14,$M490,BS$13))))</f>
        <v>0</v>
      </c>
      <c r="BT490" s="181">
        <f ca="1">IF($D490&lt;&gt;"Serviço",0,IF(AND(AUTOEVENTO="Manual",$M490=1),0,IF(OFFSET(CRONOPLE!$F$14,$M490,BT$13)="",10^12,OFFSET(CRONOPLE!$F$14,$M490,BT$13))))</f>
        <v>0</v>
      </c>
      <c r="BV490" s="182">
        <f ca="1">IF($D490&lt;&gt;"Serviço",0,IF(OR(AND(AUTOEVENTO="Manual",$M490=1),$M490&gt;(ROW(PLE.lastrow)-ROW(PLE.firstrow))),0,IF(OFFSET(PLE!$G$14,$M490,BV$13)="",10^12,OFFSET(PLE!$G$14,$M490,BV$13))))</f>
        <v>0</v>
      </c>
      <c r="BW490" s="182">
        <f ca="1">IF($D490&lt;&gt;"Serviço",0,IF(OR(AND(AUTOEVENTO="Manual",$M490=1),$M490&gt;(ROW(PLE.lastrow)-ROW(PLE.firstrow))),0,IF(OFFSET(PLE!$G$14,$M490,BW$13)="",10^12,OFFSET(PLE!$G$14,$M490,BW$13))))</f>
        <v>0</v>
      </c>
      <c r="BX490" s="182">
        <f ca="1">IF($D490&lt;&gt;"Serviço",0,IF(OR(AND(AUTOEVENTO="Manual",$M490=1),$M490&gt;(ROW(PLE.lastrow)-ROW(PLE.firstrow))),0,IF(OFFSET(PLE!$G$14,$M490,BX$13)="",10^12,OFFSET(PLE!$G$14,$M490,BX$13))))</f>
        <v>0</v>
      </c>
      <c r="BY490" s="182">
        <f ca="1">IF($D490&lt;&gt;"Serviço",0,IF(OR(AND(AUTOEVENTO="Manual",$M490=1),$M490&gt;(ROW(PLE.lastrow)-ROW(PLE.firstrow))),0,IF(OFFSET(PLE!$G$14,$M490,BY$13)="",10^12,OFFSET(PLE!$G$14,$M490,BY$13))))</f>
        <v>0</v>
      </c>
      <c r="BZ490" s="182">
        <f ca="1">IF($D490&lt;&gt;"Serviço",0,IF(OR(AND(AUTOEVENTO="Manual",$M490=1),$M490&gt;(ROW(PLE.lastrow)-ROW(PLE.firstrow))),0,IF(OFFSET(PLE!$G$14,$M490,BZ$13)="",10^12,OFFSET(PLE!$G$14,$M490,BZ$13))))</f>
        <v>0</v>
      </c>
      <c r="CA490" s="182">
        <f ca="1">IF($D490&lt;&gt;"Serviço",0,IF(OR(AND(AUTOEVENTO="Manual",$M490=1),$M490&gt;(ROW(PLE.lastrow)-ROW(PLE.firstrow))),0,IF(OFFSET(PLE!$G$14,$M490,CA$13)="",10^12,OFFSET(PLE!$G$14,$M490,CA$13))))</f>
        <v>0</v>
      </c>
      <c r="CB490" s="182">
        <f ca="1">IF($D490&lt;&gt;"Serviço",0,IF(OR(AND(AUTOEVENTO="Manual",$M490=1),$M490&gt;(ROW(PLE.lastrow)-ROW(PLE.firstrow))),0,IF(OFFSET(PLE!$G$14,$M490,CB$13)="",10^12,OFFSET(PLE!$G$14,$M490,CB$13))))</f>
        <v>0</v>
      </c>
      <c r="CC490" s="182">
        <f ca="1">IF($D490&lt;&gt;"Serviço",0,IF(OR(AND(AUTOEVENTO="Manual",$M490=1),$M490&gt;(ROW(PLE.lastrow)-ROW(PLE.firstrow))),0,IF(OFFSET(PLE!$G$14,$M490,CC$13)="",10^12,OFFSET(PLE!$G$14,$M490,CC$13))))</f>
        <v>0</v>
      </c>
      <c r="CD490" s="182">
        <f ca="1">IF($D490&lt;&gt;"Serviço",0,IF(OR(AND(AUTOEVENTO="Manual",$M490=1),$M490&gt;(ROW(PLE.lastrow)-ROW(PLE.firstrow))),0,IF(OFFSET(PLE!$G$14,$M490,CD$13)="",10^12,OFFSET(PLE!$G$14,$M490,CD$13))))</f>
        <v>0</v>
      </c>
      <c r="CE490" s="182">
        <f ca="1">IF($D490&lt;&gt;"Serviço",0,IF(OR(AND(AUTOEVENTO="Manual",$M490=1),$M490&gt;(ROW(PLE.lastrow)-ROW(PLE.firstrow))),0,IF(OFFSET(PLE!$G$14,$M490,CE$13)="",10^12,OFFSET(PLE!$G$14,$M490,CE$13))))</f>
        <v>0</v>
      </c>
      <c r="CF490" s="182">
        <f ca="1">IF($D490&lt;&gt;"Serviço",0,IF(OR(AND(AUTOEVENTO="Manual",$M490=1),$M490&gt;(ROW(PLE.lastrow)-ROW(PLE.firstrow))),0,IF(OFFSET(PLE!$G$14,$M490,CF$13)="",10^12,OFFSET(PLE!$G$14,$M490,CF$13))))</f>
        <v>0</v>
      </c>
      <c r="CG490" s="182">
        <f ca="1">IF($D490&lt;&gt;"Serviço",0,IF(OR(AND(AUTOEVENTO="Manual",$M490=1),$M490&gt;(ROW(PLE.lastrow)-ROW(PLE.firstrow))),0,IF(OFFSET(PLE!$G$14,$M490,CG$13)="",10^12,OFFSET(PLE!$G$14,$M490,CG$13))))</f>
        <v>0</v>
      </c>
      <c r="CH490" s="182">
        <f ca="1">IF($D490&lt;&gt;"Serviço",0,IF(OR(AND(AUTOEVENTO="Manual",$M490=1),$M490&gt;(ROW(PLE.lastrow)-ROW(PLE.firstrow))),0,IF(OFFSET(PLE!$G$14,$M490,CH$13)="",10^12,OFFSET(PLE!$G$14,$M490,CH$13))))</f>
        <v>0</v>
      </c>
      <c r="CI490" s="182">
        <f ca="1">IF($D490&lt;&gt;"Serviço",0,IF(OR(AND(AUTOEVENTO="Manual",$M490=1),$M490&gt;(ROW(PLE.lastrow)-ROW(PLE.firstrow))),0,IF(OFFSET(PLE!$G$14,$M490,CI$13)="",10^12,OFFSET(PLE!$G$14,$M490,CI$13))))</f>
        <v>0</v>
      </c>
      <c r="CJ490" s="182">
        <f ca="1">IF($D490&lt;&gt;"Serviço",0,IF(OR(AND(AUTOEVENTO="Manual",$M490=1),$M490&gt;(ROW(PLE.lastrow)-ROW(PLE.firstrow))),0,IF(OFFSET(PLE!$G$14,$M490,CJ$13)="",10^12,OFFSET(PLE!$G$14,$M490,CJ$13))))</f>
        <v>0</v>
      </c>
      <c r="CK490" s="182">
        <f ca="1">IF($D490&lt;&gt;"Serviço",0,IF(OR(AND(AUTOEVENTO="Manual",$M490=1),$M490&gt;(ROW(PLE.lastrow)-ROW(PLE.firstrow))),0,IF(OFFSET(PLE!$G$14,$M490,CK$13)="",10^12,OFFSET(PLE!$G$14,$M490,CK$13))))</f>
        <v>0</v>
      </c>
      <c r="CL490" s="182">
        <f ca="1">IF($D490&lt;&gt;"Serviço",0,IF(OR(AND(AUTOEVENTO="Manual",$M490=1),$M490&gt;(ROW(PLE.lastrow)-ROW(PLE.firstrow))),0,IF(OFFSET(PLE!$G$14,$M490,CL$13)="",10^12,OFFSET(PLE!$G$14,$M490,CL$13))))</f>
        <v>0</v>
      </c>
      <c r="CM490" s="182">
        <f ca="1">IF($D490&lt;&gt;"Serviço",0,IF(OR(AND(AUTOEVENTO="Manual",$M490=1),$M490&gt;(ROW(PLE.lastrow)-ROW(PLE.firstrow))),0,IF(OFFSET(PLE!$G$14,$M490,CM$13)="",10^12,OFFSET(PLE!$G$14,$M490,CM$13))))</f>
        <v>0</v>
      </c>
    </row>
    <row r="491" spans="1:91" ht="25.5" x14ac:dyDescent="0.2">
      <c r="A491" s="7" t="str">
        <f t="shared" ca="1" si="16"/>
        <v>475</v>
      </c>
      <c r="B491" s="7" t="str">
        <f ca="1">OFFSET(ORÇAMENTO!C$15,ROW(B491)-ROW(B$15),0)</f>
        <v>S</v>
      </c>
      <c r="C491" s="7" t="str">
        <f ca="1">OFFSET(ORÇAMENTO!L$15,ROW(C491)-ROW(C$15),0)</f>
        <v/>
      </c>
      <c r="D491" s="118" t="str">
        <f ca="1">OFFSET(ORÇAMENTO!N$15,ROW(D491)-ROW(D$15),0)</f>
        <v>Serviço</v>
      </c>
      <c r="E491" s="119" t="str">
        <f ca="1">OFFSET(ORÇAMENTO!O$15,ROW(E491)-ROW(E$15),0)</f>
        <v>-</v>
      </c>
      <c r="F491" s="172" t="str">
        <f ca="1">OFFSET(ORÇAMENTO!R$15,ROW(F491)-ROW(F$15),0)</f>
        <v>(abra o arquivo 'Referência 06-2024.xlsm)</v>
      </c>
      <c r="G491" s="173" t="str">
        <f ca="1">IF($D491&lt;&gt;"Serviço","",OFFSET(ORÇAMENTO!S$15,ROW(G491)-ROW(G$15),0))</f>
        <v>-</v>
      </c>
      <c r="H491" s="124">
        <f ca="1">IF($D491&lt;&gt;"Serviço",0,IF(ACOMPANHAMENTO="BM",ROUND(OFFSET(ORÇAMENTO!AJ$15,ROW(H491)-ROW(H$15),0),15-13*ORÇAMENTO!$AF$7),SUMPRODUCT(($Q$12:$AI$12&lt;&gt;"")*ROUND($Q491:$AI491,15-13*ORÇAMENTO!$AF$7))))</f>
        <v>1809</v>
      </c>
      <c r="I491" s="561" t="s">
        <v>1107</v>
      </c>
      <c r="K491" s="174"/>
      <c r="L491" s="175" t="s">
        <v>255</v>
      </c>
      <c r="M491" s="176">
        <f ca="1">IF($D491&lt;&gt;"Serviço","",IF(AUTOEVENTO="manual",$A491,IF(ISERROR(MATCH($A491,$A$15:OFFSET($A491,-1,0),0)),MAX($M$15:OFFSET(M491,-1,0))+1,INDEX($M$15:OFFSET(M491,-1,0),MATCH($A491,$A$15:OFFSET($A491,-1,0),0)))))</f>
        <v>53</v>
      </c>
      <c r="N491" s="177" t="str">
        <f ca="1">IF($D491&lt;&gt;"Serviço","",IF(AUTOEVENTO="Manual",IF($A491=0,"&lt;-- defina o número do agrupador",OFFSET(EVENTOS!$D$14,$A491,0)),OFFSET($F$15,$A491,0)))</f>
        <v>INSTALAÇÃO ELÉTRICA 110V - ACESSÓRIOS EM GERAL</v>
      </c>
      <c r="O491" s="178"/>
      <c r="Q491" s="178">
        <v>1809</v>
      </c>
      <c r="R491" s="179"/>
      <c r="S491" s="179"/>
      <c r="T491" s="179"/>
      <c r="U491" s="179"/>
      <c r="V491" s="179"/>
      <c r="W491" s="179"/>
      <c r="X491" s="179"/>
      <c r="Y491" s="179"/>
      <c r="Z491" s="180"/>
      <c r="AA491" s="179"/>
      <c r="AB491" s="179"/>
      <c r="AC491" s="179"/>
      <c r="AD491" s="179"/>
      <c r="AE491" s="179"/>
      <c r="AF491" s="179"/>
      <c r="AG491" s="179"/>
      <c r="AH491" s="180"/>
      <c r="AJ491" s="544">
        <f ca="1">IF(AND($D491="Serviço",AJ$12&lt;&gt;0,$H491&gt;0,OR(AUTOEVENTO&lt;&gt;"manual",$M491&lt;&gt;1)),
IF(Import.TipoArredondamento&lt;&gt;"TransfereGOV",
ROUND(OFFSET($P491,0,AJ$13),15-13*ORÇAMENTO!$AF$7)/$H491*OFFSET(ORÇAMENTO!$X$15,ROW(AJ491)-ROW(AJ$15),0),
ROUND(ROUND(OFFSET($P491,0,AJ$13),15-13*ORÇAMENTO!$AF$7)*OFFSET(ORÇAMENTO!$W$15,ROW(AJ491)-ROW(AJ$15),0),15-13*ORÇAMENTO!$AF$11)),0)</f>
        <v>0</v>
      </c>
      <c r="AK491" s="545">
        <f ca="1">IF(AND($D491="Serviço",AK$12&lt;&gt;0,$H491&gt;0,OR(AUTOEVENTO&lt;&gt;"manual",$M491&lt;&gt;1)),
IF(Import.TipoArredondamento&lt;&gt;"TransfereGOV",
ROUND(OFFSET($P491,0,AK$13),15-13*ORÇAMENTO!$AF$7)/$H491*OFFSET(ORÇAMENTO!$X$15,ROW(AK491)-ROW(AK$15),0),
ROUND(ROUND(OFFSET($P491,0,AK$13),15-13*ORÇAMENTO!$AF$7)*OFFSET(ORÇAMENTO!$W$15,ROW(AK491)-ROW(AK$15),0),15-13*ORÇAMENTO!$AF$11)),0)</f>
        <v>0</v>
      </c>
      <c r="AL491" s="545">
        <f ca="1">IF(AND($D491="Serviço",AL$12&lt;&gt;0,$H491&gt;0,OR(AUTOEVENTO&lt;&gt;"manual",$M491&lt;&gt;1)),
IF(Import.TipoArredondamento&lt;&gt;"TransfereGOV",
ROUND(OFFSET($P491,0,AL$13),15-13*ORÇAMENTO!$AF$7)/$H491*OFFSET(ORÇAMENTO!$X$15,ROW(AL491)-ROW(AL$15),0),
ROUND(ROUND(OFFSET($P491,0,AL$13),15-13*ORÇAMENTO!$AF$7)*OFFSET(ORÇAMENTO!$W$15,ROW(AL491)-ROW(AL$15),0),15-13*ORÇAMENTO!$AF$11)),0)</f>
        <v>0</v>
      </c>
      <c r="AM491" s="545">
        <f ca="1">IF(AND($D491="Serviço",AM$12&lt;&gt;0,$H491&gt;0,OR(AUTOEVENTO&lt;&gt;"manual",$M491&lt;&gt;1)),
IF(Import.TipoArredondamento&lt;&gt;"TransfereGOV",
ROUND(OFFSET($P491,0,AM$13),15-13*ORÇAMENTO!$AF$7)/$H491*OFFSET(ORÇAMENTO!$X$15,ROW(AM491)-ROW(AM$15),0),
ROUND(ROUND(OFFSET($P491,0,AM$13),15-13*ORÇAMENTO!$AF$7)*OFFSET(ORÇAMENTO!$W$15,ROW(AM491)-ROW(AM$15),0),15-13*ORÇAMENTO!$AF$11)),0)</f>
        <v>0</v>
      </c>
      <c r="AN491" s="545">
        <f ca="1">IF(AND($D491="Serviço",AN$12&lt;&gt;0,$H491&gt;0,OR(AUTOEVENTO&lt;&gt;"manual",$M491&lt;&gt;1)),
IF(Import.TipoArredondamento&lt;&gt;"TransfereGOV",
ROUND(OFFSET($P491,0,AN$13),15-13*ORÇAMENTO!$AF$7)/$H491*OFFSET(ORÇAMENTO!$X$15,ROW(AN491)-ROW(AN$15),0),
ROUND(ROUND(OFFSET($P491,0,AN$13),15-13*ORÇAMENTO!$AF$7)*OFFSET(ORÇAMENTO!$W$15,ROW(AN491)-ROW(AN$15),0),15-13*ORÇAMENTO!$AF$11)),0)</f>
        <v>0</v>
      </c>
      <c r="AO491" s="545">
        <f ca="1">IF(AND($D491="Serviço",AO$12&lt;&gt;0,$H491&gt;0,OR(AUTOEVENTO&lt;&gt;"manual",$M491&lt;&gt;1)),
IF(Import.TipoArredondamento&lt;&gt;"TransfereGOV",
ROUND(OFFSET($P491,0,AO$13),15-13*ORÇAMENTO!$AF$7)/$H491*OFFSET(ORÇAMENTO!$X$15,ROW(AO491)-ROW(AO$15),0),
ROUND(ROUND(OFFSET($P491,0,AO$13),15-13*ORÇAMENTO!$AF$7)*OFFSET(ORÇAMENTO!$W$15,ROW(AO491)-ROW(AO$15),0),15-13*ORÇAMENTO!$AF$11)),0)</f>
        <v>0</v>
      </c>
      <c r="AP491" s="545">
        <f ca="1">IF(AND($D491="Serviço",AP$12&lt;&gt;0,$H491&gt;0,OR(AUTOEVENTO&lt;&gt;"manual",$M491&lt;&gt;1)),
IF(Import.TipoArredondamento&lt;&gt;"TransfereGOV",
ROUND(OFFSET($P491,0,AP$13),15-13*ORÇAMENTO!$AF$7)/$H491*OFFSET(ORÇAMENTO!$X$15,ROW(AP491)-ROW(AP$15),0),
ROUND(ROUND(OFFSET($P491,0,AP$13),15-13*ORÇAMENTO!$AF$7)*OFFSET(ORÇAMENTO!$W$15,ROW(AP491)-ROW(AP$15),0),15-13*ORÇAMENTO!$AF$11)),0)</f>
        <v>0</v>
      </c>
      <c r="AQ491" s="545">
        <f ca="1">IF(AND($D491="Serviço",AQ$12&lt;&gt;0,$H491&gt;0,OR(AUTOEVENTO&lt;&gt;"manual",$M491&lt;&gt;1)),
IF(Import.TipoArredondamento&lt;&gt;"TransfereGOV",
ROUND(OFFSET($P491,0,AQ$13),15-13*ORÇAMENTO!$AF$7)/$H491*OFFSET(ORÇAMENTO!$X$15,ROW(AQ491)-ROW(AQ$15),0),
ROUND(ROUND(OFFSET($P491,0,AQ$13),15-13*ORÇAMENTO!$AF$7)*OFFSET(ORÇAMENTO!$W$15,ROW(AQ491)-ROW(AQ$15),0),15-13*ORÇAMENTO!$AF$11)),0)</f>
        <v>0</v>
      </c>
      <c r="AR491" s="545">
        <f ca="1">IF(AND($D491="Serviço",AR$12&lt;&gt;0,$H491&gt;0,OR(AUTOEVENTO&lt;&gt;"manual",$M491&lt;&gt;1)),
IF(Import.TipoArredondamento&lt;&gt;"TransfereGOV",
ROUND(OFFSET($P491,0,AR$13),15-13*ORÇAMENTO!$AF$7)/$H491*OFFSET(ORÇAMENTO!$X$15,ROW(AR491)-ROW(AR$15),0),
ROUND(ROUND(OFFSET($P491,0,AR$13),15-13*ORÇAMENTO!$AF$7)*OFFSET(ORÇAMENTO!$W$15,ROW(AR491)-ROW(AR$15),0),15-13*ORÇAMENTO!$AF$11)),0)</f>
        <v>0</v>
      </c>
      <c r="AS491" s="546">
        <f ca="1">IF(AND($D491="Serviço",AS$12&lt;&gt;0,$H491&gt;0,OR(AUTOEVENTO&lt;&gt;"manual",$M491&lt;&gt;1)),
IF(Import.TipoArredondamento&lt;&gt;"TransfereGOV",
ROUND(OFFSET($P491,0,AS$13),15-13*ORÇAMENTO!$AF$7)/$H491*OFFSET(ORÇAMENTO!$X$15,ROW(AS491)-ROW(AS$15),0),
ROUND(ROUND(OFFSET($P491,0,AS$13),15-13*ORÇAMENTO!$AF$7)*OFFSET(ORÇAMENTO!$W$15,ROW(AS491)-ROW(AS$15),0),15-13*ORÇAMENTO!$AF$11)),0)</f>
        <v>0</v>
      </c>
      <c r="AT491" s="545">
        <f ca="1">IF(AND($D491="Serviço",AT$12&lt;&gt;0,$H491&gt;0,OR(AUTOEVENTO&lt;&gt;"manual",$M491&lt;&gt;1)),
IF(Import.TipoArredondamento&lt;&gt;"TransfereGOV",
ROUND(OFFSET($P491,0,AT$13),15-13*ORÇAMENTO!$AF$7)/$H491*OFFSET(ORÇAMENTO!$X$15,ROW(AT491)-ROW(AT$15),0),
ROUND(ROUND(OFFSET($P491,0,AT$13),15-13*ORÇAMENTO!$AF$7)*OFFSET(ORÇAMENTO!$W$15,ROW(AT491)-ROW(AT$15),0),15-13*ORÇAMENTO!$AF$11)),0)</f>
        <v>0</v>
      </c>
      <c r="AU491" s="545">
        <f ca="1">IF(AND($D491="Serviço",AU$12&lt;&gt;0,$H491&gt;0,OR(AUTOEVENTO&lt;&gt;"manual",$M491&lt;&gt;1)),
IF(Import.TipoArredondamento&lt;&gt;"TransfereGOV",
ROUND(OFFSET($P491,0,AU$13),15-13*ORÇAMENTO!$AF$7)/$H491*OFFSET(ORÇAMENTO!$X$15,ROW(AU491)-ROW(AU$15),0),
ROUND(ROUND(OFFSET($P491,0,AU$13),15-13*ORÇAMENTO!$AF$7)*OFFSET(ORÇAMENTO!$W$15,ROW(AU491)-ROW(AU$15),0),15-13*ORÇAMENTO!$AF$11)),0)</f>
        <v>0</v>
      </c>
      <c r="AV491" s="545">
        <f ca="1">IF(AND($D491="Serviço",AV$12&lt;&gt;0,$H491&gt;0,OR(AUTOEVENTO&lt;&gt;"manual",$M491&lt;&gt;1)),
IF(Import.TipoArredondamento&lt;&gt;"TransfereGOV",
ROUND(OFFSET($P491,0,AV$13),15-13*ORÇAMENTO!$AF$7)/$H491*OFFSET(ORÇAMENTO!$X$15,ROW(AV491)-ROW(AV$15),0),
ROUND(ROUND(OFFSET($P491,0,AV$13),15-13*ORÇAMENTO!$AF$7)*OFFSET(ORÇAMENTO!$W$15,ROW(AV491)-ROW(AV$15),0),15-13*ORÇAMENTO!$AF$11)),0)</f>
        <v>0</v>
      </c>
      <c r="AW491" s="545">
        <f ca="1">IF(AND($D491="Serviço",AW$12&lt;&gt;0,$H491&gt;0,OR(AUTOEVENTO&lt;&gt;"manual",$M491&lt;&gt;1)),
IF(Import.TipoArredondamento&lt;&gt;"TransfereGOV",
ROUND(OFFSET($P491,0,AW$13),15-13*ORÇAMENTO!$AF$7)/$H491*OFFSET(ORÇAMENTO!$X$15,ROW(AW491)-ROW(AW$15),0),
ROUND(ROUND(OFFSET($P491,0,AW$13),15-13*ORÇAMENTO!$AF$7)*OFFSET(ORÇAMENTO!$W$15,ROW(AW491)-ROW(AW$15),0),15-13*ORÇAMENTO!$AF$11)),0)</f>
        <v>0</v>
      </c>
      <c r="AX491" s="545">
        <f ca="1">IF(AND($D491="Serviço",AX$12&lt;&gt;0,$H491&gt;0,OR(AUTOEVENTO&lt;&gt;"manual",$M491&lt;&gt;1)),
IF(Import.TipoArredondamento&lt;&gt;"TransfereGOV",
ROUND(OFFSET($P491,0,AX$13),15-13*ORÇAMENTO!$AF$7)/$H491*OFFSET(ORÇAMENTO!$X$15,ROW(AX491)-ROW(AX$15),0),
ROUND(ROUND(OFFSET($P491,0,AX$13),15-13*ORÇAMENTO!$AF$7)*OFFSET(ORÇAMENTO!$W$15,ROW(AX491)-ROW(AX$15),0),15-13*ORÇAMENTO!$AF$11)),0)</f>
        <v>0</v>
      </c>
      <c r="AY491" s="545">
        <f ca="1">IF(AND($D491="Serviço",AY$12&lt;&gt;0,$H491&gt;0,OR(AUTOEVENTO&lt;&gt;"manual",$M491&lt;&gt;1)),
IF(Import.TipoArredondamento&lt;&gt;"TransfereGOV",
ROUND(OFFSET($P491,0,AY$13),15-13*ORÇAMENTO!$AF$7)/$H491*OFFSET(ORÇAMENTO!$X$15,ROW(AY491)-ROW(AY$15),0),
ROUND(ROUND(OFFSET($P491,0,AY$13),15-13*ORÇAMENTO!$AF$7)*OFFSET(ORÇAMENTO!$W$15,ROW(AY491)-ROW(AY$15),0),15-13*ORÇAMENTO!$AF$11)),0)</f>
        <v>0</v>
      </c>
      <c r="AZ491" s="545">
        <f ca="1">IF(AND($D491="Serviço",AZ$12&lt;&gt;0,$H491&gt;0,OR(AUTOEVENTO&lt;&gt;"manual",$M491&lt;&gt;1)),
IF(Import.TipoArredondamento&lt;&gt;"TransfereGOV",
ROUND(OFFSET($P491,0,AZ$13),15-13*ORÇAMENTO!$AF$7)/$H491*OFFSET(ORÇAMENTO!$X$15,ROW(AZ491)-ROW(AZ$15),0),
ROUND(ROUND(OFFSET($P491,0,AZ$13),15-13*ORÇAMENTO!$AF$7)*OFFSET(ORÇAMENTO!$W$15,ROW(AZ491)-ROW(AZ$15),0),15-13*ORÇAMENTO!$AF$11)),0)</f>
        <v>0</v>
      </c>
      <c r="BA491" s="546">
        <f ca="1">IF(AND($D491="Serviço",BA$12&lt;&gt;0,$H491&gt;0,OR(AUTOEVENTO&lt;&gt;"manual",$M491&lt;&gt;1)),
IF(Import.TipoArredondamento&lt;&gt;"TransfereGOV",
ROUND(OFFSET($P491,0,BA$13),15-13*ORÇAMENTO!$AF$7)/$H491*OFFSET(ORÇAMENTO!$X$15,ROW(BA491)-ROW(BA$15),0),
ROUND(ROUND(OFFSET($P491,0,BA$13),15-13*ORÇAMENTO!$AF$7)*OFFSET(ORÇAMENTO!$W$15,ROW(BA491)-ROW(BA$15),0),15-13*ORÇAMENTO!$AF$11)),0)</f>
        <v>0</v>
      </c>
      <c r="BC491" s="181">
        <f ca="1">IF($D491&lt;&gt;"Serviço",0,IF(AND(AUTOEVENTO="Manual",$M491=1),0,IF(OFFSET(CRONOPLE!$F$14,$M491,BC$13)="",10^12,OFFSET(CRONOPLE!$F$14,$M491,BC$13))))</f>
        <v>10</v>
      </c>
      <c r="BD491" s="181">
        <f ca="1">IF($D491&lt;&gt;"Serviço",0,IF(AND(AUTOEVENTO="Manual",$M491=1),0,IF(OFFSET(CRONOPLE!$F$14,$M491,BD$13)="",10^12,OFFSET(CRONOPLE!$F$14,$M491,BD$13))))</f>
        <v>1000000000000</v>
      </c>
      <c r="BE491" s="181">
        <f ca="1">IF($D491&lt;&gt;"Serviço",0,IF(AND(AUTOEVENTO="Manual",$M491=1),0,IF(OFFSET(CRONOPLE!$F$14,$M491,BE$13)="",10^12,OFFSET(CRONOPLE!$F$14,$M491,BE$13))))</f>
        <v>1000000000000</v>
      </c>
      <c r="BF491" s="181">
        <f ca="1">IF($D491&lt;&gt;"Serviço",0,IF(AND(AUTOEVENTO="Manual",$M491=1),0,IF(OFFSET(CRONOPLE!$F$14,$M491,BF$13)="",10^12,OFFSET(CRONOPLE!$F$14,$M491,BF$13))))</f>
        <v>1000000000000</v>
      </c>
      <c r="BG491" s="181">
        <f ca="1">IF($D491&lt;&gt;"Serviço",0,IF(AND(AUTOEVENTO="Manual",$M491=1),0,IF(OFFSET(CRONOPLE!$F$14,$M491,BG$13)="",10^12,OFFSET(CRONOPLE!$F$14,$M491,BG$13))))</f>
        <v>1000000000000</v>
      </c>
      <c r="BH491" s="181">
        <f ca="1">IF($D491&lt;&gt;"Serviço",0,IF(AND(AUTOEVENTO="Manual",$M491=1),0,IF(OFFSET(CRONOPLE!$F$14,$M491,BH$13)="",10^12,OFFSET(CRONOPLE!$F$14,$M491,BH$13))))</f>
        <v>1000000000000</v>
      </c>
      <c r="BI491" s="181">
        <f ca="1">IF($D491&lt;&gt;"Serviço",0,IF(AND(AUTOEVENTO="Manual",$M491=1),0,IF(OFFSET(CRONOPLE!$F$14,$M491,BI$13)="",10^12,OFFSET(CRONOPLE!$F$14,$M491,BI$13))))</f>
        <v>1000000000000</v>
      </c>
      <c r="BJ491" s="181">
        <f ca="1">IF($D491&lt;&gt;"Serviço",0,IF(AND(AUTOEVENTO="Manual",$M491=1),0,IF(OFFSET(CRONOPLE!$F$14,$M491,BJ$13)="",10^12,OFFSET(CRONOPLE!$F$14,$M491,BJ$13))))</f>
        <v>1000000000000</v>
      </c>
      <c r="BK491" s="181">
        <f ca="1">IF($D491&lt;&gt;"Serviço",0,IF(AND(AUTOEVENTO="Manual",$M491=1),0,IF(OFFSET(CRONOPLE!$F$14,$M491,BK$13)="",10^12,OFFSET(CRONOPLE!$F$14,$M491,BK$13))))</f>
        <v>1000000000000</v>
      </c>
      <c r="BL491" s="181">
        <f ca="1">IF($D491&lt;&gt;"Serviço",0,IF(AND(AUTOEVENTO="Manual",$M491=1),0,IF(OFFSET(CRONOPLE!$F$14,$M491,BL$13)="",10^12,OFFSET(CRONOPLE!$F$14,$M491,BL$13))))</f>
        <v>1000000000000</v>
      </c>
      <c r="BM491" s="181">
        <f ca="1">IF($D491&lt;&gt;"Serviço",0,IF(AND(AUTOEVENTO="Manual",$M491=1),0,IF(OFFSET(CRONOPLE!$F$14,$M491,BM$13)="",10^12,OFFSET(CRONOPLE!$F$14,$M491,BM$13))))</f>
        <v>1000000000000</v>
      </c>
      <c r="BN491" s="181">
        <f ca="1">IF($D491&lt;&gt;"Serviço",0,IF(AND(AUTOEVENTO="Manual",$M491=1),0,IF(OFFSET(CRONOPLE!$F$14,$M491,BN$13)="",10^12,OFFSET(CRONOPLE!$F$14,$M491,BN$13))))</f>
        <v>1000000000000</v>
      </c>
      <c r="BO491" s="181">
        <f ca="1">IF($D491&lt;&gt;"Serviço",0,IF(AND(AUTOEVENTO="Manual",$M491=1),0,IF(OFFSET(CRONOPLE!$F$14,$M491,BO$13)="",10^12,OFFSET(CRONOPLE!$F$14,$M491,BO$13))))</f>
        <v>1000000000000</v>
      </c>
      <c r="BP491" s="181">
        <f ca="1">IF($D491&lt;&gt;"Serviço",0,IF(AND(AUTOEVENTO="Manual",$M491=1),0,IF(OFFSET(CRONOPLE!$F$14,$M491,BP$13)="",10^12,OFFSET(CRONOPLE!$F$14,$M491,BP$13))))</f>
        <v>1000000000000</v>
      </c>
      <c r="BQ491" s="181">
        <f ca="1">IF($D491&lt;&gt;"Serviço",0,IF(AND(AUTOEVENTO="Manual",$M491=1),0,IF(OFFSET(CRONOPLE!$F$14,$M491,BQ$13)="",10^12,OFFSET(CRONOPLE!$F$14,$M491,BQ$13))))</f>
        <v>1000000000000</v>
      </c>
      <c r="BR491" s="181">
        <f ca="1">IF($D491&lt;&gt;"Serviço",0,IF(AND(AUTOEVENTO="Manual",$M491=1),0,IF(OFFSET(CRONOPLE!$F$14,$M491,BR$13)="",10^12,OFFSET(CRONOPLE!$F$14,$M491,BR$13))))</f>
        <v>1000000000000</v>
      </c>
      <c r="BS491" s="181">
        <f ca="1">IF($D491&lt;&gt;"Serviço",0,IF(AND(AUTOEVENTO="Manual",$M491=1),0,IF(OFFSET(CRONOPLE!$F$14,$M491,BS$13)="",10^12,OFFSET(CRONOPLE!$F$14,$M491,BS$13))))</f>
        <v>1000000000000</v>
      </c>
      <c r="BT491" s="181">
        <f ca="1">IF($D491&lt;&gt;"Serviço",0,IF(AND(AUTOEVENTO="Manual",$M491=1),0,IF(OFFSET(CRONOPLE!$F$14,$M491,BT$13)="",10^12,OFFSET(CRONOPLE!$F$14,$M491,BT$13))))</f>
        <v>1000000000000</v>
      </c>
      <c r="BV491" s="182">
        <f ca="1">IF($D491&lt;&gt;"Serviço",0,IF(OR(AND(AUTOEVENTO="Manual",$M491=1),$M491&gt;(ROW(PLE.lastrow)-ROW(PLE.firstrow))),0,IF(OFFSET(PLE!$G$14,$M491,BV$13)="",10^12,OFFSET(PLE!$G$14,$M491,BV$13))))</f>
        <v>1000000000000</v>
      </c>
      <c r="BW491" s="182">
        <f ca="1">IF($D491&lt;&gt;"Serviço",0,IF(OR(AND(AUTOEVENTO="Manual",$M491=1),$M491&gt;(ROW(PLE.lastrow)-ROW(PLE.firstrow))),0,IF(OFFSET(PLE!$G$14,$M491,BW$13)="",10^12,OFFSET(PLE!$G$14,$M491,BW$13))))</f>
        <v>1000000000000</v>
      </c>
      <c r="BX491" s="182">
        <f ca="1">IF($D491&lt;&gt;"Serviço",0,IF(OR(AND(AUTOEVENTO="Manual",$M491=1),$M491&gt;(ROW(PLE.lastrow)-ROW(PLE.firstrow))),0,IF(OFFSET(PLE!$G$14,$M491,BX$13)="",10^12,OFFSET(PLE!$G$14,$M491,BX$13))))</f>
        <v>1000000000000</v>
      </c>
      <c r="BY491" s="182">
        <f ca="1">IF($D491&lt;&gt;"Serviço",0,IF(OR(AND(AUTOEVENTO="Manual",$M491=1),$M491&gt;(ROW(PLE.lastrow)-ROW(PLE.firstrow))),0,IF(OFFSET(PLE!$G$14,$M491,BY$13)="",10^12,OFFSET(PLE!$G$14,$M491,BY$13))))</f>
        <v>1000000000000</v>
      </c>
      <c r="BZ491" s="182">
        <f ca="1">IF($D491&lt;&gt;"Serviço",0,IF(OR(AND(AUTOEVENTO="Manual",$M491=1),$M491&gt;(ROW(PLE.lastrow)-ROW(PLE.firstrow))),0,IF(OFFSET(PLE!$G$14,$M491,BZ$13)="",10^12,OFFSET(PLE!$G$14,$M491,BZ$13))))</f>
        <v>1000000000000</v>
      </c>
      <c r="CA491" s="182">
        <f ca="1">IF($D491&lt;&gt;"Serviço",0,IF(OR(AND(AUTOEVENTO="Manual",$M491=1),$M491&gt;(ROW(PLE.lastrow)-ROW(PLE.firstrow))),0,IF(OFFSET(PLE!$G$14,$M491,CA$13)="",10^12,OFFSET(PLE!$G$14,$M491,CA$13))))</f>
        <v>1000000000000</v>
      </c>
      <c r="CB491" s="182">
        <f ca="1">IF($D491&lt;&gt;"Serviço",0,IF(OR(AND(AUTOEVENTO="Manual",$M491=1),$M491&gt;(ROW(PLE.lastrow)-ROW(PLE.firstrow))),0,IF(OFFSET(PLE!$G$14,$M491,CB$13)="",10^12,OFFSET(PLE!$G$14,$M491,CB$13))))</f>
        <v>1000000000000</v>
      </c>
      <c r="CC491" s="182">
        <f ca="1">IF($D491&lt;&gt;"Serviço",0,IF(OR(AND(AUTOEVENTO="Manual",$M491=1),$M491&gt;(ROW(PLE.lastrow)-ROW(PLE.firstrow))),0,IF(OFFSET(PLE!$G$14,$M491,CC$13)="",10^12,OFFSET(PLE!$G$14,$M491,CC$13))))</f>
        <v>1000000000000</v>
      </c>
      <c r="CD491" s="182">
        <f ca="1">IF($D491&lt;&gt;"Serviço",0,IF(OR(AND(AUTOEVENTO="Manual",$M491=1),$M491&gt;(ROW(PLE.lastrow)-ROW(PLE.firstrow))),0,IF(OFFSET(PLE!$G$14,$M491,CD$13)="",10^12,OFFSET(PLE!$G$14,$M491,CD$13))))</f>
        <v>1000000000000</v>
      </c>
      <c r="CE491" s="182">
        <f ca="1">IF($D491&lt;&gt;"Serviço",0,IF(OR(AND(AUTOEVENTO="Manual",$M491=1),$M491&gt;(ROW(PLE.lastrow)-ROW(PLE.firstrow))),0,IF(OFFSET(PLE!$G$14,$M491,CE$13)="",10^12,OFFSET(PLE!$G$14,$M491,CE$13))))</f>
        <v>1000000000000</v>
      </c>
      <c r="CF491" s="182">
        <f ca="1">IF($D491&lt;&gt;"Serviço",0,IF(OR(AND(AUTOEVENTO="Manual",$M491=1),$M491&gt;(ROW(PLE.lastrow)-ROW(PLE.firstrow))),0,IF(OFFSET(PLE!$G$14,$M491,CF$13)="",10^12,OFFSET(PLE!$G$14,$M491,CF$13))))</f>
        <v>1000000000000</v>
      </c>
      <c r="CG491" s="182">
        <f ca="1">IF($D491&lt;&gt;"Serviço",0,IF(OR(AND(AUTOEVENTO="Manual",$M491=1),$M491&gt;(ROW(PLE.lastrow)-ROW(PLE.firstrow))),0,IF(OFFSET(PLE!$G$14,$M491,CG$13)="",10^12,OFFSET(PLE!$G$14,$M491,CG$13))))</f>
        <v>1000000000000</v>
      </c>
      <c r="CH491" s="182">
        <f ca="1">IF($D491&lt;&gt;"Serviço",0,IF(OR(AND(AUTOEVENTO="Manual",$M491=1),$M491&gt;(ROW(PLE.lastrow)-ROW(PLE.firstrow))),0,IF(OFFSET(PLE!$G$14,$M491,CH$13)="",10^12,OFFSET(PLE!$G$14,$M491,CH$13))))</f>
        <v>1000000000000</v>
      </c>
      <c r="CI491" s="182">
        <f ca="1">IF($D491&lt;&gt;"Serviço",0,IF(OR(AND(AUTOEVENTO="Manual",$M491=1),$M491&gt;(ROW(PLE.lastrow)-ROW(PLE.firstrow))),0,IF(OFFSET(PLE!$G$14,$M491,CI$13)="",10^12,OFFSET(PLE!$G$14,$M491,CI$13))))</f>
        <v>1000000000000</v>
      </c>
      <c r="CJ491" s="182">
        <f ca="1">IF($D491&lt;&gt;"Serviço",0,IF(OR(AND(AUTOEVENTO="Manual",$M491=1),$M491&gt;(ROW(PLE.lastrow)-ROW(PLE.firstrow))),0,IF(OFFSET(PLE!$G$14,$M491,CJ$13)="",10^12,OFFSET(PLE!$G$14,$M491,CJ$13))))</f>
        <v>1000000000000</v>
      </c>
      <c r="CK491" s="182">
        <f ca="1">IF($D491&lt;&gt;"Serviço",0,IF(OR(AND(AUTOEVENTO="Manual",$M491=1),$M491&gt;(ROW(PLE.lastrow)-ROW(PLE.firstrow))),0,IF(OFFSET(PLE!$G$14,$M491,CK$13)="",10^12,OFFSET(PLE!$G$14,$M491,CK$13))))</f>
        <v>1000000000000</v>
      </c>
      <c r="CL491" s="182">
        <f ca="1">IF($D491&lt;&gt;"Serviço",0,IF(OR(AND(AUTOEVENTO="Manual",$M491=1),$M491&gt;(ROW(PLE.lastrow)-ROW(PLE.firstrow))),0,IF(OFFSET(PLE!$G$14,$M491,CL$13)="",10^12,OFFSET(PLE!$G$14,$M491,CL$13))))</f>
        <v>1000000000000</v>
      </c>
      <c r="CM491" s="182">
        <f ca="1">IF($D491&lt;&gt;"Serviço",0,IF(OR(AND(AUTOEVENTO="Manual",$M491=1),$M491&gt;(ROW(PLE.lastrow)-ROW(PLE.firstrow))),0,IF(OFFSET(PLE!$G$14,$M491,CM$13)="",10^12,OFFSET(PLE!$G$14,$M491,CM$13))))</f>
        <v>1000000000000</v>
      </c>
    </row>
    <row r="492" spans="1:91" ht="25.5" x14ac:dyDescent="0.2">
      <c r="A492" s="7" t="str">
        <f t="shared" ca="1" si="16"/>
        <v>475</v>
      </c>
      <c r="B492" s="7" t="str">
        <f ca="1">OFFSET(ORÇAMENTO!C$15,ROW(B492)-ROW(B$15),0)</f>
        <v>S</v>
      </c>
      <c r="C492" s="7" t="str">
        <f ca="1">OFFSET(ORÇAMENTO!L$15,ROW(C492)-ROW(C$15),0)</f>
        <v/>
      </c>
      <c r="D492" s="118" t="str">
        <f ca="1">OFFSET(ORÇAMENTO!N$15,ROW(D492)-ROW(D$15),0)</f>
        <v>Serviço</v>
      </c>
      <c r="E492" s="119" t="str">
        <f ca="1">OFFSET(ORÇAMENTO!O$15,ROW(E492)-ROW(E$15),0)</f>
        <v>-</v>
      </c>
      <c r="F492" s="172" t="str">
        <f ca="1">OFFSET(ORÇAMENTO!R$15,ROW(F492)-ROW(F$15),0)</f>
        <v>(abra o arquivo 'Referência 06-2024.xlsm)</v>
      </c>
      <c r="G492" s="173" t="str">
        <f ca="1">IF($D492&lt;&gt;"Serviço","",OFFSET(ORÇAMENTO!S$15,ROW(G492)-ROW(G$15),0))</f>
        <v>-</v>
      </c>
      <c r="H492" s="124">
        <f ca="1">IF($D492&lt;&gt;"Serviço",0,IF(ACOMPANHAMENTO="BM",ROUND(OFFSET(ORÇAMENTO!AJ$15,ROW(H492)-ROW(H$15),0),15-13*ORÇAMENTO!$AF$7),SUMPRODUCT(($Q$12:$AI$12&lt;&gt;"")*ROUND($Q492:$AI492,15-13*ORÇAMENTO!$AF$7))))</f>
        <v>27</v>
      </c>
      <c r="I492" s="561" t="s">
        <v>1107</v>
      </c>
      <c r="K492" s="174"/>
      <c r="L492" s="175" t="s">
        <v>255</v>
      </c>
      <c r="M492" s="176">
        <f ca="1">IF($D492&lt;&gt;"Serviço","",IF(AUTOEVENTO="manual",$A492,IF(ISERROR(MATCH($A492,$A$15:OFFSET($A492,-1,0),0)),MAX($M$15:OFFSET(M492,-1,0))+1,INDEX($M$15:OFFSET(M492,-1,0),MATCH($A492,$A$15:OFFSET($A492,-1,0),0)))))</f>
        <v>53</v>
      </c>
      <c r="N492" s="177" t="str">
        <f ca="1">IF($D492&lt;&gt;"Serviço","",IF(AUTOEVENTO="Manual",IF($A492=0,"&lt;-- defina o número do agrupador",OFFSET(EVENTOS!$D$14,$A492,0)),OFFSET($F$15,$A492,0)))</f>
        <v>INSTALAÇÃO ELÉTRICA 110V - ACESSÓRIOS EM GERAL</v>
      </c>
      <c r="O492" s="178"/>
      <c r="Q492" s="178">
        <v>27</v>
      </c>
      <c r="R492" s="179"/>
      <c r="S492" s="179"/>
      <c r="T492" s="179"/>
      <c r="U492" s="179"/>
      <c r="V492" s="179"/>
      <c r="W492" s="179"/>
      <c r="X492" s="179"/>
      <c r="Y492" s="179"/>
      <c r="Z492" s="180"/>
      <c r="AA492" s="179"/>
      <c r="AB492" s="179"/>
      <c r="AC492" s="179"/>
      <c r="AD492" s="179"/>
      <c r="AE492" s="179"/>
      <c r="AF492" s="179"/>
      <c r="AG492" s="179"/>
      <c r="AH492" s="180"/>
      <c r="AJ492" s="544">
        <f ca="1">IF(AND($D492="Serviço",AJ$12&lt;&gt;0,$H492&gt;0,OR(AUTOEVENTO&lt;&gt;"manual",$M492&lt;&gt;1)),
IF(Import.TipoArredondamento&lt;&gt;"TransfereGOV",
ROUND(OFFSET($P492,0,AJ$13),15-13*ORÇAMENTO!$AF$7)/$H492*OFFSET(ORÇAMENTO!$X$15,ROW(AJ492)-ROW(AJ$15),0),
ROUND(ROUND(OFFSET($P492,0,AJ$13),15-13*ORÇAMENTO!$AF$7)*OFFSET(ORÇAMENTO!$W$15,ROW(AJ492)-ROW(AJ$15),0),15-13*ORÇAMENTO!$AF$11)),0)</f>
        <v>0</v>
      </c>
      <c r="AK492" s="545">
        <f ca="1">IF(AND($D492="Serviço",AK$12&lt;&gt;0,$H492&gt;0,OR(AUTOEVENTO&lt;&gt;"manual",$M492&lt;&gt;1)),
IF(Import.TipoArredondamento&lt;&gt;"TransfereGOV",
ROUND(OFFSET($P492,0,AK$13),15-13*ORÇAMENTO!$AF$7)/$H492*OFFSET(ORÇAMENTO!$X$15,ROW(AK492)-ROW(AK$15),0),
ROUND(ROUND(OFFSET($P492,0,AK$13),15-13*ORÇAMENTO!$AF$7)*OFFSET(ORÇAMENTO!$W$15,ROW(AK492)-ROW(AK$15),0),15-13*ORÇAMENTO!$AF$11)),0)</f>
        <v>0</v>
      </c>
      <c r="AL492" s="545">
        <f ca="1">IF(AND($D492="Serviço",AL$12&lt;&gt;0,$H492&gt;0,OR(AUTOEVENTO&lt;&gt;"manual",$M492&lt;&gt;1)),
IF(Import.TipoArredondamento&lt;&gt;"TransfereGOV",
ROUND(OFFSET($P492,0,AL$13),15-13*ORÇAMENTO!$AF$7)/$H492*OFFSET(ORÇAMENTO!$X$15,ROW(AL492)-ROW(AL$15),0),
ROUND(ROUND(OFFSET($P492,0,AL$13),15-13*ORÇAMENTO!$AF$7)*OFFSET(ORÇAMENTO!$W$15,ROW(AL492)-ROW(AL$15),0),15-13*ORÇAMENTO!$AF$11)),0)</f>
        <v>0</v>
      </c>
      <c r="AM492" s="545">
        <f ca="1">IF(AND($D492="Serviço",AM$12&lt;&gt;0,$H492&gt;0,OR(AUTOEVENTO&lt;&gt;"manual",$M492&lt;&gt;1)),
IF(Import.TipoArredondamento&lt;&gt;"TransfereGOV",
ROUND(OFFSET($P492,0,AM$13),15-13*ORÇAMENTO!$AF$7)/$H492*OFFSET(ORÇAMENTO!$X$15,ROW(AM492)-ROW(AM$15),0),
ROUND(ROUND(OFFSET($P492,0,AM$13),15-13*ORÇAMENTO!$AF$7)*OFFSET(ORÇAMENTO!$W$15,ROW(AM492)-ROW(AM$15),0),15-13*ORÇAMENTO!$AF$11)),0)</f>
        <v>0</v>
      </c>
      <c r="AN492" s="545">
        <f ca="1">IF(AND($D492="Serviço",AN$12&lt;&gt;0,$H492&gt;0,OR(AUTOEVENTO&lt;&gt;"manual",$M492&lt;&gt;1)),
IF(Import.TipoArredondamento&lt;&gt;"TransfereGOV",
ROUND(OFFSET($P492,0,AN$13),15-13*ORÇAMENTO!$AF$7)/$H492*OFFSET(ORÇAMENTO!$X$15,ROW(AN492)-ROW(AN$15),0),
ROUND(ROUND(OFFSET($P492,0,AN$13),15-13*ORÇAMENTO!$AF$7)*OFFSET(ORÇAMENTO!$W$15,ROW(AN492)-ROW(AN$15),0),15-13*ORÇAMENTO!$AF$11)),0)</f>
        <v>0</v>
      </c>
      <c r="AO492" s="545">
        <f ca="1">IF(AND($D492="Serviço",AO$12&lt;&gt;0,$H492&gt;0,OR(AUTOEVENTO&lt;&gt;"manual",$M492&lt;&gt;1)),
IF(Import.TipoArredondamento&lt;&gt;"TransfereGOV",
ROUND(OFFSET($P492,0,AO$13),15-13*ORÇAMENTO!$AF$7)/$H492*OFFSET(ORÇAMENTO!$X$15,ROW(AO492)-ROW(AO$15),0),
ROUND(ROUND(OFFSET($P492,0,AO$13),15-13*ORÇAMENTO!$AF$7)*OFFSET(ORÇAMENTO!$W$15,ROW(AO492)-ROW(AO$15),0),15-13*ORÇAMENTO!$AF$11)),0)</f>
        <v>0</v>
      </c>
      <c r="AP492" s="545">
        <f ca="1">IF(AND($D492="Serviço",AP$12&lt;&gt;0,$H492&gt;0,OR(AUTOEVENTO&lt;&gt;"manual",$M492&lt;&gt;1)),
IF(Import.TipoArredondamento&lt;&gt;"TransfereGOV",
ROUND(OFFSET($P492,0,AP$13),15-13*ORÇAMENTO!$AF$7)/$H492*OFFSET(ORÇAMENTO!$X$15,ROW(AP492)-ROW(AP$15),0),
ROUND(ROUND(OFFSET($P492,0,AP$13),15-13*ORÇAMENTO!$AF$7)*OFFSET(ORÇAMENTO!$W$15,ROW(AP492)-ROW(AP$15),0),15-13*ORÇAMENTO!$AF$11)),0)</f>
        <v>0</v>
      </c>
      <c r="AQ492" s="545">
        <f ca="1">IF(AND($D492="Serviço",AQ$12&lt;&gt;0,$H492&gt;0,OR(AUTOEVENTO&lt;&gt;"manual",$M492&lt;&gt;1)),
IF(Import.TipoArredondamento&lt;&gt;"TransfereGOV",
ROUND(OFFSET($P492,0,AQ$13),15-13*ORÇAMENTO!$AF$7)/$H492*OFFSET(ORÇAMENTO!$X$15,ROW(AQ492)-ROW(AQ$15),0),
ROUND(ROUND(OFFSET($P492,0,AQ$13),15-13*ORÇAMENTO!$AF$7)*OFFSET(ORÇAMENTO!$W$15,ROW(AQ492)-ROW(AQ$15),0),15-13*ORÇAMENTO!$AF$11)),0)</f>
        <v>0</v>
      </c>
      <c r="AR492" s="545">
        <f ca="1">IF(AND($D492="Serviço",AR$12&lt;&gt;0,$H492&gt;0,OR(AUTOEVENTO&lt;&gt;"manual",$M492&lt;&gt;1)),
IF(Import.TipoArredondamento&lt;&gt;"TransfereGOV",
ROUND(OFFSET($P492,0,AR$13),15-13*ORÇAMENTO!$AF$7)/$H492*OFFSET(ORÇAMENTO!$X$15,ROW(AR492)-ROW(AR$15),0),
ROUND(ROUND(OFFSET($P492,0,AR$13),15-13*ORÇAMENTO!$AF$7)*OFFSET(ORÇAMENTO!$W$15,ROW(AR492)-ROW(AR$15),0),15-13*ORÇAMENTO!$AF$11)),0)</f>
        <v>0</v>
      </c>
      <c r="AS492" s="546">
        <f ca="1">IF(AND($D492="Serviço",AS$12&lt;&gt;0,$H492&gt;0,OR(AUTOEVENTO&lt;&gt;"manual",$M492&lt;&gt;1)),
IF(Import.TipoArredondamento&lt;&gt;"TransfereGOV",
ROUND(OFFSET($P492,0,AS$13),15-13*ORÇAMENTO!$AF$7)/$H492*OFFSET(ORÇAMENTO!$X$15,ROW(AS492)-ROW(AS$15),0),
ROUND(ROUND(OFFSET($P492,0,AS$13),15-13*ORÇAMENTO!$AF$7)*OFFSET(ORÇAMENTO!$W$15,ROW(AS492)-ROW(AS$15),0),15-13*ORÇAMENTO!$AF$11)),0)</f>
        <v>0</v>
      </c>
      <c r="AT492" s="545">
        <f ca="1">IF(AND($D492="Serviço",AT$12&lt;&gt;0,$H492&gt;0,OR(AUTOEVENTO&lt;&gt;"manual",$M492&lt;&gt;1)),
IF(Import.TipoArredondamento&lt;&gt;"TransfereGOV",
ROUND(OFFSET($P492,0,AT$13),15-13*ORÇAMENTO!$AF$7)/$H492*OFFSET(ORÇAMENTO!$X$15,ROW(AT492)-ROW(AT$15),0),
ROUND(ROUND(OFFSET($P492,0,AT$13),15-13*ORÇAMENTO!$AF$7)*OFFSET(ORÇAMENTO!$W$15,ROW(AT492)-ROW(AT$15),0),15-13*ORÇAMENTO!$AF$11)),0)</f>
        <v>0</v>
      </c>
      <c r="AU492" s="545">
        <f ca="1">IF(AND($D492="Serviço",AU$12&lt;&gt;0,$H492&gt;0,OR(AUTOEVENTO&lt;&gt;"manual",$M492&lt;&gt;1)),
IF(Import.TipoArredondamento&lt;&gt;"TransfereGOV",
ROUND(OFFSET($P492,0,AU$13),15-13*ORÇAMENTO!$AF$7)/$H492*OFFSET(ORÇAMENTO!$X$15,ROW(AU492)-ROW(AU$15),0),
ROUND(ROUND(OFFSET($P492,0,AU$13),15-13*ORÇAMENTO!$AF$7)*OFFSET(ORÇAMENTO!$W$15,ROW(AU492)-ROW(AU$15),0),15-13*ORÇAMENTO!$AF$11)),0)</f>
        <v>0</v>
      </c>
      <c r="AV492" s="545">
        <f ca="1">IF(AND($D492="Serviço",AV$12&lt;&gt;0,$H492&gt;0,OR(AUTOEVENTO&lt;&gt;"manual",$M492&lt;&gt;1)),
IF(Import.TipoArredondamento&lt;&gt;"TransfereGOV",
ROUND(OFFSET($P492,0,AV$13),15-13*ORÇAMENTO!$AF$7)/$H492*OFFSET(ORÇAMENTO!$X$15,ROW(AV492)-ROW(AV$15),0),
ROUND(ROUND(OFFSET($P492,0,AV$13),15-13*ORÇAMENTO!$AF$7)*OFFSET(ORÇAMENTO!$W$15,ROW(AV492)-ROW(AV$15),0),15-13*ORÇAMENTO!$AF$11)),0)</f>
        <v>0</v>
      </c>
      <c r="AW492" s="545">
        <f ca="1">IF(AND($D492="Serviço",AW$12&lt;&gt;0,$H492&gt;0,OR(AUTOEVENTO&lt;&gt;"manual",$M492&lt;&gt;1)),
IF(Import.TipoArredondamento&lt;&gt;"TransfereGOV",
ROUND(OFFSET($P492,0,AW$13),15-13*ORÇAMENTO!$AF$7)/$H492*OFFSET(ORÇAMENTO!$X$15,ROW(AW492)-ROW(AW$15),0),
ROUND(ROUND(OFFSET($P492,0,AW$13),15-13*ORÇAMENTO!$AF$7)*OFFSET(ORÇAMENTO!$W$15,ROW(AW492)-ROW(AW$15),0),15-13*ORÇAMENTO!$AF$11)),0)</f>
        <v>0</v>
      </c>
      <c r="AX492" s="545">
        <f ca="1">IF(AND($D492="Serviço",AX$12&lt;&gt;0,$H492&gt;0,OR(AUTOEVENTO&lt;&gt;"manual",$M492&lt;&gt;1)),
IF(Import.TipoArredondamento&lt;&gt;"TransfereGOV",
ROUND(OFFSET($P492,0,AX$13),15-13*ORÇAMENTO!$AF$7)/$H492*OFFSET(ORÇAMENTO!$X$15,ROW(AX492)-ROW(AX$15),0),
ROUND(ROUND(OFFSET($P492,0,AX$13),15-13*ORÇAMENTO!$AF$7)*OFFSET(ORÇAMENTO!$W$15,ROW(AX492)-ROW(AX$15),0),15-13*ORÇAMENTO!$AF$11)),0)</f>
        <v>0</v>
      </c>
      <c r="AY492" s="545">
        <f ca="1">IF(AND($D492="Serviço",AY$12&lt;&gt;0,$H492&gt;0,OR(AUTOEVENTO&lt;&gt;"manual",$M492&lt;&gt;1)),
IF(Import.TipoArredondamento&lt;&gt;"TransfereGOV",
ROUND(OFFSET($P492,0,AY$13),15-13*ORÇAMENTO!$AF$7)/$H492*OFFSET(ORÇAMENTO!$X$15,ROW(AY492)-ROW(AY$15),0),
ROUND(ROUND(OFFSET($P492,0,AY$13),15-13*ORÇAMENTO!$AF$7)*OFFSET(ORÇAMENTO!$W$15,ROW(AY492)-ROW(AY$15),0),15-13*ORÇAMENTO!$AF$11)),0)</f>
        <v>0</v>
      </c>
      <c r="AZ492" s="545">
        <f ca="1">IF(AND($D492="Serviço",AZ$12&lt;&gt;0,$H492&gt;0,OR(AUTOEVENTO&lt;&gt;"manual",$M492&lt;&gt;1)),
IF(Import.TipoArredondamento&lt;&gt;"TransfereGOV",
ROUND(OFFSET($P492,0,AZ$13),15-13*ORÇAMENTO!$AF$7)/$H492*OFFSET(ORÇAMENTO!$X$15,ROW(AZ492)-ROW(AZ$15),0),
ROUND(ROUND(OFFSET($P492,0,AZ$13),15-13*ORÇAMENTO!$AF$7)*OFFSET(ORÇAMENTO!$W$15,ROW(AZ492)-ROW(AZ$15),0),15-13*ORÇAMENTO!$AF$11)),0)</f>
        <v>0</v>
      </c>
      <c r="BA492" s="546">
        <f ca="1">IF(AND($D492="Serviço",BA$12&lt;&gt;0,$H492&gt;0,OR(AUTOEVENTO&lt;&gt;"manual",$M492&lt;&gt;1)),
IF(Import.TipoArredondamento&lt;&gt;"TransfereGOV",
ROUND(OFFSET($P492,0,BA$13),15-13*ORÇAMENTO!$AF$7)/$H492*OFFSET(ORÇAMENTO!$X$15,ROW(BA492)-ROW(BA$15),0),
ROUND(ROUND(OFFSET($P492,0,BA$13),15-13*ORÇAMENTO!$AF$7)*OFFSET(ORÇAMENTO!$W$15,ROW(BA492)-ROW(BA$15),0),15-13*ORÇAMENTO!$AF$11)),0)</f>
        <v>0</v>
      </c>
      <c r="BC492" s="181">
        <f ca="1">IF($D492&lt;&gt;"Serviço",0,IF(AND(AUTOEVENTO="Manual",$M492=1),0,IF(OFFSET(CRONOPLE!$F$14,$M492,BC$13)="",10^12,OFFSET(CRONOPLE!$F$14,$M492,BC$13))))</f>
        <v>10</v>
      </c>
      <c r="BD492" s="181">
        <f ca="1">IF($D492&lt;&gt;"Serviço",0,IF(AND(AUTOEVENTO="Manual",$M492=1),0,IF(OFFSET(CRONOPLE!$F$14,$M492,BD$13)="",10^12,OFFSET(CRONOPLE!$F$14,$M492,BD$13))))</f>
        <v>1000000000000</v>
      </c>
      <c r="BE492" s="181">
        <f ca="1">IF($D492&lt;&gt;"Serviço",0,IF(AND(AUTOEVENTO="Manual",$M492=1),0,IF(OFFSET(CRONOPLE!$F$14,$M492,BE$13)="",10^12,OFFSET(CRONOPLE!$F$14,$M492,BE$13))))</f>
        <v>1000000000000</v>
      </c>
      <c r="BF492" s="181">
        <f ca="1">IF($D492&lt;&gt;"Serviço",0,IF(AND(AUTOEVENTO="Manual",$M492=1),0,IF(OFFSET(CRONOPLE!$F$14,$M492,BF$13)="",10^12,OFFSET(CRONOPLE!$F$14,$M492,BF$13))))</f>
        <v>1000000000000</v>
      </c>
      <c r="BG492" s="181">
        <f ca="1">IF($D492&lt;&gt;"Serviço",0,IF(AND(AUTOEVENTO="Manual",$M492=1),0,IF(OFFSET(CRONOPLE!$F$14,$M492,BG$13)="",10^12,OFFSET(CRONOPLE!$F$14,$M492,BG$13))))</f>
        <v>1000000000000</v>
      </c>
      <c r="BH492" s="181">
        <f ca="1">IF($D492&lt;&gt;"Serviço",0,IF(AND(AUTOEVENTO="Manual",$M492=1),0,IF(OFFSET(CRONOPLE!$F$14,$M492,BH$13)="",10^12,OFFSET(CRONOPLE!$F$14,$M492,BH$13))))</f>
        <v>1000000000000</v>
      </c>
      <c r="BI492" s="181">
        <f ca="1">IF($D492&lt;&gt;"Serviço",0,IF(AND(AUTOEVENTO="Manual",$M492=1),0,IF(OFFSET(CRONOPLE!$F$14,$M492,BI$13)="",10^12,OFFSET(CRONOPLE!$F$14,$M492,BI$13))))</f>
        <v>1000000000000</v>
      </c>
      <c r="BJ492" s="181">
        <f ca="1">IF($D492&lt;&gt;"Serviço",0,IF(AND(AUTOEVENTO="Manual",$M492=1),0,IF(OFFSET(CRONOPLE!$F$14,$M492,BJ$13)="",10^12,OFFSET(CRONOPLE!$F$14,$M492,BJ$13))))</f>
        <v>1000000000000</v>
      </c>
      <c r="BK492" s="181">
        <f ca="1">IF($D492&lt;&gt;"Serviço",0,IF(AND(AUTOEVENTO="Manual",$M492=1),0,IF(OFFSET(CRONOPLE!$F$14,$M492,BK$13)="",10^12,OFFSET(CRONOPLE!$F$14,$M492,BK$13))))</f>
        <v>1000000000000</v>
      </c>
      <c r="BL492" s="181">
        <f ca="1">IF($D492&lt;&gt;"Serviço",0,IF(AND(AUTOEVENTO="Manual",$M492=1),0,IF(OFFSET(CRONOPLE!$F$14,$M492,BL$13)="",10^12,OFFSET(CRONOPLE!$F$14,$M492,BL$13))))</f>
        <v>1000000000000</v>
      </c>
      <c r="BM492" s="181">
        <f ca="1">IF($D492&lt;&gt;"Serviço",0,IF(AND(AUTOEVENTO="Manual",$M492=1),0,IF(OFFSET(CRONOPLE!$F$14,$M492,BM$13)="",10^12,OFFSET(CRONOPLE!$F$14,$M492,BM$13))))</f>
        <v>1000000000000</v>
      </c>
      <c r="BN492" s="181">
        <f ca="1">IF($D492&lt;&gt;"Serviço",0,IF(AND(AUTOEVENTO="Manual",$M492=1),0,IF(OFFSET(CRONOPLE!$F$14,$M492,BN$13)="",10^12,OFFSET(CRONOPLE!$F$14,$M492,BN$13))))</f>
        <v>1000000000000</v>
      </c>
      <c r="BO492" s="181">
        <f ca="1">IF($D492&lt;&gt;"Serviço",0,IF(AND(AUTOEVENTO="Manual",$M492=1),0,IF(OFFSET(CRONOPLE!$F$14,$M492,BO$13)="",10^12,OFFSET(CRONOPLE!$F$14,$M492,BO$13))))</f>
        <v>1000000000000</v>
      </c>
      <c r="BP492" s="181">
        <f ca="1">IF($D492&lt;&gt;"Serviço",0,IF(AND(AUTOEVENTO="Manual",$M492=1),0,IF(OFFSET(CRONOPLE!$F$14,$M492,BP$13)="",10^12,OFFSET(CRONOPLE!$F$14,$M492,BP$13))))</f>
        <v>1000000000000</v>
      </c>
      <c r="BQ492" s="181">
        <f ca="1">IF($D492&lt;&gt;"Serviço",0,IF(AND(AUTOEVENTO="Manual",$M492=1),0,IF(OFFSET(CRONOPLE!$F$14,$M492,BQ$13)="",10^12,OFFSET(CRONOPLE!$F$14,$M492,BQ$13))))</f>
        <v>1000000000000</v>
      </c>
      <c r="BR492" s="181">
        <f ca="1">IF($D492&lt;&gt;"Serviço",0,IF(AND(AUTOEVENTO="Manual",$M492=1),0,IF(OFFSET(CRONOPLE!$F$14,$M492,BR$13)="",10^12,OFFSET(CRONOPLE!$F$14,$M492,BR$13))))</f>
        <v>1000000000000</v>
      </c>
      <c r="BS492" s="181">
        <f ca="1">IF($D492&lt;&gt;"Serviço",0,IF(AND(AUTOEVENTO="Manual",$M492=1),0,IF(OFFSET(CRONOPLE!$F$14,$M492,BS$13)="",10^12,OFFSET(CRONOPLE!$F$14,$M492,BS$13))))</f>
        <v>1000000000000</v>
      </c>
      <c r="BT492" s="181">
        <f ca="1">IF($D492&lt;&gt;"Serviço",0,IF(AND(AUTOEVENTO="Manual",$M492=1),0,IF(OFFSET(CRONOPLE!$F$14,$M492,BT$13)="",10^12,OFFSET(CRONOPLE!$F$14,$M492,BT$13))))</f>
        <v>1000000000000</v>
      </c>
      <c r="BV492" s="182">
        <f ca="1">IF($D492&lt;&gt;"Serviço",0,IF(OR(AND(AUTOEVENTO="Manual",$M492=1),$M492&gt;(ROW(PLE.lastrow)-ROW(PLE.firstrow))),0,IF(OFFSET(PLE!$G$14,$M492,BV$13)="",10^12,OFFSET(PLE!$G$14,$M492,BV$13))))</f>
        <v>1000000000000</v>
      </c>
      <c r="BW492" s="182">
        <f ca="1">IF($D492&lt;&gt;"Serviço",0,IF(OR(AND(AUTOEVENTO="Manual",$M492=1),$M492&gt;(ROW(PLE.lastrow)-ROW(PLE.firstrow))),0,IF(OFFSET(PLE!$G$14,$M492,BW$13)="",10^12,OFFSET(PLE!$G$14,$M492,BW$13))))</f>
        <v>1000000000000</v>
      </c>
      <c r="BX492" s="182">
        <f ca="1">IF($D492&lt;&gt;"Serviço",0,IF(OR(AND(AUTOEVENTO="Manual",$M492=1),$M492&gt;(ROW(PLE.lastrow)-ROW(PLE.firstrow))),0,IF(OFFSET(PLE!$G$14,$M492,BX$13)="",10^12,OFFSET(PLE!$G$14,$M492,BX$13))))</f>
        <v>1000000000000</v>
      </c>
      <c r="BY492" s="182">
        <f ca="1">IF($D492&lt;&gt;"Serviço",0,IF(OR(AND(AUTOEVENTO="Manual",$M492=1),$M492&gt;(ROW(PLE.lastrow)-ROW(PLE.firstrow))),0,IF(OFFSET(PLE!$G$14,$M492,BY$13)="",10^12,OFFSET(PLE!$G$14,$M492,BY$13))))</f>
        <v>1000000000000</v>
      </c>
      <c r="BZ492" s="182">
        <f ca="1">IF($D492&lt;&gt;"Serviço",0,IF(OR(AND(AUTOEVENTO="Manual",$M492=1),$M492&gt;(ROW(PLE.lastrow)-ROW(PLE.firstrow))),0,IF(OFFSET(PLE!$G$14,$M492,BZ$13)="",10^12,OFFSET(PLE!$G$14,$M492,BZ$13))))</f>
        <v>1000000000000</v>
      </c>
      <c r="CA492" s="182">
        <f ca="1">IF($D492&lt;&gt;"Serviço",0,IF(OR(AND(AUTOEVENTO="Manual",$M492=1),$M492&gt;(ROW(PLE.lastrow)-ROW(PLE.firstrow))),0,IF(OFFSET(PLE!$G$14,$M492,CA$13)="",10^12,OFFSET(PLE!$G$14,$M492,CA$13))))</f>
        <v>1000000000000</v>
      </c>
      <c r="CB492" s="182">
        <f ca="1">IF($D492&lt;&gt;"Serviço",0,IF(OR(AND(AUTOEVENTO="Manual",$M492=1),$M492&gt;(ROW(PLE.lastrow)-ROW(PLE.firstrow))),0,IF(OFFSET(PLE!$G$14,$M492,CB$13)="",10^12,OFFSET(PLE!$G$14,$M492,CB$13))))</f>
        <v>1000000000000</v>
      </c>
      <c r="CC492" s="182">
        <f ca="1">IF($D492&lt;&gt;"Serviço",0,IF(OR(AND(AUTOEVENTO="Manual",$M492=1),$M492&gt;(ROW(PLE.lastrow)-ROW(PLE.firstrow))),0,IF(OFFSET(PLE!$G$14,$M492,CC$13)="",10^12,OFFSET(PLE!$G$14,$M492,CC$13))))</f>
        <v>1000000000000</v>
      </c>
      <c r="CD492" s="182">
        <f ca="1">IF($D492&lt;&gt;"Serviço",0,IF(OR(AND(AUTOEVENTO="Manual",$M492=1),$M492&gt;(ROW(PLE.lastrow)-ROW(PLE.firstrow))),0,IF(OFFSET(PLE!$G$14,$M492,CD$13)="",10^12,OFFSET(PLE!$G$14,$M492,CD$13))))</f>
        <v>1000000000000</v>
      </c>
      <c r="CE492" s="182">
        <f ca="1">IF($D492&lt;&gt;"Serviço",0,IF(OR(AND(AUTOEVENTO="Manual",$M492=1),$M492&gt;(ROW(PLE.lastrow)-ROW(PLE.firstrow))),0,IF(OFFSET(PLE!$G$14,$M492,CE$13)="",10^12,OFFSET(PLE!$G$14,$M492,CE$13))))</f>
        <v>1000000000000</v>
      </c>
      <c r="CF492" s="182">
        <f ca="1">IF($D492&lt;&gt;"Serviço",0,IF(OR(AND(AUTOEVENTO="Manual",$M492=1),$M492&gt;(ROW(PLE.lastrow)-ROW(PLE.firstrow))),0,IF(OFFSET(PLE!$G$14,$M492,CF$13)="",10^12,OFFSET(PLE!$G$14,$M492,CF$13))))</f>
        <v>1000000000000</v>
      </c>
      <c r="CG492" s="182">
        <f ca="1">IF($D492&lt;&gt;"Serviço",0,IF(OR(AND(AUTOEVENTO="Manual",$M492=1),$M492&gt;(ROW(PLE.lastrow)-ROW(PLE.firstrow))),0,IF(OFFSET(PLE!$G$14,$M492,CG$13)="",10^12,OFFSET(PLE!$G$14,$M492,CG$13))))</f>
        <v>1000000000000</v>
      </c>
      <c r="CH492" s="182">
        <f ca="1">IF($D492&lt;&gt;"Serviço",0,IF(OR(AND(AUTOEVENTO="Manual",$M492=1),$M492&gt;(ROW(PLE.lastrow)-ROW(PLE.firstrow))),0,IF(OFFSET(PLE!$G$14,$M492,CH$13)="",10^12,OFFSET(PLE!$G$14,$M492,CH$13))))</f>
        <v>1000000000000</v>
      </c>
      <c r="CI492" s="182">
        <f ca="1">IF($D492&lt;&gt;"Serviço",0,IF(OR(AND(AUTOEVENTO="Manual",$M492=1),$M492&gt;(ROW(PLE.lastrow)-ROW(PLE.firstrow))),0,IF(OFFSET(PLE!$G$14,$M492,CI$13)="",10^12,OFFSET(PLE!$G$14,$M492,CI$13))))</f>
        <v>1000000000000</v>
      </c>
      <c r="CJ492" s="182">
        <f ca="1">IF($D492&lt;&gt;"Serviço",0,IF(OR(AND(AUTOEVENTO="Manual",$M492=1),$M492&gt;(ROW(PLE.lastrow)-ROW(PLE.firstrow))),0,IF(OFFSET(PLE!$G$14,$M492,CJ$13)="",10^12,OFFSET(PLE!$G$14,$M492,CJ$13))))</f>
        <v>1000000000000</v>
      </c>
      <c r="CK492" s="182">
        <f ca="1">IF($D492&lt;&gt;"Serviço",0,IF(OR(AND(AUTOEVENTO="Manual",$M492=1),$M492&gt;(ROW(PLE.lastrow)-ROW(PLE.firstrow))),0,IF(OFFSET(PLE!$G$14,$M492,CK$13)="",10^12,OFFSET(PLE!$G$14,$M492,CK$13))))</f>
        <v>1000000000000</v>
      </c>
      <c r="CL492" s="182">
        <f ca="1">IF($D492&lt;&gt;"Serviço",0,IF(OR(AND(AUTOEVENTO="Manual",$M492=1),$M492&gt;(ROW(PLE.lastrow)-ROW(PLE.firstrow))),0,IF(OFFSET(PLE!$G$14,$M492,CL$13)="",10^12,OFFSET(PLE!$G$14,$M492,CL$13))))</f>
        <v>1000000000000</v>
      </c>
      <c r="CM492" s="182">
        <f ca="1">IF($D492&lt;&gt;"Serviço",0,IF(OR(AND(AUTOEVENTO="Manual",$M492=1),$M492&gt;(ROW(PLE.lastrow)-ROW(PLE.firstrow))),0,IF(OFFSET(PLE!$G$14,$M492,CM$13)="",10^12,OFFSET(PLE!$G$14,$M492,CM$13))))</f>
        <v>1000000000000</v>
      </c>
    </row>
    <row r="493" spans="1:91" ht="38.25" x14ac:dyDescent="0.2">
      <c r="A493" s="7" t="str">
        <f t="shared" ca="1" si="16"/>
        <v>475</v>
      </c>
      <c r="B493" s="7" t="str">
        <f ca="1">OFFSET(ORÇAMENTO!C$15,ROW(B493)-ROW(B$15),0)</f>
        <v>S</v>
      </c>
      <c r="C493" s="7" t="str">
        <f ca="1">OFFSET(ORÇAMENTO!L$15,ROW(C493)-ROW(C$15),0)</f>
        <v/>
      </c>
      <c r="D493" s="118" t="str">
        <f ca="1">OFFSET(ORÇAMENTO!N$15,ROW(D493)-ROW(D$15),0)</f>
        <v>Serviço</v>
      </c>
      <c r="E493" s="119" t="str">
        <f ca="1">OFFSET(ORÇAMENTO!O$15,ROW(E493)-ROW(E$15),0)</f>
        <v>-</v>
      </c>
      <c r="F493" s="172" t="str">
        <f ca="1">OFFSET(ORÇAMENTO!R$15,ROW(F493)-ROW(F$15),0)</f>
        <v>(abra o arquivo 'Referência 06-2024.xlsm)</v>
      </c>
      <c r="G493" s="173" t="str">
        <f ca="1">IF($D493&lt;&gt;"Serviço","",OFFSET(ORÇAMENTO!S$15,ROW(G493)-ROW(G$15),0))</f>
        <v>-</v>
      </c>
      <c r="H493" s="124">
        <f ca="1">IF($D493&lt;&gt;"Serviço",0,IF(ACOMPANHAMENTO="BM",ROUND(OFFSET(ORÇAMENTO!AJ$15,ROW(H493)-ROW(H$15),0),15-13*ORÇAMENTO!$AF$7),SUMPRODUCT(($Q$12:$AI$12&lt;&gt;"")*ROUND($Q493:$AI493,15-13*ORÇAMENTO!$AF$7))))</f>
        <v>1136</v>
      </c>
      <c r="I493" s="561" t="s">
        <v>1107</v>
      </c>
      <c r="K493" s="174"/>
      <c r="L493" s="175" t="s">
        <v>255</v>
      </c>
      <c r="M493" s="176">
        <f ca="1">IF($D493&lt;&gt;"Serviço","",IF(AUTOEVENTO="manual",$A493,IF(ISERROR(MATCH($A493,$A$15:OFFSET($A493,-1,0),0)),MAX($M$15:OFFSET(M493,-1,0))+1,INDEX($M$15:OFFSET(M493,-1,0),MATCH($A493,$A$15:OFFSET($A493,-1,0),0)))))</f>
        <v>53</v>
      </c>
      <c r="N493" s="177" t="str">
        <f ca="1">IF($D493&lt;&gt;"Serviço","",IF(AUTOEVENTO="Manual",IF($A493=0,"&lt;-- defina o número do agrupador",OFFSET(EVENTOS!$D$14,$A493,0)),OFFSET($F$15,$A493,0)))</f>
        <v>INSTALAÇÃO ELÉTRICA 110V - ACESSÓRIOS EM GERAL</v>
      </c>
      <c r="O493" s="178"/>
      <c r="Q493" s="178">
        <v>1136</v>
      </c>
      <c r="R493" s="179"/>
      <c r="S493" s="179"/>
      <c r="T493" s="179"/>
      <c r="U493" s="179"/>
      <c r="V493" s="179"/>
      <c r="W493" s="179"/>
      <c r="X493" s="179"/>
      <c r="Y493" s="179"/>
      <c r="Z493" s="180"/>
      <c r="AA493" s="179"/>
      <c r="AB493" s="179"/>
      <c r="AC493" s="179"/>
      <c r="AD493" s="179"/>
      <c r="AE493" s="179"/>
      <c r="AF493" s="179"/>
      <c r="AG493" s="179"/>
      <c r="AH493" s="180"/>
      <c r="AJ493" s="544">
        <f ca="1">IF(AND($D493="Serviço",AJ$12&lt;&gt;0,$H493&gt;0,OR(AUTOEVENTO&lt;&gt;"manual",$M493&lt;&gt;1)),
IF(Import.TipoArredondamento&lt;&gt;"TransfereGOV",
ROUND(OFFSET($P493,0,AJ$13),15-13*ORÇAMENTO!$AF$7)/$H493*OFFSET(ORÇAMENTO!$X$15,ROW(AJ493)-ROW(AJ$15),0),
ROUND(ROUND(OFFSET($P493,0,AJ$13),15-13*ORÇAMENTO!$AF$7)*OFFSET(ORÇAMENTO!$W$15,ROW(AJ493)-ROW(AJ$15),0),15-13*ORÇAMENTO!$AF$11)),0)</f>
        <v>0</v>
      </c>
      <c r="AK493" s="545">
        <f ca="1">IF(AND($D493="Serviço",AK$12&lt;&gt;0,$H493&gt;0,OR(AUTOEVENTO&lt;&gt;"manual",$M493&lt;&gt;1)),
IF(Import.TipoArredondamento&lt;&gt;"TransfereGOV",
ROUND(OFFSET($P493,0,AK$13),15-13*ORÇAMENTO!$AF$7)/$H493*OFFSET(ORÇAMENTO!$X$15,ROW(AK493)-ROW(AK$15),0),
ROUND(ROUND(OFFSET($P493,0,AK$13),15-13*ORÇAMENTO!$AF$7)*OFFSET(ORÇAMENTO!$W$15,ROW(AK493)-ROW(AK$15),0),15-13*ORÇAMENTO!$AF$11)),0)</f>
        <v>0</v>
      </c>
      <c r="AL493" s="545">
        <f ca="1">IF(AND($D493="Serviço",AL$12&lt;&gt;0,$H493&gt;0,OR(AUTOEVENTO&lt;&gt;"manual",$M493&lt;&gt;1)),
IF(Import.TipoArredondamento&lt;&gt;"TransfereGOV",
ROUND(OFFSET($P493,0,AL$13),15-13*ORÇAMENTO!$AF$7)/$H493*OFFSET(ORÇAMENTO!$X$15,ROW(AL493)-ROW(AL$15),0),
ROUND(ROUND(OFFSET($P493,0,AL$13),15-13*ORÇAMENTO!$AF$7)*OFFSET(ORÇAMENTO!$W$15,ROW(AL493)-ROW(AL$15),0),15-13*ORÇAMENTO!$AF$11)),0)</f>
        <v>0</v>
      </c>
      <c r="AM493" s="545">
        <f ca="1">IF(AND($D493="Serviço",AM$12&lt;&gt;0,$H493&gt;0,OR(AUTOEVENTO&lt;&gt;"manual",$M493&lt;&gt;1)),
IF(Import.TipoArredondamento&lt;&gt;"TransfereGOV",
ROUND(OFFSET($P493,0,AM$13),15-13*ORÇAMENTO!$AF$7)/$H493*OFFSET(ORÇAMENTO!$X$15,ROW(AM493)-ROW(AM$15),0),
ROUND(ROUND(OFFSET($P493,0,AM$13),15-13*ORÇAMENTO!$AF$7)*OFFSET(ORÇAMENTO!$W$15,ROW(AM493)-ROW(AM$15),0),15-13*ORÇAMENTO!$AF$11)),0)</f>
        <v>0</v>
      </c>
      <c r="AN493" s="545">
        <f ca="1">IF(AND($D493="Serviço",AN$12&lt;&gt;0,$H493&gt;0,OR(AUTOEVENTO&lt;&gt;"manual",$M493&lt;&gt;1)),
IF(Import.TipoArredondamento&lt;&gt;"TransfereGOV",
ROUND(OFFSET($P493,0,AN$13),15-13*ORÇAMENTO!$AF$7)/$H493*OFFSET(ORÇAMENTO!$X$15,ROW(AN493)-ROW(AN$15),0),
ROUND(ROUND(OFFSET($P493,0,AN$13),15-13*ORÇAMENTO!$AF$7)*OFFSET(ORÇAMENTO!$W$15,ROW(AN493)-ROW(AN$15),0),15-13*ORÇAMENTO!$AF$11)),0)</f>
        <v>0</v>
      </c>
      <c r="AO493" s="545">
        <f ca="1">IF(AND($D493="Serviço",AO$12&lt;&gt;0,$H493&gt;0,OR(AUTOEVENTO&lt;&gt;"manual",$M493&lt;&gt;1)),
IF(Import.TipoArredondamento&lt;&gt;"TransfereGOV",
ROUND(OFFSET($P493,0,AO$13),15-13*ORÇAMENTO!$AF$7)/$H493*OFFSET(ORÇAMENTO!$X$15,ROW(AO493)-ROW(AO$15),0),
ROUND(ROUND(OFFSET($P493,0,AO$13),15-13*ORÇAMENTO!$AF$7)*OFFSET(ORÇAMENTO!$W$15,ROW(AO493)-ROW(AO$15),0),15-13*ORÇAMENTO!$AF$11)),0)</f>
        <v>0</v>
      </c>
      <c r="AP493" s="545">
        <f ca="1">IF(AND($D493="Serviço",AP$12&lt;&gt;0,$H493&gt;0,OR(AUTOEVENTO&lt;&gt;"manual",$M493&lt;&gt;1)),
IF(Import.TipoArredondamento&lt;&gt;"TransfereGOV",
ROUND(OFFSET($P493,0,AP$13),15-13*ORÇAMENTO!$AF$7)/$H493*OFFSET(ORÇAMENTO!$X$15,ROW(AP493)-ROW(AP$15),0),
ROUND(ROUND(OFFSET($P493,0,AP$13),15-13*ORÇAMENTO!$AF$7)*OFFSET(ORÇAMENTO!$W$15,ROW(AP493)-ROW(AP$15),0),15-13*ORÇAMENTO!$AF$11)),0)</f>
        <v>0</v>
      </c>
      <c r="AQ493" s="545">
        <f ca="1">IF(AND($D493="Serviço",AQ$12&lt;&gt;0,$H493&gt;0,OR(AUTOEVENTO&lt;&gt;"manual",$M493&lt;&gt;1)),
IF(Import.TipoArredondamento&lt;&gt;"TransfereGOV",
ROUND(OFFSET($P493,0,AQ$13),15-13*ORÇAMENTO!$AF$7)/$H493*OFFSET(ORÇAMENTO!$X$15,ROW(AQ493)-ROW(AQ$15),0),
ROUND(ROUND(OFFSET($P493,0,AQ$13),15-13*ORÇAMENTO!$AF$7)*OFFSET(ORÇAMENTO!$W$15,ROW(AQ493)-ROW(AQ$15),0),15-13*ORÇAMENTO!$AF$11)),0)</f>
        <v>0</v>
      </c>
      <c r="AR493" s="545">
        <f ca="1">IF(AND($D493="Serviço",AR$12&lt;&gt;0,$H493&gt;0,OR(AUTOEVENTO&lt;&gt;"manual",$M493&lt;&gt;1)),
IF(Import.TipoArredondamento&lt;&gt;"TransfereGOV",
ROUND(OFFSET($P493,0,AR$13),15-13*ORÇAMENTO!$AF$7)/$H493*OFFSET(ORÇAMENTO!$X$15,ROW(AR493)-ROW(AR$15),0),
ROUND(ROUND(OFFSET($P493,0,AR$13),15-13*ORÇAMENTO!$AF$7)*OFFSET(ORÇAMENTO!$W$15,ROW(AR493)-ROW(AR$15),0),15-13*ORÇAMENTO!$AF$11)),0)</f>
        <v>0</v>
      </c>
      <c r="AS493" s="546">
        <f ca="1">IF(AND($D493="Serviço",AS$12&lt;&gt;0,$H493&gt;0,OR(AUTOEVENTO&lt;&gt;"manual",$M493&lt;&gt;1)),
IF(Import.TipoArredondamento&lt;&gt;"TransfereGOV",
ROUND(OFFSET($P493,0,AS$13),15-13*ORÇAMENTO!$AF$7)/$H493*OFFSET(ORÇAMENTO!$X$15,ROW(AS493)-ROW(AS$15),0),
ROUND(ROUND(OFFSET($P493,0,AS$13),15-13*ORÇAMENTO!$AF$7)*OFFSET(ORÇAMENTO!$W$15,ROW(AS493)-ROW(AS$15),0),15-13*ORÇAMENTO!$AF$11)),0)</f>
        <v>0</v>
      </c>
      <c r="AT493" s="545">
        <f ca="1">IF(AND($D493="Serviço",AT$12&lt;&gt;0,$H493&gt;0,OR(AUTOEVENTO&lt;&gt;"manual",$M493&lt;&gt;1)),
IF(Import.TipoArredondamento&lt;&gt;"TransfereGOV",
ROUND(OFFSET($P493,0,AT$13),15-13*ORÇAMENTO!$AF$7)/$H493*OFFSET(ORÇAMENTO!$X$15,ROW(AT493)-ROW(AT$15),0),
ROUND(ROUND(OFFSET($P493,0,AT$13),15-13*ORÇAMENTO!$AF$7)*OFFSET(ORÇAMENTO!$W$15,ROW(AT493)-ROW(AT$15),0),15-13*ORÇAMENTO!$AF$11)),0)</f>
        <v>0</v>
      </c>
      <c r="AU493" s="545">
        <f ca="1">IF(AND($D493="Serviço",AU$12&lt;&gt;0,$H493&gt;0,OR(AUTOEVENTO&lt;&gt;"manual",$M493&lt;&gt;1)),
IF(Import.TipoArredondamento&lt;&gt;"TransfereGOV",
ROUND(OFFSET($P493,0,AU$13),15-13*ORÇAMENTO!$AF$7)/$H493*OFFSET(ORÇAMENTO!$X$15,ROW(AU493)-ROW(AU$15),0),
ROUND(ROUND(OFFSET($P493,0,AU$13),15-13*ORÇAMENTO!$AF$7)*OFFSET(ORÇAMENTO!$W$15,ROW(AU493)-ROW(AU$15),0),15-13*ORÇAMENTO!$AF$11)),0)</f>
        <v>0</v>
      </c>
      <c r="AV493" s="545">
        <f ca="1">IF(AND($D493="Serviço",AV$12&lt;&gt;0,$H493&gt;0,OR(AUTOEVENTO&lt;&gt;"manual",$M493&lt;&gt;1)),
IF(Import.TipoArredondamento&lt;&gt;"TransfereGOV",
ROUND(OFFSET($P493,0,AV$13),15-13*ORÇAMENTO!$AF$7)/$H493*OFFSET(ORÇAMENTO!$X$15,ROW(AV493)-ROW(AV$15),0),
ROUND(ROUND(OFFSET($P493,0,AV$13),15-13*ORÇAMENTO!$AF$7)*OFFSET(ORÇAMENTO!$W$15,ROW(AV493)-ROW(AV$15),0),15-13*ORÇAMENTO!$AF$11)),0)</f>
        <v>0</v>
      </c>
      <c r="AW493" s="545">
        <f ca="1">IF(AND($D493="Serviço",AW$12&lt;&gt;0,$H493&gt;0,OR(AUTOEVENTO&lt;&gt;"manual",$M493&lt;&gt;1)),
IF(Import.TipoArredondamento&lt;&gt;"TransfereGOV",
ROUND(OFFSET($P493,0,AW$13),15-13*ORÇAMENTO!$AF$7)/$H493*OFFSET(ORÇAMENTO!$X$15,ROW(AW493)-ROW(AW$15),0),
ROUND(ROUND(OFFSET($P493,0,AW$13),15-13*ORÇAMENTO!$AF$7)*OFFSET(ORÇAMENTO!$W$15,ROW(AW493)-ROW(AW$15),0),15-13*ORÇAMENTO!$AF$11)),0)</f>
        <v>0</v>
      </c>
      <c r="AX493" s="545">
        <f ca="1">IF(AND($D493="Serviço",AX$12&lt;&gt;0,$H493&gt;0,OR(AUTOEVENTO&lt;&gt;"manual",$M493&lt;&gt;1)),
IF(Import.TipoArredondamento&lt;&gt;"TransfereGOV",
ROUND(OFFSET($P493,0,AX$13),15-13*ORÇAMENTO!$AF$7)/$H493*OFFSET(ORÇAMENTO!$X$15,ROW(AX493)-ROW(AX$15),0),
ROUND(ROUND(OFFSET($P493,0,AX$13),15-13*ORÇAMENTO!$AF$7)*OFFSET(ORÇAMENTO!$W$15,ROW(AX493)-ROW(AX$15),0),15-13*ORÇAMENTO!$AF$11)),0)</f>
        <v>0</v>
      </c>
      <c r="AY493" s="545">
        <f ca="1">IF(AND($D493="Serviço",AY$12&lt;&gt;0,$H493&gt;0,OR(AUTOEVENTO&lt;&gt;"manual",$M493&lt;&gt;1)),
IF(Import.TipoArredondamento&lt;&gt;"TransfereGOV",
ROUND(OFFSET($P493,0,AY$13),15-13*ORÇAMENTO!$AF$7)/$H493*OFFSET(ORÇAMENTO!$X$15,ROW(AY493)-ROW(AY$15),0),
ROUND(ROUND(OFFSET($P493,0,AY$13),15-13*ORÇAMENTO!$AF$7)*OFFSET(ORÇAMENTO!$W$15,ROW(AY493)-ROW(AY$15),0),15-13*ORÇAMENTO!$AF$11)),0)</f>
        <v>0</v>
      </c>
      <c r="AZ493" s="545">
        <f ca="1">IF(AND($D493="Serviço",AZ$12&lt;&gt;0,$H493&gt;0,OR(AUTOEVENTO&lt;&gt;"manual",$M493&lt;&gt;1)),
IF(Import.TipoArredondamento&lt;&gt;"TransfereGOV",
ROUND(OFFSET($P493,0,AZ$13),15-13*ORÇAMENTO!$AF$7)/$H493*OFFSET(ORÇAMENTO!$X$15,ROW(AZ493)-ROW(AZ$15),0),
ROUND(ROUND(OFFSET($P493,0,AZ$13),15-13*ORÇAMENTO!$AF$7)*OFFSET(ORÇAMENTO!$W$15,ROW(AZ493)-ROW(AZ$15),0),15-13*ORÇAMENTO!$AF$11)),0)</f>
        <v>0</v>
      </c>
      <c r="BA493" s="546">
        <f ca="1">IF(AND($D493="Serviço",BA$12&lt;&gt;0,$H493&gt;0,OR(AUTOEVENTO&lt;&gt;"manual",$M493&lt;&gt;1)),
IF(Import.TipoArredondamento&lt;&gt;"TransfereGOV",
ROUND(OFFSET($P493,0,BA$13),15-13*ORÇAMENTO!$AF$7)/$H493*OFFSET(ORÇAMENTO!$X$15,ROW(BA493)-ROW(BA$15),0),
ROUND(ROUND(OFFSET($P493,0,BA$13),15-13*ORÇAMENTO!$AF$7)*OFFSET(ORÇAMENTO!$W$15,ROW(BA493)-ROW(BA$15),0),15-13*ORÇAMENTO!$AF$11)),0)</f>
        <v>0</v>
      </c>
      <c r="BC493" s="181">
        <f ca="1">IF($D493&lt;&gt;"Serviço",0,IF(AND(AUTOEVENTO="Manual",$M493=1),0,IF(OFFSET(CRONOPLE!$F$14,$M493,BC$13)="",10^12,OFFSET(CRONOPLE!$F$14,$M493,BC$13))))</f>
        <v>10</v>
      </c>
      <c r="BD493" s="181">
        <f ca="1">IF($D493&lt;&gt;"Serviço",0,IF(AND(AUTOEVENTO="Manual",$M493=1),0,IF(OFFSET(CRONOPLE!$F$14,$M493,BD$13)="",10^12,OFFSET(CRONOPLE!$F$14,$M493,BD$13))))</f>
        <v>1000000000000</v>
      </c>
      <c r="BE493" s="181">
        <f ca="1">IF($D493&lt;&gt;"Serviço",0,IF(AND(AUTOEVENTO="Manual",$M493=1),0,IF(OFFSET(CRONOPLE!$F$14,$M493,BE$13)="",10^12,OFFSET(CRONOPLE!$F$14,$M493,BE$13))))</f>
        <v>1000000000000</v>
      </c>
      <c r="BF493" s="181">
        <f ca="1">IF($D493&lt;&gt;"Serviço",0,IF(AND(AUTOEVENTO="Manual",$M493=1),0,IF(OFFSET(CRONOPLE!$F$14,$M493,BF$13)="",10^12,OFFSET(CRONOPLE!$F$14,$M493,BF$13))))</f>
        <v>1000000000000</v>
      </c>
      <c r="BG493" s="181">
        <f ca="1">IF($D493&lt;&gt;"Serviço",0,IF(AND(AUTOEVENTO="Manual",$M493=1),0,IF(OFFSET(CRONOPLE!$F$14,$M493,BG$13)="",10^12,OFFSET(CRONOPLE!$F$14,$M493,BG$13))))</f>
        <v>1000000000000</v>
      </c>
      <c r="BH493" s="181">
        <f ca="1">IF($D493&lt;&gt;"Serviço",0,IF(AND(AUTOEVENTO="Manual",$M493=1),0,IF(OFFSET(CRONOPLE!$F$14,$M493,BH$13)="",10^12,OFFSET(CRONOPLE!$F$14,$M493,BH$13))))</f>
        <v>1000000000000</v>
      </c>
      <c r="BI493" s="181">
        <f ca="1">IF($D493&lt;&gt;"Serviço",0,IF(AND(AUTOEVENTO="Manual",$M493=1),0,IF(OFFSET(CRONOPLE!$F$14,$M493,BI$13)="",10^12,OFFSET(CRONOPLE!$F$14,$M493,BI$13))))</f>
        <v>1000000000000</v>
      </c>
      <c r="BJ493" s="181">
        <f ca="1">IF($D493&lt;&gt;"Serviço",0,IF(AND(AUTOEVENTO="Manual",$M493=1),0,IF(OFFSET(CRONOPLE!$F$14,$M493,BJ$13)="",10^12,OFFSET(CRONOPLE!$F$14,$M493,BJ$13))))</f>
        <v>1000000000000</v>
      </c>
      <c r="BK493" s="181">
        <f ca="1">IF($D493&lt;&gt;"Serviço",0,IF(AND(AUTOEVENTO="Manual",$M493=1),0,IF(OFFSET(CRONOPLE!$F$14,$M493,BK$13)="",10^12,OFFSET(CRONOPLE!$F$14,$M493,BK$13))))</f>
        <v>1000000000000</v>
      </c>
      <c r="BL493" s="181">
        <f ca="1">IF($D493&lt;&gt;"Serviço",0,IF(AND(AUTOEVENTO="Manual",$M493=1),0,IF(OFFSET(CRONOPLE!$F$14,$M493,BL$13)="",10^12,OFFSET(CRONOPLE!$F$14,$M493,BL$13))))</f>
        <v>1000000000000</v>
      </c>
      <c r="BM493" s="181">
        <f ca="1">IF($D493&lt;&gt;"Serviço",0,IF(AND(AUTOEVENTO="Manual",$M493=1),0,IF(OFFSET(CRONOPLE!$F$14,$M493,BM$13)="",10^12,OFFSET(CRONOPLE!$F$14,$M493,BM$13))))</f>
        <v>1000000000000</v>
      </c>
      <c r="BN493" s="181">
        <f ca="1">IF($D493&lt;&gt;"Serviço",0,IF(AND(AUTOEVENTO="Manual",$M493=1),0,IF(OFFSET(CRONOPLE!$F$14,$M493,BN$13)="",10^12,OFFSET(CRONOPLE!$F$14,$M493,BN$13))))</f>
        <v>1000000000000</v>
      </c>
      <c r="BO493" s="181">
        <f ca="1">IF($D493&lt;&gt;"Serviço",0,IF(AND(AUTOEVENTO="Manual",$M493=1),0,IF(OFFSET(CRONOPLE!$F$14,$M493,BO$13)="",10^12,OFFSET(CRONOPLE!$F$14,$M493,BO$13))))</f>
        <v>1000000000000</v>
      </c>
      <c r="BP493" s="181">
        <f ca="1">IF($D493&lt;&gt;"Serviço",0,IF(AND(AUTOEVENTO="Manual",$M493=1),0,IF(OFFSET(CRONOPLE!$F$14,$M493,BP$13)="",10^12,OFFSET(CRONOPLE!$F$14,$M493,BP$13))))</f>
        <v>1000000000000</v>
      </c>
      <c r="BQ493" s="181">
        <f ca="1">IF($D493&lt;&gt;"Serviço",0,IF(AND(AUTOEVENTO="Manual",$M493=1),0,IF(OFFSET(CRONOPLE!$F$14,$M493,BQ$13)="",10^12,OFFSET(CRONOPLE!$F$14,$M493,BQ$13))))</f>
        <v>1000000000000</v>
      </c>
      <c r="BR493" s="181">
        <f ca="1">IF($D493&lt;&gt;"Serviço",0,IF(AND(AUTOEVENTO="Manual",$M493=1),0,IF(OFFSET(CRONOPLE!$F$14,$M493,BR$13)="",10^12,OFFSET(CRONOPLE!$F$14,$M493,BR$13))))</f>
        <v>1000000000000</v>
      </c>
      <c r="BS493" s="181">
        <f ca="1">IF($D493&lt;&gt;"Serviço",0,IF(AND(AUTOEVENTO="Manual",$M493=1),0,IF(OFFSET(CRONOPLE!$F$14,$M493,BS$13)="",10^12,OFFSET(CRONOPLE!$F$14,$M493,BS$13))))</f>
        <v>1000000000000</v>
      </c>
      <c r="BT493" s="181">
        <f ca="1">IF($D493&lt;&gt;"Serviço",0,IF(AND(AUTOEVENTO="Manual",$M493=1),0,IF(OFFSET(CRONOPLE!$F$14,$M493,BT$13)="",10^12,OFFSET(CRONOPLE!$F$14,$M493,BT$13))))</f>
        <v>1000000000000</v>
      </c>
      <c r="BV493" s="182">
        <f ca="1">IF($D493&lt;&gt;"Serviço",0,IF(OR(AND(AUTOEVENTO="Manual",$M493=1),$M493&gt;(ROW(PLE.lastrow)-ROW(PLE.firstrow))),0,IF(OFFSET(PLE!$G$14,$M493,BV$13)="",10^12,OFFSET(PLE!$G$14,$M493,BV$13))))</f>
        <v>1000000000000</v>
      </c>
      <c r="BW493" s="182">
        <f ca="1">IF($D493&lt;&gt;"Serviço",0,IF(OR(AND(AUTOEVENTO="Manual",$M493=1),$M493&gt;(ROW(PLE.lastrow)-ROW(PLE.firstrow))),0,IF(OFFSET(PLE!$G$14,$M493,BW$13)="",10^12,OFFSET(PLE!$G$14,$M493,BW$13))))</f>
        <v>1000000000000</v>
      </c>
      <c r="BX493" s="182">
        <f ca="1">IF($D493&lt;&gt;"Serviço",0,IF(OR(AND(AUTOEVENTO="Manual",$M493=1),$M493&gt;(ROW(PLE.lastrow)-ROW(PLE.firstrow))),0,IF(OFFSET(PLE!$G$14,$M493,BX$13)="",10^12,OFFSET(PLE!$G$14,$M493,BX$13))))</f>
        <v>1000000000000</v>
      </c>
      <c r="BY493" s="182">
        <f ca="1">IF($D493&lt;&gt;"Serviço",0,IF(OR(AND(AUTOEVENTO="Manual",$M493=1),$M493&gt;(ROW(PLE.lastrow)-ROW(PLE.firstrow))),0,IF(OFFSET(PLE!$G$14,$M493,BY$13)="",10^12,OFFSET(PLE!$G$14,$M493,BY$13))))</f>
        <v>1000000000000</v>
      </c>
      <c r="BZ493" s="182">
        <f ca="1">IF($D493&lt;&gt;"Serviço",0,IF(OR(AND(AUTOEVENTO="Manual",$M493=1),$M493&gt;(ROW(PLE.lastrow)-ROW(PLE.firstrow))),0,IF(OFFSET(PLE!$G$14,$M493,BZ$13)="",10^12,OFFSET(PLE!$G$14,$M493,BZ$13))))</f>
        <v>1000000000000</v>
      </c>
      <c r="CA493" s="182">
        <f ca="1">IF($D493&lt;&gt;"Serviço",0,IF(OR(AND(AUTOEVENTO="Manual",$M493=1),$M493&gt;(ROW(PLE.lastrow)-ROW(PLE.firstrow))),0,IF(OFFSET(PLE!$G$14,$M493,CA$13)="",10^12,OFFSET(PLE!$G$14,$M493,CA$13))))</f>
        <v>1000000000000</v>
      </c>
      <c r="CB493" s="182">
        <f ca="1">IF($D493&lt;&gt;"Serviço",0,IF(OR(AND(AUTOEVENTO="Manual",$M493=1),$M493&gt;(ROW(PLE.lastrow)-ROW(PLE.firstrow))),0,IF(OFFSET(PLE!$G$14,$M493,CB$13)="",10^12,OFFSET(PLE!$G$14,$M493,CB$13))))</f>
        <v>1000000000000</v>
      </c>
      <c r="CC493" s="182">
        <f ca="1">IF($D493&lt;&gt;"Serviço",0,IF(OR(AND(AUTOEVENTO="Manual",$M493=1),$M493&gt;(ROW(PLE.lastrow)-ROW(PLE.firstrow))),0,IF(OFFSET(PLE!$G$14,$M493,CC$13)="",10^12,OFFSET(PLE!$G$14,$M493,CC$13))))</f>
        <v>1000000000000</v>
      </c>
      <c r="CD493" s="182">
        <f ca="1">IF($D493&lt;&gt;"Serviço",0,IF(OR(AND(AUTOEVENTO="Manual",$M493=1),$M493&gt;(ROW(PLE.lastrow)-ROW(PLE.firstrow))),0,IF(OFFSET(PLE!$G$14,$M493,CD$13)="",10^12,OFFSET(PLE!$G$14,$M493,CD$13))))</f>
        <v>1000000000000</v>
      </c>
      <c r="CE493" s="182">
        <f ca="1">IF($D493&lt;&gt;"Serviço",0,IF(OR(AND(AUTOEVENTO="Manual",$M493=1),$M493&gt;(ROW(PLE.lastrow)-ROW(PLE.firstrow))),0,IF(OFFSET(PLE!$G$14,$M493,CE$13)="",10^12,OFFSET(PLE!$G$14,$M493,CE$13))))</f>
        <v>1000000000000</v>
      </c>
      <c r="CF493" s="182">
        <f ca="1">IF($D493&lt;&gt;"Serviço",0,IF(OR(AND(AUTOEVENTO="Manual",$M493=1),$M493&gt;(ROW(PLE.lastrow)-ROW(PLE.firstrow))),0,IF(OFFSET(PLE!$G$14,$M493,CF$13)="",10^12,OFFSET(PLE!$G$14,$M493,CF$13))))</f>
        <v>1000000000000</v>
      </c>
      <c r="CG493" s="182">
        <f ca="1">IF($D493&lt;&gt;"Serviço",0,IF(OR(AND(AUTOEVENTO="Manual",$M493=1),$M493&gt;(ROW(PLE.lastrow)-ROW(PLE.firstrow))),0,IF(OFFSET(PLE!$G$14,$M493,CG$13)="",10^12,OFFSET(PLE!$G$14,$M493,CG$13))))</f>
        <v>1000000000000</v>
      </c>
      <c r="CH493" s="182">
        <f ca="1">IF($D493&lt;&gt;"Serviço",0,IF(OR(AND(AUTOEVENTO="Manual",$M493=1),$M493&gt;(ROW(PLE.lastrow)-ROW(PLE.firstrow))),0,IF(OFFSET(PLE!$G$14,$M493,CH$13)="",10^12,OFFSET(PLE!$G$14,$M493,CH$13))))</f>
        <v>1000000000000</v>
      </c>
      <c r="CI493" s="182">
        <f ca="1">IF($D493&lt;&gt;"Serviço",0,IF(OR(AND(AUTOEVENTO="Manual",$M493=1),$M493&gt;(ROW(PLE.lastrow)-ROW(PLE.firstrow))),0,IF(OFFSET(PLE!$G$14,$M493,CI$13)="",10^12,OFFSET(PLE!$G$14,$M493,CI$13))))</f>
        <v>1000000000000</v>
      </c>
      <c r="CJ493" s="182">
        <f ca="1">IF($D493&lt;&gt;"Serviço",0,IF(OR(AND(AUTOEVENTO="Manual",$M493=1),$M493&gt;(ROW(PLE.lastrow)-ROW(PLE.firstrow))),0,IF(OFFSET(PLE!$G$14,$M493,CJ$13)="",10^12,OFFSET(PLE!$G$14,$M493,CJ$13))))</f>
        <v>1000000000000</v>
      </c>
      <c r="CK493" s="182">
        <f ca="1">IF($D493&lt;&gt;"Serviço",0,IF(OR(AND(AUTOEVENTO="Manual",$M493=1),$M493&gt;(ROW(PLE.lastrow)-ROW(PLE.firstrow))),0,IF(OFFSET(PLE!$G$14,$M493,CK$13)="",10^12,OFFSET(PLE!$G$14,$M493,CK$13))))</f>
        <v>1000000000000</v>
      </c>
      <c r="CL493" s="182">
        <f ca="1">IF($D493&lt;&gt;"Serviço",0,IF(OR(AND(AUTOEVENTO="Manual",$M493=1),$M493&gt;(ROW(PLE.lastrow)-ROW(PLE.firstrow))),0,IF(OFFSET(PLE!$G$14,$M493,CL$13)="",10^12,OFFSET(PLE!$G$14,$M493,CL$13))))</f>
        <v>1000000000000</v>
      </c>
      <c r="CM493" s="182">
        <f ca="1">IF($D493&lt;&gt;"Serviço",0,IF(OR(AND(AUTOEVENTO="Manual",$M493=1),$M493&gt;(ROW(PLE.lastrow)-ROW(PLE.firstrow))),0,IF(OFFSET(PLE!$G$14,$M493,CM$13)="",10^12,OFFSET(PLE!$G$14,$M493,CM$13))))</f>
        <v>1000000000000</v>
      </c>
    </row>
    <row r="494" spans="1:91" ht="25.5" x14ac:dyDescent="0.2">
      <c r="A494" s="7" t="str">
        <f t="shared" ca="1" si="16"/>
        <v>475</v>
      </c>
      <c r="B494" s="7" t="str">
        <f ca="1">OFFSET(ORÇAMENTO!C$15,ROW(B494)-ROW(B$15),0)</f>
        <v>S</v>
      </c>
      <c r="C494" s="7" t="str">
        <f ca="1">OFFSET(ORÇAMENTO!L$15,ROW(C494)-ROW(C$15),0)</f>
        <v/>
      </c>
      <c r="D494" s="118" t="str">
        <f ca="1">OFFSET(ORÇAMENTO!N$15,ROW(D494)-ROW(D$15),0)</f>
        <v>Serviço</v>
      </c>
      <c r="E494" s="119" t="str">
        <f ca="1">OFFSET(ORÇAMENTO!O$15,ROW(E494)-ROW(E$15),0)</f>
        <v>-</v>
      </c>
      <c r="F494" s="172" t="str">
        <f ca="1">OFFSET(ORÇAMENTO!R$15,ROW(F494)-ROW(F$15),0)</f>
        <v>(abra o arquivo 'Referência 06-2024.xlsm)</v>
      </c>
      <c r="G494" s="173" t="str">
        <f ca="1">IF($D494&lt;&gt;"Serviço","",OFFSET(ORÇAMENTO!S$15,ROW(G494)-ROW(G$15),0))</f>
        <v>-</v>
      </c>
      <c r="H494" s="124">
        <f ca="1">IF($D494&lt;&gt;"Serviço",0,IF(ACOMPANHAMENTO="BM",ROUND(OFFSET(ORÇAMENTO!AJ$15,ROW(H494)-ROW(H$15),0),15-13*ORÇAMENTO!$AF$7),SUMPRODUCT(($Q$12:$AI$12&lt;&gt;"")*ROUND($Q494:$AI494,15-13*ORÇAMENTO!$AF$7))))</f>
        <v>1516</v>
      </c>
      <c r="I494" s="561" t="s">
        <v>1107</v>
      </c>
      <c r="K494" s="174"/>
      <c r="L494" s="175" t="s">
        <v>255</v>
      </c>
      <c r="M494" s="176">
        <f ca="1">IF($D494&lt;&gt;"Serviço","",IF(AUTOEVENTO="manual",$A494,IF(ISERROR(MATCH($A494,$A$15:OFFSET($A494,-1,0),0)),MAX($M$15:OFFSET(M494,-1,0))+1,INDEX($M$15:OFFSET(M494,-1,0),MATCH($A494,$A$15:OFFSET($A494,-1,0),0)))))</f>
        <v>53</v>
      </c>
      <c r="N494" s="177" t="str">
        <f ca="1">IF($D494&lt;&gt;"Serviço","",IF(AUTOEVENTO="Manual",IF($A494=0,"&lt;-- defina o número do agrupador",OFFSET(EVENTOS!$D$14,$A494,0)),OFFSET($F$15,$A494,0)))</f>
        <v>INSTALAÇÃO ELÉTRICA 110V - ACESSÓRIOS EM GERAL</v>
      </c>
      <c r="O494" s="178"/>
      <c r="Q494" s="178">
        <v>1516</v>
      </c>
      <c r="R494" s="179"/>
      <c r="S494" s="179"/>
      <c r="T494" s="179"/>
      <c r="U494" s="179"/>
      <c r="V494" s="179"/>
      <c r="W494" s="179"/>
      <c r="X494" s="179"/>
      <c r="Y494" s="179"/>
      <c r="Z494" s="180"/>
      <c r="AA494" s="179"/>
      <c r="AB494" s="179"/>
      <c r="AC494" s="179"/>
      <c r="AD494" s="179"/>
      <c r="AE494" s="179"/>
      <c r="AF494" s="179"/>
      <c r="AG494" s="179"/>
      <c r="AH494" s="180"/>
      <c r="AJ494" s="544">
        <f ca="1">IF(AND($D494="Serviço",AJ$12&lt;&gt;0,$H494&gt;0,OR(AUTOEVENTO&lt;&gt;"manual",$M494&lt;&gt;1)),
IF(Import.TipoArredondamento&lt;&gt;"TransfereGOV",
ROUND(OFFSET($P494,0,AJ$13),15-13*ORÇAMENTO!$AF$7)/$H494*OFFSET(ORÇAMENTO!$X$15,ROW(AJ494)-ROW(AJ$15),0),
ROUND(ROUND(OFFSET($P494,0,AJ$13),15-13*ORÇAMENTO!$AF$7)*OFFSET(ORÇAMENTO!$W$15,ROW(AJ494)-ROW(AJ$15),0),15-13*ORÇAMENTO!$AF$11)),0)</f>
        <v>0</v>
      </c>
      <c r="AK494" s="545">
        <f ca="1">IF(AND($D494="Serviço",AK$12&lt;&gt;0,$H494&gt;0,OR(AUTOEVENTO&lt;&gt;"manual",$M494&lt;&gt;1)),
IF(Import.TipoArredondamento&lt;&gt;"TransfereGOV",
ROUND(OFFSET($P494,0,AK$13),15-13*ORÇAMENTO!$AF$7)/$H494*OFFSET(ORÇAMENTO!$X$15,ROW(AK494)-ROW(AK$15),0),
ROUND(ROUND(OFFSET($P494,0,AK$13),15-13*ORÇAMENTO!$AF$7)*OFFSET(ORÇAMENTO!$W$15,ROW(AK494)-ROW(AK$15),0),15-13*ORÇAMENTO!$AF$11)),0)</f>
        <v>0</v>
      </c>
      <c r="AL494" s="545">
        <f ca="1">IF(AND($D494="Serviço",AL$12&lt;&gt;0,$H494&gt;0,OR(AUTOEVENTO&lt;&gt;"manual",$M494&lt;&gt;1)),
IF(Import.TipoArredondamento&lt;&gt;"TransfereGOV",
ROUND(OFFSET($P494,0,AL$13),15-13*ORÇAMENTO!$AF$7)/$H494*OFFSET(ORÇAMENTO!$X$15,ROW(AL494)-ROW(AL$15),0),
ROUND(ROUND(OFFSET($P494,0,AL$13),15-13*ORÇAMENTO!$AF$7)*OFFSET(ORÇAMENTO!$W$15,ROW(AL494)-ROW(AL$15),0),15-13*ORÇAMENTO!$AF$11)),0)</f>
        <v>0</v>
      </c>
      <c r="AM494" s="545">
        <f ca="1">IF(AND($D494="Serviço",AM$12&lt;&gt;0,$H494&gt;0,OR(AUTOEVENTO&lt;&gt;"manual",$M494&lt;&gt;1)),
IF(Import.TipoArredondamento&lt;&gt;"TransfereGOV",
ROUND(OFFSET($P494,0,AM$13),15-13*ORÇAMENTO!$AF$7)/$H494*OFFSET(ORÇAMENTO!$X$15,ROW(AM494)-ROW(AM$15),0),
ROUND(ROUND(OFFSET($P494,0,AM$13),15-13*ORÇAMENTO!$AF$7)*OFFSET(ORÇAMENTO!$W$15,ROW(AM494)-ROW(AM$15),0),15-13*ORÇAMENTO!$AF$11)),0)</f>
        <v>0</v>
      </c>
      <c r="AN494" s="545">
        <f ca="1">IF(AND($D494="Serviço",AN$12&lt;&gt;0,$H494&gt;0,OR(AUTOEVENTO&lt;&gt;"manual",$M494&lt;&gt;1)),
IF(Import.TipoArredondamento&lt;&gt;"TransfereGOV",
ROUND(OFFSET($P494,0,AN$13),15-13*ORÇAMENTO!$AF$7)/$H494*OFFSET(ORÇAMENTO!$X$15,ROW(AN494)-ROW(AN$15),0),
ROUND(ROUND(OFFSET($P494,0,AN$13),15-13*ORÇAMENTO!$AF$7)*OFFSET(ORÇAMENTO!$W$15,ROW(AN494)-ROW(AN$15),0),15-13*ORÇAMENTO!$AF$11)),0)</f>
        <v>0</v>
      </c>
      <c r="AO494" s="545">
        <f ca="1">IF(AND($D494="Serviço",AO$12&lt;&gt;0,$H494&gt;0,OR(AUTOEVENTO&lt;&gt;"manual",$M494&lt;&gt;1)),
IF(Import.TipoArredondamento&lt;&gt;"TransfereGOV",
ROUND(OFFSET($P494,0,AO$13),15-13*ORÇAMENTO!$AF$7)/$H494*OFFSET(ORÇAMENTO!$X$15,ROW(AO494)-ROW(AO$15),0),
ROUND(ROUND(OFFSET($P494,0,AO$13),15-13*ORÇAMENTO!$AF$7)*OFFSET(ORÇAMENTO!$W$15,ROW(AO494)-ROW(AO$15),0),15-13*ORÇAMENTO!$AF$11)),0)</f>
        <v>0</v>
      </c>
      <c r="AP494" s="545">
        <f ca="1">IF(AND($D494="Serviço",AP$12&lt;&gt;0,$H494&gt;0,OR(AUTOEVENTO&lt;&gt;"manual",$M494&lt;&gt;1)),
IF(Import.TipoArredondamento&lt;&gt;"TransfereGOV",
ROUND(OFFSET($P494,0,AP$13),15-13*ORÇAMENTO!$AF$7)/$H494*OFFSET(ORÇAMENTO!$X$15,ROW(AP494)-ROW(AP$15),0),
ROUND(ROUND(OFFSET($P494,0,AP$13),15-13*ORÇAMENTO!$AF$7)*OFFSET(ORÇAMENTO!$W$15,ROW(AP494)-ROW(AP$15),0),15-13*ORÇAMENTO!$AF$11)),0)</f>
        <v>0</v>
      </c>
      <c r="AQ494" s="545">
        <f ca="1">IF(AND($D494="Serviço",AQ$12&lt;&gt;0,$H494&gt;0,OR(AUTOEVENTO&lt;&gt;"manual",$M494&lt;&gt;1)),
IF(Import.TipoArredondamento&lt;&gt;"TransfereGOV",
ROUND(OFFSET($P494,0,AQ$13),15-13*ORÇAMENTO!$AF$7)/$H494*OFFSET(ORÇAMENTO!$X$15,ROW(AQ494)-ROW(AQ$15),0),
ROUND(ROUND(OFFSET($P494,0,AQ$13),15-13*ORÇAMENTO!$AF$7)*OFFSET(ORÇAMENTO!$W$15,ROW(AQ494)-ROW(AQ$15),0),15-13*ORÇAMENTO!$AF$11)),0)</f>
        <v>0</v>
      </c>
      <c r="AR494" s="545">
        <f ca="1">IF(AND($D494="Serviço",AR$12&lt;&gt;0,$H494&gt;0,OR(AUTOEVENTO&lt;&gt;"manual",$M494&lt;&gt;1)),
IF(Import.TipoArredondamento&lt;&gt;"TransfereGOV",
ROUND(OFFSET($P494,0,AR$13),15-13*ORÇAMENTO!$AF$7)/$H494*OFFSET(ORÇAMENTO!$X$15,ROW(AR494)-ROW(AR$15),0),
ROUND(ROUND(OFFSET($P494,0,AR$13),15-13*ORÇAMENTO!$AF$7)*OFFSET(ORÇAMENTO!$W$15,ROW(AR494)-ROW(AR$15),0),15-13*ORÇAMENTO!$AF$11)),0)</f>
        <v>0</v>
      </c>
      <c r="AS494" s="546">
        <f ca="1">IF(AND($D494="Serviço",AS$12&lt;&gt;0,$H494&gt;0,OR(AUTOEVENTO&lt;&gt;"manual",$M494&lt;&gt;1)),
IF(Import.TipoArredondamento&lt;&gt;"TransfereGOV",
ROUND(OFFSET($P494,0,AS$13),15-13*ORÇAMENTO!$AF$7)/$H494*OFFSET(ORÇAMENTO!$X$15,ROW(AS494)-ROW(AS$15),0),
ROUND(ROUND(OFFSET($P494,0,AS$13),15-13*ORÇAMENTO!$AF$7)*OFFSET(ORÇAMENTO!$W$15,ROW(AS494)-ROW(AS$15),0),15-13*ORÇAMENTO!$AF$11)),0)</f>
        <v>0</v>
      </c>
      <c r="AT494" s="545">
        <f ca="1">IF(AND($D494="Serviço",AT$12&lt;&gt;0,$H494&gt;0,OR(AUTOEVENTO&lt;&gt;"manual",$M494&lt;&gt;1)),
IF(Import.TipoArredondamento&lt;&gt;"TransfereGOV",
ROUND(OFFSET($P494,0,AT$13),15-13*ORÇAMENTO!$AF$7)/$H494*OFFSET(ORÇAMENTO!$X$15,ROW(AT494)-ROW(AT$15),0),
ROUND(ROUND(OFFSET($P494,0,AT$13),15-13*ORÇAMENTO!$AF$7)*OFFSET(ORÇAMENTO!$W$15,ROW(AT494)-ROW(AT$15),0),15-13*ORÇAMENTO!$AF$11)),0)</f>
        <v>0</v>
      </c>
      <c r="AU494" s="545">
        <f ca="1">IF(AND($D494="Serviço",AU$12&lt;&gt;0,$H494&gt;0,OR(AUTOEVENTO&lt;&gt;"manual",$M494&lt;&gt;1)),
IF(Import.TipoArredondamento&lt;&gt;"TransfereGOV",
ROUND(OFFSET($P494,0,AU$13),15-13*ORÇAMENTO!$AF$7)/$H494*OFFSET(ORÇAMENTO!$X$15,ROW(AU494)-ROW(AU$15),0),
ROUND(ROUND(OFFSET($P494,0,AU$13),15-13*ORÇAMENTO!$AF$7)*OFFSET(ORÇAMENTO!$W$15,ROW(AU494)-ROW(AU$15),0),15-13*ORÇAMENTO!$AF$11)),0)</f>
        <v>0</v>
      </c>
      <c r="AV494" s="545">
        <f ca="1">IF(AND($D494="Serviço",AV$12&lt;&gt;0,$H494&gt;0,OR(AUTOEVENTO&lt;&gt;"manual",$M494&lt;&gt;1)),
IF(Import.TipoArredondamento&lt;&gt;"TransfereGOV",
ROUND(OFFSET($P494,0,AV$13),15-13*ORÇAMENTO!$AF$7)/$H494*OFFSET(ORÇAMENTO!$X$15,ROW(AV494)-ROW(AV$15),0),
ROUND(ROUND(OFFSET($P494,0,AV$13),15-13*ORÇAMENTO!$AF$7)*OFFSET(ORÇAMENTO!$W$15,ROW(AV494)-ROW(AV$15),0),15-13*ORÇAMENTO!$AF$11)),0)</f>
        <v>0</v>
      </c>
      <c r="AW494" s="545">
        <f ca="1">IF(AND($D494="Serviço",AW$12&lt;&gt;0,$H494&gt;0,OR(AUTOEVENTO&lt;&gt;"manual",$M494&lt;&gt;1)),
IF(Import.TipoArredondamento&lt;&gt;"TransfereGOV",
ROUND(OFFSET($P494,0,AW$13),15-13*ORÇAMENTO!$AF$7)/$H494*OFFSET(ORÇAMENTO!$X$15,ROW(AW494)-ROW(AW$15),0),
ROUND(ROUND(OFFSET($P494,0,AW$13),15-13*ORÇAMENTO!$AF$7)*OFFSET(ORÇAMENTO!$W$15,ROW(AW494)-ROW(AW$15),0),15-13*ORÇAMENTO!$AF$11)),0)</f>
        <v>0</v>
      </c>
      <c r="AX494" s="545">
        <f ca="1">IF(AND($D494="Serviço",AX$12&lt;&gt;0,$H494&gt;0,OR(AUTOEVENTO&lt;&gt;"manual",$M494&lt;&gt;1)),
IF(Import.TipoArredondamento&lt;&gt;"TransfereGOV",
ROUND(OFFSET($P494,0,AX$13),15-13*ORÇAMENTO!$AF$7)/$H494*OFFSET(ORÇAMENTO!$X$15,ROW(AX494)-ROW(AX$15),0),
ROUND(ROUND(OFFSET($P494,0,AX$13),15-13*ORÇAMENTO!$AF$7)*OFFSET(ORÇAMENTO!$W$15,ROW(AX494)-ROW(AX$15),0),15-13*ORÇAMENTO!$AF$11)),0)</f>
        <v>0</v>
      </c>
      <c r="AY494" s="545">
        <f ca="1">IF(AND($D494="Serviço",AY$12&lt;&gt;0,$H494&gt;0,OR(AUTOEVENTO&lt;&gt;"manual",$M494&lt;&gt;1)),
IF(Import.TipoArredondamento&lt;&gt;"TransfereGOV",
ROUND(OFFSET($P494,0,AY$13),15-13*ORÇAMENTO!$AF$7)/$H494*OFFSET(ORÇAMENTO!$X$15,ROW(AY494)-ROW(AY$15),0),
ROUND(ROUND(OFFSET($P494,0,AY$13),15-13*ORÇAMENTO!$AF$7)*OFFSET(ORÇAMENTO!$W$15,ROW(AY494)-ROW(AY$15),0),15-13*ORÇAMENTO!$AF$11)),0)</f>
        <v>0</v>
      </c>
      <c r="AZ494" s="545">
        <f ca="1">IF(AND($D494="Serviço",AZ$12&lt;&gt;0,$H494&gt;0,OR(AUTOEVENTO&lt;&gt;"manual",$M494&lt;&gt;1)),
IF(Import.TipoArredondamento&lt;&gt;"TransfereGOV",
ROUND(OFFSET($P494,0,AZ$13),15-13*ORÇAMENTO!$AF$7)/$H494*OFFSET(ORÇAMENTO!$X$15,ROW(AZ494)-ROW(AZ$15),0),
ROUND(ROUND(OFFSET($P494,0,AZ$13),15-13*ORÇAMENTO!$AF$7)*OFFSET(ORÇAMENTO!$W$15,ROW(AZ494)-ROW(AZ$15),0),15-13*ORÇAMENTO!$AF$11)),0)</f>
        <v>0</v>
      </c>
      <c r="BA494" s="546">
        <f ca="1">IF(AND($D494="Serviço",BA$12&lt;&gt;0,$H494&gt;0,OR(AUTOEVENTO&lt;&gt;"manual",$M494&lt;&gt;1)),
IF(Import.TipoArredondamento&lt;&gt;"TransfereGOV",
ROUND(OFFSET($P494,0,BA$13),15-13*ORÇAMENTO!$AF$7)/$H494*OFFSET(ORÇAMENTO!$X$15,ROW(BA494)-ROW(BA$15),0),
ROUND(ROUND(OFFSET($P494,0,BA$13),15-13*ORÇAMENTO!$AF$7)*OFFSET(ORÇAMENTO!$W$15,ROW(BA494)-ROW(BA$15),0),15-13*ORÇAMENTO!$AF$11)),0)</f>
        <v>0</v>
      </c>
      <c r="BC494" s="181">
        <f ca="1">IF($D494&lt;&gt;"Serviço",0,IF(AND(AUTOEVENTO="Manual",$M494=1),0,IF(OFFSET(CRONOPLE!$F$14,$M494,BC$13)="",10^12,OFFSET(CRONOPLE!$F$14,$M494,BC$13))))</f>
        <v>10</v>
      </c>
      <c r="BD494" s="181">
        <f ca="1">IF($D494&lt;&gt;"Serviço",0,IF(AND(AUTOEVENTO="Manual",$M494=1),0,IF(OFFSET(CRONOPLE!$F$14,$M494,BD$13)="",10^12,OFFSET(CRONOPLE!$F$14,$M494,BD$13))))</f>
        <v>1000000000000</v>
      </c>
      <c r="BE494" s="181">
        <f ca="1">IF($D494&lt;&gt;"Serviço",0,IF(AND(AUTOEVENTO="Manual",$M494=1),0,IF(OFFSET(CRONOPLE!$F$14,$M494,BE$13)="",10^12,OFFSET(CRONOPLE!$F$14,$M494,BE$13))))</f>
        <v>1000000000000</v>
      </c>
      <c r="BF494" s="181">
        <f ca="1">IF($D494&lt;&gt;"Serviço",0,IF(AND(AUTOEVENTO="Manual",$M494=1),0,IF(OFFSET(CRONOPLE!$F$14,$M494,BF$13)="",10^12,OFFSET(CRONOPLE!$F$14,$M494,BF$13))))</f>
        <v>1000000000000</v>
      </c>
      <c r="BG494" s="181">
        <f ca="1">IF($D494&lt;&gt;"Serviço",0,IF(AND(AUTOEVENTO="Manual",$M494=1),0,IF(OFFSET(CRONOPLE!$F$14,$M494,BG$13)="",10^12,OFFSET(CRONOPLE!$F$14,$M494,BG$13))))</f>
        <v>1000000000000</v>
      </c>
      <c r="BH494" s="181">
        <f ca="1">IF($D494&lt;&gt;"Serviço",0,IF(AND(AUTOEVENTO="Manual",$M494=1),0,IF(OFFSET(CRONOPLE!$F$14,$M494,BH$13)="",10^12,OFFSET(CRONOPLE!$F$14,$M494,BH$13))))</f>
        <v>1000000000000</v>
      </c>
      <c r="BI494" s="181">
        <f ca="1">IF($D494&lt;&gt;"Serviço",0,IF(AND(AUTOEVENTO="Manual",$M494=1),0,IF(OFFSET(CRONOPLE!$F$14,$M494,BI$13)="",10^12,OFFSET(CRONOPLE!$F$14,$M494,BI$13))))</f>
        <v>1000000000000</v>
      </c>
      <c r="BJ494" s="181">
        <f ca="1">IF($D494&lt;&gt;"Serviço",0,IF(AND(AUTOEVENTO="Manual",$M494=1),0,IF(OFFSET(CRONOPLE!$F$14,$M494,BJ$13)="",10^12,OFFSET(CRONOPLE!$F$14,$M494,BJ$13))))</f>
        <v>1000000000000</v>
      </c>
      <c r="BK494" s="181">
        <f ca="1">IF($D494&lt;&gt;"Serviço",0,IF(AND(AUTOEVENTO="Manual",$M494=1),0,IF(OFFSET(CRONOPLE!$F$14,$M494,BK$13)="",10^12,OFFSET(CRONOPLE!$F$14,$M494,BK$13))))</f>
        <v>1000000000000</v>
      </c>
      <c r="BL494" s="181">
        <f ca="1">IF($D494&lt;&gt;"Serviço",0,IF(AND(AUTOEVENTO="Manual",$M494=1),0,IF(OFFSET(CRONOPLE!$F$14,$M494,BL$13)="",10^12,OFFSET(CRONOPLE!$F$14,$M494,BL$13))))</f>
        <v>1000000000000</v>
      </c>
      <c r="BM494" s="181">
        <f ca="1">IF($D494&lt;&gt;"Serviço",0,IF(AND(AUTOEVENTO="Manual",$M494=1),0,IF(OFFSET(CRONOPLE!$F$14,$M494,BM$13)="",10^12,OFFSET(CRONOPLE!$F$14,$M494,BM$13))))</f>
        <v>1000000000000</v>
      </c>
      <c r="BN494" s="181">
        <f ca="1">IF($D494&lt;&gt;"Serviço",0,IF(AND(AUTOEVENTO="Manual",$M494=1),0,IF(OFFSET(CRONOPLE!$F$14,$M494,BN$13)="",10^12,OFFSET(CRONOPLE!$F$14,$M494,BN$13))))</f>
        <v>1000000000000</v>
      </c>
      <c r="BO494" s="181">
        <f ca="1">IF($D494&lt;&gt;"Serviço",0,IF(AND(AUTOEVENTO="Manual",$M494=1),0,IF(OFFSET(CRONOPLE!$F$14,$M494,BO$13)="",10^12,OFFSET(CRONOPLE!$F$14,$M494,BO$13))))</f>
        <v>1000000000000</v>
      </c>
      <c r="BP494" s="181">
        <f ca="1">IF($D494&lt;&gt;"Serviço",0,IF(AND(AUTOEVENTO="Manual",$M494=1),0,IF(OFFSET(CRONOPLE!$F$14,$M494,BP$13)="",10^12,OFFSET(CRONOPLE!$F$14,$M494,BP$13))))</f>
        <v>1000000000000</v>
      </c>
      <c r="BQ494" s="181">
        <f ca="1">IF($D494&lt;&gt;"Serviço",0,IF(AND(AUTOEVENTO="Manual",$M494=1),0,IF(OFFSET(CRONOPLE!$F$14,$M494,BQ$13)="",10^12,OFFSET(CRONOPLE!$F$14,$M494,BQ$13))))</f>
        <v>1000000000000</v>
      </c>
      <c r="BR494" s="181">
        <f ca="1">IF($D494&lt;&gt;"Serviço",0,IF(AND(AUTOEVENTO="Manual",$M494=1),0,IF(OFFSET(CRONOPLE!$F$14,$M494,BR$13)="",10^12,OFFSET(CRONOPLE!$F$14,$M494,BR$13))))</f>
        <v>1000000000000</v>
      </c>
      <c r="BS494" s="181">
        <f ca="1">IF($D494&lt;&gt;"Serviço",0,IF(AND(AUTOEVENTO="Manual",$M494=1),0,IF(OFFSET(CRONOPLE!$F$14,$M494,BS$13)="",10^12,OFFSET(CRONOPLE!$F$14,$M494,BS$13))))</f>
        <v>1000000000000</v>
      </c>
      <c r="BT494" s="181">
        <f ca="1">IF($D494&lt;&gt;"Serviço",0,IF(AND(AUTOEVENTO="Manual",$M494=1),0,IF(OFFSET(CRONOPLE!$F$14,$M494,BT$13)="",10^12,OFFSET(CRONOPLE!$F$14,$M494,BT$13))))</f>
        <v>1000000000000</v>
      </c>
      <c r="BV494" s="182">
        <f ca="1">IF($D494&lt;&gt;"Serviço",0,IF(OR(AND(AUTOEVENTO="Manual",$M494=1),$M494&gt;(ROW(PLE.lastrow)-ROW(PLE.firstrow))),0,IF(OFFSET(PLE!$G$14,$M494,BV$13)="",10^12,OFFSET(PLE!$G$14,$M494,BV$13))))</f>
        <v>1000000000000</v>
      </c>
      <c r="BW494" s="182">
        <f ca="1">IF($D494&lt;&gt;"Serviço",0,IF(OR(AND(AUTOEVENTO="Manual",$M494=1),$M494&gt;(ROW(PLE.lastrow)-ROW(PLE.firstrow))),0,IF(OFFSET(PLE!$G$14,$M494,BW$13)="",10^12,OFFSET(PLE!$G$14,$M494,BW$13))))</f>
        <v>1000000000000</v>
      </c>
      <c r="BX494" s="182">
        <f ca="1">IF($D494&lt;&gt;"Serviço",0,IF(OR(AND(AUTOEVENTO="Manual",$M494=1),$M494&gt;(ROW(PLE.lastrow)-ROW(PLE.firstrow))),0,IF(OFFSET(PLE!$G$14,$M494,BX$13)="",10^12,OFFSET(PLE!$G$14,$M494,BX$13))))</f>
        <v>1000000000000</v>
      </c>
      <c r="BY494" s="182">
        <f ca="1">IF($D494&lt;&gt;"Serviço",0,IF(OR(AND(AUTOEVENTO="Manual",$M494=1),$M494&gt;(ROW(PLE.lastrow)-ROW(PLE.firstrow))),0,IF(OFFSET(PLE!$G$14,$M494,BY$13)="",10^12,OFFSET(PLE!$G$14,$M494,BY$13))))</f>
        <v>1000000000000</v>
      </c>
      <c r="BZ494" s="182">
        <f ca="1">IF($D494&lt;&gt;"Serviço",0,IF(OR(AND(AUTOEVENTO="Manual",$M494=1),$M494&gt;(ROW(PLE.lastrow)-ROW(PLE.firstrow))),0,IF(OFFSET(PLE!$G$14,$M494,BZ$13)="",10^12,OFFSET(PLE!$G$14,$M494,BZ$13))))</f>
        <v>1000000000000</v>
      </c>
      <c r="CA494" s="182">
        <f ca="1">IF($D494&lt;&gt;"Serviço",0,IF(OR(AND(AUTOEVENTO="Manual",$M494=1),$M494&gt;(ROW(PLE.lastrow)-ROW(PLE.firstrow))),0,IF(OFFSET(PLE!$G$14,$M494,CA$13)="",10^12,OFFSET(PLE!$G$14,$M494,CA$13))))</f>
        <v>1000000000000</v>
      </c>
      <c r="CB494" s="182">
        <f ca="1">IF($D494&lt;&gt;"Serviço",0,IF(OR(AND(AUTOEVENTO="Manual",$M494=1),$M494&gt;(ROW(PLE.lastrow)-ROW(PLE.firstrow))),0,IF(OFFSET(PLE!$G$14,$M494,CB$13)="",10^12,OFFSET(PLE!$G$14,$M494,CB$13))))</f>
        <v>1000000000000</v>
      </c>
      <c r="CC494" s="182">
        <f ca="1">IF($D494&lt;&gt;"Serviço",0,IF(OR(AND(AUTOEVENTO="Manual",$M494=1),$M494&gt;(ROW(PLE.lastrow)-ROW(PLE.firstrow))),0,IF(OFFSET(PLE!$G$14,$M494,CC$13)="",10^12,OFFSET(PLE!$G$14,$M494,CC$13))))</f>
        <v>1000000000000</v>
      </c>
      <c r="CD494" s="182">
        <f ca="1">IF($D494&lt;&gt;"Serviço",0,IF(OR(AND(AUTOEVENTO="Manual",$M494=1),$M494&gt;(ROW(PLE.lastrow)-ROW(PLE.firstrow))),0,IF(OFFSET(PLE!$G$14,$M494,CD$13)="",10^12,OFFSET(PLE!$G$14,$M494,CD$13))))</f>
        <v>1000000000000</v>
      </c>
      <c r="CE494" s="182">
        <f ca="1">IF($D494&lt;&gt;"Serviço",0,IF(OR(AND(AUTOEVENTO="Manual",$M494=1),$M494&gt;(ROW(PLE.lastrow)-ROW(PLE.firstrow))),0,IF(OFFSET(PLE!$G$14,$M494,CE$13)="",10^12,OFFSET(PLE!$G$14,$M494,CE$13))))</f>
        <v>1000000000000</v>
      </c>
      <c r="CF494" s="182">
        <f ca="1">IF($D494&lt;&gt;"Serviço",0,IF(OR(AND(AUTOEVENTO="Manual",$M494=1),$M494&gt;(ROW(PLE.lastrow)-ROW(PLE.firstrow))),0,IF(OFFSET(PLE!$G$14,$M494,CF$13)="",10^12,OFFSET(PLE!$G$14,$M494,CF$13))))</f>
        <v>1000000000000</v>
      </c>
      <c r="CG494" s="182">
        <f ca="1">IF($D494&lt;&gt;"Serviço",0,IF(OR(AND(AUTOEVENTO="Manual",$M494=1),$M494&gt;(ROW(PLE.lastrow)-ROW(PLE.firstrow))),0,IF(OFFSET(PLE!$G$14,$M494,CG$13)="",10^12,OFFSET(PLE!$G$14,$M494,CG$13))))</f>
        <v>1000000000000</v>
      </c>
      <c r="CH494" s="182">
        <f ca="1">IF($D494&lt;&gt;"Serviço",0,IF(OR(AND(AUTOEVENTO="Manual",$M494=1),$M494&gt;(ROW(PLE.lastrow)-ROW(PLE.firstrow))),0,IF(OFFSET(PLE!$G$14,$M494,CH$13)="",10^12,OFFSET(PLE!$G$14,$M494,CH$13))))</f>
        <v>1000000000000</v>
      </c>
      <c r="CI494" s="182">
        <f ca="1">IF($D494&lt;&gt;"Serviço",0,IF(OR(AND(AUTOEVENTO="Manual",$M494=1),$M494&gt;(ROW(PLE.lastrow)-ROW(PLE.firstrow))),0,IF(OFFSET(PLE!$G$14,$M494,CI$13)="",10^12,OFFSET(PLE!$G$14,$M494,CI$13))))</f>
        <v>1000000000000</v>
      </c>
      <c r="CJ494" s="182">
        <f ca="1">IF($D494&lt;&gt;"Serviço",0,IF(OR(AND(AUTOEVENTO="Manual",$M494=1),$M494&gt;(ROW(PLE.lastrow)-ROW(PLE.firstrow))),0,IF(OFFSET(PLE!$G$14,$M494,CJ$13)="",10^12,OFFSET(PLE!$G$14,$M494,CJ$13))))</f>
        <v>1000000000000</v>
      </c>
      <c r="CK494" s="182">
        <f ca="1">IF($D494&lt;&gt;"Serviço",0,IF(OR(AND(AUTOEVENTO="Manual",$M494=1),$M494&gt;(ROW(PLE.lastrow)-ROW(PLE.firstrow))),0,IF(OFFSET(PLE!$G$14,$M494,CK$13)="",10^12,OFFSET(PLE!$G$14,$M494,CK$13))))</f>
        <v>1000000000000</v>
      </c>
      <c r="CL494" s="182">
        <f ca="1">IF($D494&lt;&gt;"Serviço",0,IF(OR(AND(AUTOEVENTO="Manual",$M494=1),$M494&gt;(ROW(PLE.lastrow)-ROW(PLE.firstrow))),0,IF(OFFSET(PLE!$G$14,$M494,CL$13)="",10^12,OFFSET(PLE!$G$14,$M494,CL$13))))</f>
        <v>1000000000000</v>
      </c>
      <c r="CM494" s="182">
        <f ca="1">IF($D494&lt;&gt;"Serviço",0,IF(OR(AND(AUTOEVENTO="Manual",$M494=1),$M494&gt;(ROW(PLE.lastrow)-ROW(PLE.firstrow))),0,IF(OFFSET(PLE!$G$14,$M494,CM$13)="",10^12,OFFSET(PLE!$G$14,$M494,CM$13))))</f>
        <v>1000000000000</v>
      </c>
    </row>
    <row r="495" spans="1:91" ht="38.25" x14ac:dyDescent="0.2">
      <c r="A495" s="7" t="str">
        <f t="shared" ca="1" si="16"/>
        <v>475</v>
      </c>
      <c r="B495" s="7" t="str">
        <f ca="1">OFFSET(ORÇAMENTO!C$15,ROW(B495)-ROW(B$15),0)</f>
        <v>S</v>
      </c>
      <c r="C495" s="7" t="str">
        <f ca="1">OFFSET(ORÇAMENTO!L$15,ROW(C495)-ROW(C$15),0)</f>
        <v/>
      </c>
      <c r="D495" s="118" t="str">
        <f ca="1">OFFSET(ORÇAMENTO!N$15,ROW(D495)-ROW(D$15),0)</f>
        <v>Serviço</v>
      </c>
      <c r="E495" s="119" t="str">
        <f ca="1">OFFSET(ORÇAMENTO!O$15,ROW(E495)-ROW(E$15),0)</f>
        <v>-</v>
      </c>
      <c r="F495" s="172" t="str">
        <f ca="1">OFFSET(ORÇAMENTO!R$15,ROW(F495)-ROW(F$15),0)</f>
        <v>(abra o arquivo 'Referência 06-2024.xlsm)</v>
      </c>
      <c r="G495" s="173" t="str">
        <f ca="1">IF($D495&lt;&gt;"Serviço","",OFFSET(ORÇAMENTO!S$15,ROW(G495)-ROW(G$15),0))</f>
        <v>-</v>
      </c>
      <c r="H495" s="124">
        <f ca="1">IF($D495&lt;&gt;"Serviço",0,IF(ACOMPANHAMENTO="BM",ROUND(OFFSET(ORÇAMENTO!AJ$15,ROW(H495)-ROW(H$15),0),15-13*ORÇAMENTO!$AF$7),SUMPRODUCT(($Q$12:$AI$12&lt;&gt;"")*ROUND($Q495:$AI495,15-13*ORÇAMENTO!$AF$7))))</f>
        <v>200</v>
      </c>
      <c r="I495" s="561" t="s">
        <v>1107</v>
      </c>
      <c r="K495" s="174"/>
      <c r="L495" s="175" t="s">
        <v>255</v>
      </c>
      <c r="M495" s="176">
        <f ca="1">IF($D495&lt;&gt;"Serviço","",IF(AUTOEVENTO="manual",$A495,IF(ISERROR(MATCH($A495,$A$15:OFFSET($A495,-1,0),0)),MAX($M$15:OFFSET(M495,-1,0))+1,INDEX($M$15:OFFSET(M495,-1,0),MATCH($A495,$A$15:OFFSET($A495,-1,0),0)))))</f>
        <v>53</v>
      </c>
      <c r="N495" s="177" t="str">
        <f ca="1">IF($D495&lt;&gt;"Serviço","",IF(AUTOEVENTO="Manual",IF($A495=0,"&lt;-- defina o número do agrupador",OFFSET(EVENTOS!$D$14,$A495,0)),OFFSET($F$15,$A495,0)))</f>
        <v>INSTALAÇÃO ELÉTRICA 110V - ACESSÓRIOS EM GERAL</v>
      </c>
      <c r="O495" s="178"/>
      <c r="Q495" s="178">
        <v>200</v>
      </c>
      <c r="R495" s="179"/>
      <c r="S495" s="179"/>
      <c r="T495" s="179"/>
      <c r="U495" s="179"/>
      <c r="V495" s="179"/>
      <c r="W495" s="179"/>
      <c r="X495" s="179"/>
      <c r="Y495" s="179"/>
      <c r="Z495" s="180"/>
      <c r="AA495" s="179"/>
      <c r="AB495" s="179"/>
      <c r="AC495" s="179"/>
      <c r="AD495" s="179"/>
      <c r="AE495" s="179"/>
      <c r="AF495" s="179"/>
      <c r="AG495" s="179"/>
      <c r="AH495" s="180"/>
      <c r="AJ495" s="544">
        <f ca="1">IF(AND($D495="Serviço",AJ$12&lt;&gt;0,$H495&gt;0,OR(AUTOEVENTO&lt;&gt;"manual",$M495&lt;&gt;1)),
IF(Import.TipoArredondamento&lt;&gt;"TransfereGOV",
ROUND(OFFSET($P495,0,AJ$13),15-13*ORÇAMENTO!$AF$7)/$H495*OFFSET(ORÇAMENTO!$X$15,ROW(AJ495)-ROW(AJ$15),0),
ROUND(ROUND(OFFSET($P495,0,AJ$13),15-13*ORÇAMENTO!$AF$7)*OFFSET(ORÇAMENTO!$W$15,ROW(AJ495)-ROW(AJ$15),0),15-13*ORÇAMENTO!$AF$11)),0)</f>
        <v>0</v>
      </c>
      <c r="AK495" s="545">
        <f ca="1">IF(AND($D495="Serviço",AK$12&lt;&gt;0,$H495&gt;0,OR(AUTOEVENTO&lt;&gt;"manual",$M495&lt;&gt;1)),
IF(Import.TipoArredondamento&lt;&gt;"TransfereGOV",
ROUND(OFFSET($P495,0,AK$13),15-13*ORÇAMENTO!$AF$7)/$H495*OFFSET(ORÇAMENTO!$X$15,ROW(AK495)-ROW(AK$15),0),
ROUND(ROUND(OFFSET($P495,0,AK$13),15-13*ORÇAMENTO!$AF$7)*OFFSET(ORÇAMENTO!$W$15,ROW(AK495)-ROW(AK$15),0),15-13*ORÇAMENTO!$AF$11)),0)</f>
        <v>0</v>
      </c>
      <c r="AL495" s="545">
        <f ca="1">IF(AND($D495="Serviço",AL$12&lt;&gt;0,$H495&gt;0,OR(AUTOEVENTO&lt;&gt;"manual",$M495&lt;&gt;1)),
IF(Import.TipoArredondamento&lt;&gt;"TransfereGOV",
ROUND(OFFSET($P495,0,AL$13),15-13*ORÇAMENTO!$AF$7)/$H495*OFFSET(ORÇAMENTO!$X$15,ROW(AL495)-ROW(AL$15),0),
ROUND(ROUND(OFFSET($P495,0,AL$13),15-13*ORÇAMENTO!$AF$7)*OFFSET(ORÇAMENTO!$W$15,ROW(AL495)-ROW(AL$15),0),15-13*ORÇAMENTO!$AF$11)),0)</f>
        <v>0</v>
      </c>
      <c r="AM495" s="545">
        <f ca="1">IF(AND($D495="Serviço",AM$12&lt;&gt;0,$H495&gt;0,OR(AUTOEVENTO&lt;&gt;"manual",$M495&lt;&gt;1)),
IF(Import.TipoArredondamento&lt;&gt;"TransfereGOV",
ROUND(OFFSET($P495,0,AM$13),15-13*ORÇAMENTO!$AF$7)/$H495*OFFSET(ORÇAMENTO!$X$15,ROW(AM495)-ROW(AM$15),0),
ROUND(ROUND(OFFSET($P495,0,AM$13),15-13*ORÇAMENTO!$AF$7)*OFFSET(ORÇAMENTO!$W$15,ROW(AM495)-ROW(AM$15),0),15-13*ORÇAMENTO!$AF$11)),0)</f>
        <v>0</v>
      </c>
      <c r="AN495" s="545">
        <f ca="1">IF(AND($D495="Serviço",AN$12&lt;&gt;0,$H495&gt;0,OR(AUTOEVENTO&lt;&gt;"manual",$M495&lt;&gt;1)),
IF(Import.TipoArredondamento&lt;&gt;"TransfereGOV",
ROUND(OFFSET($P495,0,AN$13),15-13*ORÇAMENTO!$AF$7)/$H495*OFFSET(ORÇAMENTO!$X$15,ROW(AN495)-ROW(AN$15),0),
ROUND(ROUND(OFFSET($P495,0,AN$13),15-13*ORÇAMENTO!$AF$7)*OFFSET(ORÇAMENTO!$W$15,ROW(AN495)-ROW(AN$15),0),15-13*ORÇAMENTO!$AF$11)),0)</f>
        <v>0</v>
      </c>
      <c r="AO495" s="545">
        <f ca="1">IF(AND($D495="Serviço",AO$12&lt;&gt;0,$H495&gt;0,OR(AUTOEVENTO&lt;&gt;"manual",$M495&lt;&gt;1)),
IF(Import.TipoArredondamento&lt;&gt;"TransfereGOV",
ROUND(OFFSET($P495,0,AO$13),15-13*ORÇAMENTO!$AF$7)/$H495*OFFSET(ORÇAMENTO!$X$15,ROW(AO495)-ROW(AO$15),0),
ROUND(ROUND(OFFSET($P495,0,AO$13),15-13*ORÇAMENTO!$AF$7)*OFFSET(ORÇAMENTO!$W$15,ROW(AO495)-ROW(AO$15),0),15-13*ORÇAMENTO!$AF$11)),0)</f>
        <v>0</v>
      </c>
      <c r="AP495" s="545">
        <f ca="1">IF(AND($D495="Serviço",AP$12&lt;&gt;0,$H495&gt;0,OR(AUTOEVENTO&lt;&gt;"manual",$M495&lt;&gt;1)),
IF(Import.TipoArredondamento&lt;&gt;"TransfereGOV",
ROUND(OFFSET($P495,0,AP$13),15-13*ORÇAMENTO!$AF$7)/$H495*OFFSET(ORÇAMENTO!$X$15,ROW(AP495)-ROW(AP$15),0),
ROUND(ROUND(OFFSET($P495,0,AP$13),15-13*ORÇAMENTO!$AF$7)*OFFSET(ORÇAMENTO!$W$15,ROW(AP495)-ROW(AP$15),0),15-13*ORÇAMENTO!$AF$11)),0)</f>
        <v>0</v>
      </c>
      <c r="AQ495" s="545">
        <f ca="1">IF(AND($D495="Serviço",AQ$12&lt;&gt;0,$H495&gt;0,OR(AUTOEVENTO&lt;&gt;"manual",$M495&lt;&gt;1)),
IF(Import.TipoArredondamento&lt;&gt;"TransfereGOV",
ROUND(OFFSET($P495,0,AQ$13),15-13*ORÇAMENTO!$AF$7)/$H495*OFFSET(ORÇAMENTO!$X$15,ROW(AQ495)-ROW(AQ$15),0),
ROUND(ROUND(OFFSET($P495,0,AQ$13),15-13*ORÇAMENTO!$AF$7)*OFFSET(ORÇAMENTO!$W$15,ROW(AQ495)-ROW(AQ$15),0),15-13*ORÇAMENTO!$AF$11)),0)</f>
        <v>0</v>
      </c>
      <c r="AR495" s="545">
        <f ca="1">IF(AND($D495="Serviço",AR$12&lt;&gt;0,$H495&gt;0,OR(AUTOEVENTO&lt;&gt;"manual",$M495&lt;&gt;1)),
IF(Import.TipoArredondamento&lt;&gt;"TransfereGOV",
ROUND(OFFSET($P495,0,AR$13),15-13*ORÇAMENTO!$AF$7)/$H495*OFFSET(ORÇAMENTO!$X$15,ROW(AR495)-ROW(AR$15),0),
ROUND(ROUND(OFFSET($P495,0,AR$13),15-13*ORÇAMENTO!$AF$7)*OFFSET(ORÇAMENTO!$W$15,ROW(AR495)-ROW(AR$15),0),15-13*ORÇAMENTO!$AF$11)),0)</f>
        <v>0</v>
      </c>
      <c r="AS495" s="546">
        <f ca="1">IF(AND($D495="Serviço",AS$12&lt;&gt;0,$H495&gt;0,OR(AUTOEVENTO&lt;&gt;"manual",$M495&lt;&gt;1)),
IF(Import.TipoArredondamento&lt;&gt;"TransfereGOV",
ROUND(OFFSET($P495,0,AS$13),15-13*ORÇAMENTO!$AF$7)/$H495*OFFSET(ORÇAMENTO!$X$15,ROW(AS495)-ROW(AS$15),0),
ROUND(ROUND(OFFSET($P495,0,AS$13),15-13*ORÇAMENTO!$AF$7)*OFFSET(ORÇAMENTO!$W$15,ROW(AS495)-ROW(AS$15),0),15-13*ORÇAMENTO!$AF$11)),0)</f>
        <v>0</v>
      </c>
      <c r="AT495" s="545">
        <f ca="1">IF(AND($D495="Serviço",AT$12&lt;&gt;0,$H495&gt;0,OR(AUTOEVENTO&lt;&gt;"manual",$M495&lt;&gt;1)),
IF(Import.TipoArredondamento&lt;&gt;"TransfereGOV",
ROUND(OFFSET($P495,0,AT$13),15-13*ORÇAMENTO!$AF$7)/$H495*OFFSET(ORÇAMENTO!$X$15,ROW(AT495)-ROW(AT$15),0),
ROUND(ROUND(OFFSET($P495,0,AT$13),15-13*ORÇAMENTO!$AF$7)*OFFSET(ORÇAMENTO!$W$15,ROW(AT495)-ROW(AT$15),0),15-13*ORÇAMENTO!$AF$11)),0)</f>
        <v>0</v>
      </c>
      <c r="AU495" s="545">
        <f ca="1">IF(AND($D495="Serviço",AU$12&lt;&gt;0,$H495&gt;0,OR(AUTOEVENTO&lt;&gt;"manual",$M495&lt;&gt;1)),
IF(Import.TipoArredondamento&lt;&gt;"TransfereGOV",
ROUND(OFFSET($P495,0,AU$13),15-13*ORÇAMENTO!$AF$7)/$H495*OFFSET(ORÇAMENTO!$X$15,ROW(AU495)-ROW(AU$15),0),
ROUND(ROUND(OFFSET($P495,0,AU$13),15-13*ORÇAMENTO!$AF$7)*OFFSET(ORÇAMENTO!$W$15,ROW(AU495)-ROW(AU$15),0),15-13*ORÇAMENTO!$AF$11)),0)</f>
        <v>0</v>
      </c>
      <c r="AV495" s="545">
        <f ca="1">IF(AND($D495="Serviço",AV$12&lt;&gt;0,$H495&gt;0,OR(AUTOEVENTO&lt;&gt;"manual",$M495&lt;&gt;1)),
IF(Import.TipoArredondamento&lt;&gt;"TransfereGOV",
ROUND(OFFSET($P495,0,AV$13),15-13*ORÇAMENTO!$AF$7)/$H495*OFFSET(ORÇAMENTO!$X$15,ROW(AV495)-ROW(AV$15),0),
ROUND(ROUND(OFFSET($P495,0,AV$13),15-13*ORÇAMENTO!$AF$7)*OFFSET(ORÇAMENTO!$W$15,ROW(AV495)-ROW(AV$15),0),15-13*ORÇAMENTO!$AF$11)),0)</f>
        <v>0</v>
      </c>
      <c r="AW495" s="545">
        <f ca="1">IF(AND($D495="Serviço",AW$12&lt;&gt;0,$H495&gt;0,OR(AUTOEVENTO&lt;&gt;"manual",$M495&lt;&gt;1)),
IF(Import.TipoArredondamento&lt;&gt;"TransfereGOV",
ROUND(OFFSET($P495,0,AW$13),15-13*ORÇAMENTO!$AF$7)/$H495*OFFSET(ORÇAMENTO!$X$15,ROW(AW495)-ROW(AW$15),0),
ROUND(ROUND(OFFSET($P495,0,AW$13),15-13*ORÇAMENTO!$AF$7)*OFFSET(ORÇAMENTO!$W$15,ROW(AW495)-ROW(AW$15),0),15-13*ORÇAMENTO!$AF$11)),0)</f>
        <v>0</v>
      </c>
      <c r="AX495" s="545">
        <f ca="1">IF(AND($D495="Serviço",AX$12&lt;&gt;0,$H495&gt;0,OR(AUTOEVENTO&lt;&gt;"manual",$M495&lt;&gt;1)),
IF(Import.TipoArredondamento&lt;&gt;"TransfereGOV",
ROUND(OFFSET($P495,0,AX$13),15-13*ORÇAMENTO!$AF$7)/$H495*OFFSET(ORÇAMENTO!$X$15,ROW(AX495)-ROW(AX$15),0),
ROUND(ROUND(OFFSET($P495,0,AX$13),15-13*ORÇAMENTO!$AF$7)*OFFSET(ORÇAMENTO!$W$15,ROW(AX495)-ROW(AX$15),0),15-13*ORÇAMENTO!$AF$11)),0)</f>
        <v>0</v>
      </c>
      <c r="AY495" s="545">
        <f ca="1">IF(AND($D495="Serviço",AY$12&lt;&gt;0,$H495&gt;0,OR(AUTOEVENTO&lt;&gt;"manual",$M495&lt;&gt;1)),
IF(Import.TipoArredondamento&lt;&gt;"TransfereGOV",
ROUND(OFFSET($P495,0,AY$13),15-13*ORÇAMENTO!$AF$7)/$H495*OFFSET(ORÇAMENTO!$X$15,ROW(AY495)-ROW(AY$15),0),
ROUND(ROUND(OFFSET($P495,0,AY$13),15-13*ORÇAMENTO!$AF$7)*OFFSET(ORÇAMENTO!$W$15,ROW(AY495)-ROW(AY$15),0),15-13*ORÇAMENTO!$AF$11)),0)</f>
        <v>0</v>
      </c>
      <c r="AZ495" s="545">
        <f ca="1">IF(AND($D495="Serviço",AZ$12&lt;&gt;0,$H495&gt;0,OR(AUTOEVENTO&lt;&gt;"manual",$M495&lt;&gt;1)),
IF(Import.TipoArredondamento&lt;&gt;"TransfereGOV",
ROUND(OFFSET($P495,0,AZ$13),15-13*ORÇAMENTO!$AF$7)/$H495*OFFSET(ORÇAMENTO!$X$15,ROW(AZ495)-ROW(AZ$15),0),
ROUND(ROUND(OFFSET($P495,0,AZ$13),15-13*ORÇAMENTO!$AF$7)*OFFSET(ORÇAMENTO!$W$15,ROW(AZ495)-ROW(AZ$15),0),15-13*ORÇAMENTO!$AF$11)),0)</f>
        <v>0</v>
      </c>
      <c r="BA495" s="546">
        <f ca="1">IF(AND($D495="Serviço",BA$12&lt;&gt;0,$H495&gt;0,OR(AUTOEVENTO&lt;&gt;"manual",$M495&lt;&gt;1)),
IF(Import.TipoArredondamento&lt;&gt;"TransfereGOV",
ROUND(OFFSET($P495,0,BA$13),15-13*ORÇAMENTO!$AF$7)/$H495*OFFSET(ORÇAMENTO!$X$15,ROW(BA495)-ROW(BA$15),0),
ROUND(ROUND(OFFSET($P495,0,BA$13),15-13*ORÇAMENTO!$AF$7)*OFFSET(ORÇAMENTO!$W$15,ROW(BA495)-ROW(BA$15),0),15-13*ORÇAMENTO!$AF$11)),0)</f>
        <v>0</v>
      </c>
      <c r="BC495" s="181">
        <f ca="1">IF($D495&lt;&gt;"Serviço",0,IF(AND(AUTOEVENTO="Manual",$M495=1),0,IF(OFFSET(CRONOPLE!$F$14,$M495,BC$13)="",10^12,OFFSET(CRONOPLE!$F$14,$M495,BC$13))))</f>
        <v>10</v>
      </c>
      <c r="BD495" s="181">
        <f ca="1">IF($D495&lt;&gt;"Serviço",0,IF(AND(AUTOEVENTO="Manual",$M495=1),0,IF(OFFSET(CRONOPLE!$F$14,$M495,BD$13)="",10^12,OFFSET(CRONOPLE!$F$14,$M495,BD$13))))</f>
        <v>1000000000000</v>
      </c>
      <c r="BE495" s="181">
        <f ca="1">IF($D495&lt;&gt;"Serviço",0,IF(AND(AUTOEVENTO="Manual",$M495=1),0,IF(OFFSET(CRONOPLE!$F$14,$M495,BE$13)="",10^12,OFFSET(CRONOPLE!$F$14,$M495,BE$13))))</f>
        <v>1000000000000</v>
      </c>
      <c r="BF495" s="181">
        <f ca="1">IF($D495&lt;&gt;"Serviço",0,IF(AND(AUTOEVENTO="Manual",$M495=1),0,IF(OFFSET(CRONOPLE!$F$14,$M495,BF$13)="",10^12,OFFSET(CRONOPLE!$F$14,$M495,BF$13))))</f>
        <v>1000000000000</v>
      </c>
      <c r="BG495" s="181">
        <f ca="1">IF($D495&lt;&gt;"Serviço",0,IF(AND(AUTOEVENTO="Manual",$M495=1),0,IF(OFFSET(CRONOPLE!$F$14,$M495,BG$13)="",10^12,OFFSET(CRONOPLE!$F$14,$M495,BG$13))))</f>
        <v>1000000000000</v>
      </c>
      <c r="BH495" s="181">
        <f ca="1">IF($D495&lt;&gt;"Serviço",0,IF(AND(AUTOEVENTO="Manual",$M495=1),0,IF(OFFSET(CRONOPLE!$F$14,$M495,BH$13)="",10^12,OFFSET(CRONOPLE!$F$14,$M495,BH$13))))</f>
        <v>1000000000000</v>
      </c>
      <c r="BI495" s="181">
        <f ca="1">IF($D495&lt;&gt;"Serviço",0,IF(AND(AUTOEVENTO="Manual",$M495=1),0,IF(OFFSET(CRONOPLE!$F$14,$M495,BI$13)="",10^12,OFFSET(CRONOPLE!$F$14,$M495,BI$13))))</f>
        <v>1000000000000</v>
      </c>
      <c r="BJ495" s="181">
        <f ca="1">IF($D495&lt;&gt;"Serviço",0,IF(AND(AUTOEVENTO="Manual",$M495=1),0,IF(OFFSET(CRONOPLE!$F$14,$M495,BJ$13)="",10^12,OFFSET(CRONOPLE!$F$14,$M495,BJ$13))))</f>
        <v>1000000000000</v>
      </c>
      <c r="BK495" s="181">
        <f ca="1">IF($D495&lt;&gt;"Serviço",0,IF(AND(AUTOEVENTO="Manual",$M495=1),0,IF(OFFSET(CRONOPLE!$F$14,$M495,BK$13)="",10^12,OFFSET(CRONOPLE!$F$14,$M495,BK$13))))</f>
        <v>1000000000000</v>
      </c>
      <c r="BL495" s="181">
        <f ca="1">IF($D495&lt;&gt;"Serviço",0,IF(AND(AUTOEVENTO="Manual",$M495=1),0,IF(OFFSET(CRONOPLE!$F$14,$M495,BL$13)="",10^12,OFFSET(CRONOPLE!$F$14,$M495,BL$13))))</f>
        <v>1000000000000</v>
      </c>
      <c r="BM495" s="181">
        <f ca="1">IF($D495&lt;&gt;"Serviço",0,IF(AND(AUTOEVENTO="Manual",$M495=1),0,IF(OFFSET(CRONOPLE!$F$14,$M495,BM$13)="",10^12,OFFSET(CRONOPLE!$F$14,$M495,BM$13))))</f>
        <v>1000000000000</v>
      </c>
      <c r="BN495" s="181">
        <f ca="1">IF($D495&lt;&gt;"Serviço",0,IF(AND(AUTOEVENTO="Manual",$M495=1),0,IF(OFFSET(CRONOPLE!$F$14,$M495,BN$13)="",10^12,OFFSET(CRONOPLE!$F$14,$M495,BN$13))))</f>
        <v>1000000000000</v>
      </c>
      <c r="BO495" s="181">
        <f ca="1">IF($D495&lt;&gt;"Serviço",0,IF(AND(AUTOEVENTO="Manual",$M495=1),0,IF(OFFSET(CRONOPLE!$F$14,$M495,BO$13)="",10^12,OFFSET(CRONOPLE!$F$14,$M495,BO$13))))</f>
        <v>1000000000000</v>
      </c>
      <c r="BP495" s="181">
        <f ca="1">IF($D495&lt;&gt;"Serviço",0,IF(AND(AUTOEVENTO="Manual",$M495=1),0,IF(OFFSET(CRONOPLE!$F$14,$M495,BP$13)="",10^12,OFFSET(CRONOPLE!$F$14,$M495,BP$13))))</f>
        <v>1000000000000</v>
      </c>
      <c r="BQ495" s="181">
        <f ca="1">IF($D495&lt;&gt;"Serviço",0,IF(AND(AUTOEVENTO="Manual",$M495=1),0,IF(OFFSET(CRONOPLE!$F$14,$M495,BQ$13)="",10^12,OFFSET(CRONOPLE!$F$14,$M495,BQ$13))))</f>
        <v>1000000000000</v>
      </c>
      <c r="BR495" s="181">
        <f ca="1">IF($D495&lt;&gt;"Serviço",0,IF(AND(AUTOEVENTO="Manual",$M495=1),0,IF(OFFSET(CRONOPLE!$F$14,$M495,BR$13)="",10^12,OFFSET(CRONOPLE!$F$14,$M495,BR$13))))</f>
        <v>1000000000000</v>
      </c>
      <c r="BS495" s="181">
        <f ca="1">IF($D495&lt;&gt;"Serviço",0,IF(AND(AUTOEVENTO="Manual",$M495=1),0,IF(OFFSET(CRONOPLE!$F$14,$M495,BS$13)="",10^12,OFFSET(CRONOPLE!$F$14,$M495,BS$13))))</f>
        <v>1000000000000</v>
      </c>
      <c r="BT495" s="181">
        <f ca="1">IF($D495&lt;&gt;"Serviço",0,IF(AND(AUTOEVENTO="Manual",$M495=1),0,IF(OFFSET(CRONOPLE!$F$14,$M495,BT$13)="",10^12,OFFSET(CRONOPLE!$F$14,$M495,BT$13))))</f>
        <v>1000000000000</v>
      </c>
      <c r="BV495" s="182">
        <f ca="1">IF($D495&lt;&gt;"Serviço",0,IF(OR(AND(AUTOEVENTO="Manual",$M495=1),$M495&gt;(ROW(PLE.lastrow)-ROW(PLE.firstrow))),0,IF(OFFSET(PLE!$G$14,$M495,BV$13)="",10^12,OFFSET(PLE!$G$14,$M495,BV$13))))</f>
        <v>1000000000000</v>
      </c>
      <c r="BW495" s="182">
        <f ca="1">IF($D495&lt;&gt;"Serviço",0,IF(OR(AND(AUTOEVENTO="Manual",$M495=1),$M495&gt;(ROW(PLE.lastrow)-ROW(PLE.firstrow))),0,IF(OFFSET(PLE!$G$14,$M495,BW$13)="",10^12,OFFSET(PLE!$G$14,$M495,BW$13))))</f>
        <v>1000000000000</v>
      </c>
      <c r="BX495" s="182">
        <f ca="1">IF($D495&lt;&gt;"Serviço",0,IF(OR(AND(AUTOEVENTO="Manual",$M495=1),$M495&gt;(ROW(PLE.lastrow)-ROW(PLE.firstrow))),0,IF(OFFSET(PLE!$G$14,$M495,BX$13)="",10^12,OFFSET(PLE!$G$14,$M495,BX$13))))</f>
        <v>1000000000000</v>
      </c>
      <c r="BY495" s="182">
        <f ca="1">IF($D495&lt;&gt;"Serviço",0,IF(OR(AND(AUTOEVENTO="Manual",$M495=1),$M495&gt;(ROW(PLE.lastrow)-ROW(PLE.firstrow))),0,IF(OFFSET(PLE!$G$14,$M495,BY$13)="",10^12,OFFSET(PLE!$G$14,$M495,BY$13))))</f>
        <v>1000000000000</v>
      </c>
      <c r="BZ495" s="182">
        <f ca="1">IF($D495&lt;&gt;"Serviço",0,IF(OR(AND(AUTOEVENTO="Manual",$M495=1),$M495&gt;(ROW(PLE.lastrow)-ROW(PLE.firstrow))),0,IF(OFFSET(PLE!$G$14,$M495,BZ$13)="",10^12,OFFSET(PLE!$G$14,$M495,BZ$13))))</f>
        <v>1000000000000</v>
      </c>
      <c r="CA495" s="182">
        <f ca="1">IF($D495&lt;&gt;"Serviço",0,IF(OR(AND(AUTOEVENTO="Manual",$M495=1),$M495&gt;(ROW(PLE.lastrow)-ROW(PLE.firstrow))),0,IF(OFFSET(PLE!$G$14,$M495,CA$13)="",10^12,OFFSET(PLE!$G$14,$M495,CA$13))))</f>
        <v>1000000000000</v>
      </c>
      <c r="CB495" s="182">
        <f ca="1">IF($D495&lt;&gt;"Serviço",0,IF(OR(AND(AUTOEVENTO="Manual",$M495=1),$M495&gt;(ROW(PLE.lastrow)-ROW(PLE.firstrow))),0,IF(OFFSET(PLE!$G$14,$M495,CB$13)="",10^12,OFFSET(PLE!$G$14,$M495,CB$13))))</f>
        <v>1000000000000</v>
      </c>
      <c r="CC495" s="182">
        <f ca="1">IF($D495&lt;&gt;"Serviço",0,IF(OR(AND(AUTOEVENTO="Manual",$M495=1),$M495&gt;(ROW(PLE.lastrow)-ROW(PLE.firstrow))),0,IF(OFFSET(PLE!$G$14,$M495,CC$13)="",10^12,OFFSET(PLE!$G$14,$M495,CC$13))))</f>
        <v>1000000000000</v>
      </c>
      <c r="CD495" s="182">
        <f ca="1">IF($D495&lt;&gt;"Serviço",0,IF(OR(AND(AUTOEVENTO="Manual",$M495=1),$M495&gt;(ROW(PLE.lastrow)-ROW(PLE.firstrow))),0,IF(OFFSET(PLE!$G$14,$M495,CD$13)="",10^12,OFFSET(PLE!$G$14,$M495,CD$13))))</f>
        <v>1000000000000</v>
      </c>
      <c r="CE495" s="182">
        <f ca="1">IF($D495&lt;&gt;"Serviço",0,IF(OR(AND(AUTOEVENTO="Manual",$M495=1),$M495&gt;(ROW(PLE.lastrow)-ROW(PLE.firstrow))),0,IF(OFFSET(PLE!$G$14,$M495,CE$13)="",10^12,OFFSET(PLE!$G$14,$M495,CE$13))))</f>
        <v>1000000000000</v>
      </c>
      <c r="CF495" s="182">
        <f ca="1">IF($D495&lt;&gt;"Serviço",0,IF(OR(AND(AUTOEVENTO="Manual",$M495=1),$M495&gt;(ROW(PLE.lastrow)-ROW(PLE.firstrow))),0,IF(OFFSET(PLE!$G$14,$M495,CF$13)="",10^12,OFFSET(PLE!$G$14,$M495,CF$13))))</f>
        <v>1000000000000</v>
      </c>
      <c r="CG495" s="182">
        <f ca="1">IF($D495&lt;&gt;"Serviço",0,IF(OR(AND(AUTOEVENTO="Manual",$M495=1),$M495&gt;(ROW(PLE.lastrow)-ROW(PLE.firstrow))),0,IF(OFFSET(PLE!$G$14,$M495,CG$13)="",10^12,OFFSET(PLE!$G$14,$M495,CG$13))))</f>
        <v>1000000000000</v>
      </c>
      <c r="CH495" s="182">
        <f ca="1">IF($D495&lt;&gt;"Serviço",0,IF(OR(AND(AUTOEVENTO="Manual",$M495=1),$M495&gt;(ROW(PLE.lastrow)-ROW(PLE.firstrow))),0,IF(OFFSET(PLE!$G$14,$M495,CH$13)="",10^12,OFFSET(PLE!$G$14,$M495,CH$13))))</f>
        <v>1000000000000</v>
      </c>
      <c r="CI495" s="182">
        <f ca="1">IF($D495&lt;&gt;"Serviço",0,IF(OR(AND(AUTOEVENTO="Manual",$M495=1),$M495&gt;(ROW(PLE.lastrow)-ROW(PLE.firstrow))),0,IF(OFFSET(PLE!$G$14,$M495,CI$13)="",10^12,OFFSET(PLE!$G$14,$M495,CI$13))))</f>
        <v>1000000000000</v>
      </c>
      <c r="CJ495" s="182">
        <f ca="1">IF($D495&lt;&gt;"Serviço",0,IF(OR(AND(AUTOEVENTO="Manual",$M495=1),$M495&gt;(ROW(PLE.lastrow)-ROW(PLE.firstrow))),0,IF(OFFSET(PLE!$G$14,$M495,CJ$13)="",10^12,OFFSET(PLE!$G$14,$M495,CJ$13))))</f>
        <v>1000000000000</v>
      </c>
      <c r="CK495" s="182">
        <f ca="1">IF($D495&lt;&gt;"Serviço",0,IF(OR(AND(AUTOEVENTO="Manual",$M495=1),$M495&gt;(ROW(PLE.lastrow)-ROW(PLE.firstrow))),0,IF(OFFSET(PLE!$G$14,$M495,CK$13)="",10^12,OFFSET(PLE!$G$14,$M495,CK$13))))</f>
        <v>1000000000000</v>
      </c>
      <c r="CL495" s="182">
        <f ca="1">IF($D495&lt;&gt;"Serviço",0,IF(OR(AND(AUTOEVENTO="Manual",$M495=1),$M495&gt;(ROW(PLE.lastrow)-ROW(PLE.firstrow))),0,IF(OFFSET(PLE!$G$14,$M495,CL$13)="",10^12,OFFSET(PLE!$G$14,$M495,CL$13))))</f>
        <v>1000000000000</v>
      </c>
      <c r="CM495" s="182">
        <f ca="1">IF($D495&lt;&gt;"Serviço",0,IF(OR(AND(AUTOEVENTO="Manual",$M495=1),$M495&gt;(ROW(PLE.lastrow)-ROW(PLE.firstrow))),0,IF(OFFSET(PLE!$G$14,$M495,CM$13)="",10^12,OFFSET(PLE!$G$14,$M495,CM$13))))</f>
        <v>1000000000000</v>
      </c>
    </row>
    <row r="496" spans="1:91" ht="25.5" x14ac:dyDescent="0.2">
      <c r="A496" s="7" t="str">
        <f t="shared" ca="1" si="16"/>
        <v>475</v>
      </c>
      <c r="B496" s="7" t="str">
        <f ca="1">OFFSET(ORÇAMENTO!C$15,ROW(B496)-ROW(B$15),0)</f>
        <v>S</v>
      </c>
      <c r="C496" s="7" t="str">
        <f ca="1">OFFSET(ORÇAMENTO!L$15,ROW(C496)-ROW(C$15),0)</f>
        <v/>
      </c>
      <c r="D496" s="118" t="str">
        <f ca="1">OFFSET(ORÇAMENTO!N$15,ROW(D496)-ROW(D$15),0)</f>
        <v>Serviço</v>
      </c>
      <c r="E496" s="119" t="str">
        <f ca="1">OFFSET(ORÇAMENTO!O$15,ROW(E496)-ROW(E$15),0)</f>
        <v>-</v>
      </c>
      <c r="F496" s="172" t="str">
        <f ca="1">OFFSET(ORÇAMENTO!R$15,ROW(F496)-ROW(F$15),0)</f>
        <v>(abra o arquivo 'Referência 06-2024.xlsm)</v>
      </c>
      <c r="G496" s="173" t="str">
        <f ca="1">IF($D496&lt;&gt;"Serviço","",OFFSET(ORÇAMENTO!S$15,ROW(G496)-ROW(G$15),0))</f>
        <v>-</v>
      </c>
      <c r="H496" s="124">
        <f ca="1">IF($D496&lt;&gt;"Serviço",0,IF(ACOMPANHAMENTO="BM",ROUND(OFFSET(ORÇAMENTO!AJ$15,ROW(H496)-ROW(H$15),0),15-13*ORÇAMENTO!$AF$7),SUMPRODUCT(($Q$12:$AI$12&lt;&gt;"")*ROUND($Q496:$AI496,15-13*ORÇAMENTO!$AF$7))))</f>
        <v>253</v>
      </c>
      <c r="I496" s="561" t="s">
        <v>1107</v>
      </c>
      <c r="K496" s="174"/>
      <c r="L496" s="175" t="s">
        <v>255</v>
      </c>
      <c r="M496" s="176">
        <f ca="1">IF($D496&lt;&gt;"Serviço","",IF(AUTOEVENTO="manual",$A496,IF(ISERROR(MATCH($A496,$A$15:OFFSET($A496,-1,0),0)),MAX($M$15:OFFSET(M496,-1,0))+1,INDEX($M$15:OFFSET(M496,-1,0),MATCH($A496,$A$15:OFFSET($A496,-1,0),0)))))</f>
        <v>53</v>
      </c>
      <c r="N496" s="177" t="str">
        <f ca="1">IF($D496&lt;&gt;"Serviço","",IF(AUTOEVENTO="Manual",IF($A496=0,"&lt;-- defina o número do agrupador",OFFSET(EVENTOS!$D$14,$A496,0)),OFFSET($F$15,$A496,0)))</f>
        <v>INSTALAÇÃO ELÉTRICA 110V - ACESSÓRIOS EM GERAL</v>
      </c>
      <c r="O496" s="178"/>
      <c r="Q496" s="178">
        <v>253</v>
      </c>
      <c r="R496" s="179"/>
      <c r="S496" s="179"/>
      <c r="T496" s="179"/>
      <c r="U496" s="179"/>
      <c r="V496" s="179"/>
      <c r="W496" s="179"/>
      <c r="X496" s="179"/>
      <c r="Y496" s="179"/>
      <c r="Z496" s="180"/>
      <c r="AA496" s="179"/>
      <c r="AB496" s="179"/>
      <c r="AC496" s="179"/>
      <c r="AD496" s="179"/>
      <c r="AE496" s="179"/>
      <c r="AF496" s="179"/>
      <c r="AG496" s="179"/>
      <c r="AH496" s="180"/>
      <c r="AJ496" s="544">
        <f ca="1">IF(AND($D496="Serviço",AJ$12&lt;&gt;0,$H496&gt;0,OR(AUTOEVENTO&lt;&gt;"manual",$M496&lt;&gt;1)),
IF(Import.TipoArredondamento&lt;&gt;"TransfereGOV",
ROUND(OFFSET($P496,0,AJ$13),15-13*ORÇAMENTO!$AF$7)/$H496*OFFSET(ORÇAMENTO!$X$15,ROW(AJ496)-ROW(AJ$15),0),
ROUND(ROUND(OFFSET($P496,0,AJ$13),15-13*ORÇAMENTO!$AF$7)*OFFSET(ORÇAMENTO!$W$15,ROW(AJ496)-ROW(AJ$15),0),15-13*ORÇAMENTO!$AF$11)),0)</f>
        <v>0</v>
      </c>
      <c r="AK496" s="545">
        <f ca="1">IF(AND($D496="Serviço",AK$12&lt;&gt;0,$H496&gt;0,OR(AUTOEVENTO&lt;&gt;"manual",$M496&lt;&gt;1)),
IF(Import.TipoArredondamento&lt;&gt;"TransfereGOV",
ROUND(OFFSET($P496,0,AK$13),15-13*ORÇAMENTO!$AF$7)/$H496*OFFSET(ORÇAMENTO!$X$15,ROW(AK496)-ROW(AK$15),0),
ROUND(ROUND(OFFSET($P496,0,AK$13),15-13*ORÇAMENTO!$AF$7)*OFFSET(ORÇAMENTO!$W$15,ROW(AK496)-ROW(AK$15),0),15-13*ORÇAMENTO!$AF$11)),0)</f>
        <v>0</v>
      </c>
      <c r="AL496" s="545">
        <f ca="1">IF(AND($D496="Serviço",AL$12&lt;&gt;0,$H496&gt;0,OR(AUTOEVENTO&lt;&gt;"manual",$M496&lt;&gt;1)),
IF(Import.TipoArredondamento&lt;&gt;"TransfereGOV",
ROUND(OFFSET($P496,0,AL$13),15-13*ORÇAMENTO!$AF$7)/$H496*OFFSET(ORÇAMENTO!$X$15,ROW(AL496)-ROW(AL$15),0),
ROUND(ROUND(OFFSET($P496,0,AL$13),15-13*ORÇAMENTO!$AF$7)*OFFSET(ORÇAMENTO!$W$15,ROW(AL496)-ROW(AL$15),0),15-13*ORÇAMENTO!$AF$11)),0)</f>
        <v>0</v>
      </c>
      <c r="AM496" s="545">
        <f ca="1">IF(AND($D496="Serviço",AM$12&lt;&gt;0,$H496&gt;0,OR(AUTOEVENTO&lt;&gt;"manual",$M496&lt;&gt;1)),
IF(Import.TipoArredondamento&lt;&gt;"TransfereGOV",
ROUND(OFFSET($P496,0,AM$13),15-13*ORÇAMENTO!$AF$7)/$H496*OFFSET(ORÇAMENTO!$X$15,ROW(AM496)-ROW(AM$15),0),
ROUND(ROUND(OFFSET($P496,0,AM$13),15-13*ORÇAMENTO!$AF$7)*OFFSET(ORÇAMENTO!$W$15,ROW(AM496)-ROW(AM$15),0),15-13*ORÇAMENTO!$AF$11)),0)</f>
        <v>0</v>
      </c>
      <c r="AN496" s="545">
        <f ca="1">IF(AND($D496="Serviço",AN$12&lt;&gt;0,$H496&gt;0,OR(AUTOEVENTO&lt;&gt;"manual",$M496&lt;&gt;1)),
IF(Import.TipoArredondamento&lt;&gt;"TransfereGOV",
ROUND(OFFSET($P496,0,AN$13),15-13*ORÇAMENTO!$AF$7)/$H496*OFFSET(ORÇAMENTO!$X$15,ROW(AN496)-ROW(AN$15),0),
ROUND(ROUND(OFFSET($P496,0,AN$13),15-13*ORÇAMENTO!$AF$7)*OFFSET(ORÇAMENTO!$W$15,ROW(AN496)-ROW(AN$15),0),15-13*ORÇAMENTO!$AF$11)),0)</f>
        <v>0</v>
      </c>
      <c r="AO496" s="545">
        <f ca="1">IF(AND($D496="Serviço",AO$12&lt;&gt;0,$H496&gt;0,OR(AUTOEVENTO&lt;&gt;"manual",$M496&lt;&gt;1)),
IF(Import.TipoArredondamento&lt;&gt;"TransfereGOV",
ROUND(OFFSET($P496,0,AO$13),15-13*ORÇAMENTO!$AF$7)/$H496*OFFSET(ORÇAMENTO!$X$15,ROW(AO496)-ROW(AO$15),0),
ROUND(ROUND(OFFSET($P496,0,AO$13),15-13*ORÇAMENTO!$AF$7)*OFFSET(ORÇAMENTO!$W$15,ROW(AO496)-ROW(AO$15),0),15-13*ORÇAMENTO!$AF$11)),0)</f>
        <v>0</v>
      </c>
      <c r="AP496" s="545">
        <f ca="1">IF(AND($D496="Serviço",AP$12&lt;&gt;0,$H496&gt;0,OR(AUTOEVENTO&lt;&gt;"manual",$M496&lt;&gt;1)),
IF(Import.TipoArredondamento&lt;&gt;"TransfereGOV",
ROUND(OFFSET($P496,0,AP$13),15-13*ORÇAMENTO!$AF$7)/$H496*OFFSET(ORÇAMENTO!$X$15,ROW(AP496)-ROW(AP$15),0),
ROUND(ROUND(OFFSET($P496,0,AP$13),15-13*ORÇAMENTO!$AF$7)*OFFSET(ORÇAMENTO!$W$15,ROW(AP496)-ROW(AP$15),0),15-13*ORÇAMENTO!$AF$11)),0)</f>
        <v>0</v>
      </c>
      <c r="AQ496" s="545">
        <f ca="1">IF(AND($D496="Serviço",AQ$12&lt;&gt;0,$H496&gt;0,OR(AUTOEVENTO&lt;&gt;"manual",$M496&lt;&gt;1)),
IF(Import.TipoArredondamento&lt;&gt;"TransfereGOV",
ROUND(OFFSET($P496,0,AQ$13),15-13*ORÇAMENTO!$AF$7)/$H496*OFFSET(ORÇAMENTO!$X$15,ROW(AQ496)-ROW(AQ$15),0),
ROUND(ROUND(OFFSET($P496,0,AQ$13),15-13*ORÇAMENTO!$AF$7)*OFFSET(ORÇAMENTO!$W$15,ROW(AQ496)-ROW(AQ$15),0),15-13*ORÇAMENTO!$AF$11)),0)</f>
        <v>0</v>
      </c>
      <c r="AR496" s="545">
        <f ca="1">IF(AND($D496="Serviço",AR$12&lt;&gt;0,$H496&gt;0,OR(AUTOEVENTO&lt;&gt;"manual",$M496&lt;&gt;1)),
IF(Import.TipoArredondamento&lt;&gt;"TransfereGOV",
ROUND(OFFSET($P496,0,AR$13),15-13*ORÇAMENTO!$AF$7)/$H496*OFFSET(ORÇAMENTO!$X$15,ROW(AR496)-ROW(AR$15),0),
ROUND(ROUND(OFFSET($P496,0,AR$13),15-13*ORÇAMENTO!$AF$7)*OFFSET(ORÇAMENTO!$W$15,ROW(AR496)-ROW(AR$15),0),15-13*ORÇAMENTO!$AF$11)),0)</f>
        <v>0</v>
      </c>
      <c r="AS496" s="546">
        <f ca="1">IF(AND($D496="Serviço",AS$12&lt;&gt;0,$H496&gt;0,OR(AUTOEVENTO&lt;&gt;"manual",$M496&lt;&gt;1)),
IF(Import.TipoArredondamento&lt;&gt;"TransfereGOV",
ROUND(OFFSET($P496,0,AS$13),15-13*ORÇAMENTO!$AF$7)/$H496*OFFSET(ORÇAMENTO!$X$15,ROW(AS496)-ROW(AS$15),0),
ROUND(ROUND(OFFSET($P496,0,AS$13),15-13*ORÇAMENTO!$AF$7)*OFFSET(ORÇAMENTO!$W$15,ROW(AS496)-ROW(AS$15),0),15-13*ORÇAMENTO!$AF$11)),0)</f>
        <v>0</v>
      </c>
      <c r="AT496" s="545">
        <f ca="1">IF(AND($D496="Serviço",AT$12&lt;&gt;0,$H496&gt;0,OR(AUTOEVENTO&lt;&gt;"manual",$M496&lt;&gt;1)),
IF(Import.TipoArredondamento&lt;&gt;"TransfereGOV",
ROUND(OFFSET($P496,0,AT$13),15-13*ORÇAMENTO!$AF$7)/$H496*OFFSET(ORÇAMENTO!$X$15,ROW(AT496)-ROW(AT$15),0),
ROUND(ROUND(OFFSET($P496,0,AT$13),15-13*ORÇAMENTO!$AF$7)*OFFSET(ORÇAMENTO!$W$15,ROW(AT496)-ROW(AT$15),0),15-13*ORÇAMENTO!$AF$11)),0)</f>
        <v>0</v>
      </c>
      <c r="AU496" s="545">
        <f ca="1">IF(AND($D496="Serviço",AU$12&lt;&gt;0,$H496&gt;0,OR(AUTOEVENTO&lt;&gt;"manual",$M496&lt;&gt;1)),
IF(Import.TipoArredondamento&lt;&gt;"TransfereGOV",
ROUND(OFFSET($P496,0,AU$13),15-13*ORÇAMENTO!$AF$7)/$H496*OFFSET(ORÇAMENTO!$X$15,ROW(AU496)-ROW(AU$15),0),
ROUND(ROUND(OFFSET($P496,0,AU$13),15-13*ORÇAMENTO!$AF$7)*OFFSET(ORÇAMENTO!$W$15,ROW(AU496)-ROW(AU$15),0),15-13*ORÇAMENTO!$AF$11)),0)</f>
        <v>0</v>
      </c>
      <c r="AV496" s="545">
        <f ca="1">IF(AND($D496="Serviço",AV$12&lt;&gt;0,$H496&gt;0,OR(AUTOEVENTO&lt;&gt;"manual",$M496&lt;&gt;1)),
IF(Import.TipoArredondamento&lt;&gt;"TransfereGOV",
ROUND(OFFSET($P496,0,AV$13),15-13*ORÇAMENTO!$AF$7)/$H496*OFFSET(ORÇAMENTO!$X$15,ROW(AV496)-ROW(AV$15),0),
ROUND(ROUND(OFFSET($P496,0,AV$13),15-13*ORÇAMENTO!$AF$7)*OFFSET(ORÇAMENTO!$W$15,ROW(AV496)-ROW(AV$15),0),15-13*ORÇAMENTO!$AF$11)),0)</f>
        <v>0</v>
      </c>
      <c r="AW496" s="545">
        <f ca="1">IF(AND($D496="Serviço",AW$12&lt;&gt;0,$H496&gt;0,OR(AUTOEVENTO&lt;&gt;"manual",$M496&lt;&gt;1)),
IF(Import.TipoArredondamento&lt;&gt;"TransfereGOV",
ROUND(OFFSET($P496,0,AW$13),15-13*ORÇAMENTO!$AF$7)/$H496*OFFSET(ORÇAMENTO!$X$15,ROW(AW496)-ROW(AW$15),0),
ROUND(ROUND(OFFSET($P496,0,AW$13),15-13*ORÇAMENTO!$AF$7)*OFFSET(ORÇAMENTO!$W$15,ROW(AW496)-ROW(AW$15),0),15-13*ORÇAMENTO!$AF$11)),0)</f>
        <v>0</v>
      </c>
      <c r="AX496" s="545">
        <f ca="1">IF(AND($D496="Serviço",AX$12&lt;&gt;0,$H496&gt;0,OR(AUTOEVENTO&lt;&gt;"manual",$M496&lt;&gt;1)),
IF(Import.TipoArredondamento&lt;&gt;"TransfereGOV",
ROUND(OFFSET($P496,0,AX$13),15-13*ORÇAMENTO!$AF$7)/$H496*OFFSET(ORÇAMENTO!$X$15,ROW(AX496)-ROW(AX$15),0),
ROUND(ROUND(OFFSET($P496,0,AX$13),15-13*ORÇAMENTO!$AF$7)*OFFSET(ORÇAMENTO!$W$15,ROW(AX496)-ROW(AX$15),0),15-13*ORÇAMENTO!$AF$11)),0)</f>
        <v>0</v>
      </c>
      <c r="AY496" s="545">
        <f ca="1">IF(AND($D496="Serviço",AY$12&lt;&gt;0,$H496&gt;0,OR(AUTOEVENTO&lt;&gt;"manual",$M496&lt;&gt;1)),
IF(Import.TipoArredondamento&lt;&gt;"TransfereGOV",
ROUND(OFFSET($P496,0,AY$13),15-13*ORÇAMENTO!$AF$7)/$H496*OFFSET(ORÇAMENTO!$X$15,ROW(AY496)-ROW(AY$15),0),
ROUND(ROUND(OFFSET($P496,0,AY$13),15-13*ORÇAMENTO!$AF$7)*OFFSET(ORÇAMENTO!$W$15,ROW(AY496)-ROW(AY$15),0),15-13*ORÇAMENTO!$AF$11)),0)</f>
        <v>0</v>
      </c>
      <c r="AZ496" s="545">
        <f ca="1">IF(AND($D496="Serviço",AZ$12&lt;&gt;0,$H496&gt;0,OR(AUTOEVENTO&lt;&gt;"manual",$M496&lt;&gt;1)),
IF(Import.TipoArredondamento&lt;&gt;"TransfereGOV",
ROUND(OFFSET($P496,0,AZ$13),15-13*ORÇAMENTO!$AF$7)/$H496*OFFSET(ORÇAMENTO!$X$15,ROW(AZ496)-ROW(AZ$15),0),
ROUND(ROUND(OFFSET($P496,0,AZ$13),15-13*ORÇAMENTO!$AF$7)*OFFSET(ORÇAMENTO!$W$15,ROW(AZ496)-ROW(AZ$15),0),15-13*ORÇAMENTO!$AF$11)),0)</f>
        <v>0</v>
      </c>
      <c r="BA496" s="546">
        <f ca="1">IF(AND($D496="Serviço",BA$12&lt;&gt;0,$H496&gt;0,OR(AUTOEVENTO&lt;&gt;"manual",$M496&lt;&gt;1)),
IF(Import.TipoArredondamento&lt;&gt;"TransfereGOV",
ROUND(OFFSET($P496,0,BA$13),15-13*ORÇAMENTO!$AF$7)/$H496*OFFSET(ORÇAMENTO!$X$15,ROW(BA496)-ROW(BA$15),0),
ROUND(ROUND(OFFSET($P496,0,BA$13),15-13*ORÇAMENTO!$AF$7)*OFFSET(ORÇAMENTO!$W$15,ROW(BA496)-ROW(BA$15),0),15-13*ORÇAMENTO!$AF$11)),0)</f>
        <v>0</v>
      </c>
      <c r="BC496" s="181">
        <f ca="1">IF($D496&lt;&gt;"Serviço",0,IF(AND(AUTOEVENTO="Manual",$M496=1),0,IF(OFFSET(CRONOPLE!$F$14,$M496,BC$13)="",10^12,OFFSET(CRONOPLE!$F$14,$M496,BC$13))))</f>
        <v>10</v>
      </c>
      <c r="BD496" s="181">
        <f ca="1">IF($D496&lt;&gt;"Serviço",0,IF(AND(AUTOEVENTO="Manual",$M496=1),0,IF(OFFSET(CRONOPLE!$F$14,$M496,BD$13)="",10^12,OFFSET(CRONOPLE!$F$14,$M496,BD$13))))</f>
        <v>1000000000000</v>
      </c>
      <c r="BE496" s="181">
        <f ca="1">IF($D496&lt;&gt;"Serviço",0,IF(AND(AUTOEVENTO="Manual",$M496=1),0,IF(OFFSET(CRONOPLE!$F$14,$M496,BE$13)="",10^12,OFFSET(CRONOPLE!$F$14,$M496,BE$13))))</f>
        <v>1000000000000</v>
      </c>
      <c r="BF496" s="181">
        <f ca="1">IF($D496&lt;&gt;"Serviço",0,IF(AND(AUTOEVENTO="Manual",$M496=1),0,IF(OFFSET(CRONOPLE!$F$14,$M496,BF$13)="",10^12,OFFSET(CRONOPLE!$F$14,$M496,BF$13))))</f>
        <v>1000000000000</v>
      </c>
      <c r="BG496" s="181">
        <f ca="1">IF($D496&lt;&gt;"Serviço",0,IF(AND(AUTOEVENTO="Manual",$M496=1),0,IF(OFFSET(CRONOPLE!$F$14,$M496,BG$13)="",10^12,OFFSET(CRONOPLE!$F$14,$M496,BG$13))))</f>
        <v>1000000000000</v>
      </c>
      <c r="BH496" s="181">
        <f ca="1">IF($D496&lt;&gt;"Serviço",0,IF(AND(AUTOEVENTO="Manual",$M496=1),0,IF(OFFSET(CRONOPLE!$F$14,$M496,BH$13)="",10^12,OFFSET(CRONOPLE!$F$14,$M496,BH$13))))</f>
        <v>1000000000000</v>
      </c>
      <c r="BI496" s="181">
        <f ca="1">IF($D496&lt;&gt;"Serviço",0,IF(AND(AUTOEVENTO="Manual",$M496=1),0,IF(OFFSET(CRONOPLE!$F$14,$M496,BI$13)="",10^12,OFFSET(CRONOPLE!$F$14,$M496,BI$13))))</f>
        <v>1000000000000</v>
      </c>
      <c r="BJ496" s="181">
        <f ca="1">IF($D496&lt;&gt;"Serviço",0,IF(AND(AUTOEVENTO="Manual",$M496=1),0,IF(OFFSET(CRONOPLE!$F$14,$M496,BJ$13)="",10^12,OFFSET(CRONOPLE!$F$14,$M496,BJ$13))))</f>
        <v>1000000000000</v>
      </c>
      <c r="BK496" s="181">
        <f ca="1">IF($D496&lt;&gt;"Serviço",0,IF(AND(AUTOEVENTO="Manual",$M496=1),0,IF(OFFSET(CRONOPLE!$F$14,$M496,BK$13)="",10^12,OFFSET(CRONOPLE!$F$14,$M496,BK$13))))</f>
        <v>1000000000000</v>
      </c>
      <c r="BL496" s="181">
        <f ca="1">IF($D496&lt;&gt;"Serviço",0,IF(AND(AUTOEVENTO="Manual",$M496=1),0,IF(OFFSET(CRONOPLE!$F$14,$M496,BL$13)="",10^12,OFFSET(CRONOPLE!$F$14,$M496,BL$13))))</f>
        <v>1000000000000</v>
      </c>
      <c r="BM496" s="181">
        <f ca="1">IF($D496&lt;&gt;"Serviço",0,IF(AND(AUTOEVENTO="Manual",$M496=1),0,IF(OFFSET(CRONOPLE!$F$14,$M496,BM$13)="",10^12,OFFSET(CRONOPLE!$F$14,$M496,BM$13))))</f>
        <v>1000000000000</v>
      </c>
      <c r="BN496" s="181">
        <f ca="1">IF($D496&lt;&gt;"Serviço",0,IF(AND(AUTOEVENTO="Manual",$M496=1),0,IF(OFFSET(CRONOPLE!$F$14,$M496,BN$13)="",10^12,OFFSET(CRONOPLE!$F$14,$M496,BN$13))))</f>
        <v>1000000000000</v>
      </c>
      <c r="BO496" s="181">
        <f ca="1">IF($D496&lt;&gt;"Serviço",0,IF(AND(AUTOEVENTO="Manual",$M496=1),0,IF(OFFSET(CRONOPLE!$F$14,$M496,BO$13)="",10^12,OFFSET(CRONOPLE!$F$14,$M496,BO$13))))</f>
        <v>1000000000000</v>
      </c>
      <c r="BP496" s="181">
        <f ca="1">IF($D496&lt;&gt;"Serviço",0,IF(AND(AUTOEVENTO="Manual",$M496=1),0,IF(OFFSET(CRONOPLE!$F$14,$M496,BP$13)="",10^12,OFFSET(CRONOPLE!$F$14,$M496,BP$13))))</f>
        <v>1000000000000</v>
      </c>
      <c r="BQ496" s="181">
        <f ca="1">IF($D496&lt;&gt;"Serviço",0,IF(AND(AUTOEVENTO="Manual",$M496=1),0,IF(OFFSET(CRONOPLE!$F$14,$M496,BQ$13)="",10^12,OFFSET(CRONOPLE!$F$14,$M496,BQ$13))))</f>
        <v>1000000000000</v>
      </c>
      <c r="BR496" s="181">
        <f ca="1">IF($D496&lt;&gt;"Serviço",0,IF(AND(AUTOEVENTO="Manual",$M496=1),0,IF(OFFSET(CRONOPLE!$F$14,$M496,BR$13)="",10^12,OFFSET(CRONOPLE!$F$14,$M496,BR$13))))</f>
        <v>1000000000000</v>
      </c>
      <c r="BS496" s="181">
        <f ca="1">IF($D496&lt;&gt;"Serviço",0,IF(AND(AUTOEVENTO="Manual",$M496=1),0,IF(OFFSET(CRONOPLE!$F$14,$M496,BS$13)="",10^12,OFFSET(CRONOPLE!$F$14,$M496,BS$13))))</f>
        <v>1000000000000</v>
      </c>
      <c r="BT496" s="181">
        <f ca="1">IF($D496&lt;&gt;"Serviço",0,IF(AND(AUTOEVENTO="Manual",$M496=1),0,IF(OFFSET(CRONOPLE!$F$14,$M496,BT$13)="",10^12,OFFSET(CRONOPLE!$F$14,$M496,BT$13))))</f>
        <v>1000000000000</v>
      </c>
      <c r="BV496" s="182">
        <f ca="1">IF($D496&lt;&gt;"Serviço",0,IF(OR(AND(AUTOEVENTO="Manual",$M496=1),$M496&gt;(ROW(PLE.lastrow)-ROW(PLE.firstrow))),0,IF(OFFSET(PLE!$G$14,$M496,BV$13)="",10^12,OFFSET(PLE!$G$14,$M496,BV$13))))</f>
        <v>1000000000000</v>
      </c>
      <c r="BW496" s="182">
        <f ca="1">IF($D496&lt;&gt;"Serviço",0,IF(OR(AND(AUTOEVENTO="Manual",$M496=1),$M496&gt;(ROW(PLE.lastrow)-ROW(PLE.firstrow))),0,IF(OFFSET(PLE!$G$14,$M496,BW$13)="",10^12,OFFSET(PLE!$G$14,$M496,BW$13))))</f>
        <v>1000000000000</v>
      </c>
      <c r="BX496" s="182">
        <f ca="1">IF($D496&lt;&gt;"Serviço",0,IF(OR(AND(AUTOEVENTO="Manual",$M496=1),$M496&gt;(ROW(PLE.lastrow)-ROW(PLE.firstrow))),0,IF(OFFSET(PLE!$G$14,$M496,BX$13)="",10^12,OFFSET(PLE!$G$14,$M496,BX$13))))</f>
        <v>1000000000000</v>
      </c>
      <c r="BY496" s="182">
        <f ca="1">IF($D496&lt;&gt;"Serviço",0,IF(OR(AND(AUTOEVENTO="Manual",$M496=1),$M496&gt;(ROW(PLE.lastrow)-ROW(PLE.firstrow))),0,IF(OFFSET(PLE!$G$14,$M496,BY$13)="",10^12,OFFSET(PLE!$G$14,$M496,BY$13))))</f>
        <v>1000000000000</v>
      </c>
      <c r="BZ496" s="182">
        <f ca="1">IF($D496&lt;&gt;"Serviço",0,IF(OR(AND(AUTOEVENTO="Manual",$M496=1),$M496&gt;(ROW(PLE.lastrow)-ROW(PLE.firstrow))),0,IF(OFFSET(PLE!$G$14,$M496,BZ$13)="",10^12,OFFSET(PLE!$G$14,$M496,BZ$13))))</f>
        <v>1000000000000</v>
      </c>
      <c r="CA496" s="182">
        <f ca="1">IF($D496&lt;&gt;"Serviço",0,IF(OR(AND(AUTOEVENTO="Manual",$M496=1),$M496&gt;(ROW(PLE.lastrow)-ROW(PLE.firstrow))),0,IF(OFFSET(PLE!$G$14,$M496,CA$13)="",10^12,OFFSET(PLE!$G$14,$M496,CA$13))))</f>
        <v>1000000000000</v>
      </c>
      <c r="CB496" s="182">
        <f ca="1">IF($D496&lt;&gt;"Serviço",0,IF(OR(AND(AUTOEVENTO="Manual",$M496=1),$M496&gt;(ROW(PLE.lastrow)-ROW(PLE.firstrow))),0,IF(OFFSET(PLE!$G$14,$M496,CB$13)="",10^12,OFFSET(PLE!$G$14,$M496,CB$13))))</f>
        <v>1000000000000</v>
      </c>
      <c r="CC496" s="182">
        <f ca="1">IF($D496&lt;&gt;"Serviço",0,IF(OR(AND(AUTOEVENTO="Manual",$M496=1),$M496&gt;(ROW(PLE.lastrow)-ROW(PLE.firstrow))),0,IF(OFFSET(PLE!$G$14,$M496,CC$13)="",10^12,OFFSET(PLE!$G$14,$M496,CC$13))))</f>
        <v>1000000000000</v>
      </c>
      <c r="CD496" s="182">
        <f ca="1">IF($D496&lt;&gt;"Serviço",0,IF(OR(AND(AUTOEVENTO="Manual",$M496=1),$M496&gt;(ROW(PLE.lastrow)-ROW(PLE.firstrow))),0,IF(OFFSET(PLE!$G$14,$M496,CD$13)="",10^12,OFFSET(PLE!$G$14,$M496,CD$13))))</f>
        <v>1000000000000</v>
      </c>
      <c r="CE496" s="182">
        <f ca="1">IF($D496&lt;&gt;"Serviço",0,IF(OR(AND(AUTOEVENTO="Manual",$M496=1),$M496&gt;(ROW(PLE.lastrow)-ROW(PLE.firstrow))),0,IF(OFFSET(PLE!$G$14,$M496,CE$13)="",10^12,OFFSET(PLE!$G$14,$M496,CE$13))))</f>
        <v>1000000000000</v>
      </c>
      <c r="CF496" s="182">
        <f ca="1">IF($D496&lt;&gt;"Serviço",0,IF(OR(AND(AUTOEVENTO="Manual",$M496=1),$M496&gt;(ROW(PLE.lastrow)-ROW(PLE.firstrow))),0,IF(OFFSET(PLE!$G$14,$M496,CF$13)="",10^12,OFFSET(PLE!$G$14,$M496,CF$13))))</f>
        <v>1000000000000</v>
      </c>
      <c r="CG496" s="182">
        <f ca="1">IF($D496&lt;&gt;"Serviço",0,IF(OR(AND(AUTOEVENTO="Manual",$M496=1),$M496&gt;(ROW(PLE.lastrow)-ROW(PLE.firstrow))),0,IF(OFFSET(PLE!$G$14,$M496,CG$13)="",10^12,OFFSET(PLE!$G$14,$M496,CG$13))))</f>
        <v>1000000000000</v>
      </c>
      <c r="CH496" s="182">
        <f ca="1">IF($D496&lt;&gt;"Serviço",0,IF(OR(AND(AUTOEVENTO="Manual",$M496=1),$M496&gt;(ROW(PLE.lastrow)-ROW(PLE.firstrow))),0,IF(OFFSET(PLE!$G$14,$M496,CH$13)="",10^12,OFFSET(PLE!$G$14,$M496,CH$13))))</f>
        <v>1000000000000</v>
      </c>
      <c r="CI496" s="182">
        <f ca="1">IF($D496&lt;&gt;"Serviço",0,IF(OR(AND(AUTOEVENTO="Manual",$M496=1),$M496&gt;(ROW(PLE.lastrow)-ROW(PLE.firstrow))),0,IF(OFFSET(PLE!$G$14,$M496,CI$13)="",10^12,OFFSET(PLE!$G$14,$M496,CI$13))))</f>
        <v>1000000000000</v>
      </c>
      <c r="CJ496" s="182">
        <f ca="1">IF($D496&lt;&gt;"Serviço",0,IF(OR(AND(AUTOEVENTO="Manual",$M496=1),$M496&gt;(ROW(PLE.lastrow)-ROW(PLE.firstrow))),0,IF(OFFSET(PLE!$G$14,$M496,CJ$13)="",10^12,OFFSET(PLE!$G$14,$M496,CJ$13))))</f>
        <v>1000000000000</v>
      </c>
      <c r="CK496" s="182">
        <f ca="1">IF($D496&lt;&gt;"Serviço",0,IF(OR(AND(AUTOEVENTO="Manual",$M496=1),$M496&gt;(ROW(PLE.lastrow)-ROW(PLE.firstrow))),0,IF(OFFSET(PLE!$G$14,$M496,CK$13)="",10^12,OFFSET(PLE!$G$14,$M496,CK$13))))</f>
        <v>1000000000000</v>
      </c>
      <c r="CL496" s="182">
        <f ca="1">IF($D496&lt;&gt;"Serviço",0,IF(OR(AND(AUTOEVENTO="Manual",$M496=1),$M496&gt;(ROW(PLE.lastrow)-ROW(PLE.firstrow))),0,IF(OFFSET(PLE!$G$14,$M496,CL$13)="",10^12,OFFSET(PLE!$G$14,$M496,CL$13))))</f>
        <v>1000000000000</v>
      </c>
      <c r="CM496" s="182">
        <f ca="1">IF($D496&lt;&gt;"Serviço",0,IF(OR(AND(AUTOEVENTO="Manual",$M496=1),$M496&gt;(ROW(PLE.lastrow)-ROW(PLE.firstrow))),0,IF(OFFSET(PLE!$G$14,$M496,CM$13)="",10^12,OFFSET(PLE!$G$14,$M496,CM$13))))</f>
        <v>1000000000000</v>
      </c>
    </row>
    <row r="497" spans="1:91" ht="25.5" x14ac:dyDescent="0.2">
      <c r="A497" s="7" t="str">
        <f t="shared" ca="1" si="16"/>
        <v>475</v>
      </c>
      <c r="B497" s="7" t="str">
        <f ca="1">OFFSET(ORÇAMENTO!C$15,ROW(B497)-ROW(B$15),0)</f>
        <v>S</v>
      </c>
      <c r="C497" s="7" t="str">
        <f ca="1">OFFSET(ORÇAMENTO!L$15,ROW(C497)-ROW(C$15),0)</f>
        <v/>
      </c>
      <c r="D497" s="118" t="str">
        <f ca="1">OFFSET(ORÇAMENTO!N$15,ROW(D497)-ROW(D$15),0)</f>
        <v>Serviço</v>
      </c>
      <c r="E497" s="119" t="str">
        <f ca="1">OFFSET(ORÇAMENTO!O$15,ROW(E497)-ROW(E$15),0)</f>
        <v>-</v>
      </c>
      <c r="F497" s="172" t="str">
        <f ca="1">OFFSET(ORÇAMENTO!R$15,ROW(F497)-ROW(F$15),0)</f>
        <v>(abra o arquivo 'Referência 06-2024.xlsm)</v>
      </c>
      <c r="G497" s="173" t="str">
        <f ca="1">IF($D497&lt;&gt;"Serviço","",OFFSET(ORÇAMENTO!S$15,ROW(G497)-ROW(G$15),0))</f>
        <v>-</v>
      </c>
      <c r="H497" s="124">
        <f ca="1">IF($D497&lt;&gt;"Serviço",0,IF(ACOMPANHAMENTO="BM",ROUND(OFFSET(ORÇAMENTO!AJ$15,ROW(H497)-ROW(H$15),0),15-13*ORÇAMENTO!$AF$7),SUMPRODUCT(($Q$12:$AI$12&lt;&gt;"")*ROUND($Q497:$AI497,15-13*ORÇAMENTO!$AF$7))))</f>
        <v>1</v>
      </c>
      <c r="I497" s="561" t="s">
        <v>1107</v>
      </c>
      <c r="K497" s="174"/>
      <c r="L497" s="175" t="s">
        <v>255</v>
      </c>
      <c r="M497" s="176">
        <f ca="1">IF($D497&lt;&gt;"Serviço","",IF(AUTOEVENTO="manual",$A497,IF(ISERROR(MATCH($A497,$A$15:OFFSET($A497,-1,0),0)),MAX($M$15:OFFSET(M497,-1,0))+1,INDEX($M$15:OFFSET(M497,-1,0),MATCH($A497,$A$15:OFFSET($A497,-1,0),0)))))</f>
        <v>53</v>
      </c>
      <c r="N497" s="177" t="str">
        <f ca="1">IF($D497&lt;&gt;"Serviço","",IF(AUTOEVENTO="Manual",IF($A497=0,"&lt;-- defina o número do agrupador",OFFSET(EVENTOS!$D$14,$A497,0)),OFFSET($F$15,$A497,0)))</f>
        <v>INSTALAÇÃO ELÉTRICA 110V - ACESSÓRIOS EM GERAL</v>
      </c>
      <c r="O497" s="178"/>
      <c r="Q497" s="178">
        <v>1</v>
      </c>
      <c r="R497" s="179"/>
      <c r="S497" s="179"/>
      <c r="T497" s="179"/>
      <c r="U497" s="179"/>
      <c r="V497" s="179"/>
      <c r="W497" s="179"/>
      <c r="X497" s="179"/>
      <c r="Y497" s="179"/>
      <c r="Z497" s="180"/>
      <c r="AA497" s="179"/>
      <c r="AB497" s="179"/>
      <c r="AC497" s="179"/>
      <c r="AD497" s="179"/>
      <c r="AE497" s="179"/>
      <c r="AF497" s="179"/>
      <c r="AG497" s="179"/>
      <c r="AH497" s="180"/>
      <c r="AJ497" s="544">
        <f ca="1">IF(AND($D497="Serviço",AJ$12&lt;&gt;0,$H497&gt;0,OR(AUTOEVENTO&lt;&gt;"manual",$M497&lt;&gt;1)),
IF(Import.TipoArredondamento&lt;&gt;"TransfereGOV",
ROUND(OFFSET($P497,0,AJ$13),15-13*ORÇAMENTO!$AF$7)/$H497*OFFSET(ORÇAMENTO!$X$15,ROW(AJ497)-ROW(AJ$15),0),
ROUND(ROUND(OFFSET($P497,0,AJ$13),15-13*ORÇAMENTO!$AF$7)*OFFSET(ORÇAMENTO!$W$15,ROW(AJ497)-ROW(AJ$15),0),15-13*ORÇAMENTO!$AF$11)),0)</f>
        <v>0</v>
      </c>
      <c r="AK497" s="545">
        <f ca="1">IF(AND($D497="Serviço",AK$12&lt;&gt;0,$H497&gt;0,OR(AUTOEVENTO&lt;&gt;"manual",$M497&lt;&gt;1)),
IF(Import.TipoArredondamento&lt;&gt;"TransfereGOV",
ROUND(OFFSET($P497,0,AK$13),15-13*ORÇAMENTO!$AF$7)/$H497*OFFSET(ORÇAMENTO!$X$15,ROW(AK497)-ROW(AK$15),0),
ROUND(ROUND(OFFSET($P497,0,AK$13),15-13*ORÇAMENTO!$AF$7)*OFFSET(ORÇAMENTO!$W$15,ROW(AK497)-ROW(AK$15),0),15-13*ORÇAMENTO!$AF$11)),0)</f>
        <v>0</v>
      </c>
      <c r="AL497" s="545">
        <f ca="1">IF(AND($D497="Serviço",AL$12&lt;&gt;0,$H497&gt;0,OR(AUTOEVENTO&lt;&gt;"manual",$M497&lt;&gt;1)),
IF(Import.TipoArredondamento&lt;&gt;"TransfereGOV",
ROUND(OFFSET($P497,0,AL$13),15-13*ORÇAMENTO!$AF$7)/$H497*OFFSET(ORÇAMENTO!$X$15,ROW(AL497)-ROW(AL$15),0),
ROUND(ROUND(OFFSET($P497,0,AL$13),15-13*ORÇAMENTO!$AF$7)*OFFSET(ORÇAMENTO!$W$15,ROW(AL497)-ROW(AL$15),0),15-13*ORÇAMENTO!$AF$11)),0)</f>
        <v>0</v>
      </c>
      <c r="AM497" s="545">
        <f ca="1">IF(AND($D497="Serviço",AM$12&lt;&gt;0,$H497&gt;0,OR(AUTOEVENTO&lt;&gt;"manual",$M497&lt;&gt;1)),
IF(Import.TipoArredondamento&lt;&gt;"TransfereGOV",
ROUND(OFFSET($P497,0,AM$13),15-13*ORÇAMENTO!$AF$7)/$H497*OFFSET(ORÇAMENTO!$X$15,ROW(AM497)-ROW(AM$15),0),
ROUND(ROUND(OFFSET($P497,0,AM$13),15-13*ORÇAMENTO!$AF$7)*OFFSET(ORÇAMENTO!$W$15,ROW(AM497)-ROW(AM$15),0),15-13*ORÇAMENTO!$AF$11)),0)</f>
        <v>0</v>
      </c>
      <c r="AN497" s="545">
        <f ca="1">IF(AND($D497="Serviço",AN$12&lt;&gt;0,$H497&gt;0,OR(AUTOEVENTO&lt;&gt;"manual",$M497&lt;&gt;1)),
IF(Import.TipoArredondamento&lt;&gt;"TransfereGOV",
ROUND(OFFSET($P497,0,AN$13),15-13*ORÇAMENTO!$AF$7)/$H497*OFFSET(ORÇAMENTO!$X$15,ROW(AN497)-ROW(AN$15),0),
ROUND(ROUND(OFFSET($P497,0,AN$13),15-13*ORÇAMENTO!$AF$7)*OFFSET(ORÇAMENTO!$W$15,ROW(AN497)-ROW(AN$15),0),15-13*ORÇAMENTO!$AF$11)),0)</f>
        <v>0</v>
      </c>
      <c r="AO497" s="545">
        <f ca="1">IF(AND($D497="Serviço",AO$12&lt;&gt;0,$H497&gt;0,OR(AUTOEVENTO&lt;&gt;"manual",$M497&lt;&gt;1)),
IF(Import.TipoArredondamento&lt;&gt;"TransfereGOV",
ROUND(OFFSET($P497,0,AO$13),15-13*ORÇAMENTO!$AF$7)/$H497*OFFSET(ORÇAMENTO!$X$15,ROW(AO497)-ROW(AO$15),0),
ROUND(ROUND(OFFSET($P497,0,AO$13),15-13*ORÇAMENTO!$AF$7)*OFFSET(ORÇAMENTO!$W$15,ROW(AO497)-ROW(AO$15),0),15-13*ORÇAMENTO!$AF$11)),0)</f>
        <v>0</v>
      </c>
      <c r="AP497" s="545">
        <f ca="1">IF(AND($D497="Serviço",AP$12&lt;&gt;0,$H497&gt;0,OR(AUTOEVENTO&lt;&gt;"manual",$M497&lt;&gt;1)),
IF(Import.TipoArredondamento&lt;&gt;"TransfereGOV",
ROUND(OFFSET($P497,0,AP$13),15-13*ORÇAMENTO!$AF$7)/$H497*OFFSET(ORÇAMENTO!$X$15,ROW(AP497)-ROW(AP$15),0),
ROUND(ROUND(OFFSET($P497,0,AP$13),15-13*ORÇAMENTO!$AF$7)*OFFSET(ORÇAMENTO!$W$15,ROW(AP497)-ROW(AP$15),0),15-13*ORÇAMENTO!$AF$11)),0)</f>
        <v>0</v>
      </c>
      <c r="AQ497" s="545">
        <f ca="1">IF(AND($D497="Serviço",AQ$12&lt;&gt;0,$H497&gt;0,OR(AUTOEVENTO&lt;&gt;"manual",$M497&lt;&gt;1)),
IF(Import.TipoArredondamento&lt;&gt;"TransfereGOV",
ROUND(OFFSET($P497,0,AQ$13),15-13*ORÇAMENTO!$AF$7)/$H497*OFFSET(ORÇAMENTO!$X$15,ROW(AQ497)-ROW(AQ$15),0),
ROUND(ROUND(OFFSET($P497,0,AQ$13),15-13*ORÇAMENTO!$AF$7)*OFFSET(ORÇAMENTO!$W$15,ROW(AQ497)-ROW(AQ$15),0),15-13*ORÇAMENTO!$AF$11)),0)</f>
        <v>0</v>
      </c>
      <c r="AR497" s="545">
        <f ca="1">IF(AND($D497="Serviço",AR$12&lt;&gt;0,$H497&gt;0,OR(AUTOEVENTO&lt;&gt;"manual",$M497&lt;&gt;1)),
IF(Import.TipoArredondamento&lt;&gt;"TransfereGOV",
ROUND(OFFSET($P497,0,AR$13),15-13*ORÇAMENTO!$AF$7)/$H497*OFFSET(ORÇAMENTO!$X$15,ROW(AR497)-ROW(AR$15),0),
ROUND(ROUND(OFFSET($P497,0,AR$13),15-13*ORÇAMENTO!$AF$7)*OFFSET(ORÇAMENTO!$W$15,ROW(AR497)-ROW(AR$15),0),15-13*ORÇAMENTO!$AF$11)),0)</f>
        <v>0</v>
      </c>
      <c r="AS497" s="546">
        <f ca="1">IF(AND($D497="Serviço",AS$12&lt;&gt;0,$H497&gt;0,OR(AUTOEVENTO&lt;&gt;"manual",$M497&lt;&gt;1)),
IF(Import.TipoArredondamento&lt;&gt;"TransfereGOV",
ROUND(OFFSET($P497,0,AS$13),15-13*ORÇAMENTO!$AF$7)/$H497*OFFSET(ORÇAMENTO!$X$15,ROW(AS497)-ROW(AS$15),0),
ROUND(ROUND(OFFSET($P497,0,AS$13),15-13*ORÇAMENTO!$AF$7)*OFFSET(ORÇAMENTO!$W$15,ROW(AS497)-ROW(AS$15),0),15-13*ORÇAMENTO!$AF$11)),0)</f>
        <v>0</v>
      </c>
      <c r="AT497" s="545">
        <f ca="1">IF(AND($D497="Serviço",AT$12&lt;&gt;0,$H497&gt;0,OR(AUTOEVENTO&lt;&gt;"manual",$M497&lt;&gt;1)),
IF(Import.TipoArredondamento&lt;&gt;"TransfereGOV",
ROUND(OFFSET($P497,0,AT$13),15-13*ORÇAMENTO!$AF$7)/$H497*OFFSET(ORÇAMENTO!$X$15,ROW(AT497)-ROW(AT$15),0),
ROUND(ROUND(OFFSET($P497,0,AT$13),15-13*ORÇAMENTO!$AF$7)*OFFSET(ORÇAMENTO!$W$15,ROW(AT497)-ROW(AT$15),0),15-13*ORÇAMENTO!$AF$11)),0)</f>
        <v>0</v>
      </c>
      <c r="AU497" s="545">
        <f ca="1">IF(AND($D497="Serviço",AU$12&lt;&gt;0,$H497&gt;0,OR(AUTOEVENTO&lt;&gt;"manual",$M497&lt;&gt;1)),
IF(Import.TipoArredondamento&lt;&gt;"TransfereGOV",
ROUND(OFFSET($P497,0,AU$13),15-13*ORÇAMENTO!$AF$7)/$H497*OFFSET(ORÇAMENTO!$X$15,ROW(AU497)-ROW(AU$15),0),
ROUND(ROUND(OFFSET($P497,0,AU$13),15-13*ORÇAMENTO!$AF$7)*OFFSET(ORÇAMENTO!$W$15,ROW(AU497)-ROW(AU$15),0),15-13*ORÇAMENTO!$AF$11)),0)</f>
        <v>0</v>
      </c>
      <c r="AV497" s="545">
        <f ca="1">IF(AND($D497="Serviço",AV$12&lt;&gt;0,$H497&gt;0,OR(AUTOEVENTO&lt;&gt;"manual",$M497&lt;&gt;1)),
IF(Import.TipoArredondamento&lt;&gt;"TransfereGOV",
ROUND(OFFSET($P497,0,AV$13),15-13*ORÇAMENTO!$AF$7)/$H497*OFFSET(ORÇAMENTO!$X$15,ROW(AV497)-ROW(AV$15),0),
ROUND(ROUND(OFFSET($P497,0,AV$13),15-13*ORÇAMENTO!$AF$7)*OFFSET(ORÇAMENTO!$W$15,ROW(AV497)-ROW(AV$15),0),15-13*ORÇAMENTO!$AF$11)),0)</f>
        <v>0</v>
      </c>
      <c r="AW497" s="545">
        <f ca="1">IF(AND($D497="Serviço",AW$12&lt;&gt;0,$H497&gt;0,OR(AUTOEVENTO&lt;&gt;"manual",$M497&lt;&gt;1)),
IF(Import.TipoArredondamento&lt;&gt;"TransfereGOV",
ROUND(OFFSET($P497,0,AW$13),15-13*ORÇAMENTO!$AF$7)/$H497*OFFSET(ORÇAMENTO!$X$15,ROW(AW497)-ROW(AW$15),0),
ROUND(ROUND(OFFSET($P497,0,AW$13),15-13*ORÇAMENTO!$AF$7)*OFFSET(ORÇAMENTO!$W$15,ROW(AW497)-ROW(AW$15),0),15-13*ORÇAMENTO!$AF$11)),0)</f>
        <v>0</v>
      </c>
      <c r="AX497" s="545">
        <f ca="1">IF(AND($D497="Serviço",AX$12&lt;&gt;0,$H497&gt;0,OR(AUTOEVENTO&lt;&gt;"manual",$M497&lt;&gt;1)),
IF(Import.TipoArredondamento&lt;&gt;"TransfereGOV",
ROUND(OFFSET($P497,0,AX$13),15-13*ORÇAMENTO!$AF$7)/$H497*OFFSET(ORÇAMENTO!$X$15,ROW(AX497)-ROW(AX$15),0),
ROUND(ROUND(OFFSET($P497,0,AX$13),15-13*ORÇAMENTO!$AF$7)*OFFSET(ORÇAMENTO!$W$15,ROW(AX497)-ROW(AX$15),0),15-13*ORÇAMENTO!$AF$11)),0)</f>
        <v>0</v>
      </c>
      <c r="AY497" s="545">
        <f ca="1">IF(AND($D497="Serviço",AY$12&lt;&gt;0,$H497&gt;0,OR(AUTOEVENTO&lt;&gt;"manual",$M497&lt;&gt;1)),
IF(Import.TipoArredondamento&lt;&gt;"TransfereGOV",
ROUND(OFFSET($P497,0,AY$13),15-13*ORÇAMENTO!$AF$7)/$H497*OFFSET(ORÇAMENTO!$X$15,ROW(AY497)-ROW(AY$15),0),
ROUND(ROUND(OFFSET($P497,0,AY$13),15-13*ORÇAMENTO!$AF$7)*OFFSET(ORÇAMENTO!$W$15,ROW(AY497)-ROW(AY$15),0),15-13*ORÇAMENTO!$AF$11)),0)</f>
        <v>0</v>
      </c>
      <c r="AZ497" s="545">
        <f ca="1">IF(AND($D497="Serviço",AZ$12&lt;&gt;0,$H497&gt;0,OR(AUTOEVENTO&lt;&gt;"manual",$M497&lt;&gt;1)),
IF(Import.TipoArredondamento&lt;&gt;"TransfereGOV",
ROUND(OFFSET($P497,0,AZ$13),15-13*ORÇAMENTO!$AF$7)/$H497*OFFSET(ORÇAMENTO!$X$15,ROW(AZ497)-ROW(AZ$15),0),
ROUND(ROUND(OFFSET($P497,0,AZ$13),15-13*ORÇAMENTO!$AF$7)*OFFSET(ORÇAMENTO!$W$15,ROW(AZ497)-ROW(AZ$15),0),15-13*ORÇAMENTO!$AF$11)),0)</f>
        <v>0</v>
      </c>
      <c r="BA497" s="546">
        <f ca="1">IF(AND($D497="Serviço",BA$12&lt;&gt;0,$H497&gt;0,OR(AUTOEVENTO&lt;&gt;"manual",$M497&lt;&gt;1)),
IF(Import.TipoArredondamento&lt;&gt;"TransfereGOV",
ROUND(OFFSET($P497,0,BA$13),15-13*ORÇAMENTO!$AF$7)/$H497*OFFSET(ORÇAMENTO!$X$15,ROW(BA497)-ROW(BA$15),0),
ROUND(ROUND(OFFSET($P497,0,BA$13),15-13*ORÇAMENTO!$AF$7)*OFFSET(ORÇAMENTO!$W$15,ROW(BA497)-ROW(BA$15),0),15-13*ORÇAMENTO!$AF$11)),0)</f>
        <v>0</v>
      </c>
      <c r="BC497" s="181">
        <f ca="1">IF($D497&lt;&gt;"Serviço",0,IF(AND(AUTOEVENTO="Manual",$M497=1),0,IF(OFFSET(CRONOPLE!$F$14,$M497,BC$13)="",10^12,OFFSET(CRONOPLE!$F$14,$M497,BC$13))))</f>
        <v>10</v>
      </c>
      <c r="BD497" s="181">
        <f ca="1">IF($D497&lt;&gt;"Serviço",0,IF(AND(AUTOEVENTO="Manual",$M497=1),0,IF(OFFSET(CRONOPLE!$F$14,$M497,BD$13)="",10^12,OFFSET(CRONOPLE!$F$14,$M497,BD$13))))</f>
        <v>1000000000000</v>
      </c>
      <c r="BE497" s="181">
        <f ca="1">IF($D497&lt;&gt;"Serviço",0,IF(AND(AUTOEVENTO="Manual",$M497=1),0,IF(OFFSET(CRONOPLE!$F$14,$M497,BE$13)="",10^12,OFFSET(CRONOPLE!$F$14,$M497,BE$13))))</f>
        <v>1000000000000</v>
      </c>
      <c r="BF497" s="181">
        <f ca="1">IF($D497&lt;&gt;"Serviço",0,IF(AND(AUTOEVENTO="Manual",$M497=1),0,IF(OFFSET(CRONOPLE!$F$14,$M497,BF$13)="",10^12,OFFSET(CRONOPLE!$F$14,$M497,BF$13))))</f>
        <v>1000000000000</v>
      </c>
      <c r="BG497" s="181">
        <f ca="1">IF($D497&lt;&gt;"Serviço",0,IF(AND(AUTOEVENTO="Manual",$M497=1),0,IF(OFFSET(CRONOPLE!$F$14,$M497,BG$13)="",10^12,OFFSET(CRONOPLE!$F$14,$M497,BG$13))))</f>
        <v>1000000000000</v>
      </c>
      <c r="BH497" s="181">
        <f ca="1">IF($D497&lt;&gt;"Serviço",0,IF(AND(AUTOEVENTO="Manual",$M497=1),0,IF(OFFSET(CRONOPLE!$F$14,$M497,BH$13)="",10^12,OFFSET(CRONOPLE!$F$14,$M497,BH$13))))</f>
        <v>1000000000000</v>
      </c>
      <c r="BI497" s="181">
        <f ca="1">IF($D497&lt;&gt;"Serviço",0,IF(AND(AUTOEVENTO="Manual",$M497=1),0,IF(OFFSET(CRONOPLE!$F$14,$M497,BI$13)="",10^12,OFFSET(CRONOPLE!$F$14,$M497,BI$13))))</f>
        <v>1000000000000</v>
      </c>
      <c r="BJ497" s="181">
        <f ca="1">IF($D497&lt;&gt;"Serviço",0,IF(AND(AUTOEVENTO="Manual",$M497=1),0,IF(OFFSET(CRONOPLE!$F$14,$M497,BJ$13)="",10^12,OFFSET(CRONOPLE!$F$14,$M497,BJ$13))))</f>
        <v>1000000000000</v>
      </c>
      <c r="BK497" s="181">
        <f ca="1">IF($D497&lt;&gt;"Serviço",0,IF(AND(AUTOEVENTO="Manual",$M497=1),0,IF(OFFSET(CRONOPLE!$F$14,$M497,BK$13)="",10^12,OFFSET(CRONOPLE!$F$14,$M497,BK$13))))</f>
        <v>1000000000000</v>
      </c>
      <c r="BL497" s="181">
        <f ca="1">IF($D497&lt;&gt;"Serviço",0,IF(AND(AUTOEVENTO="Manual",$M497=1),0,IF(OFFSET(CRONOPLE!$F$14,$M497,BL$13)="",10^12,OFFSET(CRONOPLE!$F$14,$M497,BL$13))))</f>
        <v>1000000000000</v>
      </c>
      <c r="BM497" s="181">
        <f ca="1">IF($D497&lt;&gt;"Serviço",0,IF(AND(AUTOEVENTO="Manual",$M497=1),0,IF(OFFSET(CRONOPLE!$F$14,$M497,BM$13)="",10^12,OFFSET(CRONOPLE!$F$14,$M497,BM$13))))</f>
        <v>1000000000000</v>
      </c>
      <c r="BN497" s="181">
        <f ca="1">IF($D497&lt;&gt;"Serviço",0,IF(AND(AUTOEVENTO="Manual",$M497=1),0,IF(OFFSET(CRONOPLE!$F$14,$M497,BN$13)="",10^12,OFFSET(CRONOPLE!$F$14,$M497,BN$13))))</f>
        <v>1000000000000</v>
      </c>
      <c r="BO497" s="181">
        <f ca="1">IF($D497&lt;&gt;"Serviço",0,IF(AND(AUTOEVENTO="Manual",$M497=1),0,IF(OFFSET(CRONOPLE!$F$14,$M497,BO$13)="",10^12,OFFSET(CRONOPLE!$F$14,$M497,BO$13))))</f>
        <v>1000000000000</v>
      </c>
      <c r="BP497" s="181">
        <f ca="1">IF($D497&lt;&gt;"Serviço",0,IF(AND(AUTOEVENTO="Manual",$M497=1),0,IF(OFFSET(CRONOPLE!$F$14,$M497,BP$13)="",10^12,OFFSET(CRONOPLE!$F$14,$M497,BP$13))))</f>
        <v>1000000000000</v>
      </c>
      <c r="BQ497" s="181">
        <f ca="1">IF($D497&lt;&gt;"Serviço",0,IF(AND(AUTOEVENTO="Manual",$M497=1),0,IF(OFFSET(CRONOPLE!$F$14,$M497,BQ$13)="",10^12,OFFSET(CRONOPLE!$F$14,$M497,BQ$13))))</f>
        <v>1000000000000</v>
      </c>
      <c r="BR497" s="181">
        <f ca="1">IF($D497&lt;&gt;"Serviço",0,IF(AND(AUTOEVENTO="Manual",$M497=1),0,IF(OFFSET(CRONOPLE!$F$14,$M497,BR$13)="",10^12,OFFSET(CRONOPLE!$F$14,$M497,BR$13))))</f>
        <v>1000000000000</v>
      </c>
      <c r="BS497" s="181">
        <f ca="1">IF($D497&lt;&gt;"Serviço",0,IF(AND(AUTOEVENTO="Manual",$M497=1),0,IF(OFFSET(CRONOPLE!$F$14,$M497,BS$13)="",10^12,OFFSET(CRONOPLE!$F$14,$M497,BS$13))))</f>
        <v>1000000000000</v>
      </c>
      <c r="BT497" s="181">
        <f ca="1">IF($D497&lt;&gt;"Serviço",0,IF(AND(AUTOEVENTO="Manual",$M497=1),0,IF(OFFSET(CRONOPLE!$F$14,$M497,BT$13)="",10^12,OFFSET(CRONOPLE!$F$14,$M497,BT$13))))</f>
        <v>1000000000000</v>
      </c>
      <c r="BV497" s="182">
        <f ca="1">IF($D497&lt;&gt;"Serviço",0,IF(OR(AND(AUTOEVENTO="Manual",$M497=1),$M497&gt;(ROW(PLE.lastrow)-ROW(PLE.firstrow))),0,IF(OFFSET(PLE!$G$14,$M497,BV$13)="",10^12,OFFSET(PLE!$G$14,$M497,BV$13))))</f>
        <v>1000000000000</v>
      </c>
      <c r="BW497" s="182">
        <f ca="1">IF($D497&lt;&gt;"Serviço",0,IF(OR(AND(AUTOEVENTO="Manual",$M497=1),$M497&gt;(ROW(PLE.lastrow)-ROW(PLE.firstrow))),0,IF(OFFSET(PLE!$G$14,$M497,BW$13)="",10^12,OFFSET(PLE!$G$14,$M497,BW$13))))</f>
        <v>1000000000000</v>
      </c>
      <c r="BX497" s="182">
        <f ca="1">IF($D497&lt;&gt;"Serviço",0,IF(OR(AND(AUTOEVENTO="Manual",$M497=1),$M497&gt;(ROW(PLE.lastrow)-ROW(PLE.firstrow))),0,IF(OFFSET(PLE!$G$14,$M497,BX$13)="",10^12,OFFSET(PLE!$G$14,$M497,BX$13))))</f>
        <v>1000000000000</v>
      </c>
      <c r="BY497" s="182">
        <f ca="1">IF($D497&lt;&gt;"Serviço",0,IF(OR(AND(AUTOEVENTO="Manual",$M497=1),$M497&gt;(ROW(PLE.lastrow)-ROW(PLE.firstrow))),0,IF(OFFSET(PLE!$G$14,$M497,BY$13)="",10^12,OFFSET(PLE!$G$14,$M497,BY$13))))</f>
        <v>1000000000000</v>
      </c>
      <c r="BZ497" s="182">
        <f ca="1">IF($D497&lt;&gt;"Serviço",0,IF(OR(AND(AUTOEVENTO="Manual",$M497=1),$M497&gt;(ROW(PLE.lastrow)-ROW(PLE.firstrow))),0,IF(OFFSET(PLE!$G$14,$M497,BZ$13)="",10^12,OFFSET(PLE!$G$14,$M497,BZ$13))))</f>
        <v>1000000000000</v>
      </c>
      <c r="CA497" s="182">
        <f ca="1">IF($D497&lt;&gt;"Serviço",0,IF(OR(AND(AUTOEVENTO="Manual",$M497=1),$M497&gt;(ROW(PLE.lastrow)-ROW(PLE.firstrow))),0,IF(OFFSET(PLE!$G$14,$M497,CA$13)="",10^12,OFFSET(PLE!$G$14,$M497,CA$13))))</f>
        <v>1000000000000</v>
      </c>
      <c r="CB497" s="182">
        <f ca="1">IF($D497&lt;&gt;"Serviço",0,IF(OR(AND(AUTOEVENTO="Manual",$M497=1),$M497&gt;(ROW(PLE.lastrow)-ROW(PLE.firstrow))),0,IF(OFFSET(PLE!$G$14,$M497,CB$13)="",10^12,OFFSET(PLE!$G$14,$M497,CB$13))))</f>
        <v>1000000000000</v>
      </c>
      <c r="CC497" s="182">
        <f ca="1">IF($D497&lt;&gt;"Serviço",0,IF(OR(AND(AUTOEVENTO="Manual",$M497=1),$M497&gt;(ROW(PLE.lastrow)-ROW(PLE.firstrow))),0,IF(OFFSET(PLE!$G$14,$M497,CC$13)="",10^12,OFFSET(PLE!$G$14,$M497,CC$13))))</f>
        <v>1000000000000</v>
      </c>
      <c r="CD497" s="182">
        <f ca="1">IF($D497&lt;&gt;"Serviço",0,IF(OR(AND(AUTOEVENTO="Manual",$M497=1),$M497&gt;(ROW(PLE.lastrow)-ROW(PLE.firstrow))),0,IF(OFFSET(PLE!$G$14,$M497,CD$13)="",10^12,OFFSET(PLE!$G$14,$M497,CD$13))))</f>
        <v>1000000000000</v>
      </c>
      <c r="CE497" s="182">
        <f ca="1">IF($D497&lt;&gt;"Serviço",0,IF(OR(AND(AUTOEVENTO="Manual",$M497=1),$M497&gt;(ROW(PLE.lastrow)-ROW(PLE.firstrow))),0,IF(OFFSET(PLE!$G$14,$M497,CE$13)="",10^12,OFFSET(PLE!$G$14,$M497,CE$13))))</f>
        <v>1000000000000</v>
      </c>
      <c r="CF497" s="182">
        <f ca="1">IF($D497&lt;&gt;"Serviço",0,IF(OR(AND(AUTOEVENTO="Manual",$M497=1),$M497&gt;(ROW(PLE.lastrow)-ROW(PLE.firstrow))),0,IF(OFFSET(PLE!$G$14,$M497,CF$13)="",10^12,OFFSET(PLE!$G$14,$M497,CF$13))))</f>
        <v>1000000000000</v>
      </c>
      <c r="CG497" s="182">
        <f ca="1">IF($D497&lt;&gt;"Serviço",0,IF(OR(AND(AUTOEVENTO="Manual",$M497=1),$M497&gt;(ROW(PLE.lastrow)-ROW(PLE.firstrow))),0,IF(OFFSET(PLE!$G$14,$M497,CG$13)="",10^12,OFFSET(PLE!$G$14,$M497,CG$13))))</f>
        <v>1000000000000</v>
      </c>
      <c r="CH497" s="182">
        <f ca="1">IF($D497&lt;&gt;"Serviço",0,IF(OR(AND(AUTOEVENTO="Manual",$M497=1),$M497&gt;(ROW(PLE.lastrow)-ROW(PLE.firstrow))),0,IF(OFFSET(PLE!$G$14,$M497,CH$13)="",10^12,OFFSET(PLE!$G$14,$M497,CH$13))))</f>
        <v>1000000000000</v>
      </c>
      <c r="CI497" s="182">
        <f ca="1">IF($D497&lt;&gt;"Serviço",0,IF(OR(AND(AUTOEVENTO="Manual",$M497=1),$M497&gt;(ROW(PLE.lastrow)-ROW(PLE.firstrow))),0,IF(OFFSET(PLE!$G$14,$M497,CI$13)="",10^12,OFFSET(PLE!$G$14,$M497,CI$13))))</f>
        <v>1000000000000</v>
      </c>
      <c r="CJ497" s="182">
        <f ca="1">IF($D497&lt;&gt;"Serviço",0,IF(OR(AND(AUTOEVENTO="Manual",$M497=1),$M497&gt;(ROW(PLE.lastrow)-ROW(PLE.firstrow))),0,IF(OFFSET(PLE!$G$14,$M497,CJ$13)="",10^12,OFFSET(PLE!$G$14,$M497,CJ$13))))</f>
        <v>1000000000000</v>
      </c>
      <c r="CK497" s="182">
        <f ca="1">IF($D497&lt;&gt;"Serviço",0,IF(OR(AND(AUTOEVENTO="Manual",$M497=1),$M497&gt;(ROW(PLE.lastrow)-ROW(PLE.firstrow))),0,IF(OFFSET(PLE!$G$14,$M497,CK$13)="",10^12,OFFSET(PLE!$G$14,$M497,CK$13))))</f>
        <v>1000000000000</v>
      </c>
      <c r="CL497" s="182">
        <f ca="1">IF($D497&lt;&gt;"Serviço",0,IF(OR(AND(AUTOEVENTO="Manual",$M497=1),$M497&gt;(ROW(PLE.lastrow)-ROW(PLE.firstrow))),0,IF(OFFSET(PLE!$G$14,$M497,CL$13)="",10^12,OFFSET(PLE!$G$14,$M497,CL$13))))</f>
        <v>1000000000000</v>
      </c>
      <c r="CM497" s="182">
        <f ca="1">IF($D497&lt;&gt;"Serviço",0,IF(OR(AND(AUTOEVENTO="Manual",$M497=1),$M497&gt;(ROW(PLE.lastrow)-ROW(PLE.firstrow))),0,IF(OFFSET(PLE!$G$14,$M497,CM$13)="",10^12,OFFSET(PLE!$G$14,$M497,CM$13))))</f>
        <v>1000000000000</v>
      </c>
    </row>
    <row r="498" spans="1:91" ht="25.5" x14ac:dyDescent="0.2">
      <c r="A498" s="7" t="str">
        <f t="shared" ca="1" si="16"/>
        <v>475</v>
      </c>
      <c r="B498" s="7" t="str">
        <f ca="1">OFFSET(ORÇAMENTO!C$15,ROW(B498)-ROW(B$15),0)</f>
        <v>S</v>
      </c>
      <c r="C498" s="7" t="str">
        <f ca="1">OFFSET(ORÇAMENTO!L$15,ROW(C498)-ROW(C$15),0)</f>
        <v/>
      </c>
      <c r="D498" s="118" t="str">
        <f ca="1">OFFSET(ORÇAMENTO!N$15,ROW(D498)-ROW(D$15),0)</f>
        <v>Serviço</v>
      </c>
      <c r="E498" s="119" t="str">
        <f ca="1">OFFSET(ORÇAMENTO!O$15,ROW(E498)-ROW(E$15),0)</f>
        <v>-</v>
      </c>
      <c r="F498" s="172" t="str">
        <f ca="1">OFFSET(ORÇAMENTO!R$15,ROW(F498)-ROW(F$15),0)</f>
        <v>(abra o arquivo 'Referência 06-2024.xlsm)</v>
      </c>
      <c r="G498" s="173" t="str">
        <f ca="1">IF($D498&lt;&gt;"Serviço","",OFFSET(ORÇAMENTO!S$15,ROW(G498)-ROW(G$15),0))</f>
        <v>-</v>
      </c>
      <c r="H498" s="124">
        <f ca="1">IF($D498&lt;&gt;"Serviço",0,IF(ACOMPANHAMENTO="BM",ROUND(OFFSET(ORÇAMENTO!AJ$15,ROW(H498)-ROW(H$15),0),15-13*ORÇAMENTO!$AF$7),SUMPRODUCT(($Q$12:$AI$12&lt;&gt;"")*ROUND($Q498:$AI498,15-13*ORÇAMENTO!$AF$7))))</f>
        <v>1</v>
      </c>
      <c r="I498" s="561" t="s">
        <v>1107</v>
      </c>
      <c r="K498" s="174"/>
      <c r="L498" s="175" t="s">
        <v>255</v>
      </c>
      <c r="M498" s="176">
        <f ca="1">IF($D498&lt;&gt;"Serviço","",IF(AUTOEVENTO="manual",$A498,IF(ISERROR(MATCH($A498,$A$15:OFFSET($A498,-1,0),0)),MAX($M$15:OFFSET(M498,-1,0))+1,INDEX($M$15:OFFSET(M498,-1,0),MATCH($A498,$A$15:OFFSET($A498,-1,0),0)))))</f>
        <v>53</v>
      </c>
      <c r="N498" s="177" t="str">
        <f ca="1">IF($D498&lt;&gt;"Serviço","",IF(AUTOEVENTO="Manual",IF($A498=0,"&lt;-- defina o número do agrupador",OFFSET(EVENTOS!$D$14,$A498,0)),OFFSET($F$15,$A498,0)))</f>
        <v>INSTALAÇÃO ELÉTRICA 110V - ACESSÓRIOS EM GERAL</v>
      </c>
      <c r="O498" s="178"/>
      <c r="Q498" s="178">
        <v>1</v>
      </c>
      <c r="R498" s="179"/>
      <c r="S498" s="179"/>
      <c r="T498" s="179"/>
      <c r="U498" s="179"/>
      <c r="V498" s="179"/>
      <c r="W498" s="179"/>
      <c r="X498" s="179"/>
      <c r="Y498" s="179"/>
      <c r="Z498" s="180"/>
      <c r="AA498" s="179"/>
      <c r="AB498" s="179"/>
      <c r="AC498" s="179"/>
      <c r="AD498" s="179"/>
      <c r="AE498" s="179"/>
      <c r="AF498" s="179"/>
      <c r="AG498" s="179"/>
      <c r="AH498" s="180"/>
      <c r="AJ498" s="544">
        <f ca="1">IF(AND($D498="Serviço",AJ$12&lt;&gt;0,$H498&gt;0,OR(AUTOEVENTO&lt;&gt;"manual",$M498&lt;&gt;1)),
IF(Import.TipoArredondamento&lt;&gt;"TransfereGOV",
ROUND(OFFSET($P498,0,AJ$13),15-13*ORÇAMENTO!$AF$7)/$H498*OFFSET(ORÇAMENTO!$X$15,ROW(AJ498)-ROW(AJ$15),0),
ROUND(ROUND(OFFSET($P498,0,AJ$13),15-13*ORÇAMENTO!$AF$7)*OFFSET(ORÇAMENTO!$W$15,ROW(AJ498)-ROW(AJ$15),0),15-13*ORÇAMENTO!$AF$11)),0)</f>
        <v>0</v>
      </c>
      <c r="AK498" s="545">
        <f ca="1">IF(AND($D498="Serviço",AK$12&lt;&gt;0,$H498&gt;0,OR(AUTOEVENTO&lt;&gt;"manual",$M498&lt;&gt;1)),
IF(Import.TipoArredondamento&lt;&gt;"TransfereGOV",
ROUND(OFFSET($P498,0,AK$13),15-13*ORÇAMENTO!$AF$7)/$H498*OFFSET(ORÇAMENTO!$X$15,ROW(AK498)-ROW(AK$15),0),
ROUND(ROUND(OFFSET($P498,0,AK$13),15-13*ORÇAMENTO!$AF$7)*OFFSET(ORÇAMENTO!$W$15,ROW(AK498)-ROW(AK$15),0),15-13*ORÇAMENTO!$AF$11)),0)</f>
        <v>0</v>
      </c>
      <c r="AL498" s="545">
        <f ca="1">IF(AND($D498="Serviço",AL$12&lt;&gt;0,$H498&gt;0,OR(AUTOEVENTO&lt;&gt;"manual",$M498&lt;&gt;1)),
IF(Import.TipoArredondamento&lt;&gt;"TransfereGOV",
ROUND(OFFSET($P498,0,AL$13),15-13*ORÇAMENTO!$AF$7)/$H498*OFFSET(ORÇAMENTO!$X$15,ROW(AL498)-ROW(AL$15),0),
ROUND(ROUND(OFFSET($P498,0,AL$13),15-13*ORÇAMENTO!$AF$7)*OFFSET(ORÇAMENTO!$W$15,ROW(AL498)-ROW(AL$15),0),15-13*ORÇAMENTO!$AF$11)),0)</f>
        <v>0</v>
      </c>
      <c r="AM498" s="545">
        <f ca="1">IF(AND($D498="Serviço",AM$12&lt;&gt;0,$H498&gt;0,OR(AUTOEVENTO&lt;&gt;"manual",$M498&lt;&gt;1)),
IF(Import.TipoArredondamento&lt;&gt;"TransfereGOV",
ROUND(OFFSET($P498,0,AM$13),15-13*ORÇAMENTO!$AF$7)/$H498*OFFSET(ORÇAMENTO!$X$15,ROW(AM498)-ROW(AM$15),0),
ROUND(ROUND(OFFSET($P498,0,AM$13),15-13*ORÇAMENTO!$AF$7)*OFFSET(ORÇAMENTO!$W$15,ROW(AM498)-ROW(AM$15),0),15-13*ORÇAMENTO!$AF$11)),0)</f>
        <v>0</v>
      </c>
      <c r="AN498" s="545">
        <f ca="1">IF(AND($D498="Serviço",AN$12&lt;&gt;0,$H498&gt;0,OR(AUTOEVENTO&lt;&gt;"manual",$M498&lt;&gt;1)),
IF(Import.TipoArredondamento&lt;&gt;"TransfereGOV",
ROUND(OFFSET($P498,0,AN$13),15-13*ORÇAMENTO!$AF$7)/$H498*OFFSET(ORÇAMENTO!$X$15,ROW(AN498)-ROW(AN$15),0),
ROUND(ROUND(OFFSET($P498,0,AN$13),15-13*ORÇAMENTO!$AF$7)*OFFSET(ORÇAMENTO!$W$15,ROW(AN498)-ROW(AN$15),0),15-13*ORÇAMENTO!$AF$11)),0)</f>
        <v>0</v>
      </c>
      <c r="AO498" s="545">
        <f ca="1">IF(AND($D498="Serviço",AO$12&lt;&gt;0,$H498&gt;0,OR(AUTOEVENTO&lt;&gt;"manual",$M498&lt;&gt;1)),
IF(Import.TipoArredondamento&lt;&gt;"TransfereGOV",
ROUND(OFFSET($P498,0,AO$13),15-13*ORÇAMENTO!$AF$7)/$H498*OFFSET(ORÇAMENTO!$X$15,ROW(AO498)-ROW(AO$15),0),
ROUND(ROUND(OFFSET($P498,0,AO$13),15-13*ORÇAMENTO!$AF$7)*OFFSET(ORÇAMENTO!$W$15,ROW(AO498)-ROW(AO$15),0),15-13*ORÇAMENTO!$AF$11)),0)</f>
        <v>0</v>
      </c>
      <c r="AP498" s="545">
        <f ca="1">IF(AND($D498="Serviço",AP$12&lt;&gt;0,$H498&gt;0,OR(AUTOEVENTO&lt;&gt;"manual",$M498&lt;&gt;1)),
IF(Import.TipoArredondamento&lt;&gt;"TransfereGOV",
ROUND(OFFSET($P498,0,AP$13),15-13*ORÇAMENTO!$AF$7)/$H498*OFFSET(ORÇAMENTO!$X$15,ROW(AP498)-ROW(AP$15),0),
ROUND(ROUND(OFFSET($P498,0,AP$13),15-13*ORÇAMENTO!$AF$7)*OFFSET(ORÇAMENTO!$W$15,ROW(AP498)-ROW(AP$15),0),15-13*ORÇAMENTO!$AF$11)),0)</f>
        <v>0</v>
      </c>
      <c r="AQ498" s="545">
        <f ca="1">IF(AND($D498="Serviço",AQ$12&lt;&gt;0,$H498&gt;0,OR(AUTOEVENTO&lt;&gt;"manual",$M498&lt;&gt;1)),
IF(Import.TipoArredondamento&lt;&gt;"TransfereGOV",
ROUND(OFFSET($P498,0,AQ$13),15-13*ORÇAMENTO!$AF$7)/$H498*OFFSET(ORÇAMENTO!$X$15,ROW(AQ498)-ROW(AQ$15),0),
ROUND(ROUND(OFFSET($P498,0,AQ$13),15-13*ORÇAMENTO!$AF$7)*OFFSET(ORÇAMENTO!$W$15,ROW(AQ498)-ROW(AQ$15),0),15-13*ORÇAMENTO!$AF$11)),0)</f>
        <v>0</v>
      </c>
      <c r="AR498" s="545">
        <f ca="1">IF(AND($D498="Serviço",AR$12&lt;&gt;0,$H498&gt;0,OR(AUTOEVENTO&lt;&gt;"manual",$M498&lt;&gt;1)),
IF(Import.TipoArredondamento&lt;&gt;"TransfereGOV",
ROUND(OFFSET($P498,0,AR$13),15-13*ORÇAMENTO!$AF$7)/$H498*OFFSET(ORÇAMENTO!$X$15,ROW(AR498)-ROW(AR$15),0),
ROUND(ROUND(OFFSET($P498,0,AR$13),15-13*ORÇAMENTO!$AF$7)*OFFSET(ORÇAMENTO!$W$15,ROW(AR498)-ROW(AR$15),0),15-13*ORÇAMENTO!$AF$11)),0)</f>
        <v>0</v>
      </c>
      <c r="AS498" s="546">
        <f ca="1">IF(AND($D498="Serviço",AS$12&lt;&gt;0,$H498&gt;0,OR(AUTOEVENTO&lt;&gt;"manual",$M498&lt;&gt;1)),
IF(Import.TipoArredondamento&lt;&gt;"TransfereGOV",
ROUND(OFFSET($P498,0,AS$13),15-13*ORÇAMENTO!$AF$7)/$H498*OFFSET(ORÇAMENTO!$X$15,ROW(AS498)-ROW(AS$15),0),
ROUND(ROUND(OFFSET($P498,0,AS$13),15-13*ORÇAMENTO!$AF$7)*OFFSET(ORÇAMENTO!$W$15,ROW(AS498)-ROW(AS$15),0),15-13*ORÇAMENTO!$AF$11)),0)</f>
        <v>0</v>
      </c>
      <c r="AT498" s="545">
        <f ca="1">IF(AND($D498="Serviço",AT$12&lt;&gt;0,$H498&gt;0,OR(AUTOEVENTO&lt;&gt;"manual",$M498&lt;&gt;1)),
IF(Import.TipoArredondamento&lt;&gt;"TransfereGOV",
ROUND(OFFSET($P498,0,AT$13),15-13*ORÇAMENTO!$AF$7)/$H498*OFFSET(ORÇAMENTO!$X$15,ROW(AT498)-ROW(AT$15),0),
ROUND(ROUND(OFFSET($P498,0,AT$13),15-13*ORÇAMENTO!$AF$7)*OFFSET(ORÇAMENTO!$W$15,ROW(AT498)-ROW(AT$15),0),15-13*ORÇAMENTO!$AF$11)),0)</f>
        <v>0</v>
      </c>
      <c r="AU498" s="545">
        <f ca="1">IF(AND($D498="Serviço",AU$12&lt;&gt;0,$H498&gt;0,OR(AUTOEVENTO&lt;&gt;"manual",$M498&lt;&gt;1)),
IF(Import.TipoArredondamento&lt;&gt;"TransfereGOV",
ROUND(OFFSET($P498,0,AU$13),15-13*ORÇAMENTO!$AF$7)/$H498*OFFSET(ORÇAMENTO!$X$15,ROW(AU498)-ROW(AU$15),0),
ROUND(ROUND(OFFSET($P498,0,AU$13),15-13*ORÇAMENTO!$AF$7)*OFFSET(ORÇAMENTO!$W$15,ROW(AU498)-ROW(AU$15),0),15-13*ORÇAMENTO!$AF$11)),0)</f>
        <v>0</v>
      </c>
      <c r="AV498" s="545">
        <f ca="1">IF(AND($D498="Serviço",AV$12&lt;&gt;0,$H498&gt;0,OR(AUTOEVENTO&lt;&gt;"manual",$M498&lt;&gt;1)),
IF(Import.TipoArredondamento&lt;&gt;"TransfereGOV",
ROUND(OFFSET($P498,0,AV$13),15-13*ORÇAMENTO!$AF$7)/$H498*OFFSET(ORÇAMENTO!$X$15,ROW(AV498)-ROW(AV$15),0),
ROUND(ROUND(OFFSET($P498,0,AV$13),15-13*ORÇAMENTO!$AF$7)*OFFSET(ORÇAMENTO!$W$15,ROW(AV498)-ROW(AV$15),0),15-13*ORÇAMENTO!$AF$11)),0)</f>
        <v>0</v>
      </c>
      <c r="AW498" s="545">
        <f ca="1">IF(AND($D498="Serviço",AW$12&lt;&gt;0,$H498&gt;0,OR(AUTOEVENTO&lt;&gt;"manual",$M498&lt;&gt;1)),
IF(Import.TipoArredondamento&lt;&gt;"TransfereGOV",
ROUND(OFFSET($P498,0,AW$13),15-13*ORÇAMENTO!$AF$7)/$H498*OFFSET(ORÇAMENTO!$X$15,ROW(AW498)-ROW(AW$15),0),
ROUND(ROUND(OFFSET($P498,0,AW$13),15-13*ORÇAMENTO!$AF$7)*OFFSET(ORÇAMENTO!$W$15,ROW(AW498)-ROW(AW$15),0),15-13*ORÇAMENTO!$AF$11)),0)</f>
        <v>0</v>
      </c>
      <c r="AX498" s="545">
        <f ca="1">IF(AND($D498="Serviço",AX$12&lt;&gt;0,$H498&gt;0,OR(AUTOEVENTO&lt;&gt;"manual",$M498&lt;&gt;1)),
IF(Import.TipoArredondamento&lt;&gt;"TransfereGOV",
ROUND(OFFSET($P498,0,AX$13),15-13*ORÇAMENTO!$AF$7)/$H498*OFFSET(ORÇAMENTO!$X$15,ROW(AX498)-ROW(AX$15),0),
ROUND(ROUND(OFFSET($P498,0,AX$13),15-13*ORÇAMENTO!$AF$7)*OFFSET(ORÇAMENTO!$W$15,ROW(AX498)-ROW(AX$15),0),15-13*ORÇAMENTO!$AF$11)),0)</f>
        <v>0</v>
      </c>
      <c r="AY498" s="545">
        <f ca="1">IF(AND($D498="Serviço",AY$12&lt;&gt;0,$H498&gt;0,OR(AUTOEVENTO&lt;&gt;"manual",$M498&lt;&gt;1)),
IF(Import.TipoArredondamento&lt;&gt;"TransfereGOV",
ROUND(OFFSET($P498,0,AY$13),15-13*ORÇAMENTO!$AF$7)/$H498*OFFSET(ORÇAMENTO!$X$15,ROW(AY498)-ROW(AY$15),0),
ROUND(ROUND(OFFSET($P498,0,AY$13),15-13*ORÇAMENTO!$AF$7)*OFFSET(ORÇAMENTO!$W$15,ROW(AY498)-ROW(AY$15),0),15-13*ORÇAMENTO!$AF$11)),0)</f>
        <v>0</v>
      </c>
      <c r="AZ498" s="545">
        <f ca="1">IF(AND($D498="Serviço",AZ$12&lt;&gt;0,$H498&gt;0,OR(AUTOEVENTO&lt;&gt;"manual",$M498&lt;&gt;1)),
IF(Import.TipoArredondamento&lt;&gt;"TransfereGOV",
ROUND(OFFSET($P498,0,AZ$13),15-13*ORÇAMENTO!$AF$7)/$H498*OFFSET(ORÇAMENTO!$X$15,ROW(AZ498)-ROW(AZ$15),0),
ROUND(ROUND(OFFSET($P498,0,AZ$13),15-13*ORÇAMENTO!$AF$7)*OFFSET(ORÇAMENTO!$W$15,ROW(AZ498)-ROW(AZ$15),0),15-13*ORÇAMENTO!$AF$11)),0)</f>
        <v>0</v>
      </c>
      <c r="BA498" s="546">
        <f ca="1">IF(AND($D498="Serviço",BA$12&lt;&gt;0,$H498&gt;0,OR(AUTOEVENTO&lt;&gt;"manual",$M498&lt;&gt;1)),
IF(Import.TipoArredondamento&lt;&gt;"TransfereGOV",
ROUND(OFFSET($P498,0,BA$13),15-13*ORÇAMENTO!$AF$7)/$H498*OFFSET(ORÇAMENTO!$X$15,ROW(BA498)-ROW(BA$15),0),
ROUND(ROUND(OFFSET($P498,0,BA$13),15-13*ORÇAMENTO!$AF$7)*OFFSET(ORÇAMENTO!$W$15,ROW(BA498)-ROW(BA$15),0),15-13*ORÇAMENTO!$AF$11)),0)</f>
        <v>0</v>
      </c>
      <c r="BC498" s="181">
        <f ca="1">IF($D498&lt;&gt;"Serviço",0,IF(AND(AUTOEVENTO="Manual",$M498=1),0,IF(OFFSET(CRONOPLE!$F$14,$M498,BC$13)="",10^12,OFFSET(CRONOPLE!$F$14,$M498,BC$13))))</f>
        <v>10</v>
      </c>
      <c r="BD498" s="181">
        <f ca="1">IF($D498&lt;&gt;"Serviço",0,IF(AND(AUTOEVENTO="Manual",$M498=1),0,IF(OFFSET(CRONOPLE!$F$14,$M498,BD$13)="",10^12,OFFSET(CRONOPLE!$F$14,$M498,BD$13))))</f>
        <v>1000000000000</v>
      </c>
      <c r="BE498" s="181">
        <f ca="1">IF($D498&lt;&gt;"Serviço",0,IF(AND(AUTOEVENTO="Manual",$M498=1),0,IF(OFFSET(CRONOPLE!$F$14,$M498,BE$13)="",10^12,OFFSET(CRONOPLE!$F$14,$M498,BE$13))))</f>
        <v>1000000000000</v>
      </c>
      <c r="BF498" s="181">
        <f ca="1">IF($D498&lt;&gt;"Serviço",0,IF(AND(AUTOEVENTO="Manual",$M498=1),0,IF(OFFSET(CRONOPLE!$F$14,$M498,BF$13)="",10^12,OFFSET(CRONOPLE!$F$14,$M498,BF$13))))</f>
        <v>1000000000000</v>
      </c>
      <c r="BG498" s="181">
        <f ca="1">IF($D498&lt;&gt;"Serviço",0,IF(AND(AUTOEVENTO="Manual",$M498=1),0,IF(OFFSET(CRONOPLE!$F$14,$M498,BG$13)="",10^12,OFFSET(CRONOPLE!$F$14,$M498,BG$13))))</f>
        <v>1000000000000</v>
      </c>
      <c r="BH498" s="181">
        <f ca="1">IF($D498&lt;&gt;"Serviço",0,IF(AND(AUTOEVENTO="Manual",$M498=1),0,IF(OFFSET(CRONOPLE!$F$14,$M498,BH$13)="",10^12,OFFSET(CRONOPLE!$F$14,$M498,BH$13))))</f>
        <v>1000000000000</v>
      </c>
      <c r="BI498" s="181">
        <f ca="1">IF($D498&lt;&gt;"Serviço",0,IF(AND(AUTOEVENTO="Manual",$M498=1),0,IF(OFFSET(CRONOPLE!$F$14,$M498,BI$13)="",10^12,OFFSET(CRONOPLE!$F$14,$M498,BI$13))))</f>
        <v>1000000000000</v>
      </c>
      <c r="BJ498" s="181">
        <f ca="1">IF($D498&lt;&gt;"Serviço",0,IF(AND(AUTOEVENTO="Manual",$M498=1),0,IF(OFFSET(CRONOPLE!$F$14,$M498,BJ$13)="",10^12,OFFSET(CRONOPLE!$F$14,$M498,BJ$13))))</f>
        <v>1000000000000</v>
      </c>
      <c r="BK498" s="181">
        <f ca="1">IF($D498&lt;&gt;"Serviço",0,IF(AND(AUTOEVENTO="Manual",$M498=1),0,IF(OFFSET(CRONOPLE!$F$14,$M498,BK$13)="",10^12,OFFSET(CRONOPLE!$F$14,$M498,BK$13))))</f>
        <v>1000000000000</v>
      </c>
      <c r="BL498" s="181">
        <f ca="1">IF($D498&lt;&gt;"Serviço",0,IF(AND(AUTOEVENTO="Manual",$M498=1),0,IF(OFFSET(CRONOPLE!$F$14,$M498,BL$13)="",10^12,OFFSET(CRONOPLE!$F$14,$M498,BL$13))))</f>
        <v>1000000000000</v>
      </c>
      <c r="BM498" s="181">
        <f ca="1">IF($D498&lt;&gt;"Serviço",0,IF(AND(AUTOEVENTO="Manual",$M498=1),0,IF(OFFSET(CRONOPLE!$F$14,$M498,BM$13)="",10^12,OFFSET(CRONOPLE!$F$14,$M498,BM$13))))</f>
        <v>1000000000000</v>
      </c>
      <c r="BN498" s="181">
        <f ca="1">IF($D498&lt;&gt;"Serviço",0,IF(AND(AUTOEVENTO="Manual",$M498=1),0,IF(OFFSET(CRONOPLE!$F$14,$M498,BN$13)="",10^12,OFFSET(CRONOPLE!$F$14,$M498,BN$13))))</f>
        <v>1000000000000</v>
      </c>
      <c r="BO498" s="181">
        <f ca="1">IF($D498&lt;&gt;"Serviço",0,IF(AND(AUTOEVENTO="Manual",$M498=1),0,IF(OFFSET(CRONOPLE!$F$14,$M498,BO$13)="",10^12,OFFSET(CRONOPLE!$F$14,$M498,BO$13))))</f>
        <v>1000000000000</v>
      </c>
      <c r="BP498" s="181">
        <f ca="1">IF($D498&lt;&gt;"Serviço",0,IF(AND(AUTOEVENTO="Manual",$M498=1),0,IF(OFFSET(CRONOPLE!$F$14,$M498,BP$13)="",10^12,OFFSET(CRONOPLE!$F$14,$M498,BP$13))))</f>
        <v>1000000000000</v>
      </c>
      <c r="BQ498" s="181">
        <f ca="1">IF($D498&lt;&gt;"Serviço",0,IF(AND(AUTOEVENTO="Manual",$M498=1),0,IF(OFFSET(CRONOPLE!$F$14,$M498,BQ$13)="",10^12,OFFSET(CRONOPLE!$F$14,$M498,BQ$13))))</f>
        <v>1000000000000</v>
      </c>
      <c r="BR498" s="181">
        <f ca="1">IF($D498&lt;&gt;"Serviço",0,IF(AND(AUTOEVENTO="Manual",$M498=1),0,IF(OFFSET(CRONOPLE!$F$14,$M498,BR$13)="",10^12,OFFSET(CRONOPLE!$F$14,$M498,BR$13))))</f>
        <v>1000000000000</v>
      </c>
      <c r="BS498" s="181">
        <f ca="1">IF($D498&lt;&gt;"Serviço",0,IF(AND(AUTOEVENTO="Manual",$M498=1),0,IF(OFFSET(CRONOPLE!$F$14,$M498,BS$13)="",10^12,OFFSET(CRONOPLE!$F$14,$M498,BS$13))))</f>
        <v>1000000000000</v>
      </c>
      <c r="BT498" s="181">
        <f ca="1">IF($D498&lt;&gt;"Serviço",0,IF(AND(AUTOEVENTO="Manual",$M498=1),0,IF(OFFSET(CRONOPLE!$F$14,$M498,BT$13)="",10^12,OFFSET(CRONOPLE!$F$14,$M498,BT$13))))</f>
        <v>1000000000000</v>
      </c>
      <c r="BV498" s="182">
        <f ca="1">IF($D498&lt;&gt;"Serviço",0,IF(OR(AND(AUTOEVENTO="Manual",$M498=1),$M498&gt;(ROW(PLE.lastrow)-ROW(PLE.firstrow))),0,IF(OFFSET(PLE!$G$14,$M498,BV$13)="",10^12,OFFSET(PLE!$G$14,$M498,BV$13))))</f>
        <v>1000000000000</v>
      </c>
      <c r="BW498" s="182">
        <f ca="1">IF($D498&lt;&gt;"Serviço",0,IF(OR(AND(AUTOEVENTO="Manual",$M498=1),$M498&gt;(ROW(PLE.lastrow)-ROW(PLE.firstrow))),0,IF(OFFSET(PLE!$G$14,$M498,BW$13)="",10^12,OFFSET(PLE!$G$14,$M498,BW$13))))</f>
        <v>1000000000000</v>
      </c>
      <c r="BX498" s="182">
        <f ca="1">IF($D498&lt;&gt;"Serviço",0,IF(OR(AND(AUTOEVENTO="Manual",$M498=1),$M498&gt;(ROW(PLE.lastrow)-ROW(PLE.firstrow))),0,IF(OFFSET(PLE!$G$14,$M498,BX$13)="",10^12,OFFSET(PLE!$G$14,$M498,BX$13))))</f>
        <v>1000000000000</v>
      </c>
      <c r="BY498" s="182">
        <f ca="1">IF($D498&lt;&gt;"Serviço",0,IF(OR(AND(AUTOEVENTO="Manual",$M498=1),$M498&gt;(ROW(PLE.lastrow)-ROW(PLE.firstrow))),0,IF(OFFSET(PLE!$G$14,$M498,BY$13)="",10^12,OFFSET(PLE!$G$14,$M498,BY$13))))</f>
        <v>1000000000000</v>
      </c>
      <c r="BZ498" s="182">
        <f ca="1">IF($D498&lt;&gt;"Serviço",0,IF(OR(AND(AUTOEVENTO="Manual",$M498=1),$M498&gt;(ROW(PLE.lastrow)-ROW(PLE.firstrow))),0,IF(OFFSET(PLE!$G$14,$M498,BZ$13)="",10^12,OFFSET(PLE!$G$14,$M498,BZ$13))))</f>
        <v>1000000000000</v>
      </c>
      <c r="CA498" s="182">
        <f ca="1">IF($D498&lt;&gt;"Serviço",0,IF(OR(AND(AUTOEVENTO="Manual",$M498=1),$M498&gt;(ROW(PLE.lastrow)-ROW(PLE.firstrow))),0,IF(OFFSET(PLE!$G$14,$M498,CA$13)="",10^12,OFFSET(PLE!$G$14,$M498,CA$13))))</f>
        <v>1000000000000</v>
      </c>
      <c r="CB498" s="182">
        <f ca="1">IF($D498&lt;&gt;"Serviço",0,IF(OR(AND(AUTOEVENTO="Manual",$M498=1),$M498&gt;(ROW(PLE.lastrow)-ROW(PLE.firstrow))),0,IF(OFFSET(PLE!$G$14,$M498,CB$13)="",10^12,OFFSET(PLE!$G$14,$M498,CB$13))))</f>
        <v>1000000000000</v>
      </c>
      <c r="CC498" s="182">
        <f ca="1">IF($D498&lt;&gt;"Serviço",0,IF(OR(AND(AUTOEVENTO="Manual",$M498=1),$M498&gt;(ROW(PLE.lastrow)-ROW(PLE.firstrow))),0,IF(OFFSET(PLE!$G$14,$M498,CC$13)="",10^12,OFFSET(PLE!$G$14,$M498,CC$13))))</f>
        <v>1000000000000</v>
      </c>
      <c r="CD498" s="182">
        <f ca="1">IF($D498&lt;&gt;"Serviço",0,IF(OR(AND(AUTOEVENTO="Manual",$M498=1),$M498&gt;(ROW(PLE.lastrow)-ROW(PLE.firstrow))),0,IF(OFFSET(PLE!$G$14,$M498,CD$13)="",10^12,OFFSET(PLE!$G$14,$M498,CD$13))))</f>
        <v>1000000000000</v>
      </c>
      <c r="CE498" s="182">
        <f ca="1">IF($D498&lt;&gt;"Serviço",0,IF(OR(AND(AUTOEVENTO="Manual",$M498=1),$M498&gt;(ROW(PLE.lastrow)-ROW(PLE.firstrow))),0,IF(OFFSET(PLE!$G$14,$M498,CE$13)="",10^12,OFFSET(PLE!$G$14,$M498,CE$13))))</f>
        <v>1000000000000</v>
      </c>
      <c r="CF498" s="182">
        <f ca="1">IF($D498&lt;&gt;"Serviço",0,IF(OR(AND(AUTOEVENTO="Manual",$M498=1),$M498&gt;(ROW(PLE.lastrow)-ROW(PLE.firstrow))),0,IF(OFFSET(PLE!$G$14,$M498,CF$13)="",10^12,OFFSET(PLE!$G$14,$M498,CF$13))))</f>
        <v>1000000000000</v>
      </c>
      <c r="CG498" s="182">
        <f ca="1">IF($D498&lt;&gt;"Serviço",0,IF(OR(AND(AUTOEVENTO="Manual",$M498=1),$M498&gt;(ROW(PLE.lastrow)-ROW(PLE.firstrow))),0,IF(OFFSET(PLE!$G$14,$M498,CG$13)="",10^12,OFFSET(PLE!$G$14,$M498,CG$13))))</f>
        <v>1000000000000</v>
      </c>
      <c r="CH498" s="182">
        <f ca="1">IF($D498&lt;&gt;"Serviço",0,IF(OR(AND(AUTOEVENTO="Manual",$M498=1),$M498&gt;(ROW(PLE.lastrow)-ROW(PLE.firstrow))),0,IF(OFFSET(PLE!$G$14,$M498,CH$13)="",10^12,OFFSET(PLE!$G$14,$M498,CH$13))))</f>
        <v>1000000000000</v>
      </c>
      <c r="CI498" s="182">
        <f ca="1">IF($D498&lt;&gt;"Serviço",0,IF(OR(AND(AUTOEVENTO="Manual",$M498=1),$M498&gt;(ROW(PLE.lastrow)-ROW(PLE.firstrow))),0,IF(OFFSET(PLE!$G$14,$M498,CI$13)="",10^12,OFFSET(PLE!$G$14,$M498,CI$13))))</f>
        <v>1000000000000</v>
      </c>
      <c r="CJ498" s="182">
        <f ca="1">IF($D498&lt;&gt;"Serviço",0,IF(OR(AND(AUTOEVENTO="Manual",$M498=1),$M498&gt;(ROW(PLE.lastrow)-ROW(PLE.firstrow))),0,IF(OFFSET(PLE!$G$14,$M498,CJ$13)="",10^12,OFFSET(PLE!$G$14,$M498,CJ$13))))</f>
        <v>1000000000000</v>
      </c>
      <c r="CK498" s="182">
        <f ca="1">IF($D498&lt;&gt;"Serviço",0,IF(OR(AND(AUTOEVENTO="Manual",$M498=1),$M498&gt;(ROW(PLE.lastrow)-ROW(PLE.firstrow))),0,IF(OFFSET(PLE!$G$14,$M498,CK$13)="",10^12,OFFSET(PLE!$G$14,$M498,CK$13))))</f>
        <v>1000000000000</v>
      </c>
      <c r="CL498" s="182">
        <f ca="1">IF($D498&lt;&gt;"Serviço",0,IF(OR(AND(AUTOEVENTO="Manual",$M498=1),$M498&gt;(ROW(PLE.lastrow)-ROW(PLE.firstrow))),0,IF(OFFSET(PLE!$G$14,$M498,CL$13)="",10^12,OFFSET(PLE!$G$14,$M498,CL$13))))</f>
        <v>1000000000000</v>
      </c>
      <c r="CM498" s="182">
        <f ca="1">IF($D498&lt;&gt;"Serviço",0,IF(OR(AND(AUTOEVENTO="Manual",$M498=1),$M498&gt;(ROW(PLE.lastrow)-ROW(PLE.firstrow))),0,IF(OFFSET(PLE!$G$14,$M498,CM$13)="",10^12,OFFSET(PLE!$G$14,$M498,CM$13))))</f>
        <v>1000000000000</v>
      </c>
    </row>
    <row r="499" spans="1:91" ht="25.5" x14ac:dyDescent="0.2">
      <c r="A499" s="7" t="str">
        <f t="shared" ca="1" si="16"/>
        <v>475</v>
      </c>
      <c r="B499" s="7" t="str">
        <f ca="1">OFFSET(ORÇAMENTO!C$15,ROW(B499)-ROW(B$15),0)</f>
        <v>S</v>
      </c>
      <c r="C499" s="7" t="str">
        <f ca="1">OFFSET(ORÇAMENTO!L$15,ROW(C499)-ROW(C$15),0)</f>
        <v/>
      </c>
      <c r="D499" s="118" t="str">
        <f ca="1">OFFSET(ORÇAMENTO!N$15,ROW(D499)-ROW(D$15),0)</f>
        <v>Serviço</v>
      </c>
      <c r="E499" s="119" t="str">
        <f ca="1">OFFSET(ORÇAMENTO!O$15,ROW(E499)-ROW(E$15),0)</f>
        <v>-</v>
      </c>
      <c r="F499" s="172" t="str">
        <f ca="1">OFFSET(ORÇAMENTO!R$15,ROW(F499)-ROW(F$15),0)</f>
        <v>(abra o arquivo 'Referência 06-2024.xlsm)</v>
      </c>
      <c r="G499" s="173" t="str">
        <f ca="1">IF($D499&lt;&gt;"Serviço","",OFFSET(ORÇAMENTO!S$15,ROW(G499)-ROW(G$15),0))</f>
        <v>-</v>
      </c>
      <c r="H499" s="124">
        <f ca="1">IF($D499&lt;&gt;"Serviço",0,IF(ACOMPANHAMENTO="BM",ROUND(OFFSET(ORÇAMENTO!AJ$15,ROW(H499)-ROW(H$15),0),15-13*ORÇAMENTO!$AF$7),SUMPRODUCT(($Q$12:$AI$12&lt;&gt;"")*ROUND($Q499:$AI499,15-13*ORÇAMENTO!$AF$7))))</f>
        <v>2</v>
      </c>
      <c r="I499" s="561" t="s">
        <v>1107</v>
      </c>
      <c r="K499" s="174"/>
      <c r="L499" s="175" t="s">
        <v>255</v>
      </c>
      <c r="M499" s="176">
        <f ca="1">IF($D499&lt;&gt;"Serviço","",IF(AUTOEVENTO="manual",$A499,IF(ISERROR(MATCH($A499,$A$15:OFFSET($A499,-1,0),0)),MAX($M$15:OFFSET(M499,-1,0))+1,INDEX($M$15:OFFSET(M499,-1,0),MATCH($A499,$A$15:OFFSET($A499,-1,0),0)))))</f>
        <v>53</v>
      </c>
      <c r="N499" s="177" t="str">
        <f ca="1">IF($D499&lt;&gt;"Serviço","",IF(AUTOEVENTO="Manual",IF($A499=0,"&lt;-- defina o número do agrupador",OFFSET(EVENTOS!$D$14,$A499,0)),OFFSET($F$15,$A499,0)))</f>
        <v>INSTALAÇÃO ELÉTRICA 110V - ACESSÓRIOS EM GERAL</v>
      </c>
      <c r="O499" s="178"/>
      <c r="Q499" s="178">
        <v>2</v>
      </c>
      <c r="R499" s="179"/>
      <c r="S499" s="179"/>
      <c r="T499" s="179"/>
      <c r="U499" s="179"/>
      <c r="V499" s="179"/>
      <c r="W499" s="179"/>
      <c r="X499" s="179"/>
      <c r="Y499" s="179"/>
      <c r="Z499" s="180"/>
      <c r="AA499" s="179"/>
      <c r="AB499" s="179"/>
      <c r="AC499" s="179"/>
      <c r="AD499" s="179"/>
      <c r="AE499" s="179"/>
      <c r="AF499" s="179"/>
      <c r="AG499" s="179"/>
      <c r="AH499" s="180"/>
      <c r="AJ499" s="544">
        <f ca="1">IF(AND($D499="Serviço",AJ$12&lt;&gt;0,$H499&gt;0,OR(AUTOEVENTO&lt;&gt;"manual",$M499&lt;&gt;1)),
IF(Import.TipoArredondamento&lt;&gt;"TransfereGOV",
ROUND(OFFSET($P499,0,AJ$13),15-13*ORÇAMENTO!$AF$7)/$H499*OFFSET(ORÇAMENTO!$X$15,ROW(AJ499)-ROW(AJ$15),0),
ROUND(ROUND(OFFSET($P499,0,AJ$13),15-13*ORÇAMENTO!$AF$7)*OFFSET(ORÇAMENTO!$W$15,ROW(AJ499)-ROW(AJ$15),0),15-13*ORÇAMENTO!$AF$11)),0)</f>
        <v>0</v>
      </c>
      <c r="AK499" s="545">
        <f ca="1">IF(AND($D499="Serviço",AK$12&lt;&gt;0,$H499&gt;0,OR(AUTOEVENTO&lt;&gt;"manual",$M499&lt;&gt;1)),
IF(Import.TipoArredondamento&lt;&gt;"TransfereGOV",
ROUND(OFFSET($P499,0,AK$13),15-13*ORÇAMENTO!$AF$7)/$H499*OFFSET(ORÇAMENTO!$X$15,ROW(AK499)-ROW(AK$15),0),
ROUND(ROUND(OFFSET($P499,0,AK$13),15-13*ORÇAMENTO!$AF$7)*OFFSET(ORÇAMENTO!$W$15,ROW(AK499)-ROW(AK$15),0),15-13*ORÇAMENTO!$AF$11)),0)</f>
        <v>0</v>
      </c>
      <c r="AL499" s="545">
        <f ca="1">IF(AND($D499="Serviço",AL$12&lt;&gt;0,$H499&gt;0,OR(AUTOEVENTO&lt;&gt;"manual",$M499&lt;&gt;1)),
IF(Import.TipoArredondamento&lt;&gt;"TransfereGOV",
ROUND(OFFSET($P499,0,AL$13),15-13*ORÇAMENTO!$AF$7)/$H499*OFFSET(ORÇAMENTO!$X$15,ROW(AL499)-ROW(AL$15),0),
ROUND(ROUND(OFFSET($P499,0,AL$13),15-13*ORÇAMENTO!$AF$7)*OFFSET(ORÇAMENTO!$W$15,ROW(AL499)-ROW(AL$15),0),15-13*ORÇAMENTO!$AF$11)),0)</f>
        <v>0</v>
      </c>
      <c r="AM499" s="545">
        <f ca="1">IF(AND($D499="Serviço",AM$12&lt;&gt;0,$H499&gt;0,OR(AUTOEVENTO&lt;&gt;"manual",$M499&lt;&gt;1)),
IF(Import.TipoArredondamento&lt;&gt;"TransfereGOV",
ROUND(OFFSET($P499,0,AM$13),15-13*ORÇAMENTO!$AF$7)/$H499*OFFSET(ORÇAMENTO!$X$15,ROW(AM499)-ROW(AM$15),0),
ROUND(ROUND(OFFSET($P499,0,AM$13),15-13*ORÇAMENTO!$AF$7)*OFFSET(ORÇAMENTO!$W$15,ROW(AM499)-ROW(AM$15),0),15-13*ORÇAMENTO!$AF$11)),0)</f>
        <v>0</v>
      </c>
      <c r="AN499" s="545">
        <f ca="1">IF(AND($D499="Serviço",AN$12&lt;&gt;0,$H499&gt;0,OR(AUTOEVENTO&lt;&gt;"manual",$M499&lt;&gt;1)),
IF(Import.TipoArredondamento&lt;&gt;"TransfereGOV",
ROUND(OFFSET($P499,0,AN$13),15-13*ORÇAMENTO!$AF$7)/$H499*OFFSET(ORÇAMENTO!$X$15,ROW(AN499)-ROW(AN$15),0),
ROUND(ROUND(OFFSET($P499,0,AN$13),15-13*ORÇAMENTO!$AF$7)*OFFSET(ORÇAMENTO!$W$15,ROW(AN499)-ROW(AN$15),0),15-13*ORÇAMENTO!$AF$11)),0)</f>
        <v>0</v>
      </c>
      <c r="AO499" s="545">
        <f ca="1">IF(AND($D499="Serviço",AO$12&lt;&gt;0,$H499&gt;0,OR(AUTOEVENTO&lt;&gt;"manual",$M499&lt;&gt;1)),
IF(Import.TipoArredondamento&lt;&gt;"TransfereGOV",
ROUND(OFFSET($P499,0,AO$13),15-13*ORÇAMENTO!$AF$7)/$H499*OFFSET(ORÇAMENTO!$X$15,ROW(AO499)-ROW(AO$15),0),
ROUND(ROUND(OFFSET($P499,0,AO$13),15-13*ORÇAMENTO!$AF$7)*OFFSET(ORÇAMENTO!$W$15,ROW(AO499)-ROW(AO$15),0),15-13*ORÇAMENTO!$AF$11)),0)</f>
        <v>0</v>
      </c>
      <c r="AP499" s="545">
        <f ca="1">IF(AND($D499="Serviço",AP$12&lt;&gt;0,$H499&gt;0,OR(AUTOEVENTO&lt;&gt;"manual",$M499&lt;&gt;1)),
IF(Import.TipoArredondamento&lt;&gt;"TransfereGOV",
ROUND(OFFSET($P499,0,AP$13),15-13*ORÇAMENTO!$AF$7)/$H499*OFFSET(ORÇAMENTO!$X$15,ROW(AP499)-ROW(AP$15),0),
ROUND(ROUND(OFFSET($P499,0,AP$13),15-13*ORÇAMENTO!$AF$7)*OFFSET(ORÇAMENTO!$W$15,ROW(AP499)-ROW(AP$15),0),15-13*ORÇAMENTO!$AF$11)),0)</f>
        <v>0</v>
      </c>
      <c r="AQ499" s="545">
        <f ca="1">IF(AND($D499="Serviço",AQ$12&lt;&gt;0,$H499&gt;0,OR(AUTOEVENTO&lt;&gt;"manual",$M499&lt;&gt;1)),
IF(Import.TipoArredondamento&lt;&gt;"TransfereGOV",
ROUND(OFFSET($P499,0,AQ$13),15-13*ORÇAMENTO!$AF$7)/$H499*OFFSET(ORÇAMENTO!$X$15,ROW(AQ499)-ROW(AQ$15),0),
ROUND(ROUND(OFFSET($P499,0,AQ$13),15-13*ORÇAMENTO!$AF$7)*OFFSET(ORÇAMENTO!$W$15,ROW(AQ499)-ROW(AQ$15),0),15-13*ORÇAMENTO!$AF$11)),0)</f>
        <v>0</v>
      </c>
      <c r="AR499" s="545">
        <f ca="1">IF(AND($D499="Serviço",AR$12&lt;&gt;0,$H499&gt;0,OR(AUTOEVENTO&lt;&gt;"manual",$M499&lt;&gt;1)),
IF(Import.TipoArredondamento&lt;&gt;"TransfereGOV",
ROUND(OFFSET($P499,0,AR$13),15-13*ORÇAMENTO!$AF$7)/$H499*OFFSET(ORÇAMENTO!$X$15,ROW(AR499)-ROW(AR$15),0),
ROUND(ROUND(OFFSET($P499,0,AR$13),15-13*ORÇAMENTO!$AF$7)*OFFSET(ORÇAMENTO!$W$15,ROW(AR499)-ROW(AR$15),0),15-13*ORÇAMENTO!$AF$11)),0)</f>
        <v>0</v>
      </c>
      <c r="AS499" s="546">
        <f ca="1">IF(AND($D499="Serviço",AS$12&lt;&gt;0,$H499&gt;0,OR(AUTOEVENTO&lt;&gt;"manual",$M499&lt;&gt;1)),
IF(Import.TipoArredondamento&lt;&gt;"TransfereGOV",
ROUND(OFFSET($P499,0,AS$13),15-13*ORÇAMENTO!$AF$7)/$H499*OFFSET(ORÇAMENTO!$X$15,ROW(AS499)-ROW(AS$15),0),
ROUND(ROUND(OFFSET($P499,0,AS$13),15-13*ORÇAMENTO!$AF$7)*OFFSET(ORÇAMENTO!$W$15,ROW(AS499)-ROW(AS$15),0),15-13*ORÇAMENTO!$AF$11)),0)</f>
        <v>0</v>
      </c>
      <c r="AT499" s="545">
        <f ca="1">IF(AND($D499="Serviço",AT$12&lt;&gt;0,$H499&gt;0,OR(AUTOEVENTO&lt;&gt;"manual",$M499&lt;&gt;1)),
IF(Import.TipoArredondamento&lt;&gt;"TransfereGOV",
ROUND(OFFSET($P499,0,AT$13),15-13*ORÇAMENTO!$AF$7)/$H499*OFFSET(ORÇAMENTO!$X$15,ROW(AT499)-ROW(AT$15),0),
ROUND(ROUND(OFFSET($P499,0,AT$13),15-13*ORÇAMENTO!$AF$7)*OFFSET(ORÇAMENTO!$W$15,ROW(AT499)-ROW(AT$15),0),15-13*ORÇAMENTO!$AF$11)),0)</f>
        <v>0</v>
      </c>
      <c r="AU499" s="545">
        <f ca="1">IF(AND($D499="Serviço",AU$12&lt;&gt;0,$H499&gt;0,OR(AUTOEVENTO&lt;&gt;"manual",$M499&lt;&gt;1)),
IF(Import.TipoArredondamento&lt;&gt;"TransfereGOV",
ROUND(OFFSET($P499,0,AU$13),15-13*ORÇAMENTO!$AF$7)/$H499*OFFSET(ORÇAMENTO!$X$15,ROW(AU499)-ROW(AU$15),0),
ROUND(ROUND(OFFSET($P499,0,AU$13),15-13*ORÇAMENTO!$AF$7)*OFFSET(ORÇAMENTO!$W$15,ROW(AU499)-ROW(AU$15),0),15-13*ORÇAMENTO!$AF$11)),0)</f>
        <v>0</v>
      </c>
      <c r="AV499" s="545">
        <f ca="1">IF(AND($D499="Serviço",AV$12&lt;&gt;0,$H499&gt;0,OR(AUTOEVENTO&lt;&gt;"manual",$M499&lt;&gt;1)),
IF(Import.TipoArredondamento&lt;&gt;"TransfereGOV",
ROUND(OFFSET($P499,0,AV$13),15-13*ORÇAMENTO!$AF$7)/$H499*OFFSET(ORÇAMENTO!$X$15,ROW(AV499)-ROW(AV$15),0),
ROUND(ROUND(OFFSET($P499,0,AV$13),15-13*ORÇAMENTO!$AF$7)*OFFSET(ORÇAMENTO!$W$15,ROW(AV499)-ROW(AV$15),0),15-13*ORÇAMENTO!$AF$11)),0)</f>
        <v>0</v>
      </c>
      <c r="AW499" s="545">
        <f ca="1">IF(AND($D499="Serviço",AW$12&lt;&gt;0,$H499&gt;0,OR(AUTOEVENTO&lt;&gt;"manual",$M499&lt;&gt;1)),
IF(Import.TipoArredondamento&lt;&gt;"TransfereGOV",
ROUND(OFFSET($P499,0,AW$13),15-13*ORÇAMENTO!$AF$7)/$H499*OFFSET(ORÇAMENTO!$X$15,ROW(AW499)-ROW(AW$15),0),
ROUND(ROUND(OFFSET($P499,0,AW$13),15-13*ORÇAMENTO!$AF$7)*OFFSET(ORÇAMENTO!$W$15,ROW(AW499)-ROW(AW$15),0),15-13*ORÇAMENTO!$AF$11)),0)</f>
        <v>0</v>
      </c>
      <c r="AX499" s="545">
        <f ca="1">IF(AND($D499="Serviço",AX$12&lt;&gt;0,$H499&gt;0,OR(AUTOEVENTO&lt;&gt;"manual",$M499&lt;&gt;1)),
IF(Import.TipoArredondamento&lt;&gt;"TransfereGOV",
ROUND(OFFSET($P499,0,AX$13),15-13*ORÇAMENTO!$AF$7)/$H499*OFFSET(ORÇAMENTO!$X$15,ROW(AX499)-ROW(AX$15),0),
ROUND(ROUND(OFFSET($P499,0,AX$13),15-13*ORÇAMENTO!$AF$7)*OFFSET(ORÇAMENTO!$W$15,ROW(AX499)-ROW(AX$15),0),15-13*ORÇAMENTO!$AF$11)),0)</f>
        <v>0</v>
      </c>
      <c r="AY499" s="545">
        <f ca="1">IF(AND($D499="Serviço",AY$12&lt;&gt;0,$H499&gt;0,OR(AUTOEVENTO&lt;&gt;"manual",$M499&lt;&gt;1)),
IF(Import.TipoArredondamento&lt;&gt;"TransfereGOV",
ROUND(OFFSET($P499,0,AY$13),15-13*ORÇAMENTO!$AF$7)/$H499*OFFSET(ORÇAMENTO!$X$15,ROW(AY499)-ROW(AY$15),0),
ROUND(ROUND(OFFSET($P499,0,AY$13),15-13*ORÇAMENTO!$AF$7)*OFFSET(ORÇAMENTO!$W$15,ROW(AY499)-ROW(AY$15),0),15-13*ORÇAMENTO!$AF$11)),0)</f>
        <v>0</v>
      </c>
      <c r="AZ499" s="545">
        <f ca="1">IF(AND($D499="Serviço",AZ$12&lt;&gt;0,$H499&gt;0,OR(AUTOEVENTO&lt;&gt;"manual",$M499&lt;&gt;1)),
IF(Import.TipoArredondamento&lt;&gt;"TransfereGOV",
ROUND(OFFSET($P499,0,AZ$13),15-13*ORÇAMENTO!$AF$7)/$H499*OFFSET(ORÇAMENTO!$X$15,ROW(AZ499)-ROW(AZ$15),0),
ROUND(ROUND(OFFSET($P499,0,AZ$13),15-13*ORÇAMENTO!$AF$7)*OFFSET(ORÇAMENTO!$W$15,ROW(AZ499)-ROW(AZ$15),0),15-13*ORÇAMENTO!$AF$11)),0)</f>
        <v>0</v>
      </c>
      <c r="BA499" s="546">
        <f ca="1">IF(AND($D499="Serviço",BA$12&lt;&gt;0,$H499&gt;0,OR(AUTOEVENTO&lt;&gt;"manual",$M499&lt;&gt;1)),
IF(Import.TipoArredondamento&lt;&gt;"TransfereGOV",
ROUND(OFFSET($P499,0,BA$13),15-13*ORÇAMENTO!$AF$7)/$H499*OFFSET(ORÇAMENTO!$X$15,ROW(BA499)-ROW(BA$15),0),
ROUND(ROUND(OFFSET($P499,0,BA$13),15-13*ORÇAMENTO!$AF$7)*OFFSET(ORÇAMENTO!$W$15,ROW(BA499)-ROW(BA$15),0),15-13*ORÇAMENTO!$AF$11)),0)</f>
        <v>0</v>
      </c>
      <c r="BC499" s="181">
        <f ca="1">IF($D499&lt;&gt;"Serviço",0,IF(AND(AUTOEVENTO="Manual",$M499=1),0,IF(OFFSET(CRONOPLE!$F$14,$M499,BC$13)="",10^12,OFFSET(CRONOPLE!$F$14,$M499,BC$13))))</f>
        <v>10</v>
      </c>
      <c r="BD499" s="181">
        <f ca="1">IF($D499&lt;&gt;"Serviço",0,IF(AND(AUTOEVENTO="Manual",$M499=1),0,IF(OFFSET(CRONOPLE!$F$14,$M499,BD$13)="",10^12,OFFSET(CRONOPLE!$F$14,$M499,BD$13))))</f>
        <v>1000000000000</v>
      </c>
      <c r="BE499" s="181">
        <f ca="1">IF($D499&lt;&gt;"Serviço",0,IF(AND(AUTOEVENTO="Manual",$M499=1),0,IF(OFFSET(CRONOPLE!$F$14,$M499,BE$13)="",10^12,OFFSET(CRONOPLE!$F$14,$M499,BE$13))))</f>
        <v>1000000000000</v>
      </c>
      <c r="BF499" s="181">
        <f ca="1">IF($D499&lt;&gt;"Serviço",0,IF(AND(AUTOEVENTO="Manual",$M499=1),0,IF(OFFSET(CRONOPLE!$F$14,$M499,BF$13)="",10^12,OFFSET(CRONOPLE!$F$14,$M499,BF$13))))</f>
        <v>1000000000000</v>
      </c>
      <c r="BG499" s="181">
        <f ca="1">IF($D499&lt;&gt;"Serviço",0,IF(AND(AUTOEVENTO="Manual",$M499=1),0,IF(OFFSET(CRONOPLE!$F$14,$M499,BG$13)="",10^12,OFFSET(CRONOPLE!$F$14,$M499,BG$13))))</f>
        <v>1000000000000</v>
      </c>
      <c r="BH499" s="181">
        <f ca="1">IF($D499&lt;&gt;"Serviço",0,IF(AND(AUTOEVENTO="Manual",$M499=1),0,IF(OFFSET(CRONOPLE!$F$14,$M499,BH$13)="",10^12,OFFSET(CRONOPLE!$F$14,$M499,BH$13))))</f>
        <v>1000000000000</v>
      </c>
      <c r="BI499" s="181">
        <f ca="1">IF($D499&lt;&gt;"Serviço",0,IF(AND(AUTOEVENTO="Manual",$M499=1),0,IF(OFFSET(CRONOPLE!$F$14,$M499,BI$13)="",10^12,OFFSET(CRONOPLE!$F$14,$M499,BI$13))))</f>
        <v>1000000000000</v>
      </c>
      <c r="BJ499" s="181">
        <f ca="1">IF($D499&lt;&gt;"Serviço",0,IF(AND(AUTOEVENTO="Manual",$M499=1),0,IF(OFFSET(CRONOPLE!$F$14,$M499,BJ$13)="",10^12,OFFSET(CRONOPLE!$F$14,$M499,BJ$13))))</f>
        <v>1000000000000</v>
      </c>
      <c r="BK499" s="181">
        <f ca="1">IF($D499&lt;&gt;"Serviço",0,IF(AND(AUTOEVENTO="Manual",$M499=1),0,IF(OFFSET(CRONOPLE!$F$14,$M499,BK$13)="",10^12,OFFSET(CRONOPLE!$F$14,$M499,BK$13))))</f>
        <v>1000000000000</v>
      </c>
      <c r="BL499" s="181">
        <f ca="1">IF($D499&lt;&gt;"Serviço",0,IF(AND(AUTOEVENTO="Manual",$M499=1),0,IF(OFFSET(CRONOPLE!$F$14,$M499,BL$13)="",10^12,OFFSET(CRONOPLE!$F$14,$M499,BL$13))))</f>
        <v>1000000000000</v>
      </c>
      <c r="BM499" s="181">
        <f ca="1">IF($D499&lt;&gt;"Serviço",0,IF(AND(AUTOEVENTO="Manual",$M499=1),0,IF(OFFSET(CRONOPLE!$F$14,$M499,BM$13)="",10^12,OFFSET(CRONOPLE!$F$14,$M499,BM$13))))</f>
        <v>1000000000000</v>
      </c>
      <c r="BN499" s="181">
        <f ca="1">IF($D499&lt;&gt;"Serviço",0,IF(AND(AUTOEVENTO="Manual",$M499=1),0,IF(OFFSET(CRONOPLE!$F$14,$M499,BN$13)="",10^12,OFFSET(CRONOPLE!$F$14,$M499,BN$13))))</f>
        <v>1000000000000</v>
      </c>
      <c r="BO499" s="181">
        <f ca="1">IF($D499&lt;&gt;"Serviço",0,IF(AND(AUTOEVENTO="Manual",$M499=1),0,IF(OFFSET(CRONOPLE!$F$14,$M499,BO$13)="",10^12,OFFSET(CRONOPLE!$F$14,$M499,BO$13))))</f>
        <v>1000000000000</v>
      </c>
      <c r="BP499" s="181">
        <f ca="1">IF($D499&lt;&gt;"Serviço",0,IF(AND(AUTOEVENTO="Manual",$M499=1),0,IF(OFFSET(CRONOPLE!$F$14,$M499,BP$13)="",10^12,OFFSET(CRONOPLE!$F$14,$M499,BP$13))))</f>
        <v>1000000000000</v>
      </c>
      <c r="BQ499" s="181">
        <f ca="1">IF($D499&lt;&gt;"Serviço",0,IF(AND(AUTOEVENTO="Manual",$M499=1),0,IF(OFFSET(CRONOPLE!$F$14,$M499,BQ$13)="",10^12,OFFSET(CRONOPLE!$F$14,$M499,BQ$13))))</f>
        <v>1000000000000</v>
      </c>
      <c r="BR499" s="181">
        <f ca="1">IF($D499&lt;&gt;"Serviço",0,IF(AND(AUTOEVENTO="Manual",$M499=1),0,IF(OFFSET(CRONOPLE!$F$14,$M499,BR$13)="",10^12,OFFSET(CRONOPLE!$F$14,$M499,BR$13))))</f>
        <v>1000000000000</v>
      </c>
      <c r="BS499" s="181">
        <f ca="1">IF($D499&lt;&gt;"Serviço",0,IF(AND(AUTOEVENTO="Manual",$M499=1),0,IF(OFFSET(CRONOPLE!$F$14,$M499,BS$13)="",10^12,OFFSET(CRONOPLE!$F$14,$M499,BS$13))))</f>
        <v>1000000000000</v>
      </c>
      <c r="BT499" s="181">
        <f ca="1">IF($D499&lt;&gt;"Serviço",0,IF(AND(AUTOEVENTO="Manual",$M499=1),0,IF(OFFSET(CRONOPLE!$F$14,$M499,BT$13)="",10^12,OFFSET(CRONOPLE!$F$14,$M499,BT$13))))</f>
        <v>1000000000000</v>
      </c>
      <c r="BV499" s="182">
        <f ca="1">IF($D499&lt;&gt;"Serviço",0,IF(OR(AND(AUTOEVENTO="Manual",$M499=1),$M499&gt;(ROW(PLE.lastrow)-ROW(PLE.firstrow))),0,IF(OFFSET(PLE!$G$14,$M499,BV$13)="",10^12,OFFSET(PLE!$G$14,$M499,BV$13))))</f>
        <v>1000000000000</v>
      </c>
      <c r="BW499" s="182">
        <f ca="1">IF($D499&lt;&gt;"Serviço",0,IF(OR(AND(AUTOEVENTO="Manual",$M499=1),$M499&gt;(ROW(PLE.lastrow)-ROW(PLE.firstrow))),0,IF(OFFSET(PLE!$G$14,$M499,BW$13)="",10^12,OFFSET(PLE!$G$14,$M499,BW$13))))</f>
        <v>1000000000000</v>
      </c>
      <c r="BX499" s="182">
        <f ca="1">IF($D499&lt;&gt;"Serviço",0,IF(OR(AND(AUTOEVENTO="Manual",$M499=1),$M499&gt;(ROW(PLE.lastrow)-ROW(PLE.firstrow))),0,IF(OFFSET(PLE!$G$14,$M499,BX$13)="",10^12,OFFSET(PLE!$G$14,$M499,BX$13))))</f>
        <v>1000000000000</v>
      </c>
      <c r="BY499" s="182">
        <f ca="1">IF($D499&lt;&gt;"Serviço",0,IF(OR(AND(AUTOEVENTO="Manual",$M499=1),$M499&gt;(ROW(PLE.lastrow)-ROW(PLE.firstrow))),0,IF(OFFSET(PLE!$G$14,$M499,BY$13)="",10^12,OFFSET(PLE!$G$14,$M499,BY$13))))</f>
        <v>1000000000000</v>
      </c>
      <c r="BZ499" s="182">
        <f ca="1">IF($D499&lt;&gt;"Serviço",0,IF(OR(AND(AUTOEVENTO="Manual",$M499=1),$M499&gt;(ROW(PLE.lastrow)-ROW(PLE.firstrow))),0,IF(OFFSET(PLE!$G$14,$M499,BZ$13)="",10^12,OFFSET(PLE!$G$14,$M499,BZ$13))))</f>
        <v>1000000000000</v>
      </c>
      <c r="CA499" s="182">
        <f ca="1">IF($D499&lt;&gt;"Serviço",0,IF(OR(AND(AUTOEVENTO="Manual",$M499=1),$M499&gt;(ROW(PLE.lastrow)-ROW(PLE.firstrow))),0,IF(OFFSET(PLE!$G$14,$M499,CA$13)="",10^12,OFFSET(PLE!$G$14,$M499,CA$13))))</f>
        <v>1000000000000</v>
      </c>
      <c r="CB499" s="182">
        <f ca="1">IF($D499&lt;&gt;"Serviço",0,IF(OR(AND(AUTOEVENTO="Manual",$M499=1),$M499&gt;(ROW(PLE.lastrow)-ROW(PLE.firstrow))),0,IF(OFFSET(PLE!$G$14,$M499,CB$13)="",10^12,OFFSET(PLE!$G$14,$M499,CB$13))))</f>
        <v>1000000000000</v>
      </c>
      <c r="CC499" s="182">
        <f ca="1">IF($D499&lt;&gt;"Serviço",0,IF(OR(AND(AUTOEVENTO="Manual",$M499=1),$M499&gt;(ROW(PLE.lastrow)-ROW(PLE.firstrow))),0,IF(OFFSET(PLE!$G$14,$M499,CC$13)="",10^12,OFFSET(PLE!$G$14,$M499,CC$13))))</f>
        <v>1000000000000</v>
      </c>
      <c r="CD499" s="182">
        <f ca="1">IF($D499&lt;&gt;"Serviço",0,IF(OR(AND(AUTOEVENTO="Manual",$M499=1),$M499&gt;(ROW(PLE.lastrow)-ROW(PLE.firstrow))),0,IF(OFFSET(PLE!$G$14,$M499,CD$13)="",10^12,OFFSET(PLE!$G$14,$M499,CD$13))))</f>
        <v>1000000000000</v>
      </c>
      <c r="CE499" s="182">
        <f ca="1">IF($D499&lt;&gt;"Serviço",0,IF(OR(AND(AUTOEVENTO="Manual",$M499=1),$M499&gt;(ROW(PLE.lastrow)-ROW(PLE.firstrow))),0,IF(OFFSET(PLE!$G$14,$M499,CE$13)="",10^12,OFFSET(PLE!$G$14,$M499,CE$13))))</f>
        <v>1000000000000</v>
      </c>
      <c r="CF499" s="182">
        <f ca="1">IF($D499&lt;&gt;"Serviço",0,IF(OR(AND(AUTOEVENTO="Manual",$M499=1),$M499&gt;(ROW(PLE.lastrow)-ROW(PLE.firstrow))),0,IF(OFFSET(PLE!$G$14,$M499,CF$13)="",10^12,OFFSET(PLE!$G$14,$M499,CF$13))))</f>
        <v>1000000000000</v>
      </c>
      <c r="CG499" s="182">
        <f ca="1">IF($D499&lt;&gt;"Serviço",0,IF(OR(AND(AUTOEVENTO="Manual",$M499=1),$M499&gt;(ROW(PLE.lastrow)-ROW(PLE.firstrow))),0,IF(OFFSET(PLE!$G$14,$M499,CG$13)="",10^12,OFFSET(PLE!$G$14,$M499,CG$13))))</f>
        <v>1000000000000</v>
      </c>
      <c r="CH499" s="182">
        <f ca="1">IF($D499&lt;&gt;"Serviço",0,IF(OR(AND(AUTOEVENTO="Manual",$M499=1),$M499&gt;(ROW(PLE.lastrow)-ROW(PLE.firstrow))),0,IF(OFFSET(PLE!$G$14,$M499,CH$13)="",10^12,OFFSET(PLE!$G$14,$M499,CH$13))))</f>
        <v>1000000000000</v>
      </c>
      <c r="CI499" s="182">
        <f ca="1">IF($D499&lt;&gt;"Serviço",0,IF(OR(AND(AUTOEVENTO="Manual",$M499=1),$M499&gt;(ROW(PLE.lastrow)-ROW(PLE.firstrow))),0,IF(OFFSET(PLE!$G$14,$M499,CI$13)="",10^12,OFFSET(PLE!$G$14,$M499,CI$13))))</f>
        <v>1000000000000</v>
      </c>
      <c r="CJ499" s="182">
        <f ca="1">IF($D499&lt;&gt;"Serviço",0,IF(OR(AND(AUTOEVENTO="Manual",$M499=1),$M499&gt;(ROW(PLE.lastrow)-ROW(PLE.firstrow))),0,IF(OFFSET(PLE!$G$14,$M499,CJ$13)="",10^12,OFFSET(PLE!$G$14,$M499,CJ$13))))</f>
        <v>1000000000000</v>
      </c>
      <c r="CK499" s="182">
        <f ca="1">IF($D499&lt;&gt;"Serviço",0,IF(OR(AND(AUTOEVENTO="Manual",$M499=1),$M499&gt;(ROW(PLE.lastrow)-ROW(PLE.firstrow))),0,IF(OFFSET(PLE!$G$14,$M499,CK$13)="",10^12,OFFSET(PLE!$G$14,$M499,CK$13))))</f>
        <v>1000000000000</v>
      </c>
      <c r="CL499" s="182">
        <f ca="1">IF($D499&lt;&gt;"Serviço",0,IF(OR(AND(AUTOEVENTO="Manual",$M499=1),$M499&gt;(ROW(PLE.lastrow)-ROW(PLE.firstrow))),0,IF(OFFSET(PLE!$G$14,$M499,CL$13)="",10^12,OFFSET(PLE!$G$14,$M499,CL$13))))</f>
        <v>1000000000000</v>
      </c>
      <c r="CM499" s="182">
        <f ca="1">IF($D499&lt;&gt;"Serviço",0,IF(OR(AND(AUTOEVENTO="Manual",$M499=1),$M499&gt;(ROW(PLE.lastrow)-ROW(PLE.firstrow))),0,IF(OFFSET(PLE!$G$14,$M499,CM$13)="",10^12,OFFSET(PLE!$G$14,$M499,CM$13))))</f>
        <v>1000000000000</v>
      </c>
    </row>
    <row r="500" spans="1:91" ht="25.5" x14ac:dyDescent="0.2">
      <c r="A500" s="7" t="str">
        <f t="shared" ca="1" si="16"/>
        <v>475</v>
      </c>
      <c r="B500" s="7" t="str">
        <f ca="1">OFFSET(ORÇAMENTO!C$15,ROW(B500)-ROW(B$15),0)</f>
        <v>S</v>
      </c>
      <c r="C500" s="7" t="str">
        <f ca="1">OFFSET(ORÇAMENTO!L$15,ROW(C500)-ROW(C$15),0)</f>
        <v/>
      </c>
      <c r="D500" s="118" t="str">
        <f ca="1">OFFSET(ORÇAMENTO!N$15,ROW(D500)-ROW(D$15),0)</f>
        <v>Serviço</v>
      </c>
      <c r="E500" s="119" t="str">
        <f ca="1">OFFSET(ORÇAMENTO!O$15,ROW(E500)-ROW(E$15),0)</f>
        <v>-</v>
      </c>
      <c r="F500" s="172" t="str">
        <f ca="1">OFFSET(ORÇAMENTO!R$15,ROW(F500)-ROW(F$15),0)</f>
        <v>(abra o arquivo 'Referência 06-2024.xlsm)</v>
      </c>
      <c r="G500" s="173" t="str">
        <f ca="1">IF($D500&lt;&gt;"Serviço","",OFFSET(ORÇAMENTO!S$15,ROW(G500)-ROW(G$15),0))</f>
        <v>-</v>
      </c>
      <c r="H500" s="124">
        <f ca="1">IF($D500&lt;&gt;"Serviço",0,IF(ACOMPANHAMENTO="BM",ROUND(OFFSET(ORÇAMENTO!AJ$15,ROW(H500)-ROW(H$15),0),15-13*ORÇAMENTO!$AF$7),SUMPRODUCT(($Q$12:$AI$12&lt;&gt;"")*ROUND($Q500:$AI500,15-13*ORÇAMENTO!$AF$7))))</f>
        <v>2.2000000000000002</v>
      </c>
      <c r="I500" s="561" t="s">
        <v>1107</v>
      </c>
      <c r="K500" s="174"/>
      <c r="L500" s="175" t="s">
        <v>255</v>
      </c>
      <c r="M500" s="176">
        <f ca="1">IF($D500&lt;&gt;"Serviço","",IF(AUTOEVENTO="manual",$A500,IF(ISERROR(MATCH($A500,$A$15:OFFSET($A500,-1,0),0)),MAX($M$15:OFFSET(M500,-1,0))+1,INDEX($M$15:OFFSET(M500,-1,0),MATCH($A500,$A$15:OFFSET($A500,-1,0),0)))))</f>
        <v>53</v>
      </c>
      <c r="N500" s="177" t="str">
        <f ca="1">IF($D500&lt;&gt;"Serviço","",IF(AUTOEVENTO="Manual",IF($A500=0,"&lt;-- defina o número do agrupador",OFFSET(EVENTOS!$D$14,$A500,0)),OFFSET($F$15,$A500,0)))</f>
        <v>INSTALAÇÃO ELÉTRICA 110V - ACESSÓRIOS EM GERAL</v>
      </c>
      <c r="O500" s="178"/>
      <c r="Q500" s="178">
        <v>2.2000000000000002</v>
      </c>
      <c r="R500" s="179"/>
      <c r="S500" s="179"/>
      <c r="T500" s="179"/>
      <c r="U500" s="179"/>
      <c r="V500" s="179"/>
      <c r="W500" s="179"/>
      <c r="X500" s="179"/>
      <c r="Y500" s="179"/>
      <c r="Z500" s="180"/>
      <c r="AA500" s="179"/>
      <c r="AB500" s="179"/>
      <c r="AC500" s="179"/>
      <c r="AD500" s="179"/>
      <c r="AE500" s="179"/>
      <c r="AF500" s="179"/>
      <c r="AG500" s="179"/>
      <c r="AH500" s="180"/>
      <c r="AJ500" s="544">
        <f ca="1">IF(AND($D500="Serviço",AJ$12&lt;&gt;0,$H500&gt;0,OR(AUTOEVENTO&lt;&gt;"manual",$M500&lt;&gt;1)),
IF(Import.TipoArredondamento&lt;&gt;"TransfereGOV",
ROUND(OFFSET($P500,0,AJ$13),15-13*ORÇAMENTO!$AF$7)/$H500*OFFSET(ORÇAMENTO!$X$15,ROW(AJ500)-ROW(AJ$15),0),
ROUND(ROUND(OFFSET($P500,0,AJ$13),15-13*ORÇAMENTO!$AF$7)*OFFSET(ORÇAMENTO!$W$15,ROW(AJ500)-ROW(AJ$15),0),15-13*ORÇAMENTO!$AF$11)),0)</f>
        <v>0</v>
      </c>
      <c r="AK500" s="545">
        <f ca="1">IF(AND($D500="Serviço",AK$12&lt;&gt;0,$H500&gt;0,OR(AUTOEVENTO&lt;&gt;"manual",$M500&lt;&gt;1)),
IF(Import.TipoArredondamento&lt;&gt;"TransfereGOV",
ROUND(OFFSET($P500,0,AK$13),15-13*ORÇAMENTO!$AF$7)/$H500*OFFSET(ORÇAMENTO!$X$15,ROW(AK500)-ROW(AK$15),0),
ROUND(ROUND(OFFSET($P500,0,AK$13),15-13*ORÇAMENTO!$AF$7)*OFFSET(ORÇAMENTO!$W$15,ROW(AK500)-ROW(AK$15),0),15-13*ORÇAMENTO!$AF$11)),0)</f>
        <v>0</v>
      </c>
      <c r="AL500" s="545">
        <f ca="1">IF(AND($D500="Serviço",AL$12&lt;&gt;0,$H500&gt;0,OR(AUTOEVENTO&lt;&gt;"manual",$M500&lt;&gt;1)),
IF(Import.TipoArredondamento&lt;&gt;"TransfereGOV",
ROUND(OFFSET($P500,0,AL$13),15-13*ORÇAMENTO!$AF$7)/$H500*OFFSET(ORÇAMENTO!$X$15,ROW(AL500)-ROW(AL$15),0),
ROUND(ROUND(OFFSET($P500,0,AL$13),15-13*ORÇAMENTO!$AF$7)*OFFSET(ORÇAMENTO!$W$15,ROW(AL500)-ROW(AL$15),0),15-13*ORÇAMENTO!$AF$11)),0)</f>
        <v>0</v>
      </c>
      <c r="AM500" s="545">
        <f ca="1">IF(AND($D500="Serviço",AM$12&lt;&gt;0,$H500&gt;0,OR(AUTOEVENTO&lt;&gt;"manual",$M500&lt;&gt;1)),
IF(Import.TipoArredondamento&lt;&gt;"TransfereGOV",
ROUND(OFFSET($P500,0,AM$13),15-13*ORÇAMENTO!$AF$7)/$H500*OFFSET(ORÇAMENTO!$X$15,ROW(AM500)-ROW(AM$15),0),
ROUND(ROUND(OFFSET($P500,0,AM$13),15-13*ORÇAMENTO!$AF$7)*OFFSET(ORÇAMENTO!$W$15,ROW(AM500)-ROW(AM$15),0),15-13*ORÇAMENTO!$AF$11)),0)</f>
        <v>0</v>
      </c>
      <c r="AN500" s="545">
        <f ca="1">IF(AND($D500="Serviço",AN$12&lt;&gt;0,$H500&gt;0,OR(AUTOEVENTO&lt;&gt;"manual",$M500&lt;&gt;1)),
IF(Import.TipoArredondamento&lt;&gt;"TransfereGOV",
ROUND(OFFSET($P500,0,AN$13),15-13*ORÇAMENTO!$AF$7)/$H500*OFFSET(ORÇAMENTO!$X$15,ROW(AN500)-ROW(AN$15),0),
ROUND(ROUND(OFFSET($P500,0,AN$13),15-13*ORÇAMENTO!$AF$7)*OFFSET(ORÇAMENTO!$W$15,ROW(AN500)-ROW(AN$15),0),15-13*ORÇAMENTO!$AF$11)),0)</f>
        <v>0</v>
      </c>
      <c r="AO500" s="545">
        <f ca="1">IF(AND($D500="Serviço",AO$12&lt;&gt;0,$H500&gt;0,OR(AUTOEVENTO&lt;&gt;"manual",$M500&lt;&gt;1)),
IF(Import.TipoArredondamento&lt;&gt;"TransfereGOV",
ROUND(OFFSET($P500,0,AO$13),15-13*ORÇAMENTO!$AF$7)/$H500*OFFSET(ORÇAMENTO!$X$15,ROW(AO500)-ROW(AO$15),0),
ROUND(ROUND(OFFSET($P500,0,AO$13),15-13*ORÇAMENTO!$AF$7)*OFFSET(ORÇAMENTO!$W$15,ROW(AO500)-ROW(AO$15),0),15-13*ORÇAMENTO!$AF$11)),0)</f>
        <v>0</v>
      </c>
      <c r="AP500" s="545">
        <f ca="1">IF(AND($D500="Serviço",AP$12&lt;&gt;0,$H500&gt;0,OR(AUTOEVENTO&lt;&gt;"manual",$M500&lt;&gt;1)),
IF(Import.TipoArredondamento&lt;&gt;"TransfereGOV",
ROUND(OFFSET($P500,0,AP$13),15-13*ORÇAMENTO!$AF$7)/$H500*OFFSET(ORÇAMENTO!$X$15,ROW(AP500)-ROW(AP$15),0),
ROUND(ROUND(OFFSET($P500,0,AP$13),15-13*ORÇAMENTO!$AF$7)*OFFSET(ORÇAMENTO!$W$15,ROW(AP500)-ROW(AP$15),0),15-13*ORÇAMENTO!$AF$11)),0)</f>
        <v>0</v>
      </c>
      <c r="AQ500" s="545">
        <f ca="1">IF(AND($D500="Serviço",AQ$12&lt;&gt;0,$H500&gt;0,OR(AUTOEVENTO&lt;&gt;"manual",$M500&lt;&gt;1)),
IF(Import.TipoArredondamento&lt;&gt;"TransfereGOV",
ROUND(OFFSET($P500,0,AQ$13),15-13*ORÇAMENTO!$AF$7)/$H500*OFFSET(ORÇAMENTO!$X$15,ROW(AQ500)-ROW(AQ$15),0),
ROUND(ROUND(OFFSET($P500,0,AQ$13),15-13*ORÇAMENTO!$AF$7)*OFFSET(ORÇAMENTO!$W$15,ROW(AQ500)-ROW(AQ$15),0),15-13*ORÇAMENTO!$AF$11)),0)</f>
        <v>0</v>
      </c>
      <c r="AR500" s="545">
        <f ca="1">IF(AND($D500="Serviço",AR$12&lt;&gt;0,$H500&gt;0,OR(AUTOEVENTO&lt;&gt;"manual",$M500&lt;&gt;1)),
IF(Import.TipoArredondamento&lt;&gt;"TransfereGOV",
ROUND(OFFSET($P500,0,AR$13),15-13*ORÇAMENTO!$AF$7)/$H500*OFFSET(ORÇAMENTO!$X$15,ROW(AR500)-ROW(AR$15),0),
ROUND(ROUND(OFFSET($P500,0,AR$13),15-13*ORÇAMENTO!$AF$7)*OFFSET(ORÇAMENTO!$W$15,ROW(AR500)-ROW(AR$15),0),15-13*ORÇAMENTO!$AF$11)),0)</f>
        <v>0</v>
      </c>
      <c r="AS500" s="546">
        <f ca="1">IF(AND($D500="Serviço",AS$12&lt;&gt;0,$H500&gt;0,OR(AUTOEVENTO&lt;&gt;"manual",$M500&lt;&gt;1)),
IF(Import.TipoArredondamento&lt;&gt;"TransfereGOV",
ROUND(OFFSET($P500,0,AS$13),15-13*ORÇAMENTO!$AF$7)/$H500*OFFSET(ORÇAMENTO!$X$15,ROW(AS500)-ROW(AS$15),0),
ROUND(ROUND(OFFSET($P500,0,AS$13),15-13*ORÇAMENTO!$AF$7)*OFFSET(ORÇAMENTO!$W$15,ROW(AS500)-ROW(AS$15),0),15-13*ORÇAMENTO!$AF$11)),0)</f>
        <v>0</v>
      </c>
      <c r="AT500" s="545">
        <f ca="1">IF(AND($D500="Serviço",AT$12&lt;&gt;0,$H500&gt;0,OR(AUTOEVENTO&lt;&gt;"manual",$M500&lt;&gt;1)),
IF(Import.TipoArredondamento&lt;&gt;"TransfereGOV",
ROUND(OFFSET($P500,0,AT$13),15-13*ORÇAMENTO!$AF$7)/$H500*OFFSET(ORÇAMENTO!$X$15,ROW(AT500)-ROW(AT$15),0),
ROUND(ROUND(OFFSET($P500,0,AT$13),15-13*ORÇAMENTO!$AF$7)*OFFSET(ORÇAMENTO!$W$15,ROW(AT500)-ROW(AT$15),0),15-13*ORÇAMENTO!$AF$11)),0)</f>
        <v>0</v>
      </c>
      <c r="AU500" s="545">
        <f ca="1">IF(AND($D500="Serviço",AU$12&lt;&gt;0,$H500&gt;0,OR(AUTOEVENTO&lt;&gt;"manual",$M500&lt;&gt;1)),
IF(Import.TipoArredondamento&lt;&gt;"TransfereGOV",
ROUND(OFFSET($P500,0,AU$13),15-13*ORÇAMENTO!$AF$7)/$H500*OFFSET(ORÇAMENTO!$X$15,ROW(AU500)-ROW(AU$15),0),
ROUND(ROUND(OFFSET($P500,0,AU$13),15-13*ORÇAMENTO!$AF$7)*OFFSET(ORÇAMENTO!$W$15,ROW(AU500)-ROW(AU$15),0),15-13*ORÇAMENTO!$AF$11)),0)</f>
        <v>0</v>
      </c>
      <c r="AV500" s="545">
        <f ca="1">IF(AND($D500="Serviço",AV$12&lt;&gt;0,$H500&gt;0,OR(AUTOEVENTO&lt;&gt;"manual",$M500&lt;&gt;1)),
IF(Import.TipoArredondamento&lt;&gt;"TransfereGOV",
ROUND(OFFSET($P500,0,AV$13),15-13*ORÇAMENTO!$AF$7)/$H500*OFFSET(ORÇAMENTO!$X$15,ROW(AV500)-ROW(AV$15),0),
ROUND(ROUND(OFFSET($P500,0,AV$13),15-13*ORÇAMENTO!$AF$7)*OFFSET(ORÇAMENTO!$W$15,ROW(AV500)-ROW(AV$15),0),15-13*ORÇAMENTO!$AF$11)),0)</f>
        <v>0</v>
      </c>
      <c r="AW500" s="545">
        <f ca="1">IF(AND($D500="Serviço",AW$12&lt;&gt;0,$H500&gt;0,OR(AUTOEVENTO&lt;&gt;"manual",$M500&lt;&gt;1)),
IF(Import.TipoArredondamento&lt;&gt;"TransfereGOV",
ROUND(OFFSET($P500,0,AW$13),15-13*ORÇAMENTO!$AF$7)/$H500*OFFSET(ORÇAMENTO!$X$15,ROW(AW500)-ROW(AW$15),0),
ROUND(ROUND(OFFSET($P500,0,AW$13),15-13*ORÇAMENTO!$AF$7)*OFFSET(ORÇAMENTO!$W$15,ROW(AW500)-ROW(AW$15),0),15-13*ORÇAMENTO!$AF$11)),0)</f>
        <v>0</v>
      </c>
      <c r="AX500" s="545">
        <f ca="1">IF(AND($D500="Serviço",AX$12&lt;&gt;0,$H500&gt;0,OR(AUTOEVENTO&lt;&gt;"manual",$M500&lt;&gt;1)),
IF(Import.TipoArredondamento&lt;&gt;"TransfereGOV",
ROUND(OFFSET($P500,0,AX$13),15-13*ORÇAMENTO!$AF$7)/$H500*OFFSET(ORÇAMENTO!$X$15,ROW(AX500)-ROW(AX$15),0),
ROUND(ROUND(OFFSET($P500,0,AX$13),15-13*ORÇAMENTO!$AF$7)*OFFSET(ORÇAMENTO!$W$15,ROW(AX500)-ROW(AX$15),0),15-13*ORÇAMENTO!$AF$11)),0)</f>
        <v>0</v>
      </c>
      <c r="AY500" s="545">
        <f ca="1">IF(AND($D500="Serviço",AY$12&lt;&gt;0,$H500&gt;0,OR(AUTOEVENTO&lt;&gt;"manual",$M500&lt;&gt;1)),
IF(Import.TipoArredondamento&lt;&gt;"TransfereGOV",
ROUND(OFFSET($P500,0,AY$13),15-13*ORÇAMENTO!$AF$7)/$H500*OFFSET(ORÇAMENTO!$X$15,ROW(AY500)-ROW(AY$15),0),
ROUND(ROUND(OFFSET($P500,0,AY$13),15-13*ORÇAMENTO!$AF$7)*OFFSET(ORÇAMENTO!$W$15,ROW(AY500)-ROW(AY$15),0),15-13*ORÇAMENTO!$AF$11)),0)</f>
        <v>0</v>
      </c>
      <c r="AZ500" s="545">
        <f ca="1">IF(AND($D500="Serviço",AZ$12&lt;&gt;0,$H500&gt;0,OR(AUTOEVENTO&lt;&gt;"manual",$M500&lt;&gt;1)),
IF(Import.TipoArredondamento&lt;&gt;"TransfereGOV",
ROUND(OFFSET($P500,0,AZ$13),15-13*ORÇAMENTO!$AF$7)/$H500*OFFSET(ORÇAMENTO!$X$15,ROW(AZ500)-ROW(AZ$15),0),
ROUND(ROUND(OFFSET($P500,0,AZ$13),15-13*ORÇAMENTO!$AF$7)*OFFSET(ORÇAMENTO!$W$15,ROW(AZ500)-ROW(AZ$15),0),15-13*ORÇAMENTO!$AF$11)),0)</f>
        <v>0</v>
      </c>
      <c r="BA500" s="546">
        <f ca="1">IF(AND($D500="Serviço",BA$12&lt;&gt;0,$H500&gt;0,OR(AUTOEVENTO&lt;&gt;"manual",$M500&lt;&gt;1)),
IF(Import.TipoArredondamento&lt;&gt;"TransfereGOV",
ROUND(OFFSET($P500,0,BA$13),15-13*ORÇAMENTO!$AF$7)/$H500*OFFSET(ORÇAMENTO!$X$15,ROW(BA500)-ROW(BA$15),0),
ROUND(ROUND(OFFSET($P500,0,BA$13),15-13*ORÇAMENTO!$AF$7)*OFFSET(ORÇAMENTO!$W$15,ROW(BA500)-ROW(BA$15),0),15-13*ORÇAMENTO!$AF$11)),0)</f>
        <v>0</v>
      </c>
      <c r="BC500" s="181">
        <f ca="1">IF($D500&lt;&gt;"Serviço",0,IF(AND(AUTOEVENTO="Manual",$M500=1),0,IF(OFFSET(CRONOPLE!$F$14,$M500,BC$13)="",10^12,OFFSET(CRONOPLE!$F$14,$M500,BC$13))))</f>
        <v>10</v>
      </c>
      <c r="BD500" s="181">
        <f ca="1">IF($D500&lt;&gt;"Serviço",0,IF(AND(AUTOEVENTO="Manual",$M500=1),0,IF(OFFSET(CRONOPLE!$F$14,$M500,BD$13)="",10^12,OFFSET(CRONOPLE!$F$14,$M500,BD$13))))</f>
        <v>1000000000000</v>
      </c>
      <c r="BE500" s="181">
        <f ca="1">IF($D500&lt;&gt;"Serviço",0,IF(AND(AUTOEVENTO="Manual",$M500=1),0,IF(OFFSET(CRONOPLE!$F$14,$M500,BE$13)="",10^12,OFFSET(CRONOPLE!$F$14,$M500,BE$13))))</f>
        <v>1000000000000</v>
      </c>
      <c r="BF500" s="181">
        <f ca="1">IF($D500&lt;&gt;"Serviço",0,IF(AND(AUTOEVENTO="Manual",$M500=1),0,IF(OFFSET(CRONOPLE!$F$14,$M500,BF$13)="",10^12,OFFSET(CRONOPLE!$F$14,$M500,BF$13))))</f>
        <v>1000000000000</v>
      </c>
      <c r="BG500" s="181">
        <f ca="1">IF($D500&lt;&gt;"Serviço",0,IF(AND(AUTOEVENTO="Manual",$M500=1),0,IF(OFFSET(CRONOPLE!$F$14,$M500,BG$13)="",10^12,OFFSET(CRONOPLE!$F$14,$M500,BG$13))))</f>
        <v>1000000000000</v>
      </c>
      <c r="BH500" s="181">
        <f ca="1">IF($D500&lt;&gt;"Serviço",0,IF(AND(AUTOEVENTO="Manual",$M500=1),0,IF(OFFSET(CRONOPLE!$F$14,$M500,BH$13)="",10^12,OFFSET(CRONOPLE!$F$14,$M500,BH$13))))</f>
        <v>1000000000000</v>
      </c>
      <c r="BI500" s="181">
        <f ca="1">IF($D500&lt;&gt;"Serviço",0,IF(AND(AUTOEVENTO="Manual",$M500=1),0,IF(OFFSET(CRONOPLE!$F$14,$M500,BI$13)="",10^12,OFFSET(CRONOPLE!$F$14,$M500,BI$13))))</f>
        <v>1000000000000</v>
      </c>
      <c r="BJ500" s="181">
        <f ca="1">IF($D500&lt;&gt;"Serviço",0,IF(AND(AUTOEVENTO="Manual",$M500=1),0,IF(OFFSET(CRONOPLE!$F$14,$M500,BJ$13)="",10^12,OFFSET(CRONOPLE!$F$14,$M500,BJ$13))))</f>
        <v>1000000000000</v>
      </c>
      <c r="BK500" s="181">
        <f ca="1">IF($D500&lt;&gt;"Serviço",0,IF(AND(AUTOEVENTO="Manual",$M500=1),0,IF(OFFSET(CRONOPLE!$F$14,$M500,BK$13)="",10^12,OFFSET(CRONOPLE!$F$14,$M500,BK$13))))</f>
        <v>1000000000000</v>
      </c>
      <c r="BL500" s="181">
        <f ca="1">IF($D500&lt;&gt;"Serviço",0,IF(AND(AUTOEVENTO="Manual",$M500=1),0,IF(OFFSET(CRONOPLE!$F$14,$M500,BL$13)="",10^12,OFFSET(CRONOPLE!$F$14,$M500,BL$13))))</f>
        <v>1000000000000</v>
      </c>
      <c r="BM500" s="181">
        <f ca="1">IF($D500&lt;&gt;"Serviço",0,IF(AND(AUTOEVENTO="Manual",$M500=1),0,IF(OFFSET(CRONOPLE!$F$14,$M500,BM$13)="",10^12,OFFSET(CRONOPLE!$F$14,$M500,BM$13))))</f>
        <v>1000000000000</v>
      </c>
      <c r="BN500" s="181">
        <f ca="1">IF($D500&lt;&gt;"Serviço",0,IF(AND(AUTOEVENTO="Manual",$M500=1),0,IF(OFFSET(CRONOPLE!$F$14,$M500,BN$13)="",10^12,OFFSET(CRONOPLE!$F$14,$M500,BN$13))))</f>
        <v>1000000000000</v>
      </c>
      <c r="BO500" s="181">
        <f ca="1">IF($D500&lt;&gt;"Serviço",0,IF(AND(AUTOEVENTO="Manual",$M500=1),0,IF(OFFSET(CRONOPLE!$F$14,$M500,BO$13)="",10^12,OFFSET(CRONOPLE!$F$14,$M500,BO$13))))</f>
        <v>1000000000000</v>
      </c>
      <c r="BP500" s="181">
        <f ca="1">IF($D500&lt;&gt;"Serviço",0,IF(AND(AUTOEVENTO="Manual",$M500=1),0,IF(OFFSET(CRONOPLE!$F$14,$M500,BP$13)="",10^12,OFFSET(CRONOPLE!$F$14,$M500,BP$13))))</f>
        <v>1000000000000</v>
      </c>
      <c r="BQ500" s="181">
        <f ca="1">IF($D500&lt;&gt;"Serviço",0,IF(AND(AUTOEVENTO="Manual",$M500=1),0,IF(OFFSET(CRONOPLE!$F$14,$M500,BQ$13)="",10^12,OFFSET(CRONOPLE!$F$14,$M500,BQ$13))))</f>
        <v>1000000000000</v>
      </c>
      <c r="BR500" s="181">
        <f ca="1">IF($D500&lt;&gt;"Serviço",0,IF(AND(AUTOEVENTO="Manual",$M500=1),0,IF(OFFSET(CRONOPLE!$F$14,$M500,BR$13)="",10^12,OFFSET(CRONOPLE!$F$14,$M500,BR$13))))</f>
        <v>1000000000000</v>
      </c>
      <c r="BS500" s="181">
        <f ca="1">IF($D500&lt;&gt;"Serviço",0,IF(AND(AUTOEVENTO="Manual",$M500=1),0,IF(OFFSET(CRONOPLE!$F$14,$M500,BS$13)="",10^12,OFFSET(CRONOPLE!$F$14,$M500,BS$13))))</f>
        <v>1000000000000</v>
      </c>
      <c r="BT500" s="181">
        <f ca="1">IF($D500&lt;&gt;"Serviço",0,IF(AND(AUTOEVENTO="Manual",$M500=1),0,IF(OFFSET(CRONOPLE!$F$14,$M500,BT$13)="",10^12,OFFSET(CRONOPLE!$F$14,$M500,BT$13))))</f>
        <v>1000000000000</v>
      </c>
      <c r="BV500" s="182">
        <f ca="1">IF($D500&lt;&gt;"Serviço",0,IF(OR(AND(AUTOEVENTO="Manual",$M500=1),$M500&gt;(ROW(PLE.lastrow)-ROW(PLE.firstrow))),0,IF(OFFSET(PLE!$G$14,$M500,BV$13)="",10^12,OFFSET(PLE!$G$14,$M500,BV$13))))</f>
        <v>1000000000000</v>
      </c>
      <c r="BW500" s="182">
        <f ca="1">IF($D500&lt;&gt;"Serviço",0,IF(OR(AND(AUTOEVENTO="Manual",$M500=1),$M500&gt;(ROW(PLE.lastrow)-ROW(PLE.firstrow))),0,IF(OFFSET(PLE!$G$14,$M500,BW$13)="",10^12,OFFSET(PLE!$G$14,$M500,BW$13))))</f>
        <v>1000000000000</v>
      </c>
      <c r="BX500" s="182">
        <f ca="1">IF($D500&lt;&gt;"Serviço",0,IF(OR(AND(AUTOEVENTO="Manual",$M500=1),$M500&gt;(ROW(PLE.lastrow)-ROW(PLE.firstrow))),0,IF(OFFSET(PLE!$G$14,$M500,BX$13)="",10^12,OFFSET(PLE!$G$14,$M500,BX$13))))</f>
        <v>1000000000000</v>
      </c>
      <c r="BY500" s="182">
        <f ca="1">IF($D500&lt;&gt;"Serviço",0,IF(OR(AND(AUTOEVENTO="Manual",$M500=1),$M500&gt;(ROW(PLE.lastrow)-ROW(PLE.firstrow))),0,IF(OFFSET(PLE!$G$14,$M500,BY$13)="",10^12,OFFSET(PLE!$G$14,$M500,BY$13))))</f>
        <v>1000000000000</v>
      </c>
      <c r="BZ500" s="182">
        <f ca="1">IF($D500&lt;&gt;"Serviço",0,IF(OR(AND(AUTOEVENTO="Manual",$M500=1),$M500&gt;(ROW(PLE.lastrow)-ROW(PLE.firstrow))),0,IF(OFFSET(PLE!$G$14,$M500,BZ$13)="",10^12,OFFSET(PLE!$G$14,$M500,BZ$13))))</f>
        <v>1000000000000</v>
      </c>
      <c r="CA500" s="182">
        <f ca="1">IF($D500&lt;&gt;"Serviço",0,IF(OR(AND(AUTOEVENTO="Manual",$M500=1),$M500&gt;(ROW(PLE.lastrow)-ROW(PLE.firstrow))),0,IF(OFFSET(PLE!$G$14,$M500,CA$13)="",10^12,OFFSET(PLE!$G$14,$M500,CA$13))))</f>
        <v>1000000000000</v>
      </c>
      <c r="CB500" s="182">
        <f ca="1">IF($D500&lt;&gt;"Serviço",0,IF(OR(AND(AUTOEVENTO="Manual",$M500=1),$M500&gt;(ROW(PLE.lastrow)-ROW(PLE.firstrow))),0,IF(OFFSET(PLE!$G$14,$M500,CB$13)="",10^12,OFFSET(PLE!$G$14,$M500,CB$13))))</f>
        <v>1000000000000</v>
      </c>
      <c r="CC500" s="182">
        <f ca="1">IF($D500&lt;&gt;"Serviço",0,IF(OR(AND(AUTOEVENTO="Manual",$M500=1),$M500&gt;(ROW(PLE.lastrow)-ROW(PLE.firstrow))),0,IF(OFFSET(PLE!$G$14,$M500,CC$13)="",10^12,OFFSET(PLE!$G$14,$M500,CC$13))))</f>
        <v>1000000000000</v>
      </c>
      <c r="CD500" s="182">
        <f ca="1">IF($D500&lt;&gt;"Serviço",0,IF(OR(AND(AUTOEVENTO="Manual",$M500=1),$M500&gt;(ROW(PLE.lastrow)-ROW(PLE.firstrow))),0,IF(OFFSET(PLE!$G$14,$M500,CD$13)="",10^12,OFFSET(PLE!$G$14,$M500,CD$13))))</f>
        <v>1000000000000</v>
      </c>
      <c r="CE500" s="182">
        <f ca="1">IF($D500&lt;&gt;"Serviço",0,IF(OR(AND(AUTOEVENTO="Manual",$M500=1),$M500&gt;(ROW(PLE.lastrow)-ROW(PLE.firstrow))),0,IF(OFFSET(PLE!$G$14,$M500,CE$13)="",10^12,OFFSET(PLE!$G$14,$M500,CE$13))))</f>
        <v>1000000000000</v>
      </c>
      <c r="CF500" s="182">
        <f ca="1">IF($D500&lt;&gt;"Serviço",0,IF(OR(AND(AUTOEVENTO="Manual",$M500=1),$M500&gt;(ROW(PLE.lastrow)-ROW(PLE.firstrow))),0,IF(OFFSET(PLE!$G$14,$M500,CF$13)="",10^12,OFFSET(PLE!$G$14,$M500,CF$13))))</f>
        <v>1000000000000</v>
      </c>
      <c r="CG500" s="182">
        <f ca="1">IF($D500&lt;&gt;"Serviço",0,IF(OR(AND(AUTOEVENTO="Manual",$M500=1),$M500&gt;(ROW(PLE.lastrow)-ROW(PLE.firstrow))),0,IF(OFFSET(PLE!$G$14,$M500,CG$13)="",10^12,OFFSET(PLE!$G$14,$M500,CG$13))))</f>
        <v>1000000000000</v>
      </c>
      <c r="CH500" s="182">
        <f ca="1">IF($D500&lt;&gt;"Serviço",0,IF(OR(AND(AUTOEVENTO="Manual",$M500=1),$M500&gt;(ROW(PLE.lastrow)-ROW(PLE.firstrow))),0,IF(OFFSET(PLE!$G$14,$M500,CH$13)="",10^12,OFFSET(PLE!$G$14,$M500,CH$13))))</f>
        <v>1000000000000</v>
      </c>
      <c r="CI500" s="182">
        <f ca="1">IF($D500&lt;&gt;"Serviço",0,IF(OR(AND(AUTOEVENTO="Manual",$M500=1),$M500&gt;(ROW(PLE.lastrow)-ROW(PLE.firstrow))),0,IF(OFFSET(PLE!$G$14,$M500,CI$13)="",10^12,OFFSET(PLE!$G$14,$M500,CI$13))))</f>
        <v>1000000000000</v>
      </c>
      <c r="CJ500" s="182">
        <f ca="1">IF($D500&lt;&gt;"Serviço",0,IF(OR(AND(AUTOEVENTO="Manual",$M500=1),$M500&gt;(ROW(PLE.lastrow)-ROW(PLE.firstrow))),0,IF(OFFSET(PLE!$G$14,$M500,CJ$13)="",10^12,OFFSET(PLE!$G$14,$M500,CJ$13))))</f>
        <v>1000000000000</v>
      </c>
      <c r="CK500" s="182">
        <f ca="1">IF($D500&lt;&gt;"Serviço",0,IF(OR(AND(AUTOEVENTO="Manual",$M500=1),$M500&gt;(ROW(PLE.lastrow)-ROW(PLE.firstrow))),0,IF(OFFSET(PLE!$G$14,$M500,CK$13)="",10^12,OFFSET(PLE!$G$14,$M500,CK$13))))</f>
        <v>1000000000000</v>
      </c>
      <c r="CL500" s="182">
        <f ca="1">IF($D500&lt;&gt;"Serviço",0,IF(OR(AND(AUTOEVENTO="Manual",$M500=1),$M500&gt;(ROW(PLE.lastrow)-ROW(PLE.firstrow))),0,IF(OFFSET(PLE!$G$14,$M500,CL$13)="",10^12,OFFSET(PLE!$G$14,$M500,CL$13))))</f>
        <v>1000000000000</v>
      </c>
      <c r="CM500" s="182">
        <f ca="1">IF($D500&lt;&gt;"Serviço",0,IF(OR(AND(AUTOEVENTO="Manual",$M500=1),$M500&gt;(ROW(PLE.lastrow)-ROW(PLE.firstrow))),0,IF(OFFSET(PLE!$G$14,$M500,CM$13)="",10^12,OFFSET(PLE!$G$14,$M500,CM$13))))</f>
        <v>1000000000000</v>
      </c>
    </row>
    <row r="501" spans="1:91" ht="25.5" x14ac:dyDescent="0.2">
      <c r="A501" s="7" t="str">
        <f t="shared" ca="1" si="16"/>
        <v>475</v>
      </c>
      <c r="B501" s="7" t="str">
        <f ca="1">OFFSET(ORÇAMENTO!C$15,ROW(B501)-ROW(B$15),0)</f>
        <v>S</v>
      </c>
      <c r="C501" s="7" t="str">
        <f ca="1">OFFSET(ORÇAMENTO!L$15,ROW(C501)-ROW(C$15),0)</f>
        <v/>
      </c>
      <c r="D501" s="118" t="str">
        <f ca="1">OFFSET(ORÇAMENTO!N$15,ROW(D501)-ROW(D$15),0)</f>
        <v>Serviço</v>
      </c>
      <c r="E501" s="119" t="str">
        <f ca="1">OFFSET(ORÇAMENTO!O$15,ROW(E501)-ROW(E$15),0)</f>
        <v>-</v>
      </c>
      <c r="F501" s="172" t="str">
        <f ca="1">OFFSET(ORÇAMENTO!R$15,ROW(F501)-ROW(F$15),0)</f>
        <v>(abra o arquivo 'Referência 06-2024.xlsm)</v>
      </c>
      <c r="G501" s="173" t="str">
        <f ca="1">IF($D501&lt;&gt;"Serviço","",OFFSET(ORÇAMENTO!S$15,ROW(G501)-ROW(G$15),0))</f>
        <v>-</v>
      </c>
      <c r="H501" s="124">
        <f ca="1">IF($D501&lt;&gt;"Serviço",0,IF(ACOMPANHAMENTO="BM",ROUND(OFFSET(ORÇAMENTO!AJ$15,ROW(H501)-ROW(H$15),0),15-13*ORÇAMENTO!$AF$7),SUMPRODUCT(($Q$12:$AI$12&lt;&gt;"")*ROUND($Q501:$AI501,15-13*ORÇAMENTO!$AF$7))))</f>
        <v>1</v>
      </c>
      <c r="I501" s="561" t="s">
        <v>1107</v>
      </c>
      <c r="K501" s="174"/>
      <c r="L501" s="175" t="s">
        <v>255</v>
      </c>
      <c r="M501" s="176">
        <f ca="1">IF($D501&lt;&gt;"Serviço","",IF(AUTOEVENTO="manual",$A501,IF(ISERROR(MATCH($A501,$A$15:OFFSET($A501,-1,0),0)),MAX($M$15:OFFSET(M501,-1,0))+1,INDEX($M$15:OFFSET(M501,-1,0),MATCH($A501,$A$15:OFFSET($A501,-1,0),0)))))</f>
        <v>53</v>
      </c>
      <c r="N501" s="177" t="str">
        <f ca="1">IF($D501&lt;&gt;"Serviço","",IF(AUTOEVENTO="Manual",IF($A501=0,"&lt;-- defina o número do agrupador",OFFSET(EVENTOS!$D$14,$A501,0)),OFFSET($F$15,$A501,0)))</f>
        <v>INSTALAÇÃO ELÉTRICA 110V - ACESSÓRIOS EM GERAL</v>
      </c>
      <c r="O501" s="178"/>
      <c r="Q501" s="178">
        <v>1</v>
      </c>
      <c r="R501" s="179"/>
      <c r="S501" s="179"/>
      <c r="T501" s="179"/>
      <c r="U501" s="179"/>
      <c r="V501" s="179"/>
      <c r="W501" s="179"/>
      <c r="X501" s="179"/>
      <c r="Y501" s="179"/>
      <c r="Z501" s="180"/>
      <c r="AA501" s="179"/>
      <c r="AB501" s="179"/>
      <c r="AC501" s="179"/>
      <c r="AD501" s="179"/>
      <c r="AE501" s="179"/>
      <c r="AF501" s="179"/>
      <c r="AG501" s="179"/>
      <c r="AH501" s="180"/>
      <c r="AJ501" s="544">
        <f ca="1">IF(AND($D501="Serviço",AJ$12&lt;&gt;0,$H501&gt;0,OR(AUTOEVENTO&lt;&gt;"manual",$M501&lt;&gt;1)),
IF(Import.TipoArredondamento&lt;&gt;"TransfereGOV",
ROUND(OFFSET($P501,0,AJ$13),15-13*ORÇAMENTO!$AF$7)/$H501*OFFSET(ORÇAMENTO!$X$15,ROW(AJ501)-ROW(AJ$15),0),
ROUND(ROUND(OFFSET($P501,0,AJ$13),15-13*ORÇAMENTO!$AF$7)*OFFSET(ORÇAMENTO!$W$15,ROW(AJ501)-ROW(AJ$15),0),15-13*ORÇAMENTO!$AF$11)),0)</f>
        <v>0</v>
      </c>
      <c r="AK501" s="545">
        <f ca="1">IF(AND($D501="Serviço",AK$12&lt;&gt;0,$H501&gt;0,OR(AUTOEVENTO&lt;&gt;"manual",$M501&lt;&gt;1)),
IF(Import.TipoArredondamento&lt;&gt;"TransfereGOV",
ROUND(OFFSET($P501,0,AK$13),15-13*ORÇAMENTO!$AF$7)/$H501*OFFSET(ORÇAMENTO!$X$15,ROW(AK501)-ROW(AK$15),0),
ROUND(ROUND(OFFSET($P501,0,AK$13),15-13*ORÇAMENTO!$AF$7)*OFFSET(ORÇAMENTO!$W$15,ROW(AK501)-ROW(AK$15),0),15-13*ORÇAMENTO!$AF$11)),0)</f>
        <v>0</v>
      </c>
      <c r="AL501" s="545">
        <f ca="1">IF(AND($D501="Serviço",AL$12&lt;&gt;0,$H501&gt;0,OR(AUTOEVENTO&lt;&gt;"manual",$M501&lt;&gt;1)),
IF(Import.TipoArredondamento&lt;&gt;"TransfereGOV",
ROUND(OFFSET($P501,0,AL$13),15-13*ORÇAMENTO!$AF$7)/$H501*OFFSET(ORÇAMENTO!$X$15,ROW(AL501)-ROW(AL$15),0),
ROUND(ROUND(OFFSET($P501,0,AL$13),15-13*ORÇAMENTO!$AF$7)*OFFSET(ORÇAMENTO!$W$15,ROW(AL501)-ROW(AL$15),0),15-13*ORÇAMENTO!$AF$11)),0)</f>
        <v>0</v>
      </c>
      <c r="AM501" s="545">
        <f ca="1">IF(AND($D501="Serviço",AM$12&lt;&gt;0,$H501&gt;0,OR(AUTOEVENTO&lt;&gt;"manual",$M501&lt;&gt;1)),
IF(Import.TipoArredondamento&lt;&gt;"TransfereGOV",
ROUND(OFFSET($P501,0,AM$13),15-13*ORÇAMENTO!$AF$7)/$H501*OFFSET(ORÇAMENTO!$X$15,ROW(AM501)-ROW(AM$15),0),
ROUND(ROUND(OFFSET($P501,0,AM$13),15-13*ORÇAMENTO!$AF$7)*OFFSET(ORÇAMENTO!$W$15,ROW(AM501)-ROW(AM$15),0),15-13*ORÇAMENTO!$AF$11)),0)</f>
        <v>0</v>
      </c>
      <c r="AN501" s="545">
        <f ca="1">IF(AND($D501="Serviço",AN$12&lt;&gt;0,$H501&gt;0,OR(AUTOEVENTO&lt;&gt;"manual",$M501&lt;&gt;1)),
IF(Import.TipoArredondamento&lt;&gt;"TransfereGOV",
ROUND(OFFSET($P501,0,AN$13),15-13*ORÇAMENTO!$AF$7)/$H501*OFFSET(ORÇAMENTO!$X$15,ROW(AN501)-ROW(AN$15),0),
ROUND(ROUND(OFFSET($P501,0,AN$13),15-13*ORÇAMENTO!$AF$7)*OFFSET(ORÇAMENTO!$W$15,ROW(AN501)-ROW(AN$15),0),15-13*ORÇAMENTO!$AF$11)),0)</f>
        <v>0</v>
      </c>
      <c r="AO501" s="545">
        <f ca="1">IF(AND($D501="Serviço",AO$12&lt;&gt;0,$H501&gt;0,OR(AUTOEVENTO&lt;&gt;"manual",$M501&lt;&gt;1)),
IF(Import.TipoArredondamento&lt;&gt;"TransfereGOV",
ROUND(OFFSET($P501,0,AO$13),15-13*ORÇAMENTO!$AF$7)/$H501*OFFSET(ORÇAMENTO!$X$15,ROW(AO501)-ROW(AO$15),0),
ROUND(ROUND(OFFSET($P501,0,AO$13),15-13*ORÇAMENTO!$AF$7)*OFFSET(ORÇAMENTO!$W$15,ROW(AO501)-ROW(AO$15),0),15-13*ORÇAMENTO!$AF$11)),0)</f>
        <v>0</v>
      </c>
      <c r="AP501" s="545">
        <f ca="1">IF(AND($D501="Serviço",AP$12&lt;&gt;0,$H501&gt;0,OR(AUTOEVENTO&lt;&gt;"manual",$M501&lt;&gt;1)),
IF(Import.TipoArredondamento&lt;&gt;"TransfereGOV",
ROUND(OFFSET($P501,0,AP$13),15-13*ORÇAMENTO!$AF$7)/$H501*OFFSET(ORÇAMENTO!$X$15,ROW(AP501)-ROW(AP$15),0),
ROUND(ROUND(OFFSET($P501,0,AP$13),15-13*ORÇAMENTO!$AF$7)*OFFSET(ORÇAMENTO!$W$15,ROW(AP501)-ROW(AP$15),0),15-13*ORÇAMENTO!$AF$11)),0)</f>
        <v>0</v>
      </c>
      <c r="AQ501" s="545">
        <f ca="1">IF(AND($D501="Serviço",AQ$12&lt;&gt;0,$H501&gt;0,OR(AUTOEVENTO&lt;&gt;"manual",$M501&lt;&gt;1)),
IF(Import.TipoArredondamento&lt;&gt;"TransfereGOV",
ROUND(OFFSET($P501,0,AQ$13),15-13*ORÇAMENTO!$AF$7)/$H501*OFFSET(ORÇAMENTO!$X$15,ROW(AQ501)-ROW(AQ$15),0),
ROUND(ROUND(OFFSET($P501,0,AQ$13),15-13*ORÇAMENTO!$AF$7)*OFFSET(ORÇAMENTO!$W$15,ROW(AQ501)-ROW(AQ$15),0),15-13*ORÇAMENTO!$AF$11)),0)</f>
        <v>0</v>
      </c>
      <c r="AR501" s="545">
        <f ca="1">IF(AND($D501="Serviço",AR$12&lt;&gt;0,$H501&gt;0,OR(AUTOEVENTO&lt;&gt;"manual",$M501&lt;&gt;1)),
IF(Import.TipoArredondamento&lt;&gt;"TransfereGOV",
ROUND(OFFSET($P501,0,AR$13),15-13*ORÇAMENTO!$AF$7)/$H501*OFFSET(ORÇAMENTO!$X$15,ROW(AR501)-ROW(AR$15),0),
ROUND(ROUND(OFFSET($P501,0,AR$13),15-13*ORÇAMENTO!$AF$7)*OFFSET(ORÇAMENTO!$W$15,ROW(AR501)-ROW(AR$15),0),15-13*ORÇAMENTO!$AF$11)),0)</f>
        <v>0</v>
      </c>
      <c r="AS501" s="546">
        <f ca="1">IF(AND($D501="Serviço",AS$12&lt;&gt;0,$H501&gt;0,OR(AUTOEVENTO&lt;&gt;"manual",$M501&lt;&gt;1)),
IF(Import.TipoArredondamento&lt;&gt;"TransfereGOV",
ROUND(OFFSET($P501,0,AS$13),15-13*ORÇAMENTO!$AF$7)/$H501*OFFSET(ORÇAMENTO!$X$15,ROW(AS501)-ROW(AS$15),0),
ROUND(ROUND(OFFSET($P501,0,AS$13),15-13*ORÇAMENTO!$AF$7)*OFFSET(ORÇAMENTO!$W$15,ROW(AS501)-ROW(AS$15),0),15-13*ORÇAMENTO!$AF$11)),0)</f>
        <v>0</v>
      </c>
      <c r="AT501" s="545">
        <f ca="1">IF(AND($D501="Serviço",AT$12&lt;&gt;0,$H501&gt;0,OR(AUTOEVENTO&lt;&gt;"manual",$M501&lt;&gt;1)),
IF(Import.TipoArredondamento&lt;&gt;"TransfereGOV",
ROUND(OFFSET($P501,0,AT$13),15-13*ORÇAMENTO!$AF$7)/$H501*OFFSET(ORÇAMENTO!$X$15,ROW(AT501)-ROW(AT$15),0),
ROUND(ROUND(OFFSET($P501,0,AT$13),15-13*ORÇAMENTO!$AF$7)*OFFSET(ORÇAMENTO!$W$15,ROW(AT501)-ROW(AT$15),0),15-13*ORÇAMENTO!$AF$11)),0)</f>
        <v>0</v>
      </c>
      <c r="AU501" s="545">
        <f ca="1">IF(AND($D501="Serviço",AU$12&lt;&gt;0,$H501&gt;0,OR(AUTOEVENTO&lt;&gt;"manual",$M501&lt;&gt;1)),
IF(Import.TipoArredondamento&lt;&gt;"TransfereGOV",
ROUND(OFFSET($P501,0,AU$13),15-13*ORÇAMENTO!$AF$7)/$H501*OFFSET(ORÇAMENTO!$X$15,ROW(AU501)-ROW(AU$15),0),
ROUND(ROUND(OFFSET($P501,0,AU$13),15-13*ORÇAMENTO!$AF$7)*OFFSET(ORÇAMENTO!$W$15,ROW(AU501)-ROW(AU$15),0),15-13*ORÇAMENTO!$AF$11)),0)</f>
        <v>0</v>
      </c>
      <c r="AV501" s="545">
        <f ca="1">IF(AND($D501="Serviço",AV$12&lt;&gt;0,$H501&gt;0,OR(AUTOEVENTO&lt;&gt;"manual",$M501&lt;&gt;1)),
IF(Import.TipoArredondamento&lt;&gt;"TransfereGOV",
ROUND(OFFSET($P501,0,AV$13),15-13*ORÇAMENTO!$AF$7)/$H501*OFFSET(ORÇAMENTO!$X$15,ROW(AV501)-ROW(AV$15),0),
ROUND(ROUND(OFFSET($P501,0,AV$13),15-13*ORÇAMENTO!$AF$7)*OFFSET(ORÇAMENTO!$W$15,ROW(AV501)-ROW(AV$15),0),15-13*ORÇAMENTO!$AF$11)),0)</f>
        <v>0</v>
      </c>
      <c r="AW501" s="545">
        <f ca="1">IF(AND($D501="Serviço",AW$12&lt;&gt;0,$H501&gt;0,OR(AUTOEVENTO&lt;&gt;"manual",$M501&lt;&gt;1)),
IF(Import.TipoArredondamento&lt;&gt;"TransfereGOV",
ROUND(OFFSET($P501,0,AW$13),15-13*ORÇAMENTO!$AF$7)/$H501*OFFSET(ORÇAMENTO!$X$15,ROW(AW501)-ROW(AW$15),0),
ROUND(ROUND(OFFSET($P501,0,AW$13),15-13*ORÇAMENTO!$AF$7)*OFFSET(ORÇAMENTO!$W$15,ROW(AW501)-ROW(AW$15),0),15-13*ORÇAMENTO!$AF$11)),0)</f>
        <v>0</v>
      </c>
      <c r="AX501" s="545">
        <f ca="1">IF(AND($D501="Serviço",AX$12&lt;&gt;0,$H501&gt;0,OR(AUTOEVENTO&lt;&gt;"manual",$M501&lt;&gt;1)),
IF(Import.TipoArredondamento&lt;&gt;"TransfereGOV",
ROUND(OFFSET($P501,0,AX$13),15-13*ORÇAMENTO!$AF$7)/$H501*OFFSET(ORÇAMENTO!$X$15,ROW(AX501)-ROW(AX$15),0),
ROUND(ROUND(OFFSET($P501,0,AX$13),15-13*ORÇAMENTO!$AF$7)*OFFSET(ORÇAMENTO!$W$15,ROW(AX501)-ROW(AX$15),0),15-13*ORÇAMENTO!$AF$11)),0)</f>
        <v>0</v>
      </c>
      <c r="AY501" s="545">
        <f ca="1">IF(AND($D501="Serviço",AY$12&lt;&gt;0,$H501&gt;0,OR(AUTOEVENTO&lt;&gt;"manual",$M501&lt;&gt;1)),
IF(Import.TipoArredondamento&lt;&gt;"TransfereGOV",
ROUND(OFFSET($P501,0,AY$13),15-13*ORÇAMENTO!$AF$7)/$H501*OFFSET(ORÇAMENTO!$X$15,ROW(AY501)-ROW(AY$15),0),
ROUND(ROUND(OFFSET($P501,0,AY$13),15-13*ORÇAMENTO!$AF$7)*OFFSET(ORÇAMENTO!$W$15,ROW(AY501)-ROW(AY$15),0),15-13*ORÇAMENTO!$AF$11)),0)</f>
        <v>0</v>
      </c>
      <c r="AZ501" s="545">
        <f ca="1">IF(AND($D501="Serviço",AZ$12&lt;&gt;0,$H501&gt;0,OR(AUTOEVENTO&lt;&gt;"manual",$M501&lt;&gt;1)),
IF(Import.TipoArredondamento&lt;&gt;"TransfereGOV",
ROUND(OFFSET($P501,0,AZ$13),15-13*ORÇAMENTO!$AF$7)/$H501*OFFSET(ORÇAMENTO!$X$15,ROW(AZ501)-ROW(AZ$15),0),
ROUND(ROUND(OFFSET($P501,0,AZ$13),15-13*ORÇAMENTO!$AF$7)*OFFSET(ORÇAMENTO!$W$15,ROW(AZ501)-ROW(AZ$15),0),15-13*ORÇAMENTO!$AF$11)),0)</f>
        <v>0</v>
      </c>
      <c r="BA501" s="546">
        <f ca="1">IF(AND($D501="Serviço",BA$12&lt;&gt;0,$H501&gt;0,OR(AUTOEVENTO&lt;&gt;"manual",$M501&lt;&gt;1)),
IF(Import.TipoArredondamento&lt;&gt;"TransfereGOV",
ROUND(OFFSET($P501,0,BA$13),15-13*ORÇAMENTO!$AF$7)/$H501*OFFSET(ORÇAMENTO!$X$15,ROW(BA501)-ROW(BA$15),0),
ROUND(ROUND(OFFSET($P501,0,BA$13),15-13*ORÇAMENTO!$AF$7)*OFFSET(ORÇAMENTO!$W$15,ROW(BA501)-ROW(BA$15),0),15-13*ORÇAMENTO!$AF$11)),0)</f>
        <v>0</v>
      </c>
      <c r="BC501" s="181">
        <f ca="1">IF($D501&lt;&gt;"Serviço",0,IF(AND(AUTOEVENTO="Manual",$M501=1),0,IF(OFFSET(CRONOPLE!$F$14,$M501,BC$13)="",10^12,OFFSET(CRONOPLE!$F$14,$M501,BC$13))))</f>
        <v>10</v>
      </c>
      <c r="BD501" s="181">
        <f ca="1">IF($D501&lt;&gt;"Serviço",0,IF(AND(AUTOEVENTO="Manual",$M501=1),0,IF(OFFSET(CRONOPLE!$F$14,$M501,BD$13)="",10^12,OFFSET(CRONOPLE!$F$14,$M501,BD$13))))</f>
        <v>1000000000000</v>
      </c>
      <c r="BE501" s="181">
        <f ca="1">IF($D501&lt;&gt;"Serviço",0,IF(AND(AUTOEVENTO="Manual",$M501=1),0,IF(OFFSET(CRONOPLE!$F$14,$M501,BE$13)="",10^12,OFFSET(CRONOPLE!$F$14,$M501,BE$13))))</f>
        <v>1000000000000</v>
      </c>
      <c r="BF501" s="181">
        <f ca="1">IF($D501&lt;&gt;"Serviço",0,IF(AND(AUTOEVENTO="Manual",$M501=1),0,IF(OFFSET(CRONOPLE!$F$14,$M501,BF$13)="",10^12,OFFSET(CRONOPLE!$F$14,$M501,BF$13))))</f>
        <v>1000000000000</v>
      </c>
      <c r="BG501" s="181">
        <f ca="1">IF($D501&lt;&gt;"Serviço",0,IF(AND(AUTOEVENTO="Manual",$M501=1),0,IF(OFFSET(CRONOPLE!$F$14,$M501,BG$13)="",10^12,OFFSET(CRONOPLE!$F$14,$M501,BG$13))))</f>
        <v>1000000000000</v>
      </c>
      <c r="BH501" s="181">
        <f ca="1">IF($D501&lt;&gt;"Serviço",0,IF(AND(AUTOEVENTO="Manual",$M501=1),0,IF(OFFSET(CRONOPLE!$F$14,$M501,BH$13)="",10^12,OFFSET(CRONOPLE!$F$14,$M501,BH$13))))</f>
        <v>1000000000000</v>
      </c>
      <c r="BI501" s="181">
        <f ca="1">IF($D501&lt;&gt;"Serviço",0,IF(AND(AUTOEVENTO="Manual",$M501=1),0,IF(OFFSET(CRONOPLE!$F$14,$M501,BI$13)="",10^12,OFFSET(CRONOPLE!$F$14,$M501,BI$13))))</f>
        <v>1000000000000</v>
      </c>
      <c r="BJ501" s="181">
        <f ca="1">IF($D501&lt;&gt;"Serviço",0,IF(AND(AUTOEVENTO="Manual",$M501=1),0,IF(OFFSET(CRONOPLE!$F$14,$M501,BJ$13)="",10^12,OFFSET(CRONOPLE!$F$14,$M501,BJ$13))))</f>
        <v>1000000000000</v>
      </c>
      <c r="BK501" s="181">
        <f ca="1">IF($D501&lt;&gt;"Serviço",0,IF(AND(AUTOEVENTO="Manual",$M501=1),0,IF(OFFSET(CRONOPLE!$F$14,$M501,BK$13)="",10^12,OFFSET(CRONOPLE!$F$14,$M501,BK$13))))</f>
        <v>1000000000000</v>
      </c>
      <c r="BL501" s="181">
        <f ca="1">IF($D501&lt;&gt;"Serviço",0,IF(AND(AUTOEVENTO="Manual",$M501=1),0,IF(OFFSET(CRONOPLE!$F$14,$M501,BL$13)="",10^12,OFFSET(CRONOPLE!$F$14,$M501,BL$13))))</f>
        <v>1000000000000</v>
      </c>
      <c r="BM501" s="181">
        <f ca="1">IF($D501&lt;&gt;"Serviço",0,IF(AND(AUTOEVENTO="Manual",$M501=1),0,IF(OFFSET(CRONOPLE!$F$14,$M501,BM$13)="",10^12,OFFSET(CRONOPLE!$F$14,$M501,BM$13))))</f>
        <v>1000000000000</v>
      </c>
      <c r="BN501" s="181">
        <f ca="1">IF($D501&lt;&gt;"Serviço",0,IF(AND(AUTOEVENTO="Manual",$M501=1),0,IF(OFFSET(CRONOPLE!$F$14,$M501,BN$13)="",10^12,OFFSET(CRONOPLE!$F$14,$M501,BN$13))))</f>
        <v>1000000000000</v>
      </c>
      <c r="BO501" s="181">
        <f ca="1">IF($D501&lt;&gt;"Serviço",0,IF(AND(AUTOEVENTO="Manual",$M501=1),0,IF(OFFSET(CRONOPLE!$F$14,$M501,BO$13)="",10^12,OFFSET(CRONOPLE!$F$14,$M501,BO$13))))</f>
        <v>1000000000000</v>
      </c>
      <c r="BP501" s="181">
        <f ca="1">IF($D501&lt;&gt;"Serviço",0,IF(AND(AUTOEVENTO="Manual",$M501=1),0,IF(OFFSET(CRONOPLE!$F$14,$M501,BP$13)="",10^12,OFFSET(CRONOPLE!$F$14,$M501,BP$13))))</f>
        <v>1000000000000</v>
      </c>
      <c r="BQ501" s="181">
        <f ca="1">IF($D501&lt;&gt;"Serviço",0,IF(AND(AUTOEVENTO="Manual",$M501=1),0,IF(OFFSET(CRONOPLE!$F$14,$M501,BQ$13)="",10^12,OFFSET(CRONOPLE!$F$14,$M501,BQ$13))))</f>
        <v>1000000000000</v>
      </c>
      <c r="BR501" s="181">
        <f ca="1">IF($D501&lt;&gt;"Serviço",0,IF(AND(AUTOEVENTO="Manual",$M501=1),0,IF(OFFSET(CRONOPLE!$F$14,$M501,BR$13)="",10^12,OFFSET(CRONOPLE!$F$14,$M501,BR$13))))</f>
        <v>1000000000000</v>
      </c>
      <c r="BS501" s="181">
        <f ca="1">IF($D501&lt;&gt;"Serviço",0,IF(AND(AUTOEVENTO="Manual",$M501=1),0,IF(OFFSET(CRONOPLE!$F$14,$M501,BS$13)="",10^12,OFFSET(CRONOPLE!$F$14,$M501,BS$13))))</f>
        <v>1000000000000</v>
      </c>
      <c r="BT501" s="181">
        <f ca="1">IF($D501&lt;&gt;"Serviço",0,IF(AND(AUTOEVENTO="Manual",$M501=1),0,IF(OFFSET(CRONOPLE!$F$14,$M501,BT$13)="",10^12,OFFSET(CRONOPLE!$F$14,$M501,BT$13))))</f>
        <v>1000000000000</v>
      </c>
      <c r="BV501" s="182">
        <f ca="1">IF($D501&lt;&gt;"Serviço",0,IF(OR(AND(AUTOEVENTO="Manual",$M501=1),$M501&gt;(ROW(PLE.lastrow)-ROW(PLE.firstrow))),0,IF(OFFSET(PLE!$G$14,$M501,BV$13)="",10^12,OFFSET(PLE!$G$14,$M501,BV$13))))</f>
        <v>1000000000000</v>
      </c>
      <c r="BW501" s="182">
        <f ca="1">IF($D501&lt;&gt;"Serviço",0,IF(OR(AND(AUTOEVENTO="Manual",$M501=1),$M501&gt;(ROW(PLE.lastrow)-ROW(PLE.firstrow))),0,IF(OFFSET(PLE!$G$14,$M501,BW$13)="",10^12,OFFSET(PLE!$G$14,$M501,BW$13))))</f>
        <v>1000000000000</v>
      </c>
      <c r="BX501" s="182">
        <f ca="1">IF($D501&lt;&gt;"Serviço",0,IF(OR(AND(AUTOEVENTO="Manual",$M501=1),$M501&gt;(ROW(PLE.lastrow)-ROW(PLE.firstrow))),0,IF(OFFSET(PLE!$G$14,$M501,BX$13)="",10^12,OFFSET(PLE!$G$14,$M501,BX$13))))</f>
        <v>1000000000000</v>
      </c>
      <c r="BY501" s="182">
        <f ca="1">IF($D501&lt;&gt;"Serviço",0,IF(OR(AND(AUTOEVENTO="Manual",$M501=1),$M501&gt;(ROW(PLE.lastrow)-ROW(PLE.firstrow))),0,IF(OFFSET(PLE!$G$14,$M501,BY$13)="",10^12,OFFSET(PLE!$G$14,$M501,BY$13))))</f>
        <v>1000000000000</v>
      </c>
      <c r="BZ501" s="182">
        <f ca="1">IF($D501&lt;&gt;"Serviço",0,IF(OR(AND(AUTOEVENTO="Manual",$M501=1),$M501&gt;(ROW(PLE.lastrow)-ROW(PLE.firstrow))),0,IF(OFFSET(PLE!$G$14,$M501,BZ$13)="",10^12,OFFSET(PLE!$G$14,$M501,BZ$13))))</f>
        <v>1000000000000</v>
      </c>
      <c r="CA501" s="182">
        <f ca="1">IF($D501&lt;&gt;"Serviço",0,IF(OR(AND(AUTOEVENTO="Manual",$M501=1),$M501&gt;(ROW(PLE.lastrow)-ROW(PLE.firstrow))),0,IF(OFFSET(PLE!$G$14,$M501,CA$13)="",10^12,OFFSET(PLE!$G$14,$M501,CA$13))))</f>
        <v>1000000000000</v>
      </c>
      <c r="CB501" s="182">
        <f ca="1">IF($D501&lt;&gt;"Serviço",0,IF(OR(AND(AUTOEVENTO="Manual",$M501=1),$M501&gt;(ROW(PLE.lastrow)-ROW(PLE.firstrow))),0,IF(OFFSET(PLE!$G$14,$M501,CB$13)="",10^12,OFFSET(PLE!$G$14,$M501,CB$13))))</f>
        <v>1000000000000</v>
      </c>
      <c r="CC501" s="182">
        <f ca="1">IF($D501&lt;&gt;"Serviço",0,IF(OR(AND(AUTOEVENTO="Manual",$M501=1),$M501&gt;(ROW(PLE.lastrow)-ROW(PLE.firstrow))),0,IF(OFFSET(PLE!$G$14,$M501,CC$13)="",10^12,OFFSET(PLE!$G$14,$M501,CC$13))))</f>
        <v>1000000000000</v>
      </c>
      <c r="CD501" s="182">
        <f ca="1">IF($D501&lt;&gt;"Serviço",0,IF(OR(AND(AUTOEVENTO="Manual",$M501=1),$M501&gt;(ROW(PLE.lastrow)-ROW(PLE.firstrow))),0,IF(OFFSET(PLE!$G$14,$M501,CD$13)="",10^12,OFFSET(PLE!$G$14,$M501,CD$13))))</f>
        <v>1000000000000</v>
      </c>
      <c r="CE501" s="182">
        <f ca="1">IF($D501&lt;&gt;"Serviço",0,IF(OR(AND(AUTOEVENTO="Manual",$M501=1),$M501&gt;(ROW(PLE.lastrow)-ROW(PLE.firstrow))),0,IF(OFFSET(PLE!$G$14,$M501,CE$13)="",10^12,OFFSET(PLE!$G$14,$M501,CE$13))))</f>
        <v>1000000000000</v>
      </c>
      <c r="CF501" s="182">
        <f ca="1">IF($D501&lt;&gt;"Serviço",0,IF(OR(AND(AUTOEVENTO="Manual",$M501=1),$M501&gt;(ROW(PLE.lastrow)-ROW(PLE.firstrow))),0,IF(OFFSET(PLE!$G$14,$M501,CF$13)="",10^12,OFFSET(PLE!$G$14,$M501,CF$13))))</f>
        <v>1000000000000</v>
      </c>
      <c r="CG501" s="182">
        <f ca="1">IF($D501&lt;&gt;"Serviço",0,IF(OR(AND(AUTOEVENTO="Manual",$M501=1),$M501&gt;(ROW(PLE.lastrow)-ROW(PLE.firstrow))),0,IF(OFFSET(PLE!$G$14,$M501,CG$13)="",10^12,OFFSET(PLE!$G$14,$M501,CG$13))))</f>
        <v>1000000000000</v>
      </c>
      <c r="CH501" s="182">
        <f ca="1">IF($D501&lt;&gt;"Serviço",0,IF(OR(AND(AUTOEVENTO="Manual",$M501=1),$M501&gt;(ROW(PLE.lastrow)-ROW(PLE.firstrow))),0,IF(OFFSET(PLE!$G$14,$M501,CH$13)="",10^12,OFFSET(PLE!$G$14,$M501,CH$13))))</f>
        <v>1000000000000</v>
      </c>
      <c r="CI501" s="182">
        <f ca="1">IF($D501&lt;&gt;"Serviço",0,IF(OR(AND(AUTOEVENTO="Manual",$M501=1),$M501&gt;(ROW(PLE.lastrow)-ROW(PLE.firstrow))),0,IF(OFFSET(PLE!$G$14,$M501,CI$13)="",10^12,OFFSET(PLE!$G$14,$M501,CI$13))))</f>
        <v>1000000000000</v>
      </c>
      <c r="CJ501" s="182">
        <f ca="1">IF($D501&lt;&gt;"Serviço",0,IF(OR(AND(AUTOEVENTO="Manual",$M501=1),$M501&gt;(ROW(PLE.lastrow)-ROW(PLE.firstrow))),0,IF(OFFSET(PLE!$G$14,$M501,CJ$13)="",10^12,OFFSET(PLE!$G$14,$M501,CJ$13))))</f>
        <v>1000000000000</v>
      </c>
      <c r="CK501" s="182">
        <f ca="1">IF($D501&lt;&gt;"Serviço",0,IF(OR(AND(AUTOEVENTO="Manual",$M501=1),$M501&gt;(ROW(PLE.lastrow)-ROW(PLE.firstrow))),0,IF(OFFSET(PLE!$G$14,$M501,CK$13)="",10^12,OFFSET(PLE!$G$14,$M501,CK$13))))</f>
        <v>1000000000000</v>
      </c>
      <c r="CL501" s="182">
        <f ca="1">IF($D501&lt;&gt;"Serviço",0,IF(OR(AND(AUTOEVENTO="Manual",$M501=1),$M501&gt;(ROW(PLE.lastrow)-ROW(PLE.firstrow))),0,IF(OFFSET(PLE!$G$14,$M501,CL$13)="",10^12,OFFSET(PLE!$G$14,$M501,CL$13))))</f>
        <v>1000000000000</v>
      </c>
      <c r="CM501" s="182">
        <f ca="1">IF($D501&lt;&gt;"Serviço",0,IF(OR(AND(AUTOEVENTO="Manual",$M501=1),$M501&gt;(ROW(PLE.lastrow)-ROW(PLE.firstrow))),0,IF(OFFSET(PLE!$G$14,$M501,CM$13)="",10^12,OFFSET(PLE!$G$14,$M501,CM$13))))</f>
        <v>1000000000000</v>
      </c>
    </row>
    <row r="502" spans="1:91" ht="25.5" x14ac:dyDescent="0.2">
      <c r="A502" s="7" t="str">
        <f t="shared" ca="1" si="16"/>
        <v>475</v>
      </c>
      <c r="B502" s="7" t="str">
        <f ca="1">OFFSET(ORÇAMENTO!C$15,ROW(B502)-ROW(B$15),0)</f>
        <v>S</v>
      </c>
      <c r="C502" s="7" t="str">
        <f ca="1">OFFSET(ORÇAMENTO!L$15,ROW(C502)-ROW(C$15),0)</f>
        <v/>
      </c>
      <c r="D502" s="118" t="str">
        <f ca="1">OFFSET(ORÇAMENTO!N$15,ROW(D502)-ROW(D$15),0)</f>
        <v>Serviço</v>
      </c>
      <c r="E502" s="119" t="str">
        <f ca="1">OFFSET(ORÇAMENTO!O$15,ROW(E502)-ROW(E$15),0)</f>
        <v>-</v>
      </c>
      <c r="F502" s="172" t="str">
        <f ca="1">OFFSET(ORÇAMENTO!R$15,ROW(F502)-ROW(F$15),0)</f>
        <v>(abra o arquivo 'Referência 06-2024.xlsm)</v>
      </c>
      <c r="G502" s="173" t="str">
        <f ca="1">IF($D502&lt;&gt;"Serviço","",OFFSET(ORÇAMENTO!S$15,ROW(G502)-ROW(G$15),0))</f>
        <v>-</v>
      </c>
      <c r="H502" s="124">
        <f ca="1">IF($D502&lt;&gt;"Serviço",0,IF(ACOMPANHAMENTO="BM",ROUND(OFFSET(ORÇAMENTO!AJ$15,ROW(H502)-ROW(H$15),0),15-13*ORÇAMENTO!$AF$7),SUMPRODUCT(($Q$12:$AI$12&lt;&gt;"")*ROUND($Q502:$AI502,15-13*ORÇAMENTO!$AF$7))))</f>
        <v>1</v>
      </c>
      <c r="I502" s="561" t="s">
        <v>1107</v>
      </c>
      <c r="K502" s="174"/>
      <c r="L502" s="175" t="s">
        <v>255</v>
      </c>
      <c r="M502" s="176">
        <f ca="1">IF($D502&lt;&gt;"Serviço","",IF(AUTOEVENTO="manual",$A502,IF(ISERROR(MATCH($A502,$A$15:OFFSET($A502,-1,0),0)),MAX($M$15:OFFSET(M502,-1,0))+1,INDEX($M$15:OFFSET(M502,-1,0),MATCH($A502,$A$15:OFFSET($A502,-1,0),0)))))</f>
        <v>53</v>
      </c>
      <c r="N502" s="177" t="str">
        <f ca="1">IF($D502&lt;&gt;"Serviço","",IF(AUTOEVENTO="Manual",IF($A502=0,"&lt;-- defina o número do agrupador",OFFSET(EVENTOS!$D$14,$A502,0)),OFFSET($F$15,$A502,0)))</f>
        <v>INSTALAÇÃO ELÉTRICA 110V - ACESSÓRIOS EM GERAL</v>
      </c>
      <c r="O502" s="178"/>
      <c r="Q502" s="178">
        <v>1</v>
      </c>
      <c r="R502" s="179"/>
      <c r="S502" s="179"/>
      <c r="T502" s="179"/>
      <c r="U502" s="179"/>
      <c r="V502" s="179"/>
      <c r="W502" s="179"/>
      <c r="X502" s="179"/>
      <c r="Y502" s="179"/>
      <c r="Z502" s="180"/>
      <c r="AA502" s="179"/>
      <c r="AB502" s="179"/>
      <c r="AC502" s="179"/>
      <c r="AD502" s="179"/>
      <c r="AE502" s="179"/>
      <c r="AF502" s="179"/>
      <c r="AG502" s="179"/>
      <c r="AH502" s="180"/>
      <c r="AJ502" s="544">
        <f ca="1">IF(AND($D502="Serviço",AJ$12&lt;&gt;0,$H502&gt;0,OR(AUTOEVENTO&lt;&gt;"manual",$M502&lt;&gt;1)),
IF(Import.TipoArredondamento&lt;&gt;"TransfereGOV",
ROUND(OFFSET($P502,0,AJ$13),15-13*ORÇAMENTO!$AF$7)/$H502*OFFSET(ORÇAMENTO!$X$15,ROW(AJ502)-ROW(AJ$15),0),
ROUND(ROUND(OFFSET($P502,0,AJ$13),15-13*ORÇAMENTO!$AF$7)*OFFSET(ORÇAMENTO!$W$15,ROW(AJ502)-ROW(AJ$15),0),15-13*ORÇAMENTO!$AF$11)),0)</f>
        <v>0</v>
      </c>
      <c r="AK502" s="545">
        <f ca="1">IF(AND($D502="Serviço",AK$12&lt;&gt;0,$H502&gt;0,OR(AUTOEVENTO&lt;&gt;"manual",$M502&lt;&gt;1)),
IF(Import.TipoArredondamento&lt;&gt;"TransfereGOV",
ROUND(OFFSET($P502,0,AK$13),15-13*ORÇAMENTO!$AF$7)/$H502*OFFSET(ORÇAMENTO!$X$15,ROW(AK502)-ROW(AK$15),0),
ROUND(ROUND(OFFSET($P502,0,AK$13),15-13*ORÇAMENTO!$AF$7)*OFFSET(ORÇAMENTO!$W$15,ROW(AK502)-ROW(AK$15),0),15-13*ORÇAMENTO!$AF$11)),0)</f>
        <v>0</v>
      </c>
      <c r="AL502" s="545">
        <f ca="1">IF(AND($D502="Serviço",AL$12&lt;&gt;0,$H502&gt;0,OR(AUTOEVENTO&lt;&gt;"manual",$M502&lt;&gt;1)),
IF(Import.TipoArredondamento&lt;&gt;"TransfereGOV",
ROUND(OFFSET($P502,0,AL$13),15-13*ORÇAMENTO!$AF$7)/$H502*OFFSET(ORÇAMENTO!$X$15,ROW(AL502)-ROW(AL$15),0),
ROUND(ROUND(OFFSET($P502,0,AL$13),15-13*ORÇAMENTO!$AF$7)*OFFSET(ORÇAMENTO!$W$15,ROW(AL502)-ROW(AL$15),0),15-13*ORÇAMENTO!$AF$11)),0)</f>
        <v>0</v>
      </c>
      <c r="AM502" s="545">
        <f ca="1">IF(AND($D502="Serviço",AM$12&lt;&gt;0,$H502&gt;0,OR(AUTOEVENTO&lt;&gt;"manual",$M502&lt;&gt;1)),
IF(Import.TipoArredondamento&lt;&gt;"TransfereGOV",
ROUND(OFFSET($P502,0,AM$13),15-13*ORÇAMENTO!$AF$7)/$H502*OFFSET(ORÇAMENTO!$X$15,ROW(AM502)-ROW(AM$15),0),
ROUND(ROUND(OFFSET($P502,0,AM$13),15-13*ORÇAMENTO!$AF$7)*OFFSET(ORÇAMENTO!$W$15,ROW(AM502)-ROW(AM$15),0),15-13*ORÇAMENTO!$AF$11)),0)</f>
        <v>0</v>
      </c>
      <c r="AN502" s="545">
        <f ca="1">IF(AND($D502="Serviço",AN$12&lt;&gt;0,$H502&gt;0,OR(AUTOEVENTO&lt;&gt;"manual",$M502&lt;&gt;1)),
IF(Import.TipoArredondamento&lt;&gt;"TransfereGOV",
ROUND(OFFSET($P502,0,AN$13),15-13*ORÇAMENTO!$AF$7)/$H502*OFFSET(ORÇAMENTO!$X$15,ROW(AN502)-ROW(AN$15),0),
ROUND(ROUND(OFFSET($P502,0,AN$13),15-13*ORÇAMENTO!$AF$7)*OFFSET(ORÇAMENTO!$W$15,ROW(AN502)-ROW(AN$15),0),15-13*ORÇAMENTO!$AF$11)),0)</f>
        <v>0</v>
      </c>
      <c r="AO502" s="545">
        <f ca="1">IF(AND($D502="Serviço",AO$12&lt;&gt;0,$H502&gt;0,OR(AUTOEVENTO&lt;&gt;"manual",$M502&lt;&gt;1)),
IF(Import.TipoArredondamento&lt;&gt;"TransfereGOV",
ROUND(OFFSET($P502,0,AO$13),15-13*ORÇAMENTO!$AF$7)/$H502*OFFSET(ORÇAMENTO!$X$15,ROW(AO502)-ROW(AO$15),0),
ROUND(ROUND(OFFSET($P502,0,AO$13),15-13*ORÇAMENTO!$AF$7)*OFFSET(ORÇAMENTO!$W$15,ROW(AO502)-ROW(AO$15),0),15-13*ORÇAMENTO!$AF$11)),0)</f>
        <v>0</v>
      </c>
      <c r="AP502" s="545">
        <f ca="1">IF(AND($D502="Serviço",AP$12&lt;&gt;0,$H502&gt;0,OR(AUTOEVENTO&lt;&gt;"manual",$M502&lt;&gt;1)),
IF(Import.TipoArredondamento&lt;&gt;"TransfereGOV",
ROUND(OFFSET($P502,0,AP$13),15-13*ORÇAMENTO!$AF$7)/$H502*OFFSET(ORÇAMENTO!$X$15,ROW(AP502)-ROW(AP$15),0),
ROUND(ROUND(OFFSET($P502,0,AP$13),15-13*ORÇAMENTO!$AF$7)*OFFSET(ORÇAMENTO!$W$15,ROW(AP502)-ROW(AP$15),0),15-13*ORÇAMENTO!$AF$11)),0)</f>
        <v>0</v>
      </c>
      <c r="AQ502" s="545">
        <f ca="1">IF(AND($D502="Serviço",AQ$12&lt;&gt;0,$H502&gt;0,OR(AUTOEVENTO&lt;&gt;"manual",$M502&lt;&gt;1)),
IF(Import.TipoArredondamento&lt;&gt;"TransfereGOV",
ROUND(OFFSET($P502,0,AQ$13),15-13*ORÇAMENTO!$AF$7)/$H502*OFFSET(ORÇAMENTO!$X$15,ROW(AQ502)-ROW(AQ$15),0),
ROUND(ROUND(OFFSET($P502,0,AQ$13),15-13*ORÇAMENTO!$AF$7)*OFFSET(ORÇAMENTO!$W$15,ROW(AQ502)-ROW(AQ$15),0),15-13*ORÇAMENTO!$AF$11)),0)</f>
        <v>0</v>
      </c>
      <c r="AR502" s="545">
        <f ca="1">IF(AND($D502="Serviço",AR$12&lt;&gt;0,$H502&gt;0,OR(AUTOEVENTO&lt;&gt;"manual",$M502&lt;&gt;1)),
IF(Import.TipoArredondamento&lt;&gt;"TransfereGOV",
ROUND(OFFSET($P502,0,AR$13),15-13*ORÇAMENTO!$AF$7)/$H502*OFFSET(ORÇAMENTO!$X$15,ROW(AR502)-ROW(AR$15),0),
ROUND(ROUND(OFFSET($P502,0,AR$13),15-13*ORÇAMENTO!$AF$7)*OFFSET(ORÇAMENTO!$W$15,ROW(AR502)-ROW(AR$15),0),15-13*ORÇAMENTO!$AF$11)),0)</f>
        <v>0</v>
      </c>
      <c r="AS502" s="546">
        <f ca="1">IF(AND($D502="Serviço",AS$12&lt;&gt;0,$H502&gt;0,OR(AUTOEVENTO&lt;&gt;"manual",$M502&lt;&gt;1)),
IF(Import.TipoArredondamento&lt;&gt;"TransfereGOV",
ROUND(OFFSET($P502,0,AS$13),15-13*ORÇAMENTO!$AF$7)/$H502*OFFSET(ORÇAMENTO!$X$15,ROW(AS502)-ROW(AS$15),0),
ROUND(ROUND(OFFSET($P502,0,AS$13),15-13*ORÇAMENTO!$AF$7)*OFFSET(ORÇAMENTO!$W$15,ROW(AS502)-ROW(AS$15),0),15-13*ORÇAMENTO!$AF$11)),0)</f>
        <v>0</v>
      </c>
      <c r="AT502" s="545">
        <f ca="1">IF(AND($D502="Serviço",AT$12&lt;&gt;0,$H502&gt;0,OR(AUTOEVENTO&lt;&gt;"manual",$M502&lt;&gt;1)),
IF(Import.TipoArredondamento&lt;&gt;"TransfereGOV",
ROUND(OFFSET($P502,0,AT$13),15-13*ORÇAMENTO!$AF$7)/$H502*OFFSET(ORÇAMENTO!$X$15,ROW(AT502)-ROW(AT$15),0),
ROUND(ROUND(OFFSET($P502,0,AT$13),15-13*ORÇAMENTO!$AF$7)*OFFSET(ORÇAMENTO!$W$15,ROW(AT502)-ROW(AT$15),0),15-13*ORÇAMENTO!$AF$11)),0)</f>
        <v>0</v>
      </c>
      <c r="AU502" s="545">
        <f ca="1">IF(AND($D502="Serviço",AU$12&lt;&gt;0,$H502&gt;0,OR(AUTOEVENTO&lt;&gt;"manual",$M502&lt;&gt;1)),
IF(Import.TipoArredondamento&lt;&gt;"TransfereGOV",
ROUND(OFFSET($P502,0,AU$13),15-13*ORÇAMENTO!$AF$7)/$H502*OFFSET(ORÇAMENTO!$X$15,ROW(AU502)-ROW(AU$15),0),
ROUND(ROUND(OFFSET($P502,0,AU$13),15-13*ORÇAMENTO!$AF$7)*OFFSET(ORÇAMENTO!$W$15,ROW(AU502)-ROW(AU$15),0),15-13*ORÇAMENTO!$AF$11)),0)</f>
        <v>0</v>
      </c>
      <c r="AV502" s="545">
        <f ca="1">IF(AND($D502="Serviço",AV$12&lt;&gt;0,$H502&gt;0,OR(AUTOEVENTO&lt;&gt;"manual",$M502&lt;&gt;1)),
IF(Import.TipoArredondamento&lt;&gt;"TransfereGOV",
ROUND(OFFSET($P502,0,AV$13),15-13*ORÇAMENTO!$AF$7)/$H502*OFFSET(ORÇAMENTO!$X$15,ROW(AV502)-ROW(AV$15),0),
ROUND(ROUND(OFFSET($P502,0,AV$13),15-13*ORÇAMENTO!$AF$7)*OFFSET(ORÇAMENTO!$W$15,ROW(AV502)-ROW(AV$15),0),15-13*ORÇAMENTO!$AF$11)),0)</f>
        <v>0</v>
      </c>
      <c r="AW502" s="545">
        <f ca="1">IF(AND($D502="Serviço",AW$12&lt;&gt;0,$H502&gt;0,OR(AUTOEVENTO&lt;&gt;"manual",$M502&lt;&gt;1)),
IF(Import.TipoArredondamento&lt;&gt;"TransfereGOV",
ROUND(OFFSET($P502,0,AW$13),15-13*ORÇAMENTO!$AF$7)/$H502*OFFSET(ORÇAMENTO!$X$15,ROW(AW502)-ROW(AW$15),0),
ROUND(ROUND(OFFSET($P502,0,AW$13),15-13*ORÇAMENTO!$AF$7)*OFFSET(ORÇAMENTO!$W$15,ROW(AW502)-ROW(AW$15),0),15-13*ORÇAMENTO!$AF$11)),0)</f>
        <v>0</v>
      </c>
      <c r="AX502" s="545">
        <f ca="1">IF(AND($D502="Serviço",AX$12&lt;&gt;0,$H502&gt;0,OR(AUTOEVENTO&lt;&gt;"manual",$M502&lt;&gt;1)),
IF(Import.TipoArredondamento&lt;&gt;"TransfereGOV",
ROUND(OFFSET($P502,0,AX$13),15-13*ORÇAMENTO!$AF$7)/$H502*OFFSET(ORÇAMENTO!$X$15,ROW(AX502)-ROW(AX$15),0),
ROUND(ROUND(OFFSET($P502,0,AX$13),15-13*ORÇAMENTO!$AF$7)*OFFSET(ORÇAMENTO!$W$15,ROW(AX502)-ROW(AX$15),0),15-13*ORÇAMENTO!$AF$11)),0)</f>
        <v>0</v>
      </c>
      <c r="AY502" s="545">
        <f ca="1">IF(AND($D502="Serviço",AY$12&lt;&gt;0,$H502&gt;0,OR(AUTOEVENTO&lt;&gt;"manual",$M502&lt;&gt;1)),
IF(Import.TipoArredondamento&lt;&gt;"TransfereGOV",
ROUND(OFFSET($P502,0,AY$13),15-13*ORÇAMENTO!$AF$7)/$H502*OFFSET(ORÇAMENTO!$X$15,ROW(AY502)-ROW(AY$15),0),
ROUND(ROUND(OFFSET($P502,0,AY$13),15-13*ORÇAMENTO!$AF$7)*OFFSET(ORÇAMENTO!$W$15,ROW(AY502)-ROW(AY$15),0),15-13*ORÇAMENTO!$AF$11)),0)</f>
        <v>0</v>
      </c>
      <c r="AZ502" s="545">
        <f ca="1">IF(AND($D502="Serviço",AZ$12&lt;&gt;0,$H502&gt;0,OR(AUTOEVENTO&lt;&gt;"manual",$M502&lt;&gt;1)),
IF(Import.TipoArredondamento&lt;&gt;"TransfereGOV",
ROUND(OFFSET($P502,0,AZ$13),15-13*ORÇAMENTO!$AF$7)/$H502*OFFSET(ORÇAMENTO!$X$15,ROW(AZ502)-ROW(AZ$15),0),
ROUND(ROUND(OFFSET($P502,0,AZ$13),15-13*ORÇAMENTO!$AF$7)*OFFSET(ORÇAMENTO!$W$15,ROW(AZ502)-ROW(AZ$15),0),15-13*ORÇAMENTO!$AF$11)),0)</f>
        <v>0</v>
      </c>
      <c r="BA502" s="546">
        <f ca="1">IF(AND($D502="Serviço",BA$12&lt;&gt;0,$H502&gt;0,OR(AUTOEVENTO&lt;&gt;"manual",$M502&lt;&gt;1)),
IF(Import.TipoArredondamento&lt;&gt;"TransfereGOV",
ROUND(OFFSET($P502,0,BA$13),15-13*ORÇAMENTO!$AF$7)/$H502*OFFSET(ORÇAMENTO!$X$15,ROW(BA502)-ROW(BA$15),0),
ROUND(ROUND(OFFSET($P502,0,BA$13),15-13*ORÇAMENTO!$AF$7)*OFFSET(ORÇAMENTO!$W$15,ROW(BA502)-ROW(BA$15),0),15-13*ORÇAMENTO!$AF$11)),0)</f>
        <v>0</v>
      </c>
      <c r="BC502" s="181">
        <f ca="1">IF($D502&lt;&gt;"Serviço",0,IF(AND(AUTOEVENTO="Manual",$M502=1),0,IF(OFFSET(CRONOPLE!$F$14,$M502,BC$13)="",10^12,OFFSET(CRONOPLE!$F$14,$M502,BC$13))))</f>
        <v>10</v>
      </c>
      <c r="BD502" s="181">
        <f ca="1">IF($D502&lt;&gt;"Serviço",0,IF(AND(AUTOEVENTO="Manual",$M502=1),0,IF(OFFSET(CRONOPLE!$F$14,$M502,BD$13)="",10^12,OFFSET(CRONOPLE!$F$14,$M502,BD$13))))</f>
        <v>1000000000000</v>
      </c>
      <c r="BE502" s="181">
        <f ca="1">IF($D502&lt;&gt;"Serviço",0,IF(AND(AUTOEVENTO="Manual",$M502=1),0,IF(OFFSET(CRONOPLE!$F$14,$M502,BE$13)="",10^12,OFFSET(CRONOPLE!$F$14,$M502,BE$13))))</f>
        <v>1000000000000</v>
      </c>
      <c r="BF502" s="181">
        <f ca="1">IF($D502&lt;&gt;"Serviço",0,IF(AND(AUTOEVENTO="Manual",$M502=1),0,IF(OFFSET(CRONOPLE!$F$14,$M502,BF$13)="",10^12,OFFSET(CRONOPLE!$F$14,$M502,BF$13))))</f>
        <v>1000000000000</v>
      </c>
      <c r="BG502" s="181">
        <f ca="1">IF($D502&lt;&gt;"Serviço",0,IF(AND(AUTOEVENTO="Manual",$M502=1),0,IF(OFFSET(CRONOPLE!$F$14,$M502,BG$13)="",10^12,OFFSET(CRONOPLE!$F$14,$M502,BG$13))))</f>
        <v>1000000000000</v>
      </c>
      <c r="BH502" s="181">
        <f ca="1">IF($D502&lt;&gt;"Serviço",0,IF(AND(AUTOEVENTO="Manual",$M502=1),0,IF(OFFSET(CRONOPLE!$F$14,$M502,BH$13)="",10^12,OFFSET(CRONOPLE!$F$14,$M502,BH$13))))</f>
        <v>1000000000000</v>
      </c>
      <c r="BI502" s="181">
        <f ca="1">IF($D502&lt;&gt;"Serviço",0,IF(AND(AUTOEVENTO="Manual",$M502=1),0,IF(OFFSET(CRONOPLE!$F$14,$M502,BI$13)="",10^12,OFFSET(CRONOPLE!$F$14,$M502,BI$13))))</f>
        <v>1000000000000</v>
      </c>
      <c r="BJ502" s="181">
        <f ca="1">IF($D502&lt;&gt;"Serviço",0,IF(AND(AUTOEVENTO="Manual",$M502=1),0,IF(OFFSET(CRONOPLE!$F$14,$M502,BJ$13)="",10^12,OFFSET(CRONOPLE!$F$14,$M502,BJ$13))))</f>
        <v>1000000000000</v>
      </c>
      <c r="BK502" s="181">
        <f ca="1">IF($D502&lt;&gt;"Serviço",0,IF(AND(AUTOEVENTO="Manual",$M502=1),0,IF(OFFSET(CRONOPLE!$F$14,$M502,BK$13)="",10^12,OFFSET(CRONOPLE!$F$14,$M502,BK$13))))</f>
        <v>1000000000000</v>
      </c>
      <c r="BL502" s="181">
        <f ca="1">IF($D502&lt;&gt;"Serviço",0,IF(AND(AUTOEVENTO="Manual",$M502=1),0,IF(OFFSET(CRONOPLE!$F$14,$M502,BL$13)="",10^12,OFFSET(CRONOPLE!$F$14,$M502,BL$13))))</f>
        <v>1000000000000</v>
      </c>
      <c r="BM502" s="181">
        <f ca="1">IF($D502&lt;&gt;"Serviço",0,IF(AND(AUTOEVENTO="Manual",$M502=1),0,IF(OFFSET(CRONOPLE!$F$14,$M502,BM$13)="",10^12,OFFSET(CRONOPLE!$F$14,$M502,BM$13))))</f>
        <v>1000000000000</v>
      </c>
      <c r="BN502" s="181">
        <f ca="1">IF($D502&lt;&gt;"Serviço",0,IF(AND(AUTOEVENTO="Manual",$M502=1),0,IF(OFFSET(CRONOPLE!$F$14,$M502,BN$13)="",10^12,OFFSET(CRONOPLE!$F$14,$M502,BN$13))))</f>
        <v>1000000000000</v>
      </c>
      <c r="BO502" s="181">
        <f ca="1">IF($D502&lt;&gt;"Serviço",0,IF(AND(AUTOEVENTO="Manual",$M502=1),0,IF(OFFSET(CRONOPLE!$F$14,$M502,BO$13)="",10^12,OFFSET(CRONOPLE!$F$14,$M502,BO$13))))</f>
        <v>1000000000000</v>
      </c>
      <c r="BP502" s="181">
        <f ca="1">IF($D502&lt;&gt;"Serviço",0,IF(AND(AUTOEVENTO="Manual",$M502=1),0,IF(OFFSET(CRONOPLE!$F$14,$M502,BP$13)="",10^12,OFFSET(CRONOPLE!$F$14,$M502,BP$13))))</f>
        <v>1000000000000</v>
      </c>
      <c r="BQ502" s="181">
        <f ca="1">IF($D502&lt;&gt;"Serviço",0,IF(AND(AUTOEVENTO="Manual",$M502=1),0,IF(OFFSET(CRONOPLE!$F$14,$M502,BQ$13)="",10^12,OFFSET(CRONOPLE!$F$14,$M502,BQ$13))))</f>
        <v>1000000000000</v>
      </c>
      <c r="BR502" s="181">
        <f ca="1">IF($D502&lt;&gt;"Serviço",0,IF(AND(AUTOEVENTO="Manual",$M502=1),0,IF(OFFSET(CRONOPLE!$F$14,$M502,BR$13)="",10^12,OFFSET(CRONOPLE!$F$14,$M502,BR$13))))</f>
        <v>1000000000000</v>
      </c>
      <c r="BS502" s="181">
        <f ca="1">IF($D502&lt;&gt;"Serviço",0,IF(AND(AUTOEVENTO="Manual",$M502=1),0,IF(OFFSET(CRONOPLE!$F$14,$M502,BS$13)="",10^12,OFFSET(CRONOPLE!$F$14,$M502,BS$13))))</f>
        <v>1000000000000</v>
      </c>
      <c r="BT502" s="181">
        <f ca="1">IF($D502&lt;&gt;"Serviço",0,IF(AND(AUTOEVENTO="Manual",$M502=1),0,IF(OFFSET(CRONOPLE!$F$14,$M502,BT$13)="",10^12,OFFSET(CRONOPLE!$F$14,$M502,BT$13))))</f>
        <v>1000000000000</v>
      </c>
      <c r="BV502" s="182">
        <f ca="1">IF($D502&lt;&gt;"Serviço",0,IF(OR(AND(AUTOEVENTO="Manual",$M502=1),$M502&gt;(ROW(PLE.lastrow)-ROW(PLE.firstrow))),0,IF(OFFSET(PLE!$G$14,$M502,BV$13)="",10^12,OFFSET(PLE!$G$14,$M502,BV$13))))</f>
        <v>1000000000000</v>
      </c>
      <c r="BW502" s="182">
        <f ca="1">IF($D502&lt;&gt;"Serviço",0,IF(OR(AND(AUTOEVENTO="Manual",$M502=1),$M502&gt;(ROW(PLE.lastrow)-ROW(PLE.firstrow))),0,IF(OFFSET(PLE!$G$14,$M502,BW$13)="",10^12,OFFSET(PLE!$G$14,$M502,BW$13))))</f>
        <v>1000000000000</v>
      </c>
      <c r="BX502" s="182">
        <f ca="1">IF($D502&lt;&gt;"Serviço",0,IF(OR(AND(AUTOEVENTO="Manual",$M502=1),$M502&gt;(ROW(PLE.lastrow)-ROW(PLE.firstrow))),0,IF(OFFSET(PLE!$G$14,$M502,BX$13)="",10^12,OFFSET(PLE!$G$14,$M502,BX$13))))</f>
        <v>1000000000000</v>
      </c>
      <c r="BY502" s="182">
        <f ca="1">IF($D502&lt;&gt;"Serviço",0,IF(OR(AND(AUTOEVENTO="Manual",$M502=1),$M502&gt;(ROW(PLE.lastrow)-ROW(PLE.firstrow))),0,IF(OFFSET(PLE!$G$14,$M502,BY$13)="",10^12,OFFSET(PLE!$G$14,$M502,BY$13))))</f>
        <v>1000000000000</v>
      </c>
      <c r="BZ502" s="182">
        <f ca="1">IF($D502&lt;&gt;"Serviço",0,IF(OR(AND(AUTOEVENTO="Manual",$M502=1),$M502&gt;(ROW(PLE.lastrow)-ROW(PLE.firstrow))),0,IF(OFFSET(PLE!$G$14,$M502,BZ$13)="",10^12,OFFSET(PLE!$G$14,$M502,BZ$13))))</f>
        <v>1000000000000</v>
      </c>
      <c r="CA502" s="182">
        <f ca="1">IF($D502&lt;&gt;"Serviço",0,IF(OR(AND(AUTOEVENTO="Manual",$M502=1),$M502&gt;(ROW(PLE.lastrow)-ROW(PLE.firstrow))),0,IF(OFFSET(PLE!$G$14,$M502,CA$13)="",10^12,OFFSET(PLE!$G$14,$M502,CA$13))))</f>
        <v>1000000000000</v>
      </c>
      <c r="CB502" s="182">
        <f ca="1">IF($D502&lt;&gt;"Serviço",0,IF(OR(AND(AUTOEVENTO="Manual",$M502=1),$M502&gt;(ROW(PLE.lastrow)-ROW(PLE.firstrow))),0,IF(OFFSET(PLE!$G$14,$M502,CB$13)="",10^12,OFFSET(PLE!$G$14,$M502,CB$13))))</f>
        <v>1000000000000</v>
      </c>
      <c r="CC502" s="182">
        <f ca="1">IF($D502&lt;&gt;"Serviço",0,IF(OR(AND(AUTOEVENTO="Manual",$M502=1),$M502&gt;(ROW(PLE.lastrow)-ROW(PLE.firstrow))),0,IF(OFFSET(PLE!$G$14,$M502,CC$13)="",10^12,OFFSET(PLE!$G$14,$M502,CC$13))))</f>
        <v>1000000000000</v>
      </c>
      <c r="CD502" s="182">
        <f ca="1">IF($D502&lt;&gt;"Serviço",0,IF(OR(AND(AUTOEVENTO="Manual",$M502=1),$M502&gt;(ROW(PLE.lastrow)-ROW(PLE.firstrow))),0,IF(OFFSET(PLE!$G$14,$M502,CD$13)="",10^12,OFFSET(PLE!$G$14,$M502,CD$13))))</f>
        <v>1000000000000</v>
      </c>
      <c r="CE502" s="182">
        <f ca="1">IF($D502&lt;&gt;"Serviço",0,IF(OR(AND(AUTOEVENTO="Manual",$M502=1),$M502&gt;(ROW(PLE.lastrow)-ROW(PLE.firstrow))),0,IF(OFFSET(PLE!$G$14,$M502,CE$13)="",10^12,OFFSET(PLE!$G$14,$M502,CE$13))))</f>
        <v>1000000000000</v>
      </c>
      <c r="CF502" s="182">
        <f ca="1">IF($D502&lt;&gt;"Serviço",0,IF(OR(AND(AUTOEVENTO="Manual",$M502=1),$M502&gt;(ROW(PLE.lastrow)-ROW(PLE.firstrow))),0,IF(OFFSET(PLE!$G$14,$M502,CF$13)="",10^12,OFFSET(PLE!$G$14,$M502,CF$13))))</f>
        <v>1000000000000</v>
      </c>
      <c r="CG502" s="182">
        <f ca="1">IF($D502&lt;&gt;"Serviço",0,IF(OR(AND(AUTOEVENTO="Manual",$M502=1),$M502&gt;(ROW(PLE.lastrow)-ROW(PLE.firstrow))),0,IF(OFFSET(PLE!$G$14,$M502,CG$13)="",10^12,OFFSET(PLE!$G$14,$M502,CG$13))))</f>
        <v>1000000000000</v>
      </c>
      <c r="CH502" s="182">
        <f ca="1">IF($D502&lt;&gt;"Serviço",0,IF(OR(AND(AUTOEVENTO="Manual",$M502=1),$M502&gt;(ROW(PLE.lastrow)-ROW(PLE.firstrow))),0,IF(OFFSET(PLE!$G$14,$M502,CH$13)="",10^12,OFFSET(PLE!$G$14,$M502,CH$13))))</f>
        <v>1000000000000</v>
      </c>
      <c r="CI502" s="182">
        <f ca="1">IF($D502&lt;&gt;"Serviço",0,IF(OR(AND(AUTOEVENTO="Manual",$M502=1),$M502&gt;(ROW(PLE.lastrow)-ROW(PLE.firstrow))),0,IF(OFFSET(PLE!$G$14,$M502,CI$13)="",10^12,OFFSET(PLE!$G$14,$M502,CI$13))))</f>
        <v>1000000000000</v>
      </c>
      <c r="CJ502" s="182">
        <f ca="1">IF($D502&lt;&gt;"Serviço",0,IF(OR(AND(AUTOEVENTO="Manual",$M502=1),$M502&gt;(ROW(PLE.lastrow)-ROW(PLE.firstrow))),0,IF(OFFSET(PLE!$G$14,$M502,CJ$13)="",10^12,OFFSET(PLE!$G$14,$M502,CJ$13))))</f>
        <v>1000000000000</v>
      </c>
      <c r="CK502" s="182">
        <f ca="1">IF($D502&lt;&gt;"Serviço",0,IF(OR(AND(AUTOEVENTO="Manual",$M502=1),$M502&gt;(ROW(PLE.lastrow)-ROW(PLE.firstrow))),0,IF(OFFSET(PLE!$G$14,$M502,CK$13)="",10^12,OFFSET(PLE!$G$14,$M502,CK$13))))</f>
        <v>1000000000000</v>
      </c>
      <c r="CL502" s="182">
        <f ca="1">IF($D502&lt;&gt;"Serviço",0,IF(OR(AND(AUTOEVENTO="Manual",$M502=1),$M502&gt;(ROW(PLE.lastrow)-ROW(PLE.firstrow))),0,IF(OFFSET(PLE!$G$14,$M502,CL$13)="",10^12,OFFSET(PLE!$G$14,$M502,CL$13))))</f>
        <v>1000000000000</v>
      </c>
      <c r="CM502" s="182">
        <f ca="1">IF($D502&lt;&gt;"Serviço",0,IF(OR(AND(AUTOEVENTO="Manual",$M502=1),$M502&gt;(ROW(PLE.lastrow)-ROW(PLE.firstrow))),0,IF(OFFSET(PLE!$G$14,$M502,CM$13)="",10^12,OFFSET(PLE!$G$14,$M502,CM$13))))</f>
        <v>1000000000000</v>
      </c>
    </row>
    <row r="503" spans="1:91" ht="25.5" x14ac:dyDescent="0.2">
      <c r="A503" s="7" t="str">
        <f t="shared" ca="1" si="16"/>
        <v>475</v>
      </c>
      <c r="B503" s="7" t="str">
        <f ca="1">OFFSET(ORÇAMENTO!C$15,ROW(B503)-ROW(B$15),0)</f>
        <v>S</v>
      </c>
      <c r="C503" s="7" t="str">
        <f ca="1">OFFSET(ORÇAMENTO!L$15,ROW(C503)-ROW(C$15),0)</f>
        <v/>
      </c>
      <c r="D503" s="118" t="str">
        <f ca="1">OFFSET(ORÇAMENTO!N$15,ROW(D503)-ROW(D$15),0)</f>
        <v>Serviço</v>
      </c>
      <c r="E503" s="119" t="str">
        <f ca="1">OFFSET(ORÇAMENTO!O$15,ROW(E503)-ROW(E$15),0)</f>
        <v>-</v>
      </c>
      <c r="F503" s="172" t="str">
        <f ca="1">OFFSET(ORÇAMENTO!R$15,ROW(F503)-ROW(F$15),0)</f>
        <v>(abra o arquivo 'Referência 06-2024.xlsm)</v>
      </c>
      <c r="G503" s="173" t="str">
        <f ca="1">IF($D503&lt;&gt;"Serviço","",OFFSET(ORÇAMENTO!S$15,ROW(G503)-ROW(G$15),0))</f>
        <v>-</v>
      </c>
      <c r="H503" s="124">
        <f ca="1">IF($D503&lt;&gt;"Serviço",0,IF(ACOMPANHAMENTO="BM",ROUND(OFFSET(ORÇAMENTO!AJ$15,ROW(H503)-ROW(H$15),0),15-13*ORÇAMENTO!$AF$7),SUMPRODUCT(($Q$12:$AI$12&lt;&gt;"")*ROUND($Q503:$AI503,15-13*ORÇAMENTO!$AF$7))))</f>
        <v>5</v>
      </c>
      <c r="I503" s="561" t="s">
        <v>1107</v>
      </c>
      <c r="K503" s="174"/>
      <c r="L503" s="175" t="s">
        <v>255</v>
      </c>
      <c r="M503" s="176">
        <f ca="1">IF($D503&lt;&gt;"Serviço","",IF(AUTOEVENTO="manual",$A503,IF(ISERROR(MATCH($A503,$A$15:OFFSET($A503,-1,0),0)),MAX($M$15:OFFSET(M503,-1,0))+1,INDEX($M$15:OFFSET(M503,-1,0),MATCH($A503,$A$15:OFFSET($A503,-1,0),0)))))</f>
        <v>53</v>
      </c>
      <c r="N503" s="177" t="str">
        <f ca="1">IF($D503&lt;&gt;"Serviço","",IF(AUTOEVENTO="Manual",IF($A503=0,"&lt;-- defina o número do agrupador",OFFSET(EVENTOS!$D$14,$A503,0)),OFFSET($F$15,$A503,0)))</f>
        <v>INSTALAÇÃO ELÉTRICA 110V - ACESSÓRIOS EM GERAL</v>
      </c>
      <c r="O503" s="178"/>
      <c r="Q503" s="178">
        <v>5</v>
      </c>
      <c r="R503" s="179"/>
      <c r="S503" s="179"/>
      <c r="T503" s="179"/>
      <c r="U503" s="179"/>
      <c r="V503" s="179"/>
      <c r="W503" s="179"/>
      <c r="X503" s="179"/>
      <c r="Y503" s="179"/>
      <c r="Z503" s="180"/>
      <c r="AA503" s="179"/>
      <c r="AB503" s="179"/>
      <c r="AC503" s="179"/>
      <c r="AD503" s="179"/>
      <c r="AE503" s="179"/>
      <c r="AF503" s="179"/>
      <c r="AG503" s="179"/>
      <c r="AH503" s="180"/>
      <c r="AJ503" s="544">
        <f ca="1">IF(AND($D503="Serviço",AJ$12&lt;&gt;0,$H503&gt;0,OR(AUTOEVENTO&lt;&gt;"manual",$M503&lt;&gt;1)),
IF(Import.TipoArredondamento&lt;&gt;"TransfereGOV",
ROUND(OFFSET($P503,0,AJ$13),15-13*ORÇAMENTO!$AF$7)/$H503*OFFSET(ORÇAMENTO!$X$15,ROW(AJ503)-ROW(AJ$15),0),
ROUND(ROUND(OFFSET($P503,0,AJ$13),15-13*ORÇAMENTO!$AF$7)*OFFSET(ORÇAMENTO!$W$15,ROW(AJ503)-ROW(AJ$15),0),15-13*ORÇAMENTO!$AF$11)),0)</f>
        <v>0</v>
      </c>
      <c r="AK503" s="545">
        <f ca="1">IF(AND($D503="Serviço",AK$12&lt;&gt;0,$H503&gt;0,OR(AUTOEVENTO&lt;&gt;"manual",$M503&lt;&gt;1)),
IF(Import.TipoArredondamento&lt;&gt;"TransfereGOV",
ROUND(OFFSET($P503,0,AK$13),15-13*ORÇAMENTO!$AF$7)/$H503*OFFSET(ORÇAMENTO!$X$15,ROW(AK503)-ROW(AK$15),0),
ROUND(ROUND(OFFSET($P503,0,AK$13),15-13*ORÇAMENTO!$AF$7)*OFFSET(ORÇAMENTO!$W$15,ROW(AK503)-ROW(AK$15),0),15-13*ORÇAMENTO!$AF$11)),0)</f>
        <v>0</v>
      </c>
      <c r="AL503" s="545">
        <f ca="1">IF(AND($D503="Serviço",AL$12&lt;&gt;0,$H503&gt;0,OR(AUTOEVENTO&lt;&gt;"manual",$M503&lt;&gt;1)),
IF(Import.TipoArredondamento&lt;&gt;"TransfereGOV",
ROUND(OFFSET($P503,0,AL$13),15-13*ORÇAMENTO!$AF$7)/$H503*OFFSET(ORÇAMENTO!$X$15,ROW(AL503)-ROW(AL$15),0),
ROUND(ROUND(OFFSET($P503,0,AL$13),15-13*ORÇAMENTO!$AF$7)*OFFSET(ORÇAMENTO!$W$15,ROW(AL503)-ROW(AL$15),0),15-13*ORÇAMENTO!$AF$11)),0)</f>
        <v>0</v>
      </c>
      <c r="AM503" s="545">
        <f ca="1">IF(AND($D503="Serviço",AM$12&lt;&gt;0,$H503&gt;0,OR(AUTOEVENTO&lt;&gt;"manual",$M503&lt;&gt;1)),
IF(Import.TipoArredondamento&lt;&gt;"TransfereGOV",
ROUND(OFFSET($P503,0,AM$13),15-13*ORÇAMENTO!$AF$7)/$H503*OFFSET(ORÇAMENTO!$X$15,ROW(AM503)-ROW(AM$15),0),
ROUND(ROUND(OFFSET($P503,0,AM$13),15-13*ORÇAMENTO!$AF$7)*OFFSET(ORÇAMENTO!$W$15,ROW(AM503)-ROW(AM$15),0),15-13*ORÇAMENTO!$AF$11)),0)</f>
        <v>0</v>
      </c>
      <c r="AN503" s="545">
        <f ca="1">IF(AND($D503="Serviço",AN$12&lt;&gt;0,$H503&gt;0,OR(AUTOEVENTO&lt;&gt;"manual",$M503&lt;&gt;1)),
IF(Import.TipoArredondamento&lt;&gt;"TransfereGOV",
ROUND(OFFSET($P503,0,AN$13),15-13*ORÇAMENTO!$AF$7)/$H503*OFFSET(ORÇAMENTO!$X$15,ROW(AN503)-ROW(AN$15),0),
ROUND(ROUND(OFFSET($P503,0,AN$13),15-13*ORÇAMENTO!$AF$7)*OFFSET(ORÇAMENTO!$W$15,ROW(AN503)-ROW(AN$15),0),15-13*ORÇAMENTO!$AF$11)),0)</f>
        <v>0</v>
      </c>
      <c r="AO503" s="545">
        <f ca="1">IF(AND($D503="Serviço",AO$12&lt;&gt;0,$H503&gt;0,OR(AUTOEVENTO&lt;&gt;"manual",$M503&lt;&gt;1)),
IF(Import.TipoArredondamento&lt;&gt;"TransfereGOV",
ROUND(OFFSET($P503,0,AO$13),15-13*ORÇAMENTO!$AF$7)/$H503*OFFSET(ORÇAMENTO!$X$15,ROW(AO503)-ROW(AO$15),0),
ROUND(ROUND(OFFSET($P503,0,AO$13),15-13*ORÇAMENTO!$AF$7)*OFFSET(ORÇAMENTO!$W$15,ROW(AO503)-ROW(AO$15),0),15-13*ORÇAMENTO!$AF$11)),0)</f>
        <v>0</v>
      </c>
      <c r="AP503" s="545">
        <f ca="1">IF(AND($D503="Serviço",AP$12&lt;&gt;0,$H503&gt;0,OR(AUTOEVENTO&lt;&gt;"manual",$M503&lt;&gt;1)),
IF(Import.TipoArredondamento&lt;&gt;"TransfereGOV",
ROUND(OFFSET($P503,0,AP$13),15-13*ORÇAMENTO!$AF$7)/$H503*OFFSET(ORÇAMENTO!$X$15,ROW(AP503)-ROW(AP$15),0),
ROUND(ROUND(OFFSET($P503,0,AP$13),15-13*ORÇAMENTO!$AF$7)*OFFSET(ORÇAMENTO!$W$15,ROW(AP503)-ROW(AP$15),0),15-13*ORÇAMENTO!$AF$11)),0)</f>
        <v>0</v>
      </c>
      <c r="AQ503" s="545">
        <f ca="1">IF(AND($D503="Serviço",AQ$12&lt;&gt;0,$H503&gt;0,OR(AUTOEVENTO&lt;&gt;"manual",$M503&lt;&gt;1)),
IF(Import.TipoArredondamento&lt;&gt;"TransfereGOV",
ROUND(OFFSET($P503,0,AQ$13),15-13*ORÇAMENTO!$AF$7)/$H503*OFFSET(ORÇAMENTO!$X$15,ROW(AQ503)-ROW(AQ$15),0),
ROUND(ROUND(OFFSET($P503,0,AQ$13),15-13*ORÇAMENTO!$AF$7)*OFFSET(ORÇAMENTO!$W$15,ROW(AQ503)-ROW(AQ$15),0),15-13*ORÇAMENTO!$AF$11)),0)</f>
        <v>0</v>
      </c>
      <c r="AR503" s="545">
        <f ca="1">IF(AND($D503="Serviço",AR$12&lt;&gt;0,$H503&gt;0,OR(AUTOEVENTO&lt;&gt;"manual",$M503&lt;&gt;1)),
IF(Import.TipoArredondamento&lt;&gt;"TransfereGOV",
ROUND(OFFSET($P503,0,AR$13),15-13*ORÇAMENTO!$AF$7)/$H503*OFFSET(ORÇAMENTO!$X$15,ROW(AR503)-ROW(AR$15),0),
ROUND(ROUND(OFFSET($P503,0,AR$13),15-13*ORÇAMENTO!$AF$7)*OFFSET(ORÇAMENTO!$W$15,ROW(AR503)-ROW(AR$15),0),15-13*ORÇAMENTO!$AF$11)),0)</f>
        <v>0</v>
      </c>
      <c r="AS503" s="546">
        <f ca="1">IF(AND($D503="Serviço",AS$12&lt;&gt;0,$H503&gt;0,OR(AUTOEVENTO&lt;&gt;"manual",$M503&lt;&gt;1)),
IF(Import.TipoArredondamento&lt;&gt;"TransfereGOV",
ROUND(OFFSET($P503,0,AS$13),15-13*ORÇAMENTO!$AF$7)/$H503*OFFSET(ORÇAMENTO!$X$15,ROW(AS503)-ROW(AS$15),0),
ROUND(ROUND(OFFSET($P503,0,AS$13),15-13*ORÇAMENTO!$AF$7)*OFFSET(ORÇAMENTO!$W$15,ROW(AS503)-ROW(AS$15),0),15-13*ORÇAMENTO!$AF$11)),0)</f>
        <v>0</v>
      </c>
      <c r="AT503" s="545">
        <f ca="1">IF(AND($D503="Serviço",AT$12&lt;&gt;0,$H503&gt;0,OR(AUTOEVENTO&lt;&gt;"manual",$M503&lt;&gt;1)),
IF(Import.TipoArredondamento&lt;&gt;"TransfereGOV",
ROUND(OFFSET($P503,0,AT$13),15-13*ORÇAMENTO!$AF$7)/$H503*OFFSET(ORÇAMENTO!$X$15,ROW(AT503)-ROW(AT$15),0),
ROUND(ROUND(OFFSET($P503,0,AT$13),15-13*ORÇAMENTO!$AF$7)*OFFSET(ORÇAMENTO!$W$15,ROW(AT503)-ROW(AT$15),0),15-13*ORÇAMENTO!$AF$11)),0)</f>
        <v>0</v>
      </c>
      <c r="AU503" s="545">
        <f ca="1">IF(AND($D503="Serviço",AU$12&lt;&gt;0,$H503&gt;0,OR(AUTOEVENTO&lt;&gt;"manual",$M503&lt;&gt;1)),
IF(Import.TipoArredondamento&lt;&gt;"TransfereGOV",
ROUND(OFFSET($P503,0,AU$13),15-13*ORÇAMENTO!$AF$7)/$H503*OFFSET(ORÇAMENTO!$X$15,ROW(AU503)-ROW(AU$15),0),
ROUND(ROUND(OFFSET($P503,0,AU$13),15-13*ORÇAMENTO!$AF$7)*OFFSET(ORÇAMENTO!$W$15,ROW(AU503)-ROW(AU$15),0),15-13*ORÇAMENTO!$AF$11)),0)</f>
        <v>0</v>
      </c>
      <c r="AV503" s="545">
        <f ca="1">IF(AND($D503="Serviço",AV$12&lt;&gt;0,$H503&gt;0,OR(AUTOEVENTO&lt;&gt;"manual",$M503&lt;&gt;1)),
IF(Import.TipoArredondamento&lt;&gt;"TransfereGOV",
ROUND(OFFSET($P503,0,AV$13),15-13*ORÇAMENTO!$AF$7)/$H503*OFFSET(ORÇAMENTO!$X$15,ROW(AV503)-ROW(AV$15),0),
ROUND(ROUND(OFFSET($P503,0,AV$13),15-13*ORÇAMENTO!$AF$7)*OFFSET(ORÇAMENTO!$W$15,ROW(AV503)-ROW(AV$15),0),15-13*ORÇAMENTO!$AF$11)),0)</f>
        <v>0</v>
      </c>
      <c r="AW503" s="545">
        <f ca="1">IF(AND($D503="Serviço",AW$12&lt;&gt;0,$H503&gt;0,OR(AUTOEVENTO&lt;&gt;"manual",$M503&lt;&gt;1)),
IF(Import.TipoArredondamento&lt;&gt;"TransfereGOV",
ROUND(OFFSET($P503,0,AW$13),15-13*ORÇAMENTO!$AF$7)/$H503*OFFSET(ORÇAMENTO!$X$15,ROW(AW503)-ROW(AW$15),0),
ROUND(ROUND(OFFSET($P503,0,AW$13),15-13*ORÇAMENTO!$AF$7)*OFFSET(ORÇAMENTO!$W$15,ROW(AW503)-ROW(AW$15),0),15-13*ORÇAMENTO!$AF$11)),0)</f>
        <v>0</v>
      </c>
      <c r="AX503" s="545">
        <f ca="1">IF(AND($D503="Serviço",AX$12&lt;&gt;0,$H503&gt;0,OR(AUTOEVENTO&lt;&gt;"manual",$M503&lt;&gt;1)),
IF(Import.TipoArredondamento&lt;&gt;"TransfereGOV",
ROUND(OFFSET($P503,0,AX$13),15-13*ORÇAMENTO!$AF$7)/$H503*OFFSET(ORÇAMENTO!$X$15,ROW(AX503)-ROW(AX$15),0),
ROUND(ROUND(OFFSET($P503,0,AX$13),15-13*ORÇAMENTO!$AF$7)*OFFSET(ORÇAMENTO!$W$15,ROW(AX503)-ROW(AX$15),0),15-13*ORÇAMENTO!$AF$11)),0)</f>
        <v>0</v>
      </c>
      <c r="AY503" s="545">
        <f ca="1">IF(AND($D503="Serviço",AY$12&lt;&gt;0,$H503&gt;0,OR(AUTOEVENTO&lt;&gt;"manual",$M503&lt;&gt;1)),
IF(Import.TipoArredondamento&lt;&gt;"TransfereGOV",
ROUND(OFFSET($P503,0,AY$13),15-13*ORÇAMENTO!$AF$7)/$H503*OFFSET(ORÇAMENTO!$X$15,ROW(AY503)-ROW(AY$15),0),
ROUND(ROUND(OFFSET($P503,0,AY$13),15-13*ORÇAMENTO!$AF$7)*OFFSET(ORÇAMENTO!$W$15,ROW(AY503)-ROW(AY$15),0),15-13*ORÇAMENTO!$AF$11)),0)</f>
        <v>0</v>
      </c>
      <c r="AZ503" s="545">
        <f ca="1">IF(AND($D503="Serviço",AZ$12&lt;&gt;0,$H503&gt;0,OR(AUTOEVENTO&lt;&gt;"manual",$M503&lt;&gt;1)),
IF(Import.TipoArredondamento&lt;&gt;"TransfereGOV",
ROUND(OFFSET($P503,0,AZ$13),15-13*ORÇAMENTO!$AF$7)/$H503*OFFSET(ORÇAMENTO!$X$15,ROW(AZ503)-ROW(AZ$15),0),
ROUND(ROUND(OFFSET($P503,0,AZ$13),15-13*ORÇAMENTO!$AF$7)*OFFSET(ORÇAMENTO!$W$15,ROW(AZ503)-ROW(AZ$15),0),15-13*ORÇAMENTO!$AF$11)),0)</f>
        <v>0</v>
      </c>
      <c r="BA503" s="546">
        <f ca="1">IF(AND($D503="Serviço",BA$12&lt;&gt;0,$H503&gt;0,OR(AUTOEVENTO&lt;&gt;"manual",$M503&lt;&gt;1)),
IF(Import.TipoArredondamento&lt;&gt;"TransfereGOV",
ROUND(OFFSET($P503,0,BA$13),15-13*ORÇAMENTO!$AF$7)/$H503*OFFSET(ORÇAMENTO!$X$15,ROW(BA503)-ROW(BA$15),0),
ROUND(ROUND(OFFSET($P503,0,BA$13),15-13*ORÇAMENTO!$AF$7)*OFFSET(ORÇAMENTO!$W$15,ROW(BA503)-ROW(BA$15),0),15-13*ORÇAMENTO!$AF$11)),0)</f>
        <v>0</v>
      </c>
      <c r="BC503" s="181">
        <f ca="1">IF($D503&lt;&gt;"Serviço",0,IF(AND(AUTOEVENTO="Manual",$M503=1),0,IF(OFFSET(CRONOPLE!$F$14,$M503,BC$13)="",10^12,OFFSET(CRONOPLE!$F$14,$M503,BC$13))))</f>
        <v>10</v>
      </c>
      <c r="BD503" s="181">
        <f ca="1">IF($D503&lt;&gt;"Serviço",0,IF(AND(AUTOEVENTO="Manual",$M503=1),0,IF(OFFSET(CRONOPLE!$F$14,$M503,BD$13)="",10^12,OFFSET(CRONOPLE!$F$14,$M503,BD$13))))</f>
        <v>1000000000000</v>
      </c>
      <c r="BE503" s="181">
        <f ca="1">IF($D503&lt;&gt;"Serviço",0,IF(AND(AUTOEVENTO="Manual",$M503=1),0,IF(OFFSET(CRONOPLE!$F$14,$M503,BE$13)="",10^12,OFFSET(CRONOPLE!$F$14,$M503,BE$13))))</f>
        <v>1000000000000</v>
      </c>
      <c r="BF503" s="181">
        <f ca="1">IF($D503&lt;&gt;"Serviço",0,IF(AND(AUTOEVENTO="Manual",$M503=1),0,IF(OFFSET(CRONOPLE!$F$14,$M503,BF$13)="",10^12,OFFSET(CRONOPLE!$F$14,$M503,BF$13))))</f>
        <v>1000000000000</v>
      </c>
      <c r="BG503" s="181">
        <f ca="1">IF($D503&lt;&gt;"Serviço",0,IF(AND(AUTOEVENTO="Manual",$M503=1),0,IF(OFFSET(CRONOPLE!$F$14,$M503,BG$13)="",10^12,OFFSET(CRONOPLE!$F$14,$M503,BG$13))))</f>
        <v>1000000000000</v>
      </c>
      <c r="BH503" s="181">
        <f ca="1">IF($D503&lt;&gt;"Serviço",0,IF(AND(AUTOEVENTO="Manual",$M503=1),0,IF(OFFSET(CRONOPLE!$F$14,$M503,BH$13)="",10^12,OFFSET(CRONOPLE!$F$14,$M503,BH$13))))</f>
        <v>1000000000000</v>
      </c>
      <c r="BI503" s="181">
        <f ca="1">IF($D503&lt;&gt;"Serviço",0,IF(AND(AUTOEVENTO="Manual",$M503=1),0,IF(OFFSET(CRONOPLE!$F$14,$M503,BI$13)="",10^12,OFFSET(CRONOPLE!$F$14,$M503,BI$13))))</f>
        <v>1000000000000</v>
      </c>
      <c r="BJ503" s="181">
        <f ca="1">IF($D503&lt;&gt;"Serviço",0,IF(AND(AUTOEVENTO="Manual",$M503=1),0,IF(OFFSET(CRONOPLE!$F$14,$M503,BJ$13)="",10^12,OFFSET(CRONOPLE!$F$14,$M503,BJ$13))))</f>
        <v>1000000000000</v>
      </c>
      <c r="BK503" s="181">
        <f ca="1">IF($D503&lt;&gt;"Serviço",0,IF(AND(AUTOEVENTO="Manual",$M503=1),0,IF(OFFSET(CRONOPLE!$F$14,$M503,BK$13)="",10^12,OFFSET(CRONOPLE!$F$14,$M503,BK$13))))</f>
        <v>1000000000000</v>
      </c>
      <c r="BL503" s="181">
        <f ca="1">IF($D503&lt;&gt;"Serviço",0,IF(AND(AUTOEVENTO="Manual",$M503=1),0,IF(OFFSET(CRONOPLE!$F$14,$M503,BL$13)="",10^12,OFFSET(CRONOPLE!$F$14,$M503,BL$13))))</f>
        <v>1000000000000</v>
      </c>
      <c r="BM503" s="181">
        <f ca="1">IF($D503&lt;&gt;"Serviço",0,IF(AND(AUTOEVENTO="Manual",$M503=1),0,IF(OFFSET(CRONOPLE!$F$14,$M503,BM$13)="",10^12,OFFSET(CRONOPLE!$F$14,$M503,BM$13))))</f>
        <v>1000000000000</v>
      </c>
      <c r="BN503" s="181">
        <f ca="1">IF($D503&lt;&gt;"Serviço",0,IF(AND(AUTOEVENTO="Manual",$M503=1),0,IF(OFFSET(CRONOPLE!$F$14,$M503,BN$13)="",10^12,OFFSET(CRONOPLE!$F$14,$M503,BN$13))))</f>
        <v>1000000000000</v>
      </c>
      <c r="BO503" s="181">
        <f ca="1">IF($D503&lt;&gt;"Serviço",0,IF(AND(AUTOEVENTO="Manual",$M503=1),0,IF(OFFSET(CRONOPLE!$F$14,$M503,BO$13)="",10^12,OFFSET(CRONOPLE!$F$14,$M503,BO$13))))</f>
        <v>1000000000000</v>
      </c>
      <c r="BP503" s="181">
        <f ca="1">IF($D503&lt;&gt;"Serviço",0,IF(AND(AUTOEVENTO="Manual",$M503=1),0,IF(OFFSET(CRONOPLE!$F$14,$M503,BP$13)="",10^12,OFFSET(CRONOPLE!$F$14,$M503,BP$13))))</f>
        <v>1000000000000</v>
      </c>
      <c r="BQ503" s="181">
        <f ca="1">IF($D503&lt;&gt;"Serviço",0,IF(AND(AUTOEVENTO="Manual",$M503=1),0,IF(OFFSET(CRONOPLE!$F$14,$M503,BQ$13)="",10^12,OFFSET(CRONOPLE!$F$14,$M503,BQ$13))))</f>
        <v>1000000000000</v>
      </c>
      <c r="BR503" s="181">
        <f ca="1">IF($D503&lt;&gt;"Serviço",0,IF(AND(AUTOEVENTO="Manual",$M503=1),0,IF(OFFSET(CRONOPLE!$F$14,$M503,BR$13)="",10^12,OFFSET(CRONOPLE!$F$14,$M503,BR$13))))</f>
        <v>1000000000000</v>
      </c>
      <c r="BS503" s="181">
        <f ca="1">IF($D503&lt;&gt;"Serviço",0,IF(AND(AUTOEVENTO="Manual",$M503=1),0,IF(OFFSET(CRONOPLE!$F$14,$M503,BS$13)="",10^12,OFFSET(CRONOPLE!$F$14,$M503,BS$13))))</f>
        <v>1000000000000</v>
      </c>
      <c r="BT503" s="181">
        <f ca="1">IF($D503&lt;&gt;"Serviço",0,IF(AND(AUTOEVENTO="Manual",$M503=1),0,IF(OFFSET(CRONOPLE!$F$14,$M503,BT$13)="",10^12,OFFSET(CRONOPLE!$F$14,$M503,BT$13))))</f>
        <v>1000000000000</v>
      </c>
      <c r="BV503" s="182">
        <f ca="1">IF($D503&lt;&gt;"Serviço",0,IF(OR(AND(AUTOEVENTO="Manual",$M503=1),$M503&gt;(ROW(PLE.lastrow)-ROW(PLE.firstrow))),0,IF(OFFSET(PLE!$G$14,$M503,BV$13)="",10^12,OFFSET(PLE!$G$14,$M503,BV$13))))</f>
        <v>1000000000000</v>
      </c>
      <c r="BW503" s="182">
        <f ca="1">IF($D503&lt;&gt;"Serviço",0,IF(OR(AND(AUTOEVENTO="Manual",$M503=1),$M503&gt;(ROW(PLE.lastrow)-ROW(PLE.firstrow))),0,IF(OFFSET(PLE!$G$14,$M503,BW$13)="",10^12,OFFSET(PLE!$G$14,$M503,BW$13))))</f>
        <v>1000000000000</v>
      </c>
      <c r="BX503" s="182">
        <f ca="1">IF($D503&lt;&gt;"Serviço",0,IF(OR(AND(AUTOEVENTO="Manual",$M503=1),$M503&gt;(ROW(PLE.lastrow)-ROW(PLE.firstrow))),0,IF(OFFSET(PLE!$G$14,$M503,BX$13)="",10^12,OFFSET(PLE!$G$14,$M503,BX$13))))</f>
        <v>1000000000000</v>
      </c>
      <c r="BY503" s="182">
        <f ca="1">IF($D503&lt;&gt;"Serviço",0,IF(OR(AND(AUTOEVENTO="Manual",$M503=1),$M503&gt;(ROW(PLE.lastrow)-ROW(PLE.firstrow))),0,IF(OFFSET(PLE!$G$14,$M503,BY$13)="",10^12,OFFSET(PLE!$G$14,$M503,BY$13))))</f>
        <v>1000000000000</v>
      </c>
      <c r="BZ503" s="182">
        <f ca="1">IF($D503&lt;&gt;"Serviço",0,IF(OR(AND(AUTOEVENTO="Manual",$M503=1),$M503&gt;(ROW(PLE.lastrow)-ROW(PLE.firstrow))),0,IF(OFFSET(PLE!$G$14,$M503,BZ$13)="",10^12,OFFSET(PLE!$G$14,$M503,BZ$13))))</f>
        <v>1000000000000</v>
      </c>
      <c r="CA503" s="182">
        <f ca="1">IF($D503&lt;&gt;"Serviço",0,IF(OR(AND(AUTOEVENTO="Manual",$M503=1),$M503&gt;(ROW(PLE.lastrow)-ROW(PLE.firstrow))),0,IF(OFFSET(PLE!$G$14,$M503,CA$13)="",10^12,OFFSET(PLE!$G$14,$M503,CA$13))))</f>
        <v>1000000000000</v>
      </c>
      <c r="CB503" s="182">
        <f ca="1">IF($D503&lt;&gt;"Serviço",0,IF(OR(AND(AUTOEVENTO="Manual",$M503=1),$M503&gt;(ROW(PLE.lastrow)-ROW(PLE.firstrow))),0,IF(OFFSET(PLE!$G$14,$M503,CB$13)="",10^12,OFFSET(PLE!$G$14,$M503,CB$13))))</f>
        <v>1000000000000</v>
      </c>
      <c r="CC503" s="182">
        <f ca="1">IF($D503&lt;&gt;"Serviço",0,IF(OR(AND(AUTOEVENTO="Manual",$M503=1),$M503&gt;(ROW(PLE.lastrow)-ROW(PLE.firstrow))),0,IF(OFFSET(PLE!$G$14,$M503,CC$13)="",10^12,OFFSET(PLE!$G$14,$M503,CC$13))))</f>
        <v>1000000000000</v>
      </c>
      <c r="CD503" s="182">
        <f ca="1">IF($D503&lt;&gt;"Serviço",0,IF(OR(AND(AUTOEVENTO="Manual",$M503=1),$M503&gt;(ROW(PLE.lastrow)-ROW(PLE.firstrow))),0,IF(OFFSET(PLE!$G$14,$M503,CD$13)="",10^12,OFFSET(PLE!$G$14,$M503,CD$13))))</f>
        <v>1000000000000</v>
      </c>
      <c r="CE503" s="182">
        <f ca="1">IF($D503&lt;&gt;"Serviço",0,IF(OR(AND(AUTOEVENTO="Manual",$M503=1),$M503&gt;(ROW(PLE.lastrow)-ROW(PLE.firstrow))),0,IF(OFFSET(PLE!$G$14,$M503,CE$13)="",10^12,OFFSET(PLE!$G$14,$M503,CE$13))))</f>
        <v>1000000000000</v>
      </c>
      <c r="CF503" s="182">
        <f ca="1">IF($D503&lt;&gt;"Serviço",0,IF(OR(AND(AUTOEVENTO="Manual",$M503=1),$M503&gt;(ROW(PLE.lastrow)-ROW(PLE.firstrow))),0,IF(OFFSET(PLE!$G$14,$M503,CF$13)="",10^12,OFFSET(PLE!$G$14,$M503,CF$13))))</f>
        <v>1000000000000</v>
      </c>
      <c r="CG503" s="182">
        <f ca="1">IF($D503&lt;&gt;"Serviço",0,IF(OR(AND(AUTOEVENTO="Manual",$M503=1),$M503&gt;(ROW(PLE.lastrow)-ROW(PLE.firstrow))),0,IF(OFFSET(PLE!$G$14,$M503,CG$13)="",10^12,OFFSET(PLE!$G$14,$M503,CG$13))))</f>
        <v>1000000000000</v>
      </c>
      <c r="CH503" s="182">
        <f ca="1">IF($D503&lt;&gt;"Serviço",0,IF(OR(AND(AUTOEVENTO="Manual",$M503=1),$M503&gt;(ROW(PLE.lastrow)-ROW(PLE.firstrow))),0,IF(OFFSET(PLE!$G$14,$M503,CH$13)="",10^12,OFFSET(PLE!$G$14,$M503,CH$13))))</f>
        <v>1000000000000</v>
      </c>
      <c r="CI503" s="182">
        <f ca="1">IF($D503&lt;&gt;"Serviço",0,IF(OR(AND(AUTOEVENTO="Manual",$M503=1),$M503&gt;(ROW(PLE.lastrow)-ROW(PLE.firstrow))),0,IF(OFFSET(PLE!$G$14,$M503,CI$13)="",10^12,OFFSET(PLE!$G$14,$M503,CI$13))))</f>
        <v>1000000000000</v>
      </c>
      <c r="CJ503" s="182">
        <f ca="1">IF($D503&lt;&gt;"Serviço",0,IF(OR(AND(AUTOEVENTO="Manual",$M503=1),$M503&gt;(ROW(PLE.lastrow)-ROW(PLE.firstrow))),0,IF(OFFSET(PLE!$G$14,$M503,CJ$13)="",10^12,OFFSET(PLE!$G$14,$M503,CJ$13))))</f>
        <v>1000000000000</v>
      </c>
      <c r="CK503" s="182">
        <f ca="1">IF($D503&lt;&gt;"Serviço",0,IF(OR(AND(AUTOEVENTO="Manual",$M503=1),$M503&gt;(ROW(PLE.lastrow)-ROW(PLE.firstrow))),0,IF(OFFSET(PLE!$G$14,$M503,CK$13)="",10^12,OFFSET(PLE!$G$14,$M503,CK$13))))</f>
        <v>1000000000000</v>
      </c>
      <c r="CL503" s="182">
        <f ca="1">IF($D503&lt;&gt;"Serviço",0,IF(OR(AND(AUTOEVENTO="Manual",$M503=1),$M503&gt;(ROW(PLE.lastrow)-ROW(PLE.firstrow))),0,IF(OFFSET(PLE!$G$14,$M503,CL$13)="",10^12,OFFSET(PLE!$G$14,$M503,CL$13))))</f>
        <v>1000000000000</v>
      </c>
      <c r="CM503" s="182">
        <f ca="1">IF($D503&lt;&gt;"Serviço",0,IF(OR(AND(AUTOEVENTO="Manual",$M503=1),$M503&gt;(ROW(PLE.lastrow)-ROW(PLE.firstrow))),0,IF(OFFSET(PLE!$G$14,$M503,CM$13)="",10^12,OFFSET(PLE!$G$14,$M503,CM$13))))</f>
        <v>1000000000000</v>
      </c>
    </row>
    <row r="504" spans="1:91" ht="25.5" x14ac:dyDescent="0.2">
      <c r="A504" s="7" t="str">
        <f t="shared" ca="1" si="16"/>
        <v>475</v>
      </c>
      <c r="B504" s="7" t="str">
        <f ca="1">OFFSET(ORÇAMENTO!C$15,ROW(B504)-ROW(B$15),0)</f>
        <v>S</v>
      </c>
      <c r="C504" s="7" t="str">
        <f ca="1">OFFSET(ORÇAMENTO!L$15,ROW(C504)-ROW(C$15),0)</f>
        <v/>
      </c>
      <c r="D504" s="118" t="str">
        <f ca="1">OFFSET(ORÇAMENTO!N$15,ROW(D504)-ROW(D$15),0)</f>
        <v>Serviço</v>
      </c>
      <c r="E504" s="119" t="str">
        <f ca="1">OFFSET(ORÇAMENTO!O$15,ROW(E504)-ROW(E$15),0)</f>
        <v>-</v>
      </c>
      <c r="F504" s="172" t="str">
        <f ca="1">OFFSET(ORÇAMENTO!R$15,ROW(F504)-ROW(F$15),0)</f>
        <v>(abra o arquivo 'Referência 06-2024.xlsm)</v>
      </c>
      <c r="G504" s="173" t="str">
        <f ca="1">IF($D504&lt;&gt;"Serviço","",OFFSET(ORÇAMENTO!S$15,ROW(G504)-ROW(G$15),0))</f>
        <v>-</v>
      </c>
      <c r="H504" s="124">
        <f ca="1">IF($D504&lt;&gt;"Serviço",0,IF(ACOMPANHAMENTO="BM",ROUND(OFFSET(ORÇAMENTO!AJ$15,ROW(H504)-ROW(H$15),0),15-13*ORÇAMENTO!$AF$7),SUMPRODUCT(($Q$12:$AI$12&lt;&gt;"")*ROUND($Q504:$AI504,15-13*ORÇAMENTO!$AF$7))))</f>
        <v>1</v>
      </c>
      <c r="I504" s="561" t="s">
        <v>1107</v>
      </c>
      <c r="K504" s="174"/>
      <c r="L504" s="175" t="s">
        <v>255</v>
      </c>
      <c r="M504" s="176">
        <f ca="1">IF($D504&lt;&gt;"Serviço","",IF(AUTOEVENTO="manual",$A504,IF(ISERROR(MATCH($A504,$A$15:OFFSET($A504,-1,0),0)),MAX($M$15:OFFSET(M504,-1,0))+1,INDEX($M$15:OFFSET(M504,-1,0),MATCH($A504,$A$15:OFFSET($A504,-1,0),0)))))</f>
        <v>53</v>
      </c>
      <c r="N504" s="177" t="str">
        <f ca="1">IF($D504&lt;&gt;"Serviço","",IF(AUTOEVENTO="Manual",IF($A504=0,"&lt;-- defina o número do agrupador",OFFSET(EVENTOS!$D$14,$A504,0)),OFFSET($F$15,$A504,0)))</f>
        <v>INSTALAÇÃO ELÉTRICA 110V - ACESSÓRIOS EM GERAL</v>
      </c>
      <c r="O504" s="178"/>
      <c r="Q504" s="178">
        <v>1</v>
      </c>
      <c r="R504" s="179"/>
      <c r="S504" s="179"/>
      <c r="T504" s="179"/>
      <c r="U504" s="179"/>
      <c r="V504" s="179"/>
      <c r="W504" s="179"/>
      <c r="X504" s="179"/>
      <c r="Y504" s="179"/>
      <c r="Z504" s="180"/>
      <c r="AA504" s="179"/>
      <c r="AB504" s="179"/>
      <c r="AC504" s="179"/>
      <c r="AD504" s="179"/>
      <c r="AE504" s="179"/>
      <c r="AF504" s="179"/>
      <c r="AG504" s="179"/>
      <c r="AH504" s="180"/>
      <c r="AJ504" s="544">
        <f ca="1">IF(AND($D504="Serviço",AJ$12&lt;&gt;0,$H504&gt;0,OR(AUTOEVENTO&lt;&gt;"manual",$M504&lt;&gt;1)),
IF(Import.TipoArredondamento&lt;&gt;"TransfereGOV",
ROUND(OFFSET($P504,0,AJ$13),15-13*ORÇAMENTO!$AF$7)/$H504*OFFSET(ORÇAMENTO!$X$15,ROW(AJ504)-ROW(AJ$15),0),
ROUND(ROUND(OFFSET($P504,0,AJ$13),15-13*ORÇAMENTO!$AF$7)*OFFSET(ORÇAMENTO!$W$15,ROW(AJ504)-ROW(AJ$15),0),15-13*ORÇAMENTO!$AF$11)),0)</f>
        <v>0</v>
      </c>
      <c r="AK504" s="545">
        <f ca="1">IF(AND($D504="Serviço",AK$12&lt;&gt;0,$H504&gt;0,OR(AUTOEVENTO&lt;&gt;"manual",$M504&lt;&gt;1)),
IF(Import.TipoArredondamento&lt;&gt;"TransfereGOV",
ROUND(OFFSET($P504,0,AK$13),15-13*ORÇAMENTO!$AF$7)/$H504*OFFSET(ORÇAMENTO!$X$15,ROW(AK504)-ROW(AK$15),0),
ROUND(ROUND(OFFSET($P504,0,AK$13),15-13*ORÇAMENTO!$AF$7)*OFFSET(ORÇAMENTO!$W$15,ROW(AK504)-ROW(AK$15),0),15-13*ORÇAMENTO!$AF$11)),0)</f>
        <v>0</v>
      </c>
      <c r="AL504" s="545">
        <f ca="1">IF(AND($D504="Serviço",AL$12&lt;&gt;0,$H504&gt;0,OR(AUTOEVENTO&lt;&gt;"manual",$M504&lt;&gt;1)),
IF(Import.TipoArredondamento&lt;&gt;"TransfereGOV",
ROUND(OFFSET($P504,0,AL$13),15-13*ORÇAMENTO!$AF$7)/$H504*OFFSET(ORÇAMENTO!$X$15,ROW(AL504)-ROW(AL$15),0),
ROUND(ROUND(OFFSET($P504,0,AL$13),15-13*ORÇAMENTO!$AF$7)*OFFSET(ORÇAMENTO!$W$15,ROW(AL504)-ROW(AL$15),0),15-13*ORÇAMENTO!$AF$11)),0)</f>
        <v>0</v>
      </c>
      <c r="AM504" s="545">
        <f ca="1">IF(AND($D504="Serviço",AM$12&lt;&gt;0,$H504&gt;0,OR(AUTOEVENTO&lt;&gt;"manual",$M504&lt;&gt;1)),
IF(Import.TipoArredondamento&lt;&gt;"TransfereGOV",
ROUND(OFFSET($P504,0,AM$13),15-13*ORÇAMENTO!$AF$7)/$H504*OFFSET(ORÇAMENTO!$X$15,ROW(AM504)-ROW(AM$15),0),
ROUND(ROUND(OFFSET($P504,0,AM$13),15-13*ORÇAMENTO!$AF$7)*OFFSET(ORÇAMENTO!$W$15,ROW(AM504)-ROW(AM$15),0),15-13*ORÇAMENTO!$AF$11)),0)</f>
        <v>0</v>
      </c>
      <c r="AN504" s="545">
        <f ca="1">IF(AND($D504="Serviço",AN$12&lt;&gt;0,$H504&gt;0,OR(AUTOEVENTO&lt;&gt;"manual",$M504&lt;&gt;1)),
IF(Import.TipoArredondamento&lt;&gt;"TransfereGOV",
ROUND(OFFSET($P504,0,AN$13),15-13*ORÇAMENTO!$AF$7)/$H504*OFFSET(ORÇAMENTO!$X$15,ROW(AN504)-ROW(AN$15),0),
ROUND(ROUND(OFFSET($P504,0,AN$13),15-13*ORÇAMENTO!$AF$7)*OFFSET(ORÇAMENTO!$W$15,ROW(AN504)-ROW(AN$15),0),15-13*ORÇAMENTO!$AF$11)),0)</f>
        <v>0</v>
      </c>
      <c r="AO504" s="545">
        <f ca="1">IF(AND($D504="Serviço",AO$12&lt;&gt;0,$H504&gt;0,OR(AUTOEVENTO&lt;&gt;"manual",$M504&lt;&gt;1)),
IF(Import.TipoArredondamento&lt;&gt;"TransfereGOV",
ROUND(OFFSET($P504,0,AO$13),15-13*ORÇAMENTO!$AF$7)/$H504*OFFSET(ORÇAMENTO!$X$15,ROW(AO504)-ROW(AO$15),0),
ROUND(ROUND(OFFSET($P504,0,AO$13),15-13*ORÇAMENTO!$AF$7)*OFFSET(ORÇAMENTO!$W$15,ROW(AO504)-ROW(AO$15),0),15-13*ORÇAMENTO!$AF$11)),0)</f>
        <v>0</v>
      </c>
      <c r="AP504" s="545">
        <f ca="1">IF(AND($D504="Serviço",AP$12&lt;&gt;0,$H504&gt;0,OR(AUTOEVENTO&lt;&gt;"manual",$M504&lt;&gt;1)),
IF(Import.TipoArredondamento&lt;&gt;"TransfereGOV",
ROUND(OFFSET($P504,0,AP$13),15-13*ORÇAMENTO!$AF$7)/$H504*OFFSET(ORÇAMENTO!$X$15,ROW(AP504)-ROW(AP$15),0),
ROUND(ROUND(OFFSET($P504,0,AP$13),15-13*ORÇAMENTO!$AF$7)*OFFSET(ORÇAMENTO!$W$15,ROW(AP504)-ROW(AP$15),0),15-13*ORÇAMENTO!$AF$11)),0)</f>
        <v>0</v>
      </c>
      <c r="AQ504" s="545">
        <f ca="1">IF(AND($D504="Serviço",AQ$12&lt;&gt;0,$H504&gt;0,OR(AUTOEVENTO&lt;&gt;"manual",$M504&lt;&gt;1)),
IF(Import.TipoArredondamento&lt;&gt;"TransfereGOV",
ROUND(OFFSET($P504,0,AQ$13),15-13*ORÇAMENTO!$AF$7)/$H504*OFFSET(ORÇAMENTO!$X$15,ROW(AQ504)-ROW(AQ$15),0),
ROUND(ROUND(OFFSET($P504,0,AQ$13),15-13*ORÇAMENTO!$AF$7)*OFFSET(ORÇAMENTO!$W$15,ROW(AQ504)-ROW(AQ$15),0),15-13*ORÇAMENTO!$AF$11)),0)</f>
        <v>0</v>
      </c>
      <c r="AR504" s="545">
        <f ca="1">IF(AND($D504="Serviço",AR$12&lt;&gt;0,$H504&gt;0,OR(AUTOEVENTO&lt;&gt;"manual",$M504&lt;&gt;1)),
IF(Import.TipoArredondamento&lt;&gt;"TransfereGOV",
ROUND(OFFSET($P504,0,AR$13),15-13*ORÇAMENTO!$AF$7)/$H504*OFFSET(ORÇAMENTO!$X$15,ROW(AR504)-ROW(AR$15),0),
ROUND(ROUND(OFFSET($P504,0,AR$13),15-13*ORÇAMENTO!$AF$7)*OFFSET(ORÇAMENTO!$W$15,ROW(AR504)-ROW(AR$15),0),15-13*ORÇAMENTO!$AF$11)),0)</f>
        <v>0</v>
      </c>
      <c r="AS504" s="546">
        <f ca="1">IF(AND($D504="Serviço",AS$12&lt;&gt;0,$H504&gt;0,OR(AUTOEVENTO&lt;&gt;"manual",$M504&lt;&gt;1)),
IF(Import.TipoArredondamento&lt;&gt;"TransfereGOV",
ROUND(OFFSET($P504,0,AS$13),15-13*ORÇAMENTO!$AF$7)/$H504*OFFSET(ORÇAMENTO!$X$15,ROW(AS504)-ROW(AS$15),0),
ROUND(ROUND(OFFSET($P504,0,AS$13),15-13*ORÇAMENTO!$AF$7)*OFFSET(ORÇAMENTO!$W$15,ROW(AS504)-ROW(AS$15),0),15-13*ORÇAMENTO!$AF$11)),0)</f>
        <v>0</v>
      </c>
      <c r="AT504" s="545">
        <f ca="1">IF(AND($D504="Serviço",AT$12&lt;&gt;0,$H504&gt;0,OR(AUTOEVENTO&lt;&gt;"manual",$M504&lt;&gt;1)),
IF(Import.TipoArredondamento&lt;&gt;"TransfereGOV",
ROUND(OFFSET($P504,0,AT$13),15-13*ORÇAMENTO!$AF$7)/$H504*OFFSET(ORÇAMENTO!$X$15,ROW(AT504)-ROW(AT$15),0),
ROUND(ROUND(OFFSET($P504,0,AT$13),15-13*ORÇAMENTO!$AF$7)*OFFSET(ORÇAMENTO!$W$15,ROW(AT504)-ROW(AT$15),0),15-13*ORÇAMENTO!$AF$11)),0)</f>
        <v>0</v>
      </c>
      <c r="AU504" s="545">
        <f ca="1">IF(AND($D504="Serviço",AU$12&lt;&gt;0,$H504&gt;0,OR(AUTOEVENTO&lt;&gt;"manual",$M504&lt;&gt;1)),
IF(Import.TipoArredondamento&lt;&gt;"TransfereGOV",
ROUND(OFFSET($P504,0,AU$13),15-13*ORÇAMENTO!$AF$7)/$H504*OFFSET(ORÇAMENTO!$X$15,ROW(AU504)-ROW(AU$15),0),
ROUND(ROUND(OFFSET($P504,0,AU$13),15-13*ORÇAMENTO!$AF$7)*OFFSET(ORÇAMENTO!$W$15,ROW(AU504)-ROW(AU$15),0),15-13*ORÇAMENTO!$AF$11)),0)</f>
        <v>0</v>
      </c>
      <c r="AV504" s="545">
        <f ca="1">IF(AND($D504="Serviço",AV$12&lt;&gt;0,$H504&gt;0,OR(AUTOEVENTO&lt;&gt;"manual",$M504&lt;&gt;1)),
IF(Import.TipoArredondamento&lt;&gt;"TransfereGOV",
ROUND(OFFSET($P504,0,AV$13),15-13*ORÇAMENTO!$AF$7)/$H504*OFFSET(ORÇAMENTO!$X$15,ROW(AV504)-ROW(AV$15),0),
ROUND(ROUND(OFFSET($P504,0,AV$13),15-13*ORÇAMENTO!$AF$7)*OFFSET(ORÇAMENTO!$W$15,ROW(AV504)-ROW(AV$15),0),15-13*ORÇAMENTO!$AF$11)),0)</f>
        <v>0</v>
      </c>
      <c r="AW504" s="545">
        <f ca="1">IF(AND($D504="Serviço",AW$12&lt;&gt;0,$H504&gt;0,OR(AUTOEVENTO&lt;&gt;"manual",$M504&lt;&gt;1)),
IF(Import.TipoArredondamento&lt;&gt;"TransfereGOV",
ROUND(OFFSET($P504,0,AW$13),15-13*ORÇAMENTO!$AF$7)/$H504*OFFSET(ORÇAMENTO!$X$15,ROW(AW504)-ROW(AW$15),0),
ROUND(ROUND(OFFSET($P504,0,AW$13),15-13*ORÇAMENTO!$AF$7)*OFFSET(ORÇAMENTO!$W$15,ROW(AW504)-ROW(AW$15),0),15-13*ORÇAMENTO!$AF$11)),0)</f>
        <v>0</v>
      </c>
      <c r="AX504" s="545">
        <f ca="1">IF(AND($D504="Serviço",AX$12&lt;&gt;0,$H504&gt;0,OR(AUTOEVENTO&lt;&gt;"manual",$M504&lt;&gt;1)),
IF(Import.TipoArredondamento&lt;&gt;"TransfereGOV",
ROUND(OFFSET($P504,0,AX$13),15-13*ORÇAMENTO!$AF$7)/$H504*OFFSET(ORÇAMENTO!$X$15,ROW(AX504)-ROW(AX$15),0),
ROUND(ROUND(OFFSET($P504,0,AX$13),15-13*ORÇAMENTO!$AF$7)*OFFSET(ORÇAMENTO!$W$15,ROW(AX504)-ROW(AX$15),0),15-13*ORÇAMENTO!$AF$11)),0)</f>
        <v>0</v>
      </c>
      <c r="AY504" s="545">
        <f ca="1">IF(AND($D504="Serviço",AY$12&lt;&gt;0,$H504&gt;0,OR(AUTOEVENTO&lt;&gt;"manual",$M504&lt;&gt;1)),
IF(Import.TipoArredondamento&lt;&gt;"TransfereGOV",
ROUND(OFFSET($P504,0,AY$13),15-13*ORÇAMENTO!$AF$7)/$H504*OFFSET(ORÇAMENTO!$X$15,ROW(AY504)-ROW(AY$15),0),
ROUND(ROUND(OFFSET($P504,0,AY$13),15-13*ORÇAMENTO!$AF$7)*OFFSET(ORÇAMENTO!$W$15,ROW(AY504)-ROW(AY$15),0),15-13*ORÇAMENTO!$AF$11)),0)</f>
        <v>0</v>
      </c>
      <c r="AZ504" s="545">
        <f ca="1">IF(AND($D504="Serviço",AZ$12&lt;&gt;0,$H504&gt;0,OR(AUTOEVENTO&lt;&gt;"manual",$M504&lt;&gt;1)),
IF(Import.TipoArredondamento&lt;&gt;"TransfereGOV",
ROUND(OFFSET($P504,0,AZ$13),15-13*ORÇAMENTO!$AF$7)/$H504*OFFSET(ORÇAMENTO!$X$15,ROW(AZ504)-ROW(AZ$15),0),
ROUND(ROUND(OFFSET($P504,0,AZ$13),15-13*ORÇAMENTO!$AF$7)*OFFSET(ORÇAMENTO!$W$15,ROW(AZ504)-ROW(AZ$15),0),15-13*ORÇAMENTO!$AF$11)),0)</f>
        <v>0</v>
      </c>
      <c r="BA504" s="546">
        <f ca="1">IF(AND($D504="Serviço",BA$12&lt;&gt;0,$H504&gt;0,OR(AUTOEVENTO&lt;&gt;"manual",$M504&lt;&gt;1)),
IF(Import.TipoArredondamento&lt;&gt;"TransfereGOV",
ROUND(OFFSET($P504,0,BA$13),15-13*ORÇAMENTO!$AF$7)/$H504*OFFSET(ORÇAMENTO!$X$15,ROW(BA504)-ROW(BA$15),0),
ROUND(ROUND(OFFSET($P504,0,BA$13),15-13*ORÇAMENTO!$AF$7)*OFFSET(ORÇAMENTO!$W$15,ROW(BA504)-ROW(BA$15),0),15-13*ORÇAMENTO!$AF$11)),0)</f>
        <v>0</v>
      </c>
      <c r="BC504" s="181">
        <f ca="1">IF($D504&lt;&gt;"Serviço",0,IF(AND(AUTOEVENTO="Manual",$M504=1),0,IF(OFFSET(CRONOPLE!$F$14,$M504,BC$13)="",10^12,OFFSET(CRONOPLE!$F$14,$M504,BC$13))))</f>
        <v>10</v>
      </c>
      <c r="BD504" s="181">
        <f ca="1">IF($D504&lt;&gt;"Serviço",0,IF(AND(AUTOEVENTO="Manual",$M504=1),0,IF(OFFSET(CRONOPLE!$F$14,$M504,BD$13)="",10^12,OFFSET(CRONOPLE!$F$14,$M504,BD$13))))</f>
        <v>1000000000000</v>
      </c>
      <c r="BE504" s="181">
        <f ca="1">IF($D504&lt;&gt;"Serviço",0,IF(AND(AUTOEVENTO="Manual",$M504=1),0,IF(OFFSET(CRONOPLE!$F$14,$M504,BE$13)="",10^12,OFFSET(CRONOPLE!$F$14,$M504,BE$13))))</f>
        <v>1000000000000</v>
      </c>
      <c r="BF504" s="181">
        <f ca="1">IF($D504&lt;&gt;"Serviço",0,IF(AND(AUTOEVENTO="Manual",$M504=1),0,IF(OFFSET(CRONOPLE!$F$14,$M504,BF$13)="",10^12,OFFSET(CRONOPLE!$F$14,$M504,BF$13))))</f>
        <v>1000000000000</v>
      </c>
      <c r="BG504" s="181">
        <f ca="1">IF($D504&lt;&gt;"Serviço",0,IF(AND(AUTOEVENTO="Manual",$M504=1),0,IF(OFFSET(CRONOPLE!$F$14,$M504,BG$13)="",10^12,OFFSET(CRONOPLE!$F$14,$M504,BG$13))))</f>
        <v>1000000000000</v>
      </c>
      <c r="BH504" s="181">
        <f ca="1">IF($D504&lt;&gt;"Serviço",0,IF(AND(AUTOEVENTO="Manual",$M504=1),0,IF(OFFSET(CRONOPLE!$F$14,$M504,BH$13)="",10^12,OFFSET(CRONOPLE!$F$14,$M504,BH$13))))</f>
        <v>1000000000000</v>
      </c>
      <c r="BI504" s="181">
        <f ca="1">IF($D504&lt;&gt;"Serviço",0,IF(AND(AUTOEVENTO="Manual",$M504=1),0,IF(OFFSET(CRONOPLE!$F$14,$M504,BI$13)="",10^12,OFFSET(CRONOPLE!$F$14,$M504,BI$13))))</f>
        <v>1000000000000</v>
      </c>
      <c r="BJ504" s="181">
        <f ca="1">IF($D504&lt;&gt;"Serviço",0,IF(AND(AUTOEVENTO="Manual",$M504=1),0,IF(OFFSET(CRONOPLE!$F$14,$M504,BJ$13)="",10^12,OFFSET(CRONOPLE!$F$14,$M504,BJ$13))))</f>
        <v>1000000000000</v>
      </c>
      <c r="BK504" s="181">
        <f ca="1">IF($D504&lt;&gt;"Serviço",0,IF(AND(AUTOEVENTO="Manual",$M504=1),0,IF(OFFSET(CRONOPLE!$F$14,$M504,BK$13)="",10^12,OFFSET(CRONOPLE!$F$14,$M504,BK$13))))</f>
        <v>1000000000000</v>
      </c>
      <c r="BL504" s="181">
        <f ca="1">IF($D504&lt;&gt;"Serviço",0,IF(AND(AUTOEVENTO="Manual",$M504=1),0,IF(OFFSET(CRONOPLE!$F$14,$M504,BL$13)="",10^12,OFFSET(CRONOPLE!$F$14,$M504,BL$13))))</f>
        <v>1000000000000</v>
      </c>
      <c r="BM504" s="181">
        <f ca="1">IF($D504&lt;&gt;"Serviço",0,IF(AND(AUTOEVENTO="Manual",$M504=1),0,IF(OFFSET(CRONOPLE!$F$14,$M504,BM$13)="",10^12,OFFSET(CRONOPLE!$F$14,$M504,BM$13))))</f>
        <v>1000000000000</v>
      </c>
      <c r="BN504" s="181">
        <f ca="1">IF($D504&lt;&gt;"Serviço",0,IF(AND(AUTOEVENTO="Manual",$M504=1),0,IF(OFFSET(CRONOPLE!$F$14,$M504,BN$13)="",10^12,OFFSET(CRONOPLE!$F$14,$M504,BN$13))))</f>
        <v>1000000000000</v>
      </c>
      <c r="BO504" s="181">
        <f ca="1">IF($D504&lt;&gt;"Serviço",0,IF(AND(AUTOEVENTO="Manual",$M504=1),0,IF(OFFSET(CRONOPLE!$F$14,$M504,BO$13)="",10^12,OFFSET(CRONOPLE!$F$14,$M504,BO$13))))</f>
        <v>1000000000000</v>
      </c>
      <c r="BP504" s="181">
        <f ca="1">IF($D504&lt;&gt;"Serviço",0,IF(AND(AUTOEVENTO="Manual",$M504=1),0,IF(OFFSET(CRONOPLE!$F$14,$M504,BP$13)="",10^12,OFFSET(CRONOPLE!$F$14,$M504,BP$13))))</f>
        <v>1000000000000</v>
      </c>
      <c r="BQ504" s="181">
        <f ca="1">IF($D504&lt;&gt;"Serviço",0,IF(AND(AUTOEVENTO="Manual",$M504=1),0,IF(OFFSET(CRONOPLE!$F$14,$M504,BQ$13)="",10^12,OFFSET(CRONOPLE!$F$14,$M504,BQ$13))))</f>
        <v>1000000000000</v>
      </c>
      <c r="BR504" s="181">
        <f ca="1">IF($D504&lt;&gt;"Serviço",0,IF(AND(AUTOEVENTO="Manual",$M504=1),0,IF(OFFSET(CRONOPLE!$F$14,$M504,BR$13)="",10^12,OFFSET(CRONOPLE!$F$14,$M504,BR$13))))</f>
        <v>1000000000000</v>
      </c>
      <c r="BS504" s="181">
        <f ca="1">IF($D504&lt;&gt;"Serviço",0,IF(AND(AUTOEVENTO="Manual",$M504=1),0,IF(OFFSET(CRONOPLE!$F$14,$M504,BS$13)="",10^12,OFFSET(CRONOPLE!$F$14,$M504,BS$13))))</f>
        <v>1000000000000</v>
      </c>
      <c r="BT504" s="181">
        <f ca="1">IF($D504&lt;&gt;"Serviço",0,IF(AND(AUTOEVENTO="Manual",$M504=1),0,IF(OFFSET(CRONOPLE!$F$14,$M504,BT$13)="",10^12,OFFSET(CRONOPLE!$F$14,$M504,BT$13))))</f>
        <v>1000000000000</v>
      </c>
      <c r="BV504" s="182">
        <f ca="1">IF($D504&lt;&gt;"Serviço",0,IF(OR(AND(AUTOEVENTO="Manual",$M504=1),$M504&gt;(ROW(PLE.lastrow)-ROW(PLE.firstrow))),0,IF(OFFSET(PLE!$G$14,$M504,BV$13)="",10^12,OFFSET(PLE!$G$14,$M504,BV$13))))</f>
        <v>1000000000000</v>
      </c>
      <c r="BW504" s="182">
        <f ca="1">IF($D504&lt;&gt;"Serviço",0,IF(OR(AND(AUTOEVENTO="Manual",$M504=1),$M504&gt;(ROW(PLE.lastrow)-ROW(PLE.firstrow))),0,IF(OFFSET(PLE!$G$14,$M504,BW$13)="",10^12,OFFSET(PLE!$G$14,$M504,BW$13))))</f>
        <v>1000000000000</v>
      </c>
      <c r="BX504" s="182">
        <f ca="1">IF($D504&lt;&gt;"Serviço",0,IF(OR(AND(AUTOEVENTO="Manual",$M504=1),$M504&gt;(ROW(PLE.lastrow)-ROW(PLE.firstrow))),0,IF(OFFSET(PLE!$G$14,$M504,BX$13)="",10^12,OFFSET(PLE!$G$14,$M504,BX$13))))</f>
        <v>1000000000000</v>
      </c>
      <c r="BY504" s="182">
        <f ca="1">IF($D504&lt;&gt;"Serviço",0,IF(OR(AND(AUTOEVENTO="Manual",$M504=1),$M504&gt;(ROW(PLE.lastrow)-ROW(PLE.firstrow))),0,IF(OFFSET(PLE!$G$14,$M504,BY$13)="",10^12,OFFSET(PLE!$G$14,$M504,BY$13))))</f>
        <v>1000000000000</v>
      </c>
      <c r="BZ504" s="182">
        <f ca="1">IF($D504&lt;&gt;"Serviço",0,IF(OR(AND(AUTOEVENTO="Manual",$M504=1),$M504&gt;(ROW(PLE.lastrow)-ROW(PLE.firstrow))),0,IF(OFFSET(PLE!$G$14,$M504,BZ$13)="",10^12,OFFSET(PLE!$G$14,$M504,BZ$13))))</f>
        <v>1000000000000</v>
      </c>
      <c r="CA504" s="182">
        <f ca="1">IF($D504&lt;&gt;"Serviço",0,IF(OR(AND(AUTOEVENTO="Manual",$M504=1),$M504&gt;(ROW(PLE.lastrow)-ROW(PLE.firstrow))),0,IF(OFFSET(PLE!$G$14,$M504,CA$13)="",10^12,OFFSET(PLE!$G$14,$M504,CA$13))))</f>
        <v>1000000000000</v>
      </c>
      <c r="CB504" s="182">
        <f ca="1">IF($D504&lt;&gt;"Serviço",0,IF(OR(AND(AUTOEVENTO="Manual",$M504=1),$M504&gt;(ROW(PLE.lastrow)-ROW(PLE.firstrow))),0,IF(OFFSET(PLE!$G$14,$M504,CB$13)="",10^12,OFFSET(PLE!$G$14,$M504,CB$13))))</f>
        <v>1000000000000</v>
      </c>
      <c r="CC504" s="182">
        <f ca="1">IF($D504&lt;&gt;"Serviço",0,IF(OR(AND(AUTOEVENTO="Manual",$M504=1),$M504&gt;(ROW(PLE.lastrow)-ROW(PLE.firstrow))),0,IF(OFFSET(PLE!$G$14,$M504,CC$13)="",10^12,OFFSET(PLE!$G$14,$M504,CC$13))))</f>
        <v>1000000000000</v>
      </c>
      <c r="CD504" s="182">
        <f ca="1">IF($D504&lt;&gt;"Serviço",0,IF(OR(AND(AUTOEVENTO="Manual",$M504=1),$M504&gt;(ROW(PLE.lastrow)-ROW(PLE.firstrow))),0,IF(OFFSET(PLE!$G$14,$M504,CD$13)="",10^12,OFFSET(PLE!$G$14,$M504,CD$13))))</f>
        <v>1000000000000</v>
      </c>
      <c r="CE504" s="182">
        <f ca="1">IF($D504&lt;&gt;"Serviço",0,IF(OR(AND(AUTOEVENTO="Manual",$M504=1),$M504&gt;(ROW(PLE.lastrow)-ROW(PLE.firstrow))),0,IF(OFFSET(PLE!$G$14,$M504,CE$13)="",10^12,OFFSET(PLE!$G$14,$M504,CE$13))))</f>
        <v>1000000000000</v>
      </c>
      <c r="CF504" s="182">
        <f ca="1">IF($D504&lt;&gt;"Serviço",0,IF(OR(AND(AUTOEVENTO="Manual",$M504=1),$M504&gt;(ROW(PLE.lastrow)-ROW(PLE.firstrow))),0,IF(OFFSET(PLE!$G$14,$M504,CF$13)="",10^12,OFFSET(PLE!$G$14,$M504,CF$13))))</f>
        <v>1000000000000</v>
      </c>
      <c r="CG504" s="182">
        <f ca="1">IF($D504&lt;&gt;"Serviço",0,IF(OR(AND(AUTOEVENTO="Manual",$M504=1),$M504&gt;(ROW(PLE.lastrow)-ROW(PLE.firstrow))),0,IF(OFFSET(PLE!$G$14,$M504,CG$13)="",10^12,OFFSET(PLE!$G$14,$M504,CG$13))))</f>
        <v>1000000000000</v>
      </c>
      <c r="CH504" s="182">
        <f ca="1">IF($D504&lt;&gt;"Serviço",0,IF(OR(AND(AUTOEVENTO="Manual",$M504=1),$M504&gt;(ROW(PLE.lastrow)-ROW(PLE.firstrow))),0,IF(OFFSET(PLE!$G$14,$M504,CH$13)="",10^12,OFFSET(PLE!$G$14,$M504,CH$13))))</f>
        <v>1000000000000</v>
      </c>
      <c r="CI504" s="182">
        <f ca="1">IF($D504&lt;&gt;"Serviço",0,IF(OR(AND(AUTOEVENTO="Manual",$M504=1),$M504&gt;(ROW(PLE.lastrow)-ROW(PLE.firstrow))),0,IF(OFFSET(PLE!$G$14,$M504,CI$13)="",10^12,OFFSET(PLE!$G$14,$M504,CI$13))))</f>
        <v>1000000000000</v>
      </c>
      <c r="CJ504" s="182">
        <f ca="1">IF($D504&lt;&gt;"Serviço",0,IF(OR(AND(AUTOEVENTO="Manual",$M504=1),$M504&gt;(ROW(PLE.lastrow)-ROW(PLE.firstrow))),0,IF(OFFSET(PLE!$G$14,$M504,CJ$13)="",10^12,OFFSET(PLE!$G$14,$M504,CJ$13))))</f>
        <v>1000000000000</v>
      </c>
      <c r="CK504" s="182">
        <f ca="1">IF($D504&lt;&gt;"Serviço",0,IF(OR(AND(AUTOEVENTO="Manual",$M504=1),$M504&gt;(ROW(PLE.lastrow)-ROW(PLE.firstrow))),0,IF(OFFSET(PLE!$G$14,$M504,CK$13)="",10^12,OFFSET(PLE!$G$14,$M504,CK$13))))</f>
        <v>1000000000000</v>
      </c>
      <c r="CL504" s="182">
        <f ca="1">IF($D504&lt;&gt;"Serviço",0,IF(OR(AND(AUTOEVENTO="Manual",$M504=1),$M504&gt;(ROW(PLE.lastrow)-ROW(PLE.firstrow))),0,IF(OFFSET(PLE!$G$14,$M504,CL$13)="",10^12,OFFSET(PLE!$G$14,$M504,CL$13))))</f>
        <v>1000000000000</v>
      </c>
      <c r="CM504" s="182">
        <f ca="1">IF($D504&lt;&gt;"Serviço",0,IF(OR(AND(AUTOEVENTO="Manual",$M504=1),$M504&gt;(ROW(PLE.lastrow)-ROW(PLE.firstrow))),0,IF(OFFSET(PLE!$G$14,$M504,CM$13)="",10^12,OFFSET(PLE!$G$14,$M504,CM$13))))</f>
        <v>1000000000000</v>
      </c>
    </row>
    <row r="505" spans="1:91" ht="25.5" x14ac:dyDescent="0.2">
      <c r="A505" s="7" t="str">
        <f t="shared" ca="1" si="16"/>
        <v>475</v>
      </c>
      <c r="B505" s="7" t="str">
        <f ca="1">OFFSET(ORÇAMENTO!C$15,ROW(B505)-ROW(B$15),0)</f>
        <v>S</v>
      </c>
      <c r="C505" s="7" t="str">
        <f ca="1">OFFSET(ORÇAMENTO!L$15,ROW(C505)-ROW(C$15),0)</f>
        <v/>
      </c>
      <c r="D505" s="118" t="str">
        <f ca="1">OFFSET(ORÇAMENTO!N$15,ROW(D505)-ROW(D$15),0)</f>
        <v>Serviço</v>
      </c>
      <c r="E505" s="119" t="str">
        <f ca="1">OFFSET(ORÇAMENTO!O$15,ROW(E505)-ROW(E$15),0)</f>
        <v>-</v>
      </c>
      <c r="F505" s="172" t="str">
        <f ca="1">OFFSET(ORÇAMENTO!R$15,ROW(F505)-ROW(F$15),0)</f>
        <v>(abra o arquivo 'Referência 06-2024.xlsm)</v>
      </c>
      <c r="G505" s="173" t="str">
        <f ca="1">IF($D505&lt;&gt;"Serviço","",OFFSET(ORÇAMENTO!S$15,ROW(G505)-ROW(G$15),0))</f>
        <v>-</v>
      </c>
      <c r="H505" s="124">
        <f ca="1">IF($D505&lt;&gt;"Serviço",0,IF(ACOMPANHAMENTO="BM",ROUND(OFFSET(ORÇAMENTO!AJ$15,ROW(H505)-ROW(H$15),0),15-13*ORÇAMENTO!$AF$7),SUMPRODUCT(($Q$12:$AI$12&lt;&gt;"")*ROUND($Q505:$AI505,15-13*ORÇAMENTO!$AF$7))))</f>
        <v>1</v>
      </c>
      <c r="I505" s="561" t="s">
        <v>1107</v>
      </c>
      <c r="K505" s="174"/>
      <c r="L505" s="175" t="s">
        <v>255</v>
      </c>
      <c r="M505" s="176">
        <f ca="1">IF($D505&lt;&gt;"Serviço","",IF(AUTOEVENTO="manual",$A505,IF(ISERROR(MATCH($A505,$A$15:OFFSET($A505,-1,0),0)),MAX($M$15:OFFSET(M505,-1,0))+1,INDEX($M$15:OFFSET(M505,-1,0),MATCH($A505,$A$15:OFFSET($A505,-1,0),0)))))</f>
        <v>53</v>
      </c>
      <c r="N505" s="177" t="str">
        <f ca="1">IF($D505&lt;&gt;"Serviço","",IF(AUTOEVENTO="Manual",IF($A505=0,"&lt;-- defina o número do agrupador",OFFSET(EVENTOS!$D$14,$A505,0)),OFFSET($F$15,$A505,0)))</f>
        <v>INSTALAÇÃO ELÉTRICA 110V - ACESSÓRIOS EM GERAL</v>
      </c>
      <c r="O505" s="178"/>
      <c r="Q505" s="178">
        <v>1</v>
      </c>
      <c r="R505" s="179"/>
      <c r="S505" s="179"/>
      <c r="T505" s="179"/>
      <c r="U505" s="179"/>
      <c r="V505" s="179"/>
      <c r="W505" s="179"/>
      <c r="X505" s="179"/>
      <c r="Y505" s="179"/>
      <c r="Z505" s="180"/>
      <c r="AA505" s="179"/>
      <c r="AB505" s="179"/>
      <c r="AC505" s="179"/>
      <c r="AD505" s="179"/>
      <c r="AE505" s="179"/>
      <c r="AF505" s="179"/>
      <c r="AG505" s="179"/>
      <c r="AH505" s="180"/>
      <c r="AJ505" s="544">
        <f ca="1">IF(AND($D505="Serviço",AJ$12&lt;&gt;0,$H505&gt;0,OR(AUTOEVENTO&lt;&gt;"manual",$M505&lt;&gt;1)),
IF(Import.TipoArredondamento&lt;&gt;"TransfereGOV",
ROUND(OFFSET($P505,0,AJ$13),15-13*ORÇAMENTO!$AF$7)/$H505*OFFSET(ORÇAMENTO!$X$15,ROW(AJ505)-ROW(AJ$15),0),
ROUND(ROUND(OFFSET($P505,0,AJ$13),15-13*ORÇAMENTO!$AF$7)*OFFSET(ORÇAMENTO!$W$15,ROW(AJ505)-ROW(AJ$15),0),15-13*ORÇAMENTO!$AF$11)),0)</f>
        <v>0</v>
      </c>
      <c r="AK505" s="545">
        <f ca="1">IF(AND($D505="Serviço",AK$12&lt;&gt;0,$H505&gt;0,OR(AUTOEVENTO&lt;&gt;"manual",$M505&lt;&gt;1)),
IF(Import.TipoArredondamento&lt;&gt;"TransfereGOV",
ROUND(OFFSET($P505,0,AK$13),15-13*ORÇAMENTO!$AF$7)/$H505*OFFSET(ORÇAMENTO!$X$15,ROW(AK505)-ROW(AK$15),0),
ROUND(ROUND(OFFSET($P505,0,AK$13),15-13*ORÇAMENTO!$AF$7)*OFFSET(ORÇAMENTO!$W$15,ROW(AK505)-ROW(AK$15),0),15-13*ORÇAMENTO!$AF$11)),0)</f>
        <v>0</v>
      </c>
      <c r="AL505" s="545">
        <f ca="1">IF(AND($D505="Serviço",AL$12&lt;&gt;0,$H505&gt;0,OR(AUTOEVENTO&lt;&gt;"manual",$M505&lt;&gt;1)),
IF(Import.TipoArredondamento&lt;&gt;"TransfereGOV",
ROUND(OFFSET($P505,0,AL$13),15-13*ORÇAMENTO!$AF$7)/$H505*OFFSET(ORÇAMENTO!$X$15,ROW(AL505)-ROW(AL$15),0),
ROUND(ROUND(OFFSET($P505,0,AL$13),15-13*ORÇAMENTO!$AF$7)*OFFSET(ORÇAMENTO!$W$15,ROW(AL505)-ROW(AL$15),0),15-13*ORÇAMENTO!$AF$11)),0)</f>
        <v>0</v>
      </c>
      <c r="AM505" s="545">
        <f ca="1">IF(AND($D505="Serviço",AM$12&lt;&gt;0,$H505&gt;0,OR(AUTOEVENTO&lt;&gt;"manual",$M505&lt;&gt;1)),
IF(Import.TipoArredondamento&lt;&gt;"TransfereGOV",
ROUND(OFFSET($P505,0,AM$13),15-13*ORÇAMENTO!$AF$7)/$H505*OFFSET(ORÇAMENTO!$X$15,ROW(AM505)-ROW(AM$15),0),
ROUND(ROUND(OFFSET($P505,0,AM$13),15-13*ORÇAMENTO!$AF$7)*OFFSET(ORÇAMENTO!$W$15,ROW(AM505)-ROW(AM$15),0),15-13*ORÇAMENTO!$AF$11)),0)</f>
        <v>0</v>
      </c>
      <c r="AN505" s="545">
        <f ca="1">IF(AND($D505="Serviço",AN$12&lt;&gt;0,$H505&gt;0,OR(AUTOEVENTO&lt;&gt;"manual",$M505&lt;&gt;1)),
IF(Import.TipoArredondamento&lt;&gt;"TransfereGOV",
ROUND(OFFSET($P505,0,AN$13),15-13*ORÇAMENTO!$AF$7)/$H505*OFFSET(ORÇAMENTO!$X$15,ROW(AN505)-ROW(AN$15),0),
ROUND(ROUND(OFFSET($P505,0,AN$13),15-13*ORÇAMENTO!$AF$7)*OFFSET(ORÇAMENTO!$W$15,ROW(AN505)-ROW(AN$15),0),15-13*ORÇAMENTO!$AF$11)),0)</f>
        <v>0</v>
      </c>
      <c r="AO505" s="545">
        <f ca="1">IF(AND($D505="Serviço",AO$12&lt;&gt;0,$H505&gt;0,OR(AUTOEVENTO&lt;&gt;"manual",$M505&lt;&gt;1)),
IF(Import.TipoArredondamento&lt;&gt;"TransfereGOV",
ROUND(OFFSET($P505,0,AO$13),15-13*ORÇAMENTO!$AF$7)/$H505*OFFSET(ORÇAMENTO!$X$15,ROW(AO505)-ROW(AO$15),0),
ROUND(ROUND(OFFSET($P505,0,AO$13),15-13*ORÇAMENTO!$AF$7)*OFFSET(ORÇAMENTO!$W$15,ROW(AO505)-ROW(AO$15),0),15-13*ORÇAMENTO!$AF$11)),0)</f>
        <v>0</v>
      </c>
      <c r="AP505" s="545">
        <f ca="1">IF(AND($D505="Serviço",AP$12&lt;&gt;0,$H505&gt;0,OR(AUTOEVENTO&lt;&gt;"manual",$M505&lt;&gt;1)),
IF(Import.TipoArredondamento&lt;&gt;"TransfereGOV",
ROUND(OFFSET($P505,0,AP$13),15-13*ORÇAMENTO!$AF$7)/$H505*OFFSET(ORÇAMENTO!$X$15,ROW(AP505)-ROW(AP$15),0),
ROUND(ROUND(OFFSET($P505,0,AP$13),15-13*ORÇAMENTO!$AF$7)*OFFSET(ORÇAMENTO!$W$15,ROW(AP505)-ROW(AP$15),0),15-13*ORÇAMENTO!$AF$11)),0)</f>
        <v>0</v>
      </c>
      <c r="AQ505" s="545">
        <f ca="1">IF(AND($D505="Serviço",AQ$12&lt;&gt;0,$H505&gt;0,OR(AUTOEVENTO&lt;&gt;"manual",$M505&lt;&gt;1)),
IF(Import.TipoArredondamento&lt;&gt;"TransfereGOV",
ROUND(OFFSET($P505,0,AQ$13),15-13*ORÇAMENTO!$AF$7)/$H505*OFFSET(ORÇAMENTO!$X$15,ROW(AQ505)-ROW(AQ$15),0),
ROUND(ROUND(OFFSET($P505,0,AQ$13),15-13*ORÇAMENTO!$AF$7)*OFFSET(ORÇAMENTO!$W$15,ROW(AQ505)-ROW(AQ$15),0),15-13*ORÇAMENTO!$AF$11)),0)</f>
        <v>0</v>
      </c>
      <c r="AR505" s="545">
        <f ca="1">IF(AND($D505="Serviço",AR$12&lt;&gt;0,$H505&gt;0,OR(AUTOEVENTO&lt;&gt;"manual",$M505&lt;&gt;1)),
IF(Import.TipoArredondamento&lt;&gt;"TransfereGOV",
ROUND(OFFSET($P505,0,AR$13),15-13*ORÇAMENTO!$AF$7)/$H505*OFFSET(ORÇAMENTO!$X$15,ROW(AR505)-ROW(AR$15),0),
ROUND(ROUND(OFFSET($P505,0,AR$13),15-13*ORÇAMENTO!$AF$7)*OFFSET(ORÇAMENTO!$W$15,ROW(AR505)-ROW(AR$15),0),15-13*ORÇAMENTO!$AF$11)),0)</f>
        <v>0</v>
      </c>
      <c r="AS505" s="546">
        <f ca="1">IF(AND($D505="Serviço",AS$12&lt;&gt;0,$H505&gt;0,OR(AUTOEVENTO&lt;&gt;"manual",$M505&lt;&gt;1)),
IF(Import.TipoArredondamento&lt;&gt;"TransfereGOV",
ROUND(OFFSET($P505,0,AS$13),15-13*ORÇAMENTO!$AF$7)/$H505*OFFSET(ORÇAMENTO!$X$15,ROW(AS505)-ROW(AS$15),0),
ROUND(ROUND(OFFSET($P505,0,AS$13),15-13*ORÇAMENTO!$AF$7)*OFFSET(ORÇAMENTO!$W$15,ROW(AS505)-ROW(AS$15),0),15-13*ORÇAMENTO!$AF$11)),0)</f>
        <v>0</v>
      </c>
      <c r="AT505" s="545">
        <f ca="1">IF(AND($D505="Serviço",AT$12&lt;&gt;0,$H505&gt;0,OR(AUTOEVENTO&lt;&gt;"manual",$M505&lt;&gt;1)),
IF(Import.TipoArredondamento&lt;&gt;"TransfereGOV",
ROUND(OFFSET($P505,0,AT$13),15-13*ORÇAMENTO!$AF$7)/$H505*OFFSET(ORÇAMENTO!$X$15,ROW(AT505)-ROW(AT$15),0),
ROUND(ROUND(OFFSET($P505,0,AT$13),15-13*ORÇAMENTO!$AF$7)*OFFSET(ORÇAMENTO!$W$15,ROW(AT505)-ROW(AT$15),0),15-13*ORÇAMENTO!$AF$11)),0)</f>
        <v>0</v>
      </c>
      <c r="AU505" s="545">
        <f ca="1">IF(AND($D505="Serviço",AU$12&lt;&gt;0,$H505&gt;0,OR(AUTOEVENTO&lt;&gt;"manual",$M505&lt;&gt;1)),
IF(Import.TipoArredondamento&lt;&gt;"TransfereGOV",
ROUND(OFFSET($P505,0,AU$13),15-13*ORÇAMENTO!$AF$7)/$H505*OFFSET(ORÇAMENTO!$X$15,ROW(AU505)-ROW(AU$15),0),
ROUND(ROUND(OFFSET($P505,0,AU$13),15-13*ORÇAMENTO!$AF$7)*OFFSET(ORÇAMENTO!$W$15,ROW(AU505)-ROW(AU$15),0),15-13*ORÇAMENTO!$AF$11)),0)</f>
        <v>0</v>
      </c>
      <c r="AV505" s="545">
        <f ca="1">IF(AND($D505="Serviço",AV$12&lt;&gt;0,$H505&gt;0,OR(AUTOEVENTO&lt;&gt;"manual",$M505&lt;&gt;1)),
IF(Import.TipoArredondamento&lt;&gt;"TransfereGOV",
ROUND(OFFSET($P505,0,AV$13),15-13*ORÇAMENTO!$AF$7)/$H505*OFFSET(ORÇAMENTO!$X$15,ROW(AV505)-ROW(AV$15),0),
ROUND(ROUND(OFFSET($P505,0,AV$13),15-13*ORÇAMENTO!$AF$7)*OFFSET(ORÇAMENTO!$W$15,ROW(AV505)-ROW(AV$15),0),15-13*ORÇAMENTO!$AF$11)),0)</f>
        <v>0</v>
      </c>
      <c r="AW505" s="545">
        <f ca="1">IF(AND($D505="Serviço",AW$12&lt;&gt;0,$H505&gt;0,OR(AUTOEVENTO&lt;&gt;"manual",$M505&lt;&gt;1)),
IF(Import.TipoArredondamento&lt;&gt;"TransfereGOV",
ROUND(OFFSET($P505,0,AW$13),15-13*ORÇAMENTO!$AF$7)/$H505*OFFSET(ORÇAMENTO!$X$15,ROW(AW505)-ROW(AW$15),0),
ROUND(ROUND(OFFSET($P505,0,AW$13),15-13*ORÇAMENTO!$AF$7)*OFFSET(ORÇAMENTO!$W$15,ROW(AW505)-ROW(AW$15),0),15-13*ORÇAMENTO!$AF$11)),0)</f>
        <v>0</v>
      </c>
      <c r="AX505" s="545">
        <f ca="1">IF(AND($D505="Serviço",AX$12&lt;&gt;0,$H505&gt;0,OR(AUTOEVENTO&lt;&gt;"manual",$M505&lt;&gt;1)),
IF(Import.TipoArredondamento&lt;&gt;"TransfereGOV",
ROUND(OFFSET($P505,0,AX$13),15-13*ORÇAMENTO!$AF$7)/$H505*OFFSET(ORÇAMENTO!$X$15,ROW(AX505)-ROW(AX$15),0),
ROUND(ROUND(OFFSET($P505,0,AX$13),15-13*ORÇAMENTO!$AF$7)*OFFSET(ORÇAMENTO!$W$15,ROW(AX505)-ROW(AX$15),0),15-13*ORÇAMENTO!$AF$11)),0)</f>
        <v>0</v>
      </c>
      <c r="AY505" s="545">
        <f ca="1">IF(AND($D505="Serviço",AY$12&lt;&gt;0,$H505&gt;0,OR(AUTOEVENTO&lt;&gt;"manual",$M505&lt;&gt;1)),
IF(Import.TipoArredondamento&lt;&gt;"TransfereGOV",
ROUND(OFFSET($P505,0,AY$13),15-13*ORÇAMENTO!$AF$7)/$H505*OFFSET(ORÇAMENTO!$X$15,ROW(AY505)-ROW(AY$15),0),
ROUND(ROUND(OFFSET($P505,0,AY$13),15-13*ORÇAMENTO!$AF$7)*OFFSET(ORÇAMENTO!$W$15,ROW(AY505)-ROW(AY$15),0),15-13*ORÇAMENTO!$AF$11)),0)</f>
        <v>0</v>
      </c>
      <c r="AZ505" s="545">
        <f ca="1">IF(AND($D505="Serviço",AZ$12&lt;&gt;0,$H505&gt;0,OR(AUTOEVENTO&lt;&gt;"manual",$M505&lt;&gt;1)),
IF(Import.TipoArredondamento&lt;&gt;"TransfereGOV",
ROUND(OFFSET($P505,0,AZ$13),15-13*ORÇAMENTO!$AF$7)/$H505*OFFSET(ORÇAMENTO!$X$15,ROW(AZ505)-ROW(AZ$15),0),
ROUND(ROUND(OFFSET($P505,0,AZ$13),15-13*ORÇAMENTO!$AF$7)*OFFSET(ORÇAMENTO!$W$15,ROW(AZ505)-ROW(AZ$15),0),15-13*ORÇAMENTO!$AF$11)),0)</f>
        <v>0</v>
      </c>
      <c r="BA505" s="546">
        <f ca="1">IF(AND($D505="Serviço",BA$12&lt;&gt;0,$H505&gt;0,OR(AUTOEVENTO&lt;&gt;"manual",$M505&lt;&gt;1)),
IF(Import.TipoArredondamento&lt;&gt;"TransfereGOV",
ROUND(OFFSET($P505,0,BA$13),15-13*ORÇAMENTO!$AF$7)/$H505*OFFSET(ORÇAMENTO!$X$15,ROW(BA505)-ROW(BA$15),0),
ROUND(ROUND(OFFSET($P505,0,BA$13),15-13*ORÇAMENTO!$AF$7)*OFFSET(ORÇAMENTO!$W$15,ROW(BA505)-ROW(BA$15),0),15-13*ORÇAMENTO!$AF$11)),0)</f>
        <v>0</v>
      </c>
      <c r="BC505" s="181">
        <f ca="1">IF($D505&lt;&gt;"Serviço",0,IF(AND(AUTOEVENTO="Manual",$M505=1),0,IF(OFFSET(CRONOPLE!$F$14,$M505,BC$13)="",10^12,OFFSET(CRONOPLE!$F$14,$M505,BC$13))))</f>
        <v>10</v>
      </c>
      <c r="BD505" s="181">
        <f ca="1">IF($D505&lt;&gt;"Serviço",0,IF(AND(AUTOEVENTO="Manual",$M505=1),0,IF(OFFSET(CRONOPLE!$F$14,$M505,BD$13)="",10^12,OFFSET(CRONOPLE!$F$14,$M505,BD$13))))</f>
        <v>1000000000000</v>
      </c>
      <c r="BE505" s="181">
        <f ca="1">IF($D505&lt;&gt;"Serviço",0,IF(AND(AUTOEVENTO="Manual",$M505=1),0,IF(OFFSET(CRONOPLE!$F$14,$M505,BE$13)="",10^12,OFFSET(CRONOPLE!$F$14,$M505,BE$13))))</f>
        <v>1000000000000</v>
      </c>
      <c r="BF505" s="181">
        <f ca="1">IF($D505&lt;&gt;"Serviço",0,IF(AND(AUTOEVENTO="Manual",$M505=1),0,IF(OFFSET(CRONOPLE!$F$14,$M505,BF$13)="",10^12,OFFSET(CRONOPLE!$F$14,$M505,BF$13))))</f>
        <v>1000000000000</v>
      </c>
      <c r="BG505" s="181">
        <f ca="1">IF($D505&lt;&gt;"Serviço",0,IF(AND(AUTOEVENTO="Manual",$M505=1),0,IF(OFFSET(CRONOPLE!$F$14,$M505,BG$13)="",10^12,OFFSET(CRONOPLE!$F$14,$M505,BG$13))))</f>
        <v>1000000000000</v>
      </c>
      <c r="BH505" s="181">
        <f ca="1">IF($D505&lt;&gt;"Serviço",0,IF(AND(AUTOEVENTO="Manual",$M505=1),0,IF(OFFSET(CRONOPLE!$F$14,$M505,BH$13)="",10^12,OFFSET(CRONOPLE!$F$14,$M505,BH$13))))</f>
        <v>1000000000000</v>
      </c>
      <c r="BI505" s="181">
        <f ca="1">IF($D505&lt;&gt;"Serviço",0,IF(AND(AUTOEVENTO="Manual",$M505=1),0,IF(OFFSET(CRONOPLE!$F$14,$M505,BI$13)="",10^12,OFFSET(CRONOPLE!$F$14,$M505,BI$13))))</f>
        <v>1000000000000</v>
      </c>
      <c r="BJ505" s="181">
        <f ca="1">IF($D505&lt;&gt;"Serviço",0,IF(AND(AUTOEVENTO="Manual",$M505=1),0,IF(OFFSET(CRONOPLE!$F$14,$M505,BJ$13)="",10^12,OFFSET(CRONOPLE!$F$14,$M505,BJ$13))))</f>
        <v>1000000000000</v>
      </c>
      <c r="BK505" s="181">
        <f ca="1">IF($D505&lt;&gt;"Serviço",0,IF(AND(AUTOEVENTO="Manual",$M505=1),0,IF(OFFSET(CRONOPLE!$F$14,$M505,BK$13)="",10^12,OFFSET(CRONOPLE!$F$14,$M505,BK$13))))</f>
        <v>1000000000000</v>
      </c>
      <c r="BL505" s="181">
        <f ca="1">IF($D505&lt;&gt;"Serviço",0,IF(AND(AUTOEVENTO="Manual",$M505=1),0,IF(OFFSET(CRONOPLE!$F$14,$M505,BL$13)="",10^12,OFFSET(CRONOPLE!$F$14,$M505,BL$13))))</f>
        <v>1000000000000</v>
      </c>
      <c r="BM505" s="181">
        <f ca="1">IF($D505&lt;&gt;"Serviço",0,IF(AND(AUTOEVENTO="Manual",$M505=1),0,IF(OFFSET(CRONOPLE!$F$14,$M505,BM$13)="",10^12,OFFSET(CRONOPLE!$F$14,$M505,BM$13))))</f>
        <v>1000000000000</v>
      </c>
      <c r="BN505" s="181">
        <f ca="1">IF($D505&lt;&gt;"Serviço",0,IF(AND(AUTOEVENTO="Manual",$M505=1),0,IF(OFFSET(CRONOPLE!$F$14,$M505,BN$13)="",10^12,OFFSET(CRONOPLE!$F$14,$M505,BN$13))))</f>
        <v>1000000000000</v>
      </c>
      <c r="BO505" s="181">
        <f ca="1">IF($D505&lt;&gt;"Serviço",0,IF(AND(AUTOEVENTO="Manual",$M505=1),0,IF(OFFSET(CRONOPLE!$F$14,$M505,BO$13)="",10^12,OFFSET(CRONOPLE!$F$14,$M505,BO$13))))</f>
        <v>1000000000000</v>
      </c>
      <c r="BP505" s="181">
        <f ca="1">IF($D505&lt;&gt;"Serviço",0,IF(AND(AUTOEVENTO="Manual",$M505=1),0,IF(OFFSET(CRONOPLE!$F$14,$M505,BP$13)="",10^12,OFFSET(CRONOPLE!$F$14,$M505,BP$13))))</f>
        <v>1000000000000</v>
      </c>
      <c r="BQ505" s="181">
        <f ca="1">IF($D505&lt;&gt;"Serviço",0,IF(AND(AUTOEVENTO="Manual",$M505=1),0,IF(OFFSET(CRONOPLE!$F$14,$M505,BQ$13)="",10^12,OFFSET(CRONOPLE!$F$14,$M505,BQ$13))))</f>
        <v>1000000000000</v>
      </c>
      <c r="BR505" s="181">
        <f ca="1">IF($D505&lt;&gt;"Serviço",0,IF(AND(AUTOEVENTO="Manual",$M505=1),0,IF(OFFSET(CRONOPLE!$F$14,$M505,BR$13)="",10^12,OFFSET(CRONOPLE!$F$14,$M505,BR$13))))</f>
        <v>1000000000000</v>
      </c>
      <c r="BS505" s="181">
        <f ca="1">IF($D505&lt;&gt;"Serviço",0,IF(AND(AUTOEVENTO="Manual",$M505=1),0,IF(OFFSET(CRONOPLE!$F$14,$M505,BS$13)="",10^12,OFFSET(CRONOPLE!$F$14,$M505,BS$13))))</f>
        <v>1000000000000</v>
      </c>
      <c r="BT505" s="181">
        <f ca="1">IF($D505&lt;&gt;"Serviço",0,IF(AND(AUTOEVENTO="Manual",$M505=1),0,IF(OFFSET(CRONOPLE!$F$14,$M505,BT$13)="",10^12,OFFSET(CRONOPLE!$F$14,$M505,BT$13))))</f>
        <v>1000000000000</v>
      </c>
      <c r="BV505" s="182">
        <f ca="1">IF($D505&lt;&gt;"Serviço",0,IF(OR(AND(AUTOEVENTO="Manual",$M505=1),$M505&gt;(ROW(PLE.lastrow)-ROW(PLE.firstrow))),0,IF(OFFSET(PLE!$G$14,$M505,BV$13)="",10^12,OFFSET(PLE!$G$14,$M505,BV$13))))</f>
        <v>1000000000000</v>
      </c>
      <c r="BW505" s="182">
        <f ca="1">IF($D505&lt;&gt;"Serviço",0,IF(OR(AND(AUTOEVENTO="Manual",$M505=1),$M505&gt;(ROW(PLE.lastrow)-ROW(PLE.firstrow))),0,IF(OFFSET(PLE!$G$14,$M505,BW$13)="",10^12,OFFSET(PLE!$G$14,$M505,BW$13))))</f>
        <v>1000000000000</v>
      </c>
      <c r="BX505" s="182">
        <f ca="1">IF($D505&lt;&gt;"Serviço",0,IF(OR(AND(AUTOEVENTO="Manual",$M505=1),$M505&gt;(ROW(PLE.lastrow)-ROW(PLE.firstrow))),0,IF(OFFSET(PLE!$G$14,$M505,BX$13)="",10^12,OFFSET(PLE!$G$14,$M505,BX$13))))</f>
        <v>1000000000000</v>
      </c>
      <c r="BY505" s="182">
        <f ca="1">IF($D505&lt;&gt;"Serviço",0,IF(OR(AND(AUTOEVENTO="Manual",$M505=1),$M505&gt;(ROW(PLE.lastrow)-ROW(PLE.firstrow))),0,IF(OFFSET(PLE!$G$14,$M505,BY$13)="",10^12,OFFSET(PLE!$G$14,$M505,BY$13))))</f>
        <v>1000000000000</v>
      </c>
      <c r="BZ505" s="182">
        <f ca="1">IF($D505&lt;&gt;"Serviço",0,IF(OR(AND(AUTOEVENTO="Manual",$M505=1),$M505&gt;(ROW(PLE.lastrow)-ROW(PLE.firstrow))),0,IF(OFFSET(PLE!$G$14,$M505,BZ$13)="",10^12,OFFSET(PLE!$G$14,$M505,BZ$13))))</f>
        <v>1000000000000</v>
      </c>
      <c r="CA505" s="182">
        <f ca="1">IF($D505&lt;&gt;"Serviço",0,IF(OR(AND(AUTOEVENTO="Manual",$M505=1),$M505&gt;(ROW(PLE.lastrow)-ROW(PLE.firstrow))),0,IF(OFFSET(PLE!$G$14,$M505,CA$13)="",10^12,OFFSET(PLE!$G$14,$M505,CA$13))))</f>
        <v>1000000000000</v>
      </c>
      <c r="CB505" s="182">
        <f ca="1">IF($D505&lt;&gt;"Serviço",0,IF(OR(AND(AUTOEVENTO="Manual",$M505=1),$M505&gt;(ROW(PLE.lastrow)-ROW(PLE.firstrow))),0,IF(OFFSET(PLE!$G$14,$M505,CB$13)="",10^12,OFFSET(PLE!$G$14,$M505,CB$13))))</f>
        <v>1000000000000</v>
      </c>
      <c r="CC505" s="182">
        <f ca="1">IF($D505&lt;&gt;"Serviço",0,IF(OR(AND(AUTOEVENTO="Manual",$M505=1),$M505&gt;(ROW(PLE.lastrow)-ROW(PLE.firstrow))),0,IF(OFFSET(PLE!$G$14,$M505,CC$13)="",10^12,OFFSET(PLE!$G$14,$M505,CC$13))))</f>
        <v>1000000000000</v>
      </c>
      <c r="CD505" s="182">
        <f ca="1">IF($D505&lt;&gt;"Serviço",0,IF(OR(AND(AUTOEVENTO="Manual",$M505=1),$M505&gt;(ROW(PLE.lastrow)-ROW(PLE.firstrow))),0,IF(OFFSET(PLE!$G$14,$M505,CD$13)="",10^12,OFFSET(PLE!$G$14,$M505,CD$13))))</f>
        <v>1000000000000</v>
      </c>
      <c r="CE505" s="182">
        <f ca="1">IF($D505&lt;&gt;"Serviço",0,IF(OR(AND(AUTOEVENTO="Manual",$M505=1),$M505&gt;(ROW(PLE.lastrow)-ROW(PLE.firstrow))),0,IF(OFFSET(PLE!$G$14,$M505,CE$13)="",10^12,OFFSET(PLE!$G$14,$M505,CE$13))))</f>
        <v>1000000000000</v>
      </c>
      <c r="CF505" s="182">
        <f ca="1">IF($D505&lt;&gt;"Serviço",0,IF(OR(AND(AUTOEVENTO="Manual",$M505=1),$M505&gt;(ROW(PLE.lastrow)-ROW(PLE.firstrow))),0,IF(OFFSET(PLE!$G$14,$M505,CF$13)="",10^12,OFFSET(PLE!$G$14,$M505,CF$13))))</f>
        <v>1000000000000</v>
      </c>
      <c r="CG505" s="182">
        <f ca="1">IF($D505&lt;&gt;"Serviço",0,IF(OR(AND(AUTOEVENTO="Manual",$M505=1),$M505&gt;(ROW(PLE.lastrow)-ROW(PLE.firstrow))),0,IF(OFFSET(PLE!$G$14,$M505,CG$13)="",10^12,OFFSET(PLE!$G$14,$M505,CG$13))))</f>
        <v>1000000000000</v>
      </c>
      <c r="CH505" s="182">
        <f ca="1">IF($D505&lt;&gt;"Serviço",0,IF(OR(AND(AUTOEVENTO="Manual",$M505=1),$M505&gt;(ROW(PLE.lastrow)-ROW(PLE.firstrow))),0,IF(OFFSET(PLE!$G$14,$M505,CH$13)="",10^12,OFFSET(PLE!$G$14,$M505,CH$13))))</f>
        <v>1000000000000</v>
      </c>
      <c r="CI505" s="182">
        <f ca="1">IF($D505&lt;&gt;"Serviço",0,IF(OR(AND(AUTOEVENTO="Manual",$M505=1),$M505&gt;(ROW(PLE.lastrow)-ROW(PLE.firstrow))),0,IF(OFFSET(PLE!$G$14,$M505,CI$13)="",10^12,OFFSET(PLE!$G$14,$M505,CI$13))))</f>
        <v>1000000000000</v>
      </c>
      <c r="CJ505" s="182">
        <f ca="1">IF($D505&lt;&gt;"Serviço",0,IF(OR(AND(AUTOEVENTO="Manual",$M505=1),$M505&gt;(ROW(PLE.lastrow)-ROW(PLE.firstrow))),0,IF(OFFSET(PLE!$G$14,$M505,CJ$13)="",10^12,OFFSET(PLE!$G$14,$M505,CJ$13))))</f>
        <v>1000000000000</v>
      </c>
      <c r="CK505" s="182">
        <f ca="1">IF($D505&lt;&gt;"Serviço",0,IF(OR(AND(AUTOEVENTO="Manual",$M505=1),$M505&gt;(ROW(PLE.lastrow)-ROW(PLE.firstrow))),0,IF(OFFSET(PLE!$G$14,$M505,CK$13)="",10^12,OFFSET(PLE!$G$14,$M505,CK$13))))</f>
        <v>1000000000000</v>
      </c>
      <c r="CL505" s="182">
        <f ca="1">IF($D505&lt;&gt;"Serviço",0,IF(OR(AND(AUTOEVENTO="Manual",$M505=1),$M505&gt;(ROW(PLE.lastrow)-ROW(PLE.firstrow))),0,IF(OFFSET(PLE!$G$14,$M505,CL$13)="",10^12,OFFSET(PLE!$G$14,$M505,CL$13))))</f>
        <v>1000000000000</v>
      </c>
      <c r="CM505" s="182">
        <f ca="1">IF($D505&lt;&gt;"Serviço",0,IF(OR(AND(AUTOEVENTO="Manual",$M505=1),$M505&gt;(ROW(PLE.lastrow)-ROW(PLE.firstrow))),0,IF(OFFSET(PLE!$G$14,$M505,CM$13)="",10^12,OFFSET(PLE!$G$14,$M505,CM$13))))</f>
        <v>1000000000000</v>
      </c>
    </row>
    <row r="506" spans="1:91" ht="25.5" x14ac:dyDescent="0.2">
      <c r="A506" s="7" t="str">
        <f t="shared" ca="1" si="16"/>
        <v>475</v>
      </c>
      <c r="B506" s="7" t="str">
        <f ca="1">OFFSET(ORÇAMENTO!C$15,ROW(B506)-ROW(B$15),0)</f>
        <v>S</v>
      </c>
      <c r="C506" s="7" t="str">
        <f ca="1">OFFSET(ORÇAMENTO!L$15,ROW(C506)-ROW(C$15),0)</f>
        <v/>
      </c>
      <c r="D506" s="118" t="str">
        <f ca="1">OFFSET(ORÇAMENTO!N$15,ROW(D506)-ROW(D$15),0)</f>
        <v>Serviço</v>
      </c>
      <c r="E506" s="119" t="str">
        <f ca="1">OFFSET(ORÇAMENTO!O$15,ROW(E506)-ROW(E$15),0)</f>
        <v>-</v>
      </c>
      <c r="F506" s="172" t="str">
        <f ca="1">OFFSET(ORÇAMENTO!R$15,ROW(F506)-ROW(F$15),0)</f>
        <v>(abra o arquivo 'Referência 06-2024.xlsm)</v>
      </c>
      <c r="G506" s="173" t="str">
        <f ca="1">IF($D506&lt;&gt;"Serviço","",OFFSET(ORÇAMENTO!S$15,ROW(G506)-ROW(G$15),0))</f>
        <v>-</v>
      </c>
      <c r="H506" s="124">
        <f ca="1">IF($D506&lt;&gt;"Serviço",0,IF(ACOMPANHAMENTO="BM",ROUND(OFFSET(ORÇAMENTO!AJ$15,ROW(H506)-ROW(H$15),0),15-13*ORÇAMENTO!$AF$7),SUMPRODUCT(($Q$12:$AI$12&lt;&gt;"")*ROUND($Q506:$AI506,15-13*ORÇAMENTO!$AF$7))))</f>
        <v>16</v>
      </c>
      <c r="I506" s="561" t="s">
        <v>1107</v>
      </c>
      <c r="K506" s="174"/>
      <c r="L506" s="175" t="s">
        <v>255</v>
      </c>
      <c r="M506" s="176">
        <f ca="1">IF($D506&lt;&gt;"Serviço","",IF(AUTOEVENTO="manual",$A506,IF(ISERROR(MATCH($A506,$A$15:OFFSET($A506,-1,0),0)),MAX($M$15:OFFSET(M506,-1,0))+1,INDEX($M$15:OFFSET(M506,-1,0),MATCH($A506,$A$15:OFFSET($A506,-1,0),0)))))</f>
        <v>53</v>
      </c>
      <c r="N506" s="177" t="str">
        <f ca="1">IF($D506&lt;&gt;"Serviço","",IF(AUTOEVENTO="Manual",IF($A506=0,"&lt;-- defina o número do agrupador",OFFSET(EVENTOS!$D$14,$A506,0)),OFFSET($F$15,$A506,0)))</f>
        <v>INSTALAÇÃO ELÉTRICA 110V - ACESSÓRIOS EM GERAL</v>
      </c>
      <c r="O506" s="178"/>
      <c r="Q506" s="178">
        <v>16</v>
      </c>
      <c r="R506" s="179"/>
      <c r="S506" s="179"/>
      <c r="T506" s="179"/>
      <c r="U506" s="179"/>
      <c r="V506" s="179"/>
      <c r="W506" s="179"/>
      <c r="X506" s="179"/>
      <c r="Y506" s="179"/>
      <c r="Z506" s="180"/>
      <c r="AA506" s="179"/>
      <c r="AB506" s="179"/>
      <c r="AC506" s="179"/>
      <c r="AD506" s="179"/>
      <c r="AE506" s="179"/>
      <c r="AF506" s="179"/>
      <c r="AG506" s="179"/>
      <c r="AH506" s="180"/>
      <c r="AJ506" s="544">
        <f ca="1">IF(AND($D506="Serviço",AJ$12&lt;&gt;0,$H506&gt;0,OR(AUTOEVENTO&lt;&gt;"manual",$M506&lt;&gt;1)),
IF(Import.TipoArredondamento&lt;&gt;"TransfereGOV",
ROUND(OFFSET($P506,0,AJ$13),15-13*ORÇAMENTO!$AF$7)/$H506*OFFSET(ORÇAMENTO!$X$15,ROW(AJ506)-ROW(AJ$15),0),
ROUND(ROUND(OFFSET($P506,0,AJ$13),15-13*ORÇAMENTO!$AF$7)*OFFSET(ORÇAMENTO!$W$15,ROW(AJ506)-ROW(AJ$15),0),15-13*ORÇAMENTO!$AF$11)),0)</f>
        <v>0</v>
      </c>
      <c r="AK506" s="545">
        <f ca="1">IF(AND($D506="Serviço",AK$12&lt;&gt;0,$H506&gt;0,OR(AUTOEVENTO&lt;&gt;"manual",$M506&lt;&gt;1)),
IF(Import.TipoArredondamento&lt;&gt;"TransfereGOV",
ROUND(OFFSET($P506,0,AK$13),15-13*ORÇAMENTO!$AF$7)/$H506*OFFSET(ORÇAMENTO!$X$15,ROW(AK506)-ROW(AK$15),0),
ROUND(ROUND(OFFSET($P506,0,AK$13),15-13*ORÇAMENTO!$AF$7)*OFFSET(ORÇAMENTO!$W$15,ROW(AK506)-ROW(AK$15),0),15-13*ORÇAMENTO!$AF$11)),0)</f>
        <v>0</v>
      </c>
      <c r="AL506" s="545">
        <f ca="1">IF(AND($D506="Serviço",AL$12&lt;&gt;0,$H506&gt;0,OR(AUTOEVENTO&lt;&gt;"manual",$M506&lt;&gt;1)),
IF(Import.TipoArredondamento&lt;&gt;"TransfereGOV",
ROUND(OFFSET($P506,0,AL$13),15-13*ORÇAMENTO!$AF$7)/$H506*OFFSET(ORÇAMENTO!$X$15,ROW(AL506)-ROW(AL$15),0),
ROUND(ROUND(OFFSET($P506,0,AL$13),15-13*ORÇAMENTO!$AF$7)*OFFSET(ORÇAMENTO!$W$15,ROW(AL506)-ROW(AL$15),0),15-13*ORÇAMENTO!$AF$11)),0)</f>
        <v>0</v>
      </c>
      <c r="AM506" s="545">
        <f ca="1">IF(AND($D506="Serviço",AM$12&lt;&gt;0,$H506&gt;0,OR(AUTOEVENTO&lt;&gt;"manual",$M506&lt;&gt;1)),
IF(Import.TipoArredondamento&lt;&gt;"TransfereGOV",
ROUND(OFFSET($P506,0,AM$13),15-13*ORÇAMENTO!$AF$7)/$H506*OFFSET(ORÇAMENTO!$X$15,ROW(AM506)-ROW(AM$15),0),
ROUND(ROUND(OFFSET($P506,0,AM$13),15-13*ORÇAMENTO!$AF$7)*OFFSET(ORÇAMENTO!$W$15,ROW(AM506)-ROW(AM$15),0),15-13*ORÇAMENTO!$AF$11)),0)</f>
        <v>0</v>
      </c>
      <c r="AN506" s="545">
        <f ca="1">IF(AND($D506="Serviço",AN$12&lt;&gt;0,$H506&gt;0,OR(AUTOEVENTO&lt;&gt;"manual",$M506&lt;&gt;1)),
IF(Import.TipoArredondamento&lt;&gt;"TransfereGOV",
ROUND(OFFSET($P506,0,AN$13),15-13*ORÇAMENTO!$AF$7)/$H506*OFFSET(ORÇAMENTO!$X$15,ROW(AN506)-ROW(AN$15),0),
ROUND(ROUND(OFFSET($P506,0,AN$13),15-13*ORÇAMENTO!$AF$7)*OFFSET(ORÇAMENTO!$W$15,ROW(AN506)-ROW(AN$15),0),15-13*ORÇAMENTO!$AF$11)),0)</f>
        <v>0</v>
      </c>
      <c r="AO506" s="545">
        <f ca="1">IF(AND($D506="Serviço",AO$12&lt;&gt;0,$H506&gt;0,OR(AUTOEVENTO&lt;&gt;"manual",$M506&lt;&gt;1)),
IF(Import.TipoArredondamento&lt;&gt;"TransfereGOV",
ROUND(OFFSET($P506,0,AO$13),15-13*ORÇAMENTO!$AF$7)/$H506*OFFSET(ORÇAMENTO!$X$15,ROW(AO506)-ROW(AO$15),0),
ROUND(ROUND(OFFSET($P506,0,AO$13),15-13*ORÇAMENTO!$AF$7)*OFFSET(ORÇAMENTO!$W$15,ROW(AO506)-ROW(AO$15),0),15-13*ORÇAMENTO!$AF$11)),0)</f>
        <v>0</v>
      </c>
      <c r="AP506" s="545">
        <f ca="1">IF(AND($D506="Serviço",AP$12&lt;&gt;0,$H506&gt;0,OR(AUTOEVENTO&lt;&gt;"manual",$M506&lt;&gt;1)),
IF(Import.TipoArredondamento&lt;&gt;"TransfereGOV",
ROUND(OFFSET($P506,0,AP$13),15-13*ORÇAMENTO!$AF$7)/$H506*OFFSET(ORÇAMENTO!$X$15,ROW(AP506)-ROW(AP$15),0),
ROUND(ROUND(OFFSET($P506,0,AP$13),15-13*ORÇAMENTO!$AF$7)*OFFSET(ORÇAMENTO!$W$15,ROW(AP506)-ROW(AP$15),0),15-13*ORÇAMENTO!$AF$11)),0)</f>
        <v>0</v>
      </c>
      <c r="AQ506" s="545">
        <f ca="1">IF(AND($D506="Serviço",AQ$12&lt;&gt;0,$H506&gt;0,OR(AUTOEVENTO&lt;&gt;"manual",$M506&lt;&gt;1)),
IF(Import.TipoArredondamento&lt;&gt;"TransfereGOV",
ROUND(OFFSET($P506,0,AQ$13),15-13*ORÇAMENTO!$AF$7)/$H506*OFFSET(ORÇAMENTO!$X$15,ROW(AQ506)-ROW(AQ$15),0),
ROUND(ROUND(OFFSET($P506,0,AQ$13),15-13*ORÇAMENTO!$AF$7)*OFFSET(ORÇAMENTO!$W$15,ROW(AQ506)-ROW(AQ$15),0),15-13*ORÇAMENTO!$AF$11)),0)</f>
        <v>0</v>
      </c>
      <c r="AR506" s="545">
        <f ca="1">IF(AND($D506="Serviço",AR$12&lt;&gt;0,$H506&gt;0,OR(AUTOEVENTO&lt;&gt;"manual",$M506&lt;&gt;1)),
IF(Import.TipoArredondamento&lt;&gt;"TransfereGOV",
ROUND(OFFSET($P506,0,AR$13),15-13*ORÇAMENTO!$AF$7)/$H506*OFFSET(ORÇAMENTO!$X$15,ROW(AR506)-ROW(AR$15),0),
ROUND(ROUND(OFFSET($P506,0,AR$13),15-13*ORÇAMENTO!$AF$7)*OFFSET(ORÇAMENTO!$W$15,ROW(AR506)-ROW(AR$15),0),15-13*ORÇAMENTO!$AF$11)),0)</f>
        <v>0</v>
      </c>
      <c r="AS506" s="546">
        <f ca="1">IF(AND($D506="Serviço",AS$12&lt;&gt;0,$H506&gt;0,OR(AUTOEVENTO&lt;&gt;"manual",$M506&lt;&gt;1)),
IF(Import.TipoArredondamento&lt;&gt;"TransfereGOV",
ROUND(OFFSET($P506,0,AS$13),15-13*ORÇAMENTO!$AF$7)/$H506*OFFSET(ORÇAMENTO!$X$15,ROW(AS506)-ROW(AS$15),0),
ROUND(ROUND(OFFSET($P506,0,AS$13),15-13*ORÇAMENTO!$AF$7)*OFFSET(ORÇAMENTO!$W$15,ROW(AS506)-ROW(AS$15),0),15-13*ORÇAMENTO!$AF$11)),0)</f>
        <v>0</v>
      </c>
      <c r="AT506" s="545">
        <f ca="1">IF(AND($D506="Serviço",AT$12&lt;&gt;0,$H506&gt;0,OR(AUTOEVENTO&lt;&gt;"manual",$M506&lt;&gt;1)),
IF(Import.TipoArredondamento&lt;&gt;"TransfereGOV",
ROUND(OFFSET($P506,0,AT$13),15-13*ORÇAMENTO!$AF$7)/$H506*OFFSET(ORÇAMENTO!$X$15,ROW(AT506)-ROW(AT$15),0),
ROUND(ROUND(OFFSET($P506,0,AT$13),15-13*ORÇAMENTO!$AF$7)*OFFSET(ORÇAMENTO!$W$15,ROW(AT506)-ROW(AT$15),0),15-13*ORÇAMENTO!$AF$11)),0)</f>
        <v>0</v>
      </c>
      <c r="AU506" s="545">
        <f ca="1">IF(AND($D506="Serviço",AU$12&lt;&gt;0,$H506&gt;0,OR(AUTOEVENTO&lt;&gt;"manual",$M506&lt;&gt;1)),
IF(Import.TipoArredondamento&lt;&gt;"TransfereGOV",
ROUND(OFFSET($P506,0,AU$13),15-13*ORÇAMENTO!$AF$7)/$H506*OFFSET(ORÇAMENTO!$X$15,ROW(AU506)-ROW(AU$15),0),
ROUND(ROUND(OFFSET($P506,0,AU$13),15-13*ORÇAMENTO!$AF$7)*OFFSET(ORÇAMENTO!$W$15,ROW(AU506)-ROW(AU$15),0),15-13*ORÇAMENTO!$AF$11)),0)</f>
        <v>0</v>
      </c>
      <c r="AV506" s="545">
        <f ca="1">IF(AND($D506="Serviço",AV$12&lt;&gt;0,$H506&gt;0,OR(AUTOEVENTO&lt;&gt;"manual",$M506&lt;&gt;1)),
IF(Import.TipoArredondamento&lt;&gt;"TransfereGOV",
ROUND(OFFSET($P506,0,AV$13),15-13*ORÇAMENTO!$AF$7)/$H506*OFFSET(ORÇAMENTO!$X$15,ROW(AV506)-ROW(AV$15),0),
ROUND(ROUND(OFFSET($P506,0,AV$13),15-13*ORÇAMENTO!$AF$7)*OFFSET(ORÇAMENTO!$W$15,ROW(AV506)-ROW(AV$15),0),15-13*ORÇAMENTO!$AF$11)),0)</f>
        <v>0</v>
      </c>
      <c r="AW506" s="545">
        <f ca="1">IF(AND($D506="Serviço",AW$12&lt;&gt;0,$H506&gt;0,OR(AUTOEVENTO&lt;&gt;"manual",$M506&lt;&gt;1)),
IF(Import.TipoArredondamento&lt;&gt;"TransfereGOV",
ROUND(OFFSET($P506,0,AW$13),15-13*ORÇAMENTO!$AF$7)/$H506*OFFSET(ORÇAMENTO!$X$15,ROW(AW506)-ROW(AW$15),0),
ROUND(ROUND(OFFSET($P506,0,AW$13),15-13*ORÇAMENTO!$AF$7)*OFFSET(ORÇAMENTO!$W$15,ROW(AW506)-ROW(AW$15),0),15-13*ORÇAMENTO!$AF$11)),0)</f>
        <v>0</v>
      </c>
      <c r="AX506" s="545">
        <f ca="1">IF(AND($D506="Serviço",AX$12&lt;&gt;0,$H506&gt;0,OR(AUTOEVENTO&lt;&gt;"manual",$M506&lt;&gt;1)),
IF(Import.TipoArredondamento&lt;&gt;"TransfereGOV",
ROUND(OFFSET($P506,0,AX$13),15-13*ORÇAMENTO!$AF$7)/$H506*OFFSET(ORÇAMENTO!$X$15,ROW(AX506)-ROW(AX$15),0),
ROUND(ROUND(OFFSET($P506,0,AX$13),15-13*ORÇAMENTO!$AF$7)*OFFSET(ORÇAMENTO!$W$15,ROW(AX506)-ROW(AX$15),0),15-13*ORÇAMENTO!$AF$11)),0)</f>
        <v>0</v>
      </c>
      <c r="AY506" s="545">
        <f ca="1">IF(AND($D506="Serviço",AY$12&lt;&gt;0,$H506&gt;0,OR(AUTOEVENTO&lt;&gt;"manual",$M506&lt;&gt;1)),
IF(Import.TipoArredondamento&lt;&gt;"TransfereGOV",
ROUND(OFFSET($P506,0,AY$13),15-13*ORÇAMENTO!$AF$7)/$H506*OFFSET(ORÇAMENTO!$X$15,ROW(AY506)-ROW(AY$15),0),
ROUND(ROUND(OFFSET($P506,0,AY$13),15-13*ORÇAMENTO!$AF$7)*OFFSET(ORÇAMENTO!$W$15,ROW(AY506)-ROW(AY$15),0),15-13*ORÇAMENTO!$AF$11)),0)</f>
        <v>0</v>
      </c>
      <c r="AZ506" s="545">
        <f ca="1">IF(AND($D506="Serviço",AZ$12&lt;&gt;0,$H506&gt;0,OR(AUTOEVENTO&lt;&gt;"manual",$M506&lt;&gt;1)),
IF(Import.TipoArredondamento&lt;&gt;"TransfereGOV",
ROUND(OFFSET($P506,0,AZ$13),15-13*ORÇAMENTO!$AF$7)/$H506*OFFSET(ORÇAMENTO!$X$15,ROW(AZ506)-ROW(AZ$15),0),
ROUND(ROUND(OFFSET($P506,0,AZ$13),15-13*ORÇAMENTO!$AF$7)*OFFSET(ORÇAMENTO!$W$15,ROW(AZ506)-ROW(AZ$15),0),15-13*ORÇAMENTO!$AF$11)),0)</f>
        <v>0</v>
      </c>
      <c r="BA506" s="546">
        <f ca="1">IF(AND($D506="Serviço",BA$12&lt;&gt;0,$H506&gt;0,OR(AUTOEVENTO&lt;&gt;"manual",$M506&lt;&gt;1)),
IF(Import.TipoArredondamento&lt;&gt;"TransfereGOV",
ROUND(OFFSET($P506,0,BA$13),15-13*ORÇAMENTO!$AF$7)/$H506*OFFSET(ORÇAMENTO!$X$15,ROW(BA506)-ROW(BA$15),0),
ROUND(ROUND(OFFSET($P506,0,BA$13),15-13*ORÇAMENTO!$AF$7)*OFFSET(ORÇAMENTO!$W$15,ROW(BA506)-ROW(BA$15),0),15-13*ORÇAMENTO!$AF$11)),0)</f>
        <v>0</v>
      </c>
      <c r="BC506" s="181">
        <f ca="1">IF($D506&lt;&gt;"Serviço",0,IF(AND(AUTOEVENTO="Manual",$M506=1),0,IF(OFFSET(CRONOPLE!$F$14,$M506,BC$13)="",10^12,OFFSET(CRONOPLE!$F$14,$M506,BC$13))))</f>
        <v>10</v>
      </c>
      <c r="BD506" s="181">
        <f ca="1">IF($D506&lt;&gt;"Serviço",0,IF(AND(AUTOEVENTO="Manual",$M506=1),0,IF(OFFSET(CRONOPLE!$F$14,$M506,BD$13)="",10^12,OFFSET(CRONOPLE!$F$14,$M506,BD$13))))</f>
        <v>1000000000000</v>
      </c>
      <c r="BE506" s="181">
        <f ca="1">IF($D506&lt;&gt;"Serviço",0,IF(AND(AUTOEVENTO="Manual",$M506=1),0,IF(OFFSET(CRONOPLE!$F$14,$M506,BE$13)="",10^12,OFFSET(CRONOPLE!$F$14,$M506,BE$13))))</f>
        <v>1000000000000</v>
      </c>
      <c r="BF506" s="181">
        <f ca="1">IF($D506&lt;&gt;"Serviço",0,IF(AND(AUTOEVENTO="Manual",$M506=1),0,IF(OFFSET(CRONOPLE!$F$14,$M506,BF$13)="",10^12,OFFSET(CRONOPLE!$F$14,$M506,BF$13))))</f>
        <v>1000000000000</v>
      </c>
      <c r="BG506" s="181">
        <f ca="1">IF($D506&lt;&gt;"Serviço",0,IF(AND(AUTOEVENTO="Manual",$M506=1),0,IF(OFFSET(CRONOPLE!$F$14,$M506,BG$13)="",10^12,OFFSET(CRONOPLE!$F$14,$M506,BG$13))))</f>
        <v>1000000000000</v>
      </c>
      <c r="BH506" s="181">
        <f ca="1">IF($D506&lt;&gt;"Serviço",0,IF(AND(AUTOEVENTO="Manual",$M506=1),0,IF(OFFSET(CRONOPLE!$F$14,$M506,BH$13)="",10^12,OFFSET(CRONOPLE!$F$14,$M506,BH$13))))</f>
        <v>1000000000000</v>
      </c>
      <c r="BI506" s="181">
        <f ca="1">IF($D506&lt;&gt;"Serviço",0,IF(AND(AUTOEVENTO="Manual",$M506=1),0,IF(OFFSET(CRONOPLE!$F$14,$M506,BI$13)="",10^12,OFFSET(CRONOPLE!$F$14,$M506,BI$13))))</f>
        <v>1000000000000</v>
      </c>
      <c r="BJ506" s="181">
        <f ca="1">IF($D506&lt;&gt;"Serviço",0,IF(AND(AUTOEVENTO="Manual",$M506=1),0,IF(OFFSET(CRONOPLE!$F$14,$M506,BJ$13)="",10^12,OFFSET(CRONOPLE!$F$14,$M506,BJ$13))))</f>
        <v>1000000000000</v>
      </c>
      <c r="BK506" s="181">
        <f ca="1">IF($D506&lt;&gt;"Serviço",0,IF(AND(AUTOEVENTO="Manual",$M506=1),0,IF(OFFSET(CRONOPLE!$F$14,$M506,BK$13)="",10^12,OFFSET(CRONOPLE!$F$14,$M506,BK$13))))</f>
        <v>1000000000000</v>
      </c>
      <c r="BL506" s="181">
        <f ca="1">IF($D506&lt;&gt;"Serviço",0,IF(AND(AUTOEVENTO="Manual",$M506=1),0,IF(OFFSET(CRONOPLE!$F$14,$M506,BL$13)="",10^12,OFFSET(CRONOPLE!$F$14,$M506,BL$13))))</f>
        <v>1000000000000</v>
      </c>
      <c r="BM506" s="181">
        <f ca="1">IF($D506&lt;&gt;"Serviço",0,IF(AND(AUTOEVENTO="Manual",$M506=1),0,IF(OFFSET(CRONOPLE!$F$14,$M506,BM$13)="",10^12,OFFSET(CRONOPLE!$F$14,$M506,BM$13))))</f>
        <v>1000000000000</v>
      </c>
      <c r="BN506" s="181">
        <f ca="1">IF($D506&lt;&gt;"Serviço",0,IF(AND(AUTOEVENTO="Manual",$M506=1),0,IF(OFFSET(CRONOPLE!$F$14,$M506,BN$13)="",10^12,OFFSET(CRONOPLE!$F$14,$M506,BN$13))))</f>
        <v>1000000000000</v>
      </c>
      <c r="BO506" s="181">
        <f ca="1">IF($D506&lt;&gt;"Serviço",0,IF(AND(AUTOEVENTO="Manual",$M506=1),0,IF(OFFSET(CRONOPLE!$F$14,$M506,BO$13)="",10^12,OFFSET(CRONOPLE!$F$14,$M506,BO$13))))</f>
        <v>1000000000000</v>
      </c>
      <c r="BP506" s="181">
        <f ca="1">IF($D506&lt;&gt;"Serviço",0,IF(AND(AUTOEVENTO="Manual",$M506=1),0,IF(OFFSET(CRONOPLE!$F$14,$M506,BP$13)="",10^12,OFFSET(CRONOPLE!$F$14,$M506,BP$13))))</f>
        <v>1000000000000</v>
      </c>
      <c r="BQ506" s="181">
        <f ca="1">IF($D506&lt;&gt;"Serviço",0,IF(AND(AUTOEVENTO="Manual",$M506=1),0,IF(OFFSET(CRONOPLE!$F$14,$M506,BQ$13)="",10^12,OFFSET(CRONOPLE!$F$14,$M506,BQ$13))))</f>
        <v>1000000000000</v>
      </c>
      <c r="BR506" s="181">
        <f ca="1">IF($D506&lt;&gt;"Serviço",0,IF(AND(AUTOEVENTO="Manual",$M506=1),0,IF(OFFSET(CRONOPLE!$F$14,$M506,BR$13)="",10^12,OFFSET(CRONOPLE!$F$14,$M506,BR$13))))</f>
        <v>1000000000000</v>
      </c>
      <c r="BS506" s="181">
        <f ca="1">IF($D506&lt;&gt;"Serviço",0,IF(AND(AUTOEVENTO="Manual",$M506=1),0,IF(OFFSET(CRONOPLE!$F$14,$M506,BS$13)="",10^12,OFFSET(CRONOPLE!$F$14,$M506,BS$13))))</f>
        <v>1000000000000</v>
      </c>
      <c r="BT506" s="181">
        <f ca="1">IF($D506&lt;&gt;"Serviço",0,IF(AND(AUTOEVENTO="Manual",$M506=1),0,IF(OFFSET(CRONOPLE!$F$14,$M506,BT$13)="",10^12,OFFSET(CRONOPLE!$F$14,$M506,BT$13))))</f>
        <v>1000000000000</v>
      </c>
      <c r="BV506" s="182">
        <f ca="1">IF($D506&lt;&gt;"Serviço",0,IF(OR(AND(AUTOEVENTO="Manual",$M506=1),$M506&gt;(ROW(PLE.lastrow)-ROW(PLE.firstrow))),0,IF(OFFSET(PLE!$G$14,$M506,BV$13)="",10^12,OFFSET(PLE!$G$14,$M506,BV$13))))</f>
        <v>1000000000000</v>
      </c>
      <c r="BW506" s="182">
        <f ca="1">IF($D506&lt;&gt;"Serviço",0,IF(OR(AND(AUTOEVENTO="Manual",$M506=1),$M506&gt;(ROW(PLE.lastrow)-ROW(PLE.firstrow))),0,IF(OFFSET(PLE!$G$14,$M506,BW$13)="",10^12,OFFSET(PLE!$G$14,$M506,BW$13))))</f>
        <v>1000000000000</v>
      </c>
      <c r="BX506" s="182">
        <f ca="1">IF($D506&lt;&gt;"Serviço",0,IF(OR(AND(AUTOEVENTO="Manual",$M506=1),$M506&gt;(ROW(PLE.lastrow)-ROW(PLE.firstrow))),0,IF(OFFSET(PLE!$G$14,$M506,BX$13)="",10^12,OFFSET(PLE!$G$14,$M506,BX$13))))</f>
        <v>1000000000000</v>
      </c>
      <c r="BY506" s="182">
        <f ca="1">IF($D506&lt;&gt;"Serviço",0,IF(OR(AND(AUTOEVENTO="Manual",$M506=1),$M506&gt;(ROW(PLE.lastrow)-ROW(PLE.firstrow))),0,IF(OFFSET(PLE!$G$14,$M506,BY$13)="",10^12,OFFSET(PLE!$G$14,$M506,BY$13))))</f>
        <v>1000000000000</v>
      </c>
      <c r="BZ506" s="182">
        <f ca="1">IF($D506&lt;&gt;"Serviço",0,IF(OR(AND(AUTOEVENTO="Manual",$M506=1),$M506&gt;(ROW(PLE.lastrow)-ROW(PLE.firstrow))),0,IF(OFFSET(PLE!$G$14,$M506,BZ$13)="",10^12,OFFSET(PLE!$G$14,$M506,BZ$13))))</f>
        <v>1000000000000</v>
      </c>
      <c r="CA506" s="182">
        <f ca="1">IF($D506&lt;&gt;"Serviço",0,IF(OR(AND(AUTOEVENTO="Manual",$M506=1),$M506&gt;(ROW(PLE.lastrow)-ROW(PLE.firstrow))),0,IF(OFFSET(PLE!$G$14,$M506,CA$13)="",10^12,OFFSET(PLE!$G$14,$M506,CA$13))))</f>
        <v>1000000000000</v>
      </c>
      <c r="CB506" s="182">
        <f ca="1">IF($D506&lt;&gt;"Serviço",0,IF(OR(AND(AUTOEVENTO="Manual",$M506=1),$M506&gt;(ROW(PLE.lastrow)-ROW(PLE.firstrow))),0,IF(OFFSET(PLE!$G$14,$M506,CB$13)="",10^12,OFFSET(PLE!$G$14,$M506,CB$13))))</f>
        <v>1000000000000</v>
      </c>
      <c r="CC506" s="182">
        <f ca="1">IF($D506&lt;&gt;"Serviço",0,IF(OR(AND(AUTOEVENTO="Manual",$M506=1),$M506&gt;(ROW(PLE.lastrow)-ROW(PLE.firstrow))),0,IF(OFFSET(PLE!$G$14,$M506,CC$13)="",10^12,OFFSET(PLE!$G$14,$M506,CC$13))))</f>
        <v>1000000000000</v>
      </c>
      <c r="CD506" s="182">
        <f ca="1">IF($D506&lt;&gt;"Serviço",0,IF(OR(AND(AUTOEVENTO="Manual",$M506=1),$M506&gt;(ROW(PLE.lastrow)-ROW(PLE.firstrow))),0,IF(OFFSET(PLE!$G$14,$M506,CD$13)="",10^12,OFFSET(PLE!$G$14,$M506,CD$13))))</f>
        <v>1000000000000</v>
      </c>
      <c r="CE506" s="182">
        <f ca="1">IF($D506&lt;&gt;"Serviço",0,IF(OR(AND(AUTOEVENTO="Manual",$M506=1),$M506&gt;(ROW(PLE.lastrow)-ROW(PLE.firstrow))),0,IF(OFFSET(PLE!$G$14,$M506,CE$13)="",10^12,OFFSET(PLE!$G$14,$M506,CE$13))))</f>
        <v>1000000000000</v>
      </c>
      <c r="CF506" s="182">
        <f ca="1">IF($D506&lt;&gt;"Serviço",0,IF(OR(AND(AUTOEVENTO="Manual",$M506=1),$M506&gt;(ROW(PLE.lastrow)-ROW(PLE.firstrow))),0,IF(OFFSET(PLE!$G$14,$M506,CF$13)="",10^12,OFFSET(PLE!$G$14,$M506,CF$13))))</f>
        <v>1000000000000</v>
      </c>
      <c r="CG506" s="182">
        <f ca="1">IF($D506&lt;&gt;"Serviço",0,IF(OR(AND(AUTOEVENTO="Manual",$M506=1),$M506&gt;(ROW(PLE.lastrow)-ROW(PLE.firstrow))),0,IF(OFFSET(PLE!$G$14,$M506,CG$13)="",10^12,OFFSET(PLE!$G$14,$M506,CG$13))))</f>
        <v>1000000000000</v>
      </c>
      <c r="CH506" s="182">
        <f ca="1">IF($D506&lt;&gt;"Serviço",0,IF(OR(AND(AUTOEVENTO="Manual",$M506=1),$M506&gt;(ROW(PLE.lastrow)-ROW(PLE.firstrow))),0,IF(OFFSET(PLE!$G$14,$M506,CH$13)="",10^12,OFFSET(PLE!$G$14,$M506,CH$13))))</f>
        <v>1000000000000</v>
      </c>
      <c r="CI506" s="182">
        <f ca="1">IF($D506&lt;&gt;"Serviço",0,IF(OR(AND(AUTOEVENTO="Manual",$M506=1),$M506&gt;(ROW(PLE.lastrow)-ROW(PLE.firstrow))),0,IF(OFFSET(PLE!$G$14,$M506,CI$13)="",10^12,OFFSET(PLE!$G$14,$M506,CI$13))))</f>
        <v>1000000000000</v>
      </c>
      <c r="CJ506" s="182">
        <f ca="1">IF($D506&lt;&gt;"Serviço",0,IF(OR(AND(AUTOEVENTO="Manual",$M506=1),$M506&gt;(ROW(PLE.lastrow)-ROW(PLE.firstrow))),0,IF(OFFSET(PLE!$G$14,$M506,CJ$13)="",10^12,OFFSET(PLE!$G$14,$M506,CJ$13))))</f>
        <v>1000000000000</v>
      </c>
      <c r="CK506" s="182">
        <f ca="1">IF($D506&lt;&gt;"Serviço",0,IF(OR(AND(AUTOEVENTO="Manual",$M506=1),$M506&gt;(ROW(PLE.lastrow)-ROW(PLE.firstrow))),0,IF(OFFSET(PLE!$G$14,$M506,CK$13)="",10^12,OFFSET(PLE!$G$14,$M506,CK$13))))</f>
        <v>1000000000000</v>
      </c>
      <c r="CL506" s="182">
        <f ca="1">IF($D506&lt;&gt;"Serviço",0,IF(OR(AND(AUTOEVENTO="Manual",$M506=1),$M506&gt;(ROW(PLE.lastrow)-ROW(PLE.firstrow))),0,IF(OFFSET(PLE!$G$14,$M506,CL$13)="",10^12,OFFSET(PLE!$G$14,$M506,CL$13))))</f>
        <v>1000000000000</v>
      </c>
      <c r="CM506" s="182">
        <f ca="1">IF($D506&lt;&gt;"Serviço",0,IF(OR(AND(AUTOEVENTO="Manual",$M506=1),$M506&gt;(ROW(PLE.lastrow)-ROW(PLE.firstrow))),0,IF(OFFSET(PLE!$G$14,$M506,CM$13)="",10^12,OFFSET(PLE!$G$14,$M506,CM$13))))</f>
        <v>1000000000000</v>
      </c>
    </row>
    <row r="507" spans="1:91" ht="25.5" x14ac:dyDescent="0.2">
      <c r="A507" s="7" t="str">
        <f t="shared" ca="1" si="16"/>
        <v>475</v>
      </c>
      <c r="B507" s="7" t="str">
        <f ca="1">OFFSET(ORÇAMENTO!C$15,ROW(B507)-ROW(B$15),0)</f>
        <v>S</v>
      </c>
      <c r="C507" s="7" t="str">
        <f ca="1">OFFSET(ORÇAMENTO!L$15,ROW(C507)-ROW(C$15),0)</f>
        <v/>
      </c>
      <c r="D507" s="118" t="str">
        <f ca="1">OFFSET(ORÇAMENTO!N$15,ROW(D507)-ROW(D$15),0)</f>
        <v>Serviço</v>
      </c>
      <c r="E507" s="119" t="str">
        <f ca="1">OFFSET(ORÇAMENTO!O$15,ROW(E507)-ROW(E$15),0)</f>
        <v>-</v>
      </c>
      <c r="F507" s="172" t="str">
        <f ca="1">OFFSET(ORÇAMENTO!R$15,ROW(F507)-ROW(F$15),0)</f>
        <v>(abra o arquivo 'Referência 06-2024.xlsm)</v>
      </c>
      <c r="G507" s="173" t="str">
        <f ca="1">IF($D507&lt;&gt;"Serviço","",OFFSET(ORÇAMENTO!S$15,ROW(G507)-ROW(G$15),0))</f>
        <v>-</v>
      </c>
      <c r="H507" s="124">
        <f ca="1">IF($D507&lt;&gt;"Serviço",0,IF(ACOMPANHAMENTO="BM",ROUND(OFFSET(ORÇAMENTO!AJ$15,ROW(H507)-ROW(H$15),0),15-13*ORÇAMENTO!$AF$7),SUMPRODUCT(($Q$12:$AI$12&lt;&gt;"")*ROUND($Q507:$AI507,15-13*ORÇAMENTO!$AF$7))))</f>
        <v>1</v>
      </c>
      <c r="I507" s="561" t="s">
        <v>1107</v>
      </c>
      <c r="K507" s="174"/>
      <c r="L507" s="175" t="s">
        <v>255</v>
      </c>
      <c r="M507" s="176">
        <f ca="1">IF($D507&lt;&gt;"Serviço","",IF(AUTOEVENTO="manual",$A507,IF(ISERROR(MATCH($A507,$A$15:OFFSET($A507,-1,0),0)),MAX($M$15:OFFSET(M507,-1,0))+1,INDEX($M$15:OFFSET(M507,-1,0),MATCH($A507,$A$15:OFFSET($A507,-1,0),0)))))</f>
        <v>53</v>
      </c>
      <c r="N507" s="177" t="str">
        <f ca="1">IF($D507&lt;&gt;"Serviço","",IF(AUTOEVENTO="Manual",IF($A507=0,"&lt;-- defina o número do agrupador",OFFSET(EVENTOS!$D$14,$A507,0)),OFFSET($F$15,$A507,0)))</f>
        <v>INSTALAÇÃO ELÉTRICA 110V - ACESSÓRIOS EM GERAL</v>
      </c>
      <c r="O507" s="178"/>
      <c r="Q507" s="178">
        <v>1</v>
      </c>
      <c r="R507" s="179"/>
      <c r="S507" s="179"/>
      <c r="T507" s="179"/>
      <c r="U507" s="179"/>
      <c r="V507" s="179"/>
      <c r="W507" s="179"/>
      <c r="X507" s="179"/>
      <c r="Y507" s="179"/>
      <c r="Z507" s="180"/>
      <c r="AA507" s="179"/>
      <c r="AB507" s="179"/>
      <c r="AC507" s="179"/>
      <c r="AD507" s="179"/>
      <c r="AE507" s="179"/>
      <c r="AF507" s="179"/>
      <c r="AG507" s="179"/>
      <c r="AH507" s="180"/>
      <c r="AJ507" s="544">
        <f ca="1">IF(AND($D507="Serviço",AJ$12&lt;&gt;0,$H507&gt;0,OR(AUTOEVENTO&lt;&gt;"manual",$M507&lt;&gt;1)),
IF(Import.TipoArredondamento&lt;&gt;"TransfereGOV",
ROUND(OFFSET($P507,0,AJ$13),15-13*ORÇAMENTO!$AF$7)/$H507*OFFSET(ORÇAMENTO!$X$15,ROW(AJ507)-ROW(AJ$15),0),
ROUND(ROUND(OFFSET($P507,0,AJ$13),15-13*ORÇAMENTO!$AF$7)*OFFSET(ORÇAMENTO!$W$15,ROW(AJ507)-ROW(AJ$15),0),15-13*ORÇAMENTO!$AF$11)),0)</f>
        <v>0</v>
      </c>
      <c r="AK507" s="545">
        <f ca="1">IF(AND($D507="Serviço",AK$12&lt;&gt;0,$H507&gt;0,OR(AUTOEVENTO&lt;&gt;"manual",$M507&lt;&gt;1)),
IF(Import.TipoArredondamento&lt;&gt;"TransfereGOV",
ROUND(OFFSET($P507,0,AK$13),15-13*ORÇAMENTO!$AF$7)/$H507*OFFSET(ORÇAMENTO!$X$15,ROW(AK507)-ROW(AK$15),0),
ROUND(ROUND(OFFSET($P507,0,AK$13),15-13*ORÇAMENTO!$AF$7)*OFFSET(ORÇAMENTO!$W$15,ROW(AK507)-ROW(AK$15),0),15-13*ORÇAMENTO!$AF$11)),0)</f>
        <v>0</v>
      </c>
      <c r="AL507" s="545">
        <f ca="1">IF(AND($D507="Serviço",AL$12&lt;&gt;0,$H507&gt;0,OR(AUTOEVENTO&lt;&gt;"manual",$M507&lt;&gt;1)),
IF(Import.TipoArredondamento&lt;&gt;"TransfereGOV",
ROUND(OFFSET($P507,0,AL$13),15-13*ORÇAMENTO!$AF$7)/$H507*OFFSET(ORÇAMENTO!$X$15,ROW(AL507)-ROW(AL$15),0),
ROUND(ROUND(OFFSET($P507,0,AL$13),15-13*ORÇAMENTO!$AF$7)*OFFSET(ORÇAMENTO!$W$15,ROW(AL507)-ROW(AL$15),0),15-13*ORÇAMENTO!$AF$11)),0)</f>
        <v>0</v>
      </c>
      <c r="AM507" s="545">
        <f ca="1">IF(AND($D507="Serviço",AM$12&lt;&gt;0,$H507&gt;0,OR(AUTOEVENTO&lt;&gt;"manual",$M507&lt;&gt;1)),
IF(Import.TipoArredondamento&lt;&gt;"TransfereGOV",
ROUND(OFFSET($P507,0,AM$13),15-13*ORÇAMENTO!$AF$7)/$H507*OFFSET(ORÇAMENTO!$X$15,ROW(AM507)-ROW(AM$15),0),
ROUND(ROUND(OFFSET($P507,0,AM$13),15-13*ORÇAMENTO!$AF$7)*OFFSET(ORÇAMENTO!$W$15,ROW(AM507)-ROW(AM$15),0),15-13*ORÇAMENTO!$AF$11)),0)</f>
        <v>0</v>
      </c>
      <c r="AN507" s="545">
        <f ca="1">IF(AND($D507="Serviço",AN$12&lt;&gt;0,$H507&gt;0,OR(AUTOEVENTO&lt;&gt;"manual",$M507&lt;&gt;1)),
IF(Import.TipoArredondamento&lt;&gt;"TransfereGOV",
ROUND(OFFSET($P507,0,AN$13),15-13*ORÇAMENTO!$AF$7)/$H507*OFFSET(ORÇAMENTO!$X$15,ROW(AN507)-ROW(AN$15),0),
ROUND(ROUND(OFFSET($P507,0,AN$13),15-13*ORÇAMENTO!$AF$7)*OFFSET(ORÇAMENTO!$W$15,ROW(AN507)-ROW(AN$15),0),15-13*ORÇAMENTO!$AF$11)),0)</f>
        <v>0</v>
      </c>
      <c r="AO507" s="545">
        <f ca="1">IF(AND($D507="Serviço",AO$12&lt;&gt;0,$H507&gt;0,OR(AUTOEVENTO&lt;&gt;"manual",$M507&lt;&gt;1)),
IF(Import.TipoArredondamento&lt;&gt;"TransfereGOV",
ROUND(OFFSET($P507,0,AO$13),15-13*ORÇAMENTO!$AF$7)/$H507*OFFSET(ORÇAMENTO!$X$15,ROW(AO507)-ROW(AO$15),0),
ROUND(ROUND(OFFSET($P507,0,AO$13),15-13*ORÇAMENTO!$AF$7)*OFFSET(ORÇAMENTO!$W$15,ROW(AO507)-ROW(AO$15),0),15-13*ORÇAMENTO!$AF$11)),0)</f>
        <v>0</v>
      </c>
      <c r="AP507" s="545">
        <f ca="1">IF(AND($D507="Serviço",AP$12&lt;&gt;0,$H507&gt;0,OR(AUTOEVENTO&lt;&gt;"manual",$M507&lt;&gt;1)),
IF(Import.TipoArredondamento&lt;&gt;"TransfereGOV",
ROUND(OFFSET($P507,0,AP$13),15-13*ORÇAMENTO!$AF$7)/$H507*OFFSET(ORÇAMENTO!$X$15,ROW(AP507)-ROW(AP$15),0),
ROUND(ROUND(OFFSET($P507,0,AP$13),15-13*ORÇAMENTO!$AF$7)*OFFSET(ORÇAMENTO!$W$15,ROW(AP507)-ROW(AP$15),0),15-13*ORÇAMENTO!$AF$11)),0)</f>
        <v>0</v>
      </c>
      <c r="AQ507" s="545">
        <f ca="1">IF(AND($D507="Serviço",AQ$12&lt;&gt;0,$H507&gt;0,OR(AUTOEVENTO&lt;&gt;"manual",$M507&lt;&gt;1)),
IF(Import.TipoArredondamento&lt;&gt;"TransfereGOV",
ROUND(OFFSET($P507,0,AQ$13),15-13*ORÇAMENTO!$AF$7)/$H507*OFFSET(ORÇAMENTO!$X$15,ROW(AQ507)-ROW(AQ$15),0),
ROUND(ROUND(OFFSET($P507,0,AQ$13),15-13*ORÇAMENTO!$AF$7)*OFFSET(ORÇAMENTO!$W$15,ROW(AQ507)-ROW(AQ$15),0),15-13*ORÇAMENTO!$AF$11)),0)</f>
        <v>0</v>
      </c>
      <c r="AR507" s="545">
        <f ca="1">IF(AND($D507="Serviço",AR$12&lt;&gt;0,$H507&gt;0,OR(AUTOEVENTO&lt;&gt;"manual",$M507&lt;&gt;1)),
IF(Import.TipoArredondamento&lt;&gt;"TransfereGOV",
ROUND(OFFSET($P507,0,AR$13),15-13*ORÇAMENTO!$AF$7)/$H507*OFFSET(ORÇAMENTO!$X$15,ROW(AR507)-ROW(AR$15),0),
ROUND(ROUND(OFFSET($P507,0,AR$13),15-13*ORÇAMENTO!$AF$7)*OFFSET(ORÇAMENTO!$W$15,ROW(AR507)-ROW(AR$15),0),15-13*ORÇAMENTO!$AF$11)),0)</f>
        <v>0</v>
      </c>
      <c r="AS507" s="546">
        <f ca="1">IF(AND($D507="Serviço",AS$12&lt;&gt;0,$H507&gt;0,OR(AUTOEVENTO&lt;&gt;"manual",$M507&lt;&gt;1)),
IF(Import.TipoArredondamento&lt;&gt;"TransfereGOV",
ROUND(OFFSET($P507,0,AS$13),15-13*ORÇAMENTO!$AF$7)/$H507*OFFSET(ORÇAMENTO!$X$15,ROW(AS507)-ROW(AS$15),0),
ROUND(ROUND(OFFSET($P507,0,AS$13),15-13*ORÇAMENTO!$AF$7)*OFFSET(ORÇAMENTO!$W$15,ROW(AS507)-ROW(AS$15),0),15-13*ORÇAMENTO!$AF$11)),0)</f>
        <v>0</v>
      </c>
      <c r="AT507" s="545">
        <f ca="1">IF(AND($D507="Serviço",AT$12&lt;&gt;0,$H507&gt;0,OR(AUTOEVENTO&lt;&gt;"manual",$M507&lt;&gt;1)),
IF(Import.TipoArredondamento&lt;&gt;"TransfereGOV",
ROUND(OFFSET($P507,0,AT$13),15-13*ORÇAMENTO!$AF$7)/$H507*OFFSET(ORÇAMENTO!$X$15,ROW(AT507)-ROW(AT$15),0),
ROUND(ROUND(OFFSET($P507,0,AT$13),15-13*ORÇAMENTO!$AF$7)*OFFSET(ORÇAMENTO!$W$15,ROW(AT507)-ROW(AT$15),0),15-13*ORÇAMENTO!$AF$11)),0)</f>
        <v>0</v>
      </c>
      <c r="AU507" s="545">
        <f ca="1">IF(AND($D507="Serviço",AU$12&lt;&gt;0,$H507&gt;0,OR(AUTOEVENTO&lt;&gt;"manual",$M507&lt;&gt;1)),
IF(Import.TipoArredondamento&lt;&gt;"TransfereGOV",
ROUND(OFFSET($P507,0,AU$13),15-13*ORÇAMENTO!$AF$7)/$H507*OFFSET(ORÇAMENTO!$X$15,ROW(AU507)-ROW(AU$15),0),
ROUND(ROUND(OFFSET($P507,0,AU$13),15-13*ORÇAMENTO!$AF$7)*OFFSET(ORÇAMENTO!$W$15,ROW(AU507)-ROW(AU$15),0),15-13*ORÇAMENTO!$AF$11)),0)</f>
        <v>0</v>
      </c>
      <c r="AV507" s="545">
        <f ca="1">IF(AND($D507="Serviço",AV$12&lt;&gt;0,$H507&gt;0,OR(AUTOEVENTO&lt;&gt;"manual",$M507&lt;&gt;1)),
IF(Import.TipoArredondamento&lt;&gt;"TransfereGOV",
ROUND(OFFSET($P507,0,AV$13),15-13*ORÇAMENTO!$AF$7)/$H507*OFFSET(ORÇAMENTO!$X$15,ROW(AV507)-ROW(AV$15),0),
ROUND(ROUND(OFFSET($P507,0,AV$13),15-13*ORÇAMENTO!$AF$7)*OFFSET(ORÇAMENTO!$W$15,ROW(AV507)-ROW(AV$15),0),15-13*ORÇAMENTO!$AF$11)),0)</f>
        <v>0</v>
      </c>
      <c r="AW507" s="545">
        <f ca="1">IF(AND($D507="Serviço",AW$12&lt;&gt;0,$H507&gt;0,OR(AUTOEVENTO&lt;&gt;"manual",$M507&lt;&gt;1)),
IF(Import.TipoArredondamento&lt;&gt;"TransfereGOV",
ROUND(OFFSET($P507,0,AW$13),15-13*ORÇAMENTO!$AF$7)/$H507*OFFSET(ORÇAMENTO!$X$15,ROW(AW507)-ROW(AW$15),0),
ROUND(ROUND(OFFSET($P507,0,AW$13),15-13*ORÇAMENTO!$AF$7)*OFFSET(ORÇAMENTO!$W$15,ROW(AW507)-ROW(AW$15),0),15-13*ORÇAMENTO!$AF$11)),0)</f>
        <v>0</v>
      </c>
      <c r="AX507" s="545">
        <f ca="1">IF(AND($D507="Serviço",AX$12&lt;&gt;0,$H507&gt;0,OR(AUTOEVENTO&lt;&gt;"manual",$M507&lt;&gt;1)),
IF(Import.TipoArredondamento&lt;&gt;"TransfereGOV",
ROUND(OFFSET($P507,0,AX$13),15-13*ORÇAMENTO!$AF$7)/$H507*OFFSET(ORÇAMENTO!$X$15,ROW(AX507)-ROW(AX$15),0),
ROUND(ROUND(OFFSET($P507,0,AX$13),15-13*ORÇAMENTO!$AF$7)*OFFSET(ORÇAMENTO!$W$15,ROW(AX507)-ROW(AX$15),0),15-13*ORÇAMENTO!$AF$11)),0)</f>
        <v>0</v>
      </c>
      <c r="AY507" s="545">
        <f ca="1">IF(AND($D507="Serviço",AY$12&lt;&gt;0,$H507&gt;0,OR(AUTOEVENTO&lt;&gt;"manual",$M507&lt;&gt;1)),
IF(Import.TipoArredondamento&lt;&gt;"TransfereGOV",
ROUND(OFFSET($P507,0,AY$13),15-13*ORÇAMENTO!$AF$7)/$H507*OFFSET(ORÇAMENTO!$X$15,ROW(AY507)-ROW(AY$15),0),
ROUND(ROUND(OFFSET($P507,0,AY$13),15-13*ORÇAMENTO!$AF$7)*OFFSET(ORÇAMENTO!$W$15,ROW(AY507)-ROW(AY$15),0),15-13*ORÇAMENTO!$AF$11)),0)</f>
        <v>0</v>
      </c>
      <c r="AZ507" s="545">
        <f ca="1">IF(AND($D507="Serviço",AZ$12&lt;&gt;0,$H507&gt;0,OR(AUTOEVENTO&lt;&gt;"manual",$M507&lt;&gt;1)),
IF(Import.TipoArredondamento&lt;&gt;"TransfereGOV",
ROUND(OFFSET($P507,0,AZ$13),15-13*ORÇAMENTO!$AF$7)/$H507*OFFSET(ORÇAMENTO!$X$15,ROW(AZ507)-ROW(AZ$15),0),
ROUND(ROUND(OFFSET($P507,0,AZ$13),15-13*ORÇAMENTO!$AF$7)*OFFSET(ORÇAMENTO!$W$15,ROW(AZ507)-ROW(AZ$15),0),15-13*ORÇAMENTO!$AF$11)),0)</f>
        <v>0</v>
      </c>
      <c r="BA507" s="546">
        <f ca="1">IF(AND($D507="Serviço",BA$12&lt;&gt;0,$H507&gt;0,OR(AUTOEVENTO&lt;&gt;"manual",$M507&lt;&gt;1)),
IF(Import.TipoArredondamento&lt;&gt;"TransfereGOV",
ROUND(OFFSET($P507,0,BA$13),15-13*ORÇAMENTO!$AF$7)/$H507*OFFSET(ORÇAMENTO!$X$15,ROW(BA507)-ROW(BA$15),0),
ROUND(ROUND(OFFSET($P507,0,BA$13),15-13*ORÇAMENTO!$AF$7)*OFFSET(ORÇAMENTO!$W$15,ROW(BA507)-ROW(BA$15),0),15-13*ORÇAMENTO!$AF$11)),0)</f>
        <v>0</v>
      </c>
      <c r="BC507" s="181">
        <f ca="1">IF($D507&lt;&gt;"Serviço",0,IF(AND(AUTOEVENTO="Manual",$M507=1),0,IF(OFFSET(CRONOPLE!$F$14,$M507,BC$13)="",10^12,OFFSET(CRONOPLE!$F$14,$M507,BC$13))))</f>
        <v>10</v>
      </c>
      <c r="BD507" s="181">
        <f ca="1">IF($D507&lt;&gt;"Serviço",0,IF(AND(AUTOEVENTO="Manual",$M507=1),0,IF(OFFSET(CRONOPLE!$F$14,$M507,BD$13)="",10^12,OFFSET(CRONOPLE!$F$14,$M507,BD$13))))</f>
        <v>1000000000000</v>
      </c>
      <c r="BE507" s="181">
        <f ca="1">IF($D507&lt;&gt;"Serviço",0,IF(AND(AUTOEVENTO="Manual",$M507=1),0,IF(OFFSET(CRONOPLE!$F$14,$M507,BE$13)="",10^12,OFFSET(CRONOPLE!$F$14,$M507,BE$13))))</f>
        <v>1000000000000</v>
      </c>
      <c r="BF507" s="181">
        <f ca="1">IF($D507&lt;&gt;"Serviço",0,IF(AND(AUTOEVENTO="Manual",$M507=1),0,IF(OFFSET(CRONOPLE!$F$14,$M507,BF$13)="",10^12,OFFSET(CRONOPLE!$F$14,$M507,BF$13))))</f>
        <v>1000000000000</v>
      </c>
      <c r="BG507" s="181">
        <f ca="1">IF($D507&lt;&gt;"Serviço",0,IF(AND(AUTOEVENTO="Manual",$M507=1),0,IF(OFFSET(CRONOPLE!$F$14,$M507,BG$13)="",10^12,OFFSET(CRONOPLE!$F$14,$M507,BG$13))))</f>
        <v>1000000000000</v>
      </c>
      <c r="BH507" s="181">
        <f ca="1">IF($D507&lt;&gt;"Serviço",0,IF(AND(AUTOEVENTO="Manual",$M507=1),0,IF(OFFSET(CRONOPLE!$F$14,$M507,BH$13)="",10^12,OFFSET(CRONOPLE!$F$14,$M507,BH$13))))</f>
        <v>1000000000000</v>
      </c>
      <c r="BI507" s="181">
        <f ca="1">IF($D507&lt;&gt;"Serviço",0,IF(AND(AUTOEVENTO="Manual",$M507=1),0,IF(OFFSET(CRONOPLE!$F$14,$M507,BI$13)="",10^12,OFFSET(CRONOPLE!$F$14,$M507,BI$13))))</f>
        <v>1000000000000</v>
      </c>
      <c r="BJ507" s="181">
        <f ca="1">IF($D507&lt;&gt;"Serviço",0,IF(AND(AUTOEVENTO="Manual",$M507=1),0,IF(OFFSET(CRONOPLE!$F$14,$M507,BJ$13)="",10^12,OFFSET(CRONOPLE!$F$14,$M507,BJ$13))))</f>
        <v>1000000000000</v>
      </c>
      <c r="BK507" s="181">
        <f ca="1">IF($D507&lt;&gt;"Serviço",0,IF(AND(AUTOEVENTO="Manual",$M507=1),0,IF(OFFSET(CRONOPLE!$F$14,$M507,BK$13)="",10^12,OFFSET(CRONOPLE!$F$14,$M507,BK$13))))</f>
        <v>1000000000000</v>
      </c>
      <c r="BL507" s="181">
        <f ca="1">IF($D507&lt;&gt;"Serviço",0,IF(AND(AUTOEVENTO="Manual",$M507=1),0,IF(OFFSET(CRONOPLE!$F$14,$M507,BL$13)="",10^12,OFFSET(CRONOPLE!$F$14,$M507,BL$13))))</f>
        <v>1000000000000</v>
      </c>
      <c r="BM507" s="181">
        <f ca="1">IF($D507&lt;&gt;"Serviço",0,IF(AND(AUTOEVENTO="Manual",$M507=1),0,IF(OFFSET(CRONOPLE!$F$14,$M507,BM$13)="",10^12,OFFSET(CRONOPLE!$F$14,$M507,BM$13))))</f>
        <v>1000000000000</v>
      </c>
      <c r="BN507" s="181">
        <f ca="1">IF($D507&lt;&gt;"Serviço",0,IF(AND(AUTOEVENTO="Manual",$M507=1),0,IF(OFFSET(CRONOPLE!$F$14,$M507,BN$13)="",10^12,OFFSET(CRONOPLE!$F$14,$M507,BN$13))))</f>
        <v>1000000000000</v>
      </c>
      <c r="BO507" s="181">
        <f ca="1">IF($D507&lt;&gt;"Serviço",0,IF(AND(AUTOEVENTO="Manual",$M507=1),0,IF(OFFSET(CRONOPLE!$F$14,$M507,BO$13)="",10^12,OFFSET(CRONOPLE!$F$14,$M507,BO$13))))</f>
        <v>1000000000000</v>
      </c>
      <c r="BP507" s="181">
        <f ca="1">IF($D507&lt;&gt;"Serviço",0,IF(AND(AUTOEVENTO="Manual",$M507=1),0,IF(OFFSET(CRONOPLE!$F$14,$M507,BP$13)="",10^12,OFFSET(CRONOPLE!$F$14,$M507,BP$13))))</f>
        <v>1000000000000</v>
      </c>
      <c r="BQ507" s="181">
        <f ca="1">IF($D507&lt;&gt;"Serviço",0,IF(AND(AUTOEVENTO="Manual",$M507=1),0,IF(OFFSET(CRONOPLE!$F$14,$M507,BQ$13)="",10^12,OFFSET(CRONOPLE!$F$14,$M507,BQ$13))))</f>
        <v>1000000000000</v>
      </c>
      <c r="BR507" s="181">
        <f ca="1">IF($D507&lt;&gt;"Serviço",0,IF(AND(AUTOEVENTO="Manual",$M507=1),0,IF(OFFSET(CRONOPLE!$F$14,$M507,BR$13)="",10^12,OFFSET(CRONOPLE!$F$14,$M507,BR$13))))</f>
        <v>1000000000000</v>
      </c>
      <c r="BS507" s="181">
        <f ca="1">IF($D507&lt;&gt;"Serviço",0,IF(AND(AUTOEVENTO="Manual",$M507=1),0,IF(OFFSET(CRONOPLE!$F$14,$M507,BS$13)="",10^12,OFFSET(CRONOPLE!$F$14,$M507,BS$13))))</f>
        <v>1000000000000</v>
      </c>
      <c r="BT507" s="181">
        <f ca="1">IF($D507&lt;&gt;"Serviço",0,IF(AND(AUTOEVENTO="Manual",$M507=1),0,IF(OFFSET(CRONOPLE!$F$14,$M507,BT$13)="",10^12,OFFSET(CRONOPLE!$F$14,$M507,BT$13))))</f>
        <v>1000000000000</v>
      </c>
      <c r="BV507" s="182">
        <f ca="1">IF($D507&lt;&gt;"Serviço",0,IF(OR(AND(AUTOEVENTO="Manual",$M507=1),$M507&gt;(ROW(PLE.lastrow)-ROW(PLE.firstrow))),0,IF(OFFSET(PLE!$G$14,$M507,BV$13)="",10^12,OFFSET(PLE!$G$14,$M507,BV$13))))</f>
        <v>1000000000000</v>
      </c>
      <c r="BW507" s="182">
        <f ca="1">IF($D507&lt;&gt;"Serviço",0,IF(OR(AND(AUTOEVENTO="Manual",$M507=1),$M507&gt;(ROW(PLE.lastrow)-ROW(PLE.firstrow))),0,IF(OFFSET(PLE!$G$14,$M507,BW$13)="",10^12,OFFSET(PLE!$G$14,$M507,BW$13))))</f>
        <v>1000000000000</v>
      </c>
      <c r="BX507" s="182">
        <f ca="1">IF($D507&lt;&gt;"Serviço",0,IF(OR(AND(AUTOEVENTO="Manual",$M507=1),$M507&gt;(ROW(PLE.lastrow)-ROW(PLE.firstrow))),0,IF(OFFSET(PLE!$G$14,$M507,BX$13)="",10^12,OFFSET(PLE!$G$14,$M507,BX$13))))</f>
        <v>1000000000000</v>
      </c>
      <c r="BY507" s="182">
        <f ca="1">IF($D507&lt;&gt;"Serviço",0,IF(OR(AND(AUTOEVENTO="Manual",$M507=1),$M507&gt;(ROW(PLE.lastrow)-ROW(PLE.firstrow))),0,IF(OFFSET(PLE!$G$14,$M507,BY$13)="",10^12,OFFSET(PLE!$G$14,$M507,BY$13))))</f>
        <v>1000000000000</v>
      </c>
      <c r="BZ507" s="182">
        <f ca="1">IF($D507&lt;&gt;"Serviço",0,IF(OR(AND(AUTOEVENTO="Manual",$M507=1),$M507&gt;(ROW(PLE.lastrow)-ROW(PLE.firstrow))),0,IF(OFFSET(PLE!$G$14,$M507,BZ$13)="",10^12,OFFSET(PLE!$G$14,$M507,BZ$13))))</f>
        <v>1000000000000</v>
      </c>
      <c r="CA507" s="182">
        <f ca="1">IF($D507&lt;&gt;"Serviço",0,IF(OR(AND(AUTOEVENTO="Manual",$M507=1),$M507&gt;(ROW(PLE.lastrow)-ROW(PLE.firstrow))),0,IF(OFFSET(PLE!$G$14,$M507,CA$13)="",10^12,OFFSET(PLE!$G$14,$M507,CA$13))))</f>
        <v>1000000000000</v>
      </c>
      <c r="CB507" s="182">
        <f ca="1">IF($D507&lt;&gt;"Serviço",0,IF(OR(AND(AUTOEVENTO="Manual",$M507=1),$M507&gt;(ROW(PLE.lastrow)-ROW(PLE.firstrow))),0,IF(OFFSET(PLE!$G$14,$M507,CB$13)="",10^12,OFFSET(PLE!$G$14,$M507,CB$13))))</f>
        <v>1000000000000</v>
      </c>
      <c r="CC507" s="182">
        <f ca="1">IF($D507&lt;&gt;"Serviço",0,IF(OR(AND(AUTOEVENTO="Manual",$M507=1),$M507&gt;(ROW(PLE.lastrow)-ROW(PLE.firstrow))),0,IF(OFFSET(PLE!$G$14,$M507,CC$13)="",10^12,OFFSET(PLE!$G$14,$M507,CC$13))))</f>
        <v>1000000000000</v>
      </c>
      <c r="CD507" s="182">
        <f ca="1">IF($D507&lt;&gt;"Serviço",0,IF(OR(AND(AUTOEVENTO="Manual",$M507=1),$M507&gt;(ROW(PLE.lastrow)-ROW(PLE.firstrow))),0,IF(OFFSET(PLE!$G$14,$M507,CD$13)="",10^12,OFFSET(PLE!$G$14,$M507,CD$13))))</f>
        <v>1000000000000</v>
      </c>
      <c r="CE507" s="182">
        <f ca="1">IF($D507&lt;&gt;"Serviço",0,IF(OR(AND(AUTOEVENTO="Manual",$M507=1),$M507&gt;(ROW(PLE.lastrow)-ROW(PLE.firstrow))),0,IF(OFFSET(PLE!$G$14,$M507,CE$13)="",10^12,OFFSET(PLE!$G$14,$M507,CE$13))))</f>
        <v>1000000000000</v>
      </c>
      <c r="CF507" s="182">
        <f ca="1">IF($D507&lt;&gt;"Serviço",0,IF(OR(AND(AUTOEVENTO="Manual",$M507=1),$M507&gt;(ROW(PLE.lastrow)-ROW(PLE.firstrow))),0,IF(OFFSET(PLE!$G$14,$M507,CF$13)="",10^12,OFFSET(PLE!$G$14,$M507,CF$13))))</f>
        <v>1000000000000</v>
      </c>
      <c r="CG507" s="182">
        <f ca="1">IF($D507&lt;&gt;"Serviço",0,IF(OR(AND(AUTOEVENTO="Manual",$M507=1),$M507&gt;(ROW(PLE.lastrow)-ROW(PLE.firstrow))),0,IF(OFFSET(PLE!$G$14,$M507,CG$13)="",10^12,OFFSET(PLE!$G$14,$M507,CG$13))))</f>
        <v>1000000000000</v>
      </c>
      <c r="CH507" s="182">
        <f ca="1">IF($D507&lt;&gt;"Serviço",0,IF(OR(AND(AUTOEVENTO="Manual",$M507=1),$M507&gt;(ROW(PLE.lastrow)-ROW(PLE.firstrow))),0,IF(OFFSET(PLE!$G$14,$M507,CH$13)="",10^12,OFFSET(PLE!$G$14,$M507,CH$13))))</f>
        <v>1000000000000</v>
      </c>
      <c r="CI507" s="182">
        <f ca="1">IF($D507&lt;&gt;"Serviço",0,IF(OR(AND(AUTOEVENTO="Manual",$M507=1),$M507&gt;(ROW(PLE.lastrow)-ROW(PLE.firstrow))),0,IF(OFFSET(PLE!$G$14,$M507,CI$13)="",10^12,OFFSET(PLE!$G$14,$M507,CI$13))))</f>
        <v>1000000000000</v>
      </c>
      <c r="CJ507" s="182">
        <f ca="1">IF($D507&lt;&gt;"Serviço",0,IF(OR(AND(AUTOEVENTO="Manual",$M507=1),$M507&gt;(ROW(PLE.lastrow)-ROW(PLE.firstrow))),0,IF(OFFSET(PLE!$G$14,$M507,CJ$13)="",10^12,OFFSET(PLE!$G$14,$M507,CJ$13))))</f>
        <v>1000000000000</v>
      </c>
      <c r="CK507" s="182">
        <f ca="1">IF($D507&lt;&gt;"Serviço",0,IF(OR(AND(AUTOEVENTO="Manual",$M507=1),$M507&gt;(ROW(PLE.lastrow)-ROW(PLE.firstrow))),0,IF(OFFSET(PLE!$G$14,$M507,CK$13)="",10^12,OFFSET(PLE!$G$14,$M507,CK$13))))</f>
        <v>1000000000000</v>
      </c>
      <c r="CL507" s="182">
        <f ca="1">IF($D507&lt;&gt;"Serviço",0,IF(OR(AND(AUTOEVENTO="Manual",$M507=1),$M507&gt;(ROW(PLE.lastrow)-ROW(PLE.firstrow))),0,IF(OFFSET(PLE!$G$14,$M507,CL$13)="",10^12,OFFSET(PLE!$G$14,$M507,CL$13))))</f>
        <v>1000000000000</v>
      </c>
      <c r="CM507" s="182">
        <f ca="1">IF($D507&lt;&gt;"Serviço",0,IF(OR(AND(AUTOEVENTO="Manual",$M507=1),$M507&gt;(ROW(PLE.lastrow)-ROW(PLE.firstrow))),0,IF(OFFSET(PLE!$G$14,$M507,CM$13)="",10^12,OFFSET(PLE!$G$14,$M507,CM$13))))</f>
        <v>1000000000000</v>
      </c>
    </row>
    <row r="508" spans="1:91" ht="12.75" x14ac:dyDescent="0.2">
      <c r="A508" s="7" t="str">
        <f t="shared" ca="1" si="16"/>
        <v>493.</v>
      </c>
      <c r="B508" s="7">
        <f ca="1">OFFSET(ORÇAMENTO!C$15,ROW(B508)-ROW(B$15),0)</f>
        <v>2</v>
      </c>
      <c r="C508" s="7" t="str">
        <f ca="1">OFFSET(ORÇAMENTO!L$15,ROW(C508)-ROW(C$15),0)</f>
        <v>F</v>
      </c>
      <c r="D508" s="118" t="str">
        <f ca="1">OFFSET(ORÇAMENTO!N$15,ROW(D508)-ROW(D$15),0)</f>
        <v>Nível 2</v>
      </c>
      <c r="E508" s="119" t="str">
        <f ca="1">OFFSET(ORÇAMENTO!O$15,ROW(E508)-ROW(E$15),0)</f>
        <v>1.53.</v>
      </c>
      <c r="F508" s="172" t="str">
        <f ca="1">OFFSET(ORÇAMENTO!R$15,ROW(F508)-ROW(F$15),0)</f>
        <v>INSTALAÇÃO ELÉTRICA 110V - CABOS</v>
      </c>
      <c r="G508" s="173" t="str">
        <f ca="1">IF($D508&lt;&gt;"Serviço","",OFFSET(ORÇAMENTO!S$15,ROW(G508)-ROW(G$15),0))</f>
        <v/>
      </c>
      <c r="H508" s="124">
        <f ca="1">IF($D508&lt;&gt;"Serviço",0,IF(ACOMPANHAMENTO="BM",ROUND(OFFSET(ORÇAMENTO!AJ$15,ROW(H508)-ROW(H$15),0),15-13*ORÇAMENTO!$AF$7),SUMPRODUCT(($Q$12:$AI$12&lt;&gt;"")*ROUND($Q508:$AI508,15-13*ORÇAMENTO!$AF$7))))</f>
        <v>0</v>
      </c>
      <c r="I508" s="561"/>
      <c r="K508" s="174"/>
      <c r="L508" s="175" t="s">
        <v>255</v>
      </c>
      <c r="M508" s="176" t="str">
        <f ca="1">IF($D508&lt;&gt;"Serviço","",IF(AUTOEVENTO="manual",$A508,IF(ISERROR(MATCH($A508,$A$15:OFFSET($A508,-1,0),0)),MAX($M$15:OFFSET(M508,-1,0))+1,INDEX($M$15:OFFSET(M508,-1,0),MATCH($A508,$A$15:OFFSET($A508,-1,0),0)))))</f>
        <v/>
      </c>
      <c r="N508" s="177" t="str">
        <f ca="1">IF($D508&lt;&gt;"Serviço","",IF(AUTOEVENTO="Manual",IF($A508=0,"&lt;-- defina o número do agrupador",OFFSET(EVENTOS!$D$14,$A508,0)),OFFSET($F$15,$A508,0)))</f>
        <v/>
      </c>
      <c r="O508" s="178"/>
      <c r="Q508" s="178">
        <v>0</v>
      </c>
      <c r="R508" s="179"/>
      <c r="S508" s="179"/>
      <c r="T508" s="179"/>
      <c r="U508" s="179"/>
      <c r="V508" s="179"/>
      <c r="W508" s="179"/>
      <c r="X508" s="179"/>
      <c r="Y508" s="179"/>
      <c r="Z508" s="180"/>
      <c r="AA508" s="179"/>
      <c r="AB508" s="179"/>
      <c r="AC508" s="179"/>
      <c r="AD508" s="179"/>
      <c r="AE508" s="179"/>
      <c r="AF508" s="179"/>
      <c r="AG508" s="179"/>
      <c r="AH508" s="180"/>
      <c r="AJ508" s="544">
        <f ca="1">IF(AND($D508="Serviço",AJ$12&lt;&gt;0,$H508&gt;0,OR(AUTOEVENTO&lt;&gt;"manual",$M508&lt;&gt;1)),
IF(Import.TipoArredondamento&lt;&gt;"TransfereGOV",
ROUND(OFFSET($P508,0,AJ$13),15-13*ORÇAMENTO!$AF$7)/$H508*OFFSET(ORÇAMENTO!$X$15,ROW(AJ508)-ROW(AJ$15),0),
ROUND(ROUND(OFFSET($P508,0,AJ$13),15-13*ORÇAMENTO!$AF$7)*OFFSET(ORÇAMENTO!$W$15,ROW(AJ508)-ROW(AJ$15),0),15-13*ORÇAMENTO!$AF$11)),0)</f>
        <v>0</v>
      </c>
      <c r="AK508" s="545">
        <f ca="1">IF(AND($D508="Serviço",AK$12&lt;&gt;0,$H508&gt;0,OR(AUTOEVENTO&lt;&gt;"manual",$M508&lt;&gt;1)),
IF(Import.TipoArredondamento&lt;&gt;"TransfereGOV",
ROUND(OFFSET($P508,0,AK$13),15-13*ORÇAMENTO!$AF$7)/$H508*OFFSET(ORÇAMENTO!$X$15,ROW(AK508)-ROW(AK$15),0),
ROUND(ROUND(OFFSET($P508,0,AK$13),15-13*ORÇAMENTO!$AF$7)*OFFSET(ORÇAMENTO!$W$15,ROW(AK508)-ROW(AK$15),0),15-13*ORÇAMENTO!$AF$11)),0)</f>
        <v>0</v>
      </c>
      <c r="AL508" s="545">
        <f ca="1">IF(AND($D508="Serviço",AL$12&lt;&gt;0,$H508&gt;0,OR(AUTOEVENTO&lt;&gt;"manual",$M508&lt;&gt;1)),
IF(Import.TipoArredondamento&lt;&gt;"TransfereGOV",
ROUND(OFFSET($P508,0,AL$13),15-13*ORÇAMENTO!$AF$7)/$H508*OFFSET(ORÇAMENTO!$X$15,ROW(AL508)-ROW(AL$15),0),
ROUND(ROUND(OFFSET($P508,0,AL$13),15-13*ORÇAMENTO!$AF$7)*OFFSET(ORÇAMENTO!$W$15,ROW(AL508)-ROW(AL$15),0),15-13*ORÇAMENTO!$AF$11)),0)</f>
        <v>0</v>
      </c>
      <c r="AM508" s="545">
        <f ca="1">IF(AND($D508="Serviço",AM$12&lt;&gt;0,$H508&gt;0,OR(AUTOEVENTO&lt;&gt;"manual",$M508&lt;&gt;1)),
IF(Import.TipoArredondamento&lt;&gt;"TransfereGOV",
ROUND(OFFSET($P508,0,AM$13),15-13*ORÇAMENTO!$AF$7)/$H508*OFFSET(ORÇAMENTO!$X$15,ROW(AM508)-ROW(AM$15),0),
ROUND(ROUND(OFFSET($P508,0,AM$13),15-13*ORÇAMENTO!$AF$7)*OFFSET(ORÇAMENTO!$W$15,ROW(AM508)-ROW(AM$15),0),15-13*ORÇAMENTO!$AF$11)),0)</f>
        <v>0</v>
      </c>
      <c r="AN508" s="545">
        <f ca="1">IF(AND($D508="Serviço",AN$12&lt;&gt;0,$H508&gt;0,OR(AUTOEVENTO&lt;&gt;"manual",$M508&lt;&gt;1)),
IF(Import.TipoArredondamento&lt;&gt;"TransfereGOV",
ROUND(OFFSET($P508,0,AN$13),15-13*ORÇAMENTO!$AF$7)/$H508*OFFSET(ORÇAMENTO!$X$15,ROW(AN508)-ROW(AN$15),0),
ROUND(ROUND(OFFSET($P508,0,AN$13),15-13*ORÇAMENTO!$AF$7)*OFFSET(ORÇAMENTO!$W$15,ROW(AN508)-ROW(AN$15),0),15-13*ORÇAMENTO!$AF$11)),0)</f>
        <v>0</v>
      </c>
      <c r="AO508" s="545">
        <f ca="1">IF(AND($D508="Serviço",AO$12&lt;&gt;0,$H508&gt;0,OR(AUTOEVENTO&lt;&gt;"manual",$M508&lt;&gt;1)),
IF(Import.TipoArredondamento&lt;&gt;"TransfereGOV",
ROUND(OFFSET($P508,0,AO$13),15-13*ORÇAMENTO!$AF$7)/$H508*OFFSET(ORÇAMENTO!$X$15,ROW(AO508)-ROW(AO$15),0),
ROUND(ROUND(OFFSET($P508,0,AO$13),15-13*ORÇAMENTO!$AF$7)*OFFSET(ORÇAMENTO!$W$15,ROW(AO508)-ROW(AO$15),0),15-13*ORÇAMENTO!$AF$11)),0)</f>
        <v>0</v>
      </c>
      <c r="AP508" s="545">
        <f ca="1">IF(AND($D508="Serviço",AP$12&lt;&gt;0,$H508&gt;0,OR(AUTOEVENTO&lt;&gt;"manual",$M508&lt;&gt;1)),
IF(Import.TipoArredondamento&lt;&gt;"TransfereGOV",
ROUND(OFFSET($P508,0,AP$13),15-13*ORÇAMENTO!$AF$7)/$H508*OFFSET(ORÇAMENTO!$X$15,ROW(AP508)-ROW(AP$15),0),
ROUND(ROUND(OFFSET($P508,0,AP$13),15-13*ORÇAMENTO!$AF$7)*OFFSET(ORÇAMENTO!$W$15,ROW(AP508)-ROW(AP$15),0),15-13*ORÇAMENTO!$AF$11)),0)</f>
        <v>0</v>
      </c>
      <c r="AQ508" s="545">
        <f ca="1">IF(AND($D508="Serviço",AQ$12&lt;&gt;0,$H508&gt;0,OR(AUTOEVENTO&lt;&gt;"manual",$M508&lt;&gt;1)),
IF(Import.TipoArredondamento&lt;&gt;"TransfereGOV",
ROUND(OFFSET($P508,0,AQ$13),15-13*ORÇAMENTO!$AF$7)/$H508*OFFSET(ORÇAMENTO!$X$15,ROW(AQ508)-ROW(AQ$15),0),
ROUND(ROUND(OFFSET($P508,0,AQ$13),15-13*ORÇAMENTO!$AF$7)*OFFSET(ORÇAMENTO!$W$15,ROW(AQ508)-ROW(AQ$15),0),15-13*ORÇAMENTO!$AF$11)),0)</f>
        <v>0</v>
      </c>
      <c r="AR508" s="545">
        <f ca="1">IF(AND($D508="Serviço",AR$12&lt;&gt;0,$H508&gt;0,OR(AUTOEVENTO&lt;&gt;"manual",$M508&lt;&gt;1)),
IF(Import.TipoArredondamento&lt;&gt;"TransfereGOV",
ROUND(OFFSET($P508,0,AR$13),15-13*ORÇAMENTO!$AF$7)/$H508*OFFSET(ORÇAMENTO!$X$15,ROW(AR508)-ROW(AR$15),0),
ROUND(ROUND(OFFSET($P508,0,AR$13),15-13*ORÇAMENTO!$AF$7)*OFFSET(ORÇAMENTO!$W$15,ROW(AR508)-ROW(AR$15),0),15-13*ORÇAMENTO!$AF$11)),0)</f>
        <v>0</v>
      </c>
      <c r="AS508" s="546">
        <f ca="1">IF(AND($D508="Serviço",AS$12&lt;&gt;0,$H508&gt;0,OR(AUTOEVENTO&lt;&gt;"manual",$M508&lt;&gt;1)),
IF(Import.TipoArredondamento&lt;&gt;"TransfereGOV",
ROUND(OFFSET($P508,0,AS$13),15-13*ORÇAMENTO!$AF$7)/$H508*OFFSET(ORÇAMENTO!$X$15,ROW(AS508)-ROW(AS$15),0),
ROUND(ROUND(OFFSET($P508,0,AS$13),15-13*ORÇAMENTO!$AF$7)*OFFSET(ORÇAMENTO!$W$15,ROW(AS508)-ROW(AS$15),0),15-13*ORÇAMENTO!$AF$11)),0)</f>
        <v>0</v>
      </c>
      <c r="AT508" s="545">
        <f ca="1">IF(AND($D508="Serviço",AT$12&lt;&gt;0,$H508&gt;0,OR(AUTOEVENTO&lt;&gt;"manual",$M508&lt;&gt;1)),
IF(Import.TipoArredondamento&lt;&gt;"TransfereGOV",
ROUND(OFFSET($P508,0,AT$13),15-13*ORÇAMENTO!$AF$7)/$H508*OFFSET(ORÇAMENTO!$X$15,ROW(AT508)-ROW(AT$15),0),
ROUND(ROUND(OFFSET($P508,0,AT$13),15-13*ORÇAMENTO!$AF$7)*OFFSET(ORÇAMENTO!$W$15,ROW(AT508)-ROW(AT$15),0),15-13*ORÇAMENTO!$AF$11)),0)</f>
        <v>0</v>
      </c>
      <c r="AU508" s="545">
        <f ca="1">IF(AND($D508="Serviço",AU$12&lt;&gt;0,$H508&gt;0,OR(AUTOEVENTO&lt;&gt;"manual",$M508&lt;&gt;1)),
IF(Import.TipoArredondamento&lt;&gt;"TransfereGOV",
ROUND(OFFSET($P508,0,AU$13),15-13*ORÇAMENTO!$AF$7)/$H508*OFFSET(ORÇAMENTO!$X$15,ROW(AU508)-ROW(AU$15),0),
ROUND(ROUND(OFFSET($P508,0,AU$13),15-13*ORÇAMENTO!$AF$7)*OFFSET(ORÇAMENTO!$W$15,ROW(AU508)-ROW(AU$15),0),15-13*ORÇAMENTO!$AF$11)),0)</f>
        <v>0</v>
      </c>
      <c r="AV508" s="545">
        <f ca="1">IF(AND($D508="Serviço",AV$12&lt;&gt;0,$H508&gt;0,OR(AUTOEVENTO&lt;&gt;"manual",$M508&lt;&gt;1)),
IF(Import.TipoArredondamento&lt;&gt;"TransfereGOV",
ROUND(OFFSET($P508,0,AV$13),15-13*ORÇAMENTO!$AF$7)/$H508*OFFSET(ORÇAMENTO!$X$15,ROW(AV508)-ROW(AV$15),0),
ROUND(ROUND(OFFSET($P508,0,AV$13),15-13*ORÇAMENTO!$AF$7)*OFFSET(ORÇAMENTO!$W$15,ROW(AV508)-ROW(AV$15),0),15-13*ORÇAMENTO!$AF$11)),0)</f>
        <v>0</v>
      </c>
      <c r="AW508" s="545">
        <f ca="1">IF(AND($D508="Serviço",AW$12&lt;&gt;0,$H508&gt;0,OR(AUTOEVENTO&lt;&gt;"manual",$M508&lt;&gt;1)),
IF(Import.TipoArredondamento&lt;&gt;"TransfereGOV",
ROUND(OFFSET($P508,0,AW$13),15-13*ORÇAMENTO!$AF$7)/$H508*OFFSET(ORÇAMENTO!$X$15,ROW(AW508)-ROW(AW$15),0),
ROUND(ROUND(OFFSET($P508,0,AW$13),15-13*ORÇAMENTO!$AF$7)*OFFSET(ORÇAMENTO!$W$15,ROW(AW508)-ROW(AW$15),0),15-13*ORÇAMENTO!$AF$11)),0)</f>
        <v>0</v>
      </c>
      <c r="AX508" s="545">
        <f ca="1">IF(AND($D508="Serviço",AX$12&lt;&gt;0,$H508&gt;0,OR(AUTOEVENTO&lt;&gt;"manual",$M508&lt;&gt;1)),
IF(Import.TipoArredondamento&lt;&gt;"TransfereGOV",
ROUND(OFFSET($P508,0,AX$13),15-13*ORÇAMENTO!$AF$7)/$H508*OFFSET(ORÇAMENTO!$X$15,ROW(AX508)-ROW(AX$15),0),
ROUND(ROUND(OFFSET($P508,0,AX$13),15-13*ORÇAMENTO!$AF$7)*OFFSET(ORÇAMENTO!$W$15,ROW(AX508)-ROW(AX$15),0),15-13*ORÇAMENTO!$AF$11)),0)</f>
        <v>0</v>
      </c>
      <c r="AY508" s="545">
        <f ca="1">IF(AND($D508="Serviço",AY$12&lt;&gt;0,$H508&gt;0,OR(AUTOEVENTO&lt;&gt;"manual",$M508&lt;&gt;1)),
IF(Import.TipoArredondamento&lt;&gt;"TransfereGOV",
ROUND(OFFSET($P508,0,AY$13),15-13*ORÇAMENTO!$AF$7)/$H508*OFFSET(ORÇAMENTO!$X$15,ROW(AY508)-ROW(AY$15),0),
ROUND(ROUND(OFFSET($P508,0,AY$13),15-13*ORÇAMENTO!$AF$7)*OFFSET(ORÇAMENTO!$W$15,ROW(AY508)-ROW(AY$15),0),15-13*ORÇAMENTO!$AF$11)),0)</f>
        <v>0</v>
      </c>
      <c r="AZ508" s="545">
        <f ca="1">IF(AND($D508="Serviço",AZ$12&lt;&gt;0,$H508&gt;0,OR(AUTOEVENTO&lt;&gt;"manual",$M508&lt;&gt;1)),
IF(Import.TipoArredondamento&lt;&gt;"TransfereGOV",
ROUND(OFFSET($P508,0,AZ$13),15-13*ORÇAMENTO!$AF$7)/$H508*OFFSET(ORÇAMENTO!$X$15,ROW(AZ508)-ROW(AZ$15),0),
ROUND(ROUND(OFFSET($P508,0,AZ$13),15-13*ORÇAMENTO!$AF$7)*OFFSET(ORÇAMENTO!$W$15,ROW(AZ508)-ROW(AZ$15),0),15-13*ORÇAMENTO!$AF$11)),0)</f>
        <v>0</v>
      </c>
      <c r="BA508" s="546">
        <f ca="1">IF(AND($D508="Serviço",BA$12&lt;&gt;0,$H508&gt;0,OR(AUTOEVENTO&lt;&gt;"manual",$M508&lt;&gt;1)),
IF(Import.TipoArredondamento&lt;&gt;"TransfereGOV",
ROUND(OFFSET($P508,0,BA$13),15-13*ORÇAMENTO!$AF$7)/$H508*OFFSET(ORÇAMENTO!$X$15,ROW(BA508)-ROW(BA$15),0),
ROUND(ROUND(OFFSET($P508,0,BA$13),15-13*ORÇAMENTO!$AF$7)*OFFSET(ORÇAMENTO!$W$15,ROW(BA508)-ROW(BA$15),0),15-13*ORÇAMENTO!$AF$11)),0)</f>
        <v>0</v>
      </c>
      <c r="BC508" s="181">
        <f ca="1">IF($D508&lt;&gt;"Serviço",0,IF(AND(AUTOEVENTO="Manual",$M508=1),0,IF(OFFSET(CRONOPLE!$F$14,$M508,BC$13)="",10^12,OFFSET(CRONOPLE!$F$14,$M508,BC$13))))</f>
        <v>0</v>
      </c>
      <c r="BD508" s="181">
        <f ca="1">IF($D508&lt;&gt;"Serviço",0,IF(AND(AUTOEVENTO="Manual",$M508=1),0,IF(OFFSET(CRONOPLE!$F$14,$M508,BD$13)="",10^12,OFFSET(CRONOPLE!$F$14,$M508,BD$13))))</f>
        <v>0</v>
      </c>
      <c r="BE508" s="181">
        <f ca="1">IF($D508&lt;&gt;"Serviço",0,IF(AND(AUTOEVENTO="Manual",$M508=1),0,IF(OFFSET(CRONOPLE!$F$14,$M508,BE$13)="",10^12,OFFSET(CRONOPLE!$F$14,$M508,BE$13))))</f>
        <v>0</v>
      </c>
      <c r="BF508" s="181">
        <f ca="1">IF($D508&lt;&gt;"Serviço",0,IF(AND(AUTOEVENTO="Manual",$M508=1),0,IF(OFFSET(CRONOPLE!$F$14,$M508,BF$13)="",10^12,OFFSET(CRONOPLE!$F$14,$M508,BF$13))))</f>
        <v>0</v>
      </c>
      <c r="BG508" s="181">
        <f ca="1">IF($D508&lt;&gt;"Serviço",0,IF(AND(AUTOEVENTO="Manual",$M508=1),0,IF(OFFSET(CRONOPLE!$F$14,$M508,BG$13)="",10^12,OFFSET(CRONOPLE!$F$14,$M508,BG$13))))</f>
        <v>0</v>
      </c>
      <c r="BH508" s="181">
        <f ca="1">IF($D508&lt;&gt;"Serviço",0,IF(AND(AUTOEVENTO="Manual",$M508=1),0,IF(OFFSET(CRONOPLE!$F$14,$M508,BH$13)="",10^12,OFFSET(CRONOPLE!$F$14,$M508,BH$13))))</f>
        <v>0</v>
      </c>
      <c r="BI508" s="181">
        <f ca="1">IF($D508&lt;&gt;"Serviço",0,IF(AND(AUTOEVENTO="Manual",$M508=1),0,IF(OFFSET(CRONOPLE!$F$14,$M508,BI$13)="",10^12,OFFSET(CRONOPLE!$F$14,$M508,BI$13))))</f>
        <v>0</v>
      </c>
      <c r="BJ508" s="181">
        <f ca="1">IF($D508&lt;&gt;"Serviço",0,IF(AND(AUTOEVENTO="Manual",$M508=1),0,IF(OFFSET(CRONOPLE!$F$14,$M508,BJ$13)="",10^12,OFFSET(CRONOPLE!$F$14,$M508,BJ$13))))</f>
        <v>0</v>
      </c>
      <c r="BK508" s="181">
        <f ca="1">IF($D508&lt;&gt;"Serviço",0,IF(AND(AUTOEVENTO="Manual",$M508=1),0,IF(OFFSET(CRONOPLE!$F$14,$M508,BK$13)="",10^12,OFFSET(CRONOPLE!$F$14,$M508,BK$13))))</f>
        <v>0</v>
      </c>
      <c r="BL508" s="181">
        <f ca="1">IF($D508&lt;&gt;"Serviço",0,IF(AND(AUTOEVENTO="Manual",$M508=1),0,IF(OFFSET(CRONOPLE!$F$14,$M508,BL$13)="",10^12,OFFSET(CRONOPLE!$F$14,$M508,BL$13))))</f>
        <v>0</v>
      </c>
      <c r="BM508" s="181">
        <f ca="1">IF($D508&lt;&gt;"Serviço",0,IF(AND(AUTOEVENTO="Manual",$M508=1),0,IF(OFFSET(CRONOPLE!$F$14,$M508,BM$13)="",10^12,OFFSET(CRONOPLE!$F$14,$M508,BM$13))))</f>
        <v>0</v>
      </c>
      <c r="BN508" s="181">
        <f ca="1">IF($D508&lt;&gt;"Serviço",0,IF(AND(AUTOEVENTO="Manual",$M508=1),0,IF(OFFSET(CRONOPLE!$F$14,$M508,BN$13)="",10^12,OFFSET(CRONOPLE!$F$14,$M508,BN$13))))</f>
        <v>0</v>
      </c>
      <c r="BO508" s="181">
        <f ca="1">IF($D508&lt;&gt;"Serviço",0,IF(AND(AUTOEVENTO="Manual",$M508=1),0,IF(OFFSET(CRONOPLE!$F$14,$M508,BO$13)="",10^12,OFFSET(CRONOPLE!$F$14,$M508,BO$13))))</f>
        <v>0</v>
      </c>
      <c r="BP508" s="181">
        <f ca="1">IF($D508&lt;&gt;"Serviço",0,IF(AND(AUTOEVENTO="Manual",$M508=1),0,IF(OFFSET(CRONOPLE!$F$14,$M508,BP$13)="",10^12,OFFSET(CRONOPLE!$F$14,$M508,BP$13))))</f>
        <v>0</v>
      </c>
      <c r="BQ508" s="181">
        <f ca="1">IF($D508&lt;&gt;"Serviço",0,IF(AND(AUTOEVENTO="Manual",$M508=1),0,IF(OFFSET(CRONOPLE!$F$14,$M508,BQ$13)="",10^12,OFFSET(CRONOPLE!$F$14,$M508,BQ$13))))</f>
        <v>0</v>
      </c>
      <c r="BR508" s="181">
        <f ca="1">IF($D508&lt;&gt;"Serviço",0,IF(AND(AUTOEVENTO="Manual",$M508=1),0,IF(OFFSET(CRONOPLE!$F$14,$M508,BR$13)="",10^12,OFFSET(CRONOPLE!$F$14,$M508,BR$13))))</f>
        <v>0</v>
      </c>
      <c r="BS508" s="181">
        <f ca="1">IF($D508&lt;&gt;"Serviço",0,IF(AND(AUTOEVENTO="Manual",$M508=1),0,IF(OFFSET(CRONOPLE!$F$14,$M508,BS$13)="",10^12,OFFSET(CRONOPLE!$F$14,$M508,BS$13))))</f>
        <v>0</v>
      </c>
      <c r="BT508" s="181">
        <f ca="1">IF($D508&lt;&gt;"Serviço",0,IF(AND(AUTOEVENTO="Manual",$M508=1),0,IF(OFFSET(CRONOPLE!$F$14,$M508,BT$13)="",10^12,OFFSET(CRONOPLE!$F$14,$M508,BT$13))))</f>
        <v>0</v>
      </c>
      <c r="BV508" s="182">
        <f ca="1">IF($D508&lt;&gt;"Serviço",0,IF(OR(AND(AUTOEVENTO="Manual",$M508=1),$M508&gt;(ROW(PLE.lastrow)-ROW(PLE.firstrow))),0,IF(OFFSET(PLE!$G$14,$M508,BV$13)="",10^12,OFFSET(PLE!$G$14,$M508,BV$13))))</f>
        <v>0</v>
      </c>
      <c r="BW508" s="182">
        <f ca="1">IF($D508&lt;&gt;"Serviço",0,IF(OR(AND(AUTOEVENTO="Manual",$M508=1),$M508&gt;(ROW(PLE.lastrow)-ROW(PLE.firstrow))),0,IF(OFFSET(PLE!$G$14,$M508,BW$13)="",10^12,OFFSET(PLE!$G$14,$M508,BW$13))))</f>
        <v>0</v>
      </c>
      <c r="BX508" s="182">
        <f ca="1">IF($D508&lt;&gt;"Serviço",0,IF(OR(AND(AUTOEVENTO="Manual",$M508=1),$M508&gt;(ROW(PLE.lastrow)-ROW(PLE.firstrow))),0,IF(OFFSET(PLE!$G$14,$M508,BX$13)="",10^12,OFFSET(PLE!$G$14,$M508,BX$13))))</f>
        <v>0</v>
      </c>
      <c r="BY508" s="182">
        <f ca="1">IF($D508&lt;&gt;"Serviço",0,IF(OR(AND(AUTOEVENTO="Manual",$M508=1),$M508&gt;(ROW(PLE.lastrow)-ROW(PLE.firstrow))),0,IF(OFFSET(PLE!$G$14,$M508,BY$13)="",10^12,OFFSET(PLE!$G$14,$M508,BY$13))))</f>
        <v>0</v>
      </c>
      <c r="BZ508" s="182">
        <f ca="1">IF($D508&lt;&gt;"Serviço",0,IF(OR(AND(AUTOEVENTO="Manual",$M508=1),$M508&gt;(ROW(PLE.lastrow)-ROW(PLE.firstrow))),0,IF(OFFSET(PLE!$G$14,$M508,BZ$13)="",10^12,OFFSET(PLE!$G$14,$M508,BZ$13))))</f>
        <v>0</v>
      </c>
      <c r="CA508" s="182">
        <f ca="1">IF($D508&lt;&gt;"Serviço",0,IF(OR(AND(AUTOEVENTO="Manual",$M508=1),$M508&gt;(ROW(PLE.lastrow)-ROW(PLE.firstrow))),0,IF(OFFSET(PLE!$G$14,$M508,CA$13)="",10^12,OFFSET(PLE!$G$14,$M508,CA$13))))</f>
        <v>0</v>
      </c>
      <c r="CB508" s="182">
        <f ca="1">IF($D508&lt;&gt;"Serviço",0,IF(OR(AND(AUTOEVENTO="Manual",$M508=1),$M508&gt;(ROW(PLE.lastrow)-ROW(PLE.firstrow))),0,IF(OFFSET(PLE!$G$14,$M508,CB$13)="",10^12,OFFSET(PLE!$G$14,$M508,CB$13))))</f>
        <v>0</v>
      </c>
      <c r="CC508" s="182">
        <f ca="1">IF($D508&lt;&gt;"Serviço",0,IF(OR(AND(AUTOEVENTO="Manual",$M508=1),$M508&gt;(ROW(PLE.lastrow)-ROW(PLE.firstrow))),0,IF(OFFSET(PLE!$G$14,$M508,CC$13)="",10^12,OFFSET(PLE!$G$14,$M508,CC$13))))</f>
        <v>0</v>
      </c>
      <c r="CD508" s="182">
        <f ca="1">IF($D508&lt;&gt;"Serviço",0,IF(OR(AND(AUTOEVENTO="Manual",$M508=1),$M508&gt;(ROW(PLE.lastrow)-ROW(PLE.firstrow))),0,IF(OFFSET(PLE!$G$14,$M508,CD$13)="",10^12,OFFSET(PLE!$G$14,$M508,CD$13))))</f>
        <v>0</v>
      </c>
      <c r="CE508" s="182">
        <f ca="1">IF($D508&lt;&gt;"Serviço",0,IF(OR(AND(AUTOEVENTO="Manual",$M508=1),$M508&gt;(ROW(PLE.lastrow)-ROW(PLE.firstrow))),0,IF(OFFSET(PLE!$G$14,$M508,CE$13)="",10^12,OFFSET(PLE!$G$14,$M508,CE$13))))</f>
        <v>0</v>
      </c>
      <c r="CF508" s="182">
        <f ca="1">IF($D508&lt;&gt;"Serviço",0,IF(OR(AND(AUTOEVENTO="Manual",$M508=1),$M508&gt;(ROW(PLE.lastrow)-ROW(PLE.firstrow))),0,IF(OFFSET(PLE!$G$14,$M508,CF$13)="",10^12,OFFSET(PLE!$G$14,$M508,CF$13))))</f>
        <v>0</v>
      </c>
      <c r="CG508" s="182">
        <f ca="1">IF($D508&lt;&gt;"Serviço",0,IF(OR(AND(AUTOEVENTO="Manual",$M508=1),$M508&gt;(ROW(PLE.lastrow)-ROW(PLE.firstrow))),0,IF(OFFSET(PLE!$G$14,$M508,CG$13)="",10^12,OFFSET(PLE!$G$14,$M508,CG$13))))</f>
        <v>0</v>
      </c>
      <c r="CH508" s="182">
        <f ca="1">IF($D508&lt;&gt;"Serviço",0,IF(OR(AND(AUTOEVENTO="Manual",$M508=1),$M508&gt;(ROW(PLE.lastrow)-ROW(PLE.firstrow))),0,IF(OFFSET(PLE!$G$14,$M508,CH$13)="",10^12,OFFSET(PLE!$G$14,$M508,CH$13))))</f>
        <v>0</v>
      </c>
      <c r="CI508" s="182">
        <f ca="1">IF($D508&lt;&gt;"Serviço",0,IF(OR(AND(AUTOEVENTO="Manual",$M508=1),$M508&gt;(ROW(PLE.lastrow)-ROW(PLE.firstrow))),0,IF(OFFSET(PLE!$G$14,$M508,CI$13)="",10^12,OFFSET(PLE!$G$14,$M508,CI$13))))</f>
        <v>0</v>
      </c>
      <c r="CJ508" s="182">
        <f ca="1">IF($D508&lt;&gt;"Serviço",0,IF(OR(AND(AUTOEVENTO="Manual",$M508=1),$M508&gt;(ROW(PLE.lastrow)-ROW(PLE.firstrow))),0,IF(OFFSET(PLE!$G$14,$M508,CJ$13)="",10^12,OFFSET(PLE!$G$14,$M508,CJ$13))))</f>
        <v>0</v>
      </c>
      <c r="CK508" s="182">
        <f ca="1">IF($D508&lt;&gt;"Serviço",0,IF(OR(AND(AUTOEVENTO="Manual",$M508=1),$M508&gt;(ROW(PLE.lastrow)-ROW(PLE.firstrow))),0,IF(OFFSET(PLE!$G$14,$M508,CK$13)="",10^12,OFFSET(PLE!$G$14,$M508,CK$13))))</f>
        <v>0</v>
      </c>
      <c r="CL508" s="182">
        <f ca="1">IF($D508&lt;&gt;"Serviço",0,IF(OR(AND(AUTOEVENTO="Manual",$M508=1),$M508&gt;(ROW(PLE.lastrow)-ROW(PLE.firstrow))),0,IF(OFFSET(PLE!$G$14,$M508,CL$13)="",10^12,OFFSET(PLE!$G$14,$M508,CL$13))))</f>
        <v>0</v>
      </c>
      <c r="CM508" s="182">
        <f ca="1">IF($D508&lt;&gt;"Serviço",0,IF(OR(AND(AUTOEVENTO="Manual",$M508=1),$M508&gt;(ROW(PLE.lastrow)-ROW(PLE.firstrow))),0,IF(OFFSET(PLE!$G$14,$M508,CM$13)="",10^12,OFFSET(PLE!$G$14,$M508,CM$13))))</f>
        <v>0</v>
      </c>
    </row>
    <row r="509" spans="1:91" ht="38.25" x14ac:dyDescent="0.2">
      <c r="A509" s="7" t="str">
        <f t="shared" ca="1" si="16"/>
        <v>493</v>
      </c>
      <c r="B509" s="7" t="str">
        <f ca="1">OFFSET(ORÇAMENTO!C$15,ROW(B509)-ROW(B$15),0)</f>
        <v>S</v>
      </c>
      <c r="C509" s="7" t="str">
        <f ca="1">OFFSET(ORÇAMENTO!L$15,ROW(C509)-ROW(C$15),0)</f>
        <v/>
      </c>
      <c r="D509" s="118" t="str">
        <f ca="1">OFFSET(ORÇAMENTO!N$15,ROW(D509)-ROW(D$15),0)</f>
        <v>Serviço</v>
      </c>
      <c r="E509" s="119" t="str">
        <f ca="1">OFFSET(ORÇAMENTO!O$15,ROW(E509)-ROW(E$15),0)</f>
        <v>-</v>
      </c>
      <c r="F509" s="172" t="str">
        <f ca="1">OFFSET(ORÇAMENTO!R$15,ROW(F509)-ROW(F$15),0)</f>
        <v>(abra o arquivo 'Referência 06-2024.xlsm)</v>
      </c>
      <c r="G509" s="173" t="str">
        <f ca="1">IF($D509&lt;&gt;"Serviço","",OFFSET(ORÇAMENTO!S$15,ROW(G509)-ROW(G$15),0))</f>
        <v>-</v>
      </c>
      <c r="H509" s="124">
        <f ca="1">IF($D509&lt;&gt;"Serviço",0,IF(ACOMPANHAMENTO="BM",ROUND(OFFSET(ORÇAMENTO!AJ$15,ROW(H509)-ROW(H$15),0),15-13*ORÇAMENTO!$AF$7),SUMPRODUCT(($Q$12:$AI$12&lt;&gt;"")*ROUND($Q509:$AI509,15-13*ORÇAMENTO!$AF$7))))</f>
        <v>47.1</v>
      </c>
      <c r="I509" s="561" t="s">
        <v>1107</v>
      </c>
      <c r="K509" s="174"/>
      <c r="L509" s="175" t="s">
        <v>255</v>
      </c>
      <c r="M509" s="176">
        <f ca="1">IF($D509&lt;&gt;"Serviço","",IF(AUTOEVENTO="manual",$A509,IF(ISERROR(MATCH($A509,$A$15:OFFSET($A509,-1,0),0)),MAX($M$15:OFFSET(M509,-1,0))+1,INDEX($M$15:OFFSET(M509,-1,0),MATCH($A509,$A$15:OFFSET($A509,-1,0),0)))))</f>
        <v>54</v>
      </c>
      <c r="N509" s="177" t="str">
        <f ca="1">IF($D509&lt;&gt;"Serviço","",IF(AUTOEVENTO="Manual",IF($A509=0,"&lt;-- defina o número do agrupador",OFFSET(EVENTOS!$D$14,$A509,0)),OFFSET($F$15,$A509,0)))</f>
        <v>INSTALAÇÃO ELÉTRICA 110V - CABOS</v>
      </c>
      <c r="O509" s="178"/>
      <c r="Q509" s="178">
        <v>47.1</v>
      </c>
      <c r="R509" s="179"/>
      <c r="S509" s="179"/>
      <c r="T509" s="179"/>
      <c r="U509" s="179"/>
      <c r="V509" s="179"/>
      <c r="W509" s="179"/>
      <c r="X509" s="179"/>
      <c r="Y509" s="179"/>
      <c r="Z509" s="180"/>
      <c r="AA509" s="179"/>
      <c r="AB509" s="179"/>
      <c r="AC509" s="179"/>
      <c r="AD509" s="179"/>
      <c r="AE509" s="179"/>
      <c r="AF509" s="179"/>
      <c r="AG509" s="179"/>
      <c r="AH509" s="180"/>
      <c r="AJ509" s="544">
        <f ca="1">IF(AND($D509="Serviço",AJ$12&lt;&gt;0,$H509&gt;0,OR(AUTOEVENTO&lt;&gt;"manual",$M509&lt;&gt;1)),
IF(Import.TipoArredondamento&lt;&gt;"TransfereGOV",
ROUND(OFFSET($P509,0,AJ$13),15-13*ORÇAMENTO!$AF$7)/$H509*OFFSET(ORÇAMENTO!$X$15,ROW(AJ509)-ROW(AJ$15),0),
ROUND(ROUND(OFFSET($P509,0,AJ$13),15-13*ORÇAMENTO!$AF$7)*OFFSET(ORÇAMENTO!$W$15,ROW(AJ509)-ROW(AJ$15),0),15-13*ORÇAMENTO!$AF$11)),0)</f>
        <v>0</v>
      </c>
      <c r="AK509" s="545">
        <f ca="1">IF(AND($D509="Serviço",AK$12&lt;&gt;0,$H509&gt;0,OR(AUTOEVENTO&lt;&gt;"manual",$M509&lt;&gt;1)),
IF(Import.TipoArredondamento&lt;&gt;"TransfereGOV",
ROUND(OFFSET($P509,0,AK$13),15-13*ORÇAMENTO!$AF$7)/$H509*OFFSET(ORÇAMENTO!$X$15,ROW(AK509)-ROW(AK$15),0),
ROUND(ROUND(OFFSET($P509,0,AK$13),15-13*ORÇAMENTO!$AF$7)*OFFSET(ORÇAMENTO!$W$15,ROW(AK509)-ROW(AK$15),0),15-13*ORÇAMENTO!$AF$11)),0)</f>
        <v>0</v>
      </c>
      <c r="AL509" s="545">
        <f ca="1">IF(AND($D509="Serviço",AL$12&lt;&gt;0,$H509&gt;0,OR(AUTOEVENTO&lt;&gt;"manual",$M509&lt;&gt;1)),
IF(Import.TipoArredondamento&lt;&gt;"TransfereGOV",
ROUND(OFFSET($P509,0,AL$13),15-13*ORÇAMENTO!$AF$7)/$H509*OFFSET(ORÇAMENTO!$X$15,ROW(AL509)-ROW(AL$15),0),
ROUND(ROUND(OFFSET($P509,0,AL$13),15-13*ORÇAMENTO!$AF$7)*OFFSET(ORÇAMENTO!$W$15,ROW(AL509)-ROW(AL$15),0),15-13*ORÇAMENTO!$AF$11)),0)</f>
        <v>0</v>
      </c>
      <c r="AM509" s="545">
        <f ca="1">IF(AND($D509="Serviço",AM$12&lt;&gt;0,$H509&gt;0,OR(AUTOEVENTO&lt;&gt;"manual",$M509&lt;&gt;1)),
IF(Import.TipoArredondamento&lt;&gt;"TransfereGOV",
ROUND(OFFSET($P509,0,AM$13),15-13*ORÇAMENTO!$AF$7)/$H509*OFFSET(ORÇAMENTO!$X$15,ROW(AM509)-ROW(AM$15),0),
ROUND(ROUND(OFFSET($P509,0,AM$13),15-13*ORÇAMENTO!$AF$7)*OFFSET(ORÇAMENTO!$W$15,ROW(AM509)-ROW(AM$15),0),15-13*ORÇAMENTO!$AF$11)),0)</f>
        <v>0</v>
      </c>
      <c r="AN509" s="545">
        <f ca="1">IF(AND($D509="Serviço",AN$12&lt;&gt;0,$H509&gt;0,OR(AUTOEVENTO&lt;&gt;"manual",$M509&lt;&gt;1)),
IF(Import.TipoArredondamento&lt;&gt;"TransfereGOV",
ROUND(OFFSET($P509,0,AN$13),15-13*ORÇAMENTO!$AF$7)/$H509*OFFSET(ORÇAMENTO!$X$15,ROW(AN509)-ROW(AN$15),0),
ROUND(ROUND(OFFSET($P509,0,AN$13),15-13*ORÇAMENTO!$AF$7)*OFFSET(ORÇAMENTO!$W$15,ROW(AN509)-ROW(AN$15),0),15-13*ORÇAMENTO!$AF$11)),0)</f>
        <v>0</v>
      </c>
      <c r="AO509" s="545">
        <f ca="1">IF(AND($D509="Serviço",AO$12&lt;&gt;0,$H509&gt;0,OR(AUTOEVENTO&lt;&gt;"manual",$M509&lt;&gt;1)),
IF(Import.TipoArredondamento&lt;&gt;"TransfereGOV",
ROUND(OFFSET($P509,0,AO$13),15-13*ORÇAMENTO!$AF$7)/$H509*OFFSET(ORÇAMENTO!$X$15,ROW(AO509)-ROW(AO$15),0),
ROUND(ROUND(OFFSET($P509,0,AO$13),15-13*ORÇAMENTO!$AF$7)*OFFSET(ORÇAMENTO!$W$15,ROW(AO509)-ROW(AO$15),0),15-13*ORÇAMENTO!$AF$11)),0)</f>
        <v>0</v>
      </c>
      <c r="AP509" s="545">
        <f ca="1">IF(AND($D509="Serviço",AP$12&lt;&gt;0,$H509&gt;0,OR(AUTOEVENTO&lt;&gt;"manual",$M509&lt;&gt;1)),
IF(Import.TipoArredondamento&lt;&gt;"TransfereGOV",
ROUND(OFFSET($P509,0,AP$13),15-13*ORÇAMENTO!$AF$7)/$H509*OFFSET(ORÇAMENTO!$X$15,ROW(AP509)-ROW(AP$15),0),
ROUND(ROUND(OFFSET($P509,0,AP$13),15-13*ORÇAMENTO!$AF$7)*OFFSET(ORÇAMENTO!$W$15,ROW(AP509)-ROW(AP$15),0),15-13*ORÇAMENTO!$AF$11)),0)</f>
        <v>0</v>
      </c>
      <c r="AQ509" s="545">
        <f ca="1">IF(AND($D509="Serviço",AQ$12&lt;&gt;0,$H509&gt;0,OR(AUTOEVENTO&lt;&gt;"manual",$M509&lt;&gt;1)),
IF(Import.TipoArredondamento&lt;&gt;"TransfereGOV",
ROUND(OFFSET($P509,0,AQ$13),15-13*ORÇAMENTO!$AF$7)/$H509*OFFSET(ORÇAMENTO!$X$15,ROW(AQ509)-ROW(AQ$15),0),
ROUND(ROUND(OFFSET($P509,0,AQ$13),15-13*ORÇAMENTO!$AF$7)*OFFSET(ORÇAMENTO!$W$15,ROW(AQ509)-ROW(AQ$15),0),15-13*ORÇAMENTO!$AF$11)),0)</f>
        <v>0</v>
      </c>
      <c r="AR509" s="545">
        <f ca="1">IF(AND($D509="Serviço",AR$12&lt;&gt;0,$H509&gt;0,OR(AUTOEVENTO&lt;&gt;"manual",$M509&lt;&gt;1)),
IF(Import.TipoArredondamento&lt;&gt;"TransfereGOV",
ROUND(OFFSET($P509,0,AR$13),15-13*ORÇAMENTO!$AF$7)/$H509*OFFSET(ORÇAMENTO!$X$15,ROW(AR509)-ROW(AR$15),0),
ROUND(ROUND(OFFSET($P509,0,AR$13),15-13*ORÇAMENTO!$AF$7)*OFFSET(ORÇAMENTO!$W$15,ROW(AR509)-ROW(AR$15),0),15-13*ORÇAMENTO!$AF$11)),0)</f>
        <v>0</v>
      </c>
      <c r="AS509" s="546">
        <f ca="1">IF(AND($D509="Serviço",AS$12&lt;&gt;0,$H509&gt;0,OR(AUTOEVENTO&lt;&gt;"manual",$M509&lt;&gt;1)),
IF(Import.TipoArredondamento&lt;&gt;"TransfereGOV",
ROUND(OFFSET($P509,0,AS$13),15-13*ORÇAMENTO!$AF$7)/$H509*OFFSET(ORÇAMENTO!$X$15,ROW(AS509)-ROW(AS$15),0),
ROUND(ROUND(OFFSET($P509,0,AS$13),15-13*ORÇAMENTO!$AF$7)*OFFSET(ORÇAMENTO!$W$15,ROW(AS509)-ROW(AS$15),0),15-13*ORÇAMENTO!$AF$11)),0)</f>
        <v>0</v>
      </c>
      <c r="AT509" s="545">
        <f ca="1">IF(AND($D509="Serviço",AT$12&lt;&gt;0,$H509&gt;0,OR(AUTOEVENTO&lt;&gt;"manual",$M509&lt;&gt;1)),
IF(Import.TipoArredondamento&lt;&gt;"TransfereGOV",
ROUND(OFFSET($P509,0,AT$13),15-13*ORÇAMENTO!$AF$7)/$H509*OFFSET(ORÇAMENTO!$X$15,ROW(AT509)-ROW(AT$15),0),
ROUND(ROUND(OFFSET($P509,0,AT$13),15-13*ORÇAMENTO!$AF$7)*OFFSET(ORÇAMENTO!$W$15,ROW(AT509)-ROW(AT$15),0),15-13*ORÇAMENTO!$AF$11)),0)</f>
        <v>0</v>
      </c>
      <c r="AU509" s="545">
        <f ca="1">IF(AND($D509="Serviço",AU$12&lt;&gt;0,$H509&gt;0,OR(AUTOEVENTO&lt;&gt;"manual",$M509&lt;&gt;1)),
IF(Import.TipoArredondamento&lt;&gt;"TransfereGOV",
ROUND(OFFSET($P509,0,AU$13),15-13*ORÇAMENTO!$AF$7)/$H509*OFFSET(ORÇAMENTO!$X$15,ROW(AU509)-ROW(AU$15),0),
ROUND(ROUND(OFFSET($P509,0,AU$13),15-13*ORÇAMENTO!$AF$7)*OFFSET(ORÇAMENTO!$W$15,ROW(AU509)-ROW(AU$15),0),15-13*ORÇAMENTO!$AF$11)),0)</f>
        <v>0</v>
      </c>
      <c r="AV509" s="545">
        <f ca="1">IF(AND($D509="Serviço",AV$12&lt;&gt;0,$H509&gt;0,OR(AUTOEVENTO&lt;&gt;"manual",$M509&lt;&gt;1)),
IF(Import.TipoArredondamento&lt;&gt;"TransfereGOV",
ROUND(OFFSET($P509,0,AV$13),15-13*ORÇAMENTO!$AF$7)/$H509*OFFSET(ORÇAMENTO!$X$15,ROW(AV509)-ROW(AV$15),0),
ROUND(ROUND(OFFSET($P509,0,AV$13),15-13*ORÇAMENTO!$AF$7)*OFFSET(ORÇAMENTO!$W$15,ROW(AV509)-ROW(AV$15),0),15-13*ORÇAMENTO!$AF$11)),0)</f>
        <v>0</v>
      </c>
      <c r="AW509" s="545">
        <f ca="1">IF(AND($D509="Serviço",AW$12&lt;&gt;0,$H509&gt;0,OR(AUTOEVENTO&lt;&gt;"manual",$M509&lt;&gt;1)),
IF(Import.TipoArredondamento&lt;&gt;"TransfereGOV",
ROUND(OFFSET($P509,0,AW$13),15-13*ORÇAMENTO!$AF$7)/$H509*OFFSET(ORÇAMENTO!$X$15,ROW(AW509)-ROW(AW$15),0),
ROUND(ROUND(OFFSET($P509,0,AW$13),15-13*ORÇAMENTO!$AF$7)*OFFSET(ORÇAMENTO!$W$15,ROW(AW509)-ROW(AW$15),0),15-13*ORÇAMENTO!$AF$11)),0)</f>
        <v>0</v>
      </c>
      <c r="AX509" s="545">
        <f ca="1">IF(AND($D509="Serviço",AX$12&lt;&gt;0,$H509&gt;0,OR(AUTOEVENTO&lt;&gt;"manual",$M509&lt;&gt;1)),
IF(Import.TipoArredondamento&lt;&gt;"TransfereGOV",
ROUND(OFFSET($P509,0,AX$13),15-13*ORÇAMENTO!$AF$7)/$H509*OFFSET(ORÇAMENTO!$X$15,ROW(AX509)-ROW(AX$15),0),
ROUND(ROUND(OFFSET($P509,0,AX$13),15-13*ORÇAMENTO!$AF$7)*OFFSET(ORÇAMENTO!$W$15,ROW(AX509)-ROW(AX$15),0),15-13*ORÇAMENTO!$AF$11)),0)</f>
        <v>0</v>
      </c>
      <c r="AY509" s="545">
        <f ca="1">IF(AND($D509="Serviço",AY$12&lt;&gt;0,$H509&gt;0,OR(AUTOEVENTO&lt;&gt;"manual",$M509&lt;&gt;1)),
IF(Import.TipoArredondamento&lt;&gt;"TransfereGOV",
ROUND(OFFSET($P509,0,AY$13),15-13*ORÇAMENTO!$AF$7)/$H509*OFFSET(ORÇAMENTO!$X$15,ROW(AY509)-ROW(AY$15),0),
ROUND(ROUND(OFFSET($P509,0,AY$13),15-13*ORÇAMENTO!$AF$7)*OFFSET(ORÇAMENTO!$W$15,ROW(AY509)-ROW(AY$15),0),15-13*ORÇAMENTO!$AF$11)),0)</f>
        <v>0</v>
      </c>
      <c r="AZ509" s="545">
        <f ca="1">IF(AND($D509="Serviço",AZ$12&lt;&gt;0,$H509&gt;0,OR(AUTOEVENTO&lt;&gt;"manual",$M509&lt;&gt;1)),
IF(Import.TipoArredondamento&lt;&gt;"TransfereGOV",
ROUND(OFFSET($P509,0,AZ$13),15-13*ORÇAMENTO!$AF$7)/$H509*OFFSET(ORÇAMENTO!$X$15,ROW(AZ509)-ROW(AZ$15),0),
ROUND(ROUND(OFFSET($P509,0,AZ$13),15-13*ORÇAMENTO!$AF$7)*OFFSET(ORÇAMENTO!$W$15,ROW(AZ509)-ROW(AZ$15),0),15-13*ORÇAMENTO!$AF$11)),0)</f>
        <v>0</v>
      </c>
      <c r="BA509" s="546">
        <f ca="1">IF(AND($D509="Serviço",BA$12&lt;&gt;0,$H509&gt;0,OR(AUTOEVENTO&lt;&gt;"manual",$M509&lt;&gt;1)),
IF(Import.TipoArredondamento&lt;&gt;"TransfereGOV",
ROUND(OFFSET($P509,0,BA$13),15-13*ORÇAMENTO!$AF$7)/$H509*OFFSET(ORÇAMENTO!$X$15,ROW(BA509)-ROW(BA$15),0),
ROUND(ROUND(OFFSET($P509,0,BA$13),15-13*ORÇAMENTO!$AF$7)*OFFSET(ORÇAMENTO!$W$15,ROW(BA509)-ROW(BA$15),0),15-13*ORÇAMENTO!$AF$11)),0)</f>
        <v>0</v>
      </c>
      <c r="BC509" s="181">
        <f ca="1">IF($D509&lt;&gt;"Serviço",0,IF(AND(AUTOEVENTO="Manual",$M509=1),0,IF(OFFSET(CRONOPLE!$F$14,$M509,BC$13)="",10^12,OFFSET(CRONOPLE!$F$14,$M509,BC$13))))</f>
        <v>10</v>
      </c>
      <c r="BD509" s="181">
        <f ca="1">IF($D509&lt;&gt;"Serviço",0,IF(AND(AUTOEVENTO="Manual",$M509=1),0,IF(OFFSET(CRONOPLE!$F$14,$M509,BD$13)="",10^12,OFFSET(CRONOPLE!$F$14,$M509,BD$13))))</f>
        <v>1000000000000</v>
      </c>
      <c r="BE509" s="181">
        <f ca="1">IF($D509&lt;&gt;"Serviço",0,IF(AND(AUTOEVENTO="Manual",$M509=1),0,IF(OFFSET(CRONOPLE!$F$14,$M509,BE$13)="",10^12,OFFSET(CRONOPLE!$F$14,$M509,BE$13))))</f>
        <v>1000000000000</v>
      </c>
      <c r="BF509" s="181">
        <f ca="1">IF($D509&lt;&gt;"Serviço",0,IF(AND(AUTOEVENTO="Manual",$M509=1),0,IF(OFFSET(CRONOPLE!$F$14,$M509,BF$13)="",10^12,OFFSET(CRONOPLE!$F$14,$M509,BF$13))))</f>
        <v>1000000000000</v>
      </c>
      <c r="BG509" s="181">
        <f ca="1">IF($D509&lt;&gt;"Serviço",0,IF(AND(AUTOEVENTO="Manual",$M509=1),0,IF(OFFSET(CRONOPLE!$F$14,$M509,BG$13)="",10^12,OFFSET(CRONOPLE!$F$14,$M509,BG$13))))</f>
        <v>1000000000000</v>
      </c>
      <c r="BH509" s="181">
        <f ca="1">IF($D509&lt;&gt;"Serviço",0,IF(AND(AUTOEVENTO="Manual",$M509=1),0,IF(OFFSET(CRONOPLE!$F$14,$M509,BH$13)="",10^12,OFFSET(CRONOPLE!$F$14,$M509,BH$13))))</f>
        <v>1000000000000</v>
      </c>
      <c r="BI509" s="181">
        <f ca="1">IF($D509&lt;&gt;"Serviço",0,IF(AND(AUTOEVENTO="Manual",$M509=1),0,IF(OFFSET(CRONOPLE!$F$14,$M509,BI$13)="",10^12,OFFSET(CRONOPLE!$F$14,$M509,BI$13))))</f>
        <v>1000000000000</v>
      </c>
      <c r="BJ509" s="181">
        <f ca="1">IF($D509&lt;&gt;"Serviço",0,IF(AND(AUTOEVENTO="Manual",$M509=1),0,IF(OFFSET(CRONOPLE!$F$14,$M509,BJ$13)="",10^12,OFFSET(CRONOPLE!$F$14,$M509,BJ$13))))</f>
        <v>1000000000000</v>
      </c>
      <c r="BK509" s="181">
        <f ca="1">IF($D509&lt;&gt;"Serviço",0,IF(AND(AUTOEVENTO="Manual",$M509=1),0,IF(OFFSET(CRONOPLE!$F$14,$M509,BK$13)="",10^12,OFFSET(CRONOPLE!$F$14,$M509,BK$13))))</f>
        <v>1000000000000</v>
      </c>
      <c r="BL509" s="181">
        <f ca="1">IF($D509&lt;&gt;"Serviço",0,IF(AND(AUTOEVENTO="Manual",$M509=1),0,IF(OFFSET(CRONOPLE!$F$14,$M509,BL$13)="",10^12,OFFSET(CRONOPLE!$F$14,$M509,BL$13))))</f>
        <v>1000000000000</v>
      </c>
      <c r="BM509" s="181">
        <f ca="1">IF($D509&lt;&gt;"Serviço",0,IF(AND(AUTOEVENTO="Manual",$M509=1),0,IF(OFFSET(CRONOPLE!$F$14,$M509,BM$13)="",10^12,OFFSET(CRONOPLE!$F$14,$M509,BM$13))))</f>
        <v>1000000000000</v>
      </c>
      <c r="BN509" s="181">
        <f ca="1">IF($D509&lt;&gt;"Serviço",0,IF(AND(AUTOEVENTO="Manual",$M509=1),0,IF(OFFSET(CRONOPLE!$F$14,$M509,BN$13)="",10^12,OFFSET(CRONOPLE!$F$14,$M509,BN$13))))</f>
        <v>1000000000000</v>
      </c>
      <c r="BO509" s="181">
        <f ca="1">IF($D509&lt;&gt;"Serviço",0,IF(AND(AUTOEVENTO="Manual",$M509=1),0,IF(OFFSET(CRONOPLE!$F$14,$M509,BO$13)="",10^12,OFFSET(CRONOPLE!$F$14,$M509,BO$13))))</f>
        <v>1000000000000</v>
      </c>
      <c r="BP509" s="181">
        <f ca="1">IF($D509&lt;&gt;"Serviço",0,IF(AND(AUTOEVENTO="Manual",$M509=1),0,IF(OFFSET(CRONOPLE!$F$14,$M509,BP$13)="",10^12,OFFSET(CRONOPLE!$F$14,$M509,BP$13))))</f>
        <v>1000000000000</v>
      </c>
      <c r="BQ509" s="181">
        <f ca="1">IF($D509&lt;&gt;"Serviço",0,IF(AND(AUTOEVENTO="Manual",$M509=1),0,IF(OFFSET(CRONOPLE!$F$14,$M509,BQ$13)="",10^12,OFFSET(CRONOPLE!$F$14,$M509,BQ$13))))</f>
        <v>1000000000000</v>
      </c>
      <c r="BR509" s="181">
        <f ca="1">IF($D509&lt;&gt;"Serviço",0,IF(AND(AUTOEVENTO="Manual",$M509=1),0,IF(OFFSET(CRONOPLE!$F$14,$M509,BR$13)="",10^12,OFFSET(CRONOPLE!$F$14,$M509,BR$13))))</f>
        <v>1000000000000</v>
      </c>
      <c r="BS509" s="181">
        <f ca="1">IF($D509&lt;&gt;"Serviço",0,IF(AND(AUTOEVENTO="Manual",$M509=1),0,IF(OFFSET(CRONOPLE!$F$14,$M509,BS$13)="",10^12,OFFSET(CRONOPLE!$F$14,$M509,BS$13))))</f>
        <v>1000000000000</v>
      </c>
      <c r="BT509" s="181">
        <f ca="1">IF($D509&lt;&gt;"Serviço",0,IF(AND(AUTOEVENTO="Manual",$M509=1),0,IF(OFFSET(CRONOPLE!$F$14,$M509,BT$13)="",10^12,OFFSET(CRONOPLE!$F$14,$M509,BT$13))))</f>
        <v>1000000000000</v>
      </c>
      <c r="BV509" s="182">
        <f ca="1">IF($D509&lt;&gt;"Serviço",0,IF(OR(AND(AUTOEVENTO="Manual",$M509=1),$M509&gt;(ROW(PLE.lastrow)-ROW(PLE.firstrow))),0,IF(OFFSET(PLE!$G$14,$M509,BV$13)="",10^12,OFFSET(PLE!$G$14,$M509,BV$13))))</f>
        <v>1000000000000</v>
      </c>
      <c r="BW509" s="182">
        <f ca="1">IF($D509&lt;&gt;"Serviço",0,IF(OR(AND(AUTOEVENTO="Manual",$M509=1),$M509&gt;(ROW(PLE.lastrow)-ROW(PLE.firstrow))),0,IF(OFFSET(PLE!$G$14,$M509,BW$13)="",10^12,OFFSET(PLE!$G$14,$M509,BW$13))))</f>
        <v>1000000000000</v>
      </c>
      <c r="BX509" s="182">
        <f ca="1">IF($D509&lt;&gt;"Serviço",0,IF(OR(AND(AUTOEVENTO="Manual",$M509=1),$M509&gt;(ROW(PLE.lastrow)-ROW(PLE.firstrow))),0,IF(OFFSET(PLE!$G$14,$M509,BX$13)="",10^12,OFFSET(PLE!$G$14,$M509,BX$13))))</f>
        <v>1000000000000</v>
      </c>
      <c r="BY509" s="182">
        <f ca="1">IF($D509&lt;&gt;"Serviço",0,IF(OR(AND(AUTOEVENTO="Manual",$M509=1),$M509&gt;(ROW(PLE.lastrow)-ROW(PLE.firstrow))),0,IF(OFFSET(PLE!$G$14,$M509,BY$13)="",10^12,OFFSET(PLE!$G$14,$M509,BY$13))))</f>
        <v>1000000000000</v>
      </c>
      <c r="BZ509" s="182">
        <f ca="1">IF($D509&lt;&gt;"Serviço",0,IF(OR(AND(AUTOEVENTO="Manual",$M509=1),$M509&gt;(ROW(PLE.lastrow)-ROW(PLE.firstrow))),0,IF(OFFSET(PLE!$G$14,$M509,BZ$13)="",10^12,OFFSET(PLE!$G$14,$M509,BZ$13))))</f>
        <v>1000000000000</v>
      </c>
      <c r="CA509" s="182">
        <f ca="1">IF($D509&lt;&gt;"Serviço",0,IF(OR(AND(AUTOEVENTO="Manual",$M509=1),$M509&gt;(ROW(PLE.lastrow)-ROW(PLE.firstrow))),0,IF(OFFSET(PLE!$G$14,$M509,CA$13)="",10^12,OFFSET(PLE!$G$14,$M509,CA$13))))</f>
        <v>1000000000000</v>
      </c>
      <c r="CB509" s="182">
        <f ca="1">IF($D509&lt;&gt;"Serviço",0,IF(OR(AND(AUTOEVENTO="Manual",$M509=1),$M509&gt;(ROW(PLE.lastrow)-ROW(PLE.firstrow))),0,IF(OFFSET(PLE!$G$14,$M509,CB$13)="",10^12,OFFSET(PLE!$G$14,$M509,CB$13))))</f>
        <v>1000000000000</v>
      </c>
      <c r="CC509" s="182">
        <f ca="1">IF($D509&lt;&gt;"Serviço",0,IF(OR(AND(AUTOEVENTO="Manual",$M509=1),$M509&gt;(ROW(PLE.lastrow)-ROW(PLE.firstrow))),0,IF(OFFSET(PLE!$G$14,$M509,CC$13)="",10^12,OFFSET(PLE!$G$14,$M509,CC$13))))</f>
        <v>1000000000000</v>
      </c>
      <c r="CD509" s="182">
        <f ca="1">IF($D509&lt;&gt;"Serviço",0,IF(OR(AND(AUTOEVENTO="Manual",$M509=1),$M509&gt;(ROW(PLE.lastrow)-ROW(PLE.firstrow))),0,IF(OFFSET(PLE!$G$14,$M509,CD$13)="",10^12,OFFSET(PLE!$G$14,$M509,CD$13))))</f>
        <v>1000000000000</v>
      </c>
      <c r="CE509" s="182">
        <f ca="1">IF($D509&lt;&gt;"Serviço",0,IF(OR(AND(AUTOEVENTO="Manual",$M509=1),$M509&gt;(ROW(PLE.lastrow)-ROW(PLE.firstrow))),0,IF(OFFSET(PLE!$G$14,$M509,CE$13)="",10^12,OFFSET(PLE!$G$14,$M509,CE$13))))</f>
        <v>1000000000000</v>
      </c>
      <c r="CF509" s="182">
        <f ca="1">IF($D509&lt;&gt;"Serviço",0,IF(OR(AND(AUTOEVENTO="Manual",$M509=1),$M509&gt;(ROW(PLE.lastrow)-ROW(PLE.firstrow))),0,IF(OFFSET(PLE!$G$14,$M509,CF$13)="",10^12,OFFSET(PLE!$G$14,$M509,CF$13))))</f>
        <v>1000000000000</v>
      </c>
      <c r="CG509" s="182">
        <f ca="1">IF($D509&lt;&gt;"Serviço",0,IF(OR(AND(AUTOEVENTO="Manual",$M509=1),$M509&gt;(ROW(PLE.lastrow)-ROW(PLE.firstrow))),0,IF(OFFSET(PLE!$G$14,$M509,CG$13)="",10^12,OFFSET(PLE!$G$14,$M509,CG$13))))</f>
        <v>1000000000000</v>
      </c>
      <c r="CH509" s="182">
        <f ca="1">IF($D509&lt;&gt;"Serviço",0,IF(OR(AND(AUTOEVENTO="Manual",$M509=1),$M509&gt;(ROW(PLE.lastrow)-ROW(PLE.firstrow))),0,IF(OFFSET(PLE!$G$14,$M509,CH$13)="",10^12,OFFSET(PLE!$G$14,$M509,CH$13))))</f>
        <v>1000000000000</v>
      </c>
      <c r="CI509" s="182">
        <f ca="1">IF($D509&lt;&gt;"Serviço",0,IF(OR(AND(AUTOEVENTO="Manual",$M509=1),$M509&gt;(ROW(PLE.lastrow)-ROW(PLE.firstrow))),0,IF(OFFSET(PLE!$G$14,$M509,CI$13)="",10^12,OFFSET(PLE!$G$14,$M509,CI$13))))</f>
        <v>1000000000000</v>
      </c>
      <c r="CJ509" s="182">
        <f ca="1">IF($D509&lt;&gt;"Serviço",0,IF(OR(AND(AUTOEVENTO="Manual",$M509=1),$M509&gt;(ROW(PLE.lastrow)-ROW(PLE.firstrow))),0,IF(OFFSET(PLE!$G$14,$M509,CJ$13)="",10^12,OFFSET(PLE!$G$14,$M509,CJ$13))))</f>
        <v>1000000000000</v>
      </c>
      <c r="CK509" s="182">
        <f ca="1">IF($D509&lt;&gt;"Serviço",0,IF(OR(AND(AUTOEVENTO="Manual",$M509=1),$M509&gt;(ROW(PLE.lastrow)-ROW(PLE.firstrow))),0,IF(OFFSET(PLE!$G$14,$M509,CK$13)="",10^12,OFFSET(PLE!$G$14,$M509,CK$13))))</f>
        <v>1000000000000</v>
      </c>
      <c r="CL509" s="182">
        <f ca="1">IF($D509&lt;&gt;"Serviço",0,IF(OR(AND(AUTOEVENTO="Manual",$M509=1),$M509&gt;(ROW(PLE.lastrow)-ROW(PLE.firstrow))),0,IF(OFFSET(PLE!$G$14,$M509,CL$13)="",10^12,OFFSET(PLE!$G$14,$M509,CL$13))))</f>
        <v>1000000000000</v>
      </c>
      <c r="CM509" s="182">
        <f ca="1">IF($D509&lt;&gt;"Serviço",0,IF(OR(AND(AUTOEVENTO="Manual",$M509=1),$M509&gt;(ROW(PLE.lastrow)-ROW(PLE.firstrow))),0,IF(OFFSET(PLE!$G$14,$M509,CM$13)="",10^12,OFFSET(PLE!$G$14,$M509,CM$13))))</f>
        <v>1000000000000</v>
      </c>
    </row>
    <row r="510" spans="1:91" ht="38.25" x14ac:dyDescent="0.2">
      <c r="A510" s="7" t="str">
        <f t="shared" ca="1" si="16"/>
        <v>493</v>
      </c>
      <c r="B510" s="7" t="str">
        <f ca="1">OFFSET(ORÇAMENTO!C$15,ROW(B510)-ROW(B$15),0)</f>
        <v>S</v>
      </c>
      <c r="C510" s="7" t="str">
        <f ca="1">OFFSET(ORÇAMENTO!L$15,ROW(C510)-ROW(C$15),0)</f>
        <v/>
      </c>
      <c r="D510" s="118" t="str">
        <f ca="1">OFFSET(ORÇAMENTO!N$15,ROW(D510)-ROW(D$15),0)</f>
        <v>Serviço</v>
      </c>
      <c r="E510" s="119" t="str">
        <f ca="1">OFFSET(ORÇAMENTO!O$15,ROW(E510)-ROW(E$15),0)</f>
        <v>-</v>
      </c>
      <c r="F510" s="172" t="str">
        <f ca="1">OFFSET(ORÇAMENTO!R$15,ROW(F510)-ROW(F$15),0)</f>
        <v>(abra o arquivo 'Referência 06-2024.xlsm)</v>
      </c>
      <c r="G510" s="173" t="str">
        <f ca="1">IF($D510&lt;&gt;"Serviço","",OFFSET(ORÇAMENTO!S$15,ROW(G510)-ROW(G$15),0))</f>
        <v>-</v>
      </c>
      <c r="H510" s="124">
        <f ca="1">IF($D510&lt;&gt;"Serviço",0,IF(ACOMPANHAMENTO="BM",ROUND(OFFSET(ORÇAMENTO!AJ$15,ROW(H510)-ROW(H$15),0),15-13*ORÇAMENTO!$AF$7),SUMPRODUCT(($Q$12:$AI$12&lt;&gt;"")*ROUND($Q510:$AI510,15-13*ORÇAMENTO!$AF$7))))</f>
        <v>14.4</v>
      </c>
      <c r="I510" s="561" t="s">
        <v>1107</v>
      </c>
      <c r="K510" s="174"/>
      <c r="L510" s="175" t="s">
        <v>255</v>
      </c>
      <c r="M510" s="176">
        <f ca="1">IF($D510&lt;&gt;"Serviço","",IF(AUTOEVENTO="manual",$A510,IF(ISERROR(MATCH($A510,$A$15:OFFSET($A510,-1,0),0)),MAX($M$15:OFFSET(M510,-1,0))+1,INDEX($M$15:OFFSET(M510,-1,0),MATCH($A510,$A$15:OFFSET($A510,-1,0),0)))))</f>
        <v>54</v>
      </c>
      <c r="N510" s="177" t="str">
        <f ca="1">IF($D510&lt;&gt;"Serviço","",IF(AUTOEVENTO="Manual",IF($A510=0,"&lt;-- defina o número do agrupador",OFFSET(EVENTOS!$D$14,$A510,0)),OFFSET($F$15,$A510,0)))</f>
        <v>INSTALAÇÃO ELÉTRICA 110V - CABOS</v>
      </c>
      <c r="O510" s="178"/>
      <c r="Q510" s="178">
        <v>14.4</v>
      </c>
      <c r="R510" s="179"/>
      <c r="S510" s="179"/>
      <c r="T510" s="179"/>
      <c r="U510" s="179"/>
      <c r="V510" s="179"/>
      <c r="W510" s="179"/>
      <c r="X510" s="179"/>
      <c r="Y510" s="179"/>
      <c r="Z510" s="180"/>
      <c r="AA510" s="179"/>
      <c r="AB510" s="179"/>
      <c r="AC510" s="179"/>
      <c r="AD510" s="179"/>
      <c r="AE510" s="179"/>
      <c r="AF510" s="179"/>
      <c r="AG510" s="179"/>
      <c r="AH510" s="180"/>
      <c r="AJ510" s="544">
        <f ca="1">IF(AND($D510="Serviço",AJ$12&lt;&gt;0,$H510&gt;0,OR(AUTOEVENTO&lt;&gt;"manual",$M510&lt;&gt;1)),
IF(Import.TipoArredondamento&lt;&gt;"TransfereGOV",
ROUND(OFFSET($P510,0,AJ$13),15-13*ORÇAMENTO!$AF$7)/$H510*OFFSET(ORÇAMENTO!$X$15,ROW(AJ510)-ROW(AJ$15),0),
ROUND(ROUND(OFFSET($P510,0,AJ$13),15-13*ORÇAMENTO!$AF$7)*OFFSET(ORÇAMENTO!$W$15,ROW(AJ510)-ROW(AJ$15),0),15-13*ORÇAMENTO!$AF$11)),0)</f>
        <v>0</v>
      </c>
      <c r="AK510" s="545">
        <f ca="1">IF(AND($D510="Serviço",AK$12&lt;&gt;0,$H510&gt;0,OR(AUTOEVENTO&lt;&gt;"manual",$M510&lt;&gt;1)),
IF(Import.TipoArredondamento&lt;&gt;"TransfereGOV",
ROUND(OFFSET($P510,0,AK$13),15-13*ORÇAMENTO!$AF$7)/$H510*OFFSET(ORÇAMENTO!$X$15,ROW(AK510)-ROW(AK$15),0),
ROUND(ROUND(OFFSET($P510,0,AK$13),15-13*ORÇAMENTO!$AF$7)*OFFSET(ORÇAMENTO!$W$15,ROW(AK510)-ROW(AK$15),0),15-13*ORÇAMENTO!$AF$11)),0)</f>
        <v>0</v>
      </c>
      <c r="AL510" s="545">
        <f ca="1">IF(AND($D510="Serviço",AL$12&lt;&gt;0,$H510&gt;0,OR(AUTOEVENTO&lt;&gt;"manual",$M510&lt;&gt;1)),
IF(Import.TipoArredondamento&lt;&gt;"TransfereGOV",
ROUND(OFFSET($P510,0,AL$13),15-13*ORÇAMENTO!$AF$7)/$H510*OFFSET(ORÇAMENTO!$X$15,ROW(AL510)-ROW(AL$15),0),
ROUND(ROUND(OFFSET($P510,0,AL$13),15-13*ORÇAMENTO!$AF$7)*OFFSET(ORÇAMENTO!$W$15,ROW(AL510)-ROW(AL$15),0),15-13*ORÇAMENTO!$AF$11)),0)</f>
        <v>0</v>
      </c>
      <c r="AM510" s="545">
        <f ca="1">IF(AND($D510="Serviço",AM$12&lt;&gt;0,$H510&gt;0,OR(AUTOEVENTO&lt;&gt;"manual",$M510&lt;&gt;1)),
IF(Import.TipoArredondamento&lt;&gt;"TransfereGOV",
ROUND(OFFSET($P510,0,AM$13),15-13*ORÇAMENTO!$AF$7)/$H510*OFFSET(ORÇAMENTO!$X$15,ROW(AM510)-ROW(AM$15),0),
ROUND(ROUND(OFFSET($P510,0,AM$13),15-13*ORÇAMENTO!$AF$7)*OFFSET(ORÇAMENTO!$W$15,ROW(AM510)-ROW(AM$15),0),15-13*ORÇAMENTO!$AF$11)),0)</f>
        <v>0</v>
      </c>
      <c r="AN510" s="545">
        <f ca="1">IF(AND($D510="Serviço",AN$12&lt;&gt;0,$H510&gt;0,OR(AUTOEVENTO&lt;&gt;"manual",$M510&lt;&gt;1)),
IF(Import.TipoArredondamento&lt;&gt;"TransfereGOV",
ROUND(OFFSET($P510,0,AN$13),15-13*ORÇAMENTO!$AF$7)/$H510*OFFSET(ORÇAMENTO!$X$15,ROW(AN510)-ROW(AN$15),0),
ROUND(ROUND(OFFSET($P510,0,AN$13),15-13*ORÇAMENTO!$AF$7)*OFFSET(ORÇAMENTO!$W$15,ROW(AN510)-ROW(AN$15),0),15-13*ORÇAMENTO!$AF$11)),0)</f>
        <v>0</v>
      </c>
      <c r="AO510" s="545">
        <f ca="1">IF(AND($D510="Serviço",AO$12&lt;&gt;0,$H510&gt;0,OR(AUTOEVENTO&lt;&gt;"manual",$M510&lt;&gt;1)),
IF(Import.TipoArredondamento&lt;&gt;"TransfereGOV",
ROUND(OFFSET($P510,0,AO$13),15-13*ORÇAMENTO!$AF$7)/$H510*OFFSET(ORÇAMENTO!$X$15,ROW(AO510)-ROW(AO$15),0),
ROUND(ROUND(OFFSET($P510,0,AO$13),15-13*ORÇAMENTO!$AF$7)*OFFSET(ORÇAMENTO!$W$15,ROW(AO510)-ROW(AO$15),0),15-13*ORÇAMENTO!$AF$11)),0)</f>
        <v>0</v>
      </c>
      <c r="AP510" s="545">
        <f ca="1">IF(AND($D510="Serviço",AP$12&lt;&gt;0,$H510&gt;0,OR(AUTOEVENTO&lt;&gt;"manual",$M510&lt;&gt;1)),
IF(Import.TipoArredondamento&lt;&gt;"TransfereGOV",
ROUND(OFFSET($P510,0,AP$13),15-13*ORÇAMENTO!$AF$7)/$H510*OFFSET(ORÇAMENTO!$X$15,ROW(AP510)-ROW(AP$15),0),
ROUND(ROUND(OFFSET($P510,0,AP$13),15-13*ORÇAMENTO!$AF$7)*OFFSET(ORÇAMENTO!$W$15,ROW(AP510)-ROW(AP$15),0),15-13*ORÇAMENTO!$AF$11)),0)</f>
        <v>0</v>
      </c>
      <c r="AQ510" s="545">
        <f ca="1">IF(AND($D510="Serviço",AQ$12&lt;&gt;0,$H510&gt;0,OR(AUTOEVENTO&lt;&gt;"manual",$M510&lt;&gt;1)),
IF(Import.TipoArredondamento&lt;&gt;"TransfereGOV",
ROUND(OFFSET($P510,0,AQ$13),15-13*ORÇAMENTO!$AF$7)/$H510*OFFSET(ORÇAMENTO!$X$15,ROW(AQ510)-ROW(AQ$15),0),
ROUND(ROUND(OFFSET($P510,0,AQ$13),15-13*ORÇAMENTO!$AF$7)*OFFSET(ORÇAMENTO!$W$15,ROW(AQ510)-ROW(AQ$15),0),15-13*ORÇAMENTO!$AF$11)),0)</f>
        <v>0</v>
      </c>
      <c r="AR510" s="545">
        <f ca="1">IF(AND($D510="Serviço",AR$12&lt;&gt;0,$H510&gt;0,OR(AUTOEVENTO&lt;&gt;"manual",$M510&lt;&gt;1)),
IF(Import.TipoArredondamento&lt;&gt;"TransfereGOV",
ROUND(OFFSET($P510,0,AR$13),15-13*ORÇAMENTO!$AF$7)/$H510*OFFSET(ORÇAMENTO!$X$15,ROW(AR510)-ROW(AR$15),0),
ROUND(ROUND(OFFSET($P510,0,AR$13),15-13*ORÇAMENTO!$AF$7)*OFFSET(ORÇAMENTO!$W$15,ROW(AR510)-ROW(AR$15),0),15-13*ORÇAMENTO!$AF$11)),0)</f>
        <v>0</v>
      </c>
      <c r="AS510" s="546">
        <f ca="1">IF(AND($D510="Serviço",AS$12&lt;&gt;0,$H510&gt;0,OR(AUTOEVENTO&lt;&gt;"manual",$M510&lt;&gt;1)),
IF(Import.TipoArredondamento&lt;&gt;"TransfereGOV",
ROUND(OFFSET($P510,0,AS$13),15-13*ORÇAMENTO!$AF$7)/$H510*OFFSET(ORÇAMENTO!$X$15,ROW(AS510)-ROW(AS$15),0),
ROUND(ROUND(OFFSET($P510,0,AS$13),15-13*ORÇAMENTO!$AF$7)*OFFSET(ORÇAMENTO!$W$15,ROW(AS510)-ROW(AS$15),0),15-13*ORÇAMENTO!$AF$11)),0)</f>
        <v>0</v>
      </c>
      <c r="AT510" s="545">
        <f ca="1">IF(AND($D510="Serviço",AT$12&lt;&gt;0,$H510&gt;0,OR(AUTOEVENTO&lt;&gt;"manual",$M510&lt;&gt;1)),
IF(Import.TipoArredondamento&lt;&gt;"TransfereGOV",
ROUND(OFFSET($P510,0,AT$13),15-13*ORÇAMENTO!$AF$7)/$H510*OFFSET(ORÇAMENTO!$X$15,ROW(AT510)-ROW(AT$15),0),
ROUND(ROUND(OFFSET($P510,0,AT$13),15-13*ORÇAMENTO!$AF$7)*OFFSET(ORÇAMENTO!$W$15,ROW(AT510)-ROW(AT$15),0),15-13*ORÇAMENTO!$AF$11)),0)</f>
        <v>0</v>
      </c>
      <c r="AU510" s="545">
        <f ca="1">IF(AND($D510="Serviço",AU$12&lt;&gt;0,$H510&gt;0,OR(AUTOEVENTO&lt;&gt;"manual",$M510&lt;&gt;1)),
IF(Import.TipoArredondamento&lt;&gt;"TransfereGOV",
ROUND(OFFSET($P510,0,AU$13),15-13*ORÇAMENTO!$AF$7)/$H510*OFFSET(ORÇAMENTO!$X$15,ROW(AU510)-ROW(AU$15),0),
ROUND(ROUND(OFFSET($P510,0,AU$13),15-13*ORÇAMENTO!$AF$7)*OFFSET(ORÇAMENTO!$W$15,ROW(AU510)-ROW(AU$15),0),15-13*ORÇAMENTO!$AF$11)),0)</f>
        <v>0</v>
      </c>
      <c r="AV510" s="545">
        <f ca="1">IF(AND($D510="Serviço",AV$12&lt;&gt;0,$H510&gt;0,OR(AUTOEVENTO&lt;&gt;"manual",$M510&lt;&gt;1)),
IF(Import.TipoArredondamento&lt;&gt;"TransfereGOV",
ROUND(OFFSET($P510,0,AV$13),15-13*ORÇAMENTO!$AF$7)/$H510*OFFSET(ORÇAMENTO!$X$15,ROW(AV510)-ROW(AV$15),0),
ROUND(ROUND(OFFSET($P510,0,AV$13),15-13*ORÇAMENTO!$AF$7)*OFFSET(ORÇAMENTO!$W$15,ROW(AV510)-ROW(AV$15),0),15-13*ORÇAMENTO!$AF$11)),0)</f>
        <v>0</v>
      </c>
      <c r="AW510" s="545">
        <f ca="1">IF(AND($D510="Serviço",AW$12&lt;&gt;0,$H510&gt;0,OR(AUTOEVENTO&lt;&gt;"manual",$M510&lt;&gt;1)),
IF(Import.TipoArredondamento&lt;&gt;"TransfereGOV",
ROUND(OFFSET($P510,0,AW$13),15-13*ORÇAMENTO!$AF$7)/$H510*OFFSET(ORÇAMENTO!$X$15,ROW(AW510)-ROW(AW$15),0),
ROUND(ROUND(OFFSET($P510,0,AW$13),15-13*ORÇAMENTO!$AF$7)*OFFSET(ORÇAMENTO!$W$15,ROW(AW510)-ROW(AW$15),0),15-13*ORÇAMENTO!$AF$11)),0)</f>
        <v>0</v>
      </c>
      <c r="AX510" s="545">
        <f ca="1">IF(AND($D510="Serviço",AX$12&lt;&gt;0,$H510&gt;0,OR(AUTOEVENTO&lt;&gt;"manual",$M510&lt;&gt;1)),
IF(Import.TipoArredondamento&lt;&gt;"TransfereGOV",
ROUND(OFFSET($P510,0,AX$13),15-13*ORÇAMENTO!$AF$7)/$H510*OFFSET(ORÇAMENTO!$X$15,ROW(AX510)-ROW(AX$15),0),
ROUND(ROUND(OFFSET($P510,0,AX$13),15-13*ORÇAMENTO!$AF$7)*OFFSET(ORÇAMENTO!$W$15,ROW(AX510)-ROW(AX$15),0),15-13*ORÇAMENTO!$AF$11)),0)</f>
        <v>0</v>
      </c>
      <c r="AY510" s="545">
        <f ca="1">IF(AND($D510="Serviço",AY$12&lt;&gt;0,$H510&gt;0,OR(AUTOEVENTO&lt;&gt;"manual",$M510&lt;&gt;1)),
IF(Import.TipoArredondamento&lt;&gt;"TransfereGOV",
ROUND(OFFSET($P510,0,AY$13),15-13*ORÇAMENTO!$AF$7)/$H510*OFFSET(ORÇAMENTO!$X$15,ROW(AY510)-ROW(AY$15),0),
ROUND(ROUND(OFFSET($P510,0,AY$13),15-13*ORÇAMENTO!$AF$7)*OFFSET(ORÇAMENTO!$W$15,ROW(AY510)-ROW(AY$15),0),15-13*ORÇAMENTO!$AF$11)),0)</f>
        <v>0</v>
      </c>
      <c r="AZ510" s="545">
        <f ca="1">IF(AND($D510="Serviço",AZ$12&lt;&gt;0,$H510&gt;0,OR(AUTOEVENTO&lt;&gt;"manual",$M510&lt;&gt;1)),
IF(Import.TipoArredondamento&lt;&gt;"TransfereGOV",
ROUND(OFFSET($P510,0,AZ$13),15-13*ORÇAMENTO!$AF$7)/$H510*OFFSET(ORÇAMENTO!$X$15,ROW(AZ510)-ROW(AZ$15),0),
ROUND(ROUND(OFFSET($P510,0,AZ$13),15-13*ORÇAMENTO!$AF$7)*OFFSET(ORÇAMENTO!$W$15,ROW(AZ510)-ROW(AZ$15),0),15-13*ORÇAMENTO!$AF$11)),0)</f>
        <v>0</v>
      </c>
      <c r="BA510" s="546">
        <f ca="1">IF(AND($D510="Serviço",BA$12&lt;&gt;0,$H510&gt;0,OR(AUTOEVENTO&lt;&gt;"manual",$M510&lt;&gt;1)),
IF(Import.TipoArredondamento&lt;&gt;"TransfereGOV",
ROUND(OFFSET($P510,0,BA$13),15-13*ORÇAMENTO!$AF$7)/$H510*OFFSET(ORÇAMENTO!$X$15,ROW(BA510)-ROW(BA$15),0),
ROUND(ROUND(OFFSET($P510,0,BA$13),15-13*ORÇAMENTO!$AF$7)*OFFSET(ORÇAMENTO!$W$15,ROW(BA510)-ROW(BA$15),0),15-13*ORÇAMENTO!$AF$11)),0)</f>
        <v>0</v>
      </c>
      <c r="BC510" s="181">
        <f ca="1">IF($D510&lt;&gt;"Serviço",0,IF(AND(AUTOEVENTO="Manual",$M510=1),0,IF(OFFSET(CRONOPLE!$F$14,$M510,BC$13)="",10^12,OFFSET(CRONOPLE!$F$14,$M510,BC$13))))</f>
        <v>10</v>
      </c>
      <c r="BD510" s="181">
        <f ca="1">IF($D510&lt;&gt;"Serviço",0,IF(AND(AUTOEVENTO="Manual",$M510=1),0,IF(OFFSET(CRONOPLE!$F$14,$M510,BD$13)="",10^12,OFFSET(CRONOPLE!$F$14,$M510,BD$13))))</f>
        <v>1000000000000</v>
      </c>
      <c r="BE510" s="181">
        <f ca="1">IF($D510&lt;&gt;"Serviço",0,IF(AND(AUTOEVENTO="Manual",$M510=1),0,IF(OFFSET(CRONOPLE!$F$14,$M510,BE$13)="",10^12,OFFSET(CRONOPLE!$F$14,$M510,BE$13))))</f>
        <v>1000000000000</v>
      </c>
      <c r="BF510" s="181">
        <f ca="1">IF($D510&lt;&gt;"Serviço",0,IF(AND(AUTOEVENTO="Manual",$M510=1),0,IF(OFFSET(CRONOPLE!$F$14,$M510,BF$13)="",10^12,OFFSET(CRONOPLE!$F$14,$M510,BF$13))))</f>
        <v>1000000000000</v>
      </c>
      <c r="BG510" s="181">
        <f ca="1">IF($D510&lt;&gt;"Serviço",0,IF(AND(AUTOEVENTO="Manual",$M510=1),0,IF(OFFSET(CRONOPLE!$F$14,$M510,BG$13)="",10^12,OFFSET(CRONOPLE!$F$14,$M510,BG$13))))</f>
        <v>1000000000000</v>
      </c>
      <c r="BH510" s="181">
        <f ca="1">IF($D510&lt;&gt;"Serviço",0,IF(AND(AUTOEVENTO="Manual",$M510=1),0,IF(OFFSET(CRONOPLE!$F$14,$M510,BH$13)="",10^12,OFFSET(CRONOPLE!$F$14,$M510,BH$13))))</f>
        <v>1000000000000</v>
      </c>
      <c r="BI510" s="181">
        <f ca="1">IF($D510&lt;&gt;"Serviço",0,IF(AND(AUTOEVENTO="Manual",$M510=1),0,IF(OFFSET(CRONOPLE!$F$14,$M510,BI$13)="",10^12,OFFSET(CRONOPLE!$F$14,$M510,BI$13))))</f>
        <v>1000000000000</v>
      </c>
      <c r="BJ510" s="181">
        <f ca="1">IF($D510&lt;&gt;"Serviço",0,IF(AND(AUTOEVENTO="Manual",$M510=1),0,IF(OFFSET(CRONOPLE!$F$14,$M510,BJ$13)="",10^12,OFFSET(CRONOPLE!$F$14,$M510,BJ$13))))</f>
        <v>1000000000000</v>
      </c>
      <c r="BK510" s="181">
        <f ca="1">IF($D510&lt;&gt;"Serviço",0,IF(AND(AUTOEVENTO="Manual",$M510=1),0,IF(OFFSET(CRONOPLE!$F$14,$M510,BK$13)="",10^12,OFFSET(CRONOPLE!$F$14,$M510,BK$13))))</f>
        <v>1000000000000</v>
      </c>
      <c r="BL510" s="181">
        <f ca="1">IF($D510&lt;&gt;"Serviço",0,IF(AND(AUTOEVENTO="Manual",$M510=1),0,IF(OFFSET(CRONOPLE!$F$14,$M510,BL$13)="",10^12,OFFSET(CRONOPLE!$F$14,$M510,BL$13))))</f>
        <v>1000000000000</v>
      </c>
      <c r="BM510" s="181">
        <f ca="1">IF($D510&lt;&gt;"Serviço",0,IF(AND(AUTOEVENTO="Manual",$M510=1),0,IF(OFFSET(CRONOPLE!$F$14,$M510,BM$13)="",10^12,OFFSET(CRONOPLE!$F$14,$M510,BM$13))))</f>
        <v>1000000000000</v>
      </c>
      <c r="BN510" s="181">
        <f ca="1">IF($D510&lt;&gt;"Serviço",0,IF(AND(AUTOEVENTO="Manual",$M510=1),0,IF(OFFSET(CRONOPLE!$F$14,$M510,BN$13)="",10^12,OFFSET(CRONOPLE!$F$14,$M510,BN$13))))</f>
        <v>1000000000000</v>
      </c>
      <c r="BO510" s="181">
        <f ca="1">IF($D510&lt;&gt;"Serviço",0,IF(AND(AUTOEVENTO="Manual",$M510=1),0,IF(OFFSET(CRONOPLE!$F$14,$M510,BO$13)="",10^12,OFFSET(CRONOPLE!$F$14,$M510,BO$13))))</f>
        <v>1000000000000</v>
      </c>
      <c r="BP510" s="181">
        <f ca="1">IF($D510&lt;&gt;"Serviço",0,IF(AND(AUTOEVENTO="Manual",$M510=1),0,IF(OFFSET(CRONOPLE!$F$14,$M510,BP$13)="",10^12,OFFSET(CRONOPLE!$F$14,$M510,BP$13))))</f>
        <v>1000000000000</v>
      </c>
      <c r="BQ510" s="181">
        <f ca="1">IF($D510&lt;&gt;"Serviço",0,IF(AND(AUTOEVENTO="Manual",$M510=1),0,IF(OFFSET(CRONOPLE!$F$14,$M510,BQ$13)="",10^12,OFFSET(CRONOPLE!$F$14,$M510,BQ$13))))</f>
        <v>1000000000000</v>
      </c>
      <c r="BR510" s="181">
        <f ca="1">IF($D510&lt;&gt;"Serviço",0,IF(AND(AUTOEVENTO="Manual",$M510=1),0,IF(OFFSET(CRONOPLE!$F$14,$M510,BR$13)="",10^12,OFFSET(CRONOPLE!$F$14,$M510,BR$13))))</f>
        <v>1000000000000</v>
      </c>
      <c r="BS510" s="181">
        <f ca="1">IF($D510&lt;&gt;"Serviço",0,IF(AND(AUTOEVENTO="Manual",$M510=1),0,IF(OFFSET(CRONOPLE!$F$14,$M510,BS$13)="",10^12,OFFSET(CRONOPLE!$F$14,$M510,BS$13))))</f>
        <v>1000000000000</v>
      </c>
      <c r="BT510" s="181">
        <f ca="1">IF($D510&lt;&gt;"Serviço",0,IF(AND(AUTOEVENTO="Manual",$M510=1),0,IF(OFFSET(CRONOPLE!$F$14,$M510,BT$13)="",10^12,OFFSET(CRONOPLE!$F$14,$M510,BT$13))))</f>
        <v>1000000000000</v>
      </c>
      <c r="BV510" s="182">
        <f ca="1">IF($D510&lt;&gt;"Serviço",0,IF(OR(AND(AUTOEVENTO="Manual",$M510=1),$M510&gt;(ROW(PLE.lastrow)-ROW(PLE.firstrow))),0,IF(OFFSET(PLE!$G$14,$M510,BV$13)="",10^12,OFFSET(PLE!$G$14,$M510,BV$13))))</f>
        <v>1000000000000</v>
      </c>
      <c r="BW510" s="182">
        <f ca="1">IF($D510&lt;&gt;"Serviço",0,IF(OR(AND(AUTOEVENTO="Manual",$M510=1),$M510&gt;(ROW(PLE.lastrow)-ROW(PLE.firstrow))),0,IF(OFFSET(PLE!$G$14,$M510,BW$13)="",10^12,OFFSET(PLE!$G$14,$M510,BW$13))))</f>
        <v>1000000000000</v>
      </c>
      <c r="BX510" s="182">
        <f ca="1">IF($D510&lt;&gt;"Serviço",0,IF(OR(AND(AUTOEVENTO="Manual",$M510=1),$M510&gt;(ROW(PLE.lastrow)-ROW(PLE.firstrow))),0,IF(OFFSET(PLE!$G$14,$M510,BX$13)="",10^12,OFFSET(PLE!$G$14,$M510,BX$13))))</f>
        <v>1000000000000</v>
      </c>
      <c r="BY510" s="182">
        <f ca="1">IF($D510&lt;&gt;"Serviço",0,IF(OR(AND(AUTOEVENTO="Manual",$M510=1),$M510&gt;(ROW(PLE.lastrow)-ROW(PLE.firstrow))),0,IF(OFFSET(PLE!$G$14,$M510,BY$13)="",10^12,OFFSET(PLE!$G$14,$M510,BY$13))))</f>
        <v>1000000000000</v>
      </c>
      <c r="BZ510" s="182">
        <f ca="1">IF($D510&lt;&gt;"Serviço",0,IF(OR(AND(AUTOEVENTO="Manual",$M510=1),$M510&gt;(ROW(PLE.lastrow)-ROW(PLE.firstrow))),0,IF(OFFSET(PLE!$G$14,$M510,BZ$13)="",10^12,OFFSET(PLE!$G$14,$M510,BZ$13))))</f>
        <v>1000000000000</v>
      </c>
      <c r="CA510" s="182">
        <f ca="1">IF($D510&lt;&gt;"Serviço",0,IF(OR(AND(AUTOEVENTO="Manual",$M510=1),$M510&gt;(ROW(PLE.lastrow)-ROW(PLE.firstrow))),0,IF(OFFSET(PLE!$G$14,$M510,CA$13)="",10^12,OFFSET(PLE!$G$14,$M510,CA$13))))</f>
        <v>1000000000000</v>
      </c>
      <c r="CB510" s="182">
        <f ca="1">IF($D510&lt;&gt;"Serviço",0,IF(OR(AND(AUTOEVENTO="Manual",$M510=1),$M510&gt;(ROW(PLE.lastrow)-ROW(PLE.firstrow))),0,IF(OFFSET(PLE!$G$14,$M510,CB$13)="",10^12,OFFSET(PLE!$G$14,$M510,CB$13))))</f>
        <v>1000000000000</v>
      </c>
      <c r="CC510" s="182">
        <f ca="1">IF($D510&lt;&gt;"Serviço",0,IF(OR(AND(AUTOEVENTO="Manual",$M510=1),$M510&gt;(ROW(PLE.lastrow)-ROW(PLE.firstrow))),0,IF(OFFSET(PLE!$G$14,$M510,CC$13)="",10^12,OFFSET(PLE!$G$14,$M510,CC$13))))</f>
        <v>1000000000000</v>
      </c>
      <c r="CD510" s="182">
        <f ca="1">IF($D510&lt;&gt;"Serviço",0,IF(OR(AND(AUTOEVENTO="Manual",$M510=1),$M510&gt;(ROW(PLE.lastrow)-ROW(PLE.firstrow))),0,IF(OFFSET(PLE!$G$14,$M510,CD$13)="",10^12,OFFSET(PLE!$G$14,$M510,CD$13))))</f>
        <v>1000000000000</v>
      </c>
      <c r="CE510" s="182">
        <f ca="1">IF($D510&lt;&gt;"Serviço",0,IF(OR(AND(AUTOEVENTO="Manual",$M510=1),$M510&gt;(ROW(PLE.lastrow)-ROW(PLE.firstrow))),0,IF(OFFSET(PLE!$G$14,$M510,CE$13)="",10^12,OFFSET(PLE!$G$14,$M510,CE$13))))</f>
        <v>1000000000000</v>
      </c>
      <c r="CF510" s="182">
        <f ca="1">IF($D510&lt;&gt;"Serviço",0,IF(OR(AND(AUTOEVENTO="Manual",$M510=1),$M510&gt;(ROW(PLE.lastrow)-ROW(PLE.firstrow))),0,IF(OFFSET(PLE!$G$14,$M510,CF$13)="",10^12,OFFSET(PLE!$G$14,$M510,CF$13))))</f>
        <v>1000000000000</v>
      </c>
      <c r="CG510" s="182">
        <f ca="1">IF($D510&lt;&gt;"Serviço",0,IF(OR(AND(AUTOEVENTO="Manual",$M510=1),$M510&gt;(ROW(PLE.lastrow)-ROW(PLE.firstrow))),0,IF(OFFSET(PLE!$G$14,$M510,CG$13)="",10^12,OFFSET(PLE!$G$14,$M510,CG$13))))</f>
        <v>1000000000000</v>
      </c>
      <c r="CH510" s="182">
        <f ca="1">IF($D510&lt;&gt;"Serviço",0,IF(OR(AND(AUTOEVENTO="Manual",$M510=1),$M510&gt;(ROW(PLE.lastrow)-ROW(PLE.firstrow))),0,IF(OFFSET(PLE!$G$14,$M510,CH$13)="",10^12,OFFSET(PLE!$G$14,$M510,CH$13))))</f>
        <v>1000000000000</v>
      </c>
      <c r="CI510" s="182">
        <f ca="1">IF($D510&lt;&gt;"Serviço",0,IF(OR(AND(AUTOEVENTO="Manual",$M510=1),$M510&gt;(ROW(PLE.lastrow)-ROW(PLE.firstrow))),0,IF(OFFSET(PLE!$G$14,$M510,CI$13)="",10^12,OFFSET(PLE!$G$14,$M510,CI$13))))</f>
        <v>1000000000000</v>
      </c>
      <c r="CJ510" s="182">
        <f ca="1">IF($D510&lt;&gt;"Serviço",0,IF(OR(AND(AUTOEVENTO="Manual",$M510=1),$M510&gt;(ROW(PLE.lastrow)-ROW(PLE.firstrow))),0,IF(OFFSET(PLE!$G$14,$M510,CJ$13)="",10^12,OFFSET(PLE!$G$14,$M510,CJ$13))))</f>
        <v>1000000000000</v>
      </c>
      <c r="CK510" s="182">
        <f ca="1">IF($D510&lt;&gt;"Serviço",0,IF(OR(AND(AUTOEVENTO="Manual",$M510=1),$M510&gt;(ROW(PLE.lastrow)-ROW(PLE.firstrow))),0,IF(OFFSET(PLE!$G$14,$M510,CK$13)="",10^12,OFFSET(PLE!$G$14,$M510,CK$13))))</f>
        <v>1000000000000</v>
      </c>
      <c r="CL510" s="182">
        <f ca="1">IF($D510&lt;&gt;"Serviço",0,IF(OR(AND(AUTOEVENTO="Manual",$M510=1),$M510&gt;(ROW(PLE.lastrow)-ROW(PLE.firstrow))),0,IF(OFFSET(PLE!$G$14,$M510,CL$13)="",10^12,OFFSET(PLE!$G$14,$M510,CL$13))))</f>
        <v>1000000000000</v>
      </c>
      <c r="CM510" s="182">
        <f ca="1">IF($D510&lt;&gt;"Serviço",0,IF(OR(AND(AUTOEVENTO="Manual",$M510=1),$M510&gt;(ROW(PLE.lastrow)-ROW(PLE.firstrow))),0,IF(OFFSET(PLE!$G$14,$M510,CM$13)="",10^12,OFFSET(PLE!$G$14,$M510,CM$13))))</f>
        <v>1000000000000</v>
      </c>
    </row>
    <row r="511" spans="1:91" ht="38.25" x14ac:dyDescent="0.2">
      <c r="A511" s="7" t="str">
        <f t="shared" ca="1" si="16"/>
        <v>493</v>
      </c>
      <c r="B511" s="7" t="str">
        <f ca="1">OFFSET(ORÇAMENTO!C$15,ROW(B511)-ROW(B$15),0)</f>
        <v>S</v>
      </c>
      <c r="C511" s="7" t="str">
        <f ca="1">OFFSET(ORÇAMENTO!L$15,ROW(C511)-ROW(C$15),0)</f>
        <v/>
      </c>
      <c r="D511" s="118" t="str">
        <f ca="1">OFFSET(ORÇAMENTO!N$15,ROW(D511)-ROW(D$15),0)</f>
        <v>Serviço</v>
      </c>
      <c r="E511" s="119" t="str">
        <f ca="1">OFFSET(ORÇAMENTO!O$15,ROW(E511)-ROW(E$15),0)</f>
        <v>-</v>
      </c>
      <c r="F511" s="172" t="str">
        <f ca="1">OFFSET(ORÇAMENTO!R$15,ROW(F511)-ROW(F$15),0)</f>
        <v>(abra o arquivo 'Referência 06-2024.xlsm)</v>
      </c>
      <c r="G511" s="173" t="str">
        <f ca="1">IF($D511&lt;&gt;"Serviço","",OFFSET(ORÇAMENTO!S$15,ROW(G511)-ROW(G$15),0))</f>
        <v>-</v>
      </c>
      <c r="H511" s="124">
        <f ca="1">IF($D511&lt;&gt;"Serviço",0,IF(ACOMPANHAMENTO="BM",ROUND(OFFSET(ORÇAMENTO!AJ$15,ROW(H511)-ROW(H$15),0),15-13*ORÇAMENTO!$AF$7),SUMPRODUCT(($Q$12:$AI$12&lt;&gt;"")*ROUND($Q511:$AI511,15-13*ORÇAMENTO!$AF$7))))</f>
        <v>188.4</v>
      </c>
      <c r="I511" s="561" t="s">
        <v>1107</v>
      </c>
      <c r="K511" s="174"/>
      <c r="L511" s="175" t="s">
        <v>255</v>
      </c>
      <c r="M511" s="176">
        <f ca="1">IF($D511&lt;&gt;"Serviço","",IF(AUTOEVENTO="manual",$A511,IF(ISERROR(MATCH($A511,$A$15:OFFSET($A511,-1,0),0)),MAX($M$15:OFFSET(M511,-1,0))+1,INDEX($M$15:OFFSET(M511,-1,0),MATCH($A511,$A$15:OFFSET($A511,-1,0),0)))))</f>
        <v>54</v>
      </c>
      <c r="N511" s="177" t="str">
        <f ca="1">IF($D511&lt;&gt;"Serviço","",IF(AUTOEVENTO="Manual",IF($A511=0,"&lt;-- defina o número do agrupador",OFFSET(EVENTOS!$D$14,$A511,0)),OFFSET($F$15,$A511,0)))</f>
        <v>INSTALAÇÃO ELÉTRICA 110V - CABOS</v>
      </c>
      <c r="O511" s="178"/>
      <c r="Q511" s="178">
        <v>188.4</v>
      </c>
      <c r="R511" s="179"/>
      <c r="S511" s="179"/>
      <c r="T511" s="179"/>
      <c r="U511" s="179"/>
      <c r="V511" s="179"/>
      <c r="W511" s="179"/>
      <c r="X511" s="179"/>
      <c r="Y511" s="179"/>
      <c r="Z511" s="180"/>
      <c r="AA511" s="179"/>
      <c r="AB511" s="179"/>
      <c r="AC511" s="179"/>
      <c r="AD511" s="179"/>
      <c r="AE511" s="179"/>
      <c r="AF511" s="179"/>
      <c r="AG511" s="179"/>
      <c r="AH511" s="180"/>
      <c r="AJ511" s="544">
        <f ca="1">IF(AND($D511="Serviço",AJ$12&lt;&gt;0,$H511&gt;0,OR(AUTOEVENTO&lt;&gt;"manual",$M511&lt;&gt;1)),
IF(Import.TipoArredondamento&lt;&gt;"TransfereGOV",
ROUND(OFFSET($P511,0,AJ$13),15-13*ORÇAMENTO!$AF$7)/$H511*OFFSET(ORÇAMENTO!$X$15,ROW(AJ511)-ROW(AJ$15),0),
ROUND(ROUND(OFFSET($P511,0,AJ$13),15-13*ORÇAMENTO!$AF$7)*OFFSET(ORÇAMENTO!$W$15,ROW(AJ511)-ROW(AJ$15),0),15-13*ORÇAMENTO!$AF$11)),0)</f>
        <v>0</v>
      </c>
      <c r="AK511" s="545">
        <f ca="1">IF(AND($D511="Serviço",AK$12&lt;&gt;0,$H511&gt;0,OR(AUTOEVENTO&lt;&gt;"manual",$M511&lt;&gt;1)),
IF(Import.TipoArredondamento&lt;&gt;"TransfereGOV",
ROUND(OFFSET($P511,0,AK$13),15-13*ORÇAMENTO!$AF$7)/$H511*OFFSET(ORÇAMENTO!$X$15,ROW(AK511)-ROW(AK$15),0),
ROUND(ROUND(OFFSET($P511,0,AK$13),15-13*ORÇAMENTO!$AF$7)*OFFSET(ORÇAMENTO!$W$15,ROW(AK511)-ROW(AK$15),0),15-13*ORÇAMENTO!$AF$11)),0)</f>
        <v>0</v>
      </c>
      <c r="AL511" s="545">
        <f ca="1">IF(AND($D511="Serviço",AL$12&lt;&gt;0,$H511&gt;0,OR(AUTOEVENTO&lt;&gt;"manual",$M511&lt;&gt;1)),
IF(Import.TipoArredondamento&lt;&gt;"TransfereGOV",
ROUND(OFFSET($P511,0,AL$13),15-13*ORÇAMENTO!$AF$7)/$H511*OFFSET(ORÇAMENTO!$X$15,ROW(AL511)-ROW(AL$15),0),
ROUND(ROUND(OFFSET($P511,0,AL$13),15-13*ORÇAMENTO!$AF$7)*OFFSET(ORÇAMENTO!$W$15,ROW(AL511)-ROW(AL$15),0),15-13*ORÇAMENTO!$AF$11)),0)</f>
        <v>0</v>
      </c>
      <c r="AM511" s="545">
        <f ca="1">IF(AND($D511="Serviço",AM$12&lt;&gt;0,$H511&gt;0,OR(AUTOEVENTO&lt;&gt;"manual",$M511&lt;&gt;1)),
IF(Import.TipoArredondamento&lt;&gt;"TransfereGOV",
ROUND(OFFSET($P511,0,AM$13),15-13*ORÇAMENTO!$AF$7)/$H511*OFFSET(ORÇAMENTO!$X$15,ROW(AM511)-ROW(AM$15),0),
ROUND(ROUND(OFFSET($P511,0,AM$13),15-13*ORÇAMENTO!$AF$7)*OFFSET(ORÇAMENTO!$W$15,ROW(AM511)-ROW(AM$15),0),15-13*ORÇAMENTO!$AF$11)),0)</f>
        <v>0</v>
      </c>
      <c r="AN511" s="545">
        <f ca="1">IF(AND($D511="Serviço",AN$12&lt;&gt;0,$H511&gt;0,OR(AUTOEVENTO&lt;&gt;"manual",$M511&lt;&gt;1)),
IF(Import.TipoArredondamento&lt;&gt;"TransfereGOV",
ROUND(OFFSET($P511,0,AN$13),15-13*ORÇAMENTO!$AF$7)/$H511*OFFSET(ORÇAMENTO!$X$15,ROW(AN511)-ROW(AN$15),0),
ROUND(ROUND(OFFSET($P511,0,AN$13),15-13*ORÇAMENTO!$AF$7)*OFFSET(ORÇAMENTO!$W$15,ROW(AN511)-ROW(AN$15),0),15-13*ORÇAMENTO!$AF$11)),0)</f>
        <v>0</v>
      </c>
      <c r="AO511" s="545">
        <f ca="1">IF(AND($D511="Serviço",AO$12&lt;&gt;0,$H511&gt;0,OR(AUTOEVENTO&lt;&gt;"manual",$M511&lt;&gt;1)),
IF(Import.TipoArredondamento&lt;&gt;"TransfereGOV",
ROUND(OFFSET($P511,0,AO$13),15-13*ORÇAMENTO!$AF$7)/$H511*OFFSET(ORÇAMENTO!$X$15,ROW(AO511)-ROW(AO$15),0),
ROUND(ROUND(OFFSET($P511,0,AO$13),15-13*ORÇAMENTO!$AF$7)*OFFSET(ORÇAMENTO!$W$15,ROW(AO511)-ROW(AO$15),0),15-13*ORÇAMENTO!$AF$11)),0)</f>
        <v>0</v>
      </c>
      <c r="AP511" s="545">
        <f ca="1">IF(AND($D511="Serviço",AP$12&lt;&gt;0,$H511&gt;0,OR(AUTOEVENTO&lt;&gt;"manual",$M511&lt;&gt;1)),
IF(Import.TipoArredondamento&lt;&gt;"TransfereGOV",
ROUND(OFFSET($P511,0,AP$13),15-13*ORÇAMENTO!$AF$7)/$H511*OFFSET(ORÇAMENTO!$X$15,ROW(AP511)-ROW(AP$15),0),
ROUND(ROUND(OFFSET($P511,0,AP$13),15-13*ORÇAMENTO!$AF$7)*OFFSET(ORÇAMENTO!$W$15,ROW(AP511)-ROW(AP$15),0),15-13*ORÇAMENTO!$AF$11)),0)</f>
        <v>0</v>
      </c>
      <c r="AQ511" s="545">
        <f ca="1">IF(AND($D511="Serviço",AQ$12&lt;&gt;0,$H511&gt;0,OR(AUTOEVENTO&lt;&gt;"manual",$M511&lt;&gt;1)),
IF(Import.TipoArredondamento&lt;&gt;"TransfereGOV",
ROUND(OFFSET($P511,0,AQ$13),15-13*ORÇAMENTO!$AF$7)/$H511*OFFSET(ORÇAMENTO!$X$15,ROW(AQ511)-ROW(AQ$15),0),
ROUND(ROUND(OFFSET($P511,0,AQ$13),15-13*ORÇAMENTO!$AF$7)*OFFSET(ORÇAMENTO!$W$15,ROW(AQ511)-ROW(AQ$15),0),15-13*ORÇAMENTO!$AF$11)),0)</f>
        <v>0</v>
      </c>
      <c r="AR511" s="545">
        <f ca="1">IF(AND($D511="Serviço",AR$12&lt;&gt;0,$H511&gt;0,OR(AUTOEVENTO&lt;&gt;"manual",$M511&lt;&gt;1)),
IF(Import.TipoArredondamento&lt;&gt;"TransfereGOV",
ROUND(OFFSET($P511,0,AR$13),15-13*ORÇAMENTO!$AF$7)/$H511*OFFSET(ORÇAMENTO!$X$15,ROW(AR511)-ROW(AR$15),0),
ROUND(ROUND(OFFSET($P511,0,AR$13),15-13*ORÇAMENTO!$AF$7)*OFFSET(ORÇAMENTO!$W$15,ROW(AR511)-ROW(AR$15),0),15-13*ORÇAMENTO!$AF$11)),0)</f>
        <v>0</v>
      </c>
      <c r="AS511" s="546">
        <f ca="1">IF(AND($D511="Serviço",AS$12&lt;&gt;0,$H511&gt;0,OR(AUTOEVENTO&lt;&gt;"manual",$M511&lt;&gt;1)),
IF(Import.TipoArredondamento&lt;&gt;"TransfereGOV",
ROUND(OFFSET($P511,0,AS$13),15-13*ORÇAMENTO!$AF$7)/$H511*OFFSET(ORÇAMENTO!$X$15,ROW(AS511)-ROW(AS$15),0),
ROUND(ROUND(OFFSET($P511,0,AS$13),15-13*ORÇAMENTO!$AF$7)*OFFSET(ORÇAMENTO!$W$15,ROW(AS511)-ROW(AS$15),0),15-13*ORÇAMENTO!$AF$11)),0)</f>
        <v>0</v>
      </c>
      <c r="AT511" s="545">
        <f ca="1">IF(AND($D511="Serviço",AT$12&lt;&gt;0,$H511&gt;0,OR(AUTOEVENTO&lt;&gt;"manual",$M511&lt;&gt;1)),
IF(Import.TipoArredondamento&lt;&gt;"TransfereGOV",
ROUND(OFFSET($P511,0,AT$13),15-13*ORÇAMENTO!$AF$7)/$H511*OFFSET(ORÇAMENTO!$X$15,ROW(AT511)-ROW(AT$15),0),
ROUND(ROUND(OFFSET($P511,0,AT$13),15-13*ORÇAMENTO!$AF$7)*OFFSET(ORÇAMENTO!$W$15,ROW(AT511)-ROW(AT$15),0),15-13*ORÇAMENTO!$AF$11)),0)</f>
        <v>0</v>
      </c>
      <c r="AU511" s="545">
        <f ca="1">IF(AND($D511="Serviço",AU$12&lt;&gt;0,$H511&gt;0,OR(AUTOEVENTO&lt;&gt;"manual",$M511&lt;&gt;1)),
IF(Import.TipoArredondamento&lt;&gt;"TransfereGOV",
ROUND(OFFSET($P511,0,AU$13),15-13*ORÇAMENTO!$AF$7)/$H511*OFFSET(ORÇAMENTO!$X$15,ROW(AU511)-ROW(AU$15),0),
ROUND(ROUND(OFFSET($P511,0,AU$13),15-13*ORÇAMENTO!$AF$7)*OFFSET(ORÇAMENTO!$W$15,ROW(AU511)-ROW(AU$15),0),15-13*ORÇAMENTO!$AF$11)),0)</f>
        <v>0</v>
      </c>
      <c r="AV511" s="545">
        <f ca="1">IF(AND($D511="Serviço",AV$12&lt;&gt;0,$H511&gt;0,OR(AUTOEVENTO&lt;&gt;"manual",$M511&lt;&gt;1)),
IF(Import.TipoArredondamento&lt;&gt;"TransfereGOV",
ROUND(OFFSET($P511,0,AV$13),15-13*ORÇAMENTO!$AF$7)/$H511*OFFSET(ORÇAMENTO!$X$15,ROW(AV511)-ROW(AV$15),0),
ROUND(ROUND(OFFSET($P511,0,AV$13),15-13*ORÇAMENTO!$AF$7)*OFFSET(ORÇAMENTO!$W$15,ROW(AV511)-ROW(AV$15),0),15-13*ORÇAMENTO!$AF$11)),0)</f>
        <v>0</v>
      </c>
      <c r="AW511" s="545">
        <f ca="1">IF(AND($D511="Serviço",AW$12&lt;&gt;0,$H511&gt;0,OR(AUTOEVENTO&lt;&gt;"manual",$M511&lt;&gt;1)),
IF(Import.TipoArredondamento&lt;&gt;"TransfereGOV",
ROUND(OFFSET($P511,0,AW$13),15-13*ORÇAMENTO!$AF$7)/$H511*OFFSET(ORÇAMENTO!$X$15,ROW(AW511)-ROW(AW$15),0),
ROUND(ROUND(OFFSET($P511,0,AW$13),15-13*ORÇAMENTO!$AF$7)*OFFSET(ORÇAMENTO!$W$15,ROW(AW511)-ROW(AW$15),0),15-13*ORÇAMENTO!$AF$11)),0)</f>
        <v>0</v>
      </c>
      <c r="AX511" s="545">
        <f ca="1">IF(AND($D511="Serviço",AX$12&lt;&gt;0,$H511&gt;0,OR(AUTOEVENTO&lt;&gt;"manual",$M511&lt;&gt;1)),
IF(Import.TipoArredondamento&lt;&gt;"TransfereGOV",
ROUND(OFFSET($P511,0,AX$13),15-13*ORÇAMENTO!$AF$7)/$H511*OFFSET(ORÇAMENTO!$X$15,ROW(AX511)-ROW(AX$15),0),
ROUND(ROUND(OFFSET($P511,0,AX$13),15-13*ORÇAMENTO!$AF$7)*OFFSET(ORÇAMENTO!$W$15,ROW(AX511)-ROW(AX$15),0),15-13*ORÇAMENTO!$AF$11)),0)</f>
        <v>0</v>
      </c>
      <c r="AY511" s="545">
        <f ca="1">IF(AND($D511="Serviço",AY$12&lt;&gt;0,$H511&gt;0,OR(AUTOEVENTO&lt;&gt;"manual",$M511&lt;&gt;1)),
IF(Import.TipoArredondamento&lt;&gt;"TransfereGOV",
ROUND(OFFSET($P511,0,AY$13),15-13*ORÇAMENTO!$AF$7)/$H511*OFFSET(ORÇAMENTO!$X$15,ROW(AY511)-ROW(AY$15),0),
ROUND(ROUND(OFFSET($P511,0,AY$13),15-13*ORÇAMENTO!$AF$7)*OFFSET(ORÇAMENTO!$W$15,ROW(AY511)-ROW(AY$15),0),15-13*ORÇAMENTO!$AF$11)),0)</f>
        <v>0</v>
      </c>
      <c r="AZ511" s="545">
        <f ca="1">IF(AND($D511="Serviço",AZ$12&lt;&gt;0,$H511&gt;0,OR(AUTOEVENTO&lt;&gt;"manual",$M511&lt;&gt;1)),
IF(Import.TipoArredondamento&lt;&gt;"TransfereGOV",
ROUND(OFFSET($P511,0,AZ$13),15-13*ORÇAMENTO!$AF$7)/$H511*OFFSET(ORÇAMENTO!$X$15,ROW(AZ511)-ROW(AZ$15),0),
ROUND(ROUND(OFFSET($P511,0,AZ$13),15-13*ORÇAMENTO!$AF$7)*OFFSET(ORÇAMENTO!$W$15,ROW(AZ511)-ROW(AZ$15),0),15-13*ORÇAMENTO!$AF$11)),0)</f>
        <v>0</v>
      </c>
      <c r="BA511" s="546">
        <f ca="1">IF(AND($D511="Serviço",BA$12&lt;&gt;0,$H511&gt;0,OR(AUTOEVENTO&lt;&gt;"manual",$M511&lt;&gt;1)),
IF(Import.TipoArredondamento&lt;&gt;"TransfereGOV",
ROUND(OFFSET($P511,0,BA$13),15-13*ORÇAMENTO!$AF$7)/$H511*OFFSET(ORÇAMENTO!$X$15,ROW(BA511)-ROW(BA$15),0),
ROUND(ROUND(OFFSET($P511,0,BA$13),15-13*ORÇAMENTO!$AF$7)*OFFSET(ORÇAMENTO!$W$15,ROW(BA511)-ROW(BA$15),0),15-13*ORÇAMENTO!$AF$11)),0)</f>
        <v>0</v>
      </c>
      <c r="BC511" s="181">
        <f ca="1">IF($D511&lt;&gt;"Serviço",0,IF(AND(AUTOEVENTO="Manual",$M511=1),0,IF(OFFSET(CRONOPLE!$F$14,$M511,BC$13)="",10^12,OFFSET(CRONOPLE!$F$14,$M511,BC$13))))</f>
        <v>10</v>
      </c>
      <c r="BD511" s="181">
        <f ca="1">IF($D511&lt;&gt;"Serviço",0,IF(AND(AUTOEVENTO="Manual",$M511=1),0,IF(OFFSET(CRONOPLE!$F$14,$M511,BD$13)="",10^12,OFFSET(CRONOPLE!$F$14,$M511,BD$13))))</f>
        <v>1000000000000</v>
      </c>
      <c r="BE511" s="181">
        <f ca="1">IF($D511&lt;&gt;"Serviço",0,IF(AND(AUTOEVENTO="Manual",$M511=1),0,IF(OFFSET(CRONOPLE!$F$14,$M511,BE$13)="",10^12,OFFSET(CRONOPLE!$F$14,$M511,BE$13))))</f>
        <v>1000000000000</v>
      </c>
      <c r="BF511" s="181">
        <f ca="1">IF($D511&lt;&gt;"Serviço",0,IF(AND(AUTOEVENTO="Manual",$M511=1),0,IF(OFFSET(CRONOPLE!$F$14,$M511,BF$13)="",10^12,OFFSET(CRONOPLE!$F$14,$M511,BF$13))))</f>
        <v>1000000000000</v>
      </c>
      <c r="BG511" s="181">
        <f ca="1">IF($D511&lt;&gt;"Serviço",0,IF(AND(AUTOEVENTO="Manual",$M511=1),0,IF(OFFSET(CRONOPLE!$F$14,$M511,BG$13)="",10^12,OFFSET(CRONOPLE!$F$14,$M511,BG$13))))</f>
        <v>1000000000000</v>
      </c>
      <c r="BH511" s="181">
        <f ca="1">IF($D511&lt;&gt;"Serviço",0,IF(AND(AUTOEVENTO="Manual",$M511=1),0,IF(OFFSET(CRONOPLE!$F$14,$M511,BH$13)="",10^12,OFFSET(CRONOPLE!$F$14,$M511,BH$13))))</f>
        <v>1000000000000</v>
      </c>
      <c r="BI511" s="181">
        <f ca="1">IF($D511&lt;&gt;"Serviço",0,IF(AND(AUTOEVENTO="Manual",$M511=1),0,IF(OFFSET(CRONOPLE!$F$14,$M511,BI$13)="",10^12,OFFSET(CRONOPLE!$F$14,$M511,BI$13))))</f>
        <v>1000000000000</v>
      </c>
      <c r="BJ511" s="181">
        <f ca="1">IF($D511&lt;&gt;"Serviço",0,IF(AND(AUTOEVENTO="Manual",$M511=1),0,IF(OFFSET(CRONOPLE!$F$14,$M511,BJ$13)="",10^12,OFFSET(CRONOPLE!$F$14,$M511,BJ$13))))</f>
        <v>1000000000000</v>
      </c>
      <c r="BK511" s="181">
        <f ca="1">IF($D511&lt;&gt;"Serviço",0,IF(AND(AUTOEVENTO="Manual",$M511=1),0,IF(OFFSET(CRONOPLE!$F$14,$M511,BK$13)="",10^12,OFFSET(CRONOPLE!$F$14,$M511,BK$13))))</f>
        <v>1000000000000</v>
      </c>
      <c r="BL511" s="181">
        <f ca="1">IF($D511&lt;&gt;"Serviço",0,IF(AND(AUTOEVENTO="Manual",$M511=1),0,IF(OFFSET(CRONOPLE!$F$14,$M511,BL$13)="",10^12,OFFSET(CRONOPLE!$F$14,$M511,BL$13))))</f>
        <v>1000000000000</v>
      </c>
      <c r="BM511" s="181">
        <f ca="1">IF($D511&lt;&gt;"Serviço",0,IF(AND(AUTOEVENTO="Manual",$M511=1),0,IF(OFFSET(CRONOPLE!$F$14,$M511,BM$13)="",10^12,OFFSET(CRONOPLE!$F$14,$M511,BM$13))))</f>
        <v>1000000000000</v>
      </c>
      <c r="BN511" s="181">
        <f ca="1">IF($D511&lt;&gt;"Serviço",0,IF(AND(AUTOEVENTO="Manual",$M511=1),0,IF(OFFSET(CRONOPLE!$F$14,$M511,BN$13)="",10^12,OFFSET(CRONOPLE!$F$14,$M511,BN$13))))</f>
        <v>1000000000000</v>
      </c>
      <c r="BO511" s="181">
        <f ca="1">IF($D511&lt;&gt;"Serviço",0,IF(AND(AUTOEVENTO="Manual",$M511=1),0,IF(OFFSET(CRONOPLE!$F$14,$M511,BO$13)="",10^12,OFFSET(CRONOPLE!$F$14,$M511,BO$13))))</f>
        <v>1000000000000</v>
      </c>
      <c r="BP511" s="181">
        <f ca="1">IF($D511&lt;&gt;"Serviço",0,IF(AND(AUTOEVENTO="Manual",$M511=1),0,IF(OFFSET(CRONOPLE!$F$14,$M511,BP$13)="",10^12,OFFSET(CRONOPLE!$F$14,$M511,BP$13))))</f>
        <v>1000000000000</v>
      </c>
      <c r="BQ511" s="181">
        <f ca="1">IF($D511&lt;&gt;"Serviço",0,IF(AND(AUTOEVENTO="Manual",$M511=1),0,IF(OFFSET(CRONOPLE!$F$14,$M511,BQ$13)="",10^12,OFFSET(CRONOPLE!$F$14,$M511,BQ$13))))</f>
        <v>1000000000000</v>
      </c>
      <c r="BR511" s="181">
        <f ca="1">IF($D511&lt;&gt;"Serviço",0,IF(AND(AUTOEVENTO="Manual",$M511=1),0,IF(OFFSET(CRONOPLE!$F$14,$M511,BR$13)="",10^12,OFFSET(CRONOPLE!$F$14,$M511,BR$13))))</f>
        <v>1000000000000</v>
      </c>
      <c r="BS511" s="181">
        <f ca="1">IF($D511&lt;&gt;"Serviço",0,IF(AND(AUTOEVENTO="Manual",$M511=1),0,IF(OFFSET(CRONOPLE!$F$14,$M511,BS$13)="",10^12,OFFSET(CRONOPLE!$F$14,$M511,BS$13))))</f>
        <v>1000000000000</v>
      </c>
      <c r="BT511" s="181">
        <f ca="1">IF($D511&lt;&gt;"Serviço",0,IF(AND(AUTOEVENTO="Manual",$M511=1),0,IF(OFFSET(CRONOPLE!$F$14,$M511,BT$13)="",10^12,OFFSET(CRONOPLE!$F$14,$M511,BT$13))))</f>
        <v>1000000000000</v>
      </c>
      <c r="BV511" s="182">
        <f ca="1">IF($D511&lt;&gt;"Serviço",0,IF(OR(AND(AUTOEVENTO="Manual",$M511=1),$M511&gt;(ROW(PLE.lastrow)-ROW(PLE.firstrow))),0,IF(OFFSET(PLE!$G$14,$M511,BV$13)="",10^12,OFFSET(PLE!$G$14,$M511,BV$13))))</f>
        <v>1000000000000</v>
      </c>
      <c r="BW511" s="182">
        <f ca="1">IF($D511&lt;&gt;"Serviço",0,IF(OR(AND(AUTOEVENTO="Manual",$M511=1),$M511&gt;(ROW(PLE.lastrow)-ROW(PLE.firstrow))),0,IF(OFFSET(PLE!$G$14,$M511,BW$13)="",10^12,OFFSET(PLE!$G$14,$M511,BW$13))))</f>
        <v>1000000000000</v>
      </c>
      <c r="BX511" s="182">
        <f ca="1">IF($D511&lt;&gt;"Serviço",0,IF(OR(AND(AUTOEVENTO="Manual",$M511=1),$M511&gt;(ROW(PLE.lastrow)-ROW(PLE.firstrow))),0,IF(OFFSET(PLE!$G$14,$M511,BX$13)="",10^12,OFFSET(PLE!$G$14,$M511,BX$13))))</f>
        <v>1000000000000</v>
      </c>
      <c r="BY511" s="182">
        <f ca="1">IF($D511&lt;&gt;"Serviço",0,IF(OR(AND(AUTOEVENTO="Manual",$M511=1),$M511&gt;(ROW(PLE.lastrow)-ROW(PLE.firstrow))),0,IF(OFFSET(PLE!$G$14,$M511,BY$13)="",10^12,OFFSET(PLE!$G$14,$M511,BY$13))))</f>
        <v>1000000000000</v>
      </c>
      <c r="BZ511" s="182">
        <f ca="1">IF($D511&lt;&gt;"Serviço",0,IF(OR(AND(AUTOEVENTO="Manual",$M511=1),$M511&gt;(ROW(PLE.lastrow)-ROW(PLE.firstrow))),0,IF(OFFSET(PLE!$G$14,$M511,BZ$13)="",10^12,OFFSET(PLE!$G$14,$M511,BZ$13))))</f>
        <v>1000000000000</v>
      </c>
      <c r="CA511" s="182">
        <f ca="1">IF($D511&lt;&gt;"Serviço",0,IF(OR(AND(AUTOEVENTO="Manual",$M511=1),$M511&gt;(ROW(PLE.lastrow)-ROW(PLE.firstrow))),0,IF(OFFSET(PLE!$G$14,$M511,CA$13)="",10^12,OFFSET(PLE!$G$14,$M511,CA$13))))</f>
        <v>1000000000000</v>
      </c>
      <c r="CB511" s="182">
        <f ca="1">IF($D511&lt;&gt;"Serviço",0,IF(OR(AND(AUTOEVENTO="Manual",$M511=1),$M511&gt;(ROW(PLE.lastrow)-ROW(PLE.firstrow))),0,IF(OFFSET(PLE!$G$14,$M511,CB$13)="",10^12,OFFSET(PLE!$G$14,$M511,CB$13))))</f>
        <v>1000000000000</v>
      </c>
      <c r="CC511" s="182">
        <f ca="1">IF($D511&lt;&gt;"Serviço",0,IF(OR(AND(AUTOEVENTO="Manual",$M511=1),$M511&gt;(ROW(PLE.lastrow)-ROW(PLE.firstrow))),0,IF(OFFSET(PLE!$G$14,$M511,CC$13)="",10^12,OFFSET(PLE!$G$14,$M511,CC$13))))</f>
        <v>1000000000000</v>
      </c>
      <c r="CD511" s="182">
        <f ca="1">IF($D511&lt;&gt;"Serviço",0,IF(OR(AND(AUTOEVENTO="Manual",$M511=1),$M511&gt;(ROW(PLE.lastrow)-ROW(PLE.firstrow))),0,IF(OFFSET(PLE!$G$14,$M511,CD$13)="",10^12,OFFSET(PLE!$G$14,$M511,CD$13))))</f>
        <v>1000000000000</v>
      </c>
      <c r="CE511" s="182">
        <f ca="1">IF($D511&lt;&gt;"Serviço",0,IF(OR(AND(AUTOEVENTO="Manual",$M511=1),$M511&gt;(ROW(PLE.lastrow)-ROW(PLE.firstrow))),0,IF(OFFSET(PLE!$G$14,$M511,CE$13)="",10^12,OFFSET(PLE!$G$14,$M511,CE$13))))</f>
        <v>1000000000000</v>
      </c>
      <c r="CF511" s="182">
        <f ca="1">IF($D511&lt;&gt;"Serviço",0,IF(OR(AND(AUTOEVENTO="Manual",$M511=1),$M511&gt;(ROW(PLE.lastrow)-ROW(PLE.firstrow))),0,IF(OFFSET(PLE!$G$14,$M511,CF$13)="",10^12,OFFSET(PLE!$G$14,$M511,CF$13))))</f>
        <v>1000000000000</v>
      </c>
      <c r="CG511" s="182">
        <f ca="1">IF($D511&lt;&gt;"Serviço",0,IF(OR(AND(AUTOEVENTO="Manual",$M511=1),$M511&gt;(ROW(PLE.lastrow)-ROW(PLE.firstrow))),0,IF(OFFSET(PLE!$G$14,$M511,CG$13)="",10^12,OFFSET(PLE!$G$14,$M511,CG$13))))</f>
        <v>1000000000000</v>
      </c>
      <c r="CH511" s="182">
        <f ca="1">IF($D511&lt;&gt;"Serviço",0,IF(OR(AND(AUTOEVENTO="Manual",$M511=1),$M511&gt;(ROW(PLE.lastrow)-ROW(PLE.firstrow))),0,IF(OFFSET(PLE!$G$14,$M511,CH$13)="",10^12,OFFSET(PLE!$G$14,$M511,CH$13))))</f>
        <v>1000000000000</v>
      </c>
      <c r="CI511" s="182">
        <f ca="1">IF($D511&lt;&gt;"Serviço",0,IF(OR(AND(AUTOEVENTO="Manual",$M511=1),$M511&gt;(ROW(PLE.lastrow)-ROW(PLE.firstrow))),0,IF(OFFSET(PLE!$G$14,$M511,CI$13)="",10^12,OFFSET(PLE!$G$14,$M511,CI$13))))</f>
        <v>1000000000000</v>
      </c>
      <c r="CJ511" s="182">
        <f ca="1">IF($D511&lt;&gt;"Serviço",0,IF(OR(AND(AUTOEVENTO="Manual",$M511=1),$M511&gt;(ROW(PLE.lastrow)-ROW(PLE.firstrow))),0,IF(OFFSET(PLE!$G$14,$M511,CJ$13)="",10^12,OFFSET(PLE!$G$14,$M511,CJ$13))))</f>
        <v>1000000000000</v>
      </c>
      <c r="CK511" s="182">
        <f ca="1">IF($D511&lt;&gt;"Serviço",0,IF(OR(AND(AUTOEVENTO="Manual",$M511=1),$M511&gt;(ROW(PLE.lastrow)-ROW(PLE.firstrow))),0,IF(OFFSET(PLE!$G$14,$M511,CK$13)="",10^12,OFFSET(PLE!$G$14,$M511,CK$13))))</f>
        <v>1000000000000</v>
      </c>
      <c r="CL511" s="182">
        <f ca="1">IF($D511&lt;&gt;"Serviço",0,IF(OR(AND(AUTOEVENTO="Manual",$M511=1),$M511&gt;(ROW(PLE.lastrow)-ROW(PLE.firstrow))),0,IF(OFFSET(PLE!$G$14,$M511,CL$13)="",10^12,OFFSET(PLE!$G$14,$M511,CL$13))))</f>
        <v>1000000000000</v>
      </c>
      <c r="CM511" s="182">
        <f ca="1">IF($D511&lt;&gt;"Serviço",0,IF(OR(AND(AUTOEVENTO="Manual",$M511=1),$M511&gt;(ROW(PLE.lastrow)-ROW(PLE.firstrow))),0,IF(OFFSET(PLE!$G$14,$M511,CM$13)="",10^12,OFFSET(PLE!$G$14,$M511,CM$13))))</f>
        <v>1000000000000</v>
      </c>
    </row>
    <row r="512" spans="1:91" ht="38.25" x14ac:dyDescent="0.2">
      <c r="A512" s="7" t="str">
        <f t="shared" ca="1" si="16"/>
        <v>493</v>
      </c>
      <c r="B512" s="7" t="str">
        <f ca="1">OFFSET(ORÇAMENTO!C$15,ROW(B512)-ROW(B$15),0)</f>
        <v>S</v>
      </c>
      <c r="C512" s="7" t="str">
        <f ca="1">OFFSET(ORÇAMENTO!L$15,ROW(C512)-ROW(C$15),0)</f>
        <v/>
      </c>
      <c r="D512" s="118" t="str">
        <f ca="1">OFFSET(ORÇAMENTO!N$15,ROW(D512)-ROW(D$15),0)</f>
        <v>Serviço</v>
      </c>
      <c r="E512" s="119" t="str">
        <f ca="1">OFFSET(ORÇAMENTO!O$15,ROW(E512)-ROW(E$15),0)</f>
        <v>-</v>
      </c>
      <c r="F512" s="172" t="str">
        <f ca="1">OFFSET(ORÇAMENTO!R$15,ROW(F512)-ROW(F$15),0)</f>
        <v>(abra o arquivo 'Referência 06-2024.xlsm)</v>
      </c>
      <c r="G512" s="173" t="str">
        <f ca="1">IF($D512&lt;&gt;"Serviço","",OFFSET(ORÇAMENTO!S$15,ROW(G512)-ROW(G$15),0))</f>
        <v>-</v>
      </c>
      <c r="H512" s="124">
        <f ca="1">IF($D512&lt;&gt;"Serviço",0,IF(ACOMPANHAMENTO="BM",ROUND(OFFSET(ORÇAMENTO!AJ$15,ROW(H512)-ROW(H$15),0),15-13*ORÇAMENTO!$AF$7),SUMPRODUCT(($Q$12:$AI$12&lt;&gt;"")*ROUND($Q512:$AI512,15-13*ORÇAMENTO!$AF$7))))</f>
        <v>288.5</v>
      </c>
      <c r="I512" s="561" t="s">
        <v>1107</v>
      </c>
      <c r="K512" s="174"/>
      <c r="L512" s="175" t="s">
        <v>255</v>
      </c>
      <c r="M512" s="176">
        <f ca="1">IF($D512&lt;&gt;"Serviço","",IF(AUTOEVENTO="manual",$A512,IF(ISERROR(MATCH($A512,$A$15:OFFSET($A512,-1,0),0)),MAX($M$15:OFFSET(M512,-1,0))+1,INDEX($M$15:OFFSET(M512,-1,0),MATCH($A512,$A$15:OFFSET($A512,-1,0),0)))))</f>
        <v>54</v>
      </c>
      <c r="N512" s="177" t="str">
        <f ca="1">IF($D512&lt;&gt;"Serviço","",IF(AUTOEVENTO="Manual",IF($A512=0,"&lt;-- defina o número do agrupador",OFFSET(EVENTOS!$D$14,$A512,0)),OFFSET($F$15,$A512,0)))</f>
        <v>INSTALAÇÃO ELÉTRICA 110V - CABOS</v>
      </c>
      <c r="O512" s="178"/>
      <c r="Q512" s="178">
        <v>288.5</v>
      </c>
      <c r="R512" s="179"/>
      <c r="S512" s="179"/>
      <c r="T512" s="179"/>
      <c r="U512" s="179"/>
      <c r="V512" s="179"/>
      <c r="W512" s="179"/>
      <c r="X512" s="179"/>
      <c r="Y512" s="179"/>
      <c r="Z512" s="180"/>
      <c r="AA512" s="179"/>
      <c r="AB512" s="179"/>
      <c r="AC512" s="179"/>
      <c r="AD512" s="179"/>
      <c r="AE512" s="179"/>
      <c r="AF512" s="179"/>
      <c r="AG512" s="179"/>
      <c r="AH512" s="180"/>
      <c r="AJ512" s="544">
        <f ca="1">IF(AND($D512="Serviço",AJ$12&lt;&gt;0,$H512&gt;0,OR(AUTOEVENTO&lt;&gt;"manual",$M512&lt;&gt;1)),
IF(Import.TipoArredondamento&lt;&gt;"TransfereGOV",
ROUND(OFFSET($P512,0,AJ$13),15-13*ORÇAMENTO!$AF$7)/$H512*OFFSET(ORÇAMENTO!$X$15,ROW(AJ512)-ROW(AJ$15),0),
ROUND(ROUND(OFFSET($P512,0,AJ$13),15-13*ORÇAMENTO!$AF$7)*OFFSET(ORÇAMENTO!$W$15,ROW(AJ512)-ROW(AJ$15),0),15-13*ORÇAMENTO!$AF$11)),0)</f>
        <v>0</v>
      </c>
      <c r="AK512" s="545">
        <f ca="1">IF(AND($D512="Serviço",AK$12&lt;&gt;0,$H512&gt;0,OR(AUTOEVENTO&lt;&gt;"manual",$M512&lt;&gt;1)),
IF(Import.TipoArredondamento&lt;&gt;"TransfereGOV",
ROUND(OFFSET($P512,0,AK$13),15-13*ORÇAMENTO!$AF$7)/$H512*OFFSET(ORÇAMENTO!$X$15,ROW(AK512)-ROW(AK$15),0),
ROUND(ROUND(OFFSET($P512,0,AK$13),15-13*ORÇAMENTO!$AF$7)*OFFSET(ORÇAMENTO!$W$15,ROW(AK512)-ROW(AK$15),0),15-13*ORÇAMENTO!$AF$11)),0)</f>
        <v>0</v>
      </c>
      <c r="AL512" s="545">
        <f ca="1">IF(AND($D512="Serviço",AL$12&lt;&gt;0,$H512&gt;0,OR(AUTOEVENTO&lt;&gt;"manual",$M512&lt;&gt;1)),
IF(Import.TipoArredondamento&lt;&gt;"TransfereGOV",
ROUND(OFFSET($P512,0,AL$13),15-13*ORÇAMENTO!$AF$7)/$H512*OFFSET(ORÇAMENTO!$X$15,ROW(AL512)-ROW(AL$15),0),
ROUND(ROUND(OFFSET($P512,0,AL$13),15-13*ORÇAMENTO!$AF$7)*OFFSET(ORÇAMENTO!$W$15,ROW(AL512)-ROW(AL$15),0),15-13*ORÇAMENTO!$AF$11)),0)</f>
        <v>0</v>
      </c>
      <c r="AM512" s="545">
        <f ca="1">IF(AND($D512="Serviço",AM$12&lt;&gt;0,$H512&gt;0,OR(AUTOEVENTO&lt;&gt;"manual",$M512&lt;&gt;1)),
IF(Import.TipoArredondamento&lt;&gt;"TransfereGOV",
ROUND(OFFSET($P512,0,AM$13),15-13*ORÇAMENTO!$AF$7)/$H512*OFFSET(ORÇAMENTO!$X$15,ROW(AM512)-ROW(AM$15),0),
ROUND(ROUND(OFFSET($P512,0,AM$13),15-13*ORÇAMENTO!$AF$7)*OFFSET(ORÇAMENTO!$W$15,ROW(AM512)-ROW(AM$15),0),15-13*ORÇAMENTO!$AF$11)),0)</f>
        <v>0</v>
      </c>
      <c r="AN512" s="545">
        <f ca="1">IF(AND($D512="Serviço",AN$12&lt;&gt;0,$H512&gt;0,OR(AUTOEVENTO&lt;&gt;"manual",$M512&lt;&gt;1)),
IF(Import.TipoArredondamento&lt;&gt;"TransfereGOV",
ROUND(OFFSET($P512,0,AN$13),15-13*ORÇAMENTO!$AF$7)/$H512*OFFSET(ORÇAMENTO!$X$15,ROW(AN512)-ROW(AN$15),0),
ROUND(ROUND(OFFSET($P512,0,AN$13),15-13*ORÇAMENTO!$AF$7)*OFFSET(ORÇAMENTO!$W$15,ROW(AN512)-ROW(AN$15),0),15-13*ORÇAMENTO!$AF$11)),0)</f>
        <v>0</v>
      </c>
      <c r="AO512" s="545">
        <f ca="1">IF(AND($D512="Serviço",AO$12&lt;&gt;0,$H512&gt;0,OR(AUTOEVENTO&lt;&gt;"manual",$M512&lt;&gt;1)),
IF(Import.TipoArredondamento&lt;&gt;"TransfereGOV",
ROUND(OFFSET($P512,0,AO$13),15-13*ORÇAMENTO!$AF$7)/$H512*OFFSET(ORÇAMENTO!$X$15,ROW(AO512)-ROW(AO$15),0),
ROUND(ROUND(OFFSET($P512,0,AO$13),15-13*ORÇAMENTO!$AF$7)*OFFSET(ORÇAMENTO!$W$15,ROW(AO512)-ROW(AO$15),0),15-13*ORÇAMENTO!$AF$11)),0)</f>
        <v>0</v>
      </c>
      <c r="AP512" s="545">
        <f ca="1">IF(AND($D512="Serviço",AP$12&lt;&gt;0,$H512&gt;0,OR(AUTOEVENTO&lt;&gt;"manual",$M512&lt;&gt;1)),
IF(Import.TipoArredondamento&lt;&gt;"TransfereGOV",
ROUND(OFFSET($P512,0,AP$13),15-13*ORÇAMENTO!$AF$7)/$H512*OFFSET(ORÇAMENTO!$X$15,ROW(AP512)-ROW(AP$15),0),
ROUND(ROUND(OFFSET($P512,0,AP$13),15-13*ORÇAMENTO!$AF$7)*OFFSET(ORÇAMENTO!$W$15,ROW(AP512)-ROW(AP$15),0),15-13*ORÇAMENTO!$AF$11)),0)</f>
        <v>0</v>
      </c>
      <c r="AQ512" s="545">
        <f ca="1">IF(AND($D512="Serviço",AQ$12&lt;&gt;0,$H512&gt;0,OR(AUTOEVENTO&lt;&gt;"manual",$M512&lt;&gt;1)),
IF(Import.TipoArredondamento&lt;&gt;"TransfereGOV",
ROUND(OFFSET($P512,0,AQ$13),15-13*ORÇAMENTO!$AF$7)/$H512*OFFSET(ORÇAMENTO!$X$15,ROW(AQ512)-ROW(AQ$15),0),
ROUND(ROUND(OFFSET($P512,0,AQ$13),15-13*ORÇAMENTO!$AF$7)*OFFSET(ORÇAMENTO!$W$15,ROW(AQ512)-ROW(AQ$15),0),15-13*ORÇAMENTO!$AF$11)),0)</f>
        <v>0</v>
      </c>
      <c r="AR512" s="545">
        <f ca="1">IF(AND($D512="Serviço",AR$12&lt;&gt;0,$H512&gt;0,OR(AUTOEVENTO&lt;&gt;"manual",$M512&lt;&gt;1)),
IF(Import.TipoArredondamento&lt;&gt;"TransfereGOV",
ROUND(OFFSET($P512,0,AR$13),15-13*ORÇAMENTO!$AF$7)/$H512*OFFSET(ORÇAMENTO!$X$15,ROW(AR512)-ROW(AR$15),0),
ROUND(ROUND(OFFSET($P512,0,AR$13),15-13*ORÇAMENTO!$AF$7)*OFFSET(ORÇAMENTO!$W$15,ROW(AR512)-ROW(AR$15),0),15-13*ORÇAMENTO!$AF$11)),0)</f>
        <v>0</v>
      </c>
      <c r="AS512" s="546">
        <f ca="1">IF(AND($D512="Serviço",AS$12&lt;&gt;0,$H512&gt;0,OR(AUTOEVENTO&lt;&gt;"manual",$M512&lt;&gt;1)),
IF(Import.TipoArredondamento&lt;&gt;"TransfereGOV",
ROUND(OFFSET($P512,0,AS$13),15-13*ORÇAMENTO!$AF$7)/$H512*OFFSET(ORÇAMENTO!$X$15,ROW(AS512)-ROW(AS$15),0),
ROUND(ROUND(OFFSET($P512,0,AS$13),15-13*ORÇAMENTO!$AF$7)*OFFSET(ORÇAMENTO!$W$15,ROW(AS512)-ROW(AS$15),0),15-13*ORÇAMENTO!$AF$11)),0)</f>
        <v>0</v>
      </c>
      <c r="AT512" s="545">
        <f ca="1">IF(AND($D512="Serviço",AT$12&lt;&gt;0,$H512&gt;0,OR(AUTOEVENTO&lt;&gt;"manual",$M512&lt;&gt;1)),
IF(Import.TipoArredondamento&lt;&gt;"TransfereGOV",
ROUND(OFFSET($P512,0,AT$13),15-13*ORÇAMENTO!$AF$7)/$H512*OFFSET(ORÇAMENTO!$X$15,ROW(AT512)-ROW(AT$15),0),
ROUND(ROUND(OFFSET($P512,0,AT$13),15-13*ORÇAMENTO!$AF$7)*OFFSET(ORÇAMENTO!$W$15,ROW(AT512)-ROW(AT$15),0),15-13*ORÇAMENTO!$AF$11)),0)</f>
        <v>0</v>
      </c>
      <c r="AU512" s="545">
        <f ca="1">IF(AND($D512="Serviço",AU$12&lt;&gt;0,$H512&gt;0,OR(AUTOEVENTO&lt;&gt;"manual",$M512&lt;&gt;1)),
IF(Import.TipoArredondamento&lt;&gt;"TransfereGOV",
ROUND(OFFSET($P512,0,AU$13),15-13*ORÇAMENTO!$AF$7)/$H512*OFFSET(ORÇAMENTO!$X$15,ROW(AU512)-ROW(AU$15),0),
ROUND(ROUND(OFFSET($P512,0,AU$13),15-13*ORÇAMENTO!$AF$7)*OFFSET(ORÇAMENTO!$W$15,ROW(AU512)-ROW(AU$15),0),15-13*ORÇAMENTO!$AF$11)),0)</f>
        <v>0</v>
      </c>
      <c r="AV512" s="545">
        <f ca="1">IF(AND($D512="Serviço",AV$12&lt;&gt;0,$H512&gt;0,OR(AUTOEVENTO&lt;&gt;"manual",$M512&lt;&gt;1)),
IF(Import.TipoArredondamento&lt;&gt;"TransfereGOV",
ROUND(OFFSET($P512,0,AV$13),15-13*ORÇAMENTO!$AF$7)/$H512*OFFSET(ORÇAMENTO!$X$15,ROW(AV512)-ROW(AV$15),0),
ROUND(ROUND(OFFSET($P512,0,AV$13),15-13*ORÇAMENTO!$AF$7)*OFFSET(ORÇAMENTO!$W$15,ROW(AV512)-ROW(AV$15),0),15-13*ORÇAMENTO!$AF$11)),0)</f>
        <v>0</v>
      </c>
      <c r="AW512" s="545">
        <f ca="1">IF(AND($D512="Serviço",AW$12&lt;&gt;0,$H512&gt;0,OR(AUTOEVENTO&lt;&gt;"manual",$M512&lt;&gt;1)),
IF(Import.TipoArredondamento&lt;&gt;"TransfereGOV",
ROUND(OFFSET($P512,0,AW$13),15-13*ORÇAMENTO!$AF$7)/$H512*OFFSET(ORÇAMENTO!$X$15,ROW(AW512)-ROW(AW$15),0),
ROUND(ROUND(OFFSET($P512,0,AW$13),15-13*ORÇAMENTO!$AF$7)*OFFSET(ORÇAMENTO!$W$15,ROW(AW512)-ROW(AW$15),0),15-13*ORÇAMENTO!$AF$11)),0)</f>
        <v>0</v>
      </c>
      <c r="AX512" s="545">
        <f ca="1">IF(AND($D512="Serviço",AX$12&lt;&gt;0,$H512&gt;0,OR(AUTOEVENTO&lt;&gt;"manual",$M512&lt;&gt;1)),
IF(Import.TipoArredondamento&lt;&gt;"TransfereGOV",
ROUND(OFFSET($P512,0,AX$13),15-13*ORÇAMENTO!$AF$7)/$H512*OFFSET(ORÇAMENTO!$X$15,ROW(AX512)-ROW(AX$15),0),
ROUND(ROUND(OFFSET($P512,0,AX$13),15-13*ORÇAMENTO!$AF$7)*OFFSET(ORÇAMENTO!$W$15,ROW(AX512)-ROW(AX$15),0),15-13*ORÇAMENTO!$AF$11)),0)</f>
        <v>0</v>
      </c>
      <c r="AY512" s="545">
        <f ca="1">IF(AND($D512="Serviço",AY$12&lt;&gt;0,$H512&gt;0,OR(AUTOEVENTO&lt;&gt;"manual",$M512&lt;&gt;1)),
IF(Import.TipoArredondamento&lt;&gt;"TransfereGOV",
ROUND(OFFSET($P512,0,AY$13),15-13*ORÇAMENTO!$AF$7)/$H512*OFFSET(ORÇAMENTO!$X$15,ROW(AY512)-ROW(AY$15),0),
ROUND(ROUND(OFFSET($P512,0,AY$13),15-13*ORÇAMENTO!$AF$7)*OFFSET(ORÇAMENTO!$W$15,ROW(AY512)-ROW(AY$15),0),15-13*ORÇAMENTO!$AF$11)),0)</f>
        <v>0</v>
      </c>
      <c r="AZ512" s="545">
        <f ca="1">IF(AND($D512="Serviço",AZ$12&lt;&gt;0,$H512&gt;0,OR(AUTOEVENTO&lt;&gt;"manual",$M512&lt;&gt;1)),
IF(Import.TipoArredondamento&lt;&gt;"TransfereGOV",
ROUND(OFFSET($P512,0,AZ$13),15-13*ORÇAMENTO!$AF$7)/$H512*OFFSET(ORÇAMENTO!$X$15,ROW(AZ512)-ROW(AZ$15),0),
ROUND(ROUND(OFFSET($P512,0,AZ$13),15-13*ORÇAMENTO!$AF$7)*OFFSET(ORÇAMENTO!$W$15,ROW(AZ512)-ROW(AZ$15),0),15-13*ORÇAMENTO!$AF$11)),0)</f>
        <v>0</v>
      </c>
      <c r="BA512" s="546">
        <f ca="1">IF(AND($D512="Serviço",BA$12&lt;&gt;0,$H512&gt;0,OR(AUTOEVENTO&lt;&gt;"manual",$M512&lt;&gt;1)),
IF(Import.TipoArredondamento&lt;&gt;"TransfereGOV",
ROUND(OFFSET($P512,0,BA$13),15-13*ORÇAMENTO!$AF$7)/$H512*OFFSET(ORÇAMENTO!$X$15,ROW(BA512)-ROW(BA$15),0),
ROUND(ROUND(OFFSET($P512,0,BA$13),15-13*ORÇAMENTO!$AF$7)*OFFSET(ORÇAMENTO!$W$15,ROW(BA512)-ROW(BA$15),0),15-13*ORÇAMENTO!$AF$11)),0)</f>
        <v>0</v>
      </c>
      <c r="BC512" s="181">
        <f ca="1">IF($D512&lt;&gt;"Serviço",0,IF(AND(AUTOEVENTO="Manual",$M512=1),0,IF(OFFSET(CRONOPLE!$F$14,$M512,BC$13)="",10^12,OFFSET(CRONOPLE!$F$14,$M512,BC$13))))</f>
        <v>10</v>
      </c>
      <c r="BD512" s="181">
        <f ca="1">IF($D512&lt;&gt;"Serviço",0,IF(AND(AUTOEVENTO="Manual",$M512=1),0,IF(OFFSET(CRONOPLE!$F$14,$M512,BD$13)="",10^12,OFFSET(CRONOPLE!$F$14,$M512,BD$13))))</f>
        <v>1000000000000</v>
      </c>
      <c r="BE512" s="181">
        <f ca="1">IF($D512&lt;&gt;"Serviço",0,IF(AND(AUTOEVENTO="Manual",$M512=1),0,IF(OFFSET(CRONOPLE!$F$14,$M512,BE$13)="",10^12,OFFSET(CRONOPLE!$F$14,$M512,BE$13))))</f>
        <v>1000000000000</v>
      </c>
      <c r="BF512" s="181">
        <f ca="1">IF($D512&lt;&gt;"Serviço",0,IF(AND(AUTOEVENTO="Manual",$M512=1),0,IF(OFFSET(CRONOPLE!$F$14,$M512,BF$13)="",10^12,OFFSET(CRONOPLE!$F$14,$M512,BF$13))))</f>
        <v>1000000000000</v>
      </c>
      <c r="BG512" s="181">
        <f ca="1">IF($D512&lt;&gt;"Serviço",0,IF(AND(AUTOEVENTO="Manual",$M512=1),0,IF(OFFSET(CRONOPLE!$F$14,$M512,BG$13)="",10^12,OFFSET(CRONOPLE!$F$14,$M512,BG$13))))</f>
        <v>1000000000000</v>
      </c>
      <c r="BH512" s="181">
        <f ca="1">IF($D512&lt;&gt;"Serviço",0,IF(AND(AUTOEVENTO="Manual",$M512=1),0,IF(OFFSET(CRONOPLE!$F$14,$M512,BH$13)="",10^12,OFFSET(CRONOPLE!$F$14,$M512,BH$13))))</f>
        <v>1000000000000</v>
      </c>
      <c r="BI512" s="181">
        <f ca="1">IF($D512&lt;&gt;"Serviço",0,IF(AND(AUTOEVENTO="Manual",$M512=1),0,IF(OFFSET(CRONOPLE!$F$14,$M512,BI$13)="",10^12,OFFSET(CRONOPLE!$F$14,$M512,BI$13))))</f>
        <v>1000000000000</v>
      </c>
      <c r="BJ512" s="181">
        <f ca="1">IF($D512&lt;&gt;"Serviço",0,IF(AND(AUTOEVENTO="Manual",$M512=1),0,IF(OFFSET(CRONOPLE!$F$14,$M512,BJ$13)="",10^12,OFFSET(CRONOPLE!$F$14,$M512,BJ$13))))</f>
        <v>1000000000000</v>
      </c>
      <c r="BK512" s="181">
        <f ca="1">IF($D512&lt;&gt;"Serviço",0,IF(AND(AUTOEVENTO="Manual",$M512=1),0,IF(OFFSET(CRONOPLE!$F$14,$M512,BK$13)="",10^12,OFFSET(CRONOPLE!$F$14,$M512,BK$13))))</f>
        <v>1000000000000</v>
      </c>
      <c r="BL512" s="181">
        <f ca="1">IF($D512&lt;&gt;"Serviço",0,IF(AND(AUTOEVENTO="Manual",$M512=1),0,IF(OFFSET(CRONOPLE!$F$14,$M512,BL$13)="",10^12,OFFSET(CRONOPLE!$F$14,$M512,BL$13))))</f>
        <v>1000000000000</v>
      </c>
      <c r="BM512" s="181">
        <f ca="1">IF($D512&lt;&gt;"Serviço",0,IF(AND(AUTOEVENTO="Manual",$M512=1),0,IF(OFFSET(CRONOPLE!$F$14,$M512,BM$13)="",10^12,OFFSET(CRONOPLE!$F$14,$M512,BM$13))))</f>
        <v>1000000000000</v>
      </c>
      <c r="BN512" s="181">
        <f ca="1">IF($D512&lt;&gt;"Serviço",0,IF(AND(AUTOEVENTO="Manual",$M512=1),0,IF(OFFSET(CRONOPLE!$F$14,$M512,BN$13)="",10^12,OFFSET(CRONOPLE!$F$14,$M512,BN$13))))</f>
        <v>1000000000000</v>
      </c>
      <c r="BO512" s="181">
        <f ca="1">IF($D512&lt;&gt;"Serviço",0,IF(AND(AUTOEVENTO="Manual",$M512=1),0,IF(OFFSET(CRONOPLE!$F$14,$M512,BO$13)="",10^12,OFFSET(CRONOPLE!$F$14,$M512,BO$13))))</f>
        <v>1000000000000</v>
      </c>
      <c r="BP512" s="181">
        <f ca="1">IF($D512&lt;&gt;"Serviço",0,IF(AND(AUTOEVENTO="Manual",$M512=1),0,IF(OFFSET(CRONOPLE!$F$14,$M512,BP$13)="",10^12,OFFSET(CRONOPLE!$F$14,$M512,BP$13))))</f>
        <v>1000000000000</v>
      </c>
      <c r="BQ512" s="181">
        <f ca="1">IF($D512&lt;&gt;"Serviço",0,IF(AND(AUTOEVENTO="Manual",$M512=1),0,IF(OFFSET(CRONOPLE!$F$14,$M512,BQ$13)="",10^12,OFFSET(CRONOPLE!$F$14,$M512,BQ$13))))</f>
        <v>1000000000000</v>
      </c>
      <c r="BR512" s="181">
        <f ca="1">IF($D512&lt;&gt;"Serviço",0,IF(AND(AUTOEVENTO="Manual",$M512=1),0,IF(OFFSET(CRONOPLE!$F$14,$M512,BR$13)="",10^12,OFFSET(CRONOPLE!$F$14,$M512,BR$13))))</f>
        <v>1000000000000</v>
      </c>
      <c r="BS512" s="181">
        <f ca="1">IF($D512&lt;&gt;"Serviço",0,IF(AND(AUTOEVENTO="Manual",$M512=1),0,IF(OFFSET(CRONOPLE!$F$14,$M512,BS$13)="",10^12,OFFSET(CRONOPLE!$F$14,$M512,BS$13))))</f>
        <v>1000000000000</v>
      </c>
      <c r="BT512" s="181">
        <f ca="1">IF($D512&lt;&gt;"Serviço",0,IF(AND(AUTOEVENTO="Manual",$M512=1),0,IF(OFFSET(CRONOPLE!$F$14,$M512,BT$13)="",10^12,OFFSET(CRONOPLE!$F$14,$M512,BT$13))))</f>
        <v>1000000000000</v>
      </c>
      <c r="BV512" s="182">
        <f ca="1">IF($D512&lt;&gt;"Serviço",0,IF(OR(AND(AUTOEVENTO="Manual",$M512=1),$M512&gt;(ROW(PLE.lastrow)-ROW(PLE.firstrow))),0,IF(OFFSET(PLE!$G$14,$M512,BV$13)="",10^12,OFFSET(PLE!$G$14,$M512,BV$13))))</f>
        <v>1000000000000</v>
      </c>
      <c r="BW512" s="182">
        <f ca="1">IF($D512&lt;&gt;"Serviço",0,IF(OR(AND(AUTOEVENTO="Manual",$M512=1),$M512&gt;(ROW(PLE.lastrow)-ROW(PLE.firstrow))),0,IF(OFFSET(PLE!$G$14,$M512,BW$13)="",10^12,OFFSET(PLE!$G$14,$M512,BW$13))))</f>
        <v>1000000000000</v>
      </c>
      <c r="BX512" s="182">
        <f ca="1">IF($D512&lt;&gt;"Serviço",0,IF(OR(AND(AUTOEVENTO="Manual",$M512=1),$M512&gt;(ROW(PLE.lastrow)-ROW(PLE.firstrow))),0,IF(OFFSET(PLE!$G$14,$M512,BX$13)="",10^12,OFFSET(PLE!$G$14,$M512,BX$13))))</f>
        <v>1000000000000</v>
      </c>
      <c r="BY512" s="182">
        <f ca="1">IF($D512&lt;&gt;"Serviço",0,IF(OR(AND(AUTOEVENTO="Manual",$M512=1),$M512&gt;(ROW(PLE.lastrow)-ROW(PLE.firstrow))),0,IF(OFFSET(PLE!$G$14,$M512,BY$13)="",10^12,OFFSET(PLE!$G$14,$M512,BY$13))))</f>
        <v>1000000000000</v>
      </c>
      <c r="BZ512" s="182">
        <f ca="1">IF($D512&lt;&gt;"Serviço",0,IF(OR(AND(AUTOEVENTO="Manual",$M512=1),$M512&gt;(ROW(PLE.lastrow)-ROW(PLE.firstrow))),0,IF(OFFSET(PLE!$G$14,$M512,BZ$13)="",10^12,OFFSET(PLE!$G$14,$M512,BZ$13))))</f>
        <v>1000000000000</v>
      </c>
      <c r="CA512" s="182">
        <f ca="1">IF($D512&lt;&gt;"Serviço",0,IF(OR(AND(AUTOEVENTO="Manual",$M512=1),$M512&gt;(ROW(PLE.lastrow)-ROW(PLE.firstrow))),0,IF(OFFSET(PLE!$G$14,$M512,CA$13)="",10^12,OFFSET(PLE!$G$14,$M512,CA$13))))</f>
        <v>1000000000000</v>
      </c>
      <c r="CB512" s="182">
        <f ca="1">IF($D512&lt;&gt;"Serviço",0,IF(OR(AND(AUTOEVENTO="Manual",$M512=1),$M512&gt;(ROW(PLE.lastrow)-ROW(PLE.firstrow))),0,IF(OFFSET(PLE!$G$14,$M512,CB$13)="",10^12,OFFSET(PLE!$G$14,$M512,CB$13))))</f>
        <v>1000000000000</v>
      </c>
      <c r="CC512" s="182">
        <f ca="1">IF($D512&lt;&gt;"Serviço",0,IF(OR(AND(AUTOEVENTO="Manual",$M512=1),$M512&gt;(ROW(PLE.lastrow)-ROW(PLE.firstrow))),0,IF(OFFSET(PLE!$G$14,$M512,CC$13)="",10^12,OFFSET(PLE!$G$14,$M512,CC$13))))</f>
        <v>1000000000000</v>
      </c>
      <c r="CD512" s="182">
        <f ca="1">IF($D512&lt;&gt;"Serviço",0,IF(OR(AND(AUTOEVENTO="Manual",$M512=1),$M512&gt;(ROW(PLE.lastrow)-ROW(PLE.firstrow))),0,IF(OFFSET(PLE!$G$14,$M512,CD$13)="",10^12,OFFSET(PLE!$G$14,$M512,CD$13))))</f>
        <v>1000000000000</v>
      </c>
      <c r="CE512" s="182">
        <f ca="1">IF($D512&lt;&gt;"Serviço",0,IF(OR(AND(AUTOEVENTO="Manual",$M512=1),$M512&gt;(ROW(PLE.lastrow)-ROW(PLE.firstrow))),0,IF(OFFSET(PLE!$G$14,$M512,CE$13)="",10^12,OFFSET(PLE!$G$14,$M512,CE$13))))</f>
        <v>1000000000000</v>
      </c>
      <c r="CF512" s="182">
        <f ca="1">IF($D512&lt;&gt;"Serviço",0,IF(OR(AND(AUTOEVENTO="Manual",$M512=1),$M512&gt;(ROW(PLE.lastrow)-ROW(PLE.firstrow))),0,IF(OFFSET(PLE!$G$14,$M512,CF$13)="",10^12,OFFSET(PLE!$G$14,$M512,CF$13))))</f>
        <v>1000000000000</v>
      </c>
      <c r="CG512" s="182">
        <f ca="1">IF($D512&lt;&gt;"Serviço",0,IF(OR(AND(AUTOEVENTO="Manual",$M512=1),$M512&gt;(ROW(PLE.lastrow)-ROW(PLE.firstrow))),0,IF(OFFSET(PLE!$G$14,$M512,CG$13)="",10^12,OFFSET(PLE!$G$14,$M512,CG$13))))</f>
        <v>1000000000000</v>
      </c>
      <c r="CH512" s="182">
        <f ca="1">IF($D512&lt;&gt;"Serviço",0,IF(OR(AND(AUTOEVENTO="Manual",$M512=1),$M512&gt;(ROW(PLE.lastrow)-ROW(PLE.firstrow))),0,IF(OFFSET(PLE!$G$14,$M512,CH$13)="",10^12,OFFSET(PLE!$G$14,$M512,CH$13))))</f>
        <v>1000000000000</v>
      </c>
      <c r="CI512" s="182">
        <f ca="1">IF($D512&lt;&gt;"Serviço",0,IF(OR(AND(AUTOEVENTO="Manual",$M512=1),$M512&gt;(ROW(PLE.lastrow)-ROW(PLE.firstrow))),0,IF(OFFSET(PLE!$G$14,$M512,CI$13)="",10^12,OFFSET(PLE!$G$14,$M512,CI$13))))</f>
        <v>1000000000000</v>
      </c>
      <c r="CJ512" s="182">
        <f ca="1">IF($D512&lt;&gt;"Serviço",0,IF(OR(AND(AUTOEVENTO="Manual",$M512=1),$M512&gt;(ROW(PLE.lastrow)-ROW(PLE.firstrow))),0,IF(OFFSET(PLE!$G$14,$M512,CJ$13)="",10^12,OFFSET(PLE!$G$14,$M512,CJ$13))))</f>
        <v>1000000000000</v>
      </c>
      <c r="CK512" s="182">
        <f ca="1">IF($D512&lt;&gt;"Serviço",0,IF(OR(AND(AUTOEVENTO="Manual",$M512=1),$M512&gt;(ROW(PLE.lastrow)-ROW(PLE.firstrow))),0,IF(OFFSET(PLE!$G$14,$M512,CK$13)="",10^12,OFFSET(PLE!$G$14,$M512,CK$13))))</f>
        <v>1000000000000</v>
      </c>
      <c r="CL512" s="182">
        <f ca="1">IF($D512&lt;&gt;"Serviço",0,IF(OR(AND(AUTOEVENTO="Manual",$M512=1),$M512&gt;(ROW(PLE.lastrow)-ROW(PLE.firstrow))),0,IF(OFFSET(PLE!$G$14,$M512,CL$13)="",10^12,OFFSET(PLE!$G$14,$M512,CL$13))))</f>
        <v>1000000000000</v>
      </c>
      <c r="CM512" s="182">
        <f ca="1">IF($D512&lt;&gt;"Serviço",0,IF(OR(AND(AUTOEVENTO="Manual",$M512=1),$M512&gt;(ROW(PLE.lastrow)-ROW(PLE.firstrow))),0,IF(OFFSET(PLE!$G$14,$M512,CM$13)="",10^12,OFFSET(PLE!$G$14,$M512,CM$13))))</f>
        <v>1000000000000</v>
      </c>
    </row>
    <row r="513" spans="1:91" ht="38.25" x14ac:dyDescent="0.2">
      <c r="A513" s="7" t="str">
        <f t="shared" ca="1" si="16"/>
        <v>493</v>
      </c>
      <c r="B513" s="7" t="str">
        <f ca="1">OFFSET(ORÇAMENTO!C$15,ROW(B513)-ROW(B$15),0)</f>
        <v>S</v>
      </c>
      <c r="C513" s="7" t="str">
        <f ca="1">OFFSET(ORÇAMENTO!L$15,ROW(C513)-ROW(C$15),0)</f>
        <v/>
      </c>
      <c r="D513" s="118" t="str">
        <f ca="1">OFFSET(ORÇAMENTO!N$15,ROW(D513)-ROW(D$15),0)</f>
        <v>Serviço</v>
      </c>
      <c r="E513" s="119" t="str">
        <f ca="1">OFFSET(ORÇAMENTO!O$15,ROW(E513)-ROW(E$15),0)</f>
        <v>-</v>
      </c>
      <c r="F513" s="172" t="str">
        <f ca="1">OFFSET(ORÇAMENTO!R$15,ROW(F513)-ROW(F$15),0)</f>
        <v>(abra o arquivo 'Referência 06-2024.xlsm)</v>
      </c>
      <c r="G513" s="173" t="str">
        <f ca="1">IF($D513&lt;&gt;"Serviço","",OFFSET(ORÇAMENTO!S$15,ROW(G513)-ROW(G$15),0))</f>
        <v>-</v>
      </c>
      <c r="H513" s="124">
        <f ca="1">IF($D513&lt;&gt;"Serviço",0,IF(ACOMPANHAMENTO="BM",ROUND(OFFSET(ORÇAMENTO!AJ$15,ROW(H513)-ROW(H$15),0),15-13*ORÇAMENTO!$AF$7),SUMPRODUCT(($Q$12:$AI$12&lt;&gt;"")*ROUND($Q513:$AI513,15-13*ORÇAMENTO!$AF$7))))</f>
        <v>35.799999999999997</v>
      </c>
      <c r="I513" s="561" t="s">
        <v>1107</v>
      </c>
      <c r="K513" s="174"/>
      <c r="L513" s="175" t="s">
        <v>255</v>
      </c>
      <c r="M513" s="176">
        <f ca="1">IF($D513&lt;&gt;"Serviço","",IF(AUTOEVENTO="manual",$A513,IF(ISERROR(MATCH($A513,$A$15:OFFSET($A513,-1,0),0)),MAX($M$15:OFFSET(M513,-1,0))+1,INDEX($M$15:OFFSET(M513,-1,0),MATCH($A513,$A$15:OFFSET($A513,-1,0),0)))))</f>
        <v>54</v>
      </c>
      <c r="N513" s="177" t="str">
        <f ca="1">IF($D513&lt;&gt;"Serviço","",IF(AUTOEVENTO="Manual",IF($A513=0,"&lt;-- defina o número do agrupador",OFFSET(EVENTOS!$D$14,$A513,0)),OFFSET($F$15,$A513,0)))</f>
        <v>INSTALAÇÃO ELÉTRICA 110V - CABOS</v>
      </c>
      <c r="O513" s="178"/>
      <c r="Q513" s="178">
        <v>35.799999999999997</v>
      </c>
      <c r="R513" s="179"/>
      <c r="S513" s="179"/>
      <c r="T513" s="179"/>
      <c r="U513" s="179"/>
      <c r="V513" s="179"/>
      <c r="W513" s="179"/>
      <c r="X513" s="179"/>
      <c r="Y513" s="179"/>
      <c r="Z513" s="180"/>
      <c r="AA513" s="179"/>
      <c r="AB513" s="179"/>
      <c r="AC513" s="179"/>
      <c r="AD513" s="179"/>
      <c r="AE513" s="179"/>
      <c r="AF513" s="179"/>
      <c r="AG513" s="179"/>
      <c r="AH513" s="180"/>
      <c r="AJ513" s="544">
        <f ca="1">IF(AND($D513="Serviço",AJ$12&lt;&gt;0,$H513&gt;0,OR(AUTOEVENTO&lt;&gt;"manual",$M513&lt;&gt;1)),
IF(Import.TipoArredondamento&lt;&gt;"TransfereGOV",
ROUND(OFFSET($P513,0,AJ$13),15-13*ORÇAMENTO!$AF$7)/$H513*OFFSET(ORÇAMENTO!$X$15,ROW(AJ513)-ROW(AJ$15),0),
ROUND(ROUND(OFFSET($P513,0,AJ$13),15-13*ORÇAMENTO!$AF$7)*OFFSET(ORÇAMENTO!$W$15,ROW(AJ513)-ROW(AJ$15),0),15-13*ORÇAMENTO!$AF$11)),0)</f>
        <v>0</v>
      </c>
      <c r="AK513" s="545">
        <f ca="1">IF(AND($D513="Serviço",AK$12&lt;&gt;0,$H513&gt;0,OR(AUTOEVENTO&lt;&gt;"manual",$M513&lt;&gt;1)),
IF(Import.TipoArredondamento&lt;&gt;"TransfereGOV",
ROUND(OFFSET($P513,0,AK$13),15-13*ORÇAMENTO!$AF$7)/$H513*OFFSET(ORÇAMENTO!$X$15,ROW(AK513)-ROW(AK$15),0),
ROUND(ROUND(OFFSET($P513,0,AK$13),15-13*ORÇAMENTO!$AF$7)*OFFSET(ORÇAMENTO!$W$15,ROW(AK513)-ROW(AK$15),0),15-13*ORÇAMENTO!$AF$11)),0)</f>
        <v>0</v>
      </c>
      <c r="AL513" s="545">
        <f ca="1">IF(AND($D513="Serviço",AL$12&lt;&gt;0,$H513&gt;0,OR(AUTOEVENTO&lt;&gt;"manual",$M513&lt;&gt;1)),
IF(Import.TipoArredondamento&lt;&gt;"TransfereGOV",
ROUND(OFFSET($P513,0,AL$13),15-13*ORÇAMENTO!$AF$7)/$H513*OFFSET(ORÇAMENTO!$X$15,ROW(AL513)-ROW(AL$15),0),
ROUND(ROUND(OFFSET($P513,0,AL$13),15-13*ORÇAMENTO!$AF$7)*OFFSET(ORÇAMENTO!$W$15,ROW(AL513)-ROW(AL$15),0),15-13*ORÇAMENTO!$AF$11)),0)</f>
        <v>0</v>
      </c>
      <c r="AM513" s="545">
        <f ca="1">IF(AND($D513="Serviço",AM$12&lt;&gt;0,$H513&gt;0,OR(AUTOEVENTO&lt;&gt;"manual",$M513&lt;&gt;1)),
IF(Import.TipoArredondamento&lt;&gt;"TransfereGOV",
ROUND(OFFSET($P513,0,AM$13),15-13*ORÇAMENTO!$AF$7)/$H513*OFFSET(ORÇAMENTO!$X$15,ROW(AM513)-ROW(AM$15),0),
ROUND(ROUND(OFFSET($P513,0,AM$13),15-13*ORÇAMENTO!$AF$7)*OFFSET(ORÇAMENTO!$W$15,ROW(AM513)-ROW(AM$15),0),15-13*ORÇAMENTO!$AF$11)),0)</f>
        <v>0</v>
      </c>
      <c r="AN513" s="545">
        <f ca="1">IF(AND($D513="Serviço",AN$12&lt;&gt;0,$H513&gt;0,OR(AUTOEVENTO&lt;&gt;"manual",$M513&lt;&gt;1)),
IF(Import.TipoArredondamento&lt;&gt;"TransfereGOV",
ROUND(OFFSET($P513,0,AN$13),15-13*ORÇAMENTO!$AF$7)/$H513*OFFSET(ORÇAMENTO!$X$15,ROW(AN513)-ROW(AN$15),0),
ROUND(ROUND(OFFSET($P513,0,AN$13),15-13*ORÇAMENTO!$AF$7)*OFFSET(ORÇAMENTO!$W$15,ROW(AN513)-ROW(AN$15),0),15-13*ORÇAMENTO!$AF$11)),0)</f>
        <v>0</v>
      </c>
      <c r="AO513" s="545">
        <f ca="1">IF(AND($D513="Serviço",AO$12&lt;&gt;0,$H513&gt;0,OR(AUTOEVENTO&lt;&gt;"manual",$M513&lt;&gt;1)),
IF(Import.TipoArredondamento&lt;&gt;"TransfereGOV",
ROUND(OFFSET($P513,0,AO$13),15-13*ORÇAMENTO!$AF$7)/$H513*OFFSET(ORÇAMENTO!$X$15,ROW(AO513)-ROW(AO$15),0),
ROUND(ROUND(OFFSET($P513,0,AO$13),15-13*ORÇAMENTO!$AF$7)*OFFSET(ORÇAMENTO!$W$15,ROW(AO513)-ROW(AO$15),0),15-13*ORÇAMENTO!$AF$11)),0)</f>
        <v>0</v>
      </c>
      <c r="AP513" s="545">
        <f ca="1">IF(AND($D513="Serviço",AP$12&lt;&gt;0,$H513&gt;0,OR(AUTOEVENTO&lt;&gt;"manual",$M513&lt;&gt;1)),
IF(Import.TipoArredondamento&lt;&gt;"TransfereGOV",
ROUND(OFFSET($P513,0,AP$13),15-13*ORÇAMENTO!$AF$7)/$H513*OFFSET(ORÇAMENTO!$X$15,ROW(AP513)-ROW(AP$15),0),
ROUND(ROUND(OFFSET($P513,0,AP$13),15-13*ORÇAMENTO!$AF$7)*OFFSET(ORÇAMENTO!$W$15,ROW(AP513)-ROW(AP$15),0),15-13*ORÇAMENTO!$AF$11)),0)</f>
        <v>0</v>
      </c>
      <c r="AQ513" s="545">
        <f ca="1">IF(AND($D513="Serviço",AQ$12&lt;&gt;0,$H513&gt;0,OR(AUTOEVENTO&lt;&gt;"manual",$M513&lt;&gt;1)),
IF(Import.TipoArredondamento&lt;&gt;"TransfereGOV",
ROUND(OFFSET($P513,0,AQ$13),15-13*ORÇAMENTO!$AF$7)/$H513*OFFSET(ORÇAMENTO!$X$15,ROW(AQ513)-ROW(AQ$15),0),
ROUND(ROUND(OFFSET($P513,0,AQ$13),15-13*ORÇAMENTO!$AF$7)*OFFSET(ORÇAMENTO!$W$15,ROW(AQ513)-ROW(AQ$15),0),15-13*ORÇAMENTO!$AF$11)),0)</f>
        <v>0</v>
      </c>
      <c r="AR513" s="545">
        <f ca="1">IF(AND($D513="Serviço",AR$12&lt;&gt;0,$H513&gt;0,OR(AUTOEVENTO&lt;&gt;"manual",$M513&lt;&gt;1)),
IF(Import.TipoArredondamento&lt;&gt;"TransfereGOV",
ROUND(OFFSET($P513,0,AR$13),15-13*ORÇAMENTO!$AF$7)/$H513*OFFSET(ORÇAMENTO!$X$15,ROW(AR513)-ROW(AR$15),0),
ROUND(ROUND(OFFSET($P513,0,AR$13),15-13*ORÇAMENTO!$AF$7)*OFFSET(ORÇAMENTO!$W$15,ROW(AR513)-ROW(AR$15),0),15-13*ORÇAMENTO!$AF$11)),0)</f>
        <v>0</v>
      </c>
      <c r="AS513" s="546">
        <f ca="1">IF(AND($D513="Serviço",AS$12&lt;&gt;0,$H513&gt;0,OR(AUTOEVENTO&lt;&gt;"manual",$M513&lt;&gt;1)),
IF(Import.TipoArredondamento&lt;&gt;"TransfereGOV",
ROUND(OFFSET($P513,0,AS$13),15-13*ORÇAMENTO!$AF$7)/$H513*OFFSET(ORÇAMENTO!$X$15,ROW(AS513)-ROW(AS$15),0),
ROUND(ROUND(OFFSET($P513,0,AS$13),15-13*ORÇAMENTO!$AF$7)*OFFSET(ORÇAMENTO!$W$15,ROW(AS513)-ROW(AS$15),0),15-13*ORÇAMENTO!$AF$11)),0)</f>
        <v>0</v>
      </c>
      <c r="AT513" s="545">
        <f ca="1">IF(AND($D513="Serviço",AT$12&lt;&gt;0,$H513&gt;0,OR(AUTOEVENTO&lt;&gt;"manual",$M513&lt;&gt;1)),
IF(Import.TipoArredondamento&lt;&gt;"TransfereGOV",
ROUND(OFFSET($P513,0,AT$13),15-13*ORÇAMENTO!$AF$7)/$H513*OFFSET(ORÇAMENTO!$X$15,ROW(AT513)-ROW(AT$15),0),
ROUND(ROUND(OFFSET($P513,0,AT$13),15-13*ORÇAMENTO!$AF$7)*OFFSET(ORÇAMENTO!$W$15,ROW(AT513)-ROW(AT$15),0),15-13*ORÇAMENTO!$AF$11)),0)</f>
        <v>0</v>
      </c>
      <c r="AU513" s="545">
        <f ca="1">IF(AND($D513="Serviço",AU$12&lt;&gt;0,$H513&gt;0,OR(AUTOEVENTO&lt;&gt;"manual",$M513&lt;&gt;1)),
IF(Import.TipoArredondamento&lt;&gt;"TransfereGOV",
ROUND(OFFSET($P513,0,AU$13),15-13*ORÇAMENTO!$AF$7)/$H513*OFFSET(ORÇAMENTO!$X$15,ROW(AU513)-ROW(AU$15),0),
ROUND(ROUND(OFFSET($P513,0,AU$13),15-13*ORÇAMENTO!$AF$7)*OFFSET(ORÇAMENTO!$W$15,ROW(AU513)-ROW(AU$15),0),15-13*ORÇAMENTO!$AF$11)),0)</f>
        <v>0</v>
      </c>
      <c r="AV513" s="545">
        <f ca="1">IF(AND($D513="Serviço",AV$12&lt;&gt;0,$H513&gt;0,OR(AUTOEVENTO&lt;&gt;"manual",$M513&lt;&gt;1)),
IF(Import.TipoArredondamento&lt;&gt;"TransfereGOV",
ROUND(OFFSET($P513,0,AV$13),15-13*ORÇAMENTO!$AF$7)/$H513*OFFSET(ORÇAMENTO!$X$15,ROW(AV513)-ROW(AV$15),0),
ROUND(ROUND(OFFSET($P513,0,AV$13),15-13*ORÇAMENTO!$AF$7)*OFFSET(ORÇAMENTO!$W$15,ROW(AV513)-ROW(AV$15),0),15-13*ORÇAMENTO!$AF$11)),0)</f>
        <v>0</v>
      </c>
      <c r="AW513" s="545">
        <f ca="1">IF(AND($D513="Serviço",AW$12&lt;&gt;0,$H513&gt;0,OR(AUTOEVENTO&lt;&gt;"manual",$M513&lt;&gt;1)),
IF(Import.TipoArredondamento&lt;&gt;"TransfereGOV",
ROUND(OFFSET($P513,0,AW$13),15-13*ORÇAMENTO!$AF$7)/$H513*OFFSET(ORÇAMENTO!$X$15,ROW(AW513)-ROW(AW$15),0),
ROUND(ROUND(OFFSET($P513,0,AW$13),15-13*ORÇAMENTO!$AF$7)*OFFSET(ORÇAMENTO!$W$15,ROW(AW513)-ROW(AW$15),0),15-13*ORÇAMENTO!$AF$11)),0)</f>
        <v>0</v>
      </c>
      <c r="AX513" s="545">
        <f ca="1">IF(AND($D513="Serviço",AX$12&lt;&gt;0,$H513&gt;0,OR(AUTOEVENTO&lt;&gt;"manual",$M513&lt;&gt;1)),
IF(Import.TipoArredondamento&lt;&gt;"TransfereGOV",
ROUND(OFFSET($P513,0,AX$13),15-13*ORÇAMENTO!$AF$7)/$H513*OFFSET(ORÇAMENTO!$X$15,ROW(AX513)-ROW(AX$15),0),
ROUND(ROUND(OFFSET($P513,0,AX$13),15-13*ORÇAMENTO!$AF$7)*OFFSET(ORÇAMENTO!$W$15,ROW(AX513)-ROW(AX$15),0),15-13*ORÇAMENTO!$AF$11)),0)</f>
        <v>0</v>
      </c>
      <c r="AY513" s="545">
        <f ca="1">IF(AND($D513="Serviço",AY$12&lt;&gt;0,$H513&gt;0,OR(AUTOEVENTO&lt;&gt;"manual",$M513&lt;&gt;1)),
IF(Import.TipoArredondamento&lt;&gt;"TransfereGOV",
ROUND(OFFSET($P513,0,AY$13),15-13*ORÇAMENTO!$AF$7)/$H513*OFFSET(ORÇAMENTO!$X$15,ROW(AY513)-ROW(AY$15),0),
ROUND(ROUND(OFFSET($P513,0,AY$13),15-13*ORÇAMENTO!$AF$7)*OFFSET(ORÇAMENTO!$W$15,ROW(AY513)-ROW(AY$15),0),15-13*ORÇAMENTO!$AF$11)),0)</f>
        <v>0</v>
      </c>
      <c r="AZ513" s="545">
        <f ca="1">IF(AND($D513="Serviço",AZ$12&lt;&gt;0,$H513&gt;0,OR(AUTOEVENTO&lt;&gt;"manual",$M513&lt;&gt;1)),
IF(Import.TipoArredondamento&lt;&gt;"TransfereGOV",
ROUND(OFFSET($P513,0,AZ$13),15-13*ORÇAMENTO!$AF$7)/$H513*OFFSET(ORÇAMENTO!$X$15,ROW(AZ513)-ROW(AZ$15),0),
ROUND(ROUND(OFFSET($P513,0,AZ$13),15-13*ORÇAMENTO!$AF$7)*OFFSET(ORÇAMENTO!$W$15,ROW(AZ513)-ROW(AZ$15),0),15-13*ORÇAMENTO!$AF$11)),0)</f>
        <v>0</v>
      </c>
      <c r="BA513" s="546">
        <f ca="1">IF(AND($D513="Serviço",BA$12&lt;&gt;0,$H513&gt;0,OR(AUTOEVENTO&lt;&gt;"manual",$M513&lt;&gt;1)),
IF(Import.TipoArredondamento&lt;&gt;"TransfereGOV",
ROUND(OFFSET($P513,0,BA$13),15-13*ORÇAMENTO!$AF$7)/$H513*OFFSET(ORÇAMENTO!$X$15,ROW(BA513)-ROW(BA$15),0),
ROUND(ROUND(OFFSET($P513,0,BA$13),15-13*ORÇAMENTO!$AF$7)*OFFSET(ORÇAMENTO!$W$15,ROW(BA513)-ROW(BA$15),0),15-13*ORÇAMENTO!$AF$11)),0)</f>
        <v>0</v>
      </c>
      <c r="BC513" s="181">
        <f ca="1">IF($D513&lt;&gt;"Serviço",0,IF(AND(AUTOEVENTO="Manual",$M513=1),0,IF(OFFSET(CRONOPLE!$F$14,$M513,BC$13)="",10^12,OFFSET(CRONOPLE!$F$14,$M513,BC$13))))</f>
        <v>10</v>
      </c>
      <c r="BD513" s="181">
        <f ca="1">IF($D513&lt;&gt;"Serviço",0,IF(AND(AUTOEVENTO="Manual",$M513=1),0,IF(OFFSET(CRONOPLE!$F$14,$M513,BD$13)="",10^12,OFFSET(CRONOPLE!$F$14,$M513,BD$13))))</f>
        <v>1000000000000</v>
      </c>
      <c r="BE513" s="181">
        <f ca="1">IF($D513&lt;&gt;"Serviço",0,IF(AND(AUTOEVENTO="Manual",$M513=1),0,IF(OFFSET(CRONOPLE!$F$14,$M513,BE$13)="",10^12,OFFSET(CRONOPLE!$F$14,$M513,BE$13))))</f>
        <v>1000000000000</v>
      </c>
      <c r="BF513" s="181">
        <f ca="1">IF($D513&lt;&gt;"Serviço",0,IF(AND(AUTOEVENTO="Manual",$M513=1),0,IF(OFFSET(CRONOPLE!$F$14,$M513,BF$13)="",10^12,OFFSET(CRONOPLE!$F$14,$M513,BF$13))))</f>
        <v>1000000000000</v>
      </c>
      <c r="BG513" s="181">
        <f ca="1">IF($D513&lt;&gt;"Serviço",0,IF(AND(AUTOEVENTO="Manual",$M513=1),0,IF(OFFSET(CRONOPLE!$F$14,$M513,BG$13)="",10^12,OFFSET(CRONOPLE!$F$14,$M513,BG$13))))</f>
        <v>1000000000000</v>
      </c>
      <c r="BH513" s="181">
        <f ca="1">IF($D513&lt;&gt;"Serviço",0,IF(AND(AUTOEVENTO="Manual",$M513=1),0,IF(OFFSET(CRONOPLE!$F$14,$M513,BH$13)="",10^12,OFFSET(CRONOPLE!$F$14,$M513,BH$13))))</f>
        <v>1000000000000</v>
      </c>
      <c r="BI513" s="181">
        <f ca="1">IF($D513&lt;&gt;"Serviço",0,IF(AND(AUTOEVENTO="Manual",$M513=1),0,IF(OFFSET(CRONOPLE!$F$14,$M513,BI$13)="",10^12,OFFSET(CRONOPLE!$F$14,$M513,BI$13))))</f>
        <v>1000000000000</v>
      </c>
      <c r="BJ513" s="181">
        <f ca="1">IF($D513&lt;&gt;"Serviço",0,IF(AND(AUTOEVENTO="Manual",$M513=1),0,IF(OFFSET(CRONOPLE!$F$14,$M513,BJ$13)="",10^12,OFFSET(CRONOPLE!$F$14,$M513,BJ$13))))</f>
        <v>1000000000000</v>
      </c>
      <c r="BK513" s="181">
        <f ca="1">IF($D513&lt;&gt;"Serviço",0,IF(AND(AUTOEVENTO="Manual",$M513=1),0,IF(OFFSET(CRONOPLE!$F$14,$M513,BK$13)="",10^12,OFFSET(CRONOPLE!$F$14,$M513,BK$13))))</f>
        <v>1000000000000</v>
      </c>
      <c r="BL513" s="181">
        <f ca="1">IF($D513&lt;&gt;"Serviço",0,IF(AND(AUTOEVENTO="Manual",$M513=1),0,IF(OFFSET(CRONOPLE!$F$14,$M513,BL$13)="",10^12,OFFSET(CRONOPLE!$F$14,$M513,BL$13))))</f>
        <v>1000000000000</v>
      </c>
      <c r="BM513" s="181">
        <f ca="1">IF($D513&lt;&gt;"Serviço",0,IF(AND(AUTOEVENTO="Manual",$M513=1),0,IF(OFFSET(CRONOPLE!$F$14,$M513,BM$13)="",10^12,OFFSET(CRONOPLE!$F$14,$M513,BM$13))))</f>
        <v>1000000000000</v>
      </c>
      <c r="BN513" s="181">
        <f ca="1">IF($D513&lt;&gt;"Serviço",0,IF(AND(AUTOEVENTO="Manual",$M513=1),0,IF(OFFSET(CRONOPLE!$F$14,$M513,BN$13)="",10^12,OFFSET(CRONOPLE!$F$14,$M513,BN$13))))</f>
        <v>1000000000000</v>
      </c>
      <c r="BO513" s="181">
        <f ca="1">IF($D513&lt;&gt;"Serviço",0,IF(AND(AUTOEVENTO="Manual",$M513=1),0,IF(OFFSET(CRONOPLE!$F$14,$M513,BO$13)="",10^12,OFFSET(CRONOPLE!$F$14,$M513,BO$13))))</f>
        <v>1000000000000</v>
      </c>
      <c r="BP513" s="181">
        <f ca="1">IF($D513&lt;&gt;"Serviço",0,IF(AND(AUTOEVENTO="Manual",$M513=1),0,IF(OFFSET(CRONOPLE!$F$14,$M513,BP$13)="",10^12,OFFSET(CRONOPLE!$F$14,$M513,BP$13))))</f>
        <v>1000000000000</v>
      </c>
      <c r="BQ513" s="181">
        <f ca="1">IF($D513&lt;&gt;"Serviço",0,IF(AND(AUTOEVENTO="Manual",$M513=1),0,IF(OFFSET(CRONOPLE!$F$14,$M513,BQ$13)="",10^12,OFFSET(CRONOPLE!$F$14,$M513,BQ$13))))</f>
        <v>1000000000000</v>
      </c>
      <c r="BR513" s="181">
        <f ca="1">IF($D513&lt;&gt;"Serviço",0,IF(AND(AUTOEVENTO="Manual",$M513=1),0,IF(OFFSET(CRONOPLE!$F$14,$M513,BR$13)="",10^12,OFFSET(CRONOPLE!$F$14,$M513,BR$13))))</f>
        <v>1000000000000</v>
      </c>
      <c r="BS513" s="181">
        <f ca="1">IF($D513&lt;&gt;"Serviço",0,IF(AND(AUTOEVENTO="Manual",$M513=1),0,IF(OFFSET(CRONOPLE!$F$14,$M513,BS$13)="",10^12,OFFSET(CRONOPLE!$F$14,$M513,BS$13))))</f>
        <v>1000000000000</v>
      </c>
      <c r="BT513" s="181">
        <f ca="1">IF($D513&lt;&gt;"Serviço",0,IF(AND(AUTOEVENTO="Manual",$M513=1),0,IF(OFFSET(CRONOPLE!$F$14,$M513,BT$13)="",10^12,OFFSET(CRONOPLE!$F$14,$M513,BT$13))))</f>
        <v>1000000000000</v>
      </c>
      <c r="BV513" s="182">
        <f ca="1">IF($D513&lt;&gt;"Serviço",0,IF(OR(AND(AUTOEVENTO="Manual",$M513=1),$M513&gt;(ROW(PLE.lastrow)-ROW(PLE.firstrow))),0,IF(OFFSET(PLE!$G$14,$M513,BV$13)="",10^12,OFFSET(PLE!$G$14,$M513,BV$13))))</f>
        <v>1000000000000</v>
      </c>
      <c r="BW513" s="182">
        <f ca="1">IF($D513&lt;&gt;"Serviço",0,IF(OR(AND(AUTOEVENTO="Manual",$M513=1),$M513&gt;(ROW(PLE.lastrow)-ROW(PLE.firstrow))),0,IF(OFFSET(PLE!$G$14,$M513,BW$13)="",10^12,OFFSET(PLE!$G$14,$M513,BW$13))))</f>
        <v>1000000000000</v>
      </c>
      <c r="BX513" s="182">
        <f ca="1">IF($D513&lt;&gt;"Serviço",0,IF(OR(AND(AUTOEVENTO="Manual",$M513=1),$M513&gt;(ROW(PLE.lastrow)-ROW(PLE.firstrow))),0,IF(OFFSET(PLE!$G$14,$M513,BX$13)="",10^12,OFFSET(PLE!$G$14,$M513,BX$13))))</f>
        <v>1000000000000</v>
      </c>
      <c r="BY513" s="182">
        <f ca="1">IF($D513&lt;&gt;"Serviço",0,IF(OR(AND(AUTOEVENTO="Manual",$M513=1),$M513&gt;(ROW(PLE.lastrow)-ROW(PLE.firstrow))),0,IF(OFFSET(PLE!$G$14,$M513,BY$13)="",10^12,OFFSET(PLE!$G$14,$M513,BY$13))))</f>
        <v>1000000000000</v>
      </c>
      <c r="BZ513" s="182">
        <f ca="1">IF($D513&lt;&gt;"Serviço",0,IF(OR(AND(AUTOEVENTO="Manual",$M513=1),$M513&gt;(ROW(PLE.lastrow)-ROW(PLE.firstrow))),0,IF(OFFSET(PLE!$G$14,$M513,BZ$13)="",10^12,OFFSET(PLE!$G$14,$M513,BZ$13))))</f>
        <v>1000000000000</v>
      </c>
      <c r="CA513" s="182">
        <f ca="1">IF($D513&lt;&gt;"Serviço",0,IF(OR(AND(AUTOEVENTO="Manual",$M513=1),$M513&gt;(ROW(PLE.lastrow)-ROW(PLE.firstrow))),0,IF(OFFSET(PLE!$G$14,$M513,CA$13)="",10^12,OFFSET(PLE!$G$14,$M513,CA$13))))</f>
        <v>1000000000000</v>
      </c>
      <c r="CB513" s="182">
        <f ca="1">IF($D513&lt;&gt;"Serviço",0,IF(OR(AND(AUTOEVENTO="Manual",$M513=1),$M513&gt;(ROW(PLE.lastrow)-ROW(PLE.firstrow))),0,IF(OFFSET(PLE!$G$14,$M513,CB$13)="",10^12,OFFSET(PLE!$G$14,$M513,CB$13))))</f>
        <v>1000000000000</v>
      </c>
      <c r="CC513" s="182">
        <f ca="1">IF($D513&lt;&gt;"Serviço",0,IF(OR(AND(AUTOEVENTO="Manual",$M513=1),$M513&gt;(ROW(PLE.lastrow)-ROW(PLE.firstrow))),0,IF(OFFSET(PLE!$G$14,$M513,CC$13)="",10^12,OFFSET(PLE!$G$14,$M513,CC$13))))</f>
        <v>1000000000000</v>
      </c>
      <c r="CD513" s="182">
        <f ca="1">IF($D513&lt;&gt;"Serviço",0,IF(OR(AND(AUTOEVENTO="Manual",$M513=1),$M513&gt;(ROW(PLE.lastrow)-ROW(PLE.firstrow))),0,IF(OFFSET(PLE!$G$14,$M513,CD$13)="",10^12,OFFSET(PLE!$G$14,$M513,CD$13))))</f>
        <v>1000000000000</v>
      </c>
      <c r="CE513" s="182">
        <f ca="1">IF($D513&lt;&gt;"Serviço",0,IF(OR(AND(AUTOEVENTO="Manual",$M513=1),$M513&gt;(ROW(PLE.lastrow)-ROW(PLE.firstrow))),0,IF(OFFSET(PLE!$G$14,$M513,CE$13)="",10^12,OFFSET(PLE!$G$14,$M513,CE$13))))</f>
        <v>1000000000000</v>
      </c>
      <c r="CF513" s="182">
        <f ca="1">IF($D513&lt;&gt;"Serviço",0,IF(OR(AND(AUTOEVENTO="Manual",$M513=1),$M513&gt;(ROW(PLE.lastrow)-ROW(PLE.firstrow))),0,IF(OFFSET(PLE!$G$14,$M513,CF$13)="",10^12,OFFSET(PLE!$G$14,$M513,CF$13))))</f>
        <v>1000000000000</v>
      </c>
      <c r="CG513" s="182">
        <f ca="1">IF($D513&lt;&gt;"Serviço",0,IF(OR(AND(AUTOEVENTO="Manual",$M513=1),$M513&gt;(ROW(PLE.lastrow)-ROW(PLE.firstrow))),0,IF(OFFSET(PLE!$G$14,$M513,CG$13)="",10^12,OFFSET(PLE!$G$14,$M513,CG$13))))</f>
        <v>1000000000000</v>
      </c>
      <c r="CH513" s="182">
        <f ca="1">IF($D513&lt;&gt;"Serviço",0,IF(OR(AND(AUTOEVENTO="Manual",$M513=1),$M513&gt;(ROW(PLE.lastrow)-ROW(PLE.firstrow))),0,IF(OFFSET(PLE!$G$14,$M513,CH$13)="",10^12,OFFSET(PLE!$G$14,$M513,CH$13))))</f>
        <v>1000000000000</v>
      </c>
      <c r="CI513" s="182">
        <f ca="1">IF($D513&lt;&gt;"Serviço",0,IF(OR(AND(AUTOEVENTO="Manual",$M513=1),$M513&gt;(ROW(PLE.lastrow)-ROW(PLE.firstrow))),0,IF(OFFSET(PLE!$G$14,$M513,CI$13)="",10^12,OFFSET(PLE!$G$14,$M513,CI$13))))</f>
        <v>1000000000000</v>
      </c>
      <c r="CJ513" s="182">
        <f ca="1">IF($D513&lt;&gt;"Serviço",0,IF(OR(AND(AUTOEVENTO="Manual",$M513=1),$M513&gt;(ROW(PLE.lastrow)-ROW(PLE.firstrow))),0,IF(OFFSET(PLE!$G$14,$M513,CJ$13)="",10^12,OFFSET(PLE!$G$14,$M513,CJ$13))))</f>
        <v>1000000000000</v>
      </c>
      <c r="CK513" s="182">
        <f ca="1">IF($D513&lt;&gt;"Serviço",0,IF(OR(AND(AUTOEVENTO="Manual",$M513=1),$M513&gt;(ROW(PLE.lastrow)-ROW(PLE.firstrow))),0,IF(OFFSET(PLE!$G$14,$M513,CK$13)="",10^12,OFFSET(PLE!$G$14,$M513,CK$13))))</f>
        <v>1000000000000</v>
      </c>
      <c r="CL513" s="182">
        <f ca="1">IF($D513&lt;&gt;"Serviço",0,IF(OR(AND(AUTOEVENTO="Manual",$M513=1),$M513&gt;(ROW(PLE.lastrow)-ROW(PLE.firstrow))),0,IF(OFFSET(PLE!$G$14,$M513,CL$13)="",10^12,OFFSET(PLE!$G$14,$M513,CL$13))))</f>
        <v>1000000000000</v>
      </c>
      <c r="CM513" s="182">
        <f ca="1">IF($D513&lt;&gt;"Serviço",0,IF(OR(AND(AUTOEVENTO="Manual",$M513=1),$M513&gt;(ROW(PLE.lastrow)-ROW(PLE.firstrow))),0,IF(OFFSET(PLE!$G$14,$M513,CM$13)="",10^12,OFFSET(PLE!$G$14,$M513,CM$13))))</f>
        <v>1000000000000</v>
      </c>
    </row>
    <row r="514" spans="1:91" ht="38.25" x14ac:dyDescent="0.2">
      <c r="A514" s="7" t="str">
        <f t="shared" ca="1" si="16"/>
        <v>493</v>
      </c>
      <c r="B514" s="7" t="str">
        <f ca="1">OFFSET(ORÇAMENTO!C$15,ROW(B514)-ROW(B$15),0)</f>
        <v>S</v>
      </c>
      <c r="C514" s="7" t="str">
        <f ca="1">OFFSET(ORÇAMENTO!L$15,ROW(C514)-ROW(C$15),0)</f>
        <v/>
      </c>
      <c r="D514" s="118" t="str">
        <f ca="1">OFFSET(ORÇAMENTO!N$15,ROW(D514)-ROW(D$15),0)</f>
        <v>Serviço</v>
      </c>
      <c r="E514" s="119" t="str">
        <f ca="1">OFFSET(ORÇAMENTO!O$15,ROW(E514)-ROW(E$15),0)</f>
        <v>-</v>
      </c>
      <c r="F514" s="172" t="str">
        <f ca="1">OFFSET(ORÇAMENTO!R$15,ROW(F514)-ROW(F$15),0)</f>
        <v>(abra o arquivo 'Referência 06-2024.xlsm)</v>
      </c>
      <c r="G514" s="173" t="str">
        <f ca="1">IF($D514&lt;&gt;"Serviço","",OFFSET(ORÇAMENTO!S$15,ROW(G514)-ROW(G$15),0))</f>
        <v>-</v>
      </c>
      <c r="H514" s="124">
        <f ca="1">IF($D514&lt;&gt;"Serviço",0,IF(ACOMPANHAMENTO="BM",ROUND(OFFSET(ORÇAMENTO!AJ$15,ROW(H514)-ROW(H$15),0),15-13*ORÇAMENTO!$AF$7),SUMPRODUCT(($Q$12:$AI$12&lt;&gt;"")*ROUND($Q514:$AI514,15-13*ORÇAMENTO!$AF$7))))</f>
        <v>75.8</v>
      </c>
      <c r="I514" s="561" t="s">
        <v>1107</v>
      </c>
      <c r="K514" s="174"/>
      <c r="L514" s="175" t="s">
        <v>255</v>
      </c>
      <c r="M514" s="176">
        <f ca="1">IF($D514&lt;&gt;"Serviço","",IF(AUTOEVENTO="manual",$A514,IF(ISERROR(MATCH($A514,$A$15:OFFSET($A514,-1,0),0)),MAX($M$15:OFFSET(M514,-1,0))+1,INDEX($M$15:OFFSET(M514,-1,0),MATCH($A514,$A$15:OFFSET($A514,-1,0),0)))))</f>
        <v>54</v>
      </c>
      <c r="N514" s="177" t="str">
        <f ca="1">IF($D514&lt;&gt;"Serviço","",IF(AUTOEVENTO="Manual",IF($A514=0,"&lt;-- defina o número do agrupador",OFFSET(EVENTOS!$D$14,$A514,0)),OFFSET($F$15,$A514,0)))</f>
        <v>INSTALAÇÃO ELÉTRICA 110V - CABOS</v>
      </c>
      <c r="O514" s="178"/>
      <c r="Q514" s="178">
        <v>75.8</v>
      </c>
      <c r="R514" s="179"/>
      <c r="S514" s="179"/>
      <c r="T514" s="179"/>
      <c r="U514" s="179"/>
      <c r="V514" s="179"/>
      <c r="W514" s="179"/>
      <c r="X514" s="179"/>
      <c r="Y514" s="179"/>
      <c r="Z514" s="180"/>
      <c r="AA514" s="179"/>
      <c r="AB514" s="179"/>
      <c r="AC514" s="179"/>
      <c r="AD514" s="179"/>
      <c r="AE514" s="179"/>
      <c r="AF514" s="179"/>
      <c r="AG514" s="179"/>
      <c r="AH514" s="180"/>
      <c r="AJ514" s="544">
        <f ca="1">IF(AND($D514="Serviço",AJ$12&lt;&gt;0,$H514&gt;0,OR(AUTOEVENTO&lt;&gt;"manual",$M514&lt;&gt;1)),
IF(Import.TipoArredondamento&lt;&gt;"TransfereGOV",
ROUND(OFFSET($P514,0,AJ$13),15-13*ORÇAMENTO!$AF$7)/$H514*OFFSET(ORÇAMENTO!$X$15,ROW(AJ514)-ROW(AJ$15),0),
ROUND(ROUND(OFFSET($P514,0,AJ$13),15-13*ORÇAMENTO!$AF$7)*OFFSET(ORÇAMENTO!$W$15,ROW(AJ514)-ROW(AJ$15),0),15-13*ORÇAMENTO!$AF$11)),0)</f>
        <v>0</v>
      </c>
      <c r="AK514" s="545">
        <f ca="1">IF(AND($D514="Serviço",AK$12&lt;&gt;0,$H514&gt;0,OR(AUTOEVENTO&lt;&gt;"manual",$M514&lt;&gt;1)),
IF(Import.TipoArredondamento&lt;&gt;"TransfereGOV",
ROUND(OFFSET($P514,0,AK$13),15-13*ORÇAMENTO!$AF$7)/$H514*OFFSET(ORÇAMENTO!$X$15,ROW(AK514)-ROW(AK$15),0),
ROUND(ROUND(OFFSET($P514,0,AK$13),15-13*ORÇAMENTO!$AF$7)*OFFSET(ORÇAMENTO!$W$15,ROW(AK514)-ROW(AK$15),0),15-13*ORÇAMENTO!$AF$11)),0)</f>
        <v>0</v>
      </c>
      <c r="AL514" s="545">
        <f ca="1">IF(AND($D514="Serviço",AL$12&lt;&gt;0,$H514&gt;0,OR(AUTOEVENTO&lt;&gt;"manual",$M514&lt;&gt;1)),
IF(Import.TipoArredondamento&lt;&gt;"TransfereGOV",
ROUND(OFFSET($P514,0,AL$13),15-13*ORÇAMENTO!$AF$7)/$H514*OFFSET(ORÇAMENTO!$X$15,ROW(AL514)-ROW(AL$15),0),
ROUND(ROUND(OFFSET($P514,0,AL$13),15-13*ORÇAMENTO!$AF$7)*OFFSET(ORÇAMENTO!$W$15,ROW(AL514)-ROW(AL$15),0),15-13*ORÇAMENTO!$AF$11)),0)</f>
        <v>0</v>
      </c>
      <c r="AM514" s="545">
        <f ca="1">IF(AND($D514="Serviço",AM$12&lt;&gt;0,$H514&gt;0,OR(AUTOEVENTO&lt;&gt;"manual",$M514&lt;&gt;1)),
IF(Import.TipoArredondamento&lt;&gt;"TransfereGOV",
ROUND(OFFSET($P514,0,AM$13),15-13*ORÇAMENTO!$AF$7)/$H514*OFFSET(ORÇAMENTO!$X$15,ROW(AM514)-ROW(AM$15),0),
ROUND(ROUND(OFFSET($P514,0,AM$13),15-13*ORÇAMENTO!$AF$7)*OFFSET(ORÇAMENTO!$W$15,ROW(AM514)-ROW(AM$15),0),15-13*ORÇAMENTO!$AF$11)),0)</f>
        <v>0</v>
      </c>
      <c r="AN514" s="545">
        <f ca="1">IF(AND($D514="Serviço",AN$12&lt;&gt;0,$H514&gt;0,OR(AUTOEVENTO&lt;&gt;"manual",$M514&lt;&gt;1)),
IF(Import.TipoArredondamento&lt;&gt;"TransfereGOV",
ROUND(OFFSET($P514,0,AN$13),15-13*ORÇAMENTO!$AF$7)/$H514*OFFSET(ORÇAMENTO!$X$15,ROW(AN514)-ROW(AN$15),0),
ROUND(ROUND(OFFSET($P514,0,AN$13),15-13*ORÇAMENTO!$AF$7)*OFFSET(ORÇAMENTO!$W$15,ROW(AN514)-ROW(AN$15),0),15-13*ORÇAMENTO!$AF$11)),0)</f>
        <v>0</v>
      </c>
      <c r="AO514" s="545">
        <f ca="1">IF(AND($D514="Serviço",AO$12&lt;&gt;0,$H514&gt;0,OR(AUTOEVENTO&lt;&gt;"manual",$M514&lt;&gt;1)),
IF(Import.TipoArredondamento&lt;&gt;"TransfereGOV",
ROUND(OFFSET($P514,0,AO$13),15-13*ORÇAMENTO!$AF$7)/$H514*OFFSET(ORÇAMENTO!$X$15,ROW(AO514)-ROW(AO$15),0),
ROUND(ROUND(OFFSET($P514,0,AO$13),15-13*ORÇAMENTO!$AF$7)*OFFSET(ORÇAMENTO!$W$15,ROW(AO514)-ROW(AO$15),0),15-13*ORÇAMENTO!$AF$11)),0)</f>
        <v>0</v>
      </c>
      <c r="AP514" s="545">
        <f ca="1">IF(AND($D514="Serviço",AP$12&lt;&gt;0,$H514&gt;0,OR(AUTOEVENTO&lt;&gt;"manual",$M514&lt;&gt;1)),
IF(Import.TipoArredondamento&lt;&gt;"TransfereGOV",
ROUND(OFFSET($P514,0,AP$13),15-13*ORÇAMENTO!$AF$7)/$H514*OFFSET(ORÇAMENTO!$X$15,ROW(AP514)-ROW(AP$15),0),
ROUND(ROUND(OFFSET($P514,0,AP$13),15-13*ORÇAMENTO!$AF$7)*OFFSET(ORÇAMENTO!$W$15,ROW(AP514)-ROW(AP$15),0),15-13*ORÇAMENTO!$AF$11)),0)</f>
        <v>0</v>
      </c>
      <c r="AQ514" s="545">
        <f ca="1">IF(AND($D514="Serviço",AQ$12&lt;&gt;0,$H514&gt;0,OR(AUTOEVENTO&lt;&gt;"manual",$M514&lt;&gt;1)),
IF(Import.TipoArredondamento&lt;&gt;"TransfereGOV",
ROUND(OFFSET($P514,0,AQ$13),15-13*ORÇAMENTO!$AF$7)/$H514*OFFSET(ORÇAMENTO!$X$15,ROW(AQ514)-ROW(AQ$15),0),
ROUND(ROUND(OFFSET($P514,0,AQ$13),15-13*ORÇAMENTO!$AF$7)*OFFSET(ORÇAMENTO!$W$15,ROW(AQ514)-ROW(AQ$15),0),15-13*ORÇAMENTO!$AF$11)),0)</f>
        <v>0</v>
      </c>
      <c r="AR514" s="545">
        <f ca="1">IF(AND($D514="Serviço",AR$12&lt;&gt;0,$H514&gt;0,OR(AUTOEVENTO&lt;&gt;"manual",$M514&lt;&gt;1)),
IF(Import.TipoArredondamento&lt;&gt;"TransfereGOV",
ROUND(OFFSET($P514,0,AR$13),15-13*ORÇAMENTO!$AF$7)/$H514*OFFSET(ORÇAMENTO!$X$15,ROW(AR514)-ROW(AR$15),0),
ROUND(ROUND(OFFSET($P514,0,AR$13),15-13*ORÇAMENTO!$AF$7)*OFFSET(ORÇAMENTO!$W$15,ROW(AR514)-ROW(AR$15),0),15-13*ORÇAMENTO!$AF$11)),0)</f>
        <v>0</v>
      </c>
      <c r="AS514" s="546">
        <f ca="1">IF(AND($D514="Serviço",AS$12&lt;&gt;0,$H514&gt;0,OR(AUTOEVENTO&lt;&gt;"manual",$M514&lt;&gt;1)),
IF(Import.TipoArredondamento&lt;&gt;"TransfereGOV",
ROUND(OFFSET($P514,0,AS$13),15-13*ORÇAMENTO!$AF$7)/$H514*OFFSET(ORÇAMENTO!$X$15,ROW(AS514)-ROW(AS$15),0),
ROUND(ROUND(OFFSET($P514,0,AS$13),15-13*ORÇAMENTO!$AF$7)*OFFSET(ORÇAMENTO!$W$15,ROW(AS514)-ROW(AS$15),0),15-13*ORÇAMENTO!$AF$11)),0)</f>
        <v>0</v>
      </c>
      <c r="AT514" s="545">
        <f ca="1">IF(AND($D514="Serviço",AT$12&lt;&gt;0,$H514&gt;0,OR(AUTOEVENTO&lt;&gt;"manual",$M514&lt;&gt;1)),
IF(Import.TipoArredondamento&lt;&gt;"TransfereGOV",
ROUND(OFFSET($P514,0,AT$13),15-13*ORÇAMENTO!$AF$7)/$H514*OFFSET(ORÇAMENTO!$X$15,ROW(AT514)-ROW(AT$15),0),
ROUND(ROUND(OFFSET($P514,0,AT$13),15-13*ORÇAMENTO!$AF$7)*OFFSET(ORÇAMENTO!$W$15,ROW(AT514)-ROW(AT$15),0),15-13*ORÇAMENTO!$AF$11)),0)</f>
        <v>0</v>
      </c>
      <c r="AU514" s="545">
        <f ca="1">IF(AND($D514="Serviço",AU$12&lt;&gt;0,$H514&gt;0,OR(AUTOEVENTO&lt;&gt;"manual",$M514&lt;&gt;1)),
IF(Import.TipoArredondamento&lt;&gt;"TransfereGOV",
ROUND(OFFSET($P514,0,AU$13),15-13*ORÇAMENTO!$AF$7)/$H514*OFFSET(ORÇAMENTO!$X$15,ROW(AU514)-ROW(AU$15),0),
ROUND(ROUND(OFFSET($P514,0,AU$13),15-13*ORÇAMENTO!$AF$7)*OFFSET(ORÇAMENTO!$W$15,ROW(AU514)-ROW(AU$15),0),15-13*ORÇAMENTO!$AF$11)),0)</f>
        <v>0</v>
      </c>
      <c r="AV514" s="545">
        <f ca="1">IF(AND($D514="Serviço",AV$12&lt;&gt;0,$H514&gt;0,OR(AUTOEVENTO&lt;&gt;"manual",$M514&lt;&gt;1)),
IF(Import.TipoArredondamento&lt;&gt;"TransfereGOV",
ROUND(OFFSET($P514,0,AV$13),15-13*ORÇAMENTO!$AF$7)/$H514*OFFSET(ORÇAMENTO!$X$15,ROW(AV514)-ROW(AV$15),0),
ROUND(ROUND(OFFSET($P514,0,AV$13),15-13*ORÇAMENTO!$AF$7)*OFFSET(ORÇAMENTO!$W$15,ROW(AV514)-ROW(AV$15),0),15-13*ORÇAMENTO!$AF$11)),0)</f>
        <v>0</v>
      </c>
      <c r="AW514" s="545">
        <f ca="1">IF(AND($D514="Serviço",AW$12&lt;&gt;0,$H514&gt;0,OR(AUTOEVENTO&lt;&gt;"manual",$M514&lt;&gt;1)),
IF(Import.TipoArredondamento&lt;&gt;"TransfereGOV",
ROUND(OFFSET($P514,0,AW$13),15-13*ORÇAMENTO!$AF$7)/$H514*OFFSET(ORÇAMENTO!$X$15,ROW(AW514)-ROW(AW$15),0),
ROUND(ROUND(OFFSET($P514,0,AW$13),15-13*ORÇAMENTO!$AF$7)*OFFSET(ORÇAMENTO!$W$15,ROW(AW514)-ROW(AW$15),0),15-13*ORÇAMENTO!$AF$11)),0)</f>
        <v>0</v>
      </c>
      <c r="AX514" s="545">
        <f ca="1">IF(AND($D514="Serviço",AX$12&lt;&gt;0,$H514&gt;0,OR(AUTOEVENTO&lt;&gt;"manual",$M514&lt;&gt;1)),
IF(Import.TipoArredondamento&lt;&gt;"TransfereGOV",
ROUND(OFFSET($P514,0,AX$13),15-13*ORÇAMENTO!$AF$7)/$H514*OFFSET(ORÇAMENTO!$X$15,ROW(AX514)-ROW(AX$15),0),
ROUND(ROUND(OFFSET($P514,0,AX$13),15-13*ORÇAMENTO!$AF$7)*OFFSET(ORÇAMENTO!$W$15,ROW(AX514)-ROW(AX$15),0),15-13*ORÇAMENTO!$AF$11)),0)</f>
        <v>0</v>
      </c>
      <c r="AY514" s="545">
        <f ca="1">IF(AND($D514="Serviço",AY$12&lt;&gt;0,$H514&gt;0,OR(AUTOEVENTO&lt;&gt;"manual",$M514&lt;&gt;1)),
IF(Import.TipoArredondamento&lt;&gt;"TransfereGOV",
ROUND(OFFSET($P514,0,AY$13),15-13*ORÇAMENTO!$AF$7)/$H514*OFFSET(ORÇAMENTO!$X$15,ROW(AY514)-ROW(AY$15),0),
ROUND(ROUND(OFFSET($P514,0,AY$13),15-13*ORÇAMENTO!$AF$7)*OFFSET(ORÇAMENTO!$W$15,ROW(AY514)-ROW(AY$15),0),15-13*ORÇAMENTO!$AF$11)),0)</f>
        <v>0</v>
      </c>
      <c r="AZ514" s="545">
        <f ca="1">IF(AND($D514="Serviço",AZ$12&lt;&gt;0,$H514&gt;0,OR(AUTOEVENTO&lt;&gt;"manual",$M514&lt;&gt;1)),
IF(Import.TipoArredondamento&lt;&gt;"TransfereGOV",
ROUND(OFFSET($P514,0,AZ$13),15-13*ORÇAMENTO!$AF$7)/$H514*OFFSET(ORÇAMENTO!$X$15,ROW(AZ514)-ROW(AZ$15),0),
ROUND(ROUND(OFFSET($P514,0,AZ$13),15-13*ORÇAMENTO!$AF$7)*OFFSET(ORÇAMENTO!$W$15,ROW(AZ514)-ROW(AZ$15),0),15-13*ORÇAMENTO!$AF$11)),0)</f>
        <v>0</v>
      </c>
      <c r="BA514" s="546">
        <f ca="1">IF(AND($D514="Serviço",BA$12&lt;&gt;0,$H514&gt;0,OR(AUTOEVENTO&lt;&gt;"manual",$M514&lt;&gt;1)),
IF(Import.TipoArredondamento&lt;&gt;"TransfereGOV",
ROUND(OFFSET($P514,0,BA$13),15-13*ORÇAMENTO!$AF$7)/$H514*OFFSET(ORÇAMENTO!$X$15,ROW(BA514)-ROW(BA$15),0),
ROUND(ROUND(OFFSET($P514,0,BA$13),15-13*ORÇAMENTO!$AF$7)*OFFSET(ORÇAMENTO!$W$15,ROW(BA514)-ROW(BA$15),0),15-13*ORÇAMENTO!$AF$11)),0)</f>
        <v>0</v>
      </c>
      <c r="BC514" s="181">
        <f ca="1">IF($D514&lt;&gt;"Serviço",0,IF(AND(AUTOEVENTO="Manual",$M514=1),0,IF(OFFSET(CRONOPLE!$F$14,$M514,BC$13)="",10^12,OFFSET(CRONOPLE!$F$14,$M514,BC$13))))</f>
        <v>10</v>
      </c>
      <c r="BD514" s="181">
        <f ca="1">IF($D514&lt;&gt;"Serviço",0,IF(AND(AUTOEVENTO="Manual",$M514=1),0,IF(OFFSET(CRONOPLE!$F$14,$M514,BD$13)="",10^12,OFFSET(CRONOPLE!$F$14,$M514,BD$13))))</f>
        <v>1000000000000</v>
      </c>
      <c r="BE514" s="181">
        <f ca="1">IF($D514&lt;&gt;"Serviço",0,IF(AND(AUTOEVENTO="Manual",$M514=1),0,IF(OFFSET(CRONOPLE!$F$14,$M514,BE$13)="",10^12,OFFSET(CRONOPLE!$F$14,$M514,BE$13))))</f>
        <v>1000000000000</v>
      </c>
      <c r="BF514" s="181">
        <f ca="1">IF($D514&lt;&gt;"Serviço",0,IF(AND(AUTOEVENTO="Manual",$M514=1),0,IF(OFFSET(CRONOPLE!$F$14,$M514,BF$13)="",10^12,OFFSET(CRONOPLE!$F$14,$M514,BF$13))))</f>
        <v>1000000000000</v>
      </c>
      <c r="BG514" s="181">
        <f ca="1">IF($D514&lt;&gt;"Serviço",0,IF(AND(AUTOEVENTO="Manual",$M514=1),0,IF(OFFSET(CRONOPLE!$F$14,$M514,BG$13)="",10^12,OFFSET(CRONOPLE!$F$14,$M514,BG$13))))</f>
        <v>1000000000000</v>
      </c>
      <c r="BH514" s="181">
        <f ca="1">IF($D514&lt;&gt;"Serviço",0,IF(AND(AUTOEVENTO="Manual",$M514=1),0,IF(OFFSET(CRONOPLE!$F$14,$M514,BH$13)="",10^12,OFFSET(CRONOPLE!$F$14,$M514,BH$13))))</f>
        <v>1000000000000</v>
      </c>
      <c r="BI514" s="181">
        <f ca="1">IF($D514&lt;&gt;"Serviço",0,IF(AND(AUTOEVENTO="Manual",$M514=1),0,IF(OFFSET(CRONOPLE!$F$14,$M514,BI$13)="",10^12,OFFSET(CRONOPLE!$F$14,$M514,BI$13))))</f>
        <v>1000000000000</v>
      </c>
      <c r="BJ514" s="181">
        <f ca="1">IF($D514&lt;&gt;"Serviço",0,IF(AND(AUTOEVENTO="Manual",$M514=1),0,IF(OFFSET(CRONOPLE!$F$14,$M514,BJ$13)="",10^12,OFFSET(CRONOPLE!$F$14,$M514,BJ$13))))</f>
        <v>1000000000000</v>
      </c>
      <c r="BK514" s="181">
        <f ca="1">IF($D514&lt;&gt;"Serviço",0,IF(AND(AUTOEVENTO="Manual",$M514=1),0,IF(OFFSET(CRONOPLE!$F$14,$M514,BK$13)="",10^12,OFFSET(CRONOPLE!$F$14,$M514,BK$13))))</f>
        <v>1000000000000</v>
      </c>
      <c r="BL514" s="181">
        <f ca="1">IF($D514&lt;&gt;"Serviço",0,IF(AND(AUTOEVENTO="Manual",$M514=1),0,IF(OFFSET(CRONOPLE!$F$14,$M514,BL$13)="",10^12,OFFSET(CRONOPLE!$F$14,$M514,BL$13))))</f>
        <v>1000000000000</v>
      </c>
      <c r="BM514" s="181">
        <f ca="1">IF($D514&lt;&gt;"Serviço",0,IF(AND(AUTOEVENTO="Manual",$M514=1),0,IF(OFFSET(CRONOPLE!$F$14,$M514,BM$13)="",10^12,OFFSET(CRONOPLE!$F$14,$M514,BM$13))))</f>
        <v>1000000000000</v>
      </c>
      <c r="BN514" s="181">
        <f ca="1">IF($D514&lt;&gt;"Serviço",0,IF(AND(AUTOEVENTO="Manual",$M514=1),0,IF(OFFSET(CRONOPLE!$F$14,$M514,BN$13)="",10^12,OFFSET(CRONOPLE!$F$14,$M514,BN$13))))</f>
        <v>1000000000000</v>
      </c>
      <c r="BO514" s="181">
        <f ca="1">IF($D514&lt;&gt;"Serviço",0,IF(AND(AUTOEVENTO="Manual",$M514=1),0,IF(OFFSET(CRONOPLE!$F$14,$M514,BO$13)="",10^12,OFFSET(CRONOPLE!$F$14,$M514,BO$13))))</f>
        <v>1000000000000</v>
      </c>
      <c r="BP514" s="181">
        <f ca="1">IF($D514&lt;&gt;"Serviço",0,IF(AND(AUTOEVENTO="Manual",$M514=1),0,IF(OFFSET(CRONOPLE!$F$14,$M514,BP$13)="",10^12,OFFSET(CRONOPLE!$F$14,$M514,BP$13))))</f>
        <v>1000000000000</v>
      </c>
      <c r="BQ514" s="181">
        <f ca="1">IF($D514&lt;&gt;"Serviço",0,IF(AND(AUTOEVENTO="Manual",$M514=1),0,IF(OFFSET(CRONOPLE!$F$14,$M514,BQ$13)="",10^12,OFFSET(CRONOPLE!$F$14,$M514,BQ$13))))</f>
        <v>1000000000000</v>
      </c>
      <c r="BR514" s="181">
        <f ca="1">IF($D514&lt;&gt;"Serviço",0,IF(AND(AUTOEVENTO="Manual",$M514=1),0,IF(OFFSET(CRONOPLE!$F$14,$M514,BR$13)="",10^12,OFFSET(CRONOPLE!$F$14,$M514,BR$13))))</f>
        <v>1000000000000</v>
      </c>
      <c r="BS514" s="181">
        <f ca="1">IF($D514&lt;&gt;"Serviço",0,IF(AND(AUTOEVENTO="Manual",$M514=1),0,IF(OFFSET(CRONOPLE!$F$14,$M514,BS$13)="",10^12,OFFSET(CRONOPLE!$F$14,$M514,BS$13))))</f>
        <v>1000000000000</v>
      </c>
      <c r="BT514" s="181">
        <f ca="1">IF($D514&lt;&gt;"Serviço",0,IF(AND(AUTOEVENTO="Manual",$M514=1),0,IF(OFFSET(CRONOPLE!$F$14,$M514,BT$13)="",10^12,OFFSET(CRONOPLE!$F$14,$M514,BT$13))))</f>
        <v>1000000000000</v>
      </c>
      <c r="BV514" s="182">
        <f ca="1">IF($D514&lt;&gt;"Serviço",0,IF(OR(AND(AUTOEVENTO="Manual",$M514=1),$M514&gt;(ROW(PLE.lastrow)-ROW(PLE.firstrow))),0,IF(OFFSET(PLE!$G$14,$M514,BV$13)="",10^12,OFFSET(PLE!$G$14,$M514,BV$13))))</f>
        <v>1000000000000</v>
      </c>
      <c r="BW514" s="182">
        <f ca="1">IF($D514&lt;&gt;"Serviço",0,IF(OR(AND(AUTOEVENTO="Manual",$M514=1),$M514&gt;(ROW(PLE.lastrow)-ROW(PLE.firstrow))),0,IF(OFFSET(PLE!$G$14,$M514,BW$13)="",10^12,OFFSET(PLE!$G$14,$M514,BW$13))))</f>
        <v>1000000000000</v>
      </c>
      <c r="BX514" s="182">
        <f ca="1">IF($D514&lt;&gt;"Serviço",0,IF(OR(AND(AUTOEVENTO="Manual",$M514=1),$M514&gt;(ROW(PLE.lastrow)-ROW(PLE.firstrow))),0,IF(OFFSET(PLE!$G$14,$M514,BX$13)="",10^12,OFFSET(PLE!$G$14,$M514,BX$13))))</f>
        <v>1000000000000</v>
      </c>
      <c r="BY514" s="182">
        <f ca="1">IF($D514&lt;&gt;"Serviço",0,IF(OR(AND(AUTOEVENTO="Manual",$M514=1),$M514&gt;(ROW(PLE.lastrow)-ROW(PLE.firstrow))),0,IF(OFFSET(PLE!$G$14,$M514,BY$13)="",10^12,OFFSET(PLE!$G$14,$M514,BY$13))))</f>
        <v>1000000000000</v>
      </c>
      <c r="BZ514" s="182">
        <f ca="1">IF($D514&lt;&gt;"Serviço",0,IF(OR(AND(AUTOEVENTO="Manual",$M514=1),$M514&gt;(ROW(PLE.lastrow)-ROW(PLE.firstrow))),0,IF(OFFSET(PLE!$G$14,$M514,BZ$13)="",10^12,OFFSET(PLE!$G$14,$M514,BZ$13))))</f>
        <v>1000000000000</v>
      </c>
      <c r="CA514" s="182">
        <f ca="1">IF($D514&lt;&gt;"Serviço",0,IF(OR(AND(AUTOEVENTO="Manual",$M514=1),$M514&gt;(ROW(PLE.lastrow)-ROW(PLE.firstrow))),0,IF(OFFSET(PLE!$G$14,$M514,CA$13)="",10^12,OFFSET(PLE!$G$14,$M514,CA$13))))</f>
        <v>1000000000000</v>
      </c>
      <c r="CB514" s="182">
        <f ca="1">IF($D514&lt;&gt;"Serviço",0,IF(OR(AND(AUTOEVENTO="Manual",$M514=1),$M514&gt;(ROW(PLE.lastrow)-ROW(PLE.firstrow))),0,IF(OFFSET(PLE!$G$14,$M514,CB$13)="",10^12,OFFSET(PLE!$G$14,$M514,CB$13))))</f>
        <v>1000000000000</v>
      </c>
      <c r="CC514" s="182">
        <f ca="1">IF($D514&lt;&gt;"Serviço",0,IF(OR(AND(AUTOEVENTO="Manual",$M514=1),$M514&gt;(ROW(PLE.lastrow)-ROW(PLE.firstrow))),0,IF(OFFSET(PLE!$G$14,$M514,CC$13)="",10^12,OFFSET(PLE!$G$14,$M514,CC$13))))</f>
        <v>1000000000000</v>
      </c>
      <c r="CD514" s="182">
        <f ca="1">IF($D514&lt;&gt;"Serviço",0,IF(OR(AND(AUTOEVENTO="Manual",$M514=1),$M514&gt;(ROW(PLE.lastrow)-ROW(PLE.firstrow))),0,IF(OFFSET(PLE!$G$14,$M514,CD$13)="",10^12,OFFSET(PLE!$G$14,$M514,CD$13))))</f>
        <v>1000000000000</v>
      </c>
      <c r="CE514" s="182">
        <f ca="1">IF($D514&lt;&gt;"Serviço",0,IF(OR(AND(AUTOEVENTO="Manual",$M514=1),$M514&gt;(ROW(PLE.lastrow)-ROW(PLE.firstrow))),0,IF(OFFSET(PLE!$G$14,$M514,CE$13)="",10^12,OFFSET(PLE!$G$14,$M514,CE$13))))</f>
        <v>1000000000000</v>
      </c>
      <c r="CF514" s="182">
        <f ca="1">IF($D514&lt;&gt;"Serviço",0,IF(OR(AND(AUTOEVENTO="Manual",$M514=1),$M514&gt;(ROW(PLE.lastrow)-ROW(PLE.firstrow))),0,IF(OFFSET(PLE!$G$14,$M514,CF$13)="",10^12,OFFSET(PLE!$G$14,$M514,CF$13))))</f>
        <v>1000000000000</v>
      </c>
      <c r="CG514" s="182">
        <f ca="1">IF($D514&lt;&gt;"Serviço",0,IF(OR(AND(AUTOEVENTO="Manual",$M514=1),$M514&gt;(ROW(PLE.lastrow)-ROW(PLE.firstrow))),0,IF(OFFSET(PLE!$G$14,$M514,CG$13)="",10^12,OFFSET(PLE!$G$14,$M514,CG$13))))</f>
        <v>1000000000000</v>
      </c>
      <c r="CH514" s="182">
        <f ca="1">IF($D514&lt;&gt;"Serviço",0,IF(OR(AND(AUTOEVENTO="Manual",$M514=1),$M514&gt;(ROW(PLE.lastrow)-ROW(PLE.firstrow))),0,IF(OFFSET(PLE!$G$14,$M514,CH$13)="",10^12,OFFSET(PLE!$G$14,$M514,CH$13))))</f>
        <v>1000000000000</v>
      </c>
      <c r="CI514" s="182">
        <f ca="1">IF($D514&lt;&gt;"Serviço",0,IF(OR(AND(AUTOEVENTO="Manual",$M514=1),$M514&gt;(ROW(PLE.lastrow)-ROW(PLE.firstrow))),0,IF(OFFSET(PLE!$G$14,$M514,CI$13)="",10^12,OFFSET(PLE!$G$14,$M514,CI$13))))</f>
        <v>1000000000000</v>
      </c>
      <c r="CJ514" s="182">
        <f ca="1">IF($D514&lt;&gt;"Serviço",0,IF(OR(AND(AUTOEVENTO="Manual",$M514=1),$M514&gt;(ROW(PLE.lastrow)-ROW(PLE.firstrow))),0,IF(OFFSET(PLE!$G$14,$M514,CJ$13)="",10^12,OFFSET(PLE!$G$14,$M514,CJ$13))))</f>
        <v>1000000000000</v>
      </c>
      <c r="CK514" s="182">
        <f ca="1">IF($D514&lt;&gt;"Serviço",0,IF(OR(AND(AUTOEVENTO="Manual",$M514=1),$M514&gt;(ROW(PLE.lastrow)-ROW(PLE.firstrow))),0,IF(OFFSET(PLE!$G$14,$M514,CK$13)="",10^12,OFFSET(PLE!$G$14,$M514,CK$13))))</f>
        <v>1000000000000</v>
      </c>
      <c r="CL514" s="182">
        <f ca="1">IF($D514&lt;&gt;"Serviço",0,IF(OR(AND(AUTOEVENTO="Manual",$M514=1),$M514&gt;(ROW(PLE.lastrow)-ROW(PLE.firstrow))),0,IF(OFFSET(PLE!$G$14,$M514,CL$13)="",10^12,OFFSET(PLE!$G$14,$M514,CL$13))))</f>
        <v>1000000000000</v>
      </c>
      <c r="CM514" s="182">
        <f ca="1">IF($D514&lt;&gt;"Serviço",0,IF(OR(AND(AUTOEVENTO="Manual",$M514=1),$M514&gt;(ROW(PLE.lastrow)-ROW(PLE.firstrow))),0,IF(OFFSET(PLE!$G$14,$M514,CM$13)="",10^12,OFFSET(PLE!$G$14,$M514,CM$13))))</f>
        <v>1000000000000</v>
      </c>
    </row>
    <row r="515" spans="1:91" ht="38.25" x14ac:dyDescent="0.2">
      <c r="A515" s="7" t="str">
        <f t="shared" ca="1" si="16"/>
        <v>493</v>
      </c>
      <c r="B515" s="7" t="str">
        <f ca="1">OFFSET(ORÇAMENTO!C$15,ROW(B515)-ROW(B$15),0)</f>
        <v>S</v>
      </c>
      <c r="C515" s="7" t="str">
        <f ca="1">OFFSET(ORÇAMENTO!L$15,ROW(C515)-ROW(C$15),0)</f>
        <v/>
      </c>
      <c r="D515" s="118" t="str">
        <f ca="1">OFFSET(ORÇAMENTO!N$15,ROW(D515)-ROW(D$15),0)</f>
        <v>Serviço</v>
      </c>
      <c r="E515" s="119" t="str">
        <f ca="1">OFFSET(ORÇAMENTO!O$15,ROW(E515)-ROW(E$15),0)</f>
        <v>-</v>
      </c>
      <c r="F515" s="172" t="str">
        <f ca="1">OFFSET(ORÇAMENTO!R$15,ROW(F515)-ROW(F$15),0)</f>
        <v>(abra o arquivo 'Referência 06-2024.xlsm)</v>
      </c>
      <c r="G515" s="173" t="str">
        <f ca="1">IF($D515&lt;&gt;"Serviço","",OFFSET(ORÇAMENTO!S$15,ROW(G515)-ROW(G$15),0))</f>
        <v>-</v>
      </c>
      <c r="H515" s="124">
        <f ca="1">IF($D515&lt;&gt;"Serviço",0,IF(ACOMPANHAMENTO="BM",ROUND(OFFSET(ORÇAMENTO!AJ$15,ROW(H515)-ROW(H$15),0),15-13*ORÇAMENTO!$AF$7),SUMPRODUCT(($Q$12:$AI$12&lt;&gt;"")*ROUND($Q515:$AI515,15-13*ORÇAMENTO!$AF$7))))</f>
        <v>59</v>
      </c>
      <c r="I515" s="561" t="s">
        <v>1107</v>
      </c>
      <c r="K515" s="174"/>
      <c r="L515" s="175" t="s">
        <v>255</v>
      </c>
      <c r="M515" s="176">
        <f ca="1">IF($D515&lt;&gt;"Serviço","",IF(AUTOEVENTO="manual",$A515,IF(ISERROR(MATCH($A515,$A$15:OFFSET($A515,-1,0),0)),MAX($M$15:OFFSET(M515,-1,0))+1,INDEX($M$15:OFFSET(M515,-1,0),MATCH($A515,$A$15:OFFSET($A515,-1,0),0)))))</f>
        <v>54</v>
      </c>
      <c r="N515" s="177" t="str">
        <f ca="1">IF($D515&lt;&gt;"Serviço","",IF(AUTOEVENTO="Manual",IF($A515=0,"&lt;-- defina o número do agrupador",OFFSET(EVENTOS!$D$14,$A515,0)),OFFSET($F$15,$A515,0)))</f>
        <v>INSTALAÇÃO ELÉTRICA 110V - CABOS</v>
      </c>
      <c r="O515" s="178"/>
      <c r="Q515" s="178">
        <v>59</v>
      </c>
      <c r="R515" s="179"/>
      <c r="S515" s="179"/>
      <c r="T515" s="179"/>
      <c r="U515" s="179"/>
      <c r="V515" s="179"/>
      <c r="W515" s="179"/>
      <c r="X515" s="179"/>
      <c r="Y515" s="179"/>
      <c r="Z515" s="180"/>
      <c r="AA515" s="179"/>
      <c r="AB515" s="179"/>
      <c r="AC515" s="179"/>
      <c r="AD515" s="179"/>
      <c r="AE515" s="179"/>
      <c r="AF515" s="179"/>
      <c r="AG515" s="179"/>
      <c r="AH515" s="180"/>
      <c r="AJ515" s="544">
        <f ca="1">IF(AND($D515="Serviço",AJ$12&lt;&gt;0,$H515&gt;0,OR(AUTOEVENTO&lt;&gt;"manual",$M515&lt;&gt;1)),
IF(Import.TipoArredondamento&lt;&gt;"TransfereGOV",
ROUND(OFFSET($P515,0,AJ$13),15-13*ORÇAMENTO!$AF$7)/$H515*OFFSET(ORÇAMENTO!$X$15,ROW(AJ515)-ROW(AJ$15),0),
ROUND(ROUND(OFFSET($P515,0,AJ$13),15-13*ORÇAMENTO!$AF$7)*OFFSET(ORÇAMENTO!$W$15,ROW(AJ515)-ROW(AJ$15),0),15-13*ORÇAMENTO!$AF$11)),0)</f>
        <v>0</v>
      </c>
      <c r="AK515" s="545">
        <f ca="1">IF(AND($D515="Serviço",AK$12&lt;&gt;0,$H515&gt;0,OR(AUTOEVENTO&lt;&gt;"manual",$M515&lt;&gt;1)),
IF(Import.TipoArredondamento&lt;&gt;"TransfereGOV",
ROUND(OFFSET($P515,0,AK$13),15-13*ORÇAMENTO!$AF$7)/$H515*OFFSET(ORÇAMENTO!$X$15,ROW(AK515)-ROW(AK$15),0),
ROUND(ROUND(OFFSET($P515,0,AK$13),15-13*ORÇAMENTO!$AF$7)*OFFSET(ORÇAMENTO!$W$15,ROW(AK515)-ROW(AK$15),0),15-13*ORÇAMENTO!$AF$11)),0)</f>
        <v>0</v>
      </c>
      <c r="AL515" s="545">
        <f ca="1">IF(AND($D515="Serviço",AL$12&lt;&gt;0,$H515&gt;0,OR(AUTOEVENTO&lt;&gt;"manual",$M515&lt;&gt;1)),
IF(Import.TipoArredondamento&lt;&gt;"TransfereGOV",
ROUND(OFFSET($P515,0,AL$13),15-13*ORÇAMENTO!$AF$7)/$H515*OFFSET(ORÇAMENTO!$X$15,ROW(AL515)-ROW(AL$15),0),
ROUND(ROUND(OFFSET($P515,0,AL$13),15-13*ORÇAMENTO!$AF$7)*OFFSET(ORÇAMENTO!$W$15,ROW(AL515)-ROW(AL$15),0),15-13*ORÇAMENTO!$AF$11)),0)</f>
        <v>0</v>
      </c>
      <c r="AM515" s="545">
        <f ca="1">IF(AND($D515="Serviço",AM$12&lt;&gt;0,$H515&gt;0,OR(AUTOEVENTO&lt;&gt;"manual",$M515&lt;&gt;1)),
IF(Import.TipoArredondamento&lt;&gt;"TransfereGOV",
ROUND(OFFSET($P515,0,AM$13),15-13*ORÇAMENTO!$AF$7)/$H515*OFFSET(ORÇAMENTO!$X$15,ROW(AM515)-ROW(AM$15),0),
ROUND(ROUND(OFFSET($P515,0,AM$13),15-13*ORÇAMENTO!$AF$7)*OFFSET(ORÇAMENTO!$W$15,ROW(AM515)-ROW(AM$15),0),15-13*ORÇAMENTO!$AF$11)),0)</f>
        <v>0</v>
      </c>
      <c r="AN515" s="545">
        <f ca="1">IF(AND($D515="Serviço",AN$12&lt;&gt;0,$H515&gt;0,OR(AUTOEVENTO&lt;&gt;"manual",$M515&lt;&gt;1)),
IF(Import.TipoArredondamento&lt;&gt;"TransfereGOV",
ROUND(OFFSET($P515,0,AN$13),15-13*ORÇAMENTO!$AF$7)/$H515*OFFSET(ORÇAMENTO!$X$15,ROW(AN515)-ROW(AN$15),0),
ROUND(ROUND(OFFSET($P515,0,AN$13),15-13*ORÇAMENTO!$AF$7)*OFFSET(ORÇAMENTO!$W$15,ROW(AN515)-ROW(AN$15),0),15-13*ORÇAMENTO!$AF$11)),0)</f>
        <v>0</v>
      </c>
      <c r="AO515" s="545">
        <f ca="1">IF(AND($D515="Serviço",AO$12&lt;&gt;0,$H515&gt;0,OR(AUTOEVENTO&lt;&gt;"manual",$M515&lt;&gt;1)),
IF(Import.TipoArredondamento&lt;&gt;"TransfereGOV",
ROUND(OFFSET($P515,0,AO$13),15-13*ORÇAMENTO!$AF$7)/$H515*OFFSET(ORÇAMENTO!$X$15,ROW(AO515)-ROW(AO$15),0),
ROUND(ROUND(OFFSET($P515,0,AO$13),15-13*ORÇAMENTO!$AF$7)*OFFSET(ORÇAMENTO!$W$15,ROW(AO515)-ROW(AO$15),0),15-13*ORÇAMENTO!$AF$11)),0)</f>
        <v>0</v>
      </c>
      <c r="AP515" s="545">
        <f ca="1">IF(AND($D515="Serviço",AP$12&lt;&gt;0,$H515&gt;0,OR(AUTOEVENTO&lt;&gt;"manual",$M515&lt;&gt;1)),
IF(Import.TipoArredondamento&lt;&gt;"TransfereGOV",
ROUND(OFFSET($P515,0,AP$13),15-13*ORÇAMENTO!$AF$7)/$H515*OFFSET(ORÇAMENTO!$X$15,ROW(AP515)-ROW(AP$15),0),
ROUND(ROUND(OFFSET($P515,0,AP$13),15-13*ORÇAMENTO!$AF$7)*OFFSET(ORÇAMENTO!$W$15,ROW(AP515)-ROW(AP$15),0),15-13*ORÇAMENTO!$AF$11)),0)</f>
        <v>0</v>
      </c>
      <c r="AQ515" s="545">
        <f ca="1">IF(AND($D515="Serviço",AQ$12&lt;&gt;0,$H515&gt;0,OR(AUTOEVENTO&lt;&gt;"manual",$M515&lt;&gt;1)),
IF(Import.TipoArredondamento&lt;&gt;"TransfereGOV",
ROUND(OFFSET($P515,0,AQ$13),15-13*ORÇAMENTO!$AF$7)/$H515*OFFSET(ORÇAMENTO!$X$15,ROW(AQ515)-ROW(AQ$15),0),
ROUND(ROUND(OFFSET($P515,0,AQ$13),15-13*ORÇAMENTO!$AF$7)*OFFSET(ORÇAMENTO!$W$15,ROW(AQ515)-ROW(AQ$15),0),15-13*ORÇAMENTO!$AF$11)),0)</f>
        <v>0</v>
      </c>
      <c r="AR515" s="545">
        <f ca="1">IF(AND($D515="Serviço",AR$12&lt;&gt;0,$H515&gt;0,OR(AUTOEVENTO&lt;&gt;"manual",$M515&lt;&gt;1)),
IF(Import.TipoArredondamento&lt;&gt;"TransfereGOV",
ROUND(OFFSET($P515,0,AR$13),15-13*ORÇAMENTO!$AF$7)/$H515*OFFSET(ORÇAMENTO!$X$15,ROW(AR515)-ROW(AR$15),0),
ROUND(ROUND(OFFSET($P515,0,AR$13),15-13*ORÇAMENTO!$AF$7)*OFFSET(ORÇAMENTO!$W$15,ROW(AR515)-ROW(AR$15),0),15-13*ORÇAMENTO!$AF$11)),0)</f>
        <v>0</v>
      </c>
      <c r="AS515" s="546">
        <f ca="1">IF(AND($D515="Serviço",AS$12&lt;&gt;0,$H515&gt;0,OR(AUTOEVENTO&lt;&gt;"manual",$M515&lt;&gt;1)),
IF(Import.TipoArredondamento&lt;&gt;"TransfereGOV",
ROUND(OFFSET($P515,0,AS$13),15-13*ORÇAMENTO!$AF$7)/$H515*OFFSET(ORÇAMENTO!$X$15,ROW(AS515)-ROW(AS$15),0),
ROUND(ROUND(OFFSET($P515,0,AS$13),15-13*ORÇAMENTO!$AF$7)*OFFSET(ORÇAMENTO!$W$15,ROW(AS515)-ROW(AS$15),0),15-13*ORÇAMENTO!$AF$11)),0)</f>
        <v>0</v>
      </c>
      <c r="AT515" s="545">
        <f ca="1">IF(AND($D515="Serviço",AT$12&lt;&gt;0,$H515&gt;0,OR(AUTOEVENTO&lt;&gt;"manual",$M515&lt;&gt;1)),
IF(Import.TipoArredondamento&lt;&gt;"TransfereGOV",
ROUND(OFFSET($P515,0,AT$13),15-13*ORÇAMENTO!$AF$7)/$H515*OFFSET(ORÇAMENTO!$X$15,ROW(AT515)-ROW(AT$15),0),
ROUND(ROUND(OFFSET($P515,0,AT$13),15-13*ORÇAMENTO!$AF$7)*OFFSET(ORÇAMENTO!$W$15,ROW(AT515)-ROW(AT$15),0),15-13*ORÇAMENTO!$AF$11)),0)</f>
        <v>0</v>
      </c>
      <c r="AU515" s="545">
        <f ca="1">IF(AND($D515="Serviço",AU$12&lt;&gt;0,$H515&gt;0,OR(AUTOEVENTO&lt;&gt;"manual",$M515&lt;&gt;1)),
IF(Import.TipoArredondamento&lt;&gt;"TransfereGOV",
ROUND(OFFSET($P515,0,AU$13),15-13*ORÇAMENTO!$AF$7)/$H515*OFFSET(ORÇAMENTO!$X$15,ROW(AU515)-ROW(AU$15),0),
ROUND(ROUND(OFFSET($P515,0,AU$13),15-13*ORÇAMENTO!$AF$7)*OFFSET(ORÇAMENTO!$W$15,ROW(AU515)-ROW(AU$15),0),15-13*ORÇAMENTO!$AF$11)),0)</f>
        <v>0</v>
      </c>
      <c r="AV515" s="545">
        <f ca="1">IF(AND($D515="Serviço",AV$12&lt;&gt;0,$H515&gt;0,OR(AUTOEVENTO&lt;&gt;"manual",$M515&lt;&gt;1)),
IF(Import.TipoArredondamento&lt;&gt;"TransfereGOV",
ROUND(OFFSET($P515,0,AV$13),15-13*ORÇAMENTO!$AF$7)/$H515*OFFSET(ORÇAMENTO!$X$15,ROW(AV515)-ROW(AV$15),0),
ROUND(ROUND(OFFSET($P515,0,AV$13),15-13*ORÇAMENTO!$AF$7)*OFFSET(ORÇAMENTO!$W$15,ROW(AV515)-ROW(AV$15),0),15-13*ORÇAMENTO!$AF$11)),0)</f>
        <v>0</v>
      </c>
      <c r="AW515" s="545">
        <f ca="1">IF(AND($D515="Serviço",AW$12&lt;&gt;0,$H515&gt;0,OR(AUTOEVENTO&lt;&gt;"manual",$M515&lt;&gt;1)),
IF(Import.TipoArredondamento&lt;&gt;"TransfereGOV",
ROUND(OFFSET($P515,0,AW$13),15-13*ORÇAMENTO!$AF$7)/$H515*OFFSET(ORÇAMENTO!$X$15,ROW(AW515)-ROW(AW$15),0),
ROUND(ROUND(OFFSET($P515,0,AW$13),15-13*ORÇAMENTO!$AF$7)*OFFSET(ORÇAMENTO!$W$15,ROW(AW515)-ROW(AW$15),0),15-13*ORÇAMENTO!$AF$11)),0)</f>
        <v>0</v>
      </c>
      <c r="AX515" s="545">
        <f ca="1">IF(AND($D515="Serviço",AX$12&lt;&gt;0,$H515&gt;0,OR(AUTOEVENTO&lt;&gt;"manual",$M515&lt;&gt;1)),
IF(Import.TipoArredondamento&lt;&gt;"TransfereGOV",
ROUND(OFFSET($P515,0,AX$13),15-13*ORÇAMENTO!$AF$7)/$H515*OFFSET(ORÇAMENTO!$X$15,ROW(AX515)-ROW(AX$15),0),
ROUND(ROUND(OFFSET($P515,0,AX$13),15-13*ORÇAMENTO!$AF$7)*OFFSET(ORÇAMENTO!$W$15,ROW(AX515)-ROW(AX$15),0),15-13*ORÇAMENTO!$AF$11)),0)</f>
        <v>0</v>
      </c>
      <c r="AY515" s="545">
        <f ca="1">IF(AND($D515="Serviço",AY$12&lt;&gt;0,$H515&gt;0,OR(AUTOEVENTO&lt;&gt;"manual",$M515&lt;&gt;1)),
IF(Import.TipoArredondamento&lt;&gt;"TransfereGOV",
ROUND(OFFSET($P515,0,AY$13),15-13*ORÇAMENTO!$AF$7)/$H515*OFFSET(ORÇAMENTO!$X$15,ROW(AY515)-ROW(AY$15),0),
ROUND(ROUND(OFFSET($P515,0,AY$13),15-13*ORÇAMENTO!$AF$7)*OFFSET(ORÇAMENTO!$W$15,ROW(AY515)-ROW(AY$15),0),15-13*ORÇAMENTO!$AF$11)),0)</f>
        <v>0</v>
      </c>
      <c r="AZ515" s="545">
        <f ca="1">IF(AND($D515="Serviço",AZ$12&lt;&gt;0,$H515&gt;0,OR(AUTOEVENTO&lt;&gt;"manual",$M515&lt;&gt;1)),
IF(Import.TipoArredondamento&lt;&gt;"TransfereGOV",
ROUND(OFFSET($P515,0,AZ$13),15-13*ORÇAMENTO!$AF$7)/$H515*OFFSET(ORÇAMENTO!$X$15,ROW(AZ515)-ROW(AZ$15),0),
ROUND(ROUND(OFFSET($P515,0,AZ$13),15-13*ORÇAMENTO!$AF$7)*OFFSET(ORÇAMENTO!$W$15,ROW(AZ515)-ROW(AZ$15),0),15-13*ORÇAMENTO!$AF$11)),0)</f>
        <v>0</v>
      </c>
      <c r="BA515" s="546">
        <f ca="1">IF(AND($D515="Serviço",BA$12&lt;&gt;0,$H515&gt;0,OR(AUTOEVENTO&lt;&gt;"manual",$M515&lt;&gt;1)),
IF(Import.TipoArredondamento&lt;&gt;"TransfereGOV",
ROUND(OFFSET($P515,0,BA$13),15-13*ORÇAMENTO!$AF$7)/$H515*OFFSET(ORÇAMENTO!$X$15,ROW(BA515)-ROW(BA$15),0),
ROUND(ROUND(OFFSET($P515,0,BA$13),15-13*ORÇAMENTO!$AF$7)*OFFSET(ORÇAMENTO!$W$15,ROW(BA515)-ROW(BA$15),0),15-13*ORÇAMENTO!$AF$11)),0)</f>
        <v>0</v>
      </c>
      <c r="BC515" s="181">
        <f ca="1">IF($D515&lt;&gt;"Serviço",0,IF(AND(AUTOEVENTO="Manual",$M515=1),0,IF(OFFSET(CRONOPLE!$F$14,$M515,BC$13)="",10^12,OFFSET(CRONOPLE!$F$14,$M515,BC$13))))</f>
        <v>10</v>
      </c>
      <c r="BD515" s="181">
        <f ca="1">IF($D515&lt;&gt;"Serviço",0,IF(AND(AUTOEVENTO="Manual",$M515=1),0,IF(OFFSET(CRONOPLE!$F$14,$M515,BD$13)="",10^12,OFFSET(CRONOPLE!$F$14,$M515,BD$13))))</f>
        <v>1000000000000</v>
      </c>
      <c r="BE515" s="181">
        <f ca="1">IF($D515&lt;&gt;"Serviço",0,IF(AND(AUTOEVENTO="Manual",$M515=1),0,IF(OFFSET(CRONOPLE!$F$14,$M515,BE$13)="",10^12,OFFSET(CRONOPLE!$F$14,$M515,BE$13))))</f>
        <v>1000000000000</v>
      </c>
      <c r="BF515" s="181">
        <f ca="1">IF($D515&lt;&gt;"Serviço",0,IF(AND(AUTOEVENTO="Manual",$M515=1),0,IF(OFFSET(CRONOPLE!$F$14,$M515,BF$13)="",10^12,OFFSET(CRONOPLE!$F$14,$M515,BF$13))))</f>
        <v>1000000000000</v>
      </c>
      <c r="BG515" s="181">
        <f ca="1">IF($D515&lt;&gt;"Serviço",0,IF(AND(AUTOEVENTO="Manual",$M515=1),0,IF(OFFSET(CRONOPLE!$F$14,$M515,BG$13)="",10^12,OFFSET(CRONOPLE!$F$14,$M515,BG$13))))</f>
        <v>1000000000000</v>
      </c>
      <c r="BH515" s="181">
        <f ca="1">IF($D515&lt;&gt;"Serviço",0,IF(AND(AUTOEVENTO="Manual",$M515=1),0,IF(OFFSET(CRONOPLE!$F$14,$M515,BH$13)="",10^12,OFFSET(CRONOPLE!$F$14,$M515,BH$13))))</f>
        <v>1000000000000</v>
      </c>
      <c r="BI515" s="181">
        <f ca="1">IF($D515&lt;&gt;"Serviço",0,IF(AND(AUTOEVENTO="Manual",$M515=1),0,IF(OFFSET(CRONOPLE!$F$14,$M515,BI$13)="",10^12,OFFSET(CRONOPLE!$F$14,$M515,BI$13))))</f>
        <v>1000000000000</v>
      </c>
      <c r="BJ515" s="181">
        <f ca="1">IF($D515&lt;&gt;"Serviço",0,IF(AND(AUTOEVENTO="Manual",$M515=1),0,IF(OFFSET(CRONOPLE!$F$14,$M515,BJ$13)="",10^12,OFFSET(CRONOPLE!$F$14,$M515,BJ$13))))</f>
        <v>1000000000000</v>
      </c>
      <c r="BK515" s="181">
        <f ca="1">IF($D515&lt;&gt;"Serviço",0,IF(AND(AUTOEVENTO="Manual",$M515=1),0,IF(OFFSET(CRONOPLE!$F$14,$M515,BK$13)="",10^12,OFFSET(CRONOPLE!$F$14,$M515,BK$13))))</f>
        <v>1000000000000</v>
      </c>
      <c r="BL515" s="181">
        <f ca="1">IF($D515&lt;&gt;"Serviço",0,IF(AND(AUTOEVENTO="Manual",$M515=1),0,IF(OFFSET(CRONOPLE!$F$14,$M515,BL$13)="",10^12,OFFSET(CRONOPLE!$F$14,$M515,BL$13))))</f>
        <v>1000000000000</v>
      </c>
      <c r="BM515" s="181">
        <f ca="1">IF($D515&lt;&gt;"Serviço",0,IF(AND(AUTOEVENTO="Manual",$M515=1),0,IF(OFFSET(CRONOPLE!$F$14,$M515,BM$13)="",10^12,OFFSET(CRONOPLE!$F$14,$M515,BM$13))))</f>
        <v>1000000000000</v>
      </c>
      <c r="BN515" s="181">
        <f ca="1">IF($D515&lt;&gt;"Serviço",0,IF(AND(AUTOEVENTO="Manual",$M515=1),0,IF(OFFSET(CRONOPLE!$F$14,$M515,BN$13)="",10^12,OFFSET(CRONOPLE!$F$14,$M515,BN$13))))</f>
        <v>1000000000000</v>
      </c>
      <c r="BO515" s="181">
        <f ca="1">IF($D515&lt;&gt;"Serviço",0,IF(AND(AUTOEVENTO="Manual",$M515=1),0,IF(OFFSET(CRONOPLE!$F$14,$M515,BO$13)="",10^12,OFFSET(CRONOPLE!$F$14,$M515,BO$13))))</f>
        <v>1000000000000</v>
      </c>
      <c r="BP515" s="181">
        <f ca="1">IF($D515&lt;&gt;"Serviço",0,IF(AND(AUTOEVENTO="Manual",$M515=1),0,IF(OFFSET(CRONOPLE!$F$14,$M515,BP$13)="",10^12,OFFSET(CRONOPLE!$F$14,$M515,BP$13))))</f>
        <v>1000000000000</v>
      </c>
      <c r="BQ515" s="181">
        <f ca="1">IF($D515&lt;&gt;"Serviço",0,IF(AND(AUTOEVENTO="Manual",$M515=1),0,IF(OFFSET(CRONOPLE!$F$14,$M515,BQ$13)="",10^12,OFFSET(CRONOPLE!$F$14,$M515,BQ$13))))</f>
        <v>1000000000000</v>
      </c>
      <c r="BR515" s="181">
        <f ca="1">IF($D515&lt;&gt;"Serviço",0,IF(AND(AUTOEVENTO="Manual",$M515=1),0,IF(OFFSET(CRONOPLE!$F$14,$M515,BR$13)="",10^12,OFFSET(CRONOPLE!$F$14,$M515,BR$13))))</f>
        <v>1000000000000</v>
      </c>
      <c r="BS515" s="181">
        <f ca="1">IF($D515&lt;&gt;"Serviço",0,IF(AND(AUTOEVENTO="Manual",$M515=1),0,IF(OFFSET(CRONOPLE!$F$14,$M515,BS$13)="",10^12,OFFSET(CRONOPLE!$F$14,$M515,BS$13))))</f>
        <v>1000000000000</v>
      </c>
      <c r="BT515" s="181">
        <f ca="1">IF($D515&lt;&gt;"Serviço",0,IF(AND(AUTOEVENTO="Manual",$M515=1),0,IF(OFFSET(CRONOPLE!$F$14,$M515,BT$13)="",10^12,OFFSET(CRONOPLE!$F$14,$M515,BT$13))))</f>
        <v>1000000000000</v>
      </c>
      <c r="BV515" s="182">
        <f ca="1">IF($D515&lt;&gt;"Serviço",0,IF(OR(AND(AUTOEVENTO="Manual",$M515=1),$M515&gt;(ROW(PLE.lastrow)-ROW(PLE.firstrow))),0,IF(OFFSET(PLE!$G$14,$M515,BV$13)="",10^12,OFFSET(PLE!$G$14,$M515,BV$13))))</f>
        <v>1000000000000</v>
      </c>
      <c r="BW515" s="182">
        <f ca="1">IF($D515&lt;&gt;"Serviço",0,IF(OR(AND(AUTOEVENTO="Manual",$M515=1),$M515&gt;(ROW(PLE.lastrow)-ROW(PLE.firstrow))),0,IF(OFFSET(PLE!$G$14,$M515,BW$13)="",10^12,OFFSET(PLE!$G$14,$M515,BW$13))))</f>
        <v>1000000000000</v>
      </c>
      <c r="BX515" s="182">
        <f ca="1">IF($D515&lt;&gt;"Serviço",0,IF(OR(AND(AUTOEVENTO="Manual",$M515=1),$M515&gt;(ROW(PLE.lastrow)-ROW(PLE.firstrow))),0,IF(OFFSET(PLE!$G$14,$M515,BX$13)="",10^12,OFFSET(PLE!$G$14,$M515,BX$13))))</f>
        <v>1000000000000</v>
      </c>
      <c r="BY515" s="182">
        <f ca="1">IF($D515&lt;&gt;"Serviço",0,IF(OR(AND(AUTOEVENTO="Manual",$M515=1),$M515&gt;(ROW(PLE.lastrow)-ROW(PLE.firstrow))),0,IF(OFFSET(PLE!$G$14,$M515,BY$13)="",10^12,OFFSET(PLE!$G$14,$M515,BY$13))))</f>
        <v>1000000000000</v>
      </c>
      <c r="BZ515" s="182">
        <f ca="1">IF($D515&lt;&gt;"Serviço",0,IF(OR(AND(AUTOEVENTO="Manual",$M515=1),$M515&gt;(ROW(PLE.lastrow)-ROW(PLE.firstrow))),0,IF(OFFSET(PLE!$G$14,$M515,BZ$13)="",10^12,OFFSET(PLE!$G$14,$M515,BZ$13))))</f>
        <v>1000000000000</v>
      </c>
      <c r="CA515" s="182">
        <f ca="1">IF($D515&lt;&gt;"Serviço",0,IF(OR(AND(AUTOEVENTO="Manual",$M515=1),$M515&gt;(ROW(PLE.lastrow)-ROW(PLE.firstrow))),0,IF(OFFSET(PLE!$G$14,$M515,CA$13)="",10^12,OFFSET(PLE!$G$14,$M515,CA$13))))</f>
        <v>1000000000000</v>
      </c>
      <c r="CB515" s="182">
        <f ca="1">IF($D515&lt;&gt;"Serviço",0,IF(OR(AND(AUTOEVENTO="Manual",$M515=1),$M515&gt;(ROW(PLE.lastrow)-ROW(PLE.firstrow))),0,IF(OFFSET(PLE!$G$14,$M515,CB$13)="",10^12,OFFSET(PLE!$G$14,$M515,CB$13))))</f>
        <v>1000000000000</v>
      </c>
      <c r="CC515" s="182">
        <f ca="1">IF($D515&lt;&gt;"Serviço",0,IF(OR(AND(AUTOEVENTO="Manual",$M515=1),$M515&gt;(ROW(PLE.lastrow)-ROW(PLE.firstrow))),0,IF(OFFSET(PLE!$G$14,$M515,CC$13)="",10^12,OFFSET(PLE!$G$14,$M515,CC$13))))</f>
        <v>1000000000000</v>
      </c>
      <c r="CD515" s="182">
        <f ca="1">IF($D515&lt;&gt;"Serviço",0,IF(OR(AND(AUTOEVENTO="Manual",$M515=1),$M515&gt;(ROW(PLE.lastrow)-ROW(PLE.firstrow))),0,IF(OFFSET(PLE!$G$14,$M515,CD$13)="",10^12,OFFSET(PLE!$G$14,$M515,CD$13))))</f>
        <v>1000000000000</v>
      </c>
      <c r="CE515" s="182">
        <f ca="1">IF($D515&lt;&gt;"Serviço",0,IF(OR(AND(AUTOEVENTO="Manual",$M515=1),$M515&gt;(ROW(PLE.lastrow)-ROW(PLE.firstrow))),0,IF(OFFSET(PLE!$G$14,$M515,CE$13)="",10^12,OFFSET(PLE!$G$14,$M515,CE$13))))</f>
        <v>1000000000000</v>
      </c>
      <c r="CF515" s="182">
        <f ca="1">IF($D515&lt;&gt;"Serviço",0,IF(OR(AND(AUTOEVENTO="Manual",$M515=1),$M515&gt;(ROW(PLE.lastrow)-ROW(PLE.firstrow))),0,IF(OFFSET(PLE!$G$14,$M515,CF$13)="",10^12,OFFSET(PLE!$G$14,$M515,CF$13))))</f>
        <v>1000000000000</v>
      </c>
      <c r="CG515" s="182">
        <f ca="1">IF($D515&lt;&gt;"Serviço",0,IF(OR(AND(AUTOEVENTO="Manual",$M515=1),$M515&gt;(ROW(PLE.lastrow)-ROW(PLE.firstrow))),0,IF(OFFSET(PLE!$G$14,$M515,CG$13)="",10^12,OFFSET(PLE!$G$14,$M515,CG$13))))</f>
        <v>1000000000000</v>
      </c>
      <c r="CH515" s="182">
        <f ca="1">IF($D515&lt;&gt;"Serviço",0,IF(OR(AND(AUTOEVENTO="Manual",$M515=1),$M515&gt;(ROW(PLE.lastrow)-ROW(PLE.firstrow))),0,IF(OFFSET(PLE!$G$14,$M515,CH$13)="",10^12,OFFSET(PLE!$G$14,$M515,CH$13))))</f>
        <v>1000000000000</v>
      </c>
      <c r="CI515" s="182">
        <f ca="1">IF($D515&lt;&gt;"Serviço",0,IF(OR(AND(AUTOEVENTO="Manual",$M515=1),$M515&gt;(ROW(PLE.lastrow)-ROW(PLE.firstrow))),0,IF(OFFSET(PLE!$G$14,$M515,CI$13)="",10^12,OFFSET(PLE!$G$14,$M515,CI$13))))</f>
        <v>1000000000000</v>
      </c>
      <c r="CJ515" s="182">
        <f ca="1">IF($D515&lt;&gt;"Serviço",0,IF(OR(AND(AUTOEVENTO="Manual",$M515=1),$M515&gt;(ROW(PLE.lastrow)-ROW(PLE.firstrow))),0,IF(OFFSET(PLE!$G$14,$M515,CJ$13)="",10^12,OFFSET(PLE!$G$14,$M515,CJ$13))))</f>
        <v>1000000000000</v>
      </c>
      <c r="CK515" s="182">
        <f ca="1">IF($D515&lt;&gt;"Serviço",0,IF(OR(AND(AUTOEVENTO="Manual",$M515=1),$M515&gt;(ROW(PLE.lastrow)-ROW(PLE.firstrow))),0,IF(OFFSET(PLE!$G$14,$M515,CK$13)="",10^12,OFFSET(PLE!$G$14,$M515,CK$13))))</f>
        <v>1000000000000</v>
      </c>
      <c r="CL515" s="182">
        <f ca="1">IF($D515&lt;&gt;"Serviço",0,IF(OR(AND(AUTOEVENTO="Manual",$M515=1),$M515&gt;(ROW(PLE.lastrow)-ROW(PLE.firstrow))),0,IF(OFFSET(PLE!$G$14,$M515,CL$13)="",10^12,OFFSET(PLE!$G$14,$M515,CL$13))))</f>
        <v>1000000000000</v>
      </c>
      <c r="CM515" s="182">
        <f ca="1">IF($D515&lt;&gt;"Serviço",0,IF(OR(AND(AUTOEVENTO="Manual",$M515=1),$M515&gt;(ROW(PLE.lastrow)-ROW(PLE.firstrow))),0,IF(OFFSET(PLE!$G$14,$M515,CM$13)="",10^12,OFFSET(PLE!$G$14,$M515,CM$13))))</f>
        <v>1000000000000</v>
      </c>
    </row>
    <row r="516" spans="1:91" ht="38.25" x14ac:dyDescent="0.2">
      <c r="A516" s="7" t="str">
        <f t="shared" ca="1" si="16"/>
        <v>493</v>
      </c>
      <c r="B516" s="7" t="str">
        <f ca="1">OFFSET(ORÇAMENTO!C$15,ROW(B516)-ROW(B$15),0)</f>
        <v>S</v>
      </c>
      <c r="C516" s="7" t="str">
        <f ca="1">OFFSET(ORÇAMENTO!L$15,ROW(C516)-ROW(C$15),0)</f>
        <v/>
      </c>
      <c r="D516" s="118" t="str">
        <f ca="1">OFFSET(ORÇAMENTO!N$15,ROW(D516)-ROW(D$15),0)</f>
        <v>Serviço</v>
      </c>
      <c r="E516" s="119" t="str">
        <f ca="1">OFFSET(ORÇAMENTO!O$15,ROW(E516)-ROW(E$15),0)</f>
        <v>-</v>
      </c>
      <c r="F516" s="172" t="str">
        <f ca="1">OFFSET(ORÇAMENTO!R$15,ROW(F516)-ROW(F$15),0)</f>
        <v>(abra o arquivo 'Referência 06-2024.xlsm)</v>
      </c>
      <c r="G516" s="173" t="str">
        <f ca="1">IF($D516&lt;&gt;"Serviço","",OFFSET(ORÇAMENTO!S$15,ROW(G516)-ROW(G$15),0))</f>
        <v>-</v>
      </c>
      <c r="H516" s="124">
        <f ca="1">IF($D516&lt;&gt;"Serviço",0,IF(ACOMPANHAMENTO="BM",ROUND(OFFSET(ORÇAMENTO!AJ$15,ROW(H516)-ROW(H$15),0),15-13*ORÇAMENTO!$AF$7),SUMPRODUCT(($Q$12:$AI$12&lt;&gt;"")*ROUND($Q516:$AI516,15-13*ORÇAMENTO!$AF$7))))</f>
        <v>129</v>
      </c>
      <c r="I516" s="561" t="s">
        <v>1107</v>
      </c>
      <c r="K516" s="174"/>
      <c r="L516" s="175" t="s">
        <v>255</v>
      </c>
      <c r="M516" s="176">
        <f ca="1">IF($D516&lt;&gt;"Serviço","",IF(AUTOEVENTO="manual",$A516,IF(ISERROR(MATCH($A516,$A$15:OFFSET($A516,-1,0),0)),MAX($M$15:OFFSET(M516,-1,0))+1,INDEX($M$15:OFFSET(M516,-1,0),MATCH($A516,$A$15:OFFSET($A516,-1,0),0)))))</f>
        <v>54</v>
      </c>
      <c r="N516" s="177" t="str">
        <f ca="1">IF($D516&lt;&gt;"Serviço","",IF(AUTOEVENTO="Manual",IF($A516=0,"&lt;-- defina o número do agrupador",OFFSET(EVENTOS!$D$14,$A516,0)),OFFSET($F$15,$A516,0)))</f>
        <v>INSTALAÇÃO ELÉTRICA 110V - CABOS</v>
      </c>
      <c r="O516" s="178"/>
      <c r="Q516" s="178">
        <v>129</v>
      </c>
      <c r="R516" s="179"/>
      <c r="S516" s="179"/>
      <c r="T516" s="179"/>
      <c r="U516" s="179"/>
      <c r="V516" s="179"/>
      <c r="W516" s="179"/>
      <c r="X516" s="179"/>
      <c r="Y516" s="179"/>
      <c r="Z516" s="180"/>
      <c r="AA516" s="179"/>
      <c r="AB516" s="179"/>
      <c r="AC516" s="179"/>
      <c r="AD516" s="179"/>
      <c r="AE516" s="179"/>
      <c r="AF516" s="179"/>
      <c r="AG516" s="179"/>
      <c r="AH516" s="180"/>
      <c r="AJ516" s="544">
        <f ca="1">IF(AND($D516="Serviço",AJ$12&lt;&gt;0,$H516&gt;0,OR(AUTOEVENTO&lt;&gt;"manual",$M516&lt;&gt;1)),
IF(Import.TipoArredondamento&lt;&gt;"TransfereGOV",
ROUND(OFFSET($P516,0,AJ$13),15-13*ORÇAMENTO!$AF$7)/$H516*OFFSET(ORÇAMENTO!$X$15,ROW(AJ516)-ROW(AJ$15),0),
ROUND(ROUND(OFFSET($P516,0,AJ$13),15-13*ORÇAMENTO!$AF$7)*OFFSET(ORÇAMENTO!$W$15,ROW(AJ516)-ROW(AJ$15),0),15-13*ORÇAMENTO!$AF$11)),0)</f>
        <v>0</v>
      </c>
      <c r="AK516" s="545">
        <f ca="1">IF(AND($D516="Serviço",AK$12&lt;&gt;0,$H516&gt;0,OR(AUTOEVENTO&lt;&gt;"manual",$M516&lt;&gt;1)),
IF(Import.TipoArredondamento&lt;&gt;"TransfereGOV",
ROUND(OFFSET($P516,0,AK$13),15-13*ORÇAMENTO!$AF$7)/$H516*OFFSET(ORÇAMENTO!$X$15,ROW(AK516)-ROW(AK$15),0),
ROUND(ROUND(OFFSET($P516,0,AK$13),15-13*ORÇAMENTO!$AF$7)*OFFSET(ORÇAMENTO!$W$15,ROW(AK516)-ROW(AK$15),0),15-13*ORÇAMENTO!$AF$11)),0)</f>
        <v>0</v>
      </c>
      <c r="AL516" s="545">
        <f ca="1">IF(AND($D516="Serviço",AL$12&lt;&gt;0,$H516&gt;0,OR(AUTOEVENTO&lt;&gt;"manual",$M516&lt;&gt;1)),
IF(Import.TipoArredondamento&lt;&gt;"TransfereGOV",
ROUND(OFFSET($P516,0,AL$13),15-13*ORÇAMENTO!$AF$7)/$H516*OFFSET(ORÇAMENTO!$X$15,ROW(AL516)-ROW(AL$15),0),
ROUND(ROUND(OFFSET($P516,0,AL$13),15-13*ORÇAMENTO!$AF$7)*OFFSET(ORÇAMENTO!$W$15,ROW(AL516)-ROW(AL$15),0),15-13*ORÇAMENTO!$AF$11)),0)</f>
        <v>0</v>
      </c>
      <c r="AM516" s="545">
        <f ca="1">IF(AND($D516="Serviço",AM$12&lt;&gt;0,$H516&gt;0,OR(AUTOEVENTO&lt;&gt;"manual",$M516&lt;&gt;1)),
IF(Import.TipoArredondamento&lt;&gt;"TransfereGOV",
ROUND(OFFSET($P516,0,AM$13),15-13*ORÇAMENTO!$AF$7)/$H516*OFFSET(ORÇAMENTO!$X$15,ROW(AM516)-ROW(AM$15),0),
ROUND(ROUND(OFFSET($P516,0,AM$13),15-13*ORÇAMENTO!$AF$7)*OFFSET(ORÇAMENTO!$W$15,ROW(AM516)-ROW(AM$15),0),15-13*ORÇAMENTO!$AF$11)),0)</f>
        <v>0</v>
      </c>
      <c r="AN516" s="545">
        <f ca="1">IF(AND($D516="Serviço",AN$12&lt;&gt;0,$H516&gt;0,OR(AUTOEVENTO&lt;&gt;"manual",$M516&lt;&gt;1)),
IF(Import.TipoArredondamento&lt;&gt;"TransfereGOV",
ROUND(OFFSET($P516,0,AN$13),15-13*ORÇAMENTO!$AF$7)/$H516*OFFSET(ORÇAMENTO!$X$15,ROW(AN516)-ROW(AN$15),0),
ROUND(ROUND(OFFSET($P516,0,AN$13),15-13*ORÇAMENTO!$AF$7)*OFFSET(ORÇAMENTO!$W$15,ROW(AN516)-ROW(AN$15),0),15-13*ORÇAMENTO!$AF$11)),0)</f>
        <v>0</v>
      </c>
      <c r="AO516" s="545">
        <f ca="1">IF(AND($D516="Serviço",AO$12&lt;&gt;0,$H516&gt;0,OR(AUTOEVENTO&lt;&gt;"manual",$M516&lt;&gt;1)),
IF(Import.TipoArredondamento&lt;&gt;"TransfereGOV",
ROUND(OFFSET($P516,0,AO$13),15-13*ORÇAMENTO!$AF$7)/$H516*OFFSET(ORÇAMENTO!$X$15,ROW(AO516)-ROW(AO$15),0),
ROUND(ROUND(OFFSET($P516,0,AO$13),15-13*ORÇAMENTO!$AF$7)*OFFSET(ORÇAMENTO!$W$15,ROW(AO516)-ROW(AO$15),0),15-13*ORÇAMENTO!$AF$11)),0)</f>
        <v>0</v>
      </c>
      <c r="AP516" s="545">
        <f ca="1">IF(AND($D516="Serviço",AP$12&lt;&gt;0,$H516&gt;0,OR(AUTOEVENTO&lt;&gt;"manual",$M516&lt;&gt;1)),
IF(Import.TipoArredondamento&lt;&gt;"TransfereGOV",
ROUND(OFFSET($P516,0,AP$13),15-13*ORÇAMENTO!$AF$7)/$H516*OFFSET(ORÇAMENTO!$X$15,ROW(AP516)-ROW(AP$15),0),
ROUND(ROUND(OFFSET($P516,0,AP$13),15-13*ORÇAMENTO!$AF$7)*OFFSET(ORÇAMENTO!$W$15,ROW(AP516)-ROW(AP$15),0),15-13*ORÇAMENTO!$AF$11)),0)</f>
        <v>0</v>
      </c>
      <c r="AQ516" s="545">
        <f ca="1">IF(AND($D516="Serviço",AQ$12&lt;&gt;0,$H516&gt;0,OR(AUTOEVENTO&lt;&gt;"manual",$M516&lt;&gt;1)),
IF(Import.TipoArredondamento&lt;&gt;"TransfereGOV",
ROUND(OFFSET($P516,0,AQ$13),15-13*ORÇAMENTO!$AF$7)/$H516*OFFSET(ORÇAMENTO!$X$15,ROW(AQ516)-ROW(AQ$15),0),
ROUND(ROUND(OFFSET($P516,0,AQ$13),15-13*ORÇAMENTO!$AF$7)*OFFSET(ORÇAMENTO!$W$15,ROW(AQ516)-ROW(AQ$15),0),15-13*ORÇAMENTO!$AF$11)),0)</f>
        <v>0</v>
      </c>
      <c r="AR516" s="545">
        <f ca="1">IF(AND($D516="Serviço",AR$12&lt;&gt;0,$H516&gt;0,OR(AUTOEVENTO&lt;&gt;"manual",$M516&lt;&gt;1)),
IF(Import.TipoArredondamento&lt;&gt;"TransfereGOV",
ROUND(OFFSET($P516,0,AR$13),15-13*ORÇAMENTO!$AF$7)/$H516*OFFSET(ORÇAMENTO!$X$15,ROW(AR516)-ROW(AR$15),0),
ROUND(ROUND(OFFSET($P516,0,AR$13),15-13*ORÇAMENTO!$AF$7)*OFFSET(ORÇAMENTO!$W$15,ROW(AR516)-ROW(AR$15),0),15-13*ORÇAMENTO!$AF$11)),0)</f>
        <v>0</v>
      </c>
      <c r="AS516" s="546">
        <f ca="1">IF(AND($D516="Serviço",AS$12&lt;&gt;0,$H516&gt;0,OR(AUTOEVENTO&lt;&gt;"manual",$M516&lt;&gt;1)),
IF(Import.TipoArredondamento&lt;&gt;"TransfereGOV",
ROUND(OFFSET($P516,0,AS$13),15-13*ORÇAMENTO!$AF$7)/$H516*OFFSET(ORÇAMENTO!$X$15,ROW(AS516)-ROW(AS$15),0),
ROUND(ROUND(OFFSET($P516,0,AS$13),15-13*ORÇAMENTO!$AF$7)*OFFSET(ORÇAMENTO!$W$15,ROW(AS516)-ROW(AS$15),0),15-13*ORÇAMENTO!$AF$11)),0)</f>
        <v>0</v>
      </c>
      <c r="AT516" s="545">
        <f ca="1">IF(AND($D516="Serviço",AT$12&lt;&gt;0,$H516&gt;0,OR(AUTOEVENTO&lt;&gt;"manual",$M516&lt;&gt;1)),
IF(Import.TipoArredondamento&lt;&gt;"TransfereGOV",
ROUND(OFFSET($P516,0,AT$13),15-13*ORÇAMENTO!$AF$7)/$H516*OFFSET(ORÇAMENTO!$X$15,ROW(AT516)-ROW(AT$15),0),
ROUND(ROUND(OFFSET($P516,0,AT$13),15-13*ORÇAMENTO!$AF$7)*OFFSET(ORÇAMENTO!$W$15,ROW(AT516)-ROW(AT$15),0),15-13*ORÇAMENTO!$AF$11)),0)</f>
        <v>0</v>
      </c>
      <c r="AU516" s="545">
        <f ca="1">IF(AND($D516="Serviço",AU$12&lt;&gt;0,$H516&gt;0,OR(AUTOEVENTO&lt;&gt;"manual",$M516&lt;&gt;1)),
IF(Import.TipoArredondamento&lt;&gt;"TransfereGOV",
ROUND(OFFSET($P516,0,AU$13),15-13*ORÇAMENTO!$AF$7)/$H516*OFFSET(ORÇAMENTO!$X$15,ROW(AU516)-ROW(AU$15),0),
ROUND(ROUND(OFFSET($P516,0,AU$13),15-13*ORÇAMENTO!$AF$7)*OFFSET(ORÇAMENTO!$W$15,ROW(AU516)-ROW(AU$15),0),15-13*ORÇAMENTO!$AF$11)),0)</f>
        <v>0</v>
      </c>
      <c r="AV516" s="545">
        <f ca="1">IF(AND($D516="Serviço",AV$12&lt;&gt;0,$H516&gt;0,OR(AUTOEVENTO&lt;&gt;"manual",$M516&lt;&gt;1)),
IF(Import.TipoArredondamento&lt;&gt;"TransfereGOV",
ROUND(OFFSET($P516,0,AV$13),15-13*ORÇAMENTO!$AF$7)/$H516*OFFSET(ORÇAMENTO!$X$15,ROW(AV516)-ROW(AV$15),0),
ROUND(ROUND(OFFSET($P516,0,AV$13),15-13*ORÇAMENTO!$AF$7)*OFFSET(ORÇAMENTO!$W$15,ROW(AV516)-ROW(AV$15),0),15-13*ORÇAMENTO!$AF$11)),0)</f>
        <v>0</v>
      </c>
      <c r="AW516" s="545">
        <f ca="1">IF(AND($D516="Serviço",AW$12&lt;&gt;0,$H516&gt;0,OR(AUTOEVENTO&lt;&gt;"manual",$M516&lt;&gt;1)),
IF(Import.TipoArredondamento&lt;&gt;"TransfereGOV",
ROUND(OFFSET($P516,0,AW$13),15-13*ORÇAMENTO!$AF$7)/$H516*OFFSET(ORÇAMENTO!$X$15,ROW(AW516)-ROW(AW$15),0),
ROUND(ROUND(OFFSET($P516,0,AW$13),15-13*ORÇAMENTO!$AF$7)*OFFSET(ORÇAMENTO!$W$15,ROW(AW516)-ROW(AW$15),0),15-13*ORÇAMENTO!$AF$11)),0)</f>
        <v>0</v>
      </c>
      <c r="AX516" s="545">
        <f ca="1">IF(AND($D516="Serviço",AX$12&lt;&gt;0,$H516&gt;0,OR(AUTOEVENTO&lt;&gt;"manual",$M516&lt;&gt;1)),
IF(Import.TipoArredondamento&lt;&gt;"TransfereGOV",
ROUND(OFFSET($P516,0,AX$13),15-13*ORÇAMENTO!$AF$7)/$H516*OFFSET(ORÇAMENTO!$X$15,ROW(AX516)-ROW(AX$15),0),
ROUND(ROUND(OFFSET($P516,0,AX$13),15-13*ORÇAMENTO!$AF$7)*OFFSET(ORÇAMENTO!$W$15,ROW(AX516)-ROW(AX$15),0),15-13*ORÇAMENTO!$AF$11)),0)</f>
        <v>0</v>
      </c>
      <c r="AY516" s="545">
        <f ca="1">IF(AND($D516="Serviço",AY$12&lt;&gt;0,$H516&gt;0,OR(AUTOEVENTO&lt;&gt;"manual",$M516&lt;&gt;1)),
IF(Import.TipoArredondamento&lt;&gt;"TransfereGOV",
ROUND(OFFSET($P516,0,AY$13),15-13*ORÇAMENTO!$AF$7)/$H516*OFFSET(ORÇAMENTO!$X$15,ROW(AY516)-ROW(AY$15),0),
ROUND(ROUND(OFFSET($P516,0,AY$13),15-13*ORÇAMENTO!$AF$7)*OFFSET(ORÇAMENTO!$W$15,ROW(AY516)-ROW(AY$15),0),15-13*ORÇAMENTO!$AF$11)),0)</f>
        <v>0</v>
      </c>
      <c r="AZ516" s="545">
        <f ca="1">IF(AND($D516="Serviço",AZ$12&lt;&gt;0,$H516&gt;0,OR(AUTOEVENTO&lt;&gt;"manual",$M516&lt;&gt;1)),
IF(Import.TipoArredondamento&lt;&gt;"TransfereGOV",
ROUND(OFFSET($P516,0,AZ$13),15-13*ORÇAMENTO!$AF$7)/$H516*OFFSET(ORÇAMENTO!$X$15,ROW(AZ516)-ROW(AZ$15),0),
ROUND(ROUND(OFFSET($P516,0,AZ$13),15-13*ORÇAMENTO!$AF$7)*OFFSET(ORÇAMENTO!$W$15,ROW(AZ516)-ROW(AZ$15),0),15-13*ORÇAMENTO!$AF$11)),0)</f>
        <v>0</v>
      </c>
      <c r="BA516" s="546">
        <f ca="1">IF(AND($D516="Serviço",BA$12&lt;&gt;0,$H516&gt;0,OR(AUTOEVENTO&lt;&gt;"manual",$M516&lt;&gt;1)),
IF(Import.TipoArredondamento&lt;&gt;"TransfereGOV",
ROUND(OFFSET($P516,0,BA$13),15-13*ORÇAMENTO!$AF$7)/$H516*OFFSET(ORÇAMENTO!$X$15,ROW(BA516)-ROW(BA$15),0),
ROUND(ROUND(OFFSET($P516,0,BA$13),15-13*ORÇAMENTO!$AF$7)*OFFSET(ORÇAMENTO!$W$15,ROW(BA516)-ROW(BA$15),0),15-13*ORÇAMENTO!$AF$11)),0)</f>
        <v>0</v>
      </c>
      <c r="BC516" s="181">
        <f ca="1">IF($D516&lt;&gt;"Serviço",0,IF(AND(AUTOEVENTO="Manual",$M516=1),0,IF(OFFSET(CRONOPLE!$F$14,$M516,BC$13)="",10^12,OFFSET(CRONOPLE!$F$14,$M516,BC$13))))</f>
        <v>10</v>
      </c>
      <c r="BD516" s="181">
        <f ca="1">IF($D516&lt;&gt;"Serviço",0,IF(AND(AUTOEVENTO="Manual",$M516=1),0,IF(OFFSET(CRONOPLE!$F$14,$M516,BD$13)="",10^12,OFFSET(CRONOPLE!$F$14,$M516,BD$13))))</f>
        <v>1000000000000</v>
      </c>
      <c r="BE516" s="181">
        <f ca="1">IF($D516&lt;&gt;"Serviço",0,IF(AND(AUTOEVENTO="Manual",$M516=1),0,IF(OFFSET(CRONOPLE!$F$14,$M516,BE$13)="",10^12,OFFSET(CRONOPLE!$F$14,$M516,BE$13))))</f>
        <v>1000000000000</v>
      </c>
      <c r="BF516" s="181">
        <f ca="1">IF($D516&lt;&gt;"Serviço",0,IF(AND(AUTOEVENTO="Manual",$M516=1),0,IF(OFFSET(CRONOPLE!$F$14,$M516,BF$13)="",10^12,OFFSET(CRONOPLE!$F$14,$M516,BF$13))))</f>
        <v>1000000000000</v>
      </c>
      <c r="BG516" s="181">
        <f ca="1">IF($D516&lt;&gt;"Serviço",0,IF(AND(AUTOEVENTO="Manual",$M516=1),0,IF(OFFSET(CRONOPLE!$F$14,$M516,BG$13)="",10^12,OFFSET(CRONOPLE!$F$14,$M516,BG$13))))</f>
        <v>1000000000000</v>
      </c>
      <c r="BH516" s="181">
        <f ca="1">IF($D516&lt;&gt;"Serviço",0,IF(AND(AUTOEVENTO="Manual",$M516=1),0,IF(OFFSET(CRONOPLE!$F$14,$M516,BH$13)="",10^12,OFFSET(CRONOPLE!$F$14,$M516,BH$13))))</f>
        <v>1000000000000</v>
      </c>
      <c r="BI516" s="181">
        <f ca="1">IF($D516&lt;&gt;"Serviço",0,IF(AND(AUTOEVENTO="Manual",$M516=1),0,IF(OFFSET(CRONOPLE!$F$14,$M516,BI$13)="",10^12,OFFSET(CRONOPLE!$F$14,$M516,BI$13))))</f>
        <v>1000000000000</v>
      </c>
      <c r="BJ516" s="181">
        <f ca="1">IF($D516&lt;&gt;"Serviço",0,IF(AND(AUTOEVENTO="Manual",$M516=1),0,IF(OFFSET(CRONOPLE!$F$14,$M516,BJ$13)="",10^12,OFFSET(CRONOPLE!$F$14,$M516,BJ$13))))</f>
        <v>1000000000000</v>
      </c>
      <c r="BK516" s="181">
        <f ca="1">IF($D516&lt;&gt;"Serviço",0,IF(AND(AUTOEVENTO="Manual",$M516=1),0,IF(OFFSET(CRONOPLE!$F$14,$M516,BK$13)="",10^12,OFFSET(CRONOPLE!$F$14,$M516,BK$13))))</f>
        <v>1000000000000</v>
      </c>
      <c r="BL516" s="181">
        <f ca="1">IF($D516&lt;&gt;"Serviço",0,IF(AND(AUTOEVENTO="Manual",$M516=1),0,IF(OFFSET(CRONOPLE!$F$14,$M516,BL$13)="",10^12,OFFSET(CRONOPLE!$F$14,$M516,BL$13))))</f>
        <v>1000000000000</v>
      </c>
      <c r="BM516" s="181">
        <f ca="1">IF($D516&lt;&gt;"Serviço",0,IF(AND(AUTOEVENTO="Manual",$M516=1),0,IF(OFFSET(CRONOPLE!$F$14,$M516,BM$13)="",10^12,OFFSET(CRONOPLE!$F$14,$M516,BM$13))))</f>
        <v>1000000000000</v>
      </c>
      <c r="BN516" s="181">
        <f ca="1">IF($D516&lt;&gt;"Serviço",0,IF(AND(AUTOEVENTO="Manual",$M516=1),0,IF(OFFSET(CRONOPLE!$F$14,$M516,BN$13)="",10^12,OFFSET(CRONOPLE!$F$14,$M516,BN$13))))</f>
        <v>1000000000000</v>
      </c>
      <c r="BO516" s="181">
        <f ca="1">IF($D516&lt;&gt;"Serviço",0,IF(AND(AUTOEVENTO="Manual",$M516=1),0,IF(OFFSET(CRONOPLE!$F$14,$M516,BO$13)="",10^12,OFFSET(CRONOPLE!$F$14,$M516,BO$13))))</f>
        <v>1000000000000</v>
      </c>
      <c r="BP516" s="181">
        <f ca="1">IF($D516&lt;&gt;"Serviço",0,IF(AND(AUTOEVENTO="Manual",$M516=1),0,IF(OFFSET(CRONOPLE!$F$14,$M516,BP$13)="",10^12,OFFSET(CRONOPLE!$F$14,$M516,BP$13))))</f>
        <v>1000000000000</v>
      </c>
      <c r="BQ516" s="181">
        <f ca="1">IF($D516&lt;&gt;"Serviço",0,IF(AND(AUTOEVENTO="Manual",$M516=1),0,IF(OFFSET(CRONOPLE!$F$14,$M516,BQ$13)="",10^12,OFFSET(CRONOPLE!$F$14,$M516,BQ$13))))</f>
        <v>1000000000000</v>
      </c>
      <c r="BR516" s="181">
        <f ca="1">IF($D516&lt;&gt;"Serviço",0,IF(AND(AUTOEVENTO="Manual",$M516=1),0,IF(OFFSET(CRONOPLE!$F$14,$M516,BR$13)="",10^12,OFFSET(CRONOPLE!$F$14,$M516,BR$13))))</f>
        <v>1000000000000</v>
      </c>
      <c r="BS516" s="181">
        <f ca="1">IF($D516&lt;&gt;"Serviço",0,IF(AND(AUTOEVENTO="Manual",$M516=1),0,IF(OFFSET(CRONOPLE!$F$14,$M516,BS$13)="",10^12,OFFSET(CRONOPLE!$F$14,$M516,BS$13))))</f>
        <v>1000000000000</v>
      </c>
      <c r="BT516" s="181">
        <f ca="1">IF($D516&lt;&gt;"Serviço",0,IF(AND(AUTOEVENTO="Manual",$M516=1),0,IF(OFFSET(CRONOPLE!$F$14,$M516,BT$13)="",10^12,OFFSET(CRONOPLE!$F$14,$M516,BT$13))))</f>
        <v>1000000000000</v>
      </c>
      <c r="BV516" s="182">
        <f ca="1">IF($D516&lt;&gt;"Serviço",0,IF(OR(AND(AUTOEVENTO="Manual",$M516=1),$M516&gt;(ROW(PLE.lastrow)-ROW(PLE.firstrow))),0,IF(OFFSET(PLE!$G$14,$M516,BV$13)="",10^12,OFFSET(PLE!$G$14,$M516,BV$13))))</f>
        <v>1000000000000</v>
      </c>
      <c r="BW516" s="182">
        <f ca="1">IF($D516&lt;&gt;"Serviço",0,IF(OR(AND(AUTOEVENTO="Manual",$M516=1),$M516&gt;(ROW(PLE.lastrow)-ROW(PLE.firstrow))),0,IF(OFFSET(PLE!$G$14,$M516,BW$13)="",10^12,OFFSET(PLE!$G$14,$M516,BW$13))))</f>
        <v>1000000000000</v>
      </c>
      <c r="BX516" s="182">
        <f ca="1">IF($D516&lt;&gt;"Serviço",0,IF(OR(AND(AUTOEVENTO="Manual",$M516=1),$M516&gt;(ROW(PLE.lastrow)-ROW(PLE.firstrow))),0,IF(OFFSET(PLE!$G$14,$M516,BX$13)="",10^12,OFFSET(PLE!$G$14,$M516,BX$13))))</f>
        <v>1000000000000</v>
      </c>
      <c r="BY516" s="182">
        <f ca="1">IF($D516&lt;&gt;"Serviço",0,IF(OR(AND(AUTOEVENTO="Manual",$M516=1),$M516&gt;(ROW(PLE.lastrow)-ROW(PLE.firstrow))),0,IF(OFFSET(PLE!$G$14,$M516,BY$13)="",10^12,OFFSET(PLE!$G$14,$M516,BY$13))))</f>
        <v>1000000000000</v>
      </c>
      <c r="BZ516" s="182">
        <f ca="1">IF($D516&lt;&gt;"Serviço",0,IF(OR(AND(AUTOEVENTO="Manual",$M516=1),$M516&gt;(ROW(PLE.lastrow)-ROW(PLE.firstrow))),0,IF(OFFSET(PLE!$G$14,$M516,BZ$13)="",10^12,OFFSET(PLE!$G$14,$M516,BZ$13))))</f>
        <v>1000000000000</v>
      </c>
      <c r="CA516" s="182">
        <f ca="1">IF($D516&lt;&gt;"Serviço",0,IF(OR(AND(AUTOEVENTO="Manual",$M516=1),$M516&gt;(ROW(PLE.lastrow)-ROW(PLE.firstrow))),0,IF(OFFSET(PLE!$G$14,$M516,CA$13)="",10^12,OFFSET(PLE!$G$14,$M516,CA$13))))</f>
        <v>1000000000000</v>
      </c>
      <c r="CB516" s="182">
        <f ca="1">IF($D516&lt;&gt;"Serviço",0,IF(OR(AND(AUTOEVENTO="Manual",$M516=1),$M516&gt;(ROW(PLE.lastrow)-ROW(PLE.firstrow))),0,IF(OFFSET(PLE!$G$14,$M516,CB$13)="",10^12,OFFSET(PLE!$G$14,$M516,CB$13))))</f>
        <v>1000000000000</v>
      </c>
      <c r="CC516" s="182">
        <f ca="1">IF($D516&lt;&gt;"Serviço",0,IF(OR(AND(AUTOEVENTO="Manual",$M516=1),$M516&gt;(ROW(PLE.lastrow)-ROW(PLE.firstrow))),0,IF(OFFSET(PLE!$G$14,$M516,CC$13)="",10^12,OFFSET(PLE!$G$14,$M516,CC$13))))</f>
        <v>1000000000000</v>
      </c>
      <c r="CD516" s="182">
        <f ca="1">IF($D516&lt;&gt;"Serviço",0,IF(OR(AND(AUTOEVENTO="Manual",$M516=1),$M516&gt;(ROW(PLE.lastrow)-ROW(PLE.firstrow))),0,IF(OFFSET(PLE!$G$14,$M516,CD$13)="",10^12,OFFSET(PLE!$G$14,$M516,CD$13))))</f>
        <v>1000000000000</v>
      </c>
      <c r="CE516" s="182">
        <f ca="1">IF($D516&lt;&gt;"Serviço",0,IF(OR(AND(AUTOEVENTO="Manual",$M516=1),$M516&gt;(ROW(PLE.lastrow)-ROW(PLE.firstrow))),0,IF(OFFSET(PLE!$G$14,$M516,CE$13)="",10^12,OFFSET(PLE!$G$14,$M516,CE$13))))</f>
        <v>1000000000000</v>
      </c>
      <c r="CF516" s="182">
        <f ca="1">IF($D516&lt;&gt;"Serviço",0,IF(OR(AND(AUTOEVENTO="Manual",$M516=1),$M516&gt;(ROW(PLE.lastrow)-ROW(PLE.firstrow))),0,IF(OFFSET(PLE!$G$14,$M516,CF$13)="",10^12,OFFSET(PLE!$G$14,$M516,CF$13))))</f>
        <v>1000000000000</v>
      </c>
      <c r="CG516" s="182">
        <f ca="1">IF($D516&lt;&gt;"Serviço",0,IF(OR(AND(AUTOEVENTO="Manual",$M516=1),$M516&gt;(ROW(PLE.lastrow)-ROW(PLE.firstrow))),0,IF(OFFSET(PLE!$G$14,$M516,CG$13)="",10^12,OFFSET(PLE!$G$14,$M516,CG$13))))</f>
        <v>1000000000000</v>
      </c>
      <c r="CH516" s="182">
        <f ca="1">IF($D516&lt;&gt;"Serviço",0,IF(OR(AND(AUTOEVENTO="Manual",$M516=1),$M516&gt;(ROW(PLE.lastrow)-ROW(PLE.firstrow))),0,IF(OFFSET(PLE!$G$14,$M516,CH$13)="",10^12,OFFSET(PLE!$G$14,$M516,CH$13))))</f>
        <v>1000000000000</v>
      </c>
      <c r="CI516" s="182">
        <f ca="1">IF($D516&lt;&gt;"Serviço",0,IF(OR(AND(AUTOEVENTO="Manual",$M516=1),$M516&gt;(ROW(PLE.lastrow)-ROW(PLE.firstrow))),0,IF(OFFSET(PLE!$G$14,$M516,CI$13)="",10^12,OFFSET(PLE!$G$14,$M516,CI$13))))</f>
        <v>1000000000000</v>
      </c>
      <c r="CJ516" s="182">
        <f ca="1">IF($D516&lt;&gt;"Serviço",0,IF(OR(AND(AUTOEVENTO="Manual",$M516=1),$M516&gt;(ROW(PLE.lastrow)-ROW(PLE.firstrow))),0,IF(OFFSET(PLE!$G$14,$M516,CJ$13)="",10^12,OFFSET(PLE!$G$14,$M516,CJ$13))))</f>
        <v>1000000000000</v>
      </c>
      <c r="CK516" s="182">
        <f ca="1">IF($D516&lt;&gt;"Serviço",0,IF(OR(AND(AUTOEVENTO="Manual",$M516=1),$M516&gt;(ROW(PLE.lastrow)-ROW(PLE.firstrow))),0,IF(OFFSET(PLE!$G$14,$M516,CK$13)="",10^12,OFFSET(PLE!$G$14,$M516,CK$13))))</f>
        <v>1000000000000</v>
      </c>
      <c r="CL516" s="182">
        <f ca="1">IF($D516&lt;&gt;"Serviço",0,IF(OR(AND(AUTOEVENTO="Manual",$M516=1),$M516&gt;(ROW(PLE.lastrow)-ROW(PLE.firstrow))),0,IF(OFFSET(PLE!$G$14,$M516,CL$13)="",10^12,OFFSET(PLE!$G$14,$M516,CL$13))))</f>
        <v>1000000000000</v>
      </c>
      <c r="CM516" s="182">
        <f ca="1">IF($D516&lt;&gt;"Serviço",0,IF(OR(AND(AUTOEVENTO="Manual",$M516=1),$M516&gt;(ROW(PLE.lastrow)-ROW(PLE.firstrow))),0,IF(OFFSET(PLE!$G$14,$M516,CM$13)="",10^12,OFFSET(PLE!$G$14,$M516,CM$13))))</f>
        <v>1000000000000</v>
      </c>
    </row>
    <row r="517" spans="1:91" ht="38.25" x14ac:dyDescent="0.2">
      <c r="A517" s="7" t="str">
        <f t="shared" ca="1" si="16"/>
        <v>493</v>
      </c>
      <c r="B517" s="7" t="str">
        <f ca="1">OFFSET(ORÇAMENTO!C$15,ROW(B517)-ROW(B$15),0)</f>
        <v>S</v>
      </c>
      <c r="C517" s="7" t="str">
        <f ca="1">OFFSET(ORÇAMENTO!L$15,ROW(C517)-ROW(C$15),0)</f>
        <v/>
      </c>
      <c r="D517" s="118" t="str">
        <f ca="1">OFFSET(ORÇAMENTO!N$15,ROW(D517)-ROW(D$15),0)</f>
        <v>Serviço</v>
      </c>
      <c r="E517" s="119" t="str">
        <f ca="1">OFFSET(ORÇAMENTO!O$15,ROW(E517)-ROW(E$15),0)</f>
        <v>-</v>
      </c>
      <c r="F517" s="172" t="str">
        <f ca="1">OFFSET(ORÇAMENTO!R$15,ROW(F517)-ROW(F$15),0)</f>
        <v>(abra o arquivo 'Referência 06-2024.xlsm)</v>
      </c>
      <c r="G517" s="173" t="str">
        <f ca="1">IF($D517&lt;&gt;"Serviço","",OFFSET(ORÇAMENTO!S$15,ROW(G517)-ROW(G$15),0))</f>
        <v>-</v>
      </c>
      <c r="H517" s="124">
        <f ca="1">IF($D517&lt;&gt;"Serviço",0,IF(ACOMPANHAMENTO="BM",ROUND(OFFSET(ORÇAMENTO!AJ$15,ROW(H517)-ROW(H$15),0),15-13*ORÇAMENTO!$AF$7),SUMPRODUCT(($Q$12:$AI$12&lt;&gt;"")*ROUND($Q517:$AI517,15-13*ORÇAMENTO!$AF$7))))</f>
        <v>739</v>
      </c>
      <c r="I517" s="561" t="s">
        <v>1107</v>
      </c>
      <c r="K517" s="174"/>
      <c r="L517" s="175" t="s">
        <v>255</v>
      </c>
      <c r="M517" s="176">
        <f ca="1">IF($D517&lt;&gt;"Serviço","",IF(AUTOEVENTO="manual",$A517,IF(ISERROR(MATCH($A517,$A$15:OFFSET($A517,-1,0),0)),MAX($M$15:OFFSET(M517,-1,0))+1,INDEX($M$15:OFFSET(M517,-1,0),MATCH($A517,$A$15:OFFSET($A517,-1,0),0)))))</f>
        <v>54</v>
      </c>
      <c r="N517" s="177" t="str">
        <f ca="1">IF($D517&lt;&gt;"Serviço","",IF(AUTOEVENTO="Manual",IF($A517=0,"&lt;-- defina o número do agrupador",OFFSET(EVENTOS!$D$14,$A517,0)),OFFSET($F$15,$A517,0)))</f>
        <v>INSTALAÇÃO ELÉTRICA 110V - CABOS</v>
      </c>
      <c r="O517" s="178"/>
      <c r="Q517" s="178">
        <v>739</v>
      </c>
      <c r="R517" s="179"/>
      <c r="S517" s="179"/>
      <c r="T517" s="179"/>
      <c r="U517" s="179"/>
      <c r="V517" s="179"/>
      <c r="W517" s="179"/>
      <c r="X517" s="179"/>
      <c r="Y517" s="179"/>
      <c r="Z517" s="180"/>
      <c r="AA517" s="179"/>
      <c r="AB517" s="179"/>
      <c r="AC517" s="179"/>
      <c r="AD517" s="179"/>
      <c r="AE517" s="179"/>
      <c r="AF517" s="179"/>
      <c r="AG517" s="179"/>
      <c r="AH517" s="180"/>
      <c r="AJ517" s="544">
        <f ca="1">IF(AND($D517="Serviço",AJ$12&lt;&gt;0,$H517&gt;0,OR(AUTOEVENTO&lt;&gt;"manual",$M517&lt;&gt;1)),
IF(Import.TipoArredondamento&lt;&gt;"TransfereGOV",
ROUND(OFFSET($P517,0,AJ$13),15-13*ORÇAMENTO!$AF$7)/$H517*OFFSET(ORÇAMENTO!$X$15,ROW(AJ517)-ROW(AJ$15),0),
ROUND(ROUND(OFFSET($P517,0,AJ$13),15-13*ORÇAMENTO!$AF$7)*OFFSET(ORÇAMENTO!$W$15,ROW(AJ517)-ROW(AJ$15),0),15-13*ORÇAMENTO!$AF$11)),0)</f>
        <v>0</v>
      </c>
      <c r="AK517" s="545">
        <f ca="1">IF(AND($D517="Serviço",AK$12&lt;&gt;0,$H517&gt;0,OR(AUTOEVENTO&lt;&gt;"manual",$M517&lt;&gt;1)),
IF(Import.TipoArredondamento&lt;&gt;"TransfereGOV",
ROUND(OFFSET($P517,0,AK$13),15-13*ORÇAMENTO!$AF$7)/$H517*OFFSET(ORÇAMENTO!$X$15,ROW(AK517)-ROW(AK$15),0),
ROUND(ROUND(OFFSET($P517,0,AK$13),15-13*ORÇAMENTO!$AF$7)*OFFSET(ORÇAMENTO!$W$15,ROW(AK517)-ROW(AK$15),0),15-13*ORÇAMENTO!$AF$11)),0)</f>
        <v>0</v>
      </c>
      <c r="AL517" s="545">
        <f ca="1">IF(AND($D517="Serviço",AL$12&lt;&gt;0,$H517&gt;0,OR(AUTOEVENTO&lt;&gt;"manual",$M517&lt;&gt;1)),
IF(Import.TipoArredondamento&lt;&gt;"TransfereGOV",
ROUND(OFFSET($P517,0,AL$13),15-13*ORÇAMENTO!$AF$7)/$H517*OFFSET(ORÇAMENTO!$X$15,ROW(AL517)-ROW(AL$15),0),
ROUND(ROUND(OFFSET($P517,0,AL$13),15-13*ORÇAMENTO!$AF$7)*OFFSET(ORÇAMENTO!$W$15,ROW(AL517)-ROW(AL$15),0),15-13*ORÇAMENTO!$AF$11)),0)</f>
        <v>0</v>
      </c>
      <c r="AM517" s="545">
        <f ca="1">IF(AND($D517="Serviço",AM$12&lt;&gt;0,$H517&gt;0,OR(AUTOEVENTO&lt;&gt;"manual",$M517&lt;&gt;1)),
IF(Import.TipoArredondamento&lt;&gt;"TransfereGOV",
ROUND(OFFSET($P517,0,AM$13),15-13*ORÇAMENTO!$AF$7)/$H517*OFFSET(ORÇAMENTO!$X$15,ROW(AM517)-ROW(AM$15),0),
ROUND(ROUND(OFFSET($P517,0,AM$13),15-13*ORÇAMENTO!$AF$7)*OFFSET(ORÇAMENTO!$W$15,ROW(AM517)-ROW(AM$15),0),15-13*ORÇAMENTO!$AF$11)),0)</f>
        <v>0</v>
      </c>
      <c r="AN517" s="545">
        <f ca="1">IF(AND($D517="Serviço",AN$12&lt;&gt;0,$H517&gt;0,OR(AUTOEVENTO&lt;&gt;"manual",$M517&lt;&gt;1)),
IF(Import.TipoArredondamento&lt;&gt;"TransfereGOV",
ROUND(OFFSET($P517,0,AN$13),15-13*ORÇAMENTO!$AF$7)/$H517*OFFSET(ORÇAMENTO!$X$15,ROW(AN517)-ROW(AN$15),0),
ROUND(ROUND(OFFSET($P517,0,AN$13),15-13*ORÇAMENTO!$AF$7)*OFFSET(ORÇAMENTO!$W$15,ROW(AN517)-ROW(AN$15),0),15-13*ORÇAMENTO!$AF$11)),0)</f>
        <v>0</v>
      </c>
      <c r="AO517" s="545">
        <f ca="1">IF(AND($D517="Serviço",AO$12&lt;&gt;0,$H517&gt;0,OR(AUTOEVENTO&lt;&gt;"manual",$M517&lt;&gt;1)),
IF(Import.TipoArredondamento&lt;&gt;"TransfereGOV",
ROUND(OFFSET($P517,0,AO$13),15-13*ORÇAMENTO!$AF$7)/$H517*OFFSET(ORÇAMENTO!$X$15,ROW(AO517)-ROW(AO$15),0),
ROUND(ROUND(OFFSET($P517,0,AO$13),15-13*ORÇAMENTO!$AF$7)*OFFSET(ORÇAMENTO!$W$15,ROW(AO517)-ROW(AO$15),0),15-13*ORÇAMENTO!$AF$11)),0)</f>
        <v>0</v>
      </c>
      <c r="AP517" s="545">
        <f ca="1">IF(AND($D517="Serviço",AP$12&lt;&gt;0,$H517&gt;0,OR(AUTOEVENTO&lt;&gt;"manual",$M517&lt;&gt;1)),
IF(Import.TipoArredondamento&lt;&gt;"TransfereGOV",
ROUND(OFFSET($P517,0,AP$13),15-13*ORÇAMENTO!$AF$7)/$H517*OFFSET(ORÇAMENTO!$X$15,ROW(AP517)-ROW(AP$15),0),
ROUND(ROUND(OFFSET($P517,0,AP$13),15-13*ORÇAMENTO!$AF$7)*OFFSET(ORÇAMENTO!$W$15,ROW(AP517)-ROW(AP$15),0),15-13*ORÇAMENTO!$AF$11)),0)</f>
        <v>0</v>
      </c>
      <c r="AQ517" s="545">
        <f ca="1">IF(AND($D517="Serviço",AQ$12&lt;&gt;0,$H517&gt;0,OR(AUTOEVENTO&lt;&gt;"manual",$M517&lt;&gt;1)),
IF(Import.TipoArredondamento&lt;&gt;"TransfereGOV",
ROUND(OFFSET($P517,0,AQ$13),15-13*ORÇAMENTO!$AF$7)/$H517*OFFSET(ORÇAMENTO!$X$15,ROW(AQ517)-ROW(AQ$15),0),
ROUND(ROUND(OFFSET($P517,0,AQ$13),15-13*ORÇAMENTO!$AF$7)*OFFSET(ORÇAMENTO!$W$15,ROW(AQ517)-ROW(AQ$15),0),15-13*ORÇAMENTO!$AF$11)),0)</f>
        <v>0</v>
      </c>
      <c r="AR517" s="545">
        <f ca="1">IF(AND($D517="Serviço",AR$12&lt;&gt;0,$H517&gt;0,OR(AUTOEVENTO&lt;&gt;"manual",$M517&lt;&gt;1)),
IF(Import.TipoArredondamento&lt;&gt;"TransfereGOV",
ROUND(OFFSET($P517,0,AR$13),15-13*ORÇAMENTO!$AF$7)/$H517*OFFSET(ORÇAMENTO!$X$15,ROW(AR517)-ROW(AR$15),0),
ROUND(ROUND(OFFSET($P517,0,AR$13),15-13*ORÇAMENTO!$AF$7)*OFFSET(ORÇAMENTO!$W$15,ROW(AR517)-ROW(AR$15),0),15-13*ORÇAMENTO!$AF$11)),0)</f>
        <v>0</v>
      </c>
      <c r="AS517" s="546">
        <f ca="1">IF(AND($D517="Serviço",AS$12&lt;&gt;0,$H517&gt;0,OR(AUTOEVENTO&lt;&gt;"manual",$M517&lt;&gt;1)),
IF(Import.TipoArredondamento&lt;&gt;"TransfereGOV",
ROUND(OFFSET($P517,0,AS$13),15-13*ORÇAMENTO!$AF$7)/$H517*OFFSET(ORÇAMENTO!$X$15,ROW(AS517)-ROW(AS$15),0),
ROUND(ROUND(OFFSET($P517,0,AS$13),15-13*ORÇAMENTO!$AF$7)*OFFSET(ORÇAMENTO!$W$15,ROW(AS517)-ROW(AS$15),0),15-13*ORÇAMENTO!$AF$11)),0)</f>
        <v>0</v>
      </c>
      <c r="AT517" s="545">
        <f ca="1">IF(AND($D517="Serviço",AT$12&lt;&gt;0,$H517&gt;0,OR(AUTOEVENTO&lt;&gt;"manual",$M517&lt;&gt;1)),
IF(Import.TipoArredondamento&lt;&gt;"TransfereGOV",
ROUND(OFFSET($P517,0,AT$13),15-13*ORÇAMENTO!$AF$7)/$H517*OFFSET(ORÇAMENTO!$X$15,ROW(AT517)-ROW(AT$15),0),
ROUND(ROUND(OFFSET($P517,0,AT$13),15-13*ORÇAMENTO!$AF$7)*OFFSET(ORÇAMENTO!$W$15,ROW(AT517)-ROW(AT$15),0),15-13*ORÇAMENTO!$AF$11)),0)</f>
        <v>0</v>
      </c>
      <c r="AU517" s="545">
        <f ca="1">IF(AND($D517="Serviço",AU$12&lt;&gt;0,$H517&gt;0,OR(AUTOEVENTO&lt;&gt;"manual",$M517&lt;&gt;1)),
IF(Import.TipoArredondamento&lt;&gt;"TransfereGOV",
ROUND(OFFSET($P517,0,AU$13),15-13*ORÇAMENTO!$AF$7)/$H517*OFFSET(ORÇAMENTO!$X$15,ROW(AU517)-ROW(AU$15),0),
ROUND(ROUND(OFFSET($P517,0,AU$13),15-13*ORÇAMENTO!$AF$7)*OFFSET(ORÇAMENTO!$W$15,ROW(AU517)-ROW(AU$15),0),15-13*ORÇAMENTO!$AF$11)),0)</f>
        <v>0</v>
      </c>
      <c r="AV517" s="545">
        <f ca="1">IF(AND($D517="Serviço",AV$12&lt;&gt;0,$H517&gt;0,OR(AUTOEVENTO&lt;&gt;"manual",$M517&lt;&gt;1)),
IF(Import.TipoArredondamento&lt;&gt;"TransfereGOV",
ROUND(OFFSET($P517,0,AV$13),15-13*ORÇAMENTO!$AF$7)/$H517*OFFSET(ORÇAMENTO!$X$15,ROW(AV517)-ROW(AV$15),0),
ROUND(ROUND(OFFSET($P517,0,AV$13),15-13*ORÇAMENTO!$AF$7)*OFFSET(ORÇAMENTO!$W$15,ROW(AV517)-ROW(AV$15),0),15-13*ORÇAMENTO!$AF$11)),0)</f>
        <v>0</v>
      </c>
      <c r="AW517" s="545">
        <f ca="1">IF(AND($D517="Serviço",AW$12&lt;&gt;0,$H517&gt;0,OR(AUTOEVENTO&lt;&gt;"manual",$M517&lt;&gt;1)),
IF(Import.TipoArredondamento&lt;&gt;"TransfereGOV",
ROUND(OFFSET($P517,0,AW$13),15-13*ORÇAMENTO!$AF$7)/$H517*OFFSET(ORÇAMENTO!$X$15,ROW(AW517)-ROW(AW$15),0),
ROUND(ROUND(OFFSET($P517,0,AW$13),15-13*ORÇAMENTO!$AF$7)*OFFSET(ORÇAMENTO!$W$15,ROW(AW517)-ROW(AW$15),0),15-13*ORÇAMENTO!$AF$11)),0)</f>
        <v>0</v>
      </c>
      <c r="AX517" s="545">
        <f ca="1">IF(AND($D517="Serviço",AX$12&lt;&gt;0,$H517&gt;0,OR(AUTOEVENTO&lt;&gt;"manual",$M517&lt;&gt;1)),
IF(Import.TipoArredondamento&lt;&gt;"TransfereGOV",
ROUND(OFFSET($P517,0,AX$13),15-13*ORÇAMENTO!$AF$7)/$H517*OFFSET(ORÇAMENTO!$X$15,ROW(AX517)-ROW(AX$15),0),
ROUND(ROUND(OFFSET($P517,0,AX$13),15-13*ORÇAMENTO!$AF$7)*OFFSET(ORÇAMENTO!$W$15,ROW(AX517)-ROW(AX$15),0),15-13*ORÇAMENTO!$AF$11)),0)</f>
        <v>0</v>
      </c>
      <c r="AY517" s="545">
        <f ca="1">IF(AND($D517="Serviço",AY$12&lt;&gt;0,$H517&gt;0,OR(AUTOEVENTO&lt;&gt;"manual",$M517&lt;&gt;1)),
IF(Import.TipoArredondamento&lt;&gt;"TransfereGOV",
ROUND(OFFSET($P517,0,AY$13),15-13*ORÇAMENTO!$AF$7)/$H517*OFFSET(ORÇAMENTO!$X$15,ROW(AY517)-ROW(AY$15),0),
ROUND(ROUND(OFFSET($P517,0,AY$13),15-13*ORÇAMENTO!$AF$7)*OFFSET(ORÇAMENTO!$W$15,ROW(AY517)-ROW(AY$15),0),15-13*ORÇAMENTO!$AF$11)),0)</f>
        <v>0</v>
      </c>
      <c r="AZ517" s="545">
        <f ca="1">IF(AND($D517="Serviço",AZ$12&lt;&gt;0,$H517&gt;0,OR(AUTOEVENTO&lt;&gt;"manual",$M517&lt;&gt;1)),
IF(Import.TipoArredondamento&lt;&gt;"TransfereGOV",
ROUND(OFFSET($P517,0,AZ$13),15-13*ORÇAMENTO!$AF$7)/$H517*OFFSET(ORÇAMENTO!$X$15,ROW(AZ517)-ROW(AZ$15),0),
ROUND(ROUND(OFFSET($P517,0,AZ$13),15-13*ORÇAMENTO!$AF$7)*OFFSET(ORÇAMENTO!$W$15,ROW(AZ517)-ROW(AZ$15),0),15-13*ORÇAMENTO!$AF$11)),0)</f>
        <v>0</v>
      </c>
      <c r="BA517" s="546">
        <f ca="1">IF(AND($D517="Serviço",BA$12&lt;&gt;0,$H517&gt;0,OR(AUTOEVENTO&lt;&gt;"manual",$M517&lt;&gt;1)),
IF(Import.TipoArredondamento&lt;&gt;"TransfereGOV",
ROUND(OFFSET($P517,0,BA$13),15-13*ORÇAMENTO!$AF$7)/$H517*OFFSET(ORÇAMENTO!$X$15,ROW(BA517)-ROW(BA$15),0),
ROUND(ROUND(OFFSET($P517,0,BA$13),15-13*ORÇAMENTO!$AF$7)*OFFSET(ORÇAMENTO!$W$15,ROW(BA517)-ROW(BA$15),0),15-13*ORÇAMENTO!$AF$11)),0)</f>
        <v>0</v>
      </c>
      <c r="BC517" s="181">
        <f ca="1">IF($D517&lt;&gt;"Serviço",0,IF(AND(AUTOEVENTO="Manual",$M517=1),0,IF(OFFSET(CRONOPLE!$F$14,$M517,BC$13)="",10^12,OFFSET(CRONOPLE!$F$14,$M517,BC$13))))</f>
        <v>10</v>
      </c>
      <c r="BD517" s="181">
        <f ca="1">IF($D517&lt;&gt;"Serviço",0,IF(AND(AUTOEVENTO="Manual",$M517=1),0,IF(OFFSET(CRONOPLE!$F$14,$M517,BD$13)="",10^12,OFFSET(CRONOPLE!$F$14,$M517,BD$13))))</f>
        <v>1000000000000</v>
      </c>
      <c r="BE517" s="181">
        <f ca="1">IF($D517&lt;&gt;"Serviço",0,IF(AND(AUTOEVENTO="Manual",$M517=1),0,IF(OFFSET(CRONOPLE!$F$14,$M517,BE$13)="",10^12,OFFSET(CRONOPLE!$F$14,$M517,BE$13))))</f>
        <v>1000000000000</v>
      </c>
      <c r="BF517" s="181">
        <f ca="1">IF($D517&lt;&gt;"Serviço",0,IF(AND(AUTOEVENTO="Manual",$M517=1),0,IF(OFFSET(CRONOPLE!$F$14,$M517,BF$13)="",10^12,OFFSET(CRONOPLE!$F$14,$M517,BF$13))))</f>
        <v>1000000000000</v>
      </c>
      <c r="BG517" s="181">
        <f ca="1">IF($D517&lt;&gt;"Serviço",0,IF(AND(AUTOEVENTO="Manual",$M517=1),0,IF(OFFSET(CRONOPLE!$F$14,$M517,BG$13)="",10^12,OFFSET(CRONOPLE!$F$14,$M517,BG$13))))</f>
        <v>1000000000000</v>
      </c>
      <c r="BH517" s="181">
        <f ca="1">IF($D517&lt;&gt;"Serviço",0,IF(AND(AUTOEVENTO="Manual",$M517=1),0,IF(OFFSET(CRONOPLE!$F$14,$M517,BH$13)="",10^12,OFFSET(CRONOPLE!$F$14,$M517,BH$13))))</f>
        <v>1000000000000</v>
      </c>
      <c r="BI517" s="181">
        <f ca="1">IF($D517&lt;&gt;"Serviço",0,IF(AND(AUTOEVENTO="Manual",$M517=1),0,IF(OFFSET(CRONOPLE!$F$14,$M517,BI$13)="",10^12,OFFSET(CRONOPLE!$F$14,$M517,BI$13))))</f>
        <v>1000000000000</v>
      </c>
      <c r="BJ517" s="181">
        <f ca="1">IF($D517&lt;&gt;"Serviço",0,IF(AND(AUTOEVENTO="Manual",$M517=1),0,IF(OFFSET(CRONOPLE!$F$14,$M517,BJ$13)="",10^12,OFFSET(CRONOPLE!$F$14,$M517,BJ$13))))</f>
        <v>1000000000000</v>
      </c>
      <c r="BK517" s="181">
        <f ca="1">IF($D517&lt;&gt;"Serviço",0,IF(AND(AUTOEVENTO="Manual",$M517=1),0,IF(OFFSET(CRONOPLE!$F$14,$M517,BK$13)="",10^12,OFFSET(CRONOPLE!$F$14,$M517,BK$13))))</f>
        <v>1000000000000</v>
      </c>
      <c r="BL517" s="181">
        <f ca="1">IF($D517&lt;&gt;"Serviço",0,IF(AND(AUTOEVENTO="Manual",$M517=1),0,IF(OFFSET(CRONOPLE!$F$14,$M517,BL$13)="",10^12,OFFSET(CRONOPLE!$F$14,$M517,BL$13))))</f>
        <v>1000000000000</v>
      </c>
      <c r="BM517" s="181">
        <f ca="1">IF($D517&lt;&gt;"Serviço",0,IF(AND(AUTOEVENTO="Manual",$M517=1),0,IF(OFFSET(CRONOPLE!$F$14,$M517,BM$13)="",10^12,OFFSET(CRONOPLE!$F$14,$M517,BM$13))))</f>
        <v>1000000000000</v>
      </c>
      <c r="BN517" s="181">
        <f ca="1">IF($D517&lt;&gt;"Serviço",0,IF(AND(AUTOEVENTO="Manual",$M517=1),0,IF(OFFSET(CRONOPLE!$F$14,$M517,BN$13)="",10^12,OFFSET(CRONOPLE!$F$14,$M517,BN$13))))</f>
        <v>1000000000000</v>
      </c>
      <c r="BO517" s="181">
        <f ca="1">IF($D517&lt;&gt;"Serviço",0,IF(AND(AUTOEVENTO="Manual",$M517=1),0,IF(OFFSET(CRONOPLE!$F$14,$M517,BO$13)="",10^12,OFFSET(CRONOPLE!$F$14,$M517,BO$13))))</f>
        <v>1000000000000</v>
      </c>
      <c r="BP517" s="181">
        <f ca="1">IF($D517&lt;&gt;"Serviço",0,IF(AND(AUTOEVENTO="Manual",$M517=1),0,IF(OFFSET(CRONOPLE!$F$14,$M517,BP$13)="",10^12,OFFSET(CRONOPLE!$F$14,$M517,BP$13))))</f>
        <v>1000000000000</v>
      </c>
      <c r="BQ517" s="181">
        <f ca="1">IF($D517&lt;&gt;"Serviço",0,IF(AND(AUTOEVENTO="Manual",$M517=1),0,IF(OFFSET(CRONOPLE!$F$14,$M517,BQ$13)="",10^12,OFFSET(CRONOPLE!$F$14,$M517,BQ$13))))</f>
        <v>1000000000000</v>
      </c>
      <c r="BR517" s="181">
        <f ca="1">IF($D517&lt;&gt;"Serviço",0,IF(AND(AUTOEVENTO="Manual",$M517=1),0,IF(OFFSET(CRONOPLE!$F$14,$M517,BR$13)="",10^12,OFFSET(CRONOPLE!$F$14,$M517,BR$13))))</f>
        <v>1000000000000</v>
      </c>
      <c r="BS517" s="181">
        <f ca="1">IF($D517&lt;&gt;"Serviço",0,IF(AND(AUTOEVENTO="Manual",$M517=1),0,IF(OFFSET(CRONOPLE!$F$14,$M517,BS$13)="",10^12,OFFSET(CRONOPLE!$F$14,$M517,BS$13))))</f>
        <v>1000000000000</v>
      </c>
      <c r="BT517" s="181">
        <f ca="1">IF($D517&lt;&gt;"Serviço",0,IF(AND(AUTOEVENTO="Manual",$M517=1),0,IF(OFFSET(CRONOPLE!$F$14,$M517,BT$13)="",10^12,OFFSET(CRONOPLE!$F$14,$M517,BT$13))))</f>
        <v>1000000000000</v>
      </c>
      <c r="BV517" s="182">
        <f ca="1">IF($D517&lt;&gt;"Serviço",0,IF(OR(AND(AUTOEVENTO="Manual",$M517=1),$M517&gt;(ROW(PLE.lastrow)-ROW(PLE.firstrow))),0,IF(OFFSET(PLE!$G$14,$M517,BV$13)="",10^12,OFFSET(PLE!$G$14,$M517,BV$13))))</f>
        <v>1000000000000</v>
      </c>
      <c r="BW517" s="182">
        <f ca="1">IF($D517&lt;&gt;"Serviço",0,IF(OR(AND(AUTOEVENTO="Manual",$M517=1),$M517&gt;(ROW(PLE.lastrow)-ROW(PLE.firstrow))),0,IF(OFFSET(PLE!$G$14,$M517,BW$13)="",10^12,OFFSET(PLE!$G$14,$M517,BW$13))))</f>
        <v>1000000000000</v>
      </c>
      <c r="BX517" s="182">
        <f ca="1">IF($D517&lt;&gt;"Serviço",0,IF(OR(AND(AUTOEVENTO="Manual",$M517=1),$M517&gt;(ROW(PLE.lastrow)-ROW(PLE.firstrow))),0,IF(OFFSET(PLE!$G$14,$M517,BX$13)="",10^12,OFFSET(PLE!$G$14,$M517,BX$13))))</f>
        <v>1000000000000</v>
      </c>
      <c r="BY517" s="182">
        <f ca="1">IF($D517&lt;&gt;"Serviço",0,IF(OR(AND(AUTOEVENTO="Manual",$M517=1),$M517&gt;(ROW(PLE.lastrow)-ROW(PLE.firstrow))),0,IF(OFFSET(PLE!$G$14,$M517,BY$13)="",10^12,OFFSET(PLE!$G$14,$M517,BY$13))))</f>
        <v>1000000000000</v>
      </c>
      <c r="BZ517" s="182">
        <f ca="1">IF($D517&lt;&gt;"Serviço",0,IF(OR(AND(AUTOEVENTO="Manual",$M517=1),$M517&gt;(ROW(PLE.lastrow)-ROW(PLE.firstrow))),0,IF(OFFSET(PLE!$G$14,$M517,BZ$13)="",10^12,OFFSET(PLE!$G$14,$M517,BZ$13))))</f>
        <v>1000000000000</v>
      </c>
      <c r="CA517" s="182">
        <f ca="1">IF($D517&lt;&gt;"Serviço",0,IF(OR(AND(AUTOEVENTO="Manual",$M517=1),$M517&gt;(ROW(PLE.lastrow)-ROW(PLE.firstrow))),0,IF(OFFSET(PLE!$G$14,$M517,CA$13)="",10^12,OFFSET(PLE!$G$14,$M517,CA$13))))</f>
        <v>1000000000000</v>
      </c>
      <c r="CB517" s="182">
        <f ca="1">IF($D517&lt;&gt;"Serviço",0,IF(OR(AND(AUTOEVENTO="Manual",$M517=1),$M517&gt;(ROW(PLE.lastrow)-ROW(PLE.firstrow))),0,IF(OFFSET(PLE!$G$14,$M517,CB$13)="",10^12,OFFSET(PLE!$G$14,$M517,CB$13))))</f>
        <v>1000000000000</v>
      </c>
      <c r="CC517" s="182">
        <f ca="1">IF($D517&lt;&gt;"Serviço",0,IF(OR(AND(AUTOEVENTO="Manual",$M517=1),$M517&gt;(ROW(PLE.lastrow)-ROW(PLE.firstrow))),0,IF(OFFSET(PLE!$G$14,$M517,CC$13)="",10^12,OFFSET(PLE!$G$14,$M517,CC$13))))</f>
        <v>1000000000000</v>
      </c>
      <c r="CD517" s="182">
        <f ca="1">IF($D517&lt;&gt;"Serviço",0,IF(OR(AND(AUTOEVENTO="Manual",$M517=1),$M517&gt;(ROW(PLE.lastrow)-ROW(PLE.firstrow))),0,IF(OFFSET(PLE!$G$14,$M517,CD$13)="",10^12,OFFSET(PLE!$G$14,$M517,CD$13))))</f>
        <v>1000000000000</v>
      </c>
      <c r="CE517" s="182">
        <f ca="1">IF($D517&lt;&gt;"Serviço",0,IF(OR(AND(AUTOEVENTO="Manual",$M517=1),$M517&gt;(ROW(PLE.lastrow)-ROW(PLE.firstrow))),0,IF(OFFSET(PLE!$G$14,$M517,CE$13)="",10^12,OFFSET(PLE!$G$14,$M517,CE$13))))</f>
        <v>1000000000000</v>
      </c>
      <c r="CF517" s="182">
        <f ca="1">IF($D517&lt;&gt;"Serviço",0,IF(OR(AND(AUTOEVENTO="Manual",$M517=1),$M517&gt;(ROW(PLE.lastrow)-ROW(PLE.firstrow))),0,IF(OFFSET(PLE!$G$14,$M517,CF$13)="",10^12,OFFSET(PLE!$G$14,$M517,CF$13))))</f>
        <v>1000000000000</v>
      </c>
      <c r="CG517" s="182">
        <f ca="1">IF($D517&lt;&gt;"Serviço",0,IF(OR(AND(AUTOEVENTO="Manual",$M517=1),$M517&gt;(ROW(PLE.lastrow)-ROW(PLE.firstrow))),0,IF(OFFSET(PLE!$G$14,$M517,CG$13)="",10^12,OFFSET(PLE!$G$14,$M517,CG$13))))</f>
        <v>1000000000000</v>
      </c>
      <c r="CH517" s="182">
        <f ca="1">IF($D517&lt;&gt;"Serviço",0,IF(OR(AND(AUTOEVENTO="Manual",$M517=1),$M517&gt;(ROW(PLE.lastrow)-ROW(PLE.firstrow))),0,IF(OFFSET(PLE!$G$14,$M517,CH$13)="",10^12,OFFSET(PLE!$G$14,$M517,CH$13))))</f>
        <v>1000000000000</v>
      </c>
      <c r="CI517" s="182">
        <f ca="1">IF($D517&lt;&gt;"Serviço",0,IF(OR(AND(AUTOEVENTO="Manual",$M517=1),$M517&gt;(ROW(PLE.lastrow)-ROW(PLE.firstrow))),0,IF(OFFSET(PLE!$G$14,$M517,CI$13)="",10^12,OFFSET(PLE!$G$14,$M517,CI$13))))</f>
        <v>1000000000000</v>
      </c>
      <c r="CJ517" s="182">
        <f ca="1">IF($D517&lt;&gt;"Serviço",0,IF(OR(AND(AUTOEVENTO="Manual",$M517=1),$M517&gt;(ROW(PLE.lastrow)-ROW(PLE.firstrow))),0,IF(OFFSET(PLE!$G$14,$M517,CJ$13)="",10^12,OFFSET(PLE!$G$14,$M517,CJ$13))))</f>
        <v>1000000000000</v>
      </c>
      <c r="CK517" s="182">
        <f ca="1">IF($D517&lt;&gt;"Serviço",0,IF(OR(AND(AUTOEVENTO="Manual",$M517=1),$M517&gt;(ROW(PLE.lastrow)-ROW(PLE.firstrow))),0,IF(OFFSET(PLE!$G$14,$M517,CK$13)="",10^12,OFFSET(PLE!$G$14,$M517,CK$13))))</f>
        <v>1000000000000</v>
      </c>
      <c r="CL517" s="182">
        <f ca="1">IF($D517&lt;&gt;"Serviço",0,IF(OR(AND(AUTOEVENTO="Manual",$M517=1),$M517&gt;(ROW(PLE.lastrow)-ROW(PLE.firstrow))),0,IF(OFFSET(PLE!$G$14,$M517,CL$13)="",10^12,OFFSET(PLE!$G$14,$M517,CL$13))))</f>
        <v>1000000000000</v>
      </c>
      <c r="CM517" s="182">
        <f ca="1">IF($D517&lt;&gt;"Serviço",0,IF(OR(AND(AUTOEVENTO="Manual",$M517=1),$M517&gt;(ROW(PLE.lastrow)-ROW(PLE.firstrow))),0,IF(OFFSET(PLE!$G$14,$M517,CM$13)="",10^12,OFFSET(PLE!$G$14,$M517,CM$13))))</f>
        <v>1000000000000</v>
      </c>
    </row>
    <row r="518" spans="1:91" ht="38.25" x14ac:dyDescent="0.2">
      <c r="A518" s="7" t="str">
        <f t="shared" ca="1" si="16"/>
        <v>493</v>
      </c>
      <c r="B518" s="7" t="str">
        <f ca="1">OFFSET(ORÇAMENTO!C$15,ROW(B518)-ROW(B$15),0)</f>
        <v>S</v>
      </c>
      <c r="C518" s="7" t="str">
        <f ca="1">OFFSET(ORÇAMENTO!L$15,ROW(C518)-ROW(C$15),0)</f>
        <v/>
      </c>
      <c r="D518" s="118" t="str">
        <f ca="1">OFFSET(ORÇAMENTO!N$15,ROW(D518)-ROW(D$15),0)</f>
        <v>Serviço</v>
      </c>
      <c r="E518" s="119" t="str">
        <f ca="1">OFFSET(ORÇAMENTO!O$15,ROW(E518)-ROW(E$15),0)</f>
        <v>-</v>
      </c>
      <c r="F518" s="172" t="str">
        <f ca="1">OFFSET(ORÇAMENTO!R$15,ROW(F518)-ROW(F$15),0)</f>
        <v>(abra o arquivo 'Referência 06-2024.xlsm)</v>
      </c>
      <c r="G518" s="173" t="str">
        <f ca="1">IF($D518&lt;&gt;"Serviço","",OFFSET(ORÇAMENTO!S$15,ROW(G518)-ROW(G$15),0))</f>
        <v>-</v>
      </c>
      <c r="H518" s="124">
        <f ca="1">IF($D518&lt;&gt;"Serviço",0,IF(ACOMPANHAMENTO="BM",ROUND(OFFSET(ORÇAMENTO!AJ$15,ROW(H518)-ROW(H$15),0),15-13*ORÇAMENTO!$AF$7),SUMPRODUCT(($Q$12:$AI$12&lt;&gt;"")*ROUND($Q518:$AI518,15-13*ORÇAMENTO!$AF$7))))</f>
        <v>524.79999999999995</v>
      </c>
      <c r="I518" s="561" t="s">
        <v>1107</v>
      </c>
      <c r="K518" s="174"/>
      <c r="L518" s="175" t="s">
        <v>255</v>
      </c>
      <c r="M518" s="176">
        <f ca="1">IF($D518&lt;&gt;"Serviço","",IF(AUTOEVENTO="manual",$A518,IF(ISERROR(MATCH($A518,$A$15:OFFSET($A518,-1,0),0)),MAX($M$15:OFFSET(M518,-1,0))+1,INDEX($M$15:OFFSET(M518,-1,0),MATCH($A518,$A$15:OFFSET($A518,-1,0),0)))))</f>
        <v>54</v>
      </c>
      <c r="N518" s="177" t="str">
        <f ca="1">IF($D518&lt;&gt;"Serviço","",IF(AUTOEVENTO="Manual",IF($A518=0,"&lt;-- defina o número do agrupador",OFFSET(EVENTOS!$D$14,$A518,0)),OFFSET($F$15,$A518,0)))</f>
        <v>INSTALAÇÃO ELÉTRICA 110V - CABOS</v>
      </c>
      <c r="O518" s="178"/>
      <c r="Q518" s="178">
        <v>524.79999999999995</v>
      </c>
      <c r="R518" s="179"/>
      <c r="S518" s="179"/>
      <c r="T518" s="179"/>
      <c r="U518" s="179"/>
      <c r="V518" s="179"/>
      <c r="W518" s="179"/>
      <c r="X518" s="179"/>
      <c r="Y518" s="179"/>
      <c r="Z518" s="180"/>
      <c r="AA518" s="179"/>
      <c r="AB518" s="179"/>
      <c r="AC518" s="179"/>
      <c r="AD518" s="179"/>
      <c r="AE518" s="179"/>
      <c r="AF518" s="179"/>
      <c r="AG518" s="179"/>
      <c r="AH518" s="180"/>
      <c r="AJ518" s="544">
        <f ca="1">IF(AND($D518="Serviço",AJ$12&lt;&gt;0,$H518&gt;0,OR(AUTOEVENTO&lt;&gt;"manual",$M518&lt;&gt;1)),
IF(Import.TipoArredondamento&lt;&gt;"TransfereGOV",
ROUND(OFFSET($P518,0,AJ$13),15-13*ORÇAMENTO!$AF$7)/$H518*OFFSET(ORÇAMENTO!$X$15,ROW(AJ518)-ROW(AJ$15),0),
ROUND(ROUND(OFFSET($P518,0,AJ$13),15-13*ORÇAMENTO!$AF$7)*OFFSET(ORÇAMENTO!$W$15,ROW(AJ518)-ROW(AJ$15),0),15-13*ORÇAMENTO!$AF$11)),0)</f>
        <v>0</v>
      </c>
      <c r="AK518" s="545">
        <f ca="1">IF(AND($D518="Serviço",AK$12&lt;&gt;0,$H518&gt;0,OR(AUTOEVENTO&lt;&gt;"manual",$M518&lt;&gt;1)),
IF(Import.TipoArredondamento&lt;&gt;"TransfereGOV",
ROUND(OFFSET($P518,0,AK$13),15-13*ORÇAMENTO!$AF$7)/$H518*OFFSET(ORÇAMENTO!$X$15,ROW(AK518)-ROW(AK$15),0),
ROUND(ROUND(OFFSET($P518,0,AK$13),15-13*ORÇAMENTO!$AF$7)*OFFSET(ORÇAMENTO!$W$15,ROW(AK518)-ROW(AK$15),0),15-13*ORÇAMENTO!$AF$11)),0)</f>
        <v>0</v>
      </c>
      <c r="AL518" s="545">
        <f ca="1">IF(AND($D518="Serviço",AL$12&lt;&gt;0,$H518&gt;0,OR(AUTOEVENTO&lt;&gt;"manual",$M518&lt;&gt;1)),
IF(Import.TipoArredondamento&lt;&gt;"TransfereGOV",
ROUND(OFFSET($P518,0,AL$13),15-13*ORÇAMENTO!$AF$7)/$H518*OFFSET(ORÇAMENTO!$X$15,ROW(AL518)-ROW(AL$15),0),
ROUND(ROUND(OFFSET($P518,0,AL$13),15-13*ORÇAMENTO!$AF$7)*OFFSET(ORÇAMENTO!$W$15,ROW(AL518)-ROW(AL$15),0),15-13*ORÇAMENTO!$AF$11)),0)</f>
        <v>0</v>
      </c>
      <c r="AM518" s="545">
        <f ca="1">IF(AND($D518="Serviço",AM$12&lt;&gt;0,$H518&gt;0,OR(AUTOEVENTO&lt;&gt;"manual",$M518&lt;&gt;1)),
IF(Import.TipoArredondamento&lt;&gt;"TransfereGOV",
ROUND(OFFSET($P518,0,AM$13),15-13*ORÇAMENTO!$AF$7)/$H518*OFFSET(ORÇAMENTO!$X$15,ROW(AM518)-ROW(AM$15),0),
ROUND(ROUND(OFFSET($P518,0,AM$13),15-13*ORÇAMENTO!$AF$7)*OFFSET(ORÇAMENTO!$W$15,ROW(AM518)-ROW(AM$15),0),15-13*ORÇAMENTO!$AF$11)),0)</f>
        <v>0</v>
      </c>
      <c r="AN518" s="545">
        <f ca="1">IF(AND($D518="Serviço",AN$12&lt;&gt;0,$H518&gt;0,OR(AUTOEVENTO&lt;&gt;"manual",$M518&lt;&gt;1)),
IF(Import.TipoArredondamento&lt;&gt;"TransfereGOV",
ROUND(OFFSET($P518,0,AN$13),15-13*ORÇAMENTO!$AF$7)/$H518*OFFSET(ORÇAMENTO!$X$15,ROW(AN518)-ROW(AN$15),0),
ROUND(ROUND(OFFSET($P518,0,AN$13),15-13*ORÇAMENTO!$AF$7)*OFFSET(ORÇAMENTO!$W$15,ROW(AN518)-ROW(AN$15),0),15-13*ORÇAMENTO!$AF$11)),0)</f>
        <v>0</v>
      </c>
      <c r="AO518" s="545">
        <f ca="1">IF(AND($D518="Serviço",AO$12&lt;&gt;0,$H518&gt;0,OR(AUTOEVENTO&lt;&gt;"manual",$M518&lt;&gt;1)),
IF(Import.TipoArredondamento&lt;&gt;"TransfereGOV",
ROUND(OFFSET($P518,0,AO$13),15-13*ORÇAMENTO!$AF$7)/$H518*OFFSET(ORÇAMENTO!$X$15,ROW(AO518)-ROW(AO$15),0),
ROUND(ROUND(OFFSET($P518,0,AO$13),15-13*ORÇAMENTO!$AF$7)*OFFSET(ORÇAMENTO!$W$15,ROW(AO518)-ROW(AO$15),0),15-13*ORÇAMENTO!$AF$11)),0)</f>
        <v>0</v>
      </c>
      <c r="AP518" s="545">
        <f ca="1">IF(AND($D518="Serviço",AP$12&lt;&gt;0,$H518&gt;0,OR(AUTOEVENTO&lt;&gt;"manual",$M518&lt;&gt;1)),
IF(Import.TipoArredondamento&lt;&gt;"TransfereGOV",
ROUND(OFFSET($P518,0,AP$13),15-13*ORÇAMENTO!$AF$7)/$H518*OFFSET(ORÇAMENTO!$X$15,ROW(AP518)-ROW(AP$15),0),
ROUND(ROUND(OFFSET($P518,0,AP$13),15-13*ORÇAMENTO!$AF$7)*OFFSET(ORÇAMENTO!$W$15,ROW(AP518)-ROW(AP$15),0),15-13*ORÇAMENTO!$AF$11)),0)</f>
        <v>0</v>
      </c>
      <c r="AQ518" s="545">
        <f ca="1">IF(AND($D518="Serviço",AQ$12&lt;&gt;0,$H518&gt;0,OR(AUTOEVENTO&lt;&gt;"manual",$M518&lt;&gt;1)),
IF(Import.TipoArredondamento&lt;&gt;"TransfereGOV",
ROUND(OFFSET($P518,0,AQ$13),15-13*ORÇAMENTO!$AF$7)/$H518*OFFSET(ORÇAMENTO!$X$15,ROW(AQ518)-ROW(AQ$15),0),
ROUND(ROUND(OFFSET($P518,0,AQ$13),15-13*ORÇAMENTO!$AF$7)*OFFSET(ORÇAMENTO!$W$15,ROW(AQ518)-ROW(AQ$15),0),15-13*ORÇAMENTO!$AF$11)),0)</f>
        <v>0</v>
      </c>
      <c r="AR518" s="545">
        <f ca="1">IF(AND($D518="Serviço",AR$12&lt;&gt;0,$H518&gt;0,OR(AUTOEVENTO&lt;&gt;"manual",$M518&lt;&gt;1)),
IF(Import.TipoArredondamento&lt;&gt;"TransfereGOV",
ROUND(OFFSET($P518,0,AR$13),15-13*ORÇAMENTO!$AF$7)/$H518*OFFSET(ORÇAMENTO!$X$15,ROW(AR518)-ROW(AR$15),0),
ROUND(ROUND(OFFSET($P518,0,AR$13),15-13*ORÇAMENTO!$AF$7)*OFFSET(ORÇAMENTO!$W$15,ROW(AR518)-ROW(AR$15),0),15-13*ORÇAMENTO!$AF$11)),0)</f>
        <v>0</v>
      </c>
      <c r="AS518" s="546">
        <f ca="1">IF(AND($D518="Serviço",AS$12&lt;&gt;0,$H518&gt;0,OR(AUTOEVENTO&lt;&gt;"manual",$M518&lt;&gt;1)),
IF(Import.TipoArredondamento&lt;&gt;"TransfereGOV",
ROUND(OFFSET($P518,0,AS$13),15-13*ORÇAMENTO!$AF$7)/$H518*OFFSET(ORÇAMENTO!$X$15,ROW(AS518)-ROW(AS$15),0),
ROUND(ROUND(OFFSET($P518,0,AS$13),15-13*ORÇAMENTO!$AF$7)*OFFSET(ORÇAMENTO!$W$15,ROW(AS518)-ROW(AS$15),0),15-13*ORÇAMENTO!$AF$11)),0)</f>
        <v>0</v>
      </c>
      <c r="AT518" s="545">
        <f ca="1">IF(AND($D518="Serviço",AT$12&lt;&gt;0,$H518&gt;0,OR(AUTOEVENTO&lt;&gt;"manual",$M518&lt;&gt;1)),
IF(Import.TipoArredondamento&lt;&gt;"TransfereGOV",
ROUND(OFFSET($P518,0,AT$13),15-13*ORÇAMENTO!$AF$7)/$H518*OFFSET(ORÇAMENTO!$X$15,ROW(AT518)-ROW(AT$15),0),
ROUND(ROUND(OFFSET($P518,0,AT$13),15-13*ORÇAMENTO!$AF$7)*OFFSET(ORÇAMENTO!$W$15,ROW(AT518)-ROW(AT$15),0),15-13*ORÇAMENTO!$AF$11)),0)</f>
        <v>0</v>
      </c>
      <c r="AU518" s="545">
        <f ca="1">IF(AND($D518="Serviço",AU$12&lt;&gt;0,$H518&gt;0,OR(AUTOEVENTO&lt;&gt;"manual",$M518&lt;&gt;1)),
IF(Import.TipoArredondamento&lt;&gt;"TransfereGOV",
ROUND(OFFSET($P518,0,AU$13),15-13*ORÇAMENTO!$AF$7)/$H518*OFFSET(ORÇAMENTO!$X$15,ROW(AU518)-ROW(AU$15),0),
ROUND(ROUND(OFFSET($P518,0,AU$13),15-13*ORÇAMENTO!$AF$7)*OFFSET(ORÇAMENTO!$W$15,ROW(AU518)-ROW(AU$15),0),15-13*ORÇAMENTO!$AF$11)),0)</f>
        <v>0</v>
      </c>
      <c r="AV518" s="545">
        <f ca="1">IF(AND($D518="Serviço",AV$12&lt;&gt;0,$H518&gt;0,OR(AUTOEVENTO&lt;&gt;"manual",$M518&lt;&gt;1)),
IF(Import.TipoArredondamento&lt;&gt;"TransfereGOV",
ROUND(OFFSET($P518,0,AV$13),15-13*ORÇAMENTO!$AF$7)/$H518*OFFSET(ORÇAMENTO!$X$15,ROW(AV518)-ROW(AV$15),0),
ROUND(ROUND(OFFSET($P518,0,AV$13),15-13*ORÇAMENTO!$AF$7)*OFFSET(ORÇAMENTO!$W$15,ROW(AV518)-ROW(AV$15),0),15-13*ORÇAMENTO!$AF$11)),0)</f>
        <v>0</v>
      </c>
      <c r="AW518" s="545">
        <f ca="1">IF(AND($D518="Serviço",AW$12&lt;&gt;0,$H518&gt;0,OR(AUTOEVENTO&lt;&gt;"manual",$M518&lt;&gt;1)),
IF(Import.TipoArredondamento&lt;&gt;"TransfereGOV",
ROUND(OFFSET($P518,0,AW$13),15-13*ORÇAMENTO!$AF$7)/$H518*OFFSET(ORÇAMENTO!$X$15,ROW(AW518)-ROW(AW$15),0),
ROUND(ROUND(OFFSET($P518,0,AW$13),15-13*ORÇAMENTO!$AF$7)*OFFSET(ORÇAMENTO!$W$15,ROW(AW518)-ROW(AW$15),0),15-13*ORÇAMENTO!$AF$11)),0)</f>
        <v>0</v>
      </c>
      <c r="AX518" s="545">
        <f ca="1">IF(AND($D518="Serviço",AX$12&lt;&gt;0,$H518&gt;0,OR(AUTOEVENTO&lt;&gt;"manual",$M518&lt;&gt;1)),
IF(Import.TipoArredondamento&lt;&gt;"TransfereGOV",
ROUND(OFFSET($P518,0,AX$13),15-13*ORÇAMENTO!$AF$7)/$H518*OFFSET(ORÇAMENTO!$X$15,ROW(AX518)-ROW(AX$15),0),
ROUND(ROUND(OFFSET($P518,0,AX$13),15-13*ORÇAMENTO!$AF$7)*OFFSET(ORÇAMENTO!$W$15,ROW(AX518)-ROW(AX$15),0),15-13*ORÇAMENTO!$AF$11)),0)</f>
        <v>0</v>
      </c>
      <c r="AY518" s="545">
        <f ca="1">IF(AND($D518="Serviço",AY$12&lt;&gt;0,$H518&gt;0,OR(AUTOEVENTO&lt;&gt;"manual",$M518&lt;&gt;1)),
IF(Import.TipoArredondamento&lt;&gt;"TransfereGOV",
ROUND(OFFSET($P518,0,AY$13),15-13*ORÇAMENTO!$AF$7)/$H518*OFFSET(ORÇAMENTO!$X$15,ROW(AY518)-ROW(AY$15),0),
ROUND(ROUND(OFFSET($P518,0,AY$13),15-13*ORÇAMENTO!$AF$7)*OFFSET(ORÇAMENTO!$W$15,ROW(AY518)-ROW(AY$15),0),15-13*ORÇAMENTO!$AF$11)),0)</f>
        <v>0</v>
      </c>
      <c r="AZ518" s="545">
        <f ca="1">IF(AND($D518="Serviço",AZ$12&lt;&gt;0,$H518&gt;0,OR(AUTOEVENTO&lt;&gt;"manual",$M518&lt;&gt;1)),
IF(Import.TipoArredondamento&lt;&gt;"TransfereGOV",
ROUND(OFFSET($P518,0,AZ$13),15-13*ORÇAMENTO!$AF$7)/$H518*OFFSET(ORÇAMENTO!$X$15,ROW(AZ518)-ROW(AZ$15),0),
ROUND(ROUND(OFFSET($P518,0,AZ$13),15-13*ORÇAMENTO!$AF$7)*OFFSET(ORÇAMENTO!$W$15,ROW(AZ518)-ROW(AZ$15),0),15-13*ORÇAMENTO!$AF$11)),0)</f>
        <v>0</v>
      </c>
      <c r="BA518" s="546">
        <f ca="1">IF(AND($D518="Serviço",BA$12&lt;&gt;0,$H518&gt;0,OR(AUTOEVENTO&lt;&gt;"manual",$M518&lt;&gt;1)),
IF(Import.TipoArredondamento&lt;&gt;"TransfereGOV",
ROUND(OFFSET($P518,0,BA$13),15-13*ORÇAMENTO!$AF$7)/$H518*OFFSET(ORÇAMENTO!$X$15,ROW(BA518)-ROW(BA$15),0),
ROUND(ROUND(OFFSET($P518,0,BA$13),15-13*ORÇAMENTO!$AF$7)*OFFSET(ORÇAMENTO!$W$15,ROW(BA518)-ROW(BA$15),0),15-13*ORÇAMENTO!$AF$11)),0)</f>
        <v>0</v>
      </c>
      <c r="BC518" s="181">
        <f ca="1">IF($D518&lt;&gt;"Serviço",0,IF(AND(AUTOEVENTO="Manual",$M518=1),0,IF(OFFSET(CRONOPLE!$F$14,$M518,BC$13)="",10^12,OFFSET(CRONOPLE!$F$14,$M518,BC$13))))</f>
        <v>10</v>
      </c>
      <c r="BD518" s="181">
        <f ca="1">IF($D518&lt;&gt;"Serviço",0,IF(AND(AUTOEVENTO="Manual",$M518=1),0,IF(OFFSET(CRONOPLE!$F$14,$M518,BD$13)="",10^12,OFFSET(CRONOPLE!$F$14,$M518,BD$13))))</f>
        <v>1000000000000</v>
      </c>
      <c r="BE518" s="181">
        <f ca="1">IF($D518&lt;&gt;"Serviço",0,IF(AND(AUTOEVENTO="Manual",$M518=1),0,IF(OFFSET(CRONOPLE!$F$14,$M518,BE$13)="",10^12,OFFSET(CRONOPLE!$F$14,$M518,BE$13))))</f>
        <v>1000000000000</v>
      </c>
      <c r="BF518" s="181">
        <f ca="1">IF($D518&lt;&gt;"Serviço",0,IF(AND(AUTOEVENTO="Manual",$M518=1),0,IF(OFFSET(CRONOPLE!$F$14,$M518,BF$13)="",10^12,OFFSET(CRONOPLE!$F$14,$M518,BF$13))))</f>
        <v>1000000000000</v>
      </c>
      <c r="BG518" s="181">
        <f ca="1">IF($D518&lt;&gt;"Serviço",0,IF(AND(AUTOEVENTO="Manual",$M518=1),0,IF(OFFSET(CRONOPLE!$F$14,$M518,BG$13)="",10^12,OFFSET(CRONOPLE!$F$14,$M518,BG$13))))</f>
        <v>1000000000000</v>
      </c>
      <c r="BH518" s="181">
        <f ca="1">IF($D518&lt;&gt;"Serviço",0,IF(AND(AUTOEVENTO="Manual",$M518=1),0,IF(OFFSET(CRONOPLE!$F$14,$M518,BH$13)="",10^12,OFFSET(CRONOPLE!$F$14,$M518,BH$13))))</f>
        <v>1000000000000</v>
      </c>
      <c r="BI518" s="181">
        <f ca="1">IF($D518&lt;&gt;"Serviço",0,IF(AND(AUTOEVENTO="Manual",$M518=1),0,IF(OFFSET(CRONOPLE!$F$14,$M518,BI$13)="",10^12,OFFSET(CRONOPLE!$F$14,$M518,BI$13))))</f>
        <v>1000000000000</v>
      </c>
      <c r="BJ518" s="181">
        <f ca="1">IF($D518&lt;&gt;"Serviço",0,IF(AND(AUTOEVENTO="Manual",$M518=1),0,IF(OFFSET(CRONOPLE!$F$14,$M518,BJ$13)="",10^12,OFFSET(CRONOPLE!$F$14,$M518,BJ$13))))</f>
        <v>1000000000000</v>
      </c>
      <c r="BK518" s="181">
        <f ca="1">IF($D518&lt;&gt;"Serviço",0,IF(AND(AUTOEVENTO="Manual",$M518=1),0,IF(OFFSET(CRONOPLE!$F$14,$M518,BK$13)="",10^12,OFFSET(CRONOPLE!$F$14,$M518,BK$13))))</f>
        <v>1000000000000</v>
      </c>
      <c r="BL518" s="181">
        <f ca="1">IF($D518&lt;&gt;"Serviço",0,IF(AND(AUTOEVENTO="Manual",$M518=1),0,IF(OFFSET(CRONOPLE!$F$14,$M518,BL$13)="",10^12,OFFSET(CRONOPLE!$F$14,$M518,BL$13))))</f>
        <v>1000000000000</v>
      </c>
      <c r="BM518" s="181">
        <f ca="1">IF($D518&lt;&gt;"Serviço",0,IF(AND(AUTOEVENTO="Manual",$M518=1),0,IF(OFFSET(CRONOPLE!$F$14,$M518,BM$13)="",10^12,OFFSET(CRONOPLE!$F$14,$M518,BM$13))))</f>
        <v>1000000000000</v>
      </c>
      <c r="BN518" s="181">
        <f ca="1">IF($D518&lt;&gt;"Serviço",0,IF(AND(AUTOEVENTO="Manual",$M518=1),0,IF(OFFSET(CRONOPLE!$F$14,$M518,BN$13)="",10^12,OFFSET(CRONOPLE!$F$14,$M518,BN$13))))</f>
        <v>1000000000000</v>
      </c>
      <c r="BO518" s="181">
        <f ca="1">IF($D518&lt;&gt;"Serviço",0,IF(AND(AUTOEVENTO="Manual",$M518=1),0,IF(OFFSET(CRONOPLE!$F$14,$M518,BO$13)="",10^12,OFFSET(CRONOPLE!$F$14,$M518,BO$13))))</f>
        <v>1000000000000</v>
      </c>
      <c r="BP518" s="181">
        <f ca="1">IF($D518&lt;&gt;"Serviço",0,IF(AND(AUTOEVENTO="Manual",$M518=1),0,IF(OFFSET(CRONOPLE!$F$14,$M518,BP$13)="",10^12,OFFSET(CRONOPLE!$F$14,$M518,BP$13))))</f>
        <v>1000000000000</v>
      </c>
      <c r="BQ518" s="181">
        <f ca="1">IF($D518&lt;&gt;"Serviço",0,IF(AND(AUTOEVENTO="Manual",$M518=1),0,IF(OFFSET(CRONOPLE!$F$14,$M518,BQ$13)="",10^12,OFFSET(CRONOPLE!$F$14,$M518,BQ$13))))</f>
        <v>1000000000000</v>
      </c>
      <c r="BR518" s="181">
        <f ca="1">IF($D518&lt;&gt;"Serviço",0,IF(AND(AUTOEVENTO="Manual",$M518=1),0,IF(OFFSET(CRONOPLE!$F$14,$M518,BR$13)="",10^12,OFFSET(CRONOPLE!$F$14,$M518,BR$13))))</f>
        <v>1000000000000</v>
      </c>
      <c r="BS518" s="181">
        <f ca="1">IF($D518&lt;&gt;"Serviço",0,IF(AND(AUTOEVENTO="Manual",$M518=1),0,IF(OFFSET(CRONOPLE!$F$14,$M518,BS$13)="",10^12,OFFSET(CRONOPLE!$F$14,$M518,BS$13))))</f>
        <v>1000000000000</v>
      </c>
      <c r="BT518" s="181">
        <f ca="1">IF($D518&lt;&gt;"Serviço",0,IF(AND(AUTOEVENTO="Manual",$M518=1),0,IF(OFFSET(CRONOPLE!$F$14,$M518,BT$13)="",10^12,OFFSET(CRONOPLE!$F$14,$M518,BT$13))))</f>
        <v>1000000000000</v>
      </c>
      <c r="BV518" s="182">
        <f ca="1">IF($D518&lt;&gt;"Serviço",0,IF(OR(AND(AUTOEVENTO="Manual",$M518=1),$M518&gt;(ROW(PLE.lastrow)-ROW(PLE.firstrow))),0,IF(OFFSET(PLE!$G$14,$M518,BV$13)="",10^12,OFFSET(PLE!$G$14,$M518,BV$13))))</f>
        <v>1000000000000</v>
      </c>
      <c r="BW518" s="182">
        <f ca="1">IF($D518&lt;&gt;"Serviço",0,IF(OR(AND(AUTOEVENTO="Manual",$M518=1),$M518&gt;(ROW(PLE.lastrow)-ROW(PLE.firstrow))),0,IF(OFFSET(PLE!$G$14,$M518,BW$13)="",10^12,OFFSET(PLE!$G$14,$M518,BW$13))))</f>
        <v>1000000000000</v>
      </c>
      <c r="BX518" s="182">
        <f ca="1">IF($D518&lt;&gt;"Serviço",0,IF(OR(AND(AUTOEVENTO="Manual",$M518=1),$M518&gt;(ROW(PLE.lastrow)-ROW(PLE.firstrow))),0,IF(OFFSET(PLE!$G$14,$M518,BX$13)="",10^12,OFFSET(PLE!$G$14,$M518,BX$13))))</f>
        <v>1000000000000</v>
      </c>
      <c r="BY518" s="182">
        <f ca="1">IF($D518&lt;&gt;"Serviço",0,IF(OR(AND(AUTOEVENTO="Manual",$M518=1),$M518&gt;(ROW(PLE.lastrow)-ROW(PLE.firstrow))),0,IF(OFFSET(PLE!$G$14,$M518,BY$13)="",10^12,OFFSET(PLE!$G$14,$M518,BY$13))))</f>
        <v>1000000000000</v>
      </c>
      <c r="BZ518" s="182">
        <f ca="1">IF($D518&lt;&gt;"Serviço",0,IF(OR(AND(AUTOEVENTO="Manual",$M518=1),$M518&gt;(ROW(PLE.lastrow)-ROW(PLE.firstrow))),0,IF(OFFSET(PLE!$G$14,$M518,BZ$13)="",10^12,OFFSET(PLE!$G$14,$M518,BZ$13))))</f>
        <v>1000000000000</v>
      </c>
      <c r="CA518" s="182">
        <f ca="1">IF($D518&lt;&gt;"Serviço",0,IF(OR(AND(AUTOEVENTO="Manual",$M518=1),$M518&gt;(ROW(PLE.lastrow)-ROW(PLE.firstrow))),0,IF(OFFSET(PLE!$G$14,$M518,CA$13)="",10^12,OFFSET(PLE!$G$14,$M518,CA$13))))</f>
        <v>1000000000000</v>
      </c>
      <c r="CB518" s="182">
        <f ca="1">IF($D518&lt;&gt;"Serviço",0,IF(OR(AND(AUTOEVENTO="Manual",$M518=1),$M518&gt;(ROW(PLE.lastrow)-ROW(PLE.firstrow))),0,IF(OFFSET(PLE!$G$14,$M518,CB$13)="",10^12,OFFSET(PLE!$G$14,$M518,CB$13))))</f>
        <v>1000000000000</v>
      </c>
      <c r="CC518" s="182">
        <f ca="1">IF($D518&lt;&gt;"Serviço",0,IF(OR(AND(AUTOEVENTO="Manual",$M518=1),$M518&gt;(ROW(PLE.lastrow)-ROW(PLE.firstrow))),0,IF(OFFSET(PLE!$G$14,$M518,CC$13)="",10^12,OFFSET(PLE!$G$14,$M518,CC$13))))</f>
        <v>1000000000000</v>
      </c>
      <c r="CD518" s="182">
        <f ca="1">IF($D518&lt;&gt;"Serviço",0,IF(OR(AND(AUTOEVENTO="Manual",$M518=1),$M518&gt;(ROW(PLE.lastrow)-ROW(PLE.firstrow))),0,IF(OFFSET(PLE!$G$14,$M518,CD$13)="",10^12,OFFSET(PLE!$G$14,$M518,CD$13))))</f>
        <v>1000000000000</v>
      </c>
      <c r="CE518" s="182">
        <f ca="1">IF($D518&lt;&gt;"Serviço",0,IF(OR(AND(AUTOEVENTO="Manual",$M518=1),$M518&gt;(ROW(PLE.lastrow)-ROW(PLE.firstrow))),0,IF(OFFSET(PLE!$G$14,$M518,CE$13)="",10^12,OFFSET(PLE!$G$14,$M518,CE$13))))</f>
        <v>1000000000000</v>
      </c>
      <c r="CF518" s="182">
        <f ca="1">IF($D518&lt;&gt;"Serviço",0,IF(OR(AND(AUTOEVENTO="Manual",$M518=1),$M518&gt;(ROW(PLE.lastrow)-ROW(PLE.firstrow))),0,IF(OFFSET(PLE!$G$14,$M518,CF$13)="",10^12,OFFSET(PLE!$G$14,$M518,CF$13))))</f>
        <v>1000000000000</v>
      </c>
      <c r="CG518" s="182">
        <f ca="1">IF($D518&lt;&gt;"Serviço",0,IF(OR(AND(AUTOEVENTO="Manual",$M518=1),$M518&gt;(ROW(PLE.lastrow)-ROW(PLE.firstrow))),0,IF(OFFSET(PLE!$G$14,$M518,CG$13)="",10^12,OFFSET(PLE!$G$14,$M518,CG$13))))</f>
        <v>1000000000000</v>
      </c>
      <c r="CH518" s="182">
        <f ca="1">IF($D518&lt;&gt;"Serviço",0,IF(OR(AND(AUTOEVENTO="Manual",$M518=1),$M518&gt;(ROW(PLE.lastrow)-ROW(PLE.firstrow))),0,IF(OFFSET(PLE!$G$14,$M518,CH$13)="",10^12,OFFSET(PLE!$G$14,$M518,CH$13))))</f>
        <v>1000000000000</v>
      </c>
      <c r="CI518" s="182">
        <f ca="1">IF($D518&lt;&gt;"Serviço",0,IF(OR(AND(AUTOEVENTO="Manual",$M518=1),$M518&gt;(ROW(PLE.lastrow)-ROW(PLE.firstrow))),0,IF(OFFSET(PLE!$G$14,$M518,CI$13)="",10^12,OFFSET(PLE!$G$14,$M518,CI$13))))</f>
        <v>1000000000000</v>
      </c>
      <c r="CJ518" s="182">
        <f ca="1">IF($D518&lt;&gt;"Serviço",0,IF(OR(AND(AUTOEVENTO="Manual",$M518=1),$M518&gt;(ROW(PLE.lastrow)-ROW(PLE.firstrow))),0,IF(OFFSET(PLE!$G$14,$M518,CJ$13)="",10^12,OFFSET(PLE!$G$14,$M518,CJ$13))))</f>
        <v>1000000000000</v>
      </c>
      <c r="CK518" s="182">
        <f ca="1">IF($D518&lt;&gt;"Serviço",0,IF(OR(AND(AUTOEVENTO="Manual",$M518=1),$M518&gt;(ROW(PLE.lastrow)-ROW(PLE.firstrow))),0,IF(OFFSET(PLE!$G$14,$M518,CK$13)="",10^12,OFFSET(PLE!$G$14,$M518,CK$13))))</f>
        <v>1000000000000</v>
      </c>
      <c r="CL518" s="182">
        <f ca="1">IF($D518&lt;&gt;"Serviço",0,IF(OR(AND(AUTOEVENTO="Manual",$M518=1),$M518&gt;(ROW(PLE.lastrow)-ROW(PLE.firstrow))),0,IF(OFFSET(PLE!$G$14,$M518,CL$13)="",10^12,OFFSET(PLE!$G$14,$M518,CL$13))))</f>
        <v>1000000000000</v>
      </c>
      <c r="CM518" s="182">
        <f ca="1">IF($D518&lt;&gt;"Serviço",0,IF(OR(AND(AUTOEVENTO="Manual",$M518=1),$M518&gt;(ROW(PLE.lastrow)-ROW(PLE.firstrow))),0,IF(OFFSET(PLE!$G$14,$M518,CM$13)="",10^12,OFFSET(PLE!$G$14,$M518,CM$13))))</f>
        <v>1000000000000</v>
      </c>
    </row>
    <row r="519" spans="1:91" ht="38.25" x14ac:dyDescent="0.2">
      <c r="A519" s="7" t="str">
        <f t="shared" ca="1" si="16"/>
        <v>493</v>
      </c>
      <c r="B519" s="7" t="str">
        <f ca="1">OFFSET(ORÇAMENTO!C$15,ROW(B519)-ROW(B$15),0)</f>
        <v>S</v>
      </c>
      <c r="C519" s="7" t="str">
        <f ca="1">OFFSET(ORÇAMENTO!L$15,ROW(C519)-ROW(C$15),0)</f>
        <v/>
      </c>
      <c r="D519" s="118" t="str">
        <f ca="1">OFFSET(ORÇAMENTO!N$15,ROW(D519)-ROW(D$15),0)</f>
        <v>Serviço</v>
      </c>
      <c r="E519" s="119" t="str">
        <f ca="1">OFFSET(ORÇAMENTO!O$15,ROW(E519)-ROW(E$15),0)</f>
        <v>-</v>
      </c>
      <c r="F519" s="172" t="str">
        <f ca="1">OFFSET(ORÇAMENTO!R$15,ROW(F519)-ROW(F$15),0)</f>
        <v>(abra o arquivo 'Referência 06-2024.xlsm)</v>
      </c>
      <c r="G519" s="173" t="str">
        <f ca="1">IF($D519&lt;&gt;"Serviço","",OFFSET(ORÇAMENTO!S$15,ROW(G519)-ROW(G$15),0))</f>
        <v>-</v>
      </c>
      <c r="H519" s="124">
        <f ca="1">IF($D519&lt;&gt;"Serviço",0,IF(ACOMPANHAMENTO="BM",ROUND(OFFSET(ORÇAMENTO!AJ$15,ROW(H519)-ROW(H$15),0),15-13*ORÇAMENTO!$AF$7),SUMPRODUCT(($Q$12:$AI$12&lt;&gt;"")*ROUND($Q519:$AI519,15-13*ORÇAMENTO!$AF$7))))</f>
        <v>3983.2</v>
      </c>
      <c r="I519" s="561" t="s">
        <v>1107</v>
      </c>
      <c r="K519" s="174"/>
      <c r="L519" s="175" t="s">
        <v>255</v>
      </c>
      <c r="M519" s="176">
        <f ca="1">IF($D519&lt;&gt;"Serviço","",IF(AUTOEVENTO="manual",$A519,IF(ISERROR(MATCH($A519,$A$15:OFFSET($A519,-1,0),0)),MAX($M$15:OFFSET(M519,-1,0))+1,INDEX($M$15:OFFSET(M519,-1,0),MATCH($A519,$A$15:OFFSET($A519,-1,0),0)))))</f>
        <v>54</v>
      </c>
      <c r="N519" s="177" t="str">
        <f ca="1">IF($D519&lt;&gt;"Serviço","",IF(AUTOEVENTO="Manual",IF($A519=0,"&lt;-- defina o número do agrupador",OFFSET(EVENTOS!$D$14,$A519,0)),OFFSET($F$15,$A519,0)))</f>
        <v>INSTALAÇÃO ELÉTRICA 110V - CABOS</v>
      </c>
      <c r="O519" s="178"/>
      <c r="Q519" s="178">
        <v>3983.2</v>
      </c>
      <c r="R519" s="179"/>
      <c r="S519" s="179"/>
      <c r="T519" s="179"/>
      <c r="U519" s="179"/>
      <c r="V519" s="179"/>
      <c r="W519" s="179"/>
      <c r="X519" s="179"/>
      <c r="Y519" s="179"/>
      <c r="Z519" s="180"/>
      <c r="AA519" s="179"/>
      <c r="AB519" s="179"/>
      <c r="AC519" s="179"/>
      <c r="AD519" s="179"/>
      <c r="AE519" s="179"/>
      <c r="AF519" s="179"/>
      <c r="AG519" s="179"/>
      <c r="AH519" s="180"/>
      <c r="AJ519" s="544">
        <f ca="1">IF(AND($D519="Serviço",AJ$12&lt;&gt;0,$H519&gt;0,OR(AUTOEVENTO&lt;&gt;"manual",$M519&lt;&gt;1)),
IF(Import.TipoArredondamento&lt;&gt;"TransfereGOV",
ROUND(OFFSET($P519,0,AJ$13),15-13*ORÇAMENTO!$AF$7)/$H519*OFFSET(ORÇAMENTO!$X$15,ROW(AJ519)-ROW(AJ$15),0),
ROUND(ROUND(OFFSET($P519,0,AJ$13),15-13*ORÇAMENTO!$AF$7)*OFFSET(ORÇAMENTO!$W$15,ROW(AJ519)-ROW(AJ$15),0),15-13*ORÇAMENTO!$AF$11)),0)</f>
        <v>0</v>
      </c>
      <c r="AK519" s="545">
        <f ca="1">IF(AND($D519="Serviço",AK$12&lt;&gt;0,$H519&gt;0,OR(AUTOEVENTO&lt;&gt;"manual",$M519&lt;&gt;1)),
IF(Import.TipoArredondamento&lt;&gt;"TransfereGOV",
ROUND(OFFSET($P519,0,AK$13),15-13*ORÇAMENTO!$AF$7)/$H519*OFFSET(ORÇAMENTO!$X$15,ROW(AK519)-ROW(AK$15),0),
ROUND(ROUND(OFFSET($P519,0,AK$13),15-13*ORÇAMENTO!$AF$7)*OFFSET(ORÇAMENTO!$W$15,ROW(AK519)-ROW(AK$15),0),15-13*ORÇAMENTO!$AF$11)),0)</f>
        <v>0</v>
      </c>
      <c r="AL519" s="545">
        <f ca="1">IF(AND($D519="Serviço",AL$12&lt;&gt;0,$H519&gt;0,OR(AUTOEVENTO&lt;&gt;"manual",$M519&lt;&gt;1)),
IF(Import.TipoArredondamento&lt;&gt;"TransfereGOV",
ROUND(OFFSET($P519,0,AL$13),15-13*ORÇAMENTO!$AF$7)/$H519*OFFSET(ORÇAMENTO!$X$15,ROW(AL519)-ROW(AL$15),0),
ROUND(ROUND(OFFSET($P519,0,AL$13),15-13*ORÇAMENTO!$AF$7)*OFFSET(ORÇAMENTO!$W$15,ROW(AL519)-ROW(AL$15),0),15-13*ORÇAMENTO!$AF$11)),0)</f>
        <v>0</v>
      </c>
      <c r="AM519" s="545">
        <f ca="1">IF(AND($D519="Serviço",AM$12&lt;&gt;0,$H519&gt;0,OR(AUTOEVENTO&lt;&gt;"manual",$M519&lt;&gt;1)),
IF(Import.TipoArredondamento&lt;&gt;"TransfereGOV",
ROUND(OFFSET($P519,0,AM$13),15-13*ORÇAMENTO!$AF$7)/$H519*OFFSET(ORÇAMENTO!$X$15,ROW(AM519)-ROW(AM$15),0),
ROUND(ROUND(OFFSET($P519,0,AM$13),15-13*ORÇAMENTO!$AF$7)*OFFSET(ORÇAMENTO!$W$15,ROW(AM519)-ROW(AM$15),0),15-13*ORÇAMENTO!$AF$11)),0)</f>
        <v>0</v>
      </c>
      <c r="AN519" s="545">
        <f ca="1">IF(AND($D519="Serviço",AN$12&lt;&gt;0,$H519&gt;0,OR(AUTOEVENTO&lt;&gt;"manual",$M519&lt;&gt;1)),
IF(Import.TipoArredondamento&lt;&gt;"TransfereGOV",
ROUND(OFFSET($P519,0,AN$13),15-13*ORÇAMENTO!$AF$7)/$H519*OFFSET(ORÇAMENTO!$X$15,ROW(AN519)-ROW(AN$15),0),
ROUND(ROUND(OFFSET($P519,0,AN$13),15-13*ORÇAMENTO!$AF$7)*OFFSET(ORÇAMENTO!$W$15,ROW(AN519)-ROW(AN$15),0),15-13*ORÇAMENTO!$AF$11)),0)</f>
        <v>0</v>
      </c>
      <c r="AO519" s="545">
        <f ca="1">IF(AND($D519="Serviço",AO$12&lt;&gt;0,$H519&gt;0,OR(AUTOEVENTO&lt;&gt;"manual",$M519&lt;&gt;1)),
IF(Import.TipoArredondamento&lt;&gt;"TransfereGOV",
ROUND(OFFSET($P519,0,AO$13),15-13*ORÇAMENTO!$AF$7)/$H519*OFFSET(ORÇAMENTO!$X$15,ROW(AO519)-ROW(AO$15),0),
ROUND(ROUND(OFFSET($P519,0,AO$13),15-13*ORÇAMENTO!$AF$7)*OFFSET(ORÇAMENTO!$W$15,ROW(AO519)-ROW(AO$15),0),15-13*ORÇAMENTO!$AF$11)),0)</f>
        <v>0</v>
      </c>
      <c r="AP519" s="545">
        <f ca="1">IF(AND($D519="Serviço",AP$12&lt;&gt;0,$H519&gt;0,OR(AUTOEVENTO&lt;&gt;"manual",$M519&lt;&gt;1)),
IF(Import.TipoArredondamento&lt;&gt;"TransfereGOV",
ROUND(OFFSET($P519,0,AP$13),15-13*ORÇAMENTO!$AF$7)/$H519*OFFSET(ORÇAMENTO!$X$15,ROW(AP519)-ROW(AP$15),0),
ROUND(ROUND(OFFSET($P519,0,AP$13),15-13*ORÇAMENTO!$AF$7)*OFFSET(ORÇAMENTO!$W$15,ROW(AP519)-ROW(AP$15),0),15-13*ORÇAMENTO!$AF$11)),0)</f>
        <v>0</v>
      </c>
      <c r="AQ519" s="545">
        <f ca="1">IF(AND($D519="Serviço",AQ$12&lt;&gt;0,$H519&gt;0,OR(AUTOEVENTO&lt;&gt;"manual",$M519&lt;&gt;1)),
IF(Import.TipoArredondamento&lt;&gt;"TransfereGOV",
ROUND(OFFSET($P519,0,AQ$13),15-13*ORÇAMENTO!$AF$7)/$H519*OFFSET(ORÇAMENTO!$X$15,ROW(AQ519)-ROW(AQ$15),0),
ROUND(ROUND(OFFSET($P519,0,AQ$13),15-13*ORÇAMENTO!$AF$7)*OFFSET(ORÇAMENTO!$W$15,ROW(AQ519)-ROW(AQ$15),0),15-13*ORÇAMENTO!$AF$11)),0)</f>
        <v>0</v>
      </c>
      <c r="AR519" s="545">
        <f ca="1">IF(AND($D519="Serviço",AR$12&lt;&gt;0,$H519&gt;0,OR(AUTOEVENTO&lt;&gt;"manual",$M519&lt;&gt;1)),
IF(Import.TipoArredondamento&lt;&gt;"TransfereGOV",
ROUND(OFFSET($P519,0,AR$13),15-13*ORÇAMENTO!$AF$7)/$H519*OFFSET(ORÇAMENTO!$X$15,ROW(AR519)-ROW(AR$15),0),
ROUND(ROUND(OFFSET($P519,0,AR$13),15-13*ORÇAMENTO!$AF$7)*OFFSET(ORÇAMENTO!$W$15,ROW(AR519)-ROW(AR$15),0),15-13*ORÇAMENTO!$AF$11)),0)</f>
        <v>0</v>
      </c>
      <c r="AS519" s="546">
        <f ca="1">IF(AND($D519="Serviço",AS$12&lt;&gt;0,$H519&gt;0,OR(AUTOEVENTO&lt;&gt;"manual",$M519&lt;&gt;1)),
IF(Import.TipoArredondamento&lt;&gt;"TransfereGOV",
ROUND(OFFSET($P519,0,AS$13),15-13*ORÇAMENTO!$AF$7)/$H519*OFFSET(ORÇAMENTO!$X$15,ROW(AS519)-ROW(AS$15),0),
ROUND(ROUND(OFFSET($P519,0,AS$13),15-13*ORÇAMENTO!$AF$7)*OFFSET(ORÇAMENTO!$W$15,ROW(AS519)-ROW(AS$15),0),15-13*ORÇAMENTO!$AF$11)),0)</f>
        <v>0</v>
      </c>
      <c r="AT519" s="545">
        <f ca="1">IF(AND($D519="Serviço",AT$12&lt;&gt;0,$H519&gt;0,OR(AUTOEVENTO&lt;&gt;"manual",$M519&lt;&gt;1)),
IF(Import.TipoArredondamento&lt;&gt;"TransfereGOV",
ROUND(OFFSET($P519,0,AT$13),15-13*ORÇAMENTO!$AF$7)/$H519*OFFSET(ORÇAMENTO!$X$15,ROW(AT519)-ROW(AT$15),0),
ROUND(ROUND(OFFSET($P519,0,AT$13),15-13*ORÇAMENTO!$AF$7)*OFFSET(ORÇAMENTO!$W$15,ROW(AT519)-ROW(AT$15),0),15-13*ORÇAMENTO!$AF$11)),0)</f>
        <v>0</v>
      </c>
      <c r="AU519" s="545">
        <f ca="1">IF(AND($D519="Serviço",AU$12&lt;&gt;0,$H519&gt;0,OR(AUTOEVENTO&lt;&gt;"manual",$M519&lt;&gt;1)),
IF(Import.TipoArredondamento&lt;&gt;"TransfereGOV",
ROUND(OFFSET($P519,0,AU$13),15-13*ORÇAMENTO!$AF$7)/$H519*OFFSET(ORÇAMENTO!$X$15,ROW(AU519)-ROW(AU$15),0),
ROUND(ROUND(OFFSET($P519,0,AU$13),15-13*ORÇAMENTO!$AF$7)*OFFSET(ORÇAMENTO!$W$15,ROW(AU519)-ROW(AU$15),0),15-13*ORÇAMENTO!$AF$11)),0)</f>
        <v>0</v>
      </c>
      <c r="AV519" s="545">
        <f ca="1">IF(AND($D519="Serviço",AV$12&lt;&gt;0,$H519&gt;0,OR(AUTOEVENTO&lt;&gt;"manual",$M519&lt;&gt;1)),
IF(Import.TipoArredondamento&lt;&gt;"TransfereGOV",
ROUND(OFFSET($P519,0,AV$13),15-13*ORÇAMENTO!$AF$7)/$H519*OFFSET(ORÇAMENTO!$X$15,ROW(AV519)-ROW(AV$15),0),
ROUND(ROUND(OFFSET($P519,0,AV$13),15-13*ORÇAMENTO!$AF$7)*OFFSET(ORÇAMENTO!$W$15,ROW(AV519)-ROW(AV$15),0),15-13*ORÇAMENTO!$AF$11)),0)</f>
        <v>0</v>
      </c>
      <c r="AW519" s="545">
        <f ca="1">IF(AND($D519="Serviço",AW$12&lt;&gt;0,$H519&gt;0,OR(AUTOEVENTO&lt;&gt;"manual",$M519&lt;&gt;1)),
IF(Import.TipoArredondamento&lt;&gt;"TransfereGOV",
ROUND(OFFSET($P519,0,AW$13),15-13*ORÇAMENTO!$AF$7)/$H519*OFFSET(ORÇAMENTO!$X$15,ROW(AW519)-ROW(AW$15),0),
ROUND(ROUND(OFFSET($P519,0,AW$13),15-13*ORÇAMENTO!$AF$7)*OFFSET(ORÇAMENTO!$W$15,ROW(AW519)-ROW(AW$15),0),15-13*ORÇAMENTO!$AF$11)),0)</f>
        <v>0</v>
      </c>
      <c r="AX519" s="545">
        <f ca="1">IF(AND($D519="Serviço",AX$12&lt;&gt;0,$H519&gt;0,OR(AUTOEVENTO&lt;&gt;"manual",$M519&lt;&gt;1)),
IF(Import.TipoArredondamento&lt;&gt;"TransfereGOV",
ROUND(OFFSET($P519,0,AX$13),15-13*ORÇAMENTO!$AF$7)/$H519*OFFSET(ORÇAMENTO!$X$15,ROW(AX519)-ROW(AX$15),0),
ROUND(ROUND(OFFSET($P519,0,AX$13),15-13*ORÇAMENTO!$AF$7)*OFFSET(ORÇAMENTO!$W$15,ROW(AX519)-ROW(AX$15),0),15-13*ORÇAMENTO!$AF$11)),0)</f>
        <v>0</v>
      </c>
      <c r="AY519" s="545">
        <f ca="1">IF(AND($D519="Serviço",AY$12&lt;&gt;0,$H519&gt;0,OR(AUTOEVENTO&lt;&gt;"manual",$M519&lt;&gt;1)),
IF(Import.TipoArredondamento&lt;&gt;"TransfereGOV",
ROUND(OFFSET($P519,0,AY$13),15-13*ORÇAMENTO!$AF$7)/$H519*OFFSET(ORÇAMENTO!$X$15,ROW(AY519)-ROW(AY$15),0),
ROUND(ROUND(OFFSET($P519,0,AY$13),15-13*ORÇAMENTO!$AF$7)*OFFSET(ORÇAMENTO!$W$15,ROW(AY519)-ROW(AY$15),0),15-13*ORÇAMENTO!$AF$11)),0)</f>
        <v>0</v>
      </c>
      <c r="AZ519" s="545">
        <f ca="1">IF(AND($D519="Serviço",AZ$12&lt;&gt;0,$H519&gt;0,OR(AUTOEVENTO&lt;&gt;"manual",$M519&lt;&gt;1)),
IF(Import.TipoArredondamento&lt;&gt;"TransfereGOV",
ROUND(OFFSET($P519,0,AZ$13),15-13*ORÇAMENTO!$AF$7)/$H519*OFFSET(ORÇAMENTO!$X$15,ROW(AZ519)-ROW(AZ$15),0),
ROUND(ROUND(OFFSET($P519,0,AZ$13),15-13*ORÇAMENTO!$AF$7)*OFFSET(ORÇAMENTO!$W$15,ROW(AZ519)-ROW(AZ$15),0),15-13*ORÇAMENTO!$AF$11)),0)</f>
        <v>0</v>
      </c>
      <c r="BA519" s="546">
        <f ca="1">IF(AND($D519="Serviço",BA$12&lt;&gt;0,$H519&gt;0,OR(AUTOEVENTO&lt;&gt;"manual",$M519&lt;&gt;1)),
IF(Import.TipoArredondamento&lt;&gt;"TransfereGOV",
ROUND(OFFSET($P519,0,BA$13),15-13*ORÇAMENTO!$AF$7)/$H519*OFFSET(ORÇAMENTO!$X$15,ROW(BA519)-ROW(BA$15),0),
ROUND(ROUND(OFFSET($P519,0,BA$13),15-13*ORÇAMENTO!$AF$7)*OFFSET(ORÇAMENTO!$W$15,ROW(BA519)-ROW(BA$15),0),15-13*ORÇAMENTO!$AF$11)),0)</f>
        <v>0</v>
      </c>
      <c r="BC519" s="181">
        <f ca="1">IF($D519&lt;&gt;"Serviço",0,IF(AND(AUTOEVENTO="Manual",$M519=1),0,IF(OFFSET(CRONOPLE!$F$14,$M519,BC$13)="",10^12,OFFSET(CRONOPLE!$F$14,$M519,BC$13))))</f>
        <v>10</v>
      </c>
      <c r="BD519" s="181">
        <f ca="1">IF($D519&lt;&gt;"Serviço",0,IF(AND(AUTOEVENTO="Manual",$M519=1),0,IF(OFFSET(CRONOPLE!$F$14,$M519,BD$13)="",10^12,OFFSET(CRONOPLE!$F$14,$M519,BD$13))))</f>
        <v>1000000000000</v>
      </c>
      <c r="BE519" s="181">
        <f ca="1">IF($D519&lt;&gt;"Serviço",0,IF(AND(AUTOEVENTO="Manual",$M519=1),0,IF(OFFSET(CRONOPLE!$F$14,$M519,BE$13)="",10^12,OFFSET(CRONOPLE!$F$14,$M519,BE$13))))</f>
        <v>1000000000000</v>
      </c>
      <c r="BF519" s="181">
        <f ca="1">IF($D519&lt;&gt;"Serviço",0,IF(AND(AUTOEVENTO="Manual",$M519=1),0,IF(OFFSET(CRONOPLE!$F$14,$M519,BF$13)="",10^12,OFFSET(CRONOPLE!$F$14,$M519,BF$13))))</f>
        <v>1000000000000</v>
      </c>
      <c r="BG519" s="181">
        <f ca="1">IF($D519&lt;&gt;"Serviço",0,IF(AND(AUTOEVENTO="Manual",$M519=1),0,IF(OFFSET(CRONOPLE!$F$14,$M519,BG$13)="",10^12,OFFSET(CRONOPLE!$F$14,$M519,BG$13))))</f>
        <v>1000000000000</v>
      </c>
      <c r="BH519" s="181">
        <f ca="1">IF($D519&lt;&gt;"Serviço",0,IF(AND(AUTOEVENTO="Manual",$M519=1),0,IF(OFFSET(CRONOPLE!$F$14,$M519,BH$13)="",10^12,OFFSET(CRONOPLE!$F$14,$M519,BH$13))))</f>
        <v>1000000000000</v>
      </c>
      <c r="BI519" s="181">
        <f ca="1">IF($D519&lt;&gt;"Serviço",0,IF(AND(AUTOEVENTO="Manual",$M519=1),0,IF(OFFSET(CRONOPLE!$F$14,$M519,BI$13)="",10^12,OFFSET(CRONOPLE!$F$14,$M519,BI$13))))</f>
        <v>1000000000000</v>
      </c>
      <c r="BJ519" s="181">
        <f ca="1">IF($D519&lt;&gt;"Serviço",0,IF(AND(AUTOEVENTO="Manual",$M519=1),0,IF(OFFSET(CRONOPLE!$F$14,$M519,BJ$13)="",10^12,OFFSET(CRONOPLE!$F$14,$M519,BJ$13))))</f>
        <v>1000000000000</v>
      </c>
      <c r="BK519" s="181">
        <f ca="1">IF($D519&lt;&gt;"Serviço",0,IF(AND(AUTOEVENTO="Manual",$M519=1),0,IF(OFFSET(CRONOPLE!$F$14,$M519,BK$13)="",10^12,OFFSET(CRONOPLE!$F$14,$M519,BK$13))))</f>
        <v>1000000000000</v>
      </c>
      <c r="BL519" s="181">
        <f ca="1">IF($D519&lt;&gt;"Serviço",0,IF(AND(AUTOEVENTO="Manual",$M519=1),0,IF(OFFSET(CRONOPLE!$F$14,$M519,BL$13)="",10^12,OFFSET(CRONOPLE!$F$14,$M519,BL$13))))</f>
        <v>1000000000000</v>
      </c>
      <c r="BM519" s="181">
        <f ca="1">IF($D519&lt;&gt;"Serviço",0,IF(AND(AUTOEVENTO="Manual",$M519=1),0,IF(OFFSET(CRONOPLE!$F$14,$M519,BM$13)="",10^12,OFFSET(CRONOPLE!$F$14,$M519,BM$13))))</f>
        <v>1000000000000</v>
      </c>
      <c r="BN519" s="181">
        <f ca="1">IF($D519&lt;&gt;"Serviço",0,IF(AND(AUTOEVENTO="Manual",$M519=1),0,IF(OFFSET(CRONOPLE!$F$14,$M519,BN$13)="",10^12,OFFSET(CRONOPLE!$F$14,$M519,BN$13))))</f>
        <v>1000000000000</v>
      </c>
      <c r="BO519" s="181">
        <f ca="1">IF($D519&lt;&gt;"Serviço",0,IF(AND(AUTOEVENTO="Manual",$M519=1),0,IF(OFFSET(CRONOPLE!$F$14,$M519,BO$13)="",10^12,OFFSET(CRONOPLE!$F$14,$M519,BO$13))))</f>
        <v>1000000000000</v>
      </c>
      <c r="BP519" s="181">
        <f ca="1">IF($D519&lt;&gt;"Serviço",0,IF(AND(AUTOEVENTO="Manual",$M519=1),0,IF(OFFSET(CRONOPLE!$F$14,$M519,BP$13)="",10^12,OFFSET(CRONOPLE!$F$14,$M519,BP$13))))</f>
        <v>1000000000000</v>
      </c>
      <c r="BQ519" s="181">
        <f ca="1">IF($D519&lt;&gt;"Serviço",0,IF(AND(AUTOEVENTO="Manual",$M519=1),0,IF(OFFSET(CRONOPLE!$F$14,$M519,BQ$13)="",10^12,OFFSET(CRONOPLE!$F$14,$M519,BQ$13))))</f>
        <v>1000000000000</v>
      </c>
      <c r="BR519" s="181">
        <f ca="1">IF($D519&lt;&gt;"Serviço",0,IF(AND(AUTOEVENTO="Manual",$M519=1),0,IF(OFFSET(CRONOPLE!$F$14,$M519,BR$13)="",10^12,OFFSET(CRONOPLE!$F$14,$M519,BR$13))))</f>
        <v>1000000000000</v>
      </c>
      <c r="BS519" s="181">
        <f ca="1">IF($D519&lt;&gt;"Serviço",0,IF(AND(AUTOEVENTO="Manual",$M519=1),0,IF(OFFSET(CRONOPLE!$F$14,$M519,BS$13)="",10^12,OFFSET(CRONOPLE!$F$14,$M519,BS$13))))</f>
        <v>1000000000000</v>
      </c>
      <c r="BT519" s="181">
        <f ca="1">IF($D519&lt;&gt;"Serviço",0,IF(AND(AUTOEVENTO="Manual",$M519=1),0,IF(OFFSET(CRONOPLE!$F$14,$M519,BT$13)="",10^12,OFFSET(CRONOPLE!$F$14,$M519,BT$13))))</f>
        <v>1000000000000</v>
      </c>
      <c r="BV519" s="182">
        <f ca="1">IF($D519&lt;&gt;"Serviço",0,IF(OR(AND(AUTOEVENTO="Manual",$M519=1),$M519&gt;(ROW(PLE.lastrow)-ROW(PLE.firstrow))),0,IF(OFFSET(PLE!$G$14,$M519,BV$13)="",10^12,OFFSET(PLE!$G$14,$M519,BV$13))))</f>
        <v>1000000000000</v>
      </c>
      <c r="BW519" s="182">
        <f ca="1">IF($D519&lt;&gt;"Serviço",0,IF(OR(AND(AUTOEVENTO="Manual",$M519=1),$M519&gt;(ROW(PLE.lastrow)-ROW(PLE.firstrow))),0,IF(OFFSET(PLE!$G$14,$M519,BW$13)="",10^12,OFFSET(PLE!$G$14,$M519,BW$13))))</f>
        <v>1000000000000</v>
      </c>
      <c r="BX519" s="182">
        <f ca="1">IF($D519&lt;&gt;"Serviço",0,IF(OR(AND(AUTOEVENTO="Manual",$M519=1),$M519&gt;(ROW(PLE.lastrow)-ROW(PLE.firstrow))),0,IF(OFFSET(PLE!$G$14,$M519,BX$13)="",10^12,OFFSET(PLE!$G$14,$M519,BX$13))))</f>
        <v>1000000000000</v>
      </c>
      <c r="BY519" s="182">
        <f ca="1">IF($D519&lt;&gt;"Serviço",0,IF(OR(AND(AUTOEVENTO="Manual",$M519=1),$M519&gt;(ROW(PLE.lastrow)-ROW(PLE.firstrow))),0,IF(OFFSET(PLE!$G$14,$M519,BY$13)="",10^12,OFFSET(PLE!$G$14,$M519,BY$13))))</f>
        <v>1000000000000</v>
      </c>
      <c r="BZ519" s="182">
        <f ca="1">IF($D519&lt;&gt;"Serviço",0,IF(OR(AND(AUTOEVENTO="Manual",$M519=1),$M519&gt;(ROW(PLE.lastrow)-ROW(PLE.firstrow))),0,IF(OFFSET(PLE!$G$14,$M519,BZ$13)="",10^12,OFFSET(PLE!$G$14,$M519,BZ$13))))</f>
        <v>1000000000000</v>
      </c>
      <c r="CA519" s="182">
        <f ca="1">IF($D519&lt;&gt;"Serviço",0,IF(OR(AND(AUTOEVENTO="Manual",$M519=1),$M519&gt;(ROW(PLE.lastrow)-ROW(PLE.firstrow))),0,IF(OFFSET(PLE!$G$14,$M519,CA$13)="",10^12,OFFSET(PLE!$G$14,$M519,CA$13))))</f>
        <v>1000000000000</v>
      </c>
      <c r="CB519" s="182">
        <f ca="1">IF($D519&lt;&gt;"Serviço",0,IF(OR(AND(AUTOEVENTO="Manual",$M519=1),$M519&gt;(ROW(PLE.lastrow)-ROW(PLE.firstrow))),0,IF(OFFSET(PLE!$G$14,$M519,CB$13)="",10^12,OFFSET(PLE!$G$14,$M519,CB$13))))</f>
        <v>1000000000000</v>
      </c>
      <c r="CC519" s="182">
        <f ca="1">IF($D519&lt;&gt;"Serviço",0,IF(OR(AND(AUTOEVENTO="Manual",$M519=1),$M519&gt;(ROW(PLE.lastrow)-ROW(PLE.firstrow))),0,IF(OFFSET(PLE!$G$14,$M519,CC$13)="",10^12,OFFSET(PLE!$G$14,$M519,CC$13))))</f>
        <v>1000000000000</v>
      </c>
      <c r="CD519" s="182">
        <f ca="1">IF($D519&lt;&gt;"Serviço",0,IF(OR(AND(AUTOEVENTO="Manual",$M519=1),$M519&gt;(ROW(PLE.lastrow)-ROW(PLE.firstrow))),0,IF(OFFSET(PLE!$G$14,$M519,CD$13)="",10^12,OFFSET(PLE!$G$14,$M519,CD$13))))</f>
        <v>1000000000000</v>
      </c>
      <c r="CE519" s="182">
        <f ca="1">IF($D519&lt;&gt;"Serviço",0,IF(OR(AND(AUTOEVENTO="Manual",$M519=1),$M519&gt;(ROW(PLE.lastrow)-ROW(PLE.firstrow))),0,IF(OFFSET(PLE!$G$14,$M519,CE$13)="",10^12,OFFSET(PLE!$G$14,$M519,CE$13))))</f>
        <v>1000000000000</v>
      </c>
      <c r="CF519" s="182">
        <f ca="1">IF($D519&lt;&gt;"Serviço",0,IF(OR(AND(AUTOEVENTO="Manual",$M519=1),$M519&gt;(ROW(PLE.lastrow)-ROW(PLE.firstrow))),0,IF(OFFSET(PLE!$G$14,$M519,CF$13)="",10^12,OFFSET(PLE!$G$14,$M519,CF$13))))</f>
        <v>1000000000000</v>
      </c>
      <c r="CG519" s="182">
        <f ca="1">IF($D519&lt;&gt;"Serviço",0,IF(OR(AND(AUTOEVENTO="Manual",$M519=1),$M519&gt;(ROW(PLE.lastrow)-ROW(PLE.firstrow))),0,IF(OFFSET(PLE!$G$14,$M519,CG$13)="",10^12,OFFSET(PLE!$G$14,$M519,CG$13))))</f>
        <v>1000000000000</v>
      </c>
      <c r="CH519" s="182">
        <f ca="1">IF($D519&lt;&gt;"Serviço",0,IF(OR(AND(AUTOEVENTO="Manual",$M519=1),$M519&gt;(ROW(PLE.lastrow)-ROW(PLE.firstrow))),0,IF(OFFSET(PLE!$G$14,$M519,CH$13)="",10^12,OFFSET(PLE!$G$14,$M519,CH$13))))</f>
        <v>1000000000000</v>
      </c>
      <c r="CI519" s="182">
        <f ca="1">IF($D519&lt;&gt;"Serviço",0,IF(OR(AND(AUTOEVENTO="Manual",$M519=1),$M519&gt;(ROW(PLE.lastrow)-ROW(PLE.firstrow))),0,IF(OFFSET(PLE!$G$14,$M519,CI$13)="",10^12,OFFSET(PLE!$G$14,$M519,CI$13))))</f>
        <v>1000000000000</v>
      </c>
      <c r="CJ519" s="182">
        <f ca="1">IF($D519&lt;&gt;"Serviço",0,IF(OR(AND(AUTOEVENTO="Manual",$M519=1),$M519&gt;(ROW(PLE.lastrow)-ROW(PLE.firstrow))),0,IF(OFFSET(PLE!$G$14,$M519,CJ$13)="",10^12,OFFSET(PLE!$G$14,$M519,CJ$13))))</f>
        <v>1000000000000</v>
      </c>
      <c r="CK519" s="182">
        <f ca="1">IF($D519&lt;&gt;"Serviço",0,IF(OR(AND(AUTOEVENTO="Manual",$M519=1),$M519&gt;(ROW(PLE.lastrow)-ROW(PLE.firstrow))),0,IF(OFFSET(PLE!$G$14,$M519,CK$13)="",10^12,OFFSET(PLE!$G$14,$M519,CK$13))))</f>
        <v>1000000000000</v>
      </c>
      <c r="CL519" s="182">
        <f ca="1">IF($D519&lt;&gt;"Serviço",0,IF(OR(AND(AUTOEVENTO="Manual",$M519=1),$M519&gt;(ROW(PLE.lastrow)-ROW(PLE.firstrow))),0,IF(OFFSET(PLE!$G$14,$M519,CL$13)="",10^12,OFFSET(PLE!$G$14,$M519,CL$13))))</f>
        <v>1000000000000</v>
      </c>
      <c r="CM519" s="182">
        <f ca="1">IF($D519&lt;&gt;"Serviço",0,IF(OR(AND(AUTOEVENTO="Manual",$M519=1),$M519&gt;(ROW(PLE.lastrow)-ROW(PLE.firstrow))),0,IF(OFFSET(PLE!$G$14,$M519,CM$13)="",10^12,OFFSET(PLE!$G$14,$M519,CM$13))))</f>
        <v>1000000000000</v>
      </c>
    </row>
    <row r="520" spans="1:91" ht="25.5" x14ac:dyDescent="0.2">
      <c r="A520" s="7" t="str">
        <f t="shared" ca="1" si="16"/>
        <v>493</v>
      </c>
      <c r="B520" s="7" t="str">
        <f ca="1">OFFSET(ORÇAMENTO!C$15,ROW(B520)-ROW(B$15),0)</f>
        <v>S</v>
      </c>
      <c r="C520" s="7" t="str">
        <f ca="1">OFFSET(ORÇAMENTO!L$15,ROW(C520)-ROW(C$15),0)</f>
        <v/>
      </c>
      <c r="D520" s="118" t="str">
        <f ca="1">OFFSET(ORÇAMENTO!N$15,ROW(D520)-ROW(D$15),0)</f>
        <v>Serviço</v>
      </c>
      <c r="E520" s="119" t="str">
        <f ca="1">OFFSET(ORÇAMENTO!O$15,ROW(E520)-ROW(E$15),0)</f>
        <v>-</v>
      </c>
      <c r="F520" s="172" t="str">
        <f ca="1">OFFSET(ORÇAMENTO!R$15,ROW(F520)-ROW(F$15),0)</f>
        <v>(abra o arquivo 'Referência 06-2024.xlsm)</v>
      </c>
      <c r="G520" s="173" t="str">
        <f ca="1">IF($D520&lt;&gt;"Serviço","",OFFSET(ORÇAMENTO!S$15,ROW(G520)-ROW(G$15),0))</f>
        <v>-</v>
      </c>
      <c r="H520" s="124">
        <f ca="1">IF($D520&lt;&gt;"Serviço",0,IF(ACOMPANHAMENTO="BM",ROUND(OFFSET(ORÇAMENTO!AJ$15,ROW(H520)-ROW(H$15),0),15-13*ORÇAMENTO!$AF$7),SUMPRODUCT(($Q$12:$AI$12&lt;&gt;"")*ROUND($Q520:$AI520,15-13*ORÇAMENTO!$AF$7))))</f>
        <v>9.6999999999999993</v>
      </c>
      <c r="I520" s="561" t="s">
        <v>1107</v>
      </c>
      <c r="K520" s="174"/>
      <c r="L520" s="175" t="s">
        <v>255</v>
      </c>
      <c r="M520" s="176">
        <f ca="1">IF($D520&lt;&gt;"Serviço","",IF(AUTOEVENTO="manual",$A520,IF(ISERROR(MATCH($A520,$A$15:OFFSET($A520,-1,0),0)),MAX($M$15:OFFSET(M520,-1,0))+1,INDEX($M$15:OFFSET(M520,-1,0),MATCH($A520,$A$15:OFFSET($A520,-1,0),0)))))</f>
        <v>54</v>
      </c>
      <c r="N520" s="177" t="str">
        <f ca="1">IF($D520&lt;&gt;"Serviço","",IF(AUTOEVENTO="Manual",IF($A520=0,"&lt;-- defina o número do agrupador",OFFSET(EVENTOS!$D$14,$A520,0)),OFFSET($F$15,$A520,0)))</f>
        <v>INSTALAÇÃO ELÉTRICA 110V - CABOS</v>
      </c>
      <c r="O520" s="178"/>
      <c r="Q520" s="178">
        <v>9.6999999999999993</v>
      </c>
      <c r="R520" s="179"/>
      <c r="S520" s="179"/>
      <c r="T520" s="179"/>
      <c r="U520" s="179"/>
      <c r="V520" s="179"/>
      <c r="W520" s="179"/>
      <c r="X520" s="179"/>
      <c r="Y520" s="179"/>
      <c r="Z520" s="180"/>
      <c r="AA520" s="179"/>
      <c r="AB520" s="179"/>
      <c r="AC520" s="179"/>
      <c r="AD520" s="179"/>
      <c r="AE520" s="179"/>
      <c r="AF520" s="179"/>
      <c r="AG520" s="179"/>
      <c r="AH520" s="180"/>
      <c r="AJ520" s="544">
        <f ca="1">IF(AND($D520="Serviço",AJ$12&lt;&gt;0,$H520&gt;0,OR(AUTOEVENTO&lt;&gt;"manual",$M520&lt;&gt;1)),
IF(Import.TipoArredondamento&lt;&gt;"TransfereGOV",
ROUND(OFFSET($P520,0,AJ$13),15-13*ORÇAMENTO!$AF$7)/$H520*OFFSET(ORÇAMENTO!$X$15,ROW(AJ520)-ROW(AJ$15),0),
ROUND(ROUND(OFFSET($P520,0,AJ$13),15-13*ORÇAMENTO!$AF$7)*OFFSET(ORÇAMENTO!$W$15,ROW(AJ520)-ROW(AJ$15),0),15-13*ORÇAMENTO!$AF$11)),0)</f>
        <v>0</v>
      </c>
      <c r="AK520" s="545">
        <f ca="1">IF(AND($D520="Serviço",AK$12&lt;&gt;0,$H520&gt;0,OR(AUTOEVENTO&lt;&gt;"manual",$M520&lt;&gt;1)),
IF(Import.TipoArredondamento&lt;&gt;"TransfereGOV",
ROUND(OFFSET($P520,0,AK$13),15-13*ORÇAMENTO!$AF$7)/$H520*OFFSET(ORÇAMENTO!$X$15,ROW(AK520)-ROW(AK$15),0),
ROUND(ROUND(OFFSET($P520,0,AK$13),15-13*ORÇAMENTO!$AF$7)*OFFSET(ORÇAMENTO!$W$15,ROW(AK520)-ROW(AK$15),0),15-13*ORÇAMENTO!$AF$11)),0)</f>
        <v>0</v>
      </c>
      <c r="AL520" s="545">
        <f ca="1">IF(AND($D520="Serviço",AL$12&lt;&gt;0,$H520&gt;0,OR(AUTOEVENTO&lt;&gt;"manual",$M520&lt;&gt;1)),
IF(Import.TipoArredondamento&lt;&gt;"TransfereGOV",
ROUND(OFFSET($P520,0,AL$13),15-13*ORÇAMENTO!$AF$7)/$H520*OFFSET(ORÇAMENTO!$X$15,ROW(AL520)-ROW(AL$15),0),
ROUND(ROUND(OFFSET($P520,0,AL$13),15-13*ORÇAMENTO!$AF$7)*OFFSET(ORÇAMENTO!$W$15,ROW(AL520)-ROW(AL$15),0),15-13*ORÇAMENTO!$AF$11)),0)</f>
        <v>0</v>
      </c>
      <c r="AM520" s="545">
        <f ca="1">IF(AND($D520="Serviço",AM$12&lt;&gt;0,$H520&gt;0,OR(AUTOEVENTO&lt;&gt;"manual",$M520&lt;&gt;1)),
IF(Import.TipoArredondamento&lt;&gt;"TransfereGOV",
ROUND(OFFSET($P520,0,AM$13),15-13*ORÇAMENTO!$AF$7)/$H520*OFFSET(ORÇAMENTO!$X$15,ROW(AM520)-ROW(AM$15),0),
ROUND(ROUND(OFFSET($P520,0,AM$13),15-13*ORÇAMENTO!$AF$7)*OFFSET(ORÇAMENTO!$W$15,ROW(AM520)-ROW(AM$15),0),15-13*ORÇAMENTO!$AF$11)),0)</f>
        <v>0</v>
      </c>
      <c r="AN520" s="545">
        <f ca="1">IF(AND($D520="Serviço",AN$12&lt;&gt;0,$H520&gt;0,OR(AUTOEVENTO&lt;&gt;"manual",$M520&lt;&gt;1)),
IF(Import.TipoArredondamento&lt;&gt;"TransfereGOV",
ROUND(OFFSET($P520,0,AN$13),15-13*ORÇAMENTO!$AF$7)/$H520*OFFSET(ORÇAMENTO!$X$15,ROW(AN520)-ROW(AN$15),0),
ROUND(ROUND(OFFSET($P520,0,AN$13),15-13*ORÇAMENTO!$AF$7)*OFFSET(ORÇAMENTO!$W$15,ROW(AN520)-ROW(AN$15),0),15-13*ORÇAMENTO!$AF$11)),0)</f>
        <v>0</v>
      </c>
      <c r="AO520" s="545">
        <f ca="1">IF(AND($D520="Serviço",AO$12&lt;&gt;0,$H520&gt;0,OR(AUTOEVENTO&lt;&gt;"manual",$M520&lt;&gt;1)),
IF(Import.TipoArredondamento&lt;&gt;"TransfereGOV",
ROUND(OFFSET($P520,0,AO$13),15-13*ORÇAMENTO!$AF$7)/$H520*OFFSET(ORÇAMENTO!$X$15,ROW(AO520)-ROW(AO$15),0),
ROUND(ROUND(OFFSET($P520,0,AO$13),15-13*ORÇAMENTO!$AF$7)*OFFSET(ORÇAMENTO!$W$15,ROW(AO520)-ROW(AO$15),0),15-13*ORÇAMENTO!$AF$11)),0)</f>
        <v>0</v>
      </c>
      <c r="AP520" s="545">
        <f ca="1">IF(AND($D520="Serviço",AP$12&lt;&gt;0,$H520&gt;0,OR(AUTOEVENTO&lt;&gt;"manual",$M520&lt;&gt;1)),
IF(Import.TipoArredondamento&lt;&gt;"TransfereGOV",
ROUND(OFFSET($P520,0,AP$13),15-13*ORÇAMENTO!$AF$7)/$H520*OFFSET(ORÇAMENTO!$X$15,ROW(AP520)-ROW(AP$15),0),
ROUND(ROUND(OFFSET($P520,0,AP$13),15-13*ORÇAMENTO!$AF$7)*OFFSET(ORÇAMENTO!$W$15,ROW(AP520)-ROW(AP$15),0),15-13*ORÇAMENTO!$AF$11)),0)</f>
        <v>0</v>
      </c>
      <c r="AQ520" s="545">
        <f ca="1">IF(AND($D520="Serviço",AQ$12&lt;&gt;0,$H520&gt;0,OR(AUTOEVENTO&lt;&gt;"manual",$M520&lt;&gt;1)),
IF(Import.TipoArredondamento&lt;&gt;"TransfereGOV",
ROUND(OFFSET($P520,0,AQ$13),15-13*ORÇAMENTO!$AF$7)/$H520*OFFSET(ORÇAMENTO!$X$15,ROW(AQ520)-ROW(AQ$15),0),
ROUND(ROUND(OFFSET($P520,0,AQ$13),15-13*ORÇAMENTO!$AF$7)*OFFSET(ORÇAMENTO!$W$15,ROW(AQ520)-ROW(AQ$15),0),15-13*ORÇAMENTO!$AF$11)),0)</f>
        <v>0</v>
      </c>
      <c r="AR520" s="545">
        <f ca="1">IF(AND($D520="Serviço",AR$12&lt;&gt;0,$H520&gt;0,OR(AUTOEVENTO&lt;&gt;"manual",$M520&lt;&gt;1)),
IF(Import.TipoArredondamento&lt;&gt;"TransfereGOV",
ROUND(OFFSET($P520,0,AR$13),15-13*ORÇAMENTO!$AF$7)/$H520*OFFSET(ORÇAMENTO!$X$15,ROW(AR520)-ROW(AR$15),0),
ROUND(ROUND(OFFSET($P520,0,AR$13),15-13*ORÇAMENTO!$AF$7)*OFFSET(ORÇAMENTO!$W$15,ROW(AR520)-ROW(AR$15),0),15-13*ORÇAMENTO!$AF$11)),0)</f>
        <v>0</v>
      </c>
      <c r="AS520" s="546">
        <f ca="1">IF(AND($D520="Serviço",AS$12&lt;&gt;0,$H520&gt;0,OR(AUTOEVENTO&lt;&gt;"manual",$M520&lt;&gt;1)),
IF(Import.TipoArredondamento&lt;&gt;"TransfereGOV",
ROUND(OFFSET($P520,0,AS$13),15-13*ORÇAMENTO!$AF$7)/$H520*OFFSET(ORÇAMENTO!$X$15,ROW(AS520)-ROW(AS$15),0),
ROUND(ROUND(OFFSET($P520,0,AS$13),15-13*ORÇAMENTO!$AF$7)*OFFSET(ORÇAMENTO!$W$15,ROW(AS520)-ROW(AS$15),0),15-13*ORÇAMENTO!$AF$11)),0)</f>
        <v>0</v>
      </c>
      <c r="AT520" s="545">
        <f ca="1">IF(AND($D520="Serviço",AT$12&lt;&gt;0,$H520&gt;0,OR(AUTOEVENTO&lt;&gt;"manual",$M520&lt;&gt;1)),
IF(Import.TipoArredondamento&lt;&gt;"TransfereGOV",
ROUND(OFFSET($P520,0,AT$13),15-13*ORÇAMENTO!$AF$7)/$H520*OFFSET(ORÇAMENTO!$X$15,ROW(AT520)-ROW(AT$15),0),
ROUND(ROUND(OFFSET($P520,0,AT$13),15-13*ORÇAMENTO!$AF$7)*OFFSET(ORÇAMENTO!$W$15,ROW(AT520)-ROW(AT$15),0),15-13*ORÇAMENTO!$AF$11)),0)</f>
        <v>0</v>
      </c>
      <c r="AU520" s="545">
        <f ca="1">IF(AND($D520="Serviço",AU$12&lt;&gt;0,$H520&gt;0,OR(AUTOEVENTO&lt;&gt;"manual",$M520&lt;&gt;1)),
IF(Import.TipoArredondamento&lt;&gt;"TransfereGOV",
ROUND(OFFSET($P520,0,AU$13),15-13*ORÇAMENTO!$AF$7)/$H520*OFFSET(ORÇAMENTO!$X$15,ROW(AU520)-ROW(AU$15),0),
ROUND(ROUND(OFFSET($P520,0,AU$13),15-13*ORÇAMENTO!$AF$7)*OFFSET(ORÇAMENTO!$W$15,ROW(AU520)-ROW(AU$15),0),15-13*ORÇAMENTO!$AF$11)),0)</f>
        <v>0</v>
      </c>
      <c r="AV520" s="545">
        <f ca="1">IF(AND($D520="Serviço",AV$12&lt;&gt;0,$H520&gt;0,OR(AUTOEVENTO&lt;&gt;"manual",$M520&lt;&gt;1)),
IF(Import.TipoArredondamento&lt;&gt;"TransfereGOV",
ROUND(OFFSET($P520,0,AV$13),15-13*ORÇAMENTO!$AF$7)/$H520*OFFSET(ORÇAMENTO!$X$15,ROW(AV520)-ROW(AV$15),0),
ROUND(ROUND(OFFSET($P520,0,AV$13),15-13*ORÇAMENTO!$AF$7)*OFFSET(ORÇAMENTO!$W$15,ROW(AV520)-ROW(AV$15),0),15-13*ORÇAMENTO!$AF$11)),0)</f>
        <v>0</v>
      </c>
      <c r="AW520" s="545">
        <f ca="1">IF(AND($D520="Serviço",AW$12&lt;&gt;0,$H520&gt;0,OR(AUTOEVENTO&lt;&gt;"manual",$M520&lt;&gt;1)),
IF(Import.TipoArredondamento&lt;&gt;"TransfereGOV",
ROUND(OFFSET($P520,0,AW$13),15-13*ORÇAMENTO!$AF$7)/$H520*OFFSET(ORÇAMENTO!$X$15,ROW(AW520)-ROW(AW$15),0),
ROUND(ROUND(OFFSET($P520,0,AW$13),15-13*ORÇAMENTO!$AF$7)*OFFSET(ORÇAMENTO!$W$15,ROW(AW520)-ROW(AW$15),0),15-13*ORÇAMENTO!$AF$11)),0)</f>
        <v>0</v>
      </c>
      <c r="AX520" s="545">
        <f ca="1">IF(AND($D520="Serviço",AX$12&lt;&gt;0,$H520&gt;0,OR(AUTOEVENTO&lt;&gt;"manual",$M520&lt;&gt;1)),
IF(Import.TipoArredondamento&lt;&gt;"TransfereGOV",
ROUND(OFFSET($P520,0,AX$13),15-13*ORÇAMENTO!$AF$7)/$H520*OFFSET(ORÇAMENTO!$X$15,ROW(AX520)-ROW(AX$15),0),
ROUND(ROUND(OFFSET($P520,0,AX$13),15-13*ORÇAMENTO!$AF$7)*OFFSET(ORÇAMENTO!$W$15,ROW(AX520)-ROW(AX$15),0),15-13*ORÇAMENTO!$AF$11)),0)</f>
        <v>0</v>
      </c>
      <c r="AY520" s="545">
        <f ca="1">IF(AND($D520="Serviço",AY$12&lt;&gt;0,$H520&gt;0,OR(AUTOEVENTO&lt;&gt;"manual",$M520&lt;&gt;1)),
IF(Import.TipoArredondamento&lt;&gt;"TransfereGOV",
ROUND(OFFSET($P520,0,AY$13),15-13*ORÇAMENTO!$AF$7)/$H520*OFFSET(ORÇAMENTO!$X$15,ROW(AY520)-ROW(AY$15),0),
ROUND(ROUND(OFFSET($P520,0,AY$13),15-13*ORÇAMENTO!$AF$7)*OFFSET(ORÇAMENTO!$W$15,ROW(AY520)-ROW(AY$15),0),15-13*ORÇAMENTO!$AF$11)),0)</f>
        <v>0</v>
      </c>
      <c r="AZ520" s="545">
        <f ca="1">IF(AND($D520="Serviço",AZ$12&lt;&gt;0,$H520&gt;0,OR(AUTOEVENTO&lt;&gt;"manual",$M520&lt;&gt;1)),
IF(Import.TipoArredondamento&lt;&gt;"TransfereGOV",
ROUND(OFFSET($P520,0,AZ$13),15-13*ORÇAMENTO!$AF$7)/$H520*OFFSET(ORÇAMENTO!$X$15,ROW(AZ520)-ROW(AZ$15),0),
ROUND(ROUND(OFFSET($P520,0,AZ$13),15-13*ORÇAMENTO!$AF$7)*OFFSET(ORÇAMENTO!$W$15,ROW(AZ520)-ROW(AZ$15),0),15-13*ORÇAMENTO!$AF$11)),0)</f>
        <v>0</v>
      </c>
      <c r="BA520" s="546">
        <f ca="1">IF(AND($D520="Serviço",BA$12&lt;&gt;0,$H520&gt;0,OR(AUTOEVENTO&lt;&gt;"manual",$M520&lt;&gt;1)),
IF(Import.TipoArredondamento&lt;&gt;"TransfereGOV",
ROUND(OFFSET($P520,0,BA$13),15-13*ORÇAMENTO!$AF$7)/$H520*OFFSET(ORÇAMENTO!$X$15,ROW(BA520)-ROW(BA$15),0),
ROUND(ROUND(OFFSET($P520,0,BA$13),15-13*ORÇAMENTO!$AF$7)*OFFSET(ORÇAMENTO!$W$15,ROW(BA520)-ROW(BA$15),0),15-13*ORÇAMENTO!$AF$11)),0)</f>
        <v>0</v>
      </c>
      <c r="BC520" s="181">
        <f ca="1">IF($D520&lt;&gt;"Serviço",0,IF(AND(AUTOEVENTO="Manual",$M520=1),0,IF(OFFSET(CRONOPLE!$F$14,$M520,BC$13)="",10^12,OFFSET(CRONOPLE!$F$14,$M520,BC$13))))</f>
        <v>10</v>
      </c>
      <c r="BD520" s="181">
        <f ca="1">IF($D520&lt;&gt;"Serviço",0,IF(AND(AUTOEVENTO="Manual",$M520=1),0,IF(OFFSET(CRONOPLE!$F$14,$M520,BD$13)="",10^12,OFFSET(CRONOPLE!$F$14,$M520,BD$13))))</f>
        <v>1000000000000</v>
      </c>
      <c r="BE520" s="181">
        <f ca="1">IF($D520&lt;&gt;"Serviço",0,IF(AND(AUTOEVENTO="Manual",$M520=1),0,IF(OFFSET(CRONOPLE!$F$14,$M520,BE$13)="",10^12,OFFSET(CRONOPLE!$F$14,$M520,BE$13))))</f>
        <v>1000000000000</v>
      </c>
      <c r="BF520" s="181">
        <f ca="1">IF($D520&lt;&gt;"Serviço",0,IF(AND(AUTOEVENTO="Manual",$M520=1),0,IF(OFFSET(CRONOPLE!$F$14,$M520,BF$13)="",10^12,OFFSET(CRONOPLE!$F$14,$M520,BF$13))))</f>
        <v>1000000000000</v>
      </c>
      <c r="BG520" s="181">
        <f ca="1">IF($D520&lt;&gt;"Serviço",0,IF(AND(AUTOEVENTO="Manual",$M520=1),0,IF(OFFSET(CRONOPLE!$F$14,$M520,BG$13)="",10^12,OFFSET(CRONOPLE!$F$14,$M520,BG$13))))</f>
        <v>1000000000000</v>
      </c>
      <c r="BH520" s="181">
        <f ca="1">IF($D520&lt;&gt;"Serviço",0,IF(AND(AUTOEVENTO="Manual",$M520=1),0,IF(OFFSET(CRONOPLE!$F$14,$M520,BH$13)="",10^12,OFFSET(CRONOPLE!$F$14,$M520,BH$13))))</f>
        <v>1000000000000</v>
      </c>
      <c r="BI520" s="181">
        <f ca="1">IF($D520&lt;&gt;"Serviço",0,IF(AND(AUTOEVENTO="Manual",$M520=1),0,IF(OFFSET(CRONOPLE!$F$14,$M520,BI$13)="",10^12,OFFSET(CRONOPLE!$F$14,$M520,BI$13))))</f>
        <v>1000000000000</v>
      </c>
      <c r="BJ520" s="181">
        <f ca="1">IF($D520&lt;&gt;"Serviço",0,IF(AND(AUTOEVENTO="Manual",$M520=1),0,IF(OFFSET(CRONOPLE!$F$14,$M520,BJ$13)="",10^12,OFFSET(CRONOPLE!$F$14,$M520,BJ$13))))</f>
        <v>1000000000000</v>
      </c>
      <c r="BK520" s="181">
        <f ca="1">IF($D520&lt;&gt;"Serviço",0,IF(AND(AUTOEVENTO="Manual",$M520=1),0,IF(OFFSET(CRONOPLE!$F$14,$M520,BK$13)="",10^12,OFFSET(CRONOPLE!$F$14,$M520,BK$13))))</f>
        <v>1000000000000</v>
      </c>
      <c r="BL520" s="181">
        <f ca="1">IF($D520&lt;&gt;"Serviço",0,IF(AND(AUTOEVENTO="Manual",$M520=1),0,IF(OFFSET(CRONOPLE!$F$14,$M520,BL$13)="",10^12,OFFSET(CRONOPLE!$F$14,$M520,BL$13))))</f>
        <v>1000000000000</v>
      </c>
      <c r="BM520" s="181">
        <f ca="1">IF($D520&lt;&gt;"Serviço",0,IF(AND(AUTOEVENTO="Manual",$M520=1),0,IF(OFFSET(CRONOPLE!$F$14,$M520,BM$13)="",10^12,OFFSET(CRONOPLE!$F$14,$M520,BM$13))))</f>
        <v>1000000000000</v>
      </c>
      <c r="BN520" s="181">
        <f ca="1">IF($D520&lt;&gt;"Serviço",0,IF(AND(AUTOEVENTO="Manual",$M520=1),0,IF(OFFSET(CRONOPLE!$F$14,$M520,BN$13)="",10^12,OFFSET(CRONOPLE!$F$14,$M520,BN$13))))</f>
        <v>1000000000000</v>
      </c>
      <c r="BO520" s="181">
        <f ca="1">IF($D520&lt;&gt;"Serviço",0,IF(AND(AUTOEVENTO="Manual",$M520=1),0,IF(OFFSET(CRONOPLE!$F$14,$M520,BO$13)="",10^12,OFFSET(CRONOPLE!$F$14,$M520,BO$13))))</f>
        <v>1000000000000</v>
      </c>
      <c r="BP520" s="181">
        <f ca="1">IF($D520&lt;&gt;"Serviço",0,IF(AND(AUTOEVENTO="Manual",$M520=1),0,IF(OFFSET(CRONOPLE!$F$14,$M520,BP$13)="",10^12,OFFSET(CRONOPLE!$F$14,$M520,BP$13))))</f>
        <v>1000000000000</v>
      </c>
      <c r="BQ520" s="181">
        <f ca="1">IF($D520&lt;&gt;"Serviço",0,IF(AND(AUTOEVENTO="Manual",$M520=1),0,IF(OFFSET(CRONOPLE!$F$14,$M520,BQ$13)="",10^12,OFFSET(CRONOPLE!$F$14,$M520,BQ$13))))</f>
        <v>1000000000000</v>
      </c>
      <c r="BR520" s="181">
        <f ca="1">IF($D520&lt;&gt;"Serviço",0,IF(AND(AUTOEVENTO="Manual",$M520=1),0,IF(OFFSET(CRONOPLE!$F$14,$M520,BR$13)="",10^12,OFFSET(CRONOPLE!$F$14,$M520,BR$13))))</f>
        <v>1000000000000</v>
      </c>
      <c r="BS520" s="181">
        <f ca="1">IF($D520&lt;&gt;"Serviço",0,IF(AND(AUTOEVENTO="Manual",$M520=1),0,IF(OFFSET(CRONOPLE!$F$14,$M520,BS$13)="",10^12,OFFSET(CRONOPLE!$F$14,$M520,BS$13))))</f>
        <v>1000000000000</v>
      </c>
      <c r="BT520" s="181">
        <f ca="1">IF($D520&lt;&gt;"Serviço",0,IF(AND(AUTOEVENTO="Manual",$M520=1),0,IF(OFFSET(CRONOPLE!$F$14,$M520,BT$13)="",10^12,OFFSET(CRONOPLE!$F$14,$M520,BT$13))))</f>
        <v>1000000000000</v>
      </c>
      <c r="BV520" s="182">
        <f ca="1">IF($D520&lt;&gt;"Serviço",0,IF(OR(AND(AUTOEVENTO="Manual",$M520=1),$M520&gt;(ROW(PLE.lastrow)-ROW(PLE.firstrow))),0,IF(OFFSET(PLE!$G$14,$M520,BV$13)="",10^12,OFFSET(PLE!$G$14,$M520,BV$13))))</f>
        <v>1000000000000</v>
      </c>
      <c r="BW520" s="182">
        <f ca="1">IF($D520&lt;&gt;"Serviço",0,IF(OR(AND(AUTOEVENTO="Manual",$M520=1),$M520&gt;(ROW(PLE.lastrow)-ROW(PLE.firstrow))),0,IF(OFFSET(PLE!$G$14,$M520,BW$13)="",10^12,OFFSET(PLE!$G$14,$M520,BW$13))))</f>
        <v>1000000000000</v>
      </c>
      <c r="BX520" s="182">
        <f ca="1">IF($D520&lt;&gt;"Serviço",0,IF(OR(AND(AUTOEVENTO="Manual",$M520=1),$M520&gt;(ROW(PLE.lastrow)-ROW(PLE.firstrow))),0,IF(OFFSET(PLE!$G$14,$M520,BX$13)="",10^12,OFFSET(PLE!$G$14,$M520,BX$13))))</f>
        <v>1000000000000</v>
      </c>
      <c r="BY520" s="182">
        <f ca="1">IF($D520&lt;&gt;"Serviço",0,IF(OR(AND(AUTOEVENTO="Manual",$M520=1),$M520&gt;(ROW(PLE.lastrow)-ROW(PLE.firstrow))),0,IF(OFFSET(PLE!$G$14,$M520,BY$13)="",10^12,OFFSET(PLE!$G$14,$M520,BY$13))))</f>
        <v>1000000000000</v>
      </c>
      <c r="BZ520" s="182">
        <f ca="1">IF($D520&lt;&gt;"Serviço",0,IF(OR(AND(AUTOEVENTO="Manual",$M520=1),$M520&gt;(ROW(PLE.lastrow)-ROW(PLE.firstrow))),0,IF(OFFSET(PLE!$G$14,$M520,BZ$13)="",10^12,OFFSET(PLE!$G$14,$M520,BZ$13))))</f>
        <v>1000000000000</v>
      </c>
      <c r="CA520" s="182">
        <f ca="1">IF($D520&lt;&gt;"Serviço",0,IF(OR(AND(AUTOEVENTO="Manual",$M520=1),$M520&gt;(ROW(PLE.lastrow)-ROW(PLE.firstrow))),0,IF(OFFSET(PLE!$G$14,$M520,CA$13)="",10^12,OFFSET(PLE!$G$14,$M520,CA$13))))</f>
        <v>1000000000000</v>
      </c>
      <c r="CB520" s="182">
        <f ca="1">IF($D520&lt;&gt;"Serviço",0,IF(OR(AND(AUTOEVENTO="Manual",$M520=1),$M520&gt;(ROW(PLE.lastrow)-ROW(PLE.firstrow))),0,IF(OFFSET(PLE!$G$14,$M520,CB$13)="",10^12,OFFSET(PLE!$G$14,$M520,CB$13))))</f>
        <v>1000000000000</v>
      </c>
      <c r="CC520" s="182">
        <f ca="1">IF($D520&lt;&gt;"Serviço",0,IF(OR(AND(AUTOEVENTO="Manual",$M520=1),$M520&gt;(ROW(PLE.lastrow)-ROW(PLE.firstrow))),0,IF(OFFSET(PLE!$G$14,$M520,CC$13)="",10^12,OFFSET(PLE!$G$14,$M520,CC$13))))</f>
        <v>1000000000000</v>
      </c>
      <c r="CD520" s="182">
        <f ca="1">IF($D520&lt;&gt;"Serviço",0,IF(OR(AND(AUTOEVENTO="Manual",$M520=1),$M520&gt;(ROW(PLE.lastrow)-ROW(PLE.firstrow))),0,IF(OFFSET(PLE!$G$14,$M520,CD$13)="",10^12,OFFSET(PLE!$G$14,$M520,CD$13))))</f>
        <v>1000000000000</v>
      </c>
      <c r="CE520" s="182">
        <f ca="1">IF($D520&lt;&gt;"Serviço",0,IF(OR(AND(AUTOEVENTO="Manual",$M520=1),$M520&gt;(ROW(PLE.lastrow)-ROW(PLE.firstrow))),0,IF(OFFSET(PLE!$G$14,$M520,CE$13)="",10^12,OFFSET(PLE!$G$14,$M520,CE$13))))</f>
        <v>1000000000000</v>
      </c>
      <c r="CF520" s="182">
        <f ca="1">IF($D520&lt;&gt;"Serviço",0,IF(OR(AND(AUTOEVENTO="Manual",$M520=1),$M520&gt;(ROW(PLE.lastrow)-ROW(PLE.firstrow))),0,IF(OFFSET(PLE!$G$14,$M520,CF$13)="",10^12,OFFSET(PLE!$G$14,$M520,CF$13))))</f>
        <v>1000000000000</v>
      </c>
      <c r="CG520" s="182">
        <f ca="1">IF($D520&lt;&gt;"Serviço",0,IF(OR(AND(AUTOEVENTO="Manual",$M520=1),$M520&gt;(ROW(PLE.lastrow)-ROW(PLE.firstrow))),0,IF(OFFSET(PLE!$G$14,$M520,CG$13)="",10^12,OFFSET(PLE!$G$14,$M520,CG$13))))</f>
        <v>1000000000000</v>
      </c>
      <c r="CH520" s="182">
        <f ca="1">IF($D520&lt;&gt;"Serviço",0,IF(OR(AND(AUTOEVENTO="Manual",$M520=1),$M520&gt;(ROW(PLE.lastrow)-ROW(PLE.firstrow))),0,IF(OFFSET(PLE!$G$14,$M520,CH$13)="",10^12,OFFSET(PLE!$G$14,$M520,CH$13))))</f>
        <v>1000000000000</v>
      </c>
      <c r="CI520" s="182">
        <f ca="1">IF($D520&lt;&gt;"Serviço",0,IF(OR(AND(AUTOEVENTO="Manual",$M520=1),$M520&gt;(ROW(PLE.lastrow)-ROW(PLE.firstrow))),0,IF(OFFSET(PLE!$G$14,$M520,CI$13)="",10^12,OFFSET(PLE!$G$14,$M520,CI$13))))</f>
        <v>1000000000000</v>
      </c>
      <c r="CJ520" s="182">
        <f ca="1">IF($D520&lt;&gt;"Serviço",0,IF(OR(AND(AUTOEVENTO="Manual",$M520=1),$M520&gt;(ROW(PLE.lastrow)-ROW(PLE.firstrow))),0,IF(OFFSET(PLE!$G$14,$M520,CJ$13)="",10^12,OFFSET(PLE!$G$14,$M520,CJ$13))))</f>
        <v>1000000000000</v>
      </c>
      <c r="CK520" s="182">
        <f ca="1">IF($D520&lt;&gt;"Serviço",0,IF(OR(AND(AUTOEVENTO="Manual",$M520=1),$M520&gt;(ROW(PLE.lastrow)-ROW(PLE.firstrow))),0,IF(OFFSET(PLE!$G$14,$M520,CK$13)="",10^12,OFFSET(PLE!$G$14,$M520,CK$13))))</f>
        <v>1000000000000</v>
      </c>
      <c r="CL520" s="182">
        <f ca="1">IF($D520&lt;&gt;"Serviço",0,IF(OR(AND(AUTOEVENTO="Manual",$M520=1),$M520&gt;(ROW(PLE.lastrow)-ROW(PLE.firstrow))),0,IF(OFFSET(PLE!$G$14,$M520,CL$13)="",10^12,OFFSET(PLE!$G$14,$M520,CL$13))))</f>
        <v>1000000000000</v>
      </c>
      <c r="CM520" s="182">
        <f ca="1">IF($D520&lt;&gt;"Serviço",0,IF(OR(AND(AUTOEVENTO="Manual",$M520=1),$M520&gt;(ROW(PLE.lastrow)-ROW(PLE.firstrow))),0,IF(OFFSET(PLE!$G$14,$M520,CM$13)="",10^12,OFFSET(PLE!$G$14,$M520,CM$13))))</f>
        <v>1000000000000</v>
      </c>
    </row>
    <row r="521" spans="1:91" ht="38.25" x14ac:dyDescent="0.2">
      <c r="A521" s="7" t="str">
        <f t="shared" ca="1" si="16"/>
        <v>493</v>
      </c>
      <c r="B521" s="7" t="str">
        <f ca="1">OFFSET(ORÇAMENTO!C$15,ROW(B521)-ROW(B$15),0)</f>
        <v>S</v>
      </c>
      <c r="C521" s="7" t="str">
        <f ca="1">OFFSET(ORÇAMENTO!L$15,ROW(C521)-ROW(C$15),0)</f>
        <v/>
      </c>
      <c r="D521" s="118" t="str">
        <f ca="1">OFFSET(ORÇAMENTO!N$15,ROW(D521)-ROW(D$15),0)</f>
        <v>Serviço</v>
      </c>
      <c r="E521" s="119" t="str">
        <f ca="1">OFFSET(ORÇAMENTO!O$15,ROW(E521)-ROW(E$15),0)</f>
        <v>-</v>
      </c>
      <c r="F521" s="172" t="str">
        <f ca="1">OFFSET(ORÇAMENTO!R$15,ROW(F521)-ROW(F$15),0)</f>
        <v>(abra o arquivo 'Referência 06-2024.xlsm)</v>
      </c>
      <c r="G521" s="173" t="str">
        <f ca="1">IF($D521&lt;&gt;"Serviço","",OFFSET(ORÇAMENTO!S$15,ROW(G521)-ROW(G$15),0))</f>
        <v>-</v>
      </c>
      <c r="H521" s="124">
        <f ca="1">IF($D521&lt;&gt;"Serviço",0,IF(ACOMPANHAMENTO="BM",ROUND(OFFSET(ORÇAMENTO!AJ$15,ROW(H521)-ROW(H$15),0),15-13*ORÇAMENTO!$AF$7),SUMPRODUCT(($Q$12:$AI$12&lt;&gt;"")*ROUND($Q521:$AI521,15-13*ORÇAMENTO!$AF$7))))</f>
        <v>4433.5</v>
      </c>
      <c r="I521" s="561" t="s">
        <v>1107</v>
      </c>
      <c r="K521" s="174"/>
      <c r="L521" s="175" t="s">
        <v>255</v>
      </c>
      <c r="M521" s="176">
        <f ca="1">IF($D521&lt;&gt;"Serviço","",IF(AUTOEVENTO="manual",$A521,IF(ISERROR(MATCH($A521,$A$15:OFFSET($A521,-1,0),0)),MAX($M$15:OFFSET(M521,-1,0))+1,INDEX($M$15:OFFSET(M521,-1,0),MATCH($A521,$A$15:OFFSET($A521,-1,0),0)))))</f>
        <v>54</v>
      </c>
      <c r="N521" s="177" t="str">
        <f ca="1">IF($D521&lt;&gt;"Serviço","",IF(AUTOEVENTO="Manual",IF($A521=0,"&lt;-- defina o número do agrupador",OFFSET(EVENTOS!$D$14,$A521,0)),OFFSET($F$15,$A521,0)))</f>
        <v>INSTALAÇÃO ELÉTRICA 110V - CABOS</v>
      </c>
      <c r="O521" s="178"/>
      <c r="Q521" s="178">
        <v>4433.5</v>
      </c>
      <c r="R521" s="179"/>
      <c r="S521" s="179"/>
      <c r="T521" s="179"/>
      <c r="U521" s="179"/>
      <c r="V521" s="179"/>
      <c r="W521" s="179"/>
      <c r="X521" s="179"/>
      <c r="Y521" s="179"/>
      <c r="Z521" s="180"/>
      <c r="AA521" s="179"/>
      <c r="AB521" s="179"/>
      <c r="AC521" s="179"/>
      <c r="AD521" s="179"/>
      <c r="AE521" s="179"/>
      <c r="AF521" s="179"/>
      <c r="AG521" s="179"/>
      <c r="AH521" s="180"/>
      <c r="AJ521" s="544">
        <f ca="1">IF(AND($D521="Serviço",AJ$12&lt;&gt;0,$H521&gt;0,OR(AUTOEVENTO&lt;&gt;"manual",$M521&lt;&gt;1)),
IF(Import.TipoArredondamento&lt;&gt;"TransfereGOV",
ROUND(OFFSET($P521,0,AJ$13),15-13*ORÇAMENTO!$AF$7)/$H521*OFFSET(ORÇAMENTO!$X$15,ROW(AJ521)-ROW(AJ$15),0),
ROUND(ROUND(OFFSET($P521,0,AJ$13),15-13*ORÇAMENTO!$AF$7)*OFFSET(ORÇAMENTO!$W$15,ROW(AJ521)-ROW(AJ$15),0),15-13*ORÇAMENTO!$AF$11)),0)</f>
        <v>0</v>
      </c>
      <c r="AK521" s="545">
        <f ca="1">IF(AND($D521="Serviço",AK$12&lt;&gt;0,$H521&gt;0,OR(AUTOEVENTO&lt;&gt;"manual",$M521&lt;&gt;1)),
IF(Import.TipoArredondamento&lt;&gt;"TransfereGOV",
ROUND(OFFSET($P521,0,AK$13),15-13*ORÇAMENTO!$AF$7)/$H521*OFFSET(ORÇAMENTO!$X$15,ROW(AK521)-ROW(AK$15),0),
ROUND(ROUND(OFFSET($P521,0,AK$13),15-13*ORÇAMENTO!$AF$7)*OFFSET(ORÇAMENTO!$W$15,ROW(AK521)-ROW(AK$15),0),15-13*ORÇAMENTO!$AF$11)),0)</f>
        <v>0</v>
      </c>
      <c r="AL521" s="545">
        <f ca="1">IF(AND($D521="Serviço",AL$12&lt;&gt;0,$H521&gt;0,OR(AUTOEVENTO&lt;&gt;"manual",$M521&lt;&gt;1)),
IF(Import.TipoArredondamento&lt;&gt;"TransfereGOV",
ROUND(OFFSET($P521,0,AL$13),15-13*ORÇAMENTO!$AF$7)/$H521*OFFSET(ORÇAMENTO!$X$15,ROW(AL521)-ROW(AL$15),0),
ROUND(ROUND(OFFSET($P521,0,AL$13),15-13*ORÇAMENTO!$AF$7)*OFFSET(ORÇAMENTO!$W$15,ROW(AL521)-ROW(AL$15),0),15-13*ORÇAMENTO!$AF$11)),0)</f>
        <v>0</v>
      </c>
      <c r="AM521" s="545">
        <f ca="1">IF(AND($D521="Serviço",AM$12&lt;&gt;0,$H521&gt;0,OR(AUTOEVENTO&lt;&gt;"manual",$M521&lt;&gt;1)),
IF(Import.TipoArredondamento&lt;&gt;"TransfereGOV",
ROUND(OFFSET($P521,0,AM$13),15-13*ORÇAMENTO!$AF$7)/$H521*OFFSET(ORÇAMENTO!$X$15,ROW(AM521)-ROW(AM$15),0),
ROUND(ROUND(OFFSET($P521,0,AM$13),15-13*ORÇAMENTO!$AF$7)*OFFSET(ORÇAMENTO!$W$15,ROW(AM521)-ROW(AM$15),0),15-13*ORÇAMENTO!$AF$11)),0)</f>
        <v>0</v>
      </c>
      <c r="AN521" s="545">
        <f ca="1">IF(AND($D521="Serviço",AN$12&lt;&gt;0,$H521&gt;0,OR(AUTOEVENTO&lt;&gt;"manual",$M521&lt;&gt;1)),
IF(Import.TipoArredondamento&lt;&gt;"TransfereGOV",
ROUND(OFFSET($P521,0,AN$13),15-13*ORÇAMENTO!$AF$7)/$H521*OFFSET(ORÇAMENTO!$X$15,ROW(AN521)-ROW(AN$15),0),
ROUND(ROUND(OFFSET($P521,0,AN$13),15-13*ORÇAMENTO!$AF$7)*OFFSET(ORÇAMENTO!$W$15,ROW(AN521)-ROW(AN$15),0),15-13*ORÇAMENTO!$AF$11)),0)</f>
        <v>0</v>
      </c>
      <c r="AO521" s="545">
        <f ca="1">IF(AND($D521="Serviço",AO$12&lt;&gt;0,$H521&gt;0,OR(AUTOEVENTO&lt;&gt;"manual",$M521&lt;&gt;1)),
IF(Import.TipoArredondamento&lt;&gt;"TransfereGOV",
ROUND(OFFSET($P521,0,AO$13),15-13*ORÇAMENTO!$AF$7)/$H521*OFFSET(ORÇAMENTO!$X$15,ROW(AO521)-ROW(AO$15),0),
ROUND(ROUND(OFFSET($P521,0,AO$13),15-13*ORÇAMENTO!$AF$7)*OFFSET(ORÇAMENTO!$W$15,ROW(AO521)-ROW(AO$15),0),15-13*ORÇAMENTO!$AF$11)),0)</f>
        <v>0</v>
      </c>
      <c r="AP521" s="545">
        <f ca="1">IF(AND($D521="Serviço",AP$12&lt;&gt;0,$H521&gt;0,OR(AUTOEVENTO&lt;&gt;"manual",$M521&lt;&gt;1)),
IF(Import.TipoArredondamento&lt;&gt;"TransfereGOV",
ROUND(OFFSET($P521,0,AP$13),15-13*ORÇAMENTO!$AF$7)/$H521*OFFSET(ORÇAMENTO!$X$15,ROW(AP521)-ROW(AP$15),0),
ROUND(ROUND(OFFSET($P521,0,AP$13),15-13*ORÇAMENTO!$AF$7)*OFFSET(ORÇAMENTO!$W$15,ROW(AP521)-ROW(AP$15),0),15-13*ORÇAMENTO!$AF$11)),0)</f>
        <v>0</v>
      </c>
      <c r="AQ521" s="545">
        <f ca="1">IF(AND($D521="Serviço",AQ$12&lt;&gt;0,$H521&gt;0,OR(AUTOEVENTO&lt;&gt;"manual",$M521&lt;&gt;1)),
IF(Import.TipoArredondamento&lt;&gt;"TransfereGOV",
ROUND(OFFSET($P521,0,AQ$13),15-13*ORÇAMENTO!$AF$7)/$H521*OFFSET(ORÇAMENTO!$X$15,ROW(AQ521)-ROW(AQ$15),0),
ROUND(ROUND(OFFSET($P521,0,AQ$13),15-13*ORÇAMENTO!$AF$7)*OFFSET(ORÇAMENTO!$W$15,ROW(AQ521)-ROW(AQ$15),0),15-13*ORÇAMENTO!$AF$11)),0)</f>
        <v>0</v>
      </c>
      <c r="AR521" s="545">
        <f ca="1">IF(AND($D521="Serviço",AR$12&lt;&gt;0,$H521&gt;0,OR(AUTOEVENTO&lt;&gt;"manual",$M521&lt;&gt;1)),
IF(Import.TipoArredondamento&lt;&gt;"TransfereGOV",
ROUND(OFFSET($P521,0,AR$13),15-13*ORÇAMENTO!$AF$7)/$H521*OFFSET(ORÇAMENTO!$X$15,ROW(AR521)-ROW(AR$15),0),
ROUND(ROUND(OFFSET($P521,0,AR$13),15-13*ORÇAMENTO!$AF$7)*OFFSET(ORÇAMENTO!$W$15,ROW(AR521)-ROW(AR$15),0),15-13*ORÇAMENTO!$AF$11)),0)</f>
        <v>0</v>
      </c>
      <c r="AS521" s="546">
        <f ca="1">IF(AND($D521="Serviço",AS$12&lt;&gt;0,$H521&gt;0,OR(AUTOEVENTO&lt;&gt;"manual",$M521&lt;&gt;1)),
IF(Import.TipoArredondamento&lt;&gt;"TransfereGOV",
ROUND(OFFSET($P521,0,AS$13),15-13*ORÇAMENTO!$AF$7)/$H521*OFFSET(ORÇAMENTO!$X$15,ROW(AS521)-ROW(AS$15),0),
ROUND(ROUND(OFFSET($P521,0,AS$13),15-13*ORÇAMENTO!$AF$7)*OFFSET(ORÇAMENTO!$W$15,ROW(AS521)-ROW(AS$15),0),15-13*ORÇAMENTO!$AF$11)),0)</f>
        <v>0</v>
      </c>
      <c r="AT521" s="545">
        <f ca="1">IF(AND($D521="Serviço",AT$12&lt;&gt;0,$H521&gt;0,OR(AUTOEVENTO&lt;&gt;"manual",$M521&lt;&gt;1)),
IF(Import.TipoArredondamento&lt;&gt;"TransfereGOV",
ROUND(OFFSET($P521,0,AT$13),15-13*ORÇAMENTO!$AF$7)/$H521*OFFSET(ORÇAMENTO!$X$15,ROW(AT521)-ROW(AT$15),0),
ROUND(ROUND(OFFSET($P521,0,AT$13),15-13*ORÇAMENTO!$AF$7)*OFFSET(ORÇAMENTO!$W$15,ROW(AT521)-ROW(AT$15),0),15-13*ORÇAMENTO!$AF$11)),0)</f>
        <v>0</v>
      </c>
      <c r="AU521" s="545">
        <f ca="1">IF(AND($D521="Serviço",AU$12&lt;&gt;0,$H521&gt;0,OR(AUTOEVENTO&lt;&gt;"manual",$M521&lt;&gt;1)),
IF(Import.TipoArredondamento&lt;&gt;"TransfereGOV",
ROUND(OFFSET($P521,0,AU$13),15-13*ORÇAMENTO!$AF$7)/$H521*OFFSET(ORÇAMENTO!$X$15,ROW(AU521)-ROW(AU$15),0),
ROUND(ROUND(OFFSET($P521,0,AU$13),15-13*ORÇAMENTO!$AF$7)*OFFSET(ORÇAMENTO!$W$15,ROW(AU521)-ROW(AU$15),0),15-13*ORÇAMENTO!$AF$11)),0)</f>
        <v>0</v>
      </c>
      <c r="AV521" s="545">
        <f ca="1">IF(AND($D521="Serviço",AV$12&lt;&gt;0,$H521&gt;0,OR(AUTOEVENTO&lt;&gt;"manual",$M521&lt;&gt;1)),
IF(Import.TipoArredondamento&lt;&gt;"TransfereGOV",
ROUND(OFFSET($P521,0,AV$13),15-13*ORÇAMENTO!$AF$7)/$H521*OFFSET(ORÇAMENTO!$X$15,ROW(AV521)-ROW(AV$15),0),
ROUND(ROUND(OFFSET($P521,0,AV$13),15-13*ORÇAMENTO!$AF$7)*OFFSET(ORÇAMENTO!$W$15,ROW(AV521)-ROW(AV$15),0),15-13*ORÇAMENTO!$AF$11)),0)</f>
        <v>0</v>
      </c>
      <c r="AW521" s="545">
        <f ca="1">IF(AND($D521="Serviço",AW$12&lt;&gt;0,$H521&gt;0,OR(AUTOEVENTO&lt;&gt;"manual",$M521&lt;&gt;1)),
IF(Import.TipoArredondamento&lt;&gt;"TransfereGOV",
ROUND(OFFSET($P521,0,AW$13),15-13*ORÇAMENTO!$AF$7)/$H521*OFFSET(ORÇAMENTO!$X$15,ROW(AW521)-ROW(AW$15),0),
ROUND(ROUND(OFFSET($P521,0,AW$13),15-13*ORÇAMENTO!$AF$7)*OFFSET(ORÇAMENTO!$W$15,ROW(AW521)-ROW(AW$15),0),15-13*ORÇAMENTO!$AF$11)),0)</f>
        <v>0</v>
      </c>
      <c r="AX521" s="545">
        <f ca="1">IF(AND($D521="Serviço",AX$12&lt;&gt;0,$H521&gt;0,OR(AUTOEVENTO&lt;&gt;"manual",$M521&lt;&gt;1)),
IF(Import.TipoArredondamento&lt;&gt;"TransfereGOV",
ROUND(OFFSET($P521,0,AX$13),15-13*ORÇAMENTO!$AF$7)/$H521*OFFSET(ORÇAMENTO!$X$15,ROW(AX521)-ROW(AX$15),0),
ROUND(ROUND(OFFSET($P521,0,AX$13),15-13*ORÇAMENTO!$AF$7)*OFFSET(ORÇAMENTO!$W$15,ROW(AX521)-ROW(AX$15),0),15-13*ORÇAMENTO!$AF$11)),0)</f>
        <v>0</v>
      </c>
      <c r="AY521" s="545">
        <f ca="1">IF(AND($D521="Serviço",AY$12&lt;&gt;0,$H521&gt;0,OR(AUTOEVENTO&lt;&gt;"manual",$M521&lt;&gt;1)),
IF(Import.TipoArredondamento&lt;&gt;"TransfereGOV",
ROUND(OFFSET($P521,0,AY$13),15-13*ORÇAMENTO!$AF$7)/$H521*OFFSET(ORÇAMENTO!$X$15,ROW(AY521)-ROW(AY$15),0),
ROUND(ROUND(OFFSET($P521,0,AY$13),15-13*ORÇAMENTO!$AF$7)*OFFSET(ORÇAMENTO!$W$15,ROW(AY521)-ROW(AY$15),0),15-13*ORÇAMENTO!$AF$11)),0)</f>
        <v>0</v>
      </c>
      <c r="AZ521" s="545">
        <f ca="1">IF(AND($D521="Serviço",AZ$12&lt;&gt;0,$H521&gt;0,OR(AUTOEVENTO&lt;&gt;"manual",$M521&lt;&gt;1)),
IF(Import.TipoArredondamento&lt;&gt;"TransfereGOV",
ROUND(OFFSET($P521,0,AZ$13),15-13*ORÇAMENTO!$AF$7)/$H521*OFFSET(ORÇAMENTO!$X$15,ROW(AZ521)-ROW(AZ$15),0),
ROUND(ROUND(OFFSET($P521,0,AZ$13),15-13*ORÇAMENTO!$AF$7)*OFFSET(ORÇAMENTO!$W$15,ROW(AZ521)-ROW(AZ$15),0),15-13*ORÇAMENTO!$AF$11)),0)</f>
        <v>0</v>
      </c>
      <c r="BA521" s="546">
        <f ca="1">IF(AND($D521="Serviço",BA$12&lt;&gt;0,$H521&gt;0,OR(AUTOEVENTO&lt;&gt;"manual",$M521&lt;&gt;1)),
IF(Import.TipoArredondamento&lt;&gt;"TransfereGOV",
ROUND(OFFSET($P521,0,BA$13),15-13*ORÇAMENTO!$AF$7)/$H521*OFFSET(ORÇAMENTO!$X$15,ROW(BA521)-ROW(BA$15),0),
ROUND(ROUND(OFFSET($P521,0,BA$13),15-13*ORÇAMENTO!$AF$7)*OFFSET(ORÇAMENTO!$W$15,ROW(BA521)-ROW(BA$15),0),15-13*ORÇAMENTO!$AF$11)),0)</f>
        <v>0</v>
      </c>
      <c r="BC521" s="181">
        <f ca="1">IF($D521&lt;&gt;"Serviço",0,IF(AND(AUTOEVENTO="Manual",$M521=1),0,IF(OFFSET(CRONOPLE!$F$14,$M521,BC$13)="",10^12,OFFSET(CRONOPLE!$F$14,$M521,BC$13))))</f>
        <v>10</v>
      </c>
      <c r="BD521" s="181">
        <f ca="1">IF($D521&lt;&gt;"Serviço",0,IF(AND(AUTOEVENTO="Manual",$M521=1),0,IF(OFFSET(CRONOPLE!$F$14,$M521,BD$13)="",10^12,OFFSET(CRONOPLE!$F$14,$M521,BD$13))))</f>
        <v>1000000000000</v>
      </c>
      <c r="BE521" s="181">
        <f ca="1">IF($D521&lt;&gt;"Serviço",0,IF(AND(AUTOEVENTO="Manual",$M521=1),0,IF(OFFSET(CRONOPLE!$F$14,$M521,BE$13)="",10^12,OFFSET(CRONOPLE!$F$14,$M521,BE$13))))</f>
        <v>1000000000000</v>
      </c>
      <c r="BF521" s="181">
        <f ca="1">IF($D521&lt;&gt;"Serviço",0,IF(AND(AUTOEVENTO="Manual",$M521=1),0,IF(OFFSET(CRONOPLE!$F$14,$M521,BF$13)="",10^12,OFFSET(CRONOPLE!$F$14,$M521,BF$13))))</f>
        <v>1000000000000</v>
      </c>
      <c r="BG521" s="181">
        <f ca="1">IF($D521&lt;&gt;"Serviço",0,IF(AND(AUTOEVENTO="Manual",$M521=1),0,IF(OFFSET(CRONOPLE!$F$14,$M521,BG$13)="",10^12,OFFSET(CRONOPLE!$F$14,$M521,BG$13))))</f>
        <v>1000000000000</v>
      </c>
      <c r="BH521" s="181">
        <f ca="1">IF($D521&lt;&gt;"Serviço",0,IF(AND(AUTOEVENTO="Manual",$M521=1),0,IF(OFFSET(CRONOPLE!$F$14,$M521,BH$13)="",10^12,OFFSET(CRONOPLE!$F$14,$M521,BH$13))))</f>
        <v>1000000000000</v>
      </c>
      <c r="BI521" s="181">
        <f ca="1">IF($D521&lt;&gt;"Serviço",0,IF(AND(AUTOEVENTO="Manual",$M521=1),0,IF(OFFSET(CRONOPLE!$F$14,$M521,BI$13)="",10^12,OFFSET(CRONOPLE!$F$14,$M521,BI$13))))</f>
        <v>1000000000000</v>
      </c>
      <c r="BJ521" s="181">
        <f ca="1">IF($D521&lt;&gt;"Serviço",0,IF(AND(AUTOEVENTO="Manual",$M521=1),0,IF(OFFSET(CRONOPLE!$F$14,$M521,BJ$13)="",10^12,OFFSET(CRONOPLE!$F$14,$M521,BJ$13))))</f>
        <v>1000000000000</v>
      </c>
      <c r="BK521" s="181">
        <f ca="1">IF($D521&lt;&gt;"Serviço",0,IF(AND(AUTOEVENTO="Manual",$M521=1),0,IF(OFFSET(CRONOPLE!$F$14,$M521,BK$13)="",10^12,OFFSET(CRONOPLE!$F$14,$M521,BK$13))))</f>
        <v>1000000000000</v>
      </c>
      <c r="BL521" s="181">
        <f ca="1">IF($D521&lt;&gt;"Serviço",0,IF(AND(AUTOEVENTO="Manual",$M521=1),0,IF(OFFSET(CRONOPLE!$F$14,$M521,BL$13)="",10^12,OFFSET(CRONOPLE!$F$14,$M521,BL$13))))</f>
        <v>1000000000000</v>
      </c>
      <c r="BM521" s="181">
        <f ca="1">IF($D521&lt;&gt;"Serviço",0,IF(AND(AUTOEVENTO="Manual",$M521=1),0,IF(OFFSET(CRONOPLE!$F$14,$M521,BM$13)="",10^12,OFFSET(CRONOPLE!$F$14,$M521,BM$13))))</f>
        <v>1000000000000</v>
      </c>
      <c r="BN521" s="181">
        <f ca="1">IF($D521&lt;&gt;"Serviço",0,IF(AND(AUTOEVENTO="Manual",$M521=1),0,IF(OFFSET(CRONOPLE!$F$14,$M521,BN$13)="",10^12,OFFSET(CRONOPLE!$F$14,$M521,BN$13))))</f>
        <v>1000000000000</v>
      </c>
      <c r="BO521" s="181">
        <f ca="1">IF($D521&lt;&gt;"Serviço",0,IF(AND(AUTOEVENTO="Manual",$M521=1),0,IF(OFFSET(CRONOPLE!$F$14,$M521,BO$13)="",10^12,OFFSET(CRONOPLE!$F$14,$M521,BO$13))))</f>
        <v>1000000000000</v>
      </c>
      <c r="BP521" s="181">
        <f ca="1">IF($D521&lt;&gt;"Serviço",0,IF(AND(AUTOEVENTO="Manual",$M521=1),0,IF(OFFSET(CRONOPLE!$F$14,$M521,BP$13)="",10^12,OFFSET(CRONOPLE!$F$14,$M521,BP$13))))</f>
        <v>1000000000000</v>
      </c>
      <c r="BQ521" s="181">
        <f ca="1">IF($D521&lt;&gt;"Serviço",0,IF(AND(AUTOEVENTO="Manual",$M521=1),0,IF(OFFSET(CRONOPLE!$F$14,$M521,BQ$13)="",10^12,OFFSET(CRONOPLE!$F$14,$M521,BQ$13))))</f>
        <v>1000000000000</v>
      </c>
      <c r="BR521" s="181">
        <f ca="1">IF($D521&lt;&gt;"Serviço",0,IF(AND(AUTOEVENTO="Manual",$M521=1),0,IF(OFFSET(CRONOPLE!$F$14,$M521,BR$13)="",10^12,OFFSET(CRONOPLE!$F$14,$M521,BR$13))))</f>
        <v>1000000000000</v>
      </c>
      <c r="BS521" s="181">
        <f ca="1">IF($D521&lt;&gt;"Serviço",0,IF(AND(AUTOEVENTO="Manual",$M521=1),0,IF(OFFSET(CRONOPLE!$F$14,$M521,BS$13)="",10^12,OFFSET(CRONOPLE!$F$14,$M521,BS$13))))</f>
        <v>1000000000000</v>
      </c>
      <c r="BT521" s="181">
        <f ca="1">IF($D521&lt;&gt;"Serviço",0,IF(AND(AUTOEVENTO="Manual",$M521=1),0,IF(OFFSET(CRONOPLE!$F$14,$M521,BT$13)="",10^12,OFFSET(CRONOPLE!$F$14,$M521,BT$13))))</f>
        <v>1000000000000</v>
      </c>
      <c r="BV521" s="182">
        <f ca="1">IF($D521&lt;&gt;"Serviço",0,IF(OR(AND(AUTOEVENTO="Manual",$M521=1),$M521&gt;(ROW(PLE.lastrow)-ROW(PLE.firstrow))),0,IF(OFFSET(PLE!$G$14,$M521,BV$13)="",10^12,OFFSET(PLE!$G$14,$M521,BV$13))))</f>
        <v>1000000000000</v>
      </c>
      <c r="BW521" s="182">
        <f ca="1">IF($D521&lt;&gt;"Serviço",0,IF(OR(AND(AUTOEVENTO="Manual",$M521=1),$M521&gt;(ROW(PLE.lastrow)-ROW(PLE.firstrow))),0,IF(OFFSET(PLE!$G$14,$M521,BW$13)="",10^12,OFFSET(PLE!$G$14,$M521,BW$13))))</f>
        <v>1000000000000</v>
      </c>
      <c r="BX521" s="182">
        <f ca="1">IF($D521&lt;&gt;"Serviço",0,IF(OR(AND(AUTOEVENTO="Manual",$M521=1),$M521&gt;(ROW(PLE.lastrow)-ROW(PLE.firstrow))),0,IF(OFFSET(PLE!$G$14,$M521,BX$13)="",10^12,OFFSET(PLE!$G$14,$M521,BX$13))))</f>
        <v>1000000000000</v>
      </c>
      <c r="BY521" s="182">
        <f ca="1">IF($D521&lt;&gt;"Serviço",0,IF(OR(AND(AUTOEVENTO="Manual",$M521=1),$M521&gt;(ROW(PLE.lastrow)-ROW(PLE.firstrow))),0,IF(OFFSET(PLE!$G$14,$M521,BY$13)="",10^12,OFFSET(PLE!$G$14,$M521,BY$13))))</f>
        <v>1000000000000</v>
      </c>
      <c r="BZ521" s="182">
        <f ca="1">IF($D521&lt;&gt;"Serviço",0,IF(OR(AND(AUTOEVENTO="Manual",$M521=1),$M521&gt;(ROW(PLE.lastrow)-ROW(PLE.firstrow))),0,IF(OFFSET(PLE!$G$14,$M521,BZ$13)="",10^12,OFFSET(PLE!$G$14,$M521,BZ$13))))</f>
        <v>1000000000000</v>
      </c>
      <c r="CA521" s="182">
        <f ca="1">IF($D521&lt;&gt;"Serviço",0,IF(OR(AND(AUTOEVENTO="Manual",$M521=1),$M521&gt;(ROW(PLE.lastrow)-ROW(PLE.firstrow))),0,IF(OFFSET(PLE!$G$14,$M521,CA$13)="",10^12,OFFSET(PLE!$G$14,$M521,CA$13))))</f>
        <v>1000000000000</v>
      </c>
      <c r="CB521" s="182">
        <f ca="1">IF($D521&lt;&gt;"Serviço",0,IF(OR(AND(AUTOEVENTO="Manual",$M521=1),$M521&gt;(ROW(PLE.lastrow)-ROW(PLE.firstrow))),0,IF(OFFSET(PLE!$G$14,$M521,CB$13)="",10^12,OFFSET(PLE!$G$14,$M521,CB$13))))</f>
        <v>1000000000000</v>
      </c>
      <c r="CC521" s="182">
        <f ca="1">IF($D521&lt;&gt;"Serviço",0,IF(OR(AND(AUTOEVENTO="Manual",$M521=1),$M521&gt;(ROW(PLE.lastrow)-ROW(PLE.firstrow))),0,IF(OFFSET(PLE!$G$14,$M521,CC$13)="",10^12,OFFSET(PLE!$G$14,$M521,CC$13))))</f>
        <v>1000000000000</v>
      </c>
      <c r="CD521" s="182">
        <f ca="1">IF($D521&lt;&gt;"Serviço",0,IF(OR(AND(AUTOEVENTO="Manual",$M521=1),$M521&gt;(ROW(PLE.lastrow)-ROW(PLE.firstrow))),0,IF(OFFSET(PLE!$G$14,$M521,CD$13)="",10^12,OFFSET(PLE!$G$14,$M521,CD$13))))</f>
        <v>1000000000000</v>
      </c>
      <c r="CE521" s="182">
        <f ca="1">IF($D521&lt;&gt;"Serviço",0,IF(OR(AND(AUTOEVENTO="Manual",$M521=1),$M521&gt;(ROW(PLE.lastrow)-ROW(PLE.firstrow))),0,IF(OFFSET(PLE!$G$14,$M521,CE$13)="",10^12,OFFSET(PLE!$G$14,$M521,CE$13))))</f>
        <v>1000000000000</v>
      </c>
      <c r="CF521" s="182">
        <f ca="1">IF($D521&lt;&gt;"Serviço",0,IF(OR(AND(AUTOEVENTO="Manual",$M521=1),$M521&gt;(ROW(PLE.lastrow)-ROW(PLE.firstrow))),0,IF(OFFSET(PLE!$G$14,$M521,CF$13)="",10^12,OFFSET(PLE!$G$14,$M521,CF$13))))</f>
        <v>1000000000000</v>
      </c>
      <c r="CG521" s="182">
        <f ca="1">IF($D521&lt;&gt;"Serviço",0,IF(OR(AND(AUTOEVENTO="Manual",$M521=1),$M521&gt;(ROW(PLE.lastrow)-ROW(PLE.firstrow))),0,IF(OFFSET(PLE!$G$14,$M521,CG$13)="",10^12,OFFSET(PLE!$G$14,$M521,CG$13))))</f>
        <v>1000000000000</v>
      </c>
      <c r="CH521" s="182">
        <f ca="1">IF($D521&lt;&gt;"Serviço",0,IF(OR(AND(AUTOEVENTO="Manual",$M521=1),$M521&gt;(ROW(PLE.lastrow)-ROW(PLE.firstrow))),0,IF(OFFSET(PLE!$G$14,$M521,CH$13)="",10^12,OFFSET(PLE!$G$14,$M521,CH$13))))</f>
        <v>1000000000000</v>
      </c>
      <c r="CI521" s="182">
        <f ca="1">IF($D521&lt;&gt;"Serviço",0,IF(OR(AND(AUTOEVENTO="Manual",$M521=1),$M521&gt;(ROW(PLE.lastrow)-ROW(PLE.firstrow))),0,IF(OFFSET(PLE!$G$14,$M521,CI$13)="",10^12,OFFSET(PLE!$G$14,$M521,CI$13))))</f>
        <v>1000000000000</v>
      </c>
      <c r="CJ521" s="182">
        <f ca="1">IF($D521&lt;&gt;"Serviço",0,IF(OR(AND(AUTOEVENTO="Manual",$M521=1),$M521&gt;(ROW(PLE.lastrow)-ROW(PLE.firstrow))),0,IF(OFFSET(PLE!$G$14,$M521,CJ$13)="",10^12,OFFSET(PLE!$G$14,$M521,CJ$13))))</f>
        <v>1000000000000</v>
      </c>
      <c r="CK521" s="182">
        <f ca="1">IF($D521&lt;&gt;"Serviço",0,IF(OR(AND(AUTOEVENTO="Manual",$M521=1),$M521&gt;(ROW(PLE.lastrow)-ROW(PLE.firstrow))),0,IF(OFFSET(PLE!$G$14,$M521,CK$13)="",10^12,OFFSET(PLE!$G$14,$M521,CK$13))))</f>
        <v>1000000000000</v>
      </c>
      <c r="CL521" s="182">
        <f ca="1">IF($D521&lt;&gt;"Serviço",0,IF(OR(AND(AUTOEVENTO="Manual",$M521=1),$M521&gt;(ROW(PLE.lastrow)-ROW(PLE.firstrow))),0,IF(OFFSET(PLE!$G$14,$M521,CL$13)="",10^12,OFFSET(PLE!$G$14,$M521,CL$13))))</f>
        <v>1000000000000</v>
      </c>
      <c r="CM521" s="182">
        <f ca="1">IF($D521&lt;&gt;"Serviço",0,IF(OR(AND(AUTOEVENTO="Manual",$M521=1),$M521&gt;(ROW(PLE.lastrow)-ROW(PLE.firstrow))),0,IF(OFFSET(PLE!$G$14,$M521,CM$13)="",10^12,OFFSET(PLE!$G$14,$M521,CM$13))))</f>
        <v>1000000000000</v>
      </c>
    </row>
    <row r="522" spans="1:91" ht="38.25" x14ac:dyDescent="0.2">
      <c r="A522" s="7" t="str">
        <f t="shared" ca="1" si="16"/>
        <v>493</v>
      </c>
      <c r="B522" s="7" t="str">
        <f ca="1">OFFSET(ORÇAMENTO!C$15,ROW(B522)-ROW(B$15),0)</f>
        <v>S</v>
      </c>
      <c r="C522" s="7" t="str">
        <f ca="1">OFFSET(ORÇAMENTO!L$15,ROW(C522)-ROW(C$15),0)</f>
        <v/>
      </c>
      <c r="D522" s="118" t="str">
        <f ca="1">OFFSET(ORÇAMENTO!N$15,ROW(D522)-ROW(D$15),0)</f>
        <v>Serviço</v>
      </c>
      <c r="E522" s="119" t="str">
        <f ca="1">OFFSET(ORÇAMENTO!O$15,ROW(E522)-ROW(E$15),0)</f>
        <v>-</v>
      </c>
      <c r="F522" s="172" t="str">
        <f ca="1">OFFSET(ORÇAMENTO!R$15,ROW(F522)-ROW(F$15),0)</f>
        <v>(abra o arquivo 'Referência 06-2024.xlsm)</v>
      </c>
      <c r="G522" s="173" t="str">
        <f ca="1">IF($D522&lt;&gt;"Serviço","",OFFSET(ORÇAMENTO!S$15,ROW(G522)-ROW(G$15),0))</f>
        <v>-</v>
      </c>
      <c r="H522" s="124">
        <f ca="1">IF($D522&lt;&gt;"Serviço",0,IF(ACOMPANHAMENTO="BM",ROUND(OFFSET(ORÇAMENTO!AJ$15,ROW(H522)-ROW(H$15),0),15-13*ORÇAMENTO!$AF$7),SUMPRODUCT(($Q$12:$AI$12&lt;&gt;"")*ROUND($Q522:$AI522,15-13*ORÇAMENTO!$AF$7))))</f>
        <v>57.3</v>
      </c>
      <c r="I522" s="561" t="s">
        <v>1107</v>
      </c>
      <c r="K522" s="174"/>
      <c r="L522" s="175" t="s">
        <v>255</v>
      </c>
      <c r="M522" s="176">
        <f ca="1">IF($D522&lt;&gt;"Serviço","",IF(AUTOEVENTO="manual",$A522,IF(ISERROR(MATCH($A522,$A$15:OFFSET($A522,-1,0),0)),MAX($M$15:OFFSET(M522,-1,0))+1,INDEX($M$15:OFFSET(M522,-1,0),MATCH($A522,$A$15:OFFSET($A522,-1,0),0)))))</f>
        <v>54</v>
      </c>
      <c r="N522" s="177" t="str">
        <f ca="1">IF($D522&lt;&gt;"Serviço","",IF(AUTOEVENTO="Manual",IF($A522=0,"&lt;-- defina o número do agrupador",OFFSET(EVENTOS!$D$14,$A522,0)),OFFSET($F$15,$A522,0)))</f>
        <v>INSTALAÇÃO ELÉTRICA 110V - CABOS</v>
      </c>
      <c r="O522" s="178"/>
      <c r="Q522" s="178">
        <v>57.3</v>
      </c>
      <c r="R522" s="179"/>
      <c r="S522" s="179"/>
      <c r="T522" s="179"/>
      <c r="U522" s="179"/>
      <c r="V522" s="179"/>
      <c r="W522" s="179"/>
      <c r="X522" s="179"/>
      <c r="Y522" s="179"/>
      <c r="Z522" s="180"/>
      <c r="AA522" s="179"/>
      <c r="AB522" s="179"/>
      <c r="AC522" s="179"/>
      <c r="AD522" s="179"/>
      <c r="AE522" s="179"/>
      <c r="AF522" s="179"/>
      <c r="AG522" s="179"/>
      <c r="AH522" s="180"/>
      <c r="AJ522" s="544">
        <f ca="1">IF(AND($D522="Serviço",AJ$12&lt;&gt;0,$H522&gt;0,OR(AUTOEVENTO&lt;&gt;"manual",$M522&lt;&gt;1)),
IF(Import.TipoArredondamento&lt;&gt;"TransfereGOV",
ROUND(OFFSET($P522,0,AJ$13),15-13*ORÇAMENTO!$AF$7)/$H522*OFFSET(ORÇAMENTO!$X$15,ROW(AJ522)-ROW(AJ$15),0),
ROUND(ROUND(OFFSET($P522,0,AJ$13),15-13*ORÇAMENTO!$AF$7)*OFFSET(ORÇAMENTO!$W$15,ROW(AJ522)-ROW(AJ$15),0),15-13*ORÇAMENTO!$AF$11)),0)</f>
        <v>0</v>
      </c>
      <c r="AK522" s="545">
        <f ca="1">IF(AND($D522="Serviço",AK$12&lt;&gt;0,$H522&gt;0,OR(AUTOEVENTO&lt;&gt;"manual",$M522&lt;&gt;1)),
IF(Import.TipoArredondamento&lt;&gt;"TransfereGOV",
ROUND(OFFSET($P522,0,AK$13),15-13*ORÇAMENTO!$AF$7)/$H522*OFFSET(ORÇAMENTO!$X$15,ROW(AK522)-ROW(AK$15),0),
ROUND(ROUND(OFFSET($P522,0,AK$13),15-13*ORÇAMENTO!$AF$7)*OFFSET(ORÇAMENTO!$W$15,ROW(AK522)-ROW(AK$15),0),15-13*ORÇAMENTO!$AF$11)),0)</f>
        <v>0</v>
      </c>
      <c r="AL522" s="545">
        <f ca="1">IF(AND($D522="Serviço",AL$12&lt;&gt;0,$H522&gt;0,OR(AUTOEVENTO&lt;&gt;"manual",$M522&lt;&gt;1)),
IF(Import.TipoArredondamento&lt;&gt;"TransfereGOV",
ROUND(OFFSET($P522,0,AL$13),15-13*ORÇAMENTO!$AF$7)/$H522*OFFSET(ORÇAMENTO!$X$15,ROW(AL522)-ROW(AL$15),0),
ROUND(ROUND(OFFSET($P522,0,AL$13),15-13*ORÇAMENTO!$AF$7)*OFFSET(ORÇAMENTO!$W$15,ROW(AL522)-ROW(AL$15),0),15-13*ORÇAMENTO!$AF$11)),0)</f>
        <v>0</v>
      </c>
      <c r="AM522" s="545">
        <f ca="1">IF(AND($D522="Serviço",AM$12&lt;&gt;0,$H522&gt;0,OR(AUTOEVENTO&lt;&gt;"manual",$M522&lt;&gt;1)),
IF(Import.TipoArredondamento&lt;&gt;"TransfereGOV",
ROUND(OFFSET($P522,0,AM$13),15-13*ORÇAMENTO!$AF$7)/$H522*OFFSET(ORÇAMENTO!$X$15,ROW(AM522)-ROW(AM$15),0),
ROUND(ROUND(OFFSET($P522,0,AM$13),15-13*ORÇAMENTO!$AF$7)*OFFSET(ORÇAMENTO!$W$15,ROW(AM522)-ROW(AM$15),0),15-13*ORÇAMENTO!$AF$11)),0)</f>
        <v>0</v>
      </c>
      <c r="AN522" s="545">
        <f ca="1">IF(AND($D522="Serviço",AN$12&lt;&gt;0,$H522&gt;0,OR(AUTOEVENTO&lt;&gt;"manual",$M522&lt;&gt;1)),
IF(Import.TipoArredondamento&lt;&gt;"TransfereGOV",
ROUND(OFFSET($P522,0,AN$13),15-13*ORÇAMENTO!$AF$7)/$H522*OFFSET(ORÇAMENTO!$X$15,ROW(AN522)-ROW(AN$15),0),
ROUND(ROUND(OFFSET($P522,0,AN$13),15-13*ORÇAMENTO!$AF$7)*OFFSET(ORÇAMENTO!$W$15,ROW(AN522)-ROW(AN$15),0),15-13*ORÇAMENTO!$AF$11)),0)</f>
        <v>0</v>
      </c>
      <c r="AO522" s="545">
        <f ca="1">IF(AND($D522="Serviço",AO$12&lt;&gt;0,$H522&gt;0,OR(AUTOEVENTO&lt;&gt;"manual",$M522&lt;&gt;1)),
IF(Import.TipoArredondamento&lt;&gt;"TransfereGOV",
ROUND(OFFSET($P522,0,AO$13),15-13*ORÇAMENTO!$AF$7)/$H522*OFFSET(ORÇAMENTO!$X$15,ROW(AO522)-ROW(AO$15),0),
ROUND(ROUND(OFFSET($P522,0,AO$13),15-13*ORÇAMENTO!$AF$7)*OFFSET(ORÇAMENTO!$W$15,ROW(AO522)-ROW(AO$15),0),15-13*ORÇAMENTO!$AF$11)),0)</f>
        <v>0</v>
      </c>
      <c r="AP522" s="545">
        <f ca="1">IF(AND($D522="Serviço",AP$12&lt;&gt;0,$H522&gt;0,OR(AUTOEVENTO&lt;&gt;"manual",$M522&lt;&gt;1)),
IF(Import.TipoArredondamento&lt;&gt;"TransfereGOV",
ROUND(OFFSET($P522,0,AP$13),15-13*ORÇAMENTO!$AF$7)/$H522*OFFSET(ORÇAMENTO!$X$15,ROW(AP522)-ROW(AP$15),0),
ROUND(ROUND(OFFSET($P522,0,AP$13),15-13*ORÇAMENTO!$AF$7)*OFFSET(ORÇAMENTO!$W$15,ROW(AP522)-ROW(AP$15),0),15-13*ORÇAMENTO!$AF$11)),0)</f>
        <v>0</v>
      </c>
      <c r="AQ522" s="545">
        <f ca="1">IF(AND($D522="Serviço",AQ$12&lt;&gt;0,$H522&gt;0,OR(AUTOEVENTO&lt;&gt;"manual",$M522&lt;&gt;1)),
IF(Import.TipoArredondamento&lt;&gt;"TransfereGOV",
ROUND(OFFSET($P522,0,AQ$13),15-13*ORÇAMENTO!$AF$7)/$H522*OFFSET(ORÇAMENTO!$X$15,ROW(AQ522)-ROW(AQ$15),0),
ROUND(ROUND(OFFSET($P522,0,AQ$13),15-13*ORÇAMENTO!$AF$7)*OFFSET(ORÇAMENTO!$W$15,ROW(AQ522)-ROW(AQ$15),0),15-13*ORÇAMENTO!$AF$11)),0)</f>
        <v>0</v>
      </c>
      <c r="AR522" s="545">
        <f ca="1">IF(AND($D522="Serviço",AR$12&lt;&gt;0,$H522&gt;0,OR(AUTOEVENTO&lt;&gt;"manual",$M522&lt;&gt;1)),
IF(Import.TipoArredondamento&lt;&gt;"TransfereGOV",
ROUND(OFFSET($P522,0,AR$13),15-13*ORÇAMENTO!$AF$7)/$H522*OFFSET(ORÇAMENTO!$X$15,ROW(AR522)-ROW(AR$15),0),
ROUND(ROUND(OFFSET($P522,0,AR$13),15-13*ORÇAMENTO!$AF$7)*OFFSET(ORÇAMENTO!$W$15,ROW(AR522)-ROW(AR$15),0),15-13*ORÇAMENTO!$AF$11)),0)</f>
        <v>0</v>
      </c>
      <c r="AS522" s="546">
        <f ca="1">IF(AND($D522="Serviço",AS$12&lt;&gt;0,$H522&gt;0,OR(AUTOEVENTO&lt;&gt;"manual",$M522&lt;&gt;1)),
IF(Import.TipoArredondamento&lt;&gt;"TransfereGOV",
ROUND(OFFSET($P522,0,AS$13),15-13*ORÇAMENTO!$AF$7)/$H522*OFFSET(ORÇAMENTO!$X$15,ROW(AS522)-ROW(AS$15),0),
ROUND(ROUND(OFFSET($P522,0,AS$13),15-13*ORÇAMENTO!$AF$7)*OFFSET(ORÇAMENTO!$W$15,ROW(AS522)-ROW(AS$15),0),15-13*ORÇAMENTO!$AF$11)),0)</f>
        <v>0</v>
      </c>
      <c r="AT522" s="545">
        <f ca="1">IF(AND($D522="Serviço",AT$12&lt;&gt;0,$H522&gt;0,OR(AUTOEVENTO&lt;&gt;"manual",$M522&lt;&gt;1)),
IF(Import.TipoArredondamento&lt;&gt;"TransfereGOV",
ROUND(OFFSET($P522,0,AT$13),15-13*ORÇAMENTO!$AF$7)/$H522*OFFSET(ORÇAMENTO!$X$15,ROW(AT522)-ROW(AT$15),0),
ROUND(ROUND(OFFSET($P522,0,AT$13),15-13*ORÇAMENTO!$AF$7)*OFFSET(ORÇAMENTO!$W$15,ROW(AT522)-ROW(AT$15),0),15-13*ORÇAMENTO!$AF$11)),0)</f>
        <v>0</v>
      </c>
      <c r="AU522" s="545">
        <f ca="1">IF(AND($D522="Serviço",AU$12&lt;&gt;0,$H522&gt;0,OR(AUTOEVENTO&lt;&gt;"manual",$M522&lt;&gt;1)),
IF(Import.TipoArredondamento&lt;&gt;"TransfereGOV",
ROUND(OFFSET($P522,0,AU$13),15-13*ORÇAMENTO!$AF$7)/$H522*OFFSET(ORÇAMENTO!$X$15,ROW(AU522)-ROW(AU$15),0),
ROUND(ROUND(OFFSET($P522,0,AU$13),15-13*ORÇAMENTO!$AF$7)*OFFSET(ORÇAMENTO!$W$15,ROW(AU522)-ROW(AU$15),0),15-13*ORÇAMENTO!$AF$11)),0)</f>
        <v>0</v>
      </c>
      <c r="AV522" s="545">
        <f ca="1">IF(AND($D522="Serviço",AV$12&lt;&gt;0,$H522&gt;0,OR(AUTOEVENTO&lt;&gt;"manual",$M522&lt;&gt;1)),
IF(Import.TipoArredondamento&lt;&gt;"TransfereGOV",
ROUND(OFFSET($P522,0,AV$13),15-13*ORÇAMENTO!$AF$7)/$H522*OFFSET(ORÇAMENTO!$X$15,ROW(AV522)-ROW(AV$15),0),
ROUND(ROUND(OFFSET($P522,0,AV$13),15-13*ORÇAMENTO!$AF$7)*OFFSET(ORÇAMENTO!$W$15,ROW(AV522)-ROW(AV$15),0),15-13*ORÇAMENTO!$AF$11)),0)</f>
        <v>0</v>
      </c>
      <c r="AW522" s="545">
        <f ca="1">IF(AND($D522="Serviço",AW$12&lt;&gt;0,$H522&gt;0,OR(AUTOEVENTO&lt;&gt;"manual",$M522&lt;&gt;1)),
IF(Import.TipoArredondamento&lt;&gt;"TransfereGOV",
ROUND(OFFSET($P522,0,AW$13),15-13*ORÇAMENTO!$AF$7)/$H522*OFFSET(ORÇAMENTO!$X$15,ROW(AW522)-ROW(AW$15),0),
ROUND(ROUND(OFFSET($P522,0,AW$13),15-13*ORÇAMENTO!$AF$7)*OFFSET(ORÇAMENTO!$W$15,ROW(AW522)-ROW(AW$15),0),15-13*ORÇAMENTO!$AF$11)),0)</f>
        <v>0</v>
      </c>
      <c r="AX522" s="545">
        <f ca="1">IF(AND($D522="Serviço",AX$12&lt;&gt;0,$H522&gt;0,OR(AUTOEVENTO&lt;&gt;"manual",$M522&lt;&gt;1)),
IF(Import.TipoArredondamento&lt;&gt;"TransfereGOV",
ROUND(OFFSET($P522,0,AX$13),15-13*ORÇAMENTO!$AF$7)/$H522*OFFSET(ORÇAMENTO!$X$15,ROW(AX522)-ROW(AX$15),0),
ROUND(ROUND(OFFSET($P522,0,AX$13),15-13*ORÇAMENTO!$AF$7)*OFFSET(ORÇAMENTO!$W$15,ROW(AX522)-ROW(AX$15),0),15-13*ORÇAMENTO!$AF$11)),0)</f>
        <v>0</v>
      </c>
      <c r="AY522" s="545">
        <f ca="1">IF(AND($D522="Serviço",AY$12&lt;&gt;0,$H522&gt;0,OR(AUTOEVENTO&lt;&gt;"manual",$M522&lt;&gt;1)),
IF(Import.TipoArredondamento&lt;&gt;"TransfereGOV",
ROUND(OFFSET($P522,0,AY$13),15-13*ORÇAMENTO!$AF$7)/$H522*OFFSET(ORÇAMENTO!$X$15,ROW(AY522)-ROW(AY$15),0),
ROUND(ROUND(OFFSET($P522,0,AY$13),15-13*ORÇAMENTO!$AF$7)*OFFSET(ORÇAMENTO!$W$15,ROW(AY522)-ROW(AY$15),0),15-13*ORÇAMENTO!$AF$11)),0)</f>
        <v>0</v>
      </c>
      <c r="AZ522" s="545">
        <f ca="1">IF(AND($D522="Serviço",AZ$12&lt;&gt;0,$H522&gt;0,OR(AUTOEVENTO&lt;&gt;"manual",$M522&lt;&gt;1)),
IF(Import.TipoArredondamento&lt;&gt;"TransfereGOV",
ROUND(OFFSET($P522,0,AZ$13),15-13*ORÇAMENTO!$AF$7)/$H522*OFFSET(ORÇAMENTO!$X$15,ROW(AZ522)-ROW(AZ$15),0),
ROUND(ROUND(OFFSET($P522,0,AZ$13),15-13*ORÇAMENTO!$AF$7)*OFFSET(ORÇAMENTO!$W$15,ROW(AZ522)-ROW(AZ$15),0),15-13*ORÇAMENTO!$AF$11)),0)</f>
        <v>0</v>
      </c>
      <c r="BA522" s="546">
        <f ca="1">IF(AND($D522="Serviço",BA$12&lt;&gt;0,$H522&gt;0,OR(AUTOEVENTO&lt;&gt;"manual",$M522&lt;&gt;1)),
IF(Import.TipoArredondamento&lt;&gt;"TransfereGOV",
ROUND(OFFSET($P522,0,BA$13),15-13*ORÇAMENTO!$AF$7)/$H522*OFFSET(ORÇAMENTO!$X$15,ROW(BA522)-ROW(BA$15),0),
ROUND(ROUND(OFFSET($P522,0,BA$13),15-13*ORÇAMENTO!$AF$7)*OFFSET(ORÇAMENTO!$W$15,ROW(BA522)-ROW(BA$15),0),15-13*ORÇAMENTO!$AF$11)),0)</f>
        <v>0</v>
      </c>
      <c r="BC522" s="181">
        <f ca="1">IF($D522&lt;&gt;"Serviço",0,IF(AND(AUTOEVENTO="Manual",$M522=1),0,IF(OFFSET(CRONOPLE!$F$14,$M522,BC$13)="",10^12,OFFSET(CRONOPLE!$F$14,$M522,BC$13))))</f>
        <v>10</v>
      </c>
      <c r="BD522" s="181">
        <f ca="1">IF($D522&lt;&gt;"Serviço",0,IF(AND(AUTOEVENTO="Manual",$M522=1),0,IF(OFFSET(CRONOPLE!$F$14,$M522,BD$13)="",10^12,OFFSET(CRONOPLE!$F$14,$M522,BD$13))))</f>
        <v>1000000000000</v>
      </c>
      <c r="BE522" s="181">
        <f ca="1">IF($D522&lt;&gt;"Serviço",0,IF(AND(AUTOEVENTO="Manual",$M522=1),0,IF(OFFSET(CRONOPLE!$F$14,$M522,BE$13)="",10^12,OFFSET(CRONOPLE!$F$14,$M522,BE$13))))</f>
        <v>1000000000000</v>
      </c>
      <c r="BF522" s="181">
        <f ca="1">IF($D522&lt;&gt;"Serviço",0,IF(AND(AUTOEVENTO="Manual",$M522=1),0,IF(OFFSET(CRONOPLE!$F$14,$M522,BF$13)="",10^12,OFFSET(CRONOPLE!$F$14,$M522,BF$13))))</f>
        <v>1000000000000</v>
      </c>
      <c r="BG522" s="181">
        <f ca="1">IF($D522&lt;&gt;"Serviço",0,IF(AND(AUTOEVENTO="Manual",$M522=1),0,IF(OFFSET(CRONOPLE!$F$14,$M522,BG$13)="",10^12,OFFSET(CRONOPLE!$F$14,$M522,BG$13))))</f>
        <v>1000000000000</v>
      </c>
      <c r="BH522" s="181">
        <f ca="1">IF($D522&lt;&gt;"Serviço",0,IF(AND(AUTOEVENTO="Manual",$M522=1),0,IF(OFFSET(CRONOPLE!$F$14,$M522,BH$13)="",10^12,OFFSET(CRONOPLE!$F$14,$M522,BH$13))))</f>
        <v>1000000000000</v>
      </c>
      <c r="BI522" s="181">
        <f ca="1">IF($D522&lt;&gt;"Serviço",0,IF(AND(AUTOEVENTO="Manual",$M522=1),0,IF(OFFSET(CRONOPLE!$F$14,$M522,BI$13)="",10^12,OFFSET(CRONOPLE!$F$14,$M522,BI$13))))</f>
        <v>1000000000000</v>
      </c>
      <c r="BJ522" s="181">
        <f ca="1">IF($D522&lt;&gt;"Serviço",0,IF(AND(AUTOEVENTO="Manual",$M522=1),0,IF(OFFSET(CRONOPLE!$F$14,$M522,BJ$13)="",10^12,OFFSET(CRONOPLE!$F$14,$M522,BJ$13))))</f>
        <v>1000000000000</v>
      </c>
      <c r="BK522" s="181">
        <f ca="1">IF($D522&lt;&gt;"Serviço",0,IF(AND(AUTOEVENTO="Manual",$M522=1),0,IF(OFFSET(CRONOPLE!$F$14,$M522,BK$13)="",10^12,OFFSET(CRONOPLE!$F$14,$M522,BK$13))))</f>
        <v>1000000000000</v>
      </c>
      <c r="BL522" s="181">
        <f ca="1">IF($D522&lt;&gt;"Serviço",0,IF(AND(AUTOEVENTO="Manual",$M522=1),0,IF(OFFSET(CRONOPLE!$F$14,$M522,BL$13)="",10^12,OFFSET(CRONOPLE!$F$14,$M522,BL$13))))</f>
        <v>1000000000000</v>
      </c>
      <c r="BM522" s="181">
        <f ca="1">IF($D522&lt;&gt;"Serviço",0,IF(AND(AUTOEVENTO="Manual",$M522=1),0,IF(OFFSET(CRONOPLE!$F$14,$M522,BM$13)="",10^12,OFFSET(CRONOPLE!$F$14,$M522,BM$13))))</f>
        <v>1000000000000</v>
      </c>
      <c r="BN522" s="181">
        <f ca="1">IF($D522&lt;&gt;"Serviço",0,IF(AND(AUTOEVENTO="Manual",$M522=1),0,IF(OFFSET(CRONOPLE!$F$14,$M522,BN$13)="",10^12,OFFSET(CRONOPLE!$F$14,$M522,BN$13))))</f>
        <v>1000000000000</v>
      </c>
      <c r="BO522" s="181">
        <f ca="1">IF($D522&lt;&gt;"Serviço",0,IF(AND(AUTOEVENTO="Manual",$M522=1),0,IF(OFFSET(CRONOPLE!$F$14,$M522,BO$13)="",10^12,OFFSET(CRONOPLE!$F$14,$M522,BO$13))))</f>
        <v>1000000000000</v>
      </c>
      <c r="BP522" s="181">
        <f ca="1">IF($D522&lt;&gt;"Serviço",0,IF(AND(AUTOEVENTO="Manual",$M522=1),0,IF(OFFSET(CRONOPLE!$F$14,$M522,BP$13)="",10^12,OFFSET(CRONOPLE!$F$14,$M522,BP$13))))</f>
        <v>1000000000000</v>
      </c>
      <c r="BQ522" s="181">
        <f ca="1">IF($D522&lt;&gt;"Serviço",0,IF(AND(AUTOEVENTO="Manual",$M522=1),0,IF(OFFSET(CRONOPLE!$F$14,$M522,BQ$13)="",10^12,OFFSET(CRONOPLE!$F$14,$M522,BQ$13))))</f>
        <v>1000000000000</v>
      </c>
      <c r="BR522" s="181">
        <f ca="1">IF($D522&lt;&gt;"Serviço",0,IF(AND(AUTOEVENTO="Manual",$M522=1),0,IF(OFFSET(CRONOPLE!$F$14,$M522,BR$13)="",10^12,OFFSET(CRONOPLE!$F$14,$M522,BR$13))))</f>
        <v>1000000000000</v>
      </c>
      <c r="BS522" s="181">
        <f ca="1">IF($D522&lt;&gt;"Serviço",0,IF(AND(AUTOEVENTO="Manual",$M522=1),0,IF(OFFSET(CRONOPLE!$F$14,$M522,BS$13)="",10^12,OFFSET(CRONOPLE!$F$14,$M522,BS$13))))</f>
        <v>1000000000000</v>
      </c>
      <c r="BT522" s="181">
        <f ca="1">IF($D522&lt;&gt;"Serviço",0,IF(AND(AUTOEVENTO="Manual",$M522=1),0,IF(OFFSET(CRONOPLE!$F$14,$M522,BT$13)="",10^12,OFFSET(CRONOPLE!$F$14,$M522,BT$13))))</f>
        <v>1000000000000</v>
      </c>
      <c r="BV522" s="182">
        <f ca="1">IF($D522&lt;&gt;"Serviço",0,IF(OR(AND(AUTOEVENTO="Manual",$M522=1),$M522&gt;(ROW(PLE.lastrow)-ROW(PLE.firstrow))),0,IF(OFFSET(PLE!$G$14,$M522,BV$13)="",10^12,OFFSET(PLE!$G$14,$M522,BV$13))))</f>
        <v>1000000000000</v>
      </c>
      <c r="BW522" s="182">
        <f ca="1">IF($D522&lt;&gt;"Serviço",0,IF(OR(AND(AUTOEVENTO="Manual",$M522=1),$M522&gt;(ROW(PLE.lastrow)-ROW(PLE.firstrow))),0,IF(OFFSET(PLE!$G$14,$M522,BW$13)="",10^12,OFFSET(PLE!$G$14,$M522,BW$13))))</f>
        <v>1000000000000</v>
      </c>
      <c r="BX522" s="182">
        <f ca="1">IF($D522&lt;&gt;"Serviço",0,IF(OR(AND(AUTOEVENTO="Manual",$M522=1),$M522&gt;(ROW(PLE.lastrow)-ROW(PLE.firstrow))),0,IF(OFFSET(PLE!$G$14,$M522,BX$13)="",10^12,OFFSET(PLE!$G$14,$M522,BX$13))))</f>
        <v>1000000000000</v>
      </c>
      <c r="BY522" s="182">
        <f ca="1">IF($D522&lt;&gt;"Serviço",0,IF(OR(AND(AUTOEVENTO="Manual",$M522=1),$M522&gt;(ROW(PLE.lastrow)-ROW(PLE.firstrow))),0,IF(OFFSET(PLE!$G$14,$M522,BY$13)="",10^12,OFFSET(PLE!$G$14,$M522,BY$13))))</f>
        <v>1000000000000</v>
      </c>
      <c r="BZ522" s="182">
        <f ca="1">IF($D522&lt;&gt;"Serviço",0,IF(OR(AND(AUTOEVENTO="Manual",$M522=1),$M522&gt;(ROW(PLE.lastrow)-ROW(PLE.firstrow))),0,IF(OFFSET(PLE!$G$14,$M522,BZ$13)="",10^12,OFFSET(PLE!$G$14,$M522,BZ$13))))</f>
        <v>1000000000000</v>
      </c>
      <c r="CA522" s="182">
        <f ca="1">IF($D522&lt;&gt;"Serviço",0,IF(OR(AND(AUTOEVENTO="Manual",$M522=1),$M522&gt;(ROW(PLE.lastrow)-ROW(PLE.firstrow))),0,IF(OFFSET(PLE!$G$14,$M522,CA$13)="",10^12,OFFSET(PLE!$G$14,$M522,CA$13))))</f>
        <v>1000000000000</v>
      </c>
      <c r="CB522" s="182">
        <f ca="1">IF($D522&lt;&gt;"Serviço",0,IF(OR(AND(AUTOEVENTO="Manual",$M522=1),$M522&gt;(ROW(PLE.lastrow)-ROW(PLE.firstrow))),0,IF(OFFSET(PLE!$G$14,$M522,CB$13)="",10^12,OFFSET(PLE!$G$14,$M522,CB$13))))</f>
        <v>1000000000000</v>
      </c>
      <c r="CC522" s="182">
        <f ca="1">IF($D522&lt;&gt;"Serviço",0,IF(OR(AND(AUTOEVENTO="Manual",$M522=1),$M522&gt;(ROW(PLE.lastrow)-ROW(PLE.firstrow))),0,IF(OFFSET(PLE!$G$14,$M522,CC$13)="",10^12,OFFSET(PLE!$G$14,$M522,CC$13))))</f>
        <v>1000000000000</v>
      </c>
      <c r="CD522" s="182">
        <f ca="1">IF($D522&lt;&gt;"Serviço",0,IF(OR(AND(AUTOEVENTO="Manual",$M522=1),$M522&gt;(ROW(PLE.lastrow)-ROW(PLE.firstrow))),0,IF(OFFSET(PLE!$G$14,$M522,CD$13)="",10^12,OFFSET(PLE!$G$14,$M522,CD$13))))</f>
        <v>1000000000000</v>
      </c>
      <c r="CE522" s="182">
        <f ca="1">IF($D522&lt;&gt;"Serviço",0,IF(OR(AND(AUTOEVENTO="Manual",$M522=1),$M522&gt;(ROW(PLE.lastrow)-ROW(PLE.firstrow))),0,IF(OFFSET(PLE!$G$14,$M522,CE$13)="",10^12,OFFSET(PLE!$G$14,$M522,CE$13))))</f>
        <v>1000000000000</v>
      </c>
      <c r="CF522" s="182">
        <f ca="1">IF($D522&lt;&gt;"Serviço",0,IF(OR(AND(AUTOEVENTO="Manual",$M522=1),$M522&gt;(ROW(PLE.lastrow)-ROW(PLE.firstrow))),0,IF(OFFSET(PLE!$G$14,$M522,CF$13)="",10^12,OFFSET(PLE!$G$14,$M522,CF$13))))</f>
        <v>1000000000000</v>
      </c>
      <c r="CG522" s="182">
        <f ca="1">IF($D522&lt;&gt;"Serviço",0,IF(OR(AND(AUTOEVENTO="Manual",$M522=1),$M522&gt;(ROW(PLE.lastrow)-ROW(PLE.firstrow))),0,IF(OFFSET(PLE!$G$14,$M522,CG$13)="",10^12,OFFSET(PLE!$G$14,$M522,CG$13))))</f>
        <v>1000000000000</v>
      </c>
      <c r="CH522" s="182">
        <f ca="1">IF($D522&lt;&gt;"Serviço",0,IF(OR(AND(AUTOEVENTO="Manual",$M522=1),$M522&gt;(ROW(PLE.lastrow)-ROW(PLE.firstrow))),0,IF(OFFSET(PLE!$G$14,$M522,CH$13)="",10^12,OFFSET(PLE!$G$14,$M522,CH$13))))</f>
        <v>1000000000000</v>
      </c>
      <c r="CI522" s="182">
        <f ca="1">IF($D522&lt;&gt;"Serviço",0,IF(OR(AND(AUTOEVENTO="Manual",$M522=1),$M522&gt;(ROW(PLE.lastrow)-ROW(PLE.firstrow))),0,IF(OFFSET(PLE!$G$14,$M522,CI$13)="",10^12,OFFSET(PLE!$G$14,$M522,CI$13))))</f>
        <v>1000000000000</v>
      </c>
      <c r="CJ522" s="182">
        <f ca="1">IF($D522&lt;&gt;"Serviço",0,IF(OR(AND(AUTOEVENTO="Manual",$M522=1),$M522&gt;(ROW(PLE.lastrow)-ROW(PLE.firstrow))),0,IF(OFFSET(PLE!$G$14,$M522,CJ$13)="",10^12,OFFSET(PLE!$G$14,$M522,CJ$13))))</f>
        <v>1000000000000</v>
      </c>
      <c r="CK522" s="182">
        <f ca="1">IF($D522&lt;&gt;"Serviço",0,IF(OR(AND(AUTOEVENTO="Manual",$M522=1),$M522&gt;(ROW(PLE.lastrow)-ROW(PLE.firstrow))),0,IF(OFFSET(PLE!$G$14,$M522,CK$13)="",10^12,OFFSET(PLE!$G$14,$M522,CK$13))))</f>
        <v>1000000000000</v>
      </c>
      <c r="CL522" s="182">
        <f ca="1">IF($D522&lt;&gt;"Serviço",0,IF(OR(AND(AUTOEVENTO="Manual",$M522=1),$M522&gt;(ROW(PLE.lastrow)-ROW(PLE.firstrow))),0,IF(OFFSET(PLE!$G$14,$M522,CL$13)="",10^12,OFFSET(PLE!$G$14,$M522,CL$13))))</f>
        <v>1000000000000</v>
      </c>
      <c r="CM522" s="182">
        <f ca="1">IF($D522&lt;&gt;"Serviço",0,IF(OR(AND(AUTOEVENTO="Manual",$M522=1),$M522&gt;(ROW(PLE.lastrow)-ROW(PLE.firstrow))),0,IF(OFFSET(PLE!$G$14,$M522,CM$13)="",10^12,OFFSET(PLE!$G$14,$M522,CM$13))))</f>
        <v>1000000000000</v>
      </c>
    </row>
    <row r="523" spans="1:91" ht="38.25" x14ac:dyDescent="0.2">
      <c r="A523" s="7" t="str">
        <f t="shared" ca="1" si="16"/>
        <v>493</v>
      </c>
      <c r="B523" s="7" t="str">
        <f ca="1">OFFSET(ORÇAMENTO!C$15,ROW(B523)-ROW(B$15),0)</f>
        <v>S</v>
      </c>
      <c r="C523" s="7" t="str">
        <f ca="1">OFFSET(ORÇAMENTO!L$15,ROW(C523)-ROW(C$15),0)</f>
        <v/>
      </c>
      <c r="D523" s="118" t="str">
        <f ca="1">OFFSET(ORÇAMENTO!N$15,ROW(D523)-ROW(D$15),0)</f>
        <v>Serviço</v>
      </c>
      <c r="E523" s="119" t="str">
        <f ca="1">OFFSET(ORÇAMENTO!O$15,ROW(E523)-ROW(E$15),0)</f>
        <v>-</v>
      </c>
      <c r="F523" s="172" t="str">
        <f ca="1">OFFSET(ORÇAMENTO!R$15,ROW(F523)-ROW(F$15),0)</f>
        <v>(abra o arquivo 'Referência 06-2024.xlsm)</v>
      </c>
      <c r="G523" s="173" t="str">
        <f ca="1">IF($D523&lt;&gt;"Serviço","",OFFSET(ORÇAMENTO!S$15,ROW(G523)-ROW(G$15),0))</f>
        <v>-</v>
      </c>
      <c r="H523" s="124">
        <f ca="1">IF($D523&lt;&gt;"Serviço",0,IF(ACOMPANHAMENTO="BM",ROUND(OFFSET(ORÇAMENTO!AJ$15,ROW(H523)-ROW(H$15),0),15-13*ORÇAMENTO!$AF$7),SUMPRODUCT(($Q$12:$AI$12&lt;&gt;"")*ROUND($Q523:$AI523,15-13*ORÇAMENTO!$AF$7))))</f>
        <v>670.9</v>
      </c>
      <c r="I523" s="561" t="s">
        <v>1107</v>
      </c>
      <c r="K523" s="174"/>
      <c r="L523" s="175" t="s">
        <v>255</v>
      </c>
      <c r="M523" s="176">
        <f ca="1">IF($D523&lt;&gt;"Serviço","",IF(AUTOEVENTO="manual",$A523,IF(ISERROR(MATCH($A523,$A$15:OFFSET($A523,-1,0),0)),MAX($M$15:OFFSET(M523,-1,0))+1,INDEX($M$15:OFFSET(M523,-1,0),MATCH($A523,$A$15:OFFSET($A523,-1,0),0)))))</f>
        <v>54</v>
      </c>
      <c r="N523" s="177" t="str">
        <f ca="1">IF($D523&lt;&gt;"Serviço","",IF(AUTOEVENTO="Manual",IF($A523=0,"&lt;-- defina o número do agrupador",OFFSET(EVENTOS!$D$14,$A523,0)),OFFSET($F$15,$A523,0)))</f>
        <v>INSTALAÇÃO ELÉTRICA 110V - CABOS</v>
      </c>
      <c r="O523" s="178"/>
      <c r="Q523" s="178">
        <v>670.9</v>
      </c>
      <c r="R523" s="179"/>
      <c r="S523" s="179"/>
      <c r="T523" s="179"/>
      <c r="U523" s="179"/>
      <c r="V523" s="179"/>
      <c r="W523" s="179"/>
      <c r="X523" s="179"/>
      <c r="Y523" s="179"/>
      <c r="Z523" s="180"/>
      <c r="AA523" s="179"/>
      <c r="AB523" s="179"/>
      <c r="AC523" s="179"/>
      <c r="AD523" s="179"/>
      <c r="AE523" s="179"/>
      <c r="AF523" s="179"/>
      <c r="AG523" s="179"/>
      <c r="AH523" s="180"/>
      <c r="AJ523" s="544">
        <f ca="1">IF(AND($D523="Serviço",AJ$12&lt;&gt;0,$H523&gt;0,OR(AUTOEVENTO&lt;&gt;"manual",$M523&lt;&gt;1)),
IF(Import.TipoArredondamento&lt;&gt;"TransfereGOV",
ROUND(OFFSET($P523,0,AJ$13),15-13*ORÇAMENTO!$AF$7)/$H523*OFFSET(ORÇAMENTO!$X$15,ROW(AJ523)-ROW(AJ$15),0),
ROUND(ROUND(OFFSET($P523,0,AJ$13),15-13*ORÇAMENTO!$AF$7)*OFFSET(ORÇAMENTO!$W$15,ROW(AJ523)-ROW(AJ$15),0),15-13*ORÇAMENTO!$AF$11)),0)</f>
        <v>0</v>
      </c>
      <c r="AK523" s="545">
        <f ca="1">IF(AND($D523="Serviço",AK$12&lt;&gt;0,$H523&gt;0,OR(AUTOEVENTO&lt;&gt;"manual",$M523&lt;&gt;1)),
IF(Import.TipoArredondamento&lt;&gt;"TransfereGOV",
ROUND(OFFSET($P523,0,AK$13),15-13*ORÇAMENTO!$AF$7)/$H523*OFFSET(ORÇAMENTO!$X$15,ROW(AK523)-ROW(AK$15),0),
ROUND(ROUND(OFFSET($P523,0,AK$13),15-13*ORÇAMENTO!$AF$7)*OFFSET(ORÇAMENTO!$W$15,ROW(AK523)-ROW(AK$15),0),15-13*ORÇAMENTO!$AF$11)),0)</f>
        <v>0</v>
      </c>
      <c r="AL523" s="545">
        <f ca="1">IF(AND($D523="Serviço",AL$12&lt;&gt;0,$H523&gt;0,OR(AUTOEVENTO&lt;&gt;"manual",$M523&lt;&gt;1)),
IF(Import.TipoArredondamento&lt;&gt;"TransfereGOV",
ROUND(OFFSET($P523,0,AL$13),15-13*ORÇAMENTO!$AF$7)/$H523*OFFSET(ORÇAMENTO!$X$15,ROW(AL523)-ROW(AL$15),0),
ROUND(ROUND(OFFSET($P523,0,AL$13),15-13*ORÇAMENTO!$AF$7)*OFFSET(ORÇAMENTO!$W$15,ROW(AL523)-ROW(AL$15),0),15-13*ORÇAMENTO!$AF$11)),0)</f>
        <v>0</v>
      </c>
      <c r="AM523" s="545">
        <f ca="1">IF(AND($D523="Serviço",AM$12&lt;&gt;0,$H523&gt;0,OR(AUTOEVENTO&lt;&gt;"manual",$M523&lt;&gt;1)),
IF(Import.TipoArredondamento&lt;&gt;"TransfereGOV",
ROUND(OFFSET($P523,0,AM$13),15-13*ORÇAMENTO!$AF$7)/$H523*OFFSET(ORÇAMENTO!$X$15,ROW(AM523)-ROW(AM$15),0),
ROUND(ROUND(OFFSET($P523,0,AM$13),15-13*ORÇAMENTO!$AF$7)*OFFSET(ORÇAMENTO!$W$15,ROW(AM523)-ROW(AM$15),0),15-13*ORÇAMENTO!$AF$11)),0)</f>
        <v>0</v>
      </c>
      <c r="AN523" s="545">
        <f ca="1">IF(AND($D523="Serviço",AN$12&lt;&gt;0,$H523&gt;0,OR(AUTOEVENTO&lt;&gt;"manual",$M523&lt;&gt;1)),
IF(Import.TipoArredondamento&lt;&gt;"TransfereGOV",
ROUND(OFFSET($P523,0,AN$13),15-13*ORÇAMENTO!$AF$7)/$H523*OFFSET(ORÇAMENTO!$X$15,ROW(AN523)-ROW(AN$15),0),
ROUND(ROUND(OFFSET($P523,0,AN$13),15-13*ORÇAMENTO!$AF$7)*OFFSET(ORÇAMENTO!$W$15,ROW(AN523)-ROW(AN$15),0),15-13*ORÇAMENTO!$AF$11)),0)</f>
        <v>0</v>
      </c>
      <c r="AO523" s="545">
        <f ca="1">IF(AND($D523="Serviço",AO$12&lt;&gt;0,$H523&gt;0,OR(AUTOEVENTO&lt;&gt;"manual",$M523&lt;&gt;1)),
IF(Import.TipoArredondamento&lt;&gt;"TransfereGOV",
ROUND(OFFSET($P523,0,AO$13),15-13*ORÇAMENTO!$AF$7)/$H523*OFFSET(ORÇAMENTO!$X$15,ROW(AO523)-ROW(AO$15),0),
ROUND(ROUND(OFFSET($P523,0,AO$13),15-13*ORÇAMENTO!$AF$7)*OFFSET(ORÇAMENTO!$W$15,ROW(AO523)-ROW(AO$15),0),15-13*ORÇAMENTO!$AF$11)),0)</f>
        <v>0</v>
      </c>
      <c r="AP523" s="545">
        <f ca="1">IF(AND($D523="Serviço",AP$12&lt;&gt;0,$H523&gt;0,OR(AUTOEVENTO&lt;&gt;"manual",$M523&lt;&gt;1)),
IF(Import.TipoArredondamento&lt;&gt;"TransfereGOV",
ROUND(OFFSET($P523,0,AP$13),15-13*ORÇAMENTO!$AF$7)/$H523*OFFSET(ORÇAMENTO!$X$15,ROW(AP523)-ROW(AP$15),0),
ROUND(ROUND(OFFSET($P523,0,AP$13),15-13*ORÇAMENTO!$AF$7)*OFFSET(ORÇAMENTO!$W$15,ROW(AP523)-ROW(AP$15),0),15-13*ORÇAMENTO!$AF$11)),0)</f>
        <v>0</v>
      </c>
      <c r="AQ523" s="545">
        <f ca="1">IF(AND($D523="Serviço",AQ$12&lt;&gt;0,$H523&gt;0,OR(AUTOEVENTO&lt;&gt;"manual",$M523&lt;&gt;1)),
IF(Import.TipoArredondamento&lt;&gt;"TransfereGOV",
ROUND(OFFSET($P523,0,AQ$13),15-13*ORÇAMENTO!$AF$7)/$H523*OFFSET(ORÇAMENTO!$X$15,ROW(AQ523)-ROW(AQ$15),0),
ROUND(ROUND(OFFSET($P523,0,AQ$13),15-13*ORÇAMENTO!$AF$7)*OFFSET(ORÇAMENTO!$W$15,ROW(AQ523)-ROW(AQ$15),0),15-13*ORÇAMENTO!$AF$11)),0)</f>
        <v>0</v>
      </c>
      <c r="AR523" s="545">
        <f ca="1">IF(AND($D523="Serviço",AR$12&lt;&gt;0,$H523&gt;0,OR(AUTOEVENTO&lt;&gt;"manual",$M523&lt;&gt;1)),
IF(Import.TipoArredondamento&lt;&gt;"TransfereGOV",
ROUND(OFFSET($P523,0,AR$13),15-13*ORÇAMENTO!$AF$7)/$H523*OFFSET(ORÇAMENTO!$X$15,ROW(AR523)-ROW(AR$15),0),
ROUND(ROUND(OFFSET($P523,0,AR$13),15-13*ORÇAMENTO!$AF$7)*OFFSET(ORÇAMENTO!$W$15,ROW(AR523)-ROW(AR$15),0),15-13*ORÇAMENTO!$AF$11)),0)</f>
        <v>0</v>
      </c>
      <c r="AS523" s="546">
        <f ca="1">IF(AND($D523="Serviço",AS$12&lt;&gt;0,$H523&gt;0,OR(AUTOEVENTO&lt;&gt;"manual",$M523&lt;&gt;1)),
IF(Import.TipoArredondamento&lt;&gt;"TransfereGOV",
ROUND(OFFSET($P523,0,AS$13),15-13*ORÇAMENTO!$AF$7)/$H523*OFFSET(ORÇAMENTO!$X$15,ROW(AS523)-ROW(AS$15),0),
ROUND(ROUND(OFFSET($P523,0,AS$13),15-13*ORÇAMENTO!$AF$7)*OFFSET(ORÇAMENTO!$W$15,ROW(AS523)-ROW(AS$15),0),15-13*ORÇAMENTO!$AF$11)),0)</f>
        <v>0</v>
      </c>
      <c r="AT523" s="545">
        <f ca="1">IF(AND($D523="Serviço",AT$12&lt;&gt;0,$H523&gt;0,OR(AUTOEVENTO&lt;&gt;"manual",$M523&lt;&gt;1)),
IF(Import.TipoArredondamento&lt;&gt;"TransfereGOV",
ROUND(OFFSET($P523,0,AT$13),15-13*ORÇAMENTO!$AF$7)/$H523*OFFSET(ORÇAMENTO!$X$15,ROW(AT523)-ROW(AT$15),0),
ROUND(ROUND(OFFSET($P523,0,AT$13),15-13*ORÇAMENTO!$AF$7)*OFFSET(ORÇAMENTO!$W$15,ROW(AT523)-ROW(AT$15),0),15-13*ORÇAMENTO!$AF$11)),0)</f>
        <v>0</v>
      </c>
      <c r="AU523" s="545">
        <f ca="1">IF(AND($D523="Serviço",AU$12&lt;&gt;0,$H523&gt;0,OR(AUTOEVENTO&lt;&gt;"manual",$M523&lt;&gt;1)),
IF(Import.TipoArredondamento&lt;&gt;"TransfereGOV",
ROUND(OFFSET($P523,0,AU$13),15-13*ORÇAMENTO!$AF$7)/$H523*OFFSET(ORÇAMENTO!$X$15,ROW(AU523)-ROW(AU$15),0),
ROUND(ROUND(OFFSET($P523,0,AU$13),15-13*ORÇAMENTO!$AF$7)*OFFSET(ORÇAMENTO!$W$15,ROW(AU523)-ROW(AU$15),0),15-13*ORÇAMENTO!$AF$11)),0)</f>
        <v>0</v>
      </c>
      <c r="AV523" s="545">
        <f ca="1">IF(AND($D523="Serviço",AV$12&lt;&gt;0,$H523&gt;0,OR(AUTOEVENTO&lt;&gt;"manual",$M523&lt;&gt;1)),
IF(Import.TipoArredondamento&lt;&gt;"TransfereGOV",
ROUND(OFFSET($P523,0,AV$13),15-13*ORÇAMENTO!$AF$7)/$H523*OFFSET(ORÇAMENTO!$X$15,ROW(AV523)-ROW(AV$15),0),
ROUND(ROUND(OFFSET($P523,0,AV$13),15-13*ORÇAMENTO!$AF$7)*OFFSET(ORÇAMENTO!$W$15,ROW(AV523)-ROW(AV$15),0),15-13*ORÇAMENTO!$AF$11)),0)</f>
        <v>0</v>
      </c>
      <c r="AW523" s="545">
        <f ca="1">IF(AND($D523="Serviço",AW$12&lt;&gt;0,$H523&gt;0,OR(AUTOEVENTO&lt;&gt;"manual",$M523&lt;&gt;1)),
IF(Import.TipoArredondamento&lt;&gt;"TransfereGOV",
ROUND(OFFSET($P523,0,AW$13),15-13*ORÇAMENTO!$AF$7)/$H523*OFFSET(ORÇAMENTO!$X$15,ROW(AW523)-ROW(AW$15),0),
ROUND(ROUND(OFFSET($P523,0,AW$13),15-13*ORÇAMENTO!$AF$7)*OFFSET(ORÇAMENTO!$W$15,ROW(AW523)-ROW(AW$15),0),15-13*ORÇAMENTO!$AF$11)),0)</f>
        <v>0</v>
      </c>
      <c r="AX523" s="545">
        <f ca="1">IF(AND($D523="Serviço",AX$12&lt;&gt;0,$H523&gt;0,OR(AUTOEVENTO&lt;&gt;"manual",$M523&lt;&gt;1)),
IF(Import.TipoArredondamento&lt;&gt;"TransfereGOV",
ROUND(OFFSET($P523,0,AX$13),15-13*ORÇAMENTO!$AF$7)/$H523*OFFSET(ORÇAMENTO!$X$15,ROW(AX523)-ROW(AX$15),0),
ROUND(ROUND(OFFSET($P523,0,AX$13),15-13*ORÇAMENTO!$AF$7)*OFFSET(ORÇAMENTO!$W$15,ROW(AX523)-ROW(AX$15),0),15-13*ORÇAMENTO!$AF$11)),0)</f>
        <v>0</v>
      </c>
      <c r="AY523" s="545">
        <f ca="1">IF(AND($D523="Serviço",AY$12&lt;&gt;0,$H523&gt;0,OR(AUTOEVENTO&lt;&gt;"manual",$M523&lt;&gt;1)),
IF(Import.TipoArredondamento&lt;&gt;"TransfereGOV",
ROUND(OFFSET($P523,0,AY$13),15-13*ORÇAMENTO!$AF$7)/$H523*OFFSET(ORÇAMENTO!$X$15,ROW(AY523)-ROW(AY$15),0),
ROUND(ROUND(OFFSET($P523,0,AY$13),15-13*ORÇAMENTO!$AF$7)*OFFSET(ORÇAMENTO!$W$15,ROW(AY523)-ROW(AY$15),0),15-13*ORÇAMENTO!$AF$11)),0)</f>
        <v>0</v>
      </c>
      <c r="AZ523" s="545">
        <f ca="1">IF(AND($D523="Serviço",AZ$12&lt;&gt;0,$H523&gt;0,OR(AUTOEVENTO&lt;&gt;"manual",$M523&lt;&gt;1)),
IF(Import.TipoArredondamento&lt;&gt;"TransfereGOV",
ROUND(OFFSET($P523,0,AZ$13),15-13*ORÇAMENTO!$AF$7)/$H523*OFFSET(ORÇAMENTO!$X$15,ROW(AZ523)-ROW(AZ$15),0),
ROUND(ROUND(OFFSET($P523,0,AZ$13),15-13*ORÇAMENTO!$AF$7)*OFFSET(ORÇAMENTO!$W$15,ROW(AZ523)-ROW(AZ$15),0),15-13*ORÇAMENTO!$AF$11)),0)</f>
        <v>0</v>
      </c>
      <c r="BA523" s="546">
        <f ca="1">IF(AND($D523="Serviço",BA$12&lt;&gt;0,$H523&gt;0,OR(AUTOEVENTO&lt;&gt;"manual",$M523&lt;&gt;1)),
IF(Import.TipoArredondamento&lt;&gt;"TransfereGOV",
ROUND(OFFSET($P523,0,BA$13),15-13*ORÇAMENTO!$AF$7)/$H523*OFFSET(ORÇAMENTO!$X$15,ROW(BA523)-ROW(BA$15),0),
ROUND(ROUND(OFFSET($P523,0,BA$13),15-13*ORÇAMENTO!$AF$7)*OFFSET(ORÇAMENTO!$W$15,ROW(BA523)-ROW(BA$15),0),15-13*ORÇAMENTO!$AF$11)),0)</f>
        <v>0</v>
      </c>
      <c r="BC523" s="181">
        <f ca="1">IF($D523&lt;&gt;"Serviço",0,IF(AND(AUTOEVENTO="Manual",$M523=1),0,IF(OFFSET(CRONOPLE!$F$14,$M523,BC$13)="",10^12,OFFSET(CRONOPLE!$F$14,$M523,BC$13))))</f>
        <v>10</v>
      </c>
      <c r="BD523" s="181">
        <f ca="1">IF($D523&lt;&gt;"Serviço",0,IF(AND(AUTOEVENTO="Manual",$M523=1),0,IF(OFFSET(CRONOPLE!$F$14,$M523,BD$13)="",10^12,OFFSET(CRONOPLE!$F$14,$M523,BD$13))))</f>
        <v>1000000000000</v>
      </c>
      <c r="BE523" s="181">
        <f ca="1">IF($D523&lt;&gt;"Serviço",0,IF(AND(AUTOEVENTO="Manual",$M523=1),0,IF(OFFSET(CRONOPLE!$F$14,$M523,BE$13)="",10^12,OFFSET(CRONOPLE!$F$14,$M523,BE$13))))</f>
        <v>1000000000000</v>
      </c>
      <c r="BF523" s="181">
        <f ca="1">IF($D523&lt;&gt;"Serviço",0,IF(AND(AUTOEVENTO="Manual",$M523=1),0,IF(OFFSET(CRONOPLE!$F$14,$M523,BF$13)="",10^12,OFFSET(CRONOPLE!$F$14,$M523,BF$13))))</f>
        <v>1000000000000</v>
      </c>
      <c r="BG523" s="181">
        <f ca="1">IF($D523&lt;&gt;"Serviço",0,IF(AND(AUTOEVENTO="Manual",$M523=1),0,IF(OFFSET(CRONOPLE!$F$14,$M523,BG$13)="",10^12,OFFSET(CRONOPLE!$F$14,$M523,BG$13))))</f>
        <v>1000000000000</v>
      </c>
      <c r="BH523" s="181">
        <f ca="1">IF($D523&lt;&gt;"Serviço",0,IF(AND(AUTOEVENTO="Manual",$M523=1),0,IF(OFFSET(CRONOPLE!$F$14,$M523,BH$13)="",10^12,OFFSET(CRONOPLE!$F$14,$M523,BH$13))))</f>
        <v>1000000000000</v>
      </c>
      <c r="BI523" s="181">
        <f ca="1">IF($D523&lt;&gt;"Serviço",0,IF(AND(AUTOEVENTO="Manual",$M523=1),0,IF(OFFSET(CRONOPLE!$F$14,$M523,BI$13)="",10^12,OFFSET(CRONOPLE!$F$14,$M523,BI$13))))</f>
        <v>1000000000000</v>
      </c>
      <c r="BJ523" s="181">
        <f ca="1">IF($D523&lt;&gt;"Serviço",0,IF(AND(AUTOEVENTO="Manual",$M523=1),0,IF(OFFSET(CRONOPLE!$F$14,$M523,BJ$13)="",10^12,OFFSET(CRONOPLE!$F$14,$M523,BJ$13))))</f>
        <v>1000000000000</v>
      </c>
      <c r="BK523" s="181">
        <f ca="1">IF($D523&lt;&gt;"Serviço",0,IF(AND(AUTOEVENTO="Manual",$M523=1),0,IF(OFFSET(CRONOPLE!$F$14,$M523,BK$13)="",10^12,OFFSET(CRONOPLE!$F$14,$M523,BK$13))))</f>
        <v>1000000000000</v>
      </c>
      <c r="BL523" s="181">
        <f ca="1">IF($D523&lt;&gt;"Serviço",0,IF(AND(AUTOEVENTO="Manual",$M523=1),0,IF(OFFSET(CRONOPLE!$F$14,$M523,BL$13)="",10^12,OFFSET(CRONOPLE!$F$14,$M523,BL$13))))</f>
        <v>1000000000000</v>
      </c>
      <c r="BM523" s="181">
        <f ca="1">IF($D523&lt;&gt;"Serviço",0,IF(AND(AUTOEVENTO="Manual",$M523=1),0,IF(OFFSET(CRONOPLE!$F$14,$M523,BM$13)="",10^12,OFFSET(CRONOPLE!$F$14,$M523,BM$13))))</f>
        <v>1000000000000</v>
      </c>
      <c r="BN523" s="181">
        <f ca="1">IF($D523&lt;&gt;"Serviço",0,IF(AND(AUTOEVENTO="Manual",$M523=1),0,IF(OFFSET(CRONOPLE!$F$14,$M523,BN$13)="",10^12,OFFSET(CRONOPLE!$F$14,$M523,BN$13))))</f>
        <v>1000000000000</v>
      </c>
      <c r="BO523" s="181">
        <f ca="1">IF($D523&lt;&gt;"Serviço",0,IF(AND(AUTOEVENTO="Manual",$M523=1),0,IF(OFFSET(CRONOPLE!$F$14,$M523,BO$13)="",10^12,OFFSET(CRONOPLE!$F$14,$M523,BO$13))))</f>
        <v>1000000000000</v>
      </c>
      <c r="BP523" s="181">
        <f ca="1">IF($D523&lt;&gt;"Serviço",0,IF(AND(AUTOEVENTO="Manual",$M523=1),0,IF(OFFSET(CRONOPLE!$F$14,$M523,BP$13)="",10^12,OFFSET(CRONOPLE!$F$14,$M523,BP$13))))</f>
        <v>1000000000000</v>
      </c>
      <c r="BQ523" s="181">
        <f ca="1">IF($D523&lt;&gt;"Serviço",0,IF(AND(AUTOEVENTO="Manual",$M523=1),0,IF(OFFSET(CRONOPLE!$F$14,$M523,BQ$13)="",10^12,OFFSET(CRONOPLE!$F$14,$M523,BQ$13))))</f>
        <v>1000000000000</v>
      </c>
      <c r="BR523" s="181">
        <f ca="1">IF($D523&lt;&gt;"Serviço",0,IF(AND(AUTOEVENTO="Manual",$M523=1),0,IF(OFFSET(CRONOPLE!$F$14,$M523,BR$13)="",10^12,OFFSET(CRONOPLE!$F$14,$M523,BR$13))))</f>
        <v>1000000000000</v>
      </c>
      <c r="BS523" s="181">
        <f ca="1">IF($D523&lt;&gt;"Serviço",0,IF(AND(AUTOEVENTO="Manual",$M523=1),0,IF(OFFSET(CRONOPLE!$F$14,$M523,BS$13)="",10^12,OFFSET(CRONOPLE!$F$14,$M523,BS$13))))</f>
        <v>1000000000000</v>
      </c>
      <c r="BT523" s="181">
        <f ca="1">IF($D523&lt;&gt;"Serviço",0,IF(AND(AUTOEVENTO="Manual",$M523=1),0,IF(OFFSET(CRONOPLE!$F$14,$M523,BT$13)="",10^12,OFFSET(CRONOPLE!$F$14,$M523,BT$13))))</f>
        <v>1000000000000</v>
      </c>
      <c r="BV523" s="182">
        <f ca="1">IF($D523&lt;&gt;"Serviço",0,IF(OR(AND(AUTOEVENTO="Manual",$M523=1),$M523&gt;(ROW(PLE.lastrow)-ROW(PLE.firstrow))),0,IF(OFFSET(PLE!$G$14,$M523,BV$13)="",10^12,OFFSET(PLE!$G$14,$M523,BV$13))))</f>
        <v>1000000000000</v>
      </c>
      <c r="BW523" s="182">
        <f ca="1">IF($D523&lt;&gt;"Serviço",0,IF(OR(AND(AUTOEVENTO="Manual",$M523=1),$M523&gt;(ROW(PLE.lastrow)-ROW(PLE.firstrow))),0,IF(OFFSET(PLE!$G$14,$M523,BW$13)="",10^12,OFFSET(PLE!$G$14,$M523,BW$13))))</f>
        <v>1000000000000</v>
      </c>
      <c r="BX523" s="182">
        <f ca="1">IF($D523&lt;&gt;"Serviço",0,IF(OR(AND(AUTOEVENTO="Manual",$M523=1),$M523&gt;(ROW(PLE.lastrow)-ROW(PLE.firstrow))),0,IF(OFFSET(PLE!$G$14,$M523,BX$13)="",10^12,OFFSET(PLE!$G$14,$M523,BX$13))))</f>
        <v>1000000000000</v>
      </c>
      <c r="BY523" s="182">
        <f ca="1">IF($D523&lt;&gt;"Serviço",0,IF(OR(AND(AUTOEVENTO="Manual",$M523=1),$M523&gt;(ROW(PLE.lastrow)-ROW(PLE.firstrow))),0,IF(OFFSET(PLE!$G$14,$M523,BY$13)="",10^12,OFFSET(PLE!$G$14,$M523,BY$13))))</f>
        <v>1000000000000</v>
      </c>
      <c r="BZ523" s="182">
        <f ca="1">IF($D523&lt;&gt;"Serviço",0,IF(OR(AND(AUTOEVENTO="Manual",$M523=1),$M523&gt;(ROW(PLE.lastrow)-ROW(PLE.firstrow))),0,IF(OFFSET(PLE!$G$14,$M523,BZ$13)="",10^12,OFFSET(PLE!$G$14,$M523,BZ$13))))</f>
        <v>1000000000000</v>
      </c>
      <c r="CA523" s="182">
        <f ca="1">IF($D523&lt;&gt;"Serviço",0,IF(OR(AND(AUTOEVENTO="Manual",$M523=1),$M523&gt;(ROW(PLE.lastrow)-ROW(PLE.firstrow))),0,IF(OFFSET(PLE!$G$14,$M523,CA$13)="",10^12,OFFSET(PLE!$G$14,$M523,CA$13))))</f>
        <v>1000000000000</v>
      </c>
      <c r="CB523" s="182">
        <f ca="1">IF($D523&lt;&gt;"Serviço",0,IF(OR(AND(AUTOEVENTO="Manual",$M523=1),$M523&gt;(ROW(PLE.lastrow)-ROW(PLE.firstrow))),0,IF(OFFSET(PLE!$G$14,$M523,CB$13)="",10^12,OFFSET(PLE!$G$14,$M523,CB$13))))</f>
        <v>1000000000000</v>
      </c>
      <c r="CC523" s="182">
        <f ca="1">IF($D523&lt;&gt;"Serviço",0,IF(OR(AND(AUTOEVENTO="Manual",$M523=1),$M523&gt;(ROW(PLE.lastrow)-ROW(PLE.firstrow))),0,IF(OFFSET(PLE!$G$14,$M523,CC$13)="",10^12,OFFSET(PLE!$G$14,$M523,CC$13))))</f>
        <v>1000000000000</v>
      </c>
      <c r="CD523" s="182">
        <f ca="1">IF($D523&lt;&gt;"Serviço",0,IF(OR(AND(AUTOEVENTO="Manual",$M523=1),$M523&gt;(ROW(PLE.lastrow)-ROW(PLE.firstrow))),0,IF(OFFSET(PLE!$G$14,$M523,CD$13)="",10^12,OFFSET(PLE!$G$14,$M523,CD$13))))</f>
        <v>1000000000000</v>
      </c>
      <c r="CE523" s="182">
        <f ca="1">IF($D523&lt;&gt;"Serviço",0,IF(OR(AND(AUTOEVENTO="Manual",$M523=1),$M523&gt;(ROW(PLE.lastrow)-ROW(PLE.firstrow))),0,IF(OFFSET(PLE!$G$14,$M523,CE$13)="",10^12,OFFSET(PLE!$G$14,$M523,CE$13))))</f>
        <v>1000000000000</v>
      </c>
      <c r="CF523" s="182">
        <f ca="1">IF($D523&lt;&gt;"Serviço",0,IF(OR(AND(AUTOEVENTO="Manual",$M523=1),$M523&gt;(ROW(PLE.lastrow)-ROW(PLE.firstrow))),0,IF(OFFSET(PLE!$G$14,$M523,CF$13)="",10^12,OFFSET(PLE!$G$14,$M523,CF$13))))</f>
        <v>1000000000000</v>
      </c>
      <c r="CG523" s="182">
        <f ca="1">IF($D523&lt;&gt;"Serviço",0,IF(OR(AND(AUTOEVENTO="Manual",$M523=1),$M523&gt;(ROW(PLE.lastrow)-ROW(PLE.firstrow))),0,IF(OFFSET(PLE!$G$14,$M523,CG$13)="",10^12,OFFSET(PLE!$G$14,$M523,CG$13))))</f>
        <v>1000000000000</v>
      </c>
      <c r="CH523" s="182">
        <f ca="1">IF($D523&lt;&gt;"Serviço",0,IF(OR(AND(AUTOEVENTO="Manual",$M523=1),$M523&gt;(ROW(PLE.lastrow)-ROW(PLE.firstrow))),0,IF(OFFSET(PLE!$G$14,$M523,CH$13)="",10^12,OFFSET(PLE!$G$14,$M523,CH$13))))</f>
        <v>1000000000000</v>
      </c>
      <c r="CI523" s="182">
        <f ca="1">IF($D523&lt;&gt;"Serviço",0,IF(OR(AND(AUTOEVENTO="Manual",$M523=1),$M523&gt;(ROW(PLE.lastrow)-ROW(PLE.firstrow))),0,IF(OFFSET(PLE!$G$14,$M523,CI$13)="",10^12,OFFSET(PLE!$G$14,$M523,CI$13))))</f>
        <v>1000000000000</v>
      </c>
      <c r="CJ523" s="182">
        <f ca="1">IF($D523&lt;&gt;"Serviço",0,IF(OR(AND(AUTOEVENTO="Manual",$M523=1),$M523&gt;(ROW(PLE.lastrow)-ROW(PLE.firstrow))),0,IF(OFFSET(PLE!$G$14,$M523,CJ$13)="",10^12,OFFSET(PLE!$G$14,$M523,CJ$13))))</f>
        <v>1000000000000</v>
      </c>
      <c r="CK523" s="182">
        <f ca="1">IF($D523&lt;&gt;"Serviço",0,IF(OR(AND(AUTOEVENTO="Manual",$M523=1),$M523&gt;(ROW(PLE.lastrow)-ROW(PLE.firstrow))),0,IF(OFFSET(PLE!$G$14,$M523,CK$13)="",10^12,OFFSET(PLE!$G$14,$M523,CK$13))))</f>
        <v>1000000000000</v>
      </c>
      <c r="CL523" s="182">
        <f ca="1">IF($D523&lt;&gt;"Serviço",0,IF(OR(AND(AUTOEVENTO="Manual",$M523=1),$M523&gt;(ROW(PLE.lastrow)-ROW(PLE.firstrow))),0,IF(OFFSET(PLE!$G$14,$M523,CL$13)="",10^12,OFFSET(PLE!$G$14,$M523,CL$13))))</f>
        <v>1000000000000</v>
      </c>
      <c r="CM523" s="182">
        <f ca="1">IF($D523&lt;&gt;"Serviço",0,IF(OR(AND(AUTOEVENTO="Manual",$M523=1),$M523&gt;(ROW(PLE.lastrow)-ROW(PLE.firstrow))),0,IF(OFFSET(PLE!$G$14,$M523,CM$13)="",10^12,OFFSET(PLE!$G$14,$M523,CM$13))))</f>
        <v>1000000000000</v>
      </c>
    </row>
    <row r="524" spans="1:91" ht="38.25" x14ac:dyDescent="0.2">
      <c r="A524" s="7" t="str">
        <f t="shared" ca="1" si="16"/>
        <v>493</v>
      </c>
      <c r="B524" s="7" t="str">
        <f ca="1">OFFSET(ORÇAMENTO!C$15,ROW(B524)-ROW(B$15),0)</f>
        <v>S</v>
      </c>
      <c r="C524" s="7" t="str">
        <f ca="1">OFFSET(ORÇAMENTO!L$15,ROW(C524)-ROW(C$15),0)</f>
        <v/>
      </c>
      <c r="D524" s="118" t="str">
        <f ca="1">OFFSET(ORÇAMENTO!N$15,ROW(D524)-ROW(D$15),0)</f>
        <v>Serviço</v>
      </c>
      <c r="E524" s="119" t="str">
        <f ca="1">OFFSET(ORÇAMENTO!O$15,ROW(E524)-ROW(E$15),0)</f>
        <v>-</v>
      </c>
      <c r="F524" s="172" t="str">
        <f ca="1">OFFSET(ORÇAMENTO!R$15,ROW(F524)-ROW(F$15),0)</f>
        <v>(abra o arquivo 'Referência 06-2024.xlsm)</v>
      </c>
      <c r="G524" s="173" t="str">
        <f ca="1">IF($D524&lt;&gt;"Serviço","",OFFSET(ORÇAMENTO!S$15,ROW(G524)-ROW(G$15),0))</f>
        <v>-</v>
      </c>
      <c r="H524" s="124">
        <f ca="1">IF($D524&lt;&gt;"Serviço",0,IF(ACOMPANHAMENTO="BM",ROUND(OFFSET(ORÇAMENTO!AJ$15,ROW(H524)-ROW(H$15),0),15-13*ORÇAMENTO!$AF$7),SUMPRODUCT(($Q$12:$AI$12&lt;&gt;"")*ROUND($Q524:$AI524,15-13*ORÇAMENTO!$AF$7))))</f>
        <v>74.7</v>
      </c>
      <c r="I524" s="561" t="s">
        <v>1107</v>
      </c>
      <c r="K524" s="174"/>
      <c r="L524" s="175" t="s">
        <v>255</v>
      </c>
      <c r="M524" s="176">
        <f ca="1">IF($D524&lt;&gt;"Serviço","",IF(AUTOEVENTO="manual",$A524,IF(ISERROR(MATCH($A524,$A$15:OFFSET($A524,-1,0),0)),MAX($M$15:OFFSET(M524,-1,0))+1,INDEX($M$15:OFFSET(M524,-1,0),MATCH($A524,$A$15:OFFSET($A524,-1,0),0)))))</f>
        <v>54</v>
      </c>
      <c r="N524" s="177" t="str">
        <f ca="1">IF($D524&lt;&gt;"Serviço","",IF(AUTOEVENTO="Manual",IF($A524=0,"&lt;-- defina o número do agrupador",OFFSET(EVENTOS!$D$14,$A524,0)),OFFSET($F$15,$A524,0)))</f>
        <v>INSTALAÇÃO ELÉTRICA 110V - CABOS</v>
      </c>
      <c r="O524" s="178"/>
      <c r="Q524" s="178">
        <v>74.7</v>
      </c>
      <c r="R524" s="179"/>
      <c r="S524" s="179"/>
      <c r="T524" s="179"/>
      <c r="U524" s="179"/>
      <c r="V524" s="179"/>
      <c r="W524" s="179"/>
      <c r="X524" s="179"/>
      <c r="Y524" s="179"/>
      <c r="Z524" s="180"/>
      <c r="AA524" s="179"/>
      <c r="AB524" s="179"/>
      <c r="AC524" s="179"/>
      <c r="AD524" s="179"/>
      <c r="AE524" s="179"/>
      <c r="AF524" s="179"/>
      <c r="AG524" s="179"/>
      <c r="AH524" s="180"/>
      <c r="AJ524" s="544">
        <f ca="1">IF(AND($D524="Serviço",AJ$12&lt;&gt;0,$H524&gt;0,OR(AUTOEVENTO&lt;&gt;"manual",$M524&lt;&gt;1)),
IF(Import.TipoArredondamento&lt;&gt;"TransfereGOV",
ROUND(OFFSET($P524,0,AJ$13),15-13*ORÇAMENTO!$AF$7)/$H524*OFFSET(ORÇAMENTO!$X$15,ROW(AJ524)-ROW(AJ$15),0),
ROUND(ROUND(OFFSET($P524,0,AJ$13),15-13*ORÇAMENTO!$AF$7)*OFFSET(ORÇAMENTO!$W$15,ROW(AJ524)-ROW(AJ$15),0),15-13*ORÇAMENTO!$AF$11)),0)</f>
        <v>0</v>
      </c>
      <c r="AK524" s="545">
        <f ca="1">IF(AND($D524="Serviço",AK$12&lt;&gt;0,$H524&gt;0,OR(AUTOEVENTO&lt;&gt;"manual",$M524&lt;&gt;1)),
IF(Import.TipoArredondamento&lt;&gt;"TransfereGOV",
ROUND(OFFSET($P524,0,AK$13),15-13*ORÇAMENTO!$AF$7)/$H524*OFFSET(ORÇAMENTO!$X$15,ROW(AK524)-ROW(AK$15),0),
ROUND(ROUND(OFFSET($P524,0,AK$13),15-13*ORÇAMENTO!$AF$7)*OFFSET(ORÇAMENTO!$W$15,ROW(AK524)-ROW(AK$15),0),15-13*ORÇAMENTO!$AF$11)),0)</f>
        <v>0</v>
      </c>
      <c r="AL524" s="545">
        <f ca="1">IF(AND($D524="Serviço",AL$12&lt;&gt;0,$H524&gt;0,OR(AUTOEVENTO&lt;&gt;"manual",$M524&lt;&gt;1)),
IF(Import.TipoArredondamento&lt;&gt;"TransfereGOV",
ROUND(OFFSET($P524,0,AL$13),15-13*ORÇAMENTO!$AF$7)/$H524*OFFSET(ORÇAMENTO!$X$15,ROW(AL524)-ROW(AL$15),0),
ROUND(ROUND(OFFSET($P524,0,AL$13),15-13*ORÇAMENTO!$AF$7)*OFFSET(ORÇAMENTO!$W$15,ROW(AL524)-ROW(AL$15),0),15-13*ORÇAMENTO!$AF$11)),0)</f>
        <v>0</v>
      </c>
      <c r="AM524" s="545">
        <f ca="1">IF(AND($D524="Serviço",AM$12&lt;&gt;0,$H524&gt;0,OR(AUTOEVENTO&lt;&gt;"manual",$M524&lt;&gt;1)),
IF(Import.TipoArredondamento&lt;&gt;"TransfereGOV",
ROUND(OFFSET($P524,0,AM$13),15-13*ORÇAMENTO!$AF$7)/$H524*OFFSET(ORÇAMENTO!$X$15,ROW(AM524)-ROW(AM$15),0),
ROUND(ROUND(OFFSET($P524,0,AM$13),15-13*ORÇAMENTO!$AF$7)*OFFSET(ORÇAMENTO!$W$15,ROW(AM524)-ROW(AM$15),0),15-13*ORÇAMENTO!$AF$11)),0)</f>
        <v>0</v>
      </c>
      <c r="AN524" s="545">
        <f ca="1">IF(AND($D524="Serviço",AN$12&lt;&gt;0,$H524&gt;0,OR(AUTOEVENTO&lt;&gt;"manual",$M524&lt;&gt;1)),
IF(Import.TipoArredondamento&lt;&gt;"TransfereGOV",
ROUND(OFFSET($P524,0,AN$13),15-13*ORÇAMENTO!$AF$7)/$H524*OFFSET(ORÇAMENTO!$X$15,ROW(AN524)-ROW(AN$15),0),
ROUND(ROUND(OFFSET($P524,0,AN$13),15-13*ORÇAMENTO!$AF$7)*OFFSET(ORÇAMENTO!$W$15,ROW(AN524)-ROW(AN$15),0),15-13*ORÇAMENTO!$AF$11)),0)</f>
        <v>0</v>
      </c>
      <c r="AO524" s="545">
        <f ca="1">IF(AND($D524="Serviço",AO$12&lt;&gt;0,$H524&gt;0,OR(AUTOEVENTO&lt;&gt;"manual",$M524&lt;&gt;1)),
IF(Import.TipoArredondamento&lt;&gt;"TransfereGOV",
ROUND(OFFSET($P524,0,AO$13),15-13*ORÇAMENTO!$AF$7)/$H524*OFFSET(ORÇAMENTO!$X$15,ROW(AO524)-ROW(AO$15),0),
ROUND(ROUND(OFFSET($P524,0,AO$13),15-13*ORÇAMENTO!$AF$7)*OFFSET(ORÇAMENTO!$W$15,ROW(AO524)-ROW(AO$15),0),15-13*ORÇAMENTO!$AF$11)),0)</f>
        <v>0</v>
      </c>
      <c r="AP524" s="545">
        <f ca="1">IF(AND($D524="Serviço",AP$12&lt;&gt;0,$H524&gt;0,OR(AUTOEVENTO&lt;&gt;"manual",$M524&lt;&gt;1)),
IF(Import.TipoArredondamento&lt;&gt;"TransfereGOV",
ROUND(OFFSET($P524,0,AP$13),15-13*ORÇAMENTO!$AF$7)/$H524*OFFSET(ORÇAMENTO!$X$15,ROW(AP524)-ROW(AP$15),0),
ROUND(ROUND(OFFSET($P524,0,AP$13),15-13*ORÇAMENTO!$AF$7)*OFFSET(ORÇAMENTO!$W$15,ROW(AP524)-ROW(AP$15),0),15-13*ORÇAMENTO!$AF$11)),0)</f>
        <v>0</v>
      </c>
      <c r="AQ524" s="545">
        <f ca="1">IF(AND($D524="Serviço",AQ$12&lt;&gt;0,$H524&gt;0,OR(AUTOEVENTO&lt;&gt;"manual",$M524&lt;&gt;1)),
IF(Import.TipoArredondamento&lt;&gt;"TransfereGOV",
ROUND(OFFSET($P524,0,AQ$13),15-13*ORÇAMENTO!$AF$7)/$H524*OFFSET(ORÇAMENTO!$X$15,ROW(AQ524)-ROW(AQ$15),0),
ROUND(ROUND(OFFSET($P524,0,AQ$13),15-13*ORÇAMENTO!$AF$7)*OFFSET(ORÇAMENTO!$W$15,ROW(AQ524)-ROW(AQ$15),0),15-13*ORÇAMENTO!$AF$11)),0)</f>
        <v>0</v>
      </c>
      <c r="AR524" s="545">
        <f ca="1">IF(AND($D524="Serviço",AR$12&lt;&gt;0,$H524&gt;0,OR(AUTOEVENTO&lt;&gt;"manual",$M524&lt;&gt;1)),
IF(Import.TipoArredondamento&lt;&gt;"TransfereGOV",
ROUND(OFFSET($P524,0,AR$13),15-13*ORÇAMENTO!$AF$7)/$H524*OFFSET(ORÇAMENTO!$X$15,ROW(AR524)-ROW(AR$15),0),
ROUND(ROUND(OFFSET($P524,0,AR$13),15-13*ORÇAMENTO!$AF$7)*OFFSET(ORÇAMENTO!$W$15,ROW(AR524)-ROW(AR$15),0),15-13*ORÇAMENTO!$AF$11)),0)</f>
        <v>0</v>
      </c>
      <c r="AS524" s="546">
        <f ca="1">IF(AND($D524="Serviço",AS$12&lt;&gt;0,$H524&gt;0,OR(AUTOEVENTO&lt;&gt;"manual",$M524&lt;&gt;1)),
IF(Import.TipoArredondamento&lt;&gt;"TransfereGOV",
ROUND(OFFSET($P524,0,AS$13),15-13*ORÇAMENTO!$AF$7)/$H524*OFFSET(ORÇAMENTO!$X$15,ROW(AS524)-ROW(AS$15),0),
ROUND(ROUND(OFFSET($P524,0,AS$13),15-13*ORÇAMENTO!$AF$7)*OFFSET(ORÇAMENTO!$W$15,ROW(AS524)-ROW(AS$15),0),15-13*ORÇAMENTO!$AF$11)),0)</f>
        <v>0</v>
      </c>
      <c r="AT524" s="545">
        <f ca="1">IF(AND($D524="Serviço",AT$12&lt;&gt;0,$H524&gt;0,OR(AUTOEVENTO&lt;&gt;"manual",$M524&lt;&gt;1)),
IF(Import.TipoArredondamento&lt;&gt;"TransfereGOV",
ROUND(OFFSET($P524,0,AT$13),15-13*ORÇAMENTO!$AF$7)/$H524*OFFSET(ORÇAMENTO!$X$15,ROW(AT524)-ROW(AT$15),0),
ROUND(ROUND(OFFSET($P524,0,AT$13),15-13*ORÇAMENTO!$AF$7)*OFFSET(ORÇAMENTO!$W$15,ROW(AT524)-ROW(AT$15),0),15-13*ORÇAMENTO!$AF$11)),0)</f>
        <v>0</v>
      </c>
      <c r="AU524" s="545">
        <f ca="1">IF(AND($D524="Serviço",AU$12&lt;&gt;0,$H524&gt;0,OR(AUTOEVENTO&lt;&gt;"manual",$M524&lt;&gt;1)),
IF(Import.TipoArredondamento&lt;&gt;"TransfereGOV",
ROUND(OFFSET($P524,0,AU$13),15-13*ORÇAMENTO!$AF$7)/$H524*OFFSET(ORÇAMENTO!$X$15,ROW(AU524)-ROW(AU$15),0),
ROUND(ROUND(OFFSET($P524,0,AU$13),15-13*ORÇAMENTO!$AF$7)*OFFSET(ORÇAMENTO!$W$15,ROW(AU524)-ROW(AU$15),0),15-13*ORÇAMENTO!$AF$11)),0)</f>
        <v>0</v>
      </c>
      <c r="AV524" s="545">
        <f ca="1">IF(AND($D524="Serviço",AV$12&lt;&gt;0,$H524&gt;0,OR(AUTOEVENTO&lt;&gt;"manual",$M524&lt;&gt;1)),
IF(Import.TipoArredondamento&lt;&gt;"TransfereGOV",
ROUND(OFFSET($P524,0,AV$13),15-13*ORÇAMENTO!$AF$7)/$H524*OFFSET(ORÇAMENTO!$X$15,ROW(AV524)-ROW(AV$15),0),
ROUND(ROUND(OFFSET($P524,0,AV$13),15-13*ORÇAMENTO!$AF$7)*OFFSET(ORÇAMENTO!$W$15,ROW(AV524)-ROW(AV$15),0),15-13*ORÇAMENTO!$AF$11)),0)</f>
        <v>0</v>
      </c>
      <c r="AW524" s="545">
        <f ca="1">IF(AND($D524="Serviço",AW$12&lt;&gt;0,$H524&gt;0,OR(AUTOEVENTO&lt;&gt;"manual",$M524&lt;&gt;1)),
IF(Import.TipoArredondamento&lt;&gt;"TransfereGOV",
ROUND(OFFSET($P524,0,AW$13),15-13*ORÇAMENTO!$AF$7)/$H524*OFFSET(ORÇAMENTO!$X$15,ROW(AW524)-ROW(AW$15),0),
ROUND(ROUND(OFFSET($P524,0,AW$13),15-13*ORÇAMENTO!$AF$7)*OFFSET(ORÇAMENTO!$W$15,ROW(AW524)-ROW(AW$15),0),15-13*ORÇAMENTO!$AF$11)),0)</f>
        <v>0</v>
      </c>
      <c r="AX524" s="545">
        <f ca="1">IF(AND($D524="Serviço",AX$12&lt;&gt;0,$H524&gt;0,OR(AUTOEVENTO&lt;&gt;"manual",$M524&lt;&gt;1)),
IF(Import.TipoArredondamento&lt;&gt;"TransfereGOV",
ROUND(OFFSET($P524,0,AX$13),15-13*ORÇAMENTO!$AF$7)/$H524*OFFSET(ORÇAMENTO!$X$15,ROW(AX524)-ROW(AX$15),0),
ROUND(ROUND(OFFSET($P524,0,AX$13),15-13*ORÇAMENTO!$AF$7)*OFFSET(ORÇAMENTO!$W$15,ROW(AX524)-ROW(AX$15),0),15-13*ORÇAMENTO!$AF$11)),0)</f>
        <v>0</v>
      </c>
      <c r="AY524" s="545">
        <f ca="1">IF(AND($D524="Serviço",AY$12&lt;&gt;0,$H524&gt;0,OR(AUTOEVENTO&lt;&gt;"manual",$M524&lt;&gt;1)),
IF(Import.TipoArredondamento&lt;&gt;"TransfereGOV",
ROUND(OFFSET($P524,0,AY$13),15-13*ORÇAMENTO!$AF$7)/$H524*OFFSET(ORÇAMENTO!$X$15,ROW(AY524)-ROW(AY$15),0),
ROUND(ROUND(OFFSET($P524,0,AY$13),15-13*ORÇAMENTO!$AF$7)*OFFSET(ORÇAMENTO!$W$15,ROW(AY524)-ROW(AY$15),0),15-13*ORÇAMENTO!$AF$11)),0)</f>
        <v>0</v>
      </c>
      <c r="AZ524" s="545">
        <f ca="1">IF(AND($D524="Serviço",AZ$12&lt;&gt;0,$H524&gt;0,OR(AUTOEVENTO&lt;&gt;"manual",$M524&lt;&gt;1)),
IF(Import.TipoArredondamento&lt;&gt;"TransfereGOV",
ROUND(OFFSET($P524,0,AZ$13),15-13*ORÇAMENTO!$AF$7)/$H524*OFFSET(ORÇAMENTO!$X$15,ROW(AZ524)-ROW(AZ$15),0),
ROUND(ROUND(OFFSET($P524,0,AZ$13),15-13*ORÇAMENTO!$AF$7)*OFFSET(ORÇAMENTO!$W$15,ROW(AZ524)-ROW(AZ$15),0),15-13*ORÇAMENTO!$AF$11)),0)</f>
        <v>0</v>
      </c>
      <c r="BA524" s="546">
        <f ca="1">IF(AND($D524="Serviço",BA$12&lt;&gt;0,$H524&gt;0,OR(AUTOEVENTO&lt;&gt;"manual",$M524&lt;&gt;1)),
IF(Import.TipoArredondamento&lt;&gt;"TransfereGOV",
ROUND(OFFSET($P524,0,BA$13),15-13*ORÇAMENTO!$AF$7)/$H524*OFFSET(ORÇAMENTO!$X$15,ROW(BA524)-ROW(BA$15),0),
ROUND(ROUND(OFFSET($P524,0,BA$13),15-13*ORÇAMENTO!$AF$7)*OFFSET(ORÇAMENTO!$W$15,ROW(BA524)-ROW(BA$15),0),15-13*ORÇAMENTO!$AF$11)),0)</f>
        <v>0</v>
      </c>
      <c r="BC524" s="181">
        <f ca="1">IF($D524&lt;&gt;"Serviço",0,IF(AND(AUTOEVENTO="Manual",$M524=1),0,IF(OFFSET(CRONOPLE!$F$14,$M524,BC$13)="",10^12,OFFSET(CRONOPLE!$F$14,$M524,BC$13))))</f>
        <v>10</v>
      </c>
      <c r="BD524" s="181">
        <f ca="1">IF($D524&lt;&gt;"Serviço",0,IF(AND(AUTOEVENTO="Manual",$M524=1),0,IF(OFFSET(CRONOPLE!$F$14,$M524,BD$13)="",10^12,OFFSET(CRONOPLE!$F$14,$M524,BD$13))))</f>
        <v>1000000000000</v>
      </c>
      <c r="BE524" s="181">
        <f ca="1">IF($D524&lt;&gt;"Serviço",0,IF(AND(AUTOEVENTO="Manual",$M524=1),0,IF(OFFSET(CRONOPLE!$F$14,$M524,BE$13)="",10^12,OFFSET(CRONOPLE!$F$14,$M524,BE$13))))</f>
        <v>1000000000000</v>
      </c>
      <c r="BF524" s="181">
        <f ca="1">IF($D524&lt;&gt;"Serviço",0,IF(AND(AUTOEVENTO="Manual",$M524=1),0,IF(OFFSET(CRONOPLE!$F$14,$M524,BF$13)="",10^12,OFFSET(CRONOPLE!$F$14,$M524,BF$13))))</f>
        <v>1000000000000</v>
      </c>
      <c r="BG524" s="181">
        <f ca="1">IF($D524&lt;&gt;"Serviço",0,IF(AND(AUTOEVENTO="Manual",$M524=1),0,IF(OFFSET(CRONOPLE!$F$14,$M524,BG$13)="",10^12,OFFSET(CRONOPLE!$F$14,$M524,BG$13))))</f>
        <v>1000000000000</v>
      </c>
      <c r="BH524" s="181">
        <f ca="1">IF($D524&lt;&gt;"Serviço",0,IF(AND(AUTOEVENTO="Manual",$M524=1),0,IF(OFFSET(CRONOPLE!$F$14,$M524,BH$13)="",10^12,OFFSET(CRONOPLE!$F$14,$M524,BH$13))))</f>
        <v>1000000000000</v>
      </c>
      <c r="BI524" s="181">
        <f ca="1">IF($D524&lt;&gt;"Serviço",0,IF(AND(AUTOEVENTO="Manual",$M524=1),0,IF(OFFSET(CRONOPLE!$F$14,$M524,BI$13)="",10^12,OFFSET(CRONOPLE!$F$14,$M524,BI$13))))</f>
        <v>1000000000000</v>
      </c>
      <c r="BJ524" s="181">
        <f ca="1">IF($D524&lt;&gt;"Serviço",0,IF(AND(AUTOEVENTO="Manual",$M524=1),0,IF(OFFSET(CRONOPLE!$F$14,$M524,BJ$13)="",10^12,OFFSET(CRONOPLE!$F$14,$M524,BJ$13))))</f>
        <v>1000000000000</v>
      </c>
      <c r="BK524" s="181">
        <f ca="1">IF($D524&lt;&gt;"Serviço",0,IF(AND(AUTOEVENTO="Manual",$M524=1),0,IF(OFFSET(CRONOPLE!$F$14,$M524,BK$13)="",10^12,OFFSET(CRONOPLE!$F$14,$M524,BK$13))))</f>
        <v>1000000000000</v>
      </c>
      <c r="BL524" s="181">
        <f ca="1">IF($D524&lt;&gt;"Serviço",0,IF(AND(AUTOEVENTO="Manual",$M524=1),0,IF(OFFSET(CRONOPLE!$F$14,$M524,BL$13)="",10^12,OFFSET(CRONOPLE!$F$14,$M524,BL$13))))</f>
        <v>1000000000000</v>
      </c>
      <c r="BM524" s="181">
        <f ca="1">IF($D524&lt;&gt;"Serviço",0,IF(AND(AUTOEVENTO="Manual",$M524=1),0,IF(OFFSET(CRONOPLE!$F$14,$M524,BM$13)="",10^12,OFFSET(CRONOPLE!$F$14,$M524,BM$13))))</f>
        <v>1000000000000</v>
      </c>
      <c r="BN524" s="181">
        <f ca="1">IF($D524&lt;&gt;"Serviço",0,IF(AND(AUTOEVENTO="Manual",$M524=1),0,IF(OFFSET(CRONOPLE!$F$14,$M524,BN$13)="",10^12,OFFSET(CRONOPLE!$F$14,$M524,BN$13))))</f>
        <v>1000000000000</v>
      </c>
      <c r="BO524" s="181">
        <f ca="1">IF($D524&lt;&gt;"Serviço",0,IF(AND(AUTOEVENTO="Manual",$M524=1),0,IF(OFFSET(CRONOPLE!$F$14,$M524,BO$13)="",10^12,OFFSET(CRONOPLE!$F$14,$M524,BO$13))))</f>
        <v>1000000000000</v>
      </c>
      <c r="BP524" s="181">
        <f ca="1">IF($D524&lt;&gt;"Serviço",0,IF(AND(AUTOEVENTO="Manual",$M524=1),0,IF(OFFSET(CRONOPLE!$F$14,$M524,BP$13)="",10^12,OFFSET(CRONOPLE!$F$14,$M524,BP$13))))</f>
        <v>1000000000000</v>
      </c>
      <c r="BQ524" s="181">
        <f ca="1">IF($D524&lt;&gt;"Serviço",0,IF(AND(AUTOEVENTO="Manual",$M524=1),0,IF(OFFSET(CRONOPLE!$F$14,$M524,BQ$13)="",10^12,OFFSET(CRONOPLE!$F$14,$M524,BQ$13))))</f>
        <v>1000000000000</v>
      </c>
      <c r="BR524" s="181">
        <f ca="1">IF($D524&lt;&gt;"Serviço",0,IF(AND(AUTOEVENTO="Manual",$M524=1),0,IF(OFFSET(CRONOPLE!$F$14,$M524,BR$13)="",10^12,OFFSET(CRONOPLE!$F$14,$M524,BR$13))))</f>
        <v>1000000000000</v>
      </c>
      <c r="BS524" s="181">
        <f ca="1">IF($D524&lt;&gt;"Serviço",0,IF(AND(AUTOEVENTO="Manual",$M524=1),0,IF(OFFSET(CRONOPLE!$F$14,$M524,BS$13)="",10^12,OFFSET(CRONOPLE!$F$14,$M524,BS$13))))</f>
        <v>1000000000000</v>
      </c>
      <c r="BT524" s="181">
        <f ca="1">IF($D524&lt;&gt;"Serviço",0,IF(AND(AUTOEVENTO="Manual",$M524=1),0,IF(OFFSET(CRONOPLE!$F$14,$M524,BT$13)="",10^12,OFFSET(CRONOPLE!$F$14,$M524,BT$13))))</f>
        <v>1000000000000</v>
      </c>
      <c r="BV524" s="182">
        <f ca="1">IF($D524&lt;&gt;"Serviço",0,IF(OR(AND(AUTOEVENTO="Manual",$M524=1),$M524&gt;(ROW(PLE.lastrow)-ROW(PLE.firstrow))),0,IF(OFFSET(PLE!$G$14,$M524,BV$13)="",10^12,OFFSET(PLE!$G$14,$M524,BV$13))))</f>
        <v>1000000000000</v>
      </c>
      <c r="BW524" s="182">
        <f ca="1">IF($D524&lt;&gt;"Serviço",0,IF(OR(AND(AUTOEVENTO="Manual",$M524=1),$M524&gt;(ROW(PLE.lastrow)-ROW(PLE.firstrow))),0,IF(OFFSET(PLE!$G$14,$M524,BW$13)="",10^12,OFFSET(PLE!$G$14,$M524,BW$13))))</f>
        <v>1000000000000</v>
      </c>
      <c r="BX524" s="182">
        <f ca="1">IF($D524&lt;&gt;"Serviço",0,IF(OR(AND(AUTOEVENTO="Manual",$M524=1),$M524&gt;(ROW(PLE.lastrow)-ROW(PLE.firstrow))),0,IF(OFFSET(PLE!$G$14,$M524,BX$13)="",10^12,OFFSET(PLE!$G$14,$M524,BX$13))))</f>
        <v>1000000000000</v>
      </c>
      <c r="BY524" s="182">
        <f ca="1">IF($D524&lt;&gt;"Serviço",0,IF(OR(AND(AUTOEVENTO="Manual",$M524=1),$M524&gt;(ROW(PLE.lastrow)-ROW(PLE.firstrow))),0,IF(OFFSET(PLE!$G$14,$M524,BY$13)="",10^12,OFFSET(PLE!$G$14,$M524,BY$13))))</f>
        <v>1000000000000</v>
      </c>
      <c r="BZ524" s="182">
        <f ca="1">IF($D524&lt;&gt;"Serviço",0,IF(OR(AND(AUTOEVENTO="Manual",$M524=1),$M524&gt;(ROW(PLE.lastrow)-ROW(PLE.firstrow))),0,IF(OFFSET(PLE!$G$14,$M524,BZ$13)="",10^12,OFFSET(PLE!$G$14,$M524,BZ$13))))</f>
        <v>1000000000000</v>
      </c>
      <c r="CA524" s="182">
        <f ca="1">IF($D524&lt;&gt;"Serviço",0,IF(OR(AND(AUTOEVENTO="Manual",$M524=1),$M524&gt;(ROW(PLE.lastrow)-ROW(PLE.firstrow))),0,IF(OFFSET(PLE!$G$14,$M524,CA$13)="",10^12,OFFSET(PLE!$G$14,$M524,CA$13))))</f>
        <v>1000000000000</v>
      </c>
      <c r="CB524" s="182">
        <f ca="1">IF($D524&lt;&gt;"Serviço",0,IF(OR(AND(AUTOEVENTO="Manual",$M524=1),$M524&gt;(ROW(PLE.lastrow)-ROW(PLE.firstrow))),0,IF(OFFSET(PLE!$G$14,$M524,CB$13)="",10^12,OFFSET(PLE!$G$14,$M524,CB$13))))</f>
        <v>1000000000000</v>
      </c>
      <c r="CC524" s="182">
        <f ca="1">IF($D524&lt;&gt;"Serviço",0,IF(OR(AND(AUTOEVENTO="Manual",$M524=1),$M524&gt;(ROW(PLE.lastrow)-ROW(PLE.firstrow))),0,IF(OFFSET(PLE!$G$14,$M524,CC$13)="",10^12,OFFSET(PLE!$G$14,$M524,CC$13))))</f>
        <v>1000000000000</v>
      </c>
      <c r="CD524" s="182">
        <f ca="1">IF($D524&lt;&gt;"Serviço",0,IF(OR(AND(AUTOEVENTO="Manual",$M524=1),$M524&gt;(ROW(PLE.lastrow)-ROW(PLE.firstrow))),0,IF(OFFSET(PLE!$G$14,$M524,CD$13)="",10^12,OFFSET(PLE!$G$14,$M524,CD$13))))</f>
        <v>1000000000000</v>
      </c>
      <c r="CE524" s="182">
        <f ca="1">IF($D524&lt;&gt;"Serviço",0,IF(OR(AND(AUTOEVENTO="Manual",$M524=1),$M524&gt;(ROW(PLE.lastrow)-ROW(PLE.firstrow))),0,IF(OFFSET(PLE!$G$14,$M524,CE$13)="",10^12,OFFSET(PLE!$G$14,$M524,CE$13))))</f>
        <v>1000000000000</v>
      </c>
      <c r="CF524" s="182">
        <f ca="1">IF($D524&lt;&gt;"Serviço",0,IF(OR(AND(AUTOEVENTO="Manual",$M524=1),$M524&gt;(ROW(PLE.lastrow)-ROW(PLE.firstrow))),0,IF(OFFSET(PLE!$G$14,$M524,CF$13)="",10^12,OFFSET(PLE!$G$14,$M524,CF$13))))</f>
        <v>1000000000000</v>
      </c>
      <c r="CG524" s="182">
        <f ca="1">IF($D524&lt;&gt;"Serviço",0,IF(OR(AND(AUTOEVENTO="Manual",$M524=1),$M524&gt;(ROW(PLE.lastrow)-ROW(PLE.firstrow))),0,IF(OFFSET(PLE!$G$14,$M524,CG$13)="",10^12,OFFSET(PLE!$G$14,$M524,CG$13))))</f>
        <v>1000000000000</v>
      </c>
      <c r="CH524" s="182">
        <f ca="1">IF($D524&lt;&gt;"Serviço",0,IF(OR(AND(AUTOEVENTO="Manual",$M524=1),$M524&gt;(ROW(PLE.lastrow)-ROW(PLE.firstrow))),0,IF(OFFSET(PLE!$G$14,$M524,CH$13)="",10^12,OFFSET(PLE!$G$14,$M524,CH$13))))</f>
        <v>1000000000000</v>
      </c>
      <c r="CI524" s="182">
        <f ca="1">IF($D524&lt;&gt;"Serviço",0,IF(OR(AND(AUTOEVENTO="Manual",$M524=1),$M524&gt;(ROW(PLE.lastrow)-ROW(PLE.firstrow))),0,IF(OFFSET(PLE!$G$14,$M524,CI$13)="",10^12,OFFSET(PLE!$G$14,$M524,CI$13))))</f>
        <v>1000000000000</v>
      </c>
      <c r="CJ524" s="182">
        <f ca="1">IF($D524&lt;&gt;"Serviço",0,IF(OR(AND(AUTOEVENTO="Manual",$M524=1),$M524&gt;(ROW(PLE.lastrow)-ROW(PLE.firstrow))),0,IF(OFFSET(PLE!$G$14,$M524,CJ$13)="",10^12,OFFSET(PLE!$G$14,$M524,CJ$13))))</f>
        <v>1000000000000</v>
      </c>
      <c r="CK524" s="182">
        <f ca="1">IF($D524&lt;&gt;"Serviço",0,IF(OR(AND(AUTOEVENTO="Manual",$M524=1),$M524&gt;(ROW(PLE.lastrow)-ROW(PLE.firstrow))),0,IF(OFFSET(PLE!$G$14,$M524,CK$13)="",10^12,OFFSET(PLE!$G$14,$M524,CK$13))))</f>
        <v>1000000000000</v>
      </c>
      <c r="CL524" s="182">
        <f ca="1">IF($D524&lt;&gt;"Serviço",0,IF(OR(AND(AUTOEVENTO="Manual",$M524=1),$M524&gt;(ROW(PLE.lastrow)-ROW(PLE.firstrow))),0,IF(OFFSET(PLE!$G$14,$M524,CL$13)="",10^12,OFFSET(PLE!$G$14,$M524,CL$13))))</f>
        <v>1000000000000</v>
      </c>
      <c r="CM524" s="182">
        <f ca="1">IF($D524&lt;&gt;"Serviço",0,IF(OR(AND(AUTOEVENTO="Manual",$M524=1),$M524&gt;(ROW(PLE.lastrow)-ROW(PLE.firstrow))),0,IF(OFFSET(PLE!$G$14,$M524,CM$13)="",10^12,OFFSET(PLE!$G$14,$M524,CM$13))))</f>
        <v>1000000000000</v>
      </c>
    </row>
    <row r="525" spans="1:91" ht="38.25" x14ac:dyDescent="0.2">
      <c r="A525" s="7" t="str">
        <f t="shared" ca="1" si="16"/>
        <v>493</v>
      </c>
      <c r="B525" s="7" t="str">
        <f ca="1">OFFSET(ORÇAMENTO!C$15,ROW(B525)-ROW(B$15),0)</f>
        <v>S</v>
      </c>
      <c r="C525" s="7" t="str">
        <f ca="1">OFFSET(ORÇAMENTO!L$15,ROW(C525)-ROW(C$15),0)</f>
        <v/>
      </c>
      <c r="D525" s="118" t="str">
        <f ca="1">OFFSET(ORÇAMENTO!N$15,ROW(D525)-ROW(D$15),0)</f>
        <v>Serviço</v>
      </c>
      <c r="E525" s="119" t="str">
        <f ca="1">OFFSET(ORÇAMENTO!O$15,ROW(E525)-ROW(E$15),0)</f>
        <v>-</v>
      </c>
      <c r="F525" s="172" t="str">
        <f ca="1">OFFSET(ORÇAMENTO!R$15,ROW(F525)-ROW(F$15),0)</f>
        <v>(abra o arquivo 'Referência 06-2024.xlsm)</v>
      </c>
      <c r="G525" s="173" t="str">
        <f ca="1">IF($D525&lt;&gt;"Serviço","",OFFSET(ORÇAMENTO!S$15,ROW(G525)-ROW(G$15),0))</f>
        <v>-</v>
      </c>
      <c r="H525" s="124">
        <f ca="1">IF($D525&lt;&gt;"Serviço",0,IF(ACOMPANHAMENTO="BM",ROUND(OFFSET(ORÇAMENTO!AJ$15,ROW(H525)-ROW(H$15),0),15-13*ORÇAMENTO!$AF$7),SUMPRODUCT(($Q$12:$AI$12&lt;&gt;"")*ROUND($Q525:$AI525,15-13*ORÇAMENTO!$AF$7))))</f>
        <v>81.900000000000006</v>
      </c>
      <c r="I525" s="561" t="s">
        <v>1107</v>
      </c>
      <c r="K525" s="174"/>
      <c r="L525" s="175" t="s">
        <v>255</v>
      </c>
      <c r="M525" s="176">
        <f ca="1">IF($D525&lt;&gt;"Serviço","",IF(AUTOEVENTO="manual",$A525,IF(ISERROR(MATCH($A525,$A$15:OFFSET($A525,-1,0),0)),MAX($M$15:OFFSET(M525,-1,0))+1,INDEX($M$15:OFFSET(M525,-1,0),MATCH($A525,$A$15:OFFSET($A525,-1,0),0)))))</f>
        <v>54</v>
      </c>
      <c r="N525" s="177" t="str">
        <f ca="1">IF($D525&lt;&gt;"Serviço","",IF(AUTOEVENTO="Manual",IF($A525=0,"&lt;-- defina o número do agrupador",OFFSET(EVENTOS!$D$14,$A525,0)),OFFSET($F$15,$A525,0)))</f>
        <v>INSTALAÇÃO ELÉTRICA 110V - CABOS</v>
      </c>
      <c r="O525" s="178"/>
      <c r="Q525" s="178">
        <v>81.900000000000006</v>
      </c>
      <c r="R525" s="179"/>
      <c r="S525" s="179"/>
      <c r="T525" s="179"/>
      <c r="U525" s="179"/>
      <c r="V525" s="179"/>
      <c r="W525" s="179"/>
      <c r="X525" s="179"/>
      <c r="Y525" s="179"/>
      <c r="Z525" s="180"/>
      <c r="AA525" s="179"/>
      <c r="AB525" s="179"/>
      <c r="AC525" s="179"/>
      <c r="AD525" s="179"/>
      <c r="AE525" s="179"/>
      <c r="AF525" s="179"/>
      <c r="AG525" s="179"/>
      <c r="AH525" s="180"/>
      <c r="AJ525" s="544">
        <f ca="1">IF(AND($D525="Serviço",AJ$12&lt;&gt;0,$H525&gt;0,OR(AUTOEVENTO&lt;&gt;"manual",$M525&lt;&gt;1)),
IF(Import.TipoArredondamento&lt;&gt;"TransfereGOV",
ROUND(OFFSET($P525,0,AJ$13),15-13*ORÇAMENTO!$AF$7)/$H525*OFFSET(ORÇAMENTO!$X$15,ROW(AJ525)-ROW(AJ$15),0),
ROUND(ROUND(OFFSET($P525,0,AJ$13),15-13*ORÇAMENTO!$AF$7)*OFFSET(ORÇAMENTO!$W$15,ROW(AJ525)-ROW(AJ$15),0),15-13*ORÇAMENTO!$AF$11)),0)</f>
        <v>0</v>
      </c>
      <c r="AK525" s="545">
        <f ca="1">IF(AND($D525="Serviço",AK$12&lt;&gt;0,$H525&gt;0,OR(AUTOEVENTO&lt;&gt;"manual",$M525&lt;&gt;1)),
IF(Import.TipoArredondamento&lt;&gt;"TransfereGOV",
ROUND(OFFSET($P525,0,AK$13),15-13*ORÇAMENTO!$AF$7)/$H525*OFFSET(ORÇAMENTO!$X$15,ROW(AK525)-ROW(AK$15),0),
ROUND(ROUND(OFFSET($P525,0,AK$13),15-13*ORÇAMENTO!$AF$7)*OFFSET(ORÇAMENTO!$W$15,ROW(AK525)-ROW(AK$15),0),15-13*ORÇAMENTO!$AF$11)),0)</f>
        <v>0</v>
      </c>
      <c r="AL525" s="545">
        <f ca="1">IF(AND($D525="Serviço",AL$12&lt;&gt;0,$H525&gt;0,OR(AUTOEVENTO&lt;&gt;"manual",$M525&lt;&gt;1)),
IF(Import.TipoArredondamento&lt;&gt;"TransfereGOV",
ROUND(OFFSET($P525,0,AL$13),15-13*ORÇAMENTO!$AF$7)/$H525*OFFSET(ORÇAMENTO!$X$15,ROW(AL525)-ROW(AL$15),0),
ROUND(ROUND(OFFSET($P525,0,AL$13),15-13*ORÇAMENTO!$AF$7)*OFFSET(ORÇAMENTO!$W$15,ROW(AL525)-ROW(AL$15),0),15-13*ORÇAMENTO!$AF$11)),0)</f>
        <v>0</v>
      </c>
      <c r="AM525" s="545">
        <f ca="1">IF(AND($D525="Serviço",AM$12&lt;&gt;0,$H525&gt;0,OR(AUTOEVENTO&lt;&gt;"manual",$M525&lt;&gt;1)),
IF(Import.TipoArredondamento&lt;&gt;"TransfereGOV",
ROUND(OFFSET($P525,0,AM$13),15-13*ORÇAMENTO!$AF$7)/$H525*OFFSET(ORÇAMENTO!$X$15,ROW(AM525)-ROW(AM$15),0),
ROUND(ROUND(OFFSET($P525,0,AM$13),15-13*ORÇAMENTO!$AF$7)*OFFSET(ORÇAMENTO!$W$15,ROW(AM525)-ROW(AM$15),0),15-13*ORÇAMENTO!$AF$11)),0)</f>
        <v>0</v>
      </c>
      <c r="AN525" s="545">
        <f ca="1">IF(AND($D525="Serviço",AN$12&lt;&gt;0,$H525&gt;0,OR(AUTOEVENTO&lt;&gt;"manual",$M525&lt;&gt;1)),
IF(Import.TipoArredondamento&lt;&gt;"TransfereGOV",
ROUND(OFFSET($P525,0,AN$13),15-13*ORÇAMENTO!$AF$7)/$H525*OFFSET(ORÇAMENTO!$X$15,ROW(AN525)-ROW(AN$15),0),
ROUND(ROUND(OFFSET($P525,0,AN$13),15-13*ORÇAMENTO!$AF$7)*OFFSET(ORÇAMENTO!$W$15,ROW(AN525)-ROW(AN$15),0),15-13*ORÇAMENTO!$AF$11)),0)</f>
        <v>0</v>
      </c>
      <c r="AO525" s="545">
        <f ca="1">IF(AND($D525="Serviço",AO$12&lt;&gt;0,$H525&gt;0,OR(AUTOEVENTO&lt;&gt;"manual",$M525&lt;&gt;1)),
IF(Import.TipoArredondamento&lt;&gt;"TransfereGOV",
ROUND(OFFSET($P525,0,AO$13),15-13*ORÇAMENTO!$AF$7)/$H525*OFFSET(ORÇAMENTO!$X$15,ROW(AO525)-ROW(AO$15),0),
ROUND(ROUND(OFFSET($P525,0,AO$13),15-13*ORÇAMENTO!$AF$7)*OFFSET(ORÇAMENTO!$W$15,ROW(AO525)-ROW(AO$15),0),15-13*ORÇAMENTO!$AF$11)),0)</f>
        <v>0</v>
      </c>
      <c r="AP525" s="545">
        <f ca="1">IF(AND($D525="Serviço",AP$12&lt;&gt;0,$H525&gt;0,OR(AUTOEVENTO&lt;&gt;"manual",$M525&lt;&gt;1)),
IF(Import.TipoArredondamento&lt;&gt;"TransfereGOV",
ROUND(OFFSET($P525,0,AP$13),15-13*ORÇAMENTO!$AF$7)/$H525*OFFSET(ORÇAMENTO!$X$15,ROW(AP525)-ROW(AP$15),0),
ROUND(ROUND(OFFSET($P525,0,AP$13),15-13*ORÇAMENTO!$AF$7)*OFFSET(ORÇAMENTO!$W$15,ROW(AP525)-ROW(AP$15),0),15-13*ORÇAMENTO!$AF$11)),0)</f>
        <v>0</v>
      </c>
      <c r="AQ525" s="545">
        <f ca="1">IF(AND($D525="Serviço",AQ$12&lt;&gt;0,$H525&gt;0,OR(AUTOEVENTO&lt;&gt;"manual",$M525&lt;&gt;1)),
IF(Import.TipoArredondamento&lt;&gt;"TransfereGOV",
ROUND(OFFSET($P525,0,AQ$13),15-13*ORÇAMENTO!$AF$7)/$H525*OFFSET(ORÇAMENTO!$X$15,ROW(AQ525)-ROW(AQ$15),0),
ROUND(ROUND(OFFSET($P525,0,AQ$13),15-13*ORÇAMENTO!$AF$7)*OFFSET(ORÇAMENTO!$W$15,ROW(AQ525)-ROW(AQ$15),0),15-13*ORÇAMENTO!$AF$11)),0)</f>
        <v>0</v>
      </c>
      <c r="AR525" s="545">
        <f ca="1">IF(AND($D525="Serviço",AR$12&lt;&gt;0,$H525&gt;0,OR(AUTOEVENTO&lt;&gt;"manual",$M525&lt;&gt;1)),
IF(Import.TipoArredondamento&lt;&gt;"TransfereGOV",
ROUND(OFFSET($P525,0,AR$13),15-13*ORÇAMENTO!$AF$7)/$H525*OFFSET(ORÇAMENTO!$X$15,ROW(AR525)-ROW(AR$15),0),
ROUND(ROUND(OFFSET($P525,0,AR$13),15-13*ORÇAMENTO!$AF$7)*OFFSET(ORÇAMENTO!$W$15,ROW(AR525)-ROW(AR$15),0),15-13*ORÇAMENTO!$AF$11)),0)</f>
        <v>0</v>
      </c>
      <c r="AS525" s="546">
        <f ca="1">IF(AND($D525="Serviço",AS$12&lt;&gt;0,$H525&gt;0,OR(AUTOEVENTO&lt;&gt;"manual",$M525&lt;&gt;1)),
IF(Import.TipoArredondamento&lt;&gt;"TransfereGOV",
ROUND(OFFSET($P525,0,AS$13),15-13*ORÇAMENTO!$AF$7)/$H525*OFFSET(ORÇAMENTO!$X$15,ROW(AS525)-ROW(AS$15),0),
ROUND(ROUND(OFFSET($P525,0,AS$13),15-13*ORÇAMENTO!$AF$7)*OFFSET(ORÇAMENTO!$W$15,ROW(AS525)-ROW(AS$15),0),15-13*ORÇAMENTO!$AF$11)),0)</f>
        <v>0</v>
      </c>
      <c r="AT525" s="545">
        <f ca="1">IF(AND($D525="Serviço",AT$12&lt;&gt;0,$H525&gt;0,OR(AUTOEVENTO&lt;&gt;"manual",$M525&lt;&gt;1)),
IF(Import.TipoArredondamento&lt;&gt;"TransfereGOV",
ROUND(OFFSET($P525,0,AT$13),15-13*ORÇAMENTO!$AF$7)/$H525*OFFSET(ORÇAMENTO!$X$15,ROW(AT525)-ROW(AT$15),0),
ROUND(ROUND(OFFSET($P525,0,AT$13),15-13*ORÇAMENTO!$AF$7)*OFFSET(ORÇAMENTO!$W$15,ROW(AT525)-ROW(AT$15),0),15-13*ORÇAMENTO!$AF$11)),0)</f>
        <v>0</v>
      </c>
      <c r="AU525" s="545">
        <f ca="1">IF(AND($D525="Serviço",AU$12&lt;&gt;0,$H525&gt;0,OR(AUTOEVENTO&lt;&gt;"manual",$M525&lt;&gt;1)),
IF(Import.TipoArredondamento&lt;&gt;"TransfereGOV",
ROUND(OFFSET($P525,0,AU$13),15-13*ORÇAMENTO!$AF$7)/$H525*OFFSET(ORÇAMENTO!$X$15,ROW(AU525)-ROW(AU$15),0),
ROUND(ROUND(OFFSET($P525,0,AU$13),15-13*ORÇAMENTO!$AF$7)*OFFSET(ORÇAMENTO!$W$15,ROW(AU525)-ROW(AU$15),0),15-13*ORÇAMENTO!$AF$11)),0)</f>
        <v>0</v>
      </c>
      <c r="AV525" s="545">
        <f ca="1">IF(AND($D525="Serviço",AV$12&lt;&gt;0,$H525&gt;0,OR(AUTOEVENTO&lt;&gt;"manual",$M525&lt;&gt;1)),
IF(Import.TipoArredondamento&lt;&gt;"TransfereGOV",
ROUND(OFFSET($P525,0,AV$13),15-13*ORÇAMENTO!$AF$7)/$H525*OFFSET(ORÇAMENTO!$X$15,ROW(AV525)-ROW(AV$15),0),
ROUND(ROUND(OFFSET($P525,0,AV$13),15-13*ORÇAMENTO!$AF$7)*OFFSET(ORÇAMENTO!$W$15,ROW(AV525)-ROW(AV$15),0),15-13*ORÇAMENTO!$AF$11)),0)</f>
        <v>0</v>
      </c>
      <c r="AW525" s="545">
        <f ca="1">IF(AND($D525="Serviço",AW$12&lt;&gt;0,$H525&gt;0,OR(AUTOEVENTO&lt;&gt;"manual",$M525&lt;&gt;1)),
IF(Import.TipoArredondamento&lt;&gt;"TransfereGOV",
ROUND(OFFSET($P525,0,AW$13),15-13*ORÇAMENTO!$AF$7)/$H525*OFFSET(ORÇAMENTO!$X$15,ROW(AW525)-ROW(AW$15),0),
ROUND(ROUND(OFFSET($P525,0,AW$13),15-13*ORÇAMENTO!$AF$7)*OFFSET(ORÇAMENTO!$W$15,ROW(AW525)-ROW(AW$15),0),15-13*ORÇAMENTO!$AF$11)),0)</f>
        <v>0</v>
      </c>
      <c r="AX525" s="545">
        <f ca="1">IF(AND($D525="Serviço",AX$12&lt;&gt;0,$H525&gt;0,OR(AUTOEVENTO&lt;&gt;"manual",$M525&lt;&gt;1)),
IF(Import.TipoArredondamento&lt;&gt;"TransfereGOV",
ROUND(OFFSET($P525,0,AX$13),15-13*ORÇAMENTO!$AF$7)/$H525*OFFSET(ORÇAMENTO!$X$15,ROW(AX525)-ROW(AX$15),0),
ROUND(ROUND(OFFSET($P525,0,AX$13),15-13*ORÇAMENTO!$AF$7)*OFFSET(ORÇAMENTO!$W$15,ROW(AX525)-ROW(AX$15),0),15-13*ORÇAMENTO!$AF$11)),0)</f>
        <v>0</v>
      </c>
      <c r="AY525" s="545">
        <f ca="1">IF(AND($D525="Serviço",AY$12&lt;&gt;0,$H525&gt;0,OR(AUTOEVENTO&lt;&gt;"manual",$M525&lt;&gt;1)),
IF(Import.TipoArredondamento&lt;&gt;"TransfereGOV",
ROUND(OFFSET($P525,0,AY$13),15-13*ORÇAMENTO!$AF$7)/$H525*OFFSET(ORÇAMENTO!$X$15,ROW(AY525)-ROW(AY$15),0),
ROUND(ROUND(OFFSET($P525,0,AY$13),15-13*ORÇAMENTO!$AF$7)*OFFSET(ORÇAMENTO!$W$15,ROW(AY525)-ROW(AY$15),0),15-13*ORÇAMENTO!$AF$11)),0)</f>
        <v>0</v>
      </c>
      <c r="AZ525" s="545">
        <f ca="1">IF(AND($D525="Serviço",AZ$12&lt;&gt;0,$H525&gt;0,OR(AUTOEVENTO&lt;&gt;"manual",$M525&lt;&gt;1)),
IF(Import.TipoArredondamento&lt;&gt;"TransfereGOV",
ROUND(OFFSET($P525,0,AZ$13),15-13*ORÇAMENTO!$AF$7)/$H525*OFFSET(ORÇAMENTO!$X$15,ROW(AZ525)-ROW(AZ$15),0),
ROUND(ROUND(OFFSET($P525,0,AZ$13),15-13*ORÇAMENTO!$AF$7)*OFFSET(ORÇAMENTO!$W$15,ROW(AZ525)-ROW(AZ$15),0),15-13*ORÇAMENTO!$AF$11)),0)</f>
        <v>0</v>
      </c>
      <c r="BA525" s="546">
        <f ca="1">IF(AND($D525="Serviço",BA$12&lt;&gt;0,$H525&gt;0,OR(AUTOEVENTO&lt;&gt;"manual",$M525&lt;&gt;1)),
IF(Import.TipoArredondamento&lt;&gt;"TransfereGOV",
ROUND(OFFSET($P525,0,BA$13),15-13*ORÇAMENTO!$AF$7)/$H525*OFFSET(ORÇAMENTO!$X$15,ROW(BA525)-ROW(BA$15),0),
ROUND(ROUND(OFFSET($P525,0,BA$13),15-13*ORÇAMENTO!$AF$7)*OFFSET(ORÇAMENTO!$W$15,ROW(BA525)-ROW(BA$15),0),15-13*ORÇAMENTO!$AF$11)),0)</f>
        <v>0</v>
      </c>
      <c r="BC525" s="181">
        <f ca="1">IF($D525&lt;&gt;"Serviço",0,IF(AND(AUTOEVENTO="Manual",$M525=1),0,IF(OFFSET(CRONOPLE!$F$14,$M525,BC$13)="",10^12,OFFSET(CRONOPLE!$F$14,$M525,BC$13))))</f>
        <v>10</v>
      </c>
      <c r="BD525" s="181">
        <f ca="1">IF($D525&lt;&gt;"Serviço",0,IF(AND(AUTOEVENTO="Manual",$M525=1),0,IF(OFFSET(CRONOPLE!$F$14,$M525,BD$13)="",10^12,OFFSET(CRONOPLE!$F$14,$M525,BD$13))))</f>
        <v>1000000000000</v>
      </c>
      <c r="BE525" s="181">
        <f ca="1">IF($D525&lt;&gt;"Serviço",0,IF(AND(AUTOEVENTO="Manual",$M525=1),0,IF(OFFSET(CRONOPLE!$F$14,$M525,BE$13)="",10^12,OFFSET(CRONOPLE!$F$14,$M525,BE$13))))</f>
        <v>1000000000000</v>
      </c>
      <c r="BF525" s="181">
        <f ca="1">IF($D525&lt;&gt;"Serviço",0,IF(AND(AUTOEVENTO="Manual",$M525=1),0,IF(OFFSET(CRONOPLE!$F$14,$M525,BF$13)="",10^12,OFFSET(CRONOPLE!$F$14,$M525,BF$13))))</f>
        <v>1000000000000</v>
      </c>
      <c r="BG525" s="181">
        <f ca="1">IF($D525&lt;&gt;"Serviço",0,IF(AND(AUTOEVENTO="Manual",$M525=1),0,IF(OFFSET(CRONOPLE!$F$14,$M525,BG$13)="",10^12,OFFSET(CRONOPLE!$F$14,$M525,BG$13))))</f>
        <v>1000000000000</v>
      </c>
      <c r="BH525" s="181">
        <f ca="1">IF($D525&lt;&gt;"Serviço",0,IF(AND(AUTOEVENTO="Manual",$M525=1),0,IF(OFFSET(CRONOPLE!$F$14,$M525,BH$13)="",10^12,OFFSET(CRONOPLE!$F$14,$M525,BH$13))))</f>
        <v>1000000000000</v>
      </c>
      <c r="BI525" s="181">
        <f ca="1">IF($D525&lt;&gt;"Serviço",0,IF(AND(AUTOEVENTO="Manual",$M525=1),0,IF(OFFSET(CRONOPLE!$F$14,$M525,BI$13)="",10^12,OFFSET(CRONOPLE!$F$14,$M525,BI$13))))</f>
        <v>1000000000000</v>
      </c>
      <c r="BJ525" s="181">
        <f ca="1">IF($D525&lt;&gt;"Serviço",0,IF(AND(AUTOEVENTO="Manual",$M525=1),0,IF(OFFSET(CRONOPLE!$F$14,$M525,BJ$13)="",10^12,OFFSET(CRONOPLE!$F$14,$M525,BJ$13))))</f>
        <v>1000000000000</v>
      </c>
      <c r="BK525" s="181">
        <f ca="1">IF($D525&lt;&gt;"Serviço",0,IF(AND(AUTOEVENTO="Manual",$M525=1),0,IF(OFFSET(CRONOPLE!$F$14,$M525,BK$13)="",10^12,OFFSET(CRONOPLE!$F$14,$M525,BK$13))))</f>
        <v>1000000000000</v>
      </c>
      <c r="BL525" s="181">
        <f ca="1">IF($D525&lt;&gt;"Serviço",0,IF(AND(AUTOEVENTO="Manual",$M525=1),0,IF(OFFSET(CRONOPLE!$F$14,$M525,BL$13)="",10^12,OFFSET(CRONOPLE!$F$14,$M525,BL$13))))</f>
        <v>1000000000000</v>
      </c>
      <c r="BM525" s="181">
        <f ca="1">IF($D525&lt;&gt;"Serviço",0,IF(AND(AUTOEVENTO="Manual",$M525=1),0,IF(OFFSET(CRONOPLE!$F$14,$M525,BM$13)="",10^12,OFFSET(CRONOPLE!$F$14,$M525,BM$13))))</f>
        <v>1000000000000</v>
      </c>
      <c r="BN525" s="181">
        <f ca="1">IF($D525&lt;&gt;"Serviço",0,IF(AND(AUTOEVENTO="Manual",$M525=1),0,IF(OFFSET(CRONOPLE!$F$14,$M525,BN$13)="",10^12,OFFSET(CRONOPLE!$F$14,$M525,BN$13))))</f>
        <v>1000000000000</v>
      </c>
      <c r="BO525" s="181">
        <f ca="1">IF($D525&lt;&gt;"Serviço",0,IF(AND(AUTOEVENTO="Manual",$M525=1),0,IF(OFFSET(CRONOPLE!$F$14,$M525,BO$13)="",10^12,OFFSET(CRONOPLE!$F$14,$M525,BO$13))))</f>
        <v>1000000000000</v>
      </c>
      <c r="BP525" s="181">
        <f ca="1">IF($D525&lt;&gt;"Serviço",0,IF(AND(AUTOEVENTO="Manual",$M525=1),0,IF(OFFSET(CRONOPLE!$F$14,$M525,BP$13)="",10^12,OFFSET(CRONOPLE!$F$14,$M525,BP$13))))</f>
        <v>1000000000000</v>
      </c>
      <c r="BQ525" s="181">
        <f ca="1">IF($D525&lt;&gt;"Serviço",0,IF(AND(AUTOEVENTO="Manual",$M525=1),0,IF(OFFSET(CRONOPLE!$F$14,$M525,BQ$13)="",10^12,OFFSET(CRONOPLE!$F$14,$M525,BQ$13))))</f>
        <v>1000000000000</v>
      </c>
      <c r="BR525" s="181">
        <f ca="1">IF($D525&lt;&gt;"Serviço",0,IF(AND(AUTOEVENTO="Manual",$M525=1),0,IF(OFFSET(CRONOPLE!$F$14,$M525,BR$13)="",10^12,OFFSET(CRONOPLE!$F$14,$M525,BR$13))))</f>
        <v>1000000000000</v>
      </c>
      <c r="BS525" s="181">
        <f ca="1">IF($D525&lt;&gt;"Serviço",0,IF(AND(AUTOEVENTO="Manual",$M525=1),0,IF(OFFSET(CRONOPLE!$F$14,$M525,BS$13)="",10^12,OFFSET(CRONOPLE!$F$14,$M525,BS$13))))</f>
        <v>1000000000000</v>
      </c>
      <c r="BT525" s="181">
        <f ca="1">IF($D525&lt;&gt;"Serviço",0,IF(AND(AUTOEVENTO="Manual",$M525=1),0,IF(OFFSET(CRONOPLE!$F$14,$M525,BT$13)="",10^12,OFFSET(CRONOPLE!$F$14,$M525,BT$13))))</f>
        <v>1000000000000</v>
      </c>
      <c r="BV525" s="182">
        <f ca="1">IF($D525&lt;&gt;"Serviço",0,IF(OR(AND(AUTOEVENTO="Manual",$M525=1),$M525&gt;(ROW(PLE.lastrow)-ROW(PLE.firstrow))),0,IF(OFFSET(PLE!$G$14,$M525,BV$13)="",10^12,OFFSET(PLE!$G$14,$M525,BV$13))))</f>
        <v>1000000000000</v>
      </c>
      <c r="BW525" s="182">
        <f ca="1">IF($D525&lt;&gt;"Serviço",0,IF(OR(AND(AUTOEVENTO="Manual",$M525=1),$M525&gt;(ROW(PLE.lastrow)-ROW(PLE.firstrow))),0,IF(OFFSET(PLE!$G$14,$M525,BW$13)="",10^12,OFFSET(PLE!$G$14,$M525,BW$13))))</f>
        <v>1000000000000</v>
      </c>
      <c r="BX525" s="182">
        <f ca="1">IF($D525&lt;&gt;"Serviço",0,IF(OR(AND(AUTOEVENTO="Manual",$M525=1),$M525&gt;(ROW(PLE.lastrow)-ROW(PLE.firstrow))),0,IF(OFFSET(PLE!$G$14,$M525,BX$13)="",10^12,OFFSET(PLE!$G$14,$M525,BX$13))))</f>
        <v>1000000000000</v>
      </c>
      <c r="BY525" s="182">
        <f ca="1">IF($D525&lt;&gt;"Serviço",0,IF(OR(AND(AUTOEVENTO="Manual",$M525=1),$M525&gt;(ROW(PLE.lastrow)-ROW(PLE.firstrow))),0,IF(OFFSET(PLE!$G$14,$M525,BY$13)="",10^12,OFFSET(PLE!$G$14,$M525,BY$13))))</f>
        <v>1000000000000</v>
      </c>
      <c r="BZ525" s="182">
        <f ca="1">IF($D525&lt;&gt;"Serviço",0,IF(OR(AND(AUTOEVENTO="Manual",$M525=1),$M525&gt;(ROW(PLE.lastrow)-ROW(PLE.firstrow))),0,IF(OFFSET(PLE!$G$14,$M525,BZ$13)="",10^12,OFFSET(PLE!$G$14,$M525,BZ$13))))</f>
        <v>1000000000000</v>
      </c>
      <c r="CA525" s="182">
        <f ca="1">IF($D525&lt;&gt;"Serviço",0,IF(OR(AND(AUTOEVENTO="Manual",$M525=1),$M525&gt;(ROW(PLE.lastrow)-ROW(PLE.firstrow))),0,IF(OFFSET(PLE!$G$14,$M525,CA$13)="",10^12,OFFSET(PLE!$G$14,$M525,CA$13))))</f>
        <v>1000000000000</v>
      </c>
      <c r="CB525" s="182">
        <f ca="1">IF($D525&lt;&gt;"Serviço",0,IF(OR(AND(AUTOEVENTO="Manual",$M525=1),$M525&gt;(ROW(PLE.lastrow)-ROW(PLE.firstrow))),0,IF(OFFSET(PLE!$G$14,$M525,CB$13)="",10^12,OFFSET(PLE!$G$14,$M525,CB$13))))</f>
        <v>1000000000000</v>
      </c>
      <c r="CC525" s="182">
        <f ca="1">IF($D525&lt;&gt;"Serviço",0,IF(OR(AND(AUTOEVENTO="Manual",$M525=1),$M525&gt;(ROW(PLE.lastrow)-ROW(PLE.firstrow))),0,IF(OFFSET(PLE!$G$14,$M525,CC$13)="",10^12,OFFSET(PLE!$G$14,$M525,CC$13))))</f>
        <v>1000000000000</v>
      </c>
      <c r="CD525" s="182">
        <f ca="1">IF($D525&lt;&gt;"Serviço",0,IF(OR(AND(AUTOEVENTO="Manual",$M525=1),$M525&gt;(ROW(PLE.lastrow)-ROW(PLE.firstrow))),0,IF(OFFSET(PLE!$G$14,$M525,CD$13)="",10^12,OFFSET(PLE!$G$14,$M525,CD$13))))</f>
        <v>1000000000000</v>
      </c>
      <c r="CE525" s="182">
        <f ca="1">IF($D525&lt;&gt;"Serviço",0,IF(OR(AND(AUTOEVENTO="Manual",$M525=1),$M525&gt;(ROW(PLE.lastrow)-ROW(PLE.firstrow))),0,IF(OFFSET(PLE!$G$14,$M525,CE$13)="",10^12,OFFSET(PLE!$G$14,$M525,CE$13))))</f>
        <v>1000000000000</v>
      </c>
      <c r="CF525" s="182">
        <f ca="1">IF($D525&lt;&gt;"Serviço",0,IF(OR(AND(AUTOEVENTO="Manual",$M525=1),$M525&gt;(ROW(PLE.lastrow)-ROW(PLE.firstrow))),0,IF(OFFSET(PLE!$G$14,$M525,CF$13)="",10^12,OFFSET(PLE!$G$14,$M525,CF$13))))</f>
        <v>1000000000000</v>
      </c>
      <c r="CG525" s="182">
        <f ca="1">IF($D525&lt;&gt;"Serviço",0,IF(OR(AND(AUTOEVENTO="Manual",$M525=1),$M525&gt;(ROW(PLE.lastrow)-ROW(PLE.firstrow))),0,IF(OFFSET(PLE!$G$14,$M525,CG$13)="",10^12,OFFSET(PLE!$G$14,$M525,CG$13))))</f>
        <v>1000000000000</v>
      </c>
      <c r="CH525" s="182">
        <f ca="1">IF($D525&lt;&gt;"Serviço",0,IF(OR(AND(AUTOEVENTO="Manual",$M525=1),$M525&gt;(ROW(PLE.lastrow)-ROW(PLE.firstrow))),0,IF(OFFSET(PLE!$G$14,$M525,CH$13)="",10^12,OFFSET(PLE!$G$14,$M525,CH$13))))</f>
        <v>1000000000000</v>
      </c>
      <c r="CI525" s="182">
        <f ca="1">IF($D525&lt;&gt;"Serviço",0,IF(OR(AND(AUTOEVENTO="Manual",$M525=1),$M525&gt;(ROW(PLE.lastrow)-ROW(PLE.firstrow))),0,IF(OFFSET(PLE!$G$14,$M525,CI$13)="",10^12,OFFSET(PLE!$G$14,$M525,CI$13))))</f>
        <v>1000000000000</v>
      </c>
      <c r="CJ525" s="182">
        <f ca="1">IF($D525&lt;&gt;"Serviço",0,IF(OR(AND(AUTOEVENTO="Manual",$M525=1),$M525&gt;(ROW(PLE.lastrow)-ROW(PLE.firstrow))),0,IF(OFFSET(PLE!$G$14,$M525,CJ$13)="",10^12,OFFSET(PLE!$G$14,$M525,CJ$13))))</f>
        <v>1000000000000</v>
      </c>
      <c r="CK525" s="182">
        <f ca="1">IF($D525&lt;&gt;"Serviço",0,IF(OR(AND(AUTOEVENTO="Manual",$M525=1),$M525&gt;(ROW(PLE.lastrow)-ROW(PLE.firstrow))),0,IF(OFFSET(PLE!$G$14,$M525,CK$13)="",10^12,OFFSET(PLE!$G$14,$M525,CK$13))))</f>
        <v>1000000000000</v>
      </c>
      <c r="CL525" s="182">
        <f ca="1">IF($D525&lt;&gt;"Serviço",0,IF(OR(AND(AUTOEVENTO="Manual",$M525=1),$M525&gt;(ROW(PLE.lastrow)-ROW(PLE.firstrow))),0,IF(OFFSET(PLE!$G$14,$M525,CL$13)="",10^12,OFFSET(PLE!$G$14,$M525,CL$13))))</f>
        <v>1000000000000</v>
      </c>
      <c r="CM525" s="182">
        <f ca="1">IF($D525&lt;&gt;"Serviço",0,IF(OR(AND(AUTOEVENTO="Manual",$M525=1),$M525&gt;(ROW(PLE.lastrow)-ROW(PLE.firstrow))),0,IF(OFFSET(PLE!$G$14,$M525,CM$13)="",10^12,OFFSET(PLE!$G$14,$M525,CM$13))))</f>
        <v>1000000000000</v>
      </c>
    </row>
    <row r="526" spans="1:91" ht="12.75" x14ac:dyDescent="0.2">
      <c r="A526" s="7" t="str">
        <f t="shared" ca="1" si="16"/>
        <v>511.</v>
      </c>
      <c r="B526" s="7">
        <f ca="1">OFFSET(ORÇAMENTO!C$15,ROW(B526)-ROW(B$15),0)</f>
        <v>2</v>
      </c>
      <c r="C526" s="7" t="str">
        <f ca="1">OFFSET(ORÇAMENTO!L$15,ROW(C526)-ROW(C$15),0)</f>
        <v>F</v>
      </c>
      <c r="D526" s="118" t="str">
        <f ca="1">OFFSET(ORÇAMENTO!N$15,ROW(D526)-ROW(D$15),0)</f>
        <v>Nível 2</v>
      </c>
      <c r="E526" s="119" t="str">
        <f ca="1">OFFSET(ORÇAMENTO!O$15,ROW(E526)-ROW(E$15),0)</f>
        <v>1.54.</v>
      </c>
      <c r="F526" s="172" t="str">
        <f ca="1">OFFSET(ORÇAMENTO!R$15,ROW(F526)-ROW(F$15),0)</f>
        <v>INSTALAÇÃO ELÉTRICA 110V - CAIXAS DE PASSAGEM</v>
      </c>
      <c r="G526" s="173" t="str">
        <f ca="1">IF($D526&lt;&gt;"Serviço","",OFFSET(ORÇAMENTO!S$15,ROW(G526)-ROW(G$15),0))</f>
        <v/>
      </c>
      <c r="H526" s="124">
        <f ca="1">IF($D526&lt;&gt;"Serviço",0,IF(ACOMPANHAMENTO="BM",ROUND(OFFSET(ORÇAMENTO!AJ$15,ROW(H526)-ROW(H$15),0),15-13*ORÇAMENTO!$AF$7),SUMPRODUCT(($Q$12:$AI$12&lt;&gt;"")*ROUND($Q526:$AI526,15-13*ORÇAMENTO!$AF$7))))</f>
        <v>0</v>
      </c>
      <c r="I526" s="561"/>
      <c r="K526" s="174"/>
      <c r="L526" s="175" t="s">
        <v>255</v>
      </c>
      <c r="M526" s="176" t="str">
        <f ca="1">IF($D526&lt;&gt;"Serviço","",IF(AUTOEVENTO="manual",$A526,IF(ISERROR(MATCH($A526,$A$15:OFFSET($A526,-1,0),0)),MAX($M$15:OFFSET(M526,-1,0))+1,INDEX($M$15:OFFSET(M526,-1,0),MATCH($A526,$A$15:OFFSET($A526,-1,0),0)))))</f>
        <v/>
      </c>
      <c r="N526" s="177" t="str">
        <f ca="1">IF($D526&lt;&gt;"Serviço","",IF(AUTOEVENTO="Manual",IF($A526=0,"&lt;-- defina o número do agrupador",OFFSET(EVENTOS!$D$14,$A526,0)),OFFSET($F$15,$A526,0)))</f>
        <v/>
      </c>
      <c r="O526" s="178"/>
      <c r="Q526" s="178">
        <v>0</v>
      </c>
      <c r="R526" s="179"/>
      <c r="S526" s="179"/>
      <c r="T526" s="179"/>
      <c r="U526" s="179"/>
      <c r="V526" s="179"/>
      <c r="W526" s="179"/>
      <c r="X526" s="179"/>
      <c r="Y526" s="179"/>
      <c r="Z526" s="180"/>
      <c r="AA526" s="179"/>
      <c r="AB526" s="179"/>
      <c r="AC526" s="179"/>
      <c r="AD526" s="179"/>
      <c r="AE526" s="179"/>
      <c r="AF526" s="179"/>
      <c r="AG526" s="179"/>
      <c r="AH526" s="180"/>
      <c r="AJ526" s="544">
        <f ca="1">IF(AND($D526="Serviço",AJ$12&lt;&gt;0,$H526&gt;0,OR(AUTOEVENTO&lt;&gt;"manual",$M526&lt;&gt;1)),
IF(Import.TipoArredondamento&lt;&gt;"TransfereGOV",
ROUND(OFFSET($P526,0,AJ$13),15-13*ORÇAMENTO!$AF$7)/$H526*OFFSET(ORÇAMENTO!$X$15,ROW(AJ526)-ROW(AJ$15),0),
ROUND(ROUND(OFFSET($P526,0,AJ$13),15-13*ORÇAMENTO!$AF$7)*OFFSET(ORÇAMENTO!$W$15,ROW(AJ526)-ROW(AJ$15),0),15-13*ORÇAMENTO!$AF$11)),0)</f>
        <v>0</v>
      </c>
      <c r="AK526" s="545">
        <f ca="1">IF(AND($D526="Serviço",AK$12&lt;&gt;0,$H526&gt;0,OR(AUTOEVENTO&lt;&gt;"manual",$M526&lt;&gt;1)),
IF(Import.TipoArredondamento&lt;&gt;"TransfereGOV",
ROUND(OFFSET($P526,0,AK$13),15-13*ORÇAMENTO!$AF$7)/$H526*OFFSET(ORÇAMENTO!$X$15,ROW(AK526)-ROW(AK$15),0),
ROUND(ROUND(OFFSET($P526,0,AK$13),15-13*ORÇAMENTO!$AF$7)*OFFSET(ORÇAMENTO!$W$15,ROW(AK526)-ROW(AK$15),0),15-13*ORÇAMENTO!$AF$11)),0)</f>
        <v>0</v>
      </c>
      <c r="AL526" s="545">
        <f ca="1">IF(AND($D526="Serviço",AL$12&lt;&gt;0,$H526&gt;0,OR(AUTOEVENTO&lt;&gt;"manual",$M526&lt;&gt;1)),
IF(Import.TipoArredondamento&lt;&gt;"TransfereGOV",
ROUND(OFFSET($P526,0,AL$13),15-13*ORÇAMENTO!$AF$7)/$H526*OFFSET(ORÇAMENTO!$X$15,ROW(AL526)-ROW(AL$15),0),
ROUND(ROUND(OFFSET($P526,0,AL$13),15-13*ORÇAMENTO!$AF$7)*OFFSET(ORÇAMENTO!$W$15,ROW(AL526)-ROW(AL$15),0),15-13*ORÇAMENTO!$AF$11)),0)</f>
        <v>0</v>
      </c>
      <c r="AM526" s="545">
        <f ca="1">IF(AND($D526="Serviço",AM$12&lt;&gt;0,$H526&gt;0,OR(AUTOEVENTO&lt;&gt;"manual",$M526&lt;&gt;1)),
IF(Import.TipoArredondamento&lt;&gt;"TransfereGOV",
ROUND(OFFSET($P526,0,AM$13),15-13*ORÇAMENTO!$AF$7)/$H526*OFFSET(ORÇAMENTO!$X$15,ROW(AM526)-ROW(AM$15),0),
ROUND(ROUND(OFFSET($P526,0,AM$13),15-13*ORÇAMENTO!$AF$7)*OFFSET(ORÇAMENTO!$W$15,ROW(AM526)-ROW(AM$15),0),15-13*ORÇAMENTO!$AF$11)),0)</f>
        <v>0</v>
      </c>
      <c r="AN526" s="545">
        <f ca="1">IF(AND($D526="Serviço",AN$12&lt;&gt;0,$H526&gt;0,OR(AUTOEVENTO&lt;&gt;"manual",$M526&lt;&gt;1)),
IF(Import.TipoArredondamento&lt;&gt;"TransfereGOV",
ROUND(OFFSET($P526,0,AN$13),15-13*ORÇAMENTO!$AF$7)/$H526*OFFSET(ORÇAMENTO!$X$15,ROW(AN526)-ROW(AN$15),0),
ROUND(ROUND(OFFSET($P526,0,AN$13),15-13*ORÇAMENTO!$AF$7)*OFFSET(ORÇAMENTO!$W$15,ROW(AN526)-ROW(AN$15),0),15-13*ORÇAMENTO!$AF$11)),0)</f>
        <v>0</v>
      </c>
      <c r="AO526" s="545">
        <f ca="1">IF(AND($D526="Serviço",AO$12&lt;&gt;0,$H526&gt;0,OR(AUTOEVENTO&lt;&gt;"manual",$M526&lt;&gt;1)),
IF(Import.TipoArredondamento&lt;&gt;"TransfereGOV",
ROUND(OFFSET($P526,0,AO$13),15-13*ORÇAMENTO!$AF$7)/$H526*OFFSET(ORÇAMENTO!$X$15,ROW(AO526)-ROW(AO$15),0),
ROUND(ROUND(OFFSET($P526,0,AO$13),15-13*ORÇAMENTO!$AF$7)*OFFSET(ORÇAMENTO!$W$15,ROW(AO526)-ROW(AO$15),0),15-13*ORÇAMENTO!$AF$11)),0)</f>
        <v>0</v>
      </c>
      <c r="AP526" s="545">
        <f ca="1">IF(AND($D526="Serviço",AP$12&lt;&gt;0,$H526&gt;0,OR(AUTOEVENTO&lt;&gt;"manual",$M526&lt;&gt;1)),
IF(Import.TipoArredondamento&lt;&gt;"TransfereGOV",
ROUND(OFFSET($P526,0,AP$13),15-13*ORÇAMENTO!$AF$7)/$H526*OFFSET(ORÇAMENTO!$X$15,ROW(AP526)-ROW(AP$15),0),
ROUND(ROUND(OFFSET($P526,0,AP$13),15-13*ORÇAMENTO!$AF$7)*OFFSET(ORÇAMENTO!$W$15,ROW(AP526)-ROW(AP$15),0),15-13*ORÇAMENTO!$AF$11)),0)</f>
        <v>0</v>
      </c>
      <c r="AQ526" s="545">
        <f ca="1">IF(AND($D526="Serviço",AQ$12&lt;&gt;0,$H526&gt;0,OR(AUTOEVENTO&lt;&gt;"manual",$M526&lt;&gt;1)),
IF(Import.TipoArredondamento&lt;&gt;"TransfereGOV",
ROUND(OFFSET($P526,0,AQ$13),15-13*ORÇAMENTO!$AF$7)/$H526*OFFSET(ORÇAMENTO!$X$15,ROW(AQ526)-ROW(AQ$15),0),
ROUND(ROUND(OFFSET($P526,0,AQ$13),15-13*ORÇAMENTO!$AF$7)*OFFSET(ORÇAMENTO!$W$15,ROW(AQ526)-ROW(AQ$15),0),15-13*ORÇAMENTO!$AF$11)),0)</f>
        <v>0</v>
      </c>
      <c r="AR526" s="545">
        <f ca="1">IF(AND($D526="Serviço",AR$12&lt;&gt;0,$H526&gt;0,OR(AUTOEVENTO&lt;&gt;"manual",$M526&lt;&gt;1)),
IF(Import.TipoArredondamento&lt;&gt;"TransfereGOV",
ROUND(OFFSET($P526,0,AR$13),15-13*ORÇAMENTO!$AF$7)/$H526*OFFSET(ORÇAMENTO!$X$15,ROW(AR526)-ROW(AR$15),0),
ROUND(ROUND(OFFSET($P526,0,AR$13),15-13*ORÇAMENTO!$AF$7)*OFFSET(ORÇAMENTO!$W$15,ROW(AR526)-ROW(AR$15),0),15-13*ORÇAMENTO!$AF$11)),0)</f>
        <v>0</v>
      </c>
      <c r="AS526" s="546">
        <f ca="1">IF(AND($D526="Serviço",AS$12&lt;&gt;0,$H526&gt;0,OR(AUTOEVENTO&lt;&gt;"manual",$M526&lt;&gt;1)),
IF(Import.TipoArredondamento&lt;&gt;"TransfereGOV",
ROUND(OFFSET($P526,0,AS$13),15-13*ORÇAMENTO!$AF$7)/$H526*OFFSET(ORÇAMENTO!$X$15,ROW(AS526)-ROW(AS$15),0),
ROUND(ROUND(OFFSET($P526,0,AS$13),15-13*ORÇAMENTO!$AF$7)*OFFSET(ORÇAMENTO!$W$15,ROW(AS526)-ROW(AS$15),0),15-13*ORÇAMENTO!$AF$11)),0)</f>
        <v>0</v>
      </c>
      <c r="AT526" s="545">
        <f ca="1">IF(AND($D526="Serviço",AT$12&lt;&gt;0,$H526&gt;0,OR(AUTOEVENTO&lt;&gt;"manual",$M526&lt;&gt;1)),
IF(Import.TipoArredondamento&lt;&gt;"TransfereGOV",
ROUND(OFFSET($P526,0,AT$13),15-13*ORÇAMENTO!$AF$7)/$H526*OFFSET(ORÇAMENTO!$X$15,ROW(AT526)-ROW(AT$15),0),
ROUND(ROUND(OFFSET($P526,0,AT$13),15-13*ORÇAMENTO!$AF$7)*OFFSET(ORÇAMENTO!$W$15,ROW(AT526)-ROW(AT$15),0),15-13*ORÇAMENTO!$AF$11)),0)</f>
        <v>0</v>
      </c>
      <c r="AU526" s="545">
        <f ca="1">IF(AND($D526="Serviço",AU$12&lt;&gt;0,$H526&gt;0,OR(AUTOEVENTO&lt;&gt;"manual",$M526&lt;&gt;1)),
IF(Import.TipoArredondamento&lt;&gt;"TransfereGOV",
ROUND(OFFSET($P526,0,AU$13),15-13*ORÇAMENTO!$AF$7)/$H526*OFFSET(ORÇAMENTO!$X$15,ROW(AU526)-ROW(AU$15),0),
ROUND(ROUND(OFFSET($P526,0,AU$13),15-13*ORÇAMENTO!$AF$7)*OFFSET(ORÇAMENTO!$W$15,ROW(AU526)-ROW(AU$15),0),15-13*ORÇAMENTO!$AF$11)),0)</f>
        <v>0</v>
      </c>
      <c r="AV526" s="545">
        <f ca="1">IF(AND($D526="Serviço",AV$12&lt;&gt;0,$H526&gt;0,OR(AUTOEVENTO&lt;&gt;"manual",$M526&lt;&gt;1)),
IF(Import.TipoArredondamento&lt;&gt;"TransfereGOV",
ROUND(OFFSET($P526,0,AV$13),15-13*ORÇAMENTO!$AF$7)/$H526*OFFSET(ORÇAMENTO!$X$15,ROW(AV526)-ROW(AV$15),0),
ROUND(ROUND(OFFSET($P526,0,AV$13),15-13*ORÇAMENTO!$AF$7)*OFFSET(ORÇAMENTO!$W$15,ROW(AV526)-ROW(AV$15),0),15-13*ORÇAMENTO!$AF$11)),0)</f>
        <v>0</v>
      </c>
      <c r="AW526" s="545">
        <f ca="1">IF(AND($D526="Serviço",AW$12&lt;&gt;0,$H526&gt;0,OR(AUTOEVENTO&lt;&gt;"manual",$M526&lt;&gt;1)),
IF(Import.TipoArredondamento&lt;&gt;"TransfereGOV",
ROUND(OFFSET($P526,0,AW$13),15-13*ORÇAMENTO!$AF$7)/$H526*OFFSET(ORÇAMENTO!$X$15,ROW(AW526)-ROW(AW$15),0),
ROUND(ROUND(OFFSET($P526,0,AW$13),15-13*ORÇAMENTO!$AF$7)*OFFSET(ORÇAMENTO!$W$15,ROW(AW526)-ROW(AW$15),0),15-13*ORÇAMENTO!$AF$11)),0)</f>
        <v>0</v>
      </c>
      <c r="AX526" s="545">
        <f ca="1">IF(AND($D526="Serviço",AX$12&lt;&gt;0,$H526&gt;0,OR(AUTOEVENTO&lt;&gt;"manual",$M526&lt;&gt;1)),
IF(Import.TipoArredondamento&lt;&gt;"TransfereGOV",
ROUND(OFFSET($P526,0,AX$13),15-13*ORÇAMENTO!$AF$7)/$H526*OFFSET(ORÇAMENTO!$X$15,ROW(AX526)-ROW(AX$15),0),
ROUND(ROUND(OFFSET($P526,0,AX$13),15-13*ORÇAMENTO!$AF$7)*OFFSET(ORÇAMENTO!$W$15,ROW(AX526)-ROW(AX$15),0),15-13*ORÇAMENTO!$AF$11)),0)</f>
        <v>0</v>
      </c>
      <c r="AY526" s="545">
        <f ca="1">IF(AND($D526="Serviço",AY$12&lt;&gt;0,$H526&gt;0,OR(AUTOEVENTO&lt;&gt;"manual",$M526&lt;&gt;1)),
IF(Import.TipoArredondamento&lt;&gt;"TransfereGOV",
ROUND(OFFSET($P526,0,AY$13),15-13*ORÇAMENTO!$AF$7)/$H526*OFFSET(ORÇAMENTO!$X$15,ROW(AY526)-ROW(AY$15),0),
ROUND(ROUND(OFFSET($P526,0,AY$13),15-13*ORÇAMENTO!$AF$7)*OFFSET(ORÇAMENTO!$W$15,ROW(AY526)-ROW(AY$15),0),15-13*ORÇAMENTO!$AF$11)),0)</f>
        <v>0</v>
      </c>
      <c r="AZ526" s="545">
        <f ca="1">IF(AND($D526="Serviço",AZ$12&lt;&gt;0,$H526&gt;0,OR(AUTOEVENTO&lt;&gt;"manual",$M526&lt;&gt;1)),
IF(Import.TipoArredondamento&lt;&gt;"TransfereGOV",
ROUND(OFFSET($P526,0,AZ$13),15-13*ORÇAMENTO!$AF$7)/$H526*OFFSET(ORÇAMENTO!$X$15,ROW(AZ526)-ROW(AZ$15),0),
ROUND(ROUND(OFFSET($P526,0,AZ$13),15-13*ORÇAMENTO!$AF$7)*OFFSET(ORÇAMENTO!$W$15,ROW(AZ526)-ROW(AZ$15),0),15-13*ORÇAMENTO!$AF$11)),0)</f>
        <v>0</v>
      </c>
      <c r="BA526" s="546">
        <f ca="1">IF(AND($D526="Serviço",BA$12&lt;&gt;0,$H526&gt;0,OR(AUTOEVENTO&lt;&gt;"manual",$M526&lt;&gt;1)),
IF(Import.TipoArredondamento&lt;&gt;"TransfereGOV",
ROUND(OFFSET($P526,0,BA$13),15-13*ORÇAMENTO!$AF$7)/$H526*OFFSET(ORÇAMENTO!$X$15,ROW(BA526)-ROW(BA$15),0),
ROUND(ROUND(OFFSET($P526,0,BA$13),15-13*ORÇAMENTO!$AF$7)*OFFSET(ORÇAMENTO!$W$15,ROW(BA526)-ROW(BA$15),0),15-13*ORÇAMENTO!$AF$11)),0)</f>
        <v>0</v>
      </c>
      <c r="BC526" s="181">
        <f ca="1">IF($D526&lt;&gt;"Serviço",0,IF(AND(AUTOEVENTO="Manual",$M526=1),0,IF(OFFSET(CRONOPLE!$F$14,$M526,BC$13)="",10^12,OFFSET(CRONOPLE!$F$14,$M526,BC$13))))</f>
        <v>0</v>
      </c>
      <c r="BD526" s="181">
        <f ca="1">IF($D526&lt;&gt;"Serviço",0,IF(AND(AUTOEVENTO="Manual",$M526=1),0,IF(OFFSET(CRONOPLE!$F$14,$M526,BD$13)="",10^12,OFFSET(CRONOPLE!$F$14,$M526,BD$13))))</f>
        <v>0</v>
      </c>
      <c r="BE526" s="181">
        <f ca="1">IF($D526&lt;&gt;"Serviço",0,IF(AND(AUTOEVENTO="Manual",$M526=1),0,IF(OFFSET(CRONOPLE!$F$14,$M526,BE$13)="",10^12,OFFSET(CRONOPLE!$F$14,$M526,BE$13))))</f>
        <v>0</v>
      </c>
      <c r="BF526" s="181">
        <f ca="1">IF($D526&lt;&gt;"Serviço",0,IF(AND(AUTOEVENTO="Manual",$M526=1),0,IF(OFFSET(CRONOPLE!$F$14,$M526,BF$13)="",10^12,OFFSET(CRONOPLE!$F$14,$M526,BF$13))))</f>
        <v>0</v>
      </c>
      <c r="BG526" s="181">
        <f ca="1">IF($D526&lt;&gt;"Serviço",0,IF(AND(AUTOEVENTO="Manual",$M526=1),0,IF(OFFSET(CRONOPLE!$F$14,$M526,BG$13)="",10^12,OFFSET(CRONOPLE!$F$14,$M526,BG$13))))</f>
        <v>0</v>
      </c>
      <c r="BH526" s="181">
        <f ca="1">IF($D526&lt;&gt;"Serviço",0,IF(AND(AUTOEVENTO="Manual",$M526=1),0,IF(OFFSET(CRONOPLE!$F$14,$M526,BH$13)="",10^12,OFFSET(CRONOPLE!$F$14,$M526,BH$13))))</f>
        <v>0</v>
      </c>
      <c r="BI526" s="181">
        <f ca="1">IF($D526&lt;&gt;"Serviço",0,IF(AND(AUTOEVENTO="Manual",$M526=1),0,IF(OFFSET(CRONOPLE!$F$14,$M526,BI$13)="",10^12,OFFSET(CRONOPLE!$F$14,$M526,BI$13))))</f>
        <v>0</v>
      </c>
      <c r="BJ526" s="181">
        <f ca="1">IF($D526&lt;&gt;"Serviço",0,IF(AND(AUTOEVENTO="Manual",$M526=1),0,IF(OFFSET(CRONOPLE!$F$14,$M526,BJ$13)="",10^12,OFFSET(CRONOPLE!$F$14,$M526,BJ$13))))</f>
        <v>0</v>
      </c>
      <c r="BK526" s="181">
        <f ca="1">IF($D526&lt;&gt;"Serviço",0,IF(AND(AUTOEVENTO="Manual",$M526=1),0,IF(OFFSET(CRONOPLE!$F$14,$M526,BK$13)="",10^12,OFFSET(CRONOPLE!$F$14,$M526,BK$13))))</f>
        <v>0</v>
      </c>
      <c r="BL526" s="181">
        <f ca="1">IF($D526&lt;&gt;"Serviço",0,IF(AND(AUTOEVENTO="Manual",$M526=1),0,IF(OFFSET(CRONOPLE!$F$14,$M526,BL$13)="",10^12,OFFSET(CRONOPLE!$F$14,$M526,BL$13))))</f>
        <v>0</v>
      </c>
      <c r="BM526" s="181">
        <f ca="1">IF($D526&lt;&gt;"Serviço",0,IF(AND(AUTOEVENTO="Manual",$M526=1),0,IF(OFFSET(CRONOPLE!$F$14,$M526,BM$13)="",10^12,OFFSET(CRONOPLE!$F$14,$M526,BM$13))))</f>
        <v>0</v>
      </c>
      <c r="BN526" s="181">
        <f ca="1">IF($D526&lt;&gt;"Serviço",0,IF(AND(AUTOEVENTO="Manual",$M526=1),0,IF(OFFSET(CRONOPLE!$F$14,$M526,BN$13)="",10^12,OFFSET(CRONOPLE!$F$14,$M526,BN$13))))</f>
        <v>0</v>
      </c>
      <c r="BO526" s="181">
        <f ca="1">IF($D526&lt;&gt;"Serviço",0,IF(AND(AUTOEVENTO="Manual",$M526=1),0,IF(OFFSET(CRONOPLE!$F$14,$M526,BO$13)="",10^12,OFFSET(CRONOPLE!$F$14,$M526,BO$13))))</f>
        <v>0</v>
      </c>
      <c r="BP526" s="181">
        <f ca="1">IF($D526&lt;&gt;"Serviço",0,IF(AND(AUTOEVENTO="Manual",$M526=1),0,IF(OFFSET(CRONOPLE!$F$14,$M526,BP$13)="",10^12,OFFSET(CRONOPLE!$F$14,$M526,BP$13))))</f>
        <v>0</v>
      </c>
      <c r="BQ526" s="181">
        <f ca="1">IF($D526&lt;&gt;"Serviço",0,IF(AND(AUTOEVENTO="Manual",$M526=1),0,IF(OFFSET(CRONOPLE!$F$14,$M526,BQ$13)="",10^12,OFFSET(CRONOPLE!$F$14,$M526,BQ$13))))</f>
        <v>0</v>
      </c>
      <c r="BR526" s="181">
        <f ca="1">IF($D526&lt;&gt;"Serviço",0,IF(AND(AUTOEVENTO="Manual",$M526=1),0,IF(OFFSET(CRONOPLE!$F$14,$M526,BR$13)="",10^12,OFFSET(CRONOPLE!$F$14,$M526,BR$13))))</f>
        <v>0</v>
      </c>
      <c r="BS526" s="181">
        <f ca="1">IF($D526&lt;&gt;"Serviço",0,IF(AND(AUTOEVENTO="Manual",$M526=1),0,IF(OFFSET(CRONOPLE!$F$14,$M526,BS$13)="",10^12,OFFSET(CRONOPLE!$F$14,$M526,BS$13))))</f>
        <v>0</v>
      </c>
      <c r="BT526" s="181">
        <f ca="1">IF($D526&lt;&gt;"Serviço",0,IF(AND(AUTOEVENTO="Manual",$M526=1),0,IF(OFFSET(CRONOPLE!$F$14,$M526,BT$13)="",10^12,OFFSET(CRONOPLE!$F$14,$M526,BT$13))))</f>
        <v>0</v>
      </c>
      <c r="BV526" s="182">
        <f ca="1">IF($D526&lt;&gt;"Serviço",0,IF(OR(AND(AUTOEVENTO="Manual",$M526=1),$M526&gt;(ROW(PLE.lastrow)-ROW(PLE.firstrow))),0,IF(OFFSET(PLE!$G$14,$M526,BV$13)="",10^12,OFFSET(PLE!$G$14,$M526,BV$13))))</f>
        <v>0</v>
      </c>
      <c r="BW526" s="182">
        <f ca="1">IF($D526&lt;&gt;"Serviço",0,IF(OR(AND(AUTOEVENTO="Manual",$M526=1),$M526&gt;(ROW(PLE.lastrow)-ROW(PLE.firstrow))),0,IF(OFFSET(PLE!$G$14,$M526,BW$13)="",10^12,OFFSET(PLE!$G$14,$M526,BW$13))))</f>
        <v>0</v>
      </c>
      <c r="BX526" s="182">
        <f ca="1">IF($D526&lt;&gt;"Serviço",0,IF(OR(AND(AUTOEVENTO="Manual",$M526=1),$M526&gt;(ROW(PLE.lastrow)-ROW(PLE.firstrow))),0,IF(OFFSET(PLE!$G$14,$M526,BX$13)="",10^12,OFFSET(PLE!$G$14,$M526,BX$13))))</f>
        <v>0</v>
      </c>
      <c r="BY526" s="182">
        <f ca="1">IF($D526&lt;&gt;"Serviço",0,IF(OR(AND(AUTOEVENTO="Manual",$M526=1),$M526&gt;(ROW(PLE.lastrow)-ROW(PLE.firstrow))),0,IF(OFFSET(PLE!$G$14,$M526,BY$13)="",10^12,OFFSET(PLE!$G$14,$M526,BY$13))))</f>
        <v>0</v>
      </c>
      <c r="BZ526" s="182">
        <f ca="1">IF($D526&lt;&gt;"Serviço",0,IF(OR(AND(AUTOEVENTO="Manual",$M526=1),$M526&gt;(ROW(PLE.lastrow)-ROW(PLE.firstrow))),0,IF(OFFSET(PLE!$G$14,$M526,BZ$13)="",10^12,OFFSET(PLE!$G$14,$M526,BZ$13))))</f>
        <v>0</v>
      </c>
      <c r="CA526" s="182">
        <f ca="1">IF($D526&lt;&gt;"Serviço",0,IF(OR(AND(AUTOEVENTO="Manual",$M526=1),$M526&gt;(ROW(PLE.lastrow)-ROW(PLE.firstrow))),0,IF(OFFSET(PLE!$G$14,$M526,CA$13)="",10^12,OFFSET(PLE!$G$14,$M526,CA$13))))</f>
        <v>0</v>
      </c>
      <c r="CB526" s="182">
        <f ca="1">IF($D526&lt;&gt;"Serviço",0,IF(OR(AND(AUTOEVENTO="Manual",$M526=1),$M526&gt;(ROW(PLE.lastrow)-ROW(PLE.firstrow))),0,IF(OFFSET(PLE!$G$14,$M526,CB$13)="",10^12,OFFSET(PLE!$G$14,$M526,CB$13))))</f>
        <v>0</v>
      </c>
      <c r="CC526" s="182">
        <f ca="1">IF($D526&lt;&gt;"Serviço",0,IF(OR(AND(AUTOEVENTO="Manual",$M526=1),$M526&gt;(ROW(PLE.lastrow)-ROW(PLE.firstrow))),0,IF(OFFSET(PLE!$G$14,$M526,CC$13)="",10^12,OFFSET(PLE!$G$14,$M526,CC$13))))</f>
        <v>0</v>
      </c>
      <c r="CD526" s="182">
        <f ca="1">IF($D526&lt;&gt;"Serviço",0,IF(OR(AND(AUTOEVENTO="Manual",$M526=1),$M526&gt;(ROW(PLE.lastrow)-ROW(PLE.firstrow))),0,IF(OFFSET(PLE!$G$14,$M526,CD$13)="",10^12,OFFSET(PLE!$G$14,$M526,CD$13))))</f>
        <v>0</v>
      </c>
      <c r="CE526" s="182">
        <f ca="1">IF($D526&lt;&gt;"Serviço",0,IF(OR(AND(AUTOEVENTO="Manual",$M526=1),$M526&gt;(ROW(PLE.lastrow)-ROW(PLE.firstrow))),0,IF(OFFSET(PLE!$G$14,$M526,CE$13)="",10^12,OFFSET(PLE!$G$14,$M526,CE$13))))</f>
        <v>0</v>
      </c>
      <c r="CF526" s="182">
        <f ca="1">IF($D526&lt;&gt;"Serviço",0,IF(OR(AND(AUTOEVENTO="Manual",$M526=1),$M526&gt;(ROW(PLE.lastrow)-ROW(PLE.firstrow))),0,IF(OFFSET(PLE!$G$14,$M526,CF$13)="",10^12,OFFSET(PLE!$G$14,$M526,CF$13))))</f>
        <v>0</v>
      </c>
      <c r="CG526" s="182">
        <f ca="1">IF($D526&lt;&gt;"Serviço",0,IF(OR(AND(AUTOEVENTO="Manual",$M526=1),$M526&gt;(ROW(PLE.lastrow)-ROW(PLE.firstrow))),0,IF(OFFSET(PLE!$G$14,$M526,CG$13)="",10^12,OFFSET(PLE!$G$14,$M526,CG$13))))</f>
        <v>0</v>
      </c>
      <c r="CH526" s="182">
        <f ca="1">IF($D526&lt;&gt;"Serviço",0,IF(OR(AND(AUTOEVENTO="Manual",$M526=1),$M526&gt;(ROW(PLE.lastrow)-ROW(PLE.firstrow))),0,IF(OFFSET(PLE!$G$14,$M526,CH$13)="",10^12,OFFSET(PLE!$G$14,$M526,CH$13))))</f>
        <v>0</v>
      </c>
      <c r="CI526" s="182">
        <f ca="1">IF($D526&lt;&gt;"Serviço",0,IF(OR(AND(AUTOEVENTO="Manual",$M526=1),$M526&gt;(ROW(PLE.lastrow)-ROW(PLE.firstrow))),0,IF(OFFSET(PLE!$G$14,$M526,CI$13)="",10^12,OFFSET(PLE!$G$14,$M526,CI$13))))</f>
        <v>0</v>
      </c>
      <c r="CJ526" s="182">
        <f ca="1">IF($D526&lt;&gt;"Serviço",0,IF(OR(AND(AUTOEVENTO="Manual",$M526=1),$M526&gt;(ROW(PLE.lastrow)-ROW(PLE.firstrow))),0,IF(OFFSET(PLE!$G$14,$M526,CJ$13)="",10^12,OFFSET(PLE!$G$14,$M526,CJ$13))))</f>
        <v>0</v>
      </c>
      <c r="CK526" s="182">
        <f ca="1">IF($D526&lt;&gt;"Serviço",0,IF(OR(AND(AUTOEVENTO="Manual",$M526=1),$M526&gt;(ROW(PLE.lastrow)-ROW(PLE.firstrow))),0,IF(OFFSET(PLE!$G$14,$M526,CK$13)="",10^12,OFFSET(PLE!$G$14,$M526,CK$13))))</f>
        <v>0</v>
      </c>
      <c r="CL526" s="182">
        <f ca="1">IF($D526&lt;&gt;"Serviço",0,IF(OR(AND(AUTOEVENTO="Manual",$M526=1),$M526&gt;(ROW(PLE.lastrow)-ROW(PLE.firstrow))),0,IF(OFFSET(PLE!$G$14,$M526,CL$13)="",10^12,OFFSET(PLE!$G$14,$M526,CL$13))))</f>
        <v>0</v>
      </c>
      <c r="CM526" s="182">
        <f ca="1">IF($D526&lt;&gt;"Serviço",0,IF(OR(AND(AUTOEVENTO="Manual",$M526=1),$M526&gt;(ROW(PLE.lastrow)-ROW(PLE.firstrow))),0,IF(OFFSET(PLE!$G$14,$M526,CM$13)="",10^12,OFFSET(PLE!$G$14,$M526,CM$13))))</f>
        <v>0</v>
      </c>
    </row>
    <row r="527" spans="1:91" ht="25.5" x14ac:dyDescent="0.2">
      <c r="A527" s="7" t="str">
        <f t="shared" ca="1" si="16"/>
        <v>511</v>
      </c>
      <c r="B527" s="7" t="str">
        <f ca="1">OFFSET(ORÇAMENTO!C$15,ROW(B527)-ROW(B$15),0)</f>
        <v>S</v>
      </c>
      <c r="C527" s="7" t="str">
        <f ca="1">OFFSET(ORÇAMENTO!L$15,ROW(C527)-ROW(C$15),0)</f>
        <v/>
      </c>
      <c r="D527" s="118" t="str">
        <f ca="1">OFFSET(ORÇAMENTO!N$15,ROW(D527)-ROW(D$15),0)</f>
        <v>Serviço</v>
      </c>
      <c r="E527" s="119" t="str">
        <f ca="1">OFFSET(ORÇAMENTO!O$15,ROW(E527)-ROW(E$15),0)</f>
        <v>-</v>
      </c>
      <c r="F527" s="172" t="str">
        <f ca="1">OFFSET(ORÇAMENTO!R$15,ROW(F527)-ROW(F$15),0)</f>
        <v>(abra o arquivo 'Referência 06-2024.xlsm)</v>
      </c>
      <c r="G527" s="173" t="str">
        <f ca="1">IF($D527&lt;&gt;"Serviço","",OFFSET(ORÇAMENTO!S$15,ROW(G527)-ROW(G$15),0))</f>
        <v>-</v>
      </c>
      <c r="H527" s="124">
        <f ca="1">IF($D527&lt;&gt;"Serviço",0,IF(ACOMPANHAMENTO="BM",ROUND(OFFSET(ORÇAMENTO!AJ$15,ROW(H527)-ROW(H$15),0),15-13*ORÇAMENTO!$AF$7),SUMPRODUCT(($Q$12:$AI$12&lt;&gt;"")*ROUND($Q527:$AI527,15-13*ORÇAMENTO!$AF$7))))</f>
        <v>3</v>
      </c>
      <c r="I527" s="561" t="s">
        <v>1107</v>
      </c>
      <c r="K527" s="174"/>
      <c r="L527" s="175" t="s">
        <v>255</v>
      </c>
      <c r="M527" s="176">
        <f ca="1">IF($D527&lt;&gt;"Serviço","",IF(AUTOEVENTO="manual",$A527,IF(ISERROR(MATCH($A527,$A$15:OFFSET($A527,-1,0),0)),MAX($M$15:OFFSET(M527,-1,0))+1,INDEX($M$15:OFFSET(M527,-1,0),MATCH($A527,$A$15:OFFSET($A527,-1,0),0)))))</f>
        <v>55</v>
      </c>
      <c r="N527" s="177" t="str">
        <f ca="1">IF($D527&lt;&gt;"Serviço","",IF(AUTOEVENTO="Manual",IF($A527=0,"&lt;-- defina o número do agrupador",OFFSET(EVENTOS!$D$14,$A527,0)),OFFSET($F$15,$A527,0)))</f>
        <v>INSTALAÇÃO ELÉTRICA 110V - CAIXAS DE PASSAGEM</v>
      </c>
      <c r="O527" s="178"/>
      <c r="Q527" s="178">
        <v>3</v>
      </c>
      <c r="R527" s="179"/>
      <c r="S527" s="179"/>
      <c r="T527" s="179"/>
      <c r="U527" s="179"/>
      <c r="V527" s="179"/>
      <c r="W527" s="179"/>
      <c r="X527" s="179"/>
      <c r="Y527" s="179"/>
      <c r="Z527" s="180"/>
      <c r="AA527" s="179"/>
      <c r="AB527" s="179"/>
      <c r="AC527" s="179"/>
      <c r="AD527" s="179"/>
      <c r="AE527" s="179"/>
      <c r="AF527" s="179"/>
      <c r="AG527" s="179"/>
      <c r="AH527" s="180"/>
      <c r="AJ527" s="544">
        <f ca="1">IF(AND($D527="Serviço",AJ$12&lt;&gt;0,$H527&gt;0,OR(AUTOEVENTO&lt;&gt;"manual",$M527&lt;&gt;1)),
IF(Import.TipoArredondamento&lt;&gt;"TransfereGOV",
ROUND(OFFSET($P527,0,AJ$13),15-13*ORÇAMENTO!$AF$7)/$H527*OFFSET(ORÇAMENTO!$X$15,ROW(AJ527)-ROW(AJ$15),0),
ROUND(ROUND(OFFSET($P527,0,AJ$13),15-13*ORÇAMENTO!$AF$7)*OFFSET(ORÇAMENTO!$W$15,ROW(AJ527)-ROW(AJ$15),0),15-13*ORÇAMENTO!$AF$11)),0)</f>
        <v>0</v>
      </c>
      <c r="AK527" s="545">
        <f ca="1">IF(AND($D527="Serviço",AK$12&lt;&gt;0,$H527&gt;0,OR(AUTOEVENTO&lt;&gt;"manual",$M527&lt;&gt;1)),
IF(Import.TipoArredondamento&lt;&gt;"TransfereGOV",
ROUND(OFFSET($P527,0,AK$13),15-13*ORÇAMENTO!$AF$7)/$H527*OFFSET(ORÇAMENTO!$X$15,ROW(AK527)-ROW(AK$15),0),
ROUND(ROUND(OFFSET($P527,0,AK$13),15-13*ORÇAMENTO!$AF$7)*OFFSET(ORÇAMENTO!$W$15,ROW(AK527)-ROW(AK$15),0),15-13*ORÇAMENTO!$AF$11)),0)</f>
        <v>0</v>
      </c>
      <c r="AL527" s="545">
        <f ca="1">IF(AND($D527="Serviço",AL$12&lt;&gt;0,$H527&gt;0,OR(AUTOEVENTO&lt;&gt;"manual",$M527&lt;&gt;1)),
IF(Import.TipoArredondamento&lt;&gt;"TransfereGOV",
ROUND(OFFSET($P527,0,AL$13),15-13*ORÇAMENTO!$AF$7)/$H527*OFFSET(ORÇAMENTO!$X$15,ROW(AL527)-ROW(AL$15),0),
ROUND(ROUND(OFFSET($P527,0,AL$13),15-13*ORÇAMENTO!$AF$7)*OFFSET(ORÇAMENTO!$W$15,ROW(AL527)-ROW(AL$15),0),15-13*ORÇAMENTO!$AF$11)),0)</f>
        <v>0</v>
      </c>
      <c r="AM527" s="545">
        <f ca="1">IF(AND($D527="Serviço",AM$12&lt;&gt;0,$H527&gt;0,OR(AUTOEVENTO&lt;&gt;"manual",$M527&lt;&gt;1)),
IF(Import.TipoArredondamento&lt;&gt;"TransfereGOV",
ROUND(OFFSET($P527,0,AM$13),15-13*ORÇAMENTO!$AF$7)/$H527*OFFSET(ORÇAMENTO!$X$15,ROW(AM527)-ROW(AM$15),0),
ROUND(ROUND(OFFSET($P527,0,AM$13),15-13*ORÇAMENTO!$AF$7)*OFFSET(ORÇAMENTO!$W$15,ROW(AM527)-ROW(AM$15),0),15-13*ORÇAMENTO!$AF$11)),0)</f>
        <v>0</v>
      </c>
      <c r="AN527" s="545">
        <f ca="1">IF(AND($D527="Serviço",AN$12&lt;&gt;0,$H527&gt;0,OR(AUTOEVENTO&lt;&gt;"manual",$M527&lt;&gt;1)),
IF(Import.TipoArredondamento&lt;&gt;"TransfereGOV",
ROUND(OFFSET($P527,0,AN$13),15-13*ORÇAMENTO!$AF$7)/$H527*OFFSET(ORÇAMENTO!$X$15,ROW(AN527)-ROW(AN$15),0),
ROUND(ROUND(OFFSET($P527,0,AN$13),15-13*ORÇAMENTO!$AF$7)*OFFSET(ORÇAMENTO!$W$15,ROW(AN527)-ROW(AN$15),0),15-13*ORÇAMENTO!$AF$11)),0)</f>
        <v>0</v>
      </c>
      <c r="AO527" s="545">
        <f ca="1">IF(AND($D527="Serviço",AO$12&lt;&gt;0,$H527&gt;0,OR(AUTOEVENTO&lt;&gt;"manual",$M527&lt;&gt;1)),
IF(Import.TipoArredondamento&lt;&gt;"TransfereGOV",
ROUND(OFFSET($P527,0,AO$13),15-13*ORÇAMENTO!$AF$7)/$H527*OFFSET(ORÇAMENTO!$X$15,ROW(AO527)-ROW(AO$15),0),
ROUND(ROUND(OFFSET($P527,0,AO$13),15-13*ORÇAMENTO!$AF$7)*OFFSET(ORÇAMENTO!$W$15,ROW(AO527)-ROW(AO$15),0),15-13*ORÇAMENTO!$AF$11)),0)</f>
        <v>0</v>
      </c>
      <c r="AP527" s="545">
        <f ca="1">IF(AND($D527="Serviço",AP$12&lt;&gt;0,$H527&gt;0,OR(AUTOEVENTO&lt;&gt;"manual",$M527&lt;&gt;1)),
IF(Import.TipoArredondamento&lt;&gt;"TransfereGOV",
ROUND(OFFSET($P527,0,AP$13),15-13*ORÇAMENTO!$AF$7)/$H527*OFFSET(ORÇAMENTO!$X$15,ROW(AP527)-ROW(AP$15),0),
ROUND(ROUND(OFFSET($P527,0,AP$13),15-13*ORÇAMENTO!$AF$7)*OFFSET(ORÇAMENTO!$W$15,ROW(AP527)-ROW(AP$15),0),15-13*ORÇAMENTO!$AF$11)),0)</f>
        <v>0</v>
      </c>
      <c r="AQ527" s="545">
        <f ca="1">IF(AND($D527="Serviço",AQ$12&lt;&gt;0,$H527&gt;0,OR(AUTOEVENTO&lt;&gt;"manual",$M527&lt;&gt;1)),
IF(Import.TipoArredondamento&lt;&gt;"TransfereGOV",
ROUND(OFFSET($P527,0,AQ$13),15-13*ORÇAMENTO!$AF$7)/$H527*OFFSET(ORÇAMENTO!$X$15,ROW(AQ527)-ROW(AQ$15),0),
ROUND(ROUND(OFFSET($P527,0,AQ$13),15-13*ORÇAMENTO!$AF$7)*OFFSET(ORÇAMENTO!$W$15,ROW(AQ527)-ROW(AQ$15),0),15-13*ORÇAMENTO!$AF$11)),0)</f>
        <v>0</v>
      </c>
      <c r="AR527" s="545">
        <f ca="1">IF(AND($D527="Serviço",AR$12&lt;&gt;0,$H527&gt;0,OR(AUTOEVENTO&lt;&gt;"manual",$M527&lt;&gt;1)),
IF(Import.TipoArredondamento&lt;&gt;"TransfereGOV",
ROUND(OFFSET($P527,0,AR$13),15-13*ORÇAMENTO!$AF$7)/$H527*OFFSET(ORÇAMENTO!$X$15,ROW(AR527)-ROW(AR$15),0),
ROUND(ROUND(OFFSET($P527,0,AR$13),15-13*ORÇAMENTO!$AF$7)*OFFSET(ORÇAMENTO!$W$15,ROW(AR527)-ROW(AR$15),0),15-13*ORÇAMENTO!$AF$11)),0)</f>
        <v>0</v>
      </c>
      <c r="AS527" s="546">
        <f ca="1">IF(AND($D527="Serviço",AS$12&lt;&gt;0,$H527&gt;0,OR(AUTOEVENTO&lt;&gt;"manual",$M527&lt;&gt;1)),
IF(Import.TipoArredondamento&lt;&gt;"TransfereGOV",
ROUND(OFFSET($P527,0,AS$13),15-13*ORÇAMENTO!$AF$7)/$H527*OFFSET(ORÇAMENTO!$X$15,ROW(AS527)-ROW(AS$15),0),
ROUND(ROUND(OFFSET($P527,0,AS$13),15-13*ORÇAMENTO!$AF$7)*OFFSET(ORÇAMENTO!$W$15,ROW(AS527)-ROW(AS$15),0),15-13*ORÇAMENTO!$AF$11)),0)</f>
        <v>0</v>
      </c>
      <c r="AT527" s="545">
        <f ca="1">IF(AND($D527="Serviço",AT$12&lt;&gt;0,$H527&gt;0,OR(AUTOEVENTO&lt;&gt;"manual",$M527&lt;&gt;1)),
IF(Import.TipoArredondamento&lt;&gt;"TransfereGOV",
ROUND(OFFSET($P527,0,AT$13),15-13*ORÇAMENTO!$AF$7)/$H527*OFFSET(ORÇAMENTO!$X$15,ROW(AT527)-ROW(AT$15),0),
ROUND(ROUND(OFFSET($P527,0,AT$13),15-13*ORÇAMENTO!$AF$7)*OFFSET(ORÇAMENTO!$W$15,ROW(AT527)-ROW(AT$15),0),15-13*ORÇAMENTO!$AF$11)),0)</f>
        <v>0</v>
      </c>
      <c r="AU527" s="545">
        <f ca="1">IF(AND($D527="Serviço",AU$12&lt;&gt;0,$H527&gt;0,OR(AUTOEVENTO&lt;&gt;"manual",$M527&lt;&gt;1)),
IF(Import.TipoArredondamento&lt;&gt;"TransfereGOV",
ROUND(OFFSET($P527,0,AU$13),15-13*ORÇAMENTO!$AF$7)/$H527*OFFSET(ORÇAMENTO!$X$15,ROW(AU527)-ROW(AU$15),0),
ROUND(ROUND(OFFSET($P527,0,AU$13),15-13*ORÇAMENTO!$AF$7)*OFFSET(ORÇAMENTO!$W$15,ROW(AU527)-ROW(AU$15),0),15-13*ORÇAMENTO!$AF$11)),0)</f>
        <v>0</v>
      </c>
      <c r="AV527" s="545">
        <f ca="1">IF(AND($D527="Serviço",AV$12&lt;&gt;0,$H527&gt;0,OR(AUTOEVENTO&lt;&gt;"manual",$M527&lt;&gt;1)),
IF(Import.TipoArredondamento&lt;&gt;"TransfereGOV",
ROUND(OFFSET($P527,0,AV$13),15-13*ORÇAMENTO!$AF$7)/$H527*OFFSET(ORÇAMENTO!$X$15,ROW(AV527)-ROW(AV$15),0),
ROUND(ROUND(OFFSET($P527,0,AV$13),15-13*ORÇAMENTO!$AF$7)*OFFSET(ORÇAMENTO!$W$15,ROW(AV527)-ROW(AV$15),0),15-13*ORÇAMENTO!$AF$11)),0)</f>
        <v>0</v>
      </c>
      <c r="AW527" s="545">
        <f ca="1">IF(AND($D527="Serviço",AW$12&lt;&gt;0,$H527&gt;0,OR(AUTOEVENTO&lt;&gt;"manual",$M527&lt;&gt;1)),
IF(Import.TipoArredondamento&lt;&gt;"TransfereGOV",
ROUND(OFFSET($P527,0,AW$13),15-13*ORÇAMENTO!$AF$7)/$H527*OFFSET(ORÇAMENTO!$X$15,ROW(AW527)-ROW(AW$15),0),
ROUND(ROUND(OFFSET($P527,0,AW$13),15-13*ORÇAMENTO!$AF$7)*OFFSET(ORÇAMENTO!$W$15,ROW(AW527)-ROW(AW$15),0),15-13*ORÇAMENTO!$AF$11)),0)</f>
        <v>0</v>
      </c>
      <c r="AX527" s="545">
        <f ca="1">IF(AND($D527="Serviço",AX$12&lt;&gt;0,$H527&gt;0,OR(AUTOEVENTO&lt;&gt;"manual",$M527&lt;&gt;1)),
IF(Import.TipoArredondamento&lt;&gt;"TransfereGOV",
ROUND(OFFSET($P527,0,AX$13),15-13*ORÇAMENTO!$AF$7)/$H527*OFFSET(ORÇAMENTO!$X$15,ROW(AX527)-ROW(AX$15),0),
ROUND(ROUND(OFFSET($P527,0,AX$13),15-13*ORÇAMENTO!$AF$7)*OFFSET(ORÇAMENTO!$W$15,ROW(AX527)-ROW(AX$15),0),15-13*ORÇAMENTO!$AF$11)),0)</f>
        <v>0</v>
      </c>
      <c r="AY527" s="545">
        <f ca="1">IF(AND($D527="Serviço",AY$12&lt;&gt;0,$H527&gt;0,OR(AUTOEVENTO&lt;&gt;"manual",$M527&lt;&gt;1)),
IF(Import.TipoArredondamento&lt;&gt;"TransfereGOV",
ROUND(OFFSET($P527,0,AY$13),15-13*ORÇAMENTO!$AF$7)/$H527*OFFSET(ORÇAMENTO!$X$15,ROW(AY527)-ROW(AY$15),0),
ROUND(ROUND(OFFSET($P527,0,AY$13),15-13*ORÇAMENTO!$AF$7)*OFFSET(ORÇAMENTO!$W$15,ROW(AY527)-ROW(AY$15),0),15-13*ORÇAMENTO!$AF$11)),0)</f>
        <v>0</v>
      </c>
      <c r="AZ527" s="545">
        <f ca="1">IF(AND($D527="Serviço",AZ$12&lt;&gt;0,$H527&gt;0,OR(AUTOEVENTO&lt;&gt;"manual",$M527&lt;&gt;1)),
IF(Import.TipoArredondamento&lt;&gt;"TransfereGOV",
ROUND(OFFSET($P527,0,AZ$13),15-13*ORÇAMENTO!$AF$7)/$H527*OFFSET(ORÇAMENTO!$X$15,ROW(AZ527)-ROW(AZ$15),0),
ROUND(ROUND(OFFSET($P527,0,AZ$13),15-13*ORÇAMENTO!$AF$7)*OFFSET(ORÇAMENTO!$W$15,ROW(AZ527)-ROW(AZ$15),0),15-13*ORÇAMENTO!$AF$11)),0)</f>
        <v>0</v>
      </c>
      <c r="BA527" s="546">
        <f ca="1">IF(AND($D527="Serviço",BA$12&lt;&gt;0,$H527&gt;0,OR(AUTOEVENTO&lt;&gt;"manual",$M527&lt;&gt;1)),
IF(Import.TipoArredondamento&lt;&gt;"TransfereGOV",
ROUND(OFFSET($P527,0,BA$13),15-13*ORÇAMENTO!$AF$7)/$H527*OFFSET(ORÇAMENTO!$X$15,ROW(BA527)-ROW(BA$15),0),
ROUND(ROUND(OFFSET($P527,0,BA$13),15-13*ORÇAMENTO!$AF$7)*OFFSET(ORÇAMENTO!$W$15,ROW(BA527)-ROW(BA$15),0),15-13*ORÇAMENTO!$AF$11)),0)</f>
        <v>0</v>
      </c>
      <c r="BC527" s="181">
        <f ca="1">IF($D527&lt;&gt;"Serviço",0,IF(AND(AUTOEVENTO="Manual",$M527=1),0,IF(OFFSET(CRONOPLE!$F$14,$M527,BC$13)="",10^12,OFFSET(CRONOPLE!$F$14,$M527,BC$13))))</f>
        <v>10</v>
      </c>
      <c r="BD527" s="181">
        <f ca="1">IF($D527&lt;&gt;"Serviço",0,IF(AND(AUTOEVENTO="Manual",$M527=1),0,IF(OFFSET(CRONOPLE!$F$14,$M527,BD$13)="",10^12,OFFSET(CRONOPLE!$F$14,$M527,BD$13))))</f>
        <v>1000000000000</v>
      </c>
      <c r="BE527" s="181">
        <f ca="1">IF($D527&lt;&gt;"Serviço",0,IF(AND(AUTOEVENTO="Manual",$M527=1),0,IF(OFFSET(CRONOPLE!$F$14,$M527,BE$13)="",10^12,OFFSET(CRONOPLE!$F$14,$M527,BE$13))))</f>
        <v>1000000000000</v>
      </c>
      <c r="BF527" s="181">
        <f ca="1">IF($D527&lt;&gt;"Serviço",0,IF(AND(AUTOEVENTO="Manual",$M527=1),0,IF(OFFSET(CRONOPLE!$F$14,$M527,BF$13)="",10^12,OFFSET(CRONOPLE!$F$14,$M527,BF$13))))</f>
        <v>1000000000000</v>
      </c>
      <c r="BG527" s="181">
        <f ca="1">IF($D527&lt;&gt;"Serviço",0,IF(AND(AUTOEVENTO="Manual",$M527=1),0,IF(OFFSET(CRONOPLE!$F$14,$M527,BG$13)="",10^12,OFFSET(CRONOPLE!$F$14,$M527,BG$13))))</f>
        <v>1000000000000</v>
      </c>
      <c r="BH527" s="181">
        <f ca="1">IF($D527&lt;&gt;"Serviço",0,IF(AND(AUTOEVENTO="Manual",$M527=1),0,IF(OFFSET(CRONOPLE!$F$14,$M527,BH$13)="",10^12,OFFSET(CRONOPLE!$F$14,$M527,BH$13))))</f>
        <v>1000000000000</v>
      </c>
      <c r="BI527" s="181">
        <f ca="1">IF($D527&lt;&gt;"Serviço",0,IF(AND(AUTOEVENTO="Manual",$M527=1),0,IF(OFFSET(CRONOPLE!$F$14,$M527,BI$13)="",10^12,OFFSET(CRONOPLE!$F$14,$M527,BI$13))))</f>
        <v>1000000000000</v>
      </c>
      <c r="BJ527" s="181">
        <f ca="1">IF($D527&lt;&gt;"Serviço",0,IF(AND(AUTOEVENTO="Manual",$M527=1),0,IF(OFFSET(CRONOPLE!$F$14,$M527,BJ$13)="",10^12,OFFSET(CRONOPLE!$F$14,$M527,BJ$13))))</f>
        <v>1000000000000</v>
      </c>
      <c r="BK527" s="181">
        <f ca="1">IF($D527&lt;&gt;"Serviço",0,IF(AND(AUTOEVENTO="Manual",$M527=1),0,IF(OFFSET(CRONOPLE!$F$14,$M527,BK$13)="",10^12,OFFSET(CRONOPLE!$F$14,$M527,BK$13))))</f>
        <v>1000000000000</v>
      </c>
      <c r="BL527" s="181">
        <f ca="1">IF($D527&lt;&gt;"Serviço",0,IF(AND(AUTOEVENTO="Manual",$M527=1),0,IF(OFFSET(CRONOPLE!$F$14,$M527,BL$13)="",10^12,OFFSET(CRONOPLE!$F$14,$M527,BL$13))))</f>
        <v>1000000000000</v>
      </c>
      <c r="BM527" s="181">
        <f ca="1">IF($D527&lt;&gt;"Serviço",0,IF(AND(AUTOEVENTO="Manual",$M527=1),0,IF(OFFSET(CRONOPLE!$F$14,$M527,BM$13)="",10^12,OFFSET(CRONOPLE!$F$14,$M527,BM$13))))</f>
        <v>1000000000000</v>
      </c>
      <c r="BN527" s="181">
        <f ca="1">IF($D527&lt;&gt;"Serviço",0,IF(AND(AUTOEVENTO="Manual",$M527=1),0,IF(OFFSET(CRONOPLE!$F$14,$M527,BN$13)="",10^12,OFFSET(CRONOPLE!$F$14,$M527,BN$13))))</f>
        <v>1000000000000</v>
      </c>
      <c r="BO527" s="181">
        <f ca="1">IF($D527&lt;&gt;"Serviço",0,IF(AND(AUTOEVENTO="Manual",$M527=1),0,IF(OFFSET(CRONOPLE!$F$14,$M527,BO$13)="",10^12,OFFSET(CRONOPLE!$F$14,$M527,BO$13))))</f>
        <v>1000000000000</v>
      </c>
      <c r="BP527" s="181">
        <f ca="1">IF($D527&lt;&gt;"Serviço",0,IF(AND(AUTOEVENTO="Manual",$M527=1),0,IF(OFFSET(CRONOPLE!$F$14,$M527,BP$13)="",10^12,OFFSET(CRONOPLE!$F$14,$M527,BP$13))))</f>
        <v>1000000000000</v>
      </c>
      <c r="BQ527" s="181">
        <f ca="1">IF($D527&lt;&gt;"Serviço",0,IF(AND(AUTOEVENTO="Manual",$M527=1),0,IF(OFFSET(CRONOPLE!$F$14,$M527,BQ$13)="",10^12,OFFSET(CRONOPLE!$F$14,$M527,BQ$13))))</f>
        <v>1000000000000</v>
      </c>
      <c r="BR527" s="181">
        <f ca="1">IF($D527&lt;&gt;"Serviço",0,IF(AND(AUTOEVENTO="Manual",$M527=1),0,IF(OFFSET(CRONOPLE!$F$14,$M527,BR$13)="",10^12,OFFSET(CRONOPLE!$F$14,$M527,BR$13))))</f>
        <v>1000000000000</v>
      </c>
      <c r="BS527" s="181">
        <f ca="1">IF($D527&lt;&gt;"Serviço",0,IF(AND(AUTOEVENTO="Manual",$M527=1),0,IF(OFFSET(CRONOPLE!$F$14,$M527,BS$13)="",10^12,OFFSET(CRONOPLE!$F$14,$M527,BS$13))))</f>
        <v>1000000000000</v>
      </c>
      <c r="BT527" s="181">
        <f ca="1">IF($D527&lt;&gt;"Serviço",0,IF(AND(AUTOEVENTO="Manual",$M527=1),0,IF(OFFSET(CRONOPLE!$F$14,$M527,BT$13)="",10^12,OFFSET(CRONOPLE!$F$14,$M527,BT$13))))</f>
        <v>1000000000000</v>
      </c>
      <c r="BV527" s="182">
        <f ca="1">IF($D527&lt;&gt;"Serviço",0,IF(OR(AND(AUTOEVENTO="Manual",$M527=1),$M527&gt;(ROW(PLE.lastrow)-ROW(PLE.firstrow))),0,IF(OFFSET(PLE!$G$14,$M527,BV$13)="",10^12,OFFSET(PLE!$G$14,$M527,BV$13))))</f>
        <v>1000000000000</v>
      </c>
      <c r="BW527" s="182">
        <f ca="1">IF($D527&lt;&gt;"Serviço",0,IF(OR(AND(AUTOEVENTO="Manual",$M527=1),$M527&gt;(ROW(PLE.lastrow)-ROW(PLE.firstrow))),0,IF(OFFSET(PLE!$G$14,$M527,BW$13)="",10^12,OFFSET(PLE!$G$14,$M527,BW$13))))</f>
        <v>1000000000000</v>
      </c>
      <c r="BX527" s="182">
        <f ca="1">IF($D527&lt;&gt;"Serviço",0,IF(OR(AND(AUTOEVENTO="Manual",$M527=1),$M527&gt;(ROW(PLE.lastrow)-ROW(PLE.firstrow))),0,IF(OFFSET(PLE!$G$14,$M527,BX$13)="",10^12,OFFSET(PLE!$G$14,$M527,BX$13))))</f>
        <v>1000000000000</v>
      </c>
      <c r="BY527" s="182">
        <f ca="1">IF($D527&lt;&gt;"Serviço",0,IF(OR(AND(AUTOEVENTO="Manual",$M527=1),$M527&gt;(ROW(PLE.lastrow)-ROW(PLE.firstrow))),0,IF(OFFSET(PLE!$G$14,$M527,BY$13)="",10^12,OFFSET(PLE!$G$14,$M527,BY$13))))</f>
        <v>1000000000000</v>
      </c>
      <c r="BZ527" s="182">
        <f ca="1">IF($D527&lt;&gt;"Serviço",0,IF(OR(AND(AUTOEVENTO="Manual",$M527=1),$M527&gt;(ROW(PLE.lastrow)-ROW(PLE.firstrow))),0,IF(OFFSET(PLE!$G$14,$M527,BZ$13)="",10^12,OFFSET(PLE!$G$14,$M527,BZ$13))))</f>
        <v>1000000000000</v>
      </c>
      <c r="CA527" s="182">
        <f ca="1">IF($D527&lt;&gt;"Serviço",0,IF(OR(AND(AUTOEVENTO="Manual",$M527=1),$M527&gt;(ROW(PLE.lastrow)-ROW(PLE.firstrow))),0,IF(OFFSET(PLE!$G$14,$M527,CA$13)="",10^12,OFFSET(PLE!$G$14,$M527,CA$13))))</f>
        <v>1000000000000</v>
      </c>
      <c r="CB527" s="182">
        <f ca="1">IF($D527&lt;&gt;"Serviço",0,IF(OR(AND(AUTOEVENTO="Manual",$M527=1),$M527&gt;(ROW(PLE.lastrow)-ROW(PLE.firstrow))),0,IF(OFFSET(PLE!$G$14,$M527,CB$13)="",10^12,OFFSET(PLE!$G$14,$M527,CB$13))))</f>
        <v>1000000000000</v>
      </c>
      <c r="CC527" s="182">
        <f ca="1">IF($D527&lt;&gt;"Serviço",0,IF(OR(AND(AUTOEVENTO="Manual",$M527=1),$M527&gt;(ROW(PLE.lastrow)-ROW(PLE.firstrow))),0,IF(OFFSET(PLE!$G$14,$M527,CC$13)="",10^12,OFFSET(PLE!$G$14,$M527,CC$13))))</f>
        <v>1000000000000</v>
      </c>
      <c r="CD527" s="182">
        <f ca="1">IF($D527&lt;&gt;"Serviço",0,IF(OR(AND(AUTOEVENTO="Manual",$M527=1),$M527&gt;(ROW(PLE.lastrow)-ROW(PLE.firstrow))),0,IF(OFFSET(PLE!$G$14,$M527,CD$13)="",10^12,OFFSET(PLE!$G$14,$M527,CD$13))))</f>
        <v>1000000000000</v>
      </c>
      <c r="CE527" s="182">
        <f ca="1">IF($D527&lt;&gt;"Serviço",0,IF(OR(AND(AUTOEVENTO="Manual",$M527=1),$M527&gt;(ROW(PLE.lastrow)-ROW(PLE.firstrow))),0,IF(OFFSET(PLE!$G$14,$M527,CE$13)="",10^12,OFFSET(PLE!$G$14,$M527,CE$13))))</f>
        <v>1000000000000</v>
      </c>
      <c r="CF527" s="182">
        <f ca="1">IF($D527&lt;&gt;"Serviço",0,IF(OR(AND(AUTOEVENTO="Manual",$M527=1),$M527&gt;(ROW(PLE.lastrow)-ROW(PLE.firstrow))),0,IF(OFFSET(PLE!$G$14,$M527,CF$13)="",10^12,OFFSET(PLE!$G$14,$M527,CF$13))))</f>
        <v>1000000000000</v>
      </c>
      <c r="CG527" s="182">
        <f ca="1">IF($D527&lt;&gt;"Serviço",0,IF(OR(AND(AUTOEVENTO="Manual",$M527=1),$M527&gt;(ROW(PLE.lastrow)-ROW(PLE.firstrow))),0,IF(OFFSET(PLE!$G$14,$M527,CG$13)="",10^12,OFFSET(PLE!$G$14,$M527,CG$13))))</f>
        <v>1000000000000</v>
      </c>
      <c r="CH527" s="182">
        <f ca="1">IF($D527&lt;&gt;"Serviço",0,IF(OR(AND(AUTOEVENTO="Manual",$M527=1),$M527&gt;(ROW(PLE.lastrow)-ROW(PLE.firstrow))),0,IF(OFFSET(PLE!$G$14,$M527,CH$13)="",10^12,OFFSET(PLE!$G$14,$M527,CH$13))))</f>
        <v>1000000000000</v>
      </c>
      <c r="CI527" s="182">
        <f ca="1">IF($D527&lt;&gt;"Serviço",0,IF(OR(AND(AUTOEVENTO="Manual",$M527=1),$M527&gt;(ROW(PLE.lastrow)-ROW(PLE.firstrow))),0,IF(OFFSET(PLE!$G$14,$M527,CI$13)="",10^12,OFFSET(PLE!$G$14,$M527,CI$13))))</f>
        <v>1000000000000</v>
      </c>
      <c r="CJ527" s="182">
        <f ca="1">IF($D527&lt;&gt;"Serviço",0,IF(OR(AND(AUTOEVENTO="Manual",$M527=1),$M527&gt;(ROW(PLE.lastrow)-ROW(PLE.firstrow))),0,IF(OFFSET(PLE!$G$14,$M527,CJ$13)="",10^12,OFFSET(PLE!$G$14,$M527,CJ$13))))</f>
        <v>1000000000000</v>
      </c>
      <c r="CK527" s="182">
        <f ca="1">IF($D527&lt;&gt;"Serviço",0,IF(OR(AND(AUTOEVENTO="Manual",$M527=1),$M527&gt;(ROW(PLE.lastrow)-ROW(PLE.firstrow))),0,IF(OFFSET(PLE!$G$14,$M527,CK$13)="",10^12,OFFSET(PLE!$G$14,$M527,CK$13))))</f>
        <v>1000000000000</v>
      </c>
      <c r="CL527" s="182">
        <f ca="1">IF($D527&lt;&gt;"Serviço",0,IF(OR(AND(AUTOEVENTO="Manual",$M527=1),$M527&gt;(ROW(PLE.lastrow)-ROW(PLE.firstrow))),0,IF(OFFSET(PLE!$G$14,$M527,CL$13)="",10^12,OFFSET(PLE!$G$14,$M527,CL$13))))</f>
        <v>1000000000000</v>
      </c>
      <c r="CM527" s="182">
        <f ca="1">IF($D527&lt;&gt;"Serviço",0,IF(OR(AND(AUTOEVENTO="Manual",$M527=1),$M527&gt;(ROW(PLE.lastrow)-ROW(PLE.firstrow))),0,IF(OFFSET(PLE!$G$14,$M527,CM$13)="",10^12,OFFSET(PLE!$G$14,$M527,CM$13))))</f>
        <v>1000000000000</v>
      </c>
    </row>
    <row r="528" spans="1:91" ht="38.25" x14ac:dyDescent="0.2">
      <c r="A528" s="7" t="str">
        <f t="shared" ca="1" si="16"/>
        <v>511</v>
      </c>
      <c r="B528" s="7" t="str">
        <f ca="1">OFFSET(ORÇAMENTO!C$15,ROW(B528)-ROW(B$15),0)</f>
        <v>S</v>
      </c>
      <c r="C528" s="7" t="str">
        <f ca="1">OFFSET(ORÇAMENTO!L$15,ROW(C528)-ROW(C$15),0)</f>
        <v/>
      </c>
      <c r="D528" s="118" t="str">
        <f ca="1">OFFSET(ORÇAMENTO!N$15,ROW(D528)-ROW(D$15),0)</f>
        <v>Serviço</v>
      </c>
      <c r="E528" s="119" t="str">
        <f ca="1">OFFSET(ORÇAMENTO!O$15,ROW(E528)-ROW(E$15),0)</f>
        <v>-</v>
      </c>
      <c r="F528" s="172" t="str">
        <f ca="1">OFFSET(ORÇAMENTO!R$15,ROW(F528)-ROW(F$15),0)</f>
        <v>(abra o arquivo 'Referência 06-2024.xlsm)</v>
      </c>
      <c r="G528" s="173" t="str">
        <f ca="1">IF($D528&lt;&gt;"Serviço","",OFFSET(ORÇAMENTO!S$15,ROW(G528)-ROW(G$15),0))</f>
        <v>-</v>
      </c>
      <c r="H528" s="124">
        <f ca="1">IF($D528&lt;&gt;"Serviço",0,IF(ACOMPANHAMENTO="BM",ROUND(OFFSET(ORÇAMENTO!AJ$15,ROW(H528)-ROW(H$15),0),15-13*ORÇAMENTO!$AF$7),SUMPRODUCT(($Q$12:$AI$12&lt;&gt;"")*ROUND($Q528:$AI528,15-13*ORÇAMENTO!$AF$7))))</f>
        <v>2</v>
      </c>
      <c r="I528" s="561" t="s">
        <v>1107</v>
      </c>
      <c r="K528" s="174"/>
      <c r="L528" s="175" t="s">
        <v>255</v>
      </c>
      <c r="M528" s="176">
        <f ca="1">IF($D528&lt;&gt;"Serviço","",IF(AUTOEVENTO="manual",$A528,IF(ISERROR(MATCH($A528,$A$15:OFFSET($A528,-1,0),0)),MAX($M$15:OFFSET(M528,-1,0))+1,INDEX($M$15:OFFSET(M528,-1,0),MATCH($A528,$A$15:OFFSET($A528,-1,0),0)))))</f>
        <v>55</v>
      </c>
      <c r="N528" s="177" t="str">
        <f ca="1">IF($D528&lt;&gt;"Serviço","",IF(AUTOEVENTO="Manual",IF($A528=0,"&lt;-- defina o número do agrupador",OFFSET(EVENTOS!$D$14,$A528,0)),OFFSET($F$15,$A528,0)))</f>
        <v>INSTALAÇÃO ELÉTRICA 110V - CAIXAS DE PASSAGEM</v>
      </c>
      <c r="O528" s="178"/>
      <c r="Q528" s="178">
        <v>2</v>
      </c>
      <c r="R528" s="179"/>
      <c r="S528" s="179"/>
      <c r="T528" s="179"/>
      <c r="U528" s="179"/>
      <c r="V528" s="179"/>
      <c r="W528" s="179"/>
      <c r="X528" s="179"/>
      <c r="Y528" s="179"/>
      <c r="Z528" s="180"/>
      <c r="AA528" s="179"/>
      <c r="AB528" s="179"/>
      <c r="AC528" s="179"/>
      <c r="AD528" s="179"/>
      <c r="AE528" s="179"/>
      <c r="AF528" s="179"/>
      <c r="AG528" s="179"/>
      <c r="AH528" s="180"/>
      <c r="AJ528" s="544">
        <f ca="1">IF(AND($D528="Serviço",AJ$12&lt;&gt;0,$H528&gt;0,OR(AUTOEVENTO&lt;&gt;"manual",$M528&lt;&gt;1)),
IF(Import.TipoArredondamento&lt;&gt;"TransfereGOV",
ROUND(OFFSET($P528,0,AJ$13),15-13*ORÇAMENTO!$AF$7)/$H528*OFFSET(ORÇAMENTO!$X$15,ROW(AJ528)-ROW(AJ$15),0),
ROUND(ROUND(OFFSET($P528,0,AJ$13),15-13*ORÇAMENTO!$AF$7)*OFFSET(ORÇAMENTO!$W$15,ROW(AJ528)-ROW(AJ$15),0),15-13*ORÇAMENTO!$AF$11)),0)</f>
        <v>0</v>
      </c>
      <c r="AK528" s="545">
        <f ca="1">IF(AND($D528="Serviço",AK$12&lt;&gt;0,$H528&gt;0,OR(AUTOEVENTO&lt;&gt;"manual",$M528&lt;&gt;1)),
IF(Import.TipoArredondamento&lt;&gt;"TransfereGOV",
ROUND(OFFSET($P528,0,AK$13),15-13*ORÇAMENTO!$AF$7)/$H528*OFFSET(ORÇAMENTO!$X$15,ROW(AK528)-ROW(AK$15),0),
ROUND(ROUND(OFFSET($P528,0,AK$13),15-13*ORÇAMENTO!$AF$7)*OFFSET(ORÇAMENTO!$W$15,ROW(AK528)-ROW(AK$15),0),15-13*ORÇAMENTO!$AF$11)),0)</f>
        <v>0</v>
      </c>
      <c r="AL528" s="545">
        <f ca="1">IF(AND($D528="Serviço",AL$12&lt;&gt;0,$H528&gt;0,OR(AUTOEVENTO&lt;&gt;"manual",$M528&lt;&gt;1)),
IF(Import.TipoArredondamento&lt;&gt;"TransfereGOV",
ROUND(OFFSET($P528,0,AL$13),15-13*ORÇAMENTO!$AF$7)/$H528*OFFSET(ORÇAMENTO!$X$15,ROW(AL528)-ROW(AL$15),0),
ROUND(ROUND(OFFSET($P528,0,AL$13),15-13*ORÇAMENTO!$AF$7)*OFFSET(ORÇAMENTO!$W$15,ROW(AL528)-ROW(AL$15),0),15-13*ORÇAMENTO!$AF$11)),0)</f>
        <v>0</v>
      </c>
      <c r="AM528" s="545">
        <f ca="1">IF(AND($D528="Serviço",AM$12&lt;&gt;0,$H528&gt;0,OR(AUTOEVENTO&lt;&gt;"manual",$M528&lt;&gt;1)),
IF(Import.TipoArredondamento&lt;&gt;"TransfereGOV",
ROUND(OFFSET($P528,0,AM$13),15-13*ORÇAMENTO!$AF$7)/$H528*OFFSET(ORÇAMENTO!$X$15,ROW(AM528)-ROW(AM$15),0),
ROUND(ROUND(OFFSET($P528,0,AM$13),15-13*ORÇAMENTO!$AF$7)*OFFSET(ORÇAMENTO!$W$15,ROW(AM528)-ROW(AM$15),0),15-13*ORÇAMENTO!$AF$11)),0)</f>
        <v>0</v>
      </c>
      <c r="AN528" s="545">
        <f ca="1">IF(AND($D528="Serviço",AN$12&lt;&gt;0,$H528&gt;0,OR(AUTOEVENTO&lt;&gt;"manual",$M528&lt;&gt;1)),
IF(Import.TipoArredondamento&lt;&gt;"TransfereGOV",
ROUND(OFFSET($P528,0,AN$13),15-13*ORÇAMENTO!$AF$7)/$H528*OFFSET(ORÇAMENTO!$X$15,ROW(AN528)-ROW(AN$15),0),
ROUND(ROUND(OFFSET($P528,0,AN$13),15-13*ORÇAMENTO!$AF$7)*OFFSET(ORÇAMENTO!$W$15,ROW(AN528)-ROW(AN$15),0),15-13*ORÇAMENTO!$AF$11)),0)</f>
        <v>0</v>
      </c>
      <c r="AO528" s="545">
        <f ca="1">IF(AND($D528="Serviço",AO$12&lt;&gt;0,$H528&gt;0,OR(AUTOEVENTO&lt;&gt;"manual",$M528&lt;&gt;1)),
IF(Import.TipoArredondamento&lt;&gt;"TransfereGOV",
ROUND(OFFSET($P528,0,AO$13),15-13*ORÇAMENTO!$AF$7)/$H528*OFFSET(ORÇAMENTO!$X$15,ROW(AO528)-ROW(AO$15),0),
ROUND(ROUND(OFFSET($P528,0,AO$13),15-13*ORÇAMENTO!$AF$7)*OFFSET(ORÇAMENTO!$W$15,ROW(AO528)-ROW(AO$15),0),15-13*ORÇAMENTO!$AF$11)),0)</f>
        <v>0</v>
      </c>
      <c r="AP528" s="545">
        <f ca="1">IF(AND($D528="Serviço",AP$12&lt;&gt;0,$H528&gt;0,OR(AUTOEVENTO&lt;&gt;"manual",$M528&lt;&gt;1)),
IF(Import.TipoArredondamento&lt;&gt;"TransfereGOV",
ROUND(OFFSET($P528,0,AP$13),15-13*ORÇAMENTO!$AF$7)/$H528*OFFSET(ORÇAMENTO!$X$15,ROW(AP528)-ROW(AP$15),0),
ROUND(ROUND(OFFSET($P528,0,AP$13),15-13*ORÇAMENTO!$AF$7)*OFFSET(ORÇAMENTO!$W$15,ROW(AP528)-ROW(AP$15),0),15-13*ORÇAMENTO!$AF$11)),0)</f>
        <v>0</v>
      </c>
      <c r="AQ528" s="545">
        <f ca="1">IF(AND($D528="Serviço",AQ$12&lt;&gt;0,$H528&gt;0,OR(AUTOEVENTO&lt;&gt;"manual",$M528&lt;&gt;1)),
IF(Import.TipoArredondamento&lt;&gt;"TransfereGOV",
ROUND(OFFSET($P528,0,AQ$13),15-13*ORÇAMENTO!$AF$7)/$H528*OFFSET(ORÇAMENTO!$X$15,ROW(AQ528)-ROW(AQ$15),0),
ROUND(ROUND(OFFSET($P528,0,AQ$13),15-13*ORÇAMENTO!$AF$7)*OFFSET(ORÇAMENTO!$W$15,ROW(AQ528)-ROW(AQ$15),0),15-13*ORÇAMENTO!$AF$11)),0)</f>
        <v>0</v>
      </c>
      <c r="AR528" s="545">
        <f ca="1">IF(AND($D528="Serviço",AR$12&lt;&gt;0,$H528&gt;0,OR(AUTOEVENTO&lt;&gt;"manual",$M528&lt;&gt;1)),
IF(Import.TipoArredondamento&lt;&gt;"TransfereGOV",
ROUND(OFFSET($P528,0,AR$13),15-13*ORÇAMENTO!$AF$7)/$H528*OFFSET(ORÇAMENTO!$X$15,ROW(AR528)-ROW(AR$15),0),
ROUND(ROUND(OFFSET($P528,0,AR$13),15-13*ORÇAMENTO!$AF$7)*OFFSET(ORÇAMENTO!$W$15,ROW(AR528)-ROW(AR$15),0),15-13*ORÇAMENTO!$AF$11)),0)</f>
        <v>0</v>
      </c>
      <c r="AS528" s="546">
        <f ca="1">IF(AND($D528="Serviço",AS$12&lt;&gt;0,$H528&gt;0,OR(AUTOEVENTO&lt;&gt;"manual",$M528&lt;&gt;1)),
IF(Import.TipoArredondamento&lt;&gt;"TransfereGOV",
ROUND(OFFSET($P528,0,AS$13),15-13*ORÇAMENTO!$AF$7)/$H528*OFFSET(ORÇAMENTO!$X$15,ROW(AS528)-ROW(AS$15),0),
ROUND(ROUND(OFFSET($P528,0,AS$13),15-13*ORÇAMENTO!$AF$7)*OFFSET(ORÇAMENTO!$W$15,ROW(AS528)-ROW(AS$15),0),15-13*ORÇAMENTO!$AF$11)),0)</f>
        <v>0</v>
      </c>
      <c r="AT528" s="545">
        <f ca="1">IF(AND($D528="Serviço",AT$12&lt;&gt;0,$H528&gt;0,OR(AUTOEVENTO&lt;&gt;"manual",$M528&lt;&gt;1)),
IF(Import.TipoArredondamento&lt;&gt;"TransfereGOV",
ROUND(OFFSET($P528,0,AT$13),15-13*ORÇAMENTO!$AF$7)/$H528*OFFSET(ORÇAMENTO!$X$15,ROW(AT528)-ROW(AT$15),0),
ROUND(ROUND(OFFSET($P528,0,AT$13),15-13*ORÇAMENTO!$AF$7)*OFFSET(ORÇAMENTO!$W$15,ROW(AT528)-ROW(AT$15),0),15-13*ORÇAMENTO!$AF$11)),0)</f>
        <v>0</v>
      </c>
      <c r="AU528" s="545">
        <f ca="1">IF(AND($D528="Serviço",AU$12&lt;&gt;0,$H528&gt;0,OR(AUTOEVENTO&lt;&gt;"manual",$M528&lt;&gt;1)),
IF(Import.TipoArredondamento&lt;&gt;"TransfereGOV",
ROUND(OFFSET($P528,0,AU$13),15-13*ORÇAMENTO!$AF$7)/$H528*OFFSET(ORÇAMENTO!$X$15,ROW(AU528)-ROW(AU$15),0),
ROUND(ROUND(OFFSET($P528,0,AU$13),15-13*ORÇAMENTO!$AF$7)*OFFSET(ORÇAMENTO!$W$15,ROW(AU528)-ROW(AU$15),0),15-13*ORÇAMENTO!$AF$11)),0)</f>
        <v>0</v>
      </c>
      <c r="AV528" s="545">
        <f ca="1">IF(AND($D528="Serviço",AV$12&lt;&gt;0,$H528&gt;0,OR(AUTOEVENTO&lt;&gt;"manual",$M528&lt;&gt;1)),
IF(Import.TipoArredondamento&lt;&gt;"TransfereGOV",
ROUND(OFFSET($P528,0,AV$13),15-13*ORÇAMENTO!$AF$7)/$H528*OFFSET(ORÇAMENTO!$X$15,ROW(AV528)-ROW(AV$15),0),
ROUND(ROUND(OFFSET($P528,0,AV$13),15-13*ORÇAMENTO!$AF$7)*OFFSET(ORÇAMENTO!$W$15,ROW(AV528)-ROW(AV$15),0),15-13*ORÇAMENTO!$AF$11)),0)</f>
        <v>0</v>
      </c>
      <c r="AW528" s="545">
        <f ca="1">IF(AND($D528="Serviço",AW$12&lt;&gt;0,$H528&gt;0,OR(AUTOEVENTO&lt;&gt;"manual",$M528&lt;&gt;1)),
IF(Import.TipoArredondamento&lt;&gt;"TransfereGOV",
ROUND(OFFSET($P528,0,AW$13),15-13*ORÇAMENTO!$AF$7)/$H528*OFFSET(ORÇAMENTO!$X$15,ROW(AW528)-ROW(AW$15),0),
ROUND(ROUND(OFFSET($P528,0,AW$13),15-13*ORÇAMENTO!$AF$7)*OFFSET(ORÇAMENTO!$W$15,ROW(AW528)-ROW(AW$15),0),15-13*ORÇAMENTO!$AF$11)),0)</f>
        <v>0</v>
      </c>
      <c r="AX528" s="545">
        <f ca="1">IF(AND($D528="Serviço",AX$12&lt;&gt;0,$H528&gt;0,OR(AUTOEVENTO&lt;&gt;"manual",$M528&lt;&gt;1)),
IF(Import.TipoArredondamento&lt;&gt;"TransfereGOV",
ROUND(OFFSET($P528,0,AX$13),15-13*ORÇAMENTO!$AF$7)/$H528*OFFSET(ORÇAMENTO!$X$15,ROW(AX528)-ROW(AX$15),0),
ROUND(ROUND(OFFSET($P528,0,AX$13),15-13*ORÇAMENTO!$AF$7)*OFFSET(ORÇAMENTO!$W$15,ROW(AX528)-ROW(AX$15),0),15-13*ORÇAMENTO!$AF$11)),0)</f>
        <v>0</v>
      </c>
      <c r="AY528" s="545">
        <f ca="1">IF(AND($D528="Serviço",AY$12&lt;&gt;0,$H528&gt;0,OR(AUTOEVENTO&lt;&gt;"manual",$M528&lt;&gt;1)),
IF(Import.TipoArredondamento&lt;&gt;"TransfereGOV",
ROUND(OFFSET($P528,0,AY$13),15-13*ORÇAMENTO!$AF$7)/$H528*OFFSET(ORÇAMENTO!$X$15,ROW(AY528)-ROW(AY$15),0),
ROUND(ROUND(OFFSET($P528,0,AY$13),15-13*ORÇAMENTO!$AF$7)*OFFSET(ORÇAMENTO!$W$15,ROW(AY528)-ROW(AY$15),0),15-13*ORÇAMENTO!$AF$11)),0)</f>
        <v>0</v>
      </c>
      <c r="AZ528" s="545">
        <f ca="1">IF(AND($D528="Serviço",AZ$12&lt;&gt;0,$H528&gt;0,OR(AUTOEVENTO&lt;&gt;"manual",$M528&lt;&gt;1)),
IF(Import.TipoArredondamento&lt;&gt;"TransfereGOV",
ROUND(OFFSET($P528,0,AZ$13),15-13*ORÇAMENTO!$AF$7)/$H528*OFFSET(ORÇAMENTO!$X$15,ROW(AZ528)-ROW(AZ$15),0),
ROUND(ROUND(OFFSET($P528,0,AZ$13),15-13*ORÇAMENTO!$AF$7)*OFFSET(ORÇAMENTO!$W$15,ROW(AZ528)-ROW(AZ$15),0),15-13*ORÇAMENTO!$AF$11)),0)</f>
        <v>0</v>
      </c>
      <c r="BA528" s="546">
        <f ca="1">IF(AND($D528="Serviço",BA$12&lt;&gt;0,$H528&gt;0,OR(AUTOEVENTO&lt;&gt;"manual",$M528&lt;&gt;1)),
IF(Import.TipoArredondamento&lt;&gt;"TransfereGOV",
ROUND(OFFSET($P528,0,BA$13),15-13*ORÇAMENTO!$AF$7)/$H528*OFFSET(ORÇAMENTO!$X$15,ROW(BA528)-ROW(BA$15),0),
ROUND(ROUND(OFFSET($P528,0,BA$13),15-13*ORÇAMENTO!$AF$7)*OFFSET(ORÇAMENTO!$W$15,ROW(BA528)-ROW(BA$15),0),15-13*ORÇAMENTO!$AF$11)),0)</f>
        <v>0</v>
      </c>
      <c r="BC528" s="181">
        <f ca="1">IF($D528&lt;&gt;"Serviço",0,IF(AND(AUTOEVENTO="Manual",$M528=1),0,IF(OFFSET(CRONOPLE!$F$14,$M528,BC$13)="",10^12,OFFSET(CRONOPLE!$F$14,$M528,BC$13))))</f>
        <v>10</v>
      </c>
      <c r="BD528" s="181">
        <f ca="1">IF($D528&lt;&gt;"Serviço",0,IF(AND(AUTOEVENTO="Manual",$M528=1),0,IF(OFFSET(CRONOPLE!$F$14,$M528,BD$13)="",10^12,OFFSET(CRONOPLE!$F$14,$M528,BD$13))))</f>
        <v>1000000000000</v>
      </c>
      <c r="BE528" s="181">
        <f ca="1">IF($D528&lt;&gt;"Serviço",0,IF(AND(AUTOEVENTO="Manual",$M528=1),0,IF(OFFSET(CRONOPLE!$F$14,$M528,BE$13)="",10^12,OFFSET(CRONOPLE!$F$14,$M528,BE$13))))</f>
        <v>1000000000000</v>
      </c>
      <c r="BF528" s="181">
        <f ca="1">IF($D528&lt;&gt;"Serviço",0,IF(AND(AUTOEVENTO="Manual",$M528=1),0,IF(OFFSET(CRONOPLE!$F$14,$M528,BF$13)="",10^12,OFFSET(CRONOPLE!$F$14,$M528,BF$13))))</f>
        <v>1000000000000</v>
      </c>
      <c r="BG528" s="181">
        <f ca="1">IF($D528&lt;&gt;"Serviço",0,IF(AND(AUTOEVENTO="Manual",$M528=1),0,IF(OFFSET(CRONOPLE!$F$14,$M528,BG$13)="",10^12,OFFSET(CRONOPLE!$F$14,$M528,BG$13))))</f>
        <v>1000000000000</v>
      </c>
      <c r="BH528" s="181">
        <f ca="1">IF($D528&lt;&gt;"Serviço",0,IF(AND(AUTOEVENTO="Manual",$M528=1),0,IF(OFFSET(CRONOPLE!$F$14,$M528,BH$13)="",10^12,OFFSET(CRONOPLE!$F$14,$M528,BH$13))))</f>
        <v>1000000000000</v>
      </c>
      <c r="BI528" s="181">
        <f ca="1">IF($D528&lt;&gt;"Serviço",0,IF(AND(AUTOEVENTO="Manual",$M528=1),0,IF(OFFSET(CRONOPLE!$F$14,$M528,BI$13)="",10^12,OFFSET(CRONOPLE!$F$14,$M528,BI$13))))</f>
        <v>1000000000000</v>
      </c>
      <c r="BJ528" s="181">
        <f ca="1">IF($D528&lt;&gt;"Serviço",0,IF(AND(AUTOEVENTO="Manual",$M528=1),0,IF(OFFSET(CRONOPLE!$F$14,$M528,BJ$13)="",10^12,OFFSET(CRONOPLE!$F$14,$M528,BJ$13))))</f>
        <v>1000000000000</v>
      </c>
      <c r="BK528" s="181">
        <f ca="1">IF($D528&lt;&gt;"Serviço",0,IF(AND(AUTOEVENTO="Manual",$M528=1),0,IF(OFFSET(CRONOPLE!$F$14,$M528,BK$13)="",10^12,OFFSET(CRONOPLE!$F$14,$M528,BK$13))))</f>
        <v>1000000000000</v>
      </c>
      <c r="BL528" s="181">
        <f ca="1">IF($D528&lt;&gt;"Serviço",0,IF(AND(AUTOEVENTO="Manual",$M528=1),0,IF(OFFSET(CRONOPLE!$F$14,$M528,BL$13)="",10^12,OFFSET(CRONOPLE!$F$14,$M528,BL$13))))</f>
        <v>1000000000000</v>
      </c>
      <c r="BM528" s="181">
        <f ca="1">IF($D528&lt;&gt;"Serviço",0,IF(AND(AUTOEVENTO="Manual",$M528=1),0,IF(OFFSET(CRONOPLE!$F$14,$M528,BM$13)="",10^12,OFFSET(CRONOPLE!$F$14,$M528,BM$13))))</f>
        <v>1000000000000</v>
      </c>
      <c r="BN528" s="181">
        <f ca="1">IF($D528&lt;&gt;"Serviço",0,IF(AND(AUTOEVENTO="Manual",$M528=1),0,IF(OFFSET(CRONOPLE!$F$14,$M528,BN$13)="",10^12,OFFSET(CRONOPLE!$F$14,$M528,BN$13))))</f>
        <v>1000000000000</v>
      </c>
      <c r="BO528" s="181">
        <f ca="1">IF($D528&lt;&gt;"Serviço",0,IF(AND(AUTOEVENTO="Manual",$M528=1),0,IF(OFFSET(CRONOPLE!$F$14,$M528,BO$13)="",10^12,OFFSET(CRONOPLE!$F$14,$M528,BO$13))))</f>
        <v>1000000000000</v>
      </c>
      <c r="BP528" s="181">
        <f ca="1">IF($D528&lt;&gt;"Serviço",0,IF(AND(AUTOEVENTO="Manual",$M528=1),0,IF(OFFSET(CRONOPLE!$F$14,$M528,BP$13)="",10^12,OFFSET(CRONOPLE!$F$14,$M528,BP$13))))</f>
        <v>1000000000000</v>
      </c>
      <c r="BQ528" s="181">
        <f ca="1">IF($D528&lt;&gt;"Serviço",0,IF(AND(AUTOEVENTO="Manual",$M528=1),0,IF(OFFSET(CRONOPLE!$F$14,$M528,BQ$13)="",10^12,OFFSET(CRONOPLE!$F$14,$M528,BQ$13))))</f>
        <v>1000000000000</v>
      </c>
      <c r="BR528" s="181">
        <f ca="1">IF($D528&lt;&gt;"Serviço",0,IF(AND(AUTOEVENTO="Manual",$M528=1),0,IF(OFFSET(CRONOPLE!$F$14,$M528,BR$13)="",10^12,OFFSET(CRONOPLE!$F$14,$M528,BR$13))))</f>
        <v>1000000000000</v>
      </c>
      <c r="BS528" s="181">
        <f ca="1">IF($D528&lt;&gt;"Serviço",0,IF(AND(AUTOEVENTO="Manual",$M528=1),0,IF(OFFSET(CRONOPLE!$F$14,$M528,BS$13)="",10^12,OFFSET(CRONOPLE!$F$14,$M528,BS$13))))</f>
        <v>1000000000000</v>
      </c>
      <c r="BT528" s="181">
        <f ca="1">IF($D528&lt;&gt;"Serviço",0,IF(AND(AUTOEVENTO="Manual",$M528=1),0,IF(OFFSET(CRONOPLE!$F$14,$M528,BT$13)="",10^12,OFFSET(CRONOPLE!$F$14,$M528,BT$13))))</f>
        <v>1000000000000</v>
      </c>
      <c r="BV528" s="182">
        <f ca="1">IF($D528&lt;&gt;"Serviço",0,IF(OR(AND(AUTOEVENTO="Manual",$M528=1),$M528&gt;(ROW(PLE.lastrow)-ROW(PLE.firstrow))),0,IF(OFFSET(PLE!$G$14,$M528,BV$13)="",10^12,OFFSET(PLE!$G$14,$M528,BV$13))))</f>
        <v>1000000000000</v>
      </c>
      <c r="BW528" s="182">
        <f ca="1">IF($D528&lt;&gt;"Serviço",0,IF(OR(AND(AUTOEVENTO="Manual",$M528=1),$M528&gt;(ROW(PLE.lastrow)-ROW(PLE.firstrow))),0,IF(OFFSET(PLE!$G$14,$M528,BW$13)="",10^12,OFFSET(PLE!$G$14,$M528,BW$13))))</f>
        <v>1000000000000</v>
      </c>
      <c r="BX528" s="182">
        <f ca="1">IF($D528&lt;&gt;"Serviço",0,IF(OR(AND(AUTOEVENTO="Manual",$M528=1),$M528&gt;(ROW(PLE.lastrow)-ROW(PLE.firstrow))),0,IF(OFFSET(PLE!$G$14,$M528,BX$13)="",10^12,OFFSET(PLE!$G$14,$M528,BX$13))))</f>
        <v>1000000000000</v>
      </c>
      <c r="BY528" s="182">
        <f ca="1">IF($D528&lt;&gt;"Serviço",0,IF(OR(AND(AUTOEVENTO="Manual",$M528=1),$M528&gt;(ROW(PLE.lastrow)-ROW(PLE.firstrow))),0,IF(OFFSET(PLE!$G$14,$M528,BY$13)="",10^12,OFFSET(PLE!$G$14,$M528,BY$13))))</f>
        <v>1000000000000</v>
      </c>
      <c r="BZ528" s="182">
        <f ca="1">IF($D528&lt;&gt;"Serviço",0,IF(OR(AND(AUTOEVENTO="Manual",$M528=1),$M528&gt;(ROW(PLE.lastrow)-ROW(PLE.firstrow))),0,IF(OFFSET(PLE!$G$14,$M528,BZ$13)="",10^12,OFFSET(PLE!$G$14,$M528,BZ$13))))</f>
        <v>1000000000000</v>
      </c>
      <c r="CA528" s="182">
        <f ca="1">IF($D528&lt;&gt;"Serviço",0,IF(OR(AND(AUTOEVENTO="Manual",$M528=1),$M528&gt;(ROW(PLE.lastrow)-ROW(PLE.firstrow))),0,IF(OFFSET(PLE!$G$14,$M528,CA$13)="",10^12,OFFSET(PLE!$G$14,$M528,CA$13))))</f>
        <v>1000000000000</v>
      </c>
      <c r="CB528" s="182">
        <f ca="1">IF($D528&lt;&gt;"Serviço",0,IF(OR(AND(AUTOEVENTO="Manual",$M528=1),$M528&gt;(ROW(PLE.lastrow)-ROW(PLE.firstrow))),0,IF(OFFSET(PLE!$G$14,$M528,CB$13)="",10^12,OFFSET(PLE!$G$14,$M528,CB$13))))</f>
        <v>1000000000000</v>
      </c>
      <c r="CC528" s="182">
        <f ca="1">IF($D528&lt;&gt;"Serviço",0,IF(OR(AND(AUTOEVENTO="Manual",$M528=1),$M528&gt;(ROW(PLE.lastrow)-ROW(PLE.firstrow))),0,IF(OFFSET(PLE!$G$14,$M528,CC$13)="",10^12,OFFSET(PLE!$G$14,$M528,CC$13))))</f>
        <v>1000000000000</v>
      </c>
      <c r="CD528" s="182">
        <f ca="1">IF($D528&lt;&gt;"Serviço",0,IF(OR(AND(AUTOEVENTO="Manual",$M528=1),$M528&gt;(ROW(PLE.lastrow)-ROW(PLE.firstrow))),0,IF(OFFSET(PLE!$G$14,$M528,CD$13)="",10^12,OFFSET(PLE!$G$14,$M528,CD$13))))</f>
        <v>1000000000000</v>
      </c>
      <c r="CE528" s="182">
        <f ca="1">IF($D528&lt;&gt;"Serviço",0,IF(OR(AND(AUTOEVENTO="Manual",$M528=1),$M528&gt;(ROW(PLE.lastrow)-ROW(PLE.firstrow))),0,IF(OFFSET(PLE!$G$14,$M528,CE$13)="",10^12,OFFSET(PLE!$G$14,$M528,CE$13))))</f>
        <v>1000000000000</v>
      </c>
      <c r="CF528" s="182">
        <f ca="1">IF($D528&lt;&gt;"Serviço",0,IF(OR(AND(AUTOEVENTO="Manual",$M528=1),$M528&gt;(ROW(PLE.lastrow)-ROW(PLE.firstrow))),0,IF(OFFSET(PLE!$G$14,$M528,CF$13)="",10^12,OFFSET(PLE!$G$14,$M528,CF$13))))</f>
        <v>1000000000000</v>
      </c>
      <c r="CG528" s="182">
        <f ca="1">IF($D528&lt;&gt;"Serviço",0,IF(OR(AND(AUTOEVENTO="Manual",$M528=1),$M528&gt;(ROW(PLE.lastrow)-ROW(PLE.firstrow))),0,IF(OFFSET(PLE!$G$14,$M528,CG$13)="",10^12,OFFSET(PLE!$G$14,$M528,CG$13))))</f>
        <v>1000000000000</v>
      </c>
      <c r="CH528" s="182">
        <f ca="1">IF($D528&lt;&gt;"Serviço",0,IF(OR(AND(AUTOEVENTO="Manual",$M528=1),$M528&gt;(ROW(PLE.lastrow)-ROW(PLE.firstrow))),0,IF(OFFSET(PLE!$G$14,$M528,CH$13)="",10^12,OFFSET(PLE!$G$14,$M528,CH$13))))</f>
        <v>1000000000000</v>
      </c>
      <c r="CI528" s="182">
        <f ca="1">IF($D528&lt;&gt;"Serviço",0,IF(OR(AND(AUTOEVENTO="Manual",$M528=1),$M528&gt;(ROW(PLE.lastrow)-ROW(PLE.firstrow))),0,IF(OFFSET(PLE!$G$14,$M528,CI$13)="",10^12,OFFSET(PLE!$G$14,$M528,CI$13))))</f>
        <v>1000000000000</v>
      </c>
      <c r="CJ528" s="182">
        <f ca="1">IF($D528&lt;&gt;"Serviço",0,IF(OR(AND(AUTOEVENTO="Manual",$M528=1),$M528&gt;(ROW(PLE.lastrow)-ROW(PLE.firstrow))),0,IF(OFFSET(PLE!$G$14,$M528,CJ$13)="",10^12,OFFSET(PLE!$G$14,$M528,CJ$13))))</f>
        <v>1000000000000</v>
      </c>
      <c r="CK528" s="182">
        <f ca="1">IF($D528&lt;&gt;"Serviço",0,IF(OR(AND(AUTOEVENTO="Manual",$M528=1),$M528&gt;(ROW(PLE.lastrow)-ROW(PLE.firstrow))),0,IF(OFFSET(PLE!$G$14,$M528,CK$13)="",10^12,OFFSET(PLE!$G$14,$M528,CK$13))))</f>
        <v>1000000000000</v>
      </c>
      <c r="CL528" s="182">
        <f ca="1">IF($D528&lt;&gt;"Serviço",0,IF(OR(AND(AUTOEVENTO="Manual",$M528=1),$M528&gt;(ROW(PLE.lastrow)-ROW(PLE.firstrow))),0,IF(OFFSET(PLE!$G$14,$M528,CL$13)="",10^12,OFFSET(PLE!$G$14,$M528,CL$13))))</f>
        <v>1000000000000</v>
      </c>
      <c r="CM528" s="182">
        <f ca="1">IF($D528&lt;&gt;"Serviço",0,IF(OR(AND(AUTOEVENTO="Manual",$M528=1),$M528&gt;(ROW(PLE.lastrow)-ROW(PLE.firstrow))),0,IF(OFFSET(PLE!$G$14,$M528,CM$13)="",10^12,OFFSET(PLE!$G$14,$M528,CM$13))))</f>
        <v>1000000000000</v>
      </c>
    </row>
    <row r="529" spans="1:91" ht="38.25" x14ac:dyDescent="0.2">
      <c r="A529" s="7" t="str">
        <f t="shared" ref="A529:A587" ca="1" si="17">IF(AUTOEVENTO="Manual",IF(K529&lt;&gt;"",MIN(VALUE(LEFT(K529,FIND(".",K529)-1)),COUNTA(EVENTOS.Lista)),0),IF(OR($B529&gt;AUTOEVENTO,$B529="S",$B529=0),SUBSTITUTE(OFFSET($A529,-1,0),IF($D529="Serviço",".",""),""),ROW(A529)-ROW($A$15)&amp;"."))</f>
        <v>511</v>
      </c>
      <c r="B529" s="7" t="str">
        <f ca="1">OFFSET(ORÇAMENTO!C$15,ROW(B529)-ROW(B$15),0)</f>
        <v>S</v>
      </c>
      <c r="C529" s="7" t="str">
        <f ca="1">OFFSET(ORÇAMENTO!L$15,ROW(C529)-ROW(C$15),0)</f>
        <v/>
      </c>
      <c r="D529" s="118" t="str">
        <f ca="1">OFFSET(ORÇAMENTO!N$15,ROW(D529)-ROW(D$15),0)</f>
        <v>Serviço</v>
      </c>
      <c r="E529" s="119" t="str">
        <f ca="1">OFFSET(ORÇAMENTO!O$15,ROW(E529)-ROW(E$15),0)</f>
        <v>-</v>
      </c>
      <c r="F529" s="172" t="str">
        <f ca="1">OFFSET(ORÇAMENTO!R$15,ROW(F529)-ROW(F$15),0)</f>
        <v>(abra o arquivo 'Referência 06-2024.xlsm)</v>
      </c>
      <c r="G529" s="173" t="str">
        <f ca="1">IF($D529&lt;&gt;"Serviço","",OFFSET(ORÇAMENTO!S$15,ROW(G529)-ROW(G$15),0))</f>
        <v>-</v>
      </c>
      <c r="H529" s="124">
        <f ca="1">IF($D529&lt;&gt;"Serviço",0,IF(ACOMPANHAMENTO="BM",ROUND(OFFSET(ORÇAMENTO!AJ$15,ROW(H529)-ROW(H$15),0),15-13*ORÇAMENTO!$AF$7),SUMPRODUCT(($Q$12:$AI$12&lt;&gt;"")*ROUND($Q529:$AI529,15-13*ORÇAMENTO!$AF$7))))</f>
        <v>14</v>
      </c>
      <c r="I529" s="561" t="s">
        <v>1107</v>
      </c>
      <c r="K529" s="174"/>
      <c r="L529" s="175" t="s">
        <v>255</v>
      </c>
      <c r="M529" s="176">
        <f ca="1">IF($D529&lt;&gt;"Serviço","",IF(AUTOEVENTO="manual",$A529,IF(ISERROR(MATCH($A529,$A$15:OFFSET($A529,-1,0),0)),MAX($M$15:OFFSET(M529,-1,0))+1,INDEX($M$15:OFFSET(M529,-1,0),MATCH($A529,$A$15:OFFSET($A529,-1,0),0)))))</f>
        <v>55</v>
      </c>
      <c r="N529" s="177" t="str">
        <f ca="1">IF($D529&lt;&gt;"Serviço","",IF(AUTOEVENTO="Manual",IF($A529=0,"&lt;-- defina o número do agrupador",OFFSET(EVENTOS!$D$14,$A529,0)),OFFSET($F$15,$A529,0)))</f>
        <v>INSTALAÇÃO ELÉTRICA 110V - CAIXAS DE PASSAGEM</v>
      </c>
      <c r="O529" s="178"/>
      <c r="Q529" s="178">
        <v>14</v>
      </c>
      <c r="R529" s="179"/>
      <c r="S529" s="179"/>
      <c r="T529" s="179"/>
      <c r="U529" s="179"/>
      <c r="V529" s="179"/>
      <c r="W529" s="179"/>
      <c r="X529" s="179"/>
      <c r="Y529" s="179"/>
      <c r="Z529" s="180"/>
      <c r="AA529" s="179"/>
      <c r="AB529" s="179"/>
      <c r="AC529" s="179"/>
      <c r="AD529" s="179"/>
      <c r="AE529" s="179"/>
      <c r="AF529" s="179"/>
      <c r="AG529" s="179"/>
      <c r="AH529" s="180"/>
      <c r="AJ529" s="544">
        <f ca="1">IF(AND($D529="Serviço",AJ$12&lt;&gt;0,$H529&gt;0,OR(AUTOEVENTO&lt;&gt;"manual",$M529&lt;&gt;1)),
IF(Import.TipoArredondamento&lt;&gt;"TransfereGOV",
ROUND(OFFSET($P529,0,AJ$13),15-13*ORÇAMENTO!$AF$7)/$H529*OFFSET(ORÇAMENTO!$X$15,ROW(AJ529)-ROW(AJ$15),0),
ROUND(ROUND(OFFSET($P529,0,AJ$13),15-13*ORÇAMENTO!$AF$7)*OFFSET(ORÇAMENTO!$W$15,ROW(AJ529)-ROW(AJ$15),0),15-13*ORÇAMENTO!$AF$11)),0)</f>
        <v>0</v>
      </c>
      <c r="AK529" s="545">
        <f ca="1">IF(AND($D529="Serviço",AK$12&lt;&gt;0,$H529&gt;0,OR(AUTOEVENTO&lt;&gt;"manual",$M529&lt;&gt;1)),
IF(Import.TipoArredondamento&lt;&gt;"TransfereGOV",
ROUND(OFFSET($P529,0,AK$13),15-13*ORÇAMENTO!$AF$7)/$H529*OFFSET(ORÇAMENTO!$X$15,ROW(AK529)-ROW(AK$15),0),
ROUND(ROUND(OFFSET($P529,0,AK$13),15-13*ORÇAMENTO!$AF$7)*OFFSET(ORÇAMENTO!$W$15,ROW(AK529)-ROW(AK$15),0),15-13*ORÇAMENTO!$AF$11)),0)</f>
        <v>0</v>
      </c>
      <c r="AL529" s="545">
        <f ca="1">IF(AND($D529="Serviço",AL$12&lt;&gt;0,$H529&gt;0,OR(AUTOEVENTO&lt;&gt;"manual",$M529&lt;&gt;1)),
IF(Import.TipoArredondamento&lt;&gt;"TransfereGOV",
ROUND(OFFSET($P529,0,AL$13),15-13*ORÇAMENTO!$AF$7)/$H529*OFFSET(ORÇAMENTO!$X$15,ROW(AL529)-ROW(AL$15),0),
ROUND(ROUND(OFFSET($P529,0,AL$13),15-13*ORÇAMENTO!$AF$7)*OFFSET(ORÇAMENTO!$W$15,ROW(AL529)-ROW(AL$15),0),15-13*ORÇAMENTO!$AF$11)),0)</f>
        <v>0</v>
      </c>
      <c r="AM529" s="545">
        <f ca="1">IF(AND($D529="Serviço",AM$12&lt;&gt;0,$H529&gt;0,OR(AUTOEVENTO&lt;&gt;"manual",$M529&lt;&gt;1)),
IF(Import.TipoArredondamento&lt;&gt;"TransfereGOV",
ROUND(OFFSET($P529,0,AM$13),15-13*ORÇAMENTO!$AF$7)/$H529*OFFSET(ORÇAMENTO!$X$15,ROW(AM529)-ROW(AM$15),0),
ROUND(ROUND(OFFSET($P529,0,AM$13),15-13*ORÇAMENTO!$AF$7)*OFFSET(ORÇAMENTO!$W$15,ROW(AM529)-ROW(AM$15),0),15-13*ORÇAMENTO!$AF$11)),0)</f>
        <v>0</v>
      </c>
      <c r="AN529" s="545">
        <f ca="1">IF(AND($D529="Serviço",AN$12&lt;&gt;0,$H529&gt;0,OR(AUTOEVENTO&lt;&gt;"manual",$M529&lt;&gt;1)),
IF(Import.TipoArredondamento&lt;&gt;"TransfereGOV",
ROUND(OFFSET($P529,0,AN$13),15-13*ORÇAMENTO!$AF$7)/$H529*OFFSET(ORÇAMENTO!$X$15,ROW(AN529)-ROW(AN$15),0),
ROUND(ROUND(OFFSET($P529,0,AN$13),15-13*ORÇAMENTO!$AF$7)*OFFSET(ORÇAMENTO!$W$15,ROW(AN529)-ROW(AN$15),0),15-13*ORÇAMENTO!$AF$11)),0)</f>
        <v>0</v>
      </c>
      <c r="AO529" s="545">
        <f ca="1">IF(AND($D529="Serviço",AO$12&lt;&gt;0,$H529&gt;0,OR(AUTOEVENTO&lt;&gt;"manual",$M529&lt;&gt;1)),
IF(Import.TipoArredondamento&lt;&gt;"TransfereGOV",
ROUND(OFFSET($P529,0,AO$13),15-13*ORÇAMENTO!$AF$7)/$H529*OFFSET(ORÇAMENTO!$X$15,ROW(AO529)-ROW(AO$15),0),
ROUND(ROUND(OFFSET($P529,0,AO$13),15-13*ORÇAMENTO!$AF$7)*OFFSET(ORÇAMENTO!$W$15,ROW(AO529)-ROW(AO$15),0),15-13*ORÇAMENTO!$AF$11)),0)</f>
        <v>0</v>
      </c>
      <c r="AP529" s="545">
        <f ca="1">IF(AND($D529="Serviço",AP$12&lt;&gt;0,$H529&gt;0,OR(AUTOEVENTO&lt;&gt;"manual",$M529&lt;&gt;1)),
IF(Import.TipoArredondamento&lt;&gt;"TransfereGOV",
ROUND(OFFSET($P529,0,AP$13),15-13*ORÇAMENTO!$AF$7)/$H529*OFFSET(ORÇAMENTO!$X$15,ROW(AP529)-ROW(AP$15),0),
ROUND(ROUND(OFFSET($P529,0,AP$13),15-13*ORÇAMENTO!$AF$7)*OFFSET(ORÇAMENTO!$W$15,ROW(AP529)-ROW(AP$15),0),15-13*ORÇAMENTO!$AF$11)),0)</f>
        <v>0</v>
      </c>
      <c r="AQ529" s="545">
        <f ca="1">IF(AND($D529="Serviço",AQ$12&lt;&gt;0,$H529&gt;0,OR(AUTOEVENTO&lt;&gt;"manual",$M529&lt;&gt;1)),
IF(Import.TipoArredondamento&lt;&gt;"TransfereGOV",
ROUND(OFFSET($P529,0,AQ$13),15-13*ORÇAMENTO!$AF$7)/$H529*OFFSET(ORÇAMENTO!$X$15,ROW(AQ529)-ROW(AQ$15),0),
ROUND(ROUND(OFFSET($P529,0,AQ$13),15-13*ORÇAMENTO!$AF$7)*OFFSET(ORÇAMENTO!$W$15,ROW(AQ529)-ROW(AQ$15),0),15-13*ORÇAMENTO!$AF$11)),0)</f>
        <v>0</v>
      </c>
      <c r="AR529" s="545">
        <f ca="1">IF(AND($D529="Serviço",AR$12&lt;&gt;0,$H529&gt;0,OR(AUTOEVENTO&lt;&gt;"manual",$M529&lt;&gt;1)),
IF(Import.TipoArredondamento&lt;&gt;"TransfereGOV",
ROUND(OFFSET($P529,0,AR$13),15-13*ORÇAMENTO!$AF$7)/$H529*OFFSET(ORÇAMENTO!$X$15,ROW(AR529)-ROW(AR$15),0),
ROUND(ROUND(OFFSET($P529,0,AR$13),15-13*ORÇAMENTO!$AF$7)*OFFSET(ORÇAMENTO!$W$15,ROW(AR529)-ROW(AR$15),0),15-13*ORÇAMENTO!$AF$11)),0)</f>
        <v>0</v>
      </c>
      <c r="AS529" s="546">
        <f ca="1">IF(AND($D529="Serviço",AS$12&lt;&gt;0,$H529&gt;0,OR(AUTOEVENTO&lt;&gt;"manual",$M529&lt;&gt;1)),
IF(Import.TipoArredondamento&lt;&gt;"TransfereGOV",
ROUND(OFFSET($P529,0,AS$13),15-13*ORÇAMENTO!$AF$7)/$H529*OFFSET(ORÇAMENTO!$X$15,ROW(AS529)-ROW(AS$15),0),
ROUND(ROUND(OFFSET($P529,0,AS$13),15-13*ORÇAMENTO!$AF$7)*OFFSET(ORÇAMENTO!$W$15,ROW(AS529)-ROW(AS$15),0),15-13*ORÇAMENTO!$AF$11)),0)</f>
        <v>0</v>
      </c>
      <c r="AT529" s="545">
        <f ca="1">IF(AND($D529="Serviço",AT$12&lt;&gt;0,$H529&gt;0,OR(AUTOEVENTO&lt;&gt;"manual",$M529&lt;&gt;1)),
IF(Import.TipoArredondamento&lt;&gt;"TransfereGOV",
ROUND(OFFSET($P529,0,AT$13),15-13*ORÇAMENTO!$AF$7)/$H529*OFFSET(ORÇAMENTO!$X$15,ROW(AT529)-ROW(AT$15),0),
ROUND(ROUND(OFFSET($P529,0,AT$13),15-13*ORÇAMENTO!$AF$7)*OFFSET(ORÇAMENTO!$W$15,ROW(AT529)-ROW(AT$15),0),15-13*ORÇAMENTO!$AF$11)),0)</f>
        <v>0</v>
      </c>
      <c r="AU529" s="545">
        <f ca="1">IF(AND($D529="Serviço",AU$12&lt;&gt;0,$H529&gt;0,OR(AUTOEVENTO&lt;&gt;"manual",$M529&lt;&gt;1)),
IF(Import.TipoArredondamento&lt;&gt;"TransfereGOV",
ROUND(OFFSET($P529,0,AU$13),15-13*ORÇAMENTO!$AF$7)/$H529*OFFSET(ORÇAMENTO!$X$15,ROW(AU529)-ROW(AU$15),0),
ROUND(ROUND(OFFSET($P529,0,AU$13),15-13*ORÇAMENTO!$AF$7)*OFFSET(ORÇAMENTO!$W$15,ROW(AU529)-ROW(AU$15),0),15-13*ORÇAMENTO!$AF$11)),0)</f>
        <v>0</v>
      </c>
      <c r="AV529" s="545">
        <f ca="1">IF(AND($D529="Serviço",AV$12&lt;&gt;0,$H529&gt;0,OR(AUTOEVENTO&lt;&gt;"manual",$M529&lt;&gt;1)),
IF(Import.TipoArredondamento&lt;&gt;"TransfereGOV",
ROUND(OFFSET($P529,0,AV$13),15-13*ORÇAMENTO!$AF$7)/$H529*OFFSET(ORÇAMENTO!$X$15,ROW(AV529)-ROW(AV$15),0),
ROUND(ROUND(OFFSET($P529,0,AV$13),15-13*ORÇAMENTO!$AF$7)*OFFSET(ORÇAMENTO!$W$15,ROW(AV529)-ROW(AV$15),0),15-13*ORÇAMENTO!$AF$11)),0)</f>
        <v>0</v>
      </c>
      <c r="AW529" s="545">
        <f ca="1">IF(AND($D529="Serviço",AW$12&lt;&gt;0,$H529&gt;0,OR(AUTOEVENTO&lt;&gt;"manual",$M529&lt;&gt;1)),
IF(Import.TipoArredondamento&lt;&gt;"TransfereGOV",
ROUND(OFFSET($P529,0,AW$13),15-13*ORÇAMENTO!$AF$7)/$H529*OFFSET(ORÇAMENTO!$X$15,ROW(AW529)-ROW(AW$15),0),
ROUND(ROUND(OFFSET($P529,0,AW$13),15-13*ORÇAMENTO!$AF$7)*OFFSET(ORÇAMENTO!$W$15,ROW(AW529)-ROW(AW$15),0),15-13*ORÇAMENTO!$AF$11)),0)</f>
        <v>0</v>
      </c>
      <c r="AX529" s="545">
        <f ca="1">IF(AND($D529="Serviço",AX$12&lt;&gt;0,$H529&gt;0,OR(AUTOEVENTO&lt;&gt;"manual",$M529&lt;&gt;1)),
IF(Import.TipoArredondamento&lt;&gt;"TransfereGOV",
ROUND(OFFSET($P529,0,AX$13),15-13*ORÇAMENTO!$AF$7)/$H529*OFFSET(ORÇAMENTO!$X$15,ROW(AX529)-ROW(AX$15),0),
ROUND(ROUND(OFFSET($P529,0,AX$13),15-13*ORÇAMENTO!$AF$7)*OFFSET(ORÇAMENTO!$W$15,ROW(AX529)-ROW(AX$15),0),15-13*ORÇAMENTO!$AF$11)),0)</f>
        <v>0</v>
      </c>
      <c r="AY529" s="545">
        <f ca="1">IF(AND($D529="Serviço",AY$12&lt;&gt;0,$H529&gt;0,OR(AUTOEVENTO&lt;&gt;"manual",$M529&lt;&gt;1)),
IF(Import.TipoArredondamento&lt;&gt;"TransfereGOV",
ROUND(OFFSET($P529,0,AY$13),15-13*ORÇAMENTO!$AF$7)/$H529*OFFSET(ORÇAMENTO!$X$15,ROW(AY529)-ROW(AY$15),0),
ROUND(ROUND(OFFSET($P529,0,AY$13),15-13*ORÇAMENTO!$AF$7)*OFFSET(ORÇAMENTO!$W$15,ROW(AY529)-ROW(AY$15),0),15-13*ORÇAMENTO!$AF$11)),0)</f>
        <v>0</v>
      </c>
      <c r="AZ529" s="545">
        <f ca="1">IF(AND($D529="Serviço",AZ$12&lt;&gt;0,$H529&gt;0,OR(AUTOEVENTO&lt;&gt;"manual",$M529&lt;&gt;1)),
IF(Import.TipoArredondamento&lt;&gt;"TransfereGOV",
ROUND(OFFSET($P529,0,AZ$13),15-13*ORÇAMENTO!$AF$7)/$H529*OFFSET(ORÇAMENTO!$X$15,ROW(AZ529)-ROW(AZ$15),0),
ROUND(ROUND(OFFSET($P529,0,AZ$13),15-13*ORÇAMENTO!$AF$7)*OFFSET(ORÇAMENTO!$W$15,ROW(AZ529)-ROW(AZ$15),0),15-13*ORÇAMENTO!$AF$11)),0)</f>
        <v>0</v>
      </c>
      <c r="BA529" s="546">
        <f ca="1">IF(AND($D529="Serviço",BA$12&lt;&gt;0,$H529&gt;0,OR(AUTOEVENTO&lt;&gt;"manual",$M529&lt;&gt;1)),
IF(Import.TipoArredondamento&lt;&gt;"TransfereGOV",
ROUND(OFFSET($P529,0,BA$13),15-13*ORÇAMENTO!$AF$7)/$H529*OFFSET(ORÇAMENTO!$X$15,ROW(BA529)-ROW(BA$15),0),
ROUND(ROUND(OFFSET($P529,0,BA$13),15-13*ORÇAMENTO!$AF$7)*OFFSET(ORÇAMENTO!$W$15,ROW(BA529)-ROW(BA$15),0),15-13*ORÇAMENTO!$AF$11)),0)</f>
        <v>0</v>
      </c>
      <c r="BC529" s="181">
        <f ca="1">IF($D529&lt;&gt;"Serviço",0,IF(AND(AUTOEVENTO="Manual",$M529=1),0,IF(OFFSET(CRONOPLE!$F$14,$M529,BC$13)="",10^12,OFFSET(CRONOPLE!$F$14,$M529,BC$13))))</f>
        <v>10</v>
      </c>
      <c r="BD529" s="181">
        <f ca="1">IF($D529&lt;&gt;"Serviço",0,IF(AND(AUTOEVENTO="Manual",$M529=1),0,IF(OFFSET(CRONOPLE!$F$14,$M529,BD$13)="",10^12,OFFSET(CRONOPLE!$F$14,$M529,BD$13))))</f>
        <v>1000000000000</v>
      </c>
      <c r="BE529" s="181">
        <f ca="1">IF($D529&lt;&gt;"Serviço",0,IF(AND(AUTOEVENTO="Manual",$M529=1),0,IF(OFFSET(CRONOPLE!$F$14,$M529,BE$13)="",10^12,OFFSET(CRONOPLE!$F$14,$M529,BE$13))))</f>
        <v>1000000000000</v>
      </c>
      <c r="BF529" s="181">
        <f ca="1">IF($D529&lt;&gt;"Serviço",0,IF(AND(AUTOEVENTO="Manual",$M529=1),0,IF(OFFSET(CRONOPLE!$F$14,$M529,BF$13)="",10^12,OFFSET(CRONOPLE!$F$14,$M529,BF$13))))</f>
        <v>1000000000000</v>
      </c>
      <c r="BG529" s="181">
        <f ca="1">IF($D529&lt;&gt;"Serviço",0,IF(AND(AUTOEVENTO="Manual",$M529=1),0,IF(OFFSET(CRONOPLE!$F$14,$M529,BG$13)="",10^12,OFFSET(CRONOPLE!$F$14,$M529,BG$13))))</f>
        <v>1000000000000</v>
      </c>
      <c r="BH529" s="181">
        <f ca="1">IF($D529&lt;&gt;"Serviço",0,IF(AND(AUTOEVENTO="Manual",$M529=1),0,IF(OFFSET(CRONOPLE!$F$14,$M529,BH$13)="",10^12,OFFSET(CRONOPLE!$F$14,$M529,BH$13))))</f>
        <v>1000000000000</v>
      </c>
      <c r="BI529" s="181">
        <f ca="1">IF($D529&lt;&gt;"Serviço",0,IF(AND(AUTOEVENTO="Manual",$M529=1),0,IF(OFFSET(CRONOPLE!$F$14,$M529,BI$13)="",10^12,OFFSET(CRONOPLE!$F$14,$M529,BI$13))))</f>
        <v>1000000000000</v>
      </c>
      <c r="BJ529" s="181">
        <f ca="1">IF($D529&lt;&gt;"Serviço",0,IF(AND(AUTOEVENTO="Manual",$M529=1),0,IF(OFFSET(CRONOPLE!$F$14,$M529,BJ$13)="",10^12,OFFSET(CRONOPLE!$F$14,$M529,BJ$13))))</f>
        <v>1000000000000</v>
      </c>
      <c r="BK529" s="181">
        <f ca="1">IF($D529&lt;&gt;"Serviço",0,IF(AND(AUTOEVENTO="Manual",$M529=1),0,IF(OFFSET(CRONOPLE!$F$14,$M529,BK$13)="",10^12,OFFSET(CRONOPLE!$F$14,$M529,BK$13))))</f>
        <v>1000000000000</v>
      </c>
      <c r="BL529" s="181">
        <f ca="1">IF($D529&lt;&gt;"Serviço",0,IF(AND(AUTOEVENTO="Manual",$M529=1),0,IF(OFFSET(CRONOPLE!$F$14,$M529,BL$13)="",10^12,OFFSET(CRONOPLE!$F$14,$M529,BL$13))))</f>
        <v>1000000000000</v>
      </c>
      <c r="BM529" s="181">
        <f ca="1">IF($D529&lt;&gt;"Serviço",0,IF(AND(AUTOEVENTO="Manual",$M529=1),0,IF(OFFSET(CRONOPLE!$F$14,$M529,BM$13)="",10^12,OFFSET(CRONOPLE!$F$14,$M529,BM$13))))</f>
        <v>1000000000000</v>
      </c>
      <c r="BN529" s="181">
        <f ca="1">IF($D529&lt;&gt;"Serviço",0,IF(AND(AUTOEVENTO="Manual",$M529=1),0,IF(OFFSET(CRONOPLE!$F$14,$M529,BN$13)="",10^12,OFFSET(CRONOPLE!$F$14,$M529,BN$13))))</f>
        <v>1000000000000</v>
      </c>
      <c r="BO529" s="181">
        <f ca="1">IF($D529&lt;&gt;"Serviço",0,IF(AND(AUTOEVENTO="Manual",$M529=1),0,IF(OFFSET(CRONOPLE!$F$14,$M529,BO$13)="",10^12,OFFSET(CRONOPLE!$F$14,$M529,BO$13))))</f>
        <v>1000000000000</v>
      </c>
      <c r="BP529" s="181">
        <f ca="1">IF($D529&lt;&gt;"Serviço",0,IF(AND(AUTOEVENTO="Manual",$M529=1),0,IF(OFFSET(CRONOPLE!$F$14,$M529,BP$13)="",10^12,OFFSET(CRONOPLE!$F$14,$M529,BP$13))))</f>
        <v>1000000000000</v>
      </c>
      <c r="BQ529" s="181">
        <f ca="1">IF($D529&lt;&gt;"Serviço",0,IF(AND(AUTOEVENTO="Manual",$M529=1),0,IF(OFFSET(CRONOPLE!$F$14,$M529,BQ$13)="",10^12,OFFSET(CRONOPLE!$F$14,$M529,BQ$13))))</f>
        <v>1000000000000</v>
      </c>
      <c r="BR529" s="181">
        <f ca="1">IF($D529&lt;&gt;"Serviço",0,IF(AND(AUTOEVENTO="Manual",$M529=1),0,IF(OFFSET(CRONOPLE!$F$14,$M529,BR$13)="",10^12,OFFSET(CRONOPLE!$F$14,$M529,BR$13))))</f>
        <v>1000000000000</v>
      </c>
      <c r="BS529" s="181">
        <f ca="1">IF($D529&lt;&gt;"Serviço",0,IF(AND(AUTOEVENTO="Manual",$M529=1),0,IF(OFFSET(CRONOPLE!$F$14,$M529,BS$13)="",10^12,OFFSET(CRONOPLE!$F$14,$M529,BS$13))))</f>
        <v>1000000000000</v>
      </c>
      <c r="BT529" s="181">
        <f ca="1">IF($D529&lt;&gt;"Serviço",0,IF(AND(AUTOEVENTO="Manual",$M529=1),0,IF(OFFSET(CRONOPLE!$F$14,$M529,BT$13)="",10^12,OFFSET(CRONOPLE!$F$14,$M529,BT$13))))</f>
        <v>1000000000000</v>
      </c>
      <c r="BV529" s="182">
        <f ca="1">IF($D529&lt;&gt;"Serviço",0,IF(OR(AND(AUTOEVENTO="Manual",$M529=1),$M529&gt;(ROW(PLE.lastrow)-ROW(PLE.firstrow))),0,IF(OFFSET(PLE!$G$14,$M529,BV$13)="",10^12,OFFSET(PLE!$G$14,$M529,BV$13))))</f>
        <v>1000000000000</v>
      </c>
      <c r="BW529" s="182">
        <f ca="1">IF($D529&lt;&gt;"Serviço",0,IF(OR(AND(AUTOEVENTO="Manual",$M529=1),$M529&gt;(ROW(PLE.lastrow)-ROW(PLE.firstrow))),0,IF(OFFSET(PLE!$G$14,$M529,BW$13)="",10^12,OFFSET(PLE!$G$14,$M529,BW$13))))</f>
        <v>1000000000000</v>
      </c>
      <c r="BX529" s="182">
        <f ca="1">IF($D529&lt;&gt;"Serviço",0,IF(OR(AND(AUTOEVENTO="Manual",$M529=1),$M529&gt;(ROW(PLE.lastrow)-ROW(PLE.firstrow))),0,IF(OFFSET(PLE!$G$14,$M529,BX$13)="",10^12,OFFSET(PLE!$G$14,$M529,BX$13))))</f>
        <v>1000000000000</v>
      </c>
      <c r="BY529" s="182">
        <f ca="1">IF($D529&lt;&gt;"Serviço",0,IF(OR(AND(AUTOEVENTO="Manual",$M529=1),$M529&gt;(ROW(PLE.lastrow)-ROW(PLE.firstrow))),0,IF(OFFSET(PLE!$G$14,$M529,BY$13)="",10^12,OFFSET(PLE!$G$14,$M529,BY$13))))</f>
        <v>1000000000000</v>
      </c>
      <c r="BZ529" s="182">
        <f ca="1">IF($D529&lt;&gt;"Serviço",0,IF(OR(AND(AUTOEVENTO="Manual",$M529=1),$M529&gt;(ROW(PLE.lastrow)-ROW(PLE.firstrow))),0,IF(OFFSET(PLE!$G$14,$M529,BZ$13)="",10^12,OFFSET(PLE!$G$14,$M529,BZ$13))))</f>
        <v>1000000000000</v>
      </c>
      <c r="CA529" s="182">
        <f ca="1">IF($D529&lt;&gt;"Serviço",0,IF(OR(AND(AUTOEVENTO="Manual",$M529=1),$M529&gt;(ROW(PLE.lastrow)-ROW(PLE.firstrow))),0,IF(OFFSET(PLE!$G$14,$M529,CA$13)="",10^12,OFFSET(PLE!$G$14,$M529,CA$13))))</f>
        <v>1000000000000</v>
      </c>
      <c r="CB529" s="182">
        <f ca="1">IF($D529&lt;&gt;"Serviço",0,IF(OR(AND(AUTOEVENTO="Manual",$M529=1),$M529&gt;(ROW(PLE.lastrow)-ROW(PLE.firstrow))),0,IF(OFFSET(PLE!$G$14,$M529,CB$13)="",10^12,OFFSET(PLE!$G$14,$M529,CB$13))))</f>
        <v>1000000000000</v>
      </c>
      <c r="CC529" s="182">
        <f ca="1">IF($D529&lt;&gt;"Serviço",0,IF(OR(AND(AUTOEVENTO="Manual",$M529=1),$M529&gt;(ROW(PLE.lastrow)-ROW(PLE.firstrow))),0,IF(OFFSET(PLE!$G$14,$M529,CC$13)="",10^12,OFFSET(PLE!$G$14,$M529,CC$13))))</f>
        <v>1000000000000</v>
      </c>
      <c r="CD529" s="182">
        <f ca="1">IF($D529&lt;&gt;"Serviço",0,IF(OR(AND(AUTOEVENTO="Manual",$M529=1),$M529&gt;(ROW(PLE.lastrow)-ROW(PLE.firstrow))),0,IF(OFFSET(PLE!$G$14,$M529,CD$13)="",10^12,OFFSET(PLE!$G$14,$M529,CD$13))))</f>
        <v>1000000000000</v>
      </c>
      <c r="CE529" s="182">
        <f ca="1">IF($D529&lt;&gt;"Serviço",0,IF(OR(AND(AUTOEVENTO="Manual",$M529=1),$M529&gt;(ROW(PLE.lastrow)-ROW(PLE.firstrow))),0,IF(OFFSET(PLE!$G$14,$M529,CE$13)="",10^12,OFFSET(PLE!$G$14,$M529,CE$13))))</f>
        <v>1000000000000</v>
      </c>
      <c r="CF529" s="182">
        <f ca="1">IF($D529&lt;&gt;"Serviço",0,IF(OR(AND(AUTOEVENTO="Manual",$M529=1),$M529&gt;(ROW(PLE.lastrow)-ROW(PLE.firstrow))),0,IF(OFFSET(PLE!$G$14,$M529,CF$13)="",10^12,OFFSET(PLE!$G$14,$M529,CF$13))))</f>
        <v>1000000000000</v>
      </c>
      <c r="CG529" s="182">
        <f ca="1">IF($D529&lt;&gt;"Serviço",0,IF(OR(AND(AUTOEVENTO="Manual",$M529=1),$M529&gt;(ROW(PLE.lastrow)-ROW(PLE.firstrow))),0,IF(OFFSET(PLE!$G$14,$M529,CG$13)="",10^12,OFFSET(PLE!$G$14,$M529,CG$13))))</f>
        <v>1000000000000</v>
      </c>
      <c r="CH529" s="182">
        <f ca="1">IF($D529&lt;&gt;"Serviço",0,IF(OR(AND(AUTOEVENTO="Manual",$M529=1),$M529&gt;(ROW(PLE.lastrow)-ROW(PLE.firstrow))),0,IF(OFFSET(PLE!$G$14,$M529,CH$13)="",10^12,OFFSET(PLE!$G$14,$M529,CH$13))))</f>
        <v>1000000000000</v>
      </c>
      <c r="CI529" s="182">
        <f ca="1">IF($D529&lt;&gt;"Serviço",0,IF(OR(AND(AUTOEVENTO="Manual",$M529=1),$M529&gt;(ROW(PLE.lastrow)-ROW(PLE.firstrow))),0,IF(OFFSET(PLE!$G$14,$M529,CI$13)="",10^12,OFFSET(PLE!$G$14,$M529,CI$13))))</f>
        <v>1000000000000</v>
      </c>
      <c r="CJ529" s="182">
        <f ca="1">IF($D529&lt;&gt;"Serviço",0,IF(OR(AND(AUTOEVENTO="Manual",$M529=1),$M529&gt;(ROW(PLE.lastrow)-ROW(PLE.firstrow))),0,IF(OFFSET(PLE!$G$14,$M529,CJ$13)="",10^12,OFFSET(PLE!$G$14,$M529,CJ$13))))</f>
        <v>1000000000000</v>
      </c>
      <c r="CK529" s="182">
        <f ca="1">IF($D529&lt;&gt;"Serviço",0,IF(OR(AND(AUTOEVENTO="Manual",$M529=1),$M529&gt;(ROW(PLE.lastrow)-ROW(PLE.firstrow))),0,IF(OFFSET(PLE!$G$14,$M529,CK$13)="",10^12,OFFSET(PLE!$G$14,$M529,CK$13))))</f>
        <v>1000000000000</v>
      </c>
      <c r="CL529" s="182">
        <f ca="1">IF($D529&lt;&gt;"Serviço",0,IF(OR(AND(AUTOEVENTO="Manual",$M529=1),$M529&gt;(ROW(PLE.lastrow)-ROW(PLE.firstrow))),0,IF(OFFSET(PLE!$G$14,$M529,CL$13)="",10^12,OFFSET(PLE!$G$14,$M529,CL$13))))</f>
        <v>1000000000000</v>
      </c>
      <c r="CM529" s="182">
        <f ca="1">IF($D529&lt;&gt;"Serviço",0,IF(OR(AND(AUTOEVENTO="Manual",$M529=1),$M529&gt;(ROW(PLE.lastrow)-ROW(PLE.firstrow))),0,IF(OFFSET(PLE!$G$14,$M529,CM$13)="",10^12,OFFSET(PLE!$G$14,$M529,CM$13))))</f>
        <v>1000000000000</v>
      </c>
    </row>
    <row r="530" spans="1:91" ht="12.75" x14ac:dyDescent="0.2">
      <c r="A530" s="7" t="str">
        <f t="shared" ca="1" si="17"/>
        <v>515.</v>
      </c>
      <c r="B530" s="7">
        <f ca="1">OFFSET(ORÇAMENTO!C$15,ROW(B530)-ROW(B$15),0)</f>
        <v>2</v>
      </c>
      <c r="C530" s="7" t="str">
        <f ca="1">OFFSET(ORÇAMENTO!L$15,ROW(C530)-ROW(C$15),0)</f>
        <v>F</v>
      </c>
      <c r="D530" s="118" t="str">
        <f ca="1">OFFSET(ORÇAMENTO!N$15,ROW(D530)-ROW(D$15),0)</f>
        <v>Nível 2</v>
      </c>
      <c r="E530" s="119" t="str">
        <f ca="1">OFFSET(ORÇAMENTO!O$15,ROW(E530)-ROW(E$15),0)</f>
        <v>1.55.</v>
      </c>
      <c r="F530" s="172" t="str">
        <f ca="1">OFFSET(ORÇAMENTO!R$15,ROW(F530)-ROW(F$15),0)</f>
        <v>INSTALAÇÃO ELÉTRICA 110V - DISPOSITIVOS ELÉTRICOS</v>
      </c>
      <c r="G530" s="173" t="str">
        <f ca="1">IF($D530&lt;&gt;"Serviço","",OFFSET(ORÇAMENTO!S$15,ROW(G530)-ROW(G$15),0))</f>
        <v/>
      </c>
      <c r="H530" s="124">
        <f ca="1">IF($D530&lt;&gt;"Serviço",0,IF(ACOMPANHAMENTO="BM",ROUND(OFFSET(ORÇAMENTO!AJ$15,ROW(H530)-ROW(H$15),0),15-13*ORÇAMENTO!$AF$7),SUMPRODUCT(($Q$12:$AI$12&lt;&gt;"")*ROUND($Q530:$AI530,15-13*ORÇAMENTO!$AF$7))))</f>
        <v>0</v>
      </c>
      <c r="I530" s="561"/>
      <c r="K530" s="174"/>
      <c r="L530" s="175" t="s">
        <v>255</v>
      </c>
      <c r="M530" s="176" t="str">
        <f ca="1">IF($D530&lt;&gt;"Serviço","",IF(AUTOEVENTO="manual",$A530,IF(ISERROR(MATCH($A530,$A$15:OFFSET($A530,-1,0),0)),MAX($M$15:OFFSET(M530,-1,0))+1,INDEX($M$15:OFFSET(M530,-1,0),MATCH($A530,$A$15:OFFSET($A530,-1,0),0)))))</f>
        <v/>
      </c>
      <c r="N530" s="177" t="str">
        <f ca="1">IF($D530&lt;&gt;"Serviço","",IF(AUTOEVENTO="Manual",IF($A530=0,"&lt;-- defina o número do agrupador",OFFSET(EVENTOS!$D$14,$A530,0)),OFFSET($F$15,$A530,0)))</f>
        <v/>
      </c>
      <c r="O530" s="178"/>
      <c r="Q530" s="178">
        <v>0</v>
      </c>
      <c r="R530" s="179"/>
      <c r="S530" s="179"/>
      <c r="T530" s="179"/>
      <c r="U530" s="179"/>
      <c r="V530" s="179"/>
      <c r="W530" s="179"/>
      <c r="X530" s="179"/>
      <c r="Y530" s="179"/>
      <c r="Z530" s="180"/>
      <c r="AA530" s="179"/>
      <c r="AB530" s="179"/>
      <c r="AC530" s="179"/>
      <c r="AD530" s="179"/>
      <c r="AE530" s="179"/>
      <c r="AF530" s="179"/>
      <c r="AG530" s="179"/>
      <c r="AH530" s="180"/>
      <c r="AJ530" s="544">
        <f ca="1">IF(AND($D530="Serviço",AJ$12&lt;&gt;0,$H530&gt;0,OR(AUTOEVENTO&lt;&gt;"manual",$M530&lt;&gt;1)),
IF(Import.TipoArredondamento&lt;&gt;"TransfereGOV",
ROUND(OFFSET($P530,0,AJ$13),15-13*ORÇAMENTO!$AF$7)/$H530*OFFSET(ORÇAMENTO!$X$15,ROW(AJ530)-ROW(AJ$15),0),
ROUND(ROUND(OFFSET($P530,0,AJ$13),15-13*ORÇAMENTO!$AF$7)*OFFSET(ORÇAMENTO!$W$15,ROW(AJ530)-ROW(AJ$15),0),15-13*ORÇAMENTO!$AF$11)),0)</f>
        <v>0</v>
      </c>
      <c r="AK530" s="545">
        <f ca="1">IF(AND($D530="Serviço",AK$12&lt;&gt;0,$H530&gt;0,OR(AUTOEVENTO&lt;&gt;"manual",$M530&lt;&gt;1)),
IF(Import.TipoArredondamento&lt;&gt;"TransfereGOV",
ROUND(OFFSET($P530,0,AK$13),15-13*ORÇAMENTO!$AF$7)/$H530*OFFSET(ORÇAMENTO!$X$15,ROW(AK530)-ROW(AK$15),0),
ROUND(ROUND(OFFSET($P530,0,AK$13),15-13*ORÇAMENTO!$AF$7)*OFFSET(ORÇAMENTO!$W$15,ROW(AK530)-ROW(AK$15),0),15-13*ORÇAMENTO!$AF$11)),0)</f>
        <v>0</v>
      </c>
      <c r="AL530" s="545">
        <f ca="1">IF(AND($D530="Serviço",AL$12&lt;&gt;0,$H530&gt;0,OR(AUTOEVENTO&lt;&gt;"manual",$M530&lt;&gt;1)),
IF(Import.TipoArredondamento&lt;&gt;"TransfereGOV",
ROUND(OFFSET($P530,0,AL$13),15-13*ORÇAMENTO!$AF$7)/$H530*OFFSET(ORÇAMENTO!$X$15,ROW(AL530)-ROW(AL$15),0),
ROUND(ROUND(OFFSET($P530,0,AL$13),15-13*ORÇAMENTO!$AF$7)*OFFSET(ORÇAMENTO!$W$15,ROW(AL530)-ROW(AL$15),0),15-13*ORÇAMENTO!$AF$11)),0)</f>
        <v>0</v>
      </c>
      <c r="AM530" s="545">
        <f ca="1">IF(AND($D530="Serviço",AM$12&lt;&gt;0,$H530&gt;0,OR(AUTOEVENTO&lt;&gt;"manual",$M530&lt;&gt;1)),
IF(Import.TipoArredondamento&lt;&gt;"TransfereGOV",
ROUND(OFFSET($P530,0,AM$13),15-13*ORÇAMENTO!$AF$7)/$H530*OFFSET(ORÇAMENTO!$X$15,ROW(AM530)-ROW(AM$15),0),
ROUND(ROUND(OFFSET($P530,0,AM$13),15-13*ORÇAMENTO!$AF$7)*OFFSET(ORÇAMENTO!$W$15,ROW(AM530)-ROW(AM$15),0),15-13*ORÇAMENTO!$AF$11)),0)</f>
        <v>0</v>
      </c>
      <c r="AN530" s="545">
        <f ca="1">IF(AND($D530="Serviço",AN$12&lt;&gt;0,$H530&gt;0,OR(AUTOEVENTO&lt;&gt;"manual",$M530&lt;&gt;1)),
IF(Import.TipoArredondamento&lt;&gt;"TransfereGOV",
ROUND(OFFSET($P530,0,AN$13),15-13*ORÇAMENTO!$AF$7)/$H530*OFFSET(ORÇAMENTO!$X$15,ROW(AN530)-ROW(AN$15),0),
ROUND(ROUND(OFFSET($P530,0,AN$13),15-13*ORÇAMENTO!$AF$7)*OFFSET(ORÇAMENTO!$W$15,ROW(AN530)-ROW(AN$15),0),15-13*ORÇAMENTO!$AF$11)),0)</f>
        <v>0</v>
      </c>
      <c r="AO530" s="545">
        <f ca="1">IF(AND($D530="Serviço",AO$12&lt;&gt;0,$H530&gt;0,OR(AUTOEVENTO&lt;&gt;"manual",$M530&lt;&gt;1)),
IF(Import.TipoArredondamento&lt;&gt;"TransfereGOV",
ROUND(OFFSET($P530,0,AO$13),15-13*ORÇAMENTO!$AF$7)/$H530*OFFSET(ORÇAMENTO!$X$15,ROW(AO530)-ROW(AO$15),0),
ROUND(ROUND(OFFSET($P530,0,AO$13),15-13*ORÇAMENTO!$AF$7)*OFFSET(ORÇAMENTO!$W$15,ROW(AO530)-ROW(AO$15),0),15-13*ORÇAMENTO!$AF$11)),0)</f>
        <v>0</v>
      </c>
      <c r="AP530" s="545">
        <f ca="1">IF(AND($D530="Serviço",AP$12&lt;&gt;0,$H530&gt;0,OR(AUTOEVENTO&lt;&gt;"manual",$M530&lt;&gt;1)),
IF(Import.TipoArredondamento&lt;&gt;"TransfereGOV",
ROUND(OFFSET($P530,0,AP$13),15-13*ORÇAMENTO!$AF$7)/$H530*OFFSET(ORÇAMENTO!$X$15,ROW(AP530)-ROW(AP$15),0),
ROUND(ROUND(OFFSET($P530,0,AP$13),15-13*ORÇAMENTO!$AF$7)*OFFSET(ORÇAMENTO!$W$15,ROW(AP530)-ROW(AP$15),0),15-13*ORÇAMENTO!$AF$11)),0)</f>
        <v>0</v>
      </c>
      <c r="AQ530" s="545">
        <f ca="1">IF(AND($D530="Serviço",AQ$12&lt;&gt;0,$H530&gt;0,OR(AUTOEVENTO&lt;&gt;"manual",$M530&lt;&gt;1)),
IF(Import.TipoArredondamento&lt;&gt;"TransfereGOV",
ROUND(OFFSET($P530,0,AQ$13),15-13*ORÇAMENTO!$AF$7)/$H530*OFFSET(ORÇAMENTO!$X$15,ROW(AQ530)-ROW(AQ$15),0),
ROUND(ROUND(OFFSET($P530,0,AQ$13),15-13*ORÇAMENTO!$AF$7)*OFFSET(ORÇAMENTO!$W$15,ROW(AQ530)-ROW(AQ$15),0),15-13*ORÇAMENTO!$AF$11)),0)</f>
        <v>0</v>
      </c>
      <c r="AR530" s="545">
        <f ca="1">IF(AND($D530="Serviço",AR$12&lt;&gt;0,$H530&gt;0,OR(AUTOEVENTO&lt;&gt;"manual",$M530&lt;&gt;1)),
IF(Import.TipoArredondamento&lt;&gt;"TransfereGOV",
ROUND(OFFSET($P530,0,AR$13),15-13*ORÇAMENTO!$AF$7)/$H530*OFFSET(ORÇAMENTO!$X$15,ROW(AR530)-ROW(AR$15),0),
ROUND(ROUND(OFFSET($P530,0,AR$13),15-13*ORÇAMENTO!$AF$7)*OFFSET(ORÇAMENTO!$W$15,ROW(AR530)-ROW(AR$15),0),15-13*ORÇAMENTO!$AF$11)),0)</f>
        <v>0</v>
      </c>
      <c r="AS530" s="546">
        <f ca="1">IF(AND($D530="Serviço",AS$12&lt;&gt;0,$H530&gt;0,OR(AUTOEVENTO&lt;&gt;"manual",$M530&lt;&gt;1)),
IF(Import.TipoArredondamento&lt;&gt;"TransfereGOV",
ROUND(OFFSET($P530,0,AS$13),15-13*ORÇAMENTO!$AF$7)/$H530*OFFSET(ORÇAMENTO!$X$15,ROW(AS530)-ROW(AS$15),0),
ROUND(ROUND(OFFSET($P530,0,AS$13),15-13*ORÇAMENTO!$AF$7)*OFFSET(ORÇAMENTO!$W$15,ROW(AS530)-ROW(AS$15),0),15-13*ORÇAMENTO!$AF$11)),0)</f>
        <v>0</v>
      </c>
      <c r="AT530" s="545">
        <f ca="1">IF(AND($D530="Serviço",AT$12&lt;&gt;0,$H530&gt;0,OR(AUTOEVENTO&lt;&gt;"manual",$M530&lt;&gt;1)),
IF(Import.TipoArredondamento&lt;&gt;"TransfereGOV",
ROUND(OFFSET($P530,0,AT$13),15-13*ORÇAMENTO!$AF$7)/$H530*OFFSET(ORÇAMENTO!$X$15,ROW(AT530)-ROW(AT$15),0),
ROUND(ROUND(OFFSET($P530,0,AT$13),15-13*ORÇAMENTO!$AF$7)*OFFSET(ORÇAMENTO!$W$15,ROW(AT530)-ROW(AT$15),0),15-13*ORÇAMENTO!$AF$11)),0)</f>
        <v>0</v>
      </c>
      <c r="AU530" s="545">
        <f ca="1">IF(AND($D530="Serviço",AU$12&lt;&gt;0,$H530&gt;0,OR(AUTOEVENTO&lt;&gt;"manual",$M530&lt;&gt;1)),
IF(Import.TipoArredondamento&lt;&gt;"TransfereGOV",
ROUND(OFFSET($P530,0,AU$13),15-13*ORÇAMENTO!$AF$7)/$H530*OFFSET(ORÇAMENTO!$X$15,ROW(AU530)-ROW(AU$15),0),
ROUND(ROUND(OFFSET($P530,0,AU$13),15-13*ORÇAMENTO!$AF$7)*OFFSET(ORÇAMENTO!$W$15,ROW(AU530)-ROW(AU$15),0),15-13*ORÇAMENTO!$AF$11)),0)</f>
        <v>0</v>
      </c>
      <c r="AV530" s="545">
        <f ca="1">IF(AND($D530="Serviço",AV$12&lt;&gt;0,$H530&gt;0,OR(AUTOEVENTO&lt;&gt;"manual",$M530&lt;&gt;1)),
IF(Import.TipoArredondamento&lt;&gt;"TransfereGOV",
ROUND(OFFSET($P530,0,AV$13),15-13*ORÇAMENTO!$AF$7)/$H530*OFFSET(ORÇAMENTO!$X$15,ROW(AV530)-ROW(AV$15),0),
ROUND(ROUND(OFFSET($P530,0,AV$13),15-13*ORÇAMENTO!$AF$7)*OFFSET(ORÇAMENTO!$W$15,ROW(AV530)-ROW(AV$15),0),15-13*ORÇAMENTO!$AF$11)),0)</f>
        <v>0</v>
      </c>
      <c r="AW530" s="545">
        <f ca="1">IF(AND($D530="Serviço",AW$12&lt;&gt;0,$H530&gt;0,OR(AUTOEVENTO&lt;&gt;"manual",$M530&lt;&gt;1)),
IF(Import.TipoArredondamento&lt;&gt;"TransfereGOV",
ROUND(OFFSET($P530,0,AW$13),15-13*ORÇAMENTO!$AF$7)/$H530*OFFSET(ORÇAMENTO!$X$15,ROW(AW530)-ROW(AW$15),0),
ROUND(ROUND(OFFSET($P530,0,AW$13),15-13*ORÇAMENTO!$AF$7)*OFFSET(ORÇAMENTO!$W$15,ROW(AW530)-ROW(AW$15),0),15-13*ORÇAMENTO!$AF$11)),0)</f>
        <v>0</v>
      </c>
      <c r="AX530" s="545">
        <f ca="1">IF(AND($D530="Serviço",AX$12&lt;&gt;0,$H530&gt;0,OR(AUTOEVENTO&lt;&gt;"manual",$M530&lt;&gt;1)),
IF(Import.TipoArredondamento&lt;&gt;"TransfereGOV",
ROUND(OFFSET($P530,0,AX$13),15-13*ORÇAMENTO!$AF$7)/$H530*OFFSET(ORÇAMENTO!$X$15,ROW(AX530)-ROW(AX$15),0),
ROUND(ROUND(OFFSET($P530,0,AX$13),15-13*ORÇAMENTO!$AF$7)*OFFSET(ORÇAMENTO!$W$15,ROW(AX530)-ROW(AX$15),0),15-13*ORÇAMENTO!$AF$11)),0)</f>
        <v>0</v>
      </c>
      <c r="AY530" s="545">
        <f ca="1">IF(AND($D530="Serviço",AY$12&lt;&gt;0,$H530&gt;0,OR(AUTOEVENTO&lt;&gt;"manual",$M530&lt;&gt;1)),
IF(Import.TipoArredondamento&lt;&gt;"TransfereGOV",
ROUND(OFFSET($P530,0,AY$13),15-13*ORÇAMENTO!$AF$7)/$H530*OFFSET(ORÇAMENTO!$X$15,ROW(AY530)-ROW(AY$15),0),
ROUND(ROUND(OFFSET($P530,0,AY$13),15-13*ORÇAMENTO!$AF$7)*OFFSET(ORÇAMENTO!$W$15,ROW(AY530)-ROW(AY$15),0),15-13*ORÇAMENTO!$AF$11)),0)</f>
        <v>0</v>
      </c>
      <c r="AZ530" s="545">
        <f ca="1">IF(AND($D530="Serviço",AZ$12&lt;&gt;0,$H530&gt;0,OR(AUTOEVENTO&lt;&gt;"manual",$M530&lt;&gt;1)),
IF(Import.TipoArredondamento&lt;&gt;"TransfereGOV",
ROUND(OFFSET($P530,0,AZ$13),15-13*ORÇAMENTO!$AF$7)/$H530*OFFSET(ORÇAMENTO!$X$15,ROW(AZ530)-ROW(AZ$15),0),
ROUND(ROUND(OFFSET($P530,0,AZ$13),15-13*ORÇAMENTO!$AF$7)*OFFSET(ORÇAMENTO!$W$15,ROW(AZ530)-ROW(AZ$15),0),15-13*ORÇAMENTO!$AF$11)),0)</f>
        <v>0</v>
      </c>
      <c r="BA530" s="546">
        <f ca="1">IF(AND($D530="Serviço",BA$12&lt;&gt;0,$H530&gt;0,OR(AUTOEVENTO&lt;&gt;"manual",$M530&lt;&gt;1)),
IF(Import.TipoArredondamento&lt;&gt;"TransfereGOV",
ROUND(OFFSET($P530,0,BA$13),15-13*ORÇAMENTO!$AF$7)/$H530*OFFSET(ORÇAMENTO!$X$15,ROW(BA530)-ROW(BA$15),0),
ROUND(ROUND(OFFSET($P530,0,BA$13),15-13*ORÇAMENTO!$AF$7)*OFFSET(ORÇAMENTO!$W$15,ROW(BA530)-ROW(BA$15),0),15-13*ORÇAMENTO!$AF$11)),0)</f>
        <v>0</v>
      </c>
      <c r="BC530" s="181">
        <f ca="1">IF($D530&lt;&gt;"Serviço",0,IF(AND(AUTOEVENTO="Manual",$M530=1),0,IF(OFFSET(CRONOPLE!$F$14,$M530,BC$13)="",10^12,OFFSET(CRONOPLE!$F$14,$M530,BC$13))))</f>
        <v>0</v>
      </c>
      <c r="BD530" s="181">
        <f ca="1">IF($D530&lt;&gt;"Serviço",0,IF(AND(AUTOEVENTO="Manual",$M530=1),0,IF(OFFSET(CRONOPLE!$F$14,$M530,BD$13)="",10^12,OFFSET(CRONOPLE!$F$14,$M530,BD$13))))</f>
        <v>0</v>
      </c>
      <c r="BE530" s="181">
        <f ca="1">IF($D530&lt;&gt;"Serviço",0,IF(AND(AUTOEVENTO="Manual",$M530=1),0,IF(OFFSET(CRONOPLE!$F$14,$M530,BE$13)="",10^12,OFFSET(CRONOPLE!$F$14,$M530,BE$13))))</f>
        <v>0</v>
      </c>
      <c r="BF530" s="181">
        <f ca="1">IF($D530&lt;&gt;"Serviço",0,IF(AND(AUTOEVENTO="Manual",$M530=1),0,IF(OFFSET(CRONOPLE!$F$14,$M530,BF$13)="",10^12,OFFSET(CRONOPLE!$F$14,$M530,BF$13))))</f>
        <v>0</v>
      </c>
      <c r="BG530" s="181">
        <f ca="1">IF($D530&lt;&gt;"Serviço",0,IF(AND(AUTOEVENTO="Manual",$M530=1),0,IF(OFFSET(CRONOPLE!$F$14,$M530,BG$13)="",10^12,OFFSET(CRONOPLE!$F$14,$M530,BG$13))))</f>
        <v>0</v>
      </c>
      <c r="BH530" s="181">
        <f ca="1">IF($D530&lt;&gt;"Serviço",0,IF(AND(AUTOEVENTO="Manual",$M530=1),0,IF(OFFSET(CRONOPLE!$F$14,$M530,BH$13)="",10^12,OFFSET(CRONOPLE!$F$14,$M530,BH$13))))</f>
        <v>0</v>
      </c>
      <c r="BI530" s="181">
        <f ca="1">IF($D530&lt;&gt;"Serviço",0,IF(AND(AUTOEVENTO="Manual",$M530=1),0,IF(OFFSET(CRONOPLE!$F$14,$M530,BI$13)="",10^12,OFFSET(CRONOPLE!$F$14,$M530,BI$13))))</f>
        <v>0</v>
      </c>
      <c r="BJ530" s="181">
        <f ca="1">IF($D530&lt;&gt;"Serviço",0,IF(AND(AUTOEVENTO="Manual",$M530=1),0,IF(OFFSET(CRONOPLE!$F$14,$M530,BJ$13)="",10^12,OFFSET(CRONOPLE!$F$14,$M530,BJ$13))))</f>
        <v>0</v>
      </c>
      <c r="BK530" s="181">
        <f ca="1">IF($D530&lt;&gt;"Serviço",0,IF(AND(AUTOEVENTO="Manual",$M530=1),0,IF(OFFSET(CRONOPLE!$F$14,$M530,BK$13)="",10^12,OFFSET(CRONOPLE!$F$14,$M530,BK$13))))</f>
        <v>0</v>
      </c>
      <c r="BL530" s="181">
        <f ca="1">IF($D530&lt;&gt;"Serviço",0,IF(AND(AUTOEVENTO="Manual",$M530=1),0,IF(OFFSET(CRONOPLE!$F$14,$M530,BL$13)="",10^12,OFFSET(CRONOPLE!$F$14,$M530,BL$13))))</f>
        <v>0</v>
      </c>
      <c r="BM530" s="181">
        <f ca="1">IF($D530&lt;&gt;"Serviço",0,IF(AND(AUTOEVENTO="Manual",$M530=1),0,IF(OFFSET(CRONOPLE!$F$14,$M530,BM$13)="",10^12,OFFSET(CRONOPLE!$F$14,$M530,BM$13))))</f>
        <v>0</v>
      </c>
      <c r="BN530" s="181">
        <f ca="1">IF($D530&lt;&gt;"Serviço",0,IF(AND(AUTOEVENTO="Manual",$M530=1),0,IF(OFFSET(CRONOPLE!$F$14,$M530,BN$13)="",10^12,OFFSET(CRONOPLE!$F$14,$M530,BN$13))))</f>
        <v>0</v>
      </c>
      <c r="BO530" s="181">
        <f ca="1">IF($D530&lt;&gt;"Serviço",0,IF(AND(AUTOEVENTO="Manual",$M530=1),0,IF(OFFSET(CRONOPLE!$F$14,$M530,BO$13)="",10^12,OFFSET(CRONOPLE!$F$14,$M530,BO$13))))</f>
        <v>0</v>
      </c>
      <c r="BP530" s="181">
        <f ca="1">IF($D530&lt;&gt;"Serviço",0,IF(AND(AUTOEVENTO="Manual",$M530=1),0,IF(OFFSET(CRONOPLE!$F$14,$M530,BP$13)="",10^12,OFFSET(CRONOPLE!$F$14,$M530,BP$13))))</f>
        <v>0</v>
      </c>
      <c r="BQ530" s="181">
        <f ca="1">IF($D530&lt;&gt;"Serviço",0,IF(AND(AUTOEVENTO="Manual",$M530=1),0,IF(OFFSET(CRONOPLE!$F$14,$M530,BQ$13)="",10^12,OFFSET(CRONOPLE!$F$14,$M530,BQ$13))))</f>
        <v>0</v>
      </c>
      <c r="BR530" s="181">
        <f ca="1">IF($D530&lt;&gt;"Serviço",0,IF(AND(AUTOEVENTO="Manual",$M530=1),0,IF(OFFSET(CRONOPLE!$F$14,$M530,BR$13)="",10^12,OFFSET(CRONOPLE!$F$14,$M530,BR$13))))</f>
        <v>0</v>
      </c>
      <c r="BS530" s="181">
        <f ca="1">IF($D530&lt;&gt;"Serviço",0,IF(AND(AUTOEVENTO="Manual",$M530=1),0,IF(OFFSET(CRONOPLE!$F$14,$M530,BS$13)="",10^12,OFFSET(CRONOPLE!$F$14,$M530,BS$13))))</f>
        <v>0</v>
      </c>
      <c r="BT530" s="181">
        <f ca="1">IF($D530&lt;&gt;"Serviço",0,IF(AND(AUTOEVENTO="Manual",$M530=1),0,IF(OFFSET(CRONOPLE!$F$14,$M530,BT$13)="",10^12,OFFSET(CRONOPLE!$F$14,$M530,BT$13))))</f>
        <v>0</v>
      </c>
      <c r="BV530" s="182">
        <f ca="1">IF($D530&lt;&gt;"Serviço",0,IF(OR(AND(AUTOEVENTO="Manual",$M530=1),$M530&gt;(ROW(PLE.lastrow)-ROW(PLE.firstrow))),0,IF(OFFSET(PLE!$G$14,$M530,BV$13)="",10^12,OFFSET(PLE!$G$14,$M530,BV$13))))</f>
        <v>0</v>
      </c>
      <c r="BW530" s="182">
        <f ca="1">IF($D530&lt;&gt;"Serviço",0,IF(OR(AND(AUTOEVENTO="Manual",$M530=1),$M530&gt;(ROW(PLE.lastrow)-ROW(PLE.firstrow))),0,IF(OFFSET(PLE!$G$14,$M530,BW$13)="",10^12,OFFSET(PLE!$G$14,$M530,BW$13))))</f>
        <v>0</v>
      </c>
      <c r="BX530" s="182">
        <f ca="1">IF($D530&lt;&gt;"Serviço",0,IF(OR(AND(AUTOEVENTO="Manual",$M530=1),$M530&gt;(ROW(PLE.lastrow)-ROW(PLE.firstrow))),0,IF(OFFSET(PLE!$G$14,$M530,BX$13)="",10^12,OFFSET(PLE!$G$14,$M530,BX$13))))</f>
        <v>0</v>
      </c>
      <c r="BY530" s="182">
        <f ca="1">IF($D530&lt;&gt;"Serviço",0,IF(OR(AND(AUTOEVENTO="Manual",$M530=1),$M530&gt;(ROW(PLE.lastrow)-ROW(PLE.firstrow))),0,IF(OFFSET(PLE!$G$14,$M530,BY$13)="",10^12,OFFSET(PLE!$G$14,$M530,BY$13))))</f>
        <v>0</v>
      </c>
      <c r="BZ530" s="182">
        <f ca="1">IF($D530&lt;&gt;"Serviço",0,IF(OR(AND(AUTOEVENTO="Manual",$M530=1),$M530&gt;(ROW(PLE.lastrow)-ROW(PLE.firstrow))),0,IF(OFFSET(PLE!$G$14,$M530,BZ$13)="",10^12,OFFSET(PLE!$G$14,$M530,BZ$13))))</f>
        <v>0</v>
      </c>
      <c r="CA530" s="182">
        <f ca="1">IF($D530&lt;&gt;"Serviço",0,IF(OR(AND(AUTOEVENTO="Manual",$M530=1),$M530&gt;(ROW(PLE.lastrow)-ROW(PLE.firstrow))),0,IF(OFFSET(PLE!$G$14,$M530,CA$13)="",10^12,OFFSET(PLE!$G$14,$M530,CA$13))))</f>
        <v>0</v>
      </c>
      <c r="CB530" s="182">
        <f ca="1">IF($D530&lt;&gt;"Serviço",0,IF(OR(AND(AUTOEVENTO="Manual",$M530=1),$M530&gt;(ROW(PLE.lastrow)-ROW(PLE.firstrow))),0,IF(OFFSET(PLE!$G$14,$M530,CB$13)="",10^12,OFFSET(PLE!$G$14,$M530,CB$13))))</f>
        <v>0</v>
      </c>
      <c r="CC530" s="182">
        <f ca="1">IF($D530&lt;&gt;"Serviço",0,IF(OR(AND(AUTOEVENTO="Manual",$M530=1),$M530&gt;(ROW(PLE.lastrow)-ROW(PLE.firstrow))),0,IF(OFFSET(PLE!$G$14,$M530,CC$13)="",10^12,OFFSET(PLE!$G$14,$M530,CC$13))))</f>
        <v>0</v>
      </c>
      <c r="CD530" s="182">
        <f ca="1">IF($D530&lt;&gt;"Serviço",0,IF(OR(AND(AUTOEVENTO="Manual",$M530=1),$M530&gt;(ROW(PLE.lastrow)-ROW(PLE.firstrow))),0,IF(OFFSET(PLE!$G$14,$M530,CD$13)="",10^12,OFFSET(PLE!$G$14,$M530,CD$13))))</f>
        <v>0</v>
      </c>
      <c r="CE530" s="182">
        <f ca="1">IF($D530&lt;&gt;"Serviço",0,IF(OR(AND(AUTOEVENTO="Manual",$M530=1),$M530&gt;(ROW(PLE.lastrow)-ROW(PLE.firstrow))),0,IF(OFFSET(PLE!$G$14,$M530,CE$13)="",10^12,OFFSET(PLE!$G$14,$M530,CE$13))))</f>
        <v>0</v>
      </c>
      <c r="CF530" s="182">
        <f ca="1">IF($D530&lt;&gt;"Serviço",0,IF(OR(AND(AUTOEVENTO="Manual",$M530=1),$M530&gt;(ROW(PLE.lastrow)-ROW(PLE.firstrow))),0,IF(OFFSET(PLE!$G$14,$M530,CF$13)="",10^12,OFFSET(PLE!$G$14,$M530,CF$13))))</f>
        <v>0</v>
      </c>
      <c r="CG530" s="182">
        <f ca="1">IF($D530&lt;&gt;"Serviço",0,IF(OR(AND(AUTOEVENTO="Manual",$M530=1),$M530&gt;(ROW(PLE.lastrow)-ROW(PLE.firstrow))),0,IF(OFFSET(PLE!$G$14,$M530,CG$13)="",10^12,OFFSET(PLE!$G$14,$M530,CG$13))))</f>
        <v>0</v>
      </c>
      <c r="CH530" s="182">
        <f ca="1">IF($D530&lt;&gt;"Serviço",0,IF(OR(AND(AUTOEVENTO="Manual",$M530=1),$M530&gt;(ROW(PLE.lastrow)-ROW(PLE.firstrow))),0,IF(OFFSET(PLE!$G$14,$M530,CH$13)="",10^12,OFFSET(PLE!$G$14,$M530,CH$13))))</f>
        <v>0</v>
      </c>
      <c r="CI530" s="182">
        <f ca="1">IF($D530&lt;&gt;"Serviço",0,IF(OR(AND(AUTOEVENTO="Manual",$M530=1),$M530&gt;(ROW(PLE.lastrow)-ROW(PLE.firstrow))),0,IF(OFFSET(PLE!$G$14,$M530,CI$13)="",10^12,OFFSET(PLE!$G$14,$M530,CI$13))))</f>
        <v>0</v>
      </c>
      <c r="CJ530" s="182">
        <f ca="1">IF($D530&lt;&gt;"Serviço",0,IF(OR(AND(AUTOEVENTO="Manual",$M530=1),$M530&gt;(ROW(PLE.lastrow)-ROW(PLE.firstrow))),0,IF(OFFSET(PLE!$G$14,$M530,CJ$13)="",10^12,OFFSET(PLE!$G$14,$M530,CJ$13))))</f>
        <v>0</v>
      </c>
      <c r="CK530" s="182">
        <f ca="1">IF($D530&lt;&gt;"Serviço",0,IF(OR(AND(AUTOEVENTO="Manual",$M530=1),$M530&gt;(ROW(PLE.lastrow)-ROW(PLE.firstrow))),0,IF(OFFSET(PLE!$G$14,$M530,CK$13)="",10^12,OFFSET(PLE!$G$14,$M530,CK$13))))</f>
        <v>0</v>
      </c>
      <c r="CL530" s="182">
        <f ca="1">IF($D530&lt;&gt;"Serviço",0,IF(OR(AND(AUTOEVENTO="Manual",$M530=1),$M530&gt;(ROW(PLE.lastrow)-ROW(PLE.firstrow))),0,IF(OFFSET(PLE!$G$14,$M530,CL$13)="",10^12,OFFSET(PLE!$G$14,$M530,CL$13))))</f>
        <v>0</v>
      </c>
      <c r="CM530" s="182">
        <f ca="1">IF($D530&lt;&gt;"Serviço",0,IF(OR(AND(AUTOEVENTO="Manual",$M530=1),$M530&gt;(ROW(PLE.lastrow)-ROW(PLE.firstrow))),0,IF(OFFSET(PLE!$G$14,$M530,CM$13)="",10^12,OFFSET(PLE!$G$14,$M530,CM$13))))</f>
        <v>0</v>
      </c>
    </row>
    <row r="531" spans="1:91" ht="25.5" x14ac:dyDescent="0.2">
      <c r="A531" s="7" t="str">
        <f t="shared" ca="1" si="17"/>
        <v>515</v>
      </c>
      <c r="B531" s="7" t="str">
        <f ca="1">OFFSET(ORÇAMENTO!C$15,ROW(B531)-ROW(B$15),0)</f>
        <v>S</v>
      </c>
      <c r="C531" s="7" t="str">
        <f ca="1">OFFSET(ORÇAMENTO!L$15,ROW(C531)-ROW(C$15),0)</f>
        <v/>
      </c>
      <c r="D531" s="118" t="str">
        <f ca="1">OFFSET(ORÇAMENTO!N$15,ROW(D531)-ROW(D$15),0)</f>
        <v>Serviço</v>
      </c>
      <c r="E531" s="119" t="str">
        <f ca="1">OFFSET(ORÇAMENTO!O$15,ROW(E531)-ROW(E$15),0)</f>
        <v>-</v>
      </c>
      <c r="F531" s="172" t="str">
        <f ca="1">OFFSET(ORÇAMENTO!R$15,ROW(F531)-ROW(F$15),0)</f>
        <v>(abra o arquivo 'Referência 06-2024.xlsm)</v>
      </c>
      <c r="G531" s="173" t="str">
        <f ca="1">IF($D531&lt;&gt;"Serviço","",OFFSET(ORÇAMENTO!S$15,ROW(G531)-ROW(G$15),0))</f>
        <v>-</v>
      </c>
      <c r="H531" s="124">
        <f ca="1">IF($D531&lt;&gt;"Serviço",0,IF(ACOMPANHAMENTO="BM",ROUND(OFFSET(ORÇAMENTO!AJ$15,ROW(H531)-ROW(H$15),0),15-13*ORÇAMENTO!$AF$7),SUMPRODUCT(($Q$12:$AI$12&lt;&gt;"")*ROUND($Q531:$AI531,15-13*ORÇAMENTO!$AF$7))))</f>
        <v>5</v>
      </c>
      <c r="I531" s="561" t="s">
        <v>1107</v>
      </c>
      <c r="K531" s="174"/>
      <c r="L531" s="175" t="s">
        <v>255</v>
      </c>
      <c r="M531" s="176">
        <f ca="1">IF($D531&lt;&gt;"Serviço","",IF(AUTOEVENTO="manual",$A531,IF(ISERROR(MATCH($A531,$A$15:OFFSET($A531,-1,0),0)),MAX($M$15:OFFSET(M531,-1,0))+1,INDEX($M$15:OFFSET(M531,-1,0),MATCH($A531,$A$15:OFFSET($A531,-1,0),0)))))</f>
        <v>56</v>
      </c>
      <c r="N531" s="177" t="str">
        <f ca="1">IF($D531&lt;&gt;"Serviço","",IF(AUTOEVENTO="Manual",IF($A531=0,"&lt;-- defina o número do agrupador",OFFSET(EVENTOS!$D$14,$A531,0)),OFFSET($F$15,$A531,0)))</f>
        <v>INSTALAÇÃO ELÉTRICA 110V - DISPOSITIVOS ELÉTRICOS</v>
      </c>
      <c r="O531" s="178"/>
      <c r="Q531" s="178">
        <v>5</v>
      </c>
      <c r="R531" s="179"/>
      <c r="S531" s="179"/>
      <c r="T531" s="179"/>
      <c r="U531" s="179"/>
      <c r="V531" s="179"/>
      <c r="W531" s="179"/>
      <c r="X531" s="179"/>
      <c r="Y531" s="179"/>
      <c r="Z531" s="180"/>
      <c r="AA531" s="179"/>
      <c r="AB531" s="179"/>
      <c r="AC531" s="179"/>
      <c r="AD531" s="179"/>
      <c r="AE531" s="179"/>
      <c r="AF531" s="179"/>
      <c r="AG531" s="179"/>
      <c r="AH531" s="180"/>
      <c r="AJ531" s="544">
        <f ca="1">IF(AND($D531="Serviço",AJ$12&lt;&gt;0,$H531&gt;0,OR(AUTOEVENTO&lt;&gt;"manual",$M531&lt;&gt;1)),
IF(Import.TipoArredondamento&lt;&gt;"TransfereGOV",
ROUND(OFFSET($P531,0,AJ$13),15-13*ORÇAMENTO!$AF$7)/$H531*OFFSET(ORÇAMENTO!$X$15,ROW(AJ531)-ROW(AJ$15),0),
ROUND(ROUND(OFFSET($P531,0,AJ$13),15-13*ORÇAMENTO!$AF$7)*OFFSET(ORÇAMENTO!$W$15,ROW(AJ531)-ROW(AJ$15),0),15-13*ORÇAMENTO!$AF$11)),0)</f>
        <v>0</v>
      </c>
      <c r="AK531" s="545">
        <f ca="1">IF(AND($D531="Serviço",AK$12&lt;&gt;0,$H531&gt;0,OR(AUTOEVENTO&lt;&gt;"manual",$M531&lt;&gt;1)),
IF(Import.TipoArredondamento&lt;&gt;"TransfereGOV",
ROUND(OFFSET($P531,0,AK$13),15-13*ORÇAMENTO!$AF$7)/$H531*OFFSET(ORÇAMENTO!$X$15,ROW(AK531)-ROW(AK$15),0),
ROUND(ROUND(OFFSET($P531,0,AK$13),15-13*ORÇAMENTO!$AF$7)*OFFSET(ORÇAMENTO!$W$15,ROW(AK531)-ROW(AK$15),0),15-13*ORÇAMENTO!$AF$11)),0)</f>
        <v>0</v>
      </c>
      <c r="AL531" s="545">
        <f ca="1">IF(AND($D531="Serviço",AL$12&lt;&gt;0,$H531&gt;0,OR(AUTOEVENTO&lt;&gt;"manual",$M531&lt;&gt;1)),
IF(Import.TipoArredondamento&lt;&gt;"TransfereGOV",
ROUND(OFFSET($P531,0,AL$13),15-13*ORÇAMENTO!$AF$7)/$H531*OFFSET(ORÇAMENTO!$X$15,ROW(AL531)-ROW(AL$15),0),
ROUND(ROUND(OFFSET($P531,0,AL$13),15-13*ORÇAMENTO!$AF$7)*OFFSET(ORÇAMENTO!$W$15,ROW(AL531)-ROW(AL$15),0),15-13*ORÇAMENTO!$AF$11)),0)</f>
        <v>0</v>
      </c>
      <c r="AM531" s="545">
        <f ca="1">IF(AND($D531="Serviço",AM$12&lt;&gt;0,$H531&gt;0,OR(AUTOEVENTO&lt;&gt;"manual",$M531&lt;&gt;1)),
IF(Import.TipoArredondamento&lt;&gt;"TransfereGOV",
ROUND(OFFSET($P531,0,AM$13),15-13*ORÇAMENTO!$AF$7)/$H531*OFFSET(ORÇAMENTO!$X$15,ROW(AM531)-ROW(AM$15),0),
ROUND(ROUND(OFFSET($P531,0,AM$13),15-13*ORÇAMENTO!$AF$7)*OFFSET(ORÇAMENTO!$W$15,ROW(AM531)-ROW(AM$15),0),15-13*ORÇAMENTO!$AF$11)),0)</f>
        <v>0</v>
      </c>
      <c r="AN531" s="545">
        <f ca="1">IF(AND($D531="Serviço",AN$12&lt;&gt;0,$H531&gt;0,OR(AUTOEVENTO&lt;&gt;"manual",$M531&lt;&gt;1)),
IF(Import.TipoArredondamento&lt;&gt;"TransfereGOV",
ROUND(OFFSET($P531,0,AN$13),15-13*ORÇAMENTO!$AF$7)/$H531*OFFSET(ORÇAMENTO!$X$15,ROW(AN531)-ROW(AN$15),0),
ROUND(ROUND(OFFSET($P531,0,AN$13),15-13*ORÇAMENTO!$AF$7)*OFFSET(ORÇAMENTO!$W$15,ROW(AN531)-ROW(AN$15),0),15-13*ORÇAMENTO!$AF$11)),0)</f>
        <v>0</v>
      </c>
      <c r="AO531" s="545">
        <f ca="1">IF(AND($D531="Serviço",AO$12&lt;&gt;0,$H531&gt;0,OR(AUTOEVENTO&lt;&gt;"manual",$M531&lt;&gt;1)),
IF(Import.TipoArredondamento&lt;&gt;"TransfereGOV",
ROUND(OFFSET($P531,0,AO$13),15-13*ORÇAMENTO!$AF$7)/$H531*OFFSET(ORÇAMENTO!$X$15,ROW(AO531)-ROW(AO$15),0),
ROUND(ROUND(OFFSET($P531,0,AO$13),15-13*ORÇAMENTO!$AF$7)*OFFSET(ORÇAMENTO!$W$15,ROW(AO531)-ROW(AO$15),0),15-13*ORÇAMENTO!$AF$11)),0)</f>
        <v>0</v>
      </c>
      <c r="AP531" s="545">
        <f ca="1">IF(AND($D531="Serviço",AP$12&lt;&gt;0,$H531&gt;0,OR(AUTOEVENTO&lt;&gt;"manual",$M531&lt;&gt;1)),
IF(Import.TipoArredondamento&lt;&gt;"TransfereGOV",
ROUND(OFFSET($P531,0,AP$13),15-13*ORÇAMENTO!$AF$7)/$H531*OFFSET(ORÇAMENTO!$X$15,ROW(AP531)-ROW(AP$15),0),
ROUND(ROUND(OFFSET($P531,0,AP$13),15-13*ORÇAMENTO!$AF$7)*OFFSET(ORÇAMENTO!$W$15,ROW(AP531)-ROW(AP$15),0),15-13*ORÇAMENTO!$AF$11)),0)</f>
        <v>0</v>
      </c>
      <c r="AQ531" s="545">
        <f ca="1">IF(AND($D531="Serviço",AQ$12&lt;&gt;0,$H531&gt;0,OR(AUTOEVENTO&lt;&gt;"manual",$M531&lt;&gt;1)),
IF(Import.TipoArredondamento&lt;&gt;"TransfereGOV",
ROUND(OFFSET($P531,0,AQ$13),15-13*ORÇAMENTO!$AF$7)/$H531*OFFSET(ORÇAMENTO!$X$15,ROW(AQ531)-ROW(AQ$15),0),
ROUND(ROUND(OFFSET($P531,0,AQ$13),15-13*ORÇAMENTO!$AF$7)*OFFSET(ORÇAMENTO!$W$15,ROW(AQ531)-ROW(AQ$15),0),15-13*ORÇAMENTO!$AF$11)),0)</f>
        <v>0</v>
      </c>
      <c r="AR531" s="545">
        <f ca="1">IF(AND($D531="Serviço",AR$12&lt;&gt;0,$H531&gt;0,OR(AUTOEVENTO&lt;&gt;"manual",$M531&lt;&gt;1)),
IF(Import.TipoArredondamento&lt;&gt;"TransfereGOV",
ROUND(OFFSET($P531,0,AR$13),15-13*ORÇAMENTO!$AF$7)/$H531*OFFSET(ORÇAMENTO!$X$15,ROW(AR531)-ROW(AR$15),0),
ROUND(ROUND(OFFSET($P531,0,AR$13),15-13*ORÇAMENTO!$AF$7)*OFFSET(ORÇAMENTO!$W$15,ROW(AR531)-ROW(AR$15),0),15-13*ORÇAMENTO!$AF$11)),0)</f>
        <v>0</v>
      </c>
      <c r="AS531" s="546">
        <f ca="1">IF(AND($D531="Serviço",AS$12&lt;&gt;0,$H531&gt;0,OR(AUTOEVENTO&lt;&gt;"manual",$M531&lt;&gt;1)),
IF(Import.TipoArredondamento&lt;&gt;"TransfereGOV",
ROUND(OFFSET($P531,0,AS$13),15-13*ORÇAMENTO!$AF$7)/$H531*OFFSET(ORÇAMENTO!$X$15,ROW(AS531)-ROW(AS$15),0),
ROUND(ROUND(OFFSET($P531,0,AS$13),15-13*ORÇAMENTO!$AF$7)*OFFSET(ORÇAMENTO!$W$15,ROW(AS531)-ROW(AS$15),0),15-13*ORÇAMENTO!$AF$11)),0)</f>
        <v>0</v>
      </c>
      <c r="AT531" s="545">
        <f ca="1">IF(AND($D531="Serviço",AT$12&lt;&gt;0,$H531&gt;0,OR(AUTOEVENTO&lt;&gt;"manual",$M531&lt;&gt;1)),
IF(Import.TipoArredondamento&lt;&gt;"TransfereGOV",
ROUND(OFFSET($P531,0,AT$13),15-13*ORÇAMENTO!$AF$7)/$H531*OFFSET(ORÇAMENTO!$X$15,ROW(AT531)-ROW(AT$15),0),
ROUND(ROUND(OFFSET($P531,0,AT$13),15-13*ORÇAMENTO!$AF$7)*OFFSET(ORÇAMENTO!$W$15,ROW(AT531)-ROW(AT$15),0),15-13*ORÇAMENTO!$AF$11)),0)</f>
        <v>0</v>
      </c>
      <c r="AU531" s="545">
        <f ca="1">IF(AND($D531="Serviço",AU$12&lt;&gt;0,$H531&gt;0,OR(AUTOEVENTO&lt;&gt;"manual",$M531&lt;&gt;1)),
IF(Import.TipoArredondamento&lt;&gt;"TransfereGOV",
ROUND(OFFSET($P531,0,AU$13),15-13*ORÇAMENTO!$AF$7)/$H531*OFFSET(ORÇAMENTO!$X$15,ROW(AU531)-ROW(AU$15),0),
ROUND(ROUND(OFFSET($P531,0,AU$13),15-13*ORÇAMENTO!$AF$7)*OFFSET(ORÇAMENTO!$W$15,ROW(AU531)-ROW(AU$15),0),15-13*ORÇAMENTO!$AF$11)),0)</f>
        <v>0</v>
      </c>
      <c r="AV531" s="545">
        <f ca="1">IF(AND($D531="Serviço",AV$12&lt;&gt;0,$H531&gt;0,OR(AUTOEVENTO&lt;&gt;"manual",$M531&lt;&gt;1)),
IF(Import.TipoArredondamento&lt;&gt;"TransfereGOV",
ROUND(OFFSET($P531,0,AV$13),15-13*ORÇAMENTO!$AF$7)/$H531*OFFSET(ORÇAMENTO!$X$15,ROW(AV531)-ROW(AV$15),0),
ROUND(ROUND(OFFSET($P531,0,AV$13),15-13*ORÇAMENTO!$AF$7)*OFFSET(ORÇAMENTO!$W$15,ROW(AV531)-ROW(AV$15),0),15-13*ORÇAMENTO!$AF$11)),0)</f>
        <v>0</v>
      </c>
      <c r="AW531" s="545">
        <f ca="1">IF(AND($D531="Serviço",AW$12&lt;&gt;0,$H531&gt;0,OR(AUTOEVENTO&lt;&gt;"manual",$M531&lt;&gt;1)),
IF(Import.TipoArredondamento&lt;&gt;"TransfereGOV",
ROUND(OFFSET($P531,0,AW$13),15-13*ORÇAMENTO!$AF$7)/$H531*OFFSET(ORÇAMENTO!$X$15,ROW(AW531)-ROW(AW$15),0),
ROUND(ROUND(OFFSET($P531,0,AW$13),15-13*ORÇAMENTO!$AF$7)*OFFSET(ORÇAMENTO!$W$15,ROW(AW531)-ROW(AW$15),0),15-13*ORÇAMENTO!$AF$11)),0)</f>
        <v>0</v>
      </c>
      <c r="AX531" s="545">
        <f ca="1">IF(AND($D531="Serviço",AX$12&lt;&gt;0,$H531&gt;0,OR(AUTOEVENTO&lt;&gt;"manual",$M531&lt;&gt;1)),
IF(Import.TipoArredondamento&lt;&gt;"TransfereGOV",
ROUND(OFFSET($P531,0,AX$13),15-13*ORÇAMENTO!$AF$7)/$H531*OFFSET(ORÇAMENTO!$X$15,ROW(AX531)-ROW(AX$15),0),
ROUND(ROUND(OFFSET($P531,0,AX$13),15-13*ORÇAMENTO!$AF$7)*OFFSET(ORÇAMENTO!$W$15,ROW(AX531)-ROW(AX$15),0),15-13*ORÇAMENTO!$AF$11)),0)</f>
        <v>0</v>
      </c>
      <c r="AY531" s="545">
        <f ca="1">IF(AND($D531="Serviço",AY$12&lt;&gt;0,$H531&gt;0,OR(AUTOEVENTO&lt;&gt;"manual",$M531&lt;&gt;1)),
IF(Import.TipoArredondamento&lt;&gt;"TransfereGOV",
ROUND(OFFSET($P531,0,AY$13),15-13*ORÇAMENTO!$AF$7)/$H531*OFFSET(ORÇAMENTO!$X$15,ROW(AY531)-ROW(AY$15),0),
ROUND(ROUND(OFFSET($P531,0,AY$13),15-13*ORÇAMENTO!$AF$7)*OFFSET(ORÇAMENTO!$W$15,ROW(AY531)-ROW(AY$15),0),15-13*ORÇAMENTO!$AF$11)),0)</f>
        <v>0</v>
      </c>
      <c r="AZ531" s="545">
        <f ca="1">IF(AND($D531="Serviço",AZ$12&lt;&gt;0,$H531&gt;0,OR(AUTOEVENTO&lt;&gt;"manual",$M531&lt;&gt;1)),
IF(Import.TipoArredondamento&lt;&gt;"TransfereGOV",
ROUND(OFFSET($P531,0,AZ$13),15-13*ORÇAMENTO!$AF$7)/$H531*OFFSET(ORÇAMENTO!$X$15,ROW(AZ531)-ROW(AZ$15),0),
ROUND(ROUND(OFFSET($P531,0,AZ$13),15-13*ORÇAMENTO!$AF$7)*OFFSET(ORÇAMENTO!$W$15,ROW(AZ531)-ROW(AZ$15),0),15-13*ORÇAMENTO!$AF$11)),0)</f>
        <v>0</v>
      </c>
      <c r="BA531" s="546">
        <f ca="1">IF(AND($D531="Serviço",BA$12&lt;&gt;0,$H531&gt;0,OR(AUTOEVENTO&lt;&gt;"manual",$M531&lt;&gt;1)),
IF(Import.TipoArredondamento&lt;&gt;"TransfereGOV",
ROUND(OFFSET($P531,0,BA$13),15-13*ORÇAMENTO!$AF$7)/$H531*OFFSET(ORÇAMENTO!$X$15,ROW(BA531)-ROW(BA$15),0),
ROUND(ROUND(OFFSET($P531,0,BA$13),15-13*ORÇAMENTO!$AF$7)*OFFSET(ORÇAMENTO!$W$15,ROW(BA531)-ROW(BA$15),0),15-13*ORÇAMENTO!$AF$11)),0)</f>
        <v>0</v>
      </c>
      <c r="BC531" s="181">
        <f ca="1">IF($D531&lt;&gt;"Serviço",0,IF(AND(AUTOEVENTO="Manual",$M531=1),0,IF(OFFSET(CRONOPLE!$F$14,$M531,BC$13)="",10^12,OFFSET(CRONOPLE!$F$14,$M531,BC$13))))</f>
        <v>10</v>
      </c>
      <c r="BD531" s="181">
        <f ca="1">IF($D531&lt;&gt;"Serviço",0,IF(AND(AUTOEVENTO="Manual",$M531=1),0,IF(OFFSET(CRONOPLE!$F$14,$M531,BD$13)="",10^12,OFFSET(CRONOPLE!$F$14,$M531,BD$13))))</f>
        <v>1000000000000</v>
      </c>
      <c r="BE531" s="181">
        <f ca="1">IF($D531&lt;&gt;"Serviço",0,IF(AND(AUTOEVENTO="Manual",$M531=1),0,IF(OFFSET(CRONOPLE!$F$14,$M531,BE$13)="",10^12,OFFSET(CRONOPLE!$F$14,$M531,BE$13))))</f>
        <v>1000000000000</v>
      </c>
      <c r="BF531" s="181">
        <f ca="1">IF($D531&lt;&gt;"Serviço",0,IF(AND(AUTOEVENTO="Manual",$M531=1),0,IF(OFFSET(CRONOPLE!$F$14,$M531,BF$13)="",10^12,OFFSET(CRONOPLE!$F$14,$M531,BF$13))))</f>
        <v>1000000000000</v>
      </c>
      <c r="BG531" s="181">
        <f ca="1">IF($D531&lt;&gt;"Serviço",0,IF(AND(AUTOEVENTO="Manual",$M531=1),0,IF(OFFSET(CRONOPLE!$F$14,$M531,BG$13)="",10^12,OFFSET(CRONOPLE!$F$14,$M531,BG$13))))</f>
        <v>1000000000000</v>
      </c>
      <c r="BH531" s="181">
        <f ca="1">IF($D531&lt;&gt;"Serviço",0,IF(AND(AUTOEVENTO="Manual",$M531=1),0,IF(OFFSET(CRONOPLE!$F$14,$M531,BH$13)="",10^12,OFFSET(CRONOPLE!$F$14,$M531,BH$13))))</f>
        <v>1000000000000</v>
      </c>
      <c r="BI531" s="181">
        <f ca="1">IF($D531&lt;&gt;"Serviço",0,IF(AND(AUTOEVENTO="Manual",$M531=1),0,IF(OFFSET(CRONOPLE!$F$14,$M531,BI$13)="",10^12,OFFSET(CRONOPLE!$F$14,$M531,BI$13))))</f>
        <v>1000000000000</v>
      </c>
      <c r="BJ531" s="181">
        <f ca="1">IF($D531&lt;&gt;"Serviço",0,IF(AND(AUTOEVENTO="Manual",$M531=1),0,IF(OFFSET(CRONOPLE!$F$14,$M531,BJ$13)="",10^12,OFFSET(CRONOPLE!$F$14,$M531,BJ$13))))</f>
        <v>1000000000000</v>
      </c>
      <c r="BK531" s="181">
        <f ca="1">IF($D531&lt;&gt;"Serviço",0,IF(AND(AUTOEVENTO="Manual",$M531=1),0,IF(OFFSET(CRONOPLE!$F$14,$M531,BK$13)="",10^12,OFFSET(CRONOPLE!$F$14,$M531,BK$13))))</f>
        <v>1000000000000</v>
      </c>
      <c r="BL531" s="181">
        <f ca="1">IF($D531&lt;&gt;"Serviço",0,IF(AND(AUTOEVENTO="Manual",$M531=1),0,IF(OFFSET(CRONOPLE!$F$14,$M531,BL$13)="",10^12,OFFSET(CRONOPLE!$F$14,$M531,BL$13))))</f>
        <v>1000000000000</v>
      </c>
      <c r="BM531" s="181">
        <f ca="1">IF($D531&lt;&gt;"Serviço",0,IF(AND(AUTOEVENTO="Manual",$M531=1),0,IF(OFFSET(CRONOPLE!$F$14,$M531,BM$13)="",10^12,OFFSET(CRONOPLE!$F$14,$M531,BM$13))))</f>
        <v>1000000000000</v>
      </c>
      <c r="BN531" s="181">
        <f ca="1">IF($D531&lt;&gt;"Serviço",0,IF(AND(AUTOEVENTO="Manual",$M531=1),0,IF(OFFSET(CRONOPLE!$F$14,$M531,BN$13)="",10^12,OFFSET(CRONOPLE!$F$14,$M531,BN$13))))</f>
        <v>1000000000000</v>
      </c>
      <c r="BO531" s="181">
        <f ca="1">IF($D531&lt;&gt;"Serviço",0,IF(AND(AUTOEVENTO="Manual",$M531=1),0,IF(OFFSET(CRONOPLE!$F$14,$M531,BO$13)="",10^12,OFFSET(CRONOPLE!$F$14,$M531,BO$13))))</f>
        <v>1000000000000</v>
      </c>
      <c r="BP531" s="181">
        <f ca="1">IF($D531&lt;&gt;"Serviço",0,IF(AND(AUTOEVENTO="Manual",$M531=1),0,IF(OFFSET(CRONOPLE!$F$14,$M531,BP$13)="",10^12,OFFSET(CRONOPLE!$F$14,$M531,BP$13))))</f>
        <v>1000000000000</v>
      </c>
      <c r="BQ531" s="181">
        <f ca="1">IF($D531&lt;&gt;"Serviço",0,IF(AND(AUTOEVENTO="Manual",$M531=1),0,IF(OFFSET(CRONOPLE!$F$14,$M531,BQ$13)="",10^12,OFFSET(CRONOPLE!$F$14,$M531,BQ$13))))</f>
        <v>1000000000000</v>
      </c>
      <c r="BR531" s="181">
        <f ca="1">IF($D531&lt;&gt;"Serviço",0,IF(AND(AUTOEVENTO="Manual",$M531=1),0,IF(OFFSET(CRONOPLE!$F$14,$M531,BR$13)="",10^12,OFFSET(CRONOPLE!$F$14,$M531,BR$13))))</f>
        <v>1000000000000</v>
      </c>
      <c r="BS531" s="181">
        <f ca="1">IF($D531&lt;&gt;"Serviço",0,IF(AND(AUTOEVENTO="Manual",$M531=1),0,IF(OFFSET(CRONOPLE!$F$14,$M531,BS$13)="",10^12,OFFSET(CRONOPLE!$F$14,$M531,BS$13))))</f>
        <v>1000000000000</v>
      </c>
      <c r="BT531" s="181">
        <f ca="1">IF($D531&lt;&gt;"Serviço",0,IF(AND(AUTOEVENTO="Manual",$M531=1),0,IF(OFFSET(CRONOPLE!$F$14,$M531,BT$13)="",10^12,OFFSET(CRONOPLE!$F$14,$M531,BT$13))))</f>
        <v>1000000000000</v>
      </c>
      <c r="BV531" s="182">
        <f ca="1">IF($D531&lt;&gt;"Serviço",0,IF(OR(AND(AUTOEVENTO="Manual",$M531=1),$M531&gt;(ROW(PLE.lastrow)-ROW(PLE.firstrow))),0,IF(OFFSET(PLE!$G$14,$M531,BV$13)="",10^12,OFFSET(PLE!$G$14,$M531,BV$13))))</f>
        <v>1000000000000</v>
      </c>
      <c r="BW531" s="182">
        <f ca="1">IF($D531&lt;&gt;"Serviço",0,IF(OR(AND(AUTOEVENTO="Manual",$M531=1),$M531&gt;(ROW(PLE.lastrow)-ROW(PLE.firstrow))),0,IF(OFFSET(PLE!$G$14,$M531,BW$13)="",10^12,OFFSET(PLE!$G$14,$M531,BW$13))))</f>
        <v>1000000000000</v>
      </c>
      <c r="BX531" s="182">
        <f ca="1">IF($D531&lt;&gt;"Serviço",0,IF(OR(AND(AUTOEVENTO="Manual",$M531=1),$M531&gt;(ROW(PLE.lastrow)-ROW(PLE.firstrow))),0,IF(OFFSET(PLE!$G$14,$M531,BX$13)="",10^12,OFFSET(PLE!$G$14,$M531,BX$13))))</f>
        <v>1000000000000</v>
      </c>
      <c r="BY531" s="182">
        <f ca="1">IF($D531&lt;&gt;"Serviço",0,IF(OR(AND(AUTOEVENTO="Manual",$M531=1),$M531&gt;(ROW(PLE.lastrow)-ROW(PLE.firstrow))),0,IF(OFFSET(PLE!$G$14,$M531,BY$13)="",10^12,OFFSET(PLE!$G$14,$M531,BY$13))))</f>
        <v>1000000000000</v>
      </c>
      <c r="BZ531" s="182">
        <f ca="1">IF($D531&lt;&gt;"Serviço",0,IF(OR(AND(AUTOEVENTO="Manual",$M531=1),$M531&gt;(ROW(PLE.lastrow)-ROW(PLE.firstrow))),0,IF(OFFSET(PLE!$G$14,$M531,BZ$13)="",10^12,OFFSET(PLE!$G$14,$M531,BZ$13))))</f>
        <v>1000000000000</v>
      </c>
      <c r="CA531" s="182">
        <f ca="1">IF($D531&lt;&gt;"Serviço",0,IF(OR(AND(AUTOEVENTO="Manual",$M531=1),$M531&gt;(ROW(PLE.lastrow)-ROW(PLE.firstrow))),0,IF(OFFSET(PLE!$G$14,$M531,CA$13)="",10^12,OFFSET(PLE!$G$14,$M531,CA$13))))</f>
        <v>1000000000000</v>
      </c>
      <c r="CB531" s="182">
        <f ca="1">IF($D531&lt;&gt;"Serviço",0,IF(OR(AND(AUTOEVENTO="Manual",$M531=1),$M531&gt;(ROW(PLE.lastrow)-ROW(PLE.firstrow))),0,IF(OFFSET(PLE!$G$14,$M531,CB$13)="",10^12,OFFSET(PLE!$G$14,$M531,CB$13))))</f>
        <v>1000000000000</v>
      </c>
      <c r="CC531" s="182">
        <f ca="1">IF($D531&lt;&gt;"Serviço",0,IF(OR(AND(AUTOEVENTO="Manual",$M531=1),$M531&gt;(ROW(PLE.lastrow)-ROW(PLE.firstrow))),0,IF(OFFSET(PLE!$G$14,$M531,CC$13)="",10^12,OFFSET(PLE!$G$14,$M531,CC$13))))</f>
        <v>1000000000000</v>
      </c>
      <c r="CD531" s="182">
        <f ca="1">IF($D531&lt;&gt;"Serviço",0,IF(OR(AND(AUTOEVENTO="Manual",$M531=1),$M531&gt;(ROW(PLE.lastrow)-ROW(PLE.firstrow))),0,IF(OFFSET(PLE!$G$14,$M531,CD$13)="",10^12,OFFSET(PLE!$G$14,$M531,CD$13))))</f>
        <v>1000000000000</v>
      </c>
      <c r="CE531" s="182">
        <f ca="1">IF($D531&lt;&gt;"Serviço",0,IF(OR(AND(AUTOEVENTO="Manual",$M531=1),$M531&gt;(ROW(PLE.lastrow)-ROW(PLE.firstrow))),0,IF(OFFSET(PLE!$G$14,$M531,CE$13)="",10^12,OFFSET(PLE!$G$14,$M531,CE$13))))</f>
        <v>1000000000000</v>
      </c>
      <c r="CF531" s="182">
        <f ca="1">IF($D531&lt;&gt;"Serviço",0,IF(OR(AND(AUTOEVENTO="Manual",$M531=1),$M531&gt;(ROW(PLE.lastrow)-ROW(PLE.firstrow))),0,IF(OFFSET(PLE!$G$14,$M531,CF$13)="",10^12,OFFSET(PLE!$G$14,$M531,CF$13))))</f>
        <v>1000000000000</v>
      </c>
      <c r="CG531" s="182">
        <f ca="1">IF($D531&lt;&gt;"Serviço",0,IF(OR(AND(AUTOEVENTO="Manual",$M531=1),$M531&gt;(ROW(PLE.lastrow)-ROW(PLE.firstrow))),0,IF(OFFSET(PLE!$G$14,$M531,CG$13)="",10^12,OFFSET(PLE!$G$14,$M531,CG$13))))</f>
        <v>1000000000000</v>
      </c>
      <c r="CH531" s="182">
        <f ca="1">IF($D531&lt;&gt;"Serviço",0,IF(OR(AND(AUTOEVENTO="Manual",$M531=1),$M531&gt;(ROW(PLE.lastrow)-ROW(PLE.firstrow))),0,IF(OFFSET(PLE!$G$14,$M531,CH$13)="",10^12,OFFSET(PLE!$G$14,$M531,CH$13))))</f>
        <v>1000000000000</v>
      </c>
      <c r="CI531" s="182">
        <f ca="1">IF($D531&lt;&gt;"Serviço",0,IF(OR(AND(AUTOEVENTO="Manual",$M531=1),$M531&gt;(ROW(PLE.lastrow)-ROW(PLE.firstrow))),0,IF(OFFSET(PLE!$G$14,$M531,CI$13)="",10^12,OFFSET(PLE!$G$14,$M531,CI$13))))</f>
        <v>1000000000000</v>
      </c>
      <c r="CJ531" s="182">
        <f ca="1">IF($D531&lt;&gt;"Serviço",0,IF(OR(AND(AUTOEVENTO="Manual",$M531=1),$M531&gt;(ROW(PLE.lastrow)-ROW(PLE.firstrow))),0,IF(OFFSET(PLE!$G$14,$M531,CJ$13)="",10^12,OFFSET(PLE!$G$14,$M531,CJ$13))))</f>
        <v>1000000000000</v>
      </c>
      <c r="CK531" s="182">
        <f ca="1">IF($D531&lt;&gt;"Serviço",0,IF(OR(AND(AUTOEVENTO="Manual",$M531=1),$M531&gt;(ROW(PLE.lastrow)-ROW(PLE.firstrow))),0,IF(OFFSET(PLE!$G$14,$M531,CK$13)="",10^12,OFFSET(PLE!$G$14,$M531,CK$13))))</f>
        <v>1000000000000</v>
      </c>
      <c r="CL531" s="182">
        <f ca="1">IF($D531&lt;&gt;"Serviço",0,IF(OR(AND(AUTOEVENTO="Manual",$M531=1),$M531&gt;(ROW(PLE.lastrow)-ROW(PLE.firstrow))),0,IF(OFFSET(PLE!$G$14,$M531,CL$13)="",10^12,OFFSET(PLE!$G$14,$M531,CL$13))))</f>
        <v>1000000000000</v>
      </c>
      <c r="CM531" s="182">
        <f ca="1">IF($D531&lt;&gt;"Serviço",0,IF(OR(AND(AUTOEVENTO="Manual",$M531=1),$M531&gt;(ROW(PLE.lastrow)-ROW(PLE.firstrow))),0,IF(OFFSET(PLE!$G$14,$M531,CM$13)="",10^12,OFFSET(PLE!$G$14,$M531,CM$13))))</f>
        <v>1000000000000</v>
      </c>
    </row>
    <row r="532" spans="1:91" ht="25.5" x14ac:dyDescent="0.2">
      <c r="A532" s="7" t="str">
        <f t="shared" ca="1" si="17"/>
        <v>515</v>
      </c>
      <c r="B532" s="7" t="str">
        <f ca="1">OFFSET(ORÇAMENTO!C$15,ROW(B532)-ROW(B$15),0)</f>
        <v>S</v>
      </c>
      <c r="C532" s="7" t="str">
        <f ca="1">OFFSET(ORÇAMENTO!L$15,ROW(C532)-ROW(C$15),0)</f>
        <v/>
      </c>
      <c r="D532" s="118" t="str">
        <f ca="1">OFFSET(ORÇAMENTO!N$15,ROW(D532)-ROW(D$15),0)</f>
        <v>Serviço</v>
      </c>
      <c r="E532" s="119" t="str">
        <f ca="1">OFFSET(ORÇAMENTO!O$15,ROW(E532)-ROW(E$15),0)</f>
        <v>-</v>
      </c>
      <c r="F532" s="172" t="str">
        <f ca="1">OFFSET(ORÇAMENTO!R$15,ROW(F532)-ROW(F$15),0)</f>
        <v>(abra o arquivo 'Referência 06-2024.xlsm)</v>
      </c>
      <c r="G532" s="173" t="str">
        <f ca="1">IF($D532&lt;&gt;"Serviço","",OFFSET(ORÇAMENTO!S$15,ROW(G532)-ROW(G$15),0))</f>
        <v>-</v>
      </c>
      <c r="H532" s="124">
        <f ca="1">IF($D532&lt;&gt;"Serviço",0,IF(ACOMPANHAMENTO="BM",ROUND(OFFSET(ORÇAMENTO!AJ$15,ROW(H532)-ROW(H$15),0),15-13*ORÇAMENTO!$AF$7),SUMPRODUCT(($Q$12:$AI$12&lt;&gt;"")*ROUND($Q532:$AI532,15-13*ORÇAMENTO!$AF$7))))</f>
        <v>8</v>
      </c>
      <c r="I532" s="561" t="s">
        <v>1107</v>
      </c>
      <c r="K532" s="174"/>
      <c r="L532" s="175" t="s">
        <v>255</v>
      </c>
      <c r="M532" s="176">
        <f ca="1">IF($D532&lt;&gt;"Serviço","",IF(AUTOEVENTO="manual",$A532,IF(ISERROR(MATCH($A532,$A$15:OFFSET($A532,-1,0),0)),MAX($M$15:OFFSET(M532,-1,0))+1,INDEX($M$15:OFFSET(M532,-1,0),MATCH($A532,$A$15:OFFSET($A532,-1,0),0)))))</f>
        <v>56</v>
      </c>
      <c r="N532" s="177" t="str">
        <f ca="1">IF($D532&lt;&gt;"Serviço","",IF(AUTOEVENTO="Manual",IF($A532=0,"&lt;-- defina o número do agrupador",OFFSET(EVENTOS!$D$14,$A532,0)),OFFSET($F$15,$A532,0)))</f>
        <v>INSTALAÇÃO ELÉTRICA 110V - DISPOSITIVOS ELÉTRICOS</v>
      </c>
      <c r="O532" s="178"/>
      <c r="Q532" s="178">
        <v>8</v>
      </c>
      <c r="R532" s="179"/>
      <c r="S532" s="179"/>
      <c r="T532" s="179"/>
      <c r="U532" s="179"/>
      <c r="V532" s="179"/>
      <c r="W532" s="179"/>
      <c r="X532" s="179"/>
      <c r="Y532" s="179"/>
      <c r="Z532" s="180"/>
      <c r="AA532" s="179"/>
      <c r="AB532" s="179"/>
      <c r="AC532" s="179"/>
      <c r="AD532" s="179"/>
      <c r="AE532" s="179"/>
      <c r="AF532" s="179"/>
      <c r="AG532" s="179"/>
      <c r="AH532" s="180"/>
      <c r="AJ532" s="544">
        <f ca="1">IF(AND($D532="Serviço",AJ$12&lt;&gt;0,$H532&gt;0,OR(AUTOEVENTO&lt;&gt;"manual",$M532&lt;&gt;1)),
IF(Import.TipoArredondamento&lt;&gt;"TransfereGOV",
ROUND(OFFSET($P532,0,AJ$13),15-13*ORÇAMENTO!$AF$7)/$H532*OFFSET(ORÇAMENTO!$X$15,ROW(AJ532)-ROW(AJ$15),0),
ROUND(ROUND(OFFSET($P532,0,AJ$13),15-13*ORÇAMENTO!$AF$7)*OFFSET(ORÇAMENTO!$W$15,ROW(AJ532)-ROW(AJ$15),0),15-13*ORÇAMENTO!$AF$11)),0)</f>
        <v>0</v>
      </c>
      <c r="AK532" s="545">
        <f ca="1">IF(AND($D532="Serviço",AK$12&lt;&gt;0,$H532&gt;0,OR(AUTOEVENTO&lt;&gt;"manual",$M532&lt;&gt;1)),
IF(Import.TipoArredondamento&lt;&gt;"TransfereGOV",
ROUND(OFFSET($P532,0,AK$13),15-13*ORÇAMENTO!$AF$7)/$H532*OFFSET(ORÇAMENTO!$X$15,ROW(AK532)-ROW(AK$15),0),
ROUND(ROUND(OFFSET($P532,0,AK$13),15-13*ORÇAMENTO!$AF$7)*OFFSET(ORÇAMENTO!$W$15,ROW(AK532)-ROW(AK$15),0),15-13*ORÇAMENTO!$AF$11)),0)</f>
        <v>0</v>
      </c>
      <c r="AL532" s="545">
        <f ca="1">IF(AND($D532="Serviço",AL$12&lt;&gt;0,$H532&gt;0,OR(AUTOEVENTO&lt;&gt;"manual",$M532&lt;&gt;1)),
IF(Import.TipoArredondamento&lt;&gt;"TransfereGOV",
ROUND(OFFSET($P532,0,AL$13),15-13*ORÇAMENTO!$AF$7)/$H532*OFFSET(ORÇAMENTO!$X$15,ROW(AL532)-ROW(AL$15),0),
ROUND(ROUND(OFFSET($P532,0,AL$13),15-13*ORÇAMENTO!$AF$7)*OFFSET(ORÇAMENTO!$W$15,ROW(AL532)-ROW(AL$15),0),15-13*ORÇAMENTO!$AF$11)),0)</f>
        <v>0</v>
      </c>
      <c r="AM532" s="545">
        <f ca="1">IF(AND($D532="Serviço",AM$12&lt;&gt;0,$H532&gt;0,OR(AUTOEVENTO&lt;&gt;"manual",$M532&lt;&gt;1)),
IF(Import.TipoArredondamento&lt;&gt;"TransfereGOV",
ROUND(OFFSET($P532,0,AM$13),15-13*ORÇAMENTO!$AF$7)/$H532*OFFSET(ORÇAMENTO!$X$15,ROW(AM532)-ROW(AM$15),0),
ROUND(ROUND(OFFSET($P532,0,AM$13),15-13*ORÇAMENTO!$AF$7)*OFFSET(ORÇAMENTO!$W$15,ROW(AM532)-ROW(AM$15),0),15-13*ORÇAMENTO!$AF$11)),0)</f>
        <v>0</v>
      </c>
      <c r="AN532" s="545">
        <f ca="1">IF(AND($D532="Serviço",AN$12&lt;&gt;0,$H532&gt;0,OR(AUTOEVENTO&lt;&gt;"manual",$M532&lt;&gt;1)),
IF(Import.TipoArredondamento&lt;&gt;"TransfereGOV",
ROUND(OFFSET($P532,0,AN$13),15-13*ORÇAMENTO!$AF$7)/$H532*OFFSET(ORÇAMENTO!$X$15,ROW(AN532)-ROW(AN$15),0),
ROUND(ROUND(OFFSET($P532,0,AN$13),15-13*ORÇAMENTO!$AF$7)*OFFSET(ORÇAMENTO!$W$15,ROW(AN532)-ROW(AN$15),0),15-13*ORÇAMENTO!$AF$11)),0)</f>
        <v>0</v>
      </c>
      <c r="AO532" s="545">
        <f ca="1">IF(AND($D532="Serviço",AO$12&lt;&gt;0,$H532&gt;0,OR(AUTOEVENTO&lt;&gt;"manual",$M532&lt;&gt;1)),
IF(Import.TipoArredondamento&lt;&gt;"TransfereGOV",
ROUND(OFFSET($P532,0,AO$13),15-13*ORÇAMENTO!$AF$7)/$H532*OFFSET(ORÇAMENTO!$X$15,ROW(AO532)-ROW(AO$15),0),
ROUND(ROUND(OFFSET($P532,0,AO$13),15-13*ORÇAMENTO!$AF$7)*OFFSET(ORÇAMENTO!$W$15,ROW(AO532)-ROW(AO$15),0),15-13*ORÇAMENTO!$AF$11)),0)</f>
        <v>0</v>
      </c>
      <c r="AP532" s="545">
        <f ca="1">IF(AND($D532="Serviço",AP$12&lt;&gt;0,$H532&gt;0,OR(AUTOEVENTO&lt;&gt;"manual",$M532&lt;&gt;1)),
IF(Import.TipoArredondamento&lt;&gt;"TransfereGOV",
ROUND(OFFSET($P532,0,AP$13),15-13*ORÇAMENTO!$AF$7)/$H532*OFFSET(ORÇAMENTO!$X$15,ROW(AP532)-ROW(AP$15),0),
ROUND(ROUND(OFFSET($P532,0,AP$13),15-13*ORÇAMENTO!$AF$7)*OFFSET(ORÇAMENTO!$W$15,ROW(AP532)-ROW(AP$15),0),15-13*ORÇAMENTO!$AF$11)),0)</f>
        <v>0</v>
      </c>
      <c r="AQ532" s="545">
        <f ca="1">IF(AND($D532="Serviço",AQ$12&lt;&gt;0,$H532&gt;0,OR(AUTOEVENTO&lt;&gt;"manual",$M532&lt;&gt;1)),
IF(Import.TipoArredondamento&lt;&gt;"TransfereGOV",
ROUND(OFFSET($P532,0,AQ$13),15-13*ORÇAMENTO!$AF$7)/$H532*OFFSET(ORÇAMENTO!$X$15,ROW(AQ532)-ROW(AQ$15),0),
ROUND(ROUND(OFFSET($P532,0,AQ$13),15-13*ORÇAMENTO!$AF$7)*OFFSET(ORÇAMENTO!$W$15,ROW(AQ532)-ROW(AQ$15),0),15-13*ORÇAMENTO!$AF$11)),0)</f>
        <v>0</v>
      </c>
      <c r="AR532" s="545">
        <f ca="1">IF(AND($D532="Serviço",AR$12&lt;&gt;0,$H532&gt;0,OR(AUTOEVENTO&lt;&gt;"manual",$M532&lt;&gt;1)),
IF(Import.TipoArredondamento&lt;&gt;"TransfereGOV",
ROUND(OFFSET($P532,0,AR$13),15-13*ORÇAMENTO!$AF$7)/$H532*OFFSET(ORÇAMENTO!$X$15,ROW(AR532)-ROW(AR$15),0),
ROUND(ROUND(OFFSET($P532,0,AR$13),15-13*ORÇAMENTO!$AF$7)*OFFSET(ORÇAMENTO!$W$15,ROW(AR532)-ROW(AR$15),0),15-13*ORÇAMENTO!$AF$11)),0)</f>
        <v>0</v>
      </c>
      <c r="AS532" s="546">
        <f ca="1">IF(AND($D532="Serviço",AS$12&lt;&gt;0,$H532&gt;0,OR(AUTOEVENTO&lt;&gt;"manual",$M532&lt;&gt;1)),
IF(Import.TipoArredondamento&lt;&gt;"TransfereGOV",
ROUND(OFFSET($P532,0,AS$13),15-13*ORÇAMENTO!$AF$7)/$H532*OFFSET(ORÇAMENTO!$X$15,ROW(AS532)-ROW(AS$15),0),
ROUND(ROUND(OFFSET($P532,0,AS$13),15-13*ORÇAMENTO!$AF$7)*OFFSET(ORÇAMENTO!$W$15,ROW(AS532)-ROW(AS$15),0),15-13*ORÇAMENTO!$AF$11)),0)</f>
        <v>0</v>
      </c>
      <c r="AT532" s="545">
        <f ca="1">IF(AND($D532="Serviço",AT$12&lt;&gt;0,$H532&gt;0,OR(AUTOEVENTO&lt;&gt;"manual",$M532&lt;&gt;1)),
IF(Import.TipoArredondamento&lt;&gt;"TransfereGOV",
ROUND(OFFSET($P532,0,AT$13),15-13*ORÇAMENTO!$AF$7)/$H532*OFFSET(ORÇAMENTO!$X$15,ROW(AT532)-ROW(AT$15),0),
ROUND(ROUND(OFFSET($P532,0,AT$13),15-13*ORÇAMENTO!$AF$7)*OFFSET(ORÇAMENTO!$W$15,ROW(AT532)-ROW(AT$15),0),15-13*ORÇAMENTO!$AF$11)),0)</f>
        <v>0</v>
      </c>
      <c r="AU532" s="545">
        <f ca="1">IF(AND($D532="Serviço",AU$12&lt;&gt;0,$H532&gt;0,OR(AUTOEVENTO&lt;&gt;"manual",$M532&lt;&gt;1)),
IF(Import.TipoArredondamento&lt;&gt;"TransfereGOV",
ROUND(OFFSET($P532,0,AU$13),15-13*ORÇAMENTO!$AF$7)/$H532*OFFSET(ORÇAMENTO!$X$15,ROW(AU532)-ROW(AU$15),0),
ROUND(ROUND(OFFSET($P532,0,AU$13),15-13*ORÇAMENTO!$AF$7)*OFFSET(ORÇAMENTO!$W$15,ROW(AU532)-ROW(AU$15),0),15-13*ORÇAMENTO!$AF$11)),0)</f>
        <v>0</v>
      </c>
      <c r="AV532" s="545">
        <f ca="1">IF(AND($D532="Serviço",AV$12&lt;&gt;0,$H532&gt;0,OR(AUTOEVENTO&lt;&gt;"manual",$M532&lt;&gt;1)),
IF(Import.TipoArredondamento&lt;&gt;"TransfereGOV",
ROUND(OFFSET($P532,0,AV$13),15-13*ORÇAMENTO!$AF$7)/$H532*OFFSET(ORÇAMENTO!$X$15,ROW(AV532)-ROW(AV$15),0),
ROUND(ROUND(OFFSET($P532,0,AV$13),15-13*ORÇAMENTO!$AF$7)*OFFSET(ORÇAMENTO!$W$15,ROW(AV532)-ROW(AV$15),0),15-13*ORÇAMENTO!$AF$11)),0)</f>
        <v>0</v>
      </c>
      <c r="AW532" s="545">
        <f ca="1">IF(AND($D532="Serviço",AW$12&lt;&gt;0,$H532&gt;0,OR(AUTOEVENTO&lt;&gt;"manual",$M532&lt;&gt;1)),
IF(Import.TipoArredondamento&lt;&gt;"TransfereGOV",
ROUND(OFFSET($P532,0,AW$13),15-13*ORÇAMENTO!$AF$7)/$H532*OFFSET(ORÇAMENTO!$X$15,ROW(AW532)-ROW(AW$15),0),
ROUND(ROUND(OFFSET($P532,0,AW$13),15-13*ORÇAMENTO!$AF$7)*OFFSET(ORÇAMENTO!$W$15,ROW(AW532)-ROW(AW$15),0),15-13*ORÇAMENTO!$AF$11)),0)</f>
        <v>0</v>
      </c>
      <c r="AX532" s="545">
        <f ca="1">IF(AND($D532="Serviço",AX$12&lt;&gt;0,$H532&gt;0,OR(AUTOEVENTO&lt;&gt;"manual",$M532&lt;&gt;1)),
IF(Import.TipoArredondamento&lt;&gt;"TransfereGOV",
ROUND(OFFSET($P532,0,AX$13),15-13*ORÇAMENTO!$AF$7)/$H532*OFFSET(ORÇAMENTO!$X$15,ROW(AX532)-ROW(AX$15),0),
ROUND(ROUND(OFFSET($P532,0,AX$13),15-13*ORÇAMENTO!$AF$7)*OFFSET(ORÇAMENTO!$W$15,ROW(AX532)-ROW(AX$15),0),15-13*ORÇAMENTO!$AF$11)),0)</f>
        <v>0</v>
      </c>
      <c r="AY532" s="545">
        <f ca="1">IF(AND($D532="Serviço",AY$12&lt;&gt;0,$H532&gt;0,OR(AUTOEVENTO&lt;&gt;"manual",$M532&lt;&gt;1)),
IF(Import.TipoArredondamento&lt;&gt;"TransfereGOV",
ROUND(OFFSET($P532,0,AY$13),15-13*ORÇAMENTO!$AF$7)/$H532*OFFSET(ORÇAMENTO!$X$15,ROW(AY532)-ROW(AY$15),0),
ROUND(ROUND(OFFSET($P532,0,AY$13),15-13*ORÇAMENTO!$AF$7)*OFFSET(ORÇAMENTO!$W$15,ROW(AY532)-ROW(AY$15),0),15-13*ORÇAMENTO!$AF$11)),0)</f>
        <v>0</v>
      </c>
      <c r="AZ532" s="545">
        <f ca="1">IF(AND($D532="Serviço",AZ$12&lt;&gt;0,$H532&gt;0,OR(AUTOEVENTO&lt;&gt;"manual",$M532&lt;&gt;1)),
IF(Import.TipoArredondamento&lt;&gt;"TransfereGOV",
ROUND(OFFSET($P532,0,AZ$13),15-13*ORÇAMENTO!$AF$7)/$H532*OFFSET(ORÇAMENTO!$X$15,ROW(AZ532)-ROW(AZ$15),0),
ROUND(ROUND(OFFSET($P532,0,AZ$13),15-13*ORÇAMENTO!$AF$7)*OFFSET(ORÇAMENTO!$W$15,ROW(AZ532)-ROW(AZ$15),0),15-13*ORÇAMENTO!$AF$11)),0)</f>
        <v>0</v>
      </c>
      <c r="BA532" s="546">
        <f ca="1">IF(AND($D532="Serviço",BA$12&lt;&gt;0,$H532&gt;0,OR(AUTOEVENTO&lt;&gt;"manual",$M532&lt;&gt;1)),
IF(Import.TipoArredondamento&lt;&gt;"TransfereGOV",
ROUND(OFFSET($P532,0,BA$13),15-13*ORÇAMENTO!$AF$7)/$H532*OFFSET(ORÇAMENTO!$X$15,ROW(BA532)-ROW(BA$15),0),
ROUND(ROUND(OFFSET($P532,0,BA$13),15-13*ORÇAMENTO!$AF$7)*OFFSET(ORÇAMENTO!$W$15,ROW(BA532)-ROW(BA$15),0),15-13*ORÇAMENTO!$AF$11)),0)</f>
        <v>0</v>
      </c>
      <c r="BC532" s="181">
        <f ca="1">IF($D532&lt;&gt;"Serviço",0,IF(AND(AUTOEVENTO="Manual",$M532=1),0,IF(OFFSET(CRONOPLE!$F$14,$M532,BC$13)="",10^12,OFFSET(CRONOPLE!$F$14,$M532,BC$13))))</f>
        <v>10</v>
      </c>
      <c r="BD532" s="181">
        <f ca="1">IF($D532&lt;&gt;"Serviço",0,IF(AND(AUTOEVENTO="Manual",$M532=1),0,IF(OFFSET(CRONOPLE!$F$14,$M532,BD$13)="",10^12,OFFSET(CRONOPLE!$F$14,$M532,BD$13))))</f>
        <v>1000000000000</v>
      </c>
      <c r="BE532" s="181">
        <f ca="1">IF($D532&lt;&gt;"Serviço",0,IF(AND(AUTOEVENTO="Manual",$M532=1),0,IF(OFFSET(CRONOPLE!$F$14,$M532,BE$13)="",10^12,OFFSET(CRONOPLE!$F$14,$M532,BE$13))))</f>
        <v>1000000000000</v>
      </c>
      <c r="BF532" s="181">
        <f ca="1">IF($D532&lt;&gt;"Serviço",0,IF(AND(AUTOEVENTO="Manual",$M532=1),0,IF(OFFSET(CRONOPLE!$F$14,$M532,BF$13)="",10^12,OFFSET(CRONOPLE!$F$14,$M532,BF$13))))</f>
        <v>1000000000000</v>
      </c>
      <c r="BG532" s="181">
        <f ca="1">IF($D532&lt;&gt;"Serviço",0,IF(AND(AUTOEVENTO="Manual",$M532=1),0,IF(OFFSET(CRONOPLE!$F$14,$M532,BG$13)="",10^12,OFFSET(CRONOPLE!$F$14,$M532,BG$13))))</f>
        <v>1000000000000</v>
      </c>
      <c r="BH532" s="181">
        <f ca="1">IF($D532&lt;&gt;"Serviço",0,IF(AND(AUTOEVENTO="Manual",$M532=1),0,IF(OFFSET(CRONOPLE!$F$14,$M532,BH$13)="",10^12,OFFSET(CRONOPLE!$F$14,$M532,BH$13))))</f>
        <v>1000000000000</v>
      </c>
      <c r="BI532" s="181">
        <f ca="1">IF($D532&lt;&gt;"Serviço",0,IF(AND(AUTOEVENTO="Manual",$M532=1),0,IF(OFFSET(CRONOPLE!$F$14,$M532,BI$13)="",10^12,OFFSET(CRONOPLE!$F$14,$M532,BI$13))))</f>
        <v>1000000000000</v>
      </c>
      <c r="BJ532" s="181">
        <f ca="1">IF($D532&lt;&gt;"Serviço",0,IF(AND(AUTOEVENTO="Manual",$M532=1),0,IF(OFFSET(CRONOPLE!$F$14,$M532,BJ$13)="",10^12,OFFSET(CRONOPLE!$F$14,$M532,BJ$13))))</f>
        <v>1000000000000</v>
      </c>
      <c r="BK532" s="181">
        <f ca="1">IF($D532&lt;&gt;"Serviço",0,IF(AND(AUTOEVENTO="Manual",$M532=1),0,IF(OFFSET(CRONOPLE!$F$14,$M532,BK$13)="",10^12,OFFSET(CRONOPLE!$F$14,$M532,BK$13))))</f>
        <v>1000000000000</v>
      </c>
      <c r="BL532" s="181">
        <f ca="1">IF($D532&lt;&gt;"Serviço",0,IF(AND(AUTOEVENTO="Manual",$M532=1),0,IF(OFFSET(CRONOPLE!$F$14,$M532,BL$13)="",10^12,OFFSET(CRONOPLE!$F$14,$M532,BL$13))))</f>
        <v>1000000000000</v>
      </c>
      <c r="BM532" s="181">
        <f ca="1">IF($D532&lt;&gt;"Serviço",0,IF(AND(AUTOEVENTO="Manual",$M532=1),0,IF(OFFSET(CRONOPLE!$F$14,$M532,BM$13)="",10^12,OFFSET(CRONOPLE!$F$14,$M532,BM$13))))</f>
        <v>1000000000000</v>
      </c>
      <c r="BN532" s="181">
        <f ca="1">IF($D532&lt;&gt;"Serviço",0,IF(AND(AUTOEVENTO="Manual",$M532=1),0,IF(OFFSET(CRONOPLE!$F$14,$M532,BN$13)="",10^12,OFFSET(CRONOPLE!$F$14,$M532,BN$13))))</f>
        <v>1000000000000</v>
      </c>
      <c r="BO532" s="181">
        <f ca="1">IF($D532&lt;&gt;"Serviço",0,IF(AND(AUTOEVENTO="Manual",$M532=1),0,IF(OFFSET(CRONOPLE!$F$14,$M532,BO$13)="",10^12,OFFSET(CRONOPLE!$F$14,$M532,BO$13))))</f>
        <v>1000000000000</v>
      </c>
      <c r="BP532" s="181">
        <f ca="1">IF($D532&lt;&gt;"Serviço",0,IF(AND(AUTOEVENTO="Manual",$M532=1),0,IF(OFFSET(CRONOPLE!$F$14,$M532,BP$13)="",10^12,OFFSET(CRONOPLE!$F$14,$M532,BP$13))))</f>
        <v>1000000000000</v>
      </c>
      <c r="BQ532" s="181">
        <f ca="1">IF($D532&lt;&gt;"Serviço",0,IF(AND(AUTOEVENTO="Manual",$M532=1),0,IF(OFFSET(CRONOPLE!$F$14,$M532,BQ$13)="",10^12,OFFSET(CRONOPLE!$F$14,$M532,BQ$13))))</f>
        <v>1000000000000</v>
      </c>
      <c r="BR532" s="181">
        <f ca="1">IF($D532&lt;&gt;"Serviço",0,IF(AND(AUTOEVENTO="Manual",$M532=1),0,IF(OFFSET(CRONOPLE!$F$14,$M532,BR$13)="",10^12,OFFSET(CRONOPLE!$F$14,$M532,BR$13))))</f>
        <v>1000000000000</v>
      </c>
      <c r="BS532" s="181">
        <f ca="1">IF($D532&lt;&gt;"Serviço",0,IF(AND(AUTOEVENTO="Manual",$M532=1),0,IF(OFFSET(CRONOPLE!$F$14,$M532,BS$13)="",10^12,OFFSET(CRONOPLE!$F$14,$M532,BS$13))))</f>
        <v>1000000000000</v>
      </c>
      <c r="BT532" s="181">
        <f ca="1">IF($D532&lt;&gt;"Serviço",0,IF(AND(AUTOEVENTO="Manual",$M532=1),0,IF(OFFSET(CRONOPLE!$F$14,$M532,BT$13)="",10^12,OFFSET(CRONOPLE!$F$14,$M532,BT$13))))</f>
        <v>1000000000000</v>
      </c>
      <c r="BV532" s="182">
        <f ca="1">IF($D532&lt;&gt;"Serviço",0,IF(OR(AND(AUTOEVENTO="Manual",$M532=1),$M532&gt;(ROW(PLE.lastrow)-ROW(PLE.firstrow))),0,IF(OFFSET(PLE!$G$14,$M532,BV$13)="",10^12,OFFSET(PLE!$G$14,$M532,BV$13))))</f>
        <v>1000000000000</v>
      </c>
      <c r="BW532" s="182">
        <f ca="1">IF($D532&lt;&gt;"Serviço",0,IF(OR(AND(AUTOEVENTO="Manual",$M532=1),$M532&gt;(ROW(PLE.lastrow)-ROW(PLE.firstrow))),0,IF(OFFSET(PLE!$G$14,$M532,BW$13)="",10^12,OFFSET(PLE!$G$14,$M532,BW$13))))</f>
        <v>1000000000000</v>
      </c>
      <c r="BX532" s="182">
        <f ca="1">IF($D532&lt;&gt;"Serviço",0,IF(OR(AND(AUTOEVENTO="Manual",$M532=1),$M532&gt;(ROW(PLE.lastrow)-ROW(PLE.firstrow))),0,IF(OFFSET(PLE!$G$14,$M532,BX$13)="",10^12,OFFSET(PLE!$G$14,$M532,BX$13))))</f>
        <v>1000000000000</v>
      </c>
      <c r="BY532" s="182">
        <f ca="1">IF($D532&lt;&gt;"Serviço",0,IF(OR(AND(AUTOEVENTO="Manual",$M532=1),$M532&gt;(ROW(PLE.lastrow)-ROW(PLE.firstrow))),0,IF(OFFSET(PLE!$G$14,$M532,BY$13)="",10^12,OFFSET(PLE!$G$14,$M532,BY$13))))</f>
        <v>1000000000000</v>
      </c>
      <c r="BZ532" s="182">
        <f ca="1">IF($D532&lt;&gt;"Serviço",0,IF(OR(AND(AUTOEVENTO="Manual",$M532=1),$M532&gt;(ROW(PLE.lastrow)-ROW(PLE.firstrow))),0,IF(OFFSET(PLE!$G$14,$M532,BZ$13)="",10^12,OFFSET(PLE!$G$14,$M532,BZ$13))))</f>
        <v>1000000000000</v>
      </c>
      <c r="CA532" s="182">
        <f ca="1">IF($D532&lt;&gt;"Serviço",0,IF(OR(AND(AUTOEVENTO="Manual",$M532=1),$M532&gt;(ROW(PLE.lastrow)-ROW(PLE.firstrow))),0,IF(OFFSET(PLE!$G$14,$M532,CA$13)="",10^12,OFFSET(PLE!$G$14,$M532,CA$13))))</f>
        <v>1000000000000</v>
      </c>
      <c r="CB532" s="182">
        <f ca="1">IF($D532&lt;&gt;"Serviço",0,IF(OR(AND(AUTOEVENTO="Manual",$M532=1),$M532&gt;(ROW(PLE.lastrow)-ROW(PLE.firstrow))),0,IF(OFFSET(PLE!$G$14,$M532,CB$13)="",10^12,OFFSET(PLE!$G$14,$M532,CB$13))))</f>
        <v>1000000000000</v>
      </c>
      <c r="CC532" s="182">
        <f ca="1">IF($D532&lt;&gt;"Serviço",0,IF(OR(AND(AUTOEVENTO="Manual",$M532=1),$M532&gt;(ROW(PLE.lastrow)-ROW(PLE.firstrow))),0,IF(OFFSET(PLE!$G$14,$M532,CC$13)="",10^12,OFFSET(PLE!$G$14,$M532,CC$13))))</f>
        <v>1000000000000</v>
      </c>
      <c r="CD532" s="182">
        <f ca="1">IF($D532&lt;&gt;"Serviço",0,IF(OR(AND(AUTOEVENTO="Manual",$M532=1),$M532&gt;(ROW(PLE.lastrow)-ROW(PLE.firstrow))),0,IF(OFFSET(PLE!$G$14,$M532,CD$13)="",10^12,OFFSET(PLE!$G$14,$M532,CD$13))))</f>
        <v>1000000000000</v>
      </c>
      <c r="CE532" s="182">
        <f ca="1">IF($D532&lt;&gt;"Serviço",0,IF(OR(AND(AUTOEVENTO="Manual",$M532=1),$M532&gt;(ROW(PLE.lastrow)-ROW(PLE.firstrow))),0,IF(OFFSET(PLE!$G$14,$M532,CE$13)="",10^12,OFFSET(PLE!$G$14,$M532,CE$13))))</f>
        <v>1000000000000</v>
      </c>
      <c r="CF532" s="182">
        <f ca="1">IF($D532&lt;&gt;"Serviço",0,IF(OR(AND(AUTOEVENTO="Manual",$M532=1),$M532&gt;(ROW(PLE.lastrow)-ROW(PLE.firstrow))),0,IF(OFFSET(PLE!$G$14,$M532,CF$13)="",10^12,OFFSET(PLE!$G$14,$M532,CF$13))))</f>
        <v>1000000000000</v>
      </c>
      <c r="CG532" s="182">
        <f ca="1">IF($D532&lt;&gt;"Serviço",0,IF(OR(AND(AUTOEVENTO="Manual",$M532=1),$M532&gt;(ROW(PLE.lastrow)-ROW(PLE.firstrow))),0,IF(OFFSET(PLE!$G$14,$M532,CG$13)="",10^12,OFFSET(PLE!$G$14,$M532,CG$13))))</f>
        <v>1000000000000</v>
      </c>
      <c r="CH532" s="182">
        <f ca="1">IF($D532&lt;&gt;"Serviço",0,IF(OR(AND(AUTOEVENTO="Manual",$M532=1),$M532&gt;(ROW(PLE.lastrow)-ROW(PLE.firstrow))),0,IF(OFFSET(PLE!$G$14,$M532,CH$13)="",10^12,OFFSET(PLE!$G$14,$M532,CH$13))))</f>
        <v>1000000000000</v>
      </c>
      <c r="CI532" s="182">
        <f ca="1">IF($D532&lt;&gt;"Serviço",0,IF(OR(AND(AUTOEVENTO="Manual",$M532=1),$M532&gt;(ROW(PLE.lastrow)-ROW(PLE.firstrow))),0,IF(OFFSET(PLE!$G$14,$M532,CI$13)="",10^12,OFFSET(PLE!$G$14,$M532,CI$13))))</f>
        <v>1000000000000</v>
      </c>
      <c r="CJ532" s="182">
        <f ca="1">IF($D532&lt;&gt;"Serviço",0,IF(OR(AND(AUTOEVENTO="Manual",$M532=1),$M532&gt;(ROW(PLE.lastrow)-ROW(PLE.firstrow))),0,IF(OFFSET(PLE!$G$14,$M532,CJ$13)="",10^12,OFFSET(PLE!$G$14,$M532,CJ$13))))</f>
        <v>1000000000000</v>
      </c>
      <c r="CK532" s="182">
        <f ca="1">IF($D532&lt;&gt;"Serviço",0,IF(OR(AND(AUTOEVENTO="Manual",$M532=1),$M532&gt;(ROW(PLE.lastrow)-ROW(PLE.firstrow))),0,IF(OFFSET(PLE!$G$14,$M532,CK$13)="",10^12,OFFSET(PLE!$G$14,$M532,CK$13))))</f>
        <v>1000000000000</v>
      </c>
      <c r="CL532" s="182">
        <f ca="1">IF($D532&lt;&gt;"Serviço",0,IF(OR(AND(AUTOEVENTO="Manual",$M532=1),$M532&gt;(ROW(PLE.lastrow)-ROW(PLE.firstrow))),0,IF(OFFSET(PLE!$G$14,$M532,CL$13)="",10^12,OFFSET(PLE!$G$14,$M532,CL$13))))</f>
        <v>1000000000000</v>
      </c>
      <c r="CM532" s="182">
        <f ca="1">IF($D532&lt;&gt;"Serviço",0,IF(OR(AND(AUTOEVENTO="Manual",$M532=1),$M532&gt;(ROW(PLE.lastrow)-ROW(PLE.firstrow))),0,IF(OFFSET(PLE!$G$14,$M532,CM$13)="",10^12,OFFSET(PLE!$G$14,$M532,CM$13))))</f>
        <v>1000000000000</v>
      </c>
    </row>
    <row r="533" spans="1:91" ht="25.5" x14ac:dyDescent="0.2">
      <c r="A533" s="7" t="str">
        <f t="shared" ca="1" si="17"/>
        <v>515</v>
      </c>
      <c r="B533" s="7" t="str">
        <f ca="1">OFFSET(ORÇAMENTO!C$15,ROW(B533)-ROW(B$15),0)</f>
        <v>S</v>
      </c>
      <c r="C533" s="7" t="str">
        <f ca="1">OFFSET(ORÇAMENTO!L$15,ROW(C533)-ROW(C$15),0)</f>
        <v/>
      </c>
      <c r="D533" s="118" t="str">
        <f ca="1">OFFSET(ORÇAMENTO!N$15,ROW(D533)-ROW(D$15),0)</f>
        <v>Serviço</v>
      </c>
      <c r="E533" s="119" t="str">
        <f ca="1">OFFSET(ORÇAMENTO!O$15,ROW(E533)-ROW(E$15),0)</f>
        <v>-</v>
      </c>
      <c r="F533" s="172" t="str">
        <f ca="1">OFFSET(ORÇAMENTO!R$15,ROW(F533)-ROW(F$15),0)</f>
        <v>(abra o arquivo 'Referência 06-2024.xlsm)</v>
      </c>
      <c r="G533" s="173" t="str">
        <f ca="1">IF($D533&lt;&gt;"Serviço","",OFFSET(ORÇAMENTO!S$15,ROW(G533)-ROW(G$15),0))</f>
        <v>-</v>
      </c>
      <c r="H533" s="124">
        <f ca="1">IF($D533&lt;&gt;"Serviço",0,IF(ACOMPANHAMENTO="BM",ROUND(OFFSET(ORÇAMENTO!AJ$15,ROW(H533)-ROW(H$15),0),15-13*ORÇAMENTO!$AF$7),SUMPRODUCT(($Q$12:$AI$12&lt;&gt;"")*ROUND($Q533:$AI533,15-13*ORÇAMENTO!$AF$7))))</f>
        <v>4</v>
      </c>
      <c r="I533" s="561" t="s">
        <v>1107</v>
      </c>
      <c r="K533" s="174"/>
      <c r="L533" s="175" t="s">
        <v>255</v>
      </c>
      <c r="M533" s="176">
        <f ca="1">IF($D533&lt;&gt;"Serviço","",IF(AUTOEVENTO="manual",$A533,IF(ISERROR(MATCH($A533,$A$15:OFFSET($A533,-1,0),0)),MAX($M$15:OFFSET(M533,-1,0))+1,INDEX($M$15:OFFSET(M533,-1,0),MATCH($A533,$A$15:OFFSET($A533,-1,0),0)))))</f>
        <v>56</v>
      </c>
      <c r="N533" s="177" t="str">
        <f ca="1">IF($D533&lt;&gt;"Serviço","",IF(AUTOEVENTO="Manual",IF($A533=0,"&lt;-- defina o número do agrupador",OFFSET(EVENTOS!$D$14,$A533,0)),OFFSET($F$15,$A533,0)))</f>
        <v>INSTALAÇÃO ELÉTRICA 110V - DISPOSITIVOS ELÉTRICOS</v>
      </c>
      <c r="O533" s="178"/>
      <c r="Q533" s="178">
        <v>4</v>
      </c>
      <c r="R533" s="179"/>
      <c r="S533" s="179"/>
      <c r="T533" s="179"/>
      <c r="U533" s="179"/>
      <c r="V533" s="179"/>
      <c r="W533" s="179"/>
      <c r="X533" s="179"/>
      <c r="Y533" s="179"/>
      <c r="Z533" s="180"/>
      <c r="AA533" s="179"/>
      <c r="AB533" s="179"/>
      <c r="AC533" s="179"/>
      <c r="AD533" s="179"/>
      <c r="AE533" s="179"/>
      <c r="AF533" s="179"/>
      <c r="AG533" s="179"/>
      <c r="AH533" s="180"/>
      <c r="AJ533" s="544">
        <f ca="1">IF(AND($D533="Serviço",AJ$12&lt;&gt;0,$H533&gt;0,OR(AUTOEVENTO&lt;&gt;"manual",$M533&lt;&gt;1)),
IF(Import.TipoArredondamento&lt;&gt;"TransfereGOV",
ROUND(OFFSET($P533,0,AJ$13),15-13*ORÇAMENTO!$AF$7)/$H533*OFFSET(ORÇAMENTO!$X$15,ROW(AJ533)-ROW(AJ$15),0),
ROUND(ROUND(OFFSET($P533,0,AJ$13),15-13*ORÇAMENTO!$AF$7)*OFFSET(ORÇAMENTO!$W$15,ROW(AJ533)-ROW(AJ$15),0),15-13*ORÇAMENTO!$AF$11)),0)</f>
        <v>0</v>
      </c>
      <c r="AK533" s="545">
        <f ca="1">IF(AND($D533="Serviço",AK$12&lt;&gt;0,$H533&gt;0,OR(AUTOEVENTO&lt;&gt;"manual",$M533&lt;&gt;1)),
IF(Import.TipoArredondamento&lt;&gt;"TransfereGOV",
ROUND(OFFSET($P533,0,AK$13),15-13*ORÇAMENTO!$AF$7)/$H533*OFFSET(ORÇAMENTO!$X$15,ROW(AK533)-ROW(AK$15),0),
ROUND(ROUND(OFFSET($P533,0,AK$13),15-13*ORÇAMENTO!$AF$7)*OFFSET(ORÇAMENTO!$W$15,ROW(AK533)-ROW(AK$15),0),15-13*ORÇAMENTO!$AF$11)),0)</f>
        <v>0</v>
      </c>
      <c r="AL533" s="545">
        <f ca="1">IF(AND($D533="Serviço",AL$12&lt;&gt;0,$H533&gt;0,OR(AUTOEVENTO&lt;&gt;"manual",$M533&lt;&gt;1)),
IF(Import.TipoArredondamento&lt;&gt;"TransfereGOV",
ROUND(OFFSET($P533,0,AL$13),15-13*ORÇAMENTO!$AF$7)/$H533*OFFSET(ORÇAMENTO!$X$15,ROW(AL533)-ROW(AL$15),0),
ROUND(ROUND(OFFSET($P533,0,AL$13),15-13*ORÇAMENTO!$AF$7)*OFFSET(ORÇAMENTO!$W$15,ROW(AL533)-ROW(AL$15),0),15-13*ORÇAMENTO!$AF$11)),0)</f>
        <v>0</v>
      </c>
      <c r="AM533" s="545">
        <f ca="1">IF(AND($D533="Serviço",AM$12&lt;&gt;0,$H533&gt;0,OR(AUTOEVENTO&lt;&gt;"manual",$M533&lt;&gt;1)),
IF(Import.TipoArredondamento&lt;&gt;"TransfereGOV",
ROUND(OFFSET($P533,0,AM$13),15-13*ORÇAMENTO!$AF$7)/$H533*OFFSET(ORÇAMENTO!$X$15,ROW(AM533)-ROW(AM$15),0),
ROUND(ROUND(OFFSET($P533,0,AM$13),15-13*ORÇAMENTO!$AF$7)*OFFSET(ORÇAMENTO!$W$15,ROW(AM533)-ROW(AM$15),0),15-13*ORÇAMENTO!$AF$11)),0)</f>
        <v>0</v>
      </c>
      <c r="AN533" s="545">
        <f ca="1">IF(AND($D533="Serviço",AN$12&lt;&gt;0,$H533&gt;0,OR(AUTOEVENTO&lt;&gt;"manual",$M533&lt;&gt;1)),
IF(Import.TipoArredondamento&lt;&gt;"TransfereGOV",
ROUND(OFFSET($P533,0,AN$13),15-13*ORÇAMENTO!$AF$7)/$H533*OFFSET(ORÇAMENTO!$X$15,ROW(AN533)-ROW(AN$15),0),
ROUND(ROUND(OFFSET($P533,0,AN$13),15-13*ORÇAMENTO!$AF$7)*OFFSET(ORÇAMENTO!$W$15,ROW(AN533)-ROW(AN$15),0),15-13*ORÇAMENTO!$AF$11)),0)</f>
        <v>0</v>
      </c>
      <c r="AO533" s="545">
        <f ca="1">IF(AND($D533="Serviço",AO$12&lt;&gt;0,$H533&gt;0,OR(AUTOEVENTO&lt;&gt;"manual",$M533&lt;&gt;1)),
IF(Import.TipoArredondamento&lt;&gt;"TransfereGOV",
ROUND(OFFSET($P533,0,AO$13),15-13*ORÇAMENTO!$AF$7)/$H533*OFFSET(ORÇAMENTO!$X$15,ROW(AO533)-ROW(AO$15),0),
ROUND(ROUND(OFFSET($P533,0,AO$13),15-13*ORÇAMENTO!$AF$7)*OFFSET(ORÇAMENTO!$W$15,ROW(AO533)-ROW(AO$15),0),15-13*ORÇAMENTO!$AF$11)),0)</f>
        <v>0</v>
      </c>
      <c r="AP533" s="545">
        <f ca="1">IF(AND($D533="Serviço",AP$12&lt;&gt;0,$H533&gt;0,OR(AUTOEVENTO&lt;&gt;"manual",$M533&lt;&gt;1)),
IF(Import.TipoArredondamento&lt;&gt;"TransfereGOV",
ROUND(OFFSET($P533,0,AP$13),15-13*ORÇAMENTO!$AF$7)/$H533*OFFSET(ORÇAMENTO!$X$15,ROW(AP533)-ROW(AP$15),0),
ROUND(ROUND(OFFSET($P533,0,AP$13),15-13*ORÇAMENTO!$AF$7)*OFFSET(ORÇAMENTO!$W$15,ROW(AP533)-ROW(AP$15),0),15-13*ORÇAMENTO!$AF$11)),0)</f>
        <v>0</v>
      </c>
      <c r="AQ533" s="545">
        <f ca="1">IF(AND($D533="Serviço",AQ$12&lt;&gt;0,$H533&gt;0,OR(AUTOEVENTO&lt;&gt;"manual",$M533&lt;&gt;1)),
IF(Import.TipoArredondamento&lt;&gt;"TransfereGOV",
ROUND(OFFSET($P533,0,AQ$13),15-13*ORÇAMENTO!$AF$7)/$H533*OFFSET(ORÇAMENTO!$X$15,ROW(AQ533)-ROW(AQ$15),0),
ROUND(ROUND(OFFSET($P533,0,AQ$13),15-13*ORÇAMENTO!$AF$7)*OFFSET(ORÇAMENTO!$W$15,ROW(AQ533)-ROW(AQ$15),0),15-13*ORÇAMENTO!$AF$11)),0)</f>
        <v>0</v>
      </c>
      <c r="AR533" s="545">
        <f ca="1">IF(AND($D533="Serviço",AR$12&lt;&gt;0,$H533&gt;0,OR(AUTOEVENTO&lt;&gt;"manual",$M533&lt;&gt;1)),
IF(Import.TipoArredondamento&lt;&gt;"TransfereGOV",
ROUND(OFFSET($P533,0,AR$13),15-13*ORÇAMENTO!$AF$7)/$H533*OFFSET(ORÇAMENTO!$X$15,ROW(AR533)-ROW(AR$15),0),
ROUND(ROUND(OFFSET($P533,0,AR$13),15-13*ORÇAMENTO!$AF$7)*OFFSET(ORÇAMENTO!$W$15,ROW(AR533)-ROW(AR$15),0),15-13*ORÇAMENTO!$AF$11)),0)</f>
        <v>0</v>
      </c>
      <c r="AS533" s="546">
        <f ca="1">IF(AND($D533="Serviço",AS$12&lt;&gt;0,$H533&gt;0,OR(AUTOEVENTO&lt;&gt;"manual",$M533&lt;&gt;1)),
IF(Import.TipoArredondamento&lt;&gt;"TransfereGOV",
ROUND(OFFSET($P533,0,AS$13),15-13*ORÇAMENTO!$AF$7)/$H533*OFFSET(ORÇAMENTO!$X$15,ROW(AS533)-ROW(AS$15),0),
ROUND(ROUND(OFFSET($P533,0,AS$13),15-13*ORÇAMENTO!$AF$7)*OFFSET(ORÇAMENTO!$W$15,ROW(AS533)-ROW(AS$15),0),15-13*ORÇAMENTO!$AF$11)),0)</f>
        <v>0</v>
      </c>
      <c r="AT533" s="545">
        <f ca="1">IF(AND($D533="Serviço",AT$12&lt;&gt;0,$H533&gt;0,OR(AUTOEVENTO&lt;&gt;"manual",$M533&lt;&gt;1)),
IF(Import.TipoArredondamento&lt;&gt;"TransfereGOV",
ROUND(OFFSET($P533,0,AT$13),15-13*ORÇAMENTO!$AF$7)/$H533*OFFSET(ORÇAMENTO!$X$15,ROW(AT533)-ROW(AT$15),0),
ROUND(ROUND(OFFSET($P533,0,AT$13),15-13*ORÇAMENTO!$AF$7)*OFFSET(ORÇAMENTO!$W$15,ROW(AT533)-ROW(AT$15),0),15-13*ORÇAMENTO!$AF$11)),0)</f>
        <v>0</v>
      </c>
      <c r="AU533" s="545">
        <f ca="1">IF(AND($D533="Serviço",AU$12&lt;&gt;0,$H533&gt;0,OR(AUTOEVENTO&lt;&gt;"manual",$M533&lt;&gt;1)),
IF(Import.TipoArredondamento&lt;&gt;"TransfereGOV",
ROUND(OFFSET($P533,0,AU$13),15-13*ORÇAMENTO!$AF$7)/$H533*OFFSET(ORÇAMENTO!$X$15,ROW(AU533)-ROW(AU$15),0),
ROUND(ROUND(OFFSET($P533,0,AU$13),15-13*ORÇAMENTO!$AF$7)*OFFSET(ORÇAMENTO!$W$15,ROW(AU533)-ROW(AU$15),0),15-13*ORÇAMENTO!$AF$11)),0)</f>
        <v>0</v>
      </c>
      <c r="AV533" s="545">
        <f ca="1">IF(AND($D533="Serviço",AV$12&lt;&gt;0,$H533&gt;0,OR(AUTOEVENTO&lt;&gt;"manual",$M533&lt;&gt;1)),
IF(Import.TipoArredondamento&lt;&gt;"TransfereGOV",
ROUND(OFFSET($P533,0,AV$13),15-13*ORÇAMENTO!$AF$7)/$H533*OFFSET(ORÇAMENTO!$X$15,ROW(AV533)-ROW(AV$15),0),
ROUND(ROUND(OFFSET($P533,0,AV$13),15-13*ORÇAMENTO!$AF$7)*OFFSET(ORÇAMENTO!$W$15,ROW(AV533)-ROW(AV$15),0),15-13*ORÇAMENTO!$AF$11)),0)</f>
        <v>0</v>
      </c>
      <c r="AW533" s="545">
        <f ca="1">IF(AND($D533="Serviço",AW$12&lt;&gt;0,$H533&gt;0,OR(AUTOEVENTO&lt;&gt;"manual",$M533&lt;&gt;1)),
IF(Import.TipoArredondamento&lt;&gt;"TransfereGOV",
ROUND(OFFSET($P533,0,AW$13),15-13*ORÇAMENTO!$AF$7)/$H533*OFFSET(ORÇAMENTO!$X$15,ROW(AW533)-ROW(AW$15),0),
ROUND(ROUND(OFFSET($P533,0,AW$13),15-13*ORÇAMENTO!$AF$7)*OFFSET(ORÇAMENTO!$W$15,ROW(AW533)-ROW(AW$15),0),15-13*ORÇAMENTO!$AF$11)),0)</f>
        <v>0</v>
      </c>
      <c r="AX533" s="545">
        <f ca="1">IF(AND($D533="Serviço",AX$12&lt;&gt;0,$H533&gt;0,OR(AUTOEVENTO&lt;&gt;"manual",$M533&lt;&gt;1)),
IF(Import.TipoArredondamento&lt;&gt;"TransfereGOV",
ROUND(OFFSET($P533,0,AX$13),15-13*ORÇAMENTO!$AF$7)/$H533*OFFSET(ORÇAMENTO!$X$15,ROW(AX533)-ROW(AX$15),0),
ROUND(ROUND(OFFSET($P533,0,AX$13),15-13*ORÇAMENTO!$AF$7)*OFFSET(ORÇAMENTO!$W$15,ROW(AX533)-ROW(AX$15),0),15-13*ORÇAMENTO!$AF$11)),0)</f>
        <v>0</v>
      </c>
      <c r="AY533" s="545">
        <f ca="1">IF(AND($D533="Serviço",AY$12&lt;&gt;0,$H533&gt;0,OR(AUTOEVENTO&lt;&gt;"manual",$M533&lt;&gt;1)),
IF(Import.TipoArredondamento&lt;&gt;"TransfereGOV",
ROUND(OFFSET($P533,0,AY$13),15-13*ORÇAMENTO!$AF$7)/$H533*OFFSET(ORÇAMENTO!$X$15,ROW(AY533)-ROW(AY$15),0),
ROUND(ROUND(OFFSET($P533,0,AY$13),15-13*ORÇAMENTO!$AF$7)*OFFSET(ORÇAMENTO!$W$15,ROW(AY533)-ROW(AY$15),0),15-13*ORÇAMENTO!$AF$11)),0)</f>
        <v>0</v>
      </c>
      <c r="AZ533" s="545">
        <f ca="1">IF(AND($D533="Serviço",AZ$12&lt;&gt;0,$H533&gt;0,OR(AUTOEVENTO&lt;&gt;"manual",$M533&lt;&gt;1)),
IF(Import.TipoArredondamento&lt;&gt;"TransfereGOV",
ROUND(OFFSET($P533,0,AZ$13),15-13*ORÇAMENTO!$AF$7)/$H533*OFFSET(ORÇAMENTO!$X$15,ROW(AZ533)-ROW(AZ$15),0),
ROUND(ROUND(OFFSET($P533,0,AZ$13),15-13*ORÇAMENTO!$AF$7)*OFFSET(ORÇAMENTO!$W$15,ROW(AZ533)-ROW(AZ$15),0),15-13*ORÇAMENTO!$AF$11)),0)</f>
        <v>0</v>
      </c>
      <c r="BA533" s="546">
        <f ca="1">IF(AND($D533="Serviço",BA$12&lt;&gt;0,$H533&gt;0,OR(AUTOEVENTO&lt;&gt;"manual",$M533&lt;&gt;1)),
IF(Import.TipoArredondamento&lt;&gt;"TransfereGOV",
ROUND(OFFSET($P533,0,BA$13),15-13*ORÇAMENTO!$AF$7)/$H533*OFFSET(ORÇAMENTO!$X$15,ROW(BA533)-ROW(BA$15),0),
ROUND(ROUND(OFFSET($P533,0,BA$13),15-13*ORÇAMENTO!$AF$7)*OFFSET(ORÇAMENTO!$W$15,ROW(BA533)-ROW(BA$15),0),15-13*ORÇAMENTO!$AF$11)),0)</f>
        <v>0</v>
      </c>
      <c r="BC533" s="181">
        <f ca="1">IF($D533&lt;&gt;"Serviço",0,IF(AND(AUTOEVENTO="Manual",$M533=1),0,IF(OFFSET(CRONOPLE!$F$14,$M533,BC$13)="",10^12,OFFSET(CRONOPLE!$F$14,$M533,BC$13))))</f>
        <v>10</v>
      </c>
      <c r="BD533" s="181">
        <f ca="1">IF($D533&lt;&gt;"Serviço",0,IF(AND(AUTOEVENTO="Manual",$M533=1),0,IF(OFFSET(CRONOPLE!$F$14,$M533,BD$13)="",10^12,OFFSET(CRONOPLE!$F$14,$M533,BD$13))))</f>
        <v>1000000000000</v>
      </c>
      <c r="BE533" s="181">
        <f ca="1">IF($D533&lt;&gt;"Serviço",0,IF(AND(AUTOEVENTO="Manual",$M533=1),0,IF(OFFSET(CRONOPLE!$F$14,$M533,BE$13)="",10^12,OFFSET(CRONOPLE!$F$14,$M533,BE$13))))</f>
        <v>1000000000000</v>
      </c>
      <c r="BF533" s="181">
        <f ca="1">IF($D533&lt;&gt;"Serviço",0,IF(AND(AUTOEVENTO="Manual",$M533=1),0,IF(OFFSET(CRONOPLE!$F$14,$M533,BF$13)="",10^12,OFFSET(CRONOPLE!$F$14,$M533,BF$13))))</f>
        <v>1000000000000</v>
      </c>
      <c r="BG533" s="181">
        <f ca="1">IF($D533&lt;&gt;"Serviço",0,IF(AND(AUTOEVENTO="Manual",$M533=1),0,IF(OFFSET(CRONOPLE!$F$14,$M533,BG$13)="",10^12,OFFSET(CRONOPLE!$F$14,$M533,BG$13))))</f>
        <v>1000000000000</v>
      </c>
      <c r="BH533" s="181">
        <f ca="1">IF($D533&lt;&gt;"Serviço",0,IF(AND(AUTOEVENTO="Manual",$M533=1),0,IF(OFFSET(CRONOPLE!$F$14,$M533,BH$13)="",10^12,OFFSET(CRONOPLE!$F$14,$M533,BH$13))))</f>
        <v>1000000000000</v>
      </c>
      <c r="BI533" s="181">
        <f ca="1">IF($D533&lt;&gt;"Serviço",0,IF(AND(AUTOEVENTO="Manual",$M533=1),0,IF(OFFSET(CRONOPLE!$F$14,$M533,BI$13)="",10^12,OFFSET(CRONOPLE!$F$14,$M533,BI$13))))</f>
        <v>1000000000000</v>
      </c>
      <c r="BJ533" s="181">
        <f ca="1">IF($D533&lt;&gt;"Serviço",0,IF(AND(AUTOEVENTO="Manual",$M533=1),0,IF(OFFSET(CRONOPLE!$F$14,$M533,BJ$13)="",10^12,OFFSET(CRONOPLE!$F$14,$M533,BJ$13))))</f>
        <v>1000000000000</v>
      </c>
      <c r="BK533" s="181">
        <f ca="1">IF($D533&lt;&gt;"Serviço",0,IF(AND(AUTOEVENTO="Manual",$M533=1),0,IF(OFFSET(CRONOPLE!$F$14,$M533,BK$13)="",10^12,OFFSET(CRONOPLE!$F$14,$M533,BK$13))))</f>
        <v>1000000000000</v>
      </c>
      <c r="BL533" s="181">
        <f ca="1">IF($D533&lt;&gt;"Serviço",0,IF(AND(AUTOEVENTO="Manual",$M533=1),0,IF(OFFSET(CRONOPLE!$F$14,$M533,BL$13)="",10^12,OFFSET(CRONOPLE!$F$14,$M533,BL$13))))</f>
        <v>1000000000000</v>
      </c>
      <c r="BM533" s="181">
        <f ca="1">IF($D533&lt;&gt;"Serviço",0,IF(AND(AUTOEVENTO="Manual",$M533=1),0,IF(OFFSET(CRONOPLE!$F$14,$M533,BM$13)="",10^12,OFFSET(CRONOPLE!$F$14,$M533,BM$13))))</f>
        <v>1000000000000</v>
      </c>
      <c r="BN533" s="181">
        <f ca="1">IF($D533&lt;&gt;"Serviço",0,IF(AND(AUTOEVENTO="Manual",$M533=1),0,IF(OFFSET(CRONOPLE!$F$14,$M533,BN$13)="",10^12,OFFSET(CRONOPLE!$F$14,$M533,BN$13))))</f>
        <v>1000000000000</v>
      </c>
      <c r="BO533" s="181">
        <f ca="1">IF($D533&lt;&gt;"Serviço",0,IF(AND(AUTOEVENTO="Manual",$M533=1),0,IF(OFFSET(CRONOPLE!$F$14,$M533,BO$13)="",10^12,OFFSET(CRONOPLE!$F$14,$M533,BO$13))))</f>
        <v>1000000000000</v>
      </c>
      <c r="BP533" s="181">
        <f ca="1">IF($D533&lt;&gt;"Serviço",0,IF(AND(AUTOEVENTO="Manual",$M533=1),0,IF(OFFSET(CRONOPLE!$F$14,$M533,BP$13)="",10^12,OFFSET(CRONOPLE!$F$14,$M533,BP$13))))</f>
        <v>1000000000000</v>
      </c>
      <c r="BQ533" s="181">
        <f ca="1">IF($D533&lt;&gt;"Serviço",0,IF(AND(AUTOEVENTO="Manual",$M533=1),0,IF(OFFSET(CRONOPLE!$F$14,$M533,BQ$13)="",10^12,OFFSET(CRONOPLE!$F$14,$M533,BQ$13))))</f>
        <v>1000000000000</v>
      </c>
      <c r="BR533" s="181">
        <f ca="1">IF($D533&lt;&gt;"Serviço",0,IF(AND(AUTOEVENTO="Manual",$M533=1),0,IF(OFFSET(CRONOPLE!$F$14,$M533,BR$13)="",10^12,OFFSET(CRONOPLE!$F$14,$M533,BR$13))))</f>
        <v>1000000000000</v>
      </c>
      <c r="BS533" s="181">
        <f ca="1">IF($D533&lt;&gt;"Serviço",0,IF(AND(AUTOEVENTO="Manual",$M533=1),0,IF(OFFSET(CRONOPLE!$F$14,$M533,BS$13)="",10^12,OFFSET(CRONOPLE!$F$14,$M533,BS$13))))</f>
        <v>1000000000000</v>
      </c>
      <c r="BT533" s="181">
        <f ca="1">IF($D533&lt;&gt;"Serviço",0,IF(AND(AUTOEVENTO="Manual",$M533=1),0,IF(OFFSET(CRONOPLE!$F$14,$M533,BT$13)="",10^12,OFFSET(CRONOPLE!$F$14,$M533,BT$13))))</f>
        <v>1000000000000</v>
      </c>
      <c r="BV533" s="182">
        <f ca="1">IF($D533&lt;&gt;"Serviço",0,IF(OR(AND(AUTOEVENTO="Manual",$M533=1),$M533&gt;(ROW(PLE.lastrow)-ROW(PLE.firstrow))),0,IF(OFFSET(PLE!$G$14,$M533,BV$13)="",10^12,OFFSET(PLE!$G$14,$M533,BV$13))))</f>
        <v>1000000000000</v>
      </c>
      <c r="BW533" s="182">
        <f ca="1">IF($D533&lt;&gt;"Serviço",0,IF(OR(AND(AUTOEVENTO="Manual",$M533=1),$M533&gt;(ROW(PLE.lastrow)-ROW(PLE.firstrow))),0,IF(OFFSET(PLE!$G$14,$M533,BW$13)="",10^12,OFFSET(PLE!$G$14,$M533,BW$13))))</f>
        <v>1000000000000</v>
      </c>
      <c r="BX533" s="182">
        <f ca="1">IF($D533&lt;&gt;"Serviço",0,IF(OR(AND(AUTOEVENTO="Manual",$M533=1),$M533&gt;(ROW(PLE.lastrow)-ROW(PLE.firstrow))),0,IF(OFFSET(PLE!$G$14,$M533,BX$13)="",10^12,OFFSET(PLE!$G$14,$M533,BX$13))))</f>
        <v>1000000000000</v>
      </c>
      <c r="BY533" s="182">
        <f ca="1">IF($D533&lt;&gt;"Serviço",0,IF(OR(AND(AUTOEVENTO="Manual",$M533=1),$M533&gt;(ROW(PLE.lastrow)-ROW(PLE.firstrow))),0,IF(OFFSET(PLE!$G$14,$M533,BY$13)="",10^12,OFFSET(PLE!$G$14,$M533,BY$13))))</f>
        <v>1000000000000</v>
      </c>
      <c r="BZ533" s="182">
        <f ca="1">IF($D533&lt;&gt;"Serviço",0,IF(OR(AND(AUTOEVENTO="Manual",$M533=1),$M533&gt;(ROW(PLE.lastrow)-ROW(PLE.firstrow))),0,IF(OFFSET(PLE!$G$14,$M533,BZ$13)="",10^12,OFFSET(PLE!$G$14,$M533,BZ$13))))</f>
        <v>1000000000000</v>
      </c>
      <c r="CA533" s="182">
        <f ca="1">IF($D533&lt;&gt;"Serviço",0,IF(OR(AND(AUTOEVENTO="Manual",$M533=1),$M533&gt;(ROW(PLE.lastrow)-ROW(PLE.firstrow))),0,IF(OFFSET(PLE!$G$14,$M533,CA$13)="",10^12,OFFSET(PLE!$G$14,$M533,CA$13))))</f>
        <v>1000000000000</v>
      </c>
      <c r="CB533" s="182">
        <f ca="1">IF($D533&lt;&gt;"Serviço",0,IF(OR(AND(AUTOEVENTO="Manual",$M533=1),$M533&gt;(ROW(PLE.lastrow)-ROW(PLE.firstrow))),0,IF(OFFSET(PLE!$G$14,$M533,CB$13)="",10^12,OFFSET(PLE!$G$14,$M533,CB$13))))</f>
        <v>1000000000000</v>
      </c>
      <c r="CC533" s="182">
        <f ca="1">IF($D533&lt;&gt;"Serviço",0,IF(OR(AND(AUTOEVENTO="Manual",$M533=1),$M533&gt;(ROW(PLE.lastrow)-ROW(PLE.firstrow))),0,IF(OFFSET(PLE!$G$14,$M533,CC$13)="",10^12,OFFSET(PLE!$G$14,$M533,CC$13))))</f>
        <v>1000000000000</v>
      </c>
      <c r="CD533" s="182">
        <f ca="1">IF($D533&lt;&gt;"Serviço",0,IF(OR(AND(AUTOEVENTO="Manual",$M533=1),$M533&gt;(ROW(PLE.lastrow)-ROW(PLE.firstrow))),0,IF(OFFSET(PLE!$G$14,$M533,CD$13)="",10^12,OFFSET(PLE!$G$14,$M533,CD$13))))</f>
        <v>1000000000000</v>
      </c>
      <c r="CE533" s="182">
        <f ca="1">IF($D533&lt;&gt;"Serviço",0,IF(OR(AND(AUTOEVENTO="Manual",$M533=1),$M533&gt;(ROW(PLE.lastrow)-ROW(PLE.firstrow))),0,IF(OFFSET(PLE!$G$14,$M533,CE$13)="",10^12,OFFSET(PLE!$G$14,$M533,CE$13))))</f>
        <v>1000000000000</v>
      </c>
      <c r="CF533" s="182">
        <f ca="1">IF($D533&lt;&gt;"Serviço",0,IF(OR(AND(AUTOEVENTO="Manual",$M533=1),$M533&gt;(ROW(PLE.lastrow)-ROW(PLE.firstrow))),0,IF(OFFSET(PLE!$G$14,$M533,CF$13)="",10^12,OFFSET(PLE!$G$14,$M533,CF$13))))</f>
        <v>1000000000000</v>
      </c>
      <c r="CG533" s="182">
        <f ca="1">IF($D533&lt;&gt;"Serviço",0,IF(OR(AND(AUTOEVENTO="Manual",$M533=1),$M533&gt;(ROW(PLE.lastrow)-ROW(PLE.firstrow))),0,IF(OFFSET(PLE!$G$14,$M533,CG$13)="",10^12,OFFSET(PLE!$G$14,$M533,CG$13))))</f>
        <v>1000000000000</v>
      </c>
      <c r="CH533" s="182">
        <f ca="1">IF($D533&lt;&gt;"Serviço",0,IF(OR(AND(AUTOEVENTO="Manual",$M533=1),$M533&gt;(ROW(PLE.lastrow)-ROW(PLE.firstrow))),0,IF(OFFSET(PLE!$G$14,$M533,CH$13)="",10^12,OFFSET(PLE!$G$14,$M533,CH$13))))</f>
        <v>1000000000000</v>
      </c>
      <c r="CI533" s="182">
        <f ca="1">IF($D533&lt;&gt;"Serviço",0,IF(OR(AND(AUTOEVENTO="Manual",$M533=1),$M533&gt;(ROW(PLE.lastrow)-ROW(PLE.firstrow))),0,IF(OFFSET(PLE!$G$14,$M533,CI$13)="",10^12,OFFSET(PLE!$G$14,$M533,CI$13))))</f>
        <v>1000000000000</v>
      </c>
      <c r="CJ533" s="182">
        <f ca="1">IF($D533&lt;&gt;"Serviço",0,IF(OR(AND(AUTOEVENTO="Manual",$M533=1),$M533&gt;(ROW(PLE.lastrow)-ROW(PLE.firstrow))),0,IF(OFFSET(PLE!$G$14,$M533,CJ$13)="",10^12,OFFSET(PLE!$G$14,$M533,CJ$13))))</f>
        <v>1000000000000</v>
      </c>
      <c r="CK533" s="182">
        <f ca="1">IF($D533&lt;&gt;"Serviço",0,IF(OR(AND(AUTOEVENTO="Manual",$M533=1),$M533&gt;(ROW(PLE.lastrow)-ROW(PLE.firstrow))),0,IF(OFFSET(PLE!$G$14,$M533,CK$13)="",10^12,OFFSET(PLE!$G$14,$M533,CK$13))))</f>
        <v>1000000000000</v>
      </c>
      <c r="CL533" s="182">
        <f ca="1">IF($D533&lt;&gt;"Serviço",0,IF(OR(AND(AUTOEVENTO="Manual",$M533=1),$M533&gt;(ROW(PLE.lastrow)-ROW(PLE.firstrow))),0,IF(OFFSET(PLE!$G$14,$M533,CL$13)="",10^12,OFFSET(PLE!$G$14,$M533,CL$13))))</f>
        <v>1000000000000</v>
      </c>
      <c r="CM533" s="182">
        <f ca="1">IF($D533&lt;&gt;"Serviço",0,IF(OR(AND(AUTOEVENTO="Manual",$M533=1),$M533&gt;(ROW(PLE.lastrow)-ROW(PLE.firstrow))),0,IF(OFFSET(PLE!$G$14,$M533,CM$13)="",10^12,OFFSET(PLE!$G$14,$M533,CM$13))))</f>
        <v>1000000000000</v>
      </c>
    </row>
    <row r="534" spans="1:91" ht="25.5" x14ac:dyDescent="0.2">
      <c r="A534" s="7" t="str">
        <f t="shared" ca="1" si="17"/>
        <v>515</v>
      </c>
      <c r="B534" s="7" t="str">
        <f ca="1">OFFSET(ORÇAMENTO!C$15,ROW(B534)-ROW(B$15),0)</f>
        <v>S</v>
      </c>
      <c r="C534" s="7" t="str">
        <f ca="1">OFFSET(ORÇAMENTO!L$15,ROW(C534)-ROW(C$15),0)</f>
        <v/>
      </c>
      <c r="D534" s="118" t="str">
        <f ca="1">OFFSET(ORÇAMENTO!N$15,ROW(D534)-ROW(D$15),0)</f>
        <v>Serviço</v>
      </c>
      <c r="E534" s="119" t="str">
        <f ca="1">OFFSET(ORÇAMENTO!O$15,ROW(E534)-ROW(E$15),0)</f>
        <v>-</v>
      </c>
      <c r="F534" s="172" t="str">
        <f ca="1">OFFSET(ORÇAMENTO!R$15,ROW(F534)-ROW(F$15),0)</f>
        <v>(abra o arquivo 'Referência 06-2024.xlsm)</v>
      </c>
      <c r="G534" s="173" t="str">
        <f ca="1">IF($D534&lt;&gt;"Serviço","",OFFSET(ORÇAMENTO!S$15,ROW(G534)-ROW(G$15),0))</f>
        <v>-</v>
      </c>
      <c r="H534" s="124">
        <f ca="1">IF($D534&lt;&gt;"Serviço",0,IF(ACOMPANHAMENTO="BM",ROUND(OFFSET(ORÇAMENTO!AJ$15,ROW(H534)-ROW(H$15),0),15-13*ORÇAMENTO!$AF$7),SUMPRODUCT(($Q$12:$AI$12&lt;&gt;"")*ROUND($Q534:$AI534,15-13*ORÇAMENTO!$AF$7))))</f>
        <v>1</v>
      </c>
      <c r="I534" s="561" t="s">
        <v>1107</v>
      </c>
      <c r="K534" s="174"/>
      <c r="L534" s="175" t="s">
        <v>255</v>
      </c>
      <c r="M534" s="176">
        <f ca="1">IF($D534&lt;&gt;"Serviço","",IF(AUTOEVENTO="manual",$A534,IF(ISERROR(MATCH($A534,$A$15:OFFSET($A534,-1,0),0)),MAX($M$15:OFFSET(M534,-1,0))+1,INDEX($M$15:OFFSET(M534,-1,0),MATCH($A534,$A$15:OFFSET($A534,-1,0),0)))))</f>
        <v>56</v>
      </c>
      <c r="N534" s="177" t="str">
        <f ca="1">IF($D534&lt;&gt;"Serviço","",IF(AUTOEVENTO="Manual",IF($A534=0,"&lt;-- defina o número do agrupador",OFFSET(EVENTOS!$D$14,$A534,0)),OFFSET($F$15,$A534,0)))</f>
        <v>INSTALAÇÃO ELÉTRICA 110V - DISPOSITIVOS ELÉTRICOS</v>
      </c>
      <c r="O534" s="178"/>
      <c r="Q534" s="178">
        <v>1</v>
      </c>
      <c r="R534" s="179"/>
      <c r="S534" s="179"/>
      <c r="T534" s="179"/>
      <c r="U534" s="179"/>
      <c r="V534" s="179"/>
      <c r="W534" s="179"/>
      <c r="X534" s="179"/>
      <c r="Y534" s="179"/>
      <c r="Z534" s="180"/>
      <c r="AA534" s="179"/>
      <c r="AB534" s="179"/>
      <c r="AC534" s="179"/>
      <c r="AD534" s="179"/>
      <c r="AE534" s="179"/>
      <c r="AF534" s="179"/>
      <c r="AG534" s="179"/>
      <c r="AH534" s="180"/>
      <c r="AJ534" s="544">
        <f ca="1">IF(AND($D534="Serviço",AJ$12&lt;&gt;0,$H534&gt;0,OR(AUTOEVENTO&lt;&gt;"manual",$M534&lt;&gt;1)),
IF(Import.TipoArredondamento&lt;&gt;"TransfereGOV",
ROUND(OFFSET($P534,0,AJ$13),15-13*ORÇAMENTO!$AF$7)/$H534*OFFSET(ORÇAMENTO!$X$15,ROW(AJ534)-ROW(AJ$15),0),
ROUND(ROUND(OFFSET($P534,0,AJ$13),15-13*ORÇAMENTO!$AF$7)*OFFSET(ORÇAMENTO!$W$15,ROW(AJ534)-ROW(AJ$15),0),15-13*ORÇAMENTO!$AF$11)),0)</f>
        <v>0</v>
      </c>
      <c r="AK534" s="545">
        <f ca="1">IF(AND($D534="Serviço",AK$12&lt;&gt;0,$H534&gt;0,OR(AUTOEVENTO&lt;&gt;"manual",$M534&lt;&gt;1)),
IF(Import.TipoArredondamento&lt;&gt;"TransfereGOV",
ROUND(OFFSET($P534,0,AK$13),15-13*ORÇAMENTO!$AF$7)/$H534*OFFSET(ORÇAMENTO!$X$15,ROW(AK534)-ROW(AK$15),0),
ROUND(ROUND(OFFSET($P534,0,AK$13),15-13*ORÇAMENTO!$AF$7)*OFFSET(ORÇAMENTO!$W$15,ROW(AK534)-ROW(AK$15),0),15-13*ORÇAMENTO!$AF$11)),0)</f>
        <v>0</v>
      </c>
      <c r="AL534" s="545">
        <f ca="1">IF(AND($D534="Serviço",AL$12&lt;&gt;0,$H534&gt;0,OR(AUTOEVENTO&lt;&gt;"manual",$M534&lt;&gt;1)),
IF(Import.TipoArredondamento&lt;&gt;"TransfereGOV",
ROUND(OFFSET($P534,0,AL$13),15-13*ORÇAMENTO!$AF$7)/$H534*OFFSET(ORÇAMENTO!$X$15,ROW(AL534)-ROW(AL$15),0),
ROUND(ROUND(OFFSET($P534,0,AL$13),15-13*ORÇAMENTO!$AF$7)*OFFSET(ORÇAMENTO!$W$15,ROW(AL534)-ROW(AL$15),0),15-13*ORÇAMENTO!$AF$11)),0)</f>
        <v>0</v>
      </c>
      <c r="AM534" s="545">
        <f ca="1">IF(AND($D534="Serviço",AM$12&lt;&gt;0,$H534&gt;0,OR(AUTOEVENTO&lt;&gt;"manual",$M534&lt;&gt;1)),
IF(Import.TipoArredondamento&lt;&gt;"TransfereGOV",
ROUND(OFFSET($P534,0,AM$13),15-13*ORÇAMENTO!$AF$7)/$H534*OFFSET(ORÇAMENTO!$X$15,ROW(AM534)-ROW(AM$15),0),
ROUND(ROUND(OFFSET($P534,0,AM$13),15-13*ORÇAMENTO!$AF$7)*OFFSET(ORÇAMENTO!$W$15,ROW(AM534)-ROW(AM$15),0),15-13*ORÇAMENTO!$AF$11)),0)</f>
        <v>0</v>
      </c>
      <c r="AN534" s="545">
        <f ca="1">IF(AND($D534="Serviço",AN$12&lt;&gt;0,$H534&gt;0,OR(AUTOEVENTO&lt;&gt;"manual",$M534&lt;&gt;1)),
IF(Import.TipoArredondamento&lt;&gt;"TransfereGOV",
ROUND(OFFSET($P534,0,AN$13),15-13*ORÇAMENTO!$AF$7)/$H534*OFFSET(ORÇAMENTO!$X$15,ROW(AN534)-ROW(AN$15),0),
ROUND(ROUND(OFFSET($P534,0,AN$13),15-13*ORÇAMENTO!$AF$7)*OFFSET(ORÇAMENTO!$W$15,ROW(AN534)-ROW(AN$15),0),15-13*ORÇAMENTO!$AF$11)),0)</f>
        <v>0</v>
      </c>
      <c r="AO534" s="545">
        <f ca="1">IF(AND($D534="Serviço",AO$12&lt;&gt;0,$H534&gt;0,OR(AUTOEVENTO&lt;&gt;"manual",$M534&lt;&gt;1)),
IF(Import.TipoArredondamento&lt;&gt;"TransfereGOV",
ROUND(OFFSET($P534,0,AO$13),15-13*ORÇAMENTO!$AF$7)/$H534*OFFSET(ORÇAMENTO!$X$15,ROW(AO534)-ROW(AO$15),0),
ROUND(ROUND(OFFSET($P534,0,AO$13),15-13*ORÇAMENTO!$AF$7)*OFFSET(ORÇAMENTO!$W$15,ROW(AO534)-ROW(AO$15),0),15-13*ORÇAMENTO!$AF$11)),0)</f>
        <v>0</v>
      </c>
      <c r="AP534" s="545">
        <f ca="1">IF(AND($D534="Serviço",AP$12&lt;&gt;0,$H534&gt;0,OR(AUTOEVENTO&lt;&gt;"manual",$M534&lt;&gt;1)),
IF(Import.TipoArredondamento&lt;&gt;"TransfereGOV",
ROUND(OFFSET($P534,0,AP$13),15-13*ORÇAMENTO!$AF$7)/$H534*OFFSET(ORÇAMENTO!$X$15,ROW(AP534)-ROW(AP$15),0),
ROUND(ROUND(OFFSET($P534,0,AP$13),15-13*ORÇAMENTO!$AF$7)*OFFSET(ORÇAMENTO!$W$15,ROW(AP534)-ROW(AP$15),0),15-13*ORÇAMENTO!$AF$11)),0)</f>
        <v>0</v>
      </c>
      <c r="AQ534" s="545">
        <f ca="1">IF(AND($D534="Serviço",AQ$12&lt;&gt;0,$H534&gt;0,OR(AUTOEVENTO&lt;&gt;"manual",$M534&lt;&gt;1)),
IF(Import.TipoArredondamento&lt;&gt;"TransfereGOV",
ROUND(OFFSET($P534,0,AQ$13),15-13*ORÇAMENTO!$AF$7)/$H534*OFFSET(ORÇAMENTO!$X$15,ROW(AQ534)-ROW(AQ$15),0),
ROUND(ROUND(OFFSET($P534,0,AQ$13),15-13*ORÇAMENTO!$AF$7)*OFFSET(ORÇAMENTO!$W$15,ROW(AQ534)-ROW(AQ$15),0),15-13*ORÇAMENTO!$AF$11)),0)</f>
        <v>0</v>
      </c>
      <c r="AR534" s="545">
        <f ca="1">IF(AND($D534="Serviço",AR$12&lt;&gt;0,$H534&gt;0,OR(AUTOEVENTO&lt;&gt;"manual",$M534&lt;&gt;1)),
IF(Import.TipoArredondamento&lt;&gt;"TransfereGOV",
ROUND(OFFSET($P534,0,AR$13),15-13*ORÇAMENTO!$AF$7)/$H534*OFFSET(ORÇAMENTO!$X$15,ROW(AR534)-ROW(AR$15),0),
ROUND(ROUND(OFFSET($P534,0,AR$13),15-13*ORÇAMENTO!$AF$7)*OFFSET(ORÇAMENTO!$W$15,ROW(AR534)-ROW(AR$15),0),15-13*ORÇAMENTO!$AF$11)),0)</f>
        <v>0</v>
      </c>
      <c r="AS534" s="546">
        <f ca="1">IF(AND($D534="Serviço",AS$12&lt;&gt;0,$H534&gt;0,OR(AUTOEVENTO&lt;&gt;"manual",$M534&lt;&gt;1)),
IF(Import.TipoArredondamento&lt;&gt;"TransfereGOV",
ROUND(OFFSET($P534,0,AS$13),15-13*ORÇAMENTO!$AF$7)/$H534*OFFSET(ORÇAMENTO!$X$15,ROW(AS534)-ROW(AS$15),0),
ROUND(ROUND(OFFSET($P534,0,AS$13),15-13*ORÇAMENTO!$AF$7)*OFFSET(ORÇAMENTO!$W$15,ROW(AS534)-ROW(AS$15),0),15-13*ORÇAMENTO!$AF$11)),0)</f>
        <v>0</v>
      </c>
      <c r="AT534" s="545">
        <f ca="1">IF(AND($D534="Serviço",AT$12&lt;&gt;0,$H534&gt;0,OR(AUTOEVENTO&lt;&gt;"manual",$M534&lt;&gt;1)),
IF(Import.TipoArredondamento&lt;&gt;"TransfereGOV",
ROUND(OFFSET($P534,0,AT$13),15-13*ORÇAMENTO!$AF$7)/$H534*OFFSET(ORÇAMENTO!$X$15,ROW(AT534)-ROW(AT$15),0),
ROUND(ROUND(OFFSET($P534,0,AT$13),15-13*ORÇAMENTO!$AF$7)*OFFSET(ORÇAMENTO!$W$15,ROW(AT534)-ROW(AT$15),0),15-13*ORÇAMENTO!$AF$11)),0)</f>
        <v>0</v>
      </c>
      <c r="AU534" s="545">
        <f ca="1">IF(AND($D534="Serviço",AU$12&lt;&gt;0,$H534&gt;0,OR(AUTOEVENTO&lt;&gt;"manual",$M534&lt;&gt;1)),
IF(Import.TipoArredondamento&lt;&gt;"TransfereGOV",
ROUND(OFFSET($P534,0,AU$13),15-13*ORÇAMENTO!$AF$7)/$H534*OFFSET(ORÇAMENTO!$X$15,ROW(AU534)-ROW(AU$15),0),
ROUND(ROUND(OFFSET($P534,0,AU$13),15-13*ORÇAMENTO!$AF$7)*OFFSET(ORÇAMENTO!$W$15,ROW(AU534)-ROW(AU$15),0),15-13*ORÇAMENTO!$AF$11)),0)</f>
        <v>0</v>
      </c>
      <c r="AV534" s="545">
        <f ca="1">IF(AND($D534="Serviço",AV$12&lt;&gt;0,$H534&gt;0,OR(AUTOEVENTO&lt;&gt;"manual",$M534&lt;&gt;1)),
IF(Import.TipoArredondamento&lt;&gt;"TransfereGOV",
ROUND(OFFSET($P534,0,AV$13),15-13*ORÇAMENTO!$AF$7)/$H534*OFFSET(ORÇAMENTO!$X$15,ROW(AV534)-ROW(AV$15),0),
ROUND(ROUND(OFFSET($P534,0,AV$13),15-13*ORÇAMENTO!$AF$7)*OFFSET(ORÇAMENTO!$W$15,ROW(AV534)-ROW(AV$15),0),15-13*ORÇAMENTO!$AF$11)),0)</f>
        <v>0</v>
      </c>
      <c r="AW534" s="545">
        <f ca="1">IF(AND($D534="Serviço",AW$12&lt;&gt;0,$H534&gt;0,OR(AUTOEVENTO&lt;&gt;"manual",$M534&lt;&gt;1)),
IF(Import.TipoArredondamento&lt;&gt;"TransfereGOV",
ROUND(OFFSET($P534,0,AW$13),15-13*ORÇAMENTO!$AF$7)/$H534*OFFSET(ORÇAMENTO!$X$15,ROW(AW534)-ROW(AW$15),0),
ROUND(ROUND(OFFSET($P534,0,AW$13),15-13*ORÇAMENTO!$AF$7)*OFFSET(ORÇAMENTO!$W$15,ROW(AW534)-ROW(AW$15),0),15-13*ORÇAMENTO!$AF$11)),0)</f>
        <v>0</v>
      </c>
      <c r="AX534" s="545">
        <f ca="1">IF(AND($D534="Serviço",AX$12&lt;&gt;0,$H534&gt;0,OR(AUTOEVENTO&lt;&gt;"manual",$M534&lt;&gt;1)),
IF(Import.TipoArredondamento&lt;&gt;"TransfereGOV",
ROUND(OFFSET($P534,0,AX$13),15-13*ORÇAMENTO!$AF$7)/$H534*OFFSET(ORÇAMENTO!$X$15,ROW(AX534)-ROW(AX$15),0),
ROUND(ROUND(OFFSET($P534,0,AX$13),15-13*ORÇAMENTO!$AF$7)*OFFSET(ORÇAMENTO!$W$15,ROW(AX534)-ROW(AX$15),0),15-13*ORÇAMENTO!$AF$11)),0)</f>
        <v>0</v>
      </c>
      <c r="AY534" s="545">
        <f ca="1">IF(AND($D534="Serviço",AY$12&lt;&gt;0,$H534&gt;0,OR(AUTOEVENTO&lt;&gt;"manual",$M534&lt;&gt;1)),
IF(Import.TipoArredondamento&lt;&gt;"TransfereGOV",
ROUND(OFFSET($P534,0,AY$13),15-13*ORÇAMENTO!$AF$7)/$H534*OFFSET(ORÇAMENTO!$X$15,ROW(AY534)-ROW(AY$15),0),
ROUND(ROUND(OFFSET($P534,0,AY$13),15-13*ORÇAMENTO!$AF$7)*OFFSET(ORÇAMENTO!$W$15,ROW(AY534)-ROW(AY$15),0),15-13*ORÇAMENTO!$AF$11)),0)</f>
        <v>0</v>
      </c>
      <c r="AZ534" s="545">
        <f ca="1">IF(AND($D534="Serviço",AZ$12&lt;&gt;0,$H534&gt;0,OR(AUTOEVENTO&lt;&gt;"manual",$M534&lt;&gt;1)),
IF(Import.TipoArredondamento&lt;&gt;"TransfereGOV",
ROUND(OFFSET($P534,0,AZ$13),15-13*ORÇAMENTO!$AF$7)/$H534*OFFSET(ORÇAMENTO!$X$15,ROW(AZ534)-ROW(AZ$15),0),
ROUND(ROUND(OFFSET($P534,0,AZ$13),15-13*ORÇAMENTO!$AF$7)*OFFSET(ORÇAMENTO!$W$15,ROW(AZ534)-ROW(AZ$15),0),15-13*ORÇAMENTO!$AF$11)),0)</f>
        <v>0</v>
      </c>
      <c r="BA534" s="546">
        <f ca="1">IF(AND($D534="Serviço",BA$12&lt;&gt;0,$H534&gt;0,OR(AUTOEVENTO&lt;&gt;"manual",$M534&lt;&gt;1)),
IF(Import.TipoArredondamento&lt;&gt;"TransfereGOV",
ROUND(OFFSET($P534,0,BA$13),15-13*ORÇAMENTO!$AF$7)/$H534*OFFSET(ORÇAMENTO!$X$15,ROW(BA534)-ROW(BA$15),0),
ROUND(ROUND(OFFSET($P534,0,BA$13),15-13*ORÇAMENTO!$AF$7)*OFFSET(ORÇAMENTO!$W$15,ROW(BA534)-ROW(BA$15),0),15-13*ORÇAMENTO!$AF$11)),0)</f>
        <v>0</v>
      </c>
      <c r="BC534" s="181">
        <f ca="1">IF($D534&lt;&gt;"Serviço",0,IF(AND(AUTOEVENTO="Manual",$M534=1),0,IF(OFFSET(CRONOPLE!$F$14,$M534,BC$13)="",10^12,OFFSET(CRONOPLE!$F$14,$M534,BC$13))))</f>
        <v>10</v>
      </c>
      <c r="BD534" s="181">
        <f ca="1">IF($D534&lt;&gt;"Serviço",0,IF(AND(AUTOEVENTO="Manual",$M534=1),0,IF(OFFSET(CRONOPLE!$F$14,$M534,BD$13)="",10^12,OFFSET(CRONOPLE!$F$14,$M534,BD$13))))</f>
        <v>1000000000000</v>
      </c>
      <c r="BE534" s="181">
        <f ca="1">IF($D534&lt;&gt;"Serviço",0,IF(AND(AUTOEVENTO="Manual",$M534=1),0,IF(OFFSET(CRONOPLE!$F$14,$M534,BE$13)="",10^12,OFFSET(CRONOPLE!$F$14,$M534,BE$13))))</f>
        <v>1000000000000</v>
      </c>
      <c r="BF534" s="181">
        <f ca="1">IF($D534&lt;&gt;"Serviço",0,IF(AND(AUTOEVENTO="Manual",$M534=1),0,IF(OFFSET(CRONOPLE!$F$14,$M534,BF$13)="",10^12,OFFSET(CRONOPLE!$F$14,$M534,BF$13))))</f>
        <v>1000000000000</v>
      </c>
      <c r="BG534" s="181">
        <f ca="1">IF($D534&lt;&gt;"Serviço",0,IF(AND(AUTOEVENTO="Manual",$M534=1),0,IF(OFFSET(CRONOPLE!$F$14,$M534,BG$13)="",10^12,OFFSET(CRONOPLE!$F$14,$M534,BG$13))))</f>
        <v>1000000000000</v>
      </c>
      <c r="BH534" s="181">
        <f ca="1">IF($D534&lt;&gt;"Serviço",0,IF(AND(AUTOEVENTO="Manual",$M534=1),0,IF(OFFSET(CRONOPLE!$F$14,$M534,BH$13)="",10^12,OFFSET(CRONOPLE!$F$14,$M534,BH$13))))</f>
        <v>1000000000000</v>
      </c>
      <c r="BI534" s="181">
        <f ca="1">IF($D534&lt;&gt;"Serviço",0,IF(AND(AUTOEVENTO="Manual",$M534=1),0,IF(OFFSET(CRONOPLE!$F$14,$M534,BI$13)="",10^12,OFFSET(CRONOPLE!$F$14,$M534,BI$13))))</f>
        <v>1000000000000</v>
      </c>
      <c r="BJ534" s="181">
        <f ca="1">IF($D534&lt;&gt;"Serviço",0,IF(AND(AUTOEVENTO="Manual",$M534=1),0,IF(OFFSET(CRONOPLE!$F$14,$M534,BJ$13)="",10^12,OFFSET(CRONOPLE!$F$14,$M534,BJ$13))))</f>
        <v>1000000000000</v>
      </c>
      <c r="BK534" s="181">
        <f ca="1">IF($D534&lt;&gt;"Serviço",0,IF(AND(AUTOEVENTO="Manual",$M534=1),0,IF(OFFSET(CRONOPLE!$F$14,$M534,BK$13)="",10^12,OFFSET(CRONOPLE!$F$14,$M534,BK$13))))</f>
        <v>1000000000000</v>
      </c>
      <c r="BL534" s="181">
        <f ca="1">IF($D534&lt;&gt;"Serviço",0,IF(AND(AUTOEVENTO="Manual",$M534=1),0,IF(OFFSET(CRONOPLE!$F$14,$M534,BL$13)="",10^12,OFFSET(CRONOPLE!$F$14,$M534,BL$13))))</f>
        <v>1000000000000</v>
      </c>
      <c r="BM534" s="181">
        <f ca="1">IF($D534&lt;&gt;"Serviço",0,IF(AND(AUTOEVENTO="Manual",$M534=1),0,IF(OFFSET(CRONOPLE!$F$14,$M534,BM$13)="",10^12,OFFSET(CRONOPLE!$F$14,$M534,BM$13))))</f>
        <v>1000000000000</v>
      </c>
      <c r="BN534" s="181">
        <f ca="1">IF($D534&lt;&gt;"Serviço",0,IF(AND(AUTOEVENTO="Manual",$M534=1),0,IF(OFFSET(CRONOPLE!$F$14,$M534,BN$13)="",10^12,OFFSET(CRONOPLE!$F$14,$M534,BN$13))))</f>
        <v>1000000000000</v>
      </c>
      <c r="BO534" s="181">
        <f ca="1">IF($D534&lt;&gt;"Serviço",0,IF(AND(AUTOEVENTO="Manual",$M534=1),0,IF(OFFSET(CRONOPLE!$F$14,$M534,BO$13)="",10^12,OFFSET(CRONOPLE!$F$14,$M534,BO$13))))</f>
        <v>1000000000000</v>
      </c>
      <c r="BP534" s="181">
        <f ca="1">IF($D534&lt;&gt;"Serviço",0,IF(AND(AUTOEVENTO="Manual",$M534=1),0,IF(OFFSET(CRONOPLE!$F$14,$M534,BP$13)="",10^12,OFFSET(CRONOPLE!$F$14,$M534,BP$13))))</f>
        <v>1000000000000</v>
      </c>
      <c r="BQ534" s="181">
        <f ca="1">IF($D534&lt;&gt;"Serviço",0,IF(AND(AUTOEVENTO="Manual",$M534=1),0,IF(OFFSET(CRONOPLE!$F$14,$M534,BQ$13)="",10^12,OFFSET(CRONOPLE!$F$14,$M534,BQ$13))))</f>
        <v>1000000000000</v>
      </c>
      <c r="BR534" s="181">
        <f ca="1">IF($D534&lt;&gt;"Serviço",0,IF(AND(AUTOEVENTO="Manual",$M534=1),0,IF(OFFSET(CRONOPLE!$F$14,$M534,BR$13)="",10^12,OFFSET(CRONOPLE!$F$14,$M534,BR$13))))</f>
        <v>1000000000000</v>
      </c>
      <c r="BS534" s="181">
        <f ca="1">IF($D534&lt;&gt;"Serviço",0,IF(AND(AUTOEVENTO="Manual",$M534=1),0,IF(OFFSET(CRONOPLE!$F$14,$M534,BS$13)="",10^12,OFFSET(CRONOPLE!$F$14,$M534,BS$13))))</f>
        <v>1000000000000</v>
      </c>
      <c r="BT534" s="181">
        <f ca="1">IF($D534&lt;&gt;"Serviço",0,IF(AND(AUTOEVENTO="Manual",$M534=1),0,IF(OFFSET(CRONOPLE!$F$14,$M534,BT$13)="",10^12,OFFSET(CRONOPLE!$F$14,$M534,BT$13))))</f>
        <v>1000000000000</v>
      </c>
      <c r="BV534" s="182">
        <f ca="1">IF($D534&lt;&gt;"Serviço",0,IF(OR(AND(AUTOEVENTO="Manual",$M534=1),$M534&gt;(ROW(PLE.lastrow)-ROW(PLE.firstrow))),0,IF(OFFSET(PLE!$G$14,$M534,BV$13)="",10^12,OFFSET(PLE!$G$14,$M534,BV$13))))</f>
        <v>1000000000000</v>
      </c>
      <c r="BW534" s="182">
        <f ca="1">IF($D534&lt;&gt;"Serviço",0,IF(OR(AND(AUTOEVENTO="Manual",$M534=1),$M534&gt;(ROW(PLE.lastrow)-ROW(PLE.firstrow))),0,IF(OFFSET(PLE!$G$14,$M534,BW$13)="",10^12,OFFSET(PLE!$G$14,$M534,BW$13))))</f>
        <v>1000000000000</v>
      </c>
      <c r="BX534" s="182">
        <f ca="1">IF($D534&lt;&gt;"Serviço",0,IF(OR(AND(AUTOEVENTO="Manual",$M534=1),$M534&gt;(ROW(PLE.lastrow)-ROW(PLE.firstrow))),0,IF(OFFSET(PLE!$G$14,$M534,BX$13)="",10^12,OFFSET(PLE!$G$14,$M534,BX$13))))</f>
        <v>1000000000000</v>
      </c>
      <c r="BY534" s="182">
        <f ca="1">IF($D534&lt;&gt;"Serviço",0,IF(OR(AND(AUTOEVENTO="Manual",$M534=1),$M534&gt;(ROW(PLE.lastrow)-ROW(PLE.firstrow))),0,IF(OFFSET(PLE!$G$14,$M534,BY$13)="",10^12,OFFSET(PLE!$G$14,$M534,BY$13))))</f>
        <v>1000000000000</v>
      </c>
      <c r="BZ534" s="182">
        <f ca="1">IF($D534&lt;&gt;"Serviço",0,IF(OR(AND(AUTOEVENTO="Manual",$M534=1),$M534&gt;(ROW(PLE.lastrow)-ROW(PLE.firstrow))),0,IF(OFFSET(PLE!$G$14,$M534,BZ$13)="",10^12,OFFSET(PLE!$G$14,$M534,BZ$13))))</f>
        <v>1000000000000</v>
      </c>
      <c r="CA534" s="182">
        <f ca="1">IF($D534&lt;&gt;"Serviço",0,IF(OR(AND(AUTOEVENTO="Manual",$M534=1),$M534&gt;(ROW(PLE.lastrow)-ROW(PLE.firstrow))),0,IF(OFFSET(PLE!$G$14,$M534,CA$13)="",10^12,OFFSET(PLE!$G$14,$M534,CA$13))))</f>
        <v>1000000000000</v>
      </c>
      <c r="CB534" s="182">
        <f ca="1">IF($D534&lt;&gt;"Serviço",0,IF(OR(AND(AUTOEVENTO="Manual",$M534=1),$M534&gt;(ROW(PLE.lastrow)-ROW(PLE.firstrow))),0,IF(OFFSET(PLE!$G$14,$M534,CB$13)="",10^12,OFFSET(PLE!$G$14,$M534,CB$13))))</f>
        <v>1000000000000</v>
      </c>
      <c r="CC534" s="182">
        <f ca="1">IF($D534&lt;&gt;"Serviço",0,IF(OR(AND(AUTOEVENTO="Manual",$M534=1),$M534&gt;(ROW(PLE.lastrow)-ROW(PLE.firstrow))),0,IF(OFFSET(PLE!$G$14,$M534,CC$13)="",10^12,OFFSET(PLE!$G$14,$M534,CC$13))))</f>
        <v>1000000000000</v>
      </c>
      <c r="CD534" s="182">
        <f ca="1">IF($D534&lt;&gt;"Serviço",0,IF(OR(AND(AUTOEVENTO="Manual",$M534=1),$M534&gt;(ROW(PLE.lastrow)-ROW(PLE.firstrow))),0,IF(OFFSET(PLE!$G$14,$M534,CD$13)="",10^12,OFFSET(PLE!$G$14,$M534,CD$13))))</f>
        <v>1000000000000</v>
      </c>
      <c r="CE534" s="182">
        <f ca="1">IF($D534&lt;&gt;"Serviço",0,IF(OR(AND(AUTOEVENTO="Manual",$M534=1),$M534&gt;(ROW(PLE.lastrow)-ROW(PLE.firstrow))),0,IF(OFFSET(PLE!$G$14,$M534,CE$13)="",10^12,OFFSET(PLE!$G$14,$M534,CE$13))))</f>
        <v>1000000000000</v>
      </c>
      <c r="CF534" s="182">
        <f ca="1">IF($D534&lt;&gt;"Serviço",0,IF(OR(AND(AUTOEVENTO="Manual",$M534=1),$M534&gt;(ROW(PLE.lastrow)-ROW(PLE.firstrow))),0,IF(OFFSET(PLE!$G$14,$M534,CF$13)="",10^12,OFFSET(PLE!$G$14,$M534,CF$13))))</f>
        <v>1000000000000</v>
      </c>
      <c r="CG534" s="182">
        <f ca="1">IF($D534&lt;&gt;"Serviço",0,IF(OR(AND(AUTOEVENTO="Manual",$M534=1),$M534&gt;(ROW(PLE.lastrow)-ROW(PLE.firstrow))),0,IF(OFFSET(PLE!$G$14,$M534,CG$13)="",10^12,OFFSET(PLE!$G$14,$M534,CG$13))))</f>
        <v>1000000000000</v>
      </c>
      <c r="CH534" s="182">
        <f ca="1">IF($D534&lt;&gt;"Serviço",0,IF(OR(AND(AUTOEVENTO="Manual",$M534=1),$M534&gt;(ROW(PLE.lastrow)-ROW(PLE.firstrow))),0,IF(OFFSET(PLE!$G$14,$M534,CH$13)="",10^12,OFFSET(PLE!$G$14,$M534,CH$13))))</f>
        <v>1000000000000</v>
      </c>
      <c r="CI534" s="182">
        <f ca="1">IF($D534&lt;&gt;"Serviço",0,IF(OR(AND(AUTOEVENTO="Manual",$M534=1),$M534&gt;(ROW(PLE.lastrow)-ROW(PLE.firstrow))),0,IF(OFFSET(PLE!$G$14,$M534,CI$13)="",10^12,OFFSET(PLE!$G$14,$M534,CI$13))))</f>
        <v>1000000000000</v>
      </c>
      <c r="CJ534" s="182">
        <f ca="1">IF($D534&lt;&gt;"Serviço",0,IF(OR(AND(AUTOEVENTO="Manual",$M534=1),$M534&gt;(ROW(PLE.lastrow)-ROW(PLE.firstrow))),0,IF(OFFSET(PLE!$G$14,$M534,CJ$13)="",10^12,OFFSET(PLE!$G$14,$M534,CJ$13))))</f>
        <v>1000000000000</v>
      </c>
      <c r="CK534" s="182">
        <f ca="1">IF($D534&lt;&gt;"Serviço",0,IF(OR(AND(AUTOEVENTO="Manual",$M534=1),$M534&gt;(ROW(PLE.lastrow)-ROW(PLE.firstrow))),0,IF(OFFSET(PLE!$G$14,$M534,CK$13)="",10^12,OFFSET(PLE!$G$14,$M534,CK$13))))</f>
        <v>1000000000000</v>
      </c>
      <c r="CL534" s="182">
        <f ca="1">IF($D534&lt;&gt;"Serviço",0,IF(OR(AND(AUTOEVENTO="Manual",$M534=1),$M534&gt;(ROW(PLE.lastrow)-ROW(PLE.firstrow))),0,IF(OFFSET(PLE!$G$14,$M534,CL$13)="",10^12,OFFSET(PLE!$G$14,$M534,CL$13))))</f>
        <v>1000000000000</v>
      </c>
      <c r="CM534" s="182">
        <f ca="1">IF($D534&lt;&gt;"Serviço",0,IF(OR(AND(AUTOEVENTO="Manual",$M534=1),$M534&gt;(ROW(PLE.lastrow)-ROW(PLE.firstrow))),0,IF(OFFSET(PLE!$G$14,$M534,CM$13)="",10^12,OFFSET(PLE!$G$14,$M534,CM$13))))</f>
        <v>1000000000000</v>
      </c>
    </row>
    <row r="535" spans="1:91" ht="25.5" x14ac:dyDescent="0.2">
      <c r="A535" s="7" t="str">
        <f t="shared" ca="1" si="17"/>
        <v>515</v>
      </c>
      <c r="B535" s="7" t="str">
        <f ca="1">OFFSET(ORÇAMENTO!C$15,ROW(B535)-ROW(B$15),0)</f>
        <v>S</v>
      </c>
      <c r="C535" s="7" t="str">
        <f ca="1">OFFSET(ORÇAMENTO!L$15,ROW(C535)-ROW(C$15),0)</f>
        <v/>
      </c>
      <c r="D535" s="118" t="str">
        <f ca="1">OFFSET(ORÇAMENTO!N$15,ROW(D535)-ROW(D$15),0)</f>
        <v>Serviço</v>
      </c>
      <c r="E535" s="119" t="str">
        <f ca="1">OFFSET(ORÇAMENTO!O$15,ROW(E535)-ROW(E$15),0)</f>
        <v>-</v>
      </c>
      <c r="F535" s="172" t="str">
        <f ca="1">OFFSET(ORÇAMENTO!R$15,ROW(F535)-ROW(F$15),0)</f>
        <v>(abra o arquivo 'Referência 06-2024.xlsm)</v>
      </c>
      <c r="G535" s="173" t="str">
        <f ca="1">IF($D535&lt;&gt;"Serviço","",OFFSET(ORÇAMENTO!S$15,ROW(G535)-ROW(G$15),0))</f>
        <v>-</v>
      </c>
      <c r="H535" s="124">
        <f ca="1">IF($D535&lt;&gt;"Serviço",0,IF(ACOMPANHAMENTO="BM",ROUND(OFFSET(ORÇAMENTO!AJ$15,ROW(H535)-ROW(H$15),0),15-13*ORÇAMENTO!$AF$7),SUMPRODUCT(($Q$12:$AI$12&lt;&gt;"")*ROUND($Q535:$AI535,15-13*ORÇAMENTO!$AF$7))))</f>
        <v>30</v>
      </c>
      <c r="I535" s="561" t="s">
        <v>1107</v>
      </c>
      <c r="K535" s="174"/>
      <c r="L535" s="175" t="s">
        <v>255</v>
      </c>
      <c r="M535" s="176">
        <f ca="1">IF($D535&lt;&gt;"Serviço","",IF(AUTOEVENTO="manual",$A535,IF(ISERROR(MATCH($A535,$A$15:OFFSET($A535,-1,0),0)),MAX($M$15:OFFSET(M535,-1,0))+1,INDEX($M$15:OFFSET(M535,-1,0),MATCH($A535,$A$15:OFFSET($A535,-1,0),0)))))</f>
        <v>56</v>
      </c>
      <c r="N535" s="177" t="str">
        <f ca="1">IF($D535&lt;&gt;"Serviço","",IF(AUTOEVENTO="Manual",IF($A535=0,"&lt;-- defina o número do agrupador",OFFSET(EVENTOS!$D$14,$A535,0)),OFFSET($F$15,$A535,0)))</f>
        <v>INSTALAÇÃO ELÉTRICA 110V - DISPOSITIVOS ELÉTRICOS</v>
      </c>
      <c r="O535" s="178"/>
      <c r="Q535" s="178">
        <v>30</v>
      </c>
      <c r="R535" s="179"/>
      <c r="S535" s="179"/>
      <c r="T535" s="179"/>
      <c r="U535" s="179"/>
      <c r="V535" s="179"/>
      <c r="W535" s="179"/>
      <c r="X535" s="179"/>
      <c r="Y535" s="179"/>
      <c r="Z535" s="180"/>
      <c r="AA535" s="179"/>
      <c r="AB535" s="179"/>
      <c r="AC535" s="179"/>
      <c r="AD535" s="179"/>
      <c r="AE535" s="179"/>
      <c r="AF535" s="179"/>
      <c r="AG535" s="179"/>
      <c r="AH535" s="180"/>
      <c r="AJ535" s="544">
        <f ca="1">IF(AND($D535="Serviço",AJ$12&lt;&gt;0,$H535&gt;0,OR(AUTOEVENTO&lt;&gt;"manual",$M535&lt;&gt;1)),
IF(Import.TipoArredondamento&lt;&gt;"TransfereGOV",
ROUND(OFFSET($P535,0,AJ$13),15-13*ORÇAMENTO!$AF$7)/$H535*OFFSET(ORÇAMENTO!$X$15,ROW(AJ535)-ROW(AJ$15),0),
ROUND(ROUND(OFFSET($P535,0,AJ$13),15-13*ORÇAMENTO!$AF$7)*OFFSET(ORÇAMENTO!$W$15,ROW(AJ535)-ROW(AJ$15),0),15-13*ORÇAMENTO!$AF$11)),0)</f>
        <v>0</v>
      </c>
      <c r="AK535" s="545">
        <f ca="1">IF(AND($D535="Serviço",AK$12&lt;&gt;0,$H535&gt;0,OR(AUTOEVENTO&lt;&gt;"manual",$M535&lt;&gt;1)),
IF(Import.TipoArredondamento&lt;&gt;"TransfereGOV",
ROUND(OFFSET($P535,0,AK$13),15-13*ORÇAMENTO!$AF$7)/$H535*OFFSET(ORÇAMENTO!$X$15,ROW(AK535)-ROW(AK$15),0),
ROUND(ROUND(OFFSET($P535,0,AK$13),15-13*ORÇAMENTO!$AF$7)*OFFSET(ORÇAMENTO!$W$15,ROW(AK535)-ROW(AK$15),0),15-13*ORÇAMENTO!$AF$11)),0)</f>
        <v>0</v>
      </c>
      <c r="AL535" s="545">
        <f ca="1">IF(AND($D535="Serviço",AL$12&lt;&gt;0,$H535&gt;0,OR(AUTOEVENTO&lt;&gt;"manual",$M535&lt;&gt;1)),
IF(Import.TipoArredondamento&lt;&gt;"TransfereGOV",
ROUND(OFFSET($P535,0,AL$13),15-13*ORÇAMENTO!$AF$7)/$H535*OFFSET(ORÇAMENTO!$X$15,ROW(AL535)-ROW(AL$15),0),
ROUND(ROUND(OFFSET($P535,0,AL$13),15-13*ORÇAMENTO!$AF$7)*OFFSET(ORÇAMENTO!$W$15,ROW(AL535)-ROW(AL$15),0),15-13*ORÇAMENTO!$AF$11)),0)</f>
        <v>0</v>
      </c>
      <c r="AM535" s="545">
        <f ca="1">IF(AND($D535="Serviço",AM$12&lt;&gt;0,$H535&gt;0,OR(AUTOEVENTO&lt;&gt;"manual",$M535&lt;&gt;1)),
IF(Import.TipoArredondamento&lt;&gt;"TransfereGOV",
ROUND(OFFSET($P535,0,AM$13),15-13*ORÇAMENTO!$AF$7)/$H535*OFFSET(ORÇAMENTO!$X$15,ROW(AM535)-ROW(AM$15),0),
ROUND(ROUND(OFFSET($P535,0,AM$13),15-13*ORÇAMENTO!$AF$7)*OFFSET(ORÇAMENTO!$W$15,ROW(AM535)-ROW(AM$15),0),15-13*ORÇAMENTO!$AF$11)),0)</f>
        <v>0</v>
      </c>
      <c r="AN535" s="545">
        <f ca="1">IF(AND($D535="Serviço",AN$12&lt;&gt;0,$H535&gt;0,OR(AUTOEVENTO&lt;&gt;"manual",$M535&lt;&gt;1)),
IF(Import.TipoArredondamento&lt;&gt;"TransfereGOV",
ROUND(OFFSET($P535,0,AN$13),15-13*ORÇAMENTO!$AF$7)/$H535*OFFSET(ORÇAMENTO!$X$15,ROW(AN535)-ROW(AN$15),0),
ROUND(ROUND(OFFSET($P535,0,AN$13),15-13*ORÇAMENTO!$AF$7)*OFFSET(ORÇAMENTO!$W$15,ROW(AN535)-ROW(AN$15),0),15-13*ORÇAMENTO!$AF$11)),0)</f>
        <v>0</v>
      </c>
      <c r="AO535" s="545">
        <f ca="1">IF(AND($D535="Serviço",AO$12&lt;&gt;0,$H535&gt;0,OR(AUTOEVENTO&lt;&gt;"manual",$M535&lt;&gt;1)),
IF(Import.TipoArredondamento&lt;&gt;"TransfereGOV",
ROUND(OFFSET($P535,0,AO$13),15-13*ORÇAMENTO!$AF$7)/$H535*OFFSET(ORÇAMENTO!$X$15,ROW(AO535)-ROW(AO$15),0),
ROUND(ROUND(OFFSET($P535,0,AO$13),15-13*ORÇAMENTO!$AF$7)*OFFSET(ORÇAMENTO!$W$15,ROW(AO535)-ROW(AO$15),0),15-13*ORÇAMENTO!$AF$11)),0)</f>
        <v>0</v>
      </c>
      <c r="AP535" s="545">
        <f ca="1">IF(AND($D535="Serviço",AP$12&lt;&gt;0,$H535&gt;0,OR(AUTOEVENTO&lt;&gt;"manual",$M535&lt;&gt;1)),
IF(Import.TipoArredondamento&lt;&gt;"TransfereGOV",
ROUND(OFFSET($P535,0,AP$13),15-13*ORÇAMENTO!$AF$7)/$H535*OFFSET(ORÇAMENTO!$X$15,ROW(AP535)-ROW(AP$15),0),
ROUND(ROUND(OFFSET($P535,0,AP$13),15-13*ORÇAMENTO!$AF$7)*OFFSET(ORÇAMENTO!$W$15,ROW(AP535)-ROW(AP$15),0),15-13*ORÇAMENTO!$AF$11)),0)</f>
        <v>0</v>
      </c>
      <c r="AQ535" s="545">
        <f ca="1">IF(AND($D535="Serviço",AQ$12&lt;&gt;0,$H535&gt;0,OR(AUTOEVENTO&lt;&gt;"manual",$M535&lt;&gt;1)),
IF(Import.TipoArredondamento&lt;&gt;"TransfereGOV",
ROUND(OFFSET($P535,0,AQ$13),15-13*ORÇAMENTO!$AF$7)/$H535*OFFSET(ORÇAMENTO!$X$15,ROW(AQ535)-ROW(AQ$15),0),
ROUND(ROUND(OFFSET($P535,0,AQ$13),15-13*ORÇAMENTO!$AF$7)*OFFSET(ORÇAMENTO!$W$15,ROW(AQ535)-ROW(AQ$15),0),15-13*ORÇAMENTO!$AF$11)),0)</f>
        <v>0</v>
      </c>
      <c r="AR535" s="545">
        <f ca="1">IF(AND($D535="Serviço",AR$12&lt;&gt;0,$H535&gt;0,OR(AUTOEVENTO&lt;&gt;"manual",$M535&lt;&gt;1)),
IF(Import.TipoArredondamento&lt;&gt;"TransfereGOV",
ROUND(OFFSET($P535,0,AR$13),15-13*ORÇAMENTO!$AF$7)/$H535*OFFSET(ORÇAMENTO!$X$15,ROW(AR535)-ROW(AR$15),0),
ROUND(ROUND(OFFSET($P535,0,AR$13),15-13*ORÇAMENTO!$AF$7)*OFFSET(ORÇAMENTO!$W$15,ROW(AR535)-ROW(AR$15),0),15-13*ORÇAMENTO!$AF$11)),0)</f>
        <v>0</v>
      </c>
      <c r="AS535" s="546">
        <f ca="1">IF(AND($D535="Serviço",AS$12&lt;&gt;0,$H535&gt;0,OR(AUTOEVENTO&lt;&gt;"manual",$M535&lt;&gt;1)),
IF(Import.TipoArredondamento&lt;&gt;"TransfereGOV",
ROUND(OFFSET($P535,0,AS$13),15-13*ORÇAMENTO!$AF$7)/$H535*OFFSET(ORÇAMENTO!$X$15,ROW(AS535)-ROW(AS$15),0),
ROUND(ROUND(OFFSET($P535,0,AS$13),15-13*ORÇAMENTO!$AF$7)*OFFSET(ORÇAMENTO!$W$15,ROW(AS535)-ROW(AS$15),0),15-13*ORÇAMENTO!$AF$11)),0)</f>
        <v>0</v>
      </c>
      <c r="AT535" s="545">
        <f ca="1">IF(AND($D535="Serviço",AT$12&lt;&gt;0,$H535&gt;0,OR(AUTOEVENTO&lt;&gt;"manual",$M535&lt;&gt;1)),
IF(Import.TipoArredondamento&lt;&gt;"TransfereGOV",
ROUND(OFFSET($P535,0,AT$13),15-13*ORÇAMENTO!$AF$7)/$H535*OFFSET(ORÇAMENTO!$X$15,ROW(AT535)-ROW(AT$15),0),
ROUND(ROUND(OFFSET($P535,0,AT$13),15-13*ORÇAMENTO!$AF$7)*OFFSET(ORÇAMENTO!$W$15,ROW(AT535)-ROW(AT$15),0),15-13*ORÇAMENTO!$AF$11)),0)</f>
        <v>0</v>
      </c>
      <c r="AU535" s="545">
        <f ca="1">IF(AND($D535="Serviço",AU$12&lt;&gt;0,$H535&gt;0,OR(AUTOEVENTO&lt;&gt;"manual",$M535&lt;&gt;1)),
IF(Import.TipoArredondamento&lt;&gt;"TransfereGOV",
ROUND(OFFSET($P535,0,AU$13),15-13*ORÇAMENTO!$AF$7)/$H535*OFFSET(ORÇAMENTO!$X$15,ROW(AU535)-ROW(AU$15),0),
ROUND(ROUND(OFFSET($P535,0,AU$13),15-13*ORÇAMENTO!$AF$7)*OFFSET(ORÇAMENTO!$W$15,ROW(AU535)-ROW(AU$15),0),15-13*ORÇAMENTO!$AF$11)),0)</f>
        <v>0</v>
      </c>
      <c r="AV535" s="545">
        <f ca="1">IF(AND($D535="Serviço",AV$12&lt;&gt;0,$H535&gt;0,OR(AUTOEVENTO&lt;&gt;"manual",$M535&lt;&gt;1)),
IF(Import.TipoArredondamento&lt;&gt;"TransfereGOV",
ROUND(OFFSET($P535,0,AV$13),15-13*ORÇAMENTO!$AF$7)/$H535*OFFSET(ORÇAMENTO!$X$15,ROW(AV535)-ROW(AV$15),0),
ROUND(ROUND(OFFSET($P535,0,AV$13),15-13*ORÇAMENTO!$AF$7)*OFFSET(ORÇAMENTO!$W$15,ROW(AV535)-ROW(AV$15),0),15-13*ORÇAMENTO!$AF$11)),0)</f>
        <v>0</v>
      </c>
      <c r="AW535" s="545">
        <f ca="1">IF(AND($D535="Serviço",AW$12&lt;&gt;0,$H535&gt;0,OR(AUTOEVENTO&lt;&gt;"manual",$M535&lt;&gt;1)),
IF(Import.TipoArredondamento&lt;&gt;"TransfereGOV",
ROUND(OFFSET($P535,0,AW$13),15-13*ORÇAMENTO!$AF$7)/$H535*OFFSET(ORÇAMENTO!$X$15,ROW(AW535)-ROW(AW$15),0),
ROUND(ROUND(OFFSET($P535,0,AW$13),15-13*ORÇAMENTO!$AF$7)*OFFSET(ORÇAMENTO!$W$15,ROW(AW535)-ROW(AW$15),0),15-13*ORÇAMENTO!$AF$11)),0)</f>
        <v>0</v>
      </c>
      <c r="AX535" s="545">
        <f ca="1">IF(AND($D535="Serviço",AX$12&lt;&gt;0,$H535&gt;0,OR(AUTOEVENTO&lt;&gt;"manual",$M535&lt;&gt;1)),
IF(Import.TipoArredondamento&lt;&gt;"TransfereGOV",
ROUND(OFFSET($P535,0,AX$13),15-13*ORÇAMENTO!$AF$7)/$H535*OFFSET(ORÇAMENTO!$X$15,ROW(AX535)-ROW(AX$15),0),
ROUND(ROUND(OFFSET($P535,0,AX$13),15-13*ORÇAMENTO!$AF$7)*OFFSET(ORÇAMENTO!$W$15,ROW(AX535)-ROW(AX$15),0),15-13*ORÇAMENTO!$AF$11)),0)</f>
        <v>0</v>
      </c>
      <c r="AY535" s="545">
        <f ca="1">IF(AND($D535="Serviço",AY$12&lt;&gt;0,$H535&gt;0,OR(AUTOEVENTO&lt;&gt;"manual",$M535&lt;&gt;1)),
IF(Import.TipoArredondamento&lt;&gt;"TransfereGOV",
ROUND(OFFSET($P535,0,AY$13),15-13*ORÇAMENTO!$AF$7)/$H535*OFFSET(ORÇAMENTO!$X$15,ROW(AY535)-ROW(AY$15),0),
ROUND(ROUND(OFFSET($P535,0,AY$13),15-13*ORÇAMENTO!$AF$7)*OFFSET(ORÇAMENTO!$W$15,ROW(AY535)-ROW(AY$15),0),15-13*ORÇAMENTO!$AF$11)),0)</f>
        <v>0</v>
      </c>
      <c r="AZ535" s="545">
        <f ca="1">IF(AND($D535="Serviço",AZ$12&lt;&gt;0,$H535&gt;0,OR(AUTOEVENTO&lt;&gt;"manual",$M535&lt;&gt;1)),
IF(Import.TipoArredondamento&lt;&gt;"TransfereGOV",
ROUND(OFFSET($P535,0,AZ$13),15-13*ORÇAMENTO!$AF$7)/$H535*OFFSET(ORÇAMENTO!$X$15,ROW(AZ535)-ROW(AZ$15),0),
ROUND(ROUND(OFFSET($P535,0,AZ$13),15-13*ORÇAMENTO!$AF$7)*OFFSET(ORÇAMENTO!$W$15,ROW(AZ535)-ROW(AZ$15),0),15-13*ORÇAMENTO!$AF$11)),0)</f>
        <v>0</v>
      </c>
      <c r="BA535" s="546">
        <f ca="1">IF(AND($D535="Serviço",BA$12&lt;&gt;0,$H535&gt;0,OR(AUTOEVENTO&lt;&gt;"manual",$M535&lt;&gt;1)),
IF(Import.TipoArredondamento&lt;&gt;"TransfereGOV",
ROUND(OFFSET($P535,0,BA$13),15-13*ORÇAMENTO!$AF$7)/$H535*OFFSET(ORÇAMENTO!$X$15,ROW(BA535)-ROW(BA$15),0),
ROUND(ROUND(OFFSET($P535,0,BA$13),15-13*ORÇAMENTO!$AF$7)*OFFSET(ORÇAMENTO!$W$15,ROW(BA535)-ROW(BA$15),0),15-13*ORÇAMENTO!$AF$11)),0)</f>
        <v>0</v>
      </c>
      <c r="BC535" s="181">
        <f ca="1">IF($D535&lt;&gt;"Serviço",0,IF(AND(AUTOEVENTO="Manual",$M535=1),0,IF(OFFSET(CRONOPLE!$F$14,$M535,BC$13)="",10^12,OFFSET(CRONOPLE!$F$14,$M535,BC$13))))</f>
        <v>10</v>
      </c>
      <c r="BD535" s="181">
        <f ca="1">IF($D535&lt;&gt;"Serviço",0,IF(AND(AUTOEVENTO="Manual",$M535=1),0,IF(OFFSET(CRONOPLE!$F$14,$M535,BD$13)="",10^12,OFFSET(CRONOPLE!$F$14,$M535,BD$13))))</f>
        <v>1000000000000</v>
      </c>
      <c r="BE535" s="181">
        <f ca="1">IF($D535&lt;&gt;"Serviço",0,IF(AND(AUTOEVENTO="Manual",$M535=1),0,IF(OFFSET(CRONOPLE!$F$14,$M535,BE$13)="",10^12,OFFSET(CRONOPLE!$F$14,$M535,BE$13))))</f>
        <v>1000000000000</v>
      </c>
      <c r="BF535" s="181">
        <f ca="1">IF($D535&lt;&gt;"Serviço",0,IF(AND(AUTOEVENTO="Manual",$M535=1),0,IF(OFFSET(CRONOPLE!$F$14,$M535,BF$13)="",10^12,OFFSET(CRONOPLE!$F$14,$M535,BF$13))))</f>
        <v>1000000000000</v>
      </c>
      <c r="BG535" s="181">
        <f ca="1">IF($D535&lt;&gt;"Serviço",0,IF(AND(AUTOEVENTO="Manual",$M535=1),0,IF(OFFSET(CRONOPLE!$F$14,$M535,BG$13)="",10^12,OFFSET(CRONOPLE!$F$14,$M535,BG$13))))</f>
        <v>1000000000000</v>
      </c>
      <c r="BH535" s="181">
        <f ca="1">IF($D535&lt;&gt;"Serviço",0,IF(AND(AUTOEVENTO="Manual",$M535=1),0,IF(OFFSET(CRONOPLE!$F$14,$M535,BH$13)="",10^12,OFFSET(CRONOPLE!$F$14,$M535,BH$13))))</f>
        <v>1000000000000</v>
      </c>
      <c r="BI535" s="181">
        <f ca="1">IF($D535&lt;&gt;"Serviço",0,IF(AND(AUTOEVENTO="Manual",$M535=1),0,IF(OFFSET(CRONOPLE!$F$14,$M535,BI$13)="",10^12,OFFSET(CRONOPLE!$F$14,$M535,BI$13))))</f>
        <v>1000000000000</v>
      </c>
      <c r="BJ535" s="181">
        <f ca="1">IF($D535&lt;&gt;"Serviço",0,IF(AND(AUTOEVENTO="Manual",$M535=1),0,IF(OFFSET(CRONOPLE!$F$14,$M535,BJ$13)="",10^12,OFFSET(CRONOPLE!$F$14,$M535,BJ$13))))</f>
        <v>1000000000000</v>
      </c>
      <c r="BK535" s="181">
        <f ca="1">IF($D535&lt;&gt;"Serviço",0,IF(AND(AUTOEVENTO="Manual",$M535=1),0,IF(OFFSET(CRONOPLE!$F$14,$M535,BK$13)="",10^12,OFFSET(CRONOPLE!$F$14,$M535,BK$13))))</f>
        <v>1000000000000</v>
      </c>
      <c r="BL535" s="181">
        <f ca="1">IF($D535&lt;&gt;"Serviço",0,IF(AND(AUTOEVENTO="Manual",$M535=1),0,IF(OFFSET(CRONOPLE!$F$14,$M535,BL$13)="",10^12,OFFSET(CRONOPLE!$F$14,$M535,BL$13))))</f>
        <v>1000000000000</v>
      </c>
      <c r="BM535" s="181">
        <f ca="1">IF($D535&lt;&gt;"Serviço",0,IF(AND(AUTOEVENTO="Manual",$M535=1),0,IF(OFFSET(CRONOPLE!$F$14,$M535,BM$13)="",10^12,OFFSET(CRONOPLE!$F$14,$M535,BM$13))))</f>
        <v>1000000000000</v>
      </c>
      <c r="BN535" s="181">
        <f ca="1">IF($D535&lt;&gt;"Serviço",0,IF(AND(AUTOEVENTO="Manual",$M535=1),0,IF(OFFSET(CRONOPLE!$F$14,$M535,BN$13)="",10^12,OFFSET(CRONOPLE!$F$14,$M535,BN$13))))</f>
        <v>1000000000000</v>
      </c>
      <c r="BO535" s="181">
        <f ca="1">IF($D535&lt;&gt;"Serviço",0,IF(AND(AUTOEVENTO="Manual",$M535=1),0,IF(OFFSET(CRONOPLE!$F$14,$M535,BO$13)="",10^12,OFFSET(CRONOPLE!$F$14,$M535,BO$13))))</f>
        <v>1000000000000</v>
      </c>
      <c r="BP535" s="181">
        <f ca="1">IF($D535&lt;&gt;"Serviço",0,IF(AND(AUTOEVENTO="Manual",$M535=1),0,IF(OFFSET(CRONOPLE!$F$14,$M535,BP$13)="",10^12,OFFSET(CRONOPLE!$F$14,$M535,BP$13))))</f>
        <v>1000000000000</v>
      </c>
      <c r="BQ535" s="181">
        <f ca="1">IF($D535&lt;&gt;"Serviço",0,IF(AND(AUTOEVENTO="Manual",$M535=1),0,IF(OFFSET(CRONOPLE!$F$14,$M535,BQ$13)="",10^12,OFFSET(CRONOPLE!$F$14,$M535,BQ$13))))</f>
        <v>1000000000000</v>
      </c>
      <c r="BR535" s="181">
        <f ca="1">IF($D535&lt;&gt;"Serviço",0,IF(AND(AUTOEVENTO="Manual",$M535=1),0,IF(OFFSET(CRONOPLE!$F$14,$M535,BR$13)="",10^12,OFFSET(CRONOPLE!$F$14,$M535,BR$13))))</f>
        <v>1000000000000</v>
      </c>
      <c r="BS535" s="181">
        <f ca="1">IF($D535&lt;&gt;"Serviço",0,IF(AND(AUTOEVENTO="Manual",$M535=1),0,IF(OFFSET(CRONOPLE!$F$14,$M535,BS$13)="",10^12,OFFSET(CRONOPLE!$F$14,$M535,BS$13))))</f>
        <v>1000000000000</v>
      </c>
      <c r="BT535" s="181">
        <f ca="1">IF($D535&lt;&gt;"Serviço",0,IF(AND(AUTOEVENTO="Manual",$M535=1),0,IF(OFFSET(CRONOPLE!$F$14,$M535,BT$13)="",10^12,OFFSET(CRONOPLE!$F$14,$M535,BT$13))))</f>
        <v>1000000000000</v>
      </c>
      <c r="BV535" s="182">
        <f ca="1">IF($D535&lt;&gt;"Serviço",0,IF(OR(AND(AUTOEVENTO="Manual",$M535=1),$M535&gt;(ROW(PLE.lastrow)-ROW(PLE.firstrow))),0,IF(OFFSET(PLE!$G$14,$M535,BV$13)="",10^12,OFFSET(PLE!$G$14,$M535,BV$13))))</f>
        <v>1000000000000</v>
      </c>
      <c r="BW535" s="182">
        <f ca="1">IF($D535&lt;&gt;"Serviço",0,IF(OR(AND(AUTOEVENTO="Manual",$M535=1),$M535&gt;(ROW(PLE.lastrow)-ROW(PLE.firstrow))),0,IF(OFFSET(PLE!$G$14,$M535,BW$13)="",10^12,OFFSET(PLE!$G$14,$M535,BW$13))))</f>
        <v>1000000000000</v>
      </c>
      <c r="BX535" s="182">
        <f ca="1">IF($D535&lt;&gt;"Serviço",0,IF(OR(AND(AUTOEVENTO="Manual",$M535=1),$M535&gt;(ROW(PLE.lastrow)-ROW(PLE.firstrow))),0,IF(OFFSET(PLE!$G$14,$M535,BX$13)="",10^12,OFFSET(PLE!$G$14,$M535,BX$13))))</f>
        <v>1000000000000</v>
      </c>
      <c r="BY535" s="182">
        <f ca="1">IF($D535&lt;&gt;"Serviço",0,IF(OR(AND(AUTOEVENTO="Manual",$M535=1),$M535&gt;(ROW(PLE.lastrow)-ROW(PLE.firstrow))),0,IF(OFFSET(PLE!$G$14,$M535,BY$13)="",10^12,OFFSET(PLE!$G$14,$M535,BY$13))))</f>
        <v>1000000000000</v>
      </c>
      <c r="BZ535" s="182">
        <f ca="1">IF($D535&lt;&gt;"Serviço",0,IF(OR(AND(AUTOEVENTO="Manual",$M535=1),$M535&gt;(ROW(PLE.lastrow)-ROW(PLE.firstrow))),0,IF(OFFSET(PLE!$G$14,$M535,BZ$13)="",10^12,OFFSET(PLE!$G$14,$M535,BZ$13))))</f>
        <v>1000000000000</v>
      </c>
      <c r="CA535" s="182">
        <f ca="1">IF($D535&lt;&gt;"Serviço",0,IF(OR(AND(AUTOEVENTO="Manual",$M535=1),$M535&gt;(ROW(PLE.lastrow)-ROW(PLE.firstrow))),0,IF(OFFSET(PLE!$G$14,$M535,CA$13)="",10^12,OFFSET(PLE!$G$14,$M535,CA$13))))</f>
        <v>1000000000000</v>
      </c>
      <c r="CB535" s="182">
        <f ca="1">IF($D535&lt;&gt;"Serviço",0,IF(OR(AND(AUTOEVENTO="Manual",$M535=1),$M535&gt;(ROW(PLE.lastrow)-ROW(PLE.firstrow))),0,IF(OFFSET(PLE!$G$14,$M535,CB$13)="",10^12,OFFSET(PLE!$G$14,$M535,CB$13))))</f>
        <v>1000000000000</v>
      </c>
      <c r="CC535" s="182">
        <f ca="1">IF($D535&lt;&gt;"Serviço",0,IF(OR(AND(AUTOEVENTO="Manual",$M535=1),$M535&gt;(ROW(PLE.lastrow)-ROW(PLE.firstrow))),0,IF(OFFSET(PLE!$G$14,$M535,CC$13)="",10^12,OFFSET(PLE!$G$14,$M535,CC$13))))</f>
        <v>1000000000000</v>
      </c>
      <c r="CD535" s="182">
        <f ca="1">IF($D535&lt;&gt;"Serviço",0,IF(OR(AND(AUTOEVENTO="Manual",$M535=1),$M535&gt;(ROW(PLE.lastrow)-ROW(PLE.firstrow))),0,IF(OFFSET(PLE!$G$14,$M535,CD$13)="",10^12,OFFSET(PLE!$G$14,$M535,CD$13))))</f>
        <v>1000000000000</v>
      </c>
      <c r="CE535" s="182">
        <f ca="1">IF($D535&lt;&gt;"Serviço",0,IF(OR(AND(AUTOEVENTO="Manual",$M535=1),$M535&gt;(ROW(PLE.lastrow)-ROW(PLE.firstrow))),0,IF(OFFSET(PLE!$G$14,$M535,CE$13)="",10^12,OFFSET(PLE!$G$14,$M535,CE$13))))</f>
        <v>1000000000000</v>
      </c>
      <c r="CF535" s="182">
        <f ca="1">IF($D535&lt;&gt;"Serviço",0,IF(OR(AND(AUTOEVENTO="Manual",$M535=1),$M535&gt;(ROW(PLE.lastrow)-ROW(PLE.firstrow))),0,IF(OFFSET(PLE!$G$14,$M535,CF$13)="",10^12,OFFSET(PLE!$G$14,$M535,CF$13))))</f>
        <v>1000000000000</v>
      </c>
      <c r="CG535" s="182">
        <f ca="1">IF($D535&lt;&gt;"Serviço",0,IF(OR(AND(AUTOEVENTO="Manual",$M535=1),$M535&gt;(ROW(PLE.lastrow)-ROW(PLE.firstrow))),0,IF(OFFSET(PLE!$G$14,$M535,CG$13)="",10^12,OFFSET(PLE!$G$14,$M535,CG$13))))</f>
        <v>1000000000000</v>
      </c>
      <c r="CH535" s="182">
        <f ca="1">IF($D535&lt;&gt;"Serviço",0,IF(OR(AND(AUTOEVENTO="Manual",$M535=1),$M535&gt;(ROW(PLE.lastrow)-ROW(PLE.firstrow))),0,IF(OFFSET(PLE!$G$14,$M535,CH$13)="",10^12,OFFSET(PLE!$G$14,$M535,CH$13))))</f>
        <v>1000000000000</v>
      </c>
      <c r="CI535" s="182">
        <f ca="1">IF($D535&lt;&gt;"Serviço",0,IF(OR(AND(AUTOEVENTO="Manual",$M535=1),$M535&gt;(ROW(PLE.lastrow)-ROW(PLE.firstrow))),0,IF(OFFSET(PLE!$G$14,$M535,CI$13)="",10^12,OFFSET(PLE!$G$14,$M535,CI$13))))</f>
        <v>1000000000000</v>
      </c>
      <c r="CJ535" s="182">
        <f ca="1">IF($D535&lt;&gt;"Serviço",0,IF(OR(AND(AUTOEVENTO="Manual",$M535=1),$M535&gt;(ROW(PLE.lastrow)-ROW(PLE.firstrow))),0,IF(OFFSET(PLE!$G$14,$M535,CJ$13)="",10^12,OFFSET(PLE!$G$14,$M535,CJ$13))))</f>
        <v>1000000000000</v>
      </c>
      <c r="CK535" s="182">
        <f ca="1">IF($D535&lt;&gt;"Serviço",0,IF(OR(AND(AUTOEVENTO="Manual",$M535=1),$M535&gt;(ROW(PLE.lastrow)-ROW(PLE.firstrow))),0,IF(OFFSET(PLE!$G$14,$M535,CK$13)="",10^12,OFFSET(PLE!$G$14,$M535,CK$13))))</f>
        <v>1000000000000</v>
      </c>
      <c r="CL535" s="182">
        <f ca="1">IF($D535&lt;&gt;"Serviço",0,IF(OR(AND(AUTOEVENTO="Manual",$M535=1),$M535&gt;(ROW(PLE.lastrow)-ROW(PLE.firstrow))),0,IF(OFFSET(PLE!$G$14,$M535,CL$13)="",10^12,OFFSET(PLE!$G$14,$M535,CL$13))))</f>
        <v>1000000000000</v>
      </c>
      <c r="CM535" s="182">
        <f ca="1">IF($D535&lt;&gt;"Serviço",0,IF(OR(AND(AUTOEVENTO="Manual",$M535=1),$M535&gt;(ROW(PLE.lastrow)-ROW(PLE.firstrow))),0,IF(OFFSET(PLE!$G$14,$M535,CM$13)="",10^12,OFFSET(PLE!$G$14,$M535,CM$13))))</f>
        <v>1000000000000</v>
      </c>
    </row>
    <row r="536" spans="1:91" ht="38.25" x14ac:dyDescent="0.2">
      <c r="A536" s="7" t="str">
        <f t="shared" ca="1" si="17"/>
        <v>515</v>
      </c>
      <c r="B536" s="7" t="str">
        <f ca="1">OFFSET(ORÇAMENTO!C$15,ROW(B536)-ROW(B$15),0)</f>
        <v>S</v>
      </c>
      <c r="C536" s="7" t="str">
        <f ca="1">OFFSET(ORÇAMENTO!L$15,ROW(C536)-ROW(C$15),0)</f>
        <v/>
      </c>
      <c r="D536" s="118" t="str">
        <f ca="1">OFFSET(ORÇAMENTO!N$15,ROW(D536)-ROW(D$15),0)</f>
        <v>Serviço</v>
      </c>
      <c r="E536" s="119" t="str">
        <f ca="1">OFFSET(ORÇAMENTO!O$15,ROW(E536)-ROW(E$15),0)</f>
        <v>-</v>
      </c>
      <c r="F536" s="172" t="str">
        <f ca="1">OFFSET(ORÇAMENTO!R$15,ROW(F536)-ROW(F$15),0)</f>
        <v>(abra o arquivo 'Referência 06-2024.xlsm)</v>
      </c>
      <c r="G536" s="173" t="str">
        <f ca="1">IF($D536&lt;&gt;"Serviço","",OFFSET(ORÇAMENTO!S$15,ROW(G536)-ROW(G$15),0))</f>
        <v>-</v>
      </c>
      <c r="H536" s="124">
        <f ca="1">IF($D536&lt;&gt;"Serviço",0,IF(ACOMPANHAMENTO="BM",ROUND(OFFSET(ORÇAMENTO!AJ$15,ROW(H536)-ROW(H$15),0),15-13*ORÇAMENTO!$AF$7),SUMPRODUCT(($Q$12:$AI$12&lt;&gt;"")*ROUND($Q536:$AI536,15-13*ORÇAMENTO!$AF$7))))</f>
        <v>189</v>
      </c>
      <c r="I536" s="561" t="s">
        <v>1107</v>
      </c>
      <c r="K536" s="174"/>
      <c r="L536" s="175" t="s">
        <v>255</v>
      </c>
      <c r="M536" s="176">
        <f ca="1">IF($D536&lt;&gt;"Serviço","",IF(AUTOEVENTO="manual",$A536,IF(ISERROR(MATCH($A536,$A$15:OFFSET($A536,-1,0),0)),MAX($M$15:OFFSET(M536,-1,0))+1,INDEX($M$15:OFFSET(M536,-1,0),MATCH($A536,$A$15:OFFSET($A536,-1,0),0)))))</f>
        <v>56</v>
      </c>
      <c r="N536" s="177" t="str">
        <f ca="1">IF($D536&lt;&gt;"Serviço","",IF(AUTOEVENTO="Manual",IF($A536=0,"&lt;-- defina o número do agrupador",OFFSET(EVENTOS!$D$14,$A536,0)),OFFSET($F$15,$A536,0)))</f>
        <v>INSTALAÇÃO ELÉTRICA 110V - DISPOSITIVOS ELÉTRICOS</v>
      </c>
      <c r="O536" s="178"/>
      <c r="Q536" s="178">
        <v>189</v>
      </c>
      <c r="R536" s="179"/>
      <c r="S536" s="179"/>
      <c r="T536" s="179"/>
      <c r="U536" s="179"/>
      <c r="V536" s="179"/>
      <c r="W536" s="179"/>
      <c r="X536" s="179"/>
      <c r="Y536" s="179"/>
      <c r="Z536" s="180"/>
      <c r="AA536" s="179"/>
      <c r="AB536" s="179"/>
      <c r="AC536" s="179"/>
      <c r="AD536" s="179"/>
      <c r="AE536" s="179"/>
      <c r="AF536" s="179"/>
      <c r="AG536" s="179"/>
      <c r="AH536" s="180"/>
      <c r="AJ536" s="544">
        <f ca="1">IF(AND($D536="Serviço",AJ$12&lt;&gt;0,$H536&gt;0,OR(AUTOEVENTO&lt;&gt;"manual",$M536&lt;&gt;1)),
IF(Import.TipoArredondamento&lt;&gt;"TransfereGOV",
ROUND(OFFSET($P536,0,AJ$13),15-13*ORÇAMENTO!$AF$7)/$H536*OFFSET(ORÇAMENTO!$X$15,ROW(AJ536)-ROW(AJ$15),0),
ROUND(ROUND(OFFSET($P536,0,AJ$13),15-13*ORÇAMENTO!$AF$7)*OFFSET(ORÇAMENTO!$W$15,ROW(AJ536)-ROW(AJ$15),0),15-13*ORÇAMENTO!$AF$11)),0)</f>
        <v>0</v>
      </c>
      <c r="AK536" s="545">
        <f ca="1">IF(AND($D536="Serviço",AK$12&lt;&gt;0,$H536&gt;0,OR(AUTOEVENTO&lt;&gt;"manual",$M536&lt;&gt;1)),
IF(Import.TipoArredondamento&lt;&gt;"TransfereGOV",
ROUND(OFFSET($P536,0,AK$13),15-13*ORÇAMENTO!$AF$7)/$H536*OFFSET(ORÇAMENTO!$X$15,ROW(AK536)-ROW(AK$15),0),
ROUND(ROUND(OFFSET($P536,0,AK$13),15-13*ORÇAMENTO!$AF$7)*OFFSET(ORÇAMENTO!$W$15,ROW(AK536)-ROW(AK$15),0),15-13*ORÇAMENTO!$AF$11)),0)</f>
        <v>0</v>
      </c>
      <c r="AL536" s="545">
        <f ca="1">IF(AND($D536="Serviço",AL$12&lt;&gt;0,$H536&gt;0,OR(AUTOEVENTO&lt;&gt;"manual",$M536&lt;&gt;1)),
IF(Import.TipoArredondamento&lt;&gt;"TransfereGOV",
ROUND(OFFSET($P536,0,AL$13),15-13*ORÇAMENTO!$AF$7)/$H536*OFFSET(ORÇAMENTO!$X$15,ROW(AL536)-ROW(AL$15),0),
ROUND(ROUND(OFFSET($P536,0,AL$13),15-13*ORÇAMENTO!$AF$7)*OFFSET(ORÇAMENTO!$W$15,ROW(AL536)-ROW(AL$15),0),15-13*ORÇAMENTO!$AF$11)),0)</f>
        <v>0</v>
      </c>
      <c r="AM536" s="545">
        <f ca="1">IF(AND($D536="Serviço",AM$12&lt;&gt;0,$H536&gt;0,OR(AUTOEVENTO&lt;&gt;"manual",$M536&lt;&gt;1)),
IF(Import.TipoArredondamento&lt;&gt;"TransfereGOV",
ROUND(OFFSET($P536,0,AM$13),15-13*ORÇAMENTO!$AF$7)/$H536*OFFSET(ORÇAMENTO!$X$15,ROW(AM536)-ROW(AM$15),0),
ROUND(ROUND(OFFSET($P536,0,AM$13),15-13*ORÇAMENTO!$AF$7)*OFFSET(ORÇAMENTO!$W$15,ROW(AM536)-ROW(AM$15),0),15-13*ORÇAMENTO!$AF$11)),0)</f>
        <v>0</v>
      </c>
      <c r="AN536" s="545">
        <f ca="1">IF(AND($D536="Serviço",AN$12&lt;&gt;0,$H536&gt;0,OR(AUTOEVENTO&lt;&gt;"manual",$M536&lt;&gt;1)),
IF(Import.TipoArredondamento&lt;&gt;"TransfereGOV",
ROUND(OFFSET($P536,0,AN$13),15-13*ORÇAMENTO!$AF$7)/$H536*OFFSET(ORÇAMENTO!$X$15,ROW(AN536)-ROW(AN$15),0),
ROUND(ROUND(OFFSET($P536,0,AN$13),15-13*ORÇAMENTO!$AF$7)*OFFSET(ORÇAMENTO!$W$15,ROW(AN536)-ROW(AN$15),0),15-13*ORÇAMENTO!$AF$11)),0)</f>
        <v>0</v>
      </c>
      <c r="AO536" s="545">
        <f ca="1">IF(AND($D536="Serviço",AO$12&lt;&gt;0,$H536&gt;0,OR(AUTOEVENTO&lt;&gt;"manual",$M536&lt;&gt;1)),
IF(Import.TipoArredondamento&lt;&gt;"TransfereGOV",
ROUND(OFFSET($P536,0,AO$13),15-13*ORÇAMENTO!$AF$7)/$H536*OFFSET(ORÇAMENTO!$X$15,ROW(AO536)-ROW(AO$15),0),
ROUND(ROUND(OFFSET($P536,0,AO$13),15-13*ORÇAMENTO!$AF$7)*OFFSET(ORÇAMENTO!$W$15,ROW(AO536)-ROW(AO$15),0),15-13*ORÇAMENTO!$AF$11)),0)</f>
        <v>0</v>
      </c>
      <c r="AP536" s="545">
        <f ca="1">IF(AND($D536="Serviço",AP$12&lt;&gt;0,$H536&gt;0,OR(AUTOEVENTO&lt;&gt;"manual",$M536&lt;&gt;1)),
IF(Import.TipoArredondamento&lt;&gt;"TransfereGOV",
ROUND(OFFSET($P536,0,AP$13),15-13*ORÇAMENTO!$AF$7)/$H536*OFFSET(ORÇAMENTO!$X$15,ROW(AP536)-ROW(AP$15),0),
ROUND(ROUND(OFFSET($P536,0,AP$13),15-13*ORÇAMENTO!$AF$7)*OFFSET(ORÇAMENTO!$W$15,ROW(AP536)-ROW(AP$15),0),15-13*ORÇAMENTO!$AF$11)),0)</f>
        <v>0</v>
      </c>
      <c r="AQ536" s="545">
        <f ca="1">IF(AND($D536="Serviço",AQ$12&lt;&gt;0,$H536&gt;0,OR(AUTOEVENTO&lt;&gt;"manual",$M536&lt;&gt;1)),
IF(Import.TipoArredondamento&lt;&gt;"TransfereGOV",
ROUND(OFFSET($P536,0,AQ$13),15-13*ORÇAMENTO!$AF$7)/$H536*OFFSET(ORÇAMENTO!$X$15,ROW(AQ536)-ROW(AQ$15),0),
ROUND(ROUND(OFFSET($P536,0,AQ$13),15-13*ORÇAMENTO!$AF$7)*OFFSET(ORÇAMENTO!$W$15,ROW(AQ536)-ROW(AQ$15),0),15-13*ORÇAMENTO!$AF$11)),0)</f>
        <v>0</v>
      </c>
      <c r="AR536" s="545">
        <f ca="1">IF(AND($D536="Serviço",AR$12&lt;&gt;0,$H536&gt;0,OR(AUTOEVENTO&lt;&gt;"manual",$M536&lt;&gt;1)),
IF(Import.TipoArredondamento&lt;&gt;"TransfereGOV",
ROUND(OFFSET($P536,0,AR$13),15-13*ORÇAMENTO!$AF$7)/$H536*OFFSET(ORÇAMENTO!$X$15,ROW(AR536)-ROW(AR$15),0),
ROUND(ROUND(OFFSET($P536,0,AR$13),15-13*ORÇAMENTO!$AF$7)*OFFSET(ORÇAMENTO!$W$15,ROW(AR536)-ROW(AR$15),0),15-13*ORÇAMENTO!$AF$11)),0)</f>
        <v>0</v>
      </c>
      <c r="AS536" s="546">
        <f ca="1">IF(AND($D536="Serviço",AS$12&lt;&gt;0,$H536&gt;0,OR(AUTOEVENTO&lt;&gt;"manual",$M536&lt;&gt;1)),
IF(Import.TipoArredondamento&lt;&gt;"TransfereGOV",
ROUND(OFFSET($P536,0,AS$13),15-13*ORÇAMENTO!$AF$7)/$H536*OFFSET(ORÇAMENTO!$X$15,ROW(AS536)-ROW(AS$15),0),
ROUND(ROUND(OFFSET($P536,0,AS$13),15-13*ORÇAMENTO!$AF$7)*OFFSET(ORÇAMENTO!$W$15,ROW(AS536)-ROW(AS$15),0),15-13*ORÇAMENTO!$AF$11)),0)</f>
        <v>0</v>
      </c>
      <c r="AT536" s="545">
        <f ca="1">IF(AND($D536="Serviço",AT$12&lt;&gt;0,$H536&gt;0,OR(AUTOEVENTO&lt;&gt;"manual",$M536&lt;&gt;1)),
IF(Import.TipoArredondamento&lt;&gt;"TransfereGOV",
ROUND(OFFSET($P536,0,AT$13),15-13*ORÇAMENTO!$AF$7)/$H536*OFFSET(ORÇAMENTO!$X$15,ROW(AT536)-ROW(AT$15),0),
ROUND(ROUND(OFFSET($P536,0,AT$13),15-13*ORÇAMENTO!$AF$7)*OFFSET(ORÇAMENTO!$W$15,ROW(AT536)-ROW(AT$15),0),15-13*ORÇAMENTO!$AF$11)),0)</f>
        <v>0</v>
      </c>
      <c r="AU536" s="545">
        <f ca="1">IF(AND($D536="Serviço",AU$12&lt;&gt;0,$H536&gt;0,OR(AUTOEVENTO&lt;&gt;"manual",$M536&lt;&gt;1)),
IF(Import.TipoArredondamento&lt;&gt;"TransfereGOV",
ROUND(OFFSET($P536,0,AU$13),15-13*ORÇAMENTO!$AF$7)/$H536*OFFSET(ORÇAMENTO!$X$15,ROW(AU536)-ROW(AU$15),0),
ROUND(ROUND(OFFSET($P536,0,AU$13),15-13*ORÇAMENTO!$AF$7)*OFFSET(ORÇAMENTO!$W$15,ROW(AU536)-ROW(AU$15),0),15-13*ORÇAMENTO!$AF$11)),0)</f>
        <v>0</v>
      </c>
      <c r="AV536" s="545">
        <f ca="1">IF(AND($D536="Serviço",AV$12&lt;&gt;0,$H536&gt;0,OR(AUTOEVENTO&lt;&gt;"manual",$M536&lt;&gt;1)),
IF(Import.TipoArredondamento&lt;&gt;"TransfereGOV",
ROUND(OFFSET($P536,0,AV$13),15-13*ORÇAMENTO!$AF$7)/$H536*OFFSET(ORÇAMENTO!$X$15,ROW(AV536)-ROW(AV$15),0),
ROUND(ROUND(OFFSET($P536,0,AV$13),15-13*ORÇAMENTO!$AF$7)*OFFSET(ORÇAMENTO!$W$15,ROW(AV536)-ROW(AV$15),0),15-13*ORÇAMENTO!$AF$11)),0)</f>
        <v>0</v>
      </c>
      <c r="AW536" s="545">
        <f ca="1">IF(AND($D536="Serviço",AW$12&lt;&gt;0,$H536&gt;0,OR(AUTOEVENTO&lt;&gt;"manual",$M536&lt;&gt;1)),
IF(Import.TipoArredondamento&lt;&gt;"TransfereGOV",
ROUND(OFFSET($P536,0,AW$13),15-13*ORÇAMENTO!$AF$7)/$H536*OFFSET(ORÇAMENTO!$X$15,ROW(AW536)-ROW(AW$15),0),
ROUND(ROUND(OFFSET($P536,0,AW$13),15-13*ORÇAMENTO!$AF$7)*OFFSET(ORÇAMENTO!$W$15,ROW(AW536)-ROW(AW$15),0),15-13*ORÇAMENTO!$AF$11)),0)</f>
        <v>0</v>
      </c>
      <c r="AX536" s="545">
        <f ca="1">IF(AND($D536="Serviço",AX$12&lt;&gt;0,$H536&gt;0,OR(AUTOEVENTO&lt;&gt;"manual",$M536&lt;&gt;1)),
IF(Import.TipoArredondamento&lt;&gt;"TransfereGOV",
ROUND(OFFSET($P536,0,AX$13),15-13*ORÇAMENTO!$AF$7)/$H536*OFFSET(ORÇAMENTO!$X$15,ROW(AX536)-ROW(AX$15),0),
ROUND(ROUND(OFFSET($P536,0,AX$13),15-13*ORÇAMENTO!$AF$7)*OFFSET(ORÇAMENTO!$W$15,ROW(AX536)-ROW(AX$15),0),15-13*ORÇAMENTO!$AF$11)),0)</f>
        <v>0</v>
      </c>
      <c r="AY536" s="545">
        <f ca="1">IF(AND($D536="Serviço",AY$12&lt;&gt;0,$H536&gt;0,OR(AUTOEVENTO&lt;&gt;"manual",$M536&lt;&gt;1)),
IF(Import.TipoArredondamento&lt;&gt;"TransfereGOV",
ROUND(OFFSET($P536,0,AY$13),15-13*ORÇAMENTO!$AF$7)/$H536*OFFSET(ORÇAMENTO!$X$15,ROW(AY536)-ROW(AY$15),0),
ROUND(ROUND(OFFSET($P536,0,AY$13),15-13*ORÇAMENTO!$AF$7)*OFFSET(ORÇAMENTO!$W$15,ROW(AY536)-ROW(AY$15),0),15-13*ORÇAMENTO!$AF$11)),0)</f>
        <v>0</v>
      </c>
      <c r="AZ536" s="545">
        <f ca="1">IF(AND($D536="Serviço",AZ$12&lt;&gt;0,$H536&gt;0,OR(AUTOEVENTO&lt;&gt;"manual",$M536&lt;&gt;1)),
IF(Import.TipoArredondamento&lt;&gt;"TransfereGOV",
ROUND(OFFSET($P536,0,AZ$13),15-13*ORÇAMENTO!$AF$7)/$H536*OFFSET(ORÇAMENTO!$X$15,ROW(AZ536)-ROW(AZ$15),0),
ROUND(ROUND(OFFSET($P536,0,AZ$13),15-13*ORÇAMENTO!$AF$7)*OFFSET(ORÇAMENTO!$W$15,ROW(AZ536)-ROW(AZ$15),0),15-13*ORÇAMENTO!$AF$11)),0)</f>
        <v>0</v>
      </c>
      <c r="BA536" s="546">
        <f ca="1">IF(AND($D536="Serviço",BA$12&lt;&gt;0,$H536&gt;0,OR(AUTOEVENTO&lt;&gt;"manual",$M536&lt;&gt;1)),
IF(Import.TipoArredondamento&lt;&gt;"TransfereGOV",
ROUND(OFFSET($P536,0,BA$13),15-13*ORÇAMENTO!$AF$7)/$H536*OFFSET(ORÇAMENTO!$X$15,ROW(BA536)-ROW(BA$15),0),
ROUND(ROUND(OFFSET($P536,0,BA$13),15-13*ORÇAMENTO!$AF$7)*OFFSET(ORÇAMENTO!$W$15,ROW(BA536)-ROW(BA$15),0),15-13*ORÇAMENTO!$AF$11)),0)</f>
        <v>0</v>
      </c>
      <c r="BC536" s="181">
        <f ca="1">IF($D536&lt;&gt;"Serviço",0,IF(AND(AUTOEVENTO="Manual",$M536=1),0,IF(OFFSET(CRONOPLE!$F$14,$M536,BC$13)="",10^12,OFFSET(CRONOPLE!$F$14,$M536,BC$13))))</f>
        <v>10</v>
      </c>
      <c r="BD536" s="181">
        <f ca="1">IF($D536&lt;&gt;"Serviço",0,IF(AND(AUTOEVENTO="Manual",$M536=1),0,IF(OFFSET(CRONOPLE!$F$14,$M536,BD$13)="",10^12,OFFSET(CRONOPLE!$F$14,$M536,BD$13))))</f>
        <v>1000000000000</v>
      </c>
      <c r="BE536" s="181">
        <f ca="1">IF($D536&lt;&gt;"Serviço",0,IF(AND(AUTOEVENTO="Manual",$M536=1),0,IF(OFFSET(CRONOPLE!$F$14,$M536,BE$13)="",10^12,OFFSET(CRONOPLE!$F$14,$M536,BE$13))))</f>
        <v>1000000000000</v>
      </c>
      <c r="BF536" s="181">
        <f ca="1">IF($D536&lt;&gt;"Serviço",0,IF(AND(AUTOEVENTO="Manual",$M536=1),0,IF(OFFSET(CRONOPLE!$F$14,$M536,BF$13)="",10^12,OFFSET(CRONOPLE!$F$14,$M536,BF$13))))</f>
        <v>1000000000000</v>
      </c>
      <c r="BG536" s="181">
        <f ca="1">IF($D536&lt;&gt;"Serviço",0,IF(AND(AUTOEVENTO="Manual",$M536=1),0,IF(OFFSET(CRONOPLE!$F$14,$M536,BG$13)="",10^12,OFFSET(CRONOPLE!$F$14,$M536,BG$13))))</f>
        <v>1000000000000</v>
      </c>
      <c r="BH536" s="181">
        <f ca="1">IF($D536&lt;&gt;"Serviço",0,IF(AND(AUTOEVENTO="Manual",$M536=1),0,IF(OFFSET(CRONOPLE!$F$14,$M536,BH$13)="",10^12,OFFSET(CRONOPLE!$F$14,$M536,BH$13))))</f>
        <v>1000000000000</v>
      </c>
      <c r="BI536" s="181">
        <f ca="1">IF($D536&lt;&gt;"Serviço",0,IF(AND(AUTOEVENTO="Manual",$M536=1),0,IF(OFFSET(CRONOPLE!$F$14,$M536,BI$13)="",10^12,OFFSET(CRONOPLE!$F$14,$M536,BI$13))))</f>
        <v>1000000000000</v>
      </c>
      <c r="BJ536" s="181">
        <f ca="1">IF($D536&lt;&gt;"Serviço",0,IF(AND(AUTOEVENTO="Manual",$M536=1),0,IF(OFFSET(CRONOPLE!$F$14,$M536,BJ$13)="",10^12,OFFSET(CRONOPLE!$F$14,$M536,BJ$13))))</f>
        <v>1000000000000</v>
      </c>
      <c r="BK536" s="181">
        <f ca="1">IF($D536&lt;&gt;"Serviço",0,IF(AND(AUTOEVENTO="Manual",$M536=1),0,IF(OFFSET(CRONOPLE!$F$14,$M536,BK$13)="",10^12,OFFSET(CRONOPLE!$F$14,$M536,BK$13))))</f>
        <v>1000000000000</v>
      </c>
      <c r="BL536" s="181">
        <f ca="1">IF($D536&lt;&gt;"Serviço",0,IF(AND(AUTOEVENTO="Manual",$M536=1),0,IF(OFFSET(CRONOPLE!$F$14,$M536,BL$13)="",10^12,OFFSET(CRONOPLE!$F$14,$M536,BL$13))))</f>
        <v>1000000000000</v>
      </c>
      <c r="BM536" s="181">
        <f ca="1">IF($D536&lt;&gt;"Serviço",0,IF(AND(AUTOEVENTO="Manual",$M536=1),0,IF(OFFSET(CRONOPLE!$F$14,$M536,BM$13)="",10^12,OFFSET(CRONOPLE!$F$14,$M536,BM$13))))</f>
        <v>1000000000000</v>
      </c>
      <c r="BN536" s="181">
        <f ca="1">IF($D536&lt;&gt;"Serviço",0,IF(AND(AUTOEVENTO="Manual",$M536=1),0,IF(OFFSET(CRONOPLE!$F$14,$M536,BN$13)="",10^12,OFFSET(CRONOPLE!$F$14,$M536,BN$13))))</f>
        <v>1000000000000</v>
      </c>
      <c r="BO536" s="181">
        <f ca="1">IF($D536&lt;&gt;"Serviço",0,IF(AND(AUTOEVENTO="Manual",$M536=1),0,IF(OFFSET(CRONOPLE!$F$14,$M536,BO$13)="",10^12,OFFSET(CRONOPLE!$F$14,$M536,BO$13))))</f>
        <v>1000000000000</v>
      </c>
      <c r="BP536" s="181">
        <f ca="1">IF($D536&lt;&gt;"Serviço",0,IF(AND(AUTOEVENTO="Manual",$M536=1),0,IF(OFFSET(CRONOPLE!$F$14,$M536,BP$13)="",10^12,OFFSET(CRONOPLE!$F$14,$M536,BP$13))))</f>
        <v>1000000000000</v>
      </c>
      <c r="BQ536" s="181">
        <f ca="1">IF($D536&lt;&gt;"Serviço",0,IF(AND(AUTOEVENTO="Manual",$M536=1),0,IF(OFFSET(CRONOPLE!$F$14,$M536,BQ$13)="",10^12,OFFSET(CRONOPLE!$F$14,$M536,BQ$13))))</f>
        <v>1000000000000</v>
      </c>
      <c r="BR536" s="181">
        <f ca="1">IF($D536&lt;&gt;"Serviço",0,IF(AND(AUTOEVENTO="Manual",$M536=1),0,IF(OFFSET(CRONOPLE!$F$14,$M536,BR$13)="",10^12,OFFSET(CRONOPLE!$F$14,$M536,BR$13))))</f>
        <v>1000000000000</v>
      </c>
      <c r="BS536" s="181">
        <f ca="1">IF($D536&lt;&gt;"Serviço",0,IF(AND(AUTOEVENTO="Manual",$M536=1),0,IF(OFFSET(CRONOPLE!$F$14,$M536,BS$13)="",10^12,OFFSET(CRONOPLE!$F$14,$M536,BS$13))))</f>
        <v>1000000000000</v>
      </c>
      <c r="BT536" s="181">
        <f ca="1">IF($D536&lt;&gt;"Serviço",0,IF(AND(AUTOEVENTO="Manual",$M536=1),0,IF(OFFSET(CRONOPLE!$F$14,$M536,BT$13)="",10^12,OFFSET(CRONOPLE!$F$14,$M536,BT$13))))</f>
        <v>1000000000000</v>
      </c>
      <c r="BV536" s="182">
        <f ca="1">IF($D536&lt;&gt;"Serviço",0,IF(OR(AND(AUTOEVENTO="Manual",$M536=1),$M536&gt;(ROW(PLE.lastrow)-ROW(PLE.firstrow))),0,IF(OFFSET(PLE!$G$14,$M536,BV$13)="",10^12,OFFSET(PLE!$G$14,$M536,BV$13))))</f>
        <v>1000000000000</v>
      </c>
      <c r="BW536" s="182">
        <f ca="1">IF($D536&lt;&gt;"Serviço",0,IF(OR(AND(AUTOEVENTO="Manual",$M536=1),$M536&gt;(ROW(PLE.lastrow)-ROW(PLE.firstrow))),0,IF(OFFSET(PLE!$G$14,$M536,BW$13)="",10^12,OFFSET(PLE!$G$14,$M536,BW$13))))</f>
        <v>1000000000000</v>
      </c>
      <c r="BX536" s="182">
        <f ca="1">IF($D536&lt;&gt;"Serviço",0,IF(OR(AND(AUTOEVENTO="Manual",$M536=1),$M536&gt;(ROW(PLE.lastrow)-ROW(PLE.firstrow))),0,IF(OFFSET(PLE!$G$14,$M536,BX$13)="",10^12,OFFSET(PLE!$G$14,$M536,BX$13))))</f>
        <v>1000000000000</v>
      </c>
      <c r="BY536" s="182">
        <f ca="1">IF($D536&lt;&gt;"Serviço",0,IF(OR(AND(AUTOEVENTO="Manual",$M536=1),$M536&gt;(ROW(PLE.lastrow)-ROW(PLE.firstrow))),0,IF(OFFSET(PLE!$G$14,$M536,BY$13)="",10^12,OFFSET(PLE!$G$14,$M536,BY$13))))</f>
        <v>1000000000000</v>
      </c>
      <c r="BZ536" s="182">
        <f ca="1">IF($D536&lt;&gt;"Serviço",0,IF(OR(AND(AUTOEVENTO="Manual",$M536=1),$M536&gt;(ROW(PLE.lastrow)-ROW(PLE.firstrow))),0,IF(OFFSET(PLE!$G$14,$M536,BZ$13)="",10^12,OFFSET(PLE!$G$14,$M536,BZ$13))))</f>
        <v>1000000000000</v>
      </c>
      <c r="CA536" s="182">
        <f ca="1">IF($D536&lt;&gt;"Serviço",0,IF(OR(AND(AUTOEVENTO="Manual",$M536=1),$M536&gt;(ROW(PLE.lastrow)-ROW(PLE.firstrow))),0,IF(OFFSET(PLE!$G$14,$M536,CA$13)="",10^12,OFFSET(PLE!$G$14,$M536,CA$13))))</f>
        <v>1000000000000</v>
      </c>
      <c r="CB536" s="182">
        <f ca="1">IF($D536&lt;&gt;"Serviço",0,IF(OR(AND(AUTOEVENTO="Manual",$M536=1),$M536&gt;(ROW(PLE.lastrow)-ROW(PLE.firstrow))),0,IF(OFFSET(PLE!$G$14,$M536,CB$13)="",10^12,OFFSET(PLE!$G$14,$M536,CB$13))))</f>
        <v>1000000000000</v>
      </c>
      <c r="CC536" s="182">
        <f ca="1">IF($D536&lt;&gt;"Serviço",0,IF(OR(AND(AUTOEVENTO="Manual",$M536=1),$M536&gt;(ROW(PLE.lastrow)-ROW(PLE.firstrow))),0,IF(OFFSET(PLE!$G$14,$M536,CC$13)="",10^12,OFFSET(PLE!$G$14,$M536,CC$13))))</f>
        <v>1000000000000</v>
      </c>
      <c r="CD536" s="182">
        <f ca="1">IF($D536&lt;&gt;"Serviço",0,IF(OR(AND(AUTOEVENTO="Manual",$M536=1),$M536&gt;(ROW(PLE.lastrow)-ROW(PLE.firstrow))),0,IF(OFFSET(PLE!$G$14,$M536,CD$13)="",10^12,OFFSET(PLE!$G$14,$M536,CD$13))))</f>
        <v>1000000000000</v>
      </c>
      <c r="CE536" s="182">
        <f ca="1">IF($D536&lt;&gt;"Serviço",0,IF(OR(AND(AUTOEVENTO="Manual",$M536=1),$M536&gt;(ROW(PLE.lastrow)-ROW(PLE.firstrow))),0,IF(OFFSET(PLE!$G$14,$M536,CE$13)="",10^12,OFFSET(PLE!$G$14,$M536,CE$13))))</f>
        <v>1000000000000</v>
      </c>
      <c r="CF536" s="182">
        <f ca="1">IF($D536&lt;&gt;"Serviço",0,IF(OR(AND(AUTOEVENTO="Manual",$M536=1),$M536&gt;(ROW(PLE.lastrow)-ROW(PLE.firstrow))),0,IF(OFFSET(PLE!$G$14,$M536,CF$13)="",10^12,OFFSET(PLE!$G$14,$M536,CF$13))))</f>
        <v>1000000000000</v>
      </c>
      <c r="CG536" s="182">
        <f ca="1">IF($D536&lt;&gt;"Serviço",0,IF(OR(AND(AUTOEVENTO="Manual",$M536=1),$M536&gt;(ROW(PLE.lastrow)-ROW(PLE.firstrow))),0,IF(OFFSET(PLE!$G$14,$M536,CG$13)="",10^12,OFFSET(PLE!$G$14,$M536,CG$13))))</f>
        <v>1000000000000</v>
      </c>
      <c r="CH536" s="182">
        <f ca="1">IF($D536&lt;&gt;"Serviço",0,IF(OR(AND(AUTOEVENTO="Manual",$M536=1),$M536&gt;(ROW(PLE.lastrow)-ROW(PLE.firstrow))),0,IF(OFFSET(PLE!$G$14,$M536,CH$13)="",10^12,OFFSET(PLE!$G$14,$M536,CH$13))))</f>
        <v>1000000000000</v>
      </c>
      <c r="CI536" s="182">
        <f ca="1">IF($D536&lt;&gt;"Serviço",0,IF(OR(AND(AUTOEVENTO="Manual",$M536=1),$M536&gt;(ROW(PLE.lastrow)-ROW(PLE.firstrow))),0,IF(OFFSET(PLE!$G$14,$M536,CI$13)="",10^12,OFFSET(PLE!$G$14,$M536,CI$13))))</f>
        <v>1000000000000</v>
      </c>
      <c r="CJ536" s="182">
        <f ca="1">IF($D536&lt;&gt;"Serviço",0,IF(OR(AND(AUTOEVENTO="Manual",$M536=1),$M536&gt;(ROW(PLE.lastrow)-ROW(PLE.firstrow))),0,IF(OFFSET(PLE!$G$14,$M536,CJ$13)="",10^12,OFFSET(PLE!$G$14,$M536,CJ$13))))</f>
        <v>1000000000000</v>
      </c>
      <c r="CK536" s="182">
        <f ca="1">IF($D536&lt;&gt;"Serviço",0,IF(OR(AND(AUTOEVENTO="Manual",$M536=1),$M536&gt;(ROW(PLE.lastrow)-ROW(PLE.firstrow))),0,IF(OFFSET(PLE!$G$14,$M536,CK$13)="",10^12,OFFSET(PLE!$G$14,$M536,CK$13))))</f>
        <v>1000000000000</v>
      </c>
      <c r="CL536" s="182">
        <f ca="1">IF($D536&lt;&gt;"Serviço",0,IF(OR(AND(AUTOEVENTO="Manual",$M536=1),$M536&gt;(ROW(PLE.lastrow)-ROW(PLE.firstrow))),0,IF(OFFSET(PLE!$G$14,$M536,CL$13)="",10^12,OFFSET(PLE!$G$14,$M536,CL$13))))</f>
        <v>1000000000000</v>
      </c>
      <c r="CM536" s="182">
        <f ca="1">IF($D536&lt;&gt;"Serviço",0,IF(OR(AND(AUTOEVENTO="Manual",$M536=1),$M536&gt;(ROW(PLE.lastrow)-ROW(PLE.firstrow))),0,IF(OFFSET(PLE!$G$14,$M536,CM$13)="",10^12,OFFSET(PLE!$G$14,$M536,CM$13))))</f>
        <v>1000000000000</v>
      </c>
    </row>
    <row r="537" spans="1:91" ht="38.25" x14ac:dyDescent="0.2">
      <c r="A537" s="7" t="str">
        <f t="shared" ca="1" si="17"/>
        <v>515</v>
      </c>
      <c r="B537" s="7" t="str">
        <f ca="1">OFFSET(ORÇAMENTO!C$15,ROW(B537)-ROW(B$15),0)</f>
        <v>S</v>
      </c>
      <c r="C537" s="7" t="str">
        <f ca="1">OFFSET(ORÇAMENTO!L$15,ROW(C537)-ROW(C$15),0)</f>
        <v/>
      </c>
      <c r="D537" s="118" t="str">
        <f ca="1">OFFSET(ORÇAMENTO!N$15,ROW(D537)-ROW(D$15),0)</f>
        <v>Serviço</v>
      </c>
      <c r="E537" s="119" t="str">
        <f ca="1">OFFSET(ORÇAMENTO!O$15,ROW(E537)-ROW(E$15),0)</f>
        <v>-</v>
      </c>
      <c r="F537" s="172" t="str">
        <f ca="1">OFFSET(ORÇAMENTO!R$15,ROW(F537)-ROW(F$15),0)</f>
        <v>(abra o arquivo 'Referência 06-2024.xlsm)</v>
      </c>
      <c r="G537" s="173" t="str">
        <f ca="1">IF($D537&lt;&gt;"Serviço","",OFFSET(ORÇAMENTO!S$15,ROW(G537)-ROW(G$15),0))</f>
        <v>-</v>
      </c>
      <c r="H537" s="124">
        <f ca="1">IF($D537&lt;&gt;"Serviço",0,IF(ACOMPANHAMENTO="BM",ROUND(OFFSET(ORÇAMENTO!AJ$15,ROW(H537)-ROW(H$15),0),15-13*ORÇAMENTO!$AF$7),SUMPRODUCT(($Q$12:$AI$12&lt;&gt;"")*ROUND($Q537:$AI537,15-13*ORÇAMENTO!$AF$7))))</f>
        <v>27</v>
      </c>
      <c r="I537" s="561" t="s">
        <v>1107</v>
      </c>
      <c r="K537" s="174"/>
      <c r="L537" s="175" t="s">
        <v>255</v>
      </c>
      <c r="M537" s="176">
        <f ca="1">IF($D537&lt;&gt;"Serviço","",IF(AUTOEVENTO="manual",$A537,IF(ISERROR(MATCH($A537,$A$15:OFFSET($A537,-1,0),0)),MAX($M$15:OFFSET(M537,-1,0))+1,INDEX($M$15:OFFSET(M537,-1,0),MATCH($A537,$A$15:OFFSET($A537,-1,0),0)))))</f>
        <v>56</v>
      </c>
      <c r="N537" s="177" t="str">
        <f ca="1">IF($D537&lt;&gt;"Serviço","",IF(AUTOEVENTO="Manual",IF($A537=0,"&lt;-- defina o número do agrupador",OFFSET(EVENTOS!$D$14,$A537,0)),OFFSET($F$15,$A537,0)))</f>
        <v>INSTALAÇÃO ELÉTRICA 110V - DISPOSITIVOS ELÉTRICOS</v>
      </c>
      <c r="O537" s="178"/>
      <c r="Q537" s="178">
        <v>27</v>
      </c>
      <c r="R537" s="179"/>
      <c r="S537" s="179"/>
      <c r="T537" s="179"/>
      <c r="U537" s="179"/>
      <c r="V537" s="179"/>
      <c r="W537" s="179"/>
      <c r="X537" s="179"/>
      <c r="Y537" s="179"/>
      <c r="Z537" s="180"/>
      <c r="AA537" s="179"/>
      <c r="AB537" s="179"/>
      <c r="AC537" s="179"/>
      <c r="AD537" s="179"/>
      <c r="AE537" s="179"/>
      <c r="AF537" s="179"/>
      <c r="AG537" s="179"/>
      <c r="AH537" s="180"/>
      <c r="AJ537" s="544">
        <f ca="1">IF(AND($D537="Serviço",AJ$12&lt;&gt;0,$H537&gt;0,OR(AUTOEVENTO&lt;&gt;"manual",$M537&lt;&gt;1)),
IF(Import.TipoArredondamento&lt;&gt;"TransfereGOV",
ROUND(OFFSET($P537,0,AJ$13),15-13*ORÇAMENTO!$AF$7)/$H537*OFFSET(ORÇAMENTO!$X$15,ROW(AJ537)-ROW(AJ$15),0),
ROUND(ROUND(OFFSET($P537,0,AJ$13),15-13*ORÇAMENTO!$AF$7)*OFFSET(ORÇAMENTO!$W$15,ROW(AJ537)-ROW(AJ$15),0),15-13*ORÇAMENTO!$AF$11)),0)</f>
        <v>0</v>
      </c>
      <c r="AK537" s="545">
        <f ca="1">IF(AND($D537="Serviço",AK$12&lt;&gt;0,$H537&gt;0,OR(AUTOEVENTO&lt;&gt;"manual",$M537&lt;&gt;1)),
IF(Import.TipoArredondamento&lt;&gt;"TransfereGOV",
ROUND(OFFSET($P537,0,AK$13),15-13*ORÇAMENTO!$AF$7)/$H537*OFFSET(ORÇAMENTO!$X$15,ROW(AK537)-ROW(AK$15),0),
ROUND(ROUND(OFFSET($P537,0,AK$13),15-13*ORÇAMENTO!$AF$7)*OFFSET(ORÇAMENTO!$W$15,ROW(AK537)-ROW(AK$15),0),15-13*ORÇAMENTO!$AF$11)),0)</f>
        <v>0</v>
      </c>
      <c r="AL537" s="545">
        <f ca="1">IF(AND($D537="Serviço",AL$12&lt;&gt;0,$H537&gt;0,OR(AUTOEVENTO&lt;&gt;"manual",$M537&lt;&gt;1)),
IF(Import.TipoArredondamento&lt;&gt;"TransfereGOV",
ROUND(OFFSET($P537,0,AL$13),15-13*ORÇAMENTO!$AF$7)/$H537*OFFSET(ORÇAMENTO!$X$15,ROW(AL537)-ROW(AL$15),0),
ROUND(ROUND(OFFSET($P537,0,AL$13),15-13*ORÇAMENTO!$AF$7)*OFFSET(ORÇAMENTO!$W$15,ROW(AL537)-ROW(AL$15),0),15-13*ORÇAMENTO!$AF$11)),0)</f>
        <v>0</v>
      </c>
      <c r="AM537" s="545">
        <f ca="1">IF(AND($D537="Serviço",AM$12&lt;&gt;0,$H537&gt;0,OR(AUTOEVENTO&lt;&gt;"manual",$M537&lt;&gt;1)),
IF(Import.TipoArredondamento&lt;&gt;"TransfereGOV",
ROUND(OFFSET($P537,0,AM$13),15-13*ORÇAMENTO!$AF$7)/$H537*OFFSET(ORÇAMENTO!$X$15,ROW(AM537)-ROW(AM$15),0),
ROUND(ROUND(OFFSET($P537,0,AM$13),15-13*ORÇAMENTO!$AF$7)*OFFSET(ORÇAMENTO!$W$15,ROW(AM537)-ROW(AM$15),0),15-13*ORÇAMENTO!$AF$11)),0)</f>
        <v>0</v>
      </c>
      <c r="AN537" s="545">
        <f ca="1">IF(AND($D537="Serviço",AN$12&lt;&gt;0,$H537&gt;0,OR(AUTOEVENTO&lt;&gt;"manual",$M537&lt;&gt;1)),
IF(Import.TipoArredondamento&lt;&gt;"TransfereGOV",
ROUND(OFFSET($P537,0,AN$13),15-13*ORÇAMENTO!$AF$7)/$H537*OFFSET(ORÇAMENTO!$X$15,ROW(AN537)-ROW(AN$15),0),
ROUND(ROUND(OFFSET($P537,0,AN$13),15-13*ORÇAMENTO!$AF$7)*OFFSET(ORÇAMENTO!$W$15,ROW(AN537)-ROW(AN$15),0),15-13*ORÇAMENTO!$AF$11)),0)</f>
        <v>0</v>
      </c>
      <c r="AO537" s="545">
        <f ca="1">IF(AND($D537="Serviço",AO$12&lt;&gt;0,$H537&gt;0,OR(AUTOEVENTO&lt;&gt;"manual",$M537&lt;&gt;1)),
IF(Import.TipoArredondamento&lt;&gt;"TransfereGOV",
ROUND(OFFSET($P537,0,AO$13),15-13*ORÇAMENTO!$AF$7)/$H537*OFFSET(ORÇAMENTO!$X$15,ROW(AO537)-ROW(AO$15),0),
ROUND(ROUND(OFFSET($P537,0,AO$13),15-13*ORÇAMENTO!$AF$7)*OFFSET(ORÇAMENTO!$W$15,ROW(AO537)-ROW(AO$15),0),15-13*ORÇAMENTO!$AF$11)),0)</f>
        <v>0</v>
      </c>
      <c r="AP537" s="545">
        <f ca="1">IF(AND($D537="Serviço",AP$12&lt;&gt;0,$H537&gt;0,OR(AUTOEVENTO&lt;&gt;"manual",$M537&lt;&gt;1)),
IF(Import.TipoArredondamento&lt;&gt;"TransfereGOV",
ROUND(OFFSET($P537,0,AP$13),15-13*ORÇAMENTO!$AF$7)/$H537*OFFSET(ORÇAMENTO!$X$15,ROW(AP537)-ROW(AP$15),0),
ROUND(ROUND(OFFSET($P537,0,AP$13),15-13*ORÇAMENTO!$AF$7)*OFFSET(ORÇAMENTO!$W$15,ROW(AP537)-ROW(AP$15),0),15-13*ORÇAMENTO!$AF$11)),0)</f>
        <v>0</v>
      </c>
      <c r="AQ537" s="545">
        <f ca="1">IF(AND($D537="Serviço",AQ$12&lt;&gt;0,$H537&gt;0,OR(AUTOEVENTO&lt;&gt;"manual",$M537&lt;&gt;1)),
IF(Import.TipoArredondamento&lt;&gt;"TransfereGOV",
ROUND(OFFSET($P537,0,AQ$13),15-13*ORÇAMENTO!$AF$7)/$H537*OFFSET(ORÇAMENTO!$X$15,ROW(AQ537)-ROW(AQ$15),0),
ROUND(ROUND(OFFSET($P537,0,AQ$13),15-13*ORÇAMENTO!$AF$7)*OFFSET(ORÇAMENTO!$W$15,ROW(AQ537)-ROW(AQ$15),0),15-13*ORÇAMENTO!$AF$11)),0)</f>
        <v>0</v>
      </c>
      <c r="AR537" s="545">
        <f ca="1">IF(AND($D537="Serviço",AR$12&lt;&gt;0,$H537&gt;0,OR(AUTOEVENTO&lt;&gt;"manual",$M537&lt;&gt;1)),
IF(Import.TipoArredondamento&lt;&gt;"TransfereGOV",
ROUND(OFFSET($P537,0,AR$13),15-13*ORÇAMENTO!$AF$7)/$H537*OFFSET(ORÇAMENTO!$X$15,ROW(AR537)-ROW(AR$15),0),
ROUND(ROUND(OFFSET($P537,0,AR$13),15-13*ORÇAMENTO!$AF$7)*OFFSET(ORÇAMENTO!$W$15,ROW(AR537)-ROW(AR$15),0),15-13*ORÇAMENTO!$AF$11)),0)</f>
        <v>0</v>
      </c>
      <c r="AS537" s="546">
        <f ca="1">IF(AND($D537="Serviço",AS$12&lt;&gt;0,$H537&gt;0,OR(AUTOEVENTO&lt;&gt;"manual",$M537&lt;&gt;1)),
IF(Import.TipoArredondamento&lt;&gt;"TransfereGOV",
ROUND(OFFSET($P537,0,AS$13),15-13*ORÇAMENTO!$AF$7)/$H537*OFFSET(ORÇAMENTO!$X$15,ROW(AS537)-ROW(AS$15),0),
ROUND(ROUND(OFFSET($P537,0,AS$13),15-13*ORÇAMENTO!$AF$7)*OFFSET(ORÇAMENTO!$W$15,ROW(AS537)-ROW(AS$15),0),15-13*ORÇAMENTO!$AF$11)),0)</f>
        <v>0</v>
      </c>
      <c r="AT537" s="545">
        <f ca="1">IF(AND($D537="Serviço",AT$12&lt;&gt;0,$H537&gt;0,OR(AUTOEVENTO&lt;&gt;"manual",$M537&lt;&gt;1)),
IF(Import.TipoArredondamento&lt;&gt;"TransfereGOV",
ROUND(OFFSET($P537,0,AT$13),15-13*ORÇAMENTO!$AF$7)/$H537*OFFSET(ORÇAMENTO!$X$15,ROW(AT537)-ROW(AT$15),0),
ROUND(ROUND(OFFSET($P537,0,AT$13),15-13*ORÇAMENTO!$AF$7)*OFFSET(ORÇAMENTO!$W$15,ROW(AT537)-ROW(AT$15),0),15-13*ORÇAMENTO!$AF$11)),0)</f>
        <v>0</v>
      </c>
      <c r="AU537" s="545">
        <f ca="1">IF(AND($D537="Serviço",AU$12&lt;&gt;0,$H537&gt;0,OR(AUTOEVENTO&lt;&gt;"manual",$M537&lt;&gt;1)),
IF(Import.TipoArredondamento&lt;&gt;"TransfereGOV",
ROUND(OFFSET($P537,0,AU$13),15-13*ORÇAMENTO!$AF$7)/$H537*OFFSET(ORÇAMENTO!$X$15,ROW(AU537)-ROW(AU$15),0),
ROUND(ROUND(OFFSET($P537,0,AU$13),15-13*ORÇAMENTO!$AF$7)*OFFSET(ORÇAMENTO!$W$15,ROW(AU537)-ROW(AU$15),0),15-13*ORÇAMENTO!$AF$11)),0)</f>
        <v>0</v>
      </c>
      <c r="AV537" s="545">
        <f ca="1">IF(AND($D537="Serviço",AV$12&lt;&gt;0,$H537&gt;0,OR(AUTOEVENTO&lt;&gt;"manual",$M537&lt;&gt;1)),
IF(Import.TipoArredondamento&lt;&gt;"TransfereGOV",
ROUND(OFFSET($P537,0,AV$13),15-13*ORÇAMENTO!$AF$7)/$H537*OFFSET(ORÇAMENTO!$X$15,ROW(AV537)-ROW(AV$15),0),
ROUND(ROUND(OFFSET($P537,0,AV$13),15-13*ORÇAMENTO!$AF$7)*OFFSET(ORÇAMENTO!$W$15,ROW(AV537)-ROW(AV$15),0),15-13*ORÇAMENTO!$AF$11)),0)</f>
        <v>0</v>
      </c>
      <c r="AW537" s="545">
        <f ca="1">IF(AND($D537="Serviço",AW$12&lt;&gt;0,$H537&gt;0,OR(AUTOEVENTO&lt;&gt;"manual",$M537&lt;&gt;1)),
IF(Import.TipoArredondamento&lt;&gt;"TransfereGOV",
ROUND(OFFSET($P537,0,AW$13),15-13*ORÇAMENTO!$AF$7)/$H537*OFFSET(ORÇAMENTO!$X$15,ROW(AW537)-ROW(AW$15),0),
ROUND(ROUND(OFFSET($P537,0,AW$13),15-13*ORÇAMENTO!$AF$7)*OFFSET(ORÇAMENTO!$W$15,ROW(AW537)-ROW(AW$15),0),15-13*ORÇAMENTO!$AF$11)),0)</f>
        <v>0</v>
      </c>
      <c r="AX537" s="545">
        <f ca="1">IF(AND($D537="Serviço",AX$12&lt;&gt;0,$H537&gt;0,OR(AUTOEVENTO&lt;&gt;"manual",$M537&lt;&gt;1)),
IF(Import.TipoArredondamento&lt;&gt;"TransfereGOV",
ROUND(OFFSET($P537,0,AX$13),15-13*ORÇAMENTO!$AF$7)/$H537*OFFSET(ORÇAMENTO!$X$15,ROW(AX537)-ROW(AX$15),0),
ROUND(ROUND(OFFSET($P537,0,AX$13),15-13*ORÇAMENTO!$AF$7)*OFFSET(ORÇAMENTO!$W$15,ROW(AX537)-ROW(AX$15),0),15-13*ORÇAMENTO!$AF$11)),0)</f>
        <v>0</v>
      </c>
      <c r="AY537" s="545">
        <f ca="1">IF(AND($D537="Serviço",AY$12&lt;&gt;0,$H537&gt;0,OR(AUTOEVENTO&lt;&gt;"manual",$M537&lt;&gt;1)),
IF(Import.TipoArredondamento&lt;&gt;"TransfereGOV",
ROUND(OFFSET($P537,0,AY$13),15-13*ORÇAMENTO!$AF$7)/$H537*OFFSET(ORÇAMENTO!$X$15,ROW(AY537)-ROW(AY$15),0),
ROUND(ROUND(OFFSET($P537,0,AY$13),15-13*ORÇAMENTO!$AF$7)*OFFSET(ORÇAMENTO!$W$15,ROW(AY537)-ROW(AY$15),0),15-13*ORÇAMENTO!$AF$11)),0)</f>
        <v>0</v>
      </c>
      <c r="AZ537" s="545">
        <f ca="1">IF(AND($D537="Serviço",AZ$12&lt;&gt;0,$H537&gt;0,OR(AUTOEVENTO&lt;&gt;"manual",$M537&lt;&gt;1)),
IF(Import.TipoArredondamento&lt;&gt;"TransfereGOV",
ROUND(OFFSET($P537,0,AZ$13),15-13*ORÇAMENTO!$AF$7)/$H537*OFFSET(ORÇAMENTO!$X$15,ROW(AZ537)-ROW(AZ$15),0),
ROUND(ROUND(OFFSET($P537,0,AZ$13),15-13*ORÇAMENTO!$AF$7)*OFFSET(ORÇAMENTO!$W$15,ROW(AZ537)-ROW(AZ$15),0),15-13*ORÇAMENTO!$AF$11)),0)</f>
        <v>0</v>
      </c>
      <c r="BA537" s="546">
        <f ca="1">IF(AND($D537="Serviço",BA$12&lt;&gt;0,$H537&gt;0,OR(AUTOEVENTO&lt;&gt;"manual",$M537&lt;&gt;1)),
IF(Import.TipoArredondamento&lt;&gt;"TransfereGOV",
ROUND(OFFSET($P537,0,BA$13),15-13*ORÇAMENTO!$AF$7)/$H537*OFFSET(ORÇAMENTO!$X$15,ROW(BA537)-ROW(BA$15),0),
ROUND(ROUND(OFFSET($P537,0,BA$13),15-13*ORÇAMENTO!$AF$7)*OFFSET(ORÇAMENTO!$W$15,ROW(BA537)-ROW(BA$15),0),15-13*ORÇAMENTO!$AF$11)),0)</f>
        <v>0</v>
      </c>
      <c r="BC537" s="181">
        <f ca="1">IF($D537&lt;&gt;"Serviço",0,IF(AND(AUTOEVENTO="Manual",$M537=1),0,IF(OFFSET(CRONOPLE!$F$14,$M537,BC$13)="",10^12,OFFSET(CRONOPLE!$F$14,$M537,BC$13))))</f>
        <v>10</v>
      </c>
      <c r="BD537" s="181">
        <f ca="1">IF($D537&lt;&gt;"Serviço",0,IF(AND(AUTOEVENTO="Manual",$M537=1),0,IF(OFFSET(CRONOPLE!$F$14,$M537,BD$13)="",10^12,OFFSET(CRONOPLE!$F$14,$M537,BD$13))))</f>
        <v>1000000000000</v>
      </c>
      <c r="BE537" s="181">
        <f ca="1">IF($D537&lt;&gt;"Serviço",0,IF(AND(AUTOEVENTO="Manual",$M537=1),0,IF(OFFSET(CRONOPLE!$F$14,$M537,BE$13)="",10^12,OFFSET(CRONOPLE!$F$14,$M537,BE$13))))</f>
        <v>1000000000000</v>
      </c>
      <c r="BF537" s="181">
        <f ca="1">IF($D537&lt;&gt;"Serviço",0,IF(AND(AUTOEVENTO="Manual",$M537=1),0,IF(OFFSET(CRONOPLE!$F$14,$M537,BF$13)="",10^12,OFFSET(CRONOPLE!$F$14,$M537,BF$13))))</f>
        <v>1000000000000</v>
      </c>
      <c r="BG537" s="181">
        <f ca="1">IF($D537&lt;&gt;"Serviço",0,IF(AND(AUTOEVENTO="Manual",$M537=1),0,IF(OFFSET(CRONOPLE!$F$14,$M537,BG$13)="",10^12,OFFSET(CRONOPLE!$F$14,$M537,BG$13))))</f>
        <v>1000000000000</v>
      </c>
      <c r="BH537" s="181">
        <f ca="1">IF($D537&lt;&gt;"Serviço",0,IF(AND(AUTOEVENTO="Manual",$M537=1),0,IF(OFFSET(CRONOPLE!$F$14,$M537,BH$13)="",10^12,OFFSET(CRONOPLE!$F$14,$M537,BH$13))))</f>
        <v>1000000000000</v>
      </c>
      <c r="BI537" s="181">
        <f ca="1">IF($D537&lt;&gt;"Serviço",0,IF(AND(AUTOEVENTO="Manual",$M537=1),0,IF(OFFSET(CRONOPLE!$F$14,$M537,BI$13)="",10^12,OFFSET(CRONOPLE!$F$14,$M537,BI$13))))</f>
        <v>1000000000000</v>
      </c>
      <c r="BJ537" s="181">
        <f ca="1">IF($D537&lt;&gt;"Serviço",0,IF(AND(AUTOEVENTO="Manual",$M537=1),0,IF(OFFSET(CRONOPLE!$F$14,$M537,BJ$13)="",10^12,OFFSET(CRONOPLE!$F$14,$M537,BJ$13))))</f>
        <v>1000000000000</v>
      </c>
      <c r="BK537" s="181">
        <f ca="1">IF($D537&lt;&gt;"Serviço",0,IF(AND(AUTOEVENTO="Manual",$M537=1),0,IF(OFFSET(CRONOPLE!$F$14,$M537,BK$13)="",10^12,OFFSET(CRONOPLE!$F$14,$M537,BK$13))))</f>
        <v>1000000000000</v>
      </c>
      <c r="BL537" s="181">
        <f ca="1">IF($D537&lt;&gt;"Serviço",0,IF(AND(AUTOEVENTO="Manual",$M537=1),0,IF(OFFSET(CRONOPLE!$F$14,$M537,BL$13)="",10^12,OFFSET(CRONOPLE!$F$14,$M537,BL$13))))</f>
        <v>1000000000000</v>
      </c>
      <c r="BM537" s="181">
        <f ca="1">IF($D537&lt;&gt;"Serviço",0,IF(AND(AUTOEVENTO="Manual",$M537=1),0,IF(OFFSET(CRONOPLE!$F$14,$M537,BM$13)="",10^12,OFFSET(CRONOPLE!$F$14,$M537,BM$13))))</f>
        <v>1000000000000</v>
      </c>
      <c r="BN537" s="181">
        <f ca="1">IF($D537&lt;&gt;"Serviço",0,IF(AND(AUTOEVENTO="Manual",$M537=1),0,IF(OFFSET(CRONOPLE!$F$14,$M537,BN$13)="",10^12,OFFSET(CRONOPLE!$F$14,$M537,BN$13))))</f>
        <v>1000000000000</v>
      </c>
      <c r="BO537" s="181">
        <f ca="1">IF($D537&lt;&gt;"Serviço",0,IF(AND(AUTOEVENTO="Manual",$M537=1),0,IF(OFFSET(CRONOPLE!$F$14,$M537,BO$13)="",10^12,OFFSET(CRONOPLE!$F$14,$M537,BO$13))))</f>
        <v>1000000000000</v>
      </c>
      <c r="BP537" s="181">
        <f ca="1">IF($D537&lt;&gt;"Serviço",0,IF(AND(AUTOEVENTO="Manual",$M537=1),0,IF(OFFSET(CRONOPLE!$F$14,$M537,BP$13)="",10^12,OFFSET(CRONOPLE!$F$14,$M537,BP$13))))</f>
        <v>1000000000000</v>
      </c>
      <c r="BQ537" s="181">
        <f ca="1">IF($D537&lt;&gt;"Serviço",0,IF(AND(AUTOEVENTO="Manual",$M537=1),0,IF(OFFSET(CRONOPLE!$F$14,$M537,BQ$13)="",10^12,OFFSET(CRONOPLE!$F$14,$M537,BQ$13))))</f>
        <v>1000000000000</v>
      </c>
      <c r="BR537" s="181">
        <f ca="1">IF($D537&lt;&gt;"Serviço",0,IF(AND(AUTOEVENTO="Manual",$M537=1),0,IF(OFFSET(CRONOPLE!$F$14,$M537,BR$13)="",10^12,OFFSET(CRONOPLE!$F$14,$M537,BR$13))))</f>
        <v>1000000000000</v>
      </c>
      <c r="BS537" s="181">
        <f ca="1">IF($D537&lt;&gt;"Serviço",0,IF(AND(AUTOEVENTO="Manual",$M537=1),0,IF(OFFSET(CRONOPLE!$F$14,$M537,BS$13)="",10^12,OFFSET(CRONOPLE!$F$14,$M537,BS$13))))</f>
        <v>1000000000000</v>
      </c>
      <c r="BT537" s="181">
        <f ca="1">IF($D537&lt;&gt;"Serviço",0,IF(AND(AUTOEVENTO="Manual",$M537=1),0,IF(OFFSET(CRONOPLE!$F$14,$M537,BT$13)="",10^12,OFFSET(CRONOPLE!$F$14,$M537,BT$13))))</f>
        <v>1000000000000</v>
      </c>
      <c r="BV537" s="182">
        <f ca="1">IF($D537&lt;&gt;"Serviço",0,IF(OR(AND(AUTOEVENTO="Manual",$M537=1),$M537&gt;(ROW(PLE.lastrow)-ROW(PLE.firstrow))),0,IF(OFFSET(PLE!$G$14,$M537,BV$13)="",10^12,OFFSET(PLE!$G$14,$M537,BV$13))))</f>
        <v>1000000000000</v>
      </c>
      <c r="BW537" s="182">
        <f ca="1">IF($D537&lt;&gt;"Serviço",0,IF(OR(AND(AUTOEVENTO="Manual",$M537=1),$M537&gt;(ROW(PLE.lastrow)-ROW(PLE.firstrow))),0,IF(OFFSET(PLE!$G$14,$M537,BW$13)="",10^12,OFFSET(PLE!$G$14,$M537,BW$13))))</f>
        <v>1000000000000</v>
      </c>
      <c r="BX537" s="182">
        <f ca="1">IF($D537&lt;&gt;"Serviço",0,IF(OR(AND(AUTOEVENTO="Manual",$M537=1),$M537&gt;(ROW(PLE.lastrow)-ROW(PLE.firstrow))),0,IF(OFFSET(PLE!$G$14,$M537,BX$13)="",10^12,OFFSET(PLE!$G$14,$M537,BX$13))))</f>
        <v>1000000000000</v>
      </c>
      <c r="BY537" s="182">
        <f ca="1">IF($D537&lt;&gt;"Serviço",0,IF(OR(AND(AUTOEVENTO="Manual",$M537=1),$M537&gt;(ROW(PLE.lastrow)-ROW(PLE.firstrow))),0,IF(OFFSET(PLE!$G$14,$M537,BY$13)="",10^12,OFFSET(PLE!$G$14,$M537,BY$13))))</f>
        <v>1000000000000</v>
      </c>
      <c r="BZ537" s="182">
        <f ca="1">IF($D537&lt;&gt;"Serviço",0,IF(OR(AND(AUTOEVENTO="Manual",$M537=1),$M537&gt;(ROW(PLE.lastrow)-ROW(PLE.firstrow))),0,IF(OFFSET(PLE!$G$14,$M537,BZ$13)="",10^12,OFFSET(PLE!$G$14,$M537,BZ$13))))</f>
        <v>1000000000000</v>
      </c>
      <c r="CA537" s="182">
        <f ca="1">IF($D537&lt;&gt;"Serviço",0,IF(OR(AND(AUTOEVENTO="Manual",$M537=1),$M537&gt;(ROW(PLE.lastrow)-ROW(PLE.firstrow))),0,IF(OFFSET(PLE!$G$14,$M537,CA$13)="",10^12,OFFSET(PLE!$G$14,$M537,CA$13))))</f>
        <v>1000000000000</v>
      </c>
      <c r="CB537" s="182">
        <f ca="1">IF($D537&lt;&gt;"Serviço",0,IF(OR(AND(AUTOEVENTO="Manual",$M537=1),$M537&gt;(ROW(PLE.lastrow)-ROW(PLE.firstrow))),0,IF(OFFSET(PLE!$G$14,$M537,CB$13)="",10^12,OFFSET(PLE!$G$14,$M537,CB$13))))</f>
        <v>1000000000000</v>
      </c>
      <c r="CC537" s="182">
        <f ca="1">IF($D537&lt;&gt;"Serviço",0,IF(OR(AND(AUTOEVENTO="Manual",$M537=1),$M537&gt;(ROW(PLE.lastrow)-ROW(PLE.firstrow))),0,IF(OFFSET(PLE!$G$14,$M537,CC$13)="",10^12,OFFSET(PLE!$G$14,$M537,CC$13))))</f>
        <v>1000000000000</v>
      </c>
      <c r="CD537" s="182">
        <f ca="1">IF($D537&lt;&gt;"Serviço",0,IF(OR(AND(AUTOEVENTO="Manual",$M537=1),$M537&gt;(ROW(PLE.lastrow)-ROW(PLE.firstrow))),0,IF(OFFSET(PLE!$G$14,$M537,CD$13)="",10^12,OFFSET(PLE!$G$14,$M537,CD$13))))</f>
        <v>1000000000000</v>
      </c>
      <c r="CE537" s="182">
        <f ca="1">IF($D537&lt;&gt;"Serviço",0,IF(OR(AND(AUTOEVENTO="Manual",$M537=1),$M537&gt;(ROW(PLE.lastrow)-ROW(PLE.firstrow))),0,IF(OFFSET(PLE!$G$14,$M537,CE$13)="",10^12,OFFSET(PLE!$G$14,$M537,CE$13))))</f>
        <v>1000000000000</v>
      </c>
      <c r="CF537" s="182">
        <f ca="1">IF($D537&lt;&gt;"Serviço",0,IF(OR(AND(AUTOEVENTO="Manual",$M537=1),$M537&gt;(ROW(PLE.lastrow)-ROW(PLE.firstrow))),0,IF(OFFSET(PLE!$G$14,$M537,CF$13)="",10^12,OFFSET(PLE!$G$14,$M537,CF$13))))</f>
        <v>1000000000000</v>
      </c>
      <c r="CG537" s="182">
        <f ca="1">IF($D537&lt;&gt;"Serviço",0,IF(OR(AND(AUTOEVENTO="Manual",$M537=1),$M537&gt;(ROW(PLE.lastrow)-ROW(PLE.firstrow))),0,IF(OFFSET(PLE!$G$14,$M537,CG$13)="",10^12,OFFSET(PLE!$G$14,$M537,CG$13))))</f>
        <v>1000000000000</v>
      </c>
      <c r="CH537" s="182">
        <f ca="1">IF($D537&lt;&gt;"Serviço",0,IF(OR(AND(AUTOEVENTO="Manual",$M537=1),$M537&gt;(ROW(PLE.lastrow)-ROW(PLE.firstrow))),0,IF(OFFSET(PLE!$G$14,$M537,CH$13)="",10^12,OFFSET(PLE!$G$14,$M537,CH$13))))</f>
        <v>1000000000000</v>
      </c>
      <c r="CI537" s="182">
        <f ca="1">IF($D537&lt;&gt;"Serviço",0,IF(OR(AND(AUTOEVENTO="Manual",$M537=1),$M537&gt;(ROW(PLE.lastrow)-ROW(PLE.firstrow))),0,IF(OFFSET(PLE!$G$14,$M537,CI$13)="",10^12,OFFSET(PLE!$G$14,$M537,CI$13))))</f>
        <v>1000000000000</v>
      </c>
      <c r="CJ537" s="182">
        <f ca="1">IF($D537&lt;&gt;"Serviço",0,IF(OR(AND(AUTOEVENTO="Manual",$M537=1),$M537&gt;(ROW(PLE.lastrow)-ROW(PLE.firstrow))),0,IF(OFFSET(PLE!$G$14,$M537,CJ$13)="",10^12,OFFSET(PLE!$G$14,$M537,CJ$13))))</f>
        <v>1000000000000</v>
      </c>
      <c r="CK537" s="182">
        <f ca="1">IF($D537&lt;&gt;"Serviço",0,IF(OR(AND(AUTOEVENTO="Manual",$M537=1),$M537&gt;(ROW(PLE.lastrow)-ROW(PLE.firstrow))),0,IF(OFFSET(PLE!$G$14,$M537,CK$13)="",10^12,OFFSET(PLE!$G$14,$M537,CK$13))))</f>
        <v>1000000000000</v>
      </c>
      <c r="CL537" s="182">
        <f ca="1">IF($D537&lt;&gt;"Serviço",0,IF(OR(AND(AUTOEVENTO="Manual",$M537=1),$M537&gt;(ROW(PLE.lastrow)-ROW(PLE.firstrow))),0,IF(OFFSET(PLE!$G$14,$M537,CL$13)="",10^12,OFFSET(PLE!$G$14,$M537,CL$13))))</f>
        <v>1000000000000</v>
      </c>
      <c r="CM537" s="182">
        <f ca="1">IF($D537&lt;&gt;"Serviço",0,IF(OR(AND(AUTOEVENTO="Manual",$M537=1),$M537&gt;(ROW(PLE.lastrow)-ROW(PLE.firstrow))),0,IF(OFFSET(PLE!$G$14,$M537,CM$13)="",10^12,OFFSET(PLE!$G$14,$M537,CM$13))))</f>
        <v>1000000000000</v>
      </c>
    </row>
    <row r="538" spans="1:91" ht="38.25" x14ac:dyDescent="0.2">
      <c r="A538" s="7" t="str">
        <f t="shared" ca="1" si="17"/>
        <v>515</v>
      </c>
      <c r="B538" s="7" t="str">
        <f ca="1">OFFSET(ORÇAMENTO!C$15,ROW(B538)-ROW(B$15),0)</f>
        <v>S</v>
      </c>
      <c r="C538" s="7" t="str">
        <f ca="1">OFFSET(ORÇAMENTO!L$15,ROW(C538)-ROW(C$15),0)</f>
        <v/>
      </c>
      <c r="D538" s="118" t="str">
        <f ca="1">OFFSET(ORÇAMENTO!N$15,ROW(D538)-ROW(D$15),0)</f>
        <v>Serviço</v>
      </c>
      <c r="E538" s="119" t="str">
        <f ca="1">OFFSET(ORÇAMENTO!O$15,ROW(E538)-ROW(E$15),0)</f>
        <v>-</v>
      </c>
      <c r="F538" s="172" t="str">
        <f ca="1">OFFSET(ORÇAMENTO!R$15,ROW(F538)-ROW(F$15),0)</f>
        <v>(abra o arquivo 'Referência 06-2024.xlsm)</v>
      </c>
      <c r="G538" s="173" t="str">
        <f ca="1">IF($D538&lt;&gt;"Serviço","",OFFSET(ORÇAMENTO!S$15,ROW(G538)-ROW(G$15),0))</f>
        <v>-</v>
      </c>
      <c r="H538" s="124">
        <f ca="1">IF($D538&lt;&gt;"Serviço",0,IF(ACOMPANHAMENTO="BM",ROUND(OFFSET(ORÇAMENTO!AJ$15,ROW(H538)-ROW(H$15),0),15-13*ORÇAMENTO!$AF$7),SUMPRODUCT(($Q$12:$AI$12&lt;&gt;"")*ROUND($Q538:$AI538,15-13*ORÇAMENTO!$AF$7))))</f>
        <v>14</v>
      </c>
      <c r="I538" s="561" t="s">
        <v>1107</v>
      </c>
      <c r="K538" s="174"/>
      <c r="L538" s="175" t="s">
        <v>255</v>
      </c>
      <c r="M538" s="176">
        <f ca="1">IF($D538&lt;&gt;"Serviço","",IF(AUTOEVENTO="manual",$A538,IF(ISERROR(MATCH($A538,$A$15:OFFSET($A538,-1,0),0)),MAX($M$15:OFFSET(M538,-1,0))+1,INDEX($M$15:OFFSET(M538,-1,0),MATCH($A538,$A$15:OFFSET($A538,-1,0),0)))))</f>
        <v>56</v>
      </c>
      <c r="N538" s="177" t="str">
        <f ca="1">IF($D538&lt;&gt;"Serviço","",IF(AUTOEVENTO="Manual",IF($A538=0,"&lt;-- defina o número do agrupador",OFFSET(EVENTOS!$D$14,$A538,0)),OFFSET($F$15,$A538,0)))</f>
        <v>INSTALAÇÃO ELÉTRICA 110V - DISPOSITIVOS ELÉTRICOS</v>
      </c>
      <c r="O538" s="178"/>
      <c r="Q538" s="178">
        <v>14</v>
      </c>
      <c r="R538" s="179"/>
      <c r="S538" s="179"/>
      <c r="T538" s="179"/>
      <c r="U538" s="179"/>
      <c r="V538" s="179"/>
      <c r="W538" s="179"/>
      <c r="X538" s="179"/>
      <c r="Y538" s="179"/>
      <c r="Z538" s="180"/>
      <c r="AA538" s="179"/>
      <c r="AB538" s="179"/>
      <c r="AC538" s="179"/>
      <c r="AD538" s="179"/>
      <c r="AE538" s="179"/>
      <c r="AF538" s="179"/>
      <c r="AG538" s="179"/>
      <c r="AH538" s="180"/>
      <c r="AJ538" s="544">
        <f ca="1">IF(AND($D538="Serviço",AJ$12&lt;&gt;0,$H538&gt;0,OR(AUTOEVENTO&lt;&gt;"manual",$M538&lt;&gt;1)),
IF(Import.TipoArredondamento&lt;&gt;"TransfereGOV",
ROUND(OFFSET($P538,0,AJ$13),15-13*ORÇAMENTO!$AF$7)/$H538*OFFSET(ORÇAMENTO!$X$15,ROW(AJ538)-ROW(AJ$15),0),
ROUND(ROUND(OFFSET($P538,0,AJ$13),15-13*ORÇAMENTO!$AF$7)*OFFSET(ORÇAMENTO!$W$15,ROW(AJ538)-ROW(AJ$15),0),15-13*ORÇAMENTO!$AF$11)),0)</f>
        <v>0</v>
      </c>
      <c r="AK538" s="545">
        <f ca="1">IF(AND($D538="Serviço",AK$12&lt;&gt;0,$H538&gt;0,OR(AUTOEVENTO&lt;&gt;"manual",$M538&lt;&gt;1)),
IF(Import.TipoArredondamento&lt;&gt;"TransfereGOV",
ROUND(OFFSET($P538,0,AK$13),15-13*ORÇAMENTO!$AF$7)/$H538*OFFSET(ORÇAMENTO!$X$15,ROW(AK538)-ROW(AK$15),0),
ROUND(ROUND(OFFSET($P538,0,AK$13),15-13*ORÇAMENTO!$AF$7)*OFFSET(ORÇAMENTO!$W$15,ROW(AK538)-ROW(AK$15),0),15-13*ORÇAMENTO!$AF$11)),0)</f>
        <v>0</v>
      </c>
      <c r="AL538" s="545">
        <f ca="1">IF(AND($D538="Serviço",AL$12&lt;&gt;0,$H538&gt;0,OR(AUTOEVENTO&lt;&gt;"manual",$M538&lt;&gt;1)),
IF(Import.TipoArredondamento&lt;&gt;"TransfereGOV",
ROUND(OFFSET($P538,0,AL$13),15-13*ORÇAMENTO!$AF$7)/$H538*OFFSET(ORÇAMENTO!$X$15,ROW(AL538)-ROW(AL$15),0),
ROUND(ROUND(OFFSET($P538,0,AL$13),15-13*ORÇAMENTO!$AF$7)*OFFSET(ORÇAMENTO!$W$15,ROW(AL538)-ROW(AL$15),0),15-13*ORÇAMENTO!$AF$11)),0)</f>
        <v>0</v>
      </c>
      <c r="AM538" s="545">
        <f ca="1">IF(AND($D538="Serviço",AM$12&lt;&gt;0,$H538&gt;0,OR(AUTOEVENTO&lt;&gt;"manual",$M538&lt;&gt;1)),
IF(Import.TipoArredondamento&lt;&gt;"TransfereGOV",
ROUND(OFFSET($P538,0,AM$13),15-13*ORÇAMENTO!$AF$7)/$H538*OFFSET(ORÇAMENTO!$X$15,ROW(AM538)-ROW(AM$15),0),
ROUND(ROUND(OFFSET($P538,0,AM$13),15-13*ORÇAMENTO!$AF$7)*OFFSET(ORÇAMENTO!$W$15,ROW(AM538)-ROW(AM$15),0),15-13*ORÇAMENTO!$AF$11)),0)</f>
        <v>0</v>
      </c>
      <c r="AN538" s="545">
        <f ca="1">IF(AND($D538="Serviço",AN$12&lt;&gt;0,$H538&gt;0,OR(AUTOEVENTO&lt;&gt;"manual",$M538&lt;&gt;1)),
IF(Import.TipoArredondamento&lt;&gt;"TransfereGOV",
ROUND(OFFSET($P538,0,AN$13),15-13*ORÇAMENTO!$AF$7)/$H538*OFFSET(ORÇAMENTO!$X$15,ROW(AN538)-ROW(AN$15),0),
ROUND(ROUND(OFFSET($P538,0,AN$13),15-13*ORÇAMENTO!$AF$7)*OFFSET(ORÇAMENTO!$W$15,ROW(AN538)-ROW(AN$15),0),15-13*ORÇAMENTO!$AF$11)),0)</f>
        <v>0</v>
      </c>
      <c r="AO538" s="545">
        <f ca="1">IF(AND($D538="Serviço",AO$12&lt;&gt;0,$H538&gt;0,OR(AUTOEVENTO&lt;&gt;"manual",$M538&lt;&gt;1)),
IF(Import.TipoArredondamento&lt;&gt;"TransfereGOV",
ROUND(OFFSET($P538,0,AO$13),15-13*ORÇAMENTO!$AF$7)/$H538*OFFSET(ORÇAMENTO!$X$15,ROW(AO538)-ROW(AO$15),0),
ROUND(ROUND(OFFSET($P538,0,AO$13),15-13*ORÇAMENTO!$AF$7)*OFFSET(ORÇAMENTO!$W$15,ROW(AO538)-ROW(AO$15),0),15-13*ORÇAMENTO!$AF$11)),0)</f>
        <v>0</v>
      </c>
      <c r="AP538" s="545">
        <f ca="1">IF(AND($D538="Serviço",AP$12&lt;&gt;0,$H538&gt;0,OR(AUTOEVENTO&lt;&gt;"manual",$M538&lt;&gt;1)),
IF(Import.TipoArredondamento&lt;&gt;"TransfereGOV",
ROUND(OFFSET($P538,0,AP$13),15-13*ORÇAMENTO!$AF$7)/$H538*OFFSET(ORÇAMENTO!$X$15,ROW(AP538)-ROW(AP$15),0),
ROUND(ROUND(OFFSET($P538,0,AP$13),15-13*ORÇAMENTO!$AF$7)*OFFSET(ORÇAMENTO!$W$15,ROW(AP538)-ROW(AP$15),0),15-13*ORÇAMENTO!$AF$11)),0)</f>
        <v>0</v>
      </c>
      <c r="AQ538" s="545">
        <f ca="1">IF(AND($D538="Serviço",AQ$12&lt;&gt;0,$H538&gt;0,OR(AUTOEVENTO&lt;&gt;"manual",$M538&lt;&gt;1)),
IF(Import.TipoArredondamento&lt;&gt;"TransfereGOV",
ROUND(OFFSET($P538,0,AQ$13),15-13*ORÇAMENTO!$AF$7)/$H538*OFFSET(ORÇAMENTO!$X$15,ROW(AQ538)-ROW(AQ$15),0),
ROUND(ROUND(OFFSET($P538,0,AQ$13),15-13*ORÇAMENTO!$AF$7)*OFFSET(ORÇAMENTO!$W$15,ROW(AQ538)-ROW(AQ$15),0),15-13*ORÇAMENTO!$AF$11)),0)</f>
        <v>0</v>
      </c>
      <c r="AR538" s="545">
        <f ca="1">IF(AND($D538="Serviço",AR$12&lt;&gt;0,$H538&gt;0,OR(AUTOEVENTO&lt;&gt;"manual",$M538&lt;&gt;1)),
IF(Import.TipoArredondamento&lt;&gt;"TransfereGOV",
ROUND(OFFSET($P538,0,AR$13),15-13*ORÇAMENTO!$AF$7)/$H538*OFFSET(ORÇAMENTO!$X$15,ROW(AR538)-ROW(AR$15),0),
ROUND(ROUND(OFFSET($P538,0,AR$13),15-13*ORÇAMENTO!$AF$7)*OFFSET(ORÇAMENTO!$W$15,ROW(AR538)-ROW(AR$15),0),15-13*ORÇAMENTO!$AF$11)),0)</f>
        <v>0</v>
      </c>
      <c r="AS538" s="546">
        <f ca="1">IF(AND($D538="Serviço",AS$12&lt;&gt;0,$H538&gt;0,OR(AUTOEVENTO&lt;&gt;"manual",$M538&lt;&gt;1)),
IF(Import.TipoArredondamento&lt;&gt;"TransfereGOV",
ROUND(OFFSET($P538,0,AS$13),15-13*ORÇAMENTO!$AF$7)/$H538*OFFSET(ORÇAMENTO!$X$15,ROW(AS538)-ROW(AS$15),0),
ROUND(ROUND(OFFSET($P538,0,AS$13),15-13*ORÇAMENTO!$AF$7)*OFFSET(ORÇAMENTO!$W$15,ROW(AS538)-ROW(AS$15),0),15-13*ORÇAMENTO!$AF$11)),0)</f>
        <v>0</v>
      </c>
      <c r="AT538" s="545">
        <f ca="1">IF(AND($D538="Serviço",AT$12&lt;&gt;0,$H538&gt;0,OR(AUTOEVENTO&lt;&gt;"manual",$M538&lt;&gt;1)),
IF(Import.TipoArredondamento&lt;&gt;"TransfereGOV",
ROUND(OFFSET($P538,0,AT$13),15-13*ORÇAMENTO!$AF$7)/$H538*OFFSET(ORÇAMENTO!$X$15,ROW(AT538)-ROW(AT$15),0),
ROUND(ROUND(OFFSET($P538,0,AT$13),15-13*ORÇAMENTO!$AF$7)*OFFSET(ORÇAMENTO!$W$15,ROW(AT538)-ROW(AT$15),0),15-13*ORÇAMENTO!$AF$11)),0)</f>
        <v>0</v>
      </c>
      <c r="AU538" s="545">
        <f ca="1">IF(AND($D538="Serviço",AU$12&lt;&gt;0,$H538&gt;0,OR(AUTOEVENTO&lt;&gt;"manual",$M538&lt;&gt;1)),
IF(Import.TipoArredondamento&lt;&gt;"TransfereGOV",
ROUND(OFFSET($P538,0,AU$13),15-13*ORÇAMENTO!$AF$7)/$H538*OFFSET(ORÇAMENTO!$X$15,ROW(AU538)-ROW(AU$15),0),
ROUND(ROUND(OFFSET($P538,0,AU$13),15-13*ORÇAMENTO!$AF$7)*OFFSET(ORÇAMENTO!$W$15,ROW(AU538)-ROW(AU$15),0),15-13*ORÇAMENTO!$AF$11)),0)</f>
        <v>0</v>
      </c>
      <c r="AV538" s="545">
        <f ca="1">IF(AND($D538="Serviço",AV$12&lt;&gt;0,$H538&gt;0,OR(AUTOEVENTO&lt;&gt;"manual",$M538&lt;&gt;1)),
IF(Import.TipoArredondamento&lt;&gt;"TransfereGOV",
ROUND(OFFSET($P538,0,AV$13),15-13*ORÇAMENTO!$AF$7)/$H538*OFFSET(ORÇAMENTO!$X$15,ROW(AV538)-ROW(AV$15),0),
ROUND(ROUND(OFFSET($P538,0,AV$13),15-13*ORÇAMENTO!$AF$7)*OFFSET(ORÇAMENTO!$W$15,ROW(AV538)-ROW(AV$15),0),15-13*ORÇAMENTO!$AF$11)),0)</f>
        <v>0</v>
      </c>
      <c r="AW538" s="545">
        <f ca="1">IF(AND($D538="Serviço",AW$12&lt;&gt;0,$H538&gt;0,OR(AUTOEVENTO&lt;&gt;"manual",$M538&lt;&gt;1)),
IF(Import.TipoArredondamento&lt;&gt;"TransfereGOV",
ROUND(OFFSET($P538,0,AW$13),15-13*ORÇAMENTO!$AF$7)/$H538*OFFSET(ORÇAMENTO!$X$15,ROW(AW538)-ROW(AW$15),0),
ROUND(ROUND(OFFSET($P538,0,AW$13),15-13*ORÇAMENTO!$AF$7)*OFFSET(ORÇAMENTO!$W$15,ROW(AW538)-ROW(AW$15),0),15-13*ORÇAMENTO!$AF$11)),0)</f>
        <v>0</v>
      </c>
      <c r="AX538" s="545">
        <f ca="1">IF(AND($D538="Serviço",AX$12&lt;&gt;0,$H538&gt;0,OR(AUTOEVENTO&lt;&gt;"manual",$M538&lt;&gt;1)),
IF(Import.TipoArredondamento&lt;&gt;"TransfereGOV",
ROUND(OFFSET($P538,0,AX$13),15-13*ORÇAMENTO!$AF$7)/$H538*OFFSET(ORÇAMENTO!$X$15,ROW(AX538)-ROW(AX$15),0),
ROUND(ROUND(OFFSET($P538,0,AX$13),15-13*ORÇAMENTO!$AF$7)*OFFSET(ORÇAMENTO!$W$15,ROW(AX538)-ROW(AX$15),0),15-13*ORÇAMENTO!$AF$11)),0)</f>
        <v>0</v>
      </c>
      <c r="AY538" s="545">
        <f ca="1">IF(AND($D538="Serviço",AY$12&lt;&gt;0,$H538&gt;0,OR(AUTOEVENTO&lt;&gt;"manual",$M538&lt;&gt;1)),
IF(Import.TipoArredondamento&lt;&gt;"TransfereGOV",
ROUND(OFFSET($P538,0,AY$13),15-13*ORÇAMENTO!$AF$7)/$H538*OFFSET(ORÇAMENTO!$X$15,ROW(AY538)-ROW(AY$15),0),
ROUND(ROUND(OFFSET($P538,0,AY$13),15-13*ORÇAMENTO!$AF$7)*OFFSET(ORÇAMENTO!$W$15,ROW(AY538)-ROW(AY$15),0),15-13*ORÇAMENTO!$AF$11)),0)</f>
        <v>0</v>
      </c>
      <c r="AZ538" s="545">
        <f ca="1">IF(AND($D538="Serviço",AZ$12&lt;&gt;0,$H538&gt;0,OR(AUTOEVENTO&lt;&gt;"manual",$M538&lt;&gt;1)),
IF(Import.TipoArredondamento&lt;&gt;"TransfereGOV",
ROUND(OFFSET($P538,0,AZ$13),15-13*ORÇAMENTO!$AF$7)/$H538*OFFSET(ORÇAMENTO!$X$15,ROW(AZ538)-ROW(AZ$15),0),
ROUND(ROUND(OFFSET($P538,0,AZ$13),15-13*ORÇAMENTO!$AF$7)*OFFSET(ORÇAMENTO!$W$15,ROW(AZ538)-ROW(AZ$15),0),15-13*ORÇAMENTO!$AF$11)),0)</f>
        <v>0</v>
      </c>
      <c r="BA538" s="546">
        <f ca="1">IF(AND($D538="Serviço",BA$12&lt;&gt;0,$H538&gt;0,OR(AUTOEVENTO&lt;&gt;"manual",$M538&lt;&gt;1)),
IF(Import.TipoArredondamento&lt;&gt;"TransfereGOV",
ROUND(OFFSET($P538,0,BA$13),15-13*ORÇAMENTO!$AF$7)/$H538*OFFSET(ORÇAMENTO!$X$15,ROW(BA538)-ROW(BA$15),0),
ROUND(ROUND(OFFSET($P538,0,BA$13),15-13*ORÇAMENTO!$AF$7)*OFFSET(ORÇAMENTO!$W$15,ROW(BA538)-ROW(BA$15),0),15-13*ORÇAMENTO!$AF$11)),0)</f>
        <v>0</v>
      </c>
      <c r="BC538" s="181">
        <f ca="1">IF($D538&lt;&gt;"Serviço",0,IF(AND(AUTOEVENTO="Manual",$M538=1),0,IF(OFFSET(CRONOPLE!$F$14,$M538,BC$13)="",10^12,OFFSET(CRONOPLE!$F$14,$M538,BC$13))))</f>
        <v>10</v>
      </c>
      <c r="BD538" s="181">
        <f ca="1">IF($D538&lt;&gt;"Serviço",0,IF(AND(AUTOEVENTO="Manual",$M538=1),0,IF(OFFSET(CRONOPLE!$F$14,$M538,BD$13)="",10^12,OFFSET(CRONOPLE!$F$14,$M538,BD$13))))</f>
        <v>1000000000000</v>
      </c>
      <c r="BE538" s="181">
        <f ca="1">IF($D538&lt;&gt;"Serviço",0,IF(AND(AUTOEVENTO="Manual",$M538=1),0,IF(OFFSET(CRONOPLE!$F$14,$M538,BE$13)="",10^12,OFFSET(CRONOPLE!$F$14,$M538,BE$13))))</f>
        <v>1000000000000</v>
      </c>
      <c r="BF538" s="181">
        <f ca="1">IF($D538&lt;&gt;"Serviço",0,IF(AND(AUTOEVENTO="Manual",$M538=1),0,IF(OFFSET(CRONOPLE!$F$14,$M538,BF$13)="",10^12,OFFSET(CRONOPLE!$F$14,$M538,BF$13))))</f>
        <v>1000000000000</v>
      </c>
      <c r="BG538" s="181">
        <f ca="1">IF($D538&lt;&gt;"Serviço",0,IF(AND(AUTOEVENTO="Manual",$M538=1),0,IF(OFFSET(CRONOPLE!$F$14,$M538,BG$13)="",10^12,OFFSET(CRONOPLE!$F$14,$M538,BG$13))))</f>
        <v>1000000000000</v>
      </c>
      <c r="BH538" s="181">
        <f ca="1">IF($D538&lt;&gt;"Serviço",0,IF(AND(AUTOEVENTO="Manual",$M538=1),0,IF(OFFSET(CRONOPLE!$F$14,$M538,BH$13)="",10^12,OFFSET(CRONOPLE!$F$14,$M538,BH$13))))</f>
        <v>1000000000000</v>
      </c>
      <c r="BI538" s="181">
        <f ca="1">IF($D538&lt;&gt;"Serviço",0,IF(AND(AUTOEVENTO="Manual",$M538=1),0,IF(OFFSET(CRONOPLE!$F$14,$M538,BI$13)="",10^12,OFFSET(CRONOPLE!$F$14,$M538,BI$13))))</f>
        <v>1000000000000</v>
      </c>
      <c r="BJ538" s="181">
        <f ca="1">IF($D538&lt;&gt;"Serviço",0,IF(AND(AUTOEVENTO="Manual",$M538=1),0,IF(OFFSET(CRONOPLE!$F$14,$M538,BJ$13)="",10^12,OFFSET(CRONOPLE!$F$14,$M538,BJ$13))))</f>
        <v>1000000000000</v>
      </c>
      <c r="BK538" s="181">
        <f ca="1">IF($D538&lt;&gt;"Serviço",0,IF(AND(AUTOEVENTO="Manual",$M538=1),0,IF(OFFSET(CRONOPLE!$F$14,$M538,BK$13)="",10^12,OFFSET(CRONOPLE!$F$14,$M538,BK$13))))</f>
        <v>1000000000000</v>
      </c>
      <c r="BL538" s="181">
        <f ca="1">IF($D538&lt;&gt;"Serviço",0,IF(AND(AUTOEVENTO="Manual",$M538=1),0,IF(OFFSET(CRONOPLE!$F$14,$M538,BL$13)="",10^12,OFFSET(CRONOPLE!$F$14,$M538,BL$13))))</f>
        <v>1000000000000</v>
      </c>
      <c r="BM538" s="181">
        <f ca="1">IF($D538&lt;&gt;"Serviço",0,IF(AND(AUTOEVENTO="Manual",$M538=1),0,IF(OFFSET(CRONOPLE!$F$14,$M538,BM$13)="",10^12,OFFSET(CRONOPLE!$F$14,$M538,BM$13))))</f>
        <v>1000000000000</v>
      </c>
      <c r="BN538" s="181">
        <f ca="1">IF($D538&lt;&gt;"Serviço",0,IF(AND(AUTOEVENTO="Manual",$M538=1),0,IF(OFFSET(CRONOPLE!$F$14,$M538,BN$13)="",10^12,OFFSET(CRONOPLE!$F$14,$M538,BN$13))))</f>
        <v>1000000000000</v>
      </c>
      <c r="BO538" s="181">
        <f ca="1">IF($D538&lt;&gt;"Serviço",0,IF(AND(AUTOEVENTO="Manual",$M538=1),0,IF(OFFSET(CRONOPLE!$F$14,$M538,BO$13)="",10^12,OFFSET(CRONOPLE!$F$14,$M538,BO$13))))</f>
        <v>1000000000000</v>
      </c>
      <c r="BP538" s="181">
        <f ca="1">IF($D538&lt;&gt;"Serviço",0,IF(AND(AUTOEVENTO="Manual",$M538=1),0,IF(OFFSET(CRONOPLE!$F$14,$M538,BP$13)="",10^12,OFFSET(CRONOPLE!$F$14,$M538,BP$13))))</f>
        <v>1000000000000</v>
      </c>
      <c r="BQ538" s="181">
        <f ca="1">IF($D538&lt;&gt;"Serviço",0,IF(AND(AUTOEVENTO="Manual",$M538=1),0,IF(OFFSET(CRONOPLE!$F$14,$M538,BQ$13)="",10^12,OFFSET(CRONOPLE!$F$14,$M538,BQ$13))))</f>
        <v>1000000000000</v>
      </c>
      <c r="BR538" s="181">
        <f ca="1">IF($D538&lt;&gt;"Serviço",0,IF(AND(AUTOEVENTO="Manual",$M538=1),0,IF(OFFSET(CRONOPLE!$F$14,$M538,BR$13)="",10^12,OFFSET(CRONOPLE!$F$14,$M538,BR$13))))</f>
        <v>1000000000000</v>
      </c>
      <c r="BS538" s="181">
        <f ca="1">IF($D538&lt;&gt;"Serviço",0,IF(AND(AUTOEVENTO="Manual",$M538=1),0,IF(OFFSET(CRONOPLE!$F$14,$M538,BS$13)="",10^12,OFFSET(CRONOPLE!$F$14,$M538,BS$13))))</f>
        <v>1000000000000</v>
      </c>
      <c r="BT538" s="181">
        <f ca="1">IF($D538&lt;&gt;"Serviço",0,IF(AND(AUTOEVENTO="Manual",$M538=1),0,IF(OFFSET(CRONOPLE!$F$14,$M538,BT$13)="",10^12,OFFSET(CRONOPLE!$F$14,$M538,BT$13))))</f>
        <v>1000000000000</v>
      </c>
      <c r="BV538" s="182">
        <f ca="1">IF($D538&lt;&gt;"Serviço",0,IF(OR(AND(AUTOEVENTO="Manual",$M538=1),$M538&gt;(ROW(PLE.lastrow)-ROW(PLE.firstrow))),0,IF(OFFSET(PLE!$G$14,$M538,BV$13)="",10^12,OFFSET(PLE!$G$14,$M538,BV$13))))</f>
        <v>1000000000000</v>
      </c>
      <c r="BW538" s="182">
        <f ca="1">IF($D538&lt;&gt;"Serviço",0,IF(OR(AND(AUTOEVENTO="Manual",$M538=1),$M538&gt;(ROW(PLE.lastrow)-ROW(PLE.firstrow))),0,IF(OFFSET(PLE!$G$14,$M538,BW$13)="",10^12,OFFSET(PLE!$G$14,$M538,BW$13))))</f>
        <v>1000000000000</v>
      </c>
      <c r="BX538" s="182">
        <f ca="1">IF($D538&lt;&gt;"Serviço",0,IF(OR(AND(AUTOEVENTO="Manual",$M538=1),$M538&gt;(ROW(PLE.lastrow)-ROW(PLE.firstrow))),0,IF(OFFSET(PLE!$G$14,$M538,BX$13)="",10^12,OFFSET(PLE!$G$14,$M538,BX$13))))</f>
        <v>1000000000000</v>
      </c>
      <c r="BY538" s="182">
        <f ca="1">IF($D538&lt;&gt;"Serviço",0,IF(OR(AND(AUTOEVENTO="Manual",$M538=1),$M538&gt;(ROW(PLE.lastrow)-ROW(PLE.firstrow))),0,IF(OFFSET(PLE!$G$14,$M538,BY$13)="",10^12,OFFSET(PLE!$G$14,$M538,BY$13))))</f>
        <v>1000000000000</v>
      </c>
      <c r="BZ538" s="182">
        <f ca="1">IF($D538&lt;&gt;"Serviço",0,IF(OR(AND(AUTOEVENTO="Manual",$M538=1),$M538&gt;(ROW(PLE.lastrow)-ROW(PLE.firstrow))),0,IF(OFFSET(PLE!$G$14,$M538,BZ$13)="",10^12,OFFSET(PLE!$G$14,$M538,BZ$13))))</f>
        <v>1000000000000</v>
      </c>
      <c r="CA538" s="182">
        <f ca="1">IF($D538&lt;&gt;"Serviço",0,IF(OR(AND(AUTOEVENTO="Manual",$M538=1),$M538&gt;(ROW(PLE.lastrow)-ROW(PLE.firstrow))),0,IF(OFFSET(PLE!$G$14,$M538,CA$13)="",10^12,OFFSET(PLE!$G$14,$M538,CA$13))))</f>
        <v>1000000000000</v>
      </c>
      <c r="CB538" s="182">
        <f ca="1">IF($D538&lt;&gt;"Serviço",0,IF(OR(AND(AUTOEVENTO="Manual",$M538=1),$M538&gt;(ROW(PLE.lastrow)-ROW(PLE.firstrow))),0,IF(OFFSET(PLE!$G$14,$M538,CB$13)="",10^12,OFFSET(PLE!$G$14,$M538,CB$13))))</f>
        <v>1000000000000</v>
      </c>
      <c r="CC538" s="182">
        <f ca="1">IF($D538&lt;&gt;"Serviço",0,IF(OR(AND(AUTOEVENTO="Manual",$M538=1),$M538&gt;(ROW(PLE.lastrow)-ROW(PLE.firstrow))),0,IF(OFFSET(PLE!$G$14,$M538,CC$13)="",10^12,OFFSET(PLE!$G$14,$M538,CC$13))))</f>
        <v>1000000000000</v>
      </c>
      <c r="CD538" s="182">
        <f ca="1">IF($D538&lt;&gt;"Serviço",0,IF(OR(AND(AUTOEVENTO="Manual",$M538=1),$M538&gt;(ROW(PLE.lastrow)-ROW(PLE.firstrow))),0,IF(OFFSET(PLE!$G$14,$M538,CD$13)="",10^12,OFFSET(PLE!$G$14,$M538,CD$13))))</f>
        <v>1000000000000</v>
      </c>
      <c r="CE538" s="182">
        <f ca="1">IF($D538&lt;&gt;"Serviço",0,IF(OR(AND(AUTOEVENTO="Manual",$M538=1),$M538&gt;(ROW(PLE.lastrow)-ROW(PLE.firstrow))),0,IF(OFFSET(PLE!$G$14,$M538,CE$13)="",10^12,OFFSET(PLE!$G$14,$M538,CE$13))))</f>
        <v>1000000000000</v>
      </c>
      <c r="CF538" s="182">
        <f ca="1">IF($D538&lt;&gt;"Serviço",0,IF(OR(AND(AUTOEVENTO="Manual",$M538=1),$M538&gt;(ROW(PLE.lastrow)-ROW(PLE.firstrow))),0,IF(OFFSET(PLE!$G$14,$M538,CF$13)="",10^12,OFFSET(PLE!$G$14,$M538,CF$13))))</f>
        <v>1000000000000</v>
      </c>
      <c r="CG538" s="182">
        <f ca="1">IF($D538&lt;&gt;"Serviço",0,IF(OR(AND(AUTOEVENTO="Manual",$M538=1),$M538&gt;(ROW(PLE.lastrow)-ROW(PLE.firstrow))),0,IF(OFFSET(PLE!$G$14,$M538,CG$13)="",10^12,OFFSET(PLE!$G$14,$M538,CG$13))))</f>
        <v>1000000000000</v>
      </c>
      <c r="CH538" s="182">
        <f ca="1">IF($D538&lt;&gt;"Serviço",0,IF(OR(AND(AUTOEVENTO="Manual",$M538=1),$M538&gt;(ROW(PLE.lastrow)-ROW(PLE.firstrow))),0,IF(OFFSET(PLE!$G$14,$M538,CH$13)="",10^12,OFFSET(PLE!$G$14,$M538,CH$13))))</f>
        <v>1000000000000</v>
      </c>
      <c r="CI538" s="182">
        <f ca="1">IF($D538&lt;&gt;"Serviço",0,IF(OR(AND(AUTOEVENTO="Manual",$M538=1),$M538&gt;(ROW(PLE.lastrow)-ROW(PLE.firstrow))),0,IF(OFFSET(PLE!$G$14,$M538,CI$13)="",10^12,OFFSET(PLE!$G$14,$M538,CI$13))))</f>
        <v>1000000000000</v>
      </c>
      <c r="CJ538" s="182">
        <f ca="1">IF($D538&lt;&gt;"Serviço",0,IF(OR(AND(AUTOEVENTO="Manual",$M538=1),$M538&gt;(ROW(PLE.lastrow)-ROW(PLE.firstrow))),0,IF(OFFSET(PLE!$G$14,$M538,CJ$13)="",10^12,OFFSET(PLE!$G$14,$M538,CJ$13))))</f>
        <v>1000000000000</v>
      </c>
      <c r="CK538" s="182">
        <f ca="1">IF($D538&lt;&gt;"Serviço",0,IF(OR(AND(AUTOEVENTO="Manual",$M538=1),$M538&gt;(ROW(PLE.lastrow)-ROW(PLE.firstrow))),0,IF(OFFSET(PLE!$G$14,$M538,CK$13)="",10^12,OFFSET(PLE!$G$14,$M538,CK$13))))</f>
        <v>1000000000000</v>
      </c>
      <c r="CL538" s="182">
        <f ca="1">IF($D538&lt;&gt;"Serviço",0,IF(OR(AND(AUTOEVENTO="Manual",$M538=1),$M538&gt;(ROW(PLE.lastrow)-ROW(PLE.firstrow))),0,IF(OFFSET(PLE!$G$14,$M538,CL$13)="",10^12,OFFSET(PLE!$G$14,$M538,CL$13))))</f>
        <v>1000000000000</v>
      </c>
      <c r="CM538" s="182">
        <f ca="1">IF($D538&lt;&gt;"Serviço",0,IF(OR(AND(AUTOEVENTO="Manual",$M538=1),$M538&gt;(ROW(PLE.lastrow)-ROW(PLE.firstrow))),0,IF(OFFSET(PLE!$G$14,$M538,CM$13)="",10^12,OFFSET(PLE!$G$14,$M538,CM$13))))</f>
        <v>1000000000000</v>
      </c>
    </row>
    <row r="539" spans="1:91" ht="38.25" x14ac:dyDescent="0.2">
      <c r="A539" s="7" t="str">
        <f t="shared" ca="1" si="17"/>
        <v>515</v>
      </c>
      <c r="B539" s="7" t="str">
        <f ca="1">OFFSET(ORÇAMENTO!C$15,ROW(B539)-ROW(B$15),0)</f>
        <v>S</v>
      </c>
      <c r="C539" s="7" t="str">
        <f ca="1">OFFSET(ORÇAMENTO!L$15,ROW(C539)-ROW(C$15),0)</f>
        <v/>
      </c>
      <c r="D539" s="118" t="str">
        <f ca="1">OFFSET(ORÇAMENTO!N$15,ROW(D539)-ROW(D$15),0)</f>
        <v>Serviço</v>
      </c>
      <c r="E539" s="119" t="str">
        <f ca="1">OFFSET(ORÇAMENTO!O$15,ROW(E539)-ROW(E$15),0)</f>
        <v>-</v>
      </c>
      <c r="F539" s="172" t="str">
        <f ca="1">OFFSET(ORÇAMENTO!R$15,ROW(F539)-ROW(F$15),0)</f>
        <v>(abra o arquivo 'Referência 06-2024.xlsm)</v>
      </c>
      <c r="G539" s="173" t="str">
        <f ca="1">IF($D539&lt;&gt;"Serviço","",OFFSET(ORÇAMENTO!S$15,ROW(G539)-ROW(G$15),0))</f>
        <v>-</v>
      </c>
      <c r="H539" s="124">
        <f ca="1">IF($D539&lt;&gt;"Serviço",0,IF(ACOMPANHAMENTO="BM",ROUND(OFFSET(ORÇAMENTO!AJ$15,ROW(H539)-ROW(H$15),0),15-13*ORÇAMENTO!$AF$7),SUMPRODUCT(($Q$12:$AI$12&lt;&gt;"")*ROUND($Q539:$AI539,15-13*ORÇAMENTO!$AF$7))))</f>
        <v>1</v>
      </c>
      <c r="I539" s="561" t="s">
        <v>1107</v>
      </c>
      <c r="K539" s="174"/>
      <c r="L539" s="175" t="s">
        <v>255</v>
      </c>
      <c r="M539" s="176">
        <f ca="1">IF($D539&lt;&gt;"Serviço","",IF(AUTOEVENTO="manual",$A539,IF(ISERROR(MATCH($A539,$A$15:OFFSET($A539,-1,0),0)),MAX($M$15:OFFSET(M539,-1,0))+1,INDEX($M$15:OFFSET(M539,-1,0),MATCH($A539,$A$15:OFFSET($A539,-1,0),0)))))</f>
        <v>56</v>
      </c>
      <c r="N539" s="177" t="str">
        <f ca="1">IF($D539&lt;&gt;"Serviço","",IF(AUTOEVENTO="Manual",IF($A539=0,"&lt;-- defina o número do agrupador",OFFSET(EVENTOS!$D$14,$A539,0)),OFFSET($F$15,$A539,0)))</f>
        <v>INSTALAÇÃO ELÉTRICA 110V - DISPOSITIVOS ELÉTRICOS</v>
      </c>
      <c r="O539" s="178"/>
      <c r="Q539" s="178">
        <v>1</v>
      </c>
      <c r="R539" s="179"/>
      <c r="S539" s="179"/>
      <c r="T539" s="179"/>
      <c r="U539" s="179"/>
      <c r="V539" s="179"/>
      <c r="W539" s="179"/>
      <c r="X539" s="179"/>
      <c r="Y539" s="179"/>
      <c r="Z539" s="180"/>
      <c r="AA539" s="179"/>
      <c r="AB539" s="179"/>
      <c r="AC539" s="179"/>
      <c r="AD539" s="179"/>
      <c r="AE539" s="179"/>
      <c r="AF539" s="179"/>
      <c r="AG539" s="179"/>
      <c r="AH539" s="180"/>
      <c r="AJ539" s="544">
        <f ca="1">IF(AND($D539="Serviço",AJ$12&lt;&gt;0,$H539&gt;0,OR(AUTOEVENTO&lt;&gt;"manual",$M539&lt;&gt;1)),
IF(Import.TipoArredondamento&lt;&gt;"TransfereGOV",
ROUND(OFFSET($P539,0,AJ$13),15-13*ORÇAMENTO!$AF$7)/$H539*OFFSET(ORÇAMENTO!$X$15,ROW(AJ539)-ROW(AJ$15),0),
ROUND(ROUND(OFFSET($P539,0,AJ$13),15-13*ORÇAMENTO!$AF$7)*OFFSET(ORÇAMENTO!$W$15,ROW(AJ539)-ROW(AJ$15),0),15-13*ORÇAMENTO!$AF$11)),0)</f>
        <v>0</v>
      </c>
      <c r="AK539" s="545">
        <f ca="1">IF(AND($D539="Serviço",AK$12&lt;&gt;0,$H539&gt;0,OR(AUTOEVENTO&lt;&gt;"manual",$M539&lt;&gt;1)),
IF(Import.TipoArredondamento&lt;&gt;"TransfereGOV",
ROUND(OFFSET($P539,0,AK$13),15-13*ORÇAMENTO!$AF$7)/$H539*OFFSET(ORÇAMENTO!$X$15,ROW(AK539)-ROW(AK$15),0),
ROUND(ROUND(OFFSET($P539,0,AK$13),15-13*ORÇAMENTO!$AF$7)*OFFSET(ORÇAMENTO!$W$15,ROW(AK539)-ROW(AK$15),0),15-13*ORÇAMENTO!$AF$11)),0)</f>
        <v>0</v>
      </c>
      <c r="AL539" s="545">
        <f ca="1">IF(AND($D539="Serviço",AL$12&lt;&gt;0,$H539&gt;0,OR(AUTOEVENTO&lt;&gt;"manual",$M539&lt;&gt;1)),
IF(Import.TipoArredondamento&lt;&gt;"TransfereGOV",
ROUND(OFFSET($P539,0,AL$13),15-13*ORÇAMENTO!$AF$7)/$H539*OFFSET(ORÇAMENTO!$X$15,ROW(AL539)-ROW(AL$15),0),
ROUND(ROUND(OFFSET($P539,0,AL$13),15-13*ORÇAMENTO!$AF$7)*OFFSET(ORÇAMENTO!$W$15,ROW(AL539)-ROW(AL$15),0),15-13*ORÇAMENTO!$AF$11)),0)</f>
        <v>0</v>
      </c>
      <c r="AM539" s="545">
        <f ca="1">IF(AND($D539="Serviço",AM$12&lt;&gt;0,$H539&gt;0,OR(AUTOEVENTO&lt;&gt;"manual",$M539&lt;&gt;1)),
IF(Import.TipoArredondamento&lt;&gt;"TransfereGOV",
ROUND(OFFSET($P539,0,AM$13),15-13*ORÇAMENTO!$AF$7)/$H539*OFFSET(ORÇAMENTO!$X$15,ROW(AM539)-ROW(AM$15),0),
ROUND(ROUND(OFFSET($P539,0,AM$13),15-13*ORÇAMENTO!$AF$7)*OFFSET(ORÇAMENTO!$W$15,ROW(AM539)-ROW(AM$15),0),15-13*ORÇAMENTO!$AF$11)),0)</f>
        <v>0</v>
      </c>
      <c r="AN539" s="545">
        <f ca="1">IF(AND($D539="Serviço",AN$12&lt;&gt;0,$H539&gt;0,OR(AUTOEVENTO&lt;&gt;"manual",$M539&lt;&gt;1)),
IF(Import.TipoArredondamento&lt;&gt;"TransfereGOV",
ROUND(OFFSET($P539,0,AN$13),15-13*ORÇAMENTO!$AF$7)/$H539*OFFSET(ORÇAMENTO!$X$15,ROW(AN539)-ROW(AN$15),0),
ROUND(ROUND(OFFSET($P539,0,AN$13),15-13*ORÇAMENTO!$AF$7)*OFFSET(ORÇAMENTO!$W$15,ROW(AN539)-ROW(AN$15),0),15-13*ORÇAMENTO!$AF$11)),0)</f>
        <v>0</v>
      </c>
      <c r="AO539" s="545">
        <f ca="1">IF(AND($D539="Serviço",AO$12&lt;&gt;0,$H539&gt;0,OR(AUTOEVENTO&lt;&gt;"manual",$M539&lt;&gt;1)),
IF(Import.TipoArredondamento&lt;&gt;"TransfereGOV",
ROUND(OFFSET($P539,0,AO$13),15-13*ORÇAMENTO!$AF$7)/$H539*OFFSET(ORÇAMENTO!$X$15,ROW(AO539)-ROW(AO$15),0),
ROUND(ROUND(OFFSET($P539,0,AO$13),15-13*ORÇAMENTO!$AF$7)*OFFSET(ORÇAMENTO!$W$15,ROW(AO539)-ROW(AO$15),0),15-13*ORÇAMENTO!$AF$11)),0)</f>
        <v>0</v>
      </c>
      <c r="AP539" s="545">
        <f ca="1">IF(AND($D539="Serviço",AP$12&lt;&gt;0,$H539&gt;0,OR(AUTOEVENTO&lt;&gt;"manual",$M539&lt;&gt;1)),
IF(Import.TipoArredondamento&lt;&gt;"TransfereGOV",
ROUND(OFFSET($P539,0,AP$13),15-13*ORÇAMENTO!$AF$7)/$H539*OFFSET(ORÇAMENTO!$X$15,ROW(AP539)-ROW(AP$15),0),
ROUND(ROUND(OFFSET($P539,0,AP$13),15-13*ORÇAMENTO!$AF$7)*OFFSET(ORÇAMENTO!$W$15,ROW(AP539)-ROW(AP$15),0),15-13*ORÇAMENTO!$AF$11)),0)</f>
        <v>0</v>
      </c>
      <c r="AQ539" s="545">
        <f ca="1">IF(AND($D539="Serviço",AQ$12&lt;&gt;0,$H539&gt;0,OR(AUTOEVENTO&lt;&gt;"manual",$M539&lt;&gt;1)),
IF(Import.TipoArredondamento&lt;&gt;"TransfereGOV",
ROUND(OFFSET($P539,0,AQ$13),15-13*ORÇAMENTO!$AF$7)/$H539*OFFSET(ORÇAMENTO!$X$15,ROW(AQ539)-ROW(AQ$15),0),
ROUND(ROUND(OFFSET($P539,0,AQ$13),15-13*ORÇAMENTO!$AF$7)*OFFSET(ORÇAMENTO!$W$15,ROW(AQ539)-ROW(AQ$15),0),15-13*ORÇAMENTO!$AF$11)),0)</f>
        <v>0</v>
      </c>
      <c r="AR539" s="545">
        <f ca="1">IF(AND($D539="Serviço",AR$12&lt;&gt;0,$H539&gt;0,OR(AUTOEVENTO&lt;&gt;"manual",$M539&lt;&gt;1)),
IF(Import.TipoArredondamento&lt;&gt;"TransfereGOV",
ROUND(OFFSET($P539,0,AR$13),15-13*ORÇAMENTO!$AF$7)/$H539*OFFSET(ORÇAMENTO!$X$15,ROW(AR539)-ROW(AR$15),0),
ROUND(ROUND(OFFSET($P539,0,AR$13),15-13*ORÇAMENTO!$AF$7)*OFFSET(ORÇAMENTO!$W$15,ROW(AR539)-ROW(AR$15),0),15-13*ORÇAMENTO!$AF$11)),0)</f>
        <v>0</v>
      </c>
      <c r="AS539" s="546">
        <f ca="1">IF(AND($D539="Serviço",AS$12&lt;&gt;0,$H539&gt;0,OR(AUTOEVENTO&lt;&gt;"manual",$M539&lt;&gt;1)),
IF(Import.TipoArredondamento&lt;&gt;"TransfereGOV",
ROUND(OFFSET($P539,0,AS$13),15-13*ORÇAMENTO!$AF$7)/$H539*OFFSET(ORÇAMENTO!$X$15,ROW(AS539)-ROW(AS$15),0),
ROUND(ROUND(OFFSET($P539,0,AS$13),15-13*ORÇAMENTO!$AF$7)*OFFSET(ORÇAMENTO!$W$15,ROW(AS539)-ROW(AS$15),0),15-13*ORÇAMENTO!$AF$11)),0)</f>
        <v>0</v>
      </c>
      <c r="AT539" s="545">
        <f ca="1">IF(AND($D539="Serviço",AT$12&lt;&gt;0,$H539&gt;0,OR(AUTOEVENTO&lt;&gt;"manual",$M539&lt;&gt;1)),
IF(Import.TipoArredondamento&lt;&gt;"TransfereGOV",
ROUND(OFFSET($P539,0,AT$13),15-13*ORÇAMENTO!$AF$7)/$H539*OFFSET(ORÇAMENTO!$X$15,ROW(AT539)-ROW(AT$15),0),
ROUND(ROUND(OFFSET($P539,0,AT$13),15-13*ORÇAMENTO!$AF$7)*OFFSET(ORÇAMENTO!$W$15,ROW(AT539)-ROW(AT$15),0),15-13*ORÇAMENTO!$AF$11)),0)</f>
        <v>0</v>
      </c>
      <c r="AU539" s="545">
        <f ca="1">IF(AND($D539="Serviço",AU$12&lt;&gt;0,$H539&gt;0,OR(AUTOEVENTO&lt;&gt;"manual",$M539&lt;&gt;1)),
IF(Import.TipoArredondamento&lt;&gt;"TransfereGOV",
ROUND(OFFSET($P539,0,AU$13),15-13*ORÇAMENTO!$AF$7)/$H539*OFFSET(ORÇAMENTO!$X$15,ROW(AU539)-ROW(AU$15),0),
ROUND(ROUND(OFFSET($P539,0,AU$13),15-13*ORÇAMENTO!$AF$7)*OFFSET(ORÇAMENTO!$W$15,ROW(AU539)-ROW(AU$15),0),15-13*ORÇAMENTO!$AF$11)),0)</f>
        <v>0</v>
      </c>
      <c r="AV539" s="545">
        <f ca="1">IF(AND($D539="Serviço",AV$12&lt;&gt;0,$H539&gt;0,OR(AUTOEVENTO&lt;&gt;"manual",$M539&lt;&gt;1)),
IF(Import.TipoArredondamento&lt;&gt;"TransfereGOV",
ROUND(OFFSET($P539,0,AV$13),15-13*ORÇAMENTO!$AF$7)/$H539*OFFSET(ORÇAMENTO!$X$15,ROW(AV539)-ROW(AV$15),0),
ROUND(ROUND(OFFSET($P539,0,AV$13),15-13*ORÇAMENTO!$AF$7)*OFFSET(ORÇAMENTO!$W$15,ROW(AV539)-ROW(AV$15),0),15-13*ORÇAMENTO!$AF$11)),0)</f>
        <v>0</v>
      </c>
      <c r="AW539" s="545">
        <f ca="1">IF(AND($D539="Serviço",AW$12&lt;&gt;0,$H539&gt;0,OR(AUTOEVENTO&lt;&gt;"manual",$M539&lt;&gt;1)),
IF(Import.TipoArredondamento&lt;&gt;"TransfereGOV",
ROUND(OFFSET($P539,0,AW$13),15-13*ORÇAMENTO!$AF$7)/$H539*OFFSET(ORÇAMENTO!$X$15,ROW(AW539)-ROW(AW$15),0),
ROUND(ROUND(OFFSET($P539,0,AW$13),15-13*ORÇAMENTO!$AF$7)*OFFSET(ORÇAMENTO!$W$15,ROW(AW539)-ROW(AW$15),0),15-13*ORÇAMENTO!$AF$11)),0)</f>
        <v>0</v>
      </c>
      <c r="AX539" s="545">
        <f ca="1">IF(AND($D539="Serviço",AX$12&lt;&gt;0,$H539&gt;0,OR(AUTOEVENTO&lt;&gt;"manual",$M539&lt;&gt;1)),
IF(Import.TipoArredondamento&lt;&gt;"TransfereGOV",
ROUND(OFFSET($P539,0,AX$13),15-13*ORÇAMENTO!$AF$7)/$H539*OFFSET(ORÇAMENTO!$X$15,ROW(AX539)-ROW(AX$15),0),
ROUND(ROUND(OFFSET($P539,0,AX$13),15-13*ORÇAMENTO!$AF$7)*OFFSET(ORÇAMENTO!$W$15,ROW(AX539)-ROW(AX$15),0),15-13*ORÇAMENTO!$AF$11)),0)</f>
        <v>0</v>
      </c>
      <c r="AY539" s="545">
        <f ca="1">IF(AND($D539="Serviço",AY$12&lt;&gt;0,$H539&gt;0,OR(AUTOEVENTO&lt;&gt;"manual",$M539&lt;&gt;1)),
IF(Import.TipoArredondamento&lt;&gt;"TransfereGOV",
ROUND(OFFSET($P539,0,AY$13),15-13*ORÇAMENTO!$AF$7)/$H539*OFFSET(ORÇAMENTO!$X$15,ROW(AY539)-ROW(AY$15),0),
ROUND(ROUND(OFFSET($P539,0,AY$13),15-13*ORÇAMENTO!$AF$7)*OFFSET(ORÇAMENTO!$W$15,ROW(AY539)-ROW(AY$15),0),15-13*ORÇAMENTO!$AF$11)),0)</f>
        <v>0</v>
      </c>
      <c r="AZ539" s="545">
        <f ca="1">IF(AND($D539="Serviço",AZ$12&lt;&gt;0,$H539&gt;0,OR(AUTOEVENTO&lt;&gt;"manual",$M539&lt;&gt;1)),
IF(Import.TipoArredondamento&lt;&gt;"TransfereGOV",
ROUND(OFFSET($P539,0,AZ$13),15-13*ORÇAMENTO!$AF$7)/$H539*OFFSET(ORÇAMENTO!$X$15,ROW(AZ539)-ROW(AZ$15),0),
ROUND(ROUND(OFFSET($P539,0,AZ$13),15-13*ORÇAMENTO!$AF$7)*OFFSET(ORÇAMENTO!$W$15,ROW(AZ539)-ROW(AZ$15),0),15-13*ORÇAMENTO!$AF$11)),0)</f>
        <v>0</v>
      </c>
      <c r="BA539" s="546">
        <f ca="1">IF(AND($D539="Serviço",BA$12&lt;&gt;0,$H539&gt;0,OR(AUTOEVENTO&lt;&gt;"manual",$M539&lt;&gt;1)),
IF(Import.TipoArredondamento&lt;&gt;"TransfereGOV",
ROUND(OFFSET($P539,0,BA$13),15-13*ORÇAMENTO!$AF$7)/$H539*OFFSET(ORÇAMENTO!$X$15,ROW(BA539)-ROW(BA$15),0),
ROUND(ROUND(OFFSET($P539,0,BA$13),15-13*ORÇAMENTO!$AF$7)*OFFSET(ORÇAMENTO!$W$15,ROW(BA539)-ROW(BA$15),0),15-13*ORÇAMENTO!$AF$11)),0)</f>
        <v>0</v>
      </c>
      <c r="BC539" s="181">
        <f ca="1">IF($D539&lt;&gt;"Serviço",0,IF(AND(AUTOEVENTO="Manual",$M539=1),0,IF(OFFSET(CRONOPLE!$F$14,$M539,BC$13)="",10^12,OFFSET(CRONOPLE!$F$14,$M539,BC$13))))</f>
        <v>10</v>
      </c>
      <c r="BD539" s="181">
        <f ca="1">IF($D539&lt;&gt;"Serviço",0,IF(AND(AUTOEVENTO="Manual",$M539=1),0,IF(OFFSET(CRONOPLE!$F$14,$M539,BD$13)="",10^12,OFFSET(CRONOPLE!$F$14,$M539,BD$13))))</f>
        <v>1000000000000</v>
      </c>
      <c r="BE539" s="181">
        <f ca="1">IF($D539&lt;&gt;"Serviço",0,IF(AND(AUTOEVENTO="Manual",$M539=1),0,IF(OFFSET(CRONOPLE!$F$14,$M539,BE$13)="",10^12,OFFSET(CRONOPLE!$F$14,$M539,BE$13))))</f>
        <v>1000000000000</v>
      </c>
      <c r="BF539" s="181">
        <f ca="1">IF($D539&lt;&gt;"Serviço",0,IF(AND(AUTOEVENTO="Manual",$M539=1),0,IF(OFFSET(CRONOPLE!$F$14,$M539,BF$13)="",10^12,OFFSET(CRONOPLE!$F$14,$M539,BF$13))))</f>
        <v>1000000000000</v>
      </c>
      <c r="BG539" s="181">
        <f ca="1">IF($D539&lt;&gt;"Serviço",0,IF(AND(AUTOEVENTO="Manual",$M539=1),0,IF(OFFSET(CRONOPLE!$F$14,$M539,BG$13)="",10^12,OFFSET(CRONOPLE!$F$14,$M539,BG$13))))</f>
        <v>1000000000000</v>
      </c>
      <c r="BH539" s="181">
        <f ca="1">IF($D539&lt;&gt;"Serviço",0,IF(AND(AUTOEVENTO="Manual",$M539=1),0,IF(OFFSET(CRONOPLE!$F$14,$M539,BH$13)="",10^12,OFFSET(CRONOPLE!$F$14,$M539,BH$13))))</f>
        <v>1000000000000</v>
      </c>
      <c r="BI539" s="181">
        <f ca="1">IF($D539&lt;&gt;"Serviço",0,IF(AND(AUTOEVENTO="Manual",$M539=1),0,IF(OFFSET(CRONOPLE!$F$14,$M539,BI$13)="",10^12,OFFSET(CRONOPLE!$F$14,$M539,BI$13))))</f>
        <v>1000000000000</v>
      </c>
      <c r="BJ539" s="181">
        <f ca="1">IF($D539&lt;&gt;"Serviço",0,IF(AND(AUTOEVENTO="Manual",$M539=1),0,IF(OFFSET(CRONOPLE!$F$14,$M539,BJ$13)="",10^12,OFFSET(CRONOPLE!$F$14,$M539,BJ$13))))</f>
        <v>1000000000000</v>
      </c>
      <c r="BK539" s="181">
        <f ca="1">IF($D539&lt;&gt;"Serviço",0,IF(AND(AUTOEVENTO="Manual",$M539=1),0,IF(OFFSET(CRONOPLE!$F$14,$M539,BK$13)="",10^12,OFFSET(CRONOPLE!$F$14,$M539,BK$13))))</f>
        <v>1000000000000</v>
      </c>
      <c r="BL539" s="181">
        <f ca="1">IF($D539&lt;&gt;"Serviço",0,IF(AND(AUTOEVENTO="Manual",$M539=1),0,IF(OFFSET(CRONOPLE!$F$14,$M539,BL$13)="",10^12,OFFSET(CRONOPLE!$F$14,$M539,BL$13))))</f>
        <v>1000000000000</v>
      </c>
      <c r="BM539" s="181">
        <f ca="1">IF($D539&lt;&gt;"Serviço",0,IF(AND(AUTOEVENTO="Manual",$M539=1),0,IF(OFFSET(CRONOPLE!$F$14,$M539,BM$13)="",10^12,OFFSET(CRONOPLE!$F$14,$M539,BM$13))))</f>
        <v>1000000000000</v>
      </c>
      <c r="BN539" s="181">
        <f ca="1">IF($D539&lt;&gt;"Serviço",0,IF(AND(AUTOEVENTO="Manual",$M539=1),0,IF(OFFSET(CRONOPLE!$F$14,$M539,BN$13)="",10^12,OFFSET(CRONOPLE!$F$14,$M539,BN$13))))</f>
        <v>1000000000000</v>
      </c>
      <c r="BO539" s="181">
        <f ca="1">IF($D539&lt;&gt;"Serviço",0,IF(AND(AUTOEVENTO="Manual",$M539=1),0,IF(OFFSET(CRONOPLE!$F$14,$M539,BO$13)="",10^12,OFFSET(CRONOPLE!$F$14,$M539,BO$13))))</f>
        <v>1000000000000</v>
      </c>
      <c r="BP539" s="181">
        <f ca="1">IF($D539&lt;&gt;"Serviço",0,IF(AND(AUTOEVENTO="Manual",$M539=1),0,IF(OFFSET(CRONOPLE!$F$14,$M539,BP$13)="",10^12,OFFSET(CRONOPLE!$F$14,$M539,BP$13))))</f>
        <v>1000000000000</v>
      </c>
      <c r="BQ539" s="181">
        <f ca="1">IF($D539&lt;&gt;"Serviço",0,IF(AND(AUTOEVENTO="Manual",$M539=1),0,IF(OFFSET(CRONOPLE!$F$14,$M539,BQ$13)="",10^12,OFFSET(CRONOPLE!$F$14,$M539,BQ$13))))</f>
        <v>1000000000000</v>
      </c>
      <c r="BR539" s="181">
        <f ca="1">IF($D539&lt;&gt;"Serviço",0,IF(AND(AUTOEVENTO="Manual",$M539=1),0,IF(OFFSET(CRONOPLE!$F$14,$M539,BR$13)="",10^12,OFFSET(CRONOPLE!$F$14,$M539,BR$13))))</f>
        <v>1000000000000</v>
      </c>
      <c r="BS539" s="181">
        <f ca="1">IF($D539&lt;&gt;"Serviço",0,IF(AND(AUTOEVENTO="Manual",$M539=1),0,IF(OFFSET(CRONOPLE!$F$14,$M539,BS$13)="",10^12,OFFSET(CRONOPLE!$F$14,$M539,BS$13))))</f>
        <v>1000000000000</v>
      </c>
      <c r="BT539" s="181">
        <f ca="1">IF($D539&lt;&gt;"Serviço",0,IF(AND(AUTOEVENTO="Manual",$M539=1),0,IF(OFFSET(CRONOPLE!$F$14,$M539,BT$13)="",10^12,OFFSET(CRONOPLE!$F$14,$M539,BT$13))))</f>
        <v>1000000000000</v>
      </c>
      <c r="BV539" s="182">
        <f ca="1">IF($D539&lt;&gt;"Serviço",0,IF(OR(AND(AUTOEVENTO="Manual",$M539=1),$M539&gt;(ROW(PLE.lastrow)-ROW(PLE.firstrow))),0,IF(OFFSET(PLE!$G$14,$M539,BV$13)="",10^12,OFFSET(PLE!$G$14,$M539,BV$13))))</f>
        <v>1000000000000</v>
      </c>
      <c r="BW539" s="182">
        <f ca="1">IF($D539&lt;&gt;"Serviço",0,IF(OR(AND(AUTOEVENTO="Manual",$M539=1),$M539&gt;(ROW(PLE.lastrow)-ROW(PLE.firstrow))),0,IF(OFFSET(PLE!$G$14,$M539,BW$13)="",10^12,OFFSET(PLE!$G$14,$M539,BW$13))))</f>
        <v>1000000000000</v>
      </c>
      <c r="BX539" s="182">
        <f ca="1">IF($D539&lt;&gt;"Serviço",0,IF(OR(AND(AUTOEVENTO="Manual",$M539=1),$M539&gt;(ROW(PLE.lastrow)-ROW(PLE.firstrow))),0,IF(OFFSET(PLE!$G$14,$M539,BX$13)="",10^12,OFFSET(PLE!$G$14,$M539,BX$13))))</f>
        <v>1000000000000</v>
      </c>
      <c r="BY539" s="182">
        <f ca="1">IF($D539&lt;&gt;"Serviço",0,IF(OR(AND(AUTOEVENTO="Manual",$M539=1),$M539&gt;(ROW(PLE.lastrow)-ROW(PLE.firstrow))),0,IF(OFFSET(PLE!$G$14,$M539,BY$13)="",10^12,OFFSET(PLE!$G$14,$M539,BY$13))))</f>
        <v>1000000000000</v>
      </c>
      <c r="BZ539" s="182">
        <f ca="1">IF($D539&lt;&gt;"Serviço",0,IF(OR(AND(AUTOEVENTO="Manual",$M539=1),$M539&gt;(ROW(PLE.lastrow)-ROW(PLE.firstrow))),0,IF(OFFSET(PLE!$G$14,$M539,BZ$13)="",10^12,OFFSET(PLE!$G$14,$M539,BZ$13))))</f>
        <v>1000000000000</v>
      </c>
      <c r="CA539" s="182">
        <f ca="1">IF($D539&lt;&gt;"Serviço",0,IF(OR(AND(AUTOEVENTO="Manual",$M539=1),$M539&gt;(ROW(PLE.lastrow)-ROW(PLE.firstrow))),0,IF(OFFSET(PLE!$G$14,$M539,CA$13)="",10^12,OFFSET(PLE!$G$14,$M539,CA$13))))</f>
        <v>1000000000000</v>
      </c>
      <c r="CB539" s="182">
        <f ca="1">IF($D539&lt;&gt;"Serviço",0,IF(OR(AND(AUTOEVENTO="Manual",$M539=1),$M539&gt;(ROW(PLE.lastrow)-ROW(PLE.firstrow))),0,IF(OFFSET(PLE!$G$14,$M539,CB$13)="",10^12,OFFSET(PLE!$G$14,$M539,CB$13))))</f>
        <v>1000000000000</v>
      </c>
      <c r="CC539" s="182">
        <f ca="1">IF($D539&lt;&gt;"Serviço",0,IF(OR(AND(AUTOEVENTO="Manual",$M539=1),$M539&gt;(ROW(PLE.lastrow)-ROW(PLE.firstrow))),0,IF(OFFSET(PLE!$G$14,$M539,CC$13)="",10^12,OFFSET(PLE!$G$14,$M539,CC$13))))</f>
        <v>1000000000000</v>
      </c>
      <c r="CD539" s="182">
        <f ca="1">IF($D539&lt;&gt;"Serviço",0,IF(OR(AND(AUTOEVENTO="Manual",$M539=1),$M539&gt;(ROW(PLE.lastrow)-ROW(PLE.firstrow))),0,IF(OFFSET(PLE!$G$14,$M539,CD$13)="",10^12,OFFSET(PLE!$G$14,$M539,CD$13))))</f>
        <v>1000000000000</v>
      </c>
      <c r="CE539" s="182">
        <f ca="1">IF($D539&lt;&gt;"Serviço",0,IF(OR(AND(AUTOEVENTO="Manual",$M539=1),$M539&gt;(ROW(PLE.lastrow)-ROW(PLE.firstrow))),0,IF(OFFSET(PLE!$G$14,$M539,CE$13)="",10^12,OFFSET(PLE!$G$14,$M539,CE$13))))</f>
        <v>1000000000000</v>
      </c>
      <c r="CF539" s="182">
        <f ca="1">IF($D539&lt;&gt;"Serviço",0,IF(OR(AND(AUTOEVENTO="Manual",$M539=1),$M539&gt;(ROW(PLE.lastrow)-ROW(PLE.firstrow))),0,IF(OFFSET(PLE!$G$14,$M539,CF$13)="",10^12,OFFSET(PLE!$G$14,$M539,CF$13))))</f>
        <v>1000000000000</v>
      </c>
      <c r="CG539" s="182">
        <f ca="1">IF($D539&lt;&gt;"Serviço",0,IF(OR(AND(AUTOEVENTO="Manual",$M539=1),$M539&gt;(ROW(PLE.lastrow)-ROW(PLE.firstrow))),0,IF(OFFSET(PLE!$G$14,$M539,CG$13)="",10^12,OFFSET(PLE!$G$14,$M539,CG$13))))</f>
        <v>1000000000000</v>
      </c>
      <c r="CH539" s="182">
        <f ca="1">IF($D539&lt;&gt;"Serviço",0,IF(OR(AND(AUTOEVENTO="Manual",$M539=1),$M539&gt;(ROW(PLE.lastrow)-ROW(PLE.firstrow))),0,IF(OFFSET(PLE!$G$14,$M539,CH$13)="",10^12,OFFSET(PLE!$G$14,$M539,CH$13))))</f>
        <v>1000000000000</v>
      </c>
      <c r="CI539" s="182">
        <f ca="1">IF($D539&lt;&gt;"Serviço",0,IF(OR(AND(AUTOEVENTO="Manual",$M539=1),$M539&gt;(ROW(PLE.lastrow)-ROW(PLE.firstrow))),0,IF(OFFSET(PLE!$G$14,$M539,CI$13)="",10^12,OFFSET(PLE!$G$14,$M539,CI$13))))</f>
        <v>1000000000000</v>
      </c>
      <c r="CJ539" s="182">
        <f ca="1">IF($D539&lt;&gt;"Serviço",0,IF(OR(AND(AUTOEVENTO="Manual",$M539=1),$M539&gt;(ROW(PLE.lastrow)-ROW(PLE.firstrow))),0,IF(OFFSET(PLE!$G$14,$M539,CJ$13)="",10^12,OFFSET(PLE!$G$14,$M539,CJ$13))))</f>
        <v>1000000000000</v>
      </c>
      <c r="CK539" s="182">
        <f ca="1">IF($D539&lt;&gt;"Serviço",0,IF(OR(AND(AUTOEVENTO="Manual",$M539=1),$M539&gt;(ROW(PLE.lastrow)-ROW(PLE.firstrow))),0,IF(OFFSET(PLE!$G$14,$M539,CK$13)="",10^12,OFFSET(PLE!$G$14,$M539,CK$13))))</f>
        <v>1000000000000</v>
      </c>
      <c r="CL539" s="182">
        <f ca="1">IF($D539&lt;&gt;"Serviço",0,IF(OR(AND(AUTOEVENTO="Manual",$M539=1),$M539&gt;(ROW(PLE.lastrow)-ROW(PLE.firstrow))),0,IF(OFFSET(PLE!$G$14,$M539,CL$13)="",10^12,OFFSET(PLE!$G$14,$M539,CL$13))))</f>
        <v>1000000000000</v>
      </c>
      <c r="CM539" s="182">
        <f ca="1">IF($D539&lt;&gt;"Serviço",0,IF(OR(AND(AUTOEVENTO="Manual",$M539=1),$M539&gt;(ROW(PLE.lastrow)-ROW(PLE.firstrow))),0,IF(OFFSET(PLE!$G$14,$M539,CM$13)="",10^12,OFFSET(PLE!$G$14,$M539,CM$13))))</f>
        <v>1000000000000</v>
      </c>
    </row>
    <row r="540" spans="1:91" ht="38.25" x14ac:dyDescent="0.2">
      <c r="A540" s="7" t="str">
        <f t="shared" ca="1" si="17"/>
        <v>515</v>
      </c>
      <c r="B540" s="7" t="str">
        <f ca="1">OFFSET(ORÇAMENTO!C$15,ROW(B540)-ROW(B$15),0)</f>
        <v>S</v>
      </c>
      <c r="C540" s="7" t="str">
        <f ca="1">OFFSET(ORÇAMENTO!L$15,ROW(C540)-ROW(C$15),0)</f>
        <v/>
      </c>
      <c r="D540" s="118" t="str">
        <f ca="1">OFFSET(ORÇAMENTO!N$15,ROW(D540)-ROW(D$15),0)</f>
        <v>Serviço</v>
      </c>
      <c r="E540" s="119" t="str">
        <f ca="1">OFFSET(ORÇAMENTO!O$15,ROW(E540)-ROW(E$15),0)</f>
        <v>-</v>
      </c>
      <c r="F540" s="172" t="str">
        <f ca="1">OFFSET(ORÇAMENTO!R$15,ROW(F540)-ROW(F$15),0)</f>
        <v>(abra o arquivo 'Referência 06-2024.xlsm)</v>
      </c>
      <c r="G540" s="173" t="str">
        <f ca="1">IF($D540&lt;&gt;"Serviço","",OFFSET(ORÇAMENTO!S$15,ROW(G540)-ROW(G$15),0))</f>
        <v>-</v>
      </c>
      <c r="H540" s="124">
        <f ca="1">IF($D540&lt;&gt;"Serviço",0,IF(ACOMPANHAMENTO="BM",ROUND(OFFSET(ORÇAMENTO!AJ$15,ROW(H540)-ROW(H$15),0),15-13*ORÇAMENTO!$AF$7),SUMPRODUCT(($Q$12:$AI$12&lt;&gt;"")*ROUND($Q540:$AI540,15-13*ORÇAMENTO!$AF$7))))</f>
        <v>7</v>
      </c>
      <c r="I540" s="561" t="s">
        <v>1107</v>
      </c>
      <c r="K540" s="174"/>
      <c r="L540" s="175" t="s">
        <v>255</v>
      </c>
      <c r="M540" s="176">
        <f ca="1">IF($D540&lt;&gt;"Serviço","",IF(AUTOEVENTO="manual",$A540,IF(ISERROR(MATCH($A540,$A$15:OFFSET($A540,-1,0),0)),MAX($M$15:OFFSET(M540,-1,0))+1,INDEX($M$15:OFFSET(M540,-1,0),MATCH($A540,$A$15:OFFSET($A540,-1,0),0)))))</f>
        <v>56</v>
      </c>
      <c r="N540" s="177" t="str">
        <f ca="1">IF($D540&lt;&gt;"Serviço","",IF(AUTOEVENTO="Manual",IF($A540=0,"&lt;-- defina o número do agrupador",OFFSET(EVENTOS!$D$14,$A540,0)),OFFSET($F$15,$A540,0)))</f>
        <v>INSTALAÇÃO ELÉTRICA 110V - DISPOSITIVOS ELÉTRICOS</v>
      </c>
      <c r="O540" s="178"/>
      <c r="Q540" s="178">
        <v>7</v>
      </c>
      <c r="R540" s="179"/>
      <c r="S540" s="179"/>
      <c r="T540" s="179"/>
      <c r="U540" s="179"/>
      <c r="V540" s="179"/>
      <c r="W540" s="179"/>
      <c r="X540" s="179"/>
      <c r="Y540" s="179"/>
      <c r="Z540" s="180"/>
      <c r="AA540" s="179"/>
      <c r="AB540" s="179"/>
      <c r="AC540" s="179"/>
      <c r="AD540" s="179"/>
      <c r="AE540" s="179"/>
      <c r="AF540" s="179"/>
      <c r="AG540" s="179"/>
      <c r="AH540" s="180"/>
      <c r="AJ540" s="544">
        <f ca="1">IF(AND($D540="Serviço",AJ$12&lt;&gt;0,$H540&gt;0,OR(AUTOEVENTO&lt;&gt;"manual",$M540&lt;&gt;1)),
IF(Import.TipoArredondamento&lt;&gt;"TransfereGOV",
ROUND(OFFSET($P540,0,AJ$13),15-13*ORÇAMENTO!$AF$7)/$H540*OFFSET(ORÇAMENTO!$X$15,ROW(AJ540)-ROW(AJ$15),0),
ROUND(ROUND(OFFSET($P540,0,AJ$13),15-13*ORÇAMENTO!$AF$7)*OFFSET(ORÇAMENTO!$W$15,ROW(AJ540)-ROW(AJ$15),0),15-13*ORÇAMENTO!$AF$11)),0)</f>
        <v>0</v>
      </c>
      <c r="AK540" s="545">
        <f ca="1">IF(AND($D540="Serviço",AK$12&lt;&gt;0,$H540&gt;0,OR(AUTOEVENTO&lt;&gt;"manual",$M540&lt;&gt;1)),
IF(Import.TipoArredondamento&lt;&gt;"TransfereGOV",
ROUND(OFFSET($P540,0,AK$13),15-13*ORÇAMENTO!$AF$7)/$H540*OFFSET(ORÇAMENTO!$X$15,ROW(AK540)-ROW(AK$15),0),
ROUND(ROUND(OFFSET($P540,0,AK$13),15-13*ORÇAMENTO!$AF$7)*OFFSET(ORÇAMENTO!$W$15,ROW(AK540)-ROW(AK$15),0),15-13*ORÇAMENTO!$AF$11)),0)</f>
        <v>0</v>
      </c>
      <c r="AL540" s="545">
        <f ca="1">IF(AND($D540="Serviço",AL$12&lt;&gt;0,$H540&gt;0,OR(AUTOEVENTO&lt;&gt;"manual",$M540&lt;&gt;1)),
IF(Import.TipoArredondamento&lt;&gt;"TransfereGOV",
ROUND(OFFSET($P540,0,AL$13),15-13*ORÇAMENTO!$AF$7)/$H540*OFFSET(ORÇAMENTO!$X$15,ROW(AL540)-ROW(AL$15),0),
ROUND(ROUND(OFFSET($P540,0,AL$13),15-13*ORÇAMENTO!$AF$7)*OFFSET(ORÇAMENTO!$W$15,ROW(AL540)-ROW(AL$15),0),15-13*ORÇAMENTO!$AF$11)),0)</f>
        <v>0</v>
      </c>
      <c r="AM540" s="545">
        <f ca="1">IF(AND($D540="Serviço",AM$12&lt;&gt;0,$H540&gt;0,OR(AUTOEVENTO&lt;&gt;"manual",$M540&lt;&gt;1)),
IF(Import.TipoArredondamento&lt;&gt;"TransfereGOV",
ROUND(OFFSET($P540,0,AM$13),15-13*ORÇAMENTO!$AF$7)/$H540*OFFSET(ORÇAMENTO!$X$15,ROW(AM540)-ROW(AM$15),0),
ROUND(ROUND(OFFSET($P540,0,AM$13),15-13*ORÇAMENTO!$AF$7)*OFFSET(ORÇAMENTO!$W$15,ROW(AM540)-ROW(AM$15),0),15-13*ORÇAMENTO!$AF$11)),0)</f>
        <v>0</v>
      </c>
      <c r="AN540" s="545">
        <f ca="1">IF(AND($D540="Serviço",AN$12&lt;&gt;0,$H540&gt;0,OR(AUTOEVENTO&lt;&gt;"manual",$M540&lt;&gt;1)),
IF(Import.TipoArredondamento&lt;&gt;"TransfereGOV",
ROUND(OFFSET($P540,0,AN$13),15-13*ORÇAMENTO!$AF$7)/$H540*OFFSET(ORÇAMENTO!$X$15,ROW(AN540)-ROW(AN$15),0),
ROUND(ROUND(OFFSET($P540,0,AN$13),15-13*ORÇAMENTO!$AF$7)*OFFSET(ORÇAMENTO!$W$15,ROW(AN540)-ROW(AN$15),0),15-13*ORÇAMENTO!$AF$11)),0)</f>
        <v>0</v>
      </c>
      <c r="AO540" s="545">
        <f ca="1">IF(AND($D540="Serviço",AO$12&lt;&gt;0,$H540&gt;0,OR(AUTOEVENTO&lt;&gt;"manual",$M540&lt;&gt;1)),
IF(Import.TipoArredondamento&lt;&gt;"TransfereGOV",
ROUND(OFFSET($P540,0,AO$13),15-13*ORÇAMENTO!$AF$7)/$H540*OFFSET(ORÇAMENTO!$X$15,ROW(AO540)-ROW(AO$15),0),
ROUND(ROUND(OFFSET($P540,0,AO$13),15-13*ORÇAMENTO!$AF$7)*OFFSET(ORÇAMENTO!$W$15,ROW(AO540)-ROW(AO$15),0),15-13*ORÇAMENTO!$AF$11)),0)</f>
        <v>0</v>
      </c>
      <c r="AP540" s="545">
        <f ca="1">IF(AND($D540="Serviço",AP$12&lt;&gt;0,$H540&gt;0,OR(AUTOEVENTO&lt;&gt;"manual",$M540&lt;&gt;1)),
IF(Import.TipoArredondamento&lt;&gt;"TransfereGOV",
ROUND(OFFSET($P540,0,AP$13),15-13*ORÇAMENTO!$AF$7)/$H540*OFFSET(ORÇAMENTO!$X$15,ROW(AP540)-ROW(AP$15),0),
ROUND(ROUND(OFFSET($P540,0,AP$13),15-13*ORÇAMENTO!$AF$7)*OFFSET(ORÇAMENTO!$W$15,ROW(AP540)-ROW(AP$15),0),15-13*ORÇAMENTO!$AF$11)),0)</f>
        <v>0</v>
      </c>
      <c r="AQ540" s="545">
        <f ca="1">IF(AND($D540="Serviço",AQ$12&lt;&gt;0,$H540&gt;0,OR(AUTOEVENTO&lt;&gt;"manual",$M540&lt;&gt;1)),
IF(Import.TipoArredondamento&lt;&gt;"TransfereGOV",
ROUND(OFFSET($P540,0,AQ$13),15-13*ORÇAMENTO!$AF$7)/$H540*OFFSET(ORÇAMENTO!$X$15,ROW(AQ540)-ROW(AQ$15),0),
ROUND(ROUND(OFFSET($P540,0,AQ$13),15-13*ORÇAMENTO!$AF$7)*OFFSET(ORÇAMENTO!$W$15,ROW(AQ540)-ROW(AQ$15),0),15-13*ORÇAMENTO!$AF$11)),0)</f>
        <v>0</v>
      </c>
      <c r="AR540" s="545">
        <f ca="1">IF(AND($D540="Serviço",AR$12&lt;&gt;0,$H540&gt;0,OR(AUTOEVENTO&lt;&gt;"manual",$M540&lt;&gt;1)),
IF(Import.TipoArredondamento&lt;&gt;"TransfereGOV",
ROUND(OFFSET($P540,0,AR$13),15-13*ORÇAMENTO!$AF$7)/$H540*OFFSET(ORÇAMENTO!$X$15,ROW(AR540)-ROW(AR$15),0),
ROUND(ROUND(OFFSET($P540,0,AR$13),15-13*ORÇAMENTO!$AF$7)*OFFSET(ORÇAMENTO!$W$15,ROW(AR540)-ROW(AR$15),0),15-13*ORÇAMENTO!$AF$11)),0)</f>
        <v>0</v>
      </c>
      <c r="AS540" s="546">
        <f ca="1">IF(AND($D540="Serviço",AS$12&lt;&gt;0,$H540&gt;0,OR(AUTOEVENTO&lt;&gt;"manual",$M540&lt;&gt;1)),
IF(Import.TipoArredondamento&lt;&gt;"TransfereGOV",
ROUND(OFFSET($P540,0,AS$13),15-13*ORÇAMENTO!$AF$7)/$H540*OFFSET(ORÇAMENTO!$X$15,ROW(AS540)-ROW(AS$15),0),
ROUND(ROUND(OFFSET($P540,0,AS$13),15-13*ORÇAMENTO!$AF$7)*OFFSET(ORÇAMENTO!$W$15,ROW(AS540)-ROW(AS$15),0),15-13*ORÇAMENTO!$AF$11)),0)</f>
        <v>0</v>
      </c>
      <c r="AT540" s="545">
        <f ca="1">IF(AND($D540="Serviço",AT$12&lt;&gt;0,$H540&gt;0,OR(AUTOEVENTO&lt;&gt;"manual",$M540&lt;&gt;1)),
IF(Import.TipoArredondamento&lt;&gt;"TransfereGOV",
ROUND(OFFSET($P540,0,AT$13),15-13*ORÇAMENTO!$AF$7)/$H540*OFFSET(ORÇAMENTO!$X$15,ROW(AT540)-ROW(AT$15),0),
ROUND(ROUND(OFFSET($P540,0,AT$13),15-13*ORÇAMENTO!$AF$7)*OFFSET(ORÇAMENTO!$W$15,ROW(AT540)-ROW(AT$15),0),15-13*ORÇAMENTO!$AF$11)),0)</f>
        <v>0</v>
      </c>
      <c r="AU540" s="545">
        <f ca="1">IF(AND($D540="Serviço",AU$12&lt;&gt;0,$H540&gt;0,OR(AUTOEVENTO&lt;&gt;"manual",$M540&lt;&gt;1)),
IF(Import.TipoArredondamento&lt;&gt;"TransfereGOV",
ROUND(OFFSET($P540,0,AU$13),15-13*ORÇAMENTO!$AF$7)/$H540*OFFSET(ORÇAMENTO!$X$15,ROW(AU540)-ROW(AU$15),0),
ROUND(ROUND(OFFSET($P540,0,AU$13),15-13*ORÇAMENTO!$AF$7)*OFFSET(ORÇAMENTO!$W$15,ROW(AU540)-ROW(AU$15),0),15-13*ORÇAMENTO!$AF$11)),0)</f>
        <v>0</v>
      </c>
      <c r="AV540" s="545">
        <f ca="1">IF(AND($D540="Serviço",AV$12&lt;&gt;0,$H540&gt;0,OR(AUTOEVENTO&lt;&gt;"manual",$M540&lt;&gt;1)),
IF(Import.TipoArredondamento&lt;&gt;"TransfereGOV",
ROUND(OFFSET($P540,0,AV$13),15-13*ORÇAMENTO!$AF$7)/$H540*OFFSET(ORÇAMENTO!$X$15,ROW(AV540)-ROW(AV$15),0),
ROUND(ROUND(OFFSET($P540,0,AV$13),15-13*ORÇAMENTO!$AF$7)*OFFSET(ORÇAMENTO!$W$15,ROW(AV540)-ROW(AV$15),0),15-13*ORÇAMENTO!$AF$11)),0)</f>
        <v>0</v>
      </c>
      <c r="AW540" s="545">
        <f ca="1">IF(AND($D540="Serviço",AW$12&lt;&gt;0,$H540&gt;0,OR(AUTOEVENTO&lt;&gt;"manual",$M540&lt;&gt;1)),
IF(Import.TipoArredondamento&lt;&gt;"TransfereGOV",
ROUND(OFFSET($P540,0,AW$13),15-13*ORÇAMENTO!$AF$7)/$H540*OFFSET(ORÇAMENTO!$X$15,ROW(AW540)-ROW(AW$15),0),
ROUND(ROUND(OFFSET($P540,0,AW$13),15-13*ORÇAMENTO!$AF$7)*OFFSET(ORÇAMENTO!$W$15,ROW(AW540)-ROW(AW$15),0),15-13*ORÇAMENTO!$AF$11)),0)</f>
        <v>0</v>
      </c>
      <c r="AX540" s="545">
        <f ca="1">IF(AND($D540="Serviço",AX$12&lt;&gt;0,$H540&gt;0,OR(AUTOEVENTO&lt;&gt;"manual",$M540&lt;&gt;1)),
IF(Import.TipoArredondamento&lt;&gt;"TransfereGOV",
ROUND(OFFSET($P540,0,AX$13),15-13*ORÇAMENTO!$AF$7)/$H540*OFFSET(ORÇAMENTO!$X$15,ROW(AX540)-ROW(AX$15),0),
ROUND(ROUND(OFFSET($P540,0,AX$13),15-13*ORÇAMENTO!$AF$7)*OFFSET(ORÇAMENTO!$W$15,ROW(AX540)-ROW(AX$15),0),15-13*ORÇAMENTO!$AF$11)),0)</f>
        <v>0</v>
      </c>
      <c r="AY540" s="545">
        <f ca="1">IF(AND($D540="Serviço",AY$12&lt;&gt;0,$H540&gt;0,OR(AUTOEVENTO&lt;&gt;"manual",$M540&lt;&gt;1)),
IF(Import.TipoArredondamento&lt;&gt;"TransfereGOV",
ROUND(OFFSET($P540,0,AY$13),15-13*ORÇAMENTO!$AF$7)/$H540*OFFSET(ORÇAMENTO!$X$15,ROW(AY540)-ROW(AY$15),0),
ROUND(ROUND(OFFSET($P540,0,AY$13),15-13*ORÇAMENTO!$AF$7)*OFFSET(ORÇAMENTO!$W$15,ROW(AY540)-ROW(AY$15),0),15-13*ORÇAMENTO!$AF$11)),0)</f>
        <v>0</v>
      </c>
      <c r="AZ540" s="545">
        <f ca="1">IF(AND($D540="Serviço",AZ$12&lt;&gt;0,$H540&gt;0,OR(AUTOEVENTO&lt;&gt;"manual",$M540&lt;&gt;1)),
IF(Import.TipoArredondamento&lt;&gt;"TransfereGOV",
ROUND(OFFSET($P540,0,AZ$13),15-13*ORÇAMENTO!$AF$7)/$H540*OFFSET(ORÇAMENTO!$X$15,ROW(AZ540)-ROW(AZ$15),0),
ROUND(ROUND(OFFSET($P540,0,AZ$13),15-13*ORÇAMENTO!$AF$7)*OFFSET(ORÇAMENTO!$W$15,ROW(AZ540)-ROW(AZ$15),0),15-13*ORÇAMENTO!$AF$11)),0)</f>
        <v>0</v>
      </c>
      <c r="BA540" s="546">
        <f ca="1">IF(AND($D540="Serviço",BA$12&lt;&gt;0,$H540&gt;0,OR(AUTOEVENTO&lt;&gt;"manual",$M540&lt;&gt;1)),
IF(Import.TipoArredondamento&lt;&gt;"TransfereGOV",
ROUND(OFFSET($P540,0,BA$13),15-13*ORÇAMENTO!$AF$7)/$H540*OFFSET(ORÇAMENTO!$X$15,ROW(BA540)-ROW(BA$15),0),
ROUND(ROUND(OFFSET($P540,0,BA$13),15-13*ORÇAMENTO!$AF$7)*OFFSET(ORÇAMENTO!$W$15,ROW(BA540)-ROW(BA$15),0),15-13*ORÇAMENTO!$AF$11)),0)</f>
        <v>0</v>
      </c>
      <c r="BC540" s="181">
        <f ca="1">IF($D540&lt;&gt;"Serviço",0,IF(AND(AUTOEVENTO="Manual",$M540=1),0,IF(OFFSET(CRONOPLE!$F$14,$M540,BC$13)="",10^12,OFFSET(CRONOPLE!$F$14,$M540,BC$13))))</f>
        <v>10</v>
      </c>
      <c r="BD540" s="181">
        <f ca="1">IF($D540&lt;&gt;"Serviço",0,IF(AND(AUTOEVENTO="Manual",$M540=1),0,IF(OFFSET(CRONOPLE!$F$14,$M540,BD$13)="",10^12,OFFSET(CRONOPLE!$F$14,$M540,BD$13))))</f>
        <v>1000000000000</v>
      </c>
      <c r="BE540" s="181">
        <f ca="1">IF($D540&lt;&gt;"Serviço",0,IF(AND(AUTOEVENTO="Manual",$M540=1),0,IF(OFFSET(CRONOPLE!$F$14,$M540,BE$13)="",10^12,OFFSET(CRONOPLE!$F$14,$M540,BE$13))))</f>
        <v>1000000000000</v>
      </c>
      <c r="BF540" s="181">
        <f ca="1">IF($D540&lt;&gt;"Serviço",0,IF(AND(AUTOEVENTO="Manual",$M540=1),0,IF(OFFSET(CRONOPLE!$F$14,$M540,BF$13)="",10^12,OFFSET(CRONOPLE!$F$14,$M540,BF$13))))</f>
        <v>1000000000000</v>
      </c>
      <c r="BG540" s="181">
        <f ca="1">IF($D540&lt;&gt;"Serviço",0,IF(AND(AUTOEVENTO="Manual",$M540=1),0,IF(OFFSET(CRONOPLE!$F$14,$M540,BG$13)="",10^12,OFFSET(CRONOPLE!$F$14,$M540,BG$13))))</f>
        <v>1000000000000</v>
      </c>
      <c r="BH540" s="181">
        <f ca="1">IF($D540&lt;&gt;"Serviço",0,IF(AND(AUTOEVENTO="Manual",$M540=1),0,IF(OFFSET(CRONOPLE!$F$14,$M540,BH$13)="",10^12,OFFSET(CRONOPLE!$F$14,$M540,BH$13))))</f>
        <v>1000000000000</v>
      </c>
      <c r="BI540" s="181">
        <f ca="1">IF($D540&lt;&gt;"Serviço",0,IF(AND(AUTOEVENTO="Manual",$M540=1),0,IF(OFFSET(CRONOPLE!$F$14,$M540,BI$13)="",10^12,OFFSET(CRONOPLE!$F$14,$M540,BI$13))))</f>
        <v>1000000000000</v>
      </c>
      <c r="BJ540" s="181">
        <f ca="1">IF($D540&lt;&gt;"Serviço",0,IF(AND(AUTOEVENTO="Manual",$M540=1),0,IF(OFFSET(CRONOPLE!$F$14,$M540,BJ$13)="",10^12,OFFSET(CRONOPLE!$F$14,$M540,BJ$13))))</f>
        <v>1000000000000</v>
      </c>
      <c r="BK540" s="181">
        <f ca="1">IF($D540&lt;&gt;"Serviço",0,IF(AND(AUTOEVENTO="Manual",$M540=1),0,IF(OFFSET(CRONOPLE!$F$14,$M540,BK$13)="",10^12,OFFSET(CRONOPLE!$F$14,$M540,BK$13))))</f>
        <v>1000000000000</v>
      </c>
      <c r="BL540" s="181">
        <f ca="1">IF($D540&lt;&gt;"Serviço",0,IF(AND(AUTOEVENTO="Manual",$M540=1),0,IF(OFFSET(CRONOPLE!$F$14,$M540,BL$13)="",10^12,OFFSET(CRONOPLE!$F$14,$M540,BL$13))))</f>
        <v>1000000000000</v>
      </c>
      <c r="BM540" s="181">
        <f ca="1">IF($D540&lt;&gt;"Serviço",0,IF(AND(AUTOEVENTO="Manual",$M540=1),0,IF(OFFSET(CRONOPLE!$F$14,$M540,BM$13)="",10^12,OFFSET(CRONOPLE!$F$14,$M540,BM$13))))</f>
        <v>1000000000000</v>
      </c>
      <c r="BN540" s="181">
        <f ca="1">IF($D540&lt;&gt;"Serviço",0,IF(AND(AUTOEVENTO="Manual",$M540=1),0,IF(OFFSET(CRONOPLE!$F$14,$M540,BN$13)="",10^12,OFFSET(CRONOPLE!$F$14,$M540,BN$13))))</f>
        <v>1000000000000</v>
      </c>
      <c r="BO540" s="181">
        <f ca="1">IF($D540&lt;&gt;"Serviço",0,IF(AND(AUTOEVENTO="Manual",$M540=1),0,IF(OFFSET(CRONOPLE!$F$14,$M540,BO$13)="",10^12,OFFSET(CRONOPLE!$F$14,$M540,BO$13))))</f>
        <v>1000000000000</v>
      </c>
      <c r="BP540" s="181">
        <f ca="1">IF($D540&lt;&gt;"Serviço",0,IF(AND(AUTOEVENTO="Manual",$M540=1),0,IF(OFFSET(CRONOPLE!$F$14,$M540,BP$13)="",10^12,OFFSET(CRONOPLE!$F$14,$M540,BP$13))))</f>
        <v>1000000000000</v>
      </c>
      <c r="BQ540" s="181">
        <f ca="1">IF($D540&lt;&gt;"Serviço",0,IF(AND(AUTOEVENTO="Manual",$M540=1),0,IF(OFFSET(CRONOPLE!$F$14,$M540,BQ$13)="",10^12,OFFSET(CRONOPLE!$F$14,$M540,BQ$13))))</f>
        <v>1000000000000</v>
      </c>
      <c r="BR540" s="181">
        <f ca="1">IF($D540&lt;&gt;"Serviço",0,IF(AND(AUTOEVENTO="Manual",$M540=1),0,IF(OFFSET(CRONOPLE!$F$14,$M540,BR$13)="",10^12,OFFSET(CRONOPLE!$F$14,$M540,BR$13))))</f>
        <v>1000000000000</v>
      </c>
      <c r="BS540" s="181">
        <f ca="1">IF($D540&lt;&gt;"Serviço",0,IF(AND(AUTOEVENTO="Manual",$M540=1),0,IF(OFFSET(CRONOPLE!$F$14,$M540,BS$13)="",10^12,OFFSET(CRONOPLE!$F$14,$M540,BS$13))))</f>
        <v>1000000000000</v>
      </c>
      <c r="BT540" s="181">
        <f ca="1">IF($D540&lt;&gt;"Serviço",0,IF(AND(AUTOEVENTO="Manual",$M540=1),0,IF(OFFSET(CRONOPLE!$F$14,$M540,BT$13)="",10^12,OFFSET(CRONOPLE!$F$14,$M540,BT$13))))</f>
        <v>1000000000000</v>
      </c>
      <c r="BV540" s="182">
        <f ca="1">IF($D540&lt;&gt;"Serviço",0,IF(OR(AND(AUTOEVENTO="Manual",$M540=1),$M540&gt;(ROW(PLE.lastrow)-ROW(PLE.firstrow))),0,IF(OFFSET(PLE!$G$14,$M540,BV$13)="",10^12,OFFSET(PLE!$G$14,$M540,BV$13))))</f>
        <v>1000000000000</v>
      </c>
      <c r="BW540" s="182">
        <f ca="1">IF($D540&lt;&gt;"Serviço",0,IF(OR(AND(AUTOEVENTO="Manual",$M540=1),$M540&gt;(ROW(PLE.lastrow)-ROW(PLE.firstrow))),0,IF(OFFSET(PLE!$G$14,$M540,BW$13)="",10^12,OFFSET(PLE!$G$14,$M540,BW$13))))</f>
        <v>1000000000000</v>
      </c>
      <c r="BX540" s="182">
        <f ca="1">IF($D540&lt;&gt;"Serviço",0,IF(OR(AND(AUTOEVENTO="Manual",$M540=1),$M540&gt;(ROW(PLE.lastrow)-ROW(PLE.firstrow))),0,IF(OFFSET(PLE!$G$14,$M540,BX$13)="",10^12,OFFSET(PLE!$G$14,$M540,BX$13))))</f>
        <v>1000000000000</v>
      </c>
      <c r="BY540" s="182">
        <f ca="1">IF($D540&lt;&gt;"Serviço",0,IF(OR(AND(AUTOEVENTO="Manual",$M540=1),$M540&gt;(ROW(PLE.lastrow)-ROW(PLE.firstrow))),0,IF(OFFSET(PLE!$G$14,$M540,BY$13)="",10^12,OFFSET(PLE!$G$14,$M540,BY$13))))</f>
        <v>1000000000000</v>
      </c>
      <c r="BZ540" s="182">
        <f ca="1">IF($D540&lt;&gt;"Serviço",0,IF(OR(AND(AUTOEVENTO="Manual",$M540=1),$M540&gt;(ROW(PLE.lastrow)-ROW(PLE.firstrow))),0,IF(OFFSET(PLE!$G$14,$M540,BZ$13)="",10^12,OFFSET(PLE!$G$14,$M540,BZ$13))))</f>
        <v>1000000000000</v>
      </c>
      <c r="CA540" s="182">
        <f ca="1">IF($D540&lt;&gt;"Serviço",0,IF(OR(AND(AUTOEVENTO="Manual",$M540=1),$M540&gt;(ROW(PLE.lastrow)-ROW(PLE.firstrow))),0,IF(OFFSET(PLE!$G$14,$M540,CA$13)="",10^12,OFFSET(PLE!$G$14,$M540,CA$13))))</f>
        <v>1000000000000</v>
      </c>
      <c r="CB540" s="182">
        <f ca="1">IF($D540&lt;&gt;"Serviço",0,IF(OR(AND(AUTOEVENTO="Manual",$M540=1),$M540&gt;(ROW(PLE.lastrow)-ROW(PLE.firstrow))),0,IF(OFFSET(PLE!$G$14,$M540,CB$13)="",10^12,OFFSET(PLE!$G$14,$M540,CB$13))))</f>
        <v>1000000000000</v>
      </c>
      <c r="CC540" s="182">
        <f ca="1">IF($D540&lt;&gt;"Serviço",0,IF(OR(AND(AUTOEVENTO="Manual",$M540=1),$M540&gt;(ROW(PLE.lastrow)-ROW(PLE.firstrow))),0,IF(OFFSET(PLE!$G$14,$M540,CC$13)="",10^12,OFFSET(PLE!$G$14,$M540,CC$13))))</f>
        <v>1000000000000</v>
      </c>
      <c r="CD540" s="182">
        <f ca="1">IF($D540&lt;&gt;"Serviço",0,IF(OR(AND(AUTOEVENTO="Manual",$M540=1),$M540&gt;(ROW(PLE.lastrow)-ROW(PLE.firstrow))),0,IF(OFFSET(PLE!$G$14,$M540,CD$13)="",10^12,OFFSET(PLE!$G$14,$M540,CD$13))))</f>
        <v>1000000000000</v>
      </c>
      <c r="CE540" s="182">
        <f ca="1">IF($D540&lt;&gt;"Serviço",0,IF(OR(AND(AUTOEVENTO="Manual",$M540=1),$M540&gt;(ROW(PLE.lastrow)-ROW(PLE.firstrow))),0,IF(OFFSET(PLE!$G$14,$M540,CE$13)="",10^12,OFFSET(PLE!$G$14,$M540,CE$13))))</f>
        <v>1000000000000</v>
      </c>
      <c r="CF540" s="182">
        <f ca="1">IF($D540&lt;&gt;"Serviço",0,IF(OR(AND(AUTOEVENTO="Manual",$M540=1),$M540&gt;(ROW(PLE.lastrow)-ROW(PLE.firstrow))),0,IF(OFFSET(PLE!$G$14,$M540,CF$13)="",10^12,OFFSET(PLE!$G$14,$M540,CF$13))))</f>
        <v>1000000000000</v>
      </c>
      <c r="CG540" s="182">
        <f ca="1">IF($D540&lt;&gt;"Serviço",0,IF(OR(AND(AUTOEVENTO="Manual",$M540=1),$M540&gt;(ROW(PLE.lastrow)-ROW(PLE.firstrow))),0,IF(OFFSET(PLE!$G$14,$M540,CG$13)="",10^12,OFFSET(PLE!$G$14,$M540,CG$13))))</f>
        <v>1000000000000</v>
      </c>
      <c r="CH540" s="182">
        <f ca="1">IF($D540&lt;&gt;"Serviço",0,IF(OR(AND(AUTOEVENTO="Manual",$M540=1),$M540&gt;(ROW(PLE.lastrow)-ROW(PLE.firstrow))),0,IF(OFFSET(PLE!$G$14,$M540,CH$13)="",10^12,OFFSET(PLE!$G$14,$M540,CH$13))))</f>
        <v>1000000000000</v>
      </c>
      <c r="CI540" s="182">
        <f ca="1">IF($D540&lt;&gt;"Serviço",0,IF(OR(AND(AUTOEVENTO="Manual",$M540=1),$M540&gt;(ROW(PLE.lastrow)-ROW(PLE.firstrow))),0,IF(OFFSET(PLE!$G$14,$M540,CI$13)="",10^12,OFFSET(PLE!$G$14,$M540,CI$13))))</f>
        <v>1000000000000</v>
      </c>
      <c r="CJ540" s="182">
        <f ca="1">IF($D540&lt;&gt;"Serviço",0,IF(OR(AND(AUTOEVENTO="Manual",$M540=1),$M540&gt;(ROW(PLE.lastrow)-ROW(PLE.firstrow))),0,IF(OFFSET(PLE!$G$14,$M540,CJ$13)="",10^12,OFFSET(PLE!$G$14,$M540,CJ$13))))</f>
        <v>1000000000000</v>
      </c>
      <c r="CK540" s="182">
        <f ca="1">IF($D540&lt;&gt;"Serviço",0,IF(OR(AND(AUTOEVENTO="Manual",$M540=1),$M540&gt;(ROW(PLE.lastrow)-ROW(PLE.firstrow))),0,IF(OFFSET(PLE!$G$14,$M540,CK$13)="",10^12,OFFSET(PLE!$G$14,$M540,CK$13))))</f>
        <v>1000000000000</v>
      </c>
      <c r="CL540" s="182">
        <f ca="1">IF($D540&lt;&gt;"Serviço",0,IF(OR(AND(AUTOEVENTO="Manual",$M540=1),$M540&gt;(ROW(PLE.lastrow)-ROW(PLE.firstrow))),0,IF(OFFSET(PLE!$G$14,$M540,CL$13)="",10^12,OFFSET(PLE!$G$14,$M540,CL$13))))</f>
        <v>1000000000000</v>
      </c>
      <c r="CM540" s="182">
        <f ca="1">IF($D540&lt;&gt;"Serviço",0,IF(OR(AND(AUTOEVENTO="Manual",$M540=1),$M540&gt;(ROW(PLE.lastrow)-ROW(PLE.firstrow))),0,IF(OFFSET(PLE!$G$14,$M540,CM$13)="",10^12,OFFSET(PLE!$G$14,$M540,CM$13))))</f>
        <v>1000000000000</v>
      </c>
    </row>
    <row r="541" spans="1:91" ht="25.5" x14ac:dyDescent="0.2">
      <c r="A541" s="7" t="str">
        <f t="shared" ca="1" si="17"/>
        <v>515</v>
      </c>
      <c r="B541" s="7" t="str">
        <f ca="1">OFFSET(ORÇAMENTO!C$15,ROW(B541)-ROW(B$15),0)</f>
        <v>S</v>
      </c>
      <c r="C541" s="7" t="str">
        <f ca="1">OFFSET(ORÇAMENTO!L$15,ROW(C541)-ROW(C$15),0)</f>
        <v/>
      </c>
      <c r="D541" s="118" t="str">
        <f ca="1">OFFSET(ORÇAMENTO!N$15,ROW(D541)-ROW(D$15),0)</f>
        <v>Serviço</v>
      </c>
      <c r="E541" s="119" t="str">
        <f ca="1">OFFSET(ORÇAMENTO!O$15,ROW(E541)-ROW(E$15),0)</f>
        <v>-</v>
      </c>
      <c r="F541" s="172" t="str">
        <f ca="1">OFFSET(ORÇAMENTO!R$15,ROW(F541)-ROW(F$15),0)</f>
        <v>(abra o arquivo 'Referência 06-2024.xlsm)</v>
      </c>
      <c r="G541" s="173" t="str">
        <f ca="1">IF($D541&lt;&gt;"Serviço","",OFFSET(ORÇAMENTO!S$15,ROW(G541)-ROW(G$15),0))</f>
        <v>-</v>
      </c>
      <c r="H541" s="124">
        <f ca="1">IF($D541&lt;&gt;"Serviço",0,IF(ACOMPANHAMENTO="BM",ROUND(OFFSET(ORÇAMENTO!AJ$15,ROW(H541)-ROW(H$15),0),15-13*ORÇAMENTO!$AF$7),SUMPRODUCT(($Q$12:$AI$12&lt;&gt;"")*ROUND($Q541:$AI541,15-13*ORÇAMENTO!$AF$7))))</f>
        <v>129</v>
      </c>
      <c r="I541" s="561" t="s">
        <v>1107</v>
      </c>
      <c r="K541" s="174"/>
      <c r="L541" s="175" t="s">
        <v>255</v>
      </c>
      <c r="M541" s="176">
        <f ca="1">IF($D541&lt;&gt;"Serviço","",IF(AUTOEVENTO="manual",$A541,IF(ISERROR(MATCH($A541,$A$15:OFFSET($A541,-1,0),0)),MAX($M$15:OFFSET(M541,-1,0))+1,INDEX($M$15:OFFSET(M541,-1,0),MATCH($A541,$A$15:OFFSET($A541,-1,0),0)))))</f>
        <v>56</v>
      </c>
      <c r="N541" s="177" t="str">
        <f ca="1">IF($D541&lt;&gt;"Serviço","",IF(AUTOEVENTO="Manual",IF($A541=0,"&lt;-- defina o número do agrupador",OFFSET(EVENTOS!$D$14,$A541,0)),OFFSET($F$15,$A541,0)))</f>
        <v>INSTALAÇÃO ELÉTRICA 110V - DISPOSITIVOS ELÉTRICOS</v>
      </c>
      <c r="O541" s="178"/>
      <c r="Q541" s="178">
        <v>129</v>
      </c>
      <c r="R541" s="179"/>
      <c r="S541" s="179"/>
      <c r="T541" s="179"/>
      <c r="U541" s="179"/>
      <c r="V541" s="179"/>
      <c r="W541" s="179"/>
      <c r="X541" s="179"/>
      <c r="Y541" s="179"/>
      <c r="Z541" s="180"/>
      <c r="AA541" s="179"/>
      <c r="AB541" s="179"/>
      <c r="AC541" s="179"/>
      <c r="AD541" s="179"/>
      <c r="AE541" s="179"/>
      <c r="AF541" s="179"/>
      <c r="AG541" s="179"/>
      <c r="AH541" s="180"/>
      <c r="AJ541" s="544">
        <f ca="1">IF(AND($D541="Serviço",AJ$12&lt;&gt;0,$H541&gt;0,OR(AUTOEVENTO&lt;&gt;"manual",$M541&lt;&gt;1)),
IF(Import.TipoArredondamento&lt;&gt;"TransfereGOV",
ROUND(OFFSET($P541,0,AJ$13),15-13*ORÇAMENTO!$AF$7)/$H541*OFFSET(ORÇAMENTO!$X$15,ROW(AJ541)-ROW(AJ$15),0),
ROUND(ROUND(OFFSET($P541,0,AJ$13),15-13*ORÇAMENTO!$AF$7)*OFFSET(ORÇAMENTO!$W$15,ROW(AJ541)-ROW(AJ$15),0),15-13*ORÇAMENTO!$AF$11)),0)</f>
        <v>0</v>
      </c>
      <c r="AK541" s="545">
        <f ca="1">IF(AND($D541="Serviço",AK$12&lt;&gt;0,$H541&gt;0,OR(AUTOEVENTO&lt;&gt;"manual",$M541&lt;&gt;1)),
IF(Import.TipoArredondamento&lt;&gt;"TransfereGOV",
ROUND(OFFSET($P541,0,AK$13),15-13*ORÇAMENTO!$AF$7)/$H541*OFFSET(ORÇAMENTO!$X$15,ROW(AK541)-ROW(AK$15),0),
ROUND(ROUND(OFFSET($P541,0,AK$13),15-13*ORÇAMENTO!$AF$7)*OFFSET(ORÇAMENTO!$W$15,ROW(AK541)-ROW(AK$15),0),15-13*ORÇAMENTO!$AF$11)),0)</f>
        <v>0</v>
      </c>
      <c r="AL541" s="545">
        <f ca="1">IF(AND($D541="Serviço",AL$12&lt;&gt;0,$H541&gt;0,OR(AUTOEVENTO&lt;&gt;"manual",$M541&lt;&gt;1)),
IF(Import.TipoArredondamento&lt;&gt;"TransfereGOV",
ROUND(OFFSET($P541,0,AL$13),15-13*ORÇAMENTO!$AF$7)/$H541*OFFSET(ORÇAMENTO!$X$15,ROW(AL541)-ROW(AL$15),0),
ROUND(ROUND(OFFSET($P541,0,AL$13),15-13*ORÇAMENTO!$AF$7)*OFFSET(ORÇAMENTO!$W$15,ROW(AL541)-ROW(AL$15),0),15-13*ORÇAMENTO!$AF$11)),0)</f>
        <v>0</v>
      </c>
      <c r="AM541" s="545">
        <f ca="1">IF(AND($D541="Serviço",AM$12&lt;&gt;0,$H541&gt;0,OR(AUTOEVENTO&lt;&gt;"manual",$M541&lt;&gt;1)),
IF(Import.TipoArredondamento&lt;&gt;"TransfereGOV",
ROUND(OFFSET($P541,0,AM$13),15-13*ORÇAMENTO!$AF$7)/$H541*OFFSET(ORÇAMENTO!$X$15,ROW(AM541)-ROW(AM$15),0),
ROUND(ROUND(OFFSET($P541,0,AM$13),15-13*ORÇAMENTO!$AF$7)*OFFSET(ORÇAMENTO!$W$15,ROW(AM541)-ROW(AM$15),0),15-13*ORÇAMENTO!$AF$11)),0)</f>
        <v>0</v>
      </c>
      <c r="AN541" s="545">
        <f ca="1">IF(AND($D541="Serviço",AN$12&lt;&gt;0,$H541&gt;0,OR(AUTOEVENTO&lt;&gt;"manual",$M541&lt;&gt;1)),
IF(Import.TipoArredondamento&lt;&gt;"TransfereGOV",
ROUND(OFFSET($P541,0,AN$13),15-13*ORÇAMENTO!$AF$7)/$H541*OFFSET(ORÇAMENTO!$X$15,ROW(AN541)-ROW(AN$15),0),
ROUND(ROUND(OFFSET($P541,0,AN$13),15-13*ORÇAMENTO!$AF$7)*OFFSET(ORÇAMENTO!$W$15,ROW(AN541)-ROW(AN$15),0),15-13*ORÇAMENTO!$AF$11)),0)</f>
        <v>0</v>
      </c>
      <c r="AO541" s="545">
        <f ca="1">IF(AND($D541="Serviço",AO$12&lt;&gt;0,$H541&gt;0,OR(AUTOEVENTO&lt;&gt;"manual",$M541&lt;&gt;1)),
IF(Import.TipoArredondamento&lt;&gt;"TransfereGOV",
ROUND(OFFSET($P541,0,AO$13),15-13*ORÇAMENTO!$AF$7)/$H541*OFFSET(ORÇAMENTO!$X$15,ROW(AO541)-ROW(AO$15),0),
ROUND(ROUND(OFFSET($P541,0,AO$13),15-13*ORÇAMENTO!$AF$7)*OFFSET(ORÇAMENTO!$W$15,ROW(AO541)-ROW(AO$15),0),15-13*ORÇAMENTO!$AF$11)),0)</f>
        <v>0</v>
      </c>
      <c r="AP541" s="545">
        <f ca="1">IF(AND($D541="Serviço",AP$12&lt;&gt;0,$H541&gt;0,OR(AUTOEVENTO&lt;&gt;"manual",$M541&lt;&gt;1)),
IF(Import.TipoArredondamento&lt;&gt;"TransfereGOV",
ROUND(OFFSET($P541,0,AP$13),15-13*ORÇAMENTO!$AF$7)/$H541*OFFSET(ORÇAMENTO!$X$15,ROW(AP541)-ROW(AP$15),0),
ROUND(ROUND(OFFSET($P541,0,AP$13),15-13*ORÇAMENTO!$AF$7)*OFFSET(ORÇAMENTO!$W$15,ROW(AP541)-ROW(AP$15),0),15-13*ORÇAMENTO!$AF$11)),0)</f>
        <v>0</v>
      </c>
      <c r="AQ541" s="545">
        <f ca="1">IF(AND($D541="Serviço",AQ$12&lt;&gt;0,$H541&gt;0,OR(AUTOEVENTO&lt;&gt;"manual",$M541&lt;&gt;1)),
IF(Import.TipoArredondamento&lt;&gt;"TransfereGOV",
ROUND(OFFSET($P541,0,AQ$13),15-13*ORÇAMENTO!$AF$7)/$H541*OFFSET(ORÇAMENTO!$X$15,ROW(AQ541)-ROW(AQ$15),0),
ROUND(ROUND(OFFSET($P541,0,AQ$13),15-13*ORÇAMENTO!$AF$7)*OFFSET(ORÇAMENTO!$W$15,ROW(AQ541)-ROW(AQ$15),0),15-13*ORÇAMENTO!$AF$11)),0)</f>
        <v>0</v>
      </c>
      <c r="AR541" s="545">
        <f ca="1">IF(AND($D541="Serviço",AR$12&lt;&gt;0,$H541&gt;0,OR(AUTOEVENTO&lt;&gt;"manual",$M541&lt;&gt;1)),
IF(Import.TipoArredondamento&lt;&gt;"TransfereGOV",
ROUND(OFFSET($P541,0,AR$13),15-13*ORÇAMENTO!$AF$7)/$H541*OFFSET(ORÇAMENTO!$X$15,ROW(AR541)-ROW(AR$15),0),
ROUND(ROUND(OFFSET($P541,0,AR$13),15-13*ORÇAMENTO!$AF$7)*OFFSET(ORÇAMENTO!$W$15,ROW(AR541)-ROW(AR$15),0),15-13*ORÇAMENTO!$AF$11)),0)</f>
        <v>0</v>
      </c>
      <c r="AS541" s="546">
        <f ca="1">IF(AND($D541="Serviço",AS$12&lt;&gt;0,$H541&gt;0,OR(AUTOEVENTO&lt;&gt;"manual",$M541&lt;&gt;1)),
IF(Import.TipoArredondamento&lt;&gt;"TransfereGOV",
ROUND(OFFSET($P541,0,AS$13),15-13*ORÇAMENTO!$AF$7)/$H541*OFFSET(ORÇAMENTO!$X$15,ROW(AS541)-ROW(AS$15),0),
ROUND(ROUND(OFFSET($P541,0,AS$13),15-13*ORÇAMENTO!$AF$7)*OFFSET(ORÇAMENTO!$W$15,ROW(AS541)-ROW(AS$15),0),15-13*ORÇAMENTO!$AF$11)),0)</f>
        <v>0</v>
      </c>
      <c r="AT541" s="545">
        <f ca="1">IF(AND($D541="Serviço",AT$12&lt;&gt;0,$H541&gt;0,OR(AUTOEVENTO&lt;&gt;"manual",$M541&lt;&gt;1)),
IF(Import.TipoArredondamento&lt;&gt;"TransfereGOV",
ROUND(OFFSET($P541,0,AT$13),15-13*ORÇAMENTO!$AF$7)/$H541*OFFSET(ORÇAMENTO!$X$15,ROW(AT541)-ROW(AT$15),0),
ROUND(ROUND(OFFSET($P541,0,AT$13),15-13*ORÇAMENTO!$AF$7)*OFFSET(ORÇAMENTO!$W$15,ROW(AT541)-ROW(AT$15),0),15-13*ORÇAMENTO!$AF$11)),0)</f>
        <v>0</v>
      </c>
      <c r="AU541" s="545">
        <f ca="1">IF(AND($D541="Serviço",AU$12&lt;&gt;0,$H541&gt;0,OR(AUTOEVENTO&lt;&gt;"manual",$M541&lt;&gt;1)),
IF(Import.TipoArredondamento&lt;&gt;"TransfereGOV",
ROUND(OFFSET($P541,0,AU$13),15-13*ORÇAMENTO!$AF$7)/$H541*OFFSET(ORÇAMENTO!$X$15,ROW(AU541)-ROW(AU$15),0),
ROUND(ROUND(OFFSET($P541,0,AU$13),15-13*ORÇAMENTO!$AF$7)*OFFSET(ORÇAMENTO!$W$15,ROW(AU541)-ROW(AU$15),0),15-13*ORÇAMENTO!$AF$11)),0)</f>
        <v>0</v>
      </c>
      <c r="AV541" s="545">
        <f ca="1">IF(AND($D541="Serviço",AV$12&lt;&gt;0,$H541&gt;0,OR(AUTOEVENTO&lt;&gt;"manual",$M541&lt;&gt;1)),
IF(Import.TipoArredondamento&lt;&gt;"TransfereGOV",
ROUND(OFFSET($P541,0,AV$13),15-13*ORÇAMENTO!$AF$7)/$H541*OFFSET(ORÇAMENTO!$X$15,ROW(AV541)-ROW(AV$15),0),
ROUND(ROUND(OFFSET($P541,0,AV$13),15-13*ORÇAMENTO!$AF$7)*OFFSET(ORÇAMENTO!$W$15,ROW(AV541)-ROW(AV$15),0),15-13*ORÇAMENTO!$AF$11)),0)</f>
        <v>0</v>
      </c>
      <c r="AW541" s="545">
        <f ca="1">IF(AND($D541="Serviço",AW$12&lt;&gt;0,$H541&gt;0,OR(AUTOEVENTO&lt;&gt;"manual",$M541&lt;&gt;1)),
IF(Import.TipoArredondamento&lt;&gt;"TransfereGOV",
ROUND(OFFSET($P541,0,AW$13),15-13*ORÇAMENTO!$AF$7)/$H541*OFFSET(ORÇAMENTO!$X$15,ROW(AW541)-ROW(AW$15),0),
ROUND(ROUND(OFFSET($P541,0,AW$13),15-13*ORÇAMENTO!$AF$7)*OFFSET(ORÇAMENTO!$W$15,ROW(AW541)-ROW(AW$15),0),15-13*ORÇAMENTO!$AF$11)),0)</f>
        <v>0</v>
      </c>
      <c r="AX541" s="545">
        <f ca="1">IF(AND($D541="Serviço",AX$12&lt;&gt;0,$H541&gt;0,OR(AUTOEVENTO&lt;&gt;"manual",$M541&lt;&gt;1)),
IF(Import.TipoArredondamento&lt;&gt;"TransfereGOV",
ROUND(OFFSET($P541,0,AX$13),15-13*ORÇAMENTO!$AF$7)/$H541*OFFSET(ORÇAMENTO!$X$15,ROW(AX541)-ROW(AX$15),0),
ROUND(ROUND(OFFSET($P541,0,AX$13),15-13*ORÇAMENTO!$AF$7)*OFFSET(ORÇAMENTO!$W$15,ROW(AX541)-ROW(AX$15),0),15-13*ORÇAMENTO!$AF$11)),0)</f>
        <v>0</v>
      </c>
      <c r="AY541" s="545">
        <f ca="1">IF(AND($D541="Serviço",AY$12&lt;&gt;0,$H541&gt;0,OR(AUTOEVENTO&lt;&gt;"manual",$M541&lt;&gt;1)),
IF(Import.TipoArredondamento&lt;&gt;"TransfereGOV",
ROUND(OFFSET($P541,0,AY$13),15-13*ORÇAMENTO!$AF$7)/$H541*OFFSET(ORÇAMENTO!$X$15,ROW(AY541)-ROW(AY$15),0),
ROUND(ROUND(OFFSET($P541,0,AY$13),15-13*ORÇAMENTO!$AF$7)*OFFSET(ORÇAMENTO!$W$15,ROW(AY541)-ROW(AY$15),0),15-13*ORÇAMENTO!$AF$11)),0)</f>
        <v>0</v>
      </c>
      <c r="AZ541" s="545">
        <f ca="1">IF(AND($D541="Serviço",AZ$12&lt;&gt;0,$H541&gt;0,OR(AUTOEVENTO&lt;&gt;"manual",$M541&lt;&gt;1)),
IF(Import.TipoArredondamento&lt;&gt;"TransfereGOV",
ROUND(OFFSET($P541,0,AZ$13),15-13*ORÇAMENTO!$AF$7)/$H541*OFFSET(ORÇAMENTO!$X$15,ROW(AZ541)-ROW(AZ$15),0),
ROUND(ROUND(OFFSET($P541,0,AZ$13),15-13*ORÇAMENTO!$AF$7)*OFFSET(ORÇAMENTO!$W$15,ROW(AZ541)-ROW(AZ$15),0),15-13*ORÇAMENTO!$AF$11)),0)</f>
        <v>0</v>
      </c>
      <c r="BA541" s="546">
        <f ca="1">IF(AND($D541="Serviço",BA$12&lt;&gt;0,$H541&gt;0,OR(AUTOEVENTO&lt;&gt;"manual",$M541&lt;&gt;1)),
IF(Import.TipoArredondamento&lt;&gt;"TransfereGOV",
ROUND(OFFSET($P541,0,BA$13),15-13*ORÇAMENTO!$AF$7)/$H541*OFFSET(ORÇAMENTO!$X$15,ROW(BA541)-ROW(BA$15),0),
ROUND(ROUND(OFFSET($P541,0,BA$13),15-13*ORÇAMENTO!$AF$7)*OFFSET(ORÇAMENTO!$W$15,ROW(BA541)-ROW(BA$15),0),15-13*ORÇAMENTO!$AF$11)),0)</f>
        <v>0</v>
      </c>
      <c r="BC541" s="181">
        <f ca="1">IF($D541&lt;&gt;"Serviço",0,IF(AND(AUTOEVENTO="Manual",$M541=1),0,IF(OFFSET(CRONOPLE!$F$14,$M541,BC$13)="",10^12,OFFSET(CRONOPLE!$F$14,$M541,BC$13))))</f>
        <v>10</v>
      </c>
      <c r="BD541" s="181">
        <f ca="1">IF($D541&lt;&gt;"Serviço",0,IF(AND(AUTOEVENTO="Manual",$M541=1),0,IF(OFFSET(CRONOPLE!$F$14,$M541,BD$13)="",10^12,OFFSET(CRONOPLE!$F$14,$M541,BD$13))))</f>
        <v>1000000000000</v>
      </c>
      <c r="BE541" s="181">
        <f ca="1">IF($D541&lt;&gt;"Serviço",0,IF(AND(AUTOEVENTO="Manual",$M541=1),0,IF(OFFSET(CRONOPLE!$F$14,$M541,BE$13)="",10^12,OFFSET(CRONOPLE!$F$14,$M541,BE$13))))</f>
        <v>1000000000000</v>
      </c>
      <c r="BF541" s="181">
        <f ca="1">IF($D541&lt;&gt;"Serviço",0,IF(AND(AUTOEVENTO="Manual",$M541=1),0,IF(OFFSET(CRONOPLE!$F$14,$M541,BF$13)="",10^12,OFFSET(CRONOPLE!$F$14,$M541,BF$13))))</f>
        <v>1000000000000</v>
      </c>
      <c r="BG541" s="181">
        <f ca="1">IF($D541&lt;&gt;"Serviço",0,IF(AND(AUTOEVENTO="Manual",$M541=1),0,IF(OFFSET(CRONOPLE!$F$14,$M541,BG$13)="",10^12,OFFSET(CRONOPLE!$F$14,$M541,BG$13))))</f>
        <v>1000000000000</v>
      </c>
      <c r="BH541" s="181">
        <f ca="1">IF($D541&lt;&gt;"Serviço",0,IF(AND(AUTOEVENTO="Manual",$M541=1),0,IF(OFFSET(CRONOPLE!$F$14,$M541,BH$13)="",10^12,OFFSET(CRONOPLE!$F$14,$M541,BH$13))))</f>
        <v>1000000000000</v>
      </c>
      <c r="BI541" s="181">
        <f ca="1">IF($D541&lt;&gt;"Serviço",0,IF(AND(AUTOEVENTO="Manual",$M541=1),0,IF(OFFSET(CRONOPLE!$F$14,$M541,BI$13)="",10^12,OFFSET(CRONOPLE!$F$14,$M541,BI$13))))</f>
        <v>1000000000000</v>
      </c>
      <c r="BJ541" s="181">
        <f ca="1">IF($D541&lt;&gt;"Serviço",0,IF(AND(AUTOEVENTO="Manual",$M541=1),0,IF(OFFSET(CRONOPLE!$F$14,$M541,BJ$13)="",10^12,OFFSET(CRONOPLE!$F$14,$M541,BJ$13))))</f>
        <v>1000000000000</v>
      </c>
      <c r="BK541" s="181">
        <f ca="1">IF($D541&lt;&gt;"Serviço",0,IF(AND(AUTOEVENTO="Manual",$M541=1),0,IF(OFFSET(CRONOPLE!$F$14,$M541,BK$13)="",10^12,OFFSET(CRONOPLE!$F$14,$M541,BK$13))))</f>
        <v>1000000000000</v>
      </c>
      <c r="BL541" s="181">
        <f ca="1">IF($D541&lt;&gt;"Serviço",0,IF(AND(AUTOEVENTO="Manual",$M541=1),0,IF(OFFSET(CRONOPLE!$F$14,$M541,BL$13)="",10^12,OFFSET(CRONOPLE!$F$14,$M541,BL$13))))</f>
        <v>1000000000000</v>
      </c>
      <c r="BM541" s="181">
        <f ca="1">IF($D541&lt;&gt;"Serviço",0,IF(AND(AUTOEVENTO="Manual",$M541=1),0,IF(OFFSET(CRONOPLE!$F$14,$M541,BM$13)="",10^12,OFFSET(CRONOPLE!$F$14,$M541,BM$13))))</f>
        <v>1000000000000</v>
      </c>
      <c r="BN541" s="181">
        <f ca="1">IF($D541&lt;&gt;"Serviço",0,IF(AND(AUTOEVENTO="Manual",$M541=1),0,IF(OFFSET(CRONOPLE!$F$14,$M541,BN$13)="",10^12,OFFSET(CRONOPLE!$F$14,$M541,BN$13))))</f>
        <v>1000000000000</v>
      </c>
      <c r="BO541" s="181">
        <f ca="1">IF($D541&lt;&gt;"Serviço",0,IF(AND(AUTOEVENTO="Manual",$M541=1),0,IF(OFFSET(CRONOPLE!$F$14,$M541,BO$13)="",10^12,OFFSET(CRONOPLE!$F$14,$M541,BO$13))))</f>
        <v>1000000000000</v>
      </c>
      <c r="BP541" s="181">
        <f ca="1">IF($D541&lt;&gt;"Serviço",0,IF(AND(AUTOEVENTO="Manual",$M541=1),0,IF(OFFSET(CRONOPLE!$F$14,$M541,BP$13)="",10^12,OFFSET(CRONOPLE!$F$14,$M541,BP$13))))</f>
        <v>1000000000000</v>
      </c>
      <c r="BQ541" s="181">
        <f ca="1">IF($D541&lt;&gt;"Serviço",0,IF(AND(AUTOEVENTO="Manual",$M541=1),0,IF(OFFSET(CRONOPLE!$F$14,$M541,BQ$13)="",10^12,OFFSET(CRONOPLE!$F$14,$M541,BQ$13))))</f>
        <v>1000000000000</v>
      </c>
      <c r="BR541" s="181">
        <f ca="1">IF($D541&lt;&gt;"Serviço",0,IF(AND(AUTOEVENTO="Manual",$M541=1),0,IF(OFFSET(CRONOPLE!$F$14,$M541,BR$13)="",10^12,OFFSET(CRONOPLE!$F$14,$M541,BR$13))))</f>
        <v>1000000000000</v>
      </c>
      <c r="BS541" s="181">
        <f ca="1">IF($D541&lt;&gt;"Serviço",0,IF(AND(AUTOEVENTO="Manual",$M541=1),0,IF(OFFSET(CRONOPLE!$F$14,$M541,BS$13)="",10^12,OFFSET(CRONOPLE!$F$14,$M541,BS$13))))</f>
        <v>1000000000000</v>
      </c>
      <c r="BT541" s="181">
        <f ca="1">IF($D541&lt;&gt;"Serviço",0,IF(AND(AUTOEVENTO="Manual",$M541=1),0,IF(OFFSET(CRONOPLE!$F$14,$M541,BT$13)="",10^12,OFFSET(CRONOPLE!$F$14,$M541,BT$13))))</f>
        <v>1000000000000</v>
      </c>
      <c r="BV541" s="182">
        <f ca="1">IF($D541&lt;&gt;"Serviço",0,IF(OR(AND(AUTOEVENTO="Manual",$M541=1),$M541&gt;(ROW(PLE.lastrow)-ROW(PLE.firstrow))),0,IF(OFFSET(PLE!$G$14,$M541,BV$13)="",10^12,OFFSET(PLE!$G$14,$M541,BV$13))))</f>
        <v>1000000000000</v>
      </c>
      <c r="BW541" s="182">
        <f ca="1">IF($D541&lt;&gt;"Serviço",0,IF(OR(AND(AUTOEVENTO="Manual",$M541=1),$M541&gt;(ROW(PLE.lastrow)-ROW(PLE.firstrow))),0,IF(OFFSET(PLE!$G$14,$M541,BW$13)="",10^12,OFFSET(PLE!$G$14,$M541,BW$13))))</f>
        <v>1000000000000</v>
      </c>
      <c r="BX541" s="182">
        <f ca="1">IF($D541&lt;&gt;"Serviço",0,IF(OR(AND(AUTOEVENTO="Manual",$M541=1),$M541&gt;(ROW(PLE.lastrow)-ROW(PLE.firstrow))),0,IF(OFFSET(PLE!$G$14,$M541,BX$13)="",10^12,OFFSET(PLE!$G$14,$M541,BX$13))))</f>
        <v>1000000000000</v>
      </c>
      <c r="BY541" s="182">
        <f ca="1">IF($D541&lt;&gt;"Serviço",0,IF(OR(AND(AUTOEVENTO="Manual",$M541=1),$M541&gt;(ROW(PLE.lastrow)-ROW(PLE.firstrow))),0,IF(OFFSET(PLE!$G$14,$M541,BY$13)="",10^12,OFFSET(PLE!$G$14,$M541,BY$13))))</f>
        <v>1000000000000</v>
      </c>
      <c r="BZ541" s="182">
        <f ca="1">IF($D541&lt;&gt;"Serviço",0,IF(OR(AND(AUTOEVENTO="Manual",$M541=1),$M541&gt;(ROW(PLE.lastrow)-ROW(PLE.firstrow))),0,IF(OFFSET(PLE!$G$14,$M541,BZ$13)="",10^12,OFFSET(PLE!$G$14,$M541,BZ$13))))</f>
        <v>1000000000000</v>
      </c>
      <c r="CA541" s="182">
        <f ca="1">IF($D541&lt;&gt;"Serviço",0,IF(OR(AND(AUTOEVENTO="Manual",$M541=1),$M541&gt;(ROW(PLE.lastrow)-ROW(PLE.firstrow))),0,IF(OFFSET(PLE!$G$14,$M541,CA$13)="",10^12,OFFSET(PLE!$G$14,$M541,CA$13))))</f>
        <v>1000000000000</v>
      </c>
      <c r="CB541" s="182">
        <f ca="1">IF($D541&lt;&gt;"Serviço",0,IF(OR(AND(AUTOEVENTO="Manual",$M541=1),$M541&gt;(ROW(PLE.lastrow)-ROW(PLE.firstrow))),0,IF(OFFSET(PLE!$G$14,$M541,CB$13)="",10^12,OFFSET(PLE!$G$14,$M541,CB$13))))</f>
        <v>1000000000000</v>
      </c>
      <c r="CC541" s="182">
        <f ca="1">IF($D541&lt;&gt;"Serviço",0,IF(OR(AND(AUTOEVENTO="Manual",$M541=1),$M541&gt;(ROW(PLE.lastrow)-ROW(PLE.firstrow))),0,IF(OFFSET(PLE!$G$14,$M541,CC$13)="",10^12,OFFSET(PLE!$G$14,$M541,CC$13))))</f>
        <v>1000000000000</v>
      </c>
      <c r="CD541" s="182">
        <f ca="1">IF($D541&lt;&gt;"Serviço",0,IF(OR(AND(AUTOEVENTO="Manual",$M541=1),$M541&gt;(ROW(PLE.lastrow)-ROW(PLE.firstrow))),0,IF(OFFSET(PLE!$G$14,$M541,CD$13)="",10^12,OFFSET(PLE!$G$14,$M541,CD$13))))</f>
        <v>1000000000000</v>
      </c>
      <c r="CE541" s="182">
        <f ca="1">IF($D541&lt;&gt;"Serviço",0,IF(OR(AND(AUTOEVENTO="Manual",$M541=1),$M541&gt;(ROW(PLE.lastrow)-ROW(PLE.firstrow))),0,IF(OFFSET(PLE!$G$14,$M541,CE$13)="",10^12,OFFSET(PLE!$G$14,$M541,CE$13))))</f>
        <v>1000000000000</v>
      </c>
      <c r="CF541" s="182">
        <f ca="1">IF($D541&lt;&gt;"Serviço",0,IF(OR(AND(AUTOEVENTO="Manual",$M541=1),$M541&gt;(ROW(PLE.lastrow)-ROW(PLE.firstrow))),0,IF(OFFSET(PLE!$G$14,$M541,CF$13)="",10^12,OFFSET(PLE!$G$14,$M541,CF$13))))</f>
        <v>1000000000000</v>
      </c>
      <c r="CG541" s="182">
        <f ca="1">IF($D541&lt;&gt;"Serviço",0,IF(OR(AND(AUTOEVENTO="Manual",$M541=1),$M541&gt;(ROW(PLE.lastrow)-ROW(PLE.firstrow))),0,IF(OFFSET(PLE!$G$14,$M541,CG$13)="",10^12,OFFSET(PLE!$G$14,$M541,CG$13))))</f>
        <v>1000000000000</v>
      </c>
      <c r="CH541" s="182">
        <f ca="1">IF($D541&lt;&gt;"Serviço",0,IF(OR(AND(AUTOEVENTO="Manual",$M541=1),$M541&gt;(ROW(PLE.lastrow)-ROW(PLE.firstrow))),0,IF(OFFSET(PLE!$G$14,$M541,CH$13)="",10^12,OFFSET(PLE!$G$14,$M541,CH$13))))</f>
        <v>1000000000000</v>
      </c>
      <c r="CI541" s="182">
        <f ca="1">IF($D541&lt;&gt;"Serviço",0,IF(OR(AND(AUTOEVENTO="Manual",$M541=1),$M541&gt;(ROW(PLE.lastrow)-ROW(PLE.firstrow))),0,IF(OFFSET(PLE!$G$14,$M541,CI$13)="",10^12,OFFSET(PLE!$G$14,$M541,CI$13))))</f>
        <v>1000000000000</v>
      </c>
      <c r="CJ541" s="182">
        <f ca="1">IF($D541&lt;&gt;"Serviço",0,IF(OR(AND(AUTOEVENTO="Manual",$M541=1),$M541&gt;(ROW(PLE.lastrow)-ROW(PLE.firstrow))),0,IF(OFFSET(PLE!$G$14,$M541,CJ$13)="",10^12,OFFSET(PLE!$G$14,$M541,CJ$13))))</f>
        <v>1000000000000</v>
      </c>
      <c r="CK541" s="182">
        <f ca="1">IF($D541&lt;&gt;"Serviço",0,IF(OR(AND(AUTOEVENTO="Manual",$M541=1),$M541&gt;(ROW(PLE.lastrow)-ROW(PLE.firstrow))),0,IF(OFFSET(PLE!$G$14,$M541,CK$13)="",10^12,OFFSET(PLE!$G$14,$M541,CK$13))))</f>
        <v>1000000000000</v>
      </c>
      <c r="CL541" s="182">
        <f ca="1">IF($D541&lt;&gt;"Serviço",0,IF(OR(AND(AUTOEVENTO="Manual",$M541=1),$M541&gt;(ROW(PLE.lastrow)-ROW(PLE.firstrow))),0,IF(OFFSET(PLE!$G$14,$M541,CL$13)="",10^12,OFFSET(PLE!$G$14,$M541,CL$13))))</f>
        <v>1000000000000</v>
      </c>
      <c r="CM541" s="182">
        <f ca="1">IF($D541&lt;&gt;"Serviço",0,IF(OR(AND(AUTOEVENTO="Manual",$M541=1),$M541&gt;(ROW(PLE.lastrow)-ROW(PLE.firstrow))),0,IF(OFFSET(PLE!$G$14,$M541,CM$13)="",10^12,OFFSET(PLE!$G$14,$M541,CM$13))))</f>
        <v>1000000000000</v>
      </c>
    </row>
    <row r="542" spans="1:91" ht="25.5" x14ac:dyDescent="0.2">
      <c r="A542" s="7" t="str">
        <f t="shared" ca="1" si="17"/>
        <v>515</v>
      </c>
      <c r="B542" s="7" t="str">
        <f ca="1">OFFSET(ORÇAMENTO!C$15,ROW(B542)-ROW(B$15),0)</f>
        <v>S</v>
      </c>
      <c r="C542" s="7" t="str">
        <f ca="1">OFFSET(ORÇAMENTO!L$15,ROW(C542)-ROW(C$15),0)</f>
        <v/>
      </c>
      <c r="D542" s="118" t="str">
        <f ca="1">OFFSET(ORÇAMENTO!N$15,ROW(D542)-ROW(D$15),0)</f>
        <v>Serviço</v>
      </c>
      <c r="E542" s="119" t="str">
        <f ca="1">OFFSET(ORÇAMENTO!O$15,ROW(E542)-ROW(E$15),0)</f>
        <v>-</v>
      </c>
      <c r="F542" s="172" t="str">
        <f ca="1">OFFSET(ORÇAMENTO!R$15,ROW(F542)-ROW(F$15),0)</f>
        <v>(abra o arquivo 'Referência 06-2024.xlsm)</v>
      </c>
      <c r="G542" s="173" t="str">
        <f ca="1">IF($D542&lt;&gt;"Serviço","",OFFSET(ORÇAMENTO!S$15,ROW(G542)-ROW(G$15),0))</f>
        <v>-</v>
      </c>
      <c r="H542" s="124">
        <f ca="1">IF($D542&lt;&gt;"Serviço",0,IF(ACOMPANHAMENTO="BM",ROUND(OFFSET(ORÇAMENTO!AJ$15,ROW(H542)-ROW(H$15),0),15-13*ORÇAMENTO!$AF$7),SUMPRODUCT(($Q$12:$AI$12&lt;&gt;"")*ROUND($Q542:$AI542,15-13*ORÇAMENTO!$AF$7))))</f>
        <v>10</v>
      </c>
      <c r="I542" s="561" t="s">
        <v>1107</v>
      </c>
      <c r="K542" s="174"/>
      <c r="L542" s="175" t="s">
        <v>255</v>
      </c>
      <c r="M542" s="176">
        <f ca="1">IF($D542&lt;&gt;"Serviço","",IF(AUTOEVENTO="manual",$A542,IF(ISERROR(MATCH($A542,$A$15:OFFSET($A542,-1,0),0)),MAX($M$15:OFFSET(M542,-1,0))+1,INDEX($M$15:OFFSET(M542,-1,0),MATCH($A542,$A$15:OFFSET($A542,-1,0),0)))))</f>
        <v>56</v>
      </c>
      <c r="N542" s="177" t="str">
        <f ca="1">IF($D542&lt;&gt;"Serviço","",IF(AUTOEVENTO="Manual",IF($A542=0,"&lt;-- defina o número do agrupador",OFFSET(EVENTOS!$D$14,$A542,0)),OFFSET($F$15,$A542,0)))</f>
        <v>INSTALAÇÃO ELÉTRICA 110V - DISPOSITIVOS ELÉTRICOS</v>
      </c>
      <c r="O542" s="178"/>
      <c r="Q542" s="178">
        <v>10</v>
      </c>
      <c r="R542" s="179"/>
      <c r="S542" s="179"/>
      <c r="T542" s="179"/>
      <c r="U542" s="179"/>
      <c r="V542" s="179"/>
      <c r="W542" s="179"/>
      <c r="X542" s="179"/>
      <c r="Y542" s="179"/>
      <c r="Z542" s="180"/>
      <c r="AA542" s="179"/>
      <c r="AB542" s="179"/>
      <c r="AC542" s="179"/>
      <c r="AD542" s="179"/>
      <c r="AE542" s="179"/>
      <c r="AF542" s="179"/>
      <c r="AG542" s="179"/>
      <c r="AH542" s="180"/>
      <c r="AJ542" s="544">
        <f ca="1">IF(AND($D542="Serviço",AJ$12&lt;&gt;0,$H542&gt;0,OR(AUTOEVENTO&lt;&gt;"manual",$M542&lt;&gt;1)),
IF(Import.TipoArredondamento&lt;&gt;"TransfereGOV",
ROUND(OFFSET($P542,0,AJ$13),15-13*ORÇAMENTO!$AF$7)/$H542*OFFSET(ORÇAMENTO!$X$15,ROW(AJ542)-ROW(AJ$15),0),
ROUND(ROUND(OFFSET($P542,0,AJ$13),15-13*ORÇAMENTO!$AF$7)*OFFSET(ORÇAMENTO!$W$15,ROW(AJ542)-ROW(AJ$15),0),15-13*ORÇAMENTO!$AF$11)),0)</f>
        <v>0</v>
      </c>
      <c r="AK542" s="545">
        <f ca="1">IF(AND($D542="Serviço",AK$12&lt;&gt;0,$H542&gt;0,OR(AUTOEVENTO&lt;&gt;"manual",$M542&lt;&gt;1)),
IF(Import.TipoArredondamento&lt;&gt;"TransfereGOV",
ROUND(OFFSET($P542,0,AK$13),15-13*ORÇAMENTO!$AF$7)/$H542*OFFSET(ORÇAMENTO!$X$15,ROW(AK542)-ROW(AK$15),0),
ROUND(ROUND(OFFSET($P542,0,AK$13),15-13*ORÇAMENTO!$AF$7)*OFFSET(ORÇAMENTO!$W$15,ROW(AK542)-ROW(AK$15),0),15-13*ORÇAMENTO!$AF$11)),0)</f>
        <v>0</v>
      </c>
      <c r="AL542" s="545">
        <f ca="1">IF(AND($D542="Serviço",AL$12&lt;&gt;0,$H542&gt;0,OR(AUTOEVENTO&lt;&gt;"manual",$M542&lt;&gt;1)),
IF(Import.TipoArredondamento&lt;&gt;"TransfereGOV",
ROUND(OFFSET($P542,0,AL$13),15-13*ORÇAMENTO!$AF$7)/$H542*OFFSET(ORÇAMENTO!$X$15,ROW(AL542)-ROW(AL$15),0),
ROUND(ROUND(OFFSET($P542,0,AL$13),15-13*ORÇAMENTO!$AF$7)*OFFSET(ORÇAMENTO!$W$15,ROW(AL542)-ROW(AL$15),0),15-13*ORÇAMENTO!$AF$11)),0)</f>
        <v>0</v>
      </c>
      <c r="AM542" s="545">
        <f ca="1">IF(AND($D542="Serviço",AM$12&lt;&gt;0,$H542&gt;0,OR(AUTOEVENTO&lt;&gt;"manual",$M542&lt;&gt;1)),
IF(Import.TipoArredondamento&lt;&gt;"TransfereGOV",
ROUND(OFFSET($P542,0,AM$13),15-13*ORÇAMENTO!$AF$7)/$H542*OFFSET(ORÇAMENTO!$X$15,ROW(AM542)-ROW(AM$15),0),
ROUND(ROUND(OFFSET($P542,0,AM$13),15-13*ORÇAMENTO!$AF$7)*OFFSET(ORÇAMENTO!$W$15,ROW(AM542)-ROW(AM$15),0),15-13*ORÇAMENTO!$AF$11)),0)</f>
        <v>0</v>
      </c>
      <c r="AN542" s="545">
        <f ca="1">IF(AND($D542="Serviço",AN$12&lt;&gt;0,$H542&gt;0,OR(AUTOEVENTO&lt;&gt;"manual",$M542&lt;&gt;1)),
IF(Import.TipoArredondamento&lt;&gt;"TransfereGOV",
ROUND(OFFSET($P542,0,AN$13),15-13*ORÇAMENTO!$AF$7)/$H542*OFFSET(ORÇAMENTO!$X$15,ROW(AN542)-ROW(AN$15),0),
ROUND(ROUND(OFFSET($P542,0,AN$13),15-13*ORÇAMENTO!$AF$7)*OFFSET(ORÇAMENTO!$W$15,ROW(AN542)-ROW(AN$15),0),15-13*ORÇAMENTO!$AF$11)),0)</f>
        <v>0</v>
      </c>
      <c r="AO542" s="545">
        <f ca="1">IF(AND($D542="Serviço",AO$12&lt;&gt;0,$H542&gt;0,OR(AUTOEVENTO&lt;&gt;"manual",$M542&lt;&gt;1)),
IF(Import.TipoArredondamento&lt;&gt;"TransfereGOV",
ROUND(OFFSET($P542,0,AO$13),15-13*ORÇAMENTO!$AF$7)/$H542*OFFSET(ORÇAMENTO!$X$15,ROW(AO542)-ROW(AO$15),0),
ROUND(ROUND(OFFSET($P542,0,AO$13),15-13*ORÇAMENTO!$AF$7)*OFFSET(ORÇAMENTO!$W$15,ROW(AO542)-ROW(AO$15),0),15-13*ORÇAMENTO!$AF$11)),0)</f>
        <v>0</v>
      </c>
      <c r="AP542" s="545">
        <f ca="1">IF(AND($D542="Serviço",AP$12&lt;&gt;0,$H542&gt;0,OR(AUTOEVENTO&lt;&gt;"manual",$M542&lt;&gt;1)),
IF(Import.TipoArredondamento&lt;&gt;"TransfereGOV",
ROUND(OFFSET($P542,0,AP$13),15-13*ORÇAMENTO!$AF$7)/$H542*OFFSET(ORÇAMENTO!$X$15,ROW(AP542)-ROW(AP$15),0),
ROUND(ROUND(OFFSET($P542,0,AP$13),15-13*ORÇAMENTO!$AF$7)*OFFSET(ORÇAMENTO!$W$15,ROW(AP542)-ROW(AP$15),0),15-13*ORÇAMENTO!$AF$11)),0)</f>
        <v>0</v>
      </c>
      <c r="AQ542" s="545">
        <f ca="1">IF(AND($D542="Serviço",AQ$12&lt;&gt;0,$H542&gt;0,OR(AUTOEVENTO&lt;&gt;"manual",$M542&lt;&gt;1)),
IF(Import.TipoArredondamento&lt;&gt;"TransfereGOV",
ROUND(OFFSET($P542,0,AQ$13),15-13*ORÇAMENTO!$AF$7)/$H542*OFFSET(ORÇAMENTO!$X$15,ROW(AQ542)-ROW(AQ$15),0),
ROUND(ROUND(OFFSET($P542,0,AQ$13),15-13*ORÇAMENTO!$AF$7)*OFFSET(ORÇAMENTO!$W$15,ROW(AQ542)-ROW(AQ$15),0),15-13*ORÇAMENTO!$AF$11)),0)</f>
        <v>0</v>
      </c>
      <c r="AR542" s="545">
        <f ca="1">IF(AND($D542="Serviço",AR$12&lt;&gt;0,$H542&gt;0,OR(AUTOEVENTO&lt;&gt;"manual",$M542&lt;&gt;1)),
IF(Import.TipoArredondamento&lt;&gt;"TransfereGOV",
ROUND(OFFSET($P542,0,AR$13),15-13*ORÇAMENTO!$AF$7)/$H542*OFFSET(ORÇAMENTO!$X$15,ROW(AR542)-ROW(AR$15),0),
ROUND(ROUND(OFFSET($P542,0,AR$13),15-13*ORÇAMENTO!$AF$7)*OFFSET(ORÇAMENTO!$W$15,ROW(AR542)-ROW(AR$15),0),15-13*ORÇAMENTO!$AF$11)),0)</f>
        <v>0</v>
      </c>
      <c r="AS542" s="546">
        <f ca="1">IF(AND($D542="Serviço",AS$12&lt;&gt;0,$H542&gt;0,OR(AUTOEVENTO&lt;&gt;"manual",$M542&lt;&gt;1)),
IF(Import.TipoArredondamento&lt;&gt;"TransfereGOV",
ROUND(OFFSET($P542,0,AS$13),15-13*ORÇAMENTO!$AF$7)/$H542*OFFSET(ORÇAMENTO!$X$15,ROW(AS542)-ROW(AS$15),0),
ROUND(ROUND(OFFSET($P542,0,AS$13),15-13*ORÇAMENTO!$AF$7)*OFFSET(ORÇAMENTO!$W$15,ROW(AS542)-ROW(AS$15),0),15-13*ORÇAMENTO!$AF$11)),0)</f>
        <v>0</v>
      </c>
      <c r="AT542" s="545">
        <f ca="1">IF(AND($D542="Serviço",AT$12&lt;&gt;0,$H542&gt;0,OR(AUTOEVENTO&lt;&gt;"manual",$M542&lt;&gt;1)),
IF(Import.TipoArredondamento&lt;&gt;"TransfereGOV",
ROUND(OFFSET($P542,0,AT$13),15-13*ORÇAMENTO!$AF$7)/$H542*OFFSET(ORÇAMENTO!$X$15,ROW(AT542)-ROW(AT$15),0),
ROUND(ROUND(OFFSET($P542,0,AT$13),15-13*ORÇAMENTO!$AF$7)*OFFSET(ORÇAMENTO!$W$15,ROW(AT542)-ROW(AT$15),0),15-13*ORÇAMENTO!$AF$11)),0)</f>
        <v>0</v>
      </c>
      <c r="AU542" s="545">
        <f ca="1">IF(AND($D542="Serviço",AU$12&lt;&gt;0,$H542&gt;0,OR(AUTOEVENTO&lt;&gt;"manual",$M542&lt;&gt;1)),
IF(Import.TipoArredondamento&lt;&gt;"TransfereGOV",
ROUND(OFFSET($P542,0,AU$13),15-13*ORÇAMENTO!$AF$7)/$H542*OFFSET(ORÇAMENTO!$X$15,ROW(AU542)-ROW(AU$15),0),
ROUND(ROUND(OFFSET($P542,0,AU$13),15-13*ORÇAMENTO!$AF$7)*OFFSET(ORÇAMENTO!$W$15,ROW(AU542)-ROW(AU$15),0),15-13*ORÇAMENTO!$AF$11)),0)</f>
        <v>0</v>
      </c>
      <c r="AV542" s="545">
        <f ca="1">IF(AND($D542="Serviço",AV$12&lt;&gt;0,$H542&gt;0,OR(AUTOEVENTO&lt;&gt;"manual",$M542&lt;&gt;1)),
IF(Import.TipoArredondamento&lt;&gt;"TransfereGOV",
ROUND(OFFSET($P542,0,AV$13),15-13*ORÇAMENTO!$AF$7)/$H542*OFFSET(ORÇAMENTO!$X$15,ROW(AV542)-ROW(AV$15),0),
ROUND(ROUND(OFFSET($P542,0,AV$13),15-13*ORÇAMENTO!$AF$7)*OFFSET(ORÇAMENTO!$W$15,ROW(AV542)-ROW(AV$15),0),15-13*ORÇAMENTO!$AF$11)),0)</f>
        <v>0</v>
      </c>
      <c r="AW542" s="545">
        <f ca="1">IF(AND($D542="Serviço",AW$12&lt;&gt;0,$H542&gt;0,OR(AUTOEVENTO&lt;&gt;"manual",$M542&lt;&gt;1)),
IF(Import.TipoArredondamento&lt;&gt;"TransfereGOV",
ROUND(OFFSET($P542,0,AW$13),15-13*ORÇAMENTO!$AF$7)/$H542*OFFSET(ORÇAMENTO!$X$15,ROW(AW542)-ROW(AW$15),0),
ROUND(ROUND(OFFSET($P542,0,AW$13),15-13*ORÇAMENTO!$AF$7)*OFFSET(ORÇAMENTO!$W$15,ROW(AW542)-ROW(AW$15),0),15-13*ORÇAMENTO!$AF$11)),0)</f>
        <v>0</v>
      </c>
      <c r="AX542" s="545">
        <f ca="1">IF(AND($D542="Serviço",AX$12&lt;&gt;0,$H542&gt;0,OR(AUTOEVENTO&lt;&gt;"manual",$M542&lt;&gt;1)),
IF(Import.TipoArredondamento&lt;&gt;"TransfereGOV",
ROUND(OFFSET($P542,0,AX$13),15-13*ORÇAMENTO!$AF$7)/$H542*OFFSET(ORÇAMENTO!$X$15,ROW(AX542)-ROW(AX$15),0),
ROUND(ROUND(OFFSET($P542,0,AX$13),15-13*ORÇAMENTO!$AF$7)*OFFSET(ORÇAMENTO!$W$15,ROW(AX542)-ROW(AX$15),0),15-13*ORÇAMENTO!$AF$11)),0)</f>
        <v>0</v>
      </c>
      <c r="AY542" s="545">
        <f ca="1">IF(AND($D542="Serviço",AY$12&lt;&gt;0,$H542&gt;0,OR(AUTOEVENTO&lt;&gt;"manual",$M542&lt;&gt;1)),
IF(Import.TipoArredondamento&lt;&gt;"TransfereGOV",
ROUND(OFFSET($P542,0,AY$13),15-13*ORÇAMENTO!$AF$7)/$H542*OFFSET(ORÇAMENTO!$X$15,ROW(AY542)-ROW(AY$15),0),
ROUND(ROUND(OFFSET($P542,0,AY$13),15-13*ORÇAMENTO!$AF$7)*OFFSET(ORÇAMENTO!$W$15,ROW(AY542)-ROW(AY$15),0),15-13*ORÇAMENTO!$AF$11)),0)</f>
        <v>0</v>
      </c>
      <c r="AZ542" s="545">
        <f ca="1">IF(AND($D542="Serviço",AZ$12&lt;&gt;0,$H542&gt;0,OR(AUTOEVENTO&lt;&gt;"manual",$M542&lt;&gt;1)),
IF(Import.TipoArredondamento&lt;&gt;"TransfereGOV",
ROUND(OFFSET($P542,0,AZ$13),15-13*ORÇAMENTO!$AF$7)/$H542*OFFSET(ORÇAMENTO!$X$15,ROW(AZ542)-ROW(AZ$15),0),
ROUND(ROUND(OFFSET($P542,0,AZ$13),15-13*ORÇAMENTO!$AF$7)*OFFSET(ORÇAMENTO!$W$15,ROW(AZ542)-ROW(AZ$15),0),15-13*ORÇAMENTO!$AF$11)),0)</f>
        <v>0</v>
      </c>
      <c r="BA542" s="546">
        <f ca="1">IF(AND($D542="Serviço",BA$12&lt;&gt;0,$H542&gt;0,OR(AUTOEVENTO&lt;&gt;"manual",$M542&lt;&gt;1)),
IF(Import.TipoArredondamento&lt;&gt;"TransfereGOV",
ROUND(OFFSET($P542,0,BA$13),15-13*ORÇAMENTO!$AF$7)/$H542*OFFSET(ORÇAMENTO!$X$15,ROW(BA542)-ROW(BA$15),0),
ROUND(ROUND(OFFSET($P542,0,BA$13),15-13*ORÇAMENTO!$AF$7)*OFFSET(ORÇAMENTO!$W$15,ROW(BA542)-ROW(BA$15),0),15-13*ORÇAMENTO!$AF$11)),0)</f>
        <v>0</v>
      </c>
      <c r="BC542" s="181">
        <f ca="1">IF($D542&lt;&gt;"Serviço",0,IF(AND(AUTOEVENTO="Manual",$M542=1),0,IF(OFFSET(CRONOPLE!$F$14,$M542,BC$13)="",10^12,OFFSET(CRONOPLE!$F$14,$M542,BC$13))))</f>
        <v>10</v>
      </c>
      <c r="BD542" s="181">
        <f ca="1">IF($D542&lt;&gt;"Serviço",0,IF(AND(AUTOEVENTO="Manual",$M542=1),0,IF(OFFSET(CRONOPLE!$F$14,$M542,BD$13)="",10^12,OFFSET(CRONOPLE!$F$14,$M542,BD$13))))</f>
        <v>1000000000000</v>
      </c>
      <c r="BE542" s="181">
        <f ca="1">IF($D542&lt;&gt;"Serviço",0,IF(AND(AUTOEVENTO="Manual",$M542=1),0,IF(OFFSET(CRONOPLE!$F$14,$M542,BE$13)="",10^12,OFFSET(CRONOPLE!$F$14,$M542,BE$13))))</f>
        <v>1000000000000</v>
      </c>
      <c r="BF542" s="181">
        <f ca="1">IF($D542&lt;&gt;"Serviço",0,IF(AND(AUTOEVENTO="Manual",$M542=1),0,IF(OFFSET(CRONOPLE!$F$14,$M542,BF$13)="",10^12,OFFSET(CRONOPLE!$F$14,$M542,BF$13))))</f>
        <v>1000000000000</v>
      </c>
      <c r="BG542" s="181">
        <f ca="1">IF($D542&lt;&gt;"Serviço",0,IF(AND(AUTOEVENTO="Manual",$M542=1),0,IF(OFFSET(CRONOPLE!$F$14,$M542,BG$13)="",10^12,OFFSET(CRONOPLE!$F$14,$M542,BG$13))))</f>
        <v>1000000000000</v>
      </c>
      <c r="BH542" s="181">
        <f ca="1">IF($D542&lt;&gt;"Serviço",0,IF(AND(AUTOEVENTO="Manual",$M542=1),0,IF(OFFSET(CRONOPLE!$F$14,$M542,BH$13)="",10^12,OFFSET(CRONOPLE!$F$14,$M542,BH$13))))</f>
        <v>1000000000000</v>
      </c>
      <c r="BI542" s="181">
        <f ca="1">IF($D542&lt;&gt;"Serviço",0,IF(AND(AUTOEVENTO="Manual",$M542=1),0,IF(OFFSET(CRONOPLE!$F$14,$M542,BI$13)="",10^12,OFFSET(CRONOPLE!$F$14,$M542,BI$13))))</f>
        <v>1000000000000</v>
      </c>
      <c r="BJ542" s="181">
        <f ca="1">IF($D542&lt;&gt;"Serviço",0,IF(AND(AUTOEVENTO="Manual",$M542=1),0,IF(OFFSET(CRONOPLE!$F$14,$M542,BJ$13)="",10^12,OFFSET(CRONOPLE!$F$14,$M542,BJ$13))))</f>
        <v>1000000000000</v>
      </c>
      <c r="BK542" s="181">
        <f ca="1">IF($D542&lt;&gt;"Serviço",0,IF(AND(AUTOEVENTO="Manual",$M542=1),0,IF(OFFSET(CRONOPLE!$F$14,$M542,BK$13)="",10^12,OFFSET(CRONOPLE!$F$14,$M542,BK$13))))</f>
        <v>1000000000000</v>
      </c>
      <c r="BL542" s="181">
        <f ca="1">IF($D542&lt;&gt;"Serviço",0,IF(AND(AUTOEVENTO="Manual",$M542=1),0,IF(OFFSET(CRONOPLE!$F$14,$M542,BL$13)="",10^12,OFFSET(CRONOPLE!$F$14,$M542,BL$13))))</f>
        <v>1000000000000</v>
      </c>
      <c r="BM542" s="181">
        <f ca="1">IF($D542&lt;&gt;"Serviço",0,IF(AND(AUTOEVENTO="Manual",$M542=1),0,IF(OFFSET(CRONOPLE!$F$14,$M542,BM$13)="",10^12,OFFSET(CRONOPLE!$F$14,$M542,BM$13))))</f>
        <v>1000000000000</v>
      </c>
      <c r="BN542" s="181">
        <f ca="1">IF($D542&lt;&gt;"Serviço",0,IF(AND(AUTOEVENTO="Manual",$M542=1),0,IF(OFFSET(CRONOPLE!$F$14,$M542,BN$13)="",10^12,OFFSET(CRONOPLE!$F$14,$M542,BN$13))))</f>
        <v>1000000000000</v>
      </c>
      <c r="BO542" s="181">
        <f ca="1">IF($D542&lt;&gt;"Serviço",0,IF(AND(AUTOEVENTO="Manual",$M542=1),0,IF(OFFSET(CRONOPLE!$F$14,$M542,BO$13)="",10^12,OFFSET(CRONOPLE!$F$14,$M542,BO$13))))</f>
        <v>1000000000000</v>
      </c>
      <c r="BP542" s="181">
        <f ca="1">IF($D542&lt;&gt;"Serviço",0,IF(AND(AUTOEVENTO="Manual",$M542=1),0,IF(OFFSET(CRONOPLE!$F$14,$M542,BP$13)="",10^12,OFFSET(CRONOPLE!$F$14,$M542,BP$13))))</f>
        <v>1000000000000</v>
      </c>
      <c r="BQ542" s="181">
        <f ca="1">IF($D542&lt;&gt;"Serviço",0,IF(AND(AUTOEVENTO="Manual",$M542=1),0,IF(OFFSET(CRONOPLE!$F$14,$M542,BQ$13)="",10^12,OFFSET(CRONOPLE!$F$14,$M542,BQ$13))))</f>
        <v>1000000000000</v>
      </c>
      <c r="BR542" s="181">
        <f ca="1">IF($D542&lt;&gt;"Serviço",0,IF(AND(AUTOEVENTO="Manual",$M542=1),0,IF(OFFSET(CRONOPLE!$F$14,$M542,BR$13)="",10^12,OFFSET(CRONOPLE!$F$14,$M542,BR$13))))</f>
        <v>1000000000000</v>
      </c>
      <c r="BS542" s="181">
        <f ca="1">IF($D542&lt;&gt;"Serviço",0,IF(AND(AUTOEVENTO="Manual",$M542=1),0,IF(OFFSET(CRONOPLE!$F$14,$M542,BS$13)="",10^12,OFFSET(CRONOPLE!$F$14,$M542,BS$13))))</f>
        <v>1000000000000</v>
      </c>
      <c r="BT542" s="181">
        <f ca="1">IF($D542&lt;&gt;"Serviço",0,IF(AND(AUTOEVENTO="Manual",$M542=1),0,IF(OFFSET(CRONOPLE!$F$14,$M542,BT$13)="",10^12,OFFSET(CRONOPLE!$F$14,$M542,BT$13))))</f>
        <v>1000000000000</v>
      </c>
      <c r="BV542" s="182">
        <f ca="1">IF($D542&lt;&gt;"Serviço",0,IF(OR(AND(AUTOEVENTO="Manual",$M542=1),$M542&gt;(ROW(PLE.lastrow)-ROW(PLE.firstrow))),0,IF(OFFSET(PLE!$G$14,$M542,BV$13)="",10^12,OFFSET(PLE!$G$14,$M542,BV$13))))</f>
        <v>1000000000000</v>
      </c>
      <c r="BW542" s="182">
        <f ca="1">IF($D542&lt;&gt;"Serviço",0,IF(OR(AND(AUTOEVENTO="Manual",$M542=1),$M542&gt;(ROW(PLE.lastrow)-ROW(PLE.firstrow))),0,IF(OFFSET(PLE!$G$14,$M542,BW$13)="",10^12,OFFSET(PLE!$G$14,$M542,BW$13))))</f>
        <v>1000000000000</v>
      </c>
      <c r="BX542" s="182">
        <f ca="1">IF($D542&lt;&gt;"Serviço",0,IF(OR(AND(AUTOEVENTO="Manual",$M542=1),$M542&gt;(ROW(PLE.lastrow)-ROW(PLE.firstrow))),0,IF(OFFSET(PLE!$G$14,$M542,BX$13)="",10^12,OFFSET(PLE!$G$14,$M542,BX$13))))</f>
        <v>1000000000000</v>
      </c>
      <c r="BY542" s="182">
        <f ca="1">IF($D542&lt;&gt;"Serviço",0,IF(OR(AND(AUTOEVENTO="Manual",$M542=1),$M542&gt;(ROW(PLE.lastrow)-ROW(PLE.firstrow))),0,IF(OFFSET(PLE!$G$14,$M542,BY$13)="",10^12,OFFSET(PLE!$G$14,$M542,BY$13))))</f>
        <v>1000000000000</v>
      </c>
      <c r="BZ542" s="182">
        <f ca="1">IF($D542&lt;&gt;"Serviço",0,IF(OR(AND(AUTOEVENTO="Manual",$M542=1),$M542&gt;(ROW(PLE.lastrow)-ROW(PLE.firstrow))),0,IF(OFFSET(PLE!$G$14,$M542,BZ$13)="",10^12,OFFSET(PLE!$G$14,$M542,BZ$13))))</f>
        <v>1000000000000</v>
      </c>
      <c r="CA542" s="182">
        <f ca="1">IF($D542&lt;&gt;"Serviço",0,IF(OR(AND(AUTOEVENTO="Manual",$M542=1),$M542&gt;(ROW(PLE.lastrow)-ROW(PLE.firstrow))),0,IF(OFFSET(PLE!$G$14,$M542,CA$13)="",10^12,OFFSET(PLE!$G$14,$M542,CA$13))))</f>
        <v>1000000000000</v>
      </c>
      <c r="CB542" s="182">
        <f ca="1">IF($D542&lt;&gt;"Serviço",0,IF(OR(AND(AUTOEVENTO="Manual",$M542=1),$M542&gt;(ROW(PLE.lastrow)-ROW(PLE.firstrow))),0,IF(OFFSET(PLE!$G$14,$M542,CB$13)="",10^12,OFFSET(PLE!$G$14,$M542,CB$13))))</f>
        <v>1000000000000</v>
      </c>
      <c r="CC542" s="182">
        <f ca="1">IF($D542&lt;&gt;"Serviço",0,IF(OR(AND(AUTOEVENTO="Manual",$M542=1),$M542&gt;(ROW(PLE.lastrow)-ROW(PLE.firstrow))),0,IF(OFFSET(PLE!$G$14,$M542,CC$13)="",10^12,OFFSET(PLE!$G$14,$M542,CC$13))))</f>
        <v>1000000000000</v>
      </c>
      <c r="CD542" s="182">
        <f ca="1">IF($D542&lt;&gt;"Serviço",0,IF(OR(AND(AUTOEVENTO="Manual",$M542=1),$M542&gt;(ROW(PLE.lastrow)-ROW(PLE.firstrow))),0,IF(OFFSET(PLE!$G$14,$M542,CD$13)="",10^12,OFFSET(PLE!$G$14,$M542,CD$13))))</f>
        <v>1000000000000</v>
      </c>
      <c r="CE542" s="182">
        <f ca="1">IF($D542&lt;&gt;"Serviço",0,IF(OR(AND(AUTOEVENTO="Manual",$M542=1),$M542&gt;(ROW(PLE.lastrow)-ROW(PLE.firstrow))),0,IF(OFFSET(PLE!$G$14,$M542,CE$13)="",10^12,OFFSET(PLE!$G$14,$M542,CE$13))))</f>
        <v>1000000000000</v>
      </c>
      <c r="CF542" s="182">
        <f ca="1">IF($D542&lt;&gt;"Serviço",0,IF(OR(AND(AUTOEVENTO="Manual",$M542=1),$M542&gt;(ROW(PLE.lastrow)-ROW(PLE.firstrow))),0,IF(OFFSET(PLE!$G$14,$M542,CF$13)="",10^12,OFFSET(PLE!$G$14,$M542,CF$13))))</f>
        <v>1000000000000</v>
      </c>
      <c r="CG542" s="182">
        <f ca="1">IF($D542&lt;&gt;"Serviço",0,IF(OR(AND(AUTOEVENTO="Manual",$M542=1),$M542&gt;(ROW(PLE.lastrow)-ROW(PLE.firstrow))),0,IF(OFFSET(PLE!$G$14,$M542,CG$13)="",10^12,OFFSET(PLE!$G$14,$M542,CG$13))))</f>
        <v>1000000000000</v>
      </c>
      <c r="CH542" s="182">
        <f ca="1">IF($D542&lt;&gt;"Serviço",0,IF(OR(AND(AUTOEVENTO="Manual",$M542=1),$M542&gt;(ROW(PLE.lastrow)-ROW(PLE.firstrow))),0,IF(OFFSET(PLE!$G$14,$M542,CH$13)="",10^12,OFFSET(PLE!$G$14,$M542,CH$13))))</f>
        <v>1000000000000</v>
      </c>
      <c r="CI542" s="182">
        <f ca="1">IF($D542&lt;&gt;"Serviço",0,IF(OR(AND(AUTOEVENTO="Manual",$M542=1),$M542&gt;(ROW(PLE.lastrow)-ROW(PLE.firstrow))),0,IF(OFFSET(PLE!$G$14,$M542,CI$13)="",10^12,OFFSET(PLE!$G$14,$M542,CI$13))))</f>
        <v>1000000000000</v>
      </c>
      <c r="CJ542" s="182">
        <f ca="1">IF($D542&lt;&gt;"Serviço",0,IF(OR(AND(AUTOEVENTO="Manual",$M542=1),$M542&gt;(ROW(PLE.lastrow)-ROW(PLE.firstrow))),0,IF(OFFSET(PLE!$G$14,$M542,CJ$13)="",10^12,OFFSET(PLE!$G$14,$M542,CJ$13))))</f>
        <v>1000000000000</v>
      </c>
      <c r="CK542" s="182">
        <f ca="1">IF($D542&lt;&gt;"Serviço",0,IF(OR(AND(AUTOEVENTO="Manual",$M542=1),$M542&gt;(ROW(PLE.lastrow)-ROW(PLE.firstrow))),0,IF(OFFSET(PLE!$G$14,$M542,CK$13)="",10^12,OFFSET(PLE!$G$14,$M542,CK$13))))</f>
        <v>1000000000000</v>
      </c>
      <c r="CL542" s="182">
        <f ca="1">IF($D542&lt;&gt;"Serviço",0,IF(OR(AND(AUTOEVENTO="Manual",$M542=1),$M542&gt;(ROW(PLE.lastrow)-ROW(PLE.firstrow))),0,IF(OFFSET(PLE!$G$14,$M542,CL$13)="",10^12,OFFSET(PLE!$G$14,$M542,CL$13))))</f>
        <v>1000000000000</v>
      </c>
      <c r="CM542" s="182">
        <f ca="1">IF($D542&lt;&gt;"Serviço",0,IF(OR(AND(AUTOEVENTO="Manual",$M542=1),$M542&gt;(ROW(PLE.lastrow)-ROW(PLE.firstrow))),0,IF(OFFSET(PLE!$G$14,$M542,CM$13)="",10^12,OFFSET(PLE!$G$14,$M542,CM$13))))</f>
        <v>1000000000000</v>
      </c>
    </row>
    <row r="543" spans="1:91" ht="12.75" x14ac:dyDescent="0.2">
      <c r="A543" s="7" t="str">
        <f t="shared" ca="1" si="17"/>
        <v>528.</v>
      </c>
      <c r="B543" s="7">
        <f ca="1">OFFSET(ORÇAMENTO!C$15,ROW(B543)-ROW(B$15),0)</f>
        <v>2</v>
      </c>
      <c r="C543" s="7" t="str">
        <f ca="1">OFFSET(ORÇAMENTO!L$15,ROW(C543)-ROW(C$15),0)</f>
        <v>F</v>
      </c>
      <c r="D543" s="118" t="str">
        <f ca="1">OFFSET(ORÇAMENTO!N$15,ROW(D543)-ROW(D$15),0)</f>
        <v>Nível 2</v>
      </c>
      <c r="E543" s="119" t="str">
        <f ca="1">OFFSET(ORÇAMENTO!O$15,ROW(E543)-ROW(E$15),0)</f>
        <v>1.56.</v>
      </c>
      <c r="F543" s="172" t="str">
        <f ca="1">OFFSET(ORÇAMENTO!R$15,ROW(F543)-ROW(F$15),0)</f>
        <v>INSTALAÇÃO ELÉTRICA 110V - DISPOSITIVOS DE PROTEÇÃO</v>
      </c>
      <c r="G543" s="173" t="str">
        <f ca="1">IF($D543&lt;&gt;"Serviço","",OFFSET(ORÇAMENTO!S$15,ROW(G543)-ROW(G$15),0))</f>
        <v/>
      </c>
      <c r="H543" s="124">
        <f ca="1">IF($D543&lt;&gt;"Serviço",0,IF(ACOMPANHAMENTO="BM",ROUND(OFFSET(ORÇAMENTO!AJ$15,ROW(H543)-ROW(H$15),0),15-13*ORÇAMENTO!$AF$7),SUMPRODUCT(($Q$12:$AI$12&lt;&gt;"")*ROUND($Q543:$AI543,15-13*ORÇAMENTO!$AF$7))))</f>
        <v>0</v>
      </c>
      <c r="I543" s="561"/>
      <c r="K543" s="174"/>
      <c r="L543" s="175" t="s">
        <v>255</v>
      </c>
      <c r="M543" s="176" t="str">
        <f ca="1">IF($D543&lt;&gt;"Serviço","",IF(AUTOEVENTO="manual",$A543,IF(ISERROR(MATCH($A543,$A$15:OFFSET($A543,-1,0),0)),MAX($M$15:OFFSET(M543,-1,0))+1,INDEX($M$15:OFFSET(M543,-1,0),MATCH($A543,$A$15:OFFSET($A543,-1,0),0)))))</f>
        <v/>
      </c>
      <c r="N543" s="177" t="str">
        <f ca="1">IF($D543&lt;&gt;"Serviço","",IF(AUTOEVENTO="Manual",IF($A543=0,"&lt;-- defina o número do agrupador",OFFSET(EVENTOS!$D$14,$A543,0)),OFFSET($F$15,$A543,0)))</f>
        <v/>
      </c>
      <c r="O543" s="178"/>
      <c r="Q543" s="178">
        <v>0</v>
      </c>
      <c r="R543" s="179"/>
      <c r="S543" s="179"/>
      <c r="T543" s="179"/>
      <c r="U543" s="179"/>
      <c r="V543" s="179"/>
      <c r="W543" s="179"/>
      <c r="X543" s="179"/>
      <c r="Y543" s="179"/>
      <c r="Z543" s="180"/>
      <c r="AA543" s="179"/>
      <c r="AB543" s="179"/>
      <c r="AC543" s="179"/>
      <c r="AD543" s="179"/>
      <c r="AE543" s="179"/>
      <c r="AF543" s="179"/>
      <c r="AG543" s="179"/>
      <c r="AH543" s="180"/>
      <c r="AJ543" s="544">
        <f ca="1">IF(AND($D543="Serviço",AJ$12&lt;&gt;0,$H543&gt;0,OR(AUTOEVENTO&lt;&gt;"manual",$M543&lt;&gt;1)),
IF(Import.TipoArredondamento&lt;&gt;"TransfereGOV",
ROUND(OFFSET($P543,0,AJ$13),15-13*ORÇAMENTO!$AF$7)/$H543*OFFSET(ORÇAMENTO!$X$15,ROW(AJ543)-ROW(AJ$15),0),
ROUND(ROUND(OFFSET($P543,0,AJ$13),15-13*ORÇAMENTO!$AF$7)*OFFSET(ORÇAMENTO!$W$15,ROW(AJ543)-ROW(AJ$15),0),15-13*ORÇAMENTO!$AF$11)),0)</f>
        <v>0</v>
      </c>
      <c r="AK543" s="545">
        <f ca="1">IF(AND($D543="Serviço",AK$12&lt;&gt;0,$H543&gt;0,OR(AUTOEVENTO&lt;&gt;"manual",$M543&lt;&gt;1)),
IF(Import.TipoArredondamento&lt;&gt;"TransfereGOV",
ROUND(OFFSET($P543,0,AK$13),15-13*ORÇAMENTO!$AF$7)/$H543*OFFSET(ORÇAMENTO!$X$15,ROW(AK543)-ROW(AK$15),0),
ROUND(ROUND(OFFSET($P543,0,AK$13),15-13*ORÇAMENTO!$AF$7)*OFFSET(ORÇAMENTO!$W$15,ROW(AK543)-ROW(AK$15),0),15-13*ORÇAMENTO!$AF$11)),0)</f>
        <v>0</v>
      </c>
      <c r="AL543" s="545">
        <f ca="1">IF(AND($D543="Serviço",AL$12&lt;&gt;0,$H543&gt;0,OR(AUTOEVENTO&lt;&gt;"manual",$M543&lt;&gt;1)),
IF(Import.TipoArredondamento&lt;&gt;"TransfereGOV",
ROUND(OFFSET($P543,0,AL$13),15-13*ORÇAMENTO!$AF$7)/$H543*OFFSET(ORÇAMENTO!$X$15,ROW(AL543)-ROW(AL$15),0),
ROUND(ROUND(OFFSET($P543,0,AL$13),15-13*ORÇAMENTO!$AF$7)*OFFSET(ORÇAMENTO!$W$15,ROW(AL543)-ROW(AL$15),0),15-13*ORÇAMENTO!$AF$11)),0)</f>
        <v>0</v>
      </c>
      <c r="AM543" s="545">
        <f ca="1">IF(AND($D543="Serviço",AM$12&lt;&gt;0,$H543&gt;0,OR(AUTOEVENTO&lt;&gt;"manual",$M543&lt;&gt;1)),
IF(Import.TipoArredondamento&lt;&gt;"TransfereGOV",
ROUND(OFFSET($P543,0,AM$13),15-13*ORÇAMENTO!$AF$7)/$H543*OFFSET(ORÇAMENTO!$X$15,ROW(AM543)-ROW(AM$15),0),
ROUND(ROUND(OFFSET($P543,0,AM$13),15-13*ORÇAMENTO!$AF$7)*OFFSET(ORÇAMENTO!$W$15,ROW(AM543)-ROW(AM$15),0),15-13*ORÇAMENTO!$AF$11)),0)</f>
        <v>0</v>
      </c>
      <c r="AN543" s="545">
        <f ca="1">IF(AND($D543="Serviço",AN$12&lt;&gt;0,$H543&gt;0,OR(AUTOEVENTO&lt;&gt;"manual",$M543&lt;&gt;1)),
IF(Import.TipoArredondamento&lt;&gt;"TransfereGOV",
ROUND(OFFSET($P543,0,AN$13),15-13*ORÇAMENTO!$AF$7)/$H543*OFFSET(ORÇAMENTO!$X$15,ROW(AN543)-ROW(AN$15),0),
ROUND(ROUND(OFFSET($P543,0,AN$13),15-13*ORÇAMENTO!$AF$7)*OFFSET(ORÇAMENTO!$W$15,ROW(AN543)-ROW(AN$15),0),15-13*ORÇAMENTO!$AF$11)),0)</f>
        <v>0</v>
      </c>
      <c r="AO543" s="545">
        <f ca="1">IF(AND($D543="Serviço",AO$12&lt;&gt;0,$H543&gt;0,OR(AUTOEVENTO&lt;&gt;"manual",$M543&lt;&gt;1)),
IF(Import.TipoArredondamento&lt;&gt;"TransfereGOV",
ROUND(OFFSET($P543,0,AO$13),15-13*ORÇAMENTO!$AF$7)/$H543*OFFSET(ORÇAMENTO!$X$15,ROW(AO543)-ROW(AO$15),0),
ROUND(ROUND(OFFSET($P543,0,AO$13),15-13*ORÇAMENTO!$AF$7)*OFFSET(ORÇAMENTO!$W$15,ROW(AO543)-ROW(AO$15),0),15-13*ORÇAMENTO!$AF$11)),0)</f>
        <v>0</v>
      </c>
      <c r="AP543" s="545">
        <f ca="1">IF(AND($D543="Serviço",AP$12&lt;&gt;0,$H543&gt;0,OR(AUTOEVENTO&lt;&gt;"manual",$M543&lt;&gt;1)),
IF(Import.TipoArredondamento&lt;&gt;"TransfereGOV",
ROUND(OFFSET($P543,0,AP$13),15-13*ORÇAMENTO!$AF$7)/$H543*OFFSET(ORÇAMENTO!$X$15,ROW(AP543)-ROW(AP$15),0),
ROUND(ROUND(OFFSET($P543,0,AP$13),15-13*ORÇAMENTO!$AF$7)*OFFSET(ORÇAMENTO!$W$15,ROW(AP543)-ROW(AP$15),0),15-13*ORÇAMENTO!$AF$11)),0)</f>
        <v>0</v>
      </c>
      <c r="AQ543" s="545">
        <f ca="1">IF(AND($D543="Serviço",AQ$12&lt;&gt;0,$H543&gt;0,OR(AUTOEVENTO&lt;&gt;"manual",$M543&lt;&gt;1)),
IF(Import.TipoArredondamento&lt;&gt;"TransfereGOV",
ROUND(OFFSET($P543,0,AQ$13),15-13*ORÇAMENTO!$AF$7)/$H543*OFFSET(ORÇAMENTO!$X$15,ROW(AQ543)-ROW(AQ$15),0),
ROUND(ROUND(OFFSET($P543,0,AQ$13),15-13*ORÇAMENTO!$AF$7)*OFFSET(ORÇAMENTO!$W$15,ROW(AQ543)-ROW(AQ$15),0),15-13*ORÇAMENTO!$AF$11)),0)</f>
        <v>0</v>
      </c>
      <c r="AR543" s="545">
        <f ca="1">IF(AND($D543="Serviço",AR$12&lt;&gt;0,$H543&gt;0,OR(AUTOEVENTO&lt;&gt;"manual",$M543&lt;&gt;1)),
IF(Import.TipoArredondamento&lt;&gt;"TransfereGOV",
ROUND(OFFSET($P543,0,AR$13),15-13*ORÇAMENTO!$AF$7)/$H543*OFFSET(ORÇAMENTO!$X$15,ROW(AR543)-ROW(AR$15),0),
ROUND(ROUND(OFFSET($P543,0,AR$13),15-13*ORÇAMENTO!$AF$7)*OFFSET(ORÇAMENTO!$W$15,ROW(AR543)-ROW(AR$15),0),15-13*ORÇAMENTO!$AF$11)),0)</f>
        <v>0</v>
      </c>
      <c r="AS543" s="546">
        <f ca="1">IF(AND($D543="Serviço",AS$12&lt;&gt;0,$H543&gt;0,OR(AUTOEVENTO&lt;&gt;"manual",$M543&lt;&gt;1)),
IF(Import.TipoArredondamento&lt;&gt;"TransfereGOV",
ROUND(OFFSET($P543,0,AS$13),15-13*ORÇAMENTO!$AF$7)/$H543*OFFSET(ORÇAMENTO!$X$15,ROW(AS543)-ROW(AS$15),0),
ROUND(ROUND(OFFSET($P543,0,AS$13),15-13*ORÇAMENTO!$AF$7)*OFFSET(ORÇAMENTO!$W$15,ROW(AS543)-ROW(AS$15),0),15-13*ORÇAMENTO!$AF$11)),0)</f>
        <v>0</v>
      </c>
      <c r="AT543" s="545">
        <f ca="1">IF(AND($D543="Serviço",AT$12&lt;&gt;0,$H543&gt;0,OR(AUTOEVENTO&lt;&gt;"manual",$M543&lt;&gt;1)),
IF(Import.TipoArredondamento&lt;&gt;"TransfereGOV",
ROUND(OFFSET($P543,0,AT$13),15-13*ORÇAMENTO!$AF$7)/$H543*OFFSET(ORÇAMENTO!$X$15,ROW(AT543)-ROW(AT$15),0),
ROUND(ROUND(OFFSET($P543,0,AT$13),15-13*ORÇAMENTO!$AF$7)*OFFSET(ORÇAMENTO!$W$15,ROW(AT543)-ROW(AT$15),0),15-13*ORÇAMENTO!$AF$11)),0)</f>
        <v>0</v>
      </c>
      <c r="AU543" s="545">
        <f ca="1">IF(AND($D543="Serviço",AU$12&lt;&gt;0,$H543&gt;0,OR(AUTOEVENTO&lt;&gt;"manual",$M543&lt;&gt;1)),
IF(Import.TipoArredondamento&lt;&gt;"TransfereGOV",
ROUND(OFFSET($P543,0,AU$13),15-13*ORÇAMENTO!$AF$7)/$H543*OFFSET(ORÇAMENTO!$X$15,ROW(AU543)-ROW(AU$15),0),
ROUND(ROUND(OFFSET($P543,0,AU$13),15-13*ORÇAMENTO!$AF$7)*OFFSET(ORÇAMENTO!$W$15,ROW(AU543)-ROW(AU$15),0),15-13*ORÇAMENTO!$AF$11)),0)</f>
        <v>0</v>
      </c>
      <c r="AV543" s="545">
        <f ca="1">IF(AND($D543="Serviço",AV$12&lt;&gt;0,$H543&gt;0,OR(AUTOEVENTO&lt;&gt;"manual",$M543&lt;&gt;1)),
IF(Import.TipoArredondamento&lt;&gt;"TransfereGOV",
ROUND(OFFSET($P543,0,AV$13),15-13*ORÇAMENTO!$AF$7)/$H543*OFFSET(ORÇAMENTO!$X$15,ROW(AV543)-ROW(AV$15),0),
ROUND(ROUND(OFFSET($P543,0,AV$13),15-13*ORÇAMENTO!$AF$7)*OFFSET(ORÇAMENTO!$W$15,ROW(AV543)-ROW(AV$15),0),15-13*ORÇAMENTO!$AF$11)),0)</f>
        <v>0</v>
      </c>
      <c r="AW543" s="545">
        <f ca="1">IF(AND($D543="Serviço",AW$12&lt;&gt;0,$H543&gt;0,OR(AUTOEVENTO&lt;&gt;"manual",$M543&lt;&gt;1)),
IF(Import.TipoArredondamento&lt;&gt;"TransfereGOV",
ROUND(OFFSET($P543,0,AW$13),15-13*ORÇAMENTO!$AF$7)/$H543*OFFSET(ORÇAMENTO!$X$15,ROW(AW543)-ROW(AW$15),0),
ROUND(ROUND(OFFSET($P543,0,AW$13),15-13*ORÇAMENTO!$AF$7)*OFFSET(ORÇAMENTO!$W$15,ROW(AW543)-ROW(AW$15),0),15-13*ORÇAMENTO!$AF$11)),0)</f>
        <v>0</v>
      </c>
      <c r="AX543" s="545">
        <f ca="1">IF(AND($D543="Serviço",AX$12&lt;&gt;0,$H543&gt;0,OR(AUTOEVENTO&lt;&gt;"manual",$M543&lt;&gt;1)),
IF(Import.TipoArredondamento&lt;&gt;"TransfereGOV",
ROUND(OFFSET($P543,0,AX$13),15-13*ORÇAMENTO!$AF$7)/$H543*OFFSET(ORÇAMENTO!$X$15,ROW(AX543)-ROW(AX$15),0),
ROUND(ROUND(OFFSET($P543,0,AX$13),15-13*ORÇAMENTO!$AF$7)*OFFSET(ORÇAMENTO!$W$15,ROW(AX543)-ROW(AX$15),0),15-13*ORÇAMENTO!$AF$11)),0)</f>
        <v>0</v>
      </c>
      <c r="AY543" s="545">
        <f ca="1">IF(AND($D543="Serviço",AY$12&lt;&gt;0,$H543&gt;0,OR(AUTOEVENTO&lt;&gt;"manual",$M543&lt;&gt;1)),
IF(Import.TipoArredondamento&lt;&gt;"TransfereGOV",
ROUND(OFFSET($P543,0,AY$13),15-13*ORÇAMENTO!$AF$7)/$H543*OFFSET(ORÇAMENTO!$X$15,ROW(AY543)-ROW(AY$15),0),
ROUND(ROUND(OFFSET($P543,0,AY$13),15-13*ORÇAMENTO!$AF$7)*OFFSET(ORÇAMENTO!$W$15,ROW(AY543)-ROW(AY$15),0),15-13*ORÇAMENTO!$AF$11)),0)</f>
        <v>0</v>
      </c>
      <c r="AZ543" s="545">
        <f ca="1">IF(AND($D543="Serviço",AZ$12&lt;&gt;0,$H543&gt;0,OR(AUTOEVENTO&lt;&gt;"manual",$M543&lt;&gt;1)),
IF(Import.TipoArredondamento&lt;&gt;"TransfereGOV",
ROUND(OFFSET($P543,0,AZ$13),15-13*ORÇAMENTO!$AF$7)/$H543*OFFSET(ORÇAMENTO!$X$15,ROW(AZ543)-ROW(AZ$15),0),
ROUND(ROUND(OFFSET($P543,0,AZ$13),15-13*ORÇAMENTO!$AF$7)*OFFSET(ORÇAMENTO!$W$15,ROW(AZ543)-ROW(AZ$15),0),15-13*ORÇAMENTO!$AF$11)),0)</f>
        <v>0</v>
      </c>
      <c r="BA543" s="546">
        <f ca="1">IF(AND($D543="Serviço",BA$12&lt;&gt;0,$H543&gt;0,OR(AUTOEVENTO&lt;&gt;"manual",$M543&lt;&gt;1)),
IF(Import.TipoArredondamento&lt;&gt;"TransfereGOV",
ROUND(OFFSET($P543,0,BA$13),15-13*ORÇAMENTO!$AF$7)/$H543*OFFSET(ORÇAMENTO!$X$15,ROW(BA543)-ROW(BA$15),0),
ROUND(ROUND(OFFSET($P543,0,BA$13),15-13*ORÇAMENTO!$AF$7)*OFFSET(ORÇAMENTO!$W$15,ROW(BA543)-ROW(BA$15),0),15-13*ORÇAMENTO!$AF$11)),0)</f>
        <v>0</v>
      </c>
      <c r="BC543" s="181">
        <f ca="1">IF($D543&lt;&gt;"Serviço",0,IF(AND(AUTOEVENTO="Manual",$M543=1),0,IF(OFFSET(CRONOPLE!$F$14,$M543,BC$13)="",10^12,OFFSET(CRONOPLE!$F$14,$M543,BC$13))))</f>
        <v>0</v>
      </c>
      <c r="BD543" s="181">
        <f ca="1">IF($D543&lt;&gt;"Serviço",0,IF(AND(AUTOEVENTO="Manual",$M543=1),0,IF(OFFSET(CRONOPLE!$F$14,$M543,BD$13)="",10^12,OFFSET(CRONOPLE!$F$14,$M543,BD$13))))</f>
        <v>0</v>
      </c>
      <c r="BE543" s="181">
        <f ca="1">IF($D543&lt;&gt;"Serviço",0,IF(AND(AUTOEVENTO="Manual",$M543=1),0,IF(OFFSET(CRONOPLE!$F$14,$M543,BE$13)="",10^12,OFFSET(CRONOPLE!$F$14,$M543,BE$13))))</f>
        <v>0</v>
      </c>
      <c r="BF543" s="181">
        <f ca="1">IF($D543&lt;&gt;"Serviço",0,IF(AND(AUTOEVENTO="Manual",$M543=1),0,IF(OFFSET(CRONOPLE!$F$14,$M543,BF$13)="",10^12,OFFSET(CRONOPLE!$F$14,$M543,BF$13))))</f>
        <v>0</v>
      </c>
      <c r="BG543" s="181">
        <f ca="1">IF($D543&lt;&gt;"Serviço",0,IF(AND(AUTOEVENTO="Manual",$M543=1),0,IF(OFFSET(CRONOPLE!$F$14,$M543,BG$13)="",10^12,OFFSET(CRONOPLE!$F$14,$M543,BG$13))))</f>
        <v>0</v>
      </c>
      <c r="BH543" s="181">
        <f ca="1">IF($D543&lt;&gt;"Serviço",0,IF(AND(AUTOEVENTO="Manual",$M543=1),0,IF(OFFSET(CRONOPLE!$F$14,$M543,BH$13)="",10^12,OFFSET(CRONOPLE!$F$14,$M543,BH$13))))</f>
        <v>0</v>
      </c>
      <c r="BI543" s="181">
        <f ca="1">IF($D543&lt;&gt;"Serviço",0,IF(AND(AUTOEVENTO="Manual",$M543=1),0,IF(OFFSET(CRONOPLE!$F$14,$M543,BI$13)="",10^12,OFFSET(CRONOPLE!$F$14,$M543,BI$13))))</f>
        <v>0</v>
      </c>
      <c r="BJ543" s="181">
        <f ca="1">IF($D543&lt;&gt;"Serviço",0,IF(AND(AUTOEVENTO="Manual",$M543=1),0,IF(OFFSET(CRONOPLE!$F$14,$M543,BJ$13)="",10^12,OFFSET(CRONOPLE!$F$14,$M543,BJ$13))))</f>
        <v>0</v>
      </c>
      <c r="BK543" s="181">
        <f ca="1">IF($D543&lt;&gt;"Serviço",0,IF(AND(AUTOEVENTO="Manual",$M543=1),0,IF(OFFSET(CRONOPLE!$F$14,$M543,BK$13)="",10^12,OFFSET(CRONOPLE!$F$14,$M543,BK$13))))</f>
        <v>0</v>
      </c>
      <c r="BL543" s="181">
        <f ca="1">IF($D543&lt;&gt;"Serviço",0,IF(AND(AUTOEVENTO="Manual",$M543=1),0,IF(OFFSET(CRONOPLE!$F$14,$M543,BL$13)="",10^12,OFFSET(CRONOPLE!$F$14,$M543,BL$13))))</f>
        <v>0</v>
      </c>
      <c r="BM543" s="181">
        <f ca="1">IF($D543&lt;&gt;"Serviço",0,IF(AND(AUTOEVENTO="Manual",$M543=1),0,IF(OFFSET(CRONOPLE!$F$14,$M543,BM$13)="",10^12,OFFSET(CRONOPLE!$F$14,$M543,BM$13))))</f>
        <v>0</v>
      </c>
      <c r="BN543" s="181">
        <f ca="1">IF($D543&lt;&gt;"Serviço",0,IF(AND(AUTOEVENTO="Manual",$M543=1),0,IF(OFFSET(CRONOPLE!$F$14,$M543,BN$13)="",10^12,OFFSET(CRONOPLE!$F$14,$M543,BN$13))))</f>
        <v>0</v>
      </c>
      <c r="BO543" s="181">
        <f ca="1">IF($D543&lt;&gt;"Serviço",0,IF(AND(AUTOEVENTO="Manual",$M543=1),0,IF(OFFSET(CRONOPLE!$F$14,$M543,BO$13)="",10^12,OFFSET(CRONOPLE!$F$14,$M543,BO$13))))</f>
        <v>0</v>
      </c>
      <c r="BP543" s="181">
        <f ca="1">IF($D543&lt;&gt;"Serviço",0,IF(AND(AUTOEVENTO="Manual",$M543=1),0,IF(OFFSET(CRONOPLE!$F$14,$M543,BP$13)="",10^12,OFFSET(CRONOPLE!$F$14,$M543,BP$13))))</f>
        <v>0</v>
      </c>
      <c r="BQ543" s="181">
        <f ca="1">IF($D543&lt;&gt;"Serviço",0,IF(AND(AUTOEVENTO="Manual",$M543=1),0,IF(OFFSET(CRONOPLE!$F$14,$M543,BQ$13)="",10^12,OFFSET(CRONOPLE!$F$14,$M543,BQ$13))))</f>
        <v>0</v>
      </c>
      <c r="BR543" s="181">
        <f ca="1">IF($D543&lt;&gt;"Serviço",0,IF(AND(AUTOEVENTO="Manual",$M543=1),0,IF(OFFSET(CRONOPLE!$F$14,$M543,BR$13)="",10^12,OFFSET(CRONOPLE!$F$14,$M543,BR$13))))</f>
        <v>0</v>
      </c>
      <c r="BS543" s="181">
        <f ca="1">IF($D543&lt;&gt;"Serviço",0,IF(AND(AUTOEVENTO="Manual",$M543=1),0,IF(OFFSET(CRONOPLE!$F$14,$M543,BS$13)="",10^12,OFFSET(CRONOPLE!$F$14,$M543,BS$13))))</f>
        <v>0</v>
      </c>
      <c r="BT543" s="181">
        <f ca="1">IF($D543&lt;&gt;"Serviço",0,IF(AND(AUTOEVENTO="Manual",$M543=1),0,IF(OFFSET(CRONOPLE!$F$14,$M543,BT$13)="",10^12,OFFSET(CRONOPLE!$F$14,$M543,BT$13))))</f>
        <v>0</v>
      </c>
      <c r="BV543" s="182">
        <f ca="1">IF($D543&lt;&gt;"Serviço",0,IF(OR(AND(AUTOEVENTO="Manual",$M543=1),$M543&gt;(ROW(PLE.lastrow)-ROW(PLE.firstrow))),0,IF(OFFSET(PLE!$G$14,$M543,BV$13)="",10^12,OFFSET(PLE!$G$14,$M543,BV$13))))</f>
        <v>0</v>
      </c>
      <c r="BW543" s="182">
        <f ca="1">IF($D543&lt;&gt;"Serviço",0,IF(OR(AND(AUTOEVENTO="Manual",$M543=1),$M543&gt;(ROW(PLE.lastrow)-ROW(PLE.firstrow))),0,IF(OFFSET(PLE!$G$14,$M543,BW$13)="",10^12,OFFSET(PLE!$G$14,$M543,BW$13))))</f>
        <v>0</v>
      </c>
      <c r="BX543" s="182">
        <f ca="1">IF($D543&lt;&gt;"Serviço",0,IF(OR(AND(AUTOEVENTO="Manual",$M543=1),$M543&gt;(ROW(PLE.lastrow)-ROW(PLE.firstrow))),0,IF(OFFSET(PLE!$G$14,$M543,BX$13)="",10^12,OFFSET(PLE!$G$14,$M543,BX$13))))</f>
        <v>0</v>
      </c>
      <c r="BY543" s="182">
        <f ca="1">IF($D543&lt;&gt;"Serviço",0,IF(OR(AND(AUTOEVENTO="Manual",$M543=1),$M543&gt;(ROW(PLE.lastrow)-ROW(PLE.firstrow))),0,IF(OFFSET(PLE!$G$14,$M543,BY$13)="",10^12,OFFSET(PLE!$G$14,$M543,BY$13))))</f>
        <v>0</v>
      </c>
      <c r="BZ543" s="182">
        <f ca="1">IF($D543&lt;&gt;"Serviço",0,IF(OR(AND(AUTOEVENTO="Manual",$M543=1),$M543&gt;(ROW(PLE.lastrow)-ROW(PLE.firstrow))),0,IF(OFFSET(PLE!$G$14,$M543,BZ$13)="",10^12,OFFSET(PLE!$G$14,$M543,BZ$13))))</f>
        <v>0</v>
      </c>
      <c r="CA543" s="182">
        <f ca="1">IF($D543&lt;&gt;"Serviço",0,IF(OR(AND(AUTOEVENTO="Manual",$M543=1),$M543&gt;(ROW(PLE.lastrow)-ROW(PLE.firstrow))),0,IF(OFFSET(PLE!$G$14,$M543,CA$13)="",10^12,OFFSET(PLE!$G$14,$M543,CA$13))))</f>
        <v>0</v>
      </c>
      <c r="CB543" s="182">
        <f ca="1">IF($D543&lt;&gt;"Serviço",0,IF(OR(AND(AUTOEVENTO="Manual",$M543=1),$M543&gt;(ROW(PLE.lastrow)-ROW(PLE.firstrow))),0,IF(OFFSET(PLE!$G$14,$M543,CB$13)="",10^12,OFFSET(PLE!$G$14,$M543,CB$13))))</f>
        <v>0</v>
      </c>
      <c r="CC543" s="182">
        <f ca="1">IF($D543&lt;&gt;"Serviço",0,IF(OR(AND(AUTOEVENTO="Manual",$M543=1),$M543&gt;(ROW(PLE.lastrow)-ROW(PLE.firstrow))),0,IF(OFFSET(PLE!$G$14,$M543,CC$13)="",10^12,OFFSET(PLE!$G$14,$M543,CC$13))))</f>
        <v>0</v>
      </c>
      <c r="CD543" s="182">
        <f ca="1">IF($D543&lt;&gt;"Serviço",0,IF(OR(AND(AUTOEVENTO="Manual",$M543=1),$M543&gt;(ROW(PLE.lastrow)-ROW(PLE.firstrow))),0,IF(OFFSET(PLE!$G$14,$M543,CD$13)="",10^12,OFFSET(PLE!$G$14,$M543,CD$13))))</f>
        <v>0</v>
      </c>
      <c r="CE543" s="182">
        <f ca="1">IF($D543&lt;&gt;"Serviço",0,IF(OR(AND(AUTOEVENTO="Manual",$M543=1),$M543&gt;(ROW(PLE.lastrow)-ROW(PLE.firstrow))),0,IF(OFFSET(PLE!$G$14,$M543,CE$13)="",10^12,OFFSET(PLE!$G$14,$M543,CE$13))))</f>
        <v>0</v>
      </c>
      <c r="CF543" s="182">
        <f ca="1">IF($D543&lt;&gt;"Serviço",0,IF(OR(AND(AUTOEVENTO="Manual",$M543=1),$M543&gt;(ROW(PLE.lastrow)-ROW(PLE.firstrow))),0,IF(OFFSET(PLE!$G$14,$M543,CF$13)="",10^12,OFFSET(PLE!$G$14,$M543,CF$13))))</f>
        <v>0</v>
      </c>
      <c r="CG543" s="182">
        <f ca="1">IF($D543&lt;&gt;"Serviço",0,IF(OR(AND(AUTOEVENTO="Manual",$M543=1),$M543&gt;(ROW(PLE.lastrow)-ROW(PLE.firstrow))),0,IF(OFFSET(PLE!$G$14,$M543,CG$13)="",10^12,OFFSET(PLE!$G$14,$M543,CG$13))))</f>
        <v>0</v>
      </c>
      <c r="CH543" s="182">
        <f ca="1">IF($D543&lt;&gt;"Serviço",0,IF(OR(AND(AUTOEVENTO="Manual",$M543=1),$M543&gt;(ROW(PLE.lastrow)-ROW(PLE.firstrow))),0,IF(OFFSET(PLE!$G$14,$M543,CH$13)="",10^12,OFFSET(PLE!$G$14,$M543,CH$13))))</f>
        <v>0</v>
      </c>
      <c r="CI543" s="182">
        <f ca="1">IF($D543&lt;&gt;"Serviço",0,IF(OR(AND(AUTOEVENTO="Manual",$M543=1),$M543&gt;(ROW(PLE.lastrow)-ROW(PLE.firstrow))),0,IF(OFFSET(PLE!$G$14,$M543,CI$13)="",10^12,OFFSET(PLE!$G$14,$M543,CI$13))))</f>
        <v>0</v>
      </c>
      <c r="CJ543" s="182">
        <f ca="1">IF($D543&lt;&gt;"Serviço",0,IF(OR(AND(AUTOEVENTO="Manual",$M543=1),$M543&gt;(ROW(PLE.lastrow)-ROW(PLE.firstrow))),0,IF(OFFSET(PLE!$G$14,$M543,CJ$13)="",10^12,OFFSET(PLE!$G$14,$M543,CJ$13))))</f>
        <v>0</v>
      </c>
      <c r="CK543" s="182">
        <f ca="1">IF($D543&lt;&gt;"Serviço",0,IF(OR(AND(AUTOEVENTO="Manual",$M543=1),$M543&gt;(ROW(PLE.lastrow)-ROW(PLE.firstrow))),0,IF(OFFSET(PLE!$G$14,$M543,CK$13)="",10^12,OFFSET(PLE!$G$14,$M543,CK$13))))</f>
        <v>0</v>
      </c>
      <c r="CL543" s="182">
        <f ca="1">IF($D543&lt;&gt;"Serviço",0,IF(OR(AND(AUTOEVENTO="Manual",$M543=1),$M543&gt;(ROW(PLE.lastrow)-ROW(PLE.firstrow))),0,IF(OFFSET(PLE!$G$14,$M543,CL$13)="",10^12,OFFSET(PLE!$G$14,$M543,CL$13))))</f>
        <v>0</v>
      </c>
      <c r="CM543" s="182">
        <f ca="1">IF($D543&lt;&gt;"Serviço",0,IF(OR(AND(AUTOEVENTO="Manual",$M543=1),$M543&gt;(ROW(PLE.lastrow)-ROW(PLE.firstrow))),0,IF(OFFSET(PLE!$G$14,$M543,CM$13)="",10^12,OFFSET(PLE!$G$14,$M543,CM$13))))</f>
        <v>0</v>
      </c>
    </row>
    <row r="544" spans="1:91" ht="25.5" x14ac:dyDescent="0.2">
      <c r="A544" s="7" t="str">
        <f t="shared" ca="1" si="17"/>
        <v>528</v>
      </c>
      <c r="B544" s="7" t="str">
        <f ca="1">OFFSET(ORÇAMENTO!C$15,ROW(B544)-ROW(B$15),0)</f>
        <v>S</v>
      </c>
      <c r="C544" s="7" t="str">
        <f ca="1">OFFSET(ORÇAMENTO!L$15,ROW(C544)-ROW(C$15),0)</f>
        <v/>
      </c>
      <c r="D544" s="118" t="str">
        <f ca="1">OFFSET(ORÇAMENTO!N$15,ROW(D544)-ROW(D$15),0)</f>
        <v>Serviço</v>
      </c>
      <c r="E544" s="119" t="str">
        <f ca="1">OFFSET(ORÇAMENTO!O$15,ROW(E544)-ROW(E$15),0)</f>
        <v>-</v>
      </c>
      <c r="F544" s="172" t="str">
        <f ca="1">OFFSET(ORÇAMENTO!R$15,ROW(F544)-ROW(F$15),0)</f>
        <v>(abra o arquivo 'Referência 06-2024.xlsm)</v>
      </c>
      <c r="G544" s="173" t="str">
        <f ca="1">IF($D544&lt;&gt;"Serviço","",OFFSET(ORÇAMENTO!S$15,ROW(G544)-ROW(G$15),0))</f>
        <v>-</v>
      </c>
      <c r="H544" s="124">
        <f ca="1">IF($D544&lt;&gt;"Serviço",0,IF(ACOMPANHAMENTO="BM",ROUND(OFFSET(ORÇAMENTO!AJ$15,ROW(H544)-ROW(H$15),0),15-13*ORÇAMENTO!$AF$7),SUMPRODUCT(($Q$12:$AI$12&lt;&gt;"")*ROUND($Q544:$AI544,15-13*ORÇAMENTO!$AF$7))))</f>
        <v>2</v>
      </c>
      <c r="I544" s="561" t="s">
        <v>1107</v>
      </c>
      <c r="K544" s="174"/>
      <c r="L544" s="175" t="s">
        <v>255</v>
      </c>
      <c r="M544" s="176">
        <f ca="1">IF($D544&lt;&gt;"Serviço","",IF(AUTOEVENTO="manual",$A544,IF(ISERROR(MATCH($A544,$A$15:OFFSET($A544,-1,0),0)),MAX($M$15:OFFSET(M544,-1,0))+1,INDEX($M$15:OFFSET(M544,-1,0),MATCH($A544,$A$15:OFFSET($A544,-1,0),0)))))</f>
        <v>57</v>
      </c>
      <c r="N544" s="177" t="str">
        <f ca="1">IF($D544&lt;&gt;"Serviço","",IF(AUTOEVENTO="Manual",IF($A544=0,"&lt;-- defina o número do agrupador",OFFSET(EVENTOS!$D$14,$A544,0)),OFFSET($F$15,$A544,0)))</f>
        <v>INSTALAÇÃO ELÉTRICA 110V - DISPOSITIVOS DE PROTEÇÃO</v>
      </c>
      <c r="O544" s="178"/>
      <c r="Q544" s="178">
        <v>2</v>
      </c>
      <c r="R544" s="179"/>
      <c r="S544" s="179"/>
      <c r="T544" s="179"/>
      <c r="U544" s="179"/>
      <c r="V544" s="179"/>
      <c r="W544" s="179"/>
      <c r="X544" s="179"/>
      <c r="Y544" s="179"/>
      <c r="Z544" s="180"/>
      <c r="AA544" s="179"/>
      <c r="AB544" s="179"/>
      <c r="AC544" s="179"/>
      <c r="AD544" s="179"/>
      <c r="AE544" s="179"/>
      <c r="AF544" s="179"/>
      <c r="AG544" s="179"/>
      <c r="AH544" s="180"/>
      <c r="AJ544" s="544">
        <f ca="1">IF(AND($D544="Serviço",AJ$12&lt;&gt;0,$H544&gt;0,OR(AUTOEVENTO&lt;&gt;"manual",$M544&lt;&gt;1)),
IF(Import.TipoArredondamento&lt;&gt;"TransfereGOV",
ROUND(OFFSET($P544,0,AJ$13),15-13*ORÇAMENTO!$AF$7)/$H544*OFFSET(ORÇAMENTO!$X$15,ROW(AJ544)-ROW(AJ$15),0),
ROUND(ROUND(OFFSET($P544,0,AJ$13),15-13*ORÇAMENTO!$AF$7)*OFFSET(ORÇAMENTO!$W$15,ROW(AJ544)-ROW(AJ$15),0),15-13*ORÇAMENTO!$AF$11)),0)</f>
        <v>0</v>
      </c>
      <c r="AK544" s="545">
        <f ca="1">IF(AND($D544="Serviço",AK$12&lt;&gt;0,$H544&gt;0,OR(AUTOEVENTO&lt;&gt;"manual",$M544&lt;&gt;1)),
IF(Import.TipoArredondamento&lt;&gt;"TransfereGOV",
ROUND(OFFSET($P544,0,AK$13),15-13*ORÇAMENTO!$AF$7)/$H544*OFFSET(ORÇAMENTO!$X$15,ROW(AK544)-ROW(AK$15),0),
ROUND(ROUND(OFFSET($P544,0,AK$13),15-13*ORÇAMENTO!$AF$7)*OFFSET(ORÇAMENTO!$W$15,ROW(AK544)-ROW(AK$15),0),15-13*ORÇAMENTO!$AF$11)),0)</f>
        <v>0</v>
      </c>
      <c r="AL544" s="545">
        <f ca="1">IF(AND($D544="Serviço",AL$12&lt;&gt;0,$H544&gt;0,OR(AUTOEVENTO&lt;&gt;"manual",$M544&lt;&gt;1)),
IF(Import.TipoArredondamento&lt;&gt;"TransfereGOV",
ROUND(OFFSET($P544,0,AL$13),15-13*ORÇAMENTO!$AF$7)/$H544*OFFSET(ORÇAMENTO!$X$15,ROW(AL544)-ROW(AL$15),0),
ROUND(ROUND(OFFSET($P544,0,AL$13),15-13*ORÇAMENTO!$AF$7)*OFFSET(ORÇAMENTO!$W$15,ROW(AL544)-ROW(AL$15),0),15-13*ORÇAMENTO!$AF$11)),0)</f>
        <v>0</v>
      </c>
      <c r="AM544" s="545">
        <f ca="1">IF(AND($D544="Serviço",AM$12&lt;&gt;0,$H544&gt;0,OR(AUTOEVENTO&lt;&gt;"manual",$M544&lt;&gt;1)),
IF(Import.TipoArredondamento&lt;&gt;"TransfereGOV",
ROUND(OFFSET($P544,0,AM$13),15-13*ORÇAMENTO!$AF$7)/$H544*OFFSET(ORÇAMENTO!$X$15,ROW(AM544)-ROW(AM$15),0),
ROUND(ROUND(OFFSET($P544,0,AM$13),15-13*ORÇAMENTO!$AF$7)*OFFSET(ORÇAMENTO!$W$15,ROW(AM544)-ROW(AM$15),0),15-13*ORÇAMENTO!$AF$11)),0)</f>
        <v>0</v>
      </c>
      <c r="AN544" s="545">
        <f ca="1">IF(AND($D544="Serviço",AN$12&lt;&gt;0,$H544&gt;0,OR(AUTOEVENTO&lt;&gt;"manual",$M544&lt;&gt;1)),
IF(Import.TipoArredondamento&lt;&gt;"TransfereGOV",
ROUND(OFFSET($P544,0,AN$13),15-13*ORÇAMENTO!$AF$7)/$H544*OFFSET(ORÇAMENTO!$X$15,ROW(AN544)-ROW(AN$15),0),
ROUND(ROUND(OFFSET($P544,0,AN$13),15-13*ORÇAMENTO!$AF$7)*OFFSET(ORÇAMENTO!$W$15,ROW(AN544)-ROW(AN$15),0),15-13*ORÇAMENTO!$AF$11)),0)</f>
        <v>0</v>
      </c>
      <c r="AO544" s="545">
        <f ca="1">IF(AND($D544="Serviço",AO$12&lt;&gt;0,$H544&gt;0,OR(AUTOEVENTO&lt;&gt;"manual",$M544&lt;&gt;1)),
IF(Import.TipoArredondamento&lt;&gt;"TransfereGOV",
ROUND(OFFSET($P544,0,AO$13),15-13*ORÇAMENTO!$AF$7)/$H544*OFFSET(ORÇAMENTO!$X$15,ROW(AO544)-ROW(AO$15),0),
ROUND(ROUND(OFFSET($P544,0,AO$13),15-13*ORÇAMENTO!$AF$7)*OFFSET(ORÇAMENTO!$W$15,ROW(AO544)-ROW(AO$15),0),15-13*ORÇAMENTO!$AF$11)),0)</f>
        <v>0</v>
      </c>
      <c r="AP544" s="545">
        <f ca="1">IF(AND($D544="Serviço",AP$12&lt;&gt;0,$H544&gt;0,OR(AUTOEVENTO&lt;&gt;"manual",$M544&lt;&gt;1)),
IF(Import.TipoArredondamento&lt;&gt;"TransfereGOV",
ROUND(OFFSET($P544,0,AP$13),15-13*ORÇAMENTO!$AF$7)/$H544*OFFSET(ORÇAMENTO!$X$15,ROW(AP544)-ROW(AP$15),0),
ROUND(ROUND(OFFSET($P544,0,AP$13),15-13*ORÇAMENTO!$AF$7)*OFFSET(ORÇAMENTO!$W$15,ROW(AP544)-ROW(AP$15),0),15-13*ORÇAMENTO!$AF$11)),0)</f>
        <v>0</v>
      </c>
      <c r="AQ544" s="545">
        <f ca="1">IF(AND($D544="Serviço",AQ$12&lt;&gt;0,$H544&gt;0,OR(AUTOEVENTO&lt;&gt;"manual",$M544&lt;&gt;1)),
IF(Import.TipoArredondamento&lt;&gt;"TransfereGOV",
ROUND(OFFSET($P544,0,AQ$13),15-13*ORÇAMENTO!$AF$7)/$H544*OFFSET(ORÇAMENTO!$X$15,ROW(AQ544)-ROW(AQ$15),0),
ROUND(ROUND(OFFSET($P544,0,AQ$13),15-13*ORÇAMENTO!$AF$7)*OFFSET(ORÇAMENTO!$W$15,ROW(AQ544)-ROW(AQ$15),0),15-13*ORÇAMENTO!$AF$11)),0)</f>
        <v>0</v>
      </c>
      <c r="AR544" s="545">
        <f ca="1">IF(AND($D544="Serviço",AR$12&lt;&gt;0,$H544&gt;0,OR(AUTOEVENTO&lt;&gt;"manual",$M544&lt;&gt;1)),
IF(Import.TipoArredondamento&lt;&gt;"TransfereGOV",
ROUND(OFFSET($P544,0,AR$13),15-13*ORÇAMENTO!$AF$7)/$H544*OFFSET(ORÇAMENTO!$X$15,ROW(AR544)-ROW(AR$15),0),
ROUND(ROUND(OFFSET($P544,0,AR$13),15-13*ORÇAMENTO!$AF$7)*OFFSET(ORÇAMENTO!$W$15,ROW(AR544)-ROW(AR$15),0),15-13*ORÇAMENTO!$AF$11)),0)</f>
        <v>0</v>
      </c>
      <c r="AS544" s="546">
        <f ca="1">IF(AND($D544="Serviço",AS$12&lt;&gt;0,$H544&gt;0,OR(AUTOEVENTO&lt;&gt;"manual",$M544&lt;&gt;1)),
IF(Import.TipoArredondamento&lt;&gt;"TransfereGOV",
ROUND(OFFSET($P544,0,AS$13),15-13*ORÇAMENTO!$AF$7)/$H544*OFFSET(ORÇAMENTO!$X$15,ROW(AS544)-ROW(AS$15),0),
ROUND(ROUND(OFFSET($P544,0,AS$13),15-13*ORÇAMENTO!$AF$7)*OFFSET(ORÇAMENTO!$W$15,ROW(AS544)-ROW(AS$15),0),15-13*ORÇAMENTO!$AF$11)),0)</f>
        <v>0</v>
      </c>
      <c r="AT544" s="545">
        <f ca="1">IF(AND($D544="Serviço",AT$12&lt;&gt;0,$H544&gt;0,OR(AUTOEVENTO&lt;&gt;"manual",$M544&lt;&gt;1)),
IF(Import.TipoArredondamento&lt;&gt;"TransfereGOV",
ROUND(OFFSET($P544,0,AT$13),15-13*ORÇAMENTO!$AF$7)/$H544*OFFSET(ORÇAMENTO!$X$15,ROW(AT544)-ROW(AT$15),0),
ROUND(ROUND(OFFSET($P544,0,AT$13),15-13*ORÇAMENTO!$AF$7)*OFFSET(ORÇAMENTO!$W$15,ROW(AT544)-ROW(AT$15),0),15-13*ORÇAMENTO!$AF$11)),0)</f>
        <v>0</v>
      </c>
      <c r="AU544" s="545">
        <f ca="1">IF(AND($D544="Serviço",AU$12&lt;&gt;0,$H544&gt;0,OR(AUTOEVENTO&lt;&gt;"manual",$M544&lt;&gt;1)),
IF(Import.TipoArredondamento&lt;&gt;"TransfereGOV",
ROUND(OFFSET($P544,0,AU$13),15-13*ORÇAMENTO!$AF$7)/$H544*OFFSET(ORÇAMENTO!$X$15,ROW(AU544)-ROW(AU$15),0),
ROUND(ROUND(OFFSET($P544,0,AU$13),15-13*ORÇAMENTO!$AF$7)*OFFSET(ORÇAMENTO!$W$15,ROW(AU544)-ROW(AU$15),0),15-13*ORÇAMENTO!$AF$11)),0)</f>
        <v>0</v>
      </c>
      <c r="AV544" s="545">
        <f ca="1">IF(AND($D544="Serviço",AV$12&lt;&gt;0,$H544&gt;0,OR(AUTOEVENTO&lt;&gt;"manual",$M544&lt;&gt;1)),
IF(Import.TipoArredondamento&lt;&gt;"TransfereGOV",
ROUND(OFFSET($P544,0,AV$13),15-13*ORÇAMENTO!$AF$7)/$H544*OFFSET(ORÇAMENTO!$X$15,ROW(AV544)-ROW(AV$15),0),
ROUND(ROUND(OFFSET($P544,0,AV$13),15-13*ORÇAMENTO!$AF$7)*OFFSET(ORÇAMENTO!$W$15,ROW(AV544)-ROW(AV$15),0),15-13*ORÇAMENTO!$AF$11)),0)</f>
        <v>0</v>
      </c>
      <c r="AW544" s="545">
        <f ca="1">IF(AND($D544="Serviço",AW$12&lt;&gt;0,$H544&gt;0,OR(AUTOEVENTO&lt;&gt;"manual",$M544&lt;&gt;1)),
IF(Import.TipoArredondamento&lt;&gt;"TransfereGOV",
ROUND(OFFSET($P544,0,AW$13),15-13*ORÇAMENTO!$AF$7)/$H544*OFFSET(ORÇAMENTO!$X$15,ROW(AW544)-ROW(AW$15),0),
ROUND(ROUND(OFFSET($P544,0,AW$13),15-13*ORÇAMENTO!$AF$7)*OFFSET(ORÇAMENTO!$W$15,ROW(AW544)-ROW(AW$15),0),15-13*ORÇAMENTO!$AF$11)),0)</f>
        <v>0</v>
      </c>
      <c r="AX544" s="545">
        <f ca="1">IF(AND($D544="Serviço",AX$12&lt;&gt;0,$H544&gt;0,OR(AUTOEVENTO&lt;&gt;"manual",$M544&lt;&gt;1)),
IF(Import.TipoArredondamento&lt;&gt;"TransfereGOV",
ROUND(OFFSET($P544,0,AX$13),15-13*ORÇAMENTO!$AF$7)/$H544*OFFSET(ORÇAMENTO!$X$15,ROW(AX544)-ROW(AX$15),0),
ROUND(ROUND(OFFSET($P544,0,AX$13),15-13*ORÇAMENTO!$AF$7)*OFFSET(ORÇAMENTO!$W$15,ROW(AX544)-ROW(AX$15),0),15-13*ORÇAMENTO!$AF$11)),0)</f>
        <v>0</v>
      </c>
      <c r="AY544" s="545">
        <f ca="1">IF(AND($D544="Serviço",AY$12&lt;&gt;0,$H544&gt;0,OR(AUTOEVENTO&lt;&gt;"manual",$M544&lt;&gt;1)),
IF(Import.TipoArredondamento&lt;&gt;"TransfereGOV",
ROUND(OFFSET($P544,0,AY$13),15-13*ORÇAMENTO!$AF$7)/$H544*OFFSET(ORÇAMENTO!$X$15,ROW(AY544)-ROW(AY$15),0),
ROUND(ROUND(OFFSET($P544,0,AY$13),15-13*ORÇAMENTO!$AF$7)*OFFSET(ORÇAMENTO!$W$15,ROW(AY544)-ROW(AY$15),0),15-13*ORÇAMENTO!$AF$11)),0)</f>
        <v>0</v>
      </c>
      <c r="AZ544" s="545">
        <f ca="1">IF(AND($D544="Serviço",AZ$12&lt;&gt;0,$H544&gt;0,OR(AUTOEVENTO&lt;&gt;"manual",$M544&lt;&gt;1)),
IF(Import.TipoArredondamento&lt;&gt;"TransfereGOV",
ROUND(OFFSET($P544,0,AZ$13),15-13*ORÇAMENTO!$AF$7)/$H544*OFFSET(ORÇAMENTO!$X$15,ROW(AZ544)-ROW(AZ$15),0),
ROUND(ROUND(OFFSET($P544,0,AZ$13),15-13*ORÇAMENTO!$AF$7)*OFFSET(ORÇAMENTO!$W$15,ROW(AZ544)-ROW(AZ$15),0),15-13*ORÇAMENTO!$AF$11)),0)</f>
        <v>0</v>
      </c>
      <c r="BA544" s="546">
        <f ca="1">IF(AND($D544="Serviço",BA$12&lt;&gt;0,$H544&gt;0,OR(AUTOEVENTO&lt;&gt;"manual",$M544&lt;&gt;1)),
IF(Import.TipoArredondamento&lt;&gt;"TransfereGOV",
ROUND(OFFSET($P544,0,BA$13),15-13*ORÇAMENTO!$AF$7)/$H544*OFFSET(ORÇAMENTO!$X$15,ROW(BA544)-ROW(BA$15),0),
ROUND(ROUND(OFFSET($P544,0,BA$13),15-13*ORÇAMENTO!$AF$7)*OFFSET(ORÇAMENTO!$W$15,ROW(BA544)-ROW(BA$15),0),15-13*ORÇAMENTO!$AF$11)),0)</f>
        <v>0</v>
      </c>
      <c r="BC544" s="181">
        <f ca="1">IF($D544&lt;&gt;"Serviço",0,IF(AND(AUTOEVENTO="Manual",$M544=1),0,IF(OFFSET(CRONOPLE!$F$14,$M544,BC$13)="",10^12,OFFSET(CRONOPLE!$F$14,$M544,BC$13))))</f>
        <v>10</v>
      </c>
      <c r="BD544" s="181">
        <f ca="1">IF($D544&lt;&gt;"Serviço",0,IF(AND(AUTOEVENTO="Manual",$M544=1),0,IF(OFFSET(CRONOPLE!$F$14,$M544,BD$13)="",10^12,OFFSET(CRONOPLE!$F$14,$M544,BD$13))))</f>
        <v>1000000000000</v>
      </c>
      <c r="BE544" s="181">
        <f ca="1">IF($D544&lt;&gt;"Serviço",0,IF(AND(AUTOEVENTO="Manual",$M544=1),0,IF(OFFSET(CRONOPLE!$F$14,$M544,BE$13)="",10^12,OFFSET(CRONOPLE!$F$14,$M544,BE$13))))</f>
        <v>1000000000000</v>
      </c>
      <c r="BF544" s="181">
        <f ca="1">IF($D544&lt;&gt;"Serviço",0,IF(AND(AUTOEVENTO="Manual",$M544=1),0,IF(OFFSET(CRONOPLE!$F$14,$M544,BF$13)="",10^12,OFFSET(CRONOPLE!$F$14,$M544,BF$13))))</f>
        <v>1000000000000</v>
      </c>
      <c r="BG544" s="181">
        <f ca="1">IF($D544&lt;&gt;"Serviço",0,IF(AND(AUTOEVENTO="Manual",$M544=1),0,IF(OFFSET(CRONOPLE!$F$14,$M544,BG$13)="",10^12,OFFSET(CRONOPLE!$F$14,$M544,BG$13))))</f>
        <v>1000000000000</v>
      </c>
      <c r="BH544" s="181">
        <f ca="1">IF($D544&lt;&gt;"Serviço",0,IF(AND(AUTOEVENTO="Manual",$M544=1),0,IF(OFFSET(CRONOPLE!$F$14,$M544,BH$13)="",10^12,OFFSET(CRONOPLE!$F$14,$M544,BH$13))))</f>
        <v>1000000000000</v>
      </c>
      <c r="BI544" s="181">
        <f ca="1">IF($D544&lt;&gt;"Serviço",0,IF(AND(AUTOEVENTO="Manual",$M544=1),0,IF(OFFSET(CRONOPLE!$F$14,$M544,BI$13)="",10^12,OFFSET(CRONOPLE!$F$14,$M544,BI$13))))</f>
        <v>1000000000000</v>
      </c>
      <c r="BJ544" s="181">
        <f ca="1">IF($D544&lt;&gt;"Serviço",0,IF(AND(AUTOEVENTO="Manual",$M544=1),0,IF(OFFSET(CRONOPLE!$F$14,$M544,BJ$13)="",10^12,OFFSET(CRONOPLE!$F$14,$M544,BJ$13))))</f>
        <v>1000000000000</v>
      </c>
      <c r="BK544" s="181">
        <f ca="1">IF($D544&lt;&gt;"Serviço",0,IF(AND(AUTOEVENTO="Manual",$M544=1),0,IF(OFFSET(CRONOPLE!$F$14,$M544,BK$13)="",10^12,OFFSET(CRONOPLE!$F$14,$M544,BK$13))))</f>
        <v>1000000000000</v>
      </c>
      <c r="BL544" s="181">
        <f ca="1">IF($D544&lt;&gt;"Serviço",0,IF(AND(AUTOEVENTO="Manual",$M544=1),0,IF(OFFSET(CRONOPLE!$F$14,$M544,BL$13)="",10^12,OFFSET(CRONOPLE!$F$14,$M544,BL$13))))</f>
        <v>1000000000000</v>
      </c>
      <c r="BM544" s="181">
        <f ca="1">IF($D544&lt;&gt;"Serviço",0,IF(AND(AUTOEVENTO="Manual",$M544=1),0,IF(OFFSET(CRONOPLE!$F$14,$M544,BM$13)="",10^12,OFFSET(CRONOPLE!$F$14,$M544,BM$13))))</f>
        <v>1000000000000</v>
      </c>
      <c r="BN544" s="181">
        <f ca="1">IF($D544&lt;&gt;"Serviço",0,IF(AND(AUTOEVENTO="Manual",$M544=1),0,IF(OFFSET(CRONOPLE!$F$14,$M544,BN$13)="",10^12,OFFSET(CRONOPLE!$F$14,$M544,BN$13))))</f>
        <v>1000000000000</v>
      </c>
      <c r="BO544" s="181">
        <f ca="1">IF($D544&lt;&gt;"Serviço",0,IF(AND(AUTOEVENTO="Manual",$M544=1),0,IF(OFFSET(CRONOPLE!$F$14,$M544,BO$13)="",10^12,OFFSET(CRONOPLE!$F$14,$M544,BO$13))))</f>
        <v>1000000000000</v>
      </c>
      <c r="BP544" s="181">
        <f ca="1">IF($D544&lt;&gt;"Serviço",0,IF(AND(AUTOEVENTO="Manual",$M544=1),0,IF(OFFSET(CRONOPLE!$F$14,$M544,BP$13)="",10^12,OFFSET(CRONOPLE!$F$14,$M544,BP$13))))</f>
        <v>1000000000000</v>
      </c>
      <c r="BQ544" s="181">
        <f ca="1">IF($D544&lt;&gt;"Serviço",0,IF(AND(AUTOEVENTO="Manual",$M544=1),0,IF(OFFSET(CRONOPLE!$F$14,$M544,BQ$13)="",10^12,OFFSET(CRONOPLE!$F$14,$M544,BQ$13))))</f>
        <v>1000000000000</v>
      </c>
      <c r="BR544" s="181">
        <f ca="1">IF($D544&lt;&gt;"Serviço",0,IF(AND(AUTOEVENTO="Manual",$M544=1),0,IF(OFFSET(CRONOPLE!$F$14,$M544,BR$13)="",10^12,OFFSET(CRONOPLE!$F$14,$M544,BR$13))))</f>
        <v>1000000000000</v>
      </c>
      <c r="BS544" s="181">
        <f ca="1">IF($D544&lt;&gt;"Serviço",0,IF(AND(AUTOEVENTO="Manual",$M544=1),0,IF(OFFSET(CRONOPLE!$F$14,$M544,BS$13)="",10^12,OFFSET(CRONOPLE!$F$14,$M544,BS$13))))</f>
        <v>1000000000000</v>
      </c>
      <c r="BT544" s="181">
        <f ca="1">IF($D544&lt;&gt;"Serviço",0,IF(AND(AUTOEVENTO="Manual",$M544=1),0,IF(OFFSET(CRONOPLE!$F$14,$M544,BT$13)="",10^12,OFFSET(CRONOPLE!$F$14,$M544,BT$13))))</f>
        <v>1000000000000</v>
      </c>
      <c r="BV544" s="182">
        <f ca="1">IF($D544&lt;&gt;"Serviço",0,IF(OR(AND(AUTOEVENTO="Manual",$M544=1),$M544&gt;(ROW(PLE.lastrow)-ROW(PLE.firstrow))),0,IF(OFFSET(PLE!$G$14,$M544,BV$13)="",10^12,OFFSET(PLE!$G$14,$M544,BV$13))))</f>
        <v>1000000000000</v>
      </c>
      <c r="BW544" s="182">
        <f ca="1">IF($D544&lt;&gt;"Serviço",0,IF(OR(AND(AUTOEVENTO="Manual",$M544=1),$M544&gt;(ROW(PLE.lastrow)-ROW(PLE.firstrow))),0,IF(OFFSET(PLE!$G$14,$M544,BW$13)="",10^12,OFFSET(PLE!$G$14,$M544,BW$13))))</f>
        <v>1000000000000</v>
      </c>
      <c r="BX544" s="182">
        <f ca="1">IF($D544&lt;&gt;"Serviço",0,IF(OR(AND(AUTOEVENTO="Manual",$M544=1),$M544&gt;(ROW(PLE.lastrow)-ROW(PLE.firstrow))),0,IF(OFFSET(PLE!$G$14,$M544,BX$13)="",10^12,OFFSET(PLE!$G$14,$M544,BX$13))))</f>
        <v>1000000000000</v>
      </c>
      <c r="BY544" s="182">
        <f ca="1">IF($D544&lt;&gt;"Serviço",0,IF(OR(AND(AUTOEVENTO="Manual",$M544=1),$M544&gt;(ROW(PLE.lastrow)-ROW(PLE.firstrow))),0,IF(OFFSET(PLE!$G$14,$M544,BY$13)="",10^12,OFFSET(PLE!$G$14,$M544,BY$13))))</f>
        <v>1000000000000</v>
      </c>
      <c r="BZ544" s="182">
        <f ca="1">IF($D544&lt;&gt;"Serviço",0,IF(OR(AND(AUTOEVENTO="Manual",$M544=1),$M544&gt;(ROW(PLE.lastrow)-ROW(PLE.firstrow))),0,IF(OFFSET(PLE!$G$14,$M544,BZ$13)="",10^12,OFFSET(PLE!$G$14,$M544,BZ$13))))</f>
        <v>1000000000000</v>
      </c>
      <c r="CA544" s="182">
        <f ca="1">IF($D544&lt;&gt;"Serviço",0,IF(OR(AND(AUTOEVENTO="Manual",$M544=1),$M544&gt;(ROW(PLE.lastrow)-ROW(PLE.firstrow))),0,IF(OFFSET(PLE!$G$14,$M544,CA$13)="",10^12,OFFSET(PLE!$G$14,$M544,CA$13))))</f>
        <v>1000000000000</v>
      </c>
      <c r="CB544" s="182">
        <f ca="1">IF($D544&lt;&gt;"Serviço",0,IF(OR(AND(AUTOEVENTO="Manual",$M544=1),$M544&gt;(ROW(PLE.lastrow)-ROW(PLE.firstrow))),0,IF(OFFSET(PLE!$G$14,$M544,CB$13)="",10^12,OFFSET(PLE!$G$14,$M544,CB$13))))</f>
        <v>1000000000000</v>
      </c>
      <c r="CC544" s="182">
        <f ca="1">IF($D544&lt;&gt;"Serviço",0,IF(OR(AND(AUTOEVENTO="Manual",$M544=1),$M544&gt;(ROW(PLE.lastrow)-ROW(PLE.firstrow))),0,IF(OFFSET(PLE!$G$14,$M544,CC$13)="",10^12,OFFSET(PLE!$G$14,$M544,CC$13))))</f>
        <v>1000000000000</v>
      </c>
      <c r="CD544" s="182">
        <f ca="1">IF($D544&lt;&gt;"Serviço",0,IF(OR(AND(AUTOEVENTO="Manual",$M544=1),$M544&gt;(ROW(PLE.lastrow)-ROW(PLE.firstrow))),0,IF(OFFSET(PLE!$G$14,$M544,CD$13)="",10^12,OFFSET(PLE!$G$14,$M544,CD$13))))</f>
        <v>1000000000000</v>
      </c>
      <c r="CE544" s="182">
        <f ca="1">IF($D544&lt;&gt;"Serviço",0,IF(OR(AND(AUTOEVENTO="Manual",$M544=1),$M544&gt;(ROW(PLE.lastrow)-ROW(PLE.firstrow))),0,IF(OFFSET(PLE!$G$14,$M544,CE$13)="",10^12,OFFSET(PLE!$G$14,$M544,CE$13))))</f>
        <v>1000000000000</v>
      </c>
      <c r="CF544" s="182">
        <f ca="1">IF($D544&lt;&gt;"Serviço",0,IF(OR(AND(AUTOEVENTO="Manual",$M544=1),$M544&gt;(ROW(PLE.lastrow)-ROW(PLE.firstrow))),0,IF(OFFSET(PLE!$G$14,$M544,CF$13)="",10^12,OFFSET(PLE!$G$14,$M544,CF$13))))</f>
        <v>1000000000000</v>
      </c>
      <c r="CG544" s="182">
        <f ca="1">IF($D544&lt;&gt;"Serviço",0,IF(OR(AND(AUTOEVENTO="Manual",$M544=1),$M544&gt;(ROW(PLE.lastrow)-ROW(PLE.firstrow))),0,IF(OFFSET(PLE!$G$14,$M544,CG$13)="",10^12,OFFSET(PLE!$G$14,$M544,CG$13))))</f>
        <v>1000000000000</v>
      </c>
      <c r="CH544" s="182">
        <f ca="1">IF($D544&lt;&gt;"Serviço",0,IF(OR(AND(AUTOEVENTO="Manual",$M544=1),$M544&gt;(ROW(PLE.lastrow)-ROW(PLE.firstrow))),0,IF(OFFSET(PLE!$G$14,$M544,CH$13)="",10^12,OFFSET(PLE!$G$14,$M544,CH$13))))</f>
        <v>1000000000000</v>
      </c>
      <c r="CI544" s="182">
        <f ca="1">IF($D544&lt;&gt;"Serviço",0,IF(OR(AND(AUTOEVENTO="Manual",$M544=1),$M544&gt;(ROW(PLE.lastrow)-ROW(PLE.firstrow))),0,IF(OFFSET(PLE!$G$14,$M544,CI$13)="",10^12,OFFSET(PLE!$G$14,$M544,CI$13))))</f>
        <v>1000000000000</v>
      </c>
      <c r="CJ544" s="182">
        <f ca="1">IF($D544&lt;&gt;"Serviço",0,IF(OR(AND(AUTOEVENTO="Manual",$M544=1),$M544&gt;(ROW(PLE.lastrow)-ROW(PLE.firstrow))),0,IF(OFFSET(PLE!$G$14,$M544,CJ$13)="",10^12,OFFSET(PLE!$G$14,$M544,CJ$13))))</f>
        <v>1000000000000</v>
      </c>
      <c r="CK544" s="182">
        <f ca="1">IF($D544&lt;&gt;"Serviço",0,IF(OR(AND(AUTOEVENTO="Manual",$M544=1),$M544&gt;(ROW(PLE.lastrow)-ROW(PLE.firstrow))),0,IF(OFFSET(PLE!$G$14,$M544,CK$13)="",10^12,OFFSET(PLE!$G$14,$M544,CK$13))))</f>
        <v>1000000000000</v>
      </c>
      <c r="CL544" s="182">
        <f ca="1">IF($D544&lt;&gt;"Serviço",0,IF(OR(AND(AUTOEVENTO="Manual",$M544=1),$M544&gt;(ROW(PLE.lastrow)-ROW(PLE.firstrow))),0,IF(OFFSET(PLE!$G$14,$M544,CL$13)="",10^12,OFFSET(PLE!$G$14,$M544,CL$13))))</f>
        <v>1000000000000</v>
      </c>
      <c r="CM544" s="182">
        <f ca="1">IF($D544&lt;&gt;"Serviço",0,IF(OR(AND(AUTOEVENTO="Manual",$M544=1),$M544&gt;(ROW(PLE.lastrow)-ROW(PLE.firstrow))),0,IF(OFFSET(PLE!$G$14,$M544,CM$13)="",10^12,OFFSET(PLE!$G$14,$M544,CM$13))))</f>
        <v>1000000000000</v>
      </c>
    </row>
    <row r="545" spans="1:91" ht="25.5" x14ac:dyDescent="0.2">
      <c r="A545" s="7" t="str">
        <f t="shared" ca="1" si="17"/>
        <v>528</v>
      </c>
      <c r="B545" s="7" t="str">
        <f ca="1">OFFSET(ORÇAMENTO!C$15,ROW(B545)-ROW(B$15),0)</f>
        <v>S</v>
      </c>
      <c r="C545" s="7" t="str">
        <f ca="1">OFFSET(ORÇAMENTO!L$15,ROW(C545)-ROW(C$15),0)</f>
        <v/>
      </c>
      <c r="D545" s="118" t="str">
        <f ca="1">OFFSET(ORÇAMENTO!N$15,ROW(D545)-ROW(D$15),0)</f>
        <v>Serviço</v>
      </c>
      <c r="E545" s="119" t="str">
        <f ca="1">OFFSET(ORÇAMENTO!O$15,ROW(E545)-ROW(E$15),0)</f>
        <v>-</v>
      </c>
      <c r="F545" s="172" t="str">
        <f ca="1">OFFSET(ORÇAMENTO!R$15,ROW(F545)-ROW(F$15),0)</f>
        <v>(abra o arquivo 'Referência 06-2024.xlsm)</v>
      </c>
      <c r="G545" s="173" t="str">
        <f ca="1">IF($D545&lt;&gt;"Serviço","",OFFSET(ORÇAMENTO!S$15,ROW(G545)-ROW(G$15),0))</f>
        <v>-</v>
      </c>
      <c r="H545" s="124">
        <f ca="1">IF($D545&lt;&gt;"Serviço",0,IF(ACOMPANHAMENTO="BM",ROUND(OFFSET(ORÇAMENTO!AJ$15,ROW(H545)-ROW(H$15),0),15-13*ORÇAMENTO!$AF$7),SUMPRODUCT(($Q$12:$AI$12&lt;&gt;"")*ROUND($Q545:$AI545,15-13*ORÇAMENTO!$AF$7))))</f>
        <v>47</v>
      </c>
      <c r="I545" s="561" t="s">
        <v>1107</v>
      </c>
      <c r="K545" s="174"/>
      <c r="L545" s="175" t="s">
        <v>255</v>
      </c>
      <c r="M545" s="176">
        <f ca="1">IF($D545&lt;&gt;"Serviço","",IF(AUTOEVENTO="manual",$A545,IF(ISERROR(MATCH($A545,$A$15:OFFSET($A545,-1,0),0)),MAX($M$15:OFFSET(M545,-1,0))+1,INDEX($M$15:OFFSET(M545,-1,0),MATCH($A545,$A$15:OFFSET($A545,-1,0),0)))))</f>
        <v>57</v>
      </c>
      <c r="N545" s="177" t="str">
        <f ca="1">IF($D545&lt;&gt;"Serviço","",IF(AUTOEVENTO="Manual",IF($A545=0,"&lt;-- defina o número do agrupador",OFFSET(EVENTOS!$D$14,$A545,0)),OFFSET($F$15,$A545,0)))</f>
        <v>INSTALAÇÃO ELÉTRICA 110V - DISPOSITIVOS DE PROTEÇÃO</v>
      </c>
      <c r="O545" s="178"/>
      <c r="Q545" s="178">
        <v>47</v>
      </c>
      <c r="R545" s="179"/>
      <c r="S545" s="179"/>
      <c r="T545" s="179"/>
      <c r="U545" s="179"/>
      <c r="V545" s="179"/>
      <c r="W545" s="179"/>
      <c r="X545" s="179"/>
      <c r="Y545" s="179"/>
      <c r="Z545" s="180"/>
      <c r="AA545" s="179"/>
      <c r="AB545" s="179"/>
      <c r="AC545" s="179"/>
      <c r="AD545" s="179"/>
      <c r="AE545" s="179"/>
      <c r="AF545" s="179"/>
      <c r="AG545" s="179"/>
      <c r="AH545" s="180"/>
      <c r="AJ545" s="544">
        <f ca="1">IF(AND($D545="Serviço",AJ$12&lt;&gt;0,$H545&gt;0,OR(AUTOEVENTO&lt;&gt;"manual",$M545&lt;&gt;1)),
IF(Import.TipoArredondamento&lt;&gt;"TransfereGOV",
ROUND(OFFSET($P545,0,AJ$13),15-13*ORÇAMENTO!$AF$7)/$H545*OFFSET(ORÇAMENTO!$X$15,ROW(AJ545)-ROW(AJ$15),0),
ROUND(ROUND(OFFSET($P545,0,AJ$13),15-13*ORÇAMENTO!$AF$7)*OFFSET(ORÇAMENTO!$W$15,ROW(AJ545)-ROW(AJ$15),0),15-13*ORÇAMENTO!$AF$11)),0)</f>
        <v>0</v>
      </c>
      <c r="AK545" s="545">
        <f ca="1">IF(AND($D545="Serviço",AK$12&lt;&gt;0,$H545&gt;0,OR(AUTOEVENTO&lt;&gt;"manual",$M545&lt;&gt;1)),
IF(Import.TipoArredondamento&lt;&gt;"TransfereGOV",
ROUND(OFFSET($P545,0,AK$13),15-13*ORÇAMENTO!$AF$7)/$H545*OFFSET(ORÇAMENTO!$X$15,ROW(AK545)-ROW(AK$15),0),
ROUND(ROUND(OFFSET($P545,0,AK$13),15-13*ORÇAMENTO!$AF$7)*OFFSET(ORÇAMENTO!$W$15,ROW(AK545)-ROW(AK$15),0),15-13*ORÇAMENTO!$AF$11)),0)</f>
        <v>0</v>
      </c>
      <c r="AL545" s="545">
        <f ca="1">IF(AND($D545="Serviço",AL$12&lt;&gt;0,$H545&gt;0,OR(AUTOEVENTO&lt;&gt;"manual",$M545&lt;&gt;1)),
IF(Import.TipoArredondamento&lt;&gt;"TransfereGOV",
ROUND(OFFSET($P545,0,AL$13),15-13*ORÇAMENTO!$AF$7)/$H545*OFFSET(ORÇAMENTO!$X$15,ROW(AL545)-ROW(AL$15),0),
ROUND(ROUND(OFFSET($P545,0,AL$13),15-13*ORÇAMENTO!$AF$7)*OFFSET(ORÇAMENTO!$W$15,ROW(AL545)-ROW(AL$15),0),15-13*ORÇAMENTO!$AF$11)),0)</f>
        <v>0</v>
      </c>
      <c r="AM545" s="545">
        <f ca="1">IF(AND($D545="Serviço",AM$12&lt;&gt;0,$H545&gt;0,OR(AUTOEVENTO&lt;&gt;"manual",$M545&lt;&gt;1)),
IF(Import.TipoArredondamento&lt;&gt;"TransfereGOV",
ROUND(OFFSET($P545,0,AM$13),15-13*ORÇAMENTO!$AF$7)/$H545*OFFSET(ORÇAMENTO!$X$15,ROW(AM545)-ROW(AM$15),0),
ROUND(ROUND(OFFSET($P545,0,AM$13),15-13*ORÇAMENTO!$AF$7)*OFFSET(ORÇAMENTO!$W$15,ROW(AM545)-ROW(AM$15),0),15-13*ORÇAMENTO!$AF$11)),0)</f>
        <v>0</v>
      </c>
      <c r="AN545" s="545">
        <f ca="1">IF(AND($D545="Serviço",AN$12&lt;&gt;0,$H545&gt;0,OR(AUTOEVENTO&lt;&gt;"manual",$M545&lt;&gt;1)),
IF(Import.TipoArredondamento&lt;&gt;"TransfereGOV",
ROUND(OFFSET($P545,0,AN$13),15-13*ORÇAMENTO!$AF$7)/$H545*OFFSET(ORÇAMENTO!$X$15,ROW(AN545)-ROW(AN$15),0),
ROUND(ROUND(OFFSET($P545,0,AN$13),15-13*ORÇAMENTO!$AF$7)*OFFSET(ORÇAMENTO!$W$15,ROW(AN545)-ROW(AN$15),0),15-13*ORÇAMENTO!$AF$11)),0)</f>
        <v>0</v>
      </c>
      <c r="AO545" s="545">
        <f ca="1">IF(AND($D545="Serviço",AO$12&lt;&gt;0,$H545&gt;0,OR(AUTOEVENTO&lt;&gt;"manual",$M545&lt;&gt;1)),
IF(Import.TipoArredondamento&lt;&gt;"TransfereGOV",
ROUND(OFFSET($P545,0,AO$13),15-13*ORÇAMENTO!$AF$7)/$H545*OFFSET(ORÇAMENTO!$X$15,ROW(AO545)-ROW(AO$15),0),
ROUND(ROUND(OFFSET($P545,0,AO$13),15-13*ORÇAMENTO!$AF$7)*OFFSET(ORÇAMENTO!$W$15,ROW(AO545)-ROW(AO$15),0),15-13*ORÇAMENTO!$AF$11)),0)</f>
        <v>0</v>
      </c>
      <c r="AP545" s="545">
        <f ca="1">IF(AND($D545="Serviço",AP$12&lt;&gt;0,$H545&gt;0,OR(AUTOEVENTO&lt;&gt;"manual",$M545&lt;&gt;1)),
IF(Import.TipoArredondamento&lt;&gt;"TransfereGOV",
ROUND(OFFSET($P545,0,AP$13),15-13*ORÇAMENTO!$AF$7)/$H545*OFFSET(ORÇAMENTO!$X$15,ROW(AP545)-ROW(AP$15),0),
ROUND(ROUND(OFFSET($P545,0,AP$13),15-13*ORÇAMENTO!$AF$7)*OFFSET(ORÇAMENTO!$W$15,ROW(AP545)-ROW(AP$15),0),15-13*ORÇAMENTO!$AF$11)),0)</f>
        <v>0</v>
      </c>
      <c r="AQ545" s="545">
        <f ca="1">IF(AND($D545="Serviço",AQ$12&lt;&gt;0,$H545&gt;0,OR(AUTOEVENTO&lt;&gt;"manual",$M545&lt;&gt;1)),
IF(Import.TipoArredondamento&lt;&gt;"TransfereGOV",
ROUND(OFFSET($P545,0,AQ$13),15-13*ORÇAMENTO!$AF$7)/$H545*OFFSET(ORÇAMENTO!$X$15,ROW(AQ545)-ROW(AQ$15),0),
ROUND(ROUND(OFFSET($P545,0,AQ$13),15-13*ORÇAMENTO!$AF$7)*OFFSET(ORÇAMENTO!$W$15,ROW(AQ545)-ROW(AQ$15),0),15-13*ORÇAMENTO!$AF$11)),0)</f>
        <v>0</v>
      </c>
      <c r="AR545" s="545">
        <f ca="1">IF(AND($D545="Serviço",AR$12&lt;&gt;0,$H545&gt;0,OR(AUTOEVENTO&lt;&gt;"manual",$M545&lt;&gt;1)),
IF(Import.TipoArredondamento&lt;&gt;"TransfereGOV",
ROUND(OFFSET($P545,0,AR$13),15-13*ORÇAMENTO!$AF$7)/$H545*OFFSET(ORÇAMENTO!$X$15,ROW(AR545)-ROW(AR$15),0),
ROUND(ROUND(OFFSET($P545,0,AR$13),15-13*ORÇAMENTO!$AF$7)*OFFSET(ORÇAMENTO!$W$15,ROW(AR545)-ROW(AR$15),0),15-13*ORÇAMENTO!$AF$11)),0)</f>
        <v>0</v>
      </c>
      <c r="AS545" s="546">
        <f ca="1">IF(AND($D545="Serviço",AS$12&lt;&gt;0,$H545&gt;0,OR(AUTOEVENTO&lt;&gt;"manual",$M545&lt;&gt;1)),
IF(Import.TipoArredondamento&lt;&gt;"TransfereGOV",
ROUND(OFFSET($P545,0,AS$13),15-13*ORÇAMENTO!$AF$7)/$H545*OFFSET(ORÇAMENTO!$X$15,ROW(AS545)-ROW(AS$15),0),
ROUND(ROUND(OFFSET($P545,0,AS$13),15-13*ORÇAMENTO!$AF$7)*OFFSET(ORÇAMENTO!$W$15,ROW(AS545)-ROW(AS$15),0),15-13*ORÇAMENTO!$AF$11)),0)</f>
        <v>0</v>
      </c>
      <c r="AT545" s="545">
        <f ca="1">IF(AND($D545="Serviço",AT$12&lt;&gt;0,$H545&gt;0,OR(AUTOEVENTO&lt;&gt;"manual",$M545&lt;&gt;1)),
IF(Import.TipoArredondamento&lt;&gt;"TransfereGOV",
ROUND(OFFSET($P545,0,AT$13),15-13*ORÇAMENTO!$AF$7)/$H545*OFFSET(ORÇAMENTO!$X$15,ROW(AT545)-ROW(AT$15),0),
ROUND(ROUND(OFFSET($P545,0,AT$13),15-13*ORÇAMENTO!$AF$7)*OFFSET(ORÇAMENTO!$W$15,ROW(AT545)-ROW(AT$15),0),15-13*ORÇAMENTO!$AF$11)),0)</f>
        <v>0</v>
      </c>
      <c r="AU545" s="545">
        <f ca="1">IF(AND($D545="Serviço",AU$12&lt;&gt;0,$H545&gt;0,OR(AUTOEVENTO&lt;&gt;"manual",$M545&lt;&gt;1)),
IF(Import.TipoArredondamento&lt;&gt;"TransfereGOV",
ROUND(OFFSET($P545,0,AU$13),15-13*ORÇAMENTO!$AF$7)/$H545*OFFSET(ORÇAMENTO!$X$15,ROW(AU545)-ROW(AU$15),0),
ROUND(ROUND(OFFSET($P545,0,AU$13),15-13*ORÇAMENTO!$AF$7)*OFFSET(ORÇAMENTO!$W$15,ROW(AU545)-ROW(AU$15),0),15-13*ORÇAMENTO!$AF$11)),0)</f>
        <v>0</v>
      </c>
      <c r="AV545" s="545">
        <f ca="1">IF(AND($D545="Serviço",AV$12&lt;&gt;0,$H545&gt;0,OR(AUTOEVENTO&lt;&gt;"manual",$M545&lt;&gt;1)),
IF(Import.TipoArredondamento&lt;&gt;"TransfereGOV",
ROUND(OFFSET($P545,0,AV$13),15-13*ORÇAMENTO!$AF$7)/$H545*OFFSET(ORÇAMENTO!$X$15,ROW(AV545)-ROW(AV$15),0),
ROUND(ROUND(OFFSET($P545,0,AV$13),15-13*ORÇAMENTO!$AF$7)*OFFSET(ORÇAMENTO!$W$15,ROW(AV545)-ROW(AV$15),0),15-13*ORÇAMENTO!$AF$11)),0)</f>
        <v>0</v>
      </c>
      <c r="AW545" s="545">
        <f ca="1">IF(AND($D545="Serviço",AW$12&lt;&gt;0,$H545&gt;0,OR(AUTOEVENTO&lt;&gt;"manual",$M545&lt;&gt;1)),
IF(Import.TipoArredondamento&lt;&gt;"TransfereGOV",
ROUND(OFFSET($P545,0,AW$13),15-13*ORÇAMENTO!$AF$7)/$H545*OFFSET(ORÇAMENTO!$X$15,ROW(AW545)-ROW(AW$15),0),
ROUND(ROUND(OFFSET($P545,0,AW$13),15-13*ORÇAMENTO!$AF$7)*OFFSET(ORÇAMENTO!$W$15,ROW(AW545)-ROW(AW$15),0),15-13*ORÇAMENTO!$AF$11)),0)</f>
        <v>0</v>
      </c>
      <c r="AX545" s="545">
        <f ca="1">IF(AND($D545="Serviço",AX$12&lt;&gt;0,$H545&gt;0,OR(AUTOEVENTO&lt;&gt;"manual",$M545&lt;&gt;1)),
IF(Import.TipoArredondamento&lt;&gt;"TransfereGOV",
ROUND(OFFSET($P545,0,AX$13),15-13*ORÇAMENTO!$AF$7)/$H545*OFFSET(ORÇAMENTO!$X$15,ROW(AX545)-ROW(AX$15),0),
ROUND(ROUND(OFFSET($P545,0,AX$13),15-13*ORÇAMENTO!$AF$7)*OFFSET(ORÇAMENTO!$W$15,ROW(AX545)-ROW(AX$15),0),15-13*ORÇAMENTO!$AF$11)),0)</f>
        <v>0</v>
      </c>
      <c r="AY545" s="545">
        <f ca="1">IF(AND($D545="Serviço",AY$12&lt;&gt;0,$H545&gt;0,OR(AUTOEVENTO&lt;&gt;"manual",$M545&lt;&gt;1)),
IF(Import.TipoArredondamento&lt;&gt;"TransfereGOV",
ROUND(OFFSET($P545,0,AY$13),15-13*ORÇAMENTO!$AF$7)/$H545*OFFSET(ORÇAMENTO!$X$15,ROW(AY545)-ROW(AY$15),0),
ROUND(ROUND(OFFSET($P545,0,AY$13),15-13*ORÇAMENTO!$AF$7)*OFFSET(ORÇAMENTO!$W$15,ROW(AY545)-ROW(AY$15),0),15-13*ORÇAMENTO!$AF$11)),0)</f>
        <v>0</v>
      </c>
      <c r="AZ545" s="545">
        <f ca="1">IF(AND($D545="Serviço",AZ$12&lt;&gt;0,$H545&gt;0,OR(AUTOEVENTO&lt;&gt;"manual",$M545&lt;&gt;1)),
IF(Import.TipoArredondamento&lt;&gt;"TransfereGOV",
ROUND(OFFSET($P545,0,AZ$13),15-13*ORÇAMENTO!$AF$7)/$H545*OFFSET(ORÇAMENTO!$X$15,ROW(AZ545)-ROW(AZ$15),0),
ROUND(ROUND(OFFSET($P545,0,AZ$13),15-13*ORÇAMENTO!$AF$7)*OFFSET(ORÇAMENTO!$W$15,ROW(AZ545)-ROW(AZ$15),0),15-13*ORÇAMENTO!$AF$11)),0)</f>
        <v>0</v>
      </c>
      <c r="BA545" s="546">
        <f ca="1">IF(AND($D545="Serviço",BA$12&lt;&gt;0,$H545&gt;0,OR(AUTOEVENTO&lt;&gt;"manual",$M545&lt;&gt;1)),
IF(Import.TipoArredondamento&lt;&gt;"TransfereGOV",
ROUND(OFFSET($P545,0,BA$13),15-13*ORÇAMENTO!$AF$7)/$H545*OFFSET(ORÇAMENTO!$X$15,ROW(BA545)-ROW(BA$15),0),
ROUND(ROUND(OFFSET($P545,0,BA$13),15-13*ORÇAMENTO!$AF$7)*OFFSET(ORÇAMENTO!$W$15,ROW(BA545)-ROW(BA$15),0),15-13*ORÇAMENTO!$AF$11)),0)</f>
        <v>0</v>
      </c>
      <c r="BC545" s="181">
        <f ca="1">IF($D545&lt;&gt;"Serviço",0,IF(AND(AUTOEVENTO="Manual",$M545=1),0,IF(OFFSET(CRONOPLE!$F$14,$M545,BC$13)="",10^12,OFFSET(CRONOPLE!$F$14,$M545,BC$13))))</f>
        <v>10</v>
      </c>
      <c r="BD545" s="181">
        <f ca="1">IF($D545&lt;&gt;"Serviço",0,IF(AND(AUTOEVENTO="Manual",$M545=1),0,IF(OFFSET(CRONOPLE!$F$14,$M545,BD$13)="",10^12,OFFSET(CRONOPLE!$F$14,$M545,BD$13))))</f>
        <v>1000000000000</v>
      </c>
      <c r="BE545" s="181">
        <f ca="1">IF($D545&lt;&gt;"Serviço",0,IF(AND(AUTOEVENTO="Manual",$M545=1),0,IF(OFFSET(CRONOPLE!$F$14,$M545,BE$13)="",10^12,OFFSET(CRONOPLE!$F$14,$M545,BE$13))))</f>
        <v>1000000000000</v>
      </c>
      <c r="BF545" s="181">
        <f ca="1">IF($D545&lt;&gt;"Serviço",0,IF(AND(AUTOEVENTO="Manual",$M545=1),0,IF(OFFSET(CRONOPLE!$F$14,$M545,BF$13)="",10^12,OFFSET(CRONOPLE!$F$14,$M545,BF$13))))</f>
        <v>1000000000000</v>
      </c>
      <c r="BG545" s="181">
        <f ca="1">IF($D545&lt;&gt;"Serviço",0,IF(AND(AUTOEVENTO="Manual",$M545=1),0,IF(OFFSET(CRONOPLE!$F$14,$M545,BG$13)="",10^12,OFFSET(CRONOPLE!$F$14,$M545,BG$13))))</f>
        <v>1000000000000</v>
      </c>
      <c r="BH545" s="181">
        <f ca="1">IF($D545&lt;&gt;"Serviço",0,IF(AND(AUTOEVENTO="Manual",$M545=1),0,IF(OFFSET(CRONOPLE!$F$14,$M545,BH$13)="",10^12,OFFSET(CRONOPLE!$F$14,$M545,BH$13))))</f>
        <v>1000000000000</v>
      </c>
      <c r="BI545" s="181">
        <f ca="1">IF($D545&lt;&gt;"Serviço",0,IF(AND(AUTOEVENTO="Manual",$M545=1),0,IF(OFFSET(CRONOPLE!$F$14,$M545,BI$13)="",10^12,OFFSET(CRONOPLE!$F$14,$M545,BI$13))))</f>
        <v>1000000000000</v>
      </c>
      <c r="BJ545" s="181">
        <f ca="1">IF($D545&lt;&gt;"Serviço",0,IF(AND(AUTOEVENTO="Manual",$M545=1),0,IF(OFFSET(CRONOPLE!$F$14,$M545,BJ$13)="",10^12,OFFSET(CRONOPLE!$F$14,$M545,BJ$13))))</f>
        <v>1000000000000</v>
      </c>
      <c r="BK545" s="181">
        <f ca="1">IF($D545&lt;&gt;"Serviço",0,IF(AND(AUTOEVENTO="Manual",$M545=1),0,IF(OFFSET(CRONOPLE!$F$14,$M545,BK$13)="",10^12,OFFSET(CRONOPLE!$F$14,$M545,BK$13))))</f>
        <v>1000000000000</v>
      </c>
      <c r="BL545" s="181">
        <f ca="1">IF($D545&lt;&gt;"Serviço",0,IF(AND(AUTOEVENTO="Manual",$M545=1),0,IF(OFFSET(CRONOPLE!$F$14,$M545,BL$13)="",10^12,OFFSET(CRONOPLE!$F$14,$M545,BL$13))))</f>
        <v>1000000000000</v>
      </c>
      <c r="BM545" s="181">
        <f ca="1">IF($D545&lt;&gt;"Serviço",0,IF(AND(AUTOEVENTO="Manual",$M545=1),0,IF(OFFSET(CRONOPLE!$F$14,$M545,BM$13)="",10^12,OFFSET(CRONOPLE!$F$14,$M545,BM$13))))</f>
        <v>1000000000000</v>
      </c>
      <c r="BN545" s="181">
        <f ca="1">IF($D545&lt;&gt;"Serviço",0,IF(AND(AUTOEVENTO="Manual",$M545=1),0,IF(OFFSET(CRONOPLE!$F$14,$M545,BN$13)="",10^12,OFFSET(CRONOPLE!$F$14,$M545,BN$13))))</f>
        <v>1000000000000</v>
      </c>
      <c r="BO545" s="181">
        <f ca="1">IF($D545&lt;&gt;"Serviço",0,IF(AND(AUTOEVENTO="Manual",$M545=1),0,IF(OFFSET(CRONOPLE!$F$14,$M545,BO$13)="",10^12,OFFSET(CRONOPLE!$F$14,$M545,BO$13))))</f>
        <v>1000000000000</v>
      </c>
      <c r="BP545" s="181">
        <f ca="1">IF($D545&lt;&gt;"Serviço",0,IF(AND(AUTOEVENTO="Manual",$M545=1),0,IF(OFFSET(CRONOPLE!$F$14,$M545,BP$13)="",10^12,OFFSET(CRONOPLE!$F$14,$M545,BP$13))))</f>
        <v>1000000000000</v>
      </c>
      <c r="BQ545" s="181">
        <f ca="1">IF($D545&lt;&gt;"Serviço",0,IF(AND(AUTOEVENTO="Manual",$M545=1),0,IF(OFFSET(CRONOPLE!$F$14,$M545,BQ$13)="",10^12,OFFSET(CRONOPLE!$F$14,$M545,BQ$13))))</f>
        <v>1000000000000</v>
      </c>
      <c r="BR545" s="181">
        <f ca="1">IF($D545&lt;&gt;"Serviço",0,IF(AND(AUTOEVENTO="Manual",$M545=1),0,IF(OFFSET(CRONOPLE!$F$14,$M545,BR$13)="",10^12,OFFSET(CRONOPLE!$F$14,$M545,BR$13))))</f>
        <v>1000000000000</v>
      </c>
      <c r="BS545" s="181">
        <f ca="1">IF($D545&lt;&gt;"Serviço",0,IF(AND(AUTOEVENTO="Manual",$M545=1),0,IF(OFFSET(CRONOPLE!$F$14,$M545,BS$13)="",10^12,OFFSET(CRONOPLE!$F$14,$M545,BS$13))))</f>
        <v>1000000000000</v>
      </c>
      <c r="BT545" s="181">
        <f ca="1">IF($D545&lt;&gt;"Serviço",0,IF(AND(AUTOEVENTO="Manual",$M545=1),0,IF(OFFSET(CRONOPLE!$F$14,$M545,BT$13)="",10^12,OFFSET(CRONOPLE!$F$14,$M545,BT$13))))</f>
        <v>1000000000000</v>
      </c>
      <c r="BV545" s="182">
        <f ca="1">IF($D545&lt;&gt;"Serviço",0,IF(OR(AND(AUTOEVENTO="Manual",$M545=1),$M545&gt;(ROW(PLE.lastrow)-ROW(PLE.firstrow))),0,IF(OFFSET(PLE!$G$14,$M545,BV$13)="",10^12,OFFSET(PLE!$G$14,$M545,BV$13))))</f>
        <v>1000000000000</v>
      </c>
      <c r="BW545" s="182">
        <f ca="1">IF($D545&lt;&gt;"Serviço",0,IF(OR(AND(AUTOEVENTO="Manual",$M545=1),$M545&gt;(ROW(PLE.lastrow)-ROW(PLE.firstrow))),0,IF(OFFSET(PLE!$G$14,$M545,BW$13)="",10^12,OFFSET(PLE!$G$14,$M545,BW$13))))</f>
        <v>1000000000000</v>
      </c>
      <c r="BX545" s="182">
        <f ca="1">IF($D545&lt;&gt;"Serviço",0,IF(OR(AND(AUTOEVENTO="Manual",$M545=1),$M545&gt;(ROW(PLE.lastrow)-ROW(PLE.firstrow))),0,IF(OFFSET(PLE!$G$14,$M545,BX$13)="",10^12,OFFSET(PLE!$G$14,$M545,BX$13))))</f>
        <v>1000000000000</v>
      </c>
      <c r="BY545" s="182">
        <f ca="1">IF($D545&lt;&gt;"Serviço",0,IF(OR(AND(AUTOEVENTO="Manual",$M545=1),$M545&gt;(ROW(PLE.lastrow)-ROW(PLE.firstrow))),0,IF(OFFSET(PLE!$G$14,$M545,BY$13)="",10^12,OFFSET(PLE!$G$14,$M545,BY$13))))</f>
        <v>1000000000000</v>
      </c>
      <c r="BZ545" s="182">
        <f ca="1">IF($D545&lt;&gt;"Serviço",0,IF(OR(AND(AUTOEVENTO="Manual",$M545=1),$M545&gt;(ROW(PLE.lastrow)-ROW(PLE.firstrow))),0,IF(OFFSET(PLE!$G$14,$M545,BZ$13)="",10^12,OFFSET(PLE!$G$14,$M545,BZ$13))))</f>
        <v>1000000000000</v>
      </c>
      <c r="CA545" s="182">
        <f ca="1">IF($D545&lt;&gt;"Serviço",0,IF(OR(AND(AUTOEVENTO="Manual",$M545=1),$M545&gt;(ROW(PLE.lastrow)-ROW(PLE.firstrow))),0,IF(OFFSET(PLE!$G$14,$M545,CA$13)="",10^12,OFFSET(PLE!$G$14,$M545,CA$13))))</f>
        <v>1000000000000</v>
      </c>
      <c r="CB545" s="182">
        <f ca="1">IF($D545&lt;&gt;"Serviço",0,IF(OR(AND(AUTOEVENTO="Manual",$M545=1),$M545&gt;(ROW(PLE.lastrow)-ROW(PLE.firstrow))),0,IF(OFFSET(PLE!$G$14,$M545,CB$13)="",10^12,OFFSET(PLE!$G$14,$M545,CB$13))))</f>
        <v>1000000000000</v>
      </c>
      <c r="CC545" s="182">
        <f ca="1">IF($D545&lt;&gt;"Serviço",0,IF(OR(AND(AUTOEVENTO="Manual",$M545=1),$M545&gt;(ROW(PLE.lastrow)-ROW(PLE.firstrow))),0,IF(OFFSET(PLE!$G$14,$M545,CC$13)="",10^12,OFFSET(PLE!$G$14,$M545,CC$13))))</f>
        <v>1000000000000</v>
      </c>
      <c r="CD545" s="182">
        <f ca="1">IF($D545&lt;&gt;"Serviço",0,IF(OR(AND(AUTOEVENTO="Manual",$M545=1),$M545&gt;(ROW(PLE.lastrow)-ROW(PLE.firstrow))),0,IF(OFFSET(PLE!$G$14,$M545,CD$13)="",10^12,OFFSET(PLE!$G$14,$M545,CD$13))))</f>
        <v>1000000000000</v>
      </c>
      <c r="CE545" s="182">
        <f ca="1">IF($D545&lt;&gt;"Serviço",0,IF(OR(AND(AUTOEVENTO="Manual",$M545=1),$M545&gt;(ROW(PLE.lastrow)-ROW(PLE.firstrow))),0,IF(OFFSET(PLE!$G$14,$M545,CE$13)="",10^12,OFFSET(PLE!$G$14,$M545,CE$13))))</f>
        <v>1000000000000</v>
      </c>
      <c r="CF545" s="182">
        <f ca="1">IF($D545&lt;&gt;"Serviço",0,IF(OR(AND(AUTOEVENTO="Manual",$M545=1),$M545&gt;(ROW(PLE.lastrow)-ROW(PLE.firstrow))),0,IF(OFFSET(PLE!$G$14,$M545,CF$13)="",10^12,OFFSET(PLE!$G$14,$M545,CF$13))))</f>
        <v>1000000000000</v>
      </c>
      <c r="CG545" s="182">
        <f ca="1">IF($D545&lt;&gt;"Serviço",0,IF(OR(AND(AUTOEVENTO="Manual",$M545=1),$M545&gt;(ROW(PLE.lastrow)-ROW(PLE.firstrow))),0,IF(OFFSET(PLE!$G$14,$M545,CG$13)="",10^12,OFFSET(PLE!$G$14,$M545,CG$13))))</f>
        <v>1000000000000</v>
      </c>
      <c r="CH545" s="182">
        <f ca="1">IF($D545&lt;&gt;"Serviço",0,IF(OR(AND(AUTOEVENTO="Manual",$M545=1),$M545&gt;(ROW(PLE.lastrow)-ROW(PLE.firstrow))),0,IF(OFFSET(PLE!$G$14,$M545,CH$13)="",10^12,OFFSET(PLE!$G$14,$M545,CH$13))))</f>
        <v>1000000000000</v>
      </c>
      <c r="CI545" s="182">
        <f ca="1">IF($D545&lt;&gt;"Serviço",0,IF(OR(AND(AUTOEVENTO="Manual",$M545=1),$M545&gt;(ROW(PLE.lastrow)-ROW(PLE.firstrow))),0,IF(OFFSET(PLE!$G$14,$M545,CI$13)="",10^12,OFFSET(PLE!$G$14,$M545,CI$13))))</f>
        <v>1000000000000</v>
      </c>
      <c r="CJ545" s="182">
        <f ca="1">IF($D545&lt;&gt;"Serviço",0,IF(OR(AND(AUTOEVENTO="Manual",$M545=1),$M545&gt;(ROW(PLE.lastrow)-ROW(PLE.firstrow))),0,IF(OFFSET(PLE!$G$14,$M545,CJ$13)="",10^12,OFFSET(PLE!$G$14,$M545,CJ$13))))</f>
        <v>1000000000000</v>
      </c>
      <c r="CK545" s="182">
        <f ca="1">IF($D545&lt;&gt;"Serviço",0,IF(OR(AND(AUTOEVENTO="Manual",$M545=1),$M545&gt;(ROW(PLE.lastrow)-ROW(PLE.firstrow))),0,IF(OFFSET(PLE!$G$14,$M545,CK$13)="",10^12,OFFSET(PLE!$G$14,$M545,CK$13))))</f>
        <v>1000000000000</v>
      </c>
      <c r="CL545" s="182">
        <f ca="1">IF($D545&lt;&gt;"Serviço",0,IF(OR(AND(AUTOEVENTO="Manual",$M545=1),$M545&gt;(ROW(PLE.lastrow)-ROW(PLE.firstrow))),0,IF(OFFSET(PLE!$G$14,$M545,CL$13)="",10^12,OFFSET(PLE!$G$14,$M545,CL$13))))</f>
        <v>1000000000000</v>
      </c>
      <c r="CM545" s="182">
        <f ca="1">IF($D545&lt;&gt;"Serviço",0,IF(OR(AND(AUTOEVENTO="Manual",$M545=1),$M545&gt;(ROW(PLE.lastrow)-ROW(PLE.firstrow))),0,IF(OFFSET(PLE!$G$14,$M545,CM$13)="",10^12,OFFSET(PLE!$G$14,$M545,CM$13))))</f>
        <v>1000000000000</v>
      </c>
    </row>
    <row r="546" spans="1:91" ht="25.5" x14ac:dyDescent="0.2">
      <c r="A546" s="7" t="str">
        <f t="shared" ca="1" si="17"/>
        <v>528</v>
      </c>
      <c r="B546" s="7" t="str">
        <f ca="1">OFFSET(ORÇAMENTO!C$15,ROW(B546)-ROW(B$15),0)</f>
        <v>S</v>
      </c>
      <c r="C546" s="7" t="str">
        <f ca="1">OFFSET(ORÇAMENTO!L$15,ROW(C546)-ROW(C$15),0)</f>
        <v/>
      </c>
      <c r="D546" s="118" t="str">
        <f ca="1">OFFSET(ORÇAMENTO!N$15,ROW(D546)-ROW(D$15),0)</f>
        <v>Serviço</v>
      </c>
      <c r="E546" s="119" t="str">
        <f ca="1">OFFSET(ORÇAMENTO!O$15,ROW(E546)-ROW(E$15),0)</f>
        <v>-</v>
      </c>
      <c r="F546" s="172" t="str">
        <f ca="1">OFFSET(ORÇAMENTO!R$15,ROW(F546)-ROW(F$15),0)</f>
        <v>(abra o arquivo 'Referência 06-2024.xlsm)</v>
      </c>
      <c r="G546" s="173" t="str">
        <f ca="1">IF($D546&lt;&gt;"Serviço","",OFFSET(ORÇAMENTO!S$15,ROW(G546)-ROW(G$15),0))</f>
        <v>-</v>
      </c>
      <c r="H546" s="124">
        <f ca="1">IF($D546&lt;&gt;"Serviço",0,IF(ACOMPANHAMENTO="BM",ROUND(OFFSET(ORÇAMENTO!AJ$15,ROW(H546)-ROW(H$15),0),15-13*ORÇAMENTO!$AF$7),SUMPRODUCT(($Q$12:$AI$12&lt;&gt;"")*ROUND($Q546:$AI546,15-13*ORÇAMENTO!$AF$7))))</f>
        <v>8</v>
      </c>
      <c r="I546" s="561" t="s">
        <v>1107</v>
      </c>
      <c r="K546" s="174"/>
      <c r="L546" s="175" t="s">
        <v>255</v>
      </c>
      <c r="M546" s="176">
        <f ca="1">IF($D546&lt;&gt;"Serviço","",IF(AUTOEVENTO="manual",$A546,IF(ISERROR(MATCH($A546,$A$15:OFFSET($A546,-1,0),0)),MAX($M$15:OFFSET(M546,-1,0))+1,INDEX($M$15:OFFSET(M546,-1,0),MATCH($A546,$A$15:OFFSET($A546,-1,0),0)))))</f>
        <v>57</v>
      </c>
      <c r="N546" s="177" t="str">
        <f ca="1">IF($D546&lt;&gt;"Serviço","",IF(AUTOEVENTO="Manual",IF($A546=0,"&lt;-- defina o número do agrupador",OFFSET(EVENTOS!$D$14,$A546,0)),OFFSET($F$15,$A546,0)))</f>
        <v>INSTALAÇÃO ELÉTRICA 110V - DISPOSITIVOS DE PROTEÇÃO</v>
      </c>
      <c r="O546" s="178"/>
      <c r="Q546" s="178">
        <v>8</v>
      </c>
      <c r="R546" s="179"/>
      <c r="S546" s="179"/>
      <c r="T546" s="179"/>
      <c r="U546" s="179"/>
      <c r="V546" s="179"/>
      <c r="W546" s="179"/>
      <c r="X546" s="179"/>
      <c r="Y546" s="179"/>
      <c r="Z546" s="180"/>
      <c r="AA546" s="179"/>
      <c r="AB546" s="179"/>
      <c r="AC546" s="179"/>
      <c r="AD546" s="179"/>
      <c r="AE546" s="179"/>
      <c r="AF546" s="179"/>
      <c r="AG546" s="179"/>
      <c r="AH546" s="180"/>
      <c r="AJ546" s="544">
        <f ca="1">IF(AND($D546="Serviço",AJ$12&lt;&gt;0,$H546&gt;0,OR(AUTOEVENTO&lt;&gt;"manual",$M546&lt;&gt;1)),
IF(Import.TipoArredondamento&lt;&gt;"TransfereGOV",
ROUND(OFFSET($P546,0,AJ$13),15-13*ORÇAMENTO!$AF$7)/$H546*OFFSET(ORÇAMENTO!$X$15,ROW(AJ546)-ROW(AJ$15),0),
ROUND(ROUND(OFFSET($P546,0,AJ$13),15-13*ORÇAMENTO!$AF$7)*OFFSET(ORÇAMENTO!$W$15,ROW(AJ546)-ROW(AJ$15),0),15-13*ORÇAMENTO!$AF$11)),0)</f>
        <v>0</v>
      </c>
      <c r="AK546" s="545">
        <f ca="1">IF(AND($D546="Serviço",AK$12&lt;&gt;0,$H546&gt;0,OR(AUTOEVENTO&lt;&gt;"manual",$M546&lt;&gt;1)),
IF(Import.TipoArredondamento&lt;&gt;"TransfereGOV",
ROUND(OFFSET($P546,0,AK$13),15-13*ORÇAMENTO!$AF$7)/$H546*OFFSET(ORÇAMENTO!$X$15,ROW(AK546)-ROW(AK$15),0),
ROUND(ROUND(OFFSET($P546,0,AK$13),15-13*ORÇAMENTO!$AF$7)*OFFSET(ORÇAMENTO!$W$15,ROW(AK546)-ROW(AK$15),0),15-13*ORÇAMENTO!$AF$11)),0)</f>
        <v>0</v>
      </c>
      <c r="AL546" s="545">
        <f ca="1">IF(AND($D546="Serviço",AL$12&lt;&gt;0,$H546&gt;0,OR(AUTOEVENTO&lt;&gt;"manual",$M546&lt;&gt;1)),
IF(Import.TipoArredondamento&lt;&gt;"TransfereGOV",
ROUND(OFFSET($P546,0,AL$13),15-13*ORÇAMENTO!$AF$7)/$H546*OFFSET(ORÇAMENTO!$X$15,ROW(AL546)-ROW(AL$15),0),
ROUND(ROUND(OFFSET($P546,0,AL$13),15-13*ORÇAMENTO!$AF$7)*OFFSET(ORÇAMENTO!$W$15,ROW(AL546)-ROW(AL$15),0),15-13*ORÇAMENTO!$AF$11)),0)</f>
        <v>0</v>
      </c>
      <c r="AM546" s="545">
        <f ca="1">IF(AND($D546="Serviço",AM$12&lt;&gt;0,$H546&gt;0,OR(AUTOEVENTO&lt;&gt;"manual",$M546&lt;&gt;1)),
IF(Import.TipoArredondamento&lt;&gt;"TransfereGOV",
ROUND(OFFSET($P546,0,AM$13),15-13*ORÇAMENTO!$AF$7)/$H546*OFFSET(ORÇAMENTO!$X$15,ROW(AM546)-ROW(AM$15),0),
ROUND(ROUND(OFFSET($P546,0,AM$13),15-13*ORÇAMENTO!$AF$7)*OFFSET(ORÇAMENTO!$W$15,ROW(AM546)-ROW(AM$15),0),15-13*ORÇAMENTO!$AF$11)),0)</f>
        <v>0</v>
      </c>
      <c r="AN546" s="545">
        <f ca="1">IF(AND($D546="Serviço",AN$12&lt;&gt;0,$H546&gt;0,OR(AUTOEVENTO&lt;&gt;"manual",$M546&lt;&gt;1)),
IF(Import.TipoArredondamento&lt;&gt;"TransfereGOV",
ROUND(OFFSET($P546,0,AN$13),15-13*ORÇAMENTO!$AF$7)/$H546*OFFSET(ORÇAMENTO!$X$15,ROW(AN546)-ROW(AN$15),0),
ROUND(ROUND(OFFSET($P546,0,AN$13),15-13*ORÇAMENTO!$AF$7)*OFFSET(ORÇAMENTO!$W$15,ROW(AN546)-ROW(AN$15),0),15-13*ORÇAMENTO!$AF$11)),0)</f>
        <v>0</v>
      </c>
      <c r="AO546" s="545">
        <f ca="1">IF(AND($D546="Serviço",AO$12&lt;&gt;0,$H546&gt;0,OR(AUTOEVENTO&lt;&gt;"manual",$M546&lt;&gt;1)),
IF(Import.TipoArredondamento&lt;&gt;"TransfereGOV",
ROUND(OFFSET($P546,0,AO$13),15-13*ORÇAMENTO!$AF$7)/$H546*OFFSET(ORÇAMENTO!$X$15,ROW(AO546)-ROW(AO$15),0),
ROUND(ROUND(OFFSET($P546,0,AO$13),15-13*ORÇAMENTO!$AF$7)*OFFSET(ORÇAMENTO!$W$15,ROW(AO546)-ROW(AO$15),0),15-13*ORÇAMENTO!$AF$11)),0)</f>
        <v>0</v>
      </c>
      <c r="AP546" s="545">
        <f ca="1">IF(AND($D546="Serviço",AP$12&lt;&gt;0,$H546&gt;0,OR(AUTOEVENTO&lt;&gt;"manual",$M546&lt;&gt;1)),
IF(Import.TipoArredondamento&lt;&gt;"TransfereGOV",
ROUND(OFFSET($P546,0,AP$13),15-13*ORÇAMENTO!$AF$7)/$H546*OFFSET(ORÇAMENTO!$X$15,ROW(AP546)-ROW(AP$15),0),
ROUND(ROUND(OFFSET($P546,0,AP$13),15-13*ORÇAMENTO!$AF$7)*OFFSET(ORÇAMENTO!$W$15,ROW(AP546)-ROW(AP$15),0),15-13*ORÇAMENTO!$AF$11)),0)</f>
        <v>0</v>
      </c>
      <c r="AQ546" s="545">
        <f ca="1">IF(AND($D546="Serviço",AQ$12&lt;&gt;0,$H546&gt;0,OR(AUTOEVENTO&lt;&gt;"manual",$M546&lt;&gt;1)),
IF(Import.TipoArredondamento&lt;&gt;"TransfereGOV",
ROUND(OFFSET($P546,0,AQ$13),15-13*ORÇAMENTO!$AF$7)/$H546*OFFSET(ORÇAMENTO!$X$15,ROW(AQ546)-ROW(AQ$15),0),
ROUND(ROUND(OFFSET($P546,0,AQ$13),15-13*ORÇAMENTO!$AF$7)*OFFSET(ORÇAMENTO!$W$15,ROW(AQ546)-ROW(AQ$15),0),15-13*ORÇAMENTO!$AF$11)),0)</f>
        <v>0</v>
      </c>
      <c r="AR546" s="545">
        <f ca="1">IF(AND($D546="Serviço",AR$12&lt;&gt;0,$H546&gt;0,OR(AUTOEVENTO&lt;&gt;"manual",$M546&lt;&gt;1)),
IF(Import.TipoArredondamento&lt;&gt;"TransfereGOV",
ROUND(OFFSET($P546,0,AR$13),15-13*ORÇAMENTO!$AF$7)/$H546*OFFSET(ORÇAMENTO!$X$15,ROW(AR546)-ROW(AR$15),0),
ROUND(ROUND(OFFSET($P546,0,AR$13),15-13*ORÇAMENTO!$AF$7)*OFFSET(ORÇAMENTO!$W$15,ROW(AR546)-ROW(AR$15),0),15-13*ORÇAMENTO!$AF$11)),0)</f>
        <v>0</v>
      </c>
      <c r="AS546" s="546">
        <f ca="1">IF(AND($D546="Serviço",AS$12&lt;&gt;0,$H546&gt;0,OR(AUTOEVENTO&lt;&gt;"manual",$M546&lt;&gt;1)),
IF(Import.TipoArredondamento&lt;&gt;"TransfereGOV",
ROUND(OFFSET($P546,0,AS$13),15-13*ORÇAMENTO!$AF$7)/$H546*OFFSET(ORÇAMENTO!$X$15,ROW(AS546)-ROW(AS$15),0),
ROUND(ROUND(OFFSET($P546,0,AS$13),15-13*ORÇAMENTO!$AF$7)*OFFSET(ORÇAMENTO!$W$15,ROW(AS546)-ROW(AS$15),0),15-13*ORÇAMENTO!$AF$11)),0)</f>
        <v>0</v>
      </c>
      <c r="AT546" s="545">
        <f ca="1">IF(AND($D546="Serviço",AT$12&lt;&gt;0,$H546&gt;0,OR(AUTOEVENTO&lt;&gt;"manual",$M546&lt;&gt;1)),
IF(Import.TipoArredondamento&lt;&gt;"TransfereGOV",
ROUND(OFFSET($P546,0,AT$13),15-13*ORÇAMENTO!$AF$7)/$H546*OFFSET(ORÇAMENTO!$X$15,ROW(AT546)-ROW(AT$15),0),
ROUND(ROUND(OFFSET($P546,0,AT$13),15-13*ORÇAMENTO!$AF$7)*OFFSET(ORÇAMENTO!$W$15,ROW(AT546)-ROW(AT$15),0),15-13*ORÇAMENTO!$AF$11)),0)</f>
        <v>0</v>
      </c>
      <c r="AU546" s="545">
        <f ca="1">IF(AND($D546="Serviço",AU$12&lt;&gt;0,$H546&gt;0,OR(AUTOEVENTO&lt;&gt;"manual",$M546&lt;&gt;1)),
IF(Import.TipoArredondamento&lt;&gt;"TransfereGOV",
ROUND(OFFSET($P546,0,AU$13),15-13*ORÇAMENTO!$AF$7)/$H546*OFFSET(ORÇAMENTO!$X$15,ROW(AU546)-ROW(AU$15),0),
ROUND(ROUND(OFFSET($P546,0,AU$13),15-13*ORÇAMENTO!$AF$7)*OFFSET(ORÇAMENTO!$W$15,ROW(AU546)-ROW(AU$15),0),15-13*ORÇAMENTO!$AF$11)),0)</f>
        <v>0</v>
      </c>
      <c r="AV546" s="545">
        <f ca="1">IF(AND($D546="Serviço",AV$12&lt;&gt;0,$H546&gt;0,OR(AUTOEVENTO&lt;&gt;"manual",$M546&lt;&gt;1)),
IF(Import.TipoArredondamento&lt;&gt;"TransfereGOV",
ROUND(OFFSET($P546,0,AV$13),15-13*ORÇAMENTO!$AF$7)/$H546*OFFSET(ORÇAMENTO!$X$15,ROW(AV546)-ROW(AV$15),0),
ROUND(ROUND(OFFSET($P546,0,AV$13),15-13*ORÇAMENTO!$AF$7)*OFFSET(ORÇAMENTO!$W$15,ROW(AV546)-ROW(AV$15),0),15-13*ORÇAMENTO!$AF$11)),0)</f>
        <v>0</v>
      </c>
      <c r="AW546" s="545">
        <f ca="1">IF(AND($D546="Serviço",AW$12&lt;&gt;0,$H546&gt;0,OR(AUTOEVENTO&lt;&gt;"manual",$M546&lt;&gt;1)),
IF(Import.TipoArredondamento&lt;&gt;"TransfereGOV",
ROUND(OFFSET($P546,0,AW$13),15-13*ORÇAMENTO!$AF$7)/$H546*OFFSET(ORÇAMENTO!$X$15,ROW(AW546)-ROW(AW$15),0),
ROUND(ROUND(OFFSET($P546,0,AW$13),15-13*ORÇAMENTO!$AF$7)*OFFSET(ORÇAMENTO!$W$15,ROW(AW546)-ROW(AW$15),0),15-13*ORÇAMENTO!$AF$11)),0)</f>
        <v>0</v>
      </c>
      <c r="AX546" s="545">
        <f ca="1">IF(AND($D546="Serviço",AX$12&lt;&gt;0,$H546&gt;0,OR(AUTOEVENTO&lt;&gt;"manual",$M546&lt;&gt;1)),
IF(Import.TipoArredondamento&lt;&gt;"TransfereGOV",
ROUND(OFFSET($P546,0,AX$13),15-13*ORÇAMENTO!$AF$7)/$H546*OFFSET(ORÇAMENTO!$X$15,ROW(AX546)-ROW(AX$15),0),
ROUND(ROUND(OFFSET($P546,0,AX$13),15-13*ORÇAMENTO!$AF$7)*OFFSET(ORÇAMENTO!$W$15,ROW(AX546)-ROW(AX$15),0),15-13*ORÇAMENTO!$AF$11)),0)</f>
        <v>0</v>
      </c>
      <c r="AY546" s="545">
        <f ca="1">IF(AND($D546="Serviço",AY$12&lt;&gt;0,$H546&gt;0,OR(AUTOEVENTO&lt;&gt;"manual",$M546&lt;&gt;1)),
IF(Import.TipoArredondamento&lt;&gt;"TransfereGOV",
ROUND(OFFSET($P546,0,AY$13),15-13*ORÇAMENTO!$AF$7)/$H546*OFFSET(ORÇAMENTO!$X$15,ROW(AY546)-ROW(AY$15),0),
ROUND(ROUND(OFFSET($P546,0,AY$13),15-13*ORÇAMENTO!$AF$7)*OFFSET(ORÇAMENTO!$W$15,ROW(AY546)-ROW(AY$15),0),15-13*ORÇAMENTO!$AF$11)),0)</f>
        <v>0</v>
      </c>
      <c r="AZ546" s="545">
        <f ca="1">IF(AND($D546="Serviço",AZ$12&lt;&gt;0,$H546&gt;0,OR(AUTOEVENTO&lt;&gt;"manual",$M546&lt;&gt;1)),
IF(Import.TipoArredondamento&lt;&gt;"TransfereGOV",
ROUND(OFFSET($P546,0,AZ$13),15-13*ORÇAMENTO!$AF$7)/$H546*OFFSET(ORÇAMENTO!$X$15,ROW(AZ546)-ROW(AZ$15),0),
ROUND(ROUND(OFFSET($P546,0,AZ$13),15-13*ORÇAMENTO!$AF$7)*OFFSET(ORÇAMENTO!$W$15,ROW(AZ546)-ROW(AZ$15),0),15-13*ORÇAMENTO!$AF$11)),0)</f>
        <v>0</v>
      </c>
      <c r="BA546" s="546">
        <f ca="1">IF(AND($D546="Serviço",BA$12&lt;&gt;0,$H546&gt;0,OR(AUTOEVENTO&lt;&gt;"manual",$M546&lt;&gt;1)),
IF(Import.TipoArredondamento&lt;&gt;"TransfereGOV",
ROUND(OFFSET($P546,0,BA$13),15-13*ORÇAMENTO!$AF$7)/$H546*OFFSET(ORÇAMENTO!$X$15,ROW(BA546)-ROW(BA$15),0),
ROUND(ROUND(OFFSET($P546,0,BA$13),15-13*ORÇAMENTO!$AF$7)*OFFSET(ORÇAMENTO!$W$15,ROW(BA546)-ROW(BA$15),0),15-13*ORÇAMENTO!$AF$11)),0)</f>
        <v>0</v>
      </c>
      <c r="BC546" s="181">
        <f ca="1">IF($D546&lt;&gt;"Serviço",0,IF(AND(AUTOEVENTO="Manual",$M546=1),0,IF(OFFSET(CRONOPLE!$F$14,$M546,BC$13)="",10^12,OFFSET(CRONOPLE!$F$14,$M546,BC$13))))</f>
        <v>10</v>
      </c>
      <c r="BD546" s="181">
        <f ca="1">IF($D546&lt;&gt;"Serviço",0,IF(AND(AUTOEVENTO="Manual",$M546=1),0,IF(OFFSET(CRONOPLE!$F$14,$M546,BD$13)="",10^12,OFFSET(CRONOPLE!$F$14,$M546,BD$13))))</f>
        <v>1000000000000</v>
      </c>
      <c r="BE546" s="181">
        <f ca="1">IF($D546&lt;&gt;"Serviço",0,IF(AND(AUTOEVENTO="Manual",$M546=1),0,IF(OFFSET(CRONOPLE!$F$14,$M546,BE$13)="",10^12,OFFSET(CRONOPLE!$F$14,$M546,BE$13))))</f>
        <v>1000000000000</v>
      </c>
      <c r="BF546" s="181">
        <f ca="1">IF($D546&lt;&gt;"Serviço",0,IF(AND(AUTOEVENTO="Manual",$M546=1),0,IF(OFFSET(CRONOPLE!$F$14,$M546,BF$13)="",10^12,OFFSET(CRONOPLE!$F$14,$M546,BF$13))))</f>
        <v>1000000000000</v>
      </c>
      <c r="BG546" s="181">
        <f ca="1">IF($D546&lt;&gt;"Serviço",0,IF(AND(AUTOEVENTO="Manual",$M546=1),0,IF(OFFSET(CRONOPLE!$F$14,$M546,BG$13)="",10^12,OFFSET(CRONOPLE!$F$14,$M546,BG$13))))</f>
        <v>1000000000000</v>
      </c>
      <c r="BH546" s="181">
        <f ca="1">IF($D546&lt;&gt;"Serviço",0,IF(AND(AUTOEVENTO="Manual",$M546=1),0,IF(OFFSET(CRONOPLE!$F$14,$M546,BH$13)="",10^12,OFFSET(CRONOPLE!$F$14,$M546,BH$13))))</f>
        <v>1000000000000</v>
      </c>
      <c r="BI546" s="181">
        <f ca="1">IF($D546&lt;&gt;"Serviço",0,IF(AND(AUTOEVENTO="Manual",$M546=1),0,IF(OFFSET(CRONOPLE!$F$14,$M546,BI$13)="",10^12,OFFSET(CRONOPLE!$F$14,$M546,BI$13))))</f>
        <v>1000000000000</v>
      </c>
      <c r="BJ546" s="181">
        <f ca="1">IF($D546&lt;&gt;"Serviço",0,IF(AND(AUTOEVENTO="Manual",$M546=1),0,IF(OFFSET(CRONOPLE!$F$14,$M546,BJ$13)="",10^12,OFFSET(CRONOPLE!$F$14,$M546,BJ$13))))</f>
        <v>1000000000000</v>
      </c>
      <c r="BK546" s="181">
        <f ca="1">IF($D546&lt;&gt;"Serviço",0,IF(AND(AUTOEVENTO="Manual",$M546=1),0,IF(OFFSET(CRONOPLE!$F$14,$M546,BK$13)="",10^12,OFFSET(CRONOPLE!$F$14,$M546,BK$13))))</f>
        <v>1000000000000</v>
      </c>
      <c r="BL546" s="181">
        <f ca="1">IF($D546&lt;&gt;"Serviço",0,IF(AND(AUTOEVENTO="Manual",$M546=1),0,IF(OFFSET(CRONOPLE!$F$14,$M546,BL$13)="",10^12,OFFSET(CRONOPLE!$F$14,$M546,BL$13))))</f>
        <v>1000000000000</v>
      </c>
      <c r="BM546" s="181">
        <f ca="1">IF($D546&lt;&gt;"Serviço",0,IF(AND(AUTOEVENTO="Manual",$M546=1),0,IF(OFFSET(CRONOPLE!$F$14,$M546,BM$13)="",10^12,OFFSET(CRONOPLE!$F$14,$M546,BM$13))))</f>
        <v>1000000000000</v>
      </c>
      <c r="BN546" s="181">
        <f ca="1">IF($D546&lt;&gt;"Serviço",0,IF(AND(AUTOEVENTO="Manual",$M546=1),0,IF(OFFSET(CRONOPLE!$F$14,$M546,BN$13)="",10^12,OFFSET(CRONOPLE!$F$14,$M546,BN$13))))</f>
        <v>1000000000000</v>
      </c>
      <c r="BO546" s="181">
        <f ca="1">IF($D546&lt;&gt;"Serviço",0,IF(AND(AUTOEVENTO="Manual",$M546=1),0,IF(OFFSET(CRONOPLE!$F$14,$M546,BO$13)="",10^12,OFFSET(CRONOPLE!$F$14,$M546,BO$13))))</f>
        <v>1000000000000</v>
      </c>
      <c r="BP546" s="181">
        <f ca="1">IF($D546&lt;&gt;"Serviço",0,IF(AND(AUTOEVENTO="Manual",$M546=1),0,IF(OFFSET(CRONOPLE!$F$14,$M546,BP$13)="",10^12,OFFSET(CRONOPLE!$F$14,$M546,BP$13))))</f>
        <v>1000000000000</v>
      </c>
      <c r="BQ546" s="181">
        <f ca="1">IF($D546&lt;&gt;"Serviço",0,IF(AND(AUTOEVENTO="Manual",$M546=1),0,IF(OFFSET(CRONOPLE!$F$14,$M546,BQ$13)="",10^12,OFFSET(CRONOPLE!$F$14,$M546,BQ$13))))</f>
        <v>1000000000000</v>
      </c>
      <c r="BR546" s="181">
        <f ca="1">IF($D546&lt;&gt;"Serviço",0,IF(AND(AUTOEVENTO="Manual",$M546=1),0,IF(OFFSET(CRONOPLE!$F$14,$M546,BR$13)="",10^12,OFFSET(CRONOPLE!$F$14,$M546,BR$13))))</f>
        <v>1000000000000</v>
      </c>
      <c r="BS546" s="181">
        <f ca="1">IF($D546&lt;&gt;"Serviço",0,IF(AND(AUTOEVENTO="Manual",$M546=1),0,IF(OFFSET(CRONOPLE!$F$14,$M546,BS$13)="",10^12,OFFSET(CRONOPLE!$F$14,$M546,BS$13))))</f>
        <v>1000000000000</v>
      </c>
      <c r="BT546" s="181">
        <f ca="1">IF($D546&lt;&gt;"Serviço",0,IF(AND(AUTOEVENTO="Manual",$M546=1),0,IF(OFFSET(CRONOPLE!$F$14,$M546,BT$13)="",10^12,OFFSET(CRONOPLE!$F$14,$M546,BT$13))))</f>
        <v>1000000000000</v>
      </c>
      <c r="BV546" s="182">
        <f ca="1">IF($D546&lt;&gt;"Serviço",0,IF(OR(AND(AUTOEVENTO="Manual",$M546=1),$M546&gt;(ROW(PLE.lastrow)-ROW(PLE.firstrow))),0,IF(OFFSET(PLE!$G$14,$M546,BV$13)="",10^12,OFFSET(PLE!$G$14,$M546,BV$13))))</f>
        <v>1000000000000</v>
      </c>
      <c r="BW546" s="182">
        <f ca="1">IF($D546&lt;&gt;"Serviço",0,IF(OR(AND(AUTOEVENTO="Manual",$M546=1),$M546&gt;(ROW(PLE.lastrow)-ROW(PLE.firstrow))),0,IF(OFFSET(PLE!$G$14,$M546,BW$13)="",10^12,OFFSET(PLE!$G$14,$M546,BW$13))))</f>
        <v>1000000000000</v>
      </c>
      <c r="BX546" s="182">
        <f ca="1">IF($D546&lt;&gt;"Serviço",0,IF(OR(AND(AUTOEVENTO="Manual",$M546=1),$M546&gt;(ROW(PLE.lastrow)-ROW(PLE.firstrow))),0,IF(OFFSET(PLE!$G$14,$M546,BX$13)="",10^12,OFFSET(PLE!$G$14,$M546,BX$13))))</f>
        <v>1000000000000</v>
      </c>
      <c r="BY546" s="182">
        <f ca="1">IF($D546&lt;&gt;"Serviço",0,IF(OR(AND(AUTOEVENTO="Manual",$M546=1),$M546&gt;(ROW(PLE.lastrow)-ROW(PLE.firstrow))),0,IF(OFFSET(PLE!$G$14,$M546,BY$13)="",10^12,OFFSET(PLE!$G$14,$M546,BY$13))))</f>
        <v>1000000000000</v>
      </c>
      <c r="BZ546" s="182">
        <f ca="1">IF($D546&lt;&gt;"Serviço",0,IF(OR(AND(AUTOEVENTO="Manual",$M546=1),$M546&gt;(ROW(PLE.lastrow)-ROW(PLE.firstrow))),0,IF(OFFSET(PLE!$G$14,$M546,BZ$13)="",10^12,OFFSET(PLE!$G$14,$M546,BZ$13))))</f>
        <v>1000000000000</v>
      </c>
      <c r="CA546" s="182">
        <f ca="1">IF($D546&lt;&gt;"Serviço",0,IF(OR(AND(AUTOEVENTO="Manual",$M546=1),$M546&gt;(ROW(PLE.lastrow)-ROW(PLE.firstrow))),0,IF(OFFSET(PLE!$G$14,$M546,CA$13)="",10^12,OFFSET(PLE!$G$14,$M546,CA$13))))</f>
        <v>1000000000000</v>
      </c>
      <c r="CB546" s="182">
        <f ca="1">IF($D546&lt;&gt;"Serviço",0,IF(OR(AND(AUTOEVENTO="Manual",$M546=1),$M546&gt;(ROW(PLE.lastrow)-ROW(PLE.firstrow))),0,IF(OFFSET(PLE!$G$14,$M546,CB$13)="",10^12,OFFSET(PLE!$G$14,$M546,CB$13))))</f>
        <v>1000000000000</v>
      </c>
      <c r="CC546" s="182">
        <f ca="1">IF($D546&lt;&gt;"Serviço",0,IF(OR(AND(AUTOEVENTO="Manual",$M546=1),$M546&gt;(ROW(PLE.lastrow)-ROW(PLE.firstrow))),0,IF(OFFSET(PLE!$G$14,$M546,CC$13)="",10^12,OFFSET(PLE!$G$14,$M546,CC$13))))</f>
        <v>1000000000000</v>
      </c>
      <c r="CD546" s="182">
        <f ca="1">IF($D546&lt;&gt;"Serviço",0,IF(OR(AND(AUTOEVENTO="Manual",$M546=1),$M546&gt;(ROW(PLE.lastrow)-ROW(PLE.firstrow))),0,IF(OFFSET(PLE!$G$14,$M546,CD$13)="",10^12,OFFSET(PLE!$G$14,$M546,CD$13))))</f>
        <v>1000000000000</v>
      </c>
      <c r="CE546" s="182">
        <f ca="1">IF($D546&lt;&gt;"Serviço",0,IF(OR(AND(AUTOEVENTO="Manual",$M546=1),$M546&gt;(ROW(PLE.lastrow)-ROW(PLE.firstrow))),0,IF(OFFSET(PLE!$G$14,$M546,CE$13)="",10^12,OFFSET(PLE!$G$14,$M546,CE$13))))</f>
        <v>1000000000000</v>
      </c>
      <c r="CF546" s="182">
        <f ca="1">IF($D546&lt;&gt;"Serviço",0,IF(OR(AND(AUTOEVENTO="Manual",$M546=1),$M546&gt;(ROW(PLE.lastrow)-ROW(PLE.firstrow))),0,IF(OFFSET(PLE!$G$14,$M546,CF$13)="",10^12,OFFSET(PLE!$G$14,$M546,CF$13))))</f>
        <v>1000000000000</v>
      </c>
      <c r="CG546" s="182">
        <f ca="1">IF($D546&lt;&gt;"Serviço",0,IF(OR(AND(AUTOEVENTO="Manual",$M546=1),$M546&gt;(ROW(PLE.lastrow)-ROW(PLE.firstrow))),0,IF(OFFSET(PLE!$G$14,$M546,CG$13)="",10^12,OFFSET(PLE!$G$14,$M546,CG$13))))</f>
        <v>1000000000000</v>
      </c>
      <c r="CH546" s="182">
        <f ca="1">IF($D546&lt;&gt;"Serviço",0,IF(OR(AND(AUTOEVENTO="Manual",$M546=1),$M546&gt;(ROW(PLE.lastrow)-ROW(PLE.firstrow))),0,IF(OFFSET(PLE!$G$14,$M546,CH$13)="",10^12,OFFSET(PLE!$G$14,$M546,CH$13))))</f>
        <v>1000000000000</v>
      </c>
      <c r="CI546" s="182">
        <f ca="1">IF($D546&lt;&gt;"Serviço",0,IF(OR(AND(AUTOEVENTO="Manual",$M546=1),$M546&gt;(ROW(PLE.lastrow)-ROW(PLE.firstrow))),0,IF(OFFSET(PLE!$G$14,$M546,CI$13)="",10^12,OFFSET(PLE!$G$14,$M546,CI$13))))</f>
        <v>1000000000000</v>
      </c>
      <c r="CJ546" s="182">
        <f ca="1">IF($D546&lt;&gt;"Serviço",0,IF(OR(AND(AUTOEVENTO="Manual",$M546=1),$M546&gt;(ROW(PLE.lastrow)-ROW(PLE.firstrow))),0,IF(OFFSET(PLE!$G$14,$M546,CJ$13)="",10^12,OFFSET(PLE!$G$14,$M546,CJ$13))))</f>
        <v>1000000000000</v>
      </c>
      <c r="CK546" s="182">
        <f ca="1">IF($D546&lt;&gt;"Serviço",0,IF(OR(AND(AUTOEVENTO="Manual",$M546=1),$M546&gt;(ROW(PLE.lastrow)-ROW(PLE.firstrow))),0,IF(OFFSET(PLE!$G$14,$M546,CK$13)="",10^12,OFFSET(PLE!$G$14,$M546,CK$13))))</f>
        <v>1000000000000</v>
      </c>
      <c r="CL546" s="182">
        <f ca="1">IF($D546&lt;&gt;"Serviço",0,IF(OR(AND(AUTOEVENTO="Manual",$M546=1),$M546&gt;(ROW(PLE.lastrow)-ROW(PLE.firstrow))),0,IF(OFFSET(PLE!$G$14,$M546,CL$13)="",10^12,OFFSET(PLE!$G$14,$M546,CL$13))))</f>
        <v>1000000000000</v>
      </c>
      <c r="CM546" s="182">
        <f ca="1">IF($D546&lt;&gt;"Serviço",0,IF(OR(AND(AUTOEVENTO="Manual",$M546=1),$M546&gt;(ROW(PLE.lastrow)-ROW(PLE.firstrow))),0,IF(OFFSET(PLE!$G$14,$M546,CM$13)="",10^12,OFFSET(PLE!$G$14,$M546,CM$13))))</f>
        <v>1000000000000</v>
      </c>
    </row>
    <row r="547" spans="1:91" ht="25.5" x14ac:dyDescent="0.2">
      <c r="A547" s="7" t="str">
        <f t="shared" ca="1" si="17"/>
        <v>528</v>
      </c>
      <c r="B547" s="7" t="str">
        <f ca="1">OFFSET(ORÇAMENTO!C$15,ROW(B547)-ROW(B$15),0)</f>
        <v>S</v>
      </c>
      <c r="C547" s="7" t="str">
        <f ca="1">OFFSET(ORÇAMENTO!L$15,ROW(C547)-ROW(C$15),0)</f>
        <v/>
      </c>
      <c r="D547" s="118" t="str">
        <f ca="1">OFFSET(ORÇAMENTO!N$15,ROW(D547)-ROW(D$15),0)</f>
        <v>Serviço</v>
      </c>
      <c r="E547" s="119" t="str">
        <f ca="1">OFFSET(ORÇAMENTO!O$15,ROW(E547)-ROW(E$15),0)</f>
        <v>-</v>
      </c>
      <c r="F547" s="172" t="str">
        <f ca="1">OFFSET(ORÇAMENTO!R$15,ROW(F547)-ROW(F$15),0)</f>
        <v>(abra o arquivo 'Referência 06-2024.xlsm)</v>
      </c>
      <c r="G547" s="173" t="str">
        <f ca="1">IF($D547&lt;&gt;"Serviço","",OFFSET(ORÇAMENTO!S$15,ROW(G547)-ROW(G$15),0))</f>
        <v>-</v>
      </c>
      <c r="H547" s="124">
        <f ca="1">IF($D547&lt;&gt;"Serviço",0,IF(ACOMPANHAMENTO="BM",ROUND(OFFSET(ORÇAMENTO!AJ$15,ROW(H547)-ROW(H$15),0),15-13*ORÇAMENTO!$AF$7),SUMPRODUCT(($Q$12:$AI$12&lt;&gt;"")*ROUND($Q547:$AI547,15-13*ORÇAMENTO!$AF$7))))</f>
        <v>1</v>
      </c>
      <c r="I547" s="561" t="s">
        <v>1107</v>
      </c>
      <c r="K547" s="174"/>
      <c r="L547" s="175" t="s">
        <v>255</v>
      </c>
      <c r="M547" s="176">
        <f ca="1">IF($D547&lt;&gt;"Serviço","",IF(AUTOEVENTO="manual",$A547,IF(ISERROR(MATCH($A547,$A$15:OFFSET($A547,-1,0),0)),MAX($M$15:OFFSET(M547,-1,0))+1,INDEX($M$15:OFFSET(M547,-1,0),MATCH($A547,$A$15:OFFSET($A547,-1,0),0)))))</f>
        <v>57</v>
      </c>
      <c r="N547" s="177" t="str">
        <f ca="1">IF($D547&lt;&gt;"Serviço","",IF(AUTOEVENTO="Manual",IF($A547=0,"&lt;-- defina o número do agrupador",OFFSET(EVENTOS!$D$14,$A547,0)),OFFSET($F$15,$A547,0)))</f>
        <v>INSTALAÇÃO ELÉTRICA 110V - DISPOSITIVOS DE PROTEÇÃO</v>
      </c>
      <c r="O547" s="178"/>
      <c r="Q547" s="178">
        <v>1</v>
      </c>
      <c r="R547" s="179"/>
      <c r="S547" s="179"/>
      <c r="T547" s="179"/>
      <c r="U547" s="179"/>
      <c r="V547" s="179"/>
      <c r="W547" s="179"/>
      <c r="X547" s="179"/>
      <c r="Y547" s="179"/>
      <c r="Z547" s="180"/>
      <c r="AA547" s="179"/>
      <c r="AB547" s="179"/>
      <c r="AC547" s="179"/>
      <c r="AD547" s="179"/>
      <c r="AE547" s="179"/>
      <c r="AF547" s="179"/>
      <c r="AG547" s="179"/>
      <c r="AH547" s="180"/>
      <c r="AJ547" s="544">
        <f ca="1">IF(AND($D547="Serviço",AJ$12&lt;&gt;0,$H547&gt;0,OR(AUTOEVENTO&lt;&gt;"manual",$M547&lt;&gt;1)),
IF(Import.TipoArredondamento&lt;&gt;"TransfereGOV",
ROUND(OFFSET($P547,0,AJ$13),15-13*ORÇAMENTO!$AF$7)/$H547*OFFSET(ORÇAMENTO!$X$15,ROW(AJ547)-ROW(AJ$15),0),
ROUND(ROUND(OFFSET($P547,0,AJ$13),15-13*ORÇAMENTO!$AF$7)*OFFSET(ORÇAMENTO!$W$15,ROW(AJ547)-ROW(AJ$15),0),15-13*ORÇAMENTO!$AF$11)),0)</f>
        <v>0</v>
      </c>
      <c r="AK547" s="545">
        <f ca="1">IF(AND($D547="Serviço",AK$12&lt;&gt;0,$H547&gt;0,OR(AUTOEVENTO&lt;&gt;"manual",$M547&lt;&gt;1)),
IF(Import.TipoArredondamento&lt;&gt;"TransfereGOV",
ROUND(OFFSET($P547,0,AK$13),15-13*ORÇAMENTO!$AF$7)/$H547*OFFSET(ORÇAMENTO!$X$15,ROW(AK547)-ROW(AK$15),0),
ROUND(ROUND(OFFSET($P547,0,AK$13),15-13*ORÇAMENTO!$AF$7)*OFFSET(ORÇAMENTO!$W$15,ROW(AK547)-ROW(AK$15),0),15-13*ORÇAMENTO!$AF$11)),0)</f>
        <v>0</v>
      </c>
      <c r="AL547" s="545">
        <f ca="1">IF(AND($D547="Serviço",AL$12&lt;&gt;0,$H547&gt;0,OR(AUTOEVENTO&lt;&gt;"manual",$M547&lt;&gt;1)),
IF(Import.TipoArredondamento&lt;&gt;"TransfereGOV",
ROUND(OFFSET($P547,0,AL$13),15-13*ORÇAMENTO!$AF$7)/$H547*OFFSET(ORÇAMENTO!$X$15,ROW(AL547)-ROW(AL$15),0),
ROUND(ROUND(OFFSET($P547,0,AL$13),15-13*ORÇAMENTO!$AF$7)*OFFSET(ORÇAMENTO!$W$15,ROW(AL547)-ROW(AL$15),0),15-13*ORÇAMENTO!$AF$11)),0)</f>
        <v>0</v>
      </c>
      <c r="AM547" s="545">
        <f ca="1">IF(AND($D547="Serviço",AM$12&lt;&gt;0,$H547&gt;0,OR(AUTOEVENTO&lt;&gt;"manual",$M547&lt;&gt;1)),
IF(Import.TipoArredondamento&lt;&gt;"TransfereGOV",
ROUND(OFFSET($P547,0,AM$13),15-13*ORÇAMENTO!$AF$7)/$H547*OFFSET(ORÇAMENTO!$X$15,ROW(AM547)-ROW(AM$15),0),
ROUND(ROUND(OFFSET($P547,0,AM$13),15-13*ORÇAMENTO!$AF$7)*OFFSET(ORÇAMENTO!$W$15,ROW(AM547)-ROW(AM$15),0),15-13*ORÇAMENTO!$AF$11)),0)</f>
        <v>0</v>
      </c>
      <c r="AN547" s="545">
        <f ca="1">IF(AND($D547="Serviço",AN$12&lt;&gt;0,$H547&gt;0,OR(AUTOEVENTO&lt;&gt;"manual",$M547&lt;&gt;1)),
IF(Import.TipoArredondamento&lt;&gt;"TransfereGOV",
ROUND(OFFSET($P547,0,AN$13),15-13*ORÇAMENTO!$AF$7)/$H547*OFFSET(ORÇAMENTO!$X$15,ROW(AN547)-ROW(AN$15),0),
ROUND(ROUND(OFFSET($P547,0,AN$13),15-13*ORÇAMENTO!$AF$7)*OFFSET(ORÇAMENTO!$W$15,ROW(AN547)-ROW(AN$15),0),15-13*ORÇAMENTO!$AF$11)),0)</f>
        <v>0</v>
      </c>
      <c r="AO547" s="545">
        <f ca="1">IF(AND($D547="Serviço",AO$12&lt;&gt;0,$H547&gt;0,OR(AUTOEVENTO&lt;&gt;"manual",$M547&lt;&gt;1)),
IF(Import.TipoArredondamento&lt;&gt;"TransfereGOV",
ROUND(OFFSET($P547,0,AO$13),15-13*ORÇAMENTO!$AF$7)/$H547*OFFSET(ORÇAMENTO!$X$15,ROW(AO547)-ROW(AO$15),0),
ROUND(ROUND(OFFSET($P547,0,AO$13),15-13*ORÇAMENTO!$AF$7)*OFFSET(ORÇAMENTO!$W$15,ROW(AO547)-ROW(AO$15),0),15-13*ORÇAMENTO!$AF$11)),0)</f>
        <v>0</v>
      </c>
      <c r="AP547" s="545">
        <f ca="1">IF(AND($D547="Serviço",AP$12&lt;&gt;0,$H547&gt;0,OR(AUTOEVENTO&lt;&gt;"manual",$M547&lt;&gt;1)),
IF(Import.TipoArredondamento&lt;&gt;"TransfereGOV",
ROUND(OFFSET($P547,0,AP$13),15-13*ORÇAMENTO!$AF$7)/$H547*OFFSET(ORÇAMENTO!$X$15,ROW(AP547)-ROW(AP$15),0),
ROUND(ROUND(OFFSET($P547,0,AP$13),15-13*ORÇAMENTO!$AF$7)*OFFSET(ORÇAMENTO!$W$15,ROW(AP547)-ROW(AP$15),0),15-13*ORÇAMENTO!$AF$11)),0)</f>
        <v>0</v>
      </c>
      <c r="AQ547" s="545">
        <f ca="1">IF(AND($D547="Serviço",AQ$12&lt;&gt;0,$H547&gt;0,OR(AUTOEVENTO&lt;&gt;"manual",$M547&lt;&gt;1)),
IF(Import.TipoArredondamento&lt;&gt;"TransfereGOV",
ROUND(OFFSET($P547,0,AQ$13),15-13*ORÇAMENTO!$AF$7)/$H547*OFFSET(ORÇAMENTO!$X$15,ROW(AQ547)-ROW(AQ$15),0),
ROUND(ROUND(OFFSET($P547,0,AQ$13),15-13*ORÇAMENTO!$AF$7)*OFFSET(ORÇAMENTO!$W$15,ROW(AQ547)-ROW(AQ$15),0),15-13*ORÇAMENTO!$AF$11)),0)</f>
        <v>0</v>
      </c>
      <c r="AR547" s="545">
        <f ca="1">IF(AND($D547="Serviço",AR$12&lt;&gt;0,$H547&gt;0,OR(AUTOEVENTO&lt;&gt;"manual",$M547&lt;&gt;1)),
IF(Import.TipoArredondamento&lt;&gt;"TransfereGOV",
ROUND(OFFSET($P547,0,AR$13),15-13*ORÇAMENTO!$AF$7)/$H547*OFFSET(ORÇAMENTO!$X$15,ROW(AR547)-ROW(AR$15),0),
ROUND(ROUND(OFFSET($P547,0,AR$13),15-13*ORÇAMENTO!$AF$7)*OFFSET(ORÇAMENTO!$W$15,ROW(AR547)-ROW(AR$15),0),15-13*ORÇAMENTO!$AF$11)),0)</f>
        <v>0</v>
      </c>
      <c r="AS547" s="546">
        <f ca="1">IF(AND($D547="Serviço",AS$12&lt;&gt;0,$H547&gt;0,OR(AUTOEVENTO&lt;&gt;"manual",$M547&lt;&gt;1)),
IF(Import.TipoArredondamento&lt;&gt;"TransfereGOV",
ROUND(OFFSET($P547,0,AS$13),15-13*ORÇAMENTO!$AF$7)/$H547*OFFSET(ORÇAMENTO!$X$15,ROW(AS547)-ROW(AS$15),0),
ROUND(ROUND(OFFSET($P547,0,AS$13),15-13*ORÇAMENTO!$AF$7)*OFFSET(ORÇAMENTO!$W$15,ROW(AS547)-ROW(AS$15),0),15-13*ORÇAMENTO!$AF$11)),0)</f>
        <v>0</v>
      </c>
      <c r="AT547" s="545">
        <f ca="1">IF(AND($D547="Serviço",AT$12&lt;&gt;0,$H547&gt;0,OR(AUTOEVENTO&lt;&gt;"manual",$M547&lt;&gt;1)),
IF(Import.TipoArredondamento&lt;&gt;"TransfereGOV",
ROUND(OFFSET($P547,0,AT$13),15-13*ORÇAMENTO!$AF$7)/$H547*OFFSET(ORÇAMENTO!$X$15,ROW(AT547)-ROW(AT$15),0),
ROUND(ROUND(OFFSET($P547,0,AT$13),15-13*ORÇAMENTO!$AF$7)*OFFSET(ORÇAMENTO!$W$15,ROW(AT547)-ROW(AT$15),0),15-13*ORÇAMENTO!$AF$11)),0)</f>
        <v>0</v>
      </c>
      <c r="AU547" s="545">
        <f ca="1">IF(AND($D547="Serviço",AU$12&lt;&gt;0,$H547&gt;0,OR(AUTOEVENTO&lt;&gt;"manual",$M547&lt;&gt;1)),
IF(Import.TipoArredondamento&lt;&gt;"TransfereGOV",
ROUND(OFFSET($P547,0,AU$13),15-13*ORÇAMENTO!$AF$7)/$H547*OFFSET(ORÇAMENTO!$X$15,ROW(AU547)-ROW(AU$15),0),
ROUND(ROUND(OFFSET($P547,0,AU$13),15-13*ORÇAMENTO!$AF$7)*OFFSET(ORÇAMENTO!$W$15,ROW(AU547)-ROW(AU$15),0),15-13*ORÇAMENTO!$AF$11)),0)</f>
        <v>0</v>
      </c>
      <c r="AV547" s="545">
        <f ca="1">IF(AND($D547="Serviço",AV$12&lt;&gt;0,$H547&gt;0,OR(AUTOEVENTO&lt;&gt;"manual",$M547&lt;&gt;1)),
IF(Import.TipoArredondamento&lt;&gt;"TransfereGOV",
ROUND(OFFSET($P547,0,AV$13),15-13*ORÇAMENTO!$AF$7)/$H547*OFFSET(ORÇAMENTO!$X$15,ROW(AV547)-ROW(AV$15),0),
ROUND(ROUND(OFFSET($P547,0,AV$13),15-13*ORÇAMENTO!$AF$7)*OFFSET(ORÇAMENTO!$W$15,ROW(AV547)-ROW(AV$15),0),15-13*ORÇAMENTO!$AF$11)),0)</f>
        <v>0</v>
      </c>
      <c r="AW547" s="545">
        <f ca="1">IF(AND($D547="Serviço",AW$12&lt;&gt;0,$H547&gt;0,OR(AUTOEVENTO&lt;&gt;"manual",$M547&lt;&gt;1)),
IF(Import.TipoArredondamento&lt;&gt;"TransfereGOV",
ROUND(OFFSET($P547,0,AW$13),15-13*ORÇAMENTO!$AF$7)/$H547*OFFSET(ORÇAMENTO!$X$15,ROW(AW547)-ROW(AW$15),0),
ROUND(ROUND(OFFSET($P547,0,AW$13),15-13*ORÇAMENTO!$AF$7)*OFFSET(ORÇAMENTO!$W$15,ROW(AW547)-ROW(AW$15),0),15-13*ORÇAMENTO!$AF$11)),0)</f>
        <v>0</v>
      </c>
      <c r="AX547" s="545">
        <f ca="1">IF(AND($D547="Serviço",AX$12&lt;&gt;0,$H547&gt;0,OR(AUTOEVENTO&lt;&gt;"manual",$M547&lt;&gt;1)),
IF(Import.TipoArredondamento&lt;&gt;"TransfereGOV",
ROUND(OFFSET($P547,0,AX$13),15-13*ORÇAMENTO!$AF$7)/$H547*OFFSET(ORÇAMENTO!$X$15,ROW(AX547)-ROW(AX$15),0),
ROUND(ROUND(OFFSET($P547,0,AX$13),15-13*ORÇAMENTO!$AF$7)*OFFSET(ORÇAMENTO!$W$15,ROW(AX547)-ROW(AX$15),0),15-13*ORÇAMENTO!$AF$11)),0)</f>
        <v>0</v>
      </c>
      <c r="AY547" s="545">
        <f ca="1">IF(AND($D547="Serviço",AY$12&lt;&gt;0,$H547&gt;0,OR(AUTOEVENTO&lt;&gt;"manual",$M547&lt;&gt;1)),
IF(Import.TipoArredondamento&lt;&gt;"TransfereGOV",
ROUND(OFFSET($P547,0,AY$13),15-13*ORÇAMENTO!$AF$7)/$H547*OFFSET(ORÇAMENTO!$X$15,ROW(AY547)-ROW(AY$15),0),
ROUND(ROUND(OFFSET($P547,0,AY$13),15-13*ORÇAMENTO!$AF$7)*OFFSET(ORÇAMENTO!$W$15,ROW(AY547)-ROW(AY$15),0),15-13*ORÇAMENTO!$AF$11)),0)</f>
        <v>0</v>
      </c>
      <c r="AZ547" s="545">
        <f ca="1">IF(AND($D547="Serviço",AZ$12&lt;&gt;0,$H547&gt;0,OR(AUTOEVENTO&lt;&gt;"manual",$M547&lt;&gt;1)),
IF(Import.TipoArredondamento&lt;&gt;"TransfereGOV",
ROUND(OFFSET($P547,0,AZ$13),15-13*ORÇAMENTO!$AF$7)/$H547*OFFSET(ORÇAMENTO!$X$15,ROW(AZ547)-ROW(AZ$15),0),
ROUND(ROUND(OFFSET($P547,0,AZ$13),15-13*ORÇAMENTO!$AF$7)*OFFSET(ORÇAMENTO!$W$15,ROW(AZ547)-ROW(AZ$15),0),15-13*ORÇAMENTO!$AF$11)),0)</f>
        <v>0</v>
      </c>
      <c r="BA547" s="546">
        <f ca="1">IF(AND($D547="Serviço",BA$12&lt;&gt;0,$H547&gt;0,OR(AUTOEVENTO&lt;&gt;"manual",$M547&lt;&gt;1)),
IF(Import.TipoArredondamento&lt;&gt;"TransfereGOV",
ROUND(OFFSET($P547,0,BA$13),15-13*ORÇAMENTO!$AF$7)/$H547*OFFSET(ORÇAMENTO!$X$15,ROW(BA547)-ROW(BA$15),0),
ROUND(ROUND(OFFSET($P547,0,BA$13),15-13*ORÇAMENTO!$AF$7)*OFFSET(ORÇAMENTO!$W$15,ROW(BA547)-ROW(BA$15),0),15-13*ORÇAMENTO!$AF$11)),0)</f>
        <v>0</v>
      </c>
      <c r="BC547" s="181">
        <f ca="1">IF($D547&lt;&gt;"Serviço",0,IF(AND(AUTOEVENTO="Manual",$M547=1),0,IF(OFFSET(CRONOPLE!$F$14,$M547,BC$13)="",10^12,OFFSET(CRONOPLE!$F$14,$M547,BC$13))))</f>
        <v>10</v>
      </c>
      <c r="BD547" s="181">
        <f ca="1">IF($D547&lt;&gt;"Serviço",0,IF(AND(AUTOEVENTO="Manual",$M547=1),0,IF(OFFSET(CRONOPLE!$F$14,$M547,BD$13)="",10^12,OFFSET(CRONOPLE!$F$14,$M547,BD$13))))</f>
        <v>1000000000000</v>
      </c>
      <c r="BE547" s="181">
        <f ca="1">IF($D547&lt;&gt;"Serviço",0,IF(AND(AUTOEVENTO="Manual",$M547=1),0,IF(OFFSET(CRONOPLE!$F$14,$M547,BE$13)="",10^12,OFFSET(CRONOPLE!$F$14,$M547,BE$13))))</f>
        <v>1000000000000</v>
      </c>
      <c r="BF547" s="181">
        <f ca="1">IF($D547&lt;&gt;"Serviço",0,IF(AND(AUTOEVENTO="Manual",$M547=1),0,IF(OFFSET(CRONOPLE!$F$14,$M547,BF$13)="",10^12,OFFSET(CRONOPLE!$F$14,$M547,BF$13))))</f>
        <v>1000000000000</v>
      </c>
      <c r="BG547" s="181">
        <f ca="1">IF($D547&lt;&gt;"Serviço",0,IF(AND(AUTOEVENTO="Manual",$M547=1),0,IF(OFFSET(CRONOPLE!$F$14,$M547,BG$13)="",10^12,OFFSET(CRONOPLE!$F$14,$M547,BG$13))))</f>
        <v>1000000000000</v>
      </c>
      <c r="BH547" s="181">
        <f ca="1">IF($D547&lt;&gt;"Serviço",0,IF(AND(AUTOEVENTO="Manual",$M547=1),0,IF(OFFSET(CRONOPLE!$F$14,$M547,BH$13)="",10^12,OFFSET(CRONOPLE!$F$14,$M547,BH$13))))</f>
        <v>1000000000000</v>
      </c>
      <c r="BI547" s="181">
        <f ca="1">IF($D547&lt;&gt;"Serviço",0,IF(AND(AUTOEVENTO="Manual",$M547=1),0,IF(OFFSET(CRONOPLE!$F$14,$M547,BI$13)="",10^12,OFFSET(CRONOPLE!$F$14,$M547,BI$13))))</f>
        <v>1000000000000</v>
      </c>
      <c r="BJ547" s="181">
        <f ca="1">IF($D547&lt;&gt;"Serviço",0,IF(AND(AUTOEVENTO="Manual",$M547=1),0,IF(OFFSET(CRONOPLE!$F$14,$M547,BJ$13)="",10^12,OFFSET(CRONOPLE!$F$14,$M547,BJ$13))))</f>
        <v>1000000000000</v>
      </c>
      <c r="BK547" s="181">
        <f ca="1">IF($D547&lt;&gt;"Serviço",0,IF(AND(AUTOEVENTO="Manual",$M547=1),0,IF(OFFSET(CRONOPLE!$F$14,$M547,BK$13)="",10^12,OFFSET(CRONOPLE!$F$14,$M547,BK$13))))</f>
        <v>1000000000000</v>
      </c>
      <c r="BL547" s="181">
        <f ca="1">IF($D547&lt;&gt;"Serviço",0,IF(AND(AUTOEVENTO="Manual",$M547=1),0,IF(OFFSET(CRONOPLE!$F$14,$M547,BL$13)="",10^12,OFFSET(CRONOPLE!$F$14,$M547,BL$13))))</f>
        <v>1000000000000</v>
      </c>
      <c r="BM547" s="181">
        <f ca="1">IF($D547&lt;&gt;"Serviço",0,IF(AND(AUTOEVENTO="Manual",$M547=1),0,IF(OFFSET(CRONOPLE!$F$14,$M547,BM$13)="",10^12,OFFSET(CRONOPLE!$F$14,$M547,BM$13))))</f>
        <v>1000000000000</v>
      </c>
      <c r="BN547" s="181">
        <f ca="1">IF($D547&lt;&gt;"Serviço",0,IF(AND(AUTOEVENTO="Manual",$M547=1),0,IF(OFFSET(CRONOPLE!$F$14,$M547,BN$13)="",10^12,OFFSET(CRONOPLE!$F$14,$M547,BN$13))))</f>
        <v>1000000000000</v>
      </c>
      <c r="BO547" s="181">
        <f ca="1">IF($D547&lt;&gt;"Serviço",0,IF(AND(AUTOEVENTO="Manual",$M547=1),0,IF(OFFSET(CRONOPLE!$F$14,$M547,BO$13)="",10^12,OFFSET(CRONOPLE!$F$14,$M547,BO$13))))</f>
        <v>1000000000000</v>
      </c>
      <c r="BP547" s="181">
        <f ca="1">IF($D547&lt;&gt;"Serviço",0,IF(AND(AUTOEVENTO="Manual",$M547=1),0,IF(OFFSET(CRONOPLE!$F$14,$M547,BP$13)="",10^12,OFFSET(CRONOPLE!$F$14,$M547,BP$13))))</f>
        <v>1000000000000</v>
      </c>
      <c r="BQ547" s="181">
        <f ca="1">IF($D547&lt;&gt;"Serviço",0,IF(AND(AUTOEVENTO="Manual",$M547=1),0,IF(OFFSET(CRONOPLE!$F$14,$M547,BQ$13)="",10^12,OFFSET(CRONOPLE!$F$14,$M547,BQ$13))))</f>
        <v>1000000000000</v>
      </c>
      <c r="BR547" s="181">
        <f ca="1">IF($D547&lt;&gt;"Serviço",0,IF(AND(AUTOEVENTO="Manual",$M547=1),0,IF(OFFSET(CRONOPLE!$F$14,$M547,BR$13)="",10^12,OFFSET(CRONOPLE!$F$14,$M547,BR$13))))</f>
        <v>1000000000000</v>
      </c>
      <c r="BS547" s="181">
        <f ca="1">IF($D547&lt;&gt;"Serviço",0,IF(AND(AUTOEVENTO="Manual",$M547=1),0,IF(OFFSET(CRONOPLE!$F$14,$M547,BS$13)="",10^12,OFFSET(CRONOPLE!$F$14,$M547,BS$13))))</f>
        <v>1000000000000</v>
      </c>
      <c r="BT547" s="181">
        <f ca="1">IF($D547&lt;&gt;"Serviço",0,IF(AND(AUTOEVENTO="Manual",$M547=1),0,IF(OFFSET(CRONOPLE!$F$14,$M547,BT$13)="",10^12,OFFSET(CRONOPLE!$F$14,$M547,BT$13))))</f>
        <v>1000000000000</v>
      </c>
      <c r="BV547" s="182">
        <f ca="1">IF($D547&lt;&gt;"Serviço",0,IF(OR(AND(AUTOEVENTO="Manual",$M547=1),$M547&gt;(ROW(PLE.lastrow)-ROW(PLE.firstrow))),0,IF(OFFSET(PLE!$G$14,$M547,BV$13)="",10^12,OFFSET(PLE!$G$14,$M547,BV$13))))</f>
        <v>1000000000000</v>
      </c>
      <c r="BW547" s="182">
        <f ca="1">IF($D547&lt;&gt;"Serviço",0,IF(OR(AND(AUTOEVENTO="Manual",$M547=1),$M547&gt;(ROW(PLE.lastrow)-ROW(PLE.firstrow))),0,IF(OFFSET(PLE!$G$14,$M547,BW$13)="",10^12,OFFSET(PLE!$G$14,$M547,BW$13))))</f>
        <v>1000000000000</v>
      </c>
      <c r="BX547" s="182">
        <f ca="1">IF($D547&lt;&gt;"Serviço",0,IF(OR(AND(AUTOEVENTO="Manual",$M547=1),$M547&gt;(ROW(PLE.lastrow)-ROW(PLE.firstrow))),0,IF(OFFSET(PLE!$G$14,$M547,BX$13)="",10^12,OFFSET(PLE!$G$14,$M547,BX$13))))</f>
        <v>1000000000000</v>
      </c>
      <c r="BY547" s="182">
        <f ca="1">IF($D547&lt;&gt;"Serviço",0,IF(OR(AND(AUTOEVENTO="Manual",$M547=1),$M547&gt;(ROW(PLE.lastrow)-ROW(PLE.firstrow))),0,IF(OFFSET(PLE!$G$14,$M547,BY$13)="",10^12,OFFSET(PLE!$G$14,$M547,BY$13))))</f>
        <v>1000000000000</v>
      </c>
      <c r="BZ547" s="182">
        <f ca="1">IF($D547&lt;&gt;"Serviço",0,IF(OR(AND(AUTOEVENTO="Manual",$M547=1),$M547&gt;(ROW(PLE.lastrow)-ROW(PLE.firstrow))),0,IF(OFFSET(PLE!$G$14,$M547,BZ$13)="",10^12,OFFSET(PLE!$G$14,$M547,BZ$13))))</f>
        <v>1000000000000</v>
      </c>
      <c r="CA547" s="182">
        <f ca="1">IF($D547&lt;&gt;"Serviço",0,IF(OR(AND(AUTOEVENTO="Manual",$M547=1),$M547&gt;(ROW(PLE.lastrow)-ROW(PLE.firstrow))),0,IF(OFFSET(PLE!$G$14,$M547,CA$13)="",10^12,OFFSET(PLE!$G$14,$M547,CA$13))))</f>
        <v>1000000000000</v>
      </c>
      <c r="CB547" s="182">
        <f ca="1">IF($D547&lt;&gt;"Serviço",0,IF(OR(AND(AUTOEVENTO="Manual",$M547=1),$M547&gt;(ROW(PLE.lastrow)-ROW(PLE.firstrow))),0,IF(OFFSET(PLE!$G$14,$M547,CB$13)="",10^12,OFFSET(PLE!$G$14,$M547,CB$13))))</f>
        <v>1000000000000</v>
      </c>
      <c r="CC547" s="182">
        <f ca="1">IF($D547&lt;&gt;"Serviço",0,IF(OR(AND(AUTOEVENTO="Manual",$M547=1),$M547&gt;(ROW(PLE.lastrow)-ROW(PLE.firstrow))),0,IF(OFFSET(PLE!$G$14,$M547,CC$13)="",10^12,OFFSET(PLE!$G$14,$M547,CC$13))))</f>
        <v>1000000000000</v>
      </c>
      <c r="CD547" s="182">
        <f ca="1">IF($D547&lt;&gt;"Serviço",0,IF(OR(AND(AUTOEVENTO="Manual",$M547=1),$M547&gt;(ROW(PLE.lastrow)-ROW(PLE.firstrow))),0,IF(OFFSET(PLE!$G$14,$M547,CD$13)="",10^12,OFFSET(PLE!$G$14,$M547,CD$13))))</f>
        <v>1000000000000</v>
      </c>
      <c r="CE547" s="182">
        <f ca="1">IF($D547&lt;&gt;"Serviço",0,IF(OR(AND(AUTOEVENTO="Manual",$M547=1),$M547&gt;(ROW(PLE.lastrow)-ROW(PLE.firstrow))),0,IF(OFFSET(PLE!$G$14,$M547,CE$13)="",10^12,OFFSET(PLE!$G$14,$M547,CE$13))))</f>
        <v>1000000000000</v>
      </c>
      <c r="CF547" s="182">
        <f ca="1">IF($D547&lt;&gt;"Serviço",0,IF(OR(AND(AUTOEVENTO="Manual",$M547=1),$M547&gt;(ROW(PLE.lastrow)-ROW(PLE.firstrow))),0,IF(OFFSET(PLE!$G$14,$M547,CF$13)="",10^12,OFFSET(PLE!$G$14,$M547,CF$13))))</f>
        <v>1000000000000</v>
      </c>
      <c r="CG547" s="182">
        <f ca="1">IF($D547&lt;&gt;"Serviço",0,IF(OR(AND(AUTOEVENTO="Manual",$M547=1),$M547&gt;(ROW(PLE.lastrow)-ROW(PLE.firstrow))),0,IF(OFFSET(PLE!$G$14,$M547,CG$13)="",10^12,OFFSET(PLE!$G$14,$M547,CG$13))))</f>
        <v>1000000000000</v>
      </c>
      <c r="CH547" s="182">
        <f ca="1">IF($D547&lt;&gt;"Serviço",0,IF(OR(AND(AUTOEVENTO="Manual",$M547=1),$M547&gt;(ROW(PLE.lastrow)-ROW(PLE.firstrow))),0,IF(OFFSET(PLE!$G$14,$M547,CH$13)="",10^12,OFFSET(PLE!$G$14,$M547,CH$13))))</f>
        <v>1000000000000</v>
      </c>
      <c r="CI547" s="182">
        <f ca="1">IF($D547&lt;&gt;"Serviço",0,IF(OR(AND(AUTOEVENTO="Manual",$M547=1),$M547&gt;(ROW(PLE.lastrow)-ROW(PLE.firstrow))),0,IF(OFFSET(PLE!$G$14,$M547,CI$13)="",10^12,OFFSET(PLE!$G$14,$M547,CI$13))))</f>
        <v>1000000000000</v>
      </c>
      <c r="CJ547" s="182">
        <f ca="1">IF($D547&lt;&gt;"Serviço",0,IF(OR(AND(AUTOEVENTO="Manual",$M547=1),$M547&gt;(ROW(PLE.lastrow)-ROW(PLE.firstrow))),0,IF(OFFSET(PLE!$G$14,$M547,CJ$13)="",10^12,OFFSET(PLE!$G$14,$M547,CJ$13))))</f>
        <v>1000000000000</v>
      </c>
      <c r="CK547" s="182">
        <f ca="1">IF($D547&lt;&gt;"Serviço",0,IF(OR(AND(AUTOEVENTO="Manual",$M547=1),$M547&gt;(ROW(PLE.lastrow)-ROW(PLE.firstrow))),0,IF(OFFSET(PLE!$G$14,$M547,CK$13)="",10^12,OFFSET(PLE!$G$14,$M547,CK$13))))</f>
        <v>1000000000000</v>
      </c>
      <c r="CL547" s="182">
        <f ca="1">IF($D547&lt;&gt;"Serviço",0,IF(OR(AND(AUTOEVENTO="Manual",$M547=1),$M547&gt;(ROW(PLE.lastrow)-ROW(PLE.firstrow))),0,IF(OFFSET(PLE!$G$14,$M547,CL$13)="",10^12,OFFSET(PLE!$G$14,$M547,CL$13))))</f>
        <v>1000000000000</v>
      </c>
      <c r="CM547" s="182">
        <f ca="1">IF($D547&lt;&gt;"Serviço",0,IF(OR(AND(AUTOEVENTO="Manual",$M547=1),$M547&gt;(ROW(PLE.lastrow)-ROW(PLE.firstrow))),0,IF(OFFSET(PLE!$G$14,$M547,CM$13)="",10^12,OFFSET(PLE!$G$14,$M547,CM$13))))</f>
        <v>1000000000000</v>
      </c>
    </row>
    <row r="548" spans="1:91" ht="25.5" x14ac:dyDescent="0.2">
      <c r="A548" s="7" t="str">
        <f t="shared" ca="1" si="17"/>
        <v>528</v>
      </c>
      <c r="B548" s="7" t="str">
        <f ca="1">OFFSET(ORÇAMENTO!C$15,ROW(B548)-ROW(B$15),0)</f>
        <v>S</v>
      </c>
      <c r="C548" s="7" t="str">
        <f ca="1">OFFSET(ORÇAMENTO!L$15,ROW(C548)-ROW(C$15),0)</f>
        <v/>
      </c>
      <c r="D548" s="118" t="str">
        <f ca="1">OFFSET(ORÇAMENTO!N$15,ROW(D548)-ROW(D$15),0)</f>
        <v>Serviço</v>
      </c>
      <c r="E548" s="119" t="str">
        <f ca="1">OFFSET(ORÇAMENTO!O$15,ROW(E548)-ROW(E$15),0)</f>
        <v>-</v>
      </c>
      <c r="F548" s="172" t="str">
        <f ca="1">OFFSET(ORÇAMENTO!R$15,ROW(F548)-ROW(F$15),0)</f>
        <v>(abra o arquivo 'Referência 06-2024.xlsm)</v>
      </c>
      <c r="G548" s="173" t="str">
        <f ca="1">IF($D548&lt;&gt;"Serviço","",OFFSET(ORÇAMENTO!S$15,ROW(G548)-ROW(G$15),0))</f>
        <v>-</v>
      </c>
      <c r="H548" s="124">
        <f ca="1">IF($D548&lt;&gt;"Serviço",0,IF(ACOMPANHAMENTO="BM",ROUND(OFFSET(ORÇAMENTO!AJ$15,ROW(H548)-ROW(H$15),0),15-13*ORÇAMENTO!$AF$7),SUMPRODUCT(($Q$12:$AI$12&lt;&gt;"")*ROUND($Q548:$AI548,15-13*ORÇAMENTO!$AF$7))))</f>
        <v>2</v>
      </c>
      <c r="I548" s="561" t="s">
        <v>1107</v>
      </c>
      <c r="K548" s="174"/>
      <c r="L548" s="175" t="s">
        <v>255</v>
      </c>
      <c r="M548" s="176">
        <f ca="1">IF($D548&lt;&gt;"Serviço","",IF(AUTOEVENTO="manual",$A548,IF(ISERROR(MATCH($A548,$A$15:OFFSET($A548,-1,0),0)),MAX($M$15:OFFSET(M548,-1,0))+1,INDEX($M$15:OFFSET(M548,-1,0),MATCH($A548,$A$15:OFFSET($A548,-1,0),0)))))</f>
        <v>57</v>
      </c>
      <c r="N548" s="177" t="str">
        <f ca="1">IF($D548&lt;&gt;"Serviço","",IF(AUTOEVENTO="Manual",IF($A548=0,"&lt;-- defina o número do agrupador",OFFSET(EVENTOS!$D$14,$A548,0)),OFFSET($F$15,$A548,0)))</f>
        <v>INSTALAÇÃO ELÉTRICA 110V - DISPOSITIVOS DE PROTEÇÃO</v>
      </c>
      <c r="O548" s="178"/>
      <c r="Q548" s="178">
        <v>2</v>
      </c>
      <c r="R548" s="179"/>
      <c r="S548" s="179"/>
      <c r="T548" s="179"/>
      <c r="U548" s="179"/>
      <c r="V548" s="179"/>
      <c r="W548" s="179"/>
      <c r="X548" s="179"/>
      <c r="Y548" s="179"/>
      <c r="Z548" s="180"/>
      <c r="AA548" s="179"/>
      <c r="AB548" s="179"/>
      <c r="AC548" s="179"/>
      <c r="AD548" s="179"/>
      <c r="AE548" s="179"/>
      <c r="AF548" s="179"/>
      <c r="AG548" s="179"/>
      <c r="AH548" s="180"/>
      <c r="AJ548" s="544">
        <f ca="1">IF(AND($D548="Serviço",AJ$12&lt;&gt;0,$H548&gt;0,OR(AUTOEVENTO&lt;&gt;"manual",$M548&lt;&gt;1)),
IF(Import.TipoArredondamento&lt;&gt;"TransfereGOV",
ROUND(OFFSET($P548,0,AJ$13),15-13*ORÇAMENTO!$AF$7)/$H548*OFFSET(ORÇAMENTO!$X$15,ROW(AJ548)-ROW(AJ$15),0),
ROUND(ROUND(OFFSET($P548,0,AJ$13),15-13*ORÇAMENTO!$AF$7)*OFFSET(ORÇAMENTO!$W$15,ROW(AJ548)-ROW(AJ$15),0),15-13*ORÇAMENTO!$AF$11)),0)</f>
        <v>0</v>
      </c>
      <c r="AK548" s="545">
        <f ca="1">IF(AND($D548="Serviço",AK$12&lt;&gt;0,$H548&gt;0,OR(AUTOEVENTO&lt;&gt;"manual",$M548&lt;&gt;1)),
IF(Import.TipoArredondamento&lt;&gt;"TransfereGOV",
ROUND(OFFSET($P548,0,AK$13),15-13*ORÇAMENTO!$AF$7)/$H548*OFFSET(ORÇAMENTO!$X$15,ROW(AK548)-ROW(AK$15),0),
ROUND(ROUND(OFFSET($P548,0,AK$13),15-13*ORÇAMENTO!$AF$7)*OFFSET(ORÇAMENTO!$W$15,ROW(AK548)-ROW(AK$15),0),15-13*ORÇAMENTO!$AF$11)),0)</f>
        <v>0</v>
      </c>
      <c r="AL548" s="545">
        <f ca="1">IF(AND($D548="Serviço",AL$12&lt;&gt;0,$H548&gt;0,OR(AUTOEVENTO&lt;&gt;"manual",$M548&lt;&gt;1)),
IF(Import.TipoArredondamento&lt;&gt;"TransfereGOV",
ROUND(OFFSET($P548,0,AL$13),15-13*ORÇAMENTO!$AF$7)/$H548*OFFSET(ORÇAMENTO!$X$15,ROW(AL548)-ROW(AL$15),0),
ROUND(ROUND(OFFSET($P548,0,AL$13),15-13*ORÇAMENTO!$AF$7)*OFFSET(ORÇAMENTO!$W$15,ROW(AL548)-ROW(AL$15),0),15-13*ORÇAMENTO!$AF$11)),0)</f>
        <v>0</v>
      </c>
      <c r="AM548" s="545">
        <f ca="1">IF(AND($D548="Serviço",AM$12&lt;&gt;0,$H548&gt;0,OR(AUTOEVENTO&lt;&gt;"manual",$M548&lt;&gt;1)),
IF(Import.TipoArredondamento&lt;&gt;"TransfereGOV",
ROUND(OFFSET($P548,0,AM$13),15-13*ORÇAMENTO!$AF$7)/$H548*OFFSET(ORÇAMENTO!$X$15,ROW(AM548)-ROW(AM$15),0),
ROUND(ROUND(OFFSET($P548,0,AM$13),15-13*ORÇAMENTO!$AF$7)*OFFSET(ORÇAMENTO!$W$15,ROW(AM548)-ROW(AM$15),0),15-13*ORÇAMENTO!$AF$11)),0)</f>
        <v>0</v>
      </c>
      <c r="AN548" s="545">
        <f ca="1">IF(AND($D548="Serviço",AN$12&lt;&gt;0,$H548&gt;0,OR(AUTOEVENTO&lt;&gt;"manual",$M548&lt;&gt;1)),
IF(Import.TipoArredondamento&lt;&gt;"TransfereGOV",
ROUND(OFFSET($P548,0,AN$13),15-13*ORÇAMENTO!$AF$7)/$H548*OFFSET(ORÇAMENTO!$X$15,ROW(AN548)-ROW(AN$15),0),
ROUND(ROUND(OFFSET($P548,0,AN$13),15-13*ORÇAMENTO!$AF$7)*OFFSET(ORÇAMENTO!$W$15,ROW(AN548)-ROW(AN$15),0),15-13*ORÇAMENTO!$AF$11)),0)</f>
        <v>0</v>
      </c>
      <c r="AO548" s="545">
        <f ca="1">IF(AND($D548="Serviço",AO$12&lt;&gt;0,$H548&gt;0,OR(AUTOEVENTO&lt;&gt;"manual",$M548&lt;&gt;1)),
IF(Import.TipoArredondamento&lt;&gt;"TransfereGOV",
ROUND(OFFSET($P548,0,AO$13),15-13*ORÇAMENTO!$AF$7)/$H548*OFFSET(ORÇAMENTO!$X$15,ROW(AO548)-ROW(AO$15),0),
ROUND(ROUND(OFFSET($P548,0,AO$13),15-13*ORÇAMENTO!$AF$7)*OFFSET(ORÇAMENTO!$W$15,ROW(AO548)-ROW(AO$15),0),15-13*ORÇAMENTO!$AF$11)),0)</f>
        <v>0</v>
      </c>
      <c r="AP548" s="545">
        <f ca="1">IF(AND($D548="Serviço",AP$12&lt;&gt;0,$H548&gt;0,OR(AUTOEVENTO&lt;&gt;"manual",$M548&lt;&gt;1)),
IF(Import.TipoArredondamento&lt;&gt;"TransfereGOV",
ROUND(OFFSET($P548,0,AP$13),15-13*ORÇAMENTO!$AF$7)/$H548*OFFSET(ORÇAMENTO!$X$15,ROW(AP548)-ROW(AP$15),0),
ROUND(ROUND(OFFSET($P548,0,AP$13),15-13*ORÇAMENTO!$AF$7)*OFFSET(ORÇAMENTO!$W$15,ROW(AP548)-ROW(AP$15),0),15-13*ORÇAMENTO!$AF$11)),0)</f>
        <v>0</v>
      </c>
      <c r="AQ548" s="545">
        <f ca="1">IF(AND($D548="Serviço",AQ$12&lt;&gt;0,$H548&gt;0,OR(AUTOEVENTO&lt;&gt;"manual",$M548&lt;&gt;1)),
IF(Import.TipoArredondamento&lt;&gt;"TransfereGOV",
ROUND(OFFSET($P548,0,AQ$13),15-13*ORÇAMENTO!$AF$7)/$H548*OFFSET(ORÇAMENTO!$X$15,ROW(AQ548)-ROW(AQ$15),0),
ROUND(ROUND(OFFSET($P548,0,AQ$13),15-13*ORÇAMENTO!$AF$7)*OFFSET(ORÇAMENTO!$W$15,ROW(AQ548)-ROW(AQ$15),0),15-13*ORÇAMENTO!$AF$11)),0)</f>
        <v>0</v>
      </c>
      <c r="AR548" s="545">
        <f ca="1">IF(AND($D548="Serviço",AR$12&lt;&gt;0,$H548&gt;0,OR(AUTOEVENTO&lt;&gt;"manual",$M548&lt;&gt;1)),
IF(Import.TipoArredondamento&lt;&gt;"TransfereGOV",
ROUND(OFFSET($P548,0,AR$13),15-13*ORÇAMENTO!$AF$7)/$H548*OFFSET(ORÇAMENTO!$X$15,ROW(AR548)-ROW(AR$15),0),
ROUND(ROUND(OFFSET($P548,0,AR$13),15-13*ORÇAMENTO!$AF$7)*OFFSET(ORÇAMENTO!$W$15,ROW(AR548)-ROW(AR$15),0),15-13*ORÇAMENTO!$AF$11)),0)</f>
        <v>0</v>
      </c>
      <c r="AS548" s="546">
        <f ca="1">IF(AND($D548="Serviço",AS$12&lt;&gt;0,$H548&gt;0,OR(AUTOEVENTO&lt;&gt;"manual",$M548&lt;&gt;1)),
IF(Import.TipoArredondamento&lt;&gt;"TransfereGOV",
ROUND(OFFSET($P548,0,AS$13),15-13*ORÇAMENTO!$AF$7)/$H548*OFFSET(ORÇAMENTO!$X$15,ROW(AS548)-ROW(AS$15),0),
ROUND(ROUND(OFFSET($P548,0,AS$13),15-13*ORÇAMENTO!$AF$7)*OFFSET(ORÇAMENTO!$W$15,ROW(AS548)-ROW(AS$15),0),15-13*ORÇAMENTO!$AF$11)),0)</f>
        <v>0</v>
      </c>
      <c r="AT548" s="545">
        <f ca="1">IF(AND($D548="Serviço",AT$12&lt;&gt;0,$H548&gt;0,OR(AUTOEVENTO&lt;&gt;"manual",$M548&lt;&gt;1)),
IF(Import.TipoArredondamento&lt;&gt;"TransfereGOV",
ROUND(OFFSET($P548,0,AT$13),15-13*ORÇAMENTO!$AF$7)/$H548*OFFSET(ORÇAMENTO!$X$15,ROW(AT548)-ROW(AT$15),0),
ROUND(ROUND(OFFSET($P548,0,AT$13),15-13*ORÇAMENTO!$AF$7)*OFFSET(ORÇAMENTO!$W$15,ROW(AT548)-ROW(AT$15),0),15-13*ORÇAMENTO!$AF$11)),0)</f>
        <v>0</v>
      </c>
      <c r="AU548" s="545">
        <f ca="1">IF(AND($D548="Serviço",AU$12&lt;&gt;0,$H548&gt;0,OR(AUTOEVENTO&lt;&gt;"manual",$M548&lt;&gt;1)),
IF(Import.TipoArredondamento&lt;&gt;"TransfereGOV",
ROUND(OFFSET($P548,0,AU$13),15-13*ORÇAMENTO!$AF$7)/$H548*OFFSET(ORÇAMENTO!$X$15,ROW(AU548)-ROW(AU$15),0),
ROUND(ROUND(OFFSET($P548,0,AU$13),15-13*ORÇAMENTO!$AF$7)*OFFSET(ORÇAMENTO!$W$15,ROW(AU548)-ROW(AU$15),0),15-13*ORÇAMENTO!$AF$11)),0)</f>
        <v>0</v>
      </c>
      <c r="AV548" s="545">
        <f ca="1">IF(AND($D548="Serviço",AV$12&lt;&gt;0,$H548&gt;0,OR(AUTOEVENTO&lt;&gt;"manual",$M548&lt;&gt;1)),
IF(Import.TipoArredondamento&lt;&gt;"TransfereGOV",
ROUND(OFFSET($P548,0,AV$13),15-13*ORÇAMENTO!$AF$7)/$H548*OFFSET(ORÇAMENTO!$X$15,ROW(AV548)-ROW(AV$15),0),
ROUND(ROUND(OFFSET($P548,0,AV$13),15-13*ORÇAMENTO!$AF$7)*OFFSET(ORÇAMENTO!$W$15,ROW(AV548)-ROW(AV$15),0),15-13*ORÇAMENTO!$AF$11)),0)</f>
        <v>0</v>
      </c>
      <c r="AW548" s="545">
        <f ca="1">IF(AND($D548="Serviço",AW$12&lt;&gt;0,$H548&gt;0,OR(AUTOEVENTO&lt;&gt;"manual",$M548&lt;&gt;1)),
IF(Import.TipoArredondamento&lt;&gt;"TransfereGOV",
ROUND(OFFSET($P548,0,AW$13),15-13*ORÇAMENTO!$AF$7)/$H548*OFFSET(ORÇAMENTO!$X$15,ROW(AW548)-ROW(AW$15),0),
ROUND(ROUND(OFFSET($P548,0,AW$13),15-13*ORÇAMENTO!$AF$7)*OFFSET(ORÇAMENTO!$W$15,ROW(AW548)-ROW(AW$15),0),15-13*ORÇAMENTO!$AF$11)),0)</f>
        <v>0</v>
      </c>
      <c r="AX548" s="545">
        <f ca="1">IF(AND($D548="Serviço",AX$12&lt;&gt;0,$H548&gt;0,OR(AUTOEVENTO&lt;&gt;"manual",$M548&lt;&gt;1)),
IF(Import.TipoArredondamento&lt;&gt;"TransfereGOV",
ROUND(OFFSET($P548,0,AX$13),15-13*ORÇAMENTO!$AF$7)/$H548*OFFSET(ORÇAMENTO!$X$15,ROW(AX548)-ROW(AX$15),0),
ROUND(ROUND(OFFSET($P548,0,AX$13),15-13*ORÇAMENTO!$AF$7)*OFFSET(ORÇAMENTO!$W$15,ROW(AX548)-ROW(AX$15),0),15-13*ORÇAMENTO!$AF$11)),0)</f>
        <v>0</v>
      </c>
      <c r="AY548" s="545">
        <f ca="1">IF(AND($D548="Serviço",AY$12&lt;&gt;0,$H548&gt;0,OR(AUTOEVENTO&lt;&gt;"manual",$M548&lt;&gt;1)),
IF(Import.TipoArredondamento&lt;&gt;"TransfereGOV",
ROUND(OFFSET($P548,0,AY$13),15-13*ORÇAMENTO!$AF$7)/$H548*OFFSET(ORÇAMENTO!$X$15,ROW(AY548)-ROW(AY$15),0),
ROUND(ROUND(OFFSET($P548,0,AY$13),15-13*ORÇAMENTO!$AF$7)*OFFSET(ORÇAMENTO!$W$15,ROW(AY548)-ROW(AY$15),0),15-13*ORÇAMENTO!$AF$11)),0)</f>
        <v>0</v>
      </c>
      <c r="AZ548" s="545">
        <f ca="1">IF(AND($D548="Serviço",AZ$12&lt;&gt;0,$H548&gt;0,OR(AUTOEVENTO&lt;&gt;"manual",$M548&lt;&gt;1)),
IF(Import.TipoArredondamento&lt;&gt;"TransfereGOV",
ROUND(OFFSET($P548,0,AZ$13),15-13*ORÇAMENTO!$AF$7)/$H548*OFFSET(ORÇAMENTO!$X$15,ROW(AZ548)-ROW(AZ$15),0),
ROUND(ROUND(OFFSET($P548,0,AZ$13),15-13*ORÇAMENTO!$AF$7)*OFFSET(ORÇAMENTO!$W$15,ROW(AZ548)-ROW(AZ$15),0),15-13*ORÇAMENTO!$AF$11)),0)</f>
        <v>0</v>
      </c>
      <c r="BA548" s="546">
        <f ca="1">IF(AND($D548="Serviço",BA$12&lt;&gt;0,$H548&gt;0,OR(AUTOEVENTO&lt;&gt;"manual",$M548&lt;&gt;1)),
IF(Import.TipoArredondamento&lt;&gt;"TransfereGOV",
ROUND(OFFSET($P548,0,BA$13),15-13*ORÇAMENTO!$AF$7)/$H548*OFFSET(ORÇAMENTO!$X$15,ROW(BA548)-ROW(BA$15),0),
ROUND(ROUND(OFFSET($P548,0,BA$13),15-13*ORÇAMENTO!$AF$7)*OFFSET(ORÇAMENTO!$W$15,ROW(BA548)-ROW(BA$15),0),15-13*ORÇAMENTO!$AF$11)),0)</f>
        <v>0</v>
      </c>
      <c r="BC548" s="181">
        <f ca="1">IF($D548&lt;&gt;"Serviço",0,IF(AND(AUTOEVENTO="Manual",$M548=1),0,IF(OFFSET(CRONOPLE!$F$14,$M548,BC$13)="",10^12,OFFSET(CRONOPLE!$F$14,$M548,BC$13))))</f>
        <v>10</v>
      </c>
      <c r="BD548" s="181">
        <f ca="1">IF($D548&lt;&gt;"Serviço",0,IF(AND(AUTOEVENTO="Manual",$M548=1),0,IF(OFFSET(CRONOPLE!$F$14,$M548,BD$13)="",10^12,OFFSET(CRONOPLE!$F$14,$M548,BD$13))))</f>
        <v>1000000000000</v>
      </c>
      <c r="BE548" s="181">
        <f ca="1">IF($D548&lt;&gt;"Serviço",0,IF(AND(AUTOEVENTO="Manual",$M548=1),0,IF(OFFSET(CRONOPLE!$F$14,$M548,BE$13)="",10^12,OFFSET(CRONOPLE!$F$14,$M548,BE$13))))</f>
        <v>1000000000000</v>
      </c>
      <c r="BF548" s="181">
        <f ca="1">IF($D548&lt;&gt;"Serviço",0,IF(AND(AUTOEVENTO="Manual",$M548=1),0,IF(OFFSET(CRONOPLE!$F$14,$M548,BF$13)="",10^12,OFFSET(CRONOPLE!$F$14,$M548,BF$13))))</f>
        <v>1000000000000</v>
      </c>
      <c r="BG548" s="181">
        <f ca="1">IF($D548&lt;&gt;"Serviço",0,IF(AND(AUTOEVENTO="Manual",$M548=1),0,IF(OFFSET(CRONOPLE!$F$14,$M548,BG$13)="",10^12,OFFSET(CRONOPLE!$F$14,$M548,BG$13))))</f>
        <v>1000000000000</v>
      </c>
      <c r="BH548" s="181">
        <f ca="1">IF($D548&lt;&gt;"Serviço",0,IF(AND(AUTOEVENTO="Manual",$M548=1),0,IF(OFFSET(CRONOPLE!$F$14,$M548,BH$13)="",10^12,OFFSET(CRONOPLE!$F$14,$M548,BH$13))))</f>
        <v>1000000000000</v>
      </c>
      <c r="BI548" s="181">
        <f ca="1">IF($D548&lt;&gt;"Serviço",0,IF(AND(AUTOEVENTO="Manual",$M548=1),0,IF(OFFSET(CRONOPLE!$F$14,$M548,BI$13)="",10^12,OFFSET(CRONOPLE!$F$14,$M548,BI$13))))</f>
        <v>1000000000000</v>
      </c>
      <c r="BJ548" s="181">
        <f ca="1">IF($D548&lt;&gt;"Serviço",0,IF(AND(AUTOEVENTO="Manual",$M548=1),0,IF(OFFSET(CRONOPLE!$F$14,$M548,BJ$13)="",10^12,OFFSET(CRONOPLE!$F$14,$M548,BJ$13))))</f>
        <v>1000000000000</v>
      </c>
      <c r="BK548" s="181">
        <f ca="1">IF($D548&lt;&gt;"Serviço",0,IF(AND(AUTOEVENTO="Manual",$M548=1),0,IF(OFFSET(CRONOPLE!$F$14,$M548,BK$13)="",10^12,OFFSET(CRONOPLE!$F$14,$M548,BK$13))))</f>
        <v>1000000000000</v>
      </c>
      <c r="BL548" s="181">
        <f ca="1">IF($D548&lt;&gt;"Serviço",0,IF(AND(AUTOEVENTO="Manual",$M548=1),0,IF(OFFSET(CRONOPLE!$F$14,$M548,BL$13)="",10^12,OFFSET(CRONOPLE!$F$14,$M548,BL$13))))</f>
        <v>1000000000000</v>
      </c>
      <c r="BM548" s="181">
        <f ca="1">IF($D548&lt;&gt;"Serviço",0,IF(AND(AUTOEVENTO="Manual",$M548=1),0,IF(OFFSET(CRONOPLE!$F$14,$M548,BM$13)="",10^12,OFFSET(CRONOPLE!$F$14,$M548,BM$13))))</f>
        <v>1000000000000</v>
      </c>
      <c r="BN548" s="181">
        <f ca="1">IF($D548&lt;&gt;"Serviço",0,IF(AND(AUTOEVENTO="Manual",$M548=1),0,IF(OFFSET(CRONOPLE!$F$14,$M548,BN$13)="",10^12,OFFSET(CRONOPLE!$F$14,$M548,BN$13))))</f>
        <v>1000000000000</v>
      </c>
      <c r="BO548" s="181">
        <f ca="1">IF($D548&lt;&gt;"Serviço",0,IF(AND(AUTOEVENTO="Manual",$M548=1),0,IF(OFFSET(CRONOPLE!$F$14,$M548,BO$13)="",10^12,OFFSET(CRONOPLE!$F$14,$M548,BO$13))))</f>
        <v>1000000000000</v>
      </c>
      <c r="BP548" s="181">
        <f ca="1">IF($D548&lt;&gt;"Serviço",0,IF(AND(AUTOEVENTO="Manual",$M548=1),0,IF(OFFSET(CRONOPLE!$F$14,$M548,BP$13)="",10^12,OFFSET(CRONOPLE!$F$14,$M548,BP$13))))</f>
        <v>1000000000000</v>
      </c>
      <c r="BQ548" s="181">
        <f ca="1">IF($D548&lt;&gt;"Serviço",0,IF(AND(AUTOEVENTO="Manual",$M548=1),0,IF(OFFSET(CRONOPLE!$F$14,$M548,BQ$13)="",10^12,OFFSET(CRONOPLE!$F$14,$M548,BQ$13))))</f>
        <v>1000000000000</v>
      </c>
      <c r="BR548" s="181">
        <f ca="1">IF($D548&lt;&gt;"Serviço",0,IF(AND(AUTOEVENTO="Manual",$M548=1),0,IF(OFFSET(CRONOPLE!$F$14,$M548,BR$13)="",10^12,OFFSET(CRONOPLE!$F$14,$M548,BR$13))))</f>
        <v>1000000000000</v>
      </c>
      <c r="BS548" s="181">
        <f ca="1">IF($D548&lt;&gt;"Serviço",0,IF(AND(AUTOEVENTO="Manual",$M548=1),0,IF(OFFSET(CRONOPLE!$F$14,$M548,BS$13)="",10^12,OFFSET(CRONOPLE!$F$14,$M548,BS$13))))</f>
        <v>1000000000000</v>
      </c>
      <c r="BT548" s="181">
        <f ca="1">IF($D548&lt;&gt;"Serviço",0,IF(AND(AUTOEVENTO="Manual",$M548=1),0,IF(OFFSET(CRONOPLE!$F$14,$M548,BT$13)="",10^12,OFFSET(CRONOPLE!$F$14,$M548,BT$13))))</f>
        <v>1000000000000</v>
      </c>
      <c r="BV548" s="182">
        <f ca="1">IF($D548&lt;&gt;"Serviço",0,IF(OR(AND(AUTOEVENTO="Manual",$M548=1),$M548&gt;(ROW(PLE.lastrow)-ROW(PLE.firstrow))),0,IF(OFFSET(PLE!$G$14,$M548,BV$13)="",10^12,OFFSET(PLE!$G$14,$M548,BV$13))))</f>
        <v>1000000000000</v>
      </c>
      <c r="BW548" s="182">
        <f ca="1">IF($D548&lt;&gt;"Serviço",0,IF(OR(AND(AUTOEVENTO="Manual",$M548=1),$M548&gt;(ROW(PLE.lastrow)-ROW(PLE.firstrow))),0,IF(OFFSET(PLE!$G$14,$M548,BW$13)="",10^12,OFFSET(PLE!$G$14,$M548,BW$13))))</f>
        <v>1000000000000</v>
      </c>
      <c r="BX548" s="182">
        <f ca="1">IF($D548&lt;&gt;"Serviço",0,IF(OR(AND(AUTOEVENTO="Manual",$M548=1),$M548&gt;(ROW(PLE.lastrow)-ROW(PLE.firstrow))),0,IF(OFFSET(PLE!$G$14,$M548,BX$13)="",10^12,OFFSET(PLE!$G$14,$M548,BX$13))))</f>
        <v>1000000000000</v>
      </c>
      <c r="BY548" s="182">
        <f ca="1">IF($D548&lt;&gt;"Serviço",0,IF(OR(AND(AUTOEVENTO="Manual",$M548=1),$M548&gt;(ROW(PLE.lastrow)-ROW(PLE.firstrow))),0,IF(OFFSET(PLE!$G$14,$M548,BY$13)="",10^12,OFFSET(PLE!$G$14,$M548,BY$13))))</f>
        <v>1000000000000</v>
      </c>
      <c r="BZ548" s="182">
        <f ca="1">IF($D548&lt;&gt;"Serviço",0,IF(OR(AND(AUTOEVENTO="Manual",$M548=1),$M548&gt;(ROW(PLE.lastrow)-ROW(PLE.firstrow))),0,IF(OFFSET(PLE!$G$14,$M548,BZ$13)="",10^12,OFFSET(PLE!$G$14,$M548,BZ$13))))</f>
        <v>1000000000000</v>
      </c>
      <c r="CA548" s="182">
        <f ca="1">IF($D548&lt;&gt;"Serviço",0,IF(OR(AND(AUTOEVENTO="Manual",$M548=1),$M548&gt;(ROW(PLE.lastrow)-ROW(PLE.firstrow))),0,IF(OFFSET(PLE!$G$14,$M548,CA$13)="",10^12,OFFSET(PLE!$G$14,$M548,CA$13))))</f>
        <v>1000000000000</v>
      </c>
      <c r="CB548" s="182">
        <f ca="1">IF($D548&lt;&gt;"Serviço",0,IF(OR(AND(AUTOEVENTO="Manual",$M548=1),$M548&gt;(ROW(PLE.lastrow)-ROW(PLE.firstrow))),0,IF(OFFSET(PLE!$G$14,$M548,CB$13)="",10^12,OFFSET(PLE!$G$14,$M548,CB$13))))</f>
        <v>1000000000000</v>
      </c>
      <c r="CC548" s="182">
        <f ca="1">IF($D548&lt;&gt;"Serviço",0,IF(OR(AND(AUTOEVENTO="Manual",$M548=1),$M548&gt;(ROW(PLE.lastrow)-ROW(PLE.firstrow))),0,IF(OFFSET(PLE!$G$14,$M548,CC$13)="",10^12,OFFSET(PLE!$G$14,$M548,CC$13))))</f>
        <v>1000000000000</v>
      </c>
      <c r="CD548" s="182">
        <f ca="1">IF($D548&lt;&gt;"Serviço",0,IF(OR(AND(AUTOEVENTO="Manual",$M548=1),$M548&gt;(ROW(PLE.lastrow)-ROW(PLE.firstrow))),0,IF(OFFSET(PLE!$G$14,$M548,CD$13)="",10^12,OFFSET(PLE!$G$14,$M548,CD$13))))</f>
        <v>1000000000000</v>
      </c>
      <c r="CE548" s="182">
        <f ca="1">IF($D548&lt;&gt;"Serviço",0,IF(OR(AND(AUTOEVENTO="Manual",$M548=1),$M548&gt;(ROW(PLE.lastrow)-ROW(PLE.firstrow))),0,IF(OFFSET(PLE!$G$14,$M548,CE$13)="",10^12,OFFSET(PLE!$G$14,$M548,CE$13))))</f>
        <v>1000000000000</v>
      </c>
      <c r="CF548" s="182">
        <f ca="1">IF($D548&lt;&gt;"Serviço",0,IF(OR(AND(AUTOEVENTO="Manual",$M548=1),$M548&gt;(ROW(PLE.lastrow)-ROW(PLE.firstrow))),0,IF(OFFSET(PLE!$G$14,$M548,CF$13)="",10^12,OFFSET(PLE!$G$14,$M548,CF$13))))</f>
        <v>1000000000000</v>
      </c>
      <c r="CG548" s="182">
        <f ca="1">IF($D548&lt;&gt;"Serviço",0,IF(OR(AND(AUTOEVENTO="Manual",$M548=1),$M548&gt;(ROW(PLE.lastrow)-ROW(PLE.firstrow))),0,IF(OFFSET(PLE!$G$14,$M548,CG$13)="",10^12,OFFSET(PLE!$G$14,$M548,CG$13))))</f>
        <v>1000000000000</v>
      </c>
      <c r="CH548" s="182">
        <f ca="1">IF($D548&lt;&gt;"Serviço",0,IF(OR(AND(AUTOEVENTO="Manual",$M548=1),$M548&gt;(ROW(PLE.lastrow)-ROW(PLE.firstrow))),0,IF(OFFSET(PLE!$G$14,$M548,CH$13)="",10^12,OFFSET(PLE!$G$14,$M548,CH$13))))</f>
        <v>1000000000000</v>
      </c>
      <c r="CI548" s="182">
        <f ca="1">IF($D548&lt;&gt;"Serviço",0,IF(OR(AND(AUTOEVENTO="Manual",$M548=1),$M548&gt;(ROW(PLE.lastrow)-ROW(PLE.firstrow))),0,IF(OFFSET(PLE!$G$14,$M548,CI$13)="",10^12,OFFSET(PLE!$G$14,$M548,CI$13))))</f>
        <v>1000000000000</v>
      </c>
      <c r="CJ548" s="182">
        <f ca="1">IF($D548&lt;&gt;"Serviço",0,IF(OR(AND(AUTOEVENTO="Manual",$M548=1),$M548&gt;(ROW(PLE.lastrow)-ROW(PLE.firstrow))),0,IF(OFFSET(PLE!$G$14,$M548,CJ$13)="",10^12,OFFSET(PLE!$G$14,$M548,CJ$13))))</f>
        <v>1000000000000</v>
      </c>
      <c r="CK548" s="182">
        <f ca="1">IF($D548&lt;&gt;"Serviço",0,IF(OR(AND(AUTOEVENTO="Manual",$M548=1),$M548&gt;(ROW(PLE.lastrow)-ROW(PLE.firstrow))),0,IF(OFFSET(PLE!$G$14,$M548,CK$13)="",10^12,OFFSET(PLE!$G$14,$M548,CK$13))))</f>
        <v>1000000000000</v>
      </c>
      <c r="CL548" s="182">
        <f ca="1">IF($D548&lt;&gt;"Serviço",0,IF(OR(AND(AUTOEVENTO="Manual",$M548=1),$M548&gt;(ROW(PLE.lastrow)-ROW(PLE.firstrow))),0,IF(OFFSET(PLE!$G$14,$M548,CL$13)="",10^12,OFFSET(PLE!$G$14,$M548,CL$13))))</f>
        <v>1000000000000</v>
      </c>
      <c r="CM548" s="182">
        <f ca="1">IF($D548&lt;&gt;"Serviço",0,IF(OR(AND(AUTOEVENTO="Manual",$M548=1),$M548&gt;(ROW(PLE.lastrow)-ROW(PLE.firstrow))),0,IF(OFFSET(PLE!$G$14,$M548,CM$13)="",10^12,OFFSET(PLE!$G$14,$M548,CM$13))))</f>
        <v>1000000000000</v>
      </c>
    </row>
    <row r="549" spans="1:91" ht="25.5" x14ac:dyDescent="0.2">
      <c r="A549" s="7" t="str">
        <f t="shared" ca="1" si="17"/>
        <v>528</v>
      </c>
      <c r="B549" s="7" t="str">
        <f ca="1">OFFSET(ORÇAMENTO!C$15,ROW(B549)-ROW(B$15),0)</f>
        <v>S</v>
      </c>
      <c r="C549" s="7" t="str">
        <f ca="1">OFFSET(ORÇAMENTO!L$15,ROW(C549)-ROW(C$15),0)</f>
        <v/>
      </c>
      <c r="D549" s="118" t="str">
        <f ca="1">OFFSET(ORÇAMENTO!N$15,ROW(D549)-ROW(D$15),0)</f>
        <v>Serviço</v>
      </c>
      <c r="E549" s="119" t="str">
        <f ca="1">OFFSET(ORÇAMENTO!O$15,ROW(E549)-ROW(E$15),0)</f>
        <v>-</v>
      </c>
      <c r="F549" s="172" t="str">
        <f ca="1">OFFSET(ORÇAMENTO!R$15,ROW(F549)-ROW(F$15),0)</f>
        <v>(abra o arquivo 'Referência 06-2024.xlsm)</v>
      </c>
      <c r="G549" s="173" t="str">
        <f ca="1">IF($D549&lt;&gt;"Serviço","",OFFSET(ORÇAMENTO!S$15,ROW(G549)-ROW(G$15),0))</f>
        <v>-</v>
      </c>
      <c r="H549" s="124">
        <f ca="1">IF($D549&lt;&gt;"Serviço",0,IF(ACOMPANHAMENTO="BM",ROUND(OFFSET(ORÇAMENTO!AJ$15,ROW(H549)-ROW(H$15),0),15-13*ORÇAMENTO!$AF$7),SUMPRODUCT(($Q$12:$AI$12&lt;&gt;"")*ROUND($Q549:$AI549,15-13*ORÇAMENTO!$AF$7))))</f>
        <v>11</v>
      </c>
      <c r="I549" s="561" t="s">
        <v>1107</v>
      </c>
      <c r="K549" s="174"/>
      <c r="L549" s="175" t="s">
        <v>255</v>
      </c>
      <c r="M549" s="176">
        <f ca="1">IF($D549&lt;&gt;"Serviço","",IF(AUTOEVENTO="manual",$A549,IF(ISERROR(MATCH($A549,$A$15:OFFSET($A549,-1,0),0)),MAX($M$15:OFFSET(M549,-1,0))+1,INDEX($M$15:OFFSET(M549,-1,0),MATCH($A549,$A$15:OFFSET($A549,-1,0),0)))))</f>
        <v>57</v>
      </c>
      <c r="N549" s="177" t="str">
        <f ca="1">IF($D549&lt;&gt;"Serviço","",IF(AUTOEVENTO="Manual",IF($A549=0,"&lt;-- defina o número do agrupador",OFFSET(EVENTOS!$D$14,$A549,0)),OFFSET($F$15,$A549,0)))</f>
        <v>INSTALAÇÃO ELÉTRICA 110V - DISPOSITIVOS DE PROTEÇÃO</v>
      </c>
      <c r="O549" s="178"/>
      <c r="Q549" s="178">
        <v>11</v>
      </c>
      <c r="R549" s="179"/>
      <c r="S549" s="179"/>
      <c r="T549" s="179"/>
      <c r="U549" s="179"/>
      <c r="V549" s="179"/>
      <c r="W549" s="179"/>
      <c r="X549" s="179"/>
      <c r="Y549" s="179"/>
      <c r="Z549" s="180"/>
      <c r="AA549" s="179"/>
      <c r="AB549" s="179"/>
      <c r="AC549" s="179"/>
      <c r="AD549" s="179"/>
      <c r="AE549" s="179"/>
      <c r="AF549" s="179"/>
      <c r="AG549" s="179"/>
      <c r="AH549" s="180"/>
      <c r="AJ549" s="544">
        <f ca="1">IF(AND($D549="Serviço",AJ$12&lt;&gt;0,$H549&gt;0,OR(AUTOEVENTO&lt;&gt;"manual",$M549&lt;&gt;1)),
IF(Import.TipoArredondamento&lt;&gt;"TransfereGOV",
ROUND(OFFSET($P549,0,AJ$13),15-13*ORÇAMENTO!$AF$7)/$H549*OFFSET(ORÇAMENTO!$X$15,ROW(AJ549)-ROW(AJ$15),0),
ROUND(ROUND(OFFSET($P549,0,AJ$13),15-13*ORÇAMENTO!$AF$7)*OFFSET(ORÇAMENTO!$W$15,ROW(AJ549)-ROW(AJ$15),0),15-13*ORÇAMENTO!$AF$11)),0)</f>
        <v>0</v>
      </c>
      <c r="AK549" s="545">
        <f ca="1">IF(AND($D549="Serviço",AK$12&lt;&gt;0,$H549&gt;0,OR(AUTOEVENTO&lt;&gt;"manual",$M549&lt;&gt;1)),
IF(Import.TipoArredondamento&lt;&gt;"TransfereGOV",
ROUND(OFFSET($P549,0,AK$13),15-13*ORÇAMENTO!$AF$7)/$H549*OFFSET(ORÇAMENTO!$X$15,ROW(AK549)-ROW(AK$15),0),
ROUND(ROUND(OFFSET($P549,0,AK$13),15-13*ORÇAMENTO!$AF$7)*OFFSET(ORÇAMENTO!$W$15,ROW(AK549)-ROW(AK$15),0),15-13*ORÇAMENTO!$AF$11)),0)</f>
        <v>0</v>
      </c>
      <c r="AL549" s="545">
        <f ca="1">IF(AND($D549="Serviço",AL$12&lt;&gt;0,$H549&gt;0,OR(AUTOEVENTO&lt;&gt;"manual",$M549&lt;&gt;1)),
IF(Import.TipoArredondamento&lt;&gt;"TransfereGOV",
ROUND(OFFSET($P549,0,AL$13),15-13*ORÇAMENTO!$AF$7)/$H549*OFFSET(ORÇAMENTO!$X$15,ROW(AL549)-ROW(AL$15),0),
ROUND(ROUND(OFFSET($P549,0,AL$13),15-13*ORÇAMENTO!$AF$7)*OFFSET(ORÇAMENTO!$W$15,ROW(AL549)-ROW(AL$15),0),15-13*ORÇAMENTO!$AF$11)),0)</f>
        <v>0</v>
      </c>
      <c r="AM549" s="545">
        <f ca="1">IF(AND($D549="Serviço",AM$12&lt;&gt;0,$H549&gt;0,OR(AUTOEVENTO&lt;&gt;"manual",$M549&lt;&gt;1)),
IF(Import.TipoArredondamento&lt;&gt;"TransfereGOV",
ROUND(OFFSET($P549,0,AM$13),15-13*ORÇAMENTO!$AF$7)/$H549*OFFSET(ORÇAMENTO!$X$15,ROW(AM549)-ROW(AM$15),0),
ROUND(ROUND(OFFSET($P549,0,AM$13),15-13*ORÇAMENTO!$AF$7)*OFFSET(ORÇAMENTO!$W$15,ROW(AM549)-ROW(AM$15),0),15-13*ORÇAMENTO!$AF$11)),0)</f>
        <v>0</v>
      </c>
      <c r="AN549" s="545">
        <f ca="1">IF(AND($D549="Serviço",AN$12&lt;&gt;0,$H549&gt;0,OR(AUTOEVENTO&lt;&gt;"manual",$M549&lt;&gt;1)),
IF(Import.TipoArredondamento&lt;&gt;"TransfereGOV",
ROUND(OFFSET($P549,0,AN$13),15-13*ORÇAMENTO!$AF$7)/$H549*OFFSET(ORÇAMENTO!$X$15,ROW(AN549)-ROW(AN$15),0),
ROUND(ROUND(OFFSET($P549,0,AN$13),15-13*ORÇAMENTO!$AF$7)*OFFSET(ORÇAMENTO!$W$15,ROW(AN549)-ROW(AN$15),0),15-13*ORÇAMENTO!$AF$11)),0)</f>
        <v>0</v>
      </c>
      <c r="AO549" s="545">
        <f ca="1">IF(AND($D549="Serviço",AO$12&lt;&gt;0,$H549&gt;0,OR(AUTOEVENTO&lt;&gt;"manual",$M549&lt;&gt;1)),
IF(Import.TipoArredondamento&lt;&gt;"TransfereGOV",
ROUND(OFFSET($P549,0,AO$13),15-13*ORÇAMENTO!$AF$7)/$H549*OFFSET(ORÇAMENTO!$X$15,ROW(AO549)-ROW(AO$15),0),
ROUND(ROUND(OFFSET($P549,0,AO$13),15-13*ORÇAMENTO!$AF$7)*OFFSET(ORÇAMENTO!$W$15,ROW(AO549)-ROW(AO$15),0),15-13*ORÇAMENTO!$AF$11)),0)</f>
        <v>0</v>
      </c>
      <c r="AP549" s="545">
        <f ca="1">IF(AND($D549="Serviço",AP$12&lt;&gt;0,$H549&gt;0,OR(AUTOEVENTO&lt;&gt;"manual",$M549&lt;&gt;1)),
IF(Import.TipoArredondamento&lt;&gt;"TransfereGOV",
ROUND(OFFSET($P549,0,AP$13),15-13*ORÇAMENTO!$AF$7)/$H549*OFFSET(ORÇAMENTO!$X$15,ROW(AP549)-ROW(AP$15),0),
ROUND(ROUND(OFFSET($P549,0,AP$13),15-13*ORÇAMENTO!$AF$7)*OFFSET(ORÇAMENTO!$W$15,ROW(AP549)-ROW(AP$15),0),15-13*ORÇAMENTO!$AF$11)),0)</f>
        <v>0</v>
      </c>
      <c r="AQ549" s="545">
        <f ca="1">IF(AND($D549="Serviço",AQ$12&lt;&gt;0,$H549&gt;0,OR(AUTOEVENTO&lt;&gt;"manual",$M549&lt;&gt;1)),
IF(Import.TipoArredondamento&lt;&gt;"TransfereGOV",
ROUND(OFFSET($P549,0,AQ$13),15-13*ORÇAMENTO!$AF$7)/$H549*OFFSET(ORÇAMENTO!$X$15,ROW(AQ549)-ROW(AQ$15),0),
ROUND(ROUND(OFFSET($P549,0,AQ$13),15-13*ORÇAMENTO!$AF$7)*OFFSET(ORÇAMENTO!$W$15,ROW(AQ549)-ROW(AQ$15),0),15-13*ORÇAMENTO!$AF$11)),0)</f>
        <v>0</v>
      </c>
      <c r="AR549" s="545">
        <f ca="1">IF(AND($D549="Serviço",AR$12&lt;&gt;0,$H549&gt;0,OR(AUTOEVENTO&lt;&gt;"manual",$M549&lt;&gt;1)),
IF(Import.TipoArredondamento&lt;&gt;"TransfereGOV",
ROUND(OFFSET($P549,0,AR$13),15-13*ORÇAMENTO!$AF$7)/$H549*OFFSET(ORÇAMENTO!$X$15,ROW(AR549)-ROW(AR$15),0),
ROUND(ROUND(OFFSET($P549,0,AR$13),15-13*ORÇAMENTO!$AF$7)*OFFSET(ORÇAMENTO!$W$15,ROW(AR549)-ROW(AR$15),0),15-13*ORÇAMENTO!$AF$11)),0)</f>
        <v>0</v>
      </c>
      <c r="AS549" s="546">
        <f ca="1">IF(AND($D549="Serviço",AS$12&lt;&gt;0,$H549&gt;0,OR(AUTOEVENTO&lt;&gt;"manual",$M549&lt;&gt;1)),
IF(Import.TipoArredondamento&lt;&gt;"TransfereGOV",
ROUND(OFFSET($P549,0,AS$13),15-13*ORÇAMENTO!$AF$7)/$H549*OFFSET(ORÇAMENTO!$X$15,ROW(AS549)-ROW(AS$15),0),
ROUND(ROUND(OFFSET($P549,0,AS$13),15-13*ORÇAMENTO!$AF$7)*OFFSET(ORÇAMENTO!$W$15,ROW(AS549)-ROW(AS$15),0),15-13*ORÇAMENTO!$AF$11)),0)</f>
        <v>0</v>
      </c>
      <c r="AT549" s="545">
        <f ca="1">IF(AND($D549="Serviço",AT$12&lt;&gt;0,$H549&gt;0,OR(AUTOEVENTO&lt;&gt;"manual",$M549&lt;&gt;1)),
IF(Import.TipoArredondamento&lt;&gt;"TransfereGOV",
ROUND(OFFSET($P549,0,AT$13),15-13*ORÇAMENTO!$AF$7)/$H549*OFFSET(ORÇAMENTO!$X$15,ROW(AT549)-ROW(AT$15),0),
ROUND(ROUND(OFFSET($P549,0,AT$13),15-13*ORÇAMENTO!$AF$7)*OFFSET(ORÇAMENTO!$W$15,ROW(AT549)-ROW(AT$15),0),15-13*ORÇAMENTO!$AF$11)),0)</f>
        <v>0</v>
      </c>
      <c r="AU549" s="545">
        <f ca="1">IF(AND($D549="Serviço",AU$12&lt;&gt;0,$H549&gt;0,OR(AUTOEVENTO&lt;&gt;"manual",$M549&lt;&gt;1)),
IF(Import.TipoArredondamento&lt;&gt;"TransfereGOV",
ROUND(OFFSET($P549,0,AU$13),15-13*ORÇAMENTO!$AF$7)/$H549*OFFSET(ORÇAMENTO!$X$15,ROW(AU549)-ROW(AU$15),0),
ROUND(ROUND(OFFSET($P549,0,AU$13),15-13*ORÇAMENTO!$AF$7)*OFFSET(ORÇAMENTO!$W$15,ROW(AU549)-ROW(AU$15),0),15-13*ORÇAMENTO!$AF$11)),0)</f>
        <v>0</v>
      </c>
      <c r="AV549" s="545">
        <f ca="1">IF(AND($D549="Serviço",AV$12&lt;&gt;0,$H549&gt;0,OR(AUTOEVENTO&lt;&gt;"manual",$M549&lt;&gt;1)),
IF(Import.TipoArredondamento&lt;&gt;"TransfereGOV",
ROUND(OFFSET($P549,0,AV$13),15-13*ORÇAMENTO!$AF$7)/$H549*OFFSET(ORÇAMENTO!$X$15,ROW(AV549)-ROW(AV$15),0),
ROUND(ROUND(OFFSET($P549,0,AV$13),15-13*ORÇAMENTO!$AF$7)*OFFSET(ORÇAMENTO!$W$15,ROW(AV549)-ROW(AV$15),0),15-13*ORÇAMENTO!$AF$11)),0)</f>
        <v>0</v>
      </c>
      <c r="AW549" s="545">
        <f ca="1">IF(AND($D549="Serviço",AW$12&lt;&gt;0,$H549&gt;0,OR(AUTOEVENTO&lt;&gt;"manual",$M549&lt;&gt;1)),
IF(Import.TipoArredondamento&lt;&gt;"TransfereGOV",
ROUND(OFFSET($P549,0,AW$13),15-13*ORÇAMENTO!$AF$7)/$H549*OFFSET(ORÇAMENTO!$X$15,ROW(AW549)-ROW(AW$15),0),
ROUND(ROUND(OFFSET($P549,0,AW$13),15-13*ORÇAMENTO!$AF$7)*OFFSET(ORÇAMENTO!$W$15,ROW(AW549)-ROW(AW$15),0),15-13*ORÇAMENTO!$AF$11)),0)</f>
        <v>0</v>
      </c>
      <c r="AX549" s="545">
        <f ca="1">IF(AND($D549="Serviço",AX$12&lt;&gt;0,$H549&gt;0,OR(AUTOEVENTO&lt;&gt;"manual",$M549&lt;&gt;1)),
IF(Import.TipoArredondamento&lt;&gt;"TransfereGOV",
ROUND(OFFSET($P549,0,AX$13),15-13*ORÇAMENTO!$AF$7)/$H549*OFFSET(ORÇAMENTO!$X$15,ROW(AX549)-ROW(AX$15),0),
ROUND(ROUND(OFFSET($P549,0,AX$13),15-13*ORÇAMENTO!$AF$7)*OFFSET(ORÇAMENTO!$W$15,ROW(AX549)-ROW(AX$15),0),15-13*ORÇAMENTO!$AF$11)),0)</f>
        <v>0</v>
      </c>
      <c r="AY549" s="545">
        <f ca="1">IF(AND($D549="Serviço",AY$12&lt;&gt;0,$H549&gt;0,OR(AUTOEVENTO&lt;&gt;"manual",$M549&lt;&gt;1)),
IF(Import.TipoArredondamento&lt;&gt;"TransfereGOV",
ROUND(OFFSET($P549,0,AY$13),15-13*ORÇAMENTO!$AF$7)/$H549*OFFSET(ORÇAMENTO!$X$15,ROW(AY549)-ROW(AY$15),0),
ROUND(ROUND(OFFSET($P549,0,AY$13),15-13*ORÇAMENTO!$AF$7)*OFFSET(ORÇAMENTO!$W$15,ROW(AY549)-ROW(AY$15),0),15-13*ORÇAMENTO!$AF$11)),0)</f>
        <v>0</v>
      </c>
      <c r="AZ549" s="545">
        <f ca="1">IF(AND($D549="Serviço",AZ$12&lt;&gt;0,$H549&gt;0,OR(AUTOEVENTO&lt;&gt;"manual",$M549&lt;&gt;1)),
IF(Import.TipoArredondamento&lt;&gt;"TransfereGOV",
ROUND(OFFSET($P549,0,AZ$13),15-13*ORÇAMENTO!$AF$7)/$H549*OFFSET(ORÇAMENTO!$X$15,ROW(AZ549)-ROW(AZ$15),0),
ROUND(ROUND(OFFSET($P549,0,AZ$13),15-13*ORÇAMENTO!$AF$7)*OFFSET(ORÇAMENTO!$W$15,ROW(AZ549)-ROW(AZ$15),0),15-13*ORÇAMENTO!$AF$11)),0)</f>
        <v>0</v>
      </c>
      <c r="BA549" s="546">
        <f ca="1">IF(AND($D549="Serviço",BA$12&lt;&gt;0,$H549&gt;0,OR(AUTOEVENTO&lt;&gt;"manual",$M549&lt;&gt;1)),
IF(Import.TipoArredondamento&lt;&gt;"TransfereGOV",
ROUND(OFFSET($P549,0,BA$13),15-13*ORÇAMENTO!$AF$7)/$H549*OFFSET(ORÇAMENTO!$X$15,ROW(BA549)-ROW(BA$15),0),
ROUND(ROUND(OFFSET($P549,0,BA$13),15-13*ORÇAMENTO!$AF$7)*OFFSET(ORÇAMENTO!$W$15,ROW(BA549)-ROW(BA$15),0),15-13*ORÇAMENTO!$AF$11)),0)</f>
        <v>0</v>
      </c>
      <c r="BC549" s="181">
        <f ca="1">IF($D549&lt;&gt;"Serviço",0,IF(AND(AUTOEVENTO="Manual",$M549=1),0,IF(OFFSET(CRONOPLE!$F$14,$M549,BC$13)="",10^12,OFFSET(CRONOPLE!$F$14,$M549,BC$13))))</f>
        <v>10</v>
      </c>
      <c r="BD549" s="181">
        <f ca="1">IF($D549&lt;&gt;"Serviço",0,IF(AND(AUTOEVENTO="Manual",$M549=1),0,IF(OFFSET(CRONOPLE!$F$14,$M549,BD$13)="",10^12,OFFSET(CRONOPLE!$F$14,$M549,BD$13))))</f>
        <v>1000000000000</v>
      </c>
      <c r="BE549" s="181">
        <f ca="1">IF($D549&lt;&gt;"Serviço",0,IF(AND(AUTOEVENTO="Manual",$M549=1),0,IF(OFFSET(CRONOPLE!$F$14,$M549,BE$13)="",10^12,OFFSET(CRONOPLE!$F$14,$M549,BE$13))))</f>
        <v>1000000000000</v>
      </c>
      <c r="BF549" s="181">
        <f ca="1">IF($D549&lt;&gt;"Serviço",0,IF(AND(AUTOEVENTO="Manual",$M549=1),0,IF(OFFSET(CRONOPLE!$F$14,$M549,BF$13)="",10^12,OFFSET(CRONOPLE!$F$14,$M549,BF$13))))</f>
        <v>1000000000000</v>
      </c>
      <c r="BG549" s="181">
        <f ca="1">IF($D549&lt;&gt;"Serviço",0,IF(AND(AUTOEVENTO="Manual",$M549=1),0,IF(OFFSET(CRONOPLE!$F$14,$M549,BG$13)="",10^12,OFFSET(CRONOPLE!$F$14,$M549,BG$13))))</f>
        <v>1000000000000</v>
      </c>
      <c r="BH549" s="181">
        <f ca="1">IF($D549&lt;&gt;"Serviço",0,IF(AND(AUTOEVENTO="Manual",$M549=1),0,IF(OFFSET(CRONOPLE!$F$14,$M549,BH$13)="",10^12,OFFSET(CRONOPLE!$F$14,$M549,BH$13))))</f>
        <v>1000000000000</v>
      </c>
      <c r="BI549" s="181">
        <f ca="1">IF($D549&lt;&gt;"Serviço",0,IF(AND(AUTOEVENTO="Manual",$M549=1),0,IF(OFFSET(CRONOPLE!$F$14,$M549,BI$13)="",10^12,OFFSET(CRONOPLE!$F$14,$M549,BI$13))))</f>
        <v>1000000000000</v>
      </c>
      <c r="BJ549" s="181">
        <f ca="1">IF($D549&lt;&gt;"Serviço",0,IF(AND(AUTOEVENTO="Manual",$M549=1),0,IF(OFFSET(CRONOPLE!$F$14,$M549,BJ$13)="",10^12,OFFSET(CRONOPLE!$F$14,$M549,BJ$13))))</f>
        <v>1000000000000</v>
      </c>
      <c r="BK549" s="181">
        <f ca="1">IF($D549&lt;&gt;"Serviço",0,IF(AND(AUTOEVENTO="Manual",$M549=1),0,IF(OFFSET(CRONOPLE!$F$14,$M549,BK$13)="",10^12,OFFSET(CRONOPLE!$F$14,$M549,BK$13))))</f>
        <v>1000000000000</v>
      </c>
      <c r="BL549" s="181">
        <f ca="1">IF($D549&lt;&gt;"Serviço",0,IF(AND(AUTOEVENTO="Manual",$M549=1),0,IF(OFFSET(CRONOPLE!$F$14,$M549,BL$13)="",10^12,OFFSET(CRONOPLE!$F$14,$M549,BL$13))))</f>
        <v>1000000000000</v>
      </c>
      <c r="BM549" s="181">
        <f ca="1">IF($D549&lt;&gt;"Serviço",0,IF(AND(AUTOEVENTO="Manual",$M549=1),0,IF(OFFSET(CRONOPLE!$F$14,$M549,BM$13)="",10^12,OFFSET(CRONOPLE!$F$14,$M549,BM$13))))</f>
        <v>1000000000000</v>
      </c>
      <c r="BN549" s="181">
        <f ca="1">IF($D549&lt;&gt;"Serviço",0,IF(AND(AUTOEVENTO="Manual",$M549=1),0,IF(OFFSET(CRONOPLE!$F$14,$M549,BN$13)="",10^12,OFFSET(CRONOPLE!$F$14,$M549,BN$13))))</f>
        <v>1000000000000</v>
      </c>
      <c r="BO549" s="181">
        <f ca="1">IF($D549&lt;&gt;"Serviço",0,IF(AND(AUTOEVENTO="Manual",$M549=1),0,IF(OFFSET(CRONOPLE!$F$14,$M549,BO$13)="",10^12,OFFSET(CRONOPLE!$F$14,$M549,BO$13))))</f>
        <v>1000000000000</v>
      </c>
      <c r="BP549" s="181">
        <f ca="1">IF($D549&lt;&gt;"Serviço",0,IF(AND(AUTOEVENTO="Manual",$M549=1),0,IF(OFFSET(CRONOPLE!$F$14,$M549,BP$13)="",10^12,OFFSET(CRONOPLE!$F$14,$M549,BP$13))))</f>
        <v>1000000000000</v>
      </c>
      <c r="BQ549" s="181">
        <f ca="1">IF($D549&lt;&gt;"Serviço",0,IF(AND(AUTOEVENTO="Manual",$M549=1),0,IF(OFFSET(CRONOPLE!$F$14,$M549,BQ$13)="",10^12,OFFSET(CRONOPLE!$F$14,$M549,BQ$13))))</f>
        <v>1000000000000</v>
      </c>
      <c r="BR549" s="181">
        <f ca="1">IF($D549&lt;&gt;"Serviço",0,IF(AND(AUTOEVENTO="Manual",$M549=1),0,IF(OFFSET(CRONOPLE!$F$14,$M549,BR$13)="",10^12,OFFSET(CRONOPLE!$F$14,$M549,BR$13))))</f>
        <v>1000000000000</v>
      </c>
      <c r="BS549" s="181">
        <f ca="1">IF($D549&lt;&gt;"Serviço",0,IF(AND(AUTOEVENTO="Manual",$M549=1),0,IF(OFFSET(CRONOPLE!$F$14,$M549,BS$13)="",10^12,OFFSET(CRONOPLE!$F$14,$M549,BS$13))))</f>
        <v>1000000000000</v>
      </c>
      <c r="BT549" s="181">
        <f ca="1">IF($D549&lt;&gt;"Serviço",0,IF(AND(AUTOEVENTO="Manual",$M549=1),0,IF(OFFSET(CRONOPLE!$F$14,$M549,BT$13)="",10^12,OFFSET(CRONOPLE!$F$14,$M549,BT$13))))</f>
        <v>1000000000000</v>
      </c>
      <c r="BV549" s="182">
        <f ca="1">IF($D549&lt;&gt;"Serviço",0,IF(OR(AND(AUTOEVENTO="Manual",$M549=1),$M549&gt;(ROW(PLE.lastrow)-ROW(PLE.firstrow))),0,IF(OFFSET(PLE!$G$14,$M549,BV$13)="",10^12,OFFSET(PLE!$G$14,$M549,BV$13))))</f>
        <v>1000000000000</v>
      </c>
      <c r="BW549" s="182">
        <f ca="1">IF($D549&lt;&gt;"Serviço",0,IF(OR(AND(AUTOEVENTO="Manual",$M549=1),$M549&gt;(ROW(PLE.lastrow)-ROW(PLE.firstrow))),0,IF(OFFSET(PLE!$G$14,$M549,BW$13)="",10^12,OFFSET(PLE!$G$14,$M549,BW$13))))</f>
        <v>1000000000000</v>
      </c>
      <c r="BX549" s="182">
        <f ca="1">IF($D549&lt;&gt;"Serviço",0,IF(OR(AND(AUTOEVENTO="Manual",$M549=1),$M549&gt;(ROW(PLE.lastrow)-ROW(PLE.firstrow))),0,IF(OFFSET(PLE!$G$14,$M549,BX$13)="",10^12,OFFSET(PLE!$G$14,$M549,BX$13))))</f>
        <v>1000000000000</v>
      </c>
      <c r="BY549" s="182">
        <f ca="1">IF($D549&lt;&gt;"Serviço",0,IF(OR(AND(AUTOEVENTO="Manual",$M549=1),$M549&gt;(ROW(PLE.lastrow)-ROW(PLE.firstrow))),0,IF(OFFSET(PLE!$G$14,$M549,BY$13)="",10^12,OFFSET(PLE!$G$14,$M549,BY$13))))</f>
        <v>1000000000000</v>
      </c>
      <c r="BZ549" s="182">
        <f ca="1">IF($D549&lt;&gt;"Serviço",0,IF(OR(AND(AUTOEVENTO="Manual",$M549=1),$M549&gt;(ROW(PLE.lastrow)-ROW(PLE.firstrow))),0,IF(OFFSET(PLE!$G$14,$M549,BZ$13)="",10^12,OFFSET(PLE!$G$14,$M549,BZ$13))))</f>
        <v>1000000000000</v>
      </c>
      <c r="CA549" s="182">
        <f ca="1">IF($D549&lt;&gt;"Serviço",0,IF(OR(AND(AUTOEVENTO="Manual",$M549=1),$M549&gt;(ROW(PLE.lastrow)-ROW(PLE.firstrow))),0,IF(OFFSET(PLE!$G$14,$M549,CA$13)="",10^12,OFFSET(PLE!$G$14,$M549,CA$13))))</f>
        <v>1000000000000</v>
      </c>
      <c r="CB549" s="182">
        <f ca="1">IF($D549&lt;&gt;"Serviço",0,IF(OR(AND(AUTOEVENTO="Manual",$M549=1),$M549&gt;(ROW(PLE.lastrow)-ROW(PLE.firstrow))),0,IF(OFFSET(PLE!$G$14,$M549,CB$13)="",10^12,OFFSET(PLE!$G$14,$M549,CB$13))))</f>
        <v>1000000000000</v>
      </c>
      <c r="CC549" s="182">
        <f ca="1">IF($D549&lt;&gt;"Serviço",0,IF(OR(AND(AUTOEVENTO="Manual",$M549=1),$M549&gt;(ROW(PLE.lastrow)-ROW(PLE.firstrow))),0,IF(OFFSET(PLE!$G$14,$M549,CC$13)="",10^12,OFFSET(PLE!$G$14,$M549,CC$13))))</f>
        <v>1000000000000</v>
      </c>
      <c r="CD549" s="182">
        <f ca="1">IF($D549&lt;&gt;"Serviço",0,IF(OR(AND(AUTOEVENTO="Manual",$M549=1),$M549&gt;(ROW(PLE.lastrow)-ROW(PLE.firstrow))),0,IF(OFFSET(PLE!$G$14,$M549,CD$13)="",10^12,OFFSET(PLE!$G$14,$M549,CD$13))))</f>
        <v>1000000000000</v>
      </c>
      <c r="CE549" s="182">
        <f ca="1">IF($D549&lt;&gt;"Serviço",0,IF(OR(AND(AUTOEVENTO="Manual",$M549=1),$M549&gt;(ROW(PLE.lastrow)-ROW(PLE.firstrow))),0,IF(OFFSET(PLE!$G$14,$M549,CE$13)="",10^12,OFFSET(PLE!$G$14,$M549,CE$13))))</f>
        <v>1000000000000</v>
      </c>
      <c r="CF549" s="182">
        <f ca="1">IF($D549&lt;&gt;"Serviço",0,IF(OR(AND(AUTOEVENTO="Manual",$M549=1),$M549&gt;(ROW(PLE.lastrow)-ROW(PLE.firstrow))),0,IF(OFFSET(PLE!$G$14,$M549,CF$13)="",10^12,OFFSET(PLE!$G$14,$M549,CF$13))))</f>
        <v>1000000000000</v>
      </c>
      <c r="CG549" s="182">
        <f ca="1">IF($D549&lt;&gt;"Serviço",0,IF(OR(AND(AUTOEVENTO="Manual",$M549=1),$M549&gt;(ROW(PLE.lastrow)-ROW(PLE.firstrow))),0,IF(OFFSET(PLE!$G$14,$M549,CG$13)="",10^12,OFFSET(PLE!$G$14,$M549,CG$13))))</f>
        <v>1000000000000</v>
      </c>
      <c r="CH549" s="182">
        <f ca="1">IF($D549&lt;&gt;"Serviço",0,IF(OR(AND(AUTOEVENTO="Manual",$M549=1),$M549&gt;(ROW(PLE.lastrow)-ROW(PLE.firstrow))),0,IF(OFFSET(PLE!$G$14,$M549,CH$13)="",10^12,OFFSET(PLE!$G$14,$M549,CH$13))))</f>
        <v>1000000000000</v>
      </c>
      <c r="CI549" s="182">
        <f ca="1">IF($D549&lt;&gt;"Serviço",0,IF(OR(AND(AUTOEVENTO="Manual",$M549=1),$M549&gt;(ROW(PLE.lastrow)-ROW(PLE.firstrow))),0,IF(OFFSET(PLE!$G$14,$M549,CI$13)="",10^12,OFFSET(PLE!$G$14,$M549,CI$13))))</f>
        <v>1000000000000</v>
      </c>
      <c r="CJ549" s="182">
        <f ca="1">IF($D549&lt;&gt;"Serviço",0,IF(OR(AND(AUTOEVENTO="Manual",$M549=1),$M549&gt;(ROW(PLE.lastrow)-ROW(PLE.firstrow))),0,IF(OFFSET(PLE!$G$14,$M549,CJ$13)="",10^12,OFFSET(PLE!$G$14,$M549,CJ$13))))</f>
        <v>1000000000000</v>
      </c>
      <c r="CK549" s="182">
        <f ca="1">IF($D549&lt;&gt;"Serviço",0,IF(OR(AND(AUTOEVENTO="Manual",$M549=1),$M549&gt;(ROW(PLE.lastrow)-ROW(PLE.firstrow))),0,IF(OFFSET(PLE!$G$14,$M549,CK$13)="",10^12,OFFSET(PLE!$G$14,$M549,CK$13))))</f>
        <v>1000000000000</v>
      </c>
      <c r="CL549" s="182">
        <f ca="1">IF($D549&lt;&gt;"Serviço",0,IF(OR(AND(AUTOEVENTO="Manual",$M549=1),$M549&gt;(ROW(PLE.lastrow)-ROW(PLE.firstrow))),0,IF(OFFSET(PLE!$G$14,$M549,CL$13)="",10^12,OFFSET(PLE!$G$14,$M549,CL$13))))</f>
        <v>1000000000000</v>
      </c>
      <c r="CM549" s="182">
        <f ca="1">IF($D549&lt;&gt;"Serviço",0,IF(OR(AND(AUTOEVENTO="Manual",$M549=1),$M549&gt;(ROW(PLE.lastrow)-ROW(PLE.firstrow))),0,IF(OFFSET(PLE!$G$14,$M549,CM$13)="",10^12,OFFSET(PLE!$G$14,$M549,CM$13))))</f>
        <v>1000000000000</v>
      </c>
    </row>
    <row r="550" spans="1:91" ht="25.5" x14ac:dyDescent="0.2">
      <c r="A550" s="7" t="str">
        <f t="shared" ca="1" si="17"/>
        <v>528</v>
      </c>
      <c r="B550" s="7" t="str">
        <f ca="1">OFFSET(ORÇAMENTO!C$15,ROW(B550)-ROW(B$15),0)</f>
        <v>S</v>
      </c>
      <c r="C550" s="7" t="str">
        <f ca="1">OFFSET(ORÇAMENTO!L$15,ROW(C550)-ROW(C$15),0)</f>
        <v/>
      </c>
      <c r="D550" s="118" t="str">
        <f ca="1">OFFSET(ORÇAMENTO!N$15,ROW(D550)-ROW(D$15),0)</f>
        <v>Serviço</v>
      </c>
      <c r="E550" s="119" t="str">
        <f ca="1">OFFSET(ORÇAMENTO!O$15,ROW(E550)-ROW(E$15),0)</f>
        <v>-</v>
      </c>
      <c r="F550" s="172" t="str">
        <f ca="1">OFFSET(ORÇAMENTO!R$15,ROW(F550)-ROW(F$15),0)</f>
        <v>(abra o arquivo 'Referência 06-2024.xlsm)</v>
      </c>
      <c r="G550" s="173" t="str">
        <f ca="1">IF($D550&lt;&gt;"Serviço","",OFFSET(ORÇAMENTO!S$15,ROW(G550)-ROW(G$15),0))</f>
        <v>-</v>
      </c>
      <c r="H550" s="124">
        <f ca="1">IF($D550&lt;&gt;"Serviço",0,IF(ACOMPANHAMENTO="BM",ROUND(OFFSET(ORÇAMENTO!AJ$15,ROW(H550)-ROW(H$15),0),15-13*ORÇAMENTO!$AF$7),SUMPRODUCT(($Q$12:$AI$12&lt;&gt;"")*ROUND($Q550:$AI550,15-13*ORÇAMENTO!$AF$7))))</f>
        <v>13</v>
      </c>
      <c r="I550" s="561" t="s">
        <v>1107</v>
      </c>
      <c r="K550" s="174"/>
      <c r="L550" s="175" t="s">
        <v>255</v>
      </c>
      <c r="M550" s="176">
        <f ca="1">IF($D550&lt;&gt;"Serviço","",IF(AUTOEVENTO="manual",$A550,IF(ISERROR(MATCH($A550,$A$15:OFFSET($A550,-1,0),0)),MAX($M$15:OFFSET(M550,-1,0))+1,INDEX($M$15:OFFSET(M550,-1,0),MATCH($A550,$A$15:OFFSET($A550,-1,0),0)))))</f>
        <v>57</v>
      </c>
      <c r="N550" s="177" t="str">
        <f ca="1">IF($D550&lt;&gt;"Serviço","",IF(AUTOEVENTO="Manual",IF($A550=0,"&lt;-- defina o número do agrupador",OFFSET(EVENTOS!$D$14,$A550,0)),OFFSET($F$15,$A550,0)))</f>
        <v>INSTALAÇÃO ELÉTRICA 110V - DISPOSITIVOS DE PROTEÇÃO</v>
      </c>
      <c r="O550" s="178"/>
      <c r="Q550" s="178">
        <v>13</v>
      </c>
      <c r="R550" s="179"/>
      <c r="S550" s="179"/>
      <c r="T550" s="179"/>
      <c r="U550" s="179"/>
      <c r="V550" s="179"/>
      <c r="W550" s="179"/>
      <c r="X550" s="179"/>
      <c r="Y550" s="179"/>
      <c r="Z550" s="180"/>
      <c r="AA550" s="179"/>
      <c r="AB550" s="179"/>
      <c r="AC550" s="179"/>
      <c r="AD550" s="179"/>
      <c r="AE550" s="179"/>
      <c r="AF550" s="179"/>
      <c r="AG550" s="179"/>
      <c r="AH550" s="180"/>
      <c r="AJ550" s="544">
        <f ca="1">IF(AND($D550="Serviço",AJ$12&lt;&gt;0,$H550&gt;0,OR(AUTOEVENTO&lt;&gt;"manual",$M550&lt;&gt;1)),
IF(Import.TipoArredondamento&lt;&gt;"TransfereGOV",
ROUND(OFFSET($P550,0,AJ$13),15-13*ORÇAMENTO!$AF$7)/$H550*OFFSET(ORÇAMENTO!$X$15,ROW(AJ550)-ROW(AJ$15),0),
ROUND(ROUND(OFFSET($P550,0,AJ$13),15-13*ORÇAMENTO!$AF$7)*OFFSET(ORÇAMENTO!$W$15,ROW(AJ550)-ROW(AJ$15),0),15-13*ORÇAMENTO!$AF$11)),0)</f>
        <v>0</v>
      </c>
      <c r="AK550" s="545">
        <f ca="1">IF(AND($D550="Serviço",AK$12&lt;&gt;0,$H550&gt;0,OR(AUTOEVENTO&lt;&gt;"manual",$M550&lt;&gt;1)),
IF(Import.TipoArredondamento&lt;&gt;"TransfereGOV",
ROUND(OFFSET($P550,0,AK$13),15-13*ORÇAMENTO!$AF$7)/$H550*OFFSET(ORÇAMENTO!$X$15,ROW(AK550)-ROW(AK$15),0),
ROUND(ROUND(OFFSET($P550,0,AK$13),15-13*ORÇAMENTO!$AF$7)*OFFSET(ORÇAMENTO!$W$15,ROW(AK550)-ROW(AK$15),0),15-13*ORÇAMENTO!$AF$11)),0)</f>
        <v>0</v>
      </c>
      <c r="AL550" s="545">
        <f ca="1">IF(AND($D550="Serviço",AL$12&lt;&gt;0,$H550&gt;0,OR(AUTOEVENTO&lt;&gt;"manual",$M550&lt;&gt;1)),
IF(Import.TipoArredondamento&lt;&gt;"TransfereGOV",
ROUND(OFFSET($P550,0,AL$13),15-13*ORÇAMENTO!$AF$7)/$H550*OFFSET(ORÇAMENTO!$X$15,ROW(AL550)-ROW(AL$15),0),
ROUND(ROUND(OFFSET($P550,0,AL$13),15-13*ORÇAMENTO!$AF$7)*OFFSET(ORÇAMENTO!$W$15,ROW(AL550)-ROW(AL$15),0),15-13*ORÇAMENTO!$AF$11)),0)</f>
        <v>0</v>
      </c>
      <c r="AM550" s="545">
        <f ca="1">IF(AND($D550="Serviço",AM$12&lt;&gt;0,$H550&gt;0,OR(AUTOEVENTO&lt;&gt;"manual",$M550&lt;&gt;1)),
IF(Import.TipoArredondamento&lt;&gt;"TransfereGOV",
ROUND(OFFSET($P550,0,AM$13),15-13*ORÇAMENTO!$AF$7)/$H550*OFFSET(ORÇAMENTO!$X$15,ROW(AM550)-ROW(AM$15),0),
ROUND(ROUND(OFFSET($P550,0,AM$13),15-13*ORÇAMENTO!$AF$7)*OFFSET(ORÇAMENTO!$W$15,ROW(AM550)-ROW(AM$15),0),15-13*ORÇAMENTO!$AF$11)),0)</f>
        <v>0</v>
      </c>
      <c r="AN550" s="545">
        <f ca="1">IF(AND($D550="Serviço",AN$12&lt;&gt;0,$H550&gt;0,OR(AUTOEVENTO&lt;&gt;"manual",$M550&lt;&gt;1)),
IF(Import.TipoArredondamento&lt;&gt;"TransfereGOV",
ROUND(OFFSET($P550,0,AN$13),15-13*ORÇAMENTO!$AF$7)/$H550*OFFSET(ORÇAMENTO!$X$15,ROW(AN550)-ROW(AN$15),0),
ROUND(ROUND(OFFSET($P550,0,AN$13),15-13*ORÇAMENTO!$AF$7)*OFFSET(ORÇAMENTO!$W$15,ROW(AN550)-ROW(AN$15),0),15-13*ORÇAMENTO!$AF$11)),0)</f>
        <v>0</v>
      </c>
      <c r="AO550" s="545">
        <f ca="1">IF(AND($D550="Serviço",AO$12&lt;&gt;0,$H550&gt;0,OR(AUTOEVENTO&lt;&gt;"manual",$M550&lt;&gt;1)),
IF(Import.TipoArredondamento&lt;&gt;"TransfereGOV",
ROUND(OFFSET($P550,0,AO$13),15-13*ORÇAMENTO!$AF$7)/$H550*OFFSET(ORÇAMENTO!$X$15,ROW(AO550)-ROW(AO$15),0),
ROUND(ROUND(OFFSET($P550,0,AO$13),15-13*ORÇAMENTO!$AF$7)*OFFSET(ORÇAMENTO!$W$15,ROW(AO550)-ROW(AO$15),0),15-13*ORÇAMENTO!$AF$11)),0)</f>
        <v>0</v>
      </c>
      <c r="AP550" s="545">
        <f ca="1">IF(AND($D550="Serviço",AP$12&lt;&gt;0,$H550&gt;0,OR(AUTOEVENTO&lt;&gt;"manual",$M550&lt;&gt;1)),
IF(Import.TipoArredondamento&lt;&gt;"TransfereGOV",
ROUND(OFFSET($P550,0,AP$13),15-13*ORÇAMENTO!$AF$7)/$H550*OFFSET(ORÇAMENTO!$X$15,ROW(AP550)-ROW(AP$15),0),
ROUND(ROUND(OFFSET($P550,0,AP$13),15-13*ORÇAMENTO!$AF$7)*OFFSET(ORÇAMENTO!$W$15,ROW(AP550)-ROW(AP$15),0),15-13*ORÇAMENTO!$AF$11)),0)</f>
        <v>0</v>
      </c>
      <c r="AQ550" s="545">
        <f ca="1">IF(AND($D550="Serviço",AQ$12&lt;&gt;0,$H550&gt;0,OR(AUTOEVENTO&lt;&gt;"manual",$M550&lt;&gt;1)),
IF(Import.TipoArredondamento&lt;&gt;"TransfereGOV",
ROUND(OFFSET($P550,0,AQ$13),15-13*ORÇAMENTO!$AF$7)/$H550*OFFSET(ORÇAMENTO!$X$15,ROW(AQ550)-ROW(AQ$15),0),
ROUND(ROUND(OFFSET($P550,0,AQ$13),15-13*ORÇAMENTO!$AF$7)*OFFSET(ORÇAMENTO!$W$15,ROW(AQ550)-ROW(AQ$15),0),15-13*ORÇAMENTO!$AF$11)),0)</f>
        <v>0</v>
      </c>
      <c r="AR550" s="545">
        <f ca="1">IF(AND($D550="Serviço",AR$12&lt;&gt;0,$H550&gt;0,OR(AUTOEVENTO&lt;&gt;"manual",$M550&lt;&gt;1)),
IF(Import.TipoArredondamento&lt;&gt;"TransfereGOV",
ROUND(OFFSET($P550,0,AR$13),15-13*ORÇAMENTO!$AF$7)/$H550*OFFSET(ORÇAMENTO!$X$15,ROW(AR550)-ROW(AR$15),0),
ROUND(ROUND(OFFSET($P550,0,AR$13),15-13*ORÇAMENTO!$AF$7)*OFFSET(ORÇAMENTO!$W$15,ROW(AR550)-ROW(AR$15),0),15-13*ORÇAMENTO!$AF$11)),0)</f>
        <v>0</v>
      </c>
      <c r="AS550" s="546">
        <f ca="1">IF(AND($D550="Serviço",AS$12&lt;&gt;0,$H550&gt;0,OR(AUTOEVENTO&lt;&gt;"manual",$M550&lt;&gt;1)),
IF(Import.TipoArredondamento&lt;&gt;"TransfereGOV",
ROUND(OFFSET($P550,0,AS$13),15-13*ORÇAMENTO!$AF$7)/$H550*OFFSET(ORÇAMENTO!$X$15,ROW(AS550)-ROW(AS$15),0),
ROUND(ROUND(OFFSET($P550,0,AS$13),15-13*ORÇAMENTO!$AF$7)*OFFSET(ORÇAMENTO!$W$15,ROW(AS550)-ROW(AS$15),0),15-13*ORÇAMENTO!$AF$11)),0)</f>
        <v>0</v>
      </c>
      <c r="AT550" s="545">
        <f ca="1">IF(AND($D550="Serviço",AT$12&lt;&gt;0,$H550&gt;0,OR(AUTOEVENTO&lt;&gt;"manual",$M550&lt;&gt;1)),
IF(Import.TipoArredondamento&lt;&gt;"TransfereGOV",
ROUND(OFFSET($P550,0,AT$13),15-13*ORÇAMENTO!$AF$7)/$H550*OFFSET(ORÇAMENTO!$X$15,ROW(AT550)-ROW(AT$15),0),
ROUND(ROUND(OFFSET($P550,0,AT$13),15-13*ORÇAMENTO!$AF$7)*OFFSET(ORÇAMENTO!$W$15,ROW(AT550)-ROW(AT$15),0),15-13*ORÇAMENTO!$AF$11)),0)</f>
        <v>0</v>
      </c>
      <c r="AU550" s="545">
        <f ca="1">IF(AND($D550="Serviço",AU$12&lt;&gt;0,$H550&gt;0,OR(AUTOEVENTO&lt;&gt;"manual",$M550&lt;&gt;1)),
IF(Import.TipoArredondamento&lt;&gt;"TransfereGOV",
ROUND(OFFSET($P550,0,AU$13),15-13*ORÇAMENTO!$AF$7)/$H550*OFFSET(ORÇAMENTO!$X$15,ROW(AU550)-ROW(AU$15),0),
ROUND(ROUND(OFFSET($P550,0,AU$13),15-13*ORÇAMENTO!$AF$7)*OFFSET(ORÇAMENTO!$W$15,ROW(AU550)-ROW(AU$15),0),15-13*ORÇAMENTO!$AF$11)),0)</f>
        <v>0</v>
      </c>
      <c r="AV550" s="545">
        <f ca="1">IF(AND($D550="Serviço",AV$12&lt;&gt;0,$H550&gt;0,OR(AUTOEVENTO&lt;&gt;"manual",$M550&lt;&gt;1)),
IF(Import.TipoArredondamento&lt;&gt;"TransfereGOV",
ROUND(OFFSET($P550,0,AV$13),15-13*ORÇAMENTO!$AF$7)/$H550*OFFSET(ORÇAMENTO!$X$15,ROW(AV550)-ROW(AV$15),0),
ROUND(ROUND(OFFSET($P550,0,AV$13),15-13*ORÇAMENTO!$AF$7)*OFFSET(ORÇAMENTO!$W$15,ROW(AV550)-ROW(AV$15),0),15-13*ORÇAMENTO!$AF$11)),0)</f>
        <v>0</v>
      </c>
      <c r="AW550" s="545">
        <f ca="1">IF(AND($D550="Serviço",AW$12&lt;&gt;0,$H550&gt;0,OR(AUTOEVENTO&lt;&gt;"manual",$M550&lt;&gt;1)),
IF(Import.TipoArredondamento&lt;&gt;"TransfereGOV",
ROUND(OFFSET($P550,0,AW$13),15-13*ORÇAMENTO!$AF$7)/$H550*OFFSET(ORÇAMENTO!$X$15,ROW(AW550)-ROW(AW$15),0),
ROUND(ROUND(OFFSET($P550,0,AW$13),15-13*ORÇAMENTO!$AF$7)*OFFSET(ORÇAMENTO!$W$15,ROW(AW550)-ROW(AW$15),0),15-13*ORÇAMENTO!$AF$11)),0)</f>
        <v>0</v>
      </c>
      <c r="AX550" s="545">
        <f ca="1">IF(AND($D550="Serviço",AX$12&lt;&gt;0,$H550&gt;0,OR(AUTOEVENTO&lt;&gt;"manual",$M550&lt;&gt;1)),
IF(Import.TipoArredondamento&lt;&gt;"TransfereGOV",
ROUND(OFFSET($P550,0,AX$13),15-13*ORÇAMENTO!$AF$7)/$H550*OFFSET(ORÇAMENTO!$X$15,ROW(AX550)-ROW(AX$15),0),
ROUND(ROUND(OFFSET($P550,0,AX$13),15-13*ORÇAMENTO!$AF$7)*OFFSET(ORÇAMENTO!$W$15,ROW(AX550)-ROW(AX$15),0),15-13*ORÇAMENTO!$AF$11)),0)</f>
        <v>0</v>
      </c>
      <c r="AY550" s="545">
        <f ca="1">IF(AND($D550="Serviço",AY$12&lt;&gt;0,$H550&gt;0,OR(AUTOEVENTO&lt;&gt;"manual",$M550&lt;&gt;1)),
IF(Import.TipoArredondamento&lt;&gt;"TransfereGOV",
ROUND(OFFSET($P550,0,AY$13),15-13*ORÇAMENTO!$AF$7)/$H550*OFFSET(ORÇAMENTO!$X$15,ROW(AY550)-ROW(AY$15),0),
ROUND(ROUND(OFFSET($P550,0,AY$13),15-13*ORÇAMENTO!$AF$7)*OFFSET(ORÇAMENTO!$W$15,ROW(AY550)-ROW(AY$15),0),15-13*ORÇAMENTO!$AF$11)),0)</f>
        <v>0</v>
      </c>
      <c r="AZ550" s="545">
        <f ca="1">IF(AND($D550="Serviço",AZ$12&lt;&gt;0,$H550&gt;0,OR(AUTOEVENTO&lt;&gt;"manual",$M550&lt;&gt;1)),
IF(Import.TipoArredondamento&lt;&gt;"TransfereGOV",
ROUND(OFFSET($P550,0,AZ$13),15-13*ORÇAMENTO!$AF$7)/$H550*OFFSET(ORÇAMENTO!$X$15,ROW(AZ550)-ROW(AZ$15),0),
ROUND(ROUND(OFFSET($P550,0,AZ$13),15-13*ORÇAMENTO!$AF$7)*OFFSET(ORÇAMENTO!$W$15,ROW(AZ550)-ROW(AZ$15),0),15-13*ORÇAMENTO!$AF$11)),0)</f>
        <v>0</v>
      </c>
      <c r="BA550" s="546">
        <f ca="1">IF(AND($D550="Serviço",BA$12&lt;&gt;0,$H550&gt;0,OR(AUTOEVENTO&lt;&gt;"manual",$M550&lt;&gt;1)),
IF(Import.TipoArredondamento&lt;&gt;"TransfereGOV",
ROUND(OFFSET($P550,0,BA$13),15-13*ORÇAMENTO!$AF$7)/$H550*OFFSET(ORÇAMENTO!$X$15,ROW(BA550)-ROW(BA$15),0),
ROUND(ROUND(OFFSET($P550,0,BA$13),15-13*ORÇAMENTO!$AF$7)*OFFSET(ORÇAMENTO!$W$15,ROW(BA550)-ROW(BA$15),0),15-13*ORÇAMENTO!$AF$11)),0)</f>
        <v>0</v>
      </c>
      <c r="BC550" s="181">
        <f ca="1">IF($D550&lt;&gt;"Serviço",0,IF(AND(AUTOEVENTO="Manual",$M550=1),0,IF(OFFSET(CRONOPLE!$F$14,$M550,BC$13)="",10^12,OFFSET(CRONOPLE!$F$14,$M550,BC$13))))</f>
        <v>10</v>
      </c>
      <c r="BD550" s="181">
        <f ca="1">IF($D550&lt;&gt;"Serviço",0,IF(AND(AUTOEVENTO="Manual",$M550=1),0,IF(OFFSET(CRONOPLE!$F$14,$M550,BD$13)="",10^12,OFFSET(CRONOPLE!$F$14,$M550,BD$13))))</f>
        <v>1000000000000</v>
      </c>
      <c r="BE550" s="181">
        <f ca="1">IF($D550&lt;&gt;"Serviço",0,IF(AND(AUTOEVENTO="Manual",$M550=1),0,IF(OFFSET(CRONOPLE!$F$14,$M550,BE$13)="",10^12,OFFSET(CRONOPLE!$F$14,$M550,BE$13))))</f>
        <v>1000000000000</v>
      </c>
      <c r="BF550" s="181">
        <f ca="1">IF($D550&lt;&gt;"Serviço",0,IF(AND(AUTOEVENTO="Manual",$M550=1),0,IF(OFFSET(CRONOPLE!$F$14,$M550,BF$13)="",10^12,OFFSET(CRONOPLE!$F$14,$M550,BF$13))))</f>
        <v>1000000000000</v>
      </c>
      <c r="BG550" s="181">
        <f ca="1">IF($D550&lt;&gt;"Serviço",0,IF(AND(AUTOEVENTO="Manual",$M550=1),0,IF(OFFSET(CRONOPLE!$F$14,$M550,BG$13)="",10^12,OFFSET(CRONOPLE!$F$14,$M550,BG$13))))</f>
        <v>1000000000000</v>
      </c>
      <c r="BH550" s="181">
        <f ca="1">IF($D550&lt;&gt;"Serviço",0,IF(AND(AUTOEVENTO="Manual",$M550=1),0,IF(OFFSET(CRONOPLE!$F$14,$M550,BH$13)="",10^12,OFFSET(CRONOPLE!$F$14,$M550,BH$13))))</f>
        <v>1000000000000</v>
      </c>
      <c r="BI550" s="181">
        <f ca="1">IF($D550&lt;&gt;"Serviço",0,IF(AND(AUTOEVENTO="Manual",$M550=1),0,IF(OFFSET(CRONOPLE!$F$14,$M550,BI$13)="",10^12,OFFSET(CRONOPLE!$F$14,$M550,BI$13))))</f>
        <v>1000000000000</v>
      </c>
      <c r="BJ550" s="181">
        <f ca="1">IF($D550&lt;&gt;"Serviço",0,IF(AND(AUTOEVENTO="Manual",$M550=1),0,IF(OFFSET(CRONOPLE!$F$14,$M550,BJ$13)="",10^12,OFFSET(CRONOPLE!$F$14,$M550,BJ$13))))</f>
        <v>1000000000000</v>
      </c>
      <c r="BK550" s="181">
        <f ca="1">IF($D550&lt;&gt;"Serviço",0,IF(AND(AUTOEVENTO="Manual",$M550=1),0,IF(OFFSET(CRONOPLE!$F$14,$M550,BK$13)="",10^12,OFFSET(CRONOPLE!$F$14,$M550,BK$13))))</f>
        <v>1000000000000</v>
      </c>
      <c r="BL550" s="181">
        <f ca="1">IF($D550&lt;&gt;"Serviço",0,IF(AND(AUTOEVENTO="Manual",$M550=1),0,IF(OFFSET(CRONOPLE!$F$14,$M550,BL$13)="",10^12,OFFSET(CRONOPLE!$F$14,$M550,BL$13))))</f>
        <v>1000000000000</v>
      </c>
      <c r="BM550" s="181">
        <f ca="1">IF($D550&lt;&gt;"Serviço",0,IF(AND(AUTOEVENTO="Manual",$M550=1),0,IF(OFFSET(CRONOPLE!$F$14,$M550,BM$13)="",10^12,OFFSET(CRONOPLE!$F$14,$M550,BM$13))))</f>
        <v>1000000000000</v>
      </c>
      <c r="BN550" s="181">
        <f ca="1">IF($D550&lt;&gt;"Serviço",0,IF(AND(AUTOEVENTO="Manual",$M550=1),0,IF(OFFSET(CRONOPLE!$F$14,$M550,BN$13)="",10^12,OFFSET(CRONOPLE!$F$14,$M550,BN$13))))</f>
        <v>1000000000000</v>
      </c>
      <c r="BO550" s="181">
        <f ca="1">IF($D550&lt;&gt;"Serviço",0,IF(AND(AUTOEVENTO="Manual",$M550=1),0,IF(OFFSET(CRONOPLE!$F$14,$M550,BO$13)="",10^12,OFFSET(CRONOPLE!$F$14,$M550,BO$13))))</f>
        <v>1000000000000</v>
      </c>
      <c r="BP550" s="181">
        <f ca="1">IF($D550&lt;&gt;"Serviço",0,IF(AND(AUTOEVENTO="Manual",$M550=1),0,IF(OFFSET(CRONOPLE!$F$14,$M550,BP$13)="",10^12,OFFSET(CRONOPLE!$F$14,$M550,BP$13))))</f>
        <v>1000000000000</v>
      </c>
      <c r="BQ550" s="181">
        <f ca="1">IF($D550&lt;&gt;"Serviço",0,IF(AND(AUTOEVENTO="Manual",$M550=1),0,IF(OFFSET(CRONOPLE!$F$14,$M550,BQ$13)="",10^12,OFFSET(CRONOPLE!$F$14,$M550,BQ$13))))</f>
        <v>1000000000000</v>
      </c>
      <c r="BR550" s="181">
        <f ca="1">IF($D550&lt;&gt;"Serviço",0,IF(AND(AUTOEVENTO="Manual",$M550=1),0,IF(OFFSET(CRONOPLE!$F$14,$M550,BR$13)="",10^12,OFFSET(CRONOPLE!$F$14,$M550,BR$13))))</f>
        <v>1000000000000</v>
      </c>
      <c r="BS550" s="181">
        <f ca="1">IF($D550&lt;&gt;"Serviço",0,IF(AND(AUTOEVENTO="Manual",$M550=1),0,IF(OFFSET(CRONOPLE!$F$14,$M550,BS$13)="",10^12,OFFSET(CRONOPLE!$F$14,$M550,BS$13))))</f>
        <v>1000000000000</v>
      </c>
      <c r="BT550" s="181">
        <f ca="1">IF($D550&lt;&gt;"Serviço",0,IF(AND(AUTOEVENTO="Manual",$M550=1),0,IF(OFFSET(CRONOPLE!$F$14,$M550,BT$13)="",10^12,OFFSET(CRONOPLE!$F$14,$M550,BT$13))))</f>
        <v>1000000000000</v>
      </c>
      <c r="BV550" s="182">
        <f ca="1">IF($D550&lt;&gt;"Serviço",0,IF(OR(AND(AUTOEVENTO="Manual",$M550=1),$M550&gt;(ROW(PLE.lastrow)-ROW(PLE.firstrow))),0,IF(OFFSET(PLE!$G$14,$M550,BV$13)="",10^12,OFFSET(PLE!$G$14,$M550,BV$13))))</f>
        <v>1000000000000</v>
      </c>
      <c r="BW550" s="182">
        <f ca="1">IF($D550&lt;&gt;"Serviço",0,IF(OR(AND(AUTOEVENTO="Manual",$M550=1),$M550&gt;(ROW(PLE.lastrow)-ROW(PLE.firstrow))),0,IF(OFFSET(PLE!$G$14,$M550,BW$13)="",10^12,OFFSET(PLE!$G$14,$M550,BW$13))))</f>
        <v>1000000000000</v>
      </c>
      <c r="BX550" s="182">
        <f ca="1">IF($D550&lt;&gt;"Serviço",0,IF(OR(AND(AUTOEVENTO="Manual",$M550=1),$M550&gt;(ROW(PLE.lastrow)-ROW(PLE.firstrow))),0,IF(OFFSET(PLE!$G$14,$M550,BX$13)="",10^12,OFFSET(PLE!$G$14,$M550,BX$13))))</f>
        <v>1000000000000</v>
      </c>
      <c r="BY550" s="182">
        <f ca="1">IF($D550&lt;&gt;"Serviço",0,IF(OR(AND(AUTOEVENTO="Manual",$M550=1),$M550&gt;(ROW(PLE.lastrow)-ROW(PLE.firstrow))),0,IF(OFFSET(PLE!$G$14,$M550,BY$13)="",10^12,OFFSET(PLE!$G$14,$M550,BY$13))))</f>
        <v>1000000000000</v>
      </c>
      <c r="BZ550" s="182">
        <f ca="1">IF($D550&lt;&gt;"Serviço",0,IF(OR(AND(AUTOEVENTO="Manual",$M550=1),$M550&gt;(ROW(PLE.lastrow)-ROW(PLE.firstrow))),0,IF(OFFSET(PLE!$G$14,$M550,BZ$13)="",10^12,OFFSET(PLE!$G$14,$M550,BZ$13))))</f>
        <v>1000000000000</v>
      </c>
      <c r="CA550" s="182">
        <f ca="1">IF($D550&lt;&gt;"Serviço",0,IF(OR(AND(AUTOEVENTO="Manual",$M550=1),$M550&gt;(ROW(PLE.lastrow)-ROW(PLE.firstrow))),0,IF(OFFSET(PLE!$G$14,$M550,CA$13)="",10^12,OFFSET(PLE!$G$14,$M550,CA$13))))</f>
        <v>1000000000000</v>
      </c>
      <c r="CB550" s="182">
        <f ca="1">IF($D550&lt;&gt;"Serviço",0,IF(OR(AND(AUTOEVENTO="Manual",$M550=1),$M550&gt;(ROW(PLE.lastrow)-ROW(PLE.firstrow))),0,IF(OFFSET(PLE!$G$14,$M550,CB$13)="",10^12,OFFSET(PLE!$G$14,$M550,CB$13))))</f>
        <v>1000000000000</v>
      </c>
      <c r="CC550" s="182">
        <f ca="1">IF($D550&lt;&gt;"Serviço",0,IF(OR(AND(AUTOEVENTO="Manual",$M550=1),$M550&gt;(ROW(PLE.lastrow)-ROW(PLE.firstrow))),0,IF(OFFSET(PLE!$G$14,$M550,CC$13)="",10^12,OFFSET(PLE!$G$14,$M550,CC$13))))</f>
        <v>1000000000000</v>
      </c>
      <c r="CD550" s="182">
        <f ca="1">IF($D550&lt;&gt;"Serviço",0,IF(OR(AND(AUTOEVENTO="Manual",$M550=1),$M550&gt;(ROW(PLE.lastrow)-ROW(PLE.firstrow))),0,IF(OFFSET(PLE!$G$14,$M550,CD$13)="",10^12,OFFSET(PLE!$G$14,$M550,CD$13))))</f>
        <v>1000000000000</v>
      </c>
      <c r="CE550" s="182">
        <f ca="1">IF($D550&lt;&gt;"Serviço",0,IF(OR(AND(AUTOEVENTO="Manual",$M550=1),$M550&gt;(ROW(PLE.lastrow)-ROW(PLE.firstrow))),0,IF(OFFSET(PLE!$G$14,$M550,CE$13)="",10^12,OFFSET(PLE!$G$14,$M550,CE$13))))</f>
        <v>1000000000000</v>
      </c>
      <c r="CF550" s="182">
        <f ca="1">IF($D550&lt;&gt;"Serviço",0,IF(OR(AND(AUTOEVENTO="Manual",$M550=1),$M550&gt;(ROW(PLE.lastrow)-ROW(PLE.firstrow))),0,IF(OFFSET(PLE!$G$14,$M550,CF$13)="",10^12,OFFSET(PLE!$G$14,$M550,CF$13))))</f>
        <v>1000000000000</v>
      </c>
      <c r="CG550" s="182">
        <f ca="1">IF($D550&lt;&gt;"Serviço",0,IF(OR(AND(AUTOEVENTO="Manual",$M550=1),$M550&gt;(ROW(PLE.lastrow)-ROW(PLE.firstrow))),0,IF(OFFSET(PLE!$G$14,$M550,CG$13)="",10^12,OFFSET(PLE!$G$14,$M550,CG$13))))</f>
        <v>1000000000000</v>
      </c>
      <c r="CH550" s="182">
        <f ca="1">IF($D550&lt;&gt;"Serviço",0,IF(OR(AND(AUTOEVENTO="Manual",$M550=1),$M550&gt;(ROW(PLE.lastrow)-ROW(PLE.firstrow))),0,IF(OFFSET(PLE!$G$14,$M550,CH$13)="",10^12,OFFSET(PLE!$G$14,$M550,CH$13))))</f>
        <v>1000000000000</v>
      </c>
      <c r="CI550" s="182">
        <f ca="1">IF($D550&lt;&gt;"Serviço",0,IF(OR(AND(AUTOEVENTO="Manual",$M550=1),$M550&gt;(ROW(PLE.lastrow)-ROW(PLE.firstrow))),0,IF(OFFSET(PLE!$G$14,$M550,CI$13)="",10^12,OFFSET(PLE!$G$14,$M550,CI$13))))</f>
        <v>1000000000000</v>
      </c>
      <c r="CJ550" s="182">
        <f ca="1">IF($D550&lt;&gt;"Serviço",0,IF(OR(AND(AUTOEVENTO="Manual",$M550=1),$M550&gt;(ROW(PLE.lastrow)-ROW(PLE.firstrow))),0,IF(OFFSET(PLE!$G$14,$M550,CJ$13)="",10^12,OFFSET(PLE!$G$14,$M550,CJ$13))))</f>
        <v>1000000000000</v>
      </c>
      <c r="CK550" s="182">
        <f ca="1">IF($D550&lt;&gt;"Serviço",0,IF(OR(AND(AUTOEVENTO="Manual",$M550=1),$M550&gt;(ROW(PLE.lastrow)-ROW(PLE.firstrow))),0,IF(OFFSET(PLE!$G$14,$M550,CK$13)="",10^12,OFFSET(PLE!$G$14,$M550,CK$13))))</f>
        <v>1000000000000</v>
      </c>
      <c r="CL550" s="182">
        <f ca="1">IF($D550&lt;&gt;"Serviço",0,IF(OR(AND(AUTOEVENTO="Manual",$M550=1),$M550&gt;(ROW(PLE.lastrow)-ROW(PLE.firstrow))),0,IF(OFFSET(PLE!$G$14,$M550,CL$13)="",10^12,OFFSET(PLE!$G$14,$M550,CL$13))))</f>
        <v>1000000000000</v>
      </c>
      <c r="CM550" s="182">
        <f ca="1">IF($D550&lt;&gt;"Serviço",0,IF(OR(AND(AUTOEVENTO="Manual",$M550=1),$M550&gt;(ROW(PLE.lastrow)-ROW(PLE.firstrow))),0,IF(OFFSET(PLE!$G$14,$M550,CM$13)="",10^12,OFFSET(PLE!$G$14,$M550,CM$13))))</f>
        <v>1000000000000</v>
      </c>
    </row>
    <row r="551" spans="1:91" ht="25.5" x14ac:dyDescent="0.2">
      <c r="A551" s="7" t="str">
        <f t="shared" ca="1" si="17"/>
        <v>528</v>
      </c>
      <c r="B551" s="7" t="str">
        <f ca="1">OFFSET(ORÇAMENTO!C$15,ROW(B551)-ROW(B$15),0)</f>
        <v>S</v>
      </c>
      <c r="C551" s="7" t="str">
        <f ca="1">OFFSET(ORÇAMENTO!L$15,ROW(C551)-ROW(C$15),0)</f>
        <v/>
      </c>
      <c r="D551" s="118" t="str">
        <f ca="1">OFFSET(ORÇAMENTO!N$15,ROW(D551)-ROW(D$15),0)</f>
        <v>Serviço</v>
      </c>
      <c r="E551" s="119" t="str">
        <f ca="1">OFFSET(ORÇAMENTO!O$15,ROW(E551)-ROW(E$15),0)</f>
        <v>-</v>
      </c>
      <c r="F551" s="172" t="str">
        <f ca="1">OFFSET(ORÇAMENTO!R$15,ROW(F551)-ROW(F$15),0)</f>
        <v>(abra o arquivo 'Referência 06-2024.xlsm)</v>
      </c>
      <c r="G551" s="173" t="str">
        <f ca="1">IF($D551&lt;&gt;"Serviço","",OFFSET(ORÇAMENTO!S$15,ROW(G551)-ROW(G$15),0))</f>
        <v>-</v>
      </c>
      <c r="H551" s="124">
        <f ca="1">IF($D551&lt;&gt;"Serviço",0,IF(ACOMPANHAMENTO="BM",ROUND(OFFSET(ORÇAMENTO!AJ$15,ROW(H551)-ROW(H$15),0),15-13*ORÇAMENTO!$AF$7),SUMPRODUCT(($Q$12:$AI$12&lt;&gt;"")*ROUND($Q551:$AI551,15-13*ORÇAMENTO!$AF$7))))</f>
        <v>6</v>
      </c>
      <c r="I551" s="561" t="s">
        <v>1107</v>
      </c>
      <c r="K551" s="174"/>
      <c r="L551" s="175" t="s">
        <v>255</v>
      </c>
      <c r="M551" s="176">
        <f ca="1">IF($D551&lt;&gt;"Serviço","",IF(AUTOEVENTO="manual",$A551,IF(ISERROR(MATCH($A551,$A$15:OFFSET($A551,-1,0),0)),MAX($M$15:OFFSET(M551,-1,0))+1,INDEX($M$15:OFFSET(M551,-1,0),MATCH($A551,$A$15:OFFSET($A551,-1,0),0)))))</f>
        <v>57</v>
      </c>
      <c r="N551" s="177" t="str">
        <f ca="1">IF($D551&lt;&gt;"Serviço","",IF(AUTOEVENTO="Manual",IF($A551=0,"&lt;-- defina o número do agrupador",OFFSET(EVENTOS!$D$14,$A551,0)),OFFSET($F$15,$A551,0)))</f>
        <v>INSTALAÇÃO ELÉTRICA 110V - DISPOSITIVOS DE PROTEÇÃO</v>
      </c>
      <c r="O551" s="178"/>
      <c r="Q551" s="178">
        <v>6</v>
      </c>
      <c r="R551" s="179"/>
      <c r="S551" s="179"/>
      <c r="T551" s="179"/>
      <c r="U551" s="179"/>
      <c r="V551" s="179"/>
      <c r="W551" s="179"/>
      <c r="X551" s="179"/>
      <c r="Y551" s="179"/>
      <c r="Z551" s="180"/>
      <c r="AA551" s="179"/>
      <c r="AB551" s="179"/>
      <c r="AC551" s="179"/>
      <c r="AD551" s="179"/>
      <c r="AE551" s="179"/>
      <c r="AF551" s="179"/>
      <c r="AG551" s="179"/>
      <c r="AH551" s="180"/>
      <c r="AJ551" s="544">
        <f ca="1">IF(AND($D551="Serviço",AJ$12&lt;&gt;0,$H551&gt;0,OR(AUTOEVENTO&lt;&gt;"manual",$M551&lt;&gt;1)),
IF(Import.TipoArredondamento&lt;&gt;"TransfereGOV",
ROUND(OFFSET($P551,0,AJ$13),15-13*ORÇAMENTO!$AF$7)/$H551*OFFSET(ORÇAMENTO!$X$15,ROW(AJ551)-ROW(AJ$15),0),
ROUND(ROUND(OFFSET($P551,0,AJ$13),15-13*ORÇAMENTO!$AF$7)*OFFSET(ORÇAMENTO!$W$15,ROW(AJ551)-ROW(AJ$15),0),15-13*ORÇAMENTO!$AF$11)),0)</f>
        <v>0</v>
      </c>
      <c r="AK551" s="545">
        <f ca="1">IF(AND($D551="Serviço",AK$12&lt;&gt;0,$H551&gt;0,OR(AUTOEVENTO&lt;&gt;"manual",$M551&lt;&gt;1)),
IF(Import.TipoArredondamento&lt;&gt;"TransfereGOV",
ROUND(OFFSET($P551,0,AK$13),15-13*ORÇAMENTO!$AF$7)/$H551*OFFSET(ORÇAMENTO!$X$15,ROW(AK551)-ROW(AK$15),0),
ROUND(ROUND(OFFSET($P551,0,AK$13),15-13*ORÇAMENTO!$AF$7)*OFFSET(ORÇAMENTO!$W$15,ROW(AK551)-ROW(AK$15),0),15-13*ORÇAMENTO!$AF$11)),0)</f>
        <v>0</v>
      </c>
      <c r="AL551" s="545">
        <f ca="1">IF(AND($D551="Serviço",AL$12&lt;&gt;0,$H551&gt;0,OR(AUTOEVENTO&lt;&gt;"manual",$M551&lt;&gt;1)),
IF(Import.TipoArredondamento&lt;&gt;"TransfereGOV",
ROUND(OFFSET($P551,0,AL$13),15-13*ORÇAMENTO!$AF$7)/$H551*OFFSET(ORÇAMENTO!$X$15,ROW(AL551)-ROW(AL$15),0),
ROUND(ROUND(OFFSET($P551,0,AL$13),15-13*ORÇAMENTO!$AF$7)*OFFSET(ORÇAMENTO!$W$15,ROW(AL551)-ROW(AL$15),0),15-13*ORÇAMENTO!$AF$11)),0)</f>
        <v>0</v>
      </c>
      <c r="AM551" s="545">
        <f ca="1">IF(AND($D551="Serviço",AM$12&lt;&gt;0,$H551&gt;0,OR(AUTOEVENTO&lt;&gt;"manual",$M551&lt;&gt;1)),
IF(Import.TipoArredondamento&lt;&gt;"TransfereGOV",
ROUND(OFFSET($P551,0,AM$13),15-13*ORÇAMENTO!$AF$7)/$H551*OFFSET(ORÇAMENTO!$X$15,ROW(AM551)-ROW(AM$15),0),
ROUND(ROUND(OFFSET($P551,0,AM$13),15-13*ORÇAMENTO!$AF$7)*OFFSET(ORÇAMENTO!$W$15,ROW(AM551)-ROW(AM$15),0),15-13*ORÇAMENTO!$AF$11)),0)</f>
        <v>0</v>
      </c>
      <c r="AN551" s="545">
        <f ca="1">IF(AND($D551="Serviço",AN$12&lt;&gt;0,$H551&gt;0,OR(AUTOEVENTO&lt;&gt;"manual",$M551&lt;&gt;1)),
IF(Import.TipoArredondamento&lt;&gt;"TransfereGOV",
ROUND(OFFSET($P551,0,AN$13),15-13*ORÇAMENTO!$AF$7)/$H551*OFFSET(ORÇAMENTO!$X$15,ROW(AN551)-ROW(AN$15),0),
ROUND(ROUND(OFFSET($P551,0,AN$13),15-13*ORÇAMENTO!$AF$7)*OFFSET(ORÇAMENTO!$W$15,ROW(AN551)-ROW(AN$15),0),15-13*ORÇAMENTO!$AF$11)),0)</f>
        <v>0</v>
      </c>
      <c r="AO551" s="545">
        <f ca="1">IF(AND($D551="Serviço",AO$12&lt;&gt;0,$H551&gt;0,OR(AUTOEVENTO&lt;&gt;"manual",$M551&lt;&gt;1)),
IF(Import.TipoArredondamento&lt;&gt;"TransfereGOV",
ROUND(OFFSET($P551,0,AO$13),15-13*ORÇAMENTO!$AF$7)/$H551*OFFSET(ORÇAMENTO!$X$15,ROW(AO551)-ROW(AO$15),0),
ROUND(ROUND(OFFSET($P551,0,AO$13),15-13*ORÇAMENTO!$AF$7)*OFFSET(ORÇAMENTO!$W$15,ROW(AO551)-ROW(AO$15),0),15-13*ORÇAMENTO!$AF$11)),0)</f>
        <v>0</v>
      </c>
      <c r="AP551" s="545">
        <f ca="1">IF(AND($D551="Serviço",AP$12&lt;&gt;0,$H551&gt;0,OR(AUTOEVENTO&lt;&gt;"manual",$M551&lt;&gt;1)),
IF(Import.TipoArredondamento&lt;&gt;"TransfereGOV",
ROUND(OFFSET($P551,0,AP$13),15-13*ORÇAMENTO!$AF$7)/$H551*OFFSET(ORÇAMENTO!$X$15,ROW(AP551)-ROW(AP$15),0),
ROUND(ROUND(OFFSET($P551,0,AP$13),15-13*ORÇAMENTO!$AF$7)*OFFSET(ORÇAMENTO!$W$15,ROW(AP551)-ROW(AP$15),0),15-13*ORÇAMENTO!$AF$11)),0)</f>
        <v>0</v>
      </c>
      <c r="AQ551" s="545">
        <f ca="1">IF(AND($D551="Serviço",AQ$12&lt;&gt;0,$H551&gt;0,OR(AUTOEVENTO&lt;&gt;"manual",$M551&lt;&gt;1)),
IF(Import.TipoArredondamento&lt;&gt;"TransfereGOV",
ROUND(OFFSET($P551,0,AQ$13),15-13*ORÇAMENTO!$AF$7)/$H551*OFFSET(ORÇAMENTO!$X$15,ROW(AQ551)-ROW(AQ$15),0),
ROUND(ROUND(OFFSET($P551,0,AQ$13),15-13*ORÇAMENTO!$AF$7)*OFFSET(ORÇAMENTO!$W$15,ROW(AQ551)-ROW(AQ$15),0),15-13*ORÇAMENTO!$AF$11)),0)</f>
        <v>0</v>
      </c>
      <c r="AR551" s="545">
        <f ca="1">IF(AND($D551="Serviço",AR$12&lt;&gt;0,$H551&gt;0,OR(AUTOEVENTO&lt;&gt;"manual",$M551&lt;&gt;1)),
IF(Import.TipoArredondamento&lt;&gt;"TransfereGOV",
ROUND(OFFSET($P551,0,AR$13),15-13*ORÇAMENTO!$AF$7)/$H551*OFFSET(ORÇAMENTO!$X$15,ROW(AR551)-ROW(AR$15),0),
ROUND(ROUND(OFFSET($P551,0,AR$13),15-13*ORÇAMENTO!$AF$7)*OFFSET(ORÇAMENTO!$W$15,ROW(AR551)-ROW(AR$15),0),15-13*ORÇAMENTO!$AF$11)),0)</f>
        <v>0</v>
      </c>
      <c r="AS551" s="546">
        <f ca="1">IF(AND($D551="Serviço",AS$12&lt;&gt;0,$H551&gt;0,OR(AUTOEVENTO&lt;&gt;"manual",$M551&lt;&gt;1)),
IF(Import.TipoArredondamento&lt;&gt;"TransfereGOV",
ROUND(OFFSET($P551,0,AS$13),15-13*ORÇAMENTO!$AF$7)/$H551*OFFSET(ORÇAMENTO!$X$15,ROW(AS551)-ROW(AS$15),0),
ROUND(ROUND(OFFSET($P551,0,AS$13),15-13*ORÇAMENTO!$AF$7)*OFFSET(ORÇAMENTO!$W$15,ROW(AS551)-ROW(AS$15),0),15-13*ORÇAMENTO!$AF$11)),0)</f>
        <v>0</v>
      </c>
      <c r="AT551" s="545">
        <f ca="1">IF(AND($D551="Serviço",AT$12&lt;&gt;0,$H551&gt;0,OR(AUTOEVENTO&lt;&gt;"manual",$M551&lt;&gt;1)),
IF(Import.TipoArredondamento&lt;&gt;"TransfereGOV",
ROUND(OFFSET($P551,0,AT$13),15-13*ORÇAMENTO!$AF$7)/$H551*OFFSET(ORÇAMENTO!$X$15,ROW(AT551)-ROW(AT$15),0),
ROUND(ROUND(OFFSET($P551,0,AT$13),15-13*ORÇAMENTO!$AF$7)*OFFSET(ORÇAMENTO!$W$15,ROW(AT551)-ROW(AT$15),0),15-13*ORÇAMENTO!$AF$11)),0)</f>
        <v>0</v>
      </c>
      <c r="AU551" s="545">
        <f ca="1">IF(AND($D551="Serviço",AU$12&lt;&gt;0,$H551&gt;0,OR(AUTOEVENTO&lt;&gt;"manual",$M551&lt;&gt;1)),
IF(Import.TipoArredondamento&lt;&gt;"TransfereGOV",
ROUND(OFFSET($P551,0,AU$13),15-13*ORÇAMENTO!$AF$7)/$H551*OFFSET(ORÇAMENTO!$X$15,ROW(AU551)-ROW(AU$15),0),
ROUND(ROUND(OFFSET($P551,0,AU$13),15-13*ORÇAMENTO!$AF$7)*OFFSET(ORÇAMENTO!$W$15,ROW(AU551)-ROW(AU$15),0),15-13*ORÇAMENTO!$AF$11)),0)</f>
        <v>0</v>
      </c>
      <c r="AV551" s="545">
        <f ca="1">IF(AND($D551="Serviço",AV$12&lt;&gt;0,$H551&gt;0,OR(AUTOEVENTO&lt;&gt;"manual",$M551&lt;&gt;1)),
IF(Import.TipoArredondamento&lt;&gt;"TransfereGOV",
ROUND(OFFSET($P551,0,AV$13),15-13*ORÇAMENTO!$AF$7)/$H551*OFFSET(ORÇAMENTO!$X$15,ROW(AV551)-ROW(AV$15),0),
ROUND(ROUND(OFFSET($P551,0,AV$13),15-13*ORÇAMENTO!$AF$7)*OFFSET(ORÇAMENTO!$W$15,ROW(AV551)-ROW(AV$15),0),15-13*ORÇAMENTO!$AF$11)),0)</f>
        <v>0</v>
      </c>
      <c r="AW551" s="545">
        <f ca="1">IF(AND($D551="Serviço",AW$12&lt;&gt;0,$H551&gt;0,OR(AUTOEVENTO&lt;&gt;"manual",$M551&lt;&gt;1)),
IF(Import.TipoArredondamento&lt;&gt;"TransfereGOV",
ROUND(OFFSET($P551,0,AW$13),15-13*ORÇAMENTO!$AF$7)/$H551*OFFSET(ORÇAMENTO!$X$15,ROW(AW551)-ROW(AW$15),0),
ROUND(ROUND(OFFSET($P551,0,AW$13),15-13*ORÇAMENTO!$AF$7)*OFFSET(ORÇAMENTO!$W$15,ROW(AW551)-ROW(AW$15),0),15-13*ORÇAMENTO!$AF$11)),0)</f>
        <v>0</v>
      </c>
      <c r="AX551" s="545">
        <f ca="1">IF(AND($D551="Serviço",AX$12&lt;&gt;0,$H551&gt;0,OR(AUTOEVENTO&lt;&gt;"manual",$M551&lt;&gt;1)),
IF(Import.TipoArredondamento&lt;&gt;"TransfereGOV",
ROUND(OFFSET($P551,0,AX$13),15-13*ORÇAMENTO!$AF$7)/$H551*OFFSET(ORÇAMENTO!$X$15,ROW(AX551)-ROW(AX$15),0),
ROUND(ROUND(OFFSET($P551,0,AX$13),15-13*ORÇAMENTO!$AF$7)*OFFSET(ORÇAMENTO!$W$15,ROW(AX551)-ROW(AX$15),0),15-13*ORÇAMENTO!$AF$11)),0)</f>
        <v>0</v>
      </c>
      <c r="AY551" s="545">
        <f ca="1">IF(AND($D551="Serviço",AY$12&lt;&gt;0,$H551&gt;0,OR(AUTOEVENTO&lt;&gt;"manual",$M551&lt;&gt;1)),
IF(Import.TipoArredondamento&lt;&gt;"TransfereGOV",
ROUND(OFFSET($P551,0,AY$13),15-13*ORÇAMENTO!$AF$7)/$H551*OFFSET(ORÇAMENTO!$X$15,ROW(AY551)-ROW(AY$15),0),
ROUND(ROUND(OFFSET($P551,0,AY$13),15-13*ORÇAMENTO!$AF$7)*OFFSET(ORÇAMENTO!$W$15,ROW(AY551)-ROW(AY$15),0),15-13*ORÇAMENTO!$AF$11)),0)</f>
        <v>0</v>
      </c>
      <c r="AZ551" s="545">
        <f ca="1">IF(AND($D551="Serviço",AZ$12&lt;&gt;0,$H551&gt;0,OR(AUTOEVENTO&lt;&gt;"manual",$M551&lt;&gt;1)),
IF(Import.TipoArredondamento&lt;&gt;"TransfereGOV",
ROUND(OFFSET($P551,0,AZ$13),15-13*ORÇAMENTO!$AF$7)/$H551*OFFSET(ORÇAMENTO!$X$15,ROW(AZ551)-ROW(AZ$15),0),
ROUND(ROUND(OFFSET($P551,0,AZ$13),15-13*ORÇAMENTO!$AF$7)*OFFSET(ORÇAMENTO!$W$15,ROW(AZ551)-ROW(AZ$15),0),15-13*ORÇAMENTO!$AF$11)),0)</f>
        <v>0</v>
      </c>
      <c r="BA551" s="546">
        <f ca="1">IF(AND($D551="Serviço",BA$12&lt;&gt;0,$H551&gt;0,OR(AUTOEVENTO&lt;&gt;"manual",$M551&lt;&gt;1)),
IF(Import.TipoArredondamento&lt;&gt;"TransfereGOV",
ROUND(OFFSET($P551,0,BA$13),15-13*ORÇAMENTO!$AF$7)/$H551*OFFSET(ORÇAMENTO!$X$15,ROW(BA551)-ROW(BA$15),0),
ROUND(ROUND(OFFSET($P551,0,BA$13),15-13*ORÇAMENTO!$AF$7)*OFFSET(ORÇAMENTO!$W$15,ROW(BA551)-ROW(BA$15),0),15-13*ORÇAMENTO!$AF$11)),0)</f>
        <v>0</v>
      </c>
      <c r="BC551" s="181">
        <f ca="1">IF($D551&lt;&gt;"Serviço",0,IF(AND(AUTOEVENTO="Manual",$M551=1),0,IF(OFFSET(CRONOPLE!$F$14,$M551,BC$13)="",10^12,OFFSET(CRONOPLE!$F$14,$M551,BC$13))))</f>
        <v>10</v>
      </c>
      <c r="BD551" s="181">
        <f ca="1">IF($D551&lt;&gt;"Serviço",0,IF(AND(AUTOEVENTO="Manual",$M551=1),0,IF(OFFSET(CRONOPLE!$F$14,$M551,BD$13)="",10^12,OFFSET(CRONOPLE!$F$14,$M551,BD$13))))</f>
        <v>1000000000000</v>
      </c>
      <c r="BE551" s="181">
        <f ca="1">IF($D551&lt;&gt;"Serviço",0,IF(AND(AUTOEVENTO="Manual",$M551=1),0,IF(OFFSET(CRONOPLE!$F$14,$M551,BE$13)="",10^12,OFFSET(CRONOPLE!$F$14,$M551,BE$13))))</f>
        <v>1000000000000</v>
      </c>
      <c r="BF551" s="181">
        <f ca="1">IF($D551&lt;&gt;"Serviço",0,IF(AND(AUTOEVENTO="Manual",$M551=1),0,IF(OFFSET(CRONOPLE!$F$14,$M551,BF$13)="",10^12,OFFSET(CRONOPLE!$F$14,$M551,BF$13))))</f>
        <v>1000000000000</v>
      </c>
      <c r="BG551" s="181">
        <f ca="1">IF($D551&lt;&gt;"Serviço",0,IF(AND(AUTOEVENTO="Manual",$M551=1),0,IF(OFFSET(CRONOPLE!$F$14,$M551,BG$13)="",10^12,OFFSET(CRONOPLE!$F$14,$M551,BG$13))))</f>
        <v>1000000000000</v>
      </c>
      <c r="BH551" s="181">
        <f ca="1">IF($D551&lt;&gt;"Serviço",0,IF(AND(AUTOEVENTO="Manual",$M551=1),0,IF(OFFSET(CRONOPLE!$F$14,$M551,BH$13)="",10^12,OFFSET(CRONOPLE!$F$14,$M551,BH$13))))</f>
        <v>1000000000000</v>
      </c>
      <c r="BI551" s="181">
        <f ca="1">IF($D551&lt;&gt;"Serviço",0,IF(AND(AUTOEVENTO="Manual",$M551=1),0,IF(OFFSET(CRONOPLE!$F$14,$M551,BI$13)="",10^12,OFFSET(CRONOPLE!$F$14,$M551,BI$13))))</f>
        <v>1000000000000</v>
      </c>
      <c r="BJ551" s="181">
        <f ca="1">IF($D551&lt;&gt;"Serviço",0,IF(AND(AUTOEVENTO="Manual",$M551=1),0,IF(OFFSET(CRONOPLE!$F$14,$M551,BJ$13)="",10^12,OFFSET(CRONOPLE!$F$14,$M551,BJ$13))))</f>
        <v>1000000000000</v>
      </c>
      <c r="BK551" s="181">
        <f ca="1">IF($D551&lt;&gt;"Serviço",0,IF(AND(AUTOEVENTO="Manual",$M551=1),0,IF(OFFSET(CRONOPLE!$F$14,$M551,BK$13)="",10^12,OFFSET(CRONOPLE!$F$14,$M551,BK$13))))</f>
        <v>1000000000000</v>
      </c>
      <c r="BL551" s="181">
        <f ca="1">IF($D551&lt;&gt;"Serviço",0,IF(AND(AUTOEVENTO="Manual",$M551=1),0,IF(OFFSET(CRONOPLE!$F$14,$M551,BL$13)="",10^12,OFFSET(CRONOPLE!$F$14,$M551,BL$13))))</f>
        <v>1000000000000</v>
      </c>
      <c r="BM551" s="181">
        <f ca="1">IF($D551&lt;&gt;"Serviço",0,IF(AND(AUTOEVENTO="Manual",$M551=1),0,IF(OFFSET(CRONOPLE!$F$14,$M551,BM$13)="",10^12,OFFSET(CRONOPLE!$F$14,$M551,BM$13))))</f>
        <v>1000000000000</v>
      </c>
      <c r="BN551" s="181">
        <f ca="1">IF($D551&lt;&gt;"Serviço",0,IF(AND(AUTOEVENTO="Manual",$M551=1),0,IF(OFFSET(CRONOPLE!$F$14,$M551,BN$13)="",10^12,OFFSET(CRONOPLE!$F$14,$M551,BN$13))))</f>
        <v>1000000000000</v>
      </c>
      <c r="BO551" s="181">
        <f ca="1">IF($D551&lt;&gt;"Serviço",0,IF(AND(AUTOEVENTO="Manual",$M551=1),0,IF(OFFSET(CRONOPLE!$F$14,$M551,BO$13)="",10^12,OFFSET(CRONOPLE!$F$14,$M551,BO$13))))</f>
        <v>1000000000000</v>
      </c>
      <c r="BP551" s="181">
        <f ca="1">IF($D551&lt;&gt;"Serviço",0,IF(AND(AUTOEVENTO="Manual",$M551=1),0,IF(OFFSET(CRONOPLE!$F$14,$M551,BP$13)="",10^12,OFFSET(CRONOPLE!$F$14,$M551,BP$13))))</f>
        <v>1000000000000</v>
      </c>
      <c r="BQ551" s="181">
        <f ca="1">IF($D551&lt;&gt;"Serviço",0,IF(AND(AUTOEVENTO="Manual",$M551=1),0,IF(OFFSET(CRONOPLE!$F$14,$M551,BQ$13)="",10^12,OFFSET(CRONOPLE!$F$14,$M551,BQ$13))))</f>
        <v>1000000000000</v>
      </c>
      <c r="BR551" s="181">
        <f ca="1">IF($D551&lt;&gt;"Serviço",0,IF(AND(AUTOEVENTO="Manual",$M551=1),0,IF(OFFSET(CRONOPLE!$F$14,$M551,BR$13)="",10^12,OFFSET(CRONOPLE!$F$14,$M551,BR$13))))</f>
        <v>1000000000000</v>
      </c>
      <c r="BS551" s="181">
        <f ca="1">IF($D551&lt;&gt;"Serviço",0,IF(AND(AUTOEVENTO="Manual",$M551=1),0,IF(OFFSET(CRONOPLE!$F$14,$M551,BS$13)="",10^12,OFFSET(CRONOPLE!$F$14,$M551,BS$13))))</f>
        <v>1000000000000</v>
      </c>
      <c r="BT551" s="181">
        <f ca="1">IF($D551&lt;&gt;"Serviço",0,IF(AND(AUTOEVENTO="Manual",$M551=1),0,IF(OFFSET(CRONOPLE!$F$14,$M551,BT$13)="",10^12,OFFSET(CRONOPLE!$F$14,$M551,BT$13))))</f>
        <v>1000000000000</v>
      </c>
      <c r="BV551" s="182">
        <f ca="1">IF($D551&lt;&gt;"Serviço",0,IF(OR(AND(AUTOEVENTO="Manual",$M551=1),$M551&gt;(ROW(PLE.lastrow)-ROW(PLE.firstrow))),0,IF(OFFSET(PLE!$G$14,$M551,BV$13)="",10^12,OFFSET(PLE!$G$14,$M551,BV$13))))</f>
        <v>1000000000000</v>
      </c>
      <c r="BW551" s="182">
        <f ca="1">IF($D551&lt;&gt;"Serviço",0,IF(OR(AND(AUTOEVENTO="Manual",$M551=1),$M551&gt;(ROW(PLE.lastrow)-ROW(PLE.firstrow))),0,IF(OFFSET(PLE!$G$14,$M551,BW$13)="",10^12,OFFSET(PLE!$G$14,$M551,BW$13))))</f>
        <v>1000000000000</v>
      </c>
      <c r="BX551" s="182">
        <f ca="1">IF($D551&lt;&gt;"Serviço",0,IF(OR(AND(AUTOEVENTO="Manual",$M551=1),$M551&gt;(ROW(PLE.lastrow)-ROW(PLE.firstrow))),0,IF(OFFSET(PLE!$G$14,$M551,BX$13)="",10^12,OFFSET(PLE!$G$14,$M551,BX$13))))</f>
        <v>1000000000000</v>
      </c>
      <c r="BY551" s="182">
        <f ca="1">IF($D551&lt;&gt;"Serviço",0,IF(OR(AND(AUTOEVENTO="Manual",$M551=1),$M551&gt;(ROW(PLE.lastrow)-ROW(PLE.firstrow))),0,IF(OFFSET(PLE!$G$14,$M551,BY$13)="",10^12,OFFSET(PLE!$G$14,$M551,BY$13))))</f>
        <v>1000000000000</v>
      </c>
      <c r="BZ551" s="182">
        <f ca="1">IF($D551&lt;&gt;"Serviço",0,IF(OR(AND(AUTOEVENTO="Manual",$M551=1),$M551&gt;(ROW(PLE.lastrow)-ROW(PLE.firstrow))),0,IF(OFFSET(PLE!$G$14,$M551,BZ$13)="",10^12,OFFSET(PLE!$G$14,$M551,BZ$13))))</f>
        <v>1000000000000</v>
      </c>
      <c r="CA551" s="182">
        <f ca="1">IF($D551&lt;&gt;"Serviço",0,IF(OR(AND(AUTOEVENTO="Manual",$M551=1),$M551&gt;(ROW(PLE.lastrow)-ROW(PLE.firstrow))),0,IF(OFFSET(PLE!$G$14,$M551,CA$13)="",10^12,OFFSET(PLE!$G$14,$M551,CA$13))))</f>
        <v>1000000000000</v>
      </c>
      <c r="CB551" s="182">
        <f ca="1">IF($D551&lt;&gt;"Serviço",0,IF(OR(AND(AUTOEVENTO="Manual",$M551=1),$M551&gt;(ROW(PLE.lastrow)-ROW(PLE.firstrow))),0,IF(OFFSET(PLE!$G$14,$M551,CB$13)="",10^12,OFFSET(PLE!$G$14,$M551,CB$13))))</f>
        <v>1000000000000</v>
      </c>
      <c r="CC551" s="182">
        <f ca="1">IF($D551&lt;&gt;"Serviço",0,IF(OR(AND(AUTOEVENTO="Manual",$M551=1),$M551&gt;(ROW(PLE.lastrow)-ROW(PLE.firstrow))),0,IF(OFFSET(PLE!$G$14,$M551,CC$13)="",10^12,OFFSET(PLE!$G$14,$M551,CC$13))))</f>
        <v>1000000000000</v>
      </c>
      <c r="CD551" s="182">
        <f ca="1">IF($D551&lt;&gt;"Serviço",0,IF(OR(AND(AUTOEVENTO="Manual",$M551=1),$M551&gt;(ROW(PLE.lastrow)-ROW(PLE.firstrow))),0,IF(OFFSET(PLE!$G$14,$M551,CD$13)="",10^12,OFFSET(PLE!$G$14,$M551,CD$13))))</f>
        <v>1000000000000</v>
      </c>
      <c r="CE551" s="182">
        <f ca="1">IF($D551&lt;&gt;"Serviço",0,IF(OR(AND(AUTOEVENTO="Manual",$M551=1),$M551&gt;(ROW(PLE.lastrow)-ROW(PLE.firstrow))),0,IF(OFFSET(PLE!$G$14,$M551,CE$13)="",10^12,OFFSET(PLE!$G$14,$M551,CE$13))))</f>
        <v>1000000000000</v>
      </c>
      <c r="CF551" s="182">
        <f ca="1">IF($D551&lt;&gt;"Serviço",0,IF(OR(AND(AUTOEVENTO="Manual",$M551=1),$M551&gt;(ROW(PLE.lastrow)-ROW(PLE.firstrow))),0,IF(OFFSET(PLE!$G$14,$M551,CF$13)="",10^12,OFFSET(PLE!$G$14,$M551,CF$13))))</f>
        <v>1000000000000</v>
      </c>
      <c r="CG551" s="182">
        <f ca="1">IF($D551&lt;&gt;"Serviço",0,IF(OR(AND(AUTOEVENTO="Manual",$M551=1),$M551&gt;(ROW(PLE.lastrow)-ROW(PLE.firstrow))),0,IF(OFFSET(PLE!$G$14,$M551,CG$13)="",10^12,OFFSET(PLE!$G$14,$M551,CG$13))))</f>
        <v>1000000000000</v>
      </c>
      <c r="CH551" s="182">
        <f ca="1">IF($D551&lt;&gt;"Serviço",0,IF(OR(AND(AUTOEVENTO="Manual",$M551=1),$M551&gt;(ROW(PLE.lastrow)-ROW(PLE.firstrow))),0,IF(OFFSET(PLE!$G$14,$M551,CH$13)="",10^12,OFFSET(PLE!$G$14,$M551,CH$13))))</f>
        <v>1000000000000</v>
      </c>
      <c r="CI551" s="182">
        <f ca="1">IF($D551&lt;&gt;"Serviço",0,IF(OR(AND(AUTOEVENTO="Manual",$M551=1),$M551&gt;(ROW(PLE.lastrow)-ROW(PLE.firstrow))),0,IF(OFFSET(PLE!$G$14,$M551,CI$13)="",10^12,OFFSET(PLE!$G$14,$M551,CI$13))))</f>
        <v>1000000000000</v>
      </c>
      <c r="CJ551" s="182">
        <f ca="1">IF($D551&lt;&gt;"Serviço",0,IF(OR(AND(AUTOEVENTO="Manual",$M551=1),$M551&gt;(ROW(PLE.lastrow)-ROW(PLE.firstrow))),0,IF(OFFSET(PLE!$G$14,$M551,CJ$13)="",10^12,OFFSET(PLE!$G$14,$M551,CJ$13))))</f>
        <v>1000000000000</v>
      </c>
      <c r="CK551" s="182">
        <f ca="1">IF($D551&lt;&gt;"Serviço",0,IF(OR(AND(AUTOEVENTO="Manual",$M551=1),$M551&gt;(ROW(PLE.lastrow)-ROW(PLE.firstrow))),0,IF(OFFSET(PLE!$G$14,$M551,CK$13)="",10^12,OFFSET(PLE!$G$14,$M551,CK$13))))</f>
        <v>1000000000000</v>
      </c>
      <c r="CL551" s="182">
        <f ca="1">IF($D551&lt;&gt;"Serviço",0,IF(OR(AND(AUTOEVENTO="Manual",$M551=1),$M551&gt;(ROW(PLE.lastrow)-ROW(PLE.firstrow))),0,IF(OFFSET(PLE!$G$14,$M551,CL$13)="",10^12,OFFSET(PLE!$G$14,$M551,CL$13))))</f>
        <v>1000000000000</v>
      </c>
      <c r="CM551" s="182">
        <f ca="1">IF($D551&lt;&gt;"Serviço",0,IF(OR(AND(AUTOEVENTO="Manual",$M551=1),$M551&gt;(ROW(PLE.lastrow)-ROW(PLE.firstrow))),0,IF(OFFSET(PLE!$G$14,$M551,CM$13)="",10^12,OFFSET(PLE!$G$14,$M551,CM$13))))</f>
        <v>1000000000000</v>
      </c>
    </row>
    <row r="552" spans="1:91" ht="25.5" x14ac:dyDescent="0.2">
      <c r="A552" s="7" t="str">
        <f t="shared" ca="1" si="17"/>
        <v>528</v>
      </c>
      <c r="B552" s="7" t="str">
        <f ca="1">OFFSET(ORÇAMENTO!C$15,ROW(B552)-ROW(B$15),0)</f>
        <v>S</v>
      </c>
      <c r="C552" s="7" t="str">
        <f ca="1">OFFSET(ORÇAMENTO!L$15,ROW(C552)-ROW(C$15),0)</f>
        <v/>
      </c>
      <c r="D552" s="118" t="str">
        <f ca="1">OFFSET(ORÇAMENTO!N$15,ROW(D552)-ROW(D$15),0)</f>
        <v>Serviço</v>
      </c>
      <c r="E552" s="119" t="str">
        <f ca="1">OFFSET(ORÇAMENTO!O$15,ROW(E552)-ROW(E$15),0)</f>
        <v>-</v>
      </c>
      <c r="F552" s="172" t="str">
        <f ca="1">OFFSET(ORÇAMENTO!R$15,ROW(F552)-ROW(F$15),0)</f>
        <v>(abra o arquivo 'Referência 06-2024.xlsm)</v>
      </c>
      <c r="G552" s="173" t="str">
        <f ca="1">IF($D552&lt;&gt;"Serviço","",OFFSET(ORÇAMENTO!S$15,ROW(G552)-ROW(G$15),0))</f>
        <v>-</v>
      </c>
      <c r="H552" s="124">
        <f ca="1">IF($D552&lt;&gt;"Serviço",0,IF(ACOMPANHAMENTO="BM",ROUND(OFFSET(ORÇAMENTO!AJ$15,ROW(H552)-ROW(H$15),0),15-13*ORÇAMENTO!$AF$7),SUMPRODUCT(($Q$12:$AI$12&lt;&gt;"")*ROUND($Q552:$AI552,15-13*ORÇAMENTO!$AF$7))))</f>
        <v>4</v>
      </c>
      <c r="I552" s="561" t="s">
        <v>1107</v>
      </c>
      <c r="K552" s="174"/>
      <c r="L552" s="175" t="s">
        <v>255</v>
      </c>
      <c r="M552" s="176">
        <f ca="1">IF($D552&lt;&gt;"Serviço","",IF(AUTOEVENTO="manual",$A552,IF(ISERROR(MATCH($A552,$A$15:OFFSET($A552,-1,0),0)),MAX($M$15:OFFSET(M552,-1,0))+1,INDEX($M$15:OFFSET(M552,-1,0),MATCH($A552,$A$15:OFFSET($A552,-1,0),0)))))</f>
        <v>57</v>
      </c>
      <c r="N552" s="177" t="str">
        <f ca="1">IF($D552&lt;&gt;"Serviço","",IF(AUTOEVENTO="Manual",IF($A552=0,"&lt;-- defina o número do agrupador",OFFSET(EVENTOS!$D$14,$A552,0)),OFFSET($F$15,$A552,0)))</f>
        <v>INSTALAÇÃO ELÉTRICA 110V - DISPOSITIVOS DE PROTEÇÃO</v>
      </c>
      <c r="O552" s="178"/>
      <c r="Q552" s="178">
        <v>4</v>
      </c>
      <c r="R552" s="179"/>
      <c r="S552" s="179"/>
      <c r="T552" s="179"/>
      <c r="U552" s="179"/>
      <c r="V552" s="179"/>
      <c r="W552" s="179"/>
      <c r="X552" s="179"/>
      <c r="Y552" s="179"/>
      <c r="Z552" s="180"/>
      <c r="AA552" s="179"/>
      <c r="AB552" s="179"/>
      <c r="AC552" s="179"/>
      <c r="AD552" s="179"/>
      <c r="AE552" s="179"/>
      <c r="AF552" s="179"/>
      <c r="AG552" s="179"/>
      <c r="AH552" s="180"/>
      <c r="AJ552" s="544">
        <f ca="1">IF(AND($D552="Serviço",AJ$12&lt;&gt;0,$H552&gt;0,OR(AUTOEVENTO&lt;&gt;"manual",$M552&lt;&gt;1)),
IF(Import.TipoArredondamento&lt;&gt;"TransfereGOV",
ROUND(OFFSET($P552,0,AJ$13),15-13*ORÇAMENTO!$AF$7)/$H552*OFFSET(ORÇAMENTO!$X$15,ROW(AJ552)-ROW(AJ$15),0),
ROUND(ROUND(OFFSET($P552,0,AJ$13),15-13*ORÇAMENTO!$AF$7)*OFFSET(ORÇAMENTO!$W$15,ROW(AJ552)-ROW(AJ$15),0),15-13*ORÇAMENTO!$AF$11)),0)</f>
        <v>0</v>
      </c>
      <c r="AK552" s="545">
        <f ca="1">IF(AND($D552="Serviço",AK$12&lt;&gt;0,$H552&gt;0,OR(AUTOEVENTO&lt;&gt;"manual",$M552&lt;&gt;1)),
IF(Import.TipoArredondamento&lt;&gt;"TransfereGOV",
ROUND(OFFSET($P552,0,AK$13),15-13*ORÇAMENTO!$AF$7)/$H552*OFFSET(ORÇAMENTO!$X$15,ROW(AK552)-ROW(AK$15),0),
ROUND(ROUND(OFFSET($P552,0,AK$13),15-13*ORÇAMENTO!$AF$7)*OFFSET(ORÇAMENTO!$W$15,ROW(AK552)-ROW(AK$15),0),15-13*ORÇAMENTO!$AF$11)),0)</f>
        <v>0</v>
      </c>
      <c r="AL552" s="545">
        <f ca="1">IF(AND($D552="Serviço",AL$12&lt;&gt;0,$H552&gt;0,OR(AUTOEVENTO&lt;&gt;"manual",$M552&lt;&gt;1)),
IF(Import.TipoArredondamento&lt;&gt;"TransfereGOV",
ROUND(OFFSET($P552,0,AL$13),15-13*ORÇAMENTO!$AF$7)/$H552*OFFSET(ORÇAMENTO!$X$15,ROW(AL552)-ROW(AL$15),0),
ROUND(ROUND(OFFSET($P552,0,AL$13),15-13*ORÇAMENTO!$AF$7)*OFFSET(ORÇAMENTO!$W$15,ROW(AL552)-ROW(AL$15),0),15-13*ORÇAMENTO!$AF$11)),0)</f>
        <v>0</v>
      </c>
      <c r="AM552" s="545">
        <f ca="1">IF(AND($D552="Serviço",AM$12&lt;&gt;0,$H552&gt;0,OR(AUTOEVENTO&lt;&gt;"manual",$M552&lt;&gt;1)),
IF(Import.TipoArredondamento&lt;&gt;"TransfereGOV",
ROUND(OFFSET($P552,0,AM$13),15-13*ORÇAMENTO!$AF$7)/$H552*OFFSET(ORÇAMENTO!$X$15,ROW(AM552)-ROW(AM$15),0),
ROUND(ROUND(OFFSET($P552,0,AM$13),15-13*ORÇAMENTO!$AF$7)*OFFSET(ORÇAMENTO!$W$15,ROW(AM552)-ROW(AM$15),0),15-13*ORÇAMENTO!$AF$11)),0)</f>
        <v>0</v>
      </c>
      <c r="AN552" s="545">
        <f ca="1">IF(AND($D552="Serviço",AN$12&lt;&gt;0,$H552&gt;0,OR(AUTOEVENTO&lt;&gt;"manual",$M552&lt;&gt;1)),
IF(Import.TipoArredondamento&lt;&gt;"TransfereGOV",
ROUND(OFFSET($P552,0,AN$13),15-13*ORÇAMENTO!$AF$7)/$H552*OFFSET(ORÇAMENTO!$X$15,ROW(AN552)-ROW(AN$15),0),
ROUND(ROUND(OFFSET($P552,0,AN$13),15-13*ORÇAMENTO!$AF$7)*OFFSET(ORÇAMENTO!$W$15,ROW(AN552)-ROW(AN$15),0),15-13*ORÇAMENTO!$AF$11)),0)</f>
        <v>0</v>
      </c>
      <c r="AO552" s="545">
        <f ca="1">IF(AND($D552="Serviço",AO$12&lt;&gt;0,$H552&gt;0,OR(AUTOEVENTO&lt;&gt;"manual",$M552&lt;&gt;1)),
IF(Import.TipoArredondamento&lt;&gt;"TransfereGOV",
ROUND(OFFSET($P552,0,AO$13),15-13*ORÇAMENTO!$AF$7)/$H552*OFFSET(ORÇAMENTO!$X$15,ROW(AO552)-ROW(AO$15),0),
ROUND(ROUND(OFFSET($P552,0,AO$13),15-13*ORÇAMENTO!$AF$7)*OFFSET(ORÇAMENTO!$W$15,ROW(AO552)-ROW(AO$15),0),15-13*ORÇAMENTO!$AF$11)),0)</f>
        <v>0</v>
      </c>
      <c r="AP552" s="545">
        <f ca="1">IF(AND($D552="Serviço",AP$12&lt;&gt;0,$H552&gt;0,OR(AUTOEVENTO&lt;&gt;"manual",$M552&lt;&gt;1)),
IF(Import.TipoArredondamento&lt;&gt;"TransfereGOV",
ROUND(OFFSET($P552,0,AP$13),15-13*ORÇAMENTO!$AF$7)/$H552*OFFSET(ORÇAMENTO!$X$15,ROW(AP552)-ROW(AP$15),0),
ROUND(ROUND(OFFSET($P552,0,AP$13),15-13*ORÇAMENTO!$AF$7)*OFFSET(ORÇAMENTO!$W$15,ROW(AP552)-ROW(AP$15),0),15-13*ORÇAMENTO!$AF$11)),0)</f>
        <v>0</v>
      </c>
      <c r="AQ552" s="545">
        <f ca="1">IF(AND($D552="Serviço",AQ$12&lt;&gt;0,$H552&gt;0,OR(AUTOEVENTO&lt;&gt;"manual",$M552&lt;&gt;1)),
IF(Import.TipoArredondamento&lt;&gt;"TransfereGOV",
ROUND(OFFSET($P552,0,AQ$13),15-13*ORÇAMENTO!$AF$7)/$H552*OFFSET(ORÇAMENTO!$X$15,ROW(AQ552)-ROW(AQ$15),0),
ROUND(ROUND(OFFSET($P552,0,AQ$13),15-13*ORÇAMENTO!$AF$7)*OFFSET(ORÇAMENTO!$W$15,ROW(AQ552)-ROW(AQ$15),0),15-13*ORÇAMENTO!$AF$11)),0)</f>
        <v>0</v>
      </c>
      <c r="AR552" s="545">
        <f ca="1">IF(AND($D552="Serviço",AR$12&lt;&gt;0,$H552&gt;0,OR(AUTOEVENTO&lt;&gt;"manual",$M552&lt;&gt;1)),
IF(Import.TipoArredondamento&lt;&gt;"TransfereGOV",
ROUND(OFFSET($P552,0,AR$13),15-13*ORÇAMENTO!$AF$7)/$H552*OFFSET(ORÇAMENTO!$X$15,ROW(AR552)-ROW(AR$15),0),
ROUND(ROUND(OFFSET($P552,0,AR$13),15-13*ORÇAMENTO!$AF$7)*OFFSET(ORÇAMENTO!$W$15,ROW(AR552)-ROW(AR$15),0),15-13*ORÇAMENTO!$AF$11)),0)</f>
        <v>0</v>
      </c>
      <c r="AS552" s="546">
        <f ca="1">IF(AND($D552="Serviço",AS$12&lt;&gt;0,$H552&gt;0,OR(AUTOEVENTO&lt;&gt;"manual",$M552&lt;&gt;1)),
IF(Import.TipoArredondamento&lt;&gt;"TransfereGOV",
ROUND(OFFSET($P552,0,AS$13),15-13*ORÇAMENTO!$AF$7)/$H552*OFFSET(ORÇAMENTO!$X$15,ROW(AS552)-ROW(AS$15),0),
ROUND(ROUND(OFFSET($P552,0,AS$13),15-13*ORÇAMENTO!$AF$7)*OFFSET(ORÇAMENTO!$W$15,ROW(AS552)-ROW(AS$15),0),15-13*ORÇAMENTO!$AF$11)),0)</f>
        <v>0</v>
      </c>
      <c r="AT552" s="545">
        <f ca="1">IF(AND($D552="Serviço",AT$12&lt;&gt;0,$H552&gt;0,OR(AUTOEVENTO&lt;&gt;"manual",$M552&lt;&gt;1)),
IF(Import.TipoArredondamento&lt;&gt;"TransfereGOV",
ROUND(OFFSET($P552,0,AT$13),15-13*ORÇAMENTO!$AF$7)/$H552*OFFSET(ORÇAMENTO!$X$15,ROW(AT552)-ROW(AT$15),0),
ROUND(ROUND(OFFSET($P552,0,AT$13),15-13*ORÇAMENTO!$AF$7)*OFFSET(ORÇAMENTO!$W$15,ROW(AT552)-ROW(AT$15),0),15-13*ORÇAMENTO!$AF$11)),0)</f>
        <v>0</v>
      </c>
      <c r="AU552" s="545">
        <f ca="1">IF(AND($D552="Serviço",AU$12&lt;&gt;0,$H552&gt;0,OR(AUTOEVENTO&lt;&gt;"manual",$M552&lt;&gt;1)),
IF(Import.TipoArredondamento&lt;&gt;"TransfereGOV",
ROUND(OFFSET($P552,0,AU$13),15-13*ORÇAMENTO!$AF$7)/$H552*OFFSET(ORÇAMENTO!$X$15,ROW(AU552)-ROW(AU$15),0),
ROUND(ROUND(OFFSET($P552,0,AU$13),15-13*ORÇAMENTO!$AF$7)*OFFSET(ORÇAMENTO!$W$15,ROW(AU552)-ROW(AU$15),0),15-13*ORÇAMENTO!$AF$11)),0)</f>
        <v>0</v>
      </c>
      <c r="AV552" s="545">
        <f ca="1">IF(AND($D552="Serviço",AV$12&lt;&gt;0,$H552&gt;0,OR(AUTOEVENTO&lt;&gt;"manual",$M552&lt;&gt;1)),
IF(Import.TipoArredondamento&lt;&gt;"TransfereGOV",
ROUND(OFFSET($P552,0,AV$13),15-13*ORÇAMENTO!$AF$7)/$H552*OFFSET(ORÇAMENTO!$X$15,ROW(AV552)-ROW(AV$15),0),
ROUND(ROUND(OFFSET($P552,0,AV$13),15-13*ORÇAMENTO!$AF$7)*OFFSET(ORÇAMENTO!$W$15,ROW(AV552)-ROW(AV$15),0),15-13*ORÇAMENTO!$AF$11)),0)</f>
        <v>0</v>
      </c>
      <c r="AW552" s="545">
        <f ca="1">IF(AND($D552="Serviço",AW$12&lt;&gt;0,$H552&gt;0,OR(AUTOEVENTO&lt;&gt;"manual",$M552&lt;&gt;1)),
IF(Import.TipoArredondamento&lt;&gt;"TransfereGOV",
ROUND(OFFSET($P552,0,AW$13),15-13*ORÇAMENTO!$AF$7)/$H552*OFFSET(ORÇAMENTO!$X$15,ROW(AW552)-ROW(AW$15),0),
ROUND(ROUND(OFFSET($P552,0,AW$13),15-13*ORÇAMENTO!$AF$7)*OFFSET(ORÇAMENTO!$W$15,ROW(AW552)-ROW(AW$15),0),15-13*ORÇAMENTO!$AF$11)),0)</f>
        <v>0</v>
      </c>
      <c r="AX552" s="545">
        <f ca="1">IF(AND($D552="Serviço",AX$12&lt;&gt;0,$H552&gt;0,OR(AUTOEVENTO&lt;&gt;"manual",$M552&lt;&gt;1)),
IF(Import.TipoArredondamento&lt;&gt;"TransfereGOV",
ROUND(OFFSET($P552,0,AX$13),15-13*ORÇAMENTO!$AF$7)/$H552*OFFSET(ORÇAMENTO!$X$15,ROW(AX552)-ROW(AX$15),0),
ROUND(ROUND(OFFSET($P552,0,AX$13),15-13*ORÇAMENTO!$AF$7)*OFFSET(ORÇAMENTO!$W$15,ROW(AX552)-ROW(AX$15),0),15-13*ORÇAMENTO!$AF$11)),0)</f>
        <v>0</v>
      </c>
      <c r="AY552" s="545">
        <f ca="1">IF(AND($D552="Serviço",AY$12&lt;&gt;0,$H552&gt;0,OR(AUTOEVENTO&lt;&gt;"manual",$M552&lt;&gt;1)),
IF(Import.TipoArredondamento&lt;&gt;"TransfereGOV",
ROUND(OFFSET($P552,0,AY$13),15-13*ORÇAMENTO!$AF$7)/$H552*OFFSET(ORÇAMENTO!$X$15,ROW(AY552)-ROW(AY$15),0),
ROUND(ROUND(OFFSET($P552,0,AY$13),15-13*ORÇAMENTO!$AF$7)*OFFSET(ORÇAMENTO!$W$15,ROW(AY552)-ROW(AY$15),0),15-13*ORÇAMENTO!$AF$11)),0)</f>
        <v>0</v>
      </c>
      <c r="AZ552" s="545">
        <f ca="1">IF(AND($D552="Serviço",AZ$12&lt;&gt;0,$H552&gt;0,OR(AUTOEVENTO&lt;&gt;"manual",$M552&lt;&gt;1)),
IF(Import.TipoArredondamento&lt;&gt;"TransfereGOV",
ROUND(OFFSET($P552,0,AZ$13),15-13*ORÇAMENTO!$AF$7)/$H552*OFFSET(ORÇAMENTO!$X$15,ROW(AZ552)-ROW(AZ$15),0),
ROUND(ROUND(OFFSET($P552,0,AZ$13),15-13*ORÇAMENTO!$AF$7)*OFFSET(ORÇAMENTO!$W$15,ROW(AZ552)-ROW(AZ$15),0),15-13*ORÇAMENTO!$AF$11)),0)</f>
        <v>0</v>
      </c>
      <c r="BA552" s="546">
        <f ca="1">IF(AND($D552="Serviço",BA$12&lt;&gt;0,$H552&gt;0,OR(AUTOEVENTO&lt;&gt;"manual",$M552&lt;&gt;1)),
IF(Import.TipoArredondamento&lt;&gt;"TransfereGOV",
ROUND(OFFSET($P552,0,BA$13),15-13*ORÇAMENTO!$AF$7)/$H552*OFFSET(ORÇAMENTO!$X$15,ROW(BA552)-ROW(BA$15),0),
ROUND(ROUND(OFFSET($P552,0,BA$13),15-13*ORÇAMENTO!$AF$7)*OFFSET(ORÇAMENTO!$W$15,ROW(BA552)-ROW(BA$15),0),15-13*ORÇAMENTO!$AF$11)),0)</f>
        <v>0</v>
      </c>
      <c r="BC552" s="181">
        <f ca="1">IF($D552&lt;&gt;"Serviço",0,IF(AND(AUTOEVENTO="Manual",$M552=1),0,IF(OFFSET(CRONOPLE!$F$14,$M552,BC$13)="",10^12,OFFSET(CRONOPLE!$F$14,$M552,BC$13))))</f>
        <v>10</v>
      </c>
      <c r="BD552" s="181">
        <f ca="1">IF($D552&lt;&gt;"Serviço",0,IF(AND(AUTOEVENTO="Manual",$M552=1),0,IF(OFFSET(CRONOPLE!$F$14,$M552,BD$13)="",10^12,OFFSET(CRONOPLE!$F$14,$M552,BD$13))))</f>
        <v>1000000000000</v>
      </c>
      <c r="BE552" s="181">
        <f ca="1">IF($D552&lt;&gt;"Serviço",0,IF(AND(AUTOEVENTO="Manual",$M552=1),0,IF(OFFSET(CRONOPLE!$F$14,$M552,BE$13)="",10^12,OFFSET(CRONOPLE!$F$14,$M552,BE$13))))</f>
        <v>1000000000000</v>
      </c>
      <c r="BF552" s="181">
        <f ca="1">IF($D552&lt;&gt;"Serviço",0,IF(AND(AUTOEVENTO="Manual",$M552=1),0,IF(OFFSET(CRONOPLE!$F$14,$M552,BF$13)="",10^12,OFFSET(CRONOPLE!$F$14,$M552,BF$13))))</f>
        <v>1000000000000</v>
      </c>
      <c r="BG552" s="181">
        <f ca="1">IF($D552&lt;&gt;"Serviço",0,IF(AND(AUTOEVENTO="Manual",$M552=1),0,IF(OFFSET(CRONOPLE!$F$14,$M552,BG$13)="",10^12,OFFSET(CRONOPLE!$F$14,$M552,BG$13))))</f>
        <v>1000000000000</v>
      </c>
      <c r="BH552" s="181">
        <f ca="1">IF($D552&lt;&gt;"Serviço",0,IF(AND(AUTOEVENTO="Manual",$M552=1),0,IF(OFFSET(CRONOPLE!$F$14,$M552,BH$13)="",10^12,OFFSET(CRONOPLE!$F$14,$M552,BH$13))))</f>
        <v>1000000000000</v>
      </c>
      <c r="BI552" s="181">
        <f ca="1">IF($D552&lt;&gt;"Serviço",0,IF(AND(AUTOEVENTO="Manual",$M552=1),0,IF(OFFSET(CRONOPLE!$F$14,$M552,BI$13)="",10^12,OFFSET(CRONOPLE!$F$14,$M552,BI$13))))</f>
        <v>1000000000000</v>
      </c>
      <c r="BJ552" s="181">
        <f ca="1">IF($D552&lt;&gt;"Serviço",0,IF(AND(AUTOEVENTO="Manual",$M552=1),0,IF(OFFSET(CRONOPLE!$F$14,$M552,BJ$13)="",10^12,OFFSET(CRONOPLE!$F$14,$M552,BJ$13))))</f>
        <v>1000000000000</v>
      </c>
      <c r="BK552" s="181">
        <f ca="1">IF($D552&lt;&gt;"Serviço",0,IF(AND(AUTOEVENTO="Manual",$M552=1),0,IF(OFFSET(CRONOPLE!$F$14,$M552,BK$13)="",10^12,OFFSET(CRONOPLE!$F$14,$M552,BK$13))))</f>
        <v>1000000000000</v>
      </c>
      <c r="BL552" s="181">
        <f ca="1">IF($D552&lt;&gt;"Serviço",0,IF(AND(AUTOEVENTO="Manual",$M552=1),0,IF(OFFSET(CRONOPLE!$F$14,$M552,BL$13)="",10^12,OFFSET(CRONOPLE!$F$14,$M552,BL$13))))</f>
        <v>1000000000000</v>
      </c>
      <c r="BM552" s="181">
        <f ca="1">IF($D552&lt;&gt;"Serviço",0,IF(AND(AUTOEVENTO="Manual",$M552=1),0,IF(OFFSET(CRONOPLE!$F$14,$M552,BM$13)="",10^12,OFFSET(CRONOPLE!$F$14,$M552,BM$13))))</f>
        <v>1000000000000</v>
      </c>
      <c r="BN552" s="181">
        <f ca="1">IF($D552&lt;&gt;"Serviço",0,IF(AND(AUTOEVENTO="Manual",$M552=1),0,IF(OFFSET(CRONOPLE!$F$14,$M552,BN$13)="",10^12,OFFSET(CRONOPLE!$F$14,$M552,BN$13))))</f>
        <v>1000000000000</v>
      </c>
      <c r="BO552" s="181">
        <f ca="1">IF($D552&lt;&gt;"Serviço",0,IF(AND(AUTOEVENTO="Manual",$M552=1),0,IF(OFFSET(CRONOPLE!$F$14,$M552,BO$13)="",10^12,OFFSET(CRONOPLE!$F$14,$M552,BO$13))))</f>
        <v>1000000000000</v>
      </c>
      <c r="BP552" s="181">
        <f ca="1">IF($D552&lt;&gt;"Serviço",0,IF(AND(AUTOEVENTO="Manual",$M552=1),0,IF(OFFSET(CRONOPLE!$F$14,$M552,BP$13)="",10^12,OFFSET(CRONOPLE!$F$14,$M552,BP$13))))</f>
        <v>1000000000000</v>
      </c>
      <c r="BQ552" s="181">
        <f ca="1">IF($D552&lt;&gt;"Serviço",0,IF(AND(AUTOEVENTO="Manual",$M552=1),0,IF(OFFSET(CRONOPLE!$F$14,$M552,BQ$13)="",10^12,OFFSET(CRONOPLE!$F$14,$M552,BQ$13))))</f>
        <v>1000000000000</v>
      </c>
      <c r="BR552" s="181">
        <f ca="1">IF($D552&lt;&gt;"Serviço",0,IF(AND(AUTOEVENTO="Manual",$M552=1),0,IF(OFFSET(CRONOPLE!$F$14,$M552,BR$13)="",10^12,OFFSET(CRONOPLE!$F$14,$M552,BR$13))))</f>
        <v>1000000000000</v>
      </c>
      <c r="BS552" s="181">
        <f ca="1">IF($D552&lt;&gt;"Serviço",0,IF(AND(AUTOEVENTO="Manual",$M552=1),0,IF(OFFSET(CRONOPLE!$F$14,$M552,BS$13)="",10^12,OFFSET(CRONOPLE!$F$14,$M552,BS$13))))</f>
        <v>1000000000000</v>
      </c>
      <c r="BT552" s="181">
        <f ca="1">IF($D552&lt;&gt;"Serviço",0,IF(AND(AUTOEVENTO="Manual",$M552=1),0,IF(OFFSET(CRONOPLE!$F$14,$M552,BT$13)="",10^12,OFFSET(CRONOPLE!$F$14,$M552,BT$13))))</f>
        <v>1000000000000</v>
      </c>
      <c r="BV552" s="182">
        <f ca="1">IF($D552&lt;&gt;"Serviço",0,IF(OR(AND(AUTOEVENTO="Manual",$M552=1),$M552&gt;(ROW(PLE.lastrow)-ROW(PLE.firstrow))),0,IF(OFFSET(PLE!$G$14,$M552,BV$13)="",10^12,OFFSET(PLE!$G$14,$M552,BV$13))))</f>
        <v>1000000000000</v>
      </c>
      <c r="BW552" s="182">
        <f ca="1">IF($D552&lt;&gt;"Serviço",0,IF(OR(AND(AUTOEVENTO="Manual",$M552=1),$M552&gt;(ROW(PLE.lastrow)-ROW(PLE.firstrow))),0,IF(OFFSET(PLE!$G$14,$M552,BW$13)="",10^12,OFFSET(PLE!$G$14,$M552,BW$13))))</f>
        <v>1000000000000</v>
      </c>
      <c r="BX552" s="182">
        <f ca="1">IF($D552&lt;&gt;"Serviço",0,IF(OR(AND(AUTOEVENTO="Manual",$M552=1),$M552&gt;(ROW(PLE.lastrow)-ROW(PLE.firstrow))),0,IF(OFFSET(PLE!$G$14,$M552,BX$13)="",10^12,OFFSET(PLE!$G$14,$M552,BX$13))))</f>
        <v>1000000000000</v>
      </c>
      <c r="BY552" s="182">
        <f ca="1">IF($D552&lt;&gt;"Serviço",0,IF(OR(AND(AUTOEVENTO="Manual",$M552=1),$M552&gt;(ROW(PLE.lastrow)-ROW(PLE.firstrow))),0,IF(OFFSET(PLE!$G$14,$M552,BY$13)="",10^12,OFFSET(PLE!$G$14,$M552,BY$13))))</f>
        <v>1000000000000</v>
      </c>
      <c r="BZ552" s="182">
        <f ca="1">IF($D552&lt;&gt;"Serviço",0,IF(OR(AND(AUTOEVENTO="Manual",$M552=1),$M552&gt;(ROW(PLE.lastrow)-ROW(PLE.firstrow))),0,IF(OFFSET(PLE!$G$14,$M552,BZ$13)="",10^12,OFFSET(PLE!$G$14,$M552,BZ$13))))</f>
        <v>1000000000000</v>
      </c>
      <c r="CA552" s="182">
        <f ca="1">IF($D552&lt;&gt;"Serviço",0,IF(OR(AND(AUTOEVENTO="Manual",$M552=1),$M552&gt;(ROW(PLE.lastrow)-ROW(PLE.firstrow))),0,IF(OFFSET(PLE!$G$14,$M552,CA$13)="",10^12,OFFSET(PLE!$G$14,$M552,CA$13))))</f>
        <v>1000000000000</v>
      </c>
      <c r="CB552" s="182">
        <f ca="1">IF($D552&lt;&gt;"Serviço",0,IF(OR(AND(AUTOEVENTO="Manual",$M552=1),$M552&gt;(ROW(PLE.lastrow)-ROW(PLE.firstrow))),0,IF(OFFSET(PLE!$G$14,$M552,CB$13)="",10^12,OFFSET(PLE!$G$14,$M552,CB$13))))</f>
        <v>1000000000000</v>
      </c>
      <c r="CC552" s="182">
        <f ca="1">IF($D552&lt;&gt;"Serviço",0,IF(OR(AND(AUTOEVENTO="Manual",$M552=1),$M552&gt;(ROW(PLE.lastrow)-ROW(PLE.firstrow))),0,IF(OFFSET(PLE!$G$14,$M552,CC$13)="",10^12,OFFSET(PLE!$G$14,$M552,CC$13))))</f>
        <v>1000000000000</v>
      </c>
      <c r="CD552" s="182">
        <f ca="1">IF($D552&lt;&gt;"Serviço",0,IF(OR(AND(AUTOEVENTO="Manual",$M552=1),$M552&gt;(ROW(PLE.lastrow)-ROW(PLE.firstrow))),0,IF(OFFSET(PLE!$G$14,$M552,CD$13)="",10^12,OFFSET(PLE!$G$14,$M552,CD$13))))</f>
        <v>1000000000000</v>
      </c>
      <c r="CE552" s="182">
        <f ca="1">IF($D552&lt;&gt;"Serviço",0,IF(OR(AND(AUTOEVENTO="Manual",$M552=1),$M552&gt;(ROW(PLE.lastrow)-ROW(PLE.firstrow))),0,IF(OFFSET(PLE!$G$14,$M552,CE$13)="",10^12,OFFSET(PLE!$G$14,$M552,CE$13))))</f>
        <v>1000000000000</v>
      </c>
      <c r="CF552" s="182">
        <f ca="1">IF($D552&lt;&gt;"Serviço",0,IF(OR(AND(AUTOEVENTO="Manual",$M552=1),$M552&gt;(ROW(PLE.lastrow)-ROW(PLE.firstrow))),0,IF(OFFSET(PLE!$G$14,$M552,CF$13)="",10^12,OFFSET(PLE!$G$14,$M552,CF$13))))</f>
        <v>1000000000000</v>
      </c>
      <c r="CG552" s="182">
        <f ca="1">IF($D552&lt;&gt;"Serviço",0,IF(OR(AND(AUTOEVENTO="Manual",$M552=1),$M552&gt;(ROW(PLE.lastrow)-ROW(PLE.firstrow))),0,IF(OFFSET(PLE!$G$14,$M552,CG$13)="",10^12,OFFSET(PLE!$G$14,$M552,CG$13))))</f>
        <v>1000000000000</v>
      </c>
      <c r="CH552" s="182">
        <f ca="1">IF($D552&lt;&gt;"Serviço",0,IF(OR(AND(AUTOEVENTO="Manual",$M552=1),$M552&gt;(ROW(PLE.lastrow)-ROW(PLE.firstrow))),0,IF(OFFSET(PLE!$G$14,$M552,CH$13)="",10^12,OFFSET(PLE!$G$14,$M552,CH$13))))</f>
        <v>1000000000000</v>
      </c>
      <c r="CI552" s="182">
        <f ca="1">IF($D552&lt;&gt;"Serviço",0,IF(OR(AND(AUTOEVENTO="Manual",$M552=1),$M552&gt;(ROW(PLE.lastrow)-ROW(PLE.firstrow))),0,IF(OFFSET(PLE!$G$14,$M552,CI$13)="",10^12,OFFSET(PLE!$G$14,$M552,CI$13))))</f>
        <v>1000000000000</v>
      </c>
      <c r="CJ552" s="182">
        <f ca="1">IF($D552&lt;&gt;"Serviço",0,IF(OR(AND(AUTOEVENTO="Manual",$M552=1),$M552&gt;(ROW(PLE.lastrow)-ROW(PLE.firstrow))),0,IF(OFFSET(PLE!$G$14,$M552,CJ$13)="",10^12,OFFSET(PLE!$G$14,$M552,CJ$13))))</f>
        <v>1000000000000</v>
      </c>
      <c r="CK552" s="182">
        <f ca="1">IF($D552&lt;&gt;"Serviço",0,IF(OR(AND(AUTOEVENTO="Manual",$M552=1),$M552&gt;(ROW(PLE.lastrow)-ROW(PLE.firstrow))),0,IF(OFFSET(PLE!$G$14,$M552,CK$13)="",10^12,OFFSET(PLE!$G$14,$M552,CK$13))))</f>
        <v>1000000000000</v>
      </c>
      <c r="CL552" s="182">
        <f ca="1">IF($D552&lt;&gt;"Serviço",0,IF(OR(AND(AUTOEVENTO="Manual",$M552=1),$M552&gt;(ROW(PLE.lastrow)-ROW(PLE.firstrow))),0,IF(OFFSET(PLE!$G$14,$M552,CL$13)="",10^12,OFFSET(PLE!$G$14,$M552,CL$13))))</f>
        <v>1000000000000</v>
      </c>
      <c r="CM552" s="182">
        <f ca="1">IF($D552&lt;&gt;"Serviço",0,IF(OR(AND(AUTOEVENTO="Manual",$M552=1),$M552&gt;(ROW(PLE.lastrow)-ROW(PLE.firstrow))),0,IF(OFFSET(PLE!$G$14,$M552,CM$13)="",10^12,OFFSET(PLE!$G$14,$M552,CM$13))))</f>
        <v>1000000000000</v>
      </c>
    </row>
    <row r="553" spans="1:91" ht="25.5" x14ac:dyDescent="0.2">
      <c r="A553" s="7" t="str">
        <f t="shared" ca="1" si="17"/>
        <v>528</v>
      </c>
      <c r="B553" s="7" t="str">
        <f ca="1">OFFSET(ORÇAMENTO!C$15,ROW(B553)-ROW(B$15),0)</f>
        <v>S</v>
      </c>
      <c r="C553" s="7" t="str">
        <f ca="1">OFFSET(ORÇAMENTO!L$15,ROW(C553)-ROW(C$15),0)</f>
        <v/>
      </c>
      <c r="D553" s="118" t="str">
        <f ca="1">OFFSET(ORÇAMENTO!N$15,ROW(D553)-ROW(D$15),0)</f>
        <v>Serviço</v>
      </c>
      <c r="E553" s="119" t="str">
        <f ca="1">OFFSET(ORÇAMENTO!O$15,ROW(E553)-ROW(E$15),0)</f>
        <v>-</v>
      </c>
      <c r="F553" s="172" t="str">
        <f ca="1">OFFSET(ORÇAMENTO!R$15,ROW(F553)-ROW(F$15),0)</f>
        <v>(abra o arquivo 'Referência 06-2024.xlsm)</v>
      </c>
      <c r="G553" s="173" t="str">
        <f ca="1">IF($D553&lt;&gt;"Serviço","",OFFSET(ORÇAMENTO!S$15,ROW(G553)-ROW(G$15),0))</f>
        <v>-</v>
      </c>
      <c r="H553" s="124">
        <f ca="1">IF($D553&lt;&gt;"Serviço",0,IF(ACOMPANHAMENTO="BM",ROUND(OFFSET(ORÇAMENTO!AJ$15,ROW(H553)-ROW(H$15),0),15-13*ORÇAMENTO!$AF$7),SUMPRODUCT(($Q$12:$AI$12&lt;&gt;"")*ROUND($Q553:$AI553,15-13*ORÇAMENTO!$AF$7))))</f>
        <v>2</v>
      </c>
      <c r="I553" s="561" t="s">
        <v>1107</v>
      </c>
      <c r="K553" s="174"/>
      <c r="L553" s="175" t="s">
        <v>255</v>
      </c>
      <c r="M553" s="176">
        <f ca="1">IF($D553&lt;&gt;"Serviço","",IF(AUTOEVENTO="manual",$A553,IF(ISERROR(MATCH($A553,$A$15:OFFSET($A553,-1,0),0)),MAX($M$15:OFFSET(M553,-1,0))+1,INDEX($M$15:OFFSET(M553,-1,0),MATCH($A553,$A$15:OFFSET($A553,-1,0),0)))))</f>
        <v>57</v>
      </c>
      <c r="N553" s="177" t="str">
        <f ca="1">IF($D553&lt;&gt;"Serviço","",IF(AUTOEVENTO="Manual",IF($A553=0,"&lt;-- defina o número do agrupador",OFFSET(EVENTOS!$D$14,$A553,0)),OFFSET($F$15,$A553,0)))</f>
        <v>INSTALAÇÃO ELÉTRICA 110V - DISPOSITIVOS DE PROTEÇÃO</v>
      </c>
      <c r="O553" s="178"/>
      <c r="Q553" s="178">
        <v>2</v>
      </c>
      <c r="R553" s="179"/>
      <c r="S553" s="179"/>
      <c r="T553" s="179"/>
      <c r="U553" s="179"/>
      <c r="V553" s="179"/>
      <c r="W553" s="179"/>
      <c r="X553" s="179"/>
      <c r="Y553" s="179"/>
      <c r="Z553" s="180"/>
      <c r="AA553" s="179"/>
      <c r="AB553" s="179"/>
      <c r="AC553" s="179"/>
      <c r="AD553" s="179"/>
      <c r="AE553" s="179"/>
      <c r="AF553" s="179"/>
      <c r="AG553" s="179"/>
      <c r="AH553" s="180"/>
      <c r="AJ553" s="544">
        <f ca="1">IF(AND($D553="Serviço",AJ$12&lt;&gt;0,$H553&gt;0,OR(AUTOEVENTO&lt;&gt;"manual",$M553&lt;&gt;1)),
IF(Import.TipoArredondamento&lt;&gt;"TransfereGOV",
ROUND(OFFSET($P553,0,AJ$13),15-13*ORÇAMENTO!$AF$7)/$H553*OFFSET(ORÇAMENTO!$X$15,ROW(AJ553)-ROW(AJ$15),0),
ROUND(ROUND(OFFSET($P553,0,AJ$13),15-13*ORÇAMENTO!$AF$7)*OFFSET(ORÇAMENTO!$W$15,ROW(AJ553)-ROW(AJ$15),0),15-13*ORÇAMENTO!$AF$11)),0)</f>
        <v>0</v>
      </c>
      <c r="AK553" s="545">
        <f ca="1">IF(AND($D553="Serviço",AK$12&lt;&gt;0,$H553&gt;0,OR(AUTOEVENTO&lt;&gt;"manual",$M553&lt;&gt;1)),
IF(Import.TipoArredondamento&lt;&gt;"TransfereGOV",
ROUND(OFFSET($P553,0,AK$13),15-13*ORÇAMENTO!$AF$7)/$H553*OFFSET(ORÇAMENTO!$X$15,ROW(AK553)-ROW(AK$15),0),
ROUND(ROUND(OFFSET($P553,0,AK$13),15-13*ORÇAMENTO!$AF$7)*OFFSET(ORÇAMENTO!$W$15,ROW(AK553)-ROW(AK$15),0),15-13*ORÇAMENTO!$AF$11)),0)</f>
        <v>0</v>
      </c>
      <c r="AL553" s="545">
        <f ca="1">IF(AND($D553="Serviço",AL$12&lt;&gt;0,$H553&gt;0,OR(AUTOEVENTO&lt;&gt;"manual",$M553&lt;&gt;1)),
IF(Import.TipoArredondamento&lt;&gt;"TransfereGOV",
ROUND(OFFSET($P553,0,AL$13),15-13*ORÇAMENTO!$AF$7)/$H553*OFFSET(ORÇAMENTO!$X$15,ROW(AL553)-ROW(AL$15),0),
ROUND(ROUND(OFFSET($P553,0,AL$13),15-13*ORÇAMENTO!$AF$7)*OFFSET(ORÇAMENTO!$W$15,ROW(AL553)-ROW(AL$15),0),15-13*ORÇAMENTO!$AF$11)),0)</f>
        <v>0</v>
      </c>
      <c r="AM553" s="545">
        <f ca="1">IF(AND($D553="Serviço",AM$12&lt;&gt;0,$H553&gt;0,OR(AUTOEVENTO&lt;&gt;"manual",$M553&lt;&gt;1)),
IF(Import.TipoArredondamento&lt;&gt;"TransfereGOV",
ROUND(OFFSET($P553,0,AM$13),15-13*ORÇAMENTO!$AF$7)/$H553*OFFSET(ORÇAMENTO!$X$15,ROW(AM553)-ROW(AM$15),0),
ROUND(ROUND(OFFSET($P553,0,AM$13),15-13*ORÇAMENTO!$AF$7)*OFFSET(ORÇAMENTO!$W$15,ROW(AM553)-ROW(AM$15),0),15-13*ORÇAMENTO!$AF$11)),0)</f>
        <v>0</v>
      </c>
      <c r="AN553" s="545">
        <f ca="1">IF(AND($D553="Serviço",AN$12&lt;&gt;0,$H553&gt;0,OR(AUTOEVENTO&lt;&gt;"manual",$M553&lt;&gt;1)),
IF(Import.TipoArredondamento&lt;&gt;"TransfereGOV",
ROUND(OFFSET($P553,0,AN$13),15-13*ORÇAMENTO!$AF$7)/$H553*OFFSET(ORÇAMENTO!$X$15,ROW(AN553)-ROW(AN$15),0),
ROUND(ROUND(OFFSET($P553,0,AN$13),15-13*ORÇAMENTO!$AF$7)*OFFSET(ORÇAMENTO!$W$15,ROW(AN553)-ROW(AN$15),0),15-13*ORÇAMENTO!$AF$11)),0)</f>
        <v>0</v>
      </c>
      <c r="AO553" s="545">
        <f ca="1">IF(AND($D553="Serviço",AO$12&lt;&gt;0,$H553&gt;0,OR(AUTOEVENTO&lt;&gt;"manual",$M553&lt;&gt;1)),
IF(Import.TipoArredondamento&lt;&gt;"TransfereGOV",
ROUND(OFFSET($P553,0,AO$13),15-13*ORÇAMENTO!$AF$7)/$H553*OFFSET(ORÇAMENTO!$X$15,ROW(AO553)-ROW(AO$15),0),
ROUND(ROUND(OFFSET($P553,0,AO$13),15-13*ORÇAMENTO!$AF$7)*OFFSET(ORÇAMENTO!$W$15,ROW(AO553)-ROW(AO$15),0),15-13*ORÇAMENTO!$AF$11)),0)</f>
        <v>0</v>
      </c>
      <c r="AP553" s="545">
        <f ca="1">IF(AND($D553="Serviço",AP$12&lt;&gt;0,$H553&gt;0,OR(AUTOEVENTO&lt;&gt;"manual",$M553&lt;&gt;1)),
IF(Import.TipoArredondamento&lt;&gt;"TransfereGOV",
ROUND(OFFSET($P553,0,AP$13),15-13*ORÇAMENTO!$AF$7)/$H553*OFFSET(ORÇAMENTO!$X$15,ROW(AP553)-ROW(AP$15),0),
ROUND(ROUND(OFFSET($P553,0,AP$13),15-13*ORÇAMENTO!$AF$7)*OFFSET(ORÇAMENTO!$W$15,ROW(AP553)-ROW(AP$15),0),15-13*ORÇAMENTO!$AF$11)),0)</f>
        <v>0</v>
      </c>
      <c r="AQ553" s="545">
        <f ca="1">IF(AND($D553="Serviço",AQ$12&lt;&gt;0,$H553&gt;0,OR(AUTOEVENTO&lt;&gt;"manual",$M553&lt;&gt;1)),
IF(Import.TipoArredondamento&lt;&gt;"TransfereGOV",
ROUND(OFFSET($P553,0,AQ$13),15-13*ORÇAMENTO!$AF$7)/$H553*OFFSET(ORÇAMENTO!$X$15,ROW(AQ553)-ROW(AQ$15),0),
ROUND(ROUND(OFFSET($P553,0,AQ$13),15-13*ORÇAMENTO!$AF$7)*OFFSET(ORÇAMENTO!$W$15,ROW(AQ553)-ROW(AQ$15),0),15-13*ORÇAMENTO!$AF$11)),0)</f>
        <v>0</v>
      </c>
      <c r="AR553" s="545">
        <f ca="1">IF(AND($D553="Serviço",AR$12&lt;&gt;0,$H553&gt;0,OR(AUTOEVENTO&lt;&gt;"manual",$M553&lt;&gt;1)),
IF(Import.TipoArredondamento&lt;&gt;"TransfereGOV",
ROUND(OFFSET($P553,0,AR$13),15-13*ORÇAMENTO!$AF$7)/$H553*OFFSET(ORÇAMENTO!$X$15,ROW(AR553)-ROW(AR$15),0),
ROUND(ROUND(OFFSET($P553,0,AR$13),15-13*ORÇAMENTO!$AF$7)*OFFSET(ORÇAMENTO!$W$15,ROW(AR553)-ROW(AR$15),0),15-13*ORÇAMENTO!$AF$11)),0)</f>
        <v>0</v>
      </c>
      <c r="AS553" s="546">
        <f ca="1">IF(AND($D553="Serviço",AS$12&lt;&gt;0,$H553&gt;0,OR(AUTOEVENTO&lt;&gt;"manual",$M553&lt;&gt;1)),
IF(Import.TipoArredondamento&lt;&gt;"TransfereGOV",
ROUND(OFFSET($P553,0,AS$13),15-13*ORÇAMENTO!$AF$7)/$H553*OFFSET(ORÇAMENTO!$X$15,ROW(AS553)-ROW(AS$15),0),
ROUND(ROUND(OFFSET($P553,0,AS$13),15-13*ORÇAMENTO!$AF$7)*OFFSET(ORÇAMENTO!$W$15,ROW(AS553)-ROW(AS$15),0),15-13*ORÇAMENTO!$AF$11)),0)</f>
        <v>0</v>
      </c>
      <c r="AT553" s="545">
        <f ca="1">IF(AND($D553="Serviço",AT$12&lt;&gt;0,$H553&gt;0,OR(AUTOEVENTO&lt;&gt;"manual",$M553&lt;&gt;1)),
IF(Import.TipoArredondamento&lt;&gt;"TransfereGOV",
ROUND(OFFSET($P553,0,AT$13),15-13*ORÇAMENTO!$AF$7)/$H553*OFFSET(ORÇAMENTO!$X$15,ROW(AT553)-ROW(AT$15),0),
ROUND(ROUND(OFFSET($P553,0,AT$13),15-13*ORÇAMENTO!$AF$7)*OFFSET(ORÇAMENTO!$W$15,ROW(AT553)-ROW(AT$15),0),15-13*ORÇAMENTO!$AF$11)),0)</f>
        <v>0</v>
      </c>
      <c r="AU553" s="545">
        <f ca="1">IF(AND($D553="Serviço",AU$12&lt;&gt;0,$H553&gt;0,OR(AUTOEVENTO&lt;&gt;"manual",$M553&lt;&gt;1)),
IF(Import.TipoArredondamento&lt;&gt;"TransfereGOV",
ROUND(OFFSET($P553,0,AU$13),15-13*ORÇAMENTO!$AF$7)/$H553*OFFSET(ORÇAMENTO!$X$15,ROW(AU553)-ROW(AU$15),0),
ROUND(ROUND(OFFSET($P553,0,AU$13),15-13*ORÇAMENTO!$AF$7)*OFFSET(ORÇAMENTO!$W$15,ROW(AU553)-ROW(AU$15),0),15-13*ORÇAMENTO!$AF$11)),0)</f>
        <v>0</v>
      </c>
      <c r="AV553" s="545">
        <f ca="1">IF(AND($D553="Serviço",AV$12&lt;&gt;0,$H553&gt;0,OR(AUTOEVENTO&lt;&gt;"manual",$M553&lt;&gt;1)),
IF(Import.TipoArredondamento&lt;&gt;"TransfereGOV",
ROUND(OFFSET($P553,0,AV$13),15-13*ORÇAMENTO!$AF$7)/$H553*OFFSET(ORÇAMENTO!$X$15,ROW(AV553)-ROW(AV$15),0),
ROUND(ROUND(OFFSET($P553,0,AV$13),15-13*ORÇAMENTO!$AF$7)*OFFSET(ORÇAMENTO!$W$15,ROW(AV553)-ROW(AV$15),0),15-13*ORÇAMENTO!$AF$11)),0)</f>
        <v>0</v>
      </c>
      <c r="AW553" s="545">
        <f ca="1">IF(AND($D553="Serviço",AW$12&lt;&gt;0,$H553&gt;0,OR(AUTOEVENTO&lt;&gt;"manual",$M553&lt;&gt;1)),
IF(Import.TipoArredondamento&lt;&gt;"TransfereGOV",
ROUND(OFFSET($P553,0,AW$13),15-13*ORÇAMENTO!$AF$7)/$H553*OFFSET(ORÇAMENTO!$X$15,ROW(AW553)-ROW(AW$15),0),
ROUND(ROUND(OFFSET($P553,0,AW$13),15-13*ORÇAMENTO!$AF$7)*OFFSET(ORÇAMENTO!$W$15,ROW(AW553)-ROW(AW$15),0),15-13*ORÇAMENTO!$AF$11)),0)</f>
        <v>0</v>
      </c>
      <c r="AX553" s="545">
        <f ca="1">IF(AND($D553="Serviço",AX$12&lt;&gt;0,$H553&gt;0,OR(AUTOEVENTO&lt;&gt;"manual",$M553&lt;&gt;1)),
IF(Import.TipoArredondamento&lt;&gt;"TransfereGOV",
ROUND(OFFSET($P553,0,AX$13),15-13*ORÇAMENTO!$AF$7)/$H553*OFFSET(ORÇAMENTO!$X$15,ROW(AX553)-ROW(AX$15),0),
ROUND(ROUND(OFFSET($P553,0,AX$13),15-13*ORÇAMENTO!$AF$7)*OFFSET(ORÇAMENTO!$W$15,ROW(AX553)-ROW(AX$15),0),15-13*ORÇAMENTO!$AF$11)),0)</f>
        <v>0</v>
      </c>
      <c r="AY553" s="545">
        <f ca="1">IF(AND($D553="Serviço",AY$12&lt;&gt;0,$H553&gt;0,OR(AUTOEVENTO&lt;&gt;"manual",$M553&lt;&gt;1)),
IF(Import.TipoArredondamento&lt;&gt;"TransfereGOV",
ROUND(OFFSET($P553,0,AY$13),15-13*ORÇAMENTO!$AF$7)/$H553*OFFSET(ORÇAMENTO!$X$15,ROW(AY553)-ROW(AY$15),0),
ROUND(ROUND(OFFSET($P553,0,AY$13),15-13*ORÇAMENTO!$AF$7)*OFFSET(ORÇAMENTO!$W$15,ROW(AY553)-ROW(AY$15),0),15-13*ORÇAMENTO!$AF$11)),0)</f>
        <v>0</v>
      </c>
      <c r="AZ553" s="545">
        <f ca="1">IF(AND($D553="Serviço",AZ$12&lt;&gt;0,$H553&gt;0,OR(AUTOEVENTO&lt;&gt;"manual",$M553&lt;&gt;1)),
IF(Import.TipoArredondamento&lt;&gt;"TransfereGOV",
ROUND(OFFSET($P553,0,AZ$13),15-13*ORÇAMENTO!$AF$7)/$H553*OFFSET(ORÇAMENTO!$X$15,ROW(AZ553)-ROW(AZ$15),0),
ROUND(ROUND(OFFSET($P553,0,AZ$13),15-13*ORÇAMENTO!$AF$7)*OFFSET(ORÇAMENTO!$W$15,ROW(AZ553)-ROW(AZ$15),0),15-13*ORÇAMENTO!$AF$11)),0)</f>
        <v>0</v>
      </c>
      <c r="BA553" s="546">
        <f ca="1">IF(AND($D553="Serviço",BA$12&lt;&gt;0,$H553&gt;0,OR(AUTOEVENTO&lt;&gt;"manual",$M553&lt;&gt;1)),
IF(Import.TipoArredondamento&lt;&gt;"TransfereGOV",
ROUND(OFFSET($P553,0,BA$13),15-13*ORÇAMENTO!$AF$7)/$H553*OFFSET(ORÇAMENTO!$X$15,ROW(BA553)-ROW(BA$15),0),
ROUND(ROUND(OFFSET($P553,0,BA$13),15-13*ORÇAMENTO!$AF$7)*OFFSET(ORÇAMENTO!$W$15,ROW(BA553)-ROW(BA$15),0),15-13*ORÇAMENTO!$AF$11)),0)</f>
        <v>0</v>
      </c>
      <c r="BC553" s="181">
        <f ca="1">IF($D553&lt;&gt;"Serviço",0,IF(AND(AUTOEVENTO="Manual",$M553=1),0,IF(OFFSET(CRONOPLE!$F$14,$M553,BC$13)="",10^12,OFFSET(CRONOPLE!$F$14,$M553,BC$13))))</f>
        <v>10</v>
      </c>
      <c r="BD553" s="181">
        <f ca="1">IF($D553&lt;&gt;"Serviço",0,IF(AND(AUTOEVENTO="Manual",$M553=1),0,IF(OFFSET(CRONOPLE!$F$14,$M553,BD$13)="",10^12,OFFSET(CRONOPLE!$F$14,$M553,BD$13))))</f>
        <v>1000000000000</v>
      </c>
      <c r="BE553" s="181">
        <f ca="1">IF($D553&lt;&gt;"Serviço",0,IF(AND(AUTOEVENTO="Manual",$M553=1),0,IF(OFFSET(CRONOPLE!$F$14,$M553,BE$13)="",10^12,OFFSET(CRONOPLE!$F$14,$M553,BE$13))))</f>
        <v>1000000000000</v>
      </c>
      <c r="BF553" s="181">
        <f ca="1">IF($D553&lt;&gt;"Serviço",0,IF(AND(AUTOEVENTO="Manual",$M553=1),0,IF(OFFSET(CRONOPLE!$F$14,$M553,BF$13)="",10^12,OFFSET(CRONOPLE!$F$14,$M553,BF$13))))</f>
        <v>1000000000000</v>
      </c>
      <c r="BG553" s="181">
        <f ca="1">IF($D553&lt;&gt;"Serviço",0,IF(AND(AUTOEVENTO="Manual",$M553=1),0,IF(OFFSET(CRONOPLE!$F$14,$M553,BG$13)="",10^12,OFFSET(CRONOPLE!$F$14,$M553,BG$13))))</f>
        <v>1000000000000</v>
      </c>
      <c r="BH553" s="181">
        <f ca="1">IF($D553&lt;&gt;"Serviço",0,IF(AND(AUTOEVENTO="Manual",$M553=1),0,IF(OFFSET(CRONOPLE!$F$14,$M553,BH$13)="",10^12,OFFSET(CRONOPLE!$F$14,$M553,BH$13))))</f>
        <v>1000000000000</v>
      </c>
      <c r="BI553" s="181">
        <f ca="1">IF($D553&lt;&gt;"Serviço",0,IF(AND(AUTOEVENTO="Manual",$M553=1),0,IF(OFFSET(CRONOPLE!$F$14,$M553,BI$13)="",10^12,OFFSET(CRONOPLE!$F$14,$M553,BI$13))))</f>
        <v>1000000000000</v>
      </c>
      <c r="BJ553" s="181">
        <f ca="1">IF($D553&lt;&gt;"Serviço",0,IF(AND(AUTOEVENTO="Manual",$M553=1),0,IF(OFFSET(CRONOPLE!$F$14,$M553,BJ$13)="",10^12,OFFSET(CRONOPLE!$F$14,$M553,BJ$13))))</f>
        <v>1000000000000</v>
      </c>
      <c r="BK553" s="181">
        <f ca="1">IF($D553&lt;&gt;"Serviço",0,IF(AND(AUTOEVENTO="Manual",$M553=1),0,IF(OFFSET(CRONOPLE!$F$14,$M553,BK$13)="",10^12,OFFSET(CRONOPLE!$F$14,$M553,BK$13))))</f>
        <v>1000000000000</v>
      </c>
      <c r="BL553" s="181">
        <f ca="1">IF($D553&lt;&gt;"Serviço",0,IF(AND(AUTOEVENTO="Manual",$M553=1),0,IF(OFFSET(CRONOPLE!$F$14,$M553,BL$13)="",10^12,OFFSET(CRONOPLE!$F$14,$M553,BL$13))))</f>
        <v>1000000000000</v>
      </c>
      <c r="BM553" s="181">
        <f ca="1">IF($D553&lt;&gt;"Serviço",0,IF(AND(AUTOEVENTO="Manual",$M553=1),0,IF(OFFSET(CRONOPLE!$F$14,$M553,BM$13)="",10^12,OFFSET(CRONOPLE!$F$14,$M553,BM$13))))</f>
        <v>1000000000000</v>
      </c>
      <c r="BN553" s="181">
        <f ca="1">IF($D553&lt;&gt;"Serviço",0,IF(AND(AUTOEVENTO="Manual",$M553=1),0,IF(OFFSET(CRONOPLE!$F$14,$M553,BN$13)="",10^12,OFFSET(CRONOPLE!$F$14,$M553,BN$13))))</f>
        <v>1000000000000</v>
      </c>
      <c r="BO553" s="181">
        <f ca="1">IF($D553&lt;&gt;"Serviço",0,IF(AND(AUTOEVENTO="Manual",$M553=1),0,IF(OFFSET(CRONOPLE!$F$14,$M553,BO$13)="",10^12,OFFSET(CRONOPLE!$F$14,$M553,BO$13))))</f>
        <v>1000000000000</v>
      </c>
      <c r="BP553" s="181">
        <f ca="1">IF($D553&lt;&gt;"Serviço",0,IF(AND(AUTOEVENTO="Manual",$M553=1),0,IF(OFFSET(CRONOPLE!$F$14,$M553,BP$13)="",10^12,OFFSET(CRONOPLE!$F$14,$M553,BP$13))))</f>
        <v>1000000000000</v>
      </c>
      <c r="BQ553" s="181">
        <f ca="1">IF($D553&lt;&gt;"Serviço",0,IF(AND(AUTOEVENTO="Manual",$M553=1),0,IF(OFFSET(CRONOPLE!$F$14,$M553,BQ$13)="",10^12,OFFSET(CRONOPLE!$F$14,$M553,BQ$13))))</f>
        <v>1000000000000</v>
      </c>
      <c r="BR553" s="181">
        <f ca="1">IF($D553&lt;&gt;"Serviço",0,IF(AND(AUTOEVENTO="Manual",$M553=1),0,IF(OFFSET(CRONOPLE!$F$14,$M553,BR$13)="",10^12,OFFSET(CRONOPLE!$F$14,$M553,BR$13))))</f>
        <v>1000000000000</v>
      </c>
      <c r="BS553" s="181">
        <f ca="1">IF($D553&lt;&gt;"Serviço",0,IF(AND(AUTOEVENTO="Manual",$M553=1),0,IF(OFFSET(CRONOPLE!$F$14,$M553,BS$13)="",10^12,OFFSET(CRONOPLE!$F$14,$M553,BS$13))))</f>
        <v>1000000000000</v>
      </c>
      <c r="BT553" s="181">
        <f ca="1">IF($D553&lt;&gt;"Serviço",0,IF(AND(AUTOEVENTO="Manual",$M553=1),0,IF(OFFSET(CRONOPLE!$F$14,$M553,BT$13)="",10^12,OFFSET(CRONOPLE!$F$14,$M553,BT$13))))</f>
        <v>1000000000000</v>
      </c>
      <c r="BV553" s="182">
        <f ca="1">IF($D553&lt;&gt;"Serviço",0,IF(OR(AND(AUTOEVENTO="Manual",$M553=1),$M553&gt;(ROW(PLE.lastrow)-ROW(PLE.firstrow))),0,IF(OFFSET(PLE!$G$14,$M553,BV$13)="",10^12,OFFSET(PLE!$G$14,$M553,BV$13))))</f>
        <v>1000000000000</v>
      </c>
      <c r="BW553" s="182">
        <f ca="1">IF($D553&lt;&gt;"Serviço",0,IF(OR(AND(AUTOEVENTO="Manual",$M553=1),$M553&gt;(ROW(PLE.lastrow)-ROW(PLE.firstrow))),0,IF(OFFSET(PLE!$G$14,$M553,BW$13)="",10^12,OFFSET(PLE!$G$14,$M553,BW$13))))</f>
        <v>1000000000000</v>
      </c>
      <c r="BX553" s="182">
        <f ca="1">IF($D553&lt;&gt;"Serviço",0,IF(OR(AND(AUTOEVENTO="Manual",$M553=1),$M553&gt;(ROW(PLE.lastrow)-ROW(PLE.firstrow))),0,IF(OFFSET(PLE!$G$14,$M553,BX$13)="",10^12,OFFSET(PLE!$G$14,$M553,BX$13))))</f>
        <v>1000000000000</v>
      </c>
      <c r="BY553" s="182">
        <f ca="1">IF($D553&lt;&gt;"Serviço",0,IF(OR(AND(AUTOEVENTO="Manual",$M553=1),$M553&gt;(ROW(PLE.lastrow)-ROW(PLE.firstrow))),0,IF(OFFSET(PLE!$G$14,$M553,BY$13)="",10^12,OFFSET(PLE!$G$14,$M553,BY$13))))</f>
        <v>1000000000000</v>
      </c>
      <c r="BZ553" s="182">
        <f ca="1">IF($D553&lt;&gt;"Serviço",0,IF(OR(AND(AUTOEVENTO="Manual",$M553=1),$M553&gt;(ROW(PLE.lastrow)-ROW(PLE.firstrow))),0,IF(OFFSET(PLE!$G$14,$M553,BZ$13)="",10^12,OFFSET(PLE!$G$14,$M553,BZ$13))))</f>
        <v>1000000000000</v>
      </c>
      <c r="CA553" s="182">
        <f ca="1">IF($D553&lt;&gt;"Serviço",0,IF(OR(AND(AUTOEVENTO="Manual",$M553=1),$M553&gt;(ROW(PLE.lastrow)-ROW(PLE.firstrow))),0,IF(OFFSET(PLE!$G$14,$M553,CA$13)="",10^12,OFFSET(PLE!$G$14,$M553,CA$13))))</f>
        <v>1000000000000</v>
      </c>
      <c r="CB553" s="182">
        <f ca="1">IF($D553&lt;&gt;"Serviço",0,IF(OR(AND(AUTOEVENTO="Manual",$M553=1),$M553&gt;(ROW(PLE.lastrow)-ROW(PLE.firstrow))),0,IF(OFFSET(PLE!$G$14,$M553,CB$13)="",10^12,OFFSET(PLE!$G$14,$M553,CB$13))))</f>
        <v>1000000000000</v>
      </c>
      <c r="CC553" s="182">
        <f ca="1">IF($D553&lt;&gt;"Serviço",0,IF(OR(AND(AUTOEVENTO="Manual",$M553=1),$M553&gt;(ROW(PLE.lastrow)-ROW(PLE.firstrow))),0,IF(OFFSET(PLE!$G$14,$M553,CC$13)="",10^12,OFFSET(PLE!$G$14,$M553,CC$13))))</f>
        <v>1000000000000</v>
      </c>
      <c r="CD553" s="182">
        <f ca="1">IF($D553&lt;&gt;"Serviço",0,IF(OR(AND(AUTOEVENTO="Manual",$M553=1),$M553&gt;(ROW(PLE.lastrow)-ROW(PLE.firstrow))),0,IF(OFFSET(PLE!$G$14,$M553,CD$13)="",10^12,OFFSET(PLE!$G$14,$M553,CD$13))))</f>
        <v>1000000000000</v>
      </c>
      <c r="CE553" s="182">
        <f ca="1">IF($D553&lt;&gt;"Serviço",0,IF(OR(AND(AUTOEVENTO="Manual",$M553=1),$M553&gt;(ROW(PLE.lastrow)-ROW(PLE.firstrow))),0,IF(OFFSET(PLE!$G$14,$M553,CE$13)="",10^12,OFFSET(PLE!$G$14,$M553,CE$13))))</f>
        <v>1000000000000</v>
      </c>
      <c r="CF553" s="182">
        <f ca="1">IF($D553&lt;&gt;"Serviço",0,IF(OR(AND(AUTOEVENTO="Manual",$M553=1),$M553&gt;(ROW(PLE.lastrow)-ROW(PLE.firstrow))),0,IF(OFFSET(PLE!$G$14,$M553,CF$13)="",10^12,OFFSET(PLE!$G$14,$M553,CF$13))))</f>
        <v>1000000000000</v>
      </c>
      <c r="CG553" s="182">
        <f ca="1">IF($D553&lt;&gt;"Serviço",0,IF(OR(AND(AUTOEVENTO="Manual",$M553=1),$M553&gt;(ROW(PLE.lastrow)-ROW(PLE.firstrow))),0,IF(OFFSET(PLE!$G$14,$M553,CG$13)="",10^12,OFFSET(PLE!$G$14,$M553,CG$13))))</f>
        <v>1000000000000</v>
      </c>
      <c r="CH553" s="182">
        <f ca="1">IF($D553&lt;&gt;"Serviço",0,IF(OR(AND(AUTOEVENTO="Manual",$M553=1),$M553&gt;(ROW(PLE.lastrow)-ROW(PLE.firstrow))),0,IF(OFFSET(PLE!$G$14,$M553,CH$13)="",10^12,OFFSET(PLE!$G$14,$M553,CH$13))))</f>
        <v>1000000000000</v>
      </c>
      <c r="CI553" s="182">
        <f ca="1">IF($D553&lt;&gt;"Serviço",0,IF(OR(AND(AUTOEVENTO="Manual",$M553=1),$M553&gt;(ROW(PLE.lastrow)-ROW(PLE.firstrow))),0,IF(OFFSET(PLE!$G$14,$M553,CI$13)="",10^12,OFFSET(PLE!$G$14,$M553,CI$13))))</f>
        <v>1000000000000</v>
      </c>
      <c r="CJ553" s="182">
        <f ca="1">IF($D553&lt;&gt;"Serviço",0,IF(OR(AND(AUTOEVENTO="Manual",$M553=1),$M553&gt;(ROW(PLE.lastrow)-ROW(PLE.firstrow))),0,IF(OFFSET(PLE!$G$14,$M553,CJ$13)="",10^12,OFFSET(PLE!$G$14,$M553,CJ$13))))</f>
        <v>1000000000000</v>
      </c>
      <c r="CK553" s="182">
        <f ca="1">IF($D553&lt;&gt;"Serviço",0,IF(OR(AND(AUTOEVENTO="Manual",$M553=1),$M553&gt;(ROW(PLE.lastrow)-ROW(PLE.firstrow))),0,IF(OFFSET(PLE!$G$14,$M553,CK$13)="",10^12,OFFSET(PLE!$G$14,$M553,CK$13))))</f>
        <v>1000000000000</v>
      </c>
      <c r="CL553" s="182">
        <f ca="1">IF($D553&lt;&gt;"Serviço",0,IF(OR(AND(AUTOEVENTO="Manual",$M553=1),$M553&gt;(ROW(PLE.lastrow)-ROW(PLE.firstrow))),0,IF(OFFSET(PLE!$G$14,$M553,CL$13)="",10^12,OFFSET(PLE!$G$14,$M553,CL$13))))</f>
        <v>1000000000000</v>
      </c>
      <c r="CM553" s="182">
        <f ca="1">IF($D553&lt;&gt;"Serviço",0,IF(OR(AND(AUTOEVENTO="Manual",$M553=1),$M553&gt;(ROW(PLE.lastrow)-ROW(PLE.firstrow))),0,IF(OFFSET(PLE!$G$14,$M553,CM$13)="",10^12,OFFSET(PLE!$G$14,$M553,CM$13))))</f>
        <v>1000000000000</v>
      </c>
    </row>
    <row r="554" spans="1:91" ht="25.5" x14ac:dyDescent="0.2">
      <c r="A554" s="7" t="str">
        <f t="shared" ca="1" si="17"/>
        <v>528</v>
      </c>
      <c r="B554" s="7" t="str">
        <f ca="1">OFFSET(ORÇAMENTO!C$15,ROW(B554)-ROW(B$15),0)</f>
        <v>S</v>
      </c>
      <c r="C554" s="7" t="str">
        <f ca="1">OFFSET(ORÇAMENTO!L$15,ROW(C554)-ROW(C$15),0)</f>
        <v/>
      </c>
      <c r="D554" s="118" t="str">
        <f ca="1">OFFSET(ORÇAMENTO!N$15,ROW(D554)-ROW(D$15),0)</f>
        <v>Serviço</v>
      </c>
      <c r="E554" s="119" t="str">
        <f ca="1">OFFSET(ORÇAMENTO!O$15,ROW(E554)-ROW(E$15),0)</f>
        <v>-</v>
      </c>
      <c r="F554" s="172" t="str">
        <f ca="1">OFFSET(ORÇAMENTO!R$15,ROW(F554)-ROW(F$15),0)</f>
        <v>(abra o arquivo 'Referência 06-2024.xlsm)</v>
      </c>
      <c r="G554" s="173" t="str">
        <f ca="1">IF($D554&lt;&gt;"Serviço","",OFFSET(ORÇAMENTO!S$15,ROW(G554)-ROW(G$15),0))</f>
        <v>-</v>
      </c>
      <c r="H554" s="124">
        <f ca="1">IF($D554&lt;&gt;"Serviço",0,IF(ACOMPANHAMENTO="BM",ROUND(OFFSET(ORÇAMENTO!AJ$15,ROW(H554)-ROW(H$15),0),15-13*ORÇAMENTO!$AF$7),SUMPRODUCT(($Q$12:$AI$12&lt;&gt;"")*ROUND($Q554:$AI554,15-13*ORÇAMENTO!$AF$7))))</f>
        <v>2</v>
      </c>
      <c r="I554" s="561" t="s">
        <v>1107</v>
      </c>
      <c r="K554" s="174"/>
      <c r="L554" s="175" t="s">
        <v>255</v>
      </c>
      <c r="M554" s="176">
        <f ca="1">IF($D554&lt;&gt;"Serviço","",IF(AUTOEVENTO="manual",$A554,IF(ISERROR(MATCH($A554,$A$15:OFFSET($A554,-1,0),0)),MAX($M$15:OFFSET(M554,-1,0))+1,INDEX($M$15:OFFSET(M554,-1,0),MATCH($A554,$A$15:OFFSET($A554,-1,0),0)))))</f>
        <v>57</v>
      </c>
      <c r="N554" s="177" t="str">
        <f ca="1">IF($D554&lt;&gt;"Serviço","",IF(AUTOEVENTO="Manual",IF($A554=0,"&lt;-- defina o número do agrupador",OFFSET(EVENTOS!$D$14,$A554,0)),OFFSET($F$15,$A554,0)))</f>
        <v>INSTALAÇÃO ELÉTRICA 110V - DISPOSITIVOS DE PROTEÇÃO</v>
      </c>
      <c r="O554" s="178"/>
      <c r="Q554" s="178">
        <v>2</v>
      </c>
      <c r="R554" s="179"/>
      <c r="S554" s="179"/>
      <c r="T554" s="179"/>
      <c r="U554" s="179"/>
      <c r="V554" s="179"/>
      <c r="W554" s="179"/>
      <c r="X554" s="179"/>
      <c r="Y554" s="179"/>
      <c r="Z554" s="180"/>
      <c r="AA554" s="179"/>
      <c r="AB554" s="179"/>
      <c r="AC554" s="179"/>
      <c r="AD554" s="179"/>
      <c r="AE554" s="179"/>
      <c r="AF554" s="179"/>
      <c r="AG554" s="179"/>
      <c r="AH554" s="180"/>
      <c r="AJ554" s="544">
        <f ca="1">IF(AND($D554="Serviço",AJ$12&lt;&gt;0,$H554&gt;0,OR(AUTOEVENTO&lt;&gt;"manual",$M554&lt;&gt;1)),
IF(Import.TipoArredondamento&lt;&gt;"TransfereGOV",
ROUND(OFFSET($P554,0,AJ$13),15-13*ORÇAMENTO!$AF$7)/$H554*OFFSET(ORÇAMENTO!$X$15,ROW(AJ554)-ROW(AJ$15),0),
ROUND(ROUND(OFFSET($P554,0,AJ$13),15-13*ORÇAMENTO!$AF$7)*OFFSET(ORÇAMENTO!$W$15,ROW(AJ554)-ROW(AJ$15),0),15-13*ORÇAMENTO!$AF$11)),0)</f>
        <v>0</v>
      </c>
      <c r="AK554" s="545">
        <f ca="1">IF(AND($D554="Serviço",AK$12&lt;&gt;0,$H554&gt;0,OR(AUTOEVENTO&lt;&gt;"manual",$M554&lt;&gt;1)),
IF(Import.TipoArredondamento&lt;&gt;"TransfereGOV",
ROUND(OFFSET($P554,0,AK$13),15-13*ORÇAMENTO!$AF$7)/$H554*OFFSET(ORÇAMENTO!$X$15,ROW(AK554)-ROW(AK$15),0),
ROUND(ROUND(OFFSET($P554,0,AK$13),15-13*ORÇAMENTO!$AF$7)*OFFSET(ORÇAMENTO!$W$15,ROW(AK554)-ROW(AK$15),0),15-13*ORÇAMENTO!$AF$11)),0)</f>
        <v>0</v>
      </c>
      <c r="AL554" s="545">
        <f ca="1">IF(AND($D554="Serviço",AL$12&lt;&gt;0,$H554&gt;0,OR(AUTOEVENTO&lt;&gt;"manual",$M554&lt;&gt;1)),
IF(Import.TipoArredondamento&lt;&gt;"TransfereGOV",
ROUND(OFFSET($P554,0,AL$13),15-13*ORÇAMENTO!$AF$7)/$H554*OFFSET(ORÇAMENTO!$X$15,ROW(AL554)-ROW(AL$15),0),
ROUND(ROUND(OFFSET($P554,0,AL$13),15-13*ORÇAMENTO!$AF$7)*OFFSET(ORÇAMENTO!$W$15,ROW(AL554)-ROW(AL$15),0),15-13*ORÇAMENTO!$AF$11)),0)</f>
        <v>0</v>
      </c>
      <c r="AM554" s="545">
        <f ca="1">IF(AND($D554="Serviço",AM$12&lt;&gt;0,$H554&gt;0,OR(AUTOEVENTO&lt;&gt;"manual",$M554&lt;&gt;1)),
IF(Import.TipoArredondamento&lt;&gt;"TransfereGOV",
ROUND(OFFSET($P554,0,AM$13),15-13*ORÇAMENTO!$AF$7)/$H554*OFFSET(ORÇAMENTO!$X$15,ROW(AM554)-ROW(AM$15),0),
ROUND(ROUND(OFFSET($P554,0,AM$13),15-13*ORÇAMENTO!$AF$7)*OFFSET(ORÇAMENTO!$W$15,ROW(AM554)-ROW(AM$15),0),15-13*ORÇAMENTO!$AF$11)),0)</f>
        <v>0</v>
      </c>
      <c r="AN554" s="545">
        <f ca="1">IF(AND($D554="Serviço",AN$12&lt;&gt;0,$H554&gt;0,OR(AUTOEVENTO&lt;&gt;"manual",$M554&lt;&gt;1)),
IF(Import.TipoArredondamento&lt;&gt;"TransfereGOV",
ROUND(OFFSET($P554,0,AN$13),15-13*ORÇAMENTO!$AF$7)/$H554*OFFSET(ORÇAMENTO!$X$15,ROW(AN554)-ROW(AN$15),0),
ROUND(ROUND(OFFSET($P554,0,AN$13),15-13*ORÇAMENTO!$AF$7)*OFFSET(ORÇAMENTO!$W$15,ROW(AN554)-ROW(AN$15),0),15-13*ORÇAMENTO!$AF$11)),0)</f>
        <v>0</v>
      </c>
      <c r="AO554" s="545">
        <f ca="1">IF(AND($D554="Serviço",AO$12&lt;&gt;0,$H554&gt;0,OR(AUTOEVENTO&lt;&gt;"manual",$M554&lt;&gt;1)),
IF(Import.TipoArredondamento&lt;&gt;"TransfereGOV",
ROUND(OFFSET($P554,0,AO$13),15-13*ORÇAMENTO!$AF$7)/$H554*OFFSET(ORÇAMENTO!$X$15,ROW(AO554)-ROW(AO$15),0),
ROUND(ROUND(OFFSET($P554,0,AO$13),15-13*ORÇAMENTO!$AF$7)*OFFSET(ORÇAMENTO!$W$15,ROW(AO554)-ROW(AO$15),0),15-13*ORÇAMENTO!$AF$11)),0)</f>
        <v>0</v>
      </c>
      <c r="AP554" s="545">
        <f ca="1">IF(AND($D554="Serviço",AP$12&lt;&gt;0,$H554&gt;0,OR(AUTOEVENTO&lt;&gt;"manual",$M554&lt;&gt;1)),
IF(Import.TipoArredondamento&lt;&gt;"TransfereGOV",
ROUND(OFFSET($P554,0,AP$13),15-13*ORÇAMENTO!$AF$7)/$H554*OFFSET(ORÇAMENTO!$X$15,ROW(AP554)-ROW(AP$15),0),
ROUND(ROUND(OFFSET($P554,0,AP$13),15-13*ORÇAMENTO!$AF$7)*OFFSET(ORÇAMENTO!$W$15,ROW(AP554)-ROW(AP$15),0),15-13*ORÇAMENTO!$AF$11)),0)</f>
        <v>0</v>
      </c>
      <c r="AQ554" s="545">
        <f ca="1">IF(AND($D554="Serviço",AQ$12&lt;&gt;0,$H554&gt;0,OR(AUTOEVENTO&lt;&gt;"manual",$M554&lt;&gt;1)),
IF(Import.TipoArredondamento&lt;&gt;"TransfereGOV",
ROUND(OFFSET($P554,0,AQ$13),15-13*ORÇAMENTO!$AF$7)/$H554*OFFSET(ORÇAMENTO!$X$15,ROW(AQ554)-ROW(AQ$15),0),
ROUND(ROUND(OFFSET($P554,0,AQ$13),15-13*ORÇAMENTO!$AF$7)*OFFSET(ORÇAMENTO!$W$15,ROW(AQ554)-ROW(AQ$15),0),15-13*ORÇAMENTO!$AF$11)),0)</f>
        <v>0</v>
      </c>
      <c r="AR554" s="545">
        <f ca="1">IF(AND($D554="Serviço",AR$12&lt;&gt;0,$H554&gt;0,OR(AUTOEVENTO&lt;&gt;"manual",$M554&lt;&gt;1)),
IF(Import.TipoArredondamento&lt;&gt;"TransfereGOV",
ROUND(OFFSET($P554,0,AR$13),15-13*ORÇAMENTO!$AF$7)/$H554*OFFSET(ORÇAMENTO!$X$15,ROW(AR554)-ROW(AR$15),0),
ROUND(ROUND(OFFSET($P554,0,AR$13),15-13*ORÇAMENTO!$AF$7)*OFFSET(ORÇAMENTO!$W$15,ROW(AR554)-ROW(AR$15),0),15-13*ORÇAMENTO!$AF$11)),0)</f>
        <v>0</v>
      </c>
      <c r="AS554" s="546">
        <f ca="1">IF(AND($D554="Serviço",AS$12&lt;&gt;0,$H554&gt;0,OR(AUTOEVENTO&lt;&gt;"manual",$M554&lt;&gt;1)),
IF(Import.TipoArredondamento&lt;&gt;"TransfereGOV",
ROUND(OFFSET($P554,0,AS$13),15-13*ORÇAMENTO!$AF$7)/$H554*OFFSET(ORÇAMENTO!$X$15,ROW(AS554)-ROW(AS$15),0),
ROUND(ROUND(OFFSET($P554,0,AS$13),15-13*ORÇAMENTO!$AF$7)*OFFSET(ORÇAMENTO!$W$15,ROW(AS554)-ROW(AS$15),0),15-13*ORÇAMENTO!$AF$11)),0)</f>
        <v>0</v>
      </c>
      <c r="AT554" s="545">
        <f ca="1">IF(AND($D554="Serviço",AT$12&lt;&gt;0,$H554&gt;0,OR(AUTOEVENTO&lt;&gt;"manual",$M554&lt;&gt;1)),
IF(Import.TipoArredondamento&lt;&gt;"TransfereGOV",
ROUND(OFFSET($P554,0,AT$13),15-13*ORÇAMENTO!$AF$7)/$H554*OFFSET(ORÇAMENTO!$X$15,ROW(AT554)-ROW(AT$15),0),
ROUND(ROUND(OFFSET($P554,0,AT$13),15-13*ORÇAMENTO!$AF$7)*OFFSET(ORÇAMENTO!$W$15,ROW(AT554)-ROW(AT$15),0),15-13*ORÇAMENTO!$AF$11)),0)</f>
        <v>0</v>
      </c>
      <c r="AU554" s="545">
        <f ca="1">IF(AND($D554="Serviço",AU$12&lt;&gt;0,$H554&gt;0,OR(AUTOEVENTO&lt;&gt;"manual",$M554&lt;&gt;1)),
IF(Import.TipoArredondamento&lt;&gt;"TransfereGOV",
ROUND(OFFSET($P554,0,AU$13),15-13*ORÇAMENTO!$AF$7)/$H554*OFFSET(ORÇAMENTO!$X$15,ROW(AU554)-ROW(AU$15),0),
ROUND(ROUND(OFFSET($P554,0,AU$13),15-13*ORÇAMENTO!$AF$7)*OFFSET(ORÇAMENTO!$W$15,ROW(AU554)-ROW(AU$15),0),15-13*ORÇAMENTO!$AF$11)),0)</f>
        <v>0</v>
      </c>
      <c r="AV554" s="545">
        <f ca="1">IF(AND($D554="Serviço",AV$12&lt;&gt;0,$H554&gt;0,OR(AUTOEVENTO&lt;&gt;"manual",$M554&lt;&gt;1)),
IF(Import.TipoArredondamento&lt;&gt;"TransfereGOV",
ROUND(OFFSET($P554,0,AV$13),15-13*ORÇAMENTO!$AF$7)/$H554*OFFSET(ORÇAMENTO!$X$15,ROW(AV554)-ROW(AV$15),0),
ROUND(ROUND(OFFSET($P554,0,AV$13),15-13*ORÇAMENTO!$AF$7)*OFFSET(ORÇAMENTO!$W$15,ROW(AV554)-ROW(AV$15),0),15-13*ORÇAMENTO!$AF$11)),0)</f>
        <v>0</v>
      </c>
      <c r="AW554" s="545">
        <f ca="1">IF(AND($D554="Serviço",AW$12&lt;&gt;0,$H554&gt;0,OR(AUTOEVENTO&lt;&gt;"manual",$M554&lt;&gt;1)),
IF(Import.TipoArredondamento&lt;&gt;"TransfereGOV",
ROUND(OFFSET($P554,0,AW$13),15-13*ORÇAMENTO!$AF$7)/$H554*OFFSET(ORÇAMENTO!$X$15,ROW(AW554)-ROW(AW$15),0),
ROUND(ROUND(OFFSET($P554,0,AW$13),15-13*ORÇAMENTO!$AF$7)*OFFSET(ORÇAMENTO!$W$15,ROW(AW554)-ROW(AW$15),0),15-13*ORÇAMENTO!$AF$11)),0)</f>
        <v>0</v>
      </c>
      <c r="AX554" s="545">
        <f ca="1">IF(AND($D554="Serviço",AX$12&lt;&gt;0,$H554&gt;0,OR(AUTOEVENTO&lt;&gt;"manual",$M554&lt;&gt;1)),
IF(Import.TipoArredondamento&lt;&gt;"TransfereGOV",
ROUND(OFFSET($P554,0,AX$13),15-13*ORÇAMENTO!$AF$7)/$H554*OFFSET(ORÇAMENTO!$X$15,ROW(AX554)-ROW(AX$15),0),
ROUND(ROUND(OFFSET($P554,0,AX$13),15-13*ORÇAMENTO!$AF$7)*OFFSET(ORÇAMENTO!$W$15,ROW(AX554)-ROW(AX$15),0),15-13*ORÇAMENTO!$AF$11)),0)</f>
        <v>0</v>
      </c>
      <c r="AY554" s="545">
        <f ca="1">IF(AND($D554="Serviço",AY$12&lt;&gt;0,$H554&gt;0,OR(AUTOEVENTO&lt;&gt;"manual",$M554&lt;&gt;1)),
IF(Import.TipoArredondamento&lt;&gt;"TransfereGOV",
ROUND(OFFSET($P554,0,AY$13),15-13*ORÇAMENTO!$AF$7)/$H554*OFFSET(ORÇAMENTO!$X$15,ROW(AY554)-ROW(AY$15),0),
ROUND(ROUND(OFFSET($P554,0,AY$13),15-13*ORÇAMENTO!$AF$7)*OFFSET(ORÇAMENTO!$W$15,ROW(AY554)-ROW(AY$15),0),15-13*ORÇAMENTO!$AF$11)),0)</f>
        <v>0</v>
      </c>
      <c r="AZ554" s="545">
        <f ca="1">IF(AND($D554="Serviço",AZ$12&lt;&gt;0,$H554&gt;0,OR(AUTOEVENTO&lt;&gt;"manual",$M554&lt;&gt;1)),
IF(Import.TipoArredondamento&lt;&gt;"TransfereGOV",
ROUND(OFFSET($P554,0,AZ$13),15-13*ORÇAMENTO!$AF$7)/$H554*OFFSET(ORÇAMENTO!$X$15,ROW(AZ554)-ROW(AZ$15),0),
ROUND(ROUND(OFFSET($P554,0,AZ$13),15-13*ORÇAMENTO!$AF$7)*OFFSET(ORÇAMENTO!$W$15,ROW(AZ554)-ROW(AZ$15),0),15-13*ORÇAMENTO!$AF$11)),0)</f>
        <v>0</v>
      </c>
      <c r="BA554" s="546">
        <f ca="1">IF(AND($D554="Serviço",BA$12&lt;&gt;0,$H554&gt;0,OR(AUTOEVENTO&lt;&gt;"manual",$M554&lt;&gt;1)),
IF(Import.TipoArredondamento&lt;&gt;"TransfereGOV",
ROUND(OFFSET($P554,0,BA$13),15-13*ORÇAMENTO!$AF$7)/$H554*OFFSET(ORÇAMENTO!$X$15,ROW(BA554)-ROW(BA$15),0),
ROUND(ROUND(OFFSET($P554,0,BA$13),15-13*ORÇAMENTO!$AF$7)*OFFSET(ORÇAMENTO!$W$15,ROW(BA554)-ROW(BA$15),0),15-13*ORÇAMENTO!$AF$11)),0)</f>
        <v>0</v>
      </c>
      <c r="BC554" s="181">
        <f ca="1">IF($D554&lt;&gt;"Serviço",0,IF(AND(AUTOEVENTO="Manual",$M554=1),0,IF(OFFSET(CRONOPLE!$F$14,$M554,BC$13)="",10^12,OFFSET(CRONOPLE!$F$14,$M554,BC$13))))</f>
        <v>10</v>
      </c>
      <c r="BD554" s="181">
        <f ca="1">IF($D554&lt;&gt;"Serviço",0,IF(AND(AUTOEVENTO="Manual",$M554=1),0,IF(OFFSET(CRONOPLE!$F$14,$M554,BD$13)="",10^12,OFFSET(CRONOPLE!$F$14,$M554,BD$13))))</f>
        <v>1000000000000</v>
      </c>
      <c r="BE554" s="181">
        <f ca="1">IF($D554&lt;&gt;"Serviço",0,IF(AND(AUTOEVENTO="Manual",$M554=1),0,IF(OFFSET(CRONOPLE!$F$14,$M554,BE$13)="",10^12,OFFSET(CRONOPLE!$F$14,$M554,BE$13))))</f>
        <v>1000000000000</v>
      </c>
      <c r="BF554" s="181">
        <f ca="1">IF($D554&lt;&gt;"Serviço",0,IF(AND(AUTOEVENTO="Manual",$M554=1),0,IF(OFFSET(CRONOPLE!$F$14,$M554,BF$13)="",10^12,OFFSET(CRONOPLE!$F$14,$M554,BF$13))))</f>
        <v>1000000000000</v>
      </c>
      <c r="BG554" s="181">
        <f ca="1">IF($D554&lt;&gt;"Serviço",0,IF(AND(AUTOEVENTO="Manual",$M554=1),0,IF(OFFSET(CRONOPLE!$F$14,$M554,BG$13)="",10^12,OFFSET(CRONOPLE!$F$14,$M554,BG$13))))</f>
        <v>1000000000000</v>
      </c>
      <c r="BH554" s="181">
        <f ca="1">IF($D554&lt;&gt;"Serviço",0,IF(AND(AUTOEVENTO="Manual",$M554=1),0,IF(OFFSET(CRONOPLE!$F$14,$M554,BH$13)="",10^12,OFFSET(CRONOPLE!$F$14,$M554,BH$13))))</f>
        <v>1000000000000</v>
      </c>
      <c r="BI554" s="181">
        <f ca="1">IF($D554&lt;&gt;"Serviço",0,IF(AND(AUTOEVENTO="Manual",$M554=1),0,IF(OFFSET(CRONOPLE!$F$14,$M554,BI$13)="",10^12,OFFSET(CRONOPLE!$F$14,$M554,BI$13))))</f>
        <v>1000000000000</v>
      </c>
      <c r="BJ554" s="181">
        <f ca="1">IF($D554&lt;&gt;"Serviço",0,IF(AND(AUTOEVENTO="Manual",$M554=1),0,IF(OFFSET(CRONOPLE!$F$14,$M554,BJ$13)="",10^12,OFFSET(CRONOPLE!$F$14,$M554,BJ$13))))</f>
        <v>1000000000000</v>
      </c>
      <c r="BK554" s="181">
        <f ca="1">IF($D554&lt;&gt;"Serviço",0,IF(AND(AUTOEVENTO="Manual",$M554=1),0,IF(OFFSET(CRONOPLE!$F$14,$M554,BK$13)="",10^12,OFFSET(CRONOPLE!$F$14,$M554,BK$13))))</f>
        <v>1000000000000</v>
      </c>
      <c r="BL554" s="181">
        <f ca="1">IF($D554&lt;&gt;"Serviço",0,IF(AND(AUTOEVENTO="Manual",$M554=1),0,IF(OFFSET(CRONOPLE!$F$14,$M554,BL$13)="",10^12,OFFSET(CRONOPLE!$F$14,$M554,BL$13))))</f>
        <v>1000000000000</v>
      </c>
      <c r="BM554" s="181">
        <f ca="1">IF($D554&lt;&gt;"Serviço",0,IF(AND(AUTOEVENTO="Manual",$M554=1),0,IF(OFFSET(CRONOPLE!$F$14,$M554,BM$13)="",10^12,OFFSET(CRONOPLE!$F$14,$M554,BM$13))))</f>
        <v>1000000000000</v>
      </c>
      <c r="BN554" s="181">
        <f ca="1">IF($D554&lt;&gt;"Serviço",0,IF(AND(AUTOEVENTO="Manual",$M554=1),0,IF(OFFSET(CRONOPLE!$F$14,$M554,BN$13)="",10^12,OFFSET(CRONOPLE!$F$14,$M554,BN$13))))</f>
        <v>1000000000000</v>
      </c>
      <c r="BO554" s="181">
        <f ca="1">IF($D554&lt;&gt;"Serviço",0,IF(AND(AUTOEVENTO="Manual",$M554=1),0,IF(OFFSET(CRONOPLE!$F$14,$M554,BO$13)="",10^12,OFFSET(CRONOPLE!$F$14,$M554,BO$13))))</f>
        <v>1000000000000</v>
      </c>
      <c r="BP554" s="181">
        <f ca="1">IF($D554&lt;&gt;"Serviço",0,IF(AND(AUTOEVENTO="Manual",$M554=1),0,IF(OFFSET(CRONOPLE!$F$14,$M554,BP$13)="",10^12,OFFSET(CRONOPLE!$F$14,$M554,BP$13))))</f>
        <v>1000000000000</v>
      </c>
      <c r="BQ554" s="181">
        <f ca="1">IF($D554&lt;&gt;"Serviço",0,IF(AND(AUTOEVENTO="Manual",$M554=1),0,IF(OFFSET(CRONOPLE!$F$14,$M554,BQ$13)="",10^12,OFFSET(CRONOPLE!$F$14,$M554,BQ$13))))</f>
        <v>1000000000000</v>
      </c>
      <c r="BR554" s="181">
        <f ca="1">IF($D554&lt;&gt;"Serviço",0,IF(AND(AUTOEVENTO="Manual",$M554=1),0,IF(OFFSET(CRONOPLE!$F$14,$M554,BR$13)="",10^12,OFFSET(CRONOPLE!$F$14,$M554,BR$13))))</f>
        <v>1000000000000</v>
      </c>
      <c r="BS554" s="181">
        <f ca="1">IF($D554&lt;&gt;"Serviço",0,IF(AND(AUTOEVENTO="Manual",$M554=1),0,IF(OFFSET(CRONOPLE!$F$14,$M554,BS$13)="",10^12,OFFSET(CRONOPLE!$F$14,$M554,BS$13))))</f>
        <v>1000000000000</v>
      </c>
      <c r="BT554" s="181">
        <f ca="1">IF($D554&lt;&gt;"Serviço",0,IF(AND(AUTOEVENTO="Manual",$M554=1),0,IF(OFFSET(CRONOPLE!$F$14,$M554,BT$13)="",10^12,OFFSET(CRONOPLE!$F$14,$M554,BT$13))))</f>
        <v>1000000000000</v>
      </c>
      <c r="BV554" s="182">
        <f ca="1">IF($D554&lt;&gt;"Serviço",0,IF(OR(AND(AUTOEVENTO="Manual",$M554=1),$M554&gt;(ROW(PLE.lastrow)-ROW(PLE.firstrow))),0,IF(OFFSET(PLE!$G$14,$M554,BV$13)="",10^12,OFFSET(PLE!$G$14,$M554,BV$13))))</f>
        <v>1000000000000</v>
      </c>
      <c r="BW554" s="182">
        <f ca="1">IF($D554&lt;&gt;"Serviço",0,IF(OR(AND(AUTOEVENTO="Manual",$M554=1),$M554&gt;(ROW(PLE.lastrow)-ROW(PLE.firstrow))),0,IF(OFFSET(PLE!$G$14,$M554,BW$13)="",10^12,OFFSET(PLE!$G$14,$M554,BW$13))))</f>
        <v>1000000000000</v>
      </c>
      <c r="BX554" s="182">
        <f ca="1">IF($D554&lt;&gt;"Serviço",0,IF(OR(AND(AUTOEVENTO="Manual",$M554=1),$M554&gt;(ROW(PLE.lastrow)-ROW(PLE.firstrow))),0,IF(OFFSET(PLE!$G$14,$M554,BX$13)="",10^12,OFFSET(PLE!$G$14,$M554,BX$13))))</f>
        <v>1000000000000</v>
      </c>
      <c r="BY554" s="182">
        <f ca="1">IF($D554&lt;&gt;"Serviço",0,IF(OR(AND(AUTOEVENTO="Manual",$M554=1),$M554&gt;(ROW(PLE.lastrow)-ROW(PLE.firstrow))),0,IF(OFFSET(PLE!$G$14,$M554,BY$13)="",10^12,OFFSET(PLE!$G$14,$M554,BY$13))))</f>
        <v>1000000000000</v>
      </c>
      <c r="BZ554" s="182">
        <f ca="1">IF($D554&lt;&gt;"Serviço",0,IF(OR(AND(AUTOEVENTO="Manual",$M554=1),$M554&gt;(ROW(PLE.lastrow)-ROW(PLE.firstrow))),0,IF(OFFSET(PLE!$G$14,$M554,BZ$13)="",10^12,OFFSET(PLE!$G$14,$M554,BZ$13))))</f>
        <v>1000000000000</v>
      </c>
      <c r="CA554" s="182">
        <f ca="1">IF($D554&lt;&gt;"Serviço",0,IF(OR(AND(AUTOEVENTO="Manual",$M554=1),$M554&gt;(ROW(PLE.lastrow)-ROW(PLE.firstrow))),0,IF(OFFSET(PLE!$G$14,$M554,CA$13)="",10^12,OFFSET(PLE!$G$14,$M554,CA$13))))</f>
        <v>1000000000000</v>
      </c>
      <c r="CB554" s="182">
        <f ca="1">IF($D554&lt;&gt;"Serviço",0,IF(OR(AND(AUTOEVENTO="Manual",$M554=1),$M554&gt;(ROW(PLE.lastrow)-ROW(PLE.firstrow))),0,IF(OFFSET(PLE!$G$14,$M554,CB$13)="",10^12,OFFSET(PLE!$G$14,$M554,CB$13))))</f>
        <v>1000000000000</v>
      </c>
      <c r="CC554" s="182">
        <f ca="1">IF($D554&lt;&gt;"Serviço",0,IF(OR(AND(AUTOEVENTO="Manual",$M554=1),$M554&gt;(ROW(PLE.lastrow)-ROW(PLE.firstrow))),0,IF(OFFSET(PLE!$G$14,$M554,CC$13)="",10^12,OFFSET(PLE!$G$14,$M554,CC$13))))</f>
        <v>1000000000000</v>
      </c>
      <c r="CD554" s="182">
        <f ca="1">IF($D554&lt;&gt;"Serviço",0,IF(OR(AND(AUTOEVENTO="Manual",$M554=1),$M554&gt;(ROW(PLE.lastrow)-ROW(PLE.firstrow))),0,IF(OFFSET(PLE!$G$14,$M554,CD$13)="",10^12,OFFSET(PLE!$G$14,$M554,CD$13))))</f>
        <v>1000000000000</v>
      </c>
      <c r="CE554" s="182">
        <f ca="1">IF($D554&lt;&gt;"Serviço",0,IF(OR(AND(AUTOEVENTO="Manual",$M554=1),$M554&gt;(ROW(PLE.lastrow)-ROW(PLE.firstrow))),0,IF(OFFSET(PLE!$G$14,$M554,CE$13)="",10^12,OFFSET(PLE!$G$14,$M554,CE$13))))</f>
        <v>1000000000000</v>
      </c>
      <c r="CF554" s="182">
        <f ca="1">IF($D554&lt;&gt;"Serviço",0,IF(OR(AND(AUTOEVENTO="Manual",$M554=1),$M554&gt;(ROW(PLE.lastrow)-ROW(PLE.firstrow))),0,IF(OFFSET(PLE!$G$14,$M554,CF$13)="",10^12,OFFSET(PLE!$G$14,$M554,CF$13))))</f>
        <v>1000000000000</v>
      </c>
      <c r="CG554" s="182">
        <f ca="1">IF($D554&lt;&gt;"Serviço",0,IF(OR(AND(AUTOEVENTO="Manual",$M554=1),$M554&gt;(ROW(PLE.lastrow)-ROW(PLE.firstrow))),0,IF(OFFSET(PLE!$G$14,$M554,CG$13)="",10^12,OFFSET(PLE!$G$14,$M554,CG$13))))</f>
        <v>1000000000000</v>
      </c>
      <c r="CH554" s="182">
        <f ca="1">IF($D554&lt;&gt;"Serviço",0,IF(OR(AND(AUTOEVENTO="Manual",$M554=1),$M554&gt;(ROW(PLE.lastrow)-ROW(PLE.firstrow))),0,IF(OFFSET(PLE!$G$14,$M554,CH$13)="",10^12,OFFSET(PLE!$G$14,$M554,CH$13))))</f>
        <v>1000000000000</v>
      </c>
      <c r="CI554" s="182">
        <f ca="1">IF($D554&lt;&gt;"Serviço",0,IF(OR(AND(AUTOEVENTO="Manual",$M554=1),$M554&gt;(ROW(PLE.lastrow)-ROW(PLE.firstrow))),0,IF(OFFSET(PLE!$G$14,$M554,CI$13)="",10^12,OFFSET(PLE!$G$14,$M554,CI$13))))</f>
        <v>1000000000000</v>
      </c>
      <c r="CJ554" s="182">
        <f ca="1">IF($D554&lt;&gt;"Serviço",0,IF(OR(AND(AUTOEVENTO="Manual",$M554=1),$M554&gt;(ROW(PLE.lastrow)-ROW(PLE.firstrow))),0,IF(OFFSET(PLE!$G$14,$M554,CJ$13)="",10^12,OFFSET(PLE!$G$14,$M554,CJ$13))))</f>
        <v>1000000000000</v>
      </c>
      <c r="CK554" s="182">
        <f ca="1">IF($D554&lt;&gt;"Serviço",0,IF(OR(AND(AUTOEVENTO="Manual",$M554=1),$M554&gt;(ROW(PLE.lastrow)-ROW(PLE.firstrow))),0,IF(OFFSET(PLE!$G$14,$M554,CK$13)="",10^12,OFFSET(PLE!$G$14,$M554,CK$13))))</f>
        <v>1000000000000</v>
      </c>
      <c r="CL554" s="182">
        <f ca="1">IF($D554&lt;&gt;"Serviço",0,IF(OR(AND(AUTOEVENTO="Manual",$M554=1),$M554&gt;(ROW(PLE.lastrow)-ROW(PLE.firstrow))),0,IF(OFFSET(PLE!$G$14,$M554,CL$13)="",10^12,OFFSET(PLE!$G$14,$M554,CL$13))))</f>
        <v>1000000000000</v>
      </c>
      <c r="CM554" s="182">
        <f ca="1">IF($D554&lt;&gt;"Serviço",0,IF(OR(AND(AUTOEVENTO="Manual",$M554=1),$M554&gt;(ROW(PLE.lastrow)-ROW(PLE.firstrow))),0,IF(OFFSET(PLE!$G$14,$M554,CM$13)="",10^12,OFFSET(PLE!$G$14,$M554,CM$13))))</f>
        <v>1000000000000</v>
      </c>
    </row>
    <row r="555" spans="1:91" ht="25.5" x14ac:dyDescent="0.2">
      <c r="A555" s="7" t="str">
        <f t="shared" ca="1" si="17"/>
        <v>528</v>
      </c>
      <c r="B555" s="7" t="str">
        <f ca="1">OFFSET(ORÇAMENTO!C$15,ROW(B555)-ROW(B$15),0)</f>
        <v>S</v>
      </c>
      <c r="C555" s="7" t="str">
        <f ca="1">OFFSET(ORÇAMENTO!L$15,ROW(C555)-ROW(C$15),0)</f>
        <v/>
      </c>
      <c r="D555" s="118" t="str">
        <f ca="1">OFFSET(ORÇAMENTO!N$15,ROW(D555)-ROW(D$15),0)</f>
        <v>Serviço</v>
      </c>
      <c r="E555" s="119" t="str">
        <f ca="1">OFFSET(ORÇAMENTO!O$15,ROW(E555)-ROW(E$15),0)</f>
        <v>-</v>
      </c>
      <c r="F555" s="172" t="str">
        <f ca="1">OFFSET(ORÇAMENTO!R$15,ROW(F555)-ROW(F$15),0)</f>
        <v>(abra o arquivo 'Referência 06-2024.xlsm)</v>
      </c>
      <c r="G555" s="173" t="str">
        <f ca="1">IF($D555&lt;&gt;"Serviço","",OFFSET(ORÇAMENTO!S$15,ROW(G555)-ROW(G$15),0))</f>
        <v>-</v>
      </c>
      <c r="H555" s="124">
        <f ca="1">IF($D555&lt;&gt;"Serviço",0,IF(ACOMPANHAMENTO="BM",ROUND(OFFSET(ORÇAMENTO!AJ$15,ROW(H555)-ROW(H$15),0),15-13*ORÇAMENTO!$AF$7),SUMPRODUCT(($Q$12:$AI$12&lt;&gt;"")*ROUND($Q555:$AI555,15-13*ORÇAMENTO!$AF$7))))</f>
        <v>2</v>
      </c>
      <c r="I555" s="561" t="s">
        <v>1107</v>
      </c>
      <c r="K555" s="174"/>
      <c r="L555" s="175" t="s">
        <v>255</v>
      </c>
      <c r="M555" s="176">
        <f ca="1">IF($D555&lt;&gt;"Serviço","",IF(AUTOEVENTO="manual",$A555,IF(ISERROR(MATCH($A555,$A$15:OFFSET($A555,-1,0),0)),MAX($M$15:OFFSET(M555,-1,0))+1,INDEX($M$15:OFFSET(M555,-1,0),MATCH($A555,$A$15:OFFSET($A555,-1,0),0)))))</f>
        <v>57</v>
      </c>
      <c r="N555" s="177" t="str">
        <f ca="1">IF($D555&lt;&gt;"Serviço","",IF(AUTOEVENTO="Manual",IF($A555=0,"&lt;-- defina o número do agrupador",OFFSET(EVENTOS!$D$14,$A555,0)),OFFSET($F$15,$A555,0)))</f>
        <v>INSTALAÇÃO ELÉTRICA 110V - DISPOSITIVOS DE PROTEÇÃO</v>
      </c>
      <c r="O555" s="178"/>
      <c r="Q555" s="178">
        <v>2</v>
      </c>
      <c r="R555" s="179"/>
      <c r="S555" s="179"/>
      <c r="T555" s="179"/>
      <c r="U555" s="179"/>
      <c r="V555" s="179"/>
      <c r="W555" s="179"/>
      <c r="X555" s="179"/>
      <c r="Y555" s="179"/>
      <c r="Z555" s="180"/>
      <c r="AA555" s="179"/>
      <c r="AB555" s="179"/>
      <c r="AC555" s="179"/>
      <c r="AD555" s="179"/>
      <c r="AE555" s="179"/>
      <c r="AF555" s="179"/>
      <c r="AG555" s="179"/>
      <c r="AH555" s="180"/>
      <c r="AJ555" s="544">
        <f ca="1">IF(AND($D555="Serviço",AJ$12&lt;&gt;0,$H555&gt;0,OR(AUTOEVENTO&lt;&gt;"manual",$M555&lt;&gt;1)),
IF(Import.TipoArredondamento&lt;&gt;"TransfereGOV",
ROUND(OFFSET($P555,0,AJ$13),15-13*ORÇAMENTO!$AF$7)/$H555*OFFSET(ORÇAMENTO!$X$15,ROW(AJ555)-ROW(AJ$15),0),
ROUND(ROUND(OFFSET($P555,0,AJ$13),15-13*ORÇAMENTO!$AF$7)*OFFSET(ORÇAMENTO!$W$15,ROW(AJ555)-ROW(AJ$15),0),15-13*ORÇAMENTO!$AF$11)),0)</f>
        <v>0</v>
      </c>
      <c r="AK555" s="545">
        <f ca="1">IF(AND($D555="Serviço",AK$12&lt;&gt;0,$H555&gt;0,OR(AUTOEVENTO&lt;&gt;"manual",$M555&lt;&gt;1)),
IF(Import.TipoArredondamento&lt;&gt;"TransfereGOV",
ROUND(OFFSET($P555,0,AK$13),15-13*ORÇAMENTO!$AF$7)/$H555*OFFSET(ORÇAMENTO!$X$15,ROW(AK555)-ROW(AK$15),0),
ROUND(ROUND(OFFSET($P555,0,AK$13),15-13*ORÇAMENTO!$AF$7)*OFFSET(ORÇAMENTO!$W$15,ROW(AK555)-ROW(AK$15),0),15-13*ORÇAMENTO!$AF$11)),0)</f>
        <v>0</v>
      </c>
      <c r="AL555" s="545">
        <f ca="1">IF(AND($D555="Serviço",AL$12&lt;&gt;0,$H555&gt;0,OR(AUTOEVENTO&lt;&gt;"manual",$M555&lt;&gt;1)),
IF(Import.TipoArredondamento&lt;&gt;"TransfereGOV",
ROUND(OFFSET($P555,0,AL$13),15-13*ORÇAMENTO!$AF$7)/$H555*OFFSET(ORÇAMENTO!$X$15,ROW(AL555)-ROW(AL$15),0),
ROUND(ROUND(OFFSET($P555,0,AL$13),15-13*ORÇAMENTO!$AF$7)*OFFSET(ORÇAMENTO!$W$15,ROW(AL555)-ROW(AL$15),0),15-13*ORÇAMENTO!$AF$11)),0)</f>
        <v>0</v>
      </c>
      <c r="AM555" s="545">
        <f ca="1">IF(AND($D555="Serviço",AM$12&lt;&gt;0,$H555&gt;0,OR(AUTOEVENTO&lt;&gt;"manual",$M555&lt;&gt;1)),
IF(Import.TipoArredondamento&lt;&gt;"TransfereGOV",
ROUND(OFFSET($P555,0,AM$13),15-13*ORÇAMENTO!$AF$7)/$H555*OFFSET(ORÇAMENTO!$X$15,ROW(AM555)-ROW(AM$15),0),
ROUND(ROUND(OFFSET($P555,0,AM$13),15-13*ORÇAMENTO!$AF$7)*OFFSET(ORÇAMENTO!$W$15,ROW(AM555)-ROW(AM$15),0),15-13*ORÇAMENTO!$AF$11)),0)</f>
        <v>0</v>
      </c>
      <c r="AN555" s="545">
        <f ca="1">IF(AND($D555="Serviço",AN$12&lt;&gt;0,$H555&gt;0,OR(AUTOEVENTO&lt;&gt;"manual",$M555&lt;&gt;1)),
IF(Import.TipoArredondamento&lt;&gt;"TransfereGOV",
ROUND(OFFSET($P555,0,AN$13),15-13*ORÇAMENTO!$AF$7)/$H555*OFFSET(ORÇAMENTO!$X$15,ROW(AN555)-ROW(AN$15),0),
ROUND(ROUND(OFFSET($P555,0,AN$13),15-13*ORÇAMENTO!$AF$7)*OFFSET(ORÇAMENTO!$W$15,ROW(AN555)-ROW(AN$15),0),15-13*ORÇAMENTO!$AF$11)),0)</f>
        <v>0</v>
      </c>
      <c r="AO555" s="545">
        <f ca="1">IF(AND($D555="Serviço",AO$12&lt;&gt;0,$H555&gt;0,OR(AUTOEVENTO&lt;&gt;"manual",$M555&lt;&gt;1)),
IF(Import.TipoArredondamento&lt;&gt;"TransfereGOV",
ROUND(OFFSET($P555,0,AO$13),15-13*ORÇAMENTO!$AF$7)/$H555*OFFSET(ORÇAMENTO!$X$15,ROW(AO555)-ROW(AO$15),0),
ROUND(ROUND(OFFSET($P555,0,AO$13),15-13*ORÇAMENTO!$AF$7)*OFFSET(ORÇAMENTO!$W$15,ROW(AO555)-ROW(AO$15),0),15-13*ORÇAMENTO!$AF$11)),0)</f>
        <v>0</v>
      </c>
      <c r="AP555" s="545">
        <f ca="1">IF(AND($D555="Serviço",AP$12&lt;&gt;0,$H555&gt;0,OR(AUTOEVENTO&lt;&gt;"manual",$M555&lt;&gt;1)),
IF(Import.TipoArredondamento&lt;&gt;"TransfereGOV",
ROUND(OFFSET($P555,0,AP$13),15-13*ORÇAMENTO!$AF$7)/$H555*OFFSET(ORÇAMENTO!$X$15,ROW(AP555)-ROW(AP$15),0),
ROUND(ROUND(OFFSET($P555,0,AP$13),15-13*ORÇAMENTO!$AF$7)*OFFSET(ORÇAMENTO!$W$15,ROW(AP555)-ROW(AP$15),0),15-13*ORÇAMENTO!$AF$11)),0)</f>
        <v>0</v>
      </c>
      <c r="AQ555" s="545">
        <f ca="1">IF(AND($D555="Serviço",AQ$12&lt;&gt;0,$H555&gt;0,OR(AUTOEVENTO&lt;&gt;"manual",$M555&lt;&gt;1)),
IF(Import.TipoArredondamento&lt;&gt;"TransfereGOV",
ROUND(OFFSET($P555,0,AQ$13),15-13*ORÇAMENTO!$AF$7)/$H555*OFFSET(ORÇAMENTO!$X$15,ROW(AQ555)-ROW(AQ$15),0),
ROUND(ROUND(OFFSET($P555,0,AQ$13),15-13*ORÇAMENTO!$AF$7)*OFFSET(ORÇAMENTO!$W$15,ROW(AQ555)-ROW(AQ$15),0),15-13*ORÇAMENTO!$AF$11)),0)</f>
        <v>0</v>
      </c>
      <c r="AR555" s="545">
        <f ca="1">IF(AND($D555="Serviço",AR$12&lt;&gt;0,$H555&gt;0,OR(AUTOEVENTO&lt;&gt;"manual",$M555&lt;&gt;1)),
IF(Import.TipoArredondamento&lt;&gt;"TransfereGOV",
ROUND(OFFSET($P555,0,AR$13),15-13*ORÇAMENTO!$AF$7)/$H555*OFFSET(ORÇAMENTO!$X$15,ROW(AR555)-ROW(AR$15),0),
ROUND(ROUND(OFFSET($P555,0,AR$13),15-13*ORÇAMENTO!$AF$7)*OFFSET(ORÇAMENTO!$W$15,ROW(AR555)-ROW(AR$15),0),15-13*ORÇAMENTO!$AF$11)),0)</f>
        <v>0</v>
      </c>
      <c r="AS555" s="546">
        <f ca="1">IF(AND($D555="Serviço",AS$12&lt;&gt;0,$H555&gt;0,OR(AUTOEVENTO&lt;&gt;"manual",$M555&lt;&gt;1)),
IF(Import.TipoArredondamento&lt;&gt;"TransfereGOV",
ROUND(OFFSET($P555,0,AS$13),15-13*ORÇAMENTO!$AF$7)/$H555*OFFSET(ORÇAMENTO!$X$15,ROW(AS555)-ROW(AS$15),0),
ROUND(ROUND(OFFSET($P555,0,AS$13),15-13*ORÇAMENTO!$AF$7)*OFFSET(ORÇAMENTO!$W$15,ROW(AS555)-ROW(AS$15),0),15-13*ORÇAMENTO!$AF$11)),0)</f>
        <v>0</v>
      </c>
      <c r="AT555" s="545">
        <f ca="1">IF(AND($D555="Serviço",AT$12&lt;&gt;0,$H555&gt;0,OR(AUTOEVENTO&lt;&gt;"manual",$M555&lt;&gt;1)),
IF(Import.TipoArredondamento&lt;&gt;"TransfereGOV",
ROUND(OFFSET($P555,0,AT$13),15-13*ORÇAMENTO!$AF$7)/$H555*OFFSET(ORÇAMENTO!$X$15,ROW(AT555)-ROW(AT$15),0),
ROUND(ROUND(OFFSET($P555,0,AT$13),15-13*ORÇAMENTO!$AF$7)*OFFSET(ORÇAMENTO!$W$15,ROW(AT555)-ROW(AT$15),0),15-13*ORÇAMENTO!$AF$11)),0)</f>
        <v>0</v>
      </c>
      <c r="AU555" s="545">
        <f ca="1">IF(AND($D555="Serviço",AU$12&lt;&gt;0,$H555&gt;0,OR(AUTOEVENTO&lt;&gt;"manual",$M555&lt;&gt;1)),
IF(Import.TipoArredondamento&lt;&gt;"TransfereGOV",
ROUND(OFFSET($P555,0,AU$13),15-13*ORÇAMENTO!$AF$7)/$H555*OFFSET(ORÇAMENTO!$X$15,ROW(AU555)-ROW(AU$15),0),
ROUND(ROUND(OFFSET($P555,0,AU$13),15-13*ORÇAMENTO!$AF$7)*OFFSET(ORÇAMENTO!$W$15,ROW(AU555)-ROW(AU$15),0),15-13*ORÇAMENTO!$AF$11)),0)</f>
        <v>0</v>
      </c>
      <c r="AV555" s="545">
        <f ca="1">IF(AND($D555="Serviço",AV$12&lt;&gt;0,$H555&gt;0,OR(AUTOEVENTO&lt;&gt;"manual",$M555&lt;&gt;1)),
IF(Import.TipoArredondamento&lt;&gt;"TransfereGOV",
ROUND(OFFSET($P555,0,AV$13),15-13*ORÇAMENTO!$AF$7)/$H555*OFFSET(ORÇAMENTO!$X$15,ROW(AV555)-ROW(AV$15),0),
ROUND(ROUND(OFFSET($P555,0,AV$13),15-13*ORÇAMENTO!$AF$7)*OFFSET(ORÇAMENTO!$W$15,ROW(AV555)-ROW(AV$15),0),15-13*ORÇAMENTO!$AF$11)),0)</f>
        <v>0</v>
      </c>
      <c r="AW555" s="545">
        <f ca="1">IF(AND($D555="Serviço",AW$12&lt;&gt;0,$H555&gt;0,OR(AUTOEVENTO&lt;&gt;"manual",$M555&lt;&gt;1)),
IF(Import.TipoArredondamento&lt;&gt;"TransfereGOV",
ROUND(OFFSET($P555,0,AW$13),15-13*ORÇAMENTO!$AF$7)/$H555*OFFSET(ORÇAMENTO!$X$15,ROW(AW555)-ROW(AW$15),0),
ROUND(ROUND(OFFSET($P555,0,AW$13),15-13*ORÇAMENTO!$AF$7)*OFFSET(ORÇAMENTO!$W$15,ROW(AW555)-ROW(AW$15),0),15-13*ORÇAMENTO!$AF$11)),0)</f>
        <v>0</v>
      </c>
      <c r="AX555" s="545">
        <f ca="1">IF(AND($D555="Serviço",AX$12&lt;&gt;0,$H555&gt;0,OR(AUTOEVENTO&lt;&gt;"manual",$M555&lt;&gt;1)),
IF(Import.TipoArredondamento&lt;&gt;"TransfereGOV",
ROUND(OFFSET($P555,0,AX$13),15-13*ORÇAMENTO!$AF$7)/$H555*OFFSET(ORÇAMENTO!$X$15,ROW(AX555)-ROW(AX$15),0),
ROUND(ROUND(OFFSET($P555,0,AX$13),15-13*ORÇAMENTO!$AF$7)*OFFSET(ORÇAMENTO!$W$15,ROW(AX555)-ROW(AX$15),0),15-13*ORÇAMENTO!$AF$11)),0)</f>
        <v>0</v>
      </c>
      <c r="AY555" s="545">
        <f ca="1">IF(AND($D555="Serviço",AY$12&lt;&gt;0,$H555&gt;0,OR(AUTOEVENTO&lt;&gt;"manual",$M555&lt;&gt;1)),
IF(Import.TipoArredondamento&lt;&gt;"TransfereGOV",
ROUND(OFFSET($P555,0,AY$13),15-13*ORÇAMENTO!$AF$7)/$H555*OFFSET(ORÇAMENTO!$X$15,ROW(AY555)-ROW(AY$15),0),
ROUND(ROUND(OFFSET($P555,0,AY$13),15-13*ORÇAMENTO!$AF$7)*OFFSET(ORÇAMENTO!$W$15,ROW(AY555)-ROW(AY$15),0),15-13*ORÇAMENTO!$AF$11)),0)</f>
        <v>0</v>
      </c>
      <c r="AZ555" s="545">
        <f ca="1">IF(AND($D555="Serviço",AZ$12&lt;&gt;0,$H555&gt;0,OR(AUTOEVENTO&lt;&gt;"manual",$M555&lt;&gt;1)),
IF(Import.TipoArredondamento&lt;&gt;"TransfereGOV",
ROUND(OFFSET($P555,0,AZ$13),15-13*ORÇAMENTO!$AF$7)/$H555*OFFSET(ORÇAMENTO!$X$15,ROW(AZ555)-ROW(AZ$15),0),
ROUND(ROUND(OFFSET($P555,0,AZ$13),15-13*ORÇAMENTO!$AF$7)*OFFSET(ORÇAMENTO!$W$15,ROW(AZ555)-ROW(AZ$15),0),15-13*ORÇAMENTO!$AF$11)),0)</f>
        <v>0</v>
      </c>
      <c r="BA555" s="546">
        <f ca="1">IF(AND($D555="Serviço",BA$12&lt;&gt;0,$H555&gt;0,OR(AUTOEVENTO&lt;&gt;"manual",$M555&lt;&gt;1)),
IF(Import.TipoArredondamento&lt;&gt;"TransfereGOV",
ROUND(OFFSET($P555,0,BA$13),15-13*ORÇAMENTO!$AF$7)/$H555*OFFSET(ORÇAMENTO!$X$15,ROW(BA555)-ROW(BA$15),0),
ROUND(ROUND(OFFSET($P555,0,BA$13),15-13*ORÇAMENTO!$AF$7)*OFFSET(ORÇAMENTO!$W$15,ROW(BA555)-ROW(BA$15),0),15-13*ORÇAMENTO!$AF$11)),0)</f>
        <v>0</v>
      </c>
      <c r="BC555" s="181">
        <f ca="1">IF($D555&lt;&gt;"Serviço",0,IF(AND(AUTOEVENTO="Manual",$M555=1),0,IF(OFFSET(CRONOPLE!$F$14,$M555,BC$13)="",10^12,OFFSET(CRONOPLE!$F$14,$M555,BC$13))))</f>
        <v>10</v>
      </c>
      <c r="BD555" s="181">
        <f ca="1">IF($D555&lt;&gt;"Serviço",0,IF(AND(AUTOEVENTO="Manual",$M555=1),0,IF(OFFSET(CRONOPLE!$F$14,$M555,BD$13)="",10^12,OFFSET(CRONOPLE!$F$14,$M555,BD$13))))</f>
        <v>1000000000000</v>
      </c>
      <c r="BE555" s="181">
        <f ca="1">IF($D555&lt;&gt;"Serviço",0,IF(AND(AUTOEVENTO="Manual",$M555=1),0,IF(OFFSET(CRONOPLE!$F$14,$M555,BE$13)="",10^12,OFFSET(CRONOPLE!$F$14,$M555,BE$13))))</f>
        <v>1000000000000</v>
      </c>
      <c r="BF555" s="181">
        <f ca="1">IF($D555&lt;&gt;"Serviço",0,IF(AND(AUTOEVENTO="Manual",$M555=1),0,IF(OFFSET(CRONOPLE!$F$14,$M555,BF$13)="",10^12,OFFSET(CRONOPLE!$F$14,$M555,BF$13))))</f>
        <v>1000000000000</v>
      </c>
      <c r="BG555" s="181">
        <f ca="1">IF($D555&lt;&gt;"Serviço",0,IF(AND(AUTOEVENTO="Manual",$M555=1),0,IF(OFFSET(CRONOPLE!$F$14,$M555,BG$13)="",10^12,OFFSET(CRONOPLE!$F$14,$M555,BG$13))))</f>
        <v>1000000000000</v>
      </c>
      <c r="BH555" s="181">
        <f ca="1">IF($D555&lt;&gt;"Serviço",0,IF(AND(AUTOEVENTO="Manual",$M555=1),0,IF(OFFSET(CRONOPLE!$F$14,$M555,BH$13)="",10^12,OFFSET(CRONOPLE!$F$14,$M555,BH$13))))</f>
        <v>1000000000000</v>
      </c>
      <c r="BI555" s="181">
        <f ca="1">IF($D555&lt;&gt;"Serviço",0,IF(AND(AUTOEVENTO="Manual",$M555=1),0,IF(OFFSET(CRONOPLE!$F$14,$M555,BI$13)="",10^12,OFFSET(CRONOPLE!$F$14,$M555,BI$13))))</f>
        <v>1000000000000</v>
      </c>
      <c r="BJ555" s="181">
        <f ca="1">IF($D555&lt;&gt;"Serviço",0,IF(AND(AUTOEVENTO="Manual",$M555=1),0,IF(OFFSET(CRONOPLE!$F$14,$M555,BJ$13)="",10^12,OFFSET(CRONOPLE!$F$14,$M555,BJ$13))))</f>
        <v>1000000000000</v>
      </c>
      <c r="BK555" s="181">
        <f ca="1">IF($D555&lt;&gt;"Serviço",0,IF(AND(AUTOEVENTO="Manual",$M555=1),0,IF(OFFSET(CRONOPLE!$F$14,$M555,BK$13)="",10^12,OFFSET(CRONOPLE!$F$14,$M555,BK$13))))</f>
        <v>1000000000000</v>
      </c>
      <c r="BL555" s="181">
        <f ca="1">IF($D555&lt;&gt;"Serviço",0,IF(AND(AUTOEVENTO="Manual",$M555=1),0,IF(OFFSET(CRONOPLE!$F$14,$M555,BL$13)="",10^12,OFFSET(CRONOPLE!$F$14,$M555,BL$13))))</f>
        <v>1000000000000</v>
      </c>
      <c r="BM555" s="181">
        <f ca="1">IF($D555&lt;&gt;"Serviço",0,IF(AND(AUTOEVENTO="Manual",$M555=1),0,IF(OFFSET(CRONOPLE!$F$14,$M555,BM$13)="",10^12,OFFSET(CRONOPLE!$F$14,$M555,BM$13))))</f>
        <v>1000000000000</v>
      </c>
      <c r="BN555" s="181">
        <f ca="1">IF($D555&lt;&gt;"Serviço",0,IF(AND(AUTOEVENTO="Manual",$M555=1),0,IF(OFFSET(CRONOPLE!$F$14,$M555,BN$13)="",10^12,OFFSET(CRONOPLE!$F$14,$M555,BN$13))))</f>
        <v>1000000000000</v>
      </c>
      <c r="BO555" s="181">
        <f ca="1">IF($D555&lt;&gt;"Serviço",0,IF(AND(AUTOEVENTO="Manual",$M555=1),0,IF(OFFSET(CRONOPLE!$F$14,$M555,BO$13)="",10^12,OFFSET(CRONOPLE!$F$14,$M555,BO$13))))</f>
        <v>1000000000000</v>
      </c>
      <c r="BP555" s="181">
        <f ca="1">IF($D555&lt;&gt;"Serviço",0,IF(AND(AUTOEVENTO="Manual",$M555=1),0,IF(OFFSET(CRONOPLE!$F$14,$M555,BP$13)="",10^12,OFFSET(CRONOPLE!$F$14,$M555,BP$13))))</f>
        <v>1000000000000</v>
      </c>
      <c r="BQ555" s="181">
        <f ca="1">IF($D555&lt;&gt;"Serviço",0,IF(AND(AUTOEVENTO="Manual",$M555=1),0,IF(OFFSET(CRONOPLE!$F$14,$M555,BQ$13)="",10^12,OFFSET(CRONOPLE!$F$14,$M555,BQ$13))))</f>
        <v>1000000000000</v>
      </c>
      <c r="BR555" s="181">
        <f ca="1">IF($D555&lt;&gt;"Serviço",0,IF(AND(AUTOEVENTO="Manual",$M555=1),0,IF(OFFSET(CRONOPLE!$F$14,$M555,BR$13)="",10^12,OFFSET(CRONOPLE!$F$14,$M555,BR$13))))</f>
        <v>1000000000000</v>
      </c>
      <c r="BS555" s="181">
        <f ca="1">IF($D555&lt;&gt;"Serviço",0,IF(AND(AUTOEVENTO="Manual",$M555=1),0,IF(OFFSET(CRONOPLE!$F$14,$M555,BS$13)="",10^12,OFFSET(CRONOPLE!$F$14,$M555,BS$13))))</f>
        <v>1000000000000</v>
      </c>
      <c r="BT555" s="181">
        <f ca="1">IF($D555&lt;&gt;"Serviço",0,IF(AND(AUTOEVENTO="Manual",$M555=1),0,IF(OFFSET(CRONOPLE!$F$14,$M555,BT$13)="",10^12,OFFSET(CRONOPLE!$F$14,$M555,BT$13))))</f>
        <v>1000000000000</v>
      </c>
      <c r="BV555" s="182">
        <f ca="1">IF($D555&lt;&gt;"Serviço",0,IF(OR(AND(AUTOEVENTO="Manual",$M555=1),$M555&gt;(ROW(PLE.lastrow)-ROW(PLE.firstrow))),0,IF(OFFSET(PLE!$G$14,$M555,BV$13)="",10^12,OFFSET(PLE!$G$14,$M555,BV$13))))</f>
        <v>1000000000000</v>
      </c>
      <c r="BW555" s="182">
        <f ca="1">IF($D555&lt;&gt;"Serviço",0,IF(OR(AND(AUTOEVENTO="Manual",$M555=1),$M555&gt;(ROW(PLE.lastrow)-ROW(PLE.firstrow))),0,IF(OFFSET(PLE!$G$14,$M555,BW$13)="",10^12,OFFSET(PLE!$G$14,$M555,BW$13))))</f>
        <v>1000000000000</v>
      </c>
      <c r="BX555" s="182">
        <f ca="1">IF($D555&lt;&gt;"Serviço",0,IF(OR(AND(AUTOEVENTO="Manual",$M555=1),$M555&gt;(ROW(PLE.lastrow)-ROW(PLE.firstrow))),0,IF(OFFSET(PLE!$G$14,$M555,BX$13)="",10^12,OFFSET(PLE!$G$14,$M555,BX$13))))</f>
        <v>1000000000000</v>
      </c>
      <c r="BY555" s="182">
        <f ca="1">IF($D555&lt;&gt;"Serviço",0,IF(OR(AND(AUTOEVENTO="Manual",$M555=1),$M555&gt;(ROW(PLE.lastrow)-ROW(PLE.firstrow))),0,IF(OFFSET(PLE!$G$14,$M555,BY$13)="",10^12,OFFSET(PLE!$G$14,$M555,BY$13))))</f>
        <v>1000000000000</v>
      </c>
      <c r="BZ555" s="182">
        <f ca="1">IF($D555&lt;&gt;"Serviço",0,IF(OR(AND(AUTOEVENTO="Manual",$M555=1),$M555&gt;(ROW(PLE.lastrow)-ROW(PLE.firstrow))),0,IF(OFFSET(PLE!$G$14,$M555,BZ$13)="",10^12,OFFSET(PLE!$G$14,$M555,BZ$13))))</f>
        <v>1000000000000</v>
      </c>
      <c r="CA555" s="182">
        <f ca="1">IF($D555&lt;&gt;"Serviço",0,IF(OR(AND(AUTOEVENTO="Manual",$M555=1),$M555&gt;(ROW(PLE.lastrow)-ROW(PLE.firstrow))),0,IF(OFFSET(PLE!$G$14,$M555,CA$13)="",10^12,OFFSET(PLE!$G$14,$M555,CA$13))))</f>
        <v>1000000000000</v>
      </c>
      <c r="CB555" s="182">
        <f ca="1">IF($D555&lt;&gt;"Serviço",0,IF(OR(AND(AUTOEVENTO="Manual",$M555=1),$M555&gt;(ROW(PLE.lastrow)-ROW(PLE.firstrow))),0,IF(OFFSET(PLE!$G$14,$M555,CB$13)="",10^12,OFFSET(PLE!$G$14,$M555,CB$13))))</f>
        <v>1000000000000</v>
      </c>
      <c r="CC555" s="182">
        <f ca="1">IF($D555&lt;&gt;"Serviço",0,IF(OR(AND(AUTOEVENTO="Manual",$M555=1),$M555&gt;(ROW(PLE.lastrow)-ROW(PLE.firstrow))),0,IF(OFFSET(PLE!$G$14,$M555,CC$13)="",10^12,OFFSET(PLE!$G$14,$M555,CC$13))))</f>
        <v>1000000000000</v>
      </c>
      <c r="CD555" s="182">
        <f ca="1">IF($D555&lt;&gt;"Serviço",0,IF(OR(AND(AUTOEVENTO="Manual",$M555=1),$M555&gt;(ROW(PLE.lastrow)-ROW(PLE.firstrow))),0,IF(OFFSET(PLE!$G$14,$M555,CD$13)="",10^12,OFFSET(PLE!$G$14,$M555,CD$13))))</f>
        <v>1000000000000</v>
      </c>
      <c r="CE555" s="182">
        <f ca="1">IF($D555&lt;&gt;"Serviço",0,IF(OR(AND(AUTOEVENTO="Manual",$M555=1),$M555&gt;(ROW(PLE.lastrow)-ROW(PLE.firstrow))),0,IF(OFFSET(PLE!$G$14,$M555,CE$13)="",10^12,OFFSET(PLE!$G$14,$M555,CE$13))))</f>
        <v>1000000000000</v>
      </c>
      <c r="CF555" s="182">
        <f ca="1">IF($D555&lt;&gt;"Serviço",0,IF(OR(AND(AUTOEVENTO="Manual",$M555=1),$M555&gt;(ROW(PLE.lastrow)-ROW(PLE.firstrow))),0,IF(OFFSET(PLE!$G$14,$M555,CF$13)="",10^12,OFFSET(PLE!$G$14,$M555,CF$13))))</f>
        <v>1000000000000</v>
      </c>
      <c r="CG555" s="182">
        <f ca="1">IF($D555&lt;&gt;"Serviço",0,IF(OR(AND(AUTOEVENTO="Manual",$M555=1),$M555&gt;(ROW(PLE.lastrow)-ROW(PLE.firstrow))),0,IF(OFFSET(PLE!$G$14,$M555,CG$13)="",10^12,OFFSET(PLE!$G$14,$M555,CG$13))))</f>
        <v>1000000000000</v>
      </c>
      <c r="CH555" s="182">
        <f ca="1">IF($D555&lt;&gt;"Serviço",0,IF(OR(AND(AUTOEVENTO="Manual",$M555=1),$M555&gt;(ROW(PLE.lastrow)-ROW(PLE.firstrow))),0,IF(OFFSET(PLE!$G$14,$M555,CH$13)="",10^12,OFFSET(PLE!$G$14,$M555,CH$13))))</f>
        <v>1000000000000</v>
      </c>
      <c r="CI555" s="182">
        <f ca="1">IF($D555&lt;&gt;"Serviço",0,IF(OR(AND(AUTOEVENTO="Manual",$M555=1),$M555&gt;(ROW(PLE.lastrow)-ROW(PLE.firstrow))),0,IF(OFFSET(PLE!$G$14,$M555,CI$13)="",10^12,OFFSET(PLE!$G$14,$M555,CI$13))))</f>
        <v>1000000000000</v>
      </c>
      <c r="CJ555" s="182">
        <f ca="1">IF($D555&lt;&gt;"Serviço",0,IF(OR(AND(AUTOEVENTO="Manual",$M555=1),$M555&gt;(ROW(PLE.lastrow)-ROW(PLE.firstrow))),0,IF(OFFSET(PLE!$G$14,$M555,CJ$13)="",10^12,OFFSET(PLE!$G$14,$M555,CJ$13))))</f>
        <v>1000000000000</v>
      </c>
      <c r="CK555" s="182">
        <f ca="1">IF($D555&lt;&gt;"Serviço",0,IF(OR(AND(AUTOEVENTO="Manual",$M555=1),$M555&gt;(ROW(PLE.lastrow)-ROW(PLE.firstrow))),0,IF(OFFSET(PLE!$G$14,$M555,CK$13)="",10^12,OFFSET(PLE!$G$14,$M555,CK$13))))</f>
        <v>1000000000000</v>
      </c>
      <c r="CL555" s="182">
        <f ca="1">IF($D555&lt;&gt;"Serviço",0,IF(OR(AND(AUTOEVENTO="Manual",$M555=1),$M555&gt;(ROW(PLE.lastrow)-ROW(PLE.firstrow))),0,IF(OFFSET(PLE!$G$14,$M555,CL$13)="",10^12,OFFSET(PLE!$G$14,$M555,CL$13))))</f>
        <v>1000000000000</v>
      </c>
      <c r="CM555" s="182">
        <f ca="1">IF($D555&lt;&gt;"Serviço",0,IF(OR(AND(AUTOEVENTO="Manual",$M555=1),$M555&gt;(ROW(PLE.lastrow)-ROW(PLE.firstrow))),0,IF(OFFSET(PLE!$G$14,$M555,CM$13)="",10^12,OFFSET(PLE!$G$14,$M555,CM$13))))</f>
        <v>1000000000000</v>
      </c>
    </row>
    <row r="556" spans="1:91" ht="25.5" x14ac:dyDescent="0.2">
      <c r="A556" s="7" t="str">
        <f t="shared" ca="1" si="17"/>
        <v>528</v>
      </c>
      <c r="B556" s="7" t="str">
        <f ca="1">OFFSET(ORÇAMENTO!C$15,ROW(B556)-ROW(B$15),0)</f>
        <v>S</v>
      </c>
      <c r="C556" s="7" t="str">
        <f ca="1">OFFSET(ORÇAMENTO!L$15,ROW(C556)-ROW(C$15),0)</f>
        <v/>
      </c>
      <c r="D556" s="118" t="str">
        <f ca="1">OFFSET(ORÇAMENTO!N$15,ROW(D556)-ROW(D$15),0)</f>
        <v>Serviço</v>
      </c>
      <c r="E556" s="119" t="str">
        <f ca="1">OFFSET(ORÇAMENTO!O$15,ROW(E556)-ROW(E$15),0)</f>
        <v>-</v>
      </c>
      <c r="F556" s="172" t="str">
        <f ca="1">OFFSET(ORÇAMENTO!R$15,ROW(F556)-ROW(F$15),0)</f>
        <v>(abra o arquivo 'Referência 06-2024.xlsm)</v>
      </c>
      <c r="G556" s="173" t="str">
        <f ca="1">IF($D556&lt;&gt;"Serviço","",OFFSET(ORÇAMENTO!S$15,ROW(G556)-ROW(G$15),0))</f>
        <v>-</v>
      </c>
      <c r="H556" s="124">
        <f ca="1">IF($D556&lt;&gt;"Serviço",0,IF(ACOMPANHAMENTO="BM",ROUND(OFFSET(ORÇAMENTO!AJ$15,ROW(H556)-ROW(H$15),0),15-13*ORÇAMENTO!$AF$7),SUMPRODUCT(($Q$12:$AI$12&lt;&gt;"")*ROUND($Q556:$AI556,15-13*ORÇAMENTO!$AF$7))))</f>
        <v>2</v>
      </c>
      <c r="I556" s="561" t="s">
        <v>1107</v>
      </c>
      <c r="K556" s="174"/>
      <c r="L556" s="175" t="s">
        <v>255</v>
      </c>
      <c r="M556" s="176">
        <f ca="1">IF($D556&lt;&gt;"Serviço","",IF(AUTOEVENTO="manual",$A556,IF(ISERROR(MATCH($A556,$A$15:OFFSET($A556,-1,0),0)),MAX($M$15:OFFSET(M556,-1,0))+1,INDEX($M$15:OFFSET(M556,-1,0),MATCH($A556,$A$15:OFFSET($A556,-1,0),0)))))</f>
        <v>57</v>
      </c>
      <c r="N556" s="177" t="str">
        <f ca="1">IF($D556&lt;&gt;"Serviço","",IF(AUTOEVENTO="Manual",IF($A556=0,"&lt;-- defina o número do agrupador",OFFSET(EVENTOS!$D$14,$A556,0)),OFFSET($F$15,$A556,0)))</f>
        <v>INSTALAÇÃO ELÉTRICA 110V - DISPOSITIVOS DE PROTEÇÃO</v>
      </c>
      <c r="O556" s="178"/>
      <c r="Q556" s="178">
        <v>2</v>
      </c>
      <c r="R556" s="179"/>
      <c r="S556" s="179"/>
      <c r="T556" s="179"/>
      <c r="U556" s="179"/>
      <c r="V556" s="179"/>
      <c r="W556" s="179"/>
      <c r="X556" s="179"/>
      <c r="Y556" s="179"/>
      <c r="Z556" s="180"/>
      <c r="AA556" s="179"/>
      <c r="AB556" s="179"/>
      <c r="AC556" s="179"/>
      <c r="AD556" s="179"/>
      <c r="AE556" s="179"/>
      <c r="AF556" s="179"/>
      <c r="AG556" s="179"/>
      <c r="AH556" s="180"/>
      <c r="AJ556" s="544">
        <f ca="1">IF(AND($D556="Serviço",AJ$12&lt;&gt;0,$H556&gt;0,OR(AUTOEVENTO&lt;&gt;"manual",$M556&lt;&gt;1)),
IF(Import.TipoArredondamento&lt;&gt;"TransfereGOV",
ROUND(OFFSET($P556,0,AJ$13),15-13*ORÇAMENTO!$AF$7)/$H556*OFFSET(ORÇAMENTO!$X$15,ROW(AJ556)-ROW(AJ$15),0),
ROUND(ROUND(OFFSET($P556,0,AJ$13),15-13*ORÇAMENTO!$AF$7)*OFFSET(ORÇAMENTO!$W$15,ROW(AJ556)-ROW(AJ$15),0),15-13*ORÇAMENTO!$AF$11)),0)</f>
        <v>0</v>
      </c>
      <c r="AK556" s="545">
        <f ca="1">IF(AND($D556="Serviço",AK$12&lt;&gt;0,$H556&gt;0,OR(AUTOEVENTO&lt;&gt;"manual",$M556&lt;&gt;1)),
IF(Import.TipoArredondamento&lt;&gt;"TransfereGOV",
ROUND(OFFSET($P556,0,AK$13),15-13*ORÇAMENTO!$AF$7)/$H556*OFFSET(ORÇAMENTO!$X$15,ROW(AK556)-ROW(AK$15),0),
ROUND(ROUND(OFFSET($P556,0,AK$13),15-13*ORÇAMENTO!$AF$7)*OFFSET(ORÇAMENTO!$W$15,ROW(AK556)-ROW(AK$15),0),15-13*ORÇAMENTO!$AF$11)),0)</f>
        <v>0</v>
      </c>
      <c r="AL556" s="545">
        <f ca="1">IF(AND($D556="Serviço",AL$12&lt;&gt;0,$H556&gt;0,OR(AUTOEVENTO&lt;&gt;"manual",$M556&lt;&gt;1)),
IF(Import.TipoArredondamento&lt;&gt;"TransfereGOV",
ROUND(OFFSET($P556,0,AL$13),15-13*ORÇAMENTO!$AF$7)/$H556*OFFSET(ORÇAMENTO!$X$15,ROW(AL556)-ROW(AL$15),0),
ROUND(ROUND(OFFSET($P556,0,AL$13),15-13*ORÇAMENTO!$AF$7)*OFFSET(ORÇAMENTO!$W$15,ROW(AL556)-ROW(AL$15),0),15-13*ORÇAMENTO!$AF$11)),0)</f>
        <v>0</v>
      </c>
      <c r="AM556" s="545">
        <f ca="1">IF(AND($D556="Serviço",AM$12&lt;&gt;0,$H556&gt;0,OR(AUTOEVENTO&lt;&gt;"manual",$M556&lt;&gt;1)),
IF(Import.TipoArredondamento&lt;&gt;"TransfereGOV",
ROUND(OFFSET($P556,0,AM$13),15-13*ORÇAMENTO!$AF$7)/$H556*OFFSET(ORÇAMENTO!$X$15,ROW(AM556)-ROW(AM$15),0),
ROUND(ROUND(OFFSET($P556,0,AM$13),15-13*ORÇAMENTO!$AF$7)*OFFSET(ORÇAMENTO!$W$15,ROW(AM556)-ROW(AM$15),0),15-13*ORÇAMENTO!$AF$11)),0)</f>
        <v>0</v>
      </c>
      <c r="AN556" s="545">
        <f ca="1">IF(AND($D556="Serviço",AN$12&lt;&gt;0,$H556&gt;0,OR(AUTOEVENTO&lt;&gt;"manual",$M556&lt;&gt;1)),
IF(Import.TipoArredondamento&lt;&gt;"TransfereGOV",
ROUND(OFFSET($P556,0,AN$13),15-13*ORÇAMENTO!$AF$7)/$H556*OFFSET(ORÇAMENTO!$X$15,ROW(AN556)-ROW(AN$15),0),
ROUND(ROUND(OFFSET($P556,0,AN$13),15-13*ORÇAMENTO!$AF$7)*OFFSET(ORÇAMENTO!$W$15,ROW(AN556)-ROW(AN$15),0),15-13*ORÇAMENTO!$AF$11)),0)</f>
        <v>0</v>
      </c>
      <c r="AO556" s="545">
        <f ca="1">IF(AND($D556="Serviço",AO$12&lt;&gt;0,$H556&gt;0,OR(AUTOEVENTO&lt;&gt;"manual",$M556&lt;&gt;1)),
IF(Import.TipoArredondamento&lt;&gt;"TransfereGOV",
ROUND(OFFSET($P556,0,AO$13),15-13*ORÇAMENTO!$AF$7)/$H556*OFFSET(ORÇAMENTO!$X$15,ROW(AO556)-ROW(AO$15),0),
ROUND(ROUND(OFFSET($P556,0,AO$13),15-13*ORÇAMENTO!$AF$7)*OFFSET(ORÇAMENTO!$W$15,ROW(AO556)-ROW(AO$15),0),15-13*ORÇAMENTO!$AF$11)),0)</f>
        <v>0</v>
      </c>
      <c r="AP556" s="545">
        <f ca="1">IF(AND($D556="Serviço",AP$12&lt;&gt;0,$H556&gt;0,OR(AUTOEVENTO&lt;&gt;"manual",$M556&lt;&gt;1)),
IF(Import.TipoArredondamento&lt;&gt;"TransfereGOV",
ROUND(OFFSET($P556,0,AP$13),15-13*ORÇAMENTO!$AF$7)/$H556*OFFSET(ORÇAMENTO!$X$15,ROW(AP556)-ROW(AP$15),0),
ROUND(ROUND(OFFSET($P556,0,AP$13),15-13*ORÇAMENTO!$AF$7)*OFFSET(ORÇAMENTO!$W$15,ROW(AP556)-ROW(AP$15),0),15-13*ORÇAMENTO!$AF$11)),0)</f>
        <v>0</v>
      </c>
      <c r="AQ556" s="545">
        <f ca="1">IF(AND($D556="Serviço",AQ$12&lt;&gt;0,$H556&gt;0,OR(AUTOEVENTO&lt;&gt;"manual",$M556&lt;&gt;1)),
IF(Import.TipoArredondamento&lt;&gt;"TransfereGOV",
ROUND(OFFSET($P556,0,AQ$13),15-13*ORÇAMENTO!$AF$7)/$H556*OFFSET(ORÇAMENTO!$X$15,ROW(AQ556)-ROW(AQ$15),0),
ROUND(ROUND(OFFSET($P556,0,AQ$13),15-13*ORÇAMENTO!$AF$7)*OFFSET(ORÇAMENTO!$W$15,ROW(AQ556)-ROW(AQ$15),0),15-13*ORÇAMENTO!$AF$11)),0)</f>
        <v>0</v>
      </c>
      <c r="AR556" s="545">
        <f ca="1">IF(AND($D556="Serviço",AR$12&lt;&gt;0,$H556&gt;0,OR(AUTOEVENTO&lt;&gt;"manual",$M556&lt;&gt;1)),
IF(Import.TipoArredondamento&lt;&gt;"TransfereGOV",
ROUND(OFFSET($P556,0,AR$13),15-13*ORÇAMENTO!$AF$7)/$H556*OFFSET(ORÇAMENTO!$X$15,ROW(AR556)-ROW(AR$15),0),
ROUND(ROUND(OFFSET($P556,0,AR$13),15-13*ORÇAMENTO!$AF$7)*OFFSET(ORÇAMENTO!$W$15,ROW(AR556)-ROW(AR$15),0),15-13*ORÇAMENTO!$AF$11)),0)</f>
        <v>0</v>
      </c>
      <c r="AS556" s="546">
        <f ca="1">IF(AND($D556="Serviço",AS$12&lt;&gt;0,$H556&gt;0,OR(AUTOEVENTO&lt;&gt;"manual",$M556&lt;&gt;1)),
IF(Import.TipoArredondamento&lt;&gt;"TransfereGOV",
ROUND(OFFSET($P556,0,AS$13),15-13*ORÇAMENTO!$AF$7)/$H556*OFFSET(ORÇAMENTO!$X$15,ROW(AS556)-ROW(AS$15),0),
ROUND(ROUND(OFFSET($P556,0,AS$13),15-13*ORÇAMENTO!$AF$7)*OFFSET(ORÇAMENTO!$W$15,ROW(AS556)-ROW(AS$15),0),15-13*ORÇAMENTO!$AF$11)),0)</f>
        <v>0</v>
      </c>
      <c r="AT556" s="545">
        <f ca="1">IF(AND($D556="Serviço",AT$12&lt;&gt;0,$H556&gt;0,OR(AUTOEVENTO&lt;&gt;"manual",$M556&lt;&gt;1)),
IF(Import.TipoArredondamento&lt;&gt;"TransfereGOV",
ROUND(OFFSET($P556,0,AT$13),15-13*ORÇAMENTO!$AF$7)/$H556*OFFSET(ORÇAMENTO!$X$15,ROW(AT556)-ROW(AT$15),0),
ROUND(ROUND(OFFSET($P556,0,AT$13),15-13*ORÇAMENTO!$AF$7)*OFFSET(ORÇAMENTO!$W$15,ROW(AT556)-ROW(AT$15),0),15-13*ORÇAMENTO!$AF$11)),0)</f>
        <v>0</v>
      </c>
      <c r="AU556" s="545">
        <f ca="1">IF(AND($D556="Serviço",AU$12&lt;&gt;0,$H556&gt;0,OR(AUTOEVENTO&lt;&gt;"manual",$M556&lt;&gt;1)),
IF(Import.TipoArredondamento&lt;&gt;"TransfereGOV",
ROUND(OFFSET($P556,0,AU$13),15-13*ORÇAMENTO!$AF$7)/$H556*OFFSET(ORÇAMENTO!$X$15,ROW(AU556)-ROW(AU$15),0),
ROUND(ROUND(OFFSET($P556,0,AU$13),15-13*ORÇAMENTO!$AF$7)*OFFSET(ORÇAMENTO!$W$15,ROW(AU556)-ROW(AU$15),0),15-13*ORÇAMENTO!$AF$11)),0)</f>
        <v>0</v>
      </c>
      <c r="AV556" s="545">
        <f ca="1">IF(AND($D556="Serviço",AV$12&lt;&gt;0,$H556&gt;0,OR(AUTOEVENTO&lt;&gt;"manual",$M556&lt;&gt;1)),
IF(Import.TipoArredondamento&lt;&gt;"TransfereGOV",
ROUND(OFFSET($P556,0,AV$13),15-13*ORÇAMENTO!$AF$7)/$H556*OFFSET(ORÇAMENTO!$X$15,ROW(AV556)-ROW(AV$15),0),
ROUND(ROUND(OFFSET($P556,0,AV$13),15-13*ORÇAMENTO!$AF$7)*OFFSET(ORÇAMENTO!$W$15,ROW(AV556)-ROW(AV$15),0),15-13*ORÇAMENTO!$AF$11)),0)</f>
        <v>0</v>
      </c>
      <c r="AW556" s="545">
        <f ca="1">IF(AND($D556="Serviço",AW$12&lt;&gt;0,$H556&gt;0,OR(AUTOEVENTO&lt;&gt;"manual",$M556&lt;&gt;1)),
IF(Import.TipoArredondamento&lt;&gt;"TransfereGOV",
ROUND(OFFSET($P556,0,AW$13),15-13*ORÇAMENTO!$AF$7)/$H556*OFFSET(ORÇAMENTO!$X$15,ROW(AW556)-ROW(AW$15),0),
ROUND(ROUND(OFFSET($P556,0,AW$13),15-13*ORÇAMENTO!$AF$7)*OFFSET(ORÇAMENTO!$W$15,ROW(AW556)-ROW(AW$15),0),15-13*ORÇAMENTO!$AF$11)),0)</f>
        <v>0</v>
      </c>
      <c r="AX556" s="545">
        <f ca="1">IF(AND($D556="Serviço",AX$12&lt;&gt;0,$H556&gt;0,OR(AUTOEVENTO&lt;&gt;"manual",$M556&lt;&gt;1)),
IF(Import.TipoArredondamento&lt;&gt;"TransfereGOV",
ROUND(OFFSET($P556,0,AX$13),15-13*ORÇAMENTO!$AF$7)/$H556*OFFSET(ORÇAMENTO!$X$15,ROW(AX556)-ROW(AX$15),0),
ROUND(ROUND(OFFSET($P556,0,AX$13),15-13*ORÇAMENTO!$AF$7)*OFFSET(ORÇAMENTO!$W$15,ROW(AX556)-ROW(AX$15),0),15-13*ORÇAMENTO!$AF$11)),0)</f>
        <v>0</v>
      </c>
      <c r="AY556" s="545">
        <f ca="1">IF(AND($D556="Serviço",AY$12&lt;&gt;0,$H556&gt;0,OR(AUTOEVENTO&lt;&gt;"manual",$M556&lt;&gt;1)),
IF(Import.TipoArredondamento&lt;&gt;"TransfereGOV",
ROUND(OFFSET($P556,0,AY$13),15-13*ORÇAMENTO!$AF$7)/$H556*OFFSET(ORÇAMENTO!$X$15,ROW(AY556)-ROW(AY$15),0),
ROUND(ROUND(OFFSET($P556,0,AY$13),15-13*ORÇAMENTO!$AF$7)*OFFSET(ORÇAMENTO!$W$15,ROW(AY556)-ROW(AY$15),0),15-13*ORÇAMENTO!$AF$11)),0)</f>
        <v>0</v>
      </c>
      <c r="AZ556" s="545">
        <f ca="1">IF(AND($D556="Serviço",AZ$12&lt;&gt;0,$H556&gt;0,OR(AUTOEVENTO&lt;&gt;"manual",$M556&lt;&gt;1)),
IF(Import.TipoArredondamento&lt;&gt;"TransfereGOV",
ROUND(OFFSET($P556,0,AZ$13),15-13*ORÇAMENTO!$AF$7)/$H556*OFFSET(ORÇAMENTO!$X$15,ROW(AZ556)-ROW(AZ$15),0),
ROUND(ROUND(OFFSET($P556,0,AZ$13),15-13*ORÇAMENTO!$AF$7)*OFFSET(ORÇAMENTO!$W$15,ROW(AZ556)-ROW(AZ$15),0),15-13*ORÇAMENTO!$AF$11)),0)</f>
        <v>0</v>
      </c>
      <c r="BA556" s="546">
        <f ca="1">IF(AND($D556="Serviço",BA$12&lt;&gt;0,$H556&gt;0,OR(AUTOEVENTO&lt;&gt;"manual",$M556&lt;&gt;1)),
IF(Import.TipoArredondamento&lt;&gt;"TransfereGOV",
ROUND(OFFSET($P556,0,BA$13),15-13*ORÇAMENTO!$AF$7)/$H556*OFFSET(ORÇAMENTO!$X$15,ROW(BA556)-ROW(BA$15),0),
ROUND(ROUND(OFFSET($P556,0,BA$13),15-13*ORÇAMENTO!$AF$7)*OFFSET(ORÇAMENTO!$W$15,ROW(BA556)-ROW(BA$15),0),15-13*ORÇAMENTO!$AF$11)),0)</f>
        <v>0</v>
      </c>
      <c r="BC556" s="181">
        <f ca="1">IF($D556&lt;&gt;"Serviço",0,IF(AND(AUTOEVENTO="Manual",$M556=1),0,IF(OFFSET(CRONOPLE!$F$14,$M556,BC$13)="",10^12,OFFSET(CRONOPLE!$F$14,$M556,BC$13))))</f>
        <v>10</v>
      </c>
      <c r="BD556" s="181">
        <f ca="1">IF($D556&lt;&gt;"Serviço",0,IF(AND(AUTOEVENTO="Manual",$M556=1),0,IF(OFFSET(CRONOPLE!$F$14,$M556,BD$13)="",10^12,OFFSET(CRONOPLE!$F$14,$M556,BD$13))))</f>
        <v>1000000000000</v>
      </c>
      <c r="BE556" s="181">
        <f ca="1">IF($D556&lt;&gt;"Serviço",0,IF(AND(AUTOEVENTO="Manual",$M556=1),0,IF(OFFSET(CRONOPLE!$F$14,$M556,BE$13)="",10^12,OFFSET(CRONOPLE!$F$14,$M556,BE$13))))</f>
        <v>1000000000000</v>
      </c>
      <c r="BF556" s="181">
        <f ca="1">IF($D556&lt;&gt;"Serviço",0,IF(AND(AUTOEVENTO="Manual",$M556=1),0,IF(OFFSET(CRONOPLE!$F$14,$M556,BF$13)="",10^12,OFFSET(CRONOPLE!$F$14,$M556,BF$13))))</f>
        <v>1000000000000</v>
      </c>
      <c r="BG556" s="181">
        <f ca="1">IF($D556&lt;&gt;"Serviço",0,IF(AND(AUTOEVENTO="Manual",$M556=1),0,IF(OFFSET(CRONOPLE!$F$14,$M556,BG$13)="",10^12,OFFSET(CRONOPLE!$F$14,$M556,BG$13))))</f>
        <v>1000000000000</v>
      </c>
      <c r="BH556" s="181">
        <f ca="1">IF($D556&lt;&gt;"Serviço",0,IF(AND(AUTOEVENTO="Manual",$M556=1),0,IF(OFFSET(CRONOPLE!$F$14,$M556,BH$13)="",10^12,OFFSET(CRONOPLE!$F$14,$M556,BH$13))))</f>
        <v>1000000000000</v>
      </c>
      <c r="BI556" s="181">
        <f ca="1">IF($D556&lt;&gt;"Serviço",0,IF(AND(AUTOEVENTO="Manual",$M556=1),0,IF(OFFSET(CRONOPLE!$F$14,$M556,BI$13)="",10^12,OFFSET(CRONOPLE!$F$14,$M556,BI$13))))</f>
        <v>1000000000000</v>
      </c>
      <c r="BJ556" s="181">
        <f ca="1">IF($D556&lt;&gt;"Serviço",0,IF(AND(AUTOEVENTO="Manual",$M556=1),0,IF(OFFSET(CRONOPLE!$F$14,$M556,BJ$13)="",10^12,OFFSET(CRONOPLE!$F$14,$M556,BJ$13))))</f>
        <v>1000000000000</v>
      </c>
      <c r="BK556" s="181">
        <f ca="1">IF($D556&lt;&gt;"Serviço",0,IF(AND(AUTOEVENTO="Manual",$M556=1),0,IF(OFFSET(CRONOPLE!$F$14,$M556,BK$13)="",10^12,OFFSET(CRONOPLE!$F$14,$M556,BK$13))))</f>
        <v>1000000000000</v>
      </c>
      <c r="BL556" s="181">
        <f ca="1">IF($D556&lt;&gt;"Serviço",0,IF(AND(AUTOEVENTO="Manual",$M556=1),0,IF(OFFSET(CRONOPLE!$F$14,$M556,BL$13)="",10^12,OFFSET(CRONOPLE!$F$14,$M556,BL$13))))</f>
        <v>1000000000000</v>
      </c>
      <c r="BM556" s="181">
        <f ca="1">IF($D556&lt;&gt;"Serviço",0,IF(AND(AUTOEVENTO="Manual",$M556=1),0,IF(OFFSET(CRONOPLE!$F$14,$M556,BM$13)="",10^12,OFFSET(CRONOPLE!$F$14,$M556,BM$13))))</f>
        <v>1000000000000</v>
      </c>
      <c r="BN556" s="181">
        <f ca="1">IF($D556&lt;&gt;"Serviço",0,IF(AND(AUTOEVENTO="Manual",$M556=1),0,IF(OFFSET(CRONOPLE!$F$14,$M556,BN$13)="",10^12,OFFSET(CRONOPLE!$F$14,$M556,BN$13))))</f>
        <v>1000000000000</v>
      </c>
      <c r="BO556" s="181">
        <f ca="1">IF($D556&lt;&gt;"Serviço",0,IF(AND(AUTOEVENTO="Manual",$M556=1),0,IF(OFFSET(CRONOPLE!$F$14,$M556,BO$13)="",10^12,OFFSET(CRONOPLE!$F$14,$M556,BO$13))))</f>
        <v>1000000000000</v>
      </c>
      <c r="BP556" s="181">
        <f ca="1">IF($D556&lt;&gt;"Serviço",0,IF(AND(AUTOEVENTO="Manual",$M556=1),0,IF(OFFSET(CRONOPLE!$F$14,$M556,BP$13)="",10^12,OFFSET(CRONOPLE!$F$14,$M556,BP$13))))</f>
        <v>1000000000000</v>
      </c>
      <c r="BQ556" s="181">
        <f ca="1">IF($D556&lt;&gt;"Serviço",0,IF(AND(AUTOEVENTO="Manual",$M556=1),0,IF(OFFSET(CRONOPLE!$F$14,$M556,BQ$13)="",10^12,OFFSET(CRONOPLE!$F$14,$M556,BQ$13))))</f>
        <v>1000000000000</v>
      </c>
      <c r="BR556" s="181">
        <f ca="1">IF($D556&lt;&gt;"Serviço",0,IF(AND(AUTOEVENTO="Manual",$M556=1),0,IF(OFFSET(CRONOPLE!$F$14,$M556,BR$13)="",10^12,OFFSET(CRONOPLE!$F$14,$M556,BR$13))))</f>
        <v>1000000000000</v>
      </c>
      <c r="BS556" s="181">
        <f ca="1">IF($D556&lt;&gt;"Serviço",0,IF(AND(AUTOEVENTO="Manual",$M556=1),0,IF(OFFSET(CRONOPLE!$F$14,$M556,BS$13)="",10^12,OFFSET(CRONOPLE!$F$14,$M556,BS$13))))</f>
        <v>1000000000000</v>
      </c>
      <c r="BT556" s="181">
        <f ca="1">IF($D556&lt;&gt;"Serviço",0,IF(AND(AUTOEVENTO="Manual",$M556=1),0,IF(OFFSET(CRONOPLE!$F$14,$M556,BT$13)="",10^12,OFFSET(CRONOPLE!$F$14,$M556,BT$13))))</f>
        <v>1000000000000</v>
      </c>
      <c r="BV556" s="182">
        <f ca="1">IF($D556&lt;&gt;"Serviço",0,IF(OR(AND(AUTOEVENTO="Manual",$M556=1),$M556&gt;(ROW(PLE.lastrow)-ROW(PLE.firstrow))),0,IF(OFFSET(PLE!$G$14,$M556,BV$13)="",10^12,OFFSET(PLE!$G$14,$M556,BV$13))))</f>
        <v>1000000000000</v>
      </c>
      <c r="BW556" s="182">
        <f ca="1">IF($D556&lt;&gt;"Serviço",0,IF(OR(AND(AUTOEVENTO="Manual",$M556=1),$M556&gt;(ROW(PLE.lastrow)-ROW(PLE.firstrow))),0,IF(OFFSET(PLE!$G$14,$M556,BW$13)="",10^12,OFFSET(PLE!$G$14,$M556,BW$13))))</f>
        <v>1000000000000</v>
      </c>
      <c r="BX556" s="182">
        <f ca="1">IF($D556&lt;&gt;"Serviço",0,IF(OR(AND(AUTOEVENTO="Manual",$M556=1),$M556&gt;(ROW(PLE.lastrow)-ROW(PLE.firstrow))),0,IF(OFFSET(PLE!$G$14,$M556,BX$13)="",10^12,OFFSET(PLE!$G$14,$M556,BX$13))))</f>
        <v>1000000000000</v>
      </c>
      <c r="BY556" s="182">
        <f ca="1">IF($D556&lt;&gt;"Serviço",0,IF(OR(AND(AUTOEVENTO="Manual",$M556=1),$M556&gt;(ROW(PLE.lastrow)-ROW(PLE.firstrow))),0,IF(OFFSET(PLE!$G$14,$M556,BY$13)="",10^12,OFFSET(PLE!$G$14,$M556,BY$13))))</f>
        <v>1000000000000</v>
      </c>
      <c r="BZ556" s="182">
        <f ca="1">IF($D556&lt;&gt;"Serviço",0,IF(OR(AND(AUTOEVENTO="Manual",$M556=1),$M556&gt;(ROW(PLE.lastrow)-ROW(PLE.firstrow))),0,IF(OFFSET(PLE!$G$14,$M556,BZ$13)="",10^12,OFFSET(PLE!$G$14,$M556,BZ$13))))</f>
        <v>1000000000000</v>
      </c>
      <c r="CA556" s="182">
        <f ca="1">IF($D556&lt;&gt;"Serviço",0,IF(OR(AND(AUTOEVENTO="Manual",$M556=1),$M556&gt;(ROW(PLE.lastrow)-ROW(PLE.firstrow))),0,IF(OFFSET(PLE!$G$14,$M556,CA$13)="",10^12,OFFSET(PLE!$G$14,$M556,CA$13))))</f>
        <v>1000000000000</v>
      </c>
      <c r="CB556" s="182">
        <f ca="1">IF($D556&lt;&gt;"Serviço",0,IF(OR(AND(AUTOEVENTO="Manual",$M556=1),$M556&gt;(ROW(PLE.lastrow)-ROW(PLE.firstrow))),0,IF(OFFSET(PLE!$G$14,$M556,CB$13)="",10^12,OFFSET(PLE!$G$14,$M556,CB$13))))</f>
        <v>1000000000000</v>
      </c>
      <c r="CC556" s="182">
        <f ca="1">IF($D556&lt;&gt;"Serviço",0,IF(OR(AND(AUTOEVENTO="Manual",$M556=1),$M556&gt;(ROW(PLE.lastrow)-ROW(PLE.firstrow))),0,IF(OFFSET(PLE!$G$14,$M556,CC$13)="",10^12,OFFSET(PLE!$G$14,$M556,CC$13))))</f>
        <v>1000000000000</v>
      </c>
      <c r="CD556" s="182">
        <f ca="1">IF($D556&lt;&gt;"Serviço",0,IF(OR(AND(AUTOEVENTO="Manual",$M556=1),$M556&gt;(ROW(PLE.lastrow)-ROW(PLE.firstrow))),0,IF(OFFSET(PLE!$G$14,$M556,CD$13)="",10^12,OFFSET(PLE!$G$14,$M556,CD$13))))</f>
        <v>1000000000000</v>
      </c>
      <c r="CE556" s="182">
        <f ca="1">IF($D556&lt;&gt;"Serviço",0,IF(OR(AND(AUTOEVENTO="Manual",$M556=1),$M556&gt;(ROW(PLE.lastrow)-ROW(PLE.firstrow))),0,IF(OFFSET(PLE!$G$14,$M556,CE$13)="",10^12,OFFSET(PLE!$G$14,$M556,CE$13))))</f>
        <v>1000000000000</v>
      </c>
      <c r="CF556" s="182">
        <f ca="1">IF($D556&lt;&gt;"Serviço",0,IF(OR(AND(AUTOEVENTO="Manual",$M556=1),$M556&gt;(ROW(PLE.lastrow)-ROW(PLE.firstrow))),0,IF(OFFSET(PLE!$G$14,$M556,CF$13)="",10^12,OFFSET(PLE!$G$14,$M556,CF$13))))</f>
        <v>1000000000000</v>
      </c>
      <c r="CG556" s="182">
        <f ca="1">IF($D556&lt;&gt;"Serviço",0,IF(OR(AND(AUTOEVENTO="Manual",$M556=1),$M556&gt;(ROW(PLE.lastrow)-ROW(PLE.firstrow))),0,IF(OFFSET(PLE!$G$14,$M556,CG$13)="",10^12,OFFSET(PLE!$G$14,$M556,CG$13))))</f>
        <v>1000000000000</v>
      </c>
      <c r="CH556" s="182">
        <f ca="1">IF($D556&lt;&gt;"Serviço",0,IF(OR(AND(AUTOEVENTO="Manual",$M556=1),$M556&gt;(ROW(PLE.lastrow)-ROW(PLE.firstrow))),0,IF(OFFSET(PLE!$G$14,$M556,CH$13)="",10^12,OFFSET(PLE!$G$14,$M556,CH$13))))</f>
        <v>1000000000000</v>
      </c>
      <c r="CI556" s="182">
        <f ca="1">IF($D556&lt;&gt;"Serviço",0,IF(OR(AND(AUTOEVENTO="Manual",$M556=1),$M556&gt;(ROW(PLE.lastrow)-ROW(PLE.firstrow))),0,IF(OFFSET(PLE!$G$14,$M556,CI$13)="",10^12,OFFSET(PLE!$G$14,$M556,CI$13))))</f>
        <v>1000000000000</v>
      </c>
      <c r="CJ556" s="182">
        <f ca="1">IF($D556&lt;&gt;"Serviço",0,IF(OR(AND(AUTOEVENTO="Manual",$M556=1),$M556&gt;(ROW(PLE.lastrow)-ROW(PLE.firstrow))),0,IF(OFFSET(PLE!$G$14,$M556,CJ$13)="",10^12,OFFSET(PLE!$G$14,$M556,CJ$13))))</f>
        <v>1000000000000</v>
      </c>
      <c r="CK556" s="182">
        <f ca="1">IF($D556&lt;&gt;"Serviço",0,IF(OR(AND(AUTOEVENTO="Manual",$M556=1),$M556&gt;(ROW(PLE.lastrow)-ROW(PLE.firstrow))),0,IF(OFFSET(PLE!$G$14,$M556,CK$13)="",10^12,OFFSET(PLE!$G$14,$M556,CK$13))))</f>
        <v>1000000000000</v>
      </c>
      <c r="CL556" s="182">
        <f ca="1">IF($D556&lt;&gt;"Serviço",0,IF(OR(AND(AUTOEVENTO="Manual",$M556=1),$M556&gt;(ROW(PLE.lastrow)-ROW(PLE.firstrow))),0,IF(OFFSET(PLE!$G$14,$M556,CL$13)="",10^12,OFFSET(PLE!$G$14,$M556,CL$13))))</f>
        <v>1000000000000</v>
      </c>
      <c r="CM556" s="182">
        <f ca="1">IF($D556&lt;&gt;"Serviço",0,IF(OR(AND(AUTOEVENTO="Manual",$M556=1),$M556&gt;(ROW(PLE.lastrow)-ROW(PLE.firstrow))),0,IF(OFFSET(PLE!$G$14,$M556,CM$13)="",10^12,OFFSET(PLE!$G$14,$M556,CM$13))))</f>
        <v>1000000000000</v>
      </c>
    </row>
    <row r="557" spans="1:91" ht="25.5" x14ac:dyDescent="0.2">
      <c r="A557" s="7" t="str">
        <f t="shared" ca="1" si="17"/>
        <v>528</v>
      </c>
      <c r="B557" s="7" t="str">
        <f ca="1">OFFSET(ORÇAMENTO!C$15,ROW(B557)-ROW(B$15),0)</f>
        <v>S</v>
      </c>
      <c r="C557" s="7" t="str">
        <f ca="1">OFFSET(ORÇAMENTO!L$15,ROW(C557)-ROW(C$15),0)</f>
        <v/>
      </c>
      <c r="D557" s="118" t="str">
        <f ca="1">OFFSET(ORÇAMENTO!N$15,ROW(D557)-ROW(D$15),0)</f>
        <v>Serviço</v>
      </c>
      <c r="E557" s="119" t="str">
        <f ca="1">OFFSET(ORÇAMENTO!O$15,ROW(E557)-ROW(E$15),0)</f>
        <v>-</v>
      </c>
      <c r="F557" s="172" t="str">
        <f ca="1">OFFSET(ORÇAMENTO!R$15,ROW(F557)-ROW(F$15),0)</f>
        <v>(abra o arquivo 'Referência 06-2024.xlsm)</v>
      </c>
      <c r="G557" s="173" t="str">
        <f ca="1">IF($D557&lt;&gt;"Serviço","",OFFSET(ORÇAMENTO!S$15,ROW(G557)-ROW(G$15),0))</f>
        <v>-</v>
      </c>
      <c r="H557" s="124">
        <f ca="1">IF($D557&lt;&gt;"Serviço",0,IF(ACOMPANHAMENTO="BM",ROUND(OFFSET(ORÇAMENTO!AJ$15,ROW(H557)-ROW(H$15),0),15-13*ORÇAMENTO!$AF$7),SUMPRODUCT(($Q$12:$AI$12&lt;&gt;"")*ROUND($Q557:$AI557,15-13*ORÇAMENTO!$AF$7))))</f>
        <v>2</v>
      </c>
      <c r="I557" s="561" t="s">
        <v>1107</v>
      </c>
      <c r="K557" s="174"/>
      <c r="L557" s="175" t="s">
        <v>255</v>
      </c>
      <c r="M557" s="176">
        <f ca="1">IF($D557&lt;&gt;"Serviço","",IF(AUTOEVENTO="manual",$A557,IF(ISERROR(MATCH($A557,$A$15:OFFSET($A557,-1,0),0)),MAX($M$15:OFFSET(M557,-1,0))+1,INDEX($M$15:OFFSET(M557,-1,0),MATCH($A557,$A$15:OFFSET($A557,-1,0),0)))))</f>
        <v>57</v>
      </c>
      <c r="N557" s="177" t="str">
        <f ca="1">IF($D557&lt;&gt;"Serviço","",IF(AUTOEVENTO="Manual",IF($A557=0,"&lt;-- defina o número do agrupador",OFFSET(EVENTOS!$D$14,$A557,0)),OFFSET($F$15,$A557,0)))</f>
        <v>INSTALAÇÃO ELÉTRICA 110V - DISPOSITIVOS DE PROTEÇÃO</v>
      </c>
      <c r="O557" s="178"/>
      <c r="Q557" s="178">
        <v>2</v>
      </c>
      <c r="R557" s="179"/>
      <c r="S557" s="179"/>
      <c r="T557" s="179"/>
      <c r="U557" s="179"/>
      <c r="V557" s="179"/>
      <c r="W557" s="179"/>
      <c r="X557" s="179"/>
      <c r="Y557" s="179"/>
      <c r="Z557" s="180"/>
      <c r="AA557" s="179"/>
      <c r="AB557" s="179"/>
      <c r="AC557" s="179"/>
      <c r="AD557" s="179"/>
      <c r="AE557" s="179"/>
      <c r="AF557" s="179"/>
      <c r="AG557" s="179"/>
      <c r="AH557" s="180"/>
      <c r="AJ557" s="544">
        <f ca="1">IF(AND($D557="Serviço",AJ$12&lt;&gt;0,$H557&gt;0,OR(AUTOEVENTO&lt;&gt;"manual",$M557&lt;&gt;1)),
IF(Import.TipoArredondamento&lt;&gt;"TransfereGOV",
ROUND(OFFSET($P557,0,AJ$13),15-13*ORÇAMENTO!$AF$7)/$H557*OFFSET(ORÇAMENTO!$X$15,ROW(AJ557)-ROW(AJ$15),0),
ROUND(ROUND(OFFSET($P557,0,AJ$13),15-13*ORÇAMENTO!$AF$7)*OFFSET(ORÇAMENTO!$W$15,ROW(AJ557)-ROW(AJ$15),0),15-13*ORÇAMENTO!$AF$11)),0)</f>
        <v>0</v>
      </c>
      <c r="AK557" s="545">
        <f ca="1">IF(AND($D557="Serviço",AK$12&lt;&gt;0,$H557&gt;0,OR(AUTOEVENTO&lt;&gt;"manual",$M557&lt;&gt;1)),
IF(Import.TipoArredondamento&lt;&gt;"TransfereGOV",
ROUND(OFFSET($P557,0,AK$13),15-13*ORÇAMENTO!$AF$7)/$H557*OFFSET(ORÇAMENTO!$X$15,ROW(AK557)-ROW(AK$15),0),
ROUND(ROUND(OFFSET($P557,0,AK$13),15-13*ORÇAMENTO!$AF$7)*OFFSET(ORÇAMENTO!$W$15,ROW(AK557)-ROW(AK$15),0),15-13*ORÇAMENTO!$AF$11)),0)</f>
        <v>0</v>
      </c>
      <c r="AL557" s="545">
        <f ca="1">IF(AND($D557="Serviço",AL$12&lt;&gt;0,$H557&gt;0,OR(AUTOEVENTO&lt;&gt;"manual",$M557&lt;&gt;1)),
IF(Import.TipoArredondamento&lt;&gt;"TransfereGOV",
ROUND(OFFSET($P557,0,AL$13),15-13*ORÇAMENTO!$AF$7)/$H557*OFFSET(ORÇAMENTO!$X$15,ROW(AL557)-ROW(AL$15),0),
ROUND(ROUND(OFFSET($P557,0,AL$13),15-13*ORÇAMENTO!$AF$7)*OFFSET(ORÇAMENTO!$W$15,ROW(AL557)-ROW(AL$15),0),15-13*ORÇAMENTO!$AF$11)),0)</f>
        <v>0</v>
      </c>
      <c r="AM557" s="545">
        <f ca="1">IF(AND($D557="Serviço",AM$12&lt;&gt;0,$H557&gt;0,OR(AUTOEVENTO&lt;&gt;"manual",$M557&lt;&gt;1)),
IF(Import.TipoArredondamento&lt;&gt;"TransfereGOV",
ROUND(OFFSET($P557,0,AM$13),15-13*ORÇAMENTO!$AF$7)/$H557*OFFSET(ORÇAMENTO!$X$15,ROW(AM557)-ROW(AM$15),0),
ROUND(ROUND(OFFSET($P557,0,AM$13),15-13*ORÇAMENTO!$AF$7)*OFFSET(ORÇAMENTO!$W$15,ROW(AM557)-ROW(AM$15),0),15-13*ORÇAMENTO!$AF$11)),0)</f>
        <v>0</v>
      </c>
      <c r="AN557" s="545">
        <f ca="1">IF(AND($D557="Serviço",AN$12&lt;&gt;0,$H557&gt;0,OR(AUTOEVENTO&lt;&gt;"manual",$M557&lt;&gt;1)),
IF(Import.TipoArredondamento&lt;&gt;"TransfereGOV",
ROUND(OFFSET($P557,0,AN$13),15-13*ORÇAMENTO!$AF$7)/$H557*OFFSET(ORÇAMENTO!$X$15,ROW(AN557)-ROW(AN$15),0),
ROUND(ROUND(OFFSET($P557,0,AN$13),15-13*ORÇAMENTO!$AF$7)*OFFSET(ORÇAMENTO!$W$15,ROW(AN557)-ROW(AN$15),0),15-13*ORÇAMENTO!$AF$11)),0)</f>
        <v>0</v>
      </c>
      <c r="AO557" s="545">
        <f ca="1">IF(AND($D557="Serviço",AO$12&lt;&gt;0,$H557&gt;0,OR(AUTOEVENTO&lt;&gt;"manual",$M557&lt;&gt;1)),
IF(Import.TipoArredondamento&lt;&gt;"TransfereGOV",
ROUND(OFFSET($P557,0,AO$13),15-13*ORÇAMENTO!$AF$7)/$H557*OFFSET(ORÇAMENTO!$X$15,ROW(AO557)-ROW(AO$15),0),
ROUND(ROUND(OFFSET($P557,0,AO$13),15-13*ORÇAMENTO!$AF$7)*OFFSET(ORÇAMENTO!$W$15,ROW(AO557)-ROW(AO$15),0),15-13*ORÇAMENTO!$AF$11)),0)</f>
        <v>0</v>
      </c>
      <c r="AP557" s="545">
        <f ca="1">IF(AND($D557="Serviço",AP$12&lt;&gt;0,$H557&gt;0,OR(AUTOEVENTO&lt;&gt;"manual",$M557&lt;&gt;1)),
IF(Import.TipoArredondamento&lt;&gt;"TransfereGOV",
ROUND(OFFSET($P557,0,AP$13),15-13*ORÇAMENTO!$AF$7)/$H557*OFFSET(ORÇAMENTO!$X$15,ROW(AP557)-ROW(AP$15),0),
ROUND(ROUND(OFFSET($P557,0,AP$13),15-13*ORÇAMENTO!$AF$7)*OFFSET(ORÇAMENTO!$W$15,ROW(AP557)-ROW(AP$15),0),15-13*ORÇAMENTO!$AF$11)),0)</f>
        <v>0</v>
      </c>
      <c r="AQ557" s="545">
        <f ca="1">IF(AND($D557="Serviço",AQ$12&lt;&gt;0,$H557&gt;0,OR(AUTOEVENTO&lt;&gt;"manual",$M557&lt;&gt;1)),
IF(Import.TipoArredondamento&lt;&gt;"TransfereGOV",
ROUND(OFFSET($P557,0,AQ$13),15-13*ORÇAMENTO!$AF$7)/$H557*OFFSET(ORÇAMENTO!$X$15,ROW(AQ557)-ROW(AQ$15),0),
ROUND(ROUND(OFFSET($P557,0,AQ$13),15-13*ORÇAMENTO!$AF$7)*OFFSET(ORÇAMENTO!$W$15,ROW(AQ557)-ROW(AQ$15),0),15-13*ORÇAMENTO!$AF$11)),0)</f>
        <v>0</v>
      </c>
      <c r="AR557" s="545">
        <f ca="1">IF(AND($D557="Serviço",AR$12&lt;&gt;0,$H557&gt;0,OR(AUTOEVENTO&lt;&gt;"manual",$M557&lt;&gt;1)),
IF(Import.TipoArredondamento&lt;&gt;"TransfereGOV",
ROUND(OFFSET($P557,0,AR$13),15-13*ORÇAMENTO!$AF$7)/$H557*OFFSET(ORÇAMENTO!$X$15,ROW(AR557)-ROW(AR$15),0),
ROUND(ROUND(OFFSET($P557,0,AR$13),15-13*ORÇAMENTO!$AF$7)*OFFSET(ORÇAMENTO!$W$15,ROW(AR557)-ROW(AR$15),0),15-13*ORÇAMENTO!$AF$11)),0)</f>
        <v>0</v>
      </c>
      <c r="AS557" s="546">
        <f ca="1">IF(AND($D557="Serviço",AS$12&lt;&gt;0,$H557&gt;0,OR(AUTOEVENTO&lt;&gt;"manual",$M557&lt;&gt;1)),
IF(Import.TipoArredondamento&lt;&gt;"TransfereGOV",
ROUND(OFFSET($P557,0,AS$13),15-13*ORÇAMENTO!$AF$7)/$H557*OFFSET(ORÇAMENTO!$X$15,ROW(AS557)-ROW(AS$15),0),
ROUND(ROUND(OFFSET($P557,0,AS$13),15-13*ORÇAMENTO!$AF$7)*OFFSET(ORÇAMENTO!$W$15,ROW(AS557)-ROW(AS$15),0),15-13*ORÇAMENTO!$AF$11)),0)</f>
        <v>0</v>
      </c>
      <c r="AT557" s="545">
        <f ca="1">IF(AND($D557="Serviço",AT$12&lt;&gt;0,$H557&gt;0,OR(AUTOEVENTO&lt;&gt;"manual",$M557&lt;&gt;1)),
IF(Import.TipoArredondamento&lt;&gt;"TransfereGOV",
ROUND(OFFSET($P557,0,AT$13),15-13*ORÇAMENTO!$AF$7)/$H557*OFFSET(ORÇAMENTO!$X$15,ROW(AT557)-ROW(AT$15),0),
ROUND(ROUND(OFFSET($P557,0,AT$13),15-13*ORÇAMENTO!$AF$7)*OFFSET(ORÇAMENTO!$W$15,ROW(AT557)-ROW(AT$15),0),15-13*ORÇAMENTO!$AF$11)),0)</f>
        <v>0</v>
      </c>
      <c r="AU557" s="545">
        <f ca="1">IF(AND($D557="Serviço",AU$12&lt;&gt;0,$H557&gt;0,OR(AUTOEVENTO&lt;&gt;"manual",$M557&lt;&gt;1)),
IF(Import.TipoArredondamento&lt;&gt;"TransfereGOV",
ROUND(OFFSET($P557,0,AU$13),15-13*ORÇAMENTO!$AF$7)/$H557*OFFSET(ORÇAMENTO!$X$15,ROW(AU557)-ROW(AU$15),0),
ROUND(ROUND(OFFSET($P557,0,AU$13),15-13*ORÇAMENTO!$AF$7)*OFFSET(ORÇAMENTO!$W$15,ROW(AU557)-ROW(AU$15),0),15-13*ORÇAMENTO!$AF$11)),0)</f>
        <v>0</v>
      </c>
      <c r="AV557" s="545">
        <f ca="1">IF(AND($D557="Serviço",AV$12&lt;&gt;0,$H557&gt;0,OR(AUTOEVENTO&lt;&gt;"manual",$M557&lt;&gt;1)),
IF(Import.TipoArredondamento&lt;&gt;"TransfereGOV",
ROUND(OFFSET($P557,0,AV$13),15-13*ORÇAMENTO!$AF$7)/$H557*OFFSET(ORÇAMENTO!$X$15,ROW(AV557)-ROW(AV$15),0),
ROUND(ROUND(OFFSET($P557,0,AV$13),15-13*ORÇAMENTO!$AF$7)*OFFSET(ORÇAMENTO!$W$15,ROW(AV557)-ROW(AV$15),0),15-13*ORÇAMENTO!$AF$11)),0)</f>
        <v>0</v>
      </c>
      <c r="AW557" s="545">
        <f ca="1">IF(AND($D557="Serviço",AW$12&lt;&gt;0,$H557&gt;0,OR(AUTOEVENTO&lt;&gt;"manual",$M557&lt;&gt;1)),
IF(Import.TipoArredondamento&lt;&gt;"TransfereGOV",
ROUND(OFFSET($P557,0,AW$13),15-13*ORÇAMENTO!$AF$7)/$H557*OFFSET(ORÇAMENTO!$X$15,ROW(AW557)-ROW(AW$15),0),
ROUND(ROUND(OFFSET($P557,0,AW$13),15-13*ORÇAMENTO!$AF$7)*OFFSET(ORÇAMENTO!$W$15,ROW(AW557)-ROW(AW$15),0),15-13*ORÇAMENTO!$AF$11)),0)</f>
        <v>0</v>
      </c>
      <c r="AX557" s="545">
        <f ca="1">IF(AND($D557="Serviço",AX$12&lt;&gt;0,$H557&gt;0,OR(AUTOEVENTO&lt;&gt;"manual",$M557&lt;&gt;1)),
IF(Import.TipoArredondamento&lt;&gt;"TransfereGOV",
ROUND(OFFSET($P557,0,AX$13),15-13*ORÇAMENTO!$AF$7)/$H557*OFFSET(ORÇAMENTO!$X$15,ROW(AX557)-ROW(AX$15),0),
ROUND(ROUND(OFFSET($P557,0,AX$13),15-13*ORÇAMENTO!$AF$7)*OFFSET(ORÇAMENTO!$W$15,ROW(AX557)-ROW(AX$15),0),15-13*ORÇAMENTO!$AF$11)),0)</f>
        <v>0</v>
      </c>
      <c r="AY557" s="545">
        <f ca="1">IF(AND($D557="Serviço",AY$12&lt;&gt;0,$H557&gt;0,OR(AUTOEVENTO&lt;&gt;"manual",$M557&lt;&gt;1)),
IF(Import.TipoArredondamento&lt;&gt;"TransfereGOV",
ROUND(OFFSET($P557,0,AY$13),15-13*ORÇAMENTO!$AF$7)/$H557*OFFSET(ORÇAMENTO!$X$15,ROW(AY557)-ROW(AY$15),0),
ROUND(ROUND(OFFSET($P557,0,AY$13),15-13*ORÇAMENTO!$AF$7)*OFFSET(ORÇAMENTO!$W$15,ROW(AY557)-ROW(AY$15),0),15-13*ORÇAMENTO!$AF$11)),0)</f>
        <v>0</v>
      </c>
      <c r="AZ557" s="545">
        <f ca="1">IF(AND($D557="Serviço",AZ$12&lt;&gt;0,$H557&gt;0,OR(AUTOEVENTO&lt;&gt;"manual",$M557&lt;&gt;1)),
IF(Import.TipoArredondamento&lt;&gt;"TransfereGOV",
ROUND(OFFSET($P557,0,AZ$13),15-13*ORÇAMENTO!$AF$7)/$H557*OFFSET(ORÇAMENTO!$X$15,ROW(AZ557)-ROW(AZ$15),0),
ROUND(ROUND(OFFSET($P557,0,AZ$13),15-13*ORÇAMENTO!$AF$7)*OFFSET(ORÇAMENTO!$W$15,ROW(AZ557)-ROW(AZ$15),0),15-13*ORÇAMENTO!$AF$11)),0)</f>
        <v>0</v>
      </c>
      <c r="BA557" s="546">
        <f ca="1">IF(AND($D557="Serviço",BA$12&lt;&gt;0,$H557&gt;0,OR(AUTOEVENTO&lt;&gt;"manual",$M557&lt;&gt;1)),
IF(Import.TipoArredondamento&lt;&gt;"TransfereGOV",
ROUND(OFFSET($P557,0,BA$13),15-13*ORÇAMENTO!$AF$7)/$H557*OFFSET(ORÇAMENTO!$X$15,ROW(BA557)-ROW(BA$15),0),
ROUND(ROUND(OFFSET($P557,0,BA$13),15-13*ORÇAMENTO!$AF$7)*OFFSET(ORÇAMENTO!$W$15,ROW(BA557)-ROW(BA$15),0),15-13*ORÇAMENTO!$AF$11)),0)</f>
        <v>0</v>
      </c>
      <c r="BC557" s="181">
        <f ca="1">IF($D557&lt;&gt;"Serviço",0,IF(AND(AUTOEVENTO="Manual",$M557=1),0,IF(OFFSET(CRONOPLE!$F$14,$M557,BC$13)="",10^12,OFFSET(CRONOPLE!$F$14,$M557,BC$13))))</f>
        <v>10</v>
      </c>
      <c r="BD557" s="181">
        <f ca="1">IF($D557&lt;&gt;"Serviço",0,IF(AND(AUTOEVENTO="Manual",$M557=1),0,IF(OFFSET(CRONOPLE!$F$14,$M557,BD$13)="",10^12,OFFSET(CRONOPLE!$F$14,$M557,BD$13))))</f>
        <v>1000000000000</v>
      </c>
      <c r="BE557" s="181">
        <f ca="1">IF($D557&lt;&gt;"Serviço",0,IF(AND(AUTOEVENTO="Manual",$M557=1),0,IF(OFFSET(CRONOPLE!$F$14,$M557,BE$13)="",10^12,OFFSET(CRONOPLE!$F$14,$M557,BE$13))))</f>
        <v>1000000000000</v>
      </c>
      <c r="BF557" s="181">
        <f ca="1">IF($D557&lt;&gt;"Serviço",0,IF(AND(AUTOEVENTO="Manual",$M557=1),0,IF(OFFSET(CRONOPLE!$F$14,$M557,BF$13)="",10^12,OFFSET(CRONOPLE!$F$14,$M557,BF$13))))</f>
        <v>1000000000000</v>
      </c>
      <c r="BG557" s="181">
        <f ca="1">IF($D557&lt;&gt;"Serviço",0,IF(AND(AUTOEVENTO="Manual",$M557=1),0,IF(OFFSET(CRONOPLE!$F$14,$M557,BG$13)="",10^12,OFFSET(CRONOPLE!$F$14,$M557,BG$13))))</f>
        <v>1000000000000</v>
      </c>
      <c r="BH557" s="181">
        <f ca="1">IF($D557&lt;&gt;"Serviço",0,IF(AND(AUTOEVENTO="Manual",$M557=1),0,IF(OFFSET(CRONOPLE!$F$14,$M557,BH$13)="",10^12,OFFSET(CRONOPLE!$F$14,$M557,BH$13))))</f>
        <v>1000000000000</v>
      </c>
      <c r="BI557" s="181">
        <f ca="1">IF($D557&lt;&gt;"Serviço",0,IF(AND(AUTOEVENTO="Manual",$M557=1),0,IF(OFFSET(CRONOPLE!$F$14,$M557,BI$13)="",10^12,OFFSET(CRONOPLE!$F$14,$M557,BI$13))))</f>
        <v>1000000000000</v>
      </c>
      <c r="BJ557" s="181">
        <f ca="1">IF($D557&lt;&gt;"Serviço",0,IF(AND(AUTOEVENTO="Manual",$M557=1),0,IF(OFFSET(CRONOPLE!$F$14,$M557,BJ$13)="",10^12,OFFSET(CRONOPLE!$F$14,$M557,BJ$13))))</f>
        <v>1000000000000</v>
      </c>
      <c r="BK557" s="181">
        <f ca="1">IF($D557&lt;&gt;"Serviço",0,IF(AND(AUTOEVENTO="Manual",$M557=1),0,IF(OFFSET(CRONOPLE!$F$14,$M557,BK$13)="",10^12,OFFSET(CRONOPLE!$F$14,$M557,BK$13))))</f>
        <v>1000000000000</v>
      </c>
      <c r="BL557" s="181">
        <f ca="1">IF($D557&lt;&gt;"Serviço",0,IF(AND(AUTOEVENTO="Manual",$M557=1),0,IF(OFFSET(CRONOPLE!$F$14,$M557,BL$13)="",10^12,OFFSET(CRONOPLE!$F$14,$M557,BL$13))))</f>
        <v>1000000000000</v>
      </c>
      <c r="BM557" s="181">
        <f ca="1">IF($D557&lt;&gt;"Serviço",0,IF(AND(AUTOEVENTO="Manual",$M557=1),0,IF(OFFSET(CRONOPLE!$F$14,$M557,BM$13)="",10^12,OFFSET(CRONOPLE!$F$14,$M557,BM$13))))</f>
        <v>1000000000000</v>
      </c>
      <c r="BN557" s="181">
        <f ca="1">IF($D557&lt;&gt;"Serviço",0,IF(AND(AUTOEVENTO="Manual",$M557=1),0,IF(OFFSET(CRONOPLE!$F$14,$M557,BN$13)="",10^12,OFFSET(CRONOPLE!$F$14,$M557,BN$13))))</f>
        <v>1000000000000</v>
      </c>
      <c r="BO557" s="181">
        <f ca="1">IF($D557&lt;&gt;"Serviço",0,IF(AND(AUTOEVENTO="Manual",$M557=1),0,IF(OFFSET(CRONOPLE!$F$14,$M557,BO$13)="",10^12,OFFSET(CRONOPLE!$F$14,$M557,BO$13))))</f>
        <v>1000000000000</v>
      </c>
      <c r="BP557" s="181">
        <f ca="1">IF($D557&lt;&gt;"Serviço",0,IF(AND(AUTOEVENTO="Manual",$M557=1),0,IF(OFFSET(CRONOPLE!$F$14,$M557,BP$13)="",10^12,OFFSET(CRONOPLE!$F$14,$M557,BP$13))))</f>
        <v>1000000000000</v>
      </c>
      <c r="BQ557" s="181">
        <f ca="1">IF($D557&lt;&gt;"Serviço",0,IF(AND(AUTOEVENTO="Manual",$M557=1),0,IF(OFFSET(CRONOPLE!$F$14,$M557,BQ$13)="",10^12,OFFSET(CRONOPLE!$F$14,$M557,BQ$13))))</f>
        <v>1000000000000</v>
      </c>
      <c r="BR557" s="181">
        <f ca="1">IF($D557&lt;&gt;"Serviço",0,IF(AND(AUTOEVENTO="Manual",$M557=1),0,IF(OFFSET(CRONOPLE!$F$14,$M557,BR$13)="",10^12,OFFSET(CRONOPLE!$F$14,$M557,BR$13))))</f>
        <v>1000000000000</v>
      </c>
      <c r="BS557" s="181">
        <f ca="1">IF($D557&lt;&gt;"Serviço",0,IF(AND(AUTOEVENTO="Manual",$M557=1),0,IF(OFFSET(CRONOPLE!$F$14,$M557,BS$13)="",10^12,OFFSET(CRONOPLE!$F$14,$M557,BS$13))))</f>
        <v>1000000000000</v>
      </c>
      <c r="BT557" s="181">
        <f ca="1">IF($D557&lt;&gt;"Serviço",0,IF(AND(AUTOEVENTO="Manual",$M557=1),0,IF(OFFSET(CRONOPLE!$F$14,$M557,BT$13)="",10^12,OFFSET(CRONOPLE!$F$14,$M557,BT$13))))</f>
        <v>1000000000000</v>
      </c>
      <c r="BV557" s="182">
        <f ca="1">IF($D557&lt;&gt;"Serviço",0,IF(OR(AND(AUTOEVENTO="Manual",$M557=1),$M557&gt;(ROW(PLE.lastrow)-ROW(PLE.firstrow))),0,IF(OFFSET(PLE!$G$14,$M557,BV$13)="",10^12,OFFSET(PLE!$G$14,$M557,BV$13))))</f>
        <v>1000000000000</v>
      </c>
      <c r="BW557" s="182">
        <f ca="1">IF($D557&lt;&gt;"Serviço",0,IF(OR(AND(AUTOEVENTO="Manual",$M557=1),$M557&gt;(ROW(PLE.lastrow)-ROW(PLE.firstrow))),0,IF(OFFSET(PLE!$G$14,$M557,BW$13)="",10^12,OFFSET(PLE!$G$14,$M557,BW$13))))</f>
        <v>1000000000000</v>
      </c>
      <c r="BX557" s="182">
        <f ca="1">IF($D557&lt;&gt;"Serviço",0,IF(OR(AND(AUTOEVENTO="Manual",$M557=1),$M557&gt;(ROW(PLE.lastrow)-ROW(PLE.firstrow))),0,IF(OFFSET(PLE!$G$14,$M557,BX$13)="",10^12,OFFSET(PLE!$G$14,$M557,BX$13))))</f>
        <v>1000000000000</v>
      </c>
      <c r="BY557" s="182">
        <f ca="1">IF($D557&lt;&gt;"Serviço",0,IF(OR(AND(AUTOEVENTO="Manual",$M557=1),$M557&gt;(ROW(PLE.lastrow)-ROW(PLE.firstrow))),0,IF(OFFSET(PLE!$G$14,$M557,BY$13)="",10^12,OFFSET(PLE!$G$14,$M557,BY$13))))</f>
        <v>1000000000000</v>
      </c>
      <c r="BZ557" s="182">
        <f ca="1">IF($D557&lt;&gt;"Serviço",0,IF(OR(AND(AUTOEVENTO="Manual",$M557=1),$M557&gt;(ROW(PLE.lastrow)-ROW(PLE.firstrow))),0,IF(OFFSET(PLE!$G$14,$M557,BZ$13)="",10^12,OFFSET(PLE!$G$14,$M557,BZ$13))))</f>
        <v>1000000000000</v>
      </c>
      <c r="CA557" s="182">
        <f ca="1">IF($D557&lt;&gt;"Serviço",0,IF(OR(AND(AUTOEVENTO="Manual",$M557=1),$M557&gt;(ROW(PLE.lastrow)-ROW(PLE.firstrow))),0,IF(OFFSET(PLE!$G$14,$M557,CA$13)="",10^12,OFFSET(PLE!$G$14,$M557,CA$13))))</f>
        <v>1000000000000</v>
      </c>
      <c r="CB557" s="182">
        <f ca="1">IF($D557&lt;&gt;"Serviço",0,IF(OR(AND(AUTOEVENTO="Manual",$M557=1),$M557&gt;(ROW(PLE.lastrow)-ROW(PLE.firstrow))),0,IF(OFFSET(PLE!$G$14,$M557,CB$13)="",10^12,OFFSET(PLE!$G$14,$M557,CB$13))))</f>
        <v>1000000000000</v>
      </c>
      <c r="CC557" s="182">
        <f ca="1">IF($D557&lt;&gt;"Serviço",0,IF(OR(AND(AUTOEVENTO="Manual",$M557=1),$M557&gt;(ROW(PLE.lastrow)-ROW(PLE.firstrow))),0,IF(OFFSET(PLE!$G$14,$M557,CC$13)="",10^12,OFFSET(PLE!$G$14,$M557,CC$13))))</f>
        <v>1000000000000</v>
      </c>
      <c r="CD557" s="182">
        <f ca="1">IF($D557&lt;&gt;"Serviço",0,IF(OR(AND(AUTOEVENTO="Manual",$M557=1),$M557&gt;(ROW(PLE.lastrow)-ROW(PLE.firstrow))),0,IF(OFFSET(PLE!$G$14,$M557,CD$13)="",10^12,OFFSET(PLE!$G$14,$M557,CD$13))))</f>
        <v>1000000000000</v>
      </c>
      <c r="CE557" s="182">
        <f ca="1">IF($D557&lt;&gt;"Serviço",0,IF(OR(AND(AUTOEVENTO="Manual",$M557=1),$M557&gt;(ROW(PLE.lastrow)-ROW(PLE.firstrow))),0,IF(OFFSET(PLE!$G$14,$M557,CE$13)="",10^12,OFFSET(PLE!$G$14,$M557,CE$13))))</f>
        <v>1000000000000</v>
      </c>
      <c r="CF557" s="182">
        <f ca="1">IF($D557&lt;&gt;"Serviço",0,IF(OR(AND(AUTOEVENTO="Manual",$M557=1),$M557&gt;(ROW(PLE.lastrow)-ROW(PLE.firstrow))),0,IF(OFFSET(PLE!$G$14,$M557,CF$13)="",10^12,OFFSET(PLE!$G$14,$M557,CF$13))))</f>
        <v>1000000000000</v>
      </c>
      <c r="CG557" s="182">
        <f ca="1">IF($D557&lt;&gt;"Serviço",0,IF(OR(AND(AUTOEVENTO="Manual",$M557=1),$M557&gt;(ROW(PLE.lastrow)-ROW(PLE.firstrow))),0,IF(OFFSET(PLE!$G$14,$M557,CG$13)="",10^12,OFFSET(PLE!$G$14,$M557,CG$13))))</f>
        <v>1000000000000</v>
      </c>
      <c r="CH557" s="182">
        <f ca="1">IF($D557&lt;&gt;"Serviço",0,IF(OR(AND(AUTOEVENTO="Manual",$M557=1),$M557&gt;(ROW(PLE.lastrow)-ROW(PLE.firstrow))),0,IF(OFFSET(PLE!$G$14,$M557,CH$13)="",10^12,OFFSET(PLE!$G$14,$M557,CH$13))))</f>
        <v>1000000000000</v>
      </c>
      <c r="CI557" s="182">
        <f ca="1">IF($D557&lt;&gt;"Serviço",0,IF(OR(AND(AUTOEVENTO="Manual",$M557=1),$M557&gt;(ROW(PLE.lastrow)-ROW(PLE.firstrow))),0,IF(OFFSET(PLE!$G$14,$M557,CI$13)="",10^12,OFFSET(PLE!$G$14,$M557,CI$13))))</f>
        <v>1000000000000</v>
      </c>
      <c r="CJ557" s="182">
        <f ca="1">IF($D557&lt;&gt;"Serviço",0,IF(OR(AND(AUTOEVENTO="Manual",$M557=1),$M557&gt;(ROW(PLE.lastrow)-ROW(PLE.firstrow))),0,IF(OFFSET(PLE!$G$14,$M557,CJ$13)="",10^12,OFFSET(PLE!$G$14,$M557,CJ$13))))</f>
        <v>1000000000000</v>
      </c>
      <c r="CK557" s="182">
        <f ca="1">IF($D557&lt;&gt;"Serviço",0,IF(OR(AND(AUTOEVENTO="Manual",$M557=1),$M557&gt;(ROW(PLE.lastrow)-ROW(PLE.firstrow))),0,IF(OFFSET(PLE!$G$14,$M557,CK$13)="",10^12,OFFSET(PLE!$G$14,$M557,CK$13))))</f>
        <v>1000000000000</v>
      </c>
      <c r="CL557" s="182">
        <f ca="1">IF($D557&lt;&gt;"Serviço",0,IF(OR(AND(AUTOEVENTO="Manual",$M557=1),$M557&gt;(ROW(PLE.lastrow)-ROW(PLE.firstrow))),0,IF(OFFSET(PLE!$G$14,$M557,CL$13)="",10^12,OFFSET(PLE!$G$14,$M557,CL$13))))</f>
        <v>1000000000000</v>
      </c>
      <c r="CM557" s="182">
        <f ca="1">IF($D557&lt;&gt;"Serviço",0,IF(OR(AND(AUTOEVENTO="Manual",$M557=1),$M557&gt;(ROW(PLE.lastrow)-ROW(PLE.firstrow))),0,IF(OFFSET(PLE!$G$14,$M557,CM$13)="",10^12,OFFSET(PLE!$G$14,$M557,CM$13))))</f>
        <v>1000000000000</v>
      </c>
    </row>
    <row r="558" spans="1:91" ht="25.5" x14ac:dyDescent="0.2">
      <c r="A558" s="7" t="str">
        <f t="shared" ca="1" si="17"/>
        <v>528</v>
      </c>
      <c r="B558" s="7" t="str">
        <f ca="1">OFFSET(ORÇAMENTO!C$15,ROW(B558)-ROW(B$15),0)</f>
        <v>S</v>
      </c>
      <c r="C558" s="7" t="str">
        <f ca="1">OFFSET(ORÇAMENTO!L$15,ROW(C558)-ROW(C$15),0)</f>
        <v/>
      </c>
      <c r="D558" s="118" t="str">
        <f ca="1">OFFSET(ORÇAMENTO!N$15,ROW(D558)-ROW(D$15),0)</f>
        <v>Serviço</v>
      </c>
      <c r="E558" s="119" t="str">
        <f ca="1">OFFSET(ORÇAMENTO!O$15,ROW(E558)-ROW(E$15),0)</f>
        <v>-</v>
      </c>
      <c r="F558" s="172" t="str">
        <f ca="1">OFFSET(ORÇAMENTO!R$15,ROW(F558)-ROW(F$15),0)</f>
        <v>(abra o arquivo 'Referência 06-2024.xlsm)</v>
      </c>
      <c r="G558" s="173" t="str">
        <f ca="1">IF($D558&lt;&gt;"Serviço","",OFFSET(ORÇAMENTO!S$15,ROW(G558)-ROW(G$15),0))</f>
        <v>-</v>
      </c>
      <c r="H558" s="124">
        <f ca="1">IF($D558&lt;&gt;"Serviço",0,IF(ACOMPANHAMENTO="BM",ROUND(OFFSET(ORÇAMENTO!AJ$15,ROW(H558)-ROW(H$15),0),15-13*ORÇAMENTO!$AF$7),SUMPRODUCT(($Q$12:$AI$12&lt;&gt;"")*ROUND($Q558:$AI558,15-13*ORÇAMENTO!$AF$7))))</f>
        <v>2</v>
      </c>
      <c r="I558" s="561" t="s">
        <v>1107</v>
      </c>
      <c r="K558" s="174"/>
      <c r="L558" s="175" t="s">
        <v>255</v>
      </c>
      <c r="M558" s="176">
        <f ca="1">IF($D558&lt;&gt;"Serviço","",IF(AUTOEVENTO="manual",$A558,IF(ISERROR(MATCH($A558,$A$15:OFFSET($A558,-1,0),0)),MAX($M$15:OFFSET(M558,-1,0))+1,INDEX($M$15:OFFSET(M558,-1,0),MATCH($A558,$A$15:OFFSET($A558,-1,0),0)))))</f>
        <v>57</v>
      </c>
      <c r="N558" s="177" t="str">
        <f ca="1">IF($D558&lt;&gt;"Serviço","",IF(AUTOEVENTO="Manual",IF($A558=0,"&lt;-- defina o número do agrupador",OFFSET(EVENTOS!$D$14,$A558,0)),OFFSET($F$15,$A558,0)))</f>
        <v>INSTALAÇÃO ELÉTRICA 110V - DISPOSITIVOS DE PROTEÇÃO</v>
      </c>
      <c r="O558" s="178"/>
      <c r="Q558" s="178">
        <v>2</v>
      </c>
      <c r="R558" s="179"/>
      <c r="S558" s="179"/>
      <c r="T558" s="179"/>
      <c r="U558" s="179"/>
      <c r="V558" s="179"/>
      <c r="W558" s="179"/>
      <c r="X558" s="179"/>
      <c r="Y558" s="179"/>
      <c r="Z558" s="180"/>
      <c r="AA558" s="179"/>
      <c r="AB558" s="179"/>
      <c r="AC558" s="179"/>
      <c r="AD558" s="179"/>
      <c r="AE558" s="179"/>
      <c r="AF558" s="179"/>
      <c r="AG558" s="179"/>
      <c r="AH558" s="180"/>
      <c r="AJ558" s="544">
        <f ca="1">IF(AND($D558="Serviço",AJ$12&lt;&gt;0,$H558&gt;0,OR(AUTOEVENTO&lt;&gt;"manual",$M558&lt;&gt;1)),
IF(Import.TipoArredondamento&lt;&gt;"TransfereGOV",
ROUND(OFFSET($P558,0,AJ$13),15-13*ORÇAMENTO!$AF$7)/$H558*OFFSET(ORÇAMENTO!$X$15,ROW(AJ558)-ROW(AJ$15),0),
ROUND(ROUND(OFFSET($P558,0,AJ$13),15-13*ORÇAMENTO!$AF$7)*OFFSET(ORÇAMENTO!$W$15,ROW(AJ558)-ROW(AJ$15),0),15-13*ORÇAMENTO!$AF$11)),0)</f>
        <v>0</v>
      </c>
      <c r="AK558" s="545">
        <f ca="1">IF(AND($D558="Serviço",AK$12&lt;&gt;0,$H558&gt;0,OR(AUTOEVENTO&lt;&gt;"manual",$M558&lt;&gt;1)),
IF(Import.TipoArredondamento&lt;&gt;"TransfereGOV",
ROUND(OFFSET($P558,0,AK$13),15-13*ORÇAMENTO!$AF$7)/$H558*OFFSET(ORÇAMENTO!$X$15,ROW(AK558)-ROW(AK$15),0),
ROUND(ROUND(OFFSET($P558,0,AK$13),15-13*ORÇAMENTO!$AF$7)*OFFSET(ORÇAMENTO!$W$15,ROW(AK558)-ROW(AK$15),0),15-13*ORÇAMENTO!$AF$11)),0)</f>
        <v>0</v>
      </c>
      <c r="AL558" s="545">
        <f ca="1">IF(AND($D558="Serviço",AL$12&lt;&gt;0,$H558&gt;0,OR(AUTOEVENTO&lt;&gt;"manual",$M558&lt;&gt;1)),
IF(Import.TipoArredondamento&lt;&gt;"TransfereGOV",
ROUND(OFFSET($P558,0,AL$13),15-13*ORÇAMENTO!$AF$7)/$H558*OFFSET(ORÇAMENTO!$X$15,ROW(AL558)-ROW(AL$15),0),
ROUND(ROUND(OFFSET($P558,0,AL$13),15-13*ORÇAMENTO!$AF$7)*OFFSET(ORÇAMENTO!$W$15,ROW(AL558)-ROW(AL$15),0),15-13*ORÇAMENTO!$AF$11)),0)</f>
        <v>0</v>
      </c>
      <c r="AM558" s="545">
        <f ca="1">IF(AND($D558="Serviço",AM$12&lt;&gt;0,$H558&gt;0,OR(AUTOEVENTO&lt;&gt;"manual",$M558&lt;&gt;1)),
IF(Import.TipoArredondamento&lt;&gt;"TransfereGOV",
ROUND(OFFSET($P558,0,AM$13),15-13*ORÇAMENTO!$AF$7)/$H558*OFFSET(ORÇAMENTO!$X$15,ROW(AM558)-ROW(AM$15),0),
ROUND(ROUND(OFFSET($P558,0,AM$13),15-13*ORÇAMENTO!$AF$7)*OFFSET(ORÇAMENTO!$W$15,ROW(AM558)-ROW(AM$15),0),15-13*ORÇAMENTO!$AF$11)),0)</f>
        <v>0</v>
      </c>
      <c r="AN558" s="545">
        <f ca="1">IF(AND($D558="Serviço",AN$12&lt;&gt;0,$H558&gt;0,OR(AUTOEVENTO&lt;&gt;"manual",$M558&lt;&gt;1)),
IF(Import.TipoArredondamento&lt;&gt;"TransfereGOV",
ROUND(OFFSET($P558,0,AN$13),15-13*ORÇAMENTO!$AF$7)/$H558*OFFSET(ORÇAMENTO!$X$15,ROW(AN558)-ROW(AN$15),0),
ROUND(ROUND(OFFSET($P558,0,AN$13),15-13*ORÇAMENTO!$AF$7)*OFFSET(ORÇAMENTO!$W$15,ROW(AN558)-ROW(AN$15),0),15-13*ORÇAMENTO!$AF$11)),0)</f>
        <v>0</v>
      </c>
      <c r="AO558" s="545">
        <f ca="1">IF(AND($D558="Serviço",AO$12&lt;&gt;0,$H558&gt;0,OR(AUTOEVENTO&lt;&gt;"manual",$M558&lt;&gt;1)),
IF(Import.TipoArredondamento&lt;&gt;"TransfereGOV",
ROUND(OFFSET($P558,0,AO$13),15-13*ORÇAMENTO!$AF$7)/$H558*OFFSET(ORÇAMENTO!$X$15,ROW(AO558)-ROW(AO$15),0),
ROUND(ROUND(OFFSET($P558,0,AO$13),15-13*ORÇAMENTO!$AF$7)*OFFSET(ORÇAMENTO!$W$15,ROW(AO558)-ROW(AO$15),0),15-13*ORÇAMENTO!$AF$11)),0)</f>
        <v>0</v>
      </c>
      <c r="AP558" s="545">
        <f ca="1">IF(AND($D558="Serviço",AP$12&lt;&gt;0,$H558&gt;0,OR(AUTOEVENTO&lt;&gt;"manual",$M558&lt;&gt;1)),
IF(Import.TipoArredondamento&lt;&gt;"TransfereGOV",
ROUND(OFFSET($P558,0,AP$13),15-13*ORÇAMENTO!$AF$7)/$H558*OFFSET(ORÇAMENTO!$X$15,ROW(AP558)-ROW(AP$15),0),
ROUND(ROUND(OFFSET($P558,0,AP$13),15-13*ORÇAMENTO!$AF$7)*OFFSET(ORÇAMENTO!$W$15,ROW(AP558)-ROW(AP$15),0),15-13*ORÇAMENTO!$AF$11)),0)</f>
        <v>0</v>
      </c>
      <c r="AQ558" s="545">
        <f ca="1">IF(AND($D558="Serviço",AQ$12&lt;&gt;0,$H558&gt;0,OR(AUTOEVENTO&lt;&gt;"manual",$M558&lt;&gt;1)),
IF(Import.TipoArredondamento&lt;&gt;"TransfereGOV",
ROUND(OFFSET($P558,0,AQ$13),15-13*ORÇAMENTO!$AF$7)/$H558*OFFSET(ORÇAMENTO!$X$15,ROW(AQ558)-ROW(AQ$15),0),
ROUND(ROUND(OFFSET($P558,0,AQ$13),15-13*ORÇAMENTO!$AF$7)*OFFSET(ORÇAMENTO!$W$15,ROW(AQ558)-ROW(AQ$15),0),15-13*ORÇAMENTO!$AF$11)),0)</f>
        <v>0</v>
      </c>
      <c r="AR558" s="545">
        <f ca="1">IF(AND($D558="Serviço",AR$12&lt;&gt;0,$H558&gt;0,OR(AUTOEVENTO&lt;&gt;"manual",$M558&lt;&gt;1)),
IF(Import.TipoArredondamento&lt;&gt;"TransfereGOV",
ROUND(OFFSET($P558,0,AR$13),15-13*ORÇAMENTO!$AF$7)/$H558*OFFSET(ORÇAMENTO!$X$15,ROW(AR558)-ROW(AR$15),0),
ROUND(ROUND(OFFSET($P558,0,AR$13),15-13*ORÇAMENTO!$AF$7)*OFFSET(ORÇAMENTO!$W$15,ROW(AR558)-ROW(AR$15),0),15-13*ORÇAMENTO!$AF$11)),0)</f>
        <v>0</v>
      </c>
      <c r="AS558" s="546">
        <f ca="1">IF(AND($D558="Serviço",AS$12&lt;&gt;0,$H558&gt;0,OR(AUTOEVENTO&lt;&gt;"manual",$M558&lt;&gt;1)),
IF(Import.TipoArredondamento&lt;&gt;"TransfereGOV",
ROUND(OFFSET($P558,0,AS$13),15-13*ORÇAMENTO!$AF$7)/$H558*OFFSET(ORÇAMENTO!$X$15,ROW(AS558)-ROW(AS$15),0),
ROUND(ROUND(OFFSET($P558,0,AS$13),15-13*ORÇAMENTO!$AF$7)*OFFSET(ORÇAMENTO!$W$15,ROW(AS558)-ROW(AS$15),0),15-13*ORÇAMENTO!$AF$11)),0)</f>
        <v>0</v>
      </c>
      <c r="AT558" s="545">
        <f ca="1">IF(AND($D558="Serviço",AT$12&lt;&gt;0,$H558&gt;0,OR(AUTOEVENTO&lt;&gt;"manual",$M558&lt;&gt;1)),
IF(Import.TipoArredondamento&lt;&gt;"TransfereGOV",
ROUND(OFFSET($P558,0,AT$13),15-13*ORÇAMENTO!$AF$7)/$H558*OFFSET(ORÇAMENTO!$X$15,ROW(AT558)-ROW(AT$15),0),
ROUND(ROUND(OFFSET($P558,0,AT$13),15-13*ORÇAMENTO!$AF$7)*OFFSET(ORÇAMENTO!$W$15,ROW(AT558)-ROW(AT$15),0),15-13*ORÇAMENTO!$AF$11)),0)</f>
        <v>0</v>
      </c>
      <c r="AU558" s="545">
        <f ca="1">IF(AND($D558="Serviço",AU$12&lt;&gt;0,$H558&gt;0,OR(AUTOEVENTO&lt;&gt;"manual",$M558&lt;&gt;1)),
IF(Import.TipoArredondamento&lt;&gt;"TransfereGOV",
ROUND(OFFSET($P558,0,AU$13),15-13*ORÇAMENTO!$AF$7)/$H558*OFFSET(ORÇAMENTO!$X$15,ROW(AU558)-ROW(AU$15),0),
ROUND(ROUND(OFFSET($P558,0,AU$13),15-13*ORÇAMENTO!$AF$7)*OFFSET(ORÇAMENTO!$W$15,ROW(AU558)-ROW(AU$15),0),15-13*ORÇAMENTO!$AF$11)),0)</f>
        <v>0</v>
      </c>
      <c r="AV558" s="545">
        <f ca="1">IF(AND($D558="Serviço",AV$12&lt;&gt;0,$H558&gt;0,OR(AUTOEVENTO&lt;&gt;"manual",$M558&lt;&gt;1)),
IF(Import.TipoArredondamento&lt;&gt;"TransfereGOV",
ROUND(OFFSET($P558,0,AV$13),15-13*ORÇAMENTO!$AF$7)/$H558*OFFSET(ORÇAMENTO!$X$15,ROW(AV558)-ROW(AV$15),0),
ROUND(ROUND(OFFSET($P558,0,AV$13),15-13*ORÇAMENTO!$AF$7)*OFFSET(ORÇAMENTO!$W$15,ROW(AV558)-ROW(AV$15),0),15-13*ORÇAMENTO!$AF$11)),0)</f>
        <v>0</v>
      </c>
      <c r="AW558" s="545">
        <f ca="1">IF(AND($D558="Serviço",AW$12&lt;&gt;0,$H558&gt;0,OR(AUTOEVENTO&lt;&gt;"manual",$M558&lt;&gt;1)),
IF(Import.TipoArredondamento&lt;&gt;"TransfereGOV",
ROUND(OFFSET($P558,0,AW$13),15-13*ORÇAMENTO!$AF$7)/$H558*OFFSET(ORÇAMENTO!$X$15,ROW(AW558)-ROW(AW$15),0),
ROUND(ROUND(OFFSET($P558,0,AW$13),15-13*ORÇAMENTO!$AF$7)*OFFSET(ORÇAMENTO!$W$15,ROW(AW558)-ROW(AW$15),0),15-13*ORÇAMENTO!$AF$11)),0)</f>
        <v>0</v>
      </c>
      <c r="AX558" s="545">
        <f ca="1">IF(AND($D558="Serviço",AX$12&lt;&gt;0,$H558&gt;0,OR(AUTOEVENTO&lt;&gt;"manual",$M558&lt;&gt;1)),
IF(Import.TipoArredondamento&lt;&gt;"TransfereGOV",
ROUND(OFFSET($P558,0,AX$13),15-13*ORÇAMENTO!$AF$7)/$H558*OFFSET(ORÇAMENTO!$X$15,ROW(AX558)-ROW(AX$15),0),
ROUND(ROUND(OFFSET($P558,0,AX$13),15-13*ORÇAMENTO!$AF$7)*OFFSET(ORÇAMENTO!$W$15,ROW(AX558)-ROW(AX$15),0),15-13*ORÇAMENTO!$AF$11)),0)</f>
        <v>0</v>
      </c>
      <c r="AY558" s="545">
        <f ca="1">IF(AND($D558="Serviço",AY$12&lt;&gt;0,$H558&gt;0,OR(AUTOEVENTO&lt;&gt;"manual",$M558&lt;&gt;1)),
IF(Import.TipoArredondamento&lt;&gt;"TransfereGOV",
ROUND(OFFSET($P558,0,AY$13),15-13*ORÇAMENTO!$AF$7)/$H558*OFFSET(ORÇAMENTO!$X$15,ROW(AY558)-ROW(AY$15),0),
ROUND(ROUND(OFFSET($P558,0,AY$13),15-13*ORÇAMENTO!$AF$7)*OFFSET(ORÇAMENTO!$W$15,ROW(AY558)-ROW(AY$15),0),15-13*ORÇAMENTO!$AF$11)),0)</f>
        <v>0</v>
      </c>
      <c r="AZ558" s="545">
        <f ca="1">IF(AND($D558="Serviço",AZ$12&lt;&gt;0,$H558&gt;0,OR(AUTOEVENTO&lt;&gt;"manual",$M558&lt;&gt;1)),
IF(Import.TipoArredondamento&lt;&gt;"TransfereGOV",
ROUND(OFFSET($P558,0,AZ$13),15-13*ORÇAMENTO!$AF$7)/$H558*OFFSET(ORÇAMENTO!$X$15,ROW(AZ558)-ROW(AZ$15),0),
ROUND(ROUND(OFFSET($P558,0,AZ$13),15-13*ORÇAMENTO!$AF$7)*OFFSET(ORÇAMENTO!$W$15,ROW(AZ558)-ROW(AZ$15),0),15-13*ORÇAMENTO!$AF$11)),0)</f>
        <v>0</v>
      </c>
      <c r="BA558" s="546">
        <f ca="1">IF(AND($D558="Serviço",BA$12&lt;&gt;0,$H558&gt;0,OR(AUTOEVENTO&lt;&gt;"manual",$M558&lt;&gt;1)),
IF(Import.TipoArredondamento&lt;&gt;"TransfereGOV",
ROUND(OFFSET($P558,0,BA$13),15-13*ORÇAMENTO!$AF$7)/$H558*OFFSET(ORÇAMENTO!$X$15,ROW(BA558)-ROW(BA$15),0),
ROUND(ROUND(OFFSET($P558,0,BA$13),15-13*ORÇAMENTO!$AF$7)*OFFSET(ORÇAMENTO!$W$15,ROW(BA558)-ROW(BA$15),0),15-13*ORÇAMENTO!$AF$11)),0)</f>
        <v>0</v>
      </c>
      <c r="BC558" s="181">
        <f ca="1">IF($D558&lt;&gt;"Serviço",0,IF(AND(AUTOEVENTO="Manual",$M558=1),0,IF(OFFSET(CRONOPLE!$F$14,$M558,BC$13)="",10^12,OFFSET(CRONOPLE!$F$14,$M558,BC$13))))</f>
        <v>10</v>
      </c>
      <c r="BD558" s="181">
        <f ca="1">IF($D558&lt;&gt;"Serviço",0,IF(AND(AUTOEVENTO="Manual",$M558=1),0,IF(OFFSET(CRONOPLE!$F$14,$M558,BD$13)="",10^12,OFFSET(CRONOPLE!$F$14,$M558,BD$13))))</f>
        <v>1000000000000</v>
      </c>
      <c r="BE558" s="181">
        <f ca="1">IF($D558&lt;&gt;"Serviço",0,IF(AND(AUTOEVENTO="Manual",$M558=1),0,IF(OFFSET(CRONOPLE!$F$14,$M558,BE$13)="",10^12,OFFSET(CRONOPLE!$F$14,$M558,BE$13))))</f>
        <v>1000000000000</v>
      </c>
      <c r="BF558" s="181">
        <f ca="1">IF($D558&lt;&gt;"Serviço",0,IF(AND(AUTOEVENTO="Manual",$M558=1),0,IF(OFFSET(CRONOPLE!$F$14,$M558,BF$13)="",10^12,OFFSET(CRONOPLE!$F$14,$M558,BF$13))))</f>
        <v>1000000000000</v>
      </c>
      <c r="BG558" s="181">
        <f ca="1">IF($D558&lt;&gt;"Serviço",0,IF(AND(AUTOEVENTO="Manual",$M558=1),0,IF(OFFSET(CRONOPLE!$F$14,$M558,BG$13)="",10^12,OFFSET(CRONOPLE!$F$14,$M558,BG$13))))</f>
        <v>1000000000000</v>
      </c>
      <c r="BH558" s="181">
        <f ca="1">IF($D558&lt;&gt;"Serviço",0,IF(AND(AUTOEVENTO="Manual",$M558=1),0,IF(OFFSET(CRONOPLE!$F$14,$M558,BH$13)="",10^12,OFFSET(CRONOPLE!$F$14,$M558,BH$13))))</f>
        <v>1000000000000</v>
      </c>
      <c r="BI558" s="181">
        <f ca="1">IF($D558&lt;&gt;"Serviço",0,IF(AND(AUTOEVENTO="Manual",$M558=1),0,IF(OFFSET(CRONOPLE!$F$14,$M558,BI$13)="",10^12,OFFSET(CRONOPLE!$F$14,$M558,BI$13))))</f>
        <v>1000000000000</v>
      </c>
      <c r="BJ558" s="181">
        <f ca="1">IF($D558&lt;&gt;"Serviço",0,IF(AND(AUTOEVENTO="Manual",$M558=1),0,IF(OFFSET(CRONOPLE!$F$14,$M558,BJ$13)="",10^12,OFFSET(CRONOPLE!$F$14,$M558,BJ$13))))</f>
        <v>1000000000000</v>
      </c>
      <c r="BK558" s="181">
        <f ca="1">IF($D558&lt;&gt;"Serviço",0,IF(AND(AUTOEVENTO="Manual",$M558=1),0,IF(OFFSET(CRONOPLE!$F$14,$M558,BK$13)="",10^12,OFFSET(CRONOPLE!$F$14,$M558,BK$13))))</f>
        <v>1000000000000</v>
      </c>
      <c r="BL558" s="181">
        <f ca="1">IF($D558&lt;&gt;"Serviço",0,IF(AND(AUTOEVENTO="Manual",$M558=1),0,IF(OFFSET(CRONOPLE!$F$14,$M558,BL$13)="",10^12,OFFSET(CRONOPLE!$F$14,$M558,BL$13))))</f>
        <v>1000000000000</v>
      </c>
      <c r="BM558" s="181">
        <f ca="1">IF($D558&lt;&gt;"Serviço",0,IF(AND(AUTOEVENTO="Manual",$M558=1),0,IF(OFFSET(CRONOPLE!$F$14,$M558,BM$13)="",10^12,OFFSET(CRONOPLE!$F$14,$M558,BM$13))))</f>
        <v>1000000000000</v>
      </c>
      <c r="BN558" s="181">
        <f ca="1">IF($D558&lt;&gt;"Serviço",0,IF(AND(AUTOEVENTO="Manual",$M558=1),0,IF(OFFSET(CRONOPLE!$F$14,$M558,BN$13)="",10^12,OFFSET(CRONOPLE!$F$14,$M558,BN$13))))</f>
        <v>1000000000000</v>
      </c>
      <c r="BO558" s="181">
        <f ca="1">IF($D558&lt;&gt;"Serviço",0,IF(AND(AUTOEVENTO="Manual",$M558=1),0,IF(OFFSET(CRONOPLE!$F$14,$M558,BO$13)="",10^12,OFFSET(CRONOPLE!$F$14,$M558,BO$13))))</f>
        <v>1000000000000</v>
      </c>
      <c r="BP558" s="181">
        <f ca="1">IF($D558&lt;&gt;"Serviço",0,IF(AND(AUTOEVENTO="Manual",$M558=1),0,IF(OFFSET(CRONOPLE!$F$14,$M558,BP$13)="",10^12,OFFSET(CRONOPLE!$F$14,$M558,BP$13))))</f>
        <v>1000000000000</v>
      </c>
      <c r="BQ558" s="181">
        <f ca="1">IF($D558&lt;&gt;"Serviço",0,IF(AND(AUTOEVENTO="Manual",$M558=1),0,IF(OFFSET(CRONOPLE!$F$14,$M558,BQ$13)="",10^12,OFFSET(CRONOPLE!$F$14,$M558,BQ$13))))</f>
        <v>1000000000000</v>
      </c>
      <c r="BR558" s="181">
        <f ca="1">IF($D558&lt;&gt;"Serviço",0,IF(AND(AUTOEVENTO="Manual",$M558=1),0,IF(OFFSET(CRONOPLE!$F$14,$M558,BR$13)="",10^12,OFFSET(CRONOPLE!$F$14,$M558,BR$13))))</f>
        <v>1000000000000</v>
      </c>
      <c r="BS558" s="181">
        <f ca="1">IF($D558&lt;&gt;"Serviço",0,IF(AND(AUTOEVENTO="Manual",$M558=1),0,IF(OFFSET(CRONOPLE!$F$14,$M558,BS$13)="",10^12,OFFSET(CRONOPLE!$F$14,$M558,BS$13))))</f>
        <v>1000000000000</v>
      </c>
      <c r="BT558" s="181">
        <f ca="1">IF($D558&lt;&gt;"Serviço",0,IF(AND(AUTOEVENTO="Manual",$M558=1),0,IF(OFFSET(CRONOPLE!$F$14,$M558,BT$13)="",10^12,OFFSET(CRONOPLE!$F$14,$M558,BT$13))))</f>
        <v>1000000000000</v>
      </c>
      <c r="BV558" s="182">
        <f ca="1">IF($D558&lt;&gt;"Serviço",0,IF(OR(AND(AUTOEVENTO="Manual",$M558=1),$M558&gt;(ROW(PLE.lastrow)-ROW(PLE.firstrow))),0,IF(OFFSET(PLE!$G$14,$M558,BV$13)="",10^12,OFFSET(PLE!$G$14,$M558,BV$13))))</f>
        <v>1000000000000</v>
      </c>
      <c r="BW558" s="182">
        <f ca="1">IF($D558&lt;&gt;"Serviço",0,IF(OR(AND(AUTOEVENTO="Manual",$M558=1),$M558&gt;(ROW(PLE.lastrow)-ROW(PLE.firstrow))),0,IF(OFFSET(PLE!$G$14,$M558,BW$13)="",10^12,OFFSET(PLE!$G$14,$M558,BW$13))))</f>
        <v>1000000000000</v>
      </c>
      <c r="BX558" s="182">
        <f ca="1">IF($D558&lt;&gt;"Serviço",0,IF(OR(AND(AUTOEVENTO="Manual",$M558=1),$M558&gt;(ROW(PLE.lastrow)-ROW(PLE.firstrow))),0,IF(OFFSET(PLE!$G$14,$M558,BX$13)="",10^12,OFFSET(PLE!$G$14,$M558,BX$13))))</f>
        <v>1000000000000</v>
      </c>
      <c r="BY558" s="182">
        <f ca="1">IF($D558&lt;&gt;"Serviço",0,IF(OR(AND(AUTOEVENTO="Manual",$M558=1),$M558&gt;(ROW(PLE.lastrow)-ROW(PLE.firstrow))),0,IF(OFFSET(PLE!$G$14,$M558,BY$13)="",10^12,OFFSET(PLE!$G$14,$M558,BY$13))))</f>
        <v>1000000000000</v>
      </c>
      <c r="BZ558" s="182">
        <f ca="1">IF($D558&lt;&gt;"Serviço",0,IF(OR(AND(AUTOEVENTO="Manual",$M558=1),$M558&gt;(ROW(PLE.lastrow)-ROW(PLE.firstrow))),0,IF(OFFSET(PLE!$G$14,$M558,BZ$13)="",10^12,OFFSET(PLE!$G$14,$M558,BZ$13))))</f>
        <v>1000000000000</v>
      </c>
      <c r="CA558" s="182">
        <f ca="1">IF($D558&lt;&gt;"Serviço",0,IF(OR(AND(AUTOEVENTO="Manual",$M558=1),$M558&gt;(ROW(PLE.lastrow)-ROW(PLE.firstrow))),0,IF(OFFSET(PLE!$G$14,$M558,CA$13)="",10^12,OFFSET(PLE!$G$14,$M558,CA$13))))</f>
        <v>1000000000000</v>
      </c>
      <c r="CB558" s="182">
        <f ca="1">IF($D558&lt;&gt;"Serviço",0,IF(OR(AND(AUTOEVENTO="Manual",$M558=1),$M558&gt;(ROW(PLE.lastrow)-ROW(PLE.firstrow))),0,IF(OFFSET(PLE!$G$14,$M558,CB$13)="",10^12,OFFSET(PLE!$G$14,$M558,CB$13))))</f>
        <v>1000000000000</v>
      </c>
      <c r="CC558" s="182">
        <f ca="1">IF($D558&lt;&gt;"Serviço",0,IF(OR(AND(AUTOEVENTO="Manual",$M558=1),$M558&gt;(ROW(PLE.lastrow)-ROW(PLE.firstrow))),0,IF(OFFSET(PLE!$G$14,$M558,CC$13)="",10^12,OFFSET(PLE!$G$14,$M558,CC$13))))</f>
        <v>1000000000000</v>
      </c>
      <c r="CD558" s="182">
        <f ca="1">IF($D558&lt;&gt;"Serviço",0,IF(OR(AND(AUTOEVENTO="Manual",$M558=1),$M558&gt;(ROW(PLE.lastrow)-ROW(PLE.firstrow))),0,IF(OFFSET(PLE!$G$14,$M558,CD$13)="",10^12,OFFSET(PLE!$G$14,$M558,CD$13))))</f>
        <v>1000000000000</v>
      </c>
      <c r="CE558" s="182">
        <f ca="1">IF($D558&lt;&gt;"Serviço",0,IF(OR(AND(AUTOEVENTO="Manual",$M558=1),$M558&gt;(ROW(PLE.lastrow)-ROW(PLE.firstrow))),0,IF(OFFSET(PLE!$G$14,$M558,CE$13)="",10^12,OFFSET(PLE!$G$14,$M558,CE$13))))</f>
        <v>1000000000000</v>
      </c>
      <c r="CF558" s="182">
        <f ca="1">IF($D558&lt;&gt;"Serviço",0,IF(OR(AND(AUTOEVENTO="Manual",$M558=1),$M558&gt;(ROW(PLE.lastrow)-ROW(PLE.firstrow))),0,IF(OFFSET(PLE!$G$14,$M558,CF$13)="",10^12,OFFSET(PLE!$G$14,$M558,CF$13))))</f>
        <v>1000000000000</v>
      </c>
      <c r="CG558" s="182">
        <f ca="1">IF($D558&lt;&gt;"Serviço",0,IF(OR(AND(AUTOEVENTO="Manual",$M558=1),$M558&gt;(ROW(PLE.lastrow)-ROW(PLE.firstrow))),0,IF(OFFSET(PLE!$G$14,$M558,CG$13)="",10^12,OFFSET(PLE!$G$14,$M558,CG$13))))</f>
        <v>1000000000000</v>
      </c>
      <c r="CH558" s="182">
        <f ca="1">IF($D558&lt;&gt;"Serviço",0,IF(OR(AND(AUTOEVENTO="Manual",$M558=1),$M558&gt;(ROW(PLE.lastrow)-ROW(PLE.firstrow))),0,IF(OFFSET(PLE!$G$14,$M558,CH$13)="",10^12,OFFSET(PLE!$G$14,$M558,CH$13))))</f>
        <v>1000000000000</v>
      </c>
      <c r="CI558" s="182">
        <f ca="1">IF($D558&lt;&gt;"Serviço",0,IF(OR(AND(AUTOEVENTO="Manual",$M558=1),$M558&gt;(ROW(PLE.lastrow)-ROW(PLE.firstrow))),0,IF(OFFSET(PLE!$G$14,$M558,CI$13)="",10^12,OFFSET(PLE!$G$14,$M558,CI$13))))</f>
        <v>1000000000000</v>
      </c>
      <c r="CJ558" s="182">
        <f ca="1">IF($D558&lt;&gt;"Serviço",0,IF(OR(AND(AUTOEVENTO="Manual",$M558=1),$M558&gt;(ROW(PLE.lastrow)-ROW(PLE.firstrow))),0,IF(OFFSET(PLE!$G$14,$M558,CJ$13)="",10^12,OFFSET(PLE!$G$14,$M558,CJ$13))))</f>
        <v>1000000000000</v>
      </c>
      <c r="CK558" s="182">
        <f ca="1">IF($D558&lt;&gt;"Serviço",0,IF(OR(AND(AUTOEVENTO="Manual",$M558=1),$M558&gt;(ROW(PLE.lastrow)-ROW(PLE.firstrow))),0,IF(OFFSET(PLE!$G$14,$M558,CK$13)="",10^12,OFFSET(PLE!$G$14,$M558,CK$13))))</f>
        <v>1000000000000</v>
      </c>
      <c r="CL558" s="182">
        <f ca="1">IF($D558&lt;&gt;"Serviço",0,IF(OR(AND(AUTOEVENTO="Manual",$M558=1),$M558&gt;(ROW(PLE.lastrow)-ROW(PLE.firstrow))),0,IF(OFFSET(PLE!$G$14,$M558,CL$13)="",10^12,OFFSET(PLE!$G$14,$M558,CL$13))))</f>
        <v>1000000000000</v>
      </c>
      <c r="CM558" s="182">
        <f ca="1">IF($D558&lt;&gt;"Serviço",0,IF(OR(AND(AUTOEVENTO="Manual",$M558=1),$M558&gt;(ROW(PLE.lastrow)-ROW(PLE.firstrow))),0,IF(OFFSET(PLE!$G$14,$M558,CM$13)="",10^12,OFFSET(PLE!$G$14,$M558,CM$13))))</f>
        <v>1000000000000</v>
      </c>
    </row>
    <row r="559" spans="1:91" ht="25.5" x14ac:dyDescent="0.2">
      <c r="A559" s="7" t="str">
        <f t="shared" ca="1" si="17"/>
        <v>528</v>
      </c>
      <c r="B559" s="7" t="str">
        <f ca="1">OFFSET(ORÇAMENTO!C$15,ROW(B559)-ROW(B$15),0)</f>
        <v>S</v>
      </c>
      <c r="C559" s="7" t="str">
        <f ca="1">OFFSET(ORÇAMENTO!L$15,ROW(C559)-ROW(C$15),0)</f>
        <v/>
      </c>
      <c r="D559" s="118" t="str">
        <f ca="1">OFFSET(ORÇAMENTO!N$15,ROW(D559)-ROW(D$15),0)</f>
        <v>Serviço</v>
      </c>
      <c r="E559" s="119" t="str">
        <f ca="1">OFFSET(ORÇAMENTO!O$15,ROW(E559)-ROW(E$15),0)</f>
        <v>-</v>
      </c>
      <c r="F559" s="172" t="str">
        <f ca="1">OFFSET(ORÇAMENTO!R$15,ROW(F559)-ROW(F$15),0)</f>
        <v>(abra o arquivo 'Referência 06-2024.xlsm)</v>
      </c>
      <c r="G559" s="173" t="str">
        <f ca="1">IF($D559&lt;&gt;"Serviço","",OFFSET(ORÇAMENTO!S$15,ROW(G559)-ROW(G$15),0))</f>
        <v>-</v>
      </c>
      <c r="H559" s="124">
        <f ca="1">IF($D559&lt;&gt;"Serviço",0,IF(ACOMPANHAMENTO="BM",ROUND(OFFSET(ORÇAMENTO!AJ$15,ROW(H559)-ROW(H$15),0),15-13*ORÇAMENTO!$AF$7),SUMPRODUCT(($Q$12:$AI$12&lt;&gt;"")*ROUND($Q559:$AI559,15-13*ORÇAMENTO!$AF$7))))</f>
        <v>36</v>
      </c>
      <c r="I559" s="561" t="s">
        <v>1107</v>
      </c>
      <c r="K559" s="174"/>
      <c r="L559" s="175" t="s">
        <v>255</v>
      </c>
      <c r="M559" s="176">
        <f ca="1">IF($D559&lt;&gt;"Serviço","",IF(AUTOEVENTO="manual",$A559,IF(ISERROR(MATCH($A559,$A$15:OFFSET($A559,-1,0),0)),MAX($M$15:OFFSET(M559,-1,0))+1,INDEX($M$15:OFFSET(M559,-1,0),MATCH($A559,$A$15:OFFSET($A559,-1,0),0)))))</f>
        <v>57</v>
      </c>
      <c r="N559" s="177" t="str">
        <f ca="1">IF($D559&lt;&gt;"Serviço","",IF(AUTOEVENTO="Manual",IF($A559=0,"&lt;-- defina o número do agrupador",OFFSET(EVENTOS!$D$14,$A559,0)),OFFSET($F$15,$A559,0)))</f>
        <v>INSTALAÇÃO ELÉTRICA 110V - DISPOSITIVOS DE PROTEÇÃO</v>
      </c>
      <c r="O559" s="178"/>
      <c r="Q559" s="178">
        <v>36</v>
      </c>
      <c r="R559" s="179"/>
      <c r="S559" s="179"/>
      <c r="T559" s="179"/>
      <c r="U559" s="179"/>
      <c r="V559" s="179"/>
      <c r="W559" s="179"/>
      <c r="X559" s="179"/>
      <c r="Y559" s="179"/>
      <c r="Z559" s="180"/>
      <c r="AA559" s="179"/>
      <c r="AB559" s="179"/>
      <c r="AC559" s="179"/>
      <c r="AD559" s="179"/>
      <c r="AE559" s="179"/>
      <c r="AF559" s="179"/>
      <c r="AG559" s="179"/>
      <c r="AH559" s="180"/>
      <c r="AJ559" s="544">
        <f ca="1">IF(AND($D559="Serviço",AJ$12&lt;&gt;0,$H559&gt;0,OR(AUTOEVENTO&lt;&gt;"manual",$M559&lt;&gt;1)),
IF(Import.TipoArredondamento&lt;&gt;"TransfereGOV",
ROUND(OFFSET($P559,0,AJ$13),15-13*ORÇAMENTO!$AF$7)/$H559*OFFSET(ORÇAMENTO!$X$15,ROW(AJ559)-ROW(AJ$15),0),
ROUND(ROUND(OFFSET($P559,0,AJ$13),15-13*ORÇAMENTO!$AF$7)*OFFSET(ORÇAMENTO!$W$15,ROW(AJ559)-ROW(AJ$15),0),15-13*ORÇAMENTO!$AF$11)),0)</f>
        <v>0</v>
      </c>
      <c r="AK559" s="545">
        <f ca="1">IF(AND($D559="Serviço",AK$12&lt;&gt;0,$H559&gt;0,OR(AUTOEVENTO&lt;&gt;"manual",$M559&lt;&gt;1)),
IF(Import.TipoArredondamento&lt;&gt;"TransfereGOV",
ROUND(OFFSET($P559,0,AK$13),15-13*ORÇAMENTO!$AF$7)/$H559*OFFSET(ORÇAMENTO!$X$15,ROW(AK559)-ROW(AK$15),0),
ROUND(ROUND(OFFSET($P559,0,AK$13),15-13*ORÇAMENTO!$AF$7)*OFFSET(ORÇAMENTO!$W$15,ROW(AK559)-ROW(AK$15),0),15-13*ORÇAMENTO!$AF$11)),0)</f>
        <v>0</v>
      </c>
      <c r="AL559" s="545">
        <f ca="1">IF(AND($D559="Serviço",AL$12&lt;&gt;0,$H559&gt;0,OR(AUTOEVENTO&lt;&gt;"manual",$M559&lt;&gt;1)),
IF(Import.TipoArredondamento&lt;&gt;"TransfereGOV",
ROUND(OFFSET($P559,0,AL$13),15-13*ORÇAMENTO!$AF$7)/$H559*OFFSET(ORÇAMENTO!$X$15,ROW(AL559)-ROW(AL$15),0),
ROUND(ROUND(OFFSET($P559,0,AL$13),15-13*ORÇAMENTO!$AF$7)*OFFSET(ORÇAMENTO!$W$15,ROW(AL559)-ROW(AL$15),0),15-13*ORÇAMENTO!$AF$11)),0)</f>
        <v>0</v>
      </c>
      <c r="AM559" s="545">
        <f ca="1">IF(AND($D559="Serviço",AM$12&lt;&gt;0,$H559&gt;0,OR(AUTOEVENTO&lt;&gt;"manual",$M559&lt;&gt;1)),
IF(Import.TipoArredondamento&lt;&gt;"TransfereGOV",
ROUND(OFFSET($P559,0,AM$13),15-13*ORÇAMENTO!$AF$7)/$H559*OFFSET(ORÇAMENTO!$X$15,ROW(AM559)-ROW(AM$15),0),
ROUND(ROUND(OFFSET($P559,0,AM$13),15-13*ORÇAMENTO!$AF$7)*OFFSET(ORÇAMENTO!$W$15,ROW(AM559)-ROW(AM$15),0),15-13*ORÇAMENTO!$AF$11)),0)</f>
        <v>0</v>
      </c>
      <c r="AN559" s="545">
        <f ca="1">IF(AND($D559="Serviço",AN$12&lt;&gt;0,$H559&gt;0,OR(AUTOEVENTO&lt;&gt;"manual",$M559&lt;&gt;1)),
IF(Import.TipoArredondamento&lt;&gt;"TransfereGOV",
ROUND(OFFSET($P559,0,AN$13),15-13*ORÇAMENTO!$AF$7)/$H559*OFFSET(ORÇAMENTO!$X$15,ROW(AN559)-ROW(AN$15),0),
ROUND(ROUND(OFFSET($P559,0,AN$13),15-13*ORÇAMENTO!$AF$7)*OFFSET(ORÇAMENTO!$W$15,ROW(AN559)-ROW(AN$15),0),15-13*ORÇAMENTO!$AF$11)),0)</f>
        <v>0</v>
      </c>
      <c r="AO559" s="545">
        <f ca="1">IF(AND($D559="Serviço",AO$12&lt;&gt;0,$H559&gt;0,OR(AUTOEVENTO&lt;&gt;"manual",$M559&lt;&gt;1)),
IF(Import.TipoArredondamento&lt;&gt;"TransfereGOV",
ROUND(OFFSET($P559,0,AO$13),15-13*ORÇAMENTO!$AF$7)/$H559*OFFSET(ORÇAMENTO!$X$15,ROW(AO559)-ROW(AO$15),0),
ROUND(ROUND(OFFSET($P559,0,AO$13),15-13*ORÇAMENTO!$AF$7)*OFFSET(ORÇAMENTO!$W$15,ROW(AO559)-ROW(AO$15),0),15-13*ORÇAMENTO!$AF$11)),0)</f>
        <v>0</v>
      </c>
      <c r="AP559" s="545">
        <f ca="1">IF(AND($D559="Serviço",AP$12&lt;&gt;0,$H559&gt;0,OR(AUTOEVENTO&lt;&gt;"manual",$M559&lt;&gt;1)),
IF(Import.TipoArredondamento&lt;&gt;"TransfereGOV",
ROUND(OFFSET($P559,0,AP$13),15-13*ORÇAMENTO!$AF$7)/$H559*OFFSET(ORÇAMENTO!$X$15,ROW(AP559)-ROW(AP$15),0),
ROUND(ROUND(OFFSET($P559,0,AP$13),15-13*ORÇAMENTO!$AF$7)*OFFSET(ORÇAMENTO!$W$15,ROW(AP559)-ROW(AP$15),0),15-13*ORÇAMENTO!$AF$11)),0)</f>
        <v>0</v>
      </c>
      <c r="AQ559" s="545">
        <f ca="1">IF(AND($D559="Serviço",AQ$12&lt;&gt;0,$H559&gt;0,OR(AUTOEVENTO&lt;&gt;"manual",$M559&lt;&gt;1)),
IF(Import.TipoArredondamento&lt;&gt;"TransfereGOV",
ROUND(OFFSET($P559,0,AQ$13),15-13*ORÇAMENTO!$AF$7)/$H559*OFFSET(ORÇAMENTO!$X$15,ROW(AQ559)-ROW(AQ$15),0),
ROUND(ROUND(OFFSET($P559,0,AQ$13),15-13*ORÇAMENTO!$AF$7)*OFFSET(ORÇAMENTO!$W$15,ROW(AQ559)-ROW(AQ$15),0),15-13*ORÇAMENTO!$AF$11)),0)</f>
        <v>0</v>
      </c>
      <c r="AR559" s="545">
        <f ca="1">IF(AND($D559="Serviço",AR$12&lt;&gt;0,$H559&gt;0,OR(AUTOEVENTO&lt;&gt;"manual",$M559&lt;&gt;1)),
IF(Import.TipoArredondamento&lt;&gt;"TransfereGOV",
ROUND(OFFSET($P559,0,AR$13),15-13*ORÇAMENTO!$AF$7)/$H559*OFFSET(ORÇAMENTO!$X$15,ROW(AR559)-ROW(AR$15),0),
ROUND(ROUND(OFFSET($P559,0,AR$13),15-13*ORÇAMENTO!$AF$7)*OFFSET(ORÇAMENTO!$W$15,ROW(AR559)-ROW(AR$15),0),15-13*ORÇAMENTO!$AF$11)),0)</f>
        <v>0</v>
      </c>
      <c r="AS559" s="546">
        <f ca="1">IF(AND($D559="Serviço",AS$12&lt;&gt;0,$H559&gt;0,OR(AUTOEVENTO&lt;&gt;"manual",$M559&lt;&gt;1)),
IF(Import.TipoArredondamento&lt;&gt;"TransfereGOV",
ROUND(OFFSET($P559,0,AS$13),15-13*ORÇAMENTO!$AF$7)/$H559*OFFSET(ORÇAMENTO!$X$15,ROW(AS559)-ROW(AS$15),0),
ROUND(ROUND(OFFSET($P559,0,AS$13),15-13*ORÇAMENTO!$AF$7)*OFFSET(ORÇAMENTO!$W$15,ROW(AS559)-ROW(AS$15),0),15-13*ORÇAMENTO!$AF$11)),0)</f>
        <v>0</v>
      </c>
      <c r="AT559" s="545">
        <f ca="1">IF(AND($D559="Serviço",AT$12&lt;&gt;0,$H559&gt;0,OR(AUTOEVENTO&lt;&gt;"manual",$M559&lt;&gt;1)),
IF(Import.TipoArredondamento&lt;&gt;"TransfereGOV",
ROUND(OFFSET($P559,0,AT$13),15-13*ORÇAMENTO!$AF$7)/$H559*OFFSET(ORÇAMENTO!$X$15,ROW(AT559)-ROW(AT$15),0),
ROUND(ROUND(OFFSET($P559,0,AT$13),15-13*ORÇAMENTO!$AF$7)*OFFSET(ORÇAMENTO!$W$15,ROW(AT559)-ROW(AT$15),0),15-13*ORÇAMENTO!$AF$11)),0)</f>
        <v>0</v>
      </c>
      <c r="AU559" s="545">
        <f ca="1">IF(AND($D559="Serviço",AU$12&lt;&gt;0,$H559&gt;0,OR(AUTOEVENTO&lt;&gt;"manual",$M559&lt;&gt;1)),
IF(Import.TipoArredondamento&lt;&gt;"TransfereGOV",
ROUND(OFFSET($P559,0,AU$13),15-13*ORÇAMENTO!$AF$7)/$H559*OFFSET(ORÇAMENTO!$X$15,ROW(AU559)-ROW(AU$15),0),
ROUND(ROUND(OFFSET($P559,0,AU$13),15-13*ORÇAMENTO!$AF$7)*OFFSET(ORÇAMENTO!$W$15,ROW(AU559)-ROW(AU$15),0),15-13*ORÇAMENTO!$AF$11)),0)</f>
        <v>0</v>
      </c>
      <c r="AV559" s="545">
        <f ca="1">IF(AND($D559="Serviço",AV$12&lt;&gt;0,$H559&gt;0,OR(AUTOEVENTO&lt;&gt;"manual",$M559&lt;&gt;1)),
IF(Import.TipoArredondamento&lt;&gt;"TransfereGOV",
ROUND(OFFSET($P559,0,AV$13),15-13*ORÇAMENTO!$AF$7)/$H559*OFFSET(ORÇAMENTO!$X$15,ROW(AV559)-ROW(AV$15),0),
ROUND(ROUND(OFFSET($P559,0,AV$13),15-13*ORÇAMENTO!$AF$7)*OFFSET(ORÇAMENTO!$W$15,ROW(AV559)-ROW(AV$15),0),15-13*ORÇAMENTO!$AF$11)),0)</f>
        <v>0</v>
      </c>
      <c r="AW559" s="545">
        <f ca="1">IF(AND($D559="Serviço",AW$12&lt;&gt;0,$H559&gt;0,OR(AUTOEVENTO&lt;&gt;"manual",$M559&lt;&gt;1)),
IF(Import.TipoArredondamento&lt;&gt;"TransfereGOV",
ROUND(OFFSET($P559,0,AW$13),15-13*ORÇAMENTO!$AF$7)/$H559*OFFSET(ORÇAMENTO!$X$15,ROW(AW559)-ROW(AW$15),0),
ROUND(ROUND(OFFSET($P559,0,AW$13),15-13*ORÇAMENTO!$AF$7)*OFFSET(ORÇAMENTO!$W$15,ROW(AW559)-ROW(AW$15),0),15-13*ORÇAMENTO!$AF$11)),0)</f>
        <v>0</v>
      </c>
      <c r="AX559" s="545">
        <f ca="1">IF(AND($D559="Serviço",AX$12&lt;&gt;0,$H559&gt;0,OR(AUTOEVENTO&lt;&gt;"manual",$M559&lt;&gt;1)),
IF(Import.TipoArredondamento&lt;&gt;"TransfereGOV",
ROUND(OFFSET($P559,0,AX$13),15-13*ORÇAMENTO!$AF$7)/$H559*OFFSET(ORÇAMENTO!$X$15,ROW(AX559)-ROW(AX$15),0),
ROUND(ROUND(OFFSET($P559,0,AX$13),15-13*ORÇAMENTO!$AF$7)*OFFSET(ORÇAMENTO!$W$15,ROW(AX559)-ROW(AX$15),0),15-13*ORÇAMENTO!$AF$11)),0)</f>
        <v>0</v>
      </c>
      <c r="AY559" s="545">
        <f ca="1">IF(AND($D559="Serviço",AY$12&lt;&gt;0,$H559&gt;0,OR(AUTOEVENTO&lt;&gt;"manual",$M559&lt;&gt;1)),
IF(Import.TipoArredondamento&lt;&gt;"TransfereGOV",
ROUND(OFFSET($P559,0,AY$13),15-13*ORÇAMENTO!$AF$7)/$H559*OFFSET(ORÇAMENTO!$X$15,ROW(AY559)-ROW(AY$15),0),
ROUND(ROUND(OFFSET($P559,0,AY$13),15-13*ORÇAMENTO!$AF$7)*OFFSET(ORÇAMENTO!$W$15,ROW(AY559)-ROW(AY$15),0),15-13*ORÇAMENTO!$AF$11)),0)</f>
        <v>0</v>
      </c>
      <c r="AZ559" s="545">
        <f ca="1">IF(AND($D559="Serviço",AZ$12&lt;&gt;0,$H559&gt;0,OR(AUTOEVENTO&lt;&gt;"manual",$M559&lt;&gt;1)),
IF(Import.TipoArredondamento&lt;&gt;"TransfereGOV",
ROUND(OFFSET($P559,0,AZ$13),15-13*ORÇAMENTO!$AF$7)/$H559*OFFSET(ORÇAMENTO!$X$15,ROW(AZ559)-ROW(AZ$15),0),
ROUND(ROUND(OFFSET($P559,0,AZ$13),15-13*ORÇAMENTO!$AF$7)*OFFSET(ORÇAMENTO!$W$15,ROW(AZ559)-ROW(AZ$15),0),15-13*ORÇAMENTO!$AF$11)),0)</f>
        <v>0</v>
      </c>
      <c r="BA559" s="546">
        <f ca="1">IF(AND($D559="Serviço",BA$12&lt;&gt;0,$H559&gt;0,OR(AUTOEVENTO&lt;&gt;"manual",$M559&lt;&gt;1)),
IF(Import.TipoArredondamento&lt;&gt;"TransfereGOV",
ROUND(OFFSET($P559,0,BA$13),15-13*ORÇAMENTO!$AF$7)/$H559*OFFSET(ORÇAMENTO!$X$15,ROW(BA559)-ROW(BA$15),0),
ROUND(ROUND(OFFSET($P559,0,BA$13),15-13*ORÇAMENTO!$AF$7)*OFFSET(ORÇAMENTO!$W$15,ROW(BA559)-ROW(BA$15),0),15-13*ORÇAMENTO!$AF$11)),0)</f>
        <v>0</v>
      </c>
      <c r="BC559" s="181">
        <f ca="1">IF($D559&lt;&gt;"Serviço",0,IF(AND(AUTOEVENTO="Manual",$M559=1),0,IF(OFFSET(CRONOPLE!$F$14,$M559,BC$13)="",10^12,OFFSET(CRONOPLE!$F$14,$M559,BC$13))))</f>
        <v>10</v>
      </c>
      <c r="BD559" s="181">
        <f ca="1">IF($D559&lt;&gt;"Serviço",0,IF(AND(AUTOEVENTO="Manual",$M559=1),0,IF(OFFSET(CRONOPLE!$F$14,$M559,BD$13)="",10^12,OFFSET(CRONOPLE!$F$14,$M559,BD$13))))</f>
        <v>1000000000000</v>
      </c>
      <c r="BE559" s="181">
        <f ca="1">IF($D559&lt;&gt;"Serviço",0,IF(AND(AUTOEVENTO="Manual",$M559=1),0,IF(OFFSET(CRONOPLE!$F$14,$M559,BE$13)="",10^12,OFFSET(CRONOPLE!$F$14,$M559,BE$13))))</f>
        <v>1000000000000</v>
      </c>
      <c r="BF559" s="181">
        <f ca="1">IF($D559&lt;&gt;"Serviço",0,IF(AND(AUTOEVENTO="Manual",$M559=1),0,IF(OFFSET(CRONOPLE!$F$14,$M559,BF$13)="",10^12,OFFSET(CRONOPLE!$F$14,$M559,BF$13))))</f>
        <v>1000000000000</v>
      </c>
      <c r="BG559" s="181">
        <f ca="1">IF($D559&lt;&gt;"Serviço",0,IF(AND(AUTOEVENTO="Manual",$M559=1),0,IF(OFFSET(CRONOPLE!$F$14,$M559,BG$13)="",10^12,OFFSET(CRONOPLE!$F$14,$M559,BG$13))))</f>
        <v>1000000000000</v>
      </c>
      <c r="BH559" s="181">
        <f ca="1">IF($D559&lt;&gt;"Serviço",0,IF(AND(AUTOEVENTO="Manual",$M559=1),0,IF(OFFSET(CRONOPLE!$F$14,$M559,BH$13)="",10^12,OFFSET(CRONOPLE!$F$14,$M559,BH$13))))</f>
        <v>1000000000000</v>
      </c>
      <c r="BI559" s="181">
        <f ca="1">IF($D559&lt;&gt;"Serviço",0,IF(AND(AUTOEVENTO="Manual",$M559=1),0,IF(OFFSET(CRONOPLE!$F$14,$M559,BI$13)="",10^12,OFFSET(CRONOPLE!$F$14,$M559,BI$13))))</f>
        <v>1000000000000</v>
      </c>
      <c r="BJ559" s="181">
        <f ca="1">IF($D559&lt;&gt;"Serviço",0,IF(AND(AUTOEVENTO="Manual",$M559=1),0,IF(OFFSET(CRONOPLE!$F$14,$M559,BJ$13)="",10^12,OFFSET(CRONOPLE!$F$14,$M559,BJ$13))))</f>
        <v>1000000000000</v>
      </c>
      <c r="BK559" s="181">
        <f ca="1">IF($D559&lt;&gt;"Serviço",0,IF(AND(AUTOEVENTO="Manual",$M559=1),0,IF(OFFSET(CRONOPLE!$F$14,$M559,BK$13)="",10^12,OFFSET(CRONOPLE!$F$14,$M559,BK$13))))</f>
        <v>1000000000000</v>
      </c>
      <c r="BL559" s="181">
        <f ca="1">IF($D559&lt;&gt;"Serviço",0,IF(AND(AUTOEVENTO="Manual",$M559=1),0,IF(OFFSET(CRONOPLE!$F$14,$M559,BL$13)="",10^12,OFFSET(CRONOPLE!$F$14,$M559,BL$13))))</f>
        <v>1000000000000</v>
      </c>
      <c r="BM559" s="181">
        <f ca="1">IF($D559&lt;&gt;"Serviço",0,IF(AND(AUTOEVENTO="Manual",$M559=1),0,IF(OFFSET(CRONOPLE!$F$14,$M559,BM$13)="",10^12,OFFSET(CRONOPLE!$F$14,$M559,BM$13))))</f>
        <v>1000000000000</v>
      </c>
      <c r="BN559" s="181">
        <f ca="1">IF($D559&lt;&gt;"Serviço",0,IF(AND(AUTOEVENTO="Manual",$M559=1),0,IF(OFFSET(CRONOPLE!$F$14,$M559,BN$13)="",10^12,OFFSET(CRONOPLE!$F$14,$M559,BN$13))))</f>
        <v>1000000000000</v>
      </c>
      <c r="BO559" s="181">
        <f ca="1">IF($D559&lt;&gt;"Serviço",0,IF(AND(AUTOEVENTO="Manual",$M559=1),0,IF(OFFSET(CRONOPLE!$F$14,$M559,BO$13)="",10^12,OFFSET(CRONOPLE!$F$14,$M559,BO$13))))</f>
        <v>1000000000000</v>
      </c>
      <c r="BP559" s="181">
        <f ca="1">IF($D559&lt;&gt;"Serviço",0,IF(AND(AUTOEVENTO="Manual",$M559=1),0,IF(OFFSET(CRONOPLE!$F$14,$M559,BP$13)="",10^12,OFFSET(CRONOPLE!$F$14,$M559,BP$13))))</f>
        <v>1000000000000</v>
      </c>
      <c r="BQ559" s="181">
        <f ca="1">IF($D559&lt;&gt;"Serviço",0,IF(AND(AUTOEVENTO="Manual",$M559=1),0,IF(OFFSET(CRONOPLE!$F$14,$M559,BQ$13)="",10^12,OFFSET(CRONOPLE!$F$14,$M559,BQ$13))))</f>
        <v>1000000000000</v>
      </c>
      <c r="BR559" s="181">
        <f ca="1">IF($D559&lt;&gt;"Serviço",0,IF(AND(AUTOEVENTO="Manual",$M559=1),0,IF(OFFSET(CRONOPLE!$F$14,$M559,BR$13)="",10^12,OFFSET(CRONOPLE!$F$14,$M559,BR$13))))</f>
        <v>1000000000000</v>
      </c>
      <c r="BS559" s="181">
        <f ca="1">IF($D559&lt;&gt;"Serviço",0,IF(AND(AUTOEVENTO="Manual",$M559=1),0,IF(OFFSET(CRONOPLE!$F$14,$M559,BS$13)="",10^12,OFFSET(CRONOPLE!$F$14,$M559,BS$13))))</f>
        <v>1000000000000</v>
      </c>
      <c r="BT559" s="181">
        <f ca="1">IF($D559&lt;&gt;"Serviço",0,IF(AND(AUTOEVENTO="Manual",$M559=1),0,IF(OFFSET(CRONOPLE!$F$14,$M559,BT$13)="",10^12,OFFSET(CRONOPLE!$F$14,$M559,BT$13))))</f>
        <v>1000000000000</v>
      </c>
      <c r="BV559" s="182">
        <f ca="1">IF($D559&lt;&gt;"Serviço",0,IF(OR(AND(AUTOEVENTO="Manual",$M559=1),$M559&gt;(ROW(PLE.lastrow)-ROW(PLE.firstrow))),0,IF(OFFSET(PLE!$G$14,$M559,BV$13)="",10^12,OFFSET(PLE!$G$14,$M559,BV$13))))</f>
        <v>1000000000000</v>
      </c>
      <c r="BW559" s="182">
        <f ca="1">IF($D559&lt;&gt;"Serviço",0,IF(OR(AND(AUTOEVENTO="Manual",$M559=1),$M559&gt;(ROW(PLE.lastrow)-ROW(PLE.firstrow))),0,IF(OFFSET(PLE!$G$14,$M559,BW$13)="",10^12,OFFSET(PLE!$G$14,$M559,BW$13))))</f>
        <v>1000000000000</v>
      </c>
      <c r="BX559" s="182">
        <f ca="1">IF($D559&lt;&gt;"Serviço",0,IF(OR(AND(AUTOEVENTO="Manual",$M559=1),$M559&gt;(ROW(PLE.lastrow)-ROW(PLE.firstrow))),0,IF(OFFSET(PLE!$G$14,$M559,BX$13)="",10^12,OFFSET(PLE!$G$14,$M559,BX$13))))</f>
        <v>1000000000000</v>
      </c>
      <c r="BY559" s="182">
        <f ca="1">IF($D559&lt;&gt;"Serviço",0,IF(OR(AND(AUTOEVENTO="Manual",$M559=1),$M559&gt;(ROW(PLE.lastrow)-ROW(PLE.firstrow))),0,IF(OFFSET(PLE!$G$14,$M559,BY$13)="",10^12,OFFSET(PLE!$G$14,$M559,BY$13))))</f>
        <v>1000000000000</v>
      </c>
      <c r="BZ559" s="182">
        <f ca="1">IF($D559&lt;&gt;"Serviço",0,IF(OR(AND(AUTOEVENTO="Manual",$M559=1),$M559&gt;(ROW(PLE.lastrow)-ROW(PLE.firstrow))),0,IF(OFFSET(PLE!$G$14,$M559,BZ$13)="",10^12,OFFSET(PLE!$G$14,$M559,BZ$13))))</f>
        <v>1000000000000</v>
      </c>
      <c r="CA559" s="182">
        <f ca="1">IF($D559&lt;&gt;"Serviço",0,IF(OR(AND(AUTOEVENTO="Manual",$M559=1),$M559&gt;(ROW(PLE.lastrow)-ROW(PLE.firstrow))),0,IF(OFFSET(PLE!$G$14,$M559,CA$13)="",10^12,OFFSET(PLE!$G$14,$M559,CA$13))))</f>
        <v>1000000000000</v>
      </c>
      <c r="CB559" s="182">
        <f ca="1">IF($D559&lt;&gt;"Serviço",0,IF(OR(AND(AUTOEVENTO="Manual",$M559=1),$M559&gt;(ROW(PLE.lastrow)-ROW(PLE.firstrow))),0,IF(OFFSET(PLE!$G$14,$M559,CB$13)="",10^12,OFFSET(PLE!$G$14,$M559,CB$13))))</f>
        <v>1000000000000</v>
      </c>
      <c r="CC559" s="182">
        <f ca="1">IF($D559&lt;&gt;"Serviço",0,IF(OR(AND(AUTOEVENTO="Manual",$M559=1),$M559&gt;(ROW(PLE.lastrow)-ROW(PLE.firstrow))),0,IF(OFFSET(PLE!$G$14,$M559,CC$13)="",10^12,OFFSET(PLE!$G$14,$M559,CC$13))))</f>
        <v>1000000000000</v>
      </c>
      <c r="CD559" s="182">
        <f ca="1">IF($D559&lt;&gt;"Serviço",0,IF(OR(AND(AUTOEVENTO="Manual",$M559=1),$M559&gt;(ROW(PLE.lastrow)-ROW(PLE.firstrow))),0,IF(OFFSET(PLE!$G$14,$M559,CD$13)="",10^12,OFFSET(PLE!$G$14,$M559,CD$13))))</f>
        <v>1000000000000</v>
      </c>
      <c r="CE559" s="182">
        <f ca="1">IF($D559&lt;&gt;"Serviço",0,IF(OR(AND(AUTOEVENTO="Manual",$M559=1),$M559&gt;(ROW(PLE.lastrow)-ROW(PLE.firstrow))),0,IF(OFFSET(PLE!$G$14,$M559,CE$13)="",10^12,OFFSET(PLE!$G$14,$M559,CE$13))))</f>
        <v>1000000000000</v>
      </c>
      <c r="CF559" s="182">
        <f ca="1">IF($D559&lt;&gt;"Serviço",0,IF(OR(AND(AUTOEVENTO="Manual",$M559=1),$M559&gt;(ROW(PLE.lastrow)-ROW(PLE.firstrow))),0,IF(OFFSET(PLE!$G$14,$M559,CF$13)="",10^12,OFFSET(PLE!$G$14,$M559,CF$13))))</f>
        <v>1000000000000</v>
      </c>
      <c r="CG559" s="182">
        <f ca="1">IF($D559&lt;&gt;"Serviço",0,IF(OR(AND(AUTOEVENTO="Manual",$M559=1),$M559&gt;(ROW(PLE.lastrow)-ROW(PLE.firstrow))),0,IF(OFFSET(PLE!$G$14,$M559,CG$13)="",10^12,OFFSET(PLE!$G$14,$M559,CG$13))))</f>
        <v>1000000000000</v>
      </c>
      <c r="CH559" s="182">
        <f ca="1">IF($D559&lt;&gt;"Serviço",0,IF(OR(AND(AUTOEVENTO="Manual",$M559=1),$M559&gt;(ROW(PLE.lastrow)-ROW(PLE.firstrow))),0,IF(OFFSET(PLE!$G$14,$M559,CH$13)="",10^12,OFFSET(PLE!$G$14,$M559,CH$13))))</f>
        <v>1000000000000</v>
      </c>
      <c r="CI559" s="182">
        <f ca="1">IF($D559&lt;&gt;"Serviço",0,IF(OR(AND(AUTOEVENTO="Manual",$M559=1),$M559&gt;(ROW(PLE.lastrow)-ROW(PLE.firstrow))),0,IF(OFFSET(PLE!$G$14,$M559,CI$13)="",10^12,OFFSET(PLE!$G$14,$M559,CI$13))))</f>
        <v>1000000000000</v>
      </c>
      <c r="CJ559" s="182">
        <f ca="1">IF($D559&lt;&gt;"Serviço",0,IF(OR(AND(AUTOEVENTO="Manual",$M559=1),$M559&gt;(ROW(PLE.lastrow)-ROW(PLE.firstrow))),0,IF(OFFSET(PLE!$G$14,$M559,CJ$13)="",10^12,OFFSET(PLE!$G$14,$M559,CJ$13))))</f>
        <v>1000000000000</v>
      </c>
      <c r="CK559" s="182">
        <f ca="1">IF($D559&lt;&gt;"Serviço",0,IF(OR(AND(AUTOEVENTO="Manual",$M559=1),$M559&gt;(ROW(PLE.lastrow)-ROW(PLE.firstrow))),0,IF(OFFSET(PLE!$G$14,$M559,CK$13)="",10^12,OFFSET(PLE!$G$14,$M559,CK$13))))</f>
        <v>1000000000000</v>
      </c>
      <c r="CL559" s="182">
        <f ca="1">IF($D559&lt;&gt;"Serviço",0,IF(OR(AND(AUTOEVENTO="Manual",$M559=1),$M559&gt;(ROW(PLE.lastrow)-ROW(PLE.firstrow))),0,IF(OFFSET(PLE!$G$14,$M559,CL$13)="",10^12,OFFSET(PLE!$G$14,$M559,CL$13))))</f>
        <v>1000000000000</v>
      </c>
      <c r="CM559" s="182">
        <f ca="1">IF($D559&lt;&gt;"Serviço",0,IF(OR(AND(AUTOEVENTO="Manual",$M559=1),$M559&gt;(ROW(PLE.lastrow)-ROW(PLE.firstrow))),0,IF(OFFSET(PLE!$G$14,$M559,CM$13)="",10^12,OFFSET(PLE!$G$14,$M559,CM$13))))</f>
        <v>1000000000000</v>
      </c>
    </row>
    <row r="560" spans="1:91" ht="25.5" x14ac:dyDescent="0.2">
      <c r="A560" s="7" t="str">
        <f t="shared" ca="1" si="17"/>
        <v>528</v>
      </c>
      <c r="B560" s="7" t="str">
        <f ca="1">OFFSET(ORÇAMENTO!C$15,ROW(B560)-ROW(B$15),0)</f>
        <v>S</v>
      </c>
      <c r="C560" s="7" t="str">
        <f ca="1">OFFSET(ORÇAMENTO!L$15,ROW(C560)-ROW(C$15),0)</f>
        <v/>
      </c>
      <c r="D560" s="118" t="str">
        <f ca="1">OFFSET(ORÇAMENTO!N$15,ROW(D560)-ROW(D$15),0)</f>
        <v>Serviço</v>
      </c>
      <c r="E560" s="119" t="str">
        <f ca="1">OFFSET(ORÇAMENTO!O$15,ROW(E560)-ROW(E$15),0)</f>
        <v>-</v>
      </c>
      <c r="F560" s="172" t="str">
        <f ca="1">OFFSET(ORÇAMENTO!R$15,ROW(F560)-ROW(F$15),0)</f>
        <v>(abra o arquivo 'Referência 06-2024.xlsm)</v>
      </c>
      <c r="G560" s="173" t="str">
        <f ca="1">IF($D560&lt;&gt;"Serviço","",OFFSET(ORÇAMENTO!S$15,ROW(G560)-ROW(G$15),0))</f>
        <v>-</v>
      </c>
      <c r="H560" s="124">
        <f ca="1">IF($D560&lt;&gt;"Serviço",0,IF(ACOMPANHAMENTO="BM",ROUND(OFFSET(ORÇAMENTO!AJ$15,ROW(H560)-ROW(H$15),0),15-13*ORÇAMENTO!$AF$7),SUMPRODUCT(($Q$12:$AI$12&lt;&gt;"")*ROUND($Q560:$AI560,15-13*ORÇAMENTO!$AF$7))))</f>
        <v>2</v>
      </c>
      <c r="I560" s="561" t="s">
        <v>1107</v>
      </c>
      <c r="K560" s="174"/>
      <c r="L560" s="175" t="s">
        <v>255</v>
      </c>
      <c r="M560" s="176">
        <f ca="1">IF($D560&lt;&gt;"Serviço","",IF(AUTOEVENTO="manual",$A560,IF(ISERROR(MATCH($A560,$A$15:OFFSET($A560,-1,0),0)),MAX($M$15:OFFSET(M560,-1,0))+1,INDEX($M$15:OFFSET(M560,-1,0),MATCH($A560,$A$15:OFFSET($A560,-1,0),0)))))</f>
        <v>57</v>
      </c>
      <c r="N560" s="177" t="str">
        <f ca="1">IF($D560&lt;&gt;"Serviço","",IF(AUTOEVENTO="Manual",IF($A560=0,"&lt;-- defina o número do agrupador",OFFSET(EVENTOS!$D$14,$A560,0)),OFFSET($F$15,$A560,0)))</f>
        <v>INSTALAÇÃO ELÉTRICA 110V - DISPOSITIVOS DE PROTEÇÃO</v>
      </c>
      <c r="O560" s="178"/>
      <c r="Q560" s="178">
        <v>2</v>
      </c>
      <c r="R560" s="179"/>
      <c r="S560" s="179"/>
      <c r="T560" s="179"/>
      <c r="U560" s="179"/>
      <c r="V560" s="179"/>
      <c r="W560" s="179"/>
      <c r="X560" s="179"/>
      <c r="Y560" s="179"/>
      <c r="Z560" s="180"/>
      <c r="AA560" s="179"/>
      <c r="AB560" s="179"/>
      <c r="AC560" s="179"/>
      <c r="AD560" s="179"/>
      <c r="AE560" s="179"/>
      <c r="AF560" s="179"/>
      <c r="AG560" s="179"/>
      <c r="AH560" s="180"/>
      <c r="AJ560" s="544">
        <f ca="1">IF(AND($D560="Serviço",AJ$12&lt;&gt;0,$H560&gt;0,OR(AUTOEVENTO&lt;&gt;"manual",$M560&lt;&gt;1)),
IF(Import.TipoArredondamento&lt;&gt;"TransfereGOV",
ROUND(OFFSET($P560,0,AJ$13),15-13*ORÇAMENTO!$AF$7)/$H560*OFFSET(ORÇAMENTO!$X$15,ROW(AJ560)-ROW(AJ$15),0),
ROUND(ROUND(OFFSET($P560,0,AJ$13),15-13*ORÇAMENTO!$AF$7)*OFFSET(ORÇAMENTO!$W$15,ROW(AJ560)-ROW(AJ$15),0),15-13*ORÇAMENTO!$AF$11)),0)</f>
        <v>0</v>
      </c>
      <c r="AK560" s="545">
        <f ca="1">IF(AND($D560="Serviço",AK$12&lt;&gt;0,$H560&gt;0,OR(AUTOEVENTO&lt;&gt;"manual",$M560&lt;&gt;1)),
IF(Import.TipoArredondamento&lt;&gt;"TransfereGOV",
ROUND(OFFSET($P560,0,AK$13),15-13*ORÇAMENTO!$AF$7)/$H560*OFFSET(ORÇAMENTO!$X$15,ROW(AK560)-ROW(AK$15),0),
ROUND(ROUND(OFFSET($P560,0,AK$13),15-13*ORÇAMENTO!$AF$7)*OFFSET(ORÇAMENTO!$W$15,ROW(AK560)-ROW(AK$15),0),15-13*ORÇAMENTO!$AF$11)),0)</f>
        <v>0</v>
      </c>
      <c r="AL560" s="545">
        <f ca="1">IF(AND($D560="Serviço",AL$12&lt;&gt;0,$H560&gt;0,OR(AUTOEVENTO&lt;&gt;"manual",$M560&lt;&gt;1)),
IF(Import.TipoArredondamento&lt;&gt;"TransfereGOV",
ROUND(OFFSET($P560,0,AL$13),15-13*ORÇAMENTO!$AF$7)/$H560*OFFSET(ORÇAMENTO!$X$15,ROW(AL560)-ROW(AL$15),0),
ROUND(ROUND(OFFSET($P560,0,AL$13),15-13*ORÇAMENTO!$AF$7)*OFFSET(ORÇAMENTO!$W$15,ROW(AL560)-ROW(AL$15),0),15-13*ORÇAMENTO!$AF$11)),0)</f>
        <v>0</v>
      </c>
      <c r="AM560" s="545">
        <f ca="1">IF(AND($D560="Serviço",AM$12&lt;&gt;0,$H560&gt;0,OR(AUTOEVENTO&lt;&gt;"manual",$M560&lt;&gt;1)),
IF(Import.TipoArredondamento&lt;&gt;"TransfereGOV",
ROUND(OFFSET($P560,0,AM$13),15-13*ORÇAMENTO!$AF$7)/$H560*OFFSET(ORÇAMENTO!$X$15,ROW(AM560)-ROW(AM$15),0),
ROUND(ROUND(OFFSET($P560,0,AM$13),15-13*ORÇAMENTO!$AF$7)*OFFSET(ORÇAMENTO!$W$15,ROW(AM560)-ROW(AM$15),0),15-13*ORÇAMENTO!$AF$11)),0)</f>
        <v>0</v>
      </c>
      <c r="AN560" s="545">
        <f ca="1">IF(AND($D560="Serviço",AN$12&lt;&gt;0,$H560&gt;0,OR(AUTOEVENTO&lt;&gt;"manual",$M560&lt;&gt;1)),
IF(Import.TipoArredondamento&lt;&gt;"TransfereGOV",
ROUND(OFFSET($P560,0,AN$13),15-13*ORÇAMENTO!$AF$7)/$H560*OFFSET(ORÇAMENTO!$X$15,ROW(AN560)-ROW(AN$15),0),
ROUND(ROUND(OFFSET($P560,0,AN$13),15-13*ORÇAMENTO!$AF$7)*OFFSET(ORÇAMENTO!$W$15,ROW(AN560)-ROW(AN$15),0),15-13*ORÇAMENTO!$AF$11)),0)</f>
        <v>0</v>
      </c>
      <c r="AO560" s="545">
        <f ca="1">IF(AND($D560="Serviço",AO$12&lt;&gt;0,$H560&gt;0,OR(AUTOEVENTO&lt;&gt;"manual",$M560&lt;&gt;1)),
IF(Import.TipoArredondamento&lt;&gt;"TransfereGOV",
ROUND(OFFSET($P560,0,AO$13),15-13*ORÇAMENTO!$AF$7)/$H560*OFFSET(ORÇAMENTO!$X$15,ROW(AO560)-ROW(AO$15),0),
ROUND(ROUND(OFFSET($P560,0,AO$13),15-13*ORÇAMENTO!$AF$7)*OFFSET(ORÇAMENTO!$W$15,ROW(AO560)-ROW(AO$15),0),15-13*ORÇAMENTO!$AF$11)),0)</f>
        <v>0</v>
      </c>
      <c r="AP560" s="545">
        <f ca="1">IF(AND($D560="Serviço",AP$12&lt;&gt;0,$H560&gt;0,OR(AUTOEVENTO&lt;&gt;"manual",$M560&lt;&gt;1)),
IF(Import.TipoArredondamento&lt;&gt;"TransfereGOV",
ROUND(OFFSET($P560,0,AP$13),15-13*ORÇAMENTO!$AF$7)/$H560*OFFSET(ORÇAMENTO!$X$15,ROW(AP560)-ROW(AP$15),0),
ROUND(ROUND(OFFSET($P560,0,AP$13),15-13*ORÇAMENTO!$AF$7)*OFFSET(ORÇAMENTO!$W$15,ROW(AP560)-ROW(AP$15),0),15-13*ORÇAMENTO!$AF$11)),0)</f>
        <v>0</v>
      </c>
      <c r="AQ560" s="545">
        <f ca="1">IF(AND($D560="Serviço",AQ$12&lt;&gt;0,$H560&gt;0,OR(AUTOEVENTO&lt;&gt;"manual",$M560&lt;&gt;1)),
IF(Import.TipoArredondamento&lt;&gt;"TransfereGOV",
ROUND(OFFSET($P560,0,AQ$13),15-13*ORÇAMENTO!$AF$7)/$H560*OFFSET(ORÇAMENTO!$X$15,ROW(AQ560)-ROW(AQ$15),0),
ROUND(ROUND(OFFSET($P560,0,AQ$13),15-13*ORÇAMENTO!$AF$7)*OFFSET(ORÇAMENTO!$W$15,ROW(AQ560)-ROW(AQ$15),0),15-13*ORÇAMENTO!$AF$11)),0)</f>
        <v>0</v>
      </c>
      <c r="AR560" s="545">
        <f ca="1">IF(AND($D560="Serviço",AR$12&lt;&gt;0,$H560&gt;0,OR(AUTOEVENTO&lt;&gt;"manual",$M560&lt;&gt;1)),
IF(Import.TipoArredondamento&lt;&gt;"TransfereGOV",
ROUND(OFFSET($P560,0,AR$13),15-13*ORÇAMENTO!$AF$7)/$H560*OFFSET(ORÇAMENTO!$X$15,ROW(AR560)-ROW(AR$15),0),
ROUND(ROUND(OFFSET($P560,0,AR$13),15-13*ORÇAMENTO!$AF$7)*OFFSET(ORÇAMENTO!$W$15,ROW(AR560)-ROW(AR$15),0),15-13*ORÇAMENTO!$AF$11)),0)</f>
        <v>0</v>
      </c>
      <c r="AS560" s="546">
        <f ca="1">IF(AND($D560="Serviço",AS$12&lt;&gt;0,$H560&gt;0,OR(AUTOEVENTO&lt;&gt;"manual",$M560&lt;&gt;1)),
IF(Import.TipoArredondamento&lt;&gt;"TransfereGOV",
ROUND(OFFSET($P560,0,AS$13),15-13*ORÇAMENTO!$AF$7)/$H560*OFFSET(ORÇAMENTO!$X$15,ROW(AS560)-ROW(AS$15),0),
ROUND(ROUND(OFFSET($P560,0,AS$13),15-13*ORÇAMENTO!$AF$7)*OFFSET(ORÇAMENTO!$W$15,ROW(AS560)-ROW(AS$15),0),15-13*ORÇAMENTO!$AF$11)),0)</f>
        <v>0</v>
      </c>
      <c r="AT560" s="545">
        <f ca="1">IF(AND($D560="Serviço",AT$12&lt;&gt;0,$H560&gt;0,OR(AUTOEVENTO&lt;&gt;"manual",$M560&lt;&gt;1)),
IF(Import.TipoArredondamento&lt;&gt;"TransfereGOV",
ROUND(OFFSET($P560,0,AT$13),15-13*ORÇAMENTO!$AF$7)/$H560*OFFSET(ORÇAMENTO!$X$15,ROW(AT560)-ROW(AT$15),0),
ROUND(ROUND(OFFSET($P560,0,AT$13),15-13*ORÇAMENTO!$AF$7)*OFFSET(ORÇAMENTO!$W$15,ROW(AT560)-ROW(AT$15),0),15-13*ORÇAMENTO!$AF$11)),0)</f>
        <v>0</v>
      </c>
      <c r="AU560" s="545">
        <f ca="1">IF(AND($D560="Serviço",AU$12&lt;&gt;0,$H560&gt;0,OR(AUTOEVENTO&lt;&gt;"manual",$M560&lt;&gt;1)),
IF(Import.TipoArredondamento&lt;&gt;"TransfereGOV",
ROUND(OFFSET($P560,0,AU$13),15-13*ORÇAMENTO!$AF$7)/$H560*OFFSET(ORÇAMENTO!$X$15,ROW(AU560)-ROW(AU$15),0),
ROUND(ROUND(OFFSET($P560,0,AU$13),15-13*ORÇAMENTO!$AF$7)*OFFSET(ORÇAMENTO!$W$15,ROW(AU560)-ROW(AU$15),0),15-13*ORÇAMENTO!$AF$11)),0)</f>
        <v>0</v>
      </c>
      <c r="AV560" s="545">
        <f ca="1">IF(AND($D560="Serviço",AV$12&lt;&gt;0,$H560&gt;0,OR(AUTOEVENTO&lt;&gt;"manual",$M560&lt;&gt;1)),
IF(Import.TipoArredondamento&lt;&gt;"TransfereGOV",
ROUND(OFFSET($P560,0,AV$13),15-13*ORÇAMENTO!$AF$7)/$H560*OFFSET(ORÇAMENTO!$X$15,ROW(AV560)-ROW(AV$15),0),
ROUND(ROUND(OFFSET($P560,0,AV$13),15-13*ORÇAMENTO!$AF$7)*OFFSET(ORÇAMENTO!$W$15,ROW(AV560)-ROW(AV$15),0),15-13*ORÇAMENTO!$AF$11)),0)</f>
        <v>0</v>
      </c>
      <c r="AW560" s="545">
        <f ca="1">IF(AND($D560="Serviço",AW$12&lt;&gt;0,$H560&gt;0,OR(AUTOEVENTO&lt;&gt;"manual",$M560&lt;&gt;1)),
IF(Import.TipoArredondamento&lt;&gt;"TransfereGOV",
ROUND(OFFSET($P560,0,AW$13),15-13*ORÇAMENTO!$AF$7)/$H560*OFFSET(ORÇAMENTO!$X$15,ROW(AW560)-ROW(AW$15),0),
ROUND(ROUND(OFFSET($P560,0,AW$13),15-13*ORÇAMENTO!$AF$7)*OFFSET(ORÇAMENTO!$W$15,ROW(AW560)-ROW(AW$15),0),15-13*ORÇAMENTO!$AF$11)),0)</f>
        <v>0</v>
      </c>
      <c r="AX560" s="545">
        <f ca="1">IF(AND($D560="Serviço",AX$12&lt;&gt;0,$H560&gt;0,OR(AUTOEVENTO&lt;&gt;"manual",$M560&lt;&gt;1)),
IF(Import.TipoArredondamento&lt;&gt;"TransfereGOV",
ROUND(OFFSET($P560,0,AX$13),15-13*ORÇAMENTO!$AF$7)/$H560*OFFSET(ORÇAMENTO!$X$15,ROW(AX560)-ROW(AX$15),0),
ROUND(ROUND(OFFSET($P560,0,AX$13),15-13*ORÇAMENTO!$AF$7)*OFFSET(ORÇAMENTO!$W$15,ROW(AX560)-ROW(AX$15),0),15-13*ORÇAMENTO!$AF$11)),0)</f>
        <v>0</v>
      </c>
      <c r="AY560" s="545">
        <f ca="1">IF(AND($D560="Serviço",AY$12&lt;&gt;0,$H560&gt;0,OR(AUTOEVENTO&lt;&gt;"manual",$M560&lt;&gt;1)),
IF(Import.TipoArredondamento&lt;&gt;"TransfereGOV",
ROUND(OFFSET($P560,0,AY$13),15-13*ORÇAMENTO!$AF$7)/$H560*OFFSET(ORÇAMENTO!$X$15,ROW(AY560)-ROW(AY$15),0),
ROUND(ROUND(OFFSET($P560,0,AY$13),15-13*ORÇAMENTO!$AF$7)*OFFSET(ORÇAMENTO!$W$15,ROW(AY560)-ROW(AY$15),0),15-13*ORÇAMENTO!$AF$11)),0)</f>
        <v>0</v>
      </c>
      <c r="AZ560" s="545">
        <f ca="1">IF(AND($D560="Serviço",AZ$12&lt;&gt;0,$H560&gt;0,OR(AUTOEVENTO&lt;&gt;"manual",$M560&lt;&gt;1)),
IF(Import.TipoArredondamento&lt;&gt;"TransfereGOV",
ROUND(OFFSET($P560,0,AZ$13),15-13*ORÇAMENTO!$AF$7)/$H560*OFFSET(ORÇAMENTO!$X$15,ROW(AZ560)-ROW(AZ$15),0),
ROUND(ROUND(OFFSET($P560,0,AZ$13),15-13*ORÇAMENTO!$AF$7)*OFFSET(ORÇAMENTO!$W$15,ROW(AZ560)-ROW(AZ$15),0),15-13*ORÇAMENTO!$AF$11)),0)</f>
        <v>0</v>
      </c>
      <c r="BA560" s="546">
        <f ca="1">IF(AND($D560="Serviço",BA$12&lt;&gt;0,$H560&gt;0,OR(AUTOEVENTO&lt;&gt;"manual",$M560&lt;&gt;1)),
IF(Import.TipoArredondamento&lt;&gt;"TransfereGOV",
ROUND(OFFSET($P560,0,BA$13),15-13*ORÇAMENTO!$AF$7)/$H560*OFFSET(ORÇAMENTO!$X$15,ROW(BA560)-ROW(BA$15),0),
ROUND(ROUND(OFFSET($P560,0,BA$13),15-13*ORÇAMENTO!$AF$7)*OFFSET(ORÇAMENTO!$W$15,ROW(BA560)-ROW(BA$15),0),15-13*ORÇAMENTO!$AF$11)),0)</f>
        <v>0</v>
      </c>
      <c r="BC560" s="181">
        <f ca="1">IF($D560&lt;&gt;"Serviço",0,IF(AND(AUTOEVENTO="Manual",$M560=1),0,IF(OFFSET(CRONOPLE!$F$14,$M560,BC$13)="",10^12,OFFSET(CRONOPLE!$F$14,$M560,BC$13))))</f>
        <v>10</v>
      </c>
      <c r="BD560" s="181">
        <f ca="1">IF($D560&lt;&gt;"Serviço",0,IF(AND(AUTOEVENTO="Manual",$M560=1),0,IF(OFFSET(CRONOPLE!$F$14,$M560,BD$13)="",10^12,OFFSET(CRONOPLE!$F$14,$M560,BD$13))))</f>
        <v>1000000000000</v>
      </c>
      <c r="BE560" s="181">
        <f ca="1">IF($D560&lt;&gt;"Serviço",0,IF(AND(AUTOEVENTO="Manual",$M560=1),0,IF(OFFSET(CRONOPLE!$F$14,$M560,BE$13)="",10^12,OFFSET(CRONOPLE!$F$14,$M560,BE$13))))</f>
        <v>1000000000000</v>
      </c>
      <c r="BF560" s="181">
        <f ca="1">IF($D560&lt;&gt;"Serviço",0,IF(AND(AUTOEVENTO="Manual",$M560=1),0,IF(OFFSET(CRONOPLE!$F$14,$M560,BF$13)="",10^12,OFFSET(CRONOPLE!$F$14,$M560,BF$13))))</f>
        <v>1000000000000</v>
      </c>
      <c r="BG560" s="181">
        <f ca="1">IF($D560&lt;&gt;"Serviço",0,IF(AND(AUTOEVENTO="Manual",$M560=1),0,IF(OFFSET(CRONOPLE!$F$14,$M560,BG$13)="",10^12,OFFSET(CRONOPLE!$F$14,$M560,BG$13))))</f>
        <v>1000000000000</v>
      </c>
      <c r="BH560" s="181">
        <f ca="1">IF($D560&lt;&gt;"Serviço",0,IF(AND(AUTOEVENTO="Manual",$M560=1),0,IF(OFFSET(CRONOPLE!$F$14,$M560,BH$13)="",10^12,OFFSET(CRONOPLE!$F$14,$M560,BH$13))))</f>
        <v>1000000000000</v>
      </c>
      <c r="BI560" s="181">
        <f ca="1">IF($D560&lt;&gt;"Serviço",0,IF(AND(AUTOEVENTO="Manual",$M560=1),0,IF(OFFSET(CRONOPLE!$F$14,$M560,BI$13)="",10^12,OFFSET(CRONOPLE!$F$14,$M560,BI$13))))</f>
        <v>1000000000000</v>
      </c>
      <c r="BJ560" s="181">
        <f ca="1">IF($D560&lt;&gt;"Serviço",0,IF(AND(AUTOEVENTO="Manual",$M560=1),0,IF(OFFSET(CRONOPLE!$F$14,$M560,BJ$13)="",10^12,OFFSET(CRONOPLE!$F$14,$M560,BJ$13))))</f>
        <v>1000000000000</v>
      </c>
      <c r="BK560" s="181">
        <f ca="1">IF($D560&lt;&gt;"Serviço",0,IF(AND(AUTOEVENTO="Manual",$M560=1),0,IF(OFFSET(CRONOPLE!$F$14,$M560,BK$13)="",10^12,OFFSET(CRONOPLE!$F$14,$M560,BK$13))))</f>
        <v>1000000000000</v>
      </c>
      <c r="BL560" s="181">
        <f ca="1">IF($D560&lt;&gt;"Serviço",0,IF(AND(AUTOEVENTO="Manual",$M560=1),0,IF(OFFSET(CRONOPLE!$F$14,$M560,BL$13)="",10^12,OFFSET(CRONOPLE!$F$14,$M560,BL$13))))</f>
        <v>1000000000000</v>
      </c>
      <c r="BM560" s="181">
        <f ca="1">IF($D560&lt;&gt;"Serviço",0,IF(AND(AUTOEVENTO="Manual",$M560=1),0,IF(OFFSET(CRONOPLE!$F$14,$M560,BM$13)="",10^12,OFFSET(CRONOPLE!$F$14,$M560,BM$13))))</f>
        <v>1000000000000</v>
      </c>
      <c r="BN560" s="181">
        <f ca="1">IF($D560&lt;&gt;"Serviço",0,IF(AND(AUTOEVENTO="Manual",$M560=1),0,IF(OFFSET(CRONOPLE!$F$14,$M560,BN$13)="",10^12,OFFSET(CRONOPLE!$F$14,$M560,BN$13))))</f>
        <v>1000000000000</v>
      </c>
      <c r="BO560" s="181">
        <f ca="1">IF($D560&lt;&gt;"Serviço",0,IF(AND(AUTOEVENTO="Manual",$M560=1),0,IF(OFFSET(CRONOPLE!$F$14,$M560,BO$13)="",10^12,OFFSET(CRONOPLE!$F$14,$M560,BO$13))))</f>
        <v>1000000000000</v>
      </c>
      <c r="BP560" s="181">
        <f ca="1">IF($D560&lt;&gt;"Serviço",0,IF(AND(AUTOEVENTO="Manual",$M560=1),0,IF(OFFSET(CRONOPLE!$F$14,$M560,BP$13)="",10^12,OFFSET(CRONOPLE!$F$14,$M560,BP$13))))</f>
        <v>1000000000000</v>
      </c>
      <c r="BQ560" s="181">
        <f ca="1">IF($D560&lt;&gt;"Serviço",0,IF(AND(AUTOEVENTO="Manual",$M560=1),0,IF(OFFSET(CRONOPLE!$F$14,$M560,BQ$13)="",10^12,OFFSET(CRONOPLE!$F$14,$M560,BQ$13))))</f>
        <v>1000000000000</v>
      </c>
      <c r="BR560" s="181">
        <f ca="1">IF($D560&lt;&gt;"Serviço",0,IF(AND(AUTOEVENTO="Manual",$M560=1),0,IF(OFFSET(CRONOPLE!$F$14,$M560,BR$13)="",10^12,OFFSET(CRONOPLE!$F$14,$M560,BR$13))))</f>
        <v>1000000000000</v>
      </c>
      <c r="BS560" s="181">
        <f ca="1">IF($D560&lt;&gt;"Serviço",0,IF(AND(AUTOEVENTO="Manual",$M560=1),0,IF(OFFSET(CRONOPLE!$F$14,$M560,BS$13)="",10^12,OFFSET(CRONOPLE!$F$14,$M560,BS$13))))</f>
        <v>1000000000000</v>
      </c>
      <c r="BT560" s="181">
        <f ca="1">IF($D560&lt;&gt;"Serviço",0,IF(AND(AUTOEVENTO="Manual",$M560=1),0,IF(OFFSET(CRONOPLE!$F$14,$M560,BT$13)="",10^12,OFFSET(CRONOPLE!$F$14,$M560,BT$13))))</f>
        <v>1000000000000</v>
      </c>
      <c r="BV560" s="182">
        <f ca="1">IF($D560&lt;&gt;"Serviço",0,IF(OR(AND(AUTOEVENTO="Manual",$M560=1),$M560&gt;(ROW(PLE.lastrow)-ROW(PLE.firstrow))),0,IF(OFFSET(PLE!$G$14,$M560,BV$13)="",10^12,OFFSET(PLE!$G$14,$M560,BV$13))))</f>
        <v>1000000000000</v>
      </c>
      <c r="BW560" s="182">
        <f ca="1">IF($D560&lt;&gt;"Serviço",0,IF(OR(AND(AUTOEVENTO="Manual",$M560=1),$M560&gt;(ROW(PLE.lastrow)-ROW(PLE.firstrow))),0,IF(OFFSET(PLE!$G$14,$M560,BW$13)="",10^12,OFFSET(PLE!$G$14,$M560,BW$13))))</f>
        <v>1000000000000</v>
      </c>
      <c r="BX560" s="182">
        <f ca="1">IF($D560&lt;&gt;"Serviço",0,IF(OR(AND(AUTOEVENTO="Manual",$M560=1),$M560&gt;(ROW(PLE.lastrow)-ROW(PLE.firstrow))),0,IF(OFFSET(PLE!$G$14,$M560,BX$13)="",10^12,OFFSET(PLE!$G$14,$M560,BX$13))))</f>
        <v>1000000000000</v>
      </c>
      <c r="BY560" s="182">
        <f ca="1">IF($D560&lt;&gt;"Serviço",0,IF(OR(AND(AUTOEVENTO="Manual",$M560=1),$M560&gt;(ROW(PLE.lastrow)-ROW(PLE.firstrow))),0,IF(OFFSET(PLE!$G$14,$M560,BY$13)="",10^12,OFFSET(PLE!$G$14,$M560,BY$13))))</f>
        <v>1000000000000</v>
      </c>
      <c r="BZ560" s="182">
        <f ca="1">IF($D560&lt;&gt;"Serviço",0,IF(OR(AND(AUTOEVENTO="Manual",$M560=1),$M560&gt;(ROW(PLE.lastrow)-ROW(PLE.firstrow))),0,IF(OFFSET(PLE!$G$14,$M560,BZ$13)="",10^12,OFFSET(PLE!$G$14,$M560,BZ$13))))</f>
        <v>1000000000000</v>
      </c>
      <c r="CA560" s="182">
        <f ca="1">IF($D560&lt;&gt;"Serviço",0,IF(OR(AND(AUTOEVENTO="Manual",$M560=1),$M560&gt;(ROW(PLE.lastrow)-ROW(PLE.firstrow))),0,IF(OFFSET(PLE!$G$14,$M560,CA$13)="",10^12,OFFSET(PLE!$G$14,$M560,CA$13))))</f>
        <v>1000000000000</v>
      </c>
      <c r="CB560" s="182">
        <f ca="1">IF($D560&lt;&gt;"Serviço",0,IF(OR(AND(AUTOEVENTO="Manual",$M560=1),$M560&gt;(ROW(PLE.lastrow)-ROW(PLE.firstrow))),0,IF(OFFSET(PLE!$G$14,$M560,CB$13)="",10^12,OFFSET(PLE!$G$14,$M560,CB$13))))</f>
        <v>1000000000000</v>
      </c>
      <c r="CC560" s="182">
        <f ca="1">IF($D560&lt;&gt;"Serviço",0,IF(OR(AND(AUTOEVENTO="Manual",$M560=1),$M560&gt;(ROW(PLE.lastrow)-ROW(PLE.firstrow))),0,IF(OFFSET(PLE!$G$14,$M560,CC$13)="",10^12,OFFSET(PLE!$G$14,$M560,CC$13))))</f>
        <v>1000000000000</v>
      </c>
      <c r="CD560" s="182">
        <f ca="1">IF($D560&lt;&gt;"Serviço",0,IF(OR(AND(AUTOEVENTO="Manual",$M560=1),$M560&gt;(ROW(PLE.lastrow)-ROW(PLE.firstrow))),0,IF(OFFSET(PLE!$G$14,$M560,CD$13)="",10^12,OFFSET(PLE!$G$14,$M560,CD$13))))</f>
        <v>1000000000000</v>
      </c>
      <c r="CE560" s="182">
        <f ca="1">IF($D560&lt;&gt;"Serviço",0,IF(OR(AND(AUTOEVENTO="Manual",$M560=1),$M560&gt;(ROW(PLE.lastrow)-ROW(PLE.firstrow))),0,IF(OFFSET(PLE!$G$14,$M560,CE$13)="",10^12,OFFSET(PLE!$G$14,$M560,CE$13))))</f>
        <v>1000000000000</v>
      </c>
      <c r="CF560" s="182">
        <f ca="1">IF($D560&lt;&gt;"Serviço",0,IF(OR(AND(AUTOEVENTO="Manual",$M560=1),$M560&gt;(ROW(PLE.lastrow)-ROW(PLE.firstrow))),0,IF(OFFSET(PLE!$G$14,$M560,CF$13)="",10^12,OFFSET(PLE!$G$14,$M560,CF$13))))</f>
        <v>1000000000000</v>
      </c>
      <c r="CG560" s="182">
        <f ca="1">IF($D560&lt;&gt;"Serviço",0,IF(OR(AND(AUTOEVENTO="Manual",$M560=1),$M560&gt;(ROW(PLE.lastrow)-ROW(PLE.firstrow))),0,IF(OFFSET(PLE!$G$14,$M560,CG$13)="",10^12,OFFSET(PLE!$G$14,$M560,CG$13))))</f>
        <v>1000000000000</v>
      </c>
      <c r="CH560" s="182">
        <f ca="1">IF($D560&lt;&gt;"Serviço",0,IF(OR(AND(AUTOEVENTO="Manual",$M560=1),$M560&gt;(ROW(PLE.lastrow)-ROW(PLE.firstrow))),0,IF(OFFSET(PLE!$G$14,$M560,CH$13)="",10^12,OFFSET(PLE!$G$14,$M560,CH$13))))</f>
        <v>1000000000000</v>
      </c>
      <c r="CI560" s="182">
        <f ca="1">IF($D560&lt;&gt;"Serviço",0,IF(OR(AND(AUTOEVENTO="Manual",$M560=1),$M560&gt;(ROW(PLE.lastrow)-ROW(PLE.firstrow))),0,IF(OFFSET(PLE!$G$14,$M560,CI$13)="",10^12,OFFSET(PLE!$G$14,$M560,CI$13))))</f>
        <v>1000000000000</v>
      </c>
      <c r="CJ560" s="182">
        <f ca="1">IF($D560&lt;&gt;"Serviço",0,IF(OR(AND(AUTOEVENTO="Manual",$M560=1),$M560&gt;(ROW(PLE.lastrow)-ROW(PLE.firstrow))),0,IF(OFFSET(PLE!$G$14,$M560,CJ$13)="",10^12,OFFSET(PLE!$G$14,$M560,CJ$13))))</f>
        <v>1000000000000</v>
      </c>
      <c r="CK560" s="182">
        <f ca="1">IF($D560&lt;&gt;"Serviço",0,IF(OR(AND(AUTOEVENTO="Manual",$M560=1),$M560&gt;(ROW(PLE.lastrow)-ROW(PLE.firstrow))),0,IF(OFFSET(PLE!$G$14,$M560,CK$13)="",10^12,OFFSET(PLE!$G$14,$M560,CK$13))))</f>
        <v>1000000000000</v>
      </c>
      <c r="CL560" s="182">
        <f ca="1">IF($D560&lt;&gt;"Serviço",0,IF(OR(AND(AUTOEVENTO="Manual",$M560=1),$M560&gt;(ROW(PLE.lastrow)-ROW(PLE.firstrow))),0,IF(OFFSET(PLE!$G$14,$M560,CL$13)="",10^12,OFFSET(PLE!$G$14,$M560,CL$13))))</f>
        <v>1000000000000</v>
      </c>
      <c r="CM560" s="182">
        <f ca="1">IF($D560&lt;&gt;"Serviço",0,IF(OR(AND(AUTOEVENTO="Manual",$M560=1),$M560&gt;(ROW(PLE.lastrow)-ROW(PLE.firstrow))),0,IF(OFFSET(PLE!$G$14,$M560,CM$13)="",10^12,OFFSET(PLE!$G$14,$M560,CM$13))))</f>
        <v>1000000000000</v>
      </c>
    </row>
    <row r="561" spans="1:91" ht="25.5" x14ac:dyDescent="0.2">
      <c r="A561" s="7" t="str">
        <f t="shared" ca="1" si="17"/>
        <v>528</v>
      </c>
      <c r="B561" s="7" t="str">
        <f ca="1">OFFSET(ORÇAMENTO!C$15,ROW(B561)-ROW(B$15),0)</f>
        <v>S</v>
      </c>
      <c r="C561" s="7" t="str">
        <f ca="1">OFFSET(ORÇAMENTO!L$15,ROW(C561)-ROW(C$15),0)</f>
        <v/>
      </c>
      <c r="D561" s="118" t="str">
        <f ca="1">OFFSET(ORÇAMENTO!N$15,ROW(D561)-ROW(D$15),0)</f>
        <v>Serviço</v>
      </c>
      <c r="E561" s="119" t="str">
        <f ca="1">OFFSET(ORÇAMENTO!O$15,ROW(E561)-ROW(E$15),0)</f>
        <v>-</v>
      </c>
      <c r="F561" s="172" t="str">
        <f ca="1">OFFSET(ORÇAMENTO!R$15,ROW(F561)-ROW(F$15),0)</f>
        <v>(abra o arquivo 'Referência 06-2024.xlsm)</v>
      </c>
      <c r="G561" s="173" t="str">
        <f ca="1">IF($D561&lt;&gt;"Serviço","",OFFSET(ORÇAMENTO!S$15,ROW(G561)-ROW(G$15),0))</f>
        <v>-</v>
      </c>
      <c r="H561" s="124">
        <f ca="1">IF($D561&lt;&gt;"Serviço",0,IF(ACOMPANHAMENTO="BM",ROUND(OFFSET(ORÇAMENTO!AJ$15,ROW(H561)-ROW(H$15),0),15-13*ORÇAMENTO!$AF$7),SUMPRODUCT(($Q$12:$AI$12&lt;&gt;"")*ROUND($Q561:$AI561,15-13*ORÇAMENTO!$AF$7))))</f>
        <v>1</v>
      </c>
      <c r="I561" s="561" t="s">
        <v>1107</v>
      </c>
      <c r="K561" s="174"/>
      <c r="L561" s="175" t="s">
        <v>255</v>
      </c>
      <c r="M561" s="176">
        <f ca="1">IF($D561&lt;&gt;"Serviço","",IF(AUTOEVENTO="manual",$A561,IF(ISERROR(MATCH($A561,$A$15:OFFSET($A561,-1,0),0)),MAX($M$15:OFFSET(M561,-1,0))+1,INDEX($M$15:OFFSET(M561,-1,0),MATCH($A561,$A$15:OFFSET($A561,-1,0),0)))))</f>
        <v>57</v>
      </c>
      <c r="N561" s="177" t="str">
        <f ca="1">IF($D561&lt;&gt;"Serviço","",IF(AUTOEVENTO="Manual",IF($A561=0,"&lt;-- defina o número do agrupador",OFFSET(EVENTOS!$D$14,$A561,0)),OFFSET($F$15,$A561,0)))</f>
        <v>INSTALAÇÃO ELÉTRICA 110V - DISPOSITIVOS DE PROTEÇÃO</v>
      </c>
      <c r="O561" s="178"/>
      <c r="Q561" s="178">
        <v>1</v>
      </c>
      <c r="R561" s="179"/>
      <c r="S561" s="179"/>
      <c r="T561" s="179"/>
      <c r="U561" s="179"/>
      <c r="V561" s="179"/>
      <c r="W561" s="179"/>
      <c r="X561" s="179"/>
      <c r="Y561" s="179"/>
      <c r="Z561" s="180"/>
      <c r="AA561" s="179"/>
      <c r="AB561" s="179"/>
      <c r="AC561" s="179"/>
      <c r="AD561" s="179"/>
      <c r="AE561" s="179"/>
      <c r="AF561" s="179"/>
      <c r="AG561" s="179"/>
      <c r="AH561" s="180"/>
      <c r="AJ561" s="544">
        <f ca="1">IF(AND($D561="Serviço",AJ$12&lt;&gt;0,$H561&gt;0,OR(AUTOEVENTO&lt;&gt;"manual",$M561&lt;&gt;1)),
IF(Import.TipoArredondamento&lt;&gt;"TransfereGOV",
ROUND(OFFSET($P561,0,AJ$13),15-13*ORÇAMENTO!$AF$7)/$H561*OFFSET(ORÇAMENTO!$X$15,ROW(AJ561)-ROW(AJ$15),0),
ROUND(ROUND(OFFSET($P561,0,AJ$13),15-13*ORÇAMENTO!$AF$7)*OFFSET(ORÇAMENTO!$W$15,ROW(AJ561)-ROW(AJ$15),0),15-13*ORÇAMENTO!$AF$11)),0)</f>
        <v>0</v>
      </c>
      <c r="AK561" s="545">
        <f ca="1">IF(AND($D561="Serviço",AK$12&lt;&gt;0,$H561&gt;0,OR(AUTOEVENTO&lt;&gt;"manual",$M561&lt;&gt;1)),
IF(Import.TipoArredondamento&lt;&gt;"TransfereGOV",
ROUND(OFFSET($P561,0,AK$13),15-13*ORÇAMENTO!$AF$7)/$H561*OFFSET(ORÇAMENTO!$X$15,ROW(AK561)-ROW(AK$15),0),
ROUND(ROUND(OFFSET($P561,0,AK$13),15-13*ORÇAMENTO!$AF$7)*OFFSET(ORÇAMENTO!$W$15,ROW(AK561)-ROW(AK$15),0),15-13*ORÇAMENTO!$AF$11)),0)</f>
        <v>0</v>
      </c>
      <c r="AL561" s="545">
        <f ca="1">IF(AND($D561="Serviço",AL$12&lt;&gt;0,$H561&gt;0,OR(AUTOEVENTO&lt;&gt;"manual",$M561&lt;&gt;1)),
IF(Import.TipoArredondamento&lt;&gt;"TransfereGOV",
ROUND(OFFSET($P561,0,AL$13),15-13*ORÇAMENTO!$AF$7)/$H561*OFFSET(ORÇAMENTO!$X$15,ROW(AL561)-ROW(AL$15),0),
ROUND(ROUND(OFFSET($P561,0,AL$13),15-13*ORÇAMENTO!$AF$7)*OFFSET(ORÇAMENTO!$W$15,ROW(AL561)-ROW(AL$15),0),15-13*ORÇAMENTO!$AF$11)),0)</f>
        <v>0</v>
      </c>
      <c r="AM561" s="545">
        <f ca="1">IF(AND($D561="Serviço",AM$12&lt;&gt;0,$H561&gt;0,OR(AUTOEVENTO&lt;&gt;"manual",$M561&lt;&gt;1)),
IF(Import.TipoArredondamento&lt;&gt;"TransfereGOV",
ROUND(OFFSET($P561,0,AM$13),15-13*ORÇAMENTO!$AF$7)/$H561*OFFSET(ORÇAMENTO!$X$15,ROW(AM561)-ROW(AM$15),0),
ROUND(ROUND(OFFSET($P561,0,AM$13),15-13*ORÇAMENTO!$AF$7)*OFFSET(ORÇAMENTO!$W$15,ROW(AM561)-ROW(AM$15),0),15-13*ORÇAMENTO!$AF$11)),0)</f>
        <v>0</v>
      </c>
      <c r="AN561" s="545">
        <f ca="1">IF(AND($D561="Serviço",AN$12&lt;&gt;0,$H561&gt;0,OR(AUTOEVENTO&lt;&gt;"manual",$M561&lt;&gt;1)),
IF(Import.TipoArredondamento&lt;&gt;"TransfereGOV",
ROUND(OFFSET($P561,0,AN$13),15-13*ORÇAMENTO!$AF$7)/$H561*OFFSET(ORÇAMENTO!$X$15,ROW(AN561)-ROW(AN$15),0),
ROUND(ROUND(OFFSET($P561,0,AN$13),15-13*ORÇAMENTO!$AF$7)*OFFSET(ORÇAMENTO!$W$15,ROW(AN561)-ROW(AN$15),0),15-13*ORÇAMENTO!$AF$11)),0)</f>
        <v>0</v>
      </c>
      <c r="AO561" s="545">
        <f ca="1">IF(AND($D561="Serviço",AO$12&lt;&gt;0,$H561&gt;0,OR(AUTOEVENTO&lt;&gt;"manual",$M561&lt;&gt;1)),
IF(Import.TipoArredondamento&lt;&gt;"TransfereGOV",
ROUND(OFFSET($P561,0,AO$13),15-13*ORÇAMENTO!$AF$7)/$H561*OFFSET(ORÇAMENTO!$X$15,ROW(AO561)-ROW(AO$15),0),
ROUND(ROUND(OFFSET($P561,0,AO$13),15-13*ORÇAMENTO!$AF$7)*OFFSET(ORÇAMENTO!$W$15,ROW(AO561)-ROW(AO$15),0),15-13*ORÇAMENTO!$AF$11)),0)</f>
        <v>0</v>
      </c>
      <c r="AP561" s="545">
        <f ca="1">IF(AND($D561="Serviço",AP$12&lt;&gt;0,$H561&gt;0,OR(AUTOEVENTO&lt;&gt;"manual",$M561&lt;&gt;1)),
IF(Import.TipoArredondamento&lt;&gt;"TransfereGOV",
ROUND(OFFSET($P561,0,AP$13),15-13*ORÇAMENTO!$AF$7)/$H561*OFFSET(ORÇAMENTO!$X$15,ROW(AP561)-ROW(AP$15),0),
ROUND(ROUND(OFFSET($P561,0,AP$13),15-13*ORÇAMENTO!$AF$7)*OFFSET(ORÇAMENTO!$W$15,ROW(AP561)-ROW(AP$15),0),15-13*ORÇAMENTO!$AF$11)),0)</f>
        <v>0</v>
      </c>
      <c r="AQ561" s="545">
        <f ca="1">IF(AND($D561="Serviço",AQ$12&lt;&gt;0,$H561&gt;0,OR(AUTOEVENTO&lt;&gt;"manual",$M561&lt;&gt;1)),
IF(Import.TipoArredondamento&lt;&gt;"TransfereGOV",
ROUND(OFFSET($P561,0,AQ$13),15-13*ORÇAMENTO!$AF$7)/$H561*OFFSET(ORÇAMENTO!$X$15,ROW(AQ561)-ROW(AQ$15),0),
ROUND(ROUND(OFFSET($P561,0,AQ$13),15-13*ORÇAMENTO!$AF$7)*OFFSET(ORÇAMENTO!$W$15,ROW(AQ561)-ROW(AQ$15),0),15-13*ORÇAMENTO!$AF$11)),0)</f>
        <v>0</v>
      </c>
      <c r="AR561" s="545">
        <f ca="1">IF(AND($D561="Serviço",AR$12&lt;&gt;0,$H561&gt;0,OR(AUTOEVENTO&lt;&gt;"manual",$M561&lt;&gt;1)),
IF(Import.TipoArredondamento&lt;&gt;"TransfereGOV",
ROUND(OFFSET($P561,0,AR$13),15-13*ORÇAMENTO!$AF$7)/$H561*OFFSET(ORÇAMENTO!$X$15,ROW(AR561)-ROW(AR$15),0),
ROUND(ROUND(OFFSET($P561,0,AR$13),15-13*ORÇAMENTO!$AF$7)*OFFSET(ORÇAMENTO!$W$15,ROW(AR561)-ROW(AR$15),0),15-13*ORÇAMENTO!$AF$11)),0)</f>
        <v>0</v>
      </c>
      <c r="AS561" s="546">
        <f ca="1">IF(AND($D561="Serviço",AS$12&lt;&gt;0,$H561&gt;0,OR(AUTOEVENTO&lt;&gt;"manual",$M561&lt;&gt;1)),
IF(Import.TipoArredondamento&lt;&gt;"TransfereGOV",
ROUND(OFFSET($P561,0,AS$13),15-13*ORÇAMENTO!$AF$7)/$H561*OFFSET(ORÇAMENTO!$X$15,ROW(AS561)-ROW(AS$15),0),
ROUND(ROUND(OFFSET($P561,0,AS$13),15-13*ORÇAMENTO!$AF$7)*OFFSET(ORÇAMENTO!$W$15,ROW(AS561)-ROW(AS$15),0),15-13*ORÇAMENTO!$AF$11)),0)</f>
        <v>0</v>
      </c>
      <c r="AT561" s="545">
        <f ca="1">IF(AND($D561="Serviço",AT$12&lt;&gt;0,$H561&gt;0,OR(AUTOEVENTO&lt;&gt;"manual",$M561&lt;&gt;1)),
IF(Import.TipoArredondamento&lt;&gt;"TransfereGOV",
ROUND(OFFSET($P561,0,AT$13),15-13*ORÇAMENTO!$AF$7)/$H561*OFFSET(ORÇAMENTO!$X$15,ROW(AT561)-ROW(AT$15),0),
ROUND(ROUND(OFFSET($P561,0,AT$13),15-13*ORÇAMENTO!$AF$7)*OFFSET(ORÇAMENTO!$W$15,ROW(AT561)-ROW(AT$15),0),15-13*ORÇAMENTO!$AF$11)),0)</f>
        <v>0</v>
      </c>
      <c r="AU561" s="545">
        <f ca="1">IF(AND($D561="Serviço",AU$12&lt;&gt;0,$H561&gt;0,OR(AUTOEVENTO&lt;&gt;"manual",$M561&lt;&gt;1)),
IF(Import.TipoArredondamento&lt;&gt;"TransfereGOV",
ROUND(OFFSET($P561,0,AU$13),15-13*ORÇAMENTO!$AF$7)/$H561*OFFSET(ORÇAMENTO!$X$15,ROW(AU561)-ROW(AU$15),0),
ROUND(ROUND(OFFSET($P561,0,AU$13),15-13*ORÇAMENTO!$AF$7)*OFFSET(ORÇAMENTO!$W$15,ROW(AU561)-ROW(AU$15),0),15-13*ORÇAMENTO!$AF$11)),0)</f>
        <v>0</v>
      </c>
      <c r="AV561" s="545">
        <f ca="1">IF(AND($D561="Serviço",AV$12&lt;&gt;0,$H561&gt;0,OR(AUTOEVENTO&lt;&gt;"manual",$M561&lt;&gt;1)),
IF(Import.TipoArredondamento&lt;&gt;"TransfereGOV",
ROUND(OFFSET($P561,0,AV$13),15-13*ORÇAMENTO!$AF$7)/$H561*OFFSET(ORÇAMENTO!$X$15,ROW(AV561)-ROW(AV$15),0),
ROUND(ROUND(OFFSET($P561,0,AV$13),15-13*ORÇAMENTO!$AF$7)*OFFSET(ORÇAMENTO!$W$15,ROW(AV561)-ROW(AV$15),0),15-13*ORÇAMENTO!$AF$11)),0)</f>
        <v>0</v>
      </c>
      <c r="AW561" s="545">
        <f ca="1">IF(AND($D561="Serviço",AW$12&lt;&gt;0,$H561&gt;0,OR(AUTOEVENTO&lt;&gt;"manual",$M561&lt;&gt;1)),
IF(Import.TipoArredondamento&lt;&gt;"TransfereGOV",
ROUND(OFFSET($P561,0,AW$13),15-13*ORÇAMENTO!$AF$7)/$H561*OFFSET(ORÇAMENTO!$X$15,ROW(AW561)-ROW(AW$15),0),
ROUND(ROUND(OFFSET($P561,0,AW$13),15-13*ORÇAMENTO!$AF$7)*OFFSET(ORÇAMENTO!$W$15,ROW(AW561)-ROW(AW$15),0),15-13*ORÇAMENTO!$AF$11)),0)</f>
        <v>0</v>
      </c>
      <c r="AX561" s="545">
        <f ca="1">IF(AND($D561="Serviço",AX$12&lt;&gt;0,$H561&gt;0,OR(AUTOEVENTO&lt;&gt;"manual",$M561&lt;&gt;1)),
IF(Import.TipoArredondamento&lt;&gt;"TransfereGOV",
ROUND(OFFSET($P561,0,AX$13),15-13*ORÇAMENTO!$AF$7)/$H561*OFFSET(ORÇAMENTO!$X$15,ROW(AX561)-ROW(AX$15),0),
ROUND(ROUND(OFFSET($P561,0,AX$13),15-13*ORÇAMENTO!$AF$7)*OFFSET(ORÇAMENTO!$W$15,ROW(AX561)-ROW(AX$15),0),15-13*ORÇAMENTO!$AF$11)),0)</f>
        <v>0</v>
      </c>
      <c r="AY561" s="545">
        <f ca="1">IF(AND($D561="Serviço",AY$12&lt;&gt;0,$H561&gt;0,OR(AUTOEVENTO&lt;&gt;"manual",$M561&lt;&gt;1)),
IF(Import.TipoArredondamento&lt;&gt;"TransfereGOV",
ROUND(OFFSET($P561,0,AY$13),15-13*ORÇAMENTO!$AF$7)/$H561*OFFSET(ORÇAMENTO!$X$15,ROW(AY561)-ROW(AY$15),0),
ROUND(ROUND(OFFSET($P561,0,AY$13),15-13*ORÇAMENTO!$AF$7)*OFFSET(ORÇAMENTO!$W$15,ROW(AY561)-ROW(AY$15),0),15-13*ORÇAMENTO!$AF$11)),0)</f>
        <v>0</v>
      </c>
      <c r="AZ561" s="545">
        <f ca="1">IF(AND($D561="Serviço",AZ$12&lt;&gt;0,$H561&gt;0,OR(AUTOEVENTO&lt;&gt;"manual",$M561&lt;&gt;1)),
IF(Import.TipoArredondamento&lt;&gt;"TransfereGOV",
ROUND(OFFSET($P561,0,AZ$13),15-13*ORÇAMENTO!$AF$7)/$H561*OFFSET(ORÇAMENTO!$X$15,ROW(AZ561)-ROW(AZ$15),0),
ROUND(ROUND(OFFSET($P561,0,AZ$13),15-13*ORÇAMENTO!$AF$7)*OFFSET(ORÇAMENTO!$W$15,ROW(AZ561)-ROW(AZ$15),0),15-13*ORÇAMENTO!$AF$11)),0)</f>
        <v>0</v>
      </c>
      <c r="BA561" s="546">
        <f ca="1">IF(AND($D561="Serviço",BA$12&lt;&gt;0,$H561&gt;0,OR(AUTOEVENTO&lt;&gt;"manual",$M561&lt;&gt;1)),
IF(Import.TipoArredondamento&lt;&gt;"TransfereGOV",
ROUND(OFFSET($P561,0,BA$13),15-13*ORÇAMENTO!$AF$7)/$H561*OFFSET(ORÇAMENTO!$X$15,ROW(BA561)-ROW(BA$15),0),
ROUND(ROUND(OFFSET($P561,0,BA$13),15-13*ORÇAMENTO!$AF$7)*OFFSET(ORÇAMENTO!$W$15,ROW(BA561)-ROW(BA$15),0),15-13*ORÇAMENTO!$AF$11)),0)</f>
        <v>0</v>
      </c>
      <c r="BC561" s="181">
        <f ca="1">IF($D561&lt;&gt;"Serviço",0,IF(AND(AUTOEVENTO="Manual",$M561=1),0,IF(OFFSET(CRONOPLE!$F$14,$M561,BC$13)="",10^12,OFFSET(CRONOPLE!$F$14,$M561,BC$13))))</f>
        <v>10</v>
      </c>
      <c r="BD561" s="181">
        <f ca="1">IF($D561&lt;&gt;"Serviço",0,IF(AND(AUTOEVENTO="Manual",$M561=1),0,IF(OFFSET(CRONOPLE!$F$14,$M561,BD$13)="",10^12,OFFSET(CRONOPLE!$F$14,$M561,BD$13))))</f>
        <v>1000000000000</v>
      </c>
      <c r="BE561" s="181">
        <f ca="1">IF($D561&lt;&gt;"Serviço",0,IF(AND(AUTOEVENTO="Manual",$M561=1),0,IF(OFFSET(CRONOPLE!$F$14,$M561,BE$13)="",10^12,OFFSET(CRONOPLE!$F$14,$M561,BE$13))))</f>
        <v>1000000000000</v>
      </c>
      <c r="BF561" s="181">
        <f ca="1">IF($D561&lt;&gt;"Serviço",0,IF(AND(AUTOEVENTO="Manual",$M561=1),0,IF(OFFSET(CRONOPLE!$F$14,$M561,BF$13)="",10^12,OFFSET(CRONOPLE!$F$14,$M561,BF$13))))</f>
        <v>1000000000000</v>
      </c>
      <c r="BG561" s="181">
        <f ca="1">IF($D561&lt;&gt;"Serviço",0,IF(AND(AUTOEVENTO="Manual",$M561=1),0,IF(OFFSET(CRONOPLE!$F$14,$M561,BG$13)="",10^12,OFFSET(CRONOPLE!$F$14,$M561,BG$13))))</f>
        <v>1000000000000</v>
      </c>
      <c r="BH561" s="181">
        <f ca="1">IF($D561&lt;&gt;"Serviço",0,IF(AND(AUTOEVENTO="Manual",$M561=1),0,IF(OFFSET(CRONOPLE!$F$14,$M561,BH$13)="",10^12,OFFSET(CRONOPLE!$F$14,$M561,BH$13))))</f>
        <v>1000000000000</v>
      </c>
      <c r="BI561" s="181">
        <f ca="1">IF($D561&lt;&gt;"Serviço",0,IF(AND(AUTOEVENTO="Manual",$M561=1),0,IF(OFFSET(CRONOPLE!$F$14,$M561,BI$13)="",10^12,OFFSET(CRONOPLE!$F$14,$M561,BI$13))))</f>
        <v>1000000000000</v>
      </c>
      <c r="BJ561" s="181">
        <f ca="1">IF($D561&lt;&gt;"Serviço",0,IF(AND(AUTOEVENTO="Manual",$M561=1),0,IF(OFFSET(CRONOPLE!$F$14,$M561,BJ$13)="",10^12,OFFSET(CRONOPLE!$F$14,$M561,BJ$13))))</f>
        <v>1000000000000</v>
      </c>
      <c r="BK561" s="181">
        <f ca="1">IF($D561&lt;&gt;"Serviço",0,IF(AND(AUTOEVENTO="Manual",$M561=1),0,IF(OFFSET(CRONOPLE!$F$14,$M561,BK$13)="",10^12,OFFSET(CRONOPLE!$F$14,$M561,BK$13))))</f>
        <v>1000000000000</v>
      </c>
      <c r="BL561" s="181">
        <f ca="1">IF($D561&lt;&gt;"Serviço",0,IF(AND(AUTOEVENTO="Manual",$M561=1),0,IF(OFFSET(CRONOPLE!$F$14,$M561,BL$13)="",10^12,OFFSET(CRONOPLE!$F$14,$M561,BL$13))))</f>
        <v>1000000000000</v>
      </c>
      <c r="BM561" s="181">
        <f ca="1">IF($D561&lt;&gt;"Serviço",0,IF(AND(AUTOEVENTO="Manual",$M561=1),0,IF(OFFSET(CRONOPLE!$F$14,$M561,BM$13)="",10^12,OFFSET(CRONOPLE!$F$14,$M561,BM$13))))</f>
        <v>1000000000000</v>
      </c>
      <c r="BN561" s="181">
        <f ca="1">IF($D561&lt;&gt;"Serviço",0,IF(AND(AUTOEVENTO="Manual",$M561=1),0,IF(OFFSET(CRONOPLE!$F$14,$M561,BN$13)="",10^12,OFFSET(CRONOPLE!$F$14,$M561,BN$13))))</f>
        <v>1000000000000</v>
      </c>
      <c r="BO561" s="181">
        <f ca="1">IF($D561&lt;&gt;"Serviço",0,IF(AND(AUTOEVENTO="Manual",$M561=1),0,IF(OFFSET(CRONOPLE!$F$14,$M561,BO$13)="",10^12,OFFSET(CRONOPLE!$F$14,$M561,BO$13))))</f>
        <v>1000000000000</v>
      </c>
      <c r="BP561" s="181">
        <f ca="1">IF($D561&lt;&gt;"Serviço",0,IF(AND(AUTOEVENTO="Manual",$M561=1),0,IF(OFFSET(CRONOPLE!$F$14,$M561,BP$13)="",10^12,OFFSET(CRONOPLE!$F$14,$M561,BP$13))))</f>
        <v>1000000000000</v>
      </c>
      <c r="BQ561" s="181">
        <f ca="1">IF($D561&lt;&gt;"Serviço",0,IF(AND(AUTOEVENTO="Manual",$M561=1),0,IF(OFFSET(CRONOPLE!$F$14,$M561,BQ$13)="",10^12,OFFSET(CRONOPLE!$F$14,$M561,BQ$13))))</f>
        <v>1000000000000</v>
      </c>
      <c r="BR561" s="181">
        <f ca="1">IF($D561&lt;&gt;"Serviço",0,IF(AND(AUTOEVENTO="Manual",$M561=1),0,IF(OFFSET(CRONOPLE!$F$14,$M561,BR$13)="",10^12,OFFSET(CRONOPLE!$F$14,$M561,BR$13))))</f>
        <v>1000000000000</v>
      </c>
      <c r="BS561" s="181">
        <f ca="1">IF($D561&lt;&gt;"Serviço",0,IF(AND(AUTOEVENTO="Manual",$M561=1),0,IF(OFFSET(CRONOPLE!$F$14,$M561,BS$13)="",10^12,OFFSET(CRONOPLE!$F$14,$M561,BS$13))))</f>
        <v>1000000000000</v>
      </c>
      <c r="BT561" s="181">
        <f ca="1">IF($D561&lt;&gt;"Serviço",0,IF(AND(AUTOEVENTO="Manual",$M561=1),0,IF(OFFSET(CRONOPLE!$F$14,$M561,BT$13)="",10^12,OFFSET(CRONOPLE!$F$14,$M561,BT$13))))</f>
        <v>1000000000000</v>
      </c>
      <c r="BV561" s="182">
        <f ca="1">IF($D561&lt;&gt;"Serviço",0,IF(OR(AND(AUTOEVENTO="Manual",$M561=1),$M561&gt;(ROW(PLE.lastrow)-ROW(PLE.firstrow))),0,IF(OFFSET(PLE!$G$14,$M561,BV$13)="",10^12,OFFSET(PLE!$G$14,$M561,BV$13))))</f>
        <v>1000000000000</v>
      </c>
      <c r="BW561" s="182">
        <f ca="1">IF($D561&lt;&gt;"Serviço",0,IF(OR(AND(AUTOEVENTO="Manual",$M561=1),$M561&gt;(ROW(PLE.lastrow)-ROW(PLE.firstrow))),0,IF(OFFSET(PLE!$G$14,$M561,BW$13)="",10^12,OFFSET(PLE!$G$14,$M561,BW$13))))</f>
        <v>1000000000000</v>
      </c>
      <c r="BX561" s="182">
        <f ca="1">IF($D561&lt;&gt;"Serviço",0,IF(OR(AND(AUTOEVENTO="Manual",$M561=1),$M561&gt;(ROW(PLE.lastrow)-ROW(PLE.firstrow))),0,IF(OFFSET(PLE!$G$14,$M561,BX$13)="",10^12,OFFSET(PLE!$G$14,$M561,BX$13))))</f>
        <v>1000000000000</v>
      </c>
      <c r="BY561" s="182">
        <f ca="1">IF($D561&lt;&gt;"Serviço",0,IF(OR(AND(AUTOEVENTO="Manual",$M561=1),$M561&gt;(ROW(PLE.lastrow)-ROW(PLE.firstrow))),0,IF(OFFSET(PLE!$G$14,$M561,BY$13)="",10^12,OFFSET(PLE!$G$14,$M561,BY$13))))</f>
        <v>1000000000000</v>
      </c>
      <c r="BZ561" s="182">
        <f ca="1">IF($D561&lt;&gt;"Serviço",0,IF(OR(AND(AUTOEVENTO="Manual",$M561=1),$M561&gt;(ROW(PLE.lastrow)-ROW(PLE.firstrow))),0,IF(OFFSET(PLE!$G$14,$M561,BZ$13)="",10^12,OFFSET(PLE!$G$14,$M561,BZ$13))))</f>
        <v>1000000000000</v>
      </c>
      <c r="CA561" s="182">
        <f ca="1">IF($D561&lt;&gt;"Serviço",0,IF(OR(AND(AUTOEVENTO="Manual",$M561=1),$M561&gt;(ROW(PLE.lastrow)-ROW(PLE.firstrow))),0,IF(OFFSET(PLE!$G$14,$M561,CA$13)="",10^12,OFFSET(PLE!$G$14,$M561,CA$13))))</f>
        <v>1000000000000</v>
      </c>
      <c r="CB561" s="182">
        <f ca="1">IF($D561&lt;&gt;"Serviço",0,IF(OR(AND(AUTOEVENTO="Manual",$M561=1),$M561&gt;(ROW(PLE.lastrow)-ROW(PLE.firstrow))),0,IF(OFFSET(PLE!$G$14,$M561,CB$13)="",10^12,OFFSET(PLE!$G$14,$M561,CB$13))))</f>
        <v>1000000000000</v>
      </c>
      <c r="CC561" s="182">
        <f ca="1">IF($D561&lt;&gt;"Serviço",0,IF(OR(AND(AUTOEVENTO="Manual",$M561=1),$M561&gt;(ROW(PLE.lastrow)-ROW(PLE.firstrow))),0,IF(OFFSET(PLE!$G$14,$M561,CC$13)="",10^12,OFFSET(PLE!$G$14,$M561,CC$13))))</f>
        <v>1000000000000</v>
      </c>
      <c r="CD561" s="182">
        <f ca="1">IF($D561&lt;&gt;"Serviço",0,IF(OR(AND(AUTOEVENTO="Manual",$M561=1),$M561&gt;(ROW(PLE.lastrow)-ROW(PLE.firstrow))),0,IF(OFFSET(PLE!$G$14,$M561,CD$13)="",10^12,OFFSET(PLE!$G$14,$M561,CD$13))))</f>
        <v>1000000000000</v>
      </c>
      <c r="CE561" s="182">
        <f ca="1">IF($D561&lt;&gt;"Serviço",0,IF(OR(AND(AUTOEVENTO="Manual",$M561=1),$M561&gt;(ROW(PLE.lastrow)-ROW(PLE.firstrow))),0,IF(OFFSET(PLE!$G$14,$M561,CE$13)="",10^12,OFFSET(PLE!$G$14,$M561,CE$13))))</f>
        <v>1000000000000</v>
      </c>
      <c r="CF561" s="182">
        <f ca="1">IF($D561&lt;&gt;"Serviço",0,IF(OR(AND(AUTOEVENTO="Manual",$M561=1),$M561&gt;(ROW(PLE.lastrow)-ROW(PLE.firstrow))),0,IF(OFFSET(PLE!$G$14,$M561,CF$13)="",10^12,OFFSET(PLE!$G$14,$M561,CF$13))))</f>
        <v>1000000000000</v>
      </c>
      <c r="CG561" s="182">
        <f ca="1">IF($D561&lt;&gt;"Serviço",0,IF(OR(AND(AUTOEVENTO="Manual",$M561=1),$M561&gt;(ROW(PLE.lastrow)-ROW(PLE.firstrow))),0,IF(OFFSET(PLE!$G$14,$M561,CG$13)="",10^12,OFFSET(PLE!$G$14,$M561,CG$13))))</f>
        <v>1000000000000</v>
      </c>
      <c r="CH561" s="182">
        <f ca="1">IF($D561&lt;&gt;"Serviço",0,IF(OR(AND(AUTOEVENTO="Manual",$M561=1),$M561&gt;(ROW(PLE.lastrow)-ROW(PLE.firstrow))),0,IF(OFFSET(PLE!$G$14,$M561,CH$13)="",10^12,OFFSET(PLE!$G$14,$M561,CH$13))))</f>
        <v>1000000000000</v>
      </c>
      <c r="CI561" s="182">
        <f ca="1">IF($D561&lt;&gt;"Serviço",0,IF(OR(AND(AUTOEVENTO="Manual",$M561=1),$M561&gt;(ROW(PLE.lastrow)-ROW(PLE.firstrow))),0,IF(OFFSET(PLE!$G$14,$M561,CI$13)="",10^12,OFFSET(PLE!$G$14,$M561,CI$13))))</f>
        <v>1000000000000</v>
      </c>
      <c r="CJ561" s="182">
        <f ca="1">IF($D561&lt;&gt;"Serviço",0,IF(OR(AND(AUTOEVENTO="Manual",$M561=1),$M561&gt;(ROW(PLE.lastrow)-ROW(PLE.firstrow))),0,IF(OFFSET(PLE!$G$14,$M561,CJ$13)="",10^12,OFFSET(PLE!$G$14,$M561,CJ$13))))</f>
        <v>1000000000000</v>
      </c>
      <c r="CK561" s="182">
        <f ca="1">IF($D561&lt;&gt;"Serviço",0,IF(OR(AND(AUTOEVENTO="Manual",$M561=1),$M561&gt;(ROW(PLE.lastrow)-ROW(PLE.firstrow))),0,IF(OFFSET(PLE!$G$14,$M561,CK$13)="",10^12,OFFSET(PLE!$G$14,$M561,CK$13))))</f>
        <v>1000000000000</v>
      </c>
      <c r="CL561" s="182">
        <f ca="1">IF($D561&lt;&gt;"Serviço",0,IF(OR(AND(AUTOEVENTO="Manual",$M561=1),$M561&gt;(ROW(PLE.lastrow)-ROW(PLE.firstrow))),0,IF(OFFSET(PLE!$G$14,$M561,CL$13)="",10^12,OFFSET(PLE!$G$14,$M561,CL$13))))</f>
        <v>1000000000000</v>
      </c>
      <c r="CM561" s="182">
        <f ca="1">IF($D561&lt;&gt;"Serviço",0,IF(OR(AND(AUTOEVENTO="Manual",$M561=1),$M561&gt;(ROW(PLE.lastrow)-ROW(PLE.firstrow))),0,IF(OFFSET(PLE!$G$14,$M561,CM$13)="",10^12,OFFSET(PLE!$G$14,$M561,CM$13))))</f>
        <v>1000000000000</v>
      </c>
    </row>
    <row r="562" spans="1:91" ht="25.5" x14ac:dyDescent="0.2">
      <c r="A562" s="7" t="str">
        <f t="shared" ca="1" si="17"/>
        <v>528</v>
      </c>
      <c r="B562" s="7" t="str">
        <f ca="1">OFFSET(ORÇAMENTO!C$15,ROW(B562)-ROW(B$15),0)</f>
        <v>S</v>
      </c>
      <c r="C562" s="7" t="str">
        <f ca="1">OFFSET(ORÇAMENTO!L$15,ROW(C562)-ROW(C$15),0)</f>
        <v/>
      </c>
      <c r="D562" s="118" t="str">
        <f ca="1">OFFSET(ORÇAMENTO!N$15,ROW(D562)-ROW(D$15),0)</f>
        <v>Serviço</v>
      </c>
      <c r="E562" s="119" t="str">
        <f ca="1">OFFSET(ORÇAMENTO!O$15,ROW(E562)-ROW(E$15),0)</f>
        <v>-</v>
      </c>
      <c r="F562" s="172" t="str">
        <f ca="1">OFFSET(ORÇAMENTO!R$15,ROW(F562)-ROW(F$15),0)</f>
        <v>(abra o arquivo 'Referência 06-2024.xlsm)</v>
      </c>
      <c r="G562" s="173" t="str">
        <f ca="1">IF($D562&lt;&gt;"Serviço","",OFFSET(ORÇAMENTO!S$15,ROW(G562)-ROW(G$15),0))</f>
        <v>-</v>
      </c>
      <c r="H562" s="124">
        <f ca="1">IF($D562&lt;&gt;"Serviço",0,IF(ACOMPANHAMENTO="BM",ROUND(OFFSET(ORÇAMENTO!AJ$15,ROW(H562)-ROW(H$15),0),15-13*ORÇAMENTO!$AF$7),SUMPRODUCT(($Q$12:$AI$12&lt;&gt;"")*ROUND($Q562:$AI562,15-13*ORÇAMENTO!$AF$7))))</f>
        <v>2</v>
      </c>
      <c r="I562" s="561" t="s">
        <v>1107</v>
      </c>
      <c r="K562" s="174"/>
      <c r="L562" s="175" t="s">
        <v>255</v>
      </c>
      <c r="M562" s="176">
        <f ca="1">IF($D562&lt;&gt;"Serviço","",IF(AUTOEVENTO="manual",$A562,IF(ISERROR(MATCH($A562,$A$15:OFFSET($A562,-1,0),0)),MAX($M$15:OFFSET(M562,-1,0))+1,INDEX($M$15:OFFSET(M562,-1,0),MATCH($A562,$A$15:OFFSET($A562,-1,0),0)))))</f>
        <v>57</v>
      </c>
      <c r="N562" s="177" t="str">
        <f ca="1">IF($D562&lt;&gt;"Serviço","",IF(AUTOEVENTO="Manual",IF($A562=0,"&lt;-- defina o número do agrupador",OFFSET(EVENTOS!$D$14,$A562,0)),OFFSET($F$15,$A562,0)))</f>
        <v>INSTALAÇÃO ELÉTRICA 110V - DISPOSITIVOS DE PROTEÇÃO</v>
      </c>
      <c r="O562" s="178"/>
      <c r="Q562" s="178">
        <v>2</v>
      </c>
      <c r="R562" s="179"/>
      <c r="S562" s="179"/>
      <c r="T562" s="179"/>
      <c r="U562" s="179"/>
      <c r="V562" s="179"/>
      <c r="W562" s="179"/>
      <c r="X562" s="179"/>
      <c r="Y562" s="179"/>
      <c r="Z562" s="180"/>
      <c r="AA562" s="179"/>
      <c r="AB562" s="179"/>
      <c r="AC562" s="179"/>
      <c r="AD562" s="179"/>
      <c r="AE562" s="179"/>
      <c r="AF562" s="179"/>
      <c r="AG562" s="179"/>
      <c r="AH562" s="180"/>
      <c r="AJ562" s="544">
        <f ca="1">IF(AND($D562="Serviço",AJ$12&lt;&gt;0,$H562&gt;0,OR(AUTOEVENTO&lt;&gt;"manual",$M562&lt;&gt;1)),
IF(Import.TipoArredondamento&lt;&gt;"TransfereGOV",
ROUND(OFFSET($P562,0,AJ$13),15-13*ORÇAMENTO!$AF$7)/$H562*OFFSET(ORÇAMENTO!$X$15,ROW(AJ562)-ROW(AJ$15),0),
ROUND(ROUND(OFFSET($P562,0,AJ$13),15-13*ORÇAMENTO!$AF$7)*OFFSET(ORÇAMENTO!$W$15,ROW(AJ562)-ROW(AJ$15),0),15-13*ORÇAMENTO!$AF$11)),0)</f>
        <v>0</v>
      </c>
      <c r="AK562" s="545">
        <f ca="1">IF(AND($D562="Serviço",AK$12&lt;&gt;0,$H562&gt;0,OR(AUTOEVENTO&lt;&gt;"manual",$M562&lt;&gt;1)),
IF(Import.TipoArredondamento&lt;&gt;"TransfereGOV",
ROUND(OFFSET($P562,0,AK$13),15-13*ORÇAMENTO!$AF$7)/$H562*OFFSET(ORÇAMENTO!$X$15,ROW(AK562)-ROW(AK$15),0),
ROUND(ROUND(OFFSET($P562,0,AK$13),15-13*ORÇAMENTO!$AF$7)*OFFSET(ORÇAMENTO!$W$15,ROW(AK562)-ROW(AK$15),0),15-13*ORÇAMENTO!$AF$11)),0)</f>
        <v>0</v>
      </c>
      <c r="AL562" s="545">
        <f ca="1">IF(AND($D562="Serviço",AL$12&lt;&gt;0,$H562&gt;0,OR(AUTOEVENTO&lt;&gt;"manual",$M562&lt;&gt;1)),
IF(Import.TipoArredondamento&lt;&gt;"TransfereGOV",
ROUND(OFFSET($P562,0,AL$13),15-13*ORÇAMENTO!$AF$7)/$H562*OFFSET(ORÇAMENTO!$X$15,ROW(AL562)-ROW(AL$15),0),
ROUND(ROUND(OFFSET($P562,0,AL$13),15-13*ORÇAMENTO!$AF$7)*OFFSET(ORÇAMENTO!$W$15,ROW(AL562)-ROW(AL$15),0),15-13*ORÇAMENTO!$AF$11)),0)</f>
        <v>0</v>
      </c>
      <c r="AM562" s="545">
        <f ca="1">IF(AND($D562="Serviço",AM$12&lt;&gt;0,$H562&gt;0,OR(AUTOEVENTO&lt;&gt;"manual",$M562&lt;&gt;1)),
IF(Import.TipoArredondamento&lt;&gt;"TransfereGOV",
ROUND(OFFSET($P562,0,AM$13),15-13*ORÇAMENTO!$AF$7)/$H562*OFFSET(ORÇAMENTO!$X$15,ROW(AM562)-ROW(AM$15),0),
ROUND(ROUND(OFFSET($P562,0,AM$13),15-13*ORÇAMENTO!$AF$7)*OFFSET(ORÇAMENTO!$W$15,ROW(AM562)-ROW(AM$15),0),15-13*ORÇAMENTO!$AF$11)),0)</f>
        <v>0</v>
      </c>
      <c r="AN562" s="545">
        <f ca="1">IF(AND($D562="Serviço",AN$12&lt;&gt;0,$H562&gt;0,OR(AUTOEVENTO&lt;&gt;"manual",$M562&lt;&gt;1)),
IF(Import.TipoArredondamento&lt;&gt;"TransfereGOV",
ROUND(OFFSET($P562,0,AN$13),15-13*ORÇAMENTO!$AF$7)/$H562*OFFSET(ORÇAMENTO!$X$15,ROW(AN562)-ROW(AN$15),0),
ROUND(ROUND(OFFSET($P562,0,AN$13),15-13*ORÇAMENTO!$AF$7)*OFFSET(ORÇAMENTO!$W$15,ROW(AN562)-ROW(AN$15),0),15-13*ORÇAMENTO!$AF$11)),0)</f>
        <v>0</v>
      </c>
      <c r="AO562" s="545">
        <f ca="1">IF(AND($D562="Serviço",AO$12&lt;&gt;0,$H562&gt;0,OR(AUTOEVENTO&lt;&gt;"manual",$M562&lt;&gt;1)),
IF(Import.TipoArredondamento&lt;&gt;"TransfereGOV",
ROUND(OFFSET($P562,0,AO$13),15-13*ORÇAMENTO!$AF$7)/$H562*OFFSET(ORÇAMENTO!$X$15,ROW(AO562)-ROW(AO$15),0),
ROUND(ROUND(OFFSET($P562,0,AO$13),15-13*ORÇAMENTO!$AF$7)*OFFSET(ORÇAMENTO!$W$15,ROW(AO562)-ROW(AO$15),0),15-13*ORÇAMENTO!$AF$11)),0)</f>
        <v>0</v>
      </c>
      <c r="AP562" s="545">
        <f ca="1">IF(AND($D562="Serviço",AP$12&lt;&gt;0,$H562&gt;0,OR(AUTOEVENTO&lt;&gt;"manual",$M562&lt;&gt;1)),
IF(Import.TipoArredondamento&lt;&gt;"TransfereGOV",
ROUND(OFFSET($P562,0,AP$13),15-13*ORÇAMENTO!$AF$7)/$H562*OFFSET(ORÇAMENTO!$X$15,ROW(AP562)-ROW(AP$15),0),
ROUND(ROUND(OFFSET($P562,0,AP$13),15-13*ORÇAMENTO!$AF$7)*OFFSET(ORÇAMENTO!$W$15,ROW(AP562)-ROW(AP$15),0),15-13*ORÇAMENTO!$AF$11)),0)</f>
        <v>0</v>
      </c>
      <c r="AQ562" s="545">
        <f ca="1">IF(AND($D562="Serviço",AQ$12&lt;&gt;0,$H562&gt;0,OR(AUTOEVENTO&lt;&gt;"manual",$M562&lt;&gt;1)),
IF(Import.TipoArredondamento&lt;&gt;"TransfereGOV",
ROUND(OFFSET($P562,0,AQ$13),15-13*ORÇAMENTO!$AF$7)/$H562*OFFSET(ORÇAMENTO!$X$15,ROW(AQ562)-ROW(AQ$15),0),
ROUND(ROUND(OFFSET($P562,0,AQ$13),15-13*ORÇAMENTO!$AF$7)*OFFSET(ORÇAMENTO!$W$15,ROW(AQ562)-ROW(AQ$15),0),15-13*ORÇAMENTO!$AF$11)),0)</f>
        <v>0</v>
      </c>
      <c r="AR562" s="545">
        <f ca="1">IF(AND($D562="Serviço",AR$12&lt;&gt;0,$H562&gt;0,OR(AUTOEVENTO&lt;&gt;"manual",$M562&lt;&gt;1)),
IF(Import.TipoArredondamento&lt;&gt;"TransfereGOV",
ROUND(OFFSET($P562,0,AR$13),15-13*ORÇAMENTO!$AF$7)/$H562*OFFSET(ORÇAMENTO!$X$15,ROW(AR562)-ROW(AR$15),0),
ROUND(ROUND(OFFSET($P562,0,AR$13),15-13*ORÇAMENTO!$AF$7)*OFFSET(ORÇAMENTO!$W$15,ROW(AR562)-ROW(AR$15),0),15-13*ORÇAMENTO!$AF$11)),0)</f>
        <v>0</v>
      </c>
      <c r="AS562" s="546">
        <f ca="1">IF(AND($D562="Serviço",AS$12&lt;&gt;0,$H562&gt;0,OR(AUTOEVENTO&lt;&gt;"manual",$M562&lt;&gt;1)),
IF(Import.TipoArredondamento&lt;&gt;"TransfereGOV",
ROUND(OFFSET($P562,0,AS$13),15-13*ORÇAMENTO!$AF$7)/$H562*OFFSET(ORÇAMENTO!$X$15,ROW(AS562)-ROW(AS$15),0),
ROUND(ROUND(OFFSET($P562,0,AS$13),15-13*ORÇAMENTO!$AF$7)*OFFSET(ORÇAMENTO!$W$15,ROW(AS562)-ROW(AS$15),0),15-13*ORÇAMENTO!$AF$11)),0)</f>
        <v>0</v>
      </c>
      <c r="AT562" s="545">
        <f ca="1">IF(AND($D562="Serviço",AT$12&lt;&gt;0,$H562&gt;0,OR(AUTOEVENTO&lt;&gt;"manual",$M562&lt;&gt;1)),
IF(Import.TipoArredondamento&lt;&gt;"TransfereGOV",
ROUND(OFFSET($P562,0,AT$13),15-13*ORÇAMENTO!$AF$7)/$H562*OFFSET(ORÇAMENTO!$X$15,ROW(AT562)-ROW(AT$15),0),
ROUND(ROUND(OFFSET($P562,0,AT$13),15-13*ORÇAMENTO!$AF$7)*OFFSET(ORÇAMENTO!$W$15,ROW(AT562)-ROW(AT$15),0),15-13*ORÇAMENTO!$AF$11)),0)</f>
        <v>0</v>
      </c>
      <c r="AU562" s="545">
        <f ca="1">IF(AND($D562="Serviço",AU$12&lt;&gt;0,$H562&gt;0,OR(AUTOEVENTO&lt;&gt;"manual",$M562&lt;&gt;1)),
IF(Import.TipoArredondamento&lt;&gt;"TransfereGOV",
ROUND(OFFSET($P562,0,AU$13),15-13*ORÇAMENTO!$AF$7)/$H562*OFFSET(ORÇAMENTO!$X$15,ROW(AU562)-ROW(AU$15),0),
ROUND(ROUND(OFFSET($P562,0,AU$13),15-13*ORÇAMENTO!$AF$7)*OFFSET(ORÇAMENTO!$W$15,ROW(AU562)-ROW(AU$15),0),15-13*ORÇAMENTO!$AF$11)),0)</f>
        <v>0</v>
      </c>
      <c r="AV562" s="545">
        <f ca="1">IF(AND($D562="Serviço",AV$12&lt;&gt;0,$H562&gt;0,OR(AUTOEVENTO&lt;&gt;"manual",$M562&lt;&gt;1)),
IF(Import.TipoArredondamento&lt;&gt;"TransfereGOV",
ROUND(OFFSET($P562,0,AV$13),15-13*ORÇAMENTO!$AF$7)/$H562*OFFSET(ORÇAMENTO!$X$15,ROW(AV562)-ROW(AV$15),0),
ROUND(ROUND(OFFSET($P562,0,AV$13),15-13*ORÇAMENTO!$AF$7)*OFFSET(ORÇAMENTO!$W$15,ROW(AV562)-ROW(AV$15),0),15-13*ORÇAMENTO!$AF$11)),0)</f>
        <v>0</v>
      </c>
      <c r="AW562" s="545">
        <f ca="1">IF(AND($D562="Serviço",AW$12&lt;&gt;0,$H562&gt;0,OR(AUTOEVENTO&lt;&gt;"manual",$M562&lt;&gt;1)),
IF(Import.TipoArredondamento&lt;&gt;"TransfereGOV",
ROUND(OFFSET($P562,0,AW$13),15-13*ORÇAMENTO!$AF$7)/$H562*OFFSET(ORÇAMENTO!$X$15,ROW(AW562)-ROW(AW$15),0),
ROUND(ROUND(OFFSET($P562,0,AW$13),15-13*ORÇAMENTO!$AF$7)*OFFSET(ORÇAMENTO!$W$15,ROW(AW562)-ROW(AW$15),0),15-13*ORÇAMENTO!$AF$11)),0)</f>
        <v>0</v>
      </c>
      <c r="AX562" s="545">
        <f ca="1">IF(AND($D562="Serviço",AX$12&lt;&gt;0,$H562&gt;0,OR(AUTOEVENTO&lt;&gt;"manual",$M562&lt;&gt;1)),
IF(Import.TipoArredondamento&lt;&gt;"TransfereGOV",
ROUND(OFFSET($P562,0,AX$13),15-13*ORÇAMENTO!$AF$7)/$H562*OFFSET(ORÇAMENTO!$X$15,ROW(AX562)-ROW(AX$15),0),
ROUND(ROUND(OFFSET($P562,0,AX$13),15-13*ORÇAMENTO!$AF$7)*OFFSET(ORÇAMENTO!$W$15,ROW(AX562)-ROW(AX$15),0),15-13*ORÇAMENTO!$AF$11)),0)</f>
        <v>0</v>
      </c>
      <c r="AY562" s="545">
        <f ca="1">IF(AND($D562="Serviço",AY$12&lt;&gt;0,$H562&gt;0,OR(AUTOEVENTO&lt;&gt;"manual",$M562&lt;&gt;1)),
IF(Import.TipoArredondamento&lt;&gt;"TransfereGOV",
ROUND(OFFSET($P562,0,AY$13),15-13*ORÇAMENTO!$AF$7)/$H562*OFFSET(ORÇAMENTO!$X$15,ROW(AY562)-ROW(AY$15),0),
ROUND(ROUND(OFFSET($P562,0,AY$13),15-13*ORÇAMENTO!$AF$7)*OFFSET(ORÇAMENTO!$W$15,ROW(AY562)-ROW(AY$15),0),15-13*ORÇAMENTO!$AF$11)),0)</f>
        <v>0</v>
      </c>
      <c r="AZ562" s="545">
        <f ca="1">IF(AND($D562="Serviço",AZ$12&lt;&gt;0,$H562&gt;0,OR(AUTOEVENTO&lt;&gt;"manual",$M562&lt;&gt;1)),
IF(Import.TipoArredondamento&lt;&gt;"TransfereGOV",
ROUND(OFFSET($P562,0,AZ$13),15-13*ORÇAMENTO!$AF$7)/$H562*OFFSET(ORÇAMENTO!$X$15,ROW(AZ562)-ROW(AZ$15),0),
ROUND(ROUND(OFFSET($P562,0,AZ$13),15-13*ORÇAMENTO!$AF$7)*OFFSET(ORÇAMENTO!$W$15,ROW(AZ562)-ROW(AZ$15),0),15-13*ORÇAMENTO!$AF$11)),0)</f>
        <v>0</v>
      </c>
      <c r="BA562" s="546">
        <f ca="1">IF(AND($D562="Serviço",BA$12&lt;&gt;0,$H562&gt;0,OR(AUTOEVENTO&lt;&gt;"manual",$M562&lt;&gt;1)),
IF(Import.TipoArredondamento&lt;&gt;"TransfereGOV",
ROUND(OFFSET($P562,0,BA$13),15-13*ORÇAMENTO!$AF$7)/$H562*OFFSET(ORÇAMENTO!$X$15,ROW(BA562)-ROW(BA$15),0),
ROUND(ROUND(OFFSET($P562,0,BA$13),15-13*ORÇAMENTO!$AF$7)*OFFSET(ORÇAMENTO!$W$15,ROW(BA562)-ROW(BA$15),0),15-13*ORÇAMENTO!$AF$11)),0)</f>
        <v>0</v>
      </c>
      <c r="BC562" s="181">
        <f ca="1">IF($D562&lt;&gt;"Serviço",0,IF(AND(AUTOEVENTO="Manual",$M562=1),0,IF(OFFSET(CRONOPLE!$F$14,$M562,BC$13)="",10^12,OFFSET(CRONOPLE!$F$14,$M562,BC$13))))</f>
        <v>10</v>
      </c>
      <c r="BD562" s="181">
        <f ca="1">IF($D562&lt;&gt;"Serviço",0,IF(AND(AUTOEVENTO="Manual",$M562=1),0,IF(OFFSET(CRONOPLE!$F$14,$M562,BD$13)="",10^12,OFFSET(CRONOPLE!$F$14,$M562,BD$13))))</f>
        <v>1000000000000</v>
      </c>
      <c r="BE562" s="181">
        <f ca="1">IF($D562&lt;&gt;"Serviço",0,IF(AND(AUTOEVENTO="Manual",$M562=1),0,IF(OFFSET(CRONOPLE!$F$14,$M562,BE$13)="",10^12,OFFSET(CRONOPLE!$F$14,$M562,BE$13))))</f>
        <v>1000000000000</v>
      </c>
      <c r="BF562" s="181">
        <f ca="1">IF($D562&lt;&gt;"Serviço",0,IF(AND(AUTOEVENTO="Manual",$M562=1),0,IF(OFFSET(CRONOPLE!$F$14,$M562,BF$13)="",10^12,OFFSET(CRONOPLE!$F$14,$M562,BF$13))))</f>
        <v>1000000000000</v>
      </c>
      <c r="BG562" s="181">
        <f ca="1">IF($D562&lt;&gt;"Serviço",0,IF(AND(AUTOEVENTO="Manual",$M562=1),0,IF(OFFSET(CRONOPLE!$F$14,$M562,BG$13)="",10^12,OFFSET(CRONOPLE!$F$14,$M562,BG$13))))</f>
        <v>1000000000000</v>
      </c>
      <c r="BH562" s="181">
        <f ca="1">IF($D562&lt;&gt;"Serviço",0,IF(AND(AUTOEVENTO="Manual",$M562=1),0,IF(OFFSET(CRONOPLE!$F$14,$M562,BH$13)="",10^12,OFFSET(CRONOPLE!$F$14,$M562,BH$13))))</f>
        <v>1000000000000</v>
      </c>
      <c r="BI562" s="181">
        <f ca="1">IF($D562&lt;&gt;"Serviço",0,IF(AND(AUTOEVENTO="Manual",$M562=1),0,IF(OFFSET(CRONOPLE!$F$14,$M562,BI$13)="",10^12,OFFSET(CRONOPLE!$F$14,$M562,BI$13))))</f>
        <v>1000000000000</v>
      </c>
      <c r="BJ562" s="181">
        <f ca="1">IF($D562&lt;&gt;"Serviço",0,IF(AND(AUTOEVENTO="Manual",$M562=1),0,IF(OFFSET(CRONOPLE!$F$14,$M562,BJ$13)="",10^12,OFFSET(CRONOPLE!$F$14,$M562,BJ$13))))</f>
        <v>1000000000000</v>
      </c>
      <c r="BK562" s="181">
        <f ca="1">IF($D562&lt;&gt;"Serviço",0,IF(AND(AUTOEVENTO="Manual",$M562=1),0,IF(OFFSET(CRONOPLE!$F$14,$M562,BK$13)="",10^12,OFFSET(CRONOPLE!$F$14,$M562,BK$13))))</f>
        <v>1000000000000</v>
      </c>
      <c r="BL562" s="181">
        <f ca="1">IF($D562&lt;&gt;"Serviço",0,IF(AND(AUTOEVENTO="Manual",$M562=1),0,IF(OFFSET(CRONOPLE!$F$14,$M562,BL$13)="",10^12,OFFSET(CRONOPLE!$F$14,$M562,BL$13))))</f>
        <v>1000000000000</v>
      </c>
      <c r="BM562" s="181">
        <f ca="1">IF($D562&lt;&gt;"Serviço",0,IF(AND(AUTOEVENTO="Manual",$M562=1),0,IF(OFFSET(CRONOPLE!$F$14,$M562,BM$13)="",10^12,OFFSET(CRONOPLE!$F$14,$M562,BM$13))))</f>
        <v>1000000000000</v>
      </c>
      <c r="BN562" s="181">
        <f ca="1">IF($D562&lt;&gt;"Serviço",0,IF(AND(AUTOEVENTO="Manual",$M562=1),0,IF(OFFSET(CRONOPLE!$F$14,$M562,BN$13)="",10^12,OFFSET(CRONOPLE!$F$14,$M562,BN$13))))</f>
        <v>1000000000000</v>
      </c>
      <c r="BO562" s="181">
        <f ca="1">IF($D562&lt;&gt;"Serviço",0,IF(AND(AUTOEVENTO="Manual",$M562=1),0,IF(OFFSET(CRONOPLE!$F$14,$M562,BO$13)="",10^12,OFFSET(CRONOPLE!$F$14,$M562,BO$13))))</f>
        <v>1000000000000</v>
      </c>
      <c r="BP562" s="181">
        <f ca="1">IF($D562&lt;&gt;"Serviço",0,IF(AND(AUTOEVENTO="Manual",$M562=1),0,IF(OFFSET(CRONOPLE!$F$14,$M562,BP$13)="",10^12,OFFSET(CRONOPLE!$F$14,$M562,BP$13))))</f>
        <v>1000000000000</v>
      </c>
      <c r="BQ562" s="181">
        <f ca="1">IF($D562&lt;&gt;"Serviço",0,IF(AND(AUTOEVENTO="Manual",$M562=1),0,IF(OFFSET(CRONOPLE!$F$14,$M562,BQ$13)="",10^12,OFFSET(CRONOPLE!$F$14,$M562,BQ$13))))</f>
        <v>1000000000000</v>
      </c>
      <c r="BR562" s="181">
        <f ca="1">IF($D562&lt;&gt;"Serviço",0,IF(AND(AUTOEVENTO="Manual",$M562=1),0,IF(OFFSET(CRONOPLE!$F$14,$M562,BR$13)="",10^12,OFFSET(CRONOPLE!$F$14,$M562,BR$13))))</f>
        <v>1000000000000</v>
      </c>
      <c r="BS562" s="181">
        <f ca="1">IF($D562&lt;&gt;"Serviço",0,IF(AND(AUTOEVENTO="Manual",$M562=1),0,IF(OFFSET(CRONOPLE!$F$14,$M562,BS$13)="",10^12,OFFSET(CRONOPLE!$F$14,$M562,BS$13))))</f>
        <v>1000000000000</v>
      </c>
      <c r="BT562" s="181">
        <f ca="1">IF($D562&lt;&gt;"Serviço",0,IF(AND(AUTOEVENTO="Manual",$M562=1),0,IF(OFFSET(CRONOPLE!$F$14,$M562,BT$13)="",10^12,OFFSET(CRONOPLE!$F$14,$M562,BT$13))))</f>
        <v>1000000000000</v>
      </c>
      <c r="BV562" s="182">
        <f ca="1">IF($D562&lt;&gt;"Serviço",0,IF(OR(AND(AUTOEVENTO="Manual",$M562=1),$M562&gt;(ROW(PLE.lastrow)-ROW(PLE.firstrow))),0,IF(OFFSET(PLE!$G$14,$M562,BV$13)="",10^12,OFFSET(PLE!$G$14,$M562,BV$13))))</f>
        <v>1000000000000</v>
      </c>
      <c r="BW562" s="182">
        <f ca="1">IF($D562&lt;&gt;"Serviço",0,IF(OR(AND(AUTOEVENTO="Manual",$M562=1),$M562&gt;(ROW(PLE.lastrow)-ROW(PLE.firstrow))),0,IF(OFFSET(PLE!$G$14,$M562,BW$13)="",10^12,OFFSET(PLE!$G$14,$M562,BW$13))))</f>
        <v>1000000000000</v>
      </c>
      <c r="BX562" s="182">
        <f ca="1">IF($D562&lt;&gt;"Serviço",0,IF(OR(AND(AUTOEVENTO="Manual",$M562=1),$M562&gt;(ROW(PLE.lastrow)-ROW(PLE.firstrow))),0,IF(OFFSET(PLE!$G$14,$M562,BX$13)="",10^12,OFFSET(PLE!$G$14,$M562,BX$13))))</f>
        <v>1000000000000</v>
      </c>
      <c r="BY562" s="182">
        <f ca="1">IF($D562&lt;&gt;"Serviço",0,IF(OR(AND(AUTOEVENTO="Manual",$M562=1),$M562&gt;(ROW(PLE.lastrow)-ROW(PLE.firstrow))),0,IF(OFFSET(PLE!$G$14,$M562,BY$13)="",10^12,OFFSET(PLE!$G$14,$M562,BY$13))))</f>
        <v>1000000000000</v>
      </c>
      <c r="BZ562" s="182">
        <f ca="1">IF($D562&lt;&gt;"Serviço",0,IF(OR(AND(AUTOEVENTO="Manual",$M562=1),$M562&gt;(ROW(PLE.lastrow)-ROW(PLE.firstrow))),0,IF(OFFSET(PLE!$G$14,$M562,BZ$13)="",10^12,OFFSET(PLE!$G$14,$M562,BZ$13))))</f>
        <v>1000000000000</v>
      </c>
      <c r="CA562" s="182">
        <f ca="1">IF($D562&lt;&gt;"Serviço",0,IF(OR(AND(AUTOEVENTO="Manual",$M562=1),$M562&gt;(ROW(PLE.lastrow)-ROW(PLE.firstrow))),0,IF(OFFSET(PLE!$G$14,$M562,CA$13)="",10^12,OFFSET(PLE!$G$14,$M562,CA$13))))</f>
        <v>1000000000000</v>
      </c>
      <c r="CB562" s="182">
        <f ca="1">IF($D562&lt;&gt;"Serviço",0,IF(OR(AND(AUTOEVENTO="Manual",$M562=1),$M562&gt;(ROW(PLE.lastrow)-ROW(PLE.firstrow))),0,IF(OFFSET(PLE!$G$14,$M562,CB$13)="",10^12,OFFSET(PLE!$G$14,$M562,CB$13))))</f>
        <v>1000000000000</v>
      </c>
      <c r="CC562" s="182">
        <f ca="1">IF($D562&lt;&gt;"Serviço",0,IF(OR(AND(AUTOEVENTO="Manual",$M562=1),$M562&gt;(ROW(PLE.lastrow)-ROW(PLE.firstrow))),0,IF(OFFSET(PLE!$G$14,$M562,CC$13)="",10^12,OFFSET(PLE!$G$14,$M562,CC$13))))</f>
        <v>1000000000000</v>
      </c>
      <c r="CD562" s="182">
        <f ca="1">IF($D562&lt;&gt;"Serviço",0,IF(OR(AND(AUTOEVENTO="Manual",$M562=1),$M562&gt;(ROW(PLE.lastrow)-ROW(PLE.firstrow))),0,IF(OFFSET(PLE!$G$14,$M562,CD$13)="",10^12,OFFSET(PLE!$G$14,$M562,CD$13))))</f>
        <v>1000000000000</v>
      </c>
      <c r="CE562" s="182">
        <f ca="1">IF($D562&lt;&gt;"Serviço",0,IF(OR(AND(AUTOEVENTO="Manual",$M562=1),$M562&gt;(ROW(PLE.lastrow)-ROW(PLE.firstrow))),0,IF(OFFSET(PLE!$G$14,$M562,CE$13)="",10^12,OFFSET(PLE!$G$14,$M562,CE$13))))</f>
        <v>1000000000000</v>
      </c>
      <c r="CF562" s="182">
        <f ca="1">IF($D562&lt;&gt;"Serviço",0,IF(OR(AND(AUTOEVENTO="Manual",$M562=1),$M562&gt;(ROW(PLE.lastrow)-ROW(PLE.firstrow))),0,IF(OFFSET(PLE!$G$14,$M562,CF$13)="",10^12,OFFSET(PLE!$G$14,$M562,CF$13))))</f>
        <v>1000000000000</v>
      </c>
      <c r="CG562" s="182">
        <f ca="1">IF($D562&lt;&gt;"Serviço",0,IF(OR(AND(AUTOEVENTO="Manual",$M562=1),$M562&gt;(ROW(PLE.lastrow)-ROW(PLE.firstrow))),0,IF(OFFSET(PLE!$G$14,$M562,CG$13)="",10^12,OFFSET(PLE!$G$14,$M562,CG$13))))</f>
        <v>1000000000000</v>
      </c>
      <c r="CH562" s="182">
        <f ca="1">IF($D562&lt;&gt;"Serviço",0,IF(OR(AND(AUTOEVENTO="Manual",$M562=1),$M562&gt;(ROW(PLE.lastrow)-ROW(PLE.firstrow))),0,IF(OFFSET(PLE!$G$14,$M562,CH$13)="",10^12,OFFSET(PLE!$G$14,$M562,CH$13))))</f>
        <v>1000000000000</v>
      </c>
      <c r="CI562" s="182">
        <f ca="1">IF($D562&lt;&gt;"Serviço",0,IF(OR(AND(AUTOEVENTO="Manual",$M562=1),$M562&gt;(ROW(PLE.lastrow)-ROW(PLE.firstrow))),0,IF(OFFSET(PLE!$G$14,$M562,CI$13)="",10^12,OFFSET(PLE!$G$14,$M562,CI$13))))</f>
        <v>1000000000000</v>
      </c>
      <c r="CJ562" s="182">
        <f ca="1">IF($D562&lt;&gt;"Serviço",0,IF(OR(AND(AUTOEVENTO="Manual",$M562=1),$M562&gt;(ROW(PLE.lastrow)-ROW(PLE.firstrow))),0,IF(OFFSET(PLE!$G$14,$M562,CJ$13)="",10^12,OFFSET(PLE!$G$14,$M562,CJ$13))))</f>
        <v>1000000000000</v>
      </c>
      <c r="CK562" s="182">
        <f ca="1">IF($D562&lt;&gt;"Serviço",0,IF(OR(AND(AUTOEVENTO="Manual",$M562=1),$M562&gt;(ROW(PLE.lastrow)-ROW(PLE.firstrow))),0,IF(OFFSET(PLE!$G$14,$M562,CK$13)="",10^12,OFFSET(PLE!$G$14,$M562,CK$13))))</f>
        <v>1000000000000</v>
      </c>
      <c r="CL562" s="182">
        <f ca="1">IF($D562&lt;&gt;"Serviço",0,IF(OR(AND(AUTOEVENTO="Manual",$M562=1),$M562&gt;(ROW(PLE.lastrow)-ROW(PLE.firstrow))),0,IF(OFFSET(PLE!$G$14,$M562,CL$13)="",10^12,OFFSET(PLE!$G$14,$M562,CL$13))))</f>
        <v>1000000000000</v>
      </c>
      <c r="CM562" s="182">
        <f ca="1">IF($D562&lt;&gt;"Serviço",0,IF(OR(AND(AUTOEVENTO="Manual",$M562=1),$M562&gt;(ROW(PLE.lastrow)-ROW(PLE.firstrow))),0,IF(OFFSET(PLE!$G$14,$M562,CM$13)="",10^12,OFFSET(PLE!$G$14,$M562,CM$13))))</f>
        <v>1000000000000</v>
      </c>
    </row>
    <row r="563" spans="1:91" ht="25.5" x14ac:dyDescent="0.2">
      <c r="A563" s="7" t="str">
        <f t="shared" ca="1" si="17"/>
        <v>528</v>
      </c>
      <c r="B563" s="7" t="str">
        <f ca="1">OFFSET(ORÇAMENTO!C$15,ROW(B563)-ROW(B$15),0)</f>
        <v>S</v>
      </c>
      <c r="C563" s="7" t="str">
        <f ca="1">OFFSET(ORÇAMENTO!L$15,ROW(C563)-ROW(C$15),0)</f>
        <v/>
      </c>
      <c r="D563" s="118" t="str">
        <f ca="1">OFFSET(ORÇAMENTO!N$15,ROW(D563)-ROW(D$15),0)</f>
        <v>Serviço</v>
      </c>
      <c r="E563" s="119" t="str">
        <f ca="1">OFFSET(ORÇAMENTO!O$15,ROW(E563)-ROW(E$15),0)</f>
        <v>-</v>
      </c>
      <c r="F563" s="172" t="str">
        <f ca="1">OFFSET(ORÇAMENTO!R$15,ROW(F563)-ROW(F$15),0)</f>
        <v>(abra o arquivo 'Referência 06-2024.xlsm)</v>
      </c>
      <c r="G563" s="173" t="str">
        <f ca="1">IF($D563&lt;&gt;"Serviço","",OFFSET(ORÇAMENTO!S$15,ROW(G563)-ROW(G$15),0))</f>
        <v>-</v>
      </c>
      <c r="H563" s="124">
        <f ca="1">IF($D563&lt;&gt;"Serviço",0,IF(ACOMPANHAMENTO="BM",ROUND(OFFSET(ORÇAMENTO!AJ$15,ROW(H563)-ROW(H$15),0),15-13*ORÇAMENTO!$AF$7),SUMPRODUCT(($Q$12:$AI$12&lt;&gt;"")*ROUND($Q563:$AI563,15-13*ORÇAMENTO!$AF$7))))</f>
        <v>1</v>
      </c>
      <c r="I563" s="561" t="s">
        <v>1107</v>
      </c>
      <c r="K563" s="174"/>
      <c r="L563" s="175" t="s">
        <v>255</v>
      </c>
      <c r="M563" s="176">
        <f ca="1">IF($D563&lt;&gt;"Serviço","",IF(AUTOEVENTO="manual",$A563,IF(ISERROR(MATCH($A563,$A$15:OFFSET($A563,-1,0),0)),MAX($M$15:OFFSET(M563,-1,0))+1,INDEX($M$15:OFFSET(M563,-1,0),MATCH($A563,$A$15:OFFSET($A563,-1,0),0)))))</f>
        <v>57</v>
      </c>
      <c r="N563" s="177" t="str">
        <f ca="1">IF($D563&lt;&gt;"Serviço","",IF(AUTOEVENTO="Manual",IF($A563=0,"&lt;-- defina o número do agrupador",OFFSET(EVENTOS!$D$14,$A563,0)),OFFSET($F$15,$A563,0)))</f>
        <v>INSTALAÇÃO ELÉTRICA 110V - DISPOSITIVOS DE PROTEÇÃO</v>
      </c>
      <c r="O563" s="178"/>
      <c r="Q563" s="178">
        <v>1</v>
      </c>
      <c r="R563" s="179"/>
      <c r="S563" s="179"/>
      <c r="T563" s="179"/>
      <c r="U563" s="179"/>
      <c r="V563" s="179"/>
      <c r="W563" s="179"/>
      <c r="X563" s="179"/>
      <c r="Y563" s="179"/>
      <c r="Z563" s="180"/>
      <c r="AA563" s="179"/>
      <c r="AB563" s="179"/>
      <c r="AC563" s="179"/>
      <c r="AD563" s="179"/>
      <c r="AE563" s="179"/>
      <c r="AF563" s="179"/>
      <c r="AG563" s="179"/>
      <c r="AH563" s="180"/>
      <c r="AJ563" s="544">
        <f ca="1">IF(AND($D563="Serviço",AJ$12&lt;&gt;0,$H563&gt;0,OR(AUTOEVENTO&lt;&gt;"manual",$M563&lt;&gt;1)),
IF(Import.TipoArredondamento&lt;&gt;"TransfereGOV",
ROUND(OFFSET($P563,0,AJ$13),15-13*ORÇAMENTO!$AF$7)/$H563*OFFSET(ORÇAMENTO!$X$15,ROW(AJ563)-ROW(AJ$15),0),
ROUND(ROUND(OFFSET($P563,0,AJ$13),15-13*ORÇAMENTO!$AF$7)*OFFSET(ORÇAMENTO!$W$15,ROW(AJ563)-ROW(AJ$15),0),15-13*ORÇAMENTO!$AF$11)),0)</f>
        <v>0</v>
      </c>
      <c r="AK563" s="545">
        <f ca="1">IF(AND($D563="Serviço",AK$12&lt;&gt;0,$H563&gt;0,OR(AUTOEVENTO&lt;&gt;"manual",$M563&lt;&gt;1)),
IF(Import.TipoArredondamento&lt;&gt;"TransfereGOV",
ROUND(OFFSET($P563,0,AK$13),15-13*ORÇAMENTO!$AF$7)/$H563*OFFSET(ORÇAMENTO!$X$15,ROW(AK563)-ROW(AK$15),0),
ROUND(ROUND(OFFSET($P563,0,AK$13),15-13*ORÇAMENTO!$AF$7)*OFFSET(ORÇAMENTO!$W$15,ROW(AK563)-ROW(AK$15),0),15-13*ORÇAMENTO!$AF$11)),0)</f>
        <v>0</v>
      </c>
      <c r="AL563" s="545">
        <f ca="1">IF(AND($D563="Serviço",AL$12&lt;&gt;0,$H563&gt;0,OR(AUTOEVENTO&lt;&gt;"manual",$M563&lt;&gt;1)),
IF(Import.TipoArredondamento&lt;&gt;"TransfereGOV",
ROUND(OFFSET($P563,0,AL$13),15-13*ORÇAMENTO!$AF$7)/$H563*OFFSET(ORÇAMENTO!$X$15,ROW(AL563)-ROW(AL$15),0),
ROUND(ROUND(OFFSET($P563,0,AL$13),15-13*ORÇAMENTO!$AF$7)*OFFSET(ORÇAMENTO!$W$15,ROW(AL563)-ROW(AL$15),0),15-13*ORÇAMENTO!$AF$11)),0)</f>
        <v>0</v>
      </c>
      <c r="AM563" s="545">
        <f ca="1">IF(AND($D563="Serviço",AM$12&lt;&gt;0,$H563&gt;0,OR(AUTOEVENTO&lt;&gt;"manual",$M563&lt;&gt;1)),
IF(Import.TipoArredondamento&lt;&gt;"TransfereGOV",
ROUND(OFFSET($P563,0,AM$13),15-13*ORÇAMENTO!$AF$7)/$H563*OFFSET(ORÇAMENTO!$X$15,ROW(AM563)-ROW(AM$15),0),
ROUND(ROUND(OFFSET($P563,0,AM$13),15-13*ORÇAMENTO!$AF$7)*OFFSET(ORÇAMENTO!$W$15,ROW(AM563)-ROW(AM$15),0),15-13*ORÇAMENTO!$AF$11)),0)</f>
        <v>0</v>
      </c>
      <c r="AN563" s="545">
        <f ca="1">IF(AND($D563="Serviço",AN$12&lt;&gt;0,$H563&gt;0,OR(AUTOEVENTO&lt;&gt;"manual",$M563&lt;&gt;1)),
IF(Import.TipoArredondamento&lt;&gt;"TransfereGOV",
ROUND(OFFSET($P563,0,AN$13),15-13*ORÇAMENTO!$AF$7)/$H563*OFFSET(ORÇAMENTO!$X$15,ROW(AN563)-ROW(AN$15),0),
ROUND(ROUND(OFFSET($P563,0,AN$13),15-13*ORÇAMENTO!$AF$7)*OFFSET(ORÇAMENTO!$W$15,ROW(AN563)-ROW(AN$15),0),15-13*ORÇAMENTO!$AF$11)),0)</f>
        <v>0</v>
      </c>
      <c r="AO563" s="545">
        <f ca="1">IF(AND($D563="Serviço",AO$12&lt;&gt;0,$H563&gt;0,OR(AUTOEVENTO&lt;&gt;"manual",$M563&lt;&gt;1)),
IF(Import.TipoArredondamento&lt;&gt;"TransfereGOV",
ROUND(OFFSET($P563,0,AO$13),15-13*ORÇAMENTO!$AF$7)/$H563*OFFSET(ORÇAMENTO!$X$15,ROW(AO563)-ROW(AO$15),0),
ROUND(ROUND(OFFSET($P563,0,AO$13),15-13*ORÇAMENTO!$AF$7)*OFFSET(ORÇAMENTO!$W$15,ROW(AO563)-ROW(AO$15),0),15-13*ORÇAMENTO!$AF$11)),0)</f>
        <v>0</v>
      </c>
      <c r="AP563" s="545">
        <f ca="1">IF(AND($D563="Serviço",AP$12&lt;&gt;0,$H563&gt;0,OR(AUTOEVENTO&lt;&gt;"manual",$M563&lt;&gt;1)),
IF(Import.TipoArredondamento&lt;&gt;"TransfereGOV",
ROUND(OFFSET($P563,0,AP$13),15-13*ORÇAMENTO!$AF$7)/$H563*OFFSET(ORÇAMENTO!$X$15,ROW(AP563)-ROW(AP$15),0),
ROUND(ROUND(OFFSET($P563,0,AP$13),15-13*ORÇAMENTO!$AF$7)*OFFSET(ORÇAMENTO!$W$15,ROW(AP563)-ROW(AP$15),0),15-13*ORÇAMENTO!$AF$11)),0)</f>
        <v>0</v>
      </c>
      <c r="AQ563" s="545">
        <f ca="1">IF(AND($D563="Serviço",AQ$12&lt;&gt;0,$H563&gt;0,OR(AUTOEVENTO&lt;&gt;"manual",$M563&lt;&gt;1)),
IF(Import.TipoArredondamento&lt;&gt;"TransfereGOV",
ROUND(OFFSET($P563,0,AQ$13),15-13*ORÇAMENTO!$AF$7)/$H563*OFFSET(ORÇAMENTO!$X$15,ROW(AQ563)-ROW(AQ$15),0),
ROUND(ROUND(OFFSET($P563,0,AQ$13),15-13*ORÇAMENTO!$AF$7)*OFFSET(ORÇAMENTO!$W$15,ROW(AQ563)-ROW(AQ$15),0),15-13*ORÇAMENTO!$AF$11)),0)</f>
        <v>0</v>
      </c>
      <c r="AR563" s="545">
        <f ca="1">IF(AND($D563="Serviço",AR$12&lt;&gt;0,$H563&gt;0,OR(AUTOEVENTO&lt;&gt;"manual",$M563&lt;&gt;1)),
IF(Import.TipoArredondamento&lt;&gt;"TransfereGOV",
ROUND(OFFSET($P563,0,AR$13),15-13*ORÇAMENTO!$AF$7)/$H563*OFFSET(ORÇAMENTO!$X$15,ROW(AR563)-ROW(AR$15),0),
ROUND(ROUND(OFFSET($P563,0,AR$13),15-13*ORÇAMENTO!$AF$7)*OFFSET(ORÇAMENTO!$W$15,ROW(AR563)-ROW(AR$15),0),15-13*ORÇAMENTO!$AF$11)),0)</f>
        <v>0</v>
      </c>
      <c r="AS563" s="546">
        <f ca="1">IF(AND($D563="Serviço",AS$12&lt;&gt;0,$H563&gt;0,OR(AUTOEVENTO&lt;&gt;"manual",$M563&lt;&gt;1)),
IF(Import.TipoArredondamento&lt;&gt;"TransfereGOV",
ROUND(OFFSET($P563,0,AS$13),15-13*ORÇAMENTO!$AF$7)/$H563*OFFSET(ORÇAMENTO!$X$15,ROW(AS563)-ROW(AS$15),0),
ROUND(ROUND(OFFSET($P563,0,AS$13),15-13*ORÇAMENTO!$AF$7)*OFFSET(ORÇAMENTO!$W$15,ROW(AS563)-ROW(AS$15),0),15-13*ORÇAMENTO!$AF$11)),0)</f>
        <v>0</v>
      </c>
      <c r="AT563" s="545">
        <f ca="1">IF(AND($D563="Serviço",AT$12&lt;&gt;0,$H563&gt;0,OR(AUTOEVENTO&lt;&gt;"manual",$M563&lt;&gt;1)),
IF(Import.TipoArredondamento&lt;&gt;"TransfereGOV",
ROUND(OFFSET($P563,0,AT$13),15-13*ORÇAMENTO!$AF$7)/$H563*OFFSET(ORÇAMENTO!$X$15,ROW(AT563)-ROW(AT$15),0),
ROUND(ROUND(OFFSET($P563,0,AT$13),15-13*ORÇAMENTO!$AF$7)*OFFSET(ORÇAMENTO!$W$15,ROW(AT563)-ROW(AT$15),0),15-13*ORÇAMENTO!$AF$11)),0)</f>
        <v>0</v>
      </c>
      <c r="AU563" s="545">
        <f ca="1">IF(AND($D563="Serviço",AU$12&lt;&gt;0,$H563&gt;0,OR(AUTOEVENTO&lt;&gt;"manual",$M563&lt;&gt;1)),
IF(Import.TipoArredondamento&lt;&gt;"TransfereGOV",
ROUND(OFFSET($P563,0,AU$13),15-13*ORÇAMENTO!$AF$7)/$H563*OFFSET(ORÇAMENTO!$X$15,ROW(AU563)-ROW(AU$15),0),
ROUND(ROUND(OFFSET($P563,0,AU$13),15-13*ORÇAMENTO!$AF$7)*OFFSET(ORÇAMENTO!$W$15,ROW(AU563)-ROW(AU$15),0),15-13*ORÇAMENTO!$AF$11)),0)</f>
        <v>0</v>
      </c>
      <c r="AV563" s="545">
        <f ca="1">IF(AND($D563="Serviço",AV$12&lt;&gt;0,$H563&gt;0,OR(AUTOEVENTO&lt;&gt;"manual",$M563&lt;&gt;1)),
IF(Import.TipoArredondamento&lt;&gt;"TransfereGOV",
ROUND(OFFSET($P563,0,AV$13),15-13*ORÇAMENTO!$AF$7)/$H563*OFFSET(ORÇAMENTO!$X$15,ROW(AV563)-ROW(AV$15),0),
ROUND(ROUND(OFFSET($P563,0,AV$13),15-13*ORÇAMENTO!$AF$7)*OFFSET(ORÇAMENTO!$W$15,ROW(AV563)-ROW(AV$15),0),15-13*ORÇAMENTO!$AF$11)),0)</f>
        <v>0</v>
      </c>
      <c r="AW563" s="545">
        <f ca="1">IF(AND($D563="Serviço",AW$12&lt;&gt;0,$H563&gt;0,OR(AUTOEVENTO&lt;&gt;"manual",$M563&lt;&gt;1)),
IF(Import.TipoArredondamento&lt;&gt;"TransfereGOV",
ROUND(OFFSET($P563,0,AW$13),15-13*ORÇAMENTO!$AF$7)/$H563*OFFSET(ORÇAMENTO!$X$15,ROW(AW563)-ROW(AW$15),0),
ROUND(ROUND(OFFSET($P563,0,AW$13),15-13*ORÇAMENTO!$AF$7)*OFFSET(ORÇAMENTO!$W$15,ROW(AW563)-ROW(AW$15),0),15-13*ORÇAMENTO!$AF$11)),0)</f>
        <v>0</v>
      </c>
      <c r="AX563" s="545">
        <f ca="1">IF(AND($D563="Serviço",AX$12&lt;&gt;0,$H563&gt;0,OR(AUTOEVENTO&lt;&gt;"manual",$M563&lt;&gt;1)),
IF(Import.TipoArredondamento&lt;&gt;"TransfereGOV",
ROUND(OFFSET($P563,0,AX$13),15-13*ORÇAMENTO!$AF$7)/$H563*OFFSET(ORÇAMENTO!$X$15,ROW(AX563)-ROW(AX$15),0),
ROUND(ROUND(OFFSET($P563,0,AX$13),15-13*ORÇAMENTO!$AF$7)*OFFSET(ORÇAMENTO!$W$15,ROW(AX563)-ROW(AX$15),0),15-13*ORÇAMENTO!$AF$11)),0)</f>
        <v>0</v>
      </c>
      <c r="AY563" s="545">
        <f ca="1">IF(AND($D563="Serviço",AY$12&lt;&gt;0,$H563&gt;0,OR(AUTOEVENTO&lt;&gt;"manual",$M563&lt;&gt;1)),
IF(Import.TipoArredondamento&lt;&gt;"TransfereGOV",
ROUND(OFFSET($P563,0,AY$13),15-13*ORÇAMENTO!$AF$7)/$H563*OFFSET(ORÇAMENTO!$X$15,ROW(AY563)-ROW(AY$15),0),
ROUND(ROUND(OFFSET($P563,0,AY$13),15-13*ORÇAMENTO!$AF$7)*OFFSET(ORÇAMENTO!$W$15,ROW(AY563)-ROW(AY$15),0),15-13*ORÇAMENTO!$AF$11)),0)</f>
        <v>0</v>
      </c>
      <c r="AZ563" s="545">
        <f ca="1">IF(AND($D563="Serviço",AZ$12&lt;&gt;0,$H563&gt;0,OR(AUTOEVENTO&lt;&gt;"manual",$M563&lt;&gt;1)),
IF(Import.TipoArredondamento&lt;&gt;"TransfereGOV",
ROUND(OFFSET($P563,0,AZ$13),15-13*ORÇAMENTO!$AF$7)/$H563*OFFSET(ORÇAMENTO!$X$15,ROW(AZ563)-ROW(AZ$15),0),
ROUND(ROUND(OFFSET($P563,0,AZ$13),15-13*ORÇAMENTO!$AF$7)*OFFSET(ORÇAMENTO!$W$15,ROW(AZ563)-ROW(AZ$15),0),15-13*ORÇAMENTO!$AF$11)),0)</f>
        <v>0</v>
      </c>
      <c r="BA563" s="546">
        <f ca="1">IF(AND($D563="Serviço",BA$12&lt;&gt;0,$H563&gt;0,OR(AUTOEVENTO&lt;&gt;"manual",$M563&lt;&gt;1)),
IF(Import.TipoArredondamento&lt;&gt;"TransfereGOV",
ROUND(OFFSET($P563,0,BA$13),15-13*ORÇAMENTO!$AF$7)/$H563*OFFSET(ORÇAMENTO!$X$15,ROW(BA563)-ROW(BA$15),0),
ROUND(ROUND(OFFSET($P563,0,BA$13),15-13*ORÇAMENTO!$AF$7)*OFFSET(ORÇAMENTO!$W$15,ROW(BA563)-ROW(BA$15),0),15-13*ORÇAMENTO!$AF$11)),0)</f>
        <v>0</v>
      </c>
      <c r="BC563" s="181">
        <f ca="1">IF($D563&lt;&gt;"Serviço",0,IF(AND(AUTOEVENTO="Manual",$M563=1),0,IF(OFFSET(CRONOPLE!$F$14,$M563,BC$13)="",10^12,OFFSET(CRONOPLE!$F$14,$M563,BC$13))))</f>
        <v>10</v>
      </c>
      <c r="BD563" s="181">
        <f ca="1">IF($D563&lt;&gt;"Serviço",0,IF(AND(AUTOEVENTO="Manual",$M563=1),0,IF(OFFSET(CRONOPLE!$F$14,$M563,BD$13)="",10^12,OFFSET(CRONOPLE!$F$14,$M563,BD$13))))</f>
        <v>1000000000000</v>
      </c>
      <c r="BE563" s="181">
        <f ca="1">IF($D563&lt;&gt;"Serviço",0,IF(AND(AUTOEVENTO="Manual",$M563=1),0,IF(OFFSET(CRONOPLE!$F$14,$M563,BE$13)="",10^12,OFFSET(CRONOPLE!$F$14,$M563,BE$13))))</f>
        <v>1000000000000</v>
      </c>
      <c r="BF563" s="181">
        <f ca="1">IF($D563&lt;&gt;"Serviço",0,IF(AND(AUTOEVENTO="Manual",$M563=1),0,IF(OFFSET(CRONOPLE!$F$14,$M563,BF$13)="",10^12,OFFSET(CRONOPLE!$F$14,$M563,BF$13))))</f>
        <v>1000000000000</v>
      </c>
      <c r="BG563" s="181">
        <f ca="1">IF($D563&lt;&gt;"Serviço",0,IF(AND(AUTOEVENTO="Manual",$M563=1),0,IF(OFFSET(CRONOPLE!$F$14,$M563,BG$13)="",10^12,OFFSET(CRONOPLE!$F$14,$M563,BG$13))))</f>
        <v>1000000000000</v>
      </c>
      <c r="BH563" s="181">
        <f ca="1">IF($D563&lt;&gt;"Serviço",0,IF(AND(AUTOEVENTO="Manual",$M563=1),0,IF(OFFSET(CRONOPLE!$F$14,$M563,BH$13)="",10^12,OFFSET(CRONOPLE!$F$14,$M563,BH$13))))</f>
        <v>1000000000000</v>
      </c>
      <c r="BI563" s="181">
        <f ca="1">IF($D563&lt;&gt;"Serviço",0,IF(AND(AUTOEVENTO="Manual",$M563=1),0,IF(OFFSET(CRONOPLE!$F$14,$M563,BI$13)="",10^12,OFFSET(CRONOPLE!$F$14,$M563,BI$13))))</f>
        <v>1000000000000</v>
      </c>
      <c r="BJ563" s="181">
        <f ca="1">IF($D563&lt;&gt;"Serviço",0,IF(AND(AUTOEVENTO="Manual",$M563=1),0,IF(OFFSET(CRONOPLE!$F$14,$M563,BJ$13)="",10^12,OFFSET(CRONOPLE!$F$14,$M563,BJ$13))))</f>
        <v>1000000000000</v>
      </c>
      <c r="BK563" s="181">
        <f ca="1">IF($D563&lt;&gt;"Serviço",0,IF(AND(AUTOEVENTO="Manual",$M563=1),0,IF(OFFSET(CRONOPLE!$F$14,$M563,BK$13)="",10^12,OFFSET(CRONOPLE!$F$14,$M563,BK$13))))</f>
        <v>1000000000000</v>
      </c>
      <c r="BL563" s="181">
        <f ca="1">IF($D563&lt;&gt;"Serviço",0,IF(AND(AUTOEVENTO="Manual",$M563=1),0,IF(OFFSET(CRONOPLE!$F$14,$M563,BL$13)="",10^12,OFFSET(CRONOPLE!$F$14,$M563,BL$13))))</f>
        <v>1000000000000</v>
      </c>
      <c r="BM563" s="181">
        <f ca="1">IF($D563&lt;&gt;"Serviço",0,IF(AND(AUTOEVENTO="Manual",$M563=1),0,IF(OFFSET(CRONOPLE!$F$14,$M563,BM$13)="",10^12,OFFSET(CRONOPLE!$F$14,$M563,BM$13))))</f>
        <v>1000000000000</v>
      </c>
      <c r="BN563" s="181">
        <f ca="1">IF($D563&lt;&gt;"Serviço",0,IF(AND(AUTOEVENTO="Manual",$M563=1),0,IF(OFFSET(CRONOPLE!$F$14,$M563,BN$13)="",10^12,OFFSET(CRONOPLE!$F$14,$M563,BN$13))))</f>
        <v>1000000000000</v>
      </c>
      <c r="BO563" s="181">
        <f ca="1">IF($D563&lt;&gt;"Serviço",0,IF(AND(AUTOEVENTO="Manual",$M563=1),0,IF(OFFSET(CRONOPLE!$F$14,$M563,BO$13)="",10^12,OFFSET(CRONOPLE!$F$14,$M563,BO$13))))</f>
        <v>1000000000000</v>
      </c>
      <c r="BP563" s="181">
        <f ca="1">IF($D563&lt;&gt;"Serviço",0,IF(AND(AUTOEVENTO="Manual",$M563=1),0,IF(OFFSET(CRONOPLE!$F$14,$M563,BP$13)="",10^12,OFFSET(CRONOPLE!$F$14,$M563,BP$13))))</f>
        <v>1000000000000</v>
      </c>
      <c r="BQ563" s="181">
        <f ca="1">IF($D563&lt;&gt;"Serviço",0,IF(AND(AUTOEVENTO="Manual",$M563=1),0,IF(OFFSET(CRONOPLE!$F$14,$M563,BQ$13)="",10^12,OFFSET(CRONOPLE!$F$14,$M563,BQ$13))))</f>
        <v>1000000000000</v>
      </c>
      <c r="BR563" s="181">
        <f ca="1">IF($D563&lt;&gt;"Serviço",0,IF(AND(AUTOEVENTO="Manual",$M563=1),0,IF(OFFSET(CRONOPLE!$F$14,$M563,BR$13)="",10^12,OFFSET(CRONOPLE!$F$14,$M563,BR$13))))</f>
        <v>1000000000000</v>
      </c>
      <c r="BS563" s="181">
        <f ca="1">IF($D563&lt;&gt;"Serviço",0,IF(AND(AUTOEVENTO="Manual",$M563=1),0,IF(OFFSET(CRONOPLE!$F$14,$M563,BS$13)="",10^12,OFFSET(CRONOPLE!$F$14,$M563,BS$13))))</f>
        <v>1000000000000</v>
      </c>
      <c r="BT563" s="181">
        <f ca="1">IF($D563&lt;&gt;"Serviço",0,IF(AND(AUTOEVENTO="Manual",$M563=1),0,IF(OFFSET(CRONOPLE!$F$14,$M563,BT$13)="",10^12,OFFSET(CRONOPLE!$F$14,$M563,BT$13))))</f>
        <v>1000000000000</v>
      </c>
      <c r="BV563" s="182">
        <f ca="1">IF($D563&lt;&gt;"Serviço",0,IF(OR(AND(AUTOEVENTO="Manual",$M563=1),$M563&gt;(ROW(PLE.lastrow)-ROW(PLE.firstrow))),0,IF(OFFSET(PLE!$G$14,$M563,BV$13)="",10^12,OFFSET(PLE!$G$14,$M563,BV$13))))</f>
        <v>1000000000000</v>
      </c>
      <c r="BW563" s="182">
        <f ca="1">IF($D563&lt;&gt;"Serviço",0,IF(OR(AND(AUTOEVENTO="Manual",$M563=1),$M563&gt;(ROW(PLE.lastrow)-ROW(PLE.firstrow))),0,IF(OFFSET(PLE!$G$14,$M563,BW$13)="",10^12,OFFSET(PLE!$G$14,$M563,BW$13))))</f>
        <v>1000000000000</v>
      </c>
      <c r="BX563" s="182">
        <f ca="1">IF($D563&lt;&gt;"Serviço",0,IF(OR(AND(AUTOEVENTO="Manual",$M563=1),$M563&gt;(ROW(PLE.lastrow)-ROW(PLE.firstrow))),0,IF(OFFSET(PLE!$G$14,$M563,BX$13)="",10^12,OFFSET(PLE!$G$14,$M563,BX$13))))</f>
        <v>1000000000000</v>
      </c>
      <c r="BY563" s="182">
        <f ca="1">IF($D563&lt;&gt;"Serviço",0,IF(OR(AND(AUTOEVENTO="Manual",$M563=1),$M563&gt;(ROW(PLE.lastrow)-ROW(PLE.firstrow))),0,IF(OFFSET(PLE!$G$14,$M563,BY$13)="",10^12,OFFSET(PLE!$G$14,$M563,BY$13))))</f>
        <v>1000000000000</v>
      </c>
      <c r="BZ563" s="182">
        <f ca="1">IF($D563&lt;&gt;"Serviço",0,IF(OR(AND(AUTOEVENTO="Manual",$M563=1),$M563&gt;(ROW(PLE.lastrow)-ROW(PLE.firstrow))),0,IF(OFFSET(PLE!$G$14,$M563,BZ$13)="",10^12,OFFSET(PLE!$G$14,$M563,BZ$13))))</f>
        <v>1000000000000</v>
      </c>
      <c r="CA563" s="182">
        <f ca="1">IF($D563&lt;&gt;"Serviço",0,IF(OR(AND(AUTOEVENTO="Manual",$M563=1),$M563&gt;(ROW(PLE.lastrow)-ROW(PLE.firstrow))),0,IF(OFFSET(PLE!$G$14,$M563,CA$13)="",10^12,OFFSET(PLE!$G$14,$M563,CA$13))))</f>
        <v>1000000000000</v>
      </c>
      <c r="CB563" s="182">
        <f ca="1">IF($D563&lt;&gt;"Serviço",0,IF(OR(AND(AUTOEVENTO="Manual",$M563=1),$M563&gt;(ROW(PLE.lastrow)-ROW(PLE.firstrow))),0,IF(OFFSET(PLE!$G$14,$M563,CB$13)="",10^12,OFFSET(PLE!$G$14,$M563,CB$13))))</f>
        <v>1000000000000</v>
      </c>
      <c r="CC563" s="182">
        <f ca="1">IF($D563&lt;&gt;"Serviço",0,IF(OR(AND(AUTOEVENTO="Manual",$M563=1),$M563&gt;(ROW(PLE.lastrow)-ROW(PLE.firstrow))),0,IF(OFFSET(PLE!$G$14,$M563,CC$13)="",10^12,OFFSET(PLE!$G$14,$M563,CC$13))))</f>
        <v>1000000000000</v>
      </c>
      <c r="CD563" s="182">
        <f ca="1">IF($D563&lt;&gt;"Serviço",0,IF(OR(AND(AUTOEVENTO="Manual",$M563=1),$M563&gt;(ROW(PLE.lastrow)-ROW(PLE.firstrow))),0,IF(OFFSET(PLE!$G$14,$M563,CD$13)="",10^12,OFFSET(PLE!$G$14,$M563,CD$13))))</f>
        <v>1000000000000</v>
      </c>
      <c r="CE563" s="182">
        <f ca="1">IF($D563&lt;&gt;"Serviço",0,IF(OR(AND(AUTOEVENTO="Manual",$M563=1),$M563&gt;(ROW(PLE.lastrow)-ROW(PLE.firstrow))),0,IF(OFFSET(PLE!$G$14,$M563,CE$13)="",10^12,OFFSET(PLE!$G$14,$M563,CE$13))))</f>
        <v>1000000000000</v>
      </c>
      <c r="CF563" s="182">
        <f ca="1">IF($D563&lt;&gt;"Serviço",0,IF(OR(AND(AUTOEVENTO="Manual",$M563=1),$M563&gt;(ROW(PLE.lastrow)-ROW(PLE.firstrow))),0,IF(OFFSET(PLE!$G$14,$M563,CF$13)="",10^12,OFFSET(PLE!$G$14,$M563,CF$13))))</f>
        <v>1000000000000</v>
      </c>
      <c r="CG563" s="182">
        <f ca="1">IF($D563&lt;&gt;"Serviço",0,IF(OR(AND(AUTOEVENTO="Manual",$M563=1),$M563&gt;(ROW(PLE.lastrow)-ROW(PLE.firstrow))),0,IF(OFFSET(PLE!$G$14,$M563,CG$13)="",10^12,OFFSET(PLE!$G$14,$M563,CG$13))))</f>
        <v>1000000000000</v>
      </c>
      <c r="CH563" s="182">
        <f ca="1">IF($D563&lt;&gt;"Serviço",0,IF(OR(AND(AUTOEVENTO="Manual",$M563=1),$M563&gt;(ROW(PLE.lastrow)-ROW(PLE.firstrow))),0,IF(OFFSET(PLE!$G$14,$M563,CH$13)="",10^12,OFFSET(PLE!$G$14,$M563,CH$13))))</f>
        <v>1000000000000</v>
      </c>
      <c r="CI563" s="182">
        <f ca="1">IF($D563&lt;&gt;"Serviço",0,IF(OR(AND(AUTOEVENTO="Manual",$M563=1),$M563&gt;(ROW(PLE.lastrow)-ROW(PLE.firstrow))),0,IF(OFFSET(PLE!$G$14,$M563,CI$13)="",10^12,OFFSET(PLE!$G$14,$M563,CI$13))))</f>
        <v>1000000000000</v>
      </c>
      <c r="CJ563" s="182">
        <f ca="1">IF($D563&lt;&gt;"Serviço",0,IF(OR(AND(AUTOEVENTO="Manual",$M563=1),$M563&gt;(ROW(PLE.lastrow)-ROW(PLE.firstrow))),0,IF(OFFSET(PLE!$G$14,$M563,CJ$13)="",10^12,OFFSET(PLE!$G$14,$M563,CJ$13))))</f>
        <v>1000000000000</v>
      </c>
      <c r="CK563" s="182">
        <f ca="1">IF($D563&lt;&gt;"Serviço",0,IF(OR(AND(AUTOEVENTO="Manual",$M563=1),$M563&gt;(ROW(PLE.lastrow)-ROW(PLE.firstrow))),0,IF(OFFSET(PLE!$G$14,$M563,CK$13)="",10^12,OFFSET(PLE!$G$14,$M563,CK$13))))</f>
        <v>1000000000000</v>
      </c>
      <c r="CL563" s="182">
        <f ca="1">IF($D563&lt;&gt;"Serviço",0,IF(OR(AND(AUTOEVENTO="Manual",$M563=1),$M563&gt;(ROW(PLE.lastrow)-ROW(PLE.firstrow))),0,IF(OFFSET(PLE!$G$14,$M563,CL$13)="",10^12,OFFSET(PLE!$G$14,$M563,CL$13))))</f>
        <v>1000000000000</v>
      </c>
      <c r="CM563" s="182">
        <f ca="1">IF($D563&lt;&gt;"Serviço",0,IF(OR(AND(AUTOEVENTO="Manual",$M563=1),$M563&gt;(ROW(PLE.lastrow)-ROW(PLE.firstrow))),0,IF(OFFSET(PLE!$G$14,$M563,CM$13)="",10^12,OFFSET(PLE!$G$14,$M563,CM$13))))</f>
        <v>1000000000000</v>
      </c>
    </row>
    <row r="564" spans="1:91" ht="25.5" x14ac:dyDescent="0.2">
      <c r="A564" s="7" t="str">
        <f t="shared" ca="1" si="17"/>
        <v>528</v>
      </c>
      <c r="B564" s="7" t="str">
        <f ca="1">OFFSET(ORÇAMENTO!C$15,ROW(B564)-ROW(B$15),0)</f>
        <v>S</v>
      </c>
      <c r="C564" s="7" t="str">
        <f ca="1">OFFSET(ORÇAMENTO!L$15,ROW(C564)-ROW(C$15),0)</f>
        <v/>
      </c>
      <c r="D564" s="118" t="str">
        <f ca="1">OFFSET(ORÇAMENTO!N$15,ROW(D564)-ROW(D$15),0)</f>
        <v>Serviço</v>
      </c>
      <c r="E564" s="119" t="str">
        <f ca="1">OFFSET(ORÇAMENTO!O$15,ROW(E564)-ROW(E$15),0)</f>
        <v>-</v>
      </c>
      <c r="F564" s="172" t="str">
        <f ca="1">OFFSET(ORÇAMENTO!R$15,ROW(F564)-ROW(F$15),0)</f>
        <v>(abra o arquivo 'Referência 06-2024.xlsm)</v>
      </c>
      <c r="G564" s="173" t="str">
        <f ca="1">IF($D564&lt;&gt;"Serviço","",OFFSET(ORÇAMENTO!S$15,ROW(G564)-ROW(G$15),0))</f>
        <v>-</v>
      </c>
      <c r="H564" s="124">
        <f ca="1">IF($D564&lt;&gt;"Serviço",0,IF(ACOMPANHAMENTO="BM",ROUND(OFFSET(ORÇAMENTO!AJ$15,ROW(H564)-ROW(H$15),0),15-13*ORÇAMENTO!$AF$7),SUMPRODUCT(($Q$12:$AI$12&lt;&gt;"")*ROUND($Q564:$AI564,15-13*ORÇAMENTO!$AF$7))))</f>
        <v>1</v>
      </c>
      <c r="I564" s="561" t="s">
        <v>1107</v>
      </c>
      <c r="K564" s="174"/>
      <c r="L564" s="175" t="s">
        <v>255</v>
      </c>
      <c r="M564" s="176">
        <f ca="1">IF($D564&lt;&gt;"Serviço","",IF(AUTOEVENTO="manual",$A564,IF(ISERROR(MATCH($A564,$A$15:OFFSET($A564,-1,0),0)),MAX($M$15:OFFSET(M564,-1,0))+1,INDEX($M$15:OFFSET(M564,-1,0),MATCH($A564,$A$15:OFFSET($A564,-1,0),0)))))</f>
        <v>57</v>
      </c>
      <c r="N564" s="177" t="str">
        <f ca="1">IF($D564&lt;&gt;"Serviço","",IF(AUTOEVENTO="Manual",IF($A564=0,"&lt;-- defina o número do agrupador",OFFSET(EVENTOS!$D$14,$A564,0)),OFFSET($F$15,$A564,0)))</f>
        <v>INSTALAÇÃO ELÉTRICA 110V - DISPOSITIVOS DE PROTEÇÃO</v>
      </c>
      <c r="O564" s="178"/>
      <c r="Q564" s="178">
        <v>1</v>
      </c>
      <c r="R564" s="179"/>
      <c r="S564" s="179"/>
      <c r="T564" s="179"/>
      <c r="U564" s="179"/>
      <c r="V564" s="179"/>
      <c r="W564" s="179"/>
      <c r="X564" s="179"/>
      <c r="Y564" s="179"/>
      <c r="Z564" s="180"/>
      <c r="AA564" s="179"/>
      <c r="AB564" s="179"/>
      <c r="AC564" s="179"/>
      <c r="AD564" s="179"/>
      <c r="AE564" s="179"/>
      <c r="AF564" s="179"/>
      <c r="AG564" s="179"/>
      <c r="AH564" s="180"/>
      <c r="AJ564" s="544">
        <f ca="1">IF(AND($D564="Serviço",AJ$12&lt;&gt;0,$H564&gt;0,OR(AUTOEVENTO&lt;&gt;"manual",$M564&lt;&gt;1)),
IF(Import.TipoArredondamento&lt;&gt;"TransfereGOV",
ROUND(OFFSET($P564,0,AJ$13),15-13*ORÇAMENTO!$AF$7)/$H564*OFFSET(ORÇAMENTO!$X$15,ROW(AJ564)-ROW(AJ$15),0),
ROUND(ROUND(OFFSET($P564,0,AJ$13),15-13*ORÇAMENTO!$AF$7)*OFFSET(ORÇAMENTO!$W$15,ROW(AJ564)-ROW(AJ$15),0),15-13*ORÇAMENTO!$AF$11)),0)</f>
        <v>0</v>
      </c>
      <c r="AK564" s="545">
        <f ca="1">IF(AND($D564="Serviço",AK$12&lt;&gt;0,$H564&gt;0,OR(AUTOEVENTO&lt;&gt;"manual",$M564&lt;&gt;1)),
IF(Import.TipoArredondamento&lt;&gt;"TransfereGOV",
ROUND(OFFSET($P564,0,AK$13),15-13*ORÇAMENTO!$AF$7)/$H564*OFFSET(ORÇAMENTO!$X$15,ROW(AK564)-ROW(AK$15),0),
ROUND(ROUND(OFFSET($P564,0,AK$13),15-13*ORÇAMENTO!$AF$7)*OFFSET(ORÇAMENTO!$W$15,ROW(AK564)-ROW(AK$15),0),15-13*ORÇAMENTO!$AF$11)),0)</f>
        <v>0</v>
      </c>
      <c r="AL564" s="545">
        <f ca="1">IF(AND($D564="Serviço",AL$12&lt;&gt;0,$H564&gt;0,OR(AUTOEVENTO&lt;&gt;"manual",$M564&lt;&gt;1)),
IF(Import.TipoArredondamento&lt;&gt;"TransfereGOV",
ROUND(OFFSET($P564,0,AL$13),15-13*ORÇAMENTO!$AF$7)/$H564*OFFSET(ORÇAMENTO!$X$15,ROW(AL564)-ROW(AL$15),0),
ROUND(ROUND(OFFSET($P564,0,AL$13),15-13*ORÇAMENTO!$AF$7)*OFFSET(ORÇAMENTO!$W$15,ROW(AL564)-ROW(AL$15),0),15-13*ORÇAMENTO!$AF$11)),0)</f>
        <v>0</v>
      </c>
      <c r="AM564" s="545">
        <f ca="1">IF(AND($D564="Serviço",AM$12&lt;&gt;0,$H564&gt;0,OR(AUTOEVENTO&lt;&gt;"manual",$M564&lt;&gt;1)),
IF(Import.TipoArredondamento&lt;&gt;"TransfereGOV",
ROUND(OFFSET($P564,0,AM$13),15-13*ORÇAMENTO!$AF$7)/$H564*OFFSET(ORÇAMENTO!$X$15,ROW(AM564)-ROW(AM$15),0),
ROUND(ROUND(OFFSET($P564,0,AM$13),15-13*ORÇAMENTO!$AF$7)*OFFSET(ORÇAMENTO!$W$15,ROW(AM564)-ROW(AM$15),0),15-13*ORÇAMENTO!$AF$11)),0)</f>
        <v>0</v>
      </c>
      <c r="AN564" s="545">
        <f ca="1">IF(AND($D564="Serviço",AN$12&lt;&gt;0,$H564&gt;0,OR(AUTOEVENTO&lt;&gt;"manual",$M564&lt;&gt;1)),
IF(Import.TipoArredondamento&lt;&gt;"TransfereGOV",
ROUND(OFFSET($P564,0,AN$13),15-13*ORÇAMENTO!$AF$7)/$H564*OFFSET(ORÇAMENTO!$X$15,ROW(AN564)-ROW(AN$15),0),
ROUND(ROUND(OFFSET($P564,0,AN$13),15-13*ORÇAMENTO!$AF$7)*OFFSET(ORÇAMENTO!$W$15,ROW(AN564)-ROW(AN$15),0),15-13*ORÇAMENTO!$AF$11)),0)</f>
        <v>0</v>
      </c>
      <c r="AO564" s="545">
        <f ca="1">IF(AND($D564="Serviço",AO$12&lt;&gt;0,$H564&gt;0,OR(AUTOEVENTO&lt;&gt;"manual",$M564&lt;&gt;1)),
IF(Import.TipoArredondamento&lt;&gt;"TransfereGOV",
ROUND(OFFSET($P564,0,AO$13),15-13*ORÇAMENTO!$AF$7)/$H564*OFFSET(ORÇAMENTO!$X$15,ROW(AO564)-ROW(AO$15),0),
ROUND(ROUND(OFFSET($P564,0,AO$13),15-13*ORÇAMENTO!$AF$7)*OFFSET(ORÇAMENTO!$W$15,ROW(AO564)-ROW(AO$15),0),15-13*ORÇAMENTO!$AF$11)),0)</f>
        <v>0</v>
      </c>
      <c r="AP564" s="545">
        <f ca="1">IF(AND($D564="Serviço",AP$12&lt;&gt;0,$H564&gt;0,OR(AUTOEVENTO&lt;&gt;"manual",$M564&lt;&gt;1)),
IF(Import.TipoArredondamento&lt;&gt;"TransfereGOV",
ROUND(OFFSET($P564,0,AP$13),15-13*ORÇAMENTO!$AF$7)/$H564*OFFSET(ORÇAMENTO!$X$15,ROW(AP564)-ROW(AP$15),0),
ROUND(ROUND(OFFSET($P564,0,AP$13),15-13*ORÇAMENTO!$AF$7)*OFFSET(ORÇAMENTO!$W$15,ROW(AP564)-ROW(AP$15),0),15-13*ORÇAMENTO!$AF$11)),0)</f>
        <v>0</v>
      </c>
      <c r="AQ564" s="545">
        <f ca="1">IF(AND($D564="Serviço",AQ$12&lt;&gt;0,$H564&gt;0,OR(AUTOEVENTO&lt;&gt;"manual",$M564&lt;&gt;1)),
IF(Import.TipoArredondamento&lt;&gt;"TransfereGOV",
ROUND(OFFSET($P564,0,AQ$13),15-13*ORÇAMENTO!$AF$7)/$H564*OFFSET(ORÇAMENTO!$X$15,ROW(AQ564)-ROW(AQ$15),0),
ROUND(ROUND(OFFSET($P564,0,AQ$13),15-13*ORÇAMENTO!$AF$7)*OFFSET(ORÇAMENTO!$W$15,ROW(AQ564)-ROW(AQ$15),0),15-13*ORÇAMENTO!$AF$11)),0)</f>
        <v>0</v>
      </c>
      <c r="AR564" s="545">
        <f ca="1">IF(AND($D564="Serviço",AR$12&lt;&gt;0,$H564&gt;0,OR(AUTOEVENTO&lt;&gt;"manual",$M564&lt;&gt;1)),
IF(Import.TipoArredondamento&lt;&gt;"TransfereGOV",
ROUND(OFFSET($P564,0,AR$13),15-13*ORÇAMENTO!$AF$7)/$H564*OFFSET(ORÇAMENTO!$X$15,ROW(AR564)-ROW(AR$15),0),
ROUND(ROUND(OFFSET($P564,0,AR$13),15-13*ORÇAMENTO!$AF$7)*OFFSET(ORÇAMENTO!$W$15,ROW(AR564)-ROW(AR$15),0),15-13*ORÇAMENTO!$AF$11)),0)</f>
        <v>0</v>
      </c>
      <c r="AS564" s="546">
        <f ca="1">IF(AND($D564="Serviço",AS$12&lt;&gt;0,$H564&gt;0,OR(AUTOEVENTO&lt;&gt;"manual",$M564&lt;&gt;1)),
IF(Import.TipoArredondamento&lt;&gt;"TransfereGOV",
ROUND(OFFSET($P564,0,AS$13),15-13*ORÇAMENTO!$AF$7)/$H564*OFFSET(ORÇAMENTO!$X$15,ROW(AS564)-ROW(AS$15),0),
ROUND(ROUND(OFFSET($P564,0,AS$13),15-13*ORÇAMENTO!$AF$7)*OFFSET(ORÇAMENTO!$W$15,ROW(AS564)-ROW(AS$15),0),15-13*ORÇAMENTO!$AF$11)),0)</f>
        <v>0</v>
      </c>
      <c r="AT564" s="545">
        <f ca="1">IF(AND($D564="Serviço",AT$12&lt;&gt;0,$H564&gt;0,OR(AUTOEVENTO&lt;&gt;"manual",$M564&lt;&gt;1)),
IF(Import.TipoArredondamento&lt;&gt;"TransfereGOV",
ROUND(OFFSET($P564,0,AT$13),15-13*ORÇAMENTO!$AF$7)/$H564*OFFSET(ORÇAMENTO!$X$15,ROW(AT564)-ROW(AT$15),0),
ROUND(ROUND(OFFSET($P564,0,AT$13),15-13*ORÇAMENTO!$AF$7)*OFFSET(ORÇAMENTO!$W$15,ROW(AT564)-ROW(AT$15),0),15-13*ORÇAMENTO!$AF$11)),0)</f>
        <v>0</v>
      </c>
      <c r="AU564" s="545">
        <f ca="1">IF(AND($D564="Serviço",AU$12&lt;&gt;0,$H564&gt;0,OR(AUTOEVENTO&lt;&gt;"manual",$M564&lt;&gt;1)),
IF(Import.TipoArredondamento&lt;&gt;"TransfereGOV",
ROUND(OFFSET($P564,0,AU$13),15-13*ORÇAMENTO!$AF$7)/$H564*OFFSET(ORÇAMENTO!$X$15,ROW(AU564)-ROW(AU$15),0),
ROUND(ROUND(OFFSET($P564,0,AU$13),15-13*ORÇAMENTO!$AF$7)*OFFSET(ORÇAMENTO!$W$15,ROW(AU564)-ROW(AU$15),0),15-13*ORÇAMENTO!$AF$11)),0)</f>
        <v>0</v>
      </c>
      <c r="AV564" s="545">
        <f ca="1">IF(AND($D564="Serviço",AV$12&lt;&gt;0,$H564&gt;0,OR(AUTOEVENTO&lt;&gt;"manual",$M564&lt;&gt;1)),
IF(Import.TipoArredondamento&lt;&gt;"TransfereGOV",
ROUND(OFFSET($P564,0,AV$13),15-13*ORÇAMENTO!$AF$7)/$H564*OFFSET(ORÇAMENTO!$X$15,ROW(AV564)-ROW(AV$15),0),
ROUND(ROUND(OFFSET($P564,0,AV$13),15-13*ORÇAMENTO!$AF$7)*OFFSET(ORÇAMENTO!$W$15,ROW(AV564)-ROW(AV$15),0),15-13*ORÇAMENTO!$AF$11)),0)</f>
        <v>0</v>
      </c>
      <c r="AW564" s="545">
        <f ca="1">IF(AND($D564="Serviço",AW$12&lt;&gt;0,$H564&gt;0,OR(AUTOEVENTO&lt;&gt;"manual",$M564&lt;&gt;1)),
IF(Import.TipoArredondamento&lt;&gt;"TransfereGOV",
ROUND(OFFSET($P564,0,AW$13),15-13*ORÇAMENTO!$AF$7)/$H564*OFFSET(ORÇAMENTO!$X$15,ROW(AW564)-ROW(AW$15),0),
ROUND(ROUND(OFFSET($P564,0,AW$13),15-13*ORÇAMENTO!$AF$7)*OFFSET(ORÇAMENTO!$W$15,ROW(AW564)-ROW(AW$15),0),15-13*ORÇAMENTO!$AF$11)),0)</f>
        <v>0</v>
      </c>
      <c r="AX564" s="545">
        <f ca="1">IF(AND($D564="Serviço",AX$12&lt;&gt;0,$H564&gt;0,OR(AUTOEVENTO&lt;&gt;"manual",$M564&lt;&gt;1)),
IF(Import.TipoArredondamento&lt;&gt;"TransfereGOV",
ROUND(OFFSET($P564,0,AX$13),15-13*ORÇAMENTO!$AF$7)/$H564*OFFSET(ORÇAMENTO!$X$15,ROW(AX564)-ROW(AX$15),0),
ROUND(ROUND(OFFSET($P564,0,AX$13),15-13*ORÇAMENTO!$AF$7)*OFFSET(ORÇAMENTO!$W$15,ROW(AX564)-ROW(AX$15),0),15-13*ORÇAMENTO!$AF$11)),0)</f>
        <v>0</v>
      </c>
      <c r="AY564" s="545">
        <f ca="1">IF(AND($D564="Serviço",AY$12&lt;&gt;0,$H564&gt;0,OR(AUTOEVENTO&lt;&gt;"manual",$M564&lt;&gt;1)),
IF(Import.TipoArredondamento&lt;&gt;"TransfereGOV",
ROUND(OFFSET($P564,0,AY$13),15-13*ORÇAMENTO!$AF$7)/$H564*OFFSET(ORÇAMENTO!$X$15,ROW(AY564)-ROW(AY$15),0),
ROUND(ROUND(OFFSET($P564,0,AY$13),15-13*ORÇAMENTO!$AF$7)*OFFSET(ORÇAMENTO!$W$15,ROW(AY564)-ROW(AY$15),0),15-13*ORÇAMENTO!$AF$11)),0)</f>
        <v>0</v>
      </c>
      <c r="AZ564" s="545">
        <f ca="1">IF(AND($D564="Serviço",AZ$12&lt;&gt;0,$H564&gt;0,OR(AUTOEVENTO&lt;&gt;"manual",$M564&lt;&gt;1)),
IF(Import.TipoArredondamento&lt;&gt;"TransfereGOV",
ROUND(OFFSET($P564,0,AZ$13),15-13*ORÇAMENTO!$AF$7)/$H564*OFFSET(ORÇAMENTO!$X$15,ROW(AZ564)-ROW(AZ$15),0),
ROUND(ROUND(OFFSET($P564,0,AZ$13),15-13*ORÇAMENTO!$AF$7)*OFFSET(ORÇAMENTO!$W$15,ROW(AZ564)-ROW(AZ$15),0),15-13*ORÇAMENTO!$AF$11)),0)</f>
        <v>0</v>
      </c>
      <c r="BA564" s="546">
        <f ca="1">IF(AND($D564="Serviço",BA$12&lt;&gt;0,$H564&gt;0,OR(AUTOEVENTO&lt;&gt;"manual",$M564&lt;&gt;1)),
IF(Import.TipoArredondamento&lt;&gt;"TransfereGOV",
ROUND(OFFSET($P564,0,BA$13),15-13*ORÇAMENTO!$AF$7)/$H564*OFFSET(ORÇAMENTO!$X$15,ROW(BA564)-ROW(BA$15),0),
ROUND(ROUND(OFFSET($P564,0,BA$13),15-13*ORÇAMENTO!$AF$7)*OFFSET(ORÇAMENTO!$W$15,ROW(BA564)-ROW(BA$15),0),15-13*ORÇAMENTO!$AF$11)),0)</f>
        <v>0</v>
      </c>
      <c r="BC564" s="181">
        <f ca="1">IF($D564&lt;&gt;"Serviço",0,IF(AND(AUTOEVENTO="Manual",$M564=1),0,IF(OFFSET(CRONOPLE!$F$14,$M564,BC$13)="",10^12,OFFSET(CRONOPLE!$F$14,$M564,BC$13))))</f>
        <v>10</v>
      </c>
      <c r="BD564" s="181">
        <f ca="1">IF($D564&lt;&gt;"Serviço",0,IF(AND(AUTOEVENTO="Manual",$M564=1),0,IF(OFFSET(CRONOPLE!$F$14,$M564,BD$13)="",10^12,OFFSET(CRONOPLE!$F$14,$M564,BD$13))))</f>
        <v>1000000000000</v>
      </c>
      <c r="BE564" s="181">
        <f ca="1">IF($D564&lt;&gt;"Serviço",0,IF(AND(AUTOEVENTO="Manual",$M564=1),0,IF(OFFSET(CRONOPLE!$F$14,$M564,BE$13)="",10^12,OFFSET(CRONOPLE!$F$14,$M564,BE$13))))</f>
        <v>1000000000000</v>
      </c>
      <c r="BF564" s="181">
        <f ca="1">IF($D564&lt;&gt;"Serviço",0,IF(AND(AUTOEVENTO="Manual",$M564=1),0,IF(OFFSET(CRONOPLE!$F$14,$M564,BF$13)="",10^12,OFFSET(CRONOPLE!$F$14,$M564,BF$13))))</f>
        <v>1000000000000</v>
      </c>
      <c r="BG564" s="181">
        <f ca="1">IF($D564&lt;&gt;"Serviço",0,IF(AND(AUTOEVENTO="Manual",$M564=1),0,IF(OFFSET(CRONOPLE!$F$14,$M564,BG$13)="",10^12,OFFSET(CRONOPLE!$F$14,$M564,BG$13))))</f>
        <v>1000000000000</v>
      </c>
      <c r="BH564" s="181">
        <f ca="1">IF($D564&lt;&gt;"Serviço",0,IF(AND(AUTOEVENTO="Manual",$M564=1),0,IF(OFFSET(CRONOPLE!$F$14,$M564,BH$13)="",10^12,OFFSET(CRONOPLE!$F$14,$M564,BH$13))))</f>
        <v>1000000000000</v>
      </c>
      <c r="BI564" s="181">
        <f ca="1">IF($D564&lt;&gt;"Serviço",0,IF(AND(AUTOEVENTO="Manual",$M564=1),0,IF(OFFSET(CRONOPLE!$F$14,$M564,BI$13)="",10^12,OFFSET(CRONOPLE!$F$14,$M564,BI$13))))</f>
        <v>1000000000000</v>
      </c>
      <c r="BJ564" s="181">
        <f ca="1">IF($D564&lt;&gt;"Serviço",0,IF(AND(AUTOEVENTO="Manual",$M564=1),0,IF(OFFSET(CRONOPLE!$F$14,$M564,BJ$13)="",10^12,OFFSET(CRONOPLE!$F$14,$M564,BJ$13))))</f>
        <v>1000000000000</v>
      </c>
      <c r="BK564" s="181">
        <f ca="1">IF($D564&lt;&gt;"Serviço",0,IF(AND(AUTOEVENTO="Manual",$M564=1),0,IF(OFFSET(CRONOPLE!$F$14,$M564,BK$13)="",10^12,OFFSET(CRONOPLE!$F$14,$M564,BK$13))))</f>
        <v>1000000000000</v>
      </c>
      <c r="BL564" s="181">
        <f ca="1">IF($D564&lt;&gt;"Serviço",0,IF(AND(AUTOEVENTO="Manual",$M564=1),0,IF(OFFSET(CRONOPLE!$F$14,$M564,BL$13)="",10^12,OFFSET(CRONOPLE!$F$14,$M564,BL$13))))</f>
        <v>1000000000000</v>
      </c>
      <c r="BM564" s="181">
        <f ca="1">IF($D564&lt;&gt;"Serviço",0,IF(AND(AUTOEVENTO="Manual",$M564=1),0,IF(OFFSET(CRONOPLE!$F$14,$M564,BM$13)="",10^12,OFFSET(CRONOPLE!$F$14,$M564,BM$13))))</f>
        <v>1000000000000</v>
      </c>
      <c r="BN564" s="181">
        <f ca="1">IF($D564&lt;&gt;"Serviço",0,IF(AND(AUTOEVENTO="Manual",$M564=1),0,IF(OFFSET(CRONOPLE!$F$14,$M564,BN$13)="",10^12,OFFSET(CRONOPLE!$F$14,$M564,BN$13))))</f>
        <v>1000000000000</v>
      </c>
      <c r="BO564" s="181">
        <f ca="1">IF($D564&lt;&gt;"Serviço",0,IF(AND(AUTOEVENTO="Manual",$M564=1),0,IF(OFFSET(CRONOPLE!$F$14,$M564,BO$13)="",10^12,OFFSET(CRONOPLE!$F$14,$M564,BO$13))))</f>
        <v>1000000000000</v>
      </c>
      <c r="BP564" s="181">
        <f ca="1">IF($D564&lt;&gt;"Serviço",0,IF(AND(AUTOEVENTO="Manual",$M564=1),0,IF(OFFSET(CRONOPLE!$F$14,$M564,BP$13)="",10^12,OFFSET(CRONOPLE!$F$14,$M564,BP$13))))</f>
        <v>1000000000000</v>
      </c>
      <c r="BQ564" s="181">
        <f ca="1">IF($D564&lt;&gt;"Serviço",0,IF(AND(AUTOEVENTO="Manual",$M564=1),0,IF(OFFSET(CRONOPLE!$F$14,$M564,BQ$13)="",10^12,OFFSET(CRONOPLE!$F$14,$M564,BQ$13))))</f>
        <v>1000000000000</v>
      </c>
      <c r="BR564" s="181">
        <f ca="1">IF($D564&lt;&gt;"Serviço",0,IF(AND(AUTOEVENTO="Manual",$M564=1),0,IF(OFFSET(CRONOPLE!$F$14,$M564,BR$13)="",10^12,OFFSET(CRONOPLE!$F$14,$M564,BR$13))))</f>
        <v>1000000000000</v>
      </c>
      <c r="BS564" s="181">
        <f ca="1">IF($D564&lt;&gt;"Serviço",0,IF(AND(AUTOEVENTO="Manual",$M564=1),0,IF(OFFSET(CRONOPLE!$F$14,$M564,BS$13)="",10^12,OFFSET(CRONOPLE!$F$14,$M564,BS$13))))</f>
        <v>1000000000000</v>
      </c>
      <c r="BT564" s="181">
        <f ca="1">IF($D564&lt;&gt;"Serviço",0,IF(AND(AUTOEVENTO="Manual",$M564=1),0,IF(OFFSET(CRONOPLE!$F$14,$M564,BT$13)="",10^12,OFFSET(CRONOPLE!$F$14,$M564,BT$13))))</f>
        <v>1000000000000</v>
      </c>
      <c r="BV564" s="182">
        <f ca="1">IF($D564&lt;&gt;"Serviço",0,IF(OR(AND(AUTOEVENTO="Manual",$M564=1),$M564&gt;(ROW(PLE.lastrow)-ROW(PLE.firstrow))),0,IF(OFFSET(PLE!$G$14,$M564,BV$13)="",10^12,OFFSET(PLE!$G$14,$M564,BV$13))))</f>
        <v>1000000000000</v>
      </c>
      <c r="BW564" s="182">
        <f ca="1">IF($D564&lt;&gt;"Serviço",0,IF(OR(AND(AUTOEVENTO="Manual",$M564=1),$M564&gt;(ROW(PLE.lastrow)-ROW(PLE.firstrow))),0,IF(OFFSET(PLE!$G$14,$M564,BW$13)="",10^12,OFFSET(PLE!$G$14,$M564,BW$13))))</f>
        <v>1000000000000</v>
      </c>
      <c r="BX564" s="182">
        <f ca="1">IF($D564&lt;&gt;"Serviço",0,IF(OR(AND(AUTOEVENTO="Manual",$M564=1),$M564&gt;(ROW(PLE.lastrow)-ROW(PLE.firstrow))),0,IF(OFFSET(PLE!$G$14,$M564,BX$13)="",10^12,OFFSET(PLE!$G$14,$M564,BX$13))))</f>
        <v>1000000000000</v>
      </c>
      <c r="BY564" s="182">
        <f ca="1">IF($D564&lt;&gt;"Serviço",0,IF(OR(AND(AUTOEVENTO="Manual",$M564=1),$M564&gt;(ROW(PLE.lastrow)-ROW(PLE.firstrow))),0,IF(OFFSET(PLE!$G$14,$M564,BY$13)="",10^12,OFFSET(PLE!$G$14,$M564,BY$13))))</f>
        <v>1000000000000</v>
      </c>
      <c r="BZ564" s="182">
        <f ca="1">IF($D564&lt;&gt;"Serviço",0,IF(OR(AND(AUTOEVENTO="Manual",$M564=1),$M564&gt;(ROW(PLE.lastrow)-ROW(PLE.firstrow))),0,IF(OFFSET(PLE!$G$14,$M564,BZ$13)="",10^12,OFFSET(PLE!$G$14,$M564,BZ$13))))</f>
        <v>1000000000000</v>
      </c>
      <c r="CA564" s="182">
        <f ca="1">IF($D564&lt;&gt;"Serviço",0,IF(OR(AND(AUTOEVENTO="Manual",$M564=1),$M564&gt;(ROW(PLE.lastrow)-ROW(PLE.firstrow))),0,IF(OFFSET(PLE!$G$14,$M564,CA$13)="",10^12,OFFSET(PLE!$G$14,$M564,CA$13))))</f>
        <v>1000000000000</v>
      </c>
      <c r="CB564" s="182">
        <f ca="1">IF($D564&lt;&gt;"Serviço",0,IF(OR(AND(AUTOEVENTO="Manual",$M564=1),$M564&gt;(ROW(PLE.lastrow)-ROW(PLE.firstrow))),0,IF(OFFSET(PLE!$G$14,$M564,CB$13)="",10^12,OFFSET(PLE!$G$14,$M564,CB$13))))</f>
        <v>1000000000000</v>
      </c>
      <c r="CC564" s="182">
        <f ca="1">IF($D564&lt;&gt;"Serviço",0,IF(OR(AND(AUTOEVENTO="Manual",$M564=1),$M564&gt;(ROW(PLE.lastrow)-ROW(PLE.firstrow))),0,IF(OFFSET(PLE!$G$14,$M564,CC$13)="",10^12,OFFSET(PLE!$G$14,$M564,CC$13))))</f>
        <v>1000000000000</v>
      </c>
      <c r="CD564" s="182">
        <f ca="1">IF($D564&lt;&gt;"Serviço",0,IF(OR(AND(AUTOEVENTO="Manual",$M564=1),$M564&gt;(ROW(PLE.lastrow)-ROW(PLE.firstrow))),0,IF(OFFSET(PLE!$G$14,$M564,CD$13)="",10^12,OFFSET(PLE!$G$14,$M564,CD$13))))</f>
        <v>1000000000000</v>
      </c>
      <c r="CE564" s="182">
        <f ca="1">IF($D564&lt;&gt;"Serviço",0,IF(OR(AND(AUTOEVENTO="Manual",$M564=1),$M564&gt;(ROW(PLE.lastrow)-ROW(PLE.firstrow))),0,IF(OFFSET(PLE!$G$14,$M564,CE$13)="",10^12,OFFSET(PLE!$G$14,$M564,CE$13))))</f>
        <v>1000000000000</v>
      </c>
      <c r="CF564" s="182">
        <f ca="1">IF($D564&lt;&gt;"Serviço",0,IF(OR(AND(AUTOEVENTO="Manual",$M564=1),$M564&gt;(ROW(PLE.lastrow)-ROW(PLE.firstrow))),0,IF(OFFSET(PLE!$G$14,$M564,CF$13)="",10^12,OFFSET(PLE!$G$14,$M564,CF$13))))</f>
        <v>1000000000000</v>
      </c>
      <c r="CG564" s="182">
        <f ca="1">IF($D564&lt;&gt;"Serviço",0,IF(OR(AND(AUTOEVENTO="Manual",$M564=1),$M564&gt;(ROW(PLE.lastrow)-ROW(PLE.firstrow))),0,IF(OFFSET(PLE!$G$14,$M564,CG$13)="",10^12,OFFSET(PLE!$G$14,$M564,CG$13))))</f>
        <v>1000000000000</v>
      </c>
      <c r="CH564" s="182">
        <f ca="1">IF($D564&lt;&gt;"Serviço",0,IF(OR(AND(AUTOEVENTO="Manual",$M564=1),$M564&gt;(ROW(PLE.lastrow)-ROW(PLE.firstrow))),0,IF(OFFSET(PLE!$G$14,$M564,CH$13)="",10^12,OFFSET(PLE!$G$14,$M564,CH$13))))</f>
        <v>1000000000000</v>
      </c>
      <c r="CI564" s="182">
        <f ca="1">IF($D564&lt;&gt;"Serviço",0,IF(OR(AND(AUTOEVENTO="Manual",$M564=1),$M564&gt;(ROW(PLE.lastrow)-ROW(PLE.firstrow))),0,IF(OFFSET(PLE!$G$14,$M564,CI$13)="",10^12,OFFSET(PLE!$G$14,$M564,CI$13))))</f>
        <v>1000000000000</v>
      </c>
      <c r="CJ564" s="182">
        <f ca="1">IF($D564&lt;&gt;"Serviço",0,IF(OR(AND(AUTOEVENTO="Manual",$M564=1),$M564&gt;(ROW(PLE.lastrow)-ROW(PLE.firstrow))),0,IF(OFFSET(PLE!$G$14,$M564,CJ$13)="",10^12,OFFSET(PLE!$G$14,$M564,CJ$13))))</f>
        <v>1000000000000</v>
      </c>
      <c r="CK564" s="182">
        <f ca="1">IF($D564&lt;&gt;"Serviço",0,IF(OR(AND(AUTOEVENTO="Manual",$M564=1),$M564&gt;(ROW(PLE.lastrow)-ROW(PLE.firstrow))),0,IF(OFFSET(PLE!$G$14,$M564,CK$13)="",10^12,OFFSET(PLE!$G$14,$M564,CK$13))))</f>
        <v>1000000000000</v>
      </c>
      <c r="CL564" s="182">
        <f ca="1">IF($D564&lt;&gt;"Serviço",0,IF(OR(AND(AUTOEVENTO="Manual",$M564=1),$M564&gt;(ROW(PLE.lastrow)-ROW(PLE.firstrow))),0,IF(OFFSET(PLE!$G$14,$M564,CL$13)="",10^12,OFFSET(PLE!$G$14,$M564,CL$13))))</f>
        <v>1000000000000</v>
      </c>
      <c r="CM564" s="182">
        <f ca="1">IF($D564&lt;&gt;"Serviço",0,IF(OR(AND(AUTOEVENTO="Manual",$M564=1),$M564&gt;(ROW(PLE.lastrow)-ROW(PLE.firstrow))),0,IF(OFFSET(PLE!$G$14,$M564,CM$13)="",10^12,OFFSET(PLE!$G$14,$M564,CM$13))))</f>
        <v>1000000000000</v>
      </c>
    </row>
    <row r="565" spans="1:91" ht="25.5" x14ac:dyDescent="0.2">
      <c r="A565" s="7" t="str">
        <f t="shared" ca="1" si="17"/>
        <v>528</v>
      </c>
      <c r="B565" s="7" t="str">
        <f ca="1">OFFSET(ORÇAMENTO!C$15,ROW(B565)-ROW(B$15),0)</f>
        <v>S</v>
      </c>
      <c r="C565" s="7" t="str">
        <f ca="1">OFFSET(ORÇAMENTO!L$15,ROW(C565)-ROW(C$15),0)</f>
        <v/>
      </c>
      <c r="D565" s="118" t="str">
        <f ca="1">OFFSET(ORÇAMENTO!N$15,ROW(D565)-ROW(D$15),0)</f>
        <v>Serviço</v>
      </c>
      <c r="E565" s="119" t="str">
        <f ca="1">OFFSET(ORÇAMENTO!O$15,ROW(E565)-ROW(E$15),0)</f>
        <v>-</v>
      </c>
      <c r="F565" s="172" t="str">
        <f ca="1">OFFSET(ORÇAMENTO!R$15,ROW(F565)-ROW(F$15),0)</f>
        <v>(abra o arquivo 'Referência 06-2024.xlsm)</v>
      </c>
      <c r="G565" s="173" t="str">
        <f ca="1">IF($D565&lt;&gt;"Serviço","",OFFSET(ORÇAMENTO!S$15,ROW(G565)-ROW(G$15),0))</f>
        <v>-</v>
      </c>
      <c r="H565" s="124">
        <f ca="1">IF($D565&lt;&gt;"Serviço",0,IF(ACOMPANHAMENTO="BM",ROUND(OFFSET(ORÇAMENTO!AJ$15,ROW(H565)-ROW(H$15),0),15-13*ORÇAMENTO!$AF$7),SUMPRODUCT(($Q$12:$AI$12&lt;&gt;"")*ROUND($Q565:$AI565,15-13*ORÇAMENTO!$AF$7))))</f>
        <v>1</v>
      </c>
      <c r="I565" s="561" t="s">
        <v>1107</v>
      </c>
      <c r="K565" s="174"/>
      <c r="L565" s="175" t="s">
        <v>255</v>
      </c>
      <c r="M565" s="176">
        <f ca="1">IF($D565&lt;&gt;"Serviço","",IF(AUTOEVENTO="manual",$A565,IF(ISERROR(MATCH($A565,$A$15:OFFSET($A565,-1,0),0)),MAX($M$15:OFFSET(M565,-1,0))+1,INDEX($M$15:OFFSET(M565,-1,0),MATCH($A565,$A$15:OFFSET($A565,-1,0),0)))))</f>
        <v>57</v>
      </c>
      <c r="N565" s="177" t="str">
        <f ca="1">IF($D565&lt;&gt;"Serviço","",IF(AUTOEVENTO="Manual",IF($A565=0,"&lt;-- defina o número do agrupador",OFFSET(EVENTOS!$D$14,$A565,0)),OFFSET($F$15,$A565,0)))</f>
        <v>INSTALAÇÃO ELÉTRICA 110V - DISPOSITIVOS DE PROTEÇÃO</v>
      </c>
      <c r="O565" s="178"/>
      <c r="Q565" s="178">
        <v>1</v>
      </c>
      <c r="R565" s="179"/>
      <c r="S565" s="179"/>
      <c r="T565" s="179"/>
      <c r="U565" s="179"/>
      <c r="V565" s="179"/>
      <c r="W565" s="179"/>
      <c r="X565" s="179"/>
      <c r="Y565" s="179"/>
      <c r="Z565" s="180"/>
      <c r="AA565" s="179"/>
      <c r="AB565" s="179"/>
      <c r="AC565" s="179"/>
      <c r="AD565" s="179"/>
      <c r="AE565" s="179"/>
      <c r="AF565" s="179"/>
      <c r="AG565" s="179"/>
      <c r="AH565" s="180"/>
      <c r="AJ565" s="544">
        <f ca="1">IF(AND($D565="Serviço",AJ$12&lt;&gt;0,$H565&gt;0,OR(AUTOEVENTO&lt;&gt;"manual",$M565&lt;&gt;1)),
IF(Import.TipoArredondamento&lt;&gt;"TransfereGOV",
ROUND(OFFSET($P565,0,AJ$13),15-13*ORÇAMENTO!$AF$7)/$H565*OFFSET(ORÇAMENTO!$X$15,ROW(AJ565)-ROW(AJ$15),0),
ROUND(ROUND(OFFSET($P565,0,AJ$13),15-13*ORÇAMENTO!$AF$7)*OFFSET(ORÇAMENTO!$W$15,ROW(AJ565)-ROW(AJ$15),0),15-13*ORÇAMENTO!$AF$11)),0)</f>
        <v>0</v>
      </c>
      <c r="AK565" s="545">
        <f ca="1">IF(AND($D565="Serviço",AK$12&lt;&gt;0,$H565&gt;0,OR(AUTOEVENTO&lt;&gt;"manual",$M565&lt;&gt;1)),
IF(Import.TipoArredondamento&lt;&gt;"TransfereGOV",
ROUND(OFFSET($P565,0,AK$13),15-13*ORÇAMENTO!$AF$7)/$H565*OFFSET(ORÇAMENTO!$X$15,ROW(AK565)-ROW(AK$15),0),
ROUND(ROUND(OFFSET($P565,0,AK$13),15-13*ORÇAMENTO!$AF$7)*OFFSET(ORÇAMENTO!$W$15,ROW(AK565)-ROW(AK$15),0),15-13*ORÇAMENTO!$AF$11)),0)</f>
        <v>0</v>
      </c>
      <c r="AL565" s="545">
        <f ca="1">IF(AND($D565="Serviço",AL$12&lt;&gt;0,$H565&gt;0,OR(AUTOEVENTO&lt;&gt;"manual",$M565&lt;&gt;1)),
IF(Import.TipoArredondamento&lt;&gt;"TransfereGOV",
ROUND(OFFSET($P565,0,AL$13),15-13*ORÇAMENTO!$AF$7)/$H565*OFFSET(ORÇAMENTO!$X$15,ROW(AL565)-ROW(AL$15),0),
ROUND(ROUND(OFFSET($P565,0,AL$13),15-13*ORÇAMENTO!$AF$7)*OFFSET(ORÇAMENTO!$W$15,ROW(AL565)-ROW(AL$15),0),15-13*ORÇAMENTO!$AF$11)),0)</f>
        <v>0</v>
      </c>
      <c r="AM565" s="545">
        <f ca="1">IF(AND($D565="Serviço",AM$12&lt;&gt;0,$H565&gt;0,OR(AUTOEVENTO&lt;&gt;"manual",$M565&lt;&gt;1)),
IF(Import.TipoArredondamento&lt;&gt;"TransfereGOV",
ROUND(OFFSET($P565,0,AM$13),15-13*ORÇAMENTO!$AF$7)/$H565*OFFSET(ORÇAMENTO!$X$15,ROW(AM565)-ROW(AM$15),0),
ROUND(ROUND(OFFSET($P565,0,AM$13),15-13*ORÇAMENTO!$AF$7)*OFFSET(ORÇAMENTO!$W$15,ROW(AM565)-ROW(AM$15),0),15-13*ORÇAMENTO!$AF$11)),0)</f>
        <v>0</v>
      </c>
      <c r="AN565" s="545">
        <f ca="1">IF(AND($D565="Serviço",AN$12&lt;&gt;0,$H565&gt;0,OR(AUTOEVENTO&lt;&gt;"manual",$M565&lt;&gt;1)),
IF(Import.TipoArredondamento&lt;&gt;"TransfereGOV",
ROUND(OFFSET($P565,0,AN$13),15-13*ORÇAMENTO!$AF$7)/$H565*OFFSET(ORÇAMENTO!$X$15,ROW(AN565)-ROW(AN$15),0),
ROUND(ROUND(OFFSET($P565,0,AN$13),15-13*ORÇAMENTO!$AF$7)*OFFSET(ORÇAMENTO!$W$15,ROW(AN565)-ROW(AN$15),0),15-13*ORÇAMENTO!$AF$11)),0)</f>
        <v>0</v>
      </c>
      <c r="AO565" s="545">
        <f ca="1">IF(AND($D565="Serviço",AO$12&lt;&gt;0,$H565&gt;0,OR(AUTOEVENTO&lt;&gt;"manual",$M565&lt;&gt;1)),
IF(Import.TipoArredondamento&lt;&gt;"TransfereGOV",
ROUND(OFFSET($P565,0,AO$13),15-13*ORÇAMENTO!$AF$7)/$H565*OFFSET(ORÇAMENTO!$X$15,ROW(AO565)-ROW(AO$15),0),
ROUND(ROUND(OFFSET($P565,0,AO$13),15-13*ORÇAMENTO!$AF$7)*OFFSET(ORÇAMENTO!$W$15,ROW(AO565)-ROW(AO$15),0),15-13*ORÇAMENTO!$AF$11)),0)</f>
        <v>0</v>
      </c>
      <c r="AP565" s="545">
        <f ca="1">IF(AND($D565="Serviço",AP$12&lt;&gt;0,$H565&gt;0,OR(AUTOEVENTO&lt;&gt;"manual",$M565&lt;&gt;1)),
IF(Import.TipoArredondamento&lt;&gt;"TransfereGOV",
ROUND(OFFSET($P565,0,AP$13),15-13*ORÇAMENTO!$AF$7)/$H565*OFFSET(ORÇAMENTO!$X$15,ROW(AP565)-ROW(AP$15),0),
ROUND(ROUND(OFFSET($P565,0,AP$13),15-13*ORÇAMENTO!$AF$7)*OFFSET(ORÇAMENTO!$W$15,ROW(AP565)-ROW(AP$15),0),15-13*ORÇAMENTO!$AF$11)),0)</f>
        <v>0</v>
      </c>
      <c r="AQ565" s="545">
        <f ca="1">IF(AND($D565="Serviço",AQ$12&lt;&gt;0,$H565&gt;0,OR(AUTOEVENTO&lt;&gt;"manual",$M565&lt;&gt;1)),
IF(Import.TipoArredondamento&lt;&gt;"TransfereGOV",
ROUND(OFFSET($P565,0,AQ$13),15-13*ORÇAMENTO!$AF$7)/$H565*OFFSET(ORÇAMENTO!$X$15,ROW(AQ565)-ROW(AQ$15),0),
ROUND(ROUND(OFFSET($P565,0,AQ$13),15-13*ORÇAMENTO!$AF$7)*OFFSET(ORÇAMENTO!$W$15,ROW(AQ565)-ROW(AQ$15),0),15-13*ORÇAMENTO!$AF$11)),0)</f>
        <v>0</v>
      </c>
      <c r="AR565" s="545">
        <f ca="1">IF(AND($D565="Serviço",AR$12&lt;&gt;0,$H565&gt;0,OR(AUTOEVENTO&lt;&gt;"manual",$M565&lt;&gt;1)),
IF(Import.TipoArredondamento&lt;&gt;"TransfereGOV",
ROUND(OFFSET($P565,0,AR$13),15-13*ORÇAMENTO!$AF$7)/$H565*OFFSET(ORÇAMENTO!$X$15,ROW(AR565)-ROW(AR$15),0),
ROUND(ROUND(OFFSET($P565,0,AR$13),15-13*ORÇAMENTO!$AF$7)*OFFSET(ORÇAMENTO!$W$15,ROW(AR565)-ROW(AR$15),0),15-13*ORÇAMENTO!$AF$11)),0)</f>
        <v>0</v>
      </c>
      <c r="AS565" s="546">
        <f ca="1">IF(AND($D565="Serviço",AS$12&lt;&gt;0,$H565&gt;0,OR(AUTOEVENTO&lt;&gt;"manual",$M565&lt;&gt;1)),
IF(Import.TipoArredondamento&lt;&gt;"TransfereGOV",
ROUND(OFFSET($P565,0,AS$13),15-13*ORÇAMENTO!$AF$7)/$H565*OFFSET(ORÇAMENTO!$X$15,ROW(AS565)-ROW(AS$15),0),
ROUND(ROUND(OFFSET($P565,0,AS$13),15-13*ORÇAMENTO!$AF$7)*OFFSET(ORÇAMENTO!$W$15,ROW(AS565)-ROW(AS$15),0),15-13*ORÇAMENTO!$AF$11)),0)</f>
        <v>0</v>
      </c>
      <c r="AT565" s="545">
        <f ca="1">IF(AND($D565="Serviço",AT$12&lt;&gt;0,$H565&gt;0,OR(AUTOEVENTO&lt;&gt;"manual",$M565&lt;&gt;1)),
IF(Import.TipoArredondamento&lt;&gt;"TransfereGOV",
ROUND(OFFSET($P565,0,AT$13),15-13*ORÇAMENTO!$AF$7)/$H565*OFFSET(ORÇAMENTO!$X$15,ROW(AT565)-ROW(AT$15),0),
ROUND(ROUND(OFFSET($P565,0,AT$13),15-13*ORÇAMENTO!$AF$7)*OFFSET(ORÇAMENTO!$W$15,ROW(AT565)-ROW(AT$15),0),15-13*ORÇAMENTO!$AF$11)),0)</f>
        <v>0</v>
      </c>
      <c r="AU565" s="545">
        <f ca="1">IF(AND($D565="Serviço",AU$12&lt;&gt;0,$H565&gt;0,OR(AUTOEVENTO&lt;&gt;"manual",$M565&lt;&gt;1)),
IF(Import.TipoArredondamento&lt;&gt;"TransfereGOV",
ROUND(OFFSET($P565,0,AU$13),15-13*ORÇAMENTO!$AF$7)/$H565*OFFSET(ORÇAMENTO!$X$15,ROW(AU565)-ROW(AU$15),0),
ROUND(ROUND(OFFSET($P565,0,AU$13),15-13*ORÇAMENTO!$AF$7)*OFFSET(ORÇAMENTO!$W$15,ROW(AU565)-ROW(AU$15),0),15-13*ORÇAMENTO!$AF$11)),0)</f>
        <v>0</v>
      </c>
      <c r="AV565" s="545">
        <f ca="1">IF(AND($D565="Serviço",AV$12&lt;&gt;0,$H565&gt;0,OR(AUTOEVENTO&lt;&gt;"manual",$M565&lt;&gt;1)),
IF(Import.TipoArredondamento&lt;&gt;"TransfereGOV",
ROUND(OFFSET($P565,0,AV$13),15-13*ORÇAMENTO!$AF$7)/$H565*OFFSET(ORÇAMENTO!$X$15,ROW(AV565)-ROW(AV$15),0),
ROUND(ROUND(OFFSET($P565,0,AV$13),15-13*ORÇAMENTO!$AF$7)*OFFSET(ORÇAMENTO!$W$15,ROW(AV565)-ROW(AV$15),0),15-13*ORÇAMENTO!$AF$11)),0)</f>
        <v>0</v>
      </c>
      <c r="AW565" s="545">
        <f ca="1">IF(AND($D565="Serviço",AW$12&lt;&gt;0,$H565&gt;0,OR(AUTOEVENTO&lt;&gt;"manual",$M565&lt;&gt;1)),
IF(Import.TipoArredondamento&lt;&gt;"TransfereGOV",
ROUND(OFFSET($P565,0,AW$13),15-13*ORÇAMENTO!$AF$7)/$H565*OFFSET(ORÇAMENTO!$X$15,ROW(AW565)-ROW(AW$15),0),
ROUND(ROUND(OFFSET($P565,0,AW$13),15-13*ORÇAMENTO!$AF$7)*OFFSET(ORÇAMENTO!$W$15,ROW(AW565)-ROW(AW$15),0),15-13*ORÇAMENTO!$AF$11)),0)</f>
        <v>0</v>
      </c>
      <c r="AX565" s="545">
        <f ca="1">IF(AND($D565="Serviço",AX$12&lt;&gt;0,$H565&gt;0,OR(AUTOEVENTO&lt;&gt;"manual",$M565&lt;&gt;1)),
IF(Import.TipoArredondamento&lt;&gt;"TransfereGOV",
ROUND(OFFSET($P565,0,AX$13),15-13*ORÇAMENTO!$AF$7)/$H565*OFFSET(ORÇAMENTO!$X$15,ROW(AX565)-ROW(AX$15),0),
ROUND(ROUND(OFFSET($P565,0,AX$13),15-13*ORÇAMENTO!$AF$7)*OFFSET(ORÇAMENTO!$W$15,ROW(AX565)-ROW(AX$15),0),15-13*ORÇAMENTO!$AF$11)),0)</f>
        <v>0</v>
      </c>
      <c r="AY565" s="545">
        <f ca="1">IF(AND($D565="Serviço",AY$12&lt;&gt;0,$H565&gt;0,OR(AUTOEVENTO&lt;&gt;"manual",$M565&lt;&gt;1)),
IF(Import.TipoArredondamento&lt;&gt;"TransfereGOV",
ROUND(OFFSET($P565,0,AY$13),15-13*ORÇAMENTO!$AF$7)/$H565*OFFSET(ORÇAMENTO!$X$15,ROW(AY565)-ROW(AY$15),0),
ROUND(ROUND(OFFSET($P565,0,AY$13),15-13*ORÇAMENTO!$AF$7)*OFFSET(ORÇAMENTO!$W$15,ROW(AY565)-ROW(AY$15),0),15-13*ORÇAMENTO!$AF$11)),0)</f>
        <v>0</v>
      </c>
      <c r="AZ565" s="545">
        <f ca="1">IF(AND($D565="Serviço",AZ$12&lt;&gt;0,$H565&gt;0,OR(AUTOEVENTO&lt;&gt;"manual",$M565&lt;&gt;1)),
IF(Import.TipoArredondamento&lt;&gt;"TransfereGOV",
ROUND(OFFSET($P565,0,AZ$13),15-13*ORÇAMENTO!$AF$7)/$H565*OFFSET(ORÇAMENTO!$X$15,ROW(AZ565)-ROW(AZ$15),0),
ROUND(ROUND(OFFSET($P565,0,AZ$13),15-13*ORÇAMENTO!$AF$7)*OFFSET(ORÇAMENTO!$W$15,ROW(AZ565)-ROW(AZ$15),0),15-13*ORÇAMENTO!$AF$11)),0)</f>
        <v>0</v>
      </c>
      <c r="BA565" s="546">
        <f ca="1">IF(AND($D565="Serviço",BA$12&lt;&gt;0,$H565&gt;0,OR(AUTOEVENTO&lt;&gt;"manual",$M565&lt;&gt;1)),
IF(Import.TipoArredondamento&lt;&gt;"TransfereGOV",
ROUND(OFFSET($P565,0,BA$13),15-13*ORÇAMENTO!$AF$7)/$H565*OFFSET(ORÇAMENTO!$X$15,ROW(BA565)-ROW(BA$15),0),
ROUND(ROUND(OFFSET($P565,0,BA$13),15-13*ORÇAMENTO!$AF$7)*OFFSET(ORÇAMENTO!$W$15,ROW(BA565)-ROW(BA$15),0),15-13*ORÇAMENTO!$AF$11)),0)</f>
        <v>0</v>
      </c>
      <c r="BC565" s="181">
        <f ca="1">IF($D565&lt;&gt;"Serviço",0,IF(AND(AUTOEVENTO="Manual",$M565=1),0,IF(OFFSET(CRONOPLE!$F$14,$M565,BC$13)="",10^12,OFFSET(CRONOPLE!$F$14,$M565,BC$13))))</f>
        <v>10</v>
      </c>
      <c r="BD565" s="181">
        <f ca="1">IF($D565&lt;&gt;"Serviço",0,IF(AND(AUTOEVENTO="Manual",$M565=1),0,IF(OFFSET(CRONOPLE!$F$14,$M565,BD$13)="",10^12,OFFSET(CRONOPLE!$F$14,$M565,BD$13))))</f>
        <v>1000000000000</v>
      </c>
      <c r="BE565" s="181">
        <f ca="1">IF($D565&lt;&gt;"Serviço",0,IF(AND(AUTOEVENTO="Manual",$M565=1),0,IF(OFFSET(CRONOPLE!$F$14,$M565,BE$13)="",10^12,OFFSET(CRONOPLE!$F$14,$M565,BE$13))))</f>
        <v>1000000000000</v>
      </c>
      <c r="BF565" s="181">
        <f ca="1">IF($D565&lt;&gt;"Serviço",0,IF(AND(AUTOEVENTO="Manual",$M565=1),0,IF(OFFSET(CRONOPLE!$F$14,$M565,BF$13)="",10^12,OFFSET(CRONOPLE!$F$14,$M565,BF$13))))</f>
        <v>1000000000000</v>
      </c>
      <c r="BG565" s="181">
        <f ca="1">IF($D565&lt;&gt;"Serviço",0,IF(AND(AUTOEVENTO="Manual",$M565=1),0,IF(OFFSET(CRONOPLE!$F$14,$M565,BG$13)="",10^12,OFFSET(CRONOPLE!$F$14,$M565,BG$13))))</f>
        <v>1000000000000</v>
      </c>
      <c r="BH565" s="181">
        <f ca="1">IF($D565&lt;&gt;"Serviço",0,IF(AND(AUTOEVENTO="Manual",$M565=1),0,IF(OFFSET(CRONOPLE!$F$14,$M565,BH$13)="",10^12,OFFSET(CRONOPLE!$F$14,$M565,BH$13))))</f>
        <v>1000000000000</v>
      </c>
      <c r="BI565" s="181">
        <f ca="1">IF($D565&lt;&gt;"Serviço",0,IF(AND(AUTOEVENTO="Manual",$M565=1),0,IF(OFFSET(CRONOPLE!$F$14,$M565,BI$13)="",10^12,OFFSET(CRONOPLE!$F$14,$M565,BI$13))))</f>
        <v>1000000000000</v>
      </c>
      <c r="BJ565" s="181">
        <f ca="1">IF($D565&lt;&gt;"Serviço",0,IF(AND(AUTOEVENTO="Manual",$M565=1),0,IF(OFFSET(CRONOPLE!$F$14,$M565,BJ$13)="",10^12,OFFSET(CRONOPLE!$F$14,$M565,BJ$13))))</f>
        <v>1000000000000</v>
      </c>
      <c r="BK565" s="181">
        <f ca="1">IF($D565&lt;&gt;"Serviço",0,IF(AND(AUTOEVENTO="Manual",$M565=1),0,IF(OFFSET(CRONOPLE!$F$14,$M565,BK$13)="",10^12,OFFSET(CRONOPLE!$F$14,$M565,BK$13))))</f>
        <v>1000000000000</v>
      </c>
      <c r="BL565" s="181">
        <f ca="1">IF($D565&lt;&gt;"Serviço",0,IF(AND(AUTOEVENTO="Manual",$M565=1),0,IF(OFFSET(CRONOPLE!$F$14,$M565,BL$13)="",10^12,OFFSET(CRONOPLE!$F$14,$M565,BL$13))))</f>
        <v>1000000000000</v>
      </c>
      <c r="BM565" s="181">
        <f ca="1">IF($D565&lt;&gt;"Serviço",0,IF(AND(AUTOEVENTO="Manual",$M565=1),0,IF(OFFSET(CRONOPLE!$F$14,$M565,BM$13)="",10^12,OFFSET(CRONOPLE!$F$14,$M565,BM$13))))</f>
        <v>1000000000000</v>
      </c>
      <c r="BN565" s="181">
        <f ca="1">IF($D565&lt;&gt;"Serviço",0,IF(AND(AUTOEVENTO="Manual",$M565=1),0,IF(OFFSET(CRONOPLE!$F$14,$M565,BN$13)="",10^12,OFFSET(CRONOPLE!$F$14,$M565,BN$13))))</f>
        <v>1000000000000</v>
      </c>
      <c r="BO565" s="181">
        <f ca="1">IF($D565&lt;&gt;"Serviço",0,IF(AND(AUTOEVENTO="Manual",$M565=1),0,IF(OFFSET(CRONOPLE!$F$14,$M565,BO$13)="",10^12,OFFSET(CRONOPLE!$F$14,$M565,BO$13))))</f>
        <v>1000000000000</v>
      </c>
      <c r="BP565" s="181">
        <f ca="1">IF($D565&lt;&gt;"Serviço",0,IF(AND(AUTOEVENTO="Manual",$M565=1),0,IF(OFFSET(CRONOPLE!$F$14,$M565,BP$13)="",10^12,OFFSET(CRONOPLE!$F$14,$M565,BP$13))))</f>
        <v>1000000000000</v>
      </c>
      <c r="BQ565" s="181">
        <f ca="1">IF($D565&lt;&gt;"Serviço",0,IF(AND(AUTOEVENTO="Manual",$M565=1),0,IF(OFFSET(CRONOPLE!$F$14,$M565,BQ$13)="",10^12,OFFSET(CRONOPLE!$F$14,$M565,BQ$13))))</f>
        <v>1000000000000</v>
      </c>
      <c r="BR565" s="181">
        <f ca="1">IF($D565&lt;&gt;"Serviço",0,IF(AND(AUTOEVENTO="Manual",$M565=1),0,IF(OFFSET(CRONOPLE!$F$14,$M565,BR$13)="",10^12,OFFSET(CRONOPLE!$F$14,$M565,BR$13))))</f>
        <v>1000000000000</v>
      </c>
      <c r="BS565" s="181">
        <f ca="1">IF($D565&lt;&gt;"Serviço",0,IF(AND(AUTOEVENTO="Manual",$M565=1),0,IF(OFFSET(CRONOPLE!$F$14,$M565,BS$13)="",10^12,OFFSET(CRONOPLE!$F$14,$M565,BS$13))))</f>
        <v>1000000000000</v>
      </c>
      <c r="BT565" s="181">
        <f ca="1">IF($D565&lt;&gt;"Serviço",0,IF(AND(AUTOEVENTO="Manual",$M565=1),0,IF(OFFSET(CRONOPLE!$F$14,$M565,BT$13)="",10^12,OFFSET(CRONOPLE!$F$14,$M565,BT$13))))</f>
        <v>1000000000000</v>
      </c>
      <c r="BV565" s="182">
        <f ca="1">IF($D565&lt;&gt;"Serviço",0,IF(OR(AND(AUTOEVENTO="Manual",$M565=1),$M565&gt;(ROW(PLE.lastrow)-ROW(PLE.firstrow))),0,IF(OFFSET(PLE!$G$14,$M565,BV$13)="",10^12,OFFSET(PLE!$G$14,$M565,BV$13))))</f>
        <v>1000000000000</v>
      </c>
      <c r="BW565" s="182">
        <f ca="1">IF($D565&lt;&gt;"Serviço",0,IF(OR(AND(AUTOEVENTO="Manual",$M565=1),$M565&gt;(ROW(PLE.lastrow)-ROW(PLE.firstrow))),0,IF(OFFSET(PLE!$G$14,$M565,BW$13)="",10^12,OFFSET(PLE!$G$14,$M565,BW$13))))</f>
        <v>1000000000000</v>
      </c>
      <c r="BX565" s="182">
        <f ca="1">IF($D565&lt;&gt;"Serviço",0,IF(OR(AND(AUTOEVENTO="Manual",$M565=1),$M565&gt;(ROW(PLE.lastrow)-ROW(PLE.firstrow))),0,IF(OFFSET(PLE!$G$14,$M565,BX$13)="",10^12,OFFSET(PLE!$G$14,$M565,BX$13))))</f>
        <v>1000000000000</v>
      </c>
      <c r="BY565" s="182">
        <f ca="1">IF($D565&lt;&gt;"Serviço",0,IF(OR(AND(AUTOEVENTO="Manual",$M565=1),$M565&gt;(ROW(PLE.lastrow)-ROW(PLE.firstrow))),0,IF(OFFSET(PLE!$G$14,$M565,BY$13)="",10^12,OFFSET(PLE!$G$14,$M565,BY$13))))</f>
        <v>1000000000000</v>
      </c>
      <c r="BZ565" s="182">
        <f ca="1">IF($D565&lt;&gt;"Serviço",0,IF(OR(AND(AUTOEVENTO="Manual",$M565=1),$M565&gt;(ROW(PLE.lastrow)-ROW(PLE.firstrow))),0,IF(OFFSET(PLE!$G$14,$M565,BZ$13)="",10^12,OFFSET(PLE!$G$14,$M565,BZ$13))))</f>
        <v>1000000000000</v>
      </c>
      <c r="CA565" s="182">
        <f ca="1">IF($D565&lt;&gt;"Serviço",0,IF(OR(AND(AUTOEVENTO="Manual",$M565=1),$M565&gt;(ROW(PLE.lastrow)-ROW(PLE.firstrow))),0,IF(OFFSET(PLE!$G$14,$M565,CA$13)="",10^12,OFFSET(PLE!$G$14,$M565,CA$13))))</f>
        <v>1000000000000</v>
      </c>
      <c r="CB565" s="182">
        <f ca="1">IF($D565&lt;&gt;"Serviço",0,IF(OR(AND(AUTOEVENTO="Manual",$M565=1),$M565&gt;(ROW(PLE.lastrow)-ROW(PLE.firstrow))),0,IF(OFFSET(PLE!$G$14,$M565,CB$13)="",10^12,OFFSET(PLE!$G$14,$M565,CB$13))))</f>
        <v>1000000000000</v>
      </c>
      <c r="CC565" s="182">
        <f ca="1">IF($D565&lt;&gt;"Serviço",0,IF(OR(AND(AUTOEVENTO="Manual",$M565=1),$M565&gt;(ROW(PLE.lastrow)-ROW(PLE.firstrow))),0,IF(OFFSET(PLE!$G$14,$M565,CC$13)="",10^12,OFFSET(PLE!$G$14,$M565,CC$13))))</f>
        <v>1000000000000</v>
      </c>
      <c r="CD565" s="182">
        <f ca="1">IF($D565&lt;&gt;"Serviço",0,IF(OR(AND(AUTOEVENTO="Manual",$M565=1),$M565&gt;(ROW(PLE.lastrow)-ROW(PLE.firstrow))),0,IF(OFFSET(PLE!$G$14,$M565,CD$13)="",10^12,OFFSET(PLE!$G$14,$M565,CD$13))))</f>
        <v>1000000000000</v>
      </c>
      <c r="CE565" s="182">
        <f ca="1">IF($D565&lt;&gt;"Serviço",0,IF(OR(AND(AUTOEVENTO="Manual",$M565=1),$M565&gt;(ROW(PLE.lastrow)-ROW(PLE.firstrow))),0,IF(OFFSET(PLE!$G$14,$M565,CE$13)="",10^12,OFFSET(PLE!$G$14,$M565,CE$13))))</f>
        <v>1000000000000</v>
      </c>
      <c r="CF565" s="182">
        <f ca="1">IF($D565&lt;&gt;"Serviço",0,IF(OR(AND(AUTOEVENTO="Manual",$M565=1),$M565&gt;(ROW(PLE.lastrow)-ROW(PLE.firstrow))),0,IF(OFFSET(PLE!$G$14,$M565,CF$13)="",10^12,OFFSET(PLE!$G$14,$M565,CF$13))))</f>
        <v>1000000000000</v>
      </c>
      <c r="CG565" s="182">
        <f ca="1">IF($D565&lt;&gt;"Serviço",0,IF(OR(AND(AUTOEVENTO="Manual",$M565=1),$M565&gt;(ROW(PLE.lastrow)-ROW(PLE.firstrow))),0,IF(OFFSET(PLE!$G$14,$M565,CG$13)="",10^12,OFFSET(PLE!$G$14,$M565,CG$13))))</f>
        <v>1000000000000</v>
      </c>
      <c r="CH565" s="182">
        <f ca="1">IF($D565&lt;&gt;"Serviço",0,IF(OR(AND(AUTOEVENTO="Manual",$M565=1),$M565&gt;(ROW(PLE.lastrow)-ROW(PLE.firstrow))),0,IF(OFFSET(PLE!$G$14,$M565,CH$13)="",10^12,OFFSET(PLE!$G$14,$M565,CH$13))))</f>
        <v>1000000000000</v>
      </c>
      <c r="CI565" s="182">
        <f ca="1">IF($D565&lt;&gt;"Serviço",0,IF(OR(AND(AUTOEVENTO="Manual",$M565=1),$M565&gt;(ROW(PLE.lastrow)-ROW(PLE.firstrow))),0,IF(OFFSET(PLE!$G$14,$M565,CI$13)="",10^12,OFFSET(PLE!$G$14,$M565,CI$13))))</f>
        <v>1000000000000</v>
      </c>
      <c r="CJ565" s="182">
        <f ca="1">IF($D565&lt;&gt;"Serviço",0,IF(OR(AND(AUTOEVENTO="Manual",$M565=1),$M565&gt;(ROW(PLE.lastrow)-ROW(PLE.firstrow))),0,IF(OFFSET(PLE!$G$14,$M565,CJ$13)="",10^12,OFFSET(PLE!$G$14,$M565,CJ$13))))</f>
        <v>1000000000000</v>
      </c>
      <c r="CK565" s="182">
        <f ca="1">IF($D565&lt;&gt;"Serviço",0,IF(OR(AND(AUTOEVENTO="Manual",$M565=1),$M565&gt;(ROW(PLE.lastrow)-ROW(PLE.firstrow))),0,IF(OFFSET(PLE!$G$14,$M565,CK$13)="",10^12,OFFSET(PLE!$G$14,$M565,CK$13))))</f>
        <v>1000000000000</v>
      </c>
      <c r="CL565" s="182">
        <f ca="1">IF($D565&lt;&gt;"Serviço",0,IF(OR(AND(AUTOEVENTO="Manual",$M565=1),$M565&gt;(ROW(PLE.lastrow)-ROW(PLE.firstrow))),0,IF(OFFSET(PLE!$G$14,$M565,CL$13)="",10^12,OFFSET(PLE!$G$14,$M565,CL$13))))</f>
        <v>1000000000000</v>
      </c>
      <c r="CM565" s="182">
        <f ca="1">IF($D565&lt;&gt;"Serviço",0,IF(OR(AND(AUTOEVENTO="Manual",$M565=1),$M565&gt;(ROW(PLE.lastrow)-ROW(PLE.firstrow))),0,IF(OFFSET(PLE!$G$14,$M565,CM$13)="",10^12,OFFSET(PLE!$G$14,$M565,CM$13))))</f>
        <v>1000000000000</v>
      </c>
    </row>
    <row r="566" spans="1:91" ht="25.5" x14ac:dyDescent="0.2">
      <c r="A566" s="7" t="str">
        <f t="shared" ca="1" si="17"/>
        <v>528</v>
      </c>
      <c r="B566" s="7" t="str">
        <f ca="1">OFFSET(ORÇAMENTO!C$15,ROW(B566)-ROW(B$15),0)</f>
        <v>S</v>
      </c>
      <c r="C566" s="7" t="str">
        <f ca="1">OFFSET(ORÇAMENTO!L$15,ROW(C566)-ROW(C$15),0)</f>
        <v/>
      </c>
      <c r="D566" s="118" t="str">
        <f ca="1">OFFSET(ORÇAMENTO!N$15,ROW(D566)-ROW(D$15),0)</f>
        <v>Serviço</v>
      </c>
      <c r="E566" s="119" t="str">
        <f ca="1">OFFSET(ORÇAMENTO!O$15,ROW(E566)-ROW(E$15),0)</f>
        <v>-</v>
      </c>
      <c r="F566" s="172" t="str">
        <f ca="1">OFFSET(ORÇAMENTO!R$15,ROW(F566)-ROW(F$15),0)</f>
        <v>(abra o arquivo 'Referência 06-2024.xlsm)</v>
      </c>
      <c r="G566" s="173" t="str">
        <f ca="1">IF($D566&lt;&gt;"Serviço","",OFFSET(ORÇAMENTO!S$15,ROW(G566)-ROW(G$15),0))</f>
        <v>-</v>
      </c>
      <c r="H566" s="124">
        <f ca="1">IF($D566&lt;&gt;"Serviço",0,IF(ACOMPANHAMENTO="BM",ROUND(OFFSET(ORÇAMENTO!AJ$15,ROW(H566)-ROW(H$15),0),15-13*ORÇAMENTO!$AF$7),SUMPRODUCT(($Q$12:$AI$12&lt;&gt;"")*ROUND($Q566:$AI566,15-13*ORÇAMENTO!$AF$7))))</f>
        <v>2</v>
      </c>
      <c r="I566" s="561" t="s">
        <v>1107</v>
      </c>
      <c r="K566" s="174"/>
      <c r="L566" s="175" t="s">
        <v>255</v>
      </c>
      <c r="M566" s="176">
        <f ca="1">IF($D566&lt;&gt;"Serviço","",IF(AUTOEVENTO="manual",$A566,IF(ISERROR(MATCH($A566,$A$15:OFFSET($A566,-1,0),0)),MAX($M$15:OFFSET(M566,-1,0))+1,INDEX($M$15:OFFSET(M566,-1,0),MATCH($A566,$A$15:OFFSET($A566,-1,0),0)))))</f>
        <v>57</v>
      </c>
      <c r="N566" s="177" t="str">
        <f ca="1">IF($D566&lt;&gt;"Serviço","",IF(AUTOEVENTO="Manual",IF($A566=0,"&lt;-- defina o número do agrupador",OFFSET(EVENTOS!$D$14,$A566,0)),OFFSET($F$15,$A566,0)))</f>
        <v>INSTALAÇÃO ELÉTRICA 110V - DISPOSITIVOS DE PROTEÇÃO</v>
      </c>
      <c r="O566" s="178"/>
      <c r="Q566" s="178">
        <v>2</v>
      </c>
      <c r="R566" s="179"/>
      <c r="S566" s="179"/>
      <c r="T566" s="179"/>
      <c r="U566" s="179"/>
      <c r="V566" s="179"/>
      <c r="W566" s="179"/>
      <c r="X566" s="179"/>
      <c r="Y566" s="179"/>
      <c r="Z566" s="180"/>
      <c r="AA566" s="179"/>
      <c r="AB566" s="179"/>
      <c r="AC566" s="179"/>
      <c r="AD566" s="179"/>
      <c r="AE566" s="179"/>
      <c r="AF566" s="179"/>
      <c r="AG566" s="179"/>
      <c r="AH566" s="180"/>
      <c r="AJ566" s="544">
        <f ca="1">IF(AND($D566="Serviço",AJ$12&lt;&gt;0,$H566&gt;0,OR(AUTOEVENTO&lt;&gt;"manual",$M566&lt;&gt;1)),
IF(Import.TipoArredondamento&lt;&gt;"TransfereGOV",
ROUND(OFFSET($P566,0,AJ$13),15-13*ORÇAMENTO!$AF$7)/$H566*OFFSET(ORÇAMENTO!$X$15,ROW(AJ566)-ROW(AJ$15),0),
ROUND(ROUND(OFFSET($P566,0,AJ$13),15-13*ORÇAMENTO!$AF$7)*OFFSET(ORÇAMENTO!$W$15,ROW(AJ566)-ROW(AJ$15),0),15-13*ORÇAMENTO!$AF$11)),0)</f>
        <v>0</v>
      </c>
      <c r="AK566" s="545">
        <f ca="1">IF(AND($D566="Serviço",AK$12&lt;&gt;0,$H566&gt;0,OR(AUTOEVENTO&lt;&gt;"manual",$M566&lt;&gt;1)),
IF(Import.TipoArredondamento&lt;&gt;"TransfereGOV",
ROUND(OFFSET($P566,0,AK$13),15-13*ORÇAMENTO!$AF$7)/$H566*OFFSET(ORÇAMENTO!$X$15,ROW(AK566)-ROW(AK$15),0),
ROUND(ROUND(OFFSET($P566,0,AK$13),15-13*ORÇAMENTO!$AF$7)*OFFSET(ORÇAMENTO!$W$15,ROW(AK566)-ROW(AK$15),0),15-13*ORÇAMENTO!$AF$11)),0)</f>
        <v>0</v>
      </c>
      <c r="AL566" s="545">
        <f ca="1">IF(AND($D566="Serviço",AL$12&lt;&gt;0,$H566&gt;0,OR(AUTOEVENTO&lt;&gt;"manual",$M566&lt;&gt;1)),
IF(Import.TipoArredondamento&lt;&gt;"TransfereGOV",
ROUND(OFFSET($P566,0,AL$13),15-13*ORÇAMENTO!$AF$7)/$H566*OFFSET(ORÇAMENTO!$X$15,ROW(AL566)-ROW(AL$15),0),
ROUND(ROUND(OFFSET($P566,0,AL$13),15-13*ORÇAMENTO!$AF$7)*OFFSET(ORÇAMENTO!$W$15,ROW(AL566)-ROW(AL$15),0),15-13*ORÇAMENTO!$AF$11)),0)</f>
        <v>0</v>
      </c>
      <c r="AM566" s="545">
        <f ca="1">IF(AND($D566="Serviço",AM$12&lt;&gt;0,$H566&gt;0,OR(AUTOEVENTO&lt;&gt;"manual",$M566&lt;&gt;1)),
IF(Import.TipoArredondamento&lt;&gt;"TransfereGOV",
ROUND(OFFSET($P566,0,AM$13),15-13*ORÇAMENTO!$AF$7)/$H566*OFFSET(ORÇAMENTO!$X$15,ROW(AM566)-ROW(AM$15),0),
ROUND(ROUND(OFFSET($P566,0,AM$13),15-13*ORÇAMENTO!$AF$7)*OFFSET(ORÇAMENTO!$W$15,ROW(AM566)-ROW(AM$15),0),15-13*ORÇAMENTO!$AF$11)),0)</f>
        <v>0</v>
      </c>
      <c r="AN566" s="545">
        <f ca="1">IF(AND($D566="Serviço",AN$12&lt;&gt;0,$H566&gt;0,OR(AUTOEVENTO&lt;&gt;"manual",$M566&lt;&gt;1)),
IF(Import.TipoArredondamento&lt;&gt;"TransfereGOV",
ROUND(OFFSET($P566,0,AN$13),15-13*ORÇAMENTO!$AF$7)/$H566*OFFSET(ORÇAMENTO!$X$15,ROW(AN566)-ROW(AN$15),0),
ROUND(ROUND(OFFSET($P566,0,AN$13),15-13*ORÇAMENTO!$AF$7)*OFFSET(ORÇAMENTO!$W$15,ROW(AN566)-ROW(AN$15),0),15-13*ORÇAMENTO!$AF$11)),0)</f>
        <v>0</v>
      </c>
      <c r="AO566" s="545">
        <f ca="1">IF(AND($D566="Serviço",AO$12&lt;&gt;0,$H566&gt;0,OR(AUTOEVENTO&lt;&gt;"manual",$M566&lt;&gt;1)),
IF(Import.TipoArredondamento&lt;&gt;"TransfereGOV",
ROUND(OFFSET($P566,0,AO$13),15-13*ORÇAMENTO!$AF$7)/$H566*OFFSET(ORÇAMENTO!$X$15,ROW(AO566)-ROW(AO$15),0),
ROUND(ROUND(OFFSET($P566,0,AO$13),15-13*ORÇAMENTO!$AF$7)*OFFSET(ORÇAMENTO!$W$15,ROW(AO566)-ROW(AO$15),0),15-13*ORÇAMENTO!$AF$11)),0)</f>
        <v>0</v>
      </c>
      <c r="AP566" s="545">
        <f ca="1">IF(AND($D566="Serviço",AP$12&lt;&gt;0,$H566&gt;0,OR(AUTOEVENTO&lt;&gt;"manual",$M566&lt;&gt;1)),
IF(Import.TipoArredondamento&lt;&gt;"TransfereGOV",
ROUND(OFFSET($P566,0,AP$13),15-13*ORÇAMENTO!$AF$7)/$H566*OFFSET(ORÇAMENTO!$X$15,ROW(AP566)-ROW(AP$15),0),
ROUND(ROUND(OFFSET($P566,0,AP$13),15-13*ORÇAMENTO!$AF$7)*OFFSET(ORÇAMENTO!$W$15,ROW(AP566)-ROW(AP$15),0),15-13*ORÇAMENTO!$AF$11)),0)</f>
        <v>0</v>
      </c>
      <c r="AQ566" s="545">
        <f ca="1">IF(AND($D566="Serviço",AQ$12&lt;&gt;0,$H566&gt;0,OR(AUTOEVENTO&lt;&gt;"manual",$M566&lt;&gt;1)),
IF(Import.TipoArredondamento&lt;&gt;"TransfereGOV",
ROUND(OFFSET($P566,0,AQ$13),15-13*ORÇAMENTO!$AF$7)/$H566*OFFSET(ORÇAMENTO!$X$15,ROW(AQ566)-ROW(AQ$15),0),
ROUND(ROUND(OFFSET($P566,0,AQ$13),15-13*ORÇAMENTO!$AF$7)*OFFSET(ORÇAMENTO!$W$15,ROW(AQ566)-ROW(AQ$15),0),15-13*ORÇAMENTO!$AF$11)),0)</f>
        <v>0</v>
      </c>
      <c r="AR566" s="545">
        <f ca="1">IF(AND($D566="Serviço",AR$12&lt;&gt;0,$H566&gt;0,OR(AUTOEVENTO&lt;&gt;"manual",$M566&lt;&gt;1)),
IF(Import.TipoArredondamento&lt;&gt;"TransfereGOV",
ROUND(OFFSET($P566,0,AR$13),15-13*ORÇAMENTO!$AF$7)/$H566*OFFSET(ORÇAMENTO!$X$15,ROW(AR566)-ROW(AR$15),0),
ROUND(ROUND(OFFSET($P566,0,AR$13),15-13*ORÇAMENTO!$AF$7)*OFFSET(ORÇAMENTO!$W$15,ROW(AR566)-ROW(AR$15),0),15-13*ORÇAMENTO!$AF$11)),0)</f>
        <v>0</v>
      </c>
      <c r="AS566" s="546">
        <f ca="1">IF(AND($D566="Serviço",AS$12&lt;&gt;0,$H566&gt;0,OR(AUTOEVENTO&lt;&gt;"manual",$M566&lt;&gt;1)),
IF(Import.TipoArredondamento&lt;&gt;"TransfereGOV",
ROUND(OFFSET($P566,0,AS$13),15-13*ORÇAMENTO!$AF$7)/$H566*OFFSET(ORÇAMENTO!$X$15,ROW(AS566)-ROW(AS$15),0),
ROUND(ROUND(OFFSET($P566,0,AS$13),15-13*ORÇAMENTO!$AF$7)*OFFSET(ORÇAMENTO!$W$15,ROW(AS566)-ROW(AS$15),0),15-13*ORÇAMENTO!$AF$11)),0)</f>
        <v>0</v>
      </c>
      <c r="AT566" s="545">
        <f ca="1">IF(AND($D566="Serviço",AT$12&lt;&gt;0,$H566&gt;0,OR(AUTOEVENTO&lt;&gt;"manual",$M566&lt;&gt;1)),
IF(Import.TipoArredondamento&lt;&gt;"TransfereGOV",
ROUND(OFFSET($P566,0,AT$13),15-13*ORÇAMENTO!$AF$7)/$H566*OFFSET(ORÇAMENTO!$X$15,ROW(AT566)-ROW(AT$15),0),
ROUND(ROUND(OFFSET($P566,0,AT$13),15-13*ORÇAMENTO!$AF$7)*OFFSET(ORÇAMENTO!$W$15,ROW(AT566)-ROW(AT$15),0),15-13*ORÇAMENTO!$AF$11)),0)</f>
        <v>0</v>
      </c>
      <c r="AU566" s="545">
        <f ca="1">IF(AND($D566="Serviço",AU$12&lt;&gt;0,$H566&gt;0,OR(AUTOEVENTO&lt;&gt;"manual",$M566&lt;&gt;1)),
IF(Import.TipoArredondamento&lt;&gt;"TransfereGOV",
ROUND(OFFSET($P566,0,AU$13),15-13*ORÇAMENTO!$AF$7)/$H566*OFFSET(ORÇAMENTO!$X$15,ROW(AU566)-ROW(AU$15),0),
ROUND(ROUND(OFFSET($P566,0,AU$13),15-13*ORÇAMENTO!$AF$7)*OFFSET(ORÇAMENTO!$W$15,ROW(AU566)-ROW(AU$15),0),15-13*ORÇAMENTO!$AF$11)),0)</f>
        <v>0</v>
      </c>
      <c r="AV566" s="545">
        <f ca="1">IF(AND($D566="Serviço",AV$12&lt;&gt;0,$H566&gt;0,OR(AUTOEVENTO&lt;&gt;"manual",$M566&lt;&gt;1)),
IF(Import.TipoArredondamento&lt;&gt;"TransfereGOV",
ROUND(OFFSET($P566,0,AV$13),15-13*ORÇAMENTO!$AF$7)/$H566*OFFSET(ORÇAMENTO!$X$15,ROW(AV566)-ROW(AV$15),0),
ROUND(ROUND(OFFSET($P566,0,AV$13),15-13*ORÇAMENTO!$AF$7)*OFFSET(ORÇAMENTO!$W$15,ROW(AV566)-ROW(AV$15),0),15-13*ORÇAMENTO!$AF$11)),0)</f>
        <v>0</v>
      </c>
      <c r="AW566" s="545">
        <f ca="1">IF(AND($D566="Serviço",AW$12&lt;&gt;0,$H566&gt;0,OR(AUTOEVENTO&lt;&gt;"manual",$M566&lt;&gt;1)),
IF(Import.TipoArredondamento&lt;&gt;"TransfereGOV",
ROUND(OFFSET($P566,0,AW$13),15-13*ORÇAMENTO!$AF$7)/$H566*OFFSET(ORÇAMENTO!$X$15,ROW(AW566)-ROW(AW$15),0),
ROUND(ROUND(OFFSET($P566,0,AW$13),15-13*ORÇAMENTO!$AF$7)*OFFSET(ORÇAMENTO!$W$15,ROW(AW566)-ROW(AW$15),0),15-13*ORÇAMENTO!$AF$11)),0)</f>
        <v>0</v>
      </c>
      <c r="AX566" s="545">
        <f ca="1">IF(AND($D566="Serviço",AX$12&lt;&gt;0,$H566&gt;0,OR(AUTOEVENTO&lt;&gt;"manual",$M566&lt;&gt;1)),
IF(Import.TipoArredondamento&lt;&gt;"TransfereGOV",
ROUND(OFFSET($P566,0,AX$13),15-13*ORÇAMENTO!$AF$7)/$H566*OFFSET(ORÇAMENTO!$X$15,ROW(AX566)-ROW(AX$15),0),
ROUND(ROUND(OFFSET($P566,0,AX$13),15-13*ORÇAMENTO!$AF$7)*OFFSET(ORÇAMENTO!$W$15,ROW(AX566)-ROW(AX$15),0),15-13*ORÇAMENTO!$AF$11)),0)</f>
        <v>0</v>
      </c>
      <c r="AY566" s="545">
        <f ca="1">IF(AND($D566="Serviço",AY$12&lt;&gt;0,$H566&gt;0,OR(AUTOEVENTO&lt;&gt;"manual",$M566&lt;&gt;1)),
IF(Import.TipoArredondamento&lt;&gt;"TransfereGOV",
ROUND(OFFSET($P566,0,AY$13),15-13*ORÇAMENTO!$AF$7)/$H566*OFFSET(ORÇAMENTO!$X$15,ROW(AY566)-ROW(AY$15),0),
ROUND(ROUND(OFFSET($P566,0,AY$13),15-13*ORÇAMENTO!$AF$7)*OFFSET(ORÇAMENTO!$W$15,ROW(AY566)-ROW(AY$15),0),15-13*ORÇAMENTO!$AF$11)),0)</f>
        <v>0</v>
      </c>
      <c r="AZ566" s="545">
        <f ca="1">IF(AND($D566="Serviço",AZ$12&lt;&gt;0,$H566&gt;0,OR(AUTOEVENTO&lt;&gt;"manual",$M566&lt;&gt;1)),
IF(Import.TipoArredondamento&lt;&gt;"TransfereGOV",
ROUND(OFFSET($P566,0,AZ$13),15-13*ORÇAMENTO!$AF$7)/$H566*OFFSET(ORÇAMENTO!$X$15,ROW(AZ566)-ROW(AZ$15),0),
ROUND(ROUND(OFFSET($P566,0,AZ$13),15-13*ORÇAMENTO!$AF$7)*OFFSET(ORÇAMENTO!$W$15,ROW(AZ566)-ROW(AZ$15),0),15-13*ORÇAMENTO!$AF$11)),0)</f>
        <v>0</v>
      </c>
      <c r="BA566" s="546">
        <f ca="1">IF(AND($D566="Serviço",BA$12&lt;&gt;0,$H566&gt;0,OR(AUTOEVENTO&lt;&gt;"manual",$M566&lt;&gt;1)),
IF(Import.TipoArredondamento&lt;&gt;"TransfereGOV",
ROUND(OFFSET($P566,0,BA$13),15-13*ORÇAMENTO!$AF$7)/$H566*OFFSET(ORÇAMENTO!$X$15,ROW(BA566)-ROW(BA$15),0),
ROUND(ROUND(OFFSET($P566,0,BA$13),15-13*ORÇAMENTO!$AF$7)*OFFSET(ORÇAMENTO!$W$15,ROW(BA566)-ROW(BA$15),0),15-13*ORÇAMENTO!$AF$11)),0)</f>
        <v>0</v>
      </c>
      <c r="BC566" s="181">
        <f ca="1">IF($D566&lt;&gt;"Serviço",0,IF(AND(AUTOEVENTO="Manual",$M566=1),0,IF(OFFSET(CRONOPLE!$F$14,$M566,BC$13)="",10^12,OFFSET(CRONOPLE!$F$14,$M566,BC$13))))</f>
        <v>10</v>
      </c>
      <c r="BD566" s="181">
        <f ca="1">IF($D566&lt;&gt;"Serviço",0,IF(AND(AUTOEVENTO="Manual",$M566=1),0,IF(OFFSET(CRONOPLE!$F$14,$M566,BD$13)="",10^12,OFFSET(CRONOPLE!$F$14,$M566,BD$13))))</f>
        <v>1000000000000</v>
      </c>
      <c r="BE566" s="181">
        <f ca="1">IF($D566&lt;&gt;"Serviço",0,IF(AND(AUTOEVENTO="Manual",$M566=1),0,IF(OFFSET(CRONOPLE!$F$14,$M566,BE$13)="",10^12,OFFSET(CRONOPLE!$F$14,$M566,BE$13))))</f>
        <v>1000000000000</v>
      </c>
      <c r="BF566" s="181">
        <f ca="1">IF($D566&lt;&gt;"Serviço",0,IF(AND(AUTOEVENTO="Manual",$M566=1),0,IF(OFFSET(CRONOPLE!$F$14,$M566,BF$13)="",10^12,OFFSET(CRONOPLE!$F$14,$M566,BF$13))))</f>
        <v>1000000000000</v>
      </c>
      <c r="BG566" s="181">
        <f ca="1">IF($D566&lt;&gt;"Serviço",0,IF(AND(AUTOEVENTO="Manual",$M566=1),0,IF(OFFSET(CRONOPLE!$F$14,$M566,BG$13)="",10^12,OFFSET(CRONOPLE!$F$14,$M566,BG$13))))</f>
        <v>1000000000000</v>
      </c>
      <c r="BH566" s="181">
        <f ca="1">IF($D566&lt;&gt;"Serviço",0,IF(AND(AUTOEVENTO="Manual",$M566=1),0,IF(OFFSET(CRONOPLE!$F$14,$M566,BH$13)="",10^12,OFFSET(CRONOPLE!$F$14,$M566,BH$13))))</f>
        <v>1000000000000</v>
      </c>
      <c r="BI566" s="181">
        <f ca="1">IF($D566&lt;&gt;"Serviço",0,IF(AND(AUTOEVENTO="Manual",$M566=1),0,IF(OFFSET(CRONOPLE!$F$14,$M566,BI$13)="",10^12,OFFSET(CRONOPLE!$F$14,$M566,BI$13))))</f>
        <v>1000000000000</v>
      </c>
      <c r="BJ566" s="181">
        <f ca="1">IF($D566&lt;&gt;"Serviço",0,IF(AND(AUTOEVENTO="Manual",$M566=1),0,IF(OFFSET(CRONOPLE!$F$14,$M566,BJ$13)="",10^12,OFFSET(CRONOPLE!$F$14,$M566,BJ$13))))</f>
        <v>1000000000000</v>
      </c>
      <c r="BK566" s="181">
        <f ca="1">IF($D566&lt;&gt;"Serviço",0,IF(AND(AUTOEVENTO="Manual",$M566=1),0,IF(OFFSET(CRONOPLE!$F$14,$M566,BK$13)="",10^12,OFFSET(CRONOPLE!$F$14,$M566,BK$13))))</f>
        <v>1000000000000</v>
      </c>
      <c r="BL566" s="181">
        <f ca="1">IF($D566&lt;&gt;"Serviço",0,IF(AND(AUTOEVENTO="Manual",$M566=1),0,IF(OFFSET(CRONOPLE!$F$14,$M566,BL$13)="",10^12,OFFSET(CRONOPLE!$F$14,$M566,BL$13))))</f>
        <v>1000000000000</v>
      </c>
      <c r="BM566" s="181">
        <f ca="1">IF($D566&lt;&gt;"Serviço",0,IF(AND(AUTOEVENTO="Manual",$M566=1),0,IF(OFFSET(CRONOPLE!$F$14,$M566,BM$13)="",10^12,OFFSET(CRONOPLE!$F$14,$M566,BM$13))))</f>
        <v>1000000000000</v>
      </c>
      <c r="BN566" s="181">
        <f ca="1">IF($D566&lt;&gt;"Serviço",0,IF(AND(AUTOEVENTO="Manual",$M566=1),0,IF(OFFSET(CRONOPLE!$F$14,$M566,BN$13)="",10^12,OFFSET(CRONOPLE!$F$14,$M566,BN$13))))</f>
        <v>1000000000000</v>
      </c>
      <c r="BO566" s="181">
        <f ca="1">IF($D566&lt;&gt;"Serviço",0,IF(AND(AUTOEVENTO="Manual",$M566=1),0,IF(OFFSET(CRONOPLE!$F$14,$M566,BO$13)="",10^12,OFFSET(CRONOPLE!$F$14,$M566,BO$13))))</f>
        <v>1000000000000</v>
      </c>
      <c r="BP566" s="181">
        <f ca="1">IF($D566&lt;&gt;"Serviço",0,IF(AND(AUTOEVENTO="Manual",$M566=1),0,IF(OFFSET(CRONOPLE!$F$14,$M566,BP$13)="",10^12,OFFSET(CRONOPLE!$F$14,$M566,BP$13))))</f>
        <v>1000000000000</v>
      </c>
      <c r="BQ566" s="181">
        <f ca="1">IF($D566&lt;&gt;"Serviço",0,IF(AND(AUTOEVENTO="Manual",$M566=1),0,IF(OFFSET(CRONOPLE!$F$14,$M566,BQ$13)="",10^12,OFFSET(CRONOPLE!$F$14,$M566,BQ$13))))</f>
        <v>1000000000000</v>
      </c>
      <c r="BR566" s="181">
        <f ca="1">IF($D566&lt;&gt;"Serviço",0,IF(AND(AUTOEVENTO="Manual",$M566=1),0,IF(OFFSET(CRONOPLE!$F$14,$M566,BR$13)="",10^12,OFFSET(CRONOPLE!$F$14,$M566,BR$13))))</f>
        <v>1000000000000</v>
      </c>
      <c r="BS566" s="181">
        <f ca="1">IF($D566&lt;&gt;"Serviço",0,IF(AND(AUTOEVENTO="Manual",$M566=1),0,IF(OFFSET(CRONOPLE!$F$14,$M566,BS$13)="",10^12,OFFSET(CRONOPLE!$F$14,$M566,BS$13))))</f>
        <v>1000000000000</v>
      </c>
      <c r="BT566" s="181">
        <f ca="1">IF($D566&lt;&gt;"Serviço",0,IF(AND(AUTOEVENTO="Manual",$M566=1),0,IF(OFFSET(CRONOPLE!$F$14,$M566,BT$13)="",10^12,OFFSET(CRONOPLE!$F$14,$M566,BT$13))))</f>
        <v>1000000000000</v>
      </c>
      <c r="BV566" s="182">
        <f ca="1">IF($D566&lt;&gt;"Serviço",0,IF(OR(AND(AUTOEVENTO="Manual",$M566=1),$M566&gt;(ROW(PLE.lastrow)-ROW(PLE.firstrow))),0,IF(OFFSET(PLE!$G$14,$M566,BV$13)="",10^12,OFFSET(PLE!$G$14,$M566,BV$13))))</f>
        <v>1000000000000</v>
      </c>
      <c r="BW566" s="182">
        <f ca="1">IF($D566&lt;&gt;"Serviço",0,IF(OR(AND(AUTOEVENTO="Manual",$M566=1),$M566&gt;(ROW(PLE.lastrow)-ROW(PLE.firstrow))),0,IF(OFFSET(PLE!$G$14,$M566,BW$13)="",10^12,OFFSET(PLE!$G$14,$M566,BW$13))))</f>
        <v>1000000000000</v>
      </c>
      <c r="BX566" s="182">
        <f ca="1">IF($D566&lt;&gt;"Serviço",0,IF(OR(AND(AUTOEVENTO="Manual",$M566=1),$M566&gt;(ROW(PLE.lastrow)-ROW(PLE.firstrow))),0,IF(OFFSET(PLE!$G$14,$M566,BX$13)="",10^12,OFFSET(PLE!$G$14,$M566,BX$13))))</f>
        <v>1000000000000</v>
      </c>
      <c r="BY566" s="182">
        <f ca="1">IF($D566&lt;&gt;"Serviço",0,IF(OR(AND(AUTOEVENTO="Manual",$M566=1),$M566&gt;(ROW(PLE.lastrow)-ROW(PLE.firstrow))),0,IF(OFFSET(PLE!$G$14,$M566,BY$13)="",10^12,OFFSET(PLE!$G$14,$M566,BY$13))))</f>
        <v>1000000000000</v>
      </c>
      <c r="BZ566" s="182">
        <f ca="1">IF($D566&lt;&gt;"Serviço",0,IF(OR(AND(AUTOEVENTO="Manual",$M566=1),$M566&gt;(ROW(PLE.lastrow)-ROW(PLE.firstrow))),0,IF(OFFSET(PLE!$G$14,$M566,BZ$13)="",10^12,OFFSET(PLE!$G$14,$M566,BZ$13))))</f>
        <v>1000000000000</v>
      </c>
      <c r="CA566" s="182">
        <f ca="1">IF($D566&lt;&gt;"Serviço",0,IF(OR(AND(AUTOEVENTO="Manual",$M566=1),$M566&gt;(ROW(PLE.lastrow)-ROW(PLE.firstrow))),0,IF(OFFSET(PLE!$G$14,$M566,CA$13)="",10^12,OFFSET(PLE!$G$14,$M566,CA$13))))</f>
        <v>1000000000000</v>
      </c>
      <c r="CB566" s="182">
        <f ca="1">IF($D566&lt;&gt;"Serviço",0,IF(OR(AND(AUTOEVENTO="Manual",$M566=1),$M566&gt;(ROW(PLE.lastrow)-ROW(PLE.firstrow))),0,IF(OFFSET(PLE!$G$14,$M566,CB$13)="",10^12,OFFSET(PLE!$G$14,$M566,CB$13))))</f>
        <v>1000000000000</v>
      </c>
      <c r="CC566" s="182">
        <f ca="1">IF($D566&lt;&gt;"Serviço",0,IF(OR(AND(AUTOEVENTO="Manual",$M566=1),$M566&gt;(ROW(PLE.lastrow)-ROW(PLE.firstrow))),0,IF(OFFSET(PLE!$G$14,$M566,CC$13)="",10^12,OFFSET(PLE!$G$14,$M566,CC$13))))</f>
        <v>1000000000000</v>
      </c>
      <c r="CD566" s="182">
        <f ca="1">IF($D566&lt;&gt;"Serviço",0,IF(OR(AND(AUTOEVENTO="Manual",$M566=1),$M566&gt;(ROW(PLE.lastrow)-ROW(PLE.firstrow))),0,IF(OFFSET(PLE!$G$14,$M566,CD$13)="",10^12,OFFSET(PLE!$G$14,$M566,CD$13))))</f>
        <v>1000000000000</v>
      </c>
      <c r="CE566" s="182">
        <f ca="1">IF($D566&lt;&gt;"Serviço",0,IF(OR(AND(AUTOEVENTO="Manual",$M566=1),$M566&gt;(ROW(PLE.lastrow)-ROW(PLE.firstrow))),0,IF(OFFSET(PLE!$G$14,$M566,CE$13)="",10^12,OFFSET(PLE!$G$14,$M566,CE$13))))</f>
        <v>1000000000000</v>
      </c>
      <c r="CF566" s="182">
        <f ca="1">IF($D566&lt;&gt;"Serviço",0,IF(OR(AND(AUTOEVENTO="Manual",$M566=1),$M566&gt;(ROW(PLE.lastrow)-ROW(PLE.firstrow))),0,IF(OFFSET(PLE!$G$14,$M566,CF$13)="",10^12,OFFSET(PLE!$G$14,$M566,CF$13))))</f>
        <v>1000000000000</v>
      </c>
      <c r="CG566" s="182">
        <f ca="1">IF($D566&lt;&gt;"Serviço",0,IF(OR(AND(AUTOEVENTO="Manual",$M566=1),$M566&gt;(ROW(PLE.lastrow)-ROW(PLE.firstrow))),0,IF(OFFSET(PLE!$G$14,$M566,CG$13)="",10^12,OFFSET(PLE!$G$14,$M566,CG$13))))</f>
        <v>1000000000000</v>
      </c>
      <c r="CH566" s="182">
        <f ca="1">IF($D566&lt;&gt;"Serviço",0,IF(OR(AND(AUTOEVENTO="Manual",$M566=1),$M566&gt;(ROW(PLE.lastrow)-ROW(PLE.firstrow))),0,IF(OFFSET(PLE!$G$14,$M566,CH$13)="",10^12,OFFSET(PLE!$G$14,$M566,CH$13))))</f>
        <v>1000000000000</v>
      </c>
      <c r="CI566" s="182">
        <f ca="1">IF($D566&lt;&gt;"Serviço",0,IF(OR(AND(AUTOEVENTO="Manual",$M566=1),$M566&gt;(ROW(PLE.lastrow)-ROW(PLE.firstrow))),0,IF(OFFSET(PLE!$G$14,$M566,CI$13)="",10^12,OFFSET(PLE!$G$14,$M566,CI$13))))</f>
        <v>1000000000000</v>
      </c>
      <c r="CJ566" s="182">
        <f ca="1">IF($D566&lt;&gt;"Serviço",0,IF(OR(AND(AUTOEVENTO="Manual",$M566=1),$M566&gt;(ROW(PLE.lastrow)-ROW(PLE.firstrow))),0,IF(OFFSET(PLE!$G$14,$M566,CJ$13)="",10^12,OFFSET(PLE!$G$14,$M566,CJ$13))))</f>
        <v>1000000000000</v>
      </c>
      <c r="CK566" s="182">
        <f ca="1">IF($D566&lt;&gt;"Serviço",0,IF(OR(AND(AUTOEVENTO="Manual",$M566=1),$M566&gt;(ROW(PLE.lastrow)-ROW(PLE.firstrow))),0,IF(OFFSET(PLE!$G$14,$M566,CK$13)="",10^12,OFFSET(PLE!$G$14,$M566,CK$13))))</f>
        <v>1000000000000</v>
      </c>
      <c r="CL566" s="182">
        <f ca="1">IF($D566&lt;&gt;"Serviço",0,IF(OR(AND(AUTOEVENTO="Manual",$M566=1),$M566&gt;(ROW(PLE.lastrow)-ROW(PLE.firstrow))),0,IF(OFFSET(PLE!$G$14,$M566,CL$13)="",10^12,OFFSET(PLE!$G$14,$M566,CL$13))))</f>
        <v>1000000000000</v>
      </c>
      <c r="CM566" s="182">
        <f ca="1">IF($D566&lt;&gt;"Serviço",0,IF(OR(AND(AUTOEVENTO="Manual",$M566=1),$M566&gt;(ROW(PLE.lastrow)-ROW(PLE.firstrow))),0,IF(OFFSET(PLE!$G$14,$M566,CM$13)="",10^12,OFFSET(PLE!$G$14,$M566,CM$13))))</f>
        <v>1000000000000</v>
      </c>
    </row>
    <row r="567" spans="1:91" ht="12.75" x14ac:dyDescent="0.2">
      <c r="A567" s="7" t="str">
        <f t="shared" ca="1" si="17"/>
        <v>552.</v>
      </c>
      <c r="B567" s="7">
        <f ca="1">OFFSET(ORÇAMENTO!C$15,ROW(B567)-ROW(B$15),0)</f>
        <v>2</v>
      </c>
      <c r="C567" s="7" t="str">
        <f ca="1">OFFSET(ORÇAMENTO!L$15,ROW(C567)-ROW(C$15),0)</f>
        <v>F</v>
      </c>
      <c r="D567" s="118" t="str">
        <f ca="1">OFFSET(ORÇAMENTO!N$15,ROW(D567)-ROW(D$15),0)</f>
        <v>Nível 2</v>
      </c>
      <c r="E567" s="119" t="str">
        <f ca="1">OFFSET(ORÇAMENTO!O$15,ROW(E567)-ROW(E$15),0)</f>
        <v>1.57.</v>
      </c>
      <c r="F567" s="172" t="str">
        <f ca="1">OFFSET(ORÇAMENTO!R$15,ROW(F567)-ROW(F$15),0)</f>
        <v>INSTALAÇÃO ELÉTRICA 110V - ELETROCALHAS</v>
      </c>
      <c r="G567" s="173" t="str">
        <f ca="1">IF($D567&lt;&gt;"Serviço","",OFFSET(ORÇAMENTO!S$15,ROW(G567)-ROW(G$15),0))</f>
        <v/>
      </c>
      <c r="H567" s="124">
        <f ca="1">IF($D567&lt;&gt;"Serviço",0,IF(ACOMPANHAMENTO="BM",ROUND(OFFSET(ORÇAMENTO!AJ$15,ROW(H567)-ROW(H$15),0),15-13*ORÇAMENTO!$AF$7),SUMPRODUCT(($Q$12:$AI$12&lt;&gt;"")*ROUND($Q567:$AI567,15-13*ORÇAMENTO!$AF$7))))</f>
        <v>0</v>
      </c>
      <c r="I567" s="561"/>
      <c r="K567" s="174"/>
      <c r="L567" s="175" t="s">
        <v>255</v>
      </c>
      <c r="M567" s="176" t="str">
        <f ca="1">IF($D567&lt;&gt;"Serviço","",IF(AUTOEVENTO="manual",$A567,IF(ISERROR(MATCH($A567,$A$15:OFFSET($A567,-1,0),0)),MAX($M$15:OFFSET(M567,-1,0))+1,INDEX($M$15:OFFSET(M567,-1,0),MATCH($A567,$A$15:OFFSET($A567,-1,0),0)))))</f>
        <v/>
      </c>
      <c r="N567" s="177" t="str">
        <f ca="1">IF($D567&lt;&gt;"Serviço","",IF(AUTOEVENTO="Manual",IF($A567=0,"&lt;-- defina o número do agrupador",OFFSET(EVENTOS!$D$14,$A567,0)),OFFSET($F$15,$A567,0)))</f>
        <v/>
      </c>
      <c r="O567" s="178"/>
      <c r="Q567" s="178">
        <v>0</v>
      </c>
      <c r="R567" s="179"/>
      <c r="S567" s="179"/>
      <c r="T567" s="179"/>
      <c r="U567" s="179"/>
      <c r="V567" s="179"/>
      <c r="W567" s="179"/>
      <c r="X567" s="179"/>
      <c r="Y567" s="179"/>
      <c r="Z567" s="180"/>
      <c r="AA567" s="179"/>
      <c r="AB567" s="179"/>
      <c r="AC567" s="179"/>
      <c r="AD567" s="179"/>
      <c r="AE567" s="179"/>
      <c r="AF567" s="179"/>
      <c r="AG567" s="179"/>
      <c r="AH567" s="180"/>
      <c r="AJ567" s="544">
        <f ca="1">IF(AND($D567="Serviço",AJ$12&lt;&gt;0,$H567&gt;0,OR(AUTOEVENTO&lt;&gt;"manual",$M567&lt;&gt;1)),
IF(Import.TipoArredondamento&lt;&gt;"TransfereGOV",
ROUND(OFFSET($P567,0,AJ$13),15-13*ORÇAMENTO!$AF$7)/$H567*OFFSET(ORÇAMENTO!$X$15,ROW(AJ567)-ROW(AJ$15),0),
ROUND(ROUND(OFFSET($P567,0,AJ$13),15-13*ORÇAMENTO!$AF$7)*OFFSET(ORÇAMENTO!$W$15,ROW(AJ567)-ROW(AJ$15),0),15-13*ORÇAMENTO!$AF$11)),0)</f>
        <v>0</v>
      </c>
      <c r="AK567" s="545">
        <f ca="1">IF(AND($D567="Serviço",AK$12&lt;&gt;0,$H567&gt;0,OR(AUTOEVENTO&lt;&gt;"manual",$M567&lt;&gt;1)),
IF(Import.TipoArredondamento&lt;&gt;"TransfereGOV",
ROUND(OFFSET($P567,0,AK$13),15-13*ORÇAMENTO!$AF$7)/$H567*OFFSET(ORÇAMENTO!$X$15,ROW(AK567)-ROW(AK$15),0),
ROUND(ROUND(OFFSET($P567,0,AK$13),15-13*ORÇAMENTO!$AF$7)*OFFSET(ORÇAMENTO!$W$15,ROW(AK567)-ROW(AK$15),0),15-13*ORÇAMENTO!$AF$11)),0)</f>
        <v>0</v>
      </c>
      <c r="AL567" s="545">
        <f ca="1">IF(AND($D567="Serviço",AL$12&lt;&gt;0,$H567&gt;0,OR(AUTOEVENTO&lt;&gt;"manual",$M567&lt;&gt;1)),
IF(Import.TipoArredondamento&lt;&gt;"TransfereGOV",
ROUND(OFFSET($P567,0,AL$13),15-13*ORÇAMENTO!$AF$7)/$H567*OFFSET(ORÇAMENTO!$X$15,ROW(AL567)-ROW(AL$15),0),
ROUND(ROUND(OFFSET($P567,0,AL$13),15-13*ORÇAMENTO!$AF$7)*OFFSET(ORÇAMENTO!$W$15,ROW(AL567)-ROW(AL$15),0),15-13*ORÇAMENTO!$AF$11)),0)</f>
        <v>0</v>
      </c>
      <c r="AM567" s="545">
        <f ca="1">IF(AND($D567="Serviço",AM$12&lt;&gt;0,$H567&gt;0,OR(AUTOEVENTO&lt;&gt;"manual",$M567&lt;&gt;1)),
IF(Import.TipoArredondamento&lt;&gt;"TransfereGOV",
ROUND(OFFSET($P567,0,AM$13),15-13*ORÇAMENTO!$AF$7)/$H567*OFFSET(ORÇAMENTO!$X$15,ROW(AM567)-ROW(AM$15),0),
ROUND(ROUND(OFFSET($P567,0,AM$13),15-13*ORÇAMENTO!$AF$7)*OFFSET(ORÇAMENTO!$W$15,ROW(AM567)-ROW(AM$15),0),15-13*ORÇAMENTO!$AF$11)),0)</f>
        <v>0</v>
      </c>
      <c r="AN567" s="545">
        <f ca="1">IF(AND($D567="Serviço",AN$12&lt;&gt;0,$H567&gt;0,OR(AUTOEVENTO&lt;&gt;"manual",$M567&lt;&gt;1)),
IF(Import.TipoArredondamento&lt;&gt;"TransfereGOV",
ROUND(OFFSET($P567,0,AN$13),15-13*ORÇAMENTO!$AF$7)/$H567*OFFSET(ORÇAMENTO!$X$15,ROW(AN567)-ROW(AN$15),0),
ROUND(ROUND(OFFSET($P567,0,AN$13),15-13*ORÇAMENTO!$AF$7)*OFFSET(ORÇAMENTO!$W$15,ROW(AN567)-ROW(AN$15),0),15-13*ORÇAMENTO!$AF$11)),0)</f>
        <v>0</v>
      </c>
      <c r="AO567" s="545">
        <f ca="1">IF(AND($D567="Serviço",AO$12&lt;&gt;0,$H567&gt;0,OR(AUTOEVENTO&lt;&gt;"manual",$M567&lt;&gt;1)),
IF(Import.TipoArredondamento&lt;&gt;"TransfereGOV",
ROUND(OFFSET($P567,0,AO$13),15-13*ORÇAMENTO!$AF$7)/$H567*OFFSET(ORÇAMENTO!$X$15,ROW(AO567)-ROW(AO$15),0),
ROUND(ROUND(OFFSET($P567,0,AO$13),15-13*ORÇAMENTO!$AF$7)*OFFSET(ORÇAMENTO!$W$15,ROW(AO567)-ROW(AO$15),0),15-13*ORÇAMENTO!$AF$11)),0)</f>
        <v>0</v>
      </c>
      <c r="AP567" s="545">
        <f ca="1">IF(AND($D567="Serviço",AP$12&lt;&gt;0,$H567&gt;0,OR(AUTOEVENTO&lt;&gt;"manual",$M567&lt;&gt;1)),
IF(Import.TipoArredondamento&lt;&gt;"TransfereGOV",
ROUND(OFFSET($P567,0,AP$13),15-13*ORÇAMENTO!$AF$7)/$H567*OFFSET(ORÇAMENTO!$X$15,ROW(AP567)-ROW(AP$15),0),
ROUND(ROUND(OFFSET($P567,0,AP$13),15-13*ORÇAMENTO!$AF$7)*OFFSET(ORÇAMENTO!$W$15,ROW(AP567)-ROW(AP$15),0),15-13*ORÇAMENTO!$AF$11)),0)</f>
        <v>0</v>
      </c>
      <c r="AQ567" s="545">
        <f ca="1">IF(AND($D567="Serviço",AQ$12&lt;&gt;0,$H567&gt;0,OR(AUTOEVENTO&lt;&gt;"manual",$M567&lt;&gt;1)),
IF(Import.TipoArredondamento&lt;&gt;"TransfereGOV",
ROUND(OFFSET($P567,0,AQ$13),15-13*ORÇAMENTO!$AF$7)/$H567*OFFSET(ORÇAMENTO!$X$15,ROW(AQ567)-ROW(AQ$15),0),
ROUND(ROUND(OFFSET($P567,0,AQ$13),15-13*ORÇAMENTO!$AF$7)*OFFSET(ORÇAMENTO!$W$15,ROW(AQ567)-ROW(AQ$15),0),15-13*ORÇAMENTO!$AF$11)),0)</f>
        <v>0</v>
      </c>
      <c r="AR567" s="545">
        <f ca="1">IF(AND($D567="Serviço",AR$12&lt;&gt;0,$H567&gt;0,OR(AUTOEVENTO&lt;&gt;"manual",$M567&lt;&gt;1)),
IF(Import.TipoArredondamento&lt;&gt;"TransfereGOV",
ROUND(OFFSET($P567,0,AR$13),15-13*ORÇAMENTO!$AF$7)/$H567*OFFSET(ORÇAMENTO!$X$15,ROW(AR567)-ROW(AR$15),0),
ROUND(ROUND(OFFSET($P567,0,AR$13),15-13*ORÇAMENTO!$AF$7)*OFFSET(ORÇAMENTO!$W$15,ROW(AR567)-ROW(AR$15),0),15-13*ORÇAMENTO!$AF$11)),0)</f>
        <v>0</v>
      </c>
      <c r="AS567" s="546">
        <f ca="1">IF(AND($D567="Serviço",AS$12&lt;&gt;0,$H567&gt;0,OR(AUTOEVENTO&lt;&gt;"manual",$M567&lt;&gt;1)),
IF(Import.TipoArredondamento&lt;&gt;"TransfereGOV",
ROUND(OFFSET($P567,0,AS$13),15-13*ORÇAMENTO!$AF$7)/$H567*OFFSET(ORÇAMENTO!$X$15,ROW(AS567)-ROW(AS$15),0),
ROUND(ROUND(OFFSET($P567,0,AS$13),15-13*ORÇAMENTO!$AF$7)*OFFSET(ORÇAMENTO!$W$15,ROW(AS567)-ROW(AS$15),0),15-13*ORÇAMENTO!$AF$11)),0)</f>
        <v>0</v>
      </c>
      <c r="AT567" s="545">
        <f ca="1">IF(AND($D567="Serviço",AT$12&lt;&gt;0,$H567&gt;0,OR(AUTOEVENTO&lt;&gt;"manual",$M567&lt;&gt;1)),
IF(Import.TipoArredondamento&lt;&gt;"TransfereGOV",
ROUND(OFFSET($P567,0,AT$13),15-13*ORÇAMENTO!$AF$7)/$H567*OFFSET(ORÇAMENTO!$X$15,ROW(AT567)-ROW(AT$15),0),
ROUND(ROUND(OFFSET($P567,0,AT$13),15-13*ORÇAMENTO!$AF$7)*OFFSET(ORÇAMENTO!$W$15,ROW(AT567)-ROW(AT$15),0),15-13*ORÇAMENTO!$AF$11)),0)</f>
        <v>0</v>
      </c>
      <c r="AU567" s="545">
        <f ca="1">IF(AND($D567="Serviço",AU$12&lt;&gt;0,$H567&gt;0,OR(AUTOEVENTO&lt;&gt;"manual",$M567&lt;&gt;1)),
IF(Import.TipoArredondamento&lt;&gt;"TransfereGOV",
ROUND(OFFSET($P567,0,AU$13),15-13*ORÇAMENTO!$AF$7)/$H567*OFFSET(ORÇAMENTO!$X$15,ROW(AU567)-ROW(AU$15),0),
ROUND(ROUND(OFFSET($P567,0,AU$13),15-13*ORÇAMENTO!$AF$7)*OFFSET(ORÇAMENTO!$W$15,ROW(AU567)-ROW(AU$15),0),15-13*ORÇAMENTO!$AF$11)),0)</f>
        <v>0</v>
      </c>
      <c r="AV567" s="545">
        <f ca="1">IF(AND($D567="Serviço",AV$12&lt;&gt;0,$H567&gt;0,OR(AUTOEVENTO&lt;&gt;"manual",$M567&lt;&gt;1)),
IF(Import.TipoArredondamento&lt;&gt;"TransfereGOV",
ROUND(OFFSET($P567,0,AV$13),15-13*ORÇAMENTO!$AF$7)/$H567*OFFSET(ORÇAMENTO!$X$15,ROW(AV567)-ROW(AV$15),0),
ROUND(ROUND(OFFSET($P567,0,AV$13),15-13*ORÇAMENTO!$AF$7)*OFFSET(ORÇAMENTO!$W$15,ROW(AV567)-ROW(AV$15),0),15-13*ORÇAMENTO!$AF$11)),0)</f>
        <v>0</v>
      </c>
      <c r="AW567" s="545">
        <f ca="1">IF(AND($D567="Serviço",AW$12&lt;&gt;0,$H567&gt;0,OR(AUTOEVENTO&lt;&gt;"manual",$M567&lt;&gt;1)),
IF(Import.TipoArredondamento&lt;&gt;"TransfereGOV",
ROUND(OFFSET($P567,0,AW$13),15-13*ORÇAMENTO!$AF$7)/$H567*OFFSET(ORÇAMENTO!$X$15,ROW(AW567)-ROW(AW$15),0),
ROUND(ROUND(OFFSET($P567,0,AW$13),15-13*ORÇAMENTO!$AF$7)*OFFSET(ORÇAMENTO!$W$15,ROW(AW567)-ROW(AW$15),0),15-13*ORÇAMENTO!$AF$11)),0)</f>
        <v>0</v>
      </c>
      <c r="AX567" s="545">
        <f ca="1">IF(AND($D567="Serviço",AX$12&lt;&gt;0,$H567&gt;0,OR(AUTOEVENTO&lt;&gt;"manual",$M567&lt;&gt;1)),
IF(Import.TipoArredondamento&lt;&gt;"TransfereGOV",
ROUND(OFFSET($P567,0,AX$13),15-13*ORÇAMENTO!$AF$7)/$H567*OFFSET(ORÇAMENTO!$X$15,ROW(AX567)-ROW(AX$15),0),
ROUND(ROUND(OFFSET($P567,0,AX$13),15-13*ORÇAMENTO!$AF$7)*OFFSET(ORÇAMENTO!$W$15,ROW(AX567)-ROW(AX$15),0),15-13*ORÇAMENTO!$AF$11)),0)</f>
        <v>0</v>
      </c>
      <c r="AY567" s="545">
        <f ca="1">IF(AND($D567="Serviço",AY$12&lt;&gt;0,$H567&gt;0,OR(AUTOEVENTO&lt;&gt;"manual",$M567&lt;&gt;1)),
IF(Import.TipoArredondamento&lt;&gt;"TransfereGOV",
ROUND(OFFSET($P567,0,AY$13),15-13*ORÇAMENTO!$AF$7)/$H567*OFFSET(ORÇAMENTO!$X$15,ROW(AY567)-ROW(AY$15),0),
ROUND(ROUND(OFFSET($P567,0,AY$13),15-13*ORÇAMENTO!$AF$7)*OFFSET(ORÇAMENTO!$W$15,ROW(AY567)-ROW(AY$15),0),15-13*ORÇAMENTO!$AF$11)),0)</f>
        <v>0</v>
      </c>
      <c r="AZ567" s="545">
        <f ca="1">IF(AND($D567="Serviço",AZ$12&lt;&gt;0,$H567&gt;0,OR(AUTOEVENTO&lt;&gt;"manual",$M567&lt;&gt;1)),
IF(Import.TipoArredondamento&lt;&gt;"TransfereGOV",
ROUND(OFFSET($P567,0,AZ$13),15-13*ORÇAMENTO!$AF$7)/$H567*OFFSET(ORÇAMENTO!$X$15,ROW(AZ567)-ROW(AZ$15),0),
ROUND(ROUND(OFFSET($P567,0,AZ$13),15-13*ORÇAMENTO!$AF$7)*OFFSET(ORÇAMENTO!$W$15,ROW(AZ567)-ROW(AZ$15),0),15-13*ORÇAMENTO!$AF$11)),0)</f>
        <v>0</v>
      </c>
      <c r="BA567" s="546">
        <f ca="1">IF(AND($D567="Serviço",BA$12&lt;&gt;0,$H567&gt;0,OR(AUTOEVENTO&lt;&gt;"manual",$M567&lt;&gt;1)),
IF(Import.TipoArredondamento&lt;&gt;"TransfereGOV",
ROUND(OFFSET($P567,0,BA$13),15-13*ORÇAMENTO!$AF$7)/$H567*OFFSET(ORÇAMENTO!$X$15,ROW(BA567)-ROW(BA$15),0),
ROUND(ROUND(OFFSET($P567,0,BA$13),15-13*ORÇAMENTO!$AF$7)*OFFSET(ORÇAMENTO!$W$15,ROW(BA567)-ROW(BA$15),0),15-13*ORÇAMENTO!$AF$11)),0)</f>
        <v>0</v>
      </c>
      <c r="BC567" s="181">
        <f ca="1">IF($D567&lt;&gt;"Serviço",0,IF(AND(AUTOEVENTO="Manual",$M567=1),0,IF(OFFSET(CRONOPLE!$F$14,$M567,BC$13)="",10^12,OFFSET(CRONOPLE!$F$14,$M567,BC$13))))</f>
        <v>0</v>
      </c>
      <c r="BD567" s="181">
        <f ca="1">IF($D567&lt;&gt;"Serviço",0,IF(AND(AUTOEVENTO="Manual",$M567=1),0,IF(OFFSET(CRONOPLE!$F$14,$M567,BD$13)="",10^12,OFFSET(CRONOPLE!$F$14,$M567,BD$13))))</f>
        <v>0</v>
      </c>
      <c r="BE567" s="181">
        <f ca="1">IF($D567&lt;&gt;"Serviço",0,IF(AND(AUTOEVENTO="Manual",$M567=1),0,IF(OFFSET(CRONOPLE!$F$14,$M567,BE$13)="",10^12,OFFSET(CRONOPLE!$F$14,$M567,BE$13))))</f>
        <v>0</v>
      </c>
      <c r="BF567" s="181">
        <f ca="1">IF($D567&lt;&gt;"Serviço",0,IF(AND(AUTOEVENTO="Manual",$M567=1),0,IF(OFFSET(CRONOPLE!$F$14,$M567,BF$13)="",10^12,OFFSET(CRONOPLE!$F$14,$M567,BF$13))))</f>
        <v>0</v>
      </c>
      <c r="BG567" s="181">
        <f ca="1">IF($D567&lt;&gt;"Serviço",0,IF(AND(AUTOEVENTO="Manual",$M567=1),0,IF(OFFSET(CRONOPLE!$F$14,$M567,BG$13)="",10^12,OFFSET(CRONOPLE!$F$14,$M567,BG$13))))</f>
        <v>0</v>
      </c>
      <c r="BH567" s="181">
        <f ca="1">IF($D567&lt;&gt;"Serviço",0,IF(AND(AUTOEVENTO="Manual",$M567=1),0,IF(OFFSET(CRONOPLE!$F$14,$M567,BH$13)="",10^12,OFFSET(CRONOPLE!$F$14,$M567,BH$13))))</f>
        <v>0</v>
      </c>
      <c r="BI567" s="181">
        <f ca="1">IF($D567&lt;&gt;"Serviço",0,IF(AND(AUTOEVENTO="Manual",$M567=1),0,IF(OFFSET(CRONOPLE!$F$14,$M567,BI$13)="",10^12,OFFSET(CRONOPLE!$F$14,$M567,BI$13))))</f>
        <v>0</v>
      </c>
      <c r="BJ567" s="181">
        <f ca="1">IF($D567&lt;&gt;"Serviço",0,IF(AND(AUTOEVENTO="Manual",$M567=1),0,IF(OFFSET(CRONOPLE!$F$14,$M567,BJ$13)="",10^12,OFFSET(CRONOPLE!$F$14,$M567,BJ$13))))</f>
        <v>0</v>
      </c>
      <c r="BK567" s="181">
        <f ca="1">IF($D567&lt;&gt;"Serviço",0,IF(AND(AUTOEVENTO="Manual",$M567=1),0,IF(OFFSET(CRONOPLE!$F$14,$M567,BK$13)="",10^12,OFFSET(CRONOPLE!$F$14,$M567,BK$13))))</f>
        <v>0</v>
      </c>
      <c r="BL567" s="181">
        <f ca="1">IF($D567&lt;&gt;"Serviço",0,IF(AND(AUTOEVENTO="Manual",$M567=1),0,IF(OFFSET(CRONOPLE!$F$14,$M567,BL$13)="",10^12,OFFSET(CRONOPLE!$F$14,$M567,BL$13))))</f>
        <v>0</v>
      </c>
      <c r="BM567" s="181">
        <f ca="1">IF($D567&lt;&gt;"Serviço",0,IF(AND(AUTOEVENTO="Manual",$M567=1),0,IF(OFFSET(CRONOPLE!$F$14,$M567,BM$13)="",10^12,OFFSET(CRONOPLE!$F$14,$M567,BM$13))))</f>
        <v>0</v>
      </c>
      <c r="BN567" s="181">
        <f ca="1">IF($D567&lt;&gt;"Serviço",0,IF(AND(AUTOEVENTO="Manual",$M567=1),0,IF(OFFSET(CRONOPLE!$F$14,$M567,BN$13)="",10^12,OFFSET(CRONOPLE!$F$14,$M567,BN$13))))</f>
        <v>0</v>
      </c>
      <c r="BO567" s="181">
        <f ca="1">IF($D567&lt;&gt;"Serviço",0,IF(AND(AUTOEVENTO="Manual",$M567=1),0,IF(OFFSET(CRONOPLE!$F$14,$M567,BO$13)="",10^12,OFFSET(CRONOPLE!$F$14,$M567,BO$13))))</f>
        <v>0</v>
      </c>
      <c r="BP567" s="181">
        <f ca="1">IF($D567&lt;&gt;"Serviço",0,IF(AND(AUTOEVENTO="Manual",$M567=1),0,IF(OFFSET(CRONOPLE!$F$14,$M567,BP$13)="",10^12,OFFSET(CRONOPLE!$F$14,$M567,BP$13))))</f>
        <v>0</v>
      </c>
      <c r="BQ567" s="181">
        <f ca="1">IF($D567&lt;&gt;"Serviço",0,IF(AND(AUTOEVENTO="Manual",$M567=1),0,IF(OFFSET(CRONOPLE!$F$14,$M567,BQ$13)="",10^12,OFFSET(CRONOPLE!$F$14,$M567,BQ$13))))</f>
        <v>0</v>
      </c>
      <c r="BR567" s="181">
        <f ca="1">IF($D567&lt;&gt;"Serviço",0,IF(AND(AUTOEVENTO="Manual",$M567=1),0,IF(OFFSET(CRONOPLE!$F$14,$M567,BR$13)="",10^12,OFFSET(CRONOPLE!$F$14,$M567,BR$13))))</f>
        <v>0</v>
      </c>
      <c r="BS567" s="181">
        <f ca="1">IF($D567&lt;&gt;"Serviço",0,IF(AND(AUTOEVENTO="Manual",$M567=1),0,IF(OFFSET(CRONOPLE!$F$14,$M567,BS$13)="",10^12,OFFSET(CRONOPLE!$F$14,$M567,BS$13))))</f>
        <v>0</v>
      </c>
      <c r="BT567" s="181">
        <f ca="1">IF($D567&lt;&gt;"Serviço",0,IF(AND(AUTOEVENTO="Manual",$M567=1),0,IF(OFFSET(CRONOPLE!$F$14,$M567,BT$13)="",10^12,OFFSET(CRONOPLE!$F$14,$M567,BT$13))))</f>
        <v>0</v>
      </c>
      <c r="BV567" s="182">
        <f ca="1">IF($D567&lt;&gt;"Serviço",0,IF(OR(AND(AUTOEVENTO="Manual",$M567=1),$M567&gt;(ROW(PLE.lastrow)-ROW(PLE.firstrow))),0,IF(OFFSET(PLE!$G$14,$M567,BV$13)="",10^12,OFFSET(PLE!$G$14,$M567,BV$13))))</f>
        <v>0</v>
      </c>
      <c r="BW567" s="182">
        <f ca="1">IF($D567&lt;&gt;"Serviço",0,IF(OR(AND(AUTOEVENTO="Manual",$M567=1),$M567&gt;(ROW(PLE.lastrow)-ROW(PLE.firstrow))),0,IF(OFFSET(PLE!$G$14,$M567,BW$13)="",10^12,OFFSET(PLE!$G$14,$M567,BW$13))))</f>
        <v>0</v>
      </c>
      <c r="BX567" s="182">
        <f ca="1">IF($D567&lt;&gt;"Serviço",0,IF(OR(AND(AUTOEVENTO="Manual",$M567=1),$M567&gt;(ROW(PLE.lastrow)-ROW(PLE.firstrow))),0,IF(OFFSET(PLE!$G$14,$M567,BX$13)="",10^12,OFFSET(PLE!$G$14,$M567,BX$13))))</f>
        <v>0</v>
      </c>
      <c r="BY567" s="182">
        <f ca="1">IF($D567&lt;&gt;"Serviço",0,IF(OR(AND(AUTOEVENTO="Manual",$M567=1),$M567&gt;(ROW(PLE.lastrow)-ROW(PLE.firstrow))),0,IF(OFFSET(PLE!$G$14,$M567,BY$13)="",10^12,OFFSET(PLE!$G$14,$M567,BY$13))))</f>
        <v>0</v>
      </c>
      <c r="BZ567" s="182">
        <f ca="1">IF($D567&lt;&gt;"Serviço",0,IF(OR(AND(AUTOEVENTO="Manual",$M567=1),$M567&gt;(ROW(PLE.lastrow)-ROW(PLE.firstrow))),0,IF(OFFSET(PLE!$G$14,$M567,BZ$13)="",10^12,OFFSET(PLE!$G$14,$M567,BZ$13))))</f>
        <v>0</v>
      </c>
      <c r="CA567" s="182">
        <f ca="1">IF($D567&lt;&gt;"Serviço",0,IF(OR(AND(AUTOEVENTO="Manual",$M567=1),$M567&gt;(ROW(PLE.lastrow)-ROW(PLE.firstrow))),0,IF(OFFSET(PLE!$G$14,$M567,CA$13)="",10^12,OFFSET(PLE!$G$14,$M567,CA$13))))</f>
        <v>0</v>
      </c>
      <c r="CB567" s="182">
        <f ca="1">IF($D567&lt;&gt;"Serviço",0,IF(OR(AND(AUTOEVENTO="Manual",$M567=1),$M567&gt;(ROW(PLE.lastrow)-ROW(PLE.firstrow))),0,IF(OFFSET(PLE!$G$14,$M567,CB$13)="",10^12,OFFSET(PLE!$G$14,$M567,CB$13))))</f>
        <v>0</v>
      </c>
      <c r="CC567" s="182">
        <f ca="1">IF($D567&lt;&gt;"Serviço",0,IF(OR(AND(AUTOEVENTO="Manual",$M567=1),$M567&gt;(ROW(PLE.lastrow)-ROW(PLE.firstrow))),0,IF(OFFSET(PLE!$G$14,$M567,CC$13)="",10^12,OFFSET(PLE!$G$14,$M567,CC$13))))</f>
        <v>0</v>
      </c>
      <c r="CD567" s="182">
        <f ca="1">IF($D567&lt;&gt;"Serviço",0,IF(OR(AND(AUTOEVENTO="Manual",$M567=1),$M567&gt;(ROW(PLE.lastrow)-ROW(PLE.firstrow))),0,IF(OFFSET(PLE!$G$14,$M567,CD$13)="",10^12,OFFSET(PLE!$G$14,$M567,CD$13))))</f>
        <v>0</v>
      </c>
      <c r="CE567" s="182">
        <f ca="1">IF($D567&lt;&gt;"Serviço",0,IF(OR(AND(AUTOEVENTO="Manual",$M567=1),$M567&gt;(ROW(PLE.lastrow)-ROW(PLE.firstrow))),0,IF(OFFSET(PLE!$G$14,$M567,CE$13)="",10^12,OFFSET(PLE!$G$14,$M567,CE$13))))</f>
        <v>0</v>
      </c>
      <c r="CF567" s="182">
        <f ca="1">IF($D567&lt;&gt;"Serviço",0,IF(OR(AND(AUTOEVENTO="Manual",$M567=1),$M567&gt;(ROW(PLE.lastrow)-ROW(PLE.firstrow))),0,IF(OFFSET(PLE!$G$14,$M567,CF$13)="",10^12,OFFSET(PLE!$G$14,$M567,CF$13))))</f>
        <v>0</v>
      </c>
      <c r="CG567" s="182">
        <f ca="1">IF($D567&lt;&gt;"Serviço",0,IF(OR(AND(AUTOEVENTO="Manual",$M567=1),$M567&gt;(ROW(PLE.lastrow)-ROW(PLE.firstrow))),0,IF(OFFSET(PLE!$G$14,$M567,CG$13)="",10^12,OFFSET(PLE!$G$14,$M567,CG$13))))</f>
        <v>0</v>
      </c>
      <c r="CH567" s="182">
        <f ca="1">IF($D567&lt;&gt;"Serviço",0,IF(OR(AND(AUTOEVENTO="Manual",$M567=1),$M567&gt;(ROW(PLE.lastrow)-ROW(PLE.firstrow))),0,IF(OFFSET(PLE!$G$14,$M567,CH$13)="",10^12,OFFSET(PLE!$G$14,$M567,CH$13))))</f>
        <v>0</v>
      </c>
      <c r="CI567" s="182">
        <f ca="1">IF($D567&lt;&gt;"Serviço",0,IF(OR(AND(AUTOEVENTO="Manual",$M567=1),$M567&gt;(ROW(PLE.lastrow)-ROW(PLE.firstrow))),0,IF(OFFSET(PLE!$G$14,$M567,CI$13)="",10^12,OFFSET(PLE!$G$14,$M567,CI$13))))</f>
        <v>0</v>
      </c>
      <c r="CJ567" s="182">
        <f ca="1">IF($D567&lt;&gt;"Serviço",0,IF(OR(AND(AUTOEVENTO="Manual",$M567=1),$M567&gt;(ROW(PLE.lastrow)-ROW(PLE.firstrow))),0,IF(OFFSET(PLE!$G$14,$M567,CJ$13)="",10^12,OFFSET(PLE!$G$14,$M567,CJ$13))))</f>
        <v>0</v>
      </c>
      <c r="CK567" s="182">
        <f ca="1">IF($D567&lt;&gt;"Serviço",0,IF(OR(AND(AUTOEVENTO="Manual",$M567=1),$M567&gt;(ROW(PLE.lastrow)-ROW(PLE.firstrow))),0,IF(OFFSET(PLE!$G$14,$M567,CK$13)="",10^12,OFFSET(PLE!$G$14,$M567,CK$13))))</f>
        <v>0</v>
      </c>
      <c r="CL567" s="182">
        <f ca="1">IF($D567&lt;&gt;"Serviço",0,IF(OR(AND(AUTOEVENTO="Manual",$M567=1),$M567&gt;(ROW(PLE.lastrow)-ROW(PLE.firstrow))),0,IF(OFFSET(PLE!$G$14,$M567,CL$13)="",10^12,OFFSET(PLE!$G$14,$M567,CL$13))))</f>
        <v>0</v>
      </c>
      <c r="CM567" s="182">
        <f ca="1">IF($D567&lt;&gt;"Serviço",0,IF(OR(AND(AUTOEVENTO="Manual",$M567=1),$M567&gt;(ROW(PLE.lastrow)-ROW(PLE.firstrow))),0,IF(OFFSET(PLE!$G$14,$M567,CM$13)="",10^12,OFFSET(PLE!$G$14,$M567,CM$13))))</f>
        <v>0</v>
      </c>
    </row>
    <row r="568" spans="1:91" ht="38.25" x14ac:dyDescent="0.2">
      <c r="A568" s="7" t="str">
        <f t="shared" ca="1" si="17"/>
        <v>552</v>
      </c>
      <c r="B568" s="7" t="str">
        <f ca="1">OFFSET(ORÇAMENTO!C$15,ROW(B568)-ROW(B$15),0)</f>
        <v>S</v>
      </c>
      <c r="C568" s="7" t="str">
        <f ca="1">OFFSET(ORÇAMENTO!L$15,ROW(C568)-ROW(C$15),0)</f>
        <v/>
      </c>
      <c r="D568" s="118" t="str">
        <f ca="1">OFFSET(ORÇAMENTO!N$15,ROW(D568)-ROW(D$15),0)</f>
        <v>Serviço</v>
      </c>
      <c r="E568" s="119" t="str">
        <f ca="1">OFFSET(ORÇAMENTO!O$15,ROW(E568)-ROW(E$15),0)</f>
        <v>-</v>
      </c>
      <c r="F568" s="172" t="str">
        <f ca="1">OFFSET(ORÇAMENTO!R$15,ROW(F568)-ROW(F$15),0)</f>
        <v>(abra o arquivo 'Referência 06-2024.xlsm)</v>
      </c>
      <c r="G568" s="173" t="str">
        <f ca="1">IF($D568&lt;&gt;"Serviço","",OFFSET(ORÇAMENTO!S$15,ROW(G568)-ROW(G$15),0))</f>
        <v>-</v>
      </c>
      <c r="H568" s="124">
        <f ca="1">IF($D568&lt;&gt;"Serviço",0,IF(ACOMPANHAMENTO="BM",ROUND(OFFSET(ORÇAMENTO!AJ$15,ROW(H568)-ROW(H$15),0),15-13*ORÇAMENTO!$AF$7),SUMPRODUCT(($Q$12:$AI$12&lt;&gt;"")*ROUND($Q568:$AI568,15-13*ORÇAMENTO!$AF$7))))</f>
        <v>49</v>
      </c>
      <c r="I568" s="561" t="s">
        <v>1107</v>
      </c>
      <c r="K568" s="174"/>
      <c r="L568" s="175" t="s">
        <v>255</v>
      </c>
      <c r="M568" s="176">
        <f ca="1">IF($D568&lt;&gt;"Serviço","",IF(AUTOEVENTO="manual",$A568,IF(ISERROR(MATCH($A568,$A$15:OFFSET($A568,-1,0),0)),MAX($M$15:OFFSET(M568,-1,0))+1,INDEX($M$15:OFFSET(M568,-1,0),MATCH($A568,$A$15:OFFSET($A568,-1,0),0)))))</f>
        <v>58</v>
      </c>
      <c r="N568" s="177" t="str">
        <f ca="1">IF($D568&lt;&gt;"Serviço","",IF(AUTOEVENTO="Manual",IF($A568=0,"&lt;-- defina o número do agrupador",OFFSET(EVENTOS!$D$14,$A568,0)),OFFSET($F$15,$A568,0)))</f>
        <v>INSTALAÇÃO ELÉTRICA 110V - ELETROCALHAS</v>
      </c>
      <c r="O568" s="178"/>
      <c r="Q568" s="178">
        <v>49</v>
      </c>
      <c r="R568" s="179"/>
      <c r="S568" s="179"/>
      <c r="T568" s="179"/>
      <c r="U568" s="179"/>
      <c r="V568" s="179"/>
      <c r="W568" s="179"/>
      <c r="X568" s="179"/>
      <c r="Y568" s="179"/>
      <c r="Z568" s="180"/>
      <c r="AA568" s="179"/>
      <c r="AB568" s="179"/>
      <c r="AC568" s="179"/>
      <c r="AD568" s="179"/>
      <c r="AE568" s="179"/>
      <c r="AF568" s="179"/>
      <c r="AG568" s="179"/>
      <c r="AH568" s="180"/>
      <c r="AJ568" s="544">
        <f ca="1">IF(AND($D568="Serviço",AJ$12&lt;&gt;0,$H568&gt;0,OR(AUTOEVENTO&lt;&gt;"manual",$M568&lt;&gt;1)),
IF(Import.TipoArredondamento&lt;&gt;"TransfereGOV",
ROUND(OFFSET($P568,0,AJ$13),15-13*ORÇAMENTO!$AF$7)/$H568*OFFSET(ORÇAMENTO!$X$15,ROW(AJ568)-ROW(AJ$15),0),
ROUND(ROUND(OFFSET($P568,0,AJ$13),15-13*ORÇAMENTO!$AF$7)*OFFSET(ORÇAMENTO!$W$15,ROW(AJ568)-ROW(AJ$15),0),15-13*ORÇAMENTO!$AF$11)),0)</f>
        <v>0</v>
      </c>
      <c r="AK568" s="545">
        <f ca="1">IF(AND($D568="Serviço",AK$12&lt;&gt;0,$H568&gt;0,OR(AUTOEVENTO&lt;&gt;"manual",$M568&lt;&gt;1)),
IF(Import.TipoArredondamento&lt;&gt;"TransfereGOV",
ROUND(OFFSET($P568,0,AK$13),15-13*ORÇAMENTO!$AF$7)/$H568*OFFSET(ORÇAMENTO!$X$15,ROW(AK568)-ROW(AK$15),0),
ROUND(ROUND(OFFSET($P568,0,AK$13),15-13*ORÇAMENTO!$AF$7)*OFFSET(ORÇAMENTO!$W$15,ROW(AK568)-ROW(AK$15),0),15-13*ORÇAMENTO!$AF$11)),0)</f>
        <v>0</v>
      </c>
      <c r="AL568" s="545">
        <f ca="1">IF(AND($D568="Serviço",AL$12&lt;&gt;0,$H568&gt;0,OR(AUTOEVENTO&lt;&gt;"manual",$M568&lt;&gt;1)),
IF(Import.TipoArredondamento&lt;&gt;"TransfereGOV",
ROUND(OFFSET($P568,0,AL$13),15-13*ORÇAMENTO!$AF$7)/$H568*OFFSET(ORÇAMENTO!$X$15,ROW(AL568)-ROW(AL$15),0),
ROUND(ROUND(OFFSET($P568,0,AL$13),15-13*ORÇAMENTO!$AF$7)*OFFSET(ORÇAMENTO!$W$15,ROW(AL568)-ROW(AL$15),0),15-13*ORÇAMENTO!$AF$11)),0)</f>
        <v>0</v>
      </c>
      <c r="AM568" s="545">
        <f ca="1">IF(AND($D568="Serviço",AM$12&lt;&gt;0,$H568&gt;0,OR(AUTOEVENTO&lt;&gt;"manual",$M568&lt;&gt;1)),
IF(Import.TipoArredondamento&lt;&gt;"TransfereGOV",
ROUND(OFFSET($P568,0,AM$13),15-13*ORÇAMENTO!$AF$7)/$H568*OFFSET(ORÇAMENTO!$X$15,ROW(AM568)-ROW(AM$15),0),
ROUND(ROUND(OFFSET($P568,0,AM$13),15-13*ORÇAMENTO!$AF$7)*OFFSET(ORÇAMENTO!$W$15,ROW(AM568)-ROW(AM$15),0),15-13*ORÇAMENTO!$AF$11)),0)</f>
        <v>0</v>
      </c>
      <c r="AN568" s="545">
        <f ca="1">IF(AND($D568="Serviço",AN$12&lt;&gt;0,$H568&gt;0,OR(AUTOEVENTO&lt;&gt;"manual",$M568&lt;&gt;1)),
IF(Import.TipoArredondamento&lt;&gt;"TransfereGOV",
ROUND(OFFSET($P568,0,AN$13),15-13*ORÇAMENTO!$AF$7)/$H568*OFFSET(ORÇAMENTO!$X$15,ROW(AN568)-ROW(AN$15),0),
ROUND(ROUND(OFFSET($P568,0,AN$13),15-13*ORÇAMENTO!$AF$7)*OFFSET(ORÇAMENTO!$W$15,ROW(AN568)-ROW(AN$15),0),15-13*ORÇAMENTO!$AF$11)),0)</f>
        <v>0</v>
      </c>
      <c r="AO568" s="545">
        <f ca="1">IF(AND($D568="Serviço",AO$12&lt;&gt;0,$H568&gt;0,OR(AUTOEVENTO&lt;&gt;"manual",$M568&lt;&gt;1)),
IF(Import.TipoArredondamento&lt;&gt;"TransfereGOV",
ROUND(OFFSET($P568,0,AO$13),15-13*ORÇAMENTO!$AF$7)/$H568*OFFSET(ORÇAMENTO!$X$15,ROW(AO568)-ROW(AO$15),0),
ROUND(ROUND(OFFSET($P568,0,AO$13),15-13*ORÇAMENTO!$AF$7)*OFFSET(ORÇAMENTO!$W$15,ROW(AO568)-ROW(AO$15),0),15-13*ORÇAMENTO!$AF$11)),0)</f>
        <v>0</v>
      </c>
      <c r="AP568" s="545">
        <f ca="1">IF(AND($D568="Serviço",AP$12&lt;&gt;0,$H568&gt;0,OR(AUTOEVENTO&lt;&gt;"manual",$M568&lt;&gt;1)),
IF(Import.TipoArredondamento&lt;&gt;"TransfereGOV",
ROUND(OFFSET($P568,0,AP$13),15-13*ORÇAMENTO!$AF$7)/$H568*OFFSET(ORÇAMENTO!$X$15,ROW(AP568)-ROW(AP$15),0),
ROUND(ROUND(OFFSET($P568,0,AP$13),15-13*ORÇAMENTO!$AF$7)*OFFSET(ORÇAMENTO!$W$15,ROW(AP568)-ROW(AP$15),0),15-13*ORÇAMENTO!$AF$11)),0)</f>
        <v>0</v>
      </c>
      <c r="AQ568" s="545">
        <f ca="1">IF(AND($D568="Serviço",AQ$12&lt;&gt;0,$H568&gt;0,OR(AUTOEVENTO&lt;&gt;"manual",$M568&lt;&gt;1)),
IF(Import.TipoArredondamento&lt;&gt;"TransfereGOV",
ROUND(OFFSET($P568,0,AQ$13),15-13*ORÇAMENTO!$AF$7)/$H568*OFFSET(ORÇAMENTO!$X$15,ROW(AQ568)-ROW(AQ$15),0),
ROUND(ROUND(OFFSET($P568,0,AQ$13),15-13*ORÇAMENTO!$AF$7)*OFFSET(ORÇAMENTO!$W$15,ROW(AQ568)-ROW(AQ$15),0),15-13*ORÇAMENTO!$AF$11)),0)</f>
        <v>0</v>
      </c>
      <c r="AR568" s="545">
        <f ca="1">IF(AND($D568="Serviço",AR$12&lt;&gt;0,$H568&gt;0,OR(AUTOEVENTO&lt;&gt;"manual",$M568&lt;&gt;1)),
IF(Import.TipoArredondamento&lt;&gt;"TransfereGOV",
ROUND(OFFSET($P568,0,AR$13),15-13*ORÇAMENTO!$AF$7)/$H568*OFFSET(ORÇAMENTO!$X$15,ROW(AR568)-ROW(AR$15),0),
ROUND(ROUND(OFFSET($P568,0,AR$13),15-13*ORÇAMENTO!$AF$7)*OFFSET(ORÇAMENTO!$W$15,ROW(AR568)-ROW(AR$15),0),15-13*ORÇAMENTO!$AF$11)),0)</f>
        <v>0</v>
      </c>
      <c r="AS568" s="546">
        <f ca="1">IF(AND($D568="Serviço",AS$12&lt;&gt;0,$H568&gt;0,OR(AUTOEVENTO&lt;&gt;"manual",$M568&lt;&gt;1)),
IF(Import.TipoArredondamento&lt;&gt;"TransfereGOV",
ROUND(OFFSET($P568,0,AS$13),15-13*ORÇAMENTO!$AF$7)/$H568*OFFSET(ORÇAMENTO!$X$15,ROW(AS568)-ROW(AS$15),0),
ROUND(ROUND(OFFSET($P568,0,AS$13),15-13*ORÇAMENTO!$AF$7)*OFFSET(ORÇAMENTO!$W$15,ROW(AS568)-ROW(AS$15),0),15-13*ORÇAMENTO!$AF$11)),0)</f>
        <v>0</v>
      </c>
      <c r="AT568" s="545">
        <f ca="1">IF(AND($D568="Serviço",AT$12&lt;&gt;0,$H568&gt;0,OR(AUTOEVENTO&lt;&gt;"manual",$M568&lt;&gt;1)),
IF(Import.TipoArredondamento&lt;&gt;"TransfereGOV",
ROUND(OFFSET($P568,0,AT$13),15-13*ORÇAMENTO!$AF$7)/$H568*OFFSET(ORÇAMENTO!$X$15,ROW(AT568)-ROW(AT$15),0),
ROUND(ROUND(OFFSET($P568,0,AT$13),15-13*ORÇAMENTO!$AF$7)*OFFSET(ORÇAMENTO!$W$15,ROW(AT568)-ROW(AT$15),0),15-13*ORÇAMENTO!$AF$11)),0)</f>
        <v>0</v>
      </c>
      <c r="AU568" s="545">
        <f ca="1">IF(AND($D568="Serviço",AU$12&lt;&gt;0,$H568&gt;0,OR(AUTOEVENTO&lt;&gt;"manual",$M568&lt;&gt;1)),
IF(Import.TipoArredondamento&lt;&gt;"TransfereGOV",
ROUND(OFFSET($P568,0,AU$13),15-13*ORÇAMENTO!$AF$7)/$H568*OFFSET(ORÇAMENTO!$X$15,ROW(AU568)-ROW(AU$15),0),
ROUND(ROUND(OFFSET($P568,0,AU$13),15-13*ORÇAMENTO!$AF$7)*OFFSET(ORÇAMENTO!$W$15,ROW(AU568)-ROW(AU$15),0),15-13*ORÇAMENTO!$AF$11)),0)</f>
        <v>0</v>
      </c>
      <c r="AV568" s="545">
        <f ca="1">IF(AND($D568="Serviço",AV$12&lt;&gt;0,$H568&gt;0,OR(AUTOEVENTO&lt;&gt;"manual",$M568&lt;&gt;1)),
IF(Import.TipoArredondamento&lt;&gt;"TransfereGOV",
ROUND(OFFSET($P568,0,AV$13),15-13*ORÇAMENTO!$AF$7)/$H568*OFFSET(ORÇAMENTO!$X$15,ROW(AV568)-ROW(AV$15),0),
ROUND(ROUND(OFFSET($P568,0,AV$13),15-13*ORÇAMENTO!$AF$7)*OFFSET(ORÇAMENTO!$W$15,ROW(AV568)-ROW(AV$15),0),15-13*ORÇAMENTO!$AF$11)),0)</f>
        <v>0</v>
      </c>
      <c r="AW568" s="545">
        <f ca="1">IF(AND($D568="Serviço",AW$12&lt;&gt;0,$H568&gt;0,OR(AUTOEVENTO&lt;&gt;"manual",$M568&lt;&gt;1)),
IF(Import.TipoArredondamento&lt;&gt;"TransfereGOV",
ROUND(OFFSET($P568,0,AW$13),15-13*ORÇAMENTO!$AF$7)/$H568*OFFSET(ORÇAMENTO!$X$15,ROW(AW568)-ROW(AW$15),0),
ROUND(ROUND(OFFSET($P568,0,AW$13),15-13*ORÇAMENTO!$AF$7)*OFFSET(ORÇAMENTO!$W$15,ROW(AW568)-ROW(AW$15),0),15-13*ORÇAMENTO!$AF$11)),0)</f>
        <v>0</v>
      </c>
      <c r="AX568" s="545">
        <f ca="1">IF(AND($D568="Serviço",AX$12&lt;&gt;0,$H568&gt;0,OR(AUTOEVENTO&lt;&gt;"manual",$M568&lt;&gt;1)),
IF(Import.TipoArredondamento&lt;&gt;"TransfereGOV",
ROUND(OFFSET($P568,0,AX$13),15-13*ORÇAMENTO!$AF$7)/$H568*OFFSET(ORÇAMENTO!$X$15,ROW(AX568)-ROW(AX$15),0),
ROUND(ROUND(OFFSET($P568,0,AX$13),15-13*ORÇAMENTO!$AF$7)*OFFSET(ORÇAMENTO!$W$15,ROW(AX568)-ROW(AX$15),0),15-13*ORÇAMENTO!$AF$11)),0)</f>
        <v>0</v>
      </c>
      <c r="AY568" s="545">
        <f ca="1">IF(AND($D568="Serviço",AY$12&lt;&gt;0,$H568&gt;0,OR(AUTOEVENTO&lt;&gt;"manual",$M568&lt;&gt;1)),
IF(Import.TipoArredondamento&lt;&gt;"TransfereGOV",
ROUND(OFFSET($P568,0,AY$13),15-13*ORÇAMENTO!$AF$7)/$H568*OFFSET(ORÇAMENTO!$X$15,ROW(AY568)-ROW(AY$15),0),
ROUND(ROUND(OFFSET($P568,0,AY$13),15-13*ORÇAMENTO!$AF$7)*OFFSET(ORÇAMENTO!$W$15,ROW(AY568)-ROW(AY$15),0),15-13*ORÇAMENTO!$AF$11)),0)</f>
        <v>0</v>
      </c>
      <c r="AZ568" s="545">
        <f ca="1">IF(AND($D568="Serviço",AZ$12&lt;&gt;0,$H568&gt;0,OR(AUTOEVENTO&lt;&gt;"manual",$M568&lt;&gt;1)),
IF(Import.TipoArredondamento&lt;&gt;"TransfereGOV",
ROUND(OFFSET($P568,0,AZ$13),15-13*ORÇAMENTO!$AF$7)/$H568*OFFSET(ORÇAMENTO!$X$15,ROW(AZ568)-ROW(AZ$15),0),
ROUND(ROUND(OFFSET($P568,0,AZ$13),15-13*ORÇAMENTO!$AF$7)*OFFSET(ORÇAMENTO!$W$15,ROW(AZ568)-ROW(AZ$15),0),15-13*ORÇAMENTO!$AF$11)),0)</f>
        <v>0</v>
      </c>
      <c r="BA568" s="546">
        <f ca="1">IF(AND($D568="Serviço",BA$12&lt;&gt;0,$H568&gt;0,OR(AUTOEVENTO&lt;&gt;"manual",$M568&lt;&gt;1)),
IF(Import.TipoArredondamento&lt;&gt;"TransfereGOV",
ROUND(OFFSET($P568,0,BA$13),15-13*ORÇAMENTO!$AF$7)/$H568*OFFSET(ORÇAMENTO!$X$15,ROW(BA568)-ROW(BA$15),0),
ROUND(ROUND(OFFSET($P568,0,BA$13),15-13*ORÇAMENTO!$AF$7)*OFFSET(ORÇAMENTO!$W$15,ROW(BA568)-ROW(BA$15),0),15-13*ORÇAMENTO!$AF$11)),0)</f>
        <v>0</v>
      </c>
      <c r="BC568" s="181">
        <f ca="1">IF($D568&lt;&gt;"Serviço",0,IF(AND(AUTOEVENTO="Manual",$M568=1),0,IF(OFFSET(CRONOPLE!$F$14,$M568,BC$13)="",10^12,OFFSET(CRONOPLE!$F$14,$M568,BC$13))))</f>
        <v>10</v>
      </c>
      <c r="BD568" s="181">
        <f ca="1">IF($D568&lt;&gt;"Serviço",0,IF(AND(AUTOEVENTO="Manual",$M568=1),0,IF(OFFSET(CRONOPLE!$F$14,$M568,BD$13)="",10^12,OFFSET(CRONOPLE!$F$14,$M568,BD$13))))</f>
        <v>1000000000000</v>
      </c>
      <c r="BE568" s="181">
        <f ca="1">IF($D568&lt;&gt;"Serviço",0,IF(AND(AUTOEVENTO="Manual",$M568=1),0,IF(OFFSET(CRONOPLE!$F$14,$M568,BE$13)="",10^12,OFFSET(CRONOPLE!$F$14,$M568,BE$13))))</f>
        <v>1000000000000</v>
      </c>
      <c r="BF568" s="181">
        <f ca="1">IF($D568&lt;&gt;"Serviço",0,IF(AND(AUTOEVENTO="Manual",$M568=1),0,IF(OFFSET(CRONOPLE!$F$14,$M568,BF$13)="",10^12,OFFSET(CRONOPLE!$F$14,$M568,BF$13))))</f>
        <v>1000000000000</v>
      </c>
      <c r="BG568" s="181">
        <f ca="1">IF($D568&lt;&gt;"Serviço",0,IF(AND(AUTOEVENTO="Manual",$M568=1),0,IF(OFFSET(CRONOPLE!$F$14,$M568,BG$13)="",10^12,OFFSET(CRONOPLE!$F$14,$M568,BG$13))))</f>
        <v>1000000000000</v>
      </c>
      <c r="BH568" s="181">
        <f ca="1">IF($D568&lt;&gt;"Serviço",0,IF(AND(AUTOEVENTO="Manual",$M568=1),0,IF(OFFSET(CRONOPLE!$F$14,$M568,BH$13)="",10^12,OFFSET(CRONOPLE!$F$14,$M568,BH$13))))</f>
        <v>1000000000000</v>
      </c>
      <c r="BI568" s="181">
        <f ca="1">IF($D568&lt;&gt;"Serviço",0,IF(AND(AUTOEVENTO="Manual",$M568=1),0,IF(OFFSET(CRONOPLE!$F$14,$M568,BI$13)="",10^12,OFFSET(CRONOPLE!$F$14,$M568,BI$13))))</f>
        <v>1000000000000</v>
      </c>
      <c r="BJ568" s="181">
        <f ca="1">IF($D568&lt;&gt;"Serviço",0,IF(AND(AUTOEVENTO="Manual",$M568=1),0,IF(OFFSET(CRONOPLE!$F$14,$M568,BJ$13)="",10^12,OFFSET(CRONOPLE!$F$14,$M568,BJ$13))))</f>
        <v>1000000000000</v>
      </c>
      <c r="BK568" s="181">
        <f ca="1">IF($D568&lt;&gt;"Serviço",0,IF(AND(AUTOEVENTO="Manual",$M568=1),0,IF(OFFSET(CRONOPLE!$F$14,$M568,BK$13)="",10^12,OFFSET(CRONOPLE!$F$14,$M568,BK$13))))</f>
        <v>1000000000000</v>
      </c>
      <c r="BL568" s="181">
        <f ca="1">IF($D568&lt;&gt;"Serviço",0,IF(AND(AUTOEVENTO="Manual",$M568=1),0,IF(OFFSET(CRONOPLE!$F$14,$M568,BL$13)="",10^12,OFFSET(CRONOPLE!$F$14,$M568,BL$13))))</f>
        <v>1000000000000</v>
      </c>
      <c r="BM568" s="181">
        <f ca="1">IF($D568&lt;&gt;"Serviço",0,IF(AND(AUTOEVENTO="Manual",$M568=1),0,IF(OFFSET(CRONOPLE!$F$14,$M568,BM$13)="",10^12,OFFSET(CRONOPLE!$F$14,$M568,BM$13))))</f>
        <v>1000000000000</v>
      </c>
      <c r="BN568" s="181">
        <f ca="1">IF($D568&lt;&gt;"Serviço",0,IF(AND(AUTOEVENTO="Manual",$M568=1),0,IF(OFFSET(CRONOPLE!$F$14,$M568,BN$13)="",10^12,OFFSET(CRONOPLE!$F$14,$M568,BN$13))))</f>
        <v>1000000000000</v>
      </c>
      <c r="BO568" s="181">
        <f ca="1">IF($D568&lt;&gt;"Serviço",0,IF(AND(AUTOEVENTO="Manual",$M568=1),0,IF(OFFSET(CRONOPLE!$F$14,$M568,BO$13)="",10^12,OFFSET(CRONOPLE!$F$14,$M568,BO$13))))</f>
        <v>1000000000000</v>
      </c>
      <c r="BP568" s="181">
        <f ca="1">IF($D568&lt;&gt;"Serviço",0,IF(AND(AUTOEVENTO="Manual",$M568=1),0,IF(OFFSET(CRONOPLE!$F$14,$M568,BP$13)="",10^12,OFFSET(CRONOPLE!$F$14,$M568,BP$13))))</f>
        <v>1000000000000</v>
      </c>
      <c r="BQ568" s="181">
        <f ca="1">IF($D568&lt;&gt;"Serviço",0,IF(AND(AUTOEVENTO="Manual",$M568=1),0,IF(OFFSET(CRONOPLE!$F$14,$M568,BQ$13)="",10^12,OFFSET(CRONOPLE!$F$14,$M568,BQ$13))))</f>
        <v>1000000000000</v>
      </c>
      <c r="BR568" s="181">
        <f ca="1">IF($D568&lt;&gt;"Serviço",0,IF(AND(AUTOEVENTO="Manual",$M568=1),0,IF(OFFSET(CRONOPLE!$F$14,$M568,BR$13)="",10^12,OFFSET(CRONOPLE!$F$14,$M568,BR$13))))</f>
        <v>1000000000000</v>
      </c>
      <c r="BS568" s="181">
        <f ca="1">IF($D568&lt;&gt;"Serviço",0,IF(AND(AUTOEVENTO="Manual",$M568=1),0,IF(OFFSET(CRONOPLE!$F$14,$M568,BS$13)="",10^12,OFFSET(CRONOPLE!$F$14,$M568,BS$13))))</f>
        <v>1000000000000</v>
      </c>
      <c r="BT568" s="181">
        <f ca="1">IF($D568&lt;&gt;"Serviço",0,IF(AND(AUTOEVENTO="Manual",$M568=1),0,IF(OFFSET(CRONOPLE!$F$14,$M568,BT$13)="",10^12,OFFSET(CRONOPLE!$F$14,$M568,BT$13))))</f>
        <v>1000000000000</v>
      </c>
      <c r="BV568" s="182">
        <f ca="1">IF($D568&lt;&gt;"Serviço",0,IF(OR(AND(AUTOEVENTO="Manual",$M568=1),$M568&gt;(ROW(PLE.lastrow)-ROW(PLE.firstrow))),0,IF(OFFSET(PLE!$G$14,$M568,BV$13)="",10^12,OFFSET(PLE!$G$14,$M568,BV$13))))</f>
        <v>1000000000000</v>
      </c>
      <c r="BW568" s="182">
        <f ca="1">IF($D568&lt;&gt;"Serviço",0,IF(OR(AND(AUTOEVENTO="Manual",$M568=1),$M568&gt;(ROW(PLE.lastrow)-ROW(PLE.firstrow))),0,IF(OFFSET(PLE!$G$14,$M568,BW$13)="",10^12,OFFSET(PLE!$G$14,$M568,BW$13))))</f>
        <v>1000000000000</v>
      </c>
      <c r="BX568" s="182">
        <f ca="1">IF($D568&lt;&gt;"Serviço",0,IF(OR(AND(AUTOEVENTO="Manual",$M568=1),$M568&gt;(ROW(PLE.lastrow)-ROW(PLE.firstrow))),0,IF(OFFSET(PLE!$G$14,$M568,BX$13)="",10^12,OFFSET(PLE!$G$14,$M568,BX$13))))</f>
        <v>1000000000000</v>
      </c>
      <c r="BY568" s="182">
        <f ca="1">IF($D568&lt;&gt;"Serviço",0,IF(OR(AND(AUTOEVENTO="Manual",$M568=1),$M568&gt;(ROW(PLE.lastrow)-ROW(PLE.firstrow))),0,IF(OFFSET(PLE!$G$14,$M568,BY$13)="",10^12,OFFSET(PLE!$G$14,$M568,BY$13))))</f>
        <v>1000000000000</v>
      </c>
      <c r="BZ568" s="182">
        <f ca="1">IF($D568&lt;&gt;"Serviço",0,IF(OR(AND(AUTOEVENTO="Manual",$M568=1),$M568&gt;(ROW(PLE.lastrow)-ROW(PLE.firstrow))),0,IF(OFFSET(PLE!$G$14,$M568,BZ$13)="",10^12,OFFSET(PLE!$G$14,$M568,BZ$13))))</f>
        <v>1000000000000</v>
      </c>
      <c r="CA568" s="182">
        <f ca="1">IF($D568&lt;&gt;"Serviço",0,IF(OR(AND(AUTOEVENTO="Manual",$M568=1),$M568&gt;(ROW(PLE.lastrow)-ROW(PLE.firstrow))),0,IF(OFFSET(PLE!$G$14,$M568,CA$13)="",10^12,OFFSET(PLE!$G$14,$M568,CA$13))))</f>
        <v>1000000000000</v>
      </c>
      <c r="CB568" s="182">
        <f ca="1">IF($D568&lt;&gt;"Serviço",0,IF(OR(AND(AUTOEVENTO="Manual",$M568=1),$M568&gt;(ROW(PLE.lastrow)-ROW(PLE.firstrow))),0,IF(OFFSET(PLE!$G$14,$M568,CB$13)="",10^12,OFFSET(PLE!$G$14,$M568,CB$13))))</f>
        <v>1000000000000</v>
      </c>
      <c r="CC568" s="182">
        <f ca="1">IF($D568&lt;&gt;"Serviço",0,IF(OR(AND(AUTOEVENTO="Manual",$M568=1),$M568&gt;(ROW(PLE.lastrow)-ROW(PLE.firstrow))),0,IF(OFFSET(PLE!$G$14,$M568,CC$13)="",10^12,OFFSET(PLE!$G$14,$M568,CC$13))))</f>
        <v>1000000000000</v>
      </c>
      <c r="CD568" s="182">
        <f ca="1">IF($D568&lt;&gt;"Serviço",0,IF(OR(AND(AUTOEVENTO="Manual",$M568=1),$M568&gt;(ROW(PLE.lastrow)-ROW(PLE.firstrow))),0,IF(OFFSET(PLE!$G$14,$M568,CD$13)="",10^12,OFFSET(PLE!$G$14,$M568,CD$13))))</f>
        <v>1000000000000</v>
      </c>
      <c r="CE568" s="182">
        <f ca="1">IF($D568&lt;&gt;"Serviço",0,IF(OR(AND(AUTOEVENTO="Manual",$M568=1),$M568&gt;(ROW(PLE.lastrow)-ROW(PLE.firstrow))),0,IF(OFFSET(PLE!$G$14,$M568,CE$13)="",10^12,OFFSET(PLE!$G$14,$M568,CE$13))))</f>
        <v>1000000000000</v>
      </c>
      <c r="CF568" s="182">
        <f ca="1">IF($D568&lt;&gt;"Serviço",0,IF(OR(AND(AUTOEVENTO="Manual",$M568=1),$M568&gt;(ROW(PLE.lastrow)-ROW(PLE.firstrow))),0,IF(OFFSET(PLE!$G$14,$M568,CF$13)="",10^12,OFFSET(PLE!$G$14,$M568,CF$13))))</f>
        <v>1000000000000</v>
      </c>
      <c r="CG568" s="182">
        <f ca="1">IF($D568&lt;&gt;"Serviço",0,IF(OR(AND(AUTOEVENTO="Manual",$M568=1),$M568&gt;(ROW(PLE.lastrow)-ROW(PLE.firstrow))),0,IF(OFFSET(PLE!$G$14,$M568,CG$13)="",10^12,OFFSET(PLE!$G$14,$M568,CG$13))))</f>
        <v>1000000000000</v>
      </c>
      <c r="CH568" s="182">
        <f ca="1">IF($D568&lt;&gt;"Serviço",0,IF(OR(AND(AUTOEVENTO="Manual",$M568=1),$M568&gt;(ROW(PLE.lastrow)-ROW(PLE.firstrow))),0,IF(OFFSET(PLE!$G$14,$M568,CH$13)="",10^12,OFFSET(PLE!$G$14,$M568,CH$13))))</f>
        <v>1000000000000</v>
      </c>
      <c r="CI568" s="182">
        <f ca="1">IF($D568&lt;&gt;"Serviço",0,IF(OR(AND(AUTOEVENTO="Manual",$M568=1),$M568&gt;(ROW(PLE.lastrow)-ROW(PLE.firstrow))),0,IF(OFFSET(PLE!$G$14,$M568,CI$13)="",10^12,OFFSET(PLE!$G$14,$M568,CI$13))))</f>
        <v>1000000000000</v>
      </c>
      <c r="CJ568" s="182">
        <f ca="1">IF($D568&lt;&gt;"Serviço",0,IF(OR(AND(AUTOEVENTO="Manual",$M568=1),$M568&gt;(ROW(PLE.lastrow)-ROW(PLE.firstrow))),0,IF(OFFSET(PLE!$G$14,$M568,CJ$13)="",10^12,OFFSET(PLE!$G$14,$M568,CJ$13))))</f>
        <v>1000000000000</v>
      </c>
      <c r="CK568" s="182">
        <f ca="1">IF($D568&lt;&gt;"Serviço",0,IF(OR(AND(AUTOEVENTO="Manual",$M568=1),$M568&gt;(ROW(PLE.lastrow)-ROW(PLE.firstrow))),0,IF(OFFSET(PLE!$G$14,$M568,CK$13)="",10^12,OFFSET(PLE!$G$14,$M568,CK$13))))</f>
        <v>1000000000000</v>
      </c>
      <c r="CL568" s="182">
        <f ca="1">IF($D568&lt;&gt;"Serviço",0,IF(OR(AND(AUTOEVENTO="Manual",$M568=1),$M568&gt;(ROW(PLE.lastrow)-ROW(PLE.firstrow))),0,IF(OFFSET(PLE!$G$14,$M568,CL$13)="",10^12,OFFSET(PLE!$G$14,$M568,CL$13))))</f>
        <v>1000000000000</v>
      </c>
      <c r="CM568" s="182">
        <f ca="1">IF($D568&lt;&gt;"Serviço",0,IF(OR(AND(AUTOEVENTO="Manual",$M568=1),$M568&gt;(ROW(PLE.lastrow)-ROW(PLE.firstrow))),0,IF(OFFSET(PLE!$G$14,$M568,CM$13)="",10^12,OFFSET(PLE!$G$14,$M568,CM$13))))</f>
        <v>1000000000000</v>
      </c>
    </row>
    <row r="569" spans="1:91" ht="38.25" x14ac:dyDescent="0.2">
      <c r="A569" s="7" t="str">
        <f t="shared" ca="1" si="17"/>
        <v>552</v>
      </c>
      <c r="B569" s="7" t="str">
        <f ca="1">OFFSET(ORÇAMENTO!C$15,ROW(B569)-ROW(B$15),0)</f>
        <v>S</v>
      </c>
      <c r="C569" s="7" t="str">
        <f ca="1">OFFSET(ORÇAMENTO!L$15,ROW(C569)-ROW(C$15),0)</f>
        <v/>
      </c>
      <c r="D569" s="118" t="str">
        <f ca="1">OFFSET(ORÇAMENTO!N$15,ROW(D569)-ROW(D$15),0)</f>
        <v>Serviço</v>
      </c>
      <c r="E569" s="119" t="str">
        <f ca="1">OFFSET(ORÇAMENTO!O$15,ROW(E569)-ROW(E$15),0)</f>
        <v>-</v>
      </c>
      <c r="F569" s="172" t="str">
        <f ca="1">OFFSET(ORÇAMENTO!R$15,ROW(F569)-ROW(F$15),0)</f>
        <v>(abra o arquivo 'Referência 06-2024.xlsm)</v>
      </c>
      <c r="G569" s="173" t="str">
        <f ca="1">IF($D569&lt;&gt;"Serviço","",OFFSET(ORÇAMENTO!S$15,ROW(G569)-ROW(G$15),0))</f>
        <v>-</v>
      </c>
      <c r="H569" s="124">
        <f ca="1">IF($D569&lt;&gt;"Serviço",0,IF(ACOMPANHAMENTO="BM",ROUND(OFFSET(ORÇAMENTO!AJ$15,ROW(H569)-ROW(H$15),0),15-13*ORÇAMENTO!$AF$7),SUMPRODUCT(($Q$12:$AI$12&lt;&gt;"")*ROUND($Q569:$AI569,15-13*ORÇAMENTO!$AF$7))))</f>
        <v>102.2</v>
      </c>
      <c r="I569" s="561" t="s">
        <v>1107</v>
      </c>
      <c r="K569" s="174"/>
      <c r="L569" s="175" t="s">
        <v>255</v>
      </c>
      <c r="M569" s="176">
        <f ca="1">IF($D569&lt;&gt;"Serviço","",IF(AUTOEVENTO="manual",$A569,IF(ISERROR(MATCH($A569,$A$15:OFFSET($A569,-1,0),0)),MAX($M$15:OFFSET(M569,-1,0))+1,INDEX($M$15:OFFSET(M569,-1,0),MATCH($A569,$A$15:OFFSET($A569,-1,0),0)))))</f>
        <v>58</v>
      </c>
      <c r="N569" s="177" t="str">
        <f ca="1">IF($D569&lt;&gt;"Serviço","",IF(AUTOEVENTO="Manual",IF($A569=0,"&lt;-- defina o número do agrupador",OFFSET(EVENTOS!$D$14,$A569,0)),OFFSET($F$15,$A569,0)))</f>
        <v>INSTALAÇÃO ELÉTRICA 110V - ELETROCALHAS</v>
      </c>
      <c r="O569" s="178"/>
      <c r="Q569" s="178">
        <v>102.2</v>
      </c>
      <c r="R569" s="179"/>
      <c r="S569" s="179"/>
      <c r="T569" s="179"/>
      <c r="U569" s="179"/>
      <c r="V569" s="179"/>
      <c r="W569" s="179"/>
      <c r="X569" s="179"/>
      <c r="Y569" s="179"/>
      <c r="Z569" s="180"/>
      <c r="AA569" s="179"/>
      <c r="AB569" s="179"/>
      <c r="AC569" s="179"/>
      <c r="AD569" s="179"/>
      <c r="AE569" s="179"/>
      <c r="AF569" s="179"/>
      <c r="AG569" s="179"/>
      <c r="AH569" s="180"/>
      <c r="AJ569" s="544">
        <f ca="1">IF(AND($D569="Serviço",AJ$12&lt;&gt;0,$H569&gt;0,OR(AUTOEVENTO&lt;&gt;"manual",$M569&lt;&gt;1)),
IF(Import.TipoArredondamento&lt;&gt;"TransfereGOV",
ROUND(OFFSET($P569,0,AJ$13),15-13*ORÇAMENTO!$AF$7)/$H569*OFFSET(ORÇAMENTO!$X$15,ROW(AJ569)-ROW(AJ$15),0),
ROUND(ROUND(OFFSET($P569,0,AJ$13),15-13*ORÇAMENTO!$AF$7)*OFFSET(ORÇAMENTO!$W$15,ROW(AJ569)-ROW(AJ$15),0),15-13*ORÇAMENTO!$AF$11)),0)</f>
        <v>0</v>
      </c>
      <c r="AK569" s="545">
        <f ca="1">IF(AND($D569="Serviço",AK$12&lt;&gt;0,$H569&gt;0,OR(AUTOEVENTO&lt;&gt;"manual",$M569&lt;&gt;1)),
IF(Import.TipoArredondamento&lt;&gt;"TransfereGOV",
ROUND(OFFSET($P569,0,AK$13),15-13*ORÇAMENTO!$AF$7)/$H569*OFFSET(ORÇAMENTO!$X$15,ROW(AK569)-ROW(AK$15),0),
ROUND(ROUND(OFFSET($P569,0,AK$13),15-13*ORÇAMENTO!$AF$7)*OFFSET(ORÇAMENTO!$W$15,ROW(AK569)-ROW(AK$15),0),15-13*ORÇAMENTO!$AF$11)),0)</f>
        <v>0</v>
      </c>
      <c r="AL569" s="545">
        <f ca="1">IF(AND($D569="Serviço",AL$12&lt;&gt;0,$H569&gt;0,OR(AUTOEVENTO&lt;&gt;"manual",$M569&lt;&gt;1)),
IF(Import.TipoArredondamento&lt;&gt;"TransfereGOV",
ROUND(OFFSET($P569,0,AL$13),15-13*ORÇAMENTO!$AF$7)/$H569*OFFSET(ORÇAMENTO!$X$15,ROW(AL569)-ROW(AL$15),0),
ROUND(ROUND(OFFSET($P569,0,AL$13),15-13*ORÇAMENTO!$AF$7)*OFFSET(ORÇAMENTO!$W$15,ROW(AL569)-ROW(AL$15),0),15-13*ORÇAMENTO!$AF$11)),0)</f>
        <v>0</v>
      </c>
      <c r="AM569" s="545">
        <f ca="1">IF(AND($D569="Serviço",AM$12&lt;&gt;0,$H569&gt;0,OR(AUTOEVENTO&lt;&gt;"manual",$M569&lt;&gt;1)),
IF(Import.TipoArredondamento&lt;&gt;"TransfereGOV",
ROUND(OFFSET($P569,0,AM$13),15-13*ORÇAMENTO!$AF$7)/$H569*OFFSET(ORÇAMENTO!$X$15,ROW(AM569)-ROW(AM$15),0),
ROUND(ROUND(OFFSET($P569,0,AM$13),15-13*ORÇAMENTO!$AF$7)*OFFSET(ORÇAMENTO!$W$15,ROW(AM569)-ROW(AM$15),0),15-13*ORÇAMENTO!$AF$11)),0)</f>
        <v>0</v>
      </c>
      <c r="AN569" s="545">
        <f ca="1">IF(AND($D569="Serviço",AN$12&lt;&gt;0,$H569&gt;0,OR(AUTOEVENTO&lt;&gt;"manual",$M569&lt;&gt;1)),
IF(Import.TipoArredondamento&lt;&gt;"TransfereGOV",
ROUND(OFFSET($P569,0,AN$13),15-13*ORÇAMENTO!$AF$7)/$H569*OFFSET(ORÇAMENTO!$X$15,ROW(AN569)-ROW(AN$15),0),
ROUND(ROUND(OFFSET($P569,0,AN$13),15-13*ORÇAMENTO!$AF$7)*OFFSET(ORÇAMENTO!$W$15,ROW(AN569)-ROW(AN$15),0),15-13*ORÇAMENTO!$AF$11)),0)</f>
        <v>0</v>
      </c>
      <c r="AO569" s="545">
        <f ca="1">IF(AND($D569="Serviço",AO$12&lt;&gt;0,$H569&gt;0,OR(AUTOEVENTO&lt;&gt;"manual",$M569&lt;&gt;1)),
IF(Import.TipoArredondamento&lt;&gt;"TransfereGOV",
ROUND(OFFSET($P569,0,AO$13),15-13*ORÇAMENTO!$AF$7)/$H569*OFFSET(ORÇAMENTO!$X$15,ROW(AO569)-ROW(AO$15),0),
ROUND(ROUND(OFFSET($P569,0,AO$13),15-13*ORÇAMENTO!$AF$7)*OFFSET(ORÇAMENTO!$W$15,ROW(AO569)-ROW(AO$15),0),15-13*ORÇAMENTO!$AF$11)),0)</f>
        <v>0</v>
      </c>
      <c r="AP569" s="545">
        <f ca="1">IF(AND($D569="Serviço",AP$12&lt;&gt;0,$H569&gt;0,OR(AUTOEVENTO&lt;&gt;"manual",$M569&lt;&gt;1)),
IF(Import.TipoArredondamento&lt;&gt;"TransfereGOV",
ROUND(OFFSET($P569,0,AP$13),15-13*ORÇAMENTO!$AF$7)/$H569*OFFSET(ORÇAMENTO!$X$15,ROW(AP569)-ROW(AP$15),0),
ROUND(ROUND(OFFSET($P569,0,AP$13),15-13*ORÇAMENTO!$AF$7)*OFFSET(ORÇAMENTO!$W$15,ROW(AP569)-ROW(AP$15),0),15-13*ORÇAMENTO!$AF$11)),0)</f>
        <v>0</v>
      </c>
      <c r="AQ569" s="545">
        <f ca="1">IF(AND($D569="Serviço",AQ$12&lt;&gt;0,$H569&gt;0,OR(AUTOEVENTO&lt;&gt;"manual",$M569&lt;&gt;1)),
IF(Import.TipoArredondamento&lt;&gt;"TransfereGOV",
ROUND(OFFSET($P569,0,AQ$13),15-13*ORÇAMENTO!$AF$7)/$H569*OFFSET(ORÇAMENTO!$X$15,ROW(AQ569)-ROW(AQ$15),0),
ROUND(ROUND(OFFSET($P569,0,AQ$13),15-13*ORÇAMENTO!$AF$7)*OFFSET(ORÇAMENTO!$W$15,ROW(AQ569)-ROW(AQ$15),0),15-13*ORÇAMENTO!$AF$11)),0)</f>
        <v>0</v>
      </c>
      <c r="AR569" s="545">
        <f ca="1">IF(AND($D569="Serviço",AR$12&lt;&gt;0,$H569&gt;0,OR(AUTOEVENTO&lt;&gt;"manual",$M569&lt;&gt;1)),
IF(Import.TipoArredondamento&lt;&gt;"TransfereGOV",
ROUND(OFFSET($P569,0,AR$13),15-13*ORÇAMENTO!$AF$7)/$H569*OFFSET(ORÇAMENTO!$X$15,ROW(AR569)-ROW(AR$15),0),
ROUND(ROUND(OFFSET($P569,0,AR$13),15-13*ORÇAMENTO!$AF$7)*OFFSET(ORÇAMENTO!$W$15,ROW(AR569)-ROW(AR$15),0),15-13*ORÇAMENTO!$AF$11)),0)</f>
        <v>0</v>
      </c>
      <c r="AS569" s="546">
        <f ca="1">IF(AND($D569="Serviço",AS$12&lt;&gt;0,$H569&gt;0,OR(AUTOEVENTO&lt;&gt;"manual",$M569&lt;&gt;1)),
IF(Import.TipoArredondamento&lt;&gt;"TransfereGOV",
ROUND(OFFSET($P569,0,AS$13),15-13*ORÇAMENTO!$AF$7)/$H569*OFFSET(ORÇAMENTO!$X$15,ROW(AS569)-ROW(AS$15),0),
ROUND(ROUND(OFFSET($P569,0,AS$13),15-13*ORÇAMENTO!$AF$7)*OFFSET(ORÇAMENTO!$W$15,ROW(AS569)-ROW(AS$15),0),15-13*ORÇAMENTO!$AF$11)),0)</f>
        <v>0</v>
      </c>
      <c r="AT569" s="545">
        <f ca="1">IF(AND($D569="Serviço",AT$12&lt;&gt;0,$H569&gt;0,OR(AUTOEVENTO&lt;&gt;"manual",$M569&lt;&gt;1)),
IF(Import.TipoArredondamento&lt;&gt;"TransfereGOV",
ROUND(OFFSET($P569,0,AT$13),15-13*ORÇAMENTO!$AF$7)/$H569*OFFSET(ORÇAMENTO!$X$15,ROW(AT569)-ROW(AT$15),0),
ROUND(ROUND(OFFSET($P569,0,AT$13),15-13*ORÇAMENTO!$AF$7)*OFFSET(ORÇAMENTO!$W$15,ROW(AT569)-ROW(AT$15),0),15-13*ORÇAMENTO!$AF$11)),0)</f>
        <v>0</v>
      </c>
      <c r="AU569" s="545">
        <f ca="1">IF(AND($D569="Serviço",AU$12&lt;&gt;0,$H569&gt;0,OR(AUTOEVENTO&lt;&gt;"manual",$M569&lt;&gt;1)),
IF(Import.TipoArredondamento&lt;&gt;"TransfereGOV",
ROUND(OFFSET($P569,0,AU$13),15-13*ORÇAMENTO!$AF$7)/$H569*OFFSET(ORÇAMENTO!$X$15,ROW(AU569)-ROW(AU$15),0),
ROUND(ROUND(OFFSET($P569,0,AU$13),15-13*ORÇAMENTO!$AF$7)*OFFSET(ORÇAMENTO!$W$15,ROW(AU569)-ROW(AU$15),0),15-13*ORÇAMENTO!$AF$11)),0)</f>
        <v>0</v>
      </c>
      <c r="AV569" s="545">
        <f ca="1">IF(AND($D569="Serviço",AV$12&lt;&gt;0,$H569&gt;0,OR(AUTOEVENTO&lt;&gt;"manual",$M569&lt;&gt;1)),
IF(Import.TipoArredondamento&lt;&gt;"TransfereGOV",
ROUND(OFFSET($P569,0,AV$13),15-13*ORÇAMENTO!$AF$7)/$H569*OFFSET(ORÇAMENTO!$X$15,ROW(AV569)-ROW(AV$15),0),
ROUND(ROUND(OFFSET($P569,0,AV$13),15-13*ORÇAMENTO!$AF$7)*OFFSET(ORÇAMENTO!$W$15,ROW(AV569)-ROW(AV$15),0),15-13*ORÇAMENTO!$AF$11)),0)</f>
        <v>0</v>
      </c>
      <c r="AW569" s="545">
        <f ca="1">IF(AND($D569="Serviço",AW$12&lt;&gt;0,$H569&gt;0,OR(AUTOEVENTO&lt;&gt;"manual",$M569&lt;&gt;1)),
IF(Import.TipoArredondamento&lt;&gt;"TransfereGOV",
ROUND(OFFSET($P569,0,AW$13),15-13*ORÇAMENTO!$AF$7)/$H569*OFFSET(ORÇAMENTO!$X$15,ROW(AW569)-ROW(AW$15),0),
ROUND(ROUND(OFFSET($P569,0,AW$13),15-13*ORÇAMENTO!$AF$7)*OFFSET(ORÇAMENTO!$W$15,ROW(AW569)-ROW(AW$15),0),15-13*ORÇAMENTO!$AF$11)),0)</f>
        <v>0</v>
      </c>
      <c r="AX569" s="545">
        <f ca="1">IF(AND($D569="Serviço",AX$12&lt;&gt;0,$H569&gt;0,OR(AUTOEVENTO&lt;&gt;"manual",$M569&lt;&gt;1)),
IF(Import.TipoArredondamento&lt;&gt;"TransfereGOV",
ROUND(OFFSET($P569,0,AX$13),15-13*ORÇAMENTO!$AF$7)/$H569*OFFSET(ORÇAMENTO!$X$15,ROW(AX569)-ROW(AX$15),0),
ROUND(ROUND(OFFSET($P569,0,AX$13),15-13*ORÇAMENTO!$AF$7)*OFFSET(ORÇAMENTO!$W$15,ROW(AX569)-ROW(AX$15),0),15-13*ORÇAMENTO!$AF$11)),0)</f>
        <v>0</v>
      </c>
      <c r="AY569" s="545">
        <f ca="1">IF(AND($D569="Serviço",AY$12&lt;&gt;0,$H569&gt;0,OR(AUTOEVENTO&lt;&gt;"manual",$M569&lt;&gt;1)),
IF(Import.TipoArredondamento&lt;&gt;"TransfereGOV",
ROUND(OFFSET($P569,0,AY$13),15-13*ORÇAMENTO!$AF$7)/$H569*OFFSET(ORÇAMENTO!$X$15,ROW(AY569)-ROW(AY$15),0),
ROUND(ROUND(OFFSET($P569,0,AY$13),15-13*ORÇAMENTO!$AF$7)*OFFSET(ORÇAMENTO!$W$15,ROW(AY569)-ROW(AY$15),0),15-13*ORÇAMENTO!$AF$11)),0)</f>
        <v>0</v>
      </c>
      <c r="AZ569" s="545">
        <f ca="1">IF(AND($D569="Serviço",AZ$12&lt;&gt;0,$H569&gt;0,OR(AUTOEVENTO&lt;&gt;"manual",$M569&lt;&gt;1)),
IF(Import.TipoArredondamento&lt;&gt;"TransfereGOV",
ROUND(OFFSET($P569,0,AZ$13),15-13*ORÇAMENTO!$AF$7)/$H569*OFFSET(ORÇAMENTO!$X$15,ROW(AZ569)-ROW(AZ$15),0),
ROUND(ROUND(OFFSET($P569,0,AZ$13),15-13*ORÇAMENTO!$AF$7)*OFFSET(ORÇAMENTO!$W$15,ROW(AZ569)-ROW(AZ$15),0),15-13*ORÇAMENTO!$AF$11)),0)</f>
        <v>0</v>
      </c>
      <c r="BA569" s="546">
        <f ca="1">IF(AND($D569="Serviço",BA$12&lt;&gt;0,$H569&gt;0,OR(AUTOEVENTO&lt;&gt;"manual",$M569&lt;&gt;1)),
IF(Import.TipoArredondamento&lt;&gt;"TransfereGOV",
ROUND(OFFSET($P569,0,BA$13),15-13*ORÇAMENTO!$AF$7)/$H569*OFFSET(ORÇAMENTO!$X$15,ROW(BA569)-ROW(BA$15),0),
ROUND(ROUND(OFFSET($P569,0,BA$13),15-13*ORÇAMENTO!$AF$7)*OFFSET(ORÇAMENTO!$W$15,ROW(BA569)-ROW(BA$15),0),15-13*ORÇAMENTO!$AF$11)),0)</f>
        <v>0</v>
      </c>
      <c r="BC569" s="181">
        <f ca="1">IF($D569&lt;&gt;"Serviço",0,IF(AND(AUTOEVENTO="Manual",$M569=1),0,IF(OFFSET(CRONOPLE!$F$14,$M569,BC$13)="",10^12,OFFSET(CRONOPLE!$F$14,$M569,BC$13))))</f>
        <v>10</v>
      </c>
      <c r="BD569" s="181">
        <f ca="1">IF($D569&lt;&gt;"Serviço",0,IF(AND(AUTOEVENTO="Manual",$M569=1),0,IF(OFFSET(CRONOPLE!$F$14,$M569,BD$13)="",10^12,OFFSET(CRONOPLE!$F$14,$M569,BD$13))))</f>
        <v>1000000000000</v>
      </c>
      <c r="BE569" s="181">
        <f ca="1">IF($D569&lt;&gt;"Serviço",0,IF(AND(AUTOEVENTO="Manual",$M569=1),0,IF(OFFSET(CRONOPLE!$F$14,$M569,BE$13)="",10^12,OFFSET(CRONOPLE!$F$14,$M569,BE$13))))</f>
        <v>1000000000000</v>
      </c>
      <c r="BF569" s="181">
        <f ca="1">IF($D569&lt;&gt;"Serviço",0,IF(AND(AUTOEVENTO="Manual",$M569=1),0,IF(OFFSET(CRONOPLE!$F$14,$M569,BF$13)="",10^12,OFFSET(CRONOPLE!$F$14,$M569,BF$13))))</f>
        <v>1000000000000</v>
      </c>
      <c r="BG569" s="181">
        <f ca="1">IF($D569&lt;&gt;"Serviço",0,IF(AND(AUTOEVENTO="Manual",$M569=1),0,IF(OFFSET(CRONOPLE!$F$14,$M569,BG$13)="",10^12,OFFSET(CRONOPLE!$F$14,$M569,BG$13))))</f>
        <v>1000000000000</v>
      </c>
      <c r="BH569" s="181">
        <f ca="1">IF($D569&lt;&gt;"Serviço",0,IF(AND(AUTOEVENTO="Manual",$M569=1),0,IF(OFFSET(CRONOPLE!$F$14,$M569,BH$13)="",10^12,OFFSET(CRONOPLE!$F$14,$M569,BH$13))))</f>
        <v>1000000000000</v>
      </c>
      <c r="BI569" s="181">
        <f ca="1">IF($D569&lt;&gt;"Serviço",0,IF(AND(AUTOEVENTO="Manual",$M569=1),0,IF(OFFSET(CRONOPLE!$F$14,$M569,BI$13)="",10^12,OFFSET(CRONOPLE!$F$14,$M569,BI$13))))</f>
        <v>1000000000000</v>
      </c>
      <c r="BJ569" s="181">
        <f ca="1">IF($D569&lt;&gt;"Serviço",0,IF(AND(AUTOEVENTO="Manual",$M569=1),0,IF(OFFSET(CRONOPLE!$F$14,$M569,BJ$13)="",10^12,OFFSET(CRONOPLE!$F$14,$M569,BJ$13))))</f>
        <v>1000000000000</v>
      </c>
      <c r="BK569" s="181">
        <f ca="1">IF($D569&lt;&gt;"Serviço",0,IF(AND(AUTOEVENTO="Manual",$M569=1),0,IF(OFFSET(CRONOPLE!$F$14,$M569,BK$13)="",10^12,OFFSET(CRONOPLE!$F$14,$M569,BK$13))))</f>
        <v>1000000000000</v>
      </c>
      <c r="BL569" s="181">
        <f ca="1">IF($D569&lt;&gt;"Serviço",0,IF(AND(AUTOEVENTO="Manual",$M569=1),0,IF(OFFSET(CRONOPLE!$F$14,$M569,BL$13)="",10^12,OFFSET(CRONOPLE!$F$14,$M569,BL$13))))</f>
        <v>1000000000000</v>
      </c>
      <c r="BM569" s="181">
        <f ca="1">IF($D569&lt;&gt;"Serviço",0,IF(AND(AUTOEVENTO="Manual",$M569=1),0,IF(OFFSET(CRONOPLE!$F$14,$M569,BM$13)="",10^12,OFFSET(CRONOPLE!$F$14,$M569,BM$13))))</f>
        <v>1000000000000</v>
      </c>
      <c r="BN569" s="181">
        <f ca="1">IF($D569&lt;&gt;"Serviço",0,IF(AND(AUTOEVENTO="Manual",$M569=1),0,IF(OFFSET(CRONOPLE!$F$14,$M569,BN$13)="",10^12,OFFSET(CRONOPLE!$F$14,$M569,BN$13))))</f>
        <v>1000000000000</v>
      </c>
      <c r="BO569" s="181">
        <f ca="1">IF($D569&lt;&gt;"Serviço",0,IF(AND(AUTOEVENTO="Manual",$M569=1),0,IF(OFFSET(CRONOPLE!$F$14,$M569,BO$13)="",10^12,OFFSET(CRONOPLE!$F$14,$M569,BO$13))))</f>
        <v>1000000000000</v>
      </c>
      <c r="BP569" s="181">
        <f ca="1">IF($D569&lt;&gt;"Serviço",0,IF(AND(AUTOEVENTO="Manual",$M569=1),0,IF(OFFSET(CRONOPLE!$F$14,$M569,BP$13)="",10^12,OFFSET(CRONOPLE!$F$14,$M569,BP$13))))</f>
        <v>1000000000000</v>
      </c>
      <c r="BQ569" s="181">
        <f ca="1">IF($D569&lt;&gt;"Serviço",0,IF(AND(AUTOEVENTO="Manual",$M569=1),0,IF(OFFSET(CRONOPLE!$F$14,$M569,BQ$13)="",10^12,OFFSET(CRONOPLE!$F$14,$M569,BQ$13))))</f>
        <v>1000000000000</v>
      </c>
      <c r="BR569" s="181">
        <f ca="1">IF($D569&lt;&gt;"Serviço",0,IF(AND(AUTOEVENTO="Manual",$M569=1),0,IF(OFFSET(CRONOPLE!$F$14,$M569,BR$13)="",10^12,OFFSET(CRONOPLE!$F$14,$M569,BR$13))))</f>
        <v>1000000000000</v>
      </c>
      <c r="BS569" s="181">
        <f ca="1">IF($D569&lt;&gt;"Serviço",0,IF(AND(AUTOEVENTO="Manual",$M569=1),0,IF(OFFSET(CRONOPLE!$F$14,$M569,BS$13)="",10^12,OFFSET(CRONOPLE!$F$14,$M569,BS$13))))</f>
        <v>1000000000000</v>
      </c>
      <c r="BT569" s="181">
        <f ca="1">IF($D569&lt;&gt;"Serviço",0,IF(AND(AUTOEVENTO="Manual",$M569=1),0,IF(OFFSET(CRONOPLE!$F$14,$M569,BT$13)="",10^12,OFFSET(CRONOPLE!$F$14,$M569,BT$13))))</f>
        <v>1000000000000</v>
      </c>
      <c r="BV569" s="182">
        <f ca="1">IF($D569&lt;&gt;"Serviço",0,IF(OR(AND(AUTOEVENTO="Manual",$M569=1),$M569&gt;(ROW(PLE.lastrow)-ROW(PLE.firstrow))),0,IF(OFFSET(PLE!$G$14,$M569,BV$13)="",10^12,OFFSET(PLE!$G$14,$M569,BV$13))))</f>
        <v>1000000000000</v>
      </c>
      <c r="BW569" s="182">
        <f ca="1">IF($D569&lt;&gt;"Serviço",0,IF(OR(AND(AUTOEVENTO="Manual",$M569=1),$M569&gt;(ROW(PLE.lastrow)-ROW(PLE.firstrow))),0,IF(OFFSET(PLE!$G$14,$M569,BW$13)="",10^12,OFFSET(PLE!$G$14,$M569,BW$13))))</f>
        <v>1000000000000</v>
      </c>
      <c r="BX569" s="182">
        <f ca="1">IF($D569&lt;&gt;"Serviço",0,IF(OR(AND(AUTOEVENTO="Manual",$M569=1),$M569&gt;(ROW(PLE.lastrow)-ROW(PLE.firstrow))),0,IF(OFFSET(PLE!$G$14,$M569,BX$13)="",10^12,OFFSET(PLE!$G$14,$M569,BX$13))))</f>
        <v>1000000000000</v>
      </c>
      <c r="BY569" s="182">
        <f ca="1">IF($D569&lt;&gt;"Serviço",0,IF(OR(AND(AUTOEVENTO="Manual",$M569=1),$M569&gt;(ROW(PLE.lastrow)-ROW(PLE.firstrow))),0,IF(OFFSET(PLE!$G$14,$M569,BY$13)="",10^12,OFFSET(PLE!$G$14,$M569,BY$13))))</f>
        <v>1000000000000</v>
      </c>
      <c r="BZ569" s="182">
        <f ca="1">IF($D569&lt;&gt;"Serviço",0,IF(OR(AND(AUTOEVENTO="Manual",$M569=1),$M569&gt;(ROW(PLE.lastrow)-ROW(PLE.firstrow))),0,IF(OFFSET(PLE!$G$14,$M569,BZ$13)="",10^12,OFFSET(PLE!$G$14,$M569,BZ$13))))</f>
        <v>1000000000000</v>
      </c>
      <c r="CA569" s="182">
        <f ca="1">IF($D569&lt;&gt;"Serviço",0,IF(OR(AND(AUTOEVENTO="Manual",$M569=1),$M569&gt;(ROW(PLE.lastrow)-ROW(PLE.firstrow))),0,IF(OFFSET(PLE!$G$14,$M569,CA$13)="",10^12,OFFSET(PLE!$G$14,$M569,CA$13))))</f>
        <v>1000000000000</v>
      </c>
      <c r="CB569" s="182">
        <f ca="1">IF($D569&lt;&gt;"Serviço",0,IF(OR(AND(AUTOEVENTO="Manual",$M569=1),$M569&gt;(ROW(PLE.lastrow)-ROW(PLE.firstrow))),0,IF(OFFSET(PLE!$G$14,$M569,CB$13)="",10^12,OFFSET(PLE!$G$14,$M569,CB$13))))</f>
        <v>1000000000000</v>
      </c>
      <c r="CC569" s="182">
        <f ca="1">IF($D569&lt;&gt;"Serviço",0,IF(OR(AND(AUTOEVENTO="Manual",$M569=1),$M569&gt;(ROW(PLE.lastrow)-ROW(PLE.firstrow))),0,IF(OFFSET(PLE!$G$14,$M569,CC$13)="",10^12,OFFSET(PLE!$G$14,$M569,CC$13))))</f>
        <v>1000000000000</v>
      </c>
      <c r="CD569" s="182">
        <f ca="1">IF($D569&lt;&gt;"Serviço",0,IF(OR(AND(AUTOEVENTO="Manual",$M569=1),$M569&gt;(ROW(PLE.lastrow)-ROW(PLE.firstrow))),0,IF(OFFSET(PLE!$G$14,$M569,CD$13)="",10^12,OFFSET(PLE!$G$14,$M569,CD$13))))</f>
        <v>1000000000000</v>
      </c>
      <c r="CE569" s="182">
        <f ca="1">IF($D569&lt;&gt;"Serviço",0,IF(OR(AND(AUTOEVENTO="Manual",$M569=1),$M569&gt;(ROW(PLE.lastrow)-ROW(PLE.firstrow))),0,IF(OFFSET(PLE!$G$14,$M569,CE$13)="",10^12,OFFSET(PLE!$G$14,$M569,CE$13))))</f>
        <v>1000000000000</v>
      </c>
      <c r="CF569" s="182">
        <f ca="1">IF($D569&lt;&gt;"Serviço",0,IF(OR(AND(AUTOEVENTO="Manual",$M569=1),$M569&gt;(ROW(PLE.lastrow)-ROW(PLE.firstrow))),0,IF(OFFSET(PLE!$G$14,$M569,CF$13)="",10^12,OFFSET(PLE!$G$14,$M569,CF$13))))</f>
        <v>1000000000000</v>
      </c>
      <c r="CG569" s="182">
        <f ca="1">IF($D569&lt;&gt;"Serviço",0,IF(OR(AND(AUTOEVENTO="Manual",$M569=1),$M569&gt;(ROW(PLE.lastrow)-ROW(PLE.firstrow))),0,IF(OFFSET(PLE!$G$14,$M569,CG$13)="",10^12,OFFSET(PLE!$G$14,$M569,CG$13))))</f>
        <v>1000000000000</v>
      </c>
      <c r="CH569" s="182">
        <f ca="1">IF($D569&lt;&gt;"Serviço",0,IF(OR(AND(AUTOEVENTO="Manual",$M569=1),$M569&gt;(ROW(PLE.lastrow)-ROW(PLE.firstrow))),0,IF(OFFSET(PLE!$G$14,$M569,CH$13)="",10^12,OFFSET(PLE!$G$14,$M569,CH$13))))</f>
        <v>1000000000000</v>
      </c>
      <c r="CI569" s="182">
        <f ca="1">IF($D569&lt;&gt;"Serviço",0,IF(OR(AND(AUTOEVENTO="Manual",$M569=1),$M569&gt;(ROW(PLE.lastrow)-ROW(PLE.firstrow))),0,IF(OFFSET(PLE!$G$14,$M569,CI$13)="",10^12,OFFSET(PLE!$G$14,$M569,CI$13))))</f>
        <v>1000000000000</v>
      </c>
      <c r="CJ569" s="182">
        <f ca="1">IF($D569&lt;&gt;"Serviço",0,IF(OR(AND(AUTOEVENTO="Manual",$M569=1),$M569&gt;(ROW(PLE.lastrow)-ROW(PLE.firstrow))),0,IF(OFFSET(PLE!$G$14,$M569,CJ$13)="",10^12,OFFSET(PLE!$G$14,$M569,CJ$13))))</f>
        <v>1000000000000</v>
      </c>
      <c r="CK569" s="182">
        <f ca="1">IF($D569&lt;&gt;"Serviço",0,IF(OR(AND(AUTOEVENTO="Manual",$M569=1),$M569&gt;(ROW(PLE.lastrow)-ROW(PLE.firstrow))),0,IF(OFFSET(PLE!$G$14,$M569,CK$13)="",10^12,OFFSET(PLE!$G$14,$M569,CK$13))))</f>
        <v>1000000000000</v>
      </c>
      <c r="CL569" s="182">
        <f ca="1">IF($D569&lt;&gt;"Serviço",0,IF(OR(AND(AUTOEVENTO="Manual",$M569=1),$M569&gt;(ROW(PLE.lastrow)-ROW(PLE.firstrow))),0,IF(OFFSET(PLE!$G$14,$M569,CL$13)="",10^12,OFFSET(PLE!$G$14,$M569,CL$13))))</f>
        <v>1000000000000</v>
      </c>
      <c r="CM569" s="182">
        <f ca="1">IF($D569&lt;&gt;"Serviço",0,IF(OR(AND(AUTOEVENTO="Manual",$M569=1),$M569&gt;(ROW(PLE.lastrow)-ROW(PLE.firstrow))),0,IF(OFFSET(PLE!$G$14,$M569,CM$13)="",10^12,OFFSET(PLE!$G$14,$M569,CM$13))))</f>
        <v>1000000000000</v>
      </c>
    </row>
    <row r="570" spans="1:91" ht="25.5" x14ac:dyDescent="0.2">
      <c r="A570" s="7" t="str">
        <f t="shared" ca="1" si="17"/>
        <v>552</v>
      </c>
      <c r="B570" s="7" t="str">
        <f ca="1">OFFSET(ORÇAMENTO!C$15,ROW(B570)-ROW(B$15),0)</f>
        <v>S</v>
      </c>
      <c r="C570" s="7" t="str">
        <f ca="1">OFFSET(ORÇAMENTO!L$15,ROW(C570)-ROW(C$15),0)</f>
        <v/>
      </c>
      <c r="D570" s="118" t="str">
        <f ca="1">OFFSET(ORÇAMENTO!N$15,ROW(D570)-ROW(D$15),0)</f>
        <v>Serviço</v>
      </c>
      <c r="E570" s="119" t="str">
        <f ca="1">OFFSET(ORÇAMENTO!O$15,ROW(E570)-ROW(E$15),0)</f>
        <v>-</v>
      </c>
      <c r="F570" s="172" t="str">
        <f ca="1">OFFSET(ORÇAMENTO!R$15,ROW(F570)-ROW(F$15),0)</f>
        <v>(abra o arquivo 'Referência 06-2024.xlsm)</v>
      </c>
      <c r="G570" s="173" t="str">
        <f ca="1">IF($D570&lt;&gt;"Serviço","",OFFSET(ORÇAMENTO!S$15,ROW(G570)-ROW(G$15),0))</f>
        <v>-</v>
      </c>
      <c r="H570" s="124">
        <f ca="1">IF($D570&lt;&gt;"Serviço",0,IF(ACOMPANHAMENTO="BM",ROUND(OFFSET(ORÇAMENTO!AJ$15,ROW(H570)-ROW(H$15),0),15-13*ORÇAMENTO!$AF$7),SUMPRODUCT(($Q$12:$AI$12&lt;&gt;"")*ROUND($Q570:$AI570,15-13*ORÇAMENTO!$AF$7))))</f>
        <v>68</v>
      </c>
      <c r="I570" s="561" t="s">
        <v>1107</v>
      </c>
      <c r="K570" s="174"/>
      <c r="L570" s="175" t="s">
        <v>255</v>
      </c>
      <c r="M570" s="176">
        <f ca="1">IF($D570&lt;&gt;"Serviço","",IF(AUTOEVENTO="manual",$A570,IF(ISERROR(MATCH($A570,$A$15:OFFSET($A570,-1,0),0)),MAX($M$15:OFFSET(M570,-1,0))+1,INDEX($M$15:OFFSET(M570,-1,0),MATCH($A570,$A$15:OFFSET($A570,-1,0),0)))))</f>
        <v>58</v>
      </c>
      <c r="N570" s="177" t="str">
        <f ca="1">IF($D570&lt;&gt;"Serviço","",IF(AUTOEVENTO="Manual",IF($A570=0,"&lt;-- defina o número do agrupador",OFFSET(EVENTOS!$D$14,$A570,0)),OFFSET($F$15,$A570,0)))</f>
        <v>INSTALAÇÃO ELÉTRICA 110V - ELETROCALHAS</v>
      </c>
      <c r="O570" s="178"/>
      <c r="Q570" s="178">
        <v>68</v>
      </c>
      <c r="R570" s="179"/>
      <c r="S570" s="179"/>
      <c r="T570" s="179"/>
      <c r="U570" s="179"/>
      <c r="V570" s="179"/>
      <c r="W570" s="179"/>
      <c r="X570" s="179"/>
      <c r="Y570" s="179"/>
      <c r="Z570" s="180"/>
      <c r="AA570" s="179"/>
      <c r="AB570" s="179"/>
      <c r="AC570" s="179"/>
      <c r="AD570" s="179"/>
      <c r="AE570" s="179"/>
      <c r="AF570" s="179"/>
      <c r="AG570" s="179"/>
      <c r="AH570" s="180"/>
      <c r="AJ570" s="544">
        <f ca="1">IF(AND($D570="Serviço",AJ$12&lt;&gt;0,$H570&gt;0,OR(AUTOEVENTO&lt;&gt;"manual",$M570&lt;&gt;1)),
IF(Import.TipoArredondamento&lt;&gt;"TransfereGOV",
ROUND(OFFSET($P570,0,AJ$13),15-13*ORÇAMENTO!$AF$7)/$H570*OFFSET(ORÇAMENTO!$X$15,ROW(AJ570)-ROW(AJ$15),0),
ROUND(ROUND(OFFSET($P570,0,AJ$13),15-13*ORÇAMENTO!$AF$7)*OFFSET(ORÇAMENTO!$W$15,ROW(AJ570)-ROW(AJ$15),0),15-13*ORÇAMENTO!$AF$11)),0)</f>
        <v>0</v>
      </c>
      <c r="AK570" s="545">
        <f ca="1">IF(AND($D570="Serviço",AK$12&lt;&gt;0,$H570&gt;0,OR(AUTOEVENTO&lt;&gt;"manual",$M570&lt;&gt;1)),
IF(Import.TipoArredondamento&lt;&gt;"TransfereGOV",
ROUND(OFFSET($P570,0,AK$13),15-13*ORÇAMENTO!$AF$7)/$H570*OFFSET(ORÇAMENTO!$X$15,ROW(AK570)-ROW(AK$15),0),
ROUND(ROUND(OFFSET($P570,0,AK$13),15-13*ORÇAMENTO!$AF$7)*OFFSET(ORÇAMENTO!$W$15,ROW(AK570)-ROW(AK$15),0),15-13*ORÇAMENTO!$AF$11)),0)</f>
        <v>0</v>
      </c>
      <c r="AL570" s="545">
        <f ca="1">IF(AND($D570="Serviço",AL$12&lt;&gt;0,$H570&gt;0,OR(AUTOEVENTO&lt;&gt;"manual",$M570&lt;&gt;1)),
IF(Import.TipoArredondamento&lt;&gt;"TransfereGOV",
ROUND(OFFSET($P570,0,AL$13),15-13*ORÇAMENTO!$AF$7)/$H570*OFFSET(ORÇAMENTO!$X$15,ROW(AL570)-ROW(AL$15),0),
ROUND(ROUND(OFFSET($P570,0,AL$13),15-13*ORÇAMENTO!$AF$7)*OFFSET(ORÇAMENTO!$W$15,ROW(AL570)-ROW(AL$15),0),15-13*ORÇAMENTO!$AF$11)),0)</f>
        <v>0</v>
      </c>
      <c r="AM570" s="545">
        <f ca="1">IF(AND($D570="Serviço",AM$12&lt;&gt;0,$H570&gt;0,OR(AUTOEVENTO&lt;&gt;"manual",$M570&lt;&gt;1)),
IF(Import.TipoArredondamento&lt;&gt;"TransfereGOV",
ROUND(OFFSET($P570,0,AM$13),15-13*ORÇAMENTO!$AF$7)/$H570*OFFSET(ORÇAMENTO!$X$15,ROW(AM570)-ROW(AM$15),0),
ROUND(ROUND(OFFSET($P570,0,AM$13),15-13*ORÇAMENTO!$AF$7)*OFFSET(ORÇAMENTO!$W$15,ROW(AM570)-ROW(AM$15),0),15-13*ORÇAMENTO!$AF$11)),0)</f>
        <v>0</v>
      </c>
      <c r="AN570" s="545">
        <f ca="1">IF(AND($D570="Serviço",AN$12&lt;&gt;0,$H570&gt;0,OR(AUTOEVENTO&lt;&gt;"manual",$M570&lt;&gt;1)),
IF(Import.TipoArredondamento&lt;&gt;"TransfereGOV",
ROUND(OFFSET($P570,0,AN$13),15-13*ORÇAMENTO!$AF$7)/$H570*OFFSET(ORÇAMENTO!$X$15,ROW(AN570)-ROW(AN$15),0),
ROUND(ROUND(OFFSET($P570,0,AN$13),15-13*ORÇAMENTO!$AF$7)*OFFSET(ORÇAMENTO!$W$15,ROW(AN570)-ROW(AN$15),0),15-13*ORÇAMENTO!$AF$11)),0)</f>
        <v>0</v>
      </c>
      <c r="AO570" s="545">
        <f ca="1">IF(AND($D570="Serviço",AO$12&lt;&gt;0,$H570&gt;0,OR(AUTOEVENTO&lt;&gt;"manual",$M570&lt;&gt;1)),
IF(Import.TipoArredondamento&lt;&gt;"TransfereGOV",
ROUND(OFFSET($P570,0,AO$13),15-13*ORÇAMENTO!$AF$7)/$H570*OFFSET(ORÇAMENTO!$X$15,ROW(AO570)-ROW(AO$15),0),
ROUND(ROUND(OFFSET($P570,0,AO$13),15-13*ORÇAMENTO!$AF$7)*OFFSET(ORÇAMENTO!$W$15,ROW(AO570)-ROW(AO$15),0),15-13*ORÇAMENTO!$AF$11)),0)</f>
        <v>0</v>
      </c>
      <c r="AP570" s="545">
        <f ca="1">IF(AND($D570="Serviço",AP$12&lt;&gt;0,$H570&gt;0,OR(AUTOEVENTO&lt;&gt;"manual",$M570&lt;&gt;1)),
IF(Import.TipoArredondamento&lt;&gt;"TransfereGOV",
ROUND(OFFSET($P570,0,AP$13),15-13*ORÇAMENTO!$AF$7)/$H570*OFFSET(ORÇAMENTO!$X$15,ROW(AP570)-ROW(AP$15),0),
ROUND(ROUND(OFFSET($P570,0,AP$13),15-13*ORÇAMENTO!$AF$7)*OFFSET(ORÇAMENTO!$W$15,ROW(AP570)-ROW(AP$15),0),15-13*ORÇAMENTO!$AF$11)),0)</f>
        <v>0</v>
      </c>
      <c r="AQ570" s="545">
        <f ca="1">IF(AND($D570="Serviço",AQ$12&lt;&gt;0,$H570&gt;0,OR(AUTOEVENTO&lt;&gt;"manual",$M570&lt;&gt;1)),
IF(Import.TipoArredondamento&lt;&gt;"TransfereGOV",
ROUND(OFFSET($P570,0,AQ$13),15-13*ORÇAMENTO!$AF$7)/$H570*OFFSET(ORÇAMENTO!$X$15,ROW(AQ570)-ROW(AQ$15),0),
ROUND(ROUND(OFFSET($P570,0,AQ$13),15-13*ORÇAMENTO!$AF$7)*OFFSET(ORÇAMENTO!$W$15,ROW(AQ570)-ROW(AQ$15),0),15-13*ORÇAMENTO!$AF$11)),0)</f>
        <v>0</v>
      </c>
      <c r="AR570" s="545">
        <f ca="1">IF(AND($D570="Serviço",AR$12&lt;&gt;0,$H570&gt;0,OR(AUTOEVENTO&lt;&gt;"manual",$M570&lt;&gt;1)),
IF(Import.TipoArredondamento&lt;&gt;"TransfereGOV",
ROUND(OFFSET($P570,0,AR$13),15-13*ORÇAMENTO!$AF$7)/$H570*OFFSET(ORÇAMENTO!$X$15,ROW(AR570)-ROW(AR$15),0),
ROUND(ROUND(OFFSET($P570,0,AR$13),15-13*ORÇAMENTO!$AF$7)*OFFSET(ORÇAMENTO!$W$15,ROW(AR570)-ROW(AR$15),0),15-13*ORÇAMENTO!$AF$11)),0)</f>
        <v>0</v>
      </c>
      <c r="AS570" s="546">
        <f ca="1">IF(AND($D570="Serviço",AS$12&lt;&gt;0,$H570&gt;0,OR(AUTOEVENTO&lt;&gt;"manual",$M570&lt;&gt;1)),
IF(Import.TipoArredondamento&lt;&gt;"TransfereGOV",
ROUND(OFFSET($P570,0,AS$13),15-13*ORÇAMENTO!$AF$7)/$H570*OFFSET(ORÇAMENTO!$X$15,ROW(AS570)-ROW(AS$15),0),
ROUND(ROUND(OFFSET($P570,0,AS$13),15-13*ORÇAMENTO!$AF$7)*OFFSET(ORÇAMENTO!$W$15,ROW(AS570)-ROW(AS$15),0),15-13*ORÇAMENTO!$AF$11)),0)</f>
        <v>0</v>
      </c>
      <c r="AT570" s="545">
        <f ca="1">IF(AND($D570="Serviço",AT$12&lt;&gt;0,$H570&gt;0,OR(AUTOEVENTO&lt;&gt;"manual",$M570&lt;&gt;1)),
IF(Import.TipoArredondamento&lt;&gt;"TransfereGOV",
ROUND(OFFSET($P570,0,AT$13),15-13*ORÇAMENTO!$AF$7)/$H570*OFFSET(ORÇAMENTO!$X$15,ROW(AT570)-ROW(AT$15),0),
ROUND(ROUND(OFFSET($P570,0,AT$13),15-13*ORÇAMENTO!$AF$7)*OFFSET(ORÇAMENTO!$W$15,ROW(AT570)-ROW(AT$15),0),15-13*ORÇAMENTO!$AF$11)),0)</f>
        <v>0</v>
      </c>
      <c r="AU570" s="545">
        <f ca="1">IF(AND($D570="Serviço",AU$12&lt;&gt;0,$H570&gt;0,OR(AUTOEVENTO&lt;&gt;"manual",$M570&lt;&gt;1)),
IF(Import.TipoArredondamento&lt;&gt;"TransfereGOV",
ROUND(OFFSET($P570,0,AU$13),15-13*ORÇAMENTO!$AF$7)/$H570*OFFSET(ORÇAMENTO!$X$15,ROW(AU570)-ROW(AU$15),0),
ROUND(ROUND(OFFSET($P570,0,AU$13),15-13*ORÇAMENTO!$AF$7)*OFFSET(ORÇAMENTO!$W$15,ROW(AU570)-ROW(AU$15),0),15-13*ORÇAMENTO!$AF$11)),0)</f>
        <v>0</v>
      </c>
      <c r="AV570" s="545">
        <f ca="1">IF(AND($D570="Serviço",AV$12&lt;&gt;0,$H570&gt;0,OR(AUTOEVENTO&lt;&gt;"manual",$M570&lt;&gt;1)),
IF(Import.TipoArredondamento&lt;&gt;"TransfereGOV",
ROUND(OFFSET($P570,0,AV$13),15-13*ORÇAMENTO!$AF$7)/$H570*OFFSET(ORÇAMENTO!$X$15,ROW(AV570)-ROW(AV$15),0),
ROUND(ROUND(OFFSET($P570,0,AV$13),15-13*ORÇAMENTO!$AF$7)*OFFSET(ORÇAMENTO!$W$15,ROW(AV570)-ROW(AV$15),0),15-13*ORÇAMENTO!$AF$11)),0)</f>
        <v>0</v>
      </c>
      <c r="AW570" s="545">
        <f ca="1">IF(AND($D570="Serviço",AW$12&lt;&gt;0,$H570&gt;0,OR(AUTOEVENTO&lt;&gt;"manual",$M570&lt;&gt;1)),
IF(Import.TipoArredondamento&lt;&gt;"TransfereGOV",
ROUND(OFFSET($P570,0,AW$13),15-13*ORÇAMENTO!$AF$7)/$H570*OFFSET(ORÇAMENTO!$X$15,ROW(AW570)-ROW(AW$15),0),
ROUND(ROUND(OFFSET($P570,0,AW$13),15-13*ORÇAMENTO!$AF$7)*OFFSET(ORÇAMENTO!$W$15,ROW(AW570)-ROW(AW$15),0),15-13*ORÇAMENTO!$AF$11)),0)</f>
        <v>0</v>
      </c>
      <c r="AX570" s="545">
        <f ca="1">IF(AND($D570="Serviço",AX$12&lt;&gt;0,$H570&gt;0,OR(AUTOEVENTO&lt;&gt;"manual",$M570&lt;&gt;1)),
IF(Import.TipoArredondamento&lt;&gt;"TransfereGOV",
ROUND(OFFSET($P570,0,AX$13),15-13*ORÇAMENTO!$AF$7)/$H570*OFFSET(ORÇAMENTO!$X$15,ROW(AX570)-ROW(AX$15),0),
ROUND(ROUND(OFFSET($P570,0,AX$13),15-13*ORÇAMENTO!$AF$7)*OFFSET(ORÇAMENTO!$W$15,ROW(AX570)-ROW(AX$15),0),15-13*ORÇAMENTO!$AF$11)),0)</f>
        <v>0</v>
      </c>
      <c r="AY570" s="545">
        <f ca="1">IF(AND($D570="Serviço",AY$12&lt;&gt;0,$H570&gt;0,OR(AUTOEVENTO&lt;&gt;"manual",$M570&lt;&gt;1)),
IF(Import.TipoArredondamento&lt;&gt;"TransfereGOV",
ROUND(OFFSET($P570,0,AY$13),15-13*ORÇAMENTO!$AF$7)/$H570*OFFSET(ORÇAMENTO!$X$15,ROW(AY570)-ROW(AY$15),0),
ROUND(ROUND(OFFSET($P570,0,AY$13),15-13*ORÇAMENTO!$AF$7)*OFFSET(ORÇAMENTO!$W$15,ROW(AY570)-ROW(AY$15),0),15-13*ORÇAMENTO!$AF$11)),0)</f>
        <v>0</v>
      </c>
      <c r="AZ570" s="545">
        <f ca="1">IF(AND($D570="Serviço",AZ$12&lt;&gt;0,$H570&gt;0,OR(AUTOEVENTO&lt;&gt;"manual",$M570&lt;&gt;1)),
IF(Import.TipoArredondamento&lt;&gt;"TransfereGOV",
ROUND(OFFSET($P570,0,AZ$13),15-13*ORÇAMENTO!$AF$7)/$H570*OFFSET(ORÇAMENTO!$X$15,ROW(AZ570)-ROW(AZ$15),0),
ROUND(ROUND(OFFSET($P570,0,AZ$13),15-13*ORÇAMENTO!$AF$7)*OFFSET(ORÇAMENTO!$W$15,ROW(AZ570)-ROW(AZ$15),0),15-13*ORÇAMENTO!$AF$11)),0)</f>
        <v>0</v>
      </c>
      <c r="BA570" s="546">
        <f ca="1">IF(AND($D570="Serviço",BA$12&lt;&gt;0,$H570&gt;0,OR(AUTOEVENTO&lt;&gt;"manual",$M570&lt;&gt;1)),
IF(Import.TipoArredondamento&lt;&gt;"TransfereGOV",
ROUND(OFFSET($P570,0,BA$13),15-13*ORÇAMENTO!$AF$7)/$H570*OFFSET(ORÇAMENTO!$X$15,ROW(BA570)-ROW(BA$15),0),
ROUND(ROUND(OFFSET($P570,0,BA$13),15-13*ORÇAMENTO!$AF$7)*OFFSET(ORÇAMENTO!$W$15,ROW(BA570)-ROW(BA$15),0),15-13*ORÇAMENTO!$AF$11)),0)</f>
        <v>0</v>
      </c>
      <c r="BC570" s="181">
        <f ca="1">IF($D570&lt;&gt;"Serviço",0,IF(AND(AUTOEVENTO="Manual",$M570=1),0,IF(OFFSET(CRONOPLE!$F$14,$M570,BC$13)="",10^12,OFFSET(CRONOPLE!$F$14,$M570,BC$13))))</f>
        <v>10</v>
      </c>
      <c r="BD570" s="181">
        <f ca="1">IF($D570&lt;&gt;"Serviço",0,IF(AND(AUTOEVENTO="Manual",$M570=1),0,IF(OFFSET(CRONOPLE!$F$14,$M570,BD$13)="",10^12,OFFSET(CRONOPLE!$F$14,$M570,BD$13))))</f>
        <v>1000000000000</v>
      </c>
      <c r="BE570" s="181">
        <f ca="1">IF($D570&lt;&gt;"Serviço",0,IF(AND(AUTOEVENTO="Manual",$M570=1),0,IF(OFFSET(CRONOPLE!$F$14,$M570,BE$13)="",10^12,OFFSET(CRONOPLE!$F$14,$M570,BE$13))))</f>
        <v>1000000000000</v>
      </c>
      <c r="BF570" s="181">
        <f ca="1">IF($D570&lt;&gt;"Serviço",0,IF(AND(AUTOEVENTO="Manual",$M570=1),0,IF(OFFSET(CRONOPLE!$F$14,$M570,BF$13)="",10^12,OFFSET(CRONOPLE!$F$14,$M570,BF$13))))</f>
        <v>1000000000000</v>
      </c>
      <c r="BG570" s="181">
        <f ca="1">IF($D570&lt;&gt;"Serviço",0,IF(AND(AUTOEVENTO="Manual",$M570=1),0,IF(OFFSET(CRONOPLE!$F$14,$M570,BG$13)="",10^12,OFFSET(CRONOPLE!$F$14,$M570,BG$13))))</f>
        <v>1000000000000</v>
      </c>
      <c r="BH570" s="181">
        <f ca="1">IF($D570&lt;&gt;"Serviço",0,IF(AND(AUTOEVENTO="Manual",$M570=1),0,IF(OFFSET(CRONOPLE!$F$14,$M570,BH$13)="",10^12,OFFSET(CRONOPLE!$F$14,$M570,BH$13))))</f>
        <v>1000000000000</v>
      </c>
      <c r="BI570" s="181">
        <f ca="1">IF($D570&lt;&gt;"Serviço",0,IF(AND(AUTOEVENTO="Manual",$M570=1),0,IF(OFFSET(CRONOPLE!$F$14,$M570,BI$13)="",10^12,OFFSET(CRONOPLE!$F$14,$M570,BI$13))))</f>
        <v>1000000000000</v>
      </c>
      <c r="BJ570" s="181">
        <f ca="1">IF($D570&lt;&gt;"Serviço",0,IF(AND(AUTOEVENTO="Manual",$M570=1),0,IF(OFFSET(CRONOPLE!$F$14,$M570,BJ$13)="",10^12,OFFSET(CRONOPLE!$F$14,$M570,BJ$13))))</f>
        <v>1000000000000</v>
      </c>
      <c r="BK570" s="181">
        <f ca="1">IF($D570&lt;&gt;"Serviço",0,IF(AND(AUTOEVENTO="Manual",$M570=1),0,IF(OFFSET(CRONOPLE!$F$14,$M570,BK$13)="",10^12,OFFSET(CRONOPLE!$F$14,$M570,BK$13))))</f>
        <v>1000000000000</v>
      </c>
      <c r="BL570" s="181">
        <f ca="1">IF($D570&lt;&gt;"Serviço",0,IF(AND(AUTOEVENTO="Manual",$M570=1),0,IF(OFFSET(CRONOPLE!$F$14,$M570,BL$13)="",10^12,OFFSET(CRONOPLE!$F$14,$M570,BL$13))))</f>
        <v>1000000000000</v>
      </c>
      <c r="BM570" s="181">
        <f ca="1">IF($D570&lt;&gt;"Serviço",0,IF(AND(AUTOEVENTO="Manual",$M570=1),0,IF(OFFSET(CRONOPLE!$F$14,$M570,BM$13)="",10^12,OFFSET(CRONOPLE!$F$14,$M570,BM$13))))</f>
        <v>1000000000000</v>
      </c>
      <c r="BN570" s="181">
        <f ca="1">IF($D570&lt;&gt;"Serviço",0,IF(AND(AUTOEVENTO="Manual",$M570=1),0,IF(OFFSET(CRONOPLE!$F$14,$M570,BN$13)="",10^12,OFFSET(CRONOPLE!$F$14,$M570,BN$13))))</f>
        <v>1000000000000</v>
      </c>
      <c r="BO570" s="181">
        <f ca="1">IF($D570&lt;&gt;"Serviço",0,IF(AND(AUTOEVENTO="Manual",$M570=1),0,IF(OFFSET(CRONOPLE!$F$14,$M570,BO$13)="",10^12,OFFSET(CRONOPLE!$F$14,$M570,BO$13))))</f>
        <v>1000000000000</v>
      </c>
      <c r="BP570" s="181">
        <f ca="1">IF($D570&lt;&gt;"Serviço",0,IF(AND(AUTOEVENTO="Manual",$M570=1),0,IF(OFFSET(CRONOPLE!$F$14,$M570,BP$13)="",10^12,OFFSET(CRONOPLE!$F$14,$M570,BP$13))))</f>
        <v>1000000000000</v>
      </c>
      <c r="BQ570" s="181">
        <f ca="1">IF($D570&lt;&gt;"Serviço",0,IF(AND(AUTOEVENTO="Manual",$M570=1),0,IF(OFFSET(CRONOPLE!$F$14,$M570,BQ$13)="",10^12,OFFSET(CRONOPLE!$F$14,$M570,BQ$13))))</f>
        <v>1000000000000</v>
      </c>
      <c r="BR570" s="181">
        <f ca="1">IF($D570&lt;&gt;"Serviço",0,IF(AND(AUTOEVENTO="Manual",$M570=1),0,IF(OFFSET(CRONOPLE!$F$14,$M570,BR$13)="",10^12,OFFSET(CRONOPLE!$F$14,$M570,BR$13))))</f>
        <v>1000000000000</v>
      </c>
      <c r="BS570" s="181">
        <f ca="1">IF($D570&lt;&gt;"Serviço",0,IF(AND(AUTOEVENTO="Manual",$M570=1),0,IF(OFFSET(CRONOPLE!$F$14,$M570,BS$13)="",10^12,OFFSET(CRONOPLE!$F$14,$M570,BS$13))))</f>
        <v>1000000000000</v>
      </c>
      <c r="BT570" s="181">
        <f ca="1">IF($D570&lt;&gt;"Serviço",0,IF(AND(AUTOEVENTO="Manual",$M570=1),0,IF(OFFSET(CRONOPLE!$F$14,$M570,BT$13)="",10^12,OFFSET(CRONOPLE!$F$14,$M570,BT$13))))</f>
        <v>1000000000000</v>
      </c>
      <c r="BV570" s="182">
        <f ca="1">IF($D570&lt;&gt;"Serviço",0,IF(OR(AND(AUTOEVENTO="Manual",$M570=1),$M570&gt;(ROW(PLE.lastrow)-ROW(PLE.firstrow))),0,IF(OFFSET(PLE!$G$14,$M570,BV$13)="",10^12,OFFSET(PLE!$G$14,$M570,BV$13))))</f>
        <v>1000000000000</v>
      </c>
      <c r="BW570" s="182">
        <f ca="1">IF($D570&lt;&gt;"Serviço",0,IF(OR(AND(AUTOEVENTO="Manual",$M570=1),$M570&gt;(ROW(PLE.lastrow)-ROW(PLE.firstrow))),0,IF(OFFSET(PLE!$G$14,$M570,BW$13)="",10^12,OFFSET(PLE!$G$14,$M570,BW$13))))</f>
        <v>1000000000000</v>
      </c>
      <c r="BX570" s="182">
        <f ca="1">IF($D570&lt;&gt;"Serviço",0,IF(OR(AND(AUTOEVENTO="Manual",$M570=1),$M570&gt;(ROW(PLE.lastrow)-ROW(PLE.firstrow))),0,IF(OFFSET(PLE!$G$14,$M570,BX$13)="",10^12,OFFSET(PLE!$G$14,$M570,BX$13))))</f>
        <v>1000000000000</v>
      </c>
      <c r="BY570" s="182">
        <f ca="1">IF($D570&lt;&gt;"Serviço",0,IF(OR(AND(AUTOEVENTO="Manual",$M570=1),$M570&gt;(ROW(PLE.lastrow)-ROW(PLE.firstrow))),0,IF(OFFSET(PLE!$G$14,$M570,BY$13)="",10^12,OFFSET(PLE!$G$14,$M570,BY$13))))</f>
        <v>1000000000000</v>
      </c>
      <c r="BZ570" s="182">
        <f ca="1">IF($D570&lt;&gt;"Serviço",0,IF(OR(AND(AUTOEVENTO="Manual",$M570=1),$M570&gt;(ROW(PLE.lastrow)-ROW(PLE.firstrow))),0,IF(OFFSET(PLE!$G$14,$M570,BZ$13)="",10^12,OFFSET(PLE!$G$14,$M570,BZ$13))))</f>
        <v>1000000000000</v>
      </c>
      <c r="CA570" s="182">
        <f ca="1">IF($D570&lt;&gt;"Serviço",0,IF(OR(AND(AUTOEVENTO="Manual",$M570=1),$M570&gt;(ROW(PLE.lastrow)-ROW(PLE.firstrow))),0,IF(OFFSET(PLE!$G$14,$M570,CA$13)="",10^12,OFFSET(PLE!$G$14,$M570,CA$13))))</f>
        <v>1000000000000</v>
      </c>
      <c r="CB570" s="182">
        <f ca="1">IF($D570&lt;&gt;"Serviço",0,IF(OR(AND(AUTOEVENTO="Manual",$M570=1),$M570&gt;(ROW(PLE.lastrow)-ROW(PLE.firstrow))),0,IF(OFFSET(PLE!$G$14,$M570,CB$13)="",10^12,OFFSET(PLE!$G$14,$M570,CB$13))))</f>
        <v>1000000000000</v>
      </c>
      <c r="CC570" s="182">
        <f ca="1">IF($D570&lt;&gt;"Serviço",0,IF(OR(AND(AUTOEVENTO="Manual",$M570=1),$M570&gt;(ROW(PLE.lastrow)-ROW(PLE.firstrow))),0,IF(OFFSET(PLE!$G$14,$M570,CC$13)="",10^12,OFFSET(PLE!$G$14,$M570,CC$13))))</f>
        <v>1000000000000</v>
      </c>
      <c r="CD570" s="182">
        <f ca="1">IF($D570&lt;&gt;"Serviço",0,IF(OR(AND(AUTOEVENTO="Manual",$M570=1),$M570&gt;(ROW(PLE.lastrow)-ROW(PLE.firstrow))),0,IF(OFFSET(PLE!$G$14,$M570,CD$13)="",10^12,OFFSET(PLE!$G$14,$M570,CD$13))))</f>
        <v>1000000000000</v>
      </c>
      <c r="CE570" s="182">
        <f ca="1">IF($D570&lt;&gt;"Serviço",0,IF(OR(AND(AUTOEVENTO="Manual",$M570=1),$M570&gt;(ROW(PLE.lastrow)-ROW(PLE.firstrow))),0,IF(OFFSET(PLE!$G$14,$M570,CE$13)="",10^12,OFFSET(PLE!$G$14,$M570,CE$13))))</f>
        <v>1000000000000</v>
      </c>
      <c r="CF570" s="182">
        <f ca="1">IF($D570&lt;&gt;"Serviço",0,IF(OR(AND(AUTOEVENTO="Manual",$M570=1),$M570&gt;(ROW(PLE.lastrow)-ROW(PLE.firstrow))),0,IF(OFFSET(PLE!$G$14,$M570,CF$13)="",10^12,OFFSET(PLE!$G$14,$M570,CF$13))))</f>
        <v>1000000000000</v>
      </c>
      <c r="CG570" s="182">
        <f ca="1">IF($D570&lt;&gt;"Serviço",0,IF(OR(AND(AUTOEVENTO="Manual",$M570=1),$M570&gt;(ROW(PLE.lastrow)-ROW(PLE.firstrow))),0,IF(OFFSET(PLE!$G$14,$M570,CG$13)="",10^12,OFFSET(PLE!$G$14,$M570,CG$13))))</f>
        <v>1000000000000</v>
      </c>
      <c r="CH570" s="182">
        <f ca="1">IF($D570&lt;&gt;"Serviço",0,IF(OR(AND(AUTOEVENTO="Manual",$M570=1),$M570&gt;(ROW(PLE.lastrow)-ROW(PLE.firstrow))),0,IF(OFFSET(PLE!$G$14,$M570,CH$13)="",10^12,OFFSET(PLE!$G$14,$M570,CH$13))))</f>
        <v>1000000000000</v>
      </c>
      <c r="CI570" s="182">
        <f ca="1">IF($D570&lt;&gt;"Serviço",0,IF(OR(AND(AUTOEVENTO="Manual",$M570=1),$M570&gt;(ROW(PLE.lastrow)-ROW(PLE.firstrow))),0,IF(OFFSET(PLE!$G$14,$M570,CI$13)="",10^12,OFFSET(PLE!$G$14,$M570,CI$13))))</f>
        <v>1000000000000</v>
      </c>
      <c r="CJ570" s="182">
        <f ca="1">IF($D570&lt;&gt;"Serviço",0,IF(OR(AND(AUTOEVENTO="Manual",$M570=1),$M570&gt;(ROW(PLE.lastrow)-ROW(PLE.firstrow))),0,IF(OFFSET(PLE!$G$14,$M570,CJ$13)="",10^12,OFFSET(PLE!$G$14,$M570,CJ$13))))</f>
        <v>1000000000000</v>
      </c>
      <c r="CK570" s="182">
        <f ca="1">IF($D570&lt;&gt;"Serviço",0,IF(OR(AND(AUTOEVENTO="Manual",$M570=1),$M570&gt;(ROW(PLE.lastrow)-ROW(PLE.firstrow))),0,IF(OFFSET(PLE!$G$14,$M570,CK$13)="",10^12,OFFSET(PLE!$G$14,$M570,CK$13))))</f>
        <v>1000000000000</v>
      </c>
      <c r="CL570" s="182">
        <f ca="1">IF($D570&lt;&gt;"Serviço",0,IF(OR(AND(AUTOEVENTO="Manual",$M570=1),$M570&gt;(ROW(PLE.lastrow)-ROW(PLE.firstrow))),0,IF(OFFSET(PLE!$G$14,$M570,CL$13)="",10^12,OFFSET(PLE!$G$14,$M570,CL$13))))</f>
        <v>1000000000000</v>
      </c>
      <c r="CM570" s="182">
        <f ca="1">IF($D570&lt;&gt;"Serviço",0,IF(OR(AND(AUTOEVENTO="Manual",$M570=1),$M570&gt;(ROW(PLE.lastrow)-ROW(PLE.firstrow))),0,IF(OFFSET(PLE!$G$14,$M570,CM$13)="",10^12,OFFSET(PLE!$G$14,$M570,CM$13))))</f>
        <v>1000000000000</v>
      </c>
    </row>
    <row r="571" spans="1:91" ht="38.25" x14ac:dyDescent="0.2">
      <c r="A571" s="7" t="str">
        <f t="shared" ca="1" si="17"/>
        <v>552</v>
      </c>
      <c r="B571" s="7" t="str">
        <f ca="1">OFFSET(ORÇAMENTO!C$15,ROW(B571)-ROW(B$15),0)</f>
        <v>S</v>
      </c>
      <c r="C571" s="7" t="str">
        <f ca="1">OFFSET(ORÇAMENTO!L$15,ROW(C571)-ROW(C$15),0)</f>
        <v/>
      </c>
      <c r="D571" s="118" t="str">
        <f ca="1">OFFSET(ORÇAMENTO!N$15,ROW(D571)-ROW(D$15),0)</f>
        <v>Serviço</v>
      </c>
      <c r="E571" s="119" t="str">
        <f ca="1">OFFSET(ORÇAMENTO!O$15,ROW(E571)-ROW(E$15),0)</f>
        <v>-</v>
      </c>
      <c r="F571" s="172" t="str">
        <f ca="1">OFFSET(ORÇAMENTO!R$15,ROW(F571)-ROW(F$15),0)</f>
        <v>(abra o arquivo 'Referência 06-2024.xlsm)</v>
      </c>
      <c r="G571" s="173" t="str">
        <f ca="1">IF($D571&lt;&gt;"Serviço","",OFFSET(ORÇAMENTO!S$15,ROW(G571)-ROW(G$15),0))</f>
        <v>-</v>
      </c>
      <c r="H571" s="124">
        <f ca="1">IF($D571&lt;&gt;"Serviço",0,IF(ACOMPANHAMENTO="BM",ROUND(OFFSET(ORÇAMENTO!AJ$15,ROW(H571)-ROW(H$15),0),15-13*ORÇAMENTO!$AF$7),SUMPRODUCT(($Q$12:$AI$12&lt;&gt;"")*ROUND($Q571:$AI571,15-13*ORÇAMENTO!$AF$7))))</f>
        <v>3</v>
      </c>
      <c r="I571" s="561" t="s">
        <v>1107</v>
      </c>
      <c r="K571" s="174"/>
      <c r="L571" s="175" t="s">
        <v>255</v>
      </c>
      <c r="M571" s="176">
        <f ca="1">IF($D571&lt;&gt;"Serviço","",IF(AUTOEVENTO="manual",$A571,IF(ISERROR(MATCH($A571,$A$15:OFFSET($A571,-1,0),0)),MAX($M$15:OFFSET(M571,-1,0))+1,INDEX($M$15:OFFSET(M571,-1,0),MATCH($A571,$A$15:OFFSET($A571,-1,0),0)))))</f>
        <v>58</v>
      </c>
      <c r="N571" s="177" t="str">
        <f ca="1">IF($D571&lt;&gt;"Serviço","",IF(AUTOEVENTO="Manual",IF($A571=0,"&lt;-- defina o número do agrupador",OFFSET(EVENTOS!$D$14,$A571,0)),OFFSET($F$15,$A571,0)))</f>
        <v>INSTALAÇÃO ELÉTRICA 110V - ELETROCALHAS</v>
      </c>
      <c r="O571" s="178"/>
      <c r="Q571" s="178">
        <v>3</v>
      </c>
      <c r="R571" s="179"/>
      <c r="S571" s="179"/>
      <c r="T571" s="179"/>
      <c r="U571" s="179"/>
      <c r="V571" s="179"/>
      <c r="W571" s="179"/>
      <c r="X571" s="179"/>
      <c r="Y571" s="179"/>
      <c r="Z571" s="180"/>
      <c r="AA571" s="179"/>
      <c r="AB571" s="179"/>
      <c r="AC571" s="179"/>
      <c r="AD571" s="179"/>
      <c r="AE571" s="179"/>
      <c r="AF571" s="179"/>
      <c r="AG571" s="179"/>
      <c r="AH571" s="180"/>
      <c r="AJ571" s="544">
        <f ca="1">IF(AND($D571="Serviço",AJ$12&lt;&gt;0,$H571&gt;0,OR(AUTOEVENTO&lt;&gt;"manual",$M571&lt;&gt;1)),
IF(Import.TipoArredondamento&lt;&gt;"TransfereGOV",
ROUND(OFFSET($P571,0,AJ$13),15-13*ORÇAMENTO!$AF$7)/$H571*OFFSET(ORÇAMENTO!$X$15,ROW(AJ571)-ROW(AJ$15),0),
ROUND(ROUND(OFFSET($P571,0,AJ$13),15-13*ORÇAMENTO!$AF$7)*OFFSET(ORÇAMENTO!$W$15,ROW(AJ571)-ROW(AJ$15),0),15-13*ORÇAMENTO!$AF$11)),0)</f>
        <v>0</v>
      </c>
      <c r="AK571" s="545">
        <f ca="1">IF(AND($D571="Serviço",AK$12&lt;&gt;0,$H571&gt;0,OR(AUTOEVENTO&lt;&gt;"manual",$M571&lt;&gt;1)),
IF(Import.TipoArredondamento&lt;&gt;"TransfereGOV",
ROUND(OFFSET($P571,0,AK$13),15-13*ORÇAMENTO!$AF$7)/$H571*OFFSET(ORÇAMENTO!$X$15,ROW(AK571)-ROW(AK$15),0),
ROUND(ROUND(OFFSET($P571,0,AK$13),15-13*ORÇAMENTO!$AF$7)*OFFSET(ORÇAMENTO!$W$15,ROW(AK571)-ROW(AK$15),0),15-13*ORÇAMENTO!$AF$11)),0)</f>
        <v>0</v>
      </c>
      <c r="AL571" s="545">
        <f ca="1">IF(AND($D571="Serviço",AL$12&lt;&gt;0,$H571&gt;0,OR(AUTOEVENTO&lt;&gt;"manual",$M571&lt;&gt;1)),
IF(Import.TipoArredondamento&lt;&gt;"TransfereGOV",
ROUND(OFFSET($P571,0,AL$13),15-13*ORÇAMENTO!$AF$7)/$H571*OFFSET(ORÇAMENTO!$X$15,ROW(AL571)-ROW(AL$15),0),
ROUND(ROUND(OFFSET($P571,0,AL$13),15-13*ORÇAMENTO!$AF$7)*OFFSET(ORÇAMENTO!$W$15,ROW(AL571)-ROW(AL$15),0),15-13*ORÇAMENTO!$AF$11)),0)</f>
        <v>0</v>
      </c>
      <c r="AM571" s="545">
        <f ca="1">IF(AND($D571="Serviço",AM$12&lt;&gt;0,$H571&gt;0,OR(AUTOEVENTO&lt;&gt;"manual",$M571&lt;&gt;1)),
IF(Import.TipoArredondamento&lt;&gt;"TransfereGOV",
ROUND(OFFSET($P571,0,AM$13),15-13*ORÇAMENTO!$AF$7)/$H571*OFFSET(ORÇAMENTO!$X$15,ROW(AM571)-ROW(AM$15),0),
ROUND(ROUND(OFFSET($P571,0,AM$13),15-13*ORÇAMENTO!$AF$7)*OFFSET(ORÇAMENTO!$W$15,ROW(AM571)-ROW(AM$15),0),15-13*ORÇAMENTO!$AF$11)),0)</f>
        <v>0</v>
      </c>
      <c r="AN571" s="545">
        <f ca="1">IF(AND($D571="Serviço",AN$12&lt;&gt;0,$H571&gt;0,OR(AUTOEVENTO&lt;&gt;"manual",$M571&lt;&gt;1)),
IF(Import.TipoArredondamento&lt;&gt;"TransfereGOV",
ROUND(OFFSET($P571,0,AN$13),15-13*ORÇAMENTO!$AF$7)/$H571*OFFSET(ORÇAMENTO!$X$15,ROW(AN571)-ROW(AN$15),0),
ROUND(ROUND(OFFSET($P571,0,AN$13),15-13*ORÇAMENTO!$AF$7)*OFFSET(ORÇAMENTO!$W$15,ROW(AN571)-ROW(AN$15),0),15-13*ORÇAMENTO!$AF$11)),0)</f>
        <v>0</v>
      </c>
      <c r="AO571" s="545">
        <f ca="1">IF(AND($D571="Serviço",AO$12&lt;&gt;0,$H571&gt;0,OR(AUTOEVENTO&lt;&gt;"manual",$M571&lt;&gt;1)),
IF(Import.TipoArredondamento&lt;&gt;"TransfereGOV",
ROUND(OFFSET($P571,0,AO$13),15-13*ORÇAMENTO!$AF$7)/$H571*OFFSET(ORÇAMENTO!$X$15,ROW(AO571)-ROW(AO$15),0),
ROUND(ROUND(OFFSET($P571,0,AO$13),15-13*ORÇAMENTO!$AF$7)*OFFSET(ORÇAMENTO!$W$15,ROW(AO571)-ROW(AO$15),0),15-13*ORÇAMENTO!$AF$11)),0)</f>
        <v>0</v>
      </c>
      <c r="AP571" s="545">
        <f ca="1">IF(AND($D571="Serviço",AP$12&lt;&gt;0,$H571&gt;0,OR(AUTOEVENTO&lt;&gt;"manual",$M571&lt;&gt;1)),
IF(Import.TipoArredondamento&lt;&gt;"TransfereGOV",
ROUND(OFFSET($P571,0,AP$13),15-13*ORÇAMENTO!$AF$7)/$H571*OFFSET(ORÇAMENTO!$X$15,ROW(AP571)-ROW(AP$15),0),
ROUND(ROUND(OFFSET($P571,0,AP$13),15-13*ORÇAMENTO!$AF$7)*OFFSET(ORÇAMENTO!$W$15,ROW(AP571)-ROW(AP$15),0),15-13*ORÇAMENTO!$AF$11)),0)</f>
        <v>0</v>
      </c>
      <c r="AQ571" s="545">
        <f ca="1">IF(AND($D571="Serviço",AQ$12&lt;&gt;0,$H571&gt;0,OR(AUTOEVENTO&lt;&gt;"manual",$M571&lt;&gt;1)),
IF(Import.TipoArredondamento&lt;&gt;"TransfereGOV",
ROUND(OFFSET($P571,0,AQ$13),15-13*ORÇAMENTO!$AF$7)/$H571*OFFSET(ORÇAMENTO!$X$15,ROW(AQ571)-ROW(AQ$15),0),
ROUND(ROUND(OFFSET($P571,0,AQ$13),15-13*ORÇAMENTO!$AF$7)*OFFSET(ORÇAMENTO!$W$15,ROW(AQ571)-ROW(AQ$15),0),15-13*ORÇAMENTO!$AF$11)),0)</f>
        <v>0</v>
      </c>
      <c r="AR571" s="545">
        <f ca="1">IF(AND($D571="Serviço",AR$12&lt;&gt;0,$H571&gt;0,OR(AUTOEVENTO&lt;&gt;"manual",$M571&lt;&gt;1)),
IF(Import.TipoArredondamento&lt;&gt;"TransfereGOV",
ROUND(OFFSET($P571,0,AR$13),15-13*ORÇAMENTO!$AF$7)/$H571*OFFSET(ORÇAMENTO!$X$15,ROW(AR571)-ROW(AR$15),0),
ROUND(ROUND(OFFSET($P571,0,AR$13),15-13*ORÇAMENTO!$AF$7)*OFFSET(ORÇAMENTO!$W$15,ROW(AR571)-ROW(AR$15),0),15-13*ORÇAMENTO!$AF$11)),0)</f>
        <v>0</v>
      </c>
      <c r="AS571" s="546">
        <f ca="1">IF(AND($D571="Serviço",AS$12&lt;&gt;0,$H571&gt;0,OR(AUTOEVENTO&lt;&gt;"manual",$M571&lt;&gt;1)),
IF(Import.TipoArredondamento&lt;&gt;"TransfereGOV",
ROUND(OFFSET($P571,0,AS$13),15-13*ORÇAMENTO!$AF$7)/$H571*OFFSET(ORÇAMENTO!$X$15,ROW(AS571)-ROW(AS$15),0),
ROUND(ROUND(OFFSET($P571,0,AS$13),15-13*ORÇAMENTO!$AF$7)*OFFSET(ORÇAMENTO!$W$15,ROW(AS571)-ROW(AS$15),0),15-13*ORÇAMENTO!$AF$11)),0)</f>
        <v>0</v>
      </c>
      <c r="AT571" s="545">
        <f ca="1">IF(AND($D571="Serviço",AT$12&lt;&gt;0,$H571&gt;0,OR(AUTOEVENTO&lt;&gt;"manual",$M571&lt;&gt;1)),
IF(Import.TipoArredondamento&lt;&gt;"TransfereGOV",
ROUND(OFFSET($P571,0,AT$13),15-13*ORÇAMENTO!$AF$7)/$H571*OFFSET(ORÇAMENTO!$X$15,ROW(AT571)-ROW(AT$15),0),
ROUND(ROUND(OFFSET($P571,0,AT$13),15-13*ORÇAMENTO!$AF$7)*OFFSET(ORÇAMENTO!$W$15,ROW(AT571)-ROW(AT$15),0),15-13*ORÇAMENTO!$AF$11)),0)</f>
        <v>0</v>
      </c>
      <c r="AU571" s="545">
        <f ca="1">IF(AND($D571="Serviço",AU$12&lt;&gt;0,$H571&gt;0,OR(AUTOEVENTO&lt;&gt;"manual",$M571&lt;&gt;1)),
IF(Import.TipoArredondamento&lt;&gt;"TransfereGOV",
ROUND(OFFSET($P571,0,AU$13),15-13*ORÇAMENTO!$AF$7)/$H571*OFFSET(ORÇAMENTO!$X$15,ROW(AU571)-ROW(AU$15),0),
ROUND(ROUND(OFFSET($P571,0,AU$13),15-13*ORÇAMENTO!$AF$7)*OFFSET(ORÇAMENTO!$W$15,ROW(AU571)-ROW(AU$15),0),15-13*ORÇAMENTO!$AF$11)),0)</f>
        <v>0</v>
      </c>
      <c r="AV571" s="545">
        <f ca="1">IF(AND($D571="Serviço",AV$12&lt;&gt;0,$H571&gt;0,OR(AUTOEVENTO&lt;&gt;"manual",$M571&lt;&gt;1)),
IF(Import.TipoArredondamento&lt;&gt;"TransfereGOV",
ROUND(OFFSET($P571,0,AV$13),15-13*ORÇAMENTO!$AF$7)/$H571*OFFSET(ORÇAMENTO!$X$15,ROW(AV571)-ROW(AV$15),0),
ROUND(ROUND(OFFSET($P571,0,AV$13),15-13*ORÇAMENTO!$AF$7)*OFFSET(ORÇAMENTO!$W$15,ROW(AV571)-ROW(AV$15),0),15-13*ORÇAMENTO!$AF$11)),0)</f>
        <v>0</v>
      </c>
      <c r="AW571" s="545">
        <f ca="1">IF(AND($D571="Serviço",AW$12&lt;&gt;0,$H571&gt;0,OR(AUTOEVENTO&lt;&gt;"manual",$M571&lt;&gt;1)),
IF(Import.TipoArredondamento&lt;&gt;"TransfereGOV",
ROUND(OFFSET($P571,0,AW$13),15-13*ORÇAMENTO!$AF$7)/$H571*OFFSET(ORÇAMENTO!$X$15,ROW(AW571)-ROW(AW$15),0),
ROUND(ROUND(OFFSET($P571,0,AW$13),15-13*ORÇAMENTO!$AF$7)*OFFSET(ORÇAMENTO!$W$15,ROW(AW571)-ROW(AW$15),0),15-13*ORÇAMENTO!$AF$11)),0)</f>
        <v>0</v>
      </c>
      <c r="AX571" s="545">
        <f ca="1">IF(AND($D571="Serviço",AX$12&lt;&gt;0,$H571&gt;0,OR(AUTOEVENTO&lt;&gt;"manual",$M571&lt;&gt;1)),
IF(Import.TipoArredondamento&lt;&gt;"TransfereGOV",
ROUND(OFFSET($P571,0,AX$13),15-13*ORÇAMENTO!$AF$7)/$H571*OFFSET(ORÇAMENTO!$X$15,ROW(AX571)-ROW(AX$15),0),
ROUND(ROUND(OFFSET($P571,0,AX$13),15-13*ORÇAMENTO!$AF$7)*OFFSET(ORÇAMENTO!$W$15,ROW(AX571)-ROW(AX$15),0),15-13*ORÇAMENTO!$AF$11)),0)</f>
        <v>0</v>
      </c>
      <c r="AY571" s="545">
        <f ca="1">IF(AND($D571="Serviço",AY$12&lt;&gt;0,$H571&gt;0,OR(AUTOEVENTO&lt;&gt;"manual",$M571&lt;&gt;1)),
IF(Import.TipoArredondamento&lt;&gt;"TransfereGOV",
ROUND(OFFSET($P571,0,AY$13),15-13*ORÇAMENTO!$AF$7)/$H571*OFFSET(ORÇAMENTO!$X$15,ROW(AY571)-ROW(AY$15),0),
ROUND(ROUND(OFFSET($P571,0,AY$13),15-13*ORÇAMENTO!$AF$7)*OFFSET(ORÇAMENTO!$W$15,ROW(AY571)-ROW(AY$15),0),15-13*ORÇAMENTO!$AF$11)),0)</f>
        <v>0</v>
      </c>
      <c r="AZ571" s="545">
        <f ca="1">IF(AND($D571="Serviço",AZ$12&lt;&gt;0,$H571&gt;0,OR(AUTOEVENTO&lt;&gt;"manual",$M571&lt;&gt;1)),
IF(Import.TipoArredondamento&lt;&gt;"TransfereGOV",
ROUND(OFFSET($P571,0,AZ$13),15-13*ORÇAMENTO!$AF$7)/$H571*OFFSET(ORÇAMENTO!$X$15,ROW(AZ571)-ROW(AZ$15),0),
ROUND(ROUND(OFFSET($P571,0,AZ$13),15-13*ORÇAMENTO!$AF$7)*OFFSET(ORÇAMENTO!$W$15,ROW(AZ571)-ROW(AZ$15),0),15-13*ORÇAMENTO!$AF$11)),0)</f>
        <v>0</v>
      </c>
      <c r="BA571" s="546">
        <f ca="1">IF(AND($D571="Serviço",BA$12&lt;&gt;0,$H571&gt;0,OR(AUTOEVENTO&lt;&gt;"manual",$M571&lt;&gt;1)),
IF(Import.TipoArredondamento&lt;&gt;"TransfereGOV",
ROUND(OFFSET($P571,0,BA$13),15-13*ORÇAMENTO!$AF$7)/$H571*OFFSET(ORÇAMENTO!$X$15,ROW(BA571)-ROW(BA$15),0),
ROUND(ROUND(OFFSET($P571,0,BA$13),15-13*ORÇAMENTO!$AF$7)*OFFSET(ORÇAMENTO!$W$15,ROW(BA571)-ROW(BA$15),0),15-13*ORÇAMENTO!$AF$11)),0)</f>
        <v>0</v>
      </c>
      <c r="BC571" s="181">
        <f ca="1">IF($D571&lt;&gt;"Serviço",0,IF(AND(AUTOEVENTO="Manual",$M571=1),0,IF(OFFSET(CRONOPLE!$F$14,$M571,BC$13)="",10^12,OFFSET(CRONOPLE!$F$14,$M571,BC$13))))</f>
        <v>10</v>
      </c>
      <c r="BD571" s="181">
        <f ca="1">IF($D571&lt;&gt;"Serviço",0,IF(AND(AUTOEVENTO="Manual",$M571=1),0,IF(OFFSET(CRONOPLE!$F$14,$M571,BD$13)="",10^12,OFFSET(CRONOPLE!$F$14,$M571,BD$13))))</f>
        <v>1000000000000</v>
      </c>
      <c r="BE571" s="181">
        <f ca="1">IF($D571&lt;&gt;"Serviço",0,IF(AND(AUTOEVENTO="Manual",$M571=1),0,IF(OFFSET(CRONOPLE!$F$14,$M571,BE$13)="",10^12,OFFSET(CRONOPLE!$F$14,$M571,BE$13))))</f>
        <v>1000000000000</v>
      </c>
      <c r="BF571" s="181">
        <f ca="1">IF($D571&lt;&gt;"Serviço",0,IF(AND(AUTOEVENTO="Manual",$M571=1),0,IF(OFFSET(CRONOPLE!$F$14,$M571,BF$13)="",10^12,OFFSET(CRONOPLE!$F$14,$M571,BF$13))))</f>
        <v>1000000000000</v>
      </c>
      <c r="BG571" s="181">
        <f ca="1">IF($D571&lt;&gt;"Serviço",0,IF(AND(AUTOEVENTO="Manual",$M571=1),0,IF(OFFSET(CRONOPLE!$F$14,$M571,BG$13)="",10^12,OFFSET(CRONOPLE!$F$14,$M571,BG$13))))</f>
        <v>1000000000000</v>
      </c>
      <c r="BH571" s="181">
        <f ca="1">IF($D571&lt;&gt;"Serviço",0,IF(AND(AUTOEVENTO="Manual",$M571=1),0,IF(OFFSET(CRONOPLE!$F$14,$M571,BH$13)="",10^12,OFFSET(CRONOPLE!$F$14,$M571,BH$13))))</f>
        <v>1000000000000</v>
      </c>
      <c r="BI571" s="181">
        <f ca="1">IF($D571&lt;&gt;"Serviço",0,IF(AND(AUTOEVENTO="Manual",$M571=1),0,IF(OFFSET(CRONOPLE!$F$14,$M571,BI$13)="",10^12,OFFSET(CRONOPLE!$F$14,$M571,BI$13))))</f>
        <v>1000000000000</v>
      </c>
      <c r="BJ571" s="181">
        <f ca="1">IF($D571&lt;&gt;"Serviço",0,IF(AND(AUTOEVENTO="Manual",$M571=1),0,IF(OFFSET(CRONOPLE!$F$14,$M571,BJ$13)="",10^12,OFFSET(CRONOPLE!$F$14,$M571,BJ$13))))</f>
        <v>1000000000000</v>
      </c>
      <c r="BK571" s="181">
        <f ca="1">IF($D571&lt;&gt;"Serviço",0,IF(AND(AUTOEVENTO="Manual",$M571=1),0,IF(OFFSET(CRONOPLE!$F$14,$M571,BK$13)="",10^12,OFFSET(CRONOPLE!$F$14,$M571,BK$13))))</f>
        <v>1000000000000</v>
      </c>
      <c r="BL571" s="181">
        <f ca="1">IF($D571&lt;&gt;"Serviço",0,IF(AND(AUTOEVENTO="Manual",$M571=1),0,IF(OFFSET(CRONOPLE!$F$14,$M571,BL$13)="",10^12,OFFSET(CRONOPLE!$F$14,$M571,BL$13))))</f>
        <v>1000000000000</v>
      </c>
      <c r="BM571" s="181">
        <f ca="1">IF($D571&lt;&gt;"Serviço",0,IF(AND(AUTOEVENTO="Manual",$M571=1),0,IF(OFFSET(CRONOPLE!$F$14,$M571,BM$13)="",10^12,OFFSET(CRONOPLE!$F$14,$M571,BM$13))))</f>
        <v>1000000000000</v>
      </c>
      <c r="BN571" s="181">
        <f ca="1">IF($D571&lt;&gt;"Serviço",0,IF(AND(AUTOEVENTO="Manual",$M571=1),0,IF(OFFSET(CRONOPLE!$F$14,$M571,BN$13)="",10^12,OFFSET(CRONOPLE!$F$14,$M571,BN$13))))</f>
        <v>1000000000000</v>
      </c>
      <c r="BO571" s="181">
        <f ca="1">IF($D571&lt;&gt;"Serviço",0,IF(AND(AUTOEVENTO="Manual",$M571=1),0,IF(OFFSET(CRONOPLE!$F$14,$M571,BO$13)="",10^12,OFFSET(CRONOPLE!$F$14,$M571,BO$13))))</f>
        <v>1000000000000</v>
      </c>
      <c r="BP571" s="181">
        <f ca="1">IF($D571&lt;&gt;"Serviço",0,IF(AND(AUTOEVENTO="Manual",$M571=1),0,IF(OFFSET(CRONOPLE!$F$14,$M571,BP$13)="",10^12,OFFSET(CRONOPLE!$F$14,$M571,BP$13))))</f>
        <v>1000000000000</v>
      </c>
      <c r="BQ571" s="181">
        <f ca="1">IF($D571&lt;&gt;"Serviço",0,IF(AND(AUTOEVENTO="Manual",$M571=1),0,IF(OFFSET(CRONOPLE!$F$14,$M571,BQ$13)="",10^12,OFFSET(CRONOPLE!$F$14,$M571,BQ$13))))</f>
        <v>1000000000000</v>
      </c>
      <c r="BR571" s="181">
        <f ca="1">IF($D571&lt;&gt;"Serviço",0,IF(AND(AUTOEVENTO="Manual",$M571=1),0,IF(OFFSET(CRONOPLE!$F$14,$M571,BR$13)="",10^12,OFFSET(CRONOPLE!$F$14,$M571,BR$13))))</f>
        <v>1000000000000</v>
      </c>
      <c r="BS571" s="181">
        <f ca="1">IF($D571&lt;&gt;"Serviço",0,IF(AND(AUTOEVENTO="Manual",$M571=1),0,IF(OFFSET(CRONOPLE!$F$14,$M571,BS$13)="",10^12,OFFSET(CRONOPLE!$F$14,$M571,BS$13))))</f>
        <v>1000000000000</v>
      </c>
      <c r="BT571" s="181">
        <f ca="1">IF($D571&lt;&gt;"Serviço",0,IF(AND(AUTOEVENTO="Manual",$M571=1),0,IF(OFFSET(CRONOPLE!$F$14,$M571,BT$13)="",10^12,OFFSET(CRONOPLE!$F$14,$M571,BT$13))))</f>
        <v>1000000000000</v>
      </c>
      <c r="BV571" s="182">
        <f ca="1">IF($D571&lt;&gt;"Serviço",0,IF(OR(AND(AUTOEVENTO="Manual",$M571=1),$M571&gt;(ROW(PLE.lastrow)-ROW(PLE.firstrow))),0,IF(OFFSET(PLE!$G$14,$M571,BV$13)="",10^12,OFFSET(PLE!$G$14,$M571,BV$13))))</f>
        <v>1000000000000</v>
      </c>
      <c r="BW571" s="182">
        <f ca="1">IF($D571&lt;&gt;"Serviço",0,IF(OR(AND(AUTOEVENTO="Manual",$M571=1),$M571&gt;(ROW(PLE.lastrow)-ROW(PLE.firstrow))),0,IF(OFFSET(PLE!$G$14,$M571,BW$13)="",10^12,OFFSET(PLE!$G$14,$M571,BW$13))))</f>
        <v>1000000000000</v>
      </c>
      <c r="BX571" s="182">
        <f ca="1">IF($D571&lt;&gt;"Serviço",0,IF(OR(AND(AUTOEVENTO="Manual",$M571=1),$M571&gt;(ROW(PLE.lastrow)-ROW(PLE.firstrow))),0,IF(OFFSET(PLE!$G$14,$M571,BX$13)="",10^12,OFFSET(PLE!$G$14,$M571,BX$13))))</f>
        <v>1000000000000</v>
      </c>
      <c r="BY571" s="182">
        <f ca="1">IF($D571&lt;&gt;"Serviço",0,IF(OR(AND(AUTOEVENTO="Manual",$M571=1),$M571&gt;(ROW(PLE.lastrow)-ROW(PLE.firstrow))),0,IF(OFFSET(PLE!$G$14,$M571,BY$13)="",10^12,OFFSET(PLE!$G$14,$M571,BY$13))))</f>
        <v>1000000000000</v>
      </c>
      <c r="BZ571" s="182">
        <f ca="1">IF($D571&lt;&gt;"Serviço",0,IF(OR(AND(AUTOEVENTO="Manual",$M571=1),$M571&gt;(ROW(PLE.lastrow)-ROW(PLE.firstrow))),0,IF(OFFSET(PLE!$G$14,$M571,BZ$13)="",10^12,OFFSET(PLE!$G$14,$M571,BZ$13))))</f>
        <v>1000000000000</v>
      </c>
      <c r="CA571" s="182">
        <f ca="1">IF($D571&lt;&gt;"Serviço",0,IF(OR(AND(AUTOEVENTO="Manual",$M571=1),$M571&gt;(ROW(PLE.lastrow)-ROW(PLE.firstrow))),0,IF(OFFSET(PLE!$G$14,$M571,CA$13)="",10^12,OFFSET(PLE!$G$14,$M571,CA$13))))</f>
        <v>1000000000000</v>
      </c>
      <c r="CB571" s="182">
        <f ca="1">IF($D571&lt;&gt;"Serviço",0,IF(OR(AND(AUTOEVENTO="Manual",$M571=1),$M571&gt;(ROW(PLE.lastrow)-ROW(PLE.firstrow))),0,IF(OFFSET(PLE!$G$14,$M571,CB$13)="",10^12,OFFSET(PLE!$G$14,$M571,CB$13))))</f>
        <v>1000000000000</v>
      </c>
      <c r="CC571" s="182">
        <f ca="1">IF($D571&lt;&gt;"Serviço",0,IF(OR(AND(AUTOEVENTO="Manual",$M571=1),$M571&gt;(ROW(PLE.lastrow)-ROW(PLE.firstrow))),0,IF(OFFSET(PLE!$G$14,$M571,CC$13)="",10^12,OFFSET(PLE!$G$14,$M571,CC$13))))</f>
        <v>1000000000000</v>
      </c>
      <c r="CD571" s="182">
        <f ca="1">IF($D571&lt;&gt;"Serviço",0,IF(OR(AND(AUTOEVENTO="Manual",$M571=1),$M571&gt;(ROW(PLE.lastrow)-ROW(PLE.firstrow))),0,IF(OFFSET(PLE!$G$14,$M571,CD$13)="",10^12,OFFSET(PLE!$G$14,$M571,CD$13))))</f>
        <v>1000000000000</v>
      </c>
      <c r="CE571" s="182">
        <f ca="1">IF($D571&lt;&gt;"Serviço",0,IF(OR(AND(AUTOEVENTO="Manual",$M571=1),$M571&gt;(ROW(PLE.lastrow)-ROW(PLE.firstrow))),0,IF(OFFSET(PLE!$G$14,$M571,CE$13)="",10^12,OFFSET(PLE!$G$14,$M571,CE$13))))</f>
        <v>1000000000000</v>
      </c>
      <c r="CF571" s="182">
        <f ca="1">IF($D571&lt;&gt;"Serviço",0,IF(OR(AND(AUTOEVENTO="Manual",$M571=1),$M571&gt;(ROW(PLE.lastrow)-ROW(PLE.firstrow))),0,IF(OFFSET(PLE!$G$14,$M571,CF$13)="",10^12,OFFSET(PLE!$G$14,$M571,CF$13))))</f>
        <v>1000000000000</v>
      </c>
      <c r="CG571" s="182">
        <f ca="1">IF($D571&lt;&gt;"Serviço",0,IF(OR(AND(AUTOEVENTO="Manual",$M571=1),$M571&gt;(ROW(PLE.lastrow)-ROW(PLE.firstrow))),0,IF(OFFSET(PLE!$G$14,$M571,CG$13)="",10^12,OFFSET(PLE!$G$14,$M571,CG$13))))</f>
        <v>1000000000000</v>
      </c>
      <c r="CH571" s="182">
        <f ca="1">IF($D571&lt;&gt;"Serviço",0,IF(OR(AND(AUTOEVENTO="Manual",$M571=1),$M571&gt;(ROW(PLE.lastrow)-ROW(PLE.firstrow))),0,IF(OFFSET(PLE!$G$14,$M571,CH$13)="",10^12,OFFSET(PLE!$G$14,$M571,CH$13))))</f>
        <v>1000000000000</v>
      </c>
      <c r="CI571" s="182">
        <f ca="1">IF($D571&lt;&gt;"Serviço",0,IF(OR(AND(AUTOEVENTO="Manual",$M571=1),$M571&gt;(ROW(PLE.lastrow)-ROW(PLE.firstrow))),0,IF(OFFSET(PLE!$G$14,$M571,CI$13)="",10^12,OFFSET(PLE!$G$14,$M571,CI$13))))</f>
        <v>1000000000000</v>
      </c>
      <c r="CJ571" s="182">
        <f ca="1">IF($D571&lt;&gt;"Serviço",0,IF(OR(AND(AUTOEVENTO="Manual",$M571=1),$M571&gt;(ROW(PLE.lastrow)-ROW(PLE.firstrow))),0,IF(OFFSET(PLE!$G$14,$M571,CJ$13)="",10^12,OFFSET(PLE!$G$14,$M571,CJ$13))))</f>
        <v>1000000000000</v>
      </c>
      <c r="CK571" s="182">
        <f ca="1">IF($D571&lt;&gt;"Serviço",0,IF(OR(AND(AUTOEVENTO="Manual",$M571=1),$M571&gt;(ROW(PLE.lastrow)-ROW(PLE.firstrow))),0,IF(OFFSET(PLE!$G$14,$M571,CK$13)="",10^12,OFFSET(PLE!$G$14,$M571,CK$13))))</f>
        <v>1000000000000</v>
      </c>
      <c r="CL571" s="182">
        <f ca="1">IF($D571&lt;&gt;"Serviço",0,IF(OR(AND(AUTOEVENTO="Manual",$M571=1),$M571&gt;(ROW(PLE.lastrow)-ROW(PLE.firstrow))),0,IF(OFFSET(PLE!$G$14,$M571,CL$13)="",10^12,OFFSET(PLE!$G$14,$M571,CL$13))))</f>
        <v>1000000000000</v>
      </c>
      <c r="CM571" s="182">
        <f ca="1">IF($D571&lt;&gt;"Serviço",0,IF(OR(AND(AUTOEVENTO="Manual",$M571=1),$M571&gt;(ROW(PLE.lastrow)-ROW(PLE.firstrow))),0,IF(OFFSET(PLE!$G$14,$M571,CM$13)="",10^12,OFFSET(PLE!$G$14,$M571,CM$13))))</f>
        <v>1000000000000</v>
      </c>
    </row>
    <row r="572" spans="1:91" ht="38.25" x14ac:dyDescent="0.2">
      <c r="A572" s="7" t="str">
        <f t="shared" ca="1" si="17"/>
        <v>552</v>
      </c>
      <c r="B572" s="7" t="str">
        <f ca="1">OFFSET(ORÇAMENTO!C$15,ROW(B572)-ROW(B$15),0)</f>
        <v>S</v>
      </c>
      <c r="C572" s="7" t="str">
        <f ca="1">OFFSET(ORÇAMENTO!L$15,ROW(C572)-ROW(C$15),0)</f>
        <v/>
      </c>
      <c r="D572" s="118" t="str">
        <f ca="1">OFFSET(ORÇAMENTO!N$15,ROW(D572)-ROW(D$15),0)</f>
        <v>Serviço</v>
      </c>
      <c r="E572" s="119" t="str">
        <f ca="1">OFFSET(ORÇAMENTO!O$15,ROW(E572)-ROW(E$15),0)</f>
        <v>-</v>
      </c>
      <c r="F572" s="172" t="str">
        <f ca="1">OFFSET(ORÇAMENTO!R$15,ROW(F572)-ROW(F$15),0)</f>
        <v>(abra o arquivo 'Referência 06-2024.xlsm)</v>
      </c>
      <c r="G572" s="173" t="str">
        <f ca="1">IF($D572&lt;&gt;"Serviço","",OFFSET(ORÇAMENTO!S$15,ROW(G572)-ROW(G$15),0))</f>
        <v>-</v>
      </c>
      <c r="H572" s="124">
        <f ca="1">IF($D572&lt;&gt;"Serviço",0,IF(ACOMPANHAMENTO="BM",ROUND(OFFSET(ORÇAMENTO!AJ$15,ROW(H572)-ROW(H$15),0),15-13*ORÇAMENTO!$AF$7),SUMPRODUCT(($Q$12:$AI$12&lt;&gt;"")*ROUND($Q572:$AI572,15-13*ORÇAMENTO!$AF$7))))</f>
        <v>3</v>
      </c>
      <c r="I572" s="561" t="s">
        <v>1107</v>
      </c>
      <c r="K572" s="174"/>
      <c r="L572" s="175" t="s">
        <v>255</v>
      </c>
      <c r="M572" s="176">
        <f ca="1">IF($D572&lt;&gt;"Serviço","",IF(AUTOEVENTO="manual",$A572,IF(ISERROR(MATCH($A572,$A$15:OFFSET($A572,-1,0),0)),MAX($M$15:OFFSET(M572,-1,0))+1,INDEX($M$15:OFFSET(M572,-1,0),MATCH($A572,$A$15:OFFSET($A572,-1,0),0)))))</f>
        <v>58</v>
      </c>
      <c r="N572" s="177" t="str">
        <f ca="1">IF($D572&lt;&gt;"Serviço","",IF(AUTOEVENTO="Manual",IF($A572=0,"&lt;-- defina o número do agrupador",OFFSET(EVENTOS!$D$14,$A572,0)),OFFSET($F$15,$A572,0)))</f>
        <v>INSTALAÇÃO ELÉTRICA 110V - ELETROCALHAS</v>
      </c>
      <c r="O572" s="178"/>
      <c r="Q572" s="178">
        <v>3</v>
      </c>
      <c r="R572" s="179"/>
      <c r="S572" s="179"/>
      <c r="T572" s="179"/>
      <c r="U572" s="179"/>
      <c r="V572" s="179"/>
      <c r="W572" s="179"/>
      <c r="X572" s="179"/>
      <c r="Y572" s="179"/>
      <c r="Z572" s="180"/>
      <c r="AA572" s="179"/>
      <c r="AB572" s="179"/>
      <c r="AC572" s="179"/>
      <c r="AD572" s="179"/>
      <c r="AE572" s="179"/>
      <c r="AF572" s="179"/>
      <c r="AG572" s="179"/>
      <c r="AH572" s="180"/>
      <c r="AJ572" s="544">
        <f ca="1">IF(AND($D572="Serviço",AJ$12&lt;&gt;0,$H572&gt;0,OR(AUTOEVENTO&lt;&gt;"manual",$M572&lt;&gt;1)),
IF(Import.TipoArredondamento&lt;&gt;"TransfereGOV",
ROUND(OFFSET($P572,0,AJ$13),15-13*ORÇAMENTO!$AF$7)/$H572*OFFSET(ORÇAMENTO!$X$15,ROW(AJ572)-ROW(AJ$15),0),
ROUND(ROUND(OFFSET($P572,0,AJ$13),15-13*ORÇAMENTO!$AF$7)*OFFSET(ORÇAMENTO!$W$15,ROW(AJ572)-ROW(AJ$15),0),15-13*ORÇAMENTO!$AF$11)),0)</f>
        <v>0</v>
      </c>
      <c r="AK572" s="545">
        <f ca="1">IF(AND($D572="Serviço",AK$12&lt;&gt;0,$H572&gt;0,OR(AUTOEVENTO&lt;&gt;"manual",$M572&lt;&gt;1)),
IF(Import.TipoArredondamento&lt;&gt;"TransfereGOV",
ROUND(OFFSET($P572,0,AK$13),15-13*ORÇAMENTO!$AF$7)/$H572*OFFSET(ORÇAMENTO!$X$15,ROW(AK572)-ROW(AK$15),0),
ROUND(ROUND(OFFSET($P572,0,AK$13),15-13*ORÇAMENTO!$AF$7)*OFFSET(ORÇAMENTO!$W$15,ROW(AK572)-ROW(AK$15),0),15-13*ORÇAMENTO!$AF$11)),0)</f>
        <v>0</v>
      </c>
      <c r="AL572" s="545">
        <f ca="1">IF(AND($D572="Serviço",AL$12&lt;&gt;0,$H572&gt;0,OR(AUTOEVENTO&lt;&gt;"manual",$M572&lt;&gt;1)),
IF(Import.TipoArredondamento&lt;&gt;"TransfereGOV",
ROUND(OFFSET($P572,0,AL$13),15-13*ORÇAMENTO!$AF$7)/$H572*OFFSET(ORÇAMENTO!$X$15,ROW(AL572)-ROW(AL$15),0),
ROUND(ROUND(OFFSET($P572,0,AL$13),15-13*ORÇAMENTO!$AF$7)*OFFSET(ORÇAMENTO!$W$15,ROW(AL572)-ROW(AL$15),0),15-13*ORÇAMENTO!$AF$11)),0)</f>
        <v>0</v>
      </c>
      <c r="AM572" s="545">
        <f ca="1">IF(AND($D572="Serviço",AM$12&lt;&gt;0,$H572&gt;0,OR(AUTOEVENTO&lt;&gt;"manual",$M572&lt;&gt;1)),
IF(Import.TipoArredondamento&lt;&gt;"TransfereGOV",
ROUND(OFFSET($P572,0,AM$13),15-13*ORÇAMENTO!$AF$7)/$H572*OFFSET(ORÇAMENTO!$X$15,ROW(AM572)-ROW(AM$15),0),
ROUND(ROUND(OFFSET($P572,0,AM$13),15-13*ORÇAMENTO!$AF$7)*OFFSET(ORÇAMENTO!$W$15,ROW(AM572)-ROW(AM$15),0),15-13*ORÇAMENTO!$AF$11)),0)</f>
        <v>0</v>
      </c>
      <c r="AN572" s="545">
        <f ca="1">IF(AND($D572="Serviço",AN$12&lt;&gt;0,$H572&gt;0,OR(AUTOEVENTO&lt;&gt;"manual",$M572&lt;&gt;1)),
IF(Import.TipoArredondamento&lt;&gt;"TransfereGOV",
ROUND(OFFSET($P572,0,AN$13),15-13*ORÇAMENTO!$AF$7)/$H572*OFFSET(ORÇAMENTO!$X$15,ROW(AN572)-ROW(AN$15),0),
ROUND(ROUND(OFFSET($P572,0,AN$13),15-13*ORÇAMENTO!$AF$7)*OFFSET(ORÇAMENTO!$W$15,ROW(AN572)-ROW(AN$15),0),15-13*ORÇAMENTO!$AF$11)),0)</f>
        <v>0</v>
      </c>
      <c r="AO572" s="545">
        <f ca="1">IF(AND($D572="Serviço",AO$12&lt;&gt;0,$H572&gt;0,OR(AUTOEVENTO&lt;&gt;"manual",$M572&lt;&gt;1)),
IF(Import.TipoArredondamento&lt;&gt;"TransfereGOV",
ROUND(OFFSET($P572,0,AO$13),15-13*ORÇAMENTO!$AF$7)/$H572*OFFSET(ORÇAMENTO!$X$15,ROW(AO572)-ROW(AO$15),0),
ROUND(ROUND(OFFSET($P572,0,AO$13),15-13*ORÇAMENTO!$AF$7)*OFFSET(ORÇAMENTO!$W$15,ROW(AO572)-ROW(AO$15),0),15-13*ORÇAMENTO!$AF$11)),0)</f>
        <v>0</v>
      </c>
      <c r="AP572" s="545">
        <f ca="1">IF(AND($D572="Serviço",AP$12&lt;&gt;0,$H572&gt;0,OR(AUTOEVENTO&lt;&gt;"manual",$M572&lt;&gt;1)),
IF(Import.TipoArredondamento&lt;&gt;"TransfereGOV",
ROUND(OFFSET($P572,0,AP$13),15-13*ORÇAMENTO!$AF$7)/$H572*OFFSET(ORÇAMENTO!$X$15,ROW(AP572)-ROW(AP$15),0),
ROUND(ROUND(OFFSET($P572,0,AP$13),15-13*ORÇAMENTO!$AF$7)*OFFSET(ORÇAMENTO!$W$15,ROW(AP572)-ROW(AP$15),0),15-13*ORÇAMENTO!$AF$11)),0)</f>
        <v>0</v>
      </c>
      <c r="AQ572" s="545">
        <f ca="1">IF(AND($D572="Serviço",AQ$12&lt;&gt;0,$H572&gt;0,OR(AUTOEVENTO&lt;&gt;"manual",$M572&lt;&gt;1)),
IF(Import.TipoArredondamento&lt;&gt;"TransfereGOV",
ROUND(OFFSET($P572,0,AQ$13),15-13*ORÇAMENTO!$AF$7)/$H572*OFFSET(ORÇAMENTO!$X$15,ROW(AQ572)-ROW(AQ$15),0),
ROUND(ROUND(OFFSET($P572,0,AQ$13),15-13*ORÇAMENTO!$AF$7)*OFFSET(ORÇAMENTO!$W$15,ROW(AQ572)-ROW(AQ$15),0),15-13*ORÇAMENTO!$AF$11)),0)</f>
        <v>0</v>
      </c>
      <c r="AR572" s="545">
        <f ca="1">IF(AND($D572="Serviço",AR$12&lt;&gt;0,$H572&gt;0,OR(AUTOEVENTO&lt;&gt;"manual",$M572&lt;&gt;1)),
IF(Import.TipoArredondamento&lt;&gt;"TransfereGOV",
ROUND(OFFSET($P572,0,AR$13),15-13*ORÇAMENTO!$AF$7)/$H572*OFFSET(ORÇAMENTO!$X$15,ROW(AR572)-ROW(AR$15),0),
ROUND(ROUND(OFFSET($P572,0,AR$13),15-13*ORÇAMENTO!$AF$7)*OFFSET(ORÇAMENTO!$W$15,ROW(AR572)-ROW(AR$15),0),15-13*ORÇAMENTO!$AF$11)),0)</f>
        <v>0</v>
      </c>
      <c r="AS572" s="546">
        <f ca="1">IF(AND($D572="Serviço",AS$12&lt;&gt;0,$H572&gt;0,OR(AUTOEVENTO&lt;&gt;"manual",$M572&lt;&gt;1)),
IF(Import.TipoArredondamento&lt;&gt;"TransfereGOV",
ROUND(OFFSET($P572,0,AS$13),15-13*ORÇAMENTO!$AF$7)/$H572*OFFSET(ORÇAMENTO!$X$15,ROW(AS572)-ROW(AS$15),0),
ROUND(ROUND(OFFSET($P572,0,AS$13),15-13*ORÇAMENTO!$AF$7)*OFFSET(ORÇAMENTO!$W$15,ROW(AS572)-ROW(AS$15),0),15-13*ORÇAMENTO!$AF$11)),0)</f>
        <v>0</v>
      </c>
      <c r="AT572" s="545">
        <f ca="1">IF(AND($D572="Serviço",AT$12&lt;&gt;0,$H572&gt;0,OR(AUTOEVENTO&lt;&gt;"manual",$M572&lt;&gt;1)),
IF(Import.TipoArredondamento&lt;&gt;"TransfereGOV",
ROUND(OFFSET($P572,0,AT$13),15-13*ORÇAMENTO!$AF$7)/$H572*OFFSET(ORÇAMENTO!$X$15,ROW(AT572)-ROW(AT$15),0),
ROUND(ROUND(OFFSET($P572,0,AT$13),15-13*ORÇAMENTO!$AF$7)*OFFSET(ORÇAMENTO!$W$15,ROW(AT572)-ROW(AT$15),0),15-13*ORÇAMENTO!$AF$11)),0)</f>
        <v>0</v>
      </c>
      <c r="AU572" s="545">
        <f ca="1">IF(AND($D572="Serviço",AU$12&lt;&gt;0,$H572&gt;0,OR(AUTOEVENTO&lt;&gt;"manual",$M572&lt;&gt;1)),
IF(Import.TipoArredondamento&lt;&gt;"TransfereGOV",
ROUND(OFFSET($P572,0,AU$13),15-13*ORÇAMENTO!$AF$7)/$H572*OFFSET(ORÇAMENTO!$X$15,ROW(AU572)-ROW(AU$15),0),
ROUND(ROUND(OFFSET($P572,0,AU$13),15-13*ORÇAMENTO!$AF$7)*OFFSET(ORÇAMENTO!$W$15,ROW(AU572)-ROW(AU$15),0),15-13*ORÇAMENTO!$AF$11)),0)</f>
        <v>0</v>
      </c>
      <c r="AV572" s="545">
        <f ca="1">IF(AND($D572="Serviço",AV$12&lt;&gt;0,$H572&gt;0,OR(AUTOEVENTO&lt;&gt;"manual",$M572&lt;&gt;1)),
IF(Import.TipoArredondamento&lt;&gt;"TransfereGOV",
ROUND(OFFSET($P572,0,AV$13),15-13*ORÇAMENTO!$AF$7)/$H572*OFFSET(ORÇAMENTO!$X$15,ROW(AV572)-ROW(AV$15),0),
ROUND(ROUND(OFFSET($P572,0,AV$13),15-13*ORÇAMENTO!$AF$7)*OFFSET(ORÇAMENTO!$W$15,ROW(AV572)-ROW(AV$15),0),15-13*ORÇAMENTO!$AF$11)),0)</f>
        <v>0</v>
      </c>
      <c r="AW572" s="545">
        <f ca="1">IF(AND($D572="Serviço",AW$12&lt;&gt;0,$H572&gt;0,OR(AUTOEVENTO&lt;&gt;"manual",$M572&lt;&gt;1)),
IF(Import.TipoArredondamento&lt;&gt;"TransfereGOV",
ROUND(OFFSET($P572,0,AW$13),15-13*ORÇAMENTO!$AF$7)/$H572*OFFSET(ORÇAMENTO!$X$15,ROW(AW572)-ROW(AW$15),0),
ROUND(ROUND(OFFSET($P572,0,AW$13),15-13*ORÇAMENTO!$AF$7)*OFFSET(ORÇAMENTO!$W$15,ROW(AW572)-ROW(AW$15),0),15-13*ORÇAMENTO!$AF$11)),0)</f>
        <v>0</v>
      </c>
      <c r="AX572" s="545">
        <f ca="1">IF(AND($D572="Serviço",AX$12&lt;&gt;0,$H572&gt;0,OR(AUTOEVENTO&lt;&gt;"manual",$M572&lt;&gt;1)),
IF(Import.TipoArredondamento&lt;&gt;"TransfereGOV",
ROUND(OFFSET($P572,0,AX$13),15-13*ORÇAMENTO!$AF$7)/$H572*OFFSET(ORÇAMENTO!$X$15,ROW(AX572)-ROW(AX$15),0),
ROUND(ROUND(OFFSET($P572,0,AX$13),15-13*ORÇAMENTO!$AF$7)*OFFSET(ORÇAMENTO!$W$15,ROW(AX572)-ROW(AX$15),0),15-13*ORÇAMENTO!$AF$11)),0)</f>
        <v>0</v>
      </c>
      <c r="AY572" s="545">
        <f ca="1">IF(AND($D572="Serviço",AY$12&lt;&gt;0,$H572&gt;0,OR(AUTOEVENTO&lt;&gt;"manual",$M572&lt;&gt;1)),
IF(Import.TipoArredondamento&lt;&gt;"TransfereGOV",
ROUND(OFFSET($P572,0,AY$13),15-13*ORÇAMENTO!$AF$7)/$H572*OFFSET(ORÇAMENTO!$X$15,ROW(AY572)-ROW(AY$15),0),
ROUND(ROUND(OFFSET($P572,0,AY$13),15-13*ORÇAMENTO!$AF$7)*OFFSET(ORÇAMENTO!$W$15,ROW(AY572)-ROW(AY$15),0),15-13*ORÇAMENTO!$AF$11)),0)</f>
        <v>0</v>
      </c>
      <c r="AZ572" s="545">
        <f ca="1">IF(AND($D572="Serviço",AZ$12&lt;&gt;0,$H572&gt;0,OR(AUTOEVENTO&lt;&gt;"manual",$M572&lt;&gt;1)),
IF(Import.TipoArredondamento&lt;&gt;"TransfereGOV",
ROUND(OFFSET($P572,0,AZ$13),15-13*ORÇAMENTO!$AF$7)/$H572*OFFSET(ORÇAMENTO!$X$15,ROW(AZ572)-ROW(AZ$15),0),
ROUND(ROUND(OFFSET($P572,0,AZ$13),15-13*ORÇAMENTO!$AF$7)*OFFSET(ORÇAMENTO!$W$15,ROW(AZ572)-ROW(AZ$15),0),15-13*ORÇAMENTO!$AF$11)),0)</f>
        <v>0</v>
      </c>
      <c r="BA572" s="546">
        <f ca="1">IF(AND($D572="Serviço",BA$12&lt;&gt;0,$H572&gt;0,OR(AUTOEVENTO&lt;&gt;"manual",$M572&lt;&gt;1)),
IF(Import.TipoArredondamento&lt;&gt;"TransfereGOV",
ROUND(OFFSET($P572,0,BA$13),15-13*ORÇAMENTO!$AF$7)/$H572*OFFSET(ORÇAMENTO!$X$15,ROW(BA572)-ROW(BA$15),0),
ROUND(ROUND(OFFSET($P572,0,BA$13),15-13*ORÇAMENTO!$AF$7)*OFFSET(ORÇAMENTO!$W$15,ROW(BA572)-ROW(BA$15),0),15-13*ORÇAMENTO!$AF$11)),0)</f>
        <v>0</v>
      </c>
      <c r="BC572" s="181">
        <f ca="1">IF($D572&lt;&gt;"Serviço",0,IF(AND(AUTOEVENTO="Manual",$M572=1),0,IF(OFFSET(CRONOPLE!$F$14,$M572,BC$13)="",10^12,OFFSET(CRONOPLE!$F$14,$M572,BC$13))))</f>
        <v>10</v>
      </c>
      <c r="BD572" s="181">
        <f ca="1">IF($D572&lt;&gt;"Serviço",0,IF(AND(AUTOEVENTO="Manual",$M572=1),0,IF(OFFSET(CRONOPLE!$F$14,$M572,BD$13)="",10^12,OFFSET(CRONOPLE!$F$14,$M572,BD$13))))</f>
        <v>1000000000000</v>
      </c>
      <c r="BE572" s="181">
        <f ca="1">IF($D572&lt;&gt;"Serviço",0,IF(AND(AUTOEVENTO="Manual",$M572=1),0,IF(OFFSET(CRONOPLE!$F$14,$M572,BE$13)="",10^12,OFFSET(CRONOPLE!$F$14,$M572,BE$13))))</f>
        <v>1000000000000</v>
      </c>
      <c r="BF572" s="181">
        <f ca="1">IF($D572&lt;&gt;"Serviço",0,IF(AND(AUTOEVENTO="Manual",$M572=1),0,IF(OFFSET(CRONOPLE!$F$14,$M572,BF$13)="",10^12,OFFSET(CRONOPLE!$F$14,$M572,BF$13))))</f>
        <v>1000000000000</v>
      </c>
      <c r="BG572" s="181">
        <f ca="1">IF($D572&lt;&gt;"Serviço",0,IF(AND(AUTOEVENTO="Manual",$M572=1),0,IF(OFFSET(CRONOPLE!$F$14,$M572,BG$13)="",10^12,OFFSET(CRONOPLE!$F$14,$M572,BG$13))))</f>
        <v>1000000000000</v>
      </c>
      <c r="BH572" s="181">
        <f ca="1">IF($D572&lt;&gt;"Serviço",0,IF(AND(AUTOEVENTO="Manual",$M572=1),0,IF(OFFSET(CRONOPLE!$F$14,$M572,BH$13)="",10^12,OFFSET(CRONOPLE!$F$14,$M572,BH$13))))</f>
        <v>1000000000000</v>
      </c>
      <c r="BI572" s="181">
        <f ca="1">IF($D572&lt;&gt;"Serviço",0,IF(AND(AUTOEVENTO="Manual",$M572=1),0,IF(OFFSET(CRONOPLE!$F$14,$M572,BI$13)="",10^12,OFFSET(CRONOPLE!$F$14,$M572,BI$13))))</f>
        <v>1000000000000</v>
      </c>
      <c r="BJ572" s="181">
        <f ca="1">IF($D572&lt;&gt;"Serviço",0,IF(AND(AUTOEVENTO="Manual",$M572=1),0,IF(OFFSET(CRONOPLE!$F$14,$M572,BJ$13)="",10^12,OFFSET(CRONOPLE!$F$14,$M572,BJ$13))))</f>
        <v>1000000000000</v>
      </c>
      <c r="BK572" s="181">
        <f ca="1">IF($D572&lt;&gt;"Serviço",0,IF(AND(AUTOEVENTO="Manual",$M572=1),0,IF(OFFSET(CRONOPLE!$F$14,$M572,BK$13)="",10^12,OFFSET(CRONOPLE!$F$14,$M572,BK$13))))</f>
        <v>1000000000000</v>
      </c>
      <c r="BL572" s="181">
        <f ca="1">IF($D572&lt;&gt;"Serviço",0,IF(AND(AUTOEVENTO="Manual",$M572=1),0,IF(OFFSET(CRONOPLE!$F$14,$M572,BL$13)="",10^12,OFFSET(CRONOPLE!$F$14,$M572,BL$13))))</f>
        <v>1000000000000</v>
      </c>
      <c r="BM572" s="181">
        <f ca="1">IF($D572&lt;&gt;"Serviço",0,IF(AND(AUTOEVENTO="Manual",$M572=1),0,IF(OFFSET(CRONOPLE!$F$14,$M572,BM$13)="",10^12,OFFSET(CRONOPLE!$F$14,$M572,BM$13))))</f>
        <v>1000000000000</v>
      </c>
      <c r="BN572" s="181">
        <f ca="1">IF($D572&lt;&gt;"Serviço",0,IF(AND(AUTOEVENTO="Manual",$M572=1),0,IF(OFFSET(CRONOPLE!$F$14,$M572,BN$13)="",10^12,OFFSET(CRONOPLE!$F$14,$M572,BN$13))))</f>
        <v>1000000000000</v>
      </c>
      <c r="BO572" s="181">
        <f ca="1">IF($D572&lt;&gt;"Serviço",0,IF(AND(AUTOEVENTO="Manual",$M572=1),0,IF(OFFSET(CRONOPLE!$F$14,$M572,BO$13)="",10^12,OFFSET(CRONOPLE!$F$14,$M572,BO$13))))</f>
        <v>1000000000000</v>
      </c>
      <c r="BP572" s="181">
        <f ca="1">IF($D572&lt;&gt;"Serviço",0,IF(AND(AUTOEVENTO="Manual",$M572=1),0,IF(OFFSET(CRONOPLE!$F$14,$M572,BP$13)="",10^12,OFFSET(CRONOPLE!$F$14,$M572,BP$13))))</f>
        <v>1000000000000</v>
      </c>
      <c r="BQ572" s="181">
        <f ca="1">IF($D572&lt;&gt;"Serviço",0,IF(AND(AUTOEVENTO="Manual",$M572=1),0,IF(OFFSET(CRONOPLE!$F$14,$M572,BQ$13)="",10^12,OFFSET(CRONOPLE!$F$14,$M572,BQ$13))))</f>
        <v>1000000000000</v>
      </c>
      <c r="BR572" s="181">
        <f ca="1">IF($D572&lt;&gt;"Serviço",0,IF(AND(AUTOEVENTO="Manual",$M572=1),0,IF(OFFSET(CRONOPLE!$F$14,$M572,BR$13)="",10^12,OFFSET(CRONOPLE!$F$14,$M572,BR$13))))</f>
        <v>1000000000000</v>
      </c>
      <c r="BS572" s="181">
        <f ca="1">IF($D572&lt;&gt;"Serviço",0,IF(AND(AUTOEVENTO="Manual",$M572=1),0,IF(OFFSET(CRONOPLE!$F$14,$M572,BS$13)="",10^12,OFFSET(CRONOPLE!$F$14,$M572,BS$13))))</f>
        <v>1000000000000</v>
      </c>
      <c r="BT572" s="181">
        <f ca="1">IF($D572&lt;&gt;"Serviço",0,IF(AND(AUTOEVENTO="Manual",$M572=1),0,IF(OFFSET(CRONOPLE!$F$14,$M572,BT$13)="",10^12,OFFSET(CRONOPLE!$F$14,$M572,BT$13))))</f>
        <v>1000000000000</v>
      </c>
      <c r="BV572" s="182">
        <f ca="1">IF($D572&lt;&gt;"Serviço",0,IF(OR(AND(AUTOEVENTO="Manual",$M572=1),$M572&gt;(ROW(PLE.lastrow)-ROW(PLE.firstrow))),0,IF(OFFSET(PLE!$G$14,$M572,BV$13)="",10^12,OFFSET(PLE!$G$14,$M572,BV$13))))</f>
        <v>1000000000000</v>
      </c>
      <c r="BW572" s="182">
        <f ca="1">IF($D572&lt;&gt;"Serviço",0,IF(OR(AND(AUTOEVENTO="Manual",$M572=1),$M572&gt;(ROW(PLE.lastrow)-ROW(PLE.firstrow))),0,IF(OFFSET(PLE!$G$14,$M572,BW$13)="",10^12,OFFSET(PLE!$G$14,$M572,BW$13))))</f>
        <v>1000000000000</v>
      </c>
      <c r="BX572" s="182">
        <f ca="1">IF($D572&lt;&gt;"Serviço",0,IF(OR(AND(AUTOEVENTO="Manual",$M572=1),$M572&gt;(ROW(PLE.lastrow)-ROW(PLE.firstrow))),0,IF(OFFSET(PLE!$G$14,$M572,BX$13)="",10^12,OFFSET(PLE!$G$14,$M572,BX$13))))</f>
        <v>1000000000000</v>
      </c>
      <c r="BY572" s="182">
        <f ca="1">IF($D572&lt;&gt;"Serviço",0,IF(OR(AND(AUTOEVENTO="Manual",$M572=1),$M572&gt;(ROW(PLE.lastrow)-ROW(PLE.firstrow))),0,IF(OFFSET(PLE!$G$14,$M572,BY$13)="",10^12,OFFSET(PLE!$G$14,$M572,BY$13))))</f>
        <v>1000000000000</v>
      </c>
      <c r="BZ572" s="182">
        <f ca="1">IF($D572&lt;&gt;"Serviço",0,IF(OR(AND(AUTOEVENTO="Manual",$M572=1),$M572&gt;(ROW(PLE.lastrow)-ROW(PLE.firstrow))),0,IF(OFFSET(PLE!$G$14,$M572,BZ$13)="",10^12,OFFSET(PLE!$G$14,$M572,BZ$13))))</f>
        <v>1000000000000</v>
      </c>
      <c r="CA572" s="182">
        <f ca="1">IF($D572&lt;&gt;"Serviço",0,IF(OR(AND(AUTOEVENTO="Manual",$M572=1),$M572&gt;(ROW(PLE.lastrow)-ROW(PLE.firstrow))),0,IF(OFFSET(PLE!$G$14,$M572,CA$13)="",10^12,OFFSET(PLE!$G$14,$M572,CA$13))))</f>
        <v>1000000000000</v>
      </c>
      <c r="CB572" s="182">
        <f ca="1">IF($D572&lt;&gt;"Serviço",0,IF(OR(AND(AUTOEVENTO="Manual",$M572=1),$M572&gt;(ROW(PLE.lastrow)-ROW(PLE.firstrow))),0,IF(OFFSET(PLE!$G$14,$M572,CB$13)="",10^12,OFFSET(PLE!$G$14,$M572,CB$13))))</f>
        <v>1000000000000</v>
      </c>
      <c r="CC572" s="182">
        <f ca="1">IF($D572&lt;&gt;"Serviço",0,IF(OR(AND(AUTOEVENTO="Manual",$M572=1),$M572&gt;(ROW(PLE.lastrow)-ROW(PLE.firstrow))),0,IF(OFFSET(PLE!$G$14,$M572,CC$13)="",10^12,OFFSET(PLE!$G$14,$M572,CC$13))))</f>
        <v>1000000000000</v>
      </c>
      <c r="CD572" s="182">
        <f ca="1">IF($D572&lt;&gt;"Serviço",0,IF(OR(AND(AUTOEVENTO="Manual",$M572=1),$M572&gt;(ROW(PLE.lastrow)-ROW(PLE.firstrow))),0,IF(OFFSET(PLE!$G$14,$M572,CD$13)="",10^12,OFFSET(PLE!$G$14,$M572,CD$13))))</f>
        <v>1000000000000</v>
      </c>
      <c r="CE572" s="182">
        <f ca="1">IF($D572&lt;&gt;"Serviço",0,IF(OR(AND(AUTOEVENTO="Manual",$M572=1),$M572&gt;(ROW(PLE.lastrow)-ROW(PLE.firstrow))),0,IF(OFFSET(PLE!$G$14,$M572,CE$13)="",10^12,OFFSET(PLE!$G$14,$M572,CE$13))))</f>
        <v>1000000000000</v>
      </c>
      <c r="CF572" s="182">
        <f ca="1">IF($D572&lt;&gt;"Serviço",0,IF(OR(AND(AUTOEVENTO="Manual",$M572=1),$M572&gt;(ROW(PLE.lastrow)-ROW(PLE.firstrow))),0,IF(OFFSET(PLE!$G$14,$M572,CF$13)="",10^12,OFFSET(PLE!$G$14,$M572,CF$13))))</f>
        <v>1000000000000</v>
      </c>
      <c r="CG572" s="182">
        <f ca="1">IF($D572&lt;&gt;"Serviço",0,IF(OR(AND(AUTOEVENTO="Manual",$M572=1),$M572&gt;(ROW(PLE.lastrow)-ROW(PLE.firstrow))),0,IF(OFFSET(PLE!$G$14,$M572,CG$13)="",10^12,OFFSET(PLE!$G$14,$M572,CG$13))))</f>
        <v>1000000000000</v>
      </c>
      <c r="CH572" s="182">
        <f ca="1">IF($D572&lt;&gt;"Serviço",0,IF(OR(AND(AUTOEVENTO="Manual",$M572=1),$M572&gt;(ROW(PLE.lastrow)-ROW(PLE.firstrow))),0,IF(OFFSET(PLE!$G$14,$M572,CH$13)="",10^12,OFFSET(PLE!$G$14,$M572,CH$13))))</f>
        <v>1000000000000</v>
      </c>
      <c r="CI572" s="182">
        <f ca="1">IF($D572&lt;&gt;"Serviço",0,IF(OR(AND(AUTOEVENTO="Manual",$M572=1),$M572&gt;(ROW(PLE.lastrow)-ROW(PLE.firstrow))),0,IF(OFFSET(PLE!$G$14,$M572,CI$13)="",10^12,OFFSET(PLE!$G$14,$M572,CI$13))))</f>
        <v>1000000000000</v>
      </c>
      <c r="CJ572" s="182">
        <f ca="1">IF($D572&lt;&gt;"Serviço",0,IF(OR(AND(AUTOEVENTO="Manual",$M572=1),$M572&gt;(ROW(PLE.lastrow)-ROW(PLE.firstrow))),0,IF(OFFSET(PLE!$G$14,$M572,CJ$13)="",10^12,OFFSET(PLE!$G$14,$M572,CJ$13))))</f>
        <v>1000000000000</v>
      </c>
      <c r="CK572" s="182">
        <f ca="1">IF($D572&lt;&gt;"Serviço",0,IF(OR(AND(AUTOEVENTO="Manual",$M572=1),$M572&gt;(ROW(PLE.lastrow)-ROW(PLE.firstrow))),0,IF(OFFSET(PLE!$G$14,$M572,CK$13)="",10^12,OFFSET(PLE!$G$14,$M572,CK$13))))</f>
        <v>1000000000000</v>
      </c>
      <c r="CL572" s="182">
        <f ca="1">IF($D572&lt;&gt;"Serviço",0,IF(OR(AND(AUTOEVENTO="Manual",$M572=1),$M572&gt;(ROW(PLE.lastrow)-ROW(PLE.firstrow))),0,IF(OFFSET(PLE!$G$14,$M572,CL$13)="",10^12,OFFSET(PLE!$G$14,$M572,CL$13))))</f>
        <v>1000000000000</v>
      </c>
      <c r="CM572" s="182">
        <f ca="1">IF($D572&lt;&gt;"Serviço",0,IF(OR(AND(AUTOEVENTO="Manual",$M572=1),$M572&gt;(ROW(PLE.lastrow)-ROW(PLE.firstrow))),0,IF(OFFSET(PLE!$G$14,$M572,CM$13)="",10^12,OFFSET(PLE!$G$14,$M572,CM$13))))</f>
        <v>1000000000000</v>
      </c>
    </row>
    <row r="573" spans="1:91" ht="25.5" x14ac:dyDescent="0.2">
      <c r="A573" s="7" t="str">
        <f t="shared" ca="1" si="17"/>
        <v>552</v>
      </c>
      <c r="B573" s="7" t="str">
        <f ca="1">OFFSET(ORÇAMENTO!C$15,ROW(B573)-ROW(B$15),0)</f>
        <v>S</v>
      </c>
      <c r="C573" s="7" t="str">
        <f ca="1">OFFSET(ORÇAMENTO!L$15,ROW(C573)-ROW(C$15),0)</f>
        <v/>
      </c>
      <c r="D573" s="118" t="str">
        <f ca="1">OFFSET(ORÇAMENTO!N$15,ROW(D573)-ROW(D$15),0)</f>
        <v>Serviço</v>
      </c>
      <c r="E573" s="119" t="str">
        <f ca="1">OFFSET(ORÇAMENTO!O$15,ROW(E573)-ROW(E$15),0)</f>
        <v>-</v>
      </c>
      <c r="F573" s="172" t="str">
        <f ca="1">OFFSET(ORÇAMENTO!R$15,ROW(F573)-ROW(F$15),0)</f>
        <v>(abra o arquivo 'Referência 06-2024.xlsm)</v>
      </c>
      <c r="G573" s="173" t="str">
        <f ca="1">IF($D573&lt;&gt;"Serviço","",OFFSET(ORÇAMENTO!S$15,ROW(G573)-ROW(G$15),0))</f>
        <v>-</v>
      </c>
      <c r="H573" s="124">
        <f ca="1">IF($D573&lt;&gt;"Serviço",0,IF(ACOMPANHAMENTO="BM",ROUND(OFFSET(ORÇAMENTO!AJ$15,ROW(H573)-ROW(H$15),0),15-13*ORÇAMENTO!$AF$7),SUMPRODUCT(($Q$12:$AI$12&lt;&gt;"")*ROUND($Q573:$AI573,15-13*ORÇAMENTO!$AF$7))))</f>
        <v>1</v>
      </c>
      <c r="I573" s="561" t="s">
        <v>1107</v>
      </c>
      <c r="K573" s="174"/>
      <c r="L573" s="175" t="s">
        <v>255</v>
      </c>
      <c r="M573" s="176">
        <f ca="1">IF($D573&lt;&gt;"Serviço","",IF(AUTOEVENTO="manual",$A573,IF(ISERROR(MATCH($A573,$A$15:OFFSET($A573,-1,0),0)),MAX($M$15:OFFSET(M573,-1,0))+1,INDEX($M$15:OFFSET(M573,-1,0),MATCH($A573,$A$15:OFFSET($A573,-1,0),0)))))</f>
        <v>58</v>
      </c>
      <c r="N573" s="177" t="str">
        <f ca="1">IF($D573&lt;&gt;"Serviço","",IF(AUTOEVENTO="Manual",IF($A573=0,"&lt;-- defina o número do agrupador",OFFSET(EVENTOS!$D$14,$A573,0)),OFFSET($F$15,$A573,0)))</f>
        <v>INSTALAÇÃO ELÉTRICA 110V - ELETROCALHAS</v>
      </c>
      <c r="O573" s="178"/>
      <c r="Q573" s="178">
        <v>1</v>
      </c>
      <c r="R573" s="179"/>
      <c r="S573" s="179"/>
      <c r="T573" s="179"/>
      <c r="U573" s="179"/>
      <c r="V573" s="179"/>
      <c r="W573" s="179"/>
      <c r="X573" s="179"/>
      <c r="Y573" s="179"/>
      <c r="Z573" s="180"/>
      <c r="AA573" s="179"/>
      <c r="AB573" s="179"/>
      <c r="AC573" s="179"/>
      <c r="AD573" s="179"/>
      <c r="AE573" s="179"/>
      <c r="AF573" s="179"/>
      <c r="AG573" s="179"/>
      <c r="AH573" s="180"/>
      <c r="AJ573" s="544">
        <f ca="1">IF(AND($D573="Serviço",AJ$12&lt;&gt;0,$H573&gt;0,OR(AUTOEVENTO&lt;&gt;"manual",$M573&lt;&gt;1)),
IF(Import.TipoArredondamento&lt;&gt;"TransfereGOV",
ROUND(OFFSET($P573,0,AJ$13),15-13*ORÇAMENTO!$AF$7)/$H573*OFFSET(ORÇAMENTO!$X$15,ROW(AJ573)-ROW(AJ$15),0),
ROUND(ROUND(OFFSET($P573,0,AJ$13),15-13*ORÇAMENTO!$AF$7)*OFFSET(ORÇAMENTO!$W$15,ROW(AJ573)-ROW(AJ$15),0),15-13*ORÇAMENTO!$AF$11)),0)</f>
        <v>0</v>
      </c>
      <c r="AK573" s="545">
        <f ca="1">IF(AND($D573="Serviço",AK$12&lt;&gt;0,$H573&gt;0,OR(AUTOEVENTO&lt;&gt;"manual",$M573&lt;&gt;1)),
IF(Import.TipoArredondamento&lt;&gt;"TransfereGOV",
ROUND(OFFSET($P573,0,AK$13),15-13*ORÇAMENTO!$AF$7)/$H573*OFFSET(ORÇAMENTO!$X$15,ROW(AK573)-ROW(AK$15),0),
ROUND(ROUND(OFFSET($P573,0,AK$13),15-13*ORÇAMENTO!$AF$7)*OFFSET(ORÇAMENTO!$W$15,ROW(AK573)-ROW(AK$15),0),15-13*ORÇAMENTO!$AF$11)),0)</f>
        <v>0</v>
      </c>
      <c r="AL573" s="545">
        <f ca="1">IF(AND($D573="Serviço",AL$12&lt;&gt;0,$H573&gt;0,OR(AUTOEVENTO&lt;&gt;"manual",$M573&lt;&gt;1)),
IF(Import.TipoArredondamento&lt;&gt;"TransfereGOV",
ROUND(OFFSET($P573,0,AL$13),15-13*ORÇAMENTO!$AF$7)/$H573*OFFSET(ORÇAMENTO!$X$15,ROW(AL573)-ROW(AL$15),0),
ROUND(ROUND(OFFSET($P573,0,AL$13),15-13*ORÇAMENTO!$AF$7)*OFFSET(ORÇAMENTO!$W$15,ROW(AL573)-ROW(AL$15),0),15-13*ORÇAMENTO!$AF$11)),0)</f>
        <v>0</v>
      </c>
      <c r="AM573" s="545">
        <f ca="1">IF(AND($D573="Serviço",AM$12&lt;&gt;0,$H573&gt;0,OR(AUTOEVENTO&lt;&gt;"manual",$M573&lt;&gt;1)),
IF(Import.TipoArredondamento&lt;&gt;"TransfereGOV",
ROUND(OFFSET($P573,0,AM$13),15-13*ORÇAMENTO!$AF$7)/$H573*OFFSET(ORÇAMENTO!$X$15,ROW(AM573)-ROW(AM$15),0),
ROUND(ROUND(OFFSET($P573,0,AM$13),15-13*ORÇAMENTO!$AF$7)*OFFSET(ORÇAMENTO!$W$15,ROW(AM573)-ROW(AM$15),0),15-13*ORÇAMENTO!$AF$11)),0)</f>
        <v>0</v>
      </c>
      <c r="AN573" s="545">
        <f ca="1">IF(AND($D573="Serviço",AN$12&lt;&gt;0,$H573&gt;0,OR(AUTOEVENTO&lt;&gt;"manual",$M573&lt;&gt;1)),
IF(Import.TipoArredondamento&lt;&gt;"TransfereGOV",
ROUND(OFFSET($P573,0,AN$13),15-13*ORÇAMENTO!$AF$7)/$H573*OFFSET(ORÇAMENTO!$X$15,ROW(AN573)-ROW(AN$15),0),
ROUND(ROUND(OFFSET($P573,0,AN$13),15-13*ORÇAMENTO!$AF$7)*OFFSET(ORÇAMENTO!$W$15,ROW(AN573)-ROW(AN$15),0),15-13*ORÇAMENTO!$AF$11)),0)</f>
        <v>0</v>
      </c>
      <c r="AO573" s="545">
        <f ca="1">IF(AND($D573="Serviço",AO$12&lt;&gt;0,$H573&gt;0,OR(AUTOEVENTO&lt;&gt;"manual",$M573&lt;&gt;1)),
IF(Import.TipoArredondamento&lt;&gt;"TransfereGOV",
ROUND(OFFSET($P573,0,AO$13),15-13*ORÇAMENTO!$AF$7)/$H573*OFFSET(ORÇAMENTO!$X$15,ROW(AO573)-ROW(AO$15),0),
ROUND(ROUND(OFFSET($P573,0,AO$13),15-13*ORÇAMENTO!$AF$7)*OFFSET(ORÇAMENTO!$W$15,ROW(AO573)-ROW(AO$15),0),15-13*ORÇAMENTO!$AF$11)),0)</f>
        <v>0</v>
      </c>
      <c r="AP573" s="545">
        <f ca="1">IF(AND($D573="Serviço",AP$12&lt;&gt;0,$H573&gt;0,OR(AUTOEVENTO&lt;&gt;"manual",$M573&lt;&gt;1)),
IF(Import.TipoArredondamento&lt;&gt;"TransfereGOV",
ROUND(OFFSET($P573,0,AP$13),15-13*ORÇAMENTO!$AF$7)/$H573*OFFSET(ORÇAMENTO!$X$15,ROW(AP573)-ROW(AP$15),0),
ROUND(ROUND(OFFSET($P573,0,AP$13),15-13*ORÇAMENTO!$AF$7)*OFFSET(ORÇAMENTO!$W$15,ROW(AP573)-ROW(AP$15),0),15-13*ORÇAMENTO!$AF$11)),0)</f>
        <v>0</v>
      </c>
      <c r="AQ573" s="545">
        <f ca="1">IF(AND($D573="Serviço",AQ$12&lt;&gt;0,$H573&gt;0,OR(AUTOEVENTO&lt;&gt;"manual",$M573&lt;&gt;1)),
IF(Import.TipoArredondamento&lt;&gt;"TransfereGOV",
ROUND(OFFSET($P573,0,AQ$13),15-13*ORÇAMENTO!$AF$7)/$H573*OFFSET(ORÇAMENTO!$X$15,ROW(AQ573)-ROW(AQ$15),0),
ROUND(ROUND(OFFSET($P573,0,AQ$13),15-13*ORÇAMENTO!$AF$7)*OFFSET(ORÇAMENTO!$W$15,ROW(AQ573)-ROW(AQ$15),0),15-13*ORÇAMENTO!$AF$11)),0)</f>
        <v>0</v>
      </c>
      <c r="AR573" s="545">
        <f ca="1">IF(AND($D573="Serviço",AR$12&lt;&gt;0,$H573&gt;0,OR(AUTOEVENTO&lt;&gt;"manual",$M573&lt;&gt;1)),
IF(Import.TipoArredondamento&lt;&gt;"TransfereGOV",
ROUND(OFFSET($P573,0,AR$13),15-13*ORÇAMENTO!$AF$7)/$H573*OFFSET(ORÇAMENTO!$X$15,ROW(AR573)-ROW(AR$15),0),
ROUND(ROUND(OFFSET($P573,0,AR$13),15-13*ORÇAMENTO!$AF$7)*OFFSET(ORÇAMENTO!$W$15,ROW(AR573)-ROW(AR$15),0),15-13*ORÇAMENTO!$AF$11)),0)</f>
        <v>0</v>
      </c>
      <c r="AS573" s="546">
        <f ca="1">IF(AND($D573="Serviço",AS$12&lt;&gt;0,$H573&gt;0,OR(AUTOEVENTO&lt;&gt;"manual",$M573&lt;&gt;1)),
IF(Import.TipoArredondamento&lt;&gt;"TransfereGOV",
ROUND(OFFSET($P573,0,AS$13),15-13*ORÇAMENTO!$AF$7)/$H573*OFFSET(ORÇAMENTO!$X$15,ROW(AS573)-ROW(AS$15),0),
ROUND(ROUND(OFFSET($P573,0,AS$13),15-13*ORÇAMENTO!$AF$7)*OFFSET(ORÇAMENTO!$W$15,ROW(AS573)-ROW(AS$15),0),15-13*ORÇAMENTO!$AF$11)),0)</f>
        <v>0</v>
      </c>
      <c r="AT573" s="545">
        <f ca="1">IF(AND($D573="Serviço",AT$12&lt;&gt;0,$H573&gt;0,OR(AUTOEVENTO&lt;&gt;"manual",$M573&lt;&gt;1)),
IF(Import.TipoArredondamento&lt;&gt;"TransfereGOV",
ROUND(OFFSET($P573,0,AT$13),15-13*ORÇAMENTO!$AF$7)/$H573*OFFSET(ORÇAMENTO!$X$15,ROW(AT573)-ROW(AT$15),0),
ROUND(ROUND(OFFSET($P573,0,AT$13),15-13*ORÇAMENTO!$AF$7)*OFFSET(ORÇAMENTO!$W$15,ROW(AT573)-ROW(AT$15),0),15-13*ORÇAMENTO!$AF$11)),0)</f>
        <v>0</v>
      </c>
      <c r="AU573" s="545">
        <f ca="1">IF(AND($D573="Serviço",AU$12&lt;&gt;0,$H573&gt;0,OR(AUTOEVENTO&lt;&gt;"manual",$M573&lt;&gt;1)),
IF(Import.TipoArredondamento&lt;&gt;"TransfereGOV",
ROUND(OFFSET($P573,0,AU$13),15-13*ORÇAMENTO!$AF$7)/$H573*OFFSET(ORÇAMENTO!$X$15,ROW(AU573)-ROW(AU$15),0),
ROUND(ROUND(OFFSET($P573,0,AU$13),15-13*ORÇAMENTO!$AF$7)*OFFSET(ORÇAMENTO!$W$15,ROW(AU573)-ROW(AU$15),0),15-13*ORÇAMENTO!$AF$11)),0)</f>
        <v>0</v>
      </c>
      <c r="AV573" s="545">
        <f ca="1">IF(AND($D573="Serviço",AV$12&lt;&gt;0,$H573&gt;0,OR(AUTOEVENTO&lt;&gt;"manual",$M573&lt;&gt;1)),
IF(Import.TipoArredondamento&lt;&gt;"TransfereGOV",
ROUND(OFFSET($P573,0,AV$13),15-13*ORÇAMENTO!$AF$7)/$H573*OFFSET(ORÇAMENTO!$X$15,ROW(AV573)-ROW(AV$15),0),
ROUND(ROUND(OFFSET($P573,0,AV$13),15-13*ORÇAMENTO!$AF$7)*OFFSET(ORÇAMENTO!$W$15,ROW(AV573)-ROW(AV$15),0),15-13*ORÇAMENTO!$AF$11)),0)</f>
        <v>0</v>
      </c>
      <c r="AW573" s="545">
        <f ca="1">IF(AND($D573="Serviço",AW$12&lt;&gt;0,$H573&gt;0,OR(AUTOEVENTO&lt;&gt;"manual",$M573&lt;&gt;1)),
IF(Import.TipoArredondamento&lt;&gt;"TransfereGOV",
ROUND(OFFSET($P573,0,AW$13),15-13*ORÇAMENTO!$AF$7)/$H573*OFFSET(ORÇAMENTO!$X$15,ROW(AW573)-ROW(AW$15),0),
ROUND(ROUND(OFFSET($P573,0,AW$13),15-13*ORÇAMENTO!$AF$7)*OFFSET(ORÇAMENTO!$W$15,ROW(AW573)-ROW(AW$15),0),15-13*ORÇAMENTO!$AF$11)),0)</f>
        <v>0</v>
      </c>
      <c r="AX573" s="545">
        <f ca="1">IF(AND($D573="Serviço",AX$12&lt;&gt;0,$H573&gt;0,OR(AUTOEVENTO&lt;&gt;"manual",$M573&lt;&gt;1)),
IF(Import.TipoArredondamento&lt;&gt;"TransfereGOV",
ROUND(OFFSET($P573,0,AX$13),15-13*ORÇAMENTO!$AF$7)/$H573*OFFSET(ORÇAMENTO!$X$15,ROW(AX573)-ROW(AX$15),0),
ROUND(ROUND(OFFSET($P573,0,AX$13),15-13*ORÇAMENTO!$AF$7)*OFFSET(ORÇAMENTO!$W$15,ROW(AX573)-ROW(AX$15),0),15-13*ORÇAMENTO!$AF$11)),0)</f>
        <v>0</v>
      </c>
      <c r="AY573" s="545">
        <f ca="1">IF(AND($D573="Serviço",AY$12&lt;&gt;0,$H573&gt;0,OR(AUTOEVENTO&lt;&gt;"manual",$M573&lt;&gt;1)),
IF(Import.TipoArredondamento&lt;&gt;"TransfereGOV",
ROUND(OFFSET($P573,0,AY$13),15-13*ORÇAMENTO!$AF$7)/$H573*OFFSET(ORÇAMENTO!$X$15,ROW(AY573)-ROW(AY$15),0),
ROUND(ROUND(OFFSET($P573,0,AY$13),15-13*ORÇAMENTO!$AF$7)*OFFSET(ORÇAMENTO!$W$15,ROW(AY573)-ROW(AY$15),0),15-13*ORÇAMENTO!$AF$11)),0)</f>
        <v>0</v>
      </c>
      <c r="AZ573" s="545">
        <f ca="1">IF(AND($D573="Serviço",AZ$12&lt;&gt;0,$H573&gt;0,OR(AUTOEVENTO&lt;&gt;"manual",$M573&lt;&gt;1)),
IF(Import.TipoArredondamento&lt;&gt;"TransfereGOV",
ROUND(OFFSET($P573,0,AZ$13),15-13*ORÇAMENTO!$AF$7)/$H573*OFFSET(ORÇAMENTO!$X$15,ROW(AZ573)-ROW(AZ$15),0),
ROUND(ROUND(OFFSET($P573,0,AZ$13),15-13*ORÇAMENTO!$AF$7)*OFFSET(ORÇAMENTO!$W$15,ROW(AZ573)-ROW(AZ$15),0),15-13*ORÇAMENTO!$AF$11)),0)</f>
        <v>0</v>
      </c>
      <c r="BA573" s="546">
        <f ca="1">IF(AND($D573="Serviço",BA$12&lt;&gt;0,$H573&gt;0,OR(AUTOEVENTO&lt;&gt;"manual",$M573&lt;&gt;1)),
IF(Import.TipoArredondamento&lt;&gt;"TransfereGOV",
ROUND(OFFSET($P573,0,BA$13),15-13*ORÇAMENTO!$AF$7)/$H573*OFFSET(ORÇAMENTO!$X$15,ROW(BA573)-ROW(BA$15),0),
ROUND(ROUND(OFFSET($P573,0,BA$13),15-13*ORÇAMENTO!$AF$7)*OFFSET(ORÇAMENTO!$W$15,ROW(BA573)-ROW(BA$15),0),15-13*ORÇAMENTO!$AF$11)),0)</f>
        <v>0</v>
      </c>
      <c r="BC573" s="181">
        <f ca="1">IF($D573&lt;&gt;"Serviço",0,IF(AND(AUTOEVENTO="Manual",$M573=1),0,IF(OFFSET(CRONOPLE!$F$14,$M573,BC$13)="",10^12,OFFSET(CRONOPLE!$F$14,$M573,BC$13))))</f>
        <v>10</v>
      </c>
      <c r="BD573" s="181">
        <f ca="1">IF($D573&lt;&gt;"Serviço",0,IF(AND(AUTOEVENTO="Manual",$M573=1),0,IF(OFFSET(CRONOPLE!$F$14,$M573,BD$13)="",10^12,OFFSET(CRONOPLE!$F$14,$M573,BD$13))))</f>
        <v>1000000000000</v>
      </c>
      <c r="BE573" s="181">
        <f ca="1">IF($D573&lt;&gt;"Serviço",0,IF(AND(AUTOEVENTO="Manual",$M573=1),0,IF(OFFSET(CRONOPLE!$F$14,$M573,BE$13)="",10^12,OFFSET(CRONOPLE!$F$14,$M573,BE$13))))</f>
        <v>1000000000000</v>
      </c>
      <c r="BF573" s="181">
        <f ca="1">IF($D573&lt;&gt;"Serviço",0,IF(AND(AUTOEVENTO="Manual",$M573=1),0,IF(OFFSET(CRONOPLE!$F$14,$M573,BF$13)="",10^12,OFFSET(CRONOPLE!$F$14,$M573,BF$13))))</f>
        <v>1000000000000</v>
      </c>
      <c r="BG573" s="181">
        <f ca="1">IF($D573&lt;&gt;"Serviço",0,IF(AND(AUTOEVENTO="Manual",$M573=1),0,IF(OFFSET(CRONOPLE!$F$14,$M573,BG$13)="",10^12,OFFSET(CRONOPLE!$F$14,$M573,BG$13))))</f>
        <v>1000000000000</v>
      </c>
      <c r="BH573" s="181">
        <f ca="1">IF($D573&lt;&gt;"Serviço",0,IF(AND(AUTOEVENTO="Manual",$M573=1),0,IF(OFFSET(CRONOPLE!$F$14,$M573,BH$13)="",10^12,OFFSET(CRONOPLE!$F$14,$M573,BH$13))))</f>
        <v>1000000000000</v>
      </c>
      <c r="BI573" s="181">
        <f ca="1">IF($D573&lt;&gt;"Serviço",0,IF(AND(AUTOEVENTO="Manual",$M573=1),0,IF(OFFSET(CRONOPLE!$F$14,$M573,BI$13)="",10^12,OFFSET(CRONOPLE!$F$14,$M573,BI$13))))</f>
        <v>1000000000000</v>
      </c>
      <c r="BJ573" s="181">
        <f ca="1">IF($D573&lt;&gt;"Serviço",0,IF(AND(AUTOEVENTO="Manual",$M573=1),0,IF(OFFSET(CRONOPLE!$F$14,$M573,BJ$13)="",10^12,OFFSET(CRONOPLE!$F$14,$M573,BJ$13))))</f>
        <v>1000000000000</v>
      </c>
      <c r="BK573" s="181">
        <f ca="1">IF($D573&lt;&gt;"Serviço",0,IF(AND(AUTOEVENTO="Manual",$M573=1),0,IF(OFFSET(CRONOPLE!$F$14,$M573,BK$13)="",10^12,OFFSET(CRONOPLE!$F$14,$M573,BK$13))))</f>
        <v>1000000000000</v>
      </c>
      <c r="BL573" s="181">
        <f ca="1">IF($D573&lt;&gt;"Serviço",0,IF(AND(AUTOEVENTO="Manual",$M573=1),0,IF(OFFSET(CRONOPLE!$F$14,$M573,BL$13)="",10^12,OFFSET(CRONOPLE!$F$14,$M573,BL$13))))</f>
        <v>1000000000000</v>
      </c>
      <c r="BM573" s="181">
        <f ca="1">IF($D573&lt;&gt;"Serviço",0,IF(AND(AUTOEVENTO="Manual",$M573=1),0,IF(OFFSET(CRONOPLE!$F$14,$M573,BM$13)="",10^12,OFFSET(CRONOPLE!$F$14,$M573,BM$13))))</f>
        <v>1000000000000</v>
      </c>
      <c r="BN573" s="181">
        <f ca="1">IF($D573&lt;&gt;"Serviço",0,IF(AND(AUTOEVENTO="Manual",$M573=1),0,IF(OFFSET(CRONOPLE!$F$14,$M573,BN$13)="",10^12,OFFSET(CRONOPLE!$F$14,$M573,BN$13))))</f>
        <v>1000000000000</v>
      </c>
      <c r="BO573" s="181">
        <f ca="1">IF($D573&lt;&gt;"Serviço",0,IF(AND(AUTOEVENTO="Manual",$M573=1),0,IF(OFFSET(CRONOPLE!$F$14,$M573,BO$13)="",10^12,OFFSET(CRONOPLE!$F$14,$M573,BO$13))))</f>
        <v>1000000000000</v>
      </c>
      <c r="BP573" s="181">
        <f ca="1">IF($D573&lt;&gt;"Serviço",0,IF(AND(AUTOEVENTO="Manual",$M573=1),0,IF(OFFSET(CRONOPLE!$F$14,$M573,BP$13)="",10^12,OFFSET(CRONOPLE!$F$14,$M573,BP$13))))</f>
        <v>1000000000000</v>
      </c>
      <c r="BQ573" s="181">
        <f ca="1">IF($D573&lt;&gt;"Serviço",0,IF(AND(AUTOEVENTO="Manual",$M573=1),0,IF(OFFSET(CRONOPLE!$F$14,$M573,BQ$13)="",10^12,OFFSET(CRONOPLE!$F$14,$M573,BQ$13))))</f>
        <v>1000000000000</v>
      </c>
      <c r="BR573" s="181">
        <f ca="1">IF($D573&lt;&gt;"Serviço",0,IF(AND(AUTOEVENTO="Manual",$M573=1),0,IF(OFFSET(CRONOPLE!$F$14,$M573,BR$13)="",10^12,OFFSET(CRONOPLE!$F$14,$M573,BR$13))))</f>
        <v>1000000000000</v>
      </c>
      <c r="BS573" s="181">
        <f ca="1">IF($D573&lt;&gt;"Serviço",0,IF(AND(AUTOEVENTO="Manual",$M573=1),0,IF(OFFSET(CRONOPLE!$F$14,$M573,BS$13)="",10^12,OFFSET(CRONOPLE!$F$14,$M573,BS$13))))</f>
        <v>1000000000000</v>
      </c>
      <c r="BT573" s="181">
        <f ca="1">IF($D573&lt;&gt;"Serviço",0,IF(AND(AUTOEVENTO="Manual",$M573=1),0,IF(OFFSET(CRONOPLE!$F$14,$M573,BT$13)="",10^12,OFFSET(CRONOPLE!$F$14,$M573,BT$13))))</f>
        <v>1000000000000</v>
      </c>
      <c r="BV573" s="182">
        <f ca="1">IF($D573&lt;&gt;"Serviço",0,IF(OR(AND(AUTOEVENTO="Manual",$M573=1),$M573&gt;(ROW(PLE.lastrow)-ROW(PLE.firstrow))),0,IF(OFFSET(PLE!$G$14,$M573,BV$13)="",10^12,OFFSET(PLE!$G$14,$M573,BV$13))))</f>
        <v>1000000000000</v>
      </c>
      <c r="BW573" s="182">
        <f ca="1">IF($D573&lt;&gt;"Serviço",0,IF(OR(AND(AUTOEVENTO="Manual",$M573=1),$M573&gt;(ROW(PLE.lastrow)-ROW(PLE.firstrow))),0,IF(OFFSET(PLE!$G$14,$M573,BW$13)="",10^12,OFFSET(PLE!$G$14,$M573,BW$13))))</f>
        <v>1000000000000</v>
      </c>
      <c r="BX573" s="182">
        <f ca="1">IF($D573&lt;&gt;"Serviço",0,IF(OR(AND(AUTOEVENTO="Manual",$M573=1),$M573&gt;(ROW(PLE.lastrow)-ROW(PLE.firstrow))),0,IF(OFFSET(PLE!$G$14,$M573,BX$13)="",10^12,OFFSET(PLE!$G$14,$M573,BX$13))))</f>
        <v>1000000000000</v>
      </c>
      <c r="BY573" s="182">
        <f ca="1">IF($D573&lt;&gt;"Serviço",0,IF(OR(AND(AUTOEVENTO="Manual",$M573=1),$M573&gt;(ROW(PLE.lastrow)-ROW(PLE.firstrow))),0,IF(OFFSET(PLE!$G$14,$M573,BY$13)="",10^12,OFFSET(PLE!$G$14,$M573,BY$13))))</f>
        <v>1000000000000</v>
      </c>
      <c r="BZ573" s="182">
        <f ca="1">IF($D573&lt;&gt;"Serviço",0,IF(OR(AND(AUTOEVENTO="Manual",$M573=1),$M573&gt;(ROW(PLE.lastrow)-ROW(PLE.firstrow))),0,IF(OFFSET(PLE!$G$14,$M573,BZ$13)="",10^12,OFFSET(PLE!$G$14,$M573,BZ$13))))</f>
        <v>1000000000000</v>
      </c>
      <c r="CA573" s="182">
        <f ca="1">IF($D573&lt;&gt;"Serviço",0,IF(OR(AND(AUTOEVENTO="Manual",$M573=1),$M573&gt;(ROW(PLE.lastrow)-ROW(PLE.firstrow))),0,IF(OFFSET(PLE!$G$14,$M573,CA$13)="",10^12,OFFSET(PLE!$G$14,$M573,CA$13))))</f>
        <v>1000000000000</v>
      </c>
      <c r="CB573" s="182">
        <f ca="1">IF($D573&lt;&gt;"Serviço",0,IF(OR(AND(AUTOEVENTO="Manual",$M573=1),$M573&gt;(ROW(PLE.lastrow)-ROW(PLE.firstrow))),0,IF(OFFSET(PLE!$G$14,$M573,CB$13)="",10^12,OFFSET(PLE!$G$14,$M573,CB$13))))</f>
        <v>1000000000000</v>
      </c>
      <c r="CC573" s="182">
        <f ca="1">IF($D573&lt;&gt;"Serviço",0,IF(OR(AND(AUTOEVENTO="Manual",$M573=1),$M573&gt;(ROW(PLE.lastrow)-ROW(PLE.firstrow))),0,IF(OFFSET(PLE!$G$14,$M573,CC$13)="",10^12,OFFSET(PLE!$G$14,$M573,CC$13))))</f>
        <v>1000000000000</v>
      </c>
      <c r="CD573" s="182">
        <f ca="1">IF($D573&lt;&gt;"Serviço",0,IF(OR(AND(AUTOEVENTO="Manual",$M573=1),$M573&gt;(ROW(PLE.lastrow)-ROW(PLE.firstrow))),0,IF(OFFSET(PLE!$G$14,$M573,CD$13)="",10^12,OFFSET(PLE!$G$14,$M573,CD$13))))</f>
        <v>1000000000000</v>
      </c>
      <c r="CE573" s="182">
        <f ca="1">IF($D573&lt;&gt;"Serviço",0,IF(OR(AND(AUTOEVENTO="Manual",$M573=1),$M573&gt;(ROW(PLE.lastrow)-ROW(PLE.firstrow))),0,IF(OFFSET(PLE!$G$14,$M573,CE$13)="",10^12,OFFSET(PLE!$G$14,$M573,CE$13))))</f>
        <v>1000000000000</v>
      </c>
      <c r="CF573" s="182">
        <f ca="1">IF($D573&lt;&gt;"Serviço",0,IF(OR(AND(AUTOEVENTO="Manual",$M573=1),$M573&gt;(ROW(PLE.lastrow)-ROW(PLE.firstrow))),0,IF(OFFSET(PLE!$G$14,$M573,CF$13)="",10^12,OFFSET(PLE!$G$14,$M573,CF$13))))</f>
        <v>1000000000000</v>
      </c>
      <c r="CG573" s="182">
        <f ca="1">IF($D573&lt;&gt;"Serviço",0,IF(OR(AND(AUTOEVENTO="Manual",$M573=1),$M573&gt;(ROW(PLE.lastrow)-ROW(PLE.firstrow))),0,IF(OFFSET(PLE!$G$14,$M573,CG$13)="",10^12,OFFSET(PLE!$G$14,$M573,CG$13))))</f>
        <v>1000000000000</v>
      </c>
      <c r="CH573" s="182">
        <f ca="1">IF($D573&lt;&gt;"Serviço",0,IF(OR(AND(AUTOEVENTO="Manual",$M573=1),$M573&gt;(ROW(PLE.lastrow)-ROW(PLE.firstrow))),0,IF(OFFSET(PLE!$G$14,$M573,CH$13)="",10^12,OFFSET(PLE!$G$14,$M573,CH$13))))</f>
        <v>1000000000000</v>
      </c>
      <c r="CI573" s="182">
        <f ca="1">IF($D573&lt;&gt;"Serviço",0,IF(OR(AND(AUTOEVENTO="Manual",$M573=1),$M573&gt;(ROW(PLE.lastrow)-ROW(PLE.firstrow))),0,IF(OFFSET(PLE!$G$14,$M573,CI$13)="",10^12,OFFSET(PLE!$G$14,$M573,CI$13))))</f>
        <v>1000000000000</v>
      </c>
      <c r="CJ573" s="182">
        <f ca="1">IF($D573&lt;&gt;"Serviço",0,IF(OR(AND(AUTOEVENTO="Manual",$M573=1),$M573&gt;(ROW(PLE.lastrow)-ROW(PLE.firstrow))),0,IF(OFFSET(PLE!$G$14,$M573,CJ$13)="",10^12,OFFSET(PLE!$G$14,$M573,CJ$13))))</f>
        <v>1000000000000</v>
      </c>
      <c r="CK573" s="182">
        <f ca="1">IF($D573&lt;&gt;"Serviço",0,IF(OR(AND(AUTOEVENTO="Manual",$M573=1),$M573&gt;(ROW(PLE.lastrow)-ROW(PLE.firstrow))),0,IF(OFFSET(PLE!$G$14,$M573,CK$13)="",10^12,OFFSET(PLE!$G$14,$M573,CK$13))))</f>
        <v>1000000000000</v>
      </c>
      <c r="CL573" s="182">
        <f ca="1">IF($D573&lt;&gt;"Serviço",0,IF(OR(AND(AUTOEVENTO="Manual",$M573=1),$M573&gt;(ROW(PLE.lastrow)-ROW(PLE.firstrow))),0,IF(OFFSET(PLE!$G$14,$M573,CL$13)="",10^12,OFFSET(PLE!$G$14,$M573,CL$13))))</f>
        <v>1000000000000</v>
      </c>
      <c r="CM573" s="182">
        <f ca="1">IF($D573&lt;&gt;"Serviço",0,IF(OR(AND(AUTOEVENTO="Manual",$M573=1),$M573&gt;(ROW(PLE.lastrow)-ROW(PLE.firstrow))),0,IF(OFFSET(PLE!$G$14,$M573,CM$13)="",10^12,OFFSET(PLE!$G$14,$M573,CM$13))))</f>
        <v>1000000000000</v>
      </c>
    </row>
    <row r="574" spans="1:91" ht="25.5" x14ac:dyDescent="0.2">
      <c r="A574" s="7" t="str">
        <f t="shared" ca="1" si="17"/>
        <v>552</v>
      </c>
      <c r="B574" s="7" t="str">
        <f ca="1">OFFSET(ORÇAMENTO!C$15,ROW(B574)-ROW(B$15),0)</f>
        <v>S</v>
      </c>
      <c r="C574" s="7" t="str">
        <f ca="1">OFFSET(ORÇAMENTO!L$15,ROW(C574)-ROW(C$15),0)</f>
        <v/>
      </c>
      <c r="D574" s="118" t="str">
        <f ca="1">OFFSET(ORÇAMENTO!N$15,ROW(D574)-ROW(D$15),0)</f>
        <v>Serviço</v>
      </c>
      <c r="E574" s="119" t="str">
        <f ca="1">OFFSET(ORÇAMENTO!O$15,ROW(E574)-ROW(E$15),0)</f>
        <v>-</v>
      </c>
      <c r="F574" s="172" t="str">
        <f ca="1">OFFSET(ORÇAMENTO!R$15,ROW(F574)-ROW(F$15),0)</f>
        <v>(abra o arquivo 'Referência 06-2024.xlsm)</v>
      </c>
      <c r="G574" s="173" t="str">
        <f ca="1">IF($D574&lt;&gt;"Serviço","",OFFSET(ORÇAMENTO!S$15,ROW(G574)-ROW(G$15),0))</f>
        <v>-</v>
      </c>
      <c r="H574" s="124">
        <f ca="1">IF($D574&lt;&gt;"Serviço",0,IF(ACOMPANHAMENTO="BM",ROUND(OFFSET(ORÇAMENTO!AJ$15,ROW(H574)-ROW(H$15),0),15-13*ORÇAMENTO!$AF$7),SUMPRODUCT(($Q$12:$AI$12&lt;&gt;"")*ROUND($Q574:$AI574,15-13*ORÇAMENTO!$AF$7))))</f>
        <v>1</v>
      </c>
      <c r="I574" s="561" t="s">
        <v>1107</v>
      </c>
      <c r="K574" s="174"/>
      <c r="L574" s="175" t="s">
        <v>255</v>
      </c>
      <c r="M574" s="176">
        <f ca="1">IF($D574&lt;&gt;"Serviço","",IF(AUTOEVENTO="manual",$A574,IF(ISERROR(MATCH($A574,$A$15:OFFSET($A574,-1,0),0)),MAX($M$15:OFFSET(M574,-1,0))+1,INDEX($M$15:OFFSET(M574,-1,0),MATCH($A574,$A$15:OFFSET($A574,-1,0),0)))))</f>
        <v>58</v>
      </c>
      <c r="N574" s="177" t="str">
        <f ca="1">IF($D574&lt;&gt;"Serviço","",IF(AUTOEVENTO="Manual",IF($A574=0,"&lt;-- defina o número do agrupador",OFFSET(EVENTOS!$D$14,$A574,0)),OFFSET($F$15,$A574,0)))</f>
        <v>INSTALAÇÃO ELÉTRICA 110V - ELETROCALHAS</v>
      </c>
      <c r="O574" s="178"/>
      <c r="Q574" s="178">
        <v>1</v>
      </c>
      <c r="R574" s="179"/>
      <c r="S574" s="179"/>
      <c r="T574" s="179"/>
      <c r="U574" s="179"/>
      <c r="V574" s="179"/>
      <c r="W574" s="179"/>
      <c r="X574" s="179"/>
      <c r="Y574" s="179"/>
      <c r="Z574" s="180"/>
      <c r="AA574" s="179"/>
      <c r="AB574" s="179"/>
      <c r="AC574" s="179"/>
      <c r="AD574" s="179"/>
      <c r="AE574" s="179"/>
      <c r="AF574" s="179"/>
      <c r="AG574" s="179"/>
      <c r="AH574" s="180"/>
      <c r="AJ574" s="544">
        <f ca="1">IF(AND($D574="Serviço",AJ$12&lt;&gt;0,$H574&gt;0,OR(AUTOEVENTO&lt;&gt;"manual",$M574&lt;&gt;1)),
IF(Import.TipoArredondamento&lt;&gt;"TransfereGOV",
ROUND(OFFSET($P574,0,AJ$13),15-13*ORÇAMENTO!$AF$7)/$H574*OFFSET(ORÇAMENTO!$X$15,ROW(AJ574)-ROW(AJ$15),0),
ROUND(ROUND(OFFSET($P574,0,AJ$13),15-13*ORÇAMENTO!$AF$7)*OFFSET(ORÇAMENTO!$W$15,ROW(AJ574)-ROW(AJ$15),0),15-13*ORÇAMENTO!$AF$11)),0)</f>
        <v>0</v>
      </c>
      <c r="AK574" s="545">
        <f ca="1">IF(AND($D574="Serviço",AK$12&lt;&gt;0,$H574&gt;0,OR(AUTOEVENTO&lt;&gt;"manual",$M574&lt;&gt;1)),
IF(Import.TipoArredondamento&lt;&gt;"TransfereGOV",
ROUND(OFFSET($P574,0,AK$13),15-13*ORÇAMENTO!$AF$7)/$H574*OFFSET(ORÇAMENTO!$X$15,ROW(AK574)-ROW(AK$15),0),
ROUND(ROUND(OFFSET($P574,0,AK$13),15-13*ORÇAMENTO!$AF$7)*OFFSET(ORÇAMENTO!$W$15,ROW(AK574)-ROW(AK$15),0),15-13*ORÇAMENTO!$AF$11)),0)</f>
        <v>0</v>
      </c>
      <c r="AL574" s="545">
        <f ca="1">IF(AND($D574="Serviço",AL$12&lt;&gt;0,$H574&gt;0,OR(AUTOEVENTO&lt;&gt;"manual",$M574&lt;&gt;1)),
IF(Import.TipoArredondamento&lt;&gt;"TransfereGOV",
ROUND(OFFSET($P574,0,AL$13),15-13*ORÇAMENTO!$AF$7)/$H574*OFFSET(ORÇAMENTO!$X$15,ROW(AL574)-ROW(AL$15),0),
ROUND(ROUND(OFFSET($P574,0,AL$13),15-13*ORÇAMENTO!$AF$7)*OFFSET(ORÇAMENTO!$W$15,ROW(AL574)-ROW(AL$15),0),15-13*ORÇAMENTO!$AF$11)),0)</f>
        <v>0</v>
      </c>
      <c r="AM574" s="545">
        <f ca="1">IF(AND($D574="Serviço",AM$12&lt;&gt;0,$H574&gt;0,OR(AUTOEVENTO&lt;&gt;"manual",$M574&lt;&gt;1)),
IF(Import.TipoArredondamento&lt;&gt;"TransfereGOV",
ROUND(OFFSET($P574,0,AM$13),15-13*ORÇAMENTO!$AF$7)/$H574*OFFSET(ORÇAMENTO!$X$15,ROW(AM574)-ROW(AM$15),0),
ROUND(ROUND(OFFSET($P574,0,AM$13),15-13*ORÇAMENTO!$AF$7)*OFFSET(ORÇAMENTO!$W$15,ROW(AM574)-ROW(AM$15),0),15-13*ORÇAMENTO!$AF$11)),0)</f>
        <v>0</v>
      </c>
      <c r="AN574" s="545">
        <f ca="1">IF(AND($D574="Serviço",AN$12&lt;&gt;0,$H574&gt;0,OR(AUTOEVENTO&lt;&gt;"manual",$M574&lt;&gt;1)),
IF(Import.TipoArredondamento&lt;&gt;"TransfereGOV",
ROUND(OFFSET($P574,0,AN$13),15-13*ORÇAMENTO!$AF$7)/$H574*OFFSET(ORÇAMENTO!$X$15,ROW(AN574)-ROW(AN$15),0),
ROUND(ROUND(OFFSET($P574,0,AN$13),15-13*ORÇAMENTO!$AF$7)*OFFSET(ORÇAMENTO!$W$15,ROW(AN574)-ROW(AN$15),0),15-13*ORÇAMENTO!$AF$11)),0)</f>
        <v>0</v>
      </c>
      <c r="AO574" s="545">
        <f ca="1">IF(AND($D574="Serviço",AO$12&lt;&gt;0,$H574&gt;0,OR(AUTOEVENTO&lt;&gt;"manual",$M574&lt;&gt;1)),
IF(Import.TipoArredondamento&lt;&gt;"TransfereGOV",
ROUND(OFFSET($P574,0,AO$13),15-13*ORÇAMENTO!$AF$7)/$H574*OFFSET(ORÇAMENTO!$X$15,ROW(AO574)-ROW(AO$15),0),
ROUND(ROUND(OFFSET($P574,0,AO$13),15-13*ORÇAMENTO!$AF$7)*OFFSET(ORÇAMENTO!$W$15,ROW(AO574)-ROW(AO$15),0),15-13*ORÇAMENTO!$AF$11)),0)</f>
        <v>0</v>
      </c>
      <c r="AP574" s="545">
        <f ca="1">IF(AND($D574="Serviço",AP$12&lt;&gt;0,$H574&gt;0,OR(AUTOEVENTO&lt;&gt;"manual",$M574&lt;&gt;1)),
IF(Import.TipoArredondamento&lt;&gt;"TransfereGOV",
ROUND(OFFSET($P574,0,AP$13),15-13*ORÇAMENTO!$AF$7)/$H574*OFFSET(ORÇAMENTO!$X$15,ROW(AP574)-ROW(AP$15),0),
ROUND(ROUND(OFFSET($P574,0,AP$13),15-13*ORÇAMENTO!$AF$7)*OFFSET(ORÇAMENTO!$W$15,ROW(AP574)-ROW(AP$15),0),15-13*ORÇAMENTO!$AF$11)),0)</f>
        <v>0</v>
      </c>
      <c r="AQ574" s="545">
        <f ca="1">IF(AND($D574="Serviço",AQ$12&lt;&gt;0,$H574&gt;0,OR(AUTOEVENTO&lt;&gt;"manual",$M574&lt;&gt;1)),
IF(Import.TipoArredondamento&lt;&gt;"TransfereGOV",
ROUND(OFFSET($P574,0,AQ$13),15-13*ORÇAMENTO!$AF$7)/$H574*OFFSET(ORÇAMENTO!$X$15,ROW(AQ574)-ROW(AQ$15),0),
ROUND(ROUND(OFFSET($P574,0,AQ$13),15-13*ORÇAMENTO!$AF$7)*OFFSET(ORÇAMENTO!$W$15,ROW(AQ574)-ROW(AQ$15),0),15-13*ORÇAMENTO!$AF$11)),0)</f>
        <v>0</v>
      </c>
      <c r="AR574" s="545">
        <f ca="1">IF(AND($D574="Serviço",AR$12&lt;&gt;0,$H574&gt;0,OR(AUTOEVENTO&lt;&gt;"manual",$M574&lt;&gt;1)),
IF(Import.TipoArredondamento&lt;&gt;"TransfereGOV",
ROUND(OFFSET($P574,0,AR$13),15-13*ORÇAMENTO!$AF$7)/$H574*OFFSET(ORÇAMENTO!$X$15,ROW(AR574)-ROW(AR$15),0),
ROUND(ROUND(OFFSET($P574,0,AR$13),15-13*ORÇAMENTO!$AF$7)*OFFSET(ORÇAMENTO!$W$15,ROW(AR574)-ROW(AR$15),0),15-13*ORÇAMENTO!$AF$11)),0)</f>
        <v>0</v>
      </c>
      <c r="AS574" s="546">
        <f ca="1">IF(AND($D574="Serviço",AS$12&lt;&gt;0,$H574&gt;0,OR(AUTOEVENTO&lt;&gt;"manual",$M574&lt;&gt;1)),
IF(Import.TipoArredondamento&lt;&gt;"TransfereGOV",
ROUND(OFFSET($P574,0,AS$13),15-13*ORÇAMENTO!$AF$7)/$H574*OFFSET(ORÇAMENTO!$X$15,ROW(AS574)-ROW(AS$15),0),
ROUND(ROUND(OFFSET($P574,0,AS$13),15-13*ORÇAMENTO!$AF$7)*OFFSET(ORÇAMENTO!$W$15,ROW(AS574)-ROW(AS$15),0),15-13*ORÇAMENTO!$AF$11)),0)</f>
        <v>0</v>
      </c>
      <c r="AT574" s="545">
        <f ca="1">IF(AND($D574="Serviço",AT$12&lt;&gt;0,$H574&gt;0,OR(AUTOEVENTO&lt;&gt;"manual",$M574&lt;&gt;1)),
IF(Import.TipoArredondamento&lt;&gt;"TransfereGOV",
ROUND(OFFSET($P574,0,AT$13),15-13*ORÇAMENTO!$AF$7)/$H574*OFFSET(ORÇAMENTO!$X$15,ROW(AT574)-ROW(AT$15),0),
ROUND(ROUND(OFFSET($P574,0,AT$13),15-13*ORÇAMENTO!$AF$7)*OFFSET(ORÇAMENTO!$W$15,ROW(AT574)-ROW(AT$15),0),15-13*ORÇAMENTO!$AF$11)),0)</f>
        <v>0</v>
      </c>
      <c r="AU574" s="545">
        <f ca="1">IF(AND($D574="Serviço",AU$12&lt;&gt;0,$H574&gt;0,OR(AUTOEVENTO&lt;&gt;"manual",$M574&lt;&gt;1)),
IF(Import.TipoArredondamento&lt;&gt;"TransfereGOV",
ROUND(OFFSET($P574,0,AU$13),15-13*ORÇAMENTO!$AF$7)/$H574*OFFSET(ORÇAMENTO!$X$15,ROW(AU574)-ROW(AU$15),0),
ROUND(ROUND(OFFSET($P574,0,AU$13),15-13*ORÇAMENTO!$AF$7)*OFFSET(ORÇAMENTO!$W$15,ROW(AU574)-ROW(AU$15),0),15-13*ORÇAMENTO!$AF$11)),0)</f>
        <v>0</v>
      </c>
      <c r="AV574" s="545">
        <f ca="1">IF(AND($D574="Serviço",AV$12&lt;&gt;0,$H574&gt;0,OR(AUTOEVENTO&lt;&gt;"manual",$M574&lt;&gt;1)),
IF(Import.TipoArredondamento&lt;&gt;"TransfereGOV",
ROUND(OFFSET($P574,0,AV$13),15-13*ORÇAMENTO!$AF$7)/$H574*OFFSET(ORÇAMENTO!$X$15,ROW(AV574)-ROW(AV$15),0),
ROUND(ROUND(OFFSET($P574,0,AV$13),15-13*ORÇAMENTO!$AF$7)*OFFSET(ORÇAMENTO!$W$15,ROW(AV574)-ROW(AV$15),0),15-13*ORÇAMENTO!$AF$11)),0)</f>
        <v>0</v>
      </c>
      <c r="AW574" s="545">
        <f ca="1">IF(AND($D574="Serviço",AW$12&lt;&gt;0,$H574&gt;0,OR(AUTOEVENTO&lt;&gt;"manual",$M574&lt;&gt;1)),
IF(Import.TipoArredondamento&lt;&gt;"TransfereGOV",
ROUND(OFFSET($P574,0,AW$13),15-13*ORÇAMENTO!$AF$7)/$H574*OFFSET(ORÇAMENTO!$X$15,ROW(AW574)-ROW(AW$15),0),
ROUND(ROUND(OFFSET($P574,0,AW$13),15-13*ORÇAMENTO!$AF$7)*OFFSET(ORÇAMENTO!$W$15,ROW(AW574)-ROW(AW$15),0),15-13*ORÇAMENTO!$AF$11)),0)</f>
        <v>0</v>
      </c>
      <c r="AX574" s="545">
        <f ca="1">IF(AND($D574="Serviço",AX$12&lt;&gt;0,$H574&gt;0,OR(AUTOEVENTO&lt;&gt;"manual",$M574&lt;&gt;1)),
IF(Import.TipoArredondamento&lt;&gt;"TransfereGOV",
ROUND(OFFSET($P574,0,AX$13),15-13*ORÇAMENTO!$AF$7)/$H574*OFFSET(ORÇAMENTO!$X$15,ROW(AX574)-ROW(AX$15),0),
ROUND(ROUND(OFFSET($P574,0,AX$13),15-13*ORÇAMENTO!$AF$7)*OFFSET(ORÇAMENTO!$W$15,ROW(AX574)-ROW(AX$15),0),15-13*ORÇAMENTO!$AF$11)),0)</f>
        <v>0</v>
      </c>
      <c r="AY574" s="545">
        <f ca="1">IF(AND($D574="Serviço",AY$12&lt;&gt;0,$H574&gt;0,OR(AUTOEVENTO&lt;&gt;"manual",$M574&lt;&gt;1)),
IF(Import.TipoArredondamento&lt;&gt;"TransfereGOV",
ROUND(OFFSET($P574,0,AY$13),15-13*ORÇAMENTO!$AF$7)/$H574*OFFSET(ORÇAMENTO!$X$15,ROW(AY574)-ROW(AY$15),0),
ROUND(ROUND(OFFSET($P574,0,AY$13),15-13*ORÇAMENTO!$AF$7)*OFFSET(ORÇAMENTO!$W$15,ROW(AY574)-ROW(AY$15),0),15-13*ORÇAMENTO!$AF$11)),0)</f>
        <v>0</v>
      </c>
      <c r="AZ574" s="545">
        <f ca="1">IF(AND($D574="Serviço",AZ$12&lt;&gt;0,$H574&gt;0,OR(AUTOEVENTO&lt;&gt;"manual",$M574&lt;&gt;1)),
IF(Import.TipoArredondamento&lt;&gt;"TransfereGOV",
ROUND(OFFSET($P574,0,AZ$13),15-13*ORÇAMENTO!$AF$7)/$H574*OFFSET(ORÇAMENTO!$X$15,ROW(AZ574)-ROW(AZ$15),0),
ROUND(ROUND(OFFSET($P574,0,AZ$13),15-13*ORÇAMENTO!$AF$7)*OFFSET(ORÇAMENTO!$W$15,ROW(AZ574)-ROW(AZ$15),0),15-13*ORÇAMENTO!$AF$11)),0)</f>
        <v>0</v>
      </c>
      <c r="BA574" s="546">
        <f ca="1">IF(AND($D574="Serviço",BA$12&lt;&gt;0,$H574&gt;0,OR(AUTOEVENTO&lt;&gt;"manual",$M574&lt;&gt;1)),
IF(Import.TipoArredondamento&lt;&gt;"TransfereGOV",
ROUND(OFFSET($P574,0,BA$13),15-13*ORÇAMENTO!$AF$7)/$H574*OFFSET(ORÇAMENTO!$X$15,ROW(BA574)-ROW(BA$15),0),
ROUND(ROUND(OFFSET($P574,0,BA$13),15-13*ORÇAMENTO!$AF$7)*OFFSET(ORÇAMENTO!$W$15,ROW(BA574)-ROW(BA$15),0),15-13*ORÇAMENTO!$AF$11)),0)</f>
        <v>0</v>
      </c>
      <c r="BC574" s="181">
        <f ca="1">IF($D574&lt;&gt;"Serviço",0,IF(AND(AUTOEVENTO="Manual",$M574=1),0,IF(OFFSET(CRONOPLE!$F$14,$M574,BC$13)="",10^12,OFFSET(CRONOPLE!$F$14,$M574,BC$13))))</f>
        <v>10</v>
      </c>
      <c r="BD574" s="181">
        <f ca="1">IF($D574&lt;&gt;"Serviço",0,IF(AND(AUTOEVENTO="Manual",$M574=1),0,IF(OFFSET(CRONOPLE!$F$14,$M574,BD$13)="",10^12,OFFSET(CRONOPLE!$F$14,$M574,BD$13))))</f>
        <v>1000000000000</v>
      </c>
      <c r="BE574" s="181">
        <f ca="1">IF($D574&lt;&gt;"Serviço",0,IF(AND(AUTOEVENTO="Manual",$M574=1),0,IF(OFFSET(CRONOPLE!$F$14,$M574,BE$13)="",10^12,OFFSET(CRONOPLE!$F$14,$M574,BE$13))))</f>
        <v>1000000000000</v>
      </c>
      <c r="BF574" s="181">
        <f ca="1">IF($D574&lt;&gt;"Serviço",0,IF(AND(AUTOEVENTO="Manual",$M574=1),0,IF(OFFSET(CRONOPLE!$F$14,$M574,BF$13)="",10^12,OFFSET(CRONOPLE!$F$14,$M574,BF$13))))</f>
        <v>1000000000000</v>
      </c>
      <c r="BG574" s="181">
        <f ca="1">IF($D574&lt;&gt;"Serviço",0,IF(AND(AUTOEVENTO="Manual",$M574=1),0,IF(OFFSET(CRONOPLE!$F$14,$M574,BG$13)="",10^12,OFFSET(CRONOPLE!$F$14,$M574,BG$13))))</f>
        <v>1000000000000</v>
      </c>
      <c r="BH574" s="181">
        <f ca="1">IF($D574&lt;&gt;"Serviço",0,IF(AND(AUTOEVENTO="Manual",$M574=1),0,IF(OFFSET(CRONOPLE!$F$14,$M574,BH$13)="",10^12,OFFSET(CRONOPLE!$F$14,$M574,BH$13))))</f>
        <v>1000000000000</v>
      </c>
      <c r="BI574" s="181">
        <f ca="1">IF($D574&lt;&gt;"Serviço",0,IF(AND(AUTOEVENTO="Manual",$M574=1),0,IF(OFFSET(CRONOPLE!$F$14,$M574,BI$13)="",10^12,OFFSET(CRONOPLE!$F$14,$M574,BI$13))))</f>
        <v>1000000000000</v>
      </c>
      <c r="BJ574" s="181">
        <f ca="1">IF($D574&lt;&gt;"Serviço",0,IF(AND(AUTOEVENTO="Manual",$M574=1),0,IF(OFFSET(CRONOPLE!$F$14,$M574,BJ$13)="",10^12,OFFSET(CRONOPLE!$F$14,$M574,BJ$13))))</f>
        <v>1000000000000</v>
      </c>
      <c r="BK574" s="181">
        <f ca="1">IF($D574&lt;&gt;"Serviço",0,IF(AND(AUTOEVENTO="Manual",$M574=1),0,IF(OFFSET(CRONOPLE!$F$14,$M574,BK$13)="",10^12,OFFSET(CRONOPLE!$F$14,$M574,BK$13))))</f>
        <v>1000000000000</v>
      </c>
      <c r="BL574" s="181">
        <f ca="1">IF($D574&lt;&gt;"Serviço",0,IF(AND(AUTOEVENTO="Manual",$M574=1),0,IF(OFFSET(CRONOPLE!$F$14,$M574,BL$13)="",10^12,OFFSET(CRONOPLE!$F$14,$M574,BL$13))))</f>
        <v>1000000000000</v>
      </c>
      <c r="BM574" s="181">
        <f ca="1">IF($D574&lt;&gt;"Serviço",0,IF(AND(AUTOEVENTO="Manual",$M574=1),0,IF(OFFSET(CRONOPLE!$F$14,$M574,BM$13)="",10^12,OFFSET(CRONOPLE!$F$14,$M574,BM$13))))</f>
        <v>1000000000000</v>
      </c>
      <c r="BN574" s="181">
        <f ca="1">IF($D574&lt;&gt;"Serviço",0,IF(AND(AUTOEVENTO="Manual",$M574=1),0,IF(OFFSET(CRONOPLE!$F$14,$M574,BN$13)="",10^12,OFFSET(CRONOPLE!$F$14,$M574,BN$13))))</f>
        <v>1000000000000</v>
      </c>
      <c r="BO574" s="181">
        <f ca="1">IF($D574&lt;&gt;"Serviço",0,IF(AND(AUTOEVENTO="Manual",$M574=1),0,IF(OFFSET(CRONOPLE!$F$14,$M574,BO$13)="",10^12,OFFSET(CRONOPLE!$F$14,$M574,BO$13))))</f>
        <v>1000000000000</v>
      </c>
      <c r="BP574" s="181">
        <f ca="1">IF($D574&lt;&gt;"Serviço",0,IF(AND(AUTOEVENTO="Manual",$M574=1),0,IF(OFFSET(CRONOPLE!$F$14,$M574,BP$13)="",10^12,OFFSET(CRONOPLE!$F$14,$M574,BP$13))))</f>
        <v>1000000000000</v>
      </c>
      <c r="BQ574" s="181">
        <f ca="1">IF($D574&lt;&gt;"Serviço",0,IF(AND(AUTOEVENTO="Manual",$M574=1),0,IF(OFFSET(CRONOPLE!$F$14,$M574,BQ$13)="",10^12,OFFSET(CRONOPLE!$F$14,$M574,BQ$13))))</f>
        <v>1000000000000</v>
      </c>
      <c r="BR574" s="181">
        <f ca="1">IF($D574&lt;&gt;"Serviço",0,IF(AND(AUTOEVENTO="Manual",$M574=1),0,IF(OFFSET(CRONOPLE!$F$14,$M574,BR$13)="",10^12,OFFSET(CRONOPLE!$F$14,$M574,BR$13))))</f>
        <v>1000000000000</v>
      </c>
      <c r="BS574" s="181">
        <f ca="1">IF($D574&lt;&gt;"Serviço",0,IF(AND(AUTOEVENTO="Manual",$M574=1),0,IF(OFFSET(CRONOPLE!$F$14,$M574,BS$13)="",10^12,OFFSET(CRONOPLE!$F$14,$M574,BS$13))))</f>
        <v>1000000000000</v>
      </c>
      <c r="BT574" s="181">
        <f ca="1">IF($D574&lt;&gt;"Serviço",0,IF(AND(AUTOEVENTO="Manual",$M574=1),0,IF(OFFSET(CRONOPLE!$F$14,$M574,BT$13)="",10^12,OFFSET(CRONOPLE!$F$14,$M574,BT$13))))</f>
        <v>1000000000000</v>
      </c>
      <c r="BV574" s="182">
        <f ca="1">IF($D574&lt;&gt;"Serviço",0,IF(OR(AND(AUTOEVENTO="Manual",$M574=1),$M574&gt;(ROW(PLE.lastrow)-ROW(PLE.firstrow))),0,IF(OFFSET(PLE!$G$14,$M574,BV$13)="",10^12,OFFSET(PLE!$G$14,$M574,BV$13))))</f>
        <v>1000000000000</v>
      </c>
      <c r="BW574" s="182">
        <f ca="1">IF($D574&lt;&gt;"Serviço",0,IF(OR(AND(AUTOEVENTO="Manual",$M574=1),$M574&gt;(ROW(PLE.lastrow)-ROW(PLE.firstrow))),0,IF(OFFSET(PLE!$G$14,$M574,BW$13)="",10^12,OFFSET(PLE!$G$14,$M574,BW$13))))</f>
        <v>1000000000000</v>
      </c>
      <c r="BX574" s="182">
        <f ca="1">IF($D574&lt;&gt;"Serviço",0,IF(OR(AND(AUTOEVENTO="Manual",$M574=1),$M574&gt;(ROW(PLE.lastrow)-ROW(PLE.firstrow))),0,IF(OFFSET(PLE!$G$14,$M574,BX$13)="",10^12,OFFSET(PLE!$G$14,$M574,BX$13))))</f>
        <v>1000000000000</v>
      </c>
      <c r="BY574" s="182">
        <f ca="1">IF($D574&lt;&gt;"Serviço",0,IF(OR(AND(AUTOEVENTO="Manual",$M574=1),$M574&gt;(ROW(PLE.lastrow)-ROW(PLE.firstrow))),0,IF(OFFSET(PLE!$G$14,$M574,BY$13)="",10^12,OFFSET(PLE!$G$14,$M574,BY$13))))</f>
        <v>1000000000000</v>
      </c>
      <c r="BZ574" s="182">
        <f ca="1">IF($D574&lt;&gt;"Serviço",0,IF(OR(AND(AUTOEVENTO="Manual",$M574=1),$M574&gt;(ROW(PLE.lastrow)-ROW(PLE.firstrow))),0,IF(OFFSET(PLE!$G$14,$M574,BZ$13)="",10^12,OFFSET(PLE!$G$14,$M574,BZ$13))))</f>
        <v>1000000000000</v>
      </c>
      <c r="CA574" s="182">
        <f ca="1">IF($D574&lt;&gt;"Serviço",0,IF(OR(AND(AUTOEVENTO="Manual",$M574=1),$M574&gt;(ROW(PLE.lastrow)-ROW(PLE.firstrow))),0,IF(OFFSET(PLE!$G$14,$M574,CA$13)="",10^12,OFFSET(PLE!$G$14,$M574,CA$13))))</f>
        <v>1000000000000</v>
      </c>
      <c r="CB574" s="182">
        <f ca="1">IF($D574&lt;&gt;"Serviço",0,IF(OR(AND(AUTOEVENTO="Manual",$M574=1),$M574&gt;(ROW(PLE.lastrow)-ROW(PLE.firstrow))),0,IF(OFFSET(PLE!$G$14,$M574,CB$13)="",10^12,OFFSET(PLE!$G$14,$M574,CB$13))))</f>
        <v>1000000000000</v>
      </c>
      <c r="CC574" s="182">
        <f ca="1">IF($D574&lt;&gt;"Serviço",0,IF(OR(AND(AUTOEVENTO="Manual",$M574=1),$M574&gt;(ROW(PLE.lastrow)-ROW(PLE.firstrow))),0,IF(OFFSET(PLE!$G$14,$M574,CC$13)="",10^12,OFFSET(PLE!$G$14,$M574,CC$13))))</f>
        <v>1000000000000</v>
      </c>
      <c r="CD574" s="182">
        <f ca="1">IF($D574&lt;&gt;"Serviço",0,IF(OR(AND(AUTOEVENTO="Manual",$M574=1),$M574&gt;(ROW(PLE.lastrow)-ROW(PLE.firstrow))),0,IF(OFFSET(PLE!$G$14,$M574,CD$13)="",10^12,OFFSET(PLE!$G$14,$M574,CD$13))))</f>
        <v>1000000000000</v>
      </c>
      <c r="CE574" s="182">
        <f ca="1">IF($D574&lt;&gt;"Serviço",0,IF(OR(AND(AUTOEVENTO="Manual",$M574=1),$M574&gt;(ROW(PLE.lastrow)-ROW(PLE.firstrow))),0,IF(OFFSET(PLE!$G$14,$M574,CE$13)="",10^12,OFFSET(PLE!$G$14,$M574,CE$13))))</f>
        <v>1000000000000</v>
      </c>
      <c r="CF574" s="182">
        <f ca="1">IF($D574&lt;&gt;"Serviço",0,IF(OR(AND(AUTOEVENTO="Manual",$M574=1),$M574&gt;(ROW(PLE.lastrow)-ROW(PLE.firstrow))),0,IF(OFFSET(PLE!$G$14,$M574,CF$13)="",10^12,OFFSET(PLE!$G$14,$M574,CF$13))))</f>
        <v>1000000000000</v>
      </c>
      <c r="CG574" s="182">
        <f ca="1">IF($D574&lt;&gt;"Serviço",0,IF(OR(AND(AUTOEVENTO="Manual",$M574=1),$M574&gt;(ROW(PLE.lastrow)-ROW(PLE.firstrow))),0,IF(OFFSET(PLE!$G$14,$M574,CG$13)="",10^12,OFFSET(PLE!$G$14,$M574,CG$13))))</f>
        <v>1000000000000</v>
      </c>
      <c r="CH574" s="182">
        <f ca="1">IF($D574&lt;&gt;"Serviço",0,IF(OR(AND(AUTOEVENTO="Manual",$M574=1),$M574&gt;(ROW(PLE.lastrow)-ROW(PLE.firstrow))),0,IF(OFFSET(PLE!$G$14,$M574,CH$13)="",10^12,OFFSET(PLE!$G$14,$M574,CH$13))))</f>
        <v>1000000000000</v>
      </c>
      <c r="CI574" s="182">
        <f ca="1">IF($D574&lt;&gt;"Serviço",0,IF(OR(AND(AUTOEVENTO="Manual",$M574=1),$M574&gt;(ROW(PLE.lastrow)-ROW(PLE.firstrow))),0,IF(OFFSET(PLE!$G$14,$M574,CI$13)="",10^12,OFFSET(PLE!$G$14,$M574,CI$13))))</f>
        <v>1000000000000</v>
      </c>
      <c r="CJ574" s="182">
        <f ca="1">IF($D574&lt;&gt;"Serviço",0,IF(OR(AND(AUTOEVENTO="Manual",$M574=1),$M574&gt;(ROW(PLE.lastrow)-ROW(PLE.firstrow))),0,IF(OFFSET(PLE!$G$14,$M574,CJ$13)="",10^12,OFFSET(PLE!$G$14,$M574,CJ$13))))</f>
        <v>1000000000000</v>
      </c>
      <c r="CK574" s="182">
        <f ca="1">IF($D574&lt;&gt;"Serviço",0,IF(OR(AND(AUTOEVENTO="Manual",$M574=1),$M574&gt;(ROW(PLE.lastrow)-ROW(PLE.firstrow))),0,IF(OFFSET(PLE!$G$14,$M574,CK$13)="",10^12,OFFSET(PLE!$G$14,$M574,CK$13))))</f>
        <v>1000000000000</v>
      </c>
      <c r="CL574" s="182">
        <f ca="1">IF($D574&lt;&gt;"Serviço",0,IF(OR(AND(AUTOEVENTO="Manual",$M574=1),$M574&gt;(ROW(PLE.lastrow)-ROW(PLE.firstrow))),0,IF(OFFSET(PLE!$G$14,$M574,CL$13)="",10^12,OFFSET(PLE!$G$14,$M574,CL$13))))</f>
        <v>1000000000000</v>
      </c>
      <c r="CM574" s="182">
        <f ca="1">IF($D574&lt;&gt;"Serviço",0,IF(OR(AND(AUTOEVENTO="Manual",$M574=1),$M574&gt;(ROW(PLE.lastrow)-ROW(PLE.firstrow))),0,IF(OFFSET(PLE!$G$14,$M574,CM$13)="",10^12,OFFSET(PLE!$G$14,$M574,CM$13))))</f>
        <v>1000000000000</v>
      </c>
    </row>
    <row r="575" spans="1:91" ht="25.5" x14ac:dyDescent="0.2">
      <c r="A575" s="7" t="str">
        <f t="shared" ca="1" si="17"/>
        <v>552</v>
      </c>
      <c r="B575" s="7" t="str">
        <f ca="1">OFFSET(ORÇAMENTO!C$15,ROW(B575)-ROW(B$15),0)</f>
        <v>S</v>
      </c>
      <c r="C575" s="7" t="str">
        <f ca="1">OFFSET(ORÇAMENTO!L$15,ROW(C575)-ROW(C$15),0)</f>
        <v/>
      </c>
      <c r="D575" s="118" t="str">
        <f ca="1">OFFSET(ORÇAMENTO!N$15,ROW(D575)-ROW(D$15),0)</f>
        <v>Serviço</v>
      </c>
      <c r="E575" s="119" t="str">
        <f ca="1">OFFSET(ORÇAMENTO!O$15,ROW(E575)-ROW(E$15),0)</f>
        <v>-</v>
      </c>
      <c r="F575" s="172" t="str">
        <f ca="1">OFFSET(ORÇAMENTO!R$15,ROW(F575)-ROW(F$15),0)</f>
        <v>(abra o arquivo 'Referência 06-2024.xlsm)</v>
      </c>
      <c r="G575" s="173" t="str">
        <f ca="1">IF($D575&lt;&gt;"Serviço","",OFFSET(ORÇAMENTO!S$15,ROW(G575)-ROW(G$15),0))</f>
        <v>-</v>
      </c>
      <c r="H575" s="124">
        <f ca="1">IF($D575&lt;&gt;"Serviço",0,IF(ACOMPANHAMENTO="BM",ROUND(OFFSET(ORÇAMENTO!AJ$15,ROW(H575)-ROW(H$15),0),15-13*ORÇAMENTO!$AF$7),SUMPRODUCT(($Q$12:$AI$12&lt;&gt;"")*ROUND($Q575:$AI575,15-13*ORÇAMENTO!$AF$7))))</f>
        <v>7</v>
      </c>
      <c r="I575" s="561" t="s">
        <v>1107</v>
      </c>
      <c r="K575" s="174"/>
      <c r="L575" s="175" t="s">
        <v>255</v>
      </c>
      <c r="M575" s="176">
        <f ca="1">IF($D575&lt;&gt;"Serviço","",IF(AUTOEVENTO="manual",$A575,IF(ISERROR(MATCH($A575,$A$15:OFFSET($A575,-1,0),0)),MAX($M$15:OFFSET(M575,-1,0))+1,INDEX($M$15:OFFSET(M575,-1,0),MATCH($A575,$A$15:OFFSET($A575,-1,0),0)))))</f>
        <v>58</v>
      </c>
      <c r="N575" s="177" t="str">
        <f ca="1">IF($D575&lt;&gt;"Serviço","",IF(AUTOEVENTO="Manual",IF($A575=0,"&lt;-- defina o número do agrupador",OFFSET(EVENTOS!$D$14,$A575,0)),OFFSET($F$15,$A575,0)))</f>
        <v>INSTALAÇÃO ELÉTRICA 110V - ELETROCALHAS</v>
      </c>
      <c r="O575" s="178"/>
      <c r="Q575" s="178">
        <v>7</v>
      </c>
      <c r="R575" s="179"/>
      <c r="S575" s="179"/>
      <c r="T575" s="179"/>
      <c r="U575" s="179"/>
      <c r="V575" s="179"/>
      <c r="W575" s="179"/>
      <c r="X575" s="179"/>
      <c r="Y575" s="179"/>
      <c r="Z575" s="180"/>
      <c r="AA575" s="179"/>
      <c r="AB575" s="179"/>
      <c r="AC575" s="179"/>
      <c r="AD575" s="179"/>
      <c r="AE575" s="179"/>
      <c r="AF575" s="179"/>
      <c r="AG575" s="179"/>
      <c r="AH575" s="180"/>
      <c r="AJ575" s="544">
        <f ca="1">IF(AND($D575="Serviço",AJ$12&lt;&gt;0,$H575&gt;0,OR(AUTOEVENTO&lt;&gt;"manual",$M575&lt;&gt;1)),
IF(Import.TipoArredondamento&lt;&gt;"TransfereGOV",
ROUND(OFFSET($P575,0,AJ$13),15-13*ORÇAMENTO!$AF$7)/$H575*OFFSET(ORÇAMENTO!$X$15,ROW(AJ575)-ROW(AJ$15),0),
ROUND(ROUND(OFFSET($P575,0,AJ$13),15-13*ORÇAMENTO!$AF$7)*OFFSET(ORÇAMENTO!$W$15,ROW(AJ575)-ROW(AJ$15),0),15-13*ORÇAMENTO!$AF$11)),0)</f>
        <v>0</v>
      </c>
      <c r="AK575" s="545">
        <f ca="1">IF(AND($D575="Serviço",AK$12&lt;&gt;0,$H575&gt;0,OR(AUTOEVENTO&lt;&gt;"manual",$M575&lt;&gt;1)),
IF(Import.TipoArredondamento&lt;&gt;"TransfereGOV",
ROUND(OFFSET($P575,0,AK$13),15-13*ORÇAMENTO!$AF$7)/$H575*OFFSET(ORÇAMENTO!$X$15,ROW(AK575)-ROW(AK$15),0),
ROUND(ROUND(OFFSET($P575,0,AK$13),15-13*ORÇAMENTO!$AF$7)*OFFSET(ORÇAMENTO!$W$15,ROW(AK575)-ROW(AK$15),0),15-13*ORÇAMENTO!$AF$11)),0)</f>
        <v>0</v>
      </c>
      <c r="AL575" s="545">
        <f ca="1">IF(AND($D575="Serviço",AL$12&lt;&gt;0,$H575&gt;0,OR(AUTOEVENTO&lt;&gt;"manual",$M575&lt;&gt;1)),
IF(Import.TipoArredondamento&lt;&gt;"TransfereGOV",
ROUND(OFFSET($P575,0,AL$13),15-13*ORÇAMENTO!$AF$7)/$H575*OFFSET(ORÇAMENTO!$X$15,ROW(AL575)-ROW(AL$15),0),
ROUND(ROUND(OFFSET($P575,0,AL$13),15-13*ORÇAMENTO!$AF$7)*OFFSET(ORÇAMENTO!$W$15,ROW(AL575)-ROW(AL$15),0),15-13*ORÇAMENTO!$AF$11)),0)</f>
        <v>0</v>
      </c>
      <c r="AM575" s="545">
        <f ca="1">IF(AND($D575="Serviço",AM$12&lt;&gt;0,$H575&gt;0,OR(AUTOEVENTO&lt;&gt;"manual",$M575&lt;&gt;1)),
IF(Import.TipoArredondamento&lt;&gt;"TransfereGOV",
ROUND(OFFSET($P575,0,AM$13),15-13*ORÇAMENTO!$AF$7)/$H575*OFFSET(ORÇAMENTO!$X$15,ROW(AM575)-ROW(AM$15),0),
ROUND(ROUND(OFFSET($P575,0,AM$13),15-13*ORÇAMENTO!$AF$7)*OFFSET(ORÇAMENTO!$W$15,ROW(AM575)-ROW(AM$15),0),15-13*ORÇAMENTO!$AF$11)),0)</f>
        <v>0</v>
      </c>
      <c r="AN575" s="545">
        <f ca="1">IF(AND($D575="Serviço",AN$12&lt;&gt;0,$H575&gt;0,OR(AUTOEVENTO&lt;&gt;"manual",$M575&lt;&gt;1)),
IF(Import.TipoArredondamento&lt;&gt;"TransfereGOV",
ROUND(OFFSET($P575,0,AN$13),15-13*ORÇAMENTO!$AF$7)/$H575*OFFSET(ORÇAMENTO!$X$15,ROW(AN575)-ROW(AN$15),0),
ROUND(ROUND(OFFSET($P575,0,AN$13),15-13*ORÇAMENTO!$AF$7)*OFFSET(ORÇAMENTO!$W$15,ROW(AN575)-ROW(AN$15),0),15-13*ORÇAMENTO!$AF$11)),0)</f>
        <v>0</v>
      </c>
      <c r="AO575" s="545">
        <f ca="1">IF(AND($D575="Serviço",AO$12&lt;&gt;0,$H575&gt;0,OR(AUTOEVENTO&lt;&gt;"manual",$M575&lt;&gt;1)),
IF(Import.TipoArredondamento&lt;&gt;"TransfereGOV",
ROUND(OFFSET($P575,0,AO$13),15-13*ORÇAMENTO!$AF$7)/$H575*OFFSET(ORÇAMENTO!$X$15,ROW(AO575)-ROW(AO$15),0),
ROUND(ROUND(OFFSET($P575,0,AO$13),15-13*ORÇAMENTO!$AF$7)*OFFSET(ORÇAMENTO!$W$15,ROW(AO575)-ROW(AO$15),0),15-13*ORÇAMENTO!$AF$11)),0)</f>
        <v>0</v>
      </c>
      <c r="AP575" s="545">
        <f ca="1">IF(AND($D575="Serviço",AP$12&lt;&gt;0,$H575&gt;0,OR(AUTOEVENTO&lt;&gt;"manual",$M575&lt;&gt;1)),
IF(Import.TipoArredondamento&lt;&gt;"TransfereGOV",
ROUND(OFFSET($P575,0,AP$13),15-13*ORÇAMENTO!$AF$7)/$H575*OFFSET(ORÇAMENTO!$X$15,ROW(AP575)-ROW(AP$15),0),
ROUND(ROUND(OFFSET($P575,0,AP$13),15-13*ORÇAMENTO!$AF$7)*OFFSET(ORÇAMENTO!$W$15,ROW(AP575)-ROW(AP$15),0),15-13*ORÇAMENTO!$AF$11)),0)</f>
        <v>0</v>
      </c>
      <c r="AQ575" s="545">
        <f ca="1">IF(AND($D575="Serviço",AQ$12&lt;&gt;0,$H575&gt;0,OR(AUTOEVENTO&lt;&gt;"manual",$M575&lt;&gt;1)),
IF(Import.TipoArredondamento&lt;&gt;"TransfereGOV",
ROUND(OFFSET($P575,0,AQ$13),15-13*ORÇAMENTO!$AF$7)/$H575*OFFSET(ORÇAMENTO!$X$15,ROW(AQ575)-ROW(AQ$15),0),
ROUND(ROUND(OFFSET($P575,0,AQ$13),15-13*ORÇAMENTO!$AF$7)*OFFSET(ORÇAMENTO!$W$15,ROW(AQ575)-ROW(AQ$15),0),15-13*ORÇAMENTO!$AF$11)),0)</f>
        <v>0</v>
      </c>
      <c r="AR575" s="545">
        <f ca="1">IF(AND($D575="Serviço",AR$12&lt;&gt;0,$H575&gt;0,OR(AUTOEVENTO&lt;&gt;"manual",$M575&lt;&gt;1)),
IF(Import.TipoArredondamento&lt;&gt;"TransfereGOV",
ROUND(OFFSET($P575,0,AR$13),15-13*ORÇAMENTO!$AF$7)/$H575*OFFSET(ORÇAMENTO!$X$15,ROW(AR575)-ROW(AR$15),0),
ROUND(ROUND(OFFSET($P575,0,AR$13),15-13*ORÇAMENTO!$AF$7)*OFFSET(ORÇAMENTO!$W$15,ROW(AR575)-ROW(AR$15),0),15-13*ORÇAMENTO!$AF$11)),0)</f>
        <v>0</v>
      </c>
      <c r="AS575" s="546">
        <f ca="1">IF(AND($D575="Serviço",AS$12&lt;&gt;0,$H575&gt;0,OR(AUTOEVENTO&lt;&gt;"manual",$M575&lt;&gt;1)),
IF(Import.TipoArredondamento&lt;&gt;"TransfereGOV",
ROUND(OFFSET($P575,0,AS$13),15-13*ORÇAMENTO!$AF$7)/$H575*OFFSET(ORÇAMENTO!$X$15,ROW(AS575)-ROW(AS$15),0),
ROUND(ROUND(OFFSET($P575,0,AS$13),15-13*ORÇAMENTO!$AF$7)*OFFSET(ORÇAMENTO!$W$15,ROW(AS575)-ROW(AS$15),0),15-13*ORÇAMENTO!$AF$11)),0)</f>
        <v>0</v>
      </c>
      <c r="AT575" s="545">
        <f ca="1">IF(AND($D575="Serviço",AT$12&lt;&gt;0,$H575&gt;0,OR(AUTOEVENTO&lt;&gt;"manual",$M575&lt;&gt;1)),
IF(Import.TipoArredondamento&lt;&gt;"TransfereGOV",
ROUND(OFFSET($P575,0,AT$13),15-13*ORÇAMENTO!$AF$7)/$H575*OFFSET(ORÇAMENTO!$X$15,ROW(AT575)-ROW(AT$15),0),
ROUND(ROUND(OFFSET($P575,0,AT$13),15-13*ORÇAMENTO!$AF$7)*OFFSET(ORÇAMENTO!$W$15,ROW(AT575)-ROW(AT$15),0),15-13*ORÇAMENTO!$AF$11)),0)</f>
        <v>0</v>
      </c>
      <c r="AU575" s="545">
        <f ca="1">IF(AND($D575="Serviço",AU$12&lt;&gt;0,$H575&gt;0,OR(AUTOEVENTO&lt;&gt;"manual",$M575&lt;&gt;1)),
IF(Import.TipoArredondamento&lt;&gt;"TransfereGOV",
ROUND(OFFSET($P575,0,AU$13),15-13*ORÇAMENTO!$AF$7)/$H575*OFFSET(ORÇAMENTO!$X$15,ROW(AU575)-ROW(AU$15),0),
ROUND(ROUND(OFFSET($P575,0,AU$13),15-13*ORÇAMENTO!$AF$7)*OFFSET(ORÇAMENTO!$W$15,ROW(AU575)-ROW(AU$15),0),15-13*ORÇAMENTO!$AF$11)),0)</f>
        <v>0</v>
      </c>
      <c r="AV575" s="545">
        <f ca="1">IF(AND($D575="Serviço",AV$12&lt;&gt;0,$H575&gt;0,OR(AUTOEVENTO&lt;&gt;"manual",$M575&lt;&gt;1)),
IF(Import.TipoArredondamento&lt;&gt;"TransfereGOV",
ROUND(OFFSET($P575,0,AV$13),15-13*ORÇAMENTO!$AF$7)/$H575*OFFSET(ORÇAMENTO!$X$15,ROW(AV575)-ROW(AV$15),0),
ROUND(ROUND(OFFSET($P575,0,AV$13),15-13*ORÇAMENTO!$AF$7)*OFFSET(ORÇAMENTO!$W$15,ROW(AV575)-ROW(AV$15),0),15-13*ORÇAMENTO!$AF$11)),0)</f>
        <v>0</v>
      </c>
      <c r="AW575" s="545">
        <f ca="1">IF(AND($D575="Serviço",AW$12&lt;&gt;0,$H575&gt;0,OR(AUTOEVENTO&lt;&gt;"manual",$M575&lt;&gt;1)),
IF(Import.TipoArredondamento&lt;&gt;"TransfereGOV",
ROUND(OFFSET($P575,0,AW$13),15-13*ORÇAMENTO!$AF$7)/$H575*OFFSET(ORÇAMENTO!$X$15,ROW(AW575)-ROW(AW$15),0),
ROUND(ROUND(OFFSET($P575,0,AW$13),15-13*ORÇAMENTO!$AF$7)*OFFSET(ORÇAMENTO!$W$15,ROW(AW575)-ROW(AW$15),0),15-13*ORÇAMENTO!$AF$11)),0)</f>
        <v>0</v>
      </c>
      <c r="AX575" s="545">
        <f ca="1">IF(AND($D575="Serviço",AX$12&lt;&gt;0,$H575&gt;0,OR(AUTOEVENTO&lt;&gt;"manual",$M575&lt;&gt;1)),
IF(Import.TipoArredondamento&lt;&gt;"TransfereGOV",
ROUND(OFFSET($P575,0,AX$13),15-13*ORÇAMENTO!$AF$7)/$H575*OFFSET(ORÇAMENTO!$X$15,ROW(AX575)-ROW(AX$15),0),
ROUND(ROUND(OFFSET($P575,0,AX$13),15-13*ORÇAMENTO!$AF$7)*OFFSET(ORÇAMENTO!$W$15,ROW(AX575)-ROW(AX$15),0),15-13*ORÇAMENTO!$AF$11)),0)</f>
        <v>0</v>
      </c>
      <c r="AY575" s="545">
        <f ca="1">IF(AND($D575="Serviço",AY$12&lt;&gt;0,$H575&gt;0,OR(AUTOEVENTO&lt;&gt;"manual",$M575&lt;&gt;1)),
IF(Import.TipoArredondamento&lt;&gt;"TransfereGOV",
ROUND(OFFSET($P575,0,AY$13),15-13*ORÇAMENTO!$AF$7)/$H575*OFFSET(ORÇAMENTO!$X$15,ROW(AY575)-ROW(AY$15),0),
ROUND(ROUND(OFFSET($P575,0,AY$13),15-13*ORÇAMENTO!$AF$7)*OFFSET(ORÇAMENTO!$W$15,ROW(AY575)-ROW(AY$15),0),15-13*ORÇAMENTO!$AF$11)),0)</f>
        <v>0</v>
      </c>
      <c r="AZ575" s="545">
        <f ca="1">IF(AND($D575="Serviço",AZ$12&lt;&gt;0,$H575&gt;0,OR(AUTOEVENTO&lt;&gt;"manual",$M575&lt;&gt;1)),
IF(Import.TipoArredondamento&lt;&gt;"TransfereGOV",
ROUND(OFFSET($P575,0,AZ$13),15-13*ORÇAMENTO!$AF$7)/$H575*OFFSET(ORÇAMENTO!$X$15,ROW(AZ575)-ROW(AZ$15),0),
ROUND(ROUND(OFFSET($P575,0,AZ$13),15-13*ORÇAMENTO!$AF$7)*OFFSET(ORÇAMENTO!$W$15,ROW(AZ575)-ROW(AZ$15),0),15-13*ORÇAMENTO!$AF$11)),0)</f>
        <v>0</v>
      </c>
      <c r="BA575" s="546">
        <f ca="1">IF(AND($D575="Serviço",BA$12&lt;&gt;0,$H575&gt;0,OR(AUTOEVENTO&lt;&gt;"manual",$M575&lt;&gt;1)),
IF(Import.TipoArredondamento&lt;&gt;"TransfereGOV",
ROUND(OFFSET($P575,0,BA$13),15-13*ORÇAMENTO!$AF$7)/$H575*OFFSET(ORÇAMENTO!$X$15,ROW(BA575)-ROW(BA$15),0),
ROUND(ROUND(OFFSET($P575,0,BA$13),15-13*ORÇAMENTO!$AF$7)*OFFSET(ORÇAMENTO!$W$15,ROW(BA575)-ROW(BA$15),0),15-13*ORÇAMENTO!$AF$11)),0)</f>
        <v>0</v>
      </c>
      <c r="BC575" s="181">
        <f ca="1">IF($D575&lt;&gt;"Serviço",0,IF(AND(AUTOEVENTO="Manual",$M575=1),0,IF(OFFSET(CRONOPLE!$F$14,$M575,BC$13)="",10^12,OFFSET(CRONOPLE!$F$14,$M575,BC$13))))</f>
        <v>10</v>
      </c>
      <c r="BD575" s="181">
        <f ca="1">IF($D575&lt;&gt;"Serviço",0,IF(AND(AUTOEVENTO="Manual",$M575=1),0,IF(OFFSET(CRONOPLE!$F$14,$M575,BD$13)="",10^12,OFFSET(CRONOPLE!$F$14,$M575,BD$13))))</f>
        <v>1000000000000</v>
      </c>
      <c r="BE575" s="181">
        <f ca="1">IF($D575&lt;&gt;"Serviço",0,IF(AND(AUTOEVENTO="Manual",$M575=1),0,IF(OFFSET(CRONOPLE!$F$14,$M575,BE$13)="",10^12,OFFSET(CRONOPLE!$F$14,$M575,BE$13))))</f>
        <v>1000000000000</v>
      </c>
      <c r="BF575" s="181">
        <f ca="1">IF($D575&lt;&gt;"Serviço",0,IF(AND(AUTOEVENTO="Manual",$M575=1),0,IF(OFFSET(CRONOPLE!$F$14,$M575,BF$13)="",10^12,OFFSET(CRONOPLE!$F$14,$M575,BF$13))))</f>
        <v>1000000000000</v>
      </c>
      <c r="BG575" s="181">
        <f ca="1">IF($D575&lt;&gt;"Serviço",0,IF(AND(AUTOEVENTO="Manual",$M575=1),0,IF(OFFSET(CRONOPLE!$F$14,$M575,BG$13)="",10^12,OFFSET(CRONOPLE!$F$14,$M575,BG$13))))</f>
        <v>1000000000000</v>
      </c>
      <c r="BH575" s="181">
        <f ca="1">IF($D575&lt;&gt;"Serviço",0,IF(AND(AUTOEVENTO="Manual",$M575=1),0,IF(OFFSET(CRONOPLE!$F$14,$M575,BH$13)="",10^12,OFFSET(CRONOPLE!$F$14,$M575,BH$13))))</f>
        <v>1000000000000</v>
      </c>
      <c r="BI575" s="181">
        <f ca="1">IF($D575&lt;&gt;"Serviço",0,IF(AND(AUTOEVENTO="Manual",$M575=1),0,IF(OFFSET(CRONOPLE!$F$14,$M575,BI$13)="",10^12,OFFSET(CRONOPLE!$F$14,$M575,BI$13))))</f>
        <v>1000000000000</v>
      </c>
      <c r="BJ575" s="181">
        <f ca="1">IF($D575&lt;&gt;"Serviço",0,IF(AND(AUTOEVENTO="Manual",$M575=1),0,IF(OFFSET(CRONOPLE!$F$14,$M575,BJ$13)="",10^12,OFFSET(CRONOPLE!$F$14,$M575,BJ$13))))</f>
        <v>1000000000000</v>
      </c>
      <c r="BK575" s="181">
        <f ca="1">IF($D575&lt;&gt;"Serviço",0,IF(AND(AUTOEVENTO="Manual",$M575=1),0,IF(OFFSET(CRONOPLE!$F$14,$M575,BK$13)="",10^12,OFFSET(CRONOPLE!$F$14,$M575,BK$13))))</f>
        <v>1000000000000</v>
      </c>
      <c r="BL575" s="181">
        <f ca="1">IF($D575&lt;&gt;"Serviço",0,IF(AND(AUTOEVENTO="Manual",$M575=1),0,IF(OFFSET(CRONOPLE!$F$14,$M575,BL$13)="",10^12,OFFSET(CRONOPLE!$F$14,$M575,BL$13))))</f>
        <v>1000000000000</v>
      </c>
      <c r="BM575" s="181">
        <f ca="1">IF($D575&lt;&gt;"Serviço",0,IF(AND(AUTOEVENTO="Manual",$M575=1),0,IF(OFFSET(CRONOPLE!$F$14,$M575,BM$13)="",10^12,OFFSET(CRONOPLE!$F$14,$M575,BM$13))))</f>
        <v>1000000000000</v>
      </c>
      <c r="BN575" s="181">
        <f ca="1">IF($D575&lt;&gt;"Serviço",0,IF(AND(AUTOEVENTO="Manual",$M575=1),0,IF(OFFSET(CRONOPLE!$F$14,$M575,BN$13)="",10^12,OFFSET(CRONOPLE!$F$14,$M575,BN$13))))</f>
        <v>1000000000000</v>
      </c>
      <c r="BO575" s="181">
        <f ca="1">IF($D575&lt;&gt;"Serviço",0,IF(AND(AUTOEVENTO="Manual",$M575=1),0,IF(OFFSET(CRONOPLE!$F$14,$M575,BO$13)="",10^12,OFFSET(CRONOPLE!$F$14,$M575,BO$13))))</f>
        <v>1000000000000</v>
      </c>
      <c r="BP575" s="181">
        <f ca="1">IF($D575&lt;&gt;"Serviço",0,IF(AND(AUTOEVENTO="Manual",$M575=1),0,IF(OFFSET(CRONOPLE!$F$14,$M575,BP$13)="",10^12,OFFSET(CRONOPLE!$F$14,$M575,BP$13))))</f>
        <v>1000000000000</v>
      </c>
      <c r="BQ575" s="181">
        <f ca="1">IF($D575&lt;&gt;"Serviço",0,IF(AND(AUTOEVENTO="Manual",$M575=1),0,IF(OFFSET(CRONOPLE!$F$14,$M575,BQ$13)="",10^12,OFFSET(CRONOPLE!$F$14,$M575,BQ$13))))</f>
        <v>1000000000000</v>
      </c>
      <c r="BR575" s="181">
        <f ca="1">IF($D575&lt;&gt;"Serviço",0,IF(AND(AUTOEVENTO="Manual",$M575=1),0,IF(OFFSET(CRONOPLE!$F$14,$M575,BR$13)="",10^12,OFFSET(CRONOPLE!$F$14,$M575,BR$13))))</f>
        <v>1000000000000</v>
      </c>
      <c r="BS575" s="181">
        <f ca="1">IF($D575&lt;&gt;"Serviço",0,IF(AND(AUTOEVENTO="Manual",$M575=1),0,IF(OFFSET(CRONOPLE!$F$14,$M575,BS$13)="",10^12,OFFSET(CRONOPLE!$F$14,$M575,BS$13))))</f>
        <v>1000000000000</v>
      </c>
      <c r="BT575" s="181">
        <f ca="1">IF($D575&lt;&gt;"Serviço",0,IF(AND(AUTOEVENTO="Manual",$M575=1),0,IF(OFFSET(CRONOPLE!$F$14,$M575,BT$13)="",10^12,OFFSET(CRONOPLE!$F$14,$M575,BT$13))))</f>
        <v>1000000000000</v>
      </c>
      <c r="BV575" s="182">
        <f ca="1">IF($D575&lt;&gt;"Serviço",0,IF(OR(AND(AUTOEVENTO="Manual",$M575=1),$M575&gt;(ROW(PLE.lastrow)-ROW(PLE.firstrow))),0,IF(OFFSET(PLE!$G$14,$M575,BV$13)="",10^12,OFFSET(PLE!$G$14,$M575,BV$13))))</f>
        <v>1000000000000</v>
      </c>
      <c r="BW575" s="182">
        <f ca="1">IF($D575&lt;&gt;"Serviço",0,IF(OR(AND(AUTOEVENTO="Manual",$M575=1),$M575&gt;(ROW(PLE.lastrow)-ROW(PLE.firstrow))),0,IF(OFFSET(PLE!$G$14,$M575,BW$13)="",10^12,OFFSET(PLE!$G$14,$M575,BW$13))))</f>
        <v>1000000000000</v>
      </c>
      <c r="BX575" s="182">
        <f ca="1">IF($D575&lt;&gt;"Serviço",0,IF(OR(AND(AUTOEVENTO="Manual",$M575=1),$M575&gt;(ROW(PLE.lastrow)-ROW(PLE.firstrow))),0,IF(OFFSET(PLE!$G$14,$M575,BX$13)="",10^12,OFFSET(PLE!$G$14,$M575,BX$13))))</f>
        <v>1000000000000</v>
      </c>
      <c r="BY575" s="182">
        <f ca="1">IF($D575&lt;&gt;"Serviço",0,IF(OR(AND(AUTOEVENTO="Manual",$M575=1),$M575&gt;(ROW(PLE.lastrow)-ROW(PLE.firstrow))),0,IF(OFFSET(PLE!$G$14,$M575,BY$13)="",10^12,OFFSET(PLE!$G$14,$M575,BY$13))))</f>
        <v>1000000000000</v>
      </c>
      <c r="BZ575" s="182">
        <f ca="1">IF($D575&lt;&gt;"Serviço",0,IF(OR(AND(AUTOEVENTO="Manual",$M575=1),$M575&gt;(ROW(PLE.lastrow)-ROW(PLE.firstrow))),0,IF(OFFSET(PLE!$G$14,$M575,BZ$13)="",10^12,OFFSET(PLE!$G$14,$M575,BZ$13))))</f>
        <v>1000000000000</v>
      </c>
      <c r="CA575" s="182">
        <f ca="1">IF($D575&lt;&gt;"Serviço",0,IF(OR(AND(AUTOEVENTO="Manual",$M575=1),$M575&gt;(ROW(PLE.lastrow)-ROW(PLE.firstrow))),0,IF(OFFSET(PLE!$G$14,$M575,CA$13)="",10^12,OFFSET(PLE!$G$14,$M575,CA$13))))</f>
        <v>1000000000000</v>
      </c>
      <c r="CB575" s="182">
        <f ca="1">IF($D575&lt;&gt;"Serviço",0,IF(OR(AND(AUTOEVENTO="Manual",$M575=1),$M575&gt;(ROW(PLE.lastrow)-ROW(PLE.firstrow))),0,IF(OFFSET(PLE!$G$14,$M575,CB$13)="",10^12,OFFSET(PLE!$G$14,$M575,CB$13))))</f>
        <v>1000000000000</v>
      </c>
      <c r="CC575" s="182">
        <f ca="1">IF($D575&lt;&gt;"Serviço",0,IF(OR(AND(AUTOEVENTO="Manual",$M575=1),$M575&gt;(ROW(PLE.lastrow)-ROW(PLE.firstrow))),0,IF(OFFSET(PLE!$G$14,$M575,CC$13)="",10^12,OFFSET(PLE!$G$14,$M575,CC$13))))</f>
        <v>1000000000000</v>
      </c>
      <c r="CD575" s="182">
        <f ca="1">IF($D575&lt;&gt;"Serviço",0,IF(OR(AND(AUTOEVENTO="Manual",$M575=1),$M575&gt;(ROW(PLE.lastrow)-ROW(PLE.firstrow))),0,IF(OFFSET(PLE!$G$14,$M575,CD$13)="",10^12,OFFSET(PLE!$G$14,$M575,CD$13))))</f>
        <v>1000000000000</v>
      </c>
      <c r="CE575" s="182">
        <f ca="1">IF($D575&lt;&gt;"Serviço",0,IF(OR(AND(AUTOEVENTO="Manual",$M575=1),$M575&gt;(ROW(PLE.lastrow)-ROW(PLE.firstrow))),0,IF(OFFSET(PLE!$G$14,$M575,CE$13)="",10^12,OFFSET(PLE!$G$14,$M575,CE$13))))</f>
        <v>1000000000000</v>
      </c>
      <c r="CF575" s="182">
        <f ca="1">IF($D575&lt;&gt;"Serviço",0,IF(OR(AND(AUTOEVENTO="Manual",$M575=1),$M575&gt;(ROW(PLE.lastrow)-ROW(PLE.firstrow))),0,IF(OFFSET(PLE!$G$14,$M575,CF$13)="",10^12,OFFSET(PLE!$G$14,$M575,CF$13))))</f>
        <v>1000000000000</v>
      </c>
      <c r="CG575" s="182">
        <f ca="1">IF($D575&lt;&gt;"Serviço",0,IF(OR(AND(AUTOEVENTO="Manual",$M575=1),$M575&gt;(ROW(PLE.lastrow)-ROW(PLE.firstrow))),0,IF(OFFSET(PLE!$G$14,$M575,CG$13)="",10^12,OFFSET(PLE!$G$14,$M575,CG$13))))</f>
        <v>1000000000000</v>
      </c>
      <c r="CH575" s="182">
        <f ca="1">IF($D575&lt;&gt;"Serviço",0,IF(OR(AND(AUTOEVENTO="Manual",$M575=1),$M575&gt;(ROW(PLE.lastrow)-ROW(PLE.firstrow))),0,IF(OFFSET(PLE!$G$14,$M575,CH$13)="",10^12,OFFSET(PLE!$G$14,$M575,CH$13))))</f>
        <v>1000000000000</v>
      </c>
      <c r="CI575" s="182">
        <f ca="1">IF($D575&lt;&gt;"Serviço",0,IF(OR(AND(AUTOEVENTO="Manual",$M575=1),$M575&gt;(ROW(PLE.lastrow)-ROW(PLE.firstrow))),0,IF(OFFSET(PLE!$G$14,$M575,CI$13)="",10^12,OFFSET(PLE!$G$14,$M575,CI$13))))</f>
        <v>1000000000000</v>
      </c>
      <c r="CJ575" s="182">
        <f ca="1">IF($D575&lt;&gt;"Serviço",0,IF(OR(AND(AUTOEVENTO="Manual",$M575=1),$M575&gt;(ROW(PLE.lastrow)-ROW(PLE.firstrow))),0,IF(OFFSET(PLE!$G$14,$M575,CJ$13)="",10^12,OFFSET(PLE!$G$14,$M575,CJ$13))))</f>
        <v>1000000000000</v>
      </c>
      <c r="CK575" s="182">
        <f ca="1">IF($D575&lt;&gt;"Serviço",0,IF(OR(AND(AUTOEVENTO="Manual",$M575=1),$M575&gt;(ROW(PLE.lastrow)-ROW(PLE.firstrow))),0,IF(OFFSET(PLE!$G$14,$M575,CK$13)="",10^12,OFFSET(PLE!$G$14,$M575,CK$13))))</f>
        <v>1000000000000</v>
      </c>
      <c r="CL575" s="182">
        <f ca="1">IF($D575&lt;&gt;"Serviço",0,IF(OR(AND(AUTOEVENTO="Manual",$M575=1),$M575&gt;(ROW(PLE.lastrow)-ROW(PLE.firstrow))),0,IF(OFFSET(PLE!$G$14,$M575,CL$13)="",10^12,OFFSET(PLE!$G$14,$M575,CL$13))))</f>
        <v>1000000000000</v>
      </c>
      <c r="CM575" s="182">
        <f ca="1">IF($D575&lt;&gt;"Serviço",0,IF(OR(AND(AUTOEVENTO="Manual",$M575=1),$M575&gt;(ROW(PLE.lastrow)-ROW(PLE.firstrow))),0,IF(OFFSET(PLE!$G$14,$M575,CM$13)="",10^12,OFFSET(PLE!$G$14,$M575,CM$13))))</f>
        <v>1000000000000</v>
      </c>
    </row>
    <row r="576" spans="1:91" ht="38.25" x14ac:dyDescent="0.2">
      <c r="A576" s="7" t="str">
        <f t="shared" ca="1" si="17"/>
        <v>552</v>
      </c>
      <c r="B576" s="7" t="str">
        <f ca="1">OFFSET(ORÇAMENTO!C$15,ROW(B576)-ROW(B$15),0)</f>
        <v>S</v>
      </c>
      <c r="C576" s="7" t="str">
        <f ca="1">OFFSET(ORÇAMENTO!L$15,ROW(C576)-ROW(C$15),0)</f>
        <v/>
      </c>
      <c r="D576" s="118" t="str">
        <f ca="1">OFFSET(ORÇAMENTO!N$15,ROW(D576)-ROW(D$15),0)</f>
        <v>Serviço</v>
      </c>
      <c r="E576" s="119" t="str">
        <f ca="1">OFFSET(ORÇAMENTO!O$15,ROW(E576)-ROW(E$15),0)</f>
        <v>-</v>
      </c>
      <c r="F576" s="172" t="str">
        <f ca="1">OFFSET(ORÇAMENTO!R$15,ROW(F576)-ROW(F$15),0)</f>
        <v>(abra o arquivo 'Referência 06-2024.xlsm)</v>
      </c>
      <c r="G576" s="173" t="str">
        <f ca="1">IF($D576&lt;&gt;"Serviço","",OFFSET(ORÇAMENTO!S$15,ROW(G576)-ROW(G$15),0))</f>
        <v>-</v>
      </c>
      <c r="H576" s="124">
        <f ca="1">IF($D576&lt;&gt;"Serviço",0,IF(ACOMPANHAMENTO="BM",ROUND(OFFSET(ORÇAMENTO!AJ$15,ROW(H576)-ROW(H$15),0),15-13*ORÇAMENTO!$AF$7),SUMPRODUCT(($Q$12:$AI$12&lt;&gt;"")*ROUND($Q576:$AI576,15-13*ORÇAMENTO!$AF$7))))</f>
        <v>6</v>
      </c>
      <c r="I576" s="561" t="s">
        <v>1107</v>
      </c>
      <c r="K576" s="174"/>
      <c r="L576" s="175" t="s">
        <v>255</v>
      </c>
      <c r="M576" s="176">
        <f ca="1">IF($D576&lt;&gt;"Serviço","",IF(AUTOEVENTO="manual",$A576,IF(ISERROR(MATCH($A576,$A$15:OFFSET($A576,-1,0),0)),MAX($M$15:OFFSET(M576,-1,0))+1,INDEX($M$15:OFFSET(M576,-1,0),MATCH($A576,$A$15:OFFSET($A576,-1,0),0)))))</f>
        <v>58</v>
      </c>
      <c r="N576" s="177" t="str">
        <f ca="1">IF($D576&lt;&gt;"Serviço","",IF(AUTOEVENTO="Manual",IF($A576=0,"&lt;-- defina o número do agrupador",OFFSET(EVENTOS!$D$14,$A576,0)),OFFSET($F$15,$A576,0)))</f>
        <v>INSTALAÇÃO ELÉTRICA 110V - ELETROCALHAS</v>
      </c>
      <c r="O576" s="178"/>
      <c r="Q576" s="178">
        <v>6</v>
      </c>
      <c r="R576" s="179"/>
      <c r="S576" s="179"/>
      <c r="T576" s="179"/>
      <c r="U576" s="179"/>
      <c r="V576" s="179"/>
      <c r="W576" s="179"/>
      <c r="X576" s="179"/>
      <c r="Y576" s="179"/>
      <c r="Z576" s="180"/>
      <c r="AA576" s="179"/>
      <c r="AB576" s="179"/>
      <c r="AC576" s="179"/>
      <c r="AD576" s="179"/>
      <c r="AE576" s="179"/>
      <c r="AF576" s="179"/>
      <c r="AG576" s="179"/>
      <c r="AH576" s="180"/>
      <c r="AJ576" s="544">
        <f ca="1">IF(AND($D576="Serviço",AJ$12&lt;&gt;0,$H576&gt;0,OR(AUTOEVENTO&lt;&gt;"manual",$M576&lt;&gt;1)),
IF(Import.TipoArredondamento&lt;&gt;"TransfereGOV",
ROUND(OFFSET($P576,0,AJ$13),15-13*ORÇAMENTO!$AF$7)/$H576*OFFSET(ORÇAMENTO!$X$15,ROW(AJ576)-ROW(AJ$15),0),
ROUND(ROUND(OFFSET($P576,0,AJ$13),15-13*ORÇAMENTO!$AF$7)*OFFSET(ORÇAMENTO!$W$15,ROW(AJ576)-ROW(AJ$15),0),15-13*ORÇAMENTO!$AF$11)),0)</f>
        <v>0</v>
      </c>
      <c r="AK576" s="545">
        <f ca="1">IF(AND($D576="Serviço",AK$12&lt;&gt;0,$H576&gt;0,OR(AUTOEVENTO&lt;&gt;"manual",$M576&lt;&gt;1)),
IF(Import.TipoArredondamento&lt;&gt;"TransfereGOV",
ROUND(OFFSET($P576,0,AK$13),15-13*ORÇAMENTO!$AF$7)/$H576*OFFSET(ORÇAMENTO!$X$15,ROW(AK576)-ROW(AK$15),0),
ROUND(ROUND(OFFSET($P576,0,AK$13),15-13*ORÇAMENTO!$AF$7)*OFFSET(ORÇAMENTO!$W$15,ROW(AK576)-ROW(AK$15),0),15-13*ORÇAMENTO!$AF$11)),0)</f>
        <v>0</v>
      </c>
      <c r="AL576" s="545">
        <f ca="1">IF(AND($D576="Serviço",AL$12&lt;&gt;0,$H576&gt;0,OR(AUTOEVENTO&lt;&gt;"manual",$M576&lt;&gt;1)),
IF(Import.TipoArredondamento&lt;&gt;"TransfereGOV",
ROUND(OFFSET($P576,0,AL$13),15-13*ORÇAMENTO!$AF$7)/$H576*OFFSET(ORÇAMENTO!$X$15,ROW(AL576)-ROW(AL$15),0),
ROUND(ROUND(OFFSET($P576,0,AL$13),15-13*ORÇAMENTO!$AF$7)*OFFSET(ORÇAMENTO!$W$15,ROW(AL576)-ROW(AL$15),0),15-13*ORÇAMENTO!$AF$11)),0)</f>
        <v>0</v>
      </c>
      <c r="AM576" s="545">
        <f ca="1">IF(AND($D576="Serviço",AM$12&lt;&gt;0,$H576&gt;0,OR(AUTOEVENTO&lt;&gt;"manual",$M576&lt;&gt;1)),
IF(Import.TipoArredondamento&lt;&gt;"TransfereGOV",
ROUND(OFFSET($P576,0,AM$13),15-13*ORÇAMENTO!$AF$7)/$H576*OFFSET(ORÇAMENTO!$X$15,ROW(AM576)-ROW(AM$15),0),
ROUND(ROUND(OFFSET($P576,0,AM$13),15-13*ORÇAMENTO!$AF$7)*OFFSET(ORÇAMENTO!$W$15,ROW(AM576)-ROW(AM$15),0),15-13*ORÇAMENTO!$AF$11)),0)</f>
        <v>0</v>
      </c>
      <c r="AN576" s="545">
        <f ca="1">IF(AND($D576="Serviço",AN$12&lt;&gt;0,$H576&gt;0,OR(AUTOEVENTO&lt;&gt;"manual",$M576&lt;&gt;1)),
IF(Import.TipoArredondamento&lt;&gt;"TransfereGOV",
ROUND(OFFSET($P576,0,AN$13),15-13*ORÇAMENTO!$AF$7)/$H576*OFFSET(ORÇAMENTO!$X$15,ROW(AN576)-ROW(AN$15),0),
ROUND(ROUND(OFFSET($P576,0,AN$13),15-13*ORÇAMENTO!$AF$7)*OFFSET(ORÇAMENTO!$W$15,ROW(AN576)-ROW(AN$15),0),15-13*ORÇAMENTO!$AF$11)),0)</f>
        <v>0</v>
      </c>
      <c r="AO576" s="545">
        <f ca="1">IF(AND($D576="Serviço",AO$12&lt;&gt;0,$H576&gt;0,OR(AUTOEVENTO&lt;&gt;"manual",$M576&lt;&gt;1)),
IF(Import.TipoArredondamento&lt;&gt;"TransfereGOV",
ROUND(OFFSET($P576,0,AO$13),15-13*ORÇAMENTO!$AF$7)/$H576*OFFSET(ORÇAMENTO!$X$15,ROW(AO576)-ROW(AO$15),0),
ROUND(ROUND(OFFSET($P576,0,AO$13),15-13*ORÇAMENTO!$AF$7)*OFFSET(ORÇAMENTO!$W$15,ROW(AO576)-ROW(AO$15),0),15-13*ORÇAMENTO!$AF$11)),0)</f>
        <v>0</v>
      </c>
      <c r="AP576" s="545">
        <f ca="1">IF(AND($D576="Serviço",AP$12&lt;&gt;0,$H576&gt;0,OR(AUTOEVENTO&lt;&gt;"manual",$M576&lt;&gt;1)),
IF(Import.TipoArredondamento&lt;&gt;"TransfereGOV",
ROUND(OFFSET($P576,0,AP$13),15-13*ORÇAMENTO!$AF$7)/$H576*OFFSET(ORÇAMENTO!$X$15,ROW(AP576)-ROW(AP$15),0),
ROUND(ROUND(OFFSET($P576,0,AP$13),15-13*ORÇAMENTO!$AF$7)*OFFSET(ORÇAMENTO!$W$15,ROW(AP576)-ROW(AP$15),0),15-13*ORÇAMENTO!$AF$11)),0)</f>
        <v>0</v>
      </c>
      <c r="AQ576" s="545">
        <f ca="1">IF(AND($D576="Serviço",AQ$12&lt;&gt;0,$H576&gt;0,OR(AUTOEVENTO&lt;&gt;"manual",$M576&lt;&gt;1)),
IF(Import.TipoArredondamento&lt;&gt;"TransfereGOV",
ROUND(OFFSET($P576,0,AQ$13),15-13*ORÇAMENTO!$AF$7)/$H576*OFFSET(ORÇAMENTO!$X$15,ROW(AQ576)-ROW(AQ$15),0),
ROUND(ROUND(OFFSET($P576,0,AQ$13),15-13*ORÇAMENTO!$AF$7)*OFFSET(ORÇAMENTO!$W$15,ROW(AQ576)-ROW(AQ$15),0),15-13*ORÇAMENTO!$AF$11)),0)</f>
        <v>0</v>
      </c>
      <c r="AR576" s="545">
        <f ca="1">IF(AND($D576="Serviço",AR$12&lt;&gt;0,$H576&gt;0,OR(AUTOEVENTO&lt;&gt;"manual",$M576&lt;&gt;1)),
IF(Import.TipoArredondamento&lt;&gt;"TransfereGOV",
ROUND(OFFSET($P576,0,AR$13),15-13*ORÇAMENTO!$AF$7)/$H576*OFFSET(ORÇAMENTO!$X$15,ROW(AR576)-ROW(AR$15),0),
ROUND(ROUND(OFFSET($P576,0,AR$13),15-13*ORÇAMENTO!$AF$7)*OFFSET(ORÇAMENTO!$W$15,ROW(AR576)-ROW(AR$15),0),15-13*ORÇAMENTO!$AF$11)),0)</f>
        <v>0</v>
      </c>
      <c r="AS576" s="546">
        <f ca="1">IF(AND($D576="Serviço",AS$12&lt;&gt;0,$H576&gt;0,OR(AUTOEVENTO&lt;&gt;"manual",$M576&lt;&gt;1)),
IF(Import.TipoArredondamento&lt;&gt;"TransfereGOV",
ROUND(OFFSET($P576,0,AS$13),15-13*ORÇAMENTO!$AF$7)/$H576*OFFSET(ORÇAMENTO!$X$15,ROW(AS576)-ROW(AS$15),0),
ROUND(ROUND(OFFSET($P576,0,AS$13),15-13*ORÇAMENTO!$AF$7)*OFFSET(ORÇAMENTO!$W$15,ROW(AS576)-ROW(AS$15),0),15-13*ORÇAMENTO!$AF$11)),0)</f>
        <v>0</v>
      </c>
      <c r="AT576" s="545">
        <f ca="1">IF(AND($D576="Serviço",AT$12&lt;&gt;0,$H576&gt;0,OR(AUTOEVENTO&lt;&gt;"manual",$M576&lt;&gt;1)),
IF(Import.TipoArredondamento&lt;&gt;"TransfereGOV",
ROUND(OFFSET($P576,0,AT$13),15-13*ORÇAMENTO!$AF$7)/$H576*OFFSET(ORÇAMENTO!$X$15,ROW(AT576)-ROW(AT$15),0),
ROUND(ROUND(OFFSET($P576,0,AT$13),15-13*ORÇAMENTO!$AF$7)*OFFSET(ORÇAMENTO!$W$15,ROW(AT576)-ROW(AT$15),0),15-13*ORÇAMENTO!$AF$11)),0)</f>
        <v>0</v>
      </c>
      <c r="AU576" s="545">
        <f ca="1">IF(AND($D576="Serviço",AU$12&lt;&gt;0,$H576&gt;0,OR(AUTOEVENTO&lt;&gt;"manual",$M576&lt;&gt;1)),
IF(Import.TipoArredondamento&lt;&gt;"TransfereGOV",
ROUND(OFFSET($P576,0,AU$13),15-13*ORÇAMENTO!$AF$7)/$H576*OFFSET(ORÇAMENTO!$X$15,ROW(AU576)-ROW(AU$15),0),
ROUND(ROUND(OFFSET($P576,0,AU$13),15-13*ORÇAMENTO!$AF$7)*OFFSET(ORÇAMENTO!$W$15,ROW(AU576)-ROW(AU$15),0),15-13*ORÇAMENTO!$AF$11)),0)</f>
        <v>0</v>
      </c>
      <c r="AV576" s="545">
        <f ca="1">IF(AND($D576="Serviço",AV$12&lt;&gt;0,$H576&gt;0,OR(AUTOEVENTO&lt;&gt;"manual",$M576&lt;&gt;1)),
IF(Import.TipoArredondamento&lt;&gt;"TransfereGOV",
ROUND(OFFSET($P576,0,AV$13),15-13*ORÇAMENTO!$AF$7)/$H576*OFFSET(ORÇAMENTO!$X$15,ROW(AV576)-ROW(AV$15),0),
ROUND(ROUND(OFFSET($P576,0,AV$13),15-13*ORÇAMENTO!$AF$7)*OFFSET(ORÇAMENTO!$W$15,ROW(AV576)-ROW(AV$15),0),15-13*ORÇAMENTO!$AF$11)),0)</f>
        <v>0</v>
      </c>
      <c r="AW576" s="545">
        <f ca="1">IF(AND($D576="Serviço",AW$12&lt;&gt;0,$H576&gt;0,OR(AUTOEVENTO&lt;&gt;"manual",$M576&lt;&gt;1)),
IF(Import.TipoArredondamento&lt;&gt;"TransfereGOV",
ROUND(OFFSET($P576,0,AW$13),15-13*ORÇAMENTO!$AF$7)/$H576*OFFSET(ORÇAMENTO!$X$15,ROW(AW576)-ROW(AW$15),0),
ROUND(ROUND(OFFSET($P576,0,AW$13),15-13*ORÇAMENTO!$AF$7)*OFFSET(ORÇAMENTO!$W$15,ROW(AW576)-ROW(AW$15),0),15-13*ORÇAMENTO!$AF$11)),0)</f>
        <v>0</v>
      </c>
      <c r="AX576" s="545">
        <f ca="1">IF(AND($D576="Serviço",AX$12&lt;&gt;0,$H576&gt;0,OR(AUTOEVENTO&lt;&gt;"manual",$M576&lt;&gt;1)),
IF(Import.TipoArredondamento&lt;&gt;"TransfereGOV",
ROUND(OFFSET($P576,0,AX$13),15-13*ORÇAMENTO!$AF$7)/$H576*OFFSET(ORÇAMENTO!$X$15,ROW(AX576)-ROW(AX$15),0),
ROUND(ROUND(OFFSET($P576,0,AX$13),15-13*ORÇAMENTO!$AF$7)*OFFSET(ORÇAMENTO!$W$15,ROW(AX576)-ROW(AX$15),0),15-13*ORÇAMENTO!$AF$11)),0)</f>
        <v>0</v>
      </c>
      <c r="AY576" s="545">
        <f ca="1">IF(AND($D576="Serviço",AY$12&lt;&gt;0,$H576&gt;0,OR(AUTOEVENTO&lt;&gt;"manual",$M576&lt;&gt;1)),
IF(Import.TipoArredondamento&lt;&gt;"TransfereGOV",
ROUND(OFFSET($P576,0,AY$13),15-13*ORÇAMENTO!$AF$7)/$H576*OFFSET(ORÇAMENTO!$X$15,ROW(AY576)-ROW(AY$15),0),
ROUND(ROUND(OFFSET($P576,0,AY$13),15-13*ORÇAMENTO!$AF$7)*OFFSET(ORÇAMENTO!$W$15,ROW(AY576)-ROW(AY$15),0),15-13*ORÇAMENTO!$AF$11)),0)</f>
        <v>0</v>
      </c>
      <c r="AZ576" s="545">
        <f ca="1">IF(AND($D576="Serviço",AZ$12&lt;&gt;0,$H576&gt;0,OR(AUTOEVENTO&lt;&gt;"manual",$M576&lt;&gt;1)),
IF(Import.TipoArredondamento&lt;&gt;"TransfereGOV",
ROUND(OFFSET($P576,0,AZ$13),15-13*ORÇAMENTO!$AF$7)/$H576*OFFSET(ORÇAMENTO!$X$15,ROW(AZ576)-ROW(AZ$15),0),
ROUND(ROUND(OFFSET($P576,0,AZ$13),15-13*ORÇAMENTO!$AF$7)*OFFSET(ORÇAMENTO!$W$15,ROW(AZ576)-ROW(AZ$15),0),15-13*ORÇAMENTO!$AF$11)),0)</f>
        <v>0</v>
      </c>
      <c r="BA576" s="546">
        <f ca="1">IF(AND($D576="Serviço",BA$12&lt;&gt;0,$H576&gt;0,OR(AUTOEVENTO&lt;&gt;"manual",$M576&lt;&gt;1)),
IF(Import.TipoArredondamento&lt;&gt;"TransfereGOV",
ROUND(OFFSET($P576,0,BA$13),15-13*ORÇAMENTO!$AF$7)/$H576*OFFSET(ORÇAMENTO!$X$15,ROW(BA576)-ROW(BA$15),0),
ROUND(ROUND(OFFSET($P576,0,BA$13),15-13*ORÇAMENTO!$AF$7)*OFFSET(ORÇAMENTO!$W$15,ROW(BA576)-ROW(BA$15),0),15-13*ORÇAMENTO!$AF$11)),0)</f>
        <v>0</v>
      </c>
      <c r="BC576" s="181">
        <f ca="1">IF($D576&lt;&gt;"Serviço",0,IF(AND(AUTOEVENTO="Manual",$M576=1),0,IF(OFFSET(CRONOPLE!$F$14,$M576,BC$13)="",10^12,OFFSET(CRONOPLE!$F$14,$M576,BC$13))))</f>
        <v>10</v>
      </c>
      <c r="BD576" s="181">
        <f ca="1">IF($D576&lt;&gt;"Serviço",0,IF(AND(AUTOEVENTO="Manual",$M576=1),0,IF(OFFSET(CRONOPLE!$F$14,$M576,BD$13)="",10^12,OFFSET(CRONOPLE!$F$14,$M576,BD$13))))</f>
        <v>1000000000000</v>
      </c>
      <c r="BE576" s="181">
        <f ca="1">IF($D576&lt;&gt;"Serviço",0,IF(AND(AUTOEVENTO="Manual",$M576=1),0,IF(OFFSET(CRONOPLE!$F$14,$M576,BE$13)="",10^12,OFFSET(CRONOPLE!$F$14,$M576,BE$13))))</f>
        <v>1000000000000</v>
      </c>
      <c r="BF576" s="181">
        <f ca="1">IF($D576&lt;&gt;"Serviço",0,IF(AND(AUTOEVENTO="Manual",$M576=1),0,IF(OFFSET(CRONOPLE!$F$14,$M576,BF$13)="",10^12,OFFSET(CRONOPLE!$F$14,$M576,BF$13))))</f>
        <v>1000000000000</v>
      </c>
      <c r="BG576" s="181">
        <f ca="1">IF($D576&lt;&gt;"Serviço",0,IF(AND(AUTOEVENTO="Manual",$M576=1),0,IF(OFFSET(CRONOPLE!$F$14,$M576,BG$13)="",10^12,OFFSET(CRONOPLE!$F$14,$M576,BG$13))))</f>
        <v>1000000000000</v>
      </c>
      <c r="BH576" s="181">
        <f ca="1">IF($D576&lt;&gt;"Serviço",0,IF(AND(AUTOEVENTO="Manual",$M576=1),0,IF(OFFSET(CRONOPLE!$F$14,$M576,BH$13)="",10^12,OFFSET(CRONOPLE!$F$14,$M576,BH$13))))</f>
        <v>1000000000000</v>
      </c>
      <c r="BI576" s="181">
        <f ca="1">IF($D576&lt;&gt;"Serviço",0,IF(AND(AUTOEVENTO="Manual",$M576=1),0,IF(OFFSET(CRONOPLE!$F$14,$M576,BI$13)="",10^12,OFFSET(CRONOPLE!$F$14,$M576,BI$13))))</f>
        <v>1000000000000</v>
      </c>
      <c r="BJ576" s="181">
        <f ca="1">IF($D576&lt;&gt;"Serviço",0,IF(AND(AUTOEVENTO="Manual",$M576=1),0,IF(OFFSET(CRONOPLE!$F$14,$M576,BJ$13)="",10^12,OFFSET(CRONOPLE!$F$14,$M576,BJ$13))))</f>
        <v>1000000000000</v>
      </c>
      <c r="BK576" s="181">
        <f ca="1">IF($D576&lt;&gt;"Serviço",0,IF(AND(AUTOEVENTO="Manual",$M576=1),0,IF(OFFSET(CRONOPLE!$F$14,$M576,BK$13)="",10^12,OFFSET(CRONOPLE!$F$14,$M576,BK$13))))</f>
        <v>1000000000000</v>
      </c>
      <c r="BL576" s="181">
        <f ca="1">IF($D576&lt;&gt;"Serviço",0,IF(AND(AUTOEVENTO="Manual",$M576=1),0,IF(OFFSET(CRONOPLE!$F$14,$M576,BL$13)="",10^12,OFFSET(CRONOPLE!$F$14,$M576,BL$13))))</f>
        <v>1000000000000</v>
      </c>
      <c r="BM576" s="181">
        <f ca="1">IF($D576&lt;&gt;"Serviço",0,IF(AND(AUTOEVENTO="Manual",$M576=1),0,IF(OFFSET(CRONOPLE!$F$14,$M576,BM$13)="",10^12,OFFSET(CRONOPLE!$F$14,$M576,BM$13))))</f>
        <v>1000000000000</v>
      </c>
      <c r="BN576" s="181">
        <f ca="1">IF($D576&lt;&gt;"Serviço",0,IF(AND(AUTOEVENTO="Manual",$M576=1),0,IF(OFFSET(CRONOPLE!$F$14,$M576,BN$13)="",10^12,OFFSET(CRONOPLE!$F$14,$M576,BN$13))))</f>
        <v>1000000000000</v>
      </c>
      <c r="BO576" s="181">
        <f ca="1">IF($D576&lt;&gt;"Serviço",0,IF(AND(AUTOEVENTO="Manual",$M576=1),0,IF(OFFSET(CRONOPLE!$F$14,$M576,BO$13)="",10^12,OFFSET(CRONOPLE!$F$14,$M576,BO$13))))</f>
        <v>1000000000000</v>
      </c>
      <c r="BP576" s="181">
        <f ca="1">IF($D576&lt;&gt;"Serviço",0,IF(AND(AUTOEVENTO="Manual",$M576=1),0,IF(OFFSET(CRONOPLE!$F$14,$M576,BP$13)="",10^12,OFFSET(CRONOPLE!$F$14,$M576,BP$13))))</f>
        <v>1000000000000</v>
      </c>
      <c r="BQ576" s="181">
        <f ca="1">IF($D576&lt;&gt;"Serviço",0,IF(AND(AUTOEVENTO="Manual",$M576=1),0,IF(OFFSET(CRONOPLE!$F$14,$M576,BQ$13)="",10^12,OFFSET(CRONOPLE!$F$14,$M576,BQ$13))))</f>
        <v>1000000000000</v>
      </c>
      <c r="BR576" s="181">
        <f ca="1">IF($D576&lt;&gt;"Serviço",0,IF(AND(AUTOEVENTO="Manual",$M576=1),0,IF(OFFSET(CRONOPLE!$F$14,$M576,BR$13)="",10^12,OFFSET(CRONOPLE!$F$14,$M576,BR$13))))</f>
        <v>1000000000000</v>
      </c>
      <c r="BS576" s="181">
        <f ca="1">IF($D576&lt;&gt;"Serviço",0,IF(AND(AUTOEVENTO="Manual",$M576=1),0,IF(OFFSET(CRONOPLE!$F$14,$M576,BS$13)="",10^12,OFFSET(CRONOPLE!$F$14,$M576,BS$13))))</f>
        <v>1000000000000</v>
      </c>
      <c r="BT576" s="181">
        <f ca="1">IF($D576&lt;&gt;"Serviço",0,IF(AND(AUTOEVENTO="Manual",$M576=1),0,IF(OFFSET(CRONOPLE!$F$14,$M576,BT$13)="",10^12,OFFSET(CRONOPLE!$F$14,$M576,BT$13))))</f>
        <v>1000000000000</v>
      </c>
      <c r="BV576" s="182">
        <f ca="1">IF($D576&lt;&gt;"Serviço",0,IF(OR(AND(AUTOEVENTO="Manual",$M576=1),$M576&gt;(ROW(PLE.lastrow)-ROW(PLE.firstrow))),0,IF(OFFSET(PLE!$G$14,$M576,BV$13)="",10^12,OFFSET(PLE!$G$14,$M576,BV$13))))</f>
        <v>1000000000000</v>
      </c>
      <c r="BW576" s="182">
        <f ca="1">IF($D576&lt;&gt;"Serviço",0,IF(OR(AND(AUTOEVENTO="Manual",$M576=1),$M576&gt;(ROW(PLE.lastrow)-ROW(PLE.firstrow))),0,IF(OFFSET(PLE!$G$14,$M576,BW$13)="",10^12,OFFSET(PLE!$G$14,$M576,BW$13))))</f>
        <v>1000000000000</v>
      </c>
      <c r="BX576" s="182">
        <f ca="1">IF($D576&lt;&gt;"Serviço",0,IF(OR(AND(AUTOEVENTO="Manual",$M576=1),$M576&gt;(ROW(PLE.lastrow)-ROW(PLE.firstrow))),0,IF(OFFSET(PLE!$G$14,$M576,BX$13)="",10^12,OFFSET(PLE!$G$14,$M576,BX$13))))</f>
        <v>1000000000000</v>
      </c>
      <c r="BY576" s="182">
        <f ca="1">IF($D576&lt;&gt;"Serviço",0,IF(OR(AND(AUTOEVENTO="Manual",$M576=1),$M576&gt;(ROW(PLE.lastrow)-ROW(PLE.firstrow))),0,IF(OFFSET(PLE!$G$14,$M576,BY$13)="",10^12,OFFSET(PLE!$G$14,$M576,BY$13))))</f>
        <v>1000000000000</v>
      </c>
      <c r="BZ576" s="182">
        <f ca="1">IF($D576&lt;&gt;"Serviço",0,IF(OR(AND(AUTOEVENTO="Manual",$M576=1),$M576&gt;(ROW(PLE.lastrow)-ROW(PLE.firstrow))),0,IF(OFFSET(PLE!$G$14,$M576,BZ$13)="",10^12,OFFSET(PLE!$G$14,$M576,BZ$13))))</f>
        <v>1000000000000</v>
      </c>
      <c r="CA576" s="182">
        <f ca="1">IF($D576&lt;&gt;"Serviço",0,IF(OR(AND(AUTOEVENTO="Manual",$M576=1),$M576&gt;(ROW(PLE.lastrow)-ROW(PLE.firstrow))),0,IF(OFFSET(PLE!$G$14,$M576,CA$13)="",10^12,OFFSET(PLE!$G$14,$M576,CA$13))))</f>
        <v>1000000000000</v>
      </c>
      <c r="CB576" s="182">
        <f ca="1">IF($D576&lt;&gt;"Serviço",0,IF(OR(AND(AUTOEVENTO="Manual",$M576=1),$M576&gt;(ROW(PLE.lastrow)-ROW(PLE.firstrow))),0,IF(OFFSET(PLE!$G$14,$M576,CB$13)="",10^12,OFFSET(PLE!$G$14,$M576,CB$13))))</f>
        <v>1000000000000</v>
      </c>
      <c r="CC576" s="182">
        <f ca="1">IF($D576&lt;&gt;"Serviço",0,IF(OR(AND(AUTOEVENTO="Manual",$M576=1),$M576&gt;(ROW(PLE.lastrow)-ROW(PLE.firstrow))),0,IF(OFFSET(PLE!$G$14,$M576,CC$13)="",10^12,OFFSET(PLE!$G$14,$M576,CC$13))))</f>
        <v>1000000000000</v>
      </c>
      <c r="CD576" s="182">
        <f ca="1">IF($D576&lt;&gt;"Serviço",0,IF(OR(AND(AUTOEVENTO="Manual",$M576=1),$M576&gt;(ROW(PLE.lastrow)-ROW(PLE.firstrow))),0,IF(OFFSET(PLE!$G$14,$M576,CD$13)="",10^12,OFFSET(PLE!$G$14,$M576,CD$13))))</f>
        <v>1000000000000</v>
      </c>
      <c r="CE576" s="182">
        <f ca="1">IF($D576&lt;&gt;"Serviço",0,IF(OR(AND(AUTOEVENTO="Manual",$M576=1),$M576&gt;(ROW(PLE.lastrow)-ROW(PLE.firstrow))),0,IF(OFFSET(PLE!$G$14,$M576,CE$13)="",10^12,OFFSET(PLE!$G$14,$M576,CE$13))))</f>
        <v>1000000000000</v>
      </c>
      <c r="CF576" s="182">
        <f ca="1">IF($D576&lt;&gt;"Serviço",0,IF(OR(AND(AUTOEVENTO="Manual",$M576=1),$M576&gt;(ROW(PLE.lastrow)-ROW(PLE.firstrow))),0,IF(OFFSET(PLE!$G$14,$M576,CF$13)="",10^12,OFFSET(PLE!$G$14,$M576,CF$13))))</f>
        <v>1000000000000</v>
      </c>
      <c r="CG576" s="182">
        <f ca="1">IF($D576&lt;&gt;"Serviço",0,IF(OR(AND(AUTOEVENTO="Manual",$M576=1),$M576&gt;(ROW(PLE.lastrow)-ROW(PLE.firstrow))),0,IF(OFFSET(PLE!$G$14,$M576,CG$13)="",10^12,OFFSET(PLE!$G$14,$M576,CG$13))))</f>
        <v>1000000000000</v>
      </c>
      <c r="CH576" s="182">
        <f ca="1">IF($D576&lt;&gt;"Serviço",0,IF(OR(AND(AUTOEVENTO="Manual",$M576=1),$M576&gt;(ROW(PLE.lastrow)-ROW(PLE.firstrow))),0,IF(OFFSET(PLE!$G$14,$M576,CH$13)="",10^12,OFFSET(PLE!$G$14,$M576,CH$13))))</f>
        <v>1000000000000</v>
      </c>
      <c r="CI576" s="182">
        <f ca="1">IF($D576&lt;&gt;"Serviço",0,IF(OR(AND(AUTOEVENTO="Manual",$M576=1),$M576&gt;(ROW(PLE.lastrow)-ROW(PLE.firstrow))),0,IF(OFFSET(PLE!$G$14,$M576,CI$13)="",10^12,OFFSET(PLE!$G$14,$M576,CI$13))))</f>
        <v>1000000000000</v>
      </c>
      <c r="CJ576" s="182">
        <f ca="1">IF($D576&lt;&gt;"Serviço",0,IF(OR(AND(AUTOEVENTO="Manual",$M576=1),$M576&gt;(ROW(PLE.lastrow)-ROW(PLE.firstrow))),0,IF(OFFSET(PLE!$G$14,$M576,CJ$13)="",10^12,OFFSET(PLE!$G$14,$M576,CJ$13))))</f>
        <v>1000000000000</v>
      </c>
      <c r="CK576" s="182">
        <f ca="1">IF($D576&lt;&gt;"Serviço",0,IF(OR(AND(AUTOEVENTO="Manual",$M576=1),$M576&gt;(ROW(PLE.lastrow)-ROW(PLE.firstrow))),0,IF(OFFSET(PLE!$G$14,$M576,CK$13)="",10^12,OFFSET(PLE!$G$14,$M576,CK$13))))</f>
        <v>1000000000000</v>
      </c>
      <c r="CL576" s="182">
        <f ca="1">IF($D576&lt;&gt;"Serviço",0,IF(OR(AND(AUTOEVENTO="Manual",$M576=1),$M576&gt;(ROW(PLE.lastrow)-ROW(PLE.firstrow))),0,IF(OFFSET(PLE!$G$14,$M576,CL$13)="",10^12,OFFSET(PLE!$G$14,$M576,CL$13))))</f>
        <v>1000000000000</v>
      </c>
      <c r="CM576" s="182">
        <f ca="1">IF($D576&lt;&gt;"Serviço",0,IF(OR(AND(AUTOEVENTO="Manual",$M576=1),$M576&gt;(ROW(PLE.lastrow)-ROW(PLE.firstrow))),0,IF(OFFSET(PLE!$G$14,$M576,CM$13)="",10^12,OFFSET(PLE!$G$14,$M576,CM$13))))</f>
        <v>1000000000000</v>
      </c>
    </row>
    <row r="577" spans="1:91" ht="25.5" x14ac:dyDescent="0.2">
      <c r="A577" s="7" t="str">
        <f t="shared" ca="1" si="17"/>
        <v>552</v>
      </c>
      <c r="B577" s="7" t="str">
        <f ca="1">OFFSET(ORÇAMENTO!C$15,ROW(B577)-ROW(B$15),0)</f>
        <v>S</v>
      </c>
      <c r="C577" s="7" t="str">
        <f ca="1">OFFSET(ORÇAMENTO!L$15,ROW(C577)-ROW(C$15),0)</f>
        <v/>
      </c>
      <c r="D577" s="118" t="str">
        <f ca="1">OFFSET(ORÇAMENTO!N$15,ROW(D577)-ROW(D$15),0)</f>
        <v>Serviço</v>
      </c>
      <c r="E577" s="119" t="str">
        <f ca="1">OFFSET(ORÇAMENTO!O$15,ROW(E577)-ROW(E$15),0)</f>
        <v>-</v>
      </c>
      <c r="F577" s="172" t="str">
        <f ca="1">OFFSET(ORÇAMENTO!R$15,ROW(F577)-ROW(F$15),0)</f>
        <v>(abra o arquivo 'Referência 06-2024.xlsm)</v>
      </c>
      <c r="G577" s="173" t="str">
        <f ca="1">IF($D577&lt;&gt;"Serviço","",OFFSET(ORÇAMENTO!S$15,ROW(G577)-ROW(G$15),0))</f>
        <v>-</v>
      </c>
      <c r="H577" s="124">
        <f ca="1">IF($D577&lt;&gt;"Serviço",0,IF(ACOMPANHAMENTO="BM",ROUND(OFFSET(ORÇAMENTO!AJ$15,ROW(H577)-ROW(H$15),0),15-13*ORÇAMENTO!$AF$7),SUMPRODUCT(($Q$12:$AI$12&lt;&gt;"")*ROUND($Q577:$AI577,15-13*ORÇAMENTO!$AF$7))))</f>
        <v>3</v>
      </c>
      <c r="I577" s="561" t="s">
        <v>1107</v>
      </c>
      <c r="K577" s="174"/>
      <c r="L577" s="175" t="s">
        <v>255</v>
      </c>
      <c r="M577" s="176">
        <f ca="1">IF($D577&lt;&gt;"Serviço","",IF(AUTOEVENTO="manual",$A577,IF(ISERROR(MATCH($A577,$A$15:OFFSET($A577,-1,0),0)),MAX($M$15:OFFSET(M577,-1,0))+1,INDEX($M$15:OFFSET(M577,-1,0),MATCH($A577,$A$15:OFFSET($A577,-1,0),0)))))</f>
        <v>58</v>
      </c>
      <c r="N577" s="177" t="str">
        <f ca="1">IF($D577&lt;&gt;"Serviço","",IF(AUTOEVENTO="Manual",IF($A577=0,"&lt;-- defina o número do agrupador",OFFSET(EVENTOS!$D$14,$A577,0)),OFFSET($F$15,$A577,0)))</f>
        <v>INSTALAÇÃO ELÉTRICA 110V - ELETROCALHAS</v>
      </c>
      <c r="O577" s="178"/>
      <c r="Q577" s="178">
        <v>3</v>
      </c>
      <c r="R577" s="179"/>
      <c r="S577" s="179"/>
      <c r="T577" s="179"/>
      <c r="U577" s="179"/>
      <c r="V577" s="179"/>
      <c r="W577" s="179"/>
      <c r="X577" s="179"/>
      <c r="Y577" s="179"/>
      <c r="Z577" s="180"/>
      <c r="AA577" s="179"/>
      <c r="AB577" s="179"/>
      <c r="AC577" s="179"/>
      <c r="AD577" s="179"/>
      <c r="AE577" s="179"/>
      <c r="AF577" s="179"/>
      <c r="AG577" s="179"/>
      <c r="AH577" s="180"/>
      <c r="AJ577" s="544">
        <f ca="1">IF(AND($D577="Serviço",AJ$12&lt;&gt;0,$H577&gt;0,OR(AUTOEVENTO&lt;&gt;"manual",$M577&lt;&gt;1)),
IF(Import.TipoArredondamento&lt;&gt;"TransfereGOV",
ROUND(OFFSET($P577,0,AJ$13),15-13*ORÇAMENTO!$AF$7)/$H577*OFFSET(ORÇAMENTO!$X$15,ROW(AJ577)-ROW(AJ$15),0),
ROUND(ROUND(OFFSET($P577,0,AJ$13),15-13*ORÇAMENTO!$AF$7)*OFFSET(ORÇAMENTO!$W$15,ROW(AJ577)-ROW(AJ$15),0),15-13*ORÇAMENTO!$AF$11)),0)</f>
        <v>0</v>
      </c>
      <c r="AK577" s="545">
        <f ca="1">IF(AND($D577="Serviço",AK$12&lt;&gt;0,$H577&gt;0,OR(AUTOEVENTO&lt;&gt;"manual",$M577&lt;&gt;1)),
IF(Import.TipoArredondamento&lt;&gt;"TransfereGOV",
ROUND(OFFSET($P577,0,AK$13),15-13*ORÇAMENTO!$AF$7)/$H577*OFFSET(ORÇAMENTO!$X$15,ROW(AK577)-ROW(AK$15),0),
ROUND(ROUND(OFFSET($P577,0,AK$13),15-13*ORÇAMENTO!$AF$7)*OFFSET(ORÇAMENTO!$W$15,ROW(AK577)-ROW(AK$15),0),15-13*ORÇAMENTO!$AF$11)),0)</f>
        <v>0</v>
      </c>
      <c r="AL577" s="545">
        <f ca="1">IF(AND($D577="Serviço",AL$12&lt;&gt;0,$H577&gt;0,OR(AUTOEVENTO&lt;&gt;"manual",$M577&lt;&gt;1)),
IF(Import.TipoArredondamento&lt;&gt;"TransfereGOV",
ROUND(OFFSET($P577,0,AL$13),15-13*ORÇAMENTO!$AF$7)/$H577*OFFSET(ORÇAMENTO!$X$15,ROW(AL577)-ROW(AL$15),0),
ROUND(ROUND(OFFSET($P577,0,AL$13),15-13*ORÇAMENTO!$AF$7)*OFFSET(ORÇAMENTO!$W$15,ROW(AL577)-ROW(AL$15),0),15-13*ORÇAMENTO!$AF$11)),0)</f>
        <v>0</v>
      </c>
      <c r="AM577" s="545">
        <f ca="1">IF(AND($D577="Serviço",AM$12&lt;&gt;0,$H577&gt;0,OR(AUTOEVENTO&lt;&gt;"manual",$M577&lt;&gt;1)),
IF(Import.TipoArredondamento&lt;&gt;"TransfereGOV",
ROUND(OFFSET($P577,0,AM$13),15-13*ORÇAMENTO!$AF$7)/$H577*OFFSET(ORÇAMENTO!$X$15,ROW(AM577)-ROW(AM$15),0),
ROUND(ROUND(OFFSET($P577,0,AM$13),15-13*ORÇAMENTO!$AF$7)*OFFSET(ORÇAMENTO!$W$15,ROW(AM577)-ROW(AM$15),0),15-13*ORÇAMENTO!$AF$11)),0)</f>
        <v>0</v>
      </c>
      <c r="AN577" s="545">
        <f ca="1">IF(AND($D577="Serviço",AN$12&lt;&gt;0,$H577&gt;0,OR(AUTOEVENTO&lt;&gt;"manual",$M577&lt;&gt;1)),
IF(Import.TipoArredondamento&lt;&gt;"TransfereGOV",
ROUND(OFFSET($P577,0,AN$13),15-13*ORÇAMENTO!$AF$7)/$H577*OFFSET(ORÇAMENTO!$X$15,ROW(AN577)-ROW(AN$15),0),
ROUND(ROUND(OFFSET($P577,0,AN$13),15-13*ORÇAMENTO!$AF$7)*OFFSET(ORÇAMENTO!$W$15,ROW(AN577)-ROW(AN$15),0),15-13*ORÇAMENTO!$AF$11)),0)</f>
        <v>0</v>
      </c>
      <c r="AO577" s="545">
        <f ca="1">IF(AND($D577="Serviço",AO$12&lt;&gt;0,$H577&gt;0,OR(AUTOEVENTO&lt;&gt;"manual",$M577&lt;&gt;1)),
IF(Import.TipoArredondamento&lt;&gt;"TransfereGOV",
ROUND(OFFSET($P577,0,AO$13),15-13*ORÇAMENTO!$AF$7)/$H577*OFFSET(ORÇAMENTO!$X$15,ROW(AO577)-ROW(AO$15),0),
ROUND(ROUND(OFFSET($P577,0,AO$13),15-13*ORÇAMENTO!$AF$7)*OFFSET(ORÇAMENTO!$W$15,ROW(AO577)-ROW(AO$15),0),15-13*ORÇAMENTO!$AF$11)),0)</f>
        <v>0</v>
      </c>
      <c r="AP577" s="545">
        <f ca="1">IF(AND($D577="Serviço",AP$12&lt;&gt;0,$H577&gt;0,OR(AUTOEVENTO&lt;&gt;"manual",$M577&lt;&gt;1)),
IF(Import.TipoArredondamento&lt;&gt;"TransfereGOV",
ROUND(OFFSET($P577,0,AP$13),15-13*ORÇAMENTO!$AF$7)/$H577*OFFSET(ORÇAMENTO!$X$15,ROW(AP577)-ROW(AP$15),0),
ROUND(ROUND(OFFSET($P577,0,AP$13),15-13*ORÇAMENTO!$AF$7)*OFFSET(ORÇAMENTO!$W$15,ROW(AP577)-ROW(AP$15),0),15-13*ORÇAMENTO!$AF$11)),0)</f>
        <v>0</v>
      </c>
      <c r="AQ577" s="545">
        <f ca="1">IF(AND($D577="Serviço",AQ$12&lt;&gt;0,$H577&gt;0,OR(AUTOEVENTO&lt;&gt;"manual",$M577&lt;&gt;1)),
IF(Import.TipoArredondamento&lt;&gt;"TransfereGOV",
ROUND(OFFSET($P577,0,AQ$13),15-13*ORÇAMENTO!$AF$7)/$H577*OFFSET(ORÇAMENTO!$X$15,ROW(AQ577)-ROW(AQ$15),0),
ROUND(ROUND(OFFSET($P577,0,AQ$13),15-13*ORÇAMENTO!$AF$7)*OFFSET(ORÇAMENTO!$W$15,ROW(AQ577)-ROW(AQ$15),0),15-13*ORÇAMENTO!$AF$11)),0)</f>
        <v>0</v>
      </c>
      <c r="AR577" s="545">
        <f ca="1">IF(AND($D577="Serviço",AR$12&lt;&gt;0,$H577&gt;0,OR(AUTOEVENTO&lt;&gt;"manual",$M577&lt;&gt;1)),
IF(Import.TipoArredondamento&lt;&gt;"TransfereGOV",
ROUND(OFFSET($P577,0,AR$13),15-13*ORÇAMENTO!$AF$7)/$H577*OFFSET(ORÇAMENTO!$X$15,ROW(AR577)-ROW(AR$15),0),
ROUND(ROUND(OFFSET($P577,0,AR$13),15-13*ORÇAMENTO!$AF$7)*OFFSET(ORÇAMENTO!$W$15,ROW(AR577)-ROW(AR$15),0),15-13*ORÇAMENTO!$AF$11)),0)</f>
        <v>0</v>
      </c>
      <c r="AS577" s="546">
        <f ca="1">IF(AND($D577="Serviço",AS$12&lt;&gt;0,$H577&gt;0,OR(AUTOEVENTO&lt;&gt;"manual",$M577&lt;&gt;1)),
IF(Import.TipoArredondamento&lt;&gt;"TransfereGOV",
ROUND(OFFSET($P577,0,AS$13),15-13*ORÇAMENTO!$AF$7)/$H577*OFFSET(ORÇAMENTO!$X$15,ROW(AS577)-ROW(AS$15),0),
ROUND(ROUND(OFFSET($P577,0,AS$13),15-13*ORÇAMENTO!$AF$7)*OFFSET(ORÇAMENTO!$W$15,ROW(AS577)-ROW(AS$15),0),15-13*ORÇAMENTO!$AF$11)),0)</f>
        <v>0</v>
      </c>
      <c r="AT577" s="545">
        <f ca="1">IF(AND($D577="Serviço",AT$12&lt;&gt;0,$H577&gt;0,OR(AUTOEVENTO&lt;&gt;"manual",$M577&lt;&gt;1)),
IF(Import.TipoArredondamento&lt;&gt;"TransfereGOV",
ROUND(OFFSET($P577,0,AT$13),15-13*ORÇAMENTO!$AF$7)/$H577*OFFSET(ORÇAMENTO!$X$15,ROW(AT577)-ROW(AT$15),0),
ROUND(ROUND(OFFSET($P577,0,AT$13),15-13*ORÇAMENTO!$AF$7)*OFFSET(ORÇAMENTO!$W$15,ROW(AT577)-ROW(AT$15),0),15-13*ORÇAMENTO!$AF$11)),0)</f>
        <v>0</v>
      </c>
      <c r="AU577" s="545">
        <f ca="1">IF(AND($D577="Serviço",AU$12&lt;&gt;0,$H577&gt;0,OR(AUTOEVENTO&lt;&gt;"manual",$M577&lt;&gt;1)),
IF(Import.TipoArredondamento&lt;&gt;"TransfereGOV",
ROUND(OFFSET($P577,0,AU$13),15-13*ORÇAMENTO!$AF$7)/$H577*OFFSET(ORÇAMENTO!$X$15,ROW(AU577)-ROW(AU$15),0),
ROUND(ROUND(OFFSET($P577,0,AU$13),15-13*ORÇAMENTO!$AF$7)*OFFSET(ORÇAMENTO!$W$15,ROW(AU577)-ROW(AU$15),0),15-13*ORÇAMENTO!$AF$11)),0)</f>
        <v>0</v>
      </c>
      <c r="AV577" s="545">
        <f ca="1">IF(AND($D577="Serviço",AV$12&lt;&gt;0,$H577&gt;0,OR(AUTOEVENTO&lt;&gt;"manual",$M577&lt;&gt;1)),
IF(Import.TipoArredondamento&lt;&gt;"TransfereGOV",
ROUND(OFFSET($P577,0,AV$13),15-13*ORÇAMENTO!$AF$7)/$H577*OFFSET(ORÇAMENTO!$X$15,ROW(AV577)-ROW(AV$15),0),
ROUND(ROUND(OFFSET($P577,0,AV$13),15-13*ORÇAMENTO!$AF$7)*OFFSET(ORÇAMENTO!$W$15,ROW(AV577)-ROW(AV$15),0),15-13*ORÇAMENTO!$AF$11)),0)</f>
        <v>0</v>
      </c>
      <c r="AW577" s="545">
        <f ca="1">IF(AND($D577="Serviço",AW$12&lt;&gt;0,$H577&gt;0,OR(AUTOEVENTO&lt;&gt;"manual",$M577&lt;&gt;1)),
IF(Import.TipoArredondamento&lt;&gt;"TransfereGOV",
ROUND(OFFSET($P577,0,AW$13),15-13*ORÇAMENTO!$AF$7)/$H577*OFFSET(ORÇAMENTO!$X$15,ROW(AW577)-ROW(AW$15),0),
ROUND(ROUND(OFFSET($P577,0,AW$13),15-13*ORÇAMENTO!$AF$7)*OFFSET(ORÇAMENTO!$W$15,ROW(AW577)-ROW(AW$15),0),15-13*ORÇAMENTO!$AF$11)),0)</f>
        <v>0</v>
      </c>
      <c r="AX577" s="545">
        <f ca="1">IF(AND($D577="Serviço",AX$12&lt;&gt;0,$H577&gt;0,OR(AUTOEVENTO&lt;&gt;"manual",$M577&lt;&gt;1)),
IF(Import.TipoArredondamento&lt;&gt;"TransfereGOV",
ROUND(OFFSET($P577,0,AX$13),15-13*ORÇAMENTO!$AF$7)/$H577*OFFSET(ORÇAMENTO!$X$15,ROW(AX577)-ROW(AX$15),0),
ROUND(ROUND(OFFSET($P577,0,AX$13),15-13*ORÇAMENTO!$AF$7)*OFFSET(ORÇAMENTO!$W$15,ROW(AX577)-ROW(AX$15),0),15-13*ORÇAMENTO!$AF$11)),0)</f>
        <v>0</v>
      </c>
      <c r="AY577" s="545">
        <f ca="1">IF(AND($D577="Serviço",AY$12&lt;&gt;0,$H577&gt;0,OR(AUTOEVENTO&lt;&gt;"manual",$M577&lt;&gt;1)),
IF(Import.TipoArredondamento&lt;&gt;"TransfereGOV",
ROUND(OFFSET($P577,0,AY$13),15-13*ORÇAMENTO!$AF$7)/$H577*OFFSET(ORÇAMENTO!$X$15,ROW(AY577)-ROW(AY$15),0),
ROUND(ROUND(OFFSET($P577,0,AY$13),15-13*ORÇAMENTO!$AF$7)*OFFSET(ORÇAMENTO!$W$15,ROW(AY577)-ROW(AY$15),0),15-13*ORÇAMENTO!$AF$11)),0)</f>
        <v>0</v>
      </c>
      <c r="AZ577" s="545">
        <f ca="1">IF(AND($D577="Serviço",AZ$12&lt;&gt;0,$H577&gt;0,OR(AUTOEVENTO&lt;&gt;"manual",$M577&lt;&gt;1)),
IF(Import.TipoArredondamento&lt;&gt;"TransfereGOV",
ROUND(OFFSET($P577,0,AZ$13),15-13*ORÇAMENTO!$AF$7)/$H577*OFFSET(ORÇAMENTO!$X$15,ROW(AZ577)-ROW(AZ$15),0),
ROUND(ROUND(OFFSET($P577,0,AZ$13),15-13*ORÇAMENTO!$AF$7)*OFFSET(ORÇAMENTO!$W$15,ROW(AZ577)-ROW(AZ$15),0),15-13*ORÇAMENTO!$AF$11)),0)</f>
        <v>0</v>
      </c>
      <c r="BA577" s="546">
        <f ca="1">IF(AND($D577="Serviço",BA$12&lt;&gt;0,$H577&gt;0,OR(AUTOEVENTO&lt;&gt;"manual",$M577&lt;&gt;1)),
IF(Import.TipoArredondamento&lt;&gt;"TransfereGOV",
ROUND(OFFSET($P577,0,BA$13),15-13*ORÇAMENTO!$AF$7)/$H577*OFFSET(ORÇAMENTO!$X$15,ROW(BA577)-ROW(BA$15),0),
ROUND(ROUND(OFFSET($P577,0,BA$13),15-13*ORÇAMENTO!$AF$7)*OFFSET(ORÇAMENTO!$W$15,ROW(BA577)-ROW(BA$15),0),15-13*ORÇAMENTO!$AF$11)),0)</f>
        <v>0</v>
      </c>
      <c r="BC577" s="181">
        <f ca="1">IF($D577&lt;&gt;"Serviço",0,IF(AND(AUTOEVENTO="Manual",$M577=1),0,IF(OFFSET(CRONOPLE!$F$14,$M577,BC$13)="",10^12,OFFSET(CRONOPLE!$F$14,$M577,BC$13))))</f>
        <v>10</v>
      </c>
      <c r="BD577" s="181">
        <f ca="1">IF($D577&lt;&gt;"Serviço",0,IF(AND(AUTOEVENTO="Manual",$M577=1),0,IF(OFFSET(CRONOPLE!$F$14,$M577,BD$13)="",10^12,OFFSET(CRONOPLE!$F$14,$M577,BD$13))))</f>
        <v>1000000000000</v>
      </c>
      <c r="BE577" s="181">
        <f ca="1">IF($D577&lt;&gt;"Serviço",0,IF(AND(AUTOEVENTO="Manual",$M577=1),0,IF(OFFSET(CRONOPLE!$F$14,$M577,BE$13)="",10^12,OFFSET(CRONOPLE!$F$14,$M577,BE$13))))</f>
        <v>1000000000000</v>
      </c>
      <c r="BF577" s="181">
        <f ca="1">IF($D577&lt;&gt;"Serviço",0,IF(AND(AUTOEVENTO="Manual",$M577=1),0,IF(OFFSET(CRONOPLE!$F$14,$M577,BF$13)="",10^12,OFFSET(CRONOPLE!$F$14,$M577,BF$13))))</f>
        <v>1000000000000</v>
      </c>
      <c r="BG577" s="181">
        <f ca="1">IF($D577&lt;&gt;"Serviço",0,IF(AND(AUTOEVENTO="Manual",$M577=1),0,IF(OFFSET(CRONOPLE!$F$14,$M577,BG$13)="",10^12,OFFSET(CRONOPLE!$F$14,$M577,BG$13))))</f>
        <v>1000000000000</v>
      </c>
      <c r="BH577" s="181">
        <f ca="1">IF($D577&lt;&gt;"Serviço",0,IF(AND(AUTOEVENTO="Manual",$M577=1),0,IF(OFFSET(CRONOPLE!$F$14,$M577,BH$13)="",10^12,OFFSET(CRONOPLE!$F$14,$M577,BH$13))))</f>
        <v>1000000000000</v>
      </c>
      <c r="BI577" s="181">
        <f ca="1">IF($D577&lt;&gt;"Serviço",0,IF(AND(AUTOEVENTO="Manual",$M577=1),0,IF(OFFSET(CRONOPLE!$F$14,$M577,BI$13)="",10^12,OFFSET(CRONOPLE!$F$14,$M577,BI$13))))</f>
        <v>1000000000000</v>
      </c>
      <c r="BJ577" s="181">
        <f ca="1">IF($D577&lt;&gt;"Serviço",0,IF(AND(AUTOEVENTO="Manual",$M577=1),0,IF(OFFSET(CRONOPLE!$F$14,$M577,BJ$13)="",10^12,OFFSET(CRONOPLE!$F$14,$M577,BJ$13))))</f>
        <v>1000000000000</v>
      </c>
      <c r="BK577" s="181">
        <f ca="1">IF($D577&lt;&gt;"Serviço",0,IF(AND(AUTOEVENTO="Manual",$M577=1),0,IF(OFFSET(CRONOPLE!$F$14,$M577,BK$13)="",10^12,OFFSET(CRONOPLE!$F$14,$M577,BK$13))))</f>
        <v>1000000000000</v>
      </c>
      <c r="BL577" s="181">
        <f ca="1">IF($D577&lt;&gt;"Serviço",0,IF(AND(AUTOEVENTO="Manual",$M577=1),0,IF(OFFSET(CRONOPLE!$F$14,$M577,BL$13)="",10^12,OFFSET(CRONOPLE!$F$14,$M577,BL$13))))</f>
        <v>1000000000000</v>
      </c>
      <c r="BM577" s="181">
        <f ca="1">IF($D577&lt;&gt;"Serviço",0,IF(AND(AUTOEVENTO="Manual",$M577=1),0,IF(OFFSET(CRONOPLE!$F$14,$M577,BM$13)="",10^12,OFFSET(CRONOPLE!$F$14,$M577,BM$13))))</f>
        <v>1000000000000</v>
      </c>
      <c r="BN577" s="181">
        <f ca="1">IF($D577&lt;&gt;"Serviço",0,IF(AND(AUTOEVENTO="Manual",$M577=1),0,IF(OFFSET(CRONOPLE!$F$14,$M577,BN$13)="",10^12,OFFSET(CRONOPLE!$F$14,$M577,BN$13))))</f>
        <v>1000000000000</v>
      </c>
      <c r="BO577" s="181">
        <f ca="1">IF($D577&lt;&gt;"Serviço",0,IF(AND(AUTOEVENTO="Manual",$M577=1),0,IF(OFFSET(CRONOPLE!$F$14,$M577,BO$13)="",10^12,OFFSET(CRONOPLE!$F$14,$M577,BO$13))))</f>
        <v>1000000000000</v>
      </c>
      <c r="BP577" s="181">
        <f ca="1">IF($D577&lt;&gt;"Serviço",0,IF(AND(AUTOEVENTO="Manual",$M577=1),0,IF(OFFSET(CRONOPLE!$F$14,$M577,BP$13)="",10^12,OFFSET(CRONOPLE!$F$14,$M577,BP$13))))</f>
        <v>1000000000000</v>
      </c>
      <c r="BQ577" s="181">
        <f ca="1">IF($D577&lt;&gt;"Serviço",0,IF(AND(AUTOEVENTO="Manual",$M577=1),0,IF(OFFSET(CRONOPLE!$F$14,$M577,BQ$13)="",10^12,OFFSET(CRONOPLE!$F$14,$M577,BQ$13))))</f>
        <v>1000000000000</v>
      </c>
      <c r="BR577" s="181">
        <f ca="1">IF($D577&lt;&gt;"Serviço",0,IF(AND(AUTOEVENTO="Manual",$M577=1),0,IF(OFFSET(CRONOPLE!$F$14,$M577,BR$13)="",10^12,OFFSET(CRONOPLE!$F$14,$M577,BR$13))))</f>
        <v>1000000000000</v>
      </c>
      <c r="BS577" s="181">
        <f ca="1">IF($D577&lt;&gt;"Serviço",0,IF(AND(AUTOEVENTO="Manual",$M577=1),0,IF(OFFSET(CRONOPLE!$F$14,$M577,BS$13)="",10^12,OFFSET(CRONOPLE!$F$14,$M577,BS$13))))</f>
        <v>1000000000000</v>
      </c>
      <c r="BT577" s="181">
        <f ca="1">IF($D577&lt;&gt;"Serviço",0,IF(AND(AUTOEVENTO="Manual",$M577=1),0,IF(OFFSET(CRONOPLE!$F$14,$M577,BT$13)="",10^12,OFFSET(CRONOPLE!$F$14,$M577,BT$13))))</f>
        <v>1000000000000</v>
      </c>
      <c r="BV577" s="182">
        <f ca="1">IF($D577&lt;&gt;"Serviço",0,IF(OR(AND(AUTOEVENTO="Manual",$M577=1),$M577&gt;(ROW(PLE.lastrow)-ROW(PLE.firstrow))),0,IF(OFFSET(PLE!$G$14,$M577,BV$13)="",10^12,OFFSET(PLE!$G$14,$M577,BV$13))))</f>
        <v>1000000000000</v>
      </c>
      <c r="BW577" s="182">
        <f ca="1">IF($D577&lt;&gt;"Serviço",0,IF(OR(AND(AUTOEVENTO="Manual",$M577=1),$M577&gt;(ROW(PLE.lastrow)-ROW(PLE.firstrow))),0,IF(OFFSET(PLE!$G$14,$M577,BW$13)="",10^12,OFFSET(PLE!$G$14,$M577,BW$13))))</f>
        <v>1000000000000</v>
      </c>
      <c r="BX577" s="182">
        <f ca="1">IF($D577&lt;&gt;"Serviço",0,IF(OR(AND(AUTOEVENTO="Manual",$M577=1),$M577&gt;(ROW(PLE.lastrow)-ROW(PLE.firstrow))),0,IF(OFFSET(PLE!$G$14,$M577,BX$13)="",10^12,OFFSET(PLE!$G$14,$M577,BX$13))))</f>
        <v>1000000000000</v>
      </c>
      <c r="BY577" s="182">
        <f ca="1">IF($D577&lt;&gt;"Serviço",0,IF(OR(AND(AUTOEVENTO="Manual",$M577=1),$M577&gt;(ROW(PLE.lastrow)-ROW(PLE.firstrow))),0,IF(OFFSET(PLE!$G$14,$M577,BY$13)="",10^12,OFFSET(PLE!$G$14,$M577,BY$13))))</f>
        <v>1000000000000</v>
      </c>
      <c r="BZ577" s="182">
        <f ca="1">IF($D577&lt;&gt;"Serviço",0,IF(OR(AND(AUTOEVENTO="Manual",$M577=1),$M577&gt;(ROW(PLE.lastrow)-ROW(PLE.firstrow))),0,IF(OFFSET(PLE!$G$14,$M577,BZ$13)="",10^12,OFFSET(PLE!$G$14,$M577,BZ$13))))</f>
        <v>1000000000000</v>
      </c>
      <c r="CA577" s="182">
        <f ca="1">IF($D577&lt;&gt;"Serviço",0,IF(OR(AND(AUTOEVENTO="Manual",$M577=1),$M577&gt;(ROW(PLE.lastrow)-ROW(PLE.firstrow))),0,IF(OFFSET(PLE!$G$14,$M577,CA$13)="",10^12,OFFSET(PLE!$G$14,$M577,CA$13))))</f>
        <v>1000000000000</v>
      </c>
      <c r="CB577" s="182">
        <f ca="1">IF($D577&lt;&gt;"Serviço",0,IF(OR(AND(AUTOEVENTO="Manual",$M577=1),$M577&gt;(ROW(PLE.lastrow)-ROW(PLE.firstrow))),0,IF(OFFSET(PLE!$G$14,$M577,CB$13)="",10^12,OFFSET(PLE!$G$14,$M577,CB$13))))</f>
        <v>1000000000000</v>
      </c>
      <c r="CC577" s="182">
        <f ca="1">IF($D577&lt;&gt;"Serviço",0,IF(OR(AND(AUTOEVENTO="Manual",$M577=1),$M577&gt;(ROW(PLE.lastrow)-ROW(PLE.firstrow))),0,IF(OFFSET(PLE!$G$14,$M577,CC$13)="",10^12,OFFSET(PLE!$G$14,$M577,CC$13))))</f>
        <v>1000000000000</v>
      </c>
      <c r="CD577" s="182">
        <f ca="1">IF($D577&lt;&gt;"Serviço",0,IF(OR(AND(AUTOEVENTO="Manual",$M577=1),$M577&gt;(ROW(PLE.lastrow)-ROW(PLE.firstrow))),0,IF(OFFSET(PLE!$G$14,$M577,CD$13)="",10^12,OFFSET(PLE!$G$14,$M577,CD$13))))</f>
        <v>1000000000000</v>
      </c>
      <c r="CE577" s="182">
        <f ca="1">IF($D577&lt;&gt;"Serviço",0,IF(OR(AND(AUTOEVENTO="Manual",$M577=1),$M577&gt;(ROW(PLE.lastrow)-ROW(PLE.firstrow))),0,IF(OFFSET(PLE!$G$14,$M577,CE$13)="",10^12,OFFSET(PLE!$G$14,$M577,CE$13))))</f>
        <v>1000000000000</v>
      </c>
      <c r="CF577" s="182">
        <f ca="1">IF($D577&lt;&gt;"Serviço",0,IF(OR(AND(AUTOEVENTO="Manual",$M577=1),$M577&gt;(ROW(PLE.lastrow)-ROW(PLE.firstrow))),0,IF(OFFSET(PLE!$G$14,$M577,CF$13)="",10^12,OFFSET(PLE!$G$14,$M577,CF$13))))</f>
        <v>1000000000000</v>
      </c>
      <c r="CG577" s="182">
        <f ca="1">IF($D577&lt;&gt;"Serviço",0,IF(OR(AND(AUTOEVENTO="Manual",$M577=1),$M577&gt;(ROW(PLE.lastrow)-ROW(PLE.firstrow))),0,IF(OFFSET(PLE!$G$14,$M577,CG$13)="",10^12,OFFSET(PLE!$G$14,$M577,CG$13))))</f>
        <v>1000000000000</v>
      </c>
      <c r="CH577" s="182">
        <f ca="1">IF($D577&lt;&gt;"Serviço",0,IF(OR(AND(AUTOEVENTO="Manual",$M577=1),$M577&gt;(ROW(PLE.lastrow)-ROW(PLE.firstrow))),0,IF(OFFSET(PLE!$G$14,$M577,CH$13)="",10^12,OFFSET(PLE!$G$14,$M577,CH$13))))</f>
        <v>1000000000000</v>
      </c>
      <c r="CI577" s="182">
        <f ca="1">IF($D577&lt;&gt;"Serviço",0,IF(OR(AND(AUTOEVENTO="Manual",$M577=1),$M577&gt;(ROW(PLE.lastrow)-ROW(PLE.firstrow))),0,IF(OFFSET(PLE!$G$14,$M577,CI$13)="",10^12,OFFSET(PLE!$G$14,$M577,CI$13))))</f>
        <v>1000000000000</v>
      </c>
      <c r="CJ577" s="182">
        <f ca="1">IF($D577&lt;&gt;"Serviço",0,IF(OR(AND(AUTOEVENTO="Manual",$M577=1),$M577&gt;(ROW(PLE.lastrow)-ROW(PLE.firstrow))),0,IF(OFFSET(PLE!$G$14,$M577,CJ$13)="",10^12,OFFSET(PLE!$G$14,$M577,CJ$13))))</f>
        <v>1000000000000</v>
      </c>
      <c r="CK577" s="182">
        <f ca="1">IF($D577&lt;&gt;"Serviço",0,IF(OR(AND(AUTOEVENTO="Manual",$M577=1),$M577&gt;(ROW(PLE.lastrow)-ROW(PLE.firstrow))),0,IF(OFFSET(PLE!$G$14,$M577,CK$13)="",10^12,OFFSET(PLE!$G$14,$M577,CK$13))))</f>
        <v>1000000000000</v>
      </c>
      <c r="CL577" s="182">
        <f ca="1">IF($D577&lt;&gt;"Serviço",0,IF(OR(AND(AUTOEVENTO="Manual",$M577=1),$M577&gt;(ROW(PLE.lastrow)-ROW(PLE.firstrow))),0,IF(OFFSET(PLE!$G$14,$M577,CL$13)="",10^12,OFFSET(PLE!$G$14,$M577,CL$13))))</f>
        <v>1000000000000</v>
      </c>
      <c r="CM577" s="182">
        <f ca="1">IF($D577&lt;&gt;"Serviço",0,IF(OR(AND(AUTOEVENTO="Manual",$M577=1),$M577&gt;(ROW(PLE.lastrow)-ROW(PLE.firstrow))),0,IF(OFFSET(PLE!$G$14,$M577,CM$13)="",10^12,OFFSET(PLE!$G$14,$M577,CM$13))))</f>
        <v>1000000000000</v>
      </c>
    </row>
    <row r="578" spans="1:91" ht="25.5" x14ac:dyDescent="0.2">
      <c r="A578" s="7" t="str">
        <f t="shared" ca="1" si="17"/>
        <v>552</v>
      </c>
      <c r="B578" s="7" t="str">
        <f ca="1">OFFSET(ORÇAMENTO!C$15,ROW(B578)-ROW(B$15),0)</f>
        <v>S</v>
      </c>
      <c r="C578" s="7" t="str">
        <f ca="1">OFFSET(ORÇAMENTO!L$15,ROW(C578)-ROW(C$15),0)</f>
        <v/>
      </c>
      <c r="D578" s="118" t="str">
        <f ca="1">OFFSET(ORÇAMENTO!N$15,ROW(D578)-ROW(D$15),0)</f>
        <v>Serviço</v>
      </c>
      <c r="E578" s="119" t="str">
        <f ca="1">OFFSET(ORÇAMENTO!O$15,ROW(E578)-ROW(E$15),0)</f>
        <v>-</v>
      </c>
      <c r="F578" s="172" t="str">
        <f ca="1">OFFSET(ORÇAMENTO!R$15,ROW(F578)-ROW(F$15),0)</f>
        <v>(abra o arquivo 'Referência 06-2024.xlsm)</v>
      </c>
      <c r="G578" s="173" t="str">
        <f ca="1">IF($D578&lt;&gt;"Serviço","",OFFSET(ORÇAMENTO!S$15,ROW(G578)-ROW(G$15),0))</f>
        <v>-</v>
      </c>
      <c r="H578" s="124">
        <f ca="1">IF($D578&lt;&gt;"Serviço",0,IF(ACOMPANHAMENTO="BM",ROUND(OFFSET(ORÇAMENTO!AJ$15,ROW(H578)-ROW(H$15),0),15-13*ORÇAMENTO!$AF$7),SUMPRODUCT(($Q$12:$AI$12&lt;&gt;"")*ROUND($Q578:$AI578,15-13*ORÇAMENTO!$AF$7))))</f>
        <v>1</v>
      </c>
      <c r="I578" s="561" t="s">
        <v>1107</v>
      </c>
      <c r="K578" s="174"/>
      <c r="L578" s="175" t="s">
        <v>255</v>
      </c>
      <c r="M578" s="176">
        <f ca="1">IF($D578&lt;&gt;"Serviço","",IF(AUTOEVENTO="manual",$A578,IF(ISERROR(MATCH($A578,$A$15:OFFSET($A578,-1,0),0)),MAX($M$15:OFFSET(M578,-1,0))+1,INDEX($M$15:OFFSET(M578,-1,0),MATCH($A578,$A$15:OFFSET($A578,-1,0),0)))))</f>
        <v>58</v>
      </c>
      <c r="N578" s="177" t="str">
        <f ca="1">IF($D578&lt;&gt;"Serviço","",IF(AUTOEVENTO="Manual",IF($A578=0,"&lt;-- defina o número do agrupador",OFFSET(EVENTOS!$D$14,$A578,0)),OFFSET($F$15,$A578,0)))</f>
        <v>INSTALAÇÃO ELÉTRICA 110V - ELETROCALHAS</v>
      </c>
      <c r="O578" s="178"/>
      <c r="Q578" s="178">
        <v>1</v>
      </c>
      <c r="R578" s="179"/>
      <c r="S578" s="179"/>
      <c r="T578" s="179"/>
      <c r="U578" s="179"/>
      <c r="V578" s="179"/>
      <c r="W578" s="179"/>
      <c r="X578" s="179"/>
      <c r="Y578" s="179"/>
      <c r="Z578" s="180"/>
      <c r="AA578" s="179"/>
      <c r="AB578" s="179"/>
      <c r="AC578" s="179"/>
      <c r="AD578" s="179"/>
      <c r="AE578" s="179"/>
      <c r="AF578" s="179"/>
      <c r="AG578" s="179"/>
      <c r="AH578" s="180"/>
      <c r="AJ578" s="544">
        <f ca="1">IF(AND($D578="Serviço",AJ$12&lt;&gt;0,$H578&gt;0,OR(AUTOEVENTO&lt;&gt;"manual",$M578&lt;&gt;1)),
IF(Import.TipoArredondamento&lt;&gt;"TransfereGOV",
ROUND(OFFSET($P578,0,AJ$13),15-13*ORÇAMENTO!$AF$7)/$H578*OFFSET(ORÇAMENTO!$X$15,ROW(AJ578)-ROW(AJ$15),0),
ROUND(ROUND(OFFSET($P578,0,AJ$13),15-13*ORÇAMENTO!$AF$7)*OFFSET(ORÇAMENTO!$W$15,ROW(AJ578)-ROW(AJ$15),0),15-13*ORÇAMENTO!$AF$11)),0)</f>
        <v>0</v>
      </c>
      <c r="AK578" s="545">
        <f ca="1">IF(AND($D578="Serviço",AK$12&lt;&gt;0,$H578&gt;0,OR(AUTOEVENTO&lt;&gt;"manual",$M578&lt;&gt;1)),
IF(Import.TipoArredondamento&lt;&gt;"TransfereGOV",
ROUND(OFFSET($P578,0,AK$13),15-13*ORÇAMENTO!$AF$7)/$H578*OFFSET(ORÇAMENTO!$X$15,ROW(AK578)-ROW(AK$15),0),
ROUND(ROUND(OFFSET($P578,0,AK$13),15-13*ORÇAMENTO!$AF$7)*OFFSET(ORÇAMENTO!$W$15,ROW(AK578)-ROW(AK$15),0),15-13*ORÇAMENTO!$AF$11)),0)</f>
        <v>0</v>
      </c>
      <c r="AL578" s="545">
        <f ca="1">IF(AND($D578="Serviço",AL$12&lt;&gt;0,$H578&gt;0,OR(AUTOEVENTO&lt;&gt;"manual",$M578&lt;&gt;1)),
IF(Import.TipoArredondamento&lt;&gt;"TransfereGOV",
ROUND(OFFSET($P578,0,AL$13),15-13*ORÇAMENTO!$AF$7)/$H578*OFFSET(ORÇAMENTO!$X$15,ROW(AL578)-ROW(AL$15),0),
ROUND(ROUND(OFFSET($P578,0,AL$13),15-13*ORÇAMENTO!$AF$7)*OFFSET(ORÇAMENTO!$W$15,ROW(AL578)-ROW(AL$15),0),15-13*ORÇAMENTO!$AF$11)),0)</f>
        <v>0</v>
      </c>
      <c r="AM578" s="545">
        <f ca="1">IF(AND($D578="Serviço",AM$12&lt;&gt;0,$H578&gt;0,OR(AUTOEVENTO&lt;&gt;"manual",$M578&lt;&gt;1)),
IF(Import.TipoArredondamento&lt;&gt;"TransfereGOV",
ROUND(OFFSET($P578,0,AM$13),15-13*ORÇAMENTO!$AF$7)/$H578*OFFSET(ORÇAMENTO!$X$15,ROW(AM578)-ROW(AM$15),0),
ROUND(ROUND(OFFSET($P578,0,AM$13),15-13*ORÇAMENTO!$AF$7)*OFFSET(ORÇAMENTO!$W$15,ROW(AM578)-ROW(AM$15),0),15-13*ORÇAMENTO!$AF$11)),0)</f>
        <v>0</v>
      </c>
      <c r="AN578" s="545">
        <f ca="1">IF(AND($D578="Serviço",AN$12&lt;&gt;0,$H578&gt;0,OR(AUTOEVENTO&lt;&gt;"manual",$M578&lt;&gt;1)),
IF(Import.TipoArredondamento&lt;&gt;"TransfereGOV",
ROUND(OFFSET($P578,0,AN$13),15-13*ORÇAMENTO!$AF$7)/$H578*OFFSET(ORÇAMENTO!$X$15,ROW(AN578)-ROW(AN$15),0),
ROUND(ROUND(OFFSET($P578,0,AN$13),15-13*ORÇAMENTO!$AF$7)*OFFSET(ORÇAMENTO!$W$15,ROW(AN578)-ROW(AN$15),0),15-13*ORÇAMENTO!$AF$11)),0)</f>
        <v>0</v>
      </c>
      <c r="AO578" s="545">
        <f ca="1">IF(AND($D578="Serviço",AO$12&lt;&gt;0,$H578&gt;0,OR(AUTOEVENTO&lt;&gt;"manual",$M578&lt;&gt;1)),
IF(Import.TipoArredondamento&lt;&gt;"TransfereGOV",
ROUND(OFFSET($P578,0,AO$13),15-13*ORÇAMENTO!$AF$7)/$H578*OFFSET(ORÇAMENTO!$X$15,ROW(AO578)-ROW(AO$15),0),
ROUND(ROUND(OFFSET($P578,0,AO$13),15-13*ORÇAMENTO!$AF$7)*OFFSET(ORÇAMENTO!$W$15,ROW(AO578)-ROW(AO$15),0),15-13*ORÇAMENTO!$AF$11)),0)</f>
        <v>0</v>
      </c>
      <c r="AP578" s="545">
        <f ca="1">IF(AND($D578="Serviço",AP$12&lt;&gt;0,$H578&gt;0,OR(AUTOEVENTO&lt;&gt;"manual",$M578&lt;&gt;1)),
IF(Import.TipoArredondamento&lt;&gt;"TransfereGOV",
ROUND(OFFSET($P578,0,AP$13),15-13*ORÇAMENTO!$AF$7)/$H578*OFFSET(ORÇAMENTO!$X$15,ROW(AP578)-ROW(AP$15),0),
ROUND(ROUND(OFFSET($P578,0,AP$13),15-13*ORÇAMENTO!$AF$7)*OFFSET(ORÇAMENTO!$W$15,ROW(AP578)-ROW(AP$15),0),15-13*ORÇAMENTO!$AF$11)),0)</f>
        <v>0</v>
      </c>
      <c r="AQ578" s="545">
        <f ca="1">IF(AND($D578="Serviço",AQ$12&lt;&gt;0,$H578&gt;0,OR(AUTOEVENTO&lt;&gt;"manual",$M578&lt;&gt;1)),
IF(Import.TipoArredondamento&lt;&gt;"TransfereGOV",
ROUND(OFFSET($P578,0,AQ$13),15-13*ORÇAMENTO!$AF$7)/$H578*OFFSET(ORÇAMENTO!$X$15,ROW(AQ578)-ROW(AQ$15),0),
ROUND(ROUND(OFFSET($P578,0,AQ$13),15-13*ORÇAMENTO!$AF$7)*OFFSET(ORÇAMENTO!$W$15,ROW(AQ578)-ROW(AQ$15),0),15-13*ORÇAMENTO!$AF$11)),0)</f>
        <v>0</v>
      </c>
      <c r="AR578" s="545">
        <f ca="1">IF(AND($D578="Serviço",AR$12&lt;&gt;0,$H578&gt;0,OR(AUTOEVENTO&lt;&gt;"manual",$M578&lt;&gt;1)),
IF(Import.TipoArredondamento&lt;&gt;"TransfereGOV",
ROUND(OFFSET($P578,0,AR$13),15-13*ORÇAMENTO!$AF$7)/$H578*OFFSET(ORÇAMENTO!$X$15,ROW(AR578)-ROW(AR$15),0),
ROUND(ROUND(OFFSET($P578,0,AR$13),15-13*ORÇAMENTO!$AF$7)*OFFSET(ORÇAMENTO!$W$15,ROW(AR578)-ROW(AR$15),0),15-13*ORÇAMENTO!$AF$11)),0)</f>
        <v>0</v>
      </c>
      <c r="AS578" s="546">
        <f ca="1">IF(AND($D578="Serviço",AS$12&lt;&gt;0,$H578&gt;0,OR(AUTOEVENTO&lt;&gt;"manual",$M578&lt;&gt;1)),
IF(Import.TipoArredondamento&lt;&gt;"TransfereGOV",
ROUND(OFFSET($P578,0,AS$13),15-13*ORÇAMENTO!$AF$7)/$H578*OFFSET(ORÇAMENTO!$X$15,ROW(AS578)-ROW(AS$15),0),
ROUND(ROUND(OFFSET($P578,0,AS$13),15-13*ORÇAMENTO!$AF$7)*OFFSET(ORÇAMENTO!$W$15,ROW(AS578)-ROW(AS$15),0),15-13*ORÇAMENTO!$AF$11)),0)</f>
        <v>0</v>
      </c>
      <c r="AT578" s="545">
        <f ca="1">IF(AND($D578="Serviço",AT$12&lt;&gt;0,$H578&gt;0,OR(AUTOEVENTO&lt;&gt;"manual",$M578&lt;&gt;1)),
IF(Import.TipoArredondamento&lt;&gt;"TransfereGOV",
ROUND(OFFSET($P578,0,AT$13),15-13*ORÇAMENTO!$AF$7)/$H578*OFFSET(ORÇAMENTO!$X$15,ROW(AT578)-ROW(AT$15),0),
ROUND(ROUND(OFFSET($P578,0,AT$13),15-13*ORÇAMENTO!$AF$7)*OFFSET(ORÇAMENTO!$W$15,ROW(AT578)-ROW(AT$15),0),15-13*ORÇAMENTO!$AF$11)),0)</f>
        <v>0</v>
      </c>
      <c r="AU578" s="545">
        <f ca="1">IF(AND($D578="Serviço",AU$12&lt;&gt;0,$H578&gt;0,OR(AUTOEVENTO&lt;&gt;"manual",$M578&lt;&gt;1)),
IF(Import.TipoArredondamento&lt;&gt;"TransfereGOV",
ROUND(OFFSET($P578,0,AU$13),15-13*ORÇAMENTO!$AF$7)/$H578*OFFSET(ORÇAMENTO!$X$15,ROW(AU578)-ROW(AU$15),0),
ROUND(ROUND(OFFSET($P578,0,AU$13),15-13*ORÇAMENTO!$AF$7)*OFFSET(ORÇAMENTO!$W$15,ROW(AU578)-ROW(AU$15),0),15-13*ORÇAMENTO!$AF$11)),0)</f>
        <v>0</v>
      </c>
      <c r="AV578" s="545">
        <f ca="1">IF(AND($D578="Serviço",AV$12&lt;&gt;0,$H578&gt;0,OR(AUTOEVENTO&lt;&gt;"manual",$M578&lt;&gt;1)),
IF(Import.TipoArredondamento&lt;&gt;"TransfereGOV",
ROUND(OFFSET($P578,0,AV$13),15-13*ORÇAMENTO!$AF$7)/$H578*OFFSET(ORÇAMENTO!$X$15,ROW(AV578)-ROW(AV$15),0),
ROUND(ROUND(OFFSET($P578,0,AV$13),15-13*ORÇAMENTO!$AF$7)*OFFSET(ORÇAMENTO!$W$15,ROW(AV578)-ROW(AV$15),0),15-13*ORÇAMENTO!$AF$11)),0)</f>
        <v>0</v>
      </c>
      <c r="AW578" s="545">
        <f ca="1">IF(AND($D578="Serviço",AW$12&lt;&gt;0,$H578&gt;0,OR(AUTOEVENTO&lt;&gt;"manual",$M578&lt;&gt;1)),
IF(Import.TipoArredondamento&lt;&gt;"TransfereGOV",
ROUND(OFFSET($P578,0,AW$13),15-13*ORÇAMENTO!$AF$7)/$H578*OFFSET(ORÇAMENTO!$X$15,ROW(AW578)-ROW(AW$15),0),
ROUND(ROUND(OFFSET($P578,0,AW$13),15-13*ORÇAMENTO!$AF$7)*OFFSET(ORÇAMENTO!$W$15,ROW(AW578)-ROW(AW$15),0),15-13*ORÇAMENTO!$AF$11)),0)</f>
        <v>0</v>
      </c>
      <c r="AX578" s="545">
        <f ca="1">IF(AND($D578="Serviço",AX$12&lt;&gt;0,$H578&gt;0,OR(AUTOEVENTO&lt;&gt;"manual",$M578&lt;&gt;1)),
IF(Import.TipoArredondamento&lt;&gt;"TransfereGOV",
ROUND(OFFSET($P578,0,AX$13),15-13*ORÇAMENTO!$AF$7)/$H578*OFFSET(ORÇAMENTO!$X$15,ROW(AX578)-ROW(AX$15),0),
ROUND(ROUND(OFFSET($P578,0,AX$13),15-13*ORÇAMENTO!$AF$7)*OFFSET(ORÇAMENTO!$W$15,ROW(AX578)-ROW(AX$15),0),15-13*ORÇAMENTO!$AF$11)),0)</f>
        <v>0</v>
      </c>
      <c r="AY578" s="545">
        <f ca="1">IF(AND($D578="Serviço",AY$12&lt;&gt;0,$H578&gt;0,OR(AUTOEVENTO&lt;&gt;"manual",$M578&lt;&gt;1)),
IF(Import.TipoArredondamento&lt;&gt;"TransfereGOV",
ROUND(OFFSET($P578,0,AY$13),15-13*ORÇAMENTO!$AF$7)/$H578*OFFSET(ORÇAMENTO!$X$15,ROW(AY578)-ROW(AY$15),0),
ROUND(ROUND(OFFSET($P578,0,AY$13),15-13*ORÇAMENTO!$AF$7)*OFFSET(ORÇAMENTO!$W$15,ROW(AY578)-ROW(AY$15),0),15-13*ORÇAMENTO!$AF$11)),0)</f>
        <v>0</v>
      </c>
      <c r="AZ578" s="545">
        <f ca="1">IF(AND($D578="Serviço",AZ$12&lt;&gt;0,$H578&gt;0,OR(AUTOEVENTO&lt;&gt;"manual",$M578&lt;&gt;1)),
IF(Import.TipoArredondamento&lt;&gt;"TransfereGOV",
ROUND(OFFSET($P578,0,AZ$13),15-13*ORÇAMENTO!$AF$7)/$H578*OFFSET(ORÇAMENTO!$X$15,ROW(AZ578)-ROW(AZ$15),0),
ROUND(ROUND(OFFSET($P578,0,AZ$13),15-13*ORÇAMENTO!$AF$7)*OFFSET(ORÇAMENTO!$W$15,ROW(AZ578)-ROW(AZ$15),0),15-13*ORÇAMENTO!$AF$11)),0)</f>
        <v>0</v>
      </c>
      <c r="BA578" s="546">
        <f ca="1">IF(AND($D578="Serviço",BA$12&lt;&gt;0,$H578&gt;0,OR(AUTOEVENTO&lt;&gt;"manual",$M578&lt;&gt;1)),
IF(Import.TipoArredondamento&lt;&gt;"TransfereGOV",
ROUND(OFFSET($P578,0,BA$13),15-13*ORÇAMENTO!$AF$7)/$H578*OFFSET(ORÇAMENTO!$X$15,ROW(BA578)-ROW(BA$15),0),
ROUND(ROUND(OFFSET($P578,0,BA$13),15-13*ORÇAMENTO!$AF$7)*OFFSET(ORÇAMENTO!$W$15,ROW(BA578)-ROW(BA$15),0),15-13*ORÇAMENTO!$AF$11)),0)</f>
        <v>0</v>
      </c>
      <c r="BC578" s="181">
        <f ca="1">IF($D578&lt;&gt;"Serviço",0,IF(AND(AUTOEVENTO="Manual",$M578=1),0,IF(OFFSET(CRONOPLE!$F$14,$M578,BC$13)="",10^12,OFFSET(CRONOPLE!$F$14,$M578,BC$13))))</f>
        <v>10</v>
      </c>
      <c r="BD578" s="181">
        <f ca="1">IF($D578&lt;&gt;"Serviço",0,IF(AND(AUTOEVENTO="Manual",$M578=1),0,IF(OFFSET(CRONOPLE!$F$14,$M578,BD$13)="",10^12,OFFSET(CRONOPLE!$F$14,$M578,BD$13))))</f>
        <v>1000000000000</v>
      </c>
      <c r="BE578" s="181">
        <f ca="1">IF($D578&lt;&gt;"Serviço",0,IF(AND(AUTOEVENTO="Manual",$M578=1),0,IF(OFFSET(CRONOPLE!$F$14,$M578,BE$13)="",10^12,OFFSET(CRONOPLE!$F$14,$M578,BE$13))))</f>
        <v>1000000000000</v>
      </c>
      <c r="BF578" s="181">
        <f ca="1">IF($D578&lt;&gt;"Serviço",0,IF(AND(AUTOEVENTO="Manual",$M578=1),0,IF(OFFSET(CRONOPLE!$F$14,$M578,BF$13)="",10^12,OFFSET(CRONOPLE!$F$14,$M578,BF$13))))</f>
        <v>1000000000000</v>
      </c>
      <c r="BG578" s="181">
        <f ca="1">IF($D578&lt;&gt;"Serviço",0,IF(AND(AUTOEVENTO="Manual",$M578=1),0,IF(OFFSET(CRONOPLE!$F$14,$M578,BG$13)="",10^12,OFFSET(CRONOPLE!$F$14,$M578,BG$13))))</f>
        <v>1000000000000</v>
      </c>
      <c r="BH578" s="181">
        <f ca="1">IF($D578&lt;&gt;"Serviço",0,IF(AND(AUTOEVENTO="Manual",$M578=1),0,IF(OFFSET(CRONOPLE!$F$14,$M578,BH$13)="",10^12,OFFSET(CRONOPLE!$F$14,$M578,BH$13))))</f>
        <v>1000000000000</v>
      </c>
      <c r="BI578" s="181">
        <f ca="1">IF($D578&lt;&gt;"Serviço",0,IF(AND(AUTOEVENTO="Manual",$M578=1),0,IF(OFFSET(CRONOPLE!$F$14,$M578,BI$13)="",10^12,OFFSET(CRONOPLE!$F$14,$M578,BI$13))))</f>
        <v>1000000000000</v>
      </c>
      <c r="BJ578" s="181">
        <f ca="1">IF($D578&lt;&gt;"Serviço",0,IF(AND(AUTOEVENTO="Manual",$M578=1),0,IF(OFFSET(CRONOPLE!$F$14,$M578,BJ$13)="",10^12,OFFSET(CRONOPLE!$F$14,$M578,BJ$13))))</f>
        <v>1000000000000</v>
      </c>
      <c r="BK578" s="181">
        <f ca="1">IF($D578&lt;&gt;"Serviço",0,IF(AND(AUTOEVENTO="Manual",$M578=1),0,IF(OFFSET(CRONOPLE!$F$14,$M578,BK$13)="",10^12,OFFSET(CRONOPLE!$F$14,$M578,BK$13))))</f>
        <v>1000000000000</v>
      </c>
      <c r="BL578" s="181">
        <f ca="1">IF($D578&lt;&gt;"Serviço",0,IF(AND(AUTOEVENTO="Manual",$M578=1),0,IF(OFFSET(CRONOPLE!$F$14,$M578,BL$13)="",10^12,OFFSET(CRONOPLE!$F$14,$M578,BL$13))))</f>
        <v>1000000000000</v>
      </c>
      <c r="BM578" s="181">
        <f ca="1">IF($D578&lt;&gt;"Serviço",0,IF(AND(AUTOEVENTO="Manual",$M578=1),0,IF(OFFSET(CRONOPLE!$F$14,$M578,BM$13)="",10^12,OFFSET(CRONOPLE!$F$14,$M578,BM$13))))</f>
        <v>1000000000000</v>
      </c>
      <c r="BN578" s="181">
        <f ca="1">IF($D578&lt;&gt;"Serviço",0,IF(AND(AUTOEVENTO="Manual",$M578=1),0,IF(OFFSET(CRONOPLE!$F$14,$M578,BN$13)="",10^12,OFFSET(CRONOPLE!$F$14,$M578,BN$13))))</f>
        <v>1000000000000</v>
      </c>
      <c r="BO578" s="181">
        <f ca="1">IF($D578&lt;&gt;"Serviço",0,IF(AND(AUTOEVENTO="Manual",$M578=1),0,IF(OFFSET(CRONOPLE!$F$14,$M578,BO$13)="",10^12,OFFSET(CRONOPLE!$F$14,$M578,BO$13))))</f>
        <v>1000000000000</v>
      </c>
      <c r="BP578" s="181">
        <f ca="1">IF($D578&lt;&gt;"Serviço",0,IF(AND(AUTOEVENTO="Manual",$M578=1),0,IF(OFFSET(CRONOPLE!$F$14,$M578,BP$13)="",10^12,OFFSET(CRONOPLE!$F$14,$M578,BP$13))))</f>
        <v>1000000000000</v>
      </c>
      <c r="BQ578" s="181">
        <f ca="1">IF($D578&lt;&gt;"Serviço",0,IF(AND(AUTOEVENTO="Manual",$M578=1),0,IF(OFFSET(CRONOPLE!$F$14,$M578,BQ$13)="",10^12,OFFSET(CRONOPLE!$F$14,$M578,BQ$13))))</f>
        <v>1000000000000</v>
      </c>
      <c r="BR578" s="181">
        <f ca="1">IF($D578&lt;&gt;"Serviço",0,IF(AND(AUTOEVENTO="Manual",$M578=1),0,IF(OFFSET(CRONOPLE!$F$14,$M578,BR$13)="",10^12,OFFSET(CRONOPLE!$F$14,$M578,BR$13))))</f>
        <v>1000000000000</v>
      </c>
      <c r="BS578" s="181">
        <f ca="1">IF($D578&lt;&gt;"Serviço",0,IF(AND(AUTOEVENTO="Manual",$M578=1),0,IF(OFFSET(CRONOPLE!$F$14,$M578,BS$13)="",10^12,OFFSET(CRONOPLE!$F$14,$M578,BS$13))))</f>
        <v>1000000000000</v>
      </c>
      <c r="BT578" s="181">
        <f ca="1">IF($D578&lt;&gt;"Serviço",0,IF(AND(AUTOEVENTO="Manual",$M578=1),0,IF(OFFSET(CRONOPLE!$F$14,$M578,BT$13)="",10^12,OFFSET(CRONOPLE!$F$14,$M578,BT$13))))</f>
        <v>1000000000000</v>
      </c>
      <c r="BV578" s="182">
        <f ca="1">IF($D578&lt;&gt;"Serviço",0,IF(OR(AND(AUTOEVENTO="Manual",$M578=1),$M578&gt;(ROW(PLE.lastrow)-ROW(PLE.firstrow))),0,IF(OFFSET(PLE!$G$14,$M578,BV$13)="",10^12,OFFSET(PLE!$G$14,$M578,BV$13))))</f>
        <v>1000000000000</v>
      </c>
      <c r="BW578" s="182">
        <f ca="1">IF($D578&lt;&gt;"Serviço",0,IF(OR(AND(AUTOEVENTO="Manual",$M578=1),$M578&gt;(ROW(PLE.lastrow)-ROW(PLE.firstrow))),0,IF(OFFSET(PLE!$G$14,$M578,BW$13)="",10^12,OFFSET(PLE!$G$14,$M578,BW$13))))</f>
        <v>1000000000000</v>
      </c>
      <c r="BX578" s="182">
        <f ca="1">IF($D578&lt;&gt;"Serviço",0,IF(OR(AND(AUTOEVENTO="Manual",$M578=1),$M578&gt;(ROW(PLE.lastrow)-ROW(PLE.firstrow))),0,IF(OFFSET(PLE!$G$14,$M578,BX$13)="",10^12,OFFSET(PLE!$G$14,$M578,BX$13))))</f>
        <v>1000000000000</v>
      </c>
      <c r="BY578" s="182">
        <f ca="1">IF($D578&lt;&gt;"Serviço",0,IF(OR(AND(AUTOEVENTO="Manual",$M578=1),$M578&gt;(ROW(PLE.lastrow)-ROW(PLE.firstrow))),0,IF(OFFSET(PLE!$G$14,$M578,BY$13)="",10^12,OFFSET(PLE!$G$14,$M578,BY$13))))</f>
        <v>1000000000000</v>
      </c>
      <c r="BZ578" s="182">
        <f ca="1">IF($D578&lt;&gt;"Serviço",0,IF(OR(AND(AUTOEVENTO="Manual",$M578=1),$M578&gt;(ROW(PLE.lastrow)-ROW(PLE.firstrow))),0,IF(OFFSET(PLE!$G$14,$M578,BZ$13)="",10^12,OFFSET(PLE!$G$14,$M578,BZ$13))))</f>
        <v>1000000000000</v>
      </c>
      <c r="CA578" s="182">
        <f ca="1">IF($D578&lt;&gt;"Serviço",0,IF(OR(AND(AUTOEVENTO="Manual",$M578=1),$M578&gt;(ROW(PLE.lastrow)-ROW(PLE.firstrow))),0,IF(OFFSET(PLE!$G$14,$M578,CA$13)="",10^12,OFFSET(PLE!$G$14,$M578,CA$13))))</f>
        <v>1000000000000</v>
      </c>
      <c r="CB578" s="182">
        <f ca="1">IF($D578&lt;&gt;"Serviço",0,IF(OR(AND(AUTOEVENTO="Manual",$M578=1),$M578&gt;(ROW(PLE.lastrow)-ROW(PLE.firstrow))),0,IF(OFFSET(PLE!$G$14,$M578,CB$13)="",10^12,OFFSET(PLE!$G$14,$M578,CB$13))))</f>
        <v>1000000000000</v>
      </c>
      <c r="CC578" s="182">
        <f ca="1">IF($D578&lt;&gt;"Serviço",0,IF(OR(AND(AUTOEVENTO="Manual",$M578=1),$M578&gt;(ROW(PLE.lastrow)-ROW(PLE.firstrow))),0,IF(OFFSET(PLE!$G$14,$M578,CC$13)="",10^12,OFFSET(PLE!$G$14,$M578,CC$13))))</f>
        <v>1000000000000</v>
      </c>
      <c r="CD578" s="182">
        <f ca="1">IF($D578&lt;&gt;"Serviço",0,IF(OR(AND(AUTOEVENTO="Manual",$M578=1),$M578&gt;(ROW(PLE.lastrow)-ROW(PLE.firstrow))),0,IF(OFFSET(PLE!$G$14,$M578,CD$13)="",10^12,OFFSET(PLE!$G$14,$M578,CD$13))))</f>
        <v>1000000000000</v>
      </c>
      <c r="CE578" s="182">
        <f ca="1">IF($D578&lt;&gt;"Serviço",0,IF(OR(AND(AUTOEVENTO="Manual",$M578=1),$M578&gt;(ROW(PLE.lastrow)-ROW(PLE.firstrow))),0,IF(OFFSET(PLE!$G$14,$M578,CE$13)="",10^12,OFFSET(PLE!$G$14,$M578,CE$13))))</f>
        <v>1000000000000</v>
      </c>
      <c r="CF578" s="182">
        <f ca="1">IF($D578&lt;&gt;"Serviço",0,IF(OR(AND(AUTOEVENTO="Manual",$M578=1),$M578&gt;(ROW(PLE.lastrow)-ROW(PLE.firstrow))),0,IF(OFFSET(PLE!$G$14,$M578,CF$13)="",10^12,OFFSET(PLE!$G$14,$M578,CF$13))))</f>
        <v>1000000000000</v>
      </c>
      <c r="CG578" s="182">
        <f ca="1">IF($D578&lt;&gt;"Serviço",0,IF(OR(AND(AUTOEVENTO="Manual",$M578=1),$M578&gt;(ROW(PLE.lastrow)-ROW(PLE.firstrow))),0,IF(OFFSET(PLE!$G$14,$M578,CG$13)="",10^12,OFFSET(PLE!$G$14,$M578,CG$13))))</f>
        <v>1000000000000</v>
      </c>
      <c r="CH578" s="182">
        <f ca="1">IF($D578&lt;&gt;"Serviço",0,IF(OR(AND(AUTOEVENTO="Manual",$M578=1),$M578&gt;(ROW(PLE.lastrow)-ROW(PLE.firstrow))),0,IF(OFFSET(PLE!$G$14,$M578,CH$13)="",10^12,OFFSET(PLE!$G$14,$M578,CH$13))))</f>
        <v>1000000000000</v>
      </c>
      <c r="CI578" s="182">
        <f ca="1">IF($D578&lt;&gt;"Serviço",0,IF(OR(AND(AUTOEVENTO="Manual",$M578=1),$M578&gt;(ROW(PLE.lastrow)-ROW(PLE.firstrow))),0,IF(OFFSET(PLE!$G$14,$M578,CI$13)="",10^12,OFFSET(PLE!$G$14,$M578,CI$13))))</f>
        <v>1000000000000</v>
      </c>
      <c r="CJ578" s="182">
        <f ca="1">IF($D578&lt;&gt;"Serviço",0,IF(OR(AND(AUTOEVENTO="Manual",$M578=1),$M578&gt;(ROW(PLE.lastrow)-ROW(PLE.firstrow))),0,IF(OFFSET(PLE!$G$14,$M578,CJ$13)="",10^12,OFFSET(PLE!$G$14,$M578,CJ$13))))</f>
        <v>1000000000000</v>
      </c>
      <c r="CK578" s="182">
        <f ca="1">IF($D578&lt;&gt;"Serviço",0,IF(OR(AND(AUTOEVENTO="Manual",$M578=1),$M578&gt;(ROW(PLE.lastrow)-ROW(PLE.firstrow))),0,IF(OFFSET(PLE!$G$14,$M578,CK$13)="",10^12,OFFSET(PLE!$G$14,$M578,CK$13))))</f>
        <v>1000000000000</v>
      </c>
      <c r="CL578" s="182">
        <f ca="1">IF($D578&lt;&gt;"Serviço",0,IF(OR(AND(AUTOEVENTO="Manual",$M578=1),$M578&gt;(ROW(PLE.lastrow)-ROW(PLE.firstrow))),0,IF(OFFSET(PLE!$G$14,$M578,CL$13)="",10^12,OFFSET(PLE!$G$14,$M578,CL$13))))</f>
        <v>1000000000000</v>
      </c>
      <c r="CM578" s="182">
        <f ca="1">IF($D578&lt;&gt;"Serviço",0,IF(OR(AND(AUTOEVENTO="Manual",$M578=1),$M578&gt;(ROW(PLE.lastrow)-ROW(PLE.firstrow))),0,IF(OFFSET(PLE!$G$14,$M578,CM$13)="",10^12,OFFSET(PLE!$G$14,$M578,CM$13))))</f>
        <v>1000000000000</v>
      </c>
    </row>
    <row r="579" spans="1:91" ht="38.25" x14ac:dyDescent="0.2">
      <c r="A579" s="7" t="str">
        <f t="shared" ca="1" si="17"/>
        <v>552</v>
      </c>
      <c r="B579" s="7" t="str">
        <f ca="1">OFFSET(ORÇAMENTO!C$15,ROW(B579)-ROW(B$15),0)</f>
        <v>S</v>
      </c>
      <c r="C579" s="7" t="str">
        <f ca="1">OFFSET(ORÇAMENTO!L$15,ROW(C579)-ROW(C$15),0)</f>
        <v/>
      </c>
      <c r="D579" s="118" t="str">
        <f ca="1">OFFSET(ORÇAMENTO!N$15,ROW(D579)-ROW(D$15),0)</f>
        <v>Serviço</v>
      </c>
      <c r="E579" s="119" t="str">
        <f ca="1">OFFSET(ORÇAMENTO!O$15,ROW(E579)-ROW(E$15),0)</f>
        <v>-</v>
      </c>
      <c r="F579" s="172" t="str">
        <f ca="1">OFFSET(ORÇAMENTO!R$15,ROW(F579)-ROW(F$15),0)</f>
        <v>(abra o arquivo 'Referência 06-2024.xlsm)</v>
      </c>
      <c r="G579" s="173" t="str">
        <f ca="1">IF($D579&lt;&gt;"Serviço","",OFFSET(ORÇAMENTO!S$15,ROW(G579)-ROW(G$15),0))</f>
        <v>-</v>
      </c>
      <c r="H579" s="124">
        <f ca="1">IF($D579&lt;&gt;"Serviço",0,IF(ACOMPANHAMENTO="BM",ROUND(OFFSET(ORÇAMENTO!AJ$15,ROW(H579)-ROW(H$15),0),15-13*ORÇAMENTO!$AF$7),SUMPRODUCT(($Q$12:$AI$12&lt;&gt;"")*ROUND($Q579:$AI579,15-13*ORÇAMENTO!$AF$7))))</f>
        <v>67.8</v>
      </c>
      <c r="I579" s="561" t="s">
        <v>1107</v>
      </c>
      <c r="K579" s="174"/>
      <c r="L579" s="175" t="s">
        <v>255</v>
      </c>
      <c r="M579" s="176">
        <f ca="1">IF($D579&lt;&gt;"Serviço","",IF(AUTOEVENTO="manual",$A579,IF(ISERROR(MATCH($A579,$A$15:OFFSET($A579,-1,0),0)),MAX($M$15:OFFSET(M579,-1,0))+1,INDEX($M$15:OFFSET(M579,-1,0),MATCH($A579,$A$15:OFFSET($A579,-1,0),0)))))</f>
        <v>58</v>
      </c>
      <c r="N579" s="177" t="str">
        <f ca="1">IF($D579&lt;&gt;"Serviço","",IF(AUTOEVENTO="Manual",IF($A579=0,"&lt;-- defina o número do agrupador",OFFSET(EVENTOS!$D$14,$A579,0)),OFFSET($F$15,$A579,0)))</f>
        <v>INSTALAÇÃO ELÉTRICA 110V - ELETROCALHAS</v>
      </c>
      <c r="O579" s="178"/>
      <c r="Q579" s="178">
        <v>67.8</v>
      </c>
      <c r="R579" s="179"/>
      <c r="S579" s="179"/>
      <c r="T579" s="179"/>
      <c r="U579" s="179"/>
      <c r="V579" s="179"/>
      <c r="W579" s="179"/>
      <c r="X579" s="179"/>
      <c r="Y579" s="179"/>
      <c r="Z579" s="180"/>
      <c r="AA579" s="179"/>
      <c r="AB579" s="179"/>
      <c r="AC579" s="179"/>
      <c r="AD579" s="179"/>
      <c r="AE579" s="179"/>
      <c r="AF579" s="179"/>
      <c r="AG579" s="179"/>
      <c r="AH579" s="180"/>
      <c r="AJ579" s="544">
        <f ca="1">IF(AND($D579="Serviço",AJ$12&lt;&gt;0,$H579&gt;0,OR(AUTOEVENTO&lt;&gt;"manual",$M579&lt;&gt;1)),
IF(Import.TipoArredondamento&lt;&gt;"TransfereGOV",
ROUND(OFFSET($P579,0,AJ$13),15-13*ORÇAMENTO!$AF$7)/$H579*OFFSET(ORÇAMENTO!$X$15,ROW(AJ579)-ROW(AJ$15),0),
ROUND(ROUND(OFFSET($P579,0,AJ$13),15-13*ORÇAMENTO!$AF$7)*OFFSET(ORÇAMENTO!$W$15,ROW(AJ579)-ROW(AJ$15),0),15-13*ORÇAMENTO!$AF$11)),0)</f>
        <v>0</v>
      </c>
      <c r="AK579" s="545">
        <f ca="1">IF(AND($D579="Serviço",AK$12&lt;&gt;0,$H579&gt;0,OR(AUTOEVENTO&lt;&gt;"manual",$M579&lt;&gt;1)),
IF(Import.TipoArredondamento&lt;&gt;"TransfereGOV",
ROUND(OFFSET($P579,0,AK$13),15-13*ORÇAMENTO!$AF$7)/$H579*OFFSET(ORÇAMENTO!$X$15,ROW(AK579)-ROW(AK$15),0),
ROUND(ROUND(OFFSET($P579,0,AK$13),15-13*ORÇAMENTO!$AF$7)*OFFSET(ORÇAMENTO!$W$15,ROW(AK579)-ROW(AK$15),0),15-13*ORÇAMENTO!$AF$11)),0)</f>
        <v>0</v>
      </c>
      <c r="AL579" s="545">
        <f ca="1">IF(AND($D579="Serviço",AL$12&lt;&gt;0,$H579&gt;0,OR(AUTOEVENTO&lt;&gt;"manual",$M579&lt;&gt;1)),
IF(Import.TipoArredondamento&lt;&gt;"TransfereGOV",
ROUND(OFFSET($P579,0,AL$13),15-13*ORÇAMENTO!$AF$7)/$H579*OFFSET(ORÇAMENTO!$X$15,ROW(AL579)-ROW(AL$15),0),
ROUND(ROUND(OFFSET($P579,0,AL$13),15-13*ORÇAMENTO!$AF$7)*OFFSET(ORÇAMENTO!$W$15,ROW(AL579)-ROW(AL$15),0),15-13*ORÇAMENTO!$AF$11)),0)</f>
        <v>0</v>
      </c>
      <c r="AM579" s="545">
        <f ca="1">IF(AND($D579="Serviço",AM$12&lt;&gt;0,$H579&gt;0,OR(AUTOEVENTO&lt;&gt;"manual",$M579&lt;&gt;1)),
IF(Import.TipoArredondamento&lt;&gt;"TransfereGOV",
ROUND(OFFSET($P579,0,AM$13),15-13*ORÇAMENTO!$AF$7)/$H579*OFFSET(ORÇAMENTO!$X$15,ROW(AM579)-ROW(AM$15),0),
ROUND(ROUND(OFFSET($P579,0,AM$13),15-13*ORÇAMENTO!$AF$7)*OFFSET(ORÇAMENTO!$W$15,ROW(AM579)-ROW(AM$15),0),15-13*ORÇAMENTO!$AF$11)),0)</f>
        <v>0</v>
      </c>
      <c r="AN579" s="545">
        <f ca="1">IF(AND($D579="Serviço",AN$12&lt;&gt;0,$H579&gt;0,OR(AUTOEVENTO&lt;&gt;"manual",$M579&lt;&gt;1)),
IF(Import.TipoArredondamento&lt;&gt;"TransfereGOV",
ROUND(OFFSET($P579,0,AN$13),15-13*ORÇAMENTO!$AF$7)/$H579*OFFSET(ORÇAMENTO!$X$15,ROW(AN579)-ROW(AN$15),0),
ROUND(ROUND(OFFSET($P579,0,AN$13),15-13*ORÇAMENTO!$AF$7)*OFFSET(ORÇAMENTO!$W$15,ROW(AN579)-ROW(AN$15),0),15-13*ORÇAMENTO!$AF$11)),0)</f>
        <v>0</v>
      </c>
      <c r="AO579" s="545">
        <f ca="1">IF(AND($D579="Serviço",AO$12&lt;&gt;0,$H579&gt;0,OR(AUTOEVENTO&lt;&gt;"manual",$M579&lt;&gt;1)),
IF(Import.TipoArredondamento&lt;&gt;"TransfereGOV",
ROUND(OFFSET($P579,0,AO$13),15-13*ORÇAMENTO!$AF$7)/$H579*OFFSET(ORÇAMENTO!$X$15,ROW(AO579)-ROW(AO$15),0),
ROUND(ROUND(OFFSET($P579,0,AO$13),15-13*ORÇAMENTO!$AF$7)*OFFSET(ORÇAMENTO!$W$15,ROW(AO579)-ROW(AO$15),0),15-13*ORÇAMENTO!$AF$11)),0)</f>
        <v>0</v>
      </c>
      <c r="AP579" s="545">
        <f ca="1">IF(AND($D579="Serviço",AP$12&lt;&gt;0,$H579&gt;0,OR(AUTOEVENTO&lt;&gt;"manual",$M579&lt;&gt;1)),
IF(Import.TipoArredondamento&lt;&gt;"TransfereGOV",
ROUND(OFFSET($P579,0,AP$13),15-13*ORÇAMENTO!$AF$7)/$H579*OFFSET(ORÇAMENTO!$X$15,ROW(AP579)-ROW(AP$15),0),
ROUND(ROUND(OFFSET($P579,0,AP$13),15-13*ORÇAMENTO!$AF$7)*OFFSET(ORÇAMENTO!$W$15,ROW(AP579)-ROW(AP$15),0),15-13*ORÇAMENTO!$AF$11)),0)</f>
        <v>0</v>
      </c>
      <c r="AQ579" s="545">
        <f ca="1">IF(AND($D579="Serviço",AQ$12&lt;&gt;0,$H579&gt;0,OR(AUTOEVENTO&lt;&gt;"manual",$M579&lt;&gt;1)),
IF(Import.TipoArredondamento&lt;&gt;"TransfereGOV",
ROUND(OFFSET($P579,0,AQ$13),15-13*ORÇAMENTO!$AF$7)/$H579*OFFSET(ORÇAMENTO!$X$15,ROW(AQ579)-ROW(AQ$15),0),
ROUND(ROUND(OFFSET($P579,0,AQ$13),15-13*ORÇAMENTO!$AF$7)*OFFSET(ORÇAMENTO!$W$15,ROW(AQ579)-ROW(AQ$15),0),15-13*ORÇAMENTO!$AF$11)),0)</f>
        <v>0</v>
      </c>
      <c r="AR579" s="545">
        <f ca="1">IF(AND($D579="Serviço",AR$12&lt;&gt;0,$H579&gt;0,OR(AUTOEVENTO&lt;&gt;"manual",$M579&lt;&gt;1)),
IF(Import.TipoArredondamento&lt;&gt;"TransfereGOV",
ROUND(OFFSET($P579,0,AR$13),15-13*ORÇAMENTO!$AF$7)/$H579*OFFSET(ORÇAMENTO!$X$15,ROW(AR579)-ROW(AR$15),0),
ROUND(ROUND(OFFSET($P579,0,AR$13),15-13*ORÇAMENTO!$AF$7)*OFFSET(ORÇAMENTO!$W$15,ROW(AR579)-ROW(AR$15),0),15-13*ORÇAMENTO!$AF$11)),0)</f>
        <v>0</v>
      </c>
      <c r="AS579" s="546">
        <f ca="1">IF(AND($D579="Serviço",AS$12&lt;&gt;0,$H579&gt;0,OR(AUTOEVENTO&lt;&gt;"manual",$M579&lt;&gt;1)),
IF(Import.TipoArredondamento&lt;&gt;"TransfereGOV",
ROUND(OFFSET($P579,0,AS$13),15-13*ORÇAMENTO!$AF$7)/$H579*OFFSET(ORÇAMENTO!$X$15,ROW(AS579)-ROW(AS$15),0),
ROUND(ROUND(OFFSET($P579,0,AS$13),15-13*ORÇAMENTO!$AF$7)*OFFSET(ORÇAMENTO!$W$15,ROW(AS579)-ROW(AS$15),0),15-13*ORÇAMENTO!$AF$11)),0)</f>
        <v>0</v>
      </c>
      <c r="AT579" s="545">
        <f ca="1">IF(AND($D579="Serviço",AT$12&lt;&gt;0,$H579&gt;0,OR(AUTOEVENTO&lt;&gt;"manual",$M579&lt;&gt;1)),
IF(Import.TipoArredondamento&lt;&gt;"TransfereGOV",
ROUND(OFFSET($P579,0,AT$13),15-13*ORÇAMENTO!$AF$7)/$H579*OFFSET(ORÇAMENTO!$X$15,ROW(AT579)-ROW(AT$15),0),
ROUND(ROUND(OFFSET($P579,0,AT$13),15-13*ORÇAMENTO!$AF$7)*OFFSET(ORÇAMENTO!$W$15,ROW(AT579)-ROW(AT$15),0),15-13*ORÇAMENTO!$AF$11)),0)</f>
        <v>0</v>
      </c>
      <c r="AU579" s="545">
        <f ca="1">IF(AND($D579="Serviço",AU$12&lt;&gt;0,$H579&gt;0,OR(AUTOEVENTO&lt;&gt;"manual",$M579&lt;&gt;1)),
IF(Import.TipoArredondamento&lt;&gt;"TransfereGOV",
ROUND(OFFSET($P579,0,AU$13),15-13*ORÇAMENTO!$AF$7)/$H579*OFFSET(ORÇAMENTO!$X$15,ROW(AU579)-ROW(AU$15),0),
ROUND(ROUND(OFFSET($P579,0,AU$13),15-13*ORÇAMENTO!$AF$7)*OFFSET(ORÇAMENTO!$W$15,ROW(AU579)-ROW(AU$15),0),15-13*ORÇAMENTO!$AF$11)),0)</f>
        <v>0</v>
      </c>
      <c r="AV579" s="545">
        <f ca="1">IF(AND($D579="Serviço",AV$12&lt;&gt;0,$H579&gt;0,OR(AUTOEVENTO&lt;&gt;"manual",$M579&lt;&gt;1)),
IF(Import.TipoArredondamento&lt;&gt;"TransfereGOV",
ROUND(OFFSET($P579,0,AV$13),15-13*ORÇAMENTO!$AF$7)/$H579*OFFSET(ORÇAMENTO!$X$15,ROW(AV579)-ROW(AV$15),0),
ROUND(ROUND(OFFSET($P579,0,AV$13),15-13*ORÇAMENTO!$AF$7)*OFFSET(ORÇAMENTO!$W$15,ROW(AV579)-ROW(AV$15),0),15-13*ORÇAMENTO!$AF$11)),0)</f>
        <v>0</v>
      </c>
      <c r="AW579" s="545">
        <f ca="1">IF(AND($D579="Serviço",AW$12&lt;&gt;0,$H579&gt;0,OR(AUTOEVENTO&lt;&gt;"manual",$M579&lt;&gt;1)),
IF(Import.TipoArredondamento&lt;&gt;"TransfereGOV",
ROUND(OFFSET($P579,0,AW$13),15-13*ORÇAMENTO!$AF$7)/$H579*OFFSET(ORÇAMENTO!$X$15,ROW(AW579)-ROW(AW$15),0),
ROUND(ROUND(OFFSET($P579,0,AW$13),15-13*ORÇAMENTO!$AF$7)*OFFSET(ORÇAMENTO!$W$15,ROW(AW579)-ROW(AW$15),0),15-13*ORÇAMENTO!$AF$11)),0)</f>
        <v>0</v>
      </c>
      <c r="AX579" s="545">
        <f ca="1">IF(AND($D579="Serviço",AX$12&lt;&gt;0,$H579&gt;0,OR(AUTOEVENTO&lt;&gt;"manual",$M579&lt;&gt;1)),
IF(Import.TipoArredondamento&lt;&gt;"TransfereGOV",
ROUND(OFFSET($P579,0,AX$13),15-13*ORÇAMENTO!$AF$7)/$H579*OFFSET(ORÇAMENTO!$X$15,ROW(AX579)-ROW(AX$15),0),
ROUND(ROUND(OFFSET($P579,0,AX$13),15-13*ORÇAMENTO!$AF$7)*OFFSET(ORÇAMENTO!$W$15,ROW(AX579)-ROW(AX$15),0),15-13*ORÇAMENTO!$AF$11)),0)</f>
        <v>0</v>
      </c>
      <c r="AY579" s="545">
        <f ca="1">IF(AND($D579="Serviço",AY$12&lt;&gt;0,$H579&gt;0,OR(AUTOEVENTO&lt;&gt;"manual",$M579&lt;&gt;1)),
IF(Import.TipoArredondamento&lt;&gt;"TransfereGOV",
ROUND(OFFSET($P579,0,AY$13),15-13*ORÇAMENTO!$AF$7)/$H579*OFFSET(ORÇAMENTO!$X$15,ROW(AY579)-ROW(AY$15),0),
ROUND(ROUND(OFFSET($P579,0,AY$13),15-13*ORÇAMENTO!$AF$7)*OFFSET(ORÇAMENTO!$W$15,ROW(AY579)-ROW(AY$15),0),15-13*ORÇAMENTO!$AF$11)),0)</f>
        <v>0</v>
      </c>
      <c r="AZ579" s="545">
        <f ca="1">IF(AND($D579="Serviço",AZ$12&lt;&gt;0,$H579&gt;0,OR(AUTOEVENTO&lt;&gt;"manual",$M579&lt;&gt;1)),
IF(Import.TipoArredondamento&lt;&gt;"TransfereGOV",
ROUND(OFFSET($P579,0,AZ$13),15-13*ORÇAMENTO!$AF$7)/$H579*OFFSET(ORÇAMENTO!$X$15,ROW(AZ579)-ROW(AZ$15),0),
ROUND(ROUND(OFFSET($P579,0,AZ$13),15-13*ORÇAMENTO!$AF$7)*OFFSET(ORÇAMENTO!$W$15,ROW(AZ579)-ROW(AZ$15),0),15-13*ORÇAMENTO!$AF$11)),0)</f>
        <v>0</v>
      </c>
      <c r="BA579" s="546">
        <f ca="1">IF(AND($D579="Serviço",BA$12&lt;&gt;0,$H579&gt;0,OR(AUTOEVENTO&lt;&gt;"manual",$M579&lt;&gt;1)),
IF(Import.TipoArredondamento&lt;&gt;"TransfereGOV",
ROUND(OFFSET($P579,0,BA$13),15-13*ORÇAMENTO!$AF$7)/$H579*OFFSET(ORÇAMENTO!$X$15,ROW(BA579)-ROW(BA$15),0),
ROUND(ROUND(OFFSET($P579,0,BA$13),15-13*ORÇAMENTO!$AF$7)*OFFSET(ORÇAMENTO!$W$15,ROW(BA579)-ROW(BA$15),0),15-13*ORÇAMENTO!$AF$11)),0)</f>
        <v>0</v>
      </c>
      <c r="BC579" s="181">
        <f ca="1">IF($D579&lt;&gt;"Serviço",0,IF(AND(AUTOEVENTO="Manual",$M579=1),0,IF(OFFSET(CRONOPLE!$F$14,$M579,BC$13)="",10^12,OFFSET(CRONOPLE!$F$14,$M579,BC$13))))</f>
        <v>10</v>
      </c>
      <c r="BD579" s="181">
        <f ca="1">IF($D579&lt;&gt;"Serviço",0,IF(AND(AUTOEVENTO="Manual",$M579=1),0,IF(OFFSET(CRONOPLE!$F$14,$M579,BD$13)="",10^12,OFFSET(CRONOPLE!$F$14,$M579,BD$13))))</f>
        <v>1000000000000</v>
      </c>
      <c r="BE579" s="181">
        <f ca="1">IF($D579&lt;&gt;"Serviço",0,IF(AND(AUTOEVENTO="Manual",$M579=1),0,IF(OFFSET(CRONOPLE!$F$14,$M579,BE$13)="",10^12,OFFSET(CRONOPLE!$F$14,$M579,BE$13))))</f>
        <v>1000000000000</v>
      </c>
      <c r="BF579" s="181">
        <f ca="1">IF($D579&lt;&gt;"Serviço",0,IF(AND(AUTOEVENTO="Manual",$M579=1),0,IF(OFFSET(CRONOPLE!$F$14,$M579,BF$13)="",10^12,OFFSET(CRONOPLE!$F$14,$M579,BF$13))))</f>
        <v>1000000000000</v>
      </c>
      <c r="BG579" s="181">
        <f ca="1">IF($D579&lt;&gt;"Serviço",0,IF(AND(AUTOEVENTO="Manual",$M579=1),0,IF(OFFSET(CRONOPLE!$F$14,$M579,BG$13)="",10^12,OFFSET(CRONOPLE!$F$14,$M579,BG$13))))</f>
        <v>1000000000000</v>
      </c>
      <c r="BH579" s="181">
        <f ca="1">IF($D579&lt;&gt;"Serviço",0,IF(AND(AUTOEVENTO="Manual",$M579=1),0,IF(OFFSET(CRONOPLE!$F$14,$M579,BH$13)="",10^12,OFFSET(CRONOPLE!$F$14,$M579,BH$13))))</f>
        <v>1000000000000</v>
      </c>
      <c r="BI579" s="181">
        <f ca="1">IF($D579&lt;&gt;"Serviço",0,IF(AND(AUTOEVENTO="Manual",$M579=1),0,IF(OFFSET(CRONOPLE!$F$14,$M579,BI$13)="",10^12,OFFSET(CRONOPLE!$F$14,$M579,BI$13))))</f>
        <v>1000000000000</v>
      </c>
      <c r="BJ579" s="181">
        <f ca="1">IF($D579&lt;&gt;"Serviço",0,IF(AND(AUTOEVENTO="Manual",$M579=1),0,IF(OFFSET(CRONOPLE!$F$14,$M579,BJ$13)="",10^12,OFFSET(CRONOPLE!$F$14,$M579,BJ$13))))</f>
        <v>1000000000000</v>
      </c>
      <c r="BK579" s="181">
        <f ca="1">IF($D579&lt;&gt;"Serviço",0,IF(AND(AUTOEVENTO="Manual",$M579=1),0,IF(OFFSET(CRONOPLE!$F$14,$M579,BK$13)="",10^12,OFFSET(CRONOPLE!$F$14,$M579,BK$13))))</f>
        <v>1000000000000</v>
      </c>
      <c r="BL579" s="181">
        <f ca="1">IF($D579&lt;&gt;"Serviço",0,IF(AND(AUTOEVENTO="Manual",$M579=1),0,IF(OFFSET(CRONOPLE!$F$14,$M579,BL$13)="",10^12,OFFSET(CRONOPLE!$F$14,$M579,BL$13))))</f>
        <v>1000000000000</v>
      </c>
      <c r="BM579" s="181">
        <f ca="1">IF($D579&lt;&gt;"Serviço",0,IF(AND(AUTOEVENTO="Manual",$M579=1),0,IF(OFFSET(CRONOPLE!$F$14,$M579,BM$13)="",10^12,OFFSET(CRONOPLE!$F$14,$M579,BM$13))))</f>
        <v>1000000000000</v>
      </c>
      <c r="BN579" s="181">
        <f ca="1">IF($D579&lt;&gt;"Serviço",0,IF(AND(AUTOEVENTO="Manual",$M579=1),0,IF(OFFSET(CRONOPLE!$F$14,$M579,BN$13)="",10^12,OFFSET(CRONOPLE!$F$14,$M579,BN$13))))</f>
        <v>1000000000000</v>
      </c>
      <c r="BO579" s="181">
        <f ca="1">IF($D579&lt;&gt;"Serviço",0,IF(AND(AUTOEVENTO="Manual",$M579=1),0,IF(OFFSET(CRONOPLE!$F$14,$M579,BO$13)="",10^12,OFFSET(CRONOPLE!$F$14,$M579,BO$13))))</f>
        <v>1000000000000</v>
      </c>
      <c r="BP579" s="181">
        <f ca="1">IF($D579&lt;&gt;"Serviço",0,IF(AND(AUTOEVENTO="Manual",$M579=1),0,IF(OFFSET(CRONOPLE!$F$14,$M579,BP$13)="",10^12,OFFSET(CRONOPLE!$F$14,$M579,BP$13))))</f>
        <v>1000000000000</v>
      </c>
      <c r="BQ579" s="181">
        <f ca="1">IF($D579&lt;&gt;"Serviço",0,IF(AND(AUTOEVENTO="Manual",$M579=1),0,IF(OFFSET(CRONOPLE!$F$14,$M579,BQ$13)="",10^12,OFFSET(CRONOPLE!$F$14,$M579,BQ$13))))</f>
        <v>1000000000000</v>
      </c>
      <c r="BR579" s="181">
        <f ca="1">IF($D579&lt;&gt;"Serviço",0,IF(AND(AUTOEVENTO="Manual",$M579=1),0,IF(OFFSET(CRONOPLE!$F$14,$M579,BR$13)="",10^12,OFFSET(CRONOPLE!$F$14,$M579,BR$13))))</f>
        <v>1000000000000</v>
      </c>
      <c r="BS579" s="181">
        <f ca="1">IF($D579&lt;&gt;"Serviço",0,IF(AND(AUTOEVENTO="Manual",$M579=1),0,IF(OFFSET(CRONOPLE!$F$14,$M579,BS$13)="",10^12,OFFSET(CRONOPLE!$F$14,$M579,BS$13))))</f>
        <v>1000000000000</v>
      </c>
      <c r="BT579" s="181">
        <f ca="1">IF($D579&lt;&gt;"Serviço",0,IF(AND(AUTOEVENTO="Manual",$M579=1),0,IF(OFFSET(CRONOPLE!$F$14,$M579,BT$13)="",10^12,OFFSET(CRONOPLE!$F$14,$M579,BT$13))))</f>
        <v>1000000000000</v>
      </c>
      <c r="BV579" s="182">
        <f ca="1">IF($D579&lt;&gt;"Serviço",0,IF(OR(AND(AUTOEVENTO="Manual",$M579=1),$M579&gt;(ROW(PLE.lastrow)-ROW(PLE.firstrow))),0,IF(OFFSET(PLE!$G$14,$M579,BV$13)="",10^12,OFFSET(PLE!$G$14,$M579,BV$13))))</f>
        <v>1000000000000</v>
      </c>
      <c r="BW579" s="182">
        <f ca="1">IF($D579&lt;&gt;"Serviço",0,IF(OR(AND(AUTOEVENTO="Manual",$M579=1),$M579&gt;(ROW(PLE.lastrow)-ROW(PLE.firstrow))),0,IF(OFFSET(PLE!$G$14,$M579,BW$13)="",10^12,OFFSET(PLE!$G$14,$M579,BW$13))))</f>
        <v>1000000000000</v>
      </c>
      <c r="BX579" s="182">
        <f ca="1">IF($D579&lt;&gt;"Serviço",0,IF(OR(AND(AUTOEVENTO="Manual",$M579=1),$M579&gt;(ROW(PLE.lastrow)-ROW(PLE.firstrow))),0,IF(OFFSET(PLE!$G$14,$M579,BX$13)="",10^12,OFFSET(PLE!$G$14,$M579,BX$13))))</f>
        <v>1000000000000</v>
      </c>
      <c r="BY579" s="182">
        <f ca="1">IF($D579&lt;&gt;"Serviço",0,IF(OR(AND(AUTOEVENTO="Manual",$M579=1),$M579&gt;(ROW(PLE.lastrow)-ROW(PLE.firstrow))),0,IF(OFFSET(PLE!$G$14,$M579,BY$13)="",10^12,OFFSET(PLE!$G$14,$M579,BY$13))))</f>
        <v>1000000000000</v>
      </c>
      <c r="BZ579" s="182">
        <f ca="1">IF($D579&lt;&gt;"Serviço",0,IF(OR(AND(AUTOEVENTO="Manual",$M579=1),$M579&gt;(ROW(PLE.lastrow)-ROW(PLE.firstrow))),0,IF(OFFSET(PLE!$G$14,$M579,BZ$13)="",10^12,OFFSET(PLE!$G$14,$M579,BZ$13))))</f>
        <v>1000000000000</v>
      </c>
      <c r="CA579" s="182">
        <f ca="1">IF($D579&lt;&gt;"Serviço",0,IF(OR(AND(AUTOEVENTO="Manual",$M579=1),$M579&gt;(ROW(PLE.lastrow)-ROW(PLE.firstrow))),0,IF(OFFSET(PLE!$G$14,$M579,CA$13)="",10^12,OFFSET(PLE!$G$14,$M579,CA$13))))</f>
        <v>1000000000000</v>
      </c>
      <c r="CB579" s="182">
        <f ca="1">IF($D579&lt;&gt;"Serviço",0,IF(OR(AND(AUTOEVENTO="Manual",$M579=1),$M579&gt;(ROW(PLE.lastrow)-ROW(PLE.firstrow))),0,IF(OFFSET(PLE!$G$14,$M579,CB$13)="",10^12,OFFSET(PLE!$G$14,$M579,CB$13))))</f>
        <v>1000000000000</v>
      </c>
      <c r="CC579" s="182">
        <f ca="1">IF($D579&lt;&gt;"Serviço",0,IF(OR(AND(AUTOEVENTO="Manual",$M579=1),$M579&gt;(ROW(PLE.lastrow)-ROW(PLE.firstrow))),0,IF(OFFSET(PLE!$G$14,$M579,CC$13)="",10^12,OFFSET(PLE!$G$14,$M579,CC$13))))</f>
        <v>1000000000000</v>
      </c>
      <c r="CD579" s="182">
        <f ca="1">IF($D579&lt;&gt;"Serviço",0,IF(OR(AND(AUTOEVENTO="Manual",$M579=1),$M579&gt;(ROW(PLE.lastrow)-ROW(PLE.firstrow))),0,IF(OFFSET(PLE!$G$14,$M579,CD$13)="",10^12,OFFSET(PLE!$G$14,$M579,CD$13))))</f>
        <v>1000000000000</v>
      </c>
      <c r="CE579" s="182">
        <f ca="1">IF($D579&lt;&gt;"Serviço",0,IF(OR(AND(AUTOEVENTO="Manual",$M579=1),$M579&gt;(ROW(PLE.lastrow)-ROW(PLE.firstrow))),0,IF(OFFSET(PLE!$G$14,$M579,CE$13)="",10^12,OFFSET(PLE!$G$14,$M579,CE$13))))</f>
        <v>1000000000000</v>
      </c>
      <c r="CF579" s="182">
        <f ca="1">IF($D579&lt;&gt;"Serviço",0,IF(OR(AND(AUTOEVENTO="Manual",$M579=1),$M579&gt;(ROW(PLE.lastrow)-ROW(PLE.firstrow))),0,IF(OFFSET(PLE!$G$14,$M579,CF$13)="",10^12,OFFSET(PLE!$G$14,$M579,CF$13))))</f>
        <v>1000000000000</v>
      </c>
      <c r="CG579" s="182">
        <f ca="1">IF($D579&lt;&gt;"Serviço",0,IF(OR(AND(AUTOEVENTO="Manual",$M579=1),$M579&gt;(ROW(PLE.lastrow)-ROW(PLE.firstrow))),0,IF(OFFSET(PLE!$G$14,$M579,CG$13)="",10^12,OFFSET(PLE!$G$14,$M579,CG$13))))</f>
        <v>1000000000000</v>
      </c>
      <c r="CH579" s="182">
        <f ca="1">IF($D579&lt;&gt;"Serviço",0,IF(OR(AND(AUTOEVENTO="Manual",$M579=1),$M579&gt;(ROW(PLE.lastrow)-ROW(PLE.firstrow))),0,IF(OFFSET(PLE!$G$14,$M579,CH$13)="",10^12,OFFSET(PLE!$G$14,$M579,CH$13))))</f>
        <v>1000000000000</v>
      </c>
      <c r="CI579" s="182">
        <f ca="1">IF($D579&lt;&gt;"Serviço",0,IF(OR(AND(AUTOEVENTO="Manual",$M579=1),$M579&gt;(ROW(PLE.lastrow)-ROW(PLE.firstrow))),0,IF(OFFSET(PLE!$G$14,$M579,CI$13)="",10^12,OFFSET(PLE!$G$14,$M579,CI$13))))</f>
        <v>1000000000000</v>
      </c>
      <c r="CJ579" s="182">
        <f ca="1">IF($D579&lt;&gt;"Serviço",0,IF(OR(AND(AUTOEVENTO="Manual",$M579=1),$M579&gt;(ROW(PLE.lastrow)-ROW(PLE.firstrow))),0,IF(OFFSET(PLE!$G$14,$M579,CJ$13)="",10^12,OFFSET(PLE!$G$14,$M579,CJ$13))))</f>
        <v>1000000000000</v>
      </c>
      <c r="CK579" s="182">
        <f ca="1">IF($D579&lt;&gt;"Serviço",0,IF(OR(AND(AUTOEVENTO="Manual",$M579=1),$M579&gt;(ROW(PLE.lastrow)-ROW(PLE.firstrow))),0,IF(OFFSET(PLE!$G$14,$M579,CK$13)="",10^12,OFFSET(PLE!$G$14,$M579,CK$13))))</f>
        <v>1000000000000</v>
      </c>
      <c r="CL579" s="182">
        <f ca="1">IF($D579&lt;&gt;"Serviço",0,IF(OR(AND(AUTOEVENTO="Manual",$M579=1),$M579&gt;(ROW(PLE.lastrow)-ROW(PLE.firstrow))),0,IF(OFFSET(PLE!$G$14,$M579,CL$13)="",10^12,OFFSET(PLE!$G$14,$M579,CL$13))))</f>
        <v>1000000000000</v>
      </c>
      <c r="CM579" s="182">
        <f ca="1">IF($D579&lt;&gt;"Serviço",0,IF(OR(AND(AUTOEVENTO="Manual",$M579=1),$M579&gt;(ROW(PLE.lastrow)-ROW(PLE.firstrow))),0,IF(OFFSET(PLE!$G$14,$M579,CM$13)="",10^12,OFFSET(PLE!$G$14,$M579,CM$13))))</f>
        <v>1000000000000</v>
      </c>
    </row>
    <row r="580" spans="1:91" ht="12.75" x14ac:dyDescent="0.2">
      <c r="A580" s="7" t="str">
        <f t="shared" ca="1" si="17"/>
        <v>565.</v>
      </c>
      <c r="B580" s="7">
        <f ca="1">OFFSET(ORÇAMENTO!C$15,ROW(B580)-ROW(B$15),0)</f>
        <v>2</v>
      </c>
      <c r="C580" s="7" t="str">
        <f ca="1">OFFSET(ORÇAMENTO!L$15,ROW(C580)-ROW(C$15),0)</f>
        <v>F</v>
      </c>
      <c r="D580" s="118" t="str">
        <f ca="1">OFFSET(ORÇAMENTO!N$15,ROW(D580)-ROW(D$15),0)</f>
        <v>Nível 2</v>
      </c>
      <c r="E580" s="119" t="str">
        <f ca="1">OFFSET(ORÇAMENTO!O$15,ROW(E580)-ROW(E$15),0)</f>
        <v>1.58.</v>
      </c>
      <c r="F580" s="172" t="str">
        <f ca="1">OFFSET(ORÇAMENTO!R$15,ROW(F580)-ROW(F$15),0)</f>
        <v>INSTALAÇÃO ELÉTRICA 110V - ELETRODUTOS</v>
      </c>
      <c r="G580" s="173" t="str">
        <f ca="1">IF($D580&lt;&gt;"Serviço","",OFFSET(ORÇAMENTO!S$15,ROW(G580)-ROW(G$15),0))</f>
        <v/>
      </c>
      <c r="H580" s="124">
        <f ca="1">IF($D580&lt;&gt;"Serviço",0,IF(ACOMPANHAMENTO="BM",ROUND(OFFSET(ORÇAMENTO!AJ$15,ROW(H580)-ROW(H$15),0),15-13*ORÇAMENTO!$AF$7),SUMPRODUCT(($Q$12:$AI$12&lt;&gt;"")*ROUND($Q580:$AI580,15-13*ORÇAMENTO!$AF$7))))</f>
        <v>0</v>
      </c>
      <c r="I580" s="561"/>
      <c r="K580" s="174"/>
      <c r="L580" s="175" t="s">
        <v>255</v>
      </c>
      <c r="M580" s="176" t="str">
        <f ca="1">IF($D580&lt;&gt;"Serviço","",IF(AUTOEVENTO="manual",$A580,IF(ISERROR(MATCH($A580,$A$15:OFFSET($A580,-1,0),0)),MAX($M$15:OFFSET(M580,-1,0))+1,INDEX($M$15:OFFSET(M580,-1,0),MATCH($A580,$A$15:OFFSET($A580,-1,0),0)))))</f>
        <v/>
      </c>
      <c r="N580" s="177" t="str">
        <f ca="1">IF($D580&lt;&gt;"Serviço","",IF(AUTOEVENTO="Manual",IF($A580=0,"&lt;-- defina o número do agrupador",OFFSET(EVENTOS!$D$14,$A580,0)),OFFSET($F$15,$A580,0)))</f>
        <v/>
      </c>
      <c r="O580" s="178"/>
      <c r="Q580" s="178">
        <v>0</v>
      </c>
      <c r="R580" s="179"/>
      <c r="S580" s="179"/>
      <c r="T580" s="179"/>
      <c r="U580" s="179"/>
      <c r="V580" s="179"/>
      <c r="W580" s="179"/>
      <c r="X580" s="179"/>
      <c r="Y580" s="179"/>
      <c r="Z580" s="180"/>
      <c r="AA580" s="179"/>
      <c r="AB580" s="179"/>
      <c r="AC580" s="179"/>
      <c r="AD580" s="179"/>
      <c r="AE580" s="179"/>
      <c r="AF580" s="179"/>
      <c r="AG580" s="179"/>
      <c r="AH580" s="180"/>
      <c r="AJ580" s="544">
        <f ca="1">IF(AND($D580="Serviço",AJ$12&lt;&gt;0,$H580&gt;0,OR(AUTOEVENTO&lt;&gt;"manual",$M580&lt;&gt;1)),
IF(Import.TipoArredondamento&lt;&gt;"TransfereGOV",
ROUND(OFFSET($P580,0,AJ$13),15-13*ORÇAMENTO!$AF$7)/$H580*OFFSET(ORÇAMENTO!$X$15,ROW(AJ580)-ROW(AJ$15),0),
ROUND(ROUND(OFFSET($P580,0,AJ$13),15-13*ORÇAMENTO!$AF$7)*OFFSET(ORÇAMENTO!$W$15,ROW(AJ580)-ROW(AJ$15),0),15-13*ORÇAMENTO!$AF$11)),0)</f>
        <v>0</v>
      </c>
      <c r="AK580" s="545">
        <f ca="1">IF(AND($D580="Serviço",AK$12&lt;&gt;0,$H580&gt;0,OR(AUTOEVENTO&lt;&gt;"manual",$M580&lt;&gt;1)),
IF(Import.TipoArredondamento&lt;&gt;"TransfereGOV",
ROUND(OFFSET($P580,0,AK$13),15-13*ORÇAMENTO!$AF$7)/$H580*OFFSET(ORÇAMENTO!$X$15,ROW(AK580)-ROW(AK$15),0),
ROUND(ROUND(OFFSET($P580,0,AK$13),15-13*ORÇAMENTO!$AF$7)*OFFSET(ORÇAMENTO!$W$15,ROW(AK580)-ROW(AK$15),0),15-13*ORÇAMENTO!$AF$11)),0)</f>
        <v>0</v>
      </c>
      <c r="AL580" s="545">
        <f ca="1">IF(AND($D580="Serviço",AL$12&lt;&gt;0,$H580&gt;0,OR(AUTOEVENTO&lt;&gt;"manual",$M580&lt;&gt;1)),
IF(Import.TipoArredondamento&lt;&gt;"TransfereGOV",
ROUND(OFFSET($P580,0,AL$13),15-13*ORÇAMENTO!$AF$7)/$H580*OFFSET(ORÇAMENTO!$X$15,ROW(AL580)-ROW(AL$15),0),
ROUND(ROUND(OFFSET($P580,0,AL$13),15-13*ORÇAMENTO!$AF$7)*OFFSET(ORÇAMENTO!$W$15,ROW(AL580)-ROW(AL$15),0),15-13*ORÇAMENTO!$AF$11)),0)</f>
        <v>0</v>
      </c>
      <c r="AM580" s="545">
        <f ca="1">IF(AND($D580="Serviço",AM$12&lt;&gt;0,$H580&gt;0,OR(AUTOEVENTO&lt;&gt;"manual",$M580&lt;&gt;1)),
IF(Import.TipoArredondamento&lt;&gt;"TransfereGOV",
ROUND(OFFSET($P580,0,AM$13),15-13*ORÇAMENTO!$AF$7)/$H580*OFFSET(ORÇAMENTO!$X$15,ROW(AM580)-ROW(AM$15),0),
ROUND(ROUND(OFFSET($P580,0,AM$13),15-13*ORÇAMENTO!$AF$7)*OFFSET(ORÇAMENTO!$W$15,ROW(AM580)-ROW(AM$15),0),15-13*ORÇAMENTO!$AF$11)),0)</f>
        <v>0</v>
      </c>
      <c r="AN580" s="545">
        <f ca="1">IF(AND($D580="Serviço",AN$12&lt;&gt;0,$H580&gt;0,OR(AUTOEVENTO&lt;&gt;"manual",$M580&lt;&gt;1)),
IF(Import.TipoArredondamento&lt;&gt;"TransfereGOV",
ROUND(OFFSET($P580,0,AN$13),15-13*ORÇAMENTO!$AF$7)/$H580*OFFSET(ORÇAMENTO!$X$15,ROW(AN580)-ROW(AN$15),0),
ROUND(ROUND(OFFSET($P580,0,AN$13),15-13*ORÇAMENTO!$AF$7)*OFFSET(ORÇAMENTO!$W$15,ROW(AN580)-ROW(AN$15),0),15-13*ORÇAMENTO!$AF$11)),0)</f>
        <v>0</v>
      </c>
      <c r="AO580" s="545">
        <f ca="1">IF(AND($D580="Serviço",AO$12&lt;&gt;0,$H580&gt;0,OR(AUTOEVENTO&lt;&gt;"manual",$M580&lt;&gt;1)),
IF(Import.TipoArredondamento&lt;&gt;"TransfereGOV",
ROUND(OFFSET($P580,0,AO$13),15-13*ORÇAMENTO!$AF$7)/$H580*OFFSET(ORÇAMENTO!$X$15,ROW(AO580)-ROW(AO$15),0),
ROUND(ROUND(OFFSET($P580,0,AO$13),15-13*ORÇAMENTO!$AF$7)*OFFSET(ORÇAMENTO!$W$15,ROW(AO580)-ROW(AO$15),0),15-13*ORÇAMENTO!$AF$11)),0)</f>
        <v>0</v>
      </c>
      <c r="AP580" s="545">
        <f ca="1">IF(AND($D580="Serviço",AP$12&lt;&gt;0,$H580&gt;0,OR(AUTOEVENTO&lt;&gt;"manual",$M580&lt;&gt;1)),
IF(Import.TipoArredondamento&lt;&gt;"TransfereGOV",
ROUND(OFFSET($P580,0,AP$13),15-13*ORÇAMENTO!$AF$7)/$H580*OFFSET(ORÇAMENTO!$X$15,ROW(AP580)-ROW(AP$15),0),
ROUND(ROUND(OFFSET($P580,0,AP$13),15-13*ORÇAMENTO!$AF$7)*OFFSET(ORÇAMENTO!$W$15,ROW(AP580)-ROW(AP$15),0),15-13*ORÇAMENTO!$AF$11)),0)</f>
        <v>0</v>
      </c>
      <c r="AQ580" s="545">
        <f ca="1">IF(AND($D580="Serviço",AQ$12&lt;&gt;0,$H580&gt;0,OR(AUTOEVENTO&lt;&gt;"manual",$M580&lt;&gt;1)),
IF(Import.TipoArredondamento&lt;&gt;"TransfereGOV",
ROUND(OFFSET($P580,0,AQ$13),15-13*ORÇAMENTO!$AF$7)/$H580*OFFSET(ORÇAMENTO!$X$15,ROW(AQ580)-ROW(AQ$15),0),
ROUND(ROUND(OFFSET($P580,0,AQ$13),15-13*ORÇAMENTO!$AF$7)*OFFSET(ORÇAMENTO!$W$15,ROW(AQ580)-ROW(AQ$15),0),15-13*ORÇAMENTO!$AF$11)),0)</f>
        <v>0</v>
      </c>
      <c r="AR580" s="545">
        <f ca="1">IF(AND($D580="Serviço",AR$12&lt;&gt;0,$H580&gt;0,OR(AUTOEVENTO&lt;&gt;"manual",$M580&lt;&gt;1)),
IF(Import.TipoArredondamento&lt;&gt;"TransfereGOV",
ROUND(OFFSET($P580,0,AR$13),15-13*ORÇAMENTO!$AF$7)/$H580*OFFSET(ORÇAMENTO!$X$15,ROW(AR580)-ROW(AR$15),0),
ROUND(ROUND(OFFSET($P580,0,AR$13),15-13*ORÇAMENTO!$AF$7)*OFFSET(ORÇAMENTO!$W$15,ROW(AR580)-ROW(AR$15),0),15-13*ORÇAMENTO!$AF$11)),0)</f>
        <v>0</v>
      </c>
      <c r="AS580" s="546">
        <f ca="1">IF(AND($D580="Serviço",AS$12&lt;&gt;0,$H580&gt;0,OR(AUTOEVENTO&lt;&gt;"manual",$M580&lt;&gt;1)),
IF(Import.TipoArredondamento&lt;&gt;"TransfereGOV",
ROUND(OFFSET($P580,0,AS$13),15-13*ORÇAMENTO!$AF$7)/$H580*OFFSET(ORÇAMENTO!$X$15,ROW(AS580)-ROW(AS$15),0),
ROUND(ROUND(OFFSET($P580,0,AS$13),15-13*ORÇAMENTO!$AF$7)*OFFSET(ORÇAMENTO!$W$15,ROW(AS580)-ROW(AS$15),0),15-13*ORÇAMENTO!$AF$11)),0)</f>
        <v>0</v>
      </c>
      <c r="AT580" s="545">
        <f ca="1">IF(AND($D580="Serviço",AT$12&lt;&gt;0,$H580&gt;0,OR(AUTOEVENTO&lt;&gt;"manual",$M580&lt;&gt;1)),
IF(Import.TipoArredondamento&lt;&gt;"TransfereGOV",
ROUND(OFFSET($P580,0,AT$13),15-13*ORÇAMENTO!$AF$7)/$H580*OFFSET(ORÇAMENTO!$X$15,ROW(AT580)-ROW(AT$15),0),
ROUND(ROUND(OFFSET($P580,0,AT$13),15-13*ORÇAMENTO!$AF$7)*OFFSET(ORÇAMENTO!$W$15,ROW(AT580)-ROW(AT$15),0),15-13*ORÇAMENTO!$AF$11)),0)</f>
        <v>0</v>
      </c>
      <c r="AU580" s="545">
        <f ca="1">IF(AND($D580="Serviço",AU$12&lt;&gt;0,$H580&gt;0,OR(AUTOEVENTO&lt;&gt;"manual",$M580&lt;&gt;1)),
IF(Import.TipoArredondamento&lt;&gt;"TransfereGOV",
ROUND(OFFSET($P580,0,AU$13),15-13*ORÇAMENTO!$AF$7)/$H580*OFFSET(ORÇAMENTO!$X$15,ROW(AU580)-ROW(AU$15),0),
ROUND(ROUND(OFFSET($P580,0,AU$13),15-13*ORÇAMENTO!$AF$7)*OFFSET(ORÇAMENTO!$W$15,ROW(AU580)-ROW(AU$15),0),15-13*ORÇAMENTO!$AF$11)),0)</f>
        <v>0</v>
      </c>
      <c r="AV580" s="545">
        <f ca="1">IF(AND($D580="Serviço",AV$12&lt;&gt;0,$H580&gt;0,OR(AUTOEVENTO&lt;&gt;"manual",$M580&lt;&gt;1)),
IF(Import.TipoArredondamento&lt;&gt;"TransfereGOV",
ROUND(OFFSET($P580,0,AV$13),15-13*ORÇAMENTO!$AF$7)/$H580*OFFSET(ORÇAMENTO!$X$15,ROW(AV580)-ROW(AV$15),0),
ROUND(ROUND(OFFSET($P580,0,AV$13),15-13*ORÇAMENTO!$AF$7)*OFFSET(ORÇAMENTO!$W$15,ROW(AV580)-ROW(AV$15),0),15-13*ORÇAMENTO!$AF$11)),0)</f>
        <v>0</v>
      </c>
      <c r="AW580" s="545">
        <f ca="1">IF(AND($D580="Serviço",AW$12&lt;&gt;0,$H580&gt;0,OR(AUTOEVENTO&lt;&gt;"manual",$M580&lt;&gt;1)),
IF(Import.TipoArredondamento&lt;&gt;"TransfereGOV",
ROUND(OFFSET($P580,0,AW$13),15-13*ORÇAMENTO!$AF$7)/$H580*OFFSET(ORÇAMENTO!$X$15,ROW(AW580)-ROW(AW$15),0),
ROUND(ROUND(OFFSET($P580,0,AW$13),15-13*ORÇAMENTO!$AF$7)*OFFSET(ORÇAMENTO!$W$15,ROW(AW580)-ROW(AW$15),0),15-13*ORÇAMENTO!$AF$11)),0)</f>
        <v>0</v>
      </c>
      <c r="AX580" s="545">
        <f ca="1">IF(AND($D580="Serviço",AX$12&lt;&gt;0,$H580&gt;0,OR(AUTOEVENTO&lt;&gt;"manual",$M580&lt;&gt;1)),
IF(Import.TipoArredondamento&lt;&gt;"TransfereGOV",
ROUND(OFFSET($P580,0,AX$13),15-13*ORÇAMENTO!$AF$7)/$H580*OFFSET(ORÇAMENTO!$X$15,ROW(AX580)-ROW(AX$15),0),
ROUND(ROUND(OFFSET($P580,0,AX$13),15-13*ORÇAMENTO!$AF$7)*OFFSET(ORÇAMENTO!$W$15,ROW(AX580)-ROW(AX$15),0),15-13*ORÇAMENTO!$AF$11)),0)</f>
        <v>0</v>
      </c>
      <c r="AY580" s="545">
        <f ca="1">IF(AND($D580="Serviço",AY$12&lt;&gt;0,$H580&gt;0,OR(AUTOEVENTO&lt;&gt;"manual",$M580&lt;&gt;1)),
IF(Import.TipoArredondamento&lt;&gt;"TransfereGOV",
ROUND(OFFSET($P580,0,AY$13),15-13*ORÇAMENTO!$AF$7)/$H580*OFFSET(ORÇAMENTO!$X$15,ROW(AY580)-ROW(AY$15),0),
ROUND(ROUND(OFFSET($P580,0,AY$13),15-13*ORÇAMENTO!$AF$7)*OFFSET(ORÇAMENTO!$W$15,ROW(AY580)-ROW(AY$15),0),15-13*ORÇAMENTO!$AF$11)),0)</f>
        <v>0</v>
      </c>
      <c r="AZ580" s="545">
        <f ca="1">IF(AND($D580="Serviço",AZ$12&lt;&gt;0,$H580&gt;0,OR(AUTOEVENTO&lt;&gt;"manual",$M580&lt;&gt;1)),
IF(Import.TipoArredondamento&lt;&gt;"TransfereGOV",
ROUND(OFFSET($P580,0,AZ$13),15-13*ORÇAMENTO!$AF$7)/$H580*OFFSET(ORÇAMENTO!$X$15,ROW(AZ580)-ROW(AZ$15),0),
ROUND(ROUND(OFFSET($P580,0,AZ$13),15-13*ORÇAMENTO!$AF$7)*OFFSET(ORÇAMENTO!$W$15,ROW(AZ580)-ROW(AZ$15),0),15-13*ORÇAMENTO!$AF$11)),0)</f>
        <v>0</v>
      </c>
      <c r="BA580" s="546">
        <f ca="1">IF(AND($D580="Serviço",BA$12&lt;&gt;0,$H580&gt;0,OR(AUTOEVENTO&lt;&gt;"manual",$M580&lt;&gt;1)),
IF(Import.TipoArredondamento&lt;&gt;"TransfereGOV",
ROUND(OFFSET($P580,0,BA$13),15-13*ORÇAMENTO!$AF$7)/$H580*OFFSET(ORÇAMENTO!$X$15,ROW(BA580)-ROW(BA$15),0),
ROUND(ROUND(OFFSET($P580,0,BA$13),15-13*ORÇAMENTO!$AF$7)*OFFSET(ORÇAMENTO!$W$15,ROW(BA580)-ROW(BA$15),0),15-13*ORÇAMENTO!$AF$11)),0)</f>
        <v>0</v>
      </c>
      <c r="BC580" s="181">
        <f ca="1">IF($D580&lt;&gt;"Serviço",0,IF(AND(AUTOEVENTO="Manual",$M580=1),0,IF(OFFSET(CRONOPLE!$F$14,$M580,BC$13)="",10^12,OFFSET(CRONOPLE!$F$14,$M580,BC$13))))</f>
        <v>0</v>
      </c>
      <c r="BD580" s="181">
        <f ca="1">IF($D580&lt;&gt;"Serviço",0,IF(AND(AUTOEVENTO="Manual",$M580=1),0,IF(OFFSET(CRONOPLE!$F$14,$M580,BD$13)="",10^12,OFFSET(CRONOPLE!$F$14,$M580,BD$13))))</f>
        <v>0</v>
      </c>
      <c r="BE580" s="181">
        <f ca="1">IF($D580&lt;&gt;"Serviço",0,IF(AND(AUTOEVENTO="Manual",$M580=1),0,IF(OFFSET(CRONOPLE!$F$14,$M580,BE$13)="",10^12,OFFSET(CRONOPLE!$F$14,$M580,BE$13))))</f>
        <v>0</v>
      </c>
      <c r="BF580" s="181">
        <f ca="1">IF($D580&lt;&gt;"Serviço",0,IF(AND(AUTOEVENTO="Manual",$M580=1),0,IF(OFFSET(CRONOPLE!$F$14,$M580,BF$13)="",10^12,OFFSET(CRONOPLE!$F$14,$M580,BF$13))))</f>
        <v>0</v>
      </c>
      <c r="BG580" s="181">
        <f ca="1">IF($D580&lt;&gt;"Serviço",0,IF(AND(AUTOEVENTO="Manual",$M580=1),0,IF(OFFSET(CRONOPLE!$F$14,$M580,BG$13)="",10^12,OFFSET(CRONOPLE!$F$14,$M580,BG$13))))</f>
        <v>0</v>
      </c>
      <c r="BH580" s="181">
        <f ca="1">IF($D580&lt;&gt;"Serviço",0,IF(AND(AUTOEVENTO="Manual",$M580=1),0,IF(OFFSET(CRONOPLE!$F$14,$M580,BH$13)="",10^12,OFFSET(CRONOPLE!$F$14,$M580,BH$13))))</f>
        <v>0</v>
      </c>
      <c r="BI580" s="181">
        <f ca="1">IF($D580&lt;&gt;"Serviço",0,IF(AND(AUTOEVENTO="Manual",$M580=1),0,IF(OFFSET(CRONOPLE!$F$14,$M580,BI$13)="",10^12,OFFSET(CRONOPLE!$F$14,$M580,BI$13))))</f>
        <v>0</v>
      </c>
      <c r="BJ580" s="181">
        <f ca="1">IF($D580&lt;&gt;"Serviço",0,IF(AND(AUTOEVENTO="Manual",$M580=1),0,IF(OFFSET(CRONOPLE!$F$14,$M580,BJ$13)="",10^12,OFFSET(CRONOPLE!$F$14,$M580,BJ$13))))</f>
        <v>0</v>
      </c>
      <c r="BK580" s="181">
        <f ca="1">IF($D580&lt;&gt;"Serviço",0,IF(AND(AUTOEVENTO="Manual",$M580=1),0,IF(OFFSET(CRONOPLE!$F$14,$M580,BK$13)="",10^12,OFFSET(CRONOPLE!$F$14,$M580,BK$13))))</f>
        <v>0</v>
      </c>
      <c r="BL580" s="181">
        <f ca="1">IF($D580&lt;&gt;"Serviço",0,IF(AND(AUTOEVENTO="Manual",$M580=1),0,IF(OFFSET(CRONOPLE!$F$14,$M580,BL$13)="",10^12,OFFSET(CRONOPLE!$F$14,$M580,BL$13))))</f>
        <v>0</v>
      </c>
      <c r="BM580" s="181">
        <f ca="1">IF($D580&lt;&gt;"Serviço",0,IF(AND(AUTOEVENTO="Manual",$M580=1),0,IF(OFFSET(CRONOPLE!$F$14,$M580,BM$13)="",10^12,OFFSET(CRONOPLE!$F$14,$M580,BM$13))))</f>
        <v>0</v>
      </c>
      <c r="BN580" s="181">
        <f ca="1">IF($D580&lt;&gt;"Serviço",0,IF(AND(AUTOEVENTO="Manual",$M580=1),0,IF(OFFSET(CRONOPLE!$F$14,$M580,BN$13)="",10^12,OFFSET(CRONOPLE!$F$14,$M580,BN$13))))</f>
        <v>0</v>
      </c>
      <c r="BO580" s="181">
        <f ca="1">IF($D580&lt;&gt;"Serviço",0,IF(AND(AUTOEVENTO="Manual",$M580=1),0,IF(OFFSET(CRONOPLE!$F$14,$M580,BO$13)="",10^12,OFFSET(CRONOPLE!$F$14,$M580,BO$13))))</f>
        <v>0</v>
      </c>
      <c r="BP580" s="181">
        <f ca="1">IF($D580&lt;&gt;"Serviço",0,IF(AND(AUTOEVENTO="Manual",$M580=1),0,IF(OFFSET(CRONOPLE!$F$14,$M580,BP$13)="",10^12,OFFSET(CRONOPLE!$F$14,$M580,BP$13))))</f>
        <v>0</v>
      </c>
      <c r="BQ580" s="181">
        <f ca="1">IF($D580&lt;&gt;"Serviço",0,IF(AND(AUTOEVENTO="Manual",$M580=1),0,IF(OFFSET(CRONOPLE!$F$14,$M580,BQ$13)="",10^12,OFFSET(CRONOPLE!$F$14,$M580,BQ$13))))</f>
        <v>0</v>
      </c>
      <c r="BR580" s="181">
        <f ca="1">IF($D580&lt;&gt;"Serviço",0,IF(AND(AUTOEVENTO="Manual",$M580=1),0,IF(OFFSET(CRONOPLE!$F$14,$M580,BR$13)="",10^12,OFFSET(CRONOPLE!$F$14,$M580,BR$13))))</f>
        <v>0</v>
      </c>
      <c r="BS580" s="181">
        <f ca="1">IF($D580&lt;&gt;"Serviço",0,IF(AND(AUTOEVENTO="Manual",$M580=1),0,IF(OFFSET(CRONOPLE!$F$14,$M580,BS$13)="",10^12,OFFSET(CRONOPLE!$F$14,$M580,BS$13))))</f>
        <v>0</v>
      </c>
      <c r="BT580" s="181">
        <f ca="1">IF($D580&lt;&gt;"Serviço",0,IF(AND(AUTOEVENTO="Manual",$M580=1),0,IF(OFFSET(CRONOPLE!$F$14,$M580,BT$13)="",10^12,OFFSET(CRONOPLE!$F$14,$M580,BT$13))))</f>
        <v>0</v>
      </c>
      <c r="BV580" s="182">
        <f ca="1">IF($D580&lt;&gt;"Serviço",0,IF(OR(AND(AUTOEVENTO="Manual",$M580=1),$M580&gt;(ROW(PLE.lastrow)-ROW(PLE.firstrow))),0,IF(OFFSET(PLE!$G$14,$M580,BV$13)="",10^12,OFFSET(PLE!$G$14,$M580,BV$13))))</f>
        <v>0</v>
      </c>
      <c r="BW580" s="182">
        <f ca="1">IF($D580&lt;&gt;"Serviço",0,IF(OR(AND(AUTOEVENTO="Manual",$M580=1),$M580&gt;(ROW(PLE.lastrow)-ROW(PLE.firstrow))),0,IF(OFFSET(PLE!$G$14,$M580,BW$13)="",10^12,OFFSET(PLE!$G$14,$M580,BW$13))))</f>
        <v>0</v>
      </c>
      <c r="BX580" s="182">
        <f ca="1">IF($D580&lt;&gt;"Serviço",0,IF(OR(AND(AUTOEVENTO="Manual",$M580=1),$M580&gt;(ROW(PLE.lastrow)-ROW(PLE.firstrow))),0,IF(OFFSET(PLE!$G$14,$M580,BX$13)="",10^12,OFFSET(PLE!$G$14,$M580,BX$13))))</f>
        <v>0</v>
      </c>
      <c r="BY580" s="182">
        <f ca="1">IF($D580&lt;&gt;"Serviço",0,IF(OR(AND(AUTOEVENTO="Manual",$M580=1),$M580&gt;(ROW(PLE.lastrow)-ROW(PLE.firstrow))),0,IF(OFFSET(PLE!$G$14,$M580,BY$13)="",10^12,OFFSET(PLE!$G$14,$M580,BY$13))))</f>
        <v>0</v>
      </c>
      <c r="BZ580" s="182">
        <f ca="1">IF($D580&lt;&gt;"Serviço",0,IF(OR(AND(AUTOEVENTO="Manual",$M580=1),$M580&gt;(ROW(PLE.lastrow)-ROW(PLE.firstrow))),0,IF(OFFSET(PLE!$G$14,$M580,BZ$13)="",10^12,OFFSET(PLE!$G$14,$M580,BZ$13))))</f>
        <v>0</v>
      </c>
      <c r="CA580" s="182">
        <f ca="1">IF($D580&lt;&gt;"Serviço",0,IF(OR(AND(AUTOEVENTO="Manual",$M580=1),$M580&gt;(ROW(PLE.lastrow)-ROW(PLE.firstrow))),0,IF(OFFSET(PLE!$G$14,$M580,CA$13)="",10^12,OFFSET(PLE!$G$14,$M580,CA$13))))</f>
        <v>0</v>
      </c>
      <c r="CB580" s="182">
        <f ca="1">IF($D580&lt;&gt;"Serviço",0,IF(OR(AND(AUTOEVENTO="Manual",$M580=1),$M580&gt;(ROW(PLE.lastrow)-ROW(PLE.firstrow))),0,IF(OFFSET(PLE!$G$14,$M580,CB$13)="",10^12,OFFSET(PLE!$G$14,$M580,CB$13))))</f>
        <v>0</v>
      </c>
      <c r="CC580" s="182">
        <f ca="1">IF($D580&lt;&gt;"Serviço",0,IF(OR(AND(AUTOEVENTO="Manual",$M580=1),$M580&gt;(ROW(PLE.lastrow)-ROW(PLE.firstrow))),0,IF(OFFSET(PLE!$G$14,$M580,CC$13)="",10^12,OFFSET(PLE!$G$14,$M580,CC$13))))</f>
        <v>0</v>
      </c>
      <c r="CD580" s="182">
        <f ca="1">IF($D580&lt;&gt;"Serviço",0,IF(OR(AND(AUTOEVENTO="Manual",$M580=1),$M580&gt;(ROW(PLE.lastrow)-ROW(PLE.firstrow))),0,IF(OFFSET(PLE!$G$14,$M580,CD$13)="",10^12,OFFSET(PLE!$G$14,$M580,CD$13))))</f>
        <v>0</v>
      </c>
      <c r="CE580" s="182">
        <f ca="1">IF($D580&lt;&gt;"Serviço",0,IF(OR(AND(AUTOEVENTO="Manual",$M580=1),$M580&gt;(ROW(PLE.lastrow)-ROW(PLE.firstrow))),0,IF(OFFSET(PLE!$G$14,$M580,CE$13)="",10^12,OFFSET(PLE!$G$14,$M580,CE$13))))</f>
        <v>0</v>
      </c>
      <c r="CF580" s="182">
        <f ca="1">IF($D580&lt;&gt;"Serviço",0,IF(OR(AND(AUTOEVENTO="Manual",$M580=1),$M580&gt;(ROW(PLE.lastrow)-ROW(PLE.firstrow))),0,IF(OFFSET(PLE!$G$14,$M580,CF$13)="",10^12,OFFSET(PLE!$G$14,$M580,CF$13))))</f>
        <v>0</v>
      </c>
      <c r="CG580" s="182">
        <f ca="1">IF($D580&lt;&gt;"Serviço",0,IF(OR(AND(AUTOEVENTO="Manual",$M580=1),$M580&gt;(ROW(PLE.lastrow)-ROW(PLE.firstrow))),0,IF(OFFSET(PLE!$G$14,$M580,CG$13)="",10^12,OFFSET(PLE!$G$14,$M580,CG$13))))</f>
        <v>0</v>
      </c>
      <c r="CH580" s="182">
        <f ca="1">IF($D580&lt;&gt;"Serviço",0,IF(OR(AND(AUTOEVENTO="Manual",$M580=1),$M580&gt;(ROW(PLE.lastrow)-ROW(PLE.firstrow))),0,IF(OFFSET(PLE!$G$14,$M580,CH$13)="",10^12,OFFSET(PLE!$G$14,$M580,CH$13))))</f>
        <v>0</v>
      </c>
      <c r="CI580" s="182">
        <f ca="1">IF($D580&lt;&gt;"Serviço",0,IF(OR(AND(AUTOEVENTO="Manual",$M580=1),$M580&gt;(ROW(PLE.lastrow)-ROW(PLE.firstrow))),0,IF(OFFSET(PLE!$G$14,$M580,CI$13)="",10^12,OFFSET(PLE!$G$14,$M580,CI$13))))</f>
        <v>0</v>
      </c>
      <c r="CJ580" s="182">
        <f ca="1">IF($D580&lt;&gt;"Serviço",0,IF(OR(AND(AUTOEVENTO="Manual",$M580=1),$M580&gt;(ROW(PLE.lastrow)-ROW(PLE.firstrow))),0,IF(OFFSET(PLE!$G$14,$M580,CJ$13)="",10^12,OFFSET(PLE!$G$14,$M580,CJ$13))))</f>
        <v>0</v>
      </c>
      <c r="CK580" s="182">
        <f ca="1">IF($D580&lt;&gt;"Serviço",0,IF(OR(AND(AUTOEVENTO="Manual",$M580=1),$M580&gt;(ROW(PLE.lastrow)-ROW(PLE.firstrow))),0,IF(OFFSET(PLE!$G$14,$M580,CK$13)="",10^12,OFFSET(PLE!$G$14,$M580,CK$13))))</f>
        <v>0</v>
      </c>
      <c r="CL580" s="182">
        <f ca="1">IF($D580&lt;&gt;"Serviço",0,IF(OR(AND(AUTOEVENTO="Manual",$M580=1),$M580&gt;(ROW(PLE.lastrow)-ROW(PLE.firstrow))),0,IF(OFFSET(PLE!$G$14,$M580,CL$13)="",10^12,OFFSET(PLE!$G$14,$M580,CL$13))))</f>
        <v>0</v>
      </c>
      <c r="CM580" s="182">
        <f ca="1">IF($D580&lt;&gt;"Serviço",0,IF(OR(AND(AUTOEVENTO="Manual",$M580=1),$M580&gt;(ROW(PLE.lastrow)-ROW(PLE.firstrow))),0,IF(OFFSET(PLE!$G$14,$M580,CM$13)="",10^12,OFFSET(PLE!$G$14,$M580,CM$13))))</f>
        <v>0</v>
      </c>
    </row>
    <row r="581" spans="1:91" ht="38.25" x14ac:dyDescent="0.2">
      <c r="A581" s="7" t="str">
        <f t="shared" ca="1" si="17"/>
        <v>565</v>
      </c>
      <c r="B581" s="7" t="str">
        <f ca="1">OFFSET(ORÇAMENTO!C$15,ROW(B581)-ROW(B$15),0)</f>
        <v>S</v>
      </c>
      <c r="C581" s="7" t="str">
        <f ca="1">OFFSET(ORÇAMENTO!L$15,ROW(C581)-ROW(C$15),0)</f>
        <v/>
      </c>
      <c r="D581" s="118" t="str">
        <f ca="1">OFFSET(ORÇAMENTO!N$15,ROW(D581)-ROW(D$15),0)</f>
        <v>Serviço</v>
      </c>
      <c r="E581" s="119" t="str">
        <f ca="1">OFFSET(ORÇAMENTO!O$15,ROW(E581)-ROW(E$15),0)</f>
        <v>-</v>
      </c>
      <c r="F581" s="172" t="str">
        <f ca="1">OFFSET(ORÇAMENTO!R$15,ROW(F581)-ROW(F$15),0)</f>
        <v>(abra o arquivo 'Referência 06-2024.xlsm)</v>
      </c>
      <c r="G581" s="173" t="str">
        <f ca="1">IF($D581&lt;&gt;"Serviço","",OFFSET(ORÇAMENTO!S$15,ROW(G581)-ROW(G$15),0))</f>
        <v>-</v>
      </c>
      <c r="H581" s="124">
        <f ca="1">IF($D581&lt;&gt;"Serviço",0,IF(ACOMPANHAMENTO="BM",ROUND(OFFSET(ORÇAMENTO!AJ$15,ROW(H581)-ROW(H$15),0),15-13*ORÇAMENTO!$AF$7),SUMPRODUCT(($Q$12:$AI$12&lt;&gt;"")*ROUND($Q581:$AI581,15-13*ORÇAMENTO!$AF$7))))</f>
        <v>107.9</v>
      </c>
      <c r="I581" s="561" t="s">
        <v>1107</v>
      </c>
      <c r="K581" s="174"/>
      <c r="L581" s="175" t="s">
        <v>255</v>
      </c>
      <c r="M581" s="176">
        <f ca="1">IF($D581&lt;&gt;"Serviço","",IF(AUTOEVENTO="manual",$A581,IF(ISERROR(MATCH($A581,$A$15:OFFSET($A581,-1,0),0)),MAX($M$15:OFFSET(M581,-1,0))+1,INDEX($M$15:OFFSET(M581,-1,0),MATCH($A581,$A$15:OFFSET($A581,-1,0),0)))))</f>
        <v>59</v>
      </c>
      <c r="N581" s="177" t="str">
        <f ca="1">IF($D581&lt;&gt;"Serviço","",IF(AUTOEVENTO="Manual",IF($A581=0,"&lt;-- defina o número do agrupador",OFFSET(EVENTOS!$D$14,$A581,0)),OFFSET($F$15,$A581,0)))</f>
        <v>INSTALAÇÃO ELÉTRICA 110V - ELETRODUTOS</v>
      </c>
      <c r="O581" s="178"/>
      <c r="Q581" s="178">
        <v>107.9</v>
      </c>
      <c r="R581" s="179"/>
      <c r="S581" s="179"/>
      <c r="T581" s="179"/>
      <c r="U581" s="179"/>
      <c r="V581" s="179"/>
      <c r="W581" s="179"/>
      <c r="X581" s="179"/>
      <c r="Y581" s="179"/>
      <c r="Z581" s="180"/>
      <c r="AA581" s="179"/>
      <c r="AB581" s="179"/>
      <c r="AC581" s="179"/>
      <c r="AD581" s="179"/>
      <c r="AE581" s="179"/>
      <c r="AF581" s="179"/>
      <c r="AG581" s="179"/>
      <c r="AH581" s="180"/>
      <c r="AJ581" s="544">
        <f ca="1">IF(AND($D581="Serviço",AJ$12&lt;&gt;0,$H581&gt;0,OR(AUTOEVENTO&lt;&gt;"manual",$M581&lt;&gt;1)),
IF(Import.TipoArredondamento&lt;&gt;"TransfereGOV",
ROUND(OFFSET($P581,0,AJ$13),15-13*ORÇAMENTO!$AF$7)/$H581*OFFSET(ORÇAMENTO!$X$15,ROW(AJ581)-ROW(AJ$15),0),
ROUND(ROUND(OFFSET($P581,0,AJ$13),15-13*ORÇAMENTO!$AF$7)*OFFSET(ORÇAMENTO!$W$15,ROW(AJ581)-ROW(AJ$15),0),15-13*ORÇAMENTO!$AF$11)),0)</f>
        <v>0</v>
      </c>
      <c r="AK581" s="545">
        <f ca="1">IF(AND($D581="Serviço",AK$12&lt;&gt;0,$H581&gt;0,OR(AUTOEVENTO&lt;&gt;"manual",$M581&lt;&gt;1)),
IF(Import.TipoArredondamento&lt;&gt;"TransfereGOV",
ROUND(OFFSET($P581,0,AK$13),15-13*ORÇAMENTO!$AF$7)/$H581*OFFSET(ORÇAMENTO!$X$15,ROW(AK581)-ROW(AK$15),0),
ROUND(ROUND(OFFSET($P581,0,AK$13),15-13*ORÇAMENTO!$AF$7)*OFFSET(ORÇAMENTO!$W$15,ROW(AK581)-ROW(AK$15),0),15-13*ORÇAMENTO!$AF$11)),0)</f>
        <v>0</v>
      </c>
      <c r="AL581" s="545">
        <f ca="1">IF(AND($D581="Serviço",AL$12&lt;&gt;0,$H581&gt;0,OR(AUTOEVENTO&lt;&gt;"manual",$M581&lt;&gt;1)),
IF(Import.TipoArredondamento&lt;&gt;"TransfereGOV",
ROUND(OFFSET($P581,0,AL$13),15-13*ORÇAMENTO!$AF$7)/$H581*OFFSET(ORÇAMENTO!$X$15,ROW(AL581)-ROW(AL$15),0),
ROUND(ROUND(OFFSET($P581,0,AL$13),15-13*ORÇAMENTO!$AF$7)*OFFSET(ORÇAMENTO!$W$15,ROW(AL581)-ROW(AL$15),0),15-13*ORÇAMENTO!$AF$11)),0)</f>
        <v>0</v>
      </c>
      <c r="AM581" s="545">
        <f ca="1">IF(AND($D581="Serviço",AM$12&lt;&gt;0,$H581&gt;0,OR(AUTOEVENTO&lt;&gt;"manual",$M581&lt;&gt;1)),
IF(Import.TipoArredondamento&lt;&gt;"TransfereGOV",
ROUND(OFFSET($P581,0,AM$13),15-13*ORÇAMENTO!$AF$7)/$H581*OFFSET(ORÇAMENTO!$X$15,ROW(AM581)-ROW(AM$15),0),
ROUND(ROUND(OFFSET($P581,0,AM$13),15-13*ORÇAMENTO!$AF$7)*OFFSET(ORÇAMENTO!$W$15,ROW(AM581)-ROW(AM$15),0),15-13*ORÇAMENTO!$AF$11)),0)</f>
        <v>0</v>
      </c>
      <c r="AN581" s="545">
        <f ca="1">IF(AND($D581="Serviço",AN$12&lt;&gt;0,$H581&gt;0,OR(AUTOEVENTO&lt;&gt;"manual",$M581&lt;&gt;1)),
IF(Import.TipoArredondamento&lt;&gt;"TransfereGOV",
ROUND(OFFSET($P581,0,AN$13),15-13*ORÇAMENTO!$AF$7)/$H581*OFFSET(ORÇAMENTO!$X$15,ROW(AN581)-ROW(AN$15),0),
ROUND(ROUND(OFFSET($P581,0,AN$13),15-13*ORÇAMENTO!$AF$7)*OFFSET(ORÇAMENTO!$W$15,ROW(AN581)-ROW(AN$15),0),15-13*ORÇAMENTO!$AF$11)),0)</f>
        <v>0</v>
      </c>
      <c r="AO581" s="545">
        <f ca="1">IF(AND($D581="Serviço",AO$12&lt;&gt;0,$H581&gt;0,OR(AUTOEVENTO&lt;&gt;"manual",$M581&lt;&gt;1)),
IF(Import.TipoArredondamento&lt;&gt;"TransfereGOV",
ROUND(OFFSET($P581,0,AO$13),15-13*ORÇAMENTO!$AF$7)/$H581*OFFSET(ORÇAMENTO!$X$15,ROW(AO581)-ROW(AO$15),0),
ROUND(ROUND(OFFSET($P581,0,AO$13),15-13*ORÇAMENTO!$AF$7)*OFFSET(ORÇAMENTO!$W$15,ROW(AO581)-ROW(AO$15),0),15-13*ORÇAMENTO!$AF$11)),0)</f>
        <v>0</v>
      </c>
      <c r="AP581" s="545">
        <f ca="1">IF(AND($D581="Serviço",AP$12&lt;&gt;0,$H581&gt;0,OR(AUTOEVENTO&lt;&gt;"manual",$M581&lt;&gt;1)),
IF(Import.TipoArredondamento&lt;&gt;"TransfereGOV",
ROUND(OFFSET($P581,0,AP$13),15-13*ORÇAMENTO!$AF$7)/$H581*OFFSET(ORÇAMENTO!$X$15,ROW(AP581)-ROW(AP$15),0),
ROUND(ROUND(OFFSET($P581,0,AP$13),15-13*ORÇAMENTO!$AF$7)*OFFSET(ORÇAMENTO!$W$15,ROW(AP581)-ROW(AP$15),0),15-13*ORÇAMENTO!$AF$11)),0)</f>
        <v>0</v>
      </c>
      <c r="AQ581" s="545">
        <f ca="1">IF(AND($D581="Serviço",AQ$12&lt;&gt;0,$H581&gt;0,OR(AUTOEVENTO&lt;&gt;"manual",$M581&lt;&gt;1)),
IF(Import.TipoArredondamento&lt;&gt;"TransfereGOV",
ROUND(OFFSET($P581,0,AQ$13),15-13*ORÇAMENTO!$AF$7)/$H581*OFFSET(ORÇAMENTO!$X$15,ROW(AQ581)-ROW(AQ$15),0),
ROUND(ROUND(OFFSET($P581,0,AQ$13),15-13*ORÇAMENTO!$AF$7)*OFFSET(ORÇAMENTO!$W$15,ROW(AQ581)-ROW(AQ$15),0),15-13*ORÇAMENTO!$AF$11)),0)</f>
        <v>0</v>
      </c>
      <c r="AR581" s="545">
        <f ca="1">IF(AND($D581="Serviço",AR$12&lt;&gt;0,$H581&gt;0,OR(AUTOEVENTO&lt;&gt;"manual",$M581&lt;&gt;1)),
IF(Import.TipoArredondamento&lt;&gt;"TransfereGOV",
ROUND(OFFSET($P581,0,AR$13),15-13*ORÇAMENTO!$AF$7)/$H581*OFFSET(ORÇAMENTO!$X$15,ROW(AR581)-ROW(AR$15),0),
ROUND(ROUND(OFFSET($P581,0,AR$13),15-13*ORÇAMENTO!$AF$7)*OFFSET(ORÇAMENTO!$W$15,ROW(AR581)-ROW(AR$15),0),15-13*ORÇAMENTO!$AF$11)),0)</f>
        <v>0</v>
      </c>
      <c r="AS581" s="546">
        <f ca="1">IF(AND($D581="Serviço",AS$12&lt;&gt;0,$H581&gt;0,OR(AUTOEVENTO&lt;&gt;"manual",$M581&lt;&gt;1)),
IF(Import.TipoArredondamento&lt;&gt;"TransfereGOV",
ROUND(OFFSET($P581,0,AS$13),15-13*ORÇAMENTO!$AF$7)/$H581*OFFSET(ORÇAMENTO!$X$15,ROW(AS581)-ROW(AS$15),0),
ROUND(ROUND(OFFSET($P581,0,AS$13),15-13*ORÇAMENTO!$AF$7)*OFFSET(ORÇAMENTO!$W$15,ROW(AS581)-ROW(AS$15),0),15-13*ORÇAMENTO!$AF$11)),0)</f>
        <v>0</v>
      </c>
      <c r="AT581" s="545">
        <f ca="1">IF(AND($D581="Serviço",AT$12&lt;&gt;0,$H581&gt;0,OR(AUTOEVENTO&lt;&gt;"manual",$M581&lt;&gt;1)),
IF(Import.TipoArredondamento&lt;&gt;"TransfereGOV",
ROUND(OFFSET($P581,0,AT$13),15-13*ORÇAMENTO!$AF$7)/$H581*OFFSET(ORÇAMENTO!$X$15,ROW(AT581)-ROW(AT$15),0),
ROUND(ROUND(OFFSET($P581,0,AT$13),15-13*ORÇAMENTO!$AF$7)*OFFSET(ORÇAMENTO!$W$15,ROW(AT581)-ROW(AT$15),0),15-13*ORÇAMENTO!$AF$11)),0)</f>
        <v>0</v>
      </c>
      <c r="AU581" s="545">
        <f ca="1">IF(AND($D581="Serviço",AU$12&lt;&gt;0,$H581&gt;0,OR(AUTOEVENTO&lt;&gt;"manual",$M581&lt;&gt;1)),
IF(Import.TipoArredondamento&lt;&gt;"TransfereGOV",
ROUND(OFFSET($P581,0,AU$13),15-13*ORÇAMENTO!$AF$7)/$H581*OFFSET(ORÇAMENTO!$X$15,ROW(AU581)-ROW(AU$15),0),
ROUND(ROUND(OFFSET($P581,0,AU$13),15-13*ORÇAMENTO!$AF$7)*OFFSET(ORÇAMENTO!$W$15,ROW(AU581)-ROW(AU$15),0),15-13*ORÇAMENTO!$AF$11)),0)</f>
        <v>0</v>
      </c>
      <c r="AV581" s="545">
        <f ca="1">IF(AND($D581="Serviço",AV$12&lt;&gt;0,$H581&gt;0,OR(AUTOEVENTO&lt;&gt;"manual",$M581&lt;&gt;1)),
IF(Import.TipoArredondamento&lt;&gt;"TransfereGOV",
ROUND(OFFSET($P581,0,AV$13),15-13*ORÇAMENTO!$AF$7)/$H581*OFFSET(ORÇAMENTO!$X$15,ROW(AV581)-ROW(AV$15),0),
ROUND(ROUND(OFFSET($P581,0,AV$13),15-13*ORÇAMENTO!$AF$7)*OFFSET(ORÇAMENTO!$W$15,ROW(AV581)-ROW(AV$15),0),15-13*ORÇAMENTO!$AF$11)),0)</f>
        <v>0</v>
      </c>
      <c r="AW581" s="545">
        <f ca="1">IF(AND($D581="Serviço",AW$12&lt;&gt;0,$H581&gt;0,OR(AUTOEVENTO&lt;&gt;"manual",$M581&lt;&gt;1)),
IF(Import.TipoArredondamento&lt;&gt;"TransfereGOV",
ROUND(OFFSET($P581,0,AW$13),15-13*ORÇAMENTO!$AF$7)/$H581*OFFSET(ORÇAMENTO!$X$15,ROW(AW581)-ROW(AW$15),0),
ROUND(ROUND(OFFSET($P581,0,AW$13),15-13*ORÇAMENTO!$AF$7)*OFFSET(ORÇAMENTO!$W$15,ROW(AW581)-ROW(AW$15),0),15-13*ORÇAMENTO!$AF$11)),0)</f>
        <v>0</v>
      </c>
      <c r="AX581" s="545">
        <f ca="1">IF(AND($D581="Serviço",AX$12&lt;&gt;0,$H581&gt;0,OR(AUTOEVENTO&lt;&gt;"manual",$M581&lt;&gt;1)),
IF(Import.TipoArredondamento&lt;&gt;"TransfereGOV",
ROUND(OFFSET($P581,0,AX$13),15-13*ORÇAMENTO!$AF$7)/$H581*OFFSET(ORÇAMENTO!$X$15,ROW(AX581)-ROW(AX$15),0),
ROUND(ROUND(OFFSET($P581,0,AX$13),15-13*ORÇAMENTO!$AF$7)*OFFSET(ORÇAMENTO!$W$15,ROW(AX581)-ROW(AX$15),0),15-13*ORÇAMENTO!$AF$11)),0)</f>
        <v>0</v>
      </c>
      <c r="AY581" s="545">
        <f ca="1">IF(AND($D581="Serviço",AY$12&lt;&gt;0,$H581&gt;0,OR(AUTOEVENTO&lt;&gt;"manual",$M581&lt;&gt;1)),
IF(Import.TipoArredondamento&lt;&gt;"TransfereGOV",
ROUND(OFFSET($P581,0,AY$13),15-13*ORÇAMENTO!$AF$7)/$H581*OFFSET(ORÇAMENTO!$X$15,ROW(AY581)-ROW(AY$15),0),
ROUND(ROUND(OFFSET($P581,0,AY$13),15-13*ORÇAMENTO!$AF$7)*OFFSET(ORÇAMENTO!$W$15,ROW(AY581)-ROW(AY$15),0),15-13*ORÇAMENTO!$AF$11)),0)</f>
        <v>0</v>
      </c>
      <c r="AZ581" s="545">
        <f ca="1">IF(AND($D581="Serviço",AZ$12&lt;&gt;0,$H581&gt;0,OR(AUTOEVENTO&lt;&gt;"manual",$M581&lt;&gt;1)),
IF(Import.TipoArredondamento&lt;&gt;"TransfereGOV",
ROUND(OFFSET($P581,0,AZ$13),15-13*ORÇAMENTO!$AF$7)/$H581*OFFSET(ORÇAMENTO!$X$15,ROW(AZ581)-ROW(AZ$15),0),
ROUND(ROUND(OFFSET($P581,0,AZ$13),15-13*ORÇAMENTO!$AF$7)*OFFSET(ORÇAMENTO!$W$15,ROW(AZ581)-ROW(AZ$15),0),15-13*ORÇAMENTO!$AF$11)),0)</f>
        <v>0</v>
      </c>
      <c r="BA581" s="546">
        <f ca="1">IF(AND($D581="Serviço",BA$12&lt;&gt;0,$H581&gt;0,OR(AUTOEVENTO&lt;&gt;"manual",$M581&lt;&gt;1)),
IF(Import.TipoArredondamento&lt;&gt;"TransfereGOV",
ROUND(OFFSET($P581,0,BA$13),15-13*ORÇAMENTO!$AF$7)/$H581*OFFSET(ORÇAMENTO!$X$15,ROW(BA581)-ROW(BA$15),0),
ROUND(ROUND(OFFSET($P581,0,BA$13),15-13*ORÇAMENTO!$AF$7)*OFFSET(ORÇAMENTO!$W$15,ROW(BA581)-ROW(BA$15),0),15-13*ORÇAMENTO!$AF$11)),0)</f>
        <v>0</v>
      </c>
      <c r="BC581" s="181">
        <f ca="1">IF($D581&lt;&gt;"Serviço",0,IF(AND(AUTOEVENTO="Manual",$M581=1),0,IF(OFFSET(CRONOPLE!$F$14,$M581,BC$13)="",10^12,OFFSET(CRONOPLE!$F$14,$M581,BC$13))))</f>
        <v>11</v>
      </c>
      <c r="BD581" s="181">
        <f ca="1">IF($D581&lt;&gt;"Serviço",0,IF(AND(AUTOEVENTO="Manual",$M581=1),0,IF(OFFSET(CRONOPLE!$F$14,$M581,BD$13)="",10^12,OFFSET(CRONOPLE!$F$14,$M581,BD$13))))</f>
        <v>1000000000000</v>
      </c>
      <c r="BE581" s="181">
        <f ca="1">IF($D581&lt;&gt;"Serviço",0,IF(AND(AUTOEVENTO="Manual",$M581=1),0,IF(OFFSET(CRONOPLE!$F$14,$M581,BE$13)="",10^12,OFFSET(CRONOPLE!$F$14,$M581,BE$13))))</f>
        <v>1000000000000</v>
      </c>
      <c r="BF581" s="181">
        <f ca="1">IF($D581&lt;&gt;"Serviço",0,IF(AND(AUTOEVENTO="Manual",$M581=1),0,IF(OFFSET(CRONOPLE!$F$14,$M581,BF$13)="",10^12,OFFSET(CRONOPLE!$F$14,$M581,BF$13))))</f>
        <v>1000000000000</v>
      </c>
      <c r="BG581" s="181">
        <f ca="1">IF($D581&lt;&gt;"Serviço",0,IF(AND(AUTOEVENTO="Manual",$M581=1),0,IF(OFFSET(CRONOPLE!$F$14,$M581,BG$13)="",10^12,OFFSET(CRONOPLE!$F$14,$M581,BG$13))))</f>
        <v>1000000000000</v>
      </c>
      <c r="BH581" s="181">
        <f ca="1">IF($D581&lt;&gt;"Serviço",0,IF(AND(AUTOEVENTO="Manual",$M581=1),0,IF(OFFSET(CRONOPLE!$F$14,$M581,BH$13)="",10^12,OFFSET(CRONOPLE!$F$14,$M581,BH$13))))</f>
        <v>1000000000000</v>
      </c>
      <c r="BI581" s="181">
        <f ca="1">IF($D581&lt;&gt;"Serviço",0,IF(AND(AUTOEVENTO="Manual",$M581=1),0,IF(OFFSET(CRONOPLE!$F$14,$M581,BI$13)="",10^12,OFFSET(CRONOPLE!$F$14,$M581,BI$13))))</f>
        <v>1000000000000</v>
      </c>
      <c r="BJ581" s="181">
        <f ca="1">IF($D581&lt;&gt;"Serviço",0,IF(AND(AUTOEVENTO="Manual",$M581=1),0,IF(OFFSET(CRONOPLE!$F$14,$M581,BJ$13)="",10^12,OFFSET(CRONOPLE!$F$14,$M581,BJ$13))))</f>
        <v>1000000000000</v>
      </c>
      <c r="BK581" s="181">
        <f ca="1">IF($D581&lt;&gt;"Serviço",0,IF(AND(AUTOEVENTO="Manual",$M581=1),0,IF(OFFSET(CRONOPLE!$F$14,$M581,BK$13)="",10^12,OFFSET(CRONOPLE!$F$14,$M581,BK$13))))</f>
        <v>1000000000000</v>
      </c>
      <c r="BL581" s="181">
        <f ca="1">IF($D581&lt;&gt;"Serviço",0,IF(AND(AUTOEVENTO="Manual",$M581=1),0,IF(OFFSET(CRONOPLE!$F$14,$M581,BL$13)="",10^12,OFFSET(CRONOPLE!$F$14,$M581,BL$13))))</f>
        <v>1000000000000</v>
      </c>
      <c r="BM581" s="181">
        <f ca="1">IF($D581&lt;&gt;"Serviço",0,IF(AND(AUTOEVENTO="Manual",$M581=1),0,IF(OFFSET(CRONOPLE!$F$14,$M581,BM$13)="",10^12,OFFSET(CRONOPLE!$F$14,$M581,BM$13))))</f>
        <v>1000000000000</v>
      </c>
      <c r="BN581" s="181">
        <f ca="1">IF($D581&lt;&gt;"Serviço",0,IF(AND(AUTOEVENTO="Manual",$M581=1),0,IF(OFFSET(CRONOPLE!$F$14,$M581,BN$13)="",10^12,OFFSET(CRONOPLE!$F$14,$M581,BN$13))))</f>
        <v>1000000000000</v>
      </c>
      <c r="BO581" s="181">
        <f ca="1">IF($D581&lt;&gt;"Serviço",0,IF(AND(AUTOEVENTO="Manual",$M581=1),0,IF(OFFSET(CRONOPLE!$F$14,$M581,BO$13)="",10^12,OFFSET(CRONOPLE!$F$14,$M581,BO$13))))</f>
        <v>1000000000000</v>
      </c>
      <c r="BP581" s="181">
        <f ca="1">IF($D581&lt;&gt;"Serviço",0,IF(AND(AUTOEVENTO="Manual",$M581=1),0,IF(OFFSET(CRONOPLE!$F$14,$M581,BP$13)="",10^12,OFFSET(CRONOPLE!$F$14,$M581,BP$13))))</f>
        <v>1000000000000</v>
      </c>
      <c r="BQ581" s="181">
        <f ca="1">IF($D581&lt;&gt;"Serviço",0,IF(AND(AUTOEVENTO="Manual",$M581=1),0,IF(OFFSET(CRONOPLE!$F$14,$M581,BQ$13)="",10^12,OFFSET(CRONOPLE!$F$14,$M581,BQ$13))))</f>
        <v>1000000000000</v>
      </c>
      <c r="BR581" s="181">
        <f ca="1">IF($D581&lt;&gt;"Serviço",0,IF(AND(AUTOEVENTO="Manual",$M581=1),0,IF(OFFSET(CRONOPLE!$F$14,$M581,BR$13)="",10^12,OFFSET(CRONOPLE!$F$14,$M581,BR$13))))</f>
        <v>1000000000000</v>
      </c>
      <c r="BS581" s="181">
        <f ca="1">IF($D581&lt;&gt;"Serviço",0,IF(AND(AUTOEVENTO="Manual",$M581=1),0,IF(OFFSET(CRONOPLE!$F$14,$M581,BS$13)="",10^12,OFFSET(CRONOPLE!$F$14,$M581,BS$13))))</f>
        <v>1000000000000</v>
      </c>
      <c r="BT581" s="181">
        <f ca="1">IF($D581&lt;&gt;"Serviço",0,IF(AND(AUTOEVENTO="Manual",$M581=1),0,IF(OFFSET(CRONOPLE!$F$14,$M581,BT$13)="",10^12,OFFSET(CRONOPLE!$F$14,$M581,BT$13))))</f>
        <v>1000000000000</v>
      </c>
      <c r="BV581" s="182">
        <f ca="1">IF($D581&lt;&gt;"Serviço",0,IF(OR(AND(AUTOEVENTO="Manual",$M581=1),$M581&gt;(ROW(PLE.lastrow)-ROW(PLE.firstrow))),0,IF(OFFSET(PLE!$G$14,$M581,BV$13)="",10^12,OFFSET(PLE!$G$14,$M581,BV$13))))</f>
        <v>1000000000000</v>
      </c>
      <c r="BW581" s="182">
        <f ca="1">IF($D581&lt;&gt;"Serviço",0,IF(OR(AND(AUTOEVENTO="Manual",$M581=1),$M581&gt;(ROW(PLE.lastrow)-ROW(PLE.firstrow))),0,IF(OFFSET(PLE!$G$14,$M581,BW$13)="",10^12,OFFSET(PLE!$G$14,$M581,BW$13))))</f>
        <v>1000000000000</v>
      </c>
      <c r="BX581" s="182">
        <f ca="1">IF($D581&lt;&gt;"Serviço",0,IF(OR(AND(AUTOEVENTO="Manual",$M581=1),$M581&gt;(ROW(PLE.lastrow)-ROW(PLE.firstrow))),0,IF(OFFSET(PLE!$G$14,$M581,BX$13)="",10^12,OFFSET(PLE!$G$14,$M581,BX$13))))</f>
        <v>1000000000000</v>
      </c>
      <c r="BY581" s="182">
        <f ca="1">IF($D581&lt;&gt;"Serviço",0,IF(OR(AND(AUTOEVENTO="Manual",$M581=1),$M581&gt;(ROW(PLE.lastrow)-ROW(PLE.firstrow))),0,IF(OFFSET(PLE!$G$14,$M581,BY$13)="",10^12,OFFSET(PLE!$G$14,$M581,BY$13))))</f>
        <v>1000000000000</v>
      </c>
      <c r="BZ581" s="182">
        <f ca="1">IF($D581&lt;&gt;"Serviço",0,IF(OR(AND(AUTOEVENTO="Manual",$M581=1),$M581&gt;(ROW(PLE.lastrow)-ROW(PLE.firstrow))),0,IF(OFFSET(PLE!$G$14,$M581,BZ$13)="",10^12,OFFSET(PLE!$G$14,$M581,BZ$13))))</f>
        <v>1000000000000</v>
      </c>
      <c r="CA581" s="182">
        <f ca="1">IF($D581&lt;&gt;"Serviço",0,IF(OR(AND(AUTOEVENTO="Manual",$M581=1),$M581&gt;(ROW(PLE.lastrow)-ROW(PLE.firstrow))),0,IF(OFFSET(PLE!$G$14,$M581,CA$13)="",10^12,OFFSET(PLE!$G$14,$M581,CA$13))))</f>
        <v>1000000000000</v>
      </c>
      <c r="CB581" s="182">
        <f ca="1">IF($D581&lt;&gt;"Serviço",0,IF(OR(AND(AUTOEVENTO="Manual",$M581=1),$M581&gt;(ROW(PLE.lastrow)-ROW(PLE.firstrow))),0,IF(OFFSET(PLE!$G$14,$M581,CB$13)="",10^12,OFFSET(PLE!$G$14,$M581,CB$13))))</f>
        <v>1000000000000</v>
      </c>
      <c r="CC581" s="182">
        <f ca="1">IF($D581&lt;&gt;"Serviço",0,IF(OR(AND(AUTOEVENTO="Manual",$M581=1),$M581&gt;(ROW(PLE.lastrow)-ROW(PLE.firstrow))),0,IF(OFFSET(PLE!$G$14,$M581,CC$13)="",10^12,OFFSET(PLE!$G$14,$M581,CC$13))))</f>
        <v>1000000000000</v>
      </c>
      <c r="CD581" s="182">
        <f ca="1">IF($D581&lt;&gt;"Serviço",0,IF(OR(AND(AUTOEVENTO="Manual",$M581=1),$M581&gt;(ROW(PLE.lastrow)-ROW(PLE.firstrow))),0,IF(OFFSET(PLE!$G$14,$M581,CD$13)="",10^12,OFFSET(PLE!$G$14,$M581,CD$13))))</f>
        <v>1000000000000</v>
      </c>
      <c r="CE581" s="182">
        <f ca="1">IF($D581&lt;&gt;"Serviço",0,IF(OR(AND(AUTOEVENTO="Manual",$M581=1),$M581&gt;(ROW(PLE.lastrow)-ROW(PLE.firstrow))),0,IF(OFFSET(PLE!$G$14,$M581,CE$13)="",10^12,OFFSET(PLE!$G$14,$M581,CE$13))))</f>
        <v>1000000000000</v>
      </c>
      <c r="CF581" s="182">
        <f ca="1">IF($D581&lt;&gt;"Serviço",0,IF(OR(AND(AUTOEVENTO="Manual",$M581=1),$M581&gt;(ROW(PLE.lastrow)-ROW(PLE.firstrow))),0,IF(OFFSET(PLE!$G$14,$M581,CF$13)="",10^12,OFFSET(PLE!$G$14,$M581,CF$13))))</f>
        <v>1000000000000</v>
      </c>
      <c r="CG581" s="182">
        <f ca="1">IF($D581&lt;&gt;"Serviço",0,IF(OR(AND(AUTOEVENTO="Manual",$M581=1),$M581&gt;(ROW(PLE.lastrow)-ROW(PLE.firstrow))),0,IF(OFFSET(PLE!$G$14,$M581,CG$13)="",10^12,OFFSET(PLE!$G$14,$M581,CG$13))))</f>
        <v>1000000000000</v>
      </c>
      <c r="CH581" s="182">
        <f ca="1">IF($D581&lt;&gt;"Serviço",0,IF(OR(AND(AUTOEVENTO="Manual",$M581=1),$M581&gt;(ROW(PLE.lastrow)-ROW(PLE.firstrow))),0,IF(OFFSET(PLE!$G$14,$M581,CH$13)="",10^12,OFFSET(PLE!$G$14,$M581,CH$13))))</f>
        <v>1000000000000</v>
      </c>
      <c r="CI581" s="182">
        <f ca="1">IF($D581&lt;&gt;"Serviço",0,IF(OR(AND(AUTOEVENTO="Manual",$M581=1),$M581&gt;(ROW(PLE.lastrow)-ROW(PLE.firstrow))),0,IF(OFFSET(PLE!$G$14,$M581,CI$13)="",10^12,OFFSET(PLE!$G$14,$M581,CI$13))))</f>
        <v>1000000000000</v>
      </c>
      <c r="CJ581" s="182">
        <f ca="1">IF($D581&lt;&gt;"Serviço",0,IF(OR(AND(AUTOEVENTO="Manual",$M581=1),$M581&gt;(ROW(PLE.lastrow)-ROW(PLE.firstrow))),0,IF(OFFSET(PLE!$G$14,$M581,CJ$13)="",10^12,OFFSET(PLE!$G$14,$M581,CJ$13))))</f>
        <v>1000000000000</v>
      </c>
      <c r="CK581" s="182">
        <f ca="1">IF($D581&lt;&gt;"Serviço",0,IF(OR(AND(AUTOEVENTO="Manual",$M581=1),$M581&gt;(ROW(PLE.lastrow)-ROW(PLE.firstrow))),0,IF(OFFSET(PLE!$G$14,$M581,CK$13)="",10^12,OFFSET(PLE!$G$14,$M581,CK$13))))</f>
        <v>1000000000000</v>
      </c>
      <c r="CL581" s="182">
        <f ca="1">IF($D581&lt;&gt;"Serviço",0,IF(OR(AND(AUTOEVENTO="Manual",$M581=1),$M581&gt;(ROW(PLE.lastrow)-ROW(PLE.firstrow))),0,IF(OFFSET(PLE!$G$14,$M581,CL$13)="",10^12,OFFSET(PLE!$G$14,$M581,CL$13))))</f>
        <v>1000000000000</v>
      </c>
      <c r="CM581" s="182">
        <f ca="1">IF($D581&lt;&gt;"Serviço",0,IF(OR(AND(AUTOEVENTO="Manual",$M581=1),$M581&gt;(ROW(PLE.lastrow)-ROW(PLE.firstrow))),0,IF(OFFSET(PLE!$G$14,$M581,CM$13)="",10^12,OFFSET(PLE!$G$14,$M581,CM$13))))</f>
        <v>1000000000000</v>
      </c>
    </row>
    <row r="582" spans="1:91" ht="38.25" x14ac:dyDescent="0.2">
      <c r="A582" s="7" t="str">
        <f t="shared" ca="1" si="17"/>
        <v>565</v>
      </c>
      <c r="B582" s="7" t="str">
        <f ca="1">OFFSET(ORÇAMENTO!C$15,ROW(B582)-ROW(B$15),0)</f>
        <v>S</v>
      </c>
      <c r="C582" s="7" t="str">
        <f ca="1">OFFSET(ORÇAMENTO!L$15,ROW(C582)-ROW(C$15),0)</f>
        <v/>
      </c>
      <c r="D582" s="118" t="str">
        <f ca="1">OFFSET(ORÇAMENTO!N$15,ROW(D582)-ROW(D$15),0)</f>
        <v>Serviço</v>
      </c>
      <c r="E582" s="119" t="str">
        <f ca="1">OFFSET(ORÇAMENTO!O$15,ROW(E582)-ROW(E$15),0)</f>
        <v>-</v>
      </c>
      <c r="F582" s="172" t="str">
        <f ca="1">OFFSET(ORÇAMENTO!R$15,ROW(F582)-ROW(F$15),0)</f>
        <v>(abra o arquivo 'Referência 06-2024.xlsm)</v>
      </c>
      <c r="G582" s="173" t="str">
        <f ca="1">IF($D582&lt;&gt;"Serviço","",OFFSET(ORÇAMENTO!S$15,ROW(G582)-ROW(G$15),0))</f>
        <v>-</v>
      </c>
      <c r="H582" s="124">
        <f ca="1">IF($D582&lt;&gt;"Serviço",0,IF(ACOMPANHAMENTO="BM",ROUND(OFFSET(ORÇAMENTO!AJ$15,ROW(H582)-ROW(H$15),0),15-13*ORÇAMENTO!$AF$7),SUMPRODUCT(($Q$12:$AI$12&lt;&gt;"")*ROUND($Q582:$AI582,15-13*ORÇAMENTO!$AF$7))))</f>
        <v>1526.8</v>
      </c>
      <c r="I582" s="561" t="s">
        <v>1107</v>
      </c>
      <c r="K582" s="174"/>
      <c r="L582" s="175" t="s">
        <v>255</v>
      </c>
      <c r="M582" s="176">
        <f ca="1">IF($D582&lt;&gt;"Serviço","",IF(AUTOEVENTO="manual",$A582,IF(ISERROR(MATCH($A582,$A$15:OFFSET($A582,-1,0),0)),MAX($M$15:OFFSET(M582,-1,0))+1,INDEX($M$15:OFFSET(M582,-1,0),MATCH($A582,$A$15:OFFSET($A582,-1,0),0)))))</f>
        <v>59</v>
      </c>
      <c r="N582" s="177" t="str">
        <f ca="1">IF($D582&lt;&gt;"Serviço","",IF(AUTOEVENTO="Manual",IF($A582=0,"&lt;-- defina o número do agrupador",OFFSET(EVENTOS!$D$14,$A582,0)),OFFSET($F$15,$A582,0)))</f>
        <v>INSTALAÇÃO ELÉTRICA 110V - ELETRODUTOS</v>
      </c>
      <c r="O582" s="178"/>
      <c r="Q582" s="178">
        <v>1526.8</v>
      </c>
      <c r="R582" s="179"/>
      <c r="S582" s="179"/>
      <c r="T582" s="179"/>
      <c r="U582" s="179"/>
      <c r="V582" s="179"/>
      <c r="W582" s="179"/>
      <c r="X582" s="179"/>
      <c r="Y582" s="179"/>
      <c r="Z582" s="180"/>
      <c r="AA582" s="179"/>
      <c r="AB582" s="179"/>
      <c r="AC582" s="179"/>
      <c r="AD582" s="179"/>
      <c r="AE582" s="179"/>
      <c r="AF582" s="179"/>
      <c r="AG582" s="179"/>
      <c r="AH582" s="180"/>
      <c r="AJ582" s="544">
        <f ca="1">IF(AND($D582="Serviço",AJ$12&lt;&gt;0,$H582&gt;0,OR(AUTOEVENTO&lt;&gt;"manual",$M582&lt;&gt;1)),
IF(Import.TipoArredondamento&lt;&gt;"TransfereGOV",
ROUND(OFFSET($P582,0,AJ$13),15-13*ORÇAMENTO!$AF$7)/$H582*OFFSET(ORÇAMENTO!$X$15,ROW(AJ582)-ROW(AJ$15),0),
ROUND(ROUND(OFFSET($P582,0,AJ$13),15-13*ORÇAMENTO!$AF$7)*OFFSET(ORÇAMENTO!$W$15,ROW(AJ582)-ROW(AJ$15),0),15-13*ORÇAMENTO!$AF$11)),0)</f>
        <v>0</v>
      </c>
      <c r="AK582" s="545">
        <f ca="1">IF(AND($D582="Serviço",AK$12&lt;&gt;0,$H582&gt;0,OR(AUTOEVENTO&lt;&gt;"manual",$M582&lt;&gt;1)),
IF(Import.TipoArredondamento&lt;&gt;"TransfereGOV",
ROUND(OFFSET($P582,0,AK$13),15-13*ORÇAMENTO!$AF$7)/$H582*OFFSET(ORÇAMENTO!$X$15,ROW(AK582)-ROW(AK$15),0),
ROUND(ROUND(OFFSET($P582,0,AK$13),15-13*ORÇAMENTO!$AF$7)*OFFSET(ORÇAMENTO!$W$15,ROW(AK582)-ROW(AK$15),0),15-13*ORÇAMENTO!$AF$11)),0)</f>
        <v>0</v>
      </c>
      <c r="AL582" s="545">
        <f ca="1">IF(AND($D582="Serviço",AL$12&lt;&gt;0,$H582&gt;0,OR(AUTOEVENTO&lt;&gt;"manual",$M582&lt;&gt;1)),
IF(Import.TipoArredondamento&lt;&gt;"TransfereGOV",
ROUND(OFFSET($P582,0,AL$13),15-13*ORÇAMENTO!$AF$7)/$H582*OFFSET(ORÇAMENTO!$X$15,ROW(AL582)-ROW(AL$15),0),
ROUND(ROUND(OFFSET($P582,0,AL$13),15-13*ORÇAMENTO!$AF$7)*OFFSET(ORÇAMENTO!$W$15,ROW(AL582)-ROW(AL$15),0),15-13*ORÇAMENTO!$AF$11)),0)</f>
        <v>0</v>
      </c>
      <c r="AM582" s="545">
        <f ca="1">IF(AND($D582="Serviço",AM$12&lt;&gt;0,$H582&gt;0,OR(AUTOEVENTO&lt;&gt;"manual",$M582&lt;&gt;1)),
IF(Import.TipoArredondamento&lt;&gt;"TransfereGOV",
ROUND(OFFSET($P582,0,AM$13),15-13*ORÇAMENTO!$AF$7)/$H582*OFFSET(ORÇAMENTO!$X$15,ROW(AM582)-ROW(AM$15),0),
ROUND(ROUND(OFFSET($P582,0,AM$13),15-13*ORÇAMENTO!$AF$7)*OFFSET(ORÇAMENTO!$W$15,ROW(AM582)-ROW(AM$15),0),15-13*ORÇAMENTO!$AF$11)),0)</f>
        <v>0</v>
      </c>
      <c r="AN582" s="545">
        <f ca="1">IF(AND($D582="Serviço",AN$12&lt;&gt;0,$H582&gt;0,OR(AUTOEVENTO&lt;&gt;"manual",$M582&lt;&gt;1)),
IF(Import.TipoArredondamento&lt;&gt;"TransfereGOV",
ROUND(OFFSET($P582,0,AN$13),15-13*ORÇAMENTO!$AF$7)/$H582*OFFSET(ORÇAMENTO!$X$15,ROW(AN582)-ROW(AN$15),0),
ROUND(ROUND(OFFSET($P582,0,AN$13),15-13*ORÇAMENTO!$AF$7)*OFFSET(ORÇAMENTO!$W$15,ROW(AN582)-ROW(AN$15),0),15-13*ORÇAMENTO!$AF$11)),0)</f>
        <v>0</v>
      </c>
      <c r="AO582" s="545">
        <f ca="1">IF(AND($D582="Serviço",AO$12&lt;&gt;0,$H582&gt;0,OR(AUTOEVENTO&lt;&gt;"manual",$M582&lt;&gt;1)),
IF(Import.TipoArredondamento&lt;&gt;"TransfereGOV",
ROUND(OFFSET($P582,0,AO$13),15-13*ORÇAMENTO!$AF$7)/$H582*OFFSET(ORÇAMENTO!$X$15,ROW(AO582)-ROW(AO$15),0),
ROUND(ROUND(OFFSET($P582,0,AO$13),15-13*ORÇAMENTO!$AF$7)*OFFSET(ORÇAMENTO!$W$15,ROW(AO582)-ROW(AO$15),0),15-13*ORÇAMENTO!$AF$11)),0)</f>
        <v>0</v>
      </c>
      <c r="AP582" s="545">
        <f ca="1">IF(AND($D582="Serviço",AP$12&lt;&gt;0,$H582&gt;0,OR(AUTOEVENTO&lt;&gt;"manual",$M582&lt;&gt;1)),
IF(Import.TipoArredondamento&lt;&gt;"TransfereGOV",
ROUND(OFFSET($P582,0,AP$13),15-13*ORÇAMENTO!$AF$7)/$H582*OFFSET(ORÇAMENTO!$X$15,ROW(AP582)-ROW(AP$15),0),
ROUND(ROUND(OFFSET($P582,0,AP$13),15-13*ORÇAMENTO!$AF$7)*OFFSET(ORÇAMENTO!$W$15,ROW(AP582)-ROW(AP$15),0),15-13*ORÇAMENTO!$AF$11)),0)</f>
        <v>0</v>
      </c>
      <c r="AQ582" s="545">
        <f ca="1">IF(AND($D582="Serviço",AQ$12&lt;&gt;0,$H582&gt;0,OR(AUTOEVENTO&lt;&gt;"manual",$M582&lt;&gt;1)),
IF(Import.TipoArredondamento&lt;&gt;"TransfereGOV",
ROUND(OFFSET($P582,0,AQ$13),15-13*ORÇAMENTO!$AF$7)/$H582*OFFSET(ORÇAMENTO!$X$15,ROW(AQ582)-ROW(AQ$15),0),
ROUND(ROUND(OFFSET($P582,0,AQ$13),15-13*ORÇAMENTO!$AF$7)*OFFSET(ORÇAMENTO!$W$15,ROW(AQ582)-ROW(AQ$15),0),15-13*ORÇAMENTO!$AF$11)),0)</f>
        <v>0</v>
      </c>
      <c r="AR582" s="545">
        <f ca="1">IF(AND($D582="Serviço",AR$12&lt;&gt;0,$H582&gt;0,OR(AUTOEVENTO&lt;&gt;"manual",$M582&lt;&gt;1)),
IF(Import.TipoArredondamento&lt;&gt;"TransfereGOV",
ROUND(OFFSET($P582,0,AR$13),15-13*ORÇAMENTO!$AF$7)/$H582*OFFSET(ORÇAMENTO!$X$15,ROW(AR582)-ROW(AR$15),0),
ROUND(ROUND(OFFSET($P582,0,AR$13),15-13*ORÇAMENTO!$AF$7)*OFFSET(ORÇAMENTO!$W$15,ROW(AR582)-ROW(AR$15),0),15-13*ORÇAMENTO!$AF$11)),0)</f>
        <v>0</v>
      </c>
      <c r="AS582" s="546">
        <f ca="1">IF(AND($D582="Serviço",AS$12&lt;&gt;0,$H582&gt;0,OR(AUTOEVENTO&lt;&gt;"manual",$M582&lt;&gt;1)),
IF(Import.TipoArredondamento&lt;&gt;"TransfereGOV",
ROUND(OFFSET($P582,0,AS$13),15-13*ORÇAMENTO!$AF$7)/$H582*OFFSET(ORÇAMENTO!$X$15,ROW(AS582)-ROW(AS$15),0),
ROUND(ROUND(OFFSET($P582,0,AS$13),15-13*ORÇAMENTO!$AF$7)*OFFSET(ORÇAMENTO!$W$15,ROW(AS582)-ROW(AS$15),0),15-13*ORÇAMENTO!$AF$11)),0)</f>
        <v>0</v>
      </c>
      <c r="AT582" s="545">
        <f ca="1">IF(AND($D582="Serviço",AT$12&lt;&gt;0,$H582&gt;0,OR(AUTOEVENTO&lt;&gt;"manual",$M582&lt;&gt;1)),
IF(Import.TipoArredondamento&lt;&gt;"TransfereGOV",
ROUND(OFFSET($P582,0,AT$13),15-13*ORÇAMENTO!$AF$7)/$H582*OFFSET(ORÇAMENTO!$X$15,ROW(AT582)-ROW(AT$15),0),
ROUND(ROUND(OFFSET($P582,0,AT$13),15-13*ORÇAMENTO!$AF$7)*OFFSET(ORÇAMENTO!$W$15,ROW(AT582)-ROW(AT$15),0),15-13*ORÇAMENTO!$AF$11)),0)</f>
        <v>0</v>
      </c>
      <c r="AU582" s="545">
        <f ca="1">IF(AND($D582="Serviço",AU$12&lt;&gt;0,$H582&gt;0,OR(AUTOEVENTO&lt;&gt;"manual",$M582&lt;&gt;1)),
IF(Import.TipoArredondamento&lt;&gt;"TransfereGOV",
ROUND(OFFSET($P582,0,AU$13),15-13*ORÇAMENTO!$AF$7)/$H582*OFFSET(ORÇAMENTO!$X$15,ROW(AU582)-ROW(AU$15),0),
ROUND(ROUND(OFFSET($P582,0,AU$13),15-13*ORÇAMENTO!$AF$7)*OFFSET(ORÇAMENTO!$W$15,ROW(AU582)-ROW(AU$15),0),15-13*ORÇAMENTO!$AF$11)),0)</f>
        <v>0</v>
      </c>
      <c r="AV582" s="545">
        <f ca="1">IF(AND($D582="Serviço",AV$12&lt;&gt;0,$H582&gt;0,OR(AUTOEVENTO&lt;&gt;"manual",$M582&lt;&gt;1)),
IF(Import.TipoArredondamento&lt;&gt;"TransfereGOV",
ROUND(OFFSET($P582,0,AV$13),15-13*ORÇAMENTO!$AF$7)/$H582*OFFSET(ORÇAMENTO!$X$15,ROW(AV582)-ROW(AV$15),0),
ROUND(ROUND(OFFSET($P582,0,AV$13),15-13*ORÇAMENTO!$AF$7)*OFFSET(ORÇAMENTO!$W$15,ROW(AV582)-ROW(AV$15),0),15-13*ORÇAMENTO!$AF$11)),0)</f>
        <v>0</v>
      </c>
      <c r="AW582" s="545">
        <f ca="1">IF(AND($D582="Serviço",AW$12&lt;&gt;0,$H582&gt;0,OR(AUTOEVENTO&lt;&gt;"manual",$M582&lt;&gt;1)),
IF(Import.TipoArredondamento&lt;&gt;"TransfereGOV",
ROUND(OFFSET($P582,0,AW$13),15-13*ORÇAMENTO!$AF$7)/$H582*OFFSET(ORÇAMENTO!$X$15,ROW(AW582)-ROW(AW$15),0),
ROUND(ROUND(OFFSET($P582,0,AW$13),15-13*ORÇAMENTO!$AF$7)*OFFSET(ORÇAMENTO!$W$15,ROW(AW582)-ROW(AW$15),0),15-13*ORÇAMENTO!$AF$11)),0)</f>
        <v>0</v>
      </c>
      <c r="AX582" s="545">
        <f ca="1">IF(AND($D582="Serviço",AX$12&lt;&gt;0,$H582&gt;0,OR(AUTOEVENTO&lt;&gt;"manual",$M582&lt;&gt;1)),
IF(Import.TipoArredondamento&lt;&gt;"TransfereGOV",
ROUND(OFFSET($P582,0,AX$13),15-13*ORÇAMENTO!$AF$7)/$H582*OFFSET(ORÇAMENTO!$X$15,ROW(AX582)-ROW(AX$15),0),
ROUND(ROUND(OFFSET($P582,0,AX$13),15-13*ORÇAMENTO!$AF$7)*OFFSET(ORÇAMENTO!$W$15,ROW(AX582)-ROW(AX$15),0),15-13*ORÇAMENTO!$AF$11)),0)</f>
        <v>0</v>
      </c>
      <c r="AY582" s="545">
        <f ca="1">IF(AND($D582="Serviço",AY$12&lt;&gt;0,$H582&gt;0,OR(AUTOEVENTO&lt;&gt;"manual",$M582&lt;&gt;1)),
IF(Import.TipoArredondamento&lt;&gt;"TransfereGOV",
ROUND(OFFSET($P582,0,AY$13),15-13*ORÇAMENTO!$AF$7)/$H582*OFFSET(ORÇAMENTO!$X$15,ROW(AY582)-ROW(AY$15),0),
ROUND(ROUND(OFFSET($P582,0,AY$13),15-13*ORÇAMENTO!$AF$7)*OFFSET(ORÇAMENTO!$W$15,ROW(AY582)-ROW(AY$15),0),15-13*ORÇAMENTO!$AF$11)),0)</f>
        <v>0</v>
      </c>
      <c r="AZ582" s="545">
        <f ca="1">IF(AND($D582="Serviço",AZ$12&lt;&gt;0,$H582&gt;0,OR(AUTOEVENTO&lt;&gt;"manual",$M582&lt;&gt;1)),
IF(Import.TipoArredondamento&lt;&gt;"TransfereGOV",
ROUND(OFFSET($P582,0,AZ$13),15-13*ORÇAMENTO!$AF$7)/$H582*OFFSET(ORÇAMENTO!$X$15,ROW(AZ582)-ROW(AZ$15),0),
ROUND(ROUND(OFFSET($P582,0,AZ$13),15-13*ORÇAMENTO!$AF$7)*OFFSET(ORÇAMENTO!$W$15,ROW(AZ582)-ROW(AZ$15),0),15-13*ORÇAMENTO!$AF$11)),0)</f>
        <v>0</v>
      </c>
      <c r="BA582" s="546">
        <f ca="1">IF(AND($D582="Serviço",BA$12&lt;&gt;0,$H582&gt;0,OR(AUTOEVENTO&lt;&gt;"manual",$M582&lt;&gt;1)),
IF(Import.TipoArredondamento&lt;&gt;"TransfereGOV",
ROUND(OFFSET($P582,0,BA$13),15-13*ORÇAMENTO!$AF$7)/$H582*OFFSET(ORÇAMENTO!$X$15,ROW(BA582)-ROW(BA$15),0),
ROUND(ROUND(OFFSET($P582,0,BA$13),15-13*ORÇAMENTO!$AF$7)*OFFSET(ORÇAMENTO!$W$15,ROW(BA582)-ROW(BA$15),0),15-13*ORÇAMENTO!$AF$11)),0)</f>
        <v>0</v>
      </c>
      <c r="BC582" s="181">
        <f ca="1">IF($D582&lt;&gt;"Serviço",0,IF(AND(AUTOEVENTO="Manual",$M582=1),0,IF(OFFSET(CRONOPLE!$F$14,$M582,BC$13)="",10^12,OFFSET(CRONOPLE!$F$14,$M582,BC$13))))</f>
        <v>11</v>
      </c>
      <c r="BD582" s="181">
        <f ca="1">IF($D582&lt;&gt;"Serviço",0,IF(AND(AUTOEVENTO="Manual",$M582=1),0,IF(OFFSET(CRONOPLE!$F$14,$M582,BD$13)="",10^12,OFFSET(CRONOPLE!$F$14,$M582,BD$13))))</f>
        <v>1000000000000</v>
      </c>
      <c r="BE582" s="181">
        <f ca="1">IF($D582&lt;&gt;"Serviço",0,IF(AND(AUTOEVENTO="Manual",$M582=1),0,IF(OFFSET(CRONOPLE!$F$14,$M582,BE$13)="",10^12,OFFSET(CRONOPLE!$F$14,$M582,BE$13))))</f>
        <v>1000000000000</v>
      </c>
      <c r="BF582" s="181">
        <f ca="1">IF($D582&lt;&gt;"Serviço",0,IF(AND(AUTOEVENTO="Manual",$M582=1),0,IF(OFFSET(CRONOPLE!$F$14,$M582,BF$13)="",10^12,OFFSET(CRONOPLE!$F$14,$M582,BF$13))))</f>
        <v>1000000000000</v>
      </c>
      <c r="BG582" s="181">
        <f ca="1">IF($D582&lt;&gt;"Serviço",0,IF(AND(AUTOEVENTO="Manual",$M582=1),0,IF(OFFSET(CRONOPLE!$F$14,$M582,BG$13)="",10^12,OFFSET(CRONOPLE!$F$14,$M582,BG$13))))</f>
        <v>1000000000000</v>
      </c>
      <c r="BH582" s="181">
        <f ca="1">IF($D582&lt;&gt;"Serviço",0,IF(AND(AUTOEVENTO="Manual",$M582=1),0,IF(OFFSET(CRONOPLE!$F$14,$M582,BH$13)="",10^12,OFFSET(CRONOPLE!$F$14,$M582,BH$13))))</f>
        <v>1000000000000</v>
      </c>
      <c r="BI582" s="181">
        <f ca="1">IF($D582&lt;&gt;"Serviço",0,IF(AND(AUTOEVENTO="Manual",$M582=1),0,IF(OFFSET(CRONOPLE!$F$14,$M582,BI$13)="",10^12,OFFSET(CRONOPLE!$F$14,$M582,BI$13))))</f>
        <v>1000000000000</v>
      </c>
      <c r="BJ582" s="181">
        <f ca="1">IF($D582&lt;&gt;"Serviço",0,IF(AND(AUTOEVENTO="Manual",$M582=1),0,IF(OFFSET(CRONOPLE!$F$14,$M582,BJ$13)="",10^12,OFFSET(CRONOPLE!$F$14,$M582,BJ$13))))</f>
        <v>1000000000000</v>
      </c>
      <c r="BK582" s="181">
        <f ca="1">IF($D582&lt;&gt;"Serviço",0,IF(AND(AUTOEVENTO="Manual",$M582=1),0,IF(OFFSET(CRONOPLE!$F$14,$M582,BK$13)="",10^12,OFFSET(CRONOPLE!$F$14,$M582,BK$13))))</f>
        <v>1000000000000</v>
      </c>
      <c r="BL582" s="181">
        <f ca="1">IF($D582&lt;&gt;"Serviço",0,IF(AND(AUTOEVENTO="Manual",$M582=1),0,IF(OFFSET(CRONOPLE!$F$14,$M582,BL$13)="",10^12,OFFSET(CRONOPLE!$F$14,$M582,BL$13))))</f>
        <v>1000000000000</v>
      </c>
      <c r="BM582" s="181">
        <f ca="1">IF($D582&lt;&gt;"Serviço",0,IF(AND(AUTOEVENTO="Manual",$M582=1),0,IF(OFFSET(CRONOPLE!$F$14,$M582,BM$13)="",10^12,OFFSET(CRONOPLE!$F$14,$M582,BM$13))))</f>
        <v>1000000000000</v>
      </c>
      <c r="BN582" s="181">
        <f ca="1">IF($D582&lt;&gt;"Serviço",0,IF(AND(AUTOEVENTO="Manual",$M582=1),0,IF(OFFSET(CRONOPLE!$F$14,$M582,BN$13)="",10^12,OFFSET(CRONOPLE!$F$14,$M582,BN$13))))</f>
        <v>1000000000000</v>
      </c>
      <c r="BO582" s="181">
        <f ca="1">IF($D582&lt;&gt;"Serviço",0,IF(AND(AUTOEVENTO="Manual",$M582=1),0,IF(OFFSET(CRONOPLE!$F$14,$M582,BO$13)="",10^12,OFFSET(CRONOPLE!$F$14,$M582,BO$13))))</f>
        <v>1000000000000</v>
      </c>
      <c r="BP582" s="181">
        <f ca="1">IF($D582&lt;&gt;"Serviço",0,IF(AND(AUTOEVENTO="Manual",$M582=1),0,IF(OFFSET(CRONOPLE!$F$14,$M582,BP$13)="",10^12,OFFSET(CRONOPLE!$F$14,$M582,BP$13))))</f>
        <v>1000000000000</v>
      </c>
      <c r="BQ582" s="181">
        <f ca="1">IF($D582&lt;&gt;"Serviço",0,IF(AND(AUTOEVENTO="Manual",$M582=1),0,IF(OFFSET(CRONOPLE!$F$14,$M582,BQ$13)="",10^12,OFFSET(CRONOPLE!$F$14,$M582,BQ$13))))</f>
        <v>1000000000000</v>
      </c>
      <c r="BR582" s="181">
        <f ca="1">IF($D582&lt;&gt;"Serviço",0,IF(AND(AUTOEVENTO="Manual",$M582=1),0,IF(OFFSET(CRONOPLE!$F$14,$M582,BR$13)="",10^12,OFFSET(CRONOPLE!$F$14,$M582,BR$13))))</f>
        <v>1000000000000</v>
      </c>
      <c r="BS582" s="181">
        <f ca="1">IF($D582&lt;&gt;"Serviço",0,IF(AND(AUTOEVENTO="Manual",$M582=1),0,IF(OFFSET(CRONOPLE!$F$14,$M582,BS$13)="",10^12,OFFSET(CRONOPLE!$F$14,$M582,BS$13))))</f>
        <v>1000000000000</v>
      </c>
      <c r="BT582" s="181">
        <f ca="1">IF($D582&lt;&gt;"Serviço",0,IF(AND(AUTOEVENTO="Manual",$M582=1),0,IF(OFFSET(CRONOPLE!$F$14,$M582,BT$13)="",10^12,OFFSET(CRONOPLE!$F$14,$M582,BT$13))))</f>
        <v>1000000000000</v>
      </c>
      <c r="BV582" s="182">
        <f ca="1">IF($D582&lt;&gt;"Serviço",0,IF(OR(AND(AUTOEVENTO="Manual",$M582=1),$M582&gt;(ROW(PLE.lastrow)-ROW(PLE.firstrow))),0,IF(OFFSET(PLE!$G$14,$M582,BV$13)="",10^12,OFFSET(PLE!$G$14,$M582,BV$13))))</f>
        <v>1000000000000</v>
      </c>
      <c r="BW582" s="182">
        <f ca="1">IF($D582&lt;&gt;"Serviço",0,IF(OR(AND(AUTOEVENTO="Manual",$M582=1),$M582&gt;(ROW(PLE.lastrow)-ROW(PLE.firstrow))),0,IF(OFFSET(PLE!$G$14,$M582,BW$13)="",10^12,OFFSET(PLE!$G$14,$M582,BW$13))))</f>
        <v>1000000000000</v>
      </c>
      <c r="BX582" s="182">
        <f ca="1">IF($D582&lt;&gt;"Serviço",0,IF(OR(AND(AUTOEVENTO="Manual",$M582=1),$M582&gt;(ROW(PLE.lastrow)-ROW(PLE.firstrow))),0,IF(OFFSET(PLE!$G$14,$M582,BX$13)="",10^12,OFFSET(PLE!$G$14,$M582,BX$13))))</f>
        <v>1000000000000</v>
      </c>
      <c r="BY582" s="182">
        <f ca="1">IF($D582&lt;&gt;"Serviço",0,IF(OR(AND(AUTOEVENTO="Manual",$M582=1),$M582&gt;(ROW(PLE.lastrow)-ROW(PLE.firstrow))),0,IF(OFFSET(PLE!$G$14,$M582,BY$13)="",10^12,OFFSET(PLE!$G$14,$M582,BY$13))))</f>
        <v>1000000000000</v>
      </c>
      <c r="BZ582" s="182">
        <f ca="1">IF($D582&lt;&gt;"Serviço",0,IF(OR(AND(AUTOEVENTO="Manual",$M582=1),$M582&gt;(ROW(PLE.lastrow)-ROW(PLE.firstrow))),0,IF(OFFSET(PLE!$G$14,$M582,BZ$13)="",10^12,OFFSET(PLE!$G$14,$M582,BZ$13))))</f>
        <v>1000000000000</v>
      </c>
      <c r="CA582" s="182">
        <f ca="1">IF($D582&lt;&gt;"Serviço",0,IF(OR(AND(AUTOEVENTO="Manual",$M582=1),$M582&gt;(ROW(PLE.lastrow)-ROW(PLE.firstrow))),0,IF(OFFSET(PLE!$G$14,$M582,CA$13)="",10^12,OFFSET(PLE!$G$14,$M582,CA$13))))</f>
        <v>1000000000000</v>
      </c>
      <c r="CB582" s="182">
        <f ca="1">IF($D582&lt;&gt;"Serviço",0,IF(OR(AND(AUTOEVENTO="Manual",$M582=1),$M582&gt;(ROW(PLE.lastrow)-ROW(PLE.firstrow))),0,IF(OFFSET(PLE!$G$14,$M582,CB$13)="",10^12,OFFSET(PLE!$G$14,$M582,CB$13))))</f>
        <v>1000000000000</v>
      </c>
      <c r="CC582" s="182">
        <f ca="1">IF($D582&lt;&gt;"Serviço",0,IF(OR(AND(AUTOEVENTO="Manual",$M582=1),$M582&gt;(ROW(PLE.lastrow)-ROW(PLE.firstrow))),0,IF(OFFSET(PLE!$G$14,$M582,CC$13)="",10^12,OFFSET(PLE!$G$14,$M582,CC$13))))</f>
        <v>1000000000000</v>
      </c>
      <c r="CD582" s="182">
        <f ca="1">IF($D582&lt;&gt;"Serviço",0,IF(OR(AND(AUTOEVENTO="Manual",$M582=1),$M582&gt;(ROW(PLE.lastrow)-ROW(PLE.firstrow))),0,IF(OFFSET(PLE!$G$14,$M582,CD$13)="",10^12,OFFSET(PLE!$G$14,$M582,CD$13))))</f>
        <v>1000000000000</v>
      </c>
      <c r="CE582" s="182">
        <f ca="1">IF($D582&lt;&gt;"Serviço",0,IF(OR(AND(AUTOEVENTO="Manual",$M582=1),$M582&gt;(ROW(PLE.lastrow)-ROW(PLE.firstrow))),0,IF(OFFSET(PLE!$G$14,$M582,CE$13)="",10^12,OFFSET(PLE!$G$14,$M582,CE$13))))</f>
        <v>1000000000000</v>
      </c>
      <c r="CF582" s="182">
        <f ca="1">IF($D582&lt;&gt;"Serviço",0,IF(OR(AND(AUTOEVENTO="Manual",$M582=1),$M582&gt;(ROW(PLE.lastrow)-ROW(PLE.firstrow))),0,IF(OFFSET(PLE!$G$14,$M582,CF$13)="",10^12,OFFSET(PLE!$G$14,$M582,CF$13))))</f>
        <v>1000000000000</v>
      </c>
      <c r="CG582" s="182">
        <f ca="1">IF($D582&lt;&gt;"Serviço",0,IF(OR(AND(AUTOEVENTO="Manual",$M582=1),$M582&gt;(ROW(PLE.lastrow)-ROW(PLE.firstrow))),0,IF(OFFSET(PLE!$G$14,$M582,CG$13)="",10^12,OFFSET(PLE!$G$14,$M582,CG$13))))</f>
        <v>1000000000000</v>
      </c>
      <c r="CH582" s="182">
        <f ca="1">IF($D582&lt;&gt;"Serviço",0,IF(OR(AND(AUTOEVENTO="Manual",$M582=1),$M582&gt;(ROW(PLE.lastrow)-ROW(PLE.firstrow))),0,IF(OFFSET(PLE!$G$14,$M582,CH$13)="",10^12,OFFSET(PLE!$G$14,$M582,CH$13))))</f>
        <v>1000000000000</v>
      </c>
      <c r="CI582" s="182">
        <f ca="1">IF($D582&lt;&gt;"Serviço",0,IF(OR(AND(AUTOEVENTO="Manual",$M582=1),$M582&gt;(ROW(PLE.lastrow)-ROW(PLE.firstrow))),0,IF(OFFSET(PLE!$G$14,$M582,CI$13)="",10^12,OFFSET(PLE!$G$14,$M582,CI$13))))</f>
        <v>1000000000000</v>
      </c>
      <c r="CJ582" s="182">
        <f ca="1">IF($D582&lt;&gt;"Serviço",0,IF(OR(AND(AUTOEVENTO="Manual",$M582=1),$M582&gt;(ROW(PLE.lastrow)-ROW(PLE.firstrow))),0,IF(OFFSET(PLE!$G$14,$M582,CJ$13)="",10^12,OFFSET(PLE!$G$14,$M582,CJ$13))))</f>
        <v>1000000000000</v>
      </c>
      <c r="CK582" s="182">
        <f ca="1">IF($D582&lt;&gt;"Serviço",0,IF(OR(AND(AUTOEVENTO="Manual",$M582=1),$M582&gt;(ROW(PLE.lastrow)-ROW(PLE.firstrow))),0,IF(OFFSET(PLE!$G$14,$M582,CK$13)="",10^12,OFFSET(PLE!$G$14,$M582,CK$13))))</f>
        <v>1000000000000</v>
      </c>
      <c r="CL582" s="182">
        <f ca="1">IF($D582&lt;&gt;"Serviço",0,IF(OR(AND(AUTOEVENTO="Manual",$M582=1),$M582&gt;(ROW(PLE.lastrow)-ROW(PLE.firstrow))),0,IF(OFFSET(PLE!$G$14,$M582,CL$13)="",10^12,OFFSET(PLE!$G$14,$M582,CL$13))))</f>
        <v>1000000000000</v>
      </c>
      <c r="CM582" s="182">
        <f ca="1">IF($D582&lt;&gt;"Serviço",0,IF(OR(AND(AUTOEVENTO="Manual",$M582=1),$M582&gt;(ROW(PLE.lastrow)-ROW(PLE.firstrow))),0,IF(OFFSET(PLE!$G$14,$M582,CM$13)="",10^12,OFFSET(PLE!$G$14,$M582,CM$13))))</f>
        <v>1000000000000</v>
      </c>
    </row>
    <row r="583" spans="1:91" ht="38.25" x14ac:dyDescent="0.2">
      <c r="A583" s="7" t="str">
        <f t="shared" ca="1" si="17"/>
        <v>565</v>
      </c>
      <c r="B583" s="7" t="str">
        <f ca="1">OFFSET(ORÇAMENTO!C$15,ROW(B583)-ROW(B$15),0)</f>
        <v>S</v>
      </c>
      <c r="C583" s="7" t="str">
        <f ca="1">OFFSET(ORÇAMENTO!L$15,ROW(C583)-ROW(C$15),0)</f>
        <v/>
      </c>
      <c r="D583" s="118" t="str">
        <f ca="1">OFFSET(ORÇAMENTO!N$15,ROW(D583)-ROW(D$15),0)</f>
        <v>Serviço</v>
      </c>
      <c r="E583" s="119" t="str">
        <f ca="1">OFFSET(ORÇAMENTO!O$15,ROW(E583)-ROW(E$15),0)</f>
        <v>-</v>
      </c>
      <c r="F583" s="172" t="str">
        <f ca="1">OFFSET(ORÇAMENTO!R$15,ROW(F583)-ROW(F$15),0)</f>
        <v>(abra o arquivo 'Referência 06-2024.xlsm)</v>
      </c>
      <c r="G583" s="173" t="str">
        <f ca="1">IF($D583&lt;&gt;"Serviço","",OFFSET(ORÇAMENTO!S$15,ROW(G583)-ROW(G$15),0))</f>
        <v>-</v>
      </c>
      <c r="H583" s="124">
        <f ca="1">IF($D583&lt;&gt;"Serviço",0,IF(ACOMPANHAMENTO="BM",ROUND(OFFSET(ORÇAMENTO!AJ$15,ROW(H583)-ROW(H$15),0),15-13*ORÇAMENTO!$AF$7),SUMPRODUCT(($Q$12:$AI$12&lt;&gt;"")*ROUND($Q583:$AI583,15-13*ORÇAMENTO!$AF$7))))</f>
        <v>17.2</v>
      </c>
      <c r="I583" s="561" t="s">
        <v>1107</v>
      </c>
      <c r="K583" s="174"/>
      <c r="L583" s="175" t="s">
        <v>255</v>
      </c>
      <c r="M583" s="176">
        <f ca="1">IF($D583&lt;&gt;"Serviço","",IF(AUTOEVENTO="manual",$A583,IF(ISERROR(MATCH($A583,$A$15:OFFSET($A583,-1,0),0)),MAX($M$15:OFFSET(M583,-1,0))+1,INDEX($M$15:OFFSET(M583,-1,0),MATCH($A583,$A$15:OFFSET($A583,-1,0),0)))))</f>
        <v>59</v>
      </c>
      <c r="N583" s="177" t="str">
        <f ca="1">IF($D583&lt;&gt;"Serviço","",IF(AUTOEVENTO="Manual",IF($A583=0,"&lt;-- defina o número do agrupador",OFFSET(EVENTOS!$D$14,$A583,0)),OFFSET($F$15,$A583,0)))</f>
        <v>INSTALAÇÃO ELÉTRICA 110V - ELETRODUTOS</v>
      </c>
      <c r="O583" s="178"/>
      <c r="Q583" s="178">
        <v>17.2</v>
      </c>
      <c r="R583" s="179"/>
      <c r="S583" s="179"/>
      <c r="T583" s="179"/>
      <c r="U583" s="179"/>
      <c r="V583" s="179"/>
      <c r="W583" s="179"/>
      <c r="X583" s="179"/>
      <c r="Y583" s="179"/>
      <c r="Z583" s="180"/>
      <c r="AA583" s="179"/>
      <c r="AB583" s="179"/>
      <c r="AC583" s="179"/>
      <c r="AD583" s="179"/>
      <c r="AE583" s="179"/>
      <c r="AF583" s="179"/>
      <c r="AG583" s="179"/>
      <c r="AH583" s="180"/>
      <c r="AJ583" s="544">
        <f ca="1">IF(AND($D583="Serviço",AJ$12&lt;&gt;0,$H583&gt;0,OR(AUTOEVENTO&lt;&gt;"manual",$M583&lt;&gt;1)),
IF(Import.TipoArredondamento&lt;&gt;"TransfereGOV",
ROUND(OFFSET($P583,0,AJ$13),15-13*ORÇAMENTO!$AF$7)/$H583*OFFSET(ORÇAMENTO!$X$15,ROW(AJ583)-ROW(AJ$15),0),
ROUND(ROUND(OFFSET($P583,0,AJ$13),15-13*ORÇAMENTO!$AF$7)*OFFSET(ORÇAMENTO!$W$15,ROW(AJ583)-ROW(AJ$15),0),15-13*ORÇAMENTO!$AF$11)),0)</f>
        <v>0</v>
      </c>
      <c r="AK583" s="545">
        <f ca="1">IF(AND($D583="Serviço",AK$12&lt;&gt;0,$H583&gt;0,OR(AUTOEVENTO&lt;&gt;"manual",$M583&lt;&gt;1)),
IF(Import.TipoArredondamento&lt;&gt;"TransfereGOV",
ROUND(OFFSET($P583,0,AK$13),15-13*ORÇAMENTO!$AF$7)/$H583*OFFSET(ORÇAMENTO!$X$15,ROW(AK583)-ROW(AK$15),0),
ROUND(ROUND(OFFSET($P583,0,AK$13),15-13*ORÇAMENTO!$AF$7)*OFFSET(ORÇAMENTO!$W$15,ROW(AK583)-ROW(AK$15),0),15-13*ORÇAMENTO!$AF$11)),0)</f>
        <v>0</v>
      </c>
      <c r="AL583" s="545">
        <f ca="1">IF(AND($D583="Serviço",AL$12&lt;&gt;0,$H583&gt;0,OR(AUTOEVENTO&lt;&gt;"manual",$M583&lt;&gt;1)),
IF(Import.TipoArredondamento&lt;&gt;"TransfereGOV",
ROUND(OFFSET($P583,0,AL$13),15-13*ORÇAMENTO!$AF$7)/$H583*OFFSET(ORÇAMENTO!$X$15,ROW(AL583)-ROW(AL$15),0),
ROUND(ROUND(OFFSET($P583,0,AL$13),15-13*ORÇAMENTO!$AF$7)*OFFSET(ORÇAMENTO!$W$15,ROW(AL583)-ROW(AL$15),0),15-13*ORÇAMENTO!$AF$11)),0)</f>
        <v>0</v>
      </c>
      <c r="AM583" s="545">
        <f ca="1">IF(AND($D583="Serviço",AM$12&lt;&gt;0,$H583&gt;0,OR(AUTOEVENTO&lt;&gt;"manual",$M583&lt;&gt;1)),
IF(Import.TipoArredondamento&lt;&gt;"TransfereGOV",
ROUND(OFFSET($P583,0,AM$13),15-13*ORÇAMENTO!$AF$7)/$H583*OFFSET(ORÇAMENTO!$X$15,ROW(AM583)-ROW(AM$15),0),
ROUND(ROUND(OFFSET($P583,0,AM$13),15-13*ORÇAMENTO!$AF$7)*OFFSET(ORÇAMENTO!$W$15,ROW(AM583)-ROW(AM$15),0),15-13*ORÇAMENTO!$AF$11)),0)</f>
        <v>0</v>
      </c>
      <c r="AN583" s="545">
        <f ca="1">IF(AND($D583="Serviço",AN$12&lt;&gt;0,$H583&gt;0,OR(AUTOEVENTO&lt;&gt;"manual",$M583&lt;&gt;1)),
IF(Import.TipoArredondamento&lt;&gt;"TransfereGOV",
ROUND(OFFSET($P583,0,AN$13),15-13*ORÇAMENTO!$AF$7)/$H583*OFFSET(ORÇAMENTO!$X$15,ROW(AN583)-ROW(AN$15),0),
ROUND(ROUND(OFFSET($P583,0,AN$13),15-13*ORÇAMENTO!$AF$7)*OFFSET(ORÇAMENTO!$W$15,ROW(AN583)-ROW(AN$15),0),15-13*ORÇAMENTO!$AF$11)),0)</f>
        <v>0</v>
      </c>
      <c r="AO583" s="545">
        <f ca="1">IF(AND($D583="Serviço",AO$12&lt;&gt;0,$H583&gt;0,OR(AUTOEVENTO&lt;&gt;"manual",$M583&lt;&gt;1)),
IF(Import.TipoArredondamento&lt;&gt;"TransfereGOV",
ROUND(OFFSET($P583,0,AO$13),15-13*ORÇAMENTO!$AF$7)/$H583*OFFSET(ORÇAMENTO!$X$15,ROW(AO583)-ROW(AO$15),0),
ROUND(ROUND(OFFSET($P583,0,AO$13),15-13*ORÇAMENTO!$AF$7)*OFFSET(ORÇAMENTO!$W$15,ROW(AO583)-ROW(AO$15),0),15-13*ORÇAMENTO!$AF$11)),0)</f>
        <v>0</v>
      </c>
      <c r="AP583" s="545">
        <f ca="1">IF(AND($D583="Serviço",AP$12&lt;&gt;0,$H583&gt;0,OR(AUTOEVENTO&lt;&gt;"manual",$M583&lt;&gt;1)),
IF(Import.TipoArredondamento&lt;&gt;"TransfereGOV",
ROUND(OFFSET($P583,0,AP$13),15-13*ORÇAMENTO!$AF$7)/$H583*OFFSET(ORÇAMENTO!$X$15,ROW(AP583)-ROW(AP$15),0),
ROUND(ROUND(OFFSET($P583,0,AP$13),15-13*ORÇAMENTO!$AF$7)*OFFSET(ORÇAMENTO!$W$15,ROW(AP583)-ROW(AP$15),0),15-13*ORÇAMENTO!$AF$11)),0)</f>
        <v>0</v>
      </c>
      <c r="AQ583" s="545">
        <f ca="1">IF(AND($D583="Serviço",AQ$12&lt;&gt;0,$H583&gt;0,OR(AUTOEVENTO&lt;&gt;"manual",$M583&lt;&gt;1)),
IF(Import.TipoArredondamento&lt;&gt;"TransfereGOV",
ROUND(OFFSET($P583,0,AQ$13),15-13*ORÇAMENTO!$AF$7)/$H583*OFFSET(ORÇAMENTO!$X$15,ROW(AQ583)-ROW(AQ$15),0),
ROUND(ROUND(OFFSET($P583,0,AQ$13),15-13*ORÇAMENTO!$AF$7)*OFFSET(ORÇAMENTO!$W$15,ROW(AQ583)-ROW(AQ$15),0),15-13*ORÇAMENTO!$AF$11)),0)</f>
        <v>0</v>
      </c>
      <c r="AR583" s="545">
        <f ca="1">IF(AND($D583="Serviço",AR$12&lt;&gt;0,$H583&gt;0,OR(AUTOEVENTO&lt;&gt;"manual",$M583&lt;&gt;1)),
IF(Import.TipoArredondamento&lt;&gt;"TransfereGOV",
ROUND(OFFSET($P583,0,AR$13),15-13*ORÇAMENTO!$AF$7)/$H583*OFFSET(ORÇAMENTO!$X$15,ROW(AR583)-ROW(AR$15),0),
ROUND(ROUND(OFFSET($P583,0,AR$13),15-13*ORÇAMENTO!$AF$7)*OFFSET(ORÇAMENTO!$W$15,ROW(AR583)-ROW(AR$15),0),15-13*ORÇAMENTO!$AF$11)),0)</f>
        <v>0</v>
      </c>
      <c r="AS583" s="546">
        <f ca="1">IF(AND($D583="Serviço",AS$12&lt;&gt;0,$H583&gt;0,OR(AUTOEVENTO&lt;&gt;"manual",$M583&lt;&gt;1)),
IF(Import.TipoArredondamento&lt;&gt;"TransfereGOV",
ROUND(OFFSET($P583,0,AS$13),15-13*ORÇAMENTO!$AF$7)/$H583*OFFSET(ORÇAMENTO!$X$15,ROW(AS583)-ROW(AS$15),0),
ROUND(ROUND(OFFSET($P583,0,AS$13),15-13*ORÇAMENTO!$AF$7)*OFFSET(ORÇAMENTO!$W$15,ROW(AS583)-ROW(AS$15),0),15-13*ORÇAMENTO!$AF$11)),0)</f>
        <v>0</v>
      </c>
      <c r="AT583" s="545">
        <f ca="1">IF(AND($D583="Serviço",AT$12&lt;&gt;0,$H583&gt;0,OR(AUTOEVENTO&lt;&gt;"manual",$M583&lt;&gt;1)),
IF(Import.TipoArredondamento&lt;&gt;"TransfereGOV",
ROUND(OFFSET($P583,0,AT$13),15-13*ORÇAMENTO!$AF$7)/$H583*OFFSET(ORÇAMENTO!$X$15,ROW(AT583)-ROW(AT$15),0),
ROUND(ROUND(OFFSET($P583,0,AT$13),15-13*ORÇAMENTO!$AF$7)*OFFSET(ORÇAMENTO!$W$15,ROW(AT583)-ROW(AT$15),0),15-13*ORÇAMENTO!$AF$11)),0)</f>
        <v>0</v>
      </c>
      <c r="AU583" s="545">
        <f ca="1">IF(AND($D583="Serviço",AU$12&lt;&gt;0,$H583&gt;0,OR(AUTOEVENTO&lt;&gt;"manual",$M583&lt;&gt;1)),
IF(Import.TipoArredondamento&lt;&gt;"TransfereGOV",
ROUND(OFFSET($P583,0,AU$13),15-13*ORÇAMENTO!$AF$7)/$H583*OFFSET(ORÇAMENTO!$X$15,ROW(AU583)-ROW(AU$15),0),
ROUND(ROUND(OFFSET($P583,0,AU$13),15-13*ORÇAMENTO!$AF$7)*OFFSET(ORÇAMENTO!$W$15,ROW(AU583)-ROW(AU$15),0),15-13*ORÇAMENTO!$AF$11)),0)</f>
        <v>0</v>
      </c>
      <c r="AV583" s="545">
        <f ca="1">IF(AND($D583="Serviço",AV$12&lt;&gt;0,$H583&gt;0,OR(AUTOEVENTO&lt;&gt;"manual",$M583&lt;&gt;1)),
IF(Import.TipoArredondamento&lt;&gt;"TransfereGOV",
ROUND(OFFSET($P583,0,AV$13),15-13*ORÇAMENTO!$AF$7)/$H583*OFFSET(ORÇAMENTO!$X$15,ROW(AV583)-ROW(AV$15),0),
ROUND(ROUND(OFFSET($P583,0,AV$13),15-13*ORÇAMENTO!$AF$7)*OFFSET(ORÇAMENTO!$W$15,ROW(AV583)-ROW(AV$15),0),15-13*ORÇAMENTO!$AF$11)),0)</f>
        <v>0</v>
      </c>
      <c r="AW583" s="545">
        <f ca="1">IF(AND($D583="Serviço",AW$12&lt;&gt;0,$H583&gt;0,OR(AUTOEVENTO&lt;&gt;"manual",$M583&lt;&gt;1)),
IF(Import.TipoArredondamento&lt;&gt;"TransfereGOV",
ROUND(OFFSET($P583,0,AW$13),15-13*ORÇAMENTO!$AF$7)/$H583*OFFSET(ORÇAMENTO!$X$15,ROW(AW583)-ROW(AW$15),0),
ROUND(ROUND(OFFSET($P583,0,AW$13),15-13*ORÇAMENTO!$AF$7)*OFFSET(ORÇAMENTO!$W$15,ROW(AW583)-ROW(AW$15),0),15-13*ORÇAMENTO!$AF$11)),0)</f>
        <v>0</v>
      </c>
      <c r="AX583" s="545">
        <f ca="1">IF(AND($D583="Serviço",AX$12&lt;&gt;0,$H583&gt;0,OR(AUTOEVENTO&lt;&gt;"manual",$M583&lt;&gt;1)),
IF(Import.TipoArredondamento&lt;&gt;"TransfereGOV",
ROUND(OFFSET($P583,0,AX$13),15-13*ORÇAMENTO!$AF$7)/$H583*OFFSET(ORÇAMENTO!$X$15,ROW(AX583)-ROW(AX$15),0),
ROUND(ROUND(OFFSET($P583,0,AX$13),15-13*ORÇAMENTO!$AF$7)*OFFSET(ORÇAMENTO!$W$15,ROW(AX583)-ROW(AX$15),0),15-13*ORÇAMENTO!$AF$11)),0)</f>
        <v>0</v>
      </c>
      <c r="AY583" s="545">
        <f ca="1">IF(AND($D583="Serviço",AY$12&lt;&gt;0,$H583&gt;0,OR(AUTOEVENTO&lt;&gt;"manual",$M583&lt;&gt;1)),
IF(Import.TipoArredondamento&lt;&gt;"TransfereGOV",
ROUND(OFFSET($P583,0,AY$13),15-13*ORÇAMENTO!$AF$7)/$H583*OFFSET(ORÇAMENTO!$X$15,ROW(AY583)-ROW(AY$15),0),
ROUND(ROUND(OFFSET($P583,0,AY$13),15-13*ORÇAMENTO!$AF$7)*OFFSET(ORÇAMENTO!$W$15,ROW(AY583)-ROW(AY$15),0),15-13*ORÇAMENTO!$AF$11)),0)</f>
        <v>0</v>
      </c>
      <c r="AZ583" s="545">
        <f ca="1">IF(AND($D583="Serviço",AZ$12&lt;&gt;0,$H583&gt;0,OR(AUTOEVENTO&lt;&gt;"manual",$M583&lt;&gt;1)),
IF(Import.TipoArredondamento&lt;&gt;"TransfereGOV",
ROUND(OFFSET($P583,0,AZ$13),15-13*ORÇAMENTO!$AF$7)/$H583*OFFSET(ORÇAMENTO!$X$15,ROW(AZ583)-ROW(AZ$15),0),
ROUND(ROUND(OFFSET($P583,0,AZ$13),15-13*ORÇAMENTO!$AF$7)*OFFSET(ORÇAMENTO!$W$15,ROW(AZ583)-ROW(AZ$15),0),15-13*ORÇAMENTO!$AF$11)),0)</f>
        <v>0</v>
      </c>
      <c r="BA583" s="546">
        <f ca="1">IF(AND($D583="Serviço",BA$12&lt;&gt;0,$H583&gt;0,OR(AUTOEVENTO&lt;&gt;"manual",$M583&lt;&gt;1)),
IF(Import.TipoArredondamento&lt;&gt;"TransfereGOV",
ROUND(OFFSET($P583,0,BA$13),15-13*ORÇAMENTO!$AF$7)/$H583*OFFSET(ORÇAMENTO!$X$15,ROW(BA583)-ROW(BA$15),0),
ROUND(ROUND(OFFSET($P583,0,BA$13),15-13*ORÇAMENTO!$AF$7)*OFFSET(ORÇAMENTO!$W$15,ROW(BA583)-ROW(BA$15),0),15-13*ORÇAMENTO!$AF$11)),0)</f>
        <v>0</v>
      </c>
      <c r="BC583" s="181">
        <f ca="1">IF($D583&lt;&gt;"Serviço",0,IF(AND(AUTOEVENTO="Manual",$M583=1),0,IF(OFFSET(CRONOPLE!$F$14,$M583,BC$13)="",10^12,OFFSET(CRONOPLE!$F$14,$M583,BC$13))))</f>
        <v>11</v>
      </c>
      <c r="BD583" s="181">
        <f ca="1">IF($D583&lt;&gt;"Serviço",0,IF(AND(AUTOEVENTO="Manual",$M583=1),0,IF(OFFSET(CRONOPLE!$F$14,$M583,BD$13)="",10^12,OFFSET(CRONOPLE!$F$14,$M583,BD$13))))</f>
        <v>1000000000000</v>
      </c>
      <c r="BE583" s="181">
        <f ca="1">IF($D583&lt;&gt;"Serviço",0,IF(AND(AUTOEVENTO="Manual",$M583=1),0,IF(OFFSET(CRONOPLE!$F$14,$M583,BE$13)="",10^12,OFFSET(CRONOPLE!$F$14,$M583,BE$13))))</f>
        <v>1000000000000</v>
      </c>
      <c r="BF583" s="181">
        <f ca="1">IF($D583&lt;&gt;"Serviço",0,IF(AND(AUTOEVENTO="Manual",$M583=1),0,IF(OFFSET(CRONOPLE!$F$14,$M583,BF$13)="",10^12,OFFSET(CRONOPLE!$F$14,$M583,BF$13))))</f>
        <v>1000000000000</v>
      </c>
      <c r="BG583" s="181">
        <f ca="1">IF($D583&lt;&gt;"Serviço",0,IF(AND(AUTOEVENTO="Manual",$M583=1),0,IF(OFFSET(CRONOPLE!$F$14,$M583,BG$13)="",10^12,OFFSET(CRONOPLE!$F$14,$M583,BG$13))))</f>
        <v>1000000000000</v>
      </c>
      <c r="BH583" s="181">
        <f ca="1">IF($D583&lt;&gt;"Serviço",0,IF(AND(AUTOEVENTO="Manual",$M583=1),0,IF(OFFSET(CRONOPLE!$F$14,$M583,BH$13)="",10^12,OFFSET(CRONOPLE!$F$14,$M583,BH$13))))</f>
        <v>1000000000000</v>
      </c>
      <c r="BI583" s="181">
        <f ca="1">IF($D583&lt;&gt;"Serviço",0,IF(AND(AUTOEVENTO="Manual",$M583=1),0,IF(OFFSET(CRONOPLE!$F$14,$M583,BI$13)="",10^12,OFFSET(CRONOPLE!$F$14,$M583,BI$13))))</f>
        <v>1000000000000</v>
      </c>
      <c r="BJ583" s="181">
        <f ca="1">IF($D583&lt;&gt;"Serviço",0,IF(AND(AUTOEVENTO="Manual",$M583=1),0,IF(OFFSET(CRONOPLE!$F$14,$M583,BJ$13)="",10^12,OFFSET(CRONOPLE!$F$14,$M583,BJ$13))))</f>
        <v>1000000000000</v>
      </c>
      <c r="BK583" s="181">
        <f ca="1">IF($D583&lt;&gt;"Serviço",0,IF(AND(AUTOEVENTO="Manual",$M583=1),0,IF(OFFSET(CRONOPLE!$F$14,$M583,BK$13)="",10^12,OFFSET(CRONOPLE!$F$14,$M583,BK$13))))</f>
        <v>1000000000000</v>
      </c>
      <c r="BL583" s="181">
        <f ca="1">IF($D583&lt;&gt;"Serviço",0,IF(AND(AUTOEVENTO="Manual",$M583=1),0,IF(OFFSET(CRONOPLE!$F$14,$M583,BL$13)="",10^12,OFFSET(CRONOPLE!$F$14,$M583,BL$13))))</f>
        <v>1000000000000</v>
      </c>
      <c r="BM583" s="181">
        <f ca="1">IF($D583&lt;&gt;"Serviço",0,IF(AND(AUTOEVENTO="Manual",$M583=1),0,IF(OFFSET(CRONOPLE!$F$14,$M583,BM$13)="",10^12,OFFSET(CRONOPLE!$F$14,$M583,BM$13))))</f>
        <v>1000000000000</v>
      </c>
      <c r="BN583" s="181">
        <f ca="1">IF($D583&lt;&gt;"Serviço",0,IF(AND(AUTOEVENTO="Manual",$M583=1),0,IF(OFFSET(CRONOPLE!$F$14,$M583,BN$13)="",10^12,OFFSET(CRONOPLE!$F$14,$M583,BN$13))))</f>
        <v>1000000000000</v>
      </c>
      <c r="BO583" s="181">
        <f ca="1">IF($D583&lt;&gt;"Serviço",0,IF(AND(AUTOEVENTO="Manual",$M583=1),0,IF(OFFSET(CRONOPLE!$F$14,$M583,BO$13)="",10^12,OFFSET(CRONOPLE!$F$14,$M583,BO$13))))</f>
        <v>1000000000000</v>
      </c>
      <c r="BP583" s="181">
        <f ca="1">IF($D583&lt;&gt;"Serviço",0,IF(AND(AUTOEVENTO="Manual",$M583=1),0,IF(OFFSET(CRONOPLE!$F$14,$M583,BP$13)="",10^12,OFFSET(CRONOPLE!$F$14,$M583,BP$13))))</f>
        <v>1000000000000</v>
      </c>
      <c r="BQ583" s="181">
        <f ca="1">IF($D583&lt;&gt;"Serviço",0,IF(AND(AUTOEVENTO="Manual",$M583=1),0,IF(OFFSET(CRONOPLE!$F$14,$M583,BQ$13)="",10^12,OFFSET(CRONOPLE!$F$14,$M583,BQ$13))))</f>
        <v>1000000000000</v>
      </c>
      <c r="BR583" s="181">
        <f ca="1">IF($D583&lt;&gt;"Serviço",0,IF(AND(AUTOEVENTO="Manual",$M583=1),0,IF(OFFSET(CRONOPLE!$F$14,$M583,BR$13)="",10^12,OFFSET(CRONOPLE!$F$14,$M583,BR$13))))</f>
        <v>1000000000000</v>
      </c>
      <c r="BS583" s="181">
        <f ca="1">IF($D583&lt;&gt;"Serviço",0,IF(AND(AUTOEVENTO="Manual",$M583=1),0,IF(OFFSET(CRONOPLE!$F$14,$M583,BS$13)="",10^12,OFFSET(CRONOPLE!$F$14,$M583,BS$13))))</f>
        <v>1000000000000</v>
      </c>
      <c r="BT583" s="181">
        <f ca="1">IF($D583&lt;&gt;"Serviço",0,IF(AND(AUTOEVENTO="Manual",$M583=1),0,IF(OFFSET(CRONOPLE!$F$14,$M583,BT$13)="",10^12,OFFSET(CRONOPLE!$F$14,$M583,BT$13))))</f>
        <v>1000000000000</v>
      </c>
      <c r="BV583" s="182">
        <f ca="1">IF($D583&lt;&gt;"Serviço",0,IF(OR(AND(AUTOEVENTO="Manual",$M583=1),$M583&gt;(ROW(PLE.lastrow)-ROW(PLE.firstrow))),0,IF(OFFSET(PLE!$G$14,$M583,BV$13)="",10^12,OFFSET(PLE!$G$14,$M583,BV$13))))</f>
        <v>1000000000000</v>
      </c>
      <c r="BW583" s="182">
        <f ca="1">IF($D583&lt;&gt;"Serviço",0,IF(OR(AND(AUTOEVENTO="Manual",$M583=1),$M583&gt;(ROW(PLE.lastrow)-ROW(PLE.firstrow))),0,IF(OFFSET(PLE!$G$14,$M583,BW$13)="",10^12,OFFSET(PLE!$G$14,$M583,BW$13))))</f>
        <v>1000000000000</v>
      </c>
      <c r="BX583" s="182">
        <f ca="1">IF($D583&lt;&gt;"Serviço",0,IF(OR(AND(AUTOEVENTO="Manual",$M583=1),$M583&gt;(ROW(PLE.lastrow)-ROW(PLE.firstrow))),0,IF(OFFSET(PLE!$G$14,$M583,BX$13)="",10^12,OFFSET(PLE!$G$14,$M583,BX$13))))</f>
        <v>1000000000000</v>
      </c>
      <c r="BY583" s="182">
        <f ca="1">IF($D583&lt;&gt;"Serviço",0,IF(OR(AND(AUTOEVENTO="Manual",$M583=1),$M583&gt;(ROW(PLE.lastrow)-ROW(PLE.firstrow))),0,IF(OFFSET(PLE!$G$14,$M583,BY$13)="",10^12,OFFSET(PLE!$G$14,$M583,BY$13))))</f>
        <v>1000000000000</v>
      </c>
      <c r="BZ583" s="182">
        <f ca="1">IF($D583&lt;&gt;"Serviço",0,IF(OR(AND(AUTOEVENTO="Manual",$M583=1),$M583&gt;(ROW(PLE.lastrow)-ROW(PLE.firstrow))),0,IF(OFFSET(PLE!$G$14,$M583,BZ$13)="",10^12,OFFSET(PLE!$G$14,$M583,BZ$13))))</f>
        <v>1000000000000</v>
      </c>
      <c r="CA583" s="182">
        <f ca="1">IF($D583&lt;&gt;"Serviço",0,IF(OR(AND(AUTOEVENTO="Manual",$M583=1),$M583&gt;(ROW(PLE.lastrow)-ROW(PLE.firstrow))),0,IF(OFFSET(PLE!$G$14,$M583,CA$13)="",10^12,OFFSET(PLE!$G$14,$M583,CA$13))))</f>
        <v>1000000000000</v>
      </c>
      <c r="CB583" s="182">
        <f ca="1">IF($D583&lt;&gt;"Serviço",0,IF(OR(AND(AUTOEVENTO="Manual",$M583=1),$M583&gt;(ROW(PLE.lastrow)-ROW(PLE.firstrow))),0,IF(OFFSET(PLE!$G$14,$M583,CB$13)="",10^12,OFFSET(PLE!$G$14,$M583,CB$13))))</f>
        <v>1000000000000</v>
      </c>
      <c r="CC583" s="182">
        <f ca="1">IF($D583&lt;&gt;"Serviço",0,IF(OR(AND(AUTOEVENTO="Manual",$M583=1),$M583&gt;(ROW(PLE.lastrow)-ROW(PLE.firstrow))),0,IF(OFFSET(PLE!$G$14,$M583,CC$13)="",10^12,OFFSET(PLE!$G$14,$M583,CC$13))))</f>
        <v>1000000000000</v>
      </c>
      <c r="CD583" s="182">
        <f ca="1">IF($D583&lt;&gt;"Serviço",0,IF(OR(AND(AUTOEVENTO="Manual",$M583=1),$M583&gt;(ROW(PLE.lastrow)-ROW(PLE.firstrow))),0,IF(OFFSET(PLE!$G$14,$M583,CD$13)="",10^12,OFFSET(PLE!$G$14,$M583,CD$13))))</f>
        <v>1000000000000</v>
      </c>
      <c r="CE583" s="182">
        <f ca="1">IF($D583&lt;&gt;"Serviço",0,IF(OR(AND(AUTOEVENTO="Manual",$M583=1),$M583&gt;(ROW(PLE.lastrow)-ROW(PLE.firstrow))),0,IF(OFFSET(PLE!$G$14,$M583,CE$13)="",10^12,OFFSET(PLE!$G$14,$M583,CE$13))))</f>
        <v>1000000000000</v>
      </c>
      <c r="CF583" s="182">
        <f ca="1">IF($D583&lt;&gt;"Serviço",0,IF(OR(AND(AUTOEVENTO="Manual",$M583=1),$M583&gt;(ROW(PLE.lastrow)-ROW(PLE.firstrow))),0,IF(OFFSET(PLE!$G$14,$M583,CF$13)="",10^12,OFFSET(PLE!$G$14,$M583,CF$13))))</f>
        <v>1000000000000</v>
      </c>
      <c r="CG583" s="182">
        <f ca="1">IF($D583&lt;&gt;"Serviço",0,IF(OR(AND(AUTOEVENTO="Manual",$M583=1),$M583&gt;(ROW(PLE.lastrow)-ROW(PLE.firstrow))),0,IF(OFFSET(PLE!$G$14,$M583,CG$13)="",10^12,OFFSET(PLE!$G$14,$M583,CG$13))))</f>
        <v>1000000000000</v>
      </c>
      <c r="CH583" s="182">
        <f ca="1">IF($D583&lt;&gt;"Serviço",0,IF(OR(AND(AUTOEVENTO="Manual",$M583=1),$M583&gt;(ROW(PLE.lastrow)-ROW(PLE.firstrow))),0,IF(OFFSET(PLE!$G$14,$M583,CH$13)="",10^12,OFFSET(PLE!$G$14,$M583,CH$13))))</f>
        <v>1000000000000</v>
      </c>
      <c r="CI583" s="182">
        <f ca="1">IF($D583&lt;&gt;"Serviço",0,IF(OR(AND(AUTOEVENTO="Manual",$M583=1),$M583&gt;(ROW(PLE.lastrow)-ROW(PLE.firstrow))),0,IF(OFFSET(PLE!$G$14,$M583,CI$13)="",10^12,OFFSET(PLE!$G$14,$M583,CI$13))))</f>
        <v>1000000000000</v>
      </c>
      <c r="CJ583" s="182">
        <f ca="1">IF($D583&lt;&gt;"Serviço",0,IF(OR(AND(AUTOEVENTO="Manual",$M583=1),$M583&gt;(ROW(PLE.lastrow)-ROW(PLE.firstrow))),0,IF(OFFSET(PLE!$G$14,$M583,CJ$13)="",10^12,OFFSET(PLE!$G$14,$M583,CJ$13))))</f>
        <v>1000000000000</v>
      </c>
      <c r="CK583" s="182">
        <f ca="1">IF($D583&lt;&gt;"Serviço",0,IF(OR(AND(AUTOEVENTO="Manual",$M583=1),$M583&gt;(ROW(PLE.lastrow)-ROW(PLE.firstrow))),0,IF(OFFSET(PLE!$G$14,$M583,CK$13)="",10^12,OFFSET(PLE!$G$14,$M583,CK$13))))</f>
        <v>1000000000000</v>
      </c>
      <c r="CL583" s="182">
        <f ca="1">IF($D583&lt;&gt;"Serviço",0,IF(OR(AND(AUTOEVENTO="Manual",$M583=1),$M583&gt;(ROW(PLE.lastrow)-ROW(PLE.firstrow))),0,IF(OFFSET(PLE!$G$14,$M583,CL$13)="",10^12,OFFSET(PLE!$G$14,$M583,CL$13))))</f>
        <v>1000000000000</v>
      </c>
      <c r="CM583" s="182">
        <f ca="1">IF($D583&lt;&gt;"Serviço",0,IF(OR(AND(AUTOEVENTO="Manual",$M583=1),$M583&gt;(ROW(PLE.lastrow)-ROW(PLE.firstrow))),0,IF(OFFSET(PLE!$G$14,$M583,CM$13)="",10^12,OFFSET(PLE!$G$14,$M583,CM$13))))</f>
        <v>1000000000000</v>
      </c>
    </row>
    <row r="584" spans="1:91" ht="38.25" x14ac:dyDescent="0.2">
      <c r="A584" s="7" t="str">
        <f t="shared" ca="1" si="17"/>
        <v>565</v>
      </c>
      <c r="B584" s="7" t="str">
        <f ca="1">OFFSET(ORÇAMENTO!C$15,ROW(B584)-ROW(B$15),0)</f>
        <v>S</v>
      </c>
      <c r="C584" s="7" t="str">
        <f ca="1">OFFSET(ORÇAMENTO!L$15,ROW(C584)-ROW(C$15),0)</f>
        <v/>
      </c>
      <c r="D584" s="118" t="str">
        <f ca="1">OFFSET(ORÇAMENTO!N$15,ROW(D584)-ROW(D$15),0)</f>
        <v>Serviço</v>
      </c>
      <c r="E584" s="119" t="str">
        <f ca="1">OFFSET(ORÇAMENTO!O$15,ROW(E584)-ROW(E$15),0)</f>
        <v>-</v>
      </c>
      <c r="F584" s="172" t="str">
        <f ca="1">OFFSET(ORÇAMENTO!R$15,ROW(F584)-ROW(F$15),0)</f>
        <v>(abra o arquivo 'Referência 06-2024.xlsm)</v>
      </c>
      <c r="G584" s="173" t="str">
        <f ca="1">IF($D584&lt;&gt;"Serviço","",OFFSET(ORÇAMENTO!S$15,ROW(G584)-ROW(G$15),0))</f>
        <v>-</v>
      </c>
      <c r="H584" s="124">
        <f ca="1">IF($D584&lt;&gt;"Serviço",0,IF(ACOMPANHAMENTO="BM",ROUND(OFFSET(ORÇAMENTO!AJ$15,ROW(H584)-ROW(H$15),0),15-13*ORÇAMENTO!$AF$7),SUMPRODUCT(($Q$12:$AI$12&lt;&gt;"")*ROUND($Q584:$AI584,15-13*ORÇAMENTO!$AF$7))))</f>
        <v>45.9</v>
      </c>
      <c r="I584" s="561" t="s">
        <v>1107</v>
      </c>
      <c r="K584" s="174"/>
      <c r="L584" s="175" t="s">
        <v>255</v>
      </c>
      <c r="M584" s="176">
        <f ca="1">IF($D584&lt;&gt;"Serviço","",IF(AUTOEVENTO="manual",$A584,IF(ISERROR(MATCH($A584,$A$15:OFFSET($A584,-1,0),0)),MAX($M$15:OFFSET(M584,-1,0))+1,INDEX($M$15:OFFSET(M584,-1,0),MATCH($A584,$A$15:OFFSET($A584,-1,0),0)))))</f>
        <v>59</v>
      </c>
      <c r="N584" s="177" t="str">
        <f ca="1">IF($D584&lt;&gt;"Serviço","",IF(AUTOEVENTO="Manual",IF($A584=0,"&lt;-- defina o número do agrupador",OFFSET(EVENTOS!$D$14,$A584,0)),OFFSET($F$15,$A584,0)))</f>
        <v>INSTALAÇÃO ELÉTRICA 110V - ELETRODUTOS</v>
      </c>
      <c r="O584" s="178"/>
      <c r="Q584" s="178">
        <v>45.9</v>
      </c>
      <c r="R584" s="179"/>
      <c r="S584" s="179"/>
      <c r="T584" s="179"/>
      <c r="U584" s="179"/>
      <c r="V584" s="179"/>
      <c r="W584" s="179"/>
      <c r="X584" s="179"/>
      <c r="Y584" s="179"/>
      <c r="Z584" s="180"/>
      <c r="AA584" s="179"/>
      <c r="AB584" s="179"/>
      <c r="AC584" s="179"/>
      <c r="AD584" s="179"/>
      <c r="AE584" s="179"/>
      <c r="AF584" s="179"/>
      <c r="AG584" s="179"/>
      <c r="AH584" s="180"/>
      <c r="AJ584" s="544">
        <f ca="1">IF(AND($D584="Serviço",AJ$12&lt;&gt;0,$H584&gt;0,OR(AUTOEVENTO&lt;&gt;"manual",$M584&lt;&gt;1)),
IF(Import.TipoArredondamento&lt;&gt;"TransfereGOV",
ROUND(OFFSET($P584,0,AJ$13),15-13*ORÇAMENTO!$AF$7)/$H584*OFFSET(ORÇAMENTO!$X$15,ROW(AJ584)-ROW(AJ$15),0),
ROUND(ROUND(OFFSET($P584,0,AJ$13),15-13*ORÇAMENTO!$AF$7)*OFFSET(ORÇAMENTO!$W$15,ROW(AJ584)-ROW(AJ$15),0),15-13*ORÇAMENTO!$AF$11)),0)</f>
        <v>0</v>
      </c>
      <c r="AK584" s="545">
        <f ca="1">IF(AND($D584="Serviço",AK$12&lt;&gt;0,$H584&gt;0,OR(AUTOEVENTO&lt;&gt;"manual",$M584&lt;&gt;1)),
IF(Import.TipoArredondamento&lt;&gt;"TransfereGOV",
ROUND(OFFSET($P584,0,AK$13),15-13*ORÇAMENTO!$AF$7)/$H584*OFFSET(ORÇAMENTO!$X$15,ROW(AK584)-ROW(AK$15),0),
ROUND(ROUND(OFFSET($P584,0,AK$13),15-13*ORÇAMENTO!$AF$7)*OFFSET(ORÇAMENTO!$W$15,ROW(AK584)-ROW(AK$15),0),15-13*ORÇAMENTO!$AF$11)),0)</f>
        <v>0</v>
      </c>
      <c r="AL584" s="545">
        <f ca="1">IF(AND($D584="Serviço",AL$12&lt;&gt;0,$H584&gt;0,OR(AUTOEVENTO&lt;&gt;"manual",$M584&lt;&gt;1)),
IF(Import.TipoArredondamento&lt;&gt;"TransfereGOV",
ROUND(OFFSET($P584,0,AL$13),15-13*ORÇAMENTO!$AF$7)/$H584*OFFSET(ORÇAMENTO!$X$15,ROW(AL584)-ROW(AL$15),0),
ROUND(ROUND(OFFSET($P584,0,AL$13),15-13*ORÇAMENTO!$AF$7)*OFFSET(ORÇAMENTO!$W$15,ROW(AL584)-ROW(AL$15),0),15-13*ORÇAMENTO!$AF$11)),0)</f>
        <v>0</v>
      </c>
      <c r="AM584" s="545">
        <f ca="1">IF(AND($D584="Serviço",AM$12&lt;&gt;0,$H584&gt;0,OR(AUTOEVENTO&lt;&gt;"manual",$M584&lt;&gt;1)),
IF(Import.TipoArredondamento&lt;&gt;"TransfereGOV",
ROUND(OFFSET($P584,0,AM$13),15-13*ORÇAMENTO!$AF$7)/$H584*OFFSET(ORÇAMENTO!$X$15,ROW(AM584)-ROW(AM$15),0),
ROUND(ROUND(OFFSET($P584,0,AM$13),15-13*ORÇAMENTO!$AF$7)*OFFSET(ORÇAMENTO!$W$15,ROW(AM584)-ROW(AM$15),0),15-13*ORÇAMENTO!$AF$11)),0)</f>
        <v>0</v>
      </c>
      <c r="AN584" s="545">
        <f ca="1">IF(AND($D584="Serviço",AN$12&lt;&gt;0,$H584&gt;0,OR(AUTOEVENTO&lt;&gt;"manual",$M584&lt;&gt;1)),
IF(Import.TipoArredondamento&lt;&gt;"TransfereGOV",
ROUND(OFFSET($P584,0,AN$13),15-13*ORÇAMENTO!$AF$7)/$H584*OFFSET(ORÇAMENTO!$X$15,ROW(AN584)-ROW(AN$15),0),
ROUND(ROUND(OFFSET($P584,0,AN$13),15-13*ORÇAMENTO!$AF$7)*OFFSET(ORÇAMENTO!$W$15,ROW(AN584)-ROW(AN$15),0),15-13*ORÇAMENTO!$AF$11)),0)</f>
        <v>0</v>
      </c>
      <c r="AO584" s="545">
        <f ca="1">IF(AND($D584="Serviço",AO$12&lt;&gt;0,$H584&gt;0,OR(AUTOEVENTO&lt;&gt;"manual",$M584&lt;&gt;1)),
IF(Import.TipoArredondamento&lt;&gt;"TransfereGOV",
ROUND(OFFSET($P584,0,AO$13),15-13*ORÇAMENTO!$AF$7)/$H584*OFFSET(ORÇAMENTO!$X$15,ROW(AO584)-ROW(AO$15),0),
ROUND(ROUND(OFFSET($P584,0,AO$13),15-13*ORÇAMENTO!$AF$7)*OFFSET(ORÇAMENTO!$W$15,ROW(AO584)-ROW(AO$15),0),15-13*ORÇAMENTO!$AF$11)),0)</f>
        <v>0</v>
      </c>
      <c r="AP584" s="545">
        <f ca="1">IF(AND($D584="Serviço",AP$12&lt;&gt;0,$H584&gt;0,OR(AUTOEVENTO&lt;&gt;"manual",$M584&lt;&gt;1)),
IF(Import.TipoArredondamento&lt;&gt;"TransfereGOV",
ROUND(OFFSET($P584,0,AP$13),15-13*ORÇAMENTO!$AF$7)/$H584*OFFSET(ORÇAMENTO!$X$15,ROW(AP584)-ROW(AP$15),0),
ROUND(ROUND(OFFSET($P584,0,AP$13),15-13*ORÇAMENTO!$AF$7)*OFFSET(ORÇAMENTO!$W$15,ROW(AP584)-ROW(AP$15),0),15-13*ORÇAMENTO!$AF$11)),0)</f>
        <v>0</v>
      </c>
      <c r="AQ584" s="545">
        <f ca="1">IF(AND($D584="Serviço",AQ$12&lt;&gt;0,$H584&gt;0,OR(AUTOEVENTO&lt;&gt;"manual",$M584&lt;&gt;1)),
IF(Import.TipoArredondamento&lt;&gt;"TransfereGOV",
ROUND(OFFSET($P584,0,AQ$13),15-13*ORÇAMENTO!$AF$7)/$H584*OFFSET(ORÇAMENTO!$X$15,ROW(AQ584)-ROW(AQ$15),0),
ROUND(ROUND(OFFSET($P584,0,AQ$13),15-13*ORÇAMENTO!$AF$7)*OFFSET(ORÇAMENTO!$W$15,ROW(AQ584)-ROW(AQ$15),0),15-13*ORÇAMENTO!$AF$11)),0)</f>
        <v>0</v>
      </c>
      <c r="AR584" s="545">
        <f ca="1">IF(AND($D584="Serviço",AR$12&lt;&gt;0,$H584&gt;0,OR(AUTOEVENTO&lt;&gt;"manual",$M584&lt;&gt;1)),
IF(Import.TipoArredondamento&lt;&gt;"TransfereGOV",
ROUND(OFFSET($P584,0,AR$13),15-13*ORÇAMENTO!$AF$7)/$H584*OFFSET(ORÇAMENTO!$X$15,ROW(AR584)-ROW(AR$15),0),
ROUND(ROUND(OFFSET($P584,0,AR$13),15-13*ORÇAMENTO!$AF$7)*OFFSET(ORÇAMENTO!$W$15,ROW(AR584)-ROW(AR$15),0),15-13*ORÇAMENTO!$AF$11)),0)</f>
        <v>0</v>
      </c>
      <c r="AS584" s="546">
        <f ca="1">IF(AND($D584="Serviço",AS$12&lt;&gt;0,$H584&gt;0,OR(AUTOEVENTO&lt;&gt;"manual",$M584&lt;&gt;1)),
IF(Import.TipoArredondamento&lt;&gt;"TransfereGOV",
ROUND(OFFSET($P584,0,AS$13),15-13*ORÇAMENTO!$AF$7)/$H584*OFFSET(ORÇAMENTO!$X$15,ROW(AS584)-ROW(AS$15),0),
ROUND(ROUND(OFFSET($P584,0,AS$13),15-13*ORÇAMENTO!$AF$7)*OFFSET(ORÇAMENTO!$W$15,ROW(AS584)-ROW(AS$15),0),15-13*ORÇAMENTO!$AF$11)),0)</f>
        <v>0</v>
      </c>
      <c r="AT584" s="545">
        <f ca="1">IF(AND($D584="Serviço",AT$12&lt;&gt;0,$H584&gt;0,OR(AUTOEVENTO&lt;&gt;"manual",$M584&lt;&gt;1)),
IF(Import.TipoArredondamento&lt;&gt;"TransfereGOV",
ROUND(OFFSET($P584,0,AT$13),15-13*ORÇAMENTO!$AF$7)/$H584*OFFSET(ORÇAMENTO!$X$15,ROW(AT584)-ROW(AT$15),0),
ROUND(ROUND(OFFSET($P584,0,AT$13),15-13*ORÇAMENTO!$AF$7)*OFFSET(ORÇAMENTO!$W$15,ROW(AT584)-ROW(AT$15),0),15-13*ORÇAMENTO!$AF$11)),0)</f>
        <v>0</v>
      </c>
      <c r="AU584" s="545">
        <f ca="1">IF(AND($D584="Serviço",AU$12&lt;&gt;0,$H584&gt;0,OR(AUTOEVENTO&lt;&gt;"manual",$M584&lt;&gt;1)),
IF(Import.TipoArredondamento&lt;&gt;"TransfereGOV",
ROUND(OFFSET($P584,0,AU$13),15-13*ORÇAMENTO!$AF$7)/$H584*OFFSET(ORÇAMENTO!$X$15,ROW(AU584)-ROW(AU$15),0),
ROUND(ROUND(OFFSET($P584,0,AU$13),15-13*ORÇAMENTO!$AF$7)*OFFSET(ORÇAMENTO!$W$15,ROW(AU584)-ROW(AU$15),0),15-13*ORÇAMENTO!$AF$11)),0)</f>
        <v>0</v>
      </c>
      <c r="AV584" s="545">
        <f ca="1">IF(AND($D584="Serviço",AV$12&lt;&gt;0,$H584&gt;0,OR(AUTOEVENTO&lt;&gt;"manual",$M584&lt;&gt;1)),
IF(Import.TipoArredondamento&lt;&gt;"TransfereGOV",
ROUND(OFFSET($P584,0,AV$13),15-13*ORÇAMENTO!$AF$7)/$H584*OFFSET(ORÇAMENTO!$X$15,ROW(AV584)-ROW(AV$15),0),
ROUND(ROUND(OFFSET($P584,0,AV$13),15-13*ORÇAMENTO!$AF$7)*OFFSET(ORÇAMENTO!$W$15,ROW(AV584)-ROW(AV$15),0),15-13*ORÇAMENTO!$AF$11)),0)</f>
        <v>0</v>
      </c>
      <c r="AW584" s="545">
        <f ca="1">IF(AND($D584="Serviço",AW$12&lt;&gt;0,$H584&gt;0,OR(AUTOEVENTO&lt;&gt;"manual",$M584&lt;&gt;1)),
IF(Import.TipoArredondamento&lt;&gt;"TransfereGOV",
ROUND(OFFSET($P584,0,AW$13),15-13*ORÇAMENTO!$AF$7)/$H584*OFFSET(ORÇAMENTO!$X$15,ROW(AW584)-ROW(AW$15),0),
ROUND(ROUND(OFFSET($P584,0,AW$13),15-13*ORÇAMENTO!$AF$7)*OFFSET(ORÇAMENTO!$W$15,ROW(AW584)-ROW(AW$15),0),15-13*ORÇAMENTO!$AF$11)),0)</f>
        <v>0</v>
      </c>
      <c r="AX584" s="545">
        <f ca="1">IF(AND($D584="Serviço",AX$12&lt;&gt;0,$H584&gt;0,OR(AUTOEVENTO&lt;&gt;"manual",$M584&lt;&gt;1)),
IF(Import.TipoArredondamento&lt;&gt;"TransfereGOV",
ROUND(OFFSET($P584,0,AX$13),15-13*ORÇAMENTO!$AF$7)/$H584*OFFSET(ORÇAMENTO!$X$15,ROW(AX584)-ROW(AX$15),0),
ROUND(ROUND(OFFSET($P584,0,AX$13),15-13*ORÇAMENTO!$AF$7)*OFFSET(ORÇAMENTO!$W$15,ROW(AX584)-ROW(AX$15),0),15-13*ORÇAMENTO!$AF$11)),0)</f>
        <v>0</v>
      </c>
      <c r="AY584" s="545">
        <f ca="1">IF(AND($D584="Serviço",AY$12&lt;&gt;0,$H584&gt;0,OR(AUTOEVENTO&lt;&gt;"manual",$M584&lt;&gt;1)),
IF(Import.TipoArredondamento&lt;&gt;"TransfereGOV",
ROUND(OFFSET($P584,0,AY$13),15-13*ORÇAMENTO!$AF$7)/$H584*OFFSET(ORÇAMENTO!$X$15,ROW(AY584)-ROW(AY$15),0),
ROUND(ROUND(OFFSET($P584,0,AY$13),15-13*ORÇAMENTO!$AF$7)*OFFSET(ORÇAMENTO!$W$15,ROW(AY584)-ROW(AY$15),0),15-13*ORÇAMENTO!$AF$11)),0)</f>
        <v>0</v>
      </c>
      <c r="AZ584" s="545">
        <f ca="1">IF(AND($D584="Serviço",AZ$12&lt;&gt;0,$H584&gt;0,OR(AUTOEVENTO&lt;&gt;"manual",$M584&lt;&gt;1)),
IF(Import.TipoArredondamento&lt;&gt;"TransfereGOV",
ROUND(OFFSET($P584,0,AZ$13),15-13*ORÇAMENTO!$AF$7)/$H584*OFFSET(ORÇAMENTO!$X$15,ROW(AZ584)-ROW(AZ$15),0),
ROUND(ROUND(OFFSET($P584,0,AZ$13),15-13*ORÇAMENTO!$AF$7)*OFFSET(ORÇAMENTO!$W$15,ROW(AZ584)-ROW(AZ$15),0),15-13*ORÇAMENTO!$AF$11)),0)</f>
        <v>0</v>
      </c>
      <c r="BA584" s="546">
        <f ca="1">IF(AND($D584="Serviço",BA$12&lt;&gt;0,$H584&gt;0,OR(AUTOEVENTO&lt;&gt;"manual",$M584&lt;&gt;1)),
IF(Import.TipoArredondamento&lt;&gt;"TransfereGOV",
ROUND(OFFSET($P584,0,BA$13),15-13*ORÇAMENTO!$AF$7)/$H584*OFFSET(ORÇAMENTO!$X$15,ROW(BA584)-ROW(BA$15),0),
ROUND(ROUND(OFFSET($P584,0,BA$13),15-13*ORÇAMENTO!$AF$7)*OFFSET(ORÇAMENTO!$W$15,ROW(BA584)-ROW(BA$15),0),15-13*ORÇAMENTO!$AF$11)),0)</f>
        <v>0</v>
      </c>
      <c r="BC584" s="181">
        <f ca="1">IF($D584&lt;&gt;"Serviço",0,IF(AND(AUTOEVENTO="Manual",$M584=1),0,IF(OFFSET(CRONOPLE!$F$14,$M584,BC$13)="",10^12,OFFSET(CRONOPLE!$F$14,$M584,BC$13))))</f>
        <v>11</v>
      </c>
      <c r="BD584" s="181">
        <f ca="1">IF($D584&lt;&gt;"Serviço",0,IF(AND(AUTOEVENTO="Manual",$M584=1),0,IF(OFFSET(CRONOPLE!$F$14,$M584,BD$13)="",10^12,OFFSET(CRONOPLE!$F$14,$M584,BD$13))))</f>
        <v>1000000000000</v>
      </c>
      <c r="BE584" s="181">
        <f ca="1">IF($D584&lt;&gt;"Serviço",0,IF(AND(AUTOEVENTO="Manual",$M584=1),0,IF(OFFSET(CRONOPLE!$F$14,$M584,BE$13)="",10^12,OFFSET(CRONOPLE!$F$14,$M584,BE$13))))</f>
        <v>1000000000000</v>
      </c>
      <c r="BF584" s="181">
        <f ca="1">IF($D584&lt;&gt;"Serviço",0,IF(AND(AUTOEVENTO="Manual",$M584=1),0,IF(OFFSET(CRONOPLE!$F$14,$M584,BF$13)="",10^12,OFFSET(CRONOPLE!$F$14,$M584,BF$13))))</f>
        <v>1000000000000</v>
      </c>
      <c r="BG584" s="181">
        <f ca="1">IF($D584&lt;&gt;"Serviço",0,IF(AND(AUTOEVENTO="Manual",$M584=1),0,IF(OFFSET(CRONOPLE!$F$14,$M584,BG$13)="",10^12,OFFSET(CRONOPLE!$F$14,$M584,BG$13))))</f>
        <v>1000000000000</v>
      </c>
      <c r="BH584" s="181">
        <f ca="1">IF($D584&lt;&gt;"Serviço",0,IF(AND(AUTOEVENTO="Manual",$M584=1),0,IF(OFFSET(CRONOPLE!$F$14,$M584,BH$13)="",10^12,OFFSET(CRONOPLE!$F$14,$M584,BH$13))))</f>
        <v>1000000000000</v>
      </c>
      <c r="BI584" s="181">
        <f ca="1">IF($D584&lt;&gt;"Serviço",0,IF(AND(AUTOEVENTO="Manual",$M584=1),0,IF(OFFSET(CRONOPLE!$F$14,$M584,BI$13)="",10^12,OFFSET(CRONOPLE!$F$14,$M584,BI$13))))</f>
        <v>1000000000000</v>
      </c>
      <c r="BJ584" s="181">
        <f ca="1">IF($D584&lt;&gt;"Serviço",0,IF(AND(AUTOEVENTO="Manual",$M584=1),0,IF(OFFSET(CRONOPLE!$F$14,$M584,BJ$13)="",10^12,OFFSET(CRONOPLE!$F$14,$M584,BJ$13))))</f>
        <v>1000000000000</v>
      </c>
      <c r="BK584" s="181">
        <f ca="1">IF($D584&lt;&gt;"Serviço",0,IF(AND(AUTOEVENTO="Manual",$M584=1),0,IF(OFFSET(CRONOPLE!$F$14,$M584,BK$13)="",10^12,OFFSET(CRONOPLE!$F$14,$M584,BK$13))))</f>
        <v>1000000000000</v>
      </c>
      <c r="BL584" s="181">
        <f ca="1">IF($D584&lt;&gt;"Serviço",0,IF(AND(AUTOEVENTO="Manual",$M584=1),0,IF(OFFSET(CRONOPLE!$F$14,$M584,BL$13)="",10^12,OFFSET(CRONOPLE!$F$14,$M584,BL$13))))</f>
        <v>1000000000000</v>
      </c>
      <c r="BM584" s="181">
        <f ca="1">IF($D584&lt;&gt;"Serviço",0,IF(AND(AUTOEVENTO="Manual",$M584=1),0,IF(OFFSET(CRONOPLE!$F$14,$M584,BM$13)="",10^12,OFFSET(CRONOPLE!$F$14,$M584,BM$13))))</f>
        <v>1000000000000</v>
      </c>
      <c r="BN584" s="181">
        <f ca="1">IF($D584&lt;&gt;"Serviço",0,IF(AND(AUTOEVENTO="Manual",$M584=1),0,IF(OFFSET(CRONOPLE!$F$14,$M584,BN$13)="",10^12,OFFSET(CRONOPLE!$F$14,$M584,BN$13))))</f>
        <v>1000000000000</v>
      </c>
      <c r="BO584" s="181">
        <f ca="1">IF($D584&lt;&gt;"Serviço",0,IF(AND(AUTOEVENTO="Manual",$M584=1),0,IF(OFFSET(CRONOPLE!$F$14,$M584,BO$13)="",10^12,OFFSET(CRONOPLE!$F$14,$M584,BO$13))))</f>
        <v>1000000000000</v>
      </c>
      <c r="BP584" s="181">
        <f ca="1">IF($D584&lt;&gt;"Serviço",0,IF(AND(AUTOEVENTO="Manual",$M584=1),0,IF(OFFSET(CRONOPLE!$F$14,$M584,BP$13)="",10^12,OFFSET(CRONOPLE!$F$14,$M584,BP$13))))</f>
        <v>1000000000000</v>
      </c>
      <c r="BQ584" s="181">
        <f ca="1">IF($D584&lt;&gt;"Serviço",0,IF(AND(AUTOEVENTO="Manual",$M584=1),0,IF(OFFSET(CRONOPLE!$F$14,$M584,BQ$13)="",10^12,OFFSET(CRONOPLE!$F$14,$M584,BQ$13))))</f>
        <v>1000000000000</v>
      </c>
      <c r="BR584" s="181">
        <f ca="1">IF($D584&lt;&gt;"Serviço",0,IF(AND(AUTOEVENTO="Manual",$M584=1),0,IF(OFFSET(CRONOPLE!$F$14,$M584,BR$13)="",10^12,OFFSET(CRONOPLE!$F$14,$M584,BR$13))))</f>
        <v>1000000000000</v>
      </c>
      <c r="BS584" s="181">
        <f ca="1">IF($D584&lt;&gt;"Serviço",0,IF(AND(AUTOEVENTO="Manual",$M584=1),0,IF(OFFSET(CRONOPLE!$F$14,$M584,BS$13)="",10^12,OFFSET(CRONOPLE!$F$14,$M584,BS$13))))</f>
        <v>1000000000000</v>
      </c>
      <c r="BT584" s="181">
        <f ca="1">IF($D584&lt;&gt;"Serviço",0,IF(AND(AUTOEVENTO="Manual",$M584=1),0,IF(OFFSET(CRONOPLE!$F$14,$M584,BT$13)="",10^12,OFFSET(CRONOPLE!$F$14,$M584,BT$13))))</f>
        <v>1000000000000</v>
      </c>
      <c r="BV584" s="182">
        <f ca="1">IF($D584&lt;&gt;"Serviço",0,IF(OR(AND(AUTOEVENTO="Manual",$M584=1),$M584&gt;(ROW(PLE.lastrow)-ROW(PLE.firstrow))),0,IF(OFFSET(PLE!$G$14,$M584,BV$13)="",10^12,OFFSET(PLE!$G$14,$M584,BV$13))))</f>
        <v>1000000000000</v>
      </c>
      <c r="BW584" s="182">
        <f ca="1">IF($D584&lt;&gt;"Serviço",0,IF(OR(AND(AUTOEVENTO="Manual",$M584=1),$M584&gt;(ROW(PLE.lastrow)-ROW(PLE.firstrow))),0,IF(OFFSET(PLE!$G$14,$M584,BW$13)="",10^12,OFFSET(PLE!$G$14,$M584,BW$13))))</f>
        <v>1000000000000</v>
      </c>
      <c r="BX584" s="182">
        <f ca="1">IF($D584&lt;&gt;"Serviço",0,IF(OR(AND(AUTOEVENTO="Manual",$M584=1),$M584&gt;(ROW(PLE.lastrow)-ROW(PLE.firstrow))),0,IF(OFFSET(PLE!$G$14,$M584,BX$13)="",10^12,OFFSET(PLE!$G$14,$M584,BX$13))))</f>
        <v>1000000000000</v>
      </c>
      <c r="BY584" s="182">
        <f ca="1">IF($D584&lt;&gt;"Serviço",0,IF(OR(AND(AUTOEVENTO="Manual",$M584=1),$M584&gt;(ROW(PLE.lastrow)-ROW(PLE.firstrow))),0,IF(OFFSET(PLE!$G$14,$M584,BY$13)="",10^12,OFFSET(PLE!$G$14,$M584,BY$13))))</f>
        <v>1000000000000</v>
      </c>
      <c r="BZ584" s="182">
        <f ca="1">IF($D584&lt;&gt;"Serviço",0,IF(OR(AND(AUTOEVENTO="Manual",$M584=1),$M584&gt;(ROW(PLE.lastrow)-ROW(PLE.firstrow))),0,IF(OFFSET(PLE!$G$14,$M584,BZ$13)="",10^12,OFFSET(PLE!$G$14,$M584,BZ$13))))</f>
        <v>1000000000000</v>
      </c>
      <c r="CA584" s="182">
        <f ca="1">IF($D584&lt;&gt;"Serviço",0,IF(OR(AND(AUTOEVENTO="Manual",$M584=1),$M584&gt;(ROW(PLE.lastrow)-ROW(PLE.firstrow))),0,IF(OFFSET(PLE!$G$14,$M584,CA$13)="",10^12,OFFSET(PLE!$G$14,$M584,CA$13))))</f>
        <v>1000000000000</v>
      </c>
      <c r="CB584" s="182">
        <f ca="1">IF($D584&lt;&gt;"Serviço",0,IF(OR(AND(AUTOEVENTO="Manual",$M584=1),$M584&gt;(ROW(PLE.lastrow)-ROW(PLE.firstrow))),0,IF(OFFSET(PLE!$G$14,$M584,CB$13)="",10^12,OFFSET(PLE!$G$14,$M584,CB$13))))</f>
        <v>1000000000000</v>
      </c>
      <c r="CC584" s="182">
        <f ca="1">IF($D584&lt;&gt;"Serviço",0,IF(OR(AND(AUTOEVENTO="Manual",$M584=1),$M584&gt;(ROW(PLE.lastrow)-ROW(PLE.firstrow))),0,IF(OFFSET(PLE!$G$14,$M584,CC$13)="",10^12,OFFSET(PLE!$G$14,$M584,CC$13))))</f>
        <v>1000000000000</v>
      </c>
      <c r="CD584" s="182">
        <f ca="1">IF($D584&lt;&gt;"Serviço",0,IF(OR(AND(AUTOEVENTO="Manual",$M584=1),$M584&gt;(ROW(PLE.lastrow)-ROW(PLE.firstrow))),0,IF(OFFSET(PLE!$G$14,$M584,CD$13)="",10^12,OFFSET(PLE!$G$14,$M584,CD$13))))</f>
        <v>1000000000000</v>
      </c>
      <c r="CE584" s="182">
        <f ca="1">IF($D584&lt;&gt;"Serviço",0,IF(OR(AND(AUTOEVENTO="Manual",$M584=1),$M584&gt;(ROW(PLE.lastrow)-ROW(PLE.firstrow))),0,IF(OFFSET(PLE!$G$14,$M584,CE$13)="",10^12,OFFSET(PLE!$G$14,$M584,CE$13))))</f>
        <v>1000000000000</v>
      </c>
      <c r="CF584" s="182">
        <f ca="1">IF($D584&lt;&gt;"Serviço",0,IF(OR(AND(AUTOEVENTO="Manual",$M584=1),$M584&gt;(ROW(PLE.lastrow)-ROW(PLE.firstrow))),0,IF(OFFSET(PLE!$G$14,$M584,CF$13)="",10^12,OFFSET(PLE!$G$14,$M584,CF$13))))</f>
        <v>1000000000000</v>
      </c>
      <c r="CG584" s="182">
        <f ca="1">IF($D584&lt;&gt;"Serviço",0,IF(OR(AND(AUTOEVENTO="Manual",$M584=1),$M584&gt;(ROW(PLE.lastrow)-ROW(PLE.firstrow))),0,IF(OFFSET(PLE!$G$14,$M584,CG$13)="",10^12,OFFSET(PLE!$G$14,$M584,CG$13))))</f>
        <v>1000000000000</v>
      </c>
      <c r="CH584" s="182">
        <f ca="1">IF($D584&lt;&gt;"Serviço",0,IF(OR(AND(AUTOEVENTO="Manual",$M584=1),$M584&gt;(ROW(PLE.lastrow)-ROW(PLE.firstrow))),0,IF(OFFSET(PLE!$G$14,$M584,CH$13)="",10^12,OFFSET(PLE!$G$14,$M584,CH$13))))</f>
        <v>1000000000000</v>
      </c>
      <c r="CI584" s="182">
        <f ca="1">IF($D584&lt;&gt;"Serviço",0,IF(OR(AND(AUTOEVENTO="Manual",$M584=1),$M584&gt;(ROW(PLE.lastrow)-ROW(PLE.firstrow))),0,IF(OFFSET(PLE!$G$14,$M584,CI$13)="",10^12,OFFSET(PLE!$G$14,$M584,CI$13))))</f>
        <v>1000000000000</v>
      </c>
      <c r="CJ584" s="182">
        <f ca="1">IF($D584&lt;&gt;"Serviço",0,IF(OR(AND(AUTOEVENTO="Manual",$M584=1),$M584&gt;(ROW(PLE.lastrow)-ROW(PLE.firstrow))),0,IF(OFFSET(PLE!$G$14,$M584,CJ$13)="",10^12,OFFSET(PLE!$G$14,$M584,CJ$13))))</f>
        <v>1000000000000</v>
      </c>
      <c r="CK584" s="182">
        <f ca="1">IF($D584&lt;&gt;"Serviço",0,IF(OR(AND(AUTOEVENTO="Manual",$M584=1),$M584&gt;(ROW(PLE.lastrow)-ROW(PLE.firstrow))),0,IF(OFFSET(PLE!$G$14,$M584,CK$13)="",10^12,OFFSET(PLE!$G$14,$M584,CK$13))))</f>
        <v>1000000000000</v>
      </c>
      <c r="CL584" s="182">
        <f ca="1">IF($D584&lt;&gt;"Serviço",0,IF(OR(AND(AUTOEVENTO="Manual",$M584=1),$M584&gt;(ROW(PLE.lastrow)-ROW(PLE.firstrow))),0,IF(OFFSET(PLE!$G$14,$M584,CL$13)="",10^12,OFFSET(PLE!$G$14,$M584,CL$13))))</f>
        <v>1000000000000</v>
      </c>
      <c r="CM584" s="182">
        <f ca="1">IF($D584&lt;&gt;"Serviço",0,IF(OR(AND(AUTOEVENTO="Manual",$M584=1),$M584&gt;(ROW(PLE.lastrow)-ROW(PLE.firstrow))),0,IF(OFFSET(PLE!$G$14,$M584,CM$13)="",10^12,OFFSET(PLE!$G$14,$M584,CM$13))))</f>
        <v>1000000000000</v>
      </c>
    </row>
    <row r="585" spans="1:91" ht="38.25" x14ac:dyDescent="0.2">
      <c r="A585" s="7" t="str">
        <f t="shared" ca="1" si="17"/>
        <v>565</v>
      </c>
      <c r="B585" s="7" t="str">
        <f ca="1">OFFSET(ORÇAMENTO!C$15,ROW(B585)-ROW(B$15),0)</f>
        <v>S</v>
      </c>
      <c r="C585" s="7" t="str">
        <f ca="1">OFFSET(ORÇAMENTO!L$15,ROW(C585)-ROW(C$15),0)</f>
        <v/>
      </c>
      <c r="D585" s="118" t="str">
        <f ca="1">OFFSET(ORÇAMENTO!N$15,ROW(D585)-ROW(D$15),0)</f>
        <v>Serviço</v>
      </c>
      <c r="E585" s="119" t="str">
        <f ca="1">OFFSET(ORÇAMENTO!O$15,ROW(E585)-ROW(E$15),0)</f>
        <v>-</v>
      </c>
      <c r="F585" s="172" t="str">
        <f ca="1">OFFSET(ORÇAMENTO!R$15,ROW(F585)-ROW(F$15),0)</f>
        <v>(abra o arquivo 'Referência 06-2024.xlsm)</v>
      </c>
      <c r="G585" s="173" t="str">
        <f ca="1">IF($D585&lt;&gt;"Serviço","",OFFSET(ORÇAMENTO!S$15,ROW(G585)-ROW(G$15),0))</f>
        <v>-</v>
      </c>
      <c r="H585" s="124">
        <f ca="1">IF($D585&lt;&gt;"Serviço",0,IF(ACOMPANHAMENTO="BM",ROUND(OFFSET(ORÇAMENTO!AJ$15,ROW(H585)-ROW(H$15),0),15-13*ORÇAMENTO!$AF$7),SUMPRODUCT(($Q$12:$AI$12&lt;&gt;"")*ROUND($Q585:$AI585,15-13*ORÇAMENTO!$AF$7))))</f>
        <v>36</v>
      </c>
      <c r="I585" s="561" t="s">
        <v>1107</v>
      </c>
      <c r="K585" s="174"/>
      <c r="L585" s="175" t="s">
        <v>255</v>
      </c>
      <c r="M585" s="176">
        <f ca="1">IF($D585&lt;&gt;"Serviço","",IF(AUTOEVENTO="manual",$A585,IF(ISERROR(MATCH($A585,$A$15:OFFSET($A585,-1,0),0)),MAX($M$15:OFFSET(M585,-1,0))+1,INDEX($M$15:OFFSET(M585,-1,0),MATCH($A585,$A$15:OFFSET($A585,-1,0),0)))))</f>
        <v>59</v>
      </c>
      <c r="N585" s="177" t="str">
        <f ca="1">IF($D585&lt;&gt;"Serviço","",IF(AUTOEVENTO="Manual",IF($A585=0,"&lt;-- defina o número do agrupador",OFFSET(EVENTOS!$D$14,$A585,0)),OFFSET($F$15,$A585,0)))</f>
        <v>INSTALAÇÃO ELÉTRICA 110V - ELETRODUTOS</v>
      </c>
      <c r="O585" s="178"/>
      <c r="Q585" s="178">
        <v>36</v>
      </c>
      <c r="R585" s="179"/>
      <c r="S585" s="179"/>
      <c r="T585" s="179"/>
      <c r="U585" s="179"/>
      <c r="V585" s="179"/>
      <c r="W585" s="179"/>
      <c r="X585" s="179"/>
      <c r="Y585" s="179"/>
      <c r="Z585" s="180"/>
      <c r="AA585" s="179"/>
      <c r="AB585" s="179"/>
      <c r="AC585" s="179"/>
      <c r="AD585" s="179"/>
      <c r="AE585" s="179"/>
      <c r="AF585" s="179"/>
      <c r="AG585" s="179"/>
      <c r="AH585" s="180"/>
      <c r="AJ585" s="544">
        <f ca="1">IF(AND($D585="Serviço",AJ$12&lt;&gt;0,$H585&gt;0,OR(AUTOEVENTO&lt;&gt;"manual",$M585&lt;&gt;1)),
IF(Import.TipoArredondamento&lt;&gt;"TransfereGOV",
ROUND(OFFSET($P585,0,AJ$13),15-13*ORÇAMENTO!$AF$7)/$H585*OFFSET(ORÇAMENTO!$X$15,ROW(AJ585)-ROW(AJ$15),0),
ROUND(ROUND(OFFSET($P585,0,AJ$13),15-13*ORÇAMENTO!$AF$7)*OFFSET(ORÇAMENTO!$W$15,ROW(AJ585)-ROW(AJ$15),0),15-13*ORÇAMENTO!$AF$11)),0)</f>
        <v>0</v>
      </c>
      <c r="AK585" s="545">
        <f ca="1">IF(AND($D585="Serviço",AK$12&lt;&gt;0,$H585&gt;0,OR(AUTOEVENTO&lt;&gt;"manual",$M585&lt;&gt;1)),
IF(Import.TipoArredondamento&lt;&gt;"TransfereGOV",
ROUND(OFFSET($P585,0,AK$13),15-13*ORÇAMENTO!$AF$7)/$H585*OFFSET(ORÇAMENTO!$X$15,ROW(AK585)-ROW(AK$15),0),
ROUND(ROUND(OFFSET($P585,0,AK$13),15-13*ORÇAMENTO!$AF$7)*OFFSET(ORÇAMENTO!$W$15,ROW(AK585)-ROW(AK$15),0),15-13*ORÇAMENTO!$AF$11)),0)</f>
        <v>0</v>
      </c>
      <c r="AL585" s="545">
        <f ca="1">IF(AND($D585="Serviço",AL$12&lt;&gt;0,$H585&gt;0,OR(AUTOEVENTO&lt;&gt;"manual",$M585&lt;&gt;1)),
IF(Import.TipoArredondamento&lt;&gt;"TransfereGOV",
ROUND(OFFSET($P585,0,AL$13),15-13*ORÇAMENTO!$AF$7)/$H585*OFFSET(ORÇAMENTO!$X$15,ROW(AL585)-ROW(AL$15),0),
ROUND(ROUND(OFFSET($P585,0,AL$13),15-13*ORÇAMENTO!$AF$7)*OFFSET(ORÇAMENTO!$W$15,ROW(AL585)-ROW(AL$15),0),15-13*ORÇAMENTO!$AF$11)),0)</f>
        <v>0</v>
      </c>
      <c r="AM585" s="545">
        <f ca="1">IF(AND($D585="Serviço",AM$12&lt;&gt;0,$H585&gt;0,OR(AUTOEVENTO&lt;&gt;"manual",$M585&lt;&gt;1)),
IF(Import.TipoArredondamento&lt;&gt;"TransfereGOV",
ROUND(OFFSET($P585,0,AM$13),15-13*ORÇAMENTO!$AF$7)/$H585*OFFSET(ORÇAMENTO!$X$15,ROW(AM585)-ROW(AM$15),0),
ROUND(ROUND(OFFSET($P585,0,AM$13),15-13*ORÇAMENTO!$AF$7)*OFFSET(ORÇAMENTO!$W$15,ROW(AM585)-ROW(AM$15),0),15-13*ORÇAMENTO!$AF$11)),0)</f>
        <v>0</v>
      </c>
      <c r="AN585" s="545">
        <f ca="1">IF(AND($D585="Serviço",AN$12&lt;&gt;0,$H585&gt;0,OR(AUTOEVENTO&lt;&gt;"manual",$M585&lt;&gt;1)),
IF(Import.TipoArredondamento&lt;&gt;"TransfereGOV",
ROUND(OFFSET($P585,0,AN$13),15-13*ORÇAMENTO!$AF$7)/$H585*OFFSET(ORÇAMENTO!$X$15,ROW(AN585)-ROW(AN$15),0),
ROUND(ROUND(OFFSET($P585,0,AN$13),15-13*ORÇAMENTO!$AF$7)*OFFSET(ORÇAMENTO!$W$15,ROW(AN585)-ROW(AN$15),0),15-13*ORÇAMENTO!$AF$11)),0)</f>
        <v>0</v>
      </c>
      <c r="AO585" s="545">
        <f ca="1">IF(AND($D585="Serviço",AO$12&lt;&gt;0,$H585&gt;0,OR(AUTOEVENTO&lt;&gt;"manual",$M585&lt;&gt;1)),
IF(Import.TipoArredondamento&lt;&gt;"TransfereGOV",
ROUND(OFFSET($P585,0,AO$13),15-13*ORÇAMENTO!$AF$7)/$H585*OFFSET(ORÇAMENTO!$X$15,ROW(AO585)-ROW(AO$15),0),
ROUND(ROUND(OFFSET($P585,0,AO$13),15-13*ORÇAMENTO!$AF$7)*OFFSET(ORÇAMENTO!$W$15,ROW(AO585)-ROW(AO$15),0),15-13*ORÇAMENTO!$AF$11)),0)</f>
        <v>0</v>
      </c>
      <c r="AP585" s="545">
        <f ca="1">IF(AND($D585="Serviço",AP$12&lt;&gt;0,$H585&gt;0,OR(AUTOEVENTO&lt;&gt;"manual",$M585&lt;&gt;1)),
IF(Import.TipoArredondamento&lt;&gt;"TransfereGOV",
ROUND(OFFSET($P585,0,AP$13),15-13*ORÇAMENTO!$AF$7)/$H585*OFFSET(ORÇAMENTO!$X$15,ROW(AP585)-ROW(AP$15),0),
ROUND(ROUND(OFFSET($P585,0,AP$13),15-13*ORÇAMENTO!$AF$7)*OFFSET(ORÇAMENTO!$W$15,ROW(AP585)-ROW(AP$15),0),15-13*ORÇAMENTO!$AF$11)),0)</f>
        <v>0</v>
      </c>
      <c r="AQ585" s="545">
        <f ca="1">IF(AND($D585="Serviço",AQ$12&lt;&gt;0,$H585&gt;0,OR(AUTOEVENTO&lt;&gt;"manual",$M585&lt;&gt;1)),
IF(Import.TipoArredondamento&lt;&gt;"TransfereGOV",
ROUND(OFFSET($P585,0,AQ$13),15-13*ORÇAMENTO!$AF$7)/$H585*OFFSET(ORÇAMENTO!$X$15,ROW(AQ585)-ROW(AQ$15),0),
ROUND(ROUND(OFFSET($P585,0,AQ$13),15-13*ORÇAMENTO!$AF$7)*OFFSET(ORÇAMENTO!$W$15,ROW(AQ585)-ROW(AQ$15),0),15-13*ORÇAMENTO!$AF$11)),0)</f>
        <v>0</v>
      </c>
      <c r="AR585" s="545">
        <f ca="1">IF(AND($D585="Serviço",AR$12&lt;&gt;0,$H585&gt;0,OR(AUTOEVENTO&lt;&gt;"manual",$M585&lt;&gt;1)),
IF(Import.TipoArredondamento&lt;&gt;"TransfereGOV",
ROUND(OFFSET($P585,0,AR$13),15-13*ORÇAMENTO!$AF$7)/$H585*OFFSET(ORÇAMENTO!$X$15,ROW(AR585)-ROW(AR$15),0),
ROUND(ROUND(OFFSET($P585,0,AR$13),15-13*ORÇAMENTO!$AF$7)*OFFSET(ORÇAMENTO!$W$15,ROW(AR585)-ROW(AR$15),0),15-13*ORÇAMENTO!$AF$11)),0)</f>
        <v>0</v>
      </c>
      <c r="AS585" s="546">
        <f ca="1">IF(AND($D585="Serviço",AS$12&lt;&gt;0,$H585&gt;0,OR(AUTOEVENTO&lt;&gt;"manual",$M585&lt;&gt;1)),
IF(Import.TipoArredondamento&lt;&gt;"TransfereGOV",
ROUND(OFFSET($P585,0,AS$13),15-13*ORÇAMENTO!$AF$7)/$H585*OFFSET(ORÇAMENTO!$X$15,ROW(AS585)-ROW(AS$15),0),
ROUND(ROUND(OFFSET($P585,0,AS$13),15-13*ORÇAMENTO!$AF$7)*OFFSET(ORÇAMENTO!$W$15,ROW(AS585)-ROW(AS$15),0),15-13*ORÇAMENTO!$AF$11)),0)</f>
        <v>0</v>
      </c>
      <c r="AT585" s="545">
        <f ca="1">IF(AND($D585="Serviço",AT$12&lt;&gt;0,$H585&gt;0,OR(AUTOEVENTO&lt;&gt;"manual",$M585&lt;&gt;1)),
IF(Import.TipoArredondamento&lt;&gt;"TransfereGOV",
ROUND(OFFSET($P585,0,AT$13),15-13*ORÇAMENTO!$AF$7)/$H585*OFFSET(ORÇAMENTO!$X$15,ROW(AT585)-ROW(AT$15),0),
ROUND(ROUND(OFFSET($P585,0,AT$13),15-13*ORÇAMENTO!$AF$7)*OFFSET(ORÇAMENTO!$W$15,ROW(AT585)-ROW(AT$15),0),15-13*ORÇAMENTO!$AF$11)),0)</f>
        <v>0</v>
      </c>
      <c r="AU585" s="545">
        <f ca="1">IF(AND($D585="Serviço",AU$12&lt;&gt;0,$H585&gt;0,OR(AUTOEVENTO&lt;&gt;"manual",$M585&lt;&gt;1)),
IF(Import.TipoArredondamento&lt;&gt;"TransfereGOV",
ROUND(OFFSET($P585,0,AU$13),15-13*ORÇAMENTO!$AF$7)/$H585*OFFSET(ORÇAMENTO!$X$15,ROW(AU585)-ROW(AU$15),0),
ROUND(ROUND(OFFSET($P585,0,AU$13),15-13*ORÇAMENTO!$AF$7)*OFFSET(ORÇAMENTO!$W$15,ROW(AU585)-ROW(AU$15),0),15-13*ORÇAMENTO!$AF$11)),0)</f>
        <v>0</v>
      </c>
      <c r="AV585" s="545">
        <f ca="1">IF(AND($D585="Serviço",AV$12&lt;&gt;0,$H585&gt;0,OR(AUTOEVENTO&lt;&gt;"manual",$M585&lt;&gt;1)),
IF(Import.TipoArredondamento&lt;&gt;"TransfereGOV",
ROUND(OFFSET($P585,0,AV$13),15-13*ORÇAMENTO!$AF$7)/$H585*OFFSET(ORÇAMENTO!$X$15,ROW(AV585)-ROW(AV$15),0),
ROUND(ROUND(OFFSET($P585,0,AV$13),15-13*ORÇAMENTO!$AF$7)*OFFSET(ORÇAMENTO!$W$15,ROW(AV585)-ROW(AV$15),0),15-13*ORÇAMENTO!$AF$11)),0)</f>
        <v>0</v>
      </c>
      <c r="AW585" s="545">
        <f ca="1">IF(AND($D585="Serviço",AW$12&lt;&gt;0,$H585&gt;0,OR(AUTOEVENTO&lt;&gt;"manual",$M585&lt;&gt;1)),
IF(Import.TipoArredondamento&lt;&gt;"TransfereGOV",
ROUND(OFFSET($P585,0,AW$13),15-13*ORÇAMENTO!$AF$7)/$H585*OFFSET(ORÇAMENTO!$X$15,ROW(AW585)-ROW(AW$15),0),
ROUND(ROUND(OFFSET($P585,0,AW$13),15-13*ORÇAMENTO!$AF$7)*OFFSET(ORÇAMENTO!$W$15,ROW(AW585)-ROW(AW$15),0),15-13*ORÇAMENTO!$AF$11)),0)</f>
        <v>0</v>
      </c>
      <c r="AX585" s="545">
        <f ca="1">IF(AND($D585="Serviço",AX$12&lt;&gt;0,$H585&gt;0,OR(AUTOEVENTO&lt;&gt;"manual",$M585&lt;&gt;1)),
IF(Import.TipoArredondamento&lt;&gt;"TransfereGOV",
ROUND(OFFSET($P585,0,AX$13),15-13*ORÇAMENTO!$AF$7)/$H585*OFFSET(ORÇAMENTO!$X$15,ROW(AX585)-ROW(AX$15),0),
ROUND(ROUND(OFFSET($P585,0,AX$13),15-13*ORÇAMENTO!$AF$7)*OFFSET(ORÇAMENTO!$W$15,ROW(AX585)-ROW(AX$15),0),15-13*ORÇAMENTO!$AF$11)),0)</f>
        <v>0</v>
      </c>
      <c r="AY585" s="545">
        <f ca="1">IF(AND($D585="Serviço",AY$12&lt;&gt;0,$H585&gt;0,OR(AUTOEVENTO&lt;&gt;"manual",$M585&lt;&gt;1)),
IF(Import.TipoArredondamento&lt;&gt;"TransfereGOV",
ROUND(OFFSET($P585,0,AY$13),15-13*ORÇAMENTO!$AF$7)/$H585*OFFSET(ORÇAMENTO!$X$15,ROW(AY585)-ROW(AY$15),0),
ROUND(ROUND(OFFSET($P585,0,AY$13),15-13*ORÇAMENTO!$AF$7)*OFFSET(ORÇAMENTO!$W$15,ROW(AY585)-ROW(AY$15),0),15-13*ORÇAMENTO!$AF$11)),0)</f>
        <v>0</v>
      </c>
      <c r="AZ585" s="545">
        <f ca="1">IF(AND($D585="Serviço",AZ$12&lt;&gt;0,$H585&gt;0,OR(AUTOEVENTO&lt;&gt;"manual",$M585&lt;&gt;1)),
IF(Import.TipoArredondamento&lt;&gt;"TransfereGOV",
ROUND(OFFSET($P585,0,AZ$13),15-13*ORÇAMENTO!$AF$7)/$H585*OFFSET(ORÇAMENTO!$X$15,ROW(AZ585)-ROW(AZ$15),0),
ROUND(ROUND(OFFSET($P585,0,AZ$13),15-13*ORÇAMENTO!$AF$7)*OFFSET(ORÇAMENTO!$W$15,ROW(AZ585)-ROW(AZ$15),0),15-13*ORÇAMENTO!$AF$11)),0)</f>
        <v>0</v>
      </c>
      <c r="BA585" s="546">
        <f ca="1">IF(AND($D585="Serviço",BA$12&lt;&gt;0,$H585&gt;0,OR(AUTOEVENTO&lt;&gt;"manual",$M585&lt;&gt;1)),
IF(Import.TipoArredondamento&lt;&gt;"TransfereGOV",
ROUND(OFFSET($P585,0,BA$13),15-13*ORÇAMENTO!$AF$7)/$H585*OFFSET(ORÇAMENTO!$X$15,ROW(BA585)-ROW(BA$15),0),
ROUND(ROUND(OFFSET($P585,0,BA$13),15-13*ORÇAMENTO!$AF$7)*OFFSET(ORÇAMENTO!$W$15,ROW(BA585)-ROW(BA$15),0),15-13*ORÇAMENTO!$AF$11)),0)</f>
        <v>0</v>
      </c>
      <c r="BC585" s="181">
        <f ca="1">IF($D585&lt;&gt;"Serviço",0,IF(AND(AUTOEVENTO="Manual",$M585=1),0,IF(OFFSET(CRONOPLE!$F$14,$M585,BC$13)="",10^12,OFFSET(CRONOPLE!$F$14,$M585,BC$13))))</f>
        <v>11</v>
      </c>
      <c r="BD585" s="181">
        <f ca="1">IF($D585&lt;&gt;"Serviço",0,IF(AND(AUTOEVENTO="Manual",$M585=1),0,IF(OFFSET(CRONOPLE!$F$14,$M585,BD$13)="",10^12,OFFSET(CRONOPLE!$F$14,$M585,BD$13))))</f>
        <v>1000000000000</v>
      </c>
      <c r="BE585" s="181">
        <f ca="1">IF($D585&lt;&gt;"Serviço",0,IF(AND(AUTOEVENTO="Manual",$M585=1),0,IF(OFFSET(CRONOPLE!$F$14,$M585,BE$13)="",10^12,OFFSET(CRONOPLE!$F$14,$M585,BE$13))))</f>
        <v>1000000000000</v>
      </c>
      <c r="BF585" s="181">
        <f ca="1">IF($D585&lt;&gt;"Serviço",0,IF(AND(AUTOEVENTO="Manual",$M585=1),0,IF(OFFSET(CRONOPLE!$F$14,$M585,BF$13)="",10^12,OFFSET(CRONOPLE!$F$14,$M585,BF$13))))</f>
        <v>1000000000000</v>
      </c>
      <c r="BG585" s="181">
        <f ca="1">IF($D585&lt;&gt;"Serviço",0,IF(AND(AUTOEVENTO="Manual",$M585=1),0,IF(OFFSET(CRONOPLE!$F$14,$M585,BG$13)="",10^12,OFFSET(CRONOPLE!$F$14,$M585,BG$13))))</f>
        <v>1000000000000</v>
      </c>
      <c r="BH585" s="181">
        <f ca="1">IF($D585&lt;&gt;"Serviço",0,IF(AND(AUTOEVENTO="Manual",$M585=1),0,IF(OFFSET(CRONOPLE!$F$14,$M585,BH$13)="",10^12,OFFSET(CRONOPLE!$F$14,$M585,BH$13))))</f>
        <v>1000000000000</v>
      </c>
      <c r="BI585" s="181">
        <f ca="1">IF($D585&lt;&gt;"Serviço",0,IF(AND(AUTOEVENTO="Manual",$M585=1),0,IF(OFFSET(CRONOPLE!$F$14,$M585,BI$13)="",10^12,OFFSET(CRONOPLE!$F$14,$M585,BI$13))))</f>
        <v>1000000000000</v>
      </c>
      <c r="BJ585" s="181">
        <f ca="1">IF($D585&lt;&gt;"Serviço",0,IF(AND(AUTOEVENTO="Manual",$M585=1),0,IF(OFFSET(CRONOPLE!$F$14,$M585,BJ$13)="",10^12,OFFSET(CRONOPLE!$F$14,$M585,BJ$13))))</f>
        <v>1000000000000</v>
      </c>
      <c r="BK585" s="181">
        <f ca="1">IF($D585&lt;&gt;"Serviço",0,IF(AND(AUTOEVENTO="Manual",$M585=1),0,IF(OFFSET(CRONOPLE!$F$14,$M585,BK$13)="",10^12,OFFSET(CRONOPLE!$F$14,$M585,BK$13))))</f>
        <v>1000000000000</v>
      </c>
      <c r="BL585" s="181">
        <f ca="1">IF($D585&lt;&gt;"Serviço",0,IF(AND(AUTOEVENTO="Manual",$M585=1),0,IF(OFFSET(CRONOPLE!$F$14,$M585,BL$13)="",10^12,OFFSET(CRONOPLE!$F$14,$M585,BL$13))))</f>
        <v>1000000000000</v>
      </c>
      <c r="BM585" s="181">
        <f ca="1">IF($D585&lt;&gt;"Serviço",0,IF(AND(AUTOEVENTO="Manual",$M585=1),0,IF(OFFSET(CRONOPLE!$F$14,$M585,BM$13)="",10^12,OFFSET(CRONOPLE!$F$14,$M585,BM$13))))</f>
        <v>1000000000000</v>
      </c>
      <c r="BN585" s="181">
        <f ca="1">IF($D585&lt;&gt;"Serviço",0,IF(AND(AUTOEVENTO="Manual",$M585=1),0,IF(OFFSET(CRONOPLE!$F$14,$M585,BN$13)="",10^12,OFFSET(CRONOPLE!$F$14,$M585,BN$13))))</f>
        <v>1000000000000</v>
      </c>
      <c r="BO585" s="181">
        <f ca="1">IF($D585&lt;&gt;"Serviço",0,IF(AND(AUTOEVENTO="Manual",$M585=1),0,IF(OFFSET(CRONOPLE!$F$14,$M585,BO$13)="",10^12,OFFSET(CRONOPLE!$F$14,$M585,BO$13))))</f>
        <v>1000000000000</v>
      </c>
      <c r="BP585" s="181">
        <f ca="1">IF($D585&lt;&gt;"Serviço",0,IF(AND(AUTOEVENTO="Manual",$M585=1),0,IF(OFFSET(CRONOPLE!$F$14,$M585,BP$13)="",10^12,OFFSET(CRONOPLE!$F$14,$M585,BP$13))))</f>
        <v>1000000000000</v>
      </c>
      <c r="BQ585" s="181">
        <f ca="1">IF($D585&lt;&gt;"Serviço",0,IF(AND(AUTOEVENTO="Manual",$M585=1),0,IF(OFFSET(CRONOPLE!$F$14,$M585,BQ$13)="",10^12,OFFSET(CRONOPLE!$F$14,$M585,BQ$13))))</f>
        <v>1000000000000</v>
      </c>
      <c r="BR585" s="181">
        <f ca="1">IF($D585&lt;&gt;"Serviço",0,IF(AND(AUTOEVENTO="Manual",$M585=1),0,IF(OFFSET(CRONOPLE!$F$14,$M585,BR$13)="",10^12,OFFSET(CRONOPLE!$F$14,$M585,BR$13))))</f>
        <v>1000000000000</v>
      </c>
      <c r="BS585" s="181">
        <f ca="1">IF($D585&lt;&gt;"Serviço",0,IF(AND(AUTOEVENTO="Manual",$M585=1),0,IF(OFFSET(CRONOPLE!$F$14,$M585,BS$13)="",10^12,OFFSET(CRONOPLE!$F$14,$M585,BS$13))))</f>
        <v>1000000000000</v>
      </c>
      <c r="BT585" s="181">
        <f ca="1">IF($D585&lt;&gt;"Serviço",0,IF(AND(AUTOEVENTO="Manual",$M585=1),0,IF(OFFSET(CRONOPLE!$F$14,$M585,BT$13)="",10^12,OFFSET(CRONOPLE!$F$14,$M585,BT$13))))</f>
        <v>1000000000000</v>
      </c>
      <c r="BV585" s="182">
        <f ca="1">IF($D585&lt;&gt;"Serviço",0,IF(OR(AND(AUTOEVENTO="Manual",$M585=1),$M585&gt;(ROW(PLE.lastrow)-ROW(PLE.firstrow))),0,IF(OFFSET(PLE!$G$14,$M585,BV$13)="",10^12,OFFSET(PLE!$G$14,$M585,BV$13))))</f>
        <v>1000000000000</v>
      </c>
      <c r="BW585" s="182">
        <f ca="1">IF($D585&lt;&gt;"Serviço",0,IF(OR(AND(AUTOEVENTO="Manual",$M585=1),$M585&gt;(ROW(PLE.lastrow)-ROW(PLE.firstrow))),0,IF(OFFSET(PLE!$G$14,$M585,BW$13)="",10^12,OFFSET(PLE!$G$14,$M585,BW$13))))</f>
        <v>1000000000000</v>
      </c>
      <c r="BX585" s="182">
        <f ca="1">IF($D585&lt;&gt;"Serviço",0,IF(OR(AND(AUTOEVENTO="Manual",$M585=1),$M585&gt;(ROW(PLE.lastrow)-ROW(PLE.firstrow))),0,IF(OFFSET(PLE!$G$14,$M585,BX$13)="",10^12,OFFSET(PLE!$G$14,$M585,BX$13))))</f>
        <v>1000000000000</v>
      </c>
      <c r="BY585" s="182">
        <f ca="1">IF($D585&lt;&gt;"Serviço",0,IF(OR(AND(AUTOEVENTO="Manual",$M585=1),$M585&gt;(ROW(PLE.lastrow)-ROW(PLE.firstrow))),0,IF(OFFSET(PLE!$G$14,$M585,BY$13)="",10^12,OFFSET(PLE!$G$14,$M585,BY$13))))</f>
        <v>1000000000000</v>
      </c>
      <c r="BZ585" s="182">
        <f ca="1">IF($D585&lt;&gt;"Serviço",0,IF(OR(AND(AUTOEVENTO="Manual",$M585=1),$M585&gt;(ROW(PLE.lastrow)-ROW(PLE.firstrow))),0,IF(OFFSET(PLE!$G$14,$M585,BZ$13)="",10^12,OFFSET(PLE!$G$14,$M585,BZ$13))))</f>
        <v>1000000000000</v>
      </c>
      <c r="CA585" s="182">
        <f ca="1">IF($D585&lt;&gt;"Serviço",0,IF(OR(AND(AUTOEVENTO="Manual",$M585=1),$M585&gt;(ROW(PLE.lastrow)-ROW(PLE.firstrow))),0,IF(OFFSET(PLE!$G$14,$M585,CA$13)="",10^12,OFFSET(PLE!$G$14,$M585,CA$13))))</f>
        <v>1000000000000</v>
      </c>
      <c r="CB585" s="182">
        <f ca="1">IF($D585&lt;&gt;"Serviço",0,IF(OR(AND(AUTOEVENTO="Manual",$M585=1),$M585&gt;(ROW(PLE.lastrow)-ROW(PLE.firstrow))),0,IF(OFFSET(PLE!$G$14,$M585,CB$13)="",10^12,OFFSET(PLE!$G$14,$M585,CB$13))))</f>
        <v>1000000000000</v>
      </c>
      <c r="CC585" s="182">
        <f ca="1">IF($D585&lt;&gt;"Serviço",0,IF(OR(AND(AUTOEVENTO="Manual",$M585=1),$M585&gt;(ROW(PLE.lastrow)-ROW(PLE.firstrow))),0,IF(OFFSET(PLE!$G$14,$M585,CC$13)="",10^12,OFFSET(PLE!$G$14,$M585,CC$13))))</f>
        <v>1000000000000</v>
      </c>
      <c r="CD585" s="182">
        <f ca="1">IF($D585&lt;&gt;"Serviço",0,IF(OR(AND(AUTOEVENTO="Manual",$M585=1),$M585&gt;(ROW(PLE.lastrow)-ROW(PLE.firstrow))),0,IF(OFFSET(PLE!$G$14,$M585,CD$13)="",10^12,OFFSET(PLE!$G$14,$M585,CD$13))))</f>
        <v>1000000000000</v>
      </c>
      <c r="CE585" s="182">
        <f ca="1">IF($D585&lt;&gt;"Serviço",0,IF(OR(AND(AUTOEVENTO="Manual",$M585=1),$M585&gt;(ROW(PLE.lastrow)-ROW(PLE.firstrow))),0,IF(OFFSET(PLE!$G$14,$M585,CE$13)="",10^12,OFFSET(PLE!$G$14,$M585,CE$13))))</f>
        <v>1000000000000</v>
      </c>
      <c r="CF585" s="182">
        <f ca="1">IF($D585&lt;&gt;"Serviço",0,IF(OR(AND(AUTOEVENTO="Manual",$M585=1),$M585&gt;(ROW(PLE.lastrow)-ROW(PLE.firstrow))),0,IF(OFFSET(PLE!$G$14,$M585,CF$13)="",10^12,OFFSET(PLE!$G$14,$M585,CF$13))))</f>
        <v>1000000000000</v>
      </c>
      <c r="CG585" s="182">
        <f ca="1">IF($D585&lt;&gt;"Serviço",0,IF(OR(AND(AUTOEVENTO="Manual",$M585=1),$M585&gt;(ROW(PLE.lastrow)-ROW(PLE.firstrow))),0,IF(OFFSET(PLE!$G$14,$M585,CG$13)="",10^12,OFFSET(PLE!$G$14,$M585,CG$13))))</f>
        <v>1000000000000</v>
      </c>
      <c r="CH585" s="182">
        <f ca="1">IF($D585&lt;&gt;"Serviço",0,IF(OR(AND(AUTOEVENTO="Manual",$M585=1),$M585&gt;(ROW(PLE.lastrow)-ROW(PLE.firstrow))),0,IF(OFFSET(PLE!$G$14,$M585,CH$13)="",10^12,OFFSET(PLE!$G$14,$M585,CH$13))))</f>
        <v>1000000000000</v>
      </c>
      <c r="CI585" s="182">
        <f ca="1">IF($D585&lt;&gt;"Serviço",0,IF(OR(AND(AUTOEVENTO="Manual",$M585=1),$M585&gt;(ROW(PLE.lastrow)-ROW(PLE.firstrow))),0,IF(OFFSET(PLE!$G$14,$M585,CI$13)="",10^12,OFFSET(PLE!$G$14,$M585,CI$13))))</f>
        <v>1000000000000</v>
      </c>
      <c r="CJ585" s="182">
        <f ca="1">IF($D585&lt;&gt;"Serviço",0,IF(OR(AND(AUTOEVENTO="Manual",$M585=1),$M585&gt;(ROW(PLE.lastrow)-ROW(PLE.firstrow))),0,IF(OFFSET(PLE!$G$14,$M585,CJ$13)="",10^12,OFFSET(PLE!$G$14,$M585,CJ$13))))</f>
        <v>1000000000000</v>
      </c>
      <c r="CK585" s="182">
        <f ca="1">IF($D585&lt;&gt;"Serviço",0,IF(OR(AND(AUTOEVENTO="Manual",$M585=1),$M585&gt;(ROW(PLE.lastrow)-ROW(PLE.firstrow))),0,IF(OFFSET(PLE!$G$14,$M585,CK$13)="",10^12,OFFSET(PLE!$G$14,$M585,CK$13))))</f>
        <v>1000000000000</v>
      </c>
      <c r="CL585" s="182">
        <f ca="1">IF($D585&lt;&gt;"Serviço",0,IF(OR(AND(AUTOEVENTO="Manual",$M585=1),$M585&gt;(ROW(PLE.lastrow)-ROW(PLE.firstrow))),0,IF(OFFSET(PLE!$G$14,$M585,CL$13)="",10^12,OFFSET(PLE!$G$14,$M585,CL$13))))</f>
        <v>1000000000000</v>
      </c>
      <c r="CM585" s="182">
        <f ca="1">IF($D585&lt;&gt;"Serviço",0,IF(OR(AND(AUTOEVENTO="Manual",$M585=1),$M585&gt;(ROW(PLE.lastrow)-ROW(PLE.firstrow))),0,IF(OFFSET(PLE!$G$14,$M585,CM$13)="",10^12,OFFSET(PLE!$G$14,$M585,CM$13))))</f>
        <v>1000000000000</v>
      </c>
    </row>
    <row r="586" spans="1:91" ht="38.25" x14ac:dyDescent="0.2">
      <c r="A586" s="7" t="str">
        <f t="shared" ca="1" si="17"/>
        <v>565</v>
      </c>
      <c r="B586" s="7" t="str">
        <f ca="1">OFFSET(ORÇAMENTO!C$15,ROW(B586)-ROW(B$15),0)</f>
        <v>S</v>
      </c>
      <c r="C586" s="7" t="str">
        <f ca="1">OFFSET(ORÇAMENTO!L$15,ROW(C586)-ROW(C$15),0)</f>
        <v/>
      </c>
      <c r="D586" s="118" t="str">
        <f ca="1">OFFSET(ORÇAMENTO!N$15,ROW(D586)-ROW(D$15),0)</f>
        <v>Serviço</v>
      </c>
      <c r="E586" s="119" t="str">
        <f ca="1">OFFSET(ORÇAMENTO!O$15,ROW(E586)-ROW(E$15),0)</f>
        <v>-</v>
      </c>
      <c r="F586" s="172" t="str">
        <f ca="1">OFFSET(ORÇAMENTO!R$15,ROW(F586)-ROW(F$15),0)</f>
        <v>(abra o arquivo 'Referência 06-2024.xlsm)</v>
      </c>
      <c r="G586" s="173" t="str">
        <f ca="1">IF($D586&lt;&gt;"Serviço","",OFFSET(ORÇAMENTO!S$15,ROW(G586)-ROW(G$15),0))</f>
        <v>-</v>
      </c>
      <c r="H586" s="124">
        <f ca="1">IF($D586&lt;&gt;"Serviço",0,IF(ACOMPANHAMENTO="BM",ROUND(OFFSET(ORÇAMENTO!AJ$15,ROW(H586)-ROW(H$15),0),15-13*ORÇAMENTO!$AF$7),SUMPRODUCT(($Q$12:$AI$12&lt;&gt;"")*ROUND($Q586:$AI586,15-13*ORÇAMENTO!$AF$7))))</f>
        <v>6</v>
      </c>
      <c r="I586" s="561" t="s">
        <v>1107</v>
      </c>
      <c r="K586" s="174"/>
      <c r="L586" s="175" t="s">
        <v>255</v>
      </c>
      <c r="M586" s="176">
        <f ca="1">IF($D586&lt;&gt;"Serviço","",IF(AUTOEVENTO="manual",$A586,IF(ISERROR(MATCH($A586,$A$15:OFFSET($A586,-1,0),0)),MAX($M$15:OFFSET(M586,-1,0))+1,INDEX($M$15:OFFSET(M586,-1,0),MATCH($A586,$A$15:OFFSET($A586,-1,0),0)))))</f>
        <v>59</v>
      </c>
      <c r="N586" s="177" t="str">
        <f ca="1">IF($D586&lt;&gt;"Serviço","",IF(AUTOEVENTO="Manual",IF($A586=0,"&lt;-- defina o número do agrupador",OFFSET(EVENTOS!$D$14,$A586,0)),OFFSET($F$15,$A586,0)))</f>
        <v>INSTALAÇÃO ELÉTRICA 110V - ELETRODUTOS</v>
      </c>
      <c r="O586" s="178"/>
      <c r="Q586" s="178">
        <v>6</v>
      </c>
      <c r="R586" s="179"/>
      <c r="S586" s="179"/>
      <c r="T586" s="179"/>
      <c r="U586" s="179"/>
      <c r="V586" s="179"/>
      <c r="W586" s="179"/>
      <c r="X586" s="179"/>
      <c r="Y586" s="179"/>
      <c r="Z586" s="180"/>
      <c r="AA586" s="179"/>
      <c r="AB586" s="179"/>
      <c r="AC586" s="179"/>
      <c r="AD586" s="179"/>
      <c r="AE586" s="179"/>
      <c r="AF586" s="179"/>
      <c r="AG586" s="179"/>
      <c r="AH586" s="180"/>
      <c r="AJ586" s="544">
        <f ca="1">IF(AND($D586="Serviço",AJ$12&lt;&gt;0,$H586&gt;0,OR(AUTOEVENTO&lt;&gt;"manual",$M586&lt;&gt;1)),
IF(Import.TipoArredondamento&lt;&gt;"TransfereGOV",
ROUND(OFFSET($P586,0,AJ$13),15-13*ORÇAMENTO!$AF$7)/$H586*OFFSET(ORÇAMENTO!$X$15,ROW(AJ586)-ROW(AJ$15),0),
ROUND(ROUND(OFFSET($P586,0,AJ$13),15-13*ORÇAMENTO!$AF$7)*OFFSET(ORÇAMENTO!$W$15,ROW(AJ586)-ROW(AJ$15),0),15-13*ORÇAMENTO!$AF$11)),0)</f>
        <v>0</v>
      </c>
      <c r="AK586" s="545">
        <f ca="1">IF(AND($D586="Serviço",AK$12&lt;&gt;0,$H586&gt;0,OR(AUTOEVENTO&lt;&gt;"manual",$M586&lt;&gt;1)),
IF(Import.TipoArredondamento&lt;&gt;"TransfereGOV",
ROUND(OFFSET($P586,0,AK$13),15-13*ORÇAMENTO!$AF$7)/$H586*OFFSET(ORÇAMENTO!$X$15,ROW(AK586)-ROW(AK$15),0),
ROUND(ROUND(OFFSET($P586,0,AK$13),15-13*ORÇAMENTO!$AF$7)*OFFSET(ORÇAMENTO!$W$15,ROW(AK586)-ROW(AK$15),0),15-13*ORÇAMENTO!$AF$11)),0)</f>
        <v>0</v>
      </c>
      <c r="AL586" s="545">
        <f ca="1">IF(AND($D586="Serviço",AL$12&lt;&gt;0,$H586&gt;0,OR(AUTOEVENTO&lt;&gt;"manual",$M586&lt;&gt;1)),
IF(Import.TipoArredondamento&lt;&gt;"TransfereGOV",
ROUND(OFFSET($P586,0,AL$13),15-13*ORÇAMENTO!$AF$7)/$H586*OFFSET(ORÇAMENTO!$X$15,ROW(AL586)-ROW(AL$15),0),
ROUND(ROUND(OFFSET($P586,0,AL$13),15-13*ORÇAMENTO!$AF$7)*OFFSET(ORÇAMENTO!$W$15,ROW(AL586)-ROW(AL$15),0),15-13*ORÇAMENTO!$AF$11)),0)</f>
        <v>0</v>
      </c>
      <c r="AM586" s="545">
        <f ca="1">IF(AND($D586="Serviço",AM$12&lt;&gt;0,$H586&gt;0,OR(AUTOEVENTO&lt;&gt;"manual",$M586&lt;&gt;1)),
IF(Import.TipoArredondamento&lt;&gt;"TransfereGOV",
ROUND(OFFSET($P586,0,AM$13),15-13*ORÇAMENTO!$AF$7)/$H586*OFFSET(ORÇAMENTO!$X$15,ROW(AM586)-ROW(AM$15),0),
ROUND(ROUND(OFFSET($P586,0,AM$13),15-13*ORÇAMENTO!$AF$7)*OFFSET(ORÇAMENTO!$W$15,ROW(AM586)-ROW(AM$15),0),15-13*ORÇAMENTO!$AF$11)),0)</f>
        <v>0</v>
      </c>
      <c r="AN586" s="545">
        <f ca="1">IF(AND($D586="Serviço",AN$12&lt;&gt;0,$H586&gt;0,OR(AUTOEVENTO&lt;&gt;"manual",$M586&lt;&gt;1)),
IF(Import.TipoArredondamento&lt;&gt;"TransfereGOV",
ROUND(OFFSET($P586,0,AN$13),15-13*ORÇAMENTO!$AF$7)/$H586*OFFSET(ORÇAMENTO!$X$15,ROW(AN586)-ROW(AN$15),0),
ROUND(ROUND(OFFSET($P586,0,AN$13),15-13*ORÇAMENTO!$AF$7)*OFFSET(ORÇAMENTO!$W$15,ROW(AN586)-ROW(AN$15),0),15-13*ORÇAMENTO!$AF$11)),0)</f>
        <v>0</v>
      </c>
      <c r="AO586" s="545">
        <f ca="1">IF(AND($D586="Serviço",AO$12&lt;&gt;0,$H586&gt;0,OR(AUTOEVENTO&lt;&gt;"manual",$M586&lt;&gt;1)),
IF(Import.TipoArredondamento&lt;&gt;"TransfereGOV",
ROUND(OFFSET($P586,0,AO$13),15-13*ORÇAMENTO!$AF$7)/$H586*OFFSET(ORÇAMENTO!$X$15,ROW(AO586)-ROW(AO$15),0),
ROUND(ROUND(OFFSET($P586,0,AO$13),15-13*ORÇAMENTO!$AF$7)*OFFSET(ORÇAMENTO!$W$15,ROW(AO586)-ROW(AO$15),0),15-13*ORÇAMENTO!$AF$11)),0)</f>
        <v>0</v>
      </c>
      <c r="AP586" s="545">
        <f ca="1">IF(AND($D586="Serviço",AP$12&lt;&gt;0,$H586&gt;0,OR(AUTOEVENTO&lt;&gt;"manual",$M586&lt;&gt;1)),
IF(Import.TipoArredondamento&lt;&gt;"TransfereGOV",
ROUND(OFFSET($P586,0,AP$13),15-13*ORÇAMENTO!$AF$7)/$H586*OFFSET(ORÇAMENTO!$X$15,ROW(AP586)-ROW(AP$15),0),
ROUND(ROUND(OFFSET($P586,0,AP$13),15-13*ORÇAMENTO!$AF$7)*OFFSET(ORÇAMENTO!$W$15,ROW(AP586)-ROW(AP$15),0),15-13*ORÇAMENTO!$AF$11)),0)</f>
        <v>0</v>
      </c>
      <c r="AQ586" s="545">
        <f ca="1">IF(AND($D586="Serviço",AQ$12&lt;&gt;0,$H586&gt;0,OR(AUTOEVENTO&lt;&gt;"manual",$M586&lt;&gt;1)),
IF(Import.TipoArredondamento&lt;&gt;"TransfereGOV",
ROUND(OFFSET($P586,0,AQ$13),15-13*ORÇAMENTO!$AF$7)/$H586*OFFSET(ORÇAMENTO!$X$15,ROW(AQ586)-ROW(AQ$15),0),
ROUND(ROUND(OFFSET($P586,0,AQ$13),15-13*ORÇAMENTO!$AF$7)*OFFSET(ORÇAMENTO!$W$15,ROW(AQ586)-ROW(AQ$15),0),15-13*ORÇAMENTO!$AF$11)),0)</f>
        <v>0</v>
      </c>
      <c r="AR586" s="545">
        <f ca="1">IF(AND($D586="Serviço",AR$12&lt;&gt;0,$H586&gt;0,OR(AUTOEVENTO&lt;&gt;"manual",$M586&lt;&gt;1)),
IF(Import.TipoArredondamento&lt;&gt;"TransfereGOV",
ROUND(OFFSET($P586,0,AR$13),15-13*ORÇAMENTO!$AF$7)/$H586*OFFSET(ORÇAMENTO!$X$15,ROW(AR586)-ROW(AR$15),0),
ROUND(ROUND(OFFSET($P586,0,AR$13),15-13*ORÇAMENTO!$AF$7)*OFFSET(ORÇAMENTO!$W$15,ROW(AR586)-ROW(AR$15),0),15-13*ORÇAMENTO!$AF$11)),0)</f>
        <v>0</v>
      </c>
      <c r="AS586" s="546">
        <f ca="1">IF(AND($D586="Serviço",AS$12&lt;&gt;0,$H586&gt;0,OR(AUTOEVENTO&lt;&gt;"manual",$M586&lt;&gt;1)),
IF(Import.TipoArredondamento&lt;&gt;"TransfereGOV",
ROUND(OFFSET($P586,0,AS$13),15-13*ORÇAMENTO!$AF$7)/$H586*OFFSET(ORÇAMENTO!$X$15,ROW(AS586)-ROW(AS$15),0),
ROUND(ROUND(OFFSET($P586,0,AS$13),15-13*ORÇAMENTO!$AF$7)*OFFSET(ORÇAMENTO!$W$15,ROW(AS586)-ROW(AS$15),0),15-13*ORÇAMENTO!$AF$11)),0)</f>
        <v>0</v>
      </c>
      <c r="AT586" s="545">
        <f ca="1">IF(AND($D586="Serviço",AT$12&lt;&gt;0,$H586&gt;0,OR(AUTOEVENTO&lt;&gt;"manual",$M586&lt;&gt;1)),
IF(Import.TipoArredondamento&lt;&gt;"TransfereGOV",
ROUND(OFFSET($P586,0,AT$13),15-13*ORÇAMENTO!$AF$7)/$H586*OFFSET(ORÇAMENTO!$X$15,ROW(AT586)-ROW(AT$15),0),
ROUND(ROUND(OFFSET($P586,0,AT$13),15-13*ORÇAMENTO!$AF$7)*OFFSET(ORÇAMENTO!$W$15,ROW(AT586)-ROW(AT$15),0),15-13*ORÇAMENTO!$AF$11)),0)</f>
        <v>0</v>
      </c>
      <c r="AU586" s="545">
        <f ca="1">IF(AND($D586="Serviço",AU$12&lt;&gt;0,$H586&gt;0,OR(AUTOEVENTO&lt;&gt;"manual",$M586&lt;&gt;1)),
IF(Import.TipoArredondamento&lt;&gt;"TransfereGOV",
ROUND(OFFSET($P586,0,AU$13),15-13*ORÇAMENTO!$AF$7)/$H586*OFFSET(ORÇAMENTO!$X$15,ROW(AU586)-ROW(AU$15),0),
ROUND(ROUND(OFFSET($P586,0,AU$13),15-13*ORÇAMENTO!$AF$7)*OFFSET(ORÇAMENTO!$W$15,ROW(AU586)-ROW(AU$15),0),15-13*ORÇAMENTO!$AF$11)),0)</f>
        <v>0</v>
      </c>
      <c r="AV586" s="545">
        <f ca="1">IF(AND($D586="Serviço",AV$12&lt;&gt;0,$H586&gt;0,OR(AUTOEVENTO&lt;&gt;"manual",$M586&lt;&gt;1)),
IF(Import.TipoArredondamento&lt;&gt;"TransfereGOV",
ROUND(OFFSET($P586,0,AV$13),15-13*ORÇAMENTO!$AF$7)/$H586*OFFSET(ORÇAMENTO!$X$15,ROW(AV586)-ROW(AV$15),0),
ROUND(ROUND(OFFSET($P586,0,AV$13),15-13*ORÇAMENTO!$AF$7)*OFFSET(ORÇAMENTO!$W$15,ROW(AV586)-ROW(AV$15),0),15-13*ORÇAMENTO!$AF$11)),0)</f>
        <v>0</v>
      </c>
      <c r="AW586" s="545">
        <f ca="1">IF(AND($D586="Serviço",AW$12&lt;&gt;0,$H586&gt;0,OR(AUTOEVENTO&lt;&gt;"manual",$M586&lt;&gt;1)),
IF(Import.TipoArredondamento&lt;&gt;"TransfereGOV",
ROUND(OFFSET($P586,0,AW$13),15-13*ORÇAMENTO!$AF$7)/$H586*OFFSET(ORÇAMENTO!$X$15,ROW(AW586)-ROW(AW$15),0),
ROUND(ROUND(OFFSET($P586,0,AW$13),15-13*ORÇAMENTO!$AF$7)*OFFSET(ORÇAMENTO!$W$15,ROW(AW586)-ROW(AW$15),0),15-13*ORÇAMENTO!$AF$11)),0)</f>
        <v>0</v>
      </c>
      <c r="AX586" s="545">
        <f ca="1">IF(AND($D586="Serviço",AX$12&lt;&gt;0,$H586&gt;0,OR(AUTOEVENTO&lt;&gt;"manual",$M586&lt;&gt;1)),
IF(Import.TipoArredondamento&lt;&gt;"TransfereGOV",
ROUND(OFFSET($P586,0,AX$13),15-13*ORÇAMENTO!$AF$7)/$H586*OFFSET(ORÇAMENTO!$X$15,ROW(AX586)-ROW(AX$15),0),
ROUND(ROUND(OFFSET($P586,0,AX$13),15-13*ORÇAMENTO!$AF$7)*OFFSET(ORÇAMENTO!$W$15,ROW(AX586)-ROW(AX$15),0),15-13*ORÇAMENTO!$AF$11)),0)</f>
        <v>0</v>
      </c>
      <c r="AY586" s="545">
        <f ca="1">IF(AND($D586="Serviço",AY$12&lt;&gt;0,$H586&gt;0,OR(AUTOEVENTO&lt;&gt;"manual",$M586&lt;&gt;1)),
IF(Import.TipoArredondamento&lt;&gt;"TransfereGOV",
ROUND(OFFSET($P586,0,AY$13),15-13*ORÇAMENTO!$AF$7)/$H586*OFFSET(ORÇAMENTO!$X$15,ROW(AY586)-ROW(AY$15),0),
ROUND(ROUND(OFFSET($P586,0,AY$13),15-13*ORÇAMENTO!$AF$7)*OFFSET(ORÇAMENTO!$W$15,ROW(AY586)-ROW(AY$15),0),15-13*ORÇAMENTO!$AF$11)),0)</f>
        <v>0</v>
      </c>
      <c r="AZ586" s="545">
        <f ca="1">IF(AND($D586="Serviço",AZ$12&lt;&gt;0,$H586&gt;0,OR(AUTOEVENTO&lt;&gt;"manual",$M586&lt;&gt;1)),
IF(Import.TipoArredondamento&lt;&gt;"TransfereGOV",
ROUND(OFFSET($P586,0,AZ$13),15-13*ORÇAMENTO!$AF$7)/$H586*OFFSET(ORÇAMENTO!$X$15,ROW(AZ586)-ROW(AZ$15),0),
ROUND(ROUND(OFFSET($P586,0,AZ$13),15-13*ORÇAMENTO!$AF$7)*OFFSET(ORÇAMENTO!$W$15,ROW(AZ586)-ROW(AZ$15),0),15-13*ORÇAMENTO!$AF$11)),0)</f>
        <v>0</v>
      </c>
      <c r="BA586" s="546">
        <f ca="1">IF(AND($D586="Serviço",BA$12&lt;&gt;0,$H586&gt;0,OR(AUTOEVENTO&lt;&gt;"manual",$M586&lt;&gt;1)),
IF(Import.TipoArredondamento&lt;&gt;"TransfereGOV",
ROUND(OFFSET($P586,0,BA$13),15-13*ORÇAMENTO!$AF$7)/$H586*OFFSET(ORÇAMENTO!$X$15,ROW(BA586)-ROW(BA$15),0),
ROUND(ROUND(OFFSET($P586,0,BA$13),15-13*ORÇAMENTO!$AF$7)*OFFSET(ORÇAMENTO!$W$15,ROW(BA586)-ROW(BA$15),0),15-13*ORÇAMENTO!$AF$11)),0)</f>
        <v>0</v>
      </c>
      <c r="BC586" s="181">
        <f ca="1">IF($D586&lt;&gt;"Serviço",0,IF(AND(AUTOEVENTO="Manual",$M586=1),0,IF(OFFSET(CRONOPLE!$F$14,$M586,BC$13)="",10^12,OFFSET(CRONOPLE!$F$14,$M586,BC$13))))</f>
        <v>11</v>
      </c>
      <c r="BD586" s="181">
        <f ca="1">IF($D586&lt;&gt;"Serviço",0,IF(AND(AUTOEVENTO="Manual",$M586=1),0,IF(OFFSET(CRONOPLE!$F$14,$M586,BD$13)="",10^12,OFFSET(CRONOPLE!$F$14,$M586,BD$13))))</f>
        <v>1000000000000</v>
      </c>
      <c r="BE586" s="181">
        <f ca="1">IF($D586&lt;&gt;"Serviço",0,IF(AND(AUTOEVENTO="Manual",$M586=1),0,IF(OFFSET(CRONOPLE!$F$14,$M586,BE$13)="",10^12,OFFSET(CRONOPLE!$F$14,$M586,BE$13))))</f>
        <v>1000000000000</v>
      </c>
      <c r="BF586" s="181">
        <f ca="1">IF($D586&lt;&gt;"Serviço",0,IF(AND(AUTOEVENTO="Manual",$M586=1),0,IF(OFFSET(CRONOPLE!$F$14,$M586,BF$13)="",10^12,OFFSET(CRONOPLE!$F$14,$M586,BF$13))))</f>
        <v>1000000000000</v>
      </c>
      <c r="BG586" s="181">
        <f ca="1">IF($D586&lt;&gt;"Serviço",0,IF(AND(AUTOEVENTO="Manual",$M586=1),0,IF(OFFSET(CRONOPLE!$F$14,$M586,BG$13)="",10^12,OFFSET(CRONOPLE!$F$14,$M586,BG$13))))</f>
        <v>1000000000000</v>
      </c>
      <c r="BH586" s="181">
        <f ca="1">IF($D586&lt;&gt;"Serviço",0,IF(AND(AUTOEVENTO="Manual",$M586=1),0,IF(OFFSET(CRONOPLE!$F$14,$M586,BH$13)="",10^12,OFFSET(CRONOPLE!$F$14,$M586,BH$13))))</f>
        <v>1000000000000</v>
      </c>
      <c r="BI586" s="181">
        <f ca="1">IF($D586&lt;&gt;"Serviço",0,IF(AND(AUTOEVENTO="Manual",$M586=1),0,IF(OFFSET(CRONOPLE!$F$14,$M586,BI$13)="",10^12,OFFSET(CRONOPLE!$F$14,$M586,BI$13))))</f>
        <v>1000000000000</v>
      </c>
      <c r="BJ586" s="181">
        <f ca="1">IF($D586&lt;&gt;"Serviço",0,IF(AND(AUTOEVENTO="Manual",$M586=1),0,IF(OFFSET(CRONOPLE!$F$14,$M586,BJ$13)="",10^12,OFFSET(CRONOPLE!$F$14,$M586,BJ$13))))</f>
        <v>1000000000000</v>
      </c>
      <c r="BK586" s="181">
        <f ca="1">IF($D586&lt;&gt;"Serviço",0,IF(AND(AUTOEVENTO="Manual",$M586=1),0,IF(OFFSET(CRONOPLE!$F$14,$M586,BK$13)="",10^12,OFFSET(CRONOPLE!$F$14,$M586,BK$13))))</f>
        <v>1000000000000</v>
      </c>
      <c r="BL586" s="181">
        <f ca="1">IF($D586&lt;&gt;"Serviço",0,IF(AND(AUTOEVENTO="Manual",$M586=1),0,IF(OFFSET(CRONOPLE!$F$14,$M586,BL$13)="",10^12,OFFSET(CRONOPLE!$F$14,$M586,BL$13))))</f>
        <v>1000000000000</v>
      </c>
      <c r="BM586" s="181">
        <f ca="1">IF($D586&lt;&gt;"Serviço",0,IF(AND(AUTOEVENTO="Manual",$M586=1),0,IF(OFFSET(CRONOPLE!$F$14,$M586,BM$13)="",10^12,OFFSET(CRONOPLE!$F$14,$M586,BM$13))))</f>
        <v>1000000000000</v>
      </c>
      <c r="BN586" s="181">
        <f ca="1">IF($D586&lt;&gt;"Serviço",0,IF(AND(AUTOEVENTO="Manual",$M586=1),0,IF(OFFSET(CRONOPLE!$F$14,$M586,BN$13)="",10^12,OFFSET(CRONOPLE!$F$14,$M586,BN$13))))</f>
        <v>1000000000000</v>
      </c>
      <c r="BO586" s="181">
        <f ca="1">IF($D586&lt;&gt;"Serviço",0,IF(AND(AUTOEVENTO="Manual",$M586=1),0,IF(OFFSET(CRONOPLE!$F$14,$M586,BO$13)="",10^12,OFFSET(CRONOPLE!$F$14,$M586,BO$13))))</f>
        <v>1000000000000</v>
      </c>
      <c r="BP586" s="181">
        <f ca="1">IF($D586&lt;&gt;"Serviço",0,IF(AND(AUTOEVENTO="Manual",$M586=1),0,IF(OFFSET(CRONOPLE!$F$14,$M586,BP$13)="",10^12,OFFSET(CRONOPLE!$F$14,$M586,BP$13))))</f>
        <v>1000000000000</v>
      </c>
      <c r="BQ586" s="181">
        <f ca="1">IF($D586&lt;&gt;"Serviço",0,IF(AND(AUTOEVENTO="Manual",$M586=1),0,IF(OFFSET(CRONOPLE!$F$14,$M586,BQ$13)="",10^12,OFFSET(CRONOPLE!$F$14,$M586,BQ$13))))</f>
        <v>1000000000000</v>
      </c>
      <c r="BR586" s="181">
        <f ca="1">IF($D586&lt;&gt;"Serviço",0,IF(AND(AUTOEVENTO="Manual",$M586=1),0,IF(OFFSET(CRONOPLE!$F$14,$M586,BR$13)="",10^12,OFFSET(CRONOPLE!$F$14,$M586,BR$13))))</f>
        <v>1000000000000</v>
      </c>
      <c r="BS586" s="181">
        <f ca="1">IF($D586&lt;&gt;"Serviço",0,IF(AND(AUTOEVENTO="Manual",$M586=1),0,IF(OFFSET(CRONOPLE!$F$14,$M586,BS$13)="",10^12,OFFSET(CRONOPLE!$F$14,$M586,BS$13))))</f>
        <v>1000000000000</v>
      </c>
      <c r="BT586" s="181">
        <f ca="1">IF($D586&lt;&gt;"Serviço",0,IF(AND(AUTOEVENTO="Manual",$M586=1),0,IF(OFFSET(CRONOPLE!$F$14,$M586,BT$13)="",10^12,OFFSET(CRONOPLE!$F$14,$M586,BT$13))))</f>
        <v>1000000000000</v>
      </c>
      <c r="BV586" s="182">
        <f ca="1">IF($D586&lt;&gt;"Serviço",0,IF(OR(AND(AUTOEVENTO="Manual",$M586=1),$M586&gt;(ROW(PLE.lastrow)-ROW(PLE.firstrow))),0,IF(OFFSET(PLE!$G$14,$M586,BV$13)="",10^12,OFFSET(PLE!$G$14,$M586,BV$13))))</f>
        <v>1000000000000</v>
      </c>
      <c r="BW586" s="182">
        <f ca="1">IF($D586&lt;&gt;"Serviço",0,IF(OR(AND(AUTOEVENTO="Manual",$M586=1),$M586&gt;(ROW(PLE.lastrow)-ROW(PLE.firstrow))),0,IF(OFFSET(PLE!$G$14,$M586,BW$13)="",10^12,OFFSET(PLE!$G$14,$M586,BW$13))))</f>
        <v>1000000000000</v>
      </c>
      <c r="BX586" s="182">
        <f ca="1">IF($D586&lt;&gt;"Serviço",0,IF(OR(AND(AUTOEVENTO="Manual",$M586=1),$M586&gt;(ROW(PLE.lastrow)-ROW(PLE.firstrow))),0,IF(OFFSET(PLE!$G$14,$M586,BX$13)="",10^12,OFFSET(PLE!$G$14,$M586,BX$13))))</f>
        <v>1000000000000</v>
      </c>
      <c r="BY586" s="182">
        <f ca="1">IF($D586&lt;&gt;"Serviço",0,IF(OR(AND(AUTOEVENTO="Manual",$M586=1),$M586&gt;(ROW(PLE.lastrow)-ROW(PLE.firstrow))),0,IF(OFFSET(PLE!$G$14,$M586,BY$13)="",10^12,OFFSET(PLE!$G$14,$M586,BY$13))))</f>
        <v>1000000000000</v>
      </c>
      <c r="BZ586" s="182">
        <f ca="1">IF($D586&lt;&gt;"Serviço",0,IF(OR(AND(AUTOEVENTO="Manual",$M586=1),$M586&gt;(ROW(PLE.lastrow)-ROW(PLE.firstrow))),0,IF(OFFSET(PLE!$G$14,$M586,BZ$13)="",10^12,OFFSET(PLE!$G$14,$M586,BZ$13))))</f>
        <v>1000000000000</v>
      </c>
      <c r="CA586" s="182">
        <f ca="1">IF($D586&lt;&gt;"Serviço",0,IF(OR(AND(AUTOEVENTO="Manual",$M586=1),$M586&gt;(ROW(PLE.lastrow)-ROW(PLE.firstrow))),0,IF(OFFSET(PLE!$G$14,$M586,CA$13)="",10^12,OFFSET(PLE!$G$14,$M586,CA$13))))</f>
        <v>1000000000000</v>
      </c>
      <c r="CB586" s="182">
        <f ca="1">IF($D586&lt;&gt;"Serviço",0,IF(OR(AND(AUTOEVENTO="Manual",$M586=1),$M586&gt;(ROW(PLE.lastrow)-ROW(PLE.firstrow))),0,IF(OFFSET(PLE!$G$14,$M586,CB$13)="",10^12,OFFSET(PLE!$G$14,$M586,CB$13))))</f>
        <v>1000000000000</v>
      </c>
      <c r="CC586" s="182">
        <f ca="1">IF($D586&lt;&gt;"Serviço",0,IF(OR(AND(AUTOEVENTO="Manual",$M586=1),$M586&gt;(ROW(PLE.lastrow)-ROW(PLE.firstrow))),0,IF(OFFSET(PLE!$G$14,$M586,CC$13)="",10^12,OFFSET(PLE!$G$14,$M586,CC$13))))</f>
        <v>1000000000000</v>
      </c>
      <c r="CD586" s="182">
        <f ca="1">IF($D586&lt;&gt;"Serviço",0,IF(OR(AND(AUTOEVENTO="Manual",$M586=1),$M586&gt;(ROW(PLE.lastrow)-ROW(PLE.firstrow))),0,IF(OFFSET(PLE!$G$14,$M586,CD$13)="",10^12,OFFSET(PLE!$G$14,$M586,CD$13))))</f>
        <v>1000000000000</v>
      </c>
      <c r="CE586" s="182">
        <f ca="1">IF($D586&lt;&gt;"Serviço",0,IF(OR(AND(AUTOEVENTO="Manual",$M586=1),$M586&gt;(ROW(PLE.lastrow)-ROW(PLE.firstrow))),0,IF(OFFSET(PLE!$G$14,$M586,CE$13)="",10^12,OFFSET(PLE!$G$14,$M586,CE$13))))</f>
        <v>1000000000000</v>
      </c>
      <c r="CF586" s="182">
        <f ca="1">IF($D586&lt;&gt;"Serviço",0,IF(OR(AND(AUTOEVENTO="Manual",$M586=1),$M586&gt;(ROW(PLE.lastrow)-ROW(PLE.firstrow))),0,IF(OFFSET(PLE!$G$14,$M586,CF$13)="",10^12,OFFSET(PLE!$G$14,$M586,CF$13))))</f>
        <v>1000000000000</v>
      </c>
      <c r="CG586" s="182">
        <f ca="1">IF($D586&lt;&gt;"Serviço",0,IF(OR(AND(AUTOEVENTO="Manual",$M586=1),$M586&gt;(ROW(PLE.lastrow)-ROW(PLE.firstrow))),0,IF(OFFSET(PLE!$G$14,$M586,CG$13)="",10^12,OFFSET(PLE!$G$14,$M586,CG$13))))</f>
        <v>1000000000000</v>
      </c>
      <c r="CH586" s="182">
        <f ca="1">IF($D586&lt;&gt;"Serviço",0,IF(OR(AND(AUTOEVENTO="Manual",$M586=1),$M586&gt;(ROW(PLE.lastrow)-ROW(PLE.firstrow))),0,IF(OFFSET(PLE!$G$14,$M586,CH$13)="",10^12,OFFSET(PLE!$G$14,$M586,CH$13))))</f>
        <v>1000000000000</v>
      </c>
      <c r="CI586" s="182">
        <f ca="1">IF($D586&lt;&gt;"Serviço",0,IF(OR(AND(AUTOEVENTO="Manual",$M586=1),$M586&gt;(ROW(PLE.lastrow)-ROW(PLE.firstrow))),0,IF(OFFSET(PLE!$G$14,$M586,CI$13)="",10^12,OFFSET(PLE!$G$14,$M586,CI$13))))</f>
        <v>1000000000000</v>
      </c>
      <c r="CJ586" s="182">
        <f ca="1">IF($D586&lt;&gt;"Serviço",0,IF(OR(AND(AUTOEVENTO="Manual",$M586=1),$M586&gt;(ROW(PLE.lastrow)-ROW(PLE.firstrow))),0,IF(OFFSET(PLE!$G$14,$M586,CJ$13)="",10^12,OFFSET(PLE!$G$14,$M586,CJ$13))))</f>
        <v>1000000000000</v>
      </c>
      <c r="CK586" s="182">
        <f ca="1">IF($D586&lt;&gt;"Serviço",0,IF(OR(AND(AUTOEVENTO="Manual",$M586=1),$M586&gt;(ROW(PLE.lastrow)-ROW(PLE.firstrow))),0,IF(OFFSET(PLE!$G$14,$M586,CK$13)="",10^12,OFFSET(PLE!$G$14,$M586,CK$13))))</f>
        <v>1000000000000</v>
      </c>
      <c r="CL586" s="182">
        <f ca="1">IF($D586&lt;&gt;"Serviço",0,IF(OR(AND(AUTOEVENTO="Manual",$M586=1),$M586&gt;(ROW(PLE.lastrow)-ROW(PLE.firstrow))),0,IF(OFFSET(PLE!$G$14,$M586,CL$13)="",10^12,OFFSET(PLE!$G$14,$M586,CL$13))))</f>
        <v>1000000000000</v>
      </c>
      <c r="CM586" s="182">
        <f ca="1">IF($D586&lt;&gt;"Serviço",0,IF(OR(AND(AUTOEVENTO="Manual",$M586=1),$M586&gt;(ROW(PLE.lastrow)-ROW(PLE.firstrow))),0,IF(OFFSET(PLE!$G$14,$M586,CM$13)="",10^12,OFFSET(PLE!$G$14,$M586,CM$13))))</f>
        <v>1000000000000</v>
      </c>
    </row>
    <row r="587" spans="1:91" ht="38.25" x14ac:dyDescent="0.2">
      <c r="A587" s="7" t="str">
        <f t="shared" ca="1" si="17"/>
        <v>565</v>
      </c>
      <c r="B587" s="7" t="str">
        <f ca="1">OFFSET(ORÇAMENTO!C$15,ROW(B587)-ROW(B$15),0)</f>
        <v>S</v>
      </c>
      <c r="C587" s="7" t="str">
        <f ca="1">OFFSET(ORÇAMENTO!L$15,ROW(C587)-ROW(C$15),0)</f>
        <v/>
      </c>
      <c r="D587" s="118" t="str">
        <f ca="1">OFFSET(ORÇAMENTO!N$15,ROW(D587)-ROW(D$15),0)</f>
        <v>Serviço</v>
      </c>
      <c r="E587" s="119" t="str">
        <f ca="1">OFFSET(ORÇAMENTO!O$15,ROW(E587)-ROW(E$15),0)</f>
        <v>-</v>
      </c>
      <c r="F587" s="172" t="str">
        <f ca="1">OFFSET(ORÇAMENTO!R$15,ROW(F587)-ROW(F$15),0)</f>
        <v>(abra o arquivo 'Referência 06-2024.xlsm)</v>
      </c>
      <c r="G587" s="173" t="str">
        <f ca="1">IF($D587&lt;&gt;"Serviço","",OFFSET(ORÇAMENTO!S$15,ROW(G587)-ROW(G$15),0))</f>
        <v>-</v>
      </c>
      <c r="H587" s="124">
        <f ca="1">IF($D587&lt;&gt;"Serviço",0,IF(ACOMPANHAMENTO="BM",ROUND(OFFSET(ORÇAMENTO!AJ$15,ROW(H587)-ROW(H$15),0),15-13*ORÇAMENTO!$AF$7),SUMPRODUCT(($Q$12:$AI$12&lt;&gt;"")*ROUND($Q587:$AI587,15-13*ORÇAMENTO!$AF$7))))</f>
        <v>6</v>
      </c>
      <c r="I587" s="561" t="s">
        <v>1107</v>
      </c>
      <c r="K587" s="174"/>
      <c r="L587" s="175" t="s">
        <v>255</v>
      </c>
      <c r="M587" s="176">
        <f ca="1">IF($D587&lt;&gt;"Serviço","",IF(AUTOEVENTO="manual",$A587,IF(ISERROR(MATCH($A587,$A$15:OFFSET($A587,-1,0),0)),MAX($M$15:OFFSET(M587,-1,0))+1,INDEX($M$15:OFFSET(M587,-1,0),MATCH($A587,$A$15:OFFSET($A587,-1,0),0)))))</f>
        <v>59</v>
      </c>
      <c r="N587" s="177" t="str">
        <f ca="1">IF($D587&lt;&gt;"Serviço","",IF(AUTOEVENTO="Manual",IF($A587=0,"&lt;-- defina o número do agrupador",OFFSET(EVENTOS!$D$14,$A587,0)),OFFSET($F$15,$A587,0)))</f>
        <v>INSTALAÇÃO ELÉTRICA 110V - ELETRODUTOS</v>
      </c>
      <c r="O587" s="178"/>
      <c r="Q587" s="178">
        <v>6</v>
      </c>
      <c r="R587" s="179"/>
      <c r="S587" s="179"/>
      <c r="T587" s="179"/>
      <c r="U587" s="179"/>
      <c r="V587" s="179"/>
      <c r="W587" s="179"/>
      <c r="X587" s="179"/>
      <c r="Y587" s="179"/>
      <c r="Z587" s="180"/>
      <c r="AA587" s="179"/>
      <c r="AB587" s="179"/>
      <c r="AC587" s="179"/>
      <c r="AD587" s="179"/>
      <c r="AE587" s="179"/>
      <c r="AF587" s="179"/>
      <c r="AG587" s="179"/>
      <c r="AH587" s="180"/>
      <c r="AJ587" s="544">
        <f ca="1">IF(AND($D587="Serviço",AJ$12&lt;&gt;0,$H587&gt;0,OR(AUTOEVENTO&lt;&gt;"manual",$M587&lt;&gt;1)),
IF(Import.TipoArredondamento&lt;&gt;"TransfereGOV",
ROUND(OFFSET($P587,0,AJ$13),15-13*ORÇAMENTO!$AF$7)/$H587*OFFSET(ORÇAMENTO!$X$15,ROW(AJ587)-ROW(AJ$15),0),
ROUND(ROUND(OFFSET($P587,0,AJ$13),15-13*ORÇAMENTO!$AF$7)*OFFSET(ORÇAMENTO!$W$15,ROW(AJ587)-ROW(AJ$15),0),15-13*ORÇAMENTO!$AF$11)),0)</f>
        <v>0</v>
      </c>
      <c r="AK587" s="545">
        <f ca="1">IF(AND($D587="Serviço",AK$12&lt;&gt;0,$H587&gt;0,OR(AUTOEVENTO&lt;&gt;"manual",$M587&lt;&gt;1)),
IF(Import.TipoArredondamento&lt;&gt;"TransfereGOV",
ROUND(OFFSET($P587,0,AK$13),15-13*ORÇAMENTO!$AF$7)/$H587*OFFSET(ORÇAMENTO!$X$15,ROW(AK587)-ROW(AK$15),0),
ROUND(ROUND(OFFSET($P587,0,AK$13),15-13*ORÇAMENTO!$AF$7)*OFFSET(ORÇAMENTO!$W$15,ROW(AK587)-ROW(AK$15),0),15-13*ORÇAMENTO!$AF$11)),0)</f>
        <v>0</v>
      </c>
      <c r="AL587" s="545">
        <f ca="1">IF(AND($D587="Serviço",AL$12&lt;&gt;0,$H587&gt;0,OR(AUTOEVENTO&lt;&gt;"manual",$M587&lt;&gt;1)),
IF(Import.TipoArredondamento&lt;&gt;"TransfereGOV",
ROUND(OFFSET($P587,0,AL$13),15-13*ORÇAMENTO!$AF$7)/$H587*OFFSET(ORÇAMENTO!$X$15,ROW(AL587)-ROW(AL$15),0),
ROUND(ROUND(OFFSET($P587,0,AL$13),15-13*ORÇAMENTO!$AF$7)*OFFSET(ORÇAMENTO!$W$15,ROW(AL587)-ROW(AL$15),0),15-13*ORÇAMENTO!$AF$11)),0)</f>
        <v>0</v>
      </c>
      <c r="AM587" s="545">
        <f ca="1">IF(AND($D587="Serviço",AM$12&lt;&gt;0,$H587&gt;0,OR(AUTOEVENTO&lt;&gt;"manual",$M587&lt;&gt;1)),
IF(Import.TipoArredondamento&lt;&gt;"TransfereGOV",
ROUND(OFFSET($P587,0,AM$13),15-13*ORÇAMENTO!$AF$7)/$H587*OFFSET(ORÇAMENTO!$X$15,ROW(AM587)-ROW(AM$15),0),
ROUND(ROUND(OFFSET($P587,0,AM$13),15-13*ORÇAMENTO!$AF$7)*OFFSET(ORÇAMENTO!$W$15,ROW(AM587)-ROW(AM$15),0),15-13*ORÇAMENTO!$AF$11)),0)</f>
        <v>0</v>
      </c>
      <c r="AN587" s="545">
        <f ca="1">IF(AND($D587="Serviço",AN$12&lt;&gt;0,$H587&gt;0,OR(AUTOEVENTO&lt;&gt;"manual",$M587&lt;&gt;1)),
IF(Import.TipoArredondamento&lt;&gt;"TransfereGOV",
ROUND(OFFSET($P587,0,AN$13),15-13*ORÇAMENTO!$AF$7)/$H587*OFFSET(ORÇAMENTO!$X$15,ROW(AN587)-ROW(AN$15),0),
ROUND(ROUND(OFFSET($P587,0,AN$13),15-13*ORÇAMENTO!$AF$7)*OFFSET(ORÇAMENTO!$W$15,ROW(AN587)-ROW(AN$15),0),15-13*ORÇAMENTO!$AF$11)),0)</f>
        <v>0</v>
      </c>
      <c r="AO587" s="545">
        <f ca="1">IF(AND($D587="Serviço",AO$12&lt;&gt;0,$H587&gt;0,OR(AUTOEVENTO&lt;&gt;"manual",$M587&lt;&gt;1)),
IF(Import.TipoArredondamento&lt;&gt;"TransfereGOV",
ROUND(OFFSET($P587,0,AO$13),15-13*ORÇAMENTO!$AF$7)/$H587*OFFSET(ORÇAMENTO!$X$15,ROW(AO587)-ROW(AO$15),0),
ROUND(ROUND(OFFSET($P587,0,AO$13),15-13*ORÇAMENTO!$AF$7)*OFFSET(ORÇAMENTO!$W$15,ROW(AO587)-ROW(AO$15),0),15-13*ORÇAMENTO!$AF$11)),0)</f>
        <v>0</v>
      </c>
      <c r="AP587" s="545">
        <f ca="1">IF(AND($D587="Serviço",AP$12&lt;&gt;0,$H587&gt;0,OR(AUTOEVENTO&lt;&gt;"manual",$M587&lt;&gt;1)),
IF(Import.TipoArredondamento&lt;&gt;"TransfereGOV",
ROUND(OFFSET($P587,0,AP$13),15-13*ORÇAMENTO!$AF$7)/$H587*OFFSET(ORÇAMENTO!$X$15,ROW(AP587)-ROW(AP$15),0),
ROUND(ROUND(OFFSET($P587,0,AP$13),15-13*ORÇAMENTO!$AF$7)*OFFSET(ORÇAMENTO!$W$15,ROW(AP587)-ROW(AP$15),0),15-13*ORÇAMENTO!$AF$11)),0)</f>
        <v>0</v>
      </c>
      <c r="AQ587" s="545">
        <f ca="1">IF(AND($D587="Serviço",AQ$12&lt;&gt;0,$H587&gt;0,OR(AUTOEVENTO&lt;&gt;"manual",$M587&lt;&gt;1)),
IF(Import.TipoArredondamento&lt;&gt;"TransfereGOV",
ROUND(OFFSET($P587,0,AQ$13),15-13*ORÇAMENTO!$AF$7)/$H587*OFFSET(ORÇAMENTO!$X$15,ROW(AQ587)-ROW(AQ$15),0),
ROUND(ROUND(OFFSET($P587,0,AQ$13),15-13*ORÇAMENTO!$AF$7)*OFFSET(ORÇAMENTO!$W$15,ROW(AQ587)-ROW(AQ$15),0),15-13*ORÇAMENTO!$AF$11)),0)</f>
        <v>0</v>
      </c>
      <c r="AR587" s="545">
        <f ca="1">IF(AND($D587="Serviço",AR$12&lt;&gt;0,$H587&gt;0,OR(AUTOEVENTO&lt;&gt;"manual",$M587&lt;&gt;1)),
IF(Import.TipoArredondamento&lt;&gt;"TransfereGOV",
ROUND(OFFSET($P587,0,AR$13),15-13*ORÇAMENTO!$AF$7)/$H587*OFFSET(ORÇAMENTO!$X$15,ROW(AR587)-ROW(AR$15),0),
ROUND(ROUND(OFFSET($P587,0,AR$13),15-13*ORÇAMENTO!$AF$7)*OFFSET(ORÇAMENTO!$W$15,ROW(AR587)-ROW(AR$15),0),15-13*ORÇAMENTO!$AF$11)),0)</f>
        <v>0</v>
      </c>
      <c r="AS587" s="546">
        <f ca="1">IF(AND($D587="Serviço",AS$12&lt;&gt;0,$H587&gt;0,OR(AUTOEVENTO&lt;&gt;"manual",$M587&lt;&gt;1)),
IF(Import.TipoArredondamento&lt;&gt;"TransfereGOV",
ROUND(OFFSET($P587,0,AS$13),15-13*ORÇAMENTO!$AF$7)/$H587*OFFSET(ORÇAMENTO!$X$15,ROW(AS587)-ROW(AS$15),0),
ROUND(ROUND(OFFSET($P587,0,AS$13),15-13*ORÇAMENTO!$AF$7)*OFFSET(ORÇAMENTO!$W$15,ROW(AS587)-ROW(AS$15),0),15-13*ORÇAMENTO!$AF$11)),0)</f>
        <v>0</v>
      </c>
      <c r="AT587" s="545">
        <f ca="1">IF(AND($D587="Serviço",AT$12&lt;&gt;0,$H587&gt;0,OR(AUTOEVENTO&lt;&gt;"manual",$M587&lt;&gt;1)),
IF(Import.TipoArredondamento&lt;&gt;"TransfereGOV",
ROUND(OFFSET($P587,0,AT$13),15-13*ORÇAMENTO!$AF$7)/$H587*OFFSET(ORÇAMENTO!$X$15,ROW(AT587)-ROW(AT$15),0),
ROUND(ROUND(OFFSET($P587,0,AT$13),15-13*ORÇAMENTO!$AF$7)*OFFSET(ORÇAMENTO!$W$15,ROW(AT587)-ROW(AT$15),0),15-13*ORÇAMENTO!$AF$11)),0)</f>
        <v>0</v>
      </c>
      <c r="AU587" s="545">
        <f ca="1">IF(AND($D587="Serviço",AU$12&lt;&gt;0,$H587&gt;0,OR(AUTOEVENTO&lt;&gt;"manual",$M587&lt;&gt;1)),
IF(Import.TipoArredondamento&lt;&gt;"TransfereGOV",
ROUND(OFFSET($P587,0,AU$13),15-13*ORÇAMENTO!$AF$7)/$H587*OFFSET(ORÇAMENTO!$X$15,ROW(AU587)-ROW(AU$15),0),
ROUND(ROUND(OFFSET($P587,0,AU$13),15-13*ORÇAMENTO!$AF$7)*OFFSET(ORÇAMENTO!$W$15,ROW(AU587)-ROW(AU$15),0),15-13*ORÇAMENTO!$AF$11)),0)</f>
        <v>0</v>
      </c>
      <c r="AV587" s="545">
        <f ca="1">IF(AND($D587="Serviço",AV$12&lt;&gt;0,$H587&gt;0,OR(AUTOEVENTO&lt;&gt;"manual",$M587&lt;&gt;1)),
IF(Import.TipoArredondamento&lt;&gt;"TransfereGOV",
ROUND(OFFSET($P587,0,AV$13),15-13*ORÇAMENTO!$AF$7)/$H587*OFFSET(ORÇAMENTO!$X$15,ROW(AV587)-ROW(AV$15),0),
ROUND(ROUND(OFFSET($P587,0,AV$13),15-13*ORÇAMENTO!$AF$7)*OFFSET(ORÇAMENTO!$W$15,ROW(AV587)-ROW(AV$15),0),15-13*ORÇAMENTO!$AF$11)),0)</f>
        <v>0</v>
      </c>
      <c r="AW587" s="545">
        <f ca="1">IF(AND($D587="Serviço",AW$12&lt;&gt;0,$H587&gt;0,OR(AUTOEVENTO&lt;&gt;"manual",$M587&lt;&gt;1)),
IF(Import.TipoArredondamento&lt;&gt;"TransfereGOV",
ROUND(OFFSET($P587,0,AW$13),15-13*ORÇAMENTO!$AF$7)/$H587*OFFSET(ORÇAMENTO!$X$15,ROW(AW587)-ROW(AW$15),0),
ROUND(ROUND(OFFSET($P587,0,AW$13),15-13*ORÇAMENTO!$AF$7)*OFFSET(ORÇAMENTO!$W$15,ROW(AW587)-ROW(AW$15),0),15-13*ORÇAMENTO!$AF$11)),0)</f>
        <v>0</v>
      </c>
      <c r="AX587" s="545">
        <f ca="1">IF(AND($D587="Serviço",AX$12&lt;&gt;0,$H587&gt;0,OR(AUTOEVENTO&lt;&gt;"manual",$M587&lt;&gt;1)),
IF(Import.TipoArredondamento&lt;&gt;"TransfereGOV",
ROUND(OFFSET($P587,0,AX$13),15-13*ORÇAMENTO!$AF$7)/$H587*OFFSET(ORÇAMENTO!$X$15,ROW(AX587)-ROW(AX$15),0),
ROUND(ROUND(OFFSET($P587,0,AX$13),15-13*ORÇAMENTO!$AF$7)*OFFSET(ORÇAMENTO!$W$15,ROW(AX587)-ROW(AX$15),0),15-13*ORÇAMENTO!$AF$11)),0)</f>
        <v>0</v>
      </c>
      <c r="AY587" s="545">
        <f ca="1">IF(AND($D587="Serviço",AY$12&lt;&gt;0,$H587&gt;0,OR(AUTOEVENTO&lt;&gt;"manual",$M587&lt;&gt;1)),
IF(Import.TipoArredondamento&lt;&gt;"TransfereGOV",
ROUND(OFFSET($P587,0,AY$13),15-13*ORÇAMENTO!$AF$7)/$H587*OFFSET(ORÇAMENTO!$X$15,ROW(AY587)-ROW(AY$15),0),
ROUND(ROUND(OFFSET($P587,0,AY$13),15-13*ORÇAMENTO!$AF$7)*OFFSET(ORÇAMENTO!$W$15,ROW(AY587)-ROW(AY$15),0),15-13*ORÇAMENTO!$AF$11)),0)</f>
        <v>0</v>
      </c>
      <c r="AZ587" s="545">
        <f ca="1">IF(AND($D587="Serviço",AZ$12&lt;&gt;0,$H587&gt;0,OR(AUTOEVENTO&lt;&gt;"manual",$M587&lt;&gt;1)),
IF(Import.TipoArredondamento&lt;&gt;"TransfereGOV",
ROUND(OFFSET($P587,0,AZ$13),15-13*ORÇAMENTO!$AF$7)/$H587*OFFSET(ORÇAMENTO!$X$15,ROW(AZ587)-ROW(AZ$15),0),
ROUND(ROUND(OFFSET($P587,0,AZ$13),15-13*ORÇAMENTO!$AF$7)*OFFSET(ORÇAMENTO!$W$15,ROW(AZ587)-ROW(AZ$15),0),15-13*ORÇAMENTO!$AF$11)),0)</f>
        <v>0</v>
      </c>
      <c r="BA587" s="546">
        <f ca="1">IF(AND($D587="Serviço",BA$12&lt;&gt;0,$H587&gt;0,OR(AUTOEVENTO&lt;&gt;"manual",$M587&lt;&gt;1)),
IF(Import.TipoArredondamento&lt;&gt;"TransfereGOV",
ROUND(OFFSET($P587,0,BA$13),15-13*ORÇAMENTO!$AF$7)/$H587*OFFSET(ORÇAMENTO!$X$15,ROW(BA587)-ROW(BA$15),0),
ROUND(ROUND(OFFSET($P587,0,BA$13),15-13*ORÇAMENTO!$AF$7)*OFFSET(ORÇAMENTO!$W$15,ROW(BA587)-ROW(BA$15),0),15-13*ORÇAMENTO!$AF$11)),0)</f>
        <v>0</v>
      </c>
      <c r="BC587" s="181">
        <f ca="1">IF($D587&lt;&gt;"Serviço",0,IF(AND(AUTOEVENTO="Manual",$M587=1),0,IF(OFFSET(CRONOPLE!$F$14,$M587,BC$13)="",10^12,OFFSET(CRONOPLE!$F$14,$M587,BC$13))))</f>
        <v>11</v>
      </c>
      <c r="BD587" s="181">
        <f ca="1">IF($D587&lt;&gt;"Serviço",0,IF(AND(AUTOEVENTO="Manual",$M587=1),0,IF(OFFSET(CRONOPLE!$F$14,$M587,BD$13)="",10^12,OFFSET(CRONOPLE!$F$14,$M587,BD$13))))</f>
        <v>1000000000000</v>
      </c>
      <c r="BE587" s="181">
        <f ca="1">IF($D587&lt;&gt;"Serviço",0,IF(AND(AUTOEVENTO="Manual",$M587=1),0,IF(OFFSET(CRONOPLE!$F$14,$M587,BE$13)="",10^12,OFFSET(CRONOPLE!$F$14,$M587,BE$13))))</f>
        <v>1000000000000</v>
      </c>
      <c r="BF587" s="181">
        <f ca="1">IF($D587&lt;&gt;"Serviço",0,IF(AND(AUTOEVENTO="Manual",$M587=1),0,IF(OFFSET(CRONOPLE!$F$14,$M587,BF$13)="",10^12,OFFSET(CRONOPLE!$F$14,$M587,BF$13))))</f>
        <v>1000000000000</v>
      </c>
      <c r="BG587" s="181">
        <f ca="1">IF($D587&lt;&gt;"Serviço",0,IF(AND(AUTOEVENTO="Manual",$M587=1),0,IF(OFFSET(CRONOPLE!$F$14,$M587,BG$13)="",10^12,OFFSET(CRONOPLE!$F$14,$M587,BG$13))))</f>
        <v>1000000000000</v>
      </c>
      <c r="BH587" s="181">
        <f ca="1">IF($D587&lt;&gt;"Serviço",0,IF(AND(AUTOEVENTO="Manual",$M587=1),0,IF(OFFSET(CRONOPLE!$F$14,$M587,BH$13)="",10^12,OFFSET(CRONOPLE!$F$14,$M587,BH$13))))</f>
        <v>1000000000000</v>
      </c>
      <c r="BI587" s="181">
        <f ca="1">IF($D587&lt;&gt;"Serviço",0,IF(AND(AUTOEVENTO="Manual",$M587=1),0,IF(OFFSET(CRONOPLE!$F$14,$M587,BI$13)="",10^12,OFFSET(CRONOPLE!$F$14,$M587,BI$13))))</f>
        <v>1000000000000</v>
      </c>
      <c r="BJ587" s="181">
        <f ca="1">IF($D587&lt;&gt;"Serviço",0,IF(AND(AUTOEVENTO="Manual",$M587=1),0,IF(OFFSET(CRONOPLE!$F$14,$M587,BJ$13)="",10^12,OFFSET(CRONOPLE!$F$14,$M587,BJ$13))))</f>
        <v>1000000000000</v>
      </c>
      <c r="BK587" s="181">
        <f ca="1">IF($D587&lt;&gt;"Serviço",0,IF(AND(AUTOEVENTO="Manual",$M587=1),0,IF(OFFSET(CRONOPLE!$F$14,$M587,BK$13)="",10^12,OFFSET(CRONOPLE!$F$14,$M587,BK$13))))</f>
        <v>1000000000000</v>
      </c>
      <c r="BL587" s="181">
        <f ca="1">IF($D587&lt;&gt;"Serviço",0,IF(AND(AUTOEVENTO="Manual",$M587=1),0,IF(OFFSET(CRONOPLE!$F$14,$M587,BL$13)="",10^12,OFFSET(CRONOPLE!$F$14,$M587,BL$13))))</f>
        <v>1000000000000</v>
      </c>
      <c r="BM587" s="181">
        <f ca="1">IF($D587&lt;&gt;"Serviço",0,IF(AND(AUTOEVENTO="Manual",$M587=1),0,IF(OFFSET(CRONOPLE!$F$14,$M587,BM$13)="",10^12,OFFSET(CRONOPLE!$F$14,$M587,BM$13))))</f>
        <v>1000000000000</v>
      </c>
      <c r="BN587" s="181">
        <f ca="1">IF($D587&lt;&gt;"Serviço",0,IF(AND(AUTOEVENTO="Manual",$M587=1),0,IF(OFFSET(CRONOPLE!$F$14,$M587,BN$13)="",10^12,OFFSET(CRONOPLE!$F$14,$M587,BN$13))))</f>
        <v>1000000000000</v>
      </c>
      <c r="BO587" s="181">
        <f ca="1">IF($D587&lt;&gt;"Serviço",0,IF(AND(AUTOEVENTO="Manual",$M587=1),0,IF(OFFSET(CRONOPLE!$F$14,$M587,BO$13)="",10^12,OFFSET(CRONOPLE!$F$14,$M587,BO$13))))</f>
        <v>1000000000000</v>
      </c>
      <c r="BP587" s="181">
        <f ca="1">IF($D587&lt;&gt;"Serviço",0,IF(AND(AUTOEVENTO="Manual",$M587=1),0,IF(OFFSET(CRONOPLE!$F$14,$M587,BP$13)="",10^12,OFFSET(CRONOPLE!$F$14,$M587,BP$13))))</f>
        <v>1000000000000</v>
      </c>
      <c r="BQ587" s="181">
        <f ca="1">IF($D587&lt;&gt;"Serviço",0,IF(AND(AUTOEVENTO="Manual",$M587=1),0,IF(OFFSET(CRONOPLE!$F$14,$M587,BQ$13)="",10^12,OFFSET(CRONOPLE!$F$14,$M587,BQ$13))))</f>
        <v>1000000000000</v>
      </c>
      <c r="BR587" s="181">
        <f ca="1">IF($D587&lt;&gt;"Serviço",0,IF(AND(AUTOEVENTO="Manual",$M587=1),0,IF(OFFSET(CRONOPLE!$F$14,$M587,BR$13)="",10^12,OFFSET(CRONOPLE!$F$14,$M587,BR$13))))</f>
        <v>1000000000000</v>
      </c>
      <c r="BS587" s="181">
        <f ca="1">IF($D587&lt;&gt;"Serviço",0,IF(AND(AUTOEVENTO="Manual",$M587=1),0,IF(OFFSET(CRONOPLE!$F$14,$M587,BS$13)="",10^12,OFFSET(CRONOPLE!$F$14,$M587,BS$13))))</f>
        <v>1000000000000</v>
      </c>
      <c r="BT587" s="181">
        <f ca="1">IF($D587&lt;&gt;"Serviço",0,IF(AND(AUTOEVENTO="Manual",$M587=1),0,IF(OFFSET(CRONOPLE!$F$14,$M587,BT$13)="",10^12,OFFSET(CRONOPLE!$F$14,$M587,BT$13))))</f>
        <v>1000000000000</v>
      </c>
      <c r="BV587" s="182">
        <f ca="1">IF($D587&lt;&gt;"Serviço",0,IF(OR(AND(AUTOEVENTO="Manual",$M587=1),$M587&gt;(ROW(PLE.lastrow)-ROW(PLE.firstrow))),0,IF(OFFSET(PLE!$G$14,$M587,BV$13)="",10^12,OFFSET(PLE!$G$14,$M587,BV$13))))</f>
        <v>1000000000000</v>
      </c>
      <c r="BW587" s="182">
        <f ca="1">IF($D587&lt;&gt;"Serviço",0,IF(OR(AND(AUTOEVENTO="Manual",$M587=1),$M587&gt;(ROW(PLE.lastrow)-ROW(PLE.firstrow))),0,IF(OFFSET(PLE!$G$14,$M587,BW$13)="",10^12,OFFSET(PLE!$G$14,$M587,BW$13))))</f>
        <v>1000000000000</v>
      </c>
      <c r="BX587" s="182">
        <f ca="1">IF($D587&lt;&gt;"Serviço",0,IF(OR(AND(AUTOEVENTO="Manual",$M587=1),$M587&gt;(ROW(PLE.lastrow)-ROW(PLE.firstrow))),0,IF(OFFSET(PLE!$G$14,$M587,BX$13)="",10^12,OFFSET(PLE!$G$14,$M587,BX$13))))</f>
        <v>1000000000000</v>
      </c>
      <c r="BY587" s="182">
        <f ca="1">IF($D587&lt;&gt;"Serviço",0,IF(OR(AND(AUTOEVENTO="Manual",$M587=1),$M587&gt;(ROW(PLE.lastrow)-ROW(PLE.firstrow))),0,IF(OFFSET(PLE!$G$14,$M587,BY$13)="",10^12,OFFSET(PLE!$G$14,$M587,BY$13))))</f>
        <v>1000000000000</v>
      </c>
      <c r="BZ587" s="182">
        <f ca="1">IF($D587&lt;&gt;"Serviço",0,IF(OR(AND(AUTOEVENTO="Manual",$M587=1),$M587&gt;(ROW(PLE.lastrow)-ROW(PLE.firstrow))),0,IF(OFFSET(PLE!$G$14,$M587,BZ$13)="",10^12,OFFSET(PLE!$G$14,$M587,BZ$13))))</f>
        <v>1000000000000</v>
      </c>
      <c r="CA587" s="182">
        <f ca="1">IF($D587&lt;&gt;"Serviço",0,IF(OR(AND(AUTOEVENTO="Manual",$M587=1),$M587&gt;(ROW(PLE.lastrow)-ROW(PLE.firstrow))),0,IF(OFFSET(PLE!$G$14,$M587,CA$13)="",10^12,OFFSET(PLE!$G$14,$M587,CA$13))))</f>
        <v>1000000000000</v>
      </c>
      <c r="CB587" s="182">
        <f ca="1">IF($D587&lt;&gt;"Serviço",0,IF(OR(AND(AUTOEVENTO="Manual",$M587=1),$M587&gt;(ROW(PLE.lastrow)-ROW(PLE.firstrow))),0,IF(OFFSET(PLE!$G$14,$M587,CB$13)="",10^12,OFFSET(PLE!$G$14,$M587,CB$13))))</f>
        <v>1000000000000</v>
      </c>
      <c r="CC587" s="182">
        <f ca="1">IF($D587&lt;&gt;"Serviço",0,IF(OR(AND(AUTOEVENTO="Manual",$M587=1),$M587&gt;(ROW(PLE.lastrow)-ROW(PLE.firstrow))),0,IF(OFFSET(PLE!$G$14,$M587,CC$13)="",10^12,OFFSET(PLE!$G$14,$M587,CC$13))))</f>
        <v>1000000000000</v>
      </c>
      <c r="CD587" s="182">
        <f ca="1">IF($D587&lt;&gt;"Serviço",0,IF(OR(AND(AUTOEVENTO="Manual",$M587=1),$M587&gt;(ROW(PLE.lastrow)-ROW(PLE.firstrow))),0,IF(OFFSET(PLE!$G$14,$M587,CD$13)="",10^12,OFFSET(PLE!$G$14,$M587,CD$13))))</f>
        <v>1000000000000</v>
      </c>
      <c r="CE587" s="182">
        <f ca="1">IF($D587&lt;&gt;"Serviço",0,IF(OR(AND(AUTOEVENTO="Manual",$M587=1),$M587&gt;(ROW(PLE.lastrow)-ROW(PLE.firstrow))),0,IF(OFFSET(PLE!$G$14,$M587,CE$13)="",10^12,OFFSET(PLE!$G$14,$M587,CE$13))))</f>
        <v>1000000000000</v>
      </c>
      <c r="CF587" s="182">
        <f ca="1">IF($D587&lt;&gt;"Serviço",0,IF(OR(AND(AUTOEVENTO="Manual",$M587=1),$M587&gt;(ROW(PLE.lastrow)-ROW(PLE.firstrow))),0,IF(OFFSET(PLE!$G$14,$M587,CF$13)="",10^12,OFFSET(PLE!$G$14,$M587,CF$13))))</f>
        <v>1000000000000</v>
      </c>
      <c r="CG587" s="182">
        <f ca="1">IF($D587&lt;&gt;"Serviço",0,IF(OR(AND(AUTOEVENTO="Manual",$M587=1),$M587&gt;(ROW(PLE.lastrow)-ROW(PLE.firstrow))),0,IF(OFFSET(PLE!$G$14,$M587,CG$13)="",10^12,OFFSET(PLE!$G$14,$M587,CG$13))))</f>
        <v>1000000000000</v>
      </c>
      <c r="CH587" s="182">
        <f ca="1">IF($D587&lt;&gt;"Serviço",0,IF(OR(AND(AUTOEVENTO="Manual",$M587=1),$M587&gt;(ROW(PLE.lastrow)-ROW(PLE.firstrow))),0,IF(OFFSET(PLE!$G$14,$M587,CH$13)="",10^12,OFFSET(PLE!$G$14,$M587,CH$13))))</f>
        <v>1000000000000</v>
      </c>
      <c r="CI587" s="182">
        <f ca="1">IF($D587&lt;&gt;"Serviço",0,IF(OR(AND(AUTOEVENTO="Manual",$M587=1),$M587&gt;(ROW(PLE.lastrow)-ROW(PLE.firstrow))),0,IF(OFFSET(PLE!$G$14,$M587,CI$13)="",10^12,OFFSET(PLE!$G$14,$M587,CI$13))))</f>
        <v>1000000000000</v>
      </c>
      <c r="CJ587" s="182">
        <f ca="1">IF($D587&lt;&gt;"Serviço",0,IF(OR(AND(AUTOEVENTO="Manual",$M587=1),$M587&gt;(ROW(PLE.lastrow)-ROW(PLE.firstrow))),0,IF(OFFSET(PLE!$G$14,$M587,CJ$13)="",10^12,OFFSET(PLE!$G$14,$M587,CJ$13))))</f>
        <v>1000000000000</v>
      </c>
      <c r="CK587" s="182">
        <f ca="1">IF($D587&lt;&gt;"Serviço",0,IF(OR(AND(AUTOEVENTO="Manual",$M587=1),$M587&gt;(ROW(PLE.lastrow)-ROW(PLE.firstrow))),0,IF(OFFSET(PLE!$G$14,$M587,CK$13)="",10^12,OFFSET(PLE!$G$14,$M587,CK$13))))</f>
        <v>1000000000000</v>
      </c>
      <c r="CL587" s="182">
        <f ca="1">IF($D587&lt;&gt;"Serviço",0,IF(OR(AND(AUTOEVENTO="Manual",$M587=1),$M587&gt;(ROW(PLE.lastrow)-ROW(PLE.firstrow))),0,IF(OFFSET(PLE!$G$14,$M587,CL$13)="",10^12,OFFSET(PLE!$G$14,$M587,CL$13))))</f>
        <v>1000000000000</v>
      </c>
      <c r="CM587" s="182">
        <f ca="1">IF($D587&lt;&gt;"Serviço",0,IF(OR(AND(AUTOEVENTO="Manual",$M587=1),$M587&gt;(ROW(PLE.lastrow)-ROW(PLE.firstrow))),0,IF(OFFSET(PLE!$G$14,$M587,CM$13)="",10^12,OFFSET(PLE!$G$14,$M587,CM$13))))</f>
        <v>1000000000000</v>
      </c>
    </row>
    <row r="588" spans="1:91" ht="38.25" x14ac:dyDescent="0.2">
      <c r="A588" s="7" t="str">
        <f t="shared" ref="A588:A643" ca="1" si="18">IF(AUTOEVENTO="Manual",IF(K588&lt;&gt;"",MIN(VALUE(LEFT(K588,FIND(".",K588)-1)),COUNTA(EVENTOS.Lista)),0),IF(OR($B588&gt;AUTOEVENTO,$B588="S",$B588=0),SUBSTITUTE(OFFSET($A588,-1,0),IF($D588="Serviço",".",""),""),ROW(A588)-ROW($A$15)&amp;"."))</f>
        <v>565</v>
      </c>
      <c r="B588" s="7" t="str">
        <f ca="1">OFFSET(ORÇAMENTO!C$15,ROW(B588)-ROW(B$15),0)</f>
        <v>S</v>
      </c>
      <c r="C588" s="7" t="str">
        <f ca="1">OFFSET(ORÇAMENTO!L$15,ROW(C588)-ROW(C$15),0)</f>
        <v/>
      </c>
      <c r="D588" s="118" t="str">
        <f ca="1">OFFSET(ORÇAMENTO!N$15,ROW(D588)-ROW(D$15),0)</f>
        <v>Serviço</v>
      </c>
      <c r="E588" s="119" t="str">
        <f ca="1">OFFSET(ORÇAMENTO!O$15,ROW(E588)-ROW(E$15),0)</f>
        <v>-</v>
      </c>
      <c r="F588" s="172" t="str">
        <f ca="1">OFFSET(ORÇAMENTO!R$15,ROW(F588)-ROW(F$15),0)</f>
        <v>(abra o arquivo 'Referência 06-2024.xlsm)</v>
      </c>
      <c r="G588" s="173" t="str">
        <f ca="1">IF($D588&lt;&gt;"Serviço","",OFFSET(ORÇAMENTO!S$15,ROW(G588)-ROW(G$15),0))</f>
        <v>-</v>
      </c>
      <c r="H588" s="124">
        <f ca="1">IF($D588&lt;&gt;"Serviço",0,IF(ACOMPANHAMENTO="BM",ROUND(OFFSET(ORÇAMENTO!AJ$15,ROW(H588)-ROW(H$15),0),15-13*ORÇAMENTO!$AF$7),SUMPRODUCT(($Q$12:$AI$12&lt;&gt;"")*ROUND($Q588:$AI588,15-13*ORÇAMENTO!$AF$7))))</f>
        <v>2.2999999999999998</v>
      </c>
      <c r="I588" s="561" t="s">
        <v>1107</v>
      </c>
      <c r="K588" s="174"/>
      <c r="L588" s="175" t="s">
        <v>255</v>
      </c>
      <c r="M588" s="176">
        <f ca="1">IF($D588&lt;&gt;"Serviço","",IF(AUTOEVENTO="manual",$A588,IF(ISERROR(MATCH($A588,$A$15:OFFSET($A588,-1,0),0)),MAX($M$15:OFFSET(M588,-1,0))+1,INDEX($M$15:OFFSET(M588,-1,0),MATCH($A588,$A$15:OFFSET($A588,-1,0),0)))))</f>
        <v>59</v>
      </c>
      <c r="N588" s="177" t="str">
        <f ca="1">IF($D588&lt;&gt;"Serviço","",IF(AUTOEVENTO="Manual",IF($A588=0,"&lt;-- defina o número do agrupador",OFFSET(EVENTOS!$D$14,$A588,0)),OFFSET($F$15,$A588,0)))</f>
        <v>INSTALAÇÃO ELÉTRICA 110V - ELETRODUTOS</v>
      </c>
      <c r="O588" s="178"/>
      <c r="Q588" s="178">
        <v>2.2999999999999998</v>
      </c>
      <c r="R588" s="179"/>
      <c r="S588" s="179"/>
      <c r="T588" s="179"/>
      <c r="U588" s="179"/>
      <c r="V588" s="179"/>
      <c r="W588" s="179"/>
      <c r="X588" s="179"/>
      <c r="Y588" s="179"/>
      <c r="Z588" s="180"/>
      <c r="AA588" s="179"/>
      <c r="AB588" s="179"/>
      <c r="AC588" s="179"/>
      <c r="AD588" s="179"/>
      <c r="AE588" s="179"/>
      <c r="AF588" s="179"/>
      <c r="AG588" s="179"/>
      <c r="AH588" s="180"/>
      <c r="AJ588" s="544">
        <f ca="1">IF(AND($D588="Serviço",AJ$12&lt;&gt;0,$H588&gt;0,OR(AUTOEVENTO&lt;&gt;"manual",$M588&lt;&gt;1)),
IF(Import.TipoArredondamento&lt;&gt;"TransfereGOV",
ROUND(OFFSET($P588,0,AJ$13),15-13*ORÇAMENTO!$AF$7)/$H588*OFFSET(ORÇAMENTO!$X$15,ROW(AJ588)-ROW(AJ$15),0),
ROUND(ROUND(OFFSET($P588,0,AJ$13),15-13*ORÇAMENTO!$AF$7)*OFFSET(ORÇAMENTO!$W$15,ROW(AJ588)-ROW(AJ$15),0),15-13*ORÇAMENTO!$AF$11)),0)</f>
        <v>0</v>
      </c>
      <c r="AK588" s="545">
        <f ca="1">IF(AND($D588="Serviço",AK$12&lt;&gt;0,$H588&gt;0,OR(AUTOEVENTO&lt;&gt;"manual",$M588&lt;&gt;1)),
IF(Import.TipoArredondamento&lt;&gt;"TransfereGOV",
ROUND(OFFSET($P588,0,AK$13),15-13*ORÇAMENTO!$AF$7)/$H588*OFFSET(ORÇAMENTO!$X$15,ROW(AK588)-ROW(AK$15),0),
ROUND(ROUND(OFFSET($P588,0,AK$13),15-13*ORÇAMENTO!$AF$7)*OFFSET(ORÇAMENTO!$W$15,ROW(AK588)-ROW(AK$15),0),15-13*ORÇAMENTO!$AF$11)),0)</f>
        <v>0</v>
      </c>
      <c r="AL588" s="545">
        <f ca="1">IF(AND($D588="Serviço",AL$12&lt;&gt;0,$H588&gt;0,OR(AUTOEVENTO&lt;&gt;"manual",$M588&lt;&gt;1)),
IF(Import.TipoArredondamento&lt;&gt;"TransfereGOV",
ROUND(OFFSET($P588,0,AL$13),15-13*ORÇAMENTO!$AF$7)/$H588*OFFSET(ORÇAMENTO!$X$15,ROW(AL588)-ROW(AL$15),0),
ROUND(ROUND(OFFSET($P588,0,AL$13),15-13*ORÇAMENTO!$AF$7)*OFFSET(ORÇAMENTO!$W$15,ROW(AL588)-ROW(AL$15),0),15-13*ORÇAMENTO!$AF$11)),0)</f>
        <v>0</v>
      </c>
      <c r="AM588" s="545">
        <f ca="1">IF(AND($D588="Serviço",AM$12&lt;&gt;0,$H588&gt;0,OR(AUTOEVENTO&lt;&gt;"manual",$M588&lt;&gt;1)),
IF(Import.TipoArredondamento&lt;&gt;"TransfereGOV",
ROUND(OFFSET($P588,0,AM$13),15-13*ORÇAMENTO!$AF$7)/$H588*OFFSET(ORÇAMENTO!$X$15,ROW(AM588)-ROW(AM$15),0),
ROUND(ROUND(OFFSET($P588,0,AM$13),15-13*ORÇAMENTO!$AF$7)*OFFSET(ORÇAMENTO!$W$15,ROW(AM588)-ROW(AM$15),0),15-13*ORÇAMENTO!$AF$11)),0)</f>
        <v>0</v>
      </c>
      <c r="AN588" s="545">
        <f ca="1">IF(AND($D588="Serviço",AN$12&lt;&gt;0,$H588&gt;0,OR(AUTOEVENTO&lt;&gt;"manual",$M588&lt;&gt;1)),
IF(Import.TipoArredondamento&lt;&gt;"TransfereGOV",
ROUND(OFFSET($P588,0,AN$13),15-13*ORÇAMENTO!$AF$7)/$H588*OFFSET(ORÇAMENTO!$X$15,ROW(AN588)-ROW(AN$15),0),
ROUND(ROUND(OFFSET($P588,0,AN$13),15-13*ORÇAMENTO!$AF$7)*OFFSET(ORÇAMENTO!$W$15,ROW(AN588)-ROW(AN$15),0),15-13*ORÇAMENTO!$AF$11)),0)</f>
        <v>0</v>
      </c>
      <c r="AO588" s="545">
        <f ca="1">IF(AND($D588="Serviço",AO$12&lt;&gt;0,$H588&gt;0,OR(AUTOEVENTO&lt;&gt;"manual",$M588&lt;&gt;1)),
IF(Import.TipoArredondamento&lt;&gt;"TransfereGOV",
ROUND(OFFSET($P588,0,AO$13),15-13*ORÇAMENTO!$AF$7)/$H588*OFFSET(ORÇAMENTO!$X$15,ROW(AO588)-ROW(AO$15),0),
ROUND(ROUND(OFFSET($P588,0,AO$13),15-13*ORÇAMENTO!$AF$7)*OFFSET(ORÇAMENTO!$W$15,ROW(AO588)-ROW(AO$15),0),15-13*ORÇAMENTO!$AF$11)),0)</f>
        <v>0</v>
      </c>
      <c r="AP588" s="545">
        <f ca="1">IF(AND($D588="Serviço",AP$12&lt;&gt;0,$H588&gt;0,OR(AUTOEVENTO&lt;&gt;"manual",$M588&lt;&gt;1)),
IF(Import.TipoArredondamento&lt;&gt;"TransfereGOV",
ROUND(OFFSET($P588,0,AP$13),15-13*ORÇAMENTO!$AF$7)/$H588*OFFSET(ORÇAMENTO!$X$15,ROW(AP588)-ROW(AP$15),0),
ROUND(ROUND(OFFSET($P588,0,AP$13),15-13*ORÇAMENTO!$AF$7)*OFFSET(ORÇAMENTO!$W$15,ROW(AP588)-ROW(AP$15),0),15-13*ORÇAMENTO!$AF$11)),0)</f>
        <v>0</v>
      </c>
      <c r="AQ588" s="545">
        <f ca="1">IF(AND($D588="Serviço",AQ$12&lt;&gt;0,$H588&gt;0,OR(AUTOEVENTO&lt;&gt;"manual",$M588&lt;&gt;1)),
IF(Import.TipoArredondamento&lt;&gt;"TransfereGOV",
ROUND(OFFSET($P588,0,AQ$13),15-13*ORÇAMENTO!$AF$7)/$H588*OFFSET(ORÇAMENTO!$X$15,ROW(AQ588)-ROW(AQ$15),0),
ROUND(ROUND(OFFSET($P588,0,AQ$13),15-13*ORÇAMENTO!$AF$7)*OFFSET(ORÇAMENTO!$W$15,ROW(AQ588)-ROW(AQ$15),0),15-13*ORÇAMENTO!$AF$11)),0)</f>
        <v>0</v>
      </c>
      <c r="AR588" s="545">
        <f ca="1">IF(AND($D588="Serviço",AR$12&lt;&gt;0,$H588&gt;0,OR(AUTOEVENTO&lt;&gt;"manual",$M588&lt;&gt;1)),
IF(Import.TipoArredondamento&lt;&gt;"TransfereGOV",
ROUND(OFFSET($P588,0,AR$13),15-13*ORÇAMENTO!$AF$7)/$H588*OFFSET(ORÇAMENTO!$X$15,ROW(AR588)-ROW(AR$15),0),
ROUND(ROUND(OFFSET($P588,0,AR$13),15-13*ORÇAMENTO!$AF$7)*OFFSET(ORÇAMENTO!$W$15,ROW(AR588)-ROW(AR$15),0),15-13*ORÇAMENTO!$AF$11)),0)</f>
        <v>0</v>
      </c>
      <c r="AS588" s="546">
        <f ca="1">IF(AND($D588="Serviço",AS$12&lt;&gt;0,$H588&gt;0,OR(AUTOEVENTO&lt;&gt;"manual",$M588&lt;&gt;1)),
IF(Import.TipoArredondamento&lt;&gt;"TransfereGOV",
ROUND(OFFSET($P588,0,AS$13),15-13*ORÇAMENTO!$AF$7)/$H588*OFFSET(ORÇAMENTO!$X$15,ROW(AS588)-ROW(AS$15),0),
ROUND(ROUND(OFFSET($P588,0,AS$13),15-13*ORÇAMENTO!$AF$7)*OFFSET(ORÇAMENTO!$W$15,ROW(AS588)-ROW(AS$15),0),15-13*ORÇAMENTO!$AF$11)),0)</f>
        <v>0</v>
      </c>
      <c r="AT588" s="545">
        <f ca="1">IF(AND($D588="Serviço",AT$12&lt;&gt;0,$H588&gt;0,OR(AUTOEVENTO&lt;&gt;"manual",$M588&lt;&gt;1)),
IF(Import.TipoArredondamento&lt;&gt;"TransfereGOV",
ROUND(OFFSET($P588,0,AT$13),15-13*ORÇAMENTO!$AF$7)/$H588*OFFSET(ORÇAMENTO!$X$15,ROW(AT588)-ROW(AT$15),0),
ROUND(ROUND(OFFSET($P588,0,AT$13),15-13*ORÇAMENTO!$AF$7)*OFFSET(ORÇAMENTO!$W$15,ROW(AT588)-ROW(AT$15),0),15-13*ORÇAMENTO!$AF$11)),0)</f>
        <v>0</v>
      </c>
      <c r="AU588" s="545">
        <f ca="1">IF(AND($D588="Serviço",AU$12&lt;&gt;0,$H588&gt;0,OR(AUTOEVENTO&lt;&gt;"manual",$M588&lt;&gt;1)),
IF(Import.TipoArredondamento&lt;&gt;"TransfereGOV",
ROUND(OFFSET($P588,0,AU$13),15-13*ORÇAMENTO!$AF$7)/$H588*OFFSET(ORÇAMENTO!$X$15,ROW(AU588)-ROW(AU$15),0),
ROUND(ROUND(OFFSET($P588,0,AU$13),15-13*ORÇAMENTO!$AF$7)*OFFSET(ORÇAMENTO!$W$15,ROW(AU588)-ROW(AU$15),0),15-13*ORÇAMENTO!$AF$11)),0)</f>
        <v>0</v>
      </c>
      <c r="AV588" s="545">
        <f ca="1">IF(AND($D588="Serviço",AV$12&lt;&gt;0,$H588&gt;0,OR(AUTOEVENTO&lt;&gt;"manual",$M588&lt;&gt;1)),
IF(Import.TipoArredondamento&lt;&gt;"TransfereGOV",
ROUND(OFFSET($P588,0,AV$13),15-13*ORÇAMENTO!$AF$7)/$H588*OFFSET(ORÇAMENTO!$X$15,ROW(AV588)-ROW(AV$15),0),
ROUND(ROUND(OFFSET($P588,0,AV$13),15-13*ORÇAMENTO!$AF$7)*OFFSET(ORÇAMENTO!$W$15,ROW(AV588)-ROW(AV$15),0),15-13*ORÇAMENTO!$AF$11)),0)</f>
        <v>0</v>
      </c>
      <c r="AW588" s="545">
        <f ca="1">IF(AND($D588="Serviço",AW$12&lt;&gt;0,$H588&gt;0,OR(AUTOEVENTO&lt;&gt;"manual",$M588&lt;&gt;1)),
IF(Import.TipoArredondamento&lt;&gt;"TransfereGOV",
ROUND(OFFSET($P588,0,AW$13),15-13*ORÇAMENTO!$AF$7)/$H588*OFFSET(ORÇAMENTO!$X$15,ROW(AW588)-ROW(AW$15),0),
ROUND(ROUND(OFFSET($P588,0,AW$13),15-13*ORÇAMENTO!$AF$7)*OFFSET(ORÇAMENTO!$W$15,ROW(AW588)-ROW(AW$15),0),15-13*ORÇAMENTO!$AF$11)),0)</f>
        <v>0</v>
      </c>
      <c r="AX588" s="545">
        <f ca="1">IF(AND($D588="Serviço",AX$12&lt;&gt;0,$H588&gt;0,OR(AUTOEVENTO&lt;&gt;"manual",$M588&lt;&gt;1)),
IF(Import.TipoArredondamento&lt;&gt;"TransfereGOV",
ROUND(OFFSET($P588,0,AX$13),15-13*ORÇAMENTO!$AF$7)/$H588*OFFSET(ORÇAMENTO!$X$15,ROW(AX588)-ROW(AX$15),0),
ROUND(ROUND(OFFSET($P588,0,AX$13),15-13*ORÇAMENTO!$AF$7)*OFFSET(ORÇAMENTO!$W$15,ROW(AX588)-ROW(AX$15),0),15-13*ORÇAMENTO!$AF$11)),0)</f>
        <v>0</v>
      </c>
      <c r="AY588" s="545">
        <f ca="1">IF(AND($D588="Serviço",AY$12&lt;&gt;0,$H588&gt;0,OR(AUTOEVENTO&lt;&gt;"manual",$M588&lt;&gt;1)),
IF(Import.TipoArredondamento&lt;&gt;"TransfereGOV",
ROUND(OFFSET($P588,0,AY$13),15-13*ORÇAMENTO!$AF$7)/$H588*OFFSET(ORÇAMENTO!$X$15,ROW(AY588)-ROW(AY$15),0),
ROUND(ROUND(OFFSET($P588,0,AY$13),15-13*ORÇAMENTO!$AF$7)*OFFSET(ORÇAMENTO!$W$15,ROW(AY588)-ROW(AY$15),0),15-13*ORÇAMENTO!$AF$11)),0)</f>
        <v>0</v>
      </c>
      <c r="AZ588" s="545">
        <f ca="1">IF(AND($D588="Serviço",AZ$12&lt;&gt;0,$H588&gt;0,OR(AUTOEVENTO&lt;&gt;"manual",$M588&lt;&gt;1)),
IF(Import.TipoArredondamento&lt;&gt;"TransfereGOV",
ROUND(OFFSET($P588,0,AZ$13),15-13*ORÇAMENTO!$AF$7)/$H588*OFFSET(ORÇAMENTO!$X$15,ROW(AZ588)-ROW(AZ$15),0),
ROUND(ROUND(OFFSET($P588,0,AZ$13),15-13*ORÇAMENTO!$AF$7)*OFFSET(ORÇAMENTO!$W$15,ROW(AZ588)-ROW(AZ$15),0),15-13*ORÇAMENTO!$AF$11)),0)</f>
        <v>0</v>
      </c>
      <c r="BA588" s="546">
        <f ca="1">IF(AND($D588="Serviço",BA$12&lt;&gt;0,$H588&gt;0,OR(AUTOEVENTO&lt;&gt;"manual",$M588&lt;&gt;1)),
IF(Import.TipoArredondamento&lt;&gt;"TransfereGOV",
ROUND(OFFSET($P588,0,BA$13),15-13*ORÇAMENTO!$AF$7)/$H588*OFFSET(ORÇAMENTO!$X$15,ROW(BA588)-ROW(BA$15),0),
ROUND(ROUND(OFFSET($P588,0,BA$13),15-13*ORÇAMENTO!$AF$7)*OFFSET(ORÇAMENTO!$W$15,ROW(BA588)-ROW(BA$15),0),15-13*ORÇAMENTO!$AF$11)),0)</f>
        <v>0</v>
      </c>
      <c r="BC588" s="181">
        <f ca="1">IF($D588&lt;&gt;"Serviço",0,IF(AND(AUTOEVENTO="Manual",$M588=1),0,IF(OFFSET(CRONOPLE!$F$14,$M588,BC$13)="",10^12,OFFSET(CRONOPLE!$F$14,$M588,BC$13))))</f>
        <v>11</v>
      </c>
      <c r="BD588" s="181">
        <f ca="1">IF($D588&lt;&gt;"Serviço",0,IF(AND(AUTOEVENTO="Manual",$M588=1),0,IF(OFFSET(CRONOPLE!$F$14,$M588,BD$13)="",10^12,OFFSET(CRONOPLE!$F$14,$M588,BD$13))))</f>
        <v>1000000000000</v>
      </c>
      <c r="BE588" s="181">
        <f ca="1">IF($D588&lt;&gt;"Serviço",0,IF(AND(AUTOEVENTO="Manual",$M588=1),0,IF(OFFSET(CRONOPLE!$F$14,$M588,BE$13)="",10^12,OFFSET(CRONOPLE!$F$14,$M588,BE$13))))</f>
        <v>1000000000000</v>
      </c>
      <c r="BF588" s="181">
        <f ca="1">IF($D588&lt;&gt;"Serviço",0,IF(AND(AUTOEVENTO="Manual",$M588=1),0,IF(OFFSET(CRONOPLE!$F$14,$M588,BF$13)="",10^12,OFFSET(CRONOPLE!$F$14,$M588,BF$13))))</f>
        <v>1000000000000</v>
      </c>
      <c r="BG588" s="181">
        <f ca="1">IF($D588&lt;&gt;"Serviço",0,IF(AND(AUTOEVENTO="Manual",$M588=1),0,IF(OFFSET(CRONOPLE!$F$14,$M588,BG$13)="",10^12,OFFSET(CRONOPLE!$F$14,$M588,BG$13))))</f>
        <v>1000000000000</v>
      </c>
      <c r="BH588" s="181">
        <f ca="1">IF($D588&lt;&gt;"Serviço",0,IF(AND(AUTOEVENTO="Manual",$M588=1),0,IF(OFFSET(CRONOPLE!$F$14,$M588,BH$13)="",10^12,OFFSET(CRONOPLE!$F$14,$M588,BH$13))))</f>
        <v>1000000000000</v>
      </c>
      <c r="BI588" s="181">
        <f ca="1">IF($D588&lt;&gt;"Serviço",0,IF(AND(AUTOEVENTO="Manual",$M588=1),0,IF(OFFSET(CRONOPLE!$F$14,$M588,BI$13)="",10^12,OFFSET(CRONOPLE!$F$14,$M588,BI$13))))</f>
        <v>1000000000000</v>
      </c>
      <c r="BJ588" s="181">
        <f ca="1">IF($D588&lt;&gt;"Serviço",0,IF(AND(AUTOEVENTO="Manual",$M588=1),0,IF(OFFSET(CRONOPLE!$F$14,$M588,BJ$13)="",10^12,OFFSET(CRONOPLE!$F$14,$M588,BJ$13))))</f>
        <v>1000000000000</v>
      </c>
      <c r="BK588" s="181">
        <f ca="1">IF($D588&lt;&gt;"Serviço",0,IF(AND(AUTOEVENTO="Manual",$M588=1),0,IF(OFFSET(CRONOPLE!$F$14,$M588,BK$13)="",10^12,OFFSET(CRONOPLE!$F$14,$M588,BK$13))))</f>
        <v>1000000000000</v>
      </c>
      <c r="BL588" s="181">
        <f ca="1">IF($D588&lt;&gt;"Serviço",0,IF(AND(AUTOEVENTO="Manual",$M588=1),0,IF(OFFSET(CRONOPLE!$F$14,$M588,BL$13)="",10^12,OFFSET(CRONOPLE!$F$14,$M588,BL$13))))</f>
        <v>1000000000000</v>
      </c>
      <c r="BM588" s="181">
        <f ca="1">IF($D588&lt;&gt;"Serviço",0,IF(AND(AUTOEVENTO="Manual",$M588=1),0,IF(OFFSET(CRONOPLE!$F$14,$M588,BM$13)="",10^12,OFFSET(CRONOPLE!$F$14,$M588,BM$13))))</f>
        <v>1000000000000</v>
      </c>
      <c r="BN588" s="181">
        <f ca="1">IF($D588&lt;&gt;"Serviço",0,IF(AND(AUTOEVENTO="Manual",$M588=1),0,IF(OFFSET(CRONOPLE!$F$14,$M588,BN$13)="",10^12,OFFSET(CRONOPLE!$F$14,$M588,BN$13))))</f>
        <v>1000000000000</v>
      </c>
      <c r="BO588" s="181">
        <f ca="1">IF($D588&lt;&gt;"Serviço",0,IF(AND(AUTOEVENTO="Manual",$M588=1),0,IF(OFFSET(CRONOPLE!$F$14,$M588,BO$13)="",10^12,OFFSET(CRONOPLE!$F$14,$M588,BO$13))))</f>
        <v>1000000000000</v>
      </c>
      <c r="BP588" s="181">
        <f ca="1">IF($D588&lt;&gt;"Serviço",0,IF(AND(AUTOEVENTO="Manual",$M588=1),0,IF(OFFSET(CRONOPLE!$F$14,$M588,BP$13)="",10^12,OFFSET(CRONOPLE!$F$14,$M588,BP$13))))</f>
        <v>1000000000000</v>
      </c>
      <c r="BQ588" s="181">
        <f ca="1">IF($D588&lt;&gt;"Serviço",0,IF(AND(AUTOEVENTO="Manual",$M588=1),0,IF(OFFSET(CRONOPLE!$F$14,$M588,BQ$13)="",10^12,OFFSET(CRONOPLE!$F$14,$M588,BQ$13))))</f>
        <v>1000000000000</v>
      </c>
      <c r="BR588" s="181">
        <f ca="1">IF($D588&lt;&gt;"Serviço",0,IF(AND(AUTOEVENTO="Manual",$M588=1),0,IF(OFFSET(CRONOPLE!$F$14,$M588,BR$13)="",10^12,OFFSET(CRONOPLE!$F$14,$M588,BR$13))))</f>
        <v>1000000000000</v>
      </c>
      <c r="BS588" s="181">
        <f ca="1">IF($D588&lt;&gt;"Serviço",0,IF(AND(AUTOEVENTO="Manual",$M588=1),0,IF(OFFSET(CRONOPLE!$F$14,$M588,BS$13)="",10^12,OFFSET(CRONOPLE!$F$14,$M588,BS$13))))</f>
        <v>1000000000000</v>
      </c>
      <c r="BT588" s="181">
        <f ca="1">IF($D588&lt;&gt;"Serviço",0,IF(AND(AUTOEVENTO="Manual",$M588=1),0,IF(OFFSET(CRONOPLE!$F$14,$M588,BT$13)="",10^12,OFFSET(CRONOPLE!$F$14,$M588,BT$13))))</f>
        <v>1000000000000</v>
      </c>
      <c r="BV588" s="182">
        <f ca="1">IF($D588&lt;&gt;"Serviço",0,IF(OR(AND(AUTOEVENTO="Manual",$M588=1),$M588&gt;(ROW(PLE.lastrow)-ROW(PLE.firstrow))),0,IF(OFFSET(PLE!$G$14,$M588,BV$13)="",10^12,OFFSET(PLE!$G$14,$M588,BV$13))))</f>
        <v>1000000000000</v>
      </c>
      <c r="BW588" s="182">
        <f ca="1">IF($D588&lt;&gt;"Serviço",0,IF(OR(AND(AUTOEVENTO="Manual",$M588=1),$M588&gt;(ROW(PLE.lastrow)-ROW(PLE.firstrow))),0,IF(OFFSET(PLE!$G$14,$M588,BW$13)="",10^12,OFFSET(PLE!$G$14,$M588,BW$13))))</f>
        <v>1000000000000</v>
      </c>
      <c r="BX588" s="182">
        <f ca="1">IF($D588&lt;&gt;"Serviço",0,IF(OR(AND(AUTOEVENTO="Manual",$M588=1),$M588&gt;(ROW(PLE.lastrow)-ROW(PLE.firstrow))),0,IF(OFFSET(PLE!$G$14,$M588,BX$13)="",10^12,OFFSET(PLE!$G$14,$M588,BX$13))))</f>
        <v>1000000000000</v>
      </c>
      <c r="BY588" s="182">
        <f ca="1">IF($D588&lt;&gt;"Serviço",0,IF(OR(AND(AUTOEVENTO="Manual",$M588=1),$M588&gt;(ROW(PLE.lastrow)-ROW(PLE.firstrow))),0,IF(OFFSET(PLE!$G$14,$M588,BY$13)="",10^12,OFFSET(PLE!$G$14,$M588,BY$13))))</f>
        <v>1000000000000</v>
      </c>
      <c r="BZ588" s="182">
        <f ca="1">IF($D588&lt;&gt;"Serviço",0,IF(OR(AND(AUTOEVENTO="Manual",$M588=1),$M588&gt;(ROW(PLE.lastrow)-ROW(PLE.firstrow))),0,IF(OFFSET(PLE!$G$14,$M588,BZ$13)="",10^12,OFFSET(PLE!$G$14,$M588,BZ$13))))</f>
        <v>1000000000000</v>
      </c>
      <c r="CA588" s="182">
        <f ca="1">IF($D588&lt;&gt;"Serviço",0,IF(OR(AND(AUTOEVENTO="Manual",$M588=1),$M588&gt;(ROW(PLE.lastrow)-ROW(PLE.firstrow))),0,IF(OFFSET(PLE!$G$14,$M588,CA$13)="",10^12,OFFSET(PLE!$G$14,$M588,CA$13))))</f>
        <v>1000000000000</v>
      </c>
      <c r="CB588" s="182">
        <f ca="1">IF($D588&lt;&gt;"Serviço",0,IF(OR(AND(AUTOEVENTO="Manual",$M588=1),$M588&gt;(ROW(PLE.lastrow)-ROW(PLE.firstrow))),0,IF(OFFSET(PLE!$G$14,$M588,CB$13)="",10^12,OFFSET(PLE!$G$14,$M588,CB$13))))</f>
        <v>1000000000000</v>
      </c>
      <c r="CC588" s="182">
        <f ca="1">IF($D588&lt;&gt;"Serviço",0,IF(OR(AND(AUTOEVENTO="Manual",$M588=1),$M588&gt;(ROW(PLE.lastrow)-ROW(PLE.firstrow))),0,IF(OFFSET(PLE!$G$14,$M588,CC$13)="",10^12,OFFSET(PLE!$G$14,$M588,CC$13))))</f>
        <v>1000000000000</v>
      </c>
      <c r="CD588" s="182">
        <f ca="1">IF($D588&lt;&gt;"Serviço",0,IF(OR(AND(AUTOEVENTO="Manual",$M588=1),$M588&gt;(ROW(PLE.lastrow)-ROW(PLE.firstrow))),0,IF(OFFSET(PLE!$G$14,$M588,CD$13)="",10^12,OFFSET(PLE!$G$14,$M588,CD$13))))</f>
        <v>1000000000000</v>
      </c>
      <c r="CE588" s="182">
        <f ca="1">IF($D588&lt;&gt;"Serviço",0,IF(OR(AND(AUTOEVENTO="Manual",$M588=1),$M588&gt;(ROW(PLE.lastrow)-ROW(PLE.firstrow))),0,IF(OFFSET(PLE!$G$14,$M588,CE$13)="",10^12,OFFSET(PLE!$G$14,$M588,CE$13))))</f>
        <v>1000000000000</v>
      </c>
      <c r="CF588" s="182">
        <f ca="1">IF($D588&lt;&gt;"Serviço",0,IF(OR(AND(AUTOEVENTO="Manual",$M588=1),$M588&gt;(ROW(PLE.lastrow)-ROW(PLE.firstrow))),0,IF(OFFSET(PLE!$G$14,$M588,CF$13)="",10^12,OFFSET(PLE!$G$14,$M588,CF$13))))</f>
        <v>1000000000000</v>
      </c>
      <c r="CG588" s="182">
        <f ca="1">IF($D588&lt;&gt;"Serviço",0,IF(OR(AND(AUTOEVENTO="Manual",$M588=1),$M588&gt;(ROW(PLE.lastrow)-ROW(PLE.firstrow))),0,IF(OFFSET(PLE!$G$14,$M588,CG$13)="",10^12,OFFSET(PLE!$G$14,$M588,CG$13))))</f>
        <v>1000000000000</v>
      </c>
      <c r="CH588" s="182">
        <f ca="1">IF($D588&lt;&gt;"Serviço",0,IF(OR(AND(AUTOEVENTO="Manual",$M588=1),$M588&gt;(ROW(PLE.lastrow)-ROW(PLE.firstrow))),0,IF(OFFSET(PLE!$G$14,$M588,CH$13)="",10^12,OFFSET(PLE!$G$14,$M588,CH$13))))</f>
        <v>1000000000000</v>
      </c>
      <c r="CI588" s="182">
        <f ca="1">IF($D588&lt;&gt;"Serviço",0,IF(OR(AND(AUTOEVENTO="Manual",$M588=1),$M588&gt;(ROW(PLE.lastrow)-ROW(PLE.firstrow))),0,IF(OFFSET(PLE!$G$14,$M588,CI$13)="",10^12,OFFSET(PLE!$G$14,$M588,CI$13))))</f>
        <v>1000000000000</v>
      </c>
      <c r="CJ588" s="182">
        <f ca="1">IF($D588&lt;&gt;"Serviço",0,IF(OR(AND(AUTOEVENTO="Manual",$M588=1),$M588&gt;(ROW(PLE.lastrow)-ROW(PLE.firstrow))),0,IF(OFFSET(PLE!$G$14,$M588,CJ$13)="",10^12,OFFSET(PLE!$G$14,$M588,CJ$13))))</f>
        <v>1000000000000</v>
      </c>
      <c r="CK588" s="182">
        <f ca="1">IF($D588&lt;&gt;"Serviço",0,IF(OR(AND(AUTOEVENTO="Manual",$M588=1),$M588&gt;(ROW(PLE.lastrow)-ROW(PLE.firstrow))),0,IF(OFFSET(PLE!$G$14,$M588,CK$13)="",10^12,OFFSET(PLE!$G$14,$M588,CK$13))))</f>
        <v>1000000000000</v>
      </c>
      <c r="CL588" s="182">
        <f ca="1">IF($D588&lt;&gt;"Serviço",0,IF(OR(AND(AUTOEVENTO="Manual",$M588=1),$M588&gt;(ROW(PLE.lastrow)-ROW(PLE.firstrow))),0,IF(OFFSET(PLE!$G$14,$M588,CL$13)="",10^12,OFFSET(PLE!$G$14,$M588,CL$13))))</f>
        <v>1000000000000</v>
      </c>
      <c r="CM588" s="182">
        <f ca="1">IF($D588&lt;&gt;"Serviço",0,IF(OR(AND(AUTOEVENTO="Manual",$M588=1),$M588&gt;(ROW(PLE.lastrow)-ROW(PLE.firstrow))),0,IF(OFFSET(PLE!$G$14,$M588,CM$13)="",10^12,OFFSET(PLE!$G$14,$M588,CM$13))))</f>
        <v>1000000000000</v>
      </c>
    </row>
    <row r="589" spans="1:91" ht="38.25" x14ac:dyDescent="0.2">
      <c r="A589" s="7" t="str">
        <f t="shared" ca="1" si="18"/>
        <v>565</v>
      </c>
      <c r="B589" s="7" t="str">
        <f ca="1">OFFSET(ORÇAMENTO!C$15,ROW(B589)-ROW(B$15),0)</f>
        <v>S</v>
      </c>
      <c r="C589" s="7" t="str">
        <f ca="1">OFFSET(ORÇAMENTO!L$15,ROW(C589)-ROW(C$15),0)</f>
        <v/>
      </c>
      <c r="D589" s="118" t="str">
        <f ca="1">OFFSET(ORÇAMENTO!N$15,ROW(D589)-ROW(D$15),0)</f>
        <v>Serviço</v>
      </c>
      <c r="E589" s="119" t="str">
        <f ca="1">OFFSET(ORÇAMENTO!O$15,ROW(E589)-ROW(E$15),0)</f>
        <v>-</v>
      </c>
      <c r="F589" s="172" t="str">
        <f ca="1">OFFSET(ORÇAMENTO!R$15,ROW(F589)-ROW(F$15),0)</f>
        <v>(abra o arquivo 'Referência 06-2024.xlsm)</v>
      </c>
      <c r="G589" s="173" t="str">
        <f ca="1">IF($D589&lt;&gt;"Serviço","",OFFSET(ORÇAMENTO!S$15,ROW(G589)-ROW(G$15),0))</f>
        <v>-</v>
      </c>
      <c r="H589" s="124">
        <f ca="1">IF($D589&lt;&gt;"Serviço",0,IF(ACOMPANHAMENTO="BM",ROUND(OFFSET(ORÇAMENTO!AJ$15,ROW(H589)-ROW(H$15),0),15-13*ORÇAMENTO!$AF$7),SUMPRODUCT(($Q$12:$AI$12&lt;&gt;"")*ROUND($Q589:$AI589,15-13*ORÇAMENTO!$AF$7))))</f>
        <v>17.8</v>
      </c>
      <c r="I589" s="561" t="s">
        <v>1107</v>
      </c>
      <c r="K589" s="174"/>
      <c r="L589" s="175" t="s">
        <v>255</v>
      </c>
      <c r="M589" s="176">
        <f ca="1">IF($D589&lt;&gt;"Serviço","",IF(AUTOEVENTO="manual",$A589,IF(ISERROR(MATCH($A589,$A$15:OFFSET($A589,-1,0),0)),MAX($M$15:OFFSET(M589,-1,0))+1,INDEX($M$15:OFFSET(M589,-1,0),MATCH($A589,$A$15:OFFSET($A589,-1,0),0)))))</f>
        <v>59</v>
      </c>
      <c r="N589" s="177" t="str">
        <f ca="1">IF($D589&lt;&gt;"Serviço","",IF(AUTOEVENTO="Manual",IF($A589=0,"&lt;-- defina o número do agrupador",OFFSET(EVENTOS!$D$14,$A589,0)),OFFSET($F$15,$A589,0)))</f>
        <v>INSTALAÇÃO ELÉTRICA 110V - ELETRODUTOS</v>
      </c>
      <c r="O589" s="178"/>
      <c r="Q589" s="178">
        <v>17.8</v>
      </c>
      <c r="R589" s="179"/>
      <c r="S589" s="179"/>
      <c r="T589" s="179"/>
      <c r="U589" s="179"/>
      <c r="V589" s="179"/>
      <c r="W589" s="179"/>
      <c r="X589" s="179"/>
      <c r="Y589" s="179"/>
      <c r="Z589" s="180"/>
      <c r="AA589" s="179"/>
      <c r="AB589" s="179"/>
      <c r="AC589" s="179"/>
      <c r="AD589" s="179"/>
      <c r="AE589" s="179"/>
      <c r="AF589" s="179"/>
      <c r="AG589" s="179"/>
      <c r="AH589" s="180"/>
      <c r="AJ589" s="544">
        <f ca="1">IF(AND($D589="Serviço",AJ$12&lt;&gt;0,$H589&gt;0,OR(AUTOEVENTO&lt;&gt;"manual",$M589&lt;&gt;1)),
IF(Import.TipoArredondamento&lt;&gt;"TransfereGOV",
ROUND(OFFSET($P589,0,AJ$13),15-13*ORÇAMENTO!$AF$7)/$H589*OFFSET(ORÇAMENTO!$X$15,ROW(AJ589)-ROW(AJ$15),0),
ROUND(ROUND(OFFSET($P589,0,AJ$13),15-13*ORÇAMENTO!$AF$7)*OFFSET(ORÇAMENTO!$W$15,ROW(AJ589)-ROW(AJ$15),0),15-13*ORÇAMENTO!$AF$11)),0)</f>
        <v>0</v>
      </c>
      <c r="AK589" s="545">
        <f ca="1">IF(AND($D589="Serviço",AK$12&lt;&gt;0,$H589&gt;0,OR(AUTOEVENTO&lt;&gt;"manual",$M589&lt;&gt;1)),
IF(Import.TipoArredondamento&lt;&gt;"TransfereGOV",
ROUND(OFFSET($P589,0,AK$13),15-13*ORÇAMENTO!$AF$7)/$H589*OFFSET(ORÇAMENTO!$X$15,ROW(AK589)-ROW(AK$15),0),
ROUND(ROUND(OFFSET($P589,0,AK$13),15-13*ORÇAMENTO!$AF$7)*OFFSET(ORÇAMENTO!$W$15,ROW(AK589)-ROW(AK$15),0),15-13*ORÇAMENTO!$AF$11)),0)</f>
        <v>0</v>
      </c>
      <c r="AL589" s="545">
        <f ca="1">IF(AND($D589="Serviço",AL$12&lt;&gt;0,$H589&gt;0,OR(AUTOEVENTO&lt;&gt;"manual",$M589&lt;&gt;1)),
IF(Import.TipoArredondamento&lt;&gt;"TransfereGOV",
ROUND(OFFSET($P589,0,AL$13),15-13*ORÇAMENTO!$AF$7)/$H589*OFFSET(ORÇAMENTO!$X$15,ROW(AL589)-ROW(AL$15),0),
ROUND(ROUND(OFFSET($P589,0,AL$13),15-13*ORÇAMENTO!$AF$7)*OFFSET(ORÇAMENTO!$W$15,ROW(AL589)-ROW(AL$15),0),15-13*ORÇAMENTO!$AF$11)),0)</f>
        <v>0</v>
      </c>
      <c r="AM589" s="545">
        <f ca="1">IF(AND($D589="Serviço",AM$12&lt;&gt;0,$H589&gt;0,OR(AUTOEVENTO&lt;&gt;"manual",$M589&lt;&gt;1)),
IF(Import.TipoArredondamento&lt;&gt;"TransfereGOV",
ROUND(OFFSET($P589,0,AM$13),15-13*ORÇAMENTO!$AF$7)/$H589*OFFSET(ORÇAMENTO!$X$15,ROW(AM589)-ROW(AM$15),0),
ROUND(ROUND(OFFSET($P589,0,AM$13),15-13*ORÇAMENTO!$AF$7)*OFFSET(ORÇAMENTO!$W$15,ROW(AM589)-ROW(AM$15),0),15-13*ORÇAMENTO!$AF$11)),0)</f>
        <v>0</v>
      </c>
      <c r="AN589" s="545">
        <f ca="1">IF(AND($D589="Serviço",AN$12&lt;&gt;0,$H589&gt;0,OR(AUTOEVENTO&lt;&gt;"manual",$M589&lt;&gt;1)),
IF(Import.TipoArredondamento&lt;&gt;"TransfereGOV",
ROUND(OFFSET($P589,0,AN$13),15-13*ORÇAMENTO!$AF$7)/$H589*OFFSET(ORÇAMENTO!$X$15,ROW(AN589)-ROW(AN$15),0),
ROUND(ROUND(OFFSET($P589,0,AN$13),15-13*ORÇAMENTO!$AF$7)*OFFSET(ORÇAMENTO!$W$15,ROW(AN589)-ROW(AN$15),0),15-13*ORÇAMENTO!$AF$11)),0)</f>
        <v>0</v>
      </c>
      <c r="AO589" s="545">
        <f ca="1">IF(AND($D589="Serviço",AO$12&lt;&gt;0,$H589&gt;0,OR(AUTOEVENTO&lt;&gt;"manual",$M589&lt;&gt;1)),
IF(Import.TipoArredondamento&lt;&gt;"TransfereGOV",
ROUND(OFFSET($P589,0,AO$13),15-13*ORÇAMENTO!$AF$7)/$H589*OFFSET(ORÇAMENTO!$X$15,ROW(AO589)-ROW(AO$15),0),
ROUND(ROUND(OFFSET($P589,0,AO$13),15-13*ORÇAMENTO!$AF$7)*OFFSET(ORÇAMENTO!$W$15,ROW(AO589)-ROW(AO$15),0),15-13*ORÇAMENTO!$AF$11)),0)</f>
        <v>0</v>
      </c>
      <c r="AP589" s="545">
        <f ca="1">IF(AND($D589="Serviço",AP$12&lt;&gt;0,$H589&gt;0,OR(AUTOEVENTO&lt;&gt;"manual",$M589&lt;&gt;1)),
IF(Import.TipoArredondamento&lt;&gt;"TransfereGOV",
ROUND(OFFSET($P589,0,AP$13),15-13*ORÇAMENTO!$AF$7)/$H589*OFFSET(ORÇAMENTO!$X$15,ROW(AP589)-ROW(AP$15),0),
ROUND(ROUND(OFFSET($P589,0,AP$13),15-13*ORÇAMENTO!$AF$7)*OFFSET(ORÇAMENTO!$W$15,ROW(AP589)-ROW(AP$15),0),15-13*ORÇAMENTO!$AF$11)),0)</f>
        <v>0</v>
      </c>
      <c r="AQ589" s="545">
        <f ca="1">IF(AND($D589="Serviço",AQ$12&lt;&gt;0,$H589&gt;0,OR(AUTOEVENTO&lt;&gt;"manual",$M589&lt;&gt;1)),
IF(Import.TipoArredondamento&lt;&gt;"TransfereGOV",
ROUND(OFFSET($P589,0,AQ$13),15-13*ORÇAMENTO!$AF$7)/$H589*OFFSET(ORÇAMENTO!$X$15,ROW(AQ589)-ROW(AQ$15),0),
ROUND(ROUND(OFFSET($P589,0,AQ$13),15-13*ORÇAMENTO!$AF$7)*OFFSET(ORÇAMENTO!$W$15,ROW(AQ589)-ROW(AQ$15),0),15-13*ORÇAMENTO!$AF$11)),0)</f>
        <v>0</v>
      </c>
      <c r="AR589" s="545">
        <f ca="1">IF(AND($D589="Serviço",AR$12&lt;&gt;0,$H589&gt;0,OR(AUTOEVENTO&lt;&gt;"manual",$M589&lt;&gt;1)),
IF(Import.TipoArredondamento&lt;&gt;"TransfereGOV",
ROUND(OFFSET($P589,0,AR$13),15-13*ORÇAMENTO!$AF$7)/$H589*OFFSET(ORÇAMENTO!$X$15,ROW(AR589)-ROW(AR$15),0),
ROUND(ROUND(OFFSET($P589,0,AR$13),15-13*ORÇAMENTO!$AF$7)*OFFSET(ORÇAMENTO!$W$15,ROW(AR589)-ROW(AR$15),0),15-13*ORÇAMENTO!$AF$11)),0)</f>
        <v>0</v>
      </c>
      <c r="AS589" s="546">
        <f ca="1">IF(AND($D589="Serviço",AS$12&lt;&gt;0,$H589&gt;0,OR(AUTOEVENTO&lt;&gt;"manual",$M589&lt;&gt;1)),
IF(Import.TipoArredondamento&lt;&gt;"TransfereGOV",
ROUND(OFFSET($P589,0,AS$13),15-13*ORÇAMENTO!$AF$7)/$H589*OFFSET(ORÇAMENTO!$X$15,ROW(AS589)-ROW(AS$15),0),
ROUND(ROUND(OFFSET($P589,0,AS$13),15-13*ORÇAMENTO!$AF$7)*OFFSET(ORÇAMENTO!$W$15,ROW(AS589)-ROW(AS$15),0),15-13*ORÇAMENTO!$AF$11)),0)</f>
        <v>0</v>
      </c>
      <c r="AT589" s="545">
        <f ca="1">IF(AND($D589="Serviço",AT$12&lt;&gt;0,$H589&gt;0,OR(AUTOEVENTO&lt;&gt;"manual",$M589&lt;&gt;1)),
IF(Import.TipoArredondamento&lt;&gt;"TransfereGOV",
ROUND(OFFSET($P589,0,AT$13),15-13*ORÇAMENTO!$AF$7)/$H589*OFFSET(ORÇAMENTO!$X$15,ROW(AT589)-ROW(AT$15),0),
ROUND(ROUND(OFFSET($P589,0,AT$13),15-13*ORÇAMENTO!$AF$7)*OFFSET(ORÇAMENTO!$W$15,ROW(AT589)-ROW(AT$15),0),15-13*ORÇAMENTO!$AF$11)),0)</f>
        <v>0</v>
      </c>
      <c r="AU589" s="545">
        <f ca="1">IF(AND($D589="Serviço",AU$12&lt;&gt;0,$H589&gt;0,OR(AUTOEVENTO&lt;&gt;"manual",$M589&lt;&gt;1)),
IF(Import.TipoArredondamento&lt;&gt;"TransfereGOV",
ROUND(OFFSET($P589,0,AU$13),15-13*ORÇAMENTO!$AF$7)/$H589*OFFSET(ORÇAMENTO!$X$15,ROW(AU589)-ROW(AU$15),0),
ROUND(ROUND(OFFSET($P589,0,AU$13),15-13*ORÇAMENTO!$AF$7)*OFFSET(ORÇAMENTO!$W$15,ROW(AU589)-ROW(AU$15),0),15-13*ORÇAMENTO!$AF$11)),0)</f>
        <v>0</v>
      </c>
      <c r="AV589" s="545">
        <f ca="1">IF(AND($D589="Serviço",AV$12&lt;&gt;0,$H589&gt;0,OR(AUTOEVENTO&lt;&gt;"manual",$M589&lt;&gt;1)),
IF(Import.TipoArredondamento&lt;&gt;"TransfereGOV",
ROUND(OFFSET($P589,0,AV$13),15-13*ORÇAMENTO!$AF$7)/$H589*OFFSET(ORÇAMENTO!$X$15,ROW(AV589)-ROW(AV$15),0),
ROUND(ROUND(OFFSET($P589,0,AV$13),15-13*ORÇAMENTO!$AF$7)*OFFSET(ORÇAMENTO!$W$15,ROW(AV589)-ROW(AV$15),0),15-13*ORÇAMENTO!$AF$11)),0)</f>
        <v>0</v>
      </c>
      <c r="AW589" s="545">
        <f ca="1">IF(AND($D589="Serviço",AW$12&lt;&gt;0,$H589&gt;0,OR(AUTOEVENTO&lt;&gt;"manual",$M589&lt;&gt;1)),
IF(Import.TipoArredondamento&lt;&gt;"TransfereGOV",
ROUND(OFFSET($P589,0,AW$13),15-13*ORÇAMENTO!$AF$7)/$H589*OFFSET(ORÇAMENTO!$X$15,ROW(AW589)-ROW(AW$15),0),
ROUND(ROUND(OFFSET($P589,0,AW$13),15-13*ORÇAMENTO!$AF$7)*OFFSET(ORÇAMENTO!$W$15,ROW(AW589)-ROW(AW$15),0),15-13*ORÇAMENTO!$AF$11)),0)</f>
        <v>0</v>
      </c>
      <c r="AX589" s="545">
        <f ca="1">IF(AND($D589="Serviço",AX$12&lt;&gt;0,$H589&gt;0,OR(AUTOEVENTO&lt;&gt;"manual",$M589&lt;&gt;1)),
IF(Import.TipoArredondamento&lt;&gt;"TransfereGOV",
ROUND(OFFSET($P589,0,AX$13),15-13*ORÇAMENTO!$AF$7)/$H589*OFFSET(ORÇAMENTO!$X$15,ROW(AX589)-ROW(AX$15),0),
ROUND(ROUND(OFFSET($P589,0,AX$13),15-13*ORÇAMENTO!$AF$7)*OFFSET(ORÇAMENTO!$W$15,ROW(AX589)-ROW(AX$15),0),15-13*ORÇAMENTO!$AF$11)),0)</f>
        <v>0</v>
      </c>
      <c r="AY589" s="545">
        <f ca="1">IF(AND($D589="Serviço",AY$12&lt;&gt;0,$H589&gt;0,OR(AUTOEVENTO&lt;&gt;"manual",$M589&lt;&gt;1)),
IF(Import.TipoArredondamento&lt;&gt;"TransfereGOV",
ROUND(OFFSET($P589,0,AY$13),15-13*ORÇAMENTO!$AF$7)/$H589*OFFSET(ORÇAMENTO!$X$15,ROW(AY589)-ROW(AY$15),0),
ROUND(ROUND(OFFSET($P589,0,AY$13),15-13*ORÇAMENTO!$AF$7)*OFFSET(ORÇAMENTO!$W$15,ROW(AY589)-ROW(AY$15),0),15-13*ORÇAMENTO!$AF$11)),0)</f>
        <v>0</v>
      </c>
      <c r="AZ589" s="545">
        <f ca="1">IF(AND($D589="Serviço",AZ$12&lt;&gt;0,$H589&gt;0,OR(AUTOEVENTO&lt;&gt;"manual",$M589&lt;&gt;1)),
IF(Import.TipoArredondamento&lt;&gt;"TransfereGOV",
ROUND(OFFSET($P589,0,AZ$13),15-13*ORÇAMENTO!$AF$7)/$H589*OFFSET(ORÇAMENTO!$X$15,ROW(AZ589)-ROW(AZ$15),0),
ROUND(ROUND(OFFSET($P589,0,AZ$13),15-13*ORÇAMENTO!$AF$7)*OFFSET(ORÇAMENTO!$W$15,ROW(AZ589)-ROW(AZ$15),0),15-13*ORÇAMENTO!$AF$11)),0)</f>
        <v>0</v>
      </c>
      <c r="BA589" s="546">
        <f ca="1">IF(AND($D589="Serviço",BA$12&lt;&gt;0,$H589&gt;0,OR(AUTOEVENTO&lt;&gt;"manual",$M589&lt;&gt;1)),
IF(Import.TipoArredondamento&lt;&gt;"TransfereGOV",
ROUND(OFFSET($P589,0,BA$13),15-13*ORÇAMENTO!$AF$7)/$H589*OFFSET(ORÇAMENTO!$X$15,ROW(BA589)-ROW(BA$15),0),
ROUND(ROUND(OFFSET($P589,0,BA$13),15-13*ORÇAMENTO!$AF$7)*OFFSET(ORÇAMENTO!$W$15,ROW(BA589)-ROW(BA$15),0),15-13*ORÇAMENTO!$AF$11)),0)</f>
        <v>0</v>
      </c>
      <c r="BC589" s="181">
        <f ca="1">IF($D589&lt;&gt;"Serviço",0,IF(AND(AUTOEVENTO="Manual",$M589=1),0,IF(OFFSET(CRONOPLE!$F$14,$M589,BC$13)="",10^12,OFFSET(CRONOPLE!$F$14,$M589,BC$13))))</f>
        <v>11</v>
      </c>
      <c r="BD589" s="181">
        <f ca="1">IF($D589&lt;&gt;"Serviço",0,IF(AND(AUTOEVENTO="Manual",$M589=1),0,IF(OFFSET(CRONOPLE!$F$14,$M589,BD$13)="",10^12,OFFSET(CRONOPLE!$F$14,$M589,BD$13))))</f>
        <v>1000000000000</v>
      </c>
      <c r="BE589" s="181">
        <f ca="1">IF($D589&lt;&gt;"Serviço",0,IF(AND(AUTOEVENTO="Manual",$M589=1),0,IF(OFFSET(CRONOPLE!$F$14,$M589,BE$13)="",10^12,OFFSET(CRONOPLE!$F$14,$M589,BE$13))))</f>
        <v>1000000000000</v>
      </c>
      <c r="BF589" s="181">
        <f ca="1">IF($D589&lt;&gt;"Serviço",0,IF(AND(AUTOEVENTO="Manual",$M589=1),0,IF(OFFSET(CRONOPLE!$F$14,$M589,BF$13)="",10^12,OFFSET(CRONOPLE!$F$14,$M589,BF$13))))</f>
        <v>1000000000000</v>
      </c>
      <c r="BG589" s="181">
        <f ca="1">IF($D589&lt;&gt;"Serviço",0,IF(AND(AUTOEVENTO="Manual",$M589=1),0,IF(OFFSET(CRONOPLE!$F$14,$M589,BG$13)="",10^12,OFFSET(CRONOPLE!$F$14,$M589,BG$13))))</f>
        <v>1000000000000</v>
      </c>
      <c r="BH589" s="181">
        <f ca="1">IF($D589&lt;&gt;"Serviço",0,IF(AND(AUTOEVENTO="Manual",$M589=1),0,IF(OFFSET(CRONOPLE!$F$14,$M589,BH$13)="",10^12,OFFSET(CRONOPLE!$F$14,$M589,BH$13))))</f>
        <v>1000000000000</v>
      </c>
      <c r="BI589" s="181">
        <f ca="1">IF($D589&lt;&gt;"Serviço",0,IF(AND(AUTOEVENTO="Manual",$M589=1),0,IF(OFFSET(CRONOPLE!$F$14,$M589,BI$13)="",10^12,OFFSET(CRONOPLE!$F$14,$M589,BI$13))))</f>
        <v>1000000000000</v>
      </c>
      <c r="BJ589" s="181">
        <f ca="1">IF($D589&lt;&gt;"Serviço",0,IF(AND(AUTOEVENTO="Manual",$M589=1),0,IF(OFFSET(CRONOPLE!$F$14,$M589,BJ$13)="",10^12,OFFSET(CRONOPLE!$F$14,$M589,BJ$13))))</f>
        <v>1000000000000</v>
      </c>
      <c r="BK589" s="181">
        <f ca="1">IF($D589&lt;&gt;"Serviço",0,IF(AND(AUTOEVENTO="Manual",$M589=1),0,IF(OFFSET(CRONOPLE!$F$14,$M589,BK$13)="",10^12,OFFSET(CRONOPLE!$F$14,$M589,BK$13))))</f>
        <v>1000000000000</v>
      </c>
      <c r="BL589" s="181">
        <f ca="1">IF($D589&lt;&gt;"Serviço",0,IF(AND(AUTOEVENTO="Manual",$M589=1),0,IF(OFFSET(CRONOPLE!$F$14,$M589,BL$13)="",10^12,OFFSET(CRONOPLE!$F$14,$M589,BL$13))))</f>
        <v>1000000000000</v>
      </c>
      <c r="BM589" s="181">
        <f ca="1">IF($D589&lt;&gt;"Serviço",0,IF(AND(AUTOEVENTO="Manual",$M589=1),0,IF(OFFSET(CRONOPLE!$F$14,$M589,BM$13)="",10^12,OFFSET(CRONOPLE!$F$14,$M589,BM$13))))</f>
        <v>1000000000000</v>
      </c>
      <c r="BN589" s="181">
        <f ca="1">IF($D589&lt;&gt;"Serviço",0,IF(AND(AUTOEVENTO="Manual",$M589=1),0,IF(OFFSET(CRONOPLE!$F$14,$M589,BN$13)="",10^12,OFFSET(CRONOPLE!$F$14,$M589,BN$13))))</f>
        <v>1000000000000</v>
      </c>
      <c r="BO589" s="181">
        <f ca="1">IF($D589&lt;&gt;"Serviço",0,IF(AND(AUTOEVENTO="Manual",$M589=1),0,IF(OFFSET(CRONOPLE!$F$14,$M589,BO$13)="",10^12,OFFSET(CRONOPLE!$F$14,$M589,BO$13))))</f>
        <v>1000000000000</v>
      </c>
      <c r="BP589" s="181">
        <f ca="1">IF($D589&lt;&gt;"Serviço",0,IF(AND(AUTOEVENTO="Manual",$M589=1),0,IF(OFFSET(CRONOPLE!$F$14,$M589,BP$13)="",10^12,OFFSET(CRONOPLE!$F$14,$M589,BP$13))))</f>
        <v>1000000000000</v>
      </c>
      <c r="BQ589" s="181">
        <f ca="1">IF($D589&lt;&gt;"Serviço",0,IF(AND(AUTOEVENTO="Manual",$M589=1),0,IF(OFFSET(CRONOPLE!$F$14,$M589,BQ$13)="",10^12,OFFSET(CRONOPLE!$F$14,$M589,BQ$13))))</f>
        <v>1000000000000</v>
      </c>
      <c r="BR589" s="181">
        <f ca="1">IF($D589&lt;&gt;"Serviço",0,IF(AND(AUTOEVENTO="Manual",$M589=1),0,IF(OFFSET(CRONOPLE!$F$14,$M589,BR$13)="",10^12,OFFSET(CRONOPLE!$F$14,$M589,BR$13))))</f>
        <v>1000000000000</v>
      </c>
      <c r="BS589" s="181">
        <f ca="1">IF($D589&lt;&gt;"Serviço",0,IF(AND(AUTOEVENTO="Manual",$M589=1),0,IF(OFFSET(CRONOPLE!$F$14,$M589,BS$13)="",10^12,OFFSET(CRONOPLE!$F$14,$M589,BS$13))))</f>
        <v>1000000000000</v>
      </c>
      <c r="BT589" s="181">
        <f ca="1">IF($D589&lt;&gt;"Serviço",0,IF(AND(AUTOEVENTO="Manual",$M589=1),0,IF(OFFSET(CRONOPLE!$F$14,$M589,BT$13)="",10^12,OFFSET(CRONOPLE!$F$14,$M589,BT$13))))</f>
        <v>1000000000000</v>
      </c>
      <c r="BV589" s="182">
        <f ca="1">IF($D589&lt;&gt;"Serviço",0,IF(OR(AND(AUTOEVENTO="Manual",$M589=1),$M589&gt;(ROW(PLE.lastrow)-ROW(PLE.firstrow))),0,IF(OFFSET(PLE!$G$14,$M589,BV$13)="",10^12,OFFSET(PLE!$G$14,$M589,BV$13))))</f>
        <v>1000000000000</v>
      </c>
      <c r="BW589" s="182">
        <f ca="1">IF($D589&lt;&gt;"Serviço",0,IF(OR(AND(AUTOEVENTO="Manual",$M589=1),$M589&gt;(ROW(PLE.lastrow)-ROW(PLE.firstrow))),0,IF(OFFSET(PLE!$G$14,$M589,BW$13)="",10^12,OFFSET(PLE!$G$14,$M589,BW$13))))</f>
        <v>1000000000000</v>
      </c>
      <c r="BX589" s="182">
        <f ca="1">IF($D589&lt;&gt;"Serviço",0,IF(OR(AND(AUTOEVENTO="Manual",$M589=1),$M589&gt;(ROW(PLE.lastrow)-ROW(PLE.firstrow))),0,IF(OFFSET(PLE!$G$14,$M589,BX$13)="",10^12,OFFSET(PLE!$G$14,$M589,BX$13))))</f>
        <v>1000000000000</v>
      </c>
      <c r="BY589" s="182">
        <f ca="1">IF($D589&lt;&gt;"Serviço",0,IF(OR(AND(AUTOEVENTO="Manual",$M589=1),$M589&gt;(ROW(PLE.lastrow)-ROW(PLE.firstrow))),0,IF(OFFSET(PLE!$G$14,$M589,BY$13)="",10^12,OFFSET(PLE!$G$14,$M589,BY$13))))</f>
        <v>1000000000000</v>
      </c>
      <c r="BZ589" s="182">
        <f ca="1">IF($D589&lt;&gt;"Serviço",0,IF(OR(AND(AUTOEVENTO="Manual",$M589=1),$M589&gt;(ROW(PLE.lastrow)-ROW(PLE.firstrow))),0,IF(OFFSET(PLE!$G$14,$M589,BZ$13)="",10^12,OFFSET(PLE!$G$14,$M589,BZ$13))))</f>
        <v>1000000000000</v>
      </c>
      <c r="CA589" s="182">
        <f ca="1">IF($D589&lt;&gt;"Serviço",0,IF(OR(AND(AUTOEVENTO="Manual",$M589=1),$M589&gt;(ROW(PLE.lastrow)-ROW(PLE.firstrow))),0,IF(OFFSET(PLE!$G$14,$M589,CA$13)="",10^12,OFFSET(PLE!$G$14,$M589,CA$13))))</f>
        <v>1000000000000</v>
      </c>
      <c r="CB589" s="182">
        <f ca="1">IF($D589&lt;&gt;"Serviço",0,IF(OR(AND(AUTOEVENTO="Manual",$M589=1),$M589&gt;(ROW(PLE.lastrow)-ROW(PLE.firstrow))),0,IF(OFFSET(PLE!$G$14,$M589,CB$13)="",10^12,OFFSET(PLE!$G$14,$M589,CB$13))))</f>
        <v>1000000000000</v>
      </c>
      <c r="CC589" s="182">
        <f ca="1">IF($D589&lt;&gt;"Serviço",0,IF(OR(AND(AUTOEVENTO="Manual",$M589=1),$M589&gt;(ROW(PLE.lastrow)-ROW(PLE.firstrow))),0,IF(OFFSET(PLE!$G$14,$M589,CC$13)="",10^12,OFFSET(PLE!$G$14,$M589,CC$13))))</f>
        <v>1000000000000</v>
      </c>
      <c r="CD589" s="182">
        <f ca="1">IF($D589&lt;&gt;"Serviço",0,IF(OR(AND(AUTOEVENTO="Manual",$M589=1),$M589&gt;(ROW(PLE.lastrow)-ROW(PLE.firstrow))),0,IF(OFFSET(PLE!$G$14,$M589,CD$13)="",10^12,OFFSET(PLE!$G$14,$M589,CD$13))))</f>
        <v>1000000000000</v>
      </c>
      <c r="CE589" s="182">
        <f ca="1">IF($D589&lt;&gt;"Serviço",0,IF(OR(AND(AUTOEVENTO="Manual",$M589=1),$M589&gt;(ROW(PLE.lastrow)-ROW(PLE.firstrow))),0,IF(OFFSET(PLE!$G$14,$M589,CE$13)="",10^12,OFFSET(PLE!$G$14,$M589,CE$13))))</f>
        <v>1000000000000</v>
      </c>
      <c r="CF589" s="182">
        <f ca="1">IF($D589&lt;&gt;"Serviço",0,IF(OR(AND(AUTOEVENTO="Manual",$M589=1),$M589&gt;(ROW(PLE.lastrow)-ROW(PLE.firstrow))),0,IF(OFFSET(PLE!$G$14,$M589,CF$13)="",10^12,OFFSET(PLE!$G$14,$M589,CF$13))))</f>
        <v>1000000000000</v>
      </c>
      <c r="CG589" s="182">
        <f ca="1">IF($D589&lt;&gt;"Serviço",0,IF(OR(AND(AUTOEVENTO="Manual",$M589=1),$M589&gt;(ROW(PLE.lastrow)-ROW(PLE.firstrow))),0,IF(OFFSET(PLE!$G$14,$M589,CG$13)="",10^12,OFFSET(PLE!$G$14,$M589,CG$13))))</f>
        <v>1000000000000</v>
      </c>
      <c r="CH589" s="182">
        <f ca="1">IF($D589&lt;&gt;"Serviço",0,IF(OR(AND(AUTOEVENTO="Manual",$M589=1),$M589&gt;(ROW(PLE.lastrow)-ROW(PLE.firstrow))),0,IF(OFFSET(PLE!$G$14,$M589,CH$13)="",10^12,OFFSET(PLE!$G$14,$M589,CH$13))))</f>
        <v>1000000000000</v>
      </c>
      <c r="CI589" s="182">
        <f ca="1">IF($D589&lt;&gt;"Serviço",0,IF(OR(AND(AUTOEVENTO="Manual",$M589=1),$M589&gt;(ROW(PLE.lastrow)-ROW(PLE.firstrow))),0,IF(OFFSET(PLE!$G$14,$M589,CI$13)="",10^12,OFFSET(PLE!$G$14,$M589,CI$13))))</f>
        <v>1000000000000</v>
      </c>
      <c r="CJ589" s="182">
        <f ca="1">IF($D589&lt;&gt;"Serviço",0,IF(OR(AND(AUTOEVENTO="Manual",$M589=1),$M589&gt;(ROW(PLE.lastrow)-ROW(PLE.firstrow))),0,IF(OFFSET(PLE!$G$14,$M589,CJ$13)="",10^12,OFFSET(PLE!$G$14,$M589,CJ$13))))</f>
        <v>1000000000000</v>
      </c>
      <c r="CK589" s="182">
        <f ca="1">IF($D589&lt;&gt;"Serviço",0,IF(OR(AND(AUTOEVENTO="Manual",$M589=1),$M589&gt;(ROW(PLE.lastrow)-ROW(PLE.firstrow))),0,IF(OFFSET(PLE!$G$14,$M589,CK$13)="",10^12,OFFSET(PLE!$G$14,$M589,CK$13))))</f>
        <v>1000000000000</v>
      </c>
      <c r="CL589" s="182">
        <f ca="1">IF($D589&lt;&gt;"Serviço",0,IF(OR(AND(AUTOEVENTO="Manual",$M589=1),$M589&gt;(ROW(PLE.lastrow)-ROW(PLE.firstrow))),0,IF(OFFSET(PLE!$G$14,$M589,CL$13)="",10^12,OFFSET(PLE!$G$14,$M589,CL$13))))</f>
        <v>1000000000000</v>
      </c>
      <c r="CM589" s="182">
        <f ca="1">IF($D589&lt;&gt;"Serviço",0,IF(OR(AND(AUTOEVENTO="Manual",$M589=1),$M589&gt;(ROW(PLE.lastrow)-ROW(PLE.firstrow))),0,IF(OFFSET(PLE!$G$14,$M589,CM$13)="",10^12,OFFSET(PLE!$G$14,$M589,CM$13))))</f>
        <v>1000000000000</v>
      </c>
    </row>
    <row r="590" spans="1:91" ht="25.5" x14ac:dyDescent="0.2">
      <c r="A590" s="7" t="str">
        <f t="shared" ca="1" si="18"/>
        <v>565</v>
      </c>
      <c r="B590" s="7" t="str">
        <f ca="1">OFFSET(ORÇAMENTO!C$15,ROW(B590)-ROW(B$15),0)</f>
        <v>S</v>
      </c>
      <c r="C590" s="7" t="str">
        <f ca="1">OFFSET(ORÇAMENTO!L$15,ROW(C590)-ROW(C$15),0)</f>
        <v/>
      </c>
      <c r="D590" s="118" t="str">
        <f ca="1">OFFSET(ORÇAMENTO!N$15,ROW(D590)-ROW(D$15),0)</f>
        <v>Serviço</v>
      </c>
      <c r="E590" s="119" t="str">
        <f ca="1">OFFSET(ORÇAMENTO!O$15,ROW(E590)-ROW(E$15),0)</f>
        <v>-</v>
      </c>
      <c r="F590" s="172" t="str">
        <f ca="1">OFFSET(ORÇAMENTO!R$15,ROW(F590)-ROW(F$15),0)</f>
        <v>(abra o arquivo 'Referência 06-2024.xlsm)</v>
      </c>
      <c r="G590" s="173" t="str">
        <f ca="1">IF($D590&lt;&gt;"Serviço","",OFFSET(ORÇAMENTO!S$15,ROW(G590)-ROW(G$15),0))</f>
        <v>-</v>
      </c>
      <c r="H590" s="124">
        <f ca="1">IF($D590&lt;&gt;"Serviço",0,IF(ACOMPANHAMENTO="BM",ROUND(OFFSET(ORÇAMENTO!AJ$15,ROW(H590)-ROW(H$15),0),15-13*ORÇAMENTO!$AF$7),SUMPRODUCT(($Q$12:$AI$12&lt;&gt;"")*ROUND($Q590:$AI590,15-13*ORÇAMENTO!$AF$7))))</f>
        <v>3</v>
      </c>
      <c r="I590" s="561" t="s">
        <v>1107</v>
      </c>
      <c r="K590" s="174"/>
      <c r="L590" s="175" t="s">
        <v>255</v>
      </c>
      <c r="M590" s="176">
        <f ca="1">IF($D590&lt;&gt;"Serviço","",IF(AUTOEVENTO="manual",$A590,IF(ISERROR(MATCH($A590,$A$15:OFFSET($A590,-1,0),0)),MAX($M$15:OFFSET(M590,-1,0))+1,INDEX($M$15:OFFSET(M590,-1,0),MATCH($A590,$A$15:OFFSET($A590,-1,0),0)))))</f>
        <v>59</v>
      </c>
      <c r="N590" s="177" t="str">
        <f ca="1">IF($D590&lt;&gt;"Serviço","",IF(AUTOEVENTO="Manual",IF($A590=0,"&lt;-- defina o número do agrupador",OFFSET(EVENTOS!$D$14,$A590,0)),OFFSET($F$15,$A590,0)))</f>
        <v>INSTALAÇÃO ELÉTRICA 110V - ELETRODUTOS</v>
      </c>
      <c r="O590" s="178"/>
      <c r="Q590" s="178">
        <v>3</v>
      </c>
      <c r="R590" s="179"/>
      <c r="S590" s="179"/>
      <c r="T590" s="179"/>
      <c r="U590" s="179"/>
      <c r="V590" s="179"/>
      <c r="W590" s="179"/>
      <c r="X590" s="179"/>
      <c r="Y590" s="179"/>
      <c r="Z590" s="180"/>
      <c r="AA590" s="179"/>
      <c r="AB590" s="179"/>
      <c r="AC590" s="179"/>
      <c r="AD590" s="179"/>
      <c r="AE590" s="179"/>
      <c r="AF590" s="179"/>
      <c r="AG590" s="179"/>
      <c r="AH590" s="180"/>
      <c r="AJ590" s="544">
        <f ca="1">IF(AND($D590="Serviço",AJ$12&lt;&gt;0,$H590&gt;0,OR(AUTOEVENTO&lt;&gt;"manual",$M590&lt;&gt;1)),
IF(Import.TipoArredondamento&lt;&gt;"TransfereGOV",
ROUND(OFFSET($P590,0,AJ$13),15-13*ORÇAMENTO!$AF$7)/$H590*OFFSET(ORÇAMENTO!$X$15,ROW(AJ590)-ROW(AJ$15),0),
ROUND(ROUND(OFFSET($P590,0,AJ$13),15-13*ORÇAMENTO!$AF$7)*OFFSET(ORÇAMENTO!$W$15,ROW(AJ590)-ROW(AJ$15),0),15-13*ORÇAMENTO!$AF$11)),0)</f>
        <v>0</v>
      </c>
      <c r="AK590" s="545">
        <f ca="1">IF(AND($D590="Serviço",AK$12&lt;&gt;0,$H590&gt;0,OR(AUTOEVENTO&lt;&gt;"manual",$M590&lt;&gt;1)),
IF(Import.TipoArredondamento&lt;&gt;"TransfereGOV",
ROUND(OFFSET($P590,0,AK$13),15-13*ORÇAMENTO!$AF$7)/$H590*OFFSET(ORÇAMENTO!$X$15,ROW(AK590)-ROW(AK$15),0),
ROUND(ROUND(OFFSET($P590,0,AK$13),15-13*ORÇAMENTO!$AF$7)*OFFSET(ORÇAMENTO!$W$15,ROW(AK590)-ROW(AK$15),0),15-13*ORÇAMENTO!$AF$11)),0)</f>
        <v>0</v>
      </c>
      <c r="AL590" s="545">
        <f ca="1">IF(AND($D590="Serviço",AL$12&lt;&gt;0,$H590&gt;0,OR(AUTOEVENTO&lt;&gt;"manual",$M590&lt;&gt;1)),
IF(Import.TipoArredondamento&lt;&gt;"TransfereGOV",
ROUND(OFFSET($P590,0,AL$13),15-13*ORÇAMENTO!$AF$7)/$H590*OFFSET(ORÇAMENTO!$X$15,ROW(AL590)-ROW(AL$15),0),
ROUND(ROUND(OFFSET($P590,0,AL$13),15-13*ORÇAMENTO!$AF$7)*OFFSET(ORÇAMENTO!$W$15,ROW(AL590)-ROW(AL$15),0),15-13*ORÇAMENTO!$AF$11)),0)</f>
        <v>0</v>
      </c>
      <c r="AM590" s="545">
        <f ca="1">IF(AND($D590="Serviço",AM$12&lt;&gt;0,$H590&gt;0,OR(AUTOEVENTO&lt;&gt;"manual",$M590&lt;&gt;1)),
IF(Import.TipoArredondamento&lt;&gt;"TransfereGOV",
ROUND(OFFSET($P590,0,AM$13),15-13*ORÇAMENTO!$AF$7)/$H590*OFFSET(ORÇAMENTO!$X$15,ROW(AM590)-ROW(AM$15),0),
ROUND(ROUND(OFFSET($P590,0,AM$13),15-13*ORÇAMENTO!$AF$7)*OFFSET(ORÇAMENTO!$W$15,ROW(AM590)-ROW(AM$15),0),15-13*ORÇAMENTO!$AF$11)),0)</f>
        <v>0</v>
      </c>
      <c r="AN590" s="545">
        <f ca="1">IF(AND($D590="Serviço",AN$12&lt;&gt;0,$H590&gt;0,OR(AUTOEVENTO&lt;&gt;"manual",$M590&lt;&gt;1)),
IF(Import.TipoArredondamento&lt;&gt;"TransfereGOV",
ROUND(OFFSET($P590,0,AN$13),15-13*ORÇAMENTO!$AF$7)/$H590*OFFSET(ORÇAMENTO!$X$15,ROW(AN590)-ROW(AN$15),0),
ROUND(ROUND(OFFSET($P590,0,AN$13),15-13*ORÇAMENTO!$AF$7)*OFFSET(ORÇAMENTO!$W$15,ROW(AN590)-ROW(AN$15),0),15-13*ORÇAMENTO!$AF$11)),0)</f>
        <v>0</v>
      </c>
      <c r="AO590" s="545">
        <f ca="1">IF(AND($D590="Serviço",AO$12&lt;&gt;0,$H590&gt;0,OR(AUTOEVENTO&lt;&gt;"manual",$M590&lt;&gt;1)),
IF(Import.TipoArredondamento&lt;&gt;"TransfereGOV",
ROUND(OFFSET($P590,0,AO$13),15-13*ORÇAMENTO!$AF$7)/$H590*OFFSET(ORÇAMENTO!$X$15,ROW(AO590)-ROW(AO$15),0),
ROUND(ROUND(OFFSET($P590,0,AO$13),15-13*ORÇAMENTO!$AF$7)*OFFSET(ORÇAMENTO!$W$15,ROW(AO590)-ROW(AO$15),0),15-13*ORÇAMENTO!$AF$11)),0)</f>
        <v>0</v>
      </c>
      <c r="AP590" s="545">
        <f ca="1">IF(AND($D590="Serviço",AP$12&lt;&gt;0,$H590&gt;0,OR(AUTOEVENTO&lt;&gt;"manual",$M590&lt;&gt;1)),
IF(Import.TipoArredondamento&lt;&gt;"TransfereGOV",
ROUND(OFFSET($P590,0,AP$13),15-13*ORÇAMENTO!$AF$7)/$H590*OFFSET(ORÇAMENTO!$X$15,ROW(AP590)-ROW(AP$15),0),
ROUND(ROUND(OFFSET($P590,0,AP$13),15-13*ORÇAMENTO!$AF$7)*OFFSET(ORÇAMENTO!$W$15,ROW(AP590)-ROW(AP$15),0),15-13*ORÇAMENTO!$AF$11)),0)</f>
        <v>0</v>
      </c>
      <c r="AQ590" s="545">
        <f ca="1">IF(AND($D590="Serviço",AQ$12&lt;&gt;0,$H590&gt;0,OR(AUTOEVENTO&lt;&gt;"manual",$M590&lt;&gt;1)),
IF(Import.TipoArredondamento&lt;&gt;"TransfereGOV",
ROUND(OFFSET($P590,0,AQ$13),15-13*ORÇAMENTO!$AF$7)/$H590*OFFSET(ORÇAMENTO!$X$15,ROW(AQ590)-ROW(AQ$15),0),
ROUND(ROUND(OFFSET($P590,0,AQ$13),15-13*ORÇAMENTO!$AF$7)*OFFSET(ORÇAMENTO!$W$15,ROW(AQ590)-ROW(AQ$15),0),15-13*ORÇAMENTO!$AF$11)),0)</f>
        <v>0</v>
      </c>
      <c r="AR590" s="545">
        <f ca="1">IF(AND($D590="Serviço",AR$12&lt;&gt;0,$H590&gt;0,OR(AUTOEVENTO&lt;&gt;"manual",$M590&lt;&gt;1)),
IF(Import.TipoArredondamento&lt;&gt;"TransfereGOV",
ROUND(OFFSET($P590,0,AR$13),15-13*ORÇAMENTO!$AF$7)/$H590*OFFSET(ORÇAMENTO!$X$15,ROW(AR590)-ROW(AR$15),0),
ROUND(ROUND(OFFSET($P590,0,AR$13),15-13*ORÇAMENTO!$AF$7)*OFFSET(ORÇAMENTO!$W$15,ROW(AR590)-ROW(AR$15),0),15-13*ORÇAMENTO!$AF$11)),0)</f>
        <v>0</v>
      </c>
      <c r="AS590" s="546">
        <f ca="1">IF(AND($D590="Serviço",AS$12&lt;&gt;0,$H590&gt;0,OR(AUTOEVENTO&lt;&gt;"manual",$M590&lt;&gt;1)),
IF(Import.TipoArredondamento&lt;&gt;"TransfereGOV",
ROUND(OFFSET($P590,0,AS$13),15-13*ORÇAMENTO!$AF$7)/$H590*OFFSET(ORÇAMENTO!$X$15,ROW(AS590)-ROW(AS$15),0),
ROUND(ROUND(OFFSET($P590,0,AS$13),15-13*ORÇAMENTO!$AF$7)*OFFSET(ORÇAMENTO!$W$15,ROW(AS590)-ROW(AS$15),0),15-13*ORÇAMENTO!$AF$11)),0)</f>
        <v>0</v>
      </c>
      <c r="AT590" s="545">
        <f ca="1">IF(AND($D590="Serviço",AT$12&lt;&gt;0,$H590&gt;0,OR(AUTOEVENTO&lt;&gt;"manual",$M590&lt;&gt;1)),
IF(Import.TipoArredondamento&lt;&gt;"TransfereGOV",
ROUND(OFFSET($P590,0,AT$13),15-13*ORÇAMENTO!$AF$7)/$H590*OFFSET(ORÇAMENTO!$X$15,ROW(AT590)-ROW(AT$15),0),
ROUND(ROUND(OFFSET($P590,0,AT$13),15-13*ORÇAMENTO!$AF$7)*OFFSET(ORÇAMENTO!$W$15,ROW(AT590)-ROW(AT$15),0),15-13*ORÇAMENTO!$AF$11)),0)</f>
        <v>0</v>
      </c>
      <c r="AU590" s="545">
        <f ca="1">IF(AND($D590="Serviço",AU$12&lt;&gt;0,$H590&gt;0,OR(AUTOEVENTO&lt;&gt;"manual",$M590&lt;&gt;1)),
IF(Import.TipoArredondamento&lt;&gt;"TransfereGOV",
ROUND(OFFSET($P590,0,AU$13),15-13*ORÇAMENTO!$AF$7)/$H590*OFFSET(ORÇAMENTO!$X$15,ROW(AU590)-ROW(AU$15),0),
ROUND(ROUND(OFFSET($P590,0,AU$13),15-13*ORÇAMENTO!$AF$7)*OFFSET(ORÇAMENTO!$W$15,ROW(AU590)-ROW(AU$15),0),15-13*ORÇAMENTO!$AF$11)),0)</f>
        <v>0</v>
      </c>
      <c r="AV590" s="545">
        <f ca="1">IF(AND($D590="Serviço",AV$12&lt;&gt;0,$H590&gt;0,OR(AUTOEVENTO&lt;&gt;"manual",$M590&lt;&gt;1)),
IF(Import.TipoArredondamento&lt;&gt;"TransfereGOV",
ROUND(OFFSET($P590,0,AV$13),15-13*ORÇAMENTO!$AF$7)/$H590*OFFSET(ORÇAMENTO!$X$15,ROW(AV590)-ROW(AV$15),0),
ROUND(ROUND(OFFSET($P590,0,AV$13),15-13*ORÇAMENTO!$AF$7)*OFFSET(ORÇAMENTO!$W$15,ROW(AV590)-ROW(AV$15),0),15-13*ORÇAMENTO!$AF$11)),0)</f>
        <v>0</v>
      </c>
      <c r="AW590" s="545">
        <f ca="1">IF(AND($D590="Serviço",AW$12&lt;&gt;0,$H590&gt;0,OR(AUTOEVENTO&lt;&gt;"manual",$M590&lt;&gt;1)),
IF(Import.TipoArredondamento&lt;&gt;"TransfereGOV",
ROUND(OFFSET($P590,0,AW$13),15-13*ORÇAMENTO!$AF$7)/$H590*OFFSET(ORÇAMENTO!$X$15,ROW(AW590)-ROW(AW$15),0),
ROUND(ROUND(OFFSET($P590,0,AW$13),15-13*ORÇAMENTO!$AF$7)*OFFSET(ORÇAMENTO!$W$15,ROW(AW590)-ROW(AW$15),0),15-13*ORÇAMENTO!$AF$11)),0)</f>
        <v>0</v>
      </c>
      <c r="AX590" s="545">
        <f ca="1">IF(AND($D590="Serviço",AX$12&lt;&gt;0,$H590&gt;0,OR(AUTOEVENTO&lt;&gt;"manual",$M590&lt;&gt;1)),
IF(Import.TipoArredondamento&lt;&gt;"TransfereGOV",
ROUND(OFFSET($P590,0,AX$13),15-13*ORÇAMENTO!$AF$7)/$H590*OFFSET(ORÇAMENTO!$X$15,ROW(AX590)-ROW(AX$15),0),
ROUND(ROUND(OFFSET($P590,0,AX$13),15-13*ORÇAMENTO!$AF$7)*OFFSET(ORÇAMENTO!$W$15,ROW(AX590)-ROW(AX$15),0),15-13*ORÇAMENTO!$AF$11)),0)</f>
        <v>0</v>
      </c>
      <c r="AY590" s="545">
        <f ca="1">IF(AND($D590="Serviço",AY$12&lt;&gt;0,$H590&gt;0,OR(AUTOEVENTO&lt;&gt;"manual",$M590&lt;&gt;1)),
IF(Import.TipoArredondamento&lt;&gt;"TransfereGOV",
ROUND(OFFSET($P590,0,AY$13),15-13*ORÇAMENTO!$AF$7)/$H590*OFFSET(ORÇAMENTO!$X$15,ROW(AY590)-ROW(AY$15),0),
ROUND(ROUND(OFFSET($P590,0,AY$13),15-13*ORÇAMENTO!$AF$7)*OFFSET(ORÇAMENTO!$W$15,ROW(AY590)-ROW(AY$15),0),15-13*ORÇAMENTO!$AF$11)),0)</f>
        <v>0</v>
      </c>
      <c r="AZ590" s="545">
        <f ca="1">IF(AND($D590="Serviço",AZ$12&lt;&gt;0,$H590&gt;0,OR(AUTOEVENTO&lt;&gt;"manual",$M590&lt;&gt;1)),
IF(Import.TipoArredondamento&lt;&gt;"TransfereGOV",
ROUND(OFFSET($P590,0,AZ$13),15-13*ORÇAMENTO!$AF$7)/$H590*OFFSET(ORÇAMENTO!$X$15,ROW(AZ590)-ROW(AZ$15),0),
ROUND(ROUND(OFFSET($P590,0,AZ$13),15-13*ORÇAMENTO!$AF$7)*OFFSET(ORÇAMENTO!$W$15,ROW(AZ590)-ROW(AZ$15),0),15-13*ORÇAMENTO!$AF$11)),0)</f>
        <v>0</v>
      </c>
      <c r="BA590" s="546">
        <f ca="1">IF(AND($D590="Serviço",BA$12&lt;&gt;0,$H590&gt;0,OR(AUTOEVENTO&lt;&gt;"manual",$M590&lt;&gt;1)),
IF(Import.TipoArredondamento&lt;&gt;"TransfereGOV",
ROUND(OFFSET($P590,0,BA$13),15-13*ORÇAMENTO!$AF$7)/$H590*OFFSET(ORÇAMENTO!$X$15,ROW(BA590)-ROW(BA$15),0),
ROUND(ROUND(OFFSET($P590,0,BA$13),15-13*ORÇAMENTO!$AF$7)*OFFSET(ORÇAMENTO!$W$15,ROW(BA590)-ROW(BA$15),0),15-13*ORÇAMENTO!$AF$11)),0)</f>
        <v>0</v>
      </c>
      <c r="BC590" s="181">
        <f ca="1">IF($D590&lt;&gt;"Serviço",0,IF(AND(AUTOEVENTO="Manual",$M590=1),0,IF(OFFSET(CRONOPLE!$F$14,$M590,BC$13)="",10^12,OFFSET(CRONOPLE!$F$14,$M590,BC$13))))</f>
        <v>11</v>
      </c>
      <c r="BD590" s="181">
        <f ca="1">IF($D590&lt;&gt;"Serviço",0,IF(AND(AUTOEVENTO="Manual",$M590=1),0,IF(OFFSET(CRONOPLE!$F$14,$M590,BD$13)="",10^12,OFFSET(CRONOPLE!$F$14,$M590,BD$13))))</f>
        <v>1000000000000</v>
      </c>
      <c r="BE590" s="181">
        <f ca="1">IF($D590&lt;&gt;"Serviço",0,IF(AND(AUTOEVENTO="Manual",$M590=1),0,IF(OFFSET(CRONOPLE!$F$14,$M590,BE$13)="",10^12,OFFSET(CRONOPLE!$F$14,$M590,BE$13))))</f>
        <v>1000000000000</v>
      </c>
      <c r="BF590" s="181">
        <f ca="1">IF($D590&lt;&gt;"Serviço",0,IF(AND(AUTOEVENTO="Manual",$M590=1),0,IF(OFFSET(CRONOPLE!$F$14,$M590,BF$13)="",10^12,OFFSET(CRONOPLE!$F$14,$M590,BF$13))))</f>
        <v>1000000000000</v>
      </c>
      <c r="BG590" s="181">
        <f ca="1">IF($D590&lt;&gt;"Serviço",0,IF(AND(AUTOEVENTO="Manual",$M590=1),0,IF(OFFSET(CRONOPLE!$F$14,$M590,BG$13)="",10^12,OFFSET(CRONOPLE!$F$14,$M590,BG$13))))</f>
        <v>1000000000000</v>
      </c>
      <c r="BH590" s="181">
        <f ca="1">IF($D590&lt;&gt;"Serviço",0,IF(AND(AUTOEVENTO="Manual",$M590=1),0,IF(OFFSET(CRONOPLE!$F$14,$M590,BH$13)="",10^12,OFFSET(CRONOPLE!$F$14,$M590,BH$13))))</f>
        <v>1000000000000</v>
      </c>
      <c r="BI590" s="181">
        <f ca="1">IF($D590&lt;&gt;"Serviço",0,IF(AND(AUTOEVENTO="Manual",$M590=1),0,IF(OFFSET(CRONOPLE!$F$14,$M590,BI$13)="",10^12,OFFSET(CRONOPLE!$F$14,$M590,BI$13))))</f>
        <v>1000000000000</v>
      </c>
      <c r="BJ590" s="181">
        <f ca="1">IF($D590&lt;&gt;"Serviço",0,IF(AND(AUTOEVENTO="Manual",$M590=1),0,IF(OFFSET(CRONOPLE!$F$14,$M590,BJ$13)="",10^12,OFFSET(CRONOPLE!$F$14,$M590,BJ$13))))</f>
        <v>1000000000000</v>
      </c>
      <c r="BK590" s="181">
        <f ca="1">IF($D590&lt;&gt;"Serviço",0,IF(AND(AUTOEVENTO="Manual",$M590=1),0,IF(OFFSET(CRONOPLE!$F$14,$M590,BK$13)="",10^12,OFFSET(CRONOPLE!$F$14,$M590,BK$13))))</f>
        <v>1000000000000</v>
      </c>
      <c r="BL590" s="181">
        <f ca="1">IF($D590&lt;&gt;"Serviço",0,IF(AND(AUTOEVENTO="Manual",$M590=1),0,IF(OFFSET(CRONOPLE!$F$14,$M590,BL$13)="",10^12,OFFSET(CRONOPLE!$F$14,$M590,BL$13))))</f>
        <v>1000000000000</v>
      </c>
      <c r="BM590" s="181">
        <f ca="1">IF($D590&lt;&gt;"Serviço",0,IF(AND(AUTOEVENTO="Manual",$M590=1),0,IF(OFFSET(CRONOPLE!$F$14,$M590,BM$13)="",10^12,OFFSET(CRONOPLE!$F$14,$M590,BM$13))))</f>
        <v>1000000000000</v>
      </c>
      <c r="BN590" s="181">
        <f ca="1">IF($D590&lt;&gt;"Serviço",0,IF(AND(AUTOEVENTO="Manual",$M590=1),0,IF(OFFSET(CRONOPLE!$F$14,$M590,BN$13)="",10^12,OFFSET(CRONOPLE!$F$14,$M590,BN$13))))</f>
        <v>1000000000000</v>
      </c>
      <c r="BO590" s="181">
        <f ca="1">IF($D590&lt;&gt;"Serviço",0,IF(AND(AUTOEVENTO="Manual",$M590=1),0,IF(OFFSET(CRONOPLE!$F$14,$M590,BO$13)="",10^12,OFFSET(CRONOPLE!$F$14,$M590,BO$13))))</f>
        <v>1000000000000</v>
      </c>
      <c r="BP590" s="181">
        <f ca="1">IF($D590&lt;&gt;"Serviço",0,IF(AND(AUTOEVENTO="Manual",$M590=1),0,IF(OFFSET(CRONOPLE!$F$14,$M590,BP$13)="",10^12,OFFSET(CRONOPLE!$F$14,$M590,BP$13))))</f>
        <v>1000000000000</v>
      </c>
      <c r="BQ590" s="181">
        <f ca="1">IF($D590&lt;&gt;"Serviço",0,IF(AND(AUTOEVENTO="Manual",$M590=1),0,IF(OFFSET(CRONOPLE!$F$14,$M590,BQ$13)="",10^12,OFFSET(CRONOPLE!$F$14,$M590,BQ$13))))</f>
        <v>1000000000000</v>
      </c>
      <c r="BR590" s="181">
        <f ca="1">IF($D590&lt;&gt;"Serviço",0,IF(AND(AUTOEVENTO="Manual",$M590=1),0,IF(OFFSET(CRONOPLE!$F$14,$M590,BR$13)="",10^12,OFFSET(CRONOPLE!$F$14,$M590,BR$13))))</f>
        <v>1000000000000</v>
      </c>
      <c r="BS590" s="181">
        <f ca="1">IF($D590&lt;&gt;"Serviço",0,IF(AND(AUTOEVENTO="Manual",$M590=1),0,IF(OFFSET(CRONOPLE!$F$14,$M590,BS$13)="",10^12,OFFSET(CRONOPLE!$F$14,$M590,BS$13))))</f>
        <v>1000000000000</v>
      </c>
      <c r="BT590" s="181">
        <f ca="1">IF($D590&lt;&gt;"Serviço",0,IF(AND(AUTOEVENTO="Manual",$M590=1),0,IF(OFFSET(CRONOPLE!$F$14,$M590,BT$13)="",10^12,OFFSET(CRONOPLE!$F$14,$M590,BT$13))))</f>
        <v>1000000000000</v>
      </c>
      <c r="BV590" s="182">
        <f ca="1">IF($D590&lt;&gt;"Serviço",0,IF(OR(AND(AUTOEVENTO="Manual",$M590=1),$M590&gt;(ROW(PLE.lastrow)-ROW(PLE.firstrow))),0,IF(OFFSET(PLE!$G$14,$M590,BV$13)="",10^12,OFFSET(PLE!$G$14,$M590,BV$13))))</f>
        <v>1000000000000</v>
      </c>
      <c r="BW590" s="182">
        <f ca="1">IF($D590&lt;&gt;"Serviço",0,IF(OR(AND(AUTOEVENTO="Manual",$M590=1),$M590&gt;(ROW(PLE.lastrow)-ROW(PLE.firstrow))),0,IF(OFFSET(PLE!$G$14,$M590,BW$13)="",10^12,OFFSET(PLE!$G$14,$M590,BW$13))))</f>
        <v>1000000000000</v>
      </c>
      <c r="BX590" s="182">
        <f ca="1">IF($D590&lt;&gt;"Serviço",0,IF(OR(AND(AUTOEVENTO="Manual",$M590=1),$M590&gt;(ROW(PLE.lastrow)-ROW(PLE.firstrow))),0,IF(OFFSET(PLE!$G$14,$M590,BX$13)="",10^12,OFFSET(PLE!$G$14,$M590,BX$13))))</f>
        <v>1000000000000</v>
      </c>
      <c r="BY590" s="182">
        <f ca="1">IF($D590&lt;&gt;"Serviço",0,IF(OR(AND(AUTOEVENTO="Manual",$M590=1),$M590&gt;(ROW(PLE.lastrow)-ROW(PLE.firstrow))),0,IF(OFFSET(PLE!$G$14,$M590,BY$13)="",10^12,OFFSET(PLE!$G$14,$M590,BY$13))))</f>
        <v>1000000000000</v>
      </c>
      <c r="BZ590" s="182">
        <f ca="1">IF($D590&lt;&gt;"Serviço",0,IF(OR(AND(AUTOEVENTO="Manual",$M590=1),$M590&gt;(ROW(PLE.lastrow)-ROW(PLE.firstrow))),0,IF(OFFSET(PLE!$G$14,$M590,BZ$13)="",10^12,OFFSET(PLE!$G$14,$M590,BZ$13))))</f>
        <v>1000000000000</v>
      </c>
      <c r="CA590" s="182">
        <f ca="1">IF($D590&lt;&gt;"Serviço",0,IF(OR(AND(AUTOEVENTO="Manual",$M590=1),$M590&gt;(ROW(PLE.lastrow)-ROW(PLE.firstrow))),0,IF(OFFSET(PLE!$G$14,$M590,CA$13)="",10^12,OFFSET(PLE!$G$14,$M590,CA$13))))</f>
        <v>1000000000000</v>
      </c>
      <c r="CB590" s="182">
        <f ca="1">IF($D590&lt;&gt;"Serviço",0,IF(OR(AND(AUTOEVENTO="Manual",$M590=1),$M590&gt;(ROW(PLE.lastrow)-ROW(PLE.firstrow))),0,IF(OFFSET(PLE!$G$14,$M590,CB$13)="",10^12,OFFSET(PLE!$G$14,$M590,CB$13))))</f>
        <v>1000000000000</v>
      </c>
      <c r="CC590" s="182">
        <f ca="1">IF($D590&lt;&gt;"Serviço",0,IF(OR(AND(AUTOEVENTO="Manual",$M590=1),$M590&gt;(ROW(PLE.lastrow)-ROW(PLE.firstrow))),0,IF(OFFSET(PLE!$G$14,$M590,CC$13)="",10^12,OFFSET(PLE!$G$14,$M590,CC$13))))</f>
        <v>1000000000000</v>
      </c>
      <c r="CD590" s="182">
        <f ca="1">IF($D590&lt;&gt;"Serviço",0,IF(OR(AND(AUTOEVENTO="Manual",$M590=1),$M590&gt;(ROW(PLE.lastrow)-ROW(PLE.firstrow))),0,IF(OFFSET(PLE!$G$14,$M590,CD$13)="",10^12,OFFSET(PLE!$G$14,$M590,CD$13))))</f>
        <v>1000000000000</v>
      </c>
      <c r="CE590" s="182">
        <f ca="1">IF($D590&lt;&gt;"Serviço",0,IF(OR(AND(AUTOEVENTO="Manual",$M590=1),$M590&gt;(ROW(PLE.lastrow)-ROW(PLE.firstrow))),0,IF(OFFSET(PLE!$G$14,$M590,CE$13)="",10^12,OFFSET(PLE!$G$14,$M590,CE$13))))</f>
        <v>1000000000000</v>
      </c>
      <c r="CF590" s="182">
        <f ca="1">IF($D590&lt;&gt;"Serviço",0,IF(OR(AND(AUTOEVENTO="Manual",$M590=1),$M590&gt;(ROW(PLE.lastrow)-ROW(PLE.firstrow))),0,IF(OFFSET(PLE!$G$14,$M590,CF$13)="",10^12,OFFSET(PLE!$G$14,$M590,CF$13))))</f>
        <v>1000000000000</v>
      </c>
      <c r="CG590" s="182">
        <f ca="1">IF($D590&lt;&gt;"Serviço",0,IF(OR(AND(AUTOEVENTO="Manual",$M590=1),$M590&gt;(ROW(PLE.lastrow)-ROW(PLE.firstrow))),0,IF(OFFSET(PLE!$G$14,$M590,CG$13)="",10^12,OFFSET(PLE!$G$14,$M590,CG$13))))</f>
        <v>1000000000000</v>
      </c>
      <c r="CH590" s="182">
        <f ca="1">IF($D590&lt;&gt;"Serviço",0,IF(OR(AND(AUTOEVENTO="Manual",$M590=1),$M590&gt;(ROW(PLE.lastrow)-ROW(PLE.firstrow))),0,IF(OFFSET(PLE!$G$14,$M590,CH$13)="",10^12,OFFSET(PLE!$G$14,$M590,CH$13))))</f>
        <v>1000000000000</v>
      </c>
      <c r="CI590" s="182">
        <f ca="1">IF($D590&lt;&gt;"Serviço",0,IF(OR(AND(AUTOEVENTO="Manual",$M590=1),$M590&gt;(ROW(PLE.lastrow)-ROW(PLE.firstrow))),0,IF(OFFSET(PLE!$G$14,$M590,CI$13)="",10^12,OFFSET(PLE!$G$14,$M590,CI$13))))</f>
        <v>1000000000000</v>
      </c>
      <c r="CJ590" s="182">
        <f ca="1">IF($D590&lt;&gt;"Serviço",0,IF(OR(AND(AUTOEVENTO="Manual",$M590=1),$M590&gt;(ROW(PLE.lastrow)-ROW(PLE.firstrow))),0,IF(OFFSET(PLE!$G$14,$M590,CJ$13)="",10^12,OFFSET(PLE!$G$14,$M590,CJ$13))))</f>
        <v>1000000000000</v>
      </c>
      <c r="CK590" s="182">
        <f ca="1">IF($D590&lt;&gt;"Serviço",0,IF(OR(AND(AUTOEVENTO="Manual",$M590=1),$M590&gt;(ROW(PLE.lastrow)-ROW(PLE.firstrow))),0,IF(OFFSET(PLE!$G$14,$M590,CK$13)="",10^12,OFFSET(PLE!$G$14,$M590,CK$13))))</f>
        <v>1000000000000</v>
      </c>
      <c r="CL590" s="182">
        <f ca="1">IF($D590&lt;&gt;"Serviço",0,IF(OR(AND(AUTOEVENTO="Manual",$M590=1),$M590&gt;(ROW(PLE.lastrow)-ROW(PLE.firstrow))),0,IF(OFFSET(PLE!$G$14,$M590,CL$13)="",10^12,OFFSET(PLE!$G$14,$M590,CL$13))))</f>
        <v>1000000000000</v>
      </c>
      <c r="CM590" s="182">
        <f ca="1">IF($D590&lt;&gt;"Serviço",0,IF(OR(AND(AUTOEVENTO="Manual",$M590=1),$M590&gt;(ROW(PLE.lastrow)-ROW(PLE.firstrow))),0,IF(OFFSET(PLE!$G$14,$M590,CM$13)="",10^12,OFFSET(PLE!$G$14,$M590,CM$13))))</f>
        <v>1000000000000</v>
      </c>
    </row>
    <row r="591" spans="1:91" ht="12.75" x14ac:dyDescent="0.2">
      <c r="A591" s="7" t="str">
        <f t="shared" ca="1" si="18"/>
        <v>576.</v>
      </c>
      <c r="B591" s="7">
        <f ca="1">OFFSET(ORÇAMENTO!C$15,ROW(B591)-ROW(B$15),0)</f>
        <v>2</v>
      </c>
      <c r="C591" s="7" t="str">
        <f ca="1">OFFSET(ORÇAMENTO!L$15,ROW(C591)-ROW(C$15),0)</f>
        <v>F</v>
      </c>
      <c r="D591" s="118" t="str">
        <f ca="1">OFFSET(ORÇAMENTO!N$15,ROW(D591)-ROW(D$15),0)</f>
        <v>Nível 2</v>
      </c>
      <c r="E591" s="119" t="str">
        <f ca="1">OFFSET(ORÇAMENTO!O$15,ROW(E591)-ROW(E$15),0)</f>
        <v>1.59.</v>
      </c>
      <c r="F591" s="172" t="str">
        <f ca="1">OFFSET(ORÇAMENTO!R$15,ROW(F591)-ROW(F$15),0)</f>
        <v>INSTALAÇÃO ELÉTRICA 110V - PERFILADOS</v>
      </c>
      <c r="G591" s="173" t="str">
        <f ca="1">IF($D591&lt;&gt;"Serviço","",OFFSET(ORÇAMENTO!S$15,ROW(G591)-ROW(G$15),0))</f>
        <v/>
      </c>
      <c r="H591" s="124">
        <f ca="1">IF($D591&lt;&gt;"Serviço",0,IF(ACOMPANHAMENTO="BM",ROUND(OFFSET(ORÇAMENTO!AJ$15,ROW(H591)-ROW(H$15),0),15-13*ORÇAMENTO!$AF$7),SUMPRODUCT(($Q$12:$AI$12&lt;&gt;"")*ROUND($Q591:$AI591,15-13*ORÇAMENTO!$AF$7))))</f>
        <v>0</v>
      </c>
      <c r="I591" s="561"/>
      <c r="K591" s="174"/>
      <c r="L591" s="175" t="s">
        <v>255</v>
      </c>
      <c r="M591" s="176" t="str">
        <f ca="1">IF($D591&lt;&gt;"Serviço","",IF(AUTOEVENTO="manual",$A591,IF(ISERROR(MATCH($A591,$A$15:OFFSET($A591,-1,0),0)),MAX($M$15:OFFSET(M591,-1,0))+1,INDEX($M$15:OFFSET(M591,-1,0),MATCH($A591,$A$15:OFFSET($A591,-1,0),0)))))</f>
        <v/>
      </c>
      <c r="N591" s="177" t="str">
        <f ca="1">IF($D591&lt;&gt;"Serviço","",IF(AUTOEVENTO="Manual",IF($A591=0,"&lt;-- defina o número do agrupador",OFFSET(EVENTOS!$D$14,$A591,0)),OFFSET($F$15,$A591,0)))</f>
        <v/>
      </c>
      <c r="O591" s="178"/>
      <c r="Q591" s="178">
        <v>0</v>
      </c>
      <c r="R591" s="179"/>
      <c r="S591" s="179"/>
      <c r="T591" s="179"/>
      <c r="U591" s="179"/>
      <c r="V591" s="179"/>
      <c r="W591" s="179"/>
      <c r="X591" s="179"/>
      <c r="Y591" s="179"/>
      <c r="Z591" s="180"/>
      <c r="AA591" s="179"/>
      <c r="AB591" s="179"/>
      <c r="AC591" s="179"/>
      <c r="AD591" s="179"/>
      <c r="AE591" s="179"/>
      <c r="AF591" s="179"/>
      <c r="AG591" s="179"/>
      <c r="AH591" s="180"/>
      <c r="AJ591" s="544">
        <f ca="1">IF(AND($D591="Serviço",AJ$12&lt;&gt;0,$H591&gt;0,OR(AUTOEVENTO&lt;&gt;"manual",$M591&lt;&gt;1)),
IF(Import.TipoArredondamento&lt;&gt;"TransfereGOV",
ROUND(OFFSET($P591,0,AJ$13),15-13*ORÇAMENTO!$AF$7)/$H591*OFFSET(ORÇAMENTO!$X$15,ROW(AJ591)-ROW(AJ$15),0),
ROUND(ROUND(OFFSET($P591,0,AJ$13),15-13*ORÇAMENTO!$AF$7)*OFFSET(ORÇAMENTO!$W$15,ROW(AJ591)-ROW(AJ$15),0),15-13*ORÇAMENTO!$AF$11)),0)</f>
        <v>0</v>
      </c>
      <c r="AK591" s="545">
        <f ca="1">IF(AND($D591="Serviço",AK$12&lt;&gt;0,$H591&gt;0,OR(AUTOEVENTO&lt;&gt;"manual",$M591&lt;&gt;1)),
IF(Import.TipoArredondamento&lt;&gt;"TransfereGOV",
ROUND(OFFSET($P591,0,AK$13),15-13*ORÇAMENTO!$AF$7)/$H591*OFFSET(ORÇAMENTO!$X$15,ROW(AK591)-ROW(AK$15),0),
ROUND(ROUND(OFFSET($P591,0,AK$13),15-13*ORÇAMENTO!$AF$7)*OFFSET(ORÇAMENTO!$W$15,ROW(AK591)-ROW(AK$15),0),15-13*ORÇAMENTO!$AF$11)),0)</f>
        <v>0</v>
      </c>
      <c r="AL591" s="545">
        <f ca="1">IF(AND($D591="Serviço",AL$12&lt;&gt;0,$H591&gt;0,OR(AUTOEVENTO&lt;&gt;"manual",$M591&lt;&gt;1)),
IF(Import.TipoArredondamento&lt;&gt;"TransfereGOV",
ROUND(OFFSET($P591,0,AL$13),15-13*ORÇAMENTO!$AF$7)/$H591*OFFSET(ORÇAMENTO!$X$15,ROW(AL591)-ROW(AL$15),0),
ROUND(ROUND(OFFSET($P591,0,AL$13),15-13*ORÇAMENTO!$AF$7)*OFFSET(ORÇAMENTO!$W$15,ROW(AL591)-ROW(AL$15),0),15-13*ORÇAMENTO!$AF$11)),0)</f>
        <v>0</v>
      </c>
      <c r="AM591" s="545">
        <f ca="1">IF(AND($D591="Serviço",AM$12&lt;&gt;0,$H591&gt;0,OR(AUTOEVENTO&lt;&gt;"manual",$M591&lt;&gt;1)),
IF(Import.TipoArredondamento&lt;&gt;"TransfereGOV",
ROUND(OFFSET($P591,0,AM$13),15-13*ORÇAMENTO!$AF$7)/$H591*OFFSET(ORÇAMENTO!$X$15,ROW(AM591)-ROW(AM$15),0),
ROUND(ROUND(OFFSET($P591,0,AM$13),15-13*ORÇAMENTO!$AF$7)*OFFSET(ORÇAMENTO!$W$15,ROW(AM591)-ROW(AM$15),0),15-13*ORÇAMENTO!$AF$11)),0)</f>
        <v>0</v>
      </c>
      <c r="AN591" s="545">
        <f ca="1">IF(AND($D591="Serviço",AN$12&lt;&gt;0,$H591&gt;0,OR(AUTOEVENTO&lt;&gt;"manual",$M591&lt;&gt;1)),
IF(Import.TipoArredondamento&lt;&gt;"TransfereGOV",
ROUND(OFFSET($P591,0,AN$13),15-13*ORÇAMENTO!$AF$7)/$H591*OFFSET(ORÇAMENTO!$X$15,ROW(AN591)-ROW(AN$15),0),
ROUND(ROUND(OFFSET($P591,0,AN$13),15-13*ORÇAMENTO!$AF$7)*OFFSET(ORÇAMENTO!$W$15,ROW(AN591)-ROW(AN$15),0),15-13*ORÇAMENTO!$AF$11)),0)</f>
        <v>0</v>
      </c>
      <c r="AO591" s="545">
        <f ca="1">IF(AND($D591="Serviço",AO$12&lt;&gt;0,$H591&gt;0,OR(AUTOEVENTO&lt;&gt;"manual",$M591&lt;&gt;1)),
IF(Import.TipoArredondamento&lt;&gt;"TransfereGOV",
ROUND(OFFSET($P591,0,AO$13),15-13*ORÇAMENTO!$AF$7)/$H591*OFFSET(ORÇAMENTO!$X$15,ROW(AO591)-ROW(AO$15),0),
ROUND(ROUND(OFFSET($P591,0,AO$13),15-13*ORÇAMENTO!$AF$7)*OFFSET(ORÇAMENTO!$W$15,ROW(AO591)-ROW(AO$15),0),15-13*ORÇAMENTO!$AF$11)),0)</f>
        <v>0</v>
      </c>
      <c r="AP591" s="545">
        <f ca="1">IF(AND($D591="Serviço",AP$12&lt;&gt;0,$H591&gt;0,OR(AUTOEVENTO&lt;&gt;"manual",$M591&lt;&gt;1)),
IF(Import.TipoArredondamento&lt;&gt;"TransfereGOV",
ROUND(OFFSET($P591,0,AP$13),15-13*ORÇAMENTO!$AF$7)/$H591*OFFSET(ORÇAMENTO!$X$15,ROW(AP591)-ROW(AP$15),0),
ROUND(ROUND(OFFSET($P591,0,AP$13),15-13*ORÇAMENTO!$AF$7)*OFFSET(ORÇAMENTO!$W$15,ROW(AP591)-ROW(AP$15),0),15-13*ORÇAMENTO!$AF$11)),0)</f>
        <v>0</v>
      </c>
      <c r="AQ591" s="545">
        <f ca="1">IF(AND($D591="Serviço",AQ$12&lt;&gt;0,$H591&gt;0,OR(AUTOEVENTO&lt;&gt;"manual",$M591&lt;&gt;1)),
IF(Import.TipoArredondamento&lt;&gt;"TransfereGOV",
ROUND(OFFSET($P591,0,AQ$13),15-13*ORÇAMENTO!$AF$7)/$H591*OFFSET(ORÇAMENTO!$X$15,ROW(AQ591)-ROW(AQ$15),0),
ROUND(ROUND(OFFSET($P591,0,AQ$13),15-13*ORÇAMENTO!$AF$7)*OFFSET(ORÇAMENTO!$W$15,ROW(AQ591)-ROW(AQ$15),0),15-13*ORÇAMENTO!$AF$11)),0)</f>
        <v>0</v>
      </c>
      <c r="AR591" s="545">
        <f ca="1">IF(AND($D591="Serviço",AR$12&lt;&gt;0,$H591&gt;0,OR(AUTOEVENTO&lt;&gt;"manual",$M591&lt;&gt;1)),
IF(Import.TipoArredondamento&lt;&gt;"TransfereGOV",
ROUND(OFFSET($P591,0,AR$13),15-13*ORÇAMENTO!$AF$7)/$H591*OFFSET(ORÇAMENTO!$X$15,ROW(AR591)-ROW(AR$15),0),
ROUND(ROUND(OFFSET($P591,0,AR$13),15-13*ORÇAMENTO!$AF$7)*OFFSET(ORÇAMENTO!$W$15,ROW(AR591)-ROW(AR$15),0),15-13*ORÇAMENTO!$AF$11)),0)</f>
        <v>0</v>
      </c>
      <c r="AS591" s="546">
        <f ca="1">IF(AND($D591="Serviço",AS$12&lt;&gt;0,$H591&gt;0,OR(AUTOEVENTO&lt;&gt;"manual",$M591&lt;&gt;1)),
IF(Import.TipoArredondamento&lt;&gt;"TransfereGOV",
ROUND(OFFSET($P591,0,AS$13),15-13*ORÇAMENTO!$AF$7)/$H591*OFFSET(ORÇAMENTO!$X$15,ROW(AS591)-ROW(AS$15),0),
ROUND(ROUND(OFFSET($P591,0,AS$13),15-13*ORÇAMENTO!$AF$7)*OFFSET(ORÇAMENTO!$W$15,ROW(AS591)-ROW(AS$15),0),15-13*ORÇAMENTO!$AF$11)),0)</f>
        <v>0</v>
      </c>
      <c r="AT591" s="545">
        <f ca="1">IF(AND($D591="Serviço",AT$12&lt;&gt;0,$H591&gt;0,OR(AUTOEVENTO&lt;&gt;"manual",$M591&lt;&gt;1)),
IF(Import.TipoArredondamento&lt;&gt;"TransfereGOV",
ROUND(OFFSET($P591,0,AT$13),15-13*ORÇAMENTO!$AF$7)/$H591*OFFSET(ORÇAMENTO!$X$15,ROW(AT591)-ROW(AT$15),0),
ROUND(ROUND(OFFSET($P591,0,AT$13),15-13*ORÇAMENTO!$AF$7)*OFFSET(ORÇAMENTO!$W$15,ROW(AT591)-ROW(AT$15),0),15-13*ORÇAMENTO!$AF$11)),0)</f>
        <v>0</v>
      </c>
      <c r="AU591" s="545">
        <f ca="1">IF(AND($D591="Serviço",AU$12&lt;&gt;0,$H591&gt;0,OR(AUTOEVENTO&lt;&gt;"manual",$M591&lt;&gt;1)),
IF(Import.TipoArredondamento&lt;&gt;"TransfereGOV",
ROUND(OFFSET($P591,0,AU$13),15-13*ORÇAMENTO!$AF$7)/$H591*OFFSET(ORÇAMENTO!$X$15,ROW(AU591)-ROW(AU$15),0),
ROUND(ROUND(OFFSET($P591,0,AU$13),15-13*ORÇAMENTO!$AF$7)*OFFSET(ORÇAMENTO!$W$15,ROW(AU591)-ROW(AU$15),0),15-13*ORÇAMENTO!$AF$11)),0)</f>
        <v>0</v>
      </c>
      <c r="AV591" s="545">
        <f ca="1">IF(AND($D591="Serviço",AV$12&lt;&gt;0,$H591&gt;0,OR(AUTOEVENTO&lt;&gt;"manual",$M591&lt;&gt;1)),
IF(Import.TipoArredondamento&lt;&gt;"TransfereGOV",
ROUND(OFFSET($P591,0,AV$13),15-13*ORÇAMENTO!$AF$7)/$H591*OFFSET(ORÇAMENTO!$X$15,ROW(AV591)-ROW(AV$15),0),
ROUND(ROUND(OFFSET($P591,0,AV$13),15-13*ORÇAMENTO!$AF$7)*OFFSET(ORÇAMENTO!$W$15,ROW(AV591)-ROW(AV$15),0),15-13*ORÇAMENTO!$AF$11)),0)</f>
        <v>0</v>
      </c>
      <c r="AW591" s="545">
        <f ca="1">IF(AND($D591="Serviço",AW$12&lt;&gt;0,$H591&gt;0,OR(AUTOEVENTO&lt;&gt;"manual",$M591&lt;&gt;1)),
IF(Import.TipoArredondamento&lt;&gt;"TransfereGOV",
ROUND(OFFSET($P591,0,AW$13),15-13*ORÇAMENTO!$AF$7)/$H591*OFFSET(ORÇAMENTO!$X$15,ROW(AW591)-ROW(AW$15),0),
ROUND(ROUND(OFFSET($P591,0,AW$13),15-13*ORÇAMENTO!$AF$7)*OFFSET(ORÇAMENTO!$W$15,ROW(AW591)-ROW(AW$15),0),15-13*ORÇAMENTO!$AF$11)),0)</f>
        <v>0</v>
      </c>
      <c r="AX591" s="545">
        <f ca="1">IF(AND($D591="Serviço",AX$12&lt;&gt;0,$H591&gt;0,OR(AUTOEVENTO&lt;&gt;"manual",$M591&lt;&gt;1)),
IF(Import.TipoArredondamento&lt;&gt;"TransfereGOV",
ROUND(OFFSET($P591,0,AX$13),15-13*ORÇAMENTO!$AF$7)/$H591*OFFSET(ORÇAMENTO!$X$15,ROW(AX591)-ROW(AX$15),0),
ROUND(ROUND(OFFSET($P591,0,AX$13),15-13*ORÇAMENTO!$AF$7)*OFFSET(ORÇAMENTO!$W$15,ROW(AX591)-ROW(AX$15),0),15-13*ORÇAMENTO!$AF$11)),0)</f>
        <v>0</v>
      </c>
      <c r="AY591" s="545">
        <f ca="1">IF(AND($D591="Serviço",AY$12&lt;&gt;0,$H591&gt;0,OR(AUTOEVENTO&lt;&gt;"manual",$M591&lt;&gt;1)),
IF(Import.TipoArredondamento&lt;&gt;"TransfereGOV",
ROUND(OFFSET($P591,0,AY$13),15-13*ORÇAMENTO!$AF$7)/$H591*OFFSET(ORÇAMENTO!$X$15,ROW(AY591)-ROW(AY$15),0),
ROUND(ROUND(OFFSET($P591,0,AY$13),15-13*ORÇAMENTO!$AF$7)*OFFSET(ORÇAMENTO!$W$15,ROW(AY591)-ROW(AY$15),0),15-13*ORÇAMENTO!$AF$11)),0)</f>
        <v>0</v>
      </c>
      <c r="AZ591" s="545">
        <f ca="1">IF(AND($D591="Serviço",AZ$12&lt;&gt;0,$H591&gt;0,OR(AUTOEVENTO&lt;&gt;"manual",$M591&lt;&gt;1)),
IF(Import.TipoArredondamento&lt;&gt;"TransfereGOV",
ROUND(OFFSET($P591,0,AZ$13),15-13*ORÇAMENTO!$AF$7)/$H591*OFFSET(ORÇAMENTO!$X$15,ROW(AZ591)-ROW(AZ$15),0),
ROUND(ROUND(OFFSET($P591,0,AZ$13),15-13*ORÇAMENTO!$AF$7)*OFFSET(ORÇAMENTO!$W$15,ROW(AZ591)-ROW(AZ$15),0),15-13*ORÇAMENTO!$AF$11)),0)</f>
        <v>0</v>
      </c>
      <c r="BA591" s="546">
        <f ca="1">IF(AND($D591="Serviço",BA$12&lt;&gt;0,$H591&gt;0,OR(AUTOEVENTO&lt;&gt;"manual",$M591&lt;&gt;1)),
IF(Import.TipoArredondamento&lt;&gt;"TransfereGOV",
ROUND(OFFSET($P591,0,BA$13),15-13*ORÇAMENTO!$AF$7)/$H591*OFFSET(ORÇAMENTO!$X$15,ROW(BA591)-ROW(BA$15),0),
ROUND(ROUND(OFFSET($P591,0,BA$13),15-13*ORÇAMENTO!$AF$7)*OFFSET(ORÇAMENTO!$W$15,ROW(BA591)-ROW(BA$15),0),15-13*ORÇAMENTO!$AF$11)),0)</f>
        <v>0</v>
      </c>
      <c r="BC591" s="181">
        <f ca="1">IF($D591&lt;&gt;"Serviço",0,IF(AND(AUTOEVENTO="Manual",$M591=1),0,IF(OFFSET(CRONOPLE!$F$14,$M591,BC$13)="",10^12,OFFSET(CRONOPLE!$F$14,$M591,BC$13))))</f>
        <v>0</v>
      </c>
      <c r="BD591" s="181">
        <f ca="1">IF($D591&lt;&gt;"Serviço",0,IF(AND(AUTOEVENTO="Manual",$M591=1),0,IF(OFFSET(CRONOPLE!$F$14,$M591,BD$13)="",10^12,OFFSET(CRONOPLE!$F$14,$M591,BD$13))))</f>
        <v>0</v>
      </c>
      <c r="BE591" s="181">
        <f ca="1">IF($D591&lt;&gt;"Serviço",0,IF(AND(AUTOEVENTO="Manual",$M591=1),0,IF(OFFSET(CRONOPLE!$F$14,$M591,BE$13)="",10^12,OFFSET(CRONOPLE!$F$14,$M591,BE$13))))</f>
        <v>0</v>
      </c>
      <c r="BF591" s="181">
        <f ca="1">IF($D591&lt;&gt;"Serviço",0,IF(AND(AUTOEVENTO="Manual",$M591=1),0,IF(OFFSET(CRONOPLE!$F$14,$M591,BF$13)="",10^12,OFFSET(CRONOPLE!$F$14,$M591,BF$13))))</f>
        <v>0</v>
      </c>
      <c r="BG591" s="181">
        <f ca="1">IF($D591&lt;&gt;"Serviço",0,IF(AND(AUTOEVENTO="Manual",$M591=1),0,IF(OFFSET(CRONOPLE!$F$14,$M591,BG$13)="",10^12,OFFSET(CRONOPLE!$F$14,$M591,BG$13))))</f>
        <v>0</v>
      </c>
      <c r="BH591" s="181">
        <f ca="1">IF($D591&lt;&gt;"Serviço",0,IF(AND(AUTOEVENTO="Manual",$M591=1),0,IF(OFFSET(CRONOPLE!$F$14,$M591,BH$13)="",10^12,OFFSET(CRONOPLE!$F$14,$M591,BH$13))))</f>
        <v>0</v>
      </c>
      <c r="BI591" s="181">
        <f ca="1">IF($D591&lt;&gt;"Serviço",0,IF(AND(AUTOEVENTO="Manual",$M591=1),0,IF(OFFSET(CRONOPLE!$F$14,$M591,BI$13)="",10^12,OFFSET(CRONOPLE!$F$14,$M591,BI$13))))</f>
        <v>0</v>
      </c>
      <c r="BJ591" s="181">
        <f ca="1">IF($D591&lt;&gt;"Serviço",0,IF(AND(AUTOEVENTO="Manual",$M591=1),0,IF(OFFSET(CRONOPLE!$F$14,$M591,BJ$13)="",10^12,OFFSET(CRONOPLE!$F$14,$M591,BJ$13))))</f>
        <v>0</v>
      </c>
      <c r="BK591" s="181">
        <f ca="1">IF($D591&lt;&gt;"Serviço",0,IF(AND(AUTOEVENTO="Manual",$M591=1),0,IF(OFFSET(CRONOPLE!$F$14,$M591,BK$13)="",10^12,OFFSET(CRONOPLE!$F$14,$M591,BK$13))))</f>
        <v>0</v>
      </c>
      <c r="BL591" s="181">
        <f ca="1">IF($D591&lt;&gt;"Serviço",0,IF(AND(AUTOEVENTO="Manual",$M591=1),0,IF(OFFSET(CRONOPLE!$F$14,$M591,BL$13)="",10^12,OFFSET(CRONOPLE!$F$14,$M591,BL$13))))</f>
        <v>0</v>
      </c>
      <c r="BM591" s="181">
        <f ca="1">IF($D591&lt;&gt;"Serviço",0,IF(AND(AUTOEVENTO="Manual",$M591=1),0,IF(OFFSET(CRONOPLE!$F$14,$M591,BM$13)="",10^12,OFFSET(CRONOPLE!$F$14,$M591,BM$13))))</f>
        <v>0</v>
      </c>
      <c r="BN591" s="181">
        <f ca="1">IF($D591&lt;&gt;"Serviço",0,IF(AND(AUTOEVENTO="Manual",$M591=1),0,IF(OFFSET(CRONOPLE!$F$14,$M591,BN$13)="",10^12,OFFSET(CRONOPLE!$F$14,$M591,BN$13))))</f>
        <v>0</v>
      </c>
      <c r="BO591" s="181">
        <f ca="1">IF($D591&lt;&gt;"Serviço",0,IF(AND(AUTOEVENTO="Manual",$M591=1),0,IF(OFFSET(CRONOPLE!$F$14,$M591,BO$13)="",10^12,OFFSET(CRONOPLE!$F$14,$M591,BO$13))))</f>
        <v>0</v>
      </c>
      <c r="BP591" s="181">
        <f ca="1">IF($D591&lt;&gt;"Serviço",0,IF(AND(AUTOEVENTO="Manual",$M591=1),0,IF(OFFSET(CRONOPLE!$F$14,$M591,BP$13)="",10^12,OFFSET(CRONOPLE!$F$14,$M591,BP$13))))</f>
        <v>0</v>
      </c>
      <c r="BQ591" s="181">
        <f ca="1">IF($D591&lt;&gt;"Serviço",0,IF(AND(AUTOEVENTO="Manual",$M591=1),0,IF(OFFSET(CRONOPLE!$F$14,$M591,BQ$13)="",10^12,OFFSET(CRONOPLE!$F$14,$M591,BQ$13))))</f>
        <v>0</v>
      </c>
      <c r="BR591" s="181">
        <f ca="1">IF($D591&lt;&gt;"Serviço",0,IF(AND(AUTOEVENTO="Manual",$M591=1),0,IF(OFFSET(CRONOPLE!$F$14,$M591,BR$13)="",10^12,OFFSET(CRONOPLE!$F$14,$M591,BR$13))))</f>
        <v>0</v>
      </c>
      <c r="BS591" s="181">
        <f ca="1">IF($D591&lt;&gt;"Serviço",0,IF(AND(AUTOEVENTO="Manual",$M591=1),0,IF(OFFSET(CRONOPLE!$F$14,$M591,BS$13)="",10^12,OFFSET(CRONOPLE!$F$14,$M591,BS$13))))</f>
        <v>0</v>
      </c>
      <c r="BT591" s="181">
        <f ca="1">IF($D591&lt;&gt;"Serviço",0,IF(AND(AUTOEVENTO="Manual",$M591=1),0,IF(OFFSET(CRONOPLE!$F$14,$M591,BT$13)="",10^12,OFFSET(CRONOPLE!$F$14,$M591,BT$13))))</f>
        <v>0</v>
      </c>
      <c r="BV591" s="182">
        <f ca="1">IF($D591&lt;&gt;"Serviço",0,IF(OR(AND(AUTOEVENTO="Manual",$M591=1),$M591&gt;(ROW(PLE.lastrow)-ROW(PLE.firstrow))),0,IF(OFFSET(PLE!$G$14,$M591,BV$13)="",10^12,OFFSET(PLE!$G$14,$M591,BV$13))))</f>
        <v>0</v>
      </c>
      <c r="BW591" s="182">
        <f ca="1">IF($D591&lt;&gt;"Serviço",0,IF(OR(AND(AUTOEVENTO="Manual",$M591=1),$M591&gt;(ROW(PLE.lastrow)-ROW(PLE.firstrow))),0,IF(OFFSET(PLE!$G$14,$M591,BW$13)="",10^12,OFFSET(PLE!$G$14,$M591,BW$13))))</f>
        <v>0</v>
      </c>
      <c r="BX591" s="182">
        <f ca="1">IF($D591&lt;&gt;"Serviço",0,IF(OR(AND(AUTOEVENTO="Manual",$M591=1),$M591&gt;(ROW(PLE.lastrow)-ROW(PLE.firstrow))),0,IF(OFFSET(PLE!$G$14,$M591,BX$13)="",10^12,OFFSET(PLE!$G$14,$M591,BX$13))))</f>
        <v>0</v>
      </c>
      <c r="BY591" s="182">
        <f ca="1">IF($D591&lt;&gt;"Serviço",0,IF(OR(AND(AUTOEVENTO="Manual",$M591=1),$M591&gt;(ROW(PLE.lastrow)-ROW(PLE.firstrow))),0,IF(OFFSET(PLE!$G$14,$M591,BY$13)="",10^12,OFFSET(PLE!$G$14,$M591,BY$13))))</f>
        <v>0</v>
      </c>
      <c r="BZ591" s="182">
        <f ca="1">IF($D591&lt;&gt;"Serviço",0,IF(OR(AND(AUTOEVENTO="Manual",$M591=1),$M591&gt;(ROW(PLE.lastrow)-ROW(PLE.firstrow))),0,IF(OFFSET(PLE!$G$14,$M591,BZ$13)="",10^12,OFFSET(PLE!$G$14,$M591,BZ$13))))</f>
        <v>0</v>
      </c>
      <c r="CA591" s="182">
        <f ca="1">IF($D591&lt;&gt;"Serviço",0,IF(OR(AND(AUTOEVENTO="Manual",$M591=1),$M591&gt;(ROW(PLE.lastrow)-ROW(PLE.firstrow))),0,IF(OFFSET(PLE!$G$14,$M591,CA$13)="",10^12,OFFSET(PLE!$G$14,$M591,CA$13))))</f>
        <v>0</v>
      </c>
      <c r="CB591" s="182">
        <f ca="1">IF($D591&lt;&gt;"Serviço",0,IF(OR(AND(AUTOEVENTO="Manual",$M591=1),$M591&gt;(ROW(PLE.lastrow)-ROW(PLE.firstrow))),0,IF(OFFSET(PLE!$G$14,$M591,CB$13)="",10^12,OFFSET(PLE!$G$14,$M591,CB$13))))</f>
        <v>0</v>
      </c>
      <c r="CC591" s="182">
        <f ca="1">IF($D591&lt;&gt;"Serviço",0,IF(OR(AND(AUTOEVENTO="Manual",$M591=1),$M591&gt;(ROW(PLE.lastrow)-ROW(PLE.firstrow))),0,IF(OFFSET(PLE!$G$14,$M591,CC$13)="",10^12,OFFSET(PLE!$G$14,$M591,CC$13))))</f>
        <v>0</v>
      </c>
      <c r="CD591" s="182">
        <f ca="1">IF($D591&lt;&gt;"Serviço",0,IF(OR(AND(AUTOEVENTO="Manual",$M591=1),$M591&gt;(ROW(PLE.lastrow)-ROW(PLE.firstrow))),0,IF(OFFSET(PLE!$G$14,$M591,CD$13)="",10^12,OFFSET(PLE!$G$14,$M591,CD$13))))</f>
        <v>0</v>
      </c>
      <c r="CE591" s="182">
        <f ca="1">IF($D591&lt;&gt;"Serviço",0,IF(OR(AND(AUTOEVENTO="Manual",$M591=1),$M591&gt;(ROW(PLE.lastrow)-ROW(PLE.firstrow))),0,IF(OFFSET(PLE!$G$14,$M591,CE$13)="",10^12,OFFSET(PLE!$G$14,$M591,CE$13))))</f>
        <v>0</v>
      </c>
      <c r="CF591" s="182">
        <f ca="1">IF($D591&lt;&gt;"Serviço",0,IF(OR(AND(AUTOEVENTO="Manual",$M591=1),$M591&gt;(ROW(PLE.lastrow)-ROW(PLE.firstrow))),0,IF(OFFSET(PLE!$G$14,$M591,CF$13)="",10^12,OFFSET(PLE!$G$14,$M591,CF$13))))</f>
        <v>0</v>
      </c>
      <c r="CG591" s="182">
        <f ca="1">IF($D591&lt;&gt;"Serviço",0,IF(OR(AND(AUTOEVENTO="Manual",$M591=1),$M591&gt;(ROW(PLE.lastrow)-ROW(PLE.firstrow))),0,IF(OFFSET(PLE!$G$14,$M591,CG$13)="",10^12,OFFSET(PLE!$G$14,$M591,CG$13))))</f>
        <v>0</v>
      </c>
      <c r="CH591" s="182">
        <f ca="1">IF($D591&lt;&gt;"Serviço",0,IF(OR(AND(AUTOEVENTO="Manual",$M591=1),$M591&gt;(ROW(PLE.lastrow)-ROW(PLE.firstrow))),0,IF(OFFSET(PLE!$G$14,$M591,CH$13)="",10^12,OFFSET(PLE!$G$14,$M591,CH$13))))</f>
        <v>0</v>
      </c>
      <c r="CI591" s="182">
        <f ca="1">IF($D591&lt;&gt;"Serviço",0,IF(OR(AND(AUTOEVENTO="Manual",$M591=1),$M591&gt;(ROW(PLE.lastrow)-ROW(PLE.firstrow))),0,IF(OFFSET(PLE!$G$14,$M591,CI$13)="",10^12,OFFSET(PLE!$G$14,$M591,CI$13))))</f>
        <v>0</v>
      </c>
      <c r="CJ591" s="182">
        <f ca="1">IF($D591&lt;&gt;"Serviço",0,IF(OR(AND(AUTOEVENTO="Manual",$M591=1),$M591&gt;(ROW(PLE.lastrow)-ROW(PLE.firstrow))),0,IF(OFFSET(PLE!$G$14,$M591,CJ$13)="",10^12,OFFSET(PLE!$G$14,$M591,CJ$13))))</f>
        <v>0</v>
      </c>
      <c r="CK591" s="182">
        <f ca="1">IF($D591&lt;&gt;"Serviço",0,IF(OR(AND(AUTOEVENTO="Manual",$M591=1),$M591&gt;(ROW(PLE.lastrow)-ROW(PLE.firstrow))),0,IF(OFFSET(PLE!$G$14,$M591,CK$13)="",10^12,OFFSET(PLE!$G$14,$M591,CK$13))))</f>
        <v>0</v>
      </c>
      <c r="CL591" s="182">
        <f ca="1">IF($D591&lt;&gt;"Serviço",0,IF(OR(AND(AUTOEVENTO="Manual",$M591=1),$M591&gt;(ROW(PLE.lastrow)-ROW(PLE.firstrow))),0,IF(OFFSET(PLE!$G$14,$M591,CL$13)="",10^12,OFFSET(PLE!$G$14,$M591,CL$13))))</f>
        <v>0</v>
      </c>
      <c r="CM591" s="182">
        <f ca="1">IF($D591&lt;&gt;"Serviço",0,IF(OR(AND(AUTOEVENTO="Manual",$M591=1),$M591&gt;(ROW(PLE.lastrow)-ROW(PLE.firstrow))),0,IF(OFFSET(PLE!$G$14,$M591,CM$13)="",10^12,OFFSET(PLE!$G$14,$M591,CM$13))))</f>
        <v>0</v>
      </c>
    </row>
    <row r="592" spans="1:91" ht="25.5" x14ac:dyDescent="0.2">
      <c r="A592" s="7" t="str">
        <f t="shared" ca="1" si="18"/>
        <v>576</v>
      </c>
      <c r="B592" s="7" t="str">
        <f ca="1">OFFSET(ORÇAMENTO!C$15,ROW(B592)-ROW(B$15),0)</f>
        <v>S</v>
      </c>
      <c r="C592" s="7" t="str">
        <f ca="1">OFFSET(ORÇAMENTO!L$15,ROW(C592)-ROW(C$15),0)</f>
        <v/>
      </c>
      <c r="D592" s="118" t="str">
        <f ca="1">OFFSET(ORÇAMENTO!N$15,ROW(D592)-ROW(D$15),0)</f>
        <v>Serviço</v>
      </c>
      <c r="E592" s="119" t="str">
        <f ca="1">OFFSET(ORÇAMENTO!O$15,ROW(E592)-ROW(E$15),0)</f>
        <v>-</v>
      </c>
      <c r="F592" s="172" t="str">
        <f ca="1">OFFSET(ORÇAMENTO!R$15,ROW(F592)-ROW(F$15),0)</f>
        <v>(abra o arquivo 'Referência 06-2024.xlsm)</v>
      </c>
      <c r="G592" s="173" t="str">
        <f ca="1">IF($D592&lt;&gt;"Serviço","",OFFSET(ORÇAMENTO!S$15,ROW(G592)-ROW(G$15),0))</f>
        <v>-</v>
      </c>
      <c r="H592" s="124">
        <f ca="1">IF($D592&lt;&gt;"Serviço",0,IF(ACOMPANHAMENTO="BM",ROUND(OFFSET(ORÇAMENTO!AJ$15,ROW(H592)-ROW(H$15),0),15-13*ORÇAMENTO!$AF$7),SUMPRODUCT(($Q$12:$AI$12&lt;&gt;"")*ROUND($Q592:$AI592,15-13*ORÇAMENTO!$AF$7))))</f>
        <v>53</v>
      </c>
      <c r="I592" s="561" t="s">
        <v>1107</v>
      </c>
      <c r="K592" s="174"/>
      <c r="L592" s="175" t="s">
        <v>255</v>
      </c>
      <c r="M592" s="176">
        <f ca="1">IF($D592&lt;&gt;"Serviço","",IF(AUTOEVENTO="manual",$A592,IF(ISERROR(MATCH($A592,$A$15:OFFSET($A592,-1,0),0)),MAX($M$15:OFFSET(M592,-1,0))+1,INDEX($M$15:OFFSET(M592,-1,0),MATCH($A592,$A$15:OFFSET($A592,-1,0),0)))))</f>
        <v>60</v>
      </c>
      <c r="N592" s="177" t="str">
        <f ca="1">IF($D592&lt;&gt;"Serviço","",IF(AUTOEVENTO="Manual",IF($A592=0,"&lt;-- defina o número do agrupador",OFFSET(EVENTOS!$D$14,$A592,0)),OFFSET($F$15,$A592,0)))</f>
        <v>INSTALAÇÃO ELÉTRICA 110V - PERFILADOS</v>
      </c>
      <c r="O592" s="178"/>
      <c r="Q592" s="178">
        <v>53</v>
      </c>
      <c r="R592" s="179"/>
      <c r="S592" s="179"/>
      <c r="T592" s="179"/>
      <c r="U592" s="179"/>
      <c r="V592" s="179"/>
      <c r="W592" s="179"/>
      <c r="X592" s="179"/>
      <c r="Y592" s="179"/>
      <c r="Z592" s="180"/>
      <c r="AA592" s="179"/>
      <c r="AB592" s="179"/>
      <c r="AC592" s="179"/>
      <c r="AD592" s="179"/>
      <c r="AE592" s="179"/>
      <c r="AF592" s="179"/>
      <c r="AG592" s="179"/>
      <c r="AH592" s="180"/>
      <c r="AJ592" s="544">
        <f ca="1">IF(AND($D592="Serviço",AJ$12&lt;&gt;0,$H592&gt;0,OR(AUTOEVENTO&lt;&gt;"manual",$M592&lt;&gt;1)),
IF(Import.TipoArredondamento&lt;&gt;"TransfereGOV",
ROUND(OFFSET($P592,0,AJ$13),15-13*ORÇAMENTO!$AF$7)/$H592*OFFSET(ORÇAMENTO!$X$15,ROW(AJ592)-ROW(AJ$15),0),
ROUND(ROUND(OFFSET($P592,0,AJ$13),15-13*ORÇAMENTO!$AF$7)*OFFSET(ORÇAMENTO!$W$15,ROW(AJ592)-ROW(AJ$15),0),15-13*ORÇAMENTO!$AF$11)),0)</f>
        <v>0</v>
      </c>
      <c r="AK592" s="545">
        <f ca="1">IF(AND($D592="Serviço",AK$12&lt;&gt;0,$H592&gt;0,OR(AUTOEVENTO&lt;&gt;"manual",$M592&lt;&gt;1)),
IF(Import.TipoArredondamento&lt;&gt;"TransfereGOV",
ROUND(OFFSET($P592,0,AK$13),15-13*ORÇAMENTO!$AF$7)/$H592*OFFSET(ORÇAMENTO!$X$15,ROW(AK592)-ROW(AK$15),0),
ROUND(ROUND(OFFSET($P592,0,AK$13),15-13*ORÇAMENTO!$AF$7)*OFFSET(ORÇAMENTO!$W$15,ROW(AK592)-ROW(AK$15),0),15-13*ORÇAMENTO!$AF$11)),0)</f>
        <v>0</v>
      </c>
      <c r="AL592" s="545">
        <f ca="1">IF(AND($D592="Serviço",AL$12&lt;&gt;0,$H592&gt;0,OR(AUTOEVENTO&lt;&gt;"manual",$M592&lt;&gt;1)),
IF(Import.TipoArredondamento&lt;&gt;"TransfereGOV",
ROUND(OFFSET($P592,0,AL$13),15-13*ORÇAMENTO!$AF$7)/$H592*OFFSET(ORÇAMENTO!$X$15,ROW(AL592)-ROW(AL$15),0),
ROUND(ROUND(OFFSET($P592,0,AL$13),15-13*ORÇAMENTO!$AF$7)*OFFSET(ORÇAMENTO!$W$15,ROW(AL592)-ROW(AL$15),0),15-13*ORÇAMENTO!$AF$11)),0)</f>
        <v>0</v>
      </c>
      <c r="AM592" s="545">
        <f ca="1">IF(AND($D592="Serviço",AM$12&lt;&gt;0,$H592&gt;0,OR(AUTOEVENTO&lt;&gt;"manual",$M592&lt;&gt;1)),
IF(Import.TipoArredondamento&lt;&gt;"TransfereGOV",
ROUND(OFFSET($P592,0,AM$13),15-13*ORÇAMENTO!$AF$7)/$H592*OFFSET(ORÇAMENTO!$X$15,ROW(AM592)-ROW(AM$15),0),
ROUND(ROUND(OFFSET($P592,0,AM$13),15-13*ORÇAMENTO!$AF$7)*OFFSET(ORÇAMENTO!$W$15,ROW(AM592)-ROW(AM$15),0),15-13*ORÇAMENTO!$AF$11)),0)</f>
        <v>0</v>
      </c>
      <c r="AN592" s="545">
        <f ca="1">IF(AND($D592="Serviço",AN$12&lt;&gt;0,$H592&gt;0,OR(AUTOEVENTO&lt;&gt;"manual",$M592&lt;&gt;1)),
IF(Import.TipoArredondamento&lt;&gt;"TransfereGOV",
ROUND(OFFSET($P592,0,AN$13),15-13*ORÇAMENTO!$AF$7)/$H592*OFFSET(ORÇAMENTO!$X$15,ROW(AN592)-ROW(AN$15),0),
ROUND(ROUND(OFFSET($P592,0,AN$13),15-13*ORÇAMENTO!$AF$7)*OFFSET(ORÇAMENTO!$W$15,ROW(AN592)-ROW(AN$15),0),15-13*ORÇAMENTO!$AF$11)),0)</f>
        <v>0</v>
      </c>
      <c r="AO592" s="545">
        <f ca="1">IF(AND($D592="Serviço",AO$12&lt;&gt;0,$H592&gt;0,OR(AUTOEVENTO&lt;&gt;"manual",$M592&lt;&gt;1)),
IF(Import.TipoArredondamento&lt;&gt;"TransfereGOV",
ROUND(OFFSET($P592,0,AO$13),15-13*ORÇAMENTO!$AF$7)/$H592*OFFSET(ORÇAMENTO!$X$15,ROW(AO592)-ROW(AO$15),0),
ROUND(ROUND(OFFSET($P592,0,AO$13),15-13*ORÇAMENTO!$AF$7)*OFFSET(ORÇAMENTO!$W$15,ROW(AO592)-ROW(AO$15),0),15-13*ORÇAMENTO!$AF$11)),0)</f>
        <v>0</v>
      </c>
      <c r="AP592" s="545">
        <f ca="1">IF(AND($D592="Serviço",AP$12&lt;&gt;0,$H592&gt;0,OR(AUTOEVENTO&lt;&gt;"manual",$M592&lt;&gt;1)),
IF(Import.TipoArredondamento&lt;&gt;"TransfereGOV",
ROUND(OFFSET($P592,0,AP$13),15-13*ORÇAMENTO!$AF$7)/$H592*OFFSET(ORÇAMENTO!$X$15,ROW(AP592)-ROW(AP$15),0),
ROUND(ROUND(OFFSET($P592,0,AP$13),15-13*ORÇAMENTO!$AF$7)*OFFSET(ORÇAMENTO!$W$15,ROW(AP592)-ROW(AP$15),0),15-13*ORÇAMENTO!$AF$11)),0)</f>
        <v>0</v>
      </c>
      <c r="AQ592" s="545">
        <f ca="1">IF(AND($D592="Serviço",AQ$12&lt;&gt;0,$H592&gt;0,OR(AUTOEVENTO&lt;&gt;"manual",$M592&lt;&gt;1)),
IF(Import.TipoArredondamento&lt;&gt;"TransfereGOV",
ROUND(OFFSET($P592,0,AQ$13),15-13*ORÇAMENTO!$AF$7)/$H592*OFFSET(ORÇAMENTO!$X$15,ROW(AQ592)-ROW(AQ$15),0),
ROUND(ROUND(OFFSET($P592,0,AQ$13),15-13*ORÇAMENTO!$AF$7)*OFFSET(ORÇAMENTO!$W$15,ROW(AQ592)-ROW(AQ$15),0),15-13*ORÇAMENTO!$AF$11)),0)</f>
        <v>0</v>
      </c>
      <c r="AR592" s="545">
        <f ca="1">IF(AND($D592="Serviço",AR$12&lt;&gt;0,$H592&gt;0,OR(AUTOEVENTO&lt;&gt;"manual",$M592&lt;&gt;1)),
IF(Import.TipoArredondamento&lt;&gt;"TransfereGOV",
ROUND(OFFSET($P592,0,AR$13),15-13*ORÇAMENTO!$AF$7)/$H592*OFFSET(ORÇAMENTO!$X$15,ROW(AR592)-ROW(AR$15),0),
ROUND(ROUND(OFFSET($P592,0,AR$13),15-13*ORÇAMENTO!$AF$7)*OFFSET(ORÇAMENTO!$W$15,ROW(AR592)-ROW(AR$15),0),15-13*ORÇAMENTO!$AF$11)),0)</f>
        <v>0</v>
      </c>
      <c r="AS592" s="546">
        <f ca="1">IF(AND($D592="Serviço",AS$12&lt;&gt;0,$H592&gt;0,OR(AUTOEVENTO&lt;&gt;"manual",$M592&lt;&gt;1)),
IF(Import.TipoArredondamento&lt;&gt;"TransfereGOV",
ROUND(OFFSET($P592,0,AS$13),15-13*ORÇAMENTO!$AF$7)/$H592*OFFSET(ORÇAMENTO!$X$15,ROW(AS592)-ROW(AS$15),0),
ROUND(ROUND(OFFSET($P592,0,AS$13),15-13*ORÇAMENTO!$AF$7)*OFFSET(ORÇAMENTO!$W$15,ROW(AS592)-ROW(AS$15),0),15-13*ORÇAMENTO!$AF$11)),0)</f>
        <v>0</v>
      </c>
      <c r="AT592" s="545">
        <f ca="1">IF(AND($D592="Serviço",AT$12&lt;&gt;0,$H592&gt;0,OR(AUTOEVENTO&lt;&gt;"manual",$M592&lt;&gt;1)),
IF(Import.TipoArredondamento&lt;&gt;"TransfereGOV",
ROUND(OFFSET($P592,0,AT$13),15-13*ORÇAMENTO!$AF$7)/$H592*OFFSET(ORÇAMENTO!$X$15,ROW(AT592)-ROW(AT$15),0),
ROUND(ROUND(OFFSET($P592,0,AT$13),15-13*ORÇAMENTO!$AF$7)*OFFSET(ORÇAMENTO!$W$15,ROW(AT592)-ROW(AT$15),0),15-13*ORÇAMENTO!$AF$11)),0)</f>
        <v>0</v>
      </c>
      <c r="AU592" s="545">
        <f ca="1">IF(AND($D592="Serviço",AU$12&lt;&gt;0,$H592&gt;0,OR(AUTOEVENTO&lt;&gt;"manual",$M592&lt;&gt;1)),
IF(Import.TipoArredondamento&lt;&gt;"TransfereGOV",
ROUND(OFFSET($P592,0,AU$13),15-13*ORÇAMENTO!$AF$7)/$H592*OFFSET(ORÇAMENTO!$X$15,ROW(AU592)-ROW(AU$15),0),
ROUND(ROUND(OFFSET($P592,0,AU$13),15-13*ORÇAMENTO!$AF$7)*OFFSET(ORÇAMENTO!$W$15,ROW(AU592)-ROW(AU$15),0),15-13*ORÇAMENTO!$AF$11)),0)</f>
        <v>0</v>
      </c>
      <c r="AV592" s="545">
        <f ca="1">IF(AND($D592="Serviço",AV$12&lt;&gt;0,$H592&gt;0,OR(AUTOEVENTO&lt;&gt;"manual",$M592&lt;&gt;1)),
IF(Import.TipoArredondamento&lt;&gt;"TransfereGOV",
ROUND(OFFSET($P592,0,AV$13),15-13*ORÇAMENTO!$AF$7)/$H592*OFFSET(ORÇAMENTO!$X$15,ROW(AV592)-ROW(AV$15),0),
ROUND(ROUND(OFFSET($P592,0,AV$13),15-13*ORÇAMENTO!$AF$7)*OFFSET(ORÇAMENTO!$W$15,ROW(AV592)-ROW(AV$15),0),15-13*ORÇAMENTO!$AF$11)),0)</f>
        <v>0</v>
      </c>
      <c r="AW592" s="545">
        <f ca="1">IF(AND($D592="Serviço",AW$12&lt;&gt;0,$H592&gt;0,OR(AUTOEVENTO&lt;&gt;"manual",$M592&lt;&gt;1)),
IF(Import.TipoArredondamento&lt;&gt;"TransfereGOV",
ROUND(OFFSET($P592,0,AW$13),15-13*ORÇAMENTO!$AF$7)/$H592*OFFSET(ORÇAMENTO!$X$15,ROW(AW592)-ROW(AW$15),0),
ROUND(ROUND(OFFSET($P592,0,AW$13),15-13*ORÇAMENTO!$AF$7)*OFFSET(ORÇAMENTO!$W$15,ROW(AW592)-ROW(AW$15),0),15-13*ORÇAMENTO!$AF$11)),0)</f>
        <v>0</v>
      </c>
      <c r="AX592" s="545">
        <f ca="1">IF(AND($D592="Serviço",AX$12&lt;&gt;0,$H592&gt;0,OR(AUTOEVENTO&lt;&gt;"manual",$M592&lt;&gt;1)),
IF(Import.TipoArredondamento&lt;&gt;"TransfereGOV",
ROUND(OFFSET($P592,0,AX$13),15-13*ORÇAMENTO!$AF$7)/$H592*OFFSET(ORÇAMENTO!$X$15,ROW(AX592)-ROW(AX$15),0),
ROUND(ROUND(OFFSET($P592,0,AX$13),15-13*ORÇAMENTO!$AF$7)*OFFSET(ORÇAMENTO!$W$15,ROW(AX592)-ROW(AX$15),0),15-13*ORÇAMENTO!$AF$11)),0)</f>
        <v>0</v>
      </c>
      <c r="AY592" s="545">
        <f ca="1">IF(AND($D592="Serviço",AY$12&lt;&gt;0,$H592&gt;0,OR(AUTOEVENTO&lt;&gt;"manual",$M592&lt;&gt;1)),
IF(Import.TipoArredondamento&lt;&gt;"TransfereGOV",
ROUND(OFFSET($P592,0,AY$13),15-13*ORÇAMENTO!$AF$7)/$H592*OFFSET(ORÇAMENTO!$X$15,ROW(AY592)-ROW(AY$15),0),
ROUND(ROUND(OFFSET($P592,0,AY$13),15-13*ORÇAMENTO!$AF$7)*OFFSET(ORÇAMENTO!$W$15,ROW(AY592)-ROW(AY$15),0),15-13*ORÇAMENTO!$AF$11)),0)</f>
        <v>0</v>
      </c>
      <c r="AZ592" s="545">
        <f ca="1">IF(AND($D592="Serviço",AZ$12&lt;&gt;0,$H592&gt;0,OR(AUTOEVENTO&lt;&gt;"manual",$M592&lt;&gt;1)),
IF(Import.TipoArredondamento&lt;&gt;"TransfereGOV",
ROUND(OFFSET($P592,0,AZ$13),15-13*ORÇAMENTO!$AF$7)/$H592*OFFSET(ORÇAMENTO!$X$15,ROW(AZ592)-ROW(AZ$15),0),
ROUND(ROUND(OFFSET($P592,0,AZ$13),15-13*ORÇAMENTO!$AF$7)*OFFSET(ORÇAMENTO!$W$15,ROW(AZ592)-ROW(AZ$15),0),15-13*ORÇAMENTO!$AF$11)),0)</f>
        <v>0</v>
      </c>
      <c r="BA592" s="546">
        <f ca="1">IF(AND($D592="Serviço",BA$12&lt;&gt;0,$H592&gt;0,OR(AUTOEVENTO&lt;&gt;"manual",$M592&lt;&gt;1)),
IF(Import.TipoArredondamento&lt;&gt;"TransfereGOV",
ROUND(OFFSET($P592,0,BA$13),15-13*ORÇAMENTO!$AF$7)/$H592*OFFSET(ORÇAMENTO!$X$15,ROW(BA592)-ROW(BA$15),0),
ROUND(ROUND(OFFSET($P592,0,BA$13),15-13*ORÇAMENTO!$AF$7)*OFFSET(ORÇAMENTO!$W$15,ROW(BA592)-ROW(BA$15),0),15-13*ORÇAMENTO!$AF$11)),0)</f>
        <v>0</v>
      </c>
      <c r="BC592" s="181">
        <f ca="1">IF($D592&lt;&gt;"Serviço",0,IF(AND(AUTOEVENTO="Manual",$M592=1),0,IF(OFFSET(CRONOPLE!$F$14,$M592,BC$13)="",10^12,OFFSET(CRONOPLE!$F$14,$M592,BC$13))))</f>
        <v>11</v>
      </c>
      <c r="BD592" s="181">
        <f ca="1">IF($D592&lt;&gt;"Serviço",0,IF(AND(AUTOEVENTO="Manual",$M592=1),0,IF(OFFSET(CRONOPLE!$F$14,$M592,BD$13)="",10^12,OFFSET(CRONOPLE!$F$14,$M592,BD$13))))</f>
        <v>1000000000000</v>
      </c>
      <c r="BE592" s="181">
        <f ca="1">IF($D592&lt;&gt;"Serviço",0,IF(AND(AUTOEVENTO="Manual",$M592=1),0,IF(OFFSET(CRONOPLE!$F$14,$M592,BE$13)="",10^12,OFFSET(CRONOPLE!$F$14,$M592,BE$13))))</f>
        <v>1000000000000</v>
      </c>
      <c r="BF592" s="181">
        <f ca="1">IF($D592&lt;&gt;"Serviço",0,IF(AND(AUTOEVENTO="Manual",$M592=1),0,IF(OFFSET(CRONOPLE!$F$14,$M592,BF$13)="",10^12,OFFSET(CRONOPLE!$F$14,$M592,BF$13))))</f>
        <v>1000000000000</v>
      </c>
      <c r="BG592" s="181">
        <f ca="1">IF($D592&lt;&gt;"Serviço",0,IF(AND(AUTOEVENTO="Manual",$M592=1),0,IF(OFFSET(CRONOPLE!$F$14,$M592,BG$13)="",10^12,OFFSET(CRONOPLE!$F$14,$M592,BG$13))))</f>
        <v>1000000000000</v>
      </c>
      <c r="BH592" s="181">
        <f ca="1">IF($D592&lt;&gt;"Serviço",0,IF(AND(AUTOEVENTO="Manual",$M592=1),0,IF(OFFSET(CRONOPLE!$F$14,$M592,BH$13)="",10^12,OFFSET(CRONOPLE!$F$14,$M592,BH$13))))</f>
        <v>1000000000000</v>
      </c>
      <c r="BI592" s="181">
        <f ca="1">IF($D592&lt;&gt;"Serviço",0,IF(AND(AUTOEVENTO="Manual",$M592=1),0,IF(OFFSET(CRONOPLE!$F$14,$M592,BI$13)="",10^12,OFFSET(CRONOPLE!$F$14,$M592,BI$13))))</f>
        <v>1000000000000</v>
      </c>
      <c r="BJ592" s="181">
        <f ca="1">IF($D592&lt;&gt;"Serviço",0,IF(AND(AUTOEVENTO="Manual",$M592=1),0,IF(OFFSET(CRONOPLE!$F$14,$M592,BJ$13)="",10^12,OFFSET(CRONOPLE!$F$14,$M592,BJ$13))))</f>
        <v>1000000000000</v>
      </c>
      <c r="BK592" s="181">
        <f ca="1">IF($D592&lt;&gt;"Serviço",0,IF(AND(AUTOEVENTO="Manual",$M592=1),0,IF(OFFSET(CRONOPLE!$F$14,$M592,BK$13)="",10^12,OFFSET(CRONOPLE!$F$14,$M592,BK$13))))</f>
        <v>1000000000000</v>
      </c>
      <c r="BL592" s="181">
        <f ca="1">IF($D592&lt;&gt;"Serviço",0,IF(AND(AUTOEVENTO="Manual",$M592=1),0,IF(OFFSET(CRONOPLE!$F$14,$M592,BL$13)="",10^12,OFFSET(CRONOPLE!$F$14,$M592,BL$13))))</f>
        <v>1000000000000</v>
      </c>
      <c r="BM592" s="181">
        <f ca="1">IF($D592&lt;&gt;"Serviço",0,IF(AND(AUTOEVENTO="Manual",$M592=1),0,IF(OFFSET(CRONOPLE!$F$14,$M592,BM$13)="",10^12,OFFSET(CRONOPLE!$F$14,$M592,BM$13))))</f>
        <v>1000000000000</v>
      </c>
      <c r="BN592" s="181">
        <f ca="1">IF($D592&lt;&gt;"Serviço",0,IF(AND(AUTOEVENTO="Manual",$M592=1),0,IF(OFFSET(CRONOPLE!$F$14,$M592,BN$13)="",10^12,OFFSET(CRONOPLE!$F$14,$M592,BN$13))))</f>
        <v>1000000000000</v>
      </c>
      <c r="BO592" s="181">
        <f ca="1">IF($D592&lt;&gt;"Serviço",0,IF(AND(AUTOEVENTO="Manual",$M592=1),0,IF(OFFSET(CRONOPLE!$F$14,$M592,BO$13)="",10^12,OFFSET(CRONOPLE!$F$14,$M592,BO$13))))</f>
        <v>1000000000000</v>
      </c>
      <c r="BP592" s="181">
        <f ca="1">IF($D592&lt;&gt;"Serviço",0,IF(AND(AUTOEVENTO="Manual",$M592=1),0,IF(OFFSET(CRONOPLE!$F$14,$M592,BP$13)="",10^12,OFFSET(CRONOPLE!$F$14,$M592,BP$13))))</f>
        <v>1000000000000</v>
      </c>
      <c r="BQ592" s="181">
        <f ca="1">IF($D592&lt;&gt;"Serviço",0,IF(AND(AUTOEVENTO="Manual",$M592=1),0,IF(OFFSET(CRONOPLE!$F$14,$M592,BQ$13)="",10^12,OFFSET(CRONOPLE!$F$14,$M592,BQ$13))))</f>
        <v>1000000000000</v>
      </c>
      <c r="BR592" s="181">
        <f ca="1">IF($D592&lt;&gt;"Serviço",0,IF(AND(AUTOEVENTO="Manual",$M592=1),0,IF(OFFSET(CRONOPLE!$F$14,$M592,BR$13)="",10^12,OFFSET(CRONOPLE!$F$14,$M592,BR$13))))</f>
        <v>1000000000000</v>
      </c>
      <c r="BS592" s="181">
        <f ca="1">IF($D592&lt;&gt;"Serviço",0,IF(AND(AUTOEVENTO="Manual",$M592=1),0,IF(OFFSET(CRONOPLE!$F$14,$M592,BS$13)="",10^12,OFFSET(CRONOPLE!$F$14,$M592,BS$13))))</f>
        <v>1000000000000</v>
      </c>
      <c r="BT592" s="181">
        <f ca="1">IF($D592&lt;&gt;"Serviço",0,IF(AND(AUTOEVENTO="Manual",$M592=1),0,IF(OFFSET(CRONOPLE!$F$14,$M592,BT$13)="",10^12,OFFSET(CRONOPLE!$F$14,$M592,BT$13))))</f>
        <v>1000000000000</v>
      </c>
      <c r="BV592" s="182">
        <f ca="1">IF($D592&lt;&gt;"Serviço",0,IF(OR(AND(AUTOEVENTO="Manual",$M592=1),$M592&gt;(ROW(PLE.lastrow)-ROW(PLE.firstrow))),0,IF(OFFSET(PLE!$G$14,$M592,BV$13)="",10^12,OFFSET(PLE!$G$14,$M592,BV$13))))</f>
        <v>1000000000000</v>
      </c>
      <c r="BW592" s="182">
        <f ca="1">IF($D592&lt;&gt;"Serviço",0,IF(OR(AND(AUTOEVENTO="Manual",$M592=1),$M592&gt;(ROW(PLE.lastrow)-ROW(PLE.firstrow))),0,IF(OFFSET(PLE!$G$14,$M592,BW$13)="",10^12,OFFSET(PLE!$G$14,$M592,BW$13))))</f>
        <v>1000000000000</v>
      </c>
      <c r="BX592" s="182">
        <f ca="1">IF($D592&lt;&gt;"Serviço",0,IF(OR(AND(AUTOEVENTO="Manual",$M592=1),$M592&gt;(ROW(PLE.lastrow)-ROW(PLE.firstrow))),0,IF(OFFSET(PLE!$G$14,$M592,BX$13)="",10^12,OFFSET(PLE!$G$14,$M592,BX$13))))</f>
        <v>1000000000000</v>
      </c>
      <c r="BY592" s="182">
        <f ca="1">IF($D592&lt;&gt;"Serviço",0,IF(OR(AND(AUTOEVENTO="Manual",$M592=1),$M592&gt;(ROW(PLE.lastrow)-ROW(PLE.firstrow))),0,IF(OFFSET(PLE!$G$14,$M592,BY$13)="",10^12,OFFSET(PLE!$G$14,$M592,BY$13))))</f>
        <v>1000000000000</v>
      </c>
      <c r="BZ592" s="182">
        <f ca="1">IF($D592&lt;&gt;"Serviço",0,IF(OR(AND(AUTOEVENTO="Manual",$M592=1),$M592&gt;(ROW(PLE.lastrow)-ROW(PLE.firstrow))),0,IF(OFFSET(PLE!$G$14,$M592,BZ$13)="",10^12,OFFSET(PLE!$G$14,$M592,BZ$13))))</f>
        <v>1000000000000</v>
      </c>
      <c r="CA592" s="182">
        <f ca="1">IF($D592&lt;&gt;"Serviço",0,IF(OR(AND(AUTOEVENTO="Manual",$M592=1),$M592&gt;(ROW(PLE.lastrow)-ROW(PLE.firstrow))),0,IF(OFFSET(PLE!$G$14,$M592,CA$13)="",10^12,OFFSET(PLE!$G$14,$M592,CA$13))))</f>
        <v>1000000000000</v>
      </c>
      <c r="CB592" s="182">
        <f ca="1">IF($D592&lt;&gt;"Serviço",0,IF(OR(AND(AUTOEVENTO="Manual",$M592=1),$M592&gt;(ROW(PLE.lastrow)-ROW(PLE.firstrow))),0,IF(OFFSET(PLE!$G$14,$M592,CB$13)="",10^12,OFFSET(PLE!$G$14,$M592,CB$13))))</f>
        <v>1000000000000</v>
      </c>
      <c r="CC592" s="182">
        <f ca="1">IF($D592&lt;&gt;"Serviço",0,IF(OR(AND(AUTOEVENTO="Manual",$M592=1),$M592&gt;(ROW(PLE.lastrow)-ROW(PLE.firstrow))),0,IF(OFFSET(PLE!$G$14,$M592,CC$13)="",10^12,OFFSET(PLE!$G$14,$M592,CC$13))))</f>
        <v>1000000000000</v>
      </c>
      <c r="CD592" s="182">
        <f ca="1">IF($D592&lt;&gt;"Serviço",0,IF(OR(AND(AUTOEVENTO="Manual",$M592=1),$M592&gt;(ROW(PLE.lastrow)-ROW(PLE.firstrow))),0,IF(OFFSET(PLE!$G$14,$M592,CD$13)="",10^12,OFFSET(PLE!$G$14,$M592,CD$13))))</f>
        <v>1000000000000</v>
      </c>
      <c r="CE592" s="182">
        <f ca="1">IF($D592&lt;&gt;"Serviço",0,IF(OR(AND(AUTOEVENTO="Manual",$M592=1),$M592&gt;(ROW(PLE.lastrow)-ROW(PLE.firstrow))),0,IF(OFFSET(PLE!$G$14,$M592,CE$13)="",10^12,OFFSET(PLE!$G$14,$M592,CE$13))))</f>
        <v>1000000000000</v>
      </c>
      <c r="CF592" s="182">
        <f ca="1">IF($D592&lt;&gt;"Serviço",0,IF(OR(AND(AUTOEVENTO="Manual",$M592=1),$M592&gt;(ROW(PLE.lastrow)-ROW(PLE.firstrow))),0,IF(OFFSET(PLE!$G$14,$M592,CF$13)="",10^12,OFFSET(PLE!$G$14,$M592,CF$13))))</f>
        <v>1000000000000</v>
      </c>
      <c r="CG592" s="182">
        <f ca="1">IF($D592&lt;&gt;"Serviço",0,IF(OR(AND(AUTOEVENTO="Manual",$M592=1),$M592&gt;(ROW(PLE.lastrow)-ROW(PLE.firstrow))),0,IF(OFFSET(PLE!$G$14,$M592,CG$13)="",10^12,OFFSET(PLE!$G$14,$M592,CG$13))))</f>
        <v>1000000000000</v>
      </c>
      <c r="CH592" s="182">
        <f ca="1">IF($D592&lt;&gt;"Serviço",0,IF(OR(AND(AUTOEVENTO="Manual",$M592=1),$M592&gt;(ROW(PLE.lastrow)-ROW(PLE.firstrow))),0,IF(OFFSET(PLE!$G$14,$M592,CH$13)="",10^12,OFFSET(PLE!$G$14,$M592,CH$13))))</f>
        <v>1000000000000</v>
      </c>
      <c r="CI592" s="182">
        <f ca="1">IF($D592&lt;&gt;"Serviço",0,IF(OR(AND(AUTOEVENTO="Manual",$M592=1),$M592&gt;(ROW(PLE.lastrow)-ROW(PLE.firstrow))),0,IF(OFFSET(PLE!$G$14,$M592,CI$13)="",10^12,OFFSET(PLE!$G$14,$M592,CI$13))))</f>
        <v>1000000000000</v>
      </c>
      <c r="CJ592" s="182">
        <f ca="1">IF($D592&lt;&gt;"Serviço",0,IF(OR(AND(AUTOEVENTO="Manual",$M592=1),$M592&gt;(ROW(PLE.lastrow)-ROW(PLE.firstrow))),0,IF(OFFSET(PLE!$G$14,$M592,CJ$13)="",10^12,OFFSET(PLE!$G$14,$M592,CJ$13))))</f>
        <v>1000000000000</v>
      </c>
      <c r="CK592" s="182">
        <f ca="1">IF($D592&lt;&gt;"Serviço",0,IF(OR(AND(AUTOEVENTO="Manual",$M592=1),$M592&gt;(ROW(PLE.lastrow)-ROW(PLE.firstrow))),0,IF(OFFSET(PLE!$G$14,$M592,CK$13)="",10^12,OFFSET(PLE!$G$14,$M592,CK$13))))</f>
        <v>1000000000000</v>
      </c>
      <c r="CL592" s="182">
        <f ca="1">IF($D592&lt;&gt;"Serviço",0,IF(OR(AND(AUTOEVENTO="Manual",$M592=1),$M592&gt;(ROW(PLE.lastrow)-ROW(PLE.firstrow))),0,IF(OFFSET(PLE!$G$14,$M592,CL$13)="",10^12,OFFSET(PLE!$G$14,$M592,CL$13))))</f>
        <v>1000000000000</v>
      </c>
      <c r="CM592" s="182">
        <f ca="1">IF($D592&lt;&gt;"Serviço",0,IF(OR(AND(AUTOEVENTO="Manual",$M592=1),$M592&gt;(ROW(PLE.lastrow)-ROW(PLE.firstrow))),0,IF(OFFSET(PLE!$G$14,$M592,CM$13)="",10^12,OFFSET(PLE!$G$14,$M592,CM$13))))</f>
        <v>1000000000000</v>
      </c>
    </row>
    <row r="593" spans="1:91" ht="38.25" x14ac:dyDescent="0.2">
      <c r="A593" s="7" t="str">
        <f t="shared" ca="1" si="18"/>
        <v>576</v>
      </c>
      <c r="B593" s="7" t="str">
        <f ca="1">OFFSET(ORÇAMENTO!C$15,ROW(B593)-ROW(B$15),0)</f>
        <v>S</v>
      </c>
      <c r="C593" s="7" t="str">
        <f ca="1">OFFSET(ORÇAMENTO!L$15,ROW(C593)-ROW(C$15),0)</f>
        <v/>
      </c>
      <c r="D593" s="118" t="str">
        <f ca="1">OFFSET(ORÇAMENTO!N$15,ROW(D593)-ROW(D$15),0)</f>
        <v>Serviço</v>
      </c>
      <c r="E593" s="119" t="str">
        <f ca="1">OFFSET(ORÇAMENTO!O$15,ROW(E593)-ROW(E$15),0)</f>
        <v>-</v>
      </c>
      <c r="F593" s="172" t="str">
        <f ca="1">OFFSET(ORÇAMENTO!R$15,ROW(F593)-ROW(F$15),0)</f>
        <v>(abra o arquivo 'Referência 06-2024.xlsm)</v>
      </c>
      <c r="G593" s="173" t="str">
        <f ca="1">IF($D593&lt;&gt;"Serviço","",OFFSET(ORÇAMENTO!S$15,ROW(G593)-ROW(G$15),0))</f>
        <v>-</v>
      </c>
      <c r="H593" s="124">
        <f ca="1">IF($D593&lt;&gt;"Serviço",0,IF(ACOMPANHAMENTO="BM",ROUND(OFFSET(ORÇAMENTO!AJ$15,ROW(H593)-ROW(H$15),0),15-13*ORÇAMENTO!$AF$7),SUMPRODUCT(($Q$12:$AI$12&lt;&gt;"")*ROUND($Q593:$AI593,15-13*ORÇAMENTO!$AF$7))))</f>
        <v>45.3</v>
      </c>
      <c r="I593" s="561" t="s">
        <v>1107</v>
      </c>
      <c r="K593" s="174"/>
      <c r="L593" s="175" t="s">
        <v>255</v>
      </c>
      <c r="M593" s="176">
        <f ca="1">IF($D593&lt;&gt;"Serviço","",IF(AUTOEVENTO="manual",$A593,IF(ISERROR(MATCH($A593,$A$15:OFFSET($A593,-1,0),0)),MAX($M$15:OFFSET(M593,-1,0))+1,INDEX($M$15:OFFSET(M593,-1,0),MATCH($A593,$A$15:OFFSET($A593,-1,0),0)))))</f>
        <v>60</v>
      </c>
      <c r="N593" s="177" t="str">
        <f ca="1">IF($D593&lt;&gt;"Serviço","",IF(AUTOEVENTO="Manual",IF($A593=0,"&lt;-- defina o número do agrupador",OFFSET(EVENTOS!$D$14,$A593,0)),OFFSET($F$15,$A593,0)))</f>
        <v>INSTALAÇÃO ELÉTRICA 110V - PERFILADOS</v>
      </c>
      <c r="O593" s="178"/>
      <c r="Q593" s="178">
        <v>45.3</v>
      </c>
      <c r="R593" s="179"/>
      <c r="S593" s="179"/>
      <c r="T593" s="179"/>
      <c r="U593" s="179"/>
      <c r="V593" s="179"/>
      <c r="W593" s="179"/>
      <c r="X593" s="179"/>
      <c r="Y593" s="179"/>
      <c r="Z593" s="180"/>
      <c r="AA593" s="179"/>
      <c r="AB593" s="179"/>
      <c r="AC593" s="179"/>
      <c r="AD593" s="179"/>
      <c r="AE593" s="179"/>
      <c r="AF593" s="179"/>
      <c r="AG593" s="179"/>
      <c r="AH593" s="180"/>
      <c r="AJ593" s="544">
        <f ca="1">IF(AND($D593="Serviço",AJ$12&lt;&gt;0,$H593&gt;0,OR(AUTOEVENTO&lt;&gt;"manual",$M593&lt;&gt;1)),
IF(Import.TipoArredondamento&lt;&gt;"TransfereGOV",
ROUND(OFFSET($P593,0,AJ$13),15-13*ORÇAMENTO!$AF$7)/$H593*OFFSET(ORÇAMENTO!$X$15,ROW(AJ593)-ROW(AJ$15),0),
ROUND(ROUND(OFFSET($P593,0,AJ$13),15-13*ORÇAMENTO!$AF$7)*OFFSET(ORÇAMENTO!$W$15,ROW(AJ593)-ROW(AJ$15),0),15-13*ORÇAMENTO!$AF$11)),0)</f>
        <v>0</v>
      </c>
      <c r="AK593" s="545">
        <f ca="1">IF(AND($D593="Serviço",AK$12&lt;&gt;0,$H593&gt;0,OR(AUTOEVENTO&lt;&gt;"manual",$M593&lt;&gt;1)),
IF(Import.TipoArredondamento&lt;&gt;"TransfereGOV",
ROUND(OFFSET($P593,0,AK$13),15-13*ORÇAMENTO!$AF$7)/$H593*OFFSET(ORÇAMENTO!$X$15,ROW(AK593)-ROW(AK$15),0),
ROUND(ROUND(OFFSET($P593,0,AK$13),15-13*ORÇAMENTO!$AF$7)*OFFSET(ORÇAMENTO!$W$15,ROW(AK593)-ROW(AK$15),0),15-13*ORÇAMENTO!$AF$11)),0)</f>
        <v>0</v>
      </c>
      <c r="AL593" s="545">
        <f ca="1">IF(AND($D593="Serviço",AL$12&lt;&gt;0,$H593&gt;0,OR(AUTOEVENTO&lt;&gt;"manual",$M593&lt;&gt;1)),
IF(Import.TipoArredondamento&lt;&gt;"TransfereGOV",
ROUND(OFFSET($P593,0,AL$13),15-13*ORÇAMENTO!$AF$7)/$H593*OFFSET(ORÇAMENTO!$X$15,ROW(AL593)-ROW(AL$15),0),
ROUND(ROUND(OFFSET($P593,0,AL$13),15-13*ORÇAMENTO!$AF$7)*OFFSET(ORÇAMENTO!$W$15,ROW(AL593)-ROW(AL$15),0),15-13*ORÇAMENTO!$AF$11)),0)</f>
        <v>0</v>
      </c>
      <c r="AM593" s="545">
        <f ca="1">IF(AND($D593="Serviço",AM$12&lt;&gt;0,$H593&gt;0,OR(AUTOEVENTO&lt;&gt;"manual",$M593&lt;&gt;1)),
IF(Import.TipoArredondamento&lt;&gt;"TransfereGOV",
ROUND(OFFSET($P593,0,AM$13),15-13*ORÇAMENTO!$AF$7)/$H593*OFFSET(ORÇAMENTO!$X$15,ROW(AM593)-ROW(AM$15),0),
ROUND(ROUND(OFFSET($P593,0,AM$13),15-13*ORÇAMENTO!$AF$7)*OFFSET(ORÇAMENTO!$W$15,ROW(AM593)-ROW(AM$15),0),15-13*ORÇAMENTO!$AF$11)),0)</f>
        <v>0</v>
      </c>
      <c r="AN593" s="545">
        <f ca="1">IF(AND($D593="Serviço",AN$12&lt;&gt;0,$H593&gt;0,OR(AUTOEVENTO&lt;&gt;"manual",$M593&lt;&gt;1)),
IF(Import.TipoArredondamento&lt;&gt;"TransfereGOV",
ROUND(OFFSET($P593,0,AN$13),15-13*ORÇAMENTO!$AF$7)/$H593*OFFSET(ORÇAMENTO!$X$15,ROW(AN593)-ROW(AN$15),0),
ROUND(ROUND(OFFSET($P593,0,AN$13),15-13*ORÇAMENTO!$AF$7)*OFFSET(ORÇAMENTO!$W$15,ROW(AN593)-ROW(AN$15),0),15-13*ORÇAMENTO!$AF$11)),0)</f>
        <v>0</v>
      </c>
      <c r="AO593" s="545">
        <f ca="1">IF(AND($D593="Serviço",AO$12&lt;&gt;0,$H593&gt;0,OR(AUTOEVENTO&lt;&gt;"manual",$M593&lt;&gt;1)),
IF(Import.TipoArredondamento&lt;&gt;"TransfereGOV",
ROUND(OFFSET($P593,0,AO$13),15-13*ORÇAMENTO!$AF$7)/$H593*OFFSET(ORÇAMENTO!$X$15,ROW(AO593)-ROW(AO$15),0),
ROUND(ROUND(OFFSET($P593,0,AO$13),15-13*ORÇAMENTO!$AF$7)*OFFSET(ORÇAMENTO!$W$15,ROW(AO593)-ROW(AO$15),0),15-13*ORÇAMENTO!$AF$11)),0)</f>
        <v>0</v>
      </c>
      <c r="AP593" s="545">
        <f ca="1">IF(AND($D593="Serviço",AP$12&lt;&gt;0,$H593&gt;0,OR(AUTOEVENTO&lt;&gt;"manual",$M593&lt;&gt;1)),
IF(Import.TipoArredondamento&lt;&gt;"TransfereGOV",
ROUND(OFFSET($P593,0,AP$13),15-13*ORÇAMENTO!$AF$7)/$H593*OFFSET(ORÇAMENTO!$X$15,ROW(AP593)-ROW(AP$15),0),
ROUND(ROUND(OFFSET($P593,0,AP$13),15-13*ORÇAMENTO!$AF$7)*OFFSET(ORÇAMENTO!$W$15,ROW(AP593)-ROW(AP$15),0),15-13*ORÇAMENTO!$AF$11)),0)</f>
        <v>0</v>
      </c>
      <c r="AQ593" s="545">
        <f ca="1">IF(AND($D593="Serviço",AQ$12&lt;&gt;0,$H593&gt;0,OR(AUTOEVENTO&lt;&gt;"manual",$M593&lt;&gt;1)),
IF(Import.TipoArredondamento&lt;&gt;"TransfereGOV",
ROUND(OFFSET($P593,0,AQ$13),15-13*ORÇAMENTO!$AF$7)/$H593*OFFSET(ORÇAMENTO!$X$15,ROW(AQ593)-ROW(AQ$15),0),
ROUND(ROUND(OFFSET($P593,0,AQ$13),15-13*ORÇAMENTO!$AF$7)*OFFSET(ORÇAMENTO!$W$15,ROW(AQ593)-ROW(AQ$15),0),15-13*ORÇAMENTO!$AF$11)),0)</f>
        <v>0</v>
      </c>
      <c r="AR593" s="545">
        <f ca="1">IF(AND($D593="Serviço",AR$12&lt;&gt;0,$H593&gt;0,OR(AUTOEVENTO&lt;&gt;"manual",$M593&lt;&gt;1)),
IF(Import.TipoArredondamento&lt;&gt;"TransfereGOV",
ROUND(OFFSET($P593,0,AR$13),15-13*ORÇAMENTO!$AF$7)/$H593*OFFSET(ORÇAMENTO!$X$15,ROW(AR593)-ROW(AR$15),0),
ROUND(ROUND(OFFSET($P593,0,AR$13),15-13*ORÇAMENTO!$AF$7)*OFFSET(ORÇAMENTO!$W$15,ROW(AR593)-ROW(AR$15),0),15-13*ORÇAMENTO!$AF$11)),0)</f>
        <v>0</v>
      </c>
      <c r="AS593" s="546">
        <f ca="1">IF(AND($D593="Serviço",AS$12&lt;&gt;0,$H593&gt;0,OR(AUTOEVENTO&lt;&gt;"manual",$M593&lt;&gt;1)),
IF(Import.TipoArredondamento&lt;&gt;"TransfereGOV",
ROUND(OFFSET($P593,0,AS$13),15-13*ORÇAMENTO!$AF$7)/$H593*OFFSET(ORÇAMENTO!$X$15,ROW(AS593)-ROW(AS$15),0),
ROUND(ROUND(OFFSET($P593,0,AS$13),15-13*ORÇAMENTO!$AF$7)*OFFSET(ORÇAMENTO!$W$15,ROW(AS593)-ROW(AS$15),0),15-13*ORÇAMENTO!$AF$11)),0)</f>
        <v>0</v>
      </c>
      <c r="AT593" s="545">
        <f ca="1">IF(AND($D593="Serviço",AT$12&lt;&gt;0,$H593&gt;0,OR(AUTOEVENTO&lt;&gt;"manual",$M593&lt;&gt;1)),
IF(Import.TipoArredondamento&lt;&gt;"TransfereGOV",
ROUND(OFFSET($P593,0,AT$13),15-13*ORÇAMENTO!$AF$7)/$H593*OFFSET(ORÇAMENTO!$X$15,ROW(AT593)-ROW(AT$15),0),
ROUND(ROUND(OFFSET($P593,0,AT$13),15-13*ORÇAMENTO!$AF$7)*OFFSET(ORÇAMENTO!$W$15,ROW(AT593)-ROW(AT$15),0),15-13*ORÇAMENTO!$AF$11)),0)</f>
        <v>0</v>
      </c>
      <c r="AU593" s="545">
        <f ca="1">IF(AND($D593="Serviço",AU$12&lt;&gt;0,$H593&gt;0,OR(AUTOEVENTO&lt;&gt;"manual",$M593&lt;&gt;1)),
IF(Import.TipoArredondamento&lt;&gt;"TransfereGOV",
ROUND(OFFSET($P593,0,AU$13),15-13*ORÇAMENTO!$AF$7)/$H593*OFFSET(ORÇAMENTO!$X$15,ROW(AU593)-ROW(AU$15),0),
ROUND(ROUND(OFFSET($P593,0,AU$13),15-13*ORÇAMENTO!$AF$7)*OFFSET(ORÇAMENTO!$W$15,ROW(AU593)-ROW(AU$15),0),15-13*ORÇAMENTO!$AF$11)),0)</f>
        <v>0</v>
      </c>
      <c r="AV593" s="545">
        <f ca="1">IF(AND($D593="Serviço",AV$12&lt;&gt;0,$H593&gt;0,OR(AUTOEVENTO&lt;&gt;"manual",$M593&lt;&gt;1)),
IF(Import.TipoArredondamento&lt;&gt;"TransfereGOV",
ROUND(OFFSET($P593,0,AV$13),15-13*ORÇAMENTO!$AF$7)/$H593*OFFSET(ORÇAMENTO!$X$15,ROW(AV593)-ROW(AV$15),0),
ROUND(ROUND(OFFSET($P593,0,AV$13),15-13*ORÇAMENTO!$AF$7)*OFFSET(ORÇAMENTO!$W$15,ROW(AV593)-ROW(AV$15),0),15-13*ORÇAMENTO!$AF$11)),0)</f>
        <v>0</v>
      </c>
      <c r="AW593" s="545">
        <f ca="1">IF(AND($D593="Serviço",AW$12&lt;&gt;0,$H593&gt;0,OR(AUTOEVENTO&lt;&gt;"manual",$M593&lt;&gt;1)),
IF(Import.TipoArredondamento&lt;&gt;"TransfereGOV",
ROUND(OFFSET($P593,0,AW$13),15-13*ORÇAMENTO!$AF$7)/$H593*OFFSET(ORÇAMENTO!$X$15,ROW(AW593)-ROW(AW$15),0),
ROUND(ROUND(OFFSET($P593,0,AW$13),15-13*ORÇAMENTO!$AF$7)*OFFSET(ORÇAMENTO!$W$15,ROW(AW593)-ROW(AW$15),0),15-13*ORÇAMENTO!$AF$11)),0)</f>
        <v>0</v>
      </c>
      <c r="AX593" s="545">
        <f ca="1">IF(AND($D593="Serviço",AX$12&lt;&gt;0,$H593&gt;0,OR(AUTOEVENTO&lt;&gt;"manual",$M593&lt;&gt;1)),
IF(Import.TipoArredondamento&lt;&gt;"TransfereGOV",
ROUND(OFFSET($P593,0,AX$13),15-13*ORÇAMENTO!$AF$7)/$H593*OFFSET(ORÇAMENTO!$X$15,ROW(AX593)-ROW(AX$15),0),
ROUND(ROUND(OFFSET($P593,0,AX$13),15-13*ORÇAMENTO!$AF$7)*OFFSET(ORÇAMENTO!$W$15,ROW(AX593)-ROW(AX$15),0),15-13*ORÇAMENTO!$AF$11)),0)</f>
        <v>0</v>
      </c>
      <c r="AY593" s="545">
        <f ca="1">IF(AND($D593="Serviço",AY$12&lt;&gt;0,$H593&gt;0,OR(AUTOEVENTO&lt;&gt;"manual",$M593&lt;&gt;1)),
IF(Import.TipoArredondamento&lt;&gt;"TransfereGOV",
ROUND(OFFSET($P593,0,AY$13),15-13*ORÇAMENTO!$AF$7)/$H593*OFFSET(ORÇAMENTO!$X$15,ROW(AY593)-ROW(AY$15),0),
ROUND(ROUND(OFFSET($P593,0,AY$13),15-13*ORÇAMENTO!$AF$7)*OFFSET(ORÇAMENTO!$W$15,ROW(AY593)-ROW(AY$15),0),15-13*ORÇAMENTO!$AF$11)),0)</f>
        <v>0</v>
      </c>
      <c r="AZ593" s="545">
        <f ca="1">IF(AND($D593="Serviço",AZ$12&lt;&gt;0,$H593&gt;0,OR(AUTOEVENTO&lt;&gt;"manual",$M593&lt;&gt;1)),
IF(Import.TipoArredondamento&lt;&gt;"TransfereGOV",
ROUND(OFFSET($P593,0,AZ$13),15-13*ORÇAMENTO!$AF$7)/$H593*OFFSET(ORÇAMENTO!$X$15,ROW(AZ593)-ROW(AZ$15),0),
ROUND(ROUND(OFFSET($P593,0,AZ$13),15-13*ORÇAMENTO!$AF$7)*OFFSET(ORÇAMENTO!$W$15,ROW(AZ593)-ROW(AZ$15),0),15-13*ORÇAMENTO!$AF$11)),0)</f>
        <v>0</v>
      </c>
      <c r="BA593" s="546">
        <f ca="1">IF(AND($D593="Serviço",BA$12&lt;&gt;0,$H593&gt;0,OR(AUTOEVENTO&lt;&gt;"manual",$M593&lt;&gt;1)),
IF(Import.TipoArredondamento&lt;&gt;"TransfereGOV",
ROUND(OFFSET($P593,0,BA$13),15-13*ORÇAMENTO!$AF$7)/$H593*OFFSET(ORÇAMENTO!$X$15,ROW(BA593)-ROW(BA$15),0),
ROUND(ROUND(OFFSET($P593,0,BA$13),15-13*ORÇAMENTO!$AF$7)*OFFSET(ORÇAMENTO!$W$15,ROW(BA593)-ROW(BA$15),0),15-13*ORÇAMENTO!$AF$11)),0)</f>
        <v>0</v>
      </c>
      <c r="BC593" s="181">
        <f ca="1">IF($D593&lt;&gt;"Serviço",0,IF(AND(AUTOEVENTO="Manual",$M593=1),0,IF(OFFSET(CRONOPLE!$F$14,$M593,BC$13)="",10^12,OFFSET(CRONOPLE!$F$14,$M593,BC$13))))</f>
        <v>11</v>
      </c>
      <c r="BD593" s="181">
        <f ca="1">IF($D593&lt;&gt;"Serviço",0,IF(AND(AUTOEVENTO="Manual",$M593=1),0,IF(OFFSET(CRONOPLE!$F$14,$M593,BD$13)="",10^12,OFFSET(CRONOPLE!$F$14,$M593,BD$13))))</f>
        <v>1000000000000</v>
      </c>
      <c r="BE593" s="181">
        <f ca="1">IF($D593&lt;&gt;"Serviço",0,IF(AND(AUTOEVENTO="Manual",$M593=1),0,IF(OFFSET(CRONOPLE!$F$14,$M593,BE$13)="",10^12,OFFSET(CRONOPLE!$F$14,$M593,BE$13))))</f>
        <v>1000000000000</v>
      </c>
      <c r="BF593" s="181">
        <f ca="1">IF($D593&lt;&gt;"Serviço",0,IF(AND(AUTOEVENTO="Manual",$M593=1),0,IF(OFFSET(CRONOPLE!$F$14,$M593,BF$13)="",10^12,OFFSET(CRONOPLE!$F$14,$M593,BF$13))))</f>
        <v>1000000000000</v>
      </c>
      <c r="BG593" s="181">
        <f ca="1">IF($D593&lt;&gt;"Serviço",0,IF(AND(AUTOEVENTO="Manual",$M593=1),0,IF(OFFSET(CRONOPLE!$F$14,$M593,BG$13)="",10^12,OFFSET(CRONOPLE!$F$14,$M593,BG$13))))</f>
        <v>1000000000000</v>
      </c>
      <c r="BH593" s="181">
        <f ca="1">IF($D593&lt;&gt;"Serviço",0,IF(AND(AUTOEVENTO="Manual",$M593=1),0,IF(OFFSET(CRONOPLE!$F$14,$M593,BH$13)="",10^12,OFFSET(CRONOPLE!$F$14,$M593,BH$13))))</f>
        <v>1000000000000</v>
      </c>
      <c r="BI593" s="181">
        <f ca="1">IF($D593&lt;&gt;"Serviço",0,IF(AND(AUTOEVENTO="Manual",$M593=1),0,IF(OFFSET(CRONOPLE!$F$14,$M593,BI$13)="",10^12,OFFSET(CRONOPLE!$F$14,$M593,BI$13))))</f>
        <v>1000000000000</v>
      </c>
      <c r="BJ593" s="181">
        <f ca="1">IF($D593&lt;&gt;"Serviço",0,IF(AND(AUTOEVENTO="Manual",$M593=1),0,IF(OFFSET(CRONOPLE!$F$14,$M593,BJ$13)="",10^12,OFFSET(CRONOPLE!$F$14,$M593,BJ$13))))</f>
        <v>1000000000000</v>
      </c>
      <c r="BK593" s="181">
        <f ca="1">IF($D593&lt;&gt;"Serviço",0,IF(AND(AUTOEVENTO="Manual",$M593=1),0,IF(OFFSET(CRONOPLE!$F$14,$M593,BK$13)="",10^12,OFFSET(CRONOPLE!$F$14,$M593,BK$13))))</f>
        <v>1000000000000</v>
      </c>
      <c r="BL593" s="181">
        <f ca="1">IF($D593&lt;&gt;"Serviço",0,IF(AND(AUTOEVENTO="Manual",$M593=1),0,IF(OFFSET(CRONOPLE!$F$14,$M593,BL$13)="",10^12,OFFSET(CRONOPLE!$F$14,$M593,BL$13))))</f>
        <v>1000000000000</v>
      </c>
      <c r="BM593" s="181">
        <f ca="1">IF($D593&lt;&gt;"Serviço",0,IF(AND(AUTOEVENTO="Manual",$M593=1),0,IF(OFFSET(CRONOPLE!$F$14,$M593,BM$13)="",10^12,OFFSET(CRONOPLE!$F$14,$M593,BM$13))))</f>
        <v>1000000000000</v>
      </c>
      <c r="BN593" s="181">
        <f ca="1">IF($D593&lt;&gt;"Serviço",0,IF(AND(AUTOEVENTO="Manual",$M593=1),0,IF(OFFSET(CRONOPLE!$F$14,$M593,BN$13)="",10^12,OFFSET(CRONOPLE!$F$14,$M593,BN$13))))</f>
        <v>1000000000000</v>
      </c>
      <c r="BO593" s="181">
        <f ca="1">IF($D593&lt;&gt;"Serviço",0,IF(AND(AUTOEVENTO="Manual",$M593=1),0,IF(OFFSET(CRONOPLE!$F$14,$M593,BO$13)="",10^12,OFFSET(CRONOPLE!$F$14,$M593,BO$13))))</f>
        <v>1000000000000</v>
      </c>
      <c r="BP593" s="181">
        <f ca="1">IF($D593&lt;&gt;"Serviço",0,IF(AND(AUTOEVENTO="Manual",$M593=1),0,IF(OFFSET(CRONOPLE!$F$14,$M593,BP$13)="",10^12,OFFSET(CRONOPLE!$F$14,$M593,BP$13))))</f>
        <v>1000000000000</v>
      </c>
      <c r="BQ593" s="181">
        <f ca="1">IF($D593&lt;&gt;"Serviço",0,IF(AND(AUTOEVENTO="Manual",$M593=1),0,IF(OFFSET(CRONOPLE!$F$14,$M593,BQ$13)="",10^12,OFFSET(CRONOPLE!$F$14,$M593,BQ$13))))</f>
        <v>1000000000000</v>
      </c>
      <c r="BR593" s="181">
        <f ca="1">IF($D593&lt;&gt;"Serviço",0,IF(AND(AUTOEVENTO="Manual",$M593=1),0,IF(OFFSET(CRONOPLE!$F$14,$M593,BR$13)="",10^12,OFFSET(CRONOPLE!$F$14,$M593,BR$13))))</f>
        <v>1000000000000</v>
      </c>
      <c r="BS593" s="181">
        <f ca="1">IF($D593&lt;&gt;"Serviço",0,IF(AND(AUTOEVENTO="Manual",$M593=1),0,IF(OFFSET(CRONOPLE!$F$14,$M593,BS$13)="",10^12,OFFSET(CRONOPLE!$F$14,$M593,BS$13))))</f>
        <v>1000000000000</v>
      </c>
      <c r="BT593" s="181">
        <f ca="1">IF($D593&lt;&gt;"Serviço",0,IF(AND(AUTOEVENTO="Manual",$M593=1),0,IF(OFFSET(CRONOPLE!$F$14,$M593,BT$13)="",10^12,OFFSET(CRONOPLE!$F$14,$M593,BT$13))))</f>
        <v>1000000000000</v>
      </c>
      <c r="BV593" s="182">
        <f ca="1">IF($D593&lt;&gt;"Serviço",0,IF(OR(AND(AUTOEVENTO="Manual",$M593=1),$M593&gt;(ROW(PLE.lastrow)-ROW(PLE.firstrow))),0,IF(OFFSET(PLE!$G$14,$M593,BV$13)="",10^12,OFFSET(PLE!$G$14,$M593,BV$13))))</f>
        <v>1000000000000</v>
      </c>
      <c r="BW593" s="182">
        <f ca="1">IF($D593&lt;&gt;"Serviço",0,IF(OR(AND(AUTOEVENTO="Manual",$M593=1),$M593&gt;(ROW(PLE.lastrow)-ROW(PLE.firstrow))),0,IF(OFFSET(PLE!$G$14,$M593,BW$13)="",10^12,OFFSET(PLE!$G$14,$M593,BW$13))))</f>
        <v>1000000000000</v>
      </c>
      <c r="BX593" s="182">
        <f ca="1">IF($D593&lt;&gt;"Serviço",0,IF(OR(AND(AUTOEVENTO="Manual",$M593=1),$M593&gt;(ROW(PLE.lastrow)-ROW(PLE.firstrow))),0,IF(OFFSET(PLE!$G$14,$M593,BX$13)="",10^12,OFFSET(PLE!$G$14,$M593,BX$13))))</f>
        <v>1000000000000</v>
      </c>
      <c r="BY593" s="182">
        <f ca="1">IF($D593&lt;&gt;"Serviço",0,IF(OR(AND(AUTOEVENTO="Manual",$M593=1),$M593&gt;(ROW(PLE.lastrow)-ROW(PLE.firstrow))),0,IF(OFFSET(PLE!$G$14,$M593,BY$13)="",10^12,OFFSET(PLE!$G$14,$M593,BY$13))))</f>
        <v>1000000000000</v>
      </c>
      <c r="BZ593" s="182">
        <f ca="1">IF($D593&lt;&gt;"Serviço",0,IF(OR(AND(AUTOEVENTO="Manual",$M593=1),$M593&gt;(ROW(PLE.lastrow)-ROW(PLE.firstrow))),0,IF(OFFSET(PLE!$G$14,$M593,BZ$13)="",10^12,OFFSET(PLE!$G$14,$M593,BZ$13))))</f>
        <v>1000000000000</v>
      </c>
      <c r="CA593" s="182">
        <f ca="1">IF($D593&lt;&gt;"Serviço",0,IF(OR(AND(AUTOEVENTO="Manual",$M593=1),$M593&gt;(ROW(PLE.lastrow)-ROW(PLE.firstrow))),0,IF(OFFSET(PLE!$G$14,$M593,CA$13)="",10^12,OFFSET(PLE!$G$14,$M593,CA$13))))</f>
        <v>1000000000000</v>
      </c>
      <c r="CB593" s="182">
        <f ca="1">IF($D593&lt;&gt;"Serviço",0,IF(OR(AND(AUTOEVENTO="Manual",$M593=1),$M593&gt;(ROW(PLE.lastrow)-ROW(PLE.firstrow))),0,IF(OFFSET(PLE!$G$14,$M593,CB$13)="",10^12,OFFSET(PLE!$G$14,$M593,CB$13))))</f>
        <v>1000000000000</v>
      </c>
      <c r="CC593" s="182">
        <f ca="1">IF($D593&lt;&gt;"Serviço",0,IF(OR(AND(AUTOEVENTO="Manual",$M593=1),$M593&gt;(ROW(PLE.lastrow)-ROW(PLE.firstrow))),0,IF(OFFSET(PLE!$G$14,$M593,CC$13)="",10^12,OFFSET(PLE!$G$14,$M593,CC$13))))</f>
        <v>1000000000000</v>
      </c>
      <c r="CD593" s="182">
        <f ca="1">IF($D593&lt;&gt;"Serviço",0,IF(OR(AND(AUTOEVENTO="Manual",$M593=1),$M593&gt;(ROW(PLE.lastrow)-ROW(PLE.firstrow))),0,IF(OFFSET(PLE!$G$14,$M593,CD$13)="",10^12,OFFSET(PLE!$G$14,$M593,CD$13))))</f>
        <v>1000000000000</v>
      </c>
      <c r="CE593" s="182">
        <f ca="1">IF($D593&lt;&gt;"Serviço",0,IF(OR(AND(AUTOEVENTO="Manual",$M593=1),$M593&gt;(ROW(PLE.lastrow)-ROW(PLE.firstrow))),0,IF(OFFSET(PLE!$G$14,$M593,CE$13)="",10^12,OFFSET(PLE!$G$14,$M593,CE$13))))</f>
        <v>1000000000000</v>
      </c>
      <c r="CF593" s="182">
        <f ca="1">IF($D593&lt;&gt;"Serviço",0,IF(OR(AND(AUTOEVENTO="Manual",$M593=1),$M593&gt;(ROW(PLE.lastrow)-ROW(PLE.firstrow))),0,IF(OFFSET(PLE!$G$14,$M593,CF$13)="",10^12,OFFSET(PLE!$G$14,$M593,CF$13))))</f>
        <v>1000000000000</v>
      </c>
      <c r="CG593" s="182">
        <f ca="1">IF($D593&lt;&gt;"Serviço",0,IF(OR(AND(AUTOEVENTO="Manual",$M593=1),$M593&gt;(ROW(PLE.lastrow)-ROW(PLE.firstrow))),0,IF(OFFSET(PLE!$G$14,$M593,CG$13)="",10^12,OFFSET(PLE!$G$14,$M593,CG$13))))</f>
        <v>1000000000000</v>
      </c>
      <c r="CH593" s="182">
        <f ca="1">IF($D593&lt;&gt;"Serviço",0,IF(OR(AND(AUTOEVENTO="Manual",$M593=1),$M593&gt;(ROW(PLE.lastrow)-ROW(PLE.firstrow))),0,IF(OFFSET(PLE!$G$14,$M593,CH$13)="",10^12,OFFSET(PLE!$G$14,$M593,CH$13))))</f>
        <v>1000000000000</v>
      </c>
      <c r="CI593" s="182">
        <f ca="1">IF($D593&lt;&gt;"Serviço",0,IF(OR(AND(AUTOEVENTO="Manual",$M593=1),$M593&gt;(ROW(PLE.lastrow)-ROW(PLE.firstrow))),0,IF(OFFSET(PLE!$G$14,$M593,CI$13)="",10^12,OFFSET(PLE!$G$14,$M593,CI$13))))</f>
        <v>1000000000000</v>
      </c>
      <c r="CJ593" s="182">
        <f ca="1">IF($D593&lt;&gt;"Serviço",0,IF(OR(AND(AUTOEVENTO="Manual",$M593=1),$M593&gt;(ROW(PLE.lastrow)-ROW(PLE.firstrow))),0,IF(OFFSET(PLE!$G$14,$M593,CJ$13)="",10^12,OFFSET(PLE!$G$14,$M593,CJ$13))))</f>
        <v>1000000000000</v>
      </c>
      <c r="CK593" s="182">
        <f ca="1">IF($D593&lt;&gt;"Serviço",0,IF(OR(AND(AUTOEVENTO="Manual",$M593=1),$M593&gt;(ROW(PLE.lastrow)-ROW(PLE.firstrow))),0,IF(OFFSET(PLE!$G$14,$M593,CK$13)="",10^12,OFFSET(PLE!$G$14,$M593,CK$13))))</f>
        <v>1000000000000</v>
      </c>
      <c r="CL593" s="182">
        <f ca="1">IF($D593&lt;&gt;"Serviço",0,IF(OR(AND(AUTOEVENTO="Manual",$M593=1),$M593&gt;(ROW(PLE.lastrow)-ROW(PLE.firstrow))),0,IF(OFFSET(PLE!$G$14,$M593,CL$13)="",10^12,OFFSET(PLE!$G$14,$M593,CL$13))))</f>
        <v>1000000000000</v>
      </c>
      <c r="CM593" s="182">
        <f ca="1">IF($D593&lt;&gt;"Serviço",0,IF(OR(AND(AUTOEVENTO="Manual",$M593=1),$M593&gt;(ROW(PLE.lastrow)-ROW(PLE.firstrow))),0,IF(OFFSET(PLE!$G$14,$M593,CM$13)="",10^12,OFFSET(PLE!$G$14,$M593,CM$13))))</f>
        <v>1000000000000</v>
      </c>
    </row>
    <row r="594" spans="1:91" ht="25.5" x14ac:dyDescent="0.2">
      <c r="A594" s="7" t="str">
        <f t="shared" ca="1" si="18"/>
        <v>576</v>
      </c>
      <c r="B594" s="7" t="str">
        <f ca="1">OFFSET(ORÇAMENTO!C$15,ROW(B594)-ROW(B$15),0)</f>
        <v>S</v>
      </c>
      <c r="C594" s="7" t="str">
        <f ca="1">OFFSET(ORÇAMENTO!L$15,ROW(C594)-ROW(C$15),0)</f>
        <v/>
      </c>
      <c r="D594" s="118" t="str">
        <f ca="1">OFFSET(ORÇAMENTO!N$15,ROW(D594)-ROW(D$15),0)</f>
        <v>Serviço</v>
      </c>
      <c r="E594" s="119" t="str">
        <f ca="1">OFFSET(ORÇAMENTO!O$15,ROW(E594)-ROW(E$15),0)</f>
        <v>-</v>
      </c>
      <c r="F594" s="172" t="str">
        <f ca="1">OFFSET(ORÇAMENTO!R$15,ROW(F594)-ROW(F$15),0)</f>
        <v>(abra o arquivo 'Referência 06-2024.xlsm)</v>
      </c>
      <c r="G594" s="173" t="str">
        <f ca="1">IF($D594&lt;&gt;"Serviço","",OFFSET(ORÇAMENTO!S$15,ROW(G594)-ROW(G$15),0))</f>
        <v>-</v>
      </c>
      <c r="H594" s="124">
        <f ca="1">IF($D594&lt;&gt;"Serviço",0,IF(ACOMPANHAMENTO="BM",ROUND(OFFSET(ORÇAMENTO!AJ$15,ROW(H594)-ROW(H$15),0),15-13*ORÇAMENTO!$AF$7),SUMPRODUCT(($Q$12:$AI$12&lt;&gt;"")*ROUND($Q594:$AI594,15-13*ORÇAMENTO!$AF$7))))</f>
        <v>45.3</v>
      </c>
      <c r="I594" s="561" t="s">
        <v>1107</v>
      </c>
      <c r="K594" s="174"/>
      <c r="L594" s="175" t="s">
        <v>255</v>
      </c>
      <c r="M594" s="176">
        <f ca="1">IF($D594&lt;&gt;"Serviço","",IF(AUTOEVENTO="manual",$A594,IF(ISERROR(MATCH($A594,$A$15:OFFSET($A594,-1,0),0)),MAX($M$15:OFFSET(M594,-1,0))+1,INDEX($M$15:OFFSET(M594,-1,0),MATCH($A594,$A$15:OFFSET($A594,-1,0),0)))))</f>
        <v>60</v>
      </c>
      <c r="N594" s="177" t="str">
        <f ca="1">IF($D594&lt;&gt;"Serviço","",IF(AUTOEVENTO="Manual",IF($A594=0,"&lt;-- defina o número do agrupador",OFFSET(EVENTOS!$D$14,$A594,0)),OFFSET($F$15,$A594,0)))</f>
        <v>INSTALAÇÃO ELÉTRICA 110V - PERFILADOS</v>
      </c>
      <c r="O594" s="178"/>
      <c r="Q594" s="178">
        <v>45.3</v>
      </c>
      <c r="R594" s="179"/>
      <c r="S594" s="179"/>
      <c r="T594" s="179"/>
      <c r="U594" s="179"/>
      <c r="V594" s="179"/>
      <c r="W594" s="179"/>
      <c r="X594" s="179"/>
      <c r="Y594" s="179"/>
      <c r="Z594" s="180"/>
      <c r="AA594" s="179"/>
      <c r="AB594" s="179"/>
      <c r="AC594" s="179"/>
      <c r="AD594" s="179"/>
      <c r="AE594" s="179"/>
      <c r="AF594" s="179"/>
      <c r="AG594" s="179"/>
      <c r="AH594" s="180"/>
      <c r="AJ594" s="544">
        <f ca="1">IF(AND($D594="Serviço",AJ$12&lt;&gt;0,$H594&gt;0,OR(AUTOEVENTO&lt;&gt;"manual",$M594&lt;&gt;1)),
IF(Import.TipoArredondamento&lt;&gt;"TransfereGOV",
ROUND(OFFSET($P594,0,AJ$13),15-13*ORÇAMENTO!$AF$7)/$H594*OFFSET(ORÇAMENTO!$X$15,ROW(AJ594)-ROW(AJ$15),0),
ROUND(ROUND(OFFSET($P594,0,AJ$13),15-13*ORÇAMENTO!$AF$7)*OFFSET(ORÇAMENTO!$W$15,ROW(AJ594)-ROW(AJ$15),0),15-13*ORÇAMENTO!$AF$11)),0)</f>
        <v>0</v>
      </c>
      <c r="AK594" s="545">
        <f ca="1">IF(AND($D594="Serviço",AK$12&lt;&gt;0,$H594&gt;0,OR(AUTOEVENTO&lt;&gt;"manual",$M594&lt;&gt;1)),
IF(Import.TipoArredondamento&lt;&gt;"TransfereGOV",
ROUND(OFFSET($P594,0,AK$13),15-13*ORÇAMENTO!$AF$7)/$H594*OFFSET(ORÇAMENTO!$X$15,ROW(AK594)-ROW(AK$15),0),
ROUND(ROUND(OFFSET($P594,0,AK$13),15-13*ORÇAMENTO!$AF$7)*OFFSET(ORÇAMENTO!$W$15,ROW(AK594)-ROW(AK$15),0),15-13*ORÇAMENTO!$AF$11)),0)</f>
        <v>0</v>
      </c>
      <c r="AL594" s="545">
        <f ca="1">IF(AND($D594="Serviço",AL$12&lt;&gt;0,$H594&gt;0,OR(AUTOEVENTO&lt;&gt;"manual",$M594&lt;&gt;1)),
IF(Import.TipoArredondamento&lt;&gt;"TransfereGOV",
ROUND(OFFSET($P594,0,AL$13),15-13*ORÇAMENTO!$AF$7)/$H594*OFFSET(ORÇAMENTO!$X$15,ROW(AL594)-ROW(AL$15),0),
ROUND(ROUND(OFFSET($P594,0,AL$13),15-13*ORÇAMENTO!$AF$7)*OFFSET(ORÇAMENTO!$W$15,ROW(AL594)-ROW(AL$15),0),15-13*ORÇAMENTO!$AF$11)),0)</f>
        <v>0</v>
      </c>
      <c r="AM594" s="545">
        <f ca="1">IF(AND($D594="Serviço",AM$12&lt;&gt;0,$H594&gt;0,OR(AUTOEVENTO&lt;&gt;"manual",$M594&lt;&gt;1)),
IF(Import.TipoArredondamento&lt;&gt;"TransfereGOV",
ROUND(OFFSET($P594,0,AM$13),15-13*ORÇAMENTO!$AF$7)/$H594*OFFSET(ORÇAMENTO!$X$15,ROW(AM594)-ROW(AM$15),0),
ROUND(ROUND(OFFSET($P594,0,AM$13),15-13*ORÇAMENTO!$AF$7)*OFFSET(ORÇAMENTO!$W$15,ROW(AM594)-ROW(AM$15),0),15-13*ORÇAMENTO!$AF$11)),0)</f>
        <v>0</v>
      </c>
      <c r="AN594" s="545">
        <f ca="1">IF(AND($D594="Serviço",AN$12&lt;&gt;0,$H594&gt;0,OR(AUTOEVENTO&lt;&gt;"manual",$M594&lt;&gt;1)),
IF(Import.TipoArredondamento&lt;&gt;"TransfereGOV",
ROUND(OFFSET($P594,0,AN$13),15-13*ORÇAMENTO!$AF$7)/$H594*OFFSET(ORÇAMENTO!$X$15,ROW(AN594)-ROW(AN$15),0),
ROUND(ROUND(OFFSET($P594,0,AN$13),15-13*ORÇAMENTO!$AF$7)*OFFSET(ORÇAMENTO!$W$15,ROW(AN594)-ROW(AN$15),0),15-13*ORÇAMENTO!$AF$11)),0)</f>
        <v>0</v>
      </c>
      <c r="AO594" s="545">
        <f ca="1">IF(AND($D594="Serviço",AO$12&lt;&gt;0,$H594&gt;0,OR(AUTOEVENTO&lt;&gt;"manual",$M594&lt;&gt;1)),
IF(Import.TipoArredondamento&lt;&gt;"TransfereGOV",
ROUND(OFFSET($P594,0,AO$13),15-13*ORÇAMENTO!$AF$7)/$H594*OFFSET(ORÇAMENTO!$X$15,ROW(AO594)-ROW(AO$15),0),
ROUND(ROUND(OFFSET($P594,0,AO$13),15-13*ORÇAMENTO!$AF$7)*OFFSET(ORÇAMENTO!$W$15,ROW(AO594)-ROW(AO$15),0),15-13*ORÇAMENTO!$AF$11)),0)</f>
        <v>0</v>
      </c>
      <c r="AP594" s="545">
        <f ca="1">IF(AND($D594="Serviço",AP$12&lt;&gt;0,$H594&gt;0,OR(AUTOEVENTO&lt;&gt;"manual",$M594&lt;&gt;1)),
IF(Import.TipoArredondamento&lt;&gt;"TransfereGOV",
ROUND(OFFSET($P594,0,AP$13),15-13*ORÇAMENTO!$AF$7)/$H594*OFFSET(ORÇAMENTO!$X$15,ROW(AP594)-ROW(AP$15),0),
ROUND(ROUND(OFFSET($P594,0,AP$13),15-13*ORÇAMENTO!$AF$7)*OFFSET(ORÇAMENTO!$W$15,ROW(AP594)-ROW(AP$15),0),15-13*ORÇAMENTO!$AF$11)),0)</f>
        <v>0</v>
      </c>
      <c r="AQ594" s="545">
        <f ca="1">IF(AND($D594="Serviço",AQ$12&lt;&gt;0,$H594&gt;0,OR(AUTOEVENTO&lt;&gt;"manual",$M594&lt;&gt;1)),
IF(Import.TipoArredondamento&lt;&gt;"TransfereGOV",
ROUND(OFFSET($P594,0,AQ$13),15-13*ORÇAMENTO!$AF$7)/$H594*OFFSET(ORÇAMENTO!$X$15,ROW(AQ594)-ROW(AQ$15),0),
ROUND(ROUND(OFFSET($P594,0,AQ$13),15-13*ORÇAMENTO!$AF$7)*OFFSET(ORÇAMENTO!$W$15,ROW(AQ594)-ROW(AQ$15),0),15-13*ORÇAMENTO!$AF$11)),0)</f>
        <v>0</v>
      </c>
      <c r="AR594" s="545">
        <f ca="1">IF(AND($D594="Serviço",AR$12&lt;&gt;0,$H594&gt;0,OR(AUTOEVENTO&lt;&gt;"manual",$M594&lt;&gt;1)),
IF(Import.TipoArredondamento&lt;&gt;"TransfereGOV",
ROUND(OFFSET($P594,0,AR$13),15-13*ORÇAMENTO!$AF$7)/$H594*OFFSET(ORÇAMENTO!$X$15,ROW(AR594)-ROW(AR$15),0),
ROUND(ROUND(OFFSET($P594,0,AR$13),15-13*ORÇAMENTO!$AF$7)*OFFSET(ORÇAMENTO!$W$15,ROW(AR594)-ROW(AR$15),0),15-13*ORÇAMENTO!$AF$11)),0)</f>
        <v>0</v>
      </c>
      <c r="AS594" s="546">
        <f ca="1">IF(AND($D594="Serviço",AS$12&lt;&gt;0,$H594&gt;0,OR(AUTOEVENTO&lt;&gt;"manual",$M594&lt;&gt;1)),
IF(Import.TipoArredondamento&lt;&gt;"TransfereGOV",
ROUND(OFFSET($P594,0,AS$13),15-13*ORÇAMENTO!$AF$7)/$H594*OFFSET(ORÇAMENTO!$X$15,ROW(AS594)-ROW(AS$15),0),
ROUND(ROUND(OFFSET($P594,0,AS$13),15-13*ORÇAMENTO!$AF$7)*OFFSET(ORÇAMENTO!$W$15,ROW(AS594)-ROW(AS$15),0),15-13*ORÇAMENTO!$AF$11)),0)</f>
        <v>0</v>
      </c>
      <c r="AT594" s="545">
        <f ca="1">IF(AND($D594="Serviço",AT$12&lt;&gt;0,$H594&gt;0,OR(AUTOEVENTO&lt;&gt;"manual",$M594&lt;&gt;1)),
IF(Import.TipoArredondamento&lt;&gt;"TransfereGOV",
ROUND(OFFSET($P594,0,AT$13),15-13*ORÇAMENTO!$AF$7)/$H594*OFFSET(ORÇAMENTO!$X$15,ROW(AT594)-ROW(AT$15),0),
ROUND(ROUND(OFFSET($P594,0,AT$13),15-13*ORÇAMENTO!$AF$7)*OFFSET(ORÇAMENTO!$W$15,ROW(AT594)-ROW(AT$15),0),15-13*ORÇAMENTO!$AF$11)),0)</f>
        <v>0</v>
      </c>
      <c r="AU594" s="545">
        <f ca="1">IF(AND($D594="Serviço",AU$12&lt;&gt;0,$H594&gt;0,OR(AUTOEVENTO&lt;&gt;"manual",$M594&lt;&gt;1)),
IF(Import.TipoArredondamento&lt;&gt;"TransfereGOV",
ROUND(OFFSET($P594,0,AU$13),15-13*ORÇAMENTO!$AF$7)/$H594*OFFSET(ORÇAMENTO!$X$15,ROW(AU594)-ROW(AU$15),0),
ROUND(ROUND(OFFSET($P594,0,AU$13),15-13*ORÇAMENTO!$AF$7)*OFFSET(ORÇAMENTO!$W$15,ROW(AU594)-ROW(AU$15),0),15-13*ORÇAMENTO!$AF$11)),0)</f>
        <v>0</v>
      </c>
      <c r="AV594" s="545">
        <f ca="1">IF(AND($D594="Serviço",AV$12&lt;&gt;0,$H594&gt;0,OR(AUTOEVENTO&lt;&gt;"manual",$M594&lt;&gt;1)),
IF(Import.TipoArredondamento&lt;&gt;"TransfereGOV",
ROUND(OFFSET($P594,0,AV$13),15-13*ORÇAMENTO!$AF$7)/$H594*OFFSET(ORÇAMENTO!$X$15,ROW(AV594)-ROW(AV$15),0),
ROUND(ROUND(OFFSET($P594,0,AV$13),15-13*ORÇAMENTO!$AF$7)*OFFSET(ORÇAMENTO!$W$15,ROW(AV594)-ROW(AV$15),0),15-13*ORÇAMENTO!$AF$11)),0)</f>
        <v>0</v>
      </c>
      <c r="AW594" s="545">
        <f ca="1">IF(AND($D594="Serviço",AW$12&lt;&gt;0,$H594&gt;0,OR(AUTOEVENTO&lt;&gt;"manual",$M594&lt;&gt;1)),
IF(Import.TipoArredondamento&lt;&gt;"TransfereGOV",
ROUND(OFFSET($P594,0,AW$13),15-13*ORÇAMENTO!$AF$7)/$H594*OFFSET(ORÇAMENTO!$X$15,ROW(AW594)-ROW(AW$15),0),
ROUND(ROUND(OFFSET($P594,0,AW$13),15-13*ORÇAMENTO!$AF$7)*OFFSET(ORÇAMENTO!$W$15,ROW(AW594)-ROW(AW$15),0),15-13*ORÇAMENTO!$AF$11)),0)</f>
        <v>0</v>
      </c>
      <c r="AX594" s="545">
        <f ca="1">IF(AND($D594="Serviço",AX$12&lt;&gt;0,$H594&gt;0,OR(AUTOEVENTO&lt;&gt;"manual",$M594&lt;&gt;1)),
IF(Import.TipoArredondamento&lt;&gt;"TransfereGOV",
ROUND(OFFSET($P594,0,AX$13),15-13*ORÇAMENTO!$AF$7)/$H594*OFFSET(ORÇAMENTO!$X$15,ROW(AX594)-ROW(AX$15),0),
ROUND(ROUND(OFFSET($P594,0,AX$13),15-13*ORÇAMENTO!$AF$7)*OFFSET(ORÇAMENTO!$W$15,ROW(AX594)-ROW(AX$15),0),15-13*ORÇAMENTO!$AF$11)),0)</f>
        <v>0</v>
      </c>
      <c r="AY594" s="545">
        <f ca="1">IF(AND($D594="Serviço",AY$12&lt;&gt;0,$H594&gt;0,OR(AUTOEVENTO&lt;&gt;"manual",$M594&lt;&gt;1)),
IF(Import.TipoArredondamento&lt;&gt;"TransfereGOV",
ROUND(OFFSET($P594,0,AY$13),15-13*ORÇAMENTO!$AF$7)/$H594*OFFSET(ORÇAMENTO!$X$15,ROW(AY594)-ROW(AY$15),0),
ROUND(ROUND(OFFSET($P594,0,AY$13),15-13*ORÇAMENTO!$AF$7)*OFFSET(ORÇAMENTO!$W$15,ROW(AY594)-ROW(AY$15),0),15-13*ORÇAMENTO!$AF$11)),0)</f>
        <v>0</v>
      </c>
      <c r="AZ594" s="545">
        <f ca="1">IF(AND($D594="Serviço",AZ$12&lt;&gt;0,$H594&gt;0,OR(AUTOEVENTO&lt;&gt;"manual",$M594&lt;&gt;1)),
IF(Import.TipoArredondamento&lt;&gt;"TransfereGOV",
ROUND(OFFSET($P594,0,AZ$13),15-13*ORÇAMENTO!$AF$7)/$H594*OFFSET(ORÇAMENTO!$X$15,ROW(AZ594)-ROW(AZ$15),0),
ROUND(ROUND(OFFSET($P594,0,AZ$13),15-13*ORÇAMENTO!$AF$7)*OFFSET(ORÇAMENTO!$W$15,ROW(AZ594)-ROW(AZ$15),0),15-13*ORÇAMENTO!$AF$11)),0)</f>
        <v>0</v>
      </c>
      <c r="BA594" s="546">
        <f ca="1">IF(AND($D594="Serviço",BA$12&lt;&gt;0,$H594&gt;0,OR(AUTOEVENTO&lt;&gt;"manual",$M594&lt;&gt;1)),
IF(Import.TipoArredondamento&lt;&gt;"TransfereGOV",
ROUND(OFFSET($P594,0,BA$13),15-13*ORÇAMENTO!$AF$7)/$H594*OFFSET(ORÇAMENTO!$X$15,ROW(BA594)-ROW(BA$15),0),
ROUND(ROUND(OFFSET($P594,0,BA$13),15-13*ORÇAMENTO!$AF$7)*OFFSET(ORÇAMENTO!$W$15,ROW(BA594)-ROW(BA$15),0),15-13*ORÇAMENTO!$AF$11)),0)</f>
        <v>0</v>
      </c>
      <c r="BC594" s="181">
        <f ca="1">IF($D594&lt;&gt;"Serviço",0,IF(AND(AUTOEVENTO="Manual",$M594=1),0,IF(OFFSET(CRONOPLE!$F$14,$M594,BC$13)="",10^12,OFFSET(CRONOPLE!$F$14,$M594,BC$13))))</f>
        <v>11</v>
      </c>
      <c r="BD594" s="181">
        <f ca="1">IF($D594&lt;&gt;"Serviço",0,IF(AND(AUTOEVENTO="Manual",$M594=1),0,IF(OFFSET(CRONOPLE!$F$14,$M594,BD$13)="",10^12,OFFSET(CRONOPLE!$F$14,$M594,BD$13))))</f>
        <v>1000000000000</v>
      </c>
      <c r="BE594" s="181">
        <f ca="1">IF($D594&lt;&gt;"Serviço",0,IF(AND(AUTOEVENTO="Manual",$M594=1),0,IF(OFFSET(CRONOPLE!$F$14,$M594,BE$13)="",10^12,OFFSET(CRONOPLE!$F$14,$M594,BE$13))))</f>
        <v>1000000000000</v>
      </c>
      <c r="BF594" s="181">
        <f ca="1">IF($D594&lt;&gt;"Serviço",0,IF(AND(AUTOEVENTO="Manual",$M594=1),0,IF(OFFSET(CRONOPLE!$F$14,$M594,BF$13)="",10^12,OFFSET(CRONOPLE!$F$14,$M594,BF$13))))</f>
        <v>1000000000000</v>
      </c>
      <c r="BG594" s="181">
        <f ca="1">IF($D594&lt;&gt;"Serviço",0,IF(AND(AUTOEVENTO="Manual",$M594=1),0,IF(OFFSET(CRONOPLE!$F$14,$M594,BG$13)="",10^12,OFFSET(CRONOPLE!$F$14,$M594,BG$13))))</f>
        <v>1000000000000</v>
      </c>
      <c r="BH594" s="181">
        <f ca="1">IF($D594&lt;&gt;"Serviço",0,IF(AND(AUTOEVENTO="Manual",$M594=1),0,IF(OFFSET(CRONOPLE!$F$14,$M594,BH$13)="",10^12,OFFSET(CRONOPLE!$F$14,$M594,BH$13))))</f>
        <v>1000000000000</v>
      </c>
      <c r="BI594" s="181">
        <f ca="1">IF($D594&lt;&gt;"Serviço",0,IF(AND(AUTOEVENTO="Manual",$M594=1),0,IF(OFFSET(CRONOPLE!$F$14,$M594,BI$13)="",10^12,OFFSET(CRONOPLE!$F$14,$M594,BI$13))))</f>
        <v>1000000000000</v>
      </c>
      <c r="BJ594" s="181">
        <f ca="1">IF($D594&lt;&gt;"Serviço",0,IF(AND(AUTOEVENTO="Manual",$M594=1),0,IF(OFFSET(CRONOPLE!$F$14,$M594,BJ$13)="",10^12,OFFSET(CRONOPLE!$F$14,$M594,BJ$13))))</f>
        <v>1000000000000</v>
      </c>
      <c r="BK594" s="181">
        <f ca="1">IF($D594&lt;&gt;"Serviço",0,IF(AND(AUTOEVENTO="Manual",$M594=1),0,IF(OFFSET(CRONOPLE!$F$14,$M594,BK$13)="",10^12,OFFSET(CRONOPLE!$F$14,$M594,BK$13))))</f>
        <v>1000000000000</v>
      </c>
      <c r="BL594" s="181">
        <f ca="1">IF($D594&lt;&gt;"Serviço",0,IF(AND(AUTOEVENTO="Manual",$M594=1),0,IF(OFFSET(CRONOPLE!$F$14,$M594,BL$13)="",10^12,OFFSET(CRONOPLE!$F$14,$M594,BL$13))))</f>
        <v>1000000000000</v>
      </c>
      <c r="BM594" s="181">
        <f ca="1">IF($D594&lt;&gt;"Serviço",0,IF(AND(AUTOEVENTO="Manual",$M594=1),0,IF(OFFSET(CRONOPLE!$F$14,$M594,BM$13)="",10^12,OFFSET(CRONOPLE!$F$14,$M594,BM$13))))</f>
        <v>1000000000000</v>
      </c>
      <c r="BN594" s="181">
        <f ca="1">IF($D594&lt;&gt;"Serviço",0,IF(AND(AUTOEVENTO="Manual",$M594=1),0,IF(OFFSET(CRONOPLE!$F$14,$M594,BN$13)="",10^12,OFFSET(CRONOPLE!$F$14,$M594,BN$13))))</f>
        <v>1000000000000</v>
      </c>
      <c r="BO594" s="181">
        <f ca="1">IF($D594&lt;&gt;"Serviço",0,IF(AND(AUTOEVENTO="Manual",$M594=1),0,IF(OFFSET(CRONOPLE!$F$14,$M594,BO$13)="",10^12,OFFSET(CRONOPLE!$F$14,$M594,BO$13))))</f>
        <v>1000000000000</v>
      </c>
      <c r="BP594" s="181">
        <f ca="1">IF($D594&lt;&gt;"Serviço",0,IF(AND(AUTOEVENTO="Manual",$M594=1),0,IF(OFFSET(CRONOPLE!$F$14,$M594,BP$13)="",10^12,OFFSET(CRONOPLE!$F$14,$M594,BP$13))))</f>
        <v>1000000000000</v>
      </c>
      <c r="BQ594" s="181">
        <f ca="1">IF($D594&lt;&gt;"Serviço",0,IF(AND(AUTOEVENTO="Manual",$M594=1),0,IF(OFFSET(CRONOPLE!$F$14,$M594,BQ$13)="",10^12,OFFSET(CRONOPLE!$F$14,$M594,BQ$13))))</f>
        <v>1000000000000</v>
      </c>
      <c r="BR594" s="181">
        <f ca="1">IF($D594&lt;&gt;"Serviço",0,IF(AND(AUTOEVENTO="Manual",$M594=1),0,IF(OFFSET(CRONOPLE!$F$14,$M594,BR$13)="",10^12,OFFSET(CRONOPLE!$F$14,$M594,BR$13))))</f>
        <v>1000000000000</v>
      </c>
      <c r="BS594" s="181">
        <f ca="1">IF($D594&lt;&gt;"Serviço",0,IF(AND(AUTOEVENTO="Manual",$M594=1),0,IF(OFFSET(CRONOPLE!$F$14,$M594,BS$13)="",10^12,OFFSET(CRONOPLE!$F$14,$M594,BS$13))))</f>
        <v>1000000000000</v>
      </c>
      <c r="BT594" s="181">
        <f ca="1">IF($D594&lt;&gt;"Serviço",0,IF(AND(AUTOEVENTO="Manual",$M594=1),0,IF(OFFSET(CRONOPLE!$F$14,$M594,BT$13)="",10^12,OFFSET(CRONOPLE!$F$14,$M594,BT$13))))</f>
        <v>1000000000000</v>
      </c>
      <c r="BV594" s="182">
        <f ca="1">IF($D594&lt;&gt;"Serviço",0,IF(OR(AND(AUTOEVENTO="Manual",$M594=1),$M594&gt;(ROW(PLE.lastrow)-ROW(PLE.firstrow))),0,IF(OFFSET(PLE!$G$14,$M594,BV$13)="",10^12,OFFSET(PLE!$G$14,$M594,BV$13))))</f>
        <v>1000000000000</v>
      </c>
      <c r="BW594" s="182">
        <f ca="1">IF($D594&lt;&gt;"Serviço",0,IF(OR(AND(AUTOEVENTO="Manual",$M594=1),$M594&gt;(ROW(PLE.lastrow)-ROW(PLE.firstrow))),0,IF(OFFSET(PLE!$G$14,$M594,BW$13)="",10^12,OFFSET(PLE!$G$14,$M594,BW$13))))</f>
        <v>1000000000000</v>
      </c>
      <c r="BX594" s="182">
        <f ca="1">IF($D594&lt;&gt;"Serviço",0,IF(OR(AND(AUTOEVENTO="Manual",$M594=1),$M594&gt;(ROW(PLE.lastrow)-ROW(PLE.firstrow))),0,IF(OFFSET(PLE!$G$14,$M594,BX$13)="",10^12,OFFSET(PLE!$G$14,$M594,BX$13))))</f>
        <v>1000000000000</v>
      </c>
      <c r="BY594" s="182">
        <f ca="1">IF($D594&lt;&gt;"Serviço",0,IF(OR(AND(AUTOEVENTO="Manual",$M594=1),$M594&gt;(ROW(PLE.lastrow)-ROW(PLE.firstrow))),0,IF(OFFSET(PLE!$G$14,$M594,BY$13)="",10^12,OFFSET(PLE!$G$14,$M594,BY$13))))</f>
        <v>1000000000000</v>
      </c>
      <c r="BZ594" s="182">
        <f ca="1">IF($D594&lt;&gt;"Serviço",0,IF(OR(AND(AUTOEVENTO="Manual",$M594=1),$M594&gt;(ROW(PLE.lastrow)-ROW(PLE.firstrow))),0,IF(OFFSET(PLE!$G$14,$M594,BZ$13)="",10^12,OFFSET(PLE!$G$14,$M594,BZ$13))))</f>
        <v>1000000000000</v>
      </c>
      <c r="CA594" s="182">
        <f ca="1">IF($D594&lt;&gt;"Serviço",0,IF(OR(AND(AUTOEVENTO="Manual",$M594=1),$M594&gt;(ROW(PLE.lastrow)-ROW(PLE.firstrow))),0,IF(OFFSET(PLE!$G$14,$M594,CA$13)="",10^12,OFFSET(PLE!$G$14,$M594,CA$13))))</f>
        <v>1000000000000</v>
      </c>
      <c r="CB594" s="182">
        <f ca="1">IF($D594&lt;&gt;"Serviço",0,IF(OR(AND(AUTOEVENTO="Manual",$M594=1),$M594&gt;(ROW(PLE.lastrow)-ROW(PLE.firstrow))),0,IF(OFFSET(PLE!$G$14,$M594,CB$13)="",10^12,OFFSET(PLE!$G$14,$M594,CB$13))))</f>
        <v>1000000000000</v>
      </c>
      <c r="CC594" s="182">
        <f ca="1">IF($D594&lt;&gt;"Serviço",0,IF(OR(AND(AUTOEVENTO="Manual",$M594=1),$M594&gt;(ROW(PLE.lastrow)-ROW(PLE.firstrow))),0,IF(OFFSET(PLE!$G$14,$M594,CC$13)="",10^12,OFFSET(PLE!$G$14,$M594,CC$13))))</f>
        <v>1000000000000</v>
      </c>
      <c r="CD594" s="182">
        <f ca="1">IF($D594&lt;&gt;"Serviço",0,IF(OR(AND(AUTOEVENTO="Manual",$M594=1),$M594&gt;(ROW(PLE.lastrow)-ROW(PLE.firstrow))),0,IF(OFFSET(PLE!$G$14,$M594,CD$13)="",10^12,OFFSET(PLE!$G$14,$M594,CD$13))))</f>
        <v>1000000000000</v>
      </c>
      <c r="CE594" s="182">
        <f ca="1">IF($D594&lt;&gt;"Serviço",0,IF(OR(AND(AUTOEVENTO="Manual",$M594=1),$M594&gt;(ROW(PLE.lastrow)-ROW(PLE.firstrow))),0,IF(OFFSET(PLE!$G$14,$M594,CE$13)="",10^12,OFFSET(PLE!$G$14,$M594,CE$13))))</f>
        <v>1000000000000</v>
      </c>
      <c r="CF594" s="182">
        <f ca="1">IF($D594&lt;&gt;"Serviço",0,IF(OR(AND(AUTOEVENTO="Manual",$M594=1),$M594&gt;(ROW(PLE.lastrow)-ROW(PLE.firstrow))),0,IF(OFFSET(PLE!$G$14,$M594,CF$13)="",10^12,OFFSET(PLE!$G$14,$M594,CF$13))))</f>
        <v>1000000000000</v>
      </c>
      <c r="CG594" s="182">
        <f ca="1">IF($D594&lt;&gt;"Serviço",0,IF(OR(AND(AUTOEVENTO="Manual",$M594=1),$M594&gt;(ROW(PLE.lastrow)-ROW(PLE.firstrow))),0,IF(OFFSET(PLE!$G$14,$M594,CG$13)="",10^12,OFFSET(PLE!$G$14,$M594,CG$13))))</f>
        <v>1000000000000</v>
      </c>
      <c r="CH594" s="182">
        <f ca="1">IF($D594&lt;&gt;"Serviço",0,IF(OR(AND(AUTOEVENTO="Manual",$M594=1),$M594&gt;(ROW(PLE.lastrow)-ROW(PLE.firstrow))),0,IF(OFFSET(PLE!$G$14,$M594,CH$13)="",10^12,OFFSET(PLE!$G$14,$M594,CH$13))))</f>
        <v>1000000000000</v>
      </c>
      <c r="CI594" s="182">
        <f ca="1">IF($D594&lt;&gt;"Serviço",0,IF(OR(AND(AUTOEVENTO="Manual",$M594=1),$M594&gt;(ROW(PLE.lastrow)-ROW(PLE.firstrow))),0,IF(OFFSET(PLE!$G$14,$M594,CI$13)="",10^12,OFFSET(PLE!$G$14,$M594,CI$13))))</f>
        <v>1000000000000</v>
      </c>
      <c r="CJ594" s="182">
        <f ca="1">IF($D594&lt;&gt;"Serviço",0,IF(OR(AND(AUTOEVENTO="Manual",$M594=1),$M594&gt;(ROW(PLE.lastrow)-ROW(PLE.firstrow))),0,IF(OFFSET(PLE!$G$14,$M594,CJ$13)="",10^12,OFFSET(PLE!$G$14,$M594,CJ$13))))</f>
        <v>1000000000000</v>
      </c>
      <c r="CK594" s="182">
        <f ca="1">IF($D594&lt;&gt;"Serviço",0,IF(OR(AND(AUTOEVENTO="Manual",$M594=1),$M594&gt;(ROW(PLE.lastrow)-ROW(PLE.firstrow))),0,IF(OFFSET(PLE!$G$14,$M594,CK$13)="",10^12,OFFSET(PLE!$G$14,$M594,CK$13))))</f>
        <v>1000000000000</v>
      </c>
      <c r="CL594" s="182">
        <f ca="1">IF($D594&lt;&gt;"Serviço",0,IF(OR(AND(AUTOEVENTO="Manual",$M594=1),$M594&gt;(ROW(PLE.lastrow)-ROW(PLE.firstrow))),0,IF(OFFSET(PLE!$G$14,$M594,CL$13)="",10^12,OFFSET(PLE!$G$14,$M594,CL$13))))</f>
        <v>1000000000000</v>
      </c>
      <c r="CM594" s="182">
        <f ca="1">IF($D594&lt;&gt;"Serviço",0,IF(OR(AND(AUTOEVENTO="Manual",$M594=1),$M594&gt;(ROW(PLE.lastrow)-ROW(PLE.firstrow))),0,IF(OFFSET(PLE!$G$14,$M594,CM$13)="",10^12,OFFSET(PLE!$G$14,$M594,CM$13))))</f>
        <v>1000000000000</v>
      </c>
    </row>
    <row r="595" spans="1:91" ht="12.75" x14ac:dyDescent="0.2">
      <c r="A595" s="7" t="str">
        <f t="shared" ca="1" si="18"/>
        <v>580.</v>
      </c>
      <c r="B595" s="7">
        <f ca="1">OFFSET(ORÇAMENTO!C$15,ROW(B595)-ROW(B$15),0)</f>
        <v>2</v>
      </c>
      <c r="C595" s="7" t="str">
        <f ca="1">OFFSET(ORÇAMENTO!L$15,ROW(C595)-ROW(C$15),0)</f>
        <v>F</v>
      </c>
      <c r="D595" s="118" t="str">
        <f ca="1">OFFSET(ORÇAMENTO!N$15,ROW(D595)-ROW(D$15),0)</f>
        <v>Nível 2</v>
      </c>
      <c r="E595" s="119" t="str">
        <f ca="1">OFFSET(ORÇAMENTO!O$15,ROW(E595)-ROW(E$15),0)</f>
        <v>1.60.</v>
      </c>
      <c r="F595" s="172" t="str">
        <f ca="1">OFFSET(ORÇAMENTO!R$15,ROW(F595)-ROW(F$15),0)</f>
        <v>INSTALAÇÃO ELÉTRICA 110V - ILUMINAÇÃO</v>
      </c>
      <c r="G595" s="173" t="str">
        <f ca="1">IF($D595&lt;&gt;"Serviço","",OFFSET(ORÇAMENTO!S$15,ROW(G595)-ROW(G$15),0))</f>
        <v/>
      </c>
      <c r="H595" s="124">
        <f ca="1">IF($D595&lt;&gt;"Serviço",0,IF(ACOMPANHAMENTO="BM",ROUND(OFFSET(ORÇAMENTO!AJ$15,ROW(H595)-ROW(H$15),0),15-13*ORÇAMENTO!$AF$7),SUMPRODUCT(($Q$12:$AI$12&lt;&gt;"")*ROUND($Q595:$AI595,15-13*ORÇAMENTO!$AF$7))))</f>
        <v>0</v>
      </c>
      <c r="I595" s="561"/>
      <c r="K595" s="174"/>
      <c r="L595" s="175" t="s">
        <v>255</v>
      </c>
      <c r="M595" s="176" t="str">
        <f ca="1">IF($D595&lt;&gt;"Serviço","",IF(AUTOEVENTO="manual",$A595,IF(ISERROR(MATCH($A595,$A$15:OFFSET($A595,-1,0),0)),MAX($M$15:OFFSET(M595,-1,0))+1,INDEX($M$15:OFFSET(M595,-1,0),MATCH($A595,$A$15:OFFSET($A595,-1,0),0)))))</f>
        <v/>
      </c>
      <c r="N595" s="177" t="str">
        <f ca="1">IF($D595&lt;&gt;"Serviço","",IF(AUTOEVENTO="Manual",IF($A595=0,"&lt;-- defina o número do agrupador",OFFSET(EVENTOS!$D$14,$A595,0)),OFFSET($F$15,$A595,0)))</f>
        <v/>
      </c>
      <c r="O595" s="178"/>
      <c r="Q595" s="178">
        <v>0</v>
      </c>
      <c r="R595" s="179"/>
      <c r="S595" s="179"/>
      <c r="T595" s="179"/>
      <c r="U595" s="179"/>
      <c r="V595" s="179"/>
      <c r="W595" s="179"/>
      <c r="X595" s="179"/>
      <c r="Y595" s="179"/>
      <c r="Z595" s="180"/>
      <c r="AA595" s="179"/>
      <c r="AB595" s="179"/>
      <c r="AC595" s="179"/>
      <c r="AD595" s="179"/>
      <c r="AE595" s="179"/>
      <c r="AF595" s="179"/>
      <c r="AG595" s="179"/>
      <c r="AH595" s="180"/>
      <c r="AJ595" s="544">
        <f ca="1">IF(AND($D595="Serviço",AJ$12&lt;&gt;0,$H595&gt;0,OR(AUTOEVENTO&lt;&gt;"manual",$M595&lt;&gt;1)),
IF(Import.TipoArredondamento&lt;&gt;"TransfereGOV",
ROUND(OFFSET($P595,0,AJ$13),15-13*ORÇAMENTO!$AF$7)/$H595*OFFSET(ORÇAMENTO!$X$15,ROW(AJ595)-ROW(AJ$15),0),
ROUND(ROUND(OFFSET($P595,0,AJ$13),15-13*ORÇAMENTO!$AF$7)*OFFSET(ORÇAMENTO!$W$15,ROW(AJ595)-ROW(AJ$15),0),15-13*ORÇAMENTO!$AF$11)),0)</f>
        <v>0</v>
      </c>
      <c r="AK595" s="545">
        <f ca="1">IF(AND($D595="Serviço",AK$12&lt;&gt;0,$H595&gt;0,OR(AUTOEVENTO&lt;&gt;"manual",$M595&lt;&gt;1)),
IF(Import.TipoArredondamento&lt;&gt;"TransfereGOV",
ROUND(OFFSET($P595,0,AK$13),15-13*ORÇAMENTO!$AF$7)/$H595*OFFSET(ORÇAMENTO!$X$15,ROW(AK595)-ROW(AK$15),0),
ROUND(ROUND(OFFSET($P595,0,AK$13),15-13*ORÇAMENTO!$AF$7)*OFFSET(ORÇAMENTO!$W$15,ROW(AK595)-ROW(AK$15),0),15-13*ORÇAMENTO!$AF$11)),0)</f>
        <v>0</v>
      </c>
      <c r="AL595" s="545">
        <f ca="1">IF(AND($D595="Serviço",AL$12&lt;&gt;0,$H595&gt;0,OR(AUTOEVENTO&lt;&gt;"manual",$M595&lt;&gt;1)),
IF(Import.TipoArredondamento&lt;&gt;"TransfereGOV",
ROUND(OFFSET($P595,0,AL$13),15-13*ORÇAMENTO!$AF$7)/$H595*OFFSET(ORÇAMENTO!$X$15,ROW(AL595)-ROW(AL$15),0),
ROUND(ROUND(OFFSET($P595,0,AL$13),15-13*ORÇAMENTO!$AF$7)*OFFSET(ORÇAMENTO!$W$15,ROW(AL595)-ROW(AL$15),0),15-13*ORÇAMENTO!$AF$11)),0)</f>
        <v>0</v>
      </c>
      <c r="AM595" s="545">
        <f ca="1">IF(AND($D595="Serviço",AM$12&lt;&gt;0,$H595&gt;0,OR(AUTOEVENTO&lt;&gt;"manual",$M595&lt;&gt;1)),
IF(Import.TipoArredondamento&lt;&gt;"TransfereGOV",
ROUND(OFFSET($P595,0,AM$13),15-13*ORÇAMENTO!$AF$7)/$H595*OFFSET(ORÇAMENTO!$X$15,ROW(AM595)-ROW(AM$15),0),
ROUND(ROUND(OFFSET($P595,0,AM$13),15-13*ORÇAMENTO!$AF$7)*OFFSET(ORÇAMENTO!$W$15,ROW(AM595)-ROW(AM$15),0),15-13*ORÇAMENTO!$AF$11)),0)</f>
        <v>0</v>
      </c>
      <c r="AN595" s="545">
        <f ca="1">IF(AND($D595="Serviço",AN$12&lt;&gt;0,$H595&gt;0,OR(AUTOEVENTO&lt;&gt;"manual",$M595&lt;&gt;1)),
IF(Import.TipoArredondamento&lt;&gt;"TransfereGOV",
ROUND(OFFSET($P595,0,AN$13),15-13*ORÇAMENTO!$AF$7)/$H595*OFFSET(ORÇAMENTO!$X$15,ROW(AN595)-ROW(AN$15),0),
ROUND(ROUND(OFFSET($P595,0,AN$13),15-13*ORÇAMENTO!$AF$7)*OFFSET(ORÇAMENTO!$W$15,ROW(AN595)-ROW(AN$15),0),15-13*ORÇAMENTO!$AF$11)),0)</f>
        <v>0</v>
      </c>
      <c r="AO595" s="545">
        <f ca="1">IF(AND($D595="Serviço",AO$12&lt;&gt;0,$H595&gt;0,OR(AUTOEVENTO&lt;&gt;"manual",$M595&lt;&gt;1)),
IF(Import.TipoArredondamento&lt;&gt;"TransfereGOV",
ROUND(OFFSET($P595,0,AO$13),15-13*ORÇAMENTO!$AF$7)/$H595*OFFSET(ORÇAMENTO!$X$15,ROW(AO595)-ROW(AO$15),0),
ROUND(ROUND(OFFSET($P595,0,AO$13),15-13*ORÇAMENTO!$AF$7)*OFFSET(ORÇAMENTO!$W$15,ROW(AO595)-ROW(AO$15),0),15-13*ORÇAMENTO!$AF$11)),0)</f>
        <v>0</v>
      </c>
      <c r="AP595" s="545">
        <f ca="1">IF(AND($D595="Serviço",AP$12&lt;&gt;0,$H595&gt;0,OR(AUTOEVENTO&lt;&gt;"manual",$M595&lt;&gt;1)),
IF(Import.TipoArredondamento&lt;&gt;"TransfereGOV",
ROUND(OFFSET($P595,0,AP$13),15-13*ORÇAMENTO!$AF$7)/$H595*OFFSET(ORÇAMENTO!$X$15,ROW(AP595)-ROW(AP$15),0),
ROUND(ROUND(OFFSET($P595,0,AP$13),15-13*ORÇAMENTO!$AF$7)*OFFSET(ORÇAMENTO!$W$15,ROW(AP595)-ROW(AP$15),0),15-13*ORÇAMENTO!$AF$11)),0)</f>
        <v>0</v>
      </c>
      <c r="AQ595" s="545">
        <f ca="1">IF(AND($D595="Serviço",AQ$12&lt;&gt;0,$H595&gt;0,OR(AUTOEVENTO&lt;&gt;"manual",$M595&lt;&gt;1)),
IF(Import.TipoArredondamento&lt;&gt;"TransfereGOV",
ROUND(OFFSET($P595,0,AQ$13),15-13*ORÇAMENTO!$AF$7)/$H595*OFFSET(ORÇAMENTO!$X$15,ROW(AQ595)-ROW(AQ$15),0),
ROUND(ROUND(OFFSET($P595,0,AQ$13),15-13*ORÇAMENTO!$AF$7)*OFFSET(ORÇAMENTO!$W$15,ROW(AQ595)-ROW(AQ$15),0),15-13*ORÇAMENTO!$AF$11)),0)</f>
        <v>0</v>
      </c>
      <c r="AR595" s="545">
        <f ca="1">IF(AND($D595="Serviço",AR$12&lt;&gt;0,$H595&gt;0,OR(AUTOEVENTO&lt;&gt;"manual",$M595&lt;&gt;1)),
IF(Import.TipoArredondamento&lt;&gt;"TransfereGOV",
ROUND(OFFSET($P595,0,AR$13),15-13*ORÇAMENTO!$AF$7)/$H595*OFFSET(ORÇAMENTO!$X$15,ROW(AR595)-ROW(AR$15),0),
ROUND(ROUND(OFFSET($P595,0,AR$13),15-13*ORÇAMENTO!$AF$7)*OFFSET(ORÇAMENTO!$W$15,ROW(AR595)-ROW(AR$15),0),15-13*ORÇAMENTO!$AF$11)),0)</f>
        <v>0</v>
      </c>
      <c r="AS595" s="546">
        <f ca="1">IF(AND($D595="Serviço",AS$12&lt;&gt;0,$H595&gt;0,OR(AUTOEVENTO&lt;&gt;"manual",$M595&lt;&gt;1)),
IF(Import.TipoArredondamento&lt;&gt;"TransfereGOV",
ROUND(OFFSET($P595,0,AS$13),15-13*ORÇAMENTO!$AF$7)/$H595*OFFSET(ORÇAMENTO!$X$15,ROW(AS595)-ROW(AS$15),0),
ROUND(ROUND(OFFSET($P595,0,AS$13),15-13*ORÇAMENTO!$AF$7)*OFFSET(ORÇAMENTO!$W$15,ROW(AS595)-ROW(AS$15),0),15-13*ORÇAMENTO!$AF$11)),0)</f>
        <v>0</v>
      </c>
      <c r="AT595" s="545">
        <f ca="1">IF(AND($D595="Serviço",AT$12&lt;&gt;0,$H595&gt;0,OR(AUTOEVENTO&lt;&gt;"manual",$M595&lt;&gt;1)),
IF(Import.TipoArredondamento&lt;&gt;"TransfereGOV",
ROUND(OFFSET($P595,0,AT$13),15-13*ORÇAMENTO!$AF$7)/$H595*OFFSET(ORÇAMENTO!$X$15,ROW(AT595)-ROW(AT$15),0),
ROUND(ROUND(OFFSET($P595,0,AT$13),15-13*ORÇAMENTO!$AF$7)*OFFSET(ORÇAMENTO!$W$15,ROW(AT595)-ROW(AT$15),0),15-13*ORÇAMENTO!$AF$11)),0)</f>
        <v>0</v>
      </c>
      <c r="AU595" s="545">
        <f ca="1">IF(AND($D595="Serviço",AU$12&lt;&gt;0,$H595&gt;0,OR(AUTOEVENTO&lt;&gt;"manual",$M595&lt;&gt;1)),
IF(Import.TipoArredondamento&lt;&gt;"TransfereGOV",
ROUND(OFFSET($P595,0,AU$13),15-13*ORÇAMENTO!$AF$7)/$H595*OFFSET(ORÇAMENTO!$X$15,ROW(AU595)-ROW(AU$15),0),
ROUND(ROUND(OFFSET($P595,0,AU$13),15-13*ORÇAMENTO!$AF$7)*OFFSET(ORÇAMENTO!$W$15,ROW(AU595)-ROW(AU$15),0),15-13*ORÇAMENTO!$AF$11)),0)</f>
        <v>0</v>
      </c>
      <c r="AV595" s="545">
        <f ca="1">IF(AND($D595="Serviço",AV$12&lt;&gt;0,$H595&gt;0,OR(AUTOEVENTO&lt;&gt;"manual",$M595&lt;&gt;1)),
IF(Import.TipoArredondamento&lt;&gt;"TransfereGOV",
ROUND(OFFSET($P595,0,AV$13),15-13*ORÇAMENTO!$AF$7)/$H595*OFFSET(ORÇAMENTO!$X$15,ROW(AV595)-ROW(AV$15),0),
ROUND(ROUND(OFFSET($P595,0,AV$13),15-13*ORÇAMENTO!$AF$7)*OFFSET(ORÇAMENTO!$W$15,ROW(AV595)-ROW(AV$15),0),15-13*ORÇAMENTO!$AF$11)),0)</f>
        <v>0</v>
      </c>
      <c r="AW595" s="545">
        <f ca="1">IF(AND($D595="Serviço",AW$12&lt;&gt;0,$H595&gt;0,OR(AUTOEVENTO&lt;&gt;"manual",$M595&lt;&gt;1)),
IF(Import.TipoArredondamento&lt;&gt;"TransfereGOV",
ROUND(OFFSET($P595,0,AW$13),15-13*ORÇAMENTO!$AF$7)/$H595*OFFSET(ORÇAMENTO!$X$15,ROW(AW595)-ROW(AW$15),0),
ROUND(ROUND(OFFSET($P595,0,AW$13),15-13*ORÇAMENTO!$AF$7)*OFFSET(ORÇAMENTO!$W$15,ROW(AW595)-ROW(AW$15),0),15-13*ORÇAMENTO!$AF$11)),0)</f>
        <v>0</v>
      </c>
      <c r="AX595" s="545">
        <f ca="1">IF(AND($D595="Serviço",AX$12&lt;&gt;0,$H595&gt;0,OR(AUTOEVENTO&lt;&gt;"manual",$M595&lt;&gt;1)),
IF(Import.TipoArredondamento&lt;&gt;"TransfereGOV",
ROUND(OFFSET($P595,0,AX$13),15-13*ORÇAMENTO!$AF$7)/$H595*OFFSET(ORÇAMENTO!$X$15,ROW(AX595)-ROW(AX$15),0),
ROUND(ROUND(OFFSET($P595,0,AX$13),15-13*ORÇAMENTO!$AF$7)*OFFSET(ORÇAMENTO!$W$15,ROW(AX595)-ROW(AX$15),0),15-13*ORÇAMENTO!$AF$11)),0)</f>
        <v>0</v>
      </c>
      <c r="AY595" s="545">
        <f ca="1">IF(AND($D595="Serviço",AY$12&lt;&gt;0,$H595&gt;0,OR(AUTOEVENTO&lt;&gt;"manual",$M595&lt;&gt;1)),
IF(Import.TipoArredondamento&lt;&gt;"TransfereGOV",
ROUND(OFFSET($P595,0,AY$13),15-13*ORÇAMENTO!$AF$7)/$H595*OFFSET(ORÇAMENTO!$X$15,ROW(AY595)-ROW(AY$15),0),
ROUND(ROUND(OFFSET($P595,0,AY$13),15-13*ORÇAMENTO!$AF$7)*OFFSET(ORÇAMENTO!$W$15,ROW(AY595)-ROW(AY$15),0),15-13*ORÇAMENTO!$AF$11)),0)</f>
        <v>0</v>
      </c>
      <c r="AZ595" s="545">
        <f ca="1">IF(AND($D595="Serviço",AZ$12&lt;&gt;0,$H595&gt;0,OR(AUTOEVENTO&lt;&gt;"manual",$M595&lt;&gt;1)),
IF(Import.TipoArredondamento&lt;&gt;"TransfereGOV",
ROUND(OFFSET($P595,0,AZ$13),15-13*ORÇAMENTO!$AF$7)/$H595*OFFSET(ORÇAMENTO!$X$15,ROW(AZ595)-ROW(AZ$15),0),
ROUND(ROUND(OFFSET($P595,0,AZ$13),15-13*ORÇAMENTO!$AF$7)*OFFSET(ORÇAMENTO!$W$15,ROW(AZ595)-ROW(AZ$15),0),15-13*ORÇAMENTO!$AF$11)),0)</f>
        <v>0</v>
      </c>
      <c r="BA595" s="546">
        <f ca="1">IF(AND($D595="Serviço",BA$12&lt;&gt;0,$H595&gt;0,OR(AUTOEVENTO&lt;&gt;"manual",$M595&lt;&gt;1)),
IF(Import.TipoArredondamento&lt;&gt;"TransfereGOV",
ROUND(OFFSET($P595,0,BA$13),15-13*ORÇAMENTO!$AF$7)/$H595*OFFSET(ORÇAMENTO!$X$15,ROW(BA595)-ROW(BA$15),0),
ROUND(ROUND(OFFSET($P595,0,BA$13),15-13*ORÇAMENTO!$AF$7)*OFFSET(ORÇAMENTO!$W$15,ROW(BA595)-ROW(BA$15),0),15-13*ORÇAMENTO!$AF$11)),0)</f>
        <v>0</v>
      </c>
      <c r="BC595" s="181">
        <f ca="1">IF($D595&lt;&gt;"Serviço",0,IF(AND(AUTOEVENTO="Manual",$M595=1),0,IF(OFFSET(CRONOPLE!$F$14,$M595,BC$13)="",10^12,OFFSET(CRONOPLE!$F$14,$M595,BC$13))))</f>
        <v>0</v>
      </c>
      <c r="BD595" s="181">
        <f ca="1">IF($D595&lt;&gt;"Serviço",0,IF(AND(AUTOEVENTO="Manual",$M595=1),0,IF(OFFSET(CRONOPLE!$F$14,$M595,BD$13)="",10^12,OFFSET(CRONOPLE!$F$14,$M595,BD$13))))</f>
        <v>0</v>
      </c>
      <c r="BE595" s="181">
        <f ca="1">IF($D595&lt;&gt;"Serviço",0,IF(AND(AUTOEVENTO="Manual",$M595=1),0,IF(OFFSET(CRONOPLE!$F$14,$M595,BE$13)="",10^12,OFFSET(CRONOPLE!$F$14,$M595,BE$13))))</f>
        <v>0</v>
      </c>
      <c r="BF595" s="181">
        <f ca="1">IF($D595&lt;&gt;"Serviço",0,IF(AND(AUTOEVENTO="Manual",$M595=1),0,IF(OFFSET(CRONOPLE!$F$14,$M595,BF$13)="",10^12,OFFSET(CRONOPLE!$F$14,$M595,BF$13))))</f>
        <v>0</v>
      </c>
      <c r="BG595" s="181">
        <f ca="1">IF($D595&lt;&gt;"Serviço",0,IF(AND(AUTOEVENTO="Manual",$M595=1),0,IF(OFFSET(CRONOPLE!$F$14,$M595,BG$13)="",10^12,OFFSET(CRONOPLE!$F$14,$M595,BG$13))))</f>
        <v>0</v>
      </c>
      <c r="BH595" s="181">
        <f ca="1">IF($D595&lt;&gt;"Serviço",0,IF(AND(AUTOEVENTO="Manual",$M595=1),0,IF(OFFSET(CRONOPLE!$F$14,$M595,BH$13)="",10^12,OFFSET(CRONOPLE!$F$14,$M595,BH$13))))</f>
        <v>0</v>
      </c>
      <c r="BI595" s="181">
        <f ca="1">IF($D595&lt;&gt;"Serviço",0,IF(AND(AUTOEVENTO="Manual",$M595=1),0,IF(OFFSET(CRONOPLE!$F$14,$M595,BI$13)="",10^12,OFFSET(CRONOPLE!$F$14,$M595,BI$13))))</f>
        <v>0</v>
      </c>
      <c r="BJ595" s="181">
        <f ca="1">IF($D595&lt;&gt;"Serviço",0,IF(AND(AUTOEVENTO="Manual",$M595=1),0,IF(OFFSET(CRONOPLE!$F$14,$M595,BJ$13)="",10^12,OFFSET(CRONOPLE!$F$14,$M595,BJ$13))))</f>
        <v>0</v>
      </c>
      <c r="BK595" s="181">
        <f ca="1">IF($D595&lt;&gt;"Serviço",0,IF(AND(AUTOEVENTO="Manual",$M595=1),0,IF(OFFSET(CRONOPLE!$F$14,$M595,BK$13)="",10^12,OFFSET(CRONOPLE!$F$14,$M595,BK$13))))</f>
        <v>0</v>
      </c>
      <c r="BL595" s="181">
        <f ca="1">IF($D595&lt;&gt;"Serviço",0,IF(AND(AUTOEVENTO="Manual",$M595=1),0,IF(OFFSET(CRONOPLE!$F$14,$M595,BL$13)="",10^12,OFFSET(CRONOPLE!$F$14,$M595,BL$13))))</f>
        <v>0</v>
      </c>
      <c r="BM595" s="181">
        <f ca="1">IF($D595&lt;&gt;"Serviço",0,IF(AND(AUTOEVENTO="Manual",$M595=1),0,IF(OFFSET(CRONOPLE!$F$14,$M595,BM$13)="",10^12,OFFSET(CRONOPLE!$F$14,$M595,BM$13))))</f>
        <v>0</v>
      </c>
      <c r="BN595" s="181">
        <f ca="1">IF($D595&lt;&gt;"Serviço",0,IF(AND(AUTOEVENTO="Manual",$M595=1),0,IF(OFFSET(CRONOPLE!$F$14,$M595,BN$13)="",10^12,OFFSET(CRONOPLE!$F$14,$M595,BN$13))))</f>
        <v>0</v>
      </c>
      <c r="BO595" s="181">
        <f ca="1">IF($D595&lt;&gt;"Serviço",0,IF(AND(AUTOEVENTO="Manual",$M595=1),0,IF(OFFSET(CRONOPLE!$F$14,$M595,BO$13)="",10^12,OFFSET(CRONOPLE!$F$14,$M595,BO$13))))</f>
        <v>0</v>
      </c>
      <c r="BP595" s="181">
        <f ca="1">IF($D595&lt;&gt;"Serviço",0,IF(AND(AUTOEVENTO="Manual",$M595=1),0,IF(OFFSET(CRONOPLE!$F$14,$M595,BP$13)="",10^12,OFFSET(CRONOPLE!$F$14,$M595,BP$13))))</f>
        <v>0</v>
      </c>
      <c r="BQ595" s="181">
        <f ca="1">IF($D595&lt;&gt;"Serviço",0,IF(AND(AUTOEVENTO="Manual",$M595=1),0,IF(OFFSET(CRONOPLE!$F$14,$M595,BQ$13)="",10^12,OFFSET(CRONOPLE!$F$14,$M595,BQ$13))))</f>
        <v>0</v>
      </c>
      <c r="BR595" s="181">
        <f ca="1">IF($D595&lt;&gt;"Serviço",0,IF(AND(AUTOEVENTO="Manual",$M595=1),0,IF(OFFSET(CRONOPLE!$F$14,$M595,BR$13)="",10^12,OFFSET(CRONOPLE!$F$14,$M595,BR$13))))</f>
        <v>0</v>
      </c>
      <c r="BS595" s="181">
        <f ca="1">IF($D595&lt;&gt;"Serviço",0,IF(AND(AUTOEVENTO="Manual",$M595=1),0,IF(OFFSET(CRONOPLE!$F$14,$M595,BS$13)="",10^12,OFFSET(CRONOPLE!$F$14,$M595,BS$13))))</f>
        <v>0</v>
      </c>
      <c r="BT595" s="181">
        <f ca="1">IF($D595&lt;&gt;"Serviço",0,IF(AND(AUTOEVENTO="Manual",$M595=1),0,IF(OFFSET(CRONOPLE!$F$14,$M595,BT$13)="",10^12,OFFSET(CRONOPLE!$F$14,$M595,BT$13))))</f>
        <v>0</v>
      </c>
      <c r="BV595" s="182">
        <f ca="1">IF($D595&lt;&gt;"Serviço",0,IF(OR(AND(AUTOEVENTO="Manual",$M595=1),$M595&gt;(ROW(PLE.lastrow)-ROW(PLE.firstrow))),0,IF(OFFSET(PLE!$G$14,$M595,BV$13)="",10^12,OFFSET(PLE!$G$14,$M595,BV$13))))</f>
        <v>0</v>
      </c>
      <c r="BW595" s="182">
        <f ca="1">IF($D595&lt;&gt;"Serviço",0,IF(OR(AND(AUTOEVENTO="Manual",$M595=1),$M595&gt;(ROW(PLE.lastrow)-ROW(PLE.firstrow))),0,IF(OFFSET(PLE!$G$14,$M595,BW$13)="",10^12,OFFSET(PLE!$G$14,$M595,BW$13))))</f>
        <v>0</v>
      </c>
      <c r="BX595" s="182">
        <f ca="1">IF($D595&lt;&gt;"Serviço",0,IF(OR(AND(AUTOEVENTO="Manual",$M595=1),$M595&gt;(ROW(PLE.lastrow)-ROW(PLE.firstrow))),0,IF(OFFSET(PLE!$G$14,$M595,BX$13)="",10^12,OFFSET(PLE!$G$14,$M595,BX$13))))</f>
        <v>0</v>
      </c>
      <c r="BY595" s="182">
        <f ca="1">IF($D595&lt;&gt;"Serviço",0,IF(OR(AND(AUTOEVENTO="Manual",$M595=1),$M595&gt;(ROW(PLE.lastrow)-ROW(PLE.firstrow))),0,IF(OFFSET(PLE!$G$14,$M595,BY$13)="",10^12,OFFSET(PLE!$G$14,$M595,BY$13))))</f>
        <v>0</v>
      </c>
      <c r="BZ595" s="182">
        <f ca="1">IF($D595&lt;&gt;"Serviço",0,IF(OR(AND(AUTOEVENTO="Manual",$M595=1),$M595&gt;(ROW(PLE.lastrow)-ROW(PLE.firstrow))),0,IF(OFFSET(PLE!$G$14,$M595,BZ$13)="",10^12,OFFSET(PLE!$G$14,$M595,BZ$13))))</f>
        <v>0</v>
      </c>
      <c r="CA595" s="182">
        <f ca="1">IF($D595&lt;&gt;"Serviço",0,IF(OR(AND(AUTOEVENTO="Manual",$M595=1),$M595&gt;(ROW(PLE.lastrow)-ROW(PLE.firstrow))),0,IF(OFFSET(PLE!$G$14,$M595,CA$13)="",10^12,OFFSET(PLE!$G$14,$M595,CA$13))))</f>
        <v>0</v>
      </c>
      <c r="CB595" s="182">
        <f ca="1">IF($D595&lt;&gt;"Serviço",0,IF(OR(AND(AUTOEVENTO="Manual",$M595=1),$M595&gt;(ROW(PLE.lastrow)-ROW(PLE.firstrow))),0,IF(OFFSET(PLE!$G$14,$M595,CB$13)="",10^12,OFFSET(PLE!$G$14,$M595,CB$13))))</f>
        <v>0</v>
      </c>
      <c r="CC595" s="182">
        <f ca="1">IF($D595&lt;&gt;"Serviço",0,IF(OR(AND(AUTOEVENTO="Manual",$M595=1),$M595&gt;(ROW(PLE.lastrow)-ROW(PLE.firstrow))),0,IF(OFFSET(PLE!$G$14,$M595,CC$13)="",10^12,OFFSET(PLE!$G$14,$M595,CC$13))))</f>
        <v>0</v>
      </c>
      <c r="CD595" s="182">
        <f ca="1">IF($D595&lt;&gt;"Serviço",0,IF(OR(AND(AUTOEVENTO="Manual",$M595=1),$M595&gt;(ROW(PLE.lastrow)-ROW(PLE.firstrow))),0,IF(OFFSET(PLE!$G$14,$M595,CD$13)="",10^12,OFFSET(PLE!$G$14,$M595,CD$13))))</f>
        <v>0</v>
      </c>
      <c r="CE595" s="182">
        <f ca="1">IF($D595&lt;&gt;"Serviço",0,IF(OR(AND(AUTOEVENTO="Manual",$M595=1),$M595&gt;(ROW(PLE.lastrow)-ROW(PLE.firstrow))),0,IF(OFFSET(PLE!$G$14,$M595,CE$13)="",10^12,OFFSET(PLE!$G$14,$M595,CE$13))))</f>
        <v>0</v>
      </c>
      <c r="CF595" s="182">
        <f ca="1">IF($D595&lt;&gt;"Serviço",0,IF(OR(AND(AUTOEVENTO="Manual",$M595=1),$M595&gt;(ROW(PLE.lastrow)-ROW(PLE.firstrow))),0,IF(OFFSET(PLE!$G$14,$M595,CF$13)="",10^12,OFFSET(PLE!$G$14,$M595,CF$13))))</f>
        <v>0</v>
      </c>
      <c r="CG595" s="182">
        <f ca="1">IF($D595&lt;&gt;"Serviço",0,IF(OR(AND(AUTOEVENTO="Manual",$M595=1),$M595&gt;(ROW(PLE.lastrow)-ROW(PLE.firstrow))),0,IF(OFFSET(PLE!$G$14,$M595,CG$13)="",10^12,OFFSET(PLE!$G$14,$M595,CG$13))))</f>
        <v>0</v>
      </c>
      <c r="CH595" s="182">
        <f ca="1">IF($D595&lt;&gt;"Serviço",0,IF(OR(AND(AUTOEVENTO="Manual",$M595=1),$M595&gt;(ROW(PLE.lastrow)-ROW(PLE.firstrow))),0,IF(OFFSET(PLE!$G$14,$M595,CH$13)="",10^12,OFFSET(PLE!$G$14,$M595,CH$13))))</f>
        <v>0</v>
      </c>
      <c r="CI595" s="182">
        <f ca="1">IF($D595&lt;&gt;"Serviço",0,IF(OR(AND(AUTOEVENTO="Manual",$M595=1),$M595&gt;(ROW(PLE.lastrow)-ROW(PLE.firstrow))),0,IF(OFFSET(PLE!$G$14,$M595,CI$13)="",10^12,OFFSET(PLE!$G$14,$M595,CI$13))))</f>
        <v>0</v>
      </c>
      <c r="CJ595" s="182">
        <f ca="1">IF($D595&lt;&gt;"Serviço",0,IF(OR(AND(AUTOEVENTO="Manual",$M595=1),$M595&gt;(ROW(PLE.lastrow)-ROW(PLE.firstrow))),0,IF(OFFSET(PLE!$G$14,$M595,CJ$13)="",10^12,OFFSET(PLE!$G$14,$M595,CJ$13))))</f>
        <v>0</v>
      </c>
      <c r="CK595" s="182">
        <f ca="1">IF($D595&lt;&gt;"Serviço",0,IF(OR(AND(AUTOEVENTO="Manual",$M595=1),$M595&gt;(ROW(PLE.lastrow)-ROW(PLE.firstrow))),0,IF(OFFSET(PLE!$G$14,$M595,CK$13)="",10^12,OFFSET(PLE!$G$14,$M595,CK$13))))</f>
        <v>0</v>
      </c>
      <c r="CL595" s="182">
        <f ca="1">IF($D595&lt;&gt;"Serviço",0,IF(OR(AND(AUTOEVENTO="Manual",$M595=1),$M595&gt;(ROW(PLE.lastrow)-ROW(PLE.firstrow))),0,IF(OFFSET(PLE!$G$14,$M595,CL$13)="",10^12,OFFSET(PLE!$G$14,$M595,CL$13))))</f>
        <v>0</v>
      </c>
      <c r="CM595" s="182">
        <f ca="1">IF($D595&lt;&gt;"Serviço",0,IF(OR(AND(AUTOEVENTO="Manual",$M595=1),$M595&gt;(ROW(PLE.lastrow)-ROW(PLE.firstrow))),0,IF(OFFSET(PLE!$G$14,$M595,CM$13)="",10^12,OFFSET(PLE!$G$14,$M595,CM$13))))</f>
        <v>0</v>
      </c>
    </row>
    <row r="596" spans="1:91" ht="38.25" x14ac:dyDescent="0.2">
      <c r="A596" s="7" t="str">
        <f t="shared" ca="1" si="18"/>
        <v>580</v>
      </c>
      <c r="B596" s="7" t="str">
        <f ca="1">OFFSET(ORÇAMENTO!C$15,ROW(B596)-ROW(B$15),0)</f>
        <v>S</v>
      </c>
      <c r="C596" s="7" t="str">
        <f ca="1">OFFSET(ORÇAMENTO!L$15,ROW(C596)-ROW(C$15),0)</f>
        <v/>
      </c>
      <c r="D596" s="118" t="str">
        <f ca="1">OFFSET(ORÇAMENTO!N$15,ROW(D596)-ROW(D$15),0)</f>
        <v>Serviço</v>
      </c>
      <c r="E596" s="119" t="str">
        <f ca="1">OFFSET(ORÇAMENTO!O$15,ROW(E596)-ROW(E$15),0)</f>
        <v>-</v>
      </c>
      <c r="F596" s="172" t="str">
        <f ca="1">OFFSET(ORÇAMENTO!R$15,ROW(F596)-ROW(F$15),0)</f>
        <v>(abra o arquivo 'Referência 06-2024.xlsm)</v>
      </c>
      <c r="G596" s="173" t="str">
        <f ca="1">IF($D596&lt;&gt;"Serviço","",OFFSET(ORÇAMENTO!S$15,ROW(G596)-ROW(G$15),0))</f>
        <v>-</v>
      </c>
      <c r="H596" s="124">
        <f ca="1">IF($D596&lt;&gt;"Serviço",0,IF(ACOMPANHAMENTO="BM",ROUND(OFFSET(ORÇAMENTO!AJ$15,ROW(H596)-ROW(H$15),0),15-13*ORÇAMENTO!$AF$7),SUMPRODUCT(($Q$12:$AI$12&lt;&gt;"")*ROUND($Q596:$AI596,15-13*ORÇAMENTO!$AF$7))))</f>
        <v>16</v>
      </c>
      <c r="I596" s="561" t="s">
        <v>1107</v>
      </c>
      <c r="K596" s="174"/>
      <c r="L596" s="175" t="s">
        <v>255</v>
      </c>
      <c r="M596" s="176">
        <f ca="1">IF($D596&lt;&gt;"Serviço","",IF(AUTOEVENTO="manual",$A596,IF(ISERROR(MATCH($A596,$A$15:OFFSET($A596,-1,0),0)),MAX($M$15:OFFSET(M596,-1,0))+1,INDEX($M$15:OFFSET(M596,-1,0),MATCH($A596,$A$15:OFFSET($A596,-1,0),0)))))</f>
        <v>61</v>
      </c>
      <c r="N596" s="177" t="str">
        <f ca="1">IF($D596&lt;&gt;"Serviço","",IF(AUTOEVENTO="Manual",IF($A596=0,"&lt;-- defina o número do agrupador",OFFSET(EVENTOS!$D$14,$A596,0)),OFFSET($F$15,$A596,0)))</f>
        <v>INSTALAÇÃO ELÉTRICA 110V - ILUMINAÇÃO</v>
      </c>
      <c r="O596" s="178"/>
      <c r="Q596" s="178">
        <v>16</v>
      </c>
      <c r="R596" s="179"/>
      <c r="S596" s="179"/>
      <c r="T596" s="179"/>
      <c r="U596" s="179"/>
      <c r="V596" s="179"/>
      <c r="W596" s="179"/>
      <c r="X596" s="179"/>
      <c r="Y596" s="179"/>
      <c r="Z596" s="180"/>
      <c r="AA596" s="179"/>
      <c r="AB596" s="179"/>
      <c r="AC596" s="179"/>
      <c r="AD596" s="179"/>
      <c r="AE596" s="179"/>
      <c r="AF596" s="179"/>
      <c r="AG596" s="179"/>
      <c r="AH596" s="180"/>
      <c r="AJ596" s="544">
        <f ca="1">IF(AND($D596="Serviço",AJ$12&lt;&gt;0,$H596&gt;0,OR(AUTOEVENTO&lt;&gt;"manual",$M596&lt;&gt;1)),
IF(Import.TipoArredondamento&lt;&gt;"TransfereGOV",
ROUND(OFFSET($P596,0,AJ$13),15-13*ORÇAMENTO!$AF$7)/$H596*OFFSET(ORÇAMENTO!$X$15,ROW(AJ596)-ROW(AJ$15),0),
ROUND(ROUND(OFFSET($P596,0,AJ$13),15-13*ORÇAMENTO!$AF$7)*OFFSET(ORÇAMENTO!$W$15,ROW(AJ596)-ROW(AJ$15),0),15-13*ORÇAMENTO!$AF$11)),0)</f>
        <v>0</v>
      </c>
      <c r="AK596" s="545">
        <f ca="1">IF(AND($D596="Serviço",AK$12&lt;&gt;0,$H596&gt;0,OR(AUTOEVENTO&lt;&gt;"manual",$M596&lt;&gt;1)),
IF(Import.TipoArredondamento&lt;&gt;"TransfereGOV",
ROUND(OFFSET($P596,0,AK$13),15-13*ORÇAMENTO!$AF$7)/$H596*OFFSET(ORÇAMENTO!$X$15,ROW(AK596)-ROW(AK$15),0),
ROUND(ROUND(OFFSET($P596,0,AK$13),15-13*ORÇAMENTO!$AF$7)*OFFSET(ORÇAMENTO!$W$15,ROW(AK596)-ROW(AK$15),0),15-13*ORÇAMENTO!$AF$11)),0)</f>
        <v>0</v>
      </c>
      <c r="AL596" s="545">
        <f ca="1">IF(AND($D596="Serviço",AL$12&lt;&gt;0,$H596&gt;0,OR(AUTOEVENTO&lt;&gt;"manual",$M596&lt;&gt;1)),
IF(Import.TipoArredondamento&lt;&gt;"TransfereGOV",
ROUND(OFFSET($P596,0,AL$13),15-13*ORÇAMENTO!$AF$7)/$H596*OFFSET(ORÇAMENTO!$X$15,ROW(AL596)-ROW(AL$15),0),
ROUND(ROUND(OFFSET($P596,0,AL$13),15-13*ORÇAMENTO!$AF$7)*OFFSET(ORÇAMENTO!$W$15,ROW(AL596)-ROW(AL$15),0),15-13*ORÇAMENTO!$AF$11)),0)</f>
        <v>0</v>
      </c>
      <c r="AM596" s="545">
        <f ca="1">IF(AND($D596="Serviço",AM$12&lt;&gt;0,$H596&gt;0,OR(AUTOEVENTO&lt;&gt;"manual",$M596&lt;&gt;1)),
IF(Import.TipoArredondamento&lt;&gt;"TransfereGOV",
ROUND(OFFSET($P596,0,AM$13),15-13*ORÇAMENTO!$AF$7)/$H596*OFFSET(ORÇAMENTO!$X$15,ROW(AM596)-ROW(AM$15),0),
ROUND(ROUND(OFFSET($P596,0,AM$13),15-13*ORÇAMENTO!$AF$7)*OFFSET(ORÇAMENTO!$W$15,ROW(AM596)-ROW(AM$15),0),15-13*ORÇAMENTO!$AF$11)),0)</f>
        <v>0</v>
      </c>
      <c r="AN596" s="545">
        <f ca="1">IF(AND($D596="Serviço",AN$12&lt;&gt;0,$H596&gt;0,OR(AUTOEVENTO&lt;&gt;"manual",$M596&lt;&gt;1)),
IF(Import.TipoArredondamento&lt;&gt;"TransfereGOV",
ROUND(OFFSET($P596,0,AN$13),15-13*ORÇAMENTO!$AF$7)/$H596*OFFSET(ORÇAMENTO!$X$15,ROW(AN596)-ROW(AN$15),0),
ROUND(ROUND(OFFSET($P596,0,AN$13),15-13*ORÇAMENTO!$AF$7)*OFFSET(ORÇAMENTO!$W$15,ROW(AN596)-ROW(AN$15),0),15-13*ORÇAMENTO!$AF$11)),0)</f>
        <v>0</v>
      </c>
      <c r="AO596" s="545">
        <f ca="1">IF(AND($D596="Serviço",AO$12&lt;&gt;0,$H596&gt;0,OR(AUTOEVENTO&lt;&gt;"manual",$M596&lt;&gt;1)),
IF(Import.TipoArredondamento&lt;&gt;"TransfereGOV",
ROUND(OFFSET($P596,0,AO$13),15-13*ORÇAMENTO!$AF$7)/$H596*OFFSET(ORÇAMENTO!$X$15,ROW(AO596)-ROW(AO$15),0),
ROUND(ROUND(OFFSET($P596,0,AO$13),15-13*ORÇAMENTO!$AF$7)*OFFSET(ORÇAMENTO!$W$15,ROW(AO596)-ROW(AO$15),0),15-13*ORÇAMENTO!$AF$11)),0)</f>
        <v>0</v>
      </c>
      <c r="AP596" s="545">
        <f ca="1">IF(AND($D596="Serviço",AP$12&lt;&gt;0,$H596&gt;0,OR(AUTOEVENTO&lt;&gt;"manual",$M596&lt;&gt;1)),
IF(Import.TipoArredondamento&lt;&gt;"TransfereGOV",
ROUND(OFFSET($P596,0,AP$13),15-13*ORÇAMENTO!$AF$7)/$H596*OFFSET(ORÇAMENTO!$X$15,ROW(AP596)-ROW(AP$15),0),
ROUND(ROUND(OFFSET($P596,0,AP$13),15-13*ORÇAMENTO!$AF$7)*OFFSET(ORÇAMENTO!$W$15,ROW(AP596)-ROW(AP$15),0),15-13*ORÇAMENTO!$AF$11)),0)</f>
        <v>0</v>
      </c>
      <c r="AQ596" s="545">
        <f ca="1">IF(AND($D596="Serviço",AQ$12&lt;&gt;0,$H596&gt;0,OR(AUTOEVENTO&lt;&gt;"manual",$M596&lt;&gt;1)),
IF(Import.TipoArredondamento&lt;&gt;"TransfereGOV",
ROUND(OFFSET($P596,0,AQ$13),15-13*ORÇAMENTO!$AF$7)/$H596*OFFSET(ORÇAMENTO!$X$15,ROW(AQ596)-ROW(AQ$15),0),
ROUND(ROUND(OFFSET($P596,0,AQ$13),15-13*ORÇAMENTO!$AF$7)*OFFSET(ORÇAMENTO!$W$15,ROW(AQ596)-ROW(AQ$15),0),15-13*ORÇAMENTO!$AF$11)),0)</f>
        <v>0</v>
      </c>
      <c r="AR596" s="545">
        <f ca="1">IF(AND($D596="Serviço",AR$12&lt;&gt;0,$H596&gt;0,OR(AUTOEVENTO&lt;&gt;"manual",$M596&lt;&gt;1)),
IF(Import.TipoArredondamento&lt;&gt;"TransfereGOV",
ROUND(OFFSET($P596,0,AR$13),15-13*ORÇAMENTO!$AF$7)/$H596*OFFSET(ORÇAMENTO!$X$15,ROW(AR596)-ROW(AR$15),0),
ROUND(ROUND(OFFSET($P596,0,AR$13),15-13*ORÇAMENTO!$AF$7)*OFFSET(ORÇAMENTO!$W$15,ROW(AR596)-ROW(AR$15),0),15-13*ORÇAMENTO!$AF$11)),0)</f>
        <v>0</v>
      </c>
      <c r="AS596" s="546">
        <f ca="1">IF(AND($D596="Serviço",AS$12&lt;&gt;0,$H596&gt;0,OR(AUTOEVENTO&lt;&gt;"manual",$M596&lt;&gt;1)),
IF(Import.TipoArredondamento&lt;&gt;"TransfereGOV",
ROUND(OFFSET($P596,0,AS$13),15-13*ORÇAMENTO!$AF$7)/$H596*OFFSET(ORÇAMENTO!$X$15,ROW(AS596)-ROW(AS$15),0),
ROUND(ROUND(OFFSET($P596,0,AS$13),15-13*ORÇAMENTO!$AF$7)*OFFSET(ORÇAMENTO!$W$15,ROW(AS596)-ROW(AS$15),0),15-13*ORÇAMENTO!$AF$11)),0)</f>
        <v>0</v>
      </c>
      <c r="AT596" s="545">
        <f ca="1">IF(AND($D596="Serviço",AT$12&lt;&gt;0,$H596&gt;0,OR(AUTOEVENTO&lt;&gt;"manual",$M596&lt;&gt;1)),
IF(Import.TipoArredondamento&lt;&gt;"TransfereGOV",
ROUND(OFFSET($P596,0,AT$13),15-13*ORÇAMENTO!$AF$7)/$H596*OFFSET(ORÇAMENTO!$X$15,ROW(AT596)-ROW(AT$15),0),
ROUND(ROUND(OFFSET($P596,0,AT$13),15-13*ORÇAMENTO!$AF$7)*OFFSET(ORÇAMENTO!$W$15,ROW(AT596)-ROW(AT$15),0),15-13*ORÇAMENTO!$AF$11)),0)</f>
        <v>0</v>
      </c>
      <c r="AU596" s="545">
        <f ca="1">IF(AND($D596="Serviço",AU$12&lt;&gt;0,$H596&gt;0,OR(AUTOEVENTO&lt;&gt;"manual",$M596&lt;&gt;1)),
IF(Import.TipoArredondamento&lt;&gt;"TransfereGOV",
ROUND(OFFSET($P596,0,AU$13),15-13*ORÇAMENTO!$AF$7)/$H596*OFFSET(ORÇAMENTO!$X$15,ROW(AU596)-ROW(AU$15),0),
ROUND(ROUND(OFFSET($P596,0,AU$13),15-13*ORÇAMENTO!$AF$7)*OFFSET(ORÇAMENTO!$W$15,ROW(AU596)-ROW(AU$15),0),15-13*ORÇAMENTO!$AF$11)),0)</f>
        <v>0</v>
      </c>
      <c r="AV596" s="545">
        <f ca="1">IF(AND($D596="Serviço",AV$12&lt;&gt;0,$H596&gt;0,OR(AUTOEVENTO&lt;&gt;"manual",$M596&lt;&gt;1)),
IF(Import.TipoArredondamento&lt;&gt;"TransfereGOV",
ROUND(OFFSET($P596,0,AV$13),15-13*ORÇAMENTO!$AF$7)/$H596*OFFSET(ORÇAMENTO!$X$15,ROW(AV596)-ROW(AV$15),0),
ROUND(ROUND(OFFSET($P596,0,AV$13),15-13*ORÇAMENTO!$AF$7)*OFFSET(ORÇAMENTO!$W$15,ROW(AV596)-ROW(AV$15),0),15-13*ORÇAMENTO!$AF$11)),0)</f>
        <v>0</v>
      </c>
      <c r="AW596" s="545">
        <f ca="1">IF(AND($D596="Serviço",AW$12&lt;&gt;0,$H596&gt;0,OR(AUTOEVENTO&lt;&gt;"manual",$M596&lt;&gt;1)),
IF(Import.TipoArredondamento&lt;&gt;"TransfereGOV",
ROUND(OFFSET($P596,0,AW$13),15-13*ORÇAMENTO!$AF$7)/$H596*OFFSET(ORÇAMENTO!$X$15,ROW(AW596)-ROW(AW$15),0),
ROUND(ROUND(OFFSET($P596,0,AW$13),15-13*ORÇAMENTO!$AF$7)*OFFSET(ORÇAMENTO!$W$15,ROW(AW596)-ROW(AW$15),0),15-13*ORÇAMENTO!$AF$11)),0)</f>
        <v>0</v>
      </c>
      <c r="AX596" s="545">
        <f ca="1">IF(AND($D596="Serviço",AX$12&lt;&gt;0,$H596&gt;0,OR(AUTOEVENTO&lt;&gt;"manual",$M596&lt;&gt;1)),
IF(Import.TipoArredondamento&lt;&gt;"TransfereGOV",
ROUND(OFFSET($P596,0,AX$13),15-13*ORÇAMENTO!$AF$7)/$H596*OFFSET(ORÇAMENTO!$X$15,ROW(AX596)-ROW(AX$15),0),
ROUND(ROUND(OFFSET($P596,0,AX$13),15-13*ORÇAMENTO!$AF$7)*OFFSET(ORÇAMENTO!$W$15,ROW(AX596)-ROW(AX$15),0),15-13*ORÇAMENTO!$AF$11)),0)</f>
        <v>0</v>
      </c>
      <c r="AY596" s="545">
        <f ca="1">IF(AND($D596="Serviço",AY$12&lt;&gt;0,$H596&gt;0,OR(AUTOEVENTO&lt;&gt;"manual",$M596&lt;&gt;1)),
IF(Import.TipoArredondamento&lt;&gt;"TransfereGOV",
ROUND(OFFSET($P596,0,AY$13),15-13*ORÇAMENTO!$AF$7)/$H596*OFFSET(ORÇAMENTO!$X$15,ROW(AY596)-ROW(AY$15),0),
ROUND(ROUND(OFFSET($P596,0,AY$13),15-13*ORÇAMENTO!$AF$7)*OFFSET(ORÇAMENTO!$W$15,ROW(AY596)-ROW(AY$15),0),15-13*ORÇAMENTO!$AF$11)),0)</f>
        <v>0</v>
      </c>
      <c r="AZ596" s="545">
        <f ca="1">IF(AND($D596="Serviço",AZ$12&lt;&gt;0,$H596&gt;0,OR(AUTOEVENTO&lt;&gt;"manual",$M596&lt;&gt;1)),
IF(Import.TipoArredondamento&lt;&gt;"TransfereGOV",
ROUND(OFFSET($P596,0,AZ$13),15-13*ORÇAMENTO!$AF$7)/$H596*OFFSET(ORÇAMENTO!$X$15,ROW(AZ596)-ROW(AZ$15),0),
ROUND(ROUND(OFFSET($P596,0,AZ$13),15-13*ORÇAMENTO!$AF$7)*OFFSET(ORÇAMENTO!$W$15,ROW(AZ596)-ROW(AZ$15),0),15-13*ORÇAMENTO!$AF$11)),0)</f>
        <v>0</v>
      </c>
      <c r="BA596" s="546">
        <f ca="1">IF(AND($D596="Serviço",BA$12&lt;&gt;0,$H596&gt;0,OR(AUTOEVENTO&lt;&gt;"manual",$M596&lt;&gt;1)),
IF(Import.TipoArredondamento&lt;&gt;"TransfereGOV",
ROUND(OFFSET($P596,0,BA$13),15-13*ORÇAMENTO!$AF$7)/$H596*OFFSET(ORÇAMENTO!$X$15,ROW(BA596)-ROW(BA$15),0),
ROUND(ROUND(OFFSET($P596,0,BA$13),15-13*ORÇAMENTO!$AF$7)*OFFSET(ORÇAMENTO!$W$15,ROW(BA596)-ROW(BA$15),0),15-13*ORÇAMENTO!$AF$11)),0)</f>
        <v>0</v>
      </c>
      <c r="BC596" s="181">
        <f ca="1">IF($D596&lt;&gt;"Serviço",0,IF(AND(AUTOEVENTO="Manual",$M596=1),0,IF(OFFSET(CRONOPLE!$F$14,$M596,BC$13)="",10^12,OFFSET(CRONOPLE!$F$14,$M596,BC$13))))</f>
        <v>11</v>
      </c>
      <c r="BD596" s="181">
        <f ca="1">IF($D596&lt;&gt;"Serviço",0,IF(AND(AUTOEVENTO="Manual",$M596=1),0,IF(OFFSET(CRONOPLE!$F$14,$M596,BD$13)="",10^12,OFFSET(CRONOPLE!$F$14,$M596,BD$13))))</f>
        <v>1000000000000</v>
      </c>
      <c r="BE596" s="181">
        <f ca="1">IF($D596&lt;&gt;"Serviço",0,IF(AND(AUTOEVENTO="Manual",$M596=1),0,IF(OFFSET(CRONOPLE!$F$14,$M596,BE$13)="",10^12,OFFSET(CRONOPLE!$F$14,$M596,BE$13))))</f>
        <v>1000000000000</v>
      </c>
      <c r="BF596" s="181">
        <f ca="1">IF($D596&lt;&gt;"Serviço",0,IF(AND(AUTOEVENTO="Manual",$M596=1),0,IF(OFFSET(CRONOPLE!$F$14,$M596,BF$13)="",10^12,OFFSET(CRONOPLE!$F$14,$M596,BF$13))))</f>
        <v>1000000000000</v>
      </c>
      <c r="BG596" s="181">
        <f ca="1">IF($D596&lt;&gt;"Serviço",0,IF(AND(AUTOEVENTO="Manual",$M596=1),0,IF(OFFSET(CRONOPLE!$F$14,$M596,BG$13)="",10^12,OFFSET(CRONOPLE!$F$14,$M596,BG$13))))</f>
        <v>1000000000000</v>
      </c>
      <c r="BH596" s="181">
        <f ca="1">IF($D596&lt;&gt;"Serviço",0,IF(AND(AUTOEVENTO="Manual",$M596=1),0,IF(OFFSET(CRONOPLE!$F$14,$M596,BH$13)="",10^12,OFFSET(CRONOPLE!$F$14,$M596,BH$13))))</f>
        <v>1000000000000</v>
      </c>
      <c r="BI596" s="181">
        <f ca="1">IF($D596&lt;&gt;"Serviço",0,IF(AND(AUTOEVENTO="Manual",$M596=1),0,IF(OFFSET(CRONOPLE!$F$14,$M596,BI$13)="",10^12,OFFSET(CRONOPLE!$F$14,$M596,BI$13))))</f>
        <v>1000000000000</v>
      </c>
      <c r="BJ596" s="181">
        <f ca="1">IF($D596&lt;&gt;"Serviço",0,IF(AND(AUTOEVENTO="Manual",$M596=1),0,IF(OFFSET(CRONOPLE!$F$14,$M596,BJ$13)="",10^12,OFFSET(CRONOPLE!$F$14,$M596,BJ$13))))</f>
        <v>1000000000000</v>
      </c>
      <c r="BK596" s="181">
        <f ca="1">IF($D596&lt;&gt;"Serviço",0,IF(AND(AUTOEVENTO="Manual",$M596=1),0,IF(OFFSET(CRONOPLE!$F$14,$M596,BK$13)="",10^12,OFFSET(CRONOPLE!$F$14,$M596,BK$13))))</f>
        <v>1000000000000</v>
      </c>
      <c r="BL596" s="181">
        <f ca="1">IF($D596&lt;&gt;"Serviço",0,IF(AND(AUTOEVENTO="Manual",$M596=1),0,IF(OFFSET(CRONOPLE!$F$14,$M596,BL$13)="",10^12,OFFSET(CRONOPLE!$F$14,$M596,BL$13))))</f>
        <v>1000000000000</v>
      </c>
      <c r="BM596" s="181">
        <f ca="1">IF($D596&lt;&gt;"Serviço",0,IF(AND(AUTOEVENTO="Manual",$M596=1),0,IF(OFFSET(CRONOPLE!$F$14,$M596,BM$13)="",10^12,OFFSET(CRONOPLE!$F$14,$M596,BM$13))))</f>
        <v>1000000000000</v>
      </c>
      <c r="BN596" s="181">
        <f ca="1">IF($D596&lt;&gt;"Serviço",0,IF(AND(AUTOEVENTO="Manual",$M596=1),0,IF(OFFSET(CRONOPLE!$F$14,$M596,BN$13)="",10^12,OFFSET(CRONOPLE!$F$14,$M596,BN$13))))</f>
        <v>1000000000000</v>
      </c>
      <c r="BO596" s="181">
        <f ca="1">IF($D596&lt;&gt;"Serviço",0,IF(AND(AUTOEVENTO="Manual",$M596=1),0,IF(OFFSET(CRONOPLE!$F$14,$M596,BO$13)="",10^12,OFFSET(CRONOPLE!$F$14,$M596,BO$13))))</f>
        <v>1000000000000</v>
      </c>
      <c r="BP596" s="181">
        <f ca="1">IF($D596&lt;&gt;"Serviço",0,IF(AND(AUTOEVENTO="Manual",$M596=1),0,IF(OFFSET(CRONOPLE!$F$14,$M596,BP$13)="",10^12,OFFSET(CRONOPLE!$F$14,$M596,BP$13))))</f>
        <v>1000000000000</v>
      </c>
      <c r="BQ596" s="181">
        <f ca="1">IF($D596&lt;&gt;"Serviço",0,IF(AND(AUTOEVENTO="Manual",$M596=1),0,IF(OFFSET(CRONOPLE!$F$14,$M596,BQ$13)="",10^12,OFFSET(CRONOPLE!$F$14,$M596,BQ$13))))</f>
        <v>1000000000000</v>
      </c>
      <c r="BR596" s="181">
        <f ca="1">IF($D596&lt;&gt;"Serviço",0,IF(AND(AUTOEVENTO="Manual",$M596=1),0,IF(OFFSET(CRONOPLE!$F$14,$M596,BR$13)="",10^12,OFFSET(CRONOPLE!$F$14,$M596,BR$13))))</f>
        <v>1000000000000</v>
      </c>
      <c r="BS596" s="181">
        <f ca="1">IF($D596&lt;&gt;"Serviço",0,IF(AND(AUTOEVENTO="Manual",$M596=1),0,IF(OFFSET(CRONOPLE!$F$14,$M596,BS$13)="",10^12,OFFSET(CRONOPLE!$F$14,$M596,BS$13))))</f>
        <v>1000000000000</v>
      </c>
      <c r="BT596" s="181">
        <f ca="1">IF($D596&lt;&gt;"Serviço",0,IF(AND(AUTOEVENTO="Manual",$M596=1),0,IF(OFFSET(CRONOPLE!$F$14,$M596,BT$13)="",10^12,OFFSET(CRONOPLE!$F$14,$M596,BT$13))))</f>
        <v>1000000000000</v>
      </c>
      <c r="BV596" s="182">
        <f ca="1">IF($D596&lt;&gt;"Serviço",0,IF(OR(AND(AUTOEVENTO="Manual",$M596=1),$M596&gt;(ROW(PLE.lastrow)-ROW(PLE.firstrow))),0,IF(OFFSET(PLE!$G$14,$M596,BV$13)="",10^12,OFFSET(PLE!$G$14,$M596,BV$13))))</f>
        <v>1000000000000</v>
      </c>
      <c r="BW596" s="182">
        <f ca="1">IF($D596&lt;&gt;"Serviço",0,IF(OR(AND(AUTOEVENTO="Manual",$M596=1),$M596&gt;(ROW(PLE.lastrow)-ROW(PLE.firstrow))),0,IF(OFFSET(PLE!$G$14,$M596,BW$13)="",10^12,OFFSET(PLE!$G$14,$M596,BW$13))))</f>
        <v>1000000000000</v>
      </c>
      <c r="BX596" s="182">
        <f ca="1">IF($D596&lt;&gt;"Serviço",0,IF(OR(AND(AUTOEVENTO="Manual",$M596=1),$M596&gt;(ROW(PLE.lastrow)-ROW(PLE.firstrow))),0,IF(OFFSET(PLE!$G$14,$M596,BX$13)="",10^12,OFFSET(PLE!$G$14,$M596,BX$13))))</f>
        <v>1000000000000</v>
      </c>
      <c r="BY596" s="182">
        <f ca="1">IF($D596&lt;&gt;"Serviço",0,IF(OR(AND(AUTOEVENTO="Manual",$M596=1),$M596&gt;(ROW(PLE.lastrow)-ROW(PLE.firstrow))),0,IF(OFFSET(PLE!$G$14,$M596,BY$13)="",10^12,OFFSET(PLE!$G$14,$M596,BY$13))))</f>
        <v>1000000000000</v>
      </c>
      <c r="BZ596" s="182">
        <f ca="1">IF($D596&lt;&gt;"Serviço",0,IF(OR(AND(AUTOEVENTO="Manual",$M596=1),$M596&gt;(ROW(PLE.lastrow)-ROW(PLE.firstrow))),0,IF(OFFSET(PLE!$G$14,$M596,BZ$13)="",10^12,OFFSET(PLE!$G$14,$M596,BZ$13))))</f>
        <v>1000000000000</v>
      </c>
      <c r="CA596" s="182">
        <f ca="1">IF($D596&lt;&gt;"Serviço",0,IF(OR(AND(AUTOEVENTO="Manual",$M596=1),$M596&gt;(ROW(PLE.lastrow)-ROW(PLE.firstrow))),0,IF(OFFSET(PLE!$G$14,$M596,CA$13)="",10^12,OFFSET(PLE!$G$14,$M596,CA$13))))</f>
        <v>1000000000000</v>
      </c>
      <c r="CB596" s="182">
        <f ca="1">IF($D596&lt;&gt;"Serviço",0,IF(OR(AND(AUTOEVENTO="Manual",$M596=1),$M596&gt;(ROW(PLE.lastrow)-ROW(PLE.firstrow))),0,IF(OFFSET(PLE!$G$14,$M596,CB$13)="",10^12,OFFSET(PLE!$G$14,$M596,CB$13))))</f>
        <v>1000000000000</v>
      </c>
      <c r="CC596" s="182">
        <f ca="1">IF($D596&lt;&gt;"Serviço",0,IF(OR(AND(AUTOEVENTO="Manual",$M596=1),$M596&gt;(ROW(PLE.lastrow)-ROW(PLE.firstrow))),0,IF(OFFSET(PLE!$G$14,$M596,CC$13)="",10^12,OFFSET(PLE!$G$14,$M596,CC$13))))</f>
        <v>1000000000000</v>
      </c>
      <c r="CD596" s="182">
        <f ca="1">IF($D596&lt;&gt;"Serviço",0,IF(OR(AND(AUTOEVENTO="Manual",$M596=1),$M596&gt;(ROW(PLE.lastrow)-ROW(PLE.firstrow))),0,IF(OFFSET(PLE!$G$14,$M596,CD$13)="",10^12,OFFSET(PLE!$G$14,$M596,CD$13))))</f>
        <v>1000000000000</v>
      </c>
      <c r="CE596" s="182">
        <f ca="1">IF($D596&lt;&gt;"Serviço",0,IF(OR(AND(AUTOEVENTO="Manual",$M596=1),$M596&gt;(ROW(PLE.lastrow)-ROW(PLE.firstrow))),0,IF(OFFSET(PLE!$G$14,$M596,CE$13)="",10^12,OFFSET(PLE!$G$14,$M596,CE$13))))</f>
        <v>1000000000000</v>
      </c>
      <c r="CF596" s="182">
        <f ca="1">IF($D596&lt;&gt;"Serviço",0,IF(OR(AND(AUTOEVENTO="Manual",$M596=1),$M596&gt;(ROW(PLE.lastrow)-ROW(PLE.firstrow))),0,IF(OFFSET(PLE!$G$14,$M596,CF$13)="",10^12,OFFSET(PLE!$G$14,$M596,CF$13))))</f>
        <v>1000000000000</v>
      </c>
      <c r="CG596" s="182">
        <f ca="1">IF($D596&lt;&gt;"Serviço",0,IF(OR(AND(AUTOEVENTO="Manual",$M596=1),$M596&gt;(ROW(PLE.lastrow)-ROW(PLE.firstrow))),0,IF(OFFSET(PLE!$G$14,$M596,CG$13)="",10^12,OFFSET(PLE!$G$14,$M596,CG$13))))</f>
        <v>1000000000000</v>
      </c>
      <c r="CH596" s="182">
        <f ca="1">IF($D596&lt;&gt;"Serviço",0,IF(OR(AND(AUTOEVENTO="Manual",$M596=1),$M596&gt;(ROW(PLE.lastrow)-ROW(PLE.firstrow))),0,IF(OFFSET(PLE!$G$14,$M596,CH$13)="",10^12,OFFSET(PLE!$G$14,$M596,CH$13))))</f>
        <v>1000000000000</v>
      </c>
      <c r="CI596" s="182">
        <f ca="1">IF($D596&lt;&gt;"Serviço",0,IF(OR(AND(AUTOEVENTO="Manual",$M596=1),$M596&gt;(ROW(PLE.lastrow)-ROW(PLE.firstrow))),0,IF(OFFSET(PLE!$G$14,$M596,CI$13)="",10^12,OFFSET(PLE!$G$14,$M596,CI$13))))</f>
        <v>1000000000000</v>
      </c>
      <c r="CJ596" s="182">
        <f ca="1">IF($D596&lt;&gt;"Serviço",0,IF(OR(AND(AUTOEVENTO="Manual",$M596=1),$M596&gt;(ROW(PLE.lastrow)-ROW(PLE.firstrow))),0,IF(OFFSET(PLE!$G$14,$M596,CJ$13)="",10^12,OFFSET(PLE!$G$14,$M596,CJ$13))))</f>
        <v>1000000000000</v>
      </c>
      <c r="CK596" s="182">
        <f ca="1">IF($D596&lt;&gt;"Serviço",0,IF(OR(AND(AUTOEVENTO="Manual",$M596=1),$M596&gt;(ROW(PLE.lastrow)-ROW(PLE.firstrow))),0,IF(OFFSET(PLE!$G$14,$M596,CK$13)="",10^12,OFFSET(PLE!$G$14,$M596,CK$13))))</f>
        <v>1000000000000</v>
      </c>
      <c r="CL596" s="182">
        <f ca="1">IF($D596&lt;&gt;"Serviço",0,IF(OR(AND(AUTOEVENTO="Manual",$M596=1),$M596&gt;(ROW(PLE.lastrow)-ROW(PLE.firstrow))),0,IF(OFFSET(PLE!$G$14,$M596,CL$13)="",10^12,OFFSET(PLE!$G$14,$M596,CL$13))))</f>
        <v>1000000000000</v>
      </c>
      <c r="CM596" s="182">
        <f ca="1">IF($D596&lt;&gt;"Serviço",0,IF(OR(AND(AUTOEVENTO="Manual",$M596=1),$M596&gt;(ROW(PLE.lastrow)-ROW(PLE.firstrow))),0,IF(OFFSET(PLE!$G$14,$M596,CM$13)="",10^12,OFFSET(PLE!$G$14,$M596,CM$13))))</f>
        <v>1000000000000</v>
      </c>
    </row>
    <row r="597" spans="1:91" ht="38.25" x14ac:dyDescent="0.2">
      <c r="A597" s="7" t="str">
        <f t="shared" ca="1" si="18"/>
        <v>580</v>
      </c>
      <c r="B597" s="7" t="str">
        <f ca="1">OFFSET(ORÇAMENTO!C$15,ROW(B597)-ROW(B$15),0)</f>
        <v>S</v>
      </c>
      <c r="C597" s="7" t="str">
        <f ca="1">OFFSET(ORÇAMENTO!L$15,ROW(C597)-ROW(C$15),0)</f>
        <v/>
      </c>
      <c r="D597" s="118" t="str">
        <f ca="1">OFFSET(ORÇAMENTO!N$15,ROW(D597)-ROW(D$15),0)</f>
        <v>Serviço</v>
      </c>
      <c r="E597" s="119" t="str">
        <f ca="1">OFFSET(ORÇAMENTO!O$15,ROW(E597)-ROW(E$15),0)</f>
        <v>-</v>
      </c>
      <c r="F597" s="172" t="str">
        <f ca="1">OFFSET(ORÇAMENTO!R$15,ROW(F597)-ROW(F$15),0)</f>
        <v>(abra o arquivo 'Referência 06-2024.xlsm)</v>
      </c>
      <c r="G597" s="173" t="str">
        <f ca="1">IF($D597&lt;&gt;"Serviço","",OFFSET(ORÇAMENTO!S$15,ROW(G597)-ROW(G$15),0))</f>
        <v>-</v>
      </c>
      <c r="H597" s="124">
        <f ca="1">IF($D597&lt;&gt;"Serviço",0,IF(ACOMPANHAMENTO="BM",ROUND(OFFSET(ORÇAMENTO!AJ$15,ROW(H597)-ROW(H$15),0),15-13*ORÇAMENTO!$AF$7),SUMPRODUCT(($Q$12:$AI$12&lt;&gt;"")*ROUND($Q597:$AI597,15-13*ORÇAMENTO!$AF$7))))</f>
        <v>7</v>
      </c>
      <c r="I597" s="561" t="s">
        <v>1107</v>
      </c>
      <c r="K597" s="174"/>
      <c r="L597" s="175" t="s">
        <v>255</v>
      </c>
      <c r="M597" s="176">
        <f ca="1">IF($D597&lt;&gt;"Serviço","",IF(AUTOEVENTO="manual",$A597,IF(ISERROR(MATCH($A597,$A$15:OFFSET($A597,-1,0),0)),MAX($M$15:OFFSET(M597,-1,0))+1,INDEX($M$15:OFFSET(M597,-1,0),MATCH($A597,$A$15:OFFSET($A597,-1,0),0)))))</f>
        <v>61</v>
      </c>
      <c r="N597" s="177" t="str">
        <f ca="1">IF($D597&lt;&gt;"Serviço","",IF(AUTOEVENTO="Manual",IF($A597=0,"&lt;-- defina o número do agrupador",OFFSET(EVENTOS!$D$14,$A597,0)),OFFSET($F$15,$A597,0)))</f>
        <v>INSTALAÇÃO ELÉTRICA 110V - ILUMINAÇÃO</v>
      </c>
      <c r="O597" s="178"/>
      <c r="Q597" s="178">
        <v>7</v>
      </c>
      <c r="R597" s="179"/>
      <c r="S597" s="179"/>
      <c r="T597" s="179"/>
      <c r="U597" s="179"/>
      <c r="V597" s="179"/>
      <c r="W597" s="179"/>
      <c r="X597" s="179"/>
      <c r="Y597" s="179"/>
      <c r="Z597" s="180"/>
      <c r="AA597" s="179"/>
      <c r="AB597" s="179"/>
      <c r="AC597" s="179"/>
      <c r="AD597" s="179"/>
      <c r="AE597" s="179"/>
      <c r="AF597" s="179"/>
      <c r="AG597" s="179"/>
      <c r="AH597" s="180"/>
      <c r="AJ597" s="544">
        <f ca="1">IF(AND($D597="Serviço",AJ$12&lt;&gt;0,$H597&gt;0,OR(AUTOEVENTO&lt;&gt;"manual",$M597&lt;&gt;1)),
IF(Import.TipoArredondamento&lt;&gt;"TransfereGOV",
ROUND(OFFSET($P597,0,AJ$13),15-13*ORÇAMENTO!$AF$7)/$H597*OFFSET(ORÇAMENTO!$X$15,ROW(AJ597)-ROW(AJ$15),0),
ROUND(ROUND(OFFSET($P597,0,AJ$13),15-13*ORÇAMENTO!$AF$7)*OFFSET(ORÇAMENTO!$W$15,ROW(AJ597)-ROW(AJ$15),0),15-13*ORÇAMENTO!$AF$11)),0)</f>
        <v>0</v>
      </c>
      <c r="AK597" s="545">
        <f ca="1">IF(AND($D597="Serviço",AK$12&lt;&gt;0,$H597&gt;0,OR(AUTOEVENTO&lt;&gt;"manual",$M597&lt;&gt;1)),
IF(Import.TipoArredondamento&lt;&gt;"TransfereGOV",
ROUND(OFFSET($P597,0,AK$13),15-13*ORÇAMENTO!$AF$7)/$H597*OFFSET(ORÇAMENTO!$X$15,ROW(AK597)-ROW(AK$15),0),
ROUND(ROUND(OFFSET($P597,0,AK$13),15-13*ORÇAMENTO!$AF$7)*OFFSET(ORÇAMENTO!$W$15,ROW(AK597)-ROW(AK$15),0),15-13*ORÇAMENTO!$AF$11)),0)</f>
        <v>0</v>
      </c>
      <c r="AL597" s="545">
        <f ca="1">IF(AND($D597="Serviço",AL$12&lt;&gt;0,$H597&gt;0,OR(AUTOEVENTO&lt;&gt;"manual",$M597&lt;&gt;1)),
IF(Import.TipoArredondamento&lt;&gt;"TransfereGOV",
ROUND(OFFSET($P597,0,AL$13),15-13*ORÇAMENTO!$AF$7)/$H597*OFFSET(ORÇAMENTO!$X$15,ROW(AL597)-ROW(AL$15),0),
ROUND(ROUND(OFFSET($P597,0,AL$13),15-13*ORÇAMENTO!$AF$7)*OFFSET(ORÇAMENTO!$W$15,ROW(AL597)-ROW(AL$15),0),15-13*ORÇAMENTO!$AF$11)),0)</f>
        <v>0</v>
      </c>
      <c r="AM597" s="545">
        <f ca="1">IF(AND($D597="Serviço",AM$12&lt;&gt;0,$H597&gt;0,OR(AUTOEVENTO&lt;&gt;"manual",$M597&lt;&gt;1)),
IF(Import.TipoArredondamento&lt;&gt;"TransfereGOV",
ROUND(OFFSET($P597,0,AM$13),15-13*ORÇAMENTO!$AF$7)/$H597*OFFSET(ORÇAMENTO!$X$15,ROW(AM597)-ROW(AM$15),0),
ROUND(ROUND(OFFSET($P597,0,AM$13),15-13*ORÇAMENTO!$AF$7)*OFFSET(ORÇAMENTO!$W$15,ROW(AM597)-ROW(AM$15),0),15-13*ORÇAMENTO!$AF$11)),0)</f>
        <v>0</v>
      </c>
      <c r="AN597" s="545">
        <f ca="1">IF(AND($D597="Serviço",AN$12&lt;&gt;0,$H597&gt;0,OR(AUTOEVENTO&lt;&gt;"manual",$M597&lt;&gt;1)),
IF(Import.TipoArredondamento&lt;&gt;"TransfereGOV",
ROUND(OFFSET($P597,0,AN$13),15-13*ORÇAMENTO!$AF$7)/$H597*OFFSET(ORÇAMENTO!$X$15,ROW(AN597)-ROW(AN$15),0),
ROUND(ROUND(OFFSET($P597,0,AN$13),15-13*ORÇAMENTO!$AF$7)*OFFSET(ORÇAMENTO!$W$15,ROW(AN597)-ROW(AN$15),0),15-13*ORÇAMENTO!$AF$11)),0)</f>
        <v>0</v>
      </c>
      <c r="AO597" s="545">
        <f ca="1">IF(AND($D597="Serviço",AO$12&lt;&gt;0,$H597&gt;0,OR(AUTOEVENTO&lt;&gt;"manual",$M597&lt;&gt;1)),
IF(Import.TipoArredondamento&lt;&gt;"TransfereGOV",
ROUND(OFFSET($P597,0,AO$13),15-13*ORÇAMENTO!$AF$7)/$H597*OFFSET(ORÇAMENTO!$X$15,ROW(AO597)-ROW(AO$15),0),
ROUND(ROUND(OFFSET($P597,0,AO$13),15-13*ORÇAMENTO!$AF$7)*OFFSET(ORÇAMENTO!$W$15,ROW(AO597)-ROW(AO$15),0),15-13*ORÇAMENTO!$AF$11)),0)</f>
        <v>0</v>
      </c>
      <c r="AP597" s="545">
        <f ca="1">IF(AND($D597="Serviço",AP$12&lt;&gt;0,$H597&gt;0,OR(AUTOEVENTO&lt;&gt;"manual",$M597&lt;&gt;1)),
IF(Import.TipoArredondamento&lt;&gt;"TransfereGOV",
ROUND(OFFSET($P597,0,AP$13),15-13*ORÇAMENTO!$AF$7)/$H597*OFFSET(ORÇAMENTO!$X$15,ROW(AP597)-ROW(AP$15),0),
ROUND(ROUND(OFFSET($P597,0,AP$13),15-13*ORÇAMENTO!$AF$7)*OFFSET(ORÇAMENTO!$W$15,ROW(AP597)-ROW(AP$15),0),15-13*ORÇAMENTO!$AF$11)),0)</f>
        <v>0</v>
      </c>
      <c r="AQ597" s="545">
        <f ca="1">IF(AND($D597="Serviço",AQ$12&lt;&gt;0,$H597&gt;0,OR(AUTOEVENTO&lt;&gt;"manual",$M597&lt;&gt;1)),
IF(Import.TipoArredondamento&lt;&gt;"TransfereGOV",
ROUND(OFFSET($P597,0,AQ$13),15-13*ORÇAMENTO!$AF$7)/$H597*OFFSET(ORÇAMENTO!$X$15,ROW(AQ597)-ROW(AQ$15),0),
ROUND(ROUND(OFFSET($P597,0,AQ$13),15-13*ORÇAMENTO!$AF$7)*OFFSET(ORÇAMENTO!$W$15,ROW(AQ597)-ROW(AQ$15),0),15-13*ORÇAMENTO!$AF$11)),0)</f>
        <v>0</v>
      </c>
      <c r="AR597" s="545">
        <f ca="1">IF(AND($D597="Serviço",AR$12&lt;&gt;0,$H597&gt;0,OR(AUTOEVENTO&lt;&gt;"manual",$M597&lt;&gt;1)),
IF(Import.TipoArredondamento&lt;&gt;"TransfereGOV",
ROUND(OFFSET($P597,0,AR$13),15-13*ORÇAMENTO!$AF$7)/$H597*OFFSET(ORÇAMENTO!$X$15,ROW(AR597)-ROW(AR$15),0),
ROUND(ROUND(OFFSET($P597,0,AR$13),15-13*ORÇAMENTO!$AF$7)*OFFSET(ORÇAMENTO!$W$15,ROW(AR597)-ROW(AR$15),0),15-13*ORÇAMENTO!$AF$11)),0)</f>
        <v>0</v>
      </c>
      <c r="AS597" s="546">
        <f ca="1">IF(AND($D597="Serviço",AS$12&lt;&gt;0,$H597&gt;0,OR(AUTOEVENTO&lt;&gt;"manual",$M597&lt;&gt;1)),
IF(Import.TipoArredondamento&lt;&gt;"TransfereGOV",
ROUND(OFFSET($P597,0,AS$13),15-13*ORÇAMENTO!$AF$7)/$H597*OFFSET(ORÇAMENTO!$X$15,ROW(AS597)-ROW(AS$15),0),
ROUND(ROUND(OFFSET($P597,0,AS$13),15-13*ORÇAMENTO!$AF$7)*OFFSET(ORÇAMENTO!$W$15,ROW(AS597)-ROW(AS$15),0),15-13*ORÇAMENTO!$AF$11)),0)</f>
        <v>0</v>
      </c>
      <c r="AT597" s="545">
        <f ca="1">IF(AND($D597="Serviço",AT$12&lt;&gt;0,$H597&gt;0,OR(AUTOEVENTO&lt;&gt;"manual",$M597&lt;&gt;1)),
IF(Import.TipoArredondamento&lt;&gt;"TransfereGOV",
ROUND(OFFSET($P597,0,AT$13),15-13*ORÇAMENTO!$AF$7)/$H597*OFFSET(ORÇAMENTO!$X$15,ROW(AT597)-ROW(AT$15),0),
ROUND(ROUND(OFFSET($P597,0,AT$13),15-13*ORÇAMENTO!$AF$7)*OFFSET(ORÇAMENTO!$W$15,ROW(AT597)-ROW(AT$15),0),15-13*ORÇAMENTO!$AF$11)),0)</f>
        <v>0</v>
      </c>
      <c r="AU597" s="545">
        <f ca="1">IF(AND($D597="Serviço",AU$12&lt;&gt;0,$H597&gt;0,OR(AUTOEVENTO&lt;&gt;"manual",$M597&lt;&gt;1)),
IF(Import.TipoArredondamento&lt;&gt;"TransfereGOV",
ROUND(OFFSET($P597,0,AU$13),15-13*ORÇAMENTO!$AF$7)/$H597*OFFSET(ORÇAMENTO!$X$15,ROW(AU597)-ROW(AU$15),0),
ROUND(ROUND(OFFSET($P597,0,AU$13),15-13*ORÇAMENTO!$AF$7)*OFFSET(ORÇAMENTO!$W$15,ROW(AU597)-ROW(AU$15),0),15-13*ORÇAMENTO!$AF$11)),0)</f>
        <v>0</v>
      </c>
      <c r="AV597" s="545">
        <f ca="1">IF(AND($D597="Serviço",AV$12&lt;&gt;0,$H597&gt;0,OR(AUTOEVENTO&lt;&gt;"manual",$M597&lt;&gt;1)),
IF(Import.TipoArredondamento&lt;&gt;"TransfereGOV",
ROUND(OFFSET($P597,0,AV$13),15-13*ORÇAMENTO!$AF$7)/$H597*OFFSET(ORÇAMENTO!$X$15,ROW(AV597)-ROW(AV$15),0),
ROUND(ROUND(OFFSET($P597,0,AV$13),15-13*ORÇAMENTO!$AF$7)*OFFSET(ORÇAMENTO!$W$15,ROW(AV597)-ROW(AV$15),0),15-13*ORÇAMENTO!$AF$11)),0)</f>
        <v>0</v>
      </c>
      <c r="AW597" s="545">
        <f ca="1">IF(AND($D597="Serviço",AW$12&lt;&gt;0,$H597&gt;0,OR(AUTOEVENTO&lt;&gt;"manual",$M597&lt;&gt;1)),
IF(Import.TipoArredondamento&lt;&gt;"TransfereGOV",
ROUND(OFFSET($P597,0,AW$13),15-13*ORÇAMENTO!$AF$7)/$H597*OFFSET(ORÇAMENTO!$X$15,ROW(AW597)-ROW(AW$15),0),
ROUND(ROUND(OFFSET($P597,0,AW$13),15-13*ORÇAMENTO!$AF$7)*OFFSET(ORÇAMENTO!$W$15,ROW(AW597)-ROW(AW$15),0),15-13*ORÇAMENTO!$AF$11)),0)</f>
        <v>0</v>
      </c>
      <c r="AX597" s="545">
        <f ca="1">IF(AND($D597="Serviço",AX$12&lt;&gt;0,$H597&gt;0,OR(AUTOEVENTO&lt;&gt;"manual",$M597&lt;&gt;1)),
IF(Import.TipoArredondamento&lt;&gt;"TransfereGOV",
ROUND(OFFSET($P597,0,AX$13),15-13*ORÇAMENTO!$AF$7)/$H597*OFFSET(ORÇAMENTO!$X$15,ROW(AX597)-ROW(AX$15),0),
ROUND(ROUND(OFFSET($P597,0,AX$13),15-13*ORÇAMENTO!$AF$7)*OFFSET(ORÇAMENTO!$W$15,ROW(AX597)-ROW(AX$15),0),15-13*ORÇAMENTO!$AF$11)),0)</f>
        <v>0</v>
      </c>
      <c r="AY597" s="545">
        <f ca="1">IF(AND($D597="Serviço",AY$12&lt;&gt;0,$H597&gt;0,OR(AUTOEVENTO&lt;&gt;"manual",$M597&lt;&gt;1)),
IF(Import.TipoArredondamento&lt;&gt;"TransfereGOV",
ROUND(OFFSET($P597,0,AY$13),15-13*ORÇAMENTO!$AF$7)/$H597*OFFSET(ORÇAMENTO!$X$15,ROW(AY597)-ROW(AY$15),0),
ROUND(ROUND(OFFSET($P597,0,AY$13),15-13*ORÇAMENTO!$AF$7)*OFFSET(ORÇAMENTO!$W$15,ROW(AY597)-ROW(AY$15),0),15-13*ORÇAMENTO!$AF$11)),0)</f>
        <v>0</v>
      </c>
      <c r="AZ597" s="545">
        <f ca="1">IF(AND($D597="Serviço",AZ$12&lt;&gt;0,$H597&gt;0,OR(AUTOEVENTO&lt;&gt;"manual",$M597&lt;&gt;1)),
IF(Import.TipoArredondamento&lt;&gt;"TransfereGOV",
ROUND(OFFSET($P597,0,AZ$13),15-13*ORÇAMENTO!$AF$7)/$H597*OFFSET(ORÇAMENTO!$X$15,ROW(AZ597)-ROW(AZ$15),0),
ROUND(ROUND(OFFSET($P597,0,AZ$13),15-13*ORÇAMENTO!$AF$7)*OFFSET(ORÇAMENTO!$W$15,ROW(AZ597)-ROW(AZ$15),0),15-13*ORÇAMENTO!$AF$11)),0)</f>
        <v>0</v>
      </c>
      <c r="BA597" s="546">
        <f ca="1">IF(AND($D597="Serviço",BA$12&lt;&gt;0,$H597&gt;0,OR(AUTOEVENTO&lt;&gt;"manual",$M597&lt;&gt;1)),
IF(Import.TipoArredondamento&lt;&gt;"TransfereGOV",
ROUND(OFFSET($P597,0,BA$13),15-13*ORÇAMENTO!$AF$7)/$H597*OFFSET(ORÇAMENTO!$X$15,ROW(BA597)-ROW(BA$15),0),
ROUND(ROUND(OFFSET($P597,0,BA$13),15-13*ORÇAMENTO!$AF$7)*OFFSET(ORÇAMENTO!$W$15,ROW(BA597)-ROW(BA$15),0),15-13*ORÇAMENTO!$AF$11)),0)</f>
        <v>0</v>
      </c>
      <c r="BC597" s="181">
        <f ca="1">IF($D597&lt;&gt;"Serviço",0,IF(AND(AUTOEVENTO="Manual",$M597=1),0,IF(OFFSET(CRONOPLE!$F$14,$M597,BC$13)="",10^12,OFFSET(CRONOPLE!$F$14,$M597,BC$13))))</f>
        <v>11</v>
      </c>
      <c r="BD597" s="181">
        <f ca="1">IF($D597&lt;&gt;"Serviço",0,IF(AND(AUTOEVENTO="Manual",$M597=1),0,IF(OFFSET(CRONOPLE!$F$14,$M597,BD$13)="",10^12,OFFSET(CRONOPLE!$F$14,$M597,BD$13))))</f>
        <v>1000000000000</v>
      </c>
      <c r="BE597" s="181">
        <f ca="1">IF($D597&lt;&gt;"Serviço",0,IF(AND(AUTOEVENTO="Manual",$M597=1),0,IF(OFFSET(CRONOPLE!$F$14,$M597,BE$13)="",10^12,OFFSET(CRONOPLE!$F$14,$M597,BE$13))))</f>
        <v>1000000000000</v>
      </c>
      <c r="BF597" s="181">
        <f ca="1">IF($D597&lt;&gt;"Serviço",0,IF(AND(AUTOEVENTO="Manual",$M597=1),0,IF(OFFSET(CRONOPLE!$F$14,$M597,BF$13)="",10^12,OFFSET(CRONOPLE!$F$14,$M597,BF$13))))</f>
        <v>1000000000000</v>
      </c>
      <c r="BG597" s="181">
        <f ca="1">IF($D597&lt;&gt;"Serviço",0,IF(AND(AUTOEVENTO="Manual",$M597=1),0,IF(OFFSET(CRONOPLE!$F$14,$M597,BG$13)="",10^12,OFFSET(CRONOPLE!$F$14,$M597,BG$13))))</f>
        <v>1000000000000</v>
      </c>
      <c r="BH597" s="181">
        <f ca="1">IF($D597&lt;&gt;"Serviço",0,IF(AND(AUTOEVENTO="Manual",$M597=1),0,IF(OFFSET(CRONOPLE!$F$14,$M597,BH$13)="",10^12,OFFSET(CRONOPLE!$F$14,$M597,BH$13))))</f>
        <v>1000000000000</v>
      </c>
      <c r="BI597" s="181">
        <f ca="1">IF($D597&lt;&gt;"Serviço",0,IF(AND(AUTOEVENTO="Manual",$M597=1),0,IF(OFFSET(CRONOPLE!$F$14,$M597,BI$13)="",10^12,OFFSET(CRONOPLE!$F$14,$M597,BI$13))))</f>
        <v>1000000000000</v>
      </c>
      <c r="BJ597" s="181">
        <f ca="1">IF($D597&lt;&gt;"Serviço",0,IF(AND(AUTOEVENTO="Manual",$M597=1),0,IF(OFFSET(CRONOPLE!$F$14,$M597,BJ$13)="",10^12,OFFSET(CRONOPLE!$F$14,$M597,BJ$13))))</f>
        <v>1000000000000</v>
      </c>
      <c r="BK597" s="181">
        <f ca="1">IF($D597&lt;&gt;"Serviço",0,IF(AND(AUTOEVENTO="Manual",$M597=1),0,IF(OFFSET(CRONOPLE!$F$14,$M597,BK$13)="",10^12,OFFSET(CRONOPLE!$F$14,$M597,BK$13))))</f>
        <v>1000000000000</v>
      </c>
      <c r="BL597" s="181">
        <f ca="1">IF($D597&lt;&gt;"Serviço",0,IF(AND(AUTOEVENTO="Manual",$M597=1),0,IF(OFFSET(CRONOPLE!$F$14,$M597,BL$13)="",10^12,OFFSET(CRONOPLE!$F$14,$M597,BL$13))))</f>
        <v>1000000000000</v>
      </c>
      <c r="BM597" s="181">
        <f ca="1">IF($D597&lt;&gt;"Serviço",0,IF(AND(AUTOEVENTO="Manual",$M597=1),0,IF(OFFSET(CRONOPLE!$F$14,$M597,BM$13)="",10^12,OFFSET(CRONOPLE!$F$14,$M597,BM$13))))</f>
        <v>1000000000000</v>
      </c>
      <c r="BN597" s="181">
        <f ca="1">IF($D597&lt;&gt;"Serviço",0,IF(AND(AUTOEVENTO="Manual",$M597=1),0,IF(OFFSET(CRONOPLE!$F$14,$M597,BN$13)="",10^12,OFFSET(CRONOPLE!$F$14,$M597,BN$13))))</f>
        <v>1000000000000</v>
      </c>
      <c r="BO597" s="181">
        <f ca="1">IF($D597&lt;&gt;"Serviço",0,IF(AND(AUTOEVENTO="Manual",$M597=1),0,IF(OFFSET(CRONOPLE!$F$14,$M597,BO$13)="",10^12,OFFSET(CRONOPLE!$F$14,$M597,BO$13))))</f>
        <v>1000000000000</v>
      </c>
      <c r="BP597" s="181">
        <f ca="1">IF($D597&lt;&gt;"Serviço",0,IF(AND(AUTOEVENTO="Manual",$M597=1),0,IF(OFFSET(CRONOPLE!$F$14,$M597,BP$13)="",10^12,OFFSET(CRONOPLE!$F$14,$M597,BP$13))))</f>
        <v>1000000000000</v>
      </c>
      <c r="BQ597" s="181">
        <f ca="1">IF($D597&lt;&gt;"Serviço",0,IF(AND(AUTOEVENTO="Manual",$M597=1),0,IF(OFFSET(CRONOPLE!$F$14,$M597,BQ$13)="",10^12,OFFSET(CRONOPLE!$F$14,$M597,BQ$13))))</f>
        <v>1000000000000</v>
      </c>
      <c r="BR597" s="181">
        <f ca="1">IF($D597&lt;&gt;"Serviço",0,IF(AND(AUTOEVENTO="Manual",$M597=1),0,IF(OFFSET(CRONOPLE!$F$14,$M597,BR$13)="",10^12,OFFSET(CRONOPLE!$F$14,$M597,BR$13))))</f>
        <v>1000000000000</v>
      </c>
      <c r="BS597" s="181">
        <f ca="1">IF($D597&lt;&gt;"Serviço",0,IF(AND(AUTOEVENTO="Manual",$M597=1),0,IF(OFFSET(CRONOPLE!$F$14,$M597,BS$13)="",10^12,OFFSET(CRONOPLE!$F$14,$M597,BS$13))))</f>
        <v>1000000000000</v>
      </c>
      <c r="BT597" s="181">
        <f ca="1">IF($D597&lt;&gt;"Serviço",0,IF(AND(AUTOEVENTO="Manual",$M597=1),0,IF(OFFSET(CRONOPLE!$F$14,$M597,BT$13)="",10^12,OFFSET(CRONOPLE!$F$14,$M597,BT$13))))</f>
        <v>1000000000000</v>
      </c>
      <c r="BV597" s="182">
        <f ca="1">IF($D597&lt;&gt;"Serviço",0,IF(OR(AND(AUTOEVENTO="Manual",$M597=1),$M597&gt;(ROW(PLE.lastrow)-ROW(PLE.firstrow))),0,IF(OFFSET(PLE!$G$14,$M597,BV$13)="",10^12,OFFSET(PLE!$G$14,$M597,BV$13))))</f>
        <v>1000000000000</v>
      </c>
      <c r="BW597" s="182">
        <f ca="1">IF($D597&lt;&gt;"Serviço",0,IF(OR(AND(AUTOEVENTO="Manual",$M597=1),$M597&gt;(ROW(PLE.lastrow)-ROW(PLE.firstrow))),0,IF(OFFSET(PLE!$G$14,$M597,BW$13)="",10^12,OFFSET(PLE!$G$14,$M597,BW$13))))</f>
        <v>1000000000000</v>
      </c>
      <c r="BX597" s="182">
        <f ca="1">IF($D597&lt;&gt;"Serviço",0,IF(OR(AND(AUTOEVENTO="Manual",$M597=1),$M597&gt;(ROW(PLE.lastrow)-ROW(PLE.firstrow))),0,IF(OFFSET(PLE!$G$14,$M597,BX$13)="",10^12,OFFSET(PLE!$G$14,$M597,BX$13))))</f>
        <v>1000000000000</v>
      </c>
      <c r="BY597" s="182">
        <f ca="1">IF($D597&lt;&gt;"Serviço",0,IF(OR(AND(AUTOEVENTO="Manual",$M597=1),$M597&gt;(ROW(PLE.lastrow)-ROW(PLE.firstrow))),0,IF(OFFSET(PLE!$G$14,$M597,BY$13)="",10^12,OFFSET(PLE!$G$14,$M597,BY$13))))</f>
        <v>1000000000000</v>
      </c>
      <c r="BZ597" s="182">
        <f ca="1">IF($D597&lt;&gt;"Serviço",0,IF(OR(AND(AUTOEVENTO="Manual",$M597=1),$M597&gt;(ROW(PLE.lastrow)-ROW(PLE.firstrow))),0,IF(OFFSET(PLE!$G$14,$M597,BZ$13)="",10^12,OFFSET(PLE!$G$14,$M597,BZ$13))))</f>
        <v>1000000000000</v>
      </c>
      <c r="CA597" s="182">
        <f ca="1">IF($D597&lt;&gt;"Serviço",0,IF(OR(AND(AUTOEVENTO="Manual",$M597=1),$M597&gt;(ROW(PLE.lastrow)-ROW(PLE.firstrow))),0,IF(OFFSET(PLE!$G$14,$M597,CA$13)="",10^12,OFFSET(PLE!$G$14,$M597,CA$13))))</f>
        <v>1000000000000</v>
      </c>
      <c r="CB597" s="182">
        <f ca="1">IF($D597&lt;&gt;"Serviço",0,IF(OR(AND(AUTOEVENTO="Manual",$M597=1),$M597&gt;(ROW(PLE.lastrow)-ROW(PLE.firstrow))),0,IF(OFFSET(PLE!$G$14,$M597,CB$13)="",10^12,OFFSET(PLE!$G$14,$M597,CB$13))))</f>
        <v>1000000000000</v>
      </c>
      <c r="CC597" s="182">
        <f ca="1">IF($D597&lt;&gt;"Serviço",0,IF(OR(AND(AUTOEVENTO="Manual",$M597=1),$M597&gt;(ROW(PLE.lastrow)-ROW(PLE.firstrow))),0,IF(OFFSET(PLE!$G$14,$M597,CC$13)="",10^12,OFFSET(PLE!$G$14,$M597,CC$13))))</f>
        <v>1000000000000</v>
      </c>
      <c r="CD597" s="182">
        <f ca="1">IF($D597&lt;&gt;"Serviço",0,IF(OR(AND(AUTOEVENTO="Manual",$M597=1),$M597&gt;(ROW(PLE.lastrow)-ROW(PLE.firstrow))),0,IF(OFFSET(PLE!$G$14,$M597,CD$13)="",10^12,OFFSET(PLE!$G$14,$M597,CD$13))))</f>
        <v>1000000000000</v>
      </c>
      <c r="CE597" s="182">
        <f ca="1">IF($D597&lt;&gt;"Serviço",0,IF(OR(AND(AUTOEVENTO="Manual",$M597=1),$M597&gt;(ROW(PLE.lastrow)-ROW(PLE.firstrow))),0,IF(OFFSET(PLE!$G$14,$M597,CE$13)="",10^12,OFFSET(PLE!$G$14,$M597,CE$13))))</f>
        <v>1000000000000</v>
      </c>
      <c r="CF597" s="182">
        <f ca="1">IF($D597&lt;&gt;"Serviço",0,IF(OR(AND(AUTOEVENTO="Manual",$M597=1),$M597&gt;(ROW(PLE.lastrow)-ROW(PLE.firstrow))),0,IF(OFFSET(PLE!$G$14,$M597,CF$13)="",10^12,OFFSET(PLE!$G$14,$M597,CF$13))))</f>
        <v>1000000000000</v>
      </c>
      <c r="CG597" s="182">
        <f ca="1">IF($D597&lt;&gt;"Serviço",0,IF(OR(AND(AUTOEVENTO="Manual",$M597=1),$M597&gt;(ROW(PLE.lastrow)-ROW(PLE.firstrow))),0,IF(OFFSET(PLE!$G$14,$M597,CG$13)="",10^12,OFFSET(PLE!$G$14,$M597,CG$13))))</f>
        <v>1000000000000</v>
      </c>
      <c r="CH597" s="182">
        <f ca="1">IF($D597&lt;&gt;"Serviço",0,IF(OR(AND(AUTOEVENTO="Manual",$M597=1),$M597&gt;(ROW(PLE.lastrow)-ROW(PLE.firstrow))),0,IF(OFFSET(PLE!$G$14,$M597,CH$13)="",10^12,OFFSET(PLE!$G$14,$M597,CH$13))))</f>
        <v>1000000000000</v>
      </c>
      <c r="CI597" s="182">
        <f ca="1">IF($D597&lt;&gt;"Serviço",0,IF(OR(AND(AUTOEVENTO="Manual",$M597=1),$M597&gt;(ROW(PLE.lastrow)-ROW(PLE.firstrow))),0,IF(OFFSET(PLE!$G$14,$M597,CI$13)="",10^12,OFFSET(PLE!$G$14,$M597,CI$13))))</f>
        <v>1000000000000</v>
      </c>
      <c r="CJ597" s="182">
        <f ca="1">IF($D597&lt;&gt;"Serviço",0,IF(OR(AND(AUTOEVENTO="Manual",$M597=1),$M597&gt;(ROW(PLE.lastrow)-ROW(PLE.firstrow))),0,IF(OFFSET(PLE!$G$14,$M597,CJ$13)="",10^12,OFFSET(PLE!$G$14,$M597,CJ$13))))</f>
        <v>1000000000000</v>
      </c>
      <c r="CK597" s="182">
        <f ca="1">IF($D597&lt;&gt;"Serviço",0,IF(OR(AND(AUTOEVENTO="Manual",$M597=1),$M597&gt;(ROW(PLE.lastrow)-ROW(PLE.firstrow))),0,IF(OFFSET(PLE!$G$14,$M597,CK$13)="",10^12,OFFSET(PLE!$G$14,$M597,CK$13))))</f>
        <v>1000000000000</v>
      </c>
      <c r="CL597" s="182">
        <f ca="1">IF($D597&lt;&gt;"Serviço",0,IF(OR(AND(AUTOEVENTO="Manual",$M597=1),$M597&gt;(ROW(PLE.lastrow)-ROW(PLE.firstrow))),0,IF(OFFSET(PLE!$G$14,$M597,CL$13)="",10^12,OFFSET(PLE!$G$14,$M597,CL$13))))</f>
        <v>1000000000000</v>
      </c>
      <c r="CM597" s="182">
        <f ca="1">IF($D597&lt;&gt;"Serviço",0,IF(OR(AND(AUTOEVENTO="Manual",$M597=1),$M597&gt;(ROW(PLE.lastrow)-ROW(PLE.firstrow))),0,IF(OFFSET(PLE!$G$14,$M597,CM$13)="",10^12,OFFSET(PLE!$G$14,$M597,CM$13))))</f>
        <v>1000000000000</v>
      </c>
    </row>
    <row r="598" spans="1:91" ht="25.5" x14ac:dyDescent="0.2">
      <c r="A598" s="7" t="str">
        <f t="shared" ca="1" si="18"/>
        <v>580</v>
      </c>
      <c r="B598" s="7" t="str">
        <f ca="1">OFFSET(ORÇAMENTO!C$15,ROW(B598)-ROW(B$15),0)</f>
        <v>S</v>
      </c>
      <c r="C598" s="7" t="str">
        <f ca="1">OFFSET(ORÇAMENTO!L$15,ROW(C598)-ROW(C$15),0)</f>
        <v/>
      </c>
      <c r="D598" s="118" t="str">
        <f ca="1">OFFSET(ORÇAMENTO!N$15,ROW(D598)-ROW(D$15),0)</f>
        <v>Serviço</v>
      </c>
      <c r="E598" s="119" t="str">
        <f ca="1">OFFSET(ORÇAMENTO!O$15,ROW(E598)-ROW(E$15),0)</f>
        <v>-</v>
      </c>
      <c r="F598" s="172" t="str">
        <f ca="1">OFFSET(ORÇAMENTO!R$15,ROW(F598)-ROW(F$15),0)</f>
        <v>(abra o arquivo 'Referência 06-2024.xlsm)</v>
      </c>
      <c r="G598" s="173" t="str">
        <f ca="1">IF($D598&lt;&gt;"Serviço","",OFFSET(ORÇAMENTO!S$15,ROW(G598)-ROW(G$15),0))</f>
        <v>-</v>
      </c>
      <c r="H598" s="124">
        <f ca="1">IF($D598&lt;&gt;"Serviço",0,IF(ACOMPANHAMENTO="BM",ROUND(OFFSET(ORÇAMENTO!AJ$15,ROW(H598)-ROW(H$15),0),15-13*ORÇAMENTO!$AF$7),SUMPRODUCT(($Q$12:$AI$12&lt;&gt;"")*ROUND($Q598:$AI598,15-13*ORÇAMENTO!$AF$7))))</f>
        <v>14</v>
      </c>
      <c r="I598" s="561" t="s">
        <v>1107</v>
      </c>
      <c r="K598" s="174"/>
      <c r="L598" s="175" t="s">
        <v>255</v>
      </c>
      <c r="M598" s="176">
        <f ca="1">IF($D598&lt;&gt;"Serviço","",IF(AUTOEVENTO="manual",$A598,IF(ISERROR(MATCH($A598,$A$15:OFFSET($A598,-1,0),0)),MAX($M$15:OFFSET(M598,-1,0))+1,INDEX($M$15:OFFSET(M598,-1,0),MATCH($A598,$A$15:OFFSET($A598,-1,0),0)))))</f>
        <v>61</v>
      </c>
      <c r="N598" s="177" t="str">
        <f ca="1">IF($D598&lt;&gt;"Serviço","",IF(AUTOEVENTO="Manual",IF($A598=0,"&lt;-- defina o número do agrupador",OFFSET(EVENTOS!$D$14,$A598,0)),OFFSET($F$15,$A598,0)))</f>
        <v>INSTALAÇÃO ELÉTRICA 110V - ILUMINAÇÃO</v>
      </c>
      <c r="O598" s="178"/>
      <c r="Q598" s="178">
        <v>14</v>
      </c>
      <c r="R598" s="179"/>
      <c r="S598" s="179"/>
      <c r="T598" s="179"/>
      <c r="U598" s="179"/>
      <c r="V598" s="179"/>
      <c r="W598" s="179"/>
      <c r="X598" s="179"/>
      <c r="Y598" s="179"/>
      <c r="Z598" s="180"/>
      <c r="AA598" s="179"/>
      <c r="AB598" s="179"/>
      <c r="AC598" s="179"/>
      <c r="AD598" s="179"/>
      <c r="AE598" s="179"/>
      <c r="AF598" s="179"/>
      <c r="AG598" s="179"/>
      <c r="AH598" s="180"/>
      <c r="AJ598" s="544">
        <f ca="1">IF(AND($D598="Serviço",AJ$12&lt;&gt;0,$H598&gt;0,OR(AUTOEVENTO&lt;&gt;"manual",$M598&lt;&gt;1)),
IF(Import.TipoArredondamento&lt;&gt;"TransfereGOV",
ROUND(OFFSET($P598,0,AJ$13),15-13*ORÇAMENTO!$AF$7)/$H598*OFFSET(ORÇAMENTO!$X$15,ROW(AJ598)-ROW(AJ$15),0),
ROUND(ROUND(OFFSET($P598,0,AJ$13),15-13*ORÇAMENTO!$AF$7)*OFFSET(ORÇAMENTO!$W$15,ROW(AJ598)-ROW(AJ$15),0),15-13*ORÇAMENTO!$AF$11)),0)</f>
        <v>0</v>
      </c>
      <c r="AK598" s="545">
        <f ca="1">IF(AND($D598="Serviço",AK$12&lt;&gt;0,$H598&gt;0,OR(AUTOEVENTO&lt;&gt;"manual",$M598&lt;&gt;1)),
IF(Import.TipoArredondamento&lt;&gt;"TransfereGOV",
ROUND(OFFSET($P598,0,AK$13),15-13*ORÇAMENTO!$AF$7)/$H598*OFFSET(ORÇAMENTO!$X$15,ROW(AK598)-ROW(AK$15),0),
ROUND(ROUND(OFFSET($P598,0,AK$13),15-13*ORÇAMENTO!$AF$7)*OFFSET(ORÇAMENTO!$W$15,ROW(AK598)-ROW(AK$15),0),15-13*ORÇAMENTO!$AF$11)),0)</f>
        <v>0</v>
      </c>
      <c r="AL598" s="545">
        <f ca="1">IF(AND($D598="Serviço",AL$12&lt;&gt;0,$H598&gt;0,OR(AUTOEVENTO&lt;&gt;"manual",$M598&lt;&gt;1)),
IF(Import.TipoArredondamento&lt;&gt;"TransfereGOV",
ROUND(OFFSET($P598,0,AL$13),15-13*ORÇAMENTO!$AF$7)/$H598*OFFSET(ORÇAMENTO!$X$15,ROW(AL598)-ROW(AL$15),0),
ROUND(ROUND(OFFSET($P598,0,AL$13),15-13*ORÇAMENTO!$AF$7)*OFFSET(ORÇAMENTO!$W$15,ROW(AL598)-ROW(AL$15),0),15-13*ORÇAMENTO!$AF$11)),0)</f>
        <v>0</v>
      </c>
      <c r="AM598" s="545">
        <f ca="1">IF(AND($D598="Serviço",AM$12&lt;&gt;0,$H598&gt;0,OR(AUTOEVENTO&lt;&gt;"manual",$M598&lt;&gt;1)),
IF(Import.TipoArredondamento&lt;&gt;"TransfereGOV",
ROUND(OFFSET($P598,0,AM$13),15-13*ORÇAMENTO!$AF$7)/$H598*OFFSET(ORÇAMENTO!$X$15,ROW(AM598)-ROW(AM$15),0),
ROUND(ROUND(OFFSET($P598,0,AM$13),15-13*ORÇAMENTO!$AF$7)*OFFSET(ORÇAMENTO!$W$15,ROW(AM598)-ROW(AM$15),0),15-13*ORÇAMENTO!$AF$11)),0)</f>
        <v>0</v>
      </c>
      <c r="AN598" s="545">
        <f ca="1">IF(AND($D598="Serviço",AN$12&lt;&gt;0,$H598&gt;0,OR(AUTOEVENTO&lt;&gt;"manual",$M598&lt;&gt;1)),
IF(Import.TipoArredondamento&lt;&gt;"TransfereGOV",
ROUND(OFFSET($P598,0,AN$13),15-13*ORÇAMENTO!$AF$7)/$H598*OFFSET(ORÇAMENTO!$X$15,ROW(AN598)-ROW(AN$15),0),
ROUND(ROUND(OFFSET($P598,0,AN$13),15-13*ORÇAMENTO!$AF$7)*OFFSET(ORÇAMENTO!$W$15,ROW(AN598)-ROW(AN$15),0),15-13*ORÇAMENTO!$AF$11)),0)</f>
        <v>0</v>
      </c>
      <c r="AO598" s="545">
        <f ca="1">IF(AND($D598="Serviço",AO$12&lt;&gt;0,$H598&gt;0,OR(AUTOEVENTO&lt;&gt;"manual",$M598&lt;&gt;1)),
IF(Import.TipoArredondamento&lt;&gt;"TransfereGOV",
ROUND(OFFSET($P598,0,AO$13),15-13*ORÇAMENTO!$AF$7)/$H598*OFFSET(ORÇAMENTO!$X$15,ROW(AO598)-ROW(AO$15),0),
ROUND(ROUND(OFFSET($P598,0,AO$13),15-13*ORÇAMENTO!$AF$7)*OFFSET(ORÇAMENTO!$W$15,ROW(AO598)-ROW(AO$15),0),15-13*ORÇAMENTO!$AF$11)),0)</f>
        <v>0</v>
      </c>
      <c r="AP598" s="545">
        <f ca="1">IF(AND($D598="Serviço",AP$12&lt;&gt;0,$H598&gt;0,OR(AUTOEVENTO&lt;&gt;"manual",$M598&lt;&gt;1)),
IF(Import.TipoArredondamento&lt;&gt;"TransfereGOV",
ROUND(OFFSET($P598,0,AP$13),15-13*ORÇAMENTO!$AF$7)/$H598*OFFSET(ORÇAMENTO!$X$15,ROW(AP598)-ROW(AP$15),0),
ROUND(ROUND(OFFSET($P598,0,AP$13),15-13*ORÇAMENTO!$AF$7)*OFFSET(ORÇAMENTO!$W$15,ROW(AP598)-ROW(AP$15),0),15-13*ORÇAMENTO!$AF$11)),0)</f>
        <v>0</v>
      </c>
      <c r="AQ598" s="545">
        <f ca="1">IF(AND($D598="Serviço",AQ$12&lt;&gt;0,$H598&gt;0,OR(AUTOEVENTO&lt;&gt;"manual",$M598&lt;&gt;1)),
IF(Import.TipoArredondamento&lt;&gt;"TransfereGOV",
ROUND(OFFSET($P598,0,AQ$13),15-13*ORÇAMENTO!$AF$7)/$H598*OFFSET(ORÇAMENTO!$X$15,ROW(AQ598)-ROW(AQ$15),0),
ROUND(ROUND(OFFSET($P598,0,AQ$13),15-13*ORÇAMENTO!$AF$7)*OFFSET(ORÇAMENTO!$W$15,ROW(AQ598)-ROW(AQ$15),0),15-13*ORÇAMENTO!$AF$11)),0)</f>
        <v>0</v>
      </c>
      <c r="AR598" s="545">
        <f ca="1">IF(AND($D598="Serviço",AR$12&lt;&gt;0,$H598&gt;0,OR(AUTOEVENTO&lt;&gt;"manual",$M598&lt;&gt;1)),
IF(Import.TipoArredondamento&lt;&gt;"TransfereGOV",
ROUND(OFFSET($P598,0,AR$13),15-13*ORÇAMENTO!$AF$7)/$H598*OFFSET(ORÇAMENTO!$X$15,ROW(AR598)-ROW(AR$15),0),
ROUND(ROUND(OFFSET($P598,0,AR$13),15-13*ORÇAMENTO!$AF$7)*OFFSET(ORÇAMENTO!$W$15,ROW(AR598)-ROW(AR$15),0),15-13*ORÇAMENTO!$AF$11)),0)</f>
        <v>0</v>
      </c>
      <c r="AS598" s="546">
        <f ca="1">IF(AND($D598="Serviço",AS$12&lt;&gt;0,$H598&gt;0,OR(AUTOEVENTO&lt;&gt;"manual",$M598&lt;&gt;1)),
IF(Import.TipoArredondamento&lt;&gt;"TransfereGOV",
ROUND(OFFSET($P598,0,AS$13),15-13*ORÇAMENTO!$AF$7)/$H598*OFFSET(ORÇAMENTO!$X$15,ROW(AS598)-ROW(AS$15),0),
ROUND(ROUND(OFFSET($P598,0,AS$13),15-13*ORÇAMENTO!$AF$7)*OFFSET(ORÇAMENTO!$W$15,ROW(AS598)-ROW(AS$15),0),15-13*ORÇAMENTO!$AF$11)),0)</f>
        <v>0</v>
      </c>
      <c r="AT598" s="545">
        <f ca="1">IF(AND($D598="Serviço",AT$12&lt;&gt;0,$H598&gt;0,OR(AUTOEVENTO&lt;&gt;"manual",$M598&lt;&gt;1)),
IF(Import.TipoArredondamento&lt;&gt;"TransfereGOV",
ROUND(OFFSET($P598,0,AT$13),15-13*ORÇAMENTO!$AF$7)/$H598*OFFSET(ORÇAMENTO!$X$15,ROW(AT598)-ROW(AT$15),0),
ROUND(ROUND(OFFSET($P598,0,AT$13),15-13*ORÇAMENTO!$AF$7)*OFFSET(ORÇAMENTO!$W$15,ROW(AT598)-ROW(AT$15),0),15-13*ORÇAMENTO!$AF$11)),0)</f>
        <v>0</v>
      </c>
      <c r="AU598" s="545">
        <f ca="1">IF(AND($D598="Serviço",AU$12&lt;&gt;0,$H598&gt;0,OR(AUTOEVENTO&lt;&gt;"manual",$M598&lt;&gt;1)),
IF(Import.TipoArredondamento&lt;&gt;"TransfereGOV",
ROUND(OFFSET($P598,0,AU$13),15-13*ORÇAMENTO!$AF$7)/$H598*OFFSET(ORÇAMENTO!$X$15,ROW(AU598)-ROW(AU$15),0),
ROUND(ROUND(OFFSET($P598,0,AU$13),15-13*ORÇAMENTO!$AF$7)*OFFSET(ORÇAMENTO!$W$15,ROW(AU598)-ROW(AU$15),0),15-13*ORÇAMENTO!$AF$11)),0)</f>
        <v>0</v>
      </c>
      <c r="AV598" s="545">
        <f ca="1">IF(AND($D598="Serviço",AV$12&lt;&gt;0,$H598&gt;0,OR(AUTOEVENTO&lt;&gt;"manual",$M598&lt;&gt;1)),
IF(Import.TipoArredondamento&lt;&gt;"TransfereGOV",
ROUND(OFFSET($P598,0,AV$13),15-13*ORÇAMENTO!$AF$7)/$H598*OFFSET(ORÇAMENTO!$X$15,ROW(AV598)-ROW(AV$15),0),
ROUND(ROUND(OFFSET($P598,0,AV$13),15-13*ORÇAMENTO!$AF$7)*OFFSET(ORÇAMENTO!$W$15,ROW(AV598)-ROW(AV$15),0),15-13*ORÇAMENTO!$AF$11)),0)</f>
        <v>0</v>
      </c>
      <c r="AW598" s="545">
        <f ca="1">IF(AND($D598="Serviço",AW$12&lt;&gt;0,$H598&gt;0,OR(AUTOEVENTO&lt;&gt;"manual",$M598&lt;&gt;1)),
IF(Import.TipoArredondamento&lt;&gt;"TransfereGOV",
ROUND(OFFSET($P598,0,AW$13),15-13*ORÇAMENTO!$AF$7)/$H598*OFFSET(ORÇAMENTO!$X$15,ROW(AW598)-ROW(AW$15),0),
ROUND(ROUND(OFFSET($P598,0,AW$13),15-13*ORÇAMENTO!$AF$7)*OFFSET(ORÇAMENTO!$W$15,ROW(AW598)-ROW(AW$15),0),15-13*ORÇAMENTO!$AF$11)),0)</f>
        <v>0</v>
      </c>
      <c r="AX598" s="545">
        <f ca="1">IF(AND($D598="Serviço",AX$12&lt;&gt;0,$H598&gt;0,OR(AUTOEVENTO&lt;&gt;"manual",$M598&lt;&gt;1)),
IF(Import.TipoArredondamento&lt;&gt;"TransfereGOV",
ROUND(OFFSET($P598,0,AX$13),15-13*ORÇAMENTO!$AF$7)/$H598*OFFSET(ORÇAMENTO!$X$15,ROW(AX598)-ROW(AX$15),0),
ROUND(ROUND(OFFSET($P598,0,AX$13),15-13*ORÇAMENTO!$AF$7)*OFFSET(ORÇAMENTO!$W$15,ROW(AX598)-ROW(AX$15),0),15-13*ORÇAMENTO!$AF$11)),0)</f>
        <v>0</v>
      </c>
      <c r="AY598" s="545">
        <f ca="1">IF(AND($D598="Serviço",AY$12&lt;&gt;0,$H598&gt;0,OR(AUTOEVENTO&lt;&gt;"manual",$M598&lt;&gt;1)),
IF(Import.TipoArredondamento&lt;&gt;"TransfereGOV",
ROUND(OFFSET($P598,0,AY$13),15-13*ORÇAMENTO!$AF$7)/$H598*OFFSET(ORÇAMENTO!$X$15,ROW(AY598)-ROW(AY$15),0),
ROUND(ROUND(OFFSET($P598,0,AY$13),15-13*ORÇAMENTO!$AF$7)*OFFSET(ORÇAMENTO!$W$15,ROW(AY598)-ROW(AY$15),0),15-13*ORÇAMENTO!$AF$11)),0)</f>
        <v>0</v>
      </c>
      <c r="AZ598" s="545">
        <f ca="1">IF(AND($D598="Serviço",AZ$12&lt;&gt;0,$H598&gt;0,OR(AUTOEVENTO&lt;&gt;"manual",$M598&lt;&gt;1)),
IF(Import.TipoArredondamento&lt;&gt;"TransfereGOV",
ROUND(OFFSET($P598,0,AZ$13),15-13*ORÇAMENTO!$AF$7)/$H598*OFFSET(ORÇAMENTO!$X$15,ROW(AZ598)-ROW(AZ$15),0),
ROUND(ROUND(OFFSET($P598,0,AZ$13),15-13*ORÇAMENTO!$AF$7)*OFFSET(ORÇAMENTO!$W$15,ROW(AZ598)-ROW(AZ$15),0),15-13*ORÇAMENTO!$AF$11)),0)</f>
        <v>0</v>
      </c>
      <c r="BA598" s="546">
        <f ca="1">IF(AND($D598="Serviço",BA$12&lt;&gt;0,$H598&gt;0,OR(AUTOEVENTO&lt;&gt;"manual",$M598&lt;&gt;1)),
IF(Import.TipoArredondamento&lt;&gt;"TransfereGOV",
ROUND(OFFSET($P598,0,BA$13),15-13*ORÇAMENTO!$AF$7)/$H598*OFFSET(ORÇAMENTO!$X$15,ROW(BA598)-ROW(BA$15),0),
ROUND(ROUND(OFFSET($P598,0,BA$13),15-13*ORÇAMENTO!$AF$7)*OFFSET(ORÇAMENTO!$W$15,ROW(BA598)-ROW(BA$15),0),15-13*ORÇAMENTO!$AF$11)),0)</f>
        <v>0</v>
      </c>
      <c r="BC598" s="181">
        <f ca="1">IF($D598&lt;&gt;"Serviço",0,IF(AND(AUTOEVENTO="Manual",$M598=1),0,IF(OFFSET(CRONOPLE!$F$14,$M598,BC$13)="",10^12,OFFSET(CRONOPLE!$F$14,$M598,BC$13))))</f>
        <v>11</v>
      </c>
      <c r="BD598" s="181">
        <f ca="1">IF($D598&lt;&gt;"Serviço",0,IF(AND(AUTOEVENTO="Manual",$M598=1),0,IF(OFFSET(CRONOPLE!$F$14,$M598,BD$13)="",10^12,OFFSET(CRONOPLE!$F$14,$M598,BD$13))))</f>
        <v>1000000000000</v>
      </c>
      <c r="BE598" s="181">
        <f ca="1">IF($D598&lt;&gt;"Serviço",0,IF(AND(AUTOEVENTO="Manual",$M598=1),0,IF(OFFSET(CRONOPLE!$F$14,$M598,BE$13)="",10^12,OFFSET(CRONOPLE!$F$14,$M598,BE$13))))</f>
        <v>1000000000000</v>
      </c>
      <c r="BF598" s="181">
        <f ca="1">IF($D598&lt;&gt;"Serviço",0,IF(AND(AUTOEVENTO="Manual",$M598=1),0,IF(OFFSET(CRONOPLE!$F$14,$M598,BF$13)="",10^12,OFFSET(CRONOPLE!$F$14,$M598,BF$13))))</f>
        <v>1000000000000</v>
      </c>
      <c r="BG598" s="181">
        <f ca="1">IF($D598&lt;&gt;"Serviço",0,IF(AND(AUTOEVENTO="Manual",$M598=1),0,IF(OFFSET(CRONOPLE!$F$14,$M598,BG$13)="",10^12,OFFSET(CRONOPLE!$F$14,$M598,BG$13))))</f>
        <v>1000000000000</v>
      </c>
      <c r="BH598" s="181">
        <f ca="1">IF($D598&lt;&gt;"Serviço",0,IF(AND(AUTOEVENTO="Manual",$M598=1),0,IF(OFFSET(CRONOPLE!$F$14,$M598,BH$13)="",10^12,OFFSET(CRONOPLE!$F$14,$M598,BH$13))))</f>
        <v>1000000000000</v>
      </c>
      <c r="BI598" s="181">
        <f ca="1">IF($D598&lt;&gt;"Serviço",0,IF(AND(AUTOEVENTO="Manual",$M598=1),0,IF(OFFSET(CRONOPLE!$F$14,$M598,BI$13)="",10^12,OFFSET(CRONOPLE!$F$14,$M598,BI$13))))</f>
        <v>1000000000000</v>
      </c>
      <c r="BJ598" s="181">
        <f ca="1">IF($D598&lt;&gt;"Serviço",0,IF(AND(AUTOEVENTO="Manual",$M598=1),0,IF(OFFSET(CRONOPLE!$F$14,$M598,BJ$13)="",10^12,OFFSET(CRONOPLE!$F$14,$M598,BJ$13))))</f>
        <v>1000000000000</v>
      </c>
      <c r="BK598" s="181">
        <f ca="1">IF($D598&lt;&gt;"Serviço",0,IF(AND(AUTOEVENTO="Manual",$M598=1),0,IF(OFFSET(CRONOPLE!$F$14,$M598,BK$13)="",10^12,OFFSET(CRONOPLE!$F$14,$M598,BK$13))))</f>
        <v>1000000000000</v>
      </c>
      <c r="BL598" s="181">
        <f ca="1">IF($D598&lt;&gt;"Serviço",0,IF(AND(AUTOEVENTO="Manual",$M598=1),0,IF(OFFSET(CRONOPLE!$F$14,$M598,BL$13)="",10^12,OFFSET(CRONOPLE!$F$14,$M598,BL$13))))</f>
        <v>1000000000000</v>
      </c>
      <c r="BM598" s="181">
        <f ca="1">IF($D598&lt;&gt;"Serviço",0,IF(AND(AUTOEVENTO="Manual",$M598=1),0,IF(OFFSET(CRONOPLE!$F$14,$M598,BM$13)="",10^12,OFFSET(CRONOPLE!$F$14,$M598,BM$13))))</f>
        <v>1000000000000</v>
      </c>
      <c r="BN598" s="181">
        <f ca="1">IF($D598&lt;&gt;"Serviço",0,IF(AND(AUTOEVENTO="Manual",$M598=1),0,IF(OFFSET(CRONOPLE!$F$14,$M598,BN$13)="",10^12,OFFSET(CRONOPLE!$F$14,$M598,BN$13))))</f>
        <v>1000000000000</v>
      </c>
      <c r="BO598" s="181">
        <f ca="1">IF($D598&lt;&gt;"Serviço",0,IF(AND(AUTOEVENTO="Manual",$M598=1),0,IF(OFFSET(CRONOPLE!$F$14,$M598,BO$13)="",10^12,OFFSET(CRONOPLE!$F$14,$M598,BO$13))))</f>
        <v>1000000000000</v>
      </c>
      <c r="BP598" s="181">
        <f ca="1">IF($D598&lt;&gt;"Serviço",0,IF(AND(AUTOEVENTO="Manual",$M598=1),0,IF(OFFSET(CRONOPLE!$F$14,$M598,BP$13)="",10^12,OFFSET(CRONOPLE!$F$14,$M598,BP$13))))</f>
        <v>1000000000000</v>
      </c>
      <c r="BQ598" s="181">
        <f ca="1">IF($D598&lt;&gt;"Serviço",0,IF(AND(AUTOEVENTO="Manual",$M598=1),0,IF(OFFSET(CRONOPLE!$F$14,$M598,BQ$13)="",10^12,OFFSET(CRONOPLE!$F$14,$M598,BQ$13))))</f>
        <v>1000000000000</v>
      </c>
      <c r="BR598" s="181">
        <f ca="1">IF($D598&lt;&gt;"Serviço",0,IF(AND(AUTOEVENTO="Manual",$M598=1),0,IF(OFFSET(CRONOPLE!$F$14,$M598,BR$13)="",10^12,OFFSET(CRONOPLE!$F$14,$M598,BR$13))))</f>
        <v>1000000000000</v>
      </c>
      <c r="BS598" s="181">
        <f ca="1">IF($D598&lt;&gt;"Serviço",0,IF(AND(AUTOEVENTO="Manual",$M598=1),0,IF(OFFSET(CRONOPLE!$F$14,$M598,BS$13)="",10^12,OFFSET(CRONOPLE!$F$14,$M598,BS$13))))</f>
        <v>1000000000000</v>
      </c>
      <c r="BT598" s="181">
        <f ca="1">IF($D598&lt;&gt;"Serviço",0,IF(AND(AUTOEVENTO="Manual",$M598=1),0,IF(OFFSET(CRONOPLE!$F$14,$M598,BT$13)="",10^12,OFFSET(CRONOPLE!$F$14,$M598,BT$13))))</f>
        <v>1000000000000</v>
      </c>
      <c r="BV598" s="182">
        <f ca="1">IF($D598&lt;&gt;"Serviço",0,IF(OR(AND(AUTOEVENTO="Manual",$M598=1),$M598&gt;(ROW(PLE.lastrow)-ROW(PLE.firstrow))),0,IF(OFFSET(PLE!$G$14,$M598,BV$13)="",10^12,OFFSET(PLE!$G$14,$M598,BV$13))))</f>
        <v>1000000000000</v>
      </c>
      <c r="BW598" s="182">
        <f ca="1">IF($D598&lt;&gt;"Serviço",0,IF(OR(AND(AUTOEVENTO="Manual",$M598=1),$M598&gt;(ROW(PLE.lastrow)-ROW(PLE.firstrow))),0,IF(OFFSET(PLE!$G$14,$M598,BW$13)="",10^12,OFFSET(PLE!$G$14,$M598,BW$13))))</f>
        <v>1000000000000</v>
      </c>
      <c r="BX598" s="182">
        <f ca="1">IF($D598&lt;&gt;"Serviço",0,IF(OR(AND(AUTOEVENTO="Manual",$M598=1),$M598&gt;(ROW(PLE.lastrow)-ROW(PLE.firstrow))),0,IF(OFFSET(PLE!$G$14,$M598,BX$13)="",10^12,OFFSET(PLE!$G$14,$M598,BX$13))))</f>
        <v>1000000000000</v>
      </c>
      <c r="BY598" s="182">
        <f ca="1">IF($D598&lt;&gt;"Serviço",0,IF(OR(AND(AUTOEVENTO="Manual",$M598=1),$M598&gt;(ROW(PLE.lastrow)-ROW(PLE.firstrow))),0,IF(OFFSET(PLE!$G$14,$M598,BY$13)="",10^12,OFFSET(PLE!$G$14,$M598,BY$13))))</f>
        <v>1000000000000</v>
      </c>
      <c r="BZ598" s="182">
        <f ca="1">IF($D598&lt;&gt;"Serviço",0,IF(OR(AND(AUTOEVENTO="Manual",$M598=1),$M598&gt;(ROW(PLE.lastrow)-ROW(PLE.firstrow))),0,IF(OFFSET(PLE!$G$14,$M598,BZ$13)="",10^12,OFFSET(PLE!$G$14,$M598,BZ$13))))</f>
        <v>1000000000000</v>
      </c>
      <c r="CA598" s="182">
        <f ca="1">IF($D598&lt;&gt;"Serviço",0,IF(OR(AND(AUTOEVENTO="Manual",$M598=1),$M598&gt;(ROW(PLE.lastrow)-ROW(PLE.firstrow))),0,IF(OFFSET(PLE!$G$14,$M598,CA$13)="",10^12,OFFSET(PLE!$G$14,$M598,CA$13))))</f>
        <v>1000000000000</v>
      </c>
      <c r="CB598" s="182">
        <f ca="1">IF($D598&lt;&gt;"Serviço",0,IF(OR(AND(AUTOEVENTO="Manual",$M598=1),$M598&gt;(ROW(PLE.lastrow)-ROW(PLE.firstrow))),0,IF(OFFSET(PLE!$G$14,$M598,CB$13)="",10^12,OFFSET(PLE!$G$14,$M598,CB$13))))</f>
        <v>1000000000000</v>
      </c>
      <c r="CC598" s="182">
        <f ca="1">IF($D598&lt;&gt;"Serviço",0,IF(OR(AND(AUTOEVENTO="Manual",$M598=1),$M598&gt;(ROW(PLE.lastrow)-ROW(PLE.firstrow))),0,IF(OFFSET(PLE!$G$14,$M598,CC$13)="",10^12,OFFSET(PLE!$G$14,$M598,CC$13))))</f>
        <v>1000000000000</v>
      </c>
      <c r="CD598" s="182">
        <f ca="1">IF($D598&lt;&gt;"Serviço",0,IF(OR(AND(AUTOEVENTO="Manual",$M598=1),$M598&gt;(ROW(PLE.lastrow)-ROW(PLE.firstrow))),0,IF(OFFSET(PLE!$G$14,$M598,CD$13)="",10^12,OFFSET(PLE!$G$14,$M598,CD$13))))</f>
        <v>1000000000000</v>
      </c>
      <c r="CE598" s="182">
        <f ca="1">IF($D598&lt;&gt;"Serviço",0,IF(OR(AND(AUTOEVENTO="Manual",$M598=1),$M598&gt;(ROW(PLE.lastrow)-ROW(PLE.firstrow))),0,IF(OFFSET(PLE!$G$14,$M598,CE$13)="",10^12,OFFSET(PLE!$G$14,$M598,CE$13))))</f>
        <v>1000000000000</v>
      </c>
      <c r="CF598" s="182">
        <f ca="1">IF($D598&lt;&gt;"Serviço",0,IF(OR(AND(AUTOEVENTO="Manual",$M598=1),$M598&gt;(ROW(PLE.lastrow)-ROW(PLE.firstrow))),0,IF(OFFSET(PLE!$G$14,$M598,CF$13)="",10^12,OFFSET(PLE!$G$14,$M598,CF$13))))</f>
        <v>1000000000000</v>
      </c>
      <c r="CG598" s="182">
        <f ca="1">IF($D598&lt;&gt;"Serviço",0,IF(OR(AND(AUTOEVENTO="Manual",$M598=1),$M598&gt;(ROW(PLE.lastrow)-ROW(PLE.firstrow))),0,IF(OFFSET(PLE!$G$14,$M598,CG$13)="",10^12,OFFSET(PLE!$G$14,$M598,CG$13))))</f>
        <v>1000000000000</v>
      </c>
      <c r="CH598" s="182">
        <f ca="1">IF($D598&lt;&gt;"Serviço",0,IF(OR(AND(AUTOEVENTO="Manual",$M598=1),$M598&gt;(ROW(PLE.lastrow)-ROW(PLE.firstrow))),0,IF(OFFSET(PLE!$G$14,$M598,CH$13)="",10^12,OFFSET(PLE!$G$14,$M598,CH$13))))</f>
        <v>1000000000000</v>
      </c>
      <c r="CI598" s="182">
        <f ca="1">IF($D598&lt;&gt;"Serviço",0,IF(OR(AND(AUTOEVENTO="Manual",$M598=1),$M598&gt;(ROW(PLE.lastrow)-ROW(PLE.firstrow))),0,IF(OFFSET(PLE!$G$14,$M598,CI$13)="",10^12,OFFSET(PLE!$G$14,$M598,CI$13))))</f>
        <v>1000000000000</v>
      </c>
      <c r="CJ598" s="182">
        <f ca="1">IF($D598&lt;&gt;"Serviço",0,IF(OR(AND(AUTOEVENTO="Manual",$M598=1),$M598&gt;(ROW(PLE.lastrow)-ROW(PLE.firstrow))),0,IF(OFFSET(PLE!$G$14,$M598,CJ$13)="",10^12,OFFSET(PLE!$G$14,$M598,CJ$13))))</f>
        <v>1000000000000</v>
      </c>
      <c r="CK598" s="182">
        <f ca="1">IF($D598&lt;&gt;"Serviço",0,IF(OR(AND(AUTOEVENTO="Manual",$M598=1),$M598&gt;(ROW(PLE.lastrow)-ROW(PLE.firstrow))),0,IF(OFFSET(PLE!$G$14,$M598,CK$13)="",10^12,OFFSET(PLE!$G$14,$M598,CK$13))))</f>
        <v>1000000000000</v>
      </c>
      <c r="CL598" s="182">
        <f ca="1">IF($D598&lt;&gt;"Serviço",0,IF(OR(AND(AUTOEVENTO="Manual",$M598=1),$M598&gt;(ROW(PLE.lastrow)-ROW(PLE.firstrow))),0,IF(OFFSET(PLE!$G$14,$M598,CL$13)="",10^12,OFFSET(PLE!$G$14,$M598,CL$13))))</f>
        <v>1000000000000</v>
      </c>
      <c r="CM598" s="182">
        <f ca="1">IF($D598&lt;&gt;"Serviço",0,IF(OR(AND(AUTOEVENTO="Manual",$M598=1),$M598&gt;(ROW(PLE.lastrow)-ROW(PLE.firstrow))),0,IF(OFFSET(PLE!$G$14,$M598,CM$13)="",10^12,OFFSET(PLE!$G$14,$M598,CM$13))))</f>
        <v>1000000000000</v>
      </c>
    </row>
    <row r="599" spans="1:91" ht="38.25" x14ac:dyDescent="0.2">
      <c r="A599" s="7" t="str">
        <f t="shared" ca="1" si="18"/>
        <v>580</v>
      </c>
      <c r="B599" s="7" t="str">
        <f ca="1">OFFSET(ORÇAMENTO!C$15,ROW(B599)-ROW(B$15),0)</f>
        <v>S</v>
      </c>
      <c r="C599" s="7" t="str">
        <f ca="1">OFFSET(ORÇAMENTO!L$15,ROW(C599)-ROW(C$15),0)</f>
        <v/>
      </c>
      <c r="D599" s="118" t="str">
        <f ca="1">OFFSET(ORÇAMENTO!N$15,ROW(D599)-ROW(D$15),0)</f>
        <v>Serviço</v>
      </c>
      <c r="E599" s="119" t="str">
        <f ca="1">OFFSET(ORÇAMENTO!O$15,ROW(E599)-ROW(E$15),0)</f>
        <v>-</v>
      </c>
      <c r="F599" s="172" t="str">
        <f ca="1">OFFSET(ORÇAMENTO!R$15,ROW(F599)-ROW(F$15),0)</f>
        <v>(abra o arquivo 'Referência 06-2024.xlsm)</v>
      </c>
      <c r="G599" s="173" t="str">
        <f ca="1">IF($D599&lt;&gt;"Serviço","",OFFSET(ORÇAMENTO!S$15,ROW(G599)-ROW(G$15),0))</f>
        <v>-</v>
      </c>
      <c r="H599" s="124">
        <f ca="1">IF($D599&lt;&gt;"Serviço",0,IF(ACOMPANHAMENTO="BM",ROUND(OFFSET(ORÇAMENTO!AJ$15,ROW(H599)-ROW(H$15),0),15-13*ORÇAMENTO!$AF$7),SUMPRODUCT(($Q$12:$AI$12&lt;&gt;"")*ROUND($Q599:$AI599,15-13*ORÇAMENTO!$AF$7))))</f>
        <v>40</v>
      </c>
      <c r="I599" s="561" t="s">
        <v>1107</v>
      </c>
      <c r="K599" s="174"/>
      <c r="L599" s="175" t="s">
        <v>255</v>
      </c>
      <c r="M599" s="176">
        <f ca="1">IF($D599&lt;&gt;"Serviço","",IF(AUTOEVENTO="manual",$A599,IF(ISERROR(MATCH($A599,$A$15:OFFSET($A599,-1,0),0)),MAX($M$15:OFFSET(M599,-1,0))+1,INDEX($M$15:OFFSET(M599,-1,0),MATCH($A599,$A$15:OFFSET($A599,-1,0),0)))))</f>
        <v>61</v>
      </c>
      <c r="N599" s="177" t="str">
        <f ca="1">IF($D599&lt;&gt;"Serviço","",IF(AUTOEVENTO="Manual",IF($A599=0,"&lt;-- defina o número do agrupador",OFFSET(EVENTOS!$D$14,$A599,0)),OFFSET($F$15,$A599,0)))</f>
        <v>INSTALAÇÃO ELÉTRICA 110V - ILUMINAÇÃO</v>
      </c>
      <c r="O599" s="178"/>
      <c r="Q599" s="178">
        <v>40</v>
      </c>
      <c r="R599" s="179"/>
      <c r="S599" s="179"/>
      <c r="T599" s="179"/>
      <c r="U599" s="179"/>
      <c r="V599" s="179"/>
      <c r="W599" s="179"/>
      <c r="X599" s="179"/>
      <c r="Y599" s="179"/>
      <c r="Z599" s="180"/>
      <c r="AA599" s="179"/>
      <c r="AB599" s="179"/>
      <c r="AC599" s="179"/>
      <c r="AD599" s="179"/>
      <c r="AE599" s="179"/>
      <c r="AF599" s="179"/>
      <c r="AG599" s="179"/>
      <c r="AH599" s="180"/>
      <c r="AJ599" s="544">
        <f ca="1">IF(AND($D599="Serviço",AJ$12&lt;&gt;0,$H599&gt;0,OR(AUTOEVENTO&lt;&gt;"manual",$M599&lt;&gt;1)),
IF(Import.TipoArredondamento&lt;&gt;"TransfereGOV",
ROUND(OFFSET($P599,0,AJ$13),15-13*ORÇAMENTO!$AF$7)/$H599*OFFSET(ORÇAMENTO!$X$15,ROW(AJ599)-ROW(AJ$15),0),
ROUND(ROUND(OFFSET($P599,0,AJ$13),15-13*ORÇAMENTO!$AF$7)*OFFSET(ORÇAMENTO!$W$15,ROW(AJ599)-ROW(AJ$15),0),15-13*ORÇAMENTO!$AF$11)),0)</f>
        <v>0</v>
      </c>
      <c r="AK599" s="545">
        <f ca="1">IF(AND($D599="Serviço",AK$12&lt;&gt;0,$H599&gt;0,OR(AUTOEVENTO&lt;&gt;"manual",$M599&lt;&gt;1)),
IF(Import.TipoArredondamento&lt;&gt;"TransfereGOV",
ROUND(OFFSET($P599,0,AK$13),15-13*ORÇAMENTO!$AF$7)/$H599*OFFSET(ORÇAMENTO!$X$15,ROW(AK599)-ROW(AK$15),0),
ROUND(ROUND(OFFSET($P599,0,AK$13),15-13*ORÇAMENTO!$AF$7)*OFFSET(ORÇAMENTO!$W$15,ROW(AK599)-ROW(AK$15),0),15-13*ORÇAMENTO!$AF$11)),0)</f>
        <v>0</v>
      </c>
      <c r="AL599" s="545">
        <f ca="1">IF(AND($D599="Serviço",AL$12&lt;&gt;0,$H599&gt;0,OR(AUTOEVENTO&lt;&gt;"manual",$M599&lt;&gt;1)),
IF(Import.TipoArredondamento&lt;&gt;"TransfereGOV",
ROUND(OFFSET($P599,0,AL$13),15-13*ORÇAMENTO!$AF$7)/$H599*OFFSET(ORÇAMENTO!$X$15,ROW(AL599)-ROW(AL$15),0),
ROUND(ROUND(OFFSET($P599,0,AL$13),15-13*ORÇAMENTO!$AF$7)*OFFSET(ORÇAMENTO!$W$15,ROW(AL599)-ROW(AL$15),0),15-13*ORÇAMENTO!$AF$11)),0)</f>
        <v>0</v>
      </c>
      <c r="AM599" s="545">
        <f ca="1">IF(AND($D599="Serviço",AM$12&lt;&gt;0,$H599&gt;0,OR(AUTOEVENTO&lt;&gt;"manual",$M599&lt;&gt;1)),
IF(Import.TipoArredondamento&lt;&gt;"TransfereGOV",
ROUND(OFFSET($P599,0,AM$13),15-13*ORÇAMENTO!$AF$7)/$H599*OFFSET(ORÇAMENTO!$X$15,ROW(AM599)-ROW(AM$15),0),
ROUND(ROUND(OFFSET($P599,0,AM$13),15-13*ORÇAMENTO!$AF$7)*OFFSET(ORÇAMENTO!$W$15,ROW(AM599)-ROW(AM$15),0),15-13*ORÇAMENTO!$AF$11)),0)</f>
        <v>0</v>
      </c>
      <c r="AN599" s="545">
        <f ca="1">IF(AND($D599="Serviço",AN$12&lt;&gt;0,$H599&gt;0,OR(AUTOEVENTO&lt;&gt;"manual",$M599&lt;&gt;1)),
IF(Import.TipoArredondamento&lt;&gt;"TransfereGOV",
ROUND(OFFSET($P599,0,AN$13),15-13*ORÇAMENTO!$AF$7)/$H599*OFFSET(ORÇAMENTO!$X$15,ROW(AN599)-ROW(AN$15),0),
ROUND(ROUND(OFFSET($P599,0,AN$13),15-13*ORÇAMENTO!$AF$7)*OFFSET(ORÇAMENTO!$W$15,ROW(AN599)-ROW(AN$15),0),15-13*ORÇAMENTO!$AF$11)),0)</f>
        <v>0</v>
      </c>
      <c r="AO599" s="545">
        <f ca="1">IF(AND($D599="Serviço",AO$12&lt;&gt;0,$H599&gt;0,OR(AUTOEVENTO&lt;&gt;"manual",$M599&lt;&gt;1)),
IF(Import.TipoArredondamento&lt;&gt;"TransfereGOV",
ROUND(OFFSET($P599,0,AO$13),15-13*ORÇAMENTO!$AF$7)/$H599*OFFSET(ORÇAMENTO!$X$15,ROW(AO599)-ROW(AO$15),0),
ROUND(ROUND(OFFSET($P599,0,AO$13),15-13*ORÇAMENTO!$AF$7)*OFFSET(ORÇAMENTO!$W$15,ROW(AO599)-ROW(AO$15),0),15-13*ORÇAMENTO!$AF$11)),0)</f>
        <v>0</v>
      </c>
      <c r="AP599" s="545">
        <f ca="1">IF(AND($D599="Serviço",AP$12&lt;&gt;0,$H599&gt;0,OR(AUTOEVENTO&lt;&gt;"manual",$M599&lt;&gt;1)),
IF(Import.TipoArredondamento&lt;&gt;"TransfereGOV",
ROUND(OFFSET($P599,0,AP$13),15-13*ORÇAMENTO!$AF$7)/$H599*OFFSET(ORÇAMENTO!$X$15,ROW(AP599)-ROW(AP$15),0),
ROUND(ROUND(OFFSET($P599,0,AP$13),15-13*ORÇAMENTO!$AF$7)*OFFSET(ORÇAMENTO!$W$15,ROW(AP599)-ROW(AP$15),0),15-13*ORÇAMENTO!$AF$11)),0)</f>
        <v>0</v>
      </c>
      <c r="AQ599" s="545">
        <f ca="1">IF(AND($D599="Serviço",AQ$12&lt;&gt;0,$H599&gt;0,OR(AUTOEVENTO&lt;&gt;"manual",$M599&lt;&gt;1)),
IF(Import.TipoArredondamento&lt;&gt;"TransfereGOV",
ROUND(OFFSET($P599,0,AQ$13),15-13*ORÇAMENTO!$AF$7)/$H599*OFFSET(ORÇAMENTO!$X$15,ROW(AQ599)-ROW(AQ$15),0),
ROUND(ROUND(OFFSET($P599,0,AQ$13),15-13*ORÇAMENTO!$AF$7)*OFFSET(ORÇAMENTO!$W$15,ROW(AQ599)-ROW(AQ$15),0),15-13*ORÇAMENTO!$AF$11)),0)</f>
        <v>0</v>
      </c>
      <c r="AR599" s="545">
        <f ca="1">IF(AND($D599="Serviço",AR$12&lt;&gt;0,$H599&gt;0,OR(AUTOEVENTO&lt;&gt;"manual",$M599&lt;&gt;1)),
IF(Import.TipoArredondamento&lt;&gt;"TransfereGOV",
ROUND(OFFSET($P599,0,AR$13),15-13*ORÇAMENTO!$AF$7)/$H599*OFFSET(ORÇAMENTO!$X$15,ROW(AR599)-ROW(AR$15),0),
ROUND(ROUND(OFFSET($P599,0,AR$13),15-13*ORÇAMENTO!$AF$7)*OFFSET(ORÇAMENTO!$W$15,ROW(AR599)-ROW(AR$15),0),15-13*ORÇAMENTO!$AF$11)),0)</f>
        <v>0</v>
      </c>
      <c r="AS599" s="546">
        <f ca="1">IF(AND($D599="Serviço",AS$12&lt;&gt;0,$H599&gt;0,OR(AUTOEVENTO&lt;&gt;"manual",$M599&lt;&gt;1)),
IF(Import.TipoArredondamento&lt;&gt;"TransfereGOV",
ROUND(OFFSET($P599,0,AS$13),15-13*ORÇAMENTO!$AF$7)/$H599*OFFSET(ORÇAMENTO!$X$15,ROW(AS599)-ROW(AS$15),0),
ROUND(ROUND(OFFSET($P599,0,AS$13),15-13*ORÇAMENTO!$AF$7)*OFFSET(ORÇAMENTO!$W$15,ROW(AS599)-ROW(AS$15),0),15-13*ORÇAMENTO!$AF$11)),0)</f>
        <v>0</v>
      </c>
      <c r="AT599" s="545">
        <f ca="1">IF(AND($D599="Serviço",AT$12&lt;&gt;0,$H599&gt;0,OR(AUTOEVENTO&lt;&gt;"manual",$M599&lt;&gt;1)),
IF(Import.TipoArredondamento&lt;&gt;"TransfereGOV",
ROUND(OFFSET($P599,0,AT$13),15-13*ORÇAMENTO!$AF$7)/$H599*OFFSET(ORÇAMENTO!$X$15,ROW(AT599)-ROW(AT$15),0),
ROUND(ROUND(OFFSET($P599,0,AT$13),15-13*ORÇAMENTO!$AF$7)*OFFSET(ORÇAMENTO!$W$15,ROW(AT599)-ROW(AT$15),0),15-13*ORÇAMENTO!$AF$11)),0)</f>
        <v>0</v>
      </c>
      <c r="AU599" s="545">
        <f ca="1">IF(AND($D599="Serviço",AU$12&lt;&gt;0,$H599&gt;0,OR(AUTOEVENTO&lt;&gt;"manual",$M599&lt;&gt;1)),
IF(Import.TipoArredondamento&lt;&gt;"TransfereGOV",
ROUND(OFFSET($P599,0,AU$13),15-13*ORÇAMENTO!$AF$7)/$H599*OFFSET(ORÇAMENTO!$X$15,ROW(AU599)-ROW(AU$15),0),
ROUND(ROUND(OFFSET($P599,0,AU$13),15-13*ORÇAMENTO!$AF$7)*OFFSET(ORÇAMENTO!$W$15,ROW(AU599)-ROW(AU$15),0),15-13*ORÇAMENTO!$AF$11)),0)</f>
        <v>0</v>
      </c>
      <c r="AV599" s="545">
        <f ca="1">IF(AND($D599="Serviço",AV$12&lt;&gt;0,$H599&gt;0,OR(AUTOEVENTO&lt;&gt;"manual",$M599&lt;&gt;1)),
IF(Import.TipoArredondamento&lt;&gt;"TransfereGOV",
ROUND(OFFSET($P599,0,AV$13),15-13*ORÇAMENTO!$AF$7)/$H599*OFFSET(ORÇAMENTO!$X$15,ROW(AV599)-ROW(AV$15),0),
ROUND(ROUND(OFFSET($P599,0,AV$13),15-13*ORÇAMENTO!$AF$7)*OFFSET(ORÇAMENTO!$W$15,ROW(AV599)-ROW(AV$15),0),15-13*ORÇAMENTO!$AF$11)),0)</f>
        <v>0</v>
      </c>
      <c r="AW599" s="545">
        <f ca="1">IF(AND($D599="Serviço",AW$12&lt;&gt;0,$H599&gt;0,OR(AUTOEVENTO&lt;&gt;"manual",$M599&lt;&gt;1)),
IF(Import.TipoArredondamento&lt;&gt;"TransfereGOV",
ROUND(OFFSET($P599,0,AW$13),15-13*ORÇAMENTO!$AF$7)/$H599*OFFSET(ORÇAMENTO!$X$15,ROW(AW599)-ROW(AW$15),0),
ROUND(ROUND(OFFSET($P599,0,AW$13),15-13*ORÇAMENTO!$AF$7)*OFFSET(ORÇAMENTO!$W$15,ROW(AW599)-ROW(AW$15),0),15-13*ORÇAMENTO!$AF$11)),0)</f>
        <v>0</v>
      </c>
      <c r="AX599" s="545">
        <f ca="1">IF(AND($D599="Serviço",AX$12&lt;&gt;0,$H599&gt;0,OR(AUTOEVENTO&lt;&gt;"manual",$M599&lt;&gt;1)),
IF(Import.TipoArredondamento&lt;&gt;"TransfereGOV",
ROUND(OFFSET($P599,0,AX$13),15-13*ORÇAMENTO!$AF$7)/$H599*OFFSET(ORÇAMENTO!$X$15,ROW(AX599)-ROW(AX$15),0),
ROUND(ROUND(OFFSET($P599,0,AX$13),15-13*ORÇAMENTO!$AF$7)*OFFSET(ORÇAMENTO!$W$15,ROW(AX599)-ROW(AX$15),0),15-13*ORÇAMENTO!$AF$11)),0)</f>
        <v>0</v>
      </c>
      <c r="AY599" s="545">
        <f ca="1">IF(AND($D599="Serviço",AY$12&lt;&gt;0,$H599&gt;0,OR(AUTOEVENTO&lt;&gt;"manual",$M599&lt;&gt;1)),
IF(Import.TipoArredondamento&lt;&gt;"TransfereGOV",
ROUND(OFFSET($P599,0,AY$13),15-13*ORÇAMENTO!$AF$7)/$H599*OFFSET(ORÇAMENTO!$X$15,ROW(AY599)-ROW(AY$15),0),
ROUND(ROUND(OFFSET($P599,0,AY$13),15-13*ORÇAMENTO!$AF$7)*OFFSET(ORÇAMENTO!$W$15,ROW(AY599)-ROW(AY$15),0),15-13*ORÇAMENTO!$AF$11)),0)</f>
        <v>0</v>
      </c>
      <c r="AZ599" s="545">
        <f ca="1">IF(AND($D599="Serviço",AZ$12&lt;&gt;0,$H599&gt;0,OR(AUTOEVENTO&lt;&gt;"manual",$M599&lt;&gt;1)),
IF(Import.TipoArredondamento&lt;&gt;"TransfereGOV",
ROUND(OFFSET($P599,0,AZ$13),15-13*ORÇAMENTO!$AF$7)/$H599*OFFSET(ORÇAMENTO!$X$15,ROW(AZ599)-ROW(AZ$15),0),
ROUND(ROUND(OFFSET($P599,0,AZ$13),15-13*ORÇAMENTO!$AF$7)*OFFSET(ORÇAMENTO!$W$15,ROW(AZ599)-ROW(AZ$15),0),15-13*ORÇAMENTO!$AF$11)),0)</f>
        <v>0</v>
      </c>
      <c r="BA599" s="546">
        <f ca="1">IF(AND($D599="Serviço",BA$12&lt;&gt;0,$H599&gt;0,OR(AUTOEVENTO&lt;&gt;"manual",$M599&lt;&gt;1)),
IF(Import.TipoArredondamento&lt;&gt;"TransfereGOV",
ROUND(OFFSET($P599,0,BA$13),15-13*ORÇAMENTO!$AF$7)/$H599*OFFSET(ORÇAMENTO!$X$15,ROW(BA599)-ROW(BA$15),0),
ROUND(ROUND(OFFSET($P599,0,BA$13),15-13*ORÇAMENTO!$AF$7)*OFFSET(ORÇAMENTO!$W$15,ROW(BA599)-ROW(BA$15),0),15-13*ORÇAMENTO!$AF$11)),0)</f>
        <v>0</v>
      </c>
      <c r="BC599" s="181">
        <f ca="1">IF($D599&lt;&gt;"Serviço",0,IF(AND(AUTOEVENTO="Manual",$M599=1),0,IF(OFFSET(CRONOPLE!$F$14,$M599,BC$13)="",10^12,OFFSET(CRONOPLE!$F$14,$M599,BC$13))))</f>
        <v>11</v>
      </c>
      <c r="BD599" s="181">
        <f ca="1">IF($D599&lt;&gt;"Serviço",0,IF(AND(AUTOEVENTO="Manual",$M599=1),0,IF(OFFSET(CRONOPLE!$F$14,$M599,BD$13)="",10^12,OFFSET(CRONOPLE!$F$14,$M599,BD$13))))</f>
        <v>1000000000000</v>
      </c>
      <c r="BE599" s="181">
        <f ca="1">IF($D599&lt;&gt;"Serviço",0,IF(AND(AUTOEVENTO="Manual",$M599=1),0,IF(OFFSET(CRONOPLE!$F$14,$M599,BE$13)="",10^12,OFFSET(CRONOPLE!$F$14,$M599,BE$13))))</f>
        <v>1000000000000</v>
      </c>
      <c r="BF599" s="181">
        <f ca="1">IF($D599&lt;&gt;"Serviço",0,IF(AND(AUTOEVENTO="Manual",$M599=1),0,IF(OFFSET(CRONOPLE!$F$14,$M599,BF$13)="",10^12,OFFSET(CRONOPLE!$F$14,$M599,BF$13))))</f>
        <v>1000000000000</v>
      </c>
      <c r="BG599" s="181">
        <f ca="1">IF($D599&lt;&gt;"Serviço",0,IF(AND(AUTOEVENTO="Manual",$M599=1),0,IF(OFFSET(CRONOPLE!$F$14,$M599,BG$13)="",10^12,OFFSET(CRONOPLE!$F$14,$M599,BG$13))))</f>
        <v>1000000000000</v>
      </c>
      <c r="BH599" s="181">
        <f ca="1">IF($D599&lt;&gt;"Serviço",0,IF(AND(AUTOEVENTO="Manual",$M599=1),0,IF(OFFSET(CRONOPLE!$F$14,$M599,BH$13)="",10^12,OFFSET(CRONOPLE!$F$14,$M599,BH$13))))</f>
        <v>1000000000000</v>
      </c>
      <c r="BI599" s="181">
        <f ca="1">IF($D599&lt;&gt;"Serviço",0,IF(AND(AUTOEVENTO="Manual",$M599=1),0,IF(OFFSET(CRONOPLE!$F$14,$M599,BI$13)="",10^12,OFFSET(CRONOPLE!$F$14,$M599,BI$13))))</f>
        <v>1000000000000</v>
      </c>
      <c r="BJ599" s="181">
        <f ca="1">IF($D599&lt;&gt;"Serviço",0,IF(AND(AUTOEVENTO="Manual",$M599=1),0,IF(OFFSET(CRONOPLE!$F$14,$M599,BJ$13)="",10^12,OFFSET(CRONOPLE!$F$14,$M599,BJ$13))))</f>
        <v>1000000000000</v>
      </c>
      <c r="BK599" s="181">
        <f ca="1">IF($D599&lt;&gt;"Serviço",0,IF(AND(AUTOEVENTO="Manual",$M599=1),0,IF(OFFSET(CRONOPLE!$F$14,$M599,BK$13)="",10^12,OFFSET(CRONOPLE!$F$14,$M599,BK$13))))</f>
        <v>1000000000000</v>
      </c>
      <c r="BL599" s="181">
        <f ca="1">IF($D599&lt;&gt;"Serviço",0,IF(AND(AUTOEVENTO="Manual",$M599=1),0,IF(OFFSET(CRONOPLE!$F$14,$M599,BL$13)="",10^12,OFFSET(CRONOPLE!$F$14,$M599,BL$13))))</f>
        <v>1000000000000</v>
      </c>
      <c r="BM599" s="181">
        <f ca="1">IF($D599&lt;&gt;"Serviço",0,IF(AND(AUTOEVENTO="Manual",$M599=1),0,IF(OFFSET(CRONOPLE!$F$14,$M599,BM$13)="",10^12,OFFSET(CRONOPLE!$F$14,$M599,BM$13))))</f>
        <v>1000000000000</v>
      </c>
      <c r="BN599" s="181">
        <f ca="1">IF($D599&lt;&gt;"Serviço",0,IF(AND(AUTOEVENTO="Manual",$M599=1),0,IF(OFFSET(CRONOPLE!$F$14,$M599,BN$13)="",10^12,OFFSET(CRONOPLE!$F$14,$M599,BN$13))))</f>
        <v>1000000000000</v>
      </c>
      <c r="BO599" s="181">
        <f ca="1">IF($D599&lt;&gt;"Serviço",0,IF(AND(AUTOEVENTO="Manual",$M599=1),0,IF(OFFSET(CRONOPLE!$F$14,$M599,BO$13)="",10^12,OFFSET(CRONOPLE!$F$14,$M599,BO$13))))</f>
        <v>1000000000000</v>
      </c>
      <c r="BP599" s="181">
        <f ca="1">IF($D599&lt;&gt;"Serviço",0,IF(AND(AUTOEVENTO="Manual",$M599=1),0,IF(OFFSET(CRONOPLE!$F$14,$M599,BP$13)="",10^12,OFFSET(CRONOPLE!$F$14,$M599,BP$13))))</f>
        <v>1000000000000</v>
      </c>
      <c r="BQ599" s="181">
        <f ca="1">IF($D599&lt;&gt;"Serviço",0,IF(AND(AUTOEVENTO="Manual",$M599=1),0,IF(OFFSET(CRONOPLE!$F$14,$M599,BQ$13)="",10^12,OFFSET(CRONOPLE!$F$14,$M599,BQ$13))))</f>
        <v>1000000000000</v>
      </c>
      <c r="BR599" s="181">
        <f ca="1">IF($D599&lt;&gt;"Serviço",0,IF(AND(AUTOEVENTO="Manual",$M599=1),0,IF(OFFSET(CRONOPLE!$F$14,$M599,BR$13)="",10^12,OFFSET(CRONOPLE!$F$14,$M599,BR$13))))</f>
        <v>1000000000000</v>
      </c>
      <c r="BS599" s="181">
        <f ca="1">IF($D599&lt;&gt;"Serviço",0,IF(AND(AUTOEVENTO="Manual",$M599=1),0,IF(OFFSET(CRONOPLE!$F$14,$M599,BS$13)="",10^12,OFFSET(CRONOPLE!$F$14,$M599,BS$13))))</f>
        <v>1000000000000</v>
      </c>
      <c r="BT599" s="181">
        <f ca="1">IF($D599&lt;&gt;"Serviço",0,IF(AND(AUTOEVENTO="Manual",$M599=1),0,IF(OFFSET(CRONOPLE!$F$14,$M599,BT$13)="",10^12,OFFSET(CRONOPLE!$F$14,$M599,BT$13))))</f>
        <v>1000000000000</v>
      </c>
      <c r="BV599" s="182">
        <f ca="1">IF($D599&lt;&gt;"Serviço",0,IF(OR(AND(AUTOEVENTO="Manual",$M599=1),$M599&gt;(ROW(PLE.lastrow)-ROW(PLE.firstrow))),0,IF(OFFSET(PLE!$G$14,$M599,BV$13)="",10^12,OFFSET(PLE!$G$14,$M599,BV$13))))</f>
        <v>1000000000000</v>
      </c>
      <c r="BW599" s="182">
        <f ca="1">IF($D599&lt;&gt;"Serviço",0,IF(OR(AND(AUTOEVENTO="Manual",$M599=1),$M599&gt;(ROW(PLE.lastrow)-ROW(PLE.firstrow))),0,IF(OFFSET(PLE!$G$14,$M599,BW$13)="",10^12,OFFSET(PLE!$G$14,$M599,BW$13))))</f>
        <v>1000000000000</v>
      </c>
      <c r="BX599" s="182">
        <f ca="1">IF($D599&lt;&gt;"Serviço",0,IF(OR(AND(AUTOEVENTO="Manual",$M599=1),$M599&gt;(ROW(PLE.lastrow)-ROW(PLE.firstrow))),0,IF(OFFSET(PLE!$G$14,$M599,BX$13)="",10^12,OFFSET(PLE!$G$14,$M599,BX$13))))</f>
        <v>1000000000000</v>
      </c>
      <c r="BY599" s="182">
        <f ca="1">IF($D599&lt;&gt;"Serviço",0,IF(OR(AND(AUTOEVENTO="Manual",$M599=1),$M599&gt;(ROW(PLE.lastrow)-ROW(PLE.firstrow))),0,IF(OFFSET(PLE!$G$14,$M599,BY$13)="",10^12,OFFSET(PLE!$G$14,$M599,BY$13))))</f>
        <v>1000000000000</v>
      </c>
      <c r="BZ599" s="182">
        <f ca="1">IF($D599&lt;&gt;"Serviço",0,IF(OR(AND(AUTOEVENTO="Manual",$M599=1),$M599&gt;(ROW(PLE.lastrow)-ROW(PLE.firstrow))),0,IF(OFFSET(PLE!$G$14,$M599,BZ$13)="",10^12,OFFSET(PLE!$G$14,$M599,BZ$13))))</f>
        <v>1000000000000</v>
      </c>
      <c r="CA599" s="182">
        <f ca="1">IF($D599&lt;&gt;"Serviço",0,IF(OR(AND(AUTOEVENTO="Manual",$M599=1),$M599&gt;(ROW(PLE.lastrow)-ROW(PLE.firstrow))),0,IF(OFFSET(PLE!$G$14,$M599,CA$13)="",10^12,OFFSET(PLE!$G$14,$M599,CA$13))))</f>
        <v>1000000000000</v>
      </c>
      <c r="CB599" s="182">
        <f ca="1">IF($D599&lt;&gt;"Serviço",0,IF(OR(AND(AUTOEVENTO="Manual",$M599=1),$M599&gt;(ROW(PLE.lastrow)-ROW(PLE.firstrow))),0,IF(OFFSET(PLE!$G$14,$M599,CB$13)="",10^12,OFFSET(PLE!$G$14,$M599,CB$13))))</f>
        <v>1000000000000</v>
      </c>
      <c r="CC599" s="182">
        <f ca="1">IF($D599&lt;&gt;"Serviço",0,IF(OR(AND(AUTOEVENTO="Manual",$M599=1),$M599&gt;(ROW(PLE.lastrow)-ROW(PLE.firstrow))),0,IF(OFFSET(PLE!$G$14,$M599,CC$13)="",10^12,OFFSET(PLE!$G$14,$M599,CC$13))))</f>
        <v>1000000000000</v>
      </c>
      <c r="CD599" s="182">
        <f ca="1">IF($D599&lt;&gt;"Serviço",0,IF(OR(AND(AUTOEVENTO="Manual",$M599=1),$M599&gt;(ROW(PLE.lastrow)-ROW(PLE.firstrow))),0,IF(OFFSET(PLE!$G$14,$M599,CD$13)="",10^12,OFFSET(PLE!$G$14,$M599,CD$13))))</f>
        <v>1000000000000</v>
      </c>
      <c r="CE599" s="182">
        <f ca="1">IF($D599&lt;&gt;"Serviço",0,IF(OR(AND(AUTOEVENTO="Manual",$M599=1),$M599&gt;(ROW(PLE.lastrow)-ROW(PLE.firstrow))),0,IF(OFFSET(PLE!$G$14,$M599,CE$13)="",10^12,OFFSET(PLE!$G$14,$M599,CE$13))))</f>
        <v>1000000000000</v>
      </c>
      <c r="CF599" s="182">
        <f ca="1">IF($D599&lt;&gt;"Serviço",0,IF(OR(AND(AUTOEVENTO="Manual",$M599=1),$M599&gt;(ROW(PLE.lastrow)-ROW(PLE.firstrow))),0,IF(OFFSET(PLE!$G$14,$M599,CF$13)="",10^12,OFFSET(PLE!$G$14,$M599,CF$13))))</f>
        <v>1000000000000</v>
      </c>
      <c r="CG599" s="182">
        <f ca="1">IF($D599&lt;&gt;"Serviço",0,IF(OR(AND(AUTOEVENTO="Manual",$M599=1),$M599&gt;(ROW(PLE.lastrow)-ROW(PLE.firstrow))),0,IF(OFFSET(PLE!$G$14,$M599,CG$13)="",10^12,OFFSET(PLE!$G$14,$M599,CG$13))))</f>
        <v>1000000000000</v>
      </c>
      <c r="CH599" s="182">
        <f ca="1">IF($D599&lt;&gt;"Serviço",0,IF(OR(AND(AUTOEVENTO="Manual",$M599=1),$M599&gt;(ROW(PLE.lastrow)-ROW(PLE.firstrow))),0,IF(OFFSET(PLE!$G$14,$M599,CH$13)="",10^12,OFFSET(PLE!$G$14,$M599,CH$13))))</f>
        <v>1000000000000</v>
      </c>
      <c r="CI599" s="182">
        <f ca="1">IF($D599&lt;&gt;"Serviço",0,IF(OR(AND(AUTOEVENTO="Manual",$M599=1),$M599&gt;(ROW(PLE.lastrow)-ROW(PLE.firstrow))),0,IF(OFFSET(PLE!$G$14,$M599,CI$13)="",10^12,OFFSET(PLE!$G$14,$M599,CI$13))))</f>
        <v>1000000000000</v>
      </c>
      <c r="CJ599" s="182">
        <f ca="1">IF($D599&lt;&gt;"Serviço",0,IF(OR(AND(AUTOEVENTO="Manual",$M599=1),$M599&gt;(ROW(PLE.lastrow)-ROW(PLE.firstrow))),0,IF(OFFSET(PLE!$G$14,$M599,CJ$13)="",10^12,OFFSET(PLE!$G$14,$M599,CJ$13))))</f>
        <v>1000000000000</v>
      </c>
      <c r="CK599" s="182">
        <f ca="1">IF($D599&lt;&gt;"Serviço",0,IF(OR(AND(AUTOEVENTO="Manual",$M599=1),$M599&gt;(ROW(PLE.lastrow)-ROW(PLE.firstrow))),0,IF(OFFSET(PLE!$G$14,$M599,CK$13)="",10^12,OFFSET(PLE!$G$14,$M599,CK$13))))</f>
        <v>1000000000000</v>
      </c>
      <c r="CL599" s="182">
        <f ca="1">IF($D599&lt;&gt;"Serviço",0,IF(OR(AND(AUTOEVENTO="Manual",$M599=1),$M599&gt;(ROW(PLE.lastrow)-ROW(PLE.firstrow))),0,IF(OFFSET(PLE!$G$14,$M599,CL$13)="",10^12,OFFSET(PLE!$G$14,$M599,CL$13))))</f>
        <v>1000000000000</v>
      </c>
      <c r="CM599" s="182">
        <f ca="1">IF($D599&lt;&gt;"Serviço",0,IF(OR(AND(AUTOEVENTO="Manual",$M599=1),$M599&gt;(ROW(PLE.lastrow)-ROW(PLE.firstrow))),0,IF(OFFSET(PLE!$G$14,$M599,CM$13)="",10^12,OFFSET(PLE!$G$14,$M599,CM$13))))</f>
        <v>1000000000000</v>
      </c>
    </row>
    <row r="600" spans="1:91" ht="25.5" x14ac:dyDescent="0.2">
      <c r="A600" s="7" t="str">
        <f t="shared" ca="1" si="18"/>
        <v>580</v>
      </c>
      <c r="B600" s="7" t="str">
        <f ca="1">OFFSET(ORÇAMENTO!C$15,ROW(B600)-ROW(B$15),0)</f>
        <v>S</v>
      </c>
      <c r="C600" s="7" t="str">
        <f ca="1">OFFSET(ORÇAMENTO!L$15,ROW(C600)-ROW(C$15),0)</f>
        <v/>
      </c>
      <c r="D600" s="118" t="str">
        <f ca="1">OFFSET(ORÇAMENTO!N$15,ROW(D600)-ROW(D$15),0)</f>
        <v>Serviço</v>
      </c>
      <c r="E600" s="119" t="str">
        <f ca="1">OFFSET(ORÇAMENTO!O$15,ROW(E600)-ROW(E$15),0)</f>
        <v>-</v>
      </c>
      <c r="F600" s="172" t="str">
        <f ca="1">OFFSET(ORÇAMENTO!R$15,ROW(F600)-ROW(F$15),0)</f>
        <v>(abra o arquivo 'Referência 06-2024.xlsm)</v>
      </c>
      <c r="G600" s="173" t="str">
        <f ca="1">IF($D600&lt;&gt;"Serviço","",OFFSET(ORÇAMENTO!S$15,ROW(G600)-ROW(G$15),0))</f>
        <v>-</v>
      </c>
      <c r="H600" s="124">
        <f ca="1">IF($D600&lt;&gt;"Serviço",0,IF(ACOMPANHAMENTO="BM",ROUND(OFFSET(ORÇAMENTO!AJ$15,ROW(H600)-ROW(H$15),0),15-13*ORÇAMENTO!$AF$7),SUMPRODUCT(($Q$12:$AI$12&lt;&gt;"")*ROUND($Q600:$AI600,15-13*ORÇAMENTO!$AF$7))))</f>
        <v>105</v>
      </c>
      <c r="I600" s="561" t="s">
        <v>1107</v>
      </c>
      <c r="K600" s="174"/>
      <c r="L600" s="175" t="s">
        <v>255</v>
      </c>
      <c r="M600" s="176">
        <f ca="1">IF($D600&lt;&gt;"Serviço","",IF(AUTOEVENTO="manual",$A600,IF(ISERROR(MATCH($A600,$A$15:OFFSET($A600,-1,0),0)),MAX($M$15:OFFSET(M600,-1,0))+1,INDEX($M$15:OFFSET(M600,-1,0),MATCH($A600,$A$15:OFFSET($A600,-1,0),0)))))</f>
        <v>61</v>
      </c>
      <c r="N600" s="177" t="str">
        <f ca="1">IF($D600&lt;&gt;"Serviço","",IF(AUTOEVENTO="Manual",IF($A600=0,"&lt;-- defina o número do agrupador",OFFSET(EVENTOS!$D$14,$A600,0)),OFFSET($F$15,$A600,0)))</f>
        <v>INSTALAÇÃO ELÉTRICA 110V - ILUMINAÇÃO</v>
      </c>
      <c r="O600" s="178"/>
      <c r="Q600" s="178">
        <v>105</v>
      </c>
      <c r="R600" s="179"/>
      <c r="S600" s="179"/>
      <c r="T600" s="179"/>
      <c r="U600" s="179"/>
      <c r="V600" s="179"/>
      <c r="W600" s="179"/>
      <c r="X600" s="179"/>
      <c r="Y600" s="179"/>
      <c r="Z600" s="180"/>
      <c r="AA600" s="179"/>
      <c r="AB600" s="179"/>
      <c r="AC600" s="179"/>
      <c r="AD600" s="179"/>
      <c r="AE600" s="179"/>
      <c r="AF600" s="179"/>
      <c r="AG600" s="179"/>
      <c r="AH600" s="180"/>
      <c r="AJ600" s="544">
        <f ca="1">IF(AND($D600="Serviço",AJ$12&lt;&gt;0,$H600&gt;0,OR(AUTOEVENTO&lt;&gt;"manual",$M600&lt;&gt;1)),
IF(Import.TipoArredondamento&lt;&gt;"TransfereGOV",
ROUND(OFFSET($P600,0,AJ$13),15-13*ORÇAMENTO!$AF$7)/$H600*OFFSET(ORÇAMENTO!$X$15,ROW(AJ600)-ROW(AJ$15),0),
ROUND(ROUND(OFFSET($P600,0,AJ$13),15-13*ORÇAMENTO!$AF$7)*OFFSET(ORÇAMENTO!$W$15,ROW(AJ600)-ROW(AJ$15),0),15-13*ORÇAMENTO!$AF$11)),0)</f>
        <v>0</v>
      </c>
      <c r="AK600" s="545">
        <f ca="1">IF(AND($D600="Serviço",AK$12&lt;&gt;0,$H600&gt;0,OR(AUTOEVENTO&lt;&gt;"manual",$M600&lt;&gt;1)),
IF(Import.TipoArredondamento&lt;&gt;"TransfereGOV",
ROUND(OFFSET($P600,0,AK$13),15-13*ORÇAMENTO!$AF$7)/$H600*OFFSET(ORÇAMENTO!$X$15,ROW(AK600)-ROW(AK$15),0),
ROUND(ROUND(OFFSET($P600,0,AK$13),15-13*ORÇAMENTO!$AF$7)*OFFSET(ORÇAMENTO!$W$15,ROW(AK600)-ROW(AK$15),0),15-13*ORÇAMENTO!$AF$11)),0)</f>
        <v>0</v>
      </c>
      <c r="AL600" s="545">
        <f ca="1">IF(AND($D600="Serviço",AL$12&lt;&gt;0,$H600&gt;0,OR(AUTOEVENTO&lt;&gt;"manual",$M600&lt;&gt;1)),
IF(Import.TipoArredondamento&lt;&gt;"TransfereGOV",
ROUND(OFFSET($P600,0,AL$13),15-13*ORÇAMENTO!$AF$7)/$H600*OFFSET(ORÇAMENTO!$X$15,ROW(AL600)-ROW(AL$15),0),
ROUND(ROUND(OFFSET($P600,0,AL$13),15-13*ORÇAMENTO!$AF$7)*OFFSET(ORÇAMENTO!$W$15,ROW(AL600)-ROW(AL$15),0),15-13*ORÇAMENTO!$AF$11)),0)</f>
        <v>0</v>
      </c>
      <c r="AM600" s="545">
        <f ca="1">IF(AND($D600="Serviço",AM$12&lt;&gt;0,$H600&gt;0,OR(AUTOEVENTO&lt;&gt;"manual",$M600&lt;&gt;1)),
IF(Import.TipoArredondamento&lt;&gt;"TransfereGOV",
ROUND(OFFSET($P600,0,AM$13),15-13*ORÇAMENTO!$AF$7)/$H600*OFFSET(ORÇAMENTO!$X$15,ROW(AM600)-ROW(AM$15),0),
ROUND(ROUND(OFFSET($P600,0,AM$13),15-13*ORÇAMENTO!$AF$7)*OFFSET(ORÇAMENTO!$W$15,ROW(AM600)-ROW(AM$15),0),15-13*ORÇAMENTO!$AF$11)),0)</f>
        <v>0</v>
      </c>
      <c r="AN600" s="545">
        <f ca="1">IF(AND($D600="Serviço",AN$12&lt;&gt;0,$H600&gt;0,OR(AUTOEVENTO&lt;&gt;"manual",$M600&lt;&gt;1)),
IF(Import.TipoArredondamento&lt;&gt;"TransfereGOV",
ROUND(OFFSET($P600,0,AN$13),15-13*ORÇAMENTO!$AF$7)/$H600*OFFSET(ORÇAMENTO!$X$15,ROW(AN600)-ROW(AN$15),0),
ROUND(ROUND(OFFSET($P600,0,AN$13),15-13*ORÇAMENTO!$AF$7)*OFFSET(ORÇAMENTO!$W$15,ROW(AN600)-ROW(AN$15),0),15-13*ORÇAMENTO!$AF$11)),0)</f>
        <v>0</v>
      </c>
      <c r="AO600" s="545">
        <f ca="1">IF(AND($D600="Serviço",AO$12&lt;&gt;0,$H600&gt;0,OR(AUTOEVENTO&lt;&gt;"manual",$M600&lt;&gt;1)),
IF(Import.TipoArredondamento&lt;&gt;"TransfereGOV",
ROUND(OFFSET($P600,0,AO$13),15-13*ORÇAMENTO!$AF$7)/$H600*OFFSET(ORÇAMENTO!$X$15,ROW(AO600)-ROW(AO$15),0),
ROUND(ROUND(OFFSET($P600,0,AO$13),15-13*ORÇAMENTO!$AF$7)*OFFSET(ORÇAMENTO!$W$15,ROW(AO600)-ROW(AO$15),0),15-13*ORÇAMENTO!$AF$11)),0)</f>
        <v>0</v>
      </c>
      <c r="AP600" s="545">
        <f ca="1">IF(AND($D600="Serviço",AP$12&lt;&gt;0,$H600&gt;0,OR(AUTOEVENTO&lt;&gt;"manual",$M600&lt;&gt;1)),
IF(Import.TipoArredondamento&lt;&gt;"TransfereGOV",
ROUND(OFFSET($P600,0,AP$13),15-13*ORÇAMENTO!$AF$7)/$H600*OFFSET(ORÇAMENTO!$X$15,ROW(AP600)-ROW(AP$15),0),
ROUND(ROUND(OFFSET($P600,0,AP$13),15-13*ORÇAMENTO!$AF$7)*OFFSET(ORÇAMENTO!$W$15,ROW(AP600)-ROW(AP$15),0),15-13*ORÇAMENTO!$AF$11)),0)</f>
        <v>0</v>
      </c>
      <c r="AQ600" s="545">
        <f ca="1">IF(AND($D600="Serviço",AQ$12&lt;&gt;0,$H600&gt;0,OR(AUTOEVENTO&lt;&gt;"manual",$M600&lt;&gt;1)),
IF(Import.TipoArredondamento&lt;&gt;"TransfereGOV",
ROUND(OFFSET($P600,0,AQ$13),15-13*ORÇAMENTO!$AF$7)/$H600*OFFSET(ORÇAMENTO!$X$15,ROW(AQ600)-ROW(AQ$15),0),
ROUND(ROUND(OFFSET($P600,0,AQ$13),15-13*ORÇAMENTO!$AF$7)*OFFSET(ORÇAMENTO!$W$15,ROW(AQ600)-ROW(AQ$15),0),15-13*ORÇAMENTO!$AF$11)),0)</f>
        <v>0</v>
      </c>
      <c r="AR600" s="545">
        <f ca="1">IF(AND($D600="Serviço",AR$12&lt;&gt;0,$H600&gt;0,OR(AUTOEVENTO&lt;&gt;"manual",$M600&lt;&gt;1)),
IF(Import.TipoArredondamento&lt;&gt;"TransfereGOV",
ROUND(OFFSET($P600,0,AR$13),15-13*ORÇAMENTO!$AF$7)/$H600*OFFSET(ORÇAMENTO!$X$15,ROW(AR600)-ROW(AR$15),0),
ROUND(ROUND(OFFSET($P600,0,AR$13),15-13*ORÇAMENTO!$AF$7)*OFFSET(ORÇAMENTO!$W$15,ROW(AR600)-ROW(AR$15),0),15-13*ORÇAMENTO!$AF$11)),0)</f>
        <v>0</v>
      </c>
      <c r="AS600" s="546">
        <f ca="1">IF(AND($D600="Serviço",AS$12&lt;&gt;0,$H600&gt;0,OR(AUTOEVENTO&lt;&gt;"manual",$M600&lt;&gt;1)),
IF(Import.TipoArredondamento&lt;&gt;"TransfereGOV",
ROUND(OFFSET($P600,0,AS$13),15-13*ORÇAMENTO!$AF$7)/$H600*OFFSET(ORÇAMENTO!$X$15,ROW(AS600)-ROW(AS$15),0),
ROUND(ROUND(OFFSET($P600,0,AS$13),15-13*ORÇAMENTO!$AF$7)*OFFSET(ORÇAMENTO!$W$15,ROW(AS600)-ROW(AS$15),0),15-13*ORÇAMENTO!$AF$11)),0)</f>
        <v>0</v>
      </c>
      <c r="AT600" s="545">
        <f ca="1">IF(AND($D600="Serviço",AT$12&lt;&gt;0,$H600&gt;0,OR(AUTOEVENTO&lt;&gt;"manual",$M600&lt;&gt;1)),
IF(Import.TipoArredondamento&lt;&gt;"TransfereGOV",
ROUND(OFFSET($P600,0,AT$13),15-13*ORÇAMENTO!$AF$7)/$H600*OFFSET(ORÇAMENTO!$X$15,ROW(AT600)-ROW(AT$15),0),
ROUND(ROUND(OFFSET($P600,0,AT$13),15-13*ORÇAMENTO!$AF$7)*OFFSET(ORÇAMENTO!$W$15,ROW(AT600)-ROW(AT$15),0),15-13*ORÇAMENTO!$AF$11)),0)</f>
        <v>0</v>
      </c>
      <c r="AU600" s="545">
        <f ca="1">IF(AND($D600="Serviço",AU$12&lt;&gt;0,$H600&gt;0,OR(AUTOEVENTO&lt;&gt;"manual",$M600&lt;&gt;1)),
IF(Import.TipoArredondamento&lt;&gt;"TransfereGOV",
ROUND(OFFSET($P600,0,AU$13),15-13*ORÇAMENTO!$AF$7)/$H600*OFFSET(ORÇAMENTO!$X$15,ROW(AU600)-ROW(AU$15),0),
ROUND(ROUND(OFFSET($P600,0,AU$13),15-13*ORÇAMENTO!$AF$7)*OFFSET(ORÇAMENTO!$W$15,ROW(AU600)-ROW(AU$15),0),15-13*ORÇAMENTO!$AF$11)),0)</f>
        <v>0</v>
      </c>
      <c r="AV600" s="545">
        <f ca="1">IF(AND($D600="Serviço",AV$12&lt;&gt;0,$H600&gt;0,OR(AUTOEVENTO&lt;&gt;"manual",$M600&lt;&gt;1)),
IF(Import.TipoArredondamento&lt;&gt;"TransfereGOV",
ROUND(OFFSET($P600,0,AV$13),15-13*ORÇAMENTO!$AF$7)/$H600*OFFSET(ORÇAMENTO!$X$15,ROW(AV600)-ROW(AV$15),0),
ROUND(ROUND(OFFSET($P600,0,AV$13),15-13*ORÇAMENTO!$AF$7)*OFFSET(ORÇAMENTO!$W$15,ROW(AV600)-ROW(AV$15),0),15-13*ORÇAMENTO!$AF$11)),0)</f>
        <v>0</v>
      </c>
      <c r="AW600" s="545">
        <f ca="1">IF(AND($D600="Serviço",AW$12&lt;&gt;0,$H600&gt;0,OR(AUTOEVENTO&lt;&gt;"manual",$M600&lt;&gt;1)),
IF(Import.TipoArredondamento&lt;&gt;"TransfereGOV",
ROUND(OFFSET($P600,0,AW$13),15-13*ORÇAMENTO!$AF$7)/$H600*OFFSET(ORÇAMENTO!$X$15,ROW(AW600)-ROW(AW$15),0),
ROUND(ROUND(OFFSET($P600,0,AW$13),15-13*ORÇAMENTO!$AF$7)*OFFSET(ORÇAMENTO!$W$15,ROW(AW600)-ROW(AW$15),0),15-13*ORÇAMENTO!$AF$11)),0)</f>
        <v>0</v>
      </c>
      <c r="AX600" s="545">
        <f ca="1">IF(AND($D600="Serviço",AX$12&lt;&gt;0,$H600&gt;0,OR(AUTOEVENTO&lt;&gt;"manual",$M600&lt;&gt;1)),
IF(Import.TipoArredondamento&lt;&gt;"TransfereGOV",
ROUND(OFFSET($P600,0,AX$13),15-13*ORÇAMENTO!$AF$7)/$H600*OFFSET(ORÇAMENTO!$X$15,ROW(AX600)-ROW(AX$15),0),
ROUND(ROUND(OFFSET($P600,0,AX$13),15-13*ORÇAMENTO!$AF$7)*OFFSET(ORÇAMENTO!$W$15,ROW(AX600)-ROW(AX$15),0),15-13*ORÇAMENTO!$AF$11)),0)</f>
        <v>0</v>
      </c>
      <c r="AY600" s="545">
        <f ca="1">IF(AND($D600="Serviço",AY$12&lt;&gt;0,$H600&gt;0,OR(AUTOEVENTO&lt;&gt;"manual",$M600&lt;&gt;1)),
IF(Import.TipoArredondamento&lt;&gt;"TransfereGOV",
ROUND(OFFSET($P600,0,AY$13),15-13*ORÇAMENTO!$AF$7)/$H600*OFFSET(ORÇAMENTO!$X$15,ROW(AY600)-ROW(AY$15),0),
ROUND(ROUND(OFFSET($P600,0,AY$13),15-13*ORÇAMENTO!$AF$7)*OFFSET(ORÇAMENTO!$W$15,ROW(AY600)-ROW(AY$15),0),15-13*ORÇAMENTO!$AF$11)),0)</f>
        <v>0</v>
      </c>
      <c r="AZ600" s="545">
        <f ca="1">IF(AND($D600="Serviço",AZ$12&lt;&gt;0,$H600&gt;0,OR(AUTOEVENTO&lt;&gt;"manual",$M600&lt;&gt;1)),
IF(Import.TipoArredondamento&lt;&gt;"TransfereGOV",
ROUND(OFFSET($P600,0,AZ$13),15-13*ORÇAMENTO!$AF$7)/$H600*OFFSET(ORÇAMENTO!$X$15,ROW(AZ600)-ROW(AZ$15),0),
ROUND(ROUND(OFFSET($P600,0,AZ$13),15-13*ORÇAMENTO!$AF$7)*OFFSET(ORÇAMENTO!$W$15,ROW(AZ600)-ROW(AZ$15),0),15-13*ORÇAMENTO!$AF$11)),0)</f>
        <v>0</v>
      </c>
      <c r="BA600" s="546">
        <f ca="1">IF(AND($D600="Serviço",BA$12&lt;&gt;0,$H600&gt;0,OR(AUTOEVENTO&lt;&gt;"manual",$M600&lt;&gt;1)),
IF(Import.TipoArredondamento&lt;&gt;"TransfereGOV",
ROUND(OFFSET($P600,0,BA$13),15-13*ORÇAMENTO!$AF$7)/$H600*OFFSET(ORÇAMENTO!$X$15,ROW(BA600)-ROW(BA$15),0),
ROUND(ROUND(OFFSET($P600,0,BA$13),15-13*ORÇAMENTO!$AF$7)*OFFSET(ORÇAMENTO!$W$15,ROW(BA600)-ROW(BA$15),0),15-13*ORÇAMENTO!$AF$11)),0)</f>
        <v>0</v>
      </c>
      <c r="BC600" s="181">
        <f ca="1">IF($D600&lt;&gt;"Serviço",0,IF(AND(AUTOEVENTO="Manual",$M600=1),0,IF(OFFSET(CRONOPLE!$F$14,$M600,BC$13)="",10^12,OFFSET(CRONOPLE!$F$14,$M600,BC$13))))</f>
        <v>11</v>
      </c>
      <c r="BD600" s="181">
        <f ca="1">IF($D600&lt;&gt;"Serviço",0,IF(AND(AUTOEVENTO="Manual",$M600=1),0,IF(OFFSET(CRONOPLE!$F$14,$M600,BD$13)="",10^12,OFFSET(CRONOPLE!$F$14,$M600,BD$13))))</f>
        <v>1000000000000</v>
      </c>
      <c r="BE600" s="181">
        <f ca="1">IF($D600&lt;&gt;"Serviço",0,IF(AND(AUTOEVENTO="Manual",$M600=1),0,IF(OFFSET(CRONOPLE!$F$14,$M600,BE$13)="",10^12,OFFSET(CRONOPLE!$F$14,$M600,BE$13))))</f>
        <v>1000000000000</v>
      </c>
      <c r="BF600" s="181">
        <f ca="1">IF($D600&lt;&gt;"Serviço",0,IF(AND(AUTOEVENTO="Manual",$M600=1),0,IF(OFFSET(CRONOPLE!$F$14,$M600,BF$13)="",10^12,OFFSET(CRONOPLE!$F$14,$M600,BF$13))))</f>
        <v>1000000000000</v>
      </c>
      <c r="BG600" s="181">
        <f ca="1">IF($D600&lt;&gt;"Serviço",0,IF(AND(AUTOEVENTO="Manual",$M600=1),0,IF(OFFSET(CRONOPLE!$F$14,$M600,BG$13)="",10^12,OFFSET(CRONOPLE!$F$14,$M600,BG$13))))</f>
        <v>1000000000000</v>
      </c>
      <c r="BH600" s="181">
        <f ca="1">IF($D600&lt;&gt;"Serviço",0,IF(AND(AUTOEVENTO="Manual",$M600=1),0,IF(OFFSET(CRONOPLE!$F$14,$M600,BH$13)="",10^12,OFFSET(CRONOPLE!$F$14,$M600,BH$13))))</f>
        <v>1000000000000</v>
      </c>
      <c r="BI600" s="181">
        <f ca="1">IF($D600&lt;&gt;"Serviço",0,IF(AND(AUTOEVENTO="Manual",$M600=1),0,IF(OFFSET(CRONOPLE!$F$14,$M600,BI$13)="",10^12,OFFSET(CRONOPLE!$F$14,$M600,BI$13))))</f>
        <v>1000000000000</v>
      </c>
      <c r="BJ600" s="181">
        <f ca="1">IF($D600&lt;&gt;"Serviço",0,IF(AND(AUTOEVENTO="Manual",$M600=1),0,IF(OFFSET(CRONOPLE!$F$14,$M600,BJ$13)="",10^12,OFFSET(CRONOPLE!$F$14,$M600,BJ$13))))</f>
        <v>1000000000000</v>
      </c>
      <c r="BK600" s="181">
        <f ca="1">IF($D600&lt;&gt;"Serviço",0,IF(AND(AUTOEVENTO="Manual",$M600=1),0,IF(OFFSET(CRONOPLE!$F$14,$M600,BK$13)="",10^12,OFFSET(CRONOPLE!$F$14,$M600,BK$13))))</f>
        <v>1000000000000</v>
      </c>
      <c r="BL600" s="181">
        <f ca="1">IF($D600&lt;&gt;"Serviço",0,IF(AND(AUTOEVENTO="Manual",$M600=1),0,IF(OFFSET(CRONOPLE!$F$14,$M600,BL$13)="",10^12,OFFSET(CRONOPLE!$F$14,$M600,BL$13))))</f>
        <v>1000000000000</v>
      </c>
      <c r="BM600" s="181">
        <f ca="1">IF($D600&lt;&gt;"Serviço",0,IF(AND(AUTOEVENTO="Manual",$M600=1),0,IF(OFFSET(CRONOPLE!$F$14,$M600,BM$13)="",10^12,OFFSET(CRONOPLE!$F$14,$M600,BM$13))))</f>
        <v>1000000000000</v>
      </c>
      <c r="BN600" s="181">
        <f ca="1">IF($D600&lt;&gt;"Serviço",0,IF(AND(AUTOEVENTO="Manual",$M600=1),0,IF(OFFSET(CRONOPLE!$F$14,$M600,BN$13)="",10^12,OFFSET(CRONOPLE!$F$14,$M600,BN$13))))</f>
        <v>1000000000000</v>
      </c>
      <c r="BO600" s="181">
        <f ca="1">IF($D600&lt;&gt;"Serviço",0,IF(AND(AUTOEVENTO="Manual",$M600=1),0,IF(OFFSET(CRONOPLE!$F$14,$M600,BO$13)="",10^12,OFFSET(CRONOPLE!$F$14,$M600,BO$13))))</f>
        <v>1000000000000</v>
      </c>
      <c r="BP600" s="181">
        <f ca="1">IF($D600&lt;&gt;"Serviço",0,IF(AND(AUTOEVENTO="Manual",$M600=1),0,IF(OFFSET(CRONOPLE!$F$14,$M600,BP$13)="",10^12,OFFSET(CRONOPLE!$F$14,$M600,BP$13))))</f>
        <v>1000000000000</v>
      </c>
      <c r="BQ600" s="181">
        <f ca="1">IF($D600&lt;&gt;"Serviço",0,IF(AND(AUTOEVENTO="Manual",$M600=1),0,IF(OFFSET(CRONOPLE!$F$14,$M600,BQ$13)="",10^12,OFFSET(CRONOPLE!$F$14,$M600,BQ$13))))</f>
        <v>1000000000000</v>
      </c>
      <c r="BR600" s="181">
        <f ca="1">IF($D600&lt;&gt;"Serviço",0,IF(AND(AUTOEVENTO="Manual",$M600=1),0,IF(OFFSET(CRONOPLE!$F$14,$M600,BR$13)="",10^12,OFFSET(CRONOPLE!$F$14,$M600,BR$13))))</f>
        <v>1000000000000</v>
      </c>
      <c r="BS600" s="181">
        <f ca="1">IF($D600&lt;&gt;"Serviço",0,IF(AND(AUTOEVENTO="Manual",$M600=1),0,IF(OFFSET(CRONOPLE!$F$14,$M600,BS$13)="",10^12,OFFSET(CRONOPLE!$F$14,$M600,BS$13))))</f>
        <v>1000000000000</v>
      </c>
      <c r="BT600" s="181">
        <f ca="1">IF($D600&lt;&gt;"Serviço",0,IF(AND(AUTOEVENTO="Manual",$M600=1),0,IF(OFFSET(CRONOPLE!$F$14,$M600,BT$13)="",10^12,OFFSET(CRONOPLE!$F$14,$M600,BT$13))))</f>
        <v>1000000000000</v>
      </c>
      <c r="BV600" s="182">
        <f ca="1">IF($D600&lt;&gt;"Serviço",0,IF(OR(AND(AUTOEVENTO="Manual",$M600=1),$M600&gt;(ROW(PLE.lastrow)-ROW(PLE.firstrow))),0,IF(OFFSET(PLE!$G$14,$M600,BV$13)="",10^12,OFFSET(PLE!$G$14,$M600,BV$13))))</f>
        <v>1000000000000</v>
      </c>
      <c r="BW600" s="182">
        <f ca="1">IF($D600&lt;&gt;"Serviço",0,IF(OR(AND(AUTOEVENTO="Manual",$M600=1),$M600&gt;(ROW(PLE.lastrow)-ROW(PLE.firstrow))),0,IF(OFFSET(PLE!$G$14,$M600,BW$13)="",10^12,OFFSET(PLE!$G$14,$M600,BW$13))))</f>
        <v>1000000000000</v>
      </c>
      <c r="BX600" s="182">
        <f ca="1">IF($D600&lt;&gt;"Serviço",0,IF(OR(AND(AUTOEVENTO="Manual",$M600=1),$M600&gt;(ROW(PLE.lastrow)-ROW(PLE.firstrow))),0,IF(OFFSET(PLE!$G$14,$M600,BX$13)="",10^12,OFFSET(PLE!$G$14,$M600,BX$13))))</f>
        <v>1000000000000</v>
      </c>
      <c r="BY600" s="182">
        <f ca="1">IF($D600&lt;&gt;"Serviço",0,IF(OR(AND(AUTOEVENTO="Manual",$M600=1),$M600&gt;(ROW(PLE.lastrow)-ROW(PLE.firstrow))),0,IF(OFFSET(PLE!$G$14,$M600,BY$13)="",10^12,OFFSET(PLE!$G$14,$M600,BY$13))))</f>
        <v>1000000000000</v>
      </c>
      <c r="BZ600" s="182">
        <f ca="1">IF($D600&lt;&gt;"Serviço",0,IF(OR(AND(AUTOEVENTO="Manual",$M600=1),$M600&gt;(ROW(PLE.lastrow)-ROW(PLE.firstrow))),0,IF(OFFSET(PLE!$G$14,$M600,BZ$13)="",10^12,OFFSET(PLE!$G$14,$M600,BZ$13))))</f>
        <v>1000000000000</v>
      </c>
      <c r="CA600" s="182">
        <f ca="1">IF($D600&lt;&gt;"Serviço",0,IF(OR(AND(AUTOEVENTO="Manual",$M600=1),$M600&gt;(ROW(PLE.lastrow)-ROW(PLE.firstrow))),0,IF(OFFSET(PLE!$G$14,$M600,CA$13)="",10^12,OFFSET(PLE!$G$14,$M600,CA$13))))</f>
        <v>1000000000000</v>
      </c>
      <c r="CB600" s="182">
        <f ca="1">IF($D600&lt;&gt;"Serviço",0,IF(OR(AND(AUTOEVENTO="Manual",$M600=1),$M600&gt;(ROW(PLE.lastrow)-ROW(PLE.firstrow))),0,IF(OFFSET(PLE!$G$14,$M600,CB$13)="",10^12,OFFSET(PLE!$G$14,$M600,CB$13))))</f>
        <v>1000000000000</v>
      </c>
      <c r="CC600" s="182">
        <f ca="1">IF($D600&lt;&gt;"Serviço",0,IF(OR(AND(AUTOEVENTO="Manual",$M600=1),$M600&gt;(ROW(PLE.lastrow)-ROW(PLE.firstrow))),0,IF(OFFSET(PLE!$G$14,$M600,CC$13)="",10^12,OFFSET(PLE!$G$14,$M600,CC$13))))</f>
        <v>1000000000000</v>
      </c>
      <c r="CD600" s="182">
        <f ca="1">IF($D600&lt;&gt;"Serviço",0,IF(OR(AND(AUTOEVENTO="Manual",$M600=1),$M600&gt;(ROW(PLE.lastrow)-ROW(PLE.firstrow))),0,IF(OFFSET(PLE!$G$14,$M600,CD$13)="",10^12,OFFSET(PLE!$G$14,$M600,CD$13))))</f>
        <v>1000000000000</v>
      </c>
      <c r="CE600" s="182">
        <f ca="1">IF($D600&lt;&gt;"Serviço",0,IF(OR(AND(AUTOEVENTO="Manual",$M600=1),$M600&gt;(ROW(PLE.lastrow)-ROW(PLE.firstrow))),0,IF(OFFSET(PLE!$G$14,$M600,CE$13)="",10^12,OFFSET(PLE!$G$14,$M600,CE$13))))</f>
        <v>1000000000000</v>
      </c>
      <c r="CF600" s="182">
        <f ca="1">IF($D600&lt;&gt;"Serviço",0,IF(OR(AND(AUTOEVENTO="Manual",$M600=1),$M600&gt;(ROW(PLE.lastrow)-ROW(PLE.firstrow))),0,IF(OFFSET(PLE!$G$14,$M600,CF$13)="",10^12,OFFSET(PLE!$G$14,$M600,CF$13))))</f>
        <v>1000000000000</v>
      </c>
      <c r="CG600" s="182">
        <f ca="1">IF($D600&lt;&gt;"Serviço",0,IF(OR(AND(AUTOEVENTO="Manual",$M600=1),$M600&gt;(ROW(PLE.lastrow)-ROW(PLE.firstrow))),0,IF(OFFSET(PLE!$G$14,$M600,CG$13)="",10^12,OFFSET(PLE!$G$14,$M600,CG$13))))</f>
        <v>1000000000000</v>
      </c>
      <c r="CH600" s="182">
        <f ca="1">IF($D600&lt;&gt;"Serviço",0,IF(OR(AND(AUTOEVENTO="Manual",$M600=1),$M600&gt;(ROW(PLE.lastrow)-ROW(PLE.firstrow))),0,IF(OFFSET(PLE!$G$14,$M600,CH$13)="",10^12,OFFSET(PLE!$G$14,$M600,CH$13))))</f>
        <v>1000000000000</v>
      </c>
      <c r="CI600" s="182">
        <f ca="1">IF($D600&lt;&gt;"Serviço",0,IF(OR(AND(AUTOEVENTO="Manual",$M600=1),$M600&gt;(ROW(PLE.lastrow)-ROW(PLE.firstrow))),0,IF(OFFSET(PLE!$G$14,$M600,CI$13)="",10^12,OFFSET(PLE!$G$14,$M600,CI$13))))</f>
        <v>1000000000000</v>
      </c>
      <c r="CJ600" s="182">
        <f ca="1">IF($D600&lt;&gt;"Serviço",0,IF(OR(AND(AUTOEVENTO="Manual",$M600=1),$M600&gt;(ROW(PLE.lastrow)-ROW(PLE.firstrow))),0,IF(OFFSET(PLE!$G$14,$M600,CJ$13)="",10^12,OFFSET(PLE!$G$14,$M600,CJ$13))))</f>
        <v>1000000000000</v>
      </c>
      <c r="CK600" s="182">
        <f ca="1">IF($D600&lt;&gt;"Serviço",0,IF(OR(AND(AUTOEVENTO="Manual",$M600=1),$M600&gt;(ROW(PLE.lastrow)-ROW(PLE.firstrow))),0,IF(OFFSET(PLE!$G$14,$M600,CK$13)="",10^12,OFFSET(PLE!$G$14,$M600,CK$13))))</f>
        <v>1000000000000</v>
      </c>
      <c r="CL600" s="182">
        <f ca="1">IF($D600&lt;&gt;"Serviço",0,IF(OR(AND(AUTOEVENTO="Manual",$M600=1),$M600&gt;(ROW(PLE.lastrow)-ROW(PLE.firstrow))),0,IF(OFFSET(PLE!$G$14,$M600,CL$13)="",10^12,OFFSET(PLE!$G$14,$M600,CL$13))))</f>
        <v>1000000000000</v>
      </c>
      <c r="CM600" s="182">
        <f ca="1">IF($D600&lt;&gt;"Serviço",0,IF(OR(AND(AUTOEVENTO="Manual",$M600=1),$M600&gt;(ROW(PLE.lastrow)-ROW(PLE.firstrow))),0,IF(OFFSET(PLE!$G$14,$M600,CM$13)="",10^12,OFFSET(PLE!$G$14,$M600,CM$13))))</f>
        <v>1000000000000</v>
      </c>
    </row>
    <row r="601" spans="1:91" ht="38.25" x14ac:dyDescent="0.2">
      <c r="A601" s="7" t="str">
        <f t="shared" ca="1" si="18"/>
        <v>580</v>
      </c>
      <c r="B601" s="7" t="str">
        <f ca="1">OFFSET(ORÇAMENTO!C$15,ROW(B601)-ROW(B$15),0)</f>
        <v>S</v>
      </c>
      <c r="C601" s="7" t="str">
        <f ca="1">OFFSET(ORÇAMENTO!L$15,ROW(C601)-ROW(C$15),0)</f>
        <v/>
      </c>
      <c r="D601" s="118" t="str">
        <f ca="1">OFFSET(ORÇAMENTO!N$15,ROW(D601)-ROW(D$15),0)</f>
        <v>Serviço</v>
      </c>
      <c r="E601" s="119" t="str">
        <f ca="1">OFFSET(ORÇAMENTO!O$15,ROW(E601)-ROW(E$15),0)</f>
        <v>-</v>
      </c>
      <c r="F601" s="172" t="str">
        <f ca="1">OFFSET(ORÇAMENTO!R$15,ROW(F601)-ROW(F$15),0)</f>
        <v>(abra o arquivo 'Referência 06-2024.xlsm)</v>
      </c>
      <c r="G601" s="173" t="str">
        <f ca="1">IF($D601&lt;&gt;"Serviço","",OFFSET(ORÇAMENTO!S$15,ROW(G601)-ROW(G$15),0))</f>
        <v>-</v>
      </c>
      <c r="H601" s="124">
        <f ca="1">IF($D601&lt;&gt;"Serviço",0,IF(ACOMPANHAMENTO="BM",ROUND(OFFSET(ORÇAMENTO!AJ$15,ROW(H601)-ROW(H$15),0),15-13*ORÇAMENTO!$AF$7),SUMPRODUCT(($Q$12:$AI$12&lt;&gt;"")*ROUND($Q601:$AI601,15-13*ORÇAMENTO!$AF$7))))</f>
        <v>9</v>
      </c>
      <c r="I601" s="561" t="s">
        <v>1107</v>
      </c>
      <c r="K601" s="174"/>
      <c r="L601" s="175" t="s">
        <v>255</v>
      </c>
      <c r="M601" s="176">
        <f ca="1">IF($D601&lt;&gt;"Serviço","",IF(AUTOEVENTO="manual",$A601,IF(ISERROR(MATCH($A601,$A$15:OFFSET($A601,-1,0),0)),MAX($M$15:OFFSET(M601,-1,0))+1,INDEX($M$15:OFFSET(M601,-1,0),MATCH($A601,$A$15:OFFSET($A601,-1,0),0)))))</f>
        <v>61</v>
      </c>
      <c r="N601" s="177" t="str">
        <f ca="1">IF($D601&lt;&gt;"Serviço","",IF(AUTOEVENTO="Manual",IF($A601=0,"&lt;-- defina o número do agrupador",OFFSET(EVENTOS!$D$14,$A601,0)),OFFSET($F$15,$A601,0)))</f>
        <v>INSTALAÇÃO ELÉTRICA 110V - ILUMINAÇÃO</v>
      </c>
      <c r="O601" s="178"/>
      <c r="Q601" s="178">
        <v>9</v>
      </c>
      <c r="R601" s="179"/>
      <c r="S601" s="179"/>
      <c r="T601" s="179"/>
      <c r="U601" s="179"/>
      <c r="V601" s="179"/>
      <c r="W601" s="179"/>
      <c r="X601" s="179"/>
      <c r="Y601" s="179"/>
      <c r="Z601" s="180"/>
      <c r="AA601" s="179"/>
      <c r="AB601" s="179"/>
      <c r="AC601" s="179"/>
      <c r="AD601" s="179"/>
      <c r="AE601" s="179"/>
      <c r="AF601" s="179"/>
      <c r="AG601" s="179"/>
      <c r="AH601" s="180"/>
      <c r="AJ601" s="544">
        <f ca="1">IF(AND($D601="Serviço",AJ$12&lt;&gt;0,$H601&gt;0,OR(AUTOEVENTO&lt;&gt;"manual",$M601&lt;&gt;1)),
IF(Import.TipoArredondamento&lt;&gt;"TransfereGOV",
ROUND(OFFSET($P601,0,AJ$13),15-13*ORÇAMENTO!$AF$7)/$H601*OFFSET(ORÇAMENTO!$X$15,ROW(AJ601)-ROW(AJ$15),0),
ROUND(ROUND(OFFSET($P601,0,AJ$13),15-13*ORÇAMENTO!$AF$7)*OFFSET(ORÇAMENTO!$W$15,ROW(AJ601)-ROW(AJ$15),0),15-13*ORÇAMENTO!$AF$11)),0)</f>
        <v>0</v>
      </c>
      <c r="AK601" s="545">
        <f ca="1">IF(AND($D601="Serviço",AK$12&lt;&gt;0,$H601&gt;0,OR(AUTOEVENTO&lt;&gt;"manual",$M601&lt;&gt;1)),
IF(Import.TipoArredondamento&lt;&gt;"TransfereGOV",
ROUND(OFFSET($P601,0,AK$13),15-13*ORÇAMENTO!$AF$7)/$H601*OFFSET(ORÇAMENTO!$X$15,ROW(AK601)-ROW(AK$15),0),
ROUND(ROUND(OFFSET($P601,0,AK$13),15-13*ORÇAMENTO!$AF$7)*OFFSET(ORÇAMENTO!$W$15,ROW(AK601)-ROW(AK$15),0),15-13*ORÇAMENTO!$AF$11)),0)</f>
        <v>0</v>
      </c>
      <c r="AL601" s="545">
        <f ca="1">IF(AND($D601="Serviço",AL$12&lt;&gt;0,$H601&gt;0,OR(AUTOEVENTO&lt;&gt;"manual",$M601&lt;&gt;1)),
IF(Import.TipoArredondamento&lt;&gt;"TransfereGOV",
ROUND(OFFSET($P601,0,AL$13),15-13*ORÇAMENTO!$AF$7)/$H601*OFFSET(ORÇAMENTO!$X$15,ROW(AL601)-ROW(AL$15),0),
ROUND(ROUND(OFFSET($P601,0,AL$13),15-13*ORÇAMENTO!$AF$7)*OFFSET(ORÇAMENTO!$W$15,ROW(AL601)-ROW(AL$15),0),15-13*ORÇAMENTO!$AF$11)),0)</f>
        <v>0</v>
      </c>
      <c r="AM601" s="545">
        <f ca="1">IF(AND($D601="Serviço",AM$12&lt;&gt;0,$H601&gt;0,OR(AUTOEVENTO&lt;&gt;"manual",$M601&lt;&gt;1)),
IF(Import.TipoArredondamento&lt;&gt;"TransfereGOV",
ROUND(OFFSET($P601,0,AM$13),15-13*ORÇAMENTO!$AF$7)/$H601*OFFSET(ORÇAMENTO!$X$15,ROW(AM601)-ROW(AM$15),0),
ROUND(ROUND(OFFSET($P601,0,AM$13),15-13*ORÇAMENTO!$AF$7)*OFFSET(ORÇAMENTO!$W$15,ROW(AM601)-ROW(AM$15),0),15-13*ORÇAMENTO!$AF$11)),0)</f>
        <v>0</v>
      </c>
      <c r="AN601" s="545">
        <f ca="1">IF(AND($D601="Serviço",AN$12&lt;&gt;0,$H601&gt;0,OR(AUTOEVENTO&lt;&gt;"manual",$M601&lt;&gt;1)),
IF(Import.TipoArredondamento&lt;&gt;"TransfereGOV",
ROUND(OFFSET($P601,0,AN$13),15-13*ORÇAMENTO!$AF$7)/$H601*OFFSET(ORÇAMENTO!$X$15,ROW(AN601)-ROW(AN$15),0),
ROUND(ROUND(OFFSET($P601,0,AN$13),15-13*ORÇAMENTO!$AF$7)*OFFSET(ORÇAMENTO!$W$15,ROW(AN601)-ROW(AN$15),0),15-13*ORÇAMENTO!$AF$11)),0)</f>
        <v>0</v>
      </c>
      <c r="AO601" s="545">
        <f ca="1">IF(AND($D601="Serviço",AO$12&lt;&gt;0,$H601&gt;0,OR(AUTOEVENTO&lt;&gt;"manual",$M601&lt;&gt;1)),
IF(Import.TipoArredondamento&lt;&gt;"TransfereGOV",
ROUND(OFFSET($P601,0,AO$13),15-13*ORÇAMENTO!$AF$7)/$H601*OFFSET(ORÇAMENTO!$X$15,ROW(AO601)-ROW(AO$15),0),
ROUND(ROUND(OFFSET($P601,0,AO$13),15-13*ORÇAMENTO!$AF$7)*OFFSET(ORÇAMENTO!$W$15,ROW(AO601)-ROW(AO$15),0),15-13*ORÇAMENTO!$AF$11)),0)</f>
        <v>0</v>
      </c>
      <c r="AP601" s="545">
        <f ca="1">IF(AND($D601="Serviço",AP$12&lt;&gt;0,$H601&gt;0,OR(AUTOEVENTO&lt;&gt;"manual",$M601&lt;&gt;1)),
IF(Import.TipoArredondamento&lt;&gt;"TransfereGOV",
ROUND(OFFSET($P601,0,AP$13),15-13*ORÇAMENTO!$AF$7)/$H601*OFFSET(ORÇAMENTO!$X$15,ROW(AP601)-ROW(AP$15),0),
ROUND(ROUND(OFFSET($P601,0,AP$13),15-13*ORÇAMENTO!$AF$7)*OFFSET(ORÇAMENTO!$W$15,ROW(AP601)-ROW(AP$15),0),15-13*ORÇAMENTO!$AF$11)),0)</f>
        <v>0</v>
      </c>
      <c r="AQ601" s="545">
        <f ca="1">IF(AND($D601="Serviço",AQ$12&lt;&gt;0,$H601&gt;0,OR(AUTOEVENTO&lt;&gt;"manual",$M601&lt;&gt;1)),
IF(Import.TipoArredondamento&lt;&gt;"TransfereGOV",
ROUND(OFFSET($P601,0,AQ$13),15-13*ORÇAMENTO!$AF$7)/$H601*OFFSET(ORÇAMENTO!$X$15,ROW(AQ601)-ROW(AQ$15),0),
ROUND(ROUND(OFFSET($P601,0,AQ$13),15-13*ORÇAMENTO!$AF$7)*OFFSET(ORÇAMENTO!$W$15,ROW(AQ601)-ROW(AQ$15),0),15-13*ORÇAMENTO!$AF$11)),0)</f>
        <v>0</v>
      </c>
      <c r="AR601" s="545">
        <f ca="1">IF(AND($D601="Serviço",AR$12&lt;&gt;0,$H601&gt;0,OR(AUTOEVENTO&lt;&gt;"manual",$M601&lt;&gt;1)),
IF(Import.TipoArredondamento&lt;&gt;"TransfereGOV",
ROUND(OFFSET($P601,0,AR$13),15-13*ORÇAMENTO!$AF$7)/$H601*OFFSET(ORÇAMENTO!$X$15,ROW(AR601)-ROW(AR$15),0),
ROUND(ROUND(OFFSET($P601,0,AR$13),15-13*ORÇAMENTO!$AF$7)*OFFSET(ORÇAMENTO!$W$15,ROW(AR601)-ROW(AR$15),0),15-13*ORÇAMENTO!$AF$11)),0)</f>
        <v>0</v>
      </c>
      <c r="AS601" s="546">
        <f ca="1">IF(AND($D601="Serviço",AS$12&lt;&gt;0,$H601&gt;0,OR(AUTOEVENTO&lt;&gt;"manual",$M601&lt;&gt;1)),
IF(Import.TipoArredondamento&lt;&gt;"TransfereGOV",
ROUND(OFFSET($P601,0,AS$13),15-13*ORÇAMENTO!$AF$7)/$H601*OFFSET(ORÇAMENTO!$X$15,ROW(AS601)-ROW(AS$15),0),
ROUND(ROUND(OFFSET($P601,0,AS$13),15-13*ORÇAMENTO!$AF$7)*OFFSET(ORÇAMENTO!$W$15,ROW(AS601)-ROW(AS$15),0),15-13*ORÇAMENTO!$AF$11)),0)</f>
        <v>0</v>
      </c>
      <c r="AT601" s="545">
        <f ca="1">IF(AND($D601="Serviço",AT$12&lt;&gt;0,$H601&gt;0,OR(AUTOEVENTO&lt;&gt;"manual",$M601&lt;&gt;1)),
IF(Import.TipoArredondamento&lt;&gt;"TransfereGOV",
ROUND(OFFSET($P601,0,AT$13),15-13*ORÇAMENTO!$AF$7)/$H601*OFFSET(ORÇAMENTO!$X$15,ROW(AT601)-ROW(AT$15),0),
ROUND(ROUND(OFFSET($P601,0,AT$13),15-13*ORÇAMENTO!$AF$7)*OFFSET(ORÇAMENTO!$W$15,ROW(AT601)-ROW(AT$15),0),15-13*ORÇAMENTO!$AF$11)),0)</f>
        <v>0</v>
      </c>
      <c r="AU601" s="545">
        <f ca="1">IF(AND($D601="Serviço",AU$12&lt;&gt;0,$H601&gt;0,OR(AUTOEVENTO&lt;&gt;"manual",$M601&lt;&gt;1)),
IF(Import.TipoArredondamento&lt;&gt;"TransfereGOV",
ROUND(OFFSET($P601,0,AU$13),15-13*ORÇAMENTO!$AF$7)/$H601*OFFSET(ORÇAMENTO!$X$15,ROW(AU601)-ROW(AU$15),0),
ROUND(ROUND(OFFSET($P601,0,AU$13),15-13*ORÇAMENTO!$AF$7)*OFFSET(ORÇAMENTO!$W$15,ROW(AU601)-ROW(AU$15),0),15-13*ORÇAMENTO!$AF$11)),0)</f>
        <v>0</v>
      </c>
      <c r="AV601" s="545">
        <f ca="1">IF(AND($D601="Serviço",AV$12&lt;&gt;0,$H601&gt;0,OR(AUTOEVENTO&lt;&gt;"manual",$M601&lt;&gt;1)),
IF(Import.TipoArredondamento&lt;&gt;"TransfereGOV",
ROUND(OFFSET($P601,0,AV$13),15-13*ORÇAMENTO!$AF$7)/$H601*OFFSET(ORÇAMENTO!$X$15,ROW(AV601)-ROW(AV$15),0),
ROUND(ROUND(OFFSET($P601,0,AV$13),15-13*ORÇAMENTO!$AF$7)*OFFSET(ORÇAMENTO!$W$15,ROW(AV601)-ROW(AV$15),0),15-13*ORÇAMENTO!$AF$11)),0)</f>
        <v>0</v>
      </c>
      <c r="AW601" s="545">
        <f ca="1">IF(AND($D601="Serviço",AW$12&lt;&gt;0,$H601&gt;0,OR(AUTOEVENTO&lt;&gt;"manual",$M601&lt;&gt;1)),
IF(Import.TipoArredondamento&lt;&gt;"TransfereGOV",
ROUND(OFFSET($P601,0,AW$13),15-13*ORÇAMENTO!$AF$7)/$H601*OFFSET(ORÇAMENTO!$X$15,ROW(AW601)-ROW(AW$15),0),
ROUND(ROUND(OFFSET($P601,0,AW$13),15-13*ORÇAMENTO!$AF$7)*OFFSET(ORÇAMENTO!$W$15,ROW(AW601)-ROW(AW$15),0),15-13*ORÇAMENTO!$AF$11)),0)</f>
        <v>0</v>
      </c>
      <c r="AX601" s="545">
        <f ca="1">IF(AND($D601="Serviço",AX$12&lt;&gt;0,$H601&gt;0,OR(AUTOEVENTO&lt;&gt;"manual",$M601&lt;&gt;1)),
IF(Import.TipoArredondamento&lt;&gt;"TransfereGOV",
ROUND(OFFSET($P601,0,AX$13),15-13*ORÇAMENTO!$AF$7)/$H601*OFFSET(ORÇAMENTO!$X$15,ROW(AX601)-ROW(AX$15),0),
ROUND(ROUND(OFFSET($P601,0,AX$13),15-13*ORÇAMENTO!$AF$7)*OFFSET(ORÇAMENTO!$W$15,ROW(AX601)-ROW(AX$15),0),15-13*ORÇAMENTO!$AF$11)),0)</f>
        <v>0</v>
      </c>
      <c r="AY601" s="545">
        <f ca="1">IF(AND($D601="Serviço",AY$12&lt;&gt;0,$H601&gt;0,OR(AUTOEVENTO&lt;&gt;"manual",$M601&lt;&gt;1)),
IF(Import.TipoArredondamento&lt;&gt;"TransfereGOV",
ROUND(OFFSET($P601,0,AY$13),15-13*ORÇAMENTO!$AF$7)/$H601*OFFSET(ORÇAMENTO!$X$15,ROW(AY601)-ROW(AY$15),0),
ROUND(ROUND(OFFSET($P601,0,AY$13),15-13*ORÇAMENTO!$AF$7)*OFFSET(ORÇAMENTO!$W$15,ROW(AY601)-ROW(AY$15),0),15-13*ORÇAMENTO!$AF$11)),0)</f>
        <v>0</v>
      </c>
      <c r="AZ601" s="545">
        <f ca="1">IF(AND($D601="Serviço",AZ$12&lt;&gt;0,$H601&gt;0,OR(AUTOEVENTO&lt;&gt;"manual",$M601&lt;&gt;1)),
IF(Import.TipoArredondamento&lt;&gt;"TransfereGOV",
ROUND(OFFSET($P601,0,AZ$13),15-13*ORÇAMENTO!$AF$7)/$H601*OFFSET(ORÇAMENTO!$X$15,ROW(AZ601)-ROW(AZ$15),0),
ROUND(ROUND(OFFSET($P601,0,AZ$13),15-13*ORÇAMENTO!$AF$7)*OFFSET(ORÇAMENTO!$W$15,ROW(AZ601)-ROW(AZ$15),0),15-13*ORÇAMENTO!$AF$11)),0)</f>
        <v>0</v>
      </c>
      <c r="BA601" s="546">
        <f ca="1">IF(AND($D601="Serviço",BA$12&lt;&gt;0,$H601&gt;0,OR(AUTOEVENTO&lt;&gt;"manual",$M601&lt;&gt;1)),
IF(Import.TipoArredondamento&lt;&gt;"TransfereGOV",
ROUND(OFFSET($P601,0,BA$13),15-13*ORÇAMENTO!$AF$7)/$H601*OFFSET(ORÇAMENTO!$X$15,ROW(BA601)-ROW(BA$15),0),
ROUND(ROUND(OFFSET($P601,0,BA$13),15-13*ORÇAMENTO!$AF$7)*OFFSET(ORÇAMENTO!$W$15,ROW(BA601)-ROW(BA$15),0),15-13*ORÇAMENTO!$AF$11)),0)</f>
        <v>0</v>
      </c>
      <c r="BC601" s="181">
        <f ca="1">IF($D601&lt;&gt;"Serviço",0,IF(AND(AUTOEVENTO="Manual",$M601=1),0,IF(OFFSET(CRONOPLE!$F$14,$M601,BC$13)="",10^12,OFFSET(CRONOPLE!$F$14,$M601,BC$13))))</f>
        <v>11</v>
      </c>
      <c r="BD601" s="181">
        <f ca="1">IF($D601&lt;&gt;"Serviço",0,IF(AND(AUTOEVENTO="Manual",$M601=1),0,IF(OFFSET(CRONOPLE!$F$14,$M601,BD$13)="",10^12,OFFSET(CRONOPLE!$F$14,$M601,BD$13))))</f>
        <v>1000000000000</v>
      </c>
      <c r="BE601" s="181">
        <f ca="1">IF($D601&lt;&gt;"Serviço",0,IF(AND(AUTOEVENTO="Manual",$M601=1),0,IF(OFFSET(CRONOPLE!$F$14,$M601,BE$13)="",10^12,OFFSET(CRONOPLE!$F$14,$M601,BE$13))))</f>
        <v>1000000000000</v>
      </c>
      <c r="BF601" s="181">
        <f ca="1">IF($D601&lt;&gt;"Serviço",0,IF(AND(AUTOEVENTO="Manual",$M601=1),0,IF(OFFSET(CRONOPLE!$F$14,$M601,BF$13)="",10^12,OFFSET(CRONOPLE!$F$14,$M601,BF$13))))</f>
        <v>1000000000000</v>
      </c>
      <c r="BG601" s="181">
        <f ca="1">IF($D601&lt;&gt;"Serviço",0,IF(AND(AUTOEVENTO="Manual",$M601=1),0,IF(OFFSET(CRONOPLE!$F$14,$M601,BG$13)="",10^12,OFFSET(CRONOPLE!$F$14,$M601,BG$13))))</f>
        <v>1000000000000</v>
      </c>
      <c r="BH601" s="181">
        <f ca="1">IF($D601&lt;&gt;"Serviço",0,IF(AND(AUTOEVENTO="Manual",$M601=1),0,IF(OFFSET(CRONOPLE!$F$14,$M601,BH$13)="",10^12,OFFSET(CRONOPLE!$F$14,$M601,BH$13))))</f>
        <v>1000000000000</v>
      </c>
      <c r="BI601" s="181">
        <f ca="1">IF($D601&lt;&gt;"Serviço",0,IF(AND(AUTOEVENTO="Manual",$M601=1),0,IF(OFFSET(CRONOPLE!$F$14,$M601,BI$13)="",10^12,OFFSET(CRONOPLE!$F$14,$M601,BI$13))))</f>
        <v>1000000000000</v>
      </c>
      <c r="BJ601" s="181">
        <f ca="1">IF($D601&lt;&gt;"Serviço",0,IF(AND(AUTOEVENTO="Manual",$M601=1),0,IF(OFFSET(CRONOPLE!$F$14,$M601,BJ$13)="",10^12,OFFSET(CRONOPLE!$F$14,$M601,BJ$13))))</f>
        <v>1000000000000</v>
      </c>
      <c r="BK601" s="181">
        <f ca="1">IF($D601&lt;&gt;"Serviço",0,IF(AND(AUTOEVENTO="Manual",$M601=1),0,IF(OFFSET(CRONOPLE!$F$14,$M601,BK$13)="",10^12,OFFSET(CRONOPLE!$F$14,$M601,BK$13))))</f>
        <v>1000000000000</v>
      </c>
      <c r="BL601" s="181">
        <f ca="1">IF($D601&lt;&gt;"Serviço",0,IF(AND(AUTOEVENTO="Manual",$M601=1),0,IF(OFFSET(CRONOPLE!$F$14,$M601,BL$13)="",10^12,OFFSET(CRONOPLE!$F$14,$M601,BL$13))))</f>
        <v>1000000000000</v>
      </c>
      <c r="BM601" s="181">
        <f ca="1">IF($D601&lt;&gt;"Serviço",0,IF(AND(AUTOEVENTO="Manual",$M601=1),0,IF(OFFSET(CRONOPLE!$F$14,$M601,BM$13)="",10^12,OFFSET(CRONOPLE!$F$14,$M601,BM$13))))</f>
        <v>1000000000000</v>
      </c>
      <c r="BN601" s="181">
        <f ca="1">IF($D601&lt;&gt;"Serviço",0,IF(AND(AUTOEVENTO="Manual",$M601=1),0,IF(OFFSET(CRONOPLE!$F$14,$M601,BN$13)="",10^12,OFFSET(CRONOPLE!$F$14,$M601,BN$13))))</f>
        <v>1000000000000</v>
      </c>
      <c r="BO601" s="181">
        <f ca="1">IF($D601&lt;&gt;"Serviço",0,IF(AND(AUTOEVENTO="Manual",$M601=1),0,IF(OFFSET(CRONOPLE!$F$14,$M601,BO$13)="",10^12,OFFSET(CRONOPLE!$F$14,$M601,BO$13))))</f>
        <v>1000000000000</v>
      </c>
      <c r="BP601" s="181">
        <f ca="1">IF($D601&lt;&gt;"Serviço",0,IF(AND(AUTOEVENTO="Manual",$M601=1),0,IF(OFFSET(CRONOPLE!$F$14,$M601,BP$13)="",10^12,OFFSET(CRONOPLE!$F$14,$M601,BP$13))))</f>
        <v>1000000000000</v>
      </c>
      <c r="BQ601" s="181">
        <f ca="1">IF($D601&lt;&gt;"Serviço",0,IF(AND(AUTOEVENTO="Manual",$M601=1),0,IF(OFFSET(CRONOPLE!$F$14,$M601,BQ$13)="",10^12,OFFSET(CRONOPLE!$F$14,$M601,BQ$13))))</f>
        <v>1000000000000</v>
      </c>
      <c r="BR601" s="181">
        <f ca="1">IF($D601&lt;&gt;"Serviço",0,IF(AND(AUTOEVENTO="Manual",$M601=1),0,IF(OFFSET(CRONOPLE!$F$14,$M601,BR$13)="",10^12,OFFSET(CRONOPLE!$F$14,$M601,BR$13))))</f>
        <v>1000000000000</v>
      </c>
      <c r="BS601" s="181">
        <f ca="1">IF($D601&lt;&gt;"Serviço",0,IF(AND(AUTOEVENTO="Manual",$M601=1),0,IF(OFFSET(CRONOPLE!$F$14,$M601,BS$13)="",10^12,OFFSET(CRONOPLE!$F$14,$M601,BS$13))))</f>
        <v>1000000000000</v>
      </c>
      <c r="BT601" s="181">
        <f ca="1">IF($D601&lt;&gt;"Serviço",0,IF(AND(AUTOEVENTO="Manual",$M601=1),0,IF(OFFSET(CRONOPLE!$F$14,$M601,BT$13)="",10^12,OFFSET(CRONOPLE!$F$14,$M601,BT$13))))</f>
        <v>1000000000000</v>
      </c>
      <c r="BV601" s="182">
        <f ca="1">IF($D601&lt;&gt;"Serviço",0,IF(OR(AND(AUTOEVENTO="Manual",$M601=1),$M601&gt;(ROW(PLE.lastrow)-ROW(PLE.firstrow))),0,IF(OFFSET(PLE!$G$14,$M601,BV$13)="",10^12,OFFSET(PLE!$G$14,$M601,BV$13))))</f>
        <v>1000000000000</v>
      </c>
      <c r="BW601" s="182">
        <f ca="1">IF($D601&lt;&gt;"Serviço",0,IF(OR(AND(AUTOEVENTO="Manual",$M601=1),$M601&gt;(ROW(PLE.lastrow)-ROW(PLE.firstrow))),0,IF(OFFSET(PLE!$G$14,$M601,BW$13)="",10^12,OFFSET(PLE!$G$14,$M601,BW$13))))</f>
        <v>1000000000000</v>
      </c>
      <c r="BX601" s="182">
        <f ca="1">IF($D601&lt;&gt;"Serviço",0,IF(OR(AND(AUTOEVENTO="Manual",$M601=1),$M601&gt;(ROW(PLE.lastrow)-ROW(PLE.firstrow))),0,IF(OFFSET(PLE!$G$14,$M601,BX$13)="",10^12,OFFSET(PLE!$G$14,$M601,BX$13))))</f>
        <v>1000000000000</v>
      </c>
      <c r="BY601" s="182">
        <f ca="1">IF($D601&lt;&gt;"Serviço",0,IF(OR(AND(AUTOEVENTO="Manual",$M601=1),$M601&gt;(ROW(PLE.lastrow)-ROW(PLE.firstrow))),0,IF(OFFSET(PLE!$G$14,$M601,BY$13)="",10^12,OFFSET(PLE!$G$14,$M601,BY$13))))</f>
        <v>1000000000000</v>
      </c>
      <c r="BZ601" s="182">
        <f ca="1">IF($D601&lt;&gt;"Serviço",0,IF(OR(AND(AUTOEVENTO="Manual",$M601=1),$M601&gt;(ROW(PLE.lastrow)-ROW(PLE.firstrow))),0,IF(OFFSET(PLE!$G$14,$M601,BZ$13)="",10^12,OFFSET(PLE!$G$14,$M601,BZ$13))))</f>
        <v>1000000000000</v>
      </c>
      <c r="CA601" s="182">
        <f ca="1">IF($D601&lt;&gt;"Serviço",0,IF(OR(AND(AUTOEVENTO="Manual",$M601=1),$M601&gt;(ROW(PLE.lastrow)-ROW(PLE.firstrow))),0,IF(OFFSET(PLE!$G$14,$M601,CA$13)="",10^12,OFFSET(PLE!$G$14,$M601,CA$13))))</f>
        <v>1000000000000</v>
      </c>
      <c r="CB601" s="182">
        <f ca="1">IF($D601&lt;&gt;"Serviço",0,IF(OR(AND(AUTOEVENTO="Manual",$M601=1),$M601&gt;(ROW(PLE.lastrow)-ROW(PLE.firstrow))),0,IF(OFFSET(PLE!$G$14,$M601,CB$13)="",10^12,OFFSET(PLE!$G$14,$M601,CB$13))))</f>
        <v>1000000000000</v>
      </c>
      <c r="CC601" s="182">
        <f ca="1">IF($D601&lt;&gt;"Serviço",0,IF(OR(AND(AUTOEVENTO="Manual",$M601=1),$M601&gt;(ROW(PLE.lastrow)-ROW(PLE.firstrow))),0,IF(OFFSET(PLE!$G$14,$M601,CC$13)="",10^12,OFFSET(PLE!$G$14,$M601,CC$13))))</f>
        <v>1000000000000</v>
      </c>
      <c r="CD601" s="182">
        <f ca="1">IF($D601&lt;&gt;"Serviço",0,IF(OR(AND(AUTOEVENTO="Manual",$M601=1),$M601&gt;(ROW(PLE.lastrow)-ROW(PLE.firstrow))),0,IF(OFFSET(PLE!$G$14,$M601,CD$13)="",10^12,OFFSET(PLE!$G$14,$M601,CD$13))))</f>
        <v>1000000000000</v>
      </c>
      <c r="CE601" s="182">
        <f ca="1">IF($D601&lt;&gt;"Serviço",0,IF(OR(AND(AUTOEVENTO="Manual",$M601=1),$M601&gt;(ROW(PLE.lastrow)-ROW(PLE.firstrow))),0,IF(OFFSET(PLE!$G$14,$M601,CE$13)="",10^12,OFFSET(PLE!$G$14,$M601,CE$13))))</f>
        <v>1000000000000</v>
      </c>
      <c r="CF601" s="182">
        <f ca="1">IF($D601&lt;&gt;"Serviço",0,IF(OR(AND(AUTOEVENTO="Manual",$M601=1),$M601&gt;(ROW(PLE.lastrow)-ROW(PLE.firstrow))),0,IF(OFFSET(PLE!$G$14,$M601,CF$13)="",10^12,OFFSET(PLE!$G$14,$M601,CF$13))))</f>
        <v>1000000000000</v>
      </c>
      <c r="CG601" s="182">
        <f ca="1">IF($D601&lt;&gt;"Serviço",0,IF(OR(AND(AUTOEVENTO="Manual",$M601=1),$M601&gt;(ROW(PLE.lastrow)-ROW(PLE.firstrow))),0,IF(OFFSET(PLE!$G$14,$M601,CG$13)="",10^12,OFFSET(PLE!$G$14,$M601,CG$13))))</f>
        <v>1000000000000</v>
      </c>
      <c r="CH601" s="182">
        <f ca="1">IF($D601&lt;&gt;"Serviço",0,IF(OR(AND(AUTOEVENTO="Manual",$M601=1),$M601&gt;(ROW(PLE.lastrow)-ROW(PLE.firstrow))),0,IF(OFFSET(PLE!$G$14,$M601,CH$13)="",10^12,OFFSET(PLE!$G$14,$M601,CH$13))))</f>
        <v>1000000000000</v>
      </c>
      <c r="CI601" s="182">
        <f ca="1">IF($D601&lt;&gt;"Serviço",0,IF(OR(AND(AUTOEVENTO="Manual",$M601=1),$M601&gt;(ROW(PLE.lastrow)-ROW(PLE.firstrow))),0,IF(OFFSET(PLE!$G$14,$M601,CI$13)="",10^12,OFFSET(PLE!$G$14,$M601,CI$13))))</f>
        <v>1000000000000</v>
      </c>
      <c r="CJ601" s="182">
        <f ca="1">IF($D601&lt;&gt;"Serviço",0,IF(OR(AND(AUTOEVENTO="Manual",$M601=1),$M601&gt;(ROW(PLE.lastrow)-ROW(PLE.firstrow))),0,IF(OFFSET(PLE!$G$14,$M601,CJ$13)="",10^12,OFFSET(PLE!$G$14,$M601,CJ$13))))</f>
        <v>1000000000000</v>
      </c>
      <c r="CK601" s="182">
        <f ca="1">IF($D601&lt;&gt;"Serviço",0,IF(OR(AND(AUTOEVENTO="Manual",$M601=1),$M601&gt;(ROW(PLE.lastrow)-ROW(PLE.firstrow))),0,IF(OFFSET(PLE!$G$14,$M601,CK$13)="",10^12,OFFSET(PLE!$G$14,$M601,CK$13))))</f>
        <v>1000000000000</v>
      </c>
      <c r="CL601" s="182">
        <f ca="1">IF($D601&lt;&gt;"Serviço",0,IF(OR(AND(AUTOEVENTO="Manual",$M601=1),$M601&gt;(ROW(PLE.lastrow)-ROW(PLE.firstrow))),0,IF(OFFSET(PLE!$G$14,$M601,CL$13)="",10^12,OFFSET(PLE!$G$14,$M601,CL$13))))</f>
        <v>1000000000000</v>
      </c>
      <c r="CM601" s="182">
        <f ca="1">IF($D601&lt;&gt;"Serviço",0,IF(OR(AND(AUTOEVENTO="Manual",$M601=1),$M601&gt;(ROW(PLE.lastrow)-ROW(PLE.firstrow))),0,IF(OFFSET(PLE!$G$14,$M601,CM$13)="",10^12,OFFSET(PLE!$G$14,$M601,CM$13))))</f>
        <v>1000000000000</v>
      </c>
    </row>
    <row r="602" spans="1:91" ht="38.25" x14ac:dyDescent="0.2">
      <c r="A602" s="7" t="str">
        <f t="shared" ca="1" si="18"/>
        <v>580</v>
      </c>
      <c r="B602" s="7" t="str">
        <f ca="1">OFFSET(ORÇAMENTO!C$15,ROW(B602)-ROW(B$15),0)</f>
        <v>S</v>
      </c>
      <c r="C602" s="7" t="str">
        <f ca="1">OFFSET(ORÇAMENTO!L$15,ROW(C602)-ROW(C$15),0)</f>
        <v/>
      </c>
      <c r="D602" s="118" t="str">
        <f ca="1">OFFSET(ORÇAMENTO!N$15,ROW(D602)-ROW(D$15),0)</f>
        <v>Serviço</v>
      </c>
      <c r="E602" s="119" t="str">
        <f ca="1">OFFSET(ORÇAMENTO!O$15,ROW(E602)-ROW(E$15),0)</f>
        <v>-</v>
      </c>
      <c r="F602" s="172" t="str">
        <f ca="1">OFFSET(ORÇAMENTO!R$15,ROW(F602)-ROW(F$15),0)</f>
        <v>(abra o arquivo 'Referência 06-2024.xlsm)</v>
      </c>
      <c r="G602" s="173" t="str">
        <f ca="1">IF($D602&lt;&gt;"Serviço","",OFFSET(ORÇAMENTO!S$15,ROW(G602)-ROW(G$15),0))</f>
        <v>-</v>
      </c>
      <c r="H602" s="124">
        <f ca="1">IF($D602&lt;&gt;"Serviço",0,IF(ACOMPANHAMENTO="BM",ROUND(OFFSET(ORÇAMENTO!AJ$15,ROW(H602)-ROW(H$15),0),15-13*ORÇAMENTO!$AF$7),SUMPRODUCT(($Q$12:$AI$12&lt;&gt;"")*ROUND($Q602:$AI602,15-13*ORÇAMENTO!$AF$7))))</f>
        <v>4</v>
      </c>
      <c r="I602" s="561" t="s">
        <v>1107</v>
      </c>
      <c r="K602" s="174"/>
      <c r="L602" s="175" t="s">
        <v>255</v>
      </c>
      <c r="M602" s="176">
        <f ca="1">IF($D602&lt;&gt;"Serviço","",IF(AUTOEVENTO="manual",$A602,IF(ISERROR(MATCH($A602,$A$15:OFFSET($A602,-1,0),0)),MAX($M$15:OFFSET(M602,-1,0))+1,INDEX($M$15:OFFSET(M602,-1,0),MATCH($A602,$A$15:OFFSET($A602,-1,0),0)))))</f>
        <v>61</v>
      </c>
      <c r="N602" s="177" t="str">
        <f ca="1">IF($D602&lt;&gt;"Serviço","",IF(AUTOEVENTO="Manual",IF($A602=0,"&lt;-- defina o número do agrupador",OFFSET(EVENTOS!$D$14,$A602,0)),OFFSET($F$15,$A602,0)))</f>
        <v>INSTALAÇÃO ELÉTRICA 110V - ILUMINAÇÃO</v>
      </c>
      <c r="O602" s="178"/>
      <c r="Q602" s="178">
        <v>4</v>
      </c>
      <c r="R602" s="179"/>
      <c r="S602" s="179"/>
      <c r="T602" s="179"/>
      <c r="U602" s="179"/>
      <c r="V602" s="179"/>
      <c r="W602" s="179"/>
      <c r="X602" s="179"/>
      <c r="Y602" s="179"/>
      <c r="Z602" s="180"/>
      <c r="AA602" s="179"/>
      <c r="AB602" s="179"/>
      <c r="AC602" s="179"/>
      <c r="AD602" s="179"/>
      <c r="AE602" s="179"/>
      <c r="AF602" s="179"/>
      <c r="AG602" s="179"/>
      <c r="AH602" s="180"/>
      <c r="AJ602" s="544">
        <f ca="1">IF(AND($D602="Serviço",AJ$12&lt;&gt;0,$H602&gt;0,OR(AUTOEVENTO&lt;&gt;"manual",$M602&lt;&gt;1)),
IF(Import.TipoArredondamento&lt;&gt;"TransfereGOV",
ROUND(OFFSET($P602,0,AJ$13),15-13*ORÇAMENTO!$AF$7)/$H602*OFFSET(ORÇAMENTO!$X$15,ROW(AJ602)-ROW(AJ$15),0),
ROUND(ROUND(OFFSET($P602,0,AJ$13),15-13*ORÇAMENTO!$AF$7)*OFFSET(ORÇAMENTO!$W$15,ROW(AJ602)-ROW(AJ$15),0),15-13*ORÇAMENTO!$AF$11)),0)</f>
        <v>0</v>
      </c>
      <c r="AK602" s="545">
        <f ca="1">IF(AND($D602="Serviço",AK$12&lt;&gt;0,$H602&gt;0,OR(AUTOEVENTO&lt;&gt;"manual",$M602&lt;&gt;1)),
IF(Import.TipoArredondamento&lt;&gt;"TransfereGOV",
ROUND(OFFSET($P602,0,AK$13),15-13*ORÇAMENTO!$AF$7)/$H602*OFFSET(ORÇAMENTO!$X$15,ROW(AK602)-ROW(AK$15),0),
ROUND(ROUND(OFFSET($P602,0,AK$13),15-13*ORÇAMENTO!$AF$7)*OFFSET(ORÇAMENTO!$W$15,ROW(AK602)-ROW(AK$15),0),15-13*ORÇAMENTO!$AF$11)),0)</f>
        <v>0</v>
      </c>
      <c r="AL602" s="545">
        <f ca="1">IF(AND($D602="Serviço",AL$12&lt;&gt;0,$H602&gt;0,OR(AUTOEVENTO&lt;&gt;"manual",$M602&lt;&gt;1)),
IF(Import.TipoArredondamento&lt;&gt;"TransfereGOV",
ROUND(OFFSET($P602,0,AL$13),15-13*ORÇAMENTO!$AF$7)/$H602*OFFSET(ORÇAMENTO!$X$15,ROW(AL602)-ROW(AL$15),0),
ROUND(ROUND(OFFSET($P602,0,AL$13),15-13*ORÇAMENTO!$AF$7)*OFFSET(ORÇAMENTO!$W$15,ROW(AL602)-ROW(AL$15),0),15-13*ORÇAMENTO!$AF$11)),0)</f>
        <v>0</v>
      </c>
      <c r="AM602" s="545">
        <f ca="1">IF(AND($D602="Serviço",AM$12&lt;&gt;0,$H602&gt;0,OR(AUTOEVENTO&lt;&gt;"manual",$M602&lt;&gt;1)),
IF(Import.TipoArredondamento&lt;&gt;"TransfereGOV",
ROUND(OFFSET($P602,0,AM$13),15-13*ORÇAMENTO!$AF$7)/$H602*OFFSET(ORÇAMENTO!$X$15,ROW(AM602)-ROW(AM$15),0),
ROUND(ROUND(OFFSET($P602,0,AM$13),15-13*ORÇAMENTO!$AF$7)*OFFSET(ORÇAMENTO!$W$15,ROW(AM602)-ROW(AM$15),0),15-13*ORÇAMENTO!$AF$11)),0)</f>
        <v>0</v>
      </c>
      <c r="AN602" s="545">
        <f ca="1">IF(AND($D602="Serviço",AN$12&lt;&gt;0,$H602&gt;0,OR(AUTOEVENTO&lt;&gt;"manual",$M602&lt;&gt;1)),
IF(Import.TipoArredondamento&lt;&gt;"TransfereGOV",
ROUND(OFFSET($P602,0,AN$13),15-13*ORÇAMENTO!$AF$7)/$H602*OFFSET(ORÇAMENTO!$X$15,ROW(AN602)-ROW(AN$15),0),
ROUND(ROUND(OFFSET($P602,0,AN$13),15-13*ORÇAMENTO!$AF$7)*OFFSET(ORÇAMENTO!$W$15,ROW(AN602)-ROW(AN$15),0),15-13*ORÇAMENTO!$AF$11)),0)</f>
        <v>0</v>
      </c>
      <c r="AO602" s="545">
        <f ca="1">IF(AND($D602="Serviço",AO$12&lt;&gt;0,$H602&gt;0,OR(AUTOEVENTO&lt;&gt;"manual",$M602&lt;&gt;1)),
IF(Import.TipoArredondamento&lt;&gt;"TransfereGOV",
ROUND(OFFSET($P602,0,AO$13),15-13*ORÇAMENTO!$AF$7)/$H602*OFFSET(ORÇAMENTO!$X$15,ROW(AO602)-ROW(AO$15),0),
ROUND(ROUND(OFFSET($P602,0,AO$13),15-13*ORÇAMENTO!$AF$7)*OFFSET(ORÇAMENTO!$W$15,ROW(AO602)-ROW(AO$15),0),15-13*ORÇAMENTO!$AF$11)),0)</f>
        <v>0</v>
      </c>
      <c r="AP602" s="545">
        <f ca="1">IF(AND($D602="Serviço",AP$12&lt;&gt;0,$H602&gt;0,OR(AUTOEVENTO&lt;&gt;"manual",$M602&lt;&gt;1)),
IF(Import.TipoArredondamento&lt;&gt;"TransfereGOV",
ROUND(OFFSET($P602,0,AP$13),15-13*ORÇAMENTO!$AF$7)/$H602*OFFSET(ORÇAMENTO!$X$15,ROW(AP602)-ROW(AP$15),0),
ROUND(ROUND(OFFSET($P602,0,AP$13),15-13*ORÇAMENTO!$AF$7)*OFFSET(ORÇAMENTO!$W$15,ROW(AP602)-ROW(AP$15),0),15-13*ORÇAMENTO!$AF$11)),0)</f>
        <v>0</v>
      </c>
      <c r="AQ602" s="545">
        <f ca="1">IF(AND($D602="Serviço",AQ$12&lt;&gt;0,$H602&gt;0,OR(AUTOEVENTO&lt;&gt;"manual",$M602&lt;&gt;1)),
IF(Import.TipoArredondamento&lt;&gt;"TransfereGOV",
ROUND(OFFSET($P602,0,AQ$13),15-13*ORÇAMENTO!$AF$7)/$H602*OFFSET(ORÇAMENTO!$X$15,ROW(AQ602)-ROW(AQ$15),0),
ROUND(ROUND(OFFSET($P602,0,AQ$13),15-13*ORÇAMENTO!$AF$7)*OFFSET(ORÇAMENTO!$W$15,ROW(AQ602)-ROW(AQ$15),0),15-13*ORÇAMENTO!$AF$11)),0)</f>
        <v>0</v>
      </c>
      <c r="AR602" s="545">
        <f ca="1">IF(AND($D602="Serviço",AR$12&lt;&gt;0,$H602&gt;0,OR(AUTOEVENTO&lt;&gt;"manual",$M602&lt;&gt;1)),
IF(Import.TipoArredondamento&lt;&gt;"TransfereGOV",
ROUND(OFFSET($P602,0,AR$13),15-13*ORÇAMENTO!$AF$7)/$H602*OFFSET(ORÇAMENTO!$X$15,ROW(AR602)-ROW(AR$15),0),
ROUND(ROUND(OFFSET($P602,0,AR$13),15-13*ORÇAMENTO!$AF$7)*OFFSET(ORÇAMENTO!$W$15,ROW(AR602)-ROW(AR$15),0),15-13*ORÇAMENTO!$AF$11)),0)</f>
        <v>0</v>
      </c>
      <c r="AS602" s="546">
        <f ca="1">IF(AND($D602="Serviço",AS$12&lt;&gt;0,$H602&gt;0,OR(AUTOEVENTO&lt;&gt;"manual",$M602&lt;&gt;1)),
IF(Import.TipoArredondamento&lt;&gt;"TransfereGOV",
ROUND(OFFSET($P602,0,AS$13),15-13*ORÇAMENTO!$AF$7)/$H602*OFFSET(ORÇAMENTO!$X$15,ROW(AS602)-ROW(AS$15),0),
ROUND(ROUND(OFFSET($P602,0,AS$13),15-13*ORÇAMENTO!$AF$7)*OFFSET(ORÇAMENTO!$W$15,ROW(AS602)-ROW(AS$15),0),15-13*ORÇAMENTO!$AF$11)),0)</f>
        <v>0</v>
      </c>
      <c r="AT602" s="545">
        <f ca="1">IF(AND($D602="Serviço",AT$12&lt;&gt;0,$H602&gt;0,OR(AUTOEVENTO&lt;&gt;"manual",$M602&lt;&gt;1)),
IF(Import.TipoArredondamento&lt;&gt;"TransfereGOV",
ROUND(OFFSET($P602,0,AT$13),15-13*ORÇAMENTO!$AF$7)/$H602*OFFSET(ORÇAMENTO!$X$15,ROW(AT602)-ROW(AT$15),0),
ROUND(ROUND(OFFSET($P602,0,AT$13),15-13*ORÇAMENTO!$AF$7)*OFFSET(ORÇAMENTO!$W$15,ROW(AT602)-ROW(AT$15),0),15-13*ORÇAMENTO!$AF$11)),0)</f>
        <v>0</v>
      </c>
      <c r="AU602" s="545">
        <f ca="1">IF(AND($D602="Serviço",AU$12&lt;&gt;0,$H602&gt;0,OR(AUTOEVENTO&lt;&gt;"manual",$M602&lt;&gt;1)),
IF(Import.TipoArredondamento&lt;&gt;"TransfereGOV",
ROUND(OFFSET($P602,0,AU$13),15-13*ORÇAMENTO!$AF$7)/$H602*OFFSET(ORÇAMENTO!$X$15,ROW(AU602)-ROW(AU$15),0),
ROUND(ROUND(OFFSET($P602,0,AU$13),15-13*ORÇAMENTO!$AF$7)*OFFSET(ORÇAMENTO!$W$15,ROW(AU602)-ROW(AU$15),0),15-13*ORÇAMENTO!$AF$11)),0)</f>
        <v>0</v>
      </c>
      <c r="AV602" s="545">
        <f ca="1">IF(AND($D602="Serviço",AV$12&lt;&gt;0,$H602&gt;0,OR(AUTOEVENTO&lt;&gt;"manual",$M602&lt;&gt;1)),
IF(Import.TipoArredondamento&lt;&gt;"TransfereGOV",
ROUND(OFFSET($P602,0,AV$13),15-13*ORÇAMENTO!$AF$7)/$H602*OFFSET(ORÇAMENTO!$X$15,ROW(AV602)-ROW(AV$15),0),
ROUND(ROUND(OFFSET($P602,0,AV$13),15-13*ORÇAMENTO!$AF$7)*OFFSET(ORÇAMENTO!$W$15,ROW(AV602)-ROW(AV$15),0),15-13*ORÇAMENTO!$AF$11)),0)</f>
        <v>0</v>
      </c>
      <c r="AW602" s="545">
        <f ca="1">IF(AND($D602="Serviço",AW$12&lt;&gt;0,$H602&gt;0,OR(AUTOEVENTO&lt;&gt;"manual",$M602&lt;&gt;1)),
IF(Import.TipoArredondamento&lt;&gt;"TransfereGOV",
ROUND(OFFSET($P602,0,AW$13),15-13*ORÇAMENTO!$AF$7)/$H602*OFFSET(ORÇAMENTO!$X$15,ROW(AW602)-ROW(AW$15),0),
ROUND(ROUND(OFFSET($P602,0,AW$13),15-13*ORÇAMENTO!$AF$7)*OFFSET(ORÇAMENTO!$W$15,ROW(AW602)-ROW(AW$15),0),15-13*ORÇAMENTO!$AF$11)),0)</f>
        <v>0</v>
      </c>
      <c r="AX602" s="545">
        <f ca="1">IF(AND($D602="Serviço",AX$12&lt;&gt;0,$H602&gt;0,OR(AUTOEVENTO&lt;&gt;"manual",$M602&lt;&gt;1)),
IF(Import.TipoArredondamento&lt;&gt;"TransfereGOV",
ROUND(OFFSET($P602,0,AX$13),15-13*ORÇAMENTO!$AF$7)/$H602*OFFSET(ORÇAMENTO!$X$15,ROW(AX602)-ROW(AX$15),0),
ROUND(ROUND(OFFSET($P602,0,AX$13),15-13*ORÇAMENTO!$AF$7)*OFFSET(ORÇAMENTO!$W$15,ROW(AX602)-ROW(AX$15),0),15-13*ORÇAMENTO!$AF$11)),0)</f>
        <v>0</v>
      </c>
      <c r="AY602" s="545">
        <f ca="1">IF(AND($D602="Serviço",AY$12&lt;&gt;0,$H602&gt;0,OR(AUTOEVENTO&lt;&gt;"manual",$M602&lt;&gt;1)),
IF(Import.TipoArredondamento&lt;&gt;"TransfereGOV",
ROUND(OFFSET($P602,0,AY$13),15-13*ORÇAMENTO!$AF$7)/$H602*OFFSET(ORÇAMENTO!$X$15,ROW(AY602)-ROW(AY$15),0),
ROUND(ROUND(OFFSET($P602,0,AY$13),15-13*ORÇAMENTO!$AF$7)*OFFSET(ORÇAMENTO!$W$15,ROW(AY602)-ROW(AY$15),0),15-13*ORÇAMENTO!$AF$11)),0)</f>
        <v>0</v>
      </c>
      <c r="AZ602" s="545">
        <f ca="1">IF(AND($D602="Serviço",AZ$12&lt;&gt;0,$H602&gt;0,OR(AUTOEVENTO&lt;&gt;"manual",$M602&lt;&gt;1)),
IF(Import.TipoArredondamento&lt;&gt;"TransfereGOV",
ROUND(OFFSET($P602,0,AZ$13),15-13*ORÇAMENTO!$AF$7)/$H602*OFFSET(ORÇAMENTO!$X$15,ROW(AZ602)-ROW(AZ$15),0),
ROUND(ROUND(OFFSET($P602,0,AZ$13),15-13*ORÇAMENTO!$AF$7)*OFFSET(ORÇAMENTO!$W$15,ROW(AZ602)-ROW(AZ$15),0),15-13*ORÇAMENTO!$AF$11)),0)</f>
        <v>0</v>
      </c>
      <c r="BA602" s="546">
        <f ca="1">IF(AND($D602="Serviço",BA$12&lt;&gt;0,$H602&gt;0,OR(AUTOEVENTO&lt;&gt;"manual",$M602&lt;&gt;1)),
IF(Import.TipoArredondamento&lt;&gt;"TransfereGOV",
ROUND(OFFSET($P602,0,BA$13),15-13*ORÇAMENTO!$AF$7)/$H602*OFFSET(ORÇAMENTO!$X$15,ROW(BA602)-ROW(BA$15),0),
ROUND(ROUND(OFFSET($P602,0,BA$13),15-13*ORÇAMENTO!$AF$7)*OFFSET(ORÇAMENTO!$W$15,ROW(BA602)-ROW(BA$15),0),15-13*ORÇAMENTO!$AF$11)),0)</f>
        <v>0</v>
      </c>
      <c r="BC602" s="181">
        <f ca="1">IF($D602&lt;&gt;"Serviço",0,IF(AND(AUTOEVENTO="Manual",$M602=1),0,IF(OFFSET(CRONOPLE!$F$14,$M602,BC$13)="",10^12,OFFSET(CRONOPLE!$F$14,$M602,BC$13))))</f>
        <v>11</v>
      </c>
      <c r="BD602" s="181">
        <f ca="1">IF($D602&lt;&gt;"Serviço",0,IF(AND(AUTOEVENTO="Manual",$M602=1),0,IF(OFFSET(CRONOPLE!$F$14,$M602,BD$13)="",10^12,OFFSET(CRONOPLE!$F$14,$M602,BD$13))))</f>
        <v>1000000000000</v>
      </c>
      <c r="BE602" s="181">
        <f ca="1">IF($D602&lt;&gt;"Serviço",0,IF(AND(AUTOEVENTO="Manual",$M602=1),0,IF(OFFSET(CRONOPLE!$F$14,$M602,BE$13)="",10^12,OFFSET(CRONOPLE!$F$14,$M602,BE$13))))</f>
        <v>1000000000000</v>
      </c>
      <c r="BF602" s="181">
        <f ca="1">IF($D602&lt;&gt;"Serviço",0,IF(AND(AUTOEVENTO="Manual",$M602=1),0,IF(OFFSET(CRONOPLE!$F$14,$M602,BF$13)="",10^12,OFFSET(CRONOPLE!$F$14,$M602,BF$13))))</f>
        <v>1000000000000</v>
      </c>
      <c r="BG602" s="181">
        <f ca="1">IF($D602&lt;&gt;"Serviço",0,IF(AND(AUTOEVENTO="Manual",$M602=1),0,IF(OFFSET(CRONOPLE!$F$14,$M602,BG$13)="",10^12,OFFSET(CRONOPLE!$F$14,$M602,BG$13))))</f>
        <v>1000000000000</v>
      </c>
      <c r="BH602" s="181">
        <f ca="1">IF($D602&lt;&gt;"Serviço",0,IF(AND(AUTOEVENTO="Manual",$M602=1),0,IF(OFFSET(CRONOPLE!$F$14,$M602,BH$13)="",10^12,OFFSET(CRONOPLE!$F$14,$M602,BH$13))))</f>
        <v>1000000000000</v>
      </c>
      <c r="BI602" s="181">
        <f ca="1">IF($D602&lt;&gt;"Serviço",0,IF(AND(AUTOEVENTO="Manual",$M602=1),0,IF(OFFSET(CRONOPLE!$F$14,$M602,BI$13)="",10^12,OFFSET(CRONOPLE!$F$14,$M602,BI$13))))</f>
        <v>1000000000000</v>
      </c>
      <c r="BJ602" s="181">
        <f ca="1">IF($D602&lt;&gt;"Serviço",0,IF(AND(AUTOEVENTO="Manual",$M602=1),0,IF(OFFSET(CRONOPLE!$F$14,$M602,BJ$13)="",10^12,OFFSET(CRONOPLE!$F$14,$M602,BJ$13))))</f>
        <v>1000000000000</v>
      </c>
      <c r="BK602" s="181">
        <f ca="1">IF($D602&lt;&gt;"Serviço",0,IF(AND(AUTOEVENTO="Manual",$M602=1),0,IF(OFFSET(CRONOPLE!$F$14,$M602,BK$13)="",10^12,OFFSET(CRONOPLE!$F$14,$M602,BK$13))))</f>
        <v>1000000000000</v>
      </c>
      <c r="BL602" s="181">
        <f ca="1">IF($D602&lt;&gt;"Serviço",0,IF(AND(AUTOEVENTO="Manual",$M602=1),0,IF(OFFSET(CRONOPLE!$F$14,$M602,BL$13)="",10^12,OFFSET(CRONOPLE!$F$14,$M602,BL$13))))</f>
        <v>1000000000000</v>
      </c>
      <c r="BM602" s="181">
        <f ca="1">IF($D602&lt;&gt;"Serviço",0,IF(AND(AUTOEVENTO="Manual",$M602=1),0,IF(OFFSET(CRONOPLE!$F$14,$M602,BM$13)="",10^12,OFFSET(CRONOPLE!$F$14,$M602,BM$13))))</f>
        <v>1000000000000</v>
      </c>
      <c r="BN602" s="181">
        <f ca="1">IF($D602&lt;&gt;"Serviço",0,IF(AND(AUTOEVENTO="Manual",$M602=1),0,IF(OFFSET(CRONOPLE!$F$14,$M602,BN$13)="",10^12,OFFSET(CRONOPLE!$F$14,$M602,BN$13))))</f>
        <v>1000000000000</v>
      </c>
      <c r="BO602" s="181">
        <f ca="1">IF($D602&lt;&gt;"Serviço",0,IF(AND(AUTOEVENTO="Manual",$M602=1),0,IF(OFFSET(CRONOPLE!$F$14,$M602,BO$13)="",10^12,OFFSET(CRONOPLE!$F$14,$M602,BO$13))))</f>
        <v>1000000000000</v>
      </c>
      <c r="BP602" s="181">
        <f ca="1">IF($D602&lt;&gt;"Serviço",0,IF(AND(AUTOEVENTO="Manual",$M602=1),0,IF(OFFSET(CRONOPLE!$F$14,$M602,BP$13)="",10^12,OFFSET(CRONOPLE!$F$14,$M602,BP$13))))</f>
        <v>1000000000000</v>
      </c>
      <c r="BQ602" s="181">
        <f ca="1">IF($D602&lt;&gt;"Serviço",0,IF(AND(AUTOEVENTO="Manual",$M602=1),0,IF(OFFSET(CRONOPLE!$F$14,$M602,BQ$13)="",10^12,OFFSET(CRONOPLE!$F$14,$M602,BQ$13))))</f>
        <v>1000000000000</v>
      </c>
      <c r="BR602" s="181">
        <f ca="1">IF($D602&lt;&gt;"Serviço",0,IF(AND(AUTOEVENTO="Manual",$M602=1),0,IF(OFFSET(CRONOPLE!$F$14,$M602,BR$13)="",10^12,OFFSET(CRONOPLE!$F$14,$M602,BR$13))))</f>
        <v>1000000000000</v>
      </c>
      <c r="BS602" s="181">
        <f ca="1">IF($D602&lt;&gt;"Serviço",0,IF(AND(AUTOEVENTO="Manual",$M602=1),0,IF(OFFSET(CRONOPLE!$F$14,$M602,BS$13)="",10^12,OFFSET(CRONOPLE!$F$14,$M602,BS$13))))</f>
        <v>1000000000000</v>
      </c>
      <c r="BT602" s="181">
        <f ca="1">IF($D602&lt;&gt;"Serviço",0,IF(AND(AUTOEVENTO="Manual",$M602=1),0,IF(OFFSET(CRONOPLE!$F$14,$M602,BT$13)="",10^12,OFFSET(CRONOPLE!$F$14,$M602,BT$13))))</f>
        <v>1000000000000</v>
      </c>
      <c r="BV602" s="182">
        <f ca="1">IF($D602&lt;&gt;"Serviço",0,IF(OR(AND(AUTOEVENTO="Manual",$M602=1),$M602&gt;(ROW(PLE.lastrow)-ROW(PLE.firstrow))),0,IF(OFFSET(PLE!$G$14,$M602,BV$13)="",10^12,OFFSET(PLE!$G$14,$M602,BV$13))))</f>
        <v>1000000000000</v>
      </c>
      <c r="BW602" s="182">
        <f ca="1">IF($D602&lt;&gt;"Serviço",0,IF(OR(AND(AUTOEVENTO="Manual",$M602=1),$M602&gt;(ROW(PLE.lastrow)-ROW(PLE.firstrow))),0,IF(OFFSET(PLE!$G$14,$M602,BW$13)="",10^12,OFFSET(PLE!$G$14,$M602,BW$13))))</f>
        <v>1000000000000</v>
      </c>
      <c r="BX602" s="182">
        <f ca="1">IF($D602&lt;&gt;"Serviço",0,IF(OR(AND(AUTOEVENTO="Manual",$M602=1),$M602&gt;(ROW(PLE.lastrow)-ROW(PLE.firstrow))),0,IF(OFFSET(PLE!$G$14,$M602,BX$13)="",10^12,OFFSET(PLE!$G$14,$M602,BX$13))))</f>
        <v>1000000000000</v>
      </c>
      <c r="BY602" s="182">
        <f ca="1">IF($D602&lt;&gt;"Serviço",0,IF(OR(AND(AUTOEVENTO="Manual",$M602=1),$M602&gt;(ROW(PLE.lastrow)-ROW(PLE.firstrow))),0,IF(OFFSET(PLE!$G$14,$M602,BY$13)="",10^12,OFFSET(PLE!$G$14,$M602,BY$13))))</f>
        <v>1000000000000</v>
      </c>
      <c r="BZ602" s="182">
        <f ca="1">IF($D602&lt;&gt;"Serviço",0,IF(OR(AND(AUTOEVENTO="Manual",$M602=1),$M602&gt;(ROW(PLE.lastrow)-ROW(PLE.firstrow))),0,IF(OFFSET(PLE!$G$14,$M602,BZ$13)="",10^12,OFFSET(PLE!$G$14,$M602,BZ$13))))</f>
        <v>1000000000000</v>
      </c>
      <c r="CA602" s="182">
        <f ca="1">IF($D602&lt;&gt;"Serviço",0,IF(OR(AND(AUTOEVENTO="Manual",$M602=1),$M602&gt;(ROW(PLE.lastrow)-ROW(PLE.firstrow))),0,IF(OFFSET(PLE!$G$14,$M602,CA$13)="",10^12,OFFSET(PLE!$G$14,$M602,CA$13))))</f>
        <v>1000000000000</v>
      </c>
      <c r="CB602" s="182">
        <f ca="1">IF($D602&lt;&gt;"Serviço",0,IF(OR(AND(AUTOEVENTO="Manual",$M602=1),$M602&gt;(ROW(PLE.lastrow)-ROW(PLE.firstrow))),0,IF(OFFSET(PLE!$G$14,$M602,CB$13)="",10^12,OFFSET(PLE!$G$14,$M602,CB$13))))</f>
        <v>1000000000000</v>
      </c>
      <c r="CC602" s="182">
        <f ca="1">IF($D602&lt;&gt;"Serviço",0,IF(OR(AND(AUTOEVENTO="Manual",$M602=1),$M602&gt;(ROW(PLE.lastrow)-ROW(PLE.firstrow))),0,IF(OFFSET(PLE!$G$14,$M602,CC$13)="",10^12,OFFSET(PLE!$G$14,$M602,CC$13))))</f>
        <v>1000000000000</v>
      </c>
      <c r="CD602" s="182">
        <f ca="1">IF($D602&lt;&gt;"Serviço",0,IF(OR(AND(AUTOEVENTO="Manual",$M602=1),$M602&gt;(ROW(PLE.lastrow)-ROW(PLE.firstrow))),0,IF(OFFSET(PLE!$G$14,$M602,CD$13)="",10^12,OFFSET(PLE!$G$14,$M602,CD$13))))</f>
        <v>1000000000000</v>
      </c>
      <c r="CE602" s="182">
        <f ca="1">IF($D602&lt;&gt;"Serviço",0,IF(OR(AND(AUTOEVENTO="Manual",$M602=1),$M602&gt;(ROW(PLE.lastrow)-ROW(PLE.firstrow))),0,IF(OFFSET(PLE!$G$14,$M602,CE$13)="",10^12,OFFSET(PLE!$G$14,$M602,CE$13))))</f>
        <v>1000000000000</v>
      </c>
      <c r="CF602" s="182">
        <f ca="1">IF($D602&lt;&gt;"Serviço",0,IF(OR(AND(AUTOEVENTO="Manual",$M602=1),$M602&gt;(ROW(PLE.lastrow)-ROW(PLE.firstrow))),0,IF(OFFSET(PLE!$G$14,$M602,CF$13)="",10^12,OFFSET(PLE!$G$14,$M602,CF$13))))</f>
        <v>1000000000000</v>
      </c>
      <c r="CG602" s="182">
        <f ca="1">IF($D602&lt;&gt;"Serviço",0,IF(OR(AND(AUTOEVENTO="Manual",$M602=1),$M602&gt;(ROW(PLE.lastrow)-ROW(PLE.firstrow))),0,IF(OFFSET(PLE!$G$14,$M602,CG$13)="",10^12,OFFSET(PLE!$G$14,$M602,CG$13))))</f>
        <v>1000000000000</v>
      </c>
      <c r="CH602" s="182">
        <f ca="1">IF($D602&lt;&gt;"Serviço",0,IF(OR(AND(AUTOEVENTO="Manual",$M602=1),$M602&gt;(ROW(PLE.lastrow)-ROW(PLE.firstrow))),0,IF(OFFSET(PLE!$G$14,$M602,CH$13)="",10^12,OFFSET(PLE!$G$14,$M602,CH$13))))</f>
        <v>1000000000000</v>
      </c>
      <c r="CI602" s="182">
        <f ca="1">IF($D602&lt;&gt;"Serviço",0,IF(OR(AND(AUTOEVENTO="Manual",$M602=1),$M602&gt;(ROW(PLE.lastrow)-ROW(PLE.firstrow))),0,IF(OFFSET(PLE!$G$14,$M602,CI$13)="",10^12,OFFSET(PLE!$G$14,$M602,CI$13))))</f>
        <v>1000000000000</v>
      </c>
      <c r="CJ602" s="182">
        <f ca="1">IF($D602&lt;&gt;"Serviço",0,IF(OR(AND(AUTOEVENTO="Manual",$M602=1),$M602&gt;(ROW(PLE.lastrow)-ROW(PLE.firstrow))),0,IF(OFFSET(PLE!$G$14,$M602,CJ$13)="",10^12,OFFSET(PLE!$G$14,$M602,CJ$13))))</f>
        <v>1000000000000</v>
      </c>
      <c r="CK602" s="182">
        <f ca="1">IF($D602&lt;&gt;"Serviço",0,IF(OR(AND(AUTOEVENTO="Manual",$M602=1),$M602&gt;(ROW(PLE.lastrow)-ROW(PLE.firstrow))),0,IF(OFFSET(PLE!$G$14,$M602,CK$13)="",10^12,OFFSET(PLE!$G$14,$M602,CK$13))))</f>
        <v>1000000000000</v>
      </c>
      <c r="CL602" s="182">
        <f ca="1">IF($D602&lt;&gt;"Serviço",0,IF(OR(AND(AUTOEVENTO="Manual",$M602=1),$M602&gt;(ROW(PLE.lastrow)-ROW(PLE.firstrow))),0,IF(OFFSET(PLE!$G$14,$M602,CL$13)="",10^12,OFFSET(PLE!$G$14,$M602,CL$13))))</f>
        <v>1000000000000</v>
      </c>
      <c r="CM602" s="182">
        <f ca="1">IF($D602&lt;&gt;"Serviço",0,IF(OR(AND(AUTOEVENTO="Manual",$M602=1),$M602&gt;(ROW(PLE.lastrow)-ROW(PLE.firstrow))),0,IF(OFFSET(PLE!$G$14,$M602,CM$13)="",10^12,OFFSET(PLE!$G$14,$M602,CM$13))))</f>
        <v>1000000000000</v>
      </c>
    </row>
    <row r="603" spans="1:91" ht="38.25" x14ac:dyDescent="0.2">
      <c r="A603" s="7" t="str">
        <f t="shared" ca="1" si="18"/>
        <v>580</v>
      </c>
      <c r="B603" s="7" t="str">
        <f ca="1">OFFSET(ORÇAMENTO!C$15,ROW(B603)-ROW(B$15),0)</f>
        <v>S</v>
      </c>
      <c r="C603" s="7" t="str">
        <f ca="1">OFFSET(ORÇAMENTO!L$15,ROW(C603)-ROW(C$15),0)</f>
        <v/>
      </c>
      <c r="D603" s="118" t="str">
        <f ca="1">OFFSET(ORÇAMENTO!N$15,ROW(D603)-ROW(D$15),0)</f>
        <v>Serviço</v>
      </c>
      <c r="E603" s="119" t="str">
        <f ca="1">OFFSET(ORÇAMENTO!O$15,ROW(E603)-ROW(E$15),0)</f>
        <v>-</v>
      </c>
      <c r="F603" s="172" t="str">
        <f ca="1">OFFSET(ORÇAMENTO!R$15,ROW(F603)-ROW(F$15),0)</f>
        <v>(abra o arquivo 'Referência 06-2024.xlsm)</v>
      </c>
      <c r="G603" s="173" t="str">
        <f ca="1">IF($D603&lt;&gt;"Serviço","",OFFSET(ORÇAMENTO!S$15,ROW(G603)-ROW(G$15),0))</f>
        <v>-</v>
      </c>
      <c r="H603" s="124">
        <f ca="1">IF($D603&lt;&gt;"Serviço",0,IF(ACOMPANHAMENTO="BM",ROUND(OFFSET(ORÇAMENTO!AJ$15,ROW(H603)-ROW(H$15),0),15-13*ORÇAMENTO!$AF$7),SUMPRODUCT(($Q$12:$AI$12&lt;&gt;"")*ROUND($Q603:$AI603,15-13*ORÇAMENTO!$AF$7))))</f>
        <v>1</v>
      </c>
      <c r="I603" s="561" t="s">
        <v>1107</v>
      </c>
      <c r="K603" s="174"/>
      <c r="L603" s="175" t="s">
        <v>255</v>
      </c>
      <c r="M603" s="176">
        <f ca="1">IF($D603&lt;&gt;"Serviço","",IF(AUTOEVENTO="manual",$A603,IF(ISERROR(MATCH($A603,$A$15:OFFSET($A603,-1,0),0)),MAX($M$15:OFFSET(M603,-1,0))+1,INDEX($M$15:OFFSET(M603,-1,0),MATCH($A603,$A$15:OFFSET($A603,-1,0),0)))))</f>
        <v>61</v>
      </c>
      <c r="N603" s="177" t="str">
        <f ca="1">IF($D603&lt;&gt;"Serviço","",IF(AUTOEVENTO="Manual",IF($A603=0,"&lt;-- defina o número do agrupador",OFFSET(EVENTOS!$D$14,$A603,0)),OFFSET($F$15,$A603,0)))</f>
        <v>INSTALAÇÃO ELÉTRICA 110V - ILUMINAÇÃO</v>
      </c>
      <c r="O603" s="178"/>
      <c r="Q603" s="178">
        <v>1</v>
      </c>
      <c r="R603" s="179"/>
      <c r="S603" s="179"/>
      <c r="T603" s="179"/>
      <c r="U603" s="179"/>
      <c r="V603" s="179"/>
      <c r="W603" s="179"/>
      <c r="X603" s="179"/>
      <c r="Y603" s="179"/>
      <c r="Z603" s="180"/>
      <c r="AA603" s="179"/>
      <c r="AB603" s="179"/>
      <c r="AC603" s="179"/>
      <c r="AD603" s="179"/>
      <c r="AE603" s="179"/>
      <c r="AF603" s="179"/>
      <c r="AG603" s="179"/>
      <c r="AH603" s="180"/>
      <c r="AJ603" s="544">
        <f ca="1">IF(AND($D603="Serviço",AJ$12&lt;&gt;0,$H603&gt;0,OR(AUTOEVENTO&lt;&gt;"manual",$M603&lt;&gt;1)),
IF(Import.TipoArredondamento&lt;&gt;"TransfereGOV",
ROUND(OFFSET($P603,0,AJ$13),15-13*ORÇAMENTO!$AF$7)/$H603*OFFSET(ORÇAMENTO!$X$15,ROW(AJ603)-ROW(AJ$15),0),
ROUND(ROUND(OFFSET($P603,0,AJ$13),15-13*ORÇAMENTO!$AF$7)*OFFSET(ORÇAMENTO!$W$15,ROW(AJ603)-ROW(AJ$15),0),15-13*ORÇAMENTO!$AF$11)),0)</f>
        <v>0</v>
      </c>
      <c r="AK603" s="545">
        <f ca="1">IF(AND($D603="Serviço",AK$12&lt;&gt;0,$H603&gt;0,OR(AUTOEVENTO&lt;&gt;"manual",$M603&lt;&gt;1)),
IF(Import.TipoArredondamento&lt;&gt;"TransfereGOV",
ROUND(OFFSET($P603,0,AK$13),15-13*ORÇAMENTO!$AF$7)/$H603*OFFSET(ORÇAMENTO!$X$15,ROW(AK603)-ROW(AK$15),0),
ROUND(ROUND(OFFSET($P603,0,AK$13),15-13*ORÇAMENTO!$AF$7)*OFFSET(ORÇAMENTO!$W$15,ROW(AK603)-ROW(AK$15),0),15-13*ORÇAMENTO!$AF$11)),0)</f>
        <v>0</v>
      </c>
      <c r="AL603" s="545">
        <f ca="1">IF(AND($D603="Serviço",AL$12&lt;&gt;0,$H603&gt;0,OR(AUTOEVENTO&lt;&gt;"manual",$M603&lt;&gt;1)),
IF(Import.TipoArredondamento&lt;&gt;"TransfereGOV",
ROUND(OFFSET($P603,0,AL$13),15-13*ORÇAMENTO!$AF$7)/$H603*OFFSET(ORÇAMENTO!$X$15,ROW(AL603)-ROW(AL$15),0),
ROUND(ROUND(OFFSET($P603,0,AL$13),15-13*ORÇAMENTO!$AF$7)*OFFSET(ORÇAMENTO!$W$15,ROW(AL603)-ROW(AL$15),0),15-13*ORÇAMENTO!$AF$11)),0)</f>
        <v>0</v>
      </c>
      <c r="AM603" s="545">
        <f ca="1">IF(AND($D603="Serviço",AM$12&lt;&gt;0,$H603&gt;0,OR(AUTOEVENTO&lt;&gt;"manual",$M603&lt;&gt;1)),
IF(Import.TipoArredondamento&lt;&gt;"TransfereGOV",
ROUND(OFFSET($P603,0,AM$13),15-13*ORÇAMENTO!$AF$7)/$H603*OFFSET(ORÇAMENTO!$X$15,ROW(AM603)-ROW(AM$15),0),
ROUND(ROUND(OFFSET($P603,0,AM$13),15-13*ORÇAMENTO!$AF$7)*OFFSET(ORÇAMENTO!$W$15,ROW(AM603)-ROW(AM$15),0),15-13*ORÇAMENTO!$AF$11)),0)</f>
        <v>0</v>
      </c>
      <c r="AN603" s="545">
        <f ca="1">IF(AND($D603="Serviço",AN$12&lt;&gt;0,$H603&gt;0,OR(AUTOEVENTO&lt;&gt;"manual",$M603&lt;&gt;1)),
IF(Import.TipoArredondamento&lt;&gt;"TransfereGOV",
ROUND(OFFSET($P603,0,AN$13),15-13*ORÇAMENTO!$AF$7)/$H603*OFFSET(ORÇAMENTO!$X$15,ROW(AN603)-ROW(AN$15),0),
ROUND(ROUND(OFFSET($P603,0,AN$13),15-13*ORÇAMENTO!$AF$7)*OFFSET(ORÇAMENTO!$W$15,ROW(AN603)-ROW(AN$15),0),15-13*ORÇAMENTO!$AF$11)),0)</f>
        <v>0</v>
      </c>
      <c r="AO603" s="545">
        <f ca="1">IF(AND($D603="Serviço",AO$12&lt;&gt;0,$H603&gt;0,OR(AUTOEVENTO&lt;&gt;"manual",$M603&lt;&gt;1)),
IF(Import.TipoArredondamento&lt;&gt;"TransfereGOV",
ROUND(OFFSET($P603,0,AO$13),15-13*ORÇAMENTO!$AF$7)/$H603*OFFSET(ORÇAMENTO!$X$15,ROW(AO603)-ROW(AO$15),0),
ROUND(ROUND(OFFSET($P603,0,AO$13),15-13*ORÇAMENTO!$AF$7)*OFFSET(ORÇAMENTO!$W$15,ROW(AO603)-ROW(AO$15),0),15-13*ORÇAMENTO!$AF$11)),0)</f>
        <v>0</v>
      </c>
      <c r="AP603" s="545">
        <f ca="1">IF(AND($D603="Serviço",AP$12&lt;&gt;0,$H603&gt;0,OR(AUTOEVENTO&lt;&gt;"manual",$M603&lt;&gt;1)),
IF(Import.TipoArredondamento&lt;&gt;"TransfereGOV",
ROUND(OFFSET($P603,0,AP$13),15-13*ORÇAMENTO!$AF$7)/$H603*OFFSET(ORÇAMENTO!$X$15,ROW(AP603)-ROW(AP$15),0),
ROUND(ROUND(OFFSET($P603,0,AP$13),15-13*ORÇAMENTO!$AF$7)*OFFSET(ORÇAMENTO!$W$15,ROW(AP603)-ROW(AP$15),0),15-13*ORÇAMENTO!$AF$11)),0)</f>
        <v>0</v>
      </c>
      <c r="AQ603" s="545">
        <f ca="1">IF(AND($D603="Serviço",AQ$12&lt;&gt;0,$H603&gt;0,OR(AUTOEVENTO&lt;&gt;"manual",$M603&lt;&gt;1)),
IF(Import.TipoArredondamento&lt;&gt;"TransfereGOV",
ROUND(OFFSET($P603,0,AQ$13),15-13*ORÇAMENTO!$AF$7)/$H603*OFFSET(ORÇAMENTO!$X$15,ROW(AQ603)-ROW(AQ$15),0),
ROUND(ROUND(OFFSET($P603,0,AQ$13),15-13*ORÇAMENTO!$AF$7)*OFFSET(ORÇAMENTO!$W$15,ROW(AQ603)-ROW(AQ$15),0),15-13*ORÇAMENTO!$AF$11)),0)</f>
        <v>0</v>
      </c>
      <c r="AR603" s="545">
        <f ca="1">IF(AND($D603="Serviço",AR$12&lt;&gt;0,$H603&gt;0,OR(AUTOEVENTO&lt;&gt;"manual",$M603&lt;&gt;1)),
IF(Import.TipoArredondamento&lt;&gt;"TransfereGOV",
ROUND(OFFSET($P603,0,AR$13),15-13*ORÇAMENTO!$AF$7)/$H603*OFFSET(ORÇAMENTO!$X$15,ROW(AR603)-ROW(AR$15),0),
ROUND(ROUND(OFFSET($P603,0,AR$13),15-13*ORÇAMENTO!$AF$7)*OFFSET(ORÇAMENTO!$W$15,ROW(AR603)-ROW(AR$15),0),15-13*ORÇAMENTO!$AF$11)),0)</f>
        <v>0</v>
      </c>
      <c r="AS603" s="546">
        <f ca="1">IF(AND($D603="Serviço",AS$12&lt;&gt;0,$H603&gt;0,OR(AUTOEVENTO&lt;&gt;"manual",$M603&lt;&gt;1)),
IF(Import.TipoArredondamento&lt;&gt;"TransfereGOV",
ROUND(OFFSET($P603,0,AS$13),15-13*ORÇAMENTO!$AF$7)/$H603*OFFSET(ORÇAMENTO!$X$15,ROW(AS603)-ROW(AS$15),0),
ROUND(ROUND(OFFSET($P603,0,AS$13),15-13*ORÇAMENTO!$AF$7)*OFFSET(ORÇAMENTO!$W$15,ROW(AS603)-ROW(AS$15),0),15-13*ORÇAMENTO!$AF$11)),0)</f>
        <v>0</v>
      </c>
      <c r="AT603" s="545">
        <f ca="1">IF(AND($D603="Serviço",AT$12&lt;&gt;0,$H603&gt;0,OR(AUTOEVENTO&lt;&gt;"manual",$M603&lt;&gt;1)),
IF(Import.TipoArredondamento&lt;&gt;"TransfereGOV",
ROUND(OFFSET($P603,0,AT$13),15-13*ORÇAMENTO!$AF$7)/$H603*OFFSET(ORÇAMENTO!$X$15,ROW(AT603)-ROW(AT$15),0),
ROUND(ROUND(OFFSET($P603,0,AT$13),15-13*ORÇAMENTO!$AF$7)*OFFSET(ORÇAMENTO!$W$15,ROW(AT603)-ROW(AT$15),0),15-13*ORÇAMENTO!$AF$11)),0)</f>
        <v>0</v>
      </c>
      <c r="AU603" s="545">
        <f ca="1">IF(AND($D603="Serviço",AU$12&lt;&gt;0,$H603&gt;0,OR(AUTOEVENTO&lt;&gt;"manual",$M603&lt;&gt;1)),
IF(Import.TipoArredondamento&lt;&gt;"TransfereGOV",
ROUND(OFFSET($P603,0,AU$13),15-13*ORÇAMENTO!$AF$7)/$H603*OFFSET(ORÇAMENTO!$X$15,ROW(AU603)-ROW(AU$15),0),
ROUND(ROUND(OFFSET($P603,0,AU$13),15-13*ORÇAMENTO!$AF$7)*OFFSET(ORÇAMENTO!$W$15,ROW(AU603)-ROW(AU$15),0),15-13*ORÇAMENTO!$AF$11)),0)</f>
        <v>0</v>
      </c>
      <c r="AV603" s="545">
        <f ca="1">IF(AND($D603="Serviço",AV$12&lt;&gt;0,$H603&gt;0,OR(AUTOEVENTO&lt;&gt;"manual",$M603&lt;&gt;1)),
IF(Import.TipoArredondamento&lt;&gt;"TransfereGOV",
ROUND(OFFSET($P603,0,AV$13),15-13*ORÇAMENTO!$AF$7)/$H603*OFFSET(ORÇAMENTO!$X$15,ROW(AV603)-ROW(AV$15),0),
ROUND(ROUND(OFFSET($P603,0,AV$13),15-13*ORÇAMENTO!$AF$7)*OFFSET(ORÇAMENTO!$W$15,ROW(AV603)-ROW(AV$15),0),15-13*ORÇAMENTO!$AF$11)),0)</f>
        <v>0</v>
      </c>
      <c r="AW603" s="545">
        <f ca="1">IF(AND($D603="Serviço",AW$12&lt;&gt;0,$H603&gt;0,OR(AUTOEVENTO&lt;&gt;"manual",$M603&lt;&gt;1)),
IF(Import.TipoArredondamento&lt;&gt;"TransfereGOV",
ROUND(OFFSET($P603,0,AW$13),15-13*ORÇAMENTO!$AF$7)/$H603*OFFSET(ORÇAMENTO!$X$15,ROW(AW603)-ROW(AW$15),0),
ROUND(ROUND(OFFSET($P603,0,AW$13),15-13*ORÇAMENTO!$AF$7)*OFFSET(ORÇAMENTO!$W$15,ROW(AW603)-ROW(AW$15),0),15-13*ORÇAMENTO!$AF$11)),0)</f>
        <v>0</v>
      </c>
      <c r="AX603" s="545">
        <f ca="1">IF(AND($D603="Serviço",AX$12&lt;&gt;0,$H603&gt;0,OR(AUTOEVENTO&lt;&gt;"manual",$M603&lt;&gt;1)),
IF(Import.TipoArredondamento&lt;&gt;"TransfereGOV",
ROUND(OFFSET($P603,0,AX$13),15-13*ORÇAMENTO!$AF$7)/$H603*OFFSET(ORÇAMENTO!$X$15,ROW(AX603)-ROW(AX$15),0),
ROUND(ROUND(OFFSET($P603,0,AX$13),15-13*ORÇAMENTO!$AF$7)*OFFSET(ORÇAMENTO!$W$15,ROW(AX603)-ROW(AX$15),0),15-13*ORÇAMENTO!$AF$11)),0)</f>
        <v>0</v>
      </c>
      <c r="AY603" s="545">
        <f ca="1">IF(AND($D603="Serviço",AY$12&lt;&gt;0,$H603&gt;0,OR(AUTOEVENTO&lt;&gt;"manual",$M603&lt;&gt;1)),
IF(Import.TipoArredondamento&lt;&gt;"TransfereGOV",
ROUND(OFFSET($P603,0,AY$13),15-13*ORÇAMENTO!$AF$7)/$H603*OFFSET(ORÇAMENTO!$X$15,ROW(AY603)-ROW(AY$15),0),
ROUND(ROUND(OFFSET($P603,0,AY$13),15-13*ORÇAMENTO!$AF$7)*OFFSET(ORÇAMENTO!$W$15,ROW(AY603)-ROW(AY$15),0),15-13*ORÇAMENTO!$AF$11)),0)</f>
        <v>0</v>
      </c>
      <c r="AZ603" s="545">
        <f ca="1">IF(AND($D603="Serviço",AZ$12&lt;&gt;0,$H603&gt;0,OR(AUTOEVENTO&lt;&gt;"manual",$M603&lt;&gt;1)),
IF(Import.TipoArredondamento&lt;&gt;"TransfereGOV",
ROUND(OFFSET($P603,0,AZ$13),15-13*ORÇAMENTO!$AF$7)/$H603*OFFSET(ORÇAMENTO!$X$15,ROW(AZ603)-ROW(AZ$15),0),
ROUND(ROUND(OFFSET($P603,0,AZ$13),15-13*ORÇAMENTO!$AF$7)*OFFSET(ORÇAMENTO!$W$15,ROW(AZ603)-ROW(AZ$15),0),15-13*ORÇAMENTO!$AF$11)),0)</f>
        <v>0</v>
      </c>
      <c r="BA603" s="546">
        <f ca="1">IF(AND($D603="Serviço",BA$12&lt;&gt;0,$H603&gt;0,OR(AUTOEVENTO&lt;&gt;"manual",$M603&lt;&gt;1)),
IF(Import.TipoArredondamento&lt;&gt;"TransfereGOV",
ROUND(OFFSET($P603,0,BA$13),15-13*ORÇAMENTO!$AF$7)/$H603*OFFSET(ORÇAMENTO!$X$15,ROW(BA603)-ROW(BA$15),0),
ROUND(ROUND(OFFSET($P603,0,BA$13),15-13*ORÇAMENTO!$AF$7)*OFFSET(ORÇAMENTO!$W$15,ROW(BA603)-ROW(BA$15),0),15-13*ORÇAMENTO!$AF$11)),0)</f>
        <v>0</v>
      </c>
      <c r="BC603" s="181">
        <f ca="1">IF($D603&lt;&gt;"Serviço",0,IF(AND(AUTOEVENTO="Manual",$M603=1),0,IF(OFFSET(CRONOPLE!$F$14,$M603,BC$13)="",10^12,OFFSET(CRONOPLE!$F$14,$M603,BC$13))))</f>
        <v>11</v>
      </c>
      <c r="BD603" s="181">
        <f ca="1">IF($D603&lt;&gt;"Serviço",0,IF(AND(AUTOEVENTO="Manual",$M603=1),0,IF(OFFSET(CRONOPLE!$F$14,$M603,BD$13)="",10^12,OFFSET(CRONOPLE!$F$14,$M603,BD$13))))</f>
        <v>1000000000000</v>
      </c>
      <c r="BE603" s="181">
        <f ca="1">IF($D603&lt;&gt;"Serviço",0,IF(AND(AUTOEVENTO="Manual",$M603=1),0,IF(OFFSET(CRONOPLE!$F$14,$M603,BE$13)="",10^12,OFFSET(CRONOPLE!$F$14,$M603,BE$13))))</f>
        <v>1000000000000</v>
      </c>
      <c r="BF603" s="181">
        <f ca="1">IF($D603&lt;&gt;"Serviço",0,IF(AND(AUTOEVENTO="Manual",$M603=1),0,IF(OFFSET(CRONOPLE!$F$14,$M603,BF$13)="",10^12,OFFSET(CRONOPLE!$F$14,$M603,BF$13))))</f>
        <v>1000000000000</v>
      </c>
      <c r="BG603" s="181">
        <f ca="1">IF($D603&lt;&gt;"Serviço",0,IF(AND(AUTOEVENTO="Manual",$M603=1),0,IF(OFFSET(CRONOPLE!$F$14,$M603,BG$13)="",10^12,OFFSET(CRONOPLE!$F$14,$M603,BG$13))))</f>
        <v>1000000000000</v>
      </c>
      <c r="BH603" s="181">
        <f ca="1">IF($D603&lt;&gt;"Serviço",0,IF(AND(AUTOEVENTO="Manual",$M603=1),0,IF(OFFSET(CRONOPLE!$F$14,$M603,BH$13)="",10^12,OFFSET(CRONOPLE!$F$14,$M603,BH$13))))</f>
        <v>1000000000000</v>
      </c>
      <c r="BI603" s="181">
        <f ca="1">IF($D603&lt;&gt;"Serviço",0,IF(AND(AUTOEVENTO="Manual",$M603=1),0,IF(OFFSET(CRONOPLE!$F$14,$M603,BI$13)="",10^12,OFFSET(CRONOPLE!$F$14,$M603,BI$13))))</f>
        <v>1000000000000</v>
      </c>
      <c r="BJ603" s="181">
        <f ca="1">IF($D603&lt;&gt;"Serviço",0,IF(AND(AUTOEVENTO="Manual",$M603=1),0,IF(OFFSET(CRONOPLE!$F$14,$M603,BJ$13)="",10^12,OFFSET(CRONOPLE!$F$14,$M603,BJ$13))))</f>
        <v>1000000000000</v>
      </c>
      <c r="BK603" s="181">
        <f ca="1">IF($D603&lt;&gt;"Serviço",0,IF(AND(AUTOEVENTO="Manual",$M603=1),0,IF(OFFSET(CRONOPLE!$F$14,$M603,BK$13)="",10^12,OFFSET(CRONOPLE!$F$14,$M603,BK$13))))</f>
        <v>1000000000000</v>
      </c>
      <c r="BL603" s="181">
        <f ca="1">IF($D603&lt;&gt;"Serviço",0,IF(AND(AUTOEVENTO="Manual",$M603=1),0,IF(OFFSET(CRONOPLE!$F$14,$M603,BL$13)="",10^12,OFFSET(CRONOPLE!$F$14,$M603,BL$13))))</f>
        <v>1000000000000</v>
      </c>
      <c r="BM603" s="181">
        <f ca="1">IF($D603&lt;&gt;"Serviço",0,IF(AND(AUTOEVENTO="Manual",$M603=1),0,IF(OFFSET(CRONOPLE!$F$14,$M603,BM$13)="",10^12,OFFSET(CRONOPLE!$F$14,$M603,BM$13))))</f>
        <v>1000000000000</v>
      </c>
      <c r="BN603" s="181">
        <f ca="1">IF($D603&lt;&gt;"Serviço",0,IF(AND(AUTOEVENTO="Manual",$M603=1),0,IF(OFFSET(CRONOPLE!$F$14,$M603,BN$13)="",10^12,OFFSET(CRONOPLE!$F$14,$M603,BN$13))))</f>
        <v>1000000000000</v>
      </c>
      <c r="BO603" s="181">
        <f ca="1">IF($D603&lt;&gt;"Serviço",0,IF(AND(AUTOEVENTO="Manual",$M603=1),0,IF(OFFSET(CRONOPLE!$F$14,$M603,BO$13)="",10^12,OFFSET(CRONOPLE!$F$14,$M603,BO$13))))</f>
        <v>1000000000000</v>
      </c>
      <c r="BP603" s="181">
        <f ca="1">IF($D603&lt;&gt;"Serviço",0,IF(AND(AUTOEVENTO="Manual",$M603=1),0,IF(OFFSET(CRONOPLE!$F$14,$M603,BP$13)="",10^12,OFFSET(CRONOPLE!$F$14,$M603,BP$13))))</f>
        <v>1000000000000</v>
      </c>
      <c r="BQ603" s="181">
        <f ca="1">IF($D603&lt;&gt;"Serviço",0,IF(AND(AUTOEVENTO="Manual",$M603=1),0,IF(OFFSET(CRONOPLE!$F$14,$M603,BQ$13)="",10^12,OFFSET(CRONOPLE!$F$14,$M603,BQ$13))))</f>
        <v>1000000000000</v>
      </c>
      <c r="BR603" s="181">
        <f ca="1">IF($D603&lt;&gt;"Serviço",0,IF(AND(AUTOEVENTO="Manual",$M603=1),0,IF(OFFSET(CRONOPLE!$F$14,$M603,BR$13)="",10^12,OFFSET(CRONOPLE!$F$14,$M603,BR$13))))</f>
        <v>1000000000000</v>
      </c>
      <c r="BS603" s="181">
        <f ca="1">IF($D603&lt;&gt;"Serviço",0,IF(AND(AUTOEVENTO="Manual",$M603=1),0,IF(OFFSET(CRONOPLE!$F$14,$M603,BS$13)="",10^12,OFFSET(CRONOPLE!$F$14,$M603,BS$13))))</f>
        <v>1000000000000</v>
      </c>
      <c r="BT603" s="181">
        <f ca="1">IF($D603&lt;&gt;"Serviço",0,IF(AND(AUTOEVENTO="Manual",$M603=1),0,IF(OFFSET(CRONOPLE!$F$14,$M603,BT$13)="",10^12,OFFSET(CRONOPLE!$F$14,$M603,BT$13))))</f>
        <v>1000000000000</v>
      </c>
      <c r="BV603" s="182">
        <f ca="1">IF($D603&lt;&gt;"Serviço",0,IF(OR(AND(AUTOEVENTO="Manual",$M603=1),$M603&gt;(ROW(PLE.lastrow)-ROW(PLE.firstrow))),0,IF(OFFSET(PLE!$G$14,$M603,BV$13)="",10^12,OFFSET(PLE!$G$14,$M603,BV$13))))</f>
        <v>1000000000000</v>
      </c>
      <c r="BW603" s="182">
        <f ca="1">IF($D603&lt;&gt;"Serviço",0,IF(OR(AND(AUTOEVENTO="Manual",$M603=1),$M603&gt;(ROW(PLE.lastrow)-ROW(PLE.firstrow))),0,IF(OFFSET(PLE!$G$14,$M603,BW$13)="",10^12,OFFSET(PLE!$G$14,$M603,BW$13))))</f>
        <v>1000000000000</v>
      </c>
      <c r="BX603" s="182">
        <f ca="1">IF($D603&lt;&gt;"Serviço",0,IF(OR(AND(AUTOEVENTO="Manual",$M603=1),$M603&gt;(ROW(PLE.lastrow)-ROW(PLE.firstrow))),0,IF(OFFSET(PLE!$G$14,$M603,BX$13)="",10^12,OFFSET(PLE!$G$14,$M603,BX$13))))</f>
        <v>1000000000000</v>
      </c>
      <c r="BY603" s="182">
        <f ca="1">IF($D603&lt;&gt;"Serviço",0,IF(OR(AND(AUTOEVENTO="Manual",$M603=1),$M603&gt;(ROW(PLE.lastrow)-ROW(PLE.firstrow))),0,IF(OFFSET(PLE!$G$14,$M603,BY$13)="",10^12,OFFSET(PLE!$G$14,$M603,BY$13))))</f>
        <v>1000000000000</v>
      </c>
      <c r="BZ603" s="182">
        <f ca="1">IF($D603&lt;&gt;"Serviço",0,IF(OR(AND(AUTOEVENTO="Manual",$M603=1),$M603&gt;(ROW(PLE.lastrow)-ROW(PLE.firstrow))),0,IF(OFFSET(PLE!$G$14,$M603,BZ$13)="",10^12,OFFSET(PLE!$G$14,$M603,BZ$13))))</f>
        <v>1000000000000</v>
      </c>
      <c r="CA603" s="182">
        <f ca="1">IF($D603&lt;&gt;"Serviço",0,IF(OR(AND(AUTOEVENTO="Manual",$M603=1),$M603&gt;(ROW(PLE.lastrow)-ROW(PLE.firstrow))),0,IF(OFFSET(PLE!$G$14,$M603,CA$13)="",10^12,OFFSET(PLE!$G$14,$M603,CA$13))))</f>
        <v>1000000000000</v>
      </c>
      <c r="CB603" s="182">
        <f ca="1">IF($D603&lt;&gt;"Serviço",0,IF(OR(AND(AUTOEVENTO="Manual",$M603=1),$M603&gt;(ROW(PLE.lastrow)-ROW(PLE.firstrow))),0,IF(OFFSET(PLE!$G$14,$M603,CB$13)="",10^12,OFFSET(PLE!$G$14,$M603,CB$13))))</f>
        <v>1000000000000</v>
      </c>
      <c r="CC603" s="182">
        <f ca="1">IF($D603&lt;&gt;"Serviço",0,IF(OR(AND(AUTOEVENTO="Manual",$M603=1),$M603&gt;(ROW(PLE.lastrow)-ROW(PLE.firstrow))),0,IF(OFFSET(PLE!$G$14,$M603,CC$13)="",10^12,OFFSET(PLE!$G$14,$M603,CC$13))))</f>
        <v>1000000000000</v>
      </c>
      <c r="CD603" s="182">
        <f ca="1">IF($D603&lt;&gt;"Serviço",0,IF(OR(AND(AUTOEVENTO="Manual",$M603=1),$M603&gt;(ROW(PLE.lastrow)-ROW(PLE.firstrow))),0,IF(OFFSET(PLE!$G$14,$M603,CD$13)="",10^12,OFFSET(PLE!$G$14,$M603,CD$13))))</f>
        <v>1000000000000</v>
      </c>
      <c r="CE603" s="182">
        <f ca="1">IF($D603&lt;&gt;"Serviço",0,IF(OR(AND(AUTOEVENTO="Manual",$M603=1),$M603&gt;(ROW(PLE.lastrow)-ROW(PLE.firstrow))),0,IF(OFFSET(PLE!$G$14,$M603,CE$13)="",10^12,OFFSET(PLE!$G$14,$M603,CE$13))))</f>
        <v>1000000000000</v>
      </c>
      <c r="CF603" s="182">
        <f ca="1">IF($D603&lt;&gt;"Serviço",0,IF(OR(AND(AUTOEVENTO="Manual",$M603=1),$M603&gt;(ROW(PLE.lastrow)-ROW(PLE.firstrow))),0,IF(OFFSET(PLE!$G$14,$M603,CF$13)="",10^12,OFFSET(PLE!$G$14,$M603,CF$13))))</f>
        <v>1000000000000</v>
      </c>
      <c r="CG603" s="182">
        <f ca="1">IF($D603&lt;&gt;"Serviço",0,IF(OR(AND(AUTOEVENTO="Manual",$M603=1),$M603&gt;(ROW(PLE.lastrow)-ROW(PLE.firstrow))),0,IF(OFFSET(PLE!$G$14,$M603,CG$13)="",10^12,OFFSET(PLE!$G$14,$M603,CG$13))))</f>
        <v>1000000000000</v>
      </c>
      <c r="CH603" s="182">
        <f ca="1">IF($D603&lt;&gt;"Serviço",0,IF(OR(AND(AUTOEVENTO="Manual",$M603=1),$M603&gt;(ROW(PLE.lastrow)-ROW(PLE.firstrow))),0,IF(OFFSET(PLE!$G$14,$M603,CH$13)="",10^12,OFFSET(PLE!$G$14,$M603,CH$13))))</f>
        <v>1000000000000</v>
      </c>
      <c r="CI603" s="182">
        <f ca="1">IF($D603&lt;&gt;"Serviço",0,IF(OR(AND(AUTOEVENTO="Manual",$M603=1),$M603&gt;(ROW(PLE.lastrow)-ROW(PLE.firstrow))),0,IF(OFFSET(PLE!$G$14,$M603,CI$13)="",10^12,OFFSET(PLE!$G$14,$M603,CI$13))))</f>
        <v>1000000000000</v>
      </c>
      <c r="CJ603" s="182">
        <f ca="1">IF($D603&lt;&gt;"Serviço",0,IF(OR(AND(AUTOEVENTO="Manual",$M603=1),$M603&gt;(ROW(PLE.lastrow)-ROW(PLE.firstrow))),0,IF(OFFSET(PLE!$G$14,$M603,CJ$13)="",10^12,OFFSET(PLE!$G$14,$M603,CJ$13))))</f>
        <v>1000000000000</v>
      </c>
      <c r="CK603" s="182">
        <f ca="1">IF($D603&lt;&gt;"Serviço",0,IF(OR(AND(AUTOEVENTO="Manual",$M603=1),$M603&gt;(ROW(PLE.lastrow)-ROW(PLE.firstrow))),0,IF(OFFSET(PLE!$G$14,$M603,CK$13)="",10^12,OFFSET(PLE!$G$14,$M603,CK$13))))</f>
        <v>1000000000000</v>
      </c>
      <c r="CL603" s="182">
        <f ca="1">IF($D603&lt;&gt;"Serviço",0,IF(OR(AND(AUTOEVENTO="Manual",$M603=1),$M603&gt;(ROW(PLE.lastrow)-ROW(PLE.firstrow))),0,IF(OFFSET(PLE!$G$14,$M603,CL$13)="",10^12,OFFSET(PLE!$G$14,$M603,CL$13))))</f>
        <v>1000000000000</v>
      </c>
      <c r="CM603" s="182">
        <f ca="1">IF($D603&lt;&gt;"Serviço",0,IF(OR(AND(AUTOEVENTO="Manual",$M603=1),$M603&gt;(ROW(PLE.lastrow)-ROW(PLE.firstrow))),0,IF(OFFSET(PLE!$G$14,$M603,CM$13)="",10^12,OFFSET(PLE!$G$14,$M603,CM$13))))</f>
        <v>1000000000000</v>
      </c>
    </row>
    <row r="604" spans="1:91" ht="12.75" x14ac:dyDescent="0.2">
      <c r="A604" s="7" t="str">
        <f t="shared" ca="1" si="18"/>
        <v>589.</v>
      </c>
      <c r="B604" s="7">
        <f ca="1">OFFSET(ORÇAMENTO!C$15,ROW(B604)-ROW(B$15),0)</f>
        <v>2</v>
      </c>
      <c r="C604" s="7" t="str">
        <f ca="1">OFFSET(ORÇAMENTO!L$15,ROW(C604)-ROW(C$15),0)</f>
        <v>F</v>
      </c>
      <c r="D604" s="118" t="str">
        <f ca="1">OFFSET(ORÇAMENTO!N$15,ROW(D604)-ROW(D$15),0)</f>
        <v>Nível 2</v>
      </c>
      <c r="E604" s="119" t="str">
        <f ca="1">OFFSET(ORÇAMENTO!O$15,ROW(E604)-ROW(E$15),0)</f>
        <v>1.61.</v>
      </c>
      <c r="F604" s="172" t="str">
        <f ca="1">OFFSET(ORÇAMENTO!R$15,ROW(F604)-ROW(F$15),0)</f>
        <v>INSTALAÇÃO ELÉTRICA 110V - QUADROS</v>
      </c>
      <c r="G604" s="173" t="str">
        <f ca="1">IF($D604&lt;&gt;"Serviço","",OFFSET(ORÇAMENTO!S$15,ROW(G604)-ROW(G$15),0))</f>
        <v/>
      </c>
      <c r="H604" s="124">
        <f ca="1">IF($D604&lt;&gt;"Serviço",0,IF(ACOMPANHAMENTO="BM",ROUND(OFFSET(ORÇAMENTO!AJ$15,ROW(H604)-ROW(H$15),0),15-13*ORÇAMENTO!$AF$7),SUMPRODUCT(($Q$12:$AI$12&lt;&gt;"")*ROUND($Q604:$AI604,15-13*ORÇAMENTO!$AF$7))))</f>
        <v>0</v>
      </c>
      <c r="I604" s="561"/>
      <c r="K604" s="174"/>
      <c r="L604" s="175" t="s">
        <v>255</v>
      </c>
      <c r="M604" s="176" t="str">
        <f ca="1">IF($D604&lt;&gt;"Serviço","",IF(AUTOEVENTO="manual",$A604,IF(ISERROR(MATCH($A604,$A$15:OFFSET($A604,-1,0),0)),MAX($M$15:OFFSET(M604,-1,0))+1,INDEX($M$15:OFFSET(M604,-1,0),MATCH($A604,$A$15:OFFSET($A604,-1,0),0)))))</f>
        <v/>
      </c>
      <c r="N604" s="177" t="str">
        <f ca="1">IF($D604&lt;&gt;"Serviço","",IF(AUTOEVENTO="Manual",IF($A604=0,"&lt;-- defina o número do agrupador",OFFSET(EVENTOS!$D$14,$A604,0)),OFFSET($F$15,$A604,0)))</f>
        <v/>
      </c>
      <c r="O604" s="178"/>
      <c r="Q604" s="178">
        <v>0</v>
      </c>
      <c r="R604" s="179"/>
      <c r="S604" s="179"/>
      <c r="T604" s="179"/>
      <c r="U604" s="179"/>
      <c r="V604" s="179"/>
      <c r="W604" s="179"/>
      <c r="X604" s="179"/>
      <c r="Y604" s="179"/>
      <c r="Z604" s="180"/>
      <c r="AA604" s="179"/>
      <c r="AB604" s="179"/>
      <c r="AC604" s="179"/>
      <c r="AD604" s="179"/>
      <c r="AE604" s="179"/>
      <c r="AF604" s="179"/>
      <c r="AG604" s="179"/>
      <c r="AH604" s="180"/>
      <c r="AJ604" s="544">
        <f ca="1">IF(AND($D604="Serviço",AJ$12&lt;&gt;0,$H604&gt;0,OR(AUTOEVENTO&lt;&gt;"manual",$M604&lt;&gt;1)),
IF(Import.TipoArredondamento&lt;&gt;"TransfereGOV",
ROUND(OFFSET($P604,0,AJ$13),15-13*ORÇAMENTO!$AF$7)/$H604*OFFSET(ORÇAMENTO!$X$15,ROW(AJ604)-ROW(AJ$15),0),
ROUND(ROUND(OFFSET($P604,0,AJ$13),15-13*ORÇAMENTO!$AF$7)*OFFSET(ORÇAMENTO!$W$15,ROW(AJ604)-ROW(AJ$15),0),15-13*ORÇAMENTO!$AF$11)),0)</f>
        <v>0</v>
      </c>
      <c r="AK604" s="545">
        <f ca="1">IF(AND($D604="Serviço",AK$12&lt;&gt;0,$H604&gt;0,OR(AUTOEVENTO&lt;&gt;"manual",$M604&lt;&gt;1)),
IF(Import.TipoArredondamento&lt;&gt;"TransfereGOV",
ROUND(OFFSET($P604,0,AK$13),15-13*ORÇAMENTO!$AF$7)/$H604*OFFSET(ORÇAMENTO!$X$15,ROW(AK604)-ROW(AK$15),0),
ROUND(ROUND(OFFSET($P604,0,AK$13),15-13*ORÇAMENTO!$AF$7)*OFFSET(ORÇAMENTO!$W$15,ROW(AK604)-ROW(AK$15),0),15-13*ORÇAMENTO!$AF$11)),0)</f>
        <v>0</v>
      </c>
      <c r="AL604" s="545">
        <f ca="1">IF(AND($D604="Serviço",AL$12&lt;&gt;0,$H604&gt;0,OR(AUTOEVENTO&lt;&gt;"manual",$M604&lt;&gt;1)),
IF(Import.TipoArredondamento&lt;&gt;"TransfereGOV",
ROUND(OFFSET($P604,0,AL$13),15-13*ORÇAMENTO!$AF$7)/$H604*OFFSET(ORÇAMENTO!$X$15,ROW(AL604)-ROW(AL$15),0),
ROUND(ROUND(OFFSET($P604,0,AL$13),15-13*ORÇAMENTO!$AF$7)*OFFSET(ORÇAMENTO!$W$15,ROW(AL604)-ROW(AL$15),0),15-13*ORÇAMENTO!$AF$11)),0)</f>
        <v>0</v>
      </c>
      <c r="AM604" s="545">
        <f ca="1">IF(AND($D604="Serviço",AM$12&lt;&gt;0,$H604&gt;0,OR(AUTOEVENTO&lt;&gt;"manual",$M604&lt;&gt;1)),
IF(Import.TipoArredondamento&lt;&gt;"TransfereGOV",
ROUND(OFFSET($P604,0,AM$13),15-13*ORÇAMENTO!$AF$7)/$H604*OFFSET(ORÇAMENTO!$X$15,ROW(AM604)-ROW(AM$15),0),
ROUND(ROUND(OFFSET($P604,0,AM$13),15-13*ORÇAMENTO!$AF$7)*OFFSET(ORÇAMENTO!$W$15,ROW(AM604)-ROW(AM$15),0),15-13*ORÇAMENTO!$AF$11)),0)</f>
        <v>0</v>
      </c>
      <c r="AN604" s="545">
        <f ca="1">IF(AND($D604="Serviço",AN$12&lt;&gt;0,$H604&gt;0,OR(AUTOEVENTO&lt;&gt;"manual",$M604&lt;&gt;1)),
IF(Import.TipoArredondamento&lt;&gt;"TransfereGOV",
ROUND(OFFSET($P604,0,AN$13),15-13*ORÇAMENTO!$AF$7)/$H604*OFFSET(ORÇAMENTO!$X$15,ROW(AN604)-ROW(AN$15),0),
ROUND(ROUND(OFFSET($P604,0,AN$13),15-13*ORÇAMENTO!$AF$7)*OFFSET(ORÇAMENTO!$W$15,ROW(AN604)-ROW(AN$15),0),15-13*ORÇAMENTO!$AF$11)),0)</f>
        <v>0</v>
      </c>
      <c r="AO604" s="545">
        <f ca="1">IF(AND($D604="Serviço",AO$12&lt;&gt;0,$H604&gt;0,OR(AUTOEVENTO&lt;&gt;"manual",$M604&lt;&gt;1)),
IF(Import.TipoArredondamento&lt;&gt;"TransfereGOV",
ROUND(OFFSET($P604,0,AO$13),15-13*ORÇAMENTO!$AF$7)/$H604*OFFSET(ORÇAMENTO!$X$15,ROW(AO604)-ROW(AO$15),0),
ROUND(ROUND(OFFSET($P604,0,AO$13),15-13*ORÇAMENTO!$AF$7)*OFFSET(ORÇAMENTO!$W$15,ROW(AO604)-ROW(AO$15),0),15-13*ORÇAMENTO!$AF$11)),0)</f>
        <v>0</v>
      </c>
      <c r="AP604" s="545">
        <f ca="1">IF(AND($D604="Serviço",AP$12&lt;&gt;0,$H604&gt;0,OR(AUTOEVENTO&lt;&gt;"manual",$M604&lt;&gt;1)),
IF(Import.TipoArredondamento&lt;&gt;"TransfereGOV",
ROUND(OFFSET($P604,0,AP$13),15-13*ORÇAMENTO!$AF$7)/$H604*OFFSET(ORÇAMENTO!$X$15,ROW(AP604)-ROW(AP$15),0),
ROUND(ROUND(OFFSET($P604,0,AP$13),15-13*ORÇAMENTO!$AF$7)*OFFSET(ORÇAMENTO!$W$15,ROW(AP604)-ROW(AP$15),0),15-13*ORÇAMENTO!$AF$11)),0)</f>
        <v>0</v>
      </c>
      <c r="AQ604" s="545">
        <f ca="1">IF(AND($D604="Serviço",AQ$12&lt;&gt;0,$H604&gt;0,OR(AUTOEVENTO&lt;&gt;"manual",$M604&lt;&gt;1)),
IF(Import.TipoArredondamento&lt;&gt;"TransfereGOV",
ROUND(OFFSET($P604,0,AQ$13),15-13*ORÇAMENTO!$AF$7)/$H604*OFFSET(ORÇAMENTO!$X$15,ROW(AQ604)-ROW(AQ$15),0),
ROUND(ROUND(OFFSET($P604,0,AQ$13),15-13*ORÇAMENTO!$AF$7)*OFFSET(ORÇAMENTO!$W$15,ROW(AQ604)-ROW(AQ$15),0),15-13*ORÇAMENTO!$AF$11)),0)</f>
        <v>0</v>
      </c>
      <c r="AR604" s="545">
        <f ca="1">IF(AND($D604="Serviço",AR$12&lt;&gt;0,$H604&gt;0,OR(AUTOEVENTO&lt;&gt;"manual",$M604&lt;&gt;1)),
IF(Import.TipoArredondamento&lt;&gt;"TransfereGOV",
ROUND(OFFSET($P604,0,AR$13),15-13*ORÇAMENTO!$AF$7)/$H604*OFFSET(ORÇAMENTO!$X$15,ROW(AR604)-ROW(AR$15),0),
ROUND(ROUND(OFFSET($P604,0,AR$13),15-13*ORÇAMENTO!$AF$7)*OFFSET(ORÇAMENTO!$W$15,ROW(AR604)-ROW(AR$15),0),15-13*ORÇAMENTO!$AF$11)),0)</f>
        <v>0</v>
      </c>
      <c r="AS604" s="546">
        <f ca="1">IF(AND($D604="Serviço",AS$12&lt;&gt;0,$H604&gt;0,OR(AUTOEVENTO&lt;&gt;"manual",$M604&lt;&gt;1)),
IF(Import.TipoArredondamento&lt;&gt;"TransfereGOV",
ROUND(OFFSET($P604,0,AS$13),15-13*ORÇAMENTO!$AF$7)/$H604*OFFSET(ORÇAMENTO!$X$15,ROW(AS604)-ROW(AS$15),0),
ROUND(ROUND(OFFSET($P604,0,AS$13),15-13*ORÇAMENTO!$AF$7)*OFFSET(ORÇAMENTO!$W$15,ROW(AS604)-ROW(AS$15),0),15-13*ORÇAMENTO!$AF$11)),0)</f>
        <v>0</v>
      </c>
      <c r="AT604" s="545">
        <f ca="1">IF(AND($D604="Serviço",AT$12&lt;&gt;0,$H604&gt;0,OR(AUTOEVENTO&lt;&gt;"manual",$M604&lt;&gt;1)),
IF(Import.TipoArredondamento&lt;&gt;"TransfereGOV",
ROUND(OFFSET($P604,0,AT$13),15-13*ORÇAMENTO!$AF$7)/$H604*OFFSET(ORÇAMENTO!$X$15,ROW(AT604)-ROW(AT$15),0),
ROUND(ROUND(OFFSET($P604,0,AT$13),15-13*ORÇAMENTO!$AF$7)*OFFSET(ORÇAMENTO!$W$15,ROW(AT604)-ROW(AT$15),0),15-13*ORÇAMENTO!$AF$11)),0)</f>
        <v>0</v>
      </c>
      <c r="AU604" s="545">
        <f ca="1">IF(AND($D604="Serviço",AU$12&lt;&gt;0,$H604&gt;0,OR(AUTOEVENTO&lt;&gt;"manual",$M604&lt;&gt;1)),
IF(Import.TipoArredondamento&lt;&gt;"TransfereGOV",
ROUND(OFFSET($P604,0,AU$13),15-13*ORÇAMENTO!$AF$7)/$H604*OFFSET(ORÇAMENTO!$X$15,ROW(AU604)-ROW(AU$15),0),
ROUND(ROUND(OFFSET($P604,0,AU$13),15-13*ORÇAMENTO!$AF$7)*OFFSET(ORÇAMENTO!$W$15,ROW(AU604)-ROW(AU$15),0),15-13*ORÇAMENTO!$AF$11)),0)</f>
        <v>0</v>
      </c>
      <c r="AV604" s="545">
        <f ca="1">IF(AND($D604="Serviço",AV$12&lt;&gt;0,$H604&gt;0,OR(AUTOEVENTO&lt;&gt;"manual",$M604&lt;&gt;1)),
IF(Import.TipoArredondamento&lt;&gt;"TransfereGOV",
ROUND(OFFSET($P604,0,AV$13),15-13*ORÇAMENTO!$AF$7)/$H604*OFFSET(ORÇAMENTO!$X$15,ROW(AV604)-ROW(AV$15),0),
ROUND(ROUND(OFFSET($P604,0,AV$13),15-13*ORÇAMENTO!$AF$7)*OFFSET(ORÇAMENTO!$W$15,ROW(AV604)-ROW(AV$15),0),15-13*ORÇAMENTO!$AF$11)),0)</f>
        <v>0</v>
      </c>
      <c r="AW604" s="545">
        <f ca="1">IF(AND($D604="Serviço",AW$12&lt;&gt;0,$H604&gt;0,OR(AUTOEVENTO&lt;&gt;"manual",$M604&lt;&gt;1)),
IF(Import.TipoArredondamento&lt;&gt;"TransfereGOV",
ROUND(OFFSET($P604,0,AW$13),15-13*ORÇAMENTO!$AF$7)/$H604*OFFSET(ORÇAMENTO!$X$15,ROW(AW604)-ROW(AW$15),0),
ROUND(ROUND(OFFSET($P604,0,AW$13),15-13*ORÇAMENTO!$AF$7)*OFFSET(ORÇAMENTO!$W$15,ROW(AW604)-ROW(AW$15),0),15-13*ORÇAMENTO!$AF$11)),0)</f>
        <v>0</v>
      </c>
      <c r="AX604" s="545">
        <f ca="1">IF(AND($D604="Serviço",AX$12&lt;&gt;0,$H604&gt;0,OR(AUTOEVENTO&lt;&gt;"manual",$M604&lt;&gt;1)),
IF(Import.TipoArredondamento&lt;&gt;"TransfereGOV",
ROUND(OFFSET($P604,0,AX$13),15-13*ORÇAMENTO!$AF$7)/$H604*OFFSET(ORÇAMENTO!$X$15,ROW(AX604)-ROW(AX$15),0),
ROUND(ROUND(OFFSET($P604,0,AX$13),15-13*ORÇAMENTO!$AF$7)*OFFSET(ORÇAMENTO!$W$15,ROW(AX604)-ROW(AX$15),0),15-13*ORÇAMENTO!$AF$11)),0)</f>
        <v>0</v>
      </c>
      <c r="AY604" s="545">
        <f ca="1">IF(AND($D604="Serviço",AY$12&lt;&gt;0,$H604&gt;0,OR(AUTOEVENTO&lt;&gt;"manual",$M604&lt;&gt;1)),
IF(Import.TipoArredondamento&lt;&gt;"TransfereGOV",
ROUND(OFFSET($P604,0,AY$13),15-13*ORÇAMENTO!$AF$7)/$H604*OFFSET(ORÇAMENTO!$X$15,ROW(AY604)-ROW(AY$15),0),
ROUND(ROUND(OFFSET($P604,0,AY$13),15-13*ORÇAMENTO!$AF$7)*OFFSET(ORÇAMENTO!$W$15,ROW(AY604)-ROW(AY$15),0),15-13*ORÇAMENTO!$AF$11)),0)</f>
        <v>0</v>
      </c>
      <c r="AZ604" s="545">
        <f ca="1">IF(AND($D604="Serviço",AZ$12&lt;&gt;0,$H604&gt;0,OR(AUTOEVENTO&lt;&gt;"manual",$M604&lt;&gt;1)),
IF(Import.TipoArredondamento&lt;&gt;"TransfereGOV",
ROUND(OFFSET($P604,0,AZ$13),15-13*ORÇAMENTO!$AF$7)/$H604*OFFSET(ORÇAMENTO!$X$15,ROW(AZ604)-ROW(AZ$15),0),
ROUND(ROUND(OFFSET($P604,0,AZ$13),15-13*ORÇAMENTO!$AF$7)*OFFSET(ORÇAMENTO!$W$15,ROW(AZ604)-ROW(AZ$15),0),15-13*ORÇAMENTO!$AF$11)),0)</f>
        <v>0</v>
      </c>
      <c r="BA604" s="546">
        <f ca="1">IF(AND($D604="Serviço",BA$12&lt;&gt;0,$H604&gt;0,OR(AUTOEVENTO&lt;&gt;"manual",$M604&lt;&gt;1)),
IF(Import.TipoArredondamento&lt;&gt;"TransfereGOV",
ROUND(OFFSET($P604,0,BA$13),15-13*ORÇAMENTO!$AF$7)/$H604*OFFSET(ORÇAMENTO!$X$15,ROW(BA604)-ROW(BA$15),0),
ROUND(ROUND(OFFSET($P604,0,BA$13),15-13*ORÇAMENTO!$AF$7)*OFFSET(ORÇAMENTO!$W$15,ROW(BA604)-ROW(BA$15),0),15-13*ORÇAMENTO!$AF$11)),0)</f>
        <v>0</v>
      </c>
      <c r="BC604" s="181">
        <f ca="1">IF($D604&lt;&gt;"Serviço",0,IF(AND(AUTOEVENTO="Manual",$M604=1),0,IF(OFFSET(CRONOPLE!$F$14,$M604,BC$13)="",10^12,OFFSET(CRONOPLE!$F$14,$M604,BC$13))))</f>
        <v>0</v>
      </c>
      <c r="BD604" s="181">
        <f ca="1">IF($D604&lt;&gt;"Serviço",0,IF(AND(AUTOEVENTO="Manual",$M604=1),0,IF(OFFSET(CRONOPLE!$F$14,$M604,BD$13)="",10^12,OFFSET(CRONOPLE!$F$14,$M604,BD$13))))</f>
        <v>0</v>
      </c>
      <c r="BE604" s="181">
        <f ca="1">IF($D604&lt;&gt;"Serviço",0,IF(AND(AUTOEVENTO="Manual",$M604=1),0,IF(OFFSET(CRONOPLE!$F$14,$M604,BE$13)="",10^12,OFFSET(CRONOPLE!$F$14,$M604,BE$13))))</f>
        <v>0</v>
      </c>
      <c r="BF604" s="181">
        <f ca="1">IF($D604&lt;&gt;"Serviço",0,IF(AND(AUTOEVENTO="Manual",$M604=1),0,IF(OFFSET(CRONOPLE!$F$14,$M604,BF$13)="",10^12,OFFSET(CRONOPLE!$F$14,$M604,BF$13))))</f>
        <v>0</v>
      </c>
      <c r="BG604" s="181">
        <f ca="1">IF($D604&lt;&gt;"Serviço",0,IF(AND(AUTOEVENTO="Manual",$M604=1),0,IF(OFFSET(CRONOPLE!$F$14,$M604,BG$13)="",10^12,OFFSET(CRONOPLE!$F$14,$M604,BG$13))))</f>
        <v>0</v>
      </c>
      <c r="BH604" s="181">
        <f ca="1">IF($D604&lt;&gt;"Serviço",0,IF(AND(AUTOEVENTO="Manual",$M604=1),0,IF(OFFSET(CRONOPLE!$F$14,$M604,BH$13)="",10^12,OFFSET(CRONOPLE!$F$14,$M604,BH$13))))</f>
        <v>0</v>
      </c>
      <c r="BI604" s="181">
        <f ca="1">IF($D604&lt;&gt;"Serviço",0,IF(AND(AUTOEVENTO="Manual",$M604=1),0,IF(OFFSET(CRONOPLE!$F$14,$M604,BI$13)="",10^12,OFFSET(CRONOPLE!$F$14,$M604,BI$13))))</f>
        <v>0</v>
      </c>
      <c r="BJ604" s="181">
        <f ca="1">IF($D604&lt;&gt;"Serviço",0,IF(AND(AUTOEVENTO="Manual",$M604=1),0,IF(OFFSET(CRONOPLE!$F$14,$M604,BJ$13)="",10^12,OFFSET(CRONOPLE!$F$14,$M604,BJ$13))))</f>
        <v>0</v>
      </c>
      <c r="BK604" s="181">
        <f ca="1">IF($D604&lt;&gt;"Serviço",0,IF(AND(AUTOEVENTO="Manual",$M604=1),0,IF(OFFSET(CRONOPLE!$F$14,$M604,BK$13)="",10^12,OFFSET(CRONOPLE!$F$14,$M604,BK$13))))</f>
        <v>0</v>
      </c>
      <c r="BL604" s="181">
        <f ca="1">IF($D604&lt;&gt;"Serviço",0,IF(AND(AUTOEVENTO="Manual",$M604=1),0,IF(OFFSET(CRONOPLE!$F$14,$M604,BL$13)="",10^12,OFFSET(CRONOPLE!$F$14,$M604,BL$13))))</f>
        <v>0</v>
      </c>
      <c r="BM604" s="181">
        <f ca="1">IF($D604&lt;&gt;"Serviço",0,IF(AND(AUTOEVENTO="Manual",$M604=1),0,IF(OFFSET(CRONOPLE!$F$14,$M604,BM$13)="",10^12,OFFSET(CRONOPLE!$F$14,$M604,BM$13))))</f>
        <v>0</v>
      </c>
      <c r="BN604" s="181">
        <f ca="1">IF($D604&lt;&gt;"Serviço",0,IF(AND(AUTOEVENTO="Manual",$M604=1),0,IF(OFFSET(CRONOPLE!$F$14,$M604,BN$13)="",10^12,OFFSET(CRONOPLE!$F$14,$M604,BN$13))))</f>
        <v>0</v>
      </c>
      <c r="BO604" s="181">
        <f ca="1">IF($D604&lt;&gt;"Serviço",0,IF(AND(AUTOEVENTO="Manual",$M604=1),0,IF(OFFSET(CRONOPLE!$F$14,$M604,BO$13)="",10^12,OFFSET(CRONOPLE!$F$14,$M604,BO$13))))</f>
        <v>0</v>
      </c>
      <c r="BP604" s="181">
        <f ca="1">IF($D604&lt;&gt;"Serviço",0,IF(AND(AUTOEVENTO="Manual",$M604=1),0,IF(OFFSET(CRONOPLE!$F$14,$M604,BP$13)="",10^12,OFFSET(CRONOPLE!$F$14,$M604,BP$13))))</f>
        <v>0</v>
      </c>
      <c r="BQ604" s="181">
        <f ca="1">IF($D604&lt;&gt;"Serviço",0,IF(AND(AUTOEVENTO="Manual",$M604=1),0,IF(OFFSET(CRONOPLE!$F$14,$M604,BQ$13)="",10^12,OFFSET(CRONOPLE!$F$14,$M604,BQ$13))))</f>
        <v>0</v>
      </c>
      <c r="BR604" s="181">
        <f ca="1">IF($D604&lt;&gt;"Serviço",0,IF(AND(AUTOEVENTO="Manual",$M604=1),0,IF(OFFSET(CRONOPLE!$F$14,$M604,BR$13)="",10^12,OFFSET(CRONOPLE!$F$14,$M604,BR$13))))</f>
        <v>0</v>
      </c>
      <c r="BS604" s="181">
        <f ca="1">IF($D604&lt;&gt;"Serviço",0,IF(AND(AUTOEVENTO="Manual",$M604=1),0,IF(OFFSET(CRONOPLE!$F$14,$M604,BS$13)="",10^12,OFFSET(CRONOPLE!$F$14,$M604,BS$13))))</f>
        <v>0</v>
      </c>
      <c r="BT604" s="181">
        <f ca="1">IF($D604&lt;&gt;"Serviço",0,IF(AND(AUTOEVENTO="Manual",$M604=1),0,IF(OFFSET(CRONOPLE!$F$14,$M604,BT$13)="",10^12,OFFSET(CRONOPLE!$F$14,$M604,BT$13))))</f>
        <v>0</v>
      </c>
      <c r="BV604" s="182">
        <f ca="1">IF($D604&lt;&gt;"Serviço",0,IF(OR(AND(AUTOEVENTO="Manual",$M604=1),$M604&gt;(ROW(PLE.lastrow)-ROW(PLE.firstrow))),0,IF(OFFSET(PLE!$G$14,$M604,BV$13)="",10^12,OFFSET(PLE!$G$14,$M604,BV$13))))</f>
        <v>0</v>
      </c>
      <c r="BW604" s="182">
        <f ca="1">IF($D604&lt;&gt;"Serviço",0,IF(OR(AND(AUTOEVENTO="Manual",$M604=1),$M604&gt;(ROW(PLE.lastrow)-ROW(PLE.firstrow))),0,IF(OFFSET(PLE!$G$14,$M604,BW$13)="",10^12,OFFSET(PLE!$G$14,$M604,BW$13))))</f>
        <v>0</v>
      </c>
      <c r="BX604" s="182">
        <f ca="1">IF($D604&lt;&gt;"Serviço",0,IF(OR(AND(AUTOEVENTO="Manual",$M604=1),$M604&gt;(ROW(PLE.lastrow)-ROW(PLE.firstrow))),0,IF(OFFSET(PLE!$G$14,$M604,BX$13)="",10^12,OFFSET(PLE!$G$14,$M604,BX$13))))</f>
        <v>0</v>
      </c>
      <c r="BY604" s="182">
        <f ca="1">IF($D604&lt;&gt;"Serviço",0,IF(OR(AND(AUTOEVENTO="Manual",$M604=1),$M604&gt;(ROW(PLE.lastrow)-ROW(PLE.firstrow))),0,IF(OFFSET(PLE!$G$14,$M604,BY$13)="",10^12,OFFSET(PLE!$G$14,$M604,BY$13))))</f>
        <v>0</v>
      </c>
      <c r="BZ604" s="182">
        <f ca="1">IF($D604&lt;&gt;"Serviço",0,IF(OR(AND(AUTOEVENTO="Manual",$M604=1),$M604&gt;(ROW(PLE.lastrow)-ROW(PLE.firstrow))),0,IF(OFFSET(PLE!$G$14,$M604,BZ$13)="",10^12,OFFSET(PLE!$G$14,$M604,BZ$13))))</f>
        <v>0</v>
      </c>
      <c r="CA604" s="182">
        <f ca="1">IF($D604&lt;&gt;"Serviço",0,IF(OR(AND(AUTOEVENTO="Manual",$M604=1),$M604&gt;(ROW(PLE.lastrow)-ROW(PLE.firstrow))),0,IF(OFFSET(PLE!$G$14,$M604,CA$13)="",10^12,OFFSET(PLE!$G$14,$M604,CA$13))))</f>
        <v>0</v>
      </c>
      <c r="CB604" s="182">
        <f ca="1">IF($D604&lt;&gt;"Serviço",0,IF(OR(AND(AUTOEVENTO="Manual",$M604=1),$M604&gt;(ROW(PLE.lastrow)-ROW(PLE.firstrow))),0,IF(OFFSET(PLE!$G$14,$M604,CB$13)="",10^12,OFFSET(PLE!$G$14,$M604,CB$13))))</f>
        <v>0</v>
      </c>
      <c r="CC604" s="182">
        <f ca="1">IF($D604&lt;&gt;"Serviço",0,IF(OR(AND(AUTOEVENTO="Manual",$M604=1),$M604&gt;(ROW(PLE.lastrow)-ROW(PLE.firstrow))),0,IF(OFFSET(PLE!$G$14,$M604,CC$13)="",10^12,OFFSET(PLE!$G$14,$M604,CC$13))))</f>
        <v>0</v>
      </c>
      <c r="CD604" s="182">
        <f ca="1">IF($D604&lt;&gt;"Serviço",0,IF(OR(AND(AUTOEVENTO="Manual",$M604=1),$M604&gt;(ROW(PLE.lastrow)-ROW(PLE.firstrow))),0,IF(OFFSET(PLE!$G$14,$M604,CD$13)="",10^12,OFFSET(PLE!$G$14,$M604,CD$13))))</f>
        <v>0</v>
      </c>
      <c r="CE604" s="182">
        <f ca="1">IF($D604&lt;&gt;"Serviço",0,IF(OR(AND(AUTOEVENTO="Manual",$M604=1),$M604&gt;(ROW(PLE.lastrow)-ROW(PLE.firstrow))),0,IF(OFFSET(PLE!$G$14,$M604,CE$13)="",10^12,OFFSET(PLE!$G$14,$M604,CE$13))))</f>
        <v>0</v>
      </c>
      <c r="CF604" s="182">
        <f ca="1">IF($D604&lt;&gt;"Serviço",0,IF(OR(AND(AUTOEVENTO="Manual",$M604=1),$M604&gt;(ROW(PLE.lastrow)-ROW(PLE.firstrow))),0,IF(OFFSET(PLE!$G$14,$M604,CF$13)="",10^12,OFFSET(PLE!$G$14,$M604,CF$13))))</f>
        <v>0</v>
      </c>
      <c r="CG604" s="182">
        <f ca="1">IF($D604&lt;&gt;"Serviço",0,IF(OR(AND(AUTOEVENTO="Manual",$M604=1),$M604&gt;(ROW(PLE.lastrow)-ROW(PLE.firstrow))),0,IF(OFFSET(PLE!$G$14,$M604,CG$13)="",10^12,OFFSET(PLE!$G$14,$M604,CG$13))))</f>
        <v>0</v>
      </c>
      <c r="CH604" s="182">
        <f ca="1">IF($D604&lt;&gt;"Serviço",0,IF(OR(AND(AUTOEVENTO="Manual",$M604=1),$M604&gt;(ROW(PLE.lastrow)-ROW(PLE.firstrow))),0,IF(OFFSET(PLE!$G$14,$M604,CH$13)="",10^12,OFFSET(PLE!$G$14,$M604,CH$13))))</f>
        <v>0</v>
      </c>
      <c r="CI604" s="182">
        <f ca="1">IF($D604&lt;&gt;"Serviço",0,IF(OR(AND(AUTOEVENTO="Manual",$M604=1),$M604&gt;(ROW(PLE.lastrow)-ROW(PLE.firstrow))),0,IF(OFFSET(PLE!$G$14,$M604,CI$13)="",10^12,OFFSET(PLE!$G$14,$M604,CI$13))))</f>
        <v>0</v>
      </c>
      <c r="CJ604" s="182">
        <f ca="1">IF($D604&lt;&gt;"Serviço",0,IF(OR(AND(AUTOEVENTO="Manual",$M604=1),$M604&gt;(ROW(PLE.lastrow)-ROW(PLE.firstrow))),0,IF(OFFSET(PLE!$G$14,$M604,CJ$13)="",10^12,OFFSET(PLE!$G$14,$M604,CJ$13))))</f>
        <v>0</v>
      </c>
      <c r="CK604" s="182">
        <f ca="1">IF($D604&lt;&gt;"Serviço",0,IF(OR(AND(AUTOEVENTO="Manual",$M604=1),$M604&gt;(ROW(PLE.lastrow)-ROW(PLE.firstrow))),0,IF(OFFSET(PLE!$G$14,$M604,CK$13)="",10^12,OFFSET(PLE!$G$14,$M604,CK$13))))</f>
        <v>0</v>
      </c>
      <c r="CL604" s="182">
        <f ca="1">IF($D604&lt;&gt;"Serviço",0,IF(OR(AND(AUTOEVENTO="Manual",$M604=1),$M604&gt;(ROW(PLE.lastrow)-ROW(PLE.firstrow))),0,IF(OFFSET(PLE!$G$14,$M604,CL$13)="",10^12,OFFSET(PLE!$G$14,$M604,CL$13))))</f>
        <v>0</v>
      </c>
      <c r="CM604" s="182">
        <f ca="1">IF($D604&lt;&gt;"Serviço",0,IF(OR(AND(AUTOEVENTO="Manual",$M604=1),$M604&gt;(ROW(PLE.lastrow)-ROW(PLE.firstrow))),0,IF(OFFSET(PLE!$G$14,$M604,CM$13)="",10^12,OFFSET(PLE!$G$14,$M604,CM$13))))</f>
        <v>0</v>
      </c>
    </row>
    <row r="605" spans="1:91" ht="25.5" x14ac:dyDescent="0.2">
      <c r="A605" s="7" t="str">
        <f t="shared" ca="1" si="18"/>
        <v>589</v>
      </c>
      <c r="B605" s="7" t="str">
        <f ca="1">OFFSET(ORÇAMENTO!C$15,ROW(B605)-ROW(B$15),0)</f>
        <v>S</v>
      </c>
      <c r="C605" s="7" t="str">
        <f ca="1">OFFSET(ORÇAMENTO!L$15,ROW(C605)-ROW(C$15),0)</f>
        <v/>
      </c>
      <c r="D605" s="118" t="str">
        <f ca="1">OFFSET(ORÇAMENTO!N$15,ROW(D605)-ROW(D$15),0)</f>
        <v>Serviço</v>
      </c>
      <c r="E605" s="119" t="str">
        <f ca="1">OFFSET(ORÇAMENTO!O$15,ROW(E605)-ROW(E$15),0)</f>
        <v>-</v>
      </c>
      <c r="F605" s="172" t="str">
        <f ca="1">OFFSET(ORÇAMENTO!R$15,ROW(F605)-ROW(F$15),0)</f>
        <v>(abra o arquivo 'Referência 06-2024.xlsm)</v>
      </c>
      <c r="G605" s="173" t="str">
        <f ca="1">IF($D605&lt;&gt;"Serviço","",OFFSET(ORÇAMENTO!S$15,ROW(G605)-ROW(G$15),0))</f>
        <v>-</v>
      </c>
      <c r="H605" s="124">
        <f ca="1">IF($D605&lt;&gt;"Serviço",0,IF(ACOMPANHAMENTO="BM",ROUND(OFFSET(ORÇAMENTO!AJ$15,ROW(H605)-ROW(H$15),0),15-13*ORÇAMENTO!$AF$7),SUMPRODUCT(($Q$12:$AI$12&lt;&gt;"")*ROUND($Q605:$AI605,15-13*ORÇAMENTO!$AF$7))))</f>
        <v>1</v>
      </c>
      <c r="I605" s="561" t="s">
        <v>1107</v>
      </c>
      <c r="K605" s="174"/>
      <c r="L605" s="175" t="s">
        <v>255</v>
      </c>
      <c r="M605" s="176">
        <f ca="1">IF($D605&lt;&gt;"Serviço","",IF(AUTOEVENTO="manual",$A605,IF(ISERROR(MATCH($A605,$A$15:OFFSET($A605,-1,0),0)),MAX($M$15:OFFSET(M605,-1,0))+1,INDEX($M$15:OFFSET(M605,-1,0),MATCH($A605,$A$15:OFFSET($A605,-1,0),0)))))</f>
        <v>62</v>
      </c>
      <c r="N605" s="177" t="str">
        <f ca="1">IF($D605&lt;&gt;"Serviço","",IF(AUTOEVENTO="Manual",IF($A605=0,"&lt;-- defina o número do agrupador",OFFSET(EVENTOS!$D$14,$A605,0)),OFFSET($F$15,$A605,0)))</f>
        <v>INSTALAÇÃO ELÉTRICA 110V - QUADROS</v>
      </c>
      <c r="O605" s="178"/>
      <c r="Q605" s="178">
        <v>1</v>
      </c>
      <c r="R605" s="179"/>
      <c r="S605" s="179"/>
      <c r="T605" s="179"/>
      <c r="U605" s="179"/>
      <c r="V605" s="179"/>
      <c r="W605" s="179"/>
      <c r="X605" s="179"/>
      <c r="Y605" s="179"/>
      <c r="Z605" s="180"/>
      <c r="AA605" s="179"/>
      <c r="AB605" s="179"/>
      <c r="AC605" s="179"/>
      <c r="AD605" s="179"/>
      <c r="AE605" s="179"/>
      <c r="AF605" s="179"/>
      <c r="AG605" s="179"/>
      <c r="AH605" s="180"/>
      <c r="AJ605" s="544">
        <f ca="1">IF(AND($D605="Serviço",AJ$12&lt;&gt;0,$H605&gt;0,OR(AUTOEVENTO&lt;&gt;"manual",$M605&lt;&gt;1)),
IF(Import.TipoArredondamento&lt;&gt;"TransfereGOV",
ROUND(OFFSET($P605,0,AJ$13),15-13*ORÇAMENTO!$AF$7)/$H605*OFFSET(ORÇAMENTO!$X$15,ROW(AJ605)-ROW(AJ$15),0),
ROUND(ROUND(OFFSET($P605,0,AJ$13),15-13*ORÇAMENTO!$AF$7)*OFFSET(ORÇAMENTO!$W$15,ROW(AJ605)-ROW(AJ$15),0),15-13*ORÇAMENTO!$AF$11)),0)</f>
        <v>0</v>
      </c>
      <c r="AK605" s="545">
        <f ca="1">IF(AND($D605="Serviço",AK$12&lt;&gt;0,$H605&gt;0,OR(AUTOEVENTO&lt;&gt;"manual",$M605&lt;&gt;1)),
IF(Import.TipoArredondamento&lt;&gt;"TransfereGOV",
ROUND(OFFSET($P605,0,AK$13),15-13*ORÇAMENTO!$AF$7)/$H605*OFFSET(ORÇAMENTO!$X$15,ROW(AK605)-ROW(AK$15),0),
ROUND(ROUND(OFFSET($P605,0,AK$13),15-13*ORÇAMENTO!$AF$7)*OFFSET(ORÇAMENTO!$W$15,ROW(AK605)-ROW(AK$15),0),15-13*ORÇAMENTO!$AF$11)),0)</f>
        <v>0</v>
      </c>
      <c r="AL605" s="545">
        <f ca="1">IF(AND($D605="Serviço",AL$12&lt;&gt;0,$H605&gt;0,OR(AUTOEVENTO&lt;&gt;"manual",$M605&lt;&gt;1)),
IF(Import.TipoArredondamento&lt;&gt;"TransfereGOV",
ROUND(OFFSET($P605,0,AL$13),15-13*ORÇAMENTO!$AF$7)/$H605*OFFSET(ORÇAMENTO!$X$15,ROW(AL605)-ROW(AL$15),0),
ROUND(ROUND(OFFSET($P605,0,AL$13),15-13*ORÇAMENTO!$AF$7)*OFFSET(ORÇAMENTO!$W$15,ROW(AL605)-ROW(AL$15),0),15-13*ORÇAMENTO!$AF$11)),0)</f>
        <v>0</v>
      </c>
      <c r="AM605" s="545">
        <f ca="1">IF(AND($D605="Serviço",AM$12&lt;&gt;0,$H605&gt;0,OR(AUTOEVENTO&lt;&gt;"manual",$M605&lt;&gt;1)),
IF(Import.TipoArredondamento&lt;&gt;"TransfereGOV",
ROUND(OFFSET($P605,0,AM$13),15-13*ORÇAMENTO!$AF$7)/$H605*OFFSET(ORÇAMENTO!$X$15,ROW(AM605)-ROW(AM$15),0),
ROUND(ROUND(OFFSET($P605,0,AM$13),15-13*ORÇAMENTO!$AF$7)*OFFSET(ORÇAMENTO!$W$15,ROW(AM605)-ROW(AM$15),0),15-13*ORÇAMENTO!$AF$11)),0)</f>
        <v>0</v>
      </c>
      <c r="AN605" s="545">
        <f ca="1">IF(AND($D605="Serviço",AN$12&lt;&gt;0,$H605&gt;0,OR(AUTOEVENTO&lt;&gt;"manual",$M605&lt;&gt;1)),
IF(Import.TipoArredondamento&lt;&gt;"TransfereGOV",
ROUND(OFFSET($P605,0,AN$13),15-13*ORÇAMENTO!$AF$7)/$H605*OFFSET(ORÇAMENTO!$X$15,ROW(AN605)-ROW(AN$15),0),
ROUND(ROUND(OFFSET($P605,0,AN$13),15-13*ORÇAMENTO!$AF$7)*OFFSET(ORÇAMENTO!$W$15,ROW(AN605)-ROW(AN$15),0),15-13*ORÇAMENTO!$AF$11)),0)</f>
        <v>0</v>
      </c>
      <c r="AO605" s="545">
        <f ca="1">IF(AND($D605="Serviço",AO$12&lt;&gt;0,$H605&gt;0,OR(AUTOEVENTO&lt;&gt;"manual",$M605&lt;&gt;1)),
IF(Import.TipoArredondamento&lt;&gt;"TransfereGOV",
ROUND(OFFSET($P605,0,AO$13),15-13*ORÇAMENTO!$AF$7)/$H605*OFFSET(ORÇAMENTO!$X$15,ROW(AO605)-ROW(AO$15),0),
ROUND(ROUND(OFFSET($P605,0,AO$13),15-13*ORÇAMENTO!$AF$7)*OFFSET(ORÇAMENTO!$W$15,ROW(AO605)-ROW(AO$15),0),15-13*ORÇAMENTO!$AF$11)),0)</f>
        <v>0</v>
      </c>
      <c r="AP605" s="545">
        <f ca="1">IF(AND($D605="Serviço",AP$12&lt;&gt;0,$H605&gt;0,OR(AUTOEVENTO&lt;&gt;"manual",$M605&lt;&gt;1)),
IF(Import.TipoArredondamento&lt;&gt;"TransfereGOV",
ROUND(OFFSET($P605,0,AP$13),15-13*ORÇAMENTO!$AF$7)/$H605*OFFSET(ORÇAMENTO!$X$15,ROW(AP605)-ROW(AP$15),0),
ROUND(ROUND(OFFSET($P605,0,AP$13),15-13*ORÇAMENTO!$AF$7)*OFFSET(ORÇAMENTO!$W$15,ROW(AP605)-ROW(AP$15),0),15-13*ORÇAMENTO!$AF$11)),0)</f>
        <v>0</v>
      </c>
      <c r="AQ605" s="545">
        <f ca="1">IF(AND($D605="Serviço",AQ$12&lt;&gt;0,$H605&gt;0,OR(AUTOEVENTO&lt;&gt;"manual",$M605&lt;&gt;1)),
IF(Import.TipoArredondamento&lt;&gt;"TransfereGOV",
ROUND(OFFSET($P605,0,AQ$13),15-13*ORÇAMENTO!$AF$7)/$H605*OFFSET(ORÇAMENTO!$X$15,ROW(AQ605)-ROW(AQ$15),0),
ROUND(ROUND(OFFSET($P605,0,AQ$13),15-13*ORÇAMENTO!$AF$7)*OFFSET(ORÇAMENTO!$W$15,ROW(AQ605)-ROW(AQ$15),0),15-13*ORÇAMENTO!$AF$11)),0)</f>
        <v>0</v>
      </c>
      <c r="AR605" s="545">
        <f ca="1">IF(AND($D605="Serviço",AR$12&lt;&gt;0,$H605&gt;0,OR(AUTOEVENTO&lt;&gt;"manual",$M605&lt;&gt;1)),
IF(Import.TipoArredondamento&lt;&gt;"TransfereGOV",
ROUND(OFFSET($P605,0,AR$13),15-13*ORÇAMENTO!$AF$7)/$H605*OFFSET(ORÇAMENTO!$X$15,ROW(AR605)-ROW(AR$15),0),
ROUND(ROUND(OFFSET($P605,0,AR$13),15-13*ORÇAMENTO!$AF$7)*OFFSET(ORÇAMENTO!$W$15,ROW(AR605)-ROW(AR$15),0),15-13*ORÇAMENTO!$AF$11)),0)</f>
        <v>0</v>
      </c>
      <c r="AS605" s="546">
        <f ca="1">IF(AND($D605="Serviço",AS$12&lt;&gt;0,$H605&gt;0,OR(AUTOEVENTO&lt;&gt;"manual",$M605&lt;&gt;1)),
IF(Import.TipoArredondamento&lt;&gt;"TransfereGOV",
ROUND(OFFSET($P605,0,AS$13),15-13*ORÇAMENTO!$AF$7)/$H605*OFFSET(ORÇAMENTO!$X$15,ROW(AS605)-ROW(AS$15),0),
ROUND(ROUND(OFFSET($P605,0,AS$13),15-13*ORÇAMENTO!$AF$7)*OFFSET(ORÇAMENTO!$W$15,ROW(AS605)-ROW(AS$15),0),15-13*ORÇAMENTO!$AF$11)),0)</f>
        <v>0</v>
      </c>
      <c r="AT605" s="545">
        <f ca="1">IF(AND($D605="Serviço",AT$12&lt;&gt;0,$H605&gt;0,OR(AUTOEVENTO&lt;&gt;"manual",$M605&lt;&gt;1)),
IF(Import.TipoArredondamento&lt;&gt;"TransfereGOV",
ROUND(OFFSET($P605,0,AT$13),15-13*ORÇAMENTO!$AF$7)/$H605*OFFSET(ORÇAMENTO!$X$15,ROW(AT605)-ROW(AT$15),0),
ROUND(ROUND(OFFSET($P605,0,AT$13),15-13*ORÇAMENTO!$AF$7)*OFFSET(ORÇAMENTO!$W$15,ROW(AT605)-ROW(AT$15),0),15-13*ORÇAMENTO!$AF$11)),0)</f>
        <v>0</v>
      </c>
      <c r="AU605" s="545">
        <f ca="1">IF(AND($D605="Serviço",AU$12&lt;&gt;0,$H605&gt;0,OR(AUTOEVENTO&lt;&gt;"manual",$M605&lt;&gt;1)),
IF(Import.TipoArredondamento&lt;&gt;"TransfereGOV",
ROUND(OFFSET($P605,0,AU$13),15-13*ORÇAMENTO!$AF$7)/$H605*OFFSET(ORÇAMENTO!$X$15,ROW(AU605)-ROW(AU$15),0),
ROUND(ROUND(OFFSET($P605,0,AU$13),15-13*ORÇAMENTO!$AF$7)*OFFSET(ORÇAMENTO!$W$15,ROW(AU605)-ROW(AU$15),0),15-13*ORÇAMENTO!$AF$11)),0)</f>
        <v>0</v>
      </c>
      <c r="AV605" s="545">
        <f ca="1">IF(AND($D605="Serviço",AV$12&lt;&gt;0,$H605&gt;0,OR(AUTOEVENTO&lt;&gt;"manual",$M605&lt;&gt;1)),
IF(Import.TipoArredondamento&lt;&gt;"TransfereGOV",
ROUND(OFFSET($P605,0,AV$13),15-13*ORÇAMENTO!$AF$7)/$H605*OFFSET(ORÇAMENTO!$X$15,ROW(AV605)-ROW(AV$15),0),
ROUND(ROUND(OFFSET($P605,0,AV$13),15-13*ORÇAMENTO!$AF$7)*OFFSET(ORÇAMENTO!$W$15,ROW(AV605)-ROW(AV$15),0),15-13*ORÇAMENTO!$AF$11)),0)</f>
        <v>0</v>
      </c>
      <c r="AW605" s="545">
        <f ca="1">IF(AND($D605="Serviço",AW$12&lt;&gt;0,$H605&gt;0,OR(AUTOEVENTO&lt;&gt;"manual",$M605&lt;&gt;1)),
IF(Import.TipoArredondamento&lt;&gt;"TransfereGOV",
ROUND(OFFSET($P605,0,AW$13),15-13*ORÇAMENTO!$AF$7)/$H605*OFFSET(ORÇAMENTO!$X$15,ROW(AW605)-ROW(AW$15),0),
ROUND(ROUND(OFFSET($P605,0,AW$13),15-13*ORÇAMENTO!$AF$7)*OFFSET(ORÇAMENTO!$W$15,ROW(AW605)-ROW(AW$15),0),15-13*ORÇAMENTO!$AF$11)),0)</f>
        <v>0</v>
      </c>
      <c r="AX605" s="545">
        <f ca="1">IF(AND($D605="Serviço",AX$12&lt;&gt;0,$H605&gt;0,OR(AUTOEVENTO&lt;&gt;"manual",$M605&lt;&gt;1)),
IF(Import.TipoArredondamento&lt;&gt;"TransfereGOV",
ROUND(OFFSET($P605,0,AX$13),15-13*ORÇAMENTO!$AF$7)/$H605*OFFSET(ORÇAMENTO!$X$15,ROW(AX605)-ROW(AX$15),0),
ROUND(ROUND(OFFSET($P605,0,AX$13),15-13*ORÇAMENTO!$AF$7)*OFFSET(ORÇAMENTO!$W$15,ROW(AX605)-ROW(AX$15),0),15-13*ORÇAMENTO!$AF$11)),0)</f>
        <v>0</v>
      </c>
      <c r="AY605" s="545">
        <f ca="1">IF(AND($D605="Serviço",AY$12&lt;&gt;0,$H605&gt;0,OR(AUTOEVENTO&lt;&gt;"manual",$M605&lt;&gt;1)),
IF(Import.TipoArredondamento&lt;&gt;"TransfereGOV",
ROUND(OFFSET($P605,0,AY$13),15-13*ORÇAMENTO!$AF$7)/$H605*OFFSET(ORÇAMENTO!$X$15,ROW(AY605)-ROW(AY$15),0),
ROUND(ROUND(OFFSET($P605,0,AY$13),15-13*ORÇAMENTO!$AF$7)*OFFSET(ORÇAMENTO!$W$15,ROW(AY605)-ROW(AY$15),0),15-13*ORÇAMENTO!$AF$11)),0)</f>
        <v>0</v>
      </c>
      <c r="AZ605" s="545">
        <f ca="1">IF(AND($D605="Serviço",AZ$12&lt;&gt;0,$H605&gt;0,OR(AUTOEVENTO&lt;&gt;"manual",$M605&lt;&gt;1)),
IF(Import.TipoArredondamento&lt;&gt;"TransfereGOV",
ROUND(OFFSET($P605,0,AZ$13),15-13*ORÇAMENTO!$AF$7)/$H605*OFFSET(ORÇAMENTO!$X$15,ROW(AZ605)-ROW(AZ$15),0),
ROUND(ROUND(OFFSET($P605,0,AZ$13),15-13*ORÇAMENTO!$AF$7)*OFFSET(ORÇAMENTO!$W$15,ROW(AZ605)-ROW(AZ$15),0),15-13*ORÇAMENTO!$AF$11)),0)</f>
        <v>0</v>
      </c>
      <c r="BA605" s="546">
        <f ca="1">IF(AND($D605="Serviço",BA$12&lt;&gt;0,$H605&gt;0,OR(AUTOEVENTO&lt;&gt;"manual",$M605&lt;&gt;1)),
IF(Import.TipoArredondamento&lt;&gt;"TransfereGOV",
ROUND(OFFSET($P605,0,BA$13),15-13*ORÇAMENTO!$AF$7)/$H605*OFFSET(ORÇAMENTO!$X$15,ROW(BA605)-ROW(BA$15),0),
ROUND(ROUND(OFFSET($P605,0,BA$13),15-13*ORÇAMENTO!$AF$7)*OFFSET(ORÇAMENTO!$W$15,ROW(BA605)-ROW(BA$15),0),15-13*ORÇAMENTO!$AF$11)),0)</f>
        <v>0</v>
      </c>
      <c r="BC605" s="181">
        <f ca="1">IF($D605&lt;&gt;"Serviço",0,IF(AND(AUTOEVENTO="Manual",$M605=1),0,IF(OFFSET(CRONOPLE!$F$14,$M605,BC$13)="",10^12,OFFSET(CRONOPLE!$F$14,$M605,BC$13))))</f>
        <v>11</v>
      </c>
      <c r="BD605" s="181">
        <f ca="1">IF($D605&lt;&gt;"Serviço",0,IF(AND(AUTOEVENTO="Manual",$M605=1),0,IF(OFFSET(CRONOPLE!$F$14,$M605,BD$13)="",10^12,OFFSET(CRONOPLE!$F$14,$M605,BD$13))))</f>
        <v>1000000000000</v>
      </c>
      <c r="BE605" s="181">
        <f ca="1">IF($D605&lt;&gt;"Serviço",0,IF(AND(AUTOEVENTO="Manual",$M605=1),0,IF(OFFSET(CRONOPLE!$F$14,$M605,BE$13)="",10^12,OFFSET(CRONOPLE!$F$14,$M605,BE$13))))</f>
        <v>1000000000000</v>
      </c>
      <c r="BF605" s="181">
        <f ca="1">IF($D605&lt;&gt;"Serviço",0,IF(AND(AUTOEVENTO="Manual",$M605=1),0,IF(OFFSET(CRONOPLE!$F$14,$M605,BF$13)="",10^12,OFFSET(CRONOPLE!$F$14,$M605,BF$13))))</f>
        <v>1000000000000</v>
      </c>
      <c r="BG605" s="181">
        <f ca="1">IF($D605&lt;&gt;"Serviço",0,IF(AND(AUTOEVENTO="Manual",$M605=1),0,IF(OFFSET(CRONOPLE!$F$14,$M605,BG$13)="",10^12,OFFSET(CRONOPLE!$F$14,$M605,BG$13))))</f>
        <v>1000000000000</v>
      </c>
      <c r="BH605" s="181">
        <f ca="1">IF($D605&lt;&gt;"Serviço",0,IF(AND(AUTOEVENTO="Manual",$M605=1),0,IF(OFFSET(CRONOPLE!$F$14,$M605,BH$13)="",10^12,OFFSET(CRONOPLE!$F$14,$M605,BH$13))))</f>
        <v>1000000000000</v>
      </c>
      <c r="BI605" s="181">
        <f ca="1">IF($D605&lt;&gt;"Serviço",0,IF(AND(AUTOEVENTO="Manual",$M605=1),0,IF(OFFSET(CRONOPLE!$F$14,$M605,BI$13)="",10^12,OFFSET(CRONOPLE!$F$14,$M605,BI$13))))</f>
        <v>1000000000000</v>
      </c>
      <c r="BJ605" s="181">
        <f ca="1">IF($D605&lt;&gt;"Serviço",0,IF(AND(AUTOEVENTO="Manual",$M605=1),0,IF(OFFSET(CRONOPLE!$F$14,$M605,BJ$13)="",10^12,OFFSET(CRONOPLE!$F$14,$M605,BJ$13))))</f>
        <v>1000000000000</v>
      </c>
      <c r="BK605" s="181">
        <f ca="1">IF($D605&lt;&gt;"Serviço",0,IF(AND(AUTOEVENTO="Manual",$M605=1),0,IF(OFFSET(CRONOPLE!$F$14,$M605,BK$13)="",10^12,OFFSET(CRONOPLE!$F$14,$M605,BK$13))))</f>
        <v>1000000000000</v>
      </c>
      <c r="BL605" s="181">
        <f ca="1">IF($D605&lt;&gt;"Serviço",0,IF(AND(AUTOEVENTO="Manual",$M605=1),0,IF(OFFSET(CRONOPLE!$F$14,$M605,BL$13)="",10^12,OFFSET(CRONOPLE!$F$14,$M605,BL$13))))</f>
        <v>1000000000000</v>
      </c>
      <c r="BM605" s="181">
        <f ca="1">IF($D605&lt;&gt;"Serviço",0,IF(AND(AUTOEVENTO="Manual",$M605=1),0,IF(OFFSET(CRONOPLE!$F$14,$M605,BM$13)="",10^12,OFFSET(CRONOPLE!$F$14,$M605,BM$13))))</f>
        <v>1000000000000</v>
      </c>
      <c r="BN605" s="181">
        <f ca="1">IF($D605&lt;&gt;"Serviço",0,IF(AND(AUTOEVENTO="Manual",$M605=1),0,IF(OFFSET(CRONOPLE!$F$14,$M605,BN$13)="",10^12,OFFSET(CRONOPLE!$F$14,$M605,BN$13))))</f>
        <v>1000000000000</v>
      </c>
      <c r="BO605" s="181">
        <f ca="1">IF($D605&lt;&gt;"Serviço",0,IF(AND(AUTOEVENTO="Manual",$M605=1),0,IF(OFFSET(CRONOPLE!$F$14,$M605,BO$13)="",10^12,OFFSET(CRONOPLE!$F$14,$M605,BO$13))))</f>
        <v>1000000000000</v>
      </c>
      <c r="BP605" s="181">
        <f ca="1">IF($D605&lt;&gt;"Serviço",0,IF(AND(AUTOEVENTO="Manual",$M605=1),0,IF(OFFSET(CRONOPLE!$F$14,$M605,BP$13)="",10^12,OFFSET(CRONOPLE!$F$14,$M605,BP$13))))</f>
        <v>1000000000000</v>
      </c>
      <c r="BQ605" s="181">
        <f ca="1">IF($D605&lt;&gt;"Serviço",0,IF(AND(AUTOEVENTO="Manual",$M605=1),0,IF(OFFSET(CRONOPLE!$F$14,$M605,BQ$13)="",10^12,OFFSET(CRONOPLE!$F$14,$M605,BQ$13))))</f>
        <v>1000000000000</v>
      </c>
      <c r="BR605" s="181">
        <f ca="1">IF($D605&lt;&gt;"Serviço",0,IF(AND(AUTOEVENTO="Manual",$M605=1),0,IF(OFFSET(CRONOPLE!$F$14,$M605,BR$13)="",10^12,OFFSET(CRONOPLE!$F$14,$M605,BR$13))))</f>
        <v>1000000000000</v>
      </c>
      <c r="BS605" s="181">
        <f ca="1">IF($D605&lt;&gt;"Serviço",0,IF(AND(AUTOEVENTO="Manual",$M605=1),0,IF(OFFSET(CRONOPLE!$F$14,$M605,BS$13)="",10^12,OFFSET(CRONOPLE!$F$14,$M605,BS$13))))</f>
        <v>1000000000000</v>
      </c>
      <c r="BT605" s="181">
        <f ca="1">IF($D605&lt;&gt;"Serviço",0,IF(AND(AUTOEVENTO="Manual",$M605=1),0,IF(OFFSET(CRONOPLE!$F$14,$M605,BT$13)="",10^12,OFFSET(CRONOPLE!$F$14,$M605,BT$13))))</f>
        <v>1000000000000</v>
      </c>
      <c r="BV605" s="182">
        <f ca="1">IF($D605&lt;&gt;"Serviço",0,IF(OR(AND(AUTOEVENTO="Manual",$M605=1),$M605&gt;(ROW(PLE.lastrow)-ROW(PLE.firstrow))),0,IF(OFFSET(PLE!$G$14,$M605,BV$13)="",10^12,OFFSET(PLE!$G$14,$M605,BV$13))))</f>
        <v>1000000000000</v>
      </c>
      <c r="BW605" s="182">
        <f ca="1">IF($D605&lt;&gt;"Serviço",0,IF(OR(AND(AUTOEVENTO="Manual",$M605=1),$M605&gt;(ROW(PLE.lastrow)-ROW(PLE.firstrow))),0,IF(OFFSET(PLE!$G$14,$M605,BW$13)="",10^12,OFFSET(PLE!$G$14,$M605,BW$13))))</f>
        <v>1000000000000</v>
      </c>
      <c r="BX605" s="182">
        <f ca="1">IF($D605&lt;&gt;"Serviço",0,IF(OR(AND(AUTOEVENTO="Manual",$M605=1),$M605&gt;(ROW(PLE.lastrow)-ROW(PLE.firstrow))),0,IF(OFFSET(PLE!$G$14,$M605,BX$13)="",10^12,OFFSET(PLE!$G$14,$M605,BX$13))))</f>
        <v>1000000000000</v>
      </c>
      <c r="BY605" s="182">
        <f ca="1">IF($D605&lt;&gt;"Serviço",0,IF(OR(AND(AUTOEVENTO="Manual",$M605=1),$M605&gt;(ROW(PLE.lastrow)-ROW(PLE.firstrow))),0,IF(OFFSET(PLE!$G$14,$M605,BY$13)="",10^12,OFFSET(PLE!$G$14,$M605,BY$13))))</f>
        <v>1000000000000</v>
      </c>
      <c r="BZ605" s="182">
        <f ca="1">IF($D605&lt;&gt;"Serviço",0,IF(OR(AND(AUTOEVENTO="Manual",$M605=1),$M605&gt;(ROW(PLE.lastrow)-ROW(PLE.firstrow))),0,IF(OFFSET(PLE!$G$14,$M605,BZ$13)="",10^12,OFFSET(PLE!$G$14,$M605,BZ$13))))</f>
        <v>1000000000000</v>
      </c>
      <c r="CA605" s="182">
        <f ca="1">IF($D605&lt;&gt;"Serviço",0,IF(OR(AND(AUTOEVENTO="Manual",$M605=1),$M605&gt;(ROW(PLE.lastrow)-ROW(PLE.firstrow))),0,IF(OFFSET(PLE!$G$14,$M605,CA$13)="",10^12,OFFSET(PLE!$G$14,$M605,CA$13))))</f>
        <v>1000000000000</v>
      </c>
      <c r="CB605" s="182">
        <f ca="1">IF($D605&lt;&gt;"Serviço",0,IF(OR(AND(AUTOEVENTO="Manual",$M605=1),$M605&gt;(ROW(PLE.lastrow)-ROW(PLE.firstrow))),0,IF(OFFSET(PLE!$G$14,$M605,CB$13)="",10^12,OFFSET(PLE!$G$14,$M605,CB$13))))</f>
        <v>1000000000000</v>
      </c>
      <c r="CC605" s="182">
        <f ca="1">IF($D605&lt;&gt;"Serviço",0,IF(OR(AND(AUTOEVENTO="Manual",$M605=1),$M605&gt;(ROW(PLE.lastrow)-ROW(PLE.firstrow))),0,IF(OFFSET(PLE!$G$14,$M605,CC$13)="",10^12,OFFSET(PLE!$G$14,$M605,CC$13))))</f>
        <v>1000000000000</v>
      </c>
      <c r="CD605" s="182">
        <f ca="1">IF($D605&lt;&gt;"Serviço",0,IF(OR(AND(AUTOEVENTO="Manual",$M605=1),$M605&gt;(ROW(PLE.lastrow)-ROW(PLE.firstrow))),0,IF(OFFSET(PLE!$G$14,$M605,CD$13)="",10^12,OFFSET(PLE!$G$14,$M605,CD$13))))</f>
        <v>1000000000000</v>
      </c>
      <c r="CE605" s="182">
        <f ca="1">IF($D605&lt;&gt;"Serviço",0,IF(OR(AND(AUTOEVENTO="Manual",$M605=1),$M605&gt;(ROW(PLE.lastrow)-ROW(PLE.firstrow))),0,IF(OFFSET(PLE!$G$14,$M605,CE$13)="",10^12,OFFSET(PLE!$G$14,$M605,CE$13))))</f>
        <v>1000000000000</v>
      </c>
      <c r="CF605" s="182">
        <f ca="1">IF($D605&lt;&gt;"Serviço",0,IF(OR(AND(AUTOEVENTO="Manual",$M605=1),$M605&gt;(ROW(PLE.lastrow)-ROW(PLE.firstrow))),0,IF(OFFSET(PLE!$G$14,$M605,CF$13)="",10^12,OFFSET(PLE!$G$14,$M605,CF$13))))</f>
        <v>1000000000000</v>
      </c>
      <c r="CG605" s="182">
        <f ca="1">IF($D605&lt;&gt;"Serviço",0,IF(OR(AND(AUTOEVENTO="Manual",$M605=1),$M605&gt;(ROW(PLE.lastrow)-ROW(PLE.firstrow))),0,IF(OFFSET(PLE!$G$14,$M605,CG$13)="",10^12,OFFSET(PLE!$G$14,$M605,CG$13))))</f>
        <v>1000000000000</v>
      </c>
      <c r="CH605" s="182">
        <f ca="1">IF($D605&lt;&gt;"Serviço",0,IF(OR(AND(AUTOEVENTO="Manual",$M605=1),$M605&gt;(ROW(PLE.lastrow)-ROW(PLE.firstrow))),0,IF(OFFSET(PLE!$G$14,$M605,CH$13)="",10^12,OFFSET(PLE!$G$14,$M605,CH$13))))</f>
        <v>1000000000000</v>
      </c>
      <c r="CI605" s="182">
        <f ca="1">IF($D605&lt;&gt;"Serviço",0,IF(OR(AND(AUTOEVENTO="Manual",$M605=1),$M605&gt;(ROW(PLE.lastrow)-ROW(PLE.firstrow))),0,IF(OFFSET(PLE!$G$14,$M605,CI$13)="",10^12,OFFSET(PLE!$G$14,$M605,CI$13))))</f>
        <v>1000000000000</v>
      </c>
      <c r="CJ605" s="182">
        <f ca="1">IF($D605&lt;&gt;"Serviço",0,IF(OR(AND(AUTOEVENTO="Manual",$M605=1),$M605&gt;(ROW(PLE.lastrow)-ROW(PLE.firstrow))),0,IF(OFFSET(PLE!$G$14,$M605,CJ$13)="",10^12,OFFSET(PLE!$G$14,$M605,CJ$13))))</f>
        <v>1000000000000</v>
      </c>
      <c r="CK605" s="182">
        <f ca="1">IF($D605&lt;&gt;"Serviço",0,IF(OR(AND(AUTOEVENTO="Manual",$M605=1),$M605&gt;(ROW(PLE.lastrow)-ROW(PLE.firstrow))),0,IF(OFFSET(PLE!$G$14,$M605,CK$13)="",10^12,OFFSET(PLE!$G$14,$M605,CK$13))))</f>
        <v>1000000000000</v>
      </c>
      <c r="CL605" s="182">
        <f ca="1">IF($D605&lt;&gt;"Serviço",0,IF(OR(AND(AUTOEVENTO="Manual",$M605=1),$M605&gt;(ROW(PLE.lastrow)-ROW(PLE.firstrow))),0,IF(OFFSET(PLE!$G$14,$M605,CL$13)="",10^12,OFFSET(PLE!$G$14,$M605,CL$13))))</f>
        <v>1000000000000</v>
      </c>
      <c r="CM605" s="182">
        <f ca="1">IF($D605&lt;&gt;"Serviço",0,IF(OR(AND(AUTOEVENTO="Manual",$M605=1),$M605&gt;(ROW(PLE.lastrow)-ROW(PLE.firstrow))),0,IF(OFFSET(PLE!$G$14,$M605,CM$13)="",10^12,OFFSET(PLE!$G$14,$M605,CM$13))))</f>
        <v>1000000000000</v>
      </c>
    </row>
    <row r="606" spans="1:91" ht="38.25" x14ac:dyDescent="0.2">
      <c r="A606" s="7" t="str">
        <f t="shared" ca="1" si="18"/>
        <v>589</v>
      </c>
      <c r="B606" s="7" t="str">
        <f ca="1">OFFSET(ORÇAMENTO!C$15,ROW(B606)-ROW(B$15),0)</f>
        <v>S</v>
      </c>
      <c r="C606" s="7" t="str">
        <f ca="1">OFFSET(ORÇAMENTO!L$15,ROW(C606)-ROW(C$15),0)</f>
        <v/>
      </c>
      <c r="D606" s="118" t="str">
        <f ca="1">OFFSET(ORÇAMENTO!N$15,ROW(D606)-ROW(D$15),0)</f>
        <v>Serviço</v>
      </c>
      <c r="E606" s="119" t="str">
        <f ca="1">OFFSET(ORÇAMENTO!O$15,ROW(E606)-ROW(E$15),0)</f>
        <v>-</v>
      </c>
      <c r="F606" s="172" t="str">
        <f ca="1">OFFSET(ORÇAMENTO!R$15,ROW(F606)-ROW(F$15),0)</f>
        <v>(abra o arquivo 'Referência 06-2024.xlsm)</v>
      </c>
      <c r="G606" s="173" t="str">
        <f ca="1">IF($D606&lt;&gt;"Serviço","",OFFSET(ORÇAMENTO!S$15,ROW(G606)-ROW(G$15),0))</f>
        <v>-</v>
      </c>
      <c r="H606" s="124">
        <f ca="1">IF($D606&lt;&gt;"Serviço",0,IF(ACOMPANHAMENTO="BM",ROUND(OFFSET(ORÇAMENTO!AJ$15,ROW(H606)-ROW(H$15),0),15-13*ORÇAMENTO!$AF$7),SUMPRODUCT(($Q$12:$AI$12&lt;&gt;"")*ROUND($Q606:$AI606,15-13*ORÇAMENTO!$AF$7))))</f>
        <v>8</v>
      </c>
      <c r="I606" s="561" t="s">
        <v>1107</v>
      </c>
      <c r="K606" s="174"/>
      <c r="L606" s="175" t="s">
        <v>255</v>
      </c>
      <c r="M606" s="176">
        <f ca="1">IF($D606&lt;&gt;"Serviço","",IF(AUTOEVENTO="manual",$A606,IF(ISERROR(MATCH($A606,$A$15:OFFSET($A606,-1,0),0)),MAX($M$15:OFFSET(M606,-1,0))+1,INDEX($M$15:OFFSET(M606,-1,0),MATCH($A606,$A$15:OFFSET($A606,-1,0),0)))))</f>
        <v>62</v>
      </c>
      <c r="N606" s="177" t="str">
        <f ca="1">IF($D606&lt;&gt;"Serviço","",IF(AUTOEVENTO="Manual",IF($A606=0,"&lt;-- defina o número do agrupador",OFFSET(EVENTOS!$D$14,$A606,0)),OFFSET($F$15,$A606,0)))</f>
        <v>INSTALAÇÃO ELÉTRICA 110V - QUADROS</v>
      </c>
      <c r="O606" s="178"/>
      <c r="Q606" s="178">
        <v>8</v>
      </c>
      <c r="R606" s="179"/>
      <c r="S606" s="179"/>
      <c r="T606" s="179"/>
      <c r="U606" s="179"/>
      <c r="V606" s="179"/>
      <c r="W606" s="179"/>
      <c r="X606" s="179"/>
      <c r="Y606" s="179"/>
      <c r="Z606" s="180"/>
      <c r="AA606" s="179"/>
      <c r="AB606" s="179"/>
      <c r="AC606" s="179"/>
      <c r="AD606" s="179"/>
      <c r="AE606" s="179"/>
      <c r="AF606" s="179"/>
      <c r="AG606" s="179"/>
      <c r="AH606" s="180"/>
      <c r="AJ606" s="544">
        <f ca="1">IF(AND($D606="Serviço",AJ$12&lt;&gt;0,$H606&gt;0,OR(AUTOEVENTO&lt;&gt;"manual",$M606&lt;&gt;1)),
IF(Import.TipoArredondamento&lt;&gt;"TransfereGOV",
ROUND(OFFSET($P606,0,AJ$13),15-13*ORÇAMENTO!$AF$7)/$H606*OFFSET(ORÇAMENTO!$X$15,ROW(AJ606)-ROW(AJ$15),0),
ROUND(ROUND(OFFSET($P606,0,AJ$13),15-13*ORÇAMENTO!$AF$7)*OFFSET(ORÇAMENTO!$W$15,ROW(AJ606)-ROW(AJ$15),0),15-13*ORÇAMENTO!$AF$11)),0)</f>
        <v>0</v>
      </c>
      <c r="AK606" s="545">
        <f ca="1">IF(AND($D606="Serviço",AK$12&lt;&gt;0,$H606&gt;0,OR(AUTOEVENTO&lt;&gt;"manual",$M606&lt;&gt;1)),
IF(Import.TipoArredondamento&lt;&gt;"TransfereGOV",
ROUND(OFFSET($P606,0,AK$13),15-13*ORÇAMENTO!$AF$7)/$H606*OFFSET(ORÇAMENTO!$X$15,ROW(AK606)-ROW(AK$15),0),
ROUND(ROUND(OFFSET($P606,0,AK$13),15-13*ORÇAMENTO!$AF$7)*OFFSET(ORÇAMENTO!$W$15,ROW(AK606)-ROW(AK$15),0),15-13*ORÇAMENTO!$AF$11)),0)</f>
        <v>0</v>
      </c>
      <c r="AL606" s="545">
        <f ca="1">IF(AND($D606="Serviço",AL$12&lt;&gt;0,$H606&gt;0,OR(AUTOEVENTO&lt;&gt;"manual",$M606&lt;&gt;1)),
IF(Import.TipoArredondamento&lt;&gt;"TransfereGOV",
ROUND(OFFSET($P606,0,AL$13),15-13*ORÇAMENTO!$AF$7)/$H606*OFFSET(ORÇAMENTO!$X$15,ROW(AL606)-ROW(AL$15),0),
ROUND(ROUND(OFFSET($P606,0,AL$13),15-13*ORÇAMENTO!$AF$7)*OFFSET(ORÇAMENTO!$W$15,ROW(AL606)-ROW(AL$15),0),15-13*ORÇAMENTO!$AF$11)),0)</f>
        <v>0</v>
      </c>
      <c r="AM606" s="545">
        <f ca="1">IF(AND($D606="Serviço",AM$12&lt;&gt;0,$H606&gt;0,OR(AUTOEVENTO&lt;&gt;"manual",$M606&lt;&gt;1)),
IF(Import.TipoArredondamento&lt;&gt;"TransfereGOV",
ROUND(OFFSET($P606,0,AM$13),15-13*ORÇAMENTO!$AF$7)/$H606*OFFSET(ORÇAMENTO!$X$15,ROW(AM606)-ROW(AM$15),0),
ROUND(ROUND(OFFSET($P606,0,AM$13),15-13*ORÇAMENTO!$AF$7)*OFFSET(ORÇAMENTO!$W$15,ROW(AM606)-ROW(AM$15),0),15-13*ORÇAMENTO!$AF$11)),0)</f>
        <v>0</v>
      </c>
      <c r="AN606" s="545">
        <f ca="1">IF(AND($D606="Serviço",AN$12&lt;&gt;0,$H606&gt;0,OR(AUTOEVENTO&lt;&gt;"manual",$M606&lt;&gt;1)),
IF(Import.TipoArredondamento&lt;&gt;"TransfereGOV",
ROUND(OFFSET($P606,0,AN$13),15-13*ORÇAMENTO!$AF$7)/$H606*OFFSET(ORÇAMENTO!$X$15,ROW(AN606)-ROW(AN$15),0),
ROUND(ROUND(OFFSET($P606,0,AN$13),15-13*ORÇAMENTO!$AF$7)*OFFSET(ORÇAMENTO!$W$15,ROW(AN606)-ROW(AN$15),0),15-13*ORÇAMENTO!$AF$11)),0)</f>
        <v>0</v>
      </c>
      <c r="AO606" s="545">
        <f ca="1">IF(AND($D606="Serviço",AO$12&lt;&gt;0,$H606&gt;0,OR(AUTOEVENTO&lt;&gt;"manual",$M606&lt;&gt;1)),
IF(Import.TipoArredondamento&lt;&gt;"TransfereGOV",
ROUND(OFFSET($P606,0,AO$13),15-13*ORÇAMENTO!$AF$7)/$H606*OFFSET(ORÇAMENTO!$X$15,ROW(AO606)-ROW(AO$15),0),
ROUND(ROUND(OFFSET($P606,0,AO$13),15-13*ORÇAMENTO!$AF$7)*OFFSET(ORÇAMENTO!$W$15,ROW(AO606)-ROW(AO$15),0),15-13*ORÇAMENTO!$AF$11)),0)</f>
        <v>0</v>
      </c>
      <c r="AP606" s="545">
        <f ca="1">IF(AND($D606="Serviço",AP$12&lt;&gt;0,$H606&gt;0,OR(AUTOEVENTO&lt;&gt;"manual",$M606&lt;&gt;1)),
IF(Import.TipoArredondamento&lt;&gt;"TransfereGOV",
ROUND(OFFSET($P606,0,AP$13),15-13*ORÇAMENTO!$AF$7)/$H606*OFFSET(ORÇAMENTO!$X$15,ROW(AP606)-ROW(AP$15),0),
ROUND(ROUND(OFFSET($P606,0,AP$13),15-13*ORÇAMENTO!$AF$7)*OFFSET(ORÇAMENTO!$W$15,ROW(AP606)-ROW(AP$15),0),15-13*ORÇAMENTO!$AF$11)),0)</f>
        <v>0</v>
      </c>
      <c r="AQ606" s="545">
        <f ca="1">IF(AND($D606="Serviço",AQ$12&lt;&gt;0,$H606&gt;0,OR(AUTOEVENTO&lt;&gt;"manual",$M606&lt;&gt;1)),
IF(Import.TipoArredondamento&lt;&gt;"TransfereGOV",
ROUND(OFFSET($P606,0,AQ$13),15-13*ORÇAMENTO!$AF$7)/$H606*OFFSET(ORÇAMENTO!$X$15,ROW(AQ606)-ROW(AQ$15),0),
ROUND(ROUND(OFFSET($P606,0,AQ$13),15-13*ORÇAMENTO!$AF$7)*OFFSET(ORÇAMENTO!$W$15,ROW(AQ606)-ROW(AQ$15),0),15-13*ORÇAMENTO!$AF$11)),0)</f>
        <v>0</v>
      </c>
      <c r="AR606" s="545">
        <f ca="1">IF(AND($D606="Serviço",AR$12&lt;&gt;0,$H606&gt;0,OR(AUTOEVENTO&lt;&gt;"manual",$M606&lt;&gt;1)),
IF(Import.TipoArredondamento&lt;&gt;"TransfereGOV",
ROUND(OFFSET($P606,0,AR$13),15-13*ORÇAMENTO!$AF$7)/$H606*OFFSET(ORÇAMENTO!$X$15,ROW(AR606)-ROW(AR$15),0),
ROUND(ROUND(OFFSET($P606,0,AR$13),15-13*ORÇAMENTO!$AF$7)*OFFSET(ORÇAMENTO!$W$15,ROW(AR606)-ROW(AR$15),0),15-13*ORÇAMENTO!$AF$11)),0)</f>
        <v>0</v>
      </c>
      <c r="AS606" s="546">
        <f ca="1">IF(AND($D606="Serviço",AS$12&lt;&gt;0,$H606&gt;0,OR(AUTOEVENTO&lt;&gt;"manual",$M606&lt;&gt;1)),
IF(Import.TipoArredondamento&lt;&gt;"TransfereGOV",
ROUND(OFFSET($P606,0,AS$13),15-13*ORÇAMENTO!$AF$7)/$H606*OFFSET(ORÇAMENTO!$X$15,ROW(AS606)-ROW(AS$15),0),
ROUND(ROUND(OFFSET($P606,0,AS$13),15-13*ORÇAMENTO!$AF$7)*OFFSET(ORÇAMENTO!$W$15,ROW(AS606)-ROW(AS$15),0),15-13*ORÇAMENTO!$AF$11)),0)</f>
        <v>0</v>
      </c>
      <c r="AT606" s="545">
        <f ca="1">IF(AND($D606="Serviço",AT$12&lt;&gt;0,$H606&gt;0,OR(AUTOEVENTO&lt;&gt;"manual",$M606&lt;&gt;1)),
IF(Import.TipoArredondamento&lt;&gt;"TransfereGOV",
ROUND(OFFSET($P606,0,AT$13),15-13*ORÇAMENTO!$AF$7)/$H606*OFFSET(ORÇAMENTO!$X$15,ROW(AT606)-ROW(AT$15),0),
ROUND(ROUND(OFFSET($P606,0,AT$13),15-13*ORÇAMENTO!$AF$7)*OFFSET(ORÇAMENTO!$W$15,ROW(AT606)-ROW(AT$15),0),15-13*ORÇAMENTO!$AF$11)),0)</f>
        <v>0</v>
      </c>
      <c r="AU606" s="545">
        <f ca="1">IF(AND($D606="Serviço",AU$12&lt;&gt;0,$H606&gt;0,OR(AUTOEVENTO&lt;&gt;"manual",$M606&lt;&gt;1)),
IF(Import.TipoArredondamento&lt;&gt;"TransfereGOV",
ROUND(OFFSET($P606,0,AU$13),15-13*ORÇAMENTO!$AF$7)/$H606*OFFSET(ORÇAMENTO!$X$15,ROW(AU606)-ROW(AU$15),0),
ROUND(ROUND(OFFSET($P606,0,AU$13),15-13*ORÇAMENTO!$AF$7)*OFFSET(ORÇAMENTO!$W$15,ROW(AU606)-ROW(AU$15),0),15-13*ORÇAMENTO!$AF$11)),0)</f>
        <v>0</v>
      </c>
      <c r="AV606" s="545">
        <f ca="1">IF(AND($D606="Serviço",AV$12&lt;&gt;0,$H606&gt;0,OR(AUTOEVENTO&lt;&gt;"manual",$M606&lt;&gt;1)),
IF(Import.TipoArredondamento&lt;&gt;"TransfereGOV",
ROUND(OFFSET($P606,0,AV$13),15-13*ORÇAMENTO!$AF$7)/$H606*OFFSET(ORÇAMENTO!$X$15,ROW(AV606)-ROW(AV$15),0),
ROUND(ROUND(OFFSET($P606,0,AV$13),15-13*ORÇAMENTO!$AF$7)*OFFSET(ORÇAMENTO!$W$15,ROW(AV606)-ROW(AV$15),0),15-13*ORÇAMENTO!$AF$11)),0)</f>
        <v>0</v>
      </c>
      <c r="AW606" s="545">
        <f ca="1">IF(AND($D606="Serviço",AW$12&lt;&gt;0,$H606&gt;0,OR(AUTOEVENTO&lt;&gt;"manual",$M606&lt;&gt;1)),
IF(Import.TipoArredondamento&lt;&gt;"TransfereGOV",
ROUND(OFFSET($P606,0,AW$13),15-13*ORÇAMENTO!$AF$7)/$H606*OFFSET(ORÇAMENTO!$X$15,ROW(AW606)-ROW(AW$15),0),
ROUND(ROUND(OFFSET($P606,0,AW$13),15-13*ORÇAMENTO!$AF$7)*OFFSET(ORÇAMENTO!$W$15,ROW(AW606)-ROW(AW$15),0),15-13*ORÇAMENTO!$AF$11)),0)</f>
        <v>0</v>
      </c>
      <c r="AX606" s="545">
        <f ca="1">IF(AND($D606="Serviço",AX$12&lt;&gt;0,$H606&gt;0,OR(AUTOEVENTO&lt;&gt;"manual",$M606&lt;&gt;1)),
IF(Import.TipoArredondamento&lt;&gt;"TransfereGOV",
ROUND(OFFSET($P606,0,AX$13),15-13*ORÇAMENTO!$AF$7)/$H606*OFFSET(ORÇAMENTO!$X$15,ROW(AX606)-ROW(AX$15),0),
ROUND(ROUND(OFFSET($P606,0,AX$13),15-13*ORÇAMENTO!$AF$7)*OFFSET(ORÇAMENTO!$W$15,ROW(AX606)-ROW(AX$15),0),15-13*ORÇAMENTO!$AF$11)),0)</f>
        <v>0</v>
      </c>
      <c r="AY606" s="545">
        <f ca="1">IF(AND($D606="Serviço",AY$12&lt;&gt;0,$H606&gt;0,OR(AUTOEVENTO&lt;&gt;"manual",$M606&lt;&gt;1)),
IF(Import.TipoArredondamento&lt;&gt;"TransfereGOV",
ROUND(OFFSET($P606,0,AY$13),15-13*ORÇAMENTO!$AF$7)/$H606*OFFSET(ORÇAMENTO!$X$15,ROW(AY606)-ROW(AY$15),0),
ROUND(ROUND(OFFSET($P606,0,AY$13),15-13*ORÇAMENTO!$AF$7)*OFFSET(ORÇAMENTO!$W$15,ROW(AY606)-ROW(AY$15),0),15-13*ORÇAMENTO!$AF$11)),0)</f>
        <v>0</v>
      </c>
      <c r="AZ606" s="545">
        <f ca="1">IF(AND($D606="Serviço",AZ$12&lt;&gt;0,$H606&gt;0,OR(AUTOEVENTO&lt;&gt;"manual",$M606&lt;&gt;1)),
IF(Import.TipoArredondamento&lt;&gt;"TransfereGOV",
ROUND(OFFSET($P606,0,AZ$13),15-13*ORÇAMENTO!$AF$7)/$H606*OFFSET(ORÇAMENTO!$X$15,ROW(AZ606)-ROW(AZ$15),0),
ROUND(ROUND(OFFSET($P606,0,AZ$13),15-13*ORÇAMENTO!$AF$7)*OFFSET(ORÇAMENTO!$W$15,ROW(AZ606)-ROW(AZ$15),0),15-13*ORÇAMENTO!$AF$11)),0)</f>
        <v>0</v>
      </c>
      <c r="BA606" s="546">
        <f ca="1">IF(AND($D606="Serviço",BA$12&lt;&gt;0,$H606&gt;0,OR(AUTOEVENTO&lt;&gt;"manual",$M606&lt;&gt;1)),
IF(Import.TipoArredondamento&lt;&gt;"TransfereGOV",
ROUND(OFFSET($P606,0,BA$13),15-13*ORÇAMENTO!$AF$7)/$H606*OFFSET(ORÇAMENTO!$X$15,ROW(BA606)-ROW(BA$15),0),
ROUND(ROUND(OFFSET($P606,0,BA$13),15-13*ORÇAMENTO!$AF$7)*OFFSET(ORÇAMENTO!$W$15,ROW(BA606)-ROW(BA$15),0),15-13*ORÇAMENTO!$AF$11)),0)</f>
        <v>0</v>
      </c>
      <c r="BC606" s="181">
        <f ca="1">IF($D606&lt;&gt;"Serviço",0,IF(AND(AUTOEVENTO="Manual",$M606=1),0,IF(OFFSET(CRONOPLE!$F$14,$M606,BC$13)="",10^12,OFFSET(CRONOPLE!$F$14,$M606,BC$13))))</f>
        <v>11</v>
      </c>
      <c r="BD606" s="181">
        <f ca="1">IF($D606&lt;&gt;"Serviço",0,IF(AND(AUTOEVENTO="Manual",$M606=1),0,IF(OFFSET(CRONOPLE!$F$14,$M606,BD$13)="",10^12,OFFSET(CRONOPLE!$F$14,$M606,BD$13))))</f>
        <v>1000000000000</v>
      </c>
      <c r="BE606" s="181">
        <f ca="1">IF($D606&lt;&gt;"Serviço",0,IF(AND(AUTOEVENTO="Manual",$M606=1),0,IF(OFFSET(CRONOPLE!$F$14,$M606,BE$13)="",10^12,OFFSET(CRONOPLE!$F$14,$M606,BE$13))))</f>
        <v>1000000000000</v>
      </c>
      <c r="BF606" s="181">
        <f ca="1">IF($D606&lt;&gt;"Serviço",0,IF(AND(AUTOEVENTO="Manual",$M606=1),0,IF(OFFSET(CRONOPLE!$F$14,$M606,BF$13)="",10^12,OFFSET(CRONOPLE!$F$14,$M606,BF$13))))</f>
        <v>1000000000000</v>
      </c>
      <c r="BG606" s="181">
        <f ca="1">IF($D606&lt;&gt;"Serviço",0,IF(AND(AUTOEVENTO="Manual",$M606=1),0,IF(OFFSET(CRONOPLE!$F$14,$M606,BG$13)="",10^12,OFFSET(CRONOPLE!$F$14,$M606,BG$13))))</f>
        <v>1000000000000</v>
      </c>
      <c r="BH606" s="181">
        <f ca="1">IF($D606&lt;&gt;"Serviço",0,IF(AND(AUTOEVENTO="Manual",$M606=1),0,IF(OFFSET(CRONOPLE!$F$14,$M606,BH$13)="",10^12,OFFSET(CRONOPLE!$F$14,$M606,BH$13))))</f>
        <v>1000000000000</v>
      </c>
      <c r="BI606" s="181">
        <f ca="1">IF($D606&lt;&gt;"Serviço",0,IF(AND(AUTOEVENTO="Manual",$M606=1),0,IF(OFFSET(CRONOPLE!$F$14,$M606,BI$13)="",10^12,OFFSET(CRONOPLE!$F$14,$M606,BI$13))))</f>
        <v>1000000000000</v>
      </c>
      <c r="BJ606" s="181">
        <f ca="1">IF($D606&lt;&gt;"Serviço",0,IF(AND(AUTOEVENTO="Manual",$M606=1),0,IF(OFFSET(CRONOPLE!$F$14,$M606,BJ$13)="",10^12,OFFSET(CRONOPLE!$F$14,$M606,BJ$13))))</f>
        <v>1000000000000</v>
      </c>
      <c r="BK606" s="181">
        <f ca="1">IF($D606&lt;&gt;"Serviço",0,IF(AND(AUTOEVENTO="Manual",$M606=1),0,IF(OFFSET(CRONOPLE!$F$14,$M606,BK$13)="",10^12,OFFSET(CRONOPLE!$F$14,$M606,BK$13))))</f>
        <v>1000000000000</v>
      </c>
      <c r="BL606" s="181">
        <f ca="1">IF($D606&lt;&gt;"Serviço",0,IF(AND(AUTOEVENTO="Manual",$M606=1),0,IF(OFFSET(CRONOPLE!$F$14,$M606,BL$13)="",10^12,OFFSET(CRONOPLE!$F$14,$M606,BL$13))))</f>
        <v>1000000000000</v>
      </c>
      <c r="BM606" s="181">
        <f ca="1">IF($D606&lt;&gt;"Serviço",0,IF(AND(AUTOEVENTO="Manual",$M606=1),0,IF(OFFSET(CRONOPLE!$F$14,$M606,BM$13)="",10^12,OFFSET(CRONOPLE!$F$14,$M606,BM$13))))</f>
        <v>1000000000000</v>
      </c>
      <c r="BN606" s="181">
        <f ca="1">IF($D606&lt;&gt;"Serviço",0,IF(AND(AUTOEVENTO="Manual",$M606=1),0,IF(OFFSET(CRONOPLE!$F$14,$M606,BN$13)="",10^12,OFFSET(CRONOPLE!$F$14,$M606,BN$13))))</f>
        <v>1000000000000</v>
      </c>
      <c r="BO606" s="181">
        <f ca="1">IF($D606&lt;&gt;"Serviço",0,IF(AND(AUTOEVENTO="Manual",$M606=1),0,IF(OFFSET(CRONOPLE!$F$14,$M606,BO$13)="",10^12,OFFSET(CRONOPLE!$F$14,$M606,BO$13))))</f>
        <v>1000000000000</v>
      </c>
      <c r="BP606" s="181">
        <f ca="1">IF($D606&lt;&gt;"Serviço",0,IF(AND(AUTOEVENTO="Manual",$M606=1),0,IF(OFFSET(CRONOPLE!$F$14,$M606,BP$13)="",10^12,OFFSET(CRONOPLE!$F$14,$M606,BP$13))))</f>
        <v>1000000000000</v>
      </c>
      <c r="BQ606" s="181">
        <f ca="1">IF($D606&lt;&gt;"Serviço",0,IF(AND(AUTOEVENTO="Manual",$M606=1),0,IF(OFFSET(CRONOPLE!$F$14,$M606,BQ$13)="",10^12,OFFSET(CRONOPLE!$F$14,$M606,BQ$13))))</f>
        <v>1000000000000</v>
      </c>
      <c r="BR606" s="181">
        <f ca="1">IF($D606&lt;&gt;"Serviço",0,IF(AND(AUTOEVENTO="Manual",$M606=1),0,IF(OFFSET(CRONOPLE!$F$14,$M606,BR$13)="",10^12,OFFSET(CRONOPLE!$F$14,$M606,BR$13))))</f>
        <v>1000000000000</v>
      </c>
      <c r="BS606" s="181">
        <f ca="1">IF($D606&lt;&gt;"Serviço",0,IF(AND(AUTOEVENTO="Manual",$M606=1),0,IF(OFFSET(CRONOPLE!$F$14,$M606,BS$13)="",10^12,OFFSET(CRONOPLE!$F$14,$M606,BS$13))))</f>
        <v>1000000000000</v>
      </c>
      <c r="BT606" s="181">
        <f ca="1">IF($D606&lt;&gt;"Serviço",0,IF(AND(AUTOEVENTO="Manual",$M606=1),0,IF(OFFSET(CRONOPLE!$F$14,$M606,BT$13)="",10^12,OFFSET(CRONOPLE!$F$14,$M606,BT$13))))</f>
        <v>1000000000000</v>
      </c>
      <c r="BV606" s="182">
        <f ca="1">IF($D606&lt;&gt;"Serviço",0,IF(OR(AND(AUTOEVENTO="Manual",$M606=1),$M606&gt;(ROW(PLE.lastrow)-ROW(PLE.firstrow))),0,IF(OFFSET(PLE!$G$14,$M606,BV$13)="",10^12,OFFSET(PLE!$G$14,$M606,BV$13))))</f>
        <v>1000000000000</v>
      </c>
      <c r="BW606" s="182">
        <f ca="1">IF($D606&lt;&gt;"Serviço",0,IF(OR(AND(AUTOEVENTO="Manual",$M606=1),$M606&gt;(ROW(PLE.lastrow)-ROW(PLE.firstrow))),0,IF(OFFSET(PLE!$G$14,$M606,BW$13)="",10^12,OFFSET(PLE!$G$14,$M606,BW$13))))</f>
        <v>1000000000000</v>
      </c>
      <c r="BX606" s="182">
        <f ca="1">IF($D606&lt;&gt;"Serviço",0,IF(OR(AND(AUTOEVENTO="Manual",$M606=1),$M606&gt;(ROW(PLE.lastrow)-ROW(PLE.firstrow))),0,IF(OFFSET(PLE!$G$14,$M606,BX$13)="",10^12,OFFSET(PLE!$G$14,$M606,BX$13))))</f>
        <v>1000000000000</v>
      </c>
      <c r="BY606" s="182">
        <f ca="1">IF($D606&lt;&gt;"Serviço",0,IF(OR(AND(AUTOEVENTO="Manual",$M606=1),$M606&gt;(ROW(PLE.lastrow)-ROW(PLE.firstrow))),0,IF(OFFSET(PLE!$G$14,$M606,BY$13)="",10^12,OFFSET(PLE!$G$14,$M606,BY$13))))</f>
        <v>1000000000000</v>
      </c>
      <c r="BZ606" s="182">
        <f ca="1">IF($D606&lt;&gt;"Serviço",0,IF(OR(AND(AUTOEVENTO="Manual",$M606=1),$M606&gt;(ROW(PLE.lastrow)-ROW(PLE.firstrow))),0,IF(OFFSET(PLE!$G$14,$M606,BZ$13)="",10^12,OFFSET(PLE!$G$14,$M606,BZ$13))))</f>
        <v>1000000000000</v>
      </c>
      <c r="CA606" s="182">
        <f ca="1">IF($D606&lt;&gt;"Serviço",0,IF(OR(AND(AUTOEVENTO="Manual",$M606=1),$M606&gt;(ROW(PLE.lastrow)-ROW(PLE.firstrow))),0,IF(OFFSET(PLE!$G$14,$M606,CA$13)="",10^12,OFFSET(PLE!$G$14,$M606,CA$13))))</f>
        <v>1000000000000</v>
      </c>
      <c r="CB606" s="182">
        <f ca="1">IF($D606&lt;&gt;"Serviço",0,IF(OR(AND(AUTOEVENTO="Manual",$M606=1),$M606&gt;(ROW(PLE.lastrow)-ROW(PLE.firstrow))),0,IF(OFFSET(PLE!$G$14,$M606,CB$13)="",10^12,OFFSET(PLE!$G$14,$M606,CB$13))))</f>
        <v>1000000000000</v>
      </c>
      <c r="CC606" s="182">
        <f ca="1">IF($D606&lt;&gt;"Serviço",0,IF(OR(AND(AUTOEVENTO="Manual",$M606=1),$M606&gt;(ROW(PLE.lastrow)-ROW(PLE.firstrow))),0,IF(OFFSET(PLE!$G$14,$M606,CC$13)="",10^12,OFFSET(PLE!$G$14,$M606,CC$13))))</f>
        <v>1000000000000</v>
      </c>
      <c r="CD606" s="182">
        <f ca="1">IF($D606&lt;&gt;"Serviço",0,IF(OR(AND(AUTOEVENTO="Manual",$M606=1),$M606&gt;(ROW(PLE.lastrow)-ROW(PLE.firstrow))),0,IF(OFFSET(PLE!$G$14,$M606,CD$13)="",10^12,OFFSET(PLE!$G$14,$M606,CD$13))))</f>
        <v>1000000000000</v>
      </c>
      <c r="CE606" s="182">
        <f ca="1">IF($D606&lt;&gt;"Serviço",0,IF(OR(AND(AUTOEVENTO="Manual",$M606=1),$M606&gt;(ROW(PLE.lastrow)-ROW(PLE.firstrow))),0,IF(OFFSET(PLE!$G$14,$M606,CE$13)="",10^12,OFFSET(PLE!$G$14,$M606,CE$13))))</f>
        <v>1000000000000</v>
      </c>
      <c r="CF606" s="182">
        <f ca="1">IF($D606&lt;&gt;"Serviço",0,IF(OR(AND(AUTOEVENTO="Manual",$M606=1),$M606&gt;(ROW(PLE.lastrow)-ROW(PLE.firstrow))),0,IF(OFFSET(PLE!$G$14,$M606,CF$13)="",10^12,OFFSET(PLE!$G$14,$M606,CF$13))))</f>
        <v>1000000000000</v>
      </c>
      <c r="CG606" s="182">
        <f ca="1">IF($D606&lt;&gt;"Serviço",0,IF(OR(AND(AUTOEVENTO="Manual",$M606=1),$M606&gt;(ROW(PLE.lastrow)-ROW(PLE.firstrow))),0,IF(OFFSET(PLE!$G$14,$M606,CG$13)="",10^12,OFFSET(PLE!$G$14,$M606,CG$13))))</f>
        <v>1000000000000</v>
      </c>
      <c r="CH606" s="182">
        <f ca="1">IF($D606&lt;&gt;"Serviço",0,IF(OR(AND(AUTOEVENTO="Manual",$M606=1),$M606&gt;(ROW(PLE.lastrow)-ROW(PLE.firstrow))),0,IF(OFFSET(PLE!$G$14,$M606,CH$13)="",10^12,OFFSET(PLE!$G$14,$M606,CH$13))))</f>
        <v>1000000000000</v>
      </c>
      <c r="CI606" s="182">
        <f ca="1">IF($D606&lt;&gt;"Serviço",0,IF(OR(AND(AUTOEVENTO="Manual",$M606=1),$M606&gt;(ROW(PLE.lastrow)-ROW(PLE.firstrow))),0,IF(OFFSET(PLE!$G$14,$M606,CI$13)="",10^12,OFFSET(PLE!$G$14,$M606,CI$13))))</f>
        <v>1000000000000</v>
      </c>
      <c r="CJ606" s="182">
        <f ca="1">IF($D606&lt;&gt;"Serviço",0,IF(OR(AND(AUTOEVENTO="Manual",$M606=1),$M606&gt;(ROW(PLE.lastrow)-ROW(PLE.firstrow))),0,IF(OFFSET(PLE!$G$14,$M606,CJ$13)="",10^12,OFFSET(PLE!$G$14,$M606,CJ$13))))</f>
        <v>1000000000000</v>
      </c>
      <c r="CK606" s="182">
        <f ca="1">IF($D606&lt;&gt;"Serviço",0,IF(OR(AND(AUTOEVENTO="Manual",$M606=1),$M606&gt;(ROW(PLE.lastrow)-ROW(PLE.firstrow))),0,IF(OFFSET(PLE!$G$14,$M606,CK$13)="",10^12,OFFSET(PLE!$G$14,$M606,CK$13))))</f>
        <v>1000000000000</v>
      </c>
      <c r="CL606" s="182">
        <f ca="1">IF($D606&lt;&gt;"Serviço",0,IF(OR(AND(AUTOEVENTO="Manual",$M606=1),$M606&gt;(ROW(PLE.lastrow)-ROW(PLE.firstrow))),0,IF(OFFSET(PLE!$G$14,$M606,CL$13)="",10^12,OFFSET(PLE!$G$14,$M606,CL$13))))</f>
        <v>1000000000000</v>
      </c>
      <c r="CM606" s="182">
        <f ca="1">IF($D606&lt;&gt;"Serviço",0,IF(OR(AND(AUTOEVENTO="Manual",$M606=1),$M606&gt;(ROW(PLE.lastrow)-ROW(PLE.firstrow))),0,IF(OFFSET(PLE!$G$14,$M606,CM$13)="",10^12,OFFSET(PLE!$G$14,$M606,CM$13))))</f>
        <v>1000000000000</v>
      </c>
    </row>
    <row r="607" spans="1:91" ht="12.75" x14ac:dyDescent="0.2">
      <c r="A607" s="7" t="str">
        <f t="shared" ca="1" si="18"/>
        <v>592.</v>
      </c>
      <c r="B607" s="7">
        <f ca="1">OFFSET(ORÇAMENTO!C$15,ROW(B607)-ROW(B$15),0)</f>
        <v>2</v>
      </c>
      <c r="C607" s="7" t="str">
        <f ca="1">OFFSET(ORÇAMENTO!L$15,ROW(C607)-ROW(C$15),0)</f>
        <v>F</v>
      </c>
      <c r="D607" s="118" t="str">
        <f ca="1">OFFSET(ORÇAMENTO!N$15,ROW(D607)-ROW(D$15),0)</f>
        <v>Nível 2</v>
      </c>
      <c r="E607" s="119" t="str">
        <f ca="1">OFFSET(ORÇAMENTO!O$15,ROW(E607)-ROW(E$15),0)</f>
        <v>1.62.</v>
      </c>
      <c r="F607" s="172" t="str">
        <f ca="1">OFFSET(ORÇAMENTO!R$15,ROW(F607)-ROW(F$15),0)</f>
        <v>INSTALAÇÕES DE CLIMATIZAÇÃO - DUTOS</v>
      </c>
      <c r="G607" s="173" t="str">
        <f ca="1">IF($D607&lt;&gt;"Serviço","",OFFSET(ORÇAMENTO!S$15,ROW(G607)-ROW(G$15),0))</f>
        <v/>
      </c>
      <c r="H607" s="124">
        <f ca="1">IF($D607&lt;&gt;"Serviço",0,IF(ACOMPANHAMENTO="BM",ROUND(OFFSET(ORÇAMENTO!AJ$15,ROW(H607)-ROW(H$15),0),15-13*ORÇAMENTO!$AF$7),SUMPRODUCT(($Q$12:$AI$12&lt;&gt;"")*ROUND($Q607:$AI607,15-13*ORÇAMENTO!$AF$7))))</f>
        <v>0</v>
      </c>
      <c r="I607" s="561"/>
      <c r="K607" s="174"/>
      <c r="L607" s="175" t="s">
        <v>255</v>
      </c>
      <c r="M607" s="176" t="str">
        <f ca="1">IF($D607&lt;&gt;"Serviço","",IF(AUTOEVENTO="manual",$A607,IF(ISERROR(MATCH($A607,$A$15:OFFSET($A607,-1,0),0)),MAX($M$15:OFFSET(M607,-1,0))+1,INDEX($M$15:OFFSET(M607,-1,0),MATCH($A607,$A$15:OFFSET($A607,-1,0),0)))))</f>
        <v/>
      </c>
      <c r="N607" s="177" t="str">
        <f ca="1">IF($D607&lt;&gt;"Serviço","",IF(AUTOEVENTO="Manual",IF($A607=0,"&lt;-- defina o número do agrupador",OFFSET(EVENTOS!$D$14,$A607,0)),OFFSET($F$15,$A607,0)))</f>
        <v/>
      </c>
      <c r="O607" s="178"/>
      <c r="Q607" s="178">
        <v>0</v>
      </c>
      <c r="R607" s="179"/>
      <c r="S607" s="179"/>
      <c r="T607" s="179"/>
      <c r="U607" s="179"/>
      <c r="V607" s="179"/>
      <c r="W607" s="179"/>
      <c r="X607" s="179"/>
      <c r="Y607" s="179"/>
      <c r="Z607" s="180"/>
      <c r="AA607" s="179"/>
      <c r="AB607" s="179"/>
      <c r="AC607" s="179"/>
      <c r="AD607" s="179"/>
      <c r="AE607" s="179"/>
      <c r="AF607" s="179"/>
      <c r="AG607" s="179"/>
      <c r="AH607" s="180"/>
      <c r="AJ607" s="544">
        <f ca="1">IF(AND($D607="Serviço",AJ$12&lt;&gt;0,$H607&gt;0,OR(AUTOEVENTO&lt;&gt;"manual",$M607&lt;&gt;1)),
IF(Import.TipoArredondamento&lt;&gt;"TransfereGOV",
ROUND(OFFSET($P607,0,AJ$13),15-13*ORÇAMENTO!$AF$7)/$H607*OFFSET(ORÇAMENTO!$X$15,ROW(AJ607)-ROW(AJ$15),0),
ROUND(ROUND(OFFSET($P607,0,AJ$13),15-13*ORÇAMENTO!$AF$7)*OFFSET(ORÇAMENTO!$W$15,ROW(AJ607)-ROW(AJ$15),0),15-13*ORÇAMENTO!$AF$11)),0)</f>
        <v>0</v>
      </c>
      <c r="AK607" s="545">
        <f ca="1">IF(AND($D607="Serviço",AK$12&lt;&gt;0,$H607&gt;0,OR(AUTOEVENTO&lt;&gt;"manual",$M607&lt;&gt;1)),
IF(Import.TipoArredondamento&lt;&gt;"TransfereGOV",
ROUND(OFFSET($P607,0,AK$13),15-13*ORÇAMENTO!$AF$7)/$H607*OFFSET(ORÇAMENTO!$X$15,ROW(AK607)-ROW(AK$15),0),
ROUND(ROUND(OFFSET($P607,0,AK$13),15-13*ORÇAMENTO!$AF$7)*OFFSET(ORÇAMENTO!$W$15,ROW(AK607)-ROW(AK$15),0),15-13*ORÇAMENTO!$AF$11)),0)</f>
        <v>0</v>
      </c>
      <c r="AL607" s="545">
        <f ca="1">IF(AND($D607="Serviço",AL$12&lt;&gt;0,$H607&gt;0,OR(AUTOEVENTO&lt;&gt;"manual",$M607&lt;&gt;1)),
IF(Import.TipoArredondamento&lt;&gt;"TransfereGOV",
ROUND(OFFSET($P607,0,AL$13),15-13*ORÇAMENTO!$AF$7)/$H607*OFFSET(ORÇAMENTO!$X$15,ROW(AL607)-ROW(AL$15),0),
ROUND(ROUND(OFFSET($P607,0,AL$13),15-13*ORÇAMENTO!$AF$7)*OFFSET(ORÇAMENTO!$W$15,ROW(AL607)-ROW(AL$15),0),15-13*ORÇAMENTO!$AF$11)),0)</f>
        <v>0</v>
      </c>
      <c r="AM607" s="545">
        <f ca="1">IF(AND($D607="Serviço",AM$12&lt;&gt;0,$H607&gt;0,OR(AUTOEVENTO&lt;&gt;"manual",$M607&lt;&gt;1)),
IF(Import.TipoArredondamento&lt;&gt;"TransfereGOV",
ROUND(OFFSET($P607,0,AM$13),15-13*ORÇAMENTO!$AF$7)/$H607*OFFSET(ORÇAMENTO!$X$15,ROW(AM607)-ROW(AM$15),0),
ROUND(ROUND(OFFSET($P607,0,AM$13),15-13*ORÇAMENTO!$AF$7)*OFFSET(ORÇAMENTO!$W$15,ROW(AM607)-ROW(AM$15),0),15-13*ORÇAMENTO!$AF$11)),0)</f>
        <v>0</v>
      </c>
      <c r="AN607" s="545">
        <f ca="1">IF(AND($D607="Serviço",AN$12&lt;&gt;0,$H607&gt;0,OR(AUTOEVENTO&lt;&gt;"manual",$M607&lt;&gt;1)),
IF(Import.TipoArredondamento&lt;&gt;"TransfereGOV",
ROUND(OFFSET($P607,0,AN$13),15-13*ORÇAMENTO!$AF$7)/$H607*OFFSET(ORÇAMENTO!$X$15,ROW(AN607)-ROW(AN$15),0),
ROUND(ROUND(OFFSET($P607,0,AN$13),15-13*ORÇAMENTO!$AF$7)*OFFSET(ORÇAMENTO!$W$15,ROW(AN607)-ROW(AN$15),0),15-13*ORÇAMENTO!$AF$11)),0)</f>
        <v>0</v>
      </c>
      <c r="AO607" s="545">
        <f ca="1">IF(AND($D607="Serviço",AO$12&lt;&gt;0,$H607&gt;0,OR(AUTOEVENTO&lt;&gt;"manual",$M607&lt;&gt;1)),
IF(Import.TipoArredondamento&lt;&gt;"TransfereGOV",
ROUND(OFFSET($P607,0,AO$13),15-13*ORÇAMENTO!$AF$7)/$H607*OFFSET(ORÇAMENTO!$X$15,ROW(AO607)-ROW(AO$15),0),
ROUND(ROUND(OFFSET($P607,0,AO$13),15-13*ORÇAMENTO!$AF$7)*OFFSET(ORÇAMENTO!$W$15,ROW(AO607)-ROW(AO$15),0),15-13*ORÇAMENTO!$AF$11)),0)</f>
        <v>0</v>
      </c>
      <c r="AP607" s="545">
        <f ca="1">IF(AND($D607="Serviço",AP$12&lt;&gt;0,$H607&gt;0,OR(AUTOEVENTO&lt;&gt;"manual",$M607&lt;&gt;1)),
IF(Import.TipoArredondamento&lt;&gt;"TransfereGOV",
ROUND(OFFSET($P607,0,AP$13),15-13*ORÇAMENTO!$AF$7)/$H607*OFFSET(ORÇAMENTO!$X$15,ROW(AP607)-ROW(AP$15),0),
ROUND(ROUND(OFFSET($P607,0,AP$13),15-13*ORÇAMENTO!$AF$7)*OFFSET(ORÇAMENTO!$W$15,ROW(AP607)-ROW(AP$15),0),15-13*ORÇAMENTO!$AF$11)),0)</f>
        <v>0</v>
      </c>
      <c r="AQ607" s="545">
        <f ca="1">IF(AND($D607="Serviço",AQ$12&lt;&gt;0,$H607&gt;0,OR(AUTOEVENTO&lt;&gt;"manual",$M607&lt;&gt;1)),
IF(Import.TipoArredondamento&lt;&gt;"TransfereGOV",
ROUND(OFFSET($P607,0,AQ$13),15-13*ORÇAMENTO!$AF$7)/$H607*OFFSET(ORÇAMENTO!$X$15,ROW(AQ607)-ROW(AQ$15),0),
ROUND(ROUND(OFFSET($P607,0,AQ$13),15-13*ORÇAMENTO!$AF$7)*OFFSET(ORÇAMENTO!$W$15,ROW(AQ607)-ROW(AQ$15),0),15-13*ORÇAMENTO!$AF$11)),0)</f>
        <v>0</v>
      </c>
      <c r="AR607" s="545">
        <f ca="1">IF(AND($D607="Serviço",AR$12&lt;&gt;0,$H607&gt;0,OR(AUTOEVENTO&lt;&gt;"manual",$M607&lt;&gt;1)),
IF(Import.TipoArredondamento&lt;&gt;"TransfereGOV",
ROUND(OFFSET($P607,0,AR$13),15-13*ORÇAMENTO!$AF$7)/$H607*OFFSET(ORÇAMENTO!$X$15,ROW(AR607)-ROW(AR$15),0),
ROUND(ROUND(OFFSET($P607,0,AR$13),15-13*ORÇAMENTO!$AF$7)*OFFSET(ORÇAMENTO!$W$15,ROW(AR607)-ROW(AR$15),0),15-13*ORÇAMENTO!$AF$11)),0)</f>
        <v>0</v>
      </c>
      <c r="AS607" s="546">
        <f ca="1">IF(AND($D607="Serviço",AS$12&lt;&gt;0,$H607&gt;0,OR(AUTOEVENTO&lt;&gt;"manual",$M607&lt;&gt;1)),
IF(Import.TipoArredondamento&lt;&gt;"TransfereGOV",
ROUND(OFFSET($P607,0,AS$13),15-13*ORÇAMENTO!$AF$7)/$H607*OFFSET(ORÇAMENTO!$X$15,ROW(AS607)-ROW(AS$15),0),
ROUND(ROUND(OFFSET($P607,0,AS$13),15-13*ORÇAMENTO!$AF$7)*OFFSET(ORÇAMENTO!$W$15,ROW(AS607)-ROW(AS$15),0),15-13*ORÇAMENTO!$AF$11)),0)</f>
        <v>0</v>
      </c>
      <c r="AT607" s="545">
        <f ca="1">IF(AND($D607="Serviço",AT$12&lt;&gt;0,$H607&gt;0,OR(AUTOEVENTO&lt;&gt;"manual",$M607&lt;&gt;1)),
IF(Import.TipoArredondamento&lt;&gt;"TransfereGOV",
ROUND(OFFSET($P607,0,AT$13),15-13*ORÇAMENTO!$AF$7)/$H607*OFFSET(ORÇAMENTO!$X$15,ROW(AT607)-ROW(AT$15),0),
ROUND(ROUND(OFFSET($P607,0,AT$13),15-13*ORÇAMENTO!$AF$7)*OFFSET(ORÇAMENTO!$W$15,ROW(AT607)-ROW(AT$15),0),15-13*ORÇAMENTO!$AF$11)),0)</f>
        <v>0</v>
      </c>
      <c r="AU607" s="545">
        <f ca="1">IF(AND($D607="Serviço",AU$12&lt;&gt;0,$H607&gt;0,OR(AUTOEVENTO&lt;&gt;"manual",$M607&lt;&gt;1)),
IF(Import.TipoArredondamento&lt;&gt;"TransfereGOV",
ROUND(OFFSET($P607,0,AU$13),15-13*ORÇAMENTO!$AF$7)/$H607*OFFSET(ORÇAMENTO!$X$15,ROW(AU607)-ROW(AU$15),0),
ROUND(ROUND(OFFSET($P607,0,AU$13),15-13*ORÇAMENTO!$AF$7)*OFFSET(ORÇAMENTO!$W$15,ROW(AU607)-ROW(AU$15),0),15-13*ORÇAMENTO!$AF$11)),0)</f>
        <v>0</v>
      </c>
      <c r="AV607" s="545">
        <f ca="1">IF(AND($D607="Serviço",AV$12&lt;&gt;0,$H607&gt;0,OR(AUTOEVENTO&lt;&gt;"manual",$M607&lt;&gt;1)),
IF(Import.TipoArredondamento&lt;&gt;"TransfereGOV",
ROUND(OFFSET($P607,0,AV$13),15-13*ORÇAMENTO!$AF$7)/$H607*OFFSET(ORÇAMENTO!$X$15,ROW(AV607)-ROW(AV$15),0),
ROUND(ROUND(OFFSET($P607,0,AV$13),15-13*ORÇAMENTO!$AF$7)*OFFSET(ORÇAMENTO!$W$15,ROW(AV607)-ROW(AV$15),0),15-13*ORÇAMENTO!$AF$11)),0)</f>
        <v>0</v>
      </c>
      <c r="AW607" s="545">
        <f ca="1">IF(AND($D607="Serviço",AW$12&lt;&gt;0,$H607&gt;0,OR(AUTOEVENTO&lt;&gt;"manual",$M607&lt;&gt;1)),
IF(Import.TipoArredondamento&lt;&gt;"TransfereGOV",
ROUND(OFFSET($P607,0,AW$13),15-13*ORÇAMENTO!$AF$7)/$H607*OFFSET(ORÇAMENTO!$X$15,ROW(AW607)-ROW(AW$15),0),
ROUND(ROUND(OFFSET($P607,0,AW$13),15-13*ORÇAMENTO!$AF$7)*OFFSET(ORÇAMENTO!$W$15,ROW(AW607)-ROW(AW$15),0),15-13*ORÇAMENTO!$AF$11)),0)</f>
        <v>0</v>
      </c>
      <c r="AX607" s="545">
        <f ca="1">IF(AND($D607="Serviço",AX$12&lt;&gt;0,$H607&gt;0,OR(AUTOEVENTO&lt;&gt;"manual",$M607&lt;&gt;1)),
IF(Import.TipoArredondamento&lt;&gt;"TransfereGOV",
ROUND(OFFSET($P607,0,AX$13),15-13*ORÇAMENTO!$AF$7)/$H607*OFFSET(ORÇAMENTO!$X$15,ROW(AX607)-ROW(AX$15),0),
ROUND(ROUND(OFFSET($P607,0,AX$13),15-13*ORÇAMENTO!$AF$7)*OFFSET(ORÇAMENTO!$W$15,ROW(AX607)-ROW(AX$15),0),15-13*ORÇAMENTO!$AF$11)),0)</f>
        <v>0</v>
      </c>
      <c r="AY607" s="545">
        <f ca="1">IF(AND($D607="Serviço",AY$12&lt;&gt;0,$H607&gt;0,OR(AUTOEVENTO&lt;&gt;"manual",$M607&lt;&gt;1)),
IF(Import.TipoArredondamento&lt;&gt;"TransfereGOV",
ROUND(OFFSET($P607,0,AY$13),15-13*ORÇAMENTO!$AF$7)/$H607*OFFSET(ORÇAMENTO!$X$15,ROW(AY607)-ROW(AY$15),0),
ROUND(ROUND(OFFSET($P607,0,AY$13),15-13*ORÇAMENTO!$AF$7)*OFFSET(ORÇAMENTO!$W$15,ROW(AY607)-ROW(AY$15),0),15-13*ORÇAMENTO!$AF$11)),0)</f>
        <v>0</v>
      </c>
      <c r="AZ607" s="545">
        <f ca="1">IF(AND($D607="Serviço",AZ$12&lt;&gt;0,$H607&gt;0,OR(AUTOEVENTO&lt;&gt;"manual",$M607&lt;&gt;1)),
IF(Import.TipoArredondamento&lt;&gt;"TransfereGOV",
ROUND(OFFSET($P607,0,AZ$13),15-13*ORÇAMENTO!$AF$7)/$H607*OFFSET(ORÇAMENTO!$X$15,ROW(AZ607)-ROW(AZ$15),0),
ROUND(ROUND(OFFSET($P607,0,AZ$13),15-13*ORÇAMENTO!$AF$7)*OFFSET(ORÇAMENTO!$W$15,ROW(AZ607)-ROW(AZ$15),0),15-13*ORÇAMENTO!$AF$11)),0)</f>
        <v>0</v>
      </c>
      <c r="BA607" s="546">
        <f ca="1">IF(AND($D607="Serviço",BA$12&lt;&gt;0,$H607&gt;0,OR(AUTOEVENTO&lt;&gt;"manual",$M607&lt;&gt;1)),
IF(Import.TipoArredondamento&lt;&gt;"TransfereGOV",
ROUND(OFFSET($P607,0,BA$13),15-13*ORÇAMENTO!$AF$7)/$H607*OFFSET(ORÇAMENTO!$X$15,ROW(BA607)-ROW(BA$15),0),
ROUND(ROUND(OFFSET($P607,0,BA$13),15-13*ORÇAMENTO!$AF$7)*OFFSET(ORÇAMENTO!$W$15,ROW(BA607)-ROW(BA$15),0),15-13*ORÇAMENTO!$AF$11)),0)</f>
        <v>0</v>
      </c>
      <c r="BC607" s="181">
        <f ca="1">IF($D607&lt;&gt;"Serviço",0,IF(AND(AUTOEVENTO="Manual",$M607=1),0,IF(OFFSET(CRONOPLE!$F$14,$M607,BC$13)="",10^12,OFFSET(CRONOPLE!$F$14,$M607,BC$13))))</f>
        <v>0</v>
      </c>
      <c r="BD607" s="181">
        <f ca="1">IF($D607&lt;&gt;"Serviço",0,IF(AND(AUTOEVENTO="Manual",$M607=1),0,IF(OFFSET(CRONOPLE!$F$14,$M607,BD$13)="",10^12,OFFSET(CRONOPLE!$F$14,$M607,BD$13))))</f>
        <v>0</v>
      </c>
      <c r="BE607" s="181">
        <f ca="1">IF($D607&lt;&gt;"Serviço",0,IF(AND(AUTOEVENTO="Manual",$M607=1),0,IF(OFFSET(CRONOPLE!$F$14,$M607,BE$13)="",10^12,OFFSET(CRONOPLE!$F$14,$M607,BE$13))))</f>
        <v>0</v>
      </c>
      <c r="BF607" s="181">
        <f ca="1">IF($D607&lt;&gt;"Serviço",0,IF(AND(AUTOEVENTO="Manual",$M607=1),0,IF(OFFSET(CRONOPLE!$F$14,$M607,BF$13)="",10^12,OFFSET(CRONOPLE!$F$14,$M607,BF$13))))</f>
        <v>0</v>
      </c>
      <c r="BG607" s="181">
        <f ca="1">IF($D607&lt;&gt;"Serviço",0,IF(AND(AUTOEVENTO="Manual",$M607=1),0,IF(OFFSET(CRONOPLE!$F$14,$M607,BG$13)="",10^12,OFFSET(CRONOPLE!$F$14,$M607,BG$13))))</f>
        <v>0</v>
      </c>
      <c r="BH607" s="181">
        <f ca="1">IF($D607&lt;&gt;"Serviço",0,IF(AND(AUTOEVENTO="Manual",$M607=1),0,IF(OFFSET(CRONOPLE!$F$14,$M607,BH$13)="",10^12,OFFSET(CRONOPLE!$F$14,$M607,BH$13))))</f>
        <v>0</v>
      </c>
      <c r="BI607" s="181">
        <f ca="1">IF($D607&lt;&gt;"Serviço",0,IF(AND(AUTOEVENTO="Manual",$M607=1),0,IF(OFFSET(CRONOPLE!$F$14,$M607,BI$13)="",10^12,OFFSET(CRONOPLE!$F$14,$M607,BI$13))))</f>
        <v>0</v>
      </c>
      <c r="BJ607" s="181">
        <f ca="1">IF($D607&lt;&gt;"Serviço",0,IF(AND(AUTOEVENTO="Manual",$M607=1),0,IF(OFFSET(CRONOPLE!$F$14,$M607,BJ$13)="",10^12,OFFSET(CRONOPLE!$F$14,$M607,BJ$13))))</f>
        <v>0</v>
      </c>
      <c r="BK607" s="181">
        <f ca="1">IF($D607&lt;&gt;"Serviço",0,IF(AND(AUTOEVENTO="Manual",$M607=1),0,IF(OFFSET(CRONOPLE!$F$14,$M607,BK$13)="",10^12,OFFSET(CRONOPLE!$F$14,$M607,BK$13))))</f>
        <v>0</v>
      </c>
      <c r="BL607" s="181">
        <f ca="1">IF($D607&lt;&gt;"Serviço",0,IF(AND(AUTOEVENTO="Manual",$M607=1),0,IF(OFFSET(CRONOPLE!$F$14,$M607,BL$13)="",10^12,OFFSET(CRONOPLE!$F$14,$M607,BL$13))))</f>
        <v>0</v>
      </c>
      <c r="BM607" s="181">
        <f ca="1">IF($D607&lt;&gt;"Serviço",0,IF(AND(AUTOEVENTO="Manual",$M607=1),0,IF(OFFSET(CRONOPLE!$F$14,$M607,BM$13)="",10^12,OFFSET(CRONOPLE!$F$14,$M607,BM$13))))</f>
        <v>0</v>
      </c>
      <c r="BN607" s="181">
        <f ca="1">IF($D607&lt;&gt;"Serviço",0,IF(AND(AUTOEVENTO="Manual",$M607=1),0,IF(OFFSET(CRONOPLE!$F$14,$M607,BN$13)="",10^12,OFFSET(CRONOPLE!$F$14,$M607,BN$13))))</f>
        <v>0</v>
      </c>
      <c r="BO607" s="181">
        <f ca="1">IF($D607&lt;&gt;"Serviço",0,IF(AND(AUTOEVENTO="Manual",$M607=1),0,IF(OFFSET(CRONOPLE!$F$14,$M607,BO$13)="",10^12,OFFSET(CRONOPLE!$F$14,$M607,BO$13))))</f>
        <v>0</v>
      </c>
      <c r="BP607" s="181">
        <f ca="1">IF($D607&lt;&gt;"Serviço",0,IF(AND(AUTOEVENTO="Manual",$M607=1),0,IF(OFFSET(CRONOPLE!$F$14,$M607,BP$13)="",10^12,OFFSET(CRONOPLE!$F$14,$M607,BP$13))))</f>
        <v>0</v>
      </c>
      <c r="BQ607" s="181">
        <f ca="1">IF($D607&lt;&gt;"Serviço",0,IF(AND(AUTOEVENTO="Manual",$M607=1),0,IF(OFFSET(CRONOPLE!$F$14,$M607,BQ$13)="",10^12,OFFSET(CRONOPLE!$F$14,$M607,BQ$13))))</f>
        <v>0</v>
      </c>
      <c r="BR607" s="181">
        <f ca="1">IF($D607&lt;&gt;"Serviço",0,IF(AND(AUTOEVENTO="Manual",$M607=1),0,IF(OFFSET(CRONOPLE!$F$14,$M607,BR$13)="",10^12,OFFSET(CRONOPLE!$F$14,$M607,BR$13))))</f>
        <v>0</v>
      </c>
      <c r="BS607" s="181">
        <f ca="1">IF($D607&lt;&gt;"Serviço",0,IF(AND(AUTOEVENTO="Manual",$M607=1),0,IF(OFFSET(CRONOPLE!$F$14,$M607,BS$13)="",10^12,OFFSET(CRONOPLE!$F$14,$M607,BS$13))))</f>
        <v>0</v>
      </c>
      <c r="BT607" s="181">
        <f ca="1">IF($D607&lt;&gt;"Serviço",0,IF(AND(AUTOEVENTO="Manual",$M607=1),0,IF(OFFSET(CRONOPLE!$F$14,$M607,BT$13)="",10^12,OFFSET(CRONOPLE!$F$14,$M607,BT$13))))</f>
        <v>0</v>
      </c>
      <c r="BV607" s="182">
        <f ca="1">IF($D607&lt;&gt;"Serviço",0,IF(OR(AND(AUTOEVENTO="Manual",$M607=1),$M607&gt;(ROW(PLE.lastrow)-ROW(PLE.firstrow))),0,IF(OFFSET(PLE!$G$14,$M607,BV$13)="",10^12,OFFSET(PLE!$G$14,$M607,BV$13))))</f>
        <v>0</v>
      </c>
      <c r="BW607" s="182">
        <f ca="1">IF($D607&lt;&gt;"Serviço",0,IF(OR(AND(AUTOEVENTO="Manual",$M607=1),$M607&gt;(ROW(PLE.lastrow)-ROW(PLE.firstrow))),0,IF(OFFSET(PLE!$G$14,$M607,BW$13)="",10^12,OFFSET(PLE!$G$14,$M607,BW$13))))</f>
        <v>0</v>
      </c>
      <c r="BX607" s="182">
        <f ca="1">IF($D607&lt;&gt;"Serviço",0,IF(OR(AND(AUTOEVENTO="Manual",$M607=1),$M607&gt;(ROW(PLE.lastrow)-ROW(PLE.firstrow))),0,IF(OFFSET(PLE!$G$14,$M607,BX$13)="",10^12,OFFSET(PLE!$G$14,$M607,BX$13))))</f>
        <v>0</v>
      </c>
      <c r="BY607" s="182">
        <f ca="1">IF($D607&lt;&gt;"Serviço",0,IF(OR(AND(AUTOEVENTO="Manual",$M607=1),$M607&gt;(ROW(PLE.lastrow)-ROW(PLE.firstrow))),0,IF(OFFSET(PLE!$G$14,$M607,BY$13)="",10^12,OFFSET(PLE!$G$14,$M607,BY$13))))</f>
        <v>0</v>
      </c>
      <c r="BZ607" s="182">
        <f ca="1">IF($D607&lt;&gt;"Serviço",0,IF(OR(AND(AUTOEVENTO="Manual",$M607=1),$M607&gt;(ROW(PLE.lastrow)-ROW(PLE.firstrow))),0,IF(OFFSET(PLE!$G$14,$M607,BZ$13)="",10^12,OFFSET(PLE!$G$14,$M607,BZ$13))))</f>
        <v>0</v>
      </c>
      <c r="CA607" s="182">
        <f ca="1">IF($D607&lt;&gt;"Serviço",0,IF(OR(AND(AUTOEVENTO="Manual",$M607=1),$M607&gt;(ROW(PLE.lastrow)-ROW(PLE.firstrow))),0,IF(OFFSET(PLE!$G$14,$M607,CA$13)="",10^12,OFFSET(PLE!$G$14,$M607,CA$13))))</f>
        <v>0</v>
      </c>
      <c r="CB607" s="182">
        <f ca="1">IF($D607&lt;&gt;"Serviço",0,IF(OR(AND(AUTOEVENTO="Manual",$M607=1),$M607&gt;(ROW(PLE.lastrow)-ROW(PLE.firstrow))),0,IF(OFFSET(PLE!$G$14,$M607,CB$13)="",10^12,OFFSET(PLE!$G$14,$M607,CB$13))))</f>
        <v>0</v>
      </c>
      <c r="CC607" s="182">
        <f ca="1">IF($D607&lt;&gt;"Serviço",0,IF(OR(AND(AUTOEVENTO="Manual",$M607=1),$M607&gt;(ROW(PLE.lastrow)-ROW(PLE.firstrow))),0,IF(OFFSET(PLE!$G$14,$M607,CC$13)="",10^12,OFFSET(PLE!$G$14,$M607,CC$13))))</f>
        <v>0</v>
      </c>
      <c r="CD607" s="182">
        <f ca="1">IF($D607&lt;&gt;"Serviço",0,IF(OR(AND(AUTOEVENTO="Manual",$M607=1),$M607&gt;(ROW(PLE.lastrow)-ROW(PLE.firstrow))),0,IF(OFFSET(PLE!$G$14,$M607,CD$13)="",10^12,OFFSET(PLE!$G$14,$M607,CD$13))))</f>
        <v>0</v>
      </c>
      <c r="CE607" s="182">
        <f ca="1">IF($D607&lt;&gt;"Serviço",0,IF(OR(AND(AUTOEVENTO="Manual",$M607=1),$M607&gt;(ROW(PLE.lastrow)-ROW(PLE.firstrow))),0,IF(OFFSET(PLE!$G$14,$M607,CE$13)="",10^12,OFFSET(PLE!$G$14,$M607,CE$13))))</f>
        <v>0</v>
      </c>
      <c r="CF607" s="182">
        <f ca="1">IF($D607&lt;&gt;"Serviço",0,IF(OR(AND(AUTOEVENTO="Manual",$M607=1),$M607&gt;(ROW(PLE.lastrow)-ROW(PLE.firstrow))),0,IF(OFFSET(PLE!$G$14,$M607,CF$13)="",10^12,OFFSET(PLE!$G$14,$M607,CF$13))))</f>
        <v>0</v>
      </c>
      <c r="CG607" s="182">
        <f ca="1">IF($D607&lt;&gt;"Serviço",0,IF(OR(AND(AUTOEVENTO="Manual",$M607=1),$M607&gt;(ROW(PLE.lastrow)-ROW(PLE.firstrow))),0,IF(OFFSET(PLE!$G$14,$M607,CG$13)="",10^12,OFFSET(PLE!$G$14,$M607,CG$13))))</f>
        <v>0</v>
      </c>
      <c r="CH607" s="182">
        <f ca="1">IF($D607&lt;&gt;"Serviço",0,IF(OR(AND(AUTOEVENTO="Manual",$M607=1),$M607&gt;(ROW(PLE.lastrow)-ROW(PLE.firstrow))),0,IF(OFFSET(PLE!$G$14,$M607,CH$13)="",10^12,OFFSET(PLE!$G$14,$M607,CH$13))))</f>
        <v>0</v>
      </c>
      <c r="CI607" s="182">
        <f ca="1">IF($D607&lt;&gt;"Serviço",0,IF(OR(AND(AUTOEVENTO="Manual",$M607=1),$M607&gt;(ROW(PLE.lastrow)-ROW(PLE.firstrow))),0,IF(OFFSET(PLE!$G$14,$M607,CI$13)="",10^12,OFFSET(PLE!$G$14,$M607,CI$13))))</f>
        <v>0</v>
      </c>
      <c r="CJ607" s="182">
        <f ca="1">IF($D607&lt;&gt;"Serviço",0,IF(OR(AND(AUTOEVENTO="Manual",$M607=1),$M607&gt;(ROW(PLE.lastrow)-ROW(PLE.firstrow))),0,IF(OFFSET(PLE!$G$14,$M607,CJ$13)="",10^12,OFFSET(PLE!$G$14,$M607,CJ$13))))</f>
        <v>0</v>
      </c>
      <c r="CK607" s="182">
        <f ca="1">IF($D607&lt;&gt;"Serviço",0,IF(OR(AND(AUTOEVENTO="Manual",$M607=1),$M607&gt;(ROW(PLE.lastrow)-ROW(PLE.firstrow))),0,IF(OFFSET(PLE!$G$14,$M607,CK$13)="",10^12,OFFSET(PLE!$G$14,$M607,CK$13))))</f>
        <v>0</v>
      </c>
      <c r="CL607" s="182">
        <f ca="1">IF($D607&lt;&gt;"Serviço",0,IF(OR(AND(AUTOEVENTO="Manual",$M607=1),$M607&gt;(ROW(PLE.lastrow)-ROW(PLE.firstrow))),0,IF(OFFSET(PLE!$G$14,$M607,CL$13)="",10^12,OFFSET(PLE!$G$14,$M607,CL$13))))</f>
        <v>0</v>
      </c>
      <c r="CM607" s="182">
        <f ca="1">IF($D607&lt;&gt;"Serviço",0,IF(OR(AND(AUTOEVENTO="Manual",$M607=1),$M607&gt;(ROW(PLE.lastrow)-ROW(PLE.firstrow))),0,IF(OFFSET(PLE!$G$14,$M607,CM$13)="",10^12,OFFSET(PLE!$G$14,$M607,CM$13))))</f>
        <v>0</v>
      </c>
    </row>
    <row r="608" spans="1:91" ht="38.25" x14ac:dyDescent="0.2">
      <c r="A608" s="7" t="str">
        <f t="shared" ca="1" si="18"/>
        <v>592</v>
      </c>
      <c r="B608" s="7" t="str">
        <f ca="1">OFFSET(ORÇAMENTO!C$15,ROW(B608)-ROW(B$15),0)</f>
        <v>S</v>
      </c>
      <c r="C608" s="7" t="str">
        <f ca="1">OFFSET(ORÇAMENTO!L$15,ROW(C608)-ROW(C$15),0)</f>
        <v/>
      </c>
      <c r="D608" s="118" t="str">
        <f ca="1">OFFSET(ORÇAMENTO!N$15,ROW(D608)-ROW(D$15),0)</f>
        <v>Serviço</v>
      </c>
      <c r="E608" s="119" t="str">
        <f ca="1">OFFSET(ORÇAMENTO!O$15,ROW(E608)-ROW(E$15),0)</f>
        <v>-</v>
      </c>
      <c r="F608" s="172" t="str">
        <f ca="1">OFFSET(ORÇAMENTO!R$15,ROW(F608)-ROW(F$15),0)</f>
        <v>(abra o arquivo 'Referência 06-2024.xlsm)</v>
      </c>
      <c r="G608" s="173" t="str">
        <f ca="1">IF($D608&lt;&gt;"Serviço","",OFFSET(ORÇAMENTO!S$15,ROW(G608)-ROW(G$15),0))</f>
        <v>-</v>
      </c>
      <c r="H608" s="124">
        <f ca="1">IF($D608&lt;&gt;"Serviço",0,IF(ACOMPANHAMENTO="BM",ROUND(OFFSET(ORÇAMENTO!AJ$15,ROW(H608)-ROW(H$15),0),15-13*ORÇAMENTO!$AF$7),SUMPRODUCT(($Q$12:$AI$12&lt;&gt;"")*ROUND($Q608:$AI608,15-13*ORÇAMENTO!$AF$7))))</f>
        <v>22.6</v>
      </c>
      <c r="I608" s="561" t="s">
        <v>1107</v>
      </c>
      <c r="K608" s="174"/>
      <c r="L608" s="175" t="s">
        <v>255</v>
      </c>
      <c r="M608" s="176">
        <f ca="1">IF($D608&lt;&gt;"Serviço","",IF(AUTOEVENTO="manual",$A608,IF(ISERROR(MATCH($A608,$A$15:OFFSET($A608,-1,0),0)),MAX($M$15:OFFSET(M608,-1,0))+1,INDEX($M$15:OFFSET(M608,-1,0),MATCH($A608,$A$15:OFFSET($A608,-1,0),0)))))</f>
        <v>63</v>
      </c>
      <c r="N608" s="177" t="str">
        <f ca="1">IF($D608&lt;&gt;"Serviço","",IF(AUTOEVENTO="Manual",IF($A608=0,"&lt;-- defina o número do agrupador",OFFSET(EVENTOS!$D$14,$A608,0)),OFFSET($F$15,$A608,0)))</f>
        <v>INSTALAÇÕES DE CLIMATIZAÇÃO - DUTOS</v>
      </c>
      <c r="O608" s="178"/>
      <c r="Q608" s="178">
        <v>22.6</v>
      </c>
      <c r="R608" s="179"/>
      <c r="S608" s="179"/>
      <c r="T608" s="179"/>
      <c r="U608" s="179"/>
      <c r="V608" s="179"/>
      <c r="W608" s="179"/>
      <c r="X608" s="179"/>
      <c r="Y608" s="179"/>
      <c r="Z608" s="180"/>
      <c r="AA608" s="179"/>
      <c r="AB608" s="179"/>
      <c r="AC608" s="179"/>
      <c r="AD608" s="179"/>
      <c r="AE608" s="179"/>
      <c r="AF608" s="179"/>
      <c r="AG608" s="179"/>
      <c r="AH608" s="180"/>
      <c r="AJ608" s="544">
        <f ca="1">IF(AND($D608="Serviço",AJ$12&lt;&gt;0,$H608&gt;0,OR(AUTOEVENTO&lt;&gt;"manual",$M608&lt;&gt;1)),
IF(Import.TipoArredondamento&lt;&gt;"TransfereGOV",
ROUND(OFFSET($P608,0,AJ$13),15-13*ORÇAMENTO!$AF$7)/$H608*OFFSET(ORÇAMENTO!$X$15,ROW(AJ608)-ROW(AJ$15),0),
ROUND(ROUND(OFFSET($P608,0,AJ$13),15-13*ORÇAMENTO!$AF$7)*OFFSET(ORÇAMENTO!$W$15,ROW(AJ608)-ROW(AJ$15),0),15-13*ORÇAMENTO!$AF$11)),0)</f>
        <v>0</v>
      </c>
      <c r="AK608" s="545">
        <f ca="1">IF(AND($D608="Serviço",AK$12&lt;&gt;0,$H608&gt;0,OR(AUTOEVENTO&lt;&gt;"manual",$M608&lt;&gt;1)),
IF(Import.TipoArredondamento&lt;&gt;"TransfereGOV",
ROUND(OFFSET($P608,0,AK$13),15-13*ORÇAMENTO!$AF$7)/$H608*OFFSET(ORÇAMENTO!$X$15,ROW(AK608)-ROW(AK$15),0),
ROUND(ROUND(OFFSET($P608,0,AK$13),15-13*ORÇAMENTO!$AF$7)*OFFSET(ORÇAMENTO!$W$15,ROW(AK608)-ROW(AK$15),0),15-13*ORÇAMENTO!$AF$11)),0)</f>
        <v>0</v>
      </c>
      <c r="AL608" s="545">
        <f ca="1">IF(AND($D608="Serviço",AL$12&lt;&gt;0,$H608&gt;0,OR(AUTOEVENTO&lt;&gt;"manual",$M608&lt;&gt;1)),
IF(Import.TipoArredondamento&lt;&gt;"TransfereGOV",
ROUND(OFFSET($P608,0,AL$13),15-13*ORÇAMENTO!$AF$7)/$H608*OFFSET(ORÇAMENTO!$X$15,ROW(AL608)-ROW(AL$15),0),
ROUND(ROUND(OFFSET($P608,0,AL$13),15-13*ORÇAMENTO!$AF$7)*OFFSET(ORÇAMENTO!$W$15,ROW(AL608)-ROW(AL$15),0),15-13*ORÇAMENTO!$AF$11)),0)</f>
        <v>0</v>
      </c>
      <c r="AM608" s="545">
        <f ca="1">IF(AND($D608="Serviço",AM$12&lt;&gt;0,$H608&gt;0,OR(AUTOEVENTO&lt;&gt;"manual",$M608&lt;&gt;1)),
IF(Import.TipoArredondamento&lt;&gt;"TransfereGOV",
ROUND(OFFSET($P608,0,AM$13),15-13*ORÇAMENTO!$AF$7)/$H608*OFFSET(ORÇAMENTO!$X$15,ROW(AM608)-ROW(AM$15),0),
ROUND(ROUND(OFFSET($P608,0,AM$13),15-13*ORÇAMENTO!$AF$7)*OFFSET(ORÇAMENTO!$W$15,ROW(AM608)-ROW(AM$15),0),15-13*ORÇAMENTO!$AF$11)),0)</f>
        <v>0</v>
      </c>
      <c r="AN608" s="545">
        <f ca="1">IF(AND($D608="Serviço",AN$12&lt;&gt;0,$H608&gt;0,OR(AUTOEVENTO&lt;&gt;"manual",$M608&lt;&gt;1)),
IF(Import.TipoArredondamento&lt;&gt;"TransfereGOV",
ROUND(OFFSET($P608,0,AN$13),15-13*ORÇAMENTO!$AF$7)/$H608*OFFSET(ORÇAMENTO!$X$15,ROW(AN608)-ROW(AN$15),0),
ROUND(ROUND(OFFSET($P608,0,AN$13),15-13*ORÇAMENTO!$AF$7)*OFFSET(ORÇAMENTO!$W$15,ROW(AN608)-ROW(AN$15),0),15-13*ORÇAMENTO!$AF$11)),0)</f>
        <v>0</v>
      </c>
      <c r="AO608" s="545">
        <f ca="1">IF(AND($D608="Serviço",AO$12&lt;&gt;0,$H608&gt;0,OR(AUTOEVENTO&lt;&gt;"manual",$M608&lt;&gt;1)),
IF(Import.TipoArredondamento&lt;&gt;"TransfereGOV",
ROUND(OFFSET($P608,0,AO$13),15-13*ORÇAMENTO!$AF$7)/$H608*OFFSET(ORÇAMENTO!$X$15,ROW(AO608)-ROW(AO$15),0),
ROUND(ROUND(OFFSET($P608,0,AO$13),15-13*ORÇAMENTO!$AF$7)*OFFSET(ORÇAMENTO!$W$15,ROW(AO608)-ROW(AO$15),0),15-13*ORÇAMENTO!$AF$11)),0)</f>
        <v>0</v>
      </c>
      <c r="AP608" s="545">
        <f ca="1">IF(AND($D608="Serviço",AP$12&lt;&gt;0,$H608&gt;0,OR(AUTOEVENTO&lt;&gt;"manual",$M608&lt;&gt;1)),
IF(Import.TipoArredondamento&lt;&gt;"TransfereGOV",
ROUND(OFFSET($P608,0,AP$13),15-13*ORÇAMENTO!$AF$7)/$H608*OFFSET(ORÇAMENTO!$X$15,ROW(AP608)-ROW(AP$15),0),
ROUND(ROUND(OFFSET($P608,0,AP$13),15-13*ORÇAMENTO!$AF$7)*OFFSET(ORÇAMENTO!$W$15,ROW(AP608)-ROW(AP$15),0),15-13*ORÇAMENTO!$AF$11)),0)</f>
        <v>0</v>
      </c>
      <c r="AQ608" s="545">
        <f ca="1">IF(AND($D608="Serviço",AQ$12&lt;&gt;0,$H608&gt;0,OR(AUTOEVENTO&lt;&gt;"manual",$M608&lt;&gt;1)),
IF(Import.TipoArredondamento&lt;&gt;"TransfereGOV",
ROUND(OFFSET($P608,0,AQ$13),15-13*ORÇAMENTO!$AF$7)/$H608*OFFSET(ORÇAMENTO!$X$15,ROW(AQ608)-ROW(AQ$15),0),
ROUND(ROUND(OFFSET($P608,0,AQ$13),15-13*ORÇAMENTO!$AF$7)*OFFSET(ORÇAMENTO!$W$15,ROW(AQ608)-ROW(AQ$15),0),15-13*ORÇAMENTO!$AF$11)),0)</f>
        <v>0</v>
      </c>
      <c r="AR608" s="545">
        <f ca="1">IF(AND($D608="Serviço",AR$12&lt;&gt;0,$H608&gt;0,OR(AUTOEVENTO&lt;&gt;"manual",$M608&lt;&gt;1)),
IF(Import.TipoArredondamento&lt;&gt;"TransfereGOV",
ROUND(OFFSET($P608,0,AR$13),15-13*ORÇAMENTO!$AF$7)/$H608*OFFSET(ORÇAMENTO!$X$15,ROW(AR608)-ROW(AR$15),0),
ROUND(ROUND(OFFSET($P608,0,AR$13),15-13*ORÇAMENTO!$AF$7)*OFFSET(ORÇAMENTO!$W$15,ROW(AR608)-ROW(AR$15),0),15-13*ORÇAMENTO!$AF$11)),0)</f>
        <v>0</v>
      </c>
      <c r="AS608" s="546">
        <f ca="1">IF(AND($D608="Serviço",AS$12&lt;&gt;0,$H608&gt;0,OR(AUTOEVENTO&lt;&gt;"manual",$M608&lt;&gt;1)),
IF(Import.TipoArredondamento&lt;&gt;"TransfereGOV",
ROUND(OFFSET($P608,0,AS$13),15-13*ORÇAMENTO!$AF$7)/$H608*OFFSET(ORÇAMENTO!$X$15,ROW(AS608)-ROW(AS$15),0),
ROUND(ROUND(OFFSET($P608,0,AS$13),15-13*ORÇAMENTO!$AF$7)*OFFSET(ORÇAMENTO!$W$15,ROW(AS608)-ROW(AS$15),0),15-13*ORÇAMENTO!$AF$11)),0)</f>
        <v>0</v>
      </c>
      <c r="AT608" s="545">
        <f ca="1">IF(AND($D608="Serviço",AT$12&lt;&gt;0,$H608&gt;0,OR(AUTOEVENTO&lt;&gt;"manual",$M608&lt;&gt;1)),
IF(Import.TipoArredondamento&lt;&gt;"TransfereGOV",
ROUND(OFFSET($P608,0,AT$13),15-13*ORÇAMENTO!$AF$7)/$H608*OFFSET(ORÇAMENTO!$X$15,ROW(AT608)-ROW(AT$15),0),
ROUND(ROUND(OFFSET($P608,0,AT$13),15-13*ORÇAMENTO!$AF$7)*OFFSET(ORÇAMENTO!$W$15,ROW(AT608)-ROW(AT$15),0),15-13*ORÇAMENTO!$AF$11)),0)</f>
        <v>0</v>
      </c>
      <c r="AU608" s="545">
        <f ca="1">IF(AND($D608="Serviço",AU$12&lt;&gt;0,$H608&gt;0,OR(AUTOEVENTO&lt;&gt;"manual",$M608&lt;&gt;1)),
IF(Import.TipoArredondamento&lt;&gt;"TransfereGOV",
ROUND(OFFSET($P608,0,AU$13),15-13*ORÇAMENTO!$AF$7)/$H608*OFFSET(ORÇAMENTO!$X$15,ROW(AU608)-ROW(AU$15),0),
ROUND(ROUND(OFFSET($P608,0,AU$13),15-13*ORÇAMENTO!$AF$7)*OFFSET(ORÇAMENTO!$W$15,ROW(AU608)-ROW(AU$15),0),15-13*ORÇAMENTO!$AF$11)),0)</f>
        <v>0</v>
      </c>
      <c r="AV608" s="545">
        <f ca="1">IF(AND($D608="Serviço",AV$12&lt;&gt;0,$H608&gt;0,OR(AUTOEVENTO&lt;&gt;"manual",$M608&lt;&gt;1)),
IF(Import.TipoArredondamento&lt;&gt;"TransfereGOV",
ROUND(OFFSET($P608,0,AV$13),15-13*ORÇAMENTO!$AF$7)/$H608*OFFSET(ORÇAMENTO!$X$15,ROW(AV608)-ROW(AV$15),0),
ROUND(ROUND(OFFSET($P608,0,AV$13),15-13*ORÇAMENTO!$AF$7)*OFFSET(ORÇAMENTO!$W$15,ROW(AV608)-ROW(AV$15),0),15-13*ORÇAMENTO!$AF$11)),0)</f>
        <v>0</v>
      </c>
      <c r="AW608" s="545">
        <f ca="1">IF(AND($D608="Serviço",AW$12&lt;&gt;0,$H608&gt;0,OR(AUTOEVENTO&lt;&gt;"manual",$M608&lt;&gt;1)),
IF(Import.TipoArredondamento&lt;&gt;"TransfereGOV",
ROUND(OFFSET($P608,0,AW$13),15-13*ORÇAMENTO!$AF$7)/$H608*OFFSET(ORÇAMENTO!$X$15,ROW(AW608)-ROW(AW$15),0),
ROUND(ROUND(OFFSET($P608,0,AW$13),15-13*ORÇAMENTO!$AF$7)*OFFSET(ORÇAMENTO!$W$15,ROW(AW608)-ROW(AW$15),0),15-13*ORÇAMENTO!$AF$11)),0)</f>
        <v>0</v>
      </c>
      <c r="AX608" s="545">
        <f ca="1">IF(AND($D608="Serviço",AX$12&lt;&gt;0,$H608&gt;0,OR(AUTOEVENTO&lt;&gt;"manual",$M608&lt;&gt;1)),
IF(Import.TipoArredondamento&lt;&gt;"TransfereGOV",
ROUND(OFFSET($P608,0,AX$13),15-13*ORÇAMENTO!$AF$7)/$H608*OFFSET(ORÇAMENTO!$X$15,ROW(AX608)-ROW(AX$15),0),
ROUND(ROUND(OFFSET($P608,0,AX$13),15-13*ORÇAMENTO!$AF$7)*OFFSET(ORÇAMENTO!$W$15,ROW(AX608)-ROW(AX$15),0),15-13*ORÇAMENTO!$AF$11)),0)</f>
        <v>0</v>
      </c>
      <c r="AY608" s="545">
        <f ca="1">IF(AND($D608="Serviço",AY$12&lt;&gt;0,$H608&gt;0,OR(AUTOEVENTO&lt;&gt;"manual",$M608&lt;&gt;1)),
IF(Import.TipoArredondamento&lt;&gt;"TransfereGOV",
ROUND(OFFSET($P608,0,AY$13),15-13*ORÇAMENTO!$AF$7)/$H608*OFFSET(ORÇAMENTO!$X$15,ROW(AY608)-ROW(AY$15),0),
ROUND(ROUND(OFFSET($P608,0,AY$13),15-13*ORÇAMENTO!$AF$7)*OFFSET(ORÇAMENTO!$W$15,ROW(AY608)-ROW(AY$15),0),15-13*ORÇAMENTO!$AF$11)),0)</f>
        <v>0</v>
      </c>
      <c r="AZ608" s="545">
        <f ca="1">IF(AND($D608="Serviço",AZ$12&lt;&gt;0,$H608&gt;0,OR(AUTOEVENTO&lt;&gt;"manual",$M608&lt;&gt;1)),
IF(Import.TipoArredondamento&lt;&gt;"TransfereGOV",
ROUND(OFFSET($P608,0,AZ$13),15-13*ORÇAMENTO!$AF$7)/$H608*OFFSET(ORÇAMENTO!$X$15,ROW(AZ608)-ROW(AZ$15),0),
ROUND(ROUND(OFFSET($P608,0,AZ$13),15-13*ORÇAMENTO!$AF$7)*OFFSET(ORÇAMENTO!$W$15,ROW(AZ608)-ROW(AZ$15),0),15-13*ORÇAMENTO!$AF$11)),0)</f>
        <v>0</v>
      </c>
      <c r="BA608" s="546">
        <f ca="1">IF(AND($D608="Serviço",BA$12&lt;&gt;0,$H608&gt;0,OR(AUTOEVENTO&lt;&gt;"manual",$M608&lt;&gt;1)),
IF(Import.TipoArredondamento&lt;&gt;"TransfereGOV",
ROUND(OFFSET($P608,0,BA$13),15-13*ORÇAMENTO!$AF$7)/$H608*OFFSET(ORÇAMENTO!$X$15,ROW(BA608)-ROW(BA$15),0),
ROUND(ROUND(OFFSET($P608,0,BA$13),15-13*ORÇAMENTO!$AF$7)*OFFSET(ORÇAMENTO!$W$15,ROW(BA608)-ROW(BA$15),0),15-13*ORÇAMENTO!$AF$11)),0)</f>
        <v>0</v>
      </c>
      <c r="BC608" s="181">
        <f ca="1">IF($D608&lt;&gt;"Serviço",0,IF(AND(AUTOEVENTO="Manual",$M608=1),0,IF(OFFSET(CRONOPLE!$F$14,$M608,BC$13)="",10^12,OFFSET(CRONOPLE!$F$14,$M608,BC$13))))</f>
        <v>11</v>
      </c>
      <c r="BD608" s="181">
        <f ca="1">IF($D608&lt;&gt;"Serviço",0,IF(AND(AUTOEVENTO="Manual",$M608=1),0,IF(OFFSET(CRONOPLE!$F$14,$M608,BD$13)="",10^12,OFFSET(CRONOPLE!$F$14,$M608,BD$13))))</f>
        <v>1000000000000</v>
      </c>
      <c r="BE608" s="181">
        <f ca="1">IF($D608&lt;&gt;"Serviço",0,IF(AND(AUTOEVENTO="Manual",$M608=1),0,IF(OFFSET(CRONOPLE!$F$14,$M608,BE$13)="",10^12,OFFSET(CRONOPLE!$F$14,$M608,BE$13))))</f>
        <v>1000000000000</v>
      </c>
      <c r="BF608" s="181">
        <f ca="1">IF($D608&lt;&gt;"Serviço",0,IF(AND(AUTOEVENTO="Manual",$M608=1),0,IF(OFFSET(CRONOPLE!$F$14,$M608,BF$13)="",10^12,OFFSET(CRONOPLE!$F$14,$M608,BF$13))))</f>
        <v>1000000000000</v>
      </c>
      <c r="BG608" s="181">
        <f ca="1">IF($D608&lt;&gt;"Serviço",0,IF(AND(AUTOEVENTO="Manual",$M608=1),0,IF(OFFSET(CRONOPLE!$F$14,$M608,BG$13)="",10^12,OFFSET(CRONOPLE!$F$14,$M608,BG$13))))</f>
        <v>1000000000000</v>
      </c>
      <c r="BH608" s="181">
        <f ca="1">IF($D608&lt;&gt;"Serviço",0,IF(AND(AUTOEVENTO="Manual",$M608=1),0,IF(OFFSET(CRONOPLE!$F$14,$M608,BH$13)="",10^12,OFFSET(CRONOPLE!$F$14,$M608,BH$13))))</f>
        <v>1000000000000</v>
      </c>
      <c r="BI608" s="181">
        <f ca="1">IF($D608&lt;&gt;"Serviço",0,IF(AND(AUTOEVENTO="Manual",$M608=1),0,IF(OFFSET(CRONOPLE!$F$14,$M608,BI$13)="",10^12,OFFSET(CRONOPLE!$F$14,$M608,BI$13))))</f>
        <v>1000000000000</v>
      </c>
      <c r="BJ608" s="181">
        <f ca="1">IF($D608&lt;&gt;"Serviço",0,IF(AND(AUTOEVENTO="Manual",$M608=1),0,IF(OFFSET(CRONOPLE!$F$14,$M608,BJ$13)="",10^12,OFFSET(CRONOPLE!$F$14,$M608,BJ$13))))</f>
        <v>1000000000000</v>
      </c>
      <c r="BK608" s="181">
        <f ca="1">IF($D608&lt;&gt;"Serviço",0,IF(AND(AUTOEVENTO="Manual",$M608=1),0,IF(OFFSET(CRONOPLE!$F$14,$M608,BK$13)="",10^12,OFFSET(CRONOPLE!$F$14,$M608,BK$13))))</f>
        <v>1000000000000</v>
      </c>
      <c r="BL608" s="181">
        <f ca="1">IF($D608&lt;&gt;"Serviço",0,IF(AND(AUTOEVENTO="Manual",$M608=1),0,IF(OFFSET(CRONOPLE!$F$14,$M608,BL$13)="",10^12,OFFSET(CRONOPLE!$F$14,$M608,BL$13))))</f>
        <v>1000000000000</v>
      </c>
      <c r="BM608" s="181">
        <f ca="1">IF($D608&lt;&gt;"Serviço",0,IF(AND(AUTOEVENTO="Manual",$M608=1),0,IF(OFFSET(CRONOPLE!$F$14,$M608,BM$13)="",10^12,OFFSET(CRONOPLE!$F$14,$M608,BM$13))))</f>
        <v>1000000000000</v>
      </c>
      <c r="BN608" s="181">
        <f ca="1">IF($D608&lt;&gt;"Serviço",0,IF(AND(AUTOEVENTO="Manual",$M608=1),0,IF(OFFSET(CRONOPLE!$F$14,$M608,BN$13)="",10^12,OFFSET(CRONOPLE!$F$14,$M608,BN$13))))</f>
        <v>1000000000000</v>
      </c>
      <c r="BO608" s="181">
        <f ca="1">IF($D608&lt;&gt;"Serviço",0,IF(AND(AUTOEVENTO="Manual",$M608=1),0,IF(OFFSET(CRONOPLE!$F$14,$M608,BO$13)="",10^12,OFFSET(CRONOPLE!$F$14,$M608,BO$13))))</f>
        <v>1000000000000</v>
      </c>
      <c r="BP608" s="181">
        <f ca="1">IF($D608&lt;&gt;"Serviço",0,IF(AND(AUTOEVENTO="Manual",$M608=1),0,IF(OFFSET(CRONOPLE!$F$14,$M608,BP$13)="",10^12,OFFSET(CRONOPLE!$F$14,$M608,BP$13))))</f>
        <v>1000000000000</v>
      </c>
      <c r="BQ608" s="181">
        <f ca="1">IF($D608&lt;&gt;"Serviço",0,IF(AND(AUTOEVENTO="Manual",$M608=1),0,IF(OFFSET(CRONOPLE!$F$14,$M608,BQ$13)="",10^12,OFFSET(CRONOPLE!$F$14,$M608,BQ$13))))</f>
        <v>1000000000000</v>
      </c>
      <c r="BR608" s="181">
        <f ca="1">IF($D608&lt;&gt;"Serviço",0,IF(AND(AUTOEVENTO="Manual",$M608=1),0,IF(OFFSET(CRONOPLE!$F$14,$M608,BR$13)="",10^12,OFFSET(CRONOPLE!$F$14,$M608,BR$13))))</f>
        <v>1000000000000</v>
      </c>
      <c r="BS608" s="181">
        <f ca="1">IF($D608&lt;&gt;"Serviço",0,IF(AND(AUTOEVENTO="Manual",$M608=1),0,IF(OFFSET(CRONOPLE!$F$14,$M608,BS$13)="",10^12,OFFSET(CRONOPLE!$F$14,$M608,BS$13))))</f>
        <v>1000000000000</v>
      </c>
      <c r="BT608" s="181">
        <f ca="1">IF($D608&lt;&gt;"Serviço",0,IF(AND(AUTOEVENTO="Manual",$M608=1),0,IF(OFFSET(CRONOPLE!$F$14,$M608,BT$13)="",10^12,OFFSET(CRONOPLE!$F$14,$M608,BT$13))))</f>
        <v>1000000000000</v>
      </c>
      <c r="BV608" s="182">
        <f ca="1">IF($D608&lt;&gt;"Serviço",0,IF(OR(AND(AUTOEVENTO="Manual",$M608=1),$M608&gt;(ROW(PLE.lastrow)-ROW(PLE.firstrow))),0,IF(OFFSET(PLE!$G$14,$M608,BV$13)="",10^12,OFFSET(PLE!$G$14,$M608,BV$13))))</f>
        <v>1000000000000</v>
      </c>
      <c r="BW608" s="182">
        <f ca="1">IF($D608&lt;&gt;"Serviço",0,IF(OR(AND(AUTOEVENTO="Manual",$M608=1),$M608&gt;(ROW(PLE.lastrow)-ROW(PLE.firstrow))),0,IF(OFFSET(PLE!$G$14,$M608,BW$13)="",10^12,OFFSET(PLE!$G$14,$M608,BW$13))))</f>
        <v>1000000000000</v>
      </c>
      <c r="BX608" s="182">
        <f ca="1">IF($D608&lt;&gt;"Serviço",0,IF(OR(AND(AUTOEVENTO="Manual",$M608=1),$M608&gt;(ROW(PLE.lastrow)-ROW(PLE.firstrow))),0,IF(OFFSET(PLE!$G$14,$M608,BX$13)="",10^12,OFFSET(PLE!$G$14,$M608,BX$13))))</f>
        <v>1000000000000</v>
      </c>
      <c r="BY608" s="182">
        <f ca="1">IF($D608&lt;&gt;"Serviço",0,IF(OR(AND(AUTOEVENTO="Manual",$M608=1),$M608&gt;(ROW(PLE.lastrow)-ROW(PLE.firstrow))),0,IF(OFFSET(PLE!$G$14,$M608,BY$13)="",10^12,OFFSET(PLE!$G$14,$M608,BY$13))))</f>
        <v>1000000000000</v>
      </c>
      <c r="BZ608" s="182">
        <f ca="1">IF($D608&lt;&gt;"Serviço",0,IF(OR(AND(AUTOEVENTO="Manual",$M608=1),$M608&gt;(ROW(PLE.lastrow)-ROW(PLE.firstrow))),0,IF(OFFSET(PLE!$G$14,$M608,BZ$13)="",10^12,OFFSET(PLE!$G$14,$M608,BZ$13))))</f>
        <v>1000000000000</v>
      </c>
      <c r="CA608" s="182">
        <f ca="1">IF($D608&lt;&gt;"Serviço",0,IF(OR(AND(AUTOEVENTO="Manual",$M608=1),$M608&gt;(ROW(PLE.lastrow)-ROW(PLE.firstrow))),0,IF(OFFSET(PLE!$G$14,$M608,CA$13)="",10^12,OFFSET(PLE!$G$14,$M608,CA$13))))</f>
        <v>1000000000000</v>
      </c>
      <c r="CB608" s="182">
        <f ca="1">IF($D608&lt;&gt;"Serviço",0,IF(OR(AND(AUTOEVENTO="Manual",$M608=1),$M608&gt;(ROW(PLE.lastrow)-ROW(PLE.firstrow))),0,IF(OFFSET(PLE!$G$14,$M608,CB$13)="",10^12,OFFSET(PLE!$G$14,$M608,CB$13))))</f>
        <v>1000000000000</v>
      </c>
      <c r="CC608" s="182">
        <f ca="1">IF($D608&lt;&gt;"Serviço",0,IF(OR(AND(AUTOEVENTO="Manual",$M608=1),$M608&gt;(ROW(PLE.lastrow)-ROW(PLE.firstrow))),0,IF(OFFSET(PLE!$G$14,$M608,CC$13)="",10^12,OFFSET(PLE!$G$14,$M608,CC$13))))</f>
        <v>1000000000000</v>
      </c>
      <c r="CD608" s="182">
        <f ca="1">IF($D608&lt;&gt;"Serviço",0,IF(OR(AND(AUTOEVENTO="Manual",$M608=1),$M608&gt;(ROW(PLE.lastrow)-ROW(PLE.firstrow))),0,IF(OFFSET(PLE!$G$14,$M608,CD$13)="",10^12,OFFSET(PLE!$G$14,$M608,CD$13))))</f>
        <v>1000000000000</v>
      </c>
      <c r="CE608" s="182">
        <f ca="1">IF($D608&lt;&gt;"Serviço",0,IF(OR(AND(AUTOEVENTO="Manual",$M608=1),$M608&gt;(ROW(PLE.lastrow)-ROW(PLE.firstrow))),0,IF(OFFSET(PLE!$G$14,$M608,CE$13)="",10^12,OFFSET(PLE!$G$14,$M608,CE$13))))</f>
        <v>1000000000000</v>
      </c>
      <c r="CF608" s="182">
        <f ca="1">IF($D608&lt;&gt;"Serviço",0,IF(OR(AND(AUTOEVENTO="Manual",$M608=1),$M608&gt;(ROW(PLE.lastrow)-ROW(PLE.firstrow))),0,IF(OFFSET(PLE!$G$14,$M608,CF$13)="",10^12,OFFSET(PLE!$G$14,$M608,CF$13))))</f>
        <v>1000000000000</v>
      </c>
      <c r="CG608" s="182">
        <f ca="1">IF($D608&lt;&gt;"Serviço",0,IF(OR(AND(AUTOEVENTO="Manual",$M608=1),$M608&gt;(ROW(PLE.lastrow)-ROW(PLE.firstrow))),0,IF(OFFSET(PLE!$G$14,$M608,CG$13)="",10^12,OFFSET(PLE!$G$14,$M608,CG$13))))</f>
        <v>1000000000000</v>
      </c>
      <c r="CH608" s="182">
        <f ca="1">IF($D608&lt;&gt;"Serviço",0,IF(OR(AND(AUTOEVENTO="Manual",$M608=1),$M608&gt;(ROW(PLE.lastrow)-ROW(PLE.firstrow))),0,IF(OFFSET(PLE!$G$14,$M608,CH$13)="",10^12,OFFSET(PLE!$G$14,$M608,CH$13))))</f>
        <v>1000000000000</v>
      </c>
      <c r="CI608" s="182">
        <f ca="1">IF($D608&lt;&gt;"Serviço",0,IF(OR(AND(AUTOEVENTO="Manual",$M608=1),$M608&gt;(ROW(PLE.lastrow)-ROW(PLE.firstrow))),0,IF(OFFSET(PLE!$G$14,$M608,CI$13)="",10^12,OFFSET(PLE!$G$14,$M608,CI$13))))</f>
        <v>1000000000000</v>
      </c>
      <c r="CJ608" s="182">
        <f ca="1">IF($D608&lt;&gt;"Serviço",0,IF(OR(AND(AUTOEVENTO="Manual",$M608=1),$M608&gt;(ROW(PLE.lastrow)-ROW(PLE.firstrow))),0,IF(OFFSET(PLE!$G$14,$M608,CJ$13)="",10^12,OFFSET(PLE!$G$14,$M608,CJ$13))))</f>
        <v>1000000000000</v>
      </c>
      <c r="CK608" s="182">
        <f ca="1">IF($D608&lt;&gt;"Serviço",0,IF(OR(AND(AUTOEVENTO="Manual",$M608=1),$M608&gt;(ROW(PLE.lastrow)-ROW(PLE.firstrow))),0,IF(OFFSET(PLE!$G$14,$M608,CK$13)="",10^12,OFFSET(PLE!$G$14,$M608,CK$13))))</f>
        <v>1000000000000</v>
      </c>
      <c r="CL608" s="182">
        <f ca="1">IF($D608&lt;&gt;"Serviço",0,IF(OR(AND(AUTOEVENTO="Manual",$M608=1),$M608&gt;(ROW(PLE.lastrow)-ROW(PLE.firstrow))),0,IF(OFFSET(PLE!$G$14,$M608,CL$13)="",10^12,OFFSET(PLE!$G$14,$M608,CL$13))))</f>
        <v>1000000000000</v>
      </c>
      <c r="CM608" s="182">
        <f ca="1">IF($D608&lt;&gt;"Serviço",0,IF(OR(AND(AUTOEVENTO="Manual",$M608=1),$M608&gt;(ROW(PLE.lastrow)-ROW(PLE.firstrow))),0,IF(OFFSET(PLE!$G$14,$M608,CM$13)="",10^12,OFFSET(PLE!$G$14,$M608,CM$13))))</f>
        <v>1000000000000</v>
      </c>
    </row>
    <row r="609" spans="1:91" ht="38.25" x14ac:dyDescent="0.2">
      <c r="A609" s="7" t="str">
        <f t="shared" ca="1" si="18"/>
        <v>592</v>
      </c>
      <c r="B609" s="7" t="str">
        <f ca="1">OFFSET(ORÇAMENTO!C$15,ROW(B609)-ROW(B$15),0)</f>
        <v>S</v>
      </c>
      <c r="C609" s="7" t="str">
        <f ca="1">OFFSET(ORÇAMENTO!L$15,ROW(C609)-ROW(C$15),0)</f>
        <v/>
      </c>
      <c r="D609" s="118" t="str">
        <f ca="1">OFFSET(ORÇAMENTO!N$15,ROW(D609)-ROW(D$15),0)</f>
        <v>Serviço</v>
      </c>
      <c r="E609" s="119" t="str">
        <f ca="1">OFFSET(ORÇAMENTO!O$15,ROW(E609)-ROW(E$15),0)</f>
        <v>-</v>
      </c>
      <c r="F609" s="172" t="str">
        <f ca="1">OFFSET(ORÇAMENTO!R$15,ROW(F609)-ROW(F$15),0)</f>
        <v>(abra o arquivo 'Referência 06-2024.xlsm)</v>
      </c>
      <c r="G609" s="173" t="str">
        <f ca="1">IF($D609&lt;&gt;"Serviço","",OFFSET(ORÇAMENTO!S$15,ROW(G609)-ROW(G$15),0))</f>
        <v>-</v>
      </c>
      <c r="H609" s="124">
        <f ca="1">IF($D609&lt;&gt;"Serviço",0,IF(ACOMPANHAMENTO="BM",ROUND(OFFSET(ORÇAMENTO!AJ$15,ROW(H609)-ROW(H$15),0),15-13*ORÇAMENTO!$AF$7),SUMPRODUCT(($Q$12:$AI$12&lt;&gt;"")*ROUND($Q609:$AI609,15-13*ORÇAMENTO!$AF$7))))</f>
        <v>132.4</v>
      </c>
      <c r="I609" s="561" t="s">
        <v>1107</v>
      </c>
      <c r="K609" s="174"/>
      <c r="L609" s="175" t="s">
        <v>255</v>
      </c>
      <c r="M609" s="176">
        <f ca="1">IF($D609&lt;&gt;"Serviço","",IF(AUTOEVENTO="manual",$A609,IF(ISERROR(MATCH($A609,$A$15:OFFSET($A609,-1,0),0)),MAX($M$15:OFFSET(M609,-1,0))+1,INDEX($M$15:OFFSET(M609,-1,0),MATCH($A609,$A$15:OFFSET($A609,-1,0),0)))))</f>
        <v>63</v>
      </c>
      <c r="N609" s="177" t="str">
        <f ca="1">IF($D609&lt;&gt;"Serviço","",IF(AUTOEVENTO="Manual",IF($A609=0,"&lt;-- defina o número do agrupador",OFFSET(EVENTOS!$D$14,$A609,0)),OFFSET($F$15,$A609,0)))</f>
        <v>INSTALAÇÕES DE CLIMATIZAÇÃO - DUTOS</v>
      </c>
      <c r="O609" s="178"/>
      <c r="Q609" s="178">
        <v>132.4</v>
      </c>
      <c r="R609" s="179"/>
      <c r="S609" s="179"/>
      <c r="T609" s="179"/>
      <c r="U609" s="179"/>
      <c r="V609" s="179"/>
      <c r="W609" s="179"/>
      <c r="X609" s="179"/>
      <c r="Y609" s="179"/>
      <c r="Z609" s="180"/>
      <c r="AA609" s="179"/>
      <c r="AB609" s="179"/>
      <c r="AC609" s="179"/>
      <c r="AD609" s="179"/>
      <c r="AE609" s="179"/>
      <c r="AF609" s="179"/>
      <c r="AG609" s="179"/>
      <c r="AH609" s="180"/>
      <c r="AJ609" s="544">
        <f ca="1">IF(AND($D609="Serviço",AJ$12&lt;&gt;0,$H609&gt;0,OR(AUTOEVENTO&lt;&gt;"manual",$M609&lt;&gt;1)),
IF(Import.TipoArredondamento&lt;&gt;"TransfereGOV",
ROUND(OFFSET($P609,0,AJ$13),15-13*ORÇAMENTO!$AF$7)/$H609*OFFSET(ORÇAMENTO!$X$15,ROW(AJ609)-ROW(AJ$15),0),
ROUND(ROUND(OFFSET($P609,0,AJ$13),15-13*ORÇAMENTO!$AF$7)*OFFSET(ORÇAMENTO!$W$15,ROW(AJ609)-ROW(AJ$15),0),15-13*ORÇAMENTO!$AF$11)),0)</f>
        <v>0</v>
      </c>
      <c r="AK609" s="545">
        <f ca="1">IF(AND($D609="Serviço",AK$12&lt;&gt;0,$H609&gt;0,OR(AUTOEVENTO&lt;&gt;"manual",$M609&lt;&gt;1)),
IF(Import.TipoArredondamento&lt;&gt;"TransfereGOV",
ROUND(OFFSET($P609,0,AK$13),15-13*ORÇAMENTO!$AF$7)/$H609*OFFSET(ORÇAMENTO!$X$15,ROW(AK609)-ROW(AK$15),0),
ROUND(ROUND(OFFSET($P609,0,AK$13),15-13*ORÇAMENTO!$AF$7)*OFFSET(ORÇAMENTO!$W$15,ROW(AK609)-ROW(AK$15),0),15-13*ORÇAMENTO!$AF$11)),0)</f>
        <v>0</v>
      </c>
      <c r="AL609" s="545">
        <f ca="1">IF(AND($D609="Serviço",AL$12&lt;&gt;0,$H609&gt;0,OR(AUTOEVENTO&lt;&gt;"manual",$M609&lt;&gt;1)),
IF(Import.TipoArredondamento&lt;&gt;"TransfereGOV",
ROUND(OFFSET($P609,0,AL$13),15-13*ORÇAMENTO!$AF$7)/$H609*OFFSET(ORÇAMENTO!$X$15,ROW(AL609)-ROW(AL$15),0),
ROUND(ROUND(OFFSET($P609,0,AL$13),15-13*ORÇAMENTO!$AF$7)*OFFSET(ORÇAMENTO!$W$15,ROW(AL609)-ROW(AL$15),0),15-13*ORÇAMENTO!$AF$11)),0)</f>
        <v>0</v>
      </c>
      <c r="AM609" s="545">
        <f ca="1">IF(AND($D609="Serviço",AM$12&lt;&gt;0,$H609&gt;0,OR(AUTOEVENTO&lt;&gt;"manual",$M609&lt;&gt;1)),
IF(Import.TipoArredondamento&lt;&gt;"TransfereGOV",
ROUND(OFFSET($P609,0,AM$13),15-13*ORÇAMENTO!$AF$7)/$H609*OFFSET(ORÇAMENTO!$X$15,ROW(AM609)-ROW(AM$15),0),
ROUND(ROUND(OFFSET($P609,0,AM$13),15-13*ORÇAMENTO!$AF$7)*OFFSET(ORÇAMENTO!$W$15,ROW(AM609)-ROW(AM$15),0),15-13*ORÇAMENTO!$AF$11)),0)</f>
        <v>0</v>
      </c>
      <c r="AN609" s="545">
        <f ca="1">IF(AND($D609="Serviço",AN$12&lt;&gt;0,$H609&gt;0,OR(AUTOEVENTO&lt;&gt;"manual",$M609&lt;&gt;1)),
IF(Import.TipoArredondamento&lt;&gt;"TransfereGOV",
ROUND(OFFSET($P609,0,AN$13),15-13*ORÇAMENTO!$AF$7)/$H609*OFFSET(ORÇAMENTO!$X$15,ROW(AN609)-ROW(AN$15),0),
ROUND(ROUND(OFFSET($P609,0,AN$13),15-13*ORÇAMENTO!$AF$7)*OFFSET(ORÇAMENTO!$W$15,ROW(AN609)-ROW(AN$15),0),15-13*ORÇAMENTO!$AF$11)),0)</f>
        <v>0</v>
      </c>
      <c r="AO609" s="545">
        <f ca="1">IF(AND($D609="Serviço",AO$12&lt;&gt;0,$H609&gt;0,OR(AUTOEVENTO&lt;&gt;"manual",$M609&lt;&gt;1)),
IF(Import.TipoArredondamento&lt;&gt;"TransfereGOV",
ROUND(OFFSET($P609,0,AO$13),15-13*ORÇAMENTO!$AF$7)/$H609*OFFSET(ORÇAMENTO!$X$15,ROW(AO609)-ROW(AO$15),0),
ROUND(ROUND(OFFSET($P609,0,AO$13),15-13*ORÇAMENTO!$AF$7)*OFFSET(ORÇAMENTO!$W$15,ROW(AO609)-ROW(AO$15),0),15-13*ORÇAMENTO!$AF$11)),0)</f>
        <v>0</v>
      </c>
      <c r="AP609" s="545">
        <f ca="1">IF(AND($D609="Serviço",AP$12&lt;&gt;0,$H609&gt;0,OR(AUTOEVENTO&lt;&gt;"manual",$M609&lt;&gt;1)),
IF(Import.TipoArredondamento&lt;&gt;"TransfereGOV",
ROUND(OFFSET($P609,0,AP$13),15-13*ORÇAMENTO!$AF$7)/$H609*OFFSET(ORÇAMENTO!$X$15,ROW(AP609)-ROW(AP$15),0),
ROUND(ROUND(OFFSET($P609,0,AP$13),15-13*ORÇAMENTO!$AF$7)*OFFSET(ORÇAMENTO!$W$15,ROW(AP609)-ROW(AP$15),0),15-13*ORÇAMENTO!$AF$11)),0)</f>
        <v>0</v>
      </c>
      <c r="AQ609" s="545">
        <f ca="1">IF(AND($D609="Serviço",AQ$12&lt;&gt;0,$H609&gt;0,OR(AUTOEVENTO&lt;&gt;"manual",$M609&lt;&gt;1)),
IF(Import.TipoArredondamento&lt;&gt;"TransfereGOV",
ROUND(OFFSET($P609,0,AQ$13),15-13*ORÇAMENTO!$AF$7)/$H609*OFFSET(ORÇAMENTO!$X$15,ROW(AQ609)-ROW(AQ$15),0),
ROUND(ROUND(OFFSET($P609,0,AQ$13),15-13*ORÇAMENTO!$AF$7)*OFFSET(ORÇAMENTO!$W$15,ROW(AQ609)-ROW(AQ$15),0),15-13*ORÇAMENTO!$AF$11)),0)</f>
        <v>0</v>
      </c>
      <c r="AR609" s="545">
        <f ca="1">IF(AND($D609="Serviço",AR$12&lt;&gt;0,$H609&gt;0,OR(AUTOEVENTO&lt;&gt;"manual",$M609&lt;&gt;1)),
IF(Import.TipoArredondamento&lt;&gt;"TransfereGOV",
ROUND(OFFSET($P609,0,AR$13),15-13*ORÇAMENTO!$AF$7)/$H609*OFFSET(ORÇAMENTO!$X$15,ROW(AR609)-ROW(AR$15),0),
ROUND(ROUND(OFFSET($P609,0,AR$13),15-13*ORÇAMENTO!$AF$7)*OFFSET(ORÇAMENTO!$W$15,ROW(AR609)-ROW(AR$15),0),15-13*ORÇAMENTO!$AF$11)),0)</f>
        <v>0</v>
      </c>
      <c r="AS609" s="546">
        <f ca="1">IF(AND($D609="Serviço",AS$12&lt;&gt;0,$H609&gt;0,OR(AUTOEVENTO&lt;&gt;"manual",$M609&lt;&gt;1)),
IF(Import.TipoArredondamento&lt;&gt;"TransfereGOV",
ROUND(OFFSET($P609,0,AS$13),15-13*ORÇAMENTO!$AF$7)/$H609*OFFSET(ORÇAMENTO!$X$15,ROW(AS609)-ROW(AS$15),0),
ROUND(ROUND(OFFSET($P609,0,AS$13),15-13*ORÇAMENTO!$AF$7)*OFFSET(ORÇAMENTO!$W$15,ROW(AS609)-ROW(AS$15),0),15-13*ORÇAMENTO!$AF$11)),0)</f>
        <v>0</v>
      </c>
      <c r="AT609" s="545">
        <f ca="1">IF(AND($D609="Serviço",AT$12&lt;&gt;0,$H609&gt;0,OR(AUTOEVENTO&lt;&gt;"manual",$M609&lt;&gt;1)),
IF(Import.TipoArredondamento&lt;&gt;"TransfereGOV",
ROUND(OFFSET($P609,0,AT$13),15-13*ORÇAMENTO!$AF$7)/$H609*OFFSET(ORÇAMENTO!$X$15,ROW(AT609)-ROW(AT$15),0),
ROUND(ROUND(OFFSET($P609,0,AT$13),15-13*ORÇAMENTO!$AF$7)*OFFSET(ORÇAMENTO!$W$15,ROW(AT609)-ROW(AT$15),0),15-13*ORÇAMENTO!$AF$11)),0)</f>
        <v>0</v>
      </c>
      <c r="AU609" s="545">
        <f ca="1">IF(AND($D609="Serviço",AU$12&lt;&gt;0,$H609&gt;0,OR(AUTOEVENTO&lt;&gt;"manual",$M609&lt;&gt;1)),
IF(Import.TipoArredondamento&lt;&gt;"TransfereGOV",
ROUND(OFFSET($P609,0,AU$13),15-13*ORÇAMENTO!$AF$7)/$H609*OFFSET(ORÇAMENTO!$X$15,ROW(AU609)-ROW(AU$15),0),
ROUND(ROUND(OFFSET($P609,0,AU$13),15-13*ORÇAMENTO!$AF$7)*OFFSET(ORÇAMENTO!$W$15,ROW(AU609)-ROW(AU$15),0),15-13*ORÇAMENTO!$AF$11)),0)</f>
        <v>0</v>
      </c>
      <c r="AV609" s="545">
        <f ca="1">IF(AND($D609="Serviço",AV$12&lt;&gt;0,$H609&gt;0,OR(AUTOEVENTO&lt;&gt;"manual",$M609&lt;&gt;1)),
IF(Import.TipoArredondamento&lt;&gt;"TransfereGOV",
ROUND(OFFSET($P609,0,AV$13),15-13*ORÇAMENTO!$AF$7)/$H609*OFFSET(ORÇAMENTO!$X$15,ROW(AV609)-ROW(AV$15),0),
ROUND(ROUND(OFFSET($P609,0,AV$13),15-13*ORÇAMENTO!$AF$7)*OFFSET(ORÇAMENTO!$W$15,ROW(AV609)-ROW(AV$15),0),15-13*ORÇAMENTO!$AF$11)),0)</f>
        <v>0</v>
      </c>
      <c r="AW609" s="545">
        <f ca="1">IF(AND($D609="Serviço",AW$12&lt;&gt;0,$H609&gt;0,OR(AUTOEVENTO&lt;&gt;"manual",$M609&lt;&gt;1)),
IF(Import.TipoArredondamento&lt;&gt;"TransfereGOV",
ROUND(OFFSET($P609,0,AW$13),15-13*ORÇAMENTO!$AF$7)/$H609*OFFSET(ORÇAMENTO!$X$15,ROW(AW609)-ROW(AW$15),0),
ROUND(ROUND(OFFSET($P609,0,AW$13),15-13*ORÇAMENTO!$AF$7)*OFFSET(ORÇAMENTO!$W$15,ROW(AW609)-ROW(AW$15),0),15-13*ORÇAMENTO!$AF$11)),0)</f>
        <v>0</v>
      </c>
      <c r="AX609" s="545">
        <f ca="1">IF(AND($D609="Serviço",AX$12&lt;&gt;0,$H609&gt;0,OR(AUTOEVENTO&lt;&gt;"manual",$M609&lt;&gt;1)),
IF(Import.TipoArredondamento&lt;&gt;"TransfereGOV",
ROUND(OFFSET($P609,0,AX$13),15-13*ORÇAMENTO!$AF$7)/$H609*OFFSET(ORÇAMENTO!$X$15,ROW(AX609)-ROW(AX$15),0),
ROUND(ROUND(OFFSET($P609,0,AX$13),15-13*ORÇAMENTO!$AF$7)*OFFSET(ORÇAMENTO!$W$15,ROW(AX609)-ROW(AX$15),0),15-13*ORÇAMENTO!$AF$11)),0)</f>
        <v>0</v>
      </c>
      <c r="AY609" s="545">
        <f ca="1">IF(AND($D609="Serviço",AY$12&lt;&gt;0,$H609&gt;0,OR(AUTOEVENTO&lt;&gt;"manual",$M609&lt;&gt;1)),
IF(Import.TipoArredondamento&lt;&gt;"TransfereGOV",
ROUND(OFFSET($P609,0,AY$13),15-13*ORÇAMENTO!$AF$7)/$H609*OFFSET(ORÇAMENTO!$X$15,ROW(AY609)-ROW(AY$15),0),
ROUND(ROUND(OFFSET($P609,0,AY$13),15-13*ORÇAMENTO!$AF$7)*OFFSET(ORÇAMENTO!$W$15,ROW(AY609)-ROW(AY$15),0),15-13*ORÇAMENTO!$AF$11)),0)</f>
        <v>0</v>
      </c>
      <c r="AZ609" s="545">
        <f ca="1">IF(AND($D609="Serviço",AZ$12&lt;&gt;0,$H609&gt;0,OR(AUTOEVENTO&lt;&gt;"manual",$M609&lt;&gt;1)),
IF(Import.TipoArredondamento&lt;&gt;"TransfereGOV",
ROUND(OFFSET($P609,0,AZ$13),15-13*ORÇAMENTO!$AF$7)/$H609*OFFSET(ORÇAMENTO!$X$15,ROW(AZ609)-ROW(AZ$15),0),
ROUND(ROUND(OFFSET($P609,0,AZ$13),15-13*ORÇAMENTO!$AF$7)*OFFSET(ORÇAMENTO!$W$15,ROW(AZ609)-ROW(AZ$15),0),15-13*ORÇAMENTO!$AF$11)),0)</f>
        <v>0</v>
      </c>
      <c r="BA609" s="546">
        <f ca="1">IF(AND($D609="Serviço",BA$12&lt;&gt;0,$H609&gt;0,OR(AUTOEVENTO&lt;&gt;"manual",$M609&lt;&gt;1)),
IF(Import.TipoArredondamento&lt;&gt;"TransfereGOV",
ROUND(OFFSET($P609,0,BA$13),15-13*ORÇAMENTO!$AF$7)/$H609*OFFSET(ORÇAMENTO!$X$15,ROW(BA609)-ROW(BA$15),0),
ROUND(ROUND(OFFSET($P609,0,BA$13),15-13*ORÇAMENTO!$AF$7)*OFFSET(ORÇAMENTO!$W$15,ROW(BA609)-ROW(BA$15),0),15-13*ORÇAMENTO!$AF$11)),0)</f>
        <v>0</v>
      </c>
      <c r="BC609" s="181">
        <f ca="1">IF($D609&lt;&gt;"Serviço",0,IF(AND(AUTOEVENTO="Manual",$M609=1),0,IF(OFFSET(CRONOPLE!$F$14,$M609,BC$13)="",10^12,OFFSET(CRONOPLE!$F$14,$M609,BC$13))))</f>
        <v>11</v>
      </c>
      <c r="BD609" s="181">
        <f ca="1">IF($D609&lt;&gt;"Serviço",0,IF(AND(AUTOEVENTO="Manual",$M609=1),0,IF(OFFSET(CRONOPLE!$F$14,$M609,BD$13)="",10^12,OFFSET(CRONOPLE!$F$14,$M609,BD$13))))</f>
        <v>1000000000000</v>
      </c>
      <c r="BE609" s="181">
        <f ca="1">IF($D609&lt;&gt;"Serviço",0,IF(AND(AUTOEVENTO="Manual",$M609=1),0,IF(OFFSET(CRONOPLE!$F$14,$M609,BE$13)="",10^12,OFFSET(CRONOPLE!$F$14,$M609,BE$13))))</f>
        <v>1000000000000</v>
      </c>
      <c r="BF609" s="181">
        <f ca="1">IF($D609&lt;&gt;"Serviço",0,IF(AND(AUTOEVENTO="Manual",$M609=1),0,IF(OFFSET(CRONOPLE!$F$14,$M609,BF$13)="",10^12,OFFSET(CRONOPLE!$F$14,$M609,BF$13))))</f>
        <v>1000000000000</v>
      </c>
      <c r="BG609" s="181">
        <f ca="1">IF($D609&lt;&gt;"Serviço",0,IF(AND(AUTOEVENTO="Manual",$M609=1),0,IF(OFFSET(CRONOPLE!$F$14,$M609,BG$13)="",10^12,OFFSET(CRONOPLE!$F$14,$M609,BG$13))))</f>
        <v>1000000000000</v>
      </c>
      <c r="BH609" s="181">
        <f ca="1">IF($D609&lt;&gt;"Serviço",0,IF(AND(AUTOEVENTO="Manual",$M609=1),0,IF(OFFSET(CRONOPLE!$F$14,$M609,BH$13)="",10^12,OFFSET(CRONOPLE!$F$14,$M609,BH$13))))</f>
        <v>1000000000000</v>
      </c>
      <c r="BI609" s="181">
        <f ca="1">IF($D609&lt;&gt;"Serviço",0,IF(AND(AUTOEVENTO="Manual",$M609=1),0,IF(OFFSET(CRONOPLE!$F$14,$M609,BI$13)="",10^12,OFFSET(CRONOPLE!$F$14,$M609,BI$13))))</f>
        <v>1000000000000</v>
      </c>
      <c r="BJ609" s="181">
        <f ca="1">IF($D609&lt;&gt;"Serviço",0,IF(AND(AUTOEVENTO="Manual",$M609=1),0,IF(OFFSET(CRONOPLE!$F$14,$M609,BJ$13)="",10^12,OFFSET(CRONOPLE!$F$14,$M609,BJ$13))))</f>
        <v>1000000000000</v>
      </c>
      <c r="BK609" s="181">
        <f ca="1">IF($D609&lt;&gt;"Serviço",0,IF(AND(AUTOEVENTO="Manual",$M609=1),0,IF(OFFSET(CRONOPLE!$F$14,$M609,BK$13)="",10^12,OFFSET(CRONOPLE!$F$14,$M609,BK$13))))</f>
        <v>1000000000000</v>
      </c>
      <c r="BL609" s="181">
        <f ca="1">IF($D609&lt;&gt;"Serviço",0,IF(AND(AUTOEVENTO="Manual",$M609=1),0,IF(OFFSET(CRONOPLE!$F$14,$M609,BL$13)="",10^12,OFFSET(CRONOPLE!$F$14,$M609,BL$13))))</f>
        <v>1000000000000</v>
      </c>
      <c r="BM609" s="181">
        <f ca="1">IF($D609&lt;&gt;"Serviço",0,IF(AND(AUTOEVENTO="Manual",$M609=1),0,IF(OFFSET(CRONOPLE!$F$14,$M609,BM$13)="",10^12,OFFSET(CRONOPLE!$F$14,$M609,BM$13))))</f>
        <v>1000000000000</v>
      </c>
      <c r="BN609" s="181">
        <f ca="1">IF($D609&lt;&gt;"Serviço",0,IF(AND(AUTOEVENTO="Manual",$M609=1),0,IF(OFFSET(CRONOPLE!$F$14,$M609,BN$13)="",10^12,OFFSET(CRONOPLE!$F$14,$M609,BN$13))))</f>
        <v>1000000000000</v>
      </c>
      <c r="BO609" s="181">
        <f ca="1">IF($D609&lt;&gt;"Serviço",0,IF(AND(AUTOEVENTO="Manual",$M609=1),0,IF(OFFSET(CRONOPLE!$F$14,$M609,BO$13)="",10^12,OFFSET(CRONOPLE!$F$14,$M609,BO$13))))</f>
        <v>1000000000000</v>
      </c>
      <c r="BP609" s="181">
        <f ca="1">IF($D609&lt;&gt;"Serviço",0,IF(AND(AUTOEVENTO="Manual",$M609=1),0,IF(OFFSET(CRONOPLE!$F$14,$M609,BP$13)="",10^12,OFFSET(CRONOPLE!$F$14,$M609,BP$13))))</f>
        <v>1000000000000</v>
      </c>
      <c r="BQ609" s="181">
        <f ca="1">IF($D609&lt;&gt;"Serviço",0,IF(AND(AUTOEVENTO="Manual",$M609=1),0,IF(OFFSET(CRONOPLE!$F$14,$M609,BQ$13)="",10^12,OFFSET(CRONOPLE!$F$14,$M609,BQ$13))))</f>
        <v>1000000000000</v>
      </c>
      <c r="BR609" s="181">
        <f ca="1">IF($D609&lt;&gt;"Serviço",0,IF(AND(AUTOEVENTO="Manual",$M609=1),0,IF(OFFSET(CRONOPLE!$F$14,$M609,BR$13)="",10^12,OFFSET(CRONOPLE!$F$14,$M609,BR$13))))</f>
        <v>1000000000000</v>
      </c>
      <c r="BS609" s="181">
        <f ca="1">IF($D609&lt;&gt;"Serviço",0,IF(AND(AUTOEVENTO="Manual",$M609=1),0,IF(OFFSET(CRONOPLE!$F$14,$M609,BS$13)="",10^12,OFFSET(CRONOPLE!$F$14,$M609,BS$13))))</f>
        <v>1000000000000</v>
      </c>
      <c r="BT609" s="181">
        <f ca="1">IF($D609&lt;&gt;"Serviço",0,IF(AND(AUTOEVENTO="Manual",$M609=1),0,IF(OFFSET(CRONOPLE!$F$14,$M609,BT$13)="",10^12,OFFSET(CRONOPLE!$F$14,$M609,BT$13))))</f>
        <v>1000000000000</v>
      </c>
      <c r="BV609" s="182">
        <f ca="1">IF($D609&lt;&gt;"Serviço",0,IF(OR(AND(AUTOEVENTO="Manual",$M609=1),$M609&gt;(ROW(PLE.lastrow)-ROW(PLE.firstrow))),0,IF(OFFSET(PLE!$G$14,$M609,BV$13)="",10^12,OFFSET(PLE!$G$14,$M609,BV$13))))</f>
        <v>1000000000000</v>
      </c>
      <c r="BW609" s="182">
        <f ca="1">IF($D609&lt;&gt;"Serviço",0,IF(OR(AND(AUTOEVENTO="Manual",$M609=1),$M609&gt;(ROW(PLE.lastrow)-ROW(PLE.firstrow))),0,IF(OFFSET(PLE!$G$14,$M609,BW$13)="",10^12,OFFSET(PLE!$G$14,$M609,BW$13))))</f>
        <v>1000000000000</v>
      </c>
      <c r="BX609" s="182">
        <f ca="1">IF($D609&lt;&gt;"Serviço",0,IF(OR(AND(AUTOEVENTO="Manual",$M609=1),$M609&gt;(ROW(PLE.lastrow)-ROW(PLE.firstrow))),0,IF(OFFSET(PLE!$G$14,$M609,BX$13)="",10^12,OFFSET(PLE!$G$14,$M609,BX$13))))</f>
        <v>1000000000000</v>
      </c>
      <c r="BY609" s="182">
        <f ca="1">IF($D609&lt;&gt;"Serviço",0,IF(OR(AND(AUTOEVENTO="Manual",$M609=1),$M609&gt;(ROW(PLE.lastrow)-ROW(PLE.firstrow))),0,IF(OFFSET(PLE!$G$14,$M609,BY$13)="",10^12,OFFSET(PLE!$G$14,$M609,BY$13))))</f>
        <v>1000000000000</v>
      </c>
      <c r="BZ609" s="182">
        <f ca="1">IF($D609&lt;&gt;"Serviço",0,IF(OR(AND(AUTOEVENTO="Manual",$M609=1),$M609&gt;(ROW(PLE.lastrow)-ROW(PLE.firstrow))),0,IF(OFFSET(PLE!$G$14,$M609,BZ$13)="",10^12,OFFSET(PLE!$G$14,$M609,BZ$13))))</f>
        <v>1000000000000</v>
      </c>
      <c r="CA609" s="182">
        <f ca="1">IF($D609&lt;&gt;"Serviço",0,IF(OR(AND(AUTOEVENTO="Manual",$M609=1),$M609&gt;(ROW(PLE.lastrow)-ROW(PLE.firstrow))),0,IF(OFFSET(PLE!$G$14,$M609,CA$13)="",10^12,OFFSET(PLE!$G$14,$M609,CA$13))))</f>
        <v>1000000000000</v>
      </c>
      <c r="CB609" s="182">
        <f ca="1">IF($D609&lt;&gt;"Serviço",0,IF(OR(AND(AUTOEVENTO="Manual",$M609=1),$M609&gt;(ROW(PLE.lastrow)-ROW(PLE.firstrow))),0,IF(OFFSET(PLE!$G$14,$M609,CB$13)="",10^12,OFFSET(PLE!$G$14,$M609,CB$13))))</f>
        <v>1000000000000</v>
      </c>
      <c r="CC609" s="182">
        <f ca="1">IF($D609&lt;&gt;"Serviço",0,IF(OR(AND(AUTOEVENTO="Manual",$M609=1),$M609&gt;(ROW(PLE.lastrow)-ROW(PLE.firstrow))),0,IF(OFFSET(PLE!$G$14,$M609,CC$13)="",10^12,OFFSET(PLE!$G$14,$M609,CC$13))))</f>
        <v>1000000000000</v>
      </c>
      <c r="CD609" s="182">
        <f ca="1">IF($D609&lt;&gt;"Serviço",0,IF(OR(AND(AUTOEVENTO="Manual",$M609=1),$M609&gt;(ROW(PLE.lastrow)-ROW(PLE.firstrow))),0,IF(OFFSET(PLE!$G$14,$M609,CD$13)="",10^12,OFFSET(PLE!$G$14,$M609,CD$13))))</f>
        <v>1000000000000</v>
      </c>
      <c r="CE609" s="182">
        <f ca="1">IF($D609&lt;&gt;"Serviço",0,IF(OR(AND(AUTOEVENTO="Manual",$M609=1),$M609&gt;(ROW(PLE.lastrow)-ROW(PLE.firstrow))),0,IF(OFFSET(PLE!$G$14,$M609,CE$13)="",10^12,OFFSET(PLE!$G$14,$M609,CE$13))))</f>
        <v>1000000000000</v>
      </c>
      <c r="CF609" s="182">
        <f ca="1">IF($D609&lt;&gt;"Serviço",0,IF(OR(AND(AUTOEVENTO="Manual",$M609=1),$M609&gt;(ROW(PLE.lastrow)-ROW(PLE.firstrow))),0,IF(OFFSET(PLE!$G$14,$M609,CF$13)="",10^12,OFFSET(PLE!$G$14,$M609,CF$13))))</f>
        <v>1000000000000</v>
      </c>
      <c r="CG609" s="182">
        <f ca="1">IF($D609&lt;&gt;"Serviço",0,IF(OR(AND(AUTOEVENTO="Manual",$M609=1),$M609&gt;(ROW(PLE.lastrow)-ROW(PLE.firstrow))),0,IF(OFFSET(PLE!$G$14,$M609,CG$13)="",10^12,OFFSET(PLE!$G$14,$M609,CG$13))))</f>
        <v>1000000000000</v>
      </c>
      <c r="CH609" s="182">
        <f ca="1">IF($D609&lt;&gt;"Serviço",0,IF(OR(AND(AUTOEVENTO="Manual",$M609=1),$M609&gt;(ROW(PLE.lastrow)-ROW(PLE.firstrow))),0,IF(OFFSET(PLE!$G$14,$M609,CH$13)="",10^12,OFFSET(PLE!$G$14,$M609,CH$13))))</f>
        <v>1000000000000</v>
      </c>
      <c r="CI609" s="182">
        <f ca="1">IF($D609&lt;&gt;"Serviço",0,IF(OR(AND(AUTOEVENTO="Manual",$M609=1),$M609&gt;(ROW(PLE.lastrow)-ROW(PLE.firstrow))),0,IF(OFFSET(PLE!$G$14,$M609,CI$13)="",10^12,OFFSET(PLE!$G$14,$M609,CI$13))))</f>
        <v>1000000000000</v>
      </c>
      <c r="CJ609" s="182">
        <f ca="1">IF($D609&lt;&gt;"Serviço",0,IF(OR(AND(AUTOEVENTO="Manual",$M609=1),$M609&gt;(ROW(PLE.lastrow)-ROW(PLE.firstrow))),0,IF(OFFSET(PLE!$G$14,$M609,CJ$13)="",10^12,OFFSET(PLE!$G$14,$M609,CJ$13))))</f>
        <v>1000000000000</v>
      </c>
      <c r="CK609" s="182">
        <f ca="1">IF($D609&lt;&gt;"Serviço",0,IF(OR(AND(AUTOEVENTO="Manual",$M609=1),$M609&gt;(ROW(PLE.lastrow)-ROW(PLE.firstrow))),0,IF(OFFSET(PLE!$G$14,$M609,CK$13)="",10^12,OFFSET(PLE!$G$14,$M609,CK$13))))</f>
        <v>1000000000000</v>
      </c>
      <c r="CL609" s="182">
        <f ca="1">IF($D609&lt;&gt;"Serviço",0,IF(OR(AND(AUTOEVENTO="Manual",$M609=1),$M609&gt;(ROW(PLE.lastrow)-ROW(PLE.firstrow))),0,IF(OFFSET(PLE!$G$14,$M609,CL$13)="",10^12,OFFSET(PLE!$G$14,$M609,CL$13))))</f>
        <v>1000000000000</v>
      </c>
      <c r="CM609" s="182">
        <f ca="1">IF($D609&lt;&gt;"Serviço",0,IF(OR(AND(AUTOEVENTO="Manual",$M609=1),$M609&gt;(ROW(PLE.lastrow)-ROW(PLE.firstrow))),0,IF(OFFSET(PLE!$G$14,$M609,CM$13)="",10^12,OFFSET(PLE!$G$14,$M609,CM$13))))</f>
        <v>1000000000000</v>
      </c>
    </row>
    <row r="610" spans="1:91" ht="51" x14ac:dyDescent="0.2">
      <c r="A610" s="7" t="str">
        <f t="shared" ca="1" si="18"/>
        <v>592</v>
      </c>
      <c r="B610" s="7" t="str">
        <f ca="1">OFFSET(ORÇAMENTO!C$15,ROW(B610)-ROW(B$15),0)</f>
        <v>S</v>
      </c>
      <c r="C610" s="7" t="str">
        <f ca="1">OFFSET(ORÇAMENTO!L$15,ROW(C610)-ROW(C$15),0)</f>
        <v/>
      </c>
      <c r="D610" s="118" t="str">
        <f ca="1">OFFSET(ORÇAMENTO!N$15,ROW(D610)-ROW(D$15),0)</f>
        <v>Serviço</v>
      </c>
      <c r="E610" s="119" t="str">
        <f ca="1">OFFSET(ORÇAMENTO!O$15,ROW(E610)-ROW(E$15),0)</f>
        <v>-</v>
      </c>
      <c r="F610" s="172" t="str">
        <f ca="1">OFFSET(ORÇAMENTO!R$15,ROW(F610)-ROW(F$15),0)</f>
        <v>(abra o arquivo 'Referência 06-2024.xlsm)</v>
      </c>
      <c r="G610" s="173" t="str">
        <f ca="1">IF($D610&lt;&gt;"Serviço","",OFFSET(ORÇAMENTO!S$15,ROW(G610)-ROW(G$15),0))</f>
        <v>-</v>
      </c>
      <c r="H610" s="124">
        <f ca="1">IF($D610&lt;&gt;"Serviço",0,IF(ACOMPANHAMENTO="BM",ROUND(OFFSET(ORÇAMENTO!AJ$15,ROW(H610)-ROW(H$15),0),15-13*ORÇAMENTO!$AF$7),SUMPRODUCT(($Q$12:$AI$12&lt;&gt;"")*ROUND($Q610:$AI610,15-13*ORÇAMENTO!$AF$7))))</f>
        <v>16.899999999999999</v>
      </c>
      <c r="I610" s="561" t="s">
        <v>1107</v>
      </c>
      <c r="K610" s="174"/>
      <c r="L610" s="175" t="s">
        <v>255</v>
      </c>
      <c r="M610" s="176">
        <f ca="1">IF($D610&lt;&gt;"Serviço","",IF(AUTOEVENTO="manual",$A610,IF(ISERROR(MATCH($A610,$A$15:OFFSET($A610,-1,0),0)),MAX($M$15:OFFSET(M610,-1,0))+1,INDEX($M$15:OFFSET(M610,-1,0),MATCH($A610,$A$15:OFFSET($A610,-1,0),0)))))</f>
        <v>63</v>
      </c>
      <c r="N610" s="177" t="str">
        <f ca="1">IF($D610&lt;&gt;"Serviço","",IF(AUTOEVENTO="Manual",IF($A610=0,"&lt;-- defina o número do agrupador",OFFSET(EVENTOS!$D$14,$A610,0)),OFFSET($F$15,$A610,0)))</f>
        <v>INSTALAÇÕES DE CLIMATIZAÇÃO - DUTOS</v>
      </c>
      <c r="O610" s="178"/>
      <c r="Q610" s="178">
        <v>16.899999999999999</v>
      </c>
      <c r="R610" s="179"/>
      <c r="S610" s="179"/>
      <c r="T610" s="179"/>
      <c r="U610" s="179"/>
      <c r="V610" s="179"/>
      <c r="W610" s="179"/>
      <c r="X610" s="179"/>
      <c r="Y610" s="179"/>
      <c r="Z610" s="180"/>
      <c r="AA610" s="179"/>
      <c r="AB610" s="179"/>
      <c r="AC610" s="179"/>
      <c r="AD610" s="179"/>
      <c r="AE610" s="179"/>
      <c r="AF610" s="179"/>
      <c r="AG610" s="179"/>
      <c r="AH610" s="180"/>
      <c r="AJ610" s="544">
        <f ca="1">IF(AND($D610="Serviço",AJ$12&lt;&gt;0,$H610&gt;0,OR(AUTOEVENTO&lt;&gt;"manual",$M610&lt;&gt;1)),
IF(Import.TipoArredondamento&lt;&gt;"TransfereGOV",
ROUND(OFFSET($P610,0,AJ$13),15-13*ORÇAMENTO!$AF$7)/$H610*OFFSET(ORÇAMENTO!$X$15,ROW(AJ610)-ROW(AJ$15),0),
ROUND(ROUND(OFFSET($P610,0,AJ$13),15-13*ORÇAMENTO!$AF$7)*OFFSET(ORÇAMENTO!$W$15,ROW(AJ610)-ROW(AJ$15),0),15-13*ORÇAMENTO!$AF$11)),0)</f>
        <v>0</v>
      </c>
      <c r="AK610" s="545">
        <f ca="1">IF(AND($D610="Serviço",AK$12&lt;&gt;0,$H610&gt;0,OR(AUTOEVENTO&lt;&gt;"manual",$M610&lt;&gt;1)),
IF(Import.TipoArredondamento&lt;&gt;"TransfereGOV",
ROUND(OFFSET($P610,0,AK$13),15-13*ORÇAMENTO!$AF$7)/$H610*OFFSET(ORÇAMENTO!$X$15,ROW(AK610)-ROW(AK$15),0),
ROUND(ROUND(OFFSET($P610,0,AK$13),15-13*ORÇAMENTO!$AF$7)*OFFSET(ORÇAMENTO!$W$15,ROW(AK610)-ROW(AK$15),0),15-13*ORÇAMENTO!$AF$11)),0)</f>
        <v>0</v>
      </c>
      <c r="AL610" s="545">
        <f ca="1">IF(AND($D610="Serviço",AL$12&lt;&gt;0,$H610&gt;0,OR(AUTOEVENTO&lt;&gt;"manual",$M610&lt;&gt;1)),
IF(Import.TipoArredondamento&lt;&gt;"TransfereGOV",
ROUND(OFFSET($P610,0,AL$13),15-13*ORÇAMENTO!$AF$7)/$H610*OFFSET(ORÇAMENTO!$X$15,ROW(AL610)-ROW(AL$15),0),
ROUND(ROUND(OFFSET($P610,0,AL$13),15-13*ORÇAMENTO!$AF$7)*OFFSET(ORÇAMENTO!$W$15,ROW(AL610)-ROW(AL$15),0),15-13*ORÇAMENTO!$AF$11)),0)</f>
        <v>0</v>
      </c>
      <c r="AM610" s="545">
        <f ca="1">IF(AND($D610="Serviço",AM$12&lt;&gt;0,$H610&gt;0,OR(AUTOEVENTO&lt;&gt;"manual",$M610&lt;&gt;1)),
IF(Import.TipoArredondamento&lt;&gt;"TransfereGOV",
ROUND(OFFSET($P610,0,AM$13),15-13*ORÇAMENTO!$AF$7)/$H610*OFFSET(ORÇAMENTO!$X$15,ROW(AM610)-ROW(AM$15),0),
ROUND(ROUND(OFFSET($P610,0,AM$13),15-13*ORÇAMENTO!$AF$7)*OFFSET(ORÇAMENTO!$W$15,ROW(AM610)-ROW(AM$15),0),15-13*ORÇAMENTO!$AF$11)),0)</f>
        <v>0</v>
      </c>
      <c r="AN610" s="545">
        <f ca="1">IF(AND($D610="Serviço",AN$12&lt;&gt;0,$H610&gt;0,OR(AUTOEVENTO&lt;&gt;"manual",$M610&lt;&gt;1)),
IF(Import.TipoArredondamento&lt;&gt;"TransfereGOV",
ROUND(OFFSET($P610,0,AN$13),15-13*ORÇAMENTO!$AF$7)/$H610*OFFSET(ORÇAMENTO!$X$15,ROW(AN610)-ROW(AN$15),0),
ROUND(ROUND(OFFSET($P610,0,AN$13),15-13*ORÇAMENTO!$AF$7)*OFFSET(ORÇAMENTO!$W$15,ROW(AN610)-ROW(AN$15),0),15-13*ORÇAMENTO!$AF$11)),0)</f>
        <v>0</v>
      </c>
      <c r="AO610" s="545">
        <f ca="1">IF(AND($D610="Serviço",AO$12&lt;&gt;0,$H610&gt;0,OR(AUTOEVENTO&lt;&gt;"manual",$M610&lt;&gt;1)),
IF(Import.TipoArredondamento&lt;&gt;"TransfereGOV",
ROUND(OFFSET($P610,0,AO$13),15-13*ORÇAMENTO!$AF$7)/$H610*OFFSET(ORÇAMENTO!$X$15,ROW(AO610)-ROW(AO$15),0),
ROUND(ROUND(OFFSET($P610,0,AO$13),15-13*ORÇAMENTO!$AF$7)*OFFSET(ORÇAMENTO!$W$15,ROW(AO610)-ROW(AO$15),0),15-13*ORÇAMENTO!$AF$11)),0)</f>
        <v>0</v>
      </c>
      <c r="AP610" s="545">
        <f ca="1">IF(AND($D610="Serviço",AP$12&lt;&gt;0,$H610&gt;0,OR(AUTOEVENTO&lt;&gt;"manual",$M610&lt;&gt;1)),
IF(Import.TipoArredondamento&lt;&gt;"TransfereGOV",
ROUND(OFFSET($P610,0,AP$13),15-13*ORÇAMENTO!$AF$7)/$H610*OFFSET(ORÇAMENTO!$X$15,ROW(AP610)-ROW(AP$15),0),
ROUND(ROUND(OFFSET($P610,0,AP$13),15-13*ORÇAMENTO!$AF$7)*OFFSET(ORÇAMENTO!$W$15,ROW(AP610)-ROW(AP$15),0),15-13*ORÇAMENTO!$AF$11)),0)</f>
        <v>0</v>
      </c>
      <c r="AQ610" s="545">
        <f ca="1">IF(AND($D610="Serviço",AQ$12&lt;&gt;0,$H610&gt;0,OR(AUTOEVENTO&lt;&gt;"manual",$M610&lt;&gt;1)),
IF(Import.TipoArredondamento&lt;&gt;"TransfereGOV",
ROUND(OFFSET($P610,0,AQ$13),15-13*ORÇAMENTO!$AF$7)/$H610*OFFSET(ORÇAMENTO!$X$15,ROW(AQ610)-ROW(AQ$15),0),
ROUND(ROUND(OFFSET($P610,0,AQ$13),15-13*ORÇAMENTO!$AF$7)*OFFSET(ORÇAMENTO!$W$15,ROW(AQ610)-ROW(AQ$15),0),15-13*ORÇAMENTO!$AF$11)),0)</f>
        <v>0</v>
      </c>
      <c r="AR610" s="545">
        <f ca="1">IF(AND($D610="Serviço",AR$12&lt;&gt;0,$H610&gt;0,OR(AUTOEVENTO&lt;&gt;"manual",$M610&lt;&gt;1)),
IF(Import.TipoArredondamento&lt;&gt;"TransfereGOV",
ROUND(OFFSET($P610,0,AR$13),15-13*ORÇAMENTO!$AF$7)/$H610*OFFSET(ORÇAMENTO!$X$15,ROW(AR610)-ROW(AR$15),0),
ROUND(ROUND(OFFSET($P610,0,AR$13),15-13*ORÇAMENTO!$AF$7)*OFFSET(ORÇAMENTO!$W$15,ROW(AR610)-ROW(AR$15),0),15-13*ORÇAMENTO!$AF$11)),0)</f>
        <v>0</v>
      </c>
      <c r="AS610" s="546">
        <f ca="1">IF(AND($D610="Serviço",AS$12&lt;&gt;0,$H610&gt;0,OR(AUTOEVENTO&lt;&gt;"manual",$M610&lt;&gt;1)),
IF(Import.TipoArredondamento&lt;&gt;"TransfereGOV",
ROUND(OFFSET($P610,0,AS$13),15-13*ORÇAMENTO!$AF$7)/$H610*OFFSET(ORÇAMENTO!$X$15,ROW(AS610)-ROW(AS$15),0),
ROUND(ROUND(OFFSET($P610,0,AS$13),15-13*ORÇAMENTO!$AF$7)*OFFSET(ORÇAMENTO!$W$15,ROW(AS610)-ROW(AS$15),0),15-13*ORÇAMENTO!$AF$11)),0)</f>
        <v>0</v>
      </c>
      <c r="AT610" s="545">
        <f ca="1">IF(AND($D610="Serviço",AT$12&lt;&gt;0,$H610&gt;0,OR(AUTOEVENTO&lt;&gt;"manual",$M610&lt;&gt;1)),
IF(Import.TipoArredondamento&lt;&gt;"TransfereGOV",
ROUND(OFFSET($P610,0,AT$13),15-13*ORÇAMENTO!$AF$7)/$H610*OFFSET(ORÇAMENTO!$X$15,ROW(AT610)-ROW(AT$15),0),
ROUND(ROUND(OFFSET($P610,0,AT$13),15-13*ORÇAMENTO!$AF$7)*OFFSET(ORÇAMENTO!$W$15,ROW(AT610)-ROW(AT$15),0),15-13*ORÇAMENTO!$AF$11)),0)</f>
        <v>0</v>
      </c>
      <c r="AU610" s="545">
        <f ca="1">IF(AND($D610="Serviço",AU$12&lt;&gt;0,$H610&gt;0,OR(AUTOEVENTO&lt;&gt;"manual",$M610&lt;&gt;1)),
IF(Import.TipoArredondamento&lt;&gt;"TransfereGOV",
ROUND(OFFSET($P610,0,AU$13),15-13*ORÇAMENTO!$AF$7)/$H610*OFFSET(ORÇAMENTO!$X$15,ROW(AU610)-ROW(AU$15),0),
ROUND(ROUND(OFFSET($P610,0,AU$13),15-13*ORÇAMENTO!$AF$7)*OFFSET(ORÇAMENTO!$W$15,ROW(AU610)-ROW(AU$15),0),15-13*ORÇAMENTO!$AF$11)),0)</f>
        <v>0</v>
      </c>
      <c r="AV610" s="545">
        <f ca="1">IF(AND($D610="Serviço",AV$12&lt;&gt;0,$H610&gt;0,OR(AUTOEVENTO&lt;&gt;"manual",$M610&lt;&gt;1)),
IF(Import.TipoArredondamento&lt;&gt;"TransfereGOV",
ROUND(OFFSET($P610,0,AV$13),15-13*ORÇAMENTO!$AF$7)/$H610*OFFSET(ORÇAMENTO!$X$15,ROW(AV610)-ROW(AV$15),0),
ROUND(ROUND(OFFSET($P610,0,AV$13),15-13*ORÇAMENTO!$AF$7)*OFFSET(ORÇAMENTO!$W$15,ROW(AV610)-ROW(AV$15),0),15-13*ORÇAMENTO!$AF$11)),0)</f>
        <v>0</v>
      </c>
      <c r="AW610" s="545">
        <f ca="1">IF(AND($D610="Serviço",AW$12&lt;&gt;0,$H610&gt;0,OR(AUTOEVENTO&lt;&gt;"manual",$M610&lt;&gt;1)),
IF(Import.TipoArredondamento&lt;&gt;"TransfereGOV",
ROUND(OFFSET($P610,0,AW$13),15-13*ORÇAMENTO!$AF$7)/$H610*OFFSET(ORÇAMENTO!$X$15,ROW(AW610)-ROW(AW$15),0),
ROUND(ROUND(OFFSET($P610,0,AW$13),15-13*ORÇAMENTO!$AF$7)*OFFSET(ORÇAMENTO!$W$15,ROW(AW610)-ROW(AW$15),0),15-13*ORÇAMENTO!$AF$11)),0)</f>
        <v>0</v>
      </c>
      <c r="AX610" s="545">
        <f ca="1">IF(AND($D610="Serviço",AX$12&lt;&gt;0,$H610&gt;0,OR(AUTOEVENTO&lt;&gt;"manual",$M610&lt;&gt;1)),
IF(Import.TipoArredondamento&lt;&gt;"TransfereGOV",
ROUND(OFFSET($P610,0,AX$13),15-13*ORÇAMENTO!$AF$7)/$H610*OFFSET(ORÇAMENTO!$X$15,ROW(AX610)-ROW(AX$15),0),
ROUND(ROUND(OFFSET($P610,0,AX$13),15-13*ORÇAMENTO!$AF$7)*OFFSET(ORÇAMENTO!$W$15,ROW(AX610)-ROW(AX$15),0),15-13*ORÇAMENTO!$AF$11)),0)</f>
        <v>0</v>
      </c>
      <c r="AY610" s="545">
        <f ca="1">IF(AND($D610="Serviço",AY$12&lt;&gt;0,$H610&gt;0,OR(AUTOEVENTO&lt;&gt;"manual",$M610&lt;&gt;1)),
IF(Import.TipoArredondamento&lt;&gt;"TransfereGOV",
ROUND(OFFSET($P610,0,AY$13),15-13*ORÇAMENTO!$AF$7)/$H610*OFFSET(ORÇAMENTO!$X$15,ROW(AY610)-ROW(AY$15),0),
ROUND(ROUND(OFFSET($P610,0,AY$13),15-13*ORÇAMENTO!$AF$7)*OFFSET(ORÇAMENTO!$W$15,ROW(AY610)-ROW(AY$15),0),15-13*ORÇAMENTO!$AF$11)),0)</f>
        <v>0</v>
      </c>
      <c r="AZ610" s="545">
        <f ca="1">IF(AND($D610="Serviço",AZ$12&lt;&gt;0,$H610&gt;0,OR(AUTOEVENTO&lt;&gt;"manual",$M610&lt;&gt;1)),
IF(Import.TipoArredondamento&lt;&gt;"TransfereGOV",
ROUND(OFFSET($P610,0,AZ$13),15-13*ORÇAMENTO!$AF$7)/$H610*OFFSET(ORÇAMENTO!$X$15,ROW(AZ610)-ROW(AZ$15),0),
ROUND(ROUND(OFFSET($P610,0,AZ$13),15-13*ORÇAMENTO!$AF$7)*OFFSET(ORÇAMENTO!$W$15,ROW(AZ610)-ROW(AZ$15),0),15-13*ORÇAMENTO!$AF$11)),0)</f>
        <v>0</v>
      </c>
      <c r="BA610" s="546">
        <f ca="1">IF(AND($D610="Serviço",BA$12&lt;&gt;0,$H610&gt;0,OR(AUTOEVENTO&lt;&gt;"manual",$M610&lt;&gt;1)),
IF(Import.TipoArredondamento&lt;&gt;"TransfereGOV",
ROUND(OFFSET($P610,0,BA$13),15-13*ORÇAMENTO!$AF$7)/$H610*OFFSET(ORÇAMENTO!$X$15,ROW(BA610)-ROW(BA$15),0),
ROUND(ROUND(OFFSET($P610,0,BA$13),15-13*ORÇAMENTO!$AF$7)*OFFSET(ORÇAMENTO!$W$15,ROW(BA610)-ROW(BA$15),0),15-13*ORÇAMENTO!$AF$11)),0)</f>
        <v>0</v>
      </c>
      <c r="BC610" s="181">
        <f ca="1">IF($D610&lt;&gt;"Serviço",0,IF(AND(AUTOEVENTO="Manual",$M610=1),0,IF(OFFSET(CRONOPLE!$F$14,$M610,BC$13)="",10^12,OFFSET(CRONOPLE!$F$14,$M610,BC$13))))</f>
        <v>11</v>
      </c>
      <c r="BD610" s="181">
        <f ca="1">IF($D610&lt;&gt;"Serviço",0,IF(AND(AUTOEVENTO="Manual",$M610=1),0,IF(OFFSET(CRONOPLE!$F$14,$M610,BD$13)="",10^12,OFFSET(CRONOPLE!$F$14,$M610,BD$13))))</f>
        <v>1000000000000</v>
      </c>
      <c r="BE610" s="181">
        <f ca="1">IF($D610&lt;&gt;"Serviço",0,IF(AND(AUTOEVENTO="Manual",$M610=1),0,IF(OFFSET(CRONOPLE!$F$14,$M610,BE$13)="",10^12,OFFSET(CRONOPLE!$F$14,$M610,BE$13))))</f>
        <v>1000000000000</v>
      </c>
      <c r="BF610" s="181">
        <f ca="1">IF($D610&lt;&gt;"Serviço",0,IF(AND(AUTOEVENTO="Manual",$M610=1),0,IF(OFFSET(CRONOPLE!$F$14,$M610,BF$13)="",10^12,OFFSET(CRONOPLE!$F$14,$M610,BF$13))))</f>
        <v>1000000000000</v>
      </c>
      <c r="BG610" s="181">
        <f ca="1">IF($D610&lt;&gt;"Serviço",0,IF(AND(AUTOEVENTO="Manual",$M610=1),0,IF(OFFSET(CRONOPLE!$F$14,$M610,BG$13)="",10^12,OFFSET(CRONOPLE!$F$14,$M610,BG$13))))</f>
        <v>1000000000000</v>
      </c>
      <c r="BH610" s="181">
        <f ca="1">IF($D610&lt;&gt;"Serviço",0,IF(AND(AUTOEVENTO="Manual",$M610=1),0,IF(OFFSET(CRONOPLE!$F$14,$M610,BH$13)="",10^12,OFFSET(CRONOPLE!$F$14,$M610,BH$13))))</f>
        <v>1000000000000</v>
      </c>
      <c r="BI610" s="181">
        <f ca="1">IF($D610&lt;&gt;"Serviço",0,IF(AND(AUTOEVENTO="Manual",$M610=1),0,IF(OFFSET(CRONOPLE!$F$14,$M610,BI$13)="",10^12,OFFSET(CRONOPLE!$F$14,$M610,BI$13))))</f>
        <v>1000000000000</v>
      </c>
      <c r="BJ610" s="181">
        <f ca="1">IF($D610&lt;&gt;"Serviço",0,IF(AND(AUTOEVENTO="Manual",$M610=1),0,IF(OFFSET(CRONOPLE!$F$14,$M610,BJ$13)="",10^12,OFFSET(CRONOPLE!$F$14,$M610,BJ$13))))</f>
        <v>1000000000000</v>
      </c>
      <c r="BK610" s="181">
        <f ca="1">IF($D610&lt;&gt;"Serviço",0,IF(AND(AUTOEVENTO="Manual",$M610=1),0,IF(OFFSET(CRONOPLE!$F$14,$M610,BK$13)="",10^12,OFFSET(CRONOPLE!$F$14,$M610,BK$13))))</f>
        <v>1000000000000</v>
      </c>
      <c r="BL610" s="181">
        <f ca="1">IF($D610&lt;&gt;"Serviço",0,IF(AND(AUTOEVENTO="Manual",$M610=1),0,IF(OFFSET(CRONOPLE!$F$14,$M610,BL$13)="",10^12,OFFSET(CRONOPLE!$F$14,$M610,BL$13))))</f>
        <v>1000000000000</v>
      </c>
      <c r="BM610" s="181">
        <f ca="1">IF($D610&lt;&gt;"Serviço",0,IF(AND(AUTOEVENTO="Manual",$M610=1),0,IF(OFFSET(CRONOPLE!$F$14,$M610,BM$13)="",10^12,OFFSET(CRONOPLE!$F$14,$M610,BM$13))))</f>
        <v>1000000000000</v>
      </c>
      <c r="BN610" s="181">
        <f ca="1">IF($D610&lt;&gt;"Serviço",0,IF(AND(AUTOEVENTO="Manual",$M610=1),0,IF(OFFSET(CRONOPLE!$F$14,$M610,BN$13)="",10^12,OFFSET(CRONOPLE!$F$14,$M610,BN$13))))</f>
        <v>1000000000000</v>
      </c>
      <c r="BO610" s="181">
        <f ca="1">IF($D610&lt;&gt;"Serviço",0,IF(AND(AUTOEVENTO="Manual",$M610=1),0,IF(OFFSET(CRONOPLE!$F$14,$M610,BO$13)="",10^12,OFFSET(CRONOPLE!$F$14,$M610,BO$13))))</f>
        <v>1000000000000</v>
      </c>
      <c r="BP610" s="181">
        <f ca="1">IF($D610&lt;&gt;"Serviço",0,IF(AND(AUTOEVENTO="Manual",$M610=1),0,IF(OFFSET(CRONOPLE!$F$14,$M610,BP$13)="",10^12,OFFSET(CRONOPLE!$F$14,$M610,BP$13))))</f>
        <v>1000000000000</v>
      </c>
      <c r="BQ610" s="181">
        <f ca="1">IF($D610&lt;&gt;"Serviço",0,IF(AND(AUTOEVENTO="Manual",$M610=1),0,IF(OFFSET(CRONOPLE!$F$14,$M610,BQ$13)="",10^12,OFFSET(CRONOPLE!$F$14,$M610,BQ$13))))</f>
        <v>1000000000000</v>
      </c>
      <c r="BR610" s="181">
        <f ca="1">IF($D610&lt;&gt;"Serviço",0,IF(AND(AUTOEVENTO="Manual",$M610=1),0,IF(OFFSET(CRONOPLE!$F$14,$M610,BR$13)="",10^12,OFFSET(CRONOPLE!$F$14,$M610,BR$13))))</f>
        <v>1000000000000</v>
      </c>
      <c r="BS610" s="181">
        <f ca="1">IF($D610&lt;&gt;"Serviço",0,IF(AND(AUTOEVENTO="Manual",$M610=1),0,IF(OFFSET(CRONOPLE!$F$14,$M610,BS$13)="",10^12,OFFSET(CRONOPLE!$F$14,$M610,BS$13))))</f>
        <v>1000000000000</v>
      </c>
      <c r="BT610" s="181">
        <f ca="1">IF($D610&lt;&gt;"Serviço",0,IF(AND(AUTOEVENTO="Manual",$M610=1),0,IF(OFFSET(CRONOPLE!$F$14,$M610,BT$13)="",10^12,OFFSET(CRONOPLE!$F$14,$M610,BT$13))))</f>
        <v>1000000000000</v>
      </c>
      <c r="BV610" s="182">
        <f ca="1">IF($D610&lt;&gt;"Serviço",0,IF(OR(AND(AUTOEVENTO="Manual",$M610=1),$M610&gt;(ROW(PLE.lastrow)-ROW(PLE.firstrow))),0,IF(OFFSET(PLE!$G$14,$M610,BV$13)="",10^12,OFFSET(PLE!$G$14,$M610,BV$13))))</f>
        <v>1000000000000</v>
      </c>
      <c r="BW610" s="182">
        <f ca="1">IF($D610&lt;&gt;"Serviço",0,IF(OR(AND(AUTOEVENTO="Manual",$M610=1),$M610&gt;(ROW(PLE.lastrow)-ROW(PLE.firstrow))),0,IF(OFFSET(PLE!$G$14,$M610,BW$13)="",10^12,OFFSET(PLE!$G$14,$M610,BW$13))))</f>
        <v>1000000000000</v>
      </c>
      <c r="BX610" s="182">
        <f ca="1">IF($D610&lt;&gt;"Serviço",0,IF(OR(AND(AUTOEVENTO="Manual",$M610=1),$M610&gt;(ROW(PLE.lastrow)-ROW(PLE.firstrow))),0,IF(OFFSET(PLE!$G$14,$M610,BX$13)="",10^12,OFFSET(PLE!$G$14,$M610,BX$13))))</f>
        <v>1000000000000</v>
      </c>
      <c r="BY610" s="182">
        <f ca="1">IF($D610&lt;&gt;"Serviço",0,IF(OR(AND(AUTOEVENTO="Manual",$M610=1),$M610&gt;(ROW(PLE.lastrow)-ROW(PLE.firstrow))),0,IF(OFFSET(PLE!$G$14,$M610,BY$13)="",10^12,OFFSET(PLE!$G$14,$M610,BY$13))))</f>
        <v>1000000000000</v>
      </c>
      <c r="BZ610" s="182">
        <f ca="1">IF($D610&lt;&gt;"Serviço",0,IF(OR(AND(AUTOEVENTO="Manual",$M610=1),$M610&gt;(ROW(PLE.lastrow)-ROW(PLE.firstrow))),0,IF(OFFSET(PLE!$G$14,$M610,BZ$13)="",10^12,OFFSET(PLE!$G$14,$M610,BZ$13))))</f>
        <v>1000000000000</v>
      </c>
      <c r="CA610" s="182">
        <f ca="1">IF($D610&lt;&gt;"Serviço",0,IF(OR(AND(AUTOEVENTO="Manual",$M610=1),$M610&gt;(ROW(PLE.lastrow)-ROW(PLE.firstrow))),0,IF(OFFSET(PLE!$G$14,$M610,CA$13)="",10^12,OFFSET(PLE!$G$14,$M610,CA$13))))</f>
        <v>1000000000000</v>
      </c>
      <c r="CB610" s="182">
        <f ca="1">IF($D610&lt;&gt;"Serviço",0,IF(OR(AND(AUTOEVENTO="Manual",$M610=1),$M610&gt;(ROW(PLE.lastrow)-ROW(PLE.firstrow))),0,IF(OFFSET(PLE!$G$14,$M610,CB$13)="",10^12,OFFSET(PLE!$G$14,$M610,CB$13))))</f>
        <v>1000000000000</v>
      </c>
      <c r="CC610" s="182">
        <f ca="1">IF($D610&lt;&gt;"Serviço",0,IF(OR(AND(AUTOEVENTO="Manual",$M610=1),$M610&gt;(ROW(PLE.lastrow)-ROW(PLE.firstrow))),0,IF(OFFSET(PLE!$G$14,$M610,CC$13)="",10^12,OFFSET(PLE!$G$14,$M610,CC$13))))</f>
        <v>1000000000000</v>
      </c>
      <c r="CD610" s="182">
        <f ca="1">IF($D610&lt;&gt;"Serviço",0,IF(OR(AND(AUTOEVENTO="Manual",$M610=1),$M610&gt;(ROW(PLE.lastrow)-ROW(PLE.firstrow))),0,IF(OFFSET(PLE!$G$14,$M610,CD$13)="",10^12,OFFSET(PLE!$G$14,$M610,CD$13))))</f>
        <v>1000000000000</v>
      </c>
      <c r="CE610" s="182">
        <f ca="1">IF($D610&lt;&gt;"Serviço",0,IF(OR(AND(AUTOEVENTO="Manual",$M610=1),$M610&gt;(ROW(PLE.lastrow)-ROW(PLE.firstrow))),0,IF(OFFSET(PLE!$G$14,$M610,CE$13)="",10^12,OFFSET(PLE!$G$14,$M610,CE$13))))</f>
        <v>1000000000000</v>
      </c>
      <c r="CF610" s="182">
        <f ca="1">IF($D610&lt;&gt;"Serviço",0,IF(OR(AND(AUTOEVENTO="Manual",$M610=1),$M610&gt;(ROW(PLE.lastrow)-ROW(PLE.firstrow))),0,IF(OFFSET(PLE!$G$14,$M610,CF$13)="",10^12,OFFSET(PLE!$G$14,$M610,CF$13))))</f>
        <v>1000000000000</v>
      </c>
      <c r="CG610" s="182">
        <f ca="1">IF($D610&lt;&gt;"Serviço",0,IF(OR(AND(AUTOEVENTO="Manual",$M610=1),$M610&gt;(ROW(PLE.lastrow)-ROW(PLE.firstrow))),0,IF(OFFSET(PLE!$G$14,$M610,CG$13)="",10^12,OFFSET(PLE!$G$14,$M610,CG$13))))</f>
        <v>1000000000000</v>
      </c>
      <c r="CH610" s="182">
        <f ca="1">IF($D610&lt;&gt;"Serviço",0,IF(OR(AND(AUTOEVENTO="Manual",$M610=1),$M610&gt;(ROW(PLE.lastrow)-ROW(PLE.firstrow))),0,IF(OFFSET(PLE!$G$14,$M610,CH$13)="",10^12,OFFSET(PLE!$G$14,$M610,CH$13))))</f>
        <v>1000000000000</v>
      </c>
      <c r="CI610" s="182">
        <f ca="1">IF($D610&lt;&gt;"Serviço",0,IF(OR(AND(AUTOEVENTO="Manual",$M610=1),$M610&gt;(ROW(PLE.lastrow)-ROW(PLE.firstrow))),0,IF(OFFSET(PLE!$G$14,$M610,CI$13)="",10^12,OFFSET(PLE!$G$14,$M610,CI$13))))</f>
        <v>1000000000000</v>
      </c>
      <c r="CJ610" s="182">
        <f ca="1">IF($D610&lt;&gt;"Serviço",0,IF(OR(AND(AUTOEVENTO="Manual",$M610=1),$M610&gt;(ROW(PLE.lastrow)-ROW(PLE.firstrow))),0,IF(OFFSET(PLE!$G$14,$M610,CJ$13)="",10^12,OFFSET(PLE!$G$14,$M610,CJ$13))))</f>
        <v>1000000000000</v>
      </c>
      <c r="CK610" s="182">
        <f ca="1">IF($D610&lt;&gt;"Serviço",0,IF(OR(AND(AUTOEVENTO="Manual",$M610=1),$M610&gt;(ROW(PLE.lastrow)-ROW(PLE.firstrow))),0,IF(OFFSET(PLE!$G$14,$M610,CK$13)="",10^12,OFFSET(PLE!$G$14,$M610,CK$13))))</f>
        <v>1000000000000</v>
      </c>
      <c r="CL610" s="182">
        <f ca="1">IF($D610&lt;&gt;"Serviço",0,IF(OR(AND(AUTOEVENTO="Manual",$M610=1),$M610&gt;(ROW(PLE.lastrow)-ROW(PLE.firstrow))),0,IF(OFFSET(PLE!$G$14,$M610,CL$13)="",10^12,OFFSET(PLE!$G$14,$M610,CL$13))))</f>
        <v>1000000000000</v>
      </c>
      <c r="CM610" s="182">
        <f ca="1">IF($D610&lt;&gt;"Serviço",0,IF(OR(AND(AUTOEVENTO="Manual",$M610=1),$M610&gt;(ROW(PLE.lastrow)-ROW(PLE.firstrow))),0,IF(OFFSET(PLE!$G$14,$M610,CM$13)="",10^12,OFFSET(PLE!$G$14,$M610,CM$13))))</f>
        <v>1000000000000</v>
      </c>
    </row>
    <row r="611" spans="1:91" ht="51" x14ac:dyDescent="0.2">
      <c r="A611" s="7" t="str">
        <f t="shared" ca="1" si="18"/>
        <v>592</v>
      </c>
      <c r="B611" s="7" t="str">
        <f ca="1">OFFSET(ORÇAMENTO!C$15,ROW(B611)-ROW(B$15),0)</f>
        <v>S</v>
      </c>
      <c r="C611" s="7" t="str">
        <f ca="1">OFFSET(ORÇAMENTO!L$15,ROW(C611)-ROW(C$15),0)</f>
        <v/>
      </c>
      <c r="D611" s="118" t="str">
        <f ca="1">OFFSET(ORÇAMENTO!N$15,ROW(D611)-ROW(D$15),0)</f>
        <v>Serviço</v>
      </c>
      <c r="E611" s="119" t="str">
        <f ca="1">OFFSET(ORÇAMENTO!O$15,ROW(E611)-ROW(E$15),0)</f>
        <v>-</v>
      </c>
      <c r="F611" s="172" t="str">
        <f ca="1">OFFSET(ORÇAMENTO!R$15,ROW(F611)-ROW(F$15),0)</f>
        <v>(abra o arquivo 'Referência 06-2024.xlsm)</v>
      </c>
      <c r="G611" s="173" t="str">
        <f ca="1">IF($D611&lt;&gt;"Serviço","",OFFSET(ORÇAMENTO!S$15,ROW(G611)-ROW(G$15),0))</f>
        <v>-</v>
      </c>
      <c r="H611" s="124">
        <f ca="1">IF($D611&lt;&gt;"Serviço",0,IF(ACOMPANHAMENTO="BM",ROUND(OFFSET(ORÇAMENTO!AJ$15,ROW(H611)-ROW(H$15),0),15-13*ORÇAMENTO!$AF$7),SUMPRODUCT(($Q$12:$AI$12&lt;&gt;"")*ROUND($Q611:$AI611,15-13*ORÇAMENTO!$AF$7))))</f>
        <v>154.9</v>
      </c>
      <c r="I611" s="561" t="s">
        <v>1107</v>
      </c>
      <c r="K611" s="174"/>
      <c r="L611" s="175" t="s">
        <v>255</v>
      </c>
      <c r="M611" s="176">
        <f ca="1">IF($D611&lt;&gt;"Serviço","",IF(AUTOEVENTO="manual",$A611,IF(ISERROR(MATCH($A611,$A$15:OFFSET($A611,-1,0),0)),MAX($M$15:OFFSET(M611,-1,0))+1,INDEX($M$15:OFFSET(M611,-1,0),MATCH($A611,$A$15:OFFSET($A611,-1,0),0)))))</f>
        <v>63</v>
      </c>
      <c r="N611" s="177" t="str">
        <f ca="1">IF($D611&lt;&gt;"Serviço","",IF(AUTOEVENTO="Manual",IF($A611=0,"&lt;-- defina o número do agrupador",OFFSET(EVENTOS!$D$14,$A611,0)),OFFSET($F$15,$A611,0)))</f>
        <v>INSTALAÇÕES DE CLIMATIZAÇÃO - DUTOS</v>
      </c>
      <c r="O611" s="178"/>
      <c r="Q611" s="178">
        <v>154.9</v>
      </c>
      <c r="R611" s="179"/>
      <c r="S611" s="179"/>
      <c r="T611" s="179"/>
      <c r="U611" s="179"/>
      <c r="V611" s="179"/>
      <c r="W611" s="179"/>
      <c r="X611" s="179"/>
      <c r="Y611" s="179"/>
      <c r="Z611" s="180"/>
      <c r="AA611" s="179"/>
      <c r="AB611" s="179"/>
      <c r="AC611" s="179"/>
      <c r="AD611" s="179"/>
      <c r="AE611" s="179"/>
      <c r="AF611" s="179"/>
      <c r="AG611" s="179"/>
      <c r="AH611" s="180"/>
      <c r="AJ611" s="544">
        <f ca="1">IF(AND($D611="Serviço",AJ$12&lt;&gt;0,$H611&gt;0,OR(AUTOEVENTO&lt;&gt;"manual",$M611&lt;&gt;1)),
IF(Import.TipoArredondamento&lt;&gt;"TransfereGOV",
ROUND(OFFSET($P611,0,AJ$13),15-13*ORÇAMENTO!$AF$7)/$H611*OFFSET(ORÇAMENTO!$X$15,ROW(AJ611)-ROW(AJ$15),0),
ROUND(ROUND(OFFSET($P611,0,AJ$13),15-13*ORÇAMENTO!$AF$7)*OFFSET(ORÇAMENTO!$W$15,ROW(AJ611)-ROW(AJ$15),0),15-13*ORÇAMENTO!$AF$11)),0)</f>
        <v>0</v>
      </c>
      <c r="AK611" s="545">
        <f ca="1">IF(AND($D611="Serviço",AK$12&lt;&gt;0,$H611&gt;0,OR(AUTOEVENTO&lt;&gt;"manual",$M611&lt;&gt;1)),
IF(Import.TipoArredondamento&lt;&gt;"TransfereGOV",
ROUND(OFFSET($P611,0,AK$13),15-13*ORÇAMENTO!$AF$7)/$H611*OFFSET(ORÇAMENTO!$X$15,ROW(AK611)-ROW(AK$15),0),
ROUND(ROUND(OFFSET($P611,0,AK$13),15-13*ORÇAMENTO!$AF$7)*OFFSET(ORÇAMENTO!$W$15,ROW(AK611)-ROW(AK$15),0),15-13*ORÇAMENTO!$AF$11)),0)</f>
        <v>0</v>
      </c>
      <c r="AL611" s="545">
        <f ca="1">IF(AND($D611="Serviço",AL$12&lt;&gt;0,$H611&gt;0,OR(AUTOEVENTO&lt;&gt;"manual",$M611&lt;&gt;1)),
IF(Import.TipoArredondamento&lt;&gt;"TransfereGOV",
ROUND(OFFSET($P611,0,AL$13),15-13*ORÇAMENTO!$AF$7)/$H611*OFFSET(ORÇAMENTO!$X$15,ROW(AL611)-ROW(AL$15),0),
ROUND(ROUND(OFFSET($P611,0,AL$13),15-13*ORÇAMENTO!$AF$7)*OFFSET(ORÇAMENTO!$W$15,ROW(AL611)-ROW(AL$15),0),15-13*ORÇAMENTO!$AF$11)),0)</f>
        <v>0</v>
      </c>
      <c r="AM611" s="545">
        <f ca="1">IF(AND($D611="Serviço",AM$12&lt;&gt;0,$H611&gt;0,OR(AUTOEVENTO&lt;&gt;"manual",$M611&lt;&gt;1)),
IF(Import.TipoArredondamento&lt;&gt;"TransfereGOV",
ROUND(OFFSET($P611,0,AM$13),15-13*ORÇAMENTO!$AF$7)/$H611*OFFSET(ORÇAMENTO!$X$15,ROW(AM611)-ROW(AM$15),0),
ROUND(ROUND(OFFSET($P611,0,AM$13),15-13*ORÇAMENTO!$AF$7)*OFFSET(ORÇAMENTO!$W$15,ROW(AM611)-ROW(AM$15),0),15-13*ORÇAMENTO!$AF$11)),0)</f>
        <v>0</v>
      </c>
      <c r="AN611" s="545">
        <f ca="1">IF(AND($D611="Serviço",AN$12&lt;&gt;0,$H611&gt;0,OR(AUTOEVENTO&lt;&gt;"manual",$M611&lt;&gt;1)),
IF(Import.TipoArredondamento&lt;&gt;"TransfereGOV",
ROUND(OFFSET($P611,0,AN$13),15-13*ORÇAMENTO!$AF$7)/$H611*OFFSET(ORÇAMENTO!$X$15,ROW(AN611)-ROW(AN$15),0),
ROUND(ROUND(OFFSET($P611,0,AN$13),15-13*ORÇAMENTO!$AF$7)*OFFSET(ORÇAMENTO!$W$15,ROW(AN611)-ROW(AN$15),0),15-13*ORÇAMENTO!$AF$11)),0)</f>
        <v>0</v>
      </c>
      <c r="AO611" s="545">
        <f ca="1">IF(AND($D611="Serviço",AO$12&lt;&gt;0,$H611&gt;0,OR(AUTOEVENTO&lt;&gt;"manual",$M611&lt;&gt;1)),
IF(Import.TipoArredondamento&lt;&gt;"TransfereGOV",
ROUND(OFFSET($P611,0,AO$13),15-13*ORÇAMENTO!$AF$7)/$H611*OFFSET(ORÇAMENTO!$X$15,ROW(AO611)-ROW(AO$15),0),
ROUND(ROUND(OFFSET($P611,0,AO$13),15-13*ORÇAMENTO!$AF$7)*OFFSET(ORÇAMENTO!$W$15,ROW(AO611)-ROW(AO$15),0),15-13*ORÇAMENTO!$AF$11)),0)</f>
        <v>0</v>
      </c>
      <c r="AP611" s="545">
        <f ca="1">IF(AND($D611="Serviço",AP$12&lt;&gt;0,$H611&gt;0,OR(AUTOEVENTO&lt;&gt;"manual",$M611&lt;&gt;1)),
IF(Import.TipoArredondamento&lt;&gt;"TransfereGOV",
ROUND(OFFSET($P611,0,AP$13),15-13*ORÇAMENTO!$AF$7)/$H611*OFFSET(ORÇAMENTO!$X$15,ROW(AP611)-ROW(AP$15),0),
ROUND(ROUND(OFFSET($P611,0,AP$13),15-13*ORÇAMENTO!$AF$7)*OFFSET(ORÇAMENTO!$W$15,ROW(AP611)-ROW(AP$15),0),15-13*ORÇAMENTO!$AF$11)),0)</f>
        <v>0</v>
      </c>
      <c r="AQ611" s="545">
        <f ca="1">IF(AND($D611="Serviço",AQ$12&lt;&gt;0,$H611&gt;0,OR(AUTOEVENTO&lt;&gt;"manual",$M611&lt;&gt;1)),
IF(Import.TipoArredondamento&lt;&gt;"TransfereGOV",
ROUND(OFFSET($P611,0,AQ$13),15-13*ORÇAMENTO!$AF$7)/$H611*OFFSET(ORÇAMENTO!$X$15,ROW(AQ611)-ROW(AQ$15),0),
ROUND(ROUND(OFFSET($P611,0,AQ$13),15-13*ORÇAMENTO!$AF$7)*OFFSET(ORÇAMENTO!$W$15,ROW(AQ611)-ROW(AQ$15),0),15-13*ORÇAMENTO!$AF$11)),0)</f>
        <v>0</v>
      </c>
      <c r="AR611" s="545">
        <f ca="1">IF(AND($D611="Serviço",AR$12&lt;&gt;0,$H611&gt;0,OR(AUTOEVENTO&lt;&gt;"manual",$M611&lt;&gt;1)),
IF(Import.TipoArredondamento&lt;&gt;"TransfereGOV",
ROUND(OFFSET($P611,0,AR$13),15-13*ORÇAMENTO!$AF$7)/$H611*OFFSET(ORÇAMENTO!$X$15,ROW(AR611)-ROW(AR$15),0),
ROUND(ROUND(OFFSET($P611,0,AR$13),15-13*ORÇAMENTO!$AF$7)*OFFSET(ORÇAMENTO!$W$15,ROW(AR611)-ROW(AR$15),0),15-13*ORÇAMENTO!$AF$11)),0)</f>
        <v>0</v>
      </c>
      <c r="AS611" s="546">
        <f ca="1">IF(AND($D611="Serviço",AS$12&lt;&gt;0,$H611&gt;0,OR(AUTOEVENTO&lt;&gt;"manual",$M611&lt;&gt;1)),
IF(Import.TipoArredondamento&lt;&gt;"TransfereGOV",
ROUND(OFFSET($P611,0,AS$13),15-13*ORÇAMENTO!$AF$7)/$H611*OFFSET(ORÇAMENTO!$X$15,ROW(AS611)-ROW(AS$15),0),
ROUND(ROUND(OFFSET($P611,0,AS$13),15-13*ORÇAMENTO!$AF$7)*OFFSET(ORÇAMENTO!$W$15,ROW(AS611)-ROW(AS$15),0),15-13*ORÇAMENTO!$AF$11)),0)</f>
        <v>0</v>
      </c>
      <c r="AT611" s="545">
        <f ca="1">IF(AND($D611="Serviço",AT$12&lt;&gt;0,$H611&gt;0,OR(AUTOEVENTO&lt;&gt;"manual",$M611&lt;&gt;1)),
IF(Import.TipoArredondamento&lt;&gt;"TransfereGOV",
ROUND(OFFSET($P611,0,AT$13),15-13*ORÇAMENTO!$AF$7)/$H611*OFFSET(ORÇAMENTO!$X$15,ROW(AT611)-ROW(AT$15),0),
ROUND(ROUND(OFFSET($P611,0,AT$13),15-13*ORÇAMENTO!$AF$7)*OFFSET(ORÇAMENTO!$W$15,ROW(AT611)-ROW(AT$15),0),15-13*ORÇAMENTO!$AF$11)),0)</f>
        <v>0</v>
      </c>
      <c r="AU611" s="545">
        <f ca="1">IF(AND($D611="Serviço",AU$12&lt;&gt;0,$H611&gt;0,OR(AUTOEVENTO&lt;&gt;"manual",$M611&lt;&gt;1)),
IF(Import.TipoArredondamento&lt;&gt;"TransfereGOV",
ROUND(OFFSET($P611,0,AU$13),15-13*ORÇAMENTO!$AF$7)/$H611*OFFSET(ORÇAMENTO!$X$15,ROW(AU611)-ROW(AU$15),0),
ROUND(ROUND(OFFSET($P611,0,AU$13),15-13*ORÇAMENTO!$AF$7)*OFFSET(ORÇAMENTO!$W$15,ROW(AU611)-ROW(AU$15),0),15-13*ORÇAMENTO!$AF$11)),0)</f>
        <v>0</v>
      </c>
      <c r="AV611" s="545">
        <f ca="1">IF(AND($D611="Serviço",AV$12&lt;&gt;0,$H611&gt;0,OR(AUTOEVENTO&lt;&gt;"manual",$M611&lt;&gt;1)),
IF(Import.TipoArredondamento&lt;&gt;"TransfereGOV",
ROUND(OFFSET($P611,0,AV$13),15-13*ORÇAMENTO!$AF$7)/$H611*OFFSET(ORÇAMENTO!$X$15,ROW(AV611)-ROW(AV$15),0),
ROUND(ROUND(OFFSET($P611,0,AV$13),15-13*ORÇAMENTO!$AF$7)*OFFSET(ORÇAMENTO!$W$15,ROW(AV611)-ROW(AV$15),0),15-13*ORÇAMENTO!$AF$11)),0)</f>
        <v>0</v>
      </c>
      <c r="AW611" s="545">
        <f ca="1">IF(AND($D611="Serviço",AW$12&lt;&gt;0,$H611&gt;0,OR(AUTOEVENTO&lt;&gt;"manual",$M611&lt;&gt;1)),
IF(Import.TipoArredondamento&lt;&gt;"TransfereGOV",
ROUND(OFFSET($P611,0,AW$13),15-13*ORÇAMENTO!$AF$7)/$H611*OFFSET(ORÇAMENTO!$X$15,ROW(AW611)-ROW(AW$15),0),
ROUND(ROUND(OFFSET($P611,0,AW$13),15-13*ORÇAMENTO!$AF$7)*OFFSET(ORÇAMENTO!$W$15,ROW(AW611)-ROW(AW$15),0),15-13*ORÇAMENTO!$AF$11)),0)</f>
        <v>0</v>
      </c>
      <c r="AX611" s="545">
        <f ca="1">IF(AND($D611="Serviço",AX$12&lt;&gt;0,$H611&gt;0,OR(AUTOEVENTO&lt;&gt;"manual",$M611&lt;&gt;1)),
IF(Import.TipoArredondamento&lt;&gt;"TransfereGOV",
ROUND(OFFSET($P611,0,AX$13),15-13*ORÇAMENTO!$AF$7)/$H611*OFFSET(ORÇAMENTO!$X$15,ROW(AX611)-ROW(AX$15),0),
ROUND(ROUND(OFFSET($P611,0,AX$13),15-13*ORÇAMENTO!$AF$7)*OFFSET(ORÇAMENTO!$W$15,ROW(AX611)-ROW(AX$15),0),15-13*ORÇAMENTO!$AF$11)),0)</f>
        <v>0</v>
      </c>
      <c r="AY611" s="545">
        <f ca="1">IF(AND($D611="Serviço",AY$12&lt;&gt;0,$H611&gt;0,OR(AUTOEVENTO&lt;&gt;"manual",$M611&lt;&gt;1)),
IF(Import.TipoArredondamento&lt;&gt;"TransfereGOV",
ROUND(OFFSET($P611,0,AY$13),15-13*ORÇAMENTO!$AF$7)/$H611*OFFSET(ORÇAMENTO!$X$15,ROW(AY611)-ROW(AY$15),0),
ROUND(ROUND(OFFSET($P611,0,AY$13),15-13*ORÇAMENTO!$AF$7)*OFFSET(ORÇAMENTO!$W$15,ROW(AY611)-ROW(AY$15),0),15-13*ORÇAMENTO!$AF$11)),0)</f>
        <v>0</v>
      </c>
      <c r="AZ611" s="545">
        <f ca="1">IF(AND($D611="Serviço",AZ$12&lt;&gt;0,$H611&gt;0,OR(AUTOEVENTO&lt;&gt;"manual",$M611&lt;&gt;1)),
IF(Import.TipoArredondamento&lt;&gt;"TransfereGOV",
ROUND(OFFSET($P611,0,AZ$13),15-13*ORÇAMENTO!$AF$7)/$H611*OFFSET(ORÇAMENTO!$X$15,ROW(AZ611)-ROW(AZ$15),0),
ROUND(ROUND(OFFSET($P611,0,AZ$13),15-13*ORÇAMENTO!$AF$7)*OFFSET(ORÇAMENTO!$W$15,ROW(AZ611)-ROW(AZ$15),0),15-13*ORÇAMENTO!$AF$11)),0)</f>
        <v>0</v>
      </c>
      <c r="BA611" s="546">
        <f ca="1">IF(AND($D611="Serviço",BA$12&lt;&gt;0,$H611&gt;0,OR(AUTOEVENTO&lt;&gt;"manual",$M611&lt;&gt;1)),
IF(Import.TipoArredondamento&lt;&gt;"TransfereGOV",
ROUND(OFFSET($P611,0,BA$13),15-13*ORÇAMENTO!$AF$7)/$H611*OFFSET(ORÇAMENTO!$X$15,ROW(BA611)-ROW(BA$15),0),
ROUND(ROUND(OFFSET($P611,0,BA$13),15-13*ORÇAMENTO!$AF$7)*OFFSET(ORÇAMENTO!$W$15,ROW(BA611)-ROW(BA$15),0),15-13*ORÇAMENTO!$AF$11)),0)</f>
        <v>0</v>
      </c>
      <c r="BC611" s="181">
        <f ca="1">IF($D611&lt;&gt;"Serviço",0,IF(AND(AUTOEVENTO="Manual",$M611=1),0,IF(OFFSET(CRONOPLE!$F$14,$M611,BC$13)="",10^12,OFFSET(CRONOPLE!$F$14,$M611,BC$13))))</f>
        <v>11</v>
      </c>
      <c r="BD611" s="181">
        <f ca="1">IF($D611&lt;&gt;"Serviço",0,IF(AND(AUTOEVENTO="Manual",$M611=1),0,IF(OFFSET(CRONOPLE!$F$14,$M611,BD$13)="",10^12,OFFSET(CRONOPLE!$F$14,$M611,BD$13))))</f>
        <v>1000000000000</v>
      </c>
      <c r="BE611" s="181">
        <f ca="1">IF($D611&lt;&gt;"Serviço",0,IF(AND(AUTOEVENTO="Manual",$M611=1),0,IF(OFFSET(CRONOPLE!$F$14,$M611,BE$13)="",10^12,OFFSET(CRONOPLE!$F$14,$M611,BE$13))))</f>
        <v>1000000000000</v>
      </c>
      <c r="BF611" s="181">
        <f ca="1">IF($D611&lt;&gt;"Serviço",0,IF(AND(AUTOEVENTO="Manual",$M611=1),0,IF(OFFSET(CRONOPLE!$F$14,$M611,BF$13)="",10^12,OFFSET(CRONOPLE!$F$14,$M611,BF$13))))</f>
        <v>1000000000000</v>
      </c>
      <c r="BG611" s="181">
        <f ca="1">IF($D611&lt;&gt;"Serviço",0,IF(AND(AUTOEVENTO="Manual",$M611=1),0,IF(OFFSET(CRONOPLE!$F$14,$M611,BG$13)="",10^12,OFFSET(CRONOPLE!$F$14,$M611,BG$13))))</f>
        <v>1000000000000</v>
      </c>
      <c r="BH611" s="181">
        <f ca="1">IF($D611&lt;&gt;"Serviço",0,IF(AND(AUTOEVENTO="Manual",$M611=1),0,IF(OFFSET(CRONOPLE!$F$14,$M611,BH$13)="",10^12,OFFSET(CRONOPLE!$F$14,$M611,BH$13))))</f>
        <v>1000000000000</v>
      </c>
      <c r="BI611" s="181">
        <f ca="1">IF($D611&lt;&gt;"Serviço",0,IF(AND(AUTOEVENTO="Manual",$M611=1),0,IF(OFFSET(CRONOPLE!$F$14,$M611,BI$13)="",10^12,OFFSET(CRONOPLE!$F$14,$M611,BI$13))))</f>
        <v>1000000000000</v>
      </c>
      <c r="BJ611" s="181">
        <f ca="1">IF($D611&lt;&gt;"Serviço",0,IF(AND(AUTOEVENTO="Manual",$M611=1),0,IF(OFFSET(CRONOPLE!$F$14,$M611,BJ$13)="",10^12,OFFSET(CRONOPLE!$F$14,$M611,BJ$13))))</f>
        <v>1000000000000</v>
      </c>
      <c r="BK611" s="181">
        <f ca="1">IF($D611&lt;&gt;"Serviço",0,IF(AND(AUTOEVENTO="Manual",$M611=1),0,IF(OFFSET(CRONOPLE!$F$14,$M611,BK$13)="",10^12,OFFSET(CRONOPLE!$F$14,$M611,BK$13))))</f>
        <v>1000000000000</v>
      </c>
      <c r="BL611" s="181">
        <f ca="1">IF($D611&lt;&gt;"Serviço",0,IF(AND(AUTOEVENTO="Manual",$M611=1),0,IF(OFFSET(CRONOPLE!$F$14,$M611,BL$13)="",10^12,OFFSET(CRONOPLE!$F$14,$M611,BL$13))))</f>
        <v>1000000000000</v>
      </c>
      <c r="BM611" s="181">
        <f ca="1">IF($D611&lt;&gt;"Serviço",0,IF(AND(AUTOEVENTO="Manual",$M611=1),0,IF(OFFSET(CRONOPLE!$F$14,$M611,BM$13)="",10^12,OFFSET(CRONOPLE!$F$14,$M611,BM$13))))</f>
        <v>1000000000000</v>
      </c>
      <c r="BN611" s="181">
        <f ca="1">IF($D611&lt;&gt;"Serviço",0,IF(AND(AUTOEVENTO="Manual",$M611=1),0,IF(OFFSET(CRONOPLE!$F$14,$M611,BN$13)="",10^12,OFFSET(CRONOPLE!$F$14,$M611,BN$13))))</f>
        <v>1000000000000</v>
      </c>
      <c r="BO611" s="181">
        <f ca="1">IF($D611&lt;&gt;"Serviço",0,IF(AND(AUTOEVENTO="Manual",$M611=1),0,IF(OFFSET(CRONOPLE!$F$14,$M611,BO$13)="",10^12,OFFSET(CRONOPLE!$F$14,$M611,BO$13))))</f>
        <v>1000000000000</v>
      </c>
      <c r="BP611" s="181">
        <f ca="1">IF($D611&lt;&gt;"Serviço",0,IF(AND(AUTOEVENTO="Manual",$M611=1),0,IF(OFFSET(CRONOPLE!$F$14,$M611,BP$13)="",10^12,OFFSET(CRONOPLE!$F$14,$M611,BP$13))))</f>
        <v>1000000000000</v>
      </c>
      <c r="BQ611" s="181">
        <f ca="1">IF($D611&lt;&gt;"Serviço",0,IF(AND(AUTOEVENTO="Manual",$M611=1),0,IF(OFFSET(CRONOPLE!$F$14,$M611,BQ$13)="",10^12,OFFSET(CRONOPLE!$F$14,$M611,BQ$13))))</f>
        <v>1000000000000</v>
      </c>
      <c r="BR611" s="181">
        <f ca="1">IF($D611&lt;&gt;"Serviço",0,IF(AND(AUTOEVENTO="Manual",$M611=1),0,IF(OFFSET(CRONOPLE!$F$14,$M611,BR$13)="",10^12,OFFSET(CRONOPLE!$F$14,$M611,BR$13))))</f>
        <v>1000000000000</v>
      </c>
      <c r="BS611" s="181">
        <f ca="1">IF($D611&lt;&gt;"Serviço",0,IF(AND(AUTOEVENTO="Manual",$M611=1),0,IF(OFFSET(CRONOPLE!$F$14,$M611,BS$13)="",10^12,OFFSET(CRONOPLE!$F$14,$M611,BS$13))))</f>
        <v>1000000000000</v>
      </c>
      <c r="BT611" s="181">
        <f ca="1">IF($D611&lt;&gt;"Serviço",0,IF(AND(AUTOEVENTO="Manual",$M611=1),0,IF(OFFSET(CRONOPLE!$F$14,$M611,BT$13)="",10^12,OFFSET(CRONOPLE!$F$14,$M611,BT$13))))</f>
        <v>1000000000000</v>
      </c>
      <c r="BV611" s="182">
        <f ca="1">IF($D611&lt;&gt;"Serviço",0,IF(OR(AND(AUTOEVENTO="Manual",$M611=1),$M611&gt;(ROW(PLE.lastrow)-ROW(PLE.firstrow))),0,IF(OFFSET(PLE!$G$14,$M611,BV$13)="",10^12,OFFSET(PLE!$G$14,$M611,BV$13))))</f>
        <v>1000000000000</v>
      </c>
      <c r="BW611" s="182">
        <f ca="1">IF($D611&lt;&gt;"Serviço",0,IF(OR(AND(AUTOEVENTO="Manual",$M611=1),$M611&gt;(ROW(PLE.lastrow)-ROW(PLE.firstrow))),0,IF(OFFSET(PLE!$G$14,$M611,BW$13)="",10^12,OFFSET(PLE!$G$14,$M611,BW$13))))</f>
        <v>1000000000000</v>
      </c>
      <c r="BX611" s="182">
        <f ca="1">IF($D611&lt;&gt;"Serviço",0,IF(OR(AND(AUTOEVENTO="Manual",$M611=1),$M611&gt;(ROW(PLE.lastrow)-ROW(PLE.firstrow))),0,IF(OFFSET(PLE!$G$14,$M611,BX$13)="",10^12,OFFSET(PLE!$G$14,$M611,BX$13))))</f>
        <v>1000000000000</v>
      </c>
      <c r="BY611" s="182">
        <f ca="1">IF($D611&lt;&gt;"Serviço",0,IF(OR(AND(AUTOEVENTO="Manual",$M611=1),$M611&gt;(ROW(PLE.lastrow)-ROW(PLE.firstrow))),0,IF(OFFSET(PLE!$G$14,$M611,BY$13)="",10^12,OFFSET(PLE!$G$14,$M611,BY$13))))</f>
        <v>1000000000000</v>
      </c>
      <c r="BZ611" s="182">
        <f ca="1">IF($D611&lt;&gt;"Serviço",0,IF(OR(AND(AUTOEVENTO="Manual",$M611=1),$M611&gt;(ROW(PLE.lastrow)-ROW(PLE.firstrow))),0,IF(OFFSET(PLE!$G$14,$M611,BZ$13)="",10^12,OFFSET(PLE!$G$14,$M611,BZ$13))))</f>
        <v>1000000000000</v>
      </c>
      <c r="CA611" s="182">
        <f ca="1">IF($D611&lt;&gt;"Serviço",0,IF(OR(AND(AUTOEVENTO="Manual",$M611=1),$M611&gt;(ROW(PLE.lastrow)-ROW(PLE.firstrow))),0,IF(OFFSET(PLE!$G$14,$M611,CA$13)="",10^12,OFFSET(PLE!$G$14,$M611,CA$13))))</f>
        <v>1000000000000</v>
      </c>
      <c r="CB611" s="182">
        <f ca="1">IF($D611&lt;&gt;"Serviço",0,IF(OR(AND(AUTOEVENTO="Manual",$M611=1),$M611&gt;(ROW(PLE.lastrow)-ROW(PLE.firstrow))),0,IF(OFFSET(PLE!$G$14,$M611,CB$13)="",10^12,OFFSET(PLE!$G$14,$M611,CB$13))))</f>
        <v>1000000000000</v>
      </c>
      <c r="CC611" s="182">
        <f ca="1">IF($D611&lt;&gt;"Serviço",0,IF(OR(AND(AUTOEVENTO="Manual",$M611=1),$M611&gt;(ROW(PLE.lastrow)-ROW(PLE.firstrow))),0,IF(OFFSET(PLE!$G$14,$M611,CC$13)="",10^12,OFFSET(PLE!$G$14,$M611,CC$13))))</f>
        <v>1000000000000</v>
      </c>
      <c r="CD611" s="182">
        <f ca="1">IF($D611&lt;&gt;"Serviço",0,IF(OR(AND(AUTOEVENTO="Manual",$M611=1),$M611&gt;(ROW(PLE.lastrow)-ROW(PLE.firstrow))),0,IF(OFFSET(PLE!$G$14,$M611,CD$13)="",10^12,OFFSET(PLE!$G$14,$M611,CD$13))))</f>
        <v>1000000000000</v>
      </c>
      <c r="CE611" s="182">
        <f ca="1">IF($D611&lt;&gt;"Serviço",0,IF(OR(AND(AUTOEVENTO="Manual",$M611=1),$M611&gt;(ROW(PLE.lastrow)-ROW(PLE.firstrow))),0,IF(OFFSET(PLE!$G$14,$M611,CE$13)="",10^12,OFFSET(PLE!$G$14,$M611,CE$13))))</f>
        <v>1000000000000</v>
      </c>
      <c r="CF611" s="182">
        <f ca="1">IF($D611&lt;&gt;"Serviço",0,IF(OR(AND(AUTOEVENTO="Manual",$M611=1),$M611&gt;(ROW(PLE.lastrow)-ROW(PLE.firstrow))),0,IF(OFFSET(PLE!$G$14,$M611,CF$13)="",10^12,OFFSET(PLE!$G$14,$M611,CF$13))))</f>
        <v>1000000000000</v>
      </c>
      <c r="CG611" s="182">
        <f ca="1">IF($D611&lt;&gt;"Serviço",0,IF(OR(AND(AUTOEVENTO="Manual",$M611=1),$M611&gt;(ROW(PLE.lastrow)-ROW(PLE.firstrow))),0,IF(OFFSET(PLE!$G$14,$M611,CG$13)="",10^12,OFFSET(PLE!$G$14,$M611,CG$13))))</f>
        <v>1000000000000</v>
      </c>
      <c r="CH611" s="182">
        <f ca="1">IF($D611&lt;&gt;"Serviço",0,IF(OR(AND(AUTOEVENTO="Manual",$M611=1),$M611&gt;(ROW(PLE.lastrow)-ROW(PLE.firstrow))),0,IF(OFFSET(PLE!$G$14,$M611,CH$13)="",10^12,OFFSET(PLE!$G$14,$M611,CH$13))))</f>
        <v>1000000000000</v>
      </c>
      <c r="CI611" s="182">
        <f ca="1">IF($D611&lt;&gt;"Serviço",0,IF(OR(AND(AUTOEVENTO="Manual",$M611=1),$M611&gt;(ROW(PLE.lastrow)-ROW(PLE.firstrow))),0,IF(OFFSET(PLE!$G$14,$M611,CI$13)="",10^12,OFFSET(PLE!$G$14,$M611,CI$13))))</f>
        <v>1000000000000</v>
      </c>
      <c r="CJ611" s="182">
        <f ca="1">IF($D611&lt;&gt;"Serviço",0,IF(OR(AND(AUTOEVENTO="Manual",$M611=1),$M611&gt;(ROW(PLE.lastrow)-ROW(PLE.firstrow))),0,IF(OFFSET(PLE!$G$14,$M611,CJ$13)="",10^12,OFFSET(PLE!$G$14,$M611,CJ$13))))</f>
        <v>1000000000000</v>
      </c>
      <c r="CK611" s="182">
        <f ca="1">IF($D611&lt;&gt;"Serviço",0,IF(OR(AND(AUTOEVENTO="Manual",$M611=1),$M611&gt;(ROW(PLE.lastrow)-ROW(PLE.firstrow))),0,IF(OFFSET(PLE!$G$14,$M611,CK$13)="",10^12,OFFSET(PLE!$G$14,$M611,CK$13))))</f>
        <v>1000000000000</v>
      </c>
      <c r="CL611" s="182">
        <f ca="1">IF($D611&lt;&gt;"Serviço",0,IF(OR(AND(AUTOEVENTO="Manual",$M611=1),$M611&gt;(ROW(PLE.lastrow)-ROW(PLE.firstrow))),0,IF(OFFSET(PLE!$G$14,$M611,CL$13)="",10^12,OFFSET(PLE!$G$14,$M611,CL$13))))</f>
        <v>1000000000000</v>
      </c>
      <c r="CM611" s="182">
        <f ca="1">IF($D611&lt;&gt;"Serviço",0,IF(OR(AND(AUTOEVENTO="Manual",$M611=1),$M611&gt;(ROW(PLE.lastrow)-ROW(PLE.firstrow))),0,IF(OFFSET(PLE!$G$14,$M611,CM$13)="",10^12,OFFSET(PLE!$G$14,$M611,CM$13))))</f>
        <v>1000000000000</v>
      </c>
    </row>
    <row r="612" spans="1:91" ht="38.25" x14ac:dyDescent="0.2">
      <c r="A612" s="7" t="str">
        <f t="shared" ca="1" si="18"/>
        <v>592</v>
      </c>
      <c r="B612" s="7" t="str">
        <f ca="1">OFFSET(ORÇAMENTO!C$15,ROW(B612)-ROW(B$15),0)</f>
        <v>S</v>
      </c>
      <c r="C612" s="7" t="str">
        <f ca="1">OFFSET(ORÇAMENTO!L$15,ROW(C612)-ROW(C$15),0)</f>
        <v/>
      </c>
      <c r="D612" s="118" t="str">
        <f ca="1">OFFSET(ORÇAMENTO!N$15,ROW(D612)-ROW(D$15),0)</f>
        <v>Serviço</v>
      </c>
      <c r="E612" s="119" t="str">
        <f ca="1">OFFSET(ORÇAMENTO!O$15,ROW(E612)-ROW(E$15),0)</f>
        <v>-</v>
      </c>
      <c r="F612" s="172" t="str">
        <f ca="1">OFFSET(ORÇAMENTO!R$15,ROW(F612)-ROW(F$15),0)</f>
        <v>(abra o arquivo 'Referência 06-2024.xlsm)</v>
      </c>
      <c r="G612" s="173" t="str">
        <f ca="1">IF($D612&lt;&gt;"Serviço","",OFFSET(ORÇAMENTO!S$15,ROW(G612)-ROW(G$15),0))</f>
        <v>-</v>
      </c>
      <c r="H612" s="124">
        <f ca="1">IF($D612&lt;&gt;"Serviço",0,IF(ACOMPANHAMENTO="BM",ROUND(OFFSET(ORÇAMENTO!AJ$15,ROW(H612)-ROW(H$15),0),15-13*ORÇAMENTO!$AF$7),SUMPRODUCT(($Q$12:$AI$12&lt;&gt;"")*ROUND($Q612:$AI612,15-13*ORÇAMENTO!$AF$7))))</f>
        <v>138</v>
      </c>
      <c r="I612" s="561" t="s">
        <v>1107</v>
      </c>
      <c r="K612" s="174"/>
      <c r="L612" s="175" t="s">
        <v>255</v>
      </c>
      <c r="M612" s="176">
        <f ca="1">IF($D612&lt;&gt;"Serviço","",IF(AUTOEVENTO="manual",$A612,IF(ISERROR(MATCH($A612,$A$15:OFFSET($A612,-1,0),0)),MAX($M$15:OFFSET(M612,-1,0))+1,INDEX($M$15:OFFSET(M612,-1,0),MATCH($A612,$A$15:OFFSET($A612,-1,0),0)))))</f>
        <v>63</v>
      </c>
      <c r="N612" s="177" t="str">
        <f ca="1">IF($D612&lt;&gt;"Serviço","",IF(AUTOEVENTO="Manual",IF($A612=0,"&lt;-- defina o número do agrupador",OFFSET(EVENTOS!$D$14,$A612,0)),OFFSET($F$15,$A612,0)))</f>
        <v>INSTALAÇÕES DE CLIMATIZAÇÃO - DUTOS</v>
      </c>
      <c r="O612" s="178"/>
      <c r="Q612" s="178">
        <v>138</v>
      </c>
      <c r="R612" s="179"/>
      <c r="S612" s="179"/>
      <c r="T612" s="179"/>
      <c r="U612" s="179"/>
      <c r="V612" s="179"/>
      <c r="W612" s="179"/>
      <c r="X612" s="179"/>
      <c r="Y612" s="179"/>
      <c r="Z612" s="180"/>
      <c r="AA612" s="179"/>
      <c r="AB612" s="179"/>
      <c r="AC612" s="179"/>
      <c r="AD612" s="179"/>
      <c r="AE612" s="179"/>
      <c r="AF612" s="179"/>
      <c r="AG612" s="179"/>
      <c r="AH612" s="180"/>
      <c r="AJ612" s="544">
        <f ca="1">IF(AND($D612="Serviço",AJ$12&lt;&gt;0,$H612&gt;0,OR(AUTOEVENTO&lt;&gt;"manual",$M612&lt;&gt;1)),
IF(Import.TipoArredondamento&lt;&gt;"TransfereGOV",
ROUND(OFFSET($P612,0,AJ$13),15-13*ORÇAMENTO!$AF$7)/$H612*OFFSET(ORÇAMENTO!$X$15,ROW(AJ612)-ROW(AJ$15),0),
ROUND(ROUND(OFFSET($P612,0,AJ$13),15-13*ORÇAMENTO!$AF$7)*OFFSET(ORÇAMENTO!$W$15,ROW(AJ612)-ROW(AJ$15),0),15-13*ORÇAMENTO!$AF$11)),0)</f>
        <v>0</v>
      </c>
      <c r="AK612" s="545">
        <f ca="1">IF(AND($D612="Serviço",AK$12&lt;&gt;0,$H612&gt;0,OR(AUTOEVENTO&lt;&gt;"manual",$M612&lt;&gt;1)),
IF(Import.TipoArredondamento&lt;&gt;"TransfereGOV",
ROUND(OFFSET($P612,0,AK$13),15-13*ORÇAMENTO!$AF$7)/$H612*OFFSET(ORÇAMENTO!$X$15,ROW(AK612)-ROW(AK$15),0),
ROUND(ROUND(OFFSET($P612,0,AK$13),15-13*ORÇAMENTO!$AF$7)*OFFSET(ORÇAMENTO!$W$15,ROW(AK612)-ROW(AK$15),0),15-13*ORÇAMENTO!$AF$11)),0)</f>
        <v>0</v>
      </c>
      <c r="AL612" s="545">
        <f ca="1">IF(AND($D612="Serviço",AL$12&lt;&gt;0,$H612&gt;0,OR(AUTOEVENTO&lt;&gt;"manual",$M612&lt;&gt;1)),
IF(Import.TipoArredondamento&lt;&gt;"TransfereGOV",
ROUND(OFFSET($P612,0,AL$13),15-13*ORÇAMENTO!$AF$7)/$H612*OFFSET(ORÇAMENTO!$X$15,ROW(AL612)-ROW(AL$15),0),
ROUND(ROUND(OFFSET($P612,0,AL$13),15-13*ORÇAMENTO!$AF$7)*OFFSET(ORÇAMENTO!$W$15,ROW(AL612)-ROW(AL$15),0),15-13*ORÇAMENTO!$AF$11)),0)</f>
        <v>0</v>
      </c>
      <c r="AM612" s="545">
        <f ca="1">IF(AND($D612="Serviço",AM$12&lt;&gt;0,$H612&gt;0,OR(AUTOEVENTO&lt;&gt;"manual",$M612&lt;&gt;1)),
IF(Import.TipoArredondamento&lt;&gt;"TransfereGOV",
ROUND(OFFSET($P612,0,AM$13),15-13*ORÇAMENTO!$AF$7)/$H612*OFFSET(ORÇAMENTO!$X$15,ROW(AM612)-ROW(AM$15),0),
ROUND(ROUND(OFFSET($P612,0,AM$13),15-13*ORÇAMENTO!$AF$7)*OFFSET(ORÇAMENTO!$W$15,ROW(AM612)-ROW(AM$15),0),15-13*ORÇAMENTO!$AF$11)),0)</f>
        <v>0</v>
      </c>
      <c r="AN612" s="545">
        <f ca="1">IF(AND($D612="Serviço",AN$12&lt;&gt;0,$H612&gt;0,OR(AUTOEVENTO&lt;&gt;"manual",$M612&lt;&gt;1)),
IF(Import.TipoArredondamento&lt;&gt;"TransfereGOV",
ROUND(OFFSET($P612,0,AN$13),15-13*ORÇAMENTO!$AF$7)/$H612*OFFSET(ORÇAMENTO!$X$15,ROW(AN612)-ROW(AN$15),0),
ROUND(ROUND(OFFSET($P612,0,AN$13),15-13*ORÇAMENTO!$AF$7)*OFFSET(ORÇAMENTO!$W$15,ROW(AN612)-ROW(AN$15),0),15-13*ORÇAMENTO!$AF$11)),0)</f>
        <v>0</v>
      </c>
      <c r="AO612" s="545">
        <f ca="1">IF(AND($D612="Serviço",AO$12&lt;&gt;0,$H612&gt;0,OR(AUTOEVENTO&lt;&gt;"manual",$M612&lt;&gt;1)),
IF(Import.TipoArredondamento&lt;&gt;"TransfereGOV",
ROUND(OFFSET($P612,0,AO$13),15-13*ORÇAMENTO!$AF$7)/$H612*OFFSET(ORÇAMENTO!$X$15,ROW(AO612)-ROW(AO$15),0),
ROUND(ROUND(OFFSET($P612,0,AO$13),15-13*ORÇAMENTO!$AF$7)*OFFSET(ORÇAMENTO!$W$15,ROW(AO612)-ROW(AO$15),0),15-13*ORÇAMENTO!$AF$11)),0)</f>
        <v>0</v>
      </c>
      <c r="AP612" s="545">
        <f ca="1">IF(AND($D612="Serviço",AP$12&lt;&gt;0,$H612&gt;0,OR(AUTOEVENTO&lt;&gt;"manual",$M612&lt;&gt;1)),
IF(Import.TipoArredondamento&lt;&gt;"TransfereGOV",
ROUND(OFFSET($P612,0,AP$13),15-13*ORÇAMENTO!$AF$7)/$H612*OFFSET(ORÇAMENTO!$X$15,ROW(AP612)-ROW(AP$15),0),
ROUND(ROUND(OFFSET($P612,0,AP$13),15-13*ORÇAMENTO!$AF$7)*OFFSET(ORÇAMENTO!$W$15,ROW(AP612)-ROW(AP$15),0),15-13*ORÇAMENTO!$AF$11)),0)</f>
        <v>0</v>
      </c>
      <c r="AQ612" s="545">
        <f ca="1">IF(AND($D612="Serviço",AQ$12&lt;&gt;0,$H612&gt;0,OR(AUTOEVENTO&lt;&gt;"manual",$M612&lt;&gt;1)),
IF(Import.TipoArredondamento&lt;&gt;"TransfereGOV",
ROUND(OFFSET($P612,0,AQ$13),15-13*ORÇAMENTO!$AF$7)/$H612*OFFSET(ORÇAMENTO!$X$15,ROW(AQ612)-ROW(AQ$15),0),
ROUND(ROUND(OFFSET($P612,0,AQ$13),15-13*ORÇAMENTO!$AF$7)*OFFSET(ORÇAMENTO!$W$15,ROW(AQ612)-ROW(AQ$15),0),15-13*ORÇAMENTO!$AF$11)),0)</f>
        <v>0</v>
      </c>
      <c r="AR612" s="545">
        <f ca="1">IF(AND($D612="Serviço",AR$12&lt;&gt;0,$H612&gt;0,OR(AUTOEVENTO&lt;&gt;"manual",$M612&lt;&gt;1)),
IF(Import.TipoArredondamento&lt;&gt;"TransfereGOV",
ROUND(OFFSET($P612,0,AR$13),15-13*ORÇAMENTO!$AF$7)/$H612*OFFSET(ORÇAMENTO!$X$15,ROW(AR612)-ROW(AR$15),0),
ROUND(ROUND(OFFSET($P612,0,AR$13),15-13*ORÇAMENTO!$AF$7)*OFFSET(ORÇAMENTO!$W$15,ROW(AR612)-ROW(AR$15),0),15-13*ORÇAMENTO!$AF$11)),0)</f>
        <v>0</v>
      </c>
      <c r="AS612" s="546">
        <f ca="1">IF(AND($D612="Serviço",AS$12&lt;&gt;0,$H612&gt;0,OR(AUTOEVENTO&lt;&gt;"manual",$M612&lt;&gt;1)),
IF(Import.TipoArredondamento&lt;&gt;"TransfereGOV",
ROUND(OFFSET($P612,0,AS$13),15-13*ORÇAMENTO!$AF$7)/$H612*OFFSET(ORÇAMENTO!$X$15,ROW(AS612)-ROW(AS$15),0),
ROUND(ROUND(OFFSET($P612,0,AS$13),15-13*ORÇAMENTO!$AF$7)*OFFSET(ORÇAMENTO!$W$15,ROW(AS612)-ROW(AS$15),0),15-13*ORÇAMENTO!$AF$11)),0)</f>
        <v>0</v>
      </c>
      <c r="AT612" s="545">
        <f ca="1">IF(AND($D612="Serviço",AT$12&lt;&gt;0,$H612&gt;0,OR(AUTOEVENTO&lt;&gt;"manual",$M612&lt;&gt;1)),
IF(Import.TipoArredondamento&lt;&gt;"TransfereGOV",
ROUND(OFFSET($P612,0,AT$13),15-13*ORÇAMENTO!$AF$7)/$H612*OFFSET(ORÇAMENTO!$X$15,ROW(AT612)-ROW(AT$15),0),
ROUND(ROUND(OFFSET($P612,0,AT$13),15-13*ORÇAMENTO!$AF$7)*OFFSET(ORÇAMENTO!$W$15,ROW(AT612)-ROW(AT$15),0),15-13*ORÇAMENTO!$AF$11)),0)</f>
        <v>0</v>
      </c>
      <c r="AU612" s="545">
        <f ca="1">IF(AND($D612="Serviço",AU$12&lt;&gt;0,$H612&gt;0,OR(AUTOEVENTO&lt;&gt;"manual",$M612&lt;&gt;1)),
IF(Import.TipoArredondamento&lt;&gt;"TransfereGOV",
ROUND(OFFSET($P612,0,AU$13),15-13*ORÇAMENTO!$AF$7)/$H612*OFFSET(ORÇAMENTO!$X$15,ROW(AU612)-ROW(AU$15),0),
ROUND(ROUND(OFFSET($P612,0,AU$13),15-13*ORÇAMENTO!$AF$7)*OFFSET(ORÇAMENTO!$W$15,ROW(AU612)-ROW(AU$15),0),15-13*ORÇAMENTO!$AF$11)),0)</f>
        <v>0</v>
      </c>
      <c r="AV612" s="545">
        <f ca="1">IF(AND($D612="Serviço",AV$12&lt;&gt;0,$H612&gt;0,OR(AUTOEVENTO&lt;&gt;"manual",$M612&lt;&gt;1)),
IF(Import.TipoArredondamento&lt;&gt;"TransfereGOV",
ROUND(OFFSET($P612,0,AV$13),15-13*ORÇAMENTO!$AF$7)/$H612*OFFSET(ORÇAMENTO!$X$15,ROW(AV612)-ROW(AV$15),0),
ROUND(ROUND(OFFSET($P612,0,AV$13),15-13*ORÇAMENTO!$AF$7)*OFFSET(ORÇAMENTO!$W$15,ROW(AV612)-ROW(AV$15),0),15-13*ORÇAMENTO!$AF$11)),0)</f>
        <v>0</v>
      </c>
      <c r="AW612" s="545">
        <f ca="1">IF(AND($D612="Serviço",AW$12&lt;&gt;0,$H612&gt;0,OR(AUTOEVENTO&lt;&gt;"manual",$M612&lt;&gt;1)),
IF(Import.TipoArredondamento&lt;&gt;"TransfereGOV",
ROUND(OFFSET($P612,0,AW$13),15-13*ORÇAMENTO!$AF$7)/$H612*OFFSET(ORÇAMENTO!$X$15,ROW(AW612)-ROW(AW$15),0),
ROUND(ROUND(OFFSET($P612,0,AW$13),15-13*ORÇAMENTO!$AF$7)*OFFSET(ORÇAMENTO!$W$15,ROW(AW612)-ROW(AW$15),0),15-13*ORÇAMENTO!$AF$11)),0)</f>
        <v>0</v>
      </c>
      <c r="AX612" s="545">
        <f ca="1">IF(AND($D612="Serviço",AX$12&lt;&gt;0,$H612&gt;0,OR(AUTOEVENTO&lt;&gt;"manual",$M612&lt;&gt;1)),
IF(Import.TipoArredondamento&lt;&gt;"TransfereGOV",
ROUND(OFFSET($P612,0,AX$13),15-13*ORÇAMENTO!$AF$7)/$H612*OFFSET(ORÇAMENTO!$X$15,ROW(AX612)-ROW(AX$15),0),
ROUND(ROUND(OFFSET($P612,0,AX$13),15-13*ORÇAMENTO!$AF$7)*OFFSET(ORÇAMENTO!$W$15,ROW(AX612)-ROW(AX$15),0),15-13*ORÇAMENTO!$AF$11)),0)</f>
        <v>0</v>
      </c>
      <c r="AY612" s="545">
        <f ca="1">IF(AND($D612="Serviço",AY$12&lt;&gt;0,$H612&gt;0,OR(AUTOEVENTO&lt;&gt;"manual",$M612&lt;&gt;1)),
IF(Import.TipoArredondamento&lt;&gt;"TransfereGOV",
ROUND(OFFSET($P612,0,AY$13),15-13*ORÇAMENTO!$AF$7)/$H612*OFFSET(ORÇAMENTO!$X$15,ROW(AY612)-ROW(AY$15),0),
ROUND(ROUND(OFFSET($P612,0,AY$13),15-13*ORÇAMENTO!$AF$7)*OFFSET(ORÇAMENTO!$W$15,ROW(AY612)-ROW(AY$15),0),15-13*ORÇAMENTO!$AF$11)),0)</f>
        <v>0</v>
      </c>
      <c r="AZ612" s="545">
        <f ca="1">IF(AND($D612="Serviço",AZ$12&lt;&gt;0,$H612&gt;0,OR(AUTOEVENTO&lt;&gt;"manual",$M612&lt;&gt;1)),
IF(Import.TipoArredondamento&lt;&gt;"TransfereGOV",
ROUND(OFFSET($P612,0,AZ$13),15-13*ORÇAMENTO!$AF$7)/$H612*OFFSET(ORÇAMENTO!$X$15,ROW(AZ612)-ROW(AZ$15),0),
ROUND(ROUND(OFFSET($P612,0,AZ$13),15-13*ORÇAMENTO!$AF$7)*OFFSET(ORÇAMENTO!$W$15,ROW(AZ612)-ROW(AZ$15),0),15-13*ORÇAMENTO!$AF$11)),0)</f>
        <v>0</v>
      </c>
      <c r="BA612" s="546">
        <f ca="1">IF(AND($D612="Serviço",BA$12&lt;&gt;0,$H612&gt;0,OR(AUTOEVENTO&lt;&gt;"manual",$M612&lt;&gt;1)),
IF(Import.TipoArredondamento&lt;&gt;"TransfereGOV",
ROUND(OFFSET($P612,0,BA$13),15-13*ORÇAMENTO!$AF$7)/$H612*OFFSET(ORÇAMENTO!$X$15,ROW(BA612)-ROW(BA$15),0),
ROUND(ROUND(OFFSET($P612,0,BA$13),15-13*ORÇAMENTO!$AF$7)*OFFSET(ORÇAMENTO!$W$15,ROW(BA612)-ROW(BA$15),0),15-13*ORÇAMENTO!$AF$11)),0)</f>
        <v>0</v>
      </c>
      <c r="BC612" s="181">
        <f ca="1">IF($D612&lt;&gt;"Serviço",0,IF(AND(AUTOEVENTO="Manual",$M612=1),0,IF(OFFSET(CRONOPLE!$F$14,$M612,BC$13)="",10^12,OFFSET(CRONOPLE!$F$14,$M612,BC$13))))</f>
        <v>11</v>
      </c>
      <c r="BD612" s="181">
        <f ca="1">IF($D612&lt;&gt;"Serviço",0,IF(AND(AUTOEVENTO="Manual",$M612=1),0,IF(OFFSET(CRONOPLE!$F$14,$M612,BD$13)="",10^12,OFFSET(CRONOPLE!$F$14,$M612,BD$13))))</f>
        <v>1000000000000</v>
      </c>
      <c r="BE612" s="181">
        <f ca="1">IF($D612&lt;&gt;"Serviço",0,IF(AND(AUTOEVENTO="Manual",$M612=1),0,IF(OFFSET(CRONOPLE!$F$14,$M612,BE$13)="",10^12,OFFSET(CRONOPLE!$F$14,$M612,BE$13))))</f>
        <v>1000000000000</v>
      </c>
      <c r="BF612" s="181">
        <f ca="1">IF($D612&lt;&gt;"Serviço",0,IF(AND(AUTOEVENTO="Manual",$M612=1),0,IF(OFFSET(CRONOPLE!$F$14,$M612,BF$13)="",10^12,OFFSET(CRONOPLE!$F$14,$M612,BF$13))))</f>
        <v>1000000000000</v>
      </c>
      <c r="BG612" s="181">
        <f ca="1">IF($D612&lt;&gt;"Serviço",0,IF(AND(AUTOEVENTO="Manual",$M612=1),0,IF(OFFSET(CRONOPLE!$F$14,$M612,BG$13)="",10^12,OFFSET(CRONOPLE!$F$14,$M612,BG$13))))</f>
        <v>1000000000000</v>
      </c>
      <c r="BH612" s="181">
        <f ca="1">IF($D612&lt;&gt;"Serviço",0,IF(AND(AUTOEVENTO="Manual",$M612=1),0,IF(OFFSET(CRONOPLE!$F$14,$M612,BH$13)="",10^12,OFFSET(CRONOPLE!$F$14,$M612,BH$13))))</f>
        <v>1000000000000</v>
      </c>
      <c r="BI612" s="181">
        <f ca="1">IF($D612&lt;&gt;"Serviço",0,IF(AND(AUTOEVENTO="Manual",$M612=1),0,IF(OFFSET(CRONOPLE!$F$14,$M612,BI$13)="",10^12,OFFSET(CRONOPLE!$F$14,$M612,BI$13))))</f>
        <v>1000000000000</v>
      </c>
      <c r="BJ612" s="181">
        <f ca="1">IF($D612&lt;&gt;"Serviço",0,IF(AND(AUTOEVENTO="Manual",$M612=1),0,IF(OFFSET(CRONOPLE!$F$14,$M612,BJ$13)="",10^12,OFFSET(CRONOPLE!$F$14,$M612,BJ$13))))</f>
        <v>1000000000000</v>
      </c>
      <c r="BK612" s="181">
        <f ca="1">IF($D612&lt;&gt;"Serviço",0,IF(AND(AUTOEVENTO="Manual",$M612=1),0,IF(OFFSET(CRONOPLE!$F$14,$M612,BK$13)="",10^12,OFFSET(CRONOPLE!$F$14,$M612,BK$13))))</f>
        <v>1000000000000</v>
      </c>
      <c r="BL612" s="181">
        <f ca="1">IF($D612&lt;&gt;"Serviço",0,IF(AND(AUTOEVENTO="Manual",$M612=1),0,IF(OFFSET(CRONOPLE!$F$14,$M612,BL$13)="",10^12,OFFSET(CRONOPLE!$F$14,$M612,BL$13))))</f>
        <v>1000000000000</v>
      </c>
      <c r="BM612" s="181">
        <f ca="1">IF($D612&lt;&gt;"Serviço",0,IF(AND(AUTOEVENTO="Manual",$M612=1),0,IF(OFFSET(CRONOPLE!$F$14,$M612,BM$13)="",10^12,OFFSET(CRONOPLE!$F$14,$M612,BM$13))))</f>
        <v>1000000000000</v>
      </c>
      <c r="BN612" s="181">
        <f ca="1">IF($D612&lt;&gt;"Serviço",0,IF(AND(AUTOEVENTO="Manual",$M612=1),0,IF(OFFSET(CRONOPLE!$F$14,$M612,BN$13)="",10^12,OFFSET(CRONOPLE!$F$14,$M612,BN$13))))</f>
        <v>1000000000000</v>
      </c>
      <c r="BO612" s="181">
        <f ca="1">IF($D612&lt;&gt;"Serviço",0,IF(AND(AUTOEVENTO="Manual",$M612=1),0,IF(OFFSET(CRONOPLE!$F$14,$M612,BO$13)="",10^12,OFFSET(CRONOPLE!$F$14,$M612,BO$13))))</f>
        <v>1000000000000</v>
      </c>
      <c r="BP612" s="181">
        <f ca="1">IF($D612&lt;&gt;"Serviço",0,IF(AND(AUTOEVENTO="Manual",$M612=1),0,IF(OFFSET(CRONOPLE!$F$14,$M612,BP$13)="",10^12,OFFSET(CRONOPLE!$F$14,$M612,BP$13))))</f>
        <v>1000000000000</v>
      </c>
      <c r="BQ612" s="181">
        <f ca="1">IF($D612&lt;&gt;"Serviço",0,IF(AND(AUTOEVENTO="Manual",$M612=1),0,IF(OFFSET(CRONOPLE!$F$14,$M612,BQ$13)="",10^12,OFFSET(CRONOPLE!$F$14,$M612,BQ$13))))</f>
        <v>1000000000000</v>
      </c>
      <c r="BR612" s="181">
        <f ca="1">IF($D612&lt;&gt;"Serviço",0,IF(AND(AUTOEVENTO="Manual",$M612=1),0,IF(OFFSET(CRONOPLE!$F$14,$M612,BR$13)="",10^12,OFFSET(CRONOPLE!$F$14,$M612,BR$13))))</f>
        <v>1000000000000</v>
      </c>
      <c r="BS612" s="181">
        <f ca="1">IF($D612&lt;&gt;"Serviço",0,IF(AND(AUTOEVENTO="Manual",$M612=1),0,IF(OFFSET(CRONOPLE!$F$14,$M612,BS$13)="",10^12,OFFSET(CRONOPLE!$F$14,$M612,BS$13))))</f>
        <v>1000000000000</v>
      </c>
      <c r="BT612" s="181">
        <f ca="1">IF($D612&lt;&gt;"Serviço",0,IF(AND(AUTOEVENTO="Manual",$M612=1),0,IF(OFFSET(CRONOPLE!$F$14,$M612,BT$13)="",10^12,OFFSET(CRONOPLE!$F$14,$M612,BT$13))))</f>
        <v>1000000000000</v>
      </c>
      <c r="BV612" s="182">
        <f ca="1">IF($D612&lt;&gt;"Serviço",0,IF(OR(AND(AUTOEVENTO="Manual",$M612=1),$M612&gt;(ROW(PLE.lastrow)-ROW(PLE.firstrow))),0,IF(OFFSET(PLE!$G$14,$M612,BV$13)="",10^12,OFFSET(PLE!$G$14,$M612,BV$13))))</f>
        <v>1000000000000</v>
      </c>
      <c r="BW612" s="182">
        <f ca="1">IF($D612&lt;&gt;"Serviço",0,IF(OR(AND(AUTOEVENTO="Manual",$M612=1),$M612&gt;(ROW(PLE.lastrow)-ROW(PLE.firstrow))),0,IF(OFFSET(PLE!$G$14,$M612,BW$13)="",10^12,OFFSET(PLE!$G$14,$M612,BW$13))))</f>
        <v>1000000000000</v>
      </c>
      <c r="BX612" s="182">
        <f ca="1">IF($D612&lt;&gt;"Serviço",0,IF(OR(AND(AUTOEVENTO="Manual",$M612=1),$M612&gt;(ROW(PLE.lastrow)-ROW(PLE.firstrow))),0,IF(OFFSET(PLE!$G$14,$M612,BX$13)="",10^12,OFFSET(PLE!$G$14,$M612,BX$13))))</f>
        <v>1000000000000</v>
      </c>
      <c r="BY612" s="182">
        <f ca="1">IF($D612&lt;&gt;"Serviço",0,IF(OR(AND(AUTOEVENTO="Manual",$M612=1),$M612&gt;(ROW(PLE.lastrow)-ROW(PLE.firstrow))),0,IF(OFFSET(PLE!$G$14,$M612,BY$13)="",10^12,OFFSET(PLE!$G$14,$M612,BY$13))))</f>
        <v>1000000000000</v>
      </c>
      <c r="BZ612" s="182">
        <f ca="1">IF($D612&lt;&gt;"Serviço",0,IF(OR(AND(AUTOEVENTO="Manual",$M612=1),$M612&gt;(ROW(PLE.lastrow)-ROW(PLE.firstrow))),0,IF(OFFSET(PLE!$G$14,$M612,BZ$13)="",10^12,OFFSET(PLE!$G$14,$M612,BZ$13))))</f>
        <v>1000000000000</v>
      </c>
      <c r="CA612" s="182">
        <f ca="1">IF($D612&lt;&gt;"Serviço",0,IF(OR(AND(AUTOEVENTO="Manual",$M612=1),$M612&gt;(ROW(PLE.lastrow)-ROW(PLE.firstrow))),0,IF(OFFSET(PLE!$G$14,$M612,CA$13)="",10^12,OFFSET(PLE!$G$14,$M612,CA$13))))</f>
        <v>1000000000000</v>
      </c>
      <c r="CB612" s="182">
        <f ca="1">IF($D612&lt;&gt;"Serviço",0,IF(OR(AND(AUTOEVENTO="Manual",$M612=1),$M612&gt;(ROW(PLE.lastrow)-ROW(PLE.firstrow))),0,IF(OFFSET(PLE!$G$14,$M612,CB$13)="",10^12,OFFSET(PLE!$G$14,$M612,CB$13))))</f>
        <v>1000000000000</v>
      </c>
      <c r="CC612" s="182">
        <f ca="1">IF($D612&lt;&gt;"Serviço",0,IF(OR(AND(AUTOEVENTO="Manual",$M612=1),$M612&gt;(ROW(PLE.lastrow)-ROW(PLE.firstrow))),0,IF(OFFSET(PLE!$G$14,$M612,CC$13)="",10^12,OFFSET(PLE!$G$14,$M612,CC$13))))</f>
        <v>1000000000000</v>
      </c>
      <c r="CD612" s="182">
        <f ca="1">IF($D612&lt;&gt;"Serviço",0,IF(OR(AND(AUTOEVENTO="Manual",$M612=1),$M612&gt;(ROW(PLE.lastrow)-ROW(PLE.firstrow))),0,IF(OFFSET(PLE!$G$14,$M612,CD$13)="",10^12,OFFSET(PLE!$G$14,$M612,CD$13))))</f>
        <v>1000000000000</v>
      </c>
      <c r="CE612" s="182">
        <f ca="1">IF($D612&lt;&gt;"Serviço",0,IF(OR(AND(AUTOEVENTO="Manual",$M612=1),$M612&gt;(ROW(PLE.lastrow)-ROW(PLE.firstrow))),0,IF(OFFSET(PLE!$G$14,$M612,CE$13)="",10^12,OFFSET(PLE!$G$14,$M612,CE$13))))</f>
        <v>1000000000000</v>
      </c>
      <c r="CF612" s="182">
        <f ca="1">IF($D612&lt;&gt;"Serviço",0,IF(OR(AND(AUTOEVENTO="Manual",$M612=1),$M612&gt;(ROW(PLE.lastrow)-ROW(PLE.firstrow))),0,IF(OFFSET(PLE!$G$14,$M612,CF$13)="",10^12,OFFSET(PLE!$G$14,$M612,CF$13))))</f>
        <v>1000000000000</v>
      </c>
      <c r="CG612" s="182">
        <f ca="1">IF($D612&lt;&gt;"Serviço",0,IF(OR(AND(AUTOEVENTO="Manual",$M612=1),$M612&gt;(ROW(PLE.lastrow)-ROW(PLE.firstrow))),0,IF(OFFSET(PLE!$G$14,$M612,CG$13)="",10^12,OFFSET(PLE!$G$14,$M612,CG$13))))</f>
        <v>1000000000000</v>
      </c>
      <c r="CH612" s="182">
        <f ca="1">IF($D612&lt;&gt;"Serviço",0,IF(OR(AND(AUTOEVENTO="Manual",$M612=1),$M612&gt;(ROW(PLE.lastrow)-ROW(PLE.firstrow))),0,IF(OFFSET(PLE!$G$14,$M612,CH$13)="",10^12,OFFSET(PLE!$G$14,$M612,CH$13))))</f>
        <v>1000000000000</v>
      </c>
      <c r="CI612" s="182">
        <f ca="1">IF($D612&lt;&gt;"Serviço",0,IF(OR(AND(AUTOEVENTO="Manual",$M612=1),$M612&gt;(ROW(PLE.lastrow)-ROW(PLE.firstrow))),0,IF(OFFSET(PLE!$G$14,$M612,CI$13)="",10^12,OFFSET(PLE!$G$14,$M612,CI$13))))</f>
        <v>1000000000000</v>
      </c>
      <c r="CJ612" s="182">
        <f ca="1">IF($D612&lt;&gt;"Serviço",0,IF(OR(AND(AUTOEVENTO="Manual",$M612=1),$M612&gt;(ROW(PLE.lastrow)-ROW(PLE.firstrow))),0,IF(OFFSET(PLE!$G$14,$M612,CJ$13)="",10^12,OFFSET(PLE!$G$14,$M612,CJ$13))))</f>
        <v>1000000000000</v>
      </c>
      <c r="CK612" s="182">
        <f ca="1">IF($D612&lt;&gt;"Serviço",0,IF(OR(AND(AUTOEVENTO="Manual",$M612=1),$M612&gt;(ROW(PLE.lastrow)-ROW(PLE.firstrow))),0,IF(OFFSET(PLE!$G$14,$M612,CK$13)="",10^12,OFFSET(PLE!$G$14,$M612,CK$13))))</f>
        <v>1000000000000</v>
      </c>
      <c r="CL612" s="182">
        <f ca="1">IF($D612&lt;&gt;"Serviço",0,IF(OR(AND(AUTOEVENTO="Manual",$M612=1),$M612&gt;(ROW(PLE.lastrow)-ROW(PLE.firstrow))),0,IF(OFFSET(PLE!$G$14,$M612,CL$13)="",10^12,OFFSET(PLE!$G$14,$M612,CL$13))))</f>
        <v>1000000000000</v>
      </c>
      <c r="CM612" s="182">
        <f ca="1">IF($D612&lt;&gt;"Serviço",0,IF(OR(AND(AUTOEVENTO="Manual",$M612=1),$M612&gt;(ROW(PLE.lastrow)-ROW(PLE.firstrow))),0,IF(OFFSET(PLE!$G$14,$M612,CM$13)="",10^12,OFFSET(PLE!$G$14,$M612,CM$13))))</f>
        <v>1000000000000</v>
      </c>
    </row>
    <row r="613" spans="1:91" ht="12.75" x14ac:dyDescent="0.2">
      <c r="A613" s="7" t="str">
        <f t="shared" ca="1" si="18"/>
        <v>598.</v>
      </c>
      <c r="B613" s="7">
        <f ca="1">OFFSET(ORÇAMENTO!C$15,ROW(B613)-ROW(B$15),0)</f>
        <v>2</v>
      </c>
      <c r="C613" s="7" t="str">
        <f ca="1">OFFSET(ORÇAMENTO!L$15,ROW(C613)-ROW(C$15),0)</f>
        <v>F</v>
      </c>
      <c r="D613" s="118" t="str">
        <f ca="1">OFFSET(ORÇAMENTO!N$15,ROW(D613)-ROW(D$15),0)</f>
        <v>Nível 2</v>
      </c>
      <c r="E613" s="119" t="str">
        <f ca="1">OFFSET(ORÇAMENTO!O$15,ROW(E613)-ROW(E$15),0)</f>
        <v>1.63.</v>
      </c>
      <c r="F613" s="172" t="str">
        <f ca="1">OFFSET(ORÇAMENTO!R$15,ROW(F613)-ROW(F$15),0)</f>
        <v>INSTALAÇÕES DE CLIMATIZAÇÃO - DRENO</v>
      </c>
      <c r="G613" s="173" t="str">
        <f ca="1">IF($D613&lt;&gt;"Serviço","",OFFSET(ORÇAMENTO!S$15,ROW(G613)-ROW(G$15),0))</f>
        <v/>
      </c>
      <c r="H613" s="124">
        <f ca="1">IF($D613&lt;&gt;"Serviço",0,IF(ACOMPANHAMENTO="BM",ROUND(OFFSET(ORÇAMENTO!AJ$15,ROW(H613)-ROW(H$15),0),15-13*ORÇAMENTO!$AF$7),SUMPRODUCT(($Q$12:$AI$12&lt;&gt;"")*ROUND($Q613:$AI613,15-13*ORÇAMENTO!$AF$7))))</f>
        <v>0</v>
      </c>
      <c r="I613" s="561"/>
      <c r="K613" s="174"/>
      <c r="L613" s="175" t="s">
        <v>255</v>
      </c>
      <c r="M613" s="176" t="str">
        <f ca="1">IF($D613&lt;&gt;"Serviço","",IF(AUTOEVENTO="manual",$A613,IF(ISERROR(MATCH($A613,$A$15:OFFSET($A613,-1,0),0)),MAX($M$15:OFFSET(M613,-1,0))+1,INDEX($M$15:OFFSET(M613,-1,0),MATCH($A613,$A$15:OFFSET($A613,-1,0),0)))))</f>
        <v/>
      </c>
      <c r="N613" s="177" t="str">
        <f ca="1">IF($D613&lt;&gt;"Serviço","",IF(AUTOEVENTO="Manual",IF($A613=0,"&lt;-- defina o número do agrupador",OFFSET(EVENTOS!$D$14,$A613,0)),OFFSET($F$15,$A613,0)))</f>
        <v/>
      </c>
      <c r="O613" s="178"/>
      <c r="Q613" s="178">
        <v>0</v>
      </c>
      <c r="R613" s="179"/>
      <c r="S613" s="179"/>
      <c r="T613" s="179"/>
      <c r="U613" s="179"/>
      <c r="V613" s="179"/>
      <c r="W613" s="179"/>
      <c r="X613" s="179"/>
      <c r="Y613" s="179"/>
      <c r="Z613" s="180"/>
      <c r="AA613" s="179"/>
      <c r="AB613" s="179"/>
      <c r="AC613" s="179"/>
      <c r="AD613" s="179"/>
      <c r="AE613" s="179"/>
      <c r="AF613" s="179"/>
      <c r="AG613" s="179"/>
      <c r="AH613" s="180"/>
      <c r="AJ613" s="544">
        <f ca="1">IF(AND($D613="Serviço",AJ$12&lt;&gt;0,$H613&gt;0,OR(AUTOEVENTO&lt;&gt;"manual",$M613&lt;&gt;1)),
IF(Import.TipoArredondamento&lt;&gt;"TransfereGOV",
ROUND(OFFSET($P613,0,AJ$13),15-13*ORÇAMENTO!$AF$7)/$H613*OFFSET(ORÇAMENTO!$X$15,ROW(AJ613)-ROW(AJ$15),0),
ROUND(ROUND(OFFSET($P613,0,AJ$13),15-13*ORÇAMENTO!$AF$7)*OFFSET(ORÇAMENTO!$W$15,ROW(AJ613)-ROW(AJ$15),0),15-13*ORÇAMENTO!$AF$11)),0)</f>
        <v>0</v>
      </c>
      <c r="AK613" s="545">
        <f ca="1">IF(AND($D613="Serviço",AK$12&lt;&gt;0,$H613&gt;0,OR(AUTOEVENTO&lt;&gt;"manual",$M613&lt;&gt;1)),
IF(Import.TipoArredondamento&lt;&gt;"TransfereGOV",
ROUND(OFFSET($P613,0,AK$13),15-13*ORÇAMENTO!$AF$7)/$H613*OFFSET(ORÇAMENTO!$X$15,ROW(AK613)-ROW(AK$15),0),
ROUND(ROUND(OFFSET($P613,0,AK$13),15-13*ORÇAMENTO!$AF$7)*OFFSET(ORÇAMENTO!$W$15,ROW(AK613)-ROW(AK$15),0),15-13*ORÇAMENTO!$AF$11)),0)</f>
        <v>0</v>
      </c>
      <c r="AL613" s="545">
        <f ca="1">IF(AND($D613="Serviço",AL$12&lt;&gt;0,$H613&gt;0,OR(AUTOEVENTO&lt;&gt;"manual",$M613&lt;&gt;1)),
IF(Import.TipoArredondamento&lt;&gt;"TransfereGOV",
ROUND(OFFSET($P613,0,AL$13),15-13*ORÇAMENTO!$AF$7)/$H613*OFFSET(ORÇAMENTO!$X$15,ROW(AL613)-ROW(AL$15),0),
ROUND(ROUND(OFFSET($P613,0,AL$13),15-13*ORÇAMENTO!$AF$7)*OFFSET(ORÇAMENTO!$W$15,ROW(AL613)-ROW(AL$15),0),15-13*ORÇAMENTO!$AF$11)),0)</f>
        <v>0</v>
      </c>
      <c r="AM613" s="545">
        <f ca="1">IF(AND($D613="Serviço",AM$12&lt;&gt;0,$H613&gt;0,OR(AUTOEVENTO&lt;&gt;"manual",$M613&lt;&gt;1)),
IF(Import.TipoArredondamento&lt;&gt;"TransfereGOV",
ROUND(OFFSET($P613,0,AM$13),15-13*ORÇAMENTO!$AF$7)/$H613*OFFSET(ORÇAMENTO!$X$15,ROW(AM613)-ROW(AM$15),0),
ROUND(ROUND(OFFSET($P613,0,AM$13),15-13*ORÇAMENTO!$AF$7)*OFFSET(ORÇAMENTO!$W$15,ROW(AM613)-ROW(AM$15),0),15-13*ORÇAMENTO!$AF$11)),0)</f>
        <v>0</v>
      </c>
      <c r="AN613" s="545">
        <f ca="1">IF(AND($D613="Serviço",AN$12&lt;&gt;0,$H613&gt;0,OR(AUTOEVENTO&lt;&gt;"manual",$M613&lt;&gt;1)),
IF(Import.TipoArredondamento&lt;&gt;"TransfereGOV",
ROUND(OFFSET($P613,0,AN$13),15-13*ORÇAMENTO!$AF$7)/$H613*OFFSET(ORÇAMENTO!$X$15,ROW(AN613)-ROW(AN$15),0),
ROUND(ROUND(OFFSET($P613,0,AN$13),15-13*ORÇAMENTO!$AF$7)*OFFSET(ORÇAMENTO!$W$15,ROW(AN613)-ROW(AN$15),0),15-13*ORÇAMENTO!$AF$11)),0)</f>
        <v>0</v>
      </c>
      <c r="AO613" s="545">
        <f ca="1">IF(AND($D613="Serviço",AO$12&lt;&gt;0,$H613&gt;0,OR(AUTOEVENTO&lt;&gt;"manual",$M613&lt;&gt;1)),
IF(Import.TipoArredondamento&lt;&gt;"TransfereGOV",
ROUND(OFFSET($P613,0,AO$13),15-13*ORÇAMENTO!$AF$7)/$H613*OFFSET(ORÇAMENTO!$X$15,ROW(AO613)-ROW(AO$15),0),
ROUND(ROUND(OFFSET($P613,0,AO$13),15-13*ORÇAMENTO!$AF$7)*OFFSET(ORÇAMENTO!$W$15,ROW(AO613)-ROW(AO$15),0),15-13*ORÇAMENTO!$AF$11)),0)</f>
        <v>0</v>
      </c>
      <c r="AP613" s="545">
        <f ca="1">IF(AND($D613="Serviço",AP$12&lt;&gt;0,$H613&gt;0,OR(AUTOEVENTO&lt;&gt;"manual",$M613&lt;&gt;1)),
IF(Import.TipoArredondamento&lt;&gt;"TransfereGOV",
ROUND(OFFSET($P613,0,AP$13),15-13*ORÇAMENTO!$AF$7)/$H613*OFFSET(ORÇAMENTO!$X$15,ROW(AP613)-ROW(AP$15),0),
ROUND(ROUND(OFFSET($P613,0,AP$13),15-13*ORÇAMENTO!$AF$7)*OFFSET(ORÇAMENTO!$W$15,ROW(AP613)-ROW(AP$15),0),15-13*ORÇAMENTO!$AF$11)),0)</f>
        <v>0</v>
      </c>
      <c r="AQ613" s="545">
        <f ca="1">IF(AND($D613="Serviço",AQ$12&lt;&gt;0,$H613&gt;0,OR(AUTOEVENTO&lt;&gt;"manual",$M613&lt;&gt;1)),
IF(Import.TipoArredondamento&lt;&gt;"TransfereGOV",
ROUND(OFFSET($P613,0,AQ$13),15-13*ORÇAMENTO!$AF$7)/$H613*OFFSET(ORÇAMENTO!$X$15,ROW(AQ613)-ROW(AQ$15),0),
ROUND(ROUND(OFFSET($P613,0,AQ$13),15-13*ORÇAMENTO!$AF$7)*OFFSET(ORÇAMENTO!$W$15,ROW(AQ613)-ROW(AQ$15),0),15-13*ORÇAMENTO!$AF$11)),0)</f>
        <v>0</v>
      </c>
      <c r="AR613" s="545">
        <f ca="1">IF(AND($D613="Serviço",AR$12&lt;&gt;0,$H613&gt;0,OR(AUTOEVENTO&lt;&gt;"manual",$M613&lt;&gt;1)),
IF(Import.TipoArredondamento&lt;&gt;"TransfereGOV",
ROUND(OFFSET($P613,0,AR$13),15-13*ORÇAMENTO!$AF$7)/$H613*OFFSET(ORÇAMENTO!$X$15,ROW(AR613)-ROW(AR$15),0),
ROUND(ROUND(OFFSET($P613,0,AR$13),15-13*ORÇAMENTO!$AF$7)*OFFSET(ORÇAMENTO!$W$15,ROW(AR613)-ROW(AR$15),0),15-13*ORÇAMENTO!$AF$11)),0)</f>
        <v>0</v>
      </c>
      <c r="AS613" s="546">
        <f ca="1">IF(AND($D613="Serviço",AS$12&lt;&gt;0,$H613&gt;0,OR(AUTOEVENTO&lt;&gt;"manual",$M613&lt;&gt;1)),
IF(Import.TipoArredondamento&lt;&gt;"TransfereGOV",
ROUND(OFFSET($P613,0,AS$13),15-13*ORÇAMENTO!$AF$7)/$H613*OFFSET(ORÇAMENTO!$X$15,ROW(AS613)-ROW(AS$15),0),
ROUND(ROUND(OFFSET($P613,0,AS$13),15-13*ORÇAMENTO!$AF$7)*OFFSET(ORÇAMENTO!$W$15,ROW(AS613)-ROW(AS$15),0),15-13*ORÇAMENTO!$AF$11)),0)</f>
        <v>0</v>
      </c>
      <c r="AT613" s="545">
        <f ca="1">IF(AND($D613="Serviço",AT$12&lt;&gt;0,$H613&gt;0,OR(AUTOEVENTO&lt;&gt;"manual",$M613&lt;&gt;1)),
IF(Import.TipoArredondamento&lt;&gt;"TransfereGOV",
ROUND(OFFSET($P613,0,AT$13),15-13*ORÇAMENTO!$AF$7)/$H613*OFFSET(ORÇAMENTO!$X$15,ROW(AT613)-ROW(AT$15),0),
ROUND(ROUND(OFFSET($P613,0,AT$13),15-13*ORÇAMENTO!$AF$7)*OFFSET(ORÇAMENTO!$W$15,ROW(AT613)-ROW(AT$15),0),15-13*ORÇAMENTO!$AF$11)),0)</f>
        <v>0</v>
      </c>
      <c r="AU613" s="545">
        <f ca="1">IF(AND($D613="Serviço",AU$12&lt;&gt;0,$H613&gt;0,OR(AUTOEVENTO&lt;&gt;"manual",$M613&lt;&gt;1)),
IF(Import.TipoArredondamento&lt;&gt;"TransfereGOV",
ROUND(OFFSET($P613,0,AU$13),15-13*ORÇAMENTO!$AF$7)/$H613*OFFSET(ORÇAMENTO!$X$15,ROW(AU613)-ROW(AU$15),0),
ROUND(ROUND(OFFSET($P613,0,AU$13),15-13*ORÇAMENTO!$AF$7)*OFFSET(ORÇAMENTO!$W$15,ROW(AU613)-ROW(AU$15),0),15-13*ORÇAMENTO!$AF$11)),0)</f>
        <v>0</v>
      </c>
      <c r="AV613" s="545">
        <f ca="1">IF(AND($D613="Serviço",AV$12&lt;&gt;0,$H613&gt;0,OR(AUTOEVENTO&lt;&gt;"manual",$M613&lt;&gt;1)),
IF(Import.TipoArredondamento&lt;&gt;"TransfereGOV",
ROUND(OFFSET($P613,0,AV$13),15-13*ORÇAMENTO!$AF$7)/$H613*OFFSET(ORÇAMENTO!$X$15,ROW(AV613)-ROW(AV$15),0),
ROUND(ROUND(OFFSET($P613,0,AV$13),15-13*ORÇAMENTO!$AF$7)*OFFSET(ORÇAMENTO!$W$15,ROW(AV613)-ROW(AV$15),0),15-13*ORÇAMENTO!$AF$11)),0)</f>
        <v>0</v>
      </c>
      <c r="AW613" s="545">
        <f ca="1">IF(AND($D613="Serviço",AW$12&lt;&gt;0,$H613&gt;0,OR(AUTOEVENTO&lt;&gt;"manual",$M613&lt;&gt;1)),
IF(Import.TipoArredondamento&lt;&gt;"TransfereGOV",
ROUND(OFFSET($P613,0,AW$13),15-13*ORÇAMENTO!$AF$7)/$H613*OFFSET(ORÇAMENTO!$X$15,ROW(AW613)-ROW(AW$15),0),
ROUND(ROUND(OFFSET($P613,0,AW$13),15-13*ORÇAMENTO!$AF$7)*OFFSET(ORÇAMENTO!$W$15,ROW(AW613)-ROW(AW$15),0),15-13*ORÇAMENTO!$AF$11)),0)</f>
        <v>0</v>
      </c>
      <c r="AX613" s="545">
        <f ca="1">IF(AND($D613="Serviço",AX$12&lt;&gt;0,$H613&gt;0,OR(AUTOEVENTO&lt;&gt;"manual",$M613&lt;&gt;1)),
IF(Import.TipoArredondamento&lt;&gt;"TransfereGOV",
ROUND(OFFSET($P613,0,AX$13),15-13*ORÇAMENTO!$AF$7)/$H613*OFFSET(ORÇAMENTO!$X$15,ROW(AX613)-ROW(AX$15),0),
ROUND(ROUND(OFFSET($P613,0,AX$13),15-13*ORÇAMENTO!$AF$7)*OFFSET(ORÇAMENTO!$W$15,ROW(AX613)-ROW(AX$15),0),15-13*ORÇAMENTO!$AF$11)),0)</f>
        <v>0</v>
      </c>
      <c r="AY613" s="545">
        <f ca="1">IF(AND($D613="Serviço",AY$12&lt;&gt;0,$H613&gt;0,OR(AUTOEVENTO&lt;&gt;"manual",$M613&lt;&gt;1)),
IF(Import.TipoArredondamento&lt;&gt;"TransfereGOV",
ROUND(OFFSET($P613,0,AY$13),15-13*ORÇAMENTO!$AF$7)/$H613*OFFSET(ORÇAMENTO!$X$15,ROW(AY613)-ROW(AY$15),0),
ROUND(ROUND(OFFSET($P613,0,AY$13),15-13*ORÇAMENTO!$AF$7)*OFFSET(ORÇAMENTO!$W$15,ROW(AY613)-ROW(AY$15),0),15-13*ORÇAMENTO!$AF$11)),0)</f>
        <v>0</v>
      </c>
      <c r="AZ613" s="545">
        <f ca="1">IF(AND($D613="Serviço",AZ$12&lt;&gt;0,$H613&gt;0,OR(AUTOEVENTO&lt;&gt;"manual",$M613&lt;&gt;1)),
IF(Import.TipoArredondamento&lt;&gt;"TransfereGOV",
ROUND(OFFSET($P613,0,AZ$13),15-13*ORÇAMENTO!$AF$7)/$H613*OFFSET(ORÇAMENTO!$X$15,ROW(AZ613)-ROW(AZ$15),0),
ROUND(ROUND(OFFSET($P613,0,AZ$13),15-13*ORÇAMENTO!$AF$7)*OFFSET(ORÇAMENTO!$W$15,ROW(AZ613)-ROW(AZ$15),0),15-13*ORÇAMENTO!$AF$11)),0)</f>
        <v>0</v>
      </c>
      <c r="BA613" s="546">
        <f ca="1">IF(AND($D613="Serviço",BA$12&lt;&gt;0,$H613&gt;0,OR(AUTOEVENTO&lt;&gt;"manual",$M613&lt;&gt;1)),
IF(Import.TipoArredondamento&lt;&gt;"TransfereGOV",
ROUND(OFFSET($P613,0,BA$13),15-13*ORÇAMENTO!$AF$7)/$H613*OFFSET(ORÇAMENTO!$X$15,ROW(BA613)-ROW(BA$15),0),
ROUND(ROUND(OFFSET($P613,0,BA$13),15-13*ORÇAMENTO!$AF$7)*OFFSET(ORÇAMENTO!$W$15,ROW(BA613)-ROW(BA$15),0),15-13*ORÇAMENTO!$AF$11)),0)</f>
        <v>0</v>
      </c>
      <c r="BC613" s="181">
        <f ca="1">IF($D613&lt;&gt;"Serviço",0,IF(AND(AUTOEVENTO="Manual",$M613=1),0,IF(OFFSET(CRONOPLE!$F$14,$M613,BC$13)="",10^12,OFFSET(CRONOPLE!$F$14,$M613,BC$13))))</f>
        <v>0</v>
      </c>
      <c r="BD613" s="181">
        <f ca="1">IF($D613&lt;&gt;"Serviço",0,IF(AND(AUTOEVENTO="Manual",$M613=1),0,IF(OFFSET(CRONOPLE!$F$14,$M613,BD$13)="",10^12,OFFSET(CRONOPLE!$F$14,$M613,BD$13))))</f>
        <v>0</v>
      </c>
      <c r="BE613" s="181">
        <f ca="1">IF($D613&lt;&gt;"Serviço",0,IF(AND(AUTOEVENTO="Manual",$M613=1),0,IF(OFFSET(CRONOPLE!$F$14,$M613,BE$13)="",10^12,OFFSET(CRONOPLE!$F$14,$M613,BE$13))))</f>
        <v>0</v>
      </c>
      <c r="BF613" s="181">
        <f ca="1">IF($D613&lt;&gt;"Serviço",0,IF(AND(AUTOEVENTO="Manual",$M613=1),0,IF(OFFSET(CRONOPLE!$F$14,$M613,BF$13)="",10^12,OFFSET(CRONOPLE!$F$14,$M613,BF$13))))</f>
        <v>0</v>
      </c>
      <c r="BG613" s="181">
        <f ca="1">IF($D613&lt;&gt;"Serviço",0,IF(AND(AUTOEVENTO="Manual",$M613=1),0,IF(OFFSET(CRONOPLE!$F$14,$M613,BG$13)="",10^12,OFFSET(CRONOPLE!$F$14,$M613,BG$13))))</f>
        <v>0</v>
      </c>
      <c r="BH613" s="181">
        <f ca="1">IF($D613&lt;&gt;"Serviço",0,IF(AND(AUTOEVENTO="Manual",$M613=1),0,IF(OFFSET(CRONOPLE!$F$14,$M613,BH$13)="",10^12,OFFSET(CRONOPLE!$F$14,$M613,BH$13))))</f>
        <v>0</v>
      </c>
      <c r="BI613" s="181">
        <f ca="1">IF($D613&lt;&gt;"Serviço",0,IF(AND(AUTOEVENTO="Manual",$M613=1),0,IF(OFFSET(CRONOPLE!$F$14,$M613,BI$13)="",10^12,OFFSET(CRONOPLE!$F$14,$M613,BI$13))))</f>
        <v>0</v>
      </c>
      <c r="BJ613" s="181">
        <f ca="1">IF($D613&lt;&gt;"Serviço",0,IF(AND(AUTOEVENTO="Manual",$M613=1),0,IF(OFFSET(CRONOPLE!$F$14,$M613,BJ$13)="",10^12,OFFSET(CRONOPLE!$F$14,$M613,BJ$13))))</f>
        <v>0</v>
      </c>
      <c r="BK613" s="181">
        <f ca="1">IF($D613&lt;&gt;"Serviço",0,IF(AND(AUTOEVENTO="Manual",$M613=1),0,IF(OFFSET(CRONOPLE!$F$14,$M613,BK$13)="",10^12,OFFSET(CRONOPLE!$F$14,$M613,BK$13))))</f>
        <v>0</v>
      </c>
      <c r="BL613" s="181">
        <f ca="1">IF($D613&lt;&gt;"Serviço",0,IF(AND(AUTOEVENTO="Manual",$M613=1),0,IF(OFFSET(CRONOPLE!$F$14,$M613,BL$13)="",10^12,OFFSET(CRONOPLE!$F$14,$M613,BL$13))))</f>
        <v>0</v>
      </c>
      <c r="BM613" s="181">
        <f ca="1">IF($D613&lt;&gt;"Serviço",0,IF(AND(AUTOEVENTO="Manual",$M613=1),0,IF(OFFSET(CRONOPLE!$F$14,$M613,BM$13)="",10^12,OFFSET(CRONOPLE!$F$14,$M613,BM$13))))</f>
        <v>0</v>
      </c>
      <c r="BN613" s="181">
        <f ca="1">IF($D613&lt;&gt;"Serviço",0,IF(AND(AUTOEVENTO="Manual",$M613=1),0,IF(OFFSET(CRONOPLE!$F$14,$M613,BN$13)="",10^12,OFFSET(CRONOPLE!$F$14,$M613,BN$13))))</f>
        <v>0</v>
      </c>
      <c r="BO613" s="181">
        <f ca="1">IF($D613&lt;&gt;"Serviço",0,IF(AND(AUTOEVENTO="Manual",$M613=1),0,IF(OFFSET(CRONOPLE!$F$14,$M613,BO$13)="",10^12,OFFSET(CRONOPLE!$F$14,$M613,BO$13))))</f>
        <v>0</v>
      </c>
      <c r="BP613" s="181">
        <f ca="1">IF($D613&lt;&gt;"Serviço",0,IF(AND(AUTOEVENTO="Manual",$M613=1),0,IF(OFFSET(CRONOPLE!$F$14,$M613,BP$13)="",10^12,OFFSET(CRONOPLE!$F$14,$M613,BP$13))))</f>
        <v>0</v>
      </c>
      <c r="BQ613" s="181">
        <f ca="1">IF($D613&lt;&gt;"Serviço",0,IF(AND(AUTOEVENTO="Manual",$M613=1),0,IF(OFFSET(CRONOPLE!$F$14,$M613,BQ$13)="",10^12,OFFSET(CRONOPLE!$F$14,$M613,BQ$13))))</f>
        <v>0</v>
      </c>
      <c r="BR613" s="181">
        <f ca="1">IF($D613&lt;&gt;"Serviço",0,IF(AND(AUTOEVENTO="Manual",$M613=1),0,IF(OFFSET(CRONOPLE!$F$14,$M613,BR$13)="",10^12,OFFSET(CRONOPLE!$F$14,$M613,BR$13))))</f>
        <v>0</v>
      </c>
      <c r="BS613" s="181">
        <f ca="1">IF($D613&lt;&gt;"Serviço",0,IF(AND(AUTOEVENTO="Manual",$M613=1),0,IF(OFFSET(CRONOPLE!$F$14,$M613,BS$13)="",10^12,OFFSET(CRONOPLE!$F$14,$M613,BS$13))))</f>
        <v>0</v>
      </c>
      <c r="BT613" s="181">
        <f ca="1">IF($D613&lt;&gt;"Serviço",0,IF(AND(AUTOEVENTO="Manual",$M613=1),0,IF(OFFSET(CRONOPLE!$F$14,$M613,BT$13)="",10^12,OFFSET(CRONOPLE!$F$14,$M613,BT$13))))</f>
        <v>0</v>
      </c>
      <c r="BV613" s="182">
        <f ca="1">IF($D613&lt;&gt;"Serviço",0,IF(OR(AND(AUTOEVENTO="Manual",$M613=1),$M613&gt;(ROW(PLE.lastrow)-ROW(PLE.firstrow))),0,IF(OFFSET(PLE!$G$14,$M613,BV$13)="",10^12,OFFSET(PLE!$G$14,$M613,BV$13))))</f>
        <v>0</v>
      </c>
      <c r="BW613" s="182">
        <f ca="1">IF($D613&lt;&gt;"Serviço",0,IF(OR(AND(AUTOEVENTO="Manual",$M613=1),$M613&gt;(ROW(PLE.lastrow)-ROW(PLE.firstrow))),0,IF(OFFSET(PLE!$G$14,$M613,BW$13)="",10^12,OFFSET(PLE!$G$14,$M613,BW$13))))</f>
        <v>0</v>
      </c>
      <c r="BX613" s="182">
        <f ca="1">IF($D613&lt;&gt;"Serviço",0,IF(OR(AND(AUTOEVENTO="Manual",$M613=1),$M613&gt;(ROW(PLE.lastrow)-ROW(PLE.firstrow))),0,IF(OFFSET(PLE!$G$14,$M613,BX$13)="",10^12,OFFSET(PLE!$G$14,$M613,BX$13))))</f>
        <v>0</v>
      </c>
      <c r="BY613" s="182">
        <f ca="1">IF($D613&lt;&gt;"Serviço",0,IF(OR(AND(AUTOEVENTO="Manual",$M613=1),$M613&gt;(ROW(PLE.lastrow)-ROW(PLE.firstrow))),0,IF(OFFSET(PLE!$G$14,$M613,BY$13)="",10^12,OFFSET(PLE!$G$14,$M613,BY$13))))</f>
        <v>0</v>
      </c>
      <c r="BZ613" s="182">
        <f ca="1">IF($D613&lt;&gt;"Serviço",0,IF(OR(AND(AUTOEVENTO="Manual",$M613=1),$M613&gt;(ROW(PLE.lastrow)-ROW(PLE.firstrow))),0,IF(OFFSET(PLE!$G$14,$M613,BZ$13)="",10^12,OFFSET(PLE!$G$14,$M613,BZ$13))))</f>
        <v>0</v>
      </c>
      <c r="CA613" s="182">
        <f ca="1">IF($D613&lt;&gt;"Serviço",0,IF(OR(AND(AUTOEVENTO="Manual",$M613=1),$M613&gt;(ROW(PLE.lastrow)-ROW(PLE.firstrow))),0,IF(OFFSET(PLE!$G$14,$M613,CA$13)="",10^12,OFFSET(PLE!$G$14,$M613,CA$13))))</f>
        <v>0</v>
      </c>
      <c r="CB613" s="182">
        <f ca="1">IF($D613&lt;&gt;"Serviço",0,IF(OR(AND(AUTOEVENTO="Manual",$M613=1),$M613&gt;(ROW(PLE.lastrow)-ROW(PLE.firstrow))),0,IF(OFFSET(PLE!$G$14,$M613,CB$13)="",10^12,OFFSET(PLE!$G$14,$M613,CB$13))))</f>
        <v>0</v>
      </c>
      <c r="CC613" s="182">
        <f ca="1">IF($D613&lt;&gt;"Serviço",0,IF(OR(AND(AUTOEVENTO="Manual",$M613=1),$M613&gt;(ROW(PLE.lastrow)-ROW(PLE.firstrow))),0,IF(OFFSET(PLE!$G$14,$M613,CC$13)="",10^12,OFFSET(PLE!$G$14,$M613,CC$13))))</f>
        <v>0</v>
      </c>
      <c r="CD613" s="182">
        <f ca="1">IF($D613&lt;&gt;"Serviço",0,IF(OR(AND(AUTOEVENTO="Manual",$M613=1),$M613&gt;(ROW(PLE.lastrow)-ROW(PLE.firstrow))),0,IF(OFFSET(PLE!$G$14,$M613,CD$13)="",10^12,OFFSET(PLE!$G$14,$M613,CD$13))))</f>
        <v>0</v>
      </c>
      <c r="CE613" s="182">
        <f ca="1">IF($D613&lt;&gt;"Serviço",0,IF(OR(AND(AUTOEVENTO="Manual",$M613=1),$M613&gt;(ROW(PLE.lastrow)-ROW(PLE.firstrow))),0,IF(OFFSET(PLE!$G$14,$M613,CE$13)="",10^12,OFFSET(PLE!$G$14,$M613,CE$13))))</f>
        <v>0</v>
      </c>
      <c r="CF613" s="182">
        <f ca="1">IF($D613&lt;&gt;"Serviço",0,IF(OR(AND(AUTOEVENTO="Manual",$M613=1),$M613&gt;(ROW(PLE.lastrow)-ROW(PLE.firstrow))),0,IF(OFFSET(PLE!$G$14,$M613,CF$13)="",10^12,OFFSET(PLE!$G$14,$M613,CF$13))))</f>
        <v>0</v>
      </c>
      <c r="CG613" s="182">
        <f ca="1">IF($D613&lt;&gt;"Serviço",0,IF(OR(AND(AUTOEVENTO="Manual",$M613=1),$M613&gt;(ROW(PLE.lastrow)-ROW(PLE.firstrow))),0,IF(OFFSET(PLE!$G$14,$M613,CG$13)="",10^12,OFFSET(PLE!$G$14,$M613,CG$13))))</f>
        <v>0</v>
      </c>
      <c r="CH613" s="182">
        <f ca="1">IF($D613&lt;&gt;"Serviço",0,IF(OR(AND(AUTOEVENTO="Manual",$M613=1),$M613&gt;(ROW(PLE.lastrow)-ROW(PLE.firstrow))),0,IF(OFFSET(PLE!$G$14,$M613,CH$13)="",10^12,OFFSET(PLE!$G$14,$M613,CH$13))))</f>
        <v>0</v>
      </c>
      <c r="CI613" s="182">
        <f ca="1">IF($D613&lt;&gt;"Serviço",0,IF(OR(AND(AUTOEVENTO="Manual",$M613=1),$M613&gt;(ROW(PLE.lastrow)-ROW(PLE.firstrow))),0,IF(OFFSET(PLE!$G$14,$M613,CI$13)="",10^12,OFFSET(PLE!$G$14,$M613,CI$13))))</f>
        <v>0</v>
      </c>
      <c r="CJ613" s="182">
        <f ca="1">IF($D613&lt;&gt;"Serviço",0,IF(OR(AND(AUTOEVENTO="Manual",$M613=1),$M613&gt;(ROW(PLE.lastrow)-ROW(PLE.firstrow))),0,IF(OFFSET(PLE!$G$14,$M613,CJ$13)="",10^12,OFFSET(PLE!$G$14,$M613,CJ$13))))</f>
        <v>0</v>
      </c>
      <c r="CK613" s="182">
        <f ca="1">IF($D613&lt;&gt;"Serviço",0,IF(OR(AND(AUTOEVENTO="Manual",$M613=1),$M613&gt;(ROW(PLE.lastrow)-ROW(PLE.firstrow))),0,IF(OFFSET(PLE!$G$14,$M613,CK$13)="",10^12,OFFSET(PLE!$G$14,$M613,CK$13))))</f>
        <v>0</v>
      </c>
      <c r="CL613" s="182">
        <f ca="1">IF($D613&lt;&gt;"Serviço",0,IF(OR(AND(AUTOEVENTO="Manual",$M613=1),$M613&gt;(ROW(PLE.lastrow)-ROW(PLE.firstrow))),0,IF(OFFSET(PLE!$G$14,$M613,CL$13)="",10^12,OFFSET(PLE!$G$14,$M613,CL$13))))</f>
        <v>0</v>
      </c>
      <c r="CM613" s="182">
        <f ca="1">IF($D613&lt;&gt;"Serviço",0,IF(OR(AND(AUTOEVENTO="Manual",$M613=1),$M613&gt;(ROW(PLE.lastrow)-ROW(PLE.firstrow))),0,IF(OFFSET(PLE!$G$14,$M613,CM$13)="",10^12,OFFSET(PLE!$G$14,$M613,CM$13))))</f>
        <v>0</v>
      </c>
    </row>
    <row r="614" spans="1:91" ht="38.25" x14ac:dyDescent="0.2">
      <c r="A614" s="7" t="str">
        <f t="shared" ca="1" si="18"/>
        <v>598</v>
      </c>
      <c r="B614" s="7" t="str">
        <f ca="1">OFFSET(ORÇAMENTO!C$15,ROW(B614)-ROW(B$15),0)</f>
        <v>S</v>
      </c>
      <c r="C614" s="7" t="str">
        <f ca="1">OFFSET(ORÇAMENTO!L$15,ROW(C614)-ROW(C$15),0)</f>
        <v/>
      </c>
      <c r="D614" s="118" t="str">
        <f ca="1">OFFSET(ORÇAMENTO!N$15,ROW(D614)-ROW(D$15),0)</f>
        <v>Serviço</v>
      </c>
      <c r="E614" s="119" t="str">
        <f ca="1">OFFSET(ORÇAMENTO!O$15,ROW(E614)-ROW(E$15),0)</f>
        <v>-</v>
      </c>
      <c r="F614" s="172" t="str">
        <f ca="1">OFFSET(ORÇAMENTO!R$15,ROW(F614)-ROW(F$15),0)</f>
        <v>(abra o arquivo 'Referência 06-2024.xlsm)</v>
      </c>
      <c r="G614" s="173" t="str">
        <f ca="1">IF($D614&lt;&gt;"Serviço","",OFFSET(ORÇAMENTO!S$15,ROW(G614)-ROW(G$15),0))</f>
        <v>-</v>
      </c>
      <c r="H614" s="124">
        <f ca="1">IF($D614&lt;&gt;"Serviço",0,IF(ACOMPANHAMENTO="BM",ROUND(OFFSET(ORÇAMENTO!AJ$15,ROW(H614)-ROW(H$15),0),15-13*ORÇAMENTO!$AF$7),SUMPRODUCT(($Q$12:$AI$12&lt;&gt;"")*ROUND($Q614:$AI614,15-13*ORÇAMENTO!$AF$7))))</f>
        <v>128.80000000000001</v>
      </c>
      <c r="I614" s="561" t="s">
        <v>1107</v>
      </c>
      <c r="K614" s="174"/>
      <c r="L614" s="175" t="s">
        <v>255</v>
      </c>
      <c r="M614" s="176">
        <f ca="1">IF($D614&lt;&gt;"Serviço","",IF(AUTOEVENTO="manual",$A614,IF(ISERROR(MATCH($A614,$A$15:OFFSET($A614,-1,0),0)),MAX($M$15:OFFSET(M614,-1,0))+1,INDEX($M$15:OFFSET(M614,-1,0),MATCH($A614,$A$15:OFFSET($A614,-1,0),0)))))</f>
        <v>64</v>
      </c>
      <c r="N614" s="177" t="str">
        <f ca="1">IF($D614&lt;&gt;"Serviço","",IF(AUTOEVENTO="Manual",IF($A614=0,"&lt;-- defina o número do agrupador",OFFSET(EVENTOS!$D$14,$A614,0)),OFFSET($F$15,$A614,0)))</f>
        <v>INSTALAÇÕES DE CLIMATIZAÇÃO - DRENO</v>
      </c>
      <c r="O614" s="178"/>
      <c r="Q614" s="178">
        <v>128.80000000000001</v>
      </c>
      <c r="R614" s="179"/>
      <c r="S614" s="179"/>
      <c r="T614" s="179"/>
      <c r="U614" s="179"/>
      <c r="V614" s="179"/>
      <c r="W614" s="179"/>
      <c r="X614" s="179"/>
      <c r="Y614" s="179"/>
      <c r="Z614" s="180"/>
      <c r="AA614" s="179"/>
      <c r="AB614" s="179"/>
      <c r="AC614" s="179"/>
      <c r="AD614" s="179"/>
      <c r="AE614" s="179"/>
      <c r="AF614" s="179"/>
      <c r="AG614" s="179"/>
      <c r="AH614" s="180"/>
      <c r="AJ614" s="544">
        <f ca="1">IF(AND($D614="Serviço",AJ$12&lt;&gt;0,$H614&gt;0,OR(AUTOEVENTO&lt;&gt;"manual",$M614&lt;&gt;1)),
IF(Import.TipoArredondamento&lt;&gt;"TransfereGOV",
ROUND(OFFSET($P614,0,AJ$13),15-13*ORÇAMENTO!$AF$7)/$H614*OFFSET(ORÇAMENTO!$X$15,ROW(AJ614)-ROW(AJ$15),0),
ROUND(ROUND(OFFSET($P614,0,AJ$13),15-13*ORÇAMENTO!$AF$7)*OFFSET(ORÇAMENTO!$W$15,ROW(AJ614)-ROW(AJ$15),0),15-13*ORÇAMENTO!$AF$11)),0)</f>
        <v>0</v>
      </c>
      <c r="AK614" s="545">
        <f ca="1">IF(AND($D614="Serviço",AK$12&lt;&gt;0,$H614&gt;0,OR(AUTOEVENTO&lt;&gt;"manual",$M614&lt;&gt;1)),
IF(Import.TipoArredondamento&lt;&gt;"TransfereGOV",
ROUND(OFFSET($P614,0,AK$13),15-13*ORÇAMENTO!$AF$7)/$H614*OFFSET(ORÇAMENTO!$X$15,ROW(AK614)-ROW(AK$15),0),
ROUND(ROUND(OFFSET($P614,0,AK$13),15-13*ORÇAMENTO!$AF$7)*OFFSET(ORÇAMENTO!$W$15,ROW(AK614)-ROW(AK$15),0),15-13*ORÇAMENTO!$AF$11)),0)</f>
        <v>0</v>
      </c>
      <c r="AL614" s="545">
        <f ca="1">IF(AND($D614="Serviço",AL$12&lt;&gt;0,$H614&gt;0,OR(AUTOEVENTO&lt;&gt;"manual",$M614&lt;&gt;1)),
IF(Import.TipoArredondamento&lt;&gt;"TransfereGOV",
ROUND(OFFSET($P614,0,AL$13),15-13*ORÇAMENTO!$AF$7)/$H614*OFFSET(ORÇAMENTO!$X$15,ROW(AL614)-ROW(AL$15),0),
ROUND(ROUND(OFFSET($P614,0,AL$13),15-13*ORÇAMENTO!$AF$7)*OFFSET(ORÇAMENTO!$W$15,ROW(AL614)-ROW(AL$15),0),15-13*ORÇAMENTO!$AF$11)),0)</f>
        <v>0</v>
      </c>
      <c r="AM614" s="545">
        <f ca="1">IF(AND($D614="Serviço",AM$12&lt;&gt;0,$H614&gt;0,OR(AUTOEVENTO&lt;&gt;"manual",$M614&lt;&gt;1)),
IF(Import.TipoArredondamento&lt;&gt;"TransfereGOV",
ROUND(OFFSET($P614,0,AM$13),15-13*ORÇAMENTO!$AF$7)/$H614*OFFSET(ORÇAMENTO!$X$15,ROW(AM614)-ROW(AM$15),0),
ROUND(ROUND(OFFSET($P614,0,AM$13),15-13*ORÇAMENTO!$AF$7)*OFFSET(ORÇAMENTO!$W$15,ROW(AM614)-ROW(AM$15),0),15-13*ORÇAMENTO!$AF$11)),0)</f>
        <v>0</v>
      </c>
      <c r="AN614" s="545">
        <f ca="1">IF(AND($D614="Serviço",AN$12&lt;&gt;0,$H614&gt;0,OR(AUTOEVENTO&lt;&gt;"manual",$M614&lt;&gt;1)),
IF(Import.TipoArredondamento&lt;&gt;"TransfereGOV",
ROUND(OFFSET($P614,0,AN$13),15-13*ORÇAMENTO!$AF$7)/$H614*OFFSET(ORÇAMENTO!$X$15,ROW(AN614)-ROW(AN$15),0),
ROUND(ROUND(OFFSET($P614,0,AN$13),15-13*ORÇAMENTO!$AF$7)*OFFSET(ORÇAMENTO!$W$15,ROW(AN614)-ROW(AN$15),0),15-13*ORÇAMENTO!$AF$11)),0)</f>
        <v>0</v>
      </c>
      <c r="AO614" s="545">
        <f ca="1">IF(AND($D614="Serviço",AO$12&lt;&gt;0,$H614&gt;0,OR(AUTOEVENTO&lt;&gt;"manual",$M614&lt;&gt;1)),
IF(Import.TipoArredondamento&lt;&gt;"TransfereGOV",
ROUND(OFFSET($P614,0,AO$13),15-13*ORÇAMENTO!$AF$7)/$H614*OFFSET(ORÇAMENTO!$X$15,ROW(AO614)-ROW(AO$15),0),
ROUND(ROUND(OFFSET($P614,0,AO$13),15-13*ORÇAMENTO!$AF$7)*OFFSET(ORÇAMENTO!$W$15,ROW(AO614)-ROW(AO$15),0),15-13*ORÇAMENTO!$AF$11)),0)</f>
        <v>0</v>
      </c>
      <c r="AP614" s="545">
        <f ca="1">IF(AND($D614="Serviço",AP$12&lt;&gt;0,$H614&gt;0,OR(AUTOEVENTO&lt;&gt;"manual",$M614&lt;&gt;1)),
IF(Import.TipoArredondamento&lt;&gt;"TransfereGOV",
ROUND(OFFSET($P614,0,AP$13),15-13*ORÇAMENTO!$AF$7)/$H614*OFFSET(ORÇAMENTO!$X$15,ROW(AP614)-ROW(AP$15),0),
ROUND(ROUND(OFFSET($P614,0,AP$13),15-13*ORÇAMENTO!$AF$7)*OFFSET(ORÇAMENTO!$W$15,ROW(AP614)-ROW(AP$15),0),15-13*ORÇAMENTO!$AF$11)),0)</f>
        <v>0</v>
      </c>
      <c r="AQ614" s="545">
        <f ca="1">IF(AND($D614="Serviço",AQ$12&lt;&gt;0,$H614&gt;0,OR(AUTOEVENTO&lt;&gt;"manual",$M614&lt;&gt;1)),
IF(Import.TipoArredondamento&lt;&gt;"TransfereGOV",
ROUND(OFFSET($P614,0,AQ$13),15-13*ORÇAMENTO!$AF$7)/$H614*OFFSET(ORÇAMENTO!$X$15,ROW(AQ614)-ROW(AQ$15),0),
ROUND(ROUND(OFFSET($P614,0,AQ$13),15-13*ORÇAMENTO!$AF$7)*OFFSET(ORÇAMENTO!$W$15,ROW(AQ614)-ROW(AQ$15),0),15-13*ORÇAMENTO!$AF$11)),0)</f>
        <v>0</v>
      </c>
      <c r="AR614" s="545">
        <f ca="1">IF(AND($D614="Serviço",AR$12&lt;&gt;0,$H614&gt;0,OR(AUTOEVENTO&lt;&gt;"manual",$M614&lt;&gt;1)),
IF(Import.TipoArredondamento&lt;&gt;"TransfereGOV",
ROUND(OFFSET($P614,0,AR$13),15-13*ORÇAMENTO!$AF$7)/$H614*OFFSET(ORÇAMENTO!$X$15,ROW(AR614)-ROW(AR$15),0),
ROUND(ROUND(OFFSET($P614,0,AR$13),15-13*ORÇAMENTO!$AF$7)*OFFSET(ORÇAMENTO!$W$15,ROW(AR614)-ROW(AR$15),0),15-13*ORÇAMENTO!$AF$11)),0)</f>
        <v>0</v>
      </c>
      <c r="AS614" s="546">
        <f ca="1">IF(AND($D614="Serviço",AS$12&lt;&gt;0,$H614&gt;0,OR(AUTOEVENTO&lt;&gt;"manual",$M614&lt;&gt;1)),
IF(Import.TipoArredondamento&lt;&gt;"TransfereGOV",
ROUND(OFFSET($P614,0,AS$13),15-13*ORÇAMENTO!$AF$7)/$H614*OFFSET(ORÇAMENTO!$X$15,ROW(AS614)-ROW(AS$15),0),
ROUND(ROUND(OFFSET($P614,0,AS$13),15-13*ORÇAMENTO!$AF$7)*OFFSET(ORÇAMENTO!$W$15,ROW(AS614)-ROW(AS$15),0),15-13*ORÇAMENTO!$AF$11)),0)</f>
        <v>0</v>
      </c>
      <c r="AT614" s="545">
        <f ca="1">IF(AND($D614="Serviço",AT$12&lt;&gt;0,$H614&gt;0,OR(AUTOEVENTO&lt;&gt;"manual",$M614&lt;&gt;1)),
IF(Import.TipoArredondamento&lt;&gt;"TransfereGOV",
ROUND(OFFSET($P614,0,AT$13),15-13*ORÇAMENTO!$AF$7)/$H614*OFFSET(ORÇAMENTO!$X$15,ROW(AT614)-ROW(AT$15),0),
ROUND(ROUND(OFFSET($P614,0,AT$13),15-13*ORÇAMENTO!$AF$7)*OFFSET(ORÇAMENTO!$W$15,ROW(AT614)-ROW(AT$15),0),15-13*ORÇAMENTO!$AF$11)),0)</f>
        <v>0</v>
      </c>
      <c r="AU614" s="545">
        <f ca="1">IF(AND($D614="Serviço",AU$12&lt;&gt;0,$H614&gt;0,OR(AUTOEVENTO&lt;&gt;"manual",$M614&lt;&gt;1)),
IF(Import.TipoArredondamento&lt;&gt;"TransfereGOV",
ROUND(OFFSET($P614,0,AU$13),15-13*ORÇAMENTO!$AF$7)/$H614*OFFSET(ORÇAMENTO!$X$15,ROW(AU614)-ROW(AU$15),0),
ROUND(ROUND(OFFSET($P614,0,AU$13),15-13*ORÇAMENTO!$AF$7)*OFFSET(ORÇAMENTO!$W$15,ROW(AU614)-ROW(AU$15),0),15-13*ORÇAMENTO!$AF$11)),0)</f>
        <v>0</v>
      </c>
      <c r="AV614" s="545">
        <f ca="1">IF(AND($D614="Serviço",AV$12&lt;&gt;0,$H614&gt;0,OR(AUTOEVENTO&lt;&gt;"manual",$M614&lt;&gt;1)),
IF(Import.TipoArredondamento&lt;&gt;"TransfereGOV",
ROUND(OFFSET($P614,0,AV$13),15-13*ORÇAMENTO!$AF$7)/$H614*OFFSET(ORÇAMENTO!$X$15,ROW(AV614)-ROW(AV$15),0),
ROUND(ROUND(OFFSET($P614,0,AV$13),15-13*ORÇAMENTO!$AF$7)*OFFSET(ORÇAMENTO!$W$15,ROW(AV614)-ROW(AV$15),0),15-13*ORÇAMENTO!$AF$11)),0)</f>
        <v>0</v>
      </c>
      <c r="AW614" s="545">
        <f ca="1">IF(AND($D614="Serviço",AW$12&lt;&gt;0,$H614&gt;0,OR(AUTOEVENTO&lt;&gt;"manual",$M614&lt;&gt;1)),
IF(Import.TipoArredondamento&lt;&gt;"TransfereGOV",
ROUND(OFFSET($P614,0,AW$13),15-13*ORÇAMENTO!$AF$7)/$H614*OFFSET(ORÇAMENTO!$X$15,ROW(AW614)-ROW(AW$15),0),
ROUND(ROUND(OFFSET($P614,0,AW$13),15-13*ORÇAMENTO!$AF$7)*OFFSET(ORÇAMENTO!$W$15,ROW(AW614)-ROW(AW$15),0),15-13*ORÇAMENTO!$AF$11)),0)</f>
        <v>0</v>
      </c>
      <c r="AX614" s="545">
        <f ca="1">IF(AND($D614="Serviço",AX$12&lt;&gt;0,$H614&gt;0,OR(AUTOEVENTO&lt;&gt;"manual",$M614&lt;&gt;1)),
IF(Import.TipoArredondamento&lt;&gt;"TransfereGOV",
ROUND(OFFSET($P614,0,AX$13),15-13*ORÇAMENTO!$AF$7)/$H614*OFFSET(ORÇAMENTO!$X$15,ROW(AX614)-ROW(AX$15),0),
ROUND(ROUND(OFFSET($P614,0,AX$13),15-13*ORÇAMENTO!$AF$7)*OFFSET(ORÇAMENTO!$W$15,ROW(AX614)-ROW(AX$15),0),15-13*ORÇAMENTO!$AF$11)),0)</f>
        <v>0</v>
      </c>
      <c r="AY614" s="545">
        <f ca="1">IF(AND($D614="Serviço",AY$12&lt;&gt;0,$H614&gt;0,OR(AUTOEVENTO&lt;&gt;"manual",$M614&lt;&gt;1)),
IF(Import.TipoArredondamento&lt;&gt;"TransfereGOV",
ROUND(OFFSET($P614,0,AY$13),15-13*ORÇAMENTO!$AF$7)/$H614*OFFSET(ORÇAMENTO!$X$15,ROW(AY614)-ROW(AY$15),0),
ROUND(ROUND(OFFSET($P614,0,AY$13),15-13*ORÇAMENTO!$AF$7)*OFFSET(ORÇAMENTO!$W$15,ROW(AY614)-ROW(AY$15),0),15-13*ORÇAMENTO!$AF$11)),0)</f>
        <v>0</v>
      </c>
      <c r="AZ614" s="545">
        <f ca="1">IF(AND($D614="Serviço",AZ$12&lt;&gt;0,$H614&gt;0,OR(AUTOEVENTO&lt;&gt;"manual",$M614&lt;&gt;1)),
IF(Import.TipoArredondamento&lt;&gt;"TransfereGOV",
ROUND(OFFSET($P614,0,AZ$13),15-13*ORÇAMENTO!$AF$7)/$H614*OFFSET(ORÇAMENTO!$X$15,ROW(AZ614)-ROW(AZ$15),0),
ROUND(ROUND(OFFSET($P614,0,AZ$13),15-13*ORÇAMENTO!$AF$7)*OFFSET(ORÇAMENTO!$W$15,ROW(AZ614)-ROW(AZ$15),0),15-13*ORÇAMENTO!$AF$11)),0)</f>
        <v>0</v>
      </c>
      <c r="BA614" s="546">
        <f ca="1">IF(AND($D614="Serviço",BA$12&lt;&gt;0,$H614&gt;0,OR(AUTOEVENTO&lt;&gt;"manual",$M614&lt;&gt;1)),
IF(Import.TipoArredondamento&lt;&gt;"TransfereGOV",
ROUND(OFFSET($P614,0,BA$13),15-13*ORÇAMENTO!$AF$7)/$H614*OFFSET(ORÇAMENTO!$X$15,ROW(BA614)-ROW(BA$15),0),
ROUND(ROUND(OFFSET($P614,0,BA$13),15-13*ORÇAMENTO!$AF$7)*OFFSET(ORÇAMENTO!$W$15,ROW(BA614)-ROW(BA$15),0),15-13*ORÇAMENTO!$AF$11)),0)</f>
        <v>0</v>
      </c>
      <c r="BC614" s="181">
        <f ca="1">IF($D614&lt;&gt;"Serviço",0,IF(AND(AUTOEVENTO="Manual",$M614=1),0,IF(OFFSET(CRONOPLE!$F$14,$M614,BC$13)="",10^12,OFFSET(CRONOPLE!$F$14,$M614,BC$13))))</f>
        <v>11</v>
      </c>
      <c r="BD614" s="181">
        <f ca="1">IF($D614&lt;&gt;"Serviço",0,IF(AND(AUTOEVENTO="Manual",$M614=1),0,IF(OFFSET(CRONOPLE!$F$14,$M614,BD$13)="",10^12,OFFSET(CRONOPLE!$F$14,$M614,BD$13))))</f>
        <v>1000000000000</v>
      </c>
      <c r="BE614" s="181">
        <f ca="1">IF($D614&lt;&gt;"Serviço",0,IF(AND(AUTOEVENTO="Manual",$M614=1),0,IF(OFFSET(CRONOPLE!$F$14,$M614,BE$13)="",10^12,OFFSET(CRONOPLE!$F$14,$M614,BE$13))))</f>
        <v>1000000000000</v>
      </c>
      <c r="BF614" s="181">
        <f ca="1">IF($D614&lt;&gt;"Serviço",0,IF(AND(AUTOEVENTO="Manual",$M614=1),0,IF(OFFSET(CRONOPLE!$F$14,$M614,BF$13)="",10^12,OFFSET(CRONOPLE!$F$14,$M614,BF$13))))</f>
        <v>1000000000000</v>
      </c>
      <c r="BG614" s="181">
        <f ca="1">IF($D614&lt;&gt;"Serviço",0,IF(AND(AUTOEVENTO="Manual",$M614=1),0,IF(OFFSET(CRONOPLE!$F$14,$M614,BG$13)="",10^12,OFFSET(CRONOPLE!$F$14,$M614,BG$13))))</f>
        <v>1000000000000</v>
      </c>
      <c r="BH614" s="181">
        <f ca="1">IF($D614&lt;&gt;"Serviço",0,IF(AND(AUTOEVENTO="Manual",$M614=1),0,IF(OFFSET(CRONOPLE!$F$14,$M614,BH$13)="",10^12,OFFSET(CRONOPLE!$F$14,$M614,BH$13))))</f>
        <v>1000000000000</v>
      </c>
      <c r="BI614" s="181">
        <f ca="1">IF($D614&lt;&gt;"Serviço",0,IF(AND(AUTOEVENTO="Manual",$M614=1),0,IF(OFFSET(CRONOPLE!$F$14,$M614,BI$13)="",10^12,OFFSET(CRONOPLE!$F$14,$M614,BI$13))))</f>
        <v>1000000000000</v>
      </c>
      <c r="BJ614" s="181">
        <f ca="1">IF($D614&lt;&gt;"Serviço",0,IF(AND(AUTOEVENTO="Manual",$M614=1),0,IF(OFFSET(CRONOPLE!$F$14,$M614,BJ$13)="",10^12,OFFSET(CRONOPLE!$F$14,$M614,BJ$13))))</f>
        <v>1000000000000</v>
      </c>
      <c r="BK614" s="181">
        <f ca="1">IF($D614&lt;&gt;"Serviço",0,IF(AND(AUTOEVENTO="Manual",$M614=1),0,IF(OFFSET(CRONOPLE!$F$14,$M614,BK$13)="",10^12,OFFSET(CRONOPLE!$F$14,$M614,BK$13))))</f>
        <v>1000000000000</v>
      </c>
      <c r="BL614" s="181">
        <f ca="1">IF($D614&lt;&gt;"Serviço",0,IF(AND(AUTOEVENTO="Manual",$M614=1),0,IF(OFFSET(CRONOPLE!$F$14,$M614,BL$13)="",10^12,OFFSET(CRONOPLE!$F$14,$M614,BL$13))))</f>
        <v>1000000000000</v>
      </c>
      <c r="BM614" s="181">
        <f ca="1">IF($D614&lt;&gt;"Serviço",0,IF(AND(AUTOEVENTO="Manual",$M614=1),0,IF(OFFSET(CRONOPLE!$F$14,$M614,BM$13)="",10^12,OFFSET(CRONOPLE!$F$14,$M614,BM$13))))</f>
        <v>1000000000000</v>
      </c>
      <c r="BN614" s="181">
        <f ca="1">IF($D614&lt;&gt;"Serviço",0,IF(AND(AUTOEVENTO="Manual",$M614=1),0,IF(OFFSET(CRONOPLE!$F$14,$M614,BN$13)="",10^12,OFFSET(CRONOPLE!$F$14,$M614,BN$13))))</f>
        <v>1000000000000</v>
      </c>
      <c r="BO614" s="181">
        <f ca="1">IF($D614&lt;&gt;"Serviço",0,IF(AND(AUTOEVENTO="Manual",$M614=1),0,IF(OFFSET(CRONOPLE!$F$14,$M614,BO$13)="",10^12,OFFSET(CRONOPLE!$F$14,$M614,BO$13))))</f>
        <v>1000000000000</v>
      </c>
      <c r="BP614" s="181">
        <f ca="1">IF($D614&lt;&gt;"Serviço",0,IF(AND(AUTOEVENTO="Manual",$M614=1),0,IF(OFFSET(CRONOPLE!$F$14,$M614,BP$13)="",10^12,OFFSET(CRONOPLE!$F$14,$M614,BP$13))))</f>
        <v>1000000000000</v>
      </c>
      <c r="BQ614" s="181">
        <f ca="1">IF($D614&lt;&gt;"Serviço",0,IF(AND(AUTOEVENTO="Manual",$M614=1),0,IF(OFFSET(CRONOPLE!$F$14,$M614,BQ$13)="",10^12,OFFSET(CRONOPLE!$F$14,$M614,BQ$13))))</f>
        <v>1000000000000</v>
      </c>
      <c r="BR614" s="181">
        <f ca="1">IF($D614&lt;&gt;"Serviço",0,IF(AND(AUTOEVENTO="Manual",$M614=1),0,IF(OFFSET(CRONOPLE!$F$14,$M614,BR$13)="",10^12,OFFSET(CRONOPLE!$F$14,$M614,BR$13))))</f>
        <v>1000000000000</v>
      </c>
      <c r="BS614" s="181">
        <f ca="1">IF($D614&lt;&gt;"Serviço",0,IF(AND(AUTOEVENTO="Manual",$M614=1),0,IF(OFFSET(CRONOPLE!$F$14,$M614,BS$13)="",10^12,OFFSET(CRONOPLE!$F$14,$M614,BS$13))))</f>
        <v>1000000000000</v>
      </c>
      <c r="BT614" s="181">
        <f ca="1">IF($D614&lt;&gt;"Serviço",0,IF(AND(AUTOEVENTO="Manual",$M614=1),0,IF(OFFSET(CRONOPLE!$F$14,$M614,BT$13)="",10^12,OFFSET(CRONOPLE!$F$14,$M614,BT$13))))</f>
        <v>1000000000000</v>
      </c>
      <c r="BV614" s="182">
        <f ca="1">IF($D614&lt;&gt;"Serviço",0,IF(OR(AND(AUTOEVENTO="Manual",$M614=1),$M614&gt;(ROW(PLE.lastrow)-ROW(PLE.firstrow))),0,IF(OFFSET(PLE!$G$14,$M614,BV$13)="",10^12,OFFSET(PLE!$G$14,$M614,BV$13))))</f>
        <v>1000000000000</v>
      </c>
      <c r="BW614" s="182">
        <f ca="1">IF($D614&lt;&gt;"Serviço",0,IF(OR(AND(AUTOEVENTO="Manual",$M614=1),$M614&gt;(ROW(PLE.lastrow)-ROW(PLE.firstrow))),0,IF(OFFSET(PLE!$G$14,$M614,BW$13)="",10^12,OFFSET(PLE!$G$14,$M614,BW$13))))</f>
        <v>1000000000000</v>
      </c>
      <c r="BX614" s="182">
        <f ca="1">IF($D614&lt;&gt;"Serviço",0,IF(OR(AND(AUTOEVENTO="Manual",$M614=1),$M614&gt;(ROW(PLE.lastrow)-ROW(PLE.firstrow))),0,IF(OFFSET(PLE!$G$14,$M614,BX$13)="",10^12,OFFSET(PLE!$G$14,$M614,BX$13))))</f>
        <v>1000000000000</v>
      </c>
      <c r="BY614" s="182">
        <f ca="1">IF($D614&lt;&gt;"Serviço",0,IF(OR(AND(AUTOEVENTO="Manual",$M614=1),$M614&gt;(ROW(PLE.lastrow)-ROW(PLE.firstrow))),0,IF(OFFSET(PLE!$G$14,$M614,BY$13)="",10^12,OFFSET(PLE!$G$14,$M614,BY$13))))</f>
        <v>1000000000000</v>
      </c>
      <c r="BZ614" s="182">
        <f ca="1">IF($D614&lt;&gt;"Serviço",0,IF(OR(AND(AUTOEVENTO="Manual",$M614=1),$M614&gt;(ROW(PLE.lastrow)-ROW(PLE.firstrow))),0,IF(OFFSET(PLE!$G$14,$M614,BZ$13)="",10^12,OFFSET(PLE!$G$14,$M614,BZ$13))))</f>
        <v>1000000000000</v>
      </c>
      <c r="CA614" s="182">
        <f ca="1">IF($D614&lt;&gt;"Serviço",0,IF(OR(AND(AUTOEVENTO="Manual",$M614=1),$M614&gt;(ROW(PLE.lastrow)-ROW(PLE.firstrow))),0,IF(OFFSET(PLE!$G$14,$M614,CA$13)="",10^12,OFFSET(PLE!$G$14,$M614,CA$13))))</f>
        <v>1000000000000</v>
      </c>
      <c r="CB614" s="182">
        <f ca="1">IF($D614&lt;&gt;"Serviço",0,IF(OR(AND(AUTOEVENTO="Manual",$M614=1),$M614&gt;(ROW(PLE.lastrow)-ROW(PLE.firstrow))),0,IF(OFFSET(PLE!$G$14,$M614,CB$13)="",10^12,OFFSET(PLE!$G$14,$M614,CB$13))))</f>
        <v>1000000000000</v>
      </c>
      <c r="CC614" s="182">
        <f ca="1">IF($D614&lt;&gt;"Serviço",0,IF(OR(AND(AUTOEVENTO="Manual",$M614=1),$M614&gt;(ROW(PLE.lastrow)-ROW(PLE.firstrow))),0,IF(OFFSET(PLE!$G$14,$M614,CC$13)="",10^12,OFFSET(PLE!$G$14,$M614,CC$13))))</f>
        <v>1000000000000</v>
      </c>
      <c r="CD614" s="182">
        <f ca="1">IF($D614&lt;&gt;"Serviço",0,IF(OR(AND(AUTOEVENTO="Manual",$M614=1),$M614&gt;(ROW(PLE.lastrow)-ROW(PLE.firstrow))),0,IF(OFFSET(PLE!$G$14,$M614,CD$13)="",10^12,OFFSET(PLE!$G$14,$M614,CD$13))))</f>
        <v>1000000000000</v>
      </c>
      <c r="CE614" s="182">
        <f ca="1">IF($D614&lt;&gt;"Serviço",0,IF(OR(AND(AUTOEVENTO="Manual",$M614=1),$M614&gt;(ROW(PLE.lastrow)-ROW(PLE.firstrow))),0,IF(OFFSET(PLE!$G$14,$M614,CE$13)="",10^12,OFFSET(PLE!$G$14,$M614,CE$13))))</f>
        <v>1000000000000</v>
      </c>
      <c r="CF614" s="182">
        <f ca="1">IF($D614&lt;&gt;"Serviço",0,IF(OR(AND(AUTOEVENTO="Manual",$M614=1),$M614&gt;(ROW(PLE.lastrow)-ROW(PLE.firstrow))),0,IF(OFFSET(PLE!$G$14,$M614,CF$13)="",10^12,OFFSET(PLE!$G$14,$M614,CF$13))))</f>
        <v>1000000000000</v>
      </c>
      <c r="CG614" s="182">
        <f ca="1">IF($D614&lt;&gt;"Serviço",0,IF(OR(AND(AUTOEVENTO="Manual",$M614=1),$M614&gt;(ROW(PLE.lastrow)-ROW(PLE.firstrow))),0,IF(OFFSET(PLE!$G$14,$M614,CG$13)="",10^12,OFFSET(PLE!$G$14,$M614,CG$13))))</f>
        <v>1000000000000</v>
      </c>
      <c r="CH614" s="182">
        <f ca="1">IF($D614&lt;&gt;"Serviço",0,IF(OR(AND(AUTOEVENTO="Manual",$M614=1),$M614&gt;(ROW(PLE.lastrow)-ROW(PLE.firstrow))),0,IF(OFFSET(PLE!$G$14,$M614,CH$13)="",10^12,OFFSET(PLE!$G$14,$M614,CH$13))))</f>
        <v>1000000000000</v>
      </c>
      <c r="CI614" s="182">
        <f ca="1">IF($D614&lt;&gt;"Serviço",0,IF(OR(AND(AUTOEVENTO="Manual",$M614=1),$M614&gt;(ROW(PLE.lastrow)-ROW(PLE.firstrow))),0,IF(OFFSET(PLE!$G$14,$M614,CI$13)="",10^12,OFFSET(PLE!$G$14,$M614,CI$13))))</f>
        <v>1000000000000</v>
      </c>
      <c r="CJ614" s="182">
        <f ca="1">IF($D614&lt;&gt;"Serviço",0,IF(OR(AND(AUTOEVENTO="Manual",$M614=1),$M614&gt;(ROW(PLE.lastrow)-ROW(PLE.firstrow))),0,IF(OFFSET(PLE!$G$14,$M614,CJ$13)="",10^12,OFFSET(PLE!$G$14,$M614,CJ$13))))</f>
        <v>1000000000000</v>
      </c>
      <c r="CK614" s="182">
        <f ca="1">IF($D614&lt;&gt;"Serviço",0,IF(OR(AND(AUTOEVENTO="Manual",$M614=1),$M614&gt;(ROW(PLE.lastrow)-ROW(PLE.firstrow))),0,IF(OFFSET(PLE!$G$14,$M614,CK$13)="",10^12,OFFSET(PLE!$G$14,$M614,CK$13))))</f>
        <v>1000000000000</v>
      </c>
      <c r="CL614" s="182">
        <f ca="1">IF($D614&lt;&gt;"Serviço",0,IF(OR(AND(AUTOEVENTO="Manual",$M614=1),$M614&gt;(ROW(PLE.lastrow)-ROW(PLE.firstrow))),0,IF(OFFSET(PLE!$G$14,$M614,CL$13)="",10^12,OFFSET(PLE!$G$14,$M614,CL$13))))</f>
        <v>1000000000000</v>
      </c>
      <c r="CM614" s="182">
        <f ca="1">IF($D614&lt;&gt;"Serviço",0,IF(OR(AND(AUTOEVENTO="Manual",$M614=1),$M614&gt;(ROW(PLE.lastrow)-ROW(PLE.firstrow))),0,IF(OFFSET(PLE!$G$14,$M614,CM$13)="",10^12,OFFSET(PLE!$G$14,$M614,CM$13))))</f>
        <v>1000000000000</v>
      </c>
    </row>
    <row r="615" spans="1:91" ht="38.25" x14ac:dyDescent="0.2">
      <c r="A615" s="7" t="str">
        <f t="shared" ca="1" si="18"/>
        <v>598</v>
      </c>
      <c r="B615" s="7" t="str">
        <f ca="1">OFFSET(ORÇAMENTO!C$15,ROW(B615)-ROW(B$15),0)</f>
        <v>S</v>
      </c>
      <c r="C615" s="7" t="str">
        <f ca="1">OFFSET(ORÇAMENTO!L$15,ROW(C615)-ROW(C$15),0)</f>
        <v/>
      </c>
      <c r="D615" s="118" t="str">
        <f ca="1">OFFSET(ORÇAMENTO!N$15,ROW(D615)-ROW(D$15),0)</f>
        <v>Serviço</v>
      </c>
      <c r="E615" s="119" t="str">
        <f ca="1">OFFSET(ORÇAMENTO!O$15,ROW(E615)-ROW(E$15),0)</f>
        <v>-</v>
      </c>
      <c r="F615" s="172" t="str">
        <f ca="1">OFFSET(ORÇAMENTO!R$15,ROW(F615)-ROW(F$15),0)</f>
        <v>(abra o arquivo 'Referência 06-2024.xlsm)</v>
      </c>
      <c r="G615" s="173" t="str">
        <f ca="1">IF($D615&lt;&gt;"Serviço","",OFFSET(ORÇAMENTO!S$15,ROW(G615)-ROW(G$15),0))</f>
        <v>-</v>
      </c>
      <c r="H615" s="124">
        <f ca="1">IF($D615&lt;&gt;"Serviço",0,IF(ACOMPANHAMENTO="BM",ROUND(OFFSET(ORÇAMENTO!AJ$15,ROW(H615)-ROW(H$15),0),15-13*ORÇAMENTO!$AF$7),SUMPRODUCT(($Q$12:$AI$12&lt;&gt;"")*ROUND($Q615:$AI615,15-13*ORÇAMENTO!$AF$7))))</f>
        <v>24</v>
      </c>
      <c r="I615" s="561" t="s">
        <v>1107</v>
      </c>
      <c r="K615" s="174"/>
      <c r="L615" s="175" t="s">
        <v>255</v>
      </c>
      <c r="M615" s="176">
        <f ca="1">IF($D615&lt;&gt;"Serviço","",IF(AUTOEVENTO="manual",$A615,IF(ISERROR(MATCH($A615,$A$15:OFFSET($A615,-1,0),0)),MAX($M$15:OFFSET(M615,-1,0))+1,INDEX($M$15:OFFSET(M615,-1,0),MATCH($A615,$A$15:OFFSET($A615,-1,0),0)))))</f>
        <v>64</v>
      </c>
      <c r="N615" s="177" t="str">
        <f ca="1">IF($D615&lt;&gt;"Serviço","",IF(AUTOEVENTO="Manual",IF($A615=0,"&lt;-- defina o número do agrupador",OFFSET(EVENTOS!$D$14,$A615,0)),OFFSET($F$15,$A615,0)))</f>
        <v>INSTALAÇÕES DE CLIMATIZAÇÃO - DRENO</v>
      </c>
      <c r="O615" s="178"/>
      <c r="Q615" s="178">
        <v>24</v>
      </c>
      <c r="R615" s="179"/>
      <c r="S615" s="179"/>
      <c r="T615" s="179"/>
      <c r="U615" s="179"/>
      <c r="V615" s="179"/>
      <c r="W615" s="179"/>
      <c r="X615" s="179"/>
      <c r="Y615" s="179"/>
      <c r="Z615" s="180"/>
      <c r="AA615" s="179"/>
      <c r="AB615" s="179"/>
      <c r="AC615" s="179"/>
      <c r="AD615" s="179"/>
      <c r="AE615" s="179"/>
      <c r="AF615" s="179"/>
      <c r="AG615" s="179"/>
      <c r="AH615" s="180"/>
      <c r="AJ615" s="544">
        <f ca="1">IF(AND($D615="Serviço",AJ$12&lt;&gt;0,$H615&gt;0,OR(AUTOEVENTO&lt;&gt;"manual",$M615&lt;&gt;1)),
IF(Import.TipoArredondamento&lt;&gt;"TransfereGOV",
ROUND(OFFSET($P615,0,AJ$13),15-13*ORÇAMENTO!$AF$7)/$H615*OFFSET(ORÇAMENTO!$X$15,ROW(AJ615)-ROW(AJ$15),0),
ROUND(ROUND(OFFSET($P615,0,AJ$13),15-13*ORÇAMENTO!$AF$7)*OFFSET(ORÇAMENTO!$W$15,ROW(AJ615)-ROW(AJ$15),0),15-13*ORÇAMENTO!$AF$11)),0)</f>
        <v>0</v>
      </c>
      <c r="AK615" s="545">
        <f ca="1">IF(AND($D615="Serviço",AK$12&lt;&gt;0,$H615&gt;0,OR(AUTOEVENTO&lt;&gt;"manual",$M615&lt;&gt;1)),
IF(Import.TipoArredondamento&lt;&gt;"TransfereGOV",
ROUND(OFFSET($P615,0,AK$13),15-13*ORÇAMENTO!$AF$7)/$H615*OFFSET(ORÇAMENTO!$X$15,ROW(AK615)-ROW(AK$15),0),
ROUND(ROUND(OFFSET($P615,0,AK$13),15-13*ORÇAMENTO!$AF$7)*OFFSET(ORÇAMENTO!$W$15,ROW(AK615)-ROW(AK$15),0),15-13*ORÇAMENTO!$AF$11)),0)</f>
        <v>0</v>
      </c>
      <c r="AL615" s="545">
        <f ca="1">IF(AND($D615="Serviço",AL$12&lt;&gt;0,$H615&gt;0,OR(AUTOEVENTO&lt;&gt;"manual",$M615&lt;&gt;1)),
IF(Import.TipoArredondamento&lt;&gt;"TransfereGOV",
ROUND(OFFSET($P615,0,AL$13),15-13*ORÇAMENTO!$AF$7)/$H615*OFFSET(ORÇAMENTO!$X$15,ROW(AL615)-ROW(AL$15),0),
ROUND(ROUND(OFFSET($P615,0,AL$13),15-13*ORÇAMENTO!$AF$7)*OFFSET(ORÇAMENTO!$W$15,ROW(AL615)-ROW(AL$15),0),15-13*ORÇAMENTO!$AF$11)),0)</f>
        <v>0</v>
      </c>
      <c r="AM615" s="545">
        <f ca="1">IF(AND($D615="Serviço",AM$12&lt;&gt;0,$H615&gt;0,OR(AUTOEVENTO&lt;&gt;"manual",$M615&lt;&gt;1)),
IF(Import.TipoArredondamento&lt;&gt;"TransfereGOV",
ROUND(OFFSET($P615,0,AM$13),15-13*ORÇAMENTO!$AF$7)/$H615*OFFSET(ORÇAMENTO!$X$15,ROW(AM615)-ROW(AM$15),0),
ROUND(ROUND(OFFSET($P615,0,AM$13),15-13*ORÇAMENTO!$AF$7)*OFFSET(ORÇAMENTO!$W$15,ROW(AM615)-ROW(AM$15),0),15-13*ORÇAMENTO!$AF$11)),0)</f>
        <v>0</v>
      </c>
      <c r="AN615" s="545">
        <f ca="1">IF(AND($D615="Serviço",AN$12&lt;&gt;0,$H615&gt;0,OR(AUTOEVENTO&lt;&gt;"manual",$M615&lt;&gt;1)),
IF(Import.TipoArredondamento&lt;&gt;"TransfereGOV",
ROUND(OFFSET($P615,0,AN$13),15-13*ORÇAMENTO!$AF$7)/$H615*OFFSET(ORÇAMENTO!$X$15,ROW(AN615)-ROW(AN$15),0),
ROUND(ROUND(OFFSET($P615,0,AN$13),15-13*ORÇAMENTO!$AF$7)*OFFSET(ORÇAMENTO!$W$15,ROW(AN615)-ROW(AN$15),0),15-13*ORÇAMENTO!$AF$11)),0)</f>
        <v>0</v>
      </c>
      <c r="AO615" s="545">
        <f ca="1">IF(AND($D615="Serviço",AO$12&lt;&gt;0,$H615&gt;0,OR(AUTOEVENTO&lt;&gt;"manual",$M615&lt;&gt;1)),
IF(Import.TipoArredondamento&lt;&gt;"TransfereGOV",
ROUND(OFFSET($P615,0,AO$13),15-13*ORÇAMENTO!$AF$7)/$H615*OFFSET(ORÇAMENTO!$X$15,ROW(AO615)-ROW(AO$15),0),
ROUND(ROUND(OFFSET($P615,0,AO$13),15-13*ORÇAMENTO!$AF$7)*OFFSET(ORÇAMENTO!$W$15,ROW(AO615)-ROW(AO$15),0),15-13*ORÇAMENTO!$AF$11)),0)</f>
        <v>0</v>
      </c>
      <c r="AP615" s="545">
        <f ca="1">IF(AND($D615="Serviço",AP$12&lt;&gt;0,$H615&gt;0,OR(AUTOEVENTO&lt;&gt;"manual",$M615&lt;&gt;1)),
IF(Import.TipoArredondamento&lt;&gt;"TransfereGOV",
ROUND(OFFSET($P615,0,AP$13),15-13*ORÇAMENTO!$AF$7)/$H615*OFFSET(ORÇAMENTO!$X$15,ROW(AP615)-ROW(AP$15),0),
ROUND(ROUND(OFFSET($P615,0,AP$13),15-13*ORÇAMENTO!$AF$7)*OFFSET(ORÇAMENTO!$W$15,ROW(AP615)-ROW(AP$15),0),15-13*ORÇAMENTO!$AF$11)),0)</f>
        <v>0</v>
      </c>
      <c r="AQ615" s="545">
        <f ca="1">IF(AND($D615="Serviço",AQ$12&lt;&gt;0,$H615&gt;0,OR(AUTOEVENTO&lt;&gt;"manual",$M615&lt;&gt;1)),
IF(Import.TipoArredondamento&lt;&gt;"TransfereGOV",
ROUND(OFFSET($P615,0,AQ$13),15-13*ORÇAMENTO!$AF$7)/$H615*OFFSET(ORÇAMENTO!$X$15,ROW(AQ615)-ROW(AQ$15),0),
ROUND(ROUND(OFFSET($P615,0,AQ$13),15-13*ORÇAMENTO!$AF$7)*OFFSET(ORÇAMENTO!$W$15,ROW(AQ615)-ROW(AQ$15),0),15-13*ORÇAMENTO!$AF$11)),0)</f>
        <v>0</v>
      </c>
      <c r="AR615" s="545">
        <f ca="1">IF(AND($D615="Serviço",AR$12&lt;&gt;0,$H615&gt;0,OR(AUTOEVENTO&lt;&gt;"manual",$M615&lt;&gt;1)),
IF(Import.TipoArredondamento&lt;&gt;"TransfereGOV",
ROUND(OFFSET($P615,0,AR$13),15-13*ORÇAMENTO!$AF$7)/$H615*OFFSET(ORÇAMENTO!$X$15,ROW(AR615)-ROW(AR$15),0),
ROUND(ROUND(OFFSET($P615,0,AR$13),15-13*ORÇAMENTO!$AF$7)*OFFSET(ORÇAMENTO!$W$15,ROW(AR615)-ROW(AR$15),0),15-13*ORÇAMENTO!$AF$11)),0)</f>
        <v>0</v>
      </c>
      <c r="AS615" s="546">
        <f ca="1">IF(AND($D615="Serviço",AS$12&lt;&gt;0,$H615&gt;0,OR(AUTOEVENTO&lt;&gt;"manual",$M615&lt;&gt;1)),
IF(Import.TipoArredondamento&lt;&gt;"TransfereGOV",
ROUND(OFFSET($P615,0,AS$13),15-13*ORÇAMENTO!$AF$7)/$H615*OFFSET(ORÇAMENTO!$X$15,ROW(AS615)-ROW(AS$15),0),
ROUND(ROUND(OFFSET($P615,0,AS$13),15-13*ORÇAMENTO!$AF$7)*OFFSET(ORÇAMENTO!$W$15,ROW(AS615)-ROW(AS$15),0),15-13*ORÇAMENTO!$AF$11)),0)</f>
        <v>0</v>
      </c>
      <c r="AT615" s="545">
        <f ca="1">IF(AND($D615="Serviço",AT$12&lt;&gt;0,$H615&gt;0,OR(AUTOEVENTO&lt;&gt;"manual",$M615&lt;&gt;1)),
IF(Import.TipoArredondamento&lt;&gt;"TransfereGOV",
ROUND(OFFSET($P615,0,AT$13),15-13*ORÇAMENTO!$AF$7)/$H615*OFFSET(ORÇAMENTO!$X$15,ROW(AT615)-ROW(AT$15),0),
ROUND(ROUND(OFFSET($P615,0,AT$13),15-13*ORÇAMENTO!$AF$7)*OFFSET(ORÇAMENTO!$W$15,ROW(AT615)-ROW(AT$15),0),15-13*ORÇAMENTO!$AF$11)),0)</f>
        <v>0</v>
      </c>
      <c r="AU615" s="545">
        <f ca="1">IF(AND($D615="Serviço",AU$12&lt;&gt;0,$H615&gt;0,OR(AUTOEVENTO&lt;&gt;"manual",$M615&lt;&gt;1)),
IF(Import.TipoArredondamento&lt;&gt;"TransfereGOV",
ROUND(OFFSET($P615,0,AU$13),15-13*ORÇAMENTO!$AF$7)/$H615*OFFSET(ORÇAMENTO!$X$15,ROW(AU615)-ROW(AU$15),0),
ROUND(ROUND(OFFSET($P615,0,AU$13),15-13*ORÇAMENTO!$AF$7)*OFFSET(ORÇAMENTO!$W$15,ROW(AU615)-ROW(AU$15),0),15-13*ORÇAMENTO!$AF$11)),0)</f>
        <v>0</v>
      </c>
      <c r="AV615" s="545">
        <f ca="1">IF(AND($D615="Serviço",AV$12&lt;&gt;0,$H615&gt;0,OR(AUTOEVENTO&lt;&gt;"manual",$M615&lt;&gt;1)),
IF(Import.TipoArredondamento&lt;&gt;"TransfereGOV",
ROUND(OFFSET($P615,0,AV$13),15-13*ORÇAMENTO!$AF$7)/$H615*OFFSET(ORÇAMENTO!$X$15,ROW(AV615)-ROW(AV$15),0),
ROUND(ROUND(OFFSET($P615,0,AV$13),15-13*ORÇAMENTO!$AF$7)*OFFSET(ORÇAMENTO!$W$15,ROW(AV615)-ROW(AV$15),0),15-13*ORÇAMENTO!$AF$11)),0)</f>
        <v>0</v>
      </c>
      <c r="AW615" s="545">
        <f ca="1">IF(AND($D615="Serviço",AW$12&lt;&gt;0,$H615&gt;0,OR(AUTOEVENTO&lt;&gt;"manual",$M615&lt;&gt;1)),
IF(Import.TipoArredondamento&lt;&gt;"TransfereGOV",
ROUND(OFFSET($P615,0,AW$13),15-13*ORÇAMENTO!$AF$7)/$H615*OFFSET(ORÇAMENTO!$X$15,ROW(AW615)-ROW(AW$15),0),
ROUND(ROUND(OFFSET($P615,0,AW$13),15-13*ORÇAMENTO!$AF$7)*OFFSET(ORÇAMENTO!$W$15,ROW(AW615)-ROW(AW$15),0),15-13*ORÇAMENTO!$AF$11)),0)</f>
        <v>0</v>
      </c>
      <c r="AX615" s="545">
        <f ca="1">IF(AND($D615="Serviço",AX$12&lt;&gt;0,$H615&gt;0,OR(AUTOEVENTO&lt;&gt;"manual",$M615&lt;&gt;1)),
IF(Import.TipoArredondamento&lt;&gt;"TransfereGOV",
ROUND(OFFSET($P615,0,AX$13),15-13*ORÇAMENTO!$AF$7)/$H615*OFFSET(ORÇAMENTO!$X$15,ROW(AX615)-ROW(AX$15),0),
ROUND(ROUND(OFFSET($P615,0,AX$13),15-13*ORÇAMENTO!$AF$7)*OFFSET(ORÇAMENTO!$W$15,ROW(AX615)-ROW(AX$15),0),15-13*ORÇAMENTO!$AF$11)),0)</f>
        <v>0</v>
      </c>
      <c r="AY615" s="545">
        <f ca="1">IF(AND($D615="Serviço",AY$12&lt;&gt;0,$H615&gt;0,OR(AUTOEVENTO&lt;&gt;"manual",$M615&lt;&gt;1)),
IF(Import.TipoArredondamento&lt;&gt;"TransfereGOV",
ROUND(OFFSET($P615,0,AY$13),15-13*ORÇAMENTO!$AF$7)/$H615*OFFSET(ORÇAMENTO!$X$15,ROW(AY615)-ROW(AY$15),0),
ROUND(ROUND(OFFSET($P615,0,AY$13),15-13*ORÇAMENTO!$AF$7)*OFFSET(ORÇAMENTO!$W$15,ROW(AY615)-ROW(AY$15),0),15-13*ORÇAMENTO!$AF$11)),0)</f>
        <v>0</v>
      </c>
      <c r="AZ615" s="545">
        <f ca="1">IF(AND($D615="Serviço",AZ$12&lt;&gt;0,$H615&gt;0,OR(AUTOEVENTO&lt;&gt;"manual",$M615&lt;&gt;1)),
IF(Import.TipoArredondamento&lt;&gt;"TransfereGOV",
ROUND(OFFSET($P615,0,AZ$13),15-13*ORÇAMENTO!$AF$7)/$H615*OFFSET(ORÇAMENTO!$X$15,ROW(AZ615)-ROW(AZ$15),0),
ROUND(ROUND(OFFSET($P615,0,AZ$13),15-13*ORÇAMENTO!$AF$7)*OFFSET(ORÇAMENTO!$W$15,ROW(AZ615)-ROW(AZ$15),0),15-13*ORÇAMENTO!$AF$11)),0)</f>
        <v>0</v>
      </c>
      <c r="BA615" s="546">
        <f ca="1">IF(AND($D615="Serviço",BA$12&lt;&gt;0,$H615&gt;0,OR(AUTOEVENTO&lt;&gt;"manual",$M615&lt;&gt;1)),
IF(Import.TipoArredondamento&lt;&gt;"TransfereGOV",
ROUND(OFFSET($P615,0,BA$13),15-13*ORÇAMENTO!$AF$7)/$H615*OFFSET(ORÇAMENTO!$X$15,ROW(BA615)-ROW(BA$15),0),
ROUND(ROUND(OFFSET($P615,0,BA$13),15-13*ORÇAMENTO!$AF$7)*OFFSET(ORÇAMENTO!$W$15,ROW(BA615)-ROW(BA$15),0),15-13*ORÇAMENTO!$AF$11)),0)</f>
        <v>0</v>
      </c>
      <c r="BC615" s="181">
        <f ca="1">IF($D615&lt;&gt;"Serviço",0,IF(AND(AUTOEVENTO="Manual",$M615=1),0,IF(OFFSET(CRONOPLE!$F$14,$M615,BC$13)="",10^12,OFFSET(CRONOPLE!$F$14,$M615,BC$13))))</f>
        <v>11</v>
      </c>
      <c r="BD615" s="181">
        <f ca="1">IF($D615&lt;&gt;"Serviço",0,IF(AND(AUTOEVENTO="Manual",$M615=1),0,IF(OFFSET(CRONOPLE!$F$14,$M615,BD$13)="",10^12,OFFSET(CRONOPLE!$F$14,$M615,BD$13))))</f>
        <v>1000000000000</v>
      </c>
      <c r="BE615" s="181">
        <f ca="1">IF($D615&lt;&gt;"Serviço",0,IF(AND(AUTOEVENTO="Manual",$M615=1),0,IF(OFFSET(CRONOPLE!$F$14,$M615,BE$13)="",10^12,OFFSET(CRONOPLE!$F$14,$M615,BE$13))))</f>
        <v>1000000000000</v>
      </c>
      <c r="BF615" s="181">
        <f ca="1">IF($D615&lt;&gt;"Serviço",0,IF(AND(AUTOEVENTO="Manual",$M615=1),0,IF(OFFSET(CRONOPLE!$F$14,$M615,BF$13)="",10^12,OFFSET(CRONOPLE!$F$14,$M615,BF$13))))</f>
        <v>1000000000000</v>
      </c>
      <c r="BG615" s="181">
        <f ca="1">IF($D615&lt;&gt;"Serviço",0,IF(AND(AUTOEVENTO="Manual",$M615=1),0,IF(OFFSET(CRONOPLE!$F$14,$M615,BG$13)="",10^12,OFFSET(CRONOPLE!$F$14,$M615,BG$13))))</f>
        <v>1000000000000</v>
      </c>
      <c r="BH615" s="181">
        <f ca="1">IF($D615&lt;&gt;"Serviço",0,IF(AND(AUTOEVENTO="Manual",$M615=1),0,IF(OFFSET(CRONOPLE!$F$14,$M615,BH$13)="",10^12,OFFSET(CRONOPLE!$F$14,$M615,BH$13))))</f>
        <v>1000000000000</v>
      </c>
      <c r="BI615" s="181">
        <f ca="1">IF($D615&lt;&gt;"Serviço",0,IF(AND(AUTOEVENTO="Manual",$M615=1),0,IF(OFFSET(CRONOPLE!$F$14,$M615,BI$13)="",10^12,OFFSET(CRONOPLE!$F$14,$M615,BI$13))))</f>
        <v>1000000000000</v>
      </c>
      <c r="BJ615" s="181">
        <f ca="1">IF($D615&lt;&gt;"Serviço",0,IF(AND(AUTOEVENTO="Manual",$M615=1),0,IF(OFFSET(CRONOPLE!$F$14,$M615,BJ$13)="",10^12,OFFSET(CRONOPLE!$F$14,$M615,BJ$13))))</f>
        <v>1000000000000</v>
      </c>
      <c r="BK615" s="181">
        <f ca="1">IF($D615&lt;&gt;"Serviço",0,IF(AND(AUTOEVENTO="Manual",$M615=1),0,IF(OFFSET(CRONOPLE!$F$14,$M615,BK$13)="",10^12,OFFSET(CRONOPLE!$F$14,$M615,BK$13))))</f>
        <v>1000000000000</v>
      </c>
      <c r="BL615" s="181">
        <f ca="1">IF($D615&lt;&gt;"Serviço",0,IF(AND(AUTOEVENTO="Manual",$M615=1),0,IF(OFFSET(CRONOPLE!$F$14,$M615,BL$13)="",10^12,OFFSET(CRONOPLE!$F$14,$M615,BL$13))))</f>
        <v>1000000000000</v>
      </c>
      <c r="BM615" s="181">
        <f ca="1">IF($D615&lt;&gt;"Serviço",0,IF(AND(AUTOEVENTO="Manual",$M615=1),0,IF(OFFSET(CRONOPLE!$F$14,$M615,BM$13)="",10^12,OFFSET(CRONOPLE!$F$14,$M615,BM$13))))</f>
        <v>1000000000000</v>
      </c>
      <c r="BN615" s="181">
        <f ca="1">IF($D615&lt;&gt;"Serviço",0,IF(AND(AUTOEVENTO="Manual",$M615=1),0,IF(OFFSET(CRONOPLE!$F$14,$M615,BN$13)="",10^12,OFFSET(CRONOPLE!$F$14,$M615,BN$13))))</f>
        <v>1000000000000</v>
      </c>
      <c r="BO615" s="181">
        <f ca="1">IF($D615&lt;&gt;"Serviço",0,IF(AND(AUTOEVENTO="Manual",$M615=1),0,IF(OFFSET(CRONOPLE!$F$14,$M615,BO$13)="",10^12,OFFSET(CRONOPLE!$F$14,$M615,BO$13))))</f>
        <v>1000000000000</v>
      </c>
      <c r="BP615" s="181">
        <f ca="1">IF($D615&lt;&gt;"Serviço",0,IF(AND(AUTOEVENTO="Manual",$M615=1),0,IF(OFFSET(CRONOPLE!$F$14,$M615,BP$13)="",10^12,OFFSET(CRONOPLE!$F$14,$M615,BP$13))))</f>
        <v>1000000000000</v>
      </c>
      <c r="BQ615" s="181">
        <f ca="1">IF($D615&lt;&gt;"Serviço",0,IF(AND(AUTOEVENTO="Manual",$M615=1),0,IF(OFFSET(CRONOPLE!$F$14,$M615,BQ$13)="",10^12,OFFSET(CRONOPLE!$F$14,$M615,BQ$13))))</f>
        <v>1000000000000</v>
      </c>
      <c r="BR615" s="181">
        <f ca="1">IF($D615&lt;&gt;"Serviço",0,IF(AND(AUTOEVENTO="Manual",$M615=1),0,IF(OFFSET(CRONOPLE!$F$14,$M615,BR$13)="",10^12,OFFSET(CRONOPLE!$F$14,$M615,BR$13))))</f>
        <v>1000000000000</v>
      </c>
      <c r="BS615" s="181">
        <f ca="1">IF($D615&lt;&gt;"Serviço",0,IF(AND(AUTOEVENTO="Manual",$M615=1),0,IF(OFFSET(CRONOPLE!$F$14,$M615,BS$13)="",10^12,OFFSET(CRONOPLE!$F$14,$M615,BS$13))))</f>
        <v>1000000000000</v>
      </c>
      <c r="BT615" s="181">
        <f ca="1">IF($D615&lt;&gt;"Serviço",0,IF(AND(AUTOEVENTO="Manual",$M615=1),0,IF(OFFSET(CRONOPLE!$F$14,$M615,BT$13)="",10^12,OFFSET(CRONOPLE!$F$14,$M615,BT$13))))</f>
        <v>1000000000000</v>
      </c>
      <c r="BV615" s="182">
        <f ca="1">IF($D615&lt;&gt;"Serviço",0,IF(OR(AND(AUTOEVENTO="Manual",$M615=1),$M615&gt;(ROW(PLE.lastrow)-ROW(PLE.firstrow))),0,IF(OFFSET(PLE!$G$14,$M615,BV$13)="",10^12,OFFSET(PLE!$G$14,$M615,BV$13))))</f>
        <v>1000000000000</v>
      </c>
      <c r="BW615" s="182">
        <f ca="1">IF($D615&lt;&gt;"Serviço",0,IF(OR(AND(AUTOEVENTO="Manual",$M615=1),$M615&gt;(ROW(PLE.lastrow)-ROW(PLE.firstrow))),0,IF(OFFSET(PLE!$G$14,$M615,BW$13)="",10^12,OFFSET(PLE!$G$14,$M615,BW$13))))</f>
        <v>1000000000000</v>
      </c>
      <c r="BX615" s="182">
        <f ca="1">IF($D615&lt;&gt;"Serviço",0,IF(OR(AND(AUTOEVENTO="Manual",$M615=1),$M615&gt;(ROW(PLE.lastrow)-ROW(PLE.firstrow))),0,IF(OFFSET(PLE!$G$14,$M615,BX$13)="",10^12,OFFSET(PLE!$G$14,$M615,BX$13))))</f>
        <v>1000000000000</v>
      </c>
      <c r="BY615" s="182">
        <f ca="1">IF($D615&lt;&gt;"Serviço",0,IF(OR(AND(AUTOEVENTO="Manual",$M615=1),$M615&gt;(ROW(PLE.lastrow)-ROW(PLE.firstrow))),0,IF(OFFSET(PLE!$G$14,$M615,BY$13)="",10^12,OFFSET(PLE!$G$14,$M615,BY$13))))</f>
        <v>1000000000000</v>
      </c>
      <c r="BZ615" s="182">
        <f ca="1">IF($D615&lt;&gt;"Serviço",0,IF(OR(AND(AUTOEVENTO="Manual",$M615=1),$M615&gt;(ROW(PLE.lastrow)-ROW(PLE.firstrow))),0,IF(OFFSET(PLE!$G$14,$M615,BZ$13)="",10^12,OFFSET(PLE!$G$14,$M615,BZ$13))))</f>
        <v>1000000000000</v>
      </c>
      <c r="CA615" s="182">
        <f ca="1">IF($D615&lt;&gt;"Serviço",0,IF(OR(AND(AUTOEVENTO="Manual",$M615=1),$M615&gt;(ROW(PLE.lastrow)-ROW(PLE.firstrow))),0,IF(OFFSET(PLE!$G$14,$M615,CA$13)="",10^12,OFFSET(PLE!$G$14,$M615,CA$13))))</f>
        <v>1000000000000</v>
      </c>
      <c r="CB615" s="182">
        <f ca="1">IF($D615&lt;&gt;"Serviço",0,IF(OR(AND(AUTOEVENTO="Manual",$M615=1),$M615&gt;(ROW(PLE.lastrow)-ROW(PLE.firstrow))),0,IF(OFFSET(PLE!$G$14,$M615,CB$13)="",10^12,OFFSET(PLE!$G$14,$M615,CB$13))))</f>
        <v>1000000000000</v>
      </c>
      <c r="CC615" s="182">
        <f ca="1">IF($D615&lt;&gt;"Serviço",0,IF(OR(AND(AUTOEVENTO="Manual",$M615=1),$M615&gt;(ROW(PLE.lastrow)-ROW(PLE.firstrow))),0,IF(OFFSET(PLE!$G$14,$M615,CC$13)="",10^12,OFFSET(PLE!$G$14,$M615,CC$13))))</f>
        <v>1000000000000</v>
      </c>
      <c r="CD615" s="182">
        <f ca="1">IF($D615&lt;&gt;"Serviço",0,IF(OR(AND(AUTOEVENTO="Manual",$M615=1),$M615&gt;(ROW(PLE.lastrow)-ROW(PLE.firstrow))),0,IF(OFFSET(PLE!$G$14,$M615,CD$13)="",10^12,OFFSET(PLE!$G$14,$M615,CD$13))))</f>
        <v>1000000000000</v>
      </c>
      <c r="CE615" s="182">
        <f ca="1">IF($D615&lt;&gt;"Serviço",0,IF(OR(AND(AUTOEVENTO="Manual",$M615=1),$M615&gt;(ROW(PLE.lastrow)-ROW(PLE.firstrow))),0,IF(OFFSET(PLE!$G$14,$M615,CE$13)="",10^12,OFFSET(PLE!$G$14,$M615,CE$13))))</f>
        <v>1000000000000</v>
      </c>
      <c r="CF615" s="182">
        <f ca="1">IF($D615&lt;&gt;"Serviço",0,IF(OR(AND(AUTOEVENTO="Manual",$M615=1),$M615&gt;(ROW(PLE.lastrow)-ROW(PLE.firstrow))),0,IF(OFFSET(PLE!$G$14,$M615,CF$13)="",10^12,OFFSET(PLE!$G$14,$M615,CF$13))))</f>
        <v>1000000000000</v>
      </c>
      <c r="CG615" s="182">
        <f ca="1">IF($D615&lt;&gt;"Serviço",0,IF(OR(AND(AUTOEVENTO="Manual",$M615=1),$M615&gt;(ROW(PLE.lastrow)-ROW(PLE.firstrow))),0,IF(OFFSET(PLE!$G$14,$M615,CG$13)="",10^12,OFFSET(PLE!$G$14,$M615,CG$13))))</f>
        <v>1000000000000</v>
      </c>
      <c r="CH615" s="182">
        <f ca="1">IF($D615&lt;&gt;"Serviço",0,IF(OR(AND(AUTOEVENTO="Manual",$M615=1),$M615&gt;(ROW(PLE.lastrow)-ROW(PLE.firstrow))),0,IF(OFFSET(PLE!$G$14,$M615,CH$13)="",10^12,OFFSET(PLE!$G$14,$M615,CH$13))))</f>
        <v>1000000000000</v>
      </c>
      <c r="CI615" s="182">
        <f ca="1">IF($D615&lt;&gt;"Serviço",0,IF(OR(AND(AUTOEVENTO="Manual",$M615=1),$M615&gt;(ROW(PLE.lastrow)-ROW(PLE.firstrow))),0,IF(OFFSET(PLE!$G$14,$M615,CI$13)="",10^12,OFFSET(PLE!$G$14,$M615,CI$13))))</f>
        <v>1000000000000</v>
      </c>
      <c r="CJ615" s="182">
        <f ca="1">IF($D615&lt;&gt;"Serviço",0,IF(OR(AND(AUTOEVENTO="Manual",$M615=1),$M615&gt;(ROW(PLE.lastrow)-ROW(PLE.firstrow))),0,IF(OFFSET(PLE!$G$14,$M615,CJ$13)="",10^12,OFFSET(PLE!$G$14,$M615,CJ$13))))</f>
        <v>1000000000000</v>
      </c>
      <c r="CK615" s="182">
        <f ca="1">IF($D615&lt;&gt;"Serviço",0,IF(OR(AND(AUTOEVENTO="Manual",$M615=1),$M615&gt;(ROW(PLE.lastrow)-ROW(PLE.firstrow))),0,IF(OFFSET(PLE!$G$14,$M615,CK$13)="",10^12,OFFSET(PLE!$G$14,$M615,CK$13))))</f>
        <v>1000000000000</v>
      </c>
      <c r="CL615" s="182">
        <f ca="1">IF($D615&lt;&gt;"Serviço",0,IF(OR(AND(AUTOEVENTO="Manual",$M615=1),$M615&gt;(ROW(PLE.lastrow)-ROW(PLE.firstrow))),0,IF(OFFSET(PLE!$G$14,$M615,CL$13)="",10^12,OFFSET(PLE!$G$14,$M615,CL$13))))</f>
        <v>1000000000000</v>
      </c>
      <c r="CM615" s="182">
        <f ca="1">IF($D615&lt;&gt;"Serviço",0,IF(OR(AND(AUTOEVENTO="Manual",$M615=1),$M615&gt;(ROW(PLE.lastrow)-ROW(PLE.firstrow))),0,IF(OFFSET(PLE!$G$14,$M615,CM$13)="",10^12,OFFSET(PLE!$G$14,$M615,CM$13))))</f>
        <v>1000000000000</v>
      </c>
    </row>
    <row r="616" spans="1:91" ht="38.25" x14ac:dyDescent="0.2">
      <c r="A616" s="7" t="str">
        <f t="shared" ca="1" si="18"/>
        <v>598</v>
      </c>
      <c r="B616" s="7" t="str">
        <f ca="1">OFFSET(ORÇAMENTO!C$15,ROW(B616)-ROW(B$15),0)</f>
        <v>S</v>
      </c>
      <c r="C616" s="7" t="str">
        <f ca="1">OFFSET(ORÇAMENTO!L$15,ROW(C616)-ROW(C$15),0)</f>
        <v/>
      </c>
      <c r="D616" s="118" t="str">
        <f ca="1">OFFSET(ORÇAMENTO!N$15,ROW(D616)-ROW(D$15),0)</f>
        <v>Serviço</v>
      </c>
      <c r="E616" s="119" t="str">
        <f ca="1">OFFSET(ORÇAMENTO!O$15,ROW(E616)-ROW(E$15),0)</f>
        <v>-</v>
      </c>
      <c r="F616" s="172" t="str">
        <f ca="1">OFFSET(ORÇAMENTO!R$15,ROW(F616)-ROW(F$15),0)</f>
        <v>(abra o arquivo 'Referência 06-2024.xlsm)</v>
      </c>
      <c r="G616" s="173" t="str">
        <f ca="1">IF($D616&lt;&gt;"Serviço","",OFFSET(ORÇAMENTO!S$15,ROW(G616)-ROW(G$15),0))</f>
        <v>-</v>
      </c>
      <c r="H616" s="124">
        <f ca="1">IF($D616&lt;&gt;"Serviço",0,IF(ACOMPANHAMENTO="BM",ROUND(OFFSET(ORÇAMENTO!AJ$15,ROW(H616)-ROW(H$15),0),15-13*ORÇAMENTO!$AF$7),SUMPRODUCT(($Q$12:$AI$12&lt;&gt;"")*ROUND($Q616:$AI616,15-13*ORÇAMENTO!$AF$7))))</f>
        <v>19</v>
      </c>
      <c r="I616" s="561" t="s">
        <v>1107</v>
      </c>
      <c r="K616" s="174"/>
      <c r="L616" s="175" t="s">
        <v>255</v>
      </c>
      <c r="M616" s="176">
        <f ca="1">IF($D616&lt;&gt;"Serviço","",IF(AUTOEVENTO="manual",$A616,IF(ISERROR(MATCH($A616,$A$15:OFFSET($A616,-1,0),0)),MAX($M$15:OFFSET(M616,-1,0))+1,INDEX($M$15:OFFSET(M616,-1,0),MATCH($A616,$A$15:OFFSET($A616,-1,0),0)))))</f>
        <v>64</v>
      </c>
      <c r="N616" s="177" t="str">
        <f ca="1">IF($D616&lt;&gt;"Serviço","",IF(AUTOEVENTO="Manual",IF($A616=0,"&lt;-- defina o número do agrupador",OFFSET(EVENTOS!$D$14,$A616,0)),OFFSET($F$15,$A616,0)))</f>
        <v>INSTALAÇÕES DE CLIMATIZAÇÃO - DRENO</v>
      </c>
      <c r="O616" s="178"/>
      <c r="Q616" s="178">
        <v>19</v>
      </c>
      <c r="R616" s="179"/>
      <c r="S616" s="179"/>
      <c r="T616" s="179"/>
      <c r="U616" s="179"/>
      <c r="V616" s="179"/>
      <c r="W616" s="179"/>
      <c r="X616" s="179"/>
      <c r="Y616" s="179"/>
      <c r="Z616" s="180"/>
      <c r="AA616" s="179"/>
      <c r="AB616" s="179"/>
      <c r="AC616" s="179"/>
      <c r="AD616" s="179"/>
      <c r="AE616" s="179"/>
      <c r="AF616" s="179"/>
      <c r="AG616" s="179"/>
      <c r="AH616" s="180"/>
      <c r="AJ616" s="544">
        <f ca="1">IF(AND($D616="Serviço",AJ$12&lt;&gt;0,$H616&gt;0,OR(AUTOEVENTO&lt;&gt;"manual",$M616&lt;&gt;1)),
IF(Import.TipoArredondamento&lt;&gt;"TransfereGOV",
ROUND(OFFSET($P616,0,AJ$13),15-13*ORÇAMENTO!$AF$7)/$H616*OFFSET(ORÇAMENTO!$X$15,ROW(AJ616)-ROW(AJ$15),0),
ROUND(ROUND(OFFSET($P616,0,AJ$13),15-13*ORÇAMENTO!$AF$7)*OFFSET(ORÇAMENTO!$W$15,ROW(AJ616)-ROW(AJ$15),0),15-13*ORÇAMENTO!$AF$11)),0)</f>
        <v>0</v>
      </c>
      <c r="AK616" s="545">
        <f ca="1">IF(AND($D616="Serviço",AK$12&lt;&gt;0,$H616&gt;0,OR(AUTOEVENTO&lt;&gt;"manual",$M616&lt;&gt;1)),
IF(Import.TipoArredondamento&lt;&gt;"TransfereGOV",
ROUND(OFFSET($P616,0,AK$13),15-13*ORÇAMENTO!$AF$7)/$H616*OFFSET(ORÇAMENTO!$X$15,ROW(AK616)-ROW(AK$15),0),
ROUND(ROUND(OFFSET($P616,0,AK$13),15-13*ORÇAMENTO!$AF$7)*OFFSET(ORÇAMENTO!$W$15,ROW(AK616)-ROW(AK$15),0),15-13*ORÇAMENTO!$AF$11)),0)</f>
        <v>0</v>
      </c>
      <c r="AL616" s="545">
        <f ca="1">IF(AND($D616="Serviço",AL$12&lt;&gt;0,$H616&gt;0,OR(AUTOEVENTO&lt;&gt;"manual",$M616&lt;&gt;1)),
IF(Import.TipoArredondamento&lt;&gt;"TransfereGOV",
ROUND(OFFSET($P616,0,AL$13),15-13*ORÇAMENTO!$AF$7)/$H616*OFFSET(ORÇAMENTO!$X$15,ROW(AL616)-ROW(AL$15),0),
ROUND(ROUND(OFFSET($P616,0,AL$13),15-13*ORÇAMENTO!$AF$7)*OFFSET(ORÇAMENTO!$W$15,ROW(AL616)-ROW(AL$15),0),15-13*ORÇAMENTO!$AF$11)),0)</f>
        <v>0</v>
      </c>
      <c r="AM616" s="545">
        <f ca="1">IF(AND($D616="Serviço",AM$12&lt;&gt;0,$H616&gt;0,OR(AUTOEVENTO&lt;&gt;"manual",$M616&lt;&gt;1)),
IF(Import.TipoArredondamento&lt;&gt;"TransfereGOV",
ROUND(OFFSET($P616,0,AM$13),15-13*ORÇAMENTO!$AF$7)/$H616*OFFSET(ORÇAMENTO!$X$15,ROW(AM616)-ROW(AM$15),0),
ROUND(ROUND(OFFSET($P616,0,AM$13),15-13*ORÇAMENTO!$AF$7)*OFFSET(ORÇAMENTO!$W$15,ROW(AM616)-ROW(AM$15),0),15-13*ORÇAMENTO!$AF$11)),0)</f>
        <v>0</v>
      </c>
      <c r="AN616" s="545">
        <f ca="1">IF(AND($D616="Serviço",AN$12&lt;&gt;0,$H616&gt;0,OR(AUTOEVENTO&lt;&gt;"manual",$M616&lt;&gt;1)),
IF(Import.TipoArredondamento&lt;&gt;"TransfereGOV",
ROUND(OFFSET($P616,0,AN$13),15-13*ORÇAMENTO!$AF$7)/$H616*OFFSET(ORÇAMENTO!$X$15,ROW(AN616)-ROW(AN$15),0),
ROUND(ROUND(OFFSET($P616,0,AN$13),15-13*ORÇAMENTO!$AF$7)*OFFSET(ORÇAMENTO!$W$15,ROW(AN616)-ROW(AN$15),0),15-13*ORÇAMENTO!$AF$11)),0)</f>
        <v>0</v>
      </c>
      <c r="AO616" s="545">
        <f ca="1">IF(AND($D616="Serviço",AO$12&lt;&gt;0,$H616&gt;0,OR(AUTOEVENTO&lt;&gt;"manual",$M616&lt;&gt;1)),
IF(Import.TipoArredondamento&lt;&gt;"TransfereGOV",
ROUND(OFFSET($P616,0,AO$13),15-13*ORÇAMENTO!$AF$7)/$H616*OFFSET(ORÇAMENTO!$X$15,ROW(AO616)-ROW(AO$15),0),
ROUND(ROUND(OFFSET($P616,0,AO$13),15-13*ORÇAMENTO!$AF$7)*OFFSET(ORÇAMENTO!$W$15,ROW(AO616)-ROW(AO$15),0),15-13*ORÇAMENTO!$AF$11)),0)</f>
        <v>0</v>
      </c>
      <c r="AP616" s="545">
        <f ca="1">IF(AND($D616="Serviço",AP$12&lt;&gt;0,$H616&gt;0,OR(AUTOEVENTO&lt;&gt;"manual",$M616&lt;&gt;1)),
IF(Import.TipoArredondamento&lt;&gt;"TransfereGOV",
ROUND(OFFSET($P616,0,AP$13),15-13*ORÇAMENTO!$AF$7)/$H616*OFFSET(ORÇAMENTO!$X$15,ROW(AP616)-ROW(AP$15),0),
ROUND(ROUND(OFFSET($P616,0,AP$13),15-13*ORÇAMENTO!$AF$7)*OFFSET(ORÇAMENTO!$W$15,ROW(AP616)-ROW(AP$15),0),15-13*ORÇAMENTO!$AF$11)),0)</f>
        <v>0</v>
      </c>
      <c r="AQ616" s="545">
        <f ca="1">IF(AND($D616="Serviço",AQ$12&lt;&gt;0,$H616&gt;0,OR(AUTOEVENTO&lt;&gt;"manual",$M616&lt;&gt;1)),
IF(Import.TipoArredondamento&lt;&gt;"TransfereGOV",
ROUND(OFFSET($P616,0,AQ$13),15-13*ORÇAMENTO!$AF$7)/$H616*OFFSET(ORÇAMENTO!$X$15,ROW(AQ616)-ROW(AQ$15),0),
ROUND(ROUND(OFFSET($P616,0,AQ$13),15-13*ORÇAMENTO!$AF$7)*OFFSET(ORÇAMENTO!$W$15,ROW(AQ616)-ROW(AQ$15),0),15-13*ORÇAMENTO!$AF$11)),0)</f>
        <v>0</v>
      </c>
      <c r="AR616" s="545">
        <f ca="1">IF(AND($D616="Serviço",AR$12&lt;&gt;0,$H616&gt;0,OR(AUTOEVENTO&lt;&gt;"manual",$M616&lt;&gt;1)),
IF(Import.TipoArredondamento&lt;&gt;"TransfereGOV",
ROUND(OFFSET($P616,0,AR$13),15-13*ORÇAMENTO!$AF$7)/$H616*OFFSET(ORÇAMENTO!$X$15,ROW(AR616)-ROW(AR$15),0),
ROUND(ROUND(OFFSET($P616,0,AR$13),15-13*ORÇAMENTO!$AF$7)*OFFSET(ORÇAMENTO!$W$15,ROW(AR616)-ROW(AR$15),0),15-13*ORÇAMENTO!$AF$11)),0)</f>
        <v>0</v>
      </c>
      <c r="AS616" s="546">
        <f ca="1">IF(AND($D616="Serviço",AS$12&lt;&gt;0,$H616&gt;0,OR(AUTOEVENTO&lt;&gt;"manual",$M616&lt;&gt;1)),
IF(Import.TipoArredondamento&lt;&gt;"TransfereGOV",
ROUND(OFFSET($P616,0,AS$13),15-13*ORÇAMENTO!$AF$7)/$H616*OFFSET(ORÇAMENTO!$X$15,ROW(AS616)-ROW(AS$15),0),
ROUND(ROUND(OFFSET($P616,0,AS$13),15-13*ORÇAMENTO!$AF$7)*OFFSET(ORÇAMENTO!$W$15,ROW(AS616)-ROW(AS$15),0),15-13*ORÇAMENTO!$AF$11)),0)</f>
        <v>0</v>
      </c>
      <c r="AT616" s="545">
        <f ca="1">IF(AND($D616="Serviço",AT$12&lt;&gt;0,$H616&gt;0,OR(AUTOEVENTO&lt;&gt;"manual",$M616&lt;&gt;1)),
IF(Import.TipoArredondamento&lt;&gt;"TransfereGOV",
ROUND(OFFSET($P616,0,AT$13),15-13*ORÇAMENTO!$AF$7)/$H616*OFFSET(ORÇAMENTO!$X$15,ROW(AT616)-ROW(AT$15),0),
ROUND(ROUND(OFFSET($P616,0,AT$13),15-13*ORÇAMENTO!$AF$7)*OFFSET(ORÇAMENTO!$W$15,ROW(AT616)-ROW(AT$15),0),15-13*ORÇAMENTO!$AF$11)),0)</f>
        <v>0</v>
      </c>
      <c r="AU616" s="545">
        <f ca="1">IF(AND($D616="Serviço",AU$12&lt;&gt;0,$H616&gt;0,OR(AUTOEVENTO&lt;&gt;"manual",$M616&lt;&gt;1)),
IF(Import.TipoArredondamento&lt;&gt;"TransfereGOV",
ROUND(OFFSET($P616,0,AU$13),15-13*ORÇAMENTO!$AF$7)/$H616*OFFSET(ORÇAMENTO!$X$15,ROW(AU616)-ROW(AU$15),0),
ROUND(ROUND(OFFSET($P616,0,AU$13),15-13*ORÇAMENTO!$AF$7)*OFFSET(ORÇAMENTO!$W$15,ROW(AU616)-ROW(AU$15),0),15-13*ORÇAMENTO!$AF$11)),0)</f>
        <v>0</v>
      </c>
      <c r="AV616" s="545">
        <f ca="1">IF(AND($D616="Serviço",AV$12&lt;&gt;0,$H616&gt;0,OR(AUTOEVENTO&lt;&gt;"manual",$M616&lt;&gt;1)),
IF(Import.TipoArredondamento&lt;&gt;"TransfereGOV",
ROUND(OFFSET($P616,0,AV$13),15-13*ORÇAMENTO!$AF$7)/$H616*OFFSET(ORÇAMENTO!$X$15,ROW(AV616)-ROW(AV$15),0),
ROUND(ROUND(OFFSET($P616,0,AV$13),15-13*ORÇAMENTO!$AF$7)*OFFSET(ORÇAMENTO!$W$15,ROW(AV616)-ROW(AV$15),0),15-13*ORÇAMENTO!$AF$11)),0)</f>
        <v>0</v>
      </c>
      <c r="AW616" s="545">
        <f ca="1">IF(AND($D616="Serviço",AW$12&lt;&gt;0,$H616&gt;0,OR(AUTOEVENTO&lt;&gt;"manual",$M616&lt;&gt;1)),
IF(Import.TipoArredondamento&lt;&gt;"TransfereGOV",
ROUND(OFFSET($P616,0,AW$13),15-13*ORÇAMENTO!$AF$7)/$H616*OFFSET(ORÇAMENTO!$X$15,ROW(AW616)-ROW(AW$15),0),
ROUND(ROUND(OFFSET($P616,0,AW$13),15-13*ORÇAMENTO!$AF$7)*OFFSET(ORÇAMENTO!$W$15,ROW(AW616)-ROW(AW$15),0),15-13*ORÇAMENTO!$AF$11)),0)</f>
        <v>0</v>
      </c>
      <c r="AX616" s="545">
        <f ca="1">IF(AND($D616="Serviço",AX$12&lt;&gt;0,$H616&gt;0,OR(AUTOEVENTO&lt;&gt;"manual",$M616&lt;&gt;1)),
IF(Import.TipoArredondamento&lt;&gt;"TransfereGOV",
ROUND(OFFSET($P616,0,AX$13),15-13*ORÇAMENTO!$AF$7)/$H616*OFFSET(ORÇAMENTO!$X$15,ROW(AX616)-ROW(AX$15),0),
ROUND(ROUND(OFFSET($P616,0,AX$13),15-13*ORÇAMENTO!$AF$7)*OFFSET(ORÇAMENTO!$W$15,ROW(AX616)-ROW(AX$15),0),15-13*ORÇAMENTO!$AF$11)),0)</f>
        <v>0</v>
      </c>
      <c r="AY616" s="545">
        <f ca="1">IF(AND($D616="Serviço",AY$12&lt;&gt;0,$H616&gt;0,OR(AUTOEVENTO&lt;&gt;"manual",$M616&lt;&gt;1)),
IF(Import.TipoArredondamento&lt;&gt;"TransfereGOV",
ROUND(OFFSET($P616,0,AY$13),15-13*ORÇAMENTO!$AF$7)/$H616*OFFSET(ORÇAMENTO!$X$15,ROW(AY616)-ROW(AY$15),0),
ROUND(ROUND(OFFSET($P616,0,AY$13),15-13*ORÇAMENTO!$AF$7)*OFFSET(ORÇAMENTO!$W$15,ROW(AY616)-ROW(AY$15),0),15-13*ORÇAMENTO!$AF$11)),0)</f>
        <v>0</v>
      </c>
      <c r="AZ616" s="545">
        <f ca="1">IF(AND($D616="Serviço",AZ$12&lt;&gt;0,$H616&gt;0,OR(AUTOEVENTO&lt;&gt;"manual",$M616&lt;&gt;1)),
IF(Import.TipoArredondamento&lt;&gt;"TransfereGOV",
ROUND(OFFSET($P616,0,AZ$13),15-13*ORÇAMENTO!$AF$7)/$H616*OFFSET(ORÇAMENTO!$X$15,ROW(AZ616)-ROW(AZ$15),0),
ROUND(ROUND(OFFSET($P616,0,AZ$13),15-13*ORÇAMENTO!$AF$7)*OFFSET(ORÇAMENTO!$W$15,ROW(AZ616)-ROW(AZ$15),0),15-13*ORÇAMENTO!$AF$11)),0)</f>
        <v>0</v>
      </c>
      <c r="BA616" s="546">
        <f ca="1">IF(AND($D616="Serviço",BA$12&lt;&gt;0,$H616&gt;0,OR(AUTOEVENTO&lt;&gt;"manual",$M616&lt;&gt;1)),
IF(Import.TipoArredondamento&lt;&gt;"TransfereGOV",
ROUND(OFFSET($P616,0,BA$13),15-13*ORÇAMENTO!$AF$7)/$H616*OFFSET(ORÇAMENTO!$X$15,ROW(BA616)-ROW(BA$15),0),
ROUND(ROUND(OFFSET($P616,0,BA$13),15-13*ORÇAMENTO!$AF$7)*OFFSET(ORÇAMENTO!$W$15,ROW(BA616)-ROW(BA$15),0),15-13*ORÇAMENTO!$AF$11)),0)</f>
        <v>0</v>
      </c>
      <c r="BC616" s="181">
        <f ca="1">IF($D616&lt;&gt;"Serviço",0,IF(AND(AUTOEVENTO="Manual",$M616=1),0,IF(OFFSET(CRONOPLE!$F$14,$M616,BC$13)="",10^12,OFFSET(CRONOPLE!$F$14,$M616,BC$13))))</f>
        <v>11</v>
      </c>
      <c r="BD616" s="181">
        <f ca="1">IF($D616&lt;&gt;"Serviço",0,IF(AND(AUTOEVENTO="Manual",$M616=1),0,IF(OFFSET(CRONOPLE!$F$14,$M616,BD$13)="",10^12,OFFSET(CRONOPLE!$F$14,$M616,BD$13))))</f>
        <v>1000000000000</v>
      </c>
      <c r="BE616" s="181">
        <f ca="1">IF($D616&lt;&gt;"Serviço",0,IF(AND(AUTOEVENTO="Manual",$M616=1),0,IF(OFFSET(CRONOPLE!$F$14,$M616,BE$13)="",10^12,OFFSET(CRONOPLE!$F$14,$M616,BE$13))))</f>
        <v>1000000000000</v>
      </c>
      <c r="BF616" s="181">
        <f ca="1">IF($D616&lt;&gt;"Serviço",0,IF(AND(AUTOEVENTO="Manual",$M616=1),0,IF(OFFSET(CRONOPLE!$F$14,$M616,BF$13)="",10^12,OFFSET(CRONOPLE!$F$14,$M616,BF$13))))</f>
        <v>1000000000000</v>
      </c>
      <c r="BG616" s="181">
        <f ca="1">IF($D616&lt;&gt;"Serviço",0,IF(AND(AUTOEVENTO="Manual",$M616=1),0,IF(OFFSET(CRONOPLE!$F$14,$M616,BG$13)="",10^12,OFFSET(CRONOPLE!$F$14,$M616,BG$13))))</f>
        <v>1000000000000</v>
      </c>
      <c r="BH616" s="181">
        <f ca="1">IF($D616&lt;&gt;"Serviço",0,IF(AND(AUTOEVENTO="Manual",$M616=1),0,IF(OFFSET(CRONOPLE!$F$14,$M616,BH$13)="",10^12,OFFSET(CRONOPLE!$F$14,$M616,BH$13))))</f>
        <v>1000000000000</v>
      </c>
      <c r="BI616" s="181">
        <f ca="1">IF($D616&lt;&gt;"Serviço",0,IF(AND(AUTOEVENTO="Manual",$M616=1),0,IF(OFFSET(CRONOPLE!$F$14,$M616,BI$13)="",10^12,OFFSET(CRONOPLE!$F$14,$M616,BI$13))))</f>
        <v>1000000000000</v>
      </c>
      <c r="BJ616" s="181">
        <f ca="1">IF($D616&lt;&gt;"Serviço",0,IF(AND(AUTOEVENTO="Manual",$M616=1),0,IF(OFFSET(CRONOPLE!$F$14,$M616,BJ$13)="",10^12,OFFSET(CRONOPLE!$F$14,$M616,BJ$13))))</f>
        <v>1000000000000</v>
      </c>
      <c r="BK616" s="181">
        <f ca="1">IF($D616&lt;&gt;"Serviço",0,IF(AND(AUTOEVENTO="Manual",$M616=1),0,IF(OFFSET(CRONOPLE!$F$14,$M616,BK$13)="",10^12,OFFSET(CRONOPLE!$F$14,$M616,BK$13))))</f>
        <v>1000000000000</v>
      </c>
      <c r="BL616" s="181">
        <f ca="1">IF($D616&lt;&gt;"Serviço",0,IF(AND(AUTOEVENTO="Manual",$M616=1),0,IF(OFFSET(CRONOPLE!$F$14,$M616,BL$13)="",10^12,OFFSET(CRONOPLE!$F$14,$M616,BL$13))))</f>
        <v>1000000000000</v>
      </c>
      <c r="BM616" s="181">
        <f ca="1">IF($D616&lt;&gt;"Serviço",0,IF(AND(AUTOEVENTO="Manual",$M616=1),0,IF(OFFSET(CRONOPLE!$F$14,$M616,BM$13)="",10^12,OFFSET(CRONOPLE!$F$14,$M616,BM$13))))</f>
        <v>1000000000000</v>
      </c>
      <c r="BN616" s="181">
        <f ca="1">IF($D616&lt;&gt;"Serviço",0,IF(AND(AUTOEVENTO="Manual",$M616=1),0,IF(OFFSET(CRONOPLE!$F$14,$M616,BN$13)="",10^12,OFFSET(CRONOPLE!$F$14,$M616,BN$13))))</f>
        <v>1000000000000</v>
      </c>
      <c r="BO616" s="181">
        <f ca="1">IF($D616&lt;&gt;"Serviço",0,IF(AND(AUTOEVENTO="Manual",$M616=1),0,IF(OFFSET(CRONOPLE!$F$14,$M616,BO$13)="",10^12,OFFSET(CRONOPLE!$F$14,$M616,BO$13))))</f>
        <v>1000000000000</v>
      </c>
      <c r="BP616" s="181">
        <f ca="1">IF($D616&lt;&gt;"Serviço",0,IF(AND(AUTOEVENTO="Manual",$M616=1),0,IF(OFFSET(CRONOPLE!$F$14,$M616,BP$13)="",10^12,OFFSET(CRONOPLE!$F$14,$M616,BP$13))))</f>
        <v>1000000000000</v>
      </c>
      <c r="BQ616" s="181">
        <f ca="1">IF($D616&lt;&gt;"Serviço",0,IF(AND(AUTOEVENTO="Manual",$M616=1),0,IF(OFFSET(CRONOPLE!$F$14,$M616,BQ$13)="",10^12,OFFSET(CRONOPLE!$F$14,$M616,BQ$13))))</f>
        <v>1000000000000</v>
      </c>
      <c r="BR616" s="181">
        <f ca="1">IF($D616&lt;&gt;"Serviço",0,IF(AND(AUTOEVENTO="Manual",$M616=1),0,IF(OFFSET(CRONOPLE!$F$14,$M616,BR$13)="",10^12,OFFSET(CRONOPLE!$F$14,$M616,BR$13))))</f>
        <v>1000000000000</v>
      </c>
      <c r="BS616" s="181">
        <f ca="1">IF($D616&lt;&gt;"Serviço",0,IF(AND(AUTOEVENTO="Manual",$M616=1),0,IF(OFFSET(CRONOPLE!$F$14,$M616,BS$13)="",10^12,OFFSET(CRONOPLE!$F$14,$M616,BS$13))))</f>
        <v>1000000000000</v>
      </c>
      <c r="BT616" s="181">
        <f ca="1">IF($D616&lt;&gt;"Serviço",0,IF(AND(AUTOEVENTO="Manual",$M616=1),0,IF(OFFSET(CRONOPLE!$F$14,$M616,BT$13)="",10^12,OFFSET(CRONOPLE!$F$14,$M616,BT$13))))</f>
        <v>1000000000000</v>
      </c>
      <c r="BV616" s="182">
        <f ca="1">IF($D616&lt;&gt;"Serviço",0,IF(OR(AND(AUTOEVENTO="Manual",$M616=1),$M616&gt;(ROW(PLE.lastrow)-ROW(PLE.firstrow))),0,IF(OFFSET(PLE!$G$14,$M616,BV$13)="",10^12,OFFSET(PLE!$G$14,$M616,BV$13))))</f>
        <v>1000000000000</v>
      </c>
      <c r="BW616" s="182">
        <f ca="1">IF($D616&lt;&gt;"Serviço",0,IF(OR(AND(AUTOEVENTO="Manual",$M616=1),$M616&gt;(ROW(PLE.lastrow)-ROW(PLE.firstrow))),0,IF(OFFSET(PLE!$G$14,$M616,BW$13)="",10^12,OFFSET(PLE!$G$14,$M616,BW$13))))</f>
        <v>1000000000000</v>
      </c>
      <c r="BX616" s="182">
        <f ca="1">IF($D616&lt;&gt;"Serviço",0,IF(OR(AND(AUTOEVENTO="Manual",$M616=1),$M616&gt;(ROW(PLE.lastrow)-ROW(PLE.firstrow))),0,IF(OFFSET(PLE!$G$14,$M616,BX$13)="",10^12,OFFSET(PLE!$G$14,$M616,BX$13))))</f>
        <v>1000000000000</v>
      </c>
      <c r="BY616" s="182">
        <f ca="1">IF($D616&lt;&gt;"Serviço",0,IF(OR(AND(AUTOEVENTO="Manual",$M616=1),$M616&gt;(ROW(PLE.lastrow)-ROW(PLE.firstrow))),0,IF(OFFSET(PLE!$G$14,$M616,BY$13)="",10^12,OFFSET(PLE!$G$14,$M616,BY$13))))</f>
        <v>1000000000000</v>
      </c>
      <c r="BZ616" s="182">
        <f ca="1">IF($D616&lt;&gt;"Serviço",0,IF(OR(AND(AUTOEVENTO="Manual",$M616=1),$M616&gt;(ROW(PLE.lastrow)-ROW(PLE.firstrow))),0,IF(OFFSET(PLE!$G$14,$M616,BZ$13)="",10^12,OFFSET(PLE!$G$14,$M616,BZ$13))))</f>
        <v>1000000000000</v>
      </c>
      <c r="CA616" s="182">
        <f ca="1">IF($D616&lt;&gt;"Serviço",0,IF(OR(AND(AUTOEVENTO="Manual",$M616=1),$M616&gt;(ROW(PLE.lastrow)-ROW(PLE.firstrow))),0,IF(OFFSET(PLE!$G$14,$M616,CA$13)="",10^12,OFFSET(PLE!$G$14,$M616,CA$13))))</f>
        <v>1000000000000</v>
      </c>
      <c r="CB616" s="182">
        <f ca="1">IF($D616&lt;&gt;"Serviço",0,IF(OR(AND(AUTOEVENTO="Manual",$M616=1),$M616&gt;(ROW(PLE.lastrow)-ROW(PLE.firstrow))),0,IF(OFFSET(PLE!$G$14,$M616,CB$13)="",10^12,OFFSET(PLE!$G$14,$M616,CB$13))))</f>
        <v>1000000000000</v>
      </c>
      <c r="CC616" s="182">
        <f ca="1">IF($D616&lt;&gt;"Serviço",0,IF(OR(AND(AUTOEVENTO="Manual",$M616=1),$M616&gt;(ROW(PLE.lastrow)-ROW(PLE.firstrow))),0,IF(OFFSET(PLE!$G$14,$M616,CC$13)="",10^12,OFFSET(PLE!$G$14,$M616,CC$13))))</f>
        <v>1000000000000</v>
      </c>
      <c r="CD616" s="182">
        <f ca="1">IF($D616&lt;&gt;"Serviço",0,IF(OR(AND(AUTOEVENTO="Manual",$M616=1),$M616&gt;(ROW(PLE.lastrow)-ROW(PLE.firstrow))),0,IF(OFFSET(PLE!$G$14,$M616,CD$13)="",10^12,OFFSET(PLE!$G$14,$M616,CD$13))))</f>
        <v>1000000000000</v>
      </c>
      <c r="CE616" s="182">
        <f ca="1">IF($D616&lt;&gt;"Serviço",0,IF(OR(AND(AUTOEVENTO="Manual",$M616=1),$M616&gt;(ROW(PLE.lastrow)-ROW(PLE.firstrow))),0,IF(OFFSET(PLE!$G$14,$M616,CE$13)="",10^12,OFFSET(PLE!$G$14,$M616,CE$13))))</f>
        <v>1000000000000</v>
      </c>
      <c r="CF616" s="182">
        <f ca="1">IF($D616&lt;&gt;"Serviço",0,IF(OR(AND(AUTOEVENTO="Manual",$M616=1),$M616&gt;(ROW(PLE.lastrow)-ROW(PLE.firstrow))),0,IF(OFFSET(PLE!$G$14,$M616,CF$13)="",10^12,OFFSET(PLE!$G$14,$M616,CF$13))))</f>
        <v>1000000000000</v>
      </c>
      <c r="CG616" s="182">
        <f ca="1">IF($D616&lt;&gt;"Serviço",0,IF(OR(AND(AUTOEVENTO="Manual",$M616=1),$M616&gt;(ROW(PLE.lastrow)-ROW(PLE.firstrow))),0,IF(OFFSET(PLE!$G$14,$M616,CG$13)="",10^12,OFFSET(PLE!$G$14,$M616,CG$13))))</f>
        <v>1000000000000</v>
      </c>
      <c r="CH616" s="182">
        <f ca="1">IF($D616&lt;&gt;"Serviço",0,IF(OR(AND(AUTOEVENTO="Manual",$M616=1),$M616&gt;(ROW(PLE.lastrow)-ROW(PLE.firstrow))),0,IF(OFFSET(PLE!$G$14,$M616,CH$13)="",10^12,OFFSET(PLE!$G$14,$M616,CH$13))))</f>
        <v>1000000000000</v>
      </c>
      <c r="CI616" s="182">
        <f ca="1">IF($D616&lt;&gt;"Serviço",0,IF(OR(AND(AUTOEVENTO="Manual",$M616=1),$M616&gt;(ROW(PLE.lastrow)-ROW(PLE.firstrow))),0,IF(OFFSET(PLE!$G$14,$M616,CI$13)="",10^12,OFFSET(PLE!$G$14,$M616,CI$13))))</f>
        <v>1000000000000</v>
      </c>
      <c r="CJ616" s="182">
        <f ca="1">IF($D616&lt;&gt;"Serviço",0,IF(OR(AND(AUTOEVENTO="Manual",$M616=1),$M616&gt;(ROW(PLE.lastrow)-ROW(PLE.firstrow))),0,IF(OFFSET(PLE!$G$14,$M616,CJ$13)="",10^12,OFFSET(PLE!$G$14,$M616,CJ$13))))</f>
        <v>1000000000000</v>
      </c>
      <c r="CK616" s="182">
        <f ca="1">IF($D616&lt;&gt;"Serviço",0,IF(OR(AND(AUTOEVENTO="Manual",$M616=1),$M616&gt;(ROW(PLE.lastrow)-ROW(PLE.firstrow))),0,IF(OFFSET(PLE!$G$14,$M616,CK$13)="",10^12,OFFSET(PLE!$G$14,$M616,CK$13))))</f>
        <v>1000000000000</v>
      </c>
      <c r="CL616" s="182">
        <f ca="1">IF($D616&lt;&gt;"Serviço",0,IF(OR(AND(AUTOEVENTO="Manual",$M616=1),$M616&gt;(ROW(PLE.lastrow)-ROW(PLE.firstrow))),0,IF(OFFSET(PLE!$G$14,$M616,CL$13)="",10^12,OFFSET(PLE!$G$14,$M616,CL$13))))</f>
        <v>1000000000000</v>
      </c>
      <c r="CM616" s="182">
        <f ca="1">IF($D616&lt;&gt;"Serviço",0,IF(OR(AND(AUTOEVENTO="Manual",$M616=1),$M616&gt;(ROW(PLE.lastrow)-ROW(PLE.firstrow))),0,IF(OFFSET(PLE!$G$14,$M616,CM$13)="",10^12,OFFSET(PLE!$G$14,$M616,CM$13))))</f>
        <v>1000000000000</v>
      </c>
    </row>
    <row r="617" spans="1:91" ht="38.25" x14ac:dyDescent="0.2">
      <c r="A617" s="7" t="str">
        <f t="shared" ca="1" si="18"/>
        <v>598</v>
      </c>
      <c r="B617" s="7" t="str">
        <f ca="1">OFFSET(ORÇAMENTO!C$15,ROW(B617)-ROW(B$15),0)</f>
        <v>S</v>
      </c>
      <c r="C617" s="7" t="str">
        <f ca="1">OFFSET(ORÇAMENTO!L$15,ROW(C617)-ROW(C$15),0)</f>
        <v/>
      </c>
      <c r="D617" s="118" t="str">
        <f ca="1">OFFSET(ORÇAMENTO!N$15,ROW(D617)-ROW(D$15),0)</f>
        <v>Serviço</v>
      </c>
      <c r="E617" s="119" t="str">
        <f ca="1">OFFSET(ORÇAMENTO!O$15,ROW(E617)-ROW(E$15),0)</f>
        <v>-</v>
      </c>
      <c r="F617" s="172" t="str">
        <f ca="1">OFFSET(ORÇAMENTO!R$15,ROW(F617)-ROW(F$15),0)</f>
        <v>(abra o arquivo 'Referência 06-2024.xlsm)</v>
      </c>
      <c r="G617" s="173" t="str">
        <f ca="1">IF($D617&lt;&gt;"Serviço","",OFFSET(ORÇAMENTO!S$15,ROW(G617)-ROW(G$15),0))</f>
        <v>-</v>
      </c>
      <c r="H617" s="124">
        <f ca="1">IF($D617&lt;&gt;"Serviço",0,IF(ACOMPANHAMENTO="BM",ROUND(OFFSET(ORÇAMENTO!AJ$15,ROW(H617)-ROW(H$15),0),15-13*ORÇAMENTO!$AF$7),SUMPRODUCT(($Q$12:$AI$12&lt;&gt;"")*ROUND($Q617:$AI617,15-13*ORÇAMENTO!$AF$7))))</f>
        <v>1</v>
      </c>
      <c r="I617" s="561" t="s">
        <v>1107</v>
      </c>
      <c r="K617" s="174"/>
      <c r="L617" s="175" t="s">
        <v>255</v>
      </c>
      <c r="M617" s="176">
        <f ca="1">IF($D617&lt;&gt;"Serviço","",IF(AUTOEVENTO="manual",$A617,IF(ISERROR(MATCH($A617,$A$15:OFFSET($A617,-1,0),0)),MAX($M$15:OFFSET(M617,-1,0))+1,INDEX($M$15:OFFSET(M617,-1,0),MATCH($A617,$A$15:OFFSET($A617,-1,0),0)))))</f>
        <v>64</v>
      </c>
      <c r="N617" s="177" t="str">
        <f ca="1">IF($D617&lt;&gt;"Serviço","",IF(AUTOEVENTO="Manual",IF($A617=0,"&lt;-- defina o número do agrupador",OFFSET(EVENTOS!$D$14,$A617,0)),OFFSET($F$15,$A617,0)))</f>
        <v>INSTALAÇÕES DE CLIMATIZAÇÃO - DRENO</v>
      </c>
      <c r="O617" s="178"/>
      <c r="Q617" s="178">
        <v>1</v>
      </c>
      <c r="R617" s="179"/>
      <c r="S617" s="179"/>
      <c r="T617" s="179"/>
      <c r="U617" s="179"/>
      <c r="V617" s="179"/>
      <c r="W617" s="179"/>
      <c r="X617" s="179"/>
      <c r="Y617" s="179"/>
      <c r="Z617" s="180"/>
      <c r="AA617" s="179"/>
      <c r="AB617" s="179"/>
      <c r="AC617" s="179"/>
      <c r="AD617" s="179"/>
      <c r="AE617" s="179"/>
      <c r="AF617" s="179"/>
      <c r="AG617" s="179"/>
      <c r="AH617" s="180"/>
      <c r="AJ617" s="544">
        <f ca="1">IF(AND($D617="Serviço",AJ$12&lt;&gt;0,$H617&gt;0,OR(AUTOEVENTO&lt;&gt;"manual",$M617&lt;&gt;1)),
IF(Import.TipoArredondamento&lt;&gt;"TransfereGOV",
ROUND(OFFSET($P617,0,AJ$13),15-13*ORÇAMENTO!$AF$7)/$H617*OFFSET(ORÇAMENTO!$X$15,ROW(AJ617)-ROW(AJ$15),0),
ROUND(ROUND(OFFSET($P617,0,AJ$13),15-13*ORÇAMENTO!$AF$7)*OFFSET(ORÇAMENTO!$W$15,ROW(AJ617)-ROW(AJ$15),0),15-13*ORÇAMENTO!$AF$11)),0)</f>
        <v>0</v>
      </c>
      <c r="AK617" s="545">
        <f ca="1">IF(AND($D617="Serviço",AK$12&lt;&gt;0,$H617&gt;0,OR(AUTOEVENTO&lt;&gt;"manual",$M617&lt;&gt;1)),
IF(Import.TipoArredondamento&lt;&gt;"TransfereGOV",
ROUND(OFFSET($P617,0,AK$13),15-13*ORÇAMENTO!$AF$7)/$H617*OFFSET(ORÇAMENTO!$X$15,ROW(AK617)-ROW(AK$15),0),
ROUND(ROUND(OFFSET($P617,0,AK$13),15-13*ORÇAMENTO!$AF$7)*OFFSET(ORÇAMENTO!$W$15,ROW(AK617)-ROW(AK$15),0),15-13*ORÇAMENTO!$AF$11)),0)</f>
        <v>0</v>
      </c>
      <c r="AL617" s="545">
        <f ca="1">IF(AND($D617="Serviço",AL$12&lt;&gt;0,$H617&gt;0,OR(AUTOEVENTO&lt;&gt;"manual",$M617&lt;&gt;1)),
IF(Import.TipoArredondamento&lt;&gt;"TransfereGOV",
ROUND(OFFSET($P617,0,AL$13),15-13*ORÇAMENTO!$AF$7)/$H617*OFFSET(ORÇAMENTO!$X$15,ROW(AL617)-ROW(AL$15),0),
ROUND(ROUND(OFFSET($P617,0,AL$13),15-13*ORÇAMENTO!$AF$7)*OFFSET(ORÇAMENTO!$W$15,ROW(AL617)-ROW(AL$15),0),15-13*ORÇAMENTO!$AF$11)),0)</f>
        <v>0</v>
      </c>
      <c r="AM617" s="545">
        <f ca="1">IF(AND($D617="Serviço",AM$12&lt;&gt;0,$H617&gt;0,OR(AUTOEVENTO&lt;&gt;"manual",$M617&lt;&gt;1)),
IF(Import.TipoArredondamento&lt;&gt;"TransfereGOV",
ROUND(OFFSET($P617,0,AM$13),15-13*ORÇAMENTO!$AF$7)/$H617*OFFSET(ORÇAMENTO!$X$15,ROW(AM617)-ROW(AM$15),0),
ROUND(ROUND(OFFSET($P617,0,AM$13),15-13*ORÇAMENTO!$AF$7)*OFFSET(ORÇAMENTO!$W$15,ROW(AM617)-ROW(AM$15),0),15-13*ORÇAMENTO!$AF$11)),0)</f>
        <v>0</v>
      </c>
      <c r="AN617" s="545">
        <f ca="1">IF(AND($D617="Serviço",AN$12&lt;&gt;0,$H617&gt;0,OR(AUTOEVENTO&lt;&gt;"manual",$M617&lt;&gt;1)),
IF(Import.TipoArredondamento&lt;&gt;"TransfereGOV",
ROUND(OFFSET($P617,0,AN$13),15-13*ORÇAMENTO!$AF$7)/$H617*OFFSET(ORÇAMENTO!$X$15,ROW(AN617)-ROW(AN$15),0),
ROUND(ROUND(OFFSET($P617,0,AN$13),15-13*ORÇAMENTO!$AF$7)*OFFSET(ORÇAMENTO!$W$15,ROW(AN617)-ROW(AN$15),0),15-13*ORÇAMENTO!$AF$11)),0)</f>
        <v>0</v>
      </c>
      <c r="AO617" s="545">
        <f ca="1">IF(AND($D617="Serviço",AO$12&lt;&gt;0,$H617&gt;0,OR(AUTOEVENTO&lt;&gt;"manual",$M617&lt;&gt;1)),
IF(Import.TipoArredondamento&lt;&gt;"TransfereGOV",
ROUND(OFFSET($P617,0,AO$13),15-13*ORÇAMENTO!$AF$7)/$H617*OFFSET(ORÇAMENTO!$X$15,ROW(AO617)-ROW(AO$15),0),
ROUND(ROUND(OFFSET($P617,0,AO$13),15-13*ORÇAMENTO!$AF$7)*OFFSET(ORÇAMENTO!$W$15,ROW(AO617)-ROW(AO$15),0),15-13*ORÇAMENTO!$AF$11)),0)</f>
        <v>0</v>
      </c>
      <c r="AP617" s="545">
        <f ca="1">IF(AND($D617="Serviço",AP$12&lt;&gt;0,$H617&gt;0,OR(AUTOEVENTO&lt;&gt;"manual",$M617&lt;&gt;1)),
IF(Import.TipoArredondamento&lt;&gt;"TransfereGOV",
ROUND(OFFSET($P617,0,AP$13),15-13*ORÇAMENTO!$AF$7)/$H617*OFFSET(ORÇAMENTO!$X$15,ROW(AP617)-ROW(AP$15),0),
ROUND(ROUND(OFFSET($P617,0,AP$13),15-13*ORÇAMENTO!$AF$7)*OFFSET(ORÇAMENTO!$W$15,ROW(AP617)-ROW(AP$15),0),15-13*ORÇAMENTO!$AF$11)),0)</f>
        <v>0</v>
      </c>
      <c r="AQ617" s="545">
        <f ca="1">IF(AND($D617="Serviço",AQ$12&lt;&gt;0,$H617&gt;0,OR(AUTOEVENTO&lt;&gt;"manual",$M617&lt;&gt;1)),
IF(Import.TipoArredondamento&lt;&gt;"TransfereGOV",
ROUND(OFFSET($P617,0,AQ$13),15-13*ORÇAMENTO!$AF$7)/$H617*OFFSET(ORÇAMENTO!$X$15,ROW(AQ617)-ROW(AQ$15),0),
ROUND(ROUND(OFFSET($P617,0,AQ$13),15-13*ORÇAMENTO!$AF$7)*OFFSET(ORÇAMENTO!$W$15,ROW(AQ617)-ROW(AQ$15),0),15-13*ORÇAMENTO!$AF$11)),0)</f>
        <v>0</v>
      </c>
      <c r="AR617" s="545">
        <f ca="1">IF(AND($D617="Serviço",AR$12&lt;&gt;0,$H617&gt;0,OR(AUTOEVENTO&lt;&gt;"manual",$M617&lt;&gt;1)),
IF(Import.TipoArredondamento&lt;&gt;"TransfereGOV",
ROUND(OFFSET($P617,0,AR$13),15-13*ORÇAMENTO!$AF$7)/$H617*OFFSET(ORÇAMENTO!$X$15,ROW(AR617)-ROW(AR$15),0),
ROUND(ROUND(OFFSET($P617,0,AR$13),15-13*ORÇAMENTO!$AF$7)*OFFSET(ORÇAMENTO!$W$15,ROW(AR617)-ROW(AR$15),0),15-13*ORÇAMENTO!$AF$11)),0)</f>
        <v>0</v>
      </c>
      <c r="AS617" s="546">
        <f ca="1">IF(AND($D617="Serviço",AS$12&lt;&gt;0,$H617&gt;0,OR(AUTOEVENTO&lt;&gt;"manual",$M617&lt;&gt;1)),
IF(Import.TipoArredondamento&lt;&gt;"TransfereGOV",
ROUND(OFFSET($P617,0,AS$13),15-13*ORÇAMENTO!$AF$7)/$H617*OFFSET(ORÇAMENTO!$X$15,ROW(AS617)-ROW(AS$15),0),
ROUND(ROUND(OFFSET($P617,0,AS$13),15-13*ORÇAMENTO!$AF$7)*OFFSET(ORÇAMENTO!$W$15,ROW(AS617)-ROW(AS$15),0),15-13*ORÇAMENTO!$AF$11)),0)</f>
        <v>0</v>
      </c>
      <c r="AT617" s="545">
        <f ca="1">IF(AND($D617="Serviço",AT$12&lt;&gt;0,$H617&gt;0,OR(AUTOEVENTO&lt;&gt;"manual",$M617&lt;&gt;1)),
IF(Import.TipoArredondamento&lt;&gt;"TransfereGOV",
ROUND(OFFSET($P617,0,AT$13),15-13*ORÇAMENTO!$AF$7)/$H617*OFFSET(ORÇAMENTO!$X$15,ROW(AT617)-ROW(AT$15),0),
ROUND(ROUND(OFFSET($P617,0,AT$13),15-13*ORÇAMENTO!$AF$7)*OFFSET(ORÇAMENTO!$W$15,ROW(AT617)-ROW(AT$15),0),15-13*ORÇAMENTO!$AF$11)),0)</f>
        <v>0</v>
      </c>
      <c r="AU617" s="545">
        <f ca="1">IF(AND($D617="Serviço",AU$12&lt;&gt;0,$H617&gt;0,OR(AUTOEVENTO&lt;&gt;"manual",$M617&lt;&gt;1)),
IF(Import.TipoArredondamento&lt;&gt;"TransfereGOV",
ROUND(OFFSET($P617,0,AU$13),15-13*ORÇAMENTO!$AF$7)/$H617*OFFSET(ORÇAMENTO!$X$15,ROW(AU617)-ROW(AU$15),0),
ROUND(ROUND(OFFSET($P617,0,AU$13),15-13*ORÇAMENTO!$AF$7)*OFFSET(ORÇAMENTO!$W$15,ROW(AU617)-ROW(AU$15),0),15-13*ORÇAMENTO!$AF$11)),0)</f>
        <v>0</v>
      </c>
      <c r="AV617" s="545">
        <f ca="1">IF(AND($D617="Serviço",AV$12&lt;&gt;0,$H617&gt;0,OR(AUTOEVENTO&lt;&gt;"manual",$M617&lt;&gt;1)),
IF(Import.TipoArredondamento&lt;&gt;"TransfereGOV",
ROUND(OFFSET($P617,0,AV$13),15-13*ORÇAMENTO!$AF$7)/$H617*OFFSET(ORÇAMENTO!$X$15,ROW(AV617)-ROW(AV$15),0),
ROUND(ROUND(OFFSET($P617,0,AV$13),15-13*ORÇAMENTO!$AF$7)*OFFSET(ORÇAMENTO!$W$15,ROW(AV617)-ROW(AV$15),0),15-13*ORÇAMENTO!$AF$11)),0)</f>
        <v>0</v>
      </c>
      <c r="AW617" s="545">
        <f ca="1">IF(AND($D617="Serviço",AW$12&lt;&gt;0,$H617&gt;0,OR(AUTOEVENTO&lt;&gt;"manual",$M617&lt;&gt;1)),
IF(Import.TipoArredondamento&lt;&gt;"TransfereGOV",
ROUND(OFFSET($P617,0,AW$13),15-13*ORÇAMENTO!$AF$7)/$H617*OFFSET(ORÇAMENTO!$X$15,ROW(AW617)-ROW(AW$15),0),
ROUND(ROUND(OFFSET($P617,0,AW$13),15-13*ORÇAMENTO!$AF$7)*OFFSET(ORÇAMENTO!$W$15,ROW(AW617)-ROW(AW$15),0),15-13*ORÇAMENTO!$AF$11)),0)</f>
        <v>0</v>
      </c>
      <c r="AX617" s="545">
        <f ca="1">IF(AND($D617="Serviço",AX$12&lt;&gt;0,$H617&gt;0,OR(AUTOEVENTO&lt;&gt;"manual",$M617&lt;&gt;1)),
IF(Import.TipoArredondamento&lt;&gt;"TransfereGOV",
ROUND(OFFSET($P617,0,AX$13),15-13*ORÇAMENTO!$AF$7)/$H617*OFFSET(ORÇAMENTO!$X$15,ROW(AX617)-ROW(AX$15),0),
ROUND(ROUND(OFFSET($P617,0,AX$13),15-13*ORÇAMENTO!$AF$7)*OFFSET(ORÇAMENTO!$W$15,ROW(AX617)-ROW(AX$15),0),15-13*ORÇAMENTO!$AF$11)),0)</f>
        <v>0</v>
      </c>
      <c r="AY617" s="545">
        <f ca="1">IF(AND($D617="Serviço",AY$12&lt;&gt;0,$H617&gt;0,OR(AUTOEVENTO&lt;&gt;"manual",$M617&lt;&gt;1)),
IF(Import.TipoArredondamento&lt;&gt;"TransfereGOV",
ROUND(OFFSET($P617,0,AY$13),15-13*ORÇAMENTO!$AF$7)/$H617*OFFSET(ORÇAMENTO!$X$15,ROW(AY617)-ROW(AY$15),0),
ROUND(ROUND(OFFSET($P617,0,AY$13),15-13*ORÇAMENTO!$AF$7)*OFFSET(ORÇAMENTO!$W$15,ROW(AY617)-ROW(AY$15),0),15-13*ORÇAMENTO!$AF$11)),0)</f>
        <v>0</v>
      </c>
      <c r="AZ617" s="545">
        <f ca="1">IF(AND($D617="Serviço",AZ$12&lt;&gt;0,$H617&gt;0,OR(AUTOEVENTO&lt;&gt;"manual",$M617&lt;&gt;1)),
IF(Import.TipoArredondamento&lt;&gt;"TransfereGOV",
ROUND(OFFSET($P617,0,AZ$13),15-13*ORÇAMENTO!$AF$7)/$H617*OFFSET(ORÇAMENTO!$X$15,ROW(AZ617)-ROW(AZ$15),0),
ROUND(ROUND(OFFSET($P617,0,AZ$13),15-13*ORÇAMENTO!$AF$7)*OFFSET(ORÇAMENTO!$W$15,ROW(AZ617)-ROW(AZ$15),0),15-13*ORÇAMENTO!$AF$11)),0)</f>
        <v>0</v>
      </c>
      <c r="BA617" s="546">
        <f ca="1">IF(AND($D617="Serviço",BA$12&lt;&gt;0,$H617&gt;0,OR(AUTOEVENTO&lt;&gt;"manual",$M617&lt;&gt;1)),
IF(Import.TipoArredondamento&lt;&gt;"TransfereGOV",
ROUND(OFFSET($P617,0,BA$13),15-13*ORÇAMENTO!$AF$7)/$H617*OFFSET(ORÇAMENTO!$X$15,ROW(BA617)-ROW(BA$15),0),
ROUND(ROUND(OFFSET($P617,0,BA$13),15-13*ORÇAMENTO!$AF$7)*OFFSET(ORÇAMENTO!$W$15,ROW(BA617)-ROW(BA$15),0),15-13*ORÇAMENTO!$AF$11)),0)</f>
        <v>0</v>
      </c>
      <c r="BC617" s="181">
        <f ca="1">IF($D617&lt;&gt;"Serviço",0,IF(AND(AUTOEVENTO="Manual",$M617=1),0,IF(OFFSET(CRONOPLE!$F$14,$M617,BC$13)="",10^12,OFFSET(CRONOPLE!$F$14,$M617,BC$13))))</f>
        <v>11</v>
      </c>
      <c r="BD617" s="181">
        <f ca="1">IF($D617&lt;&gt;"Serviço",0,IF(AND(AUTOEVENTO="Manual",$M617=1),0,IF(OFFSET(CRONOPLE!$F$14,$M617,BD$13)="",10^12,OFFSET(CRONOPLE!$F$14,$M617,BD$13))))</f>
        <v>1000000000000</v>
      </c>
      <c r="BE617" s="181">
        <f ca="1">IF($D617&lt;&gt;"Serviço",0,IF(AND(AUTOEVENTO="Manual",$M617=1),0,IF(OFFSET(CRONOPLE!$F$14,$M617,BE$13)="",10^12,OFFSET(CRONOPLE!$F$14,$M617,BE$13))))</f>
        <v>1000000000000</v>
      </c>
      <c r="BF617" s="181">
        <f ca="1">IF($D617&lt;&gt;"Serviço",0,IF(AND(AUTOEVENTO="Manual",$M617=1),0,IF(OFFSET(CRONOPLE!$F$14,$M617,BF$13)="",10^12,OFFSET(CRONOPLE!$F$14,$M617,BF$13))))</f>
        <v>1000000000000</v>
      </c>
      <c r="BG617" s="181">
        <f ca="1">IF($D617&lt;&gt;"Serviço",0,IF(AND(AUTOEVENTO="Manual",$M617=1),0,IF(OFFSET(CRONOPLE!$F$14,$M617,BG$13)="",10^12,OFFSET(CRONOPLE!$F$14,$M617,BG$13))))</f>
        <v>1000000000000</v>
      </c>
      <c r="BH617" s="181">
        <f ca="1">IF($D617&lt;&gt;"Serviço",0,IF(AND(AUTOEVENTO="Manual",$M617=1),0,IF(OFFSET(CRONOPLE!$F$14,$M617,BH$13)="",10^12,OFFSET(CRONOPLE!$F$14,$M617,BH$13))))</f>
        <v>1000000000000</v>
      </c>
      <c r="BI617" s="181">
        <f ca="1">IF($D617&lt;&gt;"Serviço",0,IF(AND(AUTOEVENTO="Manual",$M617=1),0,IF(OFFSET(CRONOPLE!$F$14,$M617,BI$13)="",10^12,OFFSET(CRONOPLE!$F$14,$M617,BI$13))))</f>
        <v>1000000000000</v>
      </c>
      <c r="BJ617" s="181">
        <f ca="1">IF($D617&lt;&gt;"Serviço",0,IF(AND(AUTOEVENTO="Manual",$M617=1),0,IF(OFFSET(CRONOPLE!$F$14,$M617,BJ$13)="",10^12,OFFSET(CRONOPLE!$F$14,$M617,BJ$13))))</f>
        <v>1000000000000</v>
      </c>
      <c r="BK617" s="181">
        <f ca="1">IF($D617&lt;&gt;"Serviço",0,IF(AND(AUTOEVENTO="Manual",$M617=1),0,IF(OFFSET(CRONOPLE!$F$14,$M617,BK$13)="",10^12,OFFSET(CRONOPLE!$F$14,$M617,BK$13))))</f>
        <v>1000000000000</v>
      </c>
      <c r="BL617" s="181">
        <f ca="1">IF($D617&lt;&gt;"Serviço",0,IF(AND(AUTOEVENTO="Manual",$M617=1),0,IF(OFFSET(CRONOPLE!$F$14,$M617,BL$13)="",10^12,OFFSET(CRONOPLE!$F$14,$M617,BL$13))))</f>
        <v>1000000000000</v>
      </c>
      <c r="BM617" s="181">
        <f ca="1">IF($D617&lt;&gt;"Serviço",0,IF(AND(AUTOEVENTO="Manual",$M617=1),0,IF(OFFSET(CRONOPLE!$F$14,$M617,BM$13)="",10^12,OFFSET(CRONOPLE!$F$14,$M617,BM$13))))</f>
        <v>1000000000000</v>
      </c>
      <c r="BN617" s="181">
        <f ca="1">IF($D617&lt;&gt;"Serviço",0,IF(AND(AUTOEVENTO="Manual",$M617=1),0,IF(OFFSET(CRONOPLE!$F$14,$M617,BN$13)="",10^12,OFFSET(CRONOPLE!$F$14,$M617,BN$13))))</f>
        <v>1000000000000</v>
      </c>
      <c r="BO617" s="181">
        <f ca="1">IF($D617&lt;&gt;"Serviço",0,IF(AND(AUTOEVENTO="Manual",$M617=1),0,IF(OFFSET(CRONOPLE!$F$14,$M617,BO$13)="",10^12,OFFSET(CRONOPLE!$F$14,$M617,BO$13))))</f>
        <v>1000000000000</v>
      </c>
      <c r="BP617" s="181">
        <f ca="1">IF($D617&lt;&gt;"Serviço",0,IF(AND(AUTOEVENTO="Manual",$M617=1),0,IF(OFFSET(CRONOPLE!$F$14,$M617,BP$13)="",10^12,OFFSET(CRONOPLE!$F$14,$M617,BP$13))))</f>
        <v>1000000000000</v>
      </c>
      <c r="BQ617" s="181">
        <f ca="1">IF($D617&lt;&gt;"Serviço",0,IF(AND(AUTOEVENTO="Manual",$M617=1),0,IF(OFFSET(CRONOPLE!$F$14,$M617,BQ$13)="",10^12,OFFSET(CRONOPLE!$F$14,$M617,BQ$13))))</f>
        <v>1000000000000</v>
      </c>
      <c r="BR617" s="181">
        <f ca="1">IF($D617&lt;&gt;"Serviço",0,IF(AND(AUTOEVENTO="Manual",$M617=1),0,IF(OFFSET(CRONOPLE!$F$14,$M617,BR$13)="",10^12,OFFSET(CRONOPLE!$F$14,$M617,BR$13))))</f>
        <v>1000000000000</v>
      </c>
      <c r="BS617" s="181">
        <f ca="1">IF($D617&lt;&gt;"Serviço",0,IF(AND(AUTOEVENTO="Manual",$M617=1),0,IF(OFFSET(CRONOPLE!$F$14,$M617,BS$13)="",10^12,OFFSET(CRONOPLE!$F$14,$M617,BS$13))))</f>
        <v>1000000000000</v>
      </c>
      <c r="BT617" s="181">
        <f ca="1">IF($D617&lt;&gt;"Serviço",0,IF(AND(AUTOEVENTO="Manual",$M617=1),0,IF(OFFSET(CRONOPLE!$F$14,$M617,BT$13)="",10^12,OFFSET(CRONOPLE!$F$14,$M617,BT$13))))</f>
        <v>1000000000000</v>
      </c>
      <c r="BV617" s="182">
        <f ca="1">IF($D617&lt;&gt;"Serviço",0,IF(OR(AND(AUTOEVENTO="Manual",$M617=1),$M617&gt;(ROW(PLE.lastrow)-ROW(PLE.firstrow))),0,IF(OFFSET(PLE!$G$14,$M617,BV$13)="",10^12,OFFSET(PLE!$G$14,$M617,BV$13))))</f>
        <v>1000000000000</v>
      </c>
      <c r="BW617" s="182">
        <f ca="1">IF($D617&lt;&gt;"Serviço",0,IF(OR(AND(AUTOEVENTO="Manual",$M617=1),$M617&gt;(ROW(PLE.lastrow)-ROW(PLE.firstrow))),0,IF(OFFSET(PLE!$G$14,$M617,BW$13)="",10^12,OFFSET(PLE!$G$14,$M617,BW$13))))</f>
        <v>1000000000000</v>
      </c>
      <c r="BX617" s="182">
        <f ca="1">IF($D617&lt;&gt;"Serviço",0,IF(OR(AND(AUTOEVENTO="Manual",$M617=1),$M617&gt;(ROW(PLE.lastrow)-ROW(PLE.firstrow))),0,IF(OFFSET(PLE!$G$14,$M617,BX$13)="",10^12,OFFSET(PLE!$G$14,$M617,BX$13))))</f>
        <v>1000000000000</v>
      </c>
      <c r="BY617" s="182">
        <f ca="1">IF($D617&lt;&gt;"Serviço",0,IF(OR(AND(AUTOEVENTO="Manual",$M617=1),$M617&gt;(ROW(PLE.lastrow)-ROW(PLE.firstrow))),0,IF(OFFSET(PLE!$G$14,$M617,BY$13)="",10^12,OFFSET(PLE!$G$14,$M617,BY$13))))</f>
        <v>1000000000000</v>
      </c>
      <c r="BZ617" s="182">
        <f ca="1">IF($D617&lt;&gt;"Serviço",0,IF(OR(AND(AUTOEVENTO="Manual",$M617=1),$M617&gt;(ROW(PLE.lastrow)-ROW(PLE.firstrow))),0,IF(OFFSET(PLE!$G$14,$M617,BZ$13)="",10^12,OFFSET(PLE!$G$14,$M617,BZ$13))))</f>
        <v>1000000000000</v>
      </c>
      <c r="CA617" s="182">
        <f ca="1">IF($D617&lt;&gt;"Serviço",0,IF(OR(AND(AUTOEVENTO="Manual",$M617=1),$M617&gt;(ROW(PLE.lastrow)-ROW(PLE.firstrow))),0,IF(OFFSET(PLE!$G$14,$M617,CA$13)="",10^12,OFFSET(PLE!$G$14,$M617,CA$13))))</f>
        <v>1000000000000</v>
      </c>
      <c r="CB617" s="182">
        <f ca="1">IF($D617&lt;&gt;"Serviço",0,IF(OR(AND(AUTOEVENTO="Manual",$M617=1),$M617&gt;(ROW(PLE.lastrow)-ROW(PLE.firstrow))),0,IF(OFFSET(PLE!$G$14,$M617,CB$13)="",10^12,OFFSET(PLE!$G$14,$M617,CB$13))))</f>
        <v>1000000000000</v>
      </c>
      <c r="CC617" s="182">
        <f ca="1">IF($D617&lt;&gt;"Serviço",0,IF(OR(AND(AUTOEVENTO="Manual",$M617=1),$M617&gt;(ROW(PLE.lastrow)-ROW(PLE.firstrow))),0,IF(OFFSET(PLE!$G$14,$M617,CC$13)="",10^12,OFFSET(PLE!$G$14,$M617,CC$13))))</f>
        <v>1000000000000</v>
      </c>
      <c r="CD617" s="182">
        <f ca="1">IF($D617&lt;&gt;"Serviço",0,IF(OR(AND(AUTOEVENTO="Manual",$M617=1),$M617&gt;(ROW(PLE.lastrow)-ROW(PLE.firstrow))),0,IF(OFFSET(PLE!$G$14,$M617,CD$13)="",10^12,OFFSET(PLE!$G$14,$M617,CD$13))))</f>
        <v>1000000000000</v>
      </c>
      <c r="CE617" s="182">
        <f ca="1">IF($D617&lt;&gt;"Serviço",0,IF(OR(AND(AUTOEVENTO="Manual",$M617=1),$M617&gt;(ROW(PLE.lastrow)-ROW(PLE.firstrow))),0,IF(OFFSET(PLE!$G$14,$M617,CE$13)="",10^12,OFFSET(PLE!$G$14,$M617,CE$13))))</f>
        <v>1000000000000</v>
      </c>
      <c r="CF617" s="182">
        <f ca="1">IF($D617&lt;&gt;"Serviço",0,IF(OR(AND(AUTOEVENTO="Manual",$M617=1),$M617&gt;(ROW(PLE.lastrow)-ROW(PLE.firstrow))),0,IF(OFFSET(PLE!$G$14,$M617,CF$13)="",10^12,OFFSET(PLE!$G$14,$M617,CF$13))))</f>
        <v>1000000000000</v>
      </c>
      <c r="CG617" s="182">
        <f ca="1">IF($D617&lt;&gt;"Serviço",0,IF(OR(AND(AUTOEVENTO="Manual",$M617=1),$M617&gt;(ROW(PLE.lastrow)-ROW(PLE.firstrow))),0,IF(OFFSET(PLE!$G$14,$M617,CG$13)="",10^12,OFFSET(PLE!$G$14,$M617,CG$13))))</f>
        <v>1000000000000</v>
      </c>
      <c r="CH617" s="182">
        <f ca="1">IF($D617&lt;&gt;"Serviço",0,IF(OR(AND(AUTOEVENTO="Manual",$M617=1),$M617&gt;(ROW(PLE.lastrow)-ROW(PLE.firstrow))),0,IF(OFFSET(PLE!$G$14,$M617,CH$13)="",10^12,OFFSET(PLE!$G$14,$M617,CH$13))))</f>
        <v>1000000000000</v>
      </c>
      <c r="CI617" s="182">
        <f ca="1">IF($D617&lt;&gt;"Serviço",0,IF(OR(AND(AUTOEVENTO="Manual",$M617=1),$M617&gt;(ROW(PLE.lastrow)-ROW(PLE.firstrow))),0,IF(OFFSET(PLE!$G$14,$M617,CI$13)="",10^12,OFFSET(PLE!$G$14,$M617,CI$13))))</f>
        <v>1000000000000</v>
      </c>
      <c r="CJ617" s="182">
        <f ca="1">IF($D617&lt;&gt;"Serviço",0,IF(OR(AND(AUTOEVENTO="Manual",$M617=1),$M617&gt;(ROW(PLE.lastrow)-ROW(PLE.firstrow))),0,IF(OFFSET(PLE!$G$14,$M617,CJ$13)="",10^12,OFFSET(PLE!$G$14,$M617,CJ$13))))</f>
        <v>1000000000000</v>
      </c>
      <c r="CK617" s="182">
        <f ca="1">IF($D617&lt;&gt;"Serviço",0,IF(OR(AND(AUTOEVENTO="Manual",$M617=1),$M617&gt;(ROW(PLE.lastrow)-ROW(PLE.firstrow))),0,IF(OFFSET(PLE!$G$14,$M617,CK$13)="",10^12,OFFSET(PLE!$G$14,$M617,CK$13))))</f>
        <v>1000000000000</v>
      </c>
      <c r="CL617" s="182">
        <f ca="1">IF($D617&lt;&gt;"Serviço",0,IF(OR(AND(AUTOEVENTO="Manual",$M617=1),$M617&gt;(ROW(PLE.lastrow)-ROW(PLE.firstrow))),0,IF(OFFSET(PLE!$G$14,$M617,CL$13)="",10^12,OFFSET(PLE!$G$14,$M617,CL$13))))</f>
        <v>1000000000000</v>
      </c>
      <c r="CM617" s="182">
        <f ca="1">IF($D617&lt;&gt;"Serviço",0,IF(OR(AND(AUTOEVENTO="Manual",$M617=1),$M617&gt;(ROW(PLE.lastrow)-ROW(PLE.firstrow))),0,IF(OFFSET(PLE!$G$14,$M617,CM$13)="",10^12,OFFSET(PLE!$G$14,$M617,CM$13))))</f>
        <v>1000000000000</v>
      </c>
    </row>
    <row r="618" spans="1:91" ht="25.5" x14ac:dyDescent="0.2">
      <c r="A618" s="7" t="str">
        <f t="shared" ca="1" si="18"/>
        <v>603.</v>
      </c>
      <c r="B618" s="7">
        <f ca="1">OFFSET(ORÇAMENTO!C$15,ROW(B618)-ROW(B$15),0)</f>
        <v>2</v>
      </c>
      <c r="C618" s="7" t="str">
        <f ca="1">OFFSET(ORÇAMENTO!L$15,ROW(C618)-ROW(C$15),0)</f>
        <v>F</v>
      </c>
      <c r="D618" s="118" t="str">
        <f ca="1">OFFSET(ORÇAMENTO!N$15,ROW(D618)-ROW(D$15),0)</f>
        <v>Nível 2</v>
      </c>
      <c r="E618" s="119" t="str">
        <f ca="1">OFFSET(ORÇAMENTO!O$15,ROW(E618)-ROW(E$15),0)</f>
        <v>1.64.</v>
      </c>
      <c r="F618" s="172" t="str">
        <f ca="1">OFFSET(ORÇAMENTO!R$15,ROW(F618)-ROW(F$15),0)</f>
        <v>INSTALAÇÕES DE CABEAMENTO ESTRUTURADO - ACESSÓRIOS DE CABEAMENTO</v>
      </c>
      <c r="G618" s="173" t="str">
        <f ca="1">IF($D618&lt;&gt;"Serviço","",OFFSET(ORÇAMENTO!S$15,ROW(G618)-ROW(G$15),0))</f>
        <v/>
      </c>
      <c r="H618" s="124">
        <f ca="1">IF($D618&lt;&gt;"Serviço",0,IF(ACOMPANHAMENTO="BM",ROUND(OFFSET(ORÇAMENTO!AJ$15,ROW(H618)-ROW(H$15),0),15-13*ORÇAMENTO!$AF$7),SUMPRODUCT(($Q$12:$AI$12&lt;&gt;"")*ROUND($Q618:$AI618,15-13*ORÇAMENTO!$AF$7))))</f>
        <v>0</v>
      </c>
      <c r="I618" s="561"/>
      <c r="K618" s="174"/>
      <c r="L618" s="175" t="s">
        <v>255</v>
      </c>
      <c r="M618" s="176" t="str">
        <f ca="1">IF($D618&lt;&gt;"Serviço","",IF(AUTOEVENTO="manual",$A618,IF(ISERROR(MATCH($A618,$A$15:OFFSET($A618,-1,0),0)),MAX($M$15:OFFSET(M618,-1,0))+1,INDEX($M$15:OFFSET(M618,-1,0),MATCH($A618,$A$15:OFFSET($A618,-1,0),0)))))</f>
        <v/>
      </c>
      <c r="N618" s="177" t="str">
        <f ca="1">IF($D618&lt;&gt;"Serviço","",IF(AUTOEVENTO="Manual",IF($A618=0,"&lt;-- defina o número do agrupador",OFFSET(EVENTOS!$D$14,$A618,0)),OFFSET($F$15,$A618,0)))</f>
        <v/>
      </c>
      <c r="O618" s="178"/>
      <c r="Q618" s="178">
        <v>0</v>
      </c>
      <c r="R618" s="179"/>
      <c r="S618" s="179"/>
      <c r="T618" s="179"/>
      <c r="U618" s="179"/>
      <c r="V618" s="179"/>
      <c r="W618" s="179"/>
      <c r="X618" s="179"/>
      <c r="Y618" s="179"/>
      <c r="Z618" s="180"/>
      <c r="AA618" s="179"/>
      <c r="AB618" s="179"/>
      <c r="AC618" s="179"/>
      <c r="AD618" s="179"/>
      <c r="AE618" s="179"/>
      <c r="AF618" s="179"/>
      <c r="AG618" s="179"/>
      <c r="AH618" s="180"/>
      <c r="AJ618" s="544">
        <f ca="1">IF(AND($D618="Serviço",AJ$12&lt;&gt;0,$H618&gt;0,OR(AUTOEVENTO&lt;&gt;"manual",$M618&lt;&gt;1)),
IF(Import.TipoArredondamento&lt;&gt;"TransfereGOV",
ROUND(OFFSET($P618,0,AJ$13),15-13*ORÇAMENTO!$AF$7)/$H618*OFFSET(ORÇAMENTO!$X$15,ROW(AJ618)-ROW(AJ$15),0),
ROUND(ROUND(OFFSET($P618,0,AJ$13),15-13*ORÇAMENTO!$AF$7)*OFFSET(ORÇAMENTO!$W$15,ROW(AJ618)-ROW(AJ$15),0),15-13*ORÇAMENTO!$AF$11)),0)</f>
        <v>0</v>
      </c>
      <c r="AK618" s="545">
        <f ca="1">IF(AND($D618="Serviço",AK$12&lt;&gt;0,$H618&gt;0,OR(AUTOEVENTO&lt;&gt;"manual",$M618&lt;&gt;1)),
IF(Import.TipoArredondamento&lt;&gt;"TransfereGOV",
ROUND(OFFSET($P618,0,AK$13),15-13*ORÇAMENTO!$AF$7)/$H618*OFFSET(ORÇAMENTO!$X$15,ROW(AK618)-ROW(AK$15),0),
ROUND(ROUND(OFFSET($P618,0,AK$13),15-13*ORÇAMENTO!$AF$7)*OFFSET(ORÇAMENTO!$W$15,ROW(AK618)-ROW(AK$15),0),15-13*ORÇAMENTO!$AF$11)),0)</f>
        <v>0</v>
      </c>
      <c r="AL618" s="545">
        <f ca="1">IF(AND($D618="Serviço",AL$12&lt;&gt;0,$H618&gt;0,OR(AUTOEVENTO&lt;&gt;"manual",$M618&lt;&gt;1)),
IF(Import.TipoArredondamento&lt;&gt;"TransfereGOV",
ROUND(OFFSET($P618,0,AL$13),15-13*ORÇAMENTO!$AF$7)/$H618*OFFSET(ORÇAMENTO!$X$15,ROW(AL618)-ROW(AL$15),0),
ROUND(ROUND(OFFSET($P618,0,AL$13),15-13*ORÇAMENTO!$AF$7)*OFFSET(ORÇAMENTO!$W$15,ROW(AL618)-ROW(AL$15),0),15-13*ORÇAMENTO!$AF$11)),0)</f>
        <v>0</v>
      </c>
      <c r="AM618" s="545">
        <f ca="1">IF(AND($D618="Serviço",AM$12&lt;&gt;0,$H618&gt;0,OR(AUTOEVENTO&lt;&gt;"manual",$M618&lt;&gt;1)),
IF(Import.TipoArredondamento&lt;&gt;"TransfereGOV",
ROUND(OFFSET($P618,0,AM$13),15-13*ORÇAMENTO!$AF$7)/$H618*OFFSET(ORÇAMENTO!$X$15,ROW(AM618)-ROW(AM$15),0),
ROUND(ROUND(OFFSET($P618,0,AM$13),15-13*ORÇAMENTO!$AF$7)*OFFSET(ORÇAMENTO!$W$15,ROW(AM618)-ROW(AM$15),0),15-13*ORÇAMENTO!$AF$11)),0)</f>
        <v>0</v>
      </c>
      <c r="AN618" s="545">
        <f ca="1">IF(AND($D618="Serviço",AN$12&lt;&gt;0,$H618&gt;0,OR(AUTOEVENTO&lt;&gt;"manual",$M618&lt;&gt;1)),
IF(Import.TipoArredondamento&lt;&gt;"TransfereGOV",
ROUND(OFFSET($P618,0,AN$13),15-13*ORÇAMENTO!$AF$7)/$H618*OFFSET(ORÇAMENTO!$X$15,ROW(AN618)-ROW(AN$15),0),
ROUND(ROUND(OFFSET($P618,0,AN$13),15-13*ORÇAMENTO!$AF$7)*OFFSET(ORÇAMENTO!$W$15,ROW(AN618)-ROW(AN$15),0),15-13*ORÇAMENTO!$AF$11)),0)</f>
        <v>0</v>
      </c>
      <c r="AO618" s="545">
        <f ca="1">IF(AND($D618="Serviço",AO$12&lt;&gt;0,$H618&gt;0,OR(AUTOEVENTO&lt;&gt;"manual",$M618&lt;&gt;1)),
IF(Import.TipoArredondamento&lt;&gt;"TransfereGOV",
ROUND(OFFSET($P618,0,AO$13),15-13*ORÇAMENTO!$AF$7)/$H618*OFFSET(ORÇAMENTO!$X$15,ROW(AO618)-ROW(AO$15),0),
ROUND(ROUND(OFFSET($P618,0,AO$13),15-13*ORÇAMENTO!$AF$7)*OFFSET(ORÇAMENTO!$W$15,ROW(AO618)-ROW(AO$15),0),15-13*ORÇAMENTO!$AF$11)),0)</f>
        <v>0</v>
      </c>
      <c r="AP618" s="545">
        <f ca="1">IF(AND($D618="Serviço",AP$12&lt;&gt;0,$H618&gt;0,OR(AUTOEVENTO&lt;&gt;"manual",$M618&lt;&gt;1)),
IF(Import.TipoArredondamento&lt;&gt;"TransfereGOV",
ROUND(OFFSET($P618,0,AP$13),15-13*ORÇAMENTO!$AF$7)/$H618*OFFSET(ORÇAMENTO!$X$15,ROW(AP618)-ROW(AP$15),0),
ROUND(ROUND(OFFSET($P618,0,AP$13),15-13*ORÇAMENTO!$AF$7)*OFFSET(ORÇAMENTO!$W$15,ROW(AP618)-ROW(AP$15),0),15-13*ORÇAMENTO!$AF$11)),0)</f>
        <v>0</v>
      </c>
      <c r="AQ618" s="545">
        <f ca="1">IF(AND($D618="Serviço",AQ$12&lt;&gt;0,$H618&gt;0,OR(AUTOEVENTO&lt;&gt;"manual",$M618&lt;&gt;1)),
IF(Import.TipoArredondamento&lt;&gt;"TransfereGOV",
ROUND(OFFSET($P618,0,AQ$13),15-13*ORÇAMENTO!$AF$7)/$H618*OFFSET(ORÇAMENTO!$X$15,ROW(AQ618)-ROW(AQ$15),0),
ROUND(ROUND(OFFSET($P618,0,AQ$13),15-13*ORÇAMENTO!$AF$7)*OFFSET(ORÇAMENTO!$W$15,ROW(AQ618)-ROW(AQ$15),0),15-13*ORÇAMENTO!$AF$11)),0)</f>
        <v>0</v>
      </c>
      <c r="AR618" s="545">
        <f ca="1">IF(AND($D618="Serviço",AR$12&lt;&gt;0,$H618&gt;0,OR(AUTOEVENTO&lt;&gt;"manual",$M618&lt;&gt;1)),
IF(Import.TipoArredondamento&lt;&gt;"TransfereGOV",
ROUND(OFFSET($P618,0,AR$13),15-13*ORÇAMENTO!$AF$7)/$H618*OFFSET(ORÇAMENTO!$X$15,ROW(AR618)-ROW(AR$15),0),
ROUND(ROUND(OFFSET($P618,0,AR$13),15-13*ORÇAMENTO!$AF$7)*OFFSET(ORÇAMENTO!$W$15,ROW(AR618)-ROW(AR$15),0),15-13*ORÇAMENTO!$AF$11)),0)</f>
        <v>0</v>
      </c>
      <c r="AS618" s="546">
        <f ca="1">IF(AND($D618="Serviço",AS$12&lt;&gt;0,$H618&gt;0,OR(AUTOEVENTO&lt;&gt;"manual",$M618&lt;&gt;1)),
IF(Import.TipoArredondamento&lt;&gt;"TransfereGOV",
ROUND(OFFSET($P618,0,AS$13),15-13*ORÇAMENTO!$AF$7)/$H618*OFFSET(ORÇAMENTO!$X$15,ROW(AS618)-ROW(AS$15),0),
ROUND(ROUND(OFFSET($P618,0,AS$13),15-13*ORÇAMENTO!$AF$7)*OFFSET(ORÇAMENTO!$W$15,ROW(AS618)-ROW(AS$15),0),15-13*ORÇAMENTO!$AF$11)),0)</f>
        <v>0</v>
      </c>
      <c r="AT618" s="545">
        <f ca="1">IF(AND($D618="Serviço",AT$12&lt;&gt;0,$H618&gt;0,OR(AUTOEVENTO&lt;&gt;"manual",$M618&lt;&gt;1)),
IF(Import.TipoArredondamento&lt;&gt;"TransfereGOV",
ROUND(OFFSET($P618,0,AT$13),15-13*ORÇAMENTO!$AF$7)/$H618*OFFSET(ORÇAMENTO!$X$15,ROW(AT618)-ROW(AT$15),0),
ROUND(ROUND(OFFSET($P618,0,AT$13),15-13*ORÇAMENTO!$AF$7)*OFFSET(ORÇAMENTO!$W$15,ROW(AT618)-ROW(AT$15),0),15-13*ORÇAMENTO!$AF$11)),0)</f>
        <v>0</v>
      </c>
      <c r="AU618" s="545">
        <f ca="1">IF(AND($D618="Serviço",AU$12&lt;&gt;0,$H618&gt;0,OR(AUTOEVENTO&lt;&gt;"manual",$M618&lt;&gt;1)),
IF(Import.TipoArredondamento&lt;&gt;"TransfereGOV",
ROUND(OFFSET($P618,0,AU$13),15-13*ORÇAMENTO!$AF$7)/$H618*OFFSET(ORÇAMENTO!$X$15,ROW(AU618)-ROW(AU$15),0),
ROUND(ROUND(OFFSET($P618,0,AU$13),15-13*ORÇAMENTO!$AF$7)*OFFSET(ORÇAMENTO!$W$15,ROW(AU618)-ROW(AU$15),0),15-13*ORÇAMENTO!$AF$11)),0)</f>
        <v>0</v>
      </c>
      <c r="AV618" s="545">
        <f ca="1">IF(AND($D618="Serviço",AV$12&lt;&gt;0,$H618&gt;0,OR(AUTOEVENTO&lt;&gt;"manual",$M618&lt;&gt;1)),
IF(Import.TipoArredondamento&lt;&gt;"TransfereGOV",
ROUND(OFFSET($P618,0,AV$13),15-13*ORÇAMENTO!$AF$7)/$H618*OFFSET(ORÇAMENTO!$X$15,ROW(AV618)-ROW(AV$15),0),
ROUND(ROUND(OFFSET($P618,0,AV$13),15-13*ORÇAMENTO!$AF$7)*OFFSET(ORÇAMENTO!$W$15,ROW(AV618)-ROW(AV$15),0),15-13*ORÇAMENTO!$AF$11)),0)</f>
        <v>0</v>
      </c>
      <c r="AW618" s="545">
        <f ca="1">IF(AND($D618="Serviço",AW$12&lt;&gt;0,$H618&gt;0,OR(AUTOEVENTO&lt;&gt;"manual",$M618&lt;&gt;1)),
IF(Import.TipoArredondamento&lt;&gt;"TransfereGOV",
ROUND(OFFSET($P618,0,AW$13),15-13*ORÇAMENTO!$AF$7)/$H618*OFFSET(ORÇAMENTO!$X$15,ROW(AW618)-ROW(AW$15),0),
ROUND(ROUND(OFFSET($P618,0,AW$13),15-13*ORÇAMENTO!$AF$7)*OFFSET(ORÇAMENTO!$W$15,ROW(AW618)-ROW(AW$15),0),15-13*ORÇAMENTO!$AF$11)),0)</f>
        <v>0</v>
      </c>
      <c r="AX618" s="545">
        <f ca="1">IF(AND($D618="Serviço",AX$12&lt;&gt;0,$H618&gt;0,OR(AUTOEVENTO&lt;&gt;"manual",$M618&lt;&gt;1)),
IF(Import.TipoArredondamento&lt;&gt;"TransfereGOV",
ROUND(OFFSET($P618,0,AX$13),15-13*ORÇAMENTO!$AF$7)/$H618*OFFSET(ORÇAMENTO!$X$15,ROW(AX618)-ROW(AX$15),0),
ROUND(ROUND(OFFSET($P618,0,AX$13),15-13*ORÇAMENTO!$AF$7)*OFFSET(ORÇAMENTO!$W$15,ROW(AX618)-ROW(AX$15),0),15-13*ORÇAMENTO!$AF$11)),0)</f>
        <v>0</v>
      </c>
      <c r="AY618" s="545">
        <f ca="1">IF(AND($D618="Serviço",AY$12&lt;&gt;0,$H618&gt;0,OR(AUTOEVENTO&lt;&gt;"manual",$M618&lt;&gt;1)),
IF(Import.TipoArredondamento&lt;&gt;"TransfereGOV",
ROUND(OFFSET($P618,0,AY$13),15-13*ORÇAMENTO!$AF$7)/$H618*OFFSET(ORÇAMENTO!$X$15,ROW(AY618)-ROW(AY$15),0),
ROUND(ROUND(OFFSET($P618,0,AY$13),15-13*ORÇAMENTO!$AF$7)*OFFSET(ORÇAMENTO!$W$15,ROW(AY618)-ROW(AY$15),0),15-13*ORÇAMENTO!$AF$11)),0)</f>
        <v>0</v>
      </c>
      <c r="AZ618" s="545">
        <f ca="1">IF(AND($D618="Serviço",AZ$12&lt;&gt;0,$H618&gt;0,OR(AUTOEVENTO&lt;&gt;"manual",$M618&lt;&gt;1)),
IF(Import.TipoArredondamento&lt;&gt;"TransfereGOV",
ROUND(OFFSET($P618,0,AZ$13),15-13*ORÇAMENTO!$AF$7)/$H618*OFFSET(ORÇAMENTO!$X$15,ROW(AZ618)-ROW(AZ$15),0),
ROUND(ROUND(OFFSET($P618,0,AZ$13),15-13*ORÇAMENTO!$AF$7)*OFFSET(ORÇAMENTO!$W$15,ROW(AZ618)-ROW(AZ$15),0),15-13*ORÇAMENTO!$AF$11)),0)</f>
        <v>0</v>
      </c>
      <c r="BA618" s="546">
        <f ca="1">IF(AND($D618="Serviço",BA$12&lt;&gt;0,$H618&gt;0,OR(AUTOEVENTO&lt;&gt;"manual",$M618&lt;&gt;1)),
IF(Import.TipoArredondamento&lt;&gt;"TransfereGOV",
ROUND(OFFSET($P618,0,BA$13),15-13*ORÇAMENTO!$AF$7)/$H618*OFFSET(ORÇAMENTO!$X$15,ROW(BA618)-ROW(BA$15),0),
ROUND(ROUND(OFFSET($P618,0,BA$13),15-13*ORÇAMENTO!$AF$7)*OFFSET(ORÇAMENTO!$W$15,ROW(BA618)-ROW(BA$15),0),15-13*ORÇAMENTO!$AF$11)),0)</f>
        <v>0</v>
      </c>
      <c r="BC618" s="181">
        <f ca="1">IF($D618&lt;&gt;"Serviço",0,IF(AND(AUTOEVENTO="Manual",$M618=1),0,IF(OFFSET(CRONOPLE!$F$14,$M618,BC$13)="",10^12,OFFSET(CRONOPLE!$F$14,$M618,BC$13))))</f>
        <v>0</v>
      </c>
      <c r="BD618" s="181">
        <f ca="1">IF($D618&lt;&gt;"Serviço",0,IF(AND(AUTOEVENTO="Manual",$M618=1),0,IF(OFFSET(CRONOPLE!$F$14,$M618,BD$13)="",10^12,OFFSET(CRONOPLE!$F$14,$M618,BD$13))))</f>
        <v>0</v>
      </c>
      <c r="BE618" s="181">
        <f ca="1">IF($D618&lt;&gt;"Serviço",0,IF(AND(AUTOEVENTO="Manual",$M618=1),0,IF(OFFSET(CRONOPLE!$F$14,$M618,BE$13)="",10^12,OFFSET(CRONOPLE!$F$14,$M618,BE$13))))</f>
        <v>0</v>
      </c>
      <c r="BF618" s="181">
        <f ca="1">IF($D618&lt;&gt;"Serviço",0,IF(AND(AUTOEVENTO="Manual",$M618=1),0,IF(OFFSET(CRONOPLE!$F$14,$M618,BF$13)="",10^12,OFFSET(CRONOPLE!$F$14,$M618,BF$13))))</f>
        <v>0</v>
      </c>
      <c r="BG618" s="181">
        <f ca="1">IF($D618&lt;&gt;"Serviço",0,IF(AND(AUTOEVENTO="Manual",$M618=1),0,IF(OFFSET(CRONOPLE!$F$14,$M618,BG$13)="",10^12,OFFSET(CRONOPLE!$F$14,$M618,BG$13))))</f>
        <v>0</v>
      </c>
      <c r="BH618" s="181">
        <f ca="1">IF($D618&lt;&gt;"Serviço",0,IF(AND(AUTOEVENTO="Manual",$M618=1),0,IF(OFFSET(CRONOPLE!$F$14,$M618,BH$13)="",10^12,OFFSET(CRONOPLE!$F$14,$M618,BH$13))))</f>
        <v>0</v>
      </c>
      <c r="BI618" s="181">
        <f ca="1">IF($D618&lt;&gt;"Serviço",0,IF(AND(AUTOEVENTO="Manual",$M618=1),0,IF(OFFSET(CRONOPLE!$F$14,$M618,BI$13)="",10^12,OFFSET(CRONOPLE!$F$14,$M618,BI$13))))</f>
        <v>0</v>
      </c>
      <c r="BJ618" s="181">
        <f ca="1">IF($D618&lt;&gt;"Serviço",0,IF(AND(AUTOEVENTO="Manual",$M618=1),0,IF(OFFSET(CRONOPLE!$F$14,$M618,BJ$13)="",10^12,OFFSET(CRONOPLE!$F$14,$M618,BJ$13))))</f>
        <v>0</v>
      </c>
      <c r="BK618" s="181">
        <f ca="1">IF($D618&lt;&gt;"Serviço",0,IF(AND(AUTOEVENTO="Manual",$M618=1),0,IF(OFFSET(CRONOPLE!$F$14,$M618,BK$13)="",10^12,OFFSET(CRONOPLE!$F$14,$M618,BK$13))))</f>
        <v>0</v>
      </c>
      <c r="BL618" s="181">
        <f ca="1">IF($D618&lt;&gt;"Serviço",0,IF(AND(AUTOEVENTO="Manual",$M618=1),0,IF(OFFSET(CRONOPLE!$F$14,$M618,BL$13)="",10^12,OFFSET(CRONOPLE!$F$14,$M618,BL$13))))</f>
        <v>0</v>
      </c>
      <c r="BM618" s="181">
        <f ca="1">IF($D618&lt;&gt;"Serviço",0,IF(AND(AUTOEVENTO="Manual",$M618=1),0,IF(OFFSET(CRONOPLE!$F$14,$M618,BM$13)="",10^12,OFFSET(CRONOPLE!$F$14,$M618,BM$13))))</f>
        <v>0</v>
      </c>
      <c r="BN618" s="181">
        <f ca="1">IF($D618&lt;&gt;"Serviço",0,IF(AND(AUTOEVENTO="Manual",$M618=1),0,IF(OFFSET(CRONOPLE!$F$14,$M618,BN$13)="",10^12,OFFSET(CRONOPLE!$F$14,$M618,BN$13))))</f>
        <v>0</v>
      </c>
      <c r="BO618" s="181">
        <f ca="1">IF($D618&lt;&gt;"Serviço",0,IF(AND(AUTOEVENTO="Manual",$M618=1),0,IF(OFFSET(CRONOPLE!$F$14,$M618,BO$13)="",10^12,OFFSET(CRONOPLE!$F$14,$M618,BO$13))))</f>
        <v>0</v>
      </c>
      <c r="BP618" s="181">
        <f ca="1">IF($D618&lt;&gt;"Serviço",0,IF(AND(AUTOEVENTO="Manual",$M618=1),0,IF(OFFSET(CRONOPLE!$F$14,$M618,BP$13)="",10^12,OFFSET(CRONOPLE!$F$14,$M618,BP$13))))</f>
        <v>0</v>
      </c>
      <c r="BQ618" s="181">
        <f ca="1">IF($D618&lt;&gt;"Serviço",0,IF(AND(AUTOEVENTO="Manual",$M618=1),0,IF(OFFSET(CRONOPLE!$F$14,$M618,BQ$13)="",10^12,OFFSET(CRONOPLE!$F$14,$M618,BQ$13))))</f>
        <v>0</v>
      </c>
      <c r="BR618" s="181">
        <f ca="1">IF($D618&lt;&gt;"Serviço",0,IF(AND(AUTOEVENTO="Manual",$M618=1),0,IF(OFFSET(CRONOPLE!$F$14,$M618,BR$13)="",10^12,OFFSET(CRONOPLE!$F$14,$M618,BR$13))))</f>
        <v>0</v>
      </c>
      <c r="BS618" s="181">
        <f ca="1">IF($D618&lt;&gt;"Serviço",0,IF(AND(AUTOEVENTO="Manual",$M618=1),0,IF(OFFSET(CRONOPLE!$F$14,$M618,BS$13)="",10^12,OFFSET(CRONOPLE!$F$14,$M618,BS$13))))</f>
        <v>0</v>
      </c>
      <c r="BT618" s="181">
        <f ca="1">IF($D618&lt;&gt;"Serviço",0,IF(AND(AUTOEVENTO="Manual",$M618=1),0,IF(OFFSET(CRONOPLE!$F$14,$M618,BT$13)="",10^12,OFFSET(CRONOPLE!$F$14,$M618,BT$13))))</f>
        <v>0</v>
      </c>
      <c r="BV618" s="182">
        <f ca="1">IF($D618&lt;&gt;"Serviço",0,IF(OR(AND(AUTOEVENTO="Manual",$M618=1),$M618&gt;(ROW(PLE.lastrow)-ROW(PLE.firstrow))),0,IF(OFFSET(PLE!$G$14,$M618,BV$13)="",10^12,OFFSET(PLE!$G$14,$M618,BV$13))))</f>
        <v>0</v>
      </c>
      <c r="BW618" s="182">
        <f ca="1">IF($D618&lt;&gt;"Serviço",0,IF(OR(AND(AUTOEVENTO="Manual",$M618=1),$M618&gt;(ROW(PLE.lastrow)-ROW(PLE.firstrow))),0,IF(OFFSET(PLE!$G$14,$M618,BW$13)="",10^12,OFFSET(PLE!$G$14,$M618,BW$13))))</f>
        <v>0</v>
      </c>
      <c r="BX618" s="182">
        <f ca="1">IF($D618&lt;&gt;"Serviço",0,IF(OR(AND(AUTOEVENTO="Manual",$M618=1),$M618&gt;(ROW(PLE.lastrow)-ROW(PLE.firstrow))),0,IF(OFFSET(PLE!$G$14,$M618,BX$13)="",10^12,OFFSET(PLE!$G$14,$M618,BX$13))))</f>
        <v>0</v>
      </c>
      <c r="BY618" s="182">
        <f ca="1">IF($D618&lt;&gt;"Serviço",0,IF(OR(AND(AUTOEVENTO="Manual",$M618=1),$M618&gt;(ROW(PLE.lastrow)-ROW(PLE.firstrow))),0,IF(OFFSET(PLE!$G$14,$M618,BY$13)="",10^12,OFFSET(PLE!$G$14,$M618,BY$13))))</f>
        <v>0</v>
      </c>
      <c r="BZ618" s="182">
        <f ca="1">IF($D618&lt;&gt;"Serviço",0,IF(OR(AND(AUTOEVENTO="Manual",$M618=1),$M618&gt;(ROW(PLE.lastrow)-ROW(PLE.firstrow))),0,IF(OFFSET(PLE!$G$14,$M618,BZ$13)="",10^12,OFFSET(PLE!$G$14,$M618,BZ$13))))</f>
        <v>0</v>
      </c>
      <c r="CA618" s="182">
        <f ca="1">IF($D618&lt;&gt;"Serviço",0,IF(OR(AND(AUTOEVENTO="Manual",$M618=1),$M618&gt;(ROW(PLE.lastrow)-ROW(PLE.firstrow))),0,IF(OFFSET(PLE!$G$14,$M618,CA$13)="",10^12,OFFSET(PLE!$G$14,$M618,CA$13))))</f>
        <v>0</v>
      </c>
      <c r="CB618" s="182">
        <f ca="1">IF($D618&lt;&gt;"Serviço",0,IF(OR(AND(AUTOEVENTO="Manual",$M618=1),$M618&gt;(ROW(PLE.lastrow)-ROW(PLE.firstrow))),0,IF(OFFSET(PLE!$G$14,$M618,CB$13)="",10^12,OFFSET(PLE!$G$14,$M618,CB$13))))</f>
        <v>0</v>
      </c>
      <c r="CC618" s="182">
        <f ca="1">IF($D618&lt;&gt;"Serviço",0,IF(OR(AND(AUTOEVENTO="Manual",$M618=1),$M618&gt;(ROW(PLE.lastrow)-ROW(PLE.firstrow))),0,IF(OFFSET(PLE!$G$14,$M618,CC$13)="",10^12,OFFSET(PLE!$G$14,$M618,CC$13))))</f>
        <v>0</v>
      </c>
      <c r="CD618" s="182">
        <f ca="1">IF($D618&lt;&gt;"Serviço",0,IF(OR(AND(AUTOEVENTO="Manual",$M618=1),$M618&gt;(ROW(PLE.lastrow)-ROW(PLE.firstrow))),0,IF(OFFSET(PLE!$G$14,$M618,CD$13)="",10^12,OFFSET(PLE!$G$14,$M618,CD$13))))</f>
        <v>0</v>
      </c>
      <c r="CE618" s="182">
        <f ca="1">IF($D618&lt;&gt;"Serviço",0,IF(OR(AND(AUTOEVENTO="Manual",$M618=1),$M618&gt;(ROW(PLE.lastrow)-ROW(PLE.firstrow))),0,IF(OFFSET(PLE!$G$14,$M618,CE$13)="",10^12,OFFSET(PLE!$G$14,$M618,CE$13))))</f>
        <v>0</v>
      </c>
      <c r="CF618" s="182">
        <f ca="1">IF($D618&lt;&gt;"Serviço",0,IF(OR(AND(AUTOEVENTO="Manual",$M618=1),$M618&gt;(ROW(PLE.lastrow)-ROW(PLE.firstrow))),0,IF(OFFSET(PLE!$G$14,$M618,CF$13)="",10^12,OFFSET(PLE!$G$14,$M618,CF$13))))</f>
        <v>0</v>
      </c>
      <c r="CG618" s="182">
        <f ca="1">IF($D618&lt;&gt;"Serviço",0,IF(OR(AND(AUTOEVENTO="Manual",$M618=1),$M618&gt;(ROW(PLE.lastrow)-ROW(PLE.firstrow))),0,IF(OFFSET(PLE!$G$14,$M618,CG$13)="",10^12,OFFSET(PLE!$G$14,$M618,CG$13))))</f>
        <v>0</v>
      </c>
      <c r="CH618" s="182">
        <f ca="1">IF($D618&lt;&gt;"Serviço",0,IF(OR(AND(AUTOEVENTO="Manual",$M618=1),$M618&gt;(ROW(PLE.lastrow)-ROW(PLE.firstrow))),0,IF(OFFSET(PLE!$G$14,$M618,CH$13)="",10^12,OFFSET(PLE!$G$14,$M618,CH$13))))</f>
        <v>0</v>
      </c>
      <c r="CI618" s="182">
        <f ca="1">IF($D618&lt;&gt;"Serviço",0,IF(OR(AND(AUTOEVENTO="Manual",$M618=1),$M618&gt;(ROW(PLE.lastrow)-ROW(PLE.firstrow))),0,IF(OFFSET(PLE!$G$14,$M618,CI$13)="",10^12,OFFSET(PLE!$G$14,$M618,CI$13))))</f>
        <v>0</v>
      </c>
      <c r="CJ618" s="182">
        <f ca="1">IF($D618&lt;&gt;"Serviço",0,IF(OR(AND(AUTOEVENTO="Manual",$M618=1),$M618&gt;(ROW(PLE.lastrow)-ROW(PLE.firstrow))),0,IF(OFFSET(PLE!$G$14,$M618,CJ$13)="",10^12,OFFSET(PLE!$G$14,$M618,CJ$13))))</f>
        <v>0</v>
      </c>
      <c r="CK618" s="182">
        <f ca="1">IF($D618&lt;&gt;"Serviço",0,IF(OR(AND(AUTOEVENTO="Manual",$M618=1),$M618&gt;(ROW(PLE.lastrow)-ROW(PLE.firstrow))),0,IF(OFFSET(PLE!$G$14,$M618,CK$13)="",10^12,OFFSET(PLE!$G$14,$M618,CK$13))))</f>
        <v>0</v>
      </c>
      <c r="CL618" s="182">
        <f ca="1">IF($D618&lt;&gt;"Serviço",0,IF(OR(AND(AUTOEVENTO="Manual",$M618=1),$M618&gt;(ROW(PLE.lastrow)-ROW(PLE.firstrow))),0,IF(OFFSET(PLE!$G$14,$M618,CL$13)="",10^12,OFFSET(PLE!$G$14,$M618,CL$13))))</f>
        <v>0</v>
      </c>
      <c r="CM618" s="182">
        <f ca="1">IF($D618&lt;&gt;"Serviço",0,IF(OR(AND(AUTOEVENTO="Manual",$M618=1),$M618&gt;(ROW(PLE.lastrow)-ROW(PLE.firstrow))),0,IF(OFFSET(PLE!$G$14,$M618,CM$13)="",10^12,OFFSET(PLE!$G$14,$M618,CM$13))))</f>
        <v>0</v>
      </c>
    </row>
    <row r="619" spans="1:91" ht="38.25" x14ac:dyDescent="0.2">
      <c r="A619" s="7" t="str">
        <f t="shared" ca="1" si="18"/>
        <v>603</v>
      </c>
      <c r="B619" s="7" t="str">
        <f ca="1">OFFSET(ORÇAMENTO!C$15,ROW(B619)-ROW(B$15),0)</f>
        <v>S</v>
      </c>
      <c r="C619" s="7" t="str">
        <f ca="1">OFFSET(ORÇAMENTO!L$15,ROW(C619)-ROW(C$15),0)</f>
        <v/>
      </c>
      <c r="D619" s="118" t="str">
        <f ca="1">OFFSET(ORÇAMENTO!N$15,ROW(D619)-ROW(D$15),0)</f>
        <v>Serviço</v>
      </c>
      <c r="E619" s="119" t="str">
        <f ca="1">OFFSET(ORÇAMENTO!O$15,ROW(E619)-ROW(E$15),0)</f>
        <v>-</v>
      </c>
      <c r="F619" s="172" t="str">
        <f ca="1">OFFSET(ORÇAMENTO!R$15,ROW(F619)-ROW(F$15),0)</f>
        <v>(abra o arquivo 'Referência 06-2024.xlsm)</v>
      </c>
      <c r="G619" s="173" t="str">
        <f ca="1">IF($D619&lt;&gt;"Serviço","",OFFSET(ORÇAMENTO!S$15,ROW(G619)-ROW(G$15),0))</f>
        <v>-</v>
      </c>
      <c r="H619" s="124">
        <f ca="1">IF($D619&lt;&gt;"Serviço",0,IF(ACOMPANHAMENTO="BM",ROUND(OFFSET(ORÇAMENTO!AJ$15,ROW(H619)-ROW(H$15),0),15-13*ORÇAMENTO!$AF$7),SUMPRODUCT(($Q$12:$AI$12&lt;&gt;"")*ROUND($Q619:$AI619,15-13*ORÇAMENTO!$AF$7))))</f>
        <v>28</v>
      </c>
      <c r="I619" s="561" t="s">
        <v>1107</v>
      </c>
      <c r="K619" s="174"/>
      <c r="L619" s="175" t="s">
        <v>255</v>
      </c>
      <c r="M619" s="176">
        <f ca="1">IF($D619&lt;&gt;"Serviço","",IF(AUTOEVENTO="manual",$A619,IF(ISERROR(MATCH($A619,$A$15:OFFSET($A619,-1,0),0)),MAX($M$15:OFFSET(M619,-1,0))+1,INDEX($M$15:OFFSET(M619,-1,0),MATCH($A619,$A$15:OFFSET($A619,-1,0),0)))))</f>
        <v>65</v>
      </c>
      <c r="N619" s="177" t="str">
        <f ca="1">IF($D619&lt;&gt;"Serviço","",IF(AUTOEVENTO="Manual",IF($A619=0,"&lt;-- defina o número do agrupador",OFFSET(EVENTOS!$D$14,$A619,0)),OFFSET($F$15,$A619,0)))</f>
        <v>INSTALAÇÕES DE CABEAMENTO ESTRUTURADO - ACESSÓRIOS DE CABEAMENTO</v>
      </c>
      <c r="O619" s="178"/>
      <c r="Q619" s="178">
        <v>28</v>
      </c>
      <c r="R619" s="179"/>
      <c r="S619" s="179"/>
      <c r="T619" s="179"/>
      <c r="U619" s="179"/>
      <c r="V619" s="179"/>
      <c r="W619" s="179"/>
      <c r="X619" s="179"/>
      <c r="Y619" s="179"/>
      <c r="Z619" s="180"/>
      <c r="AA619" s="179"/>
      <c r="AB619" s="179"/>
      <c r="AC619" s="179"/>
      <c r="AD619" s="179"/>
      <c r="AE619" s="179"/>
      <c r="AF619" s="179"/>
      <c r="AG619" s="179"/>
      <c r="AH619" s="180"/>
      <c r="AJ619" s="544">
        <f ca="1">IF(AND($D619="Serviço",AJ$12&lt;&gt;0,$H619&gt;0,OR(AUTOEVENTO&lt;&gt;"manual",$M619&lt;&gt;1)),
IF(Import.TipoArredondamento&lt;&gt;"TransfereGOV",
ROUND(OFFSET($P619,0,AJ$13),15-13*ORÇAMENTO!$AF$7)/$H619*OFFSET(ORÇAMENTO!$X$15,ROW(AJ619)-ROW(AJ$15),0),
ROUND(ROUND(OFFSET($P619,0,AJ$13),15-13*ORÇAMENTO!$AF$7)*OFFSET(ORÇAMENTO!$W$15,ROW(AJ619)-ROW(AJ$15),0),15-13*ORÇAMENTO!$AF$11)),0)</f>
        <v>0</v>
      </c>
      <c r="AK619" s="545">
        <f ca="1">IF(AND($D619="Serviço",AK$12&lt;&gt;0,$H619&gt;0,OR(AUTOEVENTO&lt;&gt;"manual",$M619&lt;&gt;1)),
IF(Import.TipoArredondamento&lt;&gt;"TransfereGOV",
ROUND(OFFSET($P619,0,AK$13),15-13*ORÇAMENTO!$AF$7)/$H619*OFFSET(ORÇAMENTO!$X$15,ROW(AK619)-ROW(AK$15),0),
ROUND(ROUND(OFFSET($P619,0,AK$13),15-13*ORÇAMENTO!$AF$7)*OFFSET(ORÇAMENTO!$W$15,ROW(AK619)-ROW(AK$15),0),15-13*ORÇAMENTO!$AF$11)),0)</f>
        <v>0</v>
      </c>
      <c r="AL619" s="545">
        <f ca="1">IF(AND($D619="Serviço",AL$12&lt;&gt;0,$H619&gt;0,OR(AUTOEVENTO&lt;&gt;"manual",$M619&lt;&gt;1)),
IF(Import.TipoArredondamento&lt;&gt;"TransfereGOV",
ROUND(OFFSET($P619,0,AL$13),15-13*ORÇAMENTO!$AF$7)/$H619*OFFSET(ORÇAMENTO!$X$15,ROW(AL619)-ROW(AL$15),0),
ROUND(ROUND(OFFSET($P619,0,AL$13),15-13*ORÇAMENTO!$AF$7)*OFFSET(ORÇAMENTO!$W$15,ROW(AL619)-ROW(AL$15),0),15-13*ORÇAMENTO!$AF$11)),0)</f>
        <v>0</v>
      </c>
      <c r="AM619" s="545">
        <f ca="1">IF(AND($D619="Serviço",AM$12&lt;&gt;0,$H619&gt;0,OR(AUTOEVENTO&lt;&gt;"manual",$M619&lt;&gt;1)),
IF(Import.TipoArredondamento&lt;&gt;"TransfereGOV",
ROUND(OFFSET($P619,0,AM$13),15-13*ORÇAMENTO!$AF$7)/$H619*OFFSET(ORÇAMENTO!$X$15,ROW(AM619)-ROW(AM$15),0),
ROUND(ROUND(OFFSET($P619,0,AM$13),15-13*ORÇAMENTO!$AF$7)*OFFSET(ORÇAMENTO!$W$15,ROW(AM619)-ROW(AM$15),0),15-13*ORÇAMENTO!$AF$11)),0)</f>
        <v>0</v>
      </c>
      <c r="AN619" s="545">
        <f ca="1">IF(AND($D619="Serviço",AN$12&lt;&gt;0,$H619&gt;0,OR(AUTOEVENTO&lt;&gt;"manual",$M619&lt;&gt;1)),
IF(Import.TipoArredondamento&lt;&gt;"TransfereGOV",
ROUND(OFFSET($P619,0,AN$13),15-13*ORÇAMENTO!$AF$7)/$H619*OFFSET(ORÇAMENTO!$X$15,ROW(AN619)-ROW(AN$15),0),
ROUND(ROUND(OFFSET($P619,0,AN$13),15-13*ORÇAMENTO!$AF$7)*OFFSET(ORÇAMENTO!$W$15,ROW(AN619)-ROW(AN$15),0),15-13*ORÇAMENTO!$AF$11)),0)</f>
        <v>0</v>
      </c>
      <c r="AO619" s="545">
        <f ca="1">IF(AND($D619="Serviço",AO$12&lt;&gt;0,$H619&gt;0,OR(AUTOEVENTO&lt;&gt;"manual",$M619&lt;&gt;1)),
IF(Import.TipoArredondamento&lt;&gt;"TransfereGOV",
ROUND(OFFSET($P619,0,AO$13),15-13*ORÇAMENTO!$AF$7)/$H619*OFFSET(ORÇAMENTO!$X$15,ROW(AO619)-ROW(AO$15),0),
ROUND(ROUND(OFFSET($P619,0,AO$13),15-13*ORÇAMENTO!$AF$7)*OFFSET(ORÇAMENTO!$W$15,ROW(AO619)-ROW(AO$15),0),15-13*ORÇAMENTO!$AF$11)),0)</f>
        <v>0</v>
      </c>
      <c r="AP619" s="545">
        <f ca="1">IF(AND($D619="Serviço",AP$12&lt;&gt;0,$H619&gt;0,OR(AUTOEVENTO&lt;&gt;"manual",$M619&lt;&gt;1)),
IF(Import.TipoArredondamento&lt;&gt;"TransfereGOV",
ROUND(OFFSET($P619,0,AP$13),15-13*ORÇAMENTO!$AF$7)/$H619*OFFSET(ORÇAMENTO!$X$15,ROW(AP619)-ROW(AP$15),0),
ROUND(ROUND(OFFSET($P619,0,AP$13),15-13*ORÇAMENTO!$AF$7)*OFFSET(ORÇAMENTO!$W$15,ROW(AP619)-ROW(AP$15),0),15-13*ORÇAMENTO!$AF$11)),0)</f>
        <v>0</v>
      </c>
      <c r="AQ619" s="545">
        <f ca="1">IF(AND($D619="Serviço",AQ$12&lt;&gt;0,$H619&gt;0,OR(AUTOEVENTO&lt;&gt;"manual",$M619&lt;&gt;1)),
IF(Import.TipoArredondamento&lt;&gt;"TransfereGOV",
ROUND(OFFSET($P619,0,AQ$13),15-13*ORÇAMENTO!$AF$7)/$H619*OFFSET(ORÇAMENTO!$X$15,ROW(AQ619)-ROW(AQ$15),0),
ROUND(ROUND(OFFSET($P619,0,AQ$13),15-13*ORÇAMENTO!$AF$7)*OFFSET(ORÇAMENTO!$W$15,ROW(AQ619)-ROW(AQ$15),0),15-13*ORÇAMENTO!$AF$11)),0)</f>
        <v>0</v>
      </c>
      <c r="AR619" s="545">
        <f ca="1">IF(AND($D619="Serviço",AR$12&lt;&gt;0,$H619&gt;0,OR(AUTOEVENTO&lt;&gt;"manual",$M619&lt;&gt;1)),
IF(Import.TipoArredondamento&lt;&gt;"TransfereGOV",
ROUND(OFFSET($P619,0,AR$13),15-13*ORÇAMENTO!$AF$7)/$H619*OFFSET(ORÇAMENTO!$X$15,ROW(AR619)-ROW(AR$15),0),
ROUND(ROUND(OFFSET($P619,0,AR$13),15-13*ORÇAMENTO!$AF$7)*OFFSET(ORÇAMENTO!$W$15,ROW(AR619)-ROW(AR$15),0),15-13*ORÇAMENTO!$AF$11)),0)</f>
        <v>0</v>
      </c>
      <c r="AS619" s="546">
        <f ca="1">IF(AND($D619="Serviço",AS$12&lt;&gt;0,$H619&gt;0,OR(AUTOEVENTO&lt;&gt;"manual",$M619&lt;&gt;1)),
IF(Import.TipoArredondamento&lt;&gt;"TransfereGOV",
ROUND(OFFSET($P619,0,AS$13),15-13*ORÇAMENTO!$AF$7)/$H619*OFFSET(ORÇAMENTO!$X$15,ROW(AS619)-ROW(AS$15),0),
ROUND(ROUND(OFFSET($P619,0,AS$13),15-13*ORÇAMENTO!$AF$7)*OFFSET(ORÇAMENTO!$W$15,ROW(AS619)-ROW(AS$15),0),15-13*ORÇAMENTO!$AF$11)),0)</f>
        <v>0</v>
      </c>
      <c r="AT619" s="545">
        <f ca="1">IF(AND($D619="Serviço",AT$12&lt;&gt;0,$H619&gt;0,OR(AUTOEVENTO&lt;&gt;"manual",$M619&lt;&gt;1)),
IF(Import.TipoArredondamento&lt;&gt;"TransfereGOV",
ROUND(OFFSET($P619,0,AT$13),15-13*ORÇAMENTO!$AF$7)/$H619*OFFSET(ORÇAMENTO!$X$15,ROW(AT619)-ROW(AT$15),0),
ROUND(ROUND(OFFSET($P619,0,AT$13),15-13*ORÇAMENTO!$AF$7)*OFFSET(ORÇAMENTO!$W$15,ROW(AT619)-ROW(AT$15),0),15-13*ORÇAMENTO!$AF$11)),0)</f>
        <v>0</v>
      </c>
      <c r="AU619" s="545">
        <f ca="1">IF(AND($D619="Serviço",AU$12&lt;&gt;0,$H619&gt;0,OR(AUTOEVENTO&lt;&gt;"manual",$M619&lt;&gt;1)),
IF(Import.TipoArredondamento&lt;&gt;"TransfereGOV",
ROUND(OFFSET($P619,0,AU$13),15-13*ORÇAMENTO!$AF$7)/$H619*OFFSET(ORÇAMENTO!$X$15,ROW(AU619)-ROW(AU$15),0),
ROUND(ROUND(OFFSET($P619,0,AU$13),15-13*ORÇAMENTO!$AF$7)*OFFSET(ORÇAMENTO!$W$15,ROW(AU619)-ROW(AU$15),0),15-13*ORÇAMENTO!$AF$11)),0)</f>
        <v>0</v>
      </c>
      <c r="AV619" s="545">
        <f ca="1">IF(AND($D619="Serviço",AV$12&lt;&gt;0,$H619&gt;0,OR(AUTOEVENTO&lt;&gt;"manual",$M619&lt;&gt;1)),
IF(Import.TipoArredondamento&lt;&gt;"TransfereGOV",
ROUND(OFFSET($P619,0,AV$13),15-13*ORÇAMENTO!$AF$7)/$H619*OFFSET(ORÇAMENTO!$X$15,ROW(AV619)-ROW(AV$15),0),
ROUND(ROUND(OFFSET($P619,0,AV$13),15-13*ORÇAMENTO!$AF$7)*OFFSET(ORÇAMENTO!$W$15,ROW(AV619)-ROW(AV$15),0),15-13*ORÇAMENTO!$AF$11)),0)</f>
        <v>0</v>
      </c>
      <c r="AW619" s="545">
        <f ca="1">IF(AND($D619="Serviço",AW$12&lt;&gt;0,$H619&gt;0,OR(AUTOEVENTO&lt;&gt;"manual",$M619&lt;&gt;1)),
IF(Import.TipoArredondamento&lt;&gt;"TransfereGOV",
ROUND(OFFSET($P619,0,AW$13),15-13*ORÇAMENTO!$AF$7)/$H619*OFFSET(ORÇAMENTO!$X$15,ROW(AW619)-ROW(AW$15),0),
ROUND(ROUND(OFFSET($P619,0,AW$13),15-13*ORÇAMENTO!$AF$7)*OFFSET(ORÇAMENTO!$W$15,ROW(AW619)-ROW(AW$15),0),15-13*ORÇAMENTO!$AF$11)),0)</f>
        <v>0</v>
      </c>
      <c r="AX619" s="545">
        <f ca="1">IF(AND($D619="Serviço",AX$12&lt;&gt;0,$H619&gt;0,OR(AUTOEVENTO&lt;&gt;"manual",$M619&lt;&gt;1)),
IF(Import.TipoArredondamento&lt;&gt;"TransfereGOV",
ROUND(OFFSET($P619,0,AX$13),15-13*ORÇAMENTO!$AF$7)/$H619*OFFSET(ORÇAMENTO!$X$15,ROW(AX619)-ROW(AX$15),0),
ROUND(ROUND(OFFSET($P619,0,AX$13),15-13*ORÇAMENTO!$AF$7)*OFFSET(ORÇAMENTO!$W$15,ROW(AX619)-ROW(AX$15),0),15-13*ORÇAMENTO!$AF$11)),0)</f>
        <v>0</v>
      </c>
      <c r="AY619" s="545">
        <f ca="1">IF(AND($D619="Serviço",AY$12&lt;&gt;0,$H619&gt;0,OR(AUTOEVENTO&lt;&gt;"manual",$M619&lt;&gt;1)),
IF(Import.TipoArredondamento&lt;&gt;"TransfereGOV",
ROUND(OFFSET($P619,0,AY$13),15-13*ORÇAMENTO!$AF$7)/$H619*OFFSET(ORÇAMENTO!$X$15,ROW(AY619)-ROW(AY$15),0),
ROUND(ROUND(OFFSET($P619,0,AY$13),15-13*ORÇAMENTO!$AF$7)*OFFSET(ORÇAMENTO!$W$15,ROW(AY619)-ROW(AY$15),0),15-13*ORÇAMENTO!$AF$11)),0)</f>
        <v>0</v>
      </c>
      <c r="AZ619" s="545">
        <f ca="1">IF(AND($D619="Serviço",AZ$12&lt;&gt;0,$H619&gt;0,OR(AUTOEVENTO&lt;&gt;"manual",$M619&lt;&gt;1)),
IF(Import.TipoArredondamento&lt;&gt;"TransfereGOV",
ROUND(OFFSET($P619,0,AZ$13),15-13*ORÇAMENTO!$AF$7)/$H619*OFFSET(ORÇAMENTO!$X$15,ROW(AZ619)-ROW(AZ$15),0),
ROUND(ROUND(OFFSET($P619,0,AZ$13),15-13*ORÇAMENTO!$AF$7)*OFFSET(ORÇAMENTO!$W$15,ROW(AZ619)-ROW(AZ$15),0),15-13*ORÇAMENTO!$AF$11)),0)</f>
        <v>0</v>
      </c>
      <c r="BA619" s="546">
        <f ca="1">IF(AND($D619="Serviço",BA$12&lt;&gt;0,$H619&gt;0,OR(AUTOEVENTO&lt;&gt;"manual",$M619&lt;&gt;1)),
IF(Import.TipoArredondamento&lt;&gt;"TransfereGOV",
ROUND(OFFSET($P619,0,BA$13),15-13*ORÇAMENTO!$AF$7)/$H619*OFFSET(ORÇAMENTO!$X$15,ROW(BA619)-ROW(BA$15),0),
ROUND(ROUND(OFFSET($P619,0,BA$13),15-13*ORÇAMENTO!$AF$7)*OFFSET(ORÇAMENTO!$W$15,ROW(BA619)-ROW(BA$15),0),15-13*ORÇAMENTO!$AF$11)),0)</f>
        <v>0</v>
      </c>
      <c r="BC619" s="181">
        <f ca="1">IF($D619&lt;&gt;"Serviço",0,IF(AND(AUTOEVENTO="Manual",$M619=1),0,IF(OFFSET(CRONOPLE!$F$14,$M619,BC$13)="",10^12,OFFSET(CRONOPLE!$F$14,$M619,BC$13))))</f>
        <v>11</v>
      </c>
      <c r="BD619" s="181">
        <f ca="1">IF($D619&lt;&gt;"Serviço",0,IF(AND(AUTOEVENTO="Manual",$M619=1),0,IF(OFFSET(CRONOPLE!$F$14,$M619,BD$13)="",10^12,OFFSET(CRONOPLE!$F$14,$M619,BD$13))))</f>
        <v>1000000000000</v>
      </c>
      <c r="BE619" s="181">
        <f ca="1">IF($D619&lt;&gt;"Serviço",0,IF(AND(AUTOEVENTO="Manual",$M619=1),0,IF(OFFSET(CRONOPLE!$F$14,$M619,BE$13)="",10^12,OFFSET(CRONOPLE!$F$14,$M619,BE$13))))</f>
        <v>1000000000000</v>
      </c>
      <c r="BF619" s="181">
        <f ca="1">IF($D619&lt;&gt;"Serviço",0,IF(AND(AUTOEVENTO="Manual",$M619=1),0,IF(OFFSET(CRONOPLE!$F$14,$M619,BF$13)="",10^12,OFFSET(CRONOPLE!$F$14,$M619,BF$13))))</f>
        <v>1000000000000</v>
      </c>
      <c r="BG619" s="181">
        <f ca="1">IF($D619&lt;&gt;"Serviço",0,IF(AND(AUTOEVENTO="Manual",$M619=1),0,IF(OFFSET(CRONOPLE!$F$14,$M619,BG$13)="",10^12,OFFSET(CRONOPLE!$F$14,$M619,BG$13))))</f>
        <v>1000000000000</v>
      </c>
      <c r="BH619" s="181">
        <f ca="1">IF($D619&lt;&gt;"Serviço",0,IF(AND(AUTOEVENTO="Manual",$M619=1),0,IF(OFFSET(CRONOPLE!$F$14,$M619,BH$13)="",10^12,OFFSET(CRONOPLE!$F$14,$M619,BH$13))))</f>
        <v>1000000000000</v>
      </c>
      <c r="BI619" s="181">
        <f ca="1">IF($D619&lt;&gt;"Serviço",0,IF(AND(AUTOEVENTO="Manual",$M619=1),0,IF(OFFSET(CRONOPLE!$F$14,$M619,BI$13)="",10^12,OFFSET(CRONOPLE!$F$14,$M619,BI$13))))</f>
        <v>1000000000000</v>
      </c>
      <c r="BJ619" s="181">
        <f ca="1">IF($D619&lt;&gt;"Serviço",0,IF(AND(AUTOEVENTO="Manual",$M619=1),0,IF(OFFSET(CRONOPLE!$F$14,$M619,BJ$13)="",10^12,OFFSET(CRONOPLE!$F$14,$M619,BJ$13))))</f>
        <v>1000000000000</v>
      </c>
      <c r="BK619" s="181">
        <f ca="1">IF($D619&lt;&gt;"Serviço",0,IF(AND(AUTOEVENTO="Manual",$M619=1),0,IF(OFFSET(CRONOPLE!$F$14,$M619,BK$13)="",10^12,OFFSET(CRONOPLE!$F$14,$M619,BK$13))))</f>
        <v>1000000000000</v>
      </c>
      <c r="BL619" s="181">
        <f ca="1">IF($D619&lt;&gt;"Serviço",0,IF(AND(AUTOEVENTO="Manual",$M619=1),0,IF(OFFSET(CRONOPLE!$F$14,$M619,BL$13)="",10^12,OFFSET(CRONOPLE!$F$14,$M619,BL$13))))</f>
        <v>1000000000000</v>
      </c>
      <c r="BM619" s="181">
        <f ca="1">IF($D619&lt;&gt;"Serviço",0,IF(AND(AUTOEVENTO="Manual",$M619=1),0,IF(OFFSET(CRONOPLE!$F$14,$M619,BM$13)="",10^12,OFFSET(CRONOPLE!$F$14,$M619,BM$13))))</f>
        <v>1000000000000</v>
      </c>
      <c r="BN619" s="181">
        <f ca="1">IF($D619&lt;&gt;"Serviço",0,IF(AND(AUTOEVENTO="Manual",$M619=1),0,IF(OFFSET(CRONOPLE!$F$14,$M619,BN$13)="",10^12,OFFSET(CRONOPLE!$F$14,$M619,BN$13))))</f>
        <v>1000000000000</v>
      </c>
      <c r="BO619" s="181">
        <f ca="1">IF($D619&lt;&gt;"Serviço",0,IF(AND(AUTOEVENTO="Manual",$M619=1),0,IF(OFFSET(CRONOPLE!$F$14,$M619,BO$13)="",10^12,OFFSET(CRONOPLE!$F$14,$M619,BO$13))))</f>
        <v>1000000000000</v>
      </c>
      <c r="BP619" s="181">
        <f ca="1">IF($D619&lt;&gt;"Serviço",0,IF(AND(AUTOEVENTO="Manual",$M619=1),0,IF(OFFSET(CRONOPLE!$F$14,$M619,BP$13)="",10^12,OFFSET(CRONOPLE!$F$14,$M619,BP$13))))</f>
        <v>1000000000000</v>
      </c>
      <c r="BQ619" s="181">
        <f ca="1">IF($D619&lt;&gt;"Serviço",0,IF(AND(AUTOEVENTO="Manual",$M619=1),0,IF(OFFSET(CRONOPLE!$F$14,$M619,BQ$13)="",10^12,OFFSET(CRONOPLE!$F$14,$M619,BQ$13))))</f>
        <v>1000000000000</v>
      </c>
      <c r="BR619" s="181">
        <f ca="1">IF($D619&lt;&gt;"Serviço",0,IF(AND(AUTOEVENTO="Manual",$M619=1),0,IF(OFFSET(CRONOPLE!$F$14,$M619,BR$13)="",10^12,OFFSET(CRONOPLE!$F$14,$M619,BR$13))))</f>
        <v>1000000000000</v>
      </c>
      <c r="BS619" s="181">
        <f ca="1">IF($D619&lt;&gt;"Serviço",0,IF(AND(AUTOEVENTO="Manual",$M619=1),0,IF(OFFSET(CRONOPLE!$F$14,$M619,BS$13)="",10^12,OFFSET(CRONOPLE!$F$14,$M619,BS$13))))</f>
        <v>1000000000000</v>
      </c>
      <c r="BT619" s="181">
        <f ca="1">IF($D619&lt;&gt;"Serviço",0,IF(AND(AUTOEVENTO="Manual",$M619=1),0,IF(OFFSET(CRONOPLE!$F$14,$M619,BT$13)="",10^12,OFFSET(CRONOPLE!$F$14,$M619,BT$13))))</f>
        <v>1000000000000</v>
      </c>
      <c r="BV619" s="182">
        <f ca="1">IF($D619&lt;&gt;"Serviço",0,IF(OR(AND(AUTOEVENTO="Manual",$M619=1),$M619&gt;(ROW(PLE.lastrow)-ROW(PLE.firstrow))),0,IF(OFFSET(PLE!$G$14,$M619,BV$13)="",10^12,OFFSET(PLE!$G$14,$M619,BV$13))))</f>
        <v>1000000000000</v>
      </c>
      <c r="BW619" s="182">
        <f ca="1">IF($D619&lt;&gt;"Serviço",0,IF(OR(AND(AUTOEVENTO="Manual",$M619=1),$M619&gt;(ROW(PLE.lastrow)-ROW(PLE.firstrow))),0,IF(OFFSET(PLE!$G$14,$M619,BW$13)="",10^12,OFFSET(PLE!$G$14,$M619,BW$13))))</f>
        <v>1000000000000</v>
      </c>
      <c r="BX619" s="182">
        <f ca="1">IF($D619&lt;&gt;"Serviço",0,IF(OR(AND(AUTOEVENTO="Manual",$M619=1),$M619&gt;(ROW(PLE.lastrow)-ROW(PLE.firstrow))),0,IF(OFFSET(PLE!$G$14,$M619,BX$13)="",10^12,OFFSET(PLE!$G$14,$M619,BX$13))))</f>
        <v>1000000000000</v>
      </c>
      <c r="BY619" s="182">
        <f ca="1">IF($D619&lt;&gt;"Serviço",0,IF(OR(AND(AUTOEVENTO="Manual",$M619=1),$M619&gt;(ROW(PLE.lastrow)-ROW(PLE.firstrow))),0,IF(OFFSET(PLE!$G$14,$M619,BY$13)="",10^12,OFFSET(PLE!$G$14,$M619,BY$13))))</f>
        <v>1000000000000</v>
      </c>
      <c r="BZ619" s="182">
        <f ca="1">IF($D619&lt;&gt;"Serviço",0,IF(OR(AND(AUTOEVENTO="Manual",$M619=1),$M619&gt;(ROW(PLE.lastrow)-ROW(PLE.firstrow))),0,IF(OFFSET(PLE!$G$14,$M619,BZ$13)="",10^12,OFFSET(PLE!$G$14,$M619,BZ$13))))</f>
        <v>1000000000000</v>
      </c>
      <c r="CA619" s="182">
        <f ca="1">IF($D619&lt;&gt;"Serviço",0,IF(OR(AND(AUTOEVENTO="Manual",$M619=1),$M619&gt;(ROW(PLE.lastrow)-ROW(PLE.firstrow))),0,IF(OFFSET(PLE!$G$14,$M619,CA$13)="",10^12,OFFSET(PLE!$G$14,$M619,CA$13))))</f>
        <v>1000000000000</v>
      </c>
      <c r="CB619" s="182">
        <f ca="1">IF($D619&lt;&gt;"Serviço",0,IF(OR(AND(AUTOEVENTO="Manual",$M619=1),$M619&gt;(ROW(PLE.lastrow)-ROW(PLE.firstrow))),0,IF(OFFSET(PLE!$G$14,$M619,CB$13)="",10^12,OFFSET(PLE!$G$14,$M619,CB$13))))</f>
        <v>1000000000000</v>
      </c>
      <c r="CC619" s="182">
        <f ca="1">IF($D619&lt;&gt;"Serviço",0,IF(OR(AND(AUTOEVENTO="Manual",$M619=1),$M619&gt;(ROW(PLE.lastrow)-ROW(PLE.firstrow))),0,IF(OFFSET(PLE!$G$14,$M619,CC$13)="",10^12,OFFSET(PLE!$G$14,$M619,CC$13))))</f>
        <v>1000000000000</v>
      </c>
      <c r="CD619" s="182">
        <f ca="1">IF($D619&lt;&gt;"Serviço",0,IF(OR(AND(AUTOEVENTO="Manual",$M619=1),$M619&gt;(ROW(PLE.lastrow)-ROW(PLE.firstrow))),0,IF(OFFSET(PLE!$G$14,$M619,CD$13)="",10^12,OFFSET(PLE!$G$14,$M619,CD$13))))</f>
        <v>1000000000000</v>
      </c>
      <c r="CE619" s="182">
        <f ca="1">IF($D619&lt;&gt;"Serviço",0,IF(OR(AND(AUTOEVENTO="Manual",$M619=1),$M619&gt;(ROW(PLE.lastrow)-ROW(PLE.firstrow))),0,IF(OFFSET(PLE!$G$14,$M619,CE$13)="",10^12,OFFSET(PLE!$G$14,$M619,CE$13))))</f>
        <v>1000000000000</v>
      </c>
      <c r="CF619" s="182">
        <f ca="1">IF($D619&lt;&gt;"Serviço",0,IF(OR(AND(AUTOEVENTO="Manual",$M619=1),$M619&gt;(ROW(PLE.lastrow)-ROW(PLE.firstrow))),0,IF(OFFSET(PLE!$G$14,$M619,CF$13)="",10^12,OFFSET(PLE!$G$14,$M619,CF$13))))</f>
        <v>1000000000000</v>
      </c>
      <c r="CG619" s="182">
        <f ca="1">IF($D619&lt;&gt;"Serviço",0,IF(OR(AND(AUTOEVENTO="Manual",$M619=1),$M619&gt;(ROW(PLE.lastrow)-ROW(PLE.firstrow))),0,IF(OFFSET(PLE!$G$14,$M619,CG$13)="",10^12,OFFSET(PLE!$G$14,$M619,CG$13))))</f>
        <v>1000000000000</v>
      </c>
      <c r="CH619" s="182">
        <f ca="1">IF($D619&lt;&gt;"Serviço",0,IF(OR(AND(AUTOEVENTO="Manual",$M619=1),$M619&gt;(ROW(PLE.lastrow)-ROW(PLE.firstrow))),0,IF(OFFSET(PLE!$G$14,$M619,CH$13)="",10^12,OFFSET(PLE!$G$14,$M619,CH$13))))</f>
        <v>1000000000000</v>
      </c>
      <c r="CI619" s="182">
        <f ca="1">IF($D619&lt;&gt;"Serviço",0,IF(OR(AND(AUTOEVENTO="Manual",$M619=1),$M619&gt;(ROW(PLE.lastrow)-ROW(PLE.firstrow))),0,IF(OFFSET(PLE!$G$14,$M619,CI$13)="",10^12,OFFSET(PLE!$G$14,$M619,CI$13))))</f>
        <v>1000000000000</v>
      </c>
      <c r="CJ619" s="182">
        <f ca="1">IF($D619&lt;&gt;"Serviço",0,IF(OR(AND(AUTOEVENTO="Manual",$M619=1),$M619&gt;(ROW(PLE.lastrow)-ROW(PLE.firstrow))),0,IF(OFFSET(PLE!$G$14,$M619,CJ$13)="",10^12,OFFSET(PLE!$G$14,$M619,CJ$13))))</f>
        <v>1000000000000</v>
      </c>
      <c r="CK619" s="182">
        <f ca="1">IF($D619&lt;&gt;"Serviço",0,IF(OR(AND(AUTOEVENTO="Manual",$M619=1),$M619&gt;(ROW(PLE.lastrow)-ROW(PLE.firstrow))),0,IF(OFFSET(PLE!$G$14,$M619,CK$13)="",10^12,OFFSET(PLE!$G$14,$M619,CK$13))))</f>
        <v>1000000000000</v>
      </c>
      <c r="CL619" s="182">
        <f ca="1">IF($D619&lt;&gt;"Serviço",0,IF(OR(AND(AUTOEVENTO="Manual",$M619=1),$M619&gt;(ROW(PLE.lastrow)-ROW(PLE.firstrow))),0,IF(OFFSET(PLE!$G$14,$M619,CL$13)="",10^12,OFFSET(PLE!$G$14,$M619,CL$13))))</f>
        <v>1000000000000</v>
      </c>
      <c r="CM619" s="182">
        <f ca="1">IF($D619&lt;&gt;"Serviço",0,IF(OR(AND(AUTOEVENTO="Manual",$M619=1),$M619&gt;(ROW(PLE.lastrow)-ROW(PLE.firstrow))),0,IF(OFFSET(PLE!$G$14,$M619,CM$13)="",10^12,OFFSET(PLE!$G$14,$M619,CM$13))))</f>
        <v>1000000000000</v>
      </c>
    </row>
    <row r="620" spans="1:91" ht="38.25" x14ac:dyDescent="0.2">
      <c r="A620" s="7" t="str">
        <f t="shared" ca="1" si="18"/>
        <v>603</v>
      </c>
      <c r="B620" s="7" t="str">
        <f ca="1">OFFSET(ORÇAMENTO!C$15,ROW(B620)-ROW(B$15),0)</f>
        <v>S</v>
      </c>
      <c r="C620" s="7" t="str">
        <f ca="1">OFFSET(ORÇAMENTO!L$15,ROW(C620)-ROW(C$15),0)</f>
        <v/>
      </c>
      <c r="D620" s="118" t="str">
        <f ca="1">OFFSET(ORÇAMENTO!N$15,ROW(D620)-ROW(D$15),0)</f>
        <v>Serviço</v>
      </c>
      <c r="E620" s="119" t="str">
        <f ca="1">OFFSET(ORÇAMENTO!O$15,ROW(E620)-ROW(E$15),0)</f>
        <v>-</v>
      </c>
      <c r="F620" s="172" t="str">
        <f ca="1">OFFSET(ORÇAMENTO!R$15,ROW(F620)-ROW(F$15),0)</f>
        <v>(abra o arquivo 'Referência 06-2024.xlsm)</v>
      </c>
      <c r="G620" s="173" t="str">
        <f ca="1">IF($D620&lt;&gt;"Serviço","",OFFSET(ORÇAMENTO!S$15,ROW(G620)-ROW(G$15),0))</f>
        <v>-</v>
      </c>
      <c r="H620" s="124">
        <f ca="1">IF($D620&lt;&gt;"Serviço",0,IF(ACOMPANHAMENTO="BM",ROUND(OFFSET(ORÇAMENTO!AJ$15,ROW(H620)-ROW(H$15),0),15-13*ORÇAMENTO!$AF$7),SUMPRODUCT(($Q$12:$AI$12&lt;&gt;"")*ROUND($Q620:$AI620,15-13*ORÇAMENTO!$AF$7))))</f>
        <v>1</v>
      </c>
      <c r="I620" s="561" t="s">
        <v>1107</v>
      </c>
      <c r="K620" s="174"/>
      <c r="L620" s="175" t="s">
        <v>255</v>
      </c>
      <c r="M620" s="176">
        <f ca="1">IF($D620&lt;&gt;"Serviço","",IF(AUTOEVENTO="manual",$A620,IF(ISERROR(MATCH($A620,$A$15:OFFSET($A620,-1,0),0)),MAX($M$15:OFFSET(M620,-1,0))+1,INDEX($M$15:OFFSET(M620,-1,0),MATCH($A620,$A$15:OFFSET($A620,-1,0),0)))))</f>
        <v>65</v>
      </c>
      <c r="N620" s="177" t="str">
        <f ca="1">IF($D620&lt;&gt;"Serviço","",IF(AUTOEVENTO="Manual",IF($A620=0,"&lt;-- defina o número do agrupador",OFFSET(EVENTOS!$D$14,$A620,0)),OFFSET($F$15,$A620,0)))</f>
        <v>INSTALAÇÕES DE CABEAMENTO ESTRUTURADO - ACESSÓRIOS DE CABEAMENTO</v>
      </c>
      <c r="O620" s="178"/>
      <c r="Q620" s="178">
        <v>1</v>
      </c>
      <c r="R620" s="179"/>
      <c r="S620" s="179"/>
      <c r="T620" s="179"/>
      <c r="U620" s="179"/>
      <c r="V620" s="179"/>
      <c r="W620" s="179"/>
      <c r="X620" s="179"/>
      <c r="Y620" s="179"/>
      <c r="Z620" s="180"/>
      <c r="AA620" s="179"/>
      <c r="AB620" s="179"/>
      <c r="AC620" s="179"/>
      <c r="AD620" s="179"/>
      <c r="AE620" s="179"/>
      <c r="AF620" s="179"/>
      <c r="AG620" s="179"/>
      <c r="AH620" s="180"/>
      <c r="AJ620" s="544">
        <f ca="1">IF(AND($D620="Serviço",AJ$12&lt;&gt;0,$H620&gt;0,OR(AUTOEVENTO&lt;&gt;"manual",$M620&lt;&gt;1)),
IF(Import.TipoArredondamento&lt;&gt;"TransfereGOV",
ROUND(OFFSET($P620,0,AJ$13),15-13*ORÇAMENTO!$AF$7)/$H620*OFFSET(ORÇAMENTO!$X$15,ROW(AJ620)-ROW(AJ$15),0),
ROUND(ROUND(OFFSET($P620,0,AJ$13),15-13*ORÇAMENTO!$AF$7)*OFFSET(ORÇAMENTO!$W$15,ROW(AJ620)-ROW(AJ$15),0),15-13*ORÇAMENTO!$AF$11)),0)</f>
        <v>0</v>
      </c>
      <c r="AK620" s="545">
        <f ca="1">IF(AND($D620="Serviço",AK$12&lt;&gt;0,$H620&gt;0,OR(AUTOEVENTO&lt;&gt;"manual",$M620&lt;&gt;1)),
IF(Import.TipoArredondamento&lt;&gt;"TransfereGOV",
ROUND(OFFSET($P620,0,AK$13),15-13*ORÇAMENTO!$AF$7)/$H620*OFFSET(ORÇAMENTO!$X$15,ROW(AK620)-ROW(AK$15),0),
ROUND(ROUND(OFFSET($P620,0,AK$13),15-13*ORÇAMENTO!$AF$7)*OFFSET(ORÇAMENTO!$W$15,ROW(AK620)-ROW(AK$15),0),15-13*ORÇAMENTO!$AF$11)),0)</f>
        <v>0</v>
      </c>
      <c r="AL620" s="545">
        <f ca="1">IF(AND($D620="Serviço",AL$12&lt;&gt;0,$H620&gt;0,OR(AUTOEVENTO&lt;&gt;"manual",$M620&lt;&gt;1)),
IF(Import.TipoArredondamento&lt;&gt;"TransfereGOV",
ROUND(OFFSET($P620,0,AL$13),15-13*ORÇAMENTO!$AF$7)/$H620*OFFSET(ORÇAMENTO!$X$15,ROW(AL620)-ROW(AL$15),0),
ROUND(ROUND(OFFSET($P620,0,AL$13),15-13*ORÇAMENTO!$AF$7)*OFFSET(ORÇAMENTO!$W$15,ROW(AL620)-ROW(AL$15),0),15-13*ORÇAMENTO!$AF$11)),0)</f>
        <v>0</v>
      </c>
      <c r="AM620" s="545">
        <f ca="1">IF(AND($D620="Serviço",AM$12&lt;&gt;0,$H620&gt;0,OR(AUTOEVENTO&lt;&gt;"manual",$M620&lt;&gt;1)),
IF(Import.TipoArredondamento&lt;&gt;"TransfereGOV",
ROUND(OFFSET($P620,0,AM$13),15-13*ORÇAMENTO!$AF$7)/$H620*OFFSET(ORÇAMENTO!$X$15,ROW(AM620)-ROW(AM$15),0),
ROUND(ROUND(OFFSET($P620,0,AM$13),15-13*ORÇAMENTO!$AF$7)*OFFSET(ORÇAMENTO!$W$15,ROW(AM620)-ROW(AM$15),0),15-13*ORÇAMENTO!$AF$11)),0)</f>
        <v>0</v>
      </c>
      <c r="AN620" s="545">
        <f ca="1">IF(AND($D620="Serviço",AN$12&lt;&gt;0,$H620&gt;0,OR(AUTOEVENTO&lt;&gt;"manual",$M620&lt;&gt;1)),
IF(Import.TipoArredondamento&lt;&gt;"TransfereGOV",
ROUND(OFFSET($P620,0,AN$13),15-13*ORÇAMENTO!$AF$7)/$H620*OFFSET(ORÇAMENTO!$X$15,ROW(AN620)-ROW(AN$15),0),
ROUND(ROUND(OFFSET($P620,0,AN$13),15-13*ORÇAMENTO!$AF$7)*OFFSET(ORÇAMENTO!$W$15,ROW(AN620)-ROW(AN$15),0),15-13*ORÇAMENTO!$AF$11)),0)</f>
        <v>0</v>
      </c>
      <c r="AO620" s="545">
        <f ca="1">IF(AND($D620="Serviço",AO$12&lt;&gt;0,$H620&gt;0,OR(AUTOEVENTO&lt;&gt;"manual",$M620&lt;&gt;1)),
IF(Import.TipoArredondamento&lt;&gt;"TransfereGOV",
ROUND(OFFSET($P620,0,AO$13),15-13*ORÇAMENTO!$AF$7)/$H620*OFFSET(ORÇAMENTO!$X$15,ROW(AO620)-ROW(AO$15),0),
ROUND(ROUND(OFFSET($P620,0,AO$13),15-13*ORÇAMENTO!$AF$7)*OFFSET(ORÇAMENTO!$W$15,ROW(AO620)-ROW(AO$15),0),15-13*ORÇAMENTO!$AF$11)),0)</f>
        <v>0</v>
      </c>
      <c r="AP620" s="545">
        <f ca="1">IF(AND($D620="Serviço",AP$12&lt;&gt;0,$H620&gt;0,OR(AUTOEVENTO&lt;&gt;"manual",$M620&lt;&gt;1)),
IF(Import.TipoArredondamento&lt;&gt;"TransfereGOV",
ROUND(OFFSET($P620,0,AP$13),15-13*ORÇAMENTO!$AF$7)/$H620*OFFSET(ORÇAMENTO!$X$15,ROW(AP620)-ROW(AP$15),0),
ROUND(ROUND(OFFSET($P620,0,AP$13),15-13*ORÇAMENTO!$AF$7)*OFFSET(ORÇAMENTO!$W$15,ROW(AP620)-ROW(AP$15),0),15-13*ORÇAMENTO!$AF$11)),0)</f>
        <v>0</v>
      </c>
      <c r="AQ620" s="545">
        <f ca="1">IF(AND($D620="Serviço",AQ$12&lt;&gt;0,$H620&gt;0,OR(AUTOEVENTO&lt;&gt;"manual",$M620&lt;&gt;1)),
IF(Import.TipoArredondamento&lt;&gt;"TransfereGOV",
ROUND(OFFSET($P620,0,AQ$13),15-13*ORÇAMENTO!$AF$7)/$H620*OFFSET(ORÇAMENTO!$X$15,ROW(AQ620)-ROW(AQ$15),0),
ROUND(ROUND(OFFSET($P620,0,AQ$13),15-13*ORÇAMENTO!$AF$7)*OFFSET(ORÇAMENTO!$W$15,ROW(AQ620)-ROW(AQ$15),0),15-13*ORÇAMENTO!$AF$11)),0)</f>
        <v>0</v>
      </c>
      <c r="AR620" s="545">
        <f ca="1">IF(AND($D620="Serviço",AR$12&lt;&gt;0,$H620&gt;0,OR(AUTOEVENTO&lt;&gt;"manual",$M620&lt;&gt;1)),
IF(Import.TipoArredondamento&lt;&gt;"TransfereGOV",
ROUND(OFFSET($P620,0,AR$13),15-13*ORÇAMENTO!$AF$7)/$H620*OFFSET(ORÇAMENTO!$X$15,ROW(AR620)-ROW(AR$15),0),
ROUND(ROUND(OFFSET($P620,0,AR$13),15-13*ORÇAMENTO!$AF$7)*OFFSET(ORÇAMENTO!$W$15,ROW(AR620)-ROW(AR$15),0),15-13*ORÇAMENTO!$AF$11)),0)</f>
        <v>0</v>
      </c>
      <c r="AS620" s="546">
        <f ca="1">IF(AND($D620="Serviço",AS$12&lt;&gt;0,$H620&gt;0,OR(AUTOEVENTO&lt;&gt;"manual",$M620&lt;&gt;1)),
IF(Import.TipoArredondamento&lt;&gt;"TransfereGOV",
ROUND(OFFSET($P620,0,AS$13),15-13*ORÇAMENTO!$AF$7)/$H620*OFFSET(ORÇAMENTO!$X$15,ROW(AS620)-ROW(AS$15),0),
ROUND(ROUND(OFFSET($P620,0,AS$13),15-13*ORÇAMENTO!$AF$7)*OFFSET(ORÇAMENTO!$W$15,ROW(AS620)-ROW(AS$15),0),15-13*ORÇAMENTO!$AF$11)),0)</f>
        <v>0</v>
      </c>
      <c r="AT620" s="545">
        <f ca="1">IF(AND($D620="Serviço",AT$12&lt;&gt;0,$H620&gt;0,OR(AUTOEVENTO&lt;&gt;"manual",$M620&lt;&gt;1)),
IF(Import.TipoArredondamento&lt;&gt;"TransfereGOV",
ROUND(OFFSET($P620,0,AT$13),15-13*ORÇAMENTO!$AF$7)/$H620*OFFSET(ORÇAMENTO!$X$15,ROW(AT620)-ROW(AT$15),0),
ROUND(ROUND(OFFSET($P620,0,AT$13),15-13*ORÇAMENTO!$AF$7)*OFFSET(ORÇAMENTO!$W$15,ROW(AT620)-ROW(AT$15),0),15-13*ORÇAMENTO!$AF$11)),0)</f>
        <v>0</v>
      </c>
      <c r="AU620" s="545">
        <f ca="1">IF(AND($D620="Serviço",AU$12&lt;&gt;0,$H620&gt;0,OR(AUTOEVENTO&lt;&gt;"manual",$M620&lt;&gt;1)),
IF(Import.TipoArredondamento&lt;&gt;"TransfereGOV",
ROUND(OFFSET($P620,0,AU$13),15-13*ORÇAMENTO!$AF$7)/$H620*OFFSET(ORÇAMENTO!$X$15,ROW(AU620)-ROW(AU$15),0),
ROUND(ROUND(OFFSET($P620,0,AU$13),15-13*ORÇAMENTO!$AF$7)*OFFSET(ORÇAMENTO!$W$15,ROW(AU620)-ROW(AU$15),0),15-13*ORÇAMENTO!$AF$11)),0)</f>
        <v>0</v>
      </c>
      <c r="AV620" s="545">
        <f ca="1">IF(AND($D620="Serviço",AV$12&lt;&gt;0,$H620&gt;0,OR(AUTOEVENTO&lt;&gt;"manual",$M620&lt;&gt;1)),
IF(Import.TipoArredondamento&lt;&gt;"TransfereGOV",
ROUND(OFFSET($P620,0,AV$13),15-13*ORÇAMENTO!$AF$7)/$H620*OFFSET(ORÇAMENTO!$X$15,ROW(AV620)-ROW(AV$15),0),
ROUND(ROUND(OFFSET($P620,0,AV$13),15-13*ORÇAMENTO!$AF$7)*OFFSET(ORÇAMENTO!$W$15,ROW(AV620)-ROW(AV$15),0),15-13*ORÇAMENTO!$AF$11)),0)</f>
        <v>0</v>
      </c>
      <c r="AW620" s="545">
        <f ca="1">IF(AND($D620="Serviço",AW$12&lt;&gt;0,$H620&gt;0,OR(AUTOEVENTO&lt;&gt;"manual",$M620&lt;&gt;1)),
IF(Import.TipoArredondamento&lt;&gt;"TransfereGOV",
ROUND(OFFSET($P620,0,AW$13),15-13*ORÇAMENTO!$AF$7)/$H620*OFFSET(ORÇAMENTO!$X$15,ROW(AW620)-ROW(AW$15),0),
ROUND(ROUND(OFFSET($P620,0,AW$13),15-13*ORÇAMENTO!$AF$7)*OFFSET(ORÇAMENTO!$W$15,ROW(AW620)-ROW(AW$15),0),15-13*ORÇAMENTO!$AF$11)),0)</f>
        <v>0</v>
      </c>
      <c r="AX620" s="545">
        <f ca="1">IF(AND($D620="Serviço",AX$12&lt;&gt;0,$H620&gt;0,OR(AUTOEVENTO&lt;&gt;"manual",$M620&lt;&gt;1)),
IF(Import.TipoArredondamento&lt;&gt;"TransfereGOV",
ROUND(OFFSET($P620,0,AX$13),15-13*ORÇAMENTO!$AF$7)/$H620*OFFSET(ORÇAMENTO!$X$15,ROW(AX620)-ROW(AX$15),0),
ROUND(ROUND(OFFSET($P620,0,AX$13),15-13*ORÇAMENTO!$AF$7)*OFFSET(ORÇAMENTO!$W$15,ROW(AX620)-ROW(AX$15),0),15-13*ORÇAMENTO!$AF$11)),0)</f>
        <v>0</v>
      </c>
      <c r="AY620" s="545">
        <f ca="1">IF(AND($D620="Serviço",AY$12&lt;&gt;0,$H620&gt;0,OR(AUTOEVENTO&lt;&gt;"manual",$M620&lt;&gt;1)),
IF(Import.TipoArredondamento&lt;&gt;"TransfereGOV",
ROUND(OFFSET($P620,0,AY$13),15-13*ORÇAMENTO!$AF$7)/$H620*OFFSET(ORÇAMENTO!$X$15,ROW(AY620)-ROW(AY$15),0),
ROUND(ROUND(OFFSET($P620,0,AY$13),15-13*ORÇAMENTO!$AF$7)*OFFSET(ORÇAMENTO!$W$15,ROW(AY620)-ROW(AY$15),0),15-13*ORÇAMENTO!$AF$11)),0)</f>
        <v>0</v>
      </c>
      <c r="AZ620" s="545">
        <f ca="1">IF(AND($D620="Serviço",AZ$12&lt;&gt;0,$H620&gt;0,OR(AUTOEVENTO&lt;&gt;"manual",$M620&lt;&gt;1)),
IF(Import.TipoArredondamento&lt;&gt;"TransfereGOV",
ROUND(OFFSET($P620,0,AZ$13),15-13*ORÇAMENTO!$AF$7)/$H620*OFFSET(ORÇAMENTO!$X$15,ROW(AZ620)-ROW(AZ$15),0),
ROUND(ROUND(OFFSET($P620,0,AZ$13),15-13*ORÇAMENTO!$AF$7)*OFFSET(ORÇAMENTO!$W$15,ROW(AZ620)-ROW(AZ$15),0),15-13*ORÇAMENTO!$AF$11)),0)</f>
        <v>0</v>
      </c>
      <c r="BA620" s="546">
        <f ca="1">IF(AND($D620="Serviço",BA$12&lt;&gt;0,$H620&gt;0,OR(AUTOEVENTO&lt;&gt;"manual",$M620&lt;&gt;1)),
IF(Import.TipoArredondamento&lt;&gt;"TransfereGOV",
ROUND(OFFSET($P620,0,BA$13),15-13*ORÇAMENTO!$AF$7)/$H620*OFFSET(ORÇAMENTO!$X$15,ROW(BA620)-ROW(BA$15),0),
ROUND(ROUND(OFFSET($P620,0,BA$13),15-13*ORÇAMENTO!$AF$7)*OFFSET(ORÇAMENTO!$W$15,ROW(BA620)-ROW(BA$15),0),15-13*ORÇAMENTO!$AF$11)),0)</f>
        <v>0</v>
      </c>
      <c r="BC620" s="181">
        <f ca="1">IF($D620&lt;&gt;"Serviço",0,IF(AND(AUTOEVENTO="Manual",$M620=1),0,IF(OFFSET(CRONOPLE!$F$14,$M620,BC$13)="",10^12,OFFSET(CRONOPLE!$F$14,$M620,BC$13))))</f>
        <v>11</v>
      </c>
      <c r="BD620" s="181">
        <f ca="1">IF($D620&lt;&gt;"Serviço",0,IF(AND(AUTOEVENTO="Manual",$M620=1),0,IF(OFFSET(CRONOPLE!$F$14,$M620,BD$13)="",10^12,OFFSET(CRONOPLE!$F$14,$M620,BD$13))))</f>
        <v>1000000000000</v>
      </c>
      <c r="BE620" s="181">
        <f ca="1">IF($D620&lt;&gt;"Serviço",0,IF(AND(AUTOEVENTO="Manual",$M620=1),0,IF(OFFSET(CRONOPLE!$F$14,$M620,BE$13)="",10^12,OFFSET(CRONOPLE!$F$14,$M620,BE$13))))</f>
        <v>1000000000000</v>
      </c>
      <c r="BF620" s="181">
        <f ca="1">IF($D620&lt;&gt;"Serviço",0,IF(AND(AUTOEVENTO="Manual",$M620=1),0,IF(OFFSET(CRONOPLE!$F$14,$M620,BF$13)="",10^12,OFFSET(CRONOPLE!$F$14,$M620,BF$13))))</f>
        <v>1000000000000</v>
      </c>
      <c r="BG620" s="181">
        <f ca="1">IF($D620&lt;&gt;"Serviço",0,IF(AND(AUTOEVENTO="Manual",$M620=1),0,IF(OFFSET(CRONOPLE!$F$14,$M620,BG$13)="",10^12,OFFSET(CRONOPLE!$F$14,$M620,BG$13))))</f>
        <v>1000000000000</v>
      </c>
      <c r="BH620" s="181">
        <f ca="1">IF($D620&lt;&gt;"Serviço",0,IF(AND(AUTOEVENTO="Manual",$M620=1),0,IF(OFFSET(CRONOPLE!$F$14,$M620,BH$13)="",10^12,OFFSET(CRONOPLE!$F$14,$M620,BH$13))))</f>
        <v>1000000000000</v>
      </c>
      <c r="BI620" s="181">
        <f ca="1">IF($D620&lt;&gt;"Serviço",0,IF(AND(AUTOEVENTO="Manual",$M620=1),0,IF(OFFSET(CRONOPLE!$F$14,$M620,BI$13)="",10^12,OFFSET(CRONOPLE!$F$14,$M620,BI$13))))</f>
        <v>1000000000000</v>
      </c>
      <c r="BJ620" s="181">
        <f ca="1">IF($D620&lt;&gt;"Serviço",0,IF(AND(AUTOEVENTO="Manual",$M620=1),0,IF(OFFSET(CRONOPLE!$F$14,$M620,BJ$13)="",10^12,OFFSET(CRONOPLE!$F$14,$M620,BJ$13))))</f>
        <v>1000000000000</v>
      </c>
      <c r="BK620" s="181">
        <f ca="1">IF($D620&lt;&gt;"Serviço",0,IF(AND(AUTOEVENTO="Manual",$M620=1),0,IF(OFFSET(CRONOPLE!$F$14,$M620,BK$13)="",10^12,OFFSET(CRONOPLE!$F$14,$M620,BK$13))))</f>
        <v>1000000000000</v>
      </c>
      <c r="BL620" s="181">
        <f ca="1">IF($D620&lt;&gt;"Serviço",0,IF(AND(AUTOEVENTO="Manual",$M620=1),0,IF(OFFSET(CRONOPLE!$F$14,$M620,BL$13)="",10^12,OFFSET(CRONOPLE!$F$14,$M620,BL$13))))</f>
        <v>1000000000000</v>
      </c>
      <c r="BM620" s="181">
        <f ca="1">IF($D620&lt;&gt;"Serviço",0,IF(AND(AUTOEVENTO="Manual",$M620=1),0,IF(OFFSET(CRONOPLE!$F$14,$M620,BM$13)="",10^12,OFFSET(CRONOPLE!$F$14,$M620,BM$13))))</f>
        <v>1000000000000</v>
      </c>
      <c r="BN620" s="181">
        <f ca="1">IF($D620&lt;&gt;"Serviço",0,IF(AND(AUTOEVENTO="Manual",$M620=1),0,IF(OFFSET(CRONOPLE!$F$14,$M620,BN$13)="",10^12,OFFSET(CRONOPLE!$F$14,$M620,BN$13))))</f>
        <v>1000000000000</v>
      </c>
      <c r="BO620" s="181">
        <f ca="1">IF($D620&lt;&gt;"Serviço",0,IF(AND(AUTOEVENTO="Manual",$M620=1),0,IF(OFFSET(CRONOPLE!$F$14,$M620,BO$13)="",10^12,OFFSET(CRONOPLE!$F$14,$M620,BO$13))))</f>
        <v>1000000000000</v>
      </c>
      <c r="BP620" s="181">
        <f ca="1">IF($D620&lt;&gt;"Serviço",0,IF(AND(AUTOEVENTO="Manual",$M620=1),0,IF(OFFSET(CRONOPLE!$F$14,$M620,BP$13)="",10^12,OFFSET(CRONOPLE!$F$14,$M620,BP$13))))</f>
        <v>1000000000000</v>
      </c>
      <c r="BQ620" s="181">
        <f ca="1">IF($D620&lt;&gt;"Serviço",0,IF(AND(AUTOEVENTO="Manual",$M620=1),0,IF(OFFSET(CRONOPLE!$F$14,$M620,BQ$13)="",10^12,OFFSET(CRONOPLE!$F$14,$M620,BQ$13))))</f>
        <v>1000000000000</v>
      </c>
      <c r="BR620" s="181">
        <f ca="1">IF($D620&lt;&gt;"Serviço",0,IF(AND(AUTOEVENTO="Manual",$M620=1),0,IF(OFFSET(CRONOPLE!$F$14,$M620,BR$13)="",10^12,OFFSET(CRONOPLE!$F$14,$M620,BR$13))))</f>
        <v>1000000000000</v>
      </c>
      <c r="BS620" s="181">
        <f ca="1">IF($D620&lt;&gt;"Serviço",0,IF(AND(AUTOEVENTO="Manual",$M620=1),0,IF(OFFSET(CRONOPLE!$F$14,$M620,BS$13)="",10^12,OFFSET(CRONOPLE!$F$14,$M620,BS$13))))</f>
        <v>1000000000000</v>
      </c>
      <c r="BT620" s="181">
        <f ca="1">IF($D620&lt;&gt;"Serviço",0,IF(AND(AUTOEVENTO="Manual",$M620=1),0,IF(OFFSET(CRONOPLE!$F$14,$M620,BT$13)="",10^12,OFFSET(CRONOPLE!$F$14,$M620,BT$13))))</f>
        <v>1000000000000</v>
      </c>
      <c r="BV620" s="182">
        <f ca="1">IF($D620&lt;&gt;"Serviço",0,IF(OR(AND(AUTOEVENTO="Manual",$M620=1),$M620&gt;(ROW(PLE.lastrow)-ROW(PLE.firstrow))),0,IF(OFFSET(PLE!$G$14,$M620,BV$13)="",10^12,OFFSET(PLE!$G$14,$M620,BV$13))))</f>
        <v>1000000000000</v>
      </c>
      <c r="BW620" s="182">
        <f ca="1">IF($D620&lt;&gt;"Serviço",0,IF(OR(AND(AUTOEVENTO="Manual",$M620=1),$M620&gt;(ROW(PLE.lastrow)-ROW(PLE.firstrow))),0,IF(OFFSET(PLE!$G$14,$M620,BW$13)="",10^12,OFFSET(PLE!$G$14,$M620,BW$13))))</f>
        <v>1000000000000</v>
      </c>
      <c r="BX620" s="182">
        <f ca="1">IF($D620&lt;&gt;"Serviço",0,IF(OR(AND(AUTOEVENTO="Manual",$M620=1),$M620&gt;(ROW(PLE.lastrow)-ROW(PLE.firstrow))),0,IF(OFFSET(PLE!$G$14,$M620,BX$13)="",10^12,OFFSET(PLE!$G$14,$M620,BX$13))))</f>
        <v>1000000000000</v>
      </c>
      <c r="BY620" s="182">
        <f ca="1">IF($D620&lt;&gt;"Serviço",0,IF(OR(AND(AUTOEVENTO="Manual",$M620=1),$M620&gt;(ROW(PLE.lastrow)-ROW(PLE.firstrow))),0,IF(OFFSET(PLE!$G$14,$M620,BY$13)="",10^12,OFFSET(PLE!$G$14,$M620,BY$13))))</f>
        <v>1000000000000</v>
      </c>
      <c r="BZ620" s="182">
        <f ca="1">IF($D620&lt;&gt;"Serviço",0,IF(OR(AND(AUTOEVENTO="Manual",$M620=1),$M620&gt;(ROW(PLE.lastrow)-ROW(PLE.firstrow))),0,IF(OFFSET(PLE!$G$14,$M620,BZ$13)="",10^12,OFFSET(PLE!$G$14,$M620,BZ$13))))</f>
        <v>1000000000000</v>
      </c>
      <c r="CA620" s="182">
        <f ca="1">IF($D620&lt;&gt;"Serviço",0,IF(OR(AND(AUTOEVENTO="Manual",$M620=1),$M620&gt;(ROW(PLE.lastrow)-ROW(PLE.firstrow))),0,IF(OFFSET(PLE!$G$14,$M620,CA$13)="",10^12,OFFSET(PLE!$G$14,$M620,CA$13))))</f>
        <v>1000000000000</v>
      </c>
      <c r="CB620" s="182">
        <f ca="1">IF($D620&lt;&gt;"Serviço",0,IF(OR(AND(AUTOEVENTO="Manual",$M620=1),$M620&gt;(ROW(PLE.lastrow)-ROW(PLE.firstrow))),0,IF(OFFSET(PLE!$G$14,$M620,CB$13)="",10^12,OFFSET(PLE!$G$14,$M620,CB$13))))</f>
        <v>1000000000000</v>
      </c>
      <c r="CC620" s="182">
        <f ca="1">IF($D620&lt;&gt;"Serviço",0,IF(OR(AND(AUTOEVENTO="Manual",$M620=1),$M620&gt;(ROW(PLE.lastrow)-ROW(PLE.firstrow))),0,IF(OFFSET(PLE!$G$14,$M620,CC$13)="",10^12,OFFSET(PLE!$G$14,$M620,CC$13))))</f>
        <v>1000000000000</v>
      </c>
      <c r="CD620" s="182">
        <f ca="1">IF($D620&lt;&gt;"Serviço",0,IF(OR(AND(AUTOEVENTO="Manual",$M620=1),$M620&gt;(ROW(PLE.lastrow)-ROW(PLE.firstrow))),0,IF(OFFSET(PLE!$G$14,$M620,CD$13)="",10^12,OFFSET(PLE!$G$14,$M620,CD$13))))</f>
        <v>1000000000000</v>
      </c>
      <c r="CE620" s="182">
        <f ca="1">IF($D620&lt;&gt;"Serviço",0,IF(OR(AND(AUTOEVENTO="Manual",$M620=1),$M620&gt;(ROW(PLE.lastrow)-ROW(PLE.firstrow))),0,IF(OFFSET(PLE!$G$14,$M620,CE$13)="",10^12,OFFSET(PLE!$G$14,$M620,CE$13))))</f>
        <v>1000000000000</v>
      </c>
      <c r="CF620" s="182">
        <f ca="1">IF($D620&lt;&gt;"Serviço",0,IF(OR(AND(AUTOEVENTO="Manual",$M620=1),$M620&gt;(ROW(PLE.lastrow)-ROW(PLE.firstrow))),0,IF(OFFSET(PLE!$G$14,$M620,CF$13)="",10^12,OFFSET(PLE!$G$14,$M620,CF$13))))</f>
        <v>1000000000000</v>
      </c>
      <c r="CG620" s="182">
        <f ca="1">IF($D620&lt;&gt;"Serviço",0,IF(OR(AND(AUTOEVENTO="Manual",$M620=1),$M620&gt;(ROW(PLE.lastrow)-ROW(PLE.firstrow))),0,IF(OFFSET(PLE!$G$14,$M620,CG$13)="",10^12,OFFSET(PLE!$G$14,$M620,CG$13))))</f>
        <v>1000000000000</v>
      </c>
      <c r="CH620" s="182">
        <f ca="1">IF($D620&lt;&gt;"Serviço",0,IF(OR(AND(AUTOEVENTO="Manual",$M620=1),$M620&gt;(ROW(PLE.lastrow)-ROW(PLE.firstrow))),0,IF(OFFSET(PLE!$G$14,$M620,CH$13)="",10^12,OFFSET(PLE!$G$14,$M620,CH$13))))</f>
        <v>1000000000000</v>
      </c>
      <c r="CI620" s="182">
        <f ca="1">IF($D620&lt;&gt;"Serviço",0,IF(OR(AND(AUTOEVENTO="Manual",$M620=1),$M620&gt;(ROW(PLE.lastrow)-ROW(PLE.firstrow))),0,IF(OFFSET(PLE!$G$14,$M620,CI$13)="",10^12,OFFSET(PLE!$G$14,$M620,CI$13))))</f>
        <v>1000000000000</v>
      </c>
      <c r="CJ620" s="182">
        <f ca="1">IF($D620&lt;&gt;"Serviço",0,IF(OR(AND(AUTOEVENTO="Manual",$M620=1),$M620&gt;(ROW(PLE.lastrow)-ROW(PLE.firstrow))),0,IF(OFFSET(PLE!$G$14,$M620,CJ$13)="",10^12,OFFSET(PLE!$G$14,$M620,CJ$13))))</f>
        <v>1000000000000</v>
      </c>
      <c r="CK620" s="182">
        <f ca="1">IF($D620&lt;&gt;"Serviço",0,IF(OR(AND(AUTOEVENTO="Manual",$M620=1),$M620&gt;(ROW(PLE.lastrow)-ROW(PLE.firstrow))),0,IF(OFFSET(PLE!$G$14,$M620,CK$13)="",10^12,OFFSET(PLE!$G$14,$M620,CK$13))))</f>
        <v>1000000000000</v>
      </c>
      <c r="CL620" s="182">
        <f ca="1">IF($D620&lt;&gt;"Serviço",0,IF(OR(AND(AUTOEVENTO="Manual",$M620=1),$M620&gt;(ROW(PLE.lastrow)-ROW(PLE.firstrow))),0,IF(OFFSET(PLE!$G$14,$M620,CL$13)="",10^12,OFFSET(PLE!$G$14,$M620,CL$13))))</f>
        <v>1000000000000</v>
      </c>
      <c r="CM620" s="182">
        <f ca="1">IF($D620&lt;&gt;"Serviço",0,IF(OR(AND(AUTOEVENTO="Manual",$M620=1),$M620&gt;(ROW(PLE.lastrow)-ROW(PLE.firstrow))),0,IF(OFFSET(PLE!$G$14,$M620,CM$13)="",10^12,OFFSET(PLE!$G$14,$M620,CM$13))))</f>
        <v>1000000000000</v>
      </c>
    </row>
    <row r="621" spans="1:91" ht="38.25" x14ac:dyDescent="0.2">
      <c r="A621" s="7" t="str">
        <f t="shared" ca="1" si="18"/>
        <v>603</v>
      </c>
      <c r="B621" s="7" t="str">
        <f ca="1">OFFSET(ORÇAMENTO!C$15,ROW(B621)-ROW(B$15),0)</f>
        <v>S</v>
      </c>
      <c r="C621" s="7" t="str">
        <f ca="1">OFFSET(ORÇAMENTO!L$15,ROW(C621)-ROW(C$15),0)</f>
        <v/>
      </c>
      <c r="D621" s="118" t="str">
        <f ca="1">OFFSET(ORÇAMENTO!N$15,ROW(D621)-ROW(D$15),0)</f>
        <v>Serviço</v>
      </c>
      <c r="E621" s="119" t="str">
        <f ca="1">OFFSET(ORÇAMENTO!O$15,ROW(E621)-ROW(E$15),0)</f>
        <v>-</v>
      </c>
      <c r="F621" s="172" t="str">
        <f ca="1">OFFSET(ORÇAMENTO!R$15,ROW(F621)-ROW(F$15),0)</f>
        <v>(abra o arquivo 'Referência 06-2024.xlsm)</v>
      </c>
      <c r="G621" s="173" t="str">
        <f ca="1">IF($D621&lt;&gt;"Serviço","",OFFSET(ORÇAMENTO!S$15,ROW(G621)-ROW(G$15),0))</f>
        <v>-</v>
      </c>
      <c r="H621" s="124">
        <f ca="1">IF($D621&lt;&gt;"Serviço",0,IF(ACOMPANHAMENTO="BM",ROUND(OFFSET(ORÇAMENTO!AJ$15,ROW(H621)-ROW(H$15),0),15-13*ORÇAMENTO!$AF$7),SUMPRODUCT(($Q$12:$AI$12&lt;&gt;"")*ROUND($Q621:$AI621,15-13*ORÇAMENTO!$AF$7))))</f>
        <v>48</v>
      </c>
      <c r="I621" s="561" t="s">
        <v>1107</v>
      </c>
      <c r="K621" s="174"/>
      <c r="L621" s="175" t="s">
        <v>255</v>
      </c>
      <c r="M621" s="176">
        <f ca="1">IF($D621&lt;&gt;"Serviço","",IF(AUTOEVENTO="manual",$A621,IF(ISERROR(MATCH($A621,$A$15:OFFSET($A621,-1,0),0)),MAX($M$15:OFFSET(M621,-1,0))+1,INDEX($M$15:OFFSET(M621,-1,0),MATCH($A621,$A$15:OFFSET($A621,-1,0),0)))))</f>
        <v>65</v>
      </c>
      <c r="N621" s="177" t="str">
        <f ca="1">IF($D621&lt;&gt;"Serviço","",IF(AUTOEVENTO="Manual",IF($A621=0,"&lt;-- defina o número do agrupador",OFFSET(EVENTOS!$D$14,$A621,0)),OFFSET($F$15,$A621,0)))</f>
        <v>INSTALAÇÕES DE CABEAMENTO ESTRUTURADO - ACESSÓRIOS DE CABEAMENTO</v>
      </c>
      <c r="O621" s="178"/>
      <c r="Q621" s="178">
        <v>48</v>
      </c>
      <c r="R621" s="179"/>
      <c r="S621" s="179"/>
      <c r="T621" s="179"/>
      <c r="U621" s="179"/>
      <c r="V621" s="179"/>
      <c r="W621" s="179"/>
      <c r="X621" s="179"/>
      <c r="Y621" s="179"/>
      <c r="Z621" s="180"/>
      <c r="AA621" s="179"/>
      <c r="AB621" s="179"/>
      <c r="AC621" s="179"/>
      <c r="AD621" s="179"/>
      <c r="AE621" s="179"/>
      <c r="AF621" s="179"/>
      <c r="AG621" s="179"/>
      <c r="AH621" s="180"/>
      <c r="AJ621" s="544">
        <f ca="1">IF(AND($D621="Serviço",AJ$12&lt;&gt;0,$H621&gt;0,OR(AUTOEVENTO&lt;&gt;"manual",$M621&lt;&gt;1)),
IF(Import.TipoArredondamento&lt;&gt;"TransfereGOV",
ROUND(OFFSET($P621,0,AJ$13),15-13*ORÇAMENTO!$AF$7)/$H621*OFFSET(ORÇAMENTO!$X$15,ROW(AJ621)-ROW(AJ$15),0),
ROUND(ROUND(OFFSET($P621,0,AJ$13),15-13*ORÇAMENTO!$AF$7)*OFFSET(ORÇAMENTO!$W$15,ROW(AJ621)-ROW(AJ$15),0),15-13*ORÇAMENTO!$AF$11)),0)</f>
        <v>0</v>
      </c>
      <c r="AK621" s="545">
        <f ca="1">IF(AND($D621="Serviço",AK$12&lt;&gt;0,$H621&gt;0,OR(AUTOEVENTO&lt;&gt;"manual",$M621&lt;&gt;1)),
IF(Import.TipoArredondamento&lt;&gt;"TransfereGOV",
ROUND(OFFSET($P621,0,AK$13),15-13*ORÇAMENTO!$AF$7)/$H621*OFFSET(ORÇAMENTO!$X$15,ROW(AK621)-ROW(AK$15),0),
ROUND(ROUND(OFFSET($P621,0,AK$13),15-13*ORÇAMENTO!$AF$7)*OFFSET(ORÇAMENTO!$W$15,ROW(AK621)-ROW(AK$15),0),15-13*ORÇAMENTO!$AF$11)),0)</f>
        <v>0</v>
      </c>
      <c r="AL621" s="545">
        <f ca="1">IF(AND($D621="Serviço",AL$12&lt;&gt;0,$H621&gt;0,OR(AUTOEVENTO&lt;&gt;"manual",$M621&lt;&gt;1)),
IF(Import.TipoArredondamento&lt;&gt;"TransfereGOV",
ROUND(OFFSET($P621,0,AL$13),15-13*ORÇAMENTO!$AF$7)/$H621*OFFSET(ORÇAMENTO!$X$15,ROW(AL621)-ROW(AL$15),0),
ROUND(ROUND(OFFSET($P621,0,AL$13),15-13*ORÇAMENTO!$AF$7)*OFFSET(ORÇAMENTO!$W$15,ROW(AL621)-ROW(AL$15),0),15-13*ORÇAMENTO!$AF$11)),0)</f>
        <v>0</v>
      </c>
      <c r="AM621" s="545">
        <f ca="1">IF(AND($D621="Serviço",AM$12&lt;&gt;0,$H621&gt;0,OR(AUTOEVENTO&lt;&gt;"manual",$M621&lt;&gt;1)),
IF(Import.TipoArredondamento&lt;&gt;"TransfereGOV",
ROUND(OFFSET($P621,0,AM$13),15-13*ORÇAMENTO!$AF$7)/$H621*OFFSET(ORÇAMENTO!$X$15,ROW(AM621)-ROW(AM$15),0),
ROUND(ROUND(OFFSET($P621,0,AM$13),15-13*ORÇAMENTO!$AF$7)*OFFSET(ORÇAMENTO!$W$15,ROW(AM621)-ROW(AM$15),0),15-13*ORÇAMENTO!$AF$11)),0)</f>
        <v>0</v>
      </c>
      <c r="AN621" s="545">
        <f ca="1">IF(AND($D621="Serviço",AN$12&lt;&gt;0,$H621&gt;0,OR(AUTOEVENTO&lt;&gt;"manual",$M621&lt;&gt;1)),
IF(Import.TipoArredondamento&lt;&gt;"TransfereGOV",
ROUND(OFFSET($P621,0,AN$13),15-13*ORÇAMENTO!$AF$7)/$H621*OFFSET(ORÇAMENTO!$X$15,ROW(AN621)-ROW(AN$15),0),
ROUND(ROUND(OFFSET($P621,0,AN$13),15-13*ORÇAMENTO!$AF$7)*OFFSET(ORÇAMENTO!$W$15,ROW(AN621)-ROW(AN$15),0),15-13*ORÇAMENTO!$AF$11)),0)</f>
        <v>0</v>
      </c>
      <c r="AO621" s="545">
        <f ca="1">IF(AND($D621="Serviço",AO$12&lt;&gt;0,$H621&gt;0,OR(AUTOEVENTO&lt;&gt;"manual",$M621&lt;&gt;1)),
IF(Import.TipoArredondamento&lt;&gt;"TransfereGOV",
ROUND(OFFSET($P621,0,AO$13),15-13*ORÇAMENTO!$AF$7)/$H621*OFFSET(ORÇAMENTO!$X$15,ROW(AO621)-ROW(AO$15),0),
ROUND(ROUND(OFFSET($P621,0,AO$13),15-13*ORÇAMENTO!$AF$7)*OFFSET(ORÇAMENTO!$W$15,ROW(AO621)-ROW(AO$15),0),15-13*ORÇAMENTO!$AF$11)),0)</f>
        <v>0</v>
      </c>
      <c r="AP621" s="545">
        <f ca="1">IF(AND($D621="Serviço",AP$12&lt;&gt;0,$H621&gt;0,OR(AUTOEVENTO&lt;&gt;"manual",$M621&lt;&gt;1)),
IF(Import.TipoArredondamento&lt;&gt;"TransfereGOV",
ROUND(OFFSET($P621,0,AP$13),15-13*ORÇAMENTO!$AF$7)/$H621*OFFSET(ORÇAMENTO!$X$15,ROW(AP621)-ROW(AP$15),0),
ROUND(ROUND(OFFSET($P621,0,AP$13),15-13*ORÇAMENTO!$AF$7)*OFFSET(ORÇAMENTO!$W$15,ROW(AP621)-ROW(AP$15),0),15-13*ORÇAMENTO!$AF$11)),0)</f>
        <v>0</v>
      </c>
      <c r="AQ621" s="545">
        <f ca="1">IF(AND($D621="Serviço",AQ$12&lt;&gt;0,$H621&gt;0,OR(AUTOEVENTO&lt;&gt;"manual",$M621&lt;&gt;1)),
IF(Import.TipoArredondamento&lt;&gt;"TransfereGOV",
ROUND(OFFSET($P621,0,AQ$13),15-13*ORÇAMENTO!$AF$7)/$H621*OFFSET(ORÇAMENTO!$X$15,ROW(AQ621)-ROW(AQ$15),0),
ROUND(ROUND(OFFSET($P621,0,AQ$13),15-13*ORÇAMENTO!$AF$7)*OFFSET(ORÇAMENTO!$W$15,ROW(AQ621)-ROW(AQ$15),0),15-13*ORÇAMENTO!$AF$11)),0)</f>
        <v>0</v>
      </c>
      <c r="AR621" s="545">
        <f ca="1">IF(AND($D621="Serviço",AR$12&lt;&gt;0,$H621&gt;0,OR(AUTOEVENTO&lt;&gt;"manual",$M621&lt;&gt;1)),
IF(Import.TipoArredondamento&lt;&gt;"TransfereGOV",
ROUND(OFFSET($P621,0,AR$13),15-13*ORÇAMENTO!$AF$7)/$H621*OFFSET(ORÇAMENTO!$X$15,ROW(AR621)-ROW(AR$15),0),
ROUND(ROUND(OFFSET($P621,0,AR$13),15-13*ORÇAMENTO!$AF$7)*OFFSET(ORÇAMENTO!$W$15,ROW(AR621)-ROW(AR$15),0),15-13*ORÇAMENTO!$AF$11)),0)</f>
        <v>0</v>
      </c>
      <c r="AS621" s="546">
        <f ca="1">IF(AND($D621="Serviço",AS$12&lt;&gt;0,$H621&gt;0,OR(AUTOEVENTO&lt;&gt;"manual",$M621&lt;&gt;1)),
IF(Import.TipoArredondamento&lt;&gt;"TransfereGOV",
ROUND(OFFSET($P621,0,AS$13),15-13*ORÇAMENTO!$AF$7)/$H621*OFFSET(ORÇAMENTO!$X$15,ROW(AS621)-ROW(AS$15),0),
ROUND(ROUND(OFFSET($P621,0,AS$13),15-13*ORÇAMENTO!$AF$7)*OFFSET(ORÇAMENTO!$W$15,ROW(AS621)-ROW(AS$15),0),15-13*ORÇAMENTO!$AF$11)),0)</f>
        <v>0</v>
      </c>
      <c r="AT621" s="545">
        <f ca="1">IF(AND($D621="Serviço",AT$12&lt;&gt;0,$H621&gt;0,OR(AUTOEVENTO&lt;&gt;"manual",$M621&lt;&gt;1)),
IF(Import.TipoArredondamento&lt;&gt;"TransfereGOV",
ROUND(OFFSET($P621,0,AT$13),15-13*ORÇAMENTO!$AF$7)/$H621*OFFSET(ORÇAMENTO!$X$15,ROW(AT621)-ROW(AT$15),0),
ROUND(ROUND(OFFSET($P621,0,AT$13),15-13*ORÇAMENTO!$AF$7)*OFFSET(ORÇAMENTO!$W$15,ROW(AT621)-ROW(AT$15),0),15-13*ORÇAMENTO!$AF$11)),0)</f>
        <v>0</v>
      </c>
      <c r="AU621" s="545">
        <f ca="1">IF(AND($D621="Serviço",AU$12&lt;&gt;0,$H621&gt;0,OR(AUTOEVENTO&lt;&gt;"manual",$M621&lt;&gt;1)),
IF(Import.TipoArredondamento&lt;&gt;"TransfereGOV",
ROUND(OFFSET($P621,0,AU$13),15-13*ORÇAMENTO!$AF$7)/$H621*OFFSET(ORÇAMENTO!$X$15,ROW(AU621)-ROW(AU$15),0),
ROUND(ROUND(OFFSET($P621,0,AU$13),15-13*ORÇAMENTO!$AF$7)*OFFSET(ORÇAMENTO!$W$15,ROW(AU621)-ROW(AU$15),0),15-13*ORÇAMENTO!$AF$11)),0)</f>
        <v>0</v>
      </c>
      <c r="AV621" s="545">
        <f ca="1">IF(AND($D621="Serviço",AV$12&lt;&gt;0,$H621&gt;0,OR(AUTOEVENTO&lt;&gt;"manual",$M621&lt;&gt;1)),
IF(Import.TipoArredondamento&lt;&gt;"TransfereGOV",
ROUND(OFFSET($P621,0,AV$13),15-13*ORÇAMENTO!$AF$7)/$H621*OFFSET(ORÇAMENTO!$X$15,ROW(AV621)-ROW(AV$15),0),
ROUND(ROUND(OFFSET($P621,0,AV$13),15-13*ORÇAMENTO!$AF$7)*OFFSET(ORÇAMENTO!$W$15,ROW(AV621)-ROW(AV$15),0),15-13*ORÇAMENTO!$AF$11)),0)</f>
        <v>0</v>
      </c>
      <c r="AW621" s="545">
        <f ca="1">IF(AND($D621="Serviço",AW$12&lt;&gt;0,$H621&gt;0,OR(AUTOEVENTO&lt;&gt;"manual",$M621&lt;&gt;1)),
IF(Import.TipoArredondamento&lt;&gt;"TransfereGOV",
ROUND(OFFSET($P621,0,AW$13),15-13*ORÇAMENTO!$AF$7)/$H621*OFFSET(ORÇAMENTO!$X$15,ROW(AW621)-ROW(AW$15),0),
ROUND(ROUND(OFFSET($P621,0,AW$13),15-13*ORÇAMENTO!$AF$7)*OFFSET(ORÇAMENTO!$W$15,ROW(AW621)-ROW(AW$15),0),15-13*ORÇAMENTO!$AF$11)),0)</f>
        <v>0</v>
      </c>
      <c r="AX621" s="545">
        <f ca="1">IF(AND($D621="Serviço",AX$12&lt;&gt;0,$H621&gt;0,OR(AUTOEVENTO&lt;&gt;"manual",$M621&lt;&gt;1)),
IF(Import.TipoArredondamento&lt;&gt;"TransfereGOV",
ROUND(OFFSET($P621,0,AX$13),15-13*ORÇAMENTO!$AF$7)/$H621*OFFSET(ORÇAMENTO!$X$15,ROW(AX621)-ROW(AX$15),0),
ROUND(ROUND(OFFSET($P621,0,AX$13),15-13*ORÇAMENTO!$AF$7)*OFFSET(ORÇAMENTO!$W$15,ROW(AX621)-ROW(AX$15),0),15-13*ORÇAMENTO!$AF$11)),0)</f>
        <v>0</v>
      </c>
      <c r="AY621" s="545">
        <f ca="1">IF(AND($D621="Serviço",AY$12&lt;&gt;0,$H621&gt;0,OR(AUTOEVENTO&lt;&gt;"manual",$M621&lt;&gt;1)),
IF(Import.TipoArredondamento&lt;&gt;"TransfereGOV",
ROUND(OFFSET($P621,0,AY$13),15-13*ORÇAMENTO!$AF$7)/$H621*OFFSET(ORÇAMENTO!$X$15,ROW(AY621)-ROW(AY$15),0),
ROUND(ROUND(OFFSET($P621,0,AY$13),15-13*ORÇAMENTO!$AF$7)*OFFSET(ORÇAMENTO!$W$15,ROW(AY621)-ROW(AY$15),0),15-13*ORÇAMENTO!$AF$11)),0)</f>
        <v>0</v>
      </c>
      <c r="AZ621" s="545">
        <f ca="1">IF(AND($D621="Serviço",AZ$12&lt;&gt;0,$H621&gt;0,OR(AUTOEVENTO&lt;&gt;"manual",$M621&lt;&gt;1)),
IF(Import.TipoArredondamento&lt;&gt;"TransfereGOV",
ROUND(OFFSET($P621,0,AZ$13),15-13*ORÇAMENTO!$AF$7)/$H621*OFFSET(ORÇAMENTO!$X$15,ROW(AZ621)-ROW(AZ$15),0),
ROUND(ROUND(OFFSET($P621,0,AZ$13),15-13*ORÇAMENTO!$AF$7)*OFFSET(ORÇAMENTO!$W$15,ROW(AZ621)-ROW(AZ$15),0),15-13*ORÇAMENTO!$AF$11)),0)</f>
        <v>0</v>
      </c>
      <c r="BA621" s="546">
        <f ca="1">IF(AND($D621="Serviço",BA$12&lt;&gt;0,$H621&gt;0,OR(AUTOEVENTO&lt;&gt;"manual",$M621&lt;&gt;1)),
IF(Import.TipoArredondamento&lt;&gt;"TransfereGOV",
ROUND(OFFSET($P621,0,BA$13),15-13*ORÇAMENTO!$AF$7)/$H621*OFFSET(ORÇAMENTO!$X$15,ROW(BA621)-ROW(BA$15),0),
ROUND(ROUND(OFFSET($P621,0,BA$13),15-13*ORÇAMENTO!$AF$7)*OFFSET(ORÇAMENTO!$W$15,ROW(BA621)-ROW(BA$15),0),15-13*ORÇAMENTO!$AF$11)),0)</f>
        <v>0</v>
      </c>
      <c r="BC621" s="181">
        <f ca="1">IF($D621&lt;&gt;"Serviço",0,IF(AND(AUTOEVENTO="Manual",$M621=1),0,IF(OFFSET(CRONOPLE!$F$14,$M621,BC$13)="",10^12,OFFSET(CRONOPLE!$F$14,$M621,BC$13))))</f>
        <v>11</v>
      </c>
      <c r="BD621" s="181">
        <f ca="1">IF($D621&lt;&gt;"Serviço",0,IF(AND(AUTOEVENTO="Manual",$M621=1),0,IF(OFFSET(CRONOPLE!$F$14,$M621,BD$13)="",10^12,OFFSET(CRONOPLE!$F$14,$M621,BD$13))))</f>
        <v>1000000000000</v>
      </c>
      <c r="BE621" s="181">
        <f ca="1">IF($D621&lt;&gt;"Serviço",0,IF(AND(AUTOEVENTO="Manual",$M621=1),0,IF(OFFSET(CRONOPLE!$F$14,$M621,BE$13)="",10^12,OFFSET(CRONOPLE!$F$14,$M621,BE$13))))</f>
        <v>1000000000000</v>
      </c>
      <c r="BF621" s="181">
        <f ca="1">IF($D621&lt;&gt;"Serviço",0,IF(AND(AUTOEVENTO="Manual",$M621=1),0,IF(OFFSET(CRONOPLE!$F$14,$M621,BF$13)="",10^12,OFFSET(CRONOPLE!$F$14,$M621,BF$13))))</f>
        <v>1000000000000</v>
      </c>
      <c r="BG621" s="181">
        <f ca="1">IF($D621&lt;&gt;"Serviço",0,IF(AND(AUTOEVENTO="Manual",$M621=1),0,IF(OFFSET(CRONOPLE!$F$14,$M621,BG$13)="",10^12,OFFSET(CRONOPLE!$F$14,$M621,BG$13))))</f>
        <v>1000000000000</v>
      </c>
      <c r="BH621" s="181">
        <f ca="1">IF($D621&lt;&gt;"Serviço",0,IF(AND(AUTOEVENTO="Manual",$M621=1),0,IF(OFFSET(CRONOPLE!$F$14,$M621,BH$13)="",10^12,OFFSET(CRONOPLE!$F$14,$M621,BH$13))))</f>
        <v>1000000000000</v>
      </c>
      <c r="BI621" s="181">
        <f ca="1">IF($D621&lt;&gt;"Serviço",0,IF(AND(AUTOEVENTO="Manual",$M621=1),0,IF(OFFSET(CRONOPLE!$F$14,$M621,BI$13)="",10^12,OFFSET(CRONOPLE!$F$14,$M621,BI$13))))</f>
        <v>1000000000000</v>
      </c>
      <c r="BJ621" s="181">
        <f ca="1">IF($D621&lt;&gt;"Serviço",0,IF(AND(AUTOEVENTO="Manual",$M621=1),0,IF(OFFSET(CRONOPLE!$F$14,$M621,BJ$13)="",10^12,OFFSET(CRONOPLE!$F$14,$M621,BJ$13))))</f>
        <v>1000000000000</v>
      </c>
      <c r="BK621" s="181">
        <f ca="1">IF($D621&lt;&gt;"Serviço",0,IF(AND(AUTOEVENTO="Manual",$M621=1),0,IF(OFFSET(CRONOPLE!$F$14,$M621,BK$13)="",10^12,OFFSET(CRONOPLE!$F$14,$M621,BK$13))))</f>
        <v>1000000000000</v>
      </c>
      <c r="BL621" s="181">
        <f ca="1">IF($D621&lt;&gt;"Serviço",0,IF(AND(AUTOEVENTO="Manual",$M621=1),0,IF(OFFSET(CRONOPLE!$F$14,$M621,BL$13)="",10^12,OFFSET(CRONOPLE!$F$14,$M621,BL$13))))</f>
        <v>1000000000000</v>
      </c>
      <c r="BM621" s="181">
        <f ca="1">IF($D621&lt;&gt;"Serviço",0,IF(AND(AUTOEVENTO="Manual",$M621=1),0,IF(OFFSET(CRONOPLE!$F$14,$M621,BM$13)="",10^12,OFFSET(CRONOPLE!$F$14,$M621,BM$13))))</f>
        <v>1000000000000</v>
      </c>
      <c r="BN621" s="181">
        <f ca="1">IF($D621&lt;&gt;"Serviço",0,IF(AND(AUTOEVENTO="Manual",$M621=1),0,IF(OFFSET(CRONOPLE!$F$14,$M621,BN$13)="",10^12,OFFSET(CRONOPLE!$F$14,$M621,BN$13))))</f>
        <v>1000000000000</v>
      </c>
      <c r="BO621" s="181">
        <f ca="1">IF($D621&lt;&gt;"Serviço",0,IF(AND(AUTOEVENTO="Manual",$M621=1),0,IF(OFFSET(CRONOPLE!$F$14,$M621,BO$13)="",10^12,OFFSET(CRONOPLE!$F$14,$M621,BO$13))))</f>
        <v>1000000000000</v>
      </c>
      <c r="BP621" s="181">
        <f ca="1">IF($D621&lt;&gt;"Serviço",0,IF(AND(AUTOEVENTO="Manual",$M621=1),0,IF(OFFSET(CRONOPLE!$F$14,$M621,BP$13)="",10^12,OFFSET(CRONOPLE!$F$14,$M621,BP$13))))</f>
        <v>1000000000000</v>
      </c>
      <c r="BQ621" s="181">
        <f ca="1">IF($D621&lt;&gt;"Serviço",0,IF(AND(AUTOEVENTO="Manual",$M621=1),0,IF(OFFSET(CRONOPLE!$F$14,$M621,BQ$13)="",10^12,OFFSET(CRONOPLE!$F$14,$M621,BQ$13))))</f>
        <v>1000000000000</v>
      </c>
      <c r="BR621" s="181">
        <f ca="1">IF($D621&lt;&gt;"Serviço",0,IF(AND(AUTOEVENTO="Manual",$M621=1),0,IF(OFFSET(CRONOPLE!$F$14,$M621,BR$13)="",10^12,OFFSET(CRONOPLE!$F$14,$M621,BR$13))))</f>
        <v>1000000000000</v>
      </c>
      <c r="BS621" s="181">
        <f ca="1">IF($D621&lt;&gt;"Serviço",0,IF(AND(AUTOEVENTO="Manual",$M621=1),0,IF(OFFSET(CRONOPLE!$F$14,$M621,BS$13)="",10^12,OFFSET(CRONOPLE!$F$14,$M621,BS$13))))</f>
        <v>1000000000000</v>
      </c>
      <c r="BT621" s="181">
        <f ca="1">IF($D621&lt;&gt;"Serviço",0,IF(AND(AUTOEVENTO="Manual",$M621=1),0,IF(OFFSET(CRONOPLE!$F$14,$M621,BT$13)="",10^12,OFFSET(CRONOPLE!$F$14,$M621,BT$13))))</f>
        <v>1000000000000</v>
      </c>
      <c r="BV621" s="182">
        <f ca="1">IF($D621&lt;&gt;"Serviço",0,IF(OR(AND(AUTOEVENTO="Manual",$M621=1),$M621&gt;(ROW(PLE.lastrow)-ROW(PLE.firstrow))),0,IF(OFFSET(PLE!$G$14,$M621,BV$13)="",10^12,OFFSET(PLE!$G$14,$M621,BV$13))))</f>
        <v>1000000000000</v>
      </c>
      <c r="BW621" s="182">
        <f ca="1">IF($D621&lt;&gt;"Serviço",0,IF(OR(AND(AUTOEVENTO="Manual",$M621=1),$M621&gt;(ROW(PLE.lastrow)-ROW(PLE.firstrow))),0,IF(OFFSET(PLE!$G$14,$M621,BW$13)="",10^12,OFFSET(PLE!$G$14,$M621,BW$13))))</f>
        <v>1000000000000</v>
      </c>
      <c r="BX621" s="182">
        <f ca="1">IF($D621&lt;&gt;"Serviço",0,IF(OR(AND(AUTOEVENTO="Manual",$M621=1),$M621&gt;(ROW(PLE.lastrow)-ROW(PLE.firstrow))),0,IF(OFFSET(PLE!$G$14,$M621,BX$13)="",10^12,OFFSET(PLE!$G$14,$M621,BX$13))))</f>
        <v>1000000000000</v>
      </c>
      <c r="BY621" s="182">
        <f ca="1">IF($D621&lt;&gt;"Serviço",0,IF(OR(AND(AUTOEVENTO="Manual",$M621=1),$M621&gt;(ROW(PLE.lastrow)-ROW(PLE.firstrow))),0,IF(OFFSET(PLE!$G$14,$M621,BY$13)="",10^12,OFFSET(PLE!$G$14,$M621,BY$13))))</f>
        <v>1000000000000</v>
      </c>
      <c r="BZ621" s="182">
        <f ca="1">IF($D621&lt;&gt;"Serviço",0,IF(OR(AND(AUTOEVENTO="Manual",$M621=1),$M621&gt;(ROW(PLE.lastrow)-ROW(PLE.firstrow))),0,IF(OFFSET(PLE!$G$14,$M621,BZ$13)="",10^12,OFFSET(PLE!$G$14,$M621,BZ$13))))</f>
        <v>1000000000000</v>
      </c>
      <c r="CA621" s="182">
        <f ca="1">IF($D621&lt;&gt;"Serviço",0,IF(OR(AND(AUTOEVENTO="Manual",$M621=1),$M621&gt;(ROW(PLE.lastrow)-ROW(PLE.firstrow))),0,IF(OFFSET(PLE!$G$14,$M621,CA$13)="",10^12,OFFSET(PLE!$G$14,$M621,CA$13))))</f>
        <v>1000000000000</v>
      </c>
      <c r="CB621" s="182">
        <f ca="1">IF($D621&lt;&gt;"Serviço",0,IF(OR(AND(AUTOEVENTO="Manual",$M621=1),$M621&gt;(ROW(PLE.lastrow)-ROW(PLE.firstrow))),0,IF(OFFSET(PLE!$G$14,$M621,CB$13)="",10^12,OFFSET(PLE!$G$14,$M621,CB$13))))</f>
        <v>1000000000000</v>
      </c>
      <c r="CC621" s="182">
        <f ca="1">IF($D621&lt;&gt;"Serviço",0,IF(OR(AND(AUTOEVENTO="Manual",$M621=1),$M621&gt;(ROW(PLE.lastrow)-ROW(PLE.firstrow))),0,IF(OFFSET(PLE!$G$14,$M621,CC$13)="",10^12,OFFSET(PLE!$G$14,$M621,CC$13))))</f>
        <v>1000000000000</v>
      </c>
      <c r="CD621" s="182">
        <f ca="1">IF($D621&lt;&gt;"Serviço",0,IF(OR(AND(AUTOEVENTO="Manual",$M621=1),$M621&gt;(ROW(PLE.lastrow)-ROW(PLE.firstrow))),0,IF(OFFSET(PLE!$G$14,$M621,CD$13)="",10^12,OFFSET(PLE!$G$14,$M621,CD$13))))</f>
        <v>1000000000000</v>
      </c>
      <c r="CE621" s="182">
        <f ca="1">IF($D621&lt;&gt;"Serviço",0,IF(OR(AND(AUTOEVENTO="Manual",$M621=1),$M621&gt;(ROW(PLE.lastrow)-ROW(PLE.firstrow))),0,IF(OFFSET(PLE!$G$14,$M621,CE$13)="",10^12,OFFSET(PLE!$G$14,$M621,CE$13))))</f>
        <v>1000000000000</v>
      </c>
      <c r="CF621" s="182">
        <f ca="1">IF($D621&lt;&gt;"Serviço",0,IF(OR(AND(AUTOEVENTO="Manual",$M621=1),$M621&gt;(ROW(PLE.lastrow)-ROW(PLE.firstrow))),0,IF(OFFSET(PLE!$G$14,$M621,CF$13)="",10^12,OFFSET(PLE!$G$14,$M621,CF$13))))</f>
        <v>1000000000000</v>
      </c>
      <c r="CG621" s="182">
        <f ca="1">IF($D621&lt;&gt;"Serviço",0,IF(OR(AND(AUTOEVENTO="Manual",$M621=1),$M621&gt;(ROW(PLE.lastrow)-ROW(PLE.firstrow))),0,IF(OFFSET(PLE!$G$14,$M621,CG$13)="",10^12,OFFSET(PLE!$G$14,$M621,CG$13))))</f>
        <v>1000000000000</v>
      </c>
      <c r="CH621" s="182">
        <f ca="1">IF($D621&lt;&gt;"Serviço",0,IF(OR(AND(AUTOEVENTO="Manual",$M621=1),$M621&gt;(ROW(PLE.lastrow)-ROW(PLE.firstrow))),0,IF(OFFSET(PLE!$G$14,$M621,CH$13)="",10^12,OFFSET(PLE!$G$14,$M621,CH$13))))</f>
        <v>1000000000000</v>
      </c>
      <c r="CI621" s="182">
        <f ca="1">IF($D621&lt;&gt;"Serviço",0,IF(OR(AND(AUTOEVENTO="Manual",$M621=1),$M621&gt;(ROW(PLE.lastrow)-ROW(PLE.firstrow))),0,IF(OFFSET(PLE!$G$14,$M621,CI$13)="",10^12,OFFSET(PLE!$G$14,$M621,CI$13))))</f>
        <v>1000000000000</v>
      </c>
      <c r="CJ621" s="182">
        <f ca="1">IF($D621&lt;&gt;"Serviço",0,IF(OR(AND(AUTOEVENTO="Manual",$M621=1),$M621&gt;(ROW(PLE.lastrow)-ROW(PLE.firstrow))),0,IF(OFFSET(PLE!$G$14,$M621,CJ$13)="",10^12,OFFSET(PLE!$G$14,$M621,CJ$13))))</f>
        <v>1000000000000</v>
      </c>
      <c r="CK621" s="182">
        <f ca="1">IF($D621&lt;&gt;"Serviço",0,IF(OR(AND(AUTOEVENTO="Manual",$M621=1),$M621&gt;(ROW(PLE.lastrow)-ROW(PLE.firstrow))),0,IF(OFFSET(PLE!$G$14,$M621,CK$13)="",10^12,OFFSET(PLE!$G$14,$M621,CK$13))))</f>
        <v>1000000000000</v>
      </c>
      <c r="CL621" s="182">
        <f ca="1">IF($D621&lt;&gt;"Serviço",0,IF(OR(AND(AUTOEVENTO="Manual",$M621=1),$M621&gt;(ROW(PLE.lastrow)-ROW(PLE.firstrow))),0,IF(OFFSET(PLE!$G$14,$M621,CL$13)="",10^12,OFFSET(PLE!$G$14,$M621,CL$13))))</f>
        <v>1000000000000</v>
      </c>
      <c r="CM621" s="182">
        <f ca="1">IF($D621&lt;&gt;"Serviço",0,IF(OR(AND(AUTOEVENTO="Manual",$M621=1),$M621&gt;(ROW(PLE.lastrow)-ROW(PLE.firstrow))),0,IF(OFFSET(PLE!$G$14,$M621,CM$13)="",10^12,OFFSET(PLE!$G$14,$M621,CM$13))))</f>
        <v>1000000000000</v>
      </c>
    </row>
    <row r="622" spans="1:91" ht="38.25" x14ac:dyDescent="0.2">
      <c r="A622" s="7" t="str">
        <f t="shared" ca="1" si="18"/>
        <v>603</v>
      </c>
      <c r="B622" s="7" t="str">
        <f ca="1">OFFSET(ORÇAMENTO!C$15,ROW(B622)-ROW(B$15),0)</f>
        <v>S</v>
      </c>
      <c r="C622" s="7" t="str">
        <f ca="1">OFFSET(ORÇAMENTO!L$15,ROW(C622)-ROW(C$15),0)</f>
        <v/>
      </c>
      <c r="D622" s="118" t="str">
        <f ca="1">OFFSET(ORÇAMENTO!N$15,ROW(D622)-ROW(D$15),0)</f>
        <v>Serviço</v>
      </c>
      <c r="E622" s="119" t="str">
        <f ca="1">OFFSET(ORÇAMENTO!O$15,ROW(E622)-ROW(E$15),0)</f>
        <v>-</v>
      </c>
      <c r="F622" s="172" t="str">
        <f ca="1">OFFSET(ORÇAMENTO!R$15,ROW(F622)-ROW(F$15),0)</f>
        <v>(abra o arquivo 'Referência 06-2024.xlsm)</v>
      </c>
      <c r="G622" s="173" t="str">
        <f ca="1">IF($D622&lt;&gt;"Serviço","",OFFSET(ORÇAMENTO!S$15,ROW(G622)-ROW(G$15),0))</f>
        <v>-</v>
      </c>
      <c r="H622" s="124">
        <f ca="1">IF($D622&lt;&gt;"Serviço",0,IF(ACOMPANHAMENTO="BM",ROUND(OFFSET(ORÇAMENTO!AJ$15,ROW(H622)-ROW(H$15),0),15-13*ORÇAMENTO!$AF$7),SUMPRODUCT(($Q$12:$AI$12&lt;&gt;"")*ROUND($Q622:$AI622,15-13*ORÇAMENTO!$AF$7))))</f>
        <v>3</v>
      </c>
      <c r="I622" s="561" t="s">
        <v>1107</v>
      </c>
      <c r="K622" s="174"/>
      <c r="L622" s="175" t="s">
        <v>255</v>
      </c>
      <c r="M622" s="176">
        <f ca="1">IF($D622&lt;&gt;"Serviço","",IF(AUTOEVENTO="manual",$A622,IF(ISERROR(MATCH($A622,$A$15:OFFSET($A622,-1,0),0)),MAX($M$15:OFFSET(M622,-1,0))+1,INDEX($M$15:OFFSET(M622,-1,0),MATCH($A622,$A$15:OFFSET($A622,-1,0),0)))))</f>
        <v>65</v>
      </c>
      <c r="N622" s="177" t="str">
        <f ca="1">IF($D622&lt;&gt;"Serviço","",IF(AUTOEVENTO="Manual",IF($A622=0,"&lt;-- defina o número do agrupador",OFFSET(EVENTOS!$D$14,$A622,0)),OFFSET($F$15,$A622,0)))</f>
        <v>INSTALAÇÕES DE CABEAMENTO ESTRUTURADO - ACESSÓRIOS DE CABEAMENTO</v>
      </c>
      <c r="O622" s="178"/>
      <c r="Q622" s="178">
        <v>3</v>
      </c>
      <c r="R622" s="179"/>
      <c r="S622" s="179"/>
      <c r="T622" s="179"/>
      <c r="U622" s="179"/>
      <c r="V622" s="179"/>
      <c r="W622" s="179"/>
      <c r="X622" s="179"/>
      <c r="Y622" s="179"/>
      <c r="Z622" s="180"/>
      <c r="AA622" s="179"/>
      <c r="AB622" s="179"/>
      <c r="AC622" s="179"/>
      <c r="AD622" s="179"/>
      <c r="AE622" s="179"/>
      <c r="AF622" s="179"/>
      <c r="AG622" s="179"/>
      <c r="AH622" s="180"/>
      <c r="AJ622" s="544">
        <f ca="1">IF(AND($D622="Serviço",AJ$12&lt;&gt;0,$H622&gt;0,OR(AUTOEVENTO&lt;&gt;"manual",$M622&lt;&gt;1)),
IF(Import.TipoArredondamento&lt;&gt;"TransfereGOV",
ROUND(OFFSET($P622,0,AJ$13),15-13*ORÇAMENTO!$AF$7)/$H622*OFFSET(ORÇAMENTO!$X$15,ROW(AJ622)-ROW(AJ$15),0),
ROUND(ROUND(OFFSET($P622,0,AJ$13),15-13*ORÇAMENTO!$AF$7)*OFFSET(ORÇAMENTO!$W$15,ROW(AJ622)-ROW(AJ$15),0),15-13*ORÇAMENTO!$AF$11)),0)</f>
        <v>0</v>
      </c>
      <c r="AK622" s="545">
        <f ca="1">IF(AND($D622="Serviço",AK$12&lt;&gt;0,$H622&gt;0,OR(AUTOEVENTO&lt;&gt;"manual",$M622&lt;&gt;1)),
IF(Import.TipoArredondamento&lt;&gt;"TransfereGOV",
ROUND(OFFSET($P622,0,AK$13),15-13*ORÇAMENTO!$AF$7)/$H622*OFFSET(ORÇAMENTO!$X$15,ROW(AK622)-ROW(AK$15),0),
ROUND(ROUND(OFFSET($P622,0,AK$13),15-13*ORÇAMENTO!$AF$7)*OFFSET(ORÇAMENTO!$W$15,ROW(AK622)-ROW(AK$15),0),15-13*ORÇAMENTO!$AF$11)),0)</f>
        <v>0</v>
      </c>
      <c r="AL622" s="545">
        <f ca="1">IF(AND($D622="Serviço",AL$12&lt;&gt;0,$H622&gt;0,OR(AUTOEVENTO&lt;&gt;"manual",$M622&lt;&gt;1)),
IF(Import.TipoArredondamento&lt;&gt;"TransfereGOV",
ROUND(OFFSET($P622,0,AL$13),15-13*ORÇAMENTO!$AF$7)/$H622*OFFSET(ORÇAMENTO!$X$15,ROW(AL622)-ROW(AL$15),0),
ROUND(ROUND(OFFSET($P622,0,AL$13),15-13*ORÇAMENTO!$AF$7)*OFFSET(ORÇAMENTO!$W$15,ROW(AL622)-ROW(AL$15),0),15-13*ORÇAMENTO!$AF$11)),0)</f>
        <v>0</v>
      </c>
      <c r="AM622" s="545">
        <f ca="1">IF(AND($D622="Serviço",AM$12&lt;&gt;0,$H622&gt;0,OR(AUTOEVENTO&lt;&gt;"manual",$M622&lt;&gt;1)),
IF(Import.TipoArredondamento&lt;&gt;"TransfereGOV",
ROUND(OFFSET($P622,0,AM$13),15-13*ORÇAMENTO!$AF$7)/$H622*OFFSET(ORÇAMENTO!$X$15,ROW(AM622)-ROW(AM$15),0),
ROUND(ROUND(OFFSET($P622,0,AM$13),15-13*ORÇAMENTO!$AF$7)*OFFSET(ORÇAMENTO!$W$15,ROW(AM622)-ROW(AM$15),0),15-13*ORÇAMENTO!$AF$11)),0)</f>
        <v>0</v>
      </c>
      <c r="AN622" s="545">
        <f ca="1">IF(AND($D622="Serviço",AN$12&lt;&gt;0,$H622&gt;0,OR(AUTOEVENTO&lt;&gt;"manual",$M622&lt;&gt;1)),
IF(Import.TipoArredondamento&lt;&gt;"TransfereGOV",
ROUND(OFFSET($P622,0,AN$13),15-13*ORÇAMENTO!$AF$7)/$H622*OFFSET(ORÇAMENTO!$X$15,ROW(AN622)-ROW(AN$15),0),
ROUND(ROUND(OFFSET($P622,0,AN$13),15-13*ORÇAMENTO!$AF$7)*OFFSET(ORÇAMENTO!$W$15,ROW(AN622)-ROW(AN$15),0),15-13*ORÇAMENTO!$AF$11)),0)</f>
        <v>0</v>
      </c>
      <c r="AO622" s="545">
        <f ca="1">IF(AND($D622="Serviço",AO$12&lt;&gt;0,$H622&gt;0,OR(AUTOEVENTO&lt;&gt;"manual",$M622&lt;&gt;1)),
IF(Import.TipoArredondamento&lt;&gt;"TransfereGOV",
ROUND(OFFSET($P622,0,AO$13),15-13*ORÇAMENTO!$AF$7)/$H622*OFFSET(ORÇAMENTO!$X$15,ROW(AO622)-ROW(AO$15),0),
ROUND(ROUND(OFFSET($P622,0,AO$13),15-13*ORÇAMENTO!$AF$7)*OFFSET(ORÇAMENTO!$W$15,ROW(AO622)-ROW(AO$15),0),15-13*ORÇAMENTO!$AF$11)),0)</f>
        <v>0</v>
      </c>
      <c r="AP622" s="545">
        <f ca="1">IF(AND($D622="Serviço",AP$12&lt;&gt;0,$H622&gt;0,OR(AUTOEVENTO&lt;&gt;"manual",$M622&lt;&gt;1)),
IF(Import.TipoArredondamento&lt;&gt;"TransfereGOV",
ROUND(OFFSET($P622,0,AP$13),15-13*ORÇAMENTO!$AF$7)/$H622*OFFSET(ORÇAMENTO!$X$15,ROW(AP622)-ROW(AP$15),0),
ROUND(ROUND(OFFSET($P622,0,AP$13),15-13*ORÇAMENTO!$AF$7)*OFFSET(ORÇAMENTO!$W$15,ROW(AP622)-ROW(AP$15),0),15-13*ORÇAMENTO!$AF$11)),0)</f>
        <v>0</v>
      </c>
      <c r="AQ622" s="545">
        <f ca="1">IF(AND($D622="Serviço",AQ$12&lt;&gt;0,$H622&gt;0,OR(AUTOEVENTO&lt;&gt;"manual",$M622&lt;&gt;1)),
IF(Import.TipoArredondamento&lt;&gt;"TransfereGOV",
ROUND(OFFSET($P622,0,AQ$13),15-13*ORÇAMENTO!$AF$7)/$H622*OFFSET(ORÇAMENTO!$X$15,ROW(AQ622)-ROW(AQ$15),0),
ROUND(ROUND(OFFSET($P622,0,AQ$13),15-13*ORÇAMENTO!$AF$7)*OFFSET(ORÇAMENTO!$W$15,ROW(AQ622)-ROW(AQ$15),0),15-13*ORÇAMENTO!$AF$11)),0)</f>
        <v>0</v>
      </c>
      <c r="AR622" s="545">
        <f ca="1">IF(AND($D622="Serviço",AR$12&lt;&gt;0,$H622&gt;0,OR(AUTOEVENTO&lt;&gt;"manual",$M622&lt;&gt;1)),
IF(Import.TipoArredondamento&lt;&gt;"TransfereGOV",
ROUND(OFFSET($P622,0,AR$13),15-13*ORÇAMENTO!$AF$7)/$H622*OFFSET(ORÇAMENTO!$X$15,ROW(AR622)-ROW(AR$15),0),
ROUND(ROUND(OFFSET($P622,0,AR$13),15-13*ORÇAMENTO!$AF$7)*OFFSET(ORÇAMENTO!$W$15,ROW(AR622)-ROW(AR$15),0),15-13*ORÇAMENTO!$AF$11)),0)</f>
        <v>0</v>
      </c>
      <c r="AS622" s="546">
        <f ca="1">IF(AND($D622="Serviço",AS$12&lt;&gt;0,$H622&gt;0,OR(AUTOEVENTO&lt;&gt;"manual",$M622&lt;&gt;1)),
IF(Import.TipoArredondamento&lt;&gt;"TransfereGOV",
ROUND(OFFSET($P622,0,AS$13),15-13*ORÇAMENTO!$AF$7)/$H622*OFFSET(ORÇAMENTO!$X$15,ROW(AS622)-ROW(AS$15),0),
ROUND(ROUND(OFFSET($P622,0,AS$13),15-13*ORÇAMENTO!$AF$7)*OFFSET(ORÇAMENTO!$W$15,ROW(AS622)-ROW(AS$15),0),15-13*ORÇAMENTO!$AF$11)),0)</f>
        <v>0</v>
      </c>
      <c r="AT622" s="545">
        <f ca="1">IF(AND($D622="Serviço",AT$12&lt;&gt;0,$H622&gt;0,OR(AUTOEVENTO&lt;&gt;"manual",$M622&lt;&gt;1)),
IF(Import.TipoArredondamento&lt;&gt;"TransfereGOV",
ROUND(OFFSET($P622,0,AT$13),15-13*ORÇAMENTO!$AF$7)/$H622*OFFSET(ORÇAMENTO!$X$15,ROW(AT622)-ROW(AT$15),0),
ROUND(ROUND(OFFSET($P622,0,AT$13),15-13*ORÇAMENTO!$AF$7)*OFFSET(ORÇAMENTO!$W$15,ROW(AT622)-ROW(AT$15),0),15-13*ORÇAMENTO!$AF$11)),0)</f>
        <v>0</v>
      </c>
      <c r="AU622" s="545">
        <f ca="1">IF(AND($D622="Serviço",AU$12&lt;&gt;0,$H622&gt;0,OR(AUTOEVENTO&lt;&gt;"manual",$M622&lt;&gt;1)),
IF(Import.TipoArredondamento&lt;&gt;"TransfereGOV",
ROUND(OFFSET($P622,0,AU$13),15-13*ORÇAMENTO!$AF$7)/$H622*OFFSET(ORÇAMENTO!$X$15,ROW(AU622)-ROW(AU$15),0),
ROUND(ROUND(OFFSET($P622,0,AU$13),15-13*ORÇAMENTO!$AF$7)*OFFSET(ORÇAMENTO!$W$15,ROW(AU622)-ROW(AU$15),0),15-13*ORÇAMENTO!$AF$11)),0)</f>
        <v>0</v>
      </c>
      <c r="AV622" s="545">
        <f ca="1">IF(AND($D622="Serviço",AV$12&lt;&gt;0,$H622&gt;0,OR(AUTOEVENTO&lt;&gt;"manual",$M622&lt;&gt;1)),
IF(Import.TipoArredondamento&lt;&gt;"TransfereGOV",
ROUND(OFFSET($P622,0,AV$13),15-13*ORÇAMENTO!$AF$7)/$H622*OFFSET(ORÇAMENTO!$X$15,ROW(AV622)-ROW(AV$15),0),
ROUND(ROUND(OFFSET($P622,0,AV$13),15-13*ORÇAMENTO!$AF$7)*OFFSET(ORÇAMENTO!$W$15,ROW(AV622)-ROW(AV$15),0),15-13*ORÇAMENTO!$AF$11)),0)</f>
        <v>0</v>
      </c>
      <c r="AW622" s="545">
        <f ca="1">IF(AND($D622="Serviço",AW$12&lt;&gt;0,$H622&gt;0,OR(AUTOEVENTO&lt;&gt;"manual",$M622&lt;&gt;1)),
IF(Import.TipoArredondamento&lt;&gt;"TransfereGOV",
ROUND(OFFSET($P622,0,AW$13),15-13*ORÇAMENTO!$AF$7)/$H622*OFFSET(ORÇAMENTO!$X$15,ROW(AW622)-ROW(AW$15),0),
ROUND(ROUND(OFFSET($P622,0,AW$13),15-13*ORÇAMENTO!$AF$7)*OFFSET(ORÇAMENTO!$W$15,ROW(AW622)-ROW(AW$15),0),15-13*ORÇAMENTO!$AF$11)),0)</f>
        <v>0</v>
      </c>
      <c r="AX622" s="545">
        <f ca="1">IF(AND($D622="Serviço",AX$12&lt;&gt;0,$H622&gt;0,OR(AUTOEVENTO&lt;&gt;"manual",$M622&lt;&gt;1)),
IF(Import.TipoArredondamento&lt;&gt;"TransfereGOV",
ROUND(OFFSET($P622,0,AX$13),15-13*ORÇAMENTO!$AF$7)/$H622*OFFSET(ORÇAMENTO!$X$15,ROW(AX622)-ROW(AX$15),0),
ROUND(ROUND(OFFSET($P622,0,AX$13),15-13*ORÇAMENTO!$AF$7)*OFFSET(ORÇAMENTO!$W$15,ROW(AX622)-ROW(AX$15),0),15-13*ORÇAMENTO!$AF$11)),0)</f>
        <v>0</v>
      </c>
      <c r="AY622" s="545">
        <f ca="1">IF(AND($D622="Serviço",AY$12&lt;&gt;0,$H622&gt;0,OR(AUTOEVENTO&lt;&gt;"manual",$M622&lt;&gt;1)),
IF(Import.TipoArredondamento&lt;&gt;"TransfereGOV",
ROUND(OFFSET($P622,0,AY$13),15-13*ORÇAMENTO!$AF$7)/$H622*OFFSET(ORÇAMENTO!$X$15,ROW(AY622)-ROW(AY$15),0),
ROUND(ROUND(OFFSET($P622,0,AY$13),15-13*ORÇAMENTO!$AF$7)*OFFSET(ORÇAMENTO!$W$15,ROW(AY622)-ROW(AY$15),0),15-13*ORÇAMENTO!$AF$11)),0)</f>
        <v>0</v>
      </c>
      <c r="AZ622" s="545">
        <f ca="1">IF(AND($D622="Serviço",AZ$12&lt;&gt;0,$H622&gt;0,OR(AUTOEVENTO&lt;&gt;"manual",$M622&lt;&gt;1)),
IF(Import.TipoArredondamento&lt;&gt;"TransfereGOV",
ROUND(OFFSET($P622,0,AZ$13),15-13*ORÇAMENTO!$AF$7)/$H622*OFFSET(ORÇAMENTO!$X$15,ROW(AZ622)-ROW(AZ$15),0),
ROUND(ROUND(OFFSET($P622,0,AZ$13),15-13*ORÇAMENTO!$AF$7)*OFFSET(ORÇAMENTO!$W$15,ROW(AZ622)-ROW(AZ$15),0),15-13*ORÇAMENTO!$AF$11)),0)</f>
        <v>0</v>
      </c>
      <c r="BA622" s="546">
        <f ca="1">IF(AND($D622="Serviço",BA$12&lt;&gt;0,$H622&gt;0,OR(AUTOEVENTO&lt;&gt;"manual",$M622&lt;&gt;1)),
IF(Import.TipoArredondamento&lt;&gt;"TransfereGOV",
ROUND(OFFSET($P622,0,BA$13),15-13*ORÇAMENTO!$AF$7)/$H622*OFFSET(ORÇAMENTO!$X$15,ROW(BA622)-ROW(BA$15),0),
ROUND(ROUND(OFFSET($P622,0,BA$13),15-13*ORÇAMENTO!$AF$7)*OFFSET(ORÇAMENTO!$W$15,ROW(BA622)-ROW(BA$15),0),15-13*ORÇAMENTO!$AF$11)),0)</f>
        <v>0</v>
      </c>
      <c r="BC622" s="181">
        <f ca="1">IF($D622&lt;&gt;"Serviço",0,IF(AND(AUTOEVENTO="Manual",$M622=1),0,IF(OFFSET(CRONOPLE!$F$14,$M622,BC$13)="",10^12,OFFSET(CRONOPLE!$F$14,$M622,BC$13))))</f>
        <v>11</v>
      </c>
      <c r="BD622" s="181">
        <f ca="1">IF($D622&lt;&gt;"Serviço",0,IF(AND(AUTOEVENTO="Manual",$M622=1),0,IF(OFFSET(CRONOPLE!$F$14,$M622,BD$13)="",10^12,OFFSET(CRONOPLE!$F$14,$M622,BD$13))))</f>
        <v>1000000000000</v>
      </c>
      <c r="BE622" s="181">
        <f ca="1">IF($D622&lt;&gt;"Serviço",0,IF(AND(AUTOEVENTO="Manual",$M622=1),0,IF(OFFSET(CRONOPLE!$F$14,$M622,BE$13)="",10^12,OFFSET(CRONOPLE!$F$14,$M622,BE$13))))</f>
        <v>1000000000000</v>
      </c>
      <c r="BF622" s="181">
        <f ca="1">IF($D622&lt;&gt;"Serviço",0,IF(AND(AUTOEVENTO="Manual",$M622=1),0,IF(OFFSET(CRONOPLE!$F$14,$M622,BF$13)="",10^12,OFFSET(CRONOPLE!$F$14,$M622,BF$13))))</f>
        <v>1000000000000</v>
      </c>
      <c r="BG622" s="181">
        <f ca="1">IF($D622&lt;&gt;"Serviço",0,IF(AND(AUTOEVENTO="Manual",$M622=1),0,IF(OFFSET(CRONOPLE!$F$14,$M622,BG$13)="",10^12,OFFSET(CRONOPLE!$F$14,$M622,BG$13))))</f>
        <v>1000000000000</v>
      </c>
      <c r="BH622" s="181">
        <f ca="1">IF($D622&lt;&gt;"Serviço",0,IF(AND(AUTOEVENTO="Manual",$M622=1),0,IF(OFFSET(CRONOPLE!$F$14,$M622,BH$13)="",10^12,OFFSET(CRONOPLE!$F$14,$M622,BH$13))))</f>
        <v>1000000000000</v>
      </c>
      <c r="BI622" s="181">
        <f ca="1">IF($D622&lt;&gt;"Serviço",0,IF(AND(AUTOEVENTO="Manual",$M622=1),0,IF(OFFSET(CRONOPLE!$F$14,$M622,BI$13)="",10^12,OFFSET(CRONOPLE!$F$14,$M622,BI$13))))</f>
        <v>1000000000000</v>
      </c>
      <c r="BJ622" s="181">
        <f ca="1">IF($D622&lt;&gt;"Serviço",0,IF(AND(AUTOEVENTO="Manual",$M622=1),0,IF(OFFSET(CRONOPLE!$F$14,$M622,BJ$13)="",10^12,OFFSET(CRONOPLE!$F$14,$M622,BJ$13))))</f>
        <v>1000000000000</v>
      </c>
      <c r="BK622" s="181">
        <f ca="1">IF($D622&lt;&gt;"Serviço",0,IF(AND(AUTOEVENTO="Manual",$M622=1),0,IF(OFFSET(CRONOPLE!$F$14,$M622,BK$13)="",10^12,OFFSET(CRONOPLE!$F$14,$M622,BK$13))))</f>
        <v>1000000000000</v>
      </c>
      <c r="BL622" s="181">
        <f ca="1">IF($D622&lt;&gt;"Serviço",0,IF(AND(AUTOEVENTO="Manual",$M622=1),0,IF(OFFSET(CRONOPLE!$F$14,$M622,BL$13)="",10^12,OFFSET(CRONOPLE!$F$14,$M622,BL$13))))</f>
        <v>1000000000000</v>
      </c>
      <c r="BM622" s="181">
        <f ca="1">IF($D622&lt;&gt;"Serviço",0,IF(AND(AUTOEVENTO="Manual",$M622=1),0,IF(OFFSET(CRONOPLE!$F$14,$M622,BM$13)="",10^12,OFFSET(CRONOPLE!$F$14,$M622,BM$13))))</f>
        <v>1000000000000</v>
      </c>
      <c r="BN622" s="181">
        <f ca="1">IF($D622&lt;&gt;"Serviço",0,IF(AND(AUTOEVENTO="Manual",$M622=1),0,IF(OFFSET(CRONOPLE!$F$14,$M622,BN$13)="",10^12,OFFSET(CRONOPLE!$F$14,$M622,BN$13))))</f>
        <v>1000000000000</v>
      </c>
      <c r="BO622" s="181">
        <f ca="1">IF($D622&lt;&gt;"Serviço",0,IF(AND(AUTOEVENTO="Manual",$M622=1),0,IF(OFFSET(CRONOPLE!$F$14,$M622,BO$13)="",10^12,OFFSET(CRONOPLE!$F$14,$M622,BO$13))))</f>
        <v>1000000000000</v>
      </c>
      <c r="BP622" s="181">
        <f ca="1">IF($D622&lt;&gt;"Serviço",0,IF(AND(AUTOEVENTO="Manual",$M622=1),0,IF(OFFSET(CRONOPLE!$F$14,$M622,BP$13)="",10^12,OFFSET(CRONOPLE!$F$14,$M622,BP$13))))</f>
        <v>1000000000000</v>
      </c>
      <c r="BQ622" s="181">
        <f ca="1">IF($D622&lt;&gt;"Serviço",0,IF(AND(AUTOEVENTO="Manual",$M622=1),0,IF(OFFSET(CRONOPLE!$F$14,$M622,BQ$13)="",10^12,OFFSET(CRONOPLE!$F$14,$M622,BQ$13))))</f>
        <v>1000000000000</v>
      </c>
      <c r="BR622" s="181">
        <f ca="1">IF($D622&lt;&gt;"Serviço",0,IF(AND(AUTOEVENTO="Manual",$M622=1),0,IF(OFFSET(CRONOPLE!$F$14,$M622,BR$13)="",10^12,OFFSET(CRONOPLE!$F$14,$M622,BR$13))))</f>
        <v>1000000000000</v>
      </c>
      <c r="BS622" s="181">
        <f ca="1">IF($D622&lt;&gt;"Serviço",0,IF(AND(AUTOEVENTO="Manual",$M622=1),0,IF(OFFSET(CRONOPLE!$F$14,$M622,BS$13)="",10^12,OFFSET(CRONOPLE!$F$14,$M622,BS$13))))</f>
        <v>1000000000000</v>
      </c>
      <c r="BT622" s="181">
        <f ca="1">IF($D622&lt;&gt;"Serviço",0,IF(AND(AUTOEVENTO="Manual",$M622=1),0,IF(OFFSET(CRONOPLE!$F$14,$M622,BT$13)="",10^12,OFFSET(CRONOPLE!$F$14,$M622,BT$13))))</f>
        <v>1000000000000</v>
      </c>
      <c r="BV622" s="182">
        <f ca="1">IF($D622&lt;&gt;"Serviço",0,IF(OR(AND(AUTOEVENTO="Manual",$M622=1),$M622&gt;(ROW(PLE.lastrow)-ROW(PLE.firstrow))),0,IF(OFFSET(PLE!$G$14,$M622,BV$13)="",10^12,OFFSET(PLE!$G$14,$M622,BV$13))))</f>
        <v>1000000000000</v>
      </c>
      <c r="BW622" s="182">
        <f ca="1">IF($D622&lt;&gt;"Serviço",0,IF(OR(AND(AUTOEVENTO="Manual",$M622=1),$M622&gt;(ROW(PLE.lastrow)-ROW(PLE.firstrow))),0,IF(OFFSET(PLE!$G$14,$M622,BW$13)="",10^12,OFFSET(PLE!$G$14,$M622,BW$13))))</f>
        <v>1000000000000</v>
      </c>
      <c r="BX622" s="182">
        <f ca="1">IF($D622&lt;&gt;"Serviço",0,IF(OR(AND(AUTOEVENTO="Manual",$M622=1),$M622&gt;(ROW(PLE.lastrow)-ROW(PLE.firstrow))),0,IF(OFFSET(PLE!$G$14,$M622,BX$13)="",10^12,OFFSET(PLE!$G$14,$M622,BX$13))))</f>
        <v>1000000000000</v>
      </c>
      <c r="BY622" s="182">
        <f ca="1">IF($D622&lt;&gt;"Serviço",0,IF(OR(AND(AUTOEVENTO="Manual",$M622=1),$M622&gt;(ROW(PLE.lastrow)-ROW(PLE.firstrow))),0,IF(OFFSET(PLE!$G$14,$M622,BY$13)="",10^12,OFFSET(PLE!$G$14,$M622,BY$13))))</f>
        <v>1000000000000</v>
      </c>
      <c r="BZ622" s="182">
        <f ca="1">IF($D622&lt;&gt;"Serviço",0,IF(OR(AND(AUTOEVENTO="Manual",$M622=1),$M622&gt;(ROW(PLE.lastrow)-ROW(PLE.firstrow))),0,IF(OFFSET(PLE!$G$14,$M622,BZ$13)="",10^12,OFFSET(PLE!$G$14,$M622,BZ$13))))</f>
        <v>1000000000000</v>
      </c>
      <c r="CA622" s="182">
        <f ca="1">IF($D622&lt;&gt;"Serviço",0,IF(OR(AND(AUTOEVENTO="Manual",$M622=1),$M622&gt;(ROW(PLE.lastrow)-ROW(PLE.firstrow))),0,IF(OFFSET(PLE!$G$14,$M622,CA$13)="",10^12,OFFSET(PLE!$G$14,$M622,CA$13))))</f>
        <v>1000000000000</v>
      </c>
      <c r="CB622" s="182">
        <f ca="1">IF($D622&lt;&gt;"Serviço",0,IF(OR(AND(AUTOEVENTO="Manual",$M622=1),$M622&gt;(ROW(PLE.lastrow)-ROW(PLE.firstrow))),0,IF(OFFSET(PLE!$G$14,$M622,CB$13)="",10^12,OFFSET(PLE!$G$14,$M622,CB$13))))</f>
        <v>1000000000000</v>
      </c>
      <c r="CC622" s="182">
        <f ca="1">IF($D622&lt;&gt;"Serviço",0,IF(OR(AND(AUTOEVENTO="Manual",$M622=1),$M622&gt;(ROW(PLE.lastrow)-ROW(PLE.firstrow))),0,IF(OFFSET(PLE!$G$14,$M622,CC$13)="",10^12,OFFSET(PLE!$G$14,$M622,CC$13))))</f>
        <v>1000000000000</v>
      </c>
      <c r="CD622" s="182">
        <f ca="1">IF($D622&lt;&gt;"Serviço",0,IF(OR(AND(AUTOEVENTO="Manual",$M622=1),$M622&gt;(ROW(PLE.lastrow)-ROW(PLE.firstrow))),0,IF(OFFSET(PLE!$G$14,$M622,CD$13)="",10^12,OFFSET(PLE!$G$14,$M622,CD$13))))</f>
        <v>1000000000000</v>
      </c>
      <c r="CE622" s="182">
        <f ca="1">IF($D622&lt;&gt;"Serviço",0,IF(OR(AND(AUTOEVENTO="Manual",$M622=1),$M622&gt;(ROW(PLE.lastrow)-ROW(PLE.firstrow))),0,IF(OFFSET(PLE!$G$14,$M622,CE$13)="",10^12,OFFSET(PLE!$G$14,$M622,CE$13))))</f>
        <v>1000000000000</v>
      </c>
      <c r="CF622" s="182">
        <f ca="1">IF($D622&lt;&gt;"Serviço",0,IF(OR(AND(AUTOEVENTO="Manual",$M622=1),$M622&gt;(ROW(PLE.lastrow)-ROW(PLE.firstrow))),0,IF(OFFSET(PLE!$G$14,$M622,CF$13)="",10^12,OFFSET(PLE!$G$14,$M622,CF$13))))</f>
        <v>1000000000000</v>
      </c>
      <c r="CG622" s="182">
        <f ca="1">IF($D622&lt;&gt;"Serviço",0,IF(OR(AND(AUTOEVENTO="Manual",$M622=1),$M622&gt;(ROW(PLE.lastrow)-ROW(PLE.firstrow))),0,IF(OFFSET(PLE!$G$14,$M622,CG$13)="",10^12,OFFSET(PLE!$G$14,$M622,CG$13))))</f>
        <v>1000000000000</v>
      </c>
      <c r="CH622" s="182">
        <f ca="1">IF($D622&lt;&gt;"Serviço",0,IF(OR(AND(AUTOEVENTO="Manual",$M622=1),$M622&gt;(ROW(PLE.lastrow)-ROW(PLE.firstrow))),0,IF(OFFSET(PLE!$G$14,$M622,CH$13)="",10^12,OFFSET(PLE!$G$14,$M622,CH$13))))</f>
        <v>1000000000000</v>
      </c>
      <c r="CI622" s="182">
        <f ca="1">IF($D622&lt;&gt;"Serviço",0,IF(OR(AND(AUTOEVENTO="Manual",$M622=1),$M622&gt;(ROW(PLE.lastrow)-ROW(PLE.firstrow))),0,IF(OFFSET(PLE!$G$14,$M622,CI$13)="",10^12,OFFSET(PLE!$G$14,$M622,CI$13))))</f>
        <v>1000000000000</v>
      </c>
      <c r="CJ622" s="182">
        <f ca="1">IF($D622&lt;&gt;"Serviço",0,IF(OR(AND(AUTOEVENTO="Manual",$M622=1),$M622&gt;(ROW(PLE.lastrow)-ROW(PLE.firstrow))),0,IF(OFFSET(PLE!$G$14,$M622,CJ$13)="",10^12,OFFSET(PLE!$G$14,$M622,CJ$13))))</f>
        <v>1000000000000</v>
      </c>
      <c r="CK622" s="182">
        <f ca="1">IF($D622&lt;&gt;"Serviço",0,IF(OR(AND(AUTOEVENTO="Manual",$M622=1),$M622&gt;(ROW(PLE.lastrow)-ROW(PLE.firstrow))),0,IF(OFFSET(PLE!$G$14,$M622,CK$13)="",10^12,OFFSET(PLE!$G$14,$M622,CK$13))))</f>
        <v>1000000000000</v>
      </c>
      <c r="CL622" s="182">
        <f ca="1">IF($D622&lt;&gt;"Serviço",0,IF(OR(AND(AUTOEVENTO="Manual",$M622=1),$M622&gt;(ROW(PLE.lastrow)-ROW(PLE.firstrow))),0,IF(OFFSET(PLE!$G$14,$M622,CL$13)="",10^12,OFFSET(PLE!$G$14,$M622,CL$13))))</f>
        <v>1000000000000</v>
      </c>
      <c r="CM622" s="182">
        <f ca="1">IF($D622&lt;&gt;"Serviço",0,IF(OR(AND(AUTOEVENTO="Manual",$M622=1),$M622&gt;(ROW(PLE.lastrow)-ROW(PLE.firstrow))),0,IF(OFFSET(PLE!$G$14,$M622,CM$13)="",10^12,OFFSET(PLE!$G$14,$M622,CM$13))))</f>
        <v>1000000000000</v>
      </c>
    </row>
    <row r="623" spans="1:91" ht="38.25" x14ac:dyDescent="0.2">
      <c r="A623" s="7" t="str">
        <f t="shared" ca="1" si="18"/>
        <v>603</v>
      </c>
      <c r="B623" s="7" t="str">
        <f ca="1">OFFSET(ORÇAMENTO!C$15,ROW(B623)-ROW(B$15),0)</f>
        <v>S</v>
      </c>
      <c r="C623" s="7" t="str">
        <f ca="1">OFFSET(ORÇAMENTO!L$15,ROW(C623)-ROW(C$15),0)</f>
        <v/>
      </c>
      <c r="D623" s="118" t="str">
        <f ca="1">OFFSET(ORÇAMENTO!N$15,ROW(D623)-ROW(D$15),0)</f>
        <v>Serviço</v>
      </c>
      <c r="E623" s="119" t="str">
        <f ca="1">OFFSET(ORÇAMENTO!O$15,ROW(E623)-ROW(E$15),0)</f>
        <v>-</v>
      </c>
      <c r="F623" s="172" t="str">
        <f ca="1">OFFSET(ORÇAMENTO!R$15,ROW(F623)-ROW(F$15),0)</f>
        <v>(abra o arquivo 'Referência 06-2024.xlsm)</v>
      </c>
      <c r="G623" s="173" t="str">
        <f ca="1">IF($D623&lt;&gt;"Serviço","",OFFSET(ORÇAMENTO!S$15,ROW(G623)-ROW(G$15),0))</f>
        <v>-</v>
      </c>
      <c r="H623" s="124">
        <f ca="1">IF($D623&lt;&gt;"Serviço",0,IF(ACOMPANHAMENTO="BM",ROUND(OFFSET(ORÇAMENTO!AJ$15,ROW(H623)-ROW(H$15),0),15-13*ORÇAMENTO!$AF$7),SUMPRODUCT(($Q$12:$AI$12&lt;&gt;"")*ROUND($Q623:$AI623,15-13*ORÇAMENTO!$AF$7))))</f>
        <v>1</v>
      </c>
      <c r="I623" s="561" t="s">
        <v>1107</v>
      </c>
      <c r="K623" s="174"/>
      <c r="L623" s="175" t="s">
        <v>255</v>
      </c>
      <c r="M623" s="176">
        <f ca="1">IF($D623&lt;&gt;"Serviço","",IF(AUTOEVENTO="manual",$A623,IF(ISERROR(MATCH($A623,$A$15:OFFSET($A623,-1,0),0)),MAX($M$15:OFFSET(M623,-1,0))+1,INDEX($M$15:OFFSET(M623,-1,0),MATCH($A623,$A$15:OFFSET($A623,-1,0),0)))))</f>
        <v>65</v>
      </c>
      <c r="N623" s="177" t="str">
        <f ca="1">IF($D623&lt;&gt;"Serviço","",IF(AUTOEVENTO="Manual",IF($A623=0,"&lt;-- defina o número do agrupador",OFFSET(EVENTOS!$D$14,$A623,0)),OFFSET($F$15,$A623,0)))</f>
        <v>INSTALAÇÕES DE CABEAMENTO ESTRUTURADO - ACESSÓRIOS DE CABEAMENTO</v>
      </c>
      <c r="O623" s="178"/>
      <c r="Q623" s="178">
        <v>1</v>
      </c>
      <c r="R623" s="179"/>
      <c r="S623" s="179"/>
      <c r="T623" s="179"/>
      <c r="U623" s="179"/>
      <c r="V623" s="179"/>
      <c r="W623" s="179"/>
      <c r="X623" s="179"/>
      <c r="Y623" s="179"/>
      <c r="Z623" s="180"/>
      <c r="AA623" s="179"/>
      <c r="AB623" s="179"/>
      <c r="AC623" s="179"/>
      <c r="AD623" s="179"/>
      <c r="AE623" s="179"/>
      <c r="AF623" s="179"/>
      <c r="AG623" s="179"/>
      <c r="AH623" s="180"/>
      <c r="AJ623" s="544">
        <f ca="1">IF(AND($D623="Serviço",AJ$12&lt;&gt;0,$H623&gt;0,OR(AUTOEVENTO&lt;&gt;"manual",$M623&lt;&gt;1)),
IF(Import.TipoArredondamento&lt;&gt;"TransfereGOV",
ROUND(OFFSET($P623,0,AJ$13),15-13*ORÇAMENTO!$AF$7)/$H623*OFFSET(ORÇAMENTO!$X$15,ROW(AJ623)-ROW(AJ$15),0),
ROUND(ROUND(OFFSET($P623,0,AJ$13),15-13*ORÇAMENTO!$AF$7)*OFFSET(ORÇAMENTO!$W$15,ROW(AJ623)-ROW(AJ$15),0),15-13*ORÇAMENTO!$AF$11)),0)</f>
        <v>0</v>
      </c>
      <c r="AK623" s="545">
        <f ca="1">IF(AND($D623="Serviço",AK$12&lt;&gt;0,$H623&gt;0,OR(AUTOEVENTO&lt;&gt;"manual",$M623&lt;&gt;1)),
IF(Import.TipoArredondamento&lt;&gt;"TransfereGOV",
ROUND(OFFSET($P623,0,AK$13),15-13*ORÇAMENTO!$AF$7)/$H623*OFFSET(ORÇAMENTO!$X$15,ROW(AK623)-ROW(AK$15),0),
ROUND(ROUND(OFFSET($P623,0,AK$13),15-13*ORÇAMENTO!$AF$7)*OFFSET(ORÇAMENTO!$W$15,ROW(AK623)-ROW(AK$15),0),15-13*ORÇAMENTO!$AF$11)),0)</f>
        <v>0</v>
      </c>
      <c r="AL623" s="545">
        <f ca="1">IF(AND($D623="Serviço",AL$12&lt;&gt;0,$H623&gt;0,OR(AUTOEVENTO&lt;&gt;"manual",$M623&lt;&gt;1)),
IF(Import.TipoArredondamento&lt;&gt;"TransfereGOV",
ROUND(OFFSET($P623,0,AL$13),15-13*ORÇAMENTO!$AF$7)/$H623*OFFSET(ORÇAMENTO!$X$15,ROW(AL623)-ROW(AL$15),0),
ROUND(ROUND(OFFSET($P623,0,AL$13),15-13*ORÇAMENTO!$AF$7)*OFFSET(ORÇAMENTO!$W$15,ROW(AL623)-ROW(AL$15),0),15-13*ORÇAMENTO!$AF$11)),0)</f>
        <v>0</v>
      </c>
      <c r="AM623" s="545">
        <f ca="1">IF(AND($D623="Serviço",AM$12&lt;&gt;0,$H623&gt;0,OR(AUTOEVENTO&lt;&gt;"manual",$M623&lt;&gt;1)),
IF(Import.TipoArredondamento&lt;&gt;"TransfereGOV",
ROUND(OFFSET($P623,0,AM$13),15-13*ORÇAMENTO!$AF$7)/$H623*OFFSET(ORÇAMENTO!$X$15,ROW(AM623)-ROW(AM$15),0),
ROUND(ROUND(OFFSET($P623,0,AM$13),15-13*ORÇAMENTO!$AF$7)*OFFSET(ORÇAMENTO!$W$15,ROW(AM623)-ROW(AM$15),0),15-13*ORÇAMENTO!$AF$11)),0)</f>
        <v>0</v>
      </c>
      <c r="AN623" s="545">
        <f ca="1">IF(AND($D623="Serviço",AN$12&lt;&gt;0,$H623&gt;0,OR(AUTOEVENTO&lt;&gt;"manual",$M623&lt;&gt;1)),
IF(Import.TipoArredondamento&lt;&gt;"TransfereGOV",
ROUND(OFFSET($P623,0,AN$13),15-13*ORÇAMENTO!$AF$7)/$H623*OFFSET(ORÇAMENTO!$X$15,ROW(AN623)-ROW(AN$15),0),
ROUND(ROUND(OFFSET($P623,0,AN$13),15-13*ORÇAMENTO!$AF$7)*OFFSET(ORÇAMENTO!$W$15,ROW(AN623)-ROW(AN$15),0),15-13*ORÇAMENTO!$AF$11)),0)</f>
        <v>0</v>
      </c>
      <c r="AO623" s="545">
        <f ca="1">IF(AND($D623="Serviço",AO$12&lt;&gt;0,$H623&gt;0,OR(AUTOEVENTO&lt;&gt;"manual",$M623&lt;&gt;1)),
IF(Import.TipoArredondamento&lt;&gt;"TransfereGOV",
ROUND(OFFSET($P623,0,AO$13),15-13*ORÇAMENTO!$AF$7)/$H623*OFFSET(ORÇAMENTO!$X$15,ROW(AO623)-ROW(AO$15),0),
ROUND(ROUND(OFFSET($P623,0,AO$13),15-13*ORÇAMENTO!$AF$7)*OFFSET(ORÇAMENTO!$W$15,ROW(AO623)-ROW(AO$15),0),15-13*ORÇAMENTO!$AF$11)),0)</f>
        <v>0</v>
      </c>
      <c r="AP623" s="545">
        <f ca="1">IF(AND($D623="Serviço",AP$12&lt;&gt;0,$H623&gt;0,OR(AUTOEVENTO&lt;&gt;"manual",$M623&lt;&gt;1)),
IF(Import.TipoArredondamento&lt;&gt;"TransfereGOV",
ROUND(OFFSET($P623,0,AP$13),15-13*ORÇAMENTO!$AF$7)/$H623*OFFSET(ORÇAMENTO!$X$15,ROW(AP623)-ROW(AP$15),0),
ROUND(ROUND(OFFSET($P623,0,AP$13),15-13*ORÇAMENTO!$AF$7)*OFFSET(ORÇAMENTO!$W$15,ROW(AP623)-ROW(AP$15),0),15-13*ORÇAMENTO!$AF$11)),0)</f>
        <v>0</v>
      </c>
      <c r="AQ623" s="545">
        <f ca="1">IF(AND($D623="Serviço",AQ$12&lt;&gt;0,$H623&gt;0,OR(AUTOEVENTO&lt;&gt;"manual",$M623&lt;&gt;1)),
IF(Import.TipoArredondamento&lt;&gt;"TransfereGOV",
ROUND(OFFSET($P623,0,AQ$13),15-13*ORÇAMENTO!$AF$7)/$H623*OFFSET(ORÇAMENTO!$X$15,ROW(AQ623)-ROW(AQ$15),0),
ROUND(ROUND(OFFSET($P623,0,AQ$13),15-13*ORÇAMENTO!$AF$7)*OFFSET(ORÇAMENTO!$W$15,ROW(AQ623)-ROW(AQ$15),0),15-13*ORÇAMENTO!$AF$11)),0)</f>
        <v>0</v>
      </c>
      <c r="AR623" s="545">
        <f ca="1">IF(AND($D623="Serviço",AR$12&lt;&gt;0,$H623&gt;0,OR(AUTOEVENTO&lt;&gt;"manual",$M623&lt;&gt;1)),
IF(Import.TipoArredondamento&lt;&gt;"TransfereGOV",
ROUND(OFFSET($P623,0,AR$13),15-13*ORÇAMENTO!$AF$7)/$H623*OFFSET(ORÇAMENTO!$X$15,ROW(AR623)-ROW(AR$15),0),
ROUND(ROUND(OFFSET($P623,0,AR$13),15-13*ORÇAMENTO!$AF$7)*OFFSET(ORÇAMENTO!$W$15,ROW(AR623)-ROW(AR$15),0),15-13*ORÇAMENTO!$AF$11)),0)</f>
        <v>0</v>
      </c>
      <c r="AS623" s="546">
        <f ca="1">IF(AND($D623="Serviço",AS$12&lt;&gt;0,$H623&gt;0,OR(AUTOEVENTO&lt;&gt;"manual",$M623&lt;&gt;1)),
IF(Import.TipoArredondamento&lt;&gt;"TransfereGOV",
ROUND(OFFSET($P623,0,AS$13),15-13*ORÇAMENTO!$AF$7)/$H623*OFFSET(ORÇAMENTO!$X$15,ROW(AS623)-ROW(AS$15),0),
ROUND(ROUND(OFFSET($P623,0,AS$13),15-13*ORÇAMENTO!$AF$7)*OFFSET(ORÇAMENTO!$W$15,ROW(AS623)-ROW(AS$15),0),15-13*ORÇAMENTO!$AF$11)),0)</f>
        <v>0</v>
      </c>
      <c r="AT623" s="545">
        <f ca="1">IF(AND($D623="Serviço",AT$12&lt;&gt;0,$H623&gt;0,OR(AUTOEVENTO&lt;&gt;"manual",$M623&lt;&gt;1)),
IF(Import.TipoArredondamento&lt;&gt;"TransfereGOV",
ROUND(OFFSET($P623,0,AT$13),15-13*ORÇAMENTO!$AF$7)/$H623*OFFSET(ORÇAMENTO!$X$15,ROW(AT623)-ROW(AT$15),0),
ROUND(ROUND(OFFSET($P623,0,AT$13),15-13*ORÇAMENTO!$AF$7)*OFFSET(ORÇAMENTO!$W$15,ROW(AT623)-ROW(AT$15),0),15-13*ORÇAMENTO!$AF$11)),0)</f>
        <v>0</v>
      </c>
      <c r="AU623" s="545">
        <f ca="1">IF(AND($D623="Serviço",AU$12&lt;&gt;0,$H623&gt;0,OR(AUTOEVENTO&lt;&gt;"manual",$M623&lt;&gt;1)),
IF(Import.TipoArredondamento&lt;&gt;"TransfereGOV",
ROUND(OFFSET($P623,0,AU$13),15-13*ORÇAMENTO!$AF$7)/$H623*OFFSET(ORÇAMENTO!$X$15,ROW(AU623)-ROW(AU$15),0),
ROUND(ROUND(OFFSET($P623,0,AU$13),15-13*ORÇAMENTO!$AF$7)*OFFSET(ORÇAMENTO!$W$15,ROW(AU623)-ROW(AU$15),0),15-13*ORÇAMENTO!$AF$11)),0)</f>
        <v>0</v>
      </c>
      <c r="AV623" s="545">
        <f ca="1">IF(AND($D623="Serviço",AV$12&lt;&gt;0,$H623&gt;0,OR(AUTOEVENTO&lt;&gt;"manual",$M623&lt;&gt;1)),
IF(Import.TipoArredondamento&lt;&gt;"TransfereGOV",
ROUND(OFFSET($P623,0,AV$13),15-13*ORÇAMENTO!$AF$7)/$H623*OFFSET(ORÇAMENTO!$X$15,ROW(AV623)-ROW(AV$15),0),
ROUND(ROUND(OFFSET($P623,0,AV$13),15-13*ORÇAMENTO!$AF$7)*OFFSET(ORÇAMENTO!$W$15,ROW(AV623)-ROW(AV$15),0),15-13*ORÇAMENTO!$AF$11)),0)</f>
        <v>0</v>
      </c>
      <c r="AW623" s="545">
        <f ca="1">IF(AND($D623="Serviço",AW$12&lt;&gt;0,$H623&gt;0,OR(AUTOEVENTO&lt;&gt;"manual",$M623&lt;&gt;1)),
IF(Import.TipoArredondamento&lt;&gt;"TransfereGOV",
ROUND(OFFSET($P623,0,AW$13),15-13*ORÇAMENTO!$AF$7)/$H623*OFFSET(ORÇAMENTO!$X$15,ROW(AW623)-ROW(AW$15),0),
ROUND(ROUND(OFFSET($P623,0,AW$13),15-13*ORÇAMENTO!$AF$7)*OFFSET(ORÇAMENTO!$W$15,ROW(AW623)-ROW(AW$15),0),15-13*ORÇAMENTO!$AF$11)),0)</f>
        <v>0</v>
      </c>
      <c r="AX623" s="545">
        <f ca="1">IF(AND($D623="Serviço",AX$12&lt;&gt;0,$H623&gt;0,OR(AUTOEVENTO&lt;&gt;"manual",$M623&lt;&gt;1)),
IF(Import.TipoArredondamento&lt;&gt;"TransfereGOV",
ROUND(OFFSET($P623,0,AX$13),15-13*ORÇAMENTO!$AF$7)/$H623*OFFSET(ORÇAMENTO!$X$15,ROW(AX623)-ROW(AX$15),0),
ROUND(ROUND(OFFSET($P623,0,AX$13),15-13*ORÇAMENTO!$AF$7)*OFFSET(ORÇAMENTO!$W$15,ROW(AX623)-ROW(AX$15),0),15-13*ORÇAMENTO!$AF$11)),0)</f>
        <v>0</v>
      </c>
      <c r="AY623" s="545">
        <f ca="1">IF(AND($D623="Serviço",AY$12&lt;&gt;0,$H623&gt;0,OR(AUTOEVENTO&lt;&gt;"manual",$M623&lt;&gt;1)),
IF(Import.TipoArredondamento&lt;&gt;"TransfereGOV",
ROUND(OFFSET($P623,0,AY$13),15-13*ORÇAMENTO!$AF$7)/$H623*OFFSET(ORÇAMENTO!$X$15,ROW(AY623)-ROW(AY$15),0),
ROUND(ROUND(OFFSET($P623,0,AY$13),15-13*ORÇAMENTO!$AF$7)*OFFSET(ORÇAMENTO!$W$15,ROW(AY623)-ROW(AY$15),0),15-13*ORÇAMENTO!$AF$11)),0)</f>
        <v>0</v>
      </c>
      <c r="AZ623" s="545">
        <f ca="1">IF(AND($D623="Serviço",AZ$12&lt;&gt;0,$H623&gt;0,OR(AUTOEVENTO&lt;&gt;"manual",$M623&lt;&gt;1)),
IF(Import.TipoArredondamento&lt;&gt;"TransfereGOV",
ROUND(OFFSET($P623,0,AZ$13),15-13*ORÇAMENTO!$AF$7)/$H623*OFFSET(ORÇAMENTO!$X$15,ROW(AZ623)-ROW(AZ$15),0),
ROUND(ROUND(OFFSET($P623,0,AZ$13),15-13*ORÇAMENTO!$AF$7)*OFFSET(ORÇAMENTO!$W$15,ROW(AZ623)-ROW(AZ$15),0),15-13*ORÇAMENTO!$AF$11)),0)</f>
        <v>0</v>
      </c>
      <c r="BA623" s="546">
        <f ca="1">IF(AND($D623="Serviço",BA$12&lt;&gt;0,$H623&gt;0,OR(AUTOEVENTO&lt;&gt;"manual",$M623&lt;&gt;1)),
IF(Import.TipoArredondamento&lt;&gt;"TransfereGOV",
ROUND(OFFSET($P623,0,BA$13),15-13*ORÇAMENTO!$AF$7)/$H623*OFFSET(ORÇAMENTO!$X$15,ROW(BA623)-ROW(BA$15),0),
ROUND(ROUND(OFFSET($P623,0,BA$13),15-13*ORÇAMENTO!$AF$7)*OFFSET(ORÇAMENTO!$W$15,ROW(BA623)-ROW(BA$15),0),15-13*ORÇAMENTO!$AF$11)),0)</f>
        <v>0</v>
      </c>
      <c r="BC623" s="181">
        <f ca="1">IF($D623&lt;&gt;"Serviço",0,IF(AND(AUTOEVENTO="Manual",$M623=1),0,IF(OFFSET(CRONOPLE!$F$14,$M623,BC$13)="",10^12,OFFSET(CRONOPLE!$F$14,$M623,BC$13))))</f>
        <v>11</v>
      </c>
      <c r="BD623" s="181">
        <f ca="1">IF($D623&lt;&gt;"Serviço",0,IF(AND(AUTOEVENTO="Manual",$M623=1),0,IF(OFFSET(CRONOPLE!$F$14,$M623,BD$13)="",10^12,OFFSET(CRONOPLE!$F$14,$M623,BD$13))))</f>
        <v>1000000000000</v>
      </c>
      <c r="BE623" s="181">
        <f ca="1">IF($D623&lt;&gt;"Serviço",0,IF(AND(AUTOEVENTO="Manual",$M623=1),0,IF(OFFSET(CRONOPLE!$F$14,$M623,BE$13)="",10^12,OFFSET(CRONOPLE!$F$14,$M623,BE$13))))</f>
        <v>1000000000000</v>
      </c>
      <c r="BF623" s="181">
        <f ca="1">IF($D623&lt;&gt;"Serviço",0,IF(AND(AUTOEVENTO="Manual",$M623=1),0,IF(OFFSET(CRONOPLE!$F$14,$M623,BF$13)="",10^12,OFFSET(CRONOPLE!$F$14,$M623,BF$13))))</f>
        <v>1000000000000</v>
      </c>
      <c r="BG623" s="181">
        <f ca="1">IF($D623&lt;&gt;"Serviço",0,IF(AND(AUTOEVENTO="Manual",$M623=1),0,IF(OFFSET(CRONOPLE!$F$14,$M623,BG$13)="",10^12,OFFSET(CRONOPLE!$F$14,$M623,BG$13))))</f>
        <v>1000000000000</v>
      </c>
      <c r="BH623" s="181">
        <f ca="1">IF($D623&lt;&gt;"Serviço",0,IF(AND(AUTOEVENTO="Manual",$M623=1),0,IF(OFFSET(CRONOPLE!$F$14,$M623,BH$13)="",10^12,OFFSET(CRONOPLE!$F$14,$M623,BH$13))))</f>
        <v>1000000000000</v>
      </c>
      <c r="BI623" s="181">
        <f ca="1">IF($D623&lt;&gt;"Serviço",0,IF(AND(AUTOEVENTO="Manual",$M623=1),0,IF(OFFSET(CRONOPLE!$F$14,$M623,BI$13)="",10^12,OFFSET(CRONOPLE!$F$14,$M623,BI$13))))</f>
        <v>1000000000000</v>
      </c>
      <c r="BJ623" s="181">
        <f ca="1">IF($D623&lt;&gt;"Serviço",0,IF(AND(AUTOEVENTO="Manual",$M623=1),0,IF(OFFSET(CRONOPLE!$F$14,$M623,BJ$13)="",10^12,OFFSET(CRONOPLE!$F$14,$M623,BJ$13))))</f>
        <v>1000000000000</v>
      </c>
      <c r="BK623" s="181">
        <f ca="1">IF($D623&lt;&gt;"Serviço",0,IF(AND(AUTOEVENTO="Manual",$M623=1),0,IF(OFFSET(CRONOPLE!$F$14,$M623,BK$13)="",10^12,OFFSET(CRONOPLE!$F$14,$M623,BK$13))))</f>
        <v>1000000000000</v>
      </c>
      <c r="BL623" s="181">
        <f ca="1">IF($D623&lt;&gt;"Serviço",0,IF(AND(AUTOEVENTO="Manual",$M623=1),0,IF(OFFSET(CRONOPLE!$F$14,$M623,BL$13)="",10^12,OFFSET(CRONOPLE!$F$14,$M623,BL$13))))</f>
        <v>1000000000000</v>
      </c>
      <c r="BM623" s="181">
        <f ca="1">IF($D623&lt;&gt;"Serviço",0,IF(AND(AUTOEVENTO="Manual",$M623=1),0,IF(OFFSET(CRONOPLE!$F$14,$M623,BM$13)="",10^12,OFFSET(CRONOPLE!$F$14,$M623,BM$13))))</f>
        <v>1000000000000</v>
      </c>
      <c r="BN623" s="181">
        <f ca="1">IF($D623&lt;&gt;"Serviço",0,IF(AND(AUTOEVENTO="Manual",$M623=1),0,IF(OFFSET(CRONOPLE!$F$14,$M623,BN$13)="",10^12,OFFSET(CRONOPLE!$F$14,$M623,BN$13))))</f>
        <v>1000000000000</v>
      </c>
      <c r="BO623" s="181">
        <f ca="1">IF($D623&lt;&gt;"Serviço",0,IF(AND(AUTOEVENTO="Manual",$M623=1),0,IF(OFFSET(CRONOPLE!$F$14,$M623,BO$13)="",10^12,OFFSET(CRONOPLE!$F$14,$M623,BO$13))))</f>
        <v>1000000000000</v>
      </c>
      <c r="BP623" s="181">
        <f ca="1">IF($D623&lt;&gt;"Serviço",0,IF(AND(AUTOEVENTO="Manual",$M623=1),0,IF(OFFSET(CRONOPLE!$F$14,$M623,BP$13)="",10^12,OFFSET(CRONOPLE!$F$14,$M623,BP$13))))</f>
        <v>1000000000000</v>
      </c>
      <c r="BQ623" s="181">
        <f ca="1">IF($D623&lt;&gt;"Serviço",0,IF(AND(AUTOEVENTO="Manual",$M623=1),0,IF(OFFSET(CRONOPLE!$F$14,$M623,BQ$13)="",10^12,OFFSET(CRONOPLE!$F$14,$M623,BQ$13))))</f>
        <v>1000000000000</v>
      </c>
      <c r="BR623" s="181">
        <f ca="1">IF($D623&lt;&gt;"Serviço",0,IF(AND(AUTOEVENTO="Manual",$M623=1),0,IF(OFFSET(CRONOPLE!$F$14,$M623,BR$13)="",10^12,OFFSET(CRONOPLE!$F$14,$M623,BR$13))))</f>
        <v>1000000000000</v>
      </c>
      <c r="BS623" s="181">
        <f ca="1">IF($D623&lt;&gt;"Serviço",0,IF(AND(AUTOEVENTO="Manual",$M623=1),0,IF(OFFSET(CRONOPLE!$F$14,$M623,BS$13)="",10^12,OFFSET(CRONOPLE!$F$14,$M623,BS$13))))</f>
        <v>1000000000000</v>
      </c>
      <c r="BT623" s="181">
        <f ca="1">IF($D623&lt;&gt;"Serviço",0,IF(AND(AUTOEVENTO="Manual",$M623=1),0,IF(OFFSET(CRONOPLE!$F$14,$M623,BT$13)="",10^12,OFFSET(CRONOPLE!$F$14,$M623,BT$13))))</f>
        <v>1000000000000</v>
      </c>
      <c r="BV623" s="182">
        <f ca="1">IF($D623&lt;&gt;"Serviço",0,IF(OR(AND(AUTOEVENTO="Manual",$M623=1),$M623&gt;(ROW(PLE.lastrow)-ROW(PLE.firstrow))),0,IF(OFFSET(PLE!$G$14,$M623,BV$13)="",10^12,OFFSET(PLE!$G$14,$M623,BV$13))))</f>
        <v>1000000000000</v>
      </c>
      <c r="BW623" s="182">
        <f ca="1">IF($D623&lt;&gt;"Serviço",0,IF(OR(AND(AUTOEVENTO="Manual",$M623=1),$M623&gt;(ROW(PLE.lastrow)-ROW(PLE.firstrow))),0,IF(OFFSET(PLE!$G$14,$M623,BW$13)="",10^12,OFFSET(PLE!$G$14,$M623,BW$13))))</f>
        <v>1000000000000</v>
      </c>
      <c r="BX623" s="182">
        <f ca="1">IF($D623&lt;&gt;"Serviço",0,IF(OR(AND(AUTOEVENTO="Manual",$M623=1),$M623&gt;(ROW(PLE.lastrow)-ROW(PLE.firstrow))),0,IF(OFFSET(PLE!$G$14,$M623,BX$13)="",10^12,OFFSET(PLE!$G$14,$M623,BX$13))))</f>
        <v>1000000000000</v>
      </c>
      <c r="BY623" s="182">
        <f ca="1">IF($D623&lt;&gt;"Serviço",0,IF(OR(AND(AUTOEVENTO="Manual",$M623=1),$M623&gt;(ROW(PLE.lastrow)-ROW(PLE.firstrow))),0,IF(OFFSET(PLE!$G$14,$M623,BY$13)="",10^12,OFFSET(PLE!$G$14,$M623,BY$13))))</f>
        <v>1000000000000</v>
      </c>
      <c r="BZ623" s="182">
        <f ca="1">IF($D623&lt;&gt;"Serviço",0,IF(OR(AND(AUTOEVENTO="Manual",$M623=1),$M623&gt;(ROW(PLE.lastrow)-ROW(PLE.firstrow))),0,IF(OFFSET(PLE!$G$14,$M623,BZ$13)="",10^12,OFFSET(PLE!$G$14,$M623,BZ$13))))</f>
        <v>1000000000000</v>
      </c>
      <c r="CA623" s="182">
        <f ca="1">IF($D623&lt;&gt;"Serviço",0,IF(OR(AND(AUTOEVENTO="Manual",$M623=1),$M623&gt;(ROW(PLE.lastrow)-ROW(PLE.firstrow))),0,IF(OFFSET(PLE!$G$14,$M623,CA$13)="",10^12,OFFSET(PLE!$G$14,$M623,CA$13))))</f>
        <v>1000000000000</v>
      </c>
      <c r="CB623" s="182">
        <f ca="1">IF($D623&lt;&gt;"Serviço",0,IF(OR(AND(AUTOEVENTO="Manual",$M623=1),$M623&gt;(ROW(PLE.lastrow)-ROW(PLE.firstrow))),0,IF(OFFSET(PLE!$G$14,$M623,CB$13)="",10^12,OFFSET(PLE!$G$14,$M623,CB$13))))</f>
        <v>1000000000000</v>
      </c>
      <c r="CC623" s="182">
        <f ca="1">IF($D623&lt;&gt;"Serviço",0,IF(OR(AND(AUTOEVENTO="Manual",$M623=1),$M623&gt;(ROW(PLE.lastrow)-ROW(PLE.firstrow))),0,IF(OFFSET(PLE!$G$14,$M623,CC$13)="",10^12,OFFSET(PLE!$G$14,$M623,CC$13))))</f>
        <v>1000000000000</v>
      </c>
      <c r="CD623" s="182">
        <f ca="1">IF($D623&lt;&gt;"Serviço",0,IF(OR(AND(AUTOEVENTO="Manual",$M623=1),$M623&gt;(ROW(PLE.lastrow)-ROW(PLE.firstrow))),0,IF(OFFSET(PLE!$G$14,$M623,CD$13)="",10^12,OFFSET(PLE!$G$14,$M623,CD$13))))</f>
        <v>1000000000000</v>
      </c>
      <c r="CE623" s="182">
        <f ca="1">IF($D623&lt;&gt;"Serviço",0,IF(OR(AND(AUTOEVENTO="Manual",$M623=1),$M623&gt;(ROW(PLE.lastrow)-ROW(PLE.firstrow))),0,IF(OFFSET(PLE!$G$14,$M623,CE$13)="",10^12,OFFSET(PLE!$G$14,$M623,CE$13))))</f>
        <v>1000000000000</v>
      </c>
      <c r="CF623" s="182">
        <f ca="1">IF($D623&lt;&gt;"Serviço",0,IF(OR(AND(AUTOEVENTO="Manual",$M623=1),$M623&gt;(ROW(PLE.lastrow)-ROW(PLE.firstrow))),0,IF(OFFSET(PLE!$G$14,$M623,CF$13)="",10^12,OFFSET(PLE!$G$14,$M623,CF$13))))</f>
        <v>1000000000000</v>
      </c>
      <c r="CG623" s="182">
        <f ca="1">IF($D623&lt;&gt;"Serviço",0,IF(OR(AND(AUTOEVENTO="Manual",$M623=1),$M623&gt;(ROW(PLE.lastrow)-ROW(PLE.firstrow))),0,IF(OFFSET(PLE!$G$14,$M623,CG$13)="",10^12,OFFSET(PLE!$G$14,$M623,CG$13))))</f>
        <v>1000000000000</v>
      </c>
      <c r="CH623" s="182">
        <f ca="1">IF($D623&lt;&gt;"Serviço",0,IF(OR(AND(AUTOEVENTO="Manual",$M623=1),$M623&gt;(ROW(PLE.lastrow)-ROW(PLE.firstrow))),0,IF(OFFSET(PLE!$G$14,$M623,CH$13)="",10^12,OFFSET(PLE!$G$14,$M623,CH$13))))</f>
        <v>1000000000000</v>
      </c>
      <c r="CI623" s="182">
        <f ca="1">IF($D623&lt;&gt;"Serviço",0,IF(OR(AND(AUTOEVENTO="Manual",$M623=1),$M623&gt;(ROW(PLE.lastrow)-ROW(PLE.firstrow))),0,IF(OFFSET(PLE!$G$14,$M623,CI$13)="",10^12,OFFSET(PLE!$G$14,$M623,CI$13))))</f>
        <v>1000000000000</v>
      </c>
      <c r="CJ623" s="182">
        <f ca="1">IF($D623&lt;&gt;"Serviço",0,IF(OR(AND(AUTOEVENTO="Manual",$M623=1),$M623&gt;(ROW(PLE.lastrow)-ROW(PLE.firstrow))),0,IF(OFFSET(PLE!$G$14,$M623,CJ$13)="",10^12,OFFSET(PLE!$G$14,$M623,CJ$13))))</f>
        <v>1000000000000</v>
      </c>
      <c r="CK623" s="182">
        <f ca="1">IF($D623&lt;&gt;"Serviço",0,IF(OR(AND(AUTOEVENTO="Manual",$M623=1),$M623&gt;(ROW(PLE.lastrow)-ROW(PLE.firstrow))),0,IF(OFFSET(PLE!$G$14,$M623,CK$13)="",10^12,OFFSET(PLE!$G$14,$M623,CK$13))))</f>
        <v>1000000000000</v>
      </c>
      <c r="CL623" s="182">
        <f ca="1">IF($D623&lt;&gt;"Serviço",0,IF(OR(AND(AUTOEVENTO="Manual",$M623=1),$M623&gt;(ROW(PLE.lastrow)-ROW(PLE.firstrow))),0,IF(OFFSET(PLE!$G$14,$M623,CL$13)="",10^12,OFFSET(PLE!$G$14,$M623,CL$13))))</f>
        <v>1000000000000</v>
      </c>
      <c r="CM623" s="182">
        <f ca="1">IF($D623&lt;&gt;"Serviço",0,IF(OR(AND(AUTOEVENTO="Manual",$M623=1),$M623&gt;(ROW(PLE.lastrow)-ROW(PLE.firstrow))),0,IF(OFFSET(PLE!$G$14,$M623,CM$13)="",10^12,OFFSET(PLE!$G$14,$M623,CM$13))))</f>
        <v>1000000000000</v>
      </c>
    </row>
    <row r="624" spans="1:91" ht="38.25" x14ac:dyDescent="0.2">
      <c r="A624" s="7" t="str">
        <f t="shared" ca="1" si="18"/>
        <v>603</v>
      </c>
      <c r="B624" s="7" t="str">
        <f ca="1">OFFSET(ORÇAMENTO!C$15,ROW(B624)-ROW(B$15),0)</f>
        <v>S</v>
      </c>
      <c r="C624" s="7" t="str">
        <f ca="1">OFFSET(ORÇAMENTO!L$15,ROW(C624)-ROW(C$15),0)</f>
        <v/>
      </c>
      <c r="D624" s="118" t="str">
        <f ca="1">OFFSET(ORÇAMENTO!N$15,ROW(D624)-ROW(D$15),0)</f>
        <v>Serviço</v>
      </c>
      <c r="E624" s="119" t="str">
        <f ca="1">OFFSET(ORÇAMENTO!O$15,ROW(E624)-ROW(E$15),0)</f>
        <v>-</v>
      </c>
      <c r="F624" s="172" t="str">
        <f ca="1">OFFSET(ORÇAMENTO!R$15,ROW(F624)-ROW(F$15),0)</f>
        <v>(abra o arquivo 'Referência 06-2024.xlsm)</v>
      </c>
      <c r="G624" s="173" t="str">
        <f ca="1">IF($D624&lt;&gt;"Serviço","",OFFSET(ORÇAMENTO!S$15,ROW(G624)-ROW(G$15),0))</f>
        <v>-</v>
      </c>
      <c r="H624" s="124">
        <f ca="1">IF($D624&lt;&gt;"Serviço",0,IF(ACOMPANHAMENTO="BM",ROUND(OFFSET(ORÇAMENTO!AJ$15,ROW(H624)-ROW(H$15),0),15-13*ORÇAMENTO!$AF$7),SUMPRODUCT(($Q$12:$AI$12&lt;&gt;"")*ROUND($Q624:$AI624,15-13*ORÇAMENTO!$AF$7))))</f>
        <v>2</v>
      </c>
      <c r="I624" s="561" t="s">
        <v>1107</v>
      </c>
      <c r="K624" s="174"/>
      <c r="L624" s="175" t="s">
        <v>255</v>
      </c>
      <c r="M624" s="176">
        <f ca="1">IF($D624&lt;&gt;"Serviço","",IF(AUTOEVENTO="manual",$A624,IF(ISERROR(MATCH($A624,$A$15:OFFSET($A624,-1,0),0)),MAX($M$15:OFFSET(M624,-1,0))+1,INDEX($M$15:OFFSET(M624,-1,0),MATCH($A624,$A$15:OFFSET($A624,-1,0),0)))))</f>
        <v>65</v>
      </c>
      <c r="N624" s="177" t="str">
        <f ca="1">IF($D624&lt;&gt;"Serviço","",IF(AUTOEVENTO="Manual",IF($A624=0,"&lt;-- defina o número do agrupador",OFFSET(EVENTOS!$D$14,$A624,0)),OFFSET($F$15,$A624,0)))</f>
        <v>INSTALAÇÕES DE CABEAMENTO ESTRUTURADO - ACESSÓRIOS DE CABEAMENTO</v>
      </c>
      <c r="O624" s="178"/>
      <c r="Q624" s="178">
        <v>2</v>
      </c>
      <c r="R624" s="179"/>
      <c r="S624" s="179"/>
      <c r="T624" s="179"/>
      <c r="U624" s="179"/>
      <c r="V624" s="179"/>
      <c r="W624" s="179"/>
      <c r="X624" s="179"/>
      <c r="Y624" s="179"/>
      <c r="Z624" s="180"/>
      <c r="AA624" s="179"/>
      <c r="AB624" s="179"/>
      <c r="AC624" s="179"/>
      <c r="AD624" s="179"/>
      <c r="AE624" s="179"/>
      <c r="AF624" s="179"/>
      <c r="AG624" s="179"/>
      <c r="AH624" s="180"/>
      <c r="AJ624" s="544">
        <f ca="1">IF(AND($D624="Serviço",AJ$12&lt;&gt;0,$H624&gt;0,OR(AUTOEVENTO&lt;&gt;"manual",$M624&lt;&gt;1)),
IF(Import.TipoArredondamento&lt;&gt;"TransfereGOV",
ROUND(OFFSET($P624,0,AJ$13),15-13*ORÇAMENTO!$AF$7)/$H624*OFFSET(ORÇAMENTO!$X$15,ROW(AJ624)-ROW(AJ$15),0),
ROUND(ROUND(OFFSET($P624,0,AJ$13),15-13*ORÇAMENTO!$AF$7)*OFFSET(ORÇAMENTO!$W$15,ROW(AJ624)-ROW(AJ$15),0),15-13*ORÇAMENTO!$AF$11)),0)</f>
        <v>0</v>
      </c>
      <c r="AK624" s="545">
        <f ca="1">IF(AND($D624="Serviço",AK$12&lt;&gt;0,$H624&gt;0,OR(AUTOEVENTO&lt;&gt;"manual",$M624&lt;&gt;1)),
IF(Import.TipoArredondamento&lt;&gt;"TransfereGOV",
ROUND(OFFSET($P624,0,AK$13),15-13*ORÇAMENTO!$AF$7)/$H624*OFFSET(ORÇAMENTO!$X$15,ROW(AK624)-ROW(AK$15),0),
ROUND(ROUND(OFFSET($P624,0,AK$13),15-13*ORÇAMENTO!$AF$7)*OFFSET(ORÇAMENTO!$W$15,ROW(AK624)-ROW(AK$15),0),15-13*ORÇAMENTO!$AF$11)),0)</f>
        <v>0</v>
      </c>
      <c r="AL624" s="545">
        <f ca="1">IF(AND($D624="Serviço",AL$12&lt;&gt;0,$H624&gt;0,OR(AUTOEVENTO&lt;&gt;"manual",$M624&lt;&gt;1)),
IF(Import.TipoArredondamento&lt;&gt;"TransfereGOV",
ROUND(OFFSET($P624,0,AL$13),15-13*ORÇAMENTO!$AF$7)/$H624*OFFSET(ORÇAMENTO!$X$15,ROW(AL624)-ROW(AL$15),0),
ROUND(ROUND(OFFSET($P624,0,AL$13),15-13*ORÇAMENTO!$AF$7)*OFFSET(ORÇAMENTO!$W$15,ROW(AL624)-ROW(AL$15),0),15-13*ORÇAMENTO!$AF$11)),0)</f>
        <v>0</v>
      </c>
      <c r="AM624" s="545">
        <f ca="1">IF(AND($D624="Serviço",AM$12&lt;&gt;0,$H624&gt;0,OR(AUTOEVENTO&lt;&gt;"manual",$M624&lt;&gt;1)),
IF(Import.TipoArredondamento&lt;&gt;"TransfereGOV",
ROUND(OFFSET($P624,0,AM$13),15-13*ORÇAMENTO!$AF$7)/$H624*OFFSET(ORÇAMENTO!$X$15,ROW(AM624)-ROW(AM$15),0),
ROUND(ROUND(OFFSET($P624,0,AM$13),15-13*ORÇAMENTO!$AF$7)*OFFSET(ORÇAMENTO!$W$15,ROW(AM624)-ROW(AM$15),0),15-13*ORÇAMENTO!$AF$11)),0)</f>
        <v>0</v>
      </c>
      <c r="AN624" s="545">
        <f ca="1">IF(AND($D624="Serviço",AN$12&lt;&gt;0,$H624&gt;0,OR(AUTOEVENTO&lt;&gt;"manual",$M624&lt;&gt;1)),
IF(Import.TipoArredondamento&lt;&gt;"TransfereGOV",
ROUND(OFFSET($P624,0,AN$13),15-13*ORÇAMENTO!$AF$7)/$H624*OFFSET(ORÇAMENTO!$X$15,ROW(AN624)-ROW(AN$15),0),
ROUND(ROUND(OFFSET($P624,0,AN$13),15-13*ORÇAMENTO!$AF$7)*OFFSET(ORÇAMENTO!$W$15,ROW(AN624)-ROW(AN$15),0),15-13*ORÇAMENTO!$AF$11)),0)</f>
        <v>0</v>
      </c>
      <c r="AO624" s="545">
        <f ca="1">IF(AND($D624="Serviço",AO$12&lt;&gt;0,$H624&gt;0,OR(AUTOEVENTO&lt;&gt;"manual",$M624&lt;&gt;1)),
IF(Import.TipoArredondamento&lt;&gt;"TransfereGOV",
ROUND(OFFSET($P624,0,AO$13),15-13*ORÇAMENTO!$AF$7)/$H624*OFFSET(ORÇAMENTO!$X$15,ROW(AO624)-ROW(AO$15),0),
ROUND(ROUND(OFFSET($P624,0,AO$13),15-13*ORÇAMENTO!$AF$7)*OFFSET(ORÇAMENTO!$W$15,ROW(AO624)-ROW(AO$15),0),15-13*ORÇAMENTO!$AF$11)),0)</f>
        <v>0</v>
      </c>
      <c r="AP624" s="545">
        <f ca="1">IF(AND($D624="Serviço",AP$12&lt;&gt;0,$H624&gt;0,OR(AUTOEVENTO&lt;&gt;"manual",$M624&lt;&gt;1)),
IF(Import.TipoArredondamento&lt;&gt;"TransfereGOV",
ROUND(OFFSET($P624,0,AP$13),15-13*ORÇAMENTO!$AF$7)/$H624*OFFSET(ORÇAMENTO!$X$15,ROW(AP624)-ROW(AP$15),0),
ROUND(ROUND(OFFSET($P624,0,AP$13),15-13*ORÇAMENTO!$AF$7)*OFFSET(ORÇAMENTO!$W$15,ROW(AP624)-ROW(AP$15),0),15-13*ORÇAMENTO!$AF$11)),0)</f>
        <v>0</v>
      </c>
      <c r="AQ624" s="545">
        <f ca="1">IF(AND($D624="Serviço",AQ$12&lt;&gt;0,$H624&gt;0,OR(AUTOEVENTO&lt;&gt;"manual",$M624&lt;&gt;1)),
IF(Import.TipoArredondamento&lt;&gt;"TransfereGOV",
ROUND(OFFSET($P624,0,AQ$13),15-13*ORÇAMENTO!$AF$7)/$H624*OFFSET(ORÇAMENTO!$X$15,ROW(AQ624)-ROW(AQ$15),0),
ROUND(ROUND(OFFSET($P624,0,AQ$13),15-13*ORÇAMENTO!$AF$7)*OFFSET(ORÇAMENTO!$W$15,ROW(AQ624)-ROW(AQ$15),0),15-13*ORÇAMENTO!$AF$11)),0)</f>
        <v>0</v>
      </c>
      <c r="AR624" s="545">
        <f ca="1">IF(AND($D624="Serviço",AR$12&lt;&gt;0,$H624&gt;0,OR(AUTOEVENTO&lt;&gt;"manual",$M624&lt;&gt;1)),
IF(Import.TipoArredondamento&lt;&gt;"TransfereGOV",
ROUND(OFFSET($P624,0,AR$13),15-13*ORÇAMENTO!$AF$7)/$H624*OFFSET(ORÇAMENTO!$X$15,ROW(AR624)-ROW(AR$15),0),
ROUND(ROUND(OFFSET($P624,0,AR$13),15-13*ORÇAMENTO!$AF$7)*OFFSET(ORÇAMENTO!$W$15,ROW(AR624)-ROW(AR$15),0),15-13*ORÇAMENTO!$AF$11)),0)</f>
        <v>0</v>
      </c>
      <c r="AS624" s="546">
        <f ca="1">IF(AND($D624="Serviço",AS$12&lt;&gt;0,$H624&gt;0,OR(AUTOEVENTO&lt;&gt;"manual",$M624&lt;&gt;1)),
IF(Import.TipoArredondamento&lt;&gt;"TransfereGOV",
ROUND(OFFSET($P624,0,AS$13),15-13*ORÇAMENTO!$AF$7)/$H624*OFFSET(ORÇAMENTO!$X$15,ROW(AS624)-ROW(AS$15),0),
ROUND(ROUND(OFFSET($P624,0,AS$13),15-13*ORÇAMENTO!$AF$7)*OFFSET(ORÇAMENTO!$W$15,ROW(AS624)-ROW(AS$15),0),15-13*ORÇAMENTO!$AF$11)),0)</f>
        <v>0</v>
      </c>
      <c r="AT624" s="545">
        <f ca="1">IF(AND($D624="Serviço",AT$12&lt;&gt;0,$H624&gt;0,OR(AUTOEVENTO&lt;&gt;"manual",$M624&lt;&gt;1)),
IF(Import.TipoArredondamento&lt;&gt;"TransfereGOV",
ROUND(OFFSET($P624,0,AT$13),15-13*ORÇAMENTO!$AF$7)/$H624*OFFSET(ORÇAMENTO!$X$15,ROW(AT624)-ROW(AT$15),0),
ROUND(ROUND(OFFSET($P624,0,AT$13),15-13*ORÇAMENTO!$AF$7)*OFFSET(ORÇAMENTO!$W$15,ROW(AT624)-ROW(AT$15),0),15-13*ORÇAMENTO!$AF$11)),0)</f>
        <v>0</v>
      </c>
      <c r="AU624" s="545">
        <f ca="1">IF(AND($D624="Serviço",AU$12&lt;&gt;0,$H624&gt;0,OR(AUTOEVENTO&lt;&gt;"manual",$M624&lt;&gt;1)),
IF(Import.TipoArredondamento&lt;&gt;"TransfereGOV",
ROUND(OFFSET($P624,0,AU$13),15-13*ORÇAMENTO!$AF$7)/$H624*OFFSET(ORÇAMENTO!$X$15,ROW(AU624)-ROW(AU$15),0),
ROUND(ROUND(OFFSET($P624,0,AU$13),15-13*ORÇAMENTO!$AF$7)*OFFSET(ORÇAMENTO!$W$15,ROW(AU624)-ROW(AU$15),0),15-13*ORÇAMENTO!$AF$11)),0)</f>
        <v>0</v>
      </c>
      <c r="AV624" s="545">
        <f ca="1">IF(AND($D624="Serviço",AV$12&lt;&gt;0,$H624&gt;0,OR(AUTOEVENTO&lt;&gt;"manual",$M624&lt;&gt;1)),
IF(Import.TipoArredondamento&lt;&gt;"TransfereGOV",
ROUND(OFFSET($P624,0,AV$13),15-13*ORÇAMENTO!$AF$7)/$H624*OFFSET(ORÇAMENTO!$X$15,ROW(AV624)-ROW(AV$15),0),
ROUND(ROUND(OFFSET($P624,0,AV$13),15-13*ORÇAMENTO!$AF$7)*OFFSET(ORÇAMENTO!$W$15,ROW(AV624)-ROW(AV$15),0),15-13*ORÇAMENTO!$AF$11)),0)</f>
        <v>0</v>
      </c>
      <c r="AW624" s="545">
        <f ca="1">IF(AND($D624="Serviço",AW$12&lt;&gt;0,$H624&gt;0,OR(AUTOEVENTO&lt;&gt;"manual",$M624&lt;&gt;1)),
IF(Import.TipoArredondamento&lt;&gt;"TransfereGOV",
ROUND(OFFSET($P624,0,AW$13),15-13*ORÇAMENTO!$AF$7)/$H624*OFFSET(ORÇAMENTO!$X$15,ROW(AW624)-ROW(AW$15),0),
ROUND(ROUND(OFFSET($P624,0,AW$13),15-13*ORÇAMENTO!$AF$7)*OFFSET(ORÇAMENTO!$W$15,ROW(AW624)-ROW(AW$15),0),15-13*ORÇAMENTO!$AF$11)),0)</f>
        <v>0</v>
      </c>
      <c r="AX624" s="545">
        <f ca="1">IF(AND($D624="Serviço",AX$12&lt;&gt;0,$H624&gt;0,OR(AUTOEVENTO&lt;&gt;"manual",$M624&lt;&gt;1)),
IF(Import.TipoArredondamento&lt;&gt;"TransfereGOV",
ROUND(OFFSET($P624,0,AX$13),15-13*ORÇAMENTO!$AF$7)/$H624*OFFSET(ORÇAMENTO!$X$15,ROW(AX624)-ROW(AX$15),0),
ROUND(ROUND(OFFSET($P624,0,AX$13),15-13*ORÇAMENTO!$AF$7)*OFFSET(ORÇAMENTO!$W$15,ROW(AX624)-ROW(AX$15),0),15-13*ORÇAMENTO!$AF$11)),0)</f>
        <v>0</v>
      </c>
      <c r="AY624" s="545">
        <f ca="1">IF(AND($D624="Serviço",AY$12&lt;&gt;0,$H624&gt;0,OR(AUTOEVENTO&lt;&gt;"manual",$M624&lt;&gt;1)),
IF(Import.TipoArredondamento&lt;&gt;"TransfereGOV",
ROUND(OFFSET($P624,0,AY$13),15-13*ORÇAMENTO!$AF$7)/$H624*OFFSET(ORÇAMENTO!$X$15,ROW(AY624)-ROW(AY$15),0),
ROUND(ROUND(OFFSET($P624,0,AY$13),15-13*ORÇAMENTO!$AF$7)*OFFSET(ORÇAMENTO!$W$15,ROW(AY624)-ROW(AY$15),0),15-13*ORÇAMENTO!$AF$11)),0)</f>
        <v>0</v>
      </c>
      <c r="AZ624" s="545">
        <f ca="1">IF(AND($D624="Serviço",AZ$12&lt;&gt;0,$H624&gt;0,OR(AUTOEVENTO&lt;&gt;"manual",$M624&lt;&gt;1)),
IF(Import.TipoArredondamento&lt;&gt;"TransfereGOV",
ROUND(OFFSET($P624,0,AZ$13),15-13*ORÇAMENTO!$AF$7)/$H624*OFFSET(ORÇAMENTO!$X$15,ROW(AZ624)-ROW(AZ$15),0),
ROUND(ROUND(OFFSET($P624,0,AZ$13),15-13*ORÇAMENTO!$AF$7)*OFFSET(ORÇAMENTO!$W$15,ROW(AZ624)-ROW(AZ$15),0),15-13*ORÇAMENTO!$AF$11)),0)</f>
        <v>0</v>
      </c>
      <c r="BA624" s="546">
        <f ca="1">IF(AND($D624="Serviço",BA$12&lt;&gt;0,$H624&gt;0,OR(AUTOEVENTO&lt;&gt;"manual",$M624&lt;&gt;1)),
IF(Import.TipoArredondamento&lt;&gt;"TransfereGOV",
ROUND(OFFSET($P624,0,BA$13),15-13*ORÇAMENTO!$AF$7)/$H624*OFFSET(ORÇAMENTO!$X$15,ROW(BA624)-ROW(BA$15),0),
ROUND(ROUND(OFFSET($P624,0,BA$13),15-13*ORÇAMENTO!$AF$7)*OFFSET(ORÇAMENTO!$W$15,ROW(BA624)-ROW(BA$15),0),15-13*ORÇAMENTO!$AF$11)),0)</f>
        <v>0</v>
      </c>
      <c r="BC624" s="181">
        <f ca="1">IF($D624&lt;&gt;"Serviço",0,IF(AND(AUTOEVENTO="Manual",$M624=1),0,IF(OFFSET(CRONOPLE!$F$14,$M624,BC$13)="",10^12,OFFSET(CRONOPLE!$F$14,$M624,BC$13))))</f>
        <v>11</v>
      </c>
      <c r="BD624" s="181">
        <f ca="1">IF($D624&lt;&gt;"Serviço",0,IF(AND(AUTOEVENTO="Manual",$M624=1),0,IF(OFFSET(CRONOPLE!$F$14,$M624,BD$13)="",10^12,OFFSET(CRONOPLE!$F$14,$M624,BD$13))))</f>
        <v>1000000000000</v>
      </c>
      <c r="BE624" s="181">
        <f ca="1">IF($D624&lt;&gt;"Serviço",0,IF(AND(AUTOEVENTO="Manual",$M624=1),0,IF(OFFSET(CRONOPLE!$F$14,$M624,BE$13)="",10^12,OFFSET(CRONOPLE!$F$14,$M624,BE$13))))</f>
        <v>1000000000000</v>
      </c>
      <c r="BF624" s="181">
        <f ca="1">IF($D624&lt;&gt;"Serviço",0,IF(AND(AUTOEVENTO="Manual",$M624=1),0,IF(OFFSET(CRONOPLE!$F$14,$M624,BF$13)="",10^12,OFFSET(CRONOPLE!$F$14,$M624,BF$13))))</f>
        <v>1000000000000</v>
      </c>
      <c r="BG624" s="181">
        <f ca="1">IF($D624&lt;&gt;"Serviço",0,IF(AND(AUTOEVENTO="Manual",$M624=1),0,IF(OFFSET(CRONOPLE!$F$14,$M624,BG$13)="",10^12,OFFSET(CRONOPLE!$F$14,$M624,BG$13))))</f>
        <v>1000000000000</v>
      </c>
      <c r="BH624" s="181">
        <f ca="1">IF($D624&lt;&gt;"Serviço",0,IF(AND(AUTOEVENTO="Manual",$M624=1),0,IF(OFFSET(CRONOPLE!$F$14,$M624,BH$13)="",10^12,OFFSET(CRONOPLE!$F$14,$M624,BH$13))))</f>
        <v>1000000000000</v>
      </c>
      <c r="BI624" s="181">
        <f ca="1">IF($D624&lt;&gt;"Serviço",0,IF(AND(AUTOEVENTO="Manual",$M624=1),0,IF(OFFSET(CRONOPLE!$F$14,$M624,BI$13)="",10^12,OFFSET(CRONOPLE!$F$14,$M624,BI$13))))</f>
        <v>1000000000000</v>
      </c>
      <c r="BJ624" s="181">
        <f ca="1">IF($D624&lt;&gt;"Serviço",0,IF(AND(AUTOEVENTO="Manual",$M624=1),0,IF(OFFSET(CRONOPLE!$F$14,$M624,BJ$13)="",10^12,OFFSET(CRONOPLE!$F$14,$M624,BJ$13))))</f>
        <v>1000000000000</v>
      </c>
      <c r="BK624" s="181">
        <f ca="1">IF($D624&lt;&gt;"Serviço",0,IF(AND(AUTOEVENTO="Manual",$M624=1),0,IF(OFFSET(CRONOPLE!$F$14,$M624,BK$13)="",10^12,OFFSET(CRONOPLE!$F$14,$M624,BK$13))))</f>
        <v>1000000000000</v>
      </c>
      <c r="BL624" s="181">
        <f ca="1">IF($D624&lt;&gt;"Serviço",0,IF(AND(AUTOEVENTO="Manual",$M624=1),0,IF(OFFSET(CRONOPLE!$F$14,$M624,BL$13)="",10^12,OFFSET(CRONOPLE!$F$14,$M624,BL$13))))</f>
        <v>1000000000000</v>
      </c>
      <c r="BM624" s="181">
        <f ca="1">IF($D624&lt;&gt;"Serviço",0,IF(AND(AUTOEVENTO="Manual",$M624=1),0,IF(OFFSET(CRONOPLE!$F$14,$M624,BM$13)="",10^12,OFFSET(CRONOPLE!$F$14,$M624,BM$13))))</f>
        <v>1000000000000</v>
      </c>
      <c r="BN624" s="181">
        <f ca="1">IF($D624&lt;&gt;"Serviço",0,IF(AND(AUTOEVENTO="Manual",$M624=1),0,IF(OFFSET(CRONOPLE!$F$14,$M624,BN$13)="",10^12,OFFSET(CRONOPLE!$F$14,$M624,BN$13))))</f>
        <v>1000000000000</v>
      </c>
      <c r="BO624" s="181">
        <f ca="1">IF($D624&lt;&gt;"Serviço",0,IF(AND(AUTOEVENTO="Manual",$M624=1),0,IF(OFFSET(CRONOPLE!$F$14,$M624,BO$13)="",10^12,OFFSET(CRONOPLE!$F$14,$M624,BO$13))))</f>
        <v>1000000000000</v>
      </c>
      <c r="BP624" s="181">
        <f ca="1">IF($D624&lt;&gt;"Serviço",0,IF(AND(AUTOEVENTO="Manual",$M624=1),0,IF(OFFSET(CRONOPLE!$F$14,$M624,BP$13)="",10^12,OFFSET(CRONOPLE!$F$14,$M624,BP$13))))</f>
        <v>1000000000000</v>
      </c>
      <c r="BQ624" s="181">
        <f ca="1">IF($D624&lt;&gt;"Serviço",0,IF(AND(AUTOEVENTO="Manual",$M624=1),0,IF(OFFSET(CRONOPLE!$F$14,$M624,BQ$13)="",10^12,OFFSET(CRONOPLE!$F$14,$M624,BQ$13))))</f>
        <v>1000000000000</v>
      </c>
      <c r="BR624" s="181">
        <f ca="1">IF($D624&lt;&gt;"Serviço",0,IF(AND(AUTOEVENTO="Manual",$M624=1),0,IF(OFFSET(CRONOPLE!$F$14,$M624,BR$13)="",10^12,OFFSET(CRONOPLE!$F$14,$M624,BR$13))))</f>
        <v>1000000000000</v>
      </c>
      <c r="BS624" s="181">
        <f ca="1">IF($D624&lt;&gt;"Serviço",0,IF(AND(AUTOEVENTO="Manual",$M624=1),0,IF(OFFSET(CRONOPLE!$F$14,$M624,BS$13)="",10^12,OFFSET(CRONOPLE!$F$14,$M624,BS$13))))</f>
        <v>1000000000000</v>
      </c>
      <c r="BT624" s="181">
        <f ca="1">IF($D624&lt;&gt;"Serviço",0,IF(AND(AUTOEVENTO="Manual",$M624=1),0,IF(OFFSET(CRONOPLE!$F$14,$M624,BT$13)="",10^12,OFFSET(CRONOPLE!$F$14,$M624,BT$13))))</f>
        <v>1000000000000</v>
      </c>
      <c r="BV624" s="182">
        <f ca="1">IF($D624&lt;&gt;"Serviço",0,IF(OR(AND(AUTOEVENTO="Manual",$M624=1),$M624&gt;(ROW(PLE.lastrow)-ROW(PLE.firstrow))),0,IF(OFFSET(PLE!$G$14,$M624,BV$13)="",10^12,OFFSET(PLE!$G$14,$M624,BV$13))))</f>
        <v>1000000000000</v>
      </c>
      <c r="BW624" s="182">
        <f ca="1">IF($D624&lt;&gt;"Serviço",0,IF(OR(AND(AUTOEVENTO="Manual",$M624=1),$M624&gt;(ROW(PLE.lastrow)-ROW(PLE.firstrow))),0,IF(OFFSET(PLE!$G$14,$M624,BW$13)="",10^12,OFFSET(PLE!$G$14,$M624,BW$13))))</f>
        <v>1000000000000</v>
      </c>
      <c r="BX624" s="182">
        <f ca="1">IF($D624&lt;&gt;"Serviço",0,IF(OR(AND(AUTOEVENTO="Manual",$M624=1),$M624&gt;(ROW(PLE.lastrow)-ROW(PLE.firstrow))),0,IF(OFFSET(PLE!$G$14,$M624,BX$13)="",10^12,OFFSET(PLE!$G$14,$M624,BX$13))))</f>
        <v>1000000000000</v>
      </c>
      <c r="BY624" s="182">
        <f ca="1">IF($D624&lt;&gt;"Serviço",0,IF(OR(AND(AUTOEVENTO="Manual",$M624=1),$M624&gt;(ROW(PLE.lastrow)-ROW(PLE.firstrow))),0,IF(OFFSET(PLE!$G$14,$M624,BY$13)="",10^12,OFFSET(PLE!$G$14,$M624,BY$13))))</f>
        <v>1000000000000</v>
      </c>
      <c r="BZ624" s="182">
        <f ca="1">IF($D624&lt;&gt;"Serviço",0,IF(OR(AND(AUTOEVENTO="Manual",$M624=1),$M624&gt;(ROW(PLE.lastrow)-ROW(PLE.firstrow))),0,IF(OFFSET(PLE!$G$14,$M624,BZ$13)="",10^12,OFFSET(PLE!$G$14,$M624,BZ$13))))</f>
        <v>1000000000000</v>
      </c>
      <c r="CA624" s="182">
        <f ca="1">IF($D624&lt;&gt;"Serviço",0,IF(OR(AND(AUTOEVENTO="Manual",$M624=1),$M624&gt;(ROW(PLE.lastrow)-ROW(PLE.firstrow))),0,IF(OFFSET(PLE!$G$14,$M624,CA$13)="",10^12,OFFSET(PLE!$G$14,$M624,CA$13))))</f>
        <v>1000000000000</v>
      </c>
      <c r="CB624" s="182">
        <f ca="1">IF($D624&lt;&gt;"Serviço",0,IF(OR(AND(AUTOEVENTO="Manual",$M624=1),$M624&gt;(ROW(PLE.lastrow)-ROW(PLE.firstrow))),0,IF(OFFSET(PLE!$G$14,$M624,CB$13)="",10^12,OFFSET(PLE!$G$14,$M624,CB$13))))</f>
        <v>1000000000000</v>
      </c>
      <c r="CC624" s="182">
        <f ca="1">IF($D624&lt;&gt;"Serviço",0,IF(OR(AND(AUTOEVENTO="Manual",$M624=1),$M624&gt;(ROW(PLE.lastrow)-ROW(PLE.firstrow))),0,IF(OFFSET(PLE!$G$14,$M624,CC$13)="",10^12,OFFSET(PLE!$G$14,$M624,CC$13))))</f>
        <v>1000000000000</v>
      </c>
      <c r="CD624" s="182">
        <f ca="1">IF($D624&lt;&gt;"Serviço",0,IF(OR(AND(AUTOEVENTO="Manual",$M624=1),$M624&gt;(ROW(PLE.lastrow)-ROW(PLE.firstrow))),0,IF(OFFSET(PLE!$G$14,$M624,CD$13)="",10^12,OFFSET(PLE!$G$14,$M624,CD$13))))</f>
        <v>1000000000000</v>
      </c>
      <c r="CE624" s="182">
        <f ca="1">IF($D624&lt;&gt;"Serviço",0,IF(OR(AND(AUTOEVENTO="Manual",$M624=1),$M624&gt;(ROW(PLE.lastrow)-ROW(PLE.firstrow))),0,IF(OFFSET(PLE!$G$14,$M624,CE$13)="",10^12,OFFSET(PLE!$G$14,$M624,CE$13))))</f>
        <v>1000000000000</v>
      </c>
      <c r="CF624" s="182">
        <f ca="1">IF($D624&lt;&gt;"Serviço",0,IF(OR(AND(AUTOEVENTO="Manual",$M624=1),$M624&gt;(ROW(PLE.lastrow)-ROW(PLE.firstrow))),0,IF(OFFSET(PLE!$G$14,$M624,CF$13)="",10^12,OFFSET(PLE!$G$14,$M624,CF$13))))</f>
        <v>1000000000000</v>
      </c>
      <c r="CG624" s="182">
        <f ca="1">IF($D624&lt;&gt;"Serviço",0,IF(OR(AND(AUTOEVENTO="Manual",$M624=1),$M624&gt;(ROW(PLE.lastrow)-ROW(PLE.firstrow))),0,IF(OFFSET(PLE!$G$14,$M624,CG$13)="",10^12,OFFSET(PLE!$G$14,$M624,CG$13))))</f>
        <v>1000000000000</v>
      </c>
      <c r="CH624" s="182">
        <f ca="1">IF($D624&lt;&gt;"Serviço",0,IF(OR(AND(AUTOEVENTO="Manual",$M624=1),$M624&gt;(ROW(PLE.lastrow)-ROW(PLE.firstrow))),0,IF(OFFSET(PLE!$G$14,$M624,CH$13)="",10^12,OFFSET(PLE!$G$14,$M624,CH$13))))</f>
        <v>1000000000000</v>
      </c>
      <c r="CI624" s="182">
        <f ca="1">IF($D624&lt;&gt;"Serviço",0,IF(OR(AND(AUTOEVENTO="Manual",$M624=1),$M624&gt;(ROW(PLE.lastrow)-ROW(PLE.firstrow))),0,IF(OFFSET(PLE!$G$14,$M624,CI$13)="",10^12,OFFSET(PLE!$G$14,$M624,CI$13))))</f>
        <v>1000000000000</v>
      </c>
      <c r="CJ624" s="182">
        <f ca="1">IF($D624&lt;&gt;"Serviço",0,IF(OR(AND(AUTOEVENTO="Manual",$M624=1),$M624&gt;(ROW(PLE.lastrow)-ROW(PLE.firstrow))),0,IF(OFFSET(PLE!$G$14,$M624,CJ$13)="",10^12,OFFSET(PLE!$G$14,$M624,CJ$13))))</f>
        <v>1000000000000</v>
      </c>
      <c r="CK624" s="182">
        <f ca="1">IF($D624&lt;&gt;"Serviço",0,IF(OR(AND(AUTOEVENTO="Manual",$M624=1),$M624&gt;(ROW(PLE.lastrow)-ROW(PLE.firstrow))),0,IF(OFFSET(PLE!$G$14,$M624,CK$13)="",10^12,OFFSET(PLE!$G$14,$M624,CK$13))))</f>
        <v>1000000000000</v>
      </c>
      <c r="CL624" s="182">
        <f ca="1">IF($D624&lt;&gt;"Serviço",0,IF(OR(AND(AUTOEVENTO="Manual",$M624=1),$M624&gt;(ROW(PLE.lastrow)-ROW(PLE.firstrow))),0,IF(OFFSET(PLE!$G$14,$M624,CL$13)="",10^12,OFFSET(PLE!$G$14,$M624,CL$13))))</f>
        <v>1000000000000</v>
      </c>
      <c r="CM624" s="182">
        <f ca="1">IF($D624&lt;&gt;"Serviço",0,IF(OR(AND(AUTOEVENTO="Manual",$M624=1),$M624&gt;(ROW(PLE.lastrow)-ROW(PLE.firstrow))),0,IF(OFFSET(PLE!$G$14,$M624,CM$13)="",10^12,OFFSET(PLE!$G$14,$M624,CM$13))))</f>
        <v>1000000000000</v>
      </c>
    </row>
    <row r="625" spans="1:91" ht="38.25" x14ac:dyDescent="0.2">
      <c r="A625" s="7" t="str">
        <f t="shared" ca="1" si="18"/>
        <v>603</v>
      </c>
      <c r="B625" s="7" t="str">
        <f ca="1">OFFSET(ORÇAMENTO!C$15,ROW(B625)-ROW(B$15),0)</f>
        <v>S</v>
      </c>
      <c r="C625" s="7" t="str">
        <f ca="1">OFFSET(ORÇAMENTO!L$15,ROW(C625)-ROW(C$15),0)</f>
        <v/>
      </c>
      <c r="D625" s="118" t="str">
        <f ca="1">OFFSET(ORÇAMENTO!N$15,ROW(D625)-ROW(D$15),0)</f>
        <v>Serviço</v>
      </c>
      <c r="E625" s="119" t="str">
        <f ca="1">OFFSET(ORÇAMENTO!O$15,ROW(E625)-ROW(E$15),0)</f>
        <v>-</v>
      </c>
      <c r="F625" s="172" t="str">
        <f ca="1">OFFSET(ORÇAMENTO!R$15,ROW(F625)-ROW(F$15),0)</f>
        <v>(abra o arquivo 'Referência 06-2024.xlsm)</v>
      </c>
      <c r="G625" s="173" t="str">
        <f ca="1">IF($D625&lt;&gt;"Serviço","",OFFSET(ORÇAMENTO!S$15,ROW(G625)-ROW(G$15),0))</f>
        <v>-</v>
      </c>
      <c r="H625" s="124">
        <f ca="1">IF($D625&lt;&gt;"Serviço",0,IF(ACOMPANHAMENTO="BM",ROUND(OFFSET(ORÇAMENTO!AJ$15,ROW(H625)-ROW(H$15),0),15-13*ORÇAMENTO!$AF$7),SUMPRODUCT(($Q$12:$AI$12&lt;&gt;"")*ROUND($Q625:$AI625,15-13*ORÇAMENTO!$AF$7))))</f>
        <v>1</v>
      </c>
      <c r="I625" s="561" t="s">
        <v>1107</v>
      </c>
      <c r="K625" s="174"/>
      <c r="L625" s="175" t="s">
        <v>255</v>
      </c>
      <c r="M625" s="176">
        <f ca="1">IF($D625&lt;&gt;"Serviço","",IF(AUTOEVENTO="manual",$A625,IF(ISERROR(MATCH($A625,$A$15:OFFSET($A625,-1,0),0)),MAX($M$15:OFFSET(M625,-1,0))+1,INDEX($M$15:OFFSET(M625,-1,0),MATCH($A625,$A$15:OFFSET($A625,-1,0),0)))))</f>
        <v>65</v>
      </c>
      <c r="N625" s="177" t="str">
        <f ca="1">IF($D625&lt;&gt;"Serviço","",IF(AUTOEVENTO="Manual",IF($A625=0,"&lt;-- defina o número do agrupador",OFFSET(EVENTOS!$D$14,$A625,0)),OFFSET($F$15,$A625,0)))</f>
        <v>INSTALAÇÕES DE CABEAMENTO ESTRUTURADO - ACESSÓRIOS DE CABEAMENTO</v>
      </c>
      <c r="O625" s="178"/>
      <c r="Q625" s="178">
        <v>1</v>
      </c>
      <c r="R625" s="179"/>
      <c r="S625" s="179"/>
      <c r="T625" s="179"/>
      <c r="U625" s="179"/>
      <c r="V625" s="179"/>
      <c r="W625" s="179"/>
      <c r="X625" s="179"/>
      <c r="Y625" s="179"/>
      <c r="Z625" s="180"/>
      <c r="AA625" s="179"/>
      <c r="AB625" s="179"/>
      <c r="AC625" s="179"/>
      <c r="AD625" s="179"/>
      <c r="AE625" s="179"/>
      <c r="AF625" s="179"/>
      <c r="AG625" s="179"/>
      <c r="AH625" s="180"/>
      <c r="AJ625" s="544">
        <f ca="1">IF(AND($D625="Serviço",AJ$12&lt;&gt;0,$H625&gt;0,OR(AUTOEVENTO&lt;&gt;"manual",$M625&lt;&gt;1)),
IF(Import.TipoArredondamento&lt;&gt;"TransfereGOV",
ROUND(OFFSET($P625,0,AJ$13),15-13*ORÇAMENTO!$AF$7)/$H625*OFFSET(ORÇAMENTO!$X$15,ROW(AJ625)-ROW(AJ$15),0),
ROUND(ROUND(OFFSET($P625,0,AJ$13),15-13*ORÇAMENTO!$AF$7)*OFFSET(ORÇAMENTO!$W$15,ROW(AJ625)-ROW(AJ$15),0),15-13*ORÇAMENTO!$AF$11)),0)</f>
        <v>0</v>
      </c>
      <c r="AK625" s="545">
        <f ca="1">IF(AND($D625="Serviço",AK$12&lt;&gt;0,$H625&gt;0,OR(AUTOEVENTO&lt;&gt;"manual",$M625&lt;&gt;1)),
IF(Import.TipoArredondamento&lt;&gt;"TransfereGOV",
ROUND(OFFSET($P625,0,AK$13),15-13*ORÇAMENTO!$AF$7)/$H625*OFFSET(ORÇAMENTO!$X$15,ROW(AK625)-ROW(AK$15),0),
ROUND(ROUND(OFFSET($P625,0,AK$13),15-13*ORÇAMENTO!$AF$7)*OFFSET(ORÇAMENTO!$W$15,ROW(AK625)-ROW(AK$15),0),15-13*ORÇAMENTO!$AF$11)),0)</f>
        <v>0</v>
      </c>
      <c r="AL625" s="545">
        <f ca="1">IF(AND($D625="Serviço",AL$12&lt;&gt;0,$H625&gt;0,OR(AUTOEVENTO&lt;&gt;"manual",$M625&lt;&gt;1)),
IF(Import.TipoArredondamento&lt;&gt;"TransfereGOV",
ROUND(OFFSET($P625,0,AL$13),15-13*ORÇAMENTO!$AF$7)/$H625*OFFSET(ORÇAMENTO!$X$15,ROW(AL625)-ROW(AL$15),0),
ROUND(ROUND(OFFSET($P625,0,AL$13),15-13*ORÇAMENTO!$AF$7)*OFFSET(ORÇAMENTO!$W$15,ROW(AL625)-ROW(AL$15),0),15-13*ORÇAMENTO!$AF$11)),0)</f>
        <v>0</v>
      </c>
      <c r="AM625" s="545">
        <f ca="1">IF(AND($D625="Serviço",AM$12&lt;&gt;0,$H625&gt;0,OR(AUTOEVENTO&lt;&gt;"manual",$M625&lt;&gt;1)),
IF(Import.TipoArredondamento&lt;&gt;"TransfereGOV",
ROUND(OFFSET($P625,0,AM$13),15-13*ORÇAMENTO!$AF$7)/$H625*OFFSET(ORÇAMENTO!$X$15,ROW(AM625)-ROW(AM$15),0),
ROUND(ROUND(OFFSET($P625,0,AM$13),15-13*ORÇAMENTO!$AF$7)*OFFSET(ORÇAMENTO!$W$15,ROW(AM625)-ROW(AM$15),0),15-13*ORÇAMENTO!$AF$11)),0)</f>
        <v>0</v>
      </c>
      <c r="AN625" s="545">
        <f ca="1">IF(AND($D625="Serviço",AN$12&lt;&gt;0,$H625&gt;0,OR(AUTOEVENTO&lt;&gt;"manual",$M625&lt;&gt;1)),
IF(Import.TipoArredondamento&lt;&gt;"TransfereGOV",
ROUND(OFFSET($P625,0,AN$13),15-13*ORÇAMENTO!$AF$7)/$H625*OFFSET(ORÇAMENTO!$X$15,ROW(AN625)-ROW(AN$15),0),
ROUND(ROUND(OFFSET($P625,0,AN$13),15-13*ORÇAMENTO!$AF$7)*OFFSET(ORÇAMENTO!$W$15,ROW(AN625)-ROW(AN$15),0),15-13*ORÇAMENTO!$AF$11)),0)</f>
        <v>0</v>
      </c>
      <c r="AO625" s="545">
        <f ca="1">IF(AND($D625="Serviço",AO$12&lt;&gt;0,$H625&gt;0,OR(AUTOEVENTO&lt;&gt;"manual",$M625&lt;&gt;1)),
IF(Import.TipoArredondamento&lt;&gt;"TransfereGOV",
ROUND(OFFSET($P625,0,AO$13),15-13*ORÇAMENTO!$AF$7)/$H625*OFFSET(ORÇAMENTO!$X$15,ROW(AO625)-ROW(AO$15),0),
ROUND(ROUND(OFFSET($P625,0,AO$13),15-13*ORÇAMENTO!$AF$7)*OFFSET(ORÇAMENTO!$W$15,ROW(AO625)-ROW(AO$15),0),15-13*ORÇAMENTO!$AF$11)),0)</f>
        <v>0</v>
      </c>
      <c r="AP625" s="545">
        <f ca="1">IF(AND($D625="Serviço",AP$12&lt;&gt;0,$H625&gt;0,OR(AUTOEVENTO&lt;&gt;"manual",$M625&lt;&gt;1)),
IF(Import.TipoArredondamento&lt;&gt;"TransfereGOV",
ROUND(OFFSET($P625,0,AP$13),15-13*ORÇAMENTO!$AF$7)/$H625*OFFSET(ORÇAMENTO!$X$15,ROW(AP625)-ROW(AP$15),0),
ROUND(ROUND(OFFSET($P625,0,AP$13),15-13*ORÇAMENTO!$AF$7)*OFFSET(ORÇAMENTO!$W$15,ROW(AP625)-ROW(AP$15),0),15-13*ORÇAMENTO!$AF$11)),0)</f>
        <v>0</v>
      </c>
      <c r="AQ625" s="545">
        <f ca="1">IF(AND($D625="Serviço",AQ$12&lt;&gt;0,$H625&gt;0,OR(AUTOEVENTO&lt;&gt;"manual",$M625&lt;&gt;1)),
IF(Import.TipoArredondamento&lt;&gt;"TransfereGOV",
ROUND(OFFSET($P625,0,AQ$13),15-13*ORÇAMENTO!$AF$7)/$H625*OFFSET(ORÇAMENTO!$X$15,ROW(AQ625)-ROW(AQ$15),0),
ROUND(ROUND(OFFSET($P625,0,AQ$13),15-13*ORÇAMENTO!$AF$7)*OFFSET(ORÇAMENTO!$W$15,ROW(AQ625)-ROW(AQ$15),0),15-13*ORÇAMENTO!$AF$11)),0)</f>
        <v>0</v>
      </c>
      <c r="AR625" s="545">
        <f ca="1">IF(AND($D625="Serviço",AR$12&lt;&gt;0,$H625&gt;0,OR(AUTOEVENTO&lt;&gt;"manual",$M625&lt;&gt;1)),
IF(Import.TipoArredondamento&lt;&gt;"TransfereGOV",
ROUND(OFFSET($P625,0,AR$13),15-13*ORÇAMENTO!$AF$7)/$H625*OFFSET(ORÇAMENTO!$X$15,ROW(AR625)-ROW(AR$15),0),
ROUND(ROUND(OFFSET($P625,0,AR$13),15-13*ORÇAMENTO!$AF$7)*OFFSET(ORÇAMENTO!$W$15,ROW(AR625)-ROW(AR$15),0),15-13*ORÇAMENTO!$AF$11)),0)</f>
        <v>0</v>
      </c>
      <c r="AS625" s="546">
        <f ca="1">IF(AND($D625="Serviço",AS$12&lt;&gt;0,$H625&gt;0,OR(AUTOEVENTO&lt;&gt;"manual",$M625&lt;&gt;1)),
IF(Import.TipoArredondamento&lt;&gt;"TransfereGOV",
ROUND(OFFSET($P625,0,AS$13),15-13*ORÇAMENTO!$AF$7)/$H625*OFFSET(ORÇAMENTO!$X$15,ROW(AS625)-ROW(AS$15),0),
ROUND(ROUND(OFFSET($P625,0,AS$13),15-13*ORÇAMENTO!$AF$7)*OFFSET(ORÇAMENTO!$W$15,ROW(AS625)-ROW(AS$15),0),15-13*ORÇAMENTO!$AF$11)),0)</f>
        <v>0</v>
      </c>
      <c r="AT625" s="545">
        <f ca="1">IF(AND($D625="Serviço",AT$12&lt;&gt;0,$H625&gt;0,OR(AUTOEVENTO&lt;&gt;"manual",$M625&lt;&gt;1)),
IF(Import.TipoArredondamento&lt;&gt;"TransfereGOV",
ROUND(OFFSET($P625,0,AT$13),15-13*ORÇAMENTO!$AF$7)/$H625*OFFSET(ORÇAMENTO!$X$15,ROW(AT625)-ROW(AT$15),0),
ROUND(ROUND(OFFSET($P625,0,AT$13),15-13*ORÇAMENTO!$AF$7)*OFFSET(ORÇAMENTO!$W$15,ROW(AT625)-ROW(AT$15),0),15-13*ORÇAMENTO!$AF$11)),0)</f>
        <v>0</v>
      </c>
      <c r="AU625" s="545">
        <f ca="1">IF(AND($D625="Serviço",AU$12&lt;&gt;0,$H625&gt;0,OR(AUTOEVENTO&lt;&gt;"manual",$M625&lt;&gt;1)),
IF(Import.TipoArredondamento&lt;&gt;"TransfereGOV",
ROUND(OFFSET($P625,0,AU$13),15-13*ORÇAMENTO!$AF$7)/$H625*OFFSET(ORÇAMENTO!$X$15,ROW(AU625)-ROW(AU$15),0),
ROUND(ROUND(OFFSET($P625,0,AU$13),15-13*ORÇAMENTO!$AF$7)*OFFSET(ORÇAMENTO!$W$15,ROW(AU625)-ROW(AU$15),0),15-13*ORÇAMENTO!$AF$11)),0)</f>
        <v>0</v>
      </c>
      <c r="AV625" s="545">
        <f ca="1">IF(AND($D625="Serviço",AV$12&lt;&gt;0,$H625&gt;0,OR(AUTOEVENTO&lt;&gt;"manual",$M625&lt;&gt;1)),
IF(Import.TipoArredondamento&lt;&gt;"TransfereGOV",
ROUND(OFFSET($P625,0,AV$13),15-13*ORÇAMENTO!$AF$7)/$H625*OFFSET(ORÇAMENTO!$X$15,ROW(AV625)-ROW(AV$15),0),
ROUND(ROUND(OFFSET($P625,0,AV$13),15-13*ORÇAMENTO!$AF$7)*OFFSET(ORÇAMENTO!$W$15,ROW(AV625)-ROW(AV$15),0),15-13*ORÇAMENTO!$AF$11)),0)</f>
        <v>0</v>
      </c>
      <c r="AW625" s="545">
        <f ca="1">IF(AND($D625="Serviço",AW$12&lt;&gt;0,$H625&gt;0,OR(AUTOEVENTO&lt;&gt;"manual",$M625&lt;&gt;1)),
IF(Import.TipoArredondamento&lt;&gt;"TransfereGOV",
ROUND(OFFSET($P625,0,AW$13),15-13*ORÇAMENTO!$AF$7)/$H625*OFFSET(ORÇAMENTO!$X$15,ROW(AW625)-ROW(AW$15),0),
ROUND(ROUND(OFFSET($P625,0,AW$13),15-13*ORÇAMENTO!$AF$7)*OFFSET(ORÇAMENTO!$W$15,ROW(AW625)-ROW(AW$15),0),15-13*ORÇAMENTO!$AF$11)),0)</f>
        <v>0</v>
      </c>
      <c r="AX625" s="545">
        <f ca="1">IF(AND($D625="Serviço",AX$12&lt;&gt;0,$H625&gt;0,OR(AUTOEVENTO&lt;&gt;"manual",$M625&lt;&gt;1)),
IF(Import.TipoArredondamento&lt;&gt;"TransfereGOV",
ROUND(OFFSET($P625,0,AX$13),15-13*ORÇAMENTO!$AF$7)/$H625*OFFSET(ORÇAMENTO!$X$15,ROW(AX625)-ROW(AX$15),0),
ROUND(ROUND(OFFSET($P625,0,AX$13),15-13*ORÇAMENTO!$AF$7)*OFFSET(ORÇAMENTO!$W$15,ROW(AX625)-ROW(AX$15),0),15-13*ORÇAMENTO!$AF$11)),0)</f>
        <v>0</v>
      </c>
      <c r="AY625" s="545">
        <f ca="1">IF(AND($D625="Serviço",AY$12&lt;&gt;0,$H625&gt;0,OR(AUTOEVENTO&lt;&gt;"manual",$M625&lt;&gt;1)),
IF(Import.TipoArredondamento&lt;&gt;"TransfereGOV",
ROUND(OFFSET($P625,0,AY$13),15-13*ORÇAMENTO!$AF$7)/$H625*OFFSET(ORÇAMENTO!$X$15,ROW(AY625)-ROW(AY$15),0),
ROUND(ROUND(OFFSET($P625,0,AY$13),15-13*ORÇAMENTO!$AF$7)*OFFSET(ORÇAMENTO!$W$15,ROW(AY625)-ROW(AY$15),0),15-13*ORÇAMENTO!$AF$11)),0)</f>
        <v>0</v>
      </c>
      <c r="AZ625" s="545">
        <f ca="1">IF(AND($D625="Serviço",AZ$12&lt;&gt;0,$H625&gt;0,OR(AUTOEVENTO&lt;&gt;"manual",$M625&lt;&gt;1)),
IF(Import.TipoArredondamento&lt;&gt;"TransfereGOV",
ROUND(OFFSET($P625,0,AZ$13),15-13*ORÇAMENTO!$AF$7)/$H625*OFFSET(ORÇAMENTO!$X$15,ROW(AZ625)-ROW(AZ$15),0),
ROUND(ROUND(OFFSET($P625,0,AZ$13),15-13*ORÇAMENTO!$AF$7)*OFFSET(ORÇAMENTO!$W$15,ROW(AZ625)-ROW(AZ$15),0),15-13*ORÇAMENTO!$AF$11)),0)</f>
        <v>0</v>
      </c>
      <c r="BA625" s="546">
        <f ca="1">IF(AND($D625="Serviço",BA$12&lt;&gt;0,$H625&gt;0,OR(AUTOEVENTO&lt;&gt;"manual",$M625&lt;&gt;1)),
IF(Import.TipoArredondamento&lt;&gt;"TransfereGOV",
ROUND(OFFSET($P625,0,BA$13),15-13*ORÇAMENTO!$AF$7)/$H625*OFFSET(ORÇAMENTO!$X$15,ROW(BA625)-ROW(BA$15),0),
ROUND(ROUND(OFFSET($P625,0,BA$13),15-13*ORÇAMENTO!$AF$7)*OFFSET(ORÇAMENTO!$W$15,ROW(BA625)-ROW(BA$15),0),15-13*ORÇAMENTO!$AF$11)),0)</f>
        <v>0</v>
      </c>
      <c r="BC625" s="181">
        <f ca="1">IF($D625&lt;&gt;"Serviço",0,IF(AND(AUTOEVENTO="Manual",$M625=1),0,IF(OFFSET(CRONOPLE!$F$14,$M625,BC$13)="",10^12,OFFSET(CRONOPLE!$F$14,$M625,BC$13))))</f>
        <v>11</v>
      </c>
      <c r="BD625" s="181">
        <f ca="1">IF($D625&lt;&gt;"Serviço",0,IF(AND(AUTOEVENTO="Manual",$M625=1),0,IF(OFFSET(CRONOPLE!$F$14,$M625,BD$13)="",10^12,OFFSET(CRONOPLE!$F$14,$M625,BD$13))))</f>
        <v>1000000000000</v>
      </c>
      <c r="BE625" s="181">
        <f ca="1">IF($D625&lt;&gt;"Serviço",0,IF(AND(AUTOEVENTO="Manual",$M625=1),0,IF(OFFSET(CRONOPLE!$F$14,$M625,BE$13)="",10^12,OFFSET(CRONOPLE!$F$14,$M625,BE$13))))</f>
        <v>1000000000000</v>
      </c>
      <c r="BF625" s="181">
        <f ca="1">IF($D625&lt;&gt;"Serviço",0,IF(AND(AUTOEVENTO="Manual",$M625=1),0,IF(OFFSET(CRONOPLE!$F$14,$M625,BF$13)="",10^12,OFFSET(CRONOPLE!$F$14,$M625,BF$13))))</f>
        <v>1000000000000</v>
      </c>
      <c r="BG625" s="181">
        <f ca="1">IF($D625&lt;&gt;"Serviço",0,IF(AND(AUTOEVENTO="Manual",$M625=1),0,IF(OFFSET(CRONOPLE!$F$14,$M625,BG$13)="",10^12,OFFSET(CRONOPLE!$F$14,$M625,BG$13))))</f>
        <v>1000000000000</v>
      </c>
      <c r="BH625" s="181">
        <f ca="1">IF($D625&lt;&gt;"Serviço",0,IF(AND(AUTOEVENTO="Manual",$M625=1),0,IF(OFFSET(CRONOPLE!$F$14,$M625,BH$13)="",10^12,OFFSET(CRONOPLE!$F$14,$M625,BH$13))))</f>
        <v>1000000000000</v>
      </c>
      <c r="BI625" s="181">
        <f ca="1">IF($D625&lt;&gt;"Serviço",0,IF(AND(AUTOEVENTO="Manual",$M625=1),0,IF(OFFSET(CRONOPLE!$F$14,$M625,BI$13)="",10^12,OFFSET(CRONOPLE!$F$14,$M625,BI$13))))</f>
        <v>1000000000000</v>
      </c>
      <c r="BJ625" s="181">
        <f ca="1">IF($D625&lt;&gt;"Serviço",0,IF(AND(AUTOEVENTO="Manual",$M625=1),0,IF(OFFSET(CRONOPLE!$F$14,$M625,BJ$13)="",10^12,OFFSET(CRONOPLE!$F$14,$M625,BJ$13))))</f>
        <v>1000000000000</v>
      </c>
      <c r="BK625" s="181">
        <f ca="1">IF($D625&lt;&gt;"Serviço",0,IF(AND(AUTOEVENTO="Manual",$M625=1),0,IF(OFFSET(CRONOPLE!$F$14,$M625,BK$13)="",10^12,OFFSET(CRONOPLE!$F$14,$M625,BK$13))))</f>
        <v>1000000000000</v>
      </c>
      <c r="BL625" s="181">
        <f ca="1">IF($D625&lt;&gt;"Serviço",0,IF(AND(AUTOEVENTO="Manual",$M625=1),0,IF(OFFSET(CRONOPLE!$F$14,$M625,BL$13)="",10^12,OFFSET(CRONOPLE!$F$14,$M625,BL$13))))</f>
        <v>1000000000000</v>
      </c>
      <c r="BM625" s="181">
        <f ca="1">IF($D625&lt;&gt;"Serviço",0,IF(AND(AUTOEVENTO="Manual",$M625=1),0,IF(OFFSET(CRONOPLE!$F$14,$M625,BM$13)="",10^12,OFFSET(CRONOPLE!$F$14,$M625,BM$13))))</f>
        <v>1000000000000</v>
      </c>
      <c r="BN625" s="181">
        <f ca="1">IF($D625&lt;&gt;"Serviço",0,IF(AND(AUTOEVENTO="Manual",$M625=1),0,IF(OFFSET(CRONOPLE!$F$14,$M625,BN$13)="",10^12,OFFSET(CRONOPLE!$F$14,$M625,BN$13))))</f>
        <v>1000000000000</v>
      </c>
      <c r="BO625" s="181">
        <f ca="1">IF($D625&lt;&gt;"Serviço",0,IF(AND(AUTOEVENTO="Manual",$M625=1),0,IF(OFFSET(CRONOPLE!$F$14,$M625,BO$13)="",10^12,OFFSET(CRONOPLE!$F$14,$M625,BO$13))))</f>
        <v>1000000000000</v>
      </c>
      <c r="BP625" s="181">
        <f ca="1">IF($D625&lt;&gt;"Serviço",0,IF(AND(AUTOEVENTO="Manual",$M625=1),0,IF(OFFSET(CRONOPLE!$F$14,$M625,BP$13)="",10^12,OFFSET(CRONOPLE!$F$14,$M625,BP$13))))</f>
        <v>1000000000000</v>
      </c>
      <c r="BQ625" s="181">
        <f ca="1">IF($D625&lt;&gt;"Serviço",0,IF(AND(AUTOEVENTO="Manual",$M625=1),0,IF(OFFSET(CRONOPLE!$F$14,$M625,BQ$13)="",10^12,OFFSET(CRONOPLE!$F$14,$M625,BQ$13))))</f>
        <v>1000000000000</v>
      </c>
      <c r="BR625" s="181">
        <f ca="1">IF($D625&lt;&gt;"Serviço",0,IF(AND(AUTOEVENTO="Manual",$M625=1),0,IF(OFFSET(CRONOPLE!$F$14,$M625,BR$13)="",10^12,OFFSET(CRONOPLE!$F$14,$M625,BR$13))))</f>
        <v>1000000000000</v>
      </c>
      <c r="BS625" s="181">
        <f ca="1">IF($D625&lt;&gt;"Serviço",0,IF(AND(AUTOEVENTO="Manual",$M625=1),0,IF(OFFSET(CRONOPLE!$F$14,$M625,BS$13)="",10^12,OFFSET(CRONOPLE!$F$14,$M625,BS$13))))</f>
        <v>1000000000000</v>
      </c>
      <c r="BT625" s="181">
        <f ca="1">IF($D625&lt;&gt;"Serviço",0,IF(AND(AUTOEVENTO="Manual",$M625=1),0,IF(OFFSET(CRONOPLE!$F$14,$M625,BT$13)="",10^12,OFFSET(CRONOPLE!$F$14,$M625,BT$13))))</f>
        <v>1000000000000</v>
      </c>
      <c r="BV625" s="182">
        <f ca="1">IF($D625&lt;&gt;"Serviço",0,IF(OR(AND(AUTOEVENTO="Manual",$M625=1),$M625&gt;(ROW(PLE.lastrow)-ROW(PLE.firstrow))),0,IF(OFFSET(PLE!$G$14,$M625,BV$13)="",10^12,OFFSET(PLE!$G$14,$M625,BV$13))))</f>
        <v>1000000000000</v>
      </c>
      <c r="BW625" s="182">
        <f ca="1">IF($D625&lt;&gt;"Serviço",0,IF(OR(AND(AUTOEVENTO="Manual",$M625=1),$M625&gt;(ROW(PLE.lastrow)-ROW(PLE.firstrow))),0,IF(OFFSET(PLE!$G$14,$M625,BW$13)="",10^12,OFFSET(PLE!$G$14,$M625,BW$13))))</f>
        <v>1000000000000</v>
      </c>
      <c r="BX625" s="182">
        <f ca="1">IF($D625&lt;&gt;"Serviço",0,IF(OR(AND(AUTOEVENTO="Manual",$M625=1),$M625&gt;(ROW(PLE.lastrow)-ROW(PLE.firstrow))),0,IF(OFFSET(PLE!$G$14,$M625,BX$13)="",10^12,OFFSET(PLE!$G$14,$M625,BX$13))))</f>
        <v>1000000000000</v>
      </c>
      <c r="BY625" s="182">
        <f ca="1">IF($D625&lt;&gt;"Serviço",0,IF(OR(AND(AUTOEVENTO="Manual",$M625=1),$M625&gt;(ROW(PLE.lastrow)-ROW(PLE.firstrow))),0,IF(OFFSET(PLE!$G$14,$M625,BY$13)="",10^12,OFFSET(PLE!$G$14,$M625,BY$13))))</f>
        <v>1000000000000</v>
      </c>
      <c r="BZ625" s="182">
        <f ca="1">IF($D625&lt;&gt;"Serviço",0,IF(OR(AND(AUTOEVENTO="Manual",$M625=1),$M625&gt;(ROW(PLE.lastrow)-ROW(PLE.firstrow))),0,IF(OFFSET(PLE!$G$14,$M625,BZ$13)="",10^12,OFFSET(PLE!$G$14,$M625,BZ$13))))</f>
        <v>1000000000000</v>
      </c>
      <c r="CA625" s="182">
        <f ca="1">IF($D625&lt;&gt;"Serviço",0,IF(OR(AND(AUTOEVENTO="Manual",$M625=1),$M625&gt;(ROW(PLE.lastrow)-ROW(PLE.firstrow))),0,IF(OFFSET(PLE!$G$14,$M625,CA$13)="",10^12,OFFSET(PLE!$G$14,$M625,CA$13))))</f>
        <v>1000000000000</v>
      </c>
      <c r="CB625" s="182">
        <f ca="1">IF($D625&lt;&gt;"Serviço",0,IF(OR(AND(AUTOEVENTO="Manual",$M625=1),$M625&gt;(ROW(PLE.lastrow)-ROW(PLE.firstrow))),0,IF(OFFSET(PLE!$G$14,$M625,CB$13)="",10^12,OFFSET(PLE!$G$14,$M625,CB$13))))</f>
        <v>1000000000000</v>
      </c>
      <c r="CC625" s="182">
        <f ca="1">IF($D625&lt;&gt;"Serviço",0,IF(OR(AND(AUTOEVENTO="Manual",$M625=1),$M625&gt;(ROW(PLE.lastrow)-ROW(PLE.firstrow))),0,IF(OFFSET(PLE!$G$14,$M625,CC$13)="",10^12,OFFSET(PLE!$G$14,$M625,CC$13))))</f>
        <v>1000000000000</v>
      </c>
      <c r="CD625" s="182">
        <f ca="1">IF($D625&lt;&gt;"Serviço",0,IF(OR(AND(AUTOEVENTO="Manual",$M625=1),$M625&gt;(ROW(PLE.lastrow)-ROW(PLE.firstrow))),0,IF(OFFSET(PLE!$G$14,$M625,CD$13)="",10^12,OFFSET(PLE!$G$14,$M625,CD$13))))</f>
        <v>1000000000000</v>
      </c>
      <c r="CE625" s="182">
        <f ca="1">IF($D625&lt;&gt;"Serviço",0,IF(OR(AND(AUTOEVENTO="Manual",$M625=1),$M625&gt;(ROW(PLE.lastrow)-ROW(PLE.firstrow))),0,IF(OFFSET(PLE!$G$14,$M625,CE$13)="",10^12,OFFSET(PLE!$G$14,$M625,CE$13))))</f>
        <v>1000000000000</v>
      </c>
      <c r="CF625" s="182">
        <f ca="1">IF($D625&lt;&gt;"Serviço",0,IF(OR(AND(AUTOEVENTO="Manual",$M625=1),$M625&gt;(ROW(PLE.lastrow)-ROW(PLE.firstrow))),0,IF(OFFSET(PLE!$G$14,$M625,CF$13)="",10^12,OFFSET(PLE!$G$14,$M625,CF$13))))</f>
        <v>1000000000000</v>
      </c>
      <c r="CG625" s="182">
        <f ca="1">IF($D625&lt;&gt;"Serviço",0,IF(OR(AND(AUTOEVENTO="Manual",$M625=1),$M625&gt;(ROW(PLE.lastrow)-ROW(PLE.firstrow))),0,IF(OFFSET(PLE!$G$14,$M625,CG$13)="",10^12,OFFSET(PLE!$G$14,$M625,CG$13))))</f>
        <v>1000000000000</v>
      </c>
      <c r="CH625" s="182">
        <f ca="1">IF($D625&lt;&gt;"Serviço",0,IF(OR(AND(AUTOEVENTO="Manual",$M625=1),$M625&gt;(ROW(PLE.lastrow)-ROW(PLE.firstrow))),0,IF(OFFSET(PLE!$G$14,$M625,CH$13)="",10^12,OFFSET(PLE!$G$14,$M625,CH$13))))</f>
        <v>1000000000000</v>
      </c>
      <c r="CI625" s="182">
        <f ca="1">IF($D625&lt;&gt;"Serviço",0,IF(OR(AND(AUTOEVENTO="Manual",$M625=1),$M625&gt;(ROW(PLE.lastrow)-ROW(PLE.firstrow))),0,IF(OFFSET(PLE!$G$14,$M625,CI$13)="",10^12,OFFSET(PLE!$G$14,$M625,CI$13))))</f>
        <v>1000000000000</v>
      </c>
      <c r="CJ625" s="182">
        <f ca="1">IF($D625&lt;&gt;"Serviço",0,IF(OR(AND(AUTOEVENTO="Manual",$M625=1),$M625&gt;(ROW(PLE.lastrow)-ROW(PLE.firstrow))),0,IF(OFFSET(PLE!$G$14,$M625,CJ$13)="",10^12,OFFSET(PLE!$G$14,$M625,CJ$13))))</f>
        <v>1000000000000</v>
      </c>
      <c r="CK625" s="182">
        <f ca="1">IF($D625&lt;&gt;"Serviço",0,IF(OR(AND(AUTOEVENTO="Manual",$M625=1),$M625&gt;(ROW(PLE.lastrow)-ROW(PLE.firstrow))),0,IF(OFFSET(PLE!$G$14,$M625,CK$13)="",10^12,OFFSET(PLE!$G$14,$M625,CK$13))))</f>
        <v>1000000000000</v>
      </c>
      <c r="CL625" s="182">
        <f ca="1">IF($D625&lt;&gt;"Serviço",0,IF(OR(AND(AUTOEVENTO="Manual",$M625=1),$M625&gt;(ROW(PLE.lastrow)-ROW(PLE.firstrow))),0,IF(OFFSET(PLE!$G$14,$M625,CL$13)="",10^12,OFFSET(PLE!$G$14,$M625,CL$13))))</f>
        <v>1000000000000</v>
      </c>
      <c r="CM625" s="182">
        <f ca="1">IF($D625&lt;&gt;"Serviço",0,IF(OR(AND(AUTOEVENTO="Manual",$M625=1),$M625&gt;(ROW(PLE.lastrow)-ROW(PLE.firstrow))),0,IF(OFFSET(PLE!$G$14,$M625,CM$13)="",10^12,OFFSET(PLE!$G$14,$M625,CM$13))))</f>
        <v>1000000000000</v>
      </c>
    </row>
    <row r="626" spans="1:91" ht="38.25" x14ac:dyDescent="0.2">
      <c r="A626" s="7" t="str">
        <f t="shared" ca="1" si="18"/>
        <v>603</v>
      </c>
      <c r="B626" s="7" t="str">
        <f ca="1">OFFSET(ORÇAMENTO!C$15,ROW(B626)-ROW(B$15),0)</f>
        <v>S</v>
      </c>
      <c r="C626" s="7" t="str">
        <f ca="1">OFFSET(ORÇAMENTO!L$15,ROW(C626)-ROW(C$15),0)</f>
        <v/>
      </c>
      <c r="D626" s="118" t="str">
        <f ca="1">OFFSET(ORÇAMENTO!N$15,ROW(D626)-ROW(D$15),0)</f>
        <v>Serviço</v>
      </c>
      <c r="E626" s="119" t="str">
        <f ca="1">OFFSET(ORÇAMENTO!O$15,ROW(E626)-ROW(E$15),0)</f>
        <v>-</v>
      </c>
      <c r="F626" s="172" t="str">
        <f ca="1">OFFSET(ORÇAMENTO!R$15,ROW(F626)-ROW(F$15),0)</f>
        <v>(abra o arquivo 'Referência 06-2024.xlsm)</v>
      </c>
      <c r="G626" s="173" t="str">
        <f ca="1">IF($D626&lt;&gt;"Serviço","",OFFSET(ORÇAMENTO!S$15,ROW(G626)-ROW(G$15),0))</f>
        <v>-</v>
      </c>
      <c r="H626" s="124">
        <f ca="1">IF($D626&lt;&gt;"Serviço",0,IF(ACOMPANHAMENTO="BM",ROUND(OFFSET(ORÇAMENTO!AJ$15,ROW(H626)-ROW(H$15),0),15-13*ORÇAMENTO!$AF$7),SUMPRODUCT(($Q$12:$AI$12&lt;&gt;"")*ROUND($Q626:$AI626,15-13*ORÇAMENTO!$AF$7))))</f>
        <v>1</v>
      </c>
      <c r="I626" s="561" t="s">
        <v>1107</v>
      </c>
      <c r="K626" s="174"/>
      <c r="L626" s="175" t="s">
        <v>255</v>
      </c>
      <c r="M626" s="176">
        <f ca="1">IF($D626&lt;&gt;"Serviço","",IF(AUTOEVENTO="manual",$A626,IF(ISERROR(MATCH($A626,$A$15:OFFSET($A626,-1,0),0)),MAX($M$15:OFFSET(M626,-1,0))+1,INDEX($M$15:OFFSET(M626,-1,0),MATCH($A626,$A$15:OFFSET($A626,-1,0),0)))))</f>
        <v>65</v>
      </c>
      <c r="N626" s="177" t="str">
        <f ca="1">IF($D626&lt;&gt;"Serviço","",IF(AUTOEVENTO="Manual",IF($A626=0,"&lt;-- defina o número do agrupador",OFFSET(EVENTOS!$D$14,$A626,0)),OFFSET($F$15,$A626,0)))</f>
        <v>INSTALAÇÕES DE CABEAMENTO ESTRUTURADO - ACESSÓRIOS DE CABEAMENTO</v>
      </c>
      <c r="O626" s="178"/>
      <c r="Q626" s="178">
        <v>1</v>
      </c>
      <c r="R626" s="179"/>
      <c r="S626" s="179"/>
      <c r="T626" s="179"/>
      <c r="U626" s="179"/>
      <c r="V626" s="179"/>
      <c r="W626" s="179"/>
      <c r="X626" s="179"/>
      <c r="Y626" s="179"/>
      <c r="Z626" s="180"/>
      <c r="AA626" s="179"/>
      <c r="AB626" s="179"/>
      <c r="AC626" s="179"/>
      <c r="AD626" s="179"/>
      <c r="AE626" s="179"/>
      <c r="AF626" s="179"/>
      <c r="AG626" s="179"/>
      <c r="AH626" s="180"/>
      <c r="AJ626" s="544">
        <f ca="1">IF(AND($D626="Serviço",AJ$12&lt;&gt;0,$H626&gt;0,OR(AUTOEVENTO&lt;&gt;"manual",$M626&lt;&gt;1)),
IF(Import.TipoArredondamento&lt;&gt;"TransfereGOV",
ROUND(OFFSET($P626,0,AJ$13),15-13*ORÇAMENTO!$AF$7)/$H626*OFFSET(ORÇAMENTO!$X$15,ROW(AJ626)-ROW(AJ$15),0),
ROUND(ROUND(OFFSET($P626,0,AJ$13),15-13*ORÇAMENTO!$AF$7)*OFFSET(ORÇAMENTO!$W$15,ROW(AJ626)-ROW(AJ$15),0),15-13*ORÇAMENTO!$AF$11)),0)</f>
        <v>0</v>
      </c>
      <c r="AK626" s="545">
        <f ca="1">IF(AND($D626="Serviço",AK$12&lt;&gt;0,$H626&gt;0,OR(AUTOEVENTO&lt;&gt;"manual",$M626&lt;&gt;1)),
IF(Import.TipoArredondamento&lt;&gt;"TransfereGOV",
ROUND(OFFSET($P626,0,AK$13),15-13*ORÇAMENTO!$AF$7)/$H626*OFFSET(ORÇAMENTO!$X$15,ROW(AK626)-ROW(AK$15),0),
ROUND(ROUND(OFFSET($P626,0,AK$13),15-13*ORÇAMENTO!$AF$7)*OFFSET(ORÇAMENTO!$W$15,ROW(AK626)-ROW(AK$15),0),15-13*ORÇAMENTO!$AF$11)),0)</f>
        <v>0</v>
      </c>
      <c r="AL626" s="545">
        <f ca="1">IF(AND($D626="Serviço",AL$12&lt;&gt;0,$H626&gt;0,OR(AUTOEVENTO&lt;&gt;"manual",$M626&lt;&gt;1)),
IF(Import.TipoArredondamento&lt;&gt;"TransfereGOV",
ROUND(OFFSET($P626,0,AL$13),15-13*ORÇAMENTO!$AF$7)/$H626*OFFSET(ORÇAMENTO!$X$15,ROW(AL626)-ROW(AL$15),0),
ROUND(ROUND(OFFSET($P626,0,AL$13),15-13*ORÇAMENTO!$AF$7)*OFFSET(ORÇAMENTO!$W$15,ROW(AL626)-ROW(AL$15),0),15-13*ORÇAMENTO!$AF$11)),0)</f>
        <v>0</v>
      </c>
      <c r="AM626" s="545">
        <f ca="1">IF(AND($D626="Serviço",AM$12&lt;&gt;0,$H626&gt;0,OR(AUTOEVENTO&lt;&gt;"manual",$M626&lt;&gt;1)),
IF(Import.TipoArredondamento&lt;&gt;"TransfereGOV",
ROUND(OFFSET($P626,0,AM$13),15-13*ORÇAMENTO!$AF$7)/$H626*OFFSET(ORÇAMENTO!$X$15,ROW(AM626)-ROW(AM$15),0),
ROUND(ROUND(OFFSET($P626,0,AM$13),15-13*ORÇAMENTO!$AF$7)*OFFSET(ORÇAMENTO!$W$15,ROW(AM626)-ROW(AM$15),0),15-13*ORÇAMENTO!$AF$11)),0)</f>
        <v>0</v>
      </c>
      <c r="AN626" s="545">
        <f ca="1">IF(AND($D626="Serviço",AN$12&lt;&gt;0,$H626&gt;0,OR(AUTOEVENTO&lt;&gt;"manual",$M626&lt;&gt;1)),
IF(Import.TipoArredondamento&lt;&gt;"TransfereGOV",
ROUND(OFFSET($P626,0,AN$13),15-13*ORÇAMENTO!$AF$7)/$H626*OFFSET(ORÇAMENTO!$X$15,ROW(AN626)-ROW(AN$15),0),
ROUND(ROUND(OFFSET($P626,0,AN$13),15-13*ORÇAMENTO!$AF$7)*OFFSET(ORÇAMENTO!$W$15,ROW(AN626)-ROW(AN$15),0),15-13*ORÇAMENTO!$AF$11)),0)</f>
        <v>0</v>
      </c>
      <c r="AO626" s="545">
        <f ca="1">IF(AND($D626="Serviço",AO$12&lt;&gt;0,$H626&gt;0,OR(AUTOEVENTO&lt;&gt;"manual",$M626&lt;&gt;1)),
IF(Import.TipoArredondamento&lt;&gt;"TransfereGOV",
ROUND(OFFSET($P626,0,AO$13),15-13*ORÇAMENTO!$AF$7)/$H626*OFFSET(ORÇAMENTO!$X$15,ROW(AO626)-ROW(AO$15),0),
ROUND(ROUND(OFFSET($P626,0,AO$13),15-13*ORÇAMENTO!$AF$7)*OFFSET(ORÇAMENTO!$W$15,ROW(AO626)-ROW(AO$15),0),15-13*ORÇAMENTO!$AF$11)),0)</f>
        <v>0</v>
      </c>
      <c r="AP626" s="545">
        <f ca="1">IF(AND($D626="Serviço",AP$12&lt;&gt;0,$H626&gt;0,OR(AUTOEVENTO&lt;&gt;"manual",$M626&lt;&gt;1)),
IF(Import.TipoArredondamento&lt;&gt;"TransfereGOV",
ROUND(OFFSET($P626,0,AP$13),15-13*ORÇAMENTO!$AF$7)/$H626*OFFSET(ORÇAMENTO!$X$15,ROW(AP626)-ROW(AP$15),0),
ROUND(ROUND(OFFSET($P626,0,AP$13),15-13*ORÇAMENTO!$AF$7)*OFFSET(ORÇAMENTO!$W$15,ROW(AP626)-ROW(AP$15),0),15-13*ORÇAMENTO!$AF$11)),0)</f>
        <v>0</v>
      </c>
      <c r="AQ626" s="545">
        <f ca="1">IF(AND($D626="Serviço",AQ$12&lt;&gt;0,$H626&gt;0,OR(AUTOEVENTO&lt;&gt;"manual",$M626&lt;&gt;1)),
IF(Import.TipoArredondamento&lt;&gt;"TransfereGOV",
ROUND(OFFSET($P626,0,AQ$13),15-13*ORÇAMENTO!$AF$7)/$H626*OFFSET(ORÇAMENTO!$X$15,ROW(AQ626)-ROW(AQ$15),0),
ROUND(ROUND(OFFSET($P626,0,AQ$13),15-13*ORÇAMENTO!$AF$7)*OFFSET(ORÇAMENTO!$W$15,ROW(AQ626)-ROW(AQ$15),0),15-13*ORÇAMENTO!$AF$11)),0)</f>
        <v>0</v>
      </c>
      <c r="AR626" s="545">
        <f ca="1">IF(AND($D626="Serviço",AR$12&lt;&gt;0,$H626&gt;0,OR(AUTOEVENTO&lt;&gt;"manual",$M626&lt;&gt;1)),
IF(Import.TipoArredondamento&lt;&gt;"TransfereGOV",
ROUND(OFFSET($P626,0,AR$13),15-13*ORÇAMENTO!$AF$7)/$H626*OFFSET(ORÇAMENTO!$X$15,ROW(AR626)-ROW(AR$15),0),
ROUND(ROUND(OFFSET($P626,0,AR$13),15-13*ORÇAMENTO!$AF$7)*OFFSET(ORÇAMENTO!$W$15,ROW(AR626)-ROW(AR$15),0),15-13*ORÇAMENTO!$AF$11)),0)</f>
        <v>0</v>
      </c>
      <c r="AS626" s="546">
        <f ca="1">IF(AND($D626="Serviço",AS$12&lt;&gt;0,$H626&gt;0,OR(AUTOEVENTO&lt;&gt;"manual",$M626&lt;&gt;1)),
IF(Import.TipoArredondamento&lt;&gt;"TransfereGOV",
ROUND(OFFSET($P626,0,AS$13),15-13*ORÇAMENTO!$AF$7)/$H626*OFFSET(ORÇAMENTO!$X$15,ROW(AS626)-ROW(AS$15),0),
ROUND(ROUND(OFFSET($P626,0,AS$13),15-13*ORÇAMENTO!$AF$7)*OFFSET(ORÇAMENTO!$W$15,ROW(AS626)-ROW(AS$15),0),15-13*ORÇAMENTO!$AF$11)),0)</f>
        <v>0</v>
      </c>
      <c r="AT626" s="545">
        <f ca="1">IF(AND($D626="Serviço",AT$12&lt;&gt;0,$H626&gt;0,OR(AUTOEVENTO&lt;&gt;"manual",$M626&lt;&gt;1)),
IF(Import.TipoArredondamento&lt;&gt;"TransfereGOV",
ROUND(OFFSET($P626,0,AT$13),15-13*ORÇAMENTO!$AF$7)/$H626*OFFSET(ORÇAMENTO!$X$15,ROW(AT626)-ROW(AT$15),0),
ROUND(ROUND(OFFSET($P626,0,AT$13),15-13*ORÇAMENTO!$AF$7)*OFFSET(ORÇAMENTO!$W$15,ROW(AT626)-ROW(AT$15),0),15-13*ORÇAMENTO!$AF$11)),0)</f>
        <v>0</v>
      </c>
      <c r="AU626" s="545">
        <f ca="1">IF(AND($D626="Serviço",AU$12&lt;&gt;0,$H626&gt;0,OR(AUTOEVENTO&lt;&gt;"manual",$M626&lt;&gt;1)),
IF(Import.TipoArredondamento&lt;&gt;"TransfereGOV",
ROUND(OFFSET($P626,0,AU$13),15-13*ORÇAMENTO!$AF$7)/$H626*OFFSET(ORÇAMENTO!$X$15,ROW(AU626)-ROW(AU$15),0),
ROUND(ROUND(OFFSET($P626,0,AU$13),15-13*ORÇAMENTO!$AF$7)*OFFSET(ORÇAMENTO!$W$15,ROW(AU626)-ROW(AU$15),0),15-13*ORÇAMENTO!$AF$11)),0)</f>
        <v>0</v>
      </c>
      <c r="AV626" s="545">
        <f ca="1">IF(AND($D626="Serviço",AV$12&lt;&gt;0,$H626&gt;0,OR(AUTOEVENTO&lt;&gt;"manual",$M626&lt;&gt;1)),
IF(Import.TipoArredondamento&lt;&gt;"TransfereGOV",
ROUND(OFFSET($P626,0,AV$13),15-13*ORÇAMENTO!$AF$7)/$H626*OFFSET(ORÇAMENTO!$X$15,ROW(AV626)-ROW(AV$15),0),
ROUND(ROUND(OFFSET($P626,0,AV$13),15-13*ORÇAMENTO!$AF$7)*OFFSET(ORÇAMENTO!$W$15,ROW(AV626)-ROW(AV$15),0),15-13*ORÇAMENTO!$AF$11)),0)</f>
        <v>0</v>
      </c>
      <c r="AW626" s="545">
        <f ca="1">IF(AND($D626="Serviço",AW$12&lt;&gt;0,$H626&gt;0,OR(AUTOEVENTO&lt;&gt;"manual",$M626&lt;&gt;1)),
IF(Import.TipoArredondamento&lt;&gt;"TransfereGOV",
ROUND(OFFSET($P626,0,AW$13),15-13*ORÇAMENTO!$AF$7)/$H626*OFFSET(ORÇAMENTO!$X$15,ROW(AW626)-ROW(AW$15),0),
ROUND(ROUND(OFFSET($P626,0,AW$13),15-13*ORÇAMENTO!$AF$7)*OFFSET(ORÇAMENTO!$W$15,ROW(AW626)-ROW(AW$15),0),15-13*ORÇAMENTO!$AF$11)),0)</f>
        <v>0</v>
      </c>
      <c r="AX626" s="545">
        <f ca="1">IF(AND($D626="Serviço",AX$12&lt;&gt;0,$H626&gt;0,OR(AUTOEVENTO&lt;&gt;"manual",$M626&lt;&gt;1)),
IF(Import.TipoArredondamento&lt;&gt;"TransfereGOV",
ROUND(OFFSET($P626,0,AX$13),15-13*ORÇAMENTO!$AF$7)/$H626*OFFSET(ORÇAMENTO!$X$15,ROW(AX626)-ROW(AX$15),0),
ROUND(ROUND(OFFSET($P626,0,AX$13),15-13*ORÇAMENTO!$AF$7)*OFFSET(ORÇAMENTO!$W$15,ROW(AX626)-ROW(AX$15),0),15-13*ORÇAMENTO!$AF$11)),0)</f>
        <v>0</v>
      </c>
      <c r="AY626" s="545">
        <f ca="1">IF(AND($D626="Serviço",AY$12&lt;&gt;0,$H626&gt;0,OR(AUTOEVENTO&lt;&gt;"manual",$M626&lt;&gt;1)),
IF(Import.TipoArredondamento&lt;&gt;"TransfereGOV",
ROUND(OFFSET($P626,0,AY$13),15-13*ORÇAMENTO!$AF$7)/$H626*OFFSET(ORÇAMENTO!$X$15,ROW(AY626)-ROW(AY$15),0),
ROUND(ROUND(OFFSET($P626,0,AY$13),15-13*ORÇAMENTO!$AF$7)*OFFSET(ORÇAMENTO!$W$15,ROW(AY626)-ROW(AY$15),0),15-13*ORÇAMENTO!$AF$11)),0)</f>
        <v>0</v>
      </c>
      <c r="AZ626" s="545">
        <f ca="1">IF(AND($D626="Serviço",AZ$12&lt;&gt;0,$H626&gt;0,OR(AUTOEVENTO&lt;&gt;"manual",$M626&lt;&gt;1)),
IF(Import.TipoArredondamento&lt;&gt;"TransfereGOV",
ROUND(OFFSET($P626,0,AZ$13),15-13*ORÇAMENTO!$AF$7)/$H626*OFFSET(ORÇAMENTO!$X$15,ROW(AZ626)-ROW(AZ$15),0),
ROUND(ROUND(OFFSET($P626,0,AZ$13),15-13*ORÇAMENTO!$AF$7)*OFFSET(ORÇAMENTO!$W$15,ROW(AZ626)-ROW(AZ$15),0),15-13*ORÇAMENTO!$AF$11)),0)</f>
        <v>0</v>
      </c>
      <c r="BA626" s="546">
        <f ca="1">IF(AND($D626="Serviço",BA$12&lt;&gt;0,$H626&gt;0,OR(AUTOEVENTO&lt;&gt;"manual",$M626&lt;&gt;1)),
IF(Import.TipoArredondamento&lt;&gt;"TransfereGOV",
ROUND(OFFSET($P626,0,BA$13),15-13*ORÇAMENTO!$AF$7)/$H626*OFFSET(ORÇAMENTO!$X$15,ROW(BA626)-ROW(BA$15),0),
ROUND(ROUND(OFFSET($P626,0,BA$13),15-13*ORÇAMENTO!$AF$7)*OFFSET(ORÇAMENTO!$W$15,ROW(BA626)-ROW(BA$15),0),15-13*ORÇAMENTO!$AF$11)),0)</f>
        <v>0</v>
      </c>
      <c r="BC626" s="181">
        <f ca="1">IF($D626&lt;&gt;"Serviço",0,IF(AND(AUTOEVENTO="Manual",$M626=1),0,IF(OFFSET(CRONOPLE!$F$14,$M626,BC$13)="",10^12,OFFSET(CRONOPLE!$F$14,$M626,BC$13))))</f>
        <v>11</v>
      </c>
      <c r="BD626" s="181">
        <f ca="1">IF($D626&lt;&gt;"Serviço",0,IF(AND(AUTOEVENTO="Manual",$M626=1),0,IF(OFFSET(CRONOPLE!$F$14,$M626,BD$13)="",10^12,OFFSET(CRONOPLE!$F$14,$M626,BD$13))))</f>
        <v>1000000000000</v>
      </c>
      <c r="BE626" s="181">
        <f ca="1">IF($D626&lt;&gt;"Serviço",0,IF(AND(AUTOEVENTO="Manual",$M626=1),0,IF(OFFSET(CRONOPLE!$F$14,$M626,BE$13)="",10^12,OFFSET(CRONOPLE!$F$14,$M626,BE$13))))</f>
        <v>1000000000000</v>
      </c>
      <c r="BF626" s="181">
        <f ca="1">IF($D626&lt;&gt;"Serviço",0,IF(AND(AUTOEVENTO="Manual",$M626=1),0,IF(OFFSET(CRONOPLE!$F$14,$M626,BF$13)="",10^12,OFFSET(CRONOPLE!$F$14,$M626,BF$13))))</f>
        <v>1000000000000</v>
      </c>
      <c r="BG626" s="181">
        <f ca="1">IF($D626&lt;&gt;"Serviço",0,IF(AND(AUTOEVENTO="Manual",$M626=1),0,IF(OFFSET(CRONOPLE!$F$14,$M626,BG$13)="",10^12,OFFSET(CRONOPLE!$F$14,$M626,BG$13))))</f>
        <v>1000000000000</v>
      </c>
      <c r="BH626" s="181">
        <f ca="1">IF($D626&lt;&gt;"Serviço",0,IF(AND(AUTOEVENTO="Manual",$M626=1),0,IF(OFFSET(CRONOPLE!$F$14,$M626,BH$13)="",10^12,OFFSET(CRONOPLE!$F$14,$M626,BH$13))))</f>
        <v>1000000000000</v>
      </c>
      <c r="BI626" s="181">
        <f ca="1">IF($D626&lt;&gt;"Serviço",0,IF(AND(AUTOEVENTO="Manual",$M626=1),0,IF(OFFSET(CRONOPLE!$F$14,$M626,BI$13)="",10^12,OFFSET(CRONOPLE!$F$14,$M626,BI$13))))</f>
        <v>1000000000000</v>
      </c>
      <c r="BJ626" s="181">
        <f ca="1">IF($D626&lt;&gt;"Serviço",0,IF(AND(AUTOEVENTO="Manual",$M626=1),0,IF(OFFSET(CRONOPLE!$F$14,$M626,BJ$13)="",10^12,OFFSET(CRONOPLE!$F$14,$M626,BJ$13))))</f>
        <v>1000000000000</v>
      </c>
      <c r="BK626" s="181">
        <f ca="1">IF($D626&lt;&gt;"Serviço",0,IF(AND(AUTOEVENTO="Manual",$M626=1),0,IF(OFFSET(CRONOPLE!$F$14,$M626,BK$13)="",10^12,OFFSET(CRONOPLE!$F$14,$M626,BK$13))))</f>
        <v>1000000000000</v>
      </c>
      <c r="BL626" s="181">
        <f ca="1">IF($D626&lt;&gt;"Serviço",0,IF(AND(AUTOEVENTO="Manual",$M626=1),0,IF(OFFSET(CRONOPLE!$F$14,$M626,BL$13)="",10^12,OFFSET(CRONOPLE!$F$14,$M626,BL$13))))</f>
        <v>1000000000000</v>
      </c>
      <c r="BM626" s="181">
        <f ca="1">IF($D626&lt;&gt;"Serviço",0,IF(AND(AUTOEVENTO="Manual",$M626=1),0,IF(OFFSET(CRONOPLE!$F$14,$M626,BM$13)="",10^12,OFFSET(CRONOPLE!$F$14,$M626,BM$13))))</f>
        <v>1000000000000</v>
      </c>
      <c r="BN626" s="181">
        <f ca="1">IF($D626&lt;&gt;"Serviço",0,IF(AND(AUTOEVENTO="Manual",$M626=1),0,IF(OFFSET(CRONOPLE!$F$14,$M626,BN$13)="",10^12,OFFSET(CRONOPLE!$F$14,$M626,BN$13))))</f>
        <v>1000000000000</v>
      </c>
      <c r="BO626" s="181">
        <f ca="1">IF($D626&lt;&gt;"Serviço",0,IF(AND(AUTOEVENTO="Manual",$M626=1),0,IF(OFFSET(CRONOPLE!$F$14,$M626,BO$13)="",10^12,OFFSET(CRONOPLE!$F$14,$M626,BO$13))))</f>
        <v>1000000000000</v>
      </c>
      <c r="BP626" s="181">
        <f ca="1">IF($D626&lt;&gt;"Serviço",0,IF(AND(AUTOEVENTO="Manual",$M626=1),0,IF(OFFSET(CRONOPLE!$F$14,$M626,BP$13)="",10^12,OFFSET(CRONOPLE!$F$14,$M626,BP$13))))</f>
        <v>1000000000000</v>
      </c>
      <c r="BQ626" s="181">
        <f ca="1">IF($D626&lt;&gt;"Serviço",0,IF(AND(AUTOEVENTO="Manual",$M626=1),0,IF(OFFSET(CRONOPLE!$F$14,$M626,BQ$13)="",10^12,OFFSET(CRONOPLE!$F$14,$M626,BQ$13))))</f>
        <v>1000000000000</v>
      </c>
      <c r="BR626" s="181">
        <f ca="1">IF($D626&lt;&gt;"Serviço",0,IF(AND(AUTOEVENTO="Manual",$M626=1),0,IF(OFFSET(CRONOPLE!$F$14,$M626,BR$13)="",10^12,OFFSET(CRONOPLE!$F$14,$M626,BR$13))))</f>
        <v>1000000000000</v>
      </c>
      <c r="BS626" s="181">
        <f ca="1">IF($D626&lt;&gt;"Serviço",0,IF(AND(AUTOEVENTO="Manual",$M626=1),0,IF(OFFSET(CRONOPLE!$F$14,$M626,BS$13)="",10^12,OFFSET(CRONOPLE!$F$14,$M626,BS$13))))</f>
        <v>1000000000000</v>
      </c>
      <c r="BT626" s="181">
        <f ca="1">IF($D626&lt;&gt;"Serviço",0,IF(AND(AUTOEVENTO="Manual",$M626=1),0,IF(OFFSET(CRONOPLE!$F$14,$M626,BT$13)="",10^12,OFFSET(CRONOPLE!$F$14,$M626,BT$13))))</f>
        <v>1000000000000</v>
      </c>
      <c r="BV626" s="182">
        <f ca="1">IF($D626&lt;&gt;"Serviço",0,IF(OR(AND(AUTOEVENTO="Manual",$M626=1),$M626&gt;(ROW(PLE.lastrow)-ROW(PLE.firstrow))),0,IF(OFFSET(PLE!$G$14,$M626,BV$13)="",10^12,OFFSET(PLE!$G$14,$M626,BV$13))))</f>
        <v>1000000000000</v>
      </c>
      <c r="BW626" s="182">
        <f ca="1">IF($D626&lt;&gt;"Serviço",0,IF(OR(AND(AUTOEVENTO="Manual",$M626=1),$M626&gt;(ROW(PLE.lastrow)-ROW(PLE.firstrow))),0,IF(OFFSET(PLE!$G$14,$M626,BW$13)="",10^12,OFFSET(PLE!$G$14,$M626,BW$13))))</f>
        <v>1000000000000</v>
      </c>
      <c r="BX626" s="182">
        <f ca="1">IF($D626&lt;&gt;"Serviço",0,IF(OR(AND(AUTOEVENTO="Manual",$M626=1),$M626&gt;(ROW(PLE.lastrow)-ROW(PLE.firstrow))),0,IF(OFFSET(PLE!$G$14,$M626,BX$13)="",10^12,OFFSET(PLE!$G$14,$M626,BX$13))))</f>
        <v>1000000000000</v>
      </c>
      <c r="BY626" s="182">
        <f ca="1">IF($D626&lt;&gt;"Serviço",0,IF(OR(AND(AUTOEVENTO="Manual",$M626=1),$M626&gt;(ROW(PLE.lastrow)-ROW(PLE.firstrow))),0,IF(OFFSET(PLE!$G$14,$M626,BY$13)="",10^12,OFFSET(PLE!$G$14,$M626,BY$13))))</f>
        <v>1000000000000</v>
      </c>
      <c r="BZ626" s="182">
        <f ca="1">IF($D626&lt;&gt;"Serviço",0,IF(OR(AND(AUTOEVENTO="Manual",$M626=1),$M626&gt;(ROW(PLE.lastrow)-ROW(PLE.firstrow))),0,IF(OFFSET(PLE!$G$14,$M626,BZ$13)="",10^12,OFFSET(PLE!$G$14,$M626,BZ$13))))</f>
        <v>1000000000000</v>
      </c>
      <c r="CA626" s="182">
        <f ca="1">IF($D626&lt;&gt;"Serviço",0,IF(OR(AND(AUTOEVENTO="Manual",$M626=1),$M626&gt;(ROW(PLE.lastrow)-ROW(PLE.firstrow))),0,IF(OFFSET(PLE!$G$14,$M626,CA$13)="",10^12,OFFSET(PLE!$G$14,$M626,CA$13))))</f>
        <v>1000000000000</v>
      </c>
      <c r="CB626" s="182">
        <f ca="1">IF($D626&lt;&gt;"Serviço",0,IF(OR(AND(AUTOEVENTO="Manual",$M626=1),$M626&gt;(ROW(PLE.lastrow)-ROW(PLE.firstrow))),0,IF(OFFSET(PLE!$G$14,$M626,CB$13)="",10^12,OFFSET(PLE!$G$14,$M626,CB$13))))</f>
        <v>1000000000000</v>
      </c>
      <c r="CC626" s="182">
        <f ca="1">IF($D626&lt;&gt;"Serviço",0,IF(OR(AND(AUTOEVENTO="Manual",$M626=1),$M626&gt;(ROW(PLE.lastrow)-ROW(PLE.firstrow))),0,IF(OFFSET(PLE!$G$14,$M626,CC$13)="",10^12,OFFSET(PLE!$G$14,$M626,CC$13))))</f>
        <v>1000000000000</v>
      </c>
      <c r="CD626" s="182">
        <f ca="1">IF($D626&lt;&gt;"Serviço",0,IF(OR(AND(AUTOEVENTO="Manual",$M626=1),$M626&gt;(ROW(PLE.lastrow)-ROW(PLE.firstrow))),0,IF(OFFSET(PLE!$G$14,$M626,CD$13)="",10^12,OFFSET(PLE!$G$14,$M626,CD$13))))</f>
        <v>1000000000000</v>
      </c>
      <c r="CE626" s="182">
        <f ca="1">IF($D626&lt;&gt;"Serviço",0,IF(OR(AND(AUTOEVENTO="Manual",$M626=1),$M626&gt;(ROW(PLE.lastrow)-ROW(PLE.firstrow))),0,IF(OFFSET(PLE!$G$14,$M626,CE$13)="",10^12,OFFSET(PLE!$G$14,$M626,CE$13))))</f>
        <v>1000000000000</v>
      </c>
      <c r="CF626" s="182">
        <f ca="1">IF($D626&lt;&gt;"Serviço",0,IF(OR(AND(AUTOEVENTO="Manual",$M626=1),$M626&gt;(ROW(PLE.lastrow)-ROW(PLE.firstrow))),0,IF(OFFSET(PLE!$G$14,$M626,CF$13)="",10^12,OFFSET(PLE!$G$14,$M626,CF$13))))</f>
        <v>1000000000000</v>
      </c>
      <c r="CG626" s="182">
        <f ca="1">IF($D626&lt;&gt;"Serviço",0,IF(OR(AND(AUTOEVENTO="Manual",$M626=1),$M626&gt;(ROW(PLE.lastrow)-ROW(PLE.firstrow))),0,IF(OFFSET(PLE!$G$14,$M626,CG$13)="",10^12,OFFSET(PLE!$G$14,$M626,CG$13))))</f>
        <v>1000000000000</v>
      </c>
      <c r="CH626" s="182">
        <f ca="1">IF($D626&lt;&gt;"Serviço",0,IF(OR(AND(AUTOEVENTO="Manual",$M626=1),$M626&gt;(ROW(PLE.lastrow)-ROW(PLE.firstrow))),0,IF(OFFSET(PLE!$G$14,$M626,CH$13)="",10^12,OFFSET(PLE!$G$14,$M626,CH$13))))</f>
        <v>1000000000000</v>
      </c>
      <c r="CI626" s="182">
        <f ca="1">IF($D626&lt;&gt;"Serviço",0,IF(OR(AND(AUTOEVENTO="Manual",$M626=1),$M626&gt;(ROW(PLE.lastrow)-ROW(PLE.firstrow))),0,IF(OFFSET(PLE!$G$14,$M626,CI$13)="",10^12,OFFSET(PLE!$G$14,$M626,CI$13))))</f>
        <v>1000000000000</v>
      </c>
      <c r="CJ626" s="182">
        <f ca="1">IF($D626&lt;&gt;"Serviço",0,IF(OR(AND(AUTOEVENTO="Manual",$M626=1),$M626&gt;(ROW(PLE.lastrow)-ROW(PLE.firstrow))),0,IF(OFFSET(PLE!$G$14,$M626,CJ$13)="",10^12,OFFSET(PLE!$G$14,$M626,CJ$13))))</f>
        <v>1000000000000</v>
      </c>
      <c r="CK626" s="182">
        <f ca="1">IF($D626&lt;&gt;"Serviço",0,IF(OR(AND(AUTOEVENTO="Manual",$M626=1),$M626&gt;(ROW(PLE.lastrow)-ROW(PLE.firstrow))),0,IF(OFFSET(PLE!$G$14,$M626,CK$13)="",10^12,OFFSET(PLE!$G$14,$M626,CK$13))))</f>
        <v>1000000000000</v>
      </c>
      <c r="CL626" s="182">
        <f ca="1">IF($D626&lt;&gt;"Serviço",0,IF(OR(AND(AUTOEVENTO="Manual",$M626=1),$M626&gt;(ROW(PLE.lastrow)-ROW(PLE.firstrow))),0,IF(OFFSET(PLE!$G$14,$M626,CL$13)="",10^12,OFFSET(PLE!$G$14,$M626,CL$13))))</f>
        <v>1000000000000</v>
      </c>
      <c r="CM626" s="182">
        <f ca="1">IF($D626&lt;&gt;"Serviço",0,IF(OR(AND(AUTOEVENTO="Manual",$M626=1),$M626&gt;(ROW(PLE.lastrow)-ROW(PLE.firstrow))),0,IF(OFFSET(PLE!$G$14,$M626,CM$13)="",10^12,OFFSET(PLE!$G$14,$M626,CM$13))))</f>
        <v>1000000000000</v>
      </c>
    </row>
    <row r="627" spans="1:91" ht="38.25" x14ac:dyDescent="0.2">
      <c r="A627" s="7" t="str">
        <f t="shared" ca="1" si="18"/>
        <v>603</v>
      </c>
      <c r="B627" s="7" t="str">
        <f ca="1">OFFSET(ORÇAMENTO!C$15,ROW(B627)-ROW(B$15),0)</f>
        <v>S</v>
      </c>
      <c r="C627" s="7" t="str">
        <f ca="1">OFFSET(ORÇAMENTO!L$15,ROW(C627)-ROW(C$15),0)</f>
        <v/>
      </c>
      <c r="D627" s="118" t="str">
        <f ca="1">OFFSET(ORÇAMENTO!N$15,ROW(D627)-ROW(D$15),0)</f>
        <v>Serviço</v>
      </c>
      <c r="E627" s="119" t="str">
        <f ca="1">OFFSET(ORÇAMENTO!O$15,ROW(E627)-ROW(E$15),0)</f>
        <v>-</v>
      </c>
      <c r="F627" s="172" t="str">
        <f ca="1">OFFSET(ORÇAMENTO!R$15,ROW(F627)-ROW(F$15),0)</f>
        <v>(abra o arquivo 'Referência 06-2024.xlsm)</v>
      </c>
      <c r="G627" s="173" t="str">
        <f ca="1">IF($D627&lt;&gt;"Serviço","",OFFSET(ORÇAMENTO!S$15,ROW(G627)-ROW(G$15),0))</f>
        <v>-</v>
      </c>
      <c r="H627" s="124">
        <f ca="1">IF($D627&lt;&gt;"Serviço",0,IF(ACOMPANHAMENTO="BM",ROUND(OFFSET(ORÇAMENTO!AJ$15,ROW(H627)-ROW(H$15),0),15-13*ORÇAMENTO!$AF$7),SUMPRODUCT(($Q$12:$AI$12&lt;&gt;"")*ROUND($Q627:$AI627,15-13*ORÇAMENTO!$AF$7))))</f>
        <v>1</v>
      </c>
      <c r="I627" s="561" t="s">
        <v>1107</v>
      </c>
      <c r="K627" s="174"/>
      <c r="L627" s="175" t="s">
        <v>255</v>
      </c>
      <c r="M627" s="176">
        <f ca="1">IF($D627&lt;&gt;"Serviço","",IF(AUTOEVENTO="manual",$A627,IF(ISERROR(MATCH($A627,$A$15:OFFSET($A627,-1,0),0)),MAX($M$15:OFFSET(M627,-1,0))+1,INDEX($M$15:OFFSET(M627,-1,0),MATCH($A627,$A$15:OFFSET($A627,-1,0),0)))))</f>
        <v>65</v>
      </c>
      <c r="N627" s="177" t="str">
        <f ca="1">IF($D627&lt;&gt;"Serviço","",IF(AUTOEVENTO="Manual",IF($A627=0,"&lt;-- defina o número do agrupador",OFFSET(EVENTOS!$D$14,$A627,0)),OFFSET($F$15,$A627,0)))</f>
        <v>INSTALAÇÕES DE CABEAMENTO ESTRUTURADO - ACESSÓRIOS DE CABEAMENTO</v>
      </c>
      <c r="O627" s="178"/>
      <c r="Q627" s="178">
        <v>1</v>
      </c>
      <c r="R627" s="179"/>
      <c r="S627" s="179"/>
      <c r="T627" s="179"/>
      <c r="U627" s="179"/>
      <c r="V627" s="179"/>
      <c r="W627" s="179"/>
      <c r="X627" s="179"/>
      <c r="Y627" s="179"/>
      <c r="Z627" s="180"/>
      <c r="AA627" s="179"/>
      <c r="AB627" s="179"/>
      <c r="AC627" s="179"/>
      <c r="AD627" s="179"/>
      <c r="AE627" s="179"/>
      <c r="AF627" s="179"/>
      <c r="AG627" s="179"/>
      <c r="AH627" s="180"/>
      <c r="AJ627" s="544">
        <f ca="1">IF(AND($D627="Serviço",AJ$12&lt;&gt;0,$H627&gt;0,OR(AUTOEVENTO&lt;&gt;"manual",$M627&lt;&gt;1)),
IF(Import.TipoArredondamento&lt;&gt;"TransfereGOV",
ROUND(OFFSET($P627,0,AJ$13),15-13*ORÇAMENTO!$AF$7)/$H627*OFFSET(ORÇAMENTO!$X$15,ROW(AJ627)-ROW(AJ$15),0),
ROUND(ROUND(OFFSET($P627,0,AJ$13),15-13*ORÇAMENTO!$AF$7)*OFFSET(ORÇAMENTO!$W$15,ROW(AJ627)-ROW(AJ$15),0),15-13*ORÇAMENTO!$AF$11)),0)</f>
        <v>0</v>
      </c>
      <c r="AK627" s="545">
        <f ca="1">IF(AND($D627="Serviço",AK$12&lt;&gt;0,$H627&gt;0,OR(AUTOEVENTO&lt;&gt;"manual",$M627&lt;&gt;1)),
IF(Import.TipoArredondamento&lt;&gt;"TransfereGOV",
ROUND(OFFSET($P627,0,AK$13),15-13*ORÇAMENTO!$AF$7)/$H627*OFFSET(ORÇAMENTO!$X$15,ROW(AK627)-ROW(AK$15),0),
ROUND(ROUND(OFFSET($P627,0,AK$13),15-13*ORÇAMENTO!$AF$7)*OFFSET(ORÇAMENTO!$W$15,ROW(AK627)-ROW(AK$15),0),15-13*ORÇAMENTO!$AF$11)),0)</f>
        <v>0</v>
      </c>
      <c r="AL627" s="545">
        <f ca="1">IF(AND($D627="Serviço",AL$12&lt;&gt;0,$H627&gt;0,OR(AUTOEVENTO&lt;&gt;"manual",$M627&lt;&gt;1)),
IF(Import.TipoArredondamento&lt;&gt;"TransfereGOV",
ROUND(OFFSET($P627,0,AL$13),15-13*ORÇAMENTO!$AF$7)/$H627*OFFSET(ORÇAMENTO!$X$15,ROW(AL627)-ROW(AL$15),0),
ROUND(ROUND(OFFSET($P627,0,AL$13),15-13*ORÇAMENTO!$AF$7)*OFFSET(ORÇAMENTO!$W$15,ROW(AL627)-ROW(AL$15),0),15-13*ORÇAMENTO!$AF$11)),0)</f>
        <v>0</v>
      </c>
      <c r="AM627" s="545">
        <f ca="1">IF(AND($D627="Serviço",AM$12&lt;&gt;0,$H627&gt;0,OR(AUTOEVENTO&lt;&gt;"manual",$M627&lt;&gt;1)),
IF(Import.TipoArredondamento&lt;&gt;"TransfereGOV",
ROUND(OFFSET($P627,0,AM$13),15-13*ORÇAMENTO!$AF$7)/$H627*OFFSET(ORÇAMENTO!$X$15,ROW(AM627)-ROW(AM$15),0),
ROUND(ROUND(OFFSET($P627,0,AM$13),15-13*ORÇAMENTO!$AF$7)*OFFSET(ORÇAMENTO!$W$15,ROW(AM627)-ROW(AM$15),0),15-13*ORÇAMENTO!$AF$11)),0)</f>
        <v>0</v>
      </c>
      <c r="AN627" s="545">
        <f ca="1">IF(AND($D627="Serviço",AN$12&lt;&gt;0,$H627&gt;0,OR(AUTOEVENTO&lt;&gt;"manual",$M627&lt;&gt;1)),
IF(Import.TipoArredondamento&lt;&gt;"TransfereGOV",
ROUND(OFFSET($P627,0,AN$13),15-13*ORÇAMENTO!$AF$7)/$H627*OFFSET(ORÇAMENTO!$X$15,ROW(AN627)-ROW(AN$15),0),
ROUND(ROUND(OFFSET($P627,0,AN$13),15-13*ORÇAMENTO!$AF$7)*OFFSET(ORÇAMENTO!$W$15,ROW(AN627)-ROW(AN$15),0),15-13*ORÇAMENTO!$AF$11)),0)</f>
        <v>0</v>
      </c>
      <c r="AO627" s="545">
        <f ca="1">IF(AND($D627="Serviço",AO$12&lt;&gt;0,$H627&gt;0,OR(AUTOEVENTO&lt;&gt;"manual",$M627&lt;&gt;1)),
IF(Import.TipoArredondamento&lt;&gt;"TransfereGOV",
ROUND(OFFSET($P627,0,AO$13),15-13*ORÇAMENTO!$AF$7)/$H627*OFFSET(ORÇAMENTO!$X$15,ROW(AO627)-ROW(AO$15),0),
ROUND(ROUND(OFFSET($P627,0,AO$13),15-13*ORÇAMENTO!$AF$7)*OFFSET(ORÇAMENTO!$W$15,ROW(AO627)-ROW(AO$15),0),15-13*ORÇAMENTO!$AF$11)),0)</f>
        <v>0</v>
      </c>
      <c r="AP627" s="545">
        <f ca="1">IF(AND($D627="Serviço",AP$12&lt;&gt;0,$H627&gt;0,OR(AUTOEVENTO&lt;&gt;"manual",$M627&lt;&gt;1)),
IF(Import.TipoArredondamento&lt;&gt;"TransfereGOV",
ROUND(OFFSET($P627,0,AP$13),15-13*ORÇAMENTO!$AF$7)/$H627*OFFSET(ORÇAMENTO!$X$15,ROW(AP627)-ROW(AP$15),0),
ROUND(ROUND(OFFSET($P627,0,AP$13),15-13*ORÇAMENTO!$AF$7)*OFFSET(ORÇAMENTO!$W$15,ROW(AP627)-ROW(AP$15),0),15-13*ORÇAMENTO!$AF$11)),0)</f>
        <v>0</v>
      </c>
      <c r="AQ627" s="545">
        <f ca="1">IF(AND($D627="Serviço",AQ$12&lt;&gt;0,$H627&gt;0,OR(AUTOEVENTO&lt;&gt;"manual",$M627&lt;&gt;1)),
IF(Import.TipoArredondamento&lt;&gt;"TransfereGOV",
ROUND(OFFSET($P627,0,AQ$13),15-13*ORÇAMENTO!$AF$7)/$H627*OFFSET(ORÇAMENTO!$X$15,ROW(AQ627)-ROW(AQ$15),0),
ROUND(ROUND(OFFSET($P627,0,AQ$13),15-13*ORÇAMENTO!$AF$7)*OFFSET(ORÇAMENTO!$W$15,ROW(AQ627)-ROW(AQ$15),0),15-13*ORÇAMENTO!$AF$11)),0)</f>
        <v>0</v>
      </c>
      <c r="AR627" s="545">
        <f ca="1">IF(AND($D627="Serviço",AR$12&lt;&gt;0,$H627&gt;0,OR(AUTOEVENTO&lt;&gt;"manual",$M627&lt;&gt;1)),
IF(Import.TipoArredondamento&lt;&gt;"TransfereGOV",
ROUND(OFFSET($P627,0,AR$13),15-13*ORÇAMENTO!$AF$7)/$H627*OFFSET(ORÇAMENTO!$X$15,ROW(AR627)-ROW(AR$15),0),
ROUND(ROUND(OFFSET($P627,0,AR$13),15-13*ORÇAMENTO!$AF$7)*OFFSET(ORÇAMENTO!$W$15,ROW(AR627)-ROW(AR$15),0),15-13*ORÇAMENTO!$AF$11)),0)</f>
        <v>0</v>
      </c>
      <c r="AS627" s="546">
        <f ca="1">IF(AND($D627="Serviço",AS$12&lt;&gt;0,$H627&gt;0,OR(AUTOEVENTO&lt;&gt;"manual",$M627&lt;&gt;1)),
IF(Import.TipoArredondamento&lt;&gt;"TransfereGOV",
ROUND(OFFSET($P627,0,AS$13),15-13*ORÇAMENTO!$AF$7)/$H627*OFFSET(ORÇAMENTO!$X$15,ROW(AS627)-ROW(AS$15),0),
ROUND(ROUND(OFFSET($P627,0,AS$13),15-13*ORÇAMENTO!$AF$7)*OFFSET(ORÇAMENTO!$W$15,ROW(AS627)-ROW(AS$15),0),15-13*ORÇAMENTO!$AF$11)),0)</f>
        <v>0</v>
      </c>
      <c r="AT627" s="545">
        <f ca="1">IF(AND($D627="Serviço",AT$12&lt;&gt;0,$H627&gt;0,OR(AUTOEVENTO&lt;&gt;"manual",$M627&lt;&gt;1)),
IF(Import.TipoArredondamento&lt;&gt;"TransfereGOV",
ROUND(OFFSET($P627,0,AT$13),15-13*ORÇAMENTO!$AF$7)/$H627*OFFSET(ORÇAMENTO!$X$15,ROW(AT627)-ROW(AT$15),0),
ROUND(ROUND(OFFSET($P627,0,AT$13),15-13*ORÇAMENTO!$AF$7)*OFFSET(ORÇAMENTO!$W$15,ROW(AT627)-ROW(AT$15),0),15-13*ORÇAMENTO!$AF$11)),0)</f>
        <v>0</v>
      </c>
      <c r="AU627" s="545">
        <f ca="1">IF(AND($D627="Serviço",AU$12&lt;&gt;0,$H627&gt;0,OR(AUTOEVENTO&lt;&gt;"manual",$M627&lt;&gt;1)),
IF(Import.TipoArredondamento&lt;&gt;"TransfereGOV",
ROUND(OFFSET($P627,0,AU$13),15-13*ORÇAMENTO!$AF$7)/$H627*OFFSET(ORÇAMENTO!$X$15,ROW(AU627)-ROW(AU$15),0),
ROUND(ROUND(OFFSET($P627,0,AU$13),15-13*ORÇAMENTO!$AF$7)*OFFSET(ORÇAMENTO!$W$15,ROW(AU627)-ROW(AU$15),0),15-13*ORÇAMENTO!$AF$11)),0)</f>
        <v>0</v>
      </c>
      <c r="AV627" s="545">
        <f ca="1">IF(AND($D627="Serviço",AV$12&lt;&gt;0,$H627&gt;0,OR(AUTOEVENTO&lt;&gt;"manual",$M627&lt;&gt;1)),
IF(Import.TipoArredondamento&lt;&gt;"TransfereGOV",
ROUND(OFFSET($P627,0,AV$13),15-13*ORÇAMENTO!$AF$7)/$H627*OFFSET(ORÇAMENTO!$X$15,ROW(AV627)-ROW(AV$15),0),
ROUND(ROUND(OFFSET($P627,0,AV$13),15-13*ORÇAMENTO!$AF$7)*OFFSET(ORÇAMENTO!$W$15,ROW(AV627)-ROW(AV$15),0),15-13*ORÇAMENTO!$AF$11)),0)</f>
        <v>0</v>
      </c>
      <c r="AW627" s="545">
        <f ca="1">IF(AND($D627="Serviço",AW$12&lt;&gt;0,$H627&gt;0,OR(AUTOEVENTO&lt;&gt;"manual",$M627&lt;&gt;1)),
IF(Import.TipoArredondamento&lt;&gt;"TransfereGOV",
ROUND(OFFSET($P627,0,AW$13),15-13*ORÇAMENTO!$AF$7)/$H627*OFFSET(ORÇAMENTO!$X$15,ROW(AW627)-ROW(AW$15),0),
ROUND(ROUND(OFFSET($P627,0,AW$13),15-13*ORÇAMENTO!$AF$7)*OFFSET(ORÇAMENTO!$W$15,ROW(AW627)-ROW(AW$15),0),15-13*ORÇAMENTO!$AF$11)),0)</f>
        <v>0</v>
      </c>
      <c r="AX627" s="545">
        <f ca="1">IF(AND($D627="Serviço",AX$12&lt;&gt;0,$H627&gt;0,OR(AUTOEVENTO&lt;&gt;"manual",$M627&lt;&gt;1)),
IF(Import.TipoArredondamento&lt;&gt;"TransfereGOV",
ROUND(OFFSET($P627,0,AX$13),15-13*ORÇAMENTO!$AF$7)/$H627*OFFSET(ORÇAMENTO!$X$15,ROW(AX627)-ROW(AX$15),0),
ROUND(ROUND(OFFSET($P627,0,AX$13),15-13*ORÇAMENTO!$AF$7)*OFFSET(ORÇAMENTO!$W$15,ROW(AX627)-ROW(AX$15),0),15-13*ORÇAMENTO!$AF$11)),0)</f>
        <v>0</v>
      </c>
      <c r="AY627" s="545">
        <f ca="1">IF(AND($D627="Serviço",AY$12&lt;&gt;0,$H627&gt;0,OR(AUTOEVENTO&lt;&gt;"manual",$M627&lt;&gt;1)),
IF(Import.TipoArredondamento&lt;&gt;"TransfereGOV",
ROUND(OFFSET($P627,0,AY$13),15-13*ORÇAMENTO!$AF$7)/$H627*OFFSET(ORÇAMENTO!$X$15,ROW(AY627)-ROW(AY$15),0),
ROUND(ROUND(OFFSET($P627,0,AY$13),15-13*ORÇAMENTO!$AF$7)*OFFSET(ORÇAMENTO!$W$15,ROW(AY627)-ROW(AY$15),0),15-13*ORÇAMENTO!$AF$11)),0)</f>
        <v>0</v>
      </c>
      <c r="AZ627" s="545">
        <f ca="1">IF(AND($D627="Serviço",AZ$12&lt;&gt;0,$H627&gt;0,OR(AUTOEVENTO&lt;&gt;"manual",$M627&lt;&gt;1)),
IF(Import.TipoArredondamento&lt;&gt;"TransfereGOV",
ROUND(OFFSET($P627,0,AZ$13),15-13*ORÇAMENTO!$AF$7)/$H627*OFFSET(ORÇAMENTO!$X$15,ROW(AZ627)-ROW(AZ$15),0),
ROUND(ROUND(OFFSET($P627,0,AZ$13),15-13*ORÇAMENTO!$AF$7)*OFFSET(ORÇAMENTO!$W$15,ROW(AZ627)-ROW(AZ$15),0),15-13*ORÇAMENTO!$AF$11)),0)</f>
        <v>0</v>
      </c>
      <c r="BA627" s="546">
        <f ca="1">IF(AND($D627="Serviço",BA$12&lt;&gt;0,$H627&gt;0,OR(AUTOEVENTO&lt;&gt;"manual",$M627&lt;&gt;1)),
IF(Import.TipoArredondamento&lt;&gt;"TransfereGOV",
ROUND(OFFSET($P627,0,BA$13),15-13*ORÇAMENTO!$AF$7)/$H627*OFFSET(ORÇAMENTO!$X$15,ROW(BA627)-ROW(BA$15),0),
ROUND(ROUND(OFFSET($P627,0,BA$13),15-13*ORÇAMENTO!$AF$7)*OFFSET(ORÇAMENTO!$W$15,ROW(BA627)-ROW(BA$15),0),15-13*ORÇAMENTO!$AF$11)),0)</f>
        <v>0</v>
      </c>
      <c r="BC627" s="181">
        <f ca="1">IF($D627&lt;&gt;"Serviço",0,IF(AND(AUTOEVENTO="Manual",$M627=1),0,IF(OFFSET(CRONOPLE!$F$14,$M627,BC$13)="",10^12,OFFSET(CRONOPLE!$F$14,$M627,BC$13))))</f>
        <v>11</v>
      </c>
      <c r="BD627" s="181">
        <f ca="1">IF($D627&lt;&gt;"Serviço",0,IF(AND(AUTOEVENTO="Manual",$M627=1),0,IF(OFFSET(CRONOPLE!$F$14,$M627,BD$13)="",10^12,OFFSET(CRONOPLE!$F$14,$M627,BD$13))))</f>
        <v>1000000000000</v>
      </c>
      <c r="BE627" s="181">
        <f ca="1">IF($D627&lt;&gt;"Serviço",0,IF(AND(AUTOEVENTO="Manual",$M627=1),0,IF(OFFSET(CRONOPLE!$F$14,$M627,BE$13)="",10^12,OFFSET(CRONOPLE!$F$14,$M627,BE$13))))</f>
        <v>1000000000000</v>
      </c>
      <c r="BF627" s="181">
        <f ca="1">IF($D627&lt;&gt;"Serviço",0,IF(AND(AUTOEVENTO="Manual",$M627=1),0,IF(OFFSET(CRONOPLE!$F$14,$M627,BF$13)="",10^12,OFFSET(CRONOPLE!$F$14,$M627,BF$13))))</f>
        <v>1000000000000</v>
      </c>
      <c r="BG627" s="181">
        <f ca="1">IF($D627&lt;&gt;"Serviço",0,IF(AND(AUTOEVENTO="Manual",$M627=1),0,IF(OFFSET(CRONOPLE!$F$14,$M627,BG$13)="",10^12,OFFSET(CRONOPLE!$F$14,$M627,BG$13))))</f>
        <v>1000000000000</v>
      </c>
      <c r="BH627" s="181">
        <f ca="1">IF($D627&lt;&gt;"Serviço",0,IF(AND(AUTOEVENTO="Manual",$M627=1),0,IF(OFFSET(CRONOPLE!$F$14,$M627,BH$13)="",10^12,OFFSET(CRONOPLE!$F$14,$M627,BH$13))))</f>
        <v>1000000000000</v>
      </c>
      <c r="BI627" s="181">
        <f ca="1">IF($D627&lt;&gt;"Serviço",0,IF(AND(AUTOEVENTO="Manual",$M627=1),0,IF(OFFSET(CRONOPLE!$F$14,$M627,BI$13)="",10^12,OFFSET(CRONOPLE!$F$14,$M627,BI$13))))</f>
        <v>1000000000000</v>
      </c>
      <c r="BJ627" s="181">
        <f ca="1">IF($D627&lt;&gt;"Serviço",0,IF(AND(AUTOEVENTO="Manual",$M627=1),0,IF(OFFSET(CRONOPLE!$F$14,$M627,BJ$13)="",10^12,OFFSET(CRONOPLE!$F$14,$M627,BJ$13))))</f>
        <v>1000000000000</v>
      </c>
      <c r="BK627" s="181">
        <f ca="1">IF($D627&lt;&gt;"Serviço",0,IF(AND(AUTOEVENTO="Manual",$M627=1),0,IF(OFFSET(CRONOPLE!$F$14,$M627,BK$13)="",10^12,OFFSET(CRONOPLE!$F$14,$M627,BK$13))))</f>
        <v>1000000000000</v>
      </c>
      <c r="BL627" s="181">
        <f ca="1">IF($D627&lt;&gt;"Serviço",0,IF(AND(AUTOEVENTO="Manual",$M627=1),0,IF(OFFSET(CRONOPLE!$F$14,$M627,BL$13)="",10^12,OFFSET(CRONOPLE!$F$14,$M627,BL$13))))</f>
        <v>1000000000000</v>
      </c>
      <c r="BM627" s="181">
        <f ca="1">IF($D627&lt;&gt;"Serviço",0,IF(AND(AUTOEVENTO="Manual",$M627=1),0,IF(OFFSET(CRONOPLE!$F$14,$M627,BM$13)="",10^12,OFFSET(CRONOPLE!$F$14,$M627,BM$13))))</f>
        <v>1000000000000</v>
      </c>
      <c r="BN627" s="181">
        <f ca="1">IF($D627&lt;&gt;"Serviço",0,IF(AND(AUTOEVENTO="Manual",$M627=1),0,IF(OFFSET(CRONOPLE!$F$14,$M627,BN$13)="",10^12,OFFSET(CRONOPLE!$F$14,$M627,BN$13))))</f>
        <v>1000000000000</v>
      </c>
      <c r="BO627" s="181">
        <f ca="1">IF($D627&lt;&gt;"Serviço",0,IF(AND(AUTOEVENTO="Manual",$M627=1),0,IF(OFFSET(CRONOPLE!$F$14,$M627,BO$13)="",10^12,OFFSET(CRONOPLE!$F$14,$M627,BO$13))))</f>
        <v>1000000000000</v>
      </c>
      <c r="BP627" s="181">
        <f ca="1">IF($D627&lt;&gt;"Serviço",0,IF(AND(AUTOEVENTO="Manual",$M627=1),0,IF(OFFSET(CRONOPLE!$F$14,$M627,BP$13)="",10^12,OFFSET(CRONOPLE!$F$14,$M627,BP$13))))</f>
        <v>1000000000000</v>
      </c>
      <c r="BQ627" s="181">
        <f ca="1">IF($D627&lt;&gt;"Serviço",0,IF(AND(AUTOEVENTO="Manual",$M627=1),0,IF(OFFSET(CRONOPLE!$F$14,$M627,BQ$13)="",10^12,OFFSET(CRONOPLE!$F$14,$M627,BQ$13))))</f>
        <v>1000000000000</v>
      </c>
      <c r="BR627" s="181">
        <f ca="1">IF($D627&lt;&gt;"Serviço",0,IF(AND(AUTOEVENTO="Manual",$M627=1),0,IF(OFFSET(CRONOPLE!$F$14,$M627,BR$13)="",10^12,OFFSET(CRONOPLE!$F$14,$M627,BR$13))))</f>
        <v>1000000000000</v>
      </c>
      <c r="BS627" s="181">
        <f ca="1">IF($D627&lt;&gt;"Serviço",0,IF(AND(AUTOEVENTO="Manual",$M627=1),0,IF(OFFSET(CRONOPLE!$F$14,$M627,BS$13)="",10^12,OFFSET(CRONOPLE!$F$14,$M627,BS$13))))</f>
        <v>1000000000000</v>
      </c>
      <c r="BT627" s="181">
        <f ca="1">IF($D627&lt;&gt;"Serviço",0,IF(AND(AUTOEVENTO="Manual",$M627=1),0,IF(OFFSET(CRONOPLE!$F$14,$M627,BT$13)="",10^12,OFFSET(CRONOPLE!$F$14,$M627,BT$13))))</f>
        <v>1000000000000</v>
      </c>
      <c r="BV627" s="182">
        <f ca="1">IF($D627&lt;&gt;"Serviço",0,IF(OR(AND(AUTOEVENTO="Manual",$M627=1),$M627&gt;(ROW(PLE.lastrow)-ROW(PLE.firstrow))),0,IF(OFFSET(PLE!$G$14,$M627,BV$13)="",10^12,OFFSET(PLE!$G$14,$M627,BV$13))))</f>
        <v>1000000000000</v>
      </c>
      <c r="BW627" s="182">
        <f ca="1">IF($D627&lt;&gt;"Serviço",0,IF(OR(AND(AUTOEVENTO="Manual",$M627=1),$M627&gt;(ROW(PLE.lastrow)-ROW(PLE.firstrow))),0,IF(OFFSET(PLE!$G$14,$M627,BW$13)="",10^12,OFFSET(PLE!$G$14,$M627,BW$13))))</f>
        <v>1000000000000</v>
      </c>
      <c r="BX627" s="182">
        <f ca="1">IF($D627&lt;&gt;"Serviço",0,IF(OR(AND(AUTOEVENTO="Manual",$M627=1),$M627&gt;(ROW(PLE.lastrow)-ROW(PLE.firstrow))),0,IF(OFFSET(PLE!$G$14,$M627,BX$13)="",10^12,OFFSET(PLE!$G$14,$M627,BX$13))))</f>
        <v>1000000000000</v>
      </c>
      <c r="BY627" s="182">
        <f ca="1">IF($D627&lt;&gt;"Serviço",0,IF(OR(AND(AUTOEVENTO="Manual",$M627=1),$M627&gt;(ROW(PLE.lastrow)-ROW(PLE.firstrow))),0,IF(OFFSET(PLE!$G$14,$M627,BY$13)="",10^12,OFFSET(PLE!$G$14,$M627,BY$13))))</f>
        <v>1000000000000</v>
      </c>
      <c r="BZ627" s="182">
        <f ca="1">IF($D627&lt;&gt;"Serviço",0,IF(OR(AND(AUTOEVENTO="Manual",$M627=1),$M627&gt;(ROW(PLE.lastrow)-ROW(PLE.firstrow))),0,IF(OFFSET(PLE!$G$14,$M627,BZ$13)="",10^12,OFFSET(PLE!$G$14,$M627,BZ$13))))</f>
        <v>1000000000000</v>
      </c>
      <c r="CA627" s="182">
        <f ca="1">IF($D627&lt;&gt;"Serviço",0,IF(OR(AND(AUTOEVENTO="Manual",$M627=1),$M627&gt;(ROW(PLE.lastrow)-ROW(PLE.firstrow))),0,IF(OFFSET(PLE!$G$14,$M627,CA$13)="",10^12,OFFSET(PLE!$G$14,$M627,CA$13))))</f>
        <v>1000000000000</v>
      </c>
      <c r="CB627" s="182">
        <f ca="1">IF($D627&lt;&gt;"Serviço",0,IF(OR(AND(AUTOEVENTO="Manual",$M627=1),$M627&gt;(ROW(PLE.lastrow)-ROW(PLE.firstrow))),0,IF(OFFSET(PLE!$G$14,$M627,CB$13)="",10^12,OFFSET(PLE!$G$14,$M627,CB$13))))</f>
        <v>1000000000000</v>
      </c>
      <c r="CC627" s="182">
        <f ca="1">IF($D627&lt;&gt;"Serviço",0,IF(OR(AND(AUTOEVENTO="Manual",$M627=1),$M627&gt;(ROW(PLE.lastrow)-ROW(PLE.firstrow))),0,IF(OFFSET(PLE!$G$14,$M627,CC$13)="",10^12,OFFSET(PLE!$G$14,$M627,CC$13))))</f>
        <v>1000000000000</v>
      </c>
      <c r="CD627" s="182">
        <f ca="1">IF($D627&lt;&gt;"Serviço",0,IF(OR(AND(AUTOEVENTO="Manual",$M627=1),$M627&gt;(ROW(PLE.lastrow)-ROW(PLE.firstrow))),0,IF(OFFSET(PLE!$G$14,$M627,CD$13)="",10^12,OFFSET(PLE!$G$14,$M627,CD$13))))</f>
        <v>1000000000000</v>
      </c>
      <c r="CE627" s="182">
        <f ca="1">IF($D627&lt;&gt;"Serviço",0,IF(OR(AND(AUTOEVENTO="Manual",$M627=1),$M627&gt;(ROW(PLE.lastrow)-ROW(PLE.firstrow))),0,IF(OFFSET(PLE!$G$14,$M627,CE$13)="",10^12,OFFSET(PLE!$G$14,$M627,CE$13))))</f>
        <v>1000000000000</v>
      </c>
      <c r="CF627" s="182">
        <f ca="1">IF($D627&lt;&gt;"Serviço",0,IF(OR(AND(AUTOEVENTO="Manual",$M627=1),$M627&gt;(ROW(PLE.lastrow)-ROW(PLE.firstrow))),0,IF(OFFSET(PLE!$G$14,$M627,CF$13)="",10^12,OFFSET(PLE!$G$14,$M627,CF$13))))</f>
        <v>1000000000000</v>
      </c>
      <c r="CG627" s="182">
        <f ca="1">IF($D627&lt;&gt;"Serviço",0,IF(OR(AND(AUTOEVENTO="Manual",$M627=1),$M627&gt;(ROW(PLE.lastrow)-ROW(PLE.firstrow))),0,IF(OFFSET(PLE!$G$14,$M627,CG$13)="",10^12,OFFSET(PLE!$G$14,$M627,CG$13))))</f>
        <v>1000000000000</v>
      </c>
      <c r="CH627" s="182">
        <f ca="1">IF($D627&lt;&gt;"Serviço",0,IF(OR(AND(AUTOEVENTO="Manual",$M627=1),$M627&gt;(ROW(PLE.lastrow)-ROW(PLE.firstrow))),0,IF(OFFSET(PLE!$G$14,$M627,CH$13)="",10^12,OFFSET(PLE!$G$14,$M627,CH$13))))</f>
        <v>1000000000000</v>
      </c>
      <c r="CI627" s="182">
        <f ca="1">IF($D627&lt;&gt;"Serviço",0,IF(OR(AND(AUTOEVENTO="Manual",$M627=1),$M627&gt;(ROW(PLE.lastrow)-ROW(PLE.firstrow))),0,IF(OFFSET(PLE!$G$14,$M627,CI$13)="",10^12,OFFSET(PLE!$G$14,$M627,CI$13))))</f>
        <v>1000000000000</v>
      </c>
      <c r="CJ627" s="182">
        <f ca="1">IF($D627&lt;&gt;"Serviço",0,IF(OR(AND(AUTOEVENTO="Manual",$M627=1),$M627&gt;(ROW(PLE.lastrow)-ROW(PLE.firstrow))),0,IF(OFFSET(PLE!$G$14,$M627,CJ$13)="",10^12,OFFSET(PLE!$G$14,$M627,CJ$13))))</f>
        <v>1000000000000</v>
      </c>
      <c r="CK627" s="182">
        <f ca="1">IF($D627&lt;&gt;"Serviço",0,IF(OR(AND(AUTOEVENTO="Manual",$M627=1),$M627&gt;(ROW(PLE.lastrow)-ROW(PLE.firstrow))),0,IF(OFFSET(PLE!$G$14,$M627,CK$13)="",10^12,OFFSET(PLE!$G$14,$M627,CK$13))))</f>
        <v>1000000000000</v>
      </c>
      <c r="CL627" s="182">
        <f ca="1">IF($D627&lt;&gt;"Serviço",0,IF(OR(AND(AUTOEVENTO="Manual",$M627=1),$M627&gt;(ROW(PLE.lastrow)-ROW(PLE.firstrow))),0,IF(OFFSET(PLE!$G$14,$M627,CL$13)="",10^12,OFFSET(PLE!$G$14,$M627,CL$13))))</f>
        <v>1000000000000</v>
      </c>
      <c r="CM627" s="182">
        <f ca="1">IF($D627&lt;&gt;"Serviço",0,IF(OR(AND(AUTOEVENTO="Manual",$M627=1),$M627&gt;(ROW(PLE.lastrow)-ROW(PLE.firstrow))),0,IF(OFFSET(PLE!$G$14,$M627,CM$13)="",10^12,OFFSET(PLE!$G$14,$M627,CM$13))))</f>
        <v>1000000000000</v>
      </c>
    </row>
    <row r="628" spans="1:91" ht="12.75" x14ac:dyDescent="0.2">
      <c r="A628" s="7" t="str">
        <f t="shared" ca="1" si="18"/>
        <v>613.</v>
      </c>
      <c r="B628" s="7">
        <f ca="1">OFFSET(ORÇAMENTO!C$15,ROW(B628)-ROW(B$15),0)</f>
        <v>2</v>
      </c>
      <c r="C628" s="7" t="str">
        <f ca="1">OFFSET(ORÇAMENTO!L$15,ROW(C628)-ROW(C$15),0)</f>
        <v>F</v>
      </c>
      <c r="D628" s="118" t="str">
        <f ca="1">OFFSET(ORÇAMENTO!N$15,ROW(D628)-ROW(D$15),0)</f>
        <v>Nível 2</v>
      </c>
      <c r="E628" s="119" t="str">
        <f ca="1">OFFSET(ORÇAMENTO!O$15,ROW(E628)-ROW(E$15),0)</f>
        <v>1.65.</v>
      </c>
      <c r="F628" s="172" t="str">
        <f ca="1">OFFSET(ORÇAMENTO!R$15,ROW(F628)-ROW(F$15),0)</f>
        <v>INSTALAÇÕES DE CABEAMENTO ESTRUTURADO - ACESSÓRIOS</v>
      </c>
      <c r="G628" s="173" t="str">
        <f ca="1">IF($D628&lt;&gt;"Serviço","",OFFSET(ORÇAMENTO!S$15,ROW(G628)-ROW(G$15),0))</f>
        <v/>
      </c>
      <c r="H628" s="124">
        <f ca="1">IF($D628&lt;&gt;"Serviço",0,IF(ACOMPANHAMENTO="BM",ROUND(OFFSET(ORÇAMENTO!AJ$15,ROW(H628)-ROW(H$15),0),15-13*ORÇAMENTO!$AF$7),SUMPRODUCT(($Q$12:$AI$12&lt;&gt;"")*ROUND($Q628:$AI628,15-13*ORÇAMENTO!$AF$7))))</f>
        <v>0</v>
      </c>
      <c r="I628" s="561"/>
      <c r="K628" s="174"/>
      <c r="L628" s="175" t="s">
        <v>255</v>
      </c>
      <c r="M628" s="176" t="str">
        <f ca="1">IF($D628&lt;&gt;"Serviço","",IF(AUTOEVENTO="manual",$A628,IF(ISERROR(MATCH($A628,$A$15:OFFSET($A628,-1,0),0)),MAX($M$15:OFFSET(M628,-1,0))+1,INDEX($M$15:OFFSET(M628,-1,0),MATCH($A628,$A$15:OFFSET($A628,-1,0),0)))))</f>
        <v/>
      </c>
      <c r="N628" s="177" t="str">
        <f ca="1">IF($D628&lt;&gt;"Serviço","",IF(AUTOEVENTO="Manual",IF($A628=0,"&lt;-- defina o número do agrupador",OFFSET(EVENTOS!$D$14,$A628,0)),OFFSET($F$15,$A628,0)))</f>
        <v/>
      </c>
      <c r="O628" s="178"/>
      <c r="Q628" s="178">
        <v>0</v>
      </c>
      <c r="R628" s="179"/>
      <c r="S628" s="179"/>
      <c r="T628" s="179"/>
      <c r="U628" s="179"/>
      <c r="V628" s="179"/>
      <c r="W628" s="179"/>
      <c r="X628" s="179"/>
      <c r="Y628" s="179"/>
      <c r="Z628" s="180"/>
      <c r="AA628" s="179"/>
      <c r="AB628" s="179"/>
      <c r="AC628" s="179"/>
      <c r="AD628" s="179"/>
      <c r="AE628" s="179"/>
      <c r="AF628" s="179"/>
      <c r="AG628" s="179"/>
      <c r="AH628" s="180"/>
      <c r="AJ628" s="544">
        <f ca="1">IF(AND($D628="Serviço",AJ$12&lt;&gt;0,$H628&gt;0,OR(AUTOEVENTO&lt;&gt;"manual",$M628&lt;&gt;1)),
IF(Import.TipoArredondamento&lt;&gt;"TransfereGOV",
ROUND(OFFSET($P628,0,AJ$13),15-13*ORÇAMENTO!$AF$7)/$H628*OFFSET(ORÇAMENTO!$X$15,ROW(AJ628)-ROW(AJ$15),0),
ROUND(ROUND(OFFSET($P628,0,AJ$13),15-13*ORÇAMENTO!$AF$7)*OFFSET(ORÇAMENTO!$W$15,ROW(AJ628)-ROW(AJ$15),0),15-13*ORÇAMENTO!$AF$11)),0)</f>
        <v>0</v>
      </c>
      <c r="AK628" s="545">
        <f ca="1">IF(AND($D628="Serviço",AK$12&lt;&gt;0,$H628&gt;0,OR(AUTOEVENTO&lt;&gt;"manual",$M628&lt;&gt;1)),
IF(Import.TipoArredondamento&lt;&gt;"TransfereGOV",
ROUND(OFFSET($P628,0,AK$13),15-13*ORÇAMENTO!$AF$7)/$H628*OFFSET(ORÇAMENTO!$X$15,ROW(AK628)-ROW(AK$15),0),
ROUND(ROUND(OFFSET($P628,0,AK$13),15-13*ORÇAMENTO!$AF$7)*OFFSET(ORÇAMENTO!$W$15,ROW(AK628)-ROW(AK$15),0),15-13*ORÇAMENTO!$AF$11)),0)</f>
        <v>0</v>
      </c>
      <c r="AL628" s="545">
        <f ca="1">IF(AND($D628="Serviço",AL$12&lt;&gt;0,$H628&gt;0,OR(AUTOEVENTO&lt;&gt;"manual",$M628&lt;&gt;1)),
IF(Import.TipoArredondamento&lt;&gt;"TransfereGOV",
ROUND(OFFSET($P628,0,AL$13),15-13*ORÇAMENTO!$AF$7)/$H628*OFFSET(ORÇAMENTO!$X$15,ROW(AL628)-ROW(AL$15),0),
ROUND(ROUND(OFFSET($P628,0,AL$13),15-13*ORÇAMENTO!$AF$7)*OFFSET(ORÇAMENTO!$W$15,ROW(AL628)-ROW(AL$15),0),15-13*ORÇAMENTO!$AF$11)),0)</f>
        <v>0</v>
      </c>
      <c r="AM628" s="545">
        <f ca="1">IF(AND($D628="Serviço",AM$12&lt;&gt;0,$H628&gt;0,OR(AUTOEVENTO&lt;&gt;"manual",$M628&lt;&gt;1)),
IF(Import.TipoArredondamento&lt;&gt;"TransfereGOV",
ROUND(OFFSET($P628,0,AM$13),15-13*ORÇAMENTO!$AF$7)/$H628*OFFSET(ORÇAMENTO!$X$15,ROW(AM628)-ROW(AM$15),0),
ROUND(ROUND(OFFSET($P628,0,AM$13),15-13*ORÇAMENTO!$AF$7)*OFFSET(ORÇAMENTO!$W$15,ROW(AM628)-ROW(AM$15),0),15-13*ORÇAMENTO!$AF$11)),0)</f>
        <v>0</v>
      </c>
      <c r="AN628" s="545">
        <f ca="1">IF(AND($D628="Serviço",AN$12&lt;&gt;0,$H628&gt;0,OR(AUTOEVENTO&lt;&gt;"manual",$M628&lt;&gt;1)),
IF(Import.TipoArredondamento&lt;&gt;"TransfereGOV",
ROUND(OFFSET($P628,0,AN$13),15-13*ORÇAMENTO!$AF$7)/$H628*OFFSET(ORÇAMENTO!$X$15,ROW(AN628)-ROW(AN$15),0),
ROUND(ROUND(OFFSET($P628,0,AN$13),15-13*ORÇAMENTO!$AF$7)*OFFSET(ORÇAMENTO!$W$15,ROW(AN628)-ROW(AN$15),0),15-13*ORÇAMENTO!$AF$11)),0)</f>
        <v>0</v>
      </c>
      <c r="AO628" s="545">
        <f ca="1">IF(AND($D628="Serviço",AO$12&lt;&gt;0,$H628&gt;0,OR(AUTOEVENTO&lt;&gt;"manual",$M628&lt;&gt;1)),
IF(Import.TipoArredondamento&lt;&gt;"TransfereGOV",
ROUND(OFFSET($P628,0,AO$13),15-13*ORÇAMENTO!$AF$7)/$H628*OFFSET(ORÇAMENTO!$X$15,ROW(AO628)-ROW(AO$15),0),
ROUND(ROUND(OFFSET($P628,0,AO$13),15-13*ORÇAMENTO!$AF$7)*OFFSET(ORÇAMENTO!$W$15,ROW(AO628)-ROW(AO$15),0),15-13*ORÇAMENTO!$AF$11)),0)</f>
        <v>0</v>
      </c>
      <c r="AP628" s="545">
        <f ca="1">IF(AND($D628="Serviço",AP$12&lt;&gt;0,$H628&gt;0,OR(AUTOEVENTO&lt;&gt;"manual",$M628&lt;&gt;1)),
IF(Import.TipoArredondamento&lt;&gt;"TransfereGOV",
ROUND(OFFSET($P628,0,AP$13),15-13*ORÇAMENTO!$AF$7)/$H628*OFFSET(ORÇAMENTO!$X$15,ROW(AP628)-ROW(AP$15),0),
ROUND(ROUND(OFFSET($P628,0,AP$13),15-13*ORÇAMENTO!$AF$7)*OFFSET(ORÇAMENTO!$W$15,ROW(AP628)-ROW(AP$15),0),15-13*ORÇAMENTO!$AF$11)),0)</f>
        <v>0</v>
      </c>
      <c r="AQ628" s="545">
        <f ca="1">IF(AND($D628="Serviço",AQ$12&lt;&gt;0,$H628&gt;0,OR(AUTOEVENTO&lt;&gt;"manual",$M628&lt;&gt;1)),
IF(Import.TipoArredondamento&lt;&gt;"TransfereGOV",
ROUND(OFFSET($P628,0,AQ$13),15-13*ORÇAMENTO!$AF$7)/$H628*OFFSET(ORÇAMENTO!$X$15,ROW(AQ628)-ROW(AQ$15),0),
ROUND(ROUND(OFFSET($P628,0,AQ$13),15-13*ORÇAMENTO!$AF$7)*OFFSET(ORÇAMENTO!$W$15,ROW(AQ628)-ROW(AQ$15),0),15-13*ORÇAMENTO!$AF$11)),0)</f>
        <v>0</v>
      </c>
      <c r="AR628" s="545">
        <f ca="1">IF(AND($D628="Serviço",AR$12&lt;&gt;0,$H628&gt;0,OR(AUTOEVENTO&lt;&gt;"manual",$M628&lt;&gt;1)),
IF(Import.TipoArredondamento&lt;&gt;"TransfereGOV",
ROUND(OFFSET($P628,0,AR$13),15-13*ORÇAMENTO!$AF$7)/$H628*OFFSET(ORÇAMENTO!$X$15,ROW(AR628)-ROW(AR$15),0),
ROUND(ROUND(OFFSET($P628,0,AR$13),15-13*ORÇAMENTO!$AF$7)*OFFSET(ORÇAMENTO!$W$15,ROW(AR628)-ROW(AR$15),0),15-13*ORÇAMENTO!$AF$11)),0)</f>
        <v>0</v>
      </c>
      <c r="AS628" s="546">
        <f ca="1">IF(AND($D628="Serviço",AS$12&lt;&gt;0,$H628&gt;0,OR(AUTOEVENTO&lt;&gt;"manual",$M628&lt;&gt;1)),
IF(Import.TipoArredondamento&lt;&gt;"TransfereGOV",
ROUND(OFFSET($P628,0,AS$13),15-13*ORÇAMENTO!$AF$7)/$H628*OFFSET(ORÇAMENTO!$X$15,ROW(AS628)-ROW(AS$15),0),
ROUND(ROUND(OFFSET($P628,0,AS$13),15-13*ORÇAMENTO!$AF$7)*OFFSET(ORÇAMENTO!$W$15,ROW(AS628)-ROW(AS$15),0),15-13*ORÇAMENTO!$AF$11)),0)</f>
        <v>0</v>
      </c>
      <c r="AT628" s="545">
        <f ca="1">IF(AND($D628="Serviço",AT$12&lt;&gt;0,$H628&gt;0,OR(AUTOEVENTO&lt;&gt;"manual",$M628&lt;&gt;1)),
IF(Import.TipoArredondamento&lt;&gt;"TransfereGOV",
ROUND(OFFSET($P628,0,AT$13),15-13*ORÇAMENTO!$AF$7)/$H628*OFFSET(ORÇAMENTO!$X$15,ROW(AT628)-ROW(AT$15),0),
ROUND(ROUND(OFFSET($P628,0,AT$13),15-13*ORÇAMENTO!$AF$7)*OFFSET(ORÇAMENTO!$W$15,ROW(AT628)-ROW(AT$15),0),15-13*ORÇAMENTO!$AF$11)),0)</f>
        <v>0</v>
      </c>
      <c r="AU628" s="545">
        <f ca="1">IF(AND($D628="Serviço",AU$12&lt;&gt;0,$H628&gt;0,OR(AUTOEVENTO&lt;&gt;"manual",$M628&lt;&gt;1)),
IF(Import.TipoArredondamento&lt;&gt;"TransfereGOV",
ROUND(OFFSET($P628,0,AU$13),15-13*ORÇAMENTO!$AF$7)/$H628*OFFSET(ORÇAMENTO!$X$15,ROW(AU628)-ROW(AU$15),0),
ROUND(ROUND(OFFSET($P628,0,AU$13),15-13*ORÇAMENTO!$AF$7)*OFFSET(ORÇAMENTO!$W$15,ROW(AU628)-ROW(AU$15),0),15-13*ORÇAMENTO!$AF$11)),0)</f>
        <v>0</v>
      </c>
      <c r="AV628" s="545">
        <f ca="1">IF(AND($D628="Serviço",AV$12&lt;&gt;0,$H628&gt;0,OR(AUTOEVENTO&lt;&gt;"manual",$M628&lt;&gt;1)),
IF(Import.TipoArredondamento&lt;&gt;"TransfereGOV",
ROUND(OFFSET($P628,0,AV$13),15-13*ORÇAMENTO!$AF$7)/$H628*OFFSET(ORÇAMENTO!$X$15,ROW(AV628)-ROW(AV$15),0),
ROUND(ROUND(OFFSET($P628,0,AV$13),15-13*ORÇAMENTO!$AF$7)*OFFSET(ORÇAMENTO!$W$15,ROW(AV628)-ROW(AV$15),0),15-13*ORÇAMENTO!$AF$11)),0)</f>
        <v>0</v>
      </c>
      <c r="AW628" s="545">
        <f ca="1">IF(AND($D628="Serviço",AW$12&lt;&gt;0,$H628&gt;0,OR(AUTOEVENTO&lt;&gt;"manual",$M628&lt;&gt;1)),
IF(Import.TipoArredondamento&lt;&gt;"TransfereGOV",
ROUND(OFFSET($P628,0,AW$13),15-13*ORÇAMENTO!$AF$7)/$H628*OFFSET(ORÇAMENTO!$X$15,ROW(AW628)-ROW(AW$15),0),
ROUND(ROUND(OFFSET($P628,0,AW$13),15-13*ORÇAMENTO!$AF$7)*OFFSET(ORÇAMENTO!$W$15,ROW(AW628)-ROW(AW$15),0),15-13*ORÇAMENTO!$AF$11)),0)</f>
        <v>0</v>
      </c>
      <c r="AX628" s="545">
        <f ca="1">IF(AND($D628="Serviço",AX$12&lt;&gt;0,$H628&gt;0,OR(AUTOEVENTO&lt;&gt;"manual",$M628&lt;&gt;1)),
IF(Import.TipoArredondamento&lt;&gt;"TransfereGOV",
ROUND(OFFSET($P628,0,AX$13),15-13*ORÇAMENTO!$AF$7)/$H628*OFFSET(ORÇAMENTO!$X$15,ROW(AX628)-ROW(AX$15),0),
ROUND(ROUND(OFFSET($P628,0,AX$13),15-13*ORÇAMENTO!$AF$7)*OFFSET(ORÇAMENTO!$W$15,ROW(AX628)-ROW(AX$15),0),15-13*ORÇAMENTO!$AF$11)),0)</f>
        <v>0</v>
      </c>
      <c r="AY628" s="545">
        <f ca="1">IF(AND($D628="Serviço",AY$12&lt;&gt;0,$H628&gt;0,OR(AUTOEVENTO&lt;&gt;"manual",$M628&lt;&gt;1)),
IF(Import.TipoArredondamento&lt;&gt;"TransfereGOV",
ROUND(OFFSET($P628,0,AY$13),15-13*ORÇAMENTO!$AF$7)/$H628*OFFSET(ORÇAMENTO!$X$15,ROW(AY628)-ROW(AY$15),0),
ROUND(ROUND(OFFSET($P628,0,AY$13),15-13*ORÇAMENTO!$AF$7)*OFFSET(ORÇAMENTO!$W$15,ROW(AY628)-ROW(AY$15),0),15-13*ORÇAMENTO!$AF$11)),0)</f>
        <v>0</v>
      </c>
      <c r="AZ628" s="545">
        <f ca="1">IF(AND($D628="Serviço",AZ$12&lt;&gt;0,$H628&gt;0,OR(AUTOEVENTO&lt;&gt;"manual",$M628&lt;&gt;1)),
IF(Import.TipoArredondamento&lt;&gt;"TransfereGOV",
ROUND(OFFSET($P628,0,AZ$13),15-13*ORÇAMENTO!$AF$7)/$H628*OFFSET(ORÇAMENTO!$X$15,ROW(AZ628)-ROW(AZ$15),0),
ROUND(ROUND(OFFSET($P628,0,AZ$13),15-13*ORÇAMENTO!$AF$7)*OFFSET(ORÇAMENTO!$W$15,ROW(AZ628)-ROW(AZ$15),0),15-13*ORÇAMENTO!$AF$11)),0)</f>
        <v>0</v>
      </c>
      <c r="BA628" s="546">
        <f ca="1">IF(AND($D628="Serviço",BA$12&lt;&gt;0,$H628&gt;0,OR(AUTOEVENTO&lt;&gt;"manual",$M628&lt;&gt;1)),
IF(Import.TipoArredondamento&lt;&gt;"TransfereGOV",
ROUND(OFFSET($P628,0,BA$13),15-13*ORÇAMENTO!$AF$7)/$H628*OFFSET(ORÇAMENTO!$X$15,ROW(BA628)-ROW(BA$15),0),
ROUND(ROUND(OFFSET($P628,0,BA$13),15-13*ORÇAMENTO!$AF$7)*OFFSET(ORÇAMENTO!$W$15,ROW(BA628)-ROW(BA$15),0),15-13*ORÇAMENTO!$AF$11)),0)</f>
        <v>0</v>
      </c>
      <c r="BC628" s="181">
        <f ca="1">IF($D628&lt;&gt;"Serviço",0,IF(AND(AUTOEVENTO="Manual",$M628=1),0,IF(OFFSET(CRONOPLE!$F$14,$M628,BC$13)="",10^12,OFFSET(CRONOPLE!$F$14,$M628,BC$13))))</f>
        <v>0</v>
      </c>
      <c r="BD628" s="181">
        <f ca="1">IF($D628&lt;&gt;"Serviço",0,IF(AND(AUTOEVENTO="Manual",$M628=1),0,IF(OFFSET(CRONOPLE!$F$14,$M628,BD$13)="",10^12,OFFSET(CRONOPLE!$F$14,$M628,BD$13))))</f>
        <v>0</v>
      </c>
      <c r="BE628" s="181">
        <f ca="1">IF($D628&lt;&gt;"Serviço",0,IF(AND(AUTOEVENTO="Manual",$M628=1),0,IF(OFFSET(CRONOPLE!$F$14,$M628,BE$13)="",10^12,OFFSET(CRONOPLE!$F$14,$M628,BE$13))))</f>
        <v>0</v>
      </c>
      <c r="BF628" s="181">
        <f ca="1">IF($D628&lt;&gt;"Serviço",0,IF(AND(AUTOEVENTO="Manual",$M628=1),0,IF(OFFSET(CRONOPLE!$F$14,$M628,BF$13)="",10^12,OFFSET(CRONOPLE!$F$14,$M628,BF$13))))</f>
        <v>0</v>
      </c>
      <c r="BG628" s="181">
        <f ca="1">IF($D628&lt;&gt;"Serviço",0,IF(AND(AUTOEVENTO="Manual",$M628=1),0,IF(OFFSET(CRONOPLE!$F$14,$M628,BG$13)="",10^12,OFFSET(CRONOPLE!$F$14,$M628,BG$13))))</f>
        <v>0</v>
      </c>
      <c r="BH628" s="181">
        <f ca="1">IF($D628&lt;&gt;"Serviço",0,IF(AND(AUTOEVENTO="Manual",$M628=1),0,IF(OFFSET(CRONOPLE!$F$14,$M628,BH$13)="",10^12,OFFSET(CRONOPLE!$F$14,$M628,BH$13))))</f>
        <v>0</v>
      </c>
      <c r="BI628" s="181">
        <f ca="1">IF($D628&lt;&gt;"Serviço",0,IF(AND(AUTOEVENTO="Manual",$M628=1),0,IF(OFFSET(CRONOPLE!$F$14,$M628,BI$13)="",10^12,OFFSET(CRONOPLE!$F$14,$M628,BI$13))))</f>
        <v>0</v>
      </c>
      <c r="BJ628" s="181">
        <f ca="1">IF($D628&lt;&gt;"Serviço",0,IF(AND(AUTOEVENTO="Manual",$M628=1),0,IF(OFFSET(CRONOPLE!$F$14,$M628,BJ$13)="",10^12,OFFSET(CRONOPLE!$F$14,$M628,BJ$13))))</f>
        <v>0</v>
      </c>
      <c r="BK628" s="181">
        <f ca="1">IF($D628&lt;&gt;"Serviço",0,IF(AND(AUTOEVENTO="Manual",$M628=1),0,IF(OFFSET(CRONOPLE!$F$14,$M628,BK$13)="",10^12,OFFSET(CRONOPLE!$F$14,$M628,BK$13))))</f>
        <v>0</v>
      </c>
      <c r="BL628" s="181">
        <f ca="1">IF($D628&lt;&gt;"Serviço",0,IF(AND(AUTOEVENTO="Manual",$M628=1),0,IF(OFFSET(CRONOPLE!$F$14,$M628,BL$13)="",10^12,OFFSET(CRONOPLE!$F$14,$M628,BL$13))))</f>
        <v>0</v>
      </c>
      <c r="BM628" s="181">
        <f ca="1">IF($D628&lt;&gt;"Serviço",0,IF(AND(AUTOEVENTO="Manual",$M628=1),0,IF(OFFSET(CRONOPLE!$F$14,$M628,BM$13)="",10^12,OFFSET(CRONOPLE!$F$14,$M628,BM$13))))</f>
        <v>0</v>
      </c>
      <c r="BN628" s="181">
        <f ca="1">IF($D628&lt;&gt;"Serviço",0,IF(AND(AUTOEVENTO="Manual",$M628=1),0,IF(OFFSET(CRONOPLE!$F$14,$M628,BN$13)="",10^12,OFFSET(CRONOPLE!$F$14,$M628,BN$13))))</f>
        <v>0</v>
      </c>
      <c r="BO628" s="181">
        <f ca="1">IF($D628&lt;&gt;"Serviço",0,IF(AND(AUTOEVENTO="Manual",$M628=1),0,IF(OFFSET(CRONOPLE!$F$14,$M628,BO$13)="",10^12,OFFSET(CRONOPLE!$F$14,$M628,BO$13))))</f>
        <v>0</v>
      </c>
      <c r="BP628" s="181">
        <f ca="1">IF($D628&lt;&gt;"Serviço",0,IF(AND(AUTOEVENTO="Manual",$M628=1),0,IF(OFFSET(CRONOPLE!$F$14,$M628,BP$13)="",10^12,OFFSET(CRONOPLE!$F$14,$M628,BP$13))))</f>
        <v>0</v>
      </c>
      <c r="BQ628" s="181">
        <f ca="1">IF($D628&lt;&gt;"Serviço",0,IF(AND(AUTOEVENTO="Manual",$M628=1),0,IF(OFFSET(CRONOPLE!$F$14,$M628,BQ$13)="",10^12,OFFSET(CRONOPLE!$F$14,$M628,BQ$13))))</f>
        <v>0</v>
      </c>
      <c r="BR628" s="181">
        <f ca="1">IF($D628&lt;&gt;"Serviço",0,IF(AND(AUTOEVENTO="Manual",$M628=1),0,IF(OFFSET(CRONOPLE!$F$14,$M628,BR$13)="",10^12,OFFSET(CRONOPLE!$F$14,$M628,BR$13))))</f>
        <v>0</v>
      </c>
      <c r="BS628" s="181">
        <f ca="1">IF($D628&lt;&gt;"Serviço",0,IF(AND(AUTOEVENTO="Manual",$M628=1),0,IF(OFFSET(CRONOPLE!$F$14,$M628,BS$13)="",10^12,OFFSET(CRONOPLE!$F$14,$M628,BS$13))))</f>
        <v>0</v>
      </c>
      <c r="BT628" s="181">
        <f ca="1">IF($D628&lt;&gt;"Serviço",0,IF(AND(AUTOEVENTO="Manual",$M628=1),0,IF(OFFSET(CRONOPLE!$F$14,$M628,BT$13)="",10^12,OFFSET(CRONOPLE!$F$14,$M628,BT$13))))</f>
        <v>0</v>
      </c>
      <c r="BV628" s="182">
        <f ca="1">IF($D628&lt;&gt;"Serviço",0,IF(OR(AND(AUTOEVENTO="Manual",$M628=1),$M628&gt;(ROW(PLE.lastrow)-ROW(PLE.firstrow))),0,IF(OFFSET(PLE!$G$14,$M628,BV$13)="",10^12,OFFSET(PLE!$G$14,$M628,BV$13))))</f>
        <v>0</v>
      </c>
      <c r="BW628" s="182">
        <f ca="1">IF($D628&lt;&gt;"Serviço",0,IF(OR(AND(AUTOEVENTO="Manual",$M628=1),$M628&gt;(ROW(PLE.lastrow)-ROW(PLE.firstrow))),0,IF(OFFSET(PLE!$G$14,$M628,BW$13)="",10^12,OFFSET(PLE!$G$14,$M628,BW$13))))</f>
        <v>0</v>
      </c>
      <c r="BX628" s="182">
        <f ca="1">IF($D628&lt;&gt;"Serviço",0,IF(OR(AND(AUTOEVENTO="Manual",$M628=1),$M628&gt;(ROW(PLE.lastrow)-ROW(PLE.firstrow))),0,IF(OFFSET(PLE!$G$14,$M628,BX$13)="",10^12,OFFSET(PLE!$G$14,$M628,BX$13))))</f>
        <v>0</v>
      </c>
      <c r="BY628" s="182">
        <f ca="1">IF($D628&lt;&gt;"Serviço",0,IF(OR(AND(AUTOEVENTO="Manual",$M628=1),$M628&gt;(ROW(PLE.lastrow)-ROW(PLE.firstrow))),0,IF(OFFSET(PLE!$G$14,$M628,BY$13)="",10^12,OFFSET(PLE!$G$14,$M628,BY$13))))</f>
        <v>0</v>
      </c>
      <c r="BZ628" s="182">
        <f ca="1">IF($D628&lt;&gt;"Serviço",0,IF(OR(AND(AUTOEVENTO="Manual",$M628=1),$M628&gt;(ROW(PLE.lastrow)-ROW(PLE.firstrow))),0,IF(OFFSET(PLE!$G$14,$M628,BZ$13)="",10^12,OFFSET(PLE!$G$14,$M628,BZ$13))))</f>
        <v>0</v>
      </c>
      <c r="CA628" s="182">
        <f ca="1">IF($D628&lt;&gt;"Serviço",0,IF(OR(AND(AUTOEVENTO="Manual",$M628=1),$M628&gt;(ROW(PLE.lastrow)-ROW(PLE.firstrow))),0,IF(OFFSET(PLE!$G$14,$M628,CA$13)="",10^12,OFFSET(PLE!$G$14,$M628,CA$13))))</f>
        <v>0</v>
      </c>
      <c r="CB628" s="182">
        <f ca="1">IF($D628&lt;&gt;"Serviço",0,IF(OR(AND(AUTOEVENTO="Manual",$M628=1),$M628&gt;(ROW(PLE.lastrow)-ROW(PLE.firstrow))),0,IF(OFFSET(PLE!$G$14,$M628,CB$13)="",10^12,OFFSET(PLE!$G$14,$M628,CB$13))))</f>
        <v>0</v>
      </c>
      <c r="CC628" s="182">
        <f ca="1">IF($D628&lt;&gt;"Serviço",0,IF(OR(AND(AUTOEVENTO="Manual",$M628=1),$M628&gt;(ROW(PLE.lastrow)-ROW(PLE.firstrow))),0,IF(OFFSET(PLE!$G$14,$M628,CC$13)="",10^12,OFFSET(PLE!$G$14,$M628,CC$13))))</f>
        <v>0</v>
      </c>
      <c r="CD628" s="182">
        <f ca="1">IF($D628&lt;&gt;"Serviço",0,IF(OR(AND(AUTOEVENTO="Manual",$M628=1),$M628&gt;(ROW(PLE.lastrow)-ROW(PLE.firstrow))),0,IF(OFFSET(PLE!$G$14,$M628,CD$13)="",10^12,OFFSET(PLE!$G$14,$M628,CD$13))))</f>
        <v>0</v>
      </c>
      <c r="CE628" s="182">
        <f ca="1">IF($D628&lt;&gt;"Serviço",0,IF(OR(AND(AUTOEVENTO="Manual",$M628=1),$M628&gt;(ROW(PLE.lastrow)-ROW(PLE.firstrow))),0,IF(OFFSET(PLE!$G$14,$M628,CE$13)="",10^12,OFFSET(PLE!$G$14,$M628,CE$13))))</f>
        <v>0</v>
      </c>
      <c r="CF628" s="182">
        <f ca="1">IF($D628&lt;&gt;"Serviço",0,IF(OR(AND(AUTOEVENTO="Manual",$M628=1),$M628&gt;(ROW(PLE.lastrow)-ROW(PLE.firstrow))),0,IF(OFFSET(PLE!$G$14,$M628,CF$13)="",10^12,OFFSET(PLE!$G$14,$M628,CF$13))))</f>
        <v>0</v>
      </c>
      <c r="CG628" s="182">
        <f ca="1">IF($D628&lt;&gt;"Serviço",0,IF(OR(AND(AUTOEVENTO="Manual",$M628=1),$M628&gt;(ROW(PLE.lastrow)-ROW(PLE.firstrow))),0,IF(OFFSET(PLE!$G$14,$M628,CG$13)="",10^12,OFFSET(PLE!$G$14,$M628,CG$13))))</f>
        <v>0</v>
      </c>
      <c r="CH628" s="182">
        <f ca="1">IF($D628&lt;&gt;"Serviço",0,IF(OR(AND(AUTOEVENTO="Manual",$M628=1),$M628&gt;(ROW(PLE.lastrow)-ROW(PLE.firstrow))),0,IF(OFFSET(PLE!$G$14,$M628,CH$13)="",10^12,OFFSET(PLE!$G$14,$M628,CH$13))))</f>
        <v>0</v>
      </c>
      <c r="CI628" s="182">
        <f ca="1">IF($D628&lt;&gt;"Serviço",0,IF(OR(AND(AUTOEVENTO="Manual",$M628=1),$M628&gt;(ROW(PLE.lastrow)-ROW(PLE.firstrow))),0,IF(OFFSET(PLE!$G$14,$M628,CI$13)="",10^12,OFFSET(PLE!$G$14,$M628,CI$13))))</f>
        <v>0</v>
      </c>
      <c r="CJ628" s="182">
        <f ca="1">IF($D628&lt;&gt;"Serviço",0,IF(OR(AND(AUTOEVENTO="Manual",$M628=1),$M628&gt;(ROW(PLE.lastrow)-ROW(PLE.firstrow))),0,IF(OFFSET(PLE!$G$14,$M628,CJ$13)="",10^12,OFFSET(PLE!$G$14,$M628,CJ$13))))</f>
        <v>0</v>
      </c>
      <c r="CK628" s="182">
        <f ca="1">IF($D628&lt;&gt;"Serviço",0,IF(OR(AND(AUTOEVENTO="Manual",$M628=1),$M628&gt;(ROW(PLE.lastrow)-ROW(PLE.firstrow))),0,IF(OFFSET(PLE!$G$14,$M628,CK$13)="",10^12,OFFSET(PLE!$G$14,$M628,CK$13))))</f>
        <v>0</v>
      </c>
      <c r="CL628" s="182">
        <f ca="1">IF($D628&lt;&gt;"Serviço",0,IF(OR(AND(AUTOEVENTO="Manual",$M628=1),$M628&gt;(ROW(PLE.lastrow)-ROW(PLE.firstrow))),0,IF(OFFSET(PLE!$G$14,$M628,CL$13)="",10^12,OFFSET(PLE!$G$14,$M628,CL$13))))</f>
        <v>0</v>
      </c>
      <c r="CM628" s="182">
        <f ca="1">IF($D628&lt;&gt;"Serviço",0,IF(OR(AND(AUTOEVENTO="Manual",$M628=1),$M628&gt;(ROW(PLE.lastrow)-ROW(PLE.firstrow))),0,IF(OFFSET(PLE!$G$14,$M628,CM$13)="",10^12,OFFSET(PLE!$G$14,$M628,CM$13))))</f>
        <v>0</v>
      </c>
    </row>
    <row r="629" spans="1:91" ht="38.25" x14ac:dyDescent="0.2">
      <c r="A629" s="7" t="str">
        <f t="shared" ca="1" si="18"/>
        <v>613</v>
      </c>
      <c r="B629" s="7" t="str">
        <f ca="1">OFFSET(ORÇAMENTO!C$15,ROW(B629)-ROW(B$15),0)</f>
        <v>S</v>
      </c>
      <c r="C629" s="7" t="str">
        <f ca="1">OFFSET(ORÇAMENTO!L$15,ROW(C629)-ROW(C$15),0)</f>
        <v/>
      </c>
      <c r="D629" s="118" t="str">
        <f ca="1">OFFSET(ORÇAMENTO!N$15,ROW(D629)-ROW(D$15),0)</f>
        <v>Serviço</v>
      </c>
      <c r="E629" s="119" t="str">
        <f ca="1">OFFSET(ORÇAMENTO!O$15,ROW(E629)-ROW(E$15),0)</f>
        <v>-</v>
      </c>
      <c r="F629" s="172" t="str">
        <f ca="1">OFFSET(ORÇAMENTO!R$15,ROW(F629)-ROW(F$15),0)</f>
        <v>(abra o arquivo 'Referência 06-2024.xlsm)</v>
      </c>
      <c r="G629" s="173" t="str">
        <f ca="1">IF($D629&lt;&gt;"Serviço","",OFFSET(ORÇAMENTO!S$15,ROW(G629)-ROW(G$15),0))</f>
        <v>-</v>
      </c>
      <c r="H629" s="124">
        <f ca="1">IF($D629&lt;&gt;"Serviço",0,IF(ACOMPANHAMENTO="BM",ROUND(OFFSET(ORÇAMENTO!AJ$15,ROW(H629)-ROW(H$15),0),15-13*ORÇAMENTO!$AF$7),SUMPRODUCT(($Q$12:$AI$12&lt;&gt;"")*ROUND($Q629:$AI629,15-13*ORÇAMENTO!$AF$7))))</f>
        <v>42</v>
      </c>
      <c r="I629" s="561" t="s">
        <v>1107</v>
      </c>
      <c r="K629" s="174"/>
      <c r="L629" s="175" t="s">
        <v>255</v>
      </c>
      <c r="M629" s="176">
        <f ca="1">IF($D629&lt;&gt;"Serviço","",IF(AUTOEVENTO="manual",$A629,IF(ISERROR(MATCH($A629,$A$15:OFFSET($A629,-1,0),0)),MAX($M$15:OFFSET(M629,-1,0))+1,INDEX($M$15:OFFSET(M629,-1,0),MATCH($A629,$A$15:OFFSET($A629,-1,0),0)))))</f>
        <v>66</v>
      </c>
      <c r="N629" s="177" t="str">
        <f ca="1">IF($D629&lt;&gt;"Serviço","",IF(AUTOEVENTO="Manual",IF($A629=0,"&lt;-- defina o número do agrupador",OFFSET(EVENTOS!$D$14,$A629,0)),OFFSET($F$15,$A629,0)))</f>
        <v>INSTALAÇÕES DE CABEAMENTO ESTRUTURADO - ACESSÓRIOS</v>
      </c>
      <c r="O629" s="178"/>
      <c r="Q629" s="178">
        <v>42</v>
      </c>
      <c r="R629" s="179"/>
      <c r="S629" s="179"/>
      <c r="T629" s="179"/>
      <c r="U629" s="179"/>
      <c r="V629" s="179"/>
      <c r="W629" s="179"/>
      <c r="X629" s="179"/>
      <c r="Y629" s="179"/>
      <c r="Z629" s="180"/>
      <c r="AA629" s="179"/>
      <c r="AB629" s="179"/>
      <c r="AC629" s="179"/>
      <c r="AD629" s="179"/>
      <c r="AE629" s="179"/>
      <c r="AF629" s="179"/>
      <c r="AG629" s="179"/>
      <c r="AH629" s="180"/>
      <c r="AJ629" s="544">
        <f ca="1">IF(AND($D629="Serviço",AJ$12&lt;&gt;0,$H629&gt;0,OR(AUTOEVENTO&lt;&gt;"manual",$M629&lt;&gt;1)),
IF(Import.TipoArredondamento&lt;&gt;"TransfereGOV",
ROUND(OFFSET($P629,0,AJ$13),15-13*ORÇAMENTO!$AF$7)/$H629*OFFSET(ORÇAMENTO!$X$15,ROW(AJ629)-ROW(AJ$15),0),
ROUND(ROUND(OFFSET($P629,0,AJ$13),15-13*ORÇAMENTO!$AF$7)*OFFSET(ORÇAMENTO!$W$15,ROW(AJ629)-ROW(AJ$15),0),15-13*ORÇAMENTO!$AF$11)),0)</f>
        <v>0</v>
      </c>
      <c r="AK629" s="545">
        <f ca="1">IF(AND($D629="Serviço",AK$12&lt;&gt;0,$H629&gt;0,OR(AUTOEVENTO&lt;&gt;"manual",$M629&lt;&gt;1)),
IF(Import.TipoArredondamento&lt;&gt;"TransfereGOV",
ROUND(OFFSET($P629,0,AK$13),15-13*ORÇAMENTO!$AF$7)/$H629*OFFSET(ORÇAMENTO!$X$15,ROW(AK629)-ROW(AK$15),0),
ROUND(ROUND(OFFSET($P629,0,AK$13),15-13*ORÇAMENTO!$AF$7)*OFFSET(ORÇAMENTO!$W$15,ROW(AK629)-ROW(AK$15),0),15-13*ORÇAMENTO!$AF$11)),0)</f>
        <v>0</v>
      </c>
      <c r="AL629" s="545">
        <f ca="1">IF(AND($D629="Serviço",AL$12&lt;&gt;0,$H629&gt;0,OR(AUTOEVENTO&lt;&gt;"manual",$M629&lt;&gt;1)),
IF(Import.TipoArredondamento&lt;&gt;"TransfereGOV",
ROUND(OFFSET($P629,0,AL$13),15-13*ORÇAMENTO!$AF$7)/$H629*OFFSET(ORÇAMENTO!$X$15,ROW(AL629)-ROW(AL$15),0),
ROUND(ROUND(OFFSET($P629,0,AL$13),15-13*ORÇAMENTO!$AF$7)*OFFSET(ORÇAMENTO!$W$15,ROW(AL629)-ROW(AL$15),0),15-13*ORÇAMENTO!$AF$11)),0)</f>
        <v>0</v>
      </c>
      <c r="AM629" s="545">
        <f ca="1">IF(AND($D629="Serviço",AM$12&lt;&gt;0,$H629&gt;0,OR(AUTOEVENTO&lt;&gt;"manual",$M629&lt;&gt;1)),
IF(Import.TipoArredondamento&lt;&gt;"TransfereGOV",
ROUND(OFFSET($P629,0,AM$13),15-13*ORÇAMENTO!$AF$7)/$H629*OFFSET(ORÇAMENTO!$X$15,ROW(AM629)-ROW(AM$15),0),
ROUND(ROUND(OFFSET($P629,0,AM$13),15-13*ORÇAMENTO!$AF$7)*OFFSET(ORÇAMENTO!$W$15,ROW(AM629)-ROW(AM$15),0),15-13*ORÇAMENTO!$AF$11)),0)</f>
        <v>0</v>
      </c>
      <c r="AN629" s="545">
        <f ca="1">IF(AND($D629="Serviço",AN$12&lt;&gt;0,$H629&gt;0,OR(AUTOEVENTO&lt;&gt;"manual",$M629&lt;&gt;1)),
IF(Import.TipoArredondamento&lt;&gt;"TransfereGOV",
ROUND(OFFSET($P629,0,AN$13),15-13*ORÇAMENTO!$AF$7)/$H629*OFFSET(ORÇAMENTO!$X$15,ROW(AN629)-ROW(AN$15),0),
ROUND(ROUND(OFFSET($P629,0,AN$13),15-13*ORÇAMENTO!$AF$7)*OFFSET(ORÇAMENTO!$W$15,ROW(AN629)-ROW(AN$15),0),15-13*ORÇAMENTO!$AF$11)),0)</f>
        <v>0</v>
      </c>
      <c r="AO629" s="545">
        <f ca="1">IF(AND($D629="Serviço",AO$12&lt;&gt;0,$H629&gt;0,OR(AUTOEVENTO&lt;&gt;"manual",$M629&lt;&gt;1)),
IF(Import.TipoArredondamento&lt;&gt;"TransfereGOV",
ROUND(OFFSET($P629,0,AO$13),15-13*ORÇAMENTO!$AF$7)/$H629*OFFSET(ORÇAMENTO!$X$15,ROW(AO629)-ROW(AO$15),0),
ROUND(ROUND(OFFSET($P629,0,AO$13),15-13*ORÇAMENTO!$AF$7)*OFFSET(ORÇAMENTO!$W$15,ROW(AO629)-ROW(AO$15),0),15-13*ORÇAMENTO!$AF$11)),0)</f>
        <v>0</v>
      </c>
      <c r="AP629" s="545">
        <f ca="1">IF(AND($D629="Serviço",AP$12&lt;&gt;0,$H629&gt;0,OR(AUTOEVENTO&lt;&gt;"manual",$M629&lt;&gt;1)),
IF(Import.TipoArredondamento&lt;&gt;"TransfereGOV",
ROUND(OFFSET($P629,0,AP$13),15-13*ORÇAMENTO!$AF$7)/$H629*OFFSET(ORÇAMENTO!$X$15,ROW(AP629)-ROW(AP$15),0),
ROUND(ROUND(OFFSET($P629,0,AP$13),15-13*ORÇAMENTO!$AF$7)*OFFSET(ORÇAMENTO!$W$15,ROW(AP629)-ROW(AP$15),0),15-13*ORÇAMENTO!$AF$11)),0)</f>
        <v>0</v>
      </c>
      <c r="AQ629" s="545">
        <f ca="1">IF(AND($D629="Serviço",AQ$12&lt;&gt;0,$H629&gt;0,OR(AUTOEVENTO&lt;&gt;"manual",$M629&lt;&gt;1)),
IF(Import.TipoArredondamento&lt;&gt;"TransfereGOV",
ROUND(OFFSET($P629,0,AQ$13),15-13*ORÇAMENTO!$AF$7)/$H629*OFFSET(ORÇAMENTO!$X$15,ROW(AQ629)-ROW(AQ$15),0),
ROUND(ROUND(OFFSET($P629,0,AQ$13),15-13*ORÇAMENTO!$AF$7)*OFFSET(ORÇAMENTO!$W$15,ROW(AQ629)-ROW(AQ$15),0),15-13*ORÇAMENTO!$AF$11)),0)</f>
        <v>0</v>
      </c>
      <c r="AR629" s="545">
        <f ca="1">IF(AND($D629="Serviço",AR$12&lt;&gt;0,$H629&gt;0,OR(AUTOEVENTO&lt;&gt;"manual",$M629&lt;&gt;1)),
IF(Import.TipoArredondamento&lt;&gt;"TransfereGOV",
ROUND(OFFSET($P629,0,AR$13),15-13*ORÇAMENTO!$AF$7)/$H629*OFFSET(ORÇAMENTO!$X$15,ROW(AR629)-ROW(AR$15),0),
ROUND(ROUND(OFFSET($P629,0,AR$13),15-13*ORÇAMENTO!$AF$7)*OFFSET(ORÇAMENTO!$W$15,ROW(AR629)-ROW(AR$15),0),15-13*ORÇAMENTO!$AF$11)),0)</f>
        <v>0</v>
      </c>
      <c r="AS629" s="546">
        <f ca="1">IF(AND($D629="Serviço",AS$12&lt;&gt;0,$H629&gt;0,OR(AUTOEVENTO&lt;&gt;"manual",$M629&lt;&gt;1)),
IF(Import.TipoArredondamento&lt;&gt;"TransfereGOV",
ROUND(OFFSET($P629,0,AS$13),15-13*ORÇAMENTO!$AF$7)/$H629*OFFSET(ORÇAMENTO!$X$15,ROW(AS629)-ROW(AS$15),0),
ROUND(ROUND(OFFSET($P629,0,AS$13),15-13*ORÇAMENTO!$AF$7)*OFFSET(ORÇAMENTO!$W$15,ROW(AS629)-ROW(AS$15),0),15-13*ORÇAMENTO!$AF$11)),0)</f>
        <v>0</v>
      </c>
      <c r="AT629" s="545">
        <f ca="1">IF(AND($D629="Serviço",AT$12&lt;&gt;0,$H629&gt;0,OR(AUTOEVENTO&lt;&gt;"manual",$M629&lt;&gt;1)),
IF(Import.TipoArredondamento&lt;&gt;"TransfereGOV",
ROUND(OFFSET($P629,0,AT$13),15-13*ORÇAMENTO!$AF$7)/$H629*OFFSET(ORÇAMENTO!$X$15,ROW(AT629)-ROW(AT$15),0),
ROUND(ROUND(OFFSET($P629,0,AT$13),15-13*ORÇAMENTO!$AF$7)*OFFSET(ORÇAMENTO!$W$15,ROW(AT629)-ROW(AT$15),0),15-13*ORÇAMENTO!$AF$11)),0)</f>
        <v>0</v>
      </c>
      <c r="AU629" s="545">
        <f ca="1">IF(AND($D629="Serviço",AU$12&lt;&gt;0,$H629&gt;0,OR(AUTOEVENTO&lt;&gt;"manual",$M629&lt;&gt;1)),
IF(Import.TipoArredondamento&lt;&gt;"TransfereGOV",
ROUND(OFFSET($P629,0,AU$13),15-13*ORÇAMENTO!$AF$7)/$H629*OFFSET(ORÇAMENTO!$X$15,ROW(AU629)-ROW(AU$15),0),
ROUND(ROUND(OFFSET($P629,0,AU$13),15-13*ORÇAMENTO!$AF$7)*OFFSET(ORÇAMENTO!$W$15,ROW(AU629)-ROW(AU$15),0),15-13*ORÇAMENTO!$AF$11)),0)</f>
        <v>0</v>
      </c>
      <c r="AV629" s="545">
        <f ca="1">IF(AND($D629="Serviço",AV$12&lt;&gt;0,$H629&gt;0,OR(AUTOEVENTO&lt;&gt;"manual",$M629&lt;&gt;1)),
IF(Import.TipoArredondamento&lt;&gt;"TransfereGOV",
ROUND(OFFSET($P629,0,AV$13),15-13*ORÇAMENTO!$AF$7)/$H629*OFFSET(ORÇAMENTO!$X$15,ROW(AV629)-ROW(AV$15),0),
ROUND(ROUND(OFFSET($P629,0,AV$13),15-13*ORÇAMENTO!$AF$7)*OFFSET(ORÇAMENTO!$W$15,ROW(AV629)-ROW(AV$15),0),15-13*ORÇAMENTO!$AF$11)),0)</f>
        <v>0</v>
      </c>
      <c r="AW629" s="545">
        <f ca="1">IF(AND($D629="Serviço",AW$12&lt;&gt;0,$H629&gt;0,OR(AUTOEVENTO&lt;&gt;"manual",$M629&lt;&gt;1)),
IF(Import.TipoArredondamento&lt;&gt;"TransfereGOV",
ROUND(OFFSET($P629,0,AW$13),15-13*ORÇAMENTO!$AF$7)/$H629*OFFSET(ORÇAMENTO!$X$15,ROW(AW629)-ROW(AW$15),0),
ROUND(ROUND(OFFSET($P629,0,AW$13),15-13*ORÇAMENTO!$AF$7)*OFFSET(ORÇAMENTO!$W$15,ROW(AW629)-ROW(AW$15),0),15-13*ORÇAMENTO!$AF$11)),0)</f>
        <v>0</v>
      </c>
      <c r="AX629" s="545">
        <f ca="1">IF(AND($D629="Serviço",AX$12&lt;&gt;0,$H629&gt;0,OR(AUTOEVENTO&lt;&gt;"manual",$M629&lt;&gt;1)),
IF(Import.TipoArredondamento&lt;&gt;"TransfereGOV",
ROUND(OFFSET($P629,0,AX$13),15-13*ORÇAMENTO!$AF$7)/$H629*OFFSET(ORÇAMENTO!$X$15,ROW(AX629)-ROW(AX$15),0),
ROUND(ROUND(OFFSET($P629,0,AX$13),15-13*ORÇAMENTO!$AF$7)*OFFSET(ORÇAMENTO!$W$15,ROW(AX629)-ROW(AX$15),0),15-13*ORÇAMENTO!$AF$11)),0)</f>
        <v>0</v>
      </c>
      <c r="AY629" s="545">
        <f ca="1">IF(AND($D629="Serviço",AY$12&lt;&gt;0,$H629&gt;0,OR(AUTOEVENTO&lt;&gt;"manual",$M629&lt;&gt;1)),
IF(Import.TipoArredondamento&lt;&gt;"TransfereGOV",
ROUND(OFFSET($P629,0,AY$13),15-13*ORÇAMENTO!$AF$7)/$H629*OFFSET(ORÇAMENTO!$X$15,ROW(AY629)-ROW(AY$15),0),
ROUND(ROUND(OFFSET($P629,0,AY$13),15-13*ORÇAMENTO!$AF$7)*OFFSET(ORÇAMENTO!$W$15,ROW(AY629)-ROW(AY$15),0),15-13*ORÇAMENTO!$AF$11)),0)</f>
        <v>0</v>
      </c>
      <c r="AZ629" s="545">
        <f ca="1">IF(AND($D629="Serviço",AZ$12&lt;&gt;0,$H629&gt;0,OR(AUTOEVENTO&lt;&gt;"manual",$M629&lt;&gt;1)),
IF(Import.TipoArredondamento&lt;&gt;"TransfereGOV",
ROUND(OFFSET($P629,0,AZ$13),15-13*ORÇAMENTO!$AF$7)/$H629*OFFSET(ORÇAMENTO!$X$15,ROW(AZ629)-ROW(AZ$15),0),
ROUND(ROUND(OFFSET($P629,0,AZ$13),15-13*ORÇAMENTO!$AF$7)*OFFSET(ORÇAMENTO!$W$15,ROW(AZ629)-ROW(AZ$15),0),15-13*ORÇAMENTO!$AF$11)),0)</f>
        <v>0</v>
      </c>
      <c r="BA629" s="546">
        <f ca="1">IF(AND($D629="Serviço",BA$12&lt;&gt;0,$H629&gt;0,OR(AUTOEVENTO&lt;&gt;"manual",$M629&lt;&gt;1)),
IF(Import.TipoArredondamento&lt;&gt;"TransfereGOV",
ROUND(OFFSET($P629,0,BA$13),15-13*ORÇAMENTO!$AF$7)/$H629*OFFSET(ORÇAMENTO!$X$15,ROW(BA629)-ROW(BA$15),0),
ROUND(ROUND(OFFSET($P629,0,BA$13),15-13*ORÇAMENTO!$AF$7)*OFFSET(ORÇAMENTO!$W$15,ROW(BA629)-ROW(BA$15),0),15-13*ORÇAMENTO!$AF$11)),0)</f>
        <v>0</v>
      </c>
      <c r="BC629" s="181">
        <f ca="1">IF($D629&lt;&gt;"Serviço",0,IF(AND(AUTOEVENTO="Manual",$M629=1),0,IF(OFFSET(CRONOPLE!$F$14,$M629,BC$13)="",10^12,OFFSET(CRONOPLE!$F$14,$M629,BC$13))))</f>
        <v>11</v>
      </c>
      <c r="BD629" s="181">
        <f ca="1">IF($D629&lt;&gt;"Serviço",0,IF(AND(AUTOEVENTO="Manual",$M629=1),0,IF(OFFSET(CRONOPLE!$F$14,$M629,BD$13)="",10^12,OFFSET(CRONOPLE!$F$14,$M629,BD$13))))</f>
        <v>1000000000000</v>
      </c>
      <c r="BE629" s="181">
        <f ca="1">IF($D629&lt;&gt;"Serviço",0,IF(AND(AUTOEVENTO="Manual",$M629=1),0,IF(OFFSET(CRONOPLE!$F$14,$M629,BE$13)="",10^12,OFFSET(CRONOPLE!$F$14,$M629,BE$13))))</f>
        <v>1000000000000</v>
      </c>
      <c r="BF629" s="181">
        <f ca="1">IF($D629&lt;&gt;"Serviço",0,IF(AND(AUTOEVENTO="Manual",$M629=1),0,IF(OFFSET(CRONOPLE!$F$14,$M629,BF$13)="",10^12,OFFSET(CRONOPLE!$F$14,$M629,BF$13))))</f>
        <v>1000000000000</v>
      </c>
      <c r="BG629" s="181">
        <f ca="1">IF($D629&lt;&gt;"Serviço",0,IF(AND(AUTOEVENTO="Manual",$M629=1),0,IF(OFFSET(CRONOPLE!$F$14,$M629,BG$13)="",10^12,OFFSET(CRONOPLE!$F$14,$M629,BG$13))))</f>
        <v>1000000000000</v>
      </c>
      <c r="BH629" s="181">
        <f ca="1">IF($D629&lt;&gt;"Serviço",0,IF(AND(AUTOEVENTO="Manual",$M629=1),0,IF(OFFSET(CRONOPLE!$F$14,$M629,BH$13)="",10^12,OFFSET(CRONOPLE!$F$14,$M629,BH$13))))</f>
        <v>1000000000000</v>
      </c>
      <c r="BI629" s="181">
        <f ca="1">IF($D629&lt;&gt;"Serviço",0,IF(AND(AUTOEVENTO="Manual",$M629=1),0,IF(OFFSET(CRONOPLE!$F$14,$M629,BI$13)="",10^12,OFFSET(CRONOPLE!$F$14,$M629,BI$13))))</f>
        <v>1000000000000</v>
      </c>
      <c r="BJ629" s="181">
        <f ca="1">IF($D629&lt;&gt;"Serviço",0,IF(AND(AUTOEVENTO="Manual",$M629=1),0,IF(OFFSET(CRONOPLE!$F$14,$M629,BJ$13)="",10^12,OFFSET(CRONOPLE!$F$14,$M629,BJ$13))))</f>
        <v>1000000000000</v>
      </c>
      <c r="BK629" s="181">
        <f ca="1">IF($D629&lt;&gt;"Serviço",0,IF(AND(AUTOEVENTO="Manual",$M629=1),0,IF(OFFSET(CRONOPLE!$F$14,$M629,BK$13)="",10^12,OFFSET(CRONOPLE!$F$14,$M629,BK$13))))</f>
        <v>1000000000000</v>
      </c>
      <c r="BL629" s="181">
        <f ca="1">IF($D629&lt;&gt;"Serviço",0,IF(AND(AUTOEVENTO="Manual",$M629=1),0,IF(OFFSET(CRONOPLE!$F$14,$M629,BL$13)="",10^12,OFFSET(CRONOPLE!$F$14,$M629,BL$13))))</f>
        <v>1000000000000</v>
      </c>
      <c r="BM629" s="181">
        <f ca="1">IF($D629&lt;&gt;"Serviço",0,IF(AND(AUTOEVENTO="Manual",$M629=1),0,IF(OFFSET(CRONOPLE!$F$14,$M629,BM$13)="",10^12,OFFSET(CRONOPLE!$F$14,$M629,BM$13))))</f>
        <v>1000000000000</v>
      </c>
      <c r="BN629" s="181">
        <f ca="1">IF($D629&lt;&gt;"Serviço",0,IF(AND(AUTOEVENTO="Manual",$M629=1),0,IF(OFFSET(CRONOPLE!$F$14,$M629,BN$13)="",10^12,OFFSET(CRONOPLE!$F$14,$M629,BN$13))))</f>
        <v>1000000000000</v>
      </c>
      <c r="BO629" s="181">
        <f ca="1">IF($D629&lt;&gt;"Serviço",0,IF(AND(AUTOEVENTO="Manual",$M629=1),0,IF(OFFSET(CRONOPLE!$F$14,$M629,BO$13)="",10^12,OFFSET(CRONOPLE!$F$14,$M629,BO$13))))</f>
        <v>1000000000000</v>
      </c>
      <c r="BP629" s="181">
        <f ca="1">IF($D629&lt;&gt;"Serviço",0,IF(AND(AUTOEVENTO="Manual",$M629=1),0,IF(OFFSET(CRONOPLE!$F$14,$M629,BP$13)="",10^12,OFFSET(CRONOPLE!$F$14,$M629,BP$13))))</f>
        <v>1000000000000</v>
      </c>
      <c r="BQ629" s="181">
        <f ca="1">IF($D629&lt;&gt;"Serviço",0,IF(AND(AUTOEVENTO="Manual",$M629=1),0,IF(OFFSET(CRONOPLE!$F$14,$M629,BQ$13)="",10^12,OFFSET(CRONOPLE!$F$14,$M629,BQ$13))))</f>
        <v>1000000000000</v>
      </c>
      <c r="BR629" s="181">
        <f ca="1">IF($D629&lt;&gt;"Serviço",0,IF(AND(AUTOEVENTO="Manual",$M629=1),0,IF(OFFSET(CRONOPLE!$F$14,$M629,BR$13)="",10^12,OFFSET(CRONOPLE!$F$14,$M629,BR$13))))</f>
        <v>1000000000000</v>
      </c>
      <c r="BS629" s="181">
        <f ca="1">IF($D629&lt;&gt;"Serviço",0,IF(AND(AUTOEVENTO="Manual",$M629=1),0,IF(OFFSET(CRONOPLE!$F$14,$M629,BS$13)="",10^12,OFFSET(CRONOPLE!$F$14,$M629,BS$13))))</f>
        <v>1000000000000</v>
      </c>
      <c r="BT629" s="181">
        <f ca="1">IF($D629&lt;&gt;"Serviço",0,IF(AND(AUTOEVENTO="Manual",$M629=1),0,IF(OFFSET(CRONOPLE!$F$14,$M629,BT$13)="",10^12,OFFSET(CRONOPLE!$F$14,$M629,BT$13))))</f>
        <v>1000000000000</v>
      </c>
      <c r="BV629" s="182">
        <f ca="1">IF($D629&lt;&gt;"Serviço",0,IF(OR(AND(AUTOEVENTO="Manual",$M629=1),$M629&gt;(ROW(PLE.lastrow)-ROW(PLE.firstrow))),0,IF(OFFSET(PLE!$G$14,$M629,BV$13)="",10^12,OFFSET(PLE!$G$14,$M629,BV$13))))</f>
        <v>1000000000000</v>
      </c>
      <c r="BW629" s="182">
        <f ca="1">IF($D629&lt;&gt;"Serviço",0,IF(OR(AND(AUTOEVENTO="Manual",$M629=1),$M629&gt;(ROW(PLE.lastrow)-ROW(PLE.firstrow))),0,IF(OFFSET(PLE!$G$14,$M629,BW$13)="",10^12,OFFSET(PLE!$G$14,$M629,BW$13))))</f>
        <v>1000000000000</v>
      </c>
      <c r="BX629" s="182">
        <f ca="1">IF($D629&lt;&gt;"Serviço",0,IF(OR(AND(AUTOEVENTO="Manual",$M629=1),$M629&gt;(ROW(PLE.lastrow)-ROW(PLE.firstrow))),0,IF(OFFSET(PLE!$G$14,$M629,BX$13)="",10^12,OFFSET(PLE!$G$14,$M629,BX$13))))</f>
        <v>1000000000000</v>
      </c>
      <c r="BY629" s="182">
        <f ca="1">IF($D629&lt;&gt;"Serviço",0,IF(OR(AND(AUTOEVENTO="Manual",$M629=1),$M629&gt;(ROW(PLE.lastrow)-ROW(PLE.firstrow))),0,IF(OFFSET(PLE!$G$14,$M629,BY$13)="",10^12,OFFSET(PLE!$G$14,$M629,BY$13))))</f>
        <v>1000000000000</v>
      </c>
      <c r="BZ629" s="182">
        <f ca="1">IF($D629&lt;&gt;"Serviço",0,IF(OR(AND(AUTOEVENTO="Manual",$M629=1),$M629&gt;(ROW(PLE.lastrow)-ROW(PLE.firstrow))),0,IF(OFFSET(PLE!$G$14,$M629,BZ$13)="",10^12,OFFSET(PLE!$G$14,$M629,BZ$13))))</f>
        <v>1000000000000</v>
      </c>
      <c r="CA629" s="182">
        <f ca="1">IF($D629&lt;&gt;"Serviço",0,IF(OR(AND(AUTOEVENTO="Manual",$M629=1),$M629&gt;(ROW(PLE.lastrow)-ROW(PLE.firstrow))),0,IF(OFFSET(PLE!$G$14,$M629,CA$13)="",10^12,OFFSET(PLE!$G$14,$M629,CA$13))))</f>
        <v>1000000000000</v>
      </c>
      <c r="CB629" s="182">
        <f ca="1">IF($D629&lt;&gt;"Serviço",0,IF(OR(AND(AUTOEVENTO="Manual",$M629=1),$M629&gt;(ROW(PLE.lastrow)-ROW(PLE.firstrow))),0,IF(OFFSET(PLE!$G$14,$M629,CB$13)="",10^12,OFFSET(PLE!$G$14,$M629,CB$13))))</f>
        <v>1000000000000</v>
      </c>
      <c r="CC629" s="182">
        <f ca="1">IF($D629&lt;&gt;"Serviço",0,IF(OR(AND(AUTOEVENTO="Manual",$M629=1),$M629&gt;(ROW(PLE.lastrow)-ROW(PLE.firstrow))),0,IF(OFFSET(PLE!$G$14,$M629,CC$13)="",10^12,OFFSET(PLE!$G$14,$M629,CC$13))))</f>
        <v>1000000000000</v>
      </c>
      <c r="CD629" s="182">
        <f ca="1">IF($D629&lt;&gt;"Serviço",0,IF(OR(AND(AUTOEVENTO="Manual",$M629=1),$M629&gt;(ROW(PLE.lastrow)-ROW(PLE.firstrow))),0,IF(OFFSET(PLE!$G$14,$M629,CD$13)="",10^12,OFFSET(PLE!$G$14,$M629,CD$13))))</f>
        <v>1000000000000</v>
      </c>
      <c r="CE629" s="182">
        <f ca="1">IF($D629&lt;&gt;"Serviço",0,IF(OR(AND(AUTOEVENTO="Manual",$M629=1),$M629&gt;(ROW(PLE.lastrow)-ROW(PLE.firstrow))),0,IF(OFFSET(PLE!$G$14,$M629,CE$13)="",10^12,OFFSET(PLE!$G$14,$M629,CE$13))))</f>
        <v>1000000000000</v>
      </c>
      <c r="CF629" s="182">
        <f ca="1">IF($D629&lt;&gt;"Serviço",0,IF(OR(AND(AUTOEVENTO="Manual",$M629=1),$M629&gt;(ROW(PLE.lastrow)-ROW(PLE.firstrow))),0,IF(OFFSET(PLE!$G$14,$M629,CF$13)="",10^12,OFFSET(PLE!$G$14,$M629,CF$13))))</f>
        <v>1000000000000</v>
      </c>
      <c r="CG629" s="182">
        <f ca="1">IF($D629&lt;&gt;"Serviço",0,IF(OR(AND(AUTOEVENTO="Manual",$M629=1),$M629&gt;(ROW(PLE.lastrow)-ROW(PLE.firstrow))),0,IF(OFFSET(PLE!$G$14,$M629,CG$13)="",10^12,OFFSET(PLE!$G$14,$M629,CG$13))))</f>
        <v>1000000000000</v>
      </c>
      <c r="CH629" s="182">
        <f ca="1">IF($D629&lt;&gt;"Serviço",0,IF(OR(AND(AUTOEVENTO="Manual",$M629=1),$M629&gt;(ROW(PLE.lastrow)-ROW(PLE.firstrow))),0,IF(OFFSET(PLE!$G$14,$M629,CH$13)="",10^12,OFFSET(PLE!$G$14,$M629,CH$13))))</f>
        <v>1000000000000</v>
      </c>
      <c r="CI629" s="182">
        <f ca="1">IF($D629&lt;&gt;"Serviço",0,IF(OR(AND(AUTOEVENTO="Manual",$M629=1),$M629&gt;(ROW(PLE.lastrow)-ROW(PLE.firstrow))),0,IF(OFFSET(PLE!$G$14,$M629,CI$13)="",10^12,OFFSET(PLE!$G$14,$M629,CI$13))))</f>
        <v>1000000000000</v>
      </c>
      <c r="CJ629" s="182">
        <f ca="1">IF($D629&lt;&gt;"Serviço",0,IF(OR(AND(AUTOEVENTO="Manual",$M629=1),$M629&gt;(ROW(PLE.lastrow)-ROW(PLE.firstrow))),0,IF(OFFSET(PLE!$G$14,$M629,CJ$13)="",10^12,OFFSET(PLE!$G$14,$M629,CJ$13))))</f>
        <v>1000000000000</v>
      </c>
      <c r="CK629" s="182">
        <f ca="1">IF($D629&lt;&gt;"Serviço",0,IF(OR(AND(AUTOEVENTO="Manual",$M629=1),$M629&gt;(ROW(PLE.lastrow)-ROW(PLE.firstrow))),0,IF(OFFSET(PLE!$G$14,$M629,CK$13)="",10^12,OFFSET(PLE!$G$14,$M629,CK$13))))</f>
        <v>1000000000000</v>
      </c>
      <c r="CL629" s="182">
        <f ca="1">IF($D629&lt;&gt;"Serviço",0,IF(OR(AND(AUTOEVENTO="Manual",$M629=1),$M629&gt;(ROW(PLE.lastrow)-ROW(PLE.firstrow))),0,IF(OFFSET(PLE!$G$14,$M629,CL$13)="",10^12,OFFSET(PLE!$G$14,$M629,CL$13))))</f>
        <v>1000000000000</v>
      </c>
      <c r="CM629" s="182">
        <f ca="1">IF($D629&lt;&gt;"Serviço",0,IF(OR(AND(AUTOEVENTO="Manual",$M629=1),$M629&gt;(ROW(PLE.lastrow)-ROW(PLE.firstrow))),0,IF(OFFSET(PLE!$G$14,$M629,CM$13)="",10^12,OFFSET(PLE!$G$14,$M629,CM$13))))</f>
        <v>1000000000000</v>
      </c>
    </row>
    <row r="630" spans="1:91" ht="38.25" x14ac:dyDescent="0.2">
      <c r="A630" s="7" t="str">
        <f t="shared" ca="1" si="18"/>
        <v>613</v>
      </c>
      <c r="B630" s="7" t="str">
        <f ca="1">OFFSET(ORÇAMENTO!C$15,ROW(B630)-ROW(B$15),0)</f>
        <v>S</v>
      </c>
      <c r="C630" s="7" t="str">
        <f ca="1">OFFSET(ORÇAMENTO!L$15,ROW(C630)-ROW(C$15),0)</f>
        <v/>
      </c>
      <c r="D630" s="118" t="str">
        <f ca="1">OFFSET(ORÇAMENTO!N$15,ROW(D630)-ROW(D$15),0)</f>
        <v>Serviço</v>
      </c>
      <c r="E630" s="119" t="str">
        <f ca="1">OFFSET(ORÇAMENTO!O$15,ROW(E630)-ROW(E$15),0)</f>
        <v>-</v>
      </c>
      <c r="F630" s="172" t="str">
        <f ca="1">OFFSET(ORÇAMENTO!R$15,ROW(F630)-ROW(F$15),0)</f>
        <v>(abra o arquivo 'Referência 06-2024.xlsm)</v>
      </c>
      <c r="G630" s="173" t="str">
        <f ca="1">IF($D630&lt;&gt;"Serviço","",OFFSET(ORÇAMENTO!S$15,ROW(G630)-ROW(G$15),0))</f>
        <v>-</v>
      </c>
      <c r="H630" s="124">
        <f ca="1">IF($D630&lt;&gt;"Serviço",0,IF(ACOMPANHAMENTO="BM",ROUND(OFFSET(ORÇAMENTO!AJ$15,ROW(H630)-ROW(H$15),0),15-13*ORÇAMENTO!$AF$7),SUMPRODUCT(($Q$12:$AI$12&lt;&gt;"")*ROUND($Q630:$AI630,15-13*ORÇAMENTO!$AF$7))))</f>
        <v>697</v>
      </c>
      <c r="I630" s="561" t="s">
        <v>1107</v>
      </c>
      <c r="K630" s="174"/>
      <c r="L630" s="175" t="s">
        <v>255</v>
      </c>
      <c r="M630" s="176">
        <f ca="1">IF($D630&lt;&gt;"Serviço","",IF(AUTOEVENTO="manual",$A630,IF(ISERROR(MATCH($A630,$A$15:OFFSET($A630,-1,0),0)),MAX($M$15:OFFSET(M630,-1,0))+1,INDEX($M$15:OFFSET(M630,-1,0),MATCH($A630,$A$15:OFFSET($A630,-1,0),0)))))</f>
        <v>66</v>
      </c>
      <c r="N630" s="177" t="str">
        <f ca="1">IF($D630&lt;&gt;"Serviço","",IF(AUTOEVENTO="Manual",IF($A630=0,"&lt;-- defina o número do agrupador",OFFSET(EVENTOS!$D$14,$A630,0)),OFFSET($F$15,$A630,0)))</f>
        <v>INSTALAÇÕES DE CABEAMENTO ESTRUTURADO - ACESSÓRIOS</v>
      </c>
      <c r="O630" s="178"/>
      <c r="Q630" s="178">
        <v>697</v>
      </c>
      <c r="R630" s="179"/>
      <c r="S630" s="179"/>
      <c r="T630" s="179"/>
      <c r="U630" s="179"/>
      <c r="V630" s="179"/>
      <c r="W630" s="179"/>
      <c r="X630" s="179"/>
      <c r="Y630" s="179"/>
      <c r="Z630" s="180"/>
      <c r="AA630" s="179"/>
      <c r="AB630" s="179"/>
      <c r="AC630" s="179"/>
      <c r="AD630" s="179"/>
      <c r="AE630" s="179"/>
      <c r="AF630" s="179"/>
      <c r="AG630" s="179"/>
      <c r="AH630" s="180"/>
      <c r="AJ630" s="544">
        <f ca="1">IF(AND($D630="Serviço",AJ$12&lt;&gt;0,$H630&gt;0,OR(AUTOEVENTO&lt;&gt;"manual",$M630&lt;&gt;1)),
IF(Import.TipoArredondamento&lt;&gt;"TransfereGOV",
ROUND(OFFSET($P630,0,AJ$13),15-13*ORÇAMENTO!$AF$7)/$H630*OFFSET(ORÇAMENTO!$X$15,ROW(AJ630)-ROW(AJ$15),0),
ROUND(ROUND(OFFSET($P630,0,AJ$13),15-13*ORÇAMENTO!$AF$7)*OFFSET(ORÇAMENTO!$W$15,ROW(AJ630)-ROW(AJ$15),0),15-13*ORÇAMENTO!$AF$11)),0)</f>
        <v>0</v>
      </c>
      <c r="AK630" s="545">
        <f ca="1">IF(AND($D630="Serviço",AK$12&lt;&gt;0,$H630&gt;0,OR(AUTOEVENTO&lt;&gt;"manual",$M630&lt;&gt;1)),
IF(Import.TipoArredondamento&lt;&gt;"TransfereGOV",
ROUND(OFFSET($P630,0,AK$13),15-13*ORÇAMENTO!$AF$7)/$H630*OFFSET(ORÇAMENTO!$X$15,ROW(AK630)-ROW(AK$15),0),
ROUND(ROUND(OFFSET($P630,0,AK$13),15-13*ORÇAMENTO!$AF$7)*OFFSET(ORÇAMENTO!$W$15,ROW(AK630)-ROW(AK$15),0),15-13*ORÇAMENTO!$AF$11)),0)</f>
        <v>0</v>
      </c>
      <c r="AL630" s="545">
        <f ca="1">IF(AND($D630="Serviço",AL$12&lt;&gt;0,$H630&gt;0,OR(AUTOEVENTO&lt;&gt;"manual",$M630&lt;&gt;1)),
IF(Import.TipoArredondamento&lt;&gt;"TransfereGOV",
ROUND(OFFSET($P630,0,AL$13),15-13*ORÇAMENTO!$AF$7)/$H630*OFFSET(ORÇAMENTO!$X$15,ROW(AL630)-ROW(AL$15),0),
ROUND(ROUND(OFFSET($P630,0,AL$13),15-13*ORÇAMENTO!$AF$7)*OFFSET(ORÇAMENTO!$W$15,ROW(AL630)-ROW(AL$15),0),15-13*ORÇAMENTO!$AF$11)),0)</f>
        <v>0</v>
      </c>
      <c r="AM630" s="545">
        <f ca="1">IF(AND($D630="Serviço",AM$12&lt;&gt;0,$H630&gt;0,OR(AUTOEVENTO&lt;&gt;"manual",$M630&lt;&gt;1)),
IF(Import.TipoArredondamento&lt;&gt;"TransfereGOV",
ROUND(OFFSET($P630,0,AM$13),15-13*ORÇAMENTO!$AF$7)/$H630*OFFSET(ORÇAMENTO!$X$15,ROW(AM630)-ROW(AM$15),0),
ROUND(ROUND(OFFSET($P630,0,AM$13),15-13*ORÇAMENTO!$AF$7)*OFFSET(ORÇAMENTO!$W$15,ROW(AM630)-ROW(AM$15),0),15-13*ORÇAMENTO!$AF$11)),0)</f>
        <v>0</v>
      </c>
      <c r="AN630" s="545">
        <f ca="1">IF(AND($D630="Serviço",AN$12&lt;&gt;0,$H630&gt;0,OR(AUTOEVENTO&lt;&gt;"manual",$M630&lt;&gt;1)),
IF(Import.TipoArredondamento&lt;&gt;"TransfereGOV",
ROUND(OFFSET($P630,0,AN$13),15-13*ORÇAMENTO!$AF$7)/$H630*OFFSET(ORÇAMENTO!$X$15,ROW(AN630)-ROW(AN$15),0),
ROUND(ROUND(OFFSET($P630,0,AN$13),15-13*ORÇAMENTO!$AF$7)*OFFSET(ORÇAMENTO!$W$15,ROW(AN630)-ROW(AN$15),0),15-13*ORÇAMENTO!$AF$11)),0)</f>
        <v>0</v>
      </c>
      <c r="AO630" s="545">
        <f ca="1">IF(AND($D630="Serviço",AO$12&lt;&gt;0,$H630&gt;0,OR(AUTOEVENTO&lt;&gt;"manual",$M630&lt;&gt;1)),
IF(Import.TipoArredondamento&lt;&gt;"TransfereGOV",
ROUND(OFFSET($P630,0,AO$13),15-13*ORÇAMENTO!$AF$7)/$H630*OFFSET(ORÇAMENTO!$X$15,ROW(AO630)-ROW(AO$15),0),
ROUND(ROUND(OFFSET($P630,0,AO$13),15-13*ORÇAMENTO!$AF$7)*OFFSET(ORÇAMENTO!$W$15,ROW(AO630)-ROW(AO$15),0),15-13*ORÇAMENTO!$AF$11)),0)</f>
        <v>0</v>
      </c>
      <c r="AP630" s="545">
        <f ca="1">IF(AND($D630="Serviço",AP$12&lt;&gt;0,$H630&gt;0,OR(AUTOEVENTO&lt;&gt;"manual",$M630&lt;&gt;1)),
IF(Import.TipoArredondamento&lt;&gt;"TransfereGOV",
ROUND(OFFSET($P630,0,AP$13),15-13*ORÇAMENTO!$AF$7)/$H630*OFFSET(ORÇAMENTO!$X$15,ROW(AP630)-ROW(AP$15),0),
ROUND(ROUND(OFFSET($P630,0,AP$13),15-13*ORÇAMENTO!$AF$7)*OFFSET(ORÇAMENTO!$W$15,ROW(AP630)-ROW(AP$15),0),15-13*ORÇAMENTO!$AF$11)),0)</f>
        <v>0</v>
      </c>
      <c r="AQ630" s="545">
        <f ca="1">IF(AND($D630="Serviço",AQ$12&lt;&gt;0,$H630&gt;0,OR(AUTOEVENTO&lt;&gt;"manual",$M630&lt;&gt;1)),
IF(Import.TipoArredondamento&lt;&gt;"TransfereGOV",
ROUND(OFFSET($P630,0,AQ$13),15-13*ORÇAMENTO!$AF$7)/$H630*OFFSET(ORÇAMENTO!$X$15,ROW(AQ630)-ROW(AQ$15),0),
ROUND(ROUND(OFFSET($P630,0,AQ$13),15-13*ORÇAMENTO!$AF$7)*OFFSET(ORÇAMENTO!$W$15,ROW(AQ630)-ROW(AQ$15),0),15-13*ORÇAMENTO!$AF$11)),0)</f>
        <v>0</v>
      </c>
      <c r="AR630" s="545">
        <f ca="1">IF(AND($D630="Serviço",AR$12&lt;&gt;0,$H630&gt;0,OR(AUTOEVENTO&lt;&gt;"manual",$M630&lt;&gt;1)),
IF(Import.TipoArredondamento&lt;&gt;"TransfereGOV",
ROUND(OFFSET($P630,0,AR$13),15-13*ORÇAMENTO!$AF$7)/$H630*OFFSET(ORÇAMENTO!$X$15,ROW(AR630)-ROW(AR$15),0),
ROUND(ROUND(OFFSET($P630,0,AR$13),15-13*ORÇAMENTO!$AF$7)*OFFSET(ORÇAMENTO!$W$15,ROW(AR630)-ROW(AR$15),0),15-13*ORÇAMENTO!$AF$11)),0)</f>
        <v>0</v>
      </c>
      <c r="AS630" s="546">
        <f ca="1">IF(AND($D630="Serviço",AS$12&lt;&gt;0,$H630&gt;0,OR(AUTOEVENTO&lt;&gt;"manual",$M630&lt;&gt;1)),
IF(Import.TipoArredondamento&lt;&gt;"TransfereGOV",
ROUND(OFFSET($P630,0,AS$13),15-13*ORÇAMENTO!$AF$7)/$H630*OFFSET(ORÇAMENTO!$X$15,ROW(AS630)-ROW(AS$15),0),
ROUND(ROUND(OFFSET($P630,0,AS$13),15-13*ORÇAMENTO!$AF$7)*OFFSET(ORÇAMENTO!$W$15,ROW(AS630)-ROW(AS$15),0),15-13*ORÇAMENTO!$AF$11)),0)</f>
        <v>0</v>
      </c>
      <c r="AT630" s="545">
        <f ca="1">IF(AND($D630="Serviço",AT$12&lt;&gt;0,$H630&gt;0,OR(AUTOEVENTO&lt;&gt;"manual",$M630&lt;&gt;1)),
IF(Import.TipoArredondamento&lt;&gt;"TransfereGOV",
ROUND(OFFSET($P630,0,AT$13),15-13*ORÇAMENTO!$AF$7)/$H630*OFFSET(ORÇAMENTO!$X$15,ROW(AT630)-ROW(AT$15),0),
ROUND(ROUND(OFFSET($P630,0,AT$13),15-13*ORÇAMENTO!$AF$7)*OFFSET(ORÇAMENTO!$W$15,ROW(AT630)-ROW(AT$15),0),15-13*ORÇAMENTO!$AF$11)),0)</f>
        <v>0</v>
      </c>
      <c r="AU630" s="545">
        <f ca="1">IF(AND($D630="Serviço",AU$12&lt;&gt;0,$H630&gt;0,OR(AUTOEVENTO&lt;&gt;"manual",$M630&lt;&gt;1)),
IF(Import.TipoArredondamento&lt;&gt;"TransfereGOV",
ROUND(OFFSET($P630,0,AU$13),15-13*ORÇAMENTO!$AF$7)/$H630*OFFSET(ORÇAMENTO!$X$15,ROW(AU630)-ROW(AU$15),0),
ROUND(ROUND(OFFSET($P630,0,AU$13),15-13*ORÇAMENTO!$AF$7)*OFFSET(ORÇAMENTO!$W$15,ROW(AU630)-ROW(AU$15),0),15-13*ORÇAMENTO!$AF$11)),0)</f>
        <v>0</v>
      </c>
      <c r="AV630" s="545">
        <f ca="1">IF(AND($D630="Serviço",AV$12&lt;&gt;0,$H630&gt;0,OR(AUTOEVENTO&lt;&gt;"manual",$M630&lt;&gt;1)),
IF(Import.TipoArredondamento&lt;&gt;"TransfereGOV",
ROUND(OFFSET($P630,0,AV$13),15-13*ORÇAMENTO!$AF$7)/$H630*OFFSET(ORÇAMENTO!$X$15,ROW(AV630)-ROW(AV$15),0),
ROUND(ROUND(OFFSET($P630,0,AV$13),15-13*ORÇAMENTO!$AF$7)*OFFSET(ORÇAMENTO!$W$15,ROW(AV630)-ROW(AV$15),0),15-13*ORÇAMENTO!$AF$11)),0)</f>
        <v>0</v>
      </c>
      <c r="AW630" s="545">
        <f ca="1">IF(AND($D630="Serviço",AW$12&lt;&gt;0,$H630&gt;0,OR(AUTOEVENTO&lt;&gt;"manual",$M630&lt;&gt;1)),
IF(Import.TipoArredondamento&lt;&gt;"TransfereGOV",
ROUND(OFFSET($P630,0,AW$13),15-13*ORÇAMENTO!$AF$7)/$H630*OFFSET(ORÇAMENTO!$X$15,ROW(AW630)-ROW(AW$15),0),
ROUND(ROUND(OFFSET($P630,0,AW$13),15-13*ORÇAMENTO!$AF$7)*OFFSET(ORÇAMENTO!$W$15,ROW(AW630)-ROW(AW$15),0),15-13*ORÇAMENTO!$AF$11)),0)</f>
        <v>0</v>
      </c>
      <c r="AX630" s="545">
        <f ca="1">IF(AND($D630="Serviço",AX$12&lt;&gt;0,$H630&gt;0,OR(AUTOEVENTO&lt;&gt;"manual",$M630&lt;&gt;1)),
IF(Import.TipoArredondamento&lt;&gt;"TransfereGOV",
ROUND(OFFSET($P630,0,AX$13),15-13*ORÇAMENTO!$AF$7)/$H630*OFFSET(ORÇAMENTO!$X$15,ROW(AX630)-ROW(AX$15),0),
ROUND(ROUND(OFFSET($P630,0,AX$13),15-13*ORÇAMENTO!$AF$7)*OFFSET(ORÇAMENTO!$W$15,ROW(AX630)-ROW(AX$15),0),15-13*ORÇAMENTO!$AF$11)),0)</f>
        <v>0</v>
      </c>
      <c r="AY630" s="545">
        <f ca="1">IF(AND($D630="Serviço",AY$12&lt;&gt;0,$H630&gt;0,OR(AUTOEVENTO&lt;&gt;"manual",$M630&lt;&gt;1)),
IF(Import.TipoArredondamento&lt;&gt;"TransfereGOV",
ROUND(OFFSET($P630,0,AY$13),15-13*ORÇAMENTO!$AF$7)/$H630*OFFSET(ORÇAMENTO!$X$15,ROW(AY630)-ROW(AY$15),0),
ROUND(ROUND(OFFSET($P630,0,AY$13),15-13*ORÇAMENTO!$AF$7)*OFFSET(ORÇAMENTO!$W$15,ROW(AY630)-ROW(AY$15),0),15-13*ORÇAMENTO!$AF$11)),0)</f>
        <v>0</v>
      </c>
      <c r="AZ630" s="545">
        <f ca="1">IF(AND($D630="Serviço",AZ$12&lt;&gt;0,$H630&gt;0,OR(AUTOEVENTO&lt;&gt;"manual",$M630&lt;&gt;1)),
IF(Import.TipoArredondamento&lt;&gt;"TransfereGOV",
ROUND(OFFSET($P630,0,AZ$13),15-13*ORÇAMENTO!$AF$7)/$H630*OFFSET(ORÇAMENTO!$X$15,ROW(AZ630)-ROW(AZ$15),0),
ROUND(ROUND(OFFSET($P630,0,AZ$13),15-13*ORÇAMENTO!$AF$7)*OFFSET(ORÇAMENTO!$W$15,ROW(AZ630)-ROW(AZ$15),0),15-13*ORÇAMENTO!$AF$11)),0)</f>
        <v>0</v>
      </c>
      <c r="BA630" s="546">
        <f ca="1">IF(AND($D630="Serviço",BA$12&lt;&gt;0,$H630&gt;0,OR(AUTOEVENTO&lt;&gt;"manual",$M630&lt;&gt;1)),
IF(Import.TipoArredondamento&lt;&gt;"TransfereGOV",
ROUND(OFFSET($P630,0,BA$13),15-13*ORÇAMENTO!$AF$7)/$H630*OFFSET(ORÇAMENTO!$X$15,ROW(BA630)-ROW(BA$15),0),
ROUND(ROUND(OFFSET($P630,0,BA$13),15-13*ORÇAMENTO!$AF$7)*OFFSET(ORÇAMENTO!$W$15,ROW(BA630)-ROW(BA$15),0),15-13*ORÇAMENTO!$AF$11)),0)</f>
        <v>0</v>
      </c>
      <c r="BC630" s="181">
        <f ca="1">IF($D630&lt;&gt;"Serviço",0,IF(AND(AUTOEVENTO="Manual",$M630=1),0,IF(OFFSET(CRONOPLE!$F$14,$M630,BC$13)="",10^12,OFFSET(CRONOPLE!$F$14,$M630,BC$13))))</f>
        <v>11</v>
      </c>
      <c r="BD630" s="181">
        <f ca="1">IF($D630&lt;&gt;"Serviço",0,IF(AND(AUTOEVENTO="Manual",$M630=1),0,IF(OFFSET(CRONOPLE!$F$14,$M630,BD$13)="",10^12,OFFSET(CRONOPLE!$F$14,$M630,BD$13))))</f>
        <v>1000000000000</v>
      </c>
      <c r="BE630" s="181">
        <f ca="1">IF($D630&lt;&gt;"Serviço",0,IF(AND(AUTOEVENTO="Manual",$M630=1),0,IF(OFFSET(CRONOPLE!$F$14,$M630,BE$13)="",10^12,OFFSET(CRONOPLE!$F$14,$M630,BE$13))))</f>
        <v>1000000000000</v>
      </c>
      <c r="BF630" s="181">
        <f ca="1">IF($D630&lt;&gt;"Serviço",0,IF(AND(AUTOEVENTO="Manual",$M630=1),0,IF(OFFSET(CRONOPLE!$F$14,$M630,BF$13)="",10^12,OFFSET(CRONOPLE!$F$14,$M630,BF$13))))</f>
        <v>1000000000000</v>
      </c>
      <c r="BG630" s="181">
        <f ca="1">IF($D630&lt;&gt;"Serviço",0,IF(AND(AUTOEVENTO="Manual",$M630=1),0,IF(OFFSET(CRONOPLE!$F$14,$M630,BG$13)="",10^12,OFFSET(CRONOPLE!$F$14,$M630,BG$13))))</f>
        <v>1000000000000</v>
      </c>
      <c r="BH630" s="181">
        <f ca="1">IF($D630&lt;&gt;"Serviço",0,IF(AND(AUTOEVENTO="Manual",$M630=1),0,IF(OFFSET(CRONOPLE!$F$14,$M630,BH$13)="",10^12,OFFSET(CRONOPLE!$F$14,$M630,BH$13))))</f>
        <v>1000000000000</v>
      </c>
      <c r="BI630" s="181">
        <f ca="1">IF($D630&lt;&gt;"Serviço",0,IF(AND(AUTOEVENTO="Manual",$M630=1),0,IF(OFFSET(CRONOPLE!$F$14,$M630,BI$13)="",10^12,OFFSET(CRONOPLE!$F$14,$M630,BI$13))))</f>
        <v>1000000000000</v>
      </c>
      <c r="BJ630" s="181">
        <f ca="1">IF($D630&lt;&gt;"Serviço",0,IF(AND(AUTOEVENTO="Manual",$M630=1),0,IF(OFFSET(CRONOPLE!$F$14,$M630,BJ$13)="",10^12,OFFSET(CRONOPLE!$F$14,$M630,BJ$13))))</f>
        <v>1000000000000</v>
      </c>
      <c r="BK630" s="181">
        <f ca="1">IF($D630&lt;&gt;"Serviço",0,IF(AND(AUTOEVENTO="Manual",$M630=1),0,IF(OFFSET(CRONOPLE!$F$14,$M630,BK$13)="",10^12,OFFSET(CRONOPLE!$F$14,$M630,BK$13))))</f>
        <v>1000000000000</v>
      </c>
      <c r="BL630" s="181">
        <f ca="1">IF($D630&lt;&gt;"Serviço",0,IF(AND(AUTOEVENTO="Manual",$M630=1),0,IF(OFFSET(CRONOPLE!$F$14,$M630,BL$13)="",10^12,OFFSET(CRONOPLE!$F$14,$M630,BL$13))))</f>
        <v>1000000000000</v>
      </c>
      <c r="BM630" s="181">
        <f ca="1">IF($D630&lt;&gt;"Serviço",0,IF(AND(AUTOEVENTO="Manual",$M630=1),0,IF(OFFSET(CRONOPLE!$F$14,$M630,BM$13)="",10^12,OFFSET(CRONOPLE!$F$14,$M630,BM$13))))</f>
        <v>1000000000000</v>
      </c>
      <c r="BN630" s="181">
        <f ca="1">IF($D630&lt;&gt;"Serviço",0,IF(AND(AUTOEVENTO="Manual",$M630=1),0,IF(OFFSET(CRONOPLE!$F$14,$M630,BN$13)="",10^12,OFFSET(CRONOPLE!$F$14,$M630,BN$13))))</f>
        <v>1000000000000</v>
      </c>
      <c r="BO630" s="181">
        <f ca="1">IF($D630&lt;&gt;"Serviço",0,IF(AND(AUTOEVENTO="Manual",$M630=1),0,IF(OFFSET(CRONOPLE!$F$14,$M630,BO$13)="",10^12,OFFSET(CRONOPLE!$F$14,$M630,BO$13))))</f>
        <v>1000000000000</v>
      </c>
      <c r="BP630" s="181">
        <f ca="1">IF($D630&lt;&gt;"Serviço",0,IF(AND(AUTOEVENTO="Manual",$M630=1),0,IF(OFFSET(CRONOPLE!$F$14,$M630,BP$13)="",10^12,OFFSET(CRONOPLE!$F$14,$M630,BP$13))))</f>
        <v>1000000000000</v>
      </c>
      <c r="BQ630" s="181">
        <f ca="1">IF($D630&lt;&gt;"Serviço",0,IF(AND(AUTOEVENTO="Manual",$M630=1),0,IF(OFFSET(CRONOPLE!$F$14,$M630,BQ$13)="",10^12,OFFSET(CRONOPLE!$F$14,$M630,BQ$13))))</f>
        <v>1000000000000</v>
      </c>
      <c r="BR630" s="181">
        <f ca="1">IF($D630&lt;&gt;"Serviço",0,IF(AND(AUTOEVENTO="Manual",$M630=1),0,IF(OFFSET(CRONOPLE!$F$14,$M630,BR$13)="",10^12,OFFSET(CRONOPLE!$F$14,$M630,BR$13))))</f>
        <v>1000000000000</v>
      </c>
      <c r="BS630" s="181">
        <f ca="1">IF($D630&lt;&gt;"Serviço",0,IF(AND(AUTOEVENTO="Manual",$M630=1),0,IF(OFFSET(CRONOPLE!$F$14,$M630,BS$13)="",10^12,OFFSET(CRONOPLE!$F$14,$M630,BS$13))))</f>
        <v>1000000000000</v>
      </c>
      <c r="BT630" s="181">
        <f ca="1">IF($D630&lt;&gt;"Serviço",0,IF(AND(AUTOEVENTO="Manual",$M630=1),0,IF(OFFSET(CRONOPLE!$F$14,$M630,BT$13)="",10^12,OFFSET(CRONOPLE!$F$14,$M630,BT$13))))</f>
        <v>1000000000000</v>
      </c>
      <c r="BV630" s="182">
        <f ca="1">IF($D630&lt;&gt;"Serviço",0,IF(OR(AND(AUTOEVENTO="Manual",$M630=1),$M630&gt;(ROW(PLE.lastrow)-ROW(PLE.firstrow))),0,IF(OFFSET(PLE!$G$14,$M630,BV$13)="",10^12,OFFSET(PLE!$G$14,$M630,BV$13))))</f>
        <v>1000000000000</v>
      </c>
      <c r="BW630" s="182">
        <f ca="1">IF($D630&lt;&gt;"Serviço",0,IF(OR(AND(AUTOEVENTO="Manual",$M630=1),$M630&gt;(ROW(PLE.lastrow)-ROW(PLE.firstrow))),0,IF(OFFSET(PLE!$G$14,$M630,BW$13)="",10^12,OFFSET(PLE!$G$14,$M630,BW$13))))</f>
        <v>1000000000000</v>
      </c>
      <c r="BX630" s="182">
        <f ca="1">IF($D630&lt;&gt;"Serviço",0,IF(OR(AND(AUTOEVENTO="Manual",$M630=1),$M630&gt;(ROW(PLE.lastrow)-ROW(PLE.firstrow))),0,IF(OFFSET(PLE!$G$14,$M630,BX$13)="",10^12,OFFSET(PLE!$G$14,$M630,BX$13))))</f>
        <v>1000000000000</v>
      </c>
      <c r="BY630" s="182">
        <f ca="1">IF($D630&lt;&gt;"Serviço",0,IF(OR(AND(AUTOEVENTO="Manual",$M630=1),$M630&gt;(ROW(PLE.lastrow)-ROW(PLE.firstrow))),0,IF(OFFSET(PLE!$G$14,$M630,BY$13)="",10^12,OFFSET(PLE!$G$14,$M630,BY$13))))</f>
        <v>1000000000000</v>
      </c>
      <c r="BZ630" s="182">
        <f ca="1">IF($D630&lt;&gt;"Serviço",0,IF(OR(AND(AUTOEVENTO="Manual",$M630=1),$M630&gt;(ROW(PLE.lastrow)-ROW(PLE.firstrow))),0,IF(OFFSET(PLE!$G$14,$M630,BZ$13)="",10^12,OFFSET(PLE!$G$14,$M630,BZ$13))))</f>
        <v>1000000000000</v>
      </c>
      <c r="CA630" s="182">
        <f ca="1">IF($D630&lt;&gt;"Serviço",0,IF(OR(AND(AUTOEVENTO="Manual",$M630=1),$M630&gt;(ROW(PLE.lastrow)-ROW(PLE.firstrow))),0,IF(OFFSET(PLE!$G$14,$M630,CA$13)="",10^12,OFFSET(PLE!$G$14,$M630,CA$13))))</f>
        <v>1000000000000</v>
      </c>
      <c r="CB630" s="182">
        <f ca="1">IF($D630&lt;&gt;"Serviço",0,IF(OR(AND(AUTOEVENTO="Manual",$M630=1),$M630&gt;(ROW(PLE.lastrow)-ROW(PLE.firstrow))),0,IF(OFFSET(PLE!$G$14,$M630,CB$13)="",10^12,OFFSET(PLE!$G$14,$M630,CB$13))))</f>
        <v>1000000000000</v>
      </c>
      <c r="CC630" s="182">
        <f ca="1">IF($D630&lt;&gt;"Serviço",0,IF(OR(AND(AUTOEVENTO="Manual",$M630=1),$M630&gt;(ROW(PLE.lastrow)-ROW(PLE.firstrow))),0,IF(OFFSET(PLE!$G$14,$M630,CC$13)="",10^12,OFFSET(PLE!$G$14,$M630,CC$13))))</f>
        <v>1000000000000</v>
      </c>
      <c r="CD630" s="182">
        <f ca="1">IF($D630&lt;&gt;"Serviço",0,IF(OR(AND(AUTOEVENTO="Manual",$M630=1),$M630&gt;(ROW(PLE.lastrow)-ROW(PLE.firstrow))),0,IF(OFFSET(PLE!$G$14,$M630,CD$13)="",10^12,OFFSET(PLE!$G$14,$M630,CD$13))))</f>
        <v>1000000000000</v>
      </c>
      <c r="CE630" s="182">
        <f ca="1">IF($D630&lt;&gt;"Serviço",0,IF(OR(AND(AUTOEVENTO="Manual",$M630=1),$M630&gt;(ROW(PLE.lastrow)-ROW(PLE.firstrow))),0,IF(OFFSET(PLE!$G$14,$M630,CE$13)="",10^12,OFFSET(PLE!$G$14,$M630,CE$13))))</f>
        <v>1000000000000</v>
      </c>
      <c r="CF630" s="182">
        <f ca="1">IF($D630&lt;&gt;"Serviço",0,IF(OR(AND(AUTOEVENTO="Manual",$M630=1),$M630&gt;(ROW(PLE.lastrow)-ROW(PLE.firstrow))),0,IF(OFFSET(PLE!$G$14,$M630,CF$13)="",10^12,OFFSET(PLE!$G$14,$M630,CF$13))))</f>
        <v>1000000000000</v>
      </c>
      <c r="CG630" s="182">
        <f ca="1">IF($D630&lt;&gt;"Serviço",0,IF(OR(AND(AUTOEVENTO="Manual",$M630=1),$M630&gt;(ROW(PLE.lastrow)-ROW(PLE.firstrow))),0,IF(OFFSET(PLE!$G$14,$M630,CG$13)="",10^12,OFFSET(PLE!$G$14,$M630,CG$13))))</f>
        <v>1000000000000</v>
      </c>
      <c r="CH630" s="182">
        <f ca="1">IF($D630&lt;&gt;"Serviço",0,IF(OR(AND(AUTOEVENTO="Manual",$M630=1),$M630&gt;(ROW(PLE.lastrow)-ROW(PLE.firstrow))),0,IF(OFFSET(PLE!$G$14,$M630,CH$13)="",10^12,OFFSET(PLE!$G$14,$M630,CH$13))))</f>
        <v>1000000000000</v>
      </c>
      <c r="CI630" s="182">
        <f ca="1">IF($D630&lt;&gt;"Serviço",0,IF(OR(AND(AUTOEVENTO="Manual",$M630=1),$M630&gt;(ROW(PLE.lastrow)-ROW(PLE.firstrow))),0,IF(OFFSET(PLE!$G$14,$M630,CI$13)="",10^12,OFFSET(PLE!$G$14,$M630,CI$13))))</f>
        <v>1000000000000</v>
      </c>
      <c r="CJ630" s="182">
        <f ca="1">IF($D630&lt;&gt;"Serviço",0,IF(OR(AND(AUTOEVENTO="Manual",$M630=1),$M630&gt;(ROW(PLE.lastrow)-ROW(PLE.firstrow))),0,IF(OFFSET(PLE!$G$14,$M630,CJ$13)="",10^12,OFFSET(PLE!$G$14,$M630,CJ$13))))</f>
        <v>1000000000000</v>
      </c>
      <c r="CK630" s="182">
        <f ca="1">IF($D630&lt;&gt;"Serviço",0,IF(OR(AND(AUTOEVENTO="Manual",$M630=1),$M630&gt;(ROW(PLE.lastrow)-ROW(PLE.firstrow))),0,IF(OFFSET(PLE!$G$14,$M630,CK$13)="",10^12,OFFSET(PLE!$G$14,$M630,CK$13))))</f>
        <v>1000000000000</v>
      </c>
      <c r="CL630" s="182">
        <f ca="1">IF($D630&lt;&gt;"Serviço",0,IF(OR(AND(AUTOEVENTO="Manual",$M630=1),$M630&gt;(ROW(PLE.lastrow)-ROW(PLE.firstrow))),0,IF(OFFSET(PLE!$G$14,$M630,CL$13)="",10^12,OFFSET(PLE!$G$14,$M630,CL$13))))</f>
        <v>1000000000000</v>
      </c>
      <c r="CM630" s="182">
        <f ca="1">IF($D630&lt;&gt;"Serviço",0,IF(OR(AND(AUTOEVENTO="Manual",$M630=1),$M630&gt;(ROW(PLE.lastrow)-ROW(PLE.firstrow))),0,IF(OFFSET(PLE!$G$14,$M630,CM$13)="",10^12,OFFSET(PLE!$G$14,$M630,CM$13))))</f>
        <v>1000000000000</v>
      </c>
    </row>
    <row r="631" spans="1:91" ht="38.25" x14ac:dyDescent="0.2">
      <c r="A631" s="7" t="str">
        <f t="shared" ca="1" si="18"/>
        <v>613</v>
      </c>
      <c r="B631" s="7" t="str">
        <f ca="1">OFFSET(ORÇAMENTO!C$15,ROW(B631)-ROW(B$15),0)</f>
        <v>S</v>
      </c>
      <c r="C631" s="7" t="str">
        <f ca="1">OFFSET(ORÇAMENTO!L$15,ROW(C631)-ROW(C$15),0)</f>
        <v/>
      </c>
      <c r="D631" s="118" t="str">
        <f ca="1">OFFSET(ORÇAMENTO!N$15,ROW(D631)-ROW(D$15),0)</f>
        <v>Serviço</v>
      </c>
      <c r="E631" s="119" t="str">
        <f ca="1">OFFSET(ORÇAMENTO!O$15,ROW(E631)-ROW(E$15),0)</f>
        <v>-</v>
      </c>
      <c r="F631" s="172" t="str">
        <f ca="1">OFFSET(ORÇAMENTO!R$15,ROW(F631)-ROW(F$15),0)</f>
        <v>(abra o arquivo 'Referência 06-2024.xlsm)</v>
      </c>
      <c r="G631" s="173" t="str">
        <f ca="1">IF($D631&lt;&gt;"Serviço","",OFFSET(ORÇAMENTO!S$15,ROW(G631)-ROW(G$15),0))</f>
        <v>-</v>
      </c>
      <c r="H631" s="124">
        <f ca="1">IF($D631&lt;&gt;"Serviço",0,IF(ACOMPANHAMENTO="BM",ROUND(OFFSET(ORÇAMENTO!AJ$15,ROW(H631)-ROW(H$15),0),15-13*ORÇAMENTO!$AF$7),SUMPRODUCT(($Q$12:$AI$12&lt;&gt;"")*ROUND($Q631:$AI631,15-13*ORÇAMENTO!$AF$7))))</f>
        <v>23</v>
      </c>
      <c r="I631" s="561" t="s">
        <v>1107</v>
      </c>
      <c r="K631" s="174"/>
      <c r="L631" s="175" t="s">
        <v>255</v>
      </c>
      <c r="M631" s="176">
        <f ca="1">IF($D631&lt;&gt;"Serviço","",IF(AUTOEVENTO="manual",$A631,IF(ISERROR(MATCH($A631,$A$15:OFFSET($A631,-1,0),0)),MAX($M$15:OFFSET(M631,-1,0))+1,INDEX($M$15:OFFSET(M631,-1,0),MATCH($A631,$A$15:OFFSET($A631,-1,0),0)))))</f>
        <v>66</v>
      </c>
      <c r="N631" s="177" t="str">
        <f ca="1">IF($D631&lt;&gt;"Serviço","",IF(AUTOEVENTO="Manual",IF($A631=0,"&lt;-- defina o número do agrupador",OFFSET(EVENTOS!$D$14,$A631,0)),OFFSET($F$15,$A631,0)))</f>
        <v>INSTALAÇÕES DE CABEAMENTO ESTRUTURADO - ACESSÓRIOS</v>
      </c>
      <c r="O631" s="178"/>
      <c r="Q631" s="178">
        <v>23</v>
      </c>
      <c r="R631" s="179"/>
      <c r="S631" s="179"/>
      <c r="T631" s="179"/>
      <c r="U631" s="179"/>
      <c r="V631" s="179"/>
      <c r="W631" s="179"/>
      <c r="X631" s="179"/>
      <c r="Y631" s="179"/>
      <c r="Z631" s="180"/>
      <c r="AA631" s="179"/>
      <c r="AB631" s="179"/>
      <c r="AC631" s="179"/>
      <c r="AD631" s="179"/>
      <c r="AE631" s="179"/>
      <c r="AF631" s="179"/>
      <c r="AG631" s="179"/>
      <c r="AH631" s="180"/>
      <c r="AJ631" s="544">
        <f ca="1">IF(AND($D631="Serviço",AJ$12&lt;&gt;0,$H631&gt;0,OR(AUTOEVENTO&lt;&gt;"manual",$M631&lt;&gt;1)),
IF(Import.TipoArredondamento&lt;&gt;"TransfereGOV",
ROUND(OFFSET($P631,0,AJ$13),15-13*ORÇAMENTO!$AF$7)/$H631*OFFSET(ORÇAMENTO!$X$15,ROW(AJ631)-ROW(AJ$15),0),
ROUND(ROUND(OFFSET($P631,0,AJ$13),15-13*ORÇAMENTO!$AF$7)*OFFSET(ORÇAMENTO!$W$15,ROW(AJ631)-ROW(AJ$15),0),15-13*ORÇAMENTO!$AF$11)),0)</f>
        <v>0</v>
      </c>
      <c r="AK631" s="545">
        <f ca="1">IF(AND($D631="Serviço",AK$12&lt;&gt;0,$H631&gt;0,OR(AUTOEVENTO&lt;&gt;"manual",$M631&lt;&gt;1)),
IF(Import.TipoArredondamento&lt;&gt;"TransfereGOV",
ROUND(OFFSET($P631,0,AK$13),15-13*ORÇAMENTO!$AF$7)/$H631*OFFSET(ORÇAMENTO!$X$15,ROW(AK631)-ROW(AK$15),0),
ROUND(ROUND(OFFSET($P631,0,AK$13),15-13*ORÇAMENTO!$AF$7)*OFFSET(ORÇAMENTO!$W$15,ROW(AK631)-ROW(AK$15),0),15-13*ORÇAMENTO!$AF$11)),0)</f>
        <v>0</v>
      </c>
      <c r="AL631" s="545">
        <f ca="1">IF(AND($D631="Serviço",AL$12&lt;&gt;0,$H631&gt;0,OR(AUTOEVENTO&lt;&gt;"manual",$M631&lt;&gt;1)),
IF(Import.TipoArredondamento&lt;&gt;"TransfereGOV",
ROUND(OFFSET($P631,0,AL$13),15-13*ORÇAMENTO!$AF$7)/$H631*OFFSET(ORÇAMENTO!$X$15,ROW(AL631)-ROW(AL$15),0),
ROUND(ROUND(OFFSET($P631,0,AL$13),15-13*ORÇAMENTO!$AF$7)*OFFSET(ORÇAMENTO!$W$15,ROW(AL631)-ROW(AL$15),0),15-13*ORÇAMENTO!$AF$11)),0)</f>
        <v>0</v>
      </c>
      <c r="AM631" s="545">
        <f ca="1">IF(AND($D631="Serviço",AM$12&lt;&gt;0,$H631&gt;0,OR(AUTOEVENTO&lt;&gt;"manual",$M631&lt;&gt;1)),
IF(Import.TipoArredondamento&lt;&gt;"TransfereGOV",
ROUND(OFFSET($P631,0,AM$13),15-13*ORÇAMENTO!$AF$7)/$H631*OFFSET(ORÇAMENTO!$X$15,ROW(AM631)-ROW(AM$15),0),
ROUND(ROUND(OFFSET($P631,0,AM$13),15-13*ORÇAMENTO!$AF$7)*OFFSET(ORÇAMENTO!$W$15,ROW(AM631)-ROW(AM$15),0),15-13*ORÇAMENTO!$AF$11)),0)</f>
        <v>0</v>
      </c>
      <c r="AN631" s="545">
        <f ca="1">IF(AND($D631="Serviço",AN$12&lt;&gt;0,$H631&gt;0,OR(AUTOEVENTO&lt;&gt;"manual",$M631&lt;&gt;1)),
IF(Import.TipoArredondamento&lt;&gt;"TransfereGOV",
ROUND(OFFSET($P631,0,AN$13),15-13*ORÇAMENTO!$AF$7)/$H631*OFFSET(ORÇAMENTO!$X$15,ROW(AN631)-ROW(AN$15),0),
ROUND(ROUND(OFFSET($P631,0,AN$13),15-13*ORÇAMENTO!$AF$7)*OFFSET(ORÇAMENTO!$W$15,ROW(AN631)-ROW(AN$15),0),15-13*ORÇAMENTO!$AF$11)),0)</f>
        <v>0</v>
      </c>
      <c r="AO631" s="545">
        <f ca="1">IF(AND($D631="Serviço",AO$12&lt;&gt;0,$H631&gt;0,OR(AUTOEVENTO&lt;&gt;"manual",$M631&lt;&gt;1)),
IF(Import.TipoArredondamento&lt;&gt;"TransfereGOV",
ROUND(OFFSET($P631,0,AO$13),15-13*ORÇAMENTO!$AF$7)/$H631*OFFSET(ORÇAMENTO!$X$15,ROW(AO631)-ROW(AO$15),0),
ROUND(ROUND(OFFSET($P631,0,AO$13),15-13*ORÇAMENTO!$AF$7)*OFFSET(ORÇAMENTO!$W$15,ROW(AO631)-ROW(AO$15),0),15-13*ORÇAMENTO!$AF$11)),0)</f>
        <v>0</v>
      </c>
      <c r="AP631" s="545">
        <f ca="1">IF(AND($D631="Serviço",AP$12&lt;&gt;0,$H631&gt;0,OR(AUTOEVENTO&lt;&gt;"manual",$M631&lt;&gt;1)),
IF(Import.TipoArredondamento&lt;&gt;"TransfereGOV",
ROUND(OFFSET($P631,0,AP$13),15-13*ORÇAMENTO!$AF$7)/$H631*OFFSET(ORÇAMENTO!$X$15,ROW(AP631)-ROW(AP$15),0),
ROUND(ROUND(OFFSET($P631,0,AP$13),15-13*ORÇAMENTO!$AF$7)*OFFSET(ORÇAMENTO!$W$15,ROW(AP631)-ROW(AP$15),0),15-13*ORÇAMENTO!$AF$11)),0)</f>
        <v>0</v>
      </c>
      <c r="AQ631" s="545">
        <f ca="1">IF(AND($D631="Serviço",AQ$12&lt;&gt;0,$H631&gt;0,OR(AUTOEVENTO&lt;&gt;"manual",$M631&lt;&gt;1)),
IF(Import.TipoArredondamento&lt;&gt;"TransfereGOV",
ROUND(OFFSET($P631,0,AQ$13),15-13*ORÇAMENTO!$AF$7)/$H631*OFFSET(ORÇAMENTO!$X$15,ROW(AQ631)-ROW(AQ$15),0),
ROUND(ROUND(OFFSET($P631,0,AQ$13),15-13*ORÇAMENTO!$AF$7)*OFFSET(ORÇAMENTO!$W$15,ROW(AQ631)-ROW(AQ$15),0),15-13*ORÇAMENTO!$AF$11)),0)</f>
        <v>0</v>
      </c>
      <c r="AR631" s="545">
        <f ca="1">IF(AND($D631="Serviço",AR$12&lt;&gt;0,$H631&gt;0,OR(AUTOEVENTO&lt;&gt;"manual",$M631&lt;&gt;1)),
IF(Import.TipoArredondamento&lt;&gt;"TransfereGOV",
ROUND(OFFSET($P631,0,AR$13),15-13*ORÇAMENTO!$AF$7)/$H631*OFFSET(ORÇAMENTO!$X$15,ROW(AR631)-ROW(AR$15),0),
ROUND(ROUND(OFFSET($P631,0,AR$13),15-13*ORÇAMENTO!$AF$7)*OFFSET(ORÇAMENTO!$W$15,ROW(AR631)-ROW(AR$15),0),15-13*ORÇAMENTO!$AF$11)),0)</f>
        <v>0</v>
      </c>
      <c r="AS631" s="546">
        <f ca="1">IF(AND($D631="Serviço",AS$12&lt;&gt;0,$H631&gt;0,OR(AUTOEVENTO&lt;&gt;"manual",$M631&lt;&gt;1)),
IF(Import.TipoArredondamento&lt;&gt;"TransfereGOV",
ROUND(OFFSET($P631,0,AS$13),15-13*ORÇAMENTO!$AF$7)/$H631*OFFSET(ORÇAMENTO!$X$15,ROW(AS631)-ROW(AS$15),0),
ROUND(ROUND(OFFSET($P631,0,AS$13),15-13*ORÇAMENTO!$AF$7)*OFFSET(ORÇAMENTO!$W$15,ROW(AS631)-ROW(AS$15),0),15-13*ORÇAMENTO!$AF$11)),0)</f>
        <v>0</v>
      </c>
      <c r="AT631" s="545">
        <f ca="1">IF(AND($D631="Serviço",AT$12&lt;&gt;0,$H631&gt;0,OR(AUTOEVENTO&lt;&gt;"manual",$M631&lt;&gt;1)),
IF(Import.TipoArredondamento&lt;&gt;"TransfereGOV",
ROUND(OFFSET($P631,0,AT$13),15-13*ORÇAMENTO!$AF$7)/$H631*OFFSET(ORÇAMENTO!$X$15,ROW(AT631)-ROW(AT$15),0),
ROUND(ROUND(OFFSET($P631,0,AT$13),15-13*ORÇAMENTO!$AF$7)*OFFSET(ORÇAMENTO!$W$15,ROW(AT631)-ROW(AT$15),0),15-13*ORÇAMENTO!$AF$11)),0)</f>
        <v>0</v>
      </c>
      <c r="AU631" s="545">
        <f ca="1">IF(AND($D631="Serviço",AU$12&lt;&gt;0,$H631&gt;0,OR(AUTOEVENTO&lt;&gt;"manual",$M631&lt;&gt;1)),
IF(Import.TipoArredondamento&lt;&gt;"TransfereGOV",
ROUND(OFFSET($P631,0,AU$13),15-13*ORÇAMENTO!$AF$7)/$H631*OFFSET(ORÇAMENTO!$X$15,ROW(AU631)-ROW(AU$15),0),
ROUND(ROUND(OFFSET($P631,0,AU$13),15-13*ORÇAMENTO!$AF$7)*OFFSET(ORÇAMENTO!$W$15,ROW(AU631)-ROW(AU$15),0),15-13*ORÇAMENTO!$AF$11)),0)</f>
        <v>0</v>
      </c>
      <c r="AV631" s="545">
        <f ca="1">IF(AND($D631="Serviço",AV$12&lt;&gt;0,$H631&gt;0,OR(AUTOEVENTO&lt;&gt;"manual",$M631&lt;&gt;1)),
IF(Import.TipoArredondamento&lt;&gt;"TransfereGOV",
ROUND(OFFSET($P631,0,AV$13),15-13*ORÇAMENTO!$AF$7)/$H631*OFFSET(ORÇAMENTO!$X$15,ROW(AV631)-ROW(AV$15),0),
ROUND(ROUND(OFFSET($P631,0,AV$13),15-13*ORÇAMENTO!$AF$7)*OFFSET(ORÇAMENTO!$W$15,ROW(AV631)-ROW(AV$15),0),15-13*ORÇAMENTO!$AF$11)),0)</f>
        <v>0</v>
      </c>
      <c r="AW631" s="545">
        <f ca="1">IF(AND($D631="Serviço",AW$12&lt;&gt;0,$H631&gt;0,OR(AUTOEVENTO&lt;&gt;"manual",$M631&lt;&gt;1)),
IF(Import.TipoArredondamento&lt;&gt;"TransfereGOV",
ROUND(OFFSET($P631,0,AW$13),15-13*ORÇAMENTO!$AF$7)/$H631*OFFSET(ORÇAMENTO!$X$15,ROW(AW631)-ROW(AW$15),0),
ROUND(ROUND(OFFSET($P631,0,AW$13),15-13*ORÇAMENTO!$AF$7)*OFFSET(ORÇAMENTO!$W$15,ROW(AW631)-ROW(AW$15),0),15-13*ORÇAMENTO!$AF$11)),0)</f>
        <v>0</v>
      </c>
      <c r="AX631" s="545">
        <f ca="1">IF(AND($D631="Serviço",AX$12&lt;&gt;0,$H631&gt;0,OR(AUTOEVENTO&lt;&gt;"manual",$M631&lt;&gt;1)),
IF(Import.TipoArredondamento&lt;&gt;"TransfereGOV",
ROUND(OFFSET($P631,0,AX$13),15-13*ORÇAMENTO!$AF$7)/$H631*OFFSET(ORÇAMENTO!$X$15,ROW(AX631)-ROW(AX$15),0),
ROUND(ROUND(OFFSET($P631,0,AX$13),15-13*ORÇAMENTO!$AF$7)*OFFSET(ORÇAMENTO!$W$15,ROW(AX631)-ROW(AX$15),0),15-13*ORÇAMENTO!$AF$11)),0)</f>
        <v>0</v>
      </c>
      <c r="AY631" s="545">
        <f ca="1">IF(AND($D631="Serviço",AY$12&lt;&gt;0,$H631&gt;0,OR(AUTOEVENTO&lt;&gt;"manual",$M631&lt;&gt;1)),
IF(Import.TipoArredondamento&lt;&gt;"TransfereGOV",
ROUND(OFFSET($P631,0,AY$13),15-13*ORÇAMENTO!$AF$7)/$H631*OFFSET(ORÇAMENTO!$X$15,ROW(AY631)-ROW(AY$15),0),
ROUND(ROUND(OFFSET($P631,0,AY$13),15-13*ORÇAMENTO!$AF$7)*OFFSET(ORÇAMENTO!$W$15,ROW(AY631)-ROW(AY$15),0),15-13*ORÇAMENTO!$AF$11)),0)</f>
        <v>0</v>
      </c>
      <c r="AZ631" s="545">
        <f ca="1">IF(AND($D631="Serviço",AZ$12&lt;&gt;0,$H631&gt;0,OR(AUTOEVENTO&lt;&gt;"manual",$M631&lt;&gt;1)),
IF(Import.TipoArredondamento&lt;&gt;"TransfereGOV",
ROUND(OFFSET($P631,0,AZ$13),15-13*ORÇAMENTO!$AF$7)/$H631*OFFSET(ORÇAMENTO!$X$15,ROW(AZ631)-ROW(AZ$15),0),
ROUND(ROUND(OFFSET($P631,0,AZ$13),15-13*ORÇAMENTO!$AF$7)*OFFSET(ORÇAMENTO!$W$15,ROW(AZ631)-ROW(AZ$15),0),15-13*ORÇAMENTO!$AF$11)),0)</f>
        <v>0</v>
      </c>
      <c r="BA631" s="546">
        <f ca="1">IF(AND($D631="Serviço",BA$12&lt;&gt;0,$H631&gt;0,OR(AUTOEVENTO&lt;&gt;"manual",$M631&lt;&gt;1)),
IF(Import.TipoArredondamento&lt;&gt;"TransfereGOV",
ROUND(OFFSET($P631,0,BA$13),15-13*ORÇAMENTO!$AF$7)/$H631*OFFSET(ORÇAMENTO!$X$15,ROW(BA631)-ROW(BA$15),0),
ROUND(ROUND(OFFSET($P631,0,BA$13),15-13*ORÇAMENTO!$AF$7)*OFFSET(ORÇAMENTO!$W$15,ROW(BA631)-ROW(BA$15),0),15-13*ORÇAMENTO!$AF$11)),0)</f>
        <v>0</v>
      </c>
      <c r="BC631" s="181">
        <f ca="1">IF($D631&lt;&gt;"Serviço",0,IF(AND(AUTOEVENTO="Manual",$M631=1),0,IF(OFFSET(CRONOPLE!$F$14,$M631,BC$13)="",10^12,OFFSET(CRONOPLE!$F$14,$M631,BC$13))))</f>
        <v>11</v>
      </c>
      <c r="BD631" s="181">
        <f ca="1">IF($D631&lt;&gt;"Serviço",0,IF(AND(AUTOEVENTO="Manual",$M631=1),0,IF(OFFSET(CRONOPLE!$F$14,$M631,BD$13)="",10^12,OFFSET(CRONOPLE!$F$14,$M631,BD$13))))</f>
        <v>1000000000000</v>
      </c>
      <c r="BE631" s="181">
        <f ca="1">IF($D631&lt;&gt;"Serviço",0,IF(AND(AUTOEVENTO="Manual",$M631=1),0,IF(OFFSET(CRONOPLE!$F$14,$M631,BE$13)="",10^12,OFFSET(CRONOPLE!$F$14,$M631,BE$13))))</f>
        <v>1000000000000</v>
      </c>
      <c r="BF631" s="181">
        <f ca="1">IF($D631&lt;&gt;"Serviço",0,IF(AND(AUTOEVENTO="Manual",$M631=1),0,IF(OFFSET(CRONOPLE!$F$14,$M631,BF$13)="",10^12,OFFSET(CRONOPLE!$F$14,$M631,BF$13))))</f>
        <v>1000000000000</v>
      </c>
      <c r="BG631" s="181">
        <f ca="1">IF($D631&lt;&gt;"Serviço",0,IF(AND(AUTOEVENTO="Manual",$M631=1),0,IF(OFFSET(CRONOPLE!$F$14,$M631,BG$13)="",10^12,OFFSET(CRONOPLE!$F$14,$M631,BG$13))))</f>
        <v>1000000000000</v>
      </c>
      <c r="BH631" s="181">
        <f ca="1">IF($D631&lt;&gt;"Serviço",0,IF(AND(AUTOEVENTO="Manual",$M631=1),0,IF(OFFSET(CRONOPLE!$F$14,$M631,BH$13)="",10^12,OFFSET(CRONOPLE!$F$14,$M631,BH$13))))</f>
        <v>1000000000000</v>
      </c>
      <c r="BI631" s="181">
        <f ca="1">IF($D631&lt;&gt;"Serviço",0,IF(AND(AUTOEVENTO="Manual",$M631=1),0,IF(OFFSET(CRONOPLE!$F$14,$M631,BI$13)="",10^12,OFFSET(CRONOPLE!$F$14,$M631,BI$13))))</f>
        <v>1000000000000</v>
      </c>
      <c r="BJ631" s="181">
        <f ca="1">IF($D631&lt;&gt;"Serviço",0,IF(AND(AUTOEVENTO="Manual",$M631=1),0,IF(OFFSET(CRONOPLE!$F$14,$M631,BJ$13)="",10^12,OFFSET(CRONOPLE!$F$14,$M631,BJ$13))))</f>
        <v>1000000000000</v>
      </c>
      <c r="BK631" s="181">
        <f ca="1">IF($D631&lt;&gt;"Serviço",0,IF(AND(AUTOEVENTO="Manual",$M631=1),0,IF(OFFSET(CRONOPLE!$F$14,$M631,BK$13)="",10^12,OFFSET(CRONOPLE!$F$14,$M631,BK$13))))</f>
        <v>1000000000000</v>
      </c>
      <c r="BL631" s="181">
        <f ca="1">IF($D631&lt;&gt;"Serviço",0,IF(AND(AUTOEVENTO="Manual",$M631=1),0,IF(OFFSET(CRONOPLE!$F$14,$M631,BL$13)="",10^12,OFFSET(CRONOPLE!$F$14,$M631,BL$13))))</f>
        <v>1000000000000</v>
      </c>
      <c r="BM631" s="181">
        <f ca="1">IF($D631&lt;&gt;"Serviço",0,IF(AND(AUTOEVENTO="Manual",$M631=1),0,IF(OFFSET(CRONOPLE!$F$14,$M631,BM$13)="",10^12,OFFSET(CRONOPLE!$F$14,$M631,BM$13))))</f>
        <v>1000000000000</v>
      </c>
      <c r="BN631" s="181">
        <f ca="1">IF($D631&lt;&gt;"Serviço",0,IF(AND(AUTOEVENTO="Manual",$M631=1),0,IF(OFFSET(CRONOPLE!$F$14,$M631,BN$13)="",10^12,OFFSET(CRONOPLE!$F$14,$M631,BN$13))))</f>
        <v>1000000000000</v>
      </c>
      <c r="BO631" s="181">
        <f ca="1">IF($D631&lt;&gt;"Serviço",0,IF(AND(AUTOEVENTO="Manual",$M631=1),0,IF(OFFSET(CRONOPLE!$F$14,$M631,BO$13)="",10^12,OFFSET(CRONOPLE!$F$14,$M631,BO$13))))</f>
        <v>1000000000000</v>
      </c>
      <c r="BP631" s="181">
        <f ca="1">IF($D631&lt;&gt;"Serviço",0,IF(AND(AUTOEVENTO="Manual",$M631=1),0,IF(OFFSET(CRONOPLE!$F$14,$M631,BP$13)="",10^12,OFFSET(CRONOPLE!$F$14,$M631,BP$13))))</f>
        <v>1000000000000</v>
      </c>
      <c r="BQ631" s="181">
        <f ca="1">IF($D631&lt;&gt;"Serviço",0,IF(AND(AUTOEVENTO="Manual",$M631=1),0,IF(OFFSET(CRONOPLE!$F$14,$M631,BQ$13)="",10^12,OFFSET(CRONOPLE!$F$14,$M631,BQ$13))))</f>
        <v>1000000000000</v>
      </c>
      <c r="BR631" s="181">
        <f ca="1">IF($D631&lt;&gt;"Serviço",0,IF(AND(AUTOEVENTO="Manual",$M631=1),0,IF(OFFSET(CRONOPLE!$F$14,$M631,BR$13)="",10^12,OFFSET(CRONOPLE!$F$14,$M631,BR$13))))</f>
        <v>1000000000000</v>
      </c>
      <c r="BS631" s="181">
        <f ca="1">IF($D631&lt;&gt;"Serviço",0,IF(AND(AUTOEVENTO="Manual",$M631=1),0,IF(OFFSET(CRONOPLE!$F$14,$M631,BS$13)="",10^12,OFFSET(CRONOPLE!$F$14,$M631,BS$13))))</f>
        <v>1000000000000</v>
      </c>
      <c r="BT631" s="181">
        <f ca="1">IF($D631&lt;&gt;"Serviço",0,IF(AND(AUTOEVENTO="Manual",$M631=1),0,IF(OFFSET(CRONOPLE!$F$14,$M631,BT$13)="",10^12,OFFSET(CRONOPLE!$F$14,$M631,BT$13))))</f>
        <v>1000000000000</v>
      </c>
      <c r="BV631" s="182">
        <f ca="1">IF($D631&lt;&gt;"Serviço",0,IF(OR(AND(AUTOEVENTO="Manual",$M631=1),$M631&gt;(ROW(PLE.lastrow)-ROW(PLE.firstrow))),0,IF(OFFSET(PLE!$G$14,$M631,BV$13)="",10^12,OFFSET(PLE!$G$14,$M631,BV$13))))</f>
        <v>1000000000000</v>
      </c>
      <c r="BW631" s="182">
        <f ca="1">IF($D631&lt;&gt;"Serviço",0,IF(OR(AND(AUTOEVENTO="Manual",$M631=1),$M631&gt;(ROW(PLE.lastrow)-ROW(PLE.firstrow))),0,IF(OFFSET(PLE!$G$14,$M631,BW$13)="",10^12,OFFSET(PLE!$G$14,$M631,BW$13))))</f>
        <v>1000000000000</v>
      </c>
      <c r="BX631" s="182">
        <f ca="1">IF($D631&lt;&gt;"Serviço",0,IF(OR(AND(AUTOEVENTO="Manual",$M631=1),$M631&gt;(ROW(PLE.lastrow)-ROW(PLE.firstrow))),0,IF(OFFSET(PLE!$G$14,$M631,BX$13)="",10^12,OFFSET(PLE!$G$14,$M631,BX$13))))</f>
        <v>1000000000000</v>
      </c>
      <c r="BY631" s="182">
        <f ca="1">IF($D631&lt;&gt;"Serviço",0,IF(OR(AND(AUTOEVENTO="Manual",$M631=1),$M631&gt;(ROW(PLE.lastrow)-ROW(PLE.firstrow))),0,IF(OFFSET(PLE!$G$14,$M631,BY$13)="",10^12,OFFSET(PLE!$G$14,$M631,BY$13))))</f>
        <v>1000000000000</v>
      </c>
      <c r="BZ631" s="182">
        <f ca="1">IF($D631&lt;&gt;"Serviço",0,IF(OR(AND(AUTOEVENTO="Manual",$M631=1),$M631&gt;(ROW(PLE.lastrow)-ROW(PLE.firstrow))),0,IF(OFFSET(PLE!$G$14,$M631,BZ$13)="",10^12,OFFSET(PLE!$G$14,$M631,BZ$13))))</f>
        <v>1000000000000</v>
      </c>
      <c r="CA631" s="182">
        <f ca="1">IF($D631&lt;&gt;"Serviço",0,IF(OR(AND(AUTOEVENTO="Manual",$M631=1),$M631&gt;(ROW(PLE.lastrow)-ROW(PLE.firstrow))),0,IF(OFFSET(PLE!$G$14,$M631,CA$13)="",10^12,OFFSET(PLE!$G$14,$M631,CA$13))))</f>
        <v>1000000000000</v>
      </c>
      <c r="CB631" s="182">
        <f ca="1">IF($D631&lt;&gt;"Serviço",0,IF(OR(AND(AUTOEVENTO="Manual",$M631=1),$M631&gt;(ROW(PLE.lastrow)-ROW(PLE.firstrow))),0,IF(OFFSET(PLE!$G$14,$M631,CB$13)="",10^12,OFFSET(PLE!$G$14,$M631,CB$13))))</f>
        <v>1000000000000</v>
      </c>
      <c r="CC631" s="182">
        <f ca="1">IF($D631&lt;&gt;"Serviço",0,IF(OR(AND(AUTOEVENTO="Manual",$M631=1),$M631&gt;(ROW(PLE.lastrow)-ROW(PLE.firstrow))),0,IF(OFFSET(PLE!$G$14,$M631,CC$13)="",10^12,OFFSET(PLE!$G$14,$M631,CC$13))))</f>
        <v>1000000000000</v>
      </c>
      <c r="CD631" s="182">
        <f ca="1">IF($D631&lt;&gt;"Serviço",0,IF(OR(AND(AUTOEVENTO="Manual",$M631=1),$M631&gt;(ROW(PLE.lastrow)-ROW(PLE.firstrow))),0,IF(OFFSET(PLE!$G$14,$M631,CD$13)="",10^12,OFFSET(PLE!$G$14,$M631,CD$13))))</f>
        <v>1000000000000</v>
      </c>
      <c r="CE631" s="182">
        <f ca="1">IF($D631&lt;&gt;"Serviço",0,IF(OR(AND(AUTOEVENTO="Manual",$M631=1),$M631&gt;(ROW(PLE.lastrow)-ROW(PLE.firstrow))),0,IF(OFFSET(PLE!$G$14,$M631,CE$13)="",10^12,OFFSET(PLE!$G$14,$M631,CE$13))))</f>
        <v>1000000000000</v>
      </c>
      <c r="CF631" s="182">
        <f ca="1">IF($D631&lt;&gt;"Serviço",0,IF(OR(AND(AUTOEVENTO="Manual",$M631=1),$M631&gt;(ROW(PLE.lastrow)-ROW(PLE.firstrow))),0,IF(OFFSET(PLE!$G$14,$M631,CF$13)="",10^12,OFFSET(PLE!$G$14,$M631,CF$13))))</f>
        <v>1000000000000</v>
      </c>
      <c r="CG631" s="182">
        <f ca="1">IF($D631&lt;&gt;"Serviço",0,IF(OR(AND(AUTOEVENTO="Manual",$M631=1),$M631&gt;(ROW(PLE.lastrow)-ROW(PLE.firstrow))),0,IF(OFFSET(PLE!$G$14,$M631,CG$13)="",10^12,OFFSET(PLE!$G$14,$M631,CG$13))))</f>
        <v>1000000000000</v>
      </c>
      <c r="CH631" s="182">
        <f ca="1">IF($D631&lt;&gt;"Serviço",0,IF(OR(AND(AUTOEVENTO="Manual",$M631=1),$M631&gt;(ROW(PLE.lastrow)-ROW(PLE.firstrow))),0,IF(OFFSET(PLE!$G$14,$M631,CH$13)="",10^12,OFFSET(PLE!$G$14,$M631,CH$13))))</f>
        <v>1000000000000</v>
      </c>
      <c r="CI631" s="182">
        <f ca="1">IF($D631&lt;&gt;"Serviço",0,IF(OR(AND(AUTOEVENTO="Manual",$M631=1),$M631&gt;(ROW(PLE.lastrow)-ROW(PLE.firstrow))),0,IF(OFFSET(PLE!$G$14,$M631,CI$13)="",10^12,OFFSET(PLE!$G$14,$M631,CI$13))))</f>
        <v>1000000000000</v>
      </c>
      <c r="CJ631" s="182">
        <f ca="1">IF($D631&lt;&gt;"Serviço",0,IF(OR(AND(AUTOEVENTO="Manual",$M631=1),$M631&gt;(ROW(PLE.lastrow)-ROW(PLE.firstrow))),0,IF(OFFSET(PLE!$G$14,$M631,CJ$13)="",10^12,OFFSET(PLE!$G$14,$M631,CJ$13))))</f>
        <v>1000000000000</v>
      </c>
      <c r="CK631" s="182">
        <f ca="1">IF($D631&lt;&gt;"Serviço",0,IF(OR(AND(AUTOEVENTO="Manual",$M631=1),$M631&gt;(ROW(PLE.lastrow)-ROW(PLE.firstrow))),0,IF(OFFSET(PLE!$G$14,$M631,CK$13)="",10^12,OFFSET(PLE!$G$14,$M631,CK$13))))</f>
        <v>1000000000000</v>
      </c>
      <c r="CL631" s="182">
        <f ca="1">IF($D631&lt;&gt;"Serviço",0,IF(OR(AND(AUTOEVENTO="Manual",$M631=1),$M631&gt;(ROW(PLE.lastrow)-ROW(PLE.firstrow))),0,IF(OFFSET(PLE!$G$14,$M631,CL$13)="",10^12,OFFSET(PLE!$G$14,$M631,CL$13))))</f>
        <v>1000000000000</v>
      </c>
      <c r="CM631" s="182">
        <f ca="1">IF($D631&lt;&gt;"Serviço",0,IF(OR(AND(AUTOEVENTO="Manual",$M631=1),$M631&gt;(ROW(PLE.lastrow)-ROW(PLE.firstrow))),0,IF(OFFSET(PLE!$G$14,$M631,CM$13)="",10^12,OFFSET(PLE!$G$14,$M631,CM$13))))</f>
        <v>1000000000000</v>
      </c>
    </row>
    <row r="632" spans="1:91" ht="38.25" x14ac:dyDescent="0.2">
      <c r="A632" s="7" t="str">
        <f t="shared" ca="1" si="18"/>
        <v>613</v>
      </c>
      <c r="B632" s="7" t="str">
        <f ca="1">OFFSET(ORÇAMENTO!C$15,ROW(B632)-ROW(B$15),0)</f>
        <v>S</v>
      </c>
      <c r="C632" s="7" t="str">
        <f ca="1">OFFSET(ORÇAMENTO!L$15,ROW(C632)-ROW(C$15),0)</f>
        <v/>
      </c>
      <c r="D632" s="118" t="str">
        <f ca="1">OFFSET(ORÇAMENTO!N$15,ROW(D632)-ROW(D$15),0)</f>
        <v>Serviço</v>
      </c>
      <c r="E632" s="119" t="str">
        <f ca="1">OFFSET(ORÇAMENTO!O$15,ROW(E632)-ROW(E$15),0)</f>
        <v>-</v>
      </c>
      <c r="F632" s="172" t="str">
        <f ca="1">OFFSET(ORÇAMENTO!R$15,ROW(F632)-ROW(F$15),0)</f>
        <v>(abra o arquivo 'Referência 06-2024.xlsm)</v>
      </c>
      <c r="G632" s="173" t="str">
        <f ca="1">IF($D632&lt;&gt;"Serviço","",OFFSET(ORÇAMENTO!S$15,ROW(G632)-ROW(G$15),0))</f>
        <v>-</v>
      </c>
      <c r="H632" s="124">
        <f ca="1">IF($D632&lt;&gt;"Serviço",0,IF(ACOMPANHAMENTO="BM",ROUND(OFFSET(ORÇAMENTO!AJ$15,ROW(H632)-ROW(H$15),0),15-13*ORÇAMENTO!$AF$7),SUMPRODUCT(($Q$12:$AI$12&lt;&gt;"")*ROUND($Q632:$AI632,15-13*ORÇAMENTO!$AF$7))))</f>
        <v>481</v>
      </c>
      <c r="I632" s="561" t="s">
        <v>1107</v>
      </c>
      <c r="K632" s="174"/>
      <c r="L632" s="175" t="s">
        <v>255</v>
      </c>
      <c r="M632" s="176">
        <f ca="1">IF($D632&lt;&gt;"Serviço","",IF(AUTOEVENTO="manual",$A632,IF(ISERROR(MATCH($A632,$A$15:OFFSET($A632,-1,0),0)),MAX($M$15:OFFSET(M632,-1,0))+1,INDEX($M$15:OFFSET(M632,-1,0),MATCH($A632,$A$15:OFFSET($A632,-1,0),0)))))</f>
        <v>66</v>
      </c>
      <c r="N632" s="177" t="str">
        <f ca="1">IF($D632&lt;&gt;"Serviço","",IF(AUTOEVENTO="Manual",IF($A632=0,"&lt;-- defina o número do agrupador",OFFSET(EVENTOS!$D$14,$A632,0)),OFFSET($F$15,$A632,0)))</f>
        <v>INSTALAÇÕES DE CABEAMENTO ESTRUTURADO - ACESSÓRIOS</v>
      </c>
      <c r="O632" s="178"/>
      <c r="Q632" s="178">
        <v>481</v>
      </c>
      <c r="R632" s="179"/>
      <c r="S632" s="179"/>
      <c r="T632" s="179"/>
      <c r="U632" s="179"/>
      <c r="V632" s="179"/>
      <c r="W632" s="179"/>
      <c r="X632" s="179"/>
      <c r="Y632" s="179"/>
      <c r="Z632" s="180"/>
      <c r="AA632" s="179"/>
      <c r="AB632" s="179"/>
      <c r="AC632" s="179"/>
      <c r="AD632" s="179"/>
      <c r="AE632" s="179"/>
      <c r="AF632" s="179"/>
      <c r="AG632" s="179"/>
      <c r="AH632" s="180"/>
      <c r="AJ632" s="544">
        <f ca="1">IF(AND($D632="Serviço",AJ$12&lt;&gt;0,$H632&gt;0,OR(AUTOEVENTO&lt;&gt;"manual",$M632&lt;&gt;1)),
IF(Import.TipoArredondamento&lt;&gt;"TransfereGOV",
ROUND(OFFSET($P632,0,AJ$13),15-13*ORÇAMENTO!$AF$7)/$H632*OFFSET(ORÇAMENTO!$X$15,ROW(AJ632)-ROW(AJ$15),0),
ROUND(ROUND(OFFSET($P632,0,AJ$13),15-13*ORÇAMENTO!$AF$7)*OFFSET(ORÇAMENTO!$W$15,ROW(AJ632)-ROW(AJ$15),0),15-13*ORÇAMENTO!$AF$11)),0)</f>
        <v>0</v>
      </c>
      <c r="AK632" s="545">
        <f ca="1">IF(AND($D632="Serviço",AK$12&lt;&gt;0,$H632&gt;0,OR(AUTOEVENTO&lt;&gt;"manual",$M632&lt;&gt;1)),
IF(Import.TipoArredondamento&lt;&gt;"TransfereGOV",
ROUND(OFFSET($P632,0,AK$13),15-13*ORÇAMENTO!$AF$7)/$H632*OFFSET(ORÇAMENTO!$X$15,ROW(AK632)-ROW(AK$15),0),
ROUND(ROUND(OFFSET($P632,0,AK$13),15-13*ORÇAMENTO!$AF$7)*OFFSET(ORÇAMENTO!$W$15,ROW(AK632)-ROW(AK$15),0),15-13*ORÇAMENTO!$AF$11)),0)</f>
        <v>0</v>
      </c>
      <c r="AL632" s="545">
        <f ca="1">IF(AND($D632="Serviço",AL$12&lt;&gt;0,$H632&gt;0,OR(AUTOEVENTO&lt;&gt;"manual",$M632&lt;&gt;1)),
IF(Import.TipoArredondamento&lt;&gt;"TransfereGOV",
ROUND(OFFSET($P632,0,AL$13),15-13*ORÇAMENTO!$AF$7)/$H632*OFFSET(ORÇAMENTO!$X$15,ROW(AL632)-ROW(AL$15),0),
ROUND(ROUND(OFFSET($P632,0,AL$13),15-13*ORÇAMENTO!$AF$7)*OFFSET(ORÇAMENTO!$W$15,ROW(AL632)-ROW(AL$15),0),15-13*ORÇAMENTO!$AF$11)),0)</f>
        <v>0</v>
      </c>
      <c r="AM632" s="545">
        <f ca="1">IF(AND($D632="Serviço",AM$12&lt;&gt;0,$H632&gt;0,OR(AUTOEVENTO&lt;&gt;"manual",$M632&lt;&gt;1)),
IF(Import.TipoArredondamento&lt;&gt;"TransfereGOV",
ROUND(OFFSET($P632,0,AM$13),15-13*ORÇAMENTO!$AF$7)/$H632*OFFSET(ORÇAMENTO!$X$15,ROW(AM632)-ROW(AM$15),0),
ROUND(ROUND(OFFSET($P632,0,AM$13),15-13*ORÇAMENTO!$AF$7)*OFFSET(ORÇAMENTO!$W$15,ROW(AM632)-ROW(AM$15),0),15-13*ORÇAMENTO!$AF$11)),0)</f>
        <v>0</v>
      </c>
      <c r="AN632" s="545">
        <f ca="1">IF(AND($D632="Serviço",AN$12&lt;&gt;0,$H632&gt;0,OR(AUTOEVENTO&lt;&gt;"manual",$M632&lt;&gt;1)),
IF(Import.TipoArredondamento&lt;&gt;"TransfereGOV",
ROUND(OFFSET($P632,0,AN$13),15-13*ORÇAMENTO!$AF$7)/$H632*OFFSET(ORÇAMENTO!$X$15,ROW(AN632)-ROW(AN$15),0),
ROUND(ROUND(OFFSET($P632,0,AN$13),15-13*ORÇAMENTO!$AF$7)*OFFSET(ORÇAMENTO!$W$15,ROW(AN632)-ROW(AN$15),0),15-13*ORÇAMENTO!$AF$11)),0)</f>
        <v>0</v>
      </c>
      <c r="AO632" s="545">
        <f ca="1">IF(AND($D632="Serviço",AO$12&lt;&gt;0,$H632&gt;0,OR(AUTOEVENTO&lt;&gt;"manual",$M632&lt;&gt;1)),
IF(Import.TipoArredondamento&lt;&gt;"TransfereGOV",
ROUND(OFFSET($P632,0,AO$13),15-13*ORÇAMENTO!$AF$7)/$H632*OFFSET(ORÇAMENTO!$X$15,ROW(AO632)-ROW(AO$15),0),
ROUND(ROUND(OFFSET($P632,0,AO$13),15-13*ORÇAMENTO!$AF$7)*OFFSET(ORÇAMENTO!$W$15,ROW(AO632)-ROW(AO$15),0),15-13*ORÇAMENTO!$AF$11)),0)</f>
        <v>0</v>
      </c>
      <c r="AP632" s="545">
        <f ca="1">IF(AND($D632="Serviço",AP$12&lt;&gt;0,$H632&gt;0,OR(AUTOEVENTO&lt;&gt;"manual",$M632&lt;&gt;1)),
IF(Import.TipoArredondamento&lt;&gt;"TransfereGOV",
ROUND(OFFSET($P632,0,AP$13),15-13*ORÇAMENTO!$AF$7)/$H632*OFFSET(ORÇAMENTO!$X$15,ROW(AP632)-ROW(AP$15),0),
ROUND(ROUND(OFFSET($P632,0,AP$13),15-13*ORÇAMENTO!$AF$7)*OFFSET(ORÇAMENTO!$W$15,ROW(AP632)-ROW(AP$15),0),15-13*ORÇAMENTO!$AF$11)),0)</f>
        <v>0</v>
      </c>
      <c r="AQ632" s="545">
        <f ca="1">IF(AND($D632="Serviço",AQ$12&lt;&gt;0,$H632&gt;0,OR(AUTOEVENTO&lt;&gt;"manual",$M632&lt;&gt;1)),
IF(Import.TipoArredondamento&lt;&gt;"TransfereGOV",
ROUND(OFFSET($P632,0,AQ$13),15-13*ORÇAMENTO!$AF$7)/$H632*OFFSET(ORÇAMENTO!$X$15,ROW(AQ632)-ROW(AQ$15),0),
ROUND(ROUND(OFFSET($P632,0,AQ$13),15-13*ORÇAMENTO!$AF$7)*OFFSET(ORÇAMENTO!$W$15,ROW(AQ632)-ROW(AQ$15),0),15-13*ORÇAMENTO!$AF$11)),0)</f>
        <v>0</v>
      </c>
      <c r="AR632" s="545">
        <f ca="1">IF(AND($D632="Serviço",AR$12&lt;&gt;0,$H632&gt;0,OR(AUTOEVENTO&lt;&gt;"manual",$M632&lt;&gt;1)),
IF(Import.TipoArredondamento&lt;&gt;"TransfereGOV",
ROUND(OFFSET($P632,0,AR$13),15-13*ORÇAMENTO!$AF$7)/$H632*OFFSET(ORÇAMENTO!$X$15,ROW(AR632)-ROW(AR$15),0),
ROUND(ROUND(OFFSET($P632,0,AR$13),15-13*ORÇAMENTO!$AF$7)*OFFSET(ORÇAMENTO!$W$15,ROW(AR632)-ROW(AR$15),0),15-13*ORÇAMENTO!$AF$11)),0)</f>
        <v>0</v>
      </c>
      <c r="AS632" s="546">
        <f ca="1">IF(AND($D632="Serviço",AS$12&lt;&gt;0,$H632&gt;0,OR(AUTOEVENTO&lt;&gt;"manual",$M632&lt;&gt;1)),
IF(Import.TipoArredondamento&lt;&gt;"TransfereGOV",
ROUND(OFFSET($P632,0,AS$13),15-13*ORÇAMENTO!$AF$7)/$H632*OFFSET(ORÇAMENTO!$X$15,ROW(AS632)-ROW(AS$15),0),
ROUND(ROUND(OFFSET($P632,0,AS$13),15-13*ORÇAMENTO!$AF$7)*OFFSET(ORÇAMENTO!$W$15,ROW(AS632)-ROW(AS$15),0),15-13*ORÇAMENTO!$AF$11)),0)</f>
        <v>0</v>
      </c>
      <c r="AT632" s="545">
        <f ca="1">IF(AND($D632="Serviço",AT$12&lt;&gt;0,$H632&gt;0,OR(AUTOEVENTO&lt;&gt;"manual",$M632&lt;&gt;1)),
IF(Import.TipoArredondamento&lt;&gt;"TransfereGOV",
ROUND(OFFSET($P632,0,AT$13),15-13*ORÇAMENTO!$AF$7)/$H632*OFFSET(ORÇAMENTO!$X$15,ROW(AT632)-ROW(AT$15),0),
ROUND(ROUND(OFFSET($P632,0,AT$13),15-13*ORÇAMENTO!$AF$7)*OFFSET(ORÇAMENTO!$W$15,ROW(AT632)-ROW(AT$15),0),15-13*ORÇAMENTO!$AF$11)),0)</f>
        <v>0</v>
      </c>
      <c r="AU632" s="545">
        <f ca="1">IF(AND($D632="Serviço",AU$12&lt;&gt;0,$H632&gt;0,OR(AUTOEVENTO&lt;&gt;"manual",$M632&lt;&gt;1)),
IF(Import.TipoArredondamento&lt;&gt;"TransfereGOV",
ROUND(OFFSET($P632,0,AU$13),15-13*ORÇAMENTO!$AF$7)/$H632*OFFSET(ORÇAMENTO!$X$15,ROW(AU632)-ROW(AU$15),0),
ROUND(ROUND(OFFSET($P632,0,AU$13),15-13*ORÇAMENTO!$AF$7)*OFFSET(ORÇAMENTO!$W$15,ROW(AU632)-ROW(AU$15),0),15-13*ORÇAMENTO!$AF$11)),0)</f>
        <v>0</v>
      </c>
      <c r="AV632" s="545">
        <f ca="1">IF(AND($D632="Serviço",AV$12&lt;&gt;0,$H632&gt;0,OR(AUTOEVENTO&lt;&gt;"manual",$M632&lt;&gt;1)),
IF(Import.TipoArredondamento&lt;&gt;"TransfereGOV",
ROUND(OFFSET($P632,0,AV$13),15-13*ORÇAMENTO!$AF$7)/$H632*OFFSET(ORÇAMENTO!$X$15,ROW(AV632)-ROW(AV$15),0),
ROUND(ROUND(OFFSET($P632,0,AV$13),15-13*ORÇAMENTO!$AF$7)*OFFSET(ORÇAMENTO!$W$15,ROW(AV632)-ROW(AV$15),0),15-13*ORÇAMENTO!$AF$11)),0)</f>
        <v>0</v>
      </c>
      <c r="AW632" s="545">
        <f ca="1">IF(AND($D632="Serviço",AW$12&lt;&gt;0,$H632&gt;0,OR(AUTOEVENTO&lt;&gt;"manual",$M632&lt;&gt;1)),
IF(Import.TipoArredondamento&lt;&gt;"TransfereGOV",
ROUND(OFFSET($P632,0,AW$13),15-13*ORÇAMENTO!$AF$7)/$H632*OFFSET(ORÇAMENTO!$X$15,ROW(AW632)-ROW(AW$15),0),
ROUND(ROUND(OFFSET($P632,0,AW$13),15-13*ORÇAMENTO!$AF$7)*OFFSET(ORÇAMENTO!$W$15,ROW(AW632)-ROW(AW$15),0),15-13*ORÇAMENTO!$AF$11)),0)</f>
        <v>0</v>
      </c>
      <c r="AX632" s="545">
        <f ca="1">IF(AND($D632="Serviço",AX$12&lt;&gt;0,$H632&gt;0,OR(AUTOEVENTO&lt;&gt;"manual",$M632&lt;&gt;1)),
IF(Import.TipoArredondamento&lt;&gt;"TransfereGOV",
ROUND(OFFSET($P632,0,AX$13),15-13*ORÇAMENTO!$AF$7)/$H632*OFFSET(ORÇAMENTO!$X$15,ROW(AX632)-ROW(AX$15),0),
ROUND(ROUND(OFFSET($P632,0,AX$13),15-13*ORÇAMENTO!$AF$7)*OFFSET(ORÇAMENTO!$W$15,ROW(AX632)-ROW(AX$15),0),15-13*ORÇAMENTO!$AF$11)),0)</f>
        <v>0</v>
      </c>
      <c r="AY632" s="545">
        <f ca="1">IF(AND($D632="Serviço",AY$12&lt;&gt;0,$H632&gt;0,OR(AUTOEVENTO&lt;&gt;"manual",$M632&lt;&gt;1)),
IF(Import.TipoArredondamento&lt;&gt;"TransfereGOV",
ROUND(OFFSET($P632,0,AY$13),15-13*ORÇAMENTO!$AF$7)/$H632*OFFSET(ORÇAMENTO!$X$15,ROW(AY632)-ROW(AY$15),0),
ROUND(ROUND(OFFSET($P632,0,AY$13),15-13*ORÇAMENTO!$AF$7)*OFFSET(ORÇAMENTO!$W$15,ROW(AY632)-ROW(AY$15),0),15-13*ORÇAMENTO!$AF$11)),0)</f>
        <v>0</v>
      </c>
      <c r="AZ632" s="545">
        <f ca="1">IF(AND($D632="Serviço",AZ$12&lt;&gt;0,$H632&gt;0,OR(AUTOEVENTO&lt;&gt;"manual",$M632&lt;&gt;1)),
IF(Import.TipoArredondamento&lt;&gt;"TransfereGOV",
ROUND(OFFSET($P632,0,AZ$13),15-13*ORÇAMENTO!$AF$7)/$H632*OFFSET(ORÇAMENTO!$X$15,ROW(AZ632)-ROW(AZ$15),0),
ROUND(ROUND(OFFSET($P632,0,AZ$13),15-13*ORÇAMENTO!$AF$7)*OFFSET(ORÇAMENTO!$W$15,ROW(AZ632)-ROW(AZ$15),0),15-13*ORÇAMENTO!$AF$11)),0)</f>
        <v>0</v>
      </c>
      <c r="BA632" s="546">
        <f ca="1">IF(AND($D632="Serviço",BA$12&lt;&gt;0,$H632&gt;0,OR(AUTOEVENTO&lt;&gt;"manual",$M632&lt;&gt;1)),
IF(Import.TipoArredondamento&lt;&gt;"TransfereGOV",
ROUND(OFFSET($P632,0,BA$13),15-13*ORÇAMENTO!$AF$7)/$H632*OFFSET(ORÇAMENTO!$X$15,ROW(BA632)-ROW(BA$15),0),
ROUND(ROUND(OFFSET($P632,0,BA$13),15-13*ORÇAMENTO!$AF$7)*OFFSET(ORÇAMENTO!$W$15,ROW(BA632)-ROW(BA$15),0),15-13*ORÇAMENTO!$AF$11)),0)</f>
        <v>0</v>
      </c>
      <c r="BC632" s="181">
        <f ca="1">IF($D632&lt;&gt;"Serviço",0,IF(AND(AUTOEVENTO="Manual",$M632=1),0,IF(OFFSET(CRONOPLE!$F$14,$M632,BC$13)="",10^12,OFFSET(CRONOPLE!$F$14,$M632,BC$13))))</f>
        <v>11</v>
      </c>
      <c r="BD632" s="181">
        <f ca="1">IF($D632&lt;&gt;"Serviço",0,IF(AND(AUTOEVENTO="Manual",$M632=1),0,IF(OFFSET(CRONOPLE!$F$14,$M632,BD$13)="",10^12,OFFSET(CRONOPLE!$F$14,$M632,BD$13))))</f>
        <v>1000000000000</v>
      </c>
      <c r="BE632" s="181">
        <f ca="1">IF($D632&lt;&gt;"Serviço",0,IF(AND(AUTOEVENTO="Manual",$M632=1),0,IF(OFFSET(CRONOPLE!$F$14,$M632,BE$13)="",10^12,OFFSET(CRONOPLE!$F$14,$M632,BE$13))))</f>
        <v>1000000000000</v>
      </c>
      <c r="BF632" s="181">
        <f ca="1">IF($D632&lt;&gt;"Serviço",0,IF(AND(AUTOEVENTO="Manual",$M632=1),0,IF(OFFSET(CRONOPLE!$F$14,$M632,BF$13)="",10^12,OFFSET(CRONOPLE!$F$14,$M632,BF$13))))</f>
        <v>1000000000000</v>
      </c>
      <c r="BG632" s="181">
        <f ca="1">IF($D632&lt;&gt;"Serviço",0,IF(AND(AUTOEVENTO="Manual",$M632=1),0,IF(OFFSET(CRONOPLE!$F$14,$M632,BG$13)="",10^12,OFFSET(CRONOPLE!$F$14,$M632,BG$13))))</f>
        <v>1000000000000</v>
      </c>
      <c r="BH632" s="181">
        <f ca="1">IF($D632&lt;&gt;"Serviço",0,IF(AND(AUTOEVENTO="Manual",$M632=1),0,IF(OFFSET(CRONOPLE!$F$14,$M632,BH$13)="",10^12,OFFSET(CRONOPLE!$F$14,$M632,BH$13))))</f>
        <v>1000000000000</v>
      </c>
      <c r="BI632" s="181">
        <f ca="1">IF($D632&lt;&gt;"Serviço",0,IF(AND(AUTOEVENTO="Manual",$M632=1),0,IF(OFFSET(CRONOPLE!$F$14,$M632,BI$13)="",10^12,OFFSET(CRONOPLE!$F$14,$M632,BI$13))))</f>
        <v>1000000000000</v>
      </c>
      <c r="BJ632" s="181">
        <f ca="1">IF($D632&lt;&gt;"Serviço",0,IF(AND(AUTOEVENTO="Manual",$M632=1),0,IF(OFFSET(CRONOPLE!$F$14,$M632,BJ$13)="",10^12,OFFSET(CRONOPLE!$F$14,$M632,BJ$13))))</f>
        <v>1000000000000</v>
      </c>
      <c r="BK632" s="181">
        <f ca="1">IF($D632&lt;&gt;"Serviço",0,IF(AND(AUTOEVENTO="Manual",$M632=1),0,IF(OFFSET(CRONOPLE!$F$14,$M632,BK$13)="",10^12,OFFSET(CRONOPLE!$F$14,$M632,BK$13))))</f>
        <v>1000000000000</v>
      </c>
      <c r="BL632" s="181">
        <f ca="1">IF($D632&lt;&gt;"Serviço",0,IF(AND(AUTOEVENTO="Manual",$M632=1),0,IF(OFFSET(CRONOPLE!$F$14,$M632,BL$13)="",10^12,OFFSET(CRONOPLE!$F$14,$M632,BL$13))))</f>
        <v>1000000000000</v>
      </c>
      <c r="BM632" s="181">
        <f ca="1">IF($D632&lt;&gt;"Serviço",0,IF(AND(AUTOEVENTO="Manual",$M632=1),0,IF(OFFSET(CRONOPLE!$F$14,$M632,BM$13)="",10^12,OFFSET(CRONOPLE!$F$14,$M632,BM$13))))</f>
        <v>1000000000000</v>
      </c>
      <c r="BN632" s="181">
        <f ca="1">IF($D632&lt;&gt;"Serviço",0,IF(AND(AUTOEVENTO="Manual",$M632=1),0,IF(OFFSET(CRONOPLE!$F$14,$M632,BN$13)="",10^12,OFFSET(CRONOPLE!$F$14,$M632,BN$13))))</f>
        <v>1000000000000</v>
      </c>
      <c r="BO632" s="181">
        <f ca="1">IF($D632&lt;&gt;"Serviço",0,IF(AND(AUTOEVENTO="Manual",$M632=1),0,IF(OFFSET(CRONOPLE!$F$14,$M632,BO$13)="",10^12,OFFSET(CRONOPLE!$F$14,$M632,BO$13))))</f>
        <v>1000000000000</v>
      </c>
      <c r="BP632" s="181">
        <f ca="1">IF($D632&lt;&gt;"Serviço",0,IF(AND(AUTOEVENTO="Manual",$M632=1),0,IF(OFFSET(CRONOPLE!$F$14,$M632,BP$13)="",10^12,OFFSET(CRONOPLE!$F$14,$M632,BP$13))))</f>
        <v>1000000000000</v>
      </c>
      <c r="BQ632" s="181">
        <f ca="1">IF($D632&lt;&gt;"Serviço",0,IF(AND(AUTOEVENTO="Manual",$M632=1),0,IF(OFFSET(CRONOPLE!$F$14,$M632,BQ$13)="",10^12,OFFSET(CRONOPLE!$F$14,$M632,BQ$13))))</f>
        <v>1000000000000</v>
      </c>
      <c r="BR632" s="181">
        <f ca="1">IF($D632&lt;&gt;"Serviço",0,IF(AND(AUTOEVENTO="Manual",$M632=1),0,IF(OFFSET(CRONOPLE!$F$14,$M632,BR$13)="",10^12,OFFSET(CRONOPLE!$F$14,$M632,BR$13))))</f>
        <v>1000000000000</v>
      </c>
      <c r="BS632" s="181">
        <f ca="1">IF($D632&lt;&gt;"Serviço",0,IF(AND(AUTOEVENTO="Manual",$M632=1),0,IF(OFFSET(CRONOPLE!$F$14,$M632,BS$13)="",10^12,OFFSET(CRONOPLE!$F$14,$M632,BS$13))))</f>
        <v>1000000000000</v>
      </c>
      <c r="BT632" s="181">
        <f ca="1">IF($D632&lt;&gt;"Serviço",0,IF(AND(AUTOEVENTO="Manual",$M632=1),0,IF(OFFSET(CRONOPLE!$F$14,$M632,BT$13)="",10^12,OFFSET(CRONOPLE!$F$14,$M632,BT$13))))</f>
        <v>1000000000000</v>
      </c>
      <c r="BV632" s="182">
        <f ca="1">IF($D632&lt;&gt;"Serviço",0,IF(OR(AND(AUTOEVENTO="Manual",$M632=1),$M632&gt;(ROW(PLE.lastrow)-ROW(PLE.firstrow))),0,IF(OFFSET(PLE!$G$14,$M632,BV$13)="",10^12,OFFSET(PLE!$G$14,$M632,BV$13))))</f>
        <v>1000000000000</v>
      </c>
      <c r="BW632" s="182">
        <f ca="1">IF($D632&lt;&gt;"Serviço",0,IF(OR(AND(AUTOEVENTO="Manual",$M632=1),$M632&gt;(ROW(PLE.lastrow)-ROW(PLE.firstrow))),0,IF(OFFSET(PLE!$G$14,$M632,BW$13)="",10^12,OFFSET(PLE!$G$14,$M632,BW$13))))</f>
        <v>1000000000000</v>
      </c>
      <c r="BX632" s="182">
        <f ca="1">IF($D632&lt;&gt;"Serviço",0,IF(OR(AND(AUTOEVENTO="Manual",$M632=1),$M632&gt;(ROW(PLE.lastrow)-ROW(PLE.firstrow))),0,IF(OFFSET(PLE!$G$14,$M632,BX$13)="",10^12,OFFSET(PLE!$G$14,$M632,BX$13))))</f>
        <v>1000000000000</v>
      </c>
      <c r="BY632" s="182">
        <f ca="1">IF($D632&lt;&gt;"Serviço",0,IF(OR(AND(AUTOEVENTO="Manual",$M632=1),$M632&gt;(ROW(PLE.lastrow)-ROW(PLE.firstrow))),0,IF(OFFSET(PLE!$G$14,$M632,BY$13)="",10^12,OFFSET(PLE!$G$14,$M632,BY$13))))</f>
        <v>1000000000000</v>
      </c>
      <c r="BZ632" s="182">
        <f ca="1">IF($D632&lt;&gt;"Serviço",0,IF(OR(AND(AUTOEVENTO="Manual",$M632=1),$M632&gt;(ROW(PLE.lastrow)-ROW(PLE.firstrow))),0,IF(OFFSET(PLE!$G$14,$M632,BZ$13)="",10^12,OFFSET(PLE!$G$14,$M632,BZ$13))))</f>
        <v>1000000000000</v>
      </c>
      <c r="CA632" s="182">
        <f ca="1">IF($D632&lt;&gt;"Serviço",0,IF(OR(AND(AUTOEVENTO="Manual",$M632=1),$M632&gt;(ROW(PLE.lastrow)-ROW(PLE.firstrow))),0,IF(OFFSET(PLE!$G$14,$M632,CA$13)="",10^12,OFFSET(PLE!$G$14,$M632,CA$13))))</f>
        <v>1000000000000</v>
      </c>
      <c r="CB632" s="182">
        <f ca="1">IF($D632&lt;&gt;"Serviço",0,IF(OR(AND(AUTOEVENTO="Manual",$M632=1),$M632&gt;(ROW(PLE.lastrow)-ROW(PLE.firstrow))),0,IF(OFFSET(PLE!$G$14,$M632,CB$13)="",10^12,OFFSET(PLE!$G$14,$M632,CB$13))))</f>
        <v>1000000000000</v>
      </c>
      <c r="CC632" s="182">
        <f ca="1">IF($D632&lt;&gt;"Serviço",0,IF(OR(AND(AUTOEVENTO="Manual",$M632=1),$M632&gt;(ROW(PLE.lastrow)-ROW(PLE.firstrow))),0,IF(OFFSET(PLE!$G$14,$M632,CC$13)="",10^12,OFFSET(PLE!$G$14,$M632,CC$13))))</f>
        <v>1000000000000</v>
      </c>
      <c r="CD632" s="182">
        <f ca="1">IF($D632&lt;&gt;"Serviço",0,IF(OR(AND(AUTOEVENTO="Manual",$M632=1),$M632&gt;(ROW(PLE.lastrow)-ROW(PLE.firstrow))),0,IF(OFFSET(PLE!$G$14,$M632,CD$13)="",10^12,OFFSET(PLE!$G$14,$M632,CD$13))))</f>
        <v>1000000000000</v>
      </c>
      <c r="CE632" s="182">
        <f ca="1">IF($D632&lt;&gt;"Serviço",0,IF(OR(AND(AUTOEVENTO="Manual",$M632=1),$M632&gt;(ROW(PLE.lastrow)-ROW(PLE.firstrow))),0,IF(OFFSET(PLE!$G$14,$M632,CE$13)="",10^12,OFFSET(PLE!$G$14,$M632,CE$13))))</f>
        <v>1000000000000</v>
      </c>
      <c r="CF632" s="182">
        <f ca="1">IF($D632&lt;&gt;"Serviço",0,IF(OR(AND(AUTOEVENTO="Manual",$M632=1),$M632&gt;(ROW(PLE.lastrow)-ROW(PLE.firstrow))),0,IF(OFFSET(PLE!$G$14,$M632,CF$13)="",10^12,OFFSET(PLE!$G$14,$M632,CF$13))))</f>
        <v>1000000000000</v>
      </c>
      <c r="CG632" s="182">
        <f ca="1">IF($D632&lt;&gt;"Serviço",0,IF(OR(AND(AUTOEVENTO="Manual",$M632=1),$M632&gt;(ROW(PLE.lastrow)-ROW(PLE.firstrow))),0,IF(OFFSET(PLE!$G$14,$M632,CG$13)="",10^12,OFFSET(PLE!$G$14,$M632,CG$13))))</f>
        <v>1000000000000</v>
      </c>
      <c r="CH632" s="182">
        <f ca="1">IF($D632&lt;&gt;"Serviço",0,IF(OR(AND(AUTOEVENTO="Manual",$M632=1),$M632&gt;(ROW(PLE.lastrow)-ROW(PLE.firstrow))),0,IF(OFFSET(PLE!$G$14,$M632,CH$13)="",10^12,OFFSET(PLE!$G$14,$M632,CH$13))))</f>
        <v>1000000000000</v>
      </c>
      <c r="CI632" s="182">
        <f ca="1">IF($D632&lt;&gt;"Serviço",0,IF(OR(AND(AUTOEVENTO="Manual",$M632=1),$M632&gt;(ROW(PLE.lastrow)-ROW(PLE.firstrow))),0,IF(OFFSET(PLE!$G$14,$M632,CI$13)="",10^12,OFFSET(PLE!$G$14,$M632,CI$13))))</f>
        <v>1000000000000</v>
      </c>
      <c r="CJ632" s="182">
        <f ca="1">IF($D632&lt;&gt;"Serviço",0,IF(OR(AND(AUTOEVENTO="Manual",$M632=1),$M632&gt;(ROW(PLE.lastrow)-ROW(PLE.firstrow))),0,IF(OFFSET(PLE!$G$14,$M632,CJ$13)="",10^12,OFFSET(PLE!$G$14,$M632,CJ$13))))</f>
        <v>1000000000000</v>
      </c>
      <c r="CK632" s="182">
        <f ca="1">IF($D632&lt;&gt;"Serviço",0,IF(OR(AND(AUTOEVENTO="Manual",$M632=1),$M632&gt;(ROW(PLE.lastrow)-ROW(PLE.firstrow))),0,IF(OFFSET(PLE!$G$14,$M632,CK$13)="",10^12,OFFSET(PLE!$G$14,$M632,CK$13))))</f>
        <v>1000000000000</v>
      </c>
      <c r="CL632" s="182">
        <f ca="1">IF($D632&lt;&gt;"Serviço",0,IF(OR(AND(AUTOEVENTO="Manual",$M632=1),$M632&gt;(ROW(PLE.lastrow)-ROW(PLE.firstrow))),0,IF(OFFSET(PLE!$G$14,$M632,CL$13)="",10^12,OFFSET(PLE!$G$14,$M632,CL$13))))</f>
        <v>1000000000000</v>
      </c>
      <c r="CM632" s="182">
        <f ca="1">IF($D632&lt;&gt;"Serviço",0,IF(OR(AND(AUTOEVENTO="Manual",$M632=1),$M632&gt;(ROW(PLE.lastrow)-ROW(PLE.firstrow))),0,IF(OFFSET(PLE!$G$14,$M632,CM$13)="",10^12,OFFSET(PLE!$G$14,$M632,CM$13))))</f>
        <v>1000000000000</v>
      </c>
    </row>
    <row r="633" spans="1:91" ht="38.25" x14ac:dyDescent="0.2">
      <c r="A633" s="7" t="str">
        <f t="shared" ca="1" si="18"/>
        <v>613</v>
      </c>
      <c r="B633" s="7" t="str">
        <f ca="1">OFFSET(ORÇAMENTO!C$15,ROW(B633)-ROW(B$15),0)</f>
        <v>S</v>
      </c>
      <c r="C633" s="7" t="str">
        <f ca="1">OFFSET(ORÇAMENTO!L$15,ROW(C633)-ROW(C$15),0)</f>
        <v/>
      </c>
      <c r="D633" s="118" t="str">
        <f ca="1">OFFSET(ORÇAMENTO!N$15,ROW(D633)-ROW(D$15),0)</f>
        <v>Serviço</v>
      </c>
      <c r="E633" s="119" t="str">
        <f ca="1">OFFSET(ORÇAMENTO!O$15,ROW(E633)-ROW(E$15),0)</f>
        <v>-</v>
      </c>
      <c r="F633" s="172" t="str">
        <f ca="1">OFFSET(ORÇAMENTO!R$15,ROW(F633)-ROW(F$15),0)</f>
        <v>(abra o arquivo 'Referência 06-2024.xlsm)</v>
      </c>
      <c r="G633" s="173" t="str">
        <f ca="1">IF($D633&lt;&gt;"Serviço","",OFFSET(ORÇAMENTO!S$15,ROW(G633)-ROW(G$15),0))</f>
        <v>-</v>
      </c>
      <c r="H633" s="124">
        <f ca="1">IF($D633&lt;&gt;"Serviço",0,IF(ACOMPANHAMENTO="BM",ROUND(OFFSET(ORÇAMENTO!AJ$15,ROW(H633)-ROW(H$15),0),15-13*ORÇAMENTO!$AF$7),SUMPRODUCT(($Q$12:$AI$12&lt;&gt;"")*ROUND($Q633:$AI633,15-13*ORÇAMENTO!$AF$7))))</f>
        <v>593</v>
      </c>
      <c r="I633" s="561" t="s">
        <v>1107</v>
      </c>
      <c r="K633" s="174"/>
      <c r="L633" s="175" t="s">
        <v>255</v>
      </c>
      <c r="M633" s="176">
        <f ca="1">IF($D633&lt;&gt;"Serviço","",IF(AUTOEVENTO="manual",$A633,IF(ISERROR(MATCH($A633,$A$15:OFFSET($A633,-1,0),0)),MAX($M$15:OFFSET(M633,-1,0))+1,INDEX($M$15:OFFSET(M633,-1,0),MATCH($A633,$A$15:OFFSET($A633,-1,0),0)))))</f>
        <v>66</v>
      </c>
      <c r="N633" s="177" t="str">
        <f ca="1">IF($D633&lt;&gt;"Serviço","",IF(AUTOEVENTO="Manual",IF($A633=0,"&lt;-- defina o número do agrupador",OFFSET(EVENTOS!$D$14,$A633,0)),OFFSET($F$15,$A633,0)))</f>
        <v>INSTALAÇÕES DE CABEAMENTO ESTRUTURADO - ACESSÓRIOS</v>
      </c>
      <c r="O633" s="178"/>
      <c r="Q633" s="178">
        <v>593</v>
      </c>
      <c r="R633" s="179"/>
      <c r="S633" s="179"/>
      <c r="T633" s="179"/>
      <c r="U633" s="179"/>
      <c r="V633" s="179"/>
      <c r="W633" s="179"/>
      <c r="X633" s="179"/>
      <c r="Y633" s="179"/>
      <c r="Z633" s="180"/>
      <c r="AA633" s="179"/>
      <c r="AB633" s="179"/>
      <c r="AC633" s="179"/>
      <c r="AD633" s="179"/>
      <c r="AE633" s="179"/>
      <c r="AF633" s="179"/>
      <c r="AG633" s="179"/>
      <c r="AH633" s="180"/>
      <c r="AJ633" s="544">
        <f ca="1">IF(AND($D633="Serviço",AJ$12&lt;&gt;0,$H633&gt;0,OR(AUTOEVENTO&lt;&gt;"manual",$M633&lt;&gt;1)),
IF(Import.TipoArredondamento&lt;&gt;"TransfereGOV",
ROUND(OFFSET($P633,0,AJ$13),15-13*ORÇAMENTO!$AF$7)/$H633*OFFSET(ORÇAMENTO!$X$15,ROW(AJ633)-ROW(AJ$15),0),
ROUND(ROUND(OFFSET($P633,0,AJ$13),15-13*ORÇAMENTO!$AF$7)*OFFSET(ORÇAMENTO!$W$15,ROW(AJ633)-ROW(AJ$15),0),15-13*ORÇAMENTO!$AF$11)),0)</f>
        <v>0</v>
      </c>
      <c r="AK633" s="545">
        <f ca="1">IF(AND($D633="Serviço",AK$12&lt;&gt;0,$H633&gt;0,OR(AUTOEVENTO&lt;&gt;"manual",$M633&lt;&gt;1)),
IF(Import.TipoArredondamento&lt;&gt;"TransfereGOV",
ROUND(OFFSET($P633,0,AK$13),15-13*ORÇAMENTO!$AF$7)/$H633*OFFSET(ORÇAMENTO!$X$15,ROW(AK633)-ROW(AK$15),0),
ROUND(ROUND(OFFSET($P633,0,AK$13),15-13*ORÇAMENTO!$AF$7)*OFFSET(ORÇAMENTO!$W$15,ROW(AK633)-ROW(AK$15),0),15-13*ORÇAMENTO!$AF$11)),0)</f>
        <v>0</v>
      </c>
      <c r="AL633" s="545">
        <f ca="1">IF(AND($D633="Serviço",AL$12&lt;&gt;0,$H633&gt;0,OR(AUTOEVENTO&lt;&gt;"manual",$M633&lt;&gt;1)),
IF(Import.TipoArredondamento&lt;&gt;"TransfereGOV",
ROUND(OFFSET($P633,0,AL$13),15-13*ORÇAMENTO!$AF$7)/$H633*OFFSET(ORÇAMENTO!$X$15,ROW(AL633)-ROW(AL$15),0),
ROUND(ROUND(OFFSET($P633,0,AL$13),15-13*ORÇAMENTO!$AF$7)*OFFSET(ORÇAMENTO!$W$15,ROW(AL633)-ROW(AL$15),0),15-13*ORÇAMENTO!$AF$11)),0)</f>
        <v>0</v>
      </c>
      <c r="AM633" s="545">
        <f ca="1">IF(AND($D633="Serviço",AM$12&lt;&gt;0,$H633&gt;0,OR(AUTOEVENTO&lt;&gt;"manual",$M633&lt;&gt;1)),
IF(Import.TipoArredondamento&lt;&gt;"TransfereGOV",
ROUND(OFFSET($P633,0,AM$13),15-13*ORÇAMENTO!$AF$7)/$H633*OFFSET(ORÇAMENTO!$X$15,ROW(AM633)-ROW(AM$15),0),
ROUND(ROUND(OFFSET($P633,0,AM$13),15-13*ORÇAMENTO!$AF$7)*OFFSET(ORÇAMENTO!$W$15,ROW(AM633)-ROW(AM$15),0),15-13*ORÇAMENTO!$AF$11)),0)</f>
        <v>0</v>
      </c>
      <c r="AN633" s="545">
        <f ca="1">IF(AND($D633="Serviço",AN$12&lt;&gt;0,$H633&gt;0,OR(AUTOEVENTO&lt;&gt;"manual",$M633&lt;&gt;1)),
IF(Import.TipoArredondamento&lt;&gt;"TransfereGOV",
ROUND(OFFSET($P633,0,AN$13),15-13*ORÇAMENTO!$AF$7)/$H633*OFFSET(ORÇAMENTO!$X$15,ROW(AN633)-ROW(AN$15),0),
ROUND(ROUND(OFFSET($P633,0,AN$13),15-13*ORÇAMENTO!$AF$7)*OFFSET(ORÇAMENTO!$W$15,ROW(AN633)-ROW(AN$15),0),15-13*ORÇAMENTO!$AF$11)),0)</f>
        <v>0</v>
      </c>
      <c r="AO633" s="545">
        <f ca="1">IF(AND($D633="Serviço",AO$12&lt;&gt;0,$H633&gt;0,OR(AUTOEVENTO&lt;&gt;"manual",$M633&lt;&gt;1)),
IF(Import.TipoArredondamento&lt;&gt;"TransfereGOV",
ROUND(OFFSET($P633,0,AO$13),15-13*ORÇAMENTO!$AF$7)/$H633*OFFSET(ORÇAMENTO!$X$15,ROW(AO633)-ROW(AO$15),0),
ROUND(ROUND(OFFSET($P633,0,AO$13),15-13*ORÇAMENTO!$AF$7)*OFFSET(ORÇAMENTO!$W$15,ROW(AO633)-ROW(AO$15),0),15-13*ORÇAMENTO!$AF$11)),0)</f>
        <v>0</v>
      </c>
      <c r="AP633" s="545">
        <f ca="1">IF(AND($D633="Serviço",AP$12&lt;&gt;0,$H633&gt;0,OR(AUTOEVENTO&lt;&gt;"manual",$M633&lt;&gt;1)),
IF(Import.TipoArredondamento&lt;&gt;"TransfereGOV",
ROUND(OFFSET($P633,0,AP$13),15-13*ORÇAMENTO!$AF$7)/$H633*OFFSET(ORÇAMENTO!$X$15,ROW(AP633)-ROW(AP$15),0),
ROUND(ROUND(OFFSET($P633,0,AP$13),15-13*ORÇAMENTO!$AF$7)*OFFSET(ORÇAMENTO!$W$15,ROW(AP633)-ROW(AP$15),0),15-13*ORÇAMENTO!$AF$11)),0)</f>
        <v>0</v>
      </c>
      <c r="AQ633" s="545">
        <f ca="1">IF(AND($D633="Serviço",AQ$12&lt;&gt;0,$H633&gt;0,OR(AUTOEVENTO&lt;&gt;"manual",$M633&lt;&gt;1)),
IF(Import.TipoArredondamento&lt;&gt;"TransfereGOV",
ROUND(OFFSET($P633,0,AQ$13),15-13*ORÇAMENTO!$AF$7)/$H633*OFFSET(ORÇAMENTO!$X$15,ROW(AQ633)-ROW(AQ$15),0),
ROUND(ROUND(OFFSET($P633,0,AQ$13),15-13*ORÇAMENTO!$AF$7)*OFFSET(ORÇAMENTO!$W$15,ROW(AQ633)-ROW(AQ$15),0),15-13*ORÇAMENTO!$AF$11)),0)</f>
        <v>0</v>
      </c>
      <c r="AR633" s="545">
        <f ca="1">IF(AND($D633="Serviço",AR$12&lt;&gt;0,$H633&gt;0,OR(AUTOEVENTO&lt;&gt;"manual",$M633&lt;&gt;1)),
IF(Import.TipoArredondamento&lt;&gt;"TransfereGOV",
ROUND(OFFSET($P633,0,AR$13),15-13*ORÇAMENTO!$AF$7)/$H633*OFFSET(ORÇAMENTO!$X$15,ROW(AR633)-ROW(AR$15),0),
ROUND(ROUND(OFFSET($P633,0,AR$13),15-13*ORÇAMENTO!$AF$7)*OFFSET(ORÇAMENTO!$W$15,ROW(AR633)-ROW(AR$15),0),15-13*ORÇAMENTO!$AF$11)),0)</f>
        <v>0</v>
      </c>
      <c r="AS633" s="546">
        <f ca="1">IF(AND($D633="Serviço",AS$12&lt;&gt;0,$H633&gt;0,OR(AUTOEVENTO&lt;&gt;"manual",$M633&lt;&gt;1)),
IF(Import.TipoArredondamento&lt;&gt;"TransfereGOV",
ROUND(OFFSET($P633,0,AS$13),15-13*ORÇAMENTO!$AF$7)/$H633*OFFSET(ORÇAMENTO!$X$15,ROW(AS633)-ROW(AS$15),0),
ROUND(ROUND(OFFSET($P633,0,AS$13),15-13*ORÇAMENTO!$AF$7)*OFFSET(ORÇAMENTO!$W$15,ROW(AS633)-ROW(AS$15),0),15-13*ORÇAMENTO!$AF$11)),0)</f>
        <v>0</v>
      </c>
      <c r="AT633" s="545">
        <f ca="1">IF(AND($D633="Serviço",AT$12&lt;&gt;0,$H633&gt;0,OR(AUTOEVENTO&lt;&gt;"manual",$M633&lt;&gt;1)),
IF(Import.TipoArredondamento&lt;&gt;"TransfereGOV",
ROUND(OFFSET($P633,0,AT$13),15-13*ORÇAMENTO!$AF$7)/$H633*OFFSET(ORÇAMENTO!$X$15,ROW(AT633)-ROW(AT$15),0),
ROUND(ROUND(OFFSET($P633,0,AT$13),15-13*ORÇAMENTO!$AF$7)*OFFSET(ORÇAMENTO!$W$15,ROW(AT633)-ROW(AT$15),0),15-13*ORÇAMENTO!$AF$11)),0)</f>
        <v>0</v>
      </c>
      <c r="AU633" s="545">
        <f ca="1">IF(AND($D633="Serviço",AU$12&lt;&gt;0,$H633&gt;0,OR(AUTOEVENTO&lt;&gt;"manual",$M633&lt;&gt;1)),
IF(Import.TipoArredondamento&lt;&gt;"TransfereGOV",
ROUND(OFFSET($P633,0,AU$13),15-13*ORÇAMENTO!$AF$7)/$H633*OFFSET(ORÇAMENTO!$X$15,ROW(AU633)-ROW(AU$15),0),
ROUND(ROUND(OFFSET($P633,0,AU$13),15-13*ORÇAMENTO!$AF$7)*OFFSET(ORÇAMENTO!$W$15,ROW(AU633)-ROW(AU$15),0),15-13*ORÇAMENTO!$AF$11)),0)</f>
        <v>0</v>
      </c>
      <c r="AV633" s="545">
        <f ca="1">IF(AND($D633="Serviço",AV$12&lt;&gt;0,$H633&gt;0,OR(AUTOEVENTO&lt;&gt;"manual",$M633&lt;&gt;1)),
IF(Import.TipoArredondamento&lt;&gt;"TransfereGOV",
ROUND(OFFSET($P633,0,AV$13),15-13*ORÇAMENTO!$AF$7)/$H633*OFFSET(ORÇAMENTO!$X$15,ROW(AV633)-ROW(AV$15),0),
ROUND(ROUND(OFFSET($P633,0,AV$13),15-13*ORÇAMENTO!$AF$7)*OFFSET(ORÇAMENTO!$W$15,ROW(AV633)-ROW(AV$15),0),15-13*ORÇAMENTO!$AF$11)),0)</f>
        <v>0</v>
      </c>
      <c r="AW633" s="545">
        <f ca="1">IF(AND($D633="Serviço",AW$12&lt;&gt;0,$H633&gt;0,OR(AUTOEVENTO&lt;&gt;"manual",$M633&lt;&gt;1)),
IF(Import.TipoArredondamento&lt;&gt;"TransfereGOV",
ROUND(OFFSET($P633,0,AW$13),15-13*ORÇAMENTO!$AF$7)/$H633*OFFSET(ORÇAMENTO!$X$15,ROW(AW633)-ROW(AW$15),0),
ROUND(ROUND(OFFSET($P633,0,AW$13),15-13*ORÇAMENTO!$AF$7)*OFFSET(ORÇAMENTO!$W$15,ROW(AW633)-ROW(AW$15),0),15-13*ORÇAMENTO!$AF$11)),0)</f>
        <v>0</v>
      </c>
      <c r="AX633" s="545">
        <f ca="1">IF(AND($D633="Serviço",AX$12&lt;&gt;0,$H633&gt;0,OR(AUTOEVENTO&lt;&gt;"manual",$M633&lt;&gt;1)),
IF(Import.TipoArredondamento&lt;&gt;"TransfereGOV",
ROUND(OFFSET($P633,0,AX$13),15-13*ORÇAMENTO!$AF$7)/$H633*OFFSET(ORÇAMENTO!$X$15,ROW(AX633)-ROW(AX$15),0),
ROUND(ROUND(OFFSET($P633,0,AX$13),15-13*ORÇAMENTO!$AF$7)*OFFSET(ORÇAMENTO!$W$15,ROW(AX633)-ROW(AX$15),0),15-13*ORÇAMENTO!$AF$11)),0)</f>
        <v>0</v>
      </c>
      <c r="AY633" s="545">
        <f ca="1">IF(AND($D633="Serviço",AY$12&lt;&gt;0,$H633&gt;0,OR(AUTOEVENTO&lt;&gt;"manual",$M633&lt;&gt;1)),
IF(Import.TipoArredondamento&lt;&gt;"TransfereGOV",
ROUND(OFFSET($P633,0,AY$13),15-13*ORÇAMENTO!$AF$7)/$H633*OFFSET(ORÇAMENTO!$X$15,ROW(AY633)-ROW(AY$15),0),
ROUND(ROUND(OFFSET($P633,0,AY$13),15-13*ORÇAMENTO!$AF$7)*OFFSET(ORÇAMENTO!$W$15,ROW(AY633)-ROW(AY$15),0),15-13*ORÇAMENTO!$AF$11)),0)</f>
        <v>0</v>
      </c>
      <c r="AZ633" s="545">
        <f ca="1">IF(AND($D633="Serviço",AZ$12&lt;&gt;0,$H633&gt;0,OR(AUTOEVENTO&lt;&gt;"manual",$M633&lt;&gt;1)),
IF(Import.TipoArredondamento&lt;&gt;"TransfereGOV",
ROUND(OFFSET($P633,0,AZ$13),15-13*ORÇAMENTO!$AF$7)/$H633*OFFSET(ORÇAMENTO!$X$15,ROW(AZ633)-ROW(AZ$15),0),
ROUND(ROUND(OFFSET($P633,0,AZ$13),15-13*ORÇAMENTO!$AF$7)*OFFSET(ORÇAMENTO!$W$15,ROW(AZ633)-ROW(AZ$15),0),15-13*ORÇAMENTO!$AF$11)),0)</f>
        <v>0</v>
      </c>
      <c r="BA633" s="546">
        <f ca="1">IF(AND($D633="Serviço",BA$12&lt;&gt;0,$H633&gt;0,OR(AUTOEVENTO&lt;&gt;"manual",$M633&lt;&gt;1)),
IF(Import.TipoArredondamento&lt;&gt;"TransfereGOV",
ROUND(OFFSET($P633,0,BA$13),15-13*ORÇAMENTO!$AF$7)/$H633*OFFSET(ORÇAMENTO!$X$15,ROW(BA633)-ROW(BA$15),0),
ROUND(ROUND(OFFSET($P633,0,BA$13),15-13*ORÇAMENTO!$AF$7)*OFFSET(ORÇAMENTO!$W$15,ROW(BA633)-ROW(BA$15),0),15-13*ORÇAMENTO!$AF$11)),0)</f>
        <v>0</v>
      </c>
      <c r="BC633" s="181">
        <f ca="1">IF($D633&lt;&gt;"Serviço",0,IF(AND(AUTOEVENTO="Manual",$M633=1),0,IF(OFFSET(CRONOPLE!$F$14,$M633,BC$13)="",10^12,OFFSET(CRONOPLE!$F$14,$M633,BC$13))))</f>
        <v>11</v>
      </c>
      <c r="BD633" s="181">
        <f ca="1">IF($D633&lt;&gt;"Serviço",0,IF(AND(AUTOEVENTO="Manual",$M633=1),0,IF(OFFSET(CRONOPLE!$F$14,$M633,BD$13)="",10^12,OFFSET(CRONOPLE!$F$14,$M633,BD$13))))</f>
        <v>1000000000000</v>
      </c>
      <c r="BE633" s="181">
        <f ca="1">IF($D633&lt;&gt;"Serviço",0,IF(AND(AUTOEVENTO="Manual",$M633=1),0,IF(OFFSET(CRONOPLE!$F$14,$M633,BE$13)="",10^12,OFFSET(CRONOPLE!$F$14,$M633,BE$13))))</f>
        <v>1000000000000</v>
      </c>
      <c r="BF633" s="181">
        <f ca="1">IF($D633&lt;&gt;"Serviço",0,IF(AND(AUTOEVENTO="Manual",$M633=1),0,IF(OFFSET(CRONOPLE!$F$14,$M633,BF$13)="",10^12,OFFSET(CRONOPLE!$F$14,$M633,BF$13))))</f>
        <v>1000000000000</v>
      </c>
      <c r="BG633" s="181">
        <f ca="1">IF($D633&lt;&gt;"Serviço",0,IF(AND(AUTOEVENTO="Manual",$M633=1),0,IF(OFFSET(CRONOPLE!$F$14,$M633,BG$13)="",10^12,OFFSET(CRONOPLE!$F$14,$M633,BG$13))))</f>
        <v>1000000000000</v>
      </c>
      <c r="BH633" s="181">
        <f ca="1">IF($D633&lt;&gt;"Serviço",0,IF(AND(AUTOEVENTO="Manual",$M633=1),0,IF(OFFSET(CRONOPLE!$F$14,$M633,BH$13)="",10^12,OFFSET(CRONOPLE!$F$14,$M633,BH$13))))</f>
        <v>1000000000000</v>
      </c>
      <c r="BI633" s="181">
        <f ca="1">IF($D633&lt;&gt;"Serviço",0,IF(AND(AUTOEVENTO="Manual",$M633=1),0,IF(OFFSET(CRONOPLE!$F$14,$M633,BI$13)="",10^12,OFFSET(CRONOPLE!$F$14,$M633,BI$13))))</f>
        <v>1000000000000</v>
      </c>
      <c r="BJ633" s="181">
        <f ca="1">IF($D633&lt;&gt;"Serviço",0,IF(AND(AUTOEVENTO="Manual",$M633=1),0,IF(OFFSET(CRONOPLE!$F$14,$M633,BJ$13)="",10^12,OFFSET(CRONOPLE!$F$14,$M633,BJ$13))))</f>
        <v>1000000000000</v>
      </c>
      <c r="BK633" s="181">
        <f ca="1">IF($D633&lt;&gt;"Serviço",0,IF(AND(AUTOEVENTO="Manual",$M633=1),0,IF(OFFSET(CRONOPLE!$F$14,$M633,BK$13)="",10^12,OFFSET(CRONOPLE!$F$14,$M633,BK$13))))</f>
        <v>1000000000000</v>
      </c>
      <c r="BL633" s="181">
        <f ca="1">IF($D633&lt;&gt;"Serviço",0,IF(AND(AUTOEVENTO="Manual",$M633=1),0,IF(OFFSET(CRONOPLE!$F$14,$M633,BL$13)="",10^12,OFFSET(CRONOPLE!$F$14,$M633,BL$13))))</f>
        <v>1000000000000</v>
      </c>
      <c r="BM633" s="181">
        <f ca="1">IF($D633&lt;&gt;"Serviço",0,IF(AND(AUTOEVENTO="Manual",$M633=1),0,IF(OFFSET(CRONOPLE!$F$14,$M633,BM$13)="",10^12,OFFSET(CRONOPLE!$F$14,$M633,BM$13))))</f>
        <v>1000000000000</v>
      </c>
      <c r="BN633" s="181">
        <f ca="1">IF($D633&lt;&gt;"Serviço",0,IF(AND(AUTOEVENTO="Manual",$M633=1),0,IF(OFFSET(CRONOPLE!$F$14,$M633,BN$13)="",10^12,OFFSET(CRONOPLE!$F$14,$M633,BN$13))))</f>
        <v>1000000000000</v>
      </c>
      <c r="BO633" s="181">
        <f ca="1">IF($D633&lt;&gt;"Serviço",0,IF(AND(AUTOEVENTO="Manual",$M633=1),0,IF(OFFSET(CRONOPLE!$F$14,$M633,BO$13)="",10^12,OFFSET(CRONOPLE!$F$14,$M633,BO$13))))</f>
        <v>1000000000000</v>
      </c>
      <c r="BP633" s="181">
        <f ca="1">IF($D633&lt;&gt;"Serviço",0,IF(AND(AUTOEVENTO="Manual",$M633=1),0,IF(OFFSET(CRONOPLE!$F$14,$M633,BP$13)="",10^12,OFFSET(CRONOPLE!$F$14,$M633,BP$13))))</f>
        <v>1000000000000</v>
      </c>
      <c r="BQ633" s="181">
        <f ca="1">IF($D633&lt;&gt;"Serviço",0,IF(AND(AUTOEVENTO="Manual",$M633=1),0,IF(OFFSET(CRONOPLE!$F$14,$M633,BQ$13)="",10^12,OFFSET(CRONOPLE!$F$14,$M633,BQ$13))))</f>
        <v>1000000000000</v>
      </c>
      <c r="BR633" s="181">
        <f ca="1">IF($D633&lt;&gt;"Serviço",0,IF(AND(AUTOEVENTO="Manual",$M633=1),0,IF(OFFSET(CRONOPLE!$F$14,$M633,BR$13)="",10^12,OFFSET(CRONOPLE!$F$14,$M633,BR$13))))</f>
        <v>1000000000000</v>
      </c>
      <c r="BS633" s="181">
        <f ca="1">IF($D633&lt;&gt;"Serviço",0,IF(AND(AUTOEVENTO="Manual",$M633=1),0,IF(OFFSET(CRONOPLE!$F$14,$M633,BS$13)="",10^12,OFFSET(CRONOPLE!$F$14,$M633,BS$13))))</f>
        <v>1000000000000</v>
      </c>
      <c r="BT633" s="181">
        <f ca="1">IF($D633&lt;&gt;"Serviço",0,IF(AND(AUTOEVENTO="Manual",$M633=1),0,IF(OFFSET(CRONOPLE!$F$14,$M633,BT$13)="",10^12,OFFSET(CRONOPLE!$F$14,$M633,BT$13))))</f>
        <v>1000000000000</v>
      </c>
      <c r="BV633" s="182">
        <f ca="1">IF($D633&lt;&gt;"Serviço",0,IF(OR(AND(AUTOEVENTO="Manual",$M633=1),$M633&gt;(ROW(PLE.lastrow)-ROW(PLE.firstrow))),0,IF(OFFSET(PLE!$G$14,$M633,BV$13)="",10^12,OFFSET(PLE!$G$14,$M633,BV$13))))</f>
        <v>1000000000000</v>
      </c>
      <c r="BW633" s="182">
        <f ca="1">IF($D633&lt;&gt;"Serviço",0,IF(OR(AND(AUTOEVENTO="Manual",$M633=1),$M633&gt;(ROW(PLE.lastrow)-ROW(PLE.firstrow))),0,IF(OFFSET(PLE!$G$14,$M633,BW$13)="",10^12,OFFSET(PLE!$G$14,$M633,BW$13))))</f>
        <v>1000000000000</v>
      </c>
      <c r="BX633" s="182">
        <f ca="1">IF($D633&lt;&gt;"Serviço",0,IF(OR(AND(AUTOEVENTO="Manual",$M633=1),$M633&gt;(ROW(PLE.lastrow)-ROW(PLE.firstrow))),0,IF(OFFSET(PLE!$G$14,$M633,BX$13)="",10^12,OFFSET(PLE!$G$14,$M633,BX$13))))</f>
        <v>1000000000000</v>
      </c>
      <c r="BY633" s="182">
        <f ca="1">IF($D633&lt;&gt;"Serviço",0,IF(OR(AND(AUTOEVENTO="Manual",$M633=1),$M633&gt;(ROW(PLE.lastrow)-ROW(PLE.firstrow))),0,IF(OFFSET(PLE!$G$14,$M633,BY$13)="",10^12,OFFSET(PLE!$G$14,$M633,BY$13))))</f>
        <v>1000000000000</v>
      </c>
      <c r="BZ633" s="182">
        <f ca="1">IF($D633&lt;&gt;"Serviço",0,IF(OR(AND(AUTOEVENTO="Manual",$M633=1),$M633&gt;(ROW(PLE.lastrow)-ROW(PLE.firstrow))),0,IF(OFFSET(PLE!$G$14,$M633,BZ$13)="",10^12,OFFSET(PLE!$G$14,$M633,BZ$13))))</f>
        <v>1000000000000</v>
      </c>
      <c r="CA633" s="182">
        <f ca="1">IF($D633&lt;&gt;"Serviço",0,IF(OR(AND(AUTOEVENTO="Manual",$M633=1),$M633&gt;(ROW(PLE.lastrow)-ROW(PLE.firstrow))),0,IF(OFFSET(PLE!$G$14,$M633,CA$13)="",10^12,OFFSET(PLE!$G$14,$M633,CA$13))))</f>
        <v>1000000000000</v>
      </c>
      <c r="CB633" s="182">
        <f ca="1">IF($D633&lt;&gt;"Serviço",0,IF(OR(AND(AUTOEVENTO="Manual",$M633=1),$M633&gt;(ROW(PLE.lastrow)-ROW(PLE.firstrow))),0,IF(OFFSET(PLE!$G$14,$M633,CB$13)="",10^12,OFFSET(PLE!$G$14,$M633,CB$13))))</f>
        <v>1000000000000</v>
      </c>
      <c r="CC633" s="182">
        <f ca="1">IF($D633&lt;&gt;"Serviço",0,IF(OR(AND(AUTOEVENTO="Manual",$M633=1),$M633&gt;(ROW(PLE.lastrow)-ROW(PLE.firstrow))),0,IF(OFFSET(PLE!$G$14,$M633,CC$13)="",10^12,OFFSET(PLE!$G$14,$M633,CC$13))))</f>
        <v>1000000000000</v>
      </c>
      <c r="CD633" s="182">
        <f ca="1">IF($D633&lt;&gt;"Serviço",0,IF(OR(AND(AUTOEVENTO="Manual",$M633=1),$M633&gt;(ROW(PLE.lastrow)-ROW(PLE.firstrow))),0,IF(OFFSET(PLE!$G$14,$M633,CD$13)="",10^12,OFFSET(PLE!$G$14,$M633,CD$13))))</f>
        <v>1000000000000</v>
      </c>
      <c r="CE633" s="182">
        <f ca="1">IF($D633&lt;&gt;"Serviço",0,IF(OR(AND(AUTOEVENTO="Manual",$M633=1),$M633&gt;(ROW(PLE.lastrow)-ROW(PLE.firstrow))),0,IF(OFFSET(PLE!$G$14,$M633,CE$13)="",10^12,OFFSET(PLE!$G$14,$M633,CE$13))))</f>
        <v>1000000000000</v>
      </c>
      <c r="CF633" s="182">
        <f ca="1">IF($D633&lt;&gt;"Serviço",0,IF(OR(AND(AUTOEVENTO="Manual",$M633=1),$M633&gt;(ROW(PLE.lastrow)-ROW(PLE.firstrow))),0,IF(OFFSET(PLE!$G$14,$M633,CF$13)="",10^12,OFFSET(PLE!$G$14,$M633,CF$13))))</f>
        <v>1000000000000</v>
      </c>
      <c r="CG633" s="182">
        <f ca="1">IF($D633&lt;&gt;"Serviço",0,IF(OR(AND(AUTOEVENTO="Manual",$M633=1),$M633&gt;(ROW(PLE.lastrow)-ROW(PLE.firstrow))),0,IF(OFFSET(PLE!$G$14,$M633,CG$13)="",10^12,OFFSET(PLE!$G$14,$M633,CG$13))))</f>
        <v>1000000000000</v>
      </c>
      <c r="CH633" s="182">
        <f ca="1">IF($D633&lt;&gt;"Serviço",0,IF(OR(AND(AUTOEVENTO="Manual",$M633=1),$M633&gt;(ROW(PLE.lastrow)-ROW(PLE.firstrow))),0,IF(OFFSET(PLE!$G$14,$M633,CH$13)="",10^12,OFFSET(PLE!$G$14,$M633,CH$13))))</f>
        <v>1000000000000</v>
      </c>
      <c r="CI633" s="182">
        <f ca="1">IF($D633&lt;&gt;"Serviço",0,IF(OR(AND(AUTOEVENTO="Manual",$M633=1),$M633&gt;(ROW(PLE.lastrow)-ROW(PLE.firstrow))),0,IF(OFFSET(PLE!$G$14,$M633,CI$13)="",10^12,OFFSET(PLE!$G$14,$M633,CI$13))))</f>
        <v>1000000000000</v>
      </c>
      <c r="CJ633" s="182">
        <f ca="1">IF($D633&lt;&gt;"Serviço",0,IF(OR(AND(AUTOEVENTO="Manual",$M633=1),$M633&gt;(ROW(PLE.lastrow)-ROW(PLE.firstrow))),0,IF(OFFSET(PLE!$G$14,$M633,CJ$13)="",10^12,OFFSET(PLE!$G$14,$M633,CJ$13))))</f>
        <v>1000000000000</v>
      </c>
      <c r="CK633" s="182">
        <f ca="1">IF($D633&lt;&gt;"Serviço",0,IF(OR(AND(AUTOEVENTO="Manual",$M633=1),$M633&gt;(ROW(PLE.lastrow)-ROW(PLE.firstrow))),0,IF(OFFSET(PLE!$G$14,$M633,CK$13)="",10^12,OFFSET(PLE!$G$14,$M633,CK$13))))</f>
        <v>1000000000000</v>
      </c>
      <c r="CL633" s="182">
        <f ca="1">IF($D633&lt;&gt;"Serviço",0,IF(OR(AND(AUTOEVENTO="Manual",$M633=1),$M633&gt;(ROW(PLE.lastrow)-ROW(PLE.firstrow))),0,IF(OFFSET(PLE!$G$14,$M633,CL$13)="",10^12,OFFSET(PLE!$G$14,$M633,CL$13))))</f>
        <v>1000000000000</v>
      </c>
      <c r="CM633" s="182">
        <f ca="1">IF($D633&lt;&gt;"Serviço",0,IF(OR(AND(AUTOEVENTO="Manual",$M633=1),$M633&gt;(ROW(PLE.lastrow)-ROW(PLE.firstrow))),0,IF(OFFSET(PLE!$G$14,$M633,CM$13)="",10^12,OFFSET(PLE!$G$14,$M633,CM$13))))</f>
        <v>1000000000000</v>
      </c>
    </row>
    <row r="634" spans="1:91" ht="38.25" x14ac:dyDescent="0.2">
      <c r="A634" s="7" t="str">
        <f t="shared" ca="1" si="18"/>
        <v>613</v>
      </c>
      <c r="B634" s="7" t="str">
        <f ca="1">OFFSET(ORÇAMENTO!C$15,ROW(B634)-ROW(B$15),0)</f>
        <v>S</v>
      </c>
      <c r="C634" s="7" t="str">
        <f ca="1">OFFSET(ORÇAMENTO!L$15,ROW(C634)-ROW(C$15),0)</f>
        <v/>
      </c>
      <c r="D634" s="118" t="str">
        <f ca="1">OFFSET(ORÇAMENTO!N$15,ROW(D634)-ROW(D$15),0)</f>
        <v>Serviço</v>
      </c>
      <c r="E634" s="119" t="str">
        <f ca="1">OFFSET(ORÇAMENTO!O$15,ROW(E634)-ROW(E$15),0)</f>
        <v>-</v>
      </c>
      <c r="F634" s="172" t="str">
        <f ca="1">OFFSET(ORÇAMENTO!R$15,ROW(F634)-ROW(F$15),0)</f>
        <v>(abra o arquivo 'Referência 06-2024.xlsm)</v>
      </c>
      <c r="G634" s="173" t="str">
        <f ca="1">IF($D634&lt;&gt;"Serviço","",OFFSET(ORÇAMENTO!S$15,ROW(G634)-ROW(G$15),0))</f>
        <v>-</v>
      </c>
      <c r="H634" s="124">
        <f ca="1">IF($D634&lt;&gt;"Serviço",0,IF(ACOMPANHAMENTO="BM",ROUND(OFFSET(ORÇAMENTO!AJ$15,ROW(H634)-ROW(H$15),0),15-13*ORÇAMENTO!$AF$7),SUMPRODUCT(($Q$12:$AI$12&lt;&gt;"")*ROUND($Q634:$AI634,15-13*ORÇAMENTO!$AF$7))))</f>
        <v>39.24</v>
      </c>
      <c r="I634" s="561" t="s">
        <v>1107</v>
      </c>
      <c r="K634" s="174"/>
      <c r="L634" s="175" t="s">
        <v>255</v>
      </c>
      <c r="M634" s="176">
        <f ca="1">IF($D634&lt;&gt;"Serviço","",IF(AUTOEVENTO="manual",$A634,IF(ISERROR(MATCH($A634,$A$15:OFFSET($A634,-1,0),0)),MAX($M$15:OFFSET(M634,-1,0))+1,INDEX($M$15:OFFSET(M634,-1,0),MATCH($A634,$A$15:OFFSET($A634,-1,0),0)))))</f>
        <v>66</v>
      </c>
      <c r="N634" s="177" t="str">
        <f ca="1">IF($D634&lt;&gt;"Serviço","",IF(AUTOEVENTO="Manual",IF($A634=0,"&lt;-- defina o número do agrupador",OFFSET(EVENTOS!$D$14,$A634,0)),OFFSET($F$15,$A634,0)))</f>
        <v>INSTALAÇÕES DE CABEAMENTO ESTRUTURADO - ACESSÓRIOS</v>
      </c>
      <c r="O634" s="178"/>
      <c r="Q634" s="178">
        <v>39.24</v>
      </c>
      <c r="R634" s="179"/>
      <c r="S634" s="179"/>
      <c r="T634" s="179"/>
      <c r="U634" s="179"/>
      <c r="V634" s="179"/>
      <c r="W634" s="179"/>
      <c r="X634" s="179"/>
      <c r="Y634" s="179"/>
      <c r="Z634" s="180"/>
      <c r="AA634" s="179"/>
      <c r="AB634" s="179"/>
      <c r="AC634" s="179"/>
      <c r="AD634" s="179"/>
      <c r="AE634" s="179"/>
      <c r="AF634" s="179"/>
      <c r="AG634" s="179"/>
      <c r="AH634" s="180"/>
      <c r="AJ634" s="544">
        <f ca="1">IF(AND($D634="Serviço",AJ$12&lt;&gt;0,$H634&gt;0,OR(AUTOEVENTO&lt;&gt;"manual",$M634&lt;&gt;1)),
IF(Import.TipoArredondamento&lt;&gt;"TransfereGOV",
ROUND(OFFSET($P634,0,AJ$13),15-13*ORÇAMENTO!$AF$7)/$H634*OFFSET(ORÇAMENTO!$X$15,ROW(AJ634)-ROW(AJ$15),0),
ROUND(ROUND(OFFSET($P634,0,AJ$13),15-13*ORÇAMENTO!$AF$7)*OFFSET(ORÇAMENTO!$W$15,ROW(AJ634)-ROW(AJ$15),0),15-13*ORÇAMENTO!$AF$11)),0)</f>
        <v>0</v>
      </c>
      <c r="AK634" s="545">
        <f ca="1">IF(AND($D634="Serviço",AK$12&lt;&gt;0,$H634&gt;0,OR(AUTOEVENTO&lt;&gt;"manual",$M634&lt;&gt;1)),
IF(Import.TipoArredondamento&lt;&gt;"TransfereGOV",
ROUND(OFFSET($P634,0,AK$13),15-13*ORÇAMENTO!$AF$7)/$H634*OFFSET(ORÇAMENTO!$X$15,ROW(AK634)-ROW(AK$15),0),
ROUND(ROUND(OFFSET($P634,0,AK$13),15-13*ORÇAMENTO!$AF$7)*OFFSET(ORÇAMENTO!$W$15,ROW(AK634)-ROW(AK$15),0),15-13*ORÇAMENTO!$AF$11)),0)</f>
        <v>0</v>
      </c>
      <c r="AL634" s="545">
        <f ca="1">IF(AND($D634="Serviço",AL$12&lt;&gt;0,$H634&gt;0,OR(AUTOEVENTO&lt;&gt;"manual",$M634&lt;&gt;1)),
IF(Import.TipoArredondamento&lt;&gt;"TransfereGOV",
ROUND(OFFSET($P634,0,AL$13),15-13*ORÇAMENTO!$AF$7)/$H634*OFFSET(ORÇAMENTO!$X$15,ROW(AL634)-ROW(AL$15),0),
ROUND(ROUND(OFFSET($P634,0,AL$13),15-13*ORÇAMENTO!$AF$7)*OFFSET(ORÇAMENTO!$W$15,ROW(AL634)-ROW(AL$15),0),15-13*ORÇAMENTO!$AF$11)),0)</f>
        <v>0</v>
      </c>
      <c r="AM634" s="545">
        <f ca="1">IF(AND($D634="Serviço",AM$12&lt;&gt;0,$H634&gt;0,OR(AUTOEVENTO&lt;&gt;"manual",$M634&lt;&gt;1)),
IF(Import.TipoArredondamento&lt;&gt;"TransfereGOV",
ROUND(OFFSET($P634,0,AM$13),15-13*ORÇAMENTO!$AF$7)/$H634*OFFSET(ORÇAMENTO!$X$15,ROW(AM634)-ROW(AM$15),0),
ROUND(ROUND(OFFSET($P634,0,AM$13),15-13*ORÇAMENTO!$AF$7)*OFFSET(ORÇAMENTO!$W$15,ROW(AM634)-ROW(AM$15),0),15-13*ORÇAMENTO!$AF$11)),0)</f>
        <v>0</v>
      </c>
      <c r="AN634" s="545">
        <f ca="1">IF(AND($D634="Serviço",AN$12&lt;&gt;0,$H634&gt;0,OR(AUTOEVENTO&lt;&gt;"manual",$M634&lt;&gt;1)),
IF(Import.TipoArredondamento&lt;&gt;"TransfereGOV",
ROUND(OFFSET($P634,0,AN$13),15-13*ORÇAMENTO!$AF$7)/$H634*OFFSET(ORÇAMENTO!$X$15,ROW(AN634)-ROW(AN$15),0),
ROUND(ROUND(OFFSET($P634,0,AN$13),15-13*ORÇAMENTO!$AF$7)*OFFSET(ORÇAMENTO!$W$15,ROW(AN634)-ROW(AN$15),0),15-13*ORÇAMENTO!$AF$11)),0)</f>
        <v>0</v>
      </c>
      <c r="AO634" s="545">
        <f ca="1">IF(AND($D634="Serviço",AO$12&lt;&gt;0,$H634&gt;0,OR(AUTOEVENTO&lt;&gt;"manual",$M634&lt;&gt;1)),
IF(Import.TipoArredondamento&lt;&gt;"TransfereGOV",
ROUND(OFFSET($P634,0,AO$13),15-13*ORÇAMENTO!$AF$7)/$H634*OFFSET(ORÇAMENTO!$X$15,ROW(AO634)-ROW(AO$15),0),
ROUND(ROUND(OFFSET($P634,0,AO$13),15-13*ORÇAMENTO!$AF$7)*OFFSET(ORÇAMENTO!$W$15,ROW(AO634)-ROW(AO$15),0),15-13*ORÇAMENTO!$AF$11)),0)</f>
        <v>0</v>
      </c>
      <c r="AP634" s="545">
        <f ca="1">IF(AND($D634="Serviço",AP$12&lt;&gt;0,$H634&gt;0,OR(AUTOEVENTO&lt;&gt;"manual",$M634&lt;&gt;1)),
IF(Import.TipoArredondamento&lt;&gt;"TransfereGOV",
ROUND(OFFSET($P634,0,AP$13),15-13*ORÇAMENTO!$AF$7)/$H634*OFFSET(ORÇAMENTO!$X$15,ROW(AP634)-ROW(AP$15),0),
ROUND(ROUND(OFFSET($P634,0,AP$13),15-13*ORÇAMENTO!$AF$7)*OFFSET(ORÇAMENTO!$W$15,ROW(AP634)-ROW(AP$15),0),15-13*ORÇAMENTO!$AF$11)),0)</f>
        <v>0</v>
      </c>
      <c r="AQ634" s="545">
        <f ca="1">IF(AND($D634="Serviço",AQ$12&lt;&gt;0,$H634&gt;0,OR(AUTOEVENTO&lt;&gt;"manual",$M634&lt;&gt;1)),
IF(Import.TipoArredondamento&lt;&gt;"TransfereGOV",
ROUND(OFFSET($P634,0,AQ$13),15-13*ORÇAMENTO!$AF$7)/$H634*OFFSET(ORÇAMENTO!$X$15,ROW(AQ634)-ROW(AQ$15),0),
ROUND(ROUND(OFFSET($P634,0,AQ$13),15-13*ORÇAMENTO!$AF$7)*OFFSET(ORÇAMENTO!$W$15,ROW(AQ634)-ROW(AQ$15),0),15-13*ORÇAMENTO!$AF$11)),0)</f>
        <v>0</v>
      </c>
      <c r="AR634" s="545">
        <f ca="1">IF(AND($D634="Serviço",AR$12&lt;&gt;0,$H634&gt;0,OR(AUTOEVENTO&lt;&gt;"manual",$M634&lt;&gt;1)),
IF(Import.TipoArredondamento&lt;&gt;"TransfereGOV",
ROUND(OFFSET($P634,0,AR$13),15-13*ORÇAMENTO!$AF$7)/$H634*OFFSET(ORÇAMENTO!$X$15,ROW(AR634)-ROW(AR$15),0),
ROUND(ROUND(OFFSET($P634,0,AR$13),15-13*ORÇAMENTO!$AF$7)*OFFSET(ORÇAMENTO!$W$15,ROW(AR634)-ROW(AR$15),0),15-13*ORÇAMENTO!$AF$11)),0)</f>
        <v>0</v>
      </c>
      <c r="AS634" s="546">
        <f ca="1">IF(AND($D634="Serviço",AS$12&lt;&gt;0,$H634&gt;0,OR(AUTOEVENTO&lt;&gt;"manual",$M634&lt;&gt;1)),
IF(Import.TipoArredondamento&lt;&gt;"TransfereGOV",
ROUND(OFFSET($P634,0,AS$13),15-13*ORÇAMENTO!$AF$7)/$H634*OFFSET(ORÇAMENTO!$X$15,ROW(AS634)-ROW(AS$15),0),
ROUND(ROUND(OFFSET($P634,0,AS$13),15-13*ORÇAMENTO!$AF$7)*OFFSET(ORÇAMENTO!$W$15,ROW(AS634)-ROW(AS$15),0),15-13*ORÇAMENTO!$AF$11)),0)</f>
        <v>0</v>
      </c>
      <c r="AT634" s="545">
        <f ca="1">IF(AND($D634="Serviço",AT$12&lt;&gt;0,$H634&gt;0,OR(AUTOEVENTO&lt;&gt;"manual",$M634&lt;&gt;1)),
IF(Import.TipoArredondamento&lt;&gt;"TransfereGOV",
ROUND(OFFSET($P634,0,AT$13),15-13*ORÇAMENTO!$AF$7)/$H634*OFFSET(ORÇAMENTO!$X$15,ROW(AT634)-ROW(AT$15),0),
ROUND(ROUND(OFFSET($P634,0,AT$13),15-13*ORÇAMENTO!$AF$7)*OFFSET(ORÇAMENTO!$W$15,ROW(AT634)-ROW(AT$15),0),15-13*ORÇAMENTO!$AF$11)),0)</f>
        <v>0</v>
      </c>
      <c r="AU634" s="545">
        <f ca="1">IF(AND($D634="Serviço",AU$12&lt;&gt;0,$H634&gt;0,OR(AUTOEVENTO&lt;&gt;"manual",$M634&lt;&gt;1)),
IF(Import.TipoArredondamento&lt;&gt;"TransfereGOV",
ROUND(OFFSET($P634,0,AU$13),15-13*ORÇAMENTO!$AF$7)/$H634*OFFSET(ORÇAMENTO!$X$15,ROW(AU634)-ROW(AU$15),0),
ROUND(ROUND(OFFSET($P634,0,AU$13),15-13*ORÇAMENTO!$AF$7)*OFFSET(ORÇAMENTO!$W$15,ROW(AU634)-ROW(AU$15),0),15-13*ORÇAMENTO!$AF$11)),0)</f>
        <v>0</v>
      </c>
      <c r="AV634" s="545">
        <f ca="1">IF(AND($D634="Serviço",AV$12&lt;&gt;0,$H634&gt;0,OR(AUTOEVENTO&lt;&gt;"manual",$M634&lt;&gt;1)),
IF(Import.TipoArredondamento&lt;&gt;"TransfereGOV",
ROUND(OFFSET($P634,0,AV$13),15-13*ORÇAMENTO!$AF$7)/$H634*OFFSET(ORÇAMENTO!$X$15,ROW(AV634)-ROW(AV$15),0),
ROUND(ROUND(OFFSET($P634,0,AV$13),15-13*ORÇAMENTO!$AF$7)*OFFSET(ORÇAMENTO!$W$15,ROW(AV634)-ROW(AV$15),0),15-13*ORÇAMENTO!$AF$11)),0)</f>
        <v>0</v>
      </c>
      <c r="AW634" s="545">
        <f ca="1">IF(AND($D634="Serviço",AW$12&lt;&gt;0,$H634&gt;0,OR(AUTOEVENTO&lt;&gt;"manual",$M634&lt;&gt;1)),
IF(Import.TipoArredondamento&lt;&gt;"TransfereGOV",
ROUND(OFFSET($P634,0,AW$13),15-13*ORÇAMENTO!$AF$7)/$H634*OFFSET(ORÇAMENTO!$X$15,ROW(AW634)-ROW(AW$15),0),
ROUND(ROUND(OFFSET($P634,0,AW$13),15-13*ORÇAMENTO!$AF$7)*OFFSET(ORÇAMENTO!$W$15,ROW(AW634)-ROW(AW$15),0),15-13*ORÇAMENTO!$AF$11)),0)</f>
        <v>0</v>
      </c>
      <c r="AX634" s="545">
        <f ca="1">IF(AND($D634="Serviço",AX$12&lt;&gt;0,$H634&gt;0,OR(AUTOEVENTO&lt;&gt;"manual",$M634&lt;&gt;1)),
IF(Import.TipoArredondamento&lt;&gt;"TransfereGOV",
ROUND(OFFSET($P634,0,AX$13),15-13*ORÇAMENTO!$AF$7)/$H634*OFFSET(ORÇAMENTO!$X$15,ROW(AX634)-ROW(AX$15),0),
ROUND(ROUND(OFFSET($P634,0,AX$13),15-13*ORÇAMENTO!$AF$7)*OFFSET(ORÇAMENTO!$W$15,ROW(AX634)-ROW(AX$15),0),15-13*ORÇAMENTO!$AF$11)),0)</f>
        <v>0</v>
      </c>
      <c r="AY634" s="545">
        <f ca="1">IF(AND($D634="Serviço",AY$12&lt;&gt;0,$H634&gt;0,OR(AUTOEVENTO&lt;&gt;"manual",$M634&lt;&gt;1)),
IF(Import.TipoArredondamento&lt;&gt;"TransfereGOV",
ROUND(OFFSET($P634,0,AY$13),15-13*ORÇAMENTO!$AF$7)/$H634*OFFSET(ORÇAMENTO!$X$15,ROW(AY634)-ROW(AY$15),0),
ROUND(ROUND(OFFSET($P634,0,AY$13),15-13*ORÇAMENTO!$AF$7)*OFFSET(ORÇAMENTO!$W$15,ROW(AY634)-ROW(AY$15),0),15-13*ORÇAMENTO!$AF$11)),0)</f>
        <v>0</v>
      </c>
      <c r="AZ634" s="545">
        <f ca="1">IF(AND($D634="Serviço",AZ$12&lt;&gt;0,$H634&gt;0,OR(AUTOEVENTO&lt;&gt;"manual",$M634&lt;&gt;1)),
IF(Import.TipoArredondamento&lt;&gt;"TransfereGOV",
ROUND(OFFSET($P634,0,AZ$13),15-13*ORÇAMENTO!$AF$7)/$H634*OFFSET(ORÇAMENTO!$X$15,ROW(AZ634)-ROW(AZ$15),0),
ROUND(ROUND(OFFSET($P634,0,AZ$13),15-13*ORÇAMENTO!$AF$7)*OFFSET(ORÇAMENTO!$W$15,ROW(AZ634)-ROW(AZ$15),0),15-13*ORÇAMENTO!$AF$11)),0)</f>
        <v>0</v>
      </c>
      <c r="BA634" s="546">
        <f ca="1">IF(AND($D634="Serviço",BA$12&lt;&gt;0,$H634&gt;0,OR(AUTOEVENTO&lt;&gt;"manual",$M634&lt;&gt;1)),
IF(Import.TipoArredondamento&lt;&gt;"TransfereGOV",
ROUND(OFFSET($P634,0,BA$13),15-13*ORÇAMENTO!$AF$7)/$H634*OFFSET(ORÇAMENTO!$X$15,ROW(BA634)-ROW(BA$15),0),
ROUND(ROUND(OFFSET($P634,0,BA$13),15-13*ORÇAMENTO!$AF$7)*OFFSET(ORÇAMENTO!$W$15,ROW(BA634)-ROW(BA$15),0),15-13*ORÇAMENTO!$AF$11)),0)</f>
        <v>0</v>
      </c>
      <c r="BC634" s="181">
        <f ca="1">IF($D634&lt;&gt;"Serviço",0,IF(AND(AUTOEVENTO="Manual",$M634=1),0,IF(OFFSET(CRONOPLE!$F$14,$M634,BC$13)="",10^12,OFFSET(CRONOPLE!$F$14,$M634,BC$13))))</f>
        <v>11</v>
      </c>
      <c r="BD634" s="181">
        <f ca="1">IF($D634&lt;&gt;"Serviço",0,IF(AND(AUTOEVENTO="Manual",$M634=1),0,IF(OFFSET(CRONOPLE!$F$14,$M634,BD$13)="",10^12,OFFSET(CRONOPLE!$F$14,$M634,BD$13))))</f>
        <v>1000000000000</v>
      </c>
      <c r="BE634" s="181">
        <f ca="1">IF($D634&lt;&gt;"Serviço",0,IF(AND(AUTOEVENTO="Manual",$M634=1),0,IF(OFFSET(CRONOPLE!$F$14,$M634,BE$13)="",10^12,OFFSET(CRONOPLE!$F$14,$M634,BE$13))))</f>
        <v>1000000000000</v>
      </c>
      <c r="BF634" s="181">
        <f ca="1">IF($D634&lt;&gt;"Serviço",0,IF(AND(AUTOEVENTO="Manual",$M634=1),0,IF(OFFSET(CRONOPLE!$F$14,$M634,BF$13)="",10^12,OFFSET(CRONOPLE!$F$14,$M634,BF$13))))</f>
        <v>1000000000000</v>
      </c>
      <c r="BG634" s="181">
        <f ca="1">IF($D634&lt;&gt;"Serviço",0,IF(AND(AUTOEVENTO="Manual",$M634=1),0,IF(OFFSET(CRONOPLE!$F$14,$M634,BG$13)="",10^12,OFFSET(CRONOPLE!$F$14,$M634,BG$13))))</f>
        <v>1000000000000</v>
      </c>
      <c r="BH634" s="181">
        <f ca="1">IF($D634&lt;&gt;"Serviço",0,IF(AND(AUTOEVENTO="Manual",$M634=1),0,IF(OFFSET(CRONOPLE!$F$14,$M634,BH$13)="",10^12,OFFSET(CRONOPLE!$F$14,$M634,BH$13))))</f>
        <v>1000000000000</v>
      </c>
      <c r="BI634" s="181">
        <f ca="1">IF($D634&lt;&gt;"Serviço",0,IF(AND(AUTOEVENTO="Manual",$M634=1),0,IF(OFFSET(CRONOPLE!$F$14,$M634,BI$13)="",10^12,OFFSET(CRONOPLE!$F$14,$M634,BI$13))))</f>
        <v>1000000000000</v>
      </c>
      <c r="BJ634" s="181">
        <f ca="1">IF($D634&lt;&gt;"Serviço",0,IF(AND(AUTOEVENTO="Manual",$M634=1),0,IF(OFFSET(CRONOPLE!$F$14,$M634,BJ$13)="",10^12,OFFSET(CRONOPLE!$F$14,$M634,BJ$13))))</f>
        <v>1000000000000</v>
      </c>
      <c r="BK634" s="181">
        <f ca="1">IF($D634&lt;&gt;"Serviço",0,IF(AND(AUTOEVENTO="Manual",$M634=1),0,IF(OFFSET(CRONOPLE!$F$14,$M634,BK$13)="",10^12,OFFSET(CRONOPLE!$F$14,$M634,BK$13))))</f>
        <v>1000000000000</v>
      </c>
      <c r="BL634" s="181">
        <f ca="1">IF($D634&lt;&gt;"Serviço",0,IF(AND(AUTOEVENTO="Manual",$M634=1),0,IF(OFFSET(CRONOPLE!$F$14,$M634,BL$13)="",10^12,OFFSET(CRONOPLE!$F$14,$M634,BL$13))))</f>
        <v>1000000000000</v>
      </c>
      <c r="BM634" s="181">
        <f ca="1">IF($D634&lt;&gt;"Serviço",0,IF(AND(AUTOEVENTO="Manual",$M634=1),0,IF(OFFSET(CRONOPLE!$F$14,$M634,BM$13)="",10^12,OFFSET(CRONOPLE!$F$14,$M634,BM$13))))</f>
        <v>1000000000000</v>
      </c>
      <c r="BN634" s="181">
        <f ca="1">IF($D634&lt;&gt;"Serviço",0,IF(AND(AUTOEVENTO="Manual",$M634=1),0,IF(OFFSET(CRONOPLE!$F$14,$M634,BN$13)="",10^12,OFFSET(CRONOPLE!$F$14,$M634,BN$13))))</f>
        <v>1000000000000</v>
      </c>
      <c r="BO634" s="181">
        <f ca="1">IF($D634&lt;&gt;"Serviço",0,IF(AND(AUTOEVENTO="Manual",$M634=1),0,IF(OFFSET(CRONOPLE!$F$14,$M634,BO$13)="",10^12,OFFSET(CRONOPLE!$F$14,$M634,BO$13))))</f>
        <v>1000000000000</v>
      </c>
      <c r="BP634" s="181">
        <f ca="1">IF($D634&lt;&gt;"Serviço",0,IF(AND(AUTOEVENTO="Manual",$M634=1),0,IF(OFFSET(CRONOPLE!$F$14,$M634,BP$13)="",10^12,OFFSET(CRONOPLE!$F$14,$M634,BP$13))))</f>
        <v>1000000000000</v>
      </c>
      <c r="BQ634" s="181">
        <f ca="1">IF($D634&lt;&gt;"Serviço",0,IF(AND(AUTOEVENTO="Manual",$M634=1),0,IF(OFFSET(CRONOPLE!$F$14,$M634,BQ$13)="",10^12,OFFSET(CRONOPLE!$F$14,$M634,BQ$13))))</f>
        <v>1000000000000</v>
      </c>
      <c r="BR634" s="181">
        <f ca="1">IF($D634&lt;&gt;"Serviço",0,IF(AND(AUTOEVENTO="Manual",$M634=1),0,IF(OFFSET(CRONOPLE!$F$14,$M634,BR$13)="",10^12,OFFSET(CRONOPLE!$F$14,$M634,BR$13))))</f>
        <v>1000000000000</v>
      </c>
      <c r="BS634" s="181">
        <f ca="1">IF($D634&lt;&gt;"Serviço",0,IF(AND(AUTOEVENTO="Manual",$M634=1),0,IF(OFFSET(CRONOPLE!$F$14,$M634,BS$13)="",10^12,OFFSET(CRONOPLE!$F$14,$M634,BS$13))))</f>
        <v>1000000000000</v>
      </c>
      <c r="BT634" s="181">
        <f ca="1">IF($D634&lt;&gt;"Serviço",0,IF(AND(AUTOEVENTO="Manual",$M634=1),0,IF(OFFSET(CRONOPLE!$F$14,$M634,BT$13)="",10^12,OFFSET(CRONOPLE!$F$14,$M634,BT$13))))</f>
        <v>1000000000000</v>
      </c>
      <c r="BV634" s="182">
        <f ca="1">IF($D634&lt;&gt;"Serviço",0,IF(OR(AND(AUTOEVENTO="Manual",$M634=1),$M634&gt;(ROW(PLE.lastrow)-ROW(PLE.firstrow))),0,IF(OFFSET(PLE!$G$14,$M634,BV$13)="",10^12,OFFSET(PLE!$G$14,$M634,BV$13))))</f>
        <v>1000000000000</v>
      </c>
      <c r="BW634" s="182">
        <f ca="1">IF($D634&lt;&gt;"Serviço",0,IF(OR(AND(AUTOEVENTO="Manual",$M634=1),$M634&gt;(ROW(PLE.lastrow)-ROW(PLE.firstrow))),0,IF(OFFSET(PLE!$G$14,$M634,BW$13)="",10^12,OFFSET(PLE!$G$14,$M634,BW$13))))</f>
        <v>1000000000000</v>
      </c>
      <c r="BX634" s="182">
        <f ca="1">IF($D634&lt;&gt;"Serviço",0,IF(OR(AND(AUTOEVENTO="Manual",$M634=1),$M634&gt;(ROW(PLE.lastrow)-ROW(PLE.firstrow))),0,IF(OFFSET(PLE!$G$14,$M634,BX$13)="",10^12,OFFSET(PLE!$G$14,$M634,BX$13))))</f>
        <v>1000000000000</v>
      </c>
      <c r="BY634" s="182">
        <f ca="1">IF($D634&lt;&gt;"Serviço",0,IF(OR(AND(AUTOEVENTO="Manual",$M634=1),$M634&gt;(ROW(PLE.lastrow)-ROW(PLE.firstrow))),0,IF(OFFSET(PLE!$G$14,$M634,BY$13)="",10^12,OFFSET(PLE!$G$14,$M634,BY$13))))</f>
        <v>1000000000000</v>
      </c>
      <c r="BZ634" s="182">
        <f ca="1">IF($D634&lt;&gt;"Serviço",0,IF(OR(AND(AUTOEVENTO="Manual",$M634=1),$M634&gt;(ROW(PLE.lastrow)-ROW(PLE.firstrow))),0,IF(OFFSET(PLE!$G$14,$M634,BZ$13)="",10^12,OFFSET(PLE!$G$14,$M634,BZ$13))))</f>
        <v>1000000000000</v>
      </c>
      <c r="CA634" s="182">
        <f ca="1">IF($D634&lt;&gt;"Serviço",0,IF(OR(AND(AUTOEVENTO="Manual",$M634=1),$M634&gt;(ROW(PLE.lastrow)-ROW(PLE.firstrow))),0,IF(OFFSET(PLE!$G$14,$M634,CA$13)="",10^12,OFFSET(PLE!$G$14,$M634,CA$13))))</f>
        <v>1000000000000</v>
      </c>
      <c r="CB634" s="182">
        <f ca="1">IF($D634&lt;&gt;"Serviço",0,IF(OR(AND(AUTOEVENTO="Manual",$M634=1),$M634&gt;(ROW(PLE.lastrow)-ROW(PLE.firstrow))),0,IF(OFFSET(PLE!$G$14,$M634,CB$13)="",10^12,OFFSET(PLE!$G$14,$M634,CB$13))))</f>
        <v>1000000000000</v>
      </c>
      <c r="CC634" s="182">
        <f ca="1">IF($D634&lt;&gt;"Serviço",0,IF(OR(AND(AUTOEVENTO="Manual",$M634=1),$M634&gt;(ROW(PLE.lastrow)-ROW(PLE.firstrow))),0,IF(OFFSET(PLE!$G$14,$M634,CC$13)="",10^12,OFFSET(PLE!$G$14,$M634,CC$13))))</f>
        <v>1000000000000</v>
      </c>
      <c r="CD634" s="182">
        <f ca="1">IF($D634&lt;&gt;"Serviço",0,IF(OR(AND(AUTOEVENTO="Manual",$M634=1),$M634&gt;(ROW(PLE.lastrow)-ROW(PLE.firstrow))),0,IF(OFFSET(PLE!$G$14,$M634,CD$13)="",10^12,OFFSET(PLE!$G$14,$M634,CD$13))))</f>
        <v>1000000000000</v>
      </c>
      <c r="CE634" s="182">
        <f ca="1">IF($D634&lt;&gt;"Serviço",0,IF(OR(AND(AUTOEVENTO="Manual",$M634=1),$M634&gt;(ROW(PLE.lastrow)-ROW(PLE.firstrow))),0,IF(OFFSET(PLE!$G$14,$M634,CE$13)="",10^12,OFFSET(PLE!$G$14,$M634,CE$13))))</f>
        <v>1000000000000</v>
      </c>
      <c r="CF634" s="182">
        <f ca="1">IF($D634&lt;&gt;"Serviço",0,IF(OR(AND(AUTOEVENTO="Manual",$M634=1),$M634&gt;(ROW(PLE.lastrow)-ROW(PLE.firstrow))),0,IF(OFFSET(PLE!$G$14,$M634,CF$13)="",10^12,OFFSET(PLE!$G$14,$M634,CF$13))))</f>
        <v>1000000000000</v>
      </c>
      <c r="CG634" s="182">
        <f ca="1">IF($D634&lt;&gt;"Serviço",0,IF(OR(AND(AUTOEVENTO="Manual",$M634=1),$M634&gt;(ROW(PLE.lastrow)-ROW(PLE.firstrow))),0,IF(OFFSET(PLE!$G$14,$M634,CG$13)="",10^12,OFFSET(PLE!$G$14,$M634,CG$13))))</f>
        <v>1000000000000</v>
      </c>
      <c r="CH634" s="182">
        <f ca="1">IF($D634&lt;&gt;"Serviço",0,IF(OR(AND(AUTOEVENTO="Manual",$M634=1),$M634&gt;(ROW(PLE.lastrow)-ROW(PLE.firstrow))),0,IF(OFFSET(PLE!$G$14,$M634,CH$13)="",10^12,OFFSET(PLE!$G$14,$M634,CH$13))))</f>
        <v>1000000000000</v>
      </c>
      <c r="CI634" s="182">
        <f ca="1">IF($D634&lt;&gt;"Serviço",0,IF(OR(AND(AUTOEVENTO="Manual",$M634=1),$M634&gt;(ROW(PLE.lastrow)-ROW(PLE.firstrow))),0,IF(OFFSET(PLE!$G$14,$M634,CI$13)="",10^12,OFFSET(PLE!$G$14,$M634,CI$13))))</f>
        <v>1000000000000</v>
      </c>
      <c r="CJ634" s="182">
        <f ca="1">IF($D634&lt;&gt;"Serviço",0,IF(OR(AND(AUTOEVENTO="Manual",$M634=1),$M634&gt;(ROW(PLE.lastrow)-ROW(PLE.firstrow))),0,IF(OFFSET(PLE!$G$14,$M634,CJ$13)="",10^12,OFFSET(PLE!$G$14,$M634,CJ$13))))</f>
        <v>1000000000000</v>
      </c>
      <c r="CK634" s="182">
        <f ca="1">IF($D634&lt;&gt;"Serviço",0,IF(OR(AND(AUTOEVENTO="Manual",$M634=1),$M634&gt;(ROW(PLE.lastrow)-ROW(PLE.firstrow))),0,IF(OFFSET(PLE!$G$14,$M634,CK$13)="",10^12,OFFSET(PLE!$G$14,$M634,CK$13))))</f>
        <v>1000000000000</v>
      </c>
      <c r="CL634" s="182">
        <f ca="1">IF($D634&lt;&gt;"Serviço",0,IF(OR(AND(AUTOEVENTO="Manual",$M634=1),$M634&gt;(ROW(PLE.lastrow)-ROW(PLE.firstrow))),0,IF(OFFSET(PLE!$G$14,$M634,CL$13)="",10^12,OFFSET(PLE!$G$14,$M634,CL$13))))</f>
        <v>1000000000000</v>
      </c>
      <c r="CM634" s="182">
        <f ca="1">IF($D634&lt;&gt;"Serviço",0,IF(OR(AND(AUTOEVENTO="Manual",$M634=1),$M634&gt;(ROW(PLE.lastrow)-ROW(PLE.firstrow))),0,IF(OFFSET(PLE!$G$14,$M634,CM$13)="",10^12,OFFSET(PLE!$G$14,$M634,CM$13))))</f>
        <v>1000000000000</v>
      </c>
    </row>
    <row r="635" spans="1:91" ht="38.25" x14ac:dyDescent="0.2">
      <c r="A635" s="7" t="str">
        <f t="shared" ca="1" si="18"/>
        <v>613</v>
      </c>
      <c r="B635" s="7" t="str">
        <f ca="1">OFFSET(ORÇAMENTO!C$15,ROW(B635)-ROW(B$15),0)</f>
        <v>S</v>
      </c>
      <c r="C635" s="7" t="str">
        <f ca="1">OFFSET(ORÇAMENTO!L$15,ROW(C635)-ROW(C$15),0)</f>
        <v/>
      </c>
      <c r="D635" s="118" t="str">
        <f ca="1">OFFSET(ORÇAMENTO!N$15,ROW(D635)-ROW(D$15),0)</f>
        <v>Serviço</v>
      </c>
      <c r="E635" s="119" t="str">
        <f ca="1">OFFSET(ORÇAMENTO!O$15,ROW(E635)-ROW(E$15),0)</f>
        <v>-</v>
      </c>
      <c r="F635" s="172" t="str">
        <f ca="1">OFFSET(ORÇAMENTO!R$15,ROW(F635)-ROW(F$15),0)</f>
        <v>(abra o arquivo 'Referência 06-2024.xlsm)</v>
      </c>
      <c r="G635" s="173" t="str">
        <f ca="1">IF($D635&lt;&gt;"Serviço","",OFFSET(ORÇAMENTO!S$15,ROW(G635)-ROW(G$15),0))</f>
        <v>-</v>
      </c>
      <c r="H635" s="124">
        <f ca="1">IF($D635&lt;&gt;"Serviço",0,IF(ACOMPANHAMENTO="BM",ROUND(OFFSET(ORÇAMENTO!AJ$15,ROW(H635)-ROW(H$15),0),15-13*ORÇAMENTO!$AF$7),SUMPRODUCT(($Q$12:$AI$12&lt;&gt;"")*ROUND($Q635:$AI635,15-13*ORÇAMENTO!$AF$7))))</f>
        <v>65</v>
      </c>
      <c r="I635" s="561" t="s">
        <v>1107</v>
      </c>
      <c r="K635" s="174"/>
      <c r="L635" s="175" t="s">
        <v>255</v>
      </c>
      <c r="M635" s="176">
        <f ca="1">IF($D635&lt;&gt;"Serviço","",IF(AUTOEVENTO="manual",$A635,IF(ISERROR(MATCH($A635,$A$15:OFFSET($A635,-1,0),0)),MAX($M$15:OFFSET(M635,-1,0))+1,INDEX($M$15:OFFSET(M635,-1,0),MATCH($A635,$A$15:OFFSET($A635,-1,0),0)))))</f>
        <v>66</v>
      </c>
      <c r="N635" s="177" t="str">
        <f ca="1">IF($D635&lt;&gt;"Serviço","",IF(AUTOEVENTO="Manual",IF($A635=0,"&lt;-- defina o número do agrupador",OFFSET(EVENTOS!$D$14,$A635,0)),OFFSET($F$15,$A635,0)))</f>
        <v>INSTALAÇÕES DE CABEAMENTO ESTRUTURADO - ACESSÓRIOS</v>
      </c>
      <c r="O635" s="178"/>
      <c r="Q635" s="178">
        <v>65</v>
      </c>
      <c r="R635" s="179"/>
      <c r="S635" s="179"/>
      <c r="T635" s="179"/>
      <c r="U635" s="179"/>
      <c r="V635" s="179"/>
      <c r="W635" s="179"/>
      <c r="X635" s="179"/>
      <c r="Y635" s="179"/>
      <c r="Z635" s="180"/>
      <c r="AA635" s="179"/>
      <c r="AB635" s="179"/>
      <c r="AC635" s="179"/>
      <c r="AD635" s="179"/>
      <c r="AE635" s="179"/>
      <c r="AF635" s="179"/>
      <c r="AG635" s="179"/>
      <c r="AH635" s="180"/>
      <c r="AJ635" s="544">
        <f ca="1">IF(AND($D635="Serviço",AJ$12&lt;&gt;0,$H635&gt;0,OR(AUTOEVENTO&lt;&gt;"manual",$M635&lt;&gt;1)),
IF(Import.TipoArredondamento&lt;&gt;"TransfereGOV",
ROUND(OFFSET($P635,0,AJ$13),15-13*ORÇAMENTO!$AF$7)/$H635*OFFSET(ORÇAMENTO!$X$15,ROW(AJ635)-ROW(AJ$15),0),
ROUND(ROUND(OFFSET($P635,0,AJ$13),15-13*ORÇAMENTO!$AF$7)*OFFSET(ORÇAMENTO!$W$15,ROW(AJ635)-ROW(AJ$15),0),15-13*ORÇAMENTO!$AF$11)),0)</f>
        <v>0</v>
      </c>
      <c r="AK635" s="545">
        <f ca="1">IF(AND($D635="Serviço",AK$12&lt;&gt;0,$H635&gt;0,OR(AUTOEVENTO&lt;&gt;"manual",$M635&lt;&gt;1)),
IF(Import.TipoArredondamento&lt;&gt;"TransfereGOV",
ROUND(OFFSET($P635,0,AK$13),15-13*ORÇAMENTO!$AF$7)/$H635*OFFSET(ORÇAMENTO!$X$15,ROW(AK635)-ROW(AK$15),0),
ROUND(ROUND(OFFSET($P635,0,AK$13),15-13*ORÇAMENTO!$AF$7)*OFFSET(ORÇAMENTO!$W$15,ROW(AK635)-ROW(AK$15),0),15-13*ORÇAMENTO!$AF$11)),0)</f>
        <v>0</v>
      </c>
      <c r="AL635" s="545">
        <f ca="1">IF(AND($D635="Serviço",AL$12&lt;&gt;0,$H635&gt;0,OR(AUTOEVENTO&lt;&gt;"manual",$M635&lt;&gt;1)),
IF(Import.TipoArredondamento&lt;&gt;"TransfereGOV",
ROUND(OFFSET($P635,0,AL$13),15-13*ORÇAMENTO!$AF$7)/$H635*OFFSET(ORÇAMENTO!$X$15,ROW(AL635)-ROW(AL$15),0),
ROUND(ROUND(OFFSET($P635,0,AL$13),15-13*ORÇAMENTO!$AF$7)*OFFSET(ORÇAMENTO!$W$15,ROW(AL635)-ROW(AL$15),0),15-13*ORÇAMENTO!$AF$11)),0)</f>
        <v>0</v>
      </c>
      <c r="AM635" s="545">
        <f ca="1">IF(AND($D635="Serviço",AM$12&lt;&gt;0,$H635&gt;0,OR(AUTOEVENTO&lt;&gt;"manual",$M635&lt;&gt;1)),
IF(Import.TipoArredondamento&lt;&gt;"TransfereGOV",
ROUND(OFFSET($P635,0,AM$13),15-13*ORÇAMENTO!$AF$7)/$H635*OFFSET(ORÇAMENTO!$X$15,ROW(AM635)-ROW(AM$15),0),
ROUND(ROUND(OFFSET($P635,0,AM$13),15-13*ORÇAMENTO!$AF$7)*OFFSET(ORÇAMENTO!$W$15,ROW(AM635)-ROW(AM$15),0),15-13*ORÇAMENTO!$AF$11)),0)</f>
        <v>0</v>
      </c>
      <c r="AN635" s="545">
        <f ca="1">IF(AND($D635="Serviço",AN$12&lt;&gt;0,$H635&gt;0,OR(AUTOEVENTO&lt;&gt;"manual",$M635&lt;&gt;1)),
IF(Import.TipoArredondamento&lt;&gt;"TransfereGOV",
ROUND(OFFSET($P635,0,AN$13),15-13*ORÇAMENTO!$AF$7)/$H635*OFFSET(ORÇAMENTO!$X$15,ROW(AN635)-ROW(AN$15),0),
ROUND(ROUND(OFFSET($P635,0,AN$13),15-13*ORÇAMENTO!$AF$7)*OFFSET(ORÇAMENTO!$W$15,ROW(AN635)-ROW(AN$15),0),15-13*ORÇAMENTO!$AF$11)),0)</f>
        <v>0</v>
      </c>
      <c r="AO635" s="545">
        <f ca="1">IF(AND($D635="Serviço",AO$12&lt;&gt;0,$H635&gt;0,OR(AUTOEVENTO&lt;&gt;"manual",$M635&lt;&gt;1)),
IF(Import.TipoArredondamento&lt;&gt;"TransfereGOV",
ROUND(OFFSET($P635,0,AO$13),15-13*ORÇAMENTO!$AF$7)/$H635*OFFSET(ORÇAMENTO!$X$15,ROW(AO635)-ROW(AO$15),0),
ROUND(ROUND(OFFSET($P635,0,AO$13),15-13*ORÇAMENTO!$AF$7)*OFFSET(ORÇAMENTO!$W$15,ROW(AO635)-ROW(AO$15),0),15-13*ORÇAMENTO!$AF$11)),0)</f>
        <v>0</v>
      </c>
      <c r="AP635" s="545">
        <f ca="1">IF(AND($D635="Serviço",AP$12&lt;&gt;0,$H635&gt;0,OR(AUTOEVENTO&lt;&gt;"manual",$M635&lt;&gt;1)),
IF(Import.TipoArredondamento&lt;&gt;"TransfereGOV",
ROUND(OFFSET($P635,0,AP$13),15-13*ORÇAMENTO!$AF$7)/$H635*OFFSET(ORÇAMENTO!$X$15,ROW(AP635)-ROW(AP$15),0),
ROUND(ROUND(OFFSET($P635,0,AP$13),15-13*ORÇAMENTO!$AF$7)*OFFSET(ORÇAMENTO!$W$15,ROW(AP635)-ROW(AP$15),0),15-13*ORÇAMENTO!$AF$11)),0)</f>
        <v>0</v>
      </c>
      <c r="AQ635" s="545">
        <f ca="1">IF(AND($D635="Serviço",AQ$12&lt;&gt;0,$H635&gt;0,OR(AUTOEVENTO&lt;&gt;"manual",$M635&lt;&gt;1)),
IF(Import.TipoArredondamento&lt;&gt;"TransfereGOV",
ROUND(OFFSET($P635,0,AQ$13),15-13*ORÇAMENTO!$AF$7)/$H635*OFFSET(ORÇAMENTO!$X$15,ROW(AQ635)-ROW(AQ$15),0),
ROUND(ROUND(OFFSET($P635,0,AQ$13),15-13*ORÇAMENTO!$AF$7)*OFFSET(ORÇAMENTO!$W$15,ROW(AQ635)-ROW(AQ$15),0),15-13*ORÇAMENTO!$AF$11)),0)</f>
        <v>0</v>
      </c>
      <c r="AR635" s="545">
        <f ca="1">IF(AND($D635="Serviço",AR$12&lt;&gt;0,$H635&gt;0,OR(AUTOEVENTO&lt;&gt;"manual",$M635&lt;&gt;1)),
IF(Import.TipoArredondamento&lt;&gt;"TransfereGOV",
ROUND(OFFSET($P635,0,AR$13),15-13*ORÇAMENTO!$AF$7)/$H635*OFFSET(ORÇAMENTO!$X$15,ROW(AR635)-ROW(AR$15),0),
ROUND(ROUND(OFFSET($P635,0,AR$13),15-13*ORÇAMENTO!$AF$7)*OFFSET(ORÇAMENTO!$W$15,ROW(AR635)-ROW(AR$15),0),15-13*ORÇAMENTO!$AF$11)),0)</f>
        <v>0</v>
      </c>
      <c r="AS635" s="546">
        <f ca="1">IF(AND($D635="Serviço",AS$12&lt;&gt;0,$H635&gt;0,OR(AUTOEVENTO&lt;&gt;"manual",$M635&lt;&gt;1)),
IF(Import.TipoArredondamento&lt;&gt;"TransfereGOV",
ROUND(OFFSET($P635,0,AS$13),15-13*ORÇAMENTO!$AF$7)/$H635*OFFSET(ORÇAMENTO!$X$15,ROW(AS635)-ROW(AS$15),0),
ROUND(ROUND(OFFSET($P635,0,AS$13),15-13*ORÇAMENTO!$AF$7)*OFFSET(ORÇAMENTO!$W$15,ROW(AS635)-ROW(AS$15),0),15-13*ORÇAMENTO!$AF$11)),0)</f>
        <v>0</v>
      </c>
      <c r="AT635" s="545">
        <f ca="1">IF(AND($D635="Serviço",AT$12&lt;&gt;0,$H635&gt;0,OR(AUTOEVENTO&lt;&gt;"manual",$M635&lt;&gt;1)),
IF(Import.TipoArredondamento&lt;&gt;"TransfereGOV",
ROUND(OFFSET($P635,0,AT$13),15-13*ORÇAMENTO!$AF$7)/$H635*OFFSET(ORÇAMENTO!$X$15,ROW(AT635)-ROW(AT$15),0),
ROUND(ROUND(OFFSET($P635,0,AT$13),15-13*ORÇAMENTO!$AF$7)*OFFSET(ORÇAMENTO!$W$15,ROW(AT635)-ROW(AT$15),0),15-13*ORÇAMENTO!$AF$11)),0)</f>
        <v>0</v>
      </c>
      <c r="AU635" s="545">
        <f ca="1">IF(AND($D635="Serviço",AU$12&lt;&gt;0,$H635&gt;0,OR(AUTOEVENTO&lt;&gt;"manual",$M635&lt;&gt;1)),
IF(Import.TipoArredondamento&lt;&gt;"TransfereGOV",
ROUND(OFFSET($P635,0,AU$13),15-13*ORÇAMENTO!$AF$7)/$H635*OFFSET(ORÇAMENTO!$X$15,ROW(AU635)-ROW(AU$15),0),
ROUND(ROUND(OFFSET($P635,0,AU$13),15-13*ORÇAMENTO!$AF$7)*OFFSET(ORÇAMENTO!$W$15,ROW(AU635)-ROW(AU$15),0),15-13*ORÇAMENTO!$AF$11)),0)</f>
        <v>0</v>
      </c>
      <c r="AV635" s="545">
        <f ca="1">IF(AND($D635="Serviço",AV$12&lt;&gt;0,$H635&gt;0,OR(AUTOEVENTO&lt;&gt;"manual",$M635&lt;&gt;1)),
IF(Import.TipoArredondamento&lt;&gt;"TransfereGOV",
ROUND(OFFSET($P635,0,AV$13),15-13*ORÇAMENTO!$AF$7)/$H635*OFFSET(ORÇAMENTO!$X$15,ROW(AV635)-ROW(AV$15),0),
ROUND(ROUND(OFFSET($P635,0,AV$13),15-13*ORÇAMENTO!$AF$7)*OFFSET(ORÇAMENTO!$W$15,ROW(AV635)-ROW(AV$15),0),15-13*ORÇAMENTO!$AF$11)),0)</f>
        <v>0</v>
      </c>
      <c r="AW635" s="545">
        <f ca="1">IF(AND($D635="Serviço",AW$12&lt;&gt;0,$H635&gt;0,OR(AUTOEVENTO&lt;&gt;"manual",$M635&lt;&gt;1)),
IF(Import.TipoArredondamento&lt;&gt;"TransfereGOV",
ROUND(OFFSET($P635,0,AW$13),15-13*ORÇAMENTO!$AF$7)/$H635*OFFSET(ORÇAMENTO!$X$15,ROW(AW635)-ROW(AW$15),0),
ROUND(ROUND(OFFSET($P635,0,AW$13),15-13*ORÇAMENTO!$AF$7)*OFFSET(ORÇAMENTO!$W$15,ROW(AW635)-ROW(AW$15),0),15-13*ORÇAMENTO!$AF$11)),0)</f>
        <v>0</v>
      </c>
      <c r="AX635" s="545">
        <f ca="1">IF(AND($D635="Serviço",AX$12&lt;&gt;0,$H635&gt;0,OR(AUTOEVENTO&lt;&gt;"manual",$M635&lt;&gt;1)),
IF(Import.TipoArredondamento&lt;&gt;"TransfereGOV",
ROUND(OFFSET($P635,0,AX$13),15-13*ORÇAMENTO!$AF$7)/$H635*OFFSET(ORÇAMENTO!$X$15,ROW(AX635)-ROW(AX$15),0),
ROUND(ROUND(OFFSET($P635,0,AX$13),15-13*ORÇAMENTO!$AF$7)*OFFSET(ORÇAMENTO!$W$15,ROW(AX635)-ROW(AX$15),0),15-13*ORÇAMENTO!$AF$11)),0)</f>
        <v>0</v>
      </c>
      <c r="AY635" s="545">
        <f ca="1">IF(AND($D635="Serviço",AY$12&lt;&gt;0,$H635&gt;0,OR(AUTOEVENTO&lt;&gt;"manual",$M635&lt;&gt;1)),
IF(Import.TipoArredondamento&lt;&gt;"TransfereGOV",
ROUND(OFFSET($P635,0,AY$13),15-13*ORÇAMENTO!$AF$7)/$H635*OFFSET(ORÇAMENTO!$X$15,ROW(AY635)-ROW(AY$15),0),
ROUND(ROUND(OFFSET($P635,0,AY$13),15-13*ORÇAMENTO!$AF$7)*OFFSET(ORÇAMENTO!$W$15,ROW(AY635)-ROW(AY$15),0),15-13*ORÇAMENTO!$AF$11)),0)</f>
        <v>0</v>
      </c>
      <c r="AZ635" s="545">
        <f ca="1">IF(AND($D635="Serviço",AZ$12&lt;&gt;0,$H635&gt;0,OR(AUTOEVENTO&lt;&gt;"manual",$M635&lt;&gt;1)),
IF(Import.TipoArredondamento&lt;&gt;"TransfereGOV",
ROUND(OFFSET($P635,0,AZ$13),15-13*ORÇAMENTO!$AF$7)/$H635*OFFSET(ORÇAMENTO!$X$15,ROW(AZ635)-ROW(AZ$15),0),
ROUND(ROUND(OFFSET($P635,0,AZ$13),15-13*ORÇAMENTO!$AF$7)*OFFSET(ORÇAMENTO!$W$15,ROW(AZ635)-ROW(AZ$15),0),15-13*ORÇAMENTO!$AF$11)),0)</f>
        <v>0</v>
      </c>
      <c r="BA635" s="546">
        <f ca="1">IF(AND($D635="Serviço",BA$12&lt;&gt;0,$H635&gt;0,OR(AUTOEVENTO&lt;&gt;"manual",$M635&lt;&gt;1)),
IF(Import.TipoArredondamento&lt;&gt;"TransfereGOV",
ROUND(OFFSET($P635,0,BA$13),15-13*ORÇAMENTO!$AF$7)/$H635*OFFSET(ORÇAMENTO!$X$15,ROW(BA635)-ROW(BA$15),0),
ROUND(ROUND(OFFSET($P635,0,BA$13),15-13*ORÇAMENTO!$AF$7)*OFFSET(ORÇAMENTO!$W$15,ROW(BA635)-ROW(BA$15),0),15-13*ORÇAMENTO!$AF$11)),0)</f>
        <v>0</v>
      </c>
      <c r="BC635" s="181">
        <f ca="1">IF($D635&lt;&gt;"Serviço",0,IF(AND(AUTOEVENTO="Manual",$M635=1),0,IF(OFFSET(CRONOPLE!$F$14,$M635,BC$13)="",10^12,OFFSET(CRONOPLE!$F$14,$M635,BC$13))))</f>
        <v>11</v>
      </c>
      <c r="BD635" s="181">
        <f ca="1">IF($D635&lt;&gt;"Serviço",0,IF(AND(AUTOEVENTO="Manual",$M635=1),0,IF(OFFSET(CRONOPLE!$F$14,$M635,BD$13)="",10^12,OFFSET(CRONOPLE!$F$14,$M635,BD$13))))</f>
        <v>1000000000000</v>
      </c>
      <c r="BE635" s="181">
        <f ca="1">IF($D635&lt;&gt;"Serviço",0,IF(AND(AUTOEVENTO="Manual",$M635=1),0,IF(OFFSET(CRONOPLE!$F$14,$M635,BE$13)="",10^12,OFFSET(CRONOPLE!$F$14,$M635,BE$13))))</f>
        <v>1000000000000</v>
      </c>
      <c r="BF635" s="181">
        <f ca="1">IF($D635&lt;&gt;"Serviço",0,IF(AND(AUTOEVENTO="Manual",$M635=1),0,IF(OFFSET(CRONOPLE!$F$14,$M635,BF$13)="",10^12,OFFSET(CRONOPLE!$F$14,$M635,BF$13))))</f>
        <v>1000000000000</v>
      </c>
      <c r="BG635" s="181">
        <f ca="1">IF($D635&lt;&gt;"Serviço",0,IF(AND(AUTOEVENTO="Manual",$M635=1),0,IF(OFFSET(CRONOPLE!$F$14,$M635,BG$13)="",10^12,OFFSET(CRONOPLE!$F$14,$M635,BG$13))))</f>
        <v>1000000000000</v>
      </c>
      <c r="BH635" s="181">
        <f ca="1">IF($D635&lt;&gt;"Serviço",0,IF(AND(AUTOEVENTO="Manual",$M635=1),0,IF(OFFSET(CRONOPLE!$F$14,$M635,BH$13)="",10^12,OFFSET(CRONOPLE!$F$14,$M635,BH$13))))</f>
        <v>1000000000000</v>
      </c>
      <c r="BI635" s="181">
        <f ca="1">IF($D635&lt;&gt;"Serviço",0,IF(AND(AUTOEVENTO="Manual",$M635=1),0,IF(OFFSET(CRONOPLE!$F$14,$M635,BI$13)="",10^12,OFFSET(CRONOPLE!$F$14,$M635,BI$13))))</f>
        <v>1000000000000</v>
      </c>
      <c r="BJ635" s="181">
        <f ca="1">IF($D635&lt;&gt;"Serviço",0,IF(AND(AUTOEVENTO="Manual",$M635=1),0,IF(OFFSET(CRONOPLE!$F$14,$M635,BJ$13)="",10^12,OFFSET(CRONOPLE!$F$14,$M635,BJ$13))))</f>
        <v>1000000000000</v>
      </c>
      <c r="BK635" s="181">
        <f ca="1">IF($D635&lt;&gt;"Serviço",0,IF(AND(AUTOEVENTO="Manual",$M635=1),0,IF(OFFSET(CRONOPLE!$F$14,$M635,BK$13)="",10^12,OFFSET(CRONOPLE!$F$14,$M635,BK$13))))</f>
        <v>1000000000000</v>
      </c>
      <c r="BL635" s="181">
        <f ca="1">IF($D635&lt;&gt;"Serviço",0,IF(AND(AUTOEVENTO="Manual",$M635=1),0,IF(OFFSET(CRONOPLE!$F$14,$M635,BL$13)="",10^12,OFFSET(CRONOPLE!$F$14,$M635,BL$13))))</f>
        <v>1000000000000</v>
      </c>
      <c r="BM635" s="181">
        <f ca="1">IF($D635&lt;&gt;"Serviço",0,IF(AND(AUTOEVENTO="Manual",$M635=1),0,IF(OFFSET(CRONOPLE!$F$14,$M635,BM$13)="",10^12,OFFSET(CRONOPLE!$F$14,$M635,BM$13))))</f>
        <v>1000000000000</v>
      </c>
      <c r="BN635" s="181">
        <f ca="1">IF($D635&lt;&gt;"Serviço",0,IF(AND(AUTOEVENTO="Manual",$M635=1),0,IF(OFFSET(CRONOPLE!$F$14,$M635,BN$13)="",10^12,OFFSET(CRONOPLE!$F$14,$M635,BN$13))))</f>
        <v>1000000000000</v>
      </c>
      <c r="BO635" s="181">
        <f ca="1">IF($D635&lt;&gt;"Serviço",0,IF(AND(AUTOEVENTO="Manual",$M635=1),0,IF(OFFSET(CRONOPLE!$F$14,$M635,BO$13)="",10^12,OFFSET(CRONOPLE!$F$14,$M635,BO$13))))</f>
        <v>1000000000000</v>
      </c>
      <c r="BP635" s="181">
        <f ca="1">IF($D635&lt;&gt;"Serviço",0,IF(AND(AUTOEVENTO="Manual",$M635=1),0,IF(OFFSET(CRONOPLE!$F$14,$M635,BP$13)="",10^12,OFFSET(CRONOPLE!$F$14,$M635,BP$13))))</f>
        <v>1000000000000</v>
      </c>
      <c r="BQ635" s="181">
        <f ca="1">IF($D635&lt;&gt;"Serviço",0,IF(AND(AUTOEVENTO="Manual",$M635=1),0,IF(OFFSET(CRONOPLE!$F$14,$M635,BQ$13)="",10^12,OFFSET(CRONOPLE!$F$14,$M635,BQ$13))))</f>
        <v>1000000000000</v>
      </c>
      <c r="BR635" s="181">
        <f ca="1">IF($D635&lt;&gt;"Serviço",0,IF(AND(AUTOEVENTO="Manual",$M635=1),0,IF(OFFSET(CRONOPLE!$F$14,$M635,BR$13)="",10^12,OFFSET(CRONOPLE!$F$14,$M635,BR$13))))</f>
        <v>1000000000000</v>
      </c>
      <c r="BS635" s="181">
        <f ca="1">IF($D635&lt;&gt;"Serviço",0,IF(AND(AUTOEVENTO="Manual",$M635=1),0,IF(OFFSET(CRONOPLE!$F$14,$M635,BS$13)="",10^12,OFFSET(CRONOPLE!$F$14,$M635,BS$13))))</f>
        <v>1000000000000</v>
      </c>
      <c r="BT635" s="181">
        <f ca="1">IF($D635&lt;&gt;"Serviço",0,IF(AND(AUTOEVENTO="Manual",$M635=1),0,IF(OFFSET(CRONOPLE!$F$14,$M635,BT$13)="",10^12,OFFSET(CRONOPLE!$F$14,$M635,BT$13))))</f>
        <v>1000000000000</v>
      </c>
      <c r="BV635" s="182">
        <f ca="1">IF($D635&lt;&gt;"Serviço",0,IF(OR(AND(AUTOEVENTO="Manual",$M635=1),$M635&gt;(ROW(PLE.lastrow)-ROW(PLE.firstrow))),0,IF(OFFSET(PLE!$G$14,$M635,BV$13)="",10^12,OFFSET(PLE!$G$14,$M635,BV$13))))</f>
        <v>1000000000000</v>
      </c>
      <c r="BW635" s="182">
        <f ca="1">IF($D635&lt;&gt;"Serviço",0,IF(OR(AND(AUTOEVENTO="Manual",$M635=1),$M635&gt;(ROW(PLE.lastrow)-ROW(PLE.firstrow))),0,IF(OFFSET(PLE!$G$14,$M635,BW$13)="",10^12,OFFSET(PLE!$G$14,$M635,BW$13))))</f>
        <v>1000000000000</v>
      </c>
      <c r="BX635" s="182">
        <f ca="1">IF($D635&lt;&gt;"Serviço",0,IF(OR(AND(AUTOEVENTO="Manual",$M635=1),$M635&gt;(ROW(PLE.lastrow)-ROW(PLE.firstrow))),0,IF(OFFSET(PLE!$G$14,$M635,BX$13)="",10^12,OFFSET(PLE!$G$14,$M635,BX$13))))</f>
        <v>1000000000000</v>
      </c>
      <c r="BY635" s="182">
        <f ca="1">IF($D635&lt;&gt;"Serviço",0,IF(OR(AND(AUTOEVENTO="Manual",$M635=1),$M635&gt;(ROW(PLE.lastrow)-ROW(PLE.firstrow))),0,IF(OFFSET(PLE!$G$14,$M635,BY$13)="",10^12,OFFSET(PLE!$G$14,$M635,BY$13))))</f>
        <v>1000000000000</v>
      </c>
      <c r="BZ635" s="182">
        <f ca="1">IF($D635&lt;&gt;"Serviço",0,IF(OR(AND(AUTOEVENTO="Manual",$M635=1),$M635&gt;(ROW(PLE.lastrow)-ROW(PLE.firstrow))),0,IF(OFFSET(PLE!$G$14,$M635,BZ$13)="",10^12,OFFSET(PLE!$G$14,$M635,BZ$13))))</f>
        <v>1000000000000</v>
      </c>
      <c r="CA635" s="182">
        <f ca="1">IF($D635&lt;&gt;"Serviço",0,IF(OR(AND(AUTOEVENTO="Manual",$M635=1),$M635&gt;(ROW(PLE.lastrow)-ROW(PLE.firstrow))),0,IF(OFFSET(PLE!$G$14,$M635,CA$13)="",10^12,OFFSET(PLE!$G$14,$M635,CA$13))))</f>
        <v>1000000000000</v>
      </c>
      <c r="CB635" s="182">
        <f ca="1">IF($D635&lt;&gt;"Serviço",0,IF(OR(AND(AUTOEVENTO="Manual",$M635=1),$M635&gt;(ROW(PLE.lastrow)-ROW(PLE.firstrow))),0,IF(OFFSET(PLE!$G$14,$M635,CB$13)="",10^12,OFFSET(PLE!$G$14,$M635,CB$13))))</f>
        <v>1000000000000</v>
      </c>
      <c r="CC635" s="182">
        <f ca="1">IF($D635&lt;&gt;"Serviço",0,IF(OR(AND(AUTOEVENTO="Manual",$M635=1),$M635&gt;(ROW(PLE.lastrow)-ROW(PLE.firstrow))),0,IF(OFFSET(PLE!$G$14,$M635,CC$13)="",10^12,OFFSET(PLE!$G$14,$M635,CC$13))))</f>
        <v>1000000000000</v>
      </c>
      <c r="CD635" s="182">
        <f ca="1">IF($D635&lt;&gt;"Serviço",0,IF(OR(AND(AUTOEVENTO="Manual",$M635=1),$M635&gt;(ROW(PLE.lastrow)-ROW(PLE.firstrow))),0,IF(OFFSET(PLE!$G$14,$M635,CD$13)="",10^12,OFFSET(PLE!$G$14,$M635,CD$13))))</f>
        <v>1000000000000</v>
      </c>
      <c r="CE635" s="182">
        <f ca="1">IF($D635&lt;&gt;"Serviço",0,IF(OR(AND(AUTOEVENTO="Manual",$M635=1),$M635&gt;(ROW(PLE.lastrow)-ROW(PLE.firstrow))),0,IF(OFFSET(PLE!$G$14,$M635,CE$13)="",10^12,OFFSET(PLE!$G$14,$M635,CE$13))))</f>
        <v>1000000000000</v>
      </c>
      <c r="CF635" s="182">
        <f ca="1">IF($D635&lt;&gt;"Serviço",0,IF(OR(AND(AUTOEVENTO="Manual",$M635=1),$M635&gt;(ROW(PLE.lastrow)-ROW(PLE.firstrow))),0,IF(OFFSET(PLE!$G$14,$M635,CF$13)="",10^12,OFFSET(PLE!$G$14,$M635,CF$13))))</f>
        <v>1000000000000</v>
      </c>
      <c r="CG635" s="182">
        <f ca="1">IF($D635&lt;&gt;"Serviço",0,IF(OR(AND(AUTOEVENTO="Manual",$M635=1),$M635&gt;(ROW(PLE.lastrow)-ROW(PLE.firstrow))),0,IF(OFFSET(PLE!$G$14,$M635,CG$13)="",10^12,OFFSET(PLE!$G$14,$M635,CG$13))))</f>
        <v>1000000000000</v>
      </c>
      <c r="CH635" s="182">
        <f ca="1">IF($D635&lt;&gt;"Serviço",0,IF(OR(AND(AUTOEVENTO="Manual",$M635=1),$M635&gt;(ROW(PLE.lastrow)-ROW(PLE.firstrow))),0,IF(OFFSET(PLE!$G$14,$M635,CH$13)="",10^12,OFFSET(PLE!$G$14,$M635,CH$13))))</f>
        <v>1000000000000</v>
      </c>
      <c r="CI635" s="182">
        <f ca="1">IF($D635&lt;&gt;"Serviço",0,IF(OR(AND(AUTOEVENTO="Manual",$M635=1),$M635&gt;(ROW(PLE.lastrow)-ROW(PLE.firstrow))),0,IF(OFFSET(PLE!$G$14,$M635,CI$13)="",10^12,OFFSET(PLE!$G$14,$M635,CI$13))))</f>
        <v>1000000000000</v>
      </c>
      <c r="CJ635" s="182">
        <f ca="1">IF($D635&lt;&gt;"Serviço",0,IF(OR(AND(AUTOEVENTO="Manual",$M635=1),$M635&gt;(ROW(PLE.lastrow)-ROW(PLE.firstrow))),0,IF(OFFSET(PLE!$G$14,$M635,CJ$13)="",10^12,OFFSET(PLE!$G$14,$M635,CJ$13))))</f>
        <v>1000000000000</v>
      </c>
      <c r="CK635" s="182">
        <f ca="1">IF($D635&lt;&gt;"Serviço",0,IF(OR(AND(AUTOEVENTO="Manual",$M635=1),$M635&gt;(ROW(PLE.lastrow)-ROW(PLE.firstrow))),0,IF(OFFSET(PLE!$G$14,$M635,CK$13)="",10^12,OFFSET(PLE!$G$14,$M635,CK$13))))</f>
        <v>1000000000000</v>
      </c>
      <c r="CL635" s="182">
        <f ca="1">IF($D635&lt;&gt;"Serviço",0,IF(OR(AND(AUTOEVENTO="Manual",$M635=1),$M635&gt;(ROW(PLE.lastrow)-ROW(PLE.firstrow))),0,IF(OFFSET(PLE!$G$14,$M635,CL$13)="",10^12,OFFSET(PLE!$G$14,$M635,CL$13))))</f>
        <v>1000000000000</v>
      </c>
      <c r="CM635" s="182">
        <f ca="1">IF($D635&lt;&gt;"Serviço",0,IF(OR(AND(AUTOEVENTO="Manual",$M635=1),$M635&gt;(ROW(PLE.lastrow)-ROW(PLE.firstrow))),0,IF(OFFSET(PLE!$G$14,$M635,CM$13)="",10^12,OFFSET(PLE!$G$14,$M635,CM$13))))</f>
        <v>1000000000000</v>
      </c>
    </row>
    <row r="636" spans="1:91" ht="25.5" x14ac:dyDescent="0.2">
      <c r="A636" s="7" t="str">
        <f t="shared" ca="1" si="18"/>
        <v>621.</v>
      </c>
      <c r="B636" s="7">
        <f ca="1">OFFSET(ORÇAMENTO!C$15,ROW(B636)-ROW(B$15),0)</f>
        <v>2</v>
      </c>
      <c r="C636" s="7" t="str">
        <f ca="1">OFFSET(ORÇAMENTO!L$15,ROW(C636)-ROW(C$15),0)</f>
        <v>F</v>
      </c>
      <c r="D636" s="118" t="str">
        <f ca="1">OFFSET(ORÇAMENTO!N$15,ROW(D636)-ROW(D$15),0)</f>
        <v>Nível 2</v>
      </c>
      <c r="E636" s="119" t="str">
        <f ca="1">OFFSET(ORÇAMENTO!O$15,ROW(E636)-ROW(E$15),0)</f>
        <v>1.66.</v>
      </c>
      <c r="F636" s="172" t="str">
        <f ca="1">OFFSET(ORÇAMENTO!R$15,ROW(F636)-ROW(F$15),0)</f>
        <v>INSTALAÇÕES DE CABEAMENTO ESTRUTURADO - CAIXAS E QUADROS</v>
      </c>
      <c r="G636" s="173" t="str">
        <f ca="1">IF($D636&lt;&gt;"Serviço","",OFFSET(ORÇAMENTO!S$15,ROW(G636)-ROW(G$15),0))</f>
        <v/>
      </c>
      <c r="H636" s="124">
        <f ca="1">IF($D636&lt;&gt;"Serviço",0,IF(ACOMPANHAMENTO="BM",ROUND(OFFSET(ORÇAMENTO!AJ$15,ROW(H636)-ROW(H$15),0),15-13*ORÇAMENTO!$AF$7),SUMPRODUCT(($Q$12:$AI$12&lt;&gt;"")*ROUND($Q636:$AI636,15-13*ORÇAMENTO!$AF$7))))</f>
        <v>0</v>
      </c>
      <c r="I636" s="561"/>
      <c r="K636" s="174"/>
      <c r="L636" s="175" t="s">
        <v>255</v>
      </c>
      <c r="M636" s="176" t="str">
        <f ca="1">IF($D636&lt;&gt;"Serviço","",IF(AUTOEVENTO="manual",$A636,IF(ISERROR(MATCH($A636,$A$15:OFFSET($A636,-1,0),0)),MAX($M$15:OFFSET(M636,-1,0))+1,INDEX($M$15:OFFSET(M636,-1,0),MATCH($A636,$A$15:OFFSET($A636,-1,0),0)))))</f>
        <v/>
      </c>
      <c r="N636" s="177" t="str">
        <f ca="1">IF($D636&lt;&gt;"Serviço","",IF(AUTOEVENTO="Manual",IF($A636=0,"&lt;-- defina o número do agrupador",OFFSET(EVENTOS!$D$14,$A636,0)),OFFSET($F$15,$A636,0)))</f>
        <v/>
      </c>
      <c r="O636" s="178"/>
      <c r="Q636" s="178">
        <v>0</v>
      </c>
      <c r="R636" s="179"/>
      <c r="S636" s="179"/>
      <c r="T636" s="179"/>
      <c r="U636" s="179"/>
      <c r="V636" s="179"/>
      <c r="W636" s="179"/>
      <c r="X636" s="179"/>
      <c r="Y636" s="179"/>
      <c r="Z636" s="180"/>
      <c r="AA636" s="179"/>
      <c r="AB636" s="179"/>
      <c r="AC636" s="179"/>
      <c r="AD636" s="179"/>
      <c r="AE636" s="179"/>
      <c r="AF636" s="179"/>
      <c r="AG636" s="179"/>
      <c r="AH636" s="180"/>
      <c r="AJ636" s="544">
        <f ca="1">IF(AND($D636="Serviço",AJ$12&lt;&gt;0,$H636&gt;0,OR(AUTOEVENTO&lt;&gt;"manual",$M636&lt;&gt;1)),
IF(Import.TipoArredondamento&lt;&gt;"TransfereGOV",
ROUND(OFFSET($P636,0,AJ$13),15-13*ORÇAMENTO!$AF$7)/$H636*OFFSET(ORÇAMENTO!$X$15,ROW(AJ636)-ROW(AJ$15),0),
ROUND(ROUND(OFFSET($P636,0,AJ$13),15-13*ORÇAMENTO!$AF$7)*OFFSET(ORÇAMENTO!$W$15,ROW(AJ636)-ROW(AJ$15),0),15-13*ORÇAMENTO!$AF$11)),0)</f>
        <v>0</v>
      </c>
      <c r="AK636" s="545">
        <f ca="1">IF(AND($D636="Serviço",AK$12&lt;&gt;0,$H636&gt;0,OR(AUTOEVENTO&lt;&gt;"manual",$M636&lt;&gt;1)),
IF(Import.TipoArredondamento&lt;&gt;"TransfereGOV",
ROUND(OFFSET($P636,0,AK$13),15-13*ORÇAMENTO!$AF$7)/$H636*OFFSET(ORÇAMENTO!$X$15,ROW(AK636)-ROW(AK$15),0),
ROUND(ROUND(OFFSET($P636,0,AK$13),15-13*ORÇAMENTO!$AF$7)*OFFSET(ORÇAMENTO!$W$15,ROW(AK636)-ROW(AK$15),0),15-13*ORÇAMENTO!$AF$11)),0)</f>
        <v>0</v>
      </c>
      <c r="AL636" s="545">
        <f ca="1">IF(AND($D636="Serviço",AL$12&lt;&gt;0,$H636&gt;0,OR(AUTOEVENTO&lt;&gt;"manual",$M636&lt;&gt;1)),
IF(Import.TipoArredondamento&lt;&gt;"TransfereGOV",
ROUND(OFFSET($P636,0,AL$13),15-13*ORÇAMENTO!$AF$7)/$H636*OFFSET(ORÇAMENTO!$X$15,ROW(AL636)-ROW(AL$15),0),
ROUND(ROUND(OFFSET($P636,0,AL$13),15-13*ORÇAMENTO!$AF$7)*OFFSET(ORÇAMENTO!$W$15,ROW(AL636)-ROW(AL$15),0),15-13*ORÇAMENTO!$AF$11)),0)</f>
        <v>0</v>
      </c>
      <c r="AM636" s="545">
        <f ca="1">IF(AND($D636="Serviço",AM$12&lt;&gt;0,$H636&gt;0,OR(AUTOEVENTO&lt;&gt;"manual",$M636&lt;&gt;1)),
IF(Import.TipoArredondamento&lt;&gt;"TransfereGOV",
ROUND(OFFSET($P636,0,AM$13),15-13*ORÇAMENTO!$AF$7)/$H636*OFFSET(ORÇAMENTO!$X$15,ROW(AM636)-ROW(AM$15),0),
ROUND(ROUND(OFFSET($P636,0,AM$13),15-13*ORÇAMENTO!$AF$7)*OFFSET(ORÇAMENTO!$W$15,ROW(AM636)-ROW(AM$15),0),15-13*ORÇAMENTO!$AF$11)),0)</f>
        <v>0</v>
      </c>
      <c r="AN636" s="545">
        <f ca="1">IF(AND($D636="Serviço",AN$12&lt;&gt;0,$H636&gt;0,OR(AUTOEVENTO&lt;&gt;"manual",$M636&lt;&gt;1)),
IF(Import.TipoArredondamento&lt;&gt;"TransfereGOV",
ROUND(OFFSET($P636,0,AN$13),15-13*ORÇAMENTO!$AF$7)/$H636*OFFSET(ORÇAMENTO!$X$15,ROW(AN636)-ROW(AN$15),0),
ROUND(ROUND(OFFSET($P636,0,AN$13),15-13*ORÇAMENTO!$AF$7)*OFFSET(ORÇAMENTO!$W$15,ROW(AN636)-ROW(AN$15),0),15-13*ORÇAMENTO!$AF$11)),0)</f>
        <v>0</v>
      </c>
      <c r="AO636" s="545">
        <f ca="1">IF(AND($D636="Serviço",AO$12&lt;&gt;0,$H636&gt;0,OR(AUTOEVENTO&lt;&gt;"manual",$M636&lt;&gt;1)),
IF(Import.TipoArredondamento&lt;&gt;"TransfereGOV",
ROUND(OFFSET($P636,0,AO$13),15-13*ORÇAMENTO!$AF$7)/$H636*OFFSET(ORÇAMENTO!$X$15,ROW(AO636)-ROW(AO$15),0),
ROUND(ROUND(OFFSET($P636,0,AO$13),15-13*ORÇAMENTO!$AF$7)*OFFSET(ORÇAMENTO!$W$15,ROW(AO636)-ROW(AO$15),0),15-13*ORÇAMENTO!$AF$11)),0)</f>
        <v>0</v>
      </c>
      <c r="AP636" s="545">
        <f ca="1">IF(AND($D636="Serviço",AP$12&lt;&gt;0,$H636&gt;0,OR(AUTOEVENTO&lt;&gt;"manual",$M636&lt;&gt;1)),
IF(Import.TipoArredondamento&lt;&gt;"TransfereGOV",
ROUND(OFFSET($P636,0,AP$13),15-13*ORÇAMENTO!$AF$7)/$H636*OFFSET(ORÇAMENTO!$X$15,ROW(AP636)-ROW(AP$15),0),
ROUND(ROUND(OFFSET($P636,0,AP$13),15-13*ORÇAMENTO!$AF$7)*OFFSET(ORÇAMENTO!$W$15,ROW(AP636)-ROW(AP$15),0),15-13*ORÇAMENTO!$AF$11)),0)</f>
        <v>0</v>
      </c>
      <c r="AQ636" s="545">
        <f ca="1">IF(AND($D636="Serviço",AQ$12&lt;&gt;0,$H636&gt;0,OR(AUTOEVENTO&lt;&gt;"manual",$M636&lt;&gt;1)),
IF(Import.TipoArredondamento&lt;&gt;"TransfereGOV",
ROUND(OFFSET($P636,0,AQ$13),15-13*ORÇAMENTO!$AF$7)/$H636*OFFSET(ORÇAMENTO!$X$15,ROW(AQ636)-ROW(AQ$15),0),
ROUND(ROUND(OFFSET($P636,0,AQ$13),15-13*ORÇAMENTO!$AF$7)*OFFSET(ORÇAMENTO!$W$15,ROW(AQ636)-ROW(AQ$15),0),15-13*ORÇAMENTO!$AF$11)),0)</f>
        <v>0</v>
      </c>
      <c r="AR636" s="545">
        <f ca="1">IF(AND($D636="Serviço",AR$12&lt;&gt;0,$H636&gt;0,OR(AUTOEVENTO&lt;&gt;"manual",$M636&lt;&gt;1)),
IF(Import.TipoArredondamento&lt;&gt;"TransfereGOV",
ROUND(OFFSET($P636,0,AR$13),15-13*ORÇAMENTO!$AF$7)/$H636*OFFSET(ORÇAMENTO!$X$15,ROW(AR636)-ROW(AR$15),0),
ROUND(ROUND(OFFSET($P636,0,AR$13),15-13*ORÇAMENTO!$AF$7)*OFFSET(ORÇAMENTO!$W$15,ROW(AR636)-ROW(AR$15),0),15-13*ORÇAMENTO!$AF$11)),0)</f>
        <v>0</v>
      </c>
      <c r="AS636" s="546">
        <f ca="1">IF(AND($D636="Serviço",AS$12&lt;&gt;0,$H636&gt;0,OR(AUTOEVENTO&lt;&gt;"manual",$M636&lt;&gt;1)),
IF(Import.TipoArredondamento&lt;&gt;"TransfereGOV",
ROUND(OFFSET($P636,0,AS$13),15-13*ORÇAMENTO!$AF$7)/$H636*OFFSET(ORÇAMENTO!$X$15,ROW(AS636)-ROW(AS$15),0),
ROUND(ROUND(OFFSET($P636,0,AS$13),15-13*ORÇAMENTO!$AF$7)*OFFSET(ORÇAMENTO!$W$15,ROW(AS636)-ROW(AS$15),0),15-13*ORÇAMENTO!$AF$11)),0)</f>
        <v>0</v>
      </c>
      <c r="AT636" s="545">
        <f ca="1">IF(AND($D636="Serviço",AT$12&lt;&gt;0,$H636&gt;0,OR(AUTOEVENTO&lt;&gt;"manual",$M636&lt;&gt;1)),
IF(Import.TipoArredondamento&lt;&gt;"TransfereGOV",
ROUND(OFFSET($P636,0,AT$13),15-13*ORÇAMENTO!$AF$7)/$H636*OFFSET(ORÇAMENTO!$X$15,ROW(AT636)-ROW(AT$15),0),
ROUND(ROUND(OFFSET($P636,0,AT$13),15-13*ORÇAMENTO!$AF$7)*OFFSET(ORÇAMENTO!$W$15,ROW(AT636)-ROW(AT$15),0),15-13*ORÇAMENTO!$AF$11)),0)</f>
        <v>0</v>
      </c>
      <c r="AU636" s="545">
        <f ca="1">IF(AND($D636="Serviço",AU$12&lt;&gt;0,$H636&gt;0,OR(AUTOEVENTO&lt;&gt;"manual",$M636&lt;&gt;1)),
IF(Import.TipoArredondamento&lt;&gt;"TransfereGOV",
ROUND(OFFSET($P636,0,AU$13),15-13*ORÇAMENTO!$AF$7)/$H636*OFFSET(ORÇAMENTO!$X$15,ROW(AU636)-ROW(AU$15),0),
ROUND(ROUND(OFFSET($P636,0,AU$13),15-13*ORÇAMENTO!$AF$7)*OFFSET(ORÇAMENTO!$W$15,ROW(AU636)-ROW(AU$15),0),15-13*ORÇAMENTO!$AF$11)),0)</f>
        <v>0</v>
      </c>
      <c r="AV636" s="545">
        <f ca="1">IF(AND($D636="Serviço",AV$12&lt;&gt;0,$H636&gt;0,OR(AUTOEVENTO&lt;&gt;"manual",$M636&lt;&gt;1)),
IF(Import.TipoArredondamento&lt;&gt;"TransfereGOV",
ROUND(OFFSET($P636,0,AV$13),15-13*ORÇAMENTO!$AF$7)/$H636*OFFSET(ORÇAMENTO!$X$15,ROW(AV636)-ROW(AV$15),0),
ROUND(ROUND(OFFSET($P636,0,AV$13),15-13*ORÇAMENTO!$AF$7)*OFFSET(ORÇAMENTO!$W$15,ROW(AV636)-ROW(AV$15),0),15-13*ORÇAMENTO!$AF$11)),0)</f>
        <v>0</v>
      </c>
      <c r="AW636" s="545">
        <f ca="1">IF(AND($D636="Serviço",AW$12&lt;&gt;0,$H636&gt;0,OR(AUTOEVENTO&lt;&gt;"manual",$M636&lt;&gt;1)),
IF(Import.TipoArredondamento&lt;&gt;"TransfereGOV",
ROUND(OFFSET($P636,0,AW$13),15-13*ORÇAMENTO!$AF$7)/$H636*OFFSET(ORÇAMENTO!$X$15,ROW(AW636)-ROW(AW$15),0),
ROUND(ROUND(OFFSET($P636,0,AW$13),15-13*ORÇAMENTO!$AF$7)*OFFSET(ORÇAMENTO!$W$15,ROW(AW636)-ROW(AW$15),0),15-13*ORÇAMENTO!$AF$11)),0)</f>
        <v>0</v>
      </c>
      <c r="AX636" s="545">
        <f ca="1">IF(AND($D636="Serviço",AX$12&lt;&gt;0,$H636&gt;0,OR(AUTOEVENTO&lt;&gt;"manual",$M636&lt;&gt;1)),
IF(Import.TipoArredondamento&lt;&gt;"TransfereGOV",
ROUND(OFFSET($P636,0,AX$13),15-13*ORÇAMENTO!$AF$7)/$H636*OFFSET(ORÇAMENTO!$X$15,ROW(AX636)-ROW(AX$15),0),
ROUND(ROUND(OFFSET($P636,0,AX$13),15-13*ORÇAMENTO!$AF$7)*OFFSET(ORÇAMENTO!$W$15,ROW(AX636)-ROW(AX$15),0),15-13*ORÇAMENTO!$AF$11)),0)</f>
        <v>0</v>
      </c>
      <c r="AY636" s="545">
        <f ca="1">IF(AND($D636="Serviço",AY$12&lt;&gt;0,$H636&gt;0,OR(AUTOEVENTO&lt;&gt;"manual",$M636&lt;&gt;1)),
IF(Import.TipoArredondamento&lt;&gt;"TransfereGOV",
ROUND(OFFSET($P636,0,AY$13),15-13*ORÇAMENTO!$AF$7)/$H636*OFFSET(ORÇAMENTO!$X$15,ROW(AY636)-ROW(AY$15),0),
ROUND(ROUND(OFFSET($P636,0,AY$13),15-13*ORÇAMENTO!$AF$7)*OFFSET(ORÇAMENTO!$W$15,ROW(AY636)-ROW(AY$15),0),15-13*ORÇAMENTO!$AF$11)),0)</f>
        <v>0</v>
      </c>
      <c r="AZ636" s="545">
        <f ca="1">IF(AND($D636="Serviço",AZ$12&lt;&gt;0,$H636&gt;0,OR(AUTOEVENTO&lt;&gt;"manual",$M636&lt;&gt;1)),
IF(Import.TipoArredondamento&lt;&gt;"TransfereGOV",
ROUND(OFFSET($P636,0,AZ$13),15-13*ORÇAMENTO!$AF$7)/$H636*OFFSET(ORÇAMENTO!$X$15,ROW(AZ636)-ROW(AZ$15),0),
ROUND(ROUND(OFFSET($P636,0,AZ$13),15-13*ORÇAMENTO!$AF$7)*OFFSET(ORÇAMENTO!$W$15,ROW(AZ636)-ROW(AZ$15),0),15-13*ORÇAMENTO!$AF$11)),0)</f>
        <v>0</v>
      </c>
      <c r="BA636" s="546">
        <f ca="1">IF(AND($D636="Serviço",BA$12&lt;&gt;0,$H636&gt;0,OR(AUTOEVENTO&lt;&gt;"manual",$M636&lt;&gt;1)),
IF(Import.TipoArredondamento&lt;&gt;"TransfereGOV",
ROUND(OFFSET($P636,0,BA$13),15-13*ORÇAMENTO!$AF$7)/$H636*OFFSET(ORÇAMENTO!$X$15,ROW(BA636)-ROW(BA$15),0),
ROUND(ROUND(OFFSET($P636,0,BA$13),15-13*ORÇAMENTO!$AF$7)*OFFSET(ORÇAMENTO!$W$15,ROW(BA636)-ROW(BA$15),0),15-13*ORÇAMENTO!$AF$11)),0)</f>
        <v>0</v>
      </c>
      <c r="BC636" s="181">
        <f ca="1">IF($D636&lt;&gt;"Serviço",0,IF(AND(AUTOEVENTO="Manual",$M636=1),0,IF(OFFSET(CRONOPLE!$F$14,$M636,BC$13)="",10^12,OFFSET(CRONOPLE!$F$14,$M636,BC$13))))</f>
        <v>0</v>
      </c>
      <c r="BD636" s="181">
        <f ca="1">IF($D636&lt;&gt;"Serviço",0,IF(AND(AUTOEVENTO="Manual",$M636=1),0,IF(OFFSET(CRONOPLE!$F$14,$M636,BD$13)="",10^12,OFFSET(CRONOPLE!$F$14,$M636,BD$13))))</f>
        <v>0</v>
      </c>
      <c r="BE636" s="181">
        <f ca="1">IF($D636&lt;&gt;"Serviço",0,IF(AND(AUTOEVENTO="Manual",$M636=1),0,IF(OFFSET(CRONOPLE!$F$14,$M636,BE$13)="",10^12,OFFSET(CRONOPLE!$F$14,$M636,BE$13))))</f>
        <v>0</v>
      </c>
      <c r="BF636" s="181">
        <f ca="1">IF($D636&lt;&gt;"Serviço",0,IF(AND(AUTOEVENTO="Manual",$M636=1),0,IF(OFFSET(CRONOPLE!$F$14,$M636,BF$13)="",10^12,OFFSET(CRONOPLE!$F$14,$M636,BF$13))))</f>
        <v>0</v>
      </c>
      <c r="BG636" s="181">
        <f ca="1">IF($D636&lt;&gt;"Serviço",0,IF(AND(AUTOEVENTO="Manual",$M636=1),0,IF(OFFSET(CRONOPLE!$F$14,$M636,BG$13)="",10^12,OFFSET(CRONOPLE!$F$14,$M636,BG$13))))</f>
        <v>0</v>
      </c>
      <c r="BH636" s="181">
        <f ca="1">IF($D636&lt;&gt;"Serviço",0,IF(AND(AUTOEVENTO="Manual",$M636=1),0,IF(OFFSET(CRONOPLE!$F$14,$M636,BH$13)="",10^12,OFFSET(CRONOPLE!$F$14,$M636,BH$13))))</f>
        <v>0</v>
      </c>
      <c r="BI636" s="181">
        <f ca="1">IF($D636&lt;&gt;"Serviço",0,IF(AND(AUTOEVENTO="Manual",$M636=1),0,IF(OFFSET(CRONOPLE!$F$14,$M636,BI$13)="",10^12,OFFSET(CRONOPLE!$F$14,$M636,BI$13))))</f>
        <v>0</v>
      </c>
      <c r="BJ636" s="181">
        <f ca="1">IF($D636&lt;&gt;"Serviço",0,IF(AND(AUTOEVENTO="Manual",$M636=1),0,IF(OFFSET(CRONOPLE!$F$14,$M636,BJ$13)="",10^12,OFFSET(CRONOPLE!$F$14,$M636,BJ$13))))</f>
        <v>0</v>
      </c>
      <c r="BK636" s="181">
        <f ca="1">IF($D636&lt;&gt;"Serviço",0,IF(AND(AUTOEVENTO="Manual",$M636=1),0,IF(OFFSET(CRONOPLE!$F$14,$M636,BK$13)="",10^12,OFFSET(CRONOPLE!$F$14,$M636,BK$13))))</f>
        <v>0</v>
      </c>
      <c r="BL636" s="181">
        <f ca="1">IF($D636&lt;&gt;"Serviço",0,IF(AND(AUTOEVENTO="Manual",$M636=1),0,IF(OFFSET(CRONOPLE!$F$14,$M636,BL$13)="",10^12,OFFSET(CRONOPLE!$F$14,$M636,BL$13))))</f>
        <v>0</v>
      </c>
      <c r="BM636" s="181">
        <f ca="1">IF($D636&lt;&gt;"Serviço",0,IF(AND(AUTOEVENTO="Manual",$M636=1),0,IF(OFFSET(CRONOPLE!$F$14,$M636,BM$13)="",10^12,OFFSET(CRONOPLE!$F$14,$M636,BM$13))))</f>
        <v>0</v>
      </c>
      <c r="BN636" s="181">
        <f ca="1">IF($D636&lt;&gt;"Serviço",0,IF(AND(AUTOEVENTO="Manual",$M636=1),0,IF(OFFSET(CRONOPLE!$F$14,$M636,BN$13)="",10^12,OFFSET(CRONOPLE!$F$14,$M636,BN$13))))</f>
        <v>0</v>
      </c>
      <c r="BO636" s="181">
        <f ca="1">IF($D636&lt;&gt;"Serviço",0,IF(AND(AUTOEVENTO="Manual",$M636=1),0,IF(OFFSET(CRONOPLE!$F$14,$M636,BO$13)="",10^12,OFFSET(CRONOPLE!$F$14,$M636,BO$13))))</f>
        <v>0</v>
      </c>
      <c r="BP636" s="181">
        <f ca="1">IF($D636&lt;&gt;"Serviço",0,IF(AND(AUTOEVENTO="Manual",$M636=1),0,IF(OFFSET(CRONOPLE!$F$14,$M636,BP$13)="",10^12,OFFSET(CRONOPLE!$F$14,$M636,BP$13))))</f>
        <v>0</v>
      </c>
      <c r="BQ636" s="181">
        <f ca="1">IF($D636&lt;&gt;"Serviço",0,IF(AND(AUTOEVENTO="Manual",$M636=1),0,IF(OFFSET(CRONOPLE!$F$14,$M636,BQ$13)="",10^12,OFFSET(CRONOPLE!$F$14,$M636,BQ$13))))</f>
        <v>0</v>
      </c>
      <c r="BR636" s="181">
        <f ca="1">IF($D636&lt;&gt;"Serviço",0,IF(AND(AUTOEVENTO="Manual",$M636=1),0,IF(OFFSET(CRONOPLE!$F$14,$M636,BR$13)="",10^12,OFFSET(CRONOPLE!$F$14,$M636,BR$13))))</f>
        <v>0</v>
      </c>
      <c r="BS636" s="181">
        <f ca="1">IF($D636&lt;&gt;"Serviço",0,IF(AND(AUTOEVENTO="Manual",$M636=1),0,IF(OFFSET(CRONOPLE!$F$14,$M636,BS$13)="",10^12,OFFSET(CRONOPLE!$F$14,$M636,BS$13))))</f>
        <v>0</v>
      </c>
      <c r="BT636" s="181">
        <f ca="1">IF($D636&lt;&gt;"Serviço",0,IF(AND(AUTOEVENTO="Manual",$M636=1),0,IF(OFFSET(CRONOPLE!$F$14,$M636,BT$13)="",10^12,OFFSET(CRONOPLE!$F$14,$M636,BT$13))))</f>
        <v>0</v>
      </c>
      <c r="BV636" s="182">
        <f ca="1">IF($D636&lt;&gt;"Serviço",0,IF(OR(AND(AUTOEVENTO="Manual",$M636=1),$M636&gt;(ROW(PLE.lastrow)-ROW(PLE.firstrow))),0,IF(OFFSET(PLE!$G$14,$M636,BV$13)="",10^12,OFFSET(PLE!$G$14,$M636,BV$13))))</f>
        <v>0</v>
      </c>
      <c r="BW636" s="182">
        <f ca="1">IF($D636&lt;&gt;"Serviço",0,IF(OR(AND(AUTOEVENTO="Manual",$M636=1),$M636&gt;(ROW(PLE.lastrow)-ROW(PLE.firstrow))),0,IF(OFFSET(PLE!$G$14,$M636,BW$13)="",10^12,OFFSET(PLE!$G$14,$M636,BW$13))))</f>
        <v>0</v>
      </c>
      <c r="BX636" s="182">
        <f ca="1">IF($D636&lt;&gt;"Serviço",0,IF(OR(AND(AUTOEVENTO="Manual",$M636=1),$M636&gt;(ROW(PLE.lastrow)-ROW(PLE.firstrow))),0,IF(OFFSET(PLE!$G$14,$M636,BX$13)="",10^12,OFFSET(PLE!$G$14,$M636,BX$13))))</f>
        <v>0</v>
      </c>
      <c r="BY636" s="182">
        <f ca="1">IF($D636&lt;&gt;"Serviço",0,IF(OR(AND(AUTOEVENTO="Manual",$M636=1),$M636&gt;(ROW(PLE.lastrow)-ROW(PLE.firstrow))),0,IF(OFFSET(PLE!$G$14,$M636,BY$13)="",10^12,OFFSET(PLE!$G$14,$M636,BY$13))))</f>
        <v>0</v>
      </c>
      <c r="BZ636" s="182">
        <f ca="1">IF($D636&lt;&gt;"Serviço",0,IF(OR(AND(AUTOEVENTO="Manual",$M636=1),$M636&gt;(ROW(PLE.lastrow)-ROW(PLE.firstrow))),0,IF(OFFSET(PLE!$G$14,$M636,BZ$13)="",10^12,OFFSET(PLE!$G$14,$M636,BZ$13))))</f>
        <v>0</v>
      </c>
      <c r="CA636" s="182">
        <f ca="1">IF($D636&lt;&gt;"Serviço",0,IF(OR(AND(AUTOEVENTO="Manual",$M636=1),$M636&gt;(ROW(PLE.lastrow)-ROW(PLE.firstrow))),0,IF(OFFSET(PLE!$G$14,$M636,CA$13)="",10^12,OFFSET(PLE!$G$14,$M636,CA$13))))</f>
        <v>0</v>
      </c>
      <c r="CB636" s="182">
        <f ca="1">IF($D636&lt;&gt;"Serviço",0,IF(OR(AND(AUTOEVENTO="Manual",$M636=1),$M636&gt;(ROW(PLE.lastrow)-ROW(PLE.firstrow))),0,IF(OFFSET(PLE!$G$14,$M636,CB$13)="",10^12,OFFSET(PLE!$G$14,$M636,CB$13))))</f>
        <v>0</v>
      </c>
      <c r="CC636" s="182">
        <f ca="1">IF($D636&lt;&gt;"Serviço",0,IF(OR(AND(AUTOEVENTO="Manual",$M636=1),$M636&gt;(ROW(PLE.lastrow)-ROW(PLE.firstrow))),0,IF(OFFSET(PLE!$G$14,$M636,CC$13)="",10^12,OFFSET(PLE!$G$14,$M636,CC$13))))</f>
        <v>0</v>
      </c>
      <c r="CD636" s="182">
        <f ca="1">IF($D636&lt;&gt;"Serviço",0,IF(OR(AND(AUTOEVENTO="Manual",$M636=1),$M636&gt;(ROW(PLE.lastrow)-ROW(PLE.firstrow))),0,IF(OFFSET(PLE!$G$14,$M636,CD$13)="",10^12,OFFSET(PLE!$G$14,$M636,CD$13))))</f>
        <v>0</v>
      </c>
      <c r="CE636" s="182">
        <f ca="1">IF($D636&lt;&gt;"Serviço",0,IF(OR(AND(AUTOEVENTO="Manual",$M636=1),$M636&gt;(ROW(PLE.lastrow)-ROW(PLE.firstrow))),0,IF(OFFSET(PLE!$G$14,$M636,CE$13)="",10^12,OFFSET(PLE!$G$14,$M636,CE$13))))</f>
        <v>0</v>
      </c>
      <c r="CF636" s="182">
        <f ca="1">IF($D636&lt;&gt;"Serviço",0,IF(OR(AND(AUTOEVENTO="Manual",$M636=1),$M636&gt;(ROW(PLE.lastrow)-ROW(PLE.firstrow))),0,IF(OFFSET(PLE!$G$14,$M636,CF$13)="",10^12,OFFSET(PLE!$G$14,$M636,CF$13))))</f>
        <v>0</v>
      </c>
      <c r="CG636" s="182">
        <f ca="1">IF($D636&lt;&gt;"Serviço",0,IF(OR(AND(AUTOEVENTO="Manual",$M636=1),$M636&gt;(ROW(PLE.lastrow)-ROW(PLE.firstrow))),0,IF(OFFSET(PLE!$G$14,$M636,CG$13)="",10^12,OFFSET(PLE!$G$14,$M636,CG$13))))</f>
        <v>0</v>
      </c>
      <c r="CH636" s="182">
        <f ca="1">IF($D636&lt;&gt;"Serviço",0,IF(OR(AND(AUTOEVENTO="Manual",$M636=1),$M636&gt;(ROW(PLE.lastrow)-ROW(PLE.firstrow))),0,IF(OFFSET(PLE!$G$14,$M636,CH$13)="",10^12,OFFSET(PLE!$G$14,$M636,CH$13))))</f>
        <v>0</v>
      </c>
      <c r="CI636" s="182">
        <f ca="1">IF($D636&lt;&gt;"Serviço",0,IF(OR(AND(AUTOEVENTO="Manual",$M636=1),$M636&gt;(ROW(PLE.lastrow)-ROW(PLE.firstrow))),0,IF(OFFSET(PLE!$G$14,$M636,CI$13)="",10^12,OFFSET(PLE!$G$14,$M636,CI$13))))</f>
        <v>0</v>
      </c>
      <c r="CJ636" s="182">
        <f ca="1">IF($D636&lt;&gt;"Serviço",0,IF(OR(AND(AUTOEVENTO="Manual",$M636=1),$M636&gt;(ROW(PLE.lastrow)-ROW(PLE.firstrow))),0,IF(OFFSET(PLE!$G$14,$M636,CJ$13)="",10^12,OFFSET(PLE!$G$14,$M636,CJ$13))))</f>
        <v>0</v>
      </c>
      <c r="CK636" s="182">
        <f ca="1">IF($D636&lt;&gt;"Serviço",0,IF(OR(AND(AUTOEVENTO="Manual",$M636=1),$M636&gt;(ROW(PLE.lastrow)-ROW(PLE.firstrow))),0,IF(OFFSET(PLE!$G$14,$M636,CK$13)="",10^12,OFFSET(PLE!$G$14,$M636,CK$13))))</f>
        <v>0</v>
      </c>
      <c r="CL636" s="182">
        <f ca="1">IF($D636&lt;&gt;"Serviço",0,IF(OR(AND(AUTOEVENTO="Manual",$M636=1),$M636&gt;(ROW(PLE.lastrow)-ROW(PLE.firstrow))),0,IF(OFFSET(PLE!$G$14,$M636,CL$13)="",10^12,OFFSET(PLE!$G$14,$M636,CL$13))))</f>
        <v>0</v>
      </c>
      <c r="CM636" s="182">
        <f ca="1">IF($D636&lt;&gt;"Serviço",0,IF(OR(AND(AUTOEVENTO="Manual",$M636=1),$M636&gt;(ROW(PLE.lastrow)-ROW(PLE.firstrow))),0,IF(OFFSET(PLE!$G$14,$M636,CM$13)="",10^12,OFFSET(PLE!$G$14,$M636,CM$13))))</f>
        <v>0</v>
      </c>
    </row>
    <row r="637" spans="1:91" ht="38.25" x14ac:dyDescent="0.2">
      <c r="A637" s="7" t="str">
        <f t="shared" ca="1" si="18"/>
        <v>621</v>
      </c>
      <c r="B637" s="7" t="str">
        <f ca="1">OFFSET(ORÇAMENTO!C$15,ROW(B637)-ROW(B$15),0)</f>
        <v>S</v>
      </c>
      <c r="C637" s="7" t="str">
        <f ca="1">OFFSET(ORÇAMENTO!L$15,ROW(C637)-ROW(C$15),0)</f>
        <v/>
      </c>
      <c r="D637" s="118" t="str">
        <f ca="1">OFFSET(ORÇAMENTO!N$15,ROW(D637)-ROW(D$15),0)</f>
        <v>Serviço</v>
      </c>
      <c r="E637" s="119" t="str">
        <f ca="1">OFFSET(ORÇAMENTO!O$15,ROW(E637)-ROW(E$15),0)</f>
        <v>-</v>
      </c>
      <c r="F637" s="172" t="str">
        <f ca="1">OFFSET(ORÇAMENTO!R$15,ROW(F637)-ROW(F$15),0)</f>
        <v>(abra o arquivo 'Referência 06-2024.xlsm)</v>
      </c>
      <c r="G637" s="173" t="str">
        <f ca="1">IF($D637&lt;&gt;"Serviço","",OFFSET(ORÇAMENTO!S$15,ROW(G637)-ROW(G$15),0))</f>
        <v>-</v>
      </c>
      <c r="H637" s="124">
        <f ca="1">IF($D637&lt;&gt;"Serviço",0,IF(ACOMPANHAMENTO="BM",ROUND(OFFSET(ORÇAMENTO!AJ$15,ROW(H637)-ROW(H$15),0),15-13*ORÇAMENTO!$AF$7),SUMPRODUCT(($Q$12:$AI$12&lt;&gt;"")*ROUND($Q637:$AI637,15-13*ORÇAMENTO!$AF$7))))</f>
        <v>5</v>
      </c>
      <c r="I637" s="561" t="s">
        <v>1107</v>
      </c>
      <c r="K637" s="174"/>
      <c r="L637" s="175" t="s">
        <v>255</v>
      </c>
      <c r="M637" s="176">
        <f ca="1">IF($D637&lt;&gt;"Serviço","",IF(AUTOEVENTO="manual",$A637,IF(ISERROR(MATCH($A637,$A$15:OFFSET($A637,-1,0),0)),MAX($M$15:OFFSET(M637,-1,0))+1,INDEX($M$15:OFFSET(M637,-1,0),MATCH($A637,$A$15:OFFSET($A637,-1,0),0)))))</f>
        <v>67</v>
      </c>
      <c r="N637" s="177" t="str">
        <f ca="1">IF($D637&lt;&gt;"Serviço","",IF(AUTOEVENTO="Manual",IF($A637=0,"&lt;-- defina o número do agrupador",OFFSET(EVENTOS!$D$14,$A637,0)),OFFSET($F$15,$A637,0)))</f>
        <v>INSTALAÇÕES DE CABEAMENTO ESTRUTURADO - CAIXAS E QUADROS</v>
      </c>
      <c r="O637" s="178"/>
      <c r="Q637" s="178">
        <v>5</v>
      </c>
      <c r="R637" s="179"/>
      <c r="S637" s="179"/>
      <c r="T637" s="179"/>
      <c r="U637" s="179"/>
      <c r="V637" s="179"/>
      <c r="W637" s="179"/>
      <c r="X637" s="179"/>
      <c r="Y637" s="179"/>
      <c r="Z637" s="180"/>
      <c r="AA637" s="179"/>
      <c r="AB637" s="179"/>
      <c r="AC637" s="179"/>
      <c r="AD637" s="179"/>
      <c r="AE637" s="179"/>
      <c r="AF637" s="179"/>
      <c r="AG637" s="179"/>
      <c r="AH637" s="180"/>
      <c r="AJ637" s="544">
        <f ca="1">IF(AND($D637="Serviço",AJ$12&lt;&gt;0,$H637&gt;0,OR(AUTOEVENTO&lt;&gt;"manual",$M637&lt;&gt;1)),
IF(Import.TipoArredondamento&lt;&gt;"TransfereGOV",
ROUND(OFFSET($P637,0,AJ$13),15-13*ORÇAMENTO!$AF$7)/$H637*OFFSET(ORÇAMENTO!$X$15,ROW(AJ637)-ROW(AJ$15),0),
ROUND(ROUND(OFFSET($P637,0,AJ$13),15-13*ORÇAMENTO!$AF$7)*OFFSET(ORÇAMENTO!$W$15,ROW(AJ637)-ROW(AJ$15),0),15-13*ORÇAMENTO!$AF$11)),0)</f>
        <v>0</v>
      </c>
      <c r="AK637" s="545">
        <f ca="1">IF(AND($D637="Serviço",AK$12&lt;&gt;0,$H637&gt;0,OR(AUTOEVENTO&lt;&gt;"manual",$M637&lt;&gt;1)),
IF(Import.TipoArredondamento&lt;&gt;"TransfereGOV",
ROUND(OFFSET($P637,0,AK$13),15-13*ORÇAMENTO!$AF$7)/$H637*OFFSET(ORÇAMENTO!$X$15,ROW(AK637)-ROW(AK$15),0),
ROUND(ROUND(OFFSET($P637,0,AK$13),15-13*ORÇAMENTO!$AF$7)*OFFSET(ORÇAMENTO!$W$15,ROW(AK637)-ROW(AK$15),0),15-13*ORÇAMENTO!$AF$11)),0)</f>
        <v>0</v>
      </c>
      <c r="AL637" s="545">
        <f ca="1">IF(AND($D637="Serviço",AL$12&lt;&gt;0,$H637&gt;0,OR(AUTOEVENTO&lt;&gt;"manual",$M637&lt;&gt;1)),
IF(Import.TipoArredondamento&lt;&gt;"TransfereGOV",
ROUND(OFFSET($P637,0,AL$13),15-13*ORÇAMENTO!$AF$7)/$H637*OFFSET(ORÇAMENTO!$X$15,ROW(AL637)-ROW(AL$15),0),
ROUND(ROUND(OFFSET($P637,0,AL$13),15-13*ORÇAMENTO!$AF$7)*OFFSET(ORÇAMENTO!$W$15,ROW(AL637)-ROW(AL$15),0),15-13*ORÇAMENTO!$AF$11)),0)</f>
        <v>0</v>
      </c>
      <c r="AM637" s="545">
        <f ca="1">IF(AND($D637="Serviço",AM$12&lt;&gt;0,$H637&gt;0,OR(AUTOEVENTO&lt;&gt;"manual",$M637&lt;&gt;1)),
IF(Import.TipoArredondamento&lt;&gt;"TransfereGOV",
ROUND(OFFSET($P637,0,AM$13),15-13*ORÇAMENTO!$AF$7)/$H637*OFFSET(ORÇAMENTO!$X$15,ROW(AM637)-ROW(AM$15),0),
ROUND(ROUND(OFFSET($P637,0,AM$13),15-13*ORÇAMENTO!$AF$7)*OFFSET(ORÇAMENTO!$W$15,ROW(AM637)-ROW(AM$15),0),15-13*ORÇAMENTO!$AF$11)),0)</f>
        <v>0</v>
      </c>
      <c r="AN637" s="545">
        <f ca="1">IF(AND($D637="Serviço",AN$12&lt;&gt;0,$H637&gt;0,OR(AUTOEVENTO&lt;&gt;"manual",$M637&lt;&gt;1)),
IF(Import.TipoArredondamento&lt;&gt;"TransfereGOV",
ROUND(OFFSET($P637,0,AN$13),15-13*ORÇAMENTO!$AF$7)/$H637*OFFSET(ORÇAMENTO!$X$15,ROW(AN637)-ROW(AN$15),0),
ROUND(ROUND(OFFSET($P637,0,AN$13),15-13*ORÇAMENTO!$AF$7)*OFFSET(ORÇAMENTO!$W$15,ROW(AN637)-ROW(AN$15),0),15-13*ORÇAMENTO!$AF$11)),0)</f>
        <v>0</v>
      </c>
      <c r="AO637" s="545">
        <f ca="1">IF(AND($D637="Serviço",AO$12&lt;&gt;0,$H637&gt;0,OR(AUTOEVENTO&lt;&gt;"manual",$M637&lt;&gt;1)),
IF(Import.TipoArredondamento&lt;&gt;"TransfereGOV",
ROUND(OFFSET($P637,0,AO$13),15-13*ORÇAMENTO!$AF$7)/$H637*OFFSET(ORÇAMENTO!$X$15,ROW(AO637)-ROW(AO$15),0),
ROUND(ROUND(OFFSET($P637,0,AO$13),15-13*ORÇAMENTO!$AF$7)*OFFSET(ORÇAMENTO!$W$15,ROW(AO637)-ROW(AO$15),0),15-13*ORÇAMENTO!$AF$11)),0)</f>
        <v>0</v>
      </c>
      <c r="AP637" s="545">
        <f ca="1">IF(AND($D637="Serviço",AP$12&lt;&gt;0,$H637&gt;0,OR(AUTOEVENTO&lt;&gt;"manual",$M637&lt;&gt;1)),
IF(Import.TipoArredondamento&lt;&gt;"TransfereGOV",
ROUND(OFFSET($P637,0,AP$13),15-13*ORÇAMENTO!$AF$7)/$H637*OFFSET(ORÇAMENTO!$X$15,ROW(AP637)-ROW(AP$15),0),
ROUND(ROUND(OFFSET($P637,0,AP$13),15-13*ORÇAMENTO!$AF$7)*OFFSET(ORÇAMENTO!$W$15,ROW(AP637)-ROW(AP$15),0),15-13*ORÇAMENTO!$AF$11)),0)</f>
        <v>0</v>
      </c>
      <c r="AQ637" s="545">
        <f ca="1">IF(AND($D637="Serviço",AQ$12&lt;&gt;0,$H637&gt;0,OR(AUTOEVENTO&lt;&gt;"manual",$M637&lt;&gt;1)),
IF(Import.TipoArredondamento&lt;&gt;"TransfereGOV",
ROUND(OFFSET($P637,0,AQ$13),15-13*ORÇAMENTO!$AF$7)/$H637*OFFSET(ORÇAMENTO!$X$15,ROW(AQ637)-ROW(AQ$15),0),
ROUND(ROUND(OFFSET($P637,0,AQ$13),15-13*ORÇAMENTO!$AF$7)*OFFSET(ORÇAMENTO!$W$15,ROW(AQ637)-ROW(AQ$15),0),15-13*ORÇAMENTO!$AF$11)),0)</f>
        <v>0</v>
      </c>
      <c r="AR637" s="545">
        <f ca="1">IF(AND($D637="Serviço",AR$12&lt;&gt;0,$H637&gt;0,OR(AUTOEVENTO&lt;&gt;"manual",$M637&lt;&gt;1)),
IF(Import.TipoArredondamento&lt;&gt;"TransfereGOV",
ROUND(OFFSET($P637,0,AR$13),15-13*ORÇAMENTO!$AF$7)/$H637*OFFSET(ORÇAMENTO!$X$15,ROW(AR637)-ROW(AR$15),0),
ROUND(ROUND(OFFSET($P637,0,AR$13),15-13*ORÇAMENTO!$AF$7)*OFFSET(ORÇAMENTO!$W$15,ROW(AR637)-ROW(AR$15),0),15-13*ORÇAMENTO!$AF$11)),0)</f>
        <v>0</v>
      </c>
      <c r="AS637" s="546">
        <f ca="1">IF(AND($D637="Serviço",AS$12&lt;&gt;0,$H637&gt;0,OR(AUTOEVENTO&lt;&gt;"manual",$M637&lt;&gt;1)),
IF(Import.TipoArredondamento&lt;&gt;"TransfereGOV",
ROUND(OFFSET($P637,0,AS$13),15-13*ORÇAMENTO!$AF$7)/$H637*OFFSET(ORÇAMENTO!$X$15,ROW(AS637)-ROW(AS$15),0),
ROUND(ROUND(OFFSET($P637,0,AS$13),15-13*ORÇAMENTO!$AF$7)*OFFSET(ORÇAMENTO!$W$15,ROW(AS637)-ROW(AS$15),0),15-13*ORÇAMENTO!$AF$11)),0)</f>
        <v>0</v>
      </c>
      <c r="AT637" s="545">
        <f ca="1">IF(AND($D637="Serviço",AT$12&lt;&gt;0,$H637&gt;0,OR(AUTOEVENTO&lt;&gt;"manual",$M637&lt;&gt;1)),
IF(Import.TipoArredondamento&lt;&gt;"TransfereGOV",
ROUND(OFFSET($P637,0,AT$13),15-13*ORÇAMENTO!$AF$7)/$H637*OFFSET(ORÇAMENTO!$X$15,ROW(AT637)-ROW(AT$15),0),
ROUND(ROUND(OFFSET($P637,0,AT$13),15-13*ORÇAMENTO!$AF$7)*OFFSET(ORÇAMENTO!$W$15,ROW(AT637)-ROW(AT$15),0),15-13*ORÇAMENTO!$AF$11)),0)</f>
        <v>0</v>
      </c>
      <c r="AU637" s="545">
        <f ca="1">IF(AND($D637="Serviço",AU$12&lt;&gt;0,$H637&gt;0,OR(AUTOEVENTO&lt;&gt;"manual",$M637&lt;&gt;1)),
IF(Import.TipoArredondamento&lt;&gt;"TransfereGOV",
ROUND(OFFSET($P637,0,AU$13),15-13*ORÇAMENTO!$AF$7)/$H637*OFFSET(ORÇAMENTO!$X$15,ROW(AU637)-ROW(AU$15),0),
ROUND(ROUND(OFFSET($P637,0,AU$13),15-13*ORÇAMENTO!$AF$7)*OFFSET(ORÇAMENTO!$W$15,ROW(AU637)-ROW(AU$15),0),15-13*ORÇAMENTO!$AF$11)),0)</f>
        <v>0</v>
      </c>
      <c r="AV637" s="545">
        <f ca="1">IF(AND($D637="Serviço",AV$12&lt;&gt;0,$H637&gt;0,OR(AUTOEVENTO&lt;&gt;"manual",$M637&lt;&gt;1)),
IF(Import.TipoArredondamento&lt;&gt;"TransfereGOV",
ROUND(OFFSET($P637,0,AV$13),15-13*ORÇAMENTO!$AF$7)/$H637*OFFSET(ORÇAMENTO!$X$15,ROW(AV637)-ROW(AV$15),0),
ROUND(ROUND(OFFSET($P637,0,AV$13),15-13*ORÇAMENTO!$AF$7)*OFFSET(ORÇAMENTO!$W$15,ROW(AV637)-ROW(AV$15),0),15-13*ORÇAMENTO!$AF$11)),0)</f>
        <v>0</v>
      </c>
      <c r="AW637" s="545">
        <f ca="1">IF(AND($D637="Serviço",AW$12&lt;&gt;0,$H637&gt;0,OR(AUTOEVENTO&lt;&gt;"manual",$M637&lt;&gt;1)),
IF(Import.TipoArredondamento&lt;&gt;"TransfereGOV",
ROUND(OFFSET($P637,0,AW$13),15-13*ORÇAMENTO!$AF$7)/$H637*OFFSET(ORÇAMENTO!$X$15,ROW(AW637)-ROW(AW$15),0),
ROUND(ROUND(OFFSET($P637,0,AW$13),15-13*ORÇAMENTO!$AF$7)*OFFSET(ORÇAMENTO!$W$15,ROW(AW637)-ROW(AW$15),0),15-13*ORÇAMENTO!$AF$11)),0)</f>
        <v>0</v>
      </c>
      <c r="AX637" s="545">
        <f ca="1">IF(AND($D637="Serviço",AX$12&lt;&gt;0,$H637&gt;0,OR(AUTOEVENTO&lt;&gt;"manual",$M637&lt;&gt;1)),
IF(Import.TipoArredondamento&lt;&gt;"TransfereGOV",
ROUND(OFFSET($P637,0,AX$13),15-13*ORÇAMENTO!$AF$7)/$H637*OFFSET(ORÇAMENTO!$X$15,ROW(AX637)-ROW(AX$15),0),
ROUND(ROUND(OFFSET($P637,0,AX$13),15-13*ORÇAMENTO!$AF$7)*OFFSET(ORÇAMENTO!$W$15,ROW(AX637)-ROW(AX$15),0),15-13*ORÇAMENTO!$AF$11)),0)</f>
        <v>0</v>
      </c>
      <c r="AY637" s="545">
        <f ca="1">IF(AND($D637="Serviço",AY$12&lt;&gt;0,$H637&gt;0,OR(AUTOEVENTO&lt;&gt;"manual",$M637&lt;&gt;1)),
IF(Import.TipoArredondamento&lt;&gt;"TransfereGOV",
ROUND(OFFSET($P637,0,AY$13),15-13*ORÇAMENTO!$AF$7)/$H637*OFFSET(ORÇAMENTO!$X$15,ROW(AY637)-ROW(AY$15),0),
ROUND(ROUND(OFFSET($P637,0,AY$13),15-13*ORÇAMENTO!$AF$7)*OFFSET(ORÇAMENTO!$W$15,ROW(AY637)-ROW(AY$15),0),15-13*ORÇAMENTO!$AF$11)),0)</f>
        <v>0</v>
      </c>
      <c r="AZ637" s="545">
        <f ca="1">IF(AND($D637="Serviço",AZ$12&lt;&gt;0,$H637&gt;0,OR(AUTOEVENTO&lt;&gt;"manual",$M637&lt;&gt;1)),
IF(Import.TipoArredondamento&lt;&gt;"TransfereGOV",
ROUND(OFFSET($P637,0,AZ$13),15-13*ORÇAMENTO!$AF$7)/$H637*OFFSET(ORÇAMENTO!$X$15,ROW(AZ637)-ROW(AZ$15),0),
ROUND(ROUND(OFFSET($P637,0,AZ$13),15-13*ORÇAMENTO!$AF$7)*OFFSET(ORÇAMENTO!$W$15,ROW(AZ637)-ROW(AZ$15),0),15-13*ORÇAMENTO!$AF$11)),0)</f>
        <v>0</v>
      </c>
      <c r="BA637" s="546">
        <f ca="1">IF(AND($D637="Serviço",BA$12&lt;&gt;0,$H637&gt;0,OR(AUTOEVENTO&lt;&gt;"manual",$M637&lt;&gt;1)),
IF(Import.TipoArredondamento&lt;&gt;"TransfereGOV",
ROUND(OFFSET($P637,0,BA$13),15-13*ORÇAMENTO!$AF$7)/$H637*OFFSET(ORÇAMENTO!$X$15,ROW(BA637)-ROW(BA$15),0),
ROUND(ROUND(OFFSET($P637,0,BA$13),15-13*ORÇAMENTO!$AF$7)*OFFSET(ORÇAMENTO!$W$15,ROW(BA637)-ROW(BA$15),0),15-13*ORÇAMENTO!$AF$11)),0)</f>
        <v>0</v>
      </c>
      <c r="BC637" s="181">
        <f ca="1">IF($D637&lt;&gt;"Serviço",0,IF(AND(AUTOEVENTO="Manual",$M637=1),0,IF(OFFSET(CRONOPLE!$F$14,$M637,BC$13)="",10^12,OFFSET(CRONOPLE!$F$14,$M637,BC$13))))</f>
        <v>11</v>
      </c>
      <c r="BD637" s="181">
        <f ca="1">IF($D637&lt;&gt;"Serviço",0,IF(AND(AUTOEVENTO="Manual",$M637=1),0,IF(OFFSET(CRONOPLE!$F$14,$M637,BD$13)="",10^12,OFFSET(CRONOPLE!$F$14,$M637,BD$13))))</f>
        <v>1000000000000</v>
      </c>
      <c r="BE637" s="181">
        <f ca="1">IF($D637&lt;&gt;"Serviço",0,IF(AND(AUTOEVENTO="Manual",$M637=1),0,IF(OFFSET(CRONOPLE!$F$14,$M637,BE$13)="",10^12,OFFSET(CRONOPLE!$F$14,$M637,BE$13))))</f>
        <v>1000000000000</v>
      </c>
      <c r="BF637" s="181">
        <f ca="1">IF($D637&lt;&gt;"Serviço",0,IF(AND(AUTOEVENTO="Manual",$M637=1),0,IF(OFFSET(CRONOPLE!$F$14,$M637,BF$13)="",10^12,OFFSET(CRONOPLE!$F$14,$M637,BF$13))))</f>
        <v>1000000000000</v>
      </c>
      <c r="BG637" s="181">
        <f ca="1">IF($D637&lt;&gt;"Serviço",0,IF(AND(AUTOEVENTO="Manual",$M637=1),0,IF(OFFSET(CRONOPLE!$F$14,$M637,BG$13)="",10^12,OFFSET(CRONOPLE!$F$14,$M637,BG$13))))</f>
        <v>1000000000000</v>
      </c>
      <c r="BH637" s="181">
        <f ca="1">IF($D637&lt;&gt;"Serviço",0,IF(AND(AUTOEVENTO="Manual",$M637=1),0,IF(OFFSET(CRONOPLE!$F$14,$M637,BH$13)="",10^12,OFFSET(CRONOPLE!$F$14,$M637,BH$13))))</f>
        <v>1000000000000</v>
      </c>
      <c r="BI637" s="181">
        <f ca="1">IF($D637&lt;&gt;"Serviço",0,IF(AND(AUTOEVENTO="Manual",$M637=1),0,IF(OFFSET(CRONOPLE!$F$14,$M637,BI$13)="",10^12,OFFSET(CRONOPLE!$F$14,$M637,BI$13))))</f>
        <v>1000000000000</v>
      </c>
      <c r="BJ637" s="181">
        <f ca="1">IF($D637&lt;&gt;"Serviço",0,IF(AND(AUTOEVENTO="Manual",$M637=1),0,IF(OFFSET(CRONOPLE!$F$14,$M637,BJ$13)="",10^12,OFFSET(CRONOPLE!$F$14,$M637,BJ$13))))</f>
        <v>1000000000000</v>
      </c>
      <c r="BK637" s="181">
        <f ca="1">IF($D637&lt;&gt;"Serviço",0,IF(AND(AUTOEVENTO="Manual",$M637=1),0,IF(OFFSET(CRONOPLE!$F$14,$M637,BK$13)="",10^12,OFFSET(CRONOPLE!$F$14,$M637,BK$13))))</f>
        <v>1000000000000</v>
      </c>
      <c r="BL637" s="181">
        <f ca="1">IF($D637&lt;&gt;"Serviço",0,IF(AND(AUTOEVENTO="Manual",$M637=1),0,IF(OFFSET(CRONOPLE!$F$14,$M637,BL$13)="",10^12,OFFSET(CRONOPLE!$F$14,$M637,BL$13))))</f>
        <v>1000000000000</v>
      </c>
      <c r="BM637" s="181">
        <f ca="1">IF($D637&lt;&gt;"Serviço",0,IF(AND(AUTOEVENTO="Manual",$M637=1),0,IF(OFFSET(CRONOPLE!$F$14,$M637,BM$13)="",10^12,OFFSET(CRONOPLE!$F$14,$M637,BM$13))))</f>
        <v>1000000000000</v>
      </c>
      <c r="BN637" s="181">
        <f ca="1">IF($D637&lt;&gt;"Serviço",0,IF(AND(AUTOEVENTO="Manual",$M637=1),0,IF(OFFSET(CRONOPLE!$F$14,$M637,BN$13)="",10^12,OFFSET(CRONOPLE!$F$14,$M637,BN$13))))</f>
        <v>1000000000000</v>
      </c>
      <c r="BO637" s="181">
        <f ca="1">IF($D637&lt;&gt;"Serviço",0,IF(AND(AUTOEVENTO="Manual",$M637=1),0,IF(OFFSET(CRONOPLE!$F$14,$M637,BO$13)="",10^12,OFFSET(CRONOPLE!$F$14,$M637,BO$13))))</f>
        <v>1000000000000</v>
      </c>
      <c r="BP637" s="181">
        <f ca="1">IF($D637&lt;&gt;"Serviço",0,IF(AND(AUTOEVENTO="Manual",$M637=1),0,IF(OFFSET(CRONOPLE!$F$14,$M637,BP$13)="",10^12,OFFSET(CRONOPLE!$F$14,$M637,BP$13))))</f>
        <v>1000000000000</v>
      </c>
      <c r="BQ637" s="181">
        <f ca="1">IF($D637&lt;&gt;"Serviço",0,IF(AND(AUTOEVENTO="Manual",$M637=1),0,IF(OFFSET(CRONOPLE!$F$14,$M637,BQ$13)="",10^12,OFFSET(CRONOPLE!$F$14,$M637,BQ$13))))</f>
        <v>1000000000000</v>
      </c>
      <c r="BR637" s="181">
        <f ca="1">IF($D637&lt;&gt;"Serviço",0,IF(AND(AUTOEVENTO="Manual",$M637=1),0,IF(OFFSET(CRONOPLE!$F$14,$M637,BR$13)="",10^12,OFFSET(CRONOPLE!$F$14,$M637,BR$13))))</f>
        <v>1000000000000</v>
      </c>
      <c r="BS637" s="181">
        <f ca="1">IF($D637&lt;&gt;"Serviço",0,IF(AND(AUTOEVENTO="Manual",$M637=1),0,IF(OFFSET(CRONOPLE!$F$14,$M637,BS$13)="",10^12,OFFSET(CRONOPLE!$F$14,$M637,BS$13))))</f>
        <v>1000000000000</v>
      </c>
      <c r="BT637" s="181">
        <f ca="1">IF($D637&lt;&gt;"Serviço",0,IF(AND(AUTOEVENTO="Manual",$M637=1),0,IF(OFFSET(CRONOPLE!$F$14,$M637,BT$13)="",10^12,OFFSET(CRONOPLE!$F$14,$M637,BT$13))))</f>
        <v>1000000000000</v>
      </c>
      <c r="BV637" s="182">
        <f ca="1">IF($D637&lt;&gt;"Serviço",0,IF(OR(AND(AUTOEVENTO="Manual",$M637=1),$M637&gt;(ROW(PLE.lastrow)-ROW(PLE.firstrow))),0,IF(OFFSET(PLE!$G$14,$M637,BV$13)="",10^12,OFFSET(PLE!$G$14,$M637,BV$13))))</f>
        <v>1000000000000</v>
      </c>
      <c r="BW637" s="182">
        <f ca="1">IF($D637&lt;&gt;"Serviço",0,IF(OR(AND(AUTOEVENTO="Manual",$M637=1),$M637&gt;(ROW(PLE.lastrow)-ROW(PLE.firstrow))),0,IF(OFFSET(PLE!$G$14,$M637,BW$13)="",10^12,OFFSET(PLE!$G$14,$M637,BW$13))))</f>
        <v>1000000000000</v>
      </c>
      <c r="BX637" s="182">
        <f ca="1">IF($D637&lt;&gt;"Serviço",0,IF(OR(AND(AUTOEVENTO="Manual",$M637=1),$M637&gt;(ROW(PLE.lastrow)-ROW(PLE.firstrow))),0,IF(OFFSET(PLE!$G$14,$M637,BX$13)="",10^12,OFFSET(PLE!$G$14,$M637,BX$13))))</f>
        <v>1000000000000</v>
      </c>
      <c r="BY637" s="182">
        <f ca="1">IF($D637&lt;&gt;"Serviço",0,IF(OR(AND(AUTOEVENTO="Manual",$M637=1),$M637&gt;(ROW(PLE.lastrow)-ROW(PLE.firstrow))),0,IF(OFFSET(PLE!$G$14,$M637,BY$13)="",10^12,OFFSET(PLE!$G$14,$M637,BY$13))))</f>
        <v>1000000000000</v>
      </c>
      <c r="BZ637" s="182">
        <f ca="1">IF($D637&lt;&gt;"Serviço",0,IF(OR(AND(AUTOEVENTO="Manual",$M637=1),$M637&gt;(ROW(PLE.lastrow)-ROW(PLE.firstrow))),0,IF(OFFSET(PLE!$G$14,$M637,BZ$13)="",10^12,OFFSET(PLE!$G$14,$M637,BZ$13))))</f>
        <v>1000000000000</v>
      </c>
      <c r="CA637" s="182">
        <f ca="1">IF($D637&lt;&gt;"Serviço",0,IF(OR(AND(AUTOEVENTO="Manual",$M637=1),$M637&gt;(ROW(PLE.lastrow)-ROW(PLE.firstrow))),0,IF(OFFSET(PLE!$G$14,$M637,CA$13)="",10^12,OFFSET(PLE!$G$14,$M637,CA$13))))</f>
        <v>1000000000000</v>
      </c>
      <c r="CB637" s="182">
        <f ca="1">IF($D637&lt;&gt;"Serviço",0,IF(OR(AND(AUTOEVENTO="Manual",$M637=1),$M637&gt;(ROW(PLE.lastrow)-ROW(PLE.firstrow))),0,IF(OFFSET(PLE!$G$14,$M637,CB$13)="",10^12,OFFSET(PLE!$G$14,$M637,CB$13))))</f>
        <v>1000000000000</v>
      </c>
      <c r="CC637" s="182">
        <f ca="1">IF($D637&lt;&gt;"Serviço",0,IF(OR(AND(AUTOEVENTO="Manual",$M637=1),$M637&gt;(ROW(PLE.lastrow)-ROW(PLE.firstrow))),0,IF(OFFSET(PLE!$G$14,$M637,CC$13)="",10^12,OFFSET(PLE!$G$14,$M637,CC$13))))</f>
        <v>1000000000000</v>
      </c>
      <c r="CD637" s="182">
        <f ca="1">IF($D637&lt;&gt;"Serviço",0,IF(OR(AND(AUTOEVENTO="Manual",$M637=1),$M637&gt;(ROW(PLE.lastrow)-ROW(PLE.firstrow))),0,IF(OFFSET(PLE!$G$14,$M637,CD$13)="",10^12,OFFSET(PLE!$G$14,$M637,CD$13))))</f>
        <v>1000000000000</v>
      </c>
      <c r="CE637" s="182">
        <f ca="1">IF($D637&lt;&gt;"Serviço",0,IF(OR(AND(AUTOEVENTO="Manual",$M637=1),$M637&gt;(ROW(PLE.lastrow)-ROW(PLE.firstrow))),0,IF(OFFSET(PLE!$G$14,$M637,CE$13)="",10^12,OFFSET(PLE!$G$14,$M637,CE$13))))</f>
        <v>1000000000000</v>
      </c>
      <c r="CF637" s="182">
        <f ca="1">IF($D637&lt;&gt;"Serviço",0,IF(OR(AND(AUTOEVENTO="Manual",$M637=1),$M637&gt;(ROW(PLE.lastrow)-ROW(PLE.firstrow))),0,IF(OFFSET(PLE!$G$14,$M637,CF$13)="",10^12,OFFSET(PLE!$G$14,$M637,CF$13))))</f>
        <v>1000000000000</v>
      </c>
      <c r="CG637" s="182">
        <f ca="1">IF($D637&lt;&gt;"Serviço",0,IF(OR(AND(AUTOEVENTO="Manual",$M637=1),$M637&gt;(ROW(PLE.lastrow)-ROW(PLE.firstrow))),0,IF(OFFSET(PLE!$G$14,$M637,CG$13)="",10^12,OFFSET(PLE!$G$14,$M637,CG$13))))</f>
        <v>1000000000000</v>
      </c>
      <c r="CH637" s="182">
        <f ca="1">IF($D637&lt;&gt;"Serviço",0,IF(OR(AND(AUTOEVENTO="Manual",$M637=1),$M637&gt;(ROW(PLE.lastrow)-ROW(PLE.firstrow))),0,IF(OFFSET(PLE!$G$14,$M637,CH$13)="",10^12,OFFSET(PLE!$G$14,$M637,CH$13))))</f>
        <v>1000000000000</v>
      </c>
      <c r="CI637" s="182">
        <f ca="1">IF($D637&lt;&gt;"Serviço",0,IF(OR(AND(AUTOEVENTO="Manual",$M637=1),$M637&gt;(ROW(PLE.lastrow)-ROW(PLE.firstrow))),0,IF(OFFSET(PLE!$G$14,$M637,CI$13)="",10^12,OFFSET(PLE!$G$14,$M637,CI$13))))</f>
        <v>1000000000000</v>
      </c>
      <c r="CJ637" s="182">
        <f ca="1">IF($D637&lt;&gt;"Serviço",0,IF(OR(AND(AUTOEVENTO="Manual",$M637=1),$M637&gt;(ROW(PLE.lastrow)-ROW(PLE.firstrow))),0,IF(OFFSET(PLE!$G$14,$M637,CJ$13)="",10^12,OFFSET(PLE!$G$14,$M637,CJ$13))))</f>
        <v>1000000000000</v>
      </c>
      <c r="CK637" s="182">
        <f ca="1">IF($D637&lt;&gt;"Serviço",0,IF(OR(AND(AUTOEVENTO="Manual",$M637=1),$M637&gt;(ROW(PLE.lastrow)-ROW(PLE.firstrow))),0,IF(OFFSET(PLE!$G$14,$M637,CK$13)="",10^12,OFFSET(PLE!$G$14,$M637,CK$13))))</f>
        <v>1000000000000</v>
      </c>
      <c r="CL637" s="182">
        <f ca="1">IF($D637&lt;&gt;"Serviço",0,IF(OR(AND(AUTOEVENTO="Manual",$M637=1),$M637&gt;(ROW(PLE.lastrow)-ROW(PLE.firstrow))),0,IF(OFFSET(PLE!$G$14,$M637,CL$13)="",10^12,OFFSET(PLE!$G$14,$M637,CL$13))))</f>
        <v>1000000000000</v>
      </c>
      <c r="CM637" s="182">
        <f ca="1">IF($D637&lt;&gt;"Serviço",0,IF(OR(AND(AUTOEVENTO="Manual",$M637=1),$M637&gt;(ROW(PLE.lastrow)-ROW(PLE.firstrow))),0,IF(OFFSET(PLE!$G$14,$M637,CM$13)="",10^12,OFFSET(PLE!$G$14,$M637,CM$13))))</f>
        <v>1000000000000</v>
      </c>
    </row>
    <row r="638" spans="1:91" ht="38.25" x14ac:dyDescent="0.2">
      <c r="A638" s="7" t="str">
        <f t="shared" ca="1" si="18"/>
        <v>621</v>
      </c>
      <c r="B638" s="7" t="str">
        <f ca="1">OFFSET(ORÇAMENTO!C$15,ROW(B638)-ROW(B$15),0)</f>
        <v>S</v>
      </c>
      <c r="C638" s="7" t="str">
        <f ca="1">OFFSET(ORÇAMENTO!L$15,ROW(C638)-ROW(C$15),0)</f>
        <v/>
      </c>
      <c r="D638" s="118" t="str">
        <f ca="1">OFFSET(ORÇAMENTO!N$15,ROW(D638)-ROW(D$15),0)</f>
        <v>Serviço</v>
      </c>
      <c r="E638" s="119" t="str">
        <f ca="1">OFFSET(ORÇAMENTO!O$15,ROW(E638)-ROW(E$15),0)</f>
        <v>-</v>
      </c>
      <c r="F638" s="172" t="str">
        <f ca="1">OFFSET(ORÇAMENTO!R$15,ROW(F638)-ROW(F$15),0)</f>
        <v>(abra o arquivo 'Referência 06-2024.xlsm)</v>
      </c>
      <c r="G638" s="173" t="str">
        <f ca="1">IF($D638&lt;&gt;"Serviço","",OFFSET(ORÇAMENTO!S$15,ROW(G638)-ROW(G$15),0))</f>
        <v>-</v>
      </c>
      <c r="H638" s="124">
        <f ca="1">IF($D638&lt;&gt;"Serviço",0,IF(ACOMPANHAMENTO="BM",ROUND(OFFSET(ORÇAMENTO!AJ$15,ROW(H638)-ROW(H$15),0),15-13*ORÇAMENTO!$AF$7),SUMPRODUCT(($Q$12:$AI$12&lt;&gt;"")*ROUND($Q638:$AI638,15-13*ORÇAMENTO!$AF$7))))</f>
        <v>4</v>
      </c>
      <c r="I638" s="561" t="s">
        <v>1107</v>
      </c>
      <c r="K638" s="174"/>
      <c r="L638" s="175" t="s">
        <v>255</v>
      </c>
      <c r="M638" s="176">
        <f ca="1">IF($D638&lt;&gt;"Serviço","",IF(AUTOEVENTO="manual",$A638,IF(ISERROR(MATCH($A638,$A$15:OFFSET($A638,-1,0),0)),MAX($M$15:OFFSET(M638,-1,0))+1,INDEX($M$15:OFFSET(M638,-1,0),MATCH($A638,$A$15:OFFSET($A638,-1,0),0)))))</f>
        <v>67</v>
      </c>
      <c r="N638" s="177" t="str">
        <f ca="1">IF($D638&lt;&gt;"Serviço","",IF(AUTOEVENTO="Manual",IF($A638=0,"&lt;-- defina o número do agrupador",OFFSET(EVENTOS!$D$14,$A638,0)),OFFSET($F$15,$A638,0)))</f>
        <v>INSTALAÇÕES DE CABEAMENTO ESTRUTURADO - CAIXAS E QUADROS</v>
      </c>
      <c r="O638" s="178"/>
      <c r="Q638" s="178">
        <v>4</v>
      </c>
      <c r="R638" s="179"/>
      <c r="S638" s="179"/>
      <c r="T638" s="179"/>
      <c r="U638" s="179"/>
      <c r="V638" s="179"/>
      <c r="W638" s="179"/>
      <c r="X638" s="179"/>
      <c r="Y638" s="179"/>
      <c r="Z638" s="180"/>
      <c r="AA638" s="179"/>
      <c r="AB638" s="179"/>
      <c r="AC638" s="179"/>
      <c r="AD638" s="179"/>
      <c r="AE638" s="179"/>
      <c r="AF638" s="179"/>
      <c r="AG638" s="179"/>
      <c r="AH638" s="180"/>
      <c r="AJ638" s="544">
        <f ca="1">IF(AND($D638="Serviço",AJ$12&lt;&gt;0,$H638&gt;0,OR(AUTOEVENTO&lt;&gt;"manual",$M638&lt;&gt;1)),
IF(Import.TipoArredondamento&lt;&gt;"TransfereGOV",
ROUND(OFFSET($P638,0,AJ$13),15-13*ORÇAMENTO!$AF$7)/$H638*OFFSET(ORÇAMENTO!$X$15,ROW(AJ638)-ROW(AJ$15),0),
ROUND(ROUND(OFFSET($P638,0,AJ$13),15-13*ORÇAMENTO!$AF$7)*OFFSET(ORÇAMENTO!$W$15,ROW(AJ638)-ROW(AJ$15),0),15-13*ORÇAMENTO!$AF$11)),0)</f>
        <v>0</v>
      </c>
      <c r="AK638" s="545">
        <f ca="1">IF(AND($D638="Serviço",AK$12&lt;&gt;0,$H638&gt;0,OR(AUTOEVENTO&lt;&gt;"manual",$M638&lt;&gt;1)),
IF(Import.TipoArredondamento&lt;&gt;"TransfereGOV",
ROUND(OFFSET($P638,0,AK$13),15-13*ORÇAMENTO!$AF$7)/$H638*OFFSET(ORÇAMENTO!$X$15,ROW(AK638)-ROW(AK$15),0),
ROUND(ROUND(OFFSET($P638,0,AK$13),15-13*ORÇAMENTO!$AF$7)*OFFSET(ORÇAMENTO!$W$15,ROW(AK638)-ROW(AK$15),0),15-13*ORÇAMENTO!$AF$11)),0)</f>
        <v>0</v>
      </c>
      <c r="AL638" s="545">
        <f ca="1">IF(AND($D638="Serviço",AL$12&lt;&gt;0,$H638&gt;0,OR(AUTOEVENTO&lt;&gt;"manual",$M638&lt;&gt;1)),
IF(Import.TipoArredondamento&lt;&gt;"TransfereGOV",
ROUND(OFFSET($P638,0,AL$13),15-13*ORÇAMENTO!$AF$7)/$H638*OFFSET(ORÇAMENTO!$X$15,ROW(AL638)-ROW(AL$15),0),
ROUND(ROUND(OFFSET($P638,0,AL$13),15-13*ORÇAMENTO!$AF$7)*OFFSET(ORÇAMENTO!$W$15,ROW(AL638)-ROW(AL$15),0),15-13*ORÇAMENTO!$AF$11)),0)</f>
        <v>0</v>
      </c>
      <c r="AM638" s="545">
        <f ca="1">IF(AND($D638="Serviço",AM$12&lt;&gt;0,$H638&gt;0,OR(AUTOEVENTO&lt;&gt;"manual",$M638&lt;&gt;1)),
IF(Import.TipoArredondamento&lt;&gt;"TransfereGOV",
ROUND(OFFSET($P638,0,AM$13),15-13*ORÇAMENTO!$AF$7)/$H638*OFFSET(ORÇAMENTO!$X$15,ROW(AM638)-ROW(AM$15),0),
ROUND(ROUND(OFFSET($P638,0,AM$13),15-13*ORÇAMENTO!$AF$7)*OFFSET(ORÇAMENTO!$W$15,ROW(AM638)-ROW(AM$15),0),15-13*ORÇAMENTO!$AF$11)),0)</f>
        <v>0</v>
      </c>
      <c r="AN638" s="545">
        <f ca="1">IF(AND($D638="Serviço",AN$12&lt;&gt;0,$H638&gt;0,OR(AUTOEVENTO&lt;&gt;"manual",$M638&lt;&gt;1)),
IF(Import.TipoArredondamento&lt;&gt;"TransfereGOV",
ROUND(OFFSET($P638,0,AN$13),15-13*ORÇAMENTO!$AF$7)/$H638*OFFSET(ORÇAMENTO!$X$15,ROW(AN638)-ROW(AN$15),0),
ROUND(ROUND(OFFSET($P638,0,AN$13),15-13*ORÇAMENTO!$AF$7)*OFFSET(ORÇAMENTO!$W$15,ROW(AN638)-ROW(AN$15),0),15-13*ORÇAMENTO!$AF$11)),0)</f>
        <v>0</v>
      </c>
      <c r="AO638" s="545">
        <f ca="1">IF(AND($D638="Serviço",AO$12&lt;&gt;0,$H638&gt;0,OR(AUTOEVENTO&lt;&gt;"manual",$M638&lt;&gt;1)),
IF(Import.TipoArredondamento&lt;&gt;"TransfereGOV",
ROUND(OFFSET($P638,0,AO$13),15-13*ORÇAMENTO!$AF$7)/$H638*OFFSET(ORÇAMENTO!$X$15,ROW(AO638)-ROW(AO$15),0),
ROUND(ROUND(OFFSET($P638,0,AO$13),15-13*ORÇAMENTO!$AF$7)*OFFSET(ORÇAMENTO!$W$15,ROW(AO638)-ROW(AO$15),0),15-13*ORÇAMENTO!$AF$11)),0)</f>
        <v>0</v>
      </c>
      <c r="AP638" s="545">
        <f ca="1">IF(AND($D638="Serviço",AP$12&lt;&gt;0,$H638&gt;0,OR(AUTOEVENTO&lt;&gt;"manual",$M638&lt;&gt;1)),
IF(Import.TipoArredondamento&lt;&gt;"TransfereGOV",
ROUND(OFFSET($P638,0,AP$13),15-13*ORÇAMENTO!$AF$7)/$H638*OFFSET(ORÇAMENTO!$X$15,ROW(AP638)-ROW(AP$15),0),
ROUND(ROUND(OFFSET($P638,0,AP$13),15-13*ORÇAMENTO!$AF$7)*OFFSET(ORÇAMENTO!$W$15,ROW(AP638)-ROW(AP$15),0),15-13*ORÇAMENTO!$AF$11)),0)</f>
        <v>0</v>
      </c>
      <c r="AQ638" s="545">
        <f ca="1">IF(AND($D638="Serviço",AQ$12&lt;&gt;0,$H638&gt;0,OR(AUTOEVENTO&lt;&gt;"manual",$M638&lt;&gt;1)),
IF(Import.TipoArredondamento&lt;&gt;"TransfereGOV",
ROUND(OFFSET($P638,0,AQ$13),15-13*ORÇAMENTO!$AF$7)/$H638*OFFSET(ORÇAMENTO!$X$15,ROW(AQ638)-ROW(AQ$15),0),
ROUND(ROUND(OFFSET($P638,0,AQ$13),15-13*ORÇAMENTO!$AF$7)*OFFSET(ORÇAMENTO!$W$15,ROW(AQ638)-ROW(AQ$15),0),15-13*ORÇAMENTO!$AF$11)),0)</f>
        <v>0</v>
      </c>
      <c r="AR638" s="545">
        <f ca="1">IF(AND($D638="Serviço",AR$12&lt;&gt;0,$H638&gt;0,OR(AUTOEVENTO&lt;&gt;"manual",$M638&lt;&gt;1)),
IF(Import.TipoArredondamento&lt;&gt;"TransfereGOV",
ROUND(OFFSET($P638,0,AR$13),15-13*ORÇAMENTO!$AF$7)/$H638*OFFSET(ORÇAMENTO!$X$15,ROW(AR638)-ROW(AR$15),0),
ROUND(ROUND(OFFSET($P638,0,AR$13),15-13*ORÇAMENTO!$AF$7)*OFFSET(ORÇAMENTO!$W$15,ROW(AR638)-ROW(AR$15),0),15-13*ORÇAMENTO!$AF$11)),0)</f>
        <v>0</v>
      </c>
      <c r="AS638" s="546">
        <f ca="1">IF(AND($D638="Serviço",AS$12&lt;&gt;0,$H638&gt;0,OR(AUTOEVENTO&lt;&gt;"manual",$M638&lt;&gt;1)),
IF(Import.TipoArredondamento&lt;&gt;"TransfereGOV",
ROUND(OFFSET($P638,0,AS$13),15-13*ORÇAMENTO!$AF$7)/$H638*OFFSET(ORÇAMENTO!$X$15,ROW(AS638)-ROW(AS$15),0),
ROUND(ROUND(OFFSET($P638,0,AS$13),15-13*ORÇAMENTO!$AF$7)*OFFSET(ORÇAMENTO!$W$15,ROW(AS638)-ROW(AS$15),0),15-13*ORÇAMENTO!$AF$11)),0)</f>
        <v>0</v>
      </c>
      <c r="AT638" s="545">
        <f ca="1">IF(AND($D638="Serviço",AT$12&lt;&gt;0,$H638&gt;0,OR(AUTOEVENTO&lt;&gt;"manual",$M638&lt;&gt;1)),
IF(Import.TipoArredondamento&lt;&gt;"TransfereGOV",
ROUND(OFFSET($P638,0,AT$13),15-13*ORÇAMENTO!$AF$7)/$H638*OFFSET(ORÇAMENTO!$X$15,ROW(AT638)-ROW(AT$15),0),
ROUND(ROUND(OFFSET($P638,0,AT$13),15-13*ORÇAMENTO!$AF$7)*OFFSET(ORÇAMENTO!$W$15,ROW(AT638)-ROW(AT$15),0),15-13*ORÇAMENTO!$AF$11)),0)</f>
        <v>0</v>
      </c>
      <c r="AU638" s="545">
        <f ca="1">IF(AND($D638="Serviço",AU$12&lt;&gt;0,$H638&gt;0,OR(AUTOEVENTO&lt;&gt;"manual",$M638&lt;&gt;1)),
IF(Import.TipoArredondamento&lt;&gt;"TransfereGOV",
ROUND(OFFSET($P638,0,AU$13),15-13*ORÇAMENTO!$AF$7)/$H638*OFFSET(ORÇAMENTO!$X$15,ROW(AU638)-ROW(AU$15),0),
ROUND(ROUND(OFFSET($P638,0,AU$13),15-13*ORÇAMENTO!$AF$7)*OFFSET(ORÇAMENTO!$W$15,ROW(AU638)-ROW(AU$15),0),15-13*ORÇAMENTO!$AF$11)),0)</f>
        <v>0</v>
      </c>
      <c r="AV638" s="545">
        <f ca="1">IF(AND($D638="Serviço",AV$12&lt;&gt;0,$H638&gt;0,OR(AUTOEVENTO&lt;&gt;"manual",$M638&lt;&gt;1)),
IF(Import.TipoArredondamento&lt;&gt;"TransfereGOV",
ROUND(OFFSET($P638,0,AV$13),15-13*ORÇAMENTO!$AF$7)/$H638*OFFSET(ORÇAMENTO!$X$15,ROW(AV638)-ROW(AV$15),0),
ROUND(ROUND(OFFSET($P638,0,AV$13),15-13*ORÇAMENTO!$AF$7)*OFFSET(ORÇAMENTO!$W$15,ROW(AV638)-ROW(AV$15),0),15-13*ORÇAMENTO!$AF$11)),0)</f>
        <v>0</v>
      </c>
      <c r="AW638" s="545">
        <f ca="1">IF(AND($D638="Serviço",AW$12&lt;&gt;0,$H638&gt;0,OR(AUTOEVENTO&lt;&gt;"manual",$M638&lt;&gt;1)),
IF(Import.TipoArredondamento&lt;&gt;"TransfereGOV",
ROUND(OFFSET($P638,0,AW$13),15-13*ORÇAMENTO!$AF$7)/$H638*OFFSET(ORÇAMENTO!$X$15,ROW(AW638)-ROW(AW$15),0),
ROUND(ROUND(OFFSET($P638,0,AW$13),15-13*ORÇAMENTO!$AF$7)*OFFSET(ORÇAMENTO!$W$15,ROW(AW638)-ROW(AW$15),0),15-13*ORÇAMENTO!$AF$11)),0)</f>
        <v>0</v>
      </c>
      <c r="AX638" s="545">
        <f ca="1">IF(AND($D638="Serviço",AX$12&lt;&gt;0,$H638&gt;0,OR(AUTOEVENTO&lt;&gt;"manual",$M638&lt;&gt;1)),
IF(Import.TipoArredondamento&lt;&gt;"TransfereGOV",
ROUND(OFFSET($P638,0,AX$13),15-13*ORÇAMENTO!$AF$7)/$H638*OFFSET(ORÇAMENTO!$X$15,ROW(AX638)-ROW(AX$15),0),
ROUND(ROUND(OFFSET($P638,0,AX$13),15-13*ORÇAMENTO!$AF$7)*OFFSET(ORÇAMENTO!$W$15,ROW(AX638)-ROW(AX$15),0),15-13*ORÇAMENTO!$AF$11)),0)</f>
        <v>0</v>
      </c>
      <c r="AY638" s="545">
        <f ca="1">IF(AND($D638="Serviço",AY$12&lt;&gt;0,$H638&gt;0,OR(AUTOEVENTO&lt;&gt;"manual",$M638&lt;&gt;1)),
IF(Import.TipoArredondamento&lt;&gt;"TransfereGOV",
ROUND(OFFSET($P638,0,AY$13),15-13*ORÇAMENTO!$AF$7)/$H638*OFFSET(ORÇAMENTO!$X$15,ROW(AY638)-ROW(AY$15),0),
ROUND(ROUND(OFFSET($P638,0,AY$13),15-13*ORÇAMENTO!$AF$7)*OFFSET(ORÇAMENTO!$W$15,ROW(AY638)-ROW(AY$15),0),15-13*ORÇAMENTO!$AF$11)),0)</f>
        <v>0</v>
      </c>
      <c r="AZ638" s="545">
        <f ca="1">IF(AND($D638="Serviço",AZ$12&lt;&gt;0,$H638&gt;0,OR(AUTOEVENTO&lt;&gt;"manual",$M638&lt;&gt;1)),
IF(Import.TipoArredondamento&lt;&gt;"TransfereGOV",
ROUND(OFFSET($P638,0,AZ$13),15-13*ORÇAMENTO!$AF$7)/$H638*OFFSET(ORÇAMENTO!$X$15,ROW(AZ638)-ROW(AZ$15),0),
ROUND(ROUND(OFFSET($P638,0,AZ$13),15-13*ORÇAMENTO!$AF$7)*OFFSET(ORÇAMENTO!$W$15,ROW(AZ638)-ROW(AZ$15),0),15-13*ORÇAMENTO!$AF$11)),0)</f>
        <v>0</v>
      </c>
      <c r="BA638" s="546">
        <f ca="1">IF(AND($D638="Serviço",BA$12&lt;&gt;0,$H638&gt;0,OR(AUTOEVENTO&lt;&gt;"manual",$M638&lt;&gt;1)),
IF(Import.TipoArredondamento&lt;&gt;"TransfereGOV",
ROUND(OFFSET($P638,0,BA$13),15-13*ORÇAMENTO!$AF$7)/$H638*OFFSET(ORÇAMENTO!$X$15,ROW(BA638)-ROW(BA$15),0),
ROUND(ROUND(OFFSET($P638,0,BA$13),15-13*ORÇAMENTO!$AF$7)*OFFSET(ORÇAMENTO!$W$15,ROW(BA638)-ROW(BA$15),0),15-13*ORÇAMENTO!$AF$11)),0)</f>
        <v>0</v>
      </c>
      <c r="BC638" s="181">
        <f ca="1">IF($D638&lt;&gt;"Serviço",0,IF(AND(AUTOEVENTO="Manual",$M638=1),0,IF(OFFSET(CRONOPLE!$F$14,$M638,BC$13)="",10^12,OFFSET(CRONOPLE!$F$14,$M638,BC$13))))</f>
        <v>11</v>
      </c>
      <c r="BD638" s="181">
        <f ca="1">IF($D638&lt;&gt;"Serviço",0,IF(AND(AUTOEVENTO="Manual",$M638=1),0,IF(OFFSET(CRONOPLE!$F$14,$M638,BD$13)="",10^12,OFFSET(CRONOPLE!$F$14,$M638,BD$13))))</f>
        <v>1000000000000</v>
      </c>
      <c r="BE638" s="181">
        <f ca="1">IF($D638&lt;&gt;"Serviço",0,IF(AND(AUTOEVENTO="Manual",$M638=1),0,IF(OFFSET(CRONOPLE!$F$14,$M638,BE$13)="",10^12,OFFSET(CRONOPLE!$F$14,$M638,BE$13))))</f>
        <v>1000000000000</v>
      </c>
      <c r="BF638" s="181">
        <f ca="1">IF($D638&lt;&gt;"Serviço",0,IF(AND(AUTOEVENTO="Manual",$M638=1),0,IF(OFFSET(CRONOPLE!$F$14,$M638,BF$13)="",10^12,OFFSET(CRONOPLE!$F$14,$M638,BF$13))))</f>
        <v>1000000000000</v>
      </c>
      <c r="BG638" s="181">
        <f ca="1">IF($D638&lt;&gt;"Serviço",0,IF(AND(AUTOEVENTO="Manual",$M638=1),0,IF(OFFSET(CRONOPLE!$F$14,$M638,BG$13)="",10^12,OFFSET(CRONOPLE!$F$14,$M638,BG$13))))</f>
        <v>1000000000000</v>
      </c>
      <c r="BH638" s="181">
        <f ca="1">IF($D638&lt;&gt;"Serviço",0,IF(AND(AUTOEVENTO="Manual",$M638=1),0,IF(OFFSET(CRONOPLE!$F$14,$M638,BH$13)="",10^12,OFFSET(CRONOPLE!$F$14,$M638,BH$13))))</f>
        <v>1000000000000</v>
      </c>
      <c r="BI638" s="181">
        <f ca="1">IF($D638&lt;&gt;"Serviço",0,IF(AND(AUTOEVENTO="Manual",$M638=1),0,IF(OFFSET(CRONOPLE!$F$14,$M638,BI$13)="",10^12,OFFSET(CRONOPLE!$F$14,$M638,BI$13))))</f>
        <v>1000000000000</v>
      </c>
      <c r="BJ638" s="181">
        <f ca="1">IF($D638&lt;&gt;"Serviço",0,IF(AND(AUTOEVENTO="Manual",$M638=1),0,IF(OFFSET(CRONOPLE!$F$14,$M638,BJ$13)="",10^12,OFFSET(CRONOPLE!$F$14,$M638,BJ$13))))</f>
        <v>1000000000000</v>
      </c>
      <c r="BK638" s="181">
        <f ca="1">IF($D638&lt;&gt;"Serviço",0,IF(AND(AUTOEVENTO="Manual",$M638=1),0,IF(OFFSET(CRONOPLE!$F$14,$M638,BK$13)="",10^12,OFFSET(CRONOPLE!$F$14,$M638,BK$13))))</f>
        <v>1000000000000</v>
      </c>
      <c r="BL638" s="181">
        <f ca="1">IF($D638&lt;&gt;"Serviço",0,IF(AND(AUTOEVENTO="Manual",$M638=1),0,IF(OFFSET(CRONOPLE!$F$14,$M638,BL$13)="",10^12,OFFSET(CRONOPLE!$F$14,$M638,BL$13))))</f>
        <v>1000000000000</v>
      </c>
      <c r="BM638" s="181">
        <f ca="1">IF($D638&lt;&gt;"Serviço",0,IF(AND(AUTOEVENTO="Manual",$M638=1),0,IF(OFFSET(CRONOPLE!$F$14,$M638,BM$13)="",10^12,OFFSET(CRONOPLE!$F$14,$M638,BM$13))))</f>
        <v>1000000000000</v>
      </c>
      <c r="BN638" s="181">
        <f ca="1">IF($D638&lt;&gt;"Serviço",0,IF(AND(AUTOEVENTO="Manual",$M638=1),0,IF(OFFSET(CRONOPLE!$F$14,$M638,BN$13)="",10^12,OFFSET(CRONOPLE!$F$14,$M638,BN$13))))</f>
        <v>1000000000000</v>
      </c>
      <c r="BO638" s="181">
        <f ca="1">IF($D638&lt;&gt;"Serviço",0,IF(AND(AUTOEVENTO="Manual",$M638=1),0,IF(OFFSET(CRONOPLE!$F$14,$M638,BO$13)="",10^12,OFFSET(CRONOPLE!$F$14,$M638,BO$13))))</f>
        <v>1000000000000</v>
      </c>
      <c r="BP638" s="181">
        <f ca="1">IF($D638&lt;&gt;"Serviço",0,IF(AND(AUTOEVENTO="Manual",$M638=1),0,IF(OFFSET(CRONOPLE!$F$14,$M638,BP$13)="",10^12,OFFSET(CRONOPLE!$F$14,$M638,BP$13))))</f>
        <v>1000000000000</v>
      </c>
      <c r="BQ638" s="181">
        <f ca="1">IF($D638&lt;&gt;"Serviço",0,IF(AND(AUTOEVENTO="Manual",$M638=1),0,IF(OFFSET(CRONOPLE!$F$14,$M638,BQ$13)="",10^12,OFFSET(CRONOPLE!$F$14,$M638,BQ$13))))</f>
        <v>1000000000000</v>
      </c>
      <c r="BR638" s="181">
        <f ca="1">IF($D638&lt;&gt;"Serviço",0,IF(AND(AUTOEVENTO="Manual",$M638=1),0,IF(OFFSET(CRONOPLE!$F$14,$M638,BR$13)="",10^12,OFFSET(CRONOPLE!$F$14,$M638,BR$13))))</f>
        <v>1000000000000</v>
      </c>
      <c r="BS638" s="181">
        <f ca="1">IF($D638&lt;&gt;"Serviço",0,IF(AND(AUTOEVENTO="Manual",$M638=1),0,IF(OFFSET(CRONOPLE!$F$14,$M638,BS$13)="",10^12,OFFSET(CRONOPLE!$F$14,$M638,BS$13))))</f>
        <v>1000000000000</v>
      </c>
      <c r="BT638" s="181">
        <f ca="1">IF($D638&lt;&gt;"Serviço",0,IF(AND(AUTOEVENTO="Manual",$M638=1),0,IF(OFFSET(CRONOPLE!$F$14,$M638,BT$13)="",10^12,OFFSET(CRONOPLE!$F$14,$M638,BT$13))))</f>
        <v>1000000000000</v>
      </c>
      <c r="BV638" s="182">
        <f ca="1">IF($D638&lt;&gt;"Serviço",0,IF(OR(AND(AUTOEVENTO="Manual",$M638=1),$M638&gt;(ROW(PLE.lastrow)-ROW(PLE.firstrow))),0,IF(OFFSET(PLE!$G$14,$M638,BV$13)="",10^12,OFFSET(PLE!$G$14,$M638,BV$13))))</f>
        <v>1000000000000</v>
      </c>
      <c r="BW638" s="182">
        <f ca="1">IF($D638&lt;&gt;"Serviço",0,IF(OR(AND(AUTOEVENTO="Manual",$M638=1),$M638&gt;(ROW(PLE.lastrow)-ROW(PLE.firstrow))),0,IF(OFFSET(PLE!$G$14,$M638,BW$13)="",10^12,OFFSET(PLE!$G$14,$M638,BW$13))))</f>
        <v>1000000000000</v>
      </c>
      <c r="BX638" s="182">
        <f ca="1">IF($D638&lt;&gt;"Serviço",0,IF(OR(AND(AUTOEVENTO="Manual",$M638=1),$M638&gt;(ROW(PLE.lastrow)-ROW(PLE.firstrow))),0,IF(OFFSET(PLE!$G$14,$M638,BX$13)="",10^12,OFFSET(PLE!$G$14,$M638,BX$13))))</f>
        <v>1000000000000</v>
      </c>
      <c r="BY638" s="182">
        <f ca="1">IF($D638&lt;&gt;"Serviço",0,IF(OR(AND(AUTOEVENTO="Manual",$M638=1),$M638&gt;(ROW(PLE.lastrow)-ROW(PLE.firstrow))),0,IF(OFFSET(PLE!$G$14,$M638,BY$13)="",10^12,OFFSET(PLE!$G$14,$M638,BY$13))))</f>
        <v>1000000000000</v>
      </c>
      <c r="BZ638" s="182">
        <f ca="1">IF($D638&lt;&gt;"Serviço",0,IF(OR(AND(AUTOEVENTO="Manual",$M638=1),$M638&gt;(ROW(PLE.lastrow)-ROW(PLE.firstrow))),0,IF(OFFSET(PLE!$G$14,$M638,BZ$13)="",10^12,OFFSET(PLE!$G$14,$M638,BZ$13))))</f>
        <v>1000000000000</v>
      </c>
      <c r="CA638" s="182">
        <f ca="1">IF($D638&lt;&gt;"Serviço",0,IF(OR(AND(AUTOEVENTO="Manual",$M638=1),$M638&gt;(ROW(PLE.lastrow)-ROW(PLE.firstrow))),0,IF(OFFSET(PLE!$G$14,$M638,CA$13)="",10^12,OFFSET(PLE!$G$14,$M638,CA$13))))</f>
        <v>1000000000000</v>
      </c>
      <c r="CB638" s="182">
        <f ca="1">IF($D638&lt;&gt;"Serviço",0,IF(OR(AND(AUTOEVENTO="Manual",$M638=1),$M638&gt;(ROW(PLE.lastrow)-ROW(PLE.firstrow))),0,IF(OFFSET(PLE!$G$14,$M638,CB$13)="",10^12,OFFSET(PLE!$G$14,$M638,CB$13))))</f>
        <v>1000000000000</v>
      </c>
      <c r="CC638" s="182">
        <f ca="1">IF($D638&lt;&gt;"Serviço",0,IF(OR(AND(AUTOEVENTO="Manual",$M638=1),$M638&gt;(ROW(PLE.lastrow)-ROW(PLE.firstrow))),0,IF(OFFSET(PLE!$G$14,$M638,CC$13)="",10^12,OFFSET(PLE!$G$14,$M638,CC$13))))</f>
        <v>1000000000000</v>
      </c>
      <c r="CD638" s="182">
        <f ca="1">IF($D638&lt;&gt;"Serviço",0,IF(OR(AND(AUTOEVENTO="Manual",$M638=1),$M638&gt;(ROW(PLE.lastrow)-ROW(PLE.firstrow))),0,IF(OFFSET(PLE!$G$14,$M638,CD$13)="",10^12,OFFSET(PLE!$G$14,$M638,CD$13))))</f>
        <v>1000000000000</v>
      </c>
      <c r="CE638" s="182">
        <f ca="1">IF($D638&lt;&gt;"Serviço",0,IF(OR(AND(AUTOEVENTO="Manual",$M638=1),$M638&gt;(ROW(PLE.lastrow)-ROW(PLE.firstrow))),0,IF(OFFSET(PLE!$G$14,$M638,CE$13)="",10^12,OFFSET(PLE!$G$14,$M638,CE$13))))</f>
        <v>1000000000000</v>
      </c>
      <c r="CF638" s="182">
        <f ca="1">IF($D638&lt;&gt;"Serviço",0,IF(OR(AND(AUTOEVENTO="Manual",$M638=1),$M638&gt;(ROW(PLE.lastrow)-ROW(PLE.firstrow))),0,IF(OFFSET(PLE!$G$14,$M638,CF$13)="",10^12,OFFSET(PLE!$G$14,$M638,CF$13))))</f>
        <v>1000000000000</v>
      </c>
      <c r="CG638" s="182">
        <f ca="1">IF($D638&lt;&gt;"Serviço",0,IF(OR(AND(AUTOEVENTO="Manual",$M638=1),$M638&gt;(ROW(PLE.lastrow)-ROW(PLE.firstrow))),0,IF(OFFSET(PLE!$G$14,$M638,CG$13)="",10^12,OFFSET(PLE!$G$14,$M638,CG$13))))</f>
        <v>1000000000000</v>
      </c>
      <c r="CH638" s="182">
        <f ca="1">IF($D638&lt;&gt;"Serviço",0,IF(OR(AND(AUTOEVENTO="Manual",$M638=1),$M638&gt;(ROW(PLE.lastrow)-ROW(PLE.firstrow))),0,IF(OFFSET(PLE!$G$14,$M638,CH$13)="",10^12,OFFSET(PLE!$G$14,$M638,CH$13))))</f>
        <v>1000000000000</v>
      </c>
      <c r="CI638" s="182">
        <f ca="1">IF($D638&lt;&gt;"Serviço",0,IF(OR(AND(AUTOEVENTO="Manual",$M638=1),$M638&gt;(ROW(PLE.lastrow)-ROW(PLE.firstrow))),0,IF(OFFSET(PLE!$G$14,$M638,CI$13)="",10^12,OFFSET(PLE!$G$14,$M638,CI$13))))</f>
        <v>1000000000000</v>
      </c>
      <c r="CJ638" s="182">
        <f ca="1">IF($D638&lt;&gt;"Serviço",0,IF(OR(AND(AUTOEVENTO="Manual",$M638=1),$M638&gt;(ROW(PLE.lastrow)-ROW(PLE.firstrow))),0,IF(OFFSET(PLE!$G$14,$M638,CJ$13)="",10^12,OFFSET(PLE!$G$14,$M638,CJ$13))))</f>
        <v>1000000000000</v>
      </c>
      <c r="CK638" s="182">
        <f ca="1">IF($D638&lt;&gt;"Serviço",0,IF(OR(AND(AUTOEVENTO="Manual",$M638=1),$M638&gt;(ROW(PLE.lastrow)-ROW(PLE.firstrow))),0,IF(OFFSET(PLE!$G$14,$M638,CK$13)="",10^12,OFFSET(PLE!$G$14,$M638,CK$13))))</f>
        <v>1000000000000</v>
      </c>
      <c r="CL638" s="182">
        <f ca="1">IF($D638&lt;&gt;"Serviço",0,IF(OR(AND(AUTOEVENTO="Manual",$M638=1),$M638&gt;(ROW(PLE.lastrow)-ROW(PLE.firstrow))),0,IF(OFFSET(PLE!$G$14,$M638,CL$13)="",10^12,OFFSET(PLE!$G$14,$M638,CL$13))))</f>
        <v>1000000000000</v>
      </c>
      <c r="CM638" s="182">
        <f ca="1">IF($D638&lt;&gt;"Serviço",0,IF(OR(AND(AUTOEVENTO="Manual",$M638=1),$M638&gt;(ROW(PLE.lastrow)-ROW(PLE.firstrow))),0,IF(OFFSET(PLE!$G$14,$M638,CM$13)="",10^12,OFFSET(PLE!$G$14,$M638,CM$13))))</f>
        <v>1000000000000</v>
      </c>
    </row>
    <row r="639" spans="1:91" ht="38.25" x14ac:dyDescent="0.2">
      <c r="A639" s="7" t="str">
        <f t="shared" ca="1" si="18"/>
        <v>621</v>
      </c>
      <c r="B639" s="7" t="str">
        <f ca="1">OFFSET(ORÇAMENTO!C$15,ROW(B639)-ROW(B$15),0)</f>
        <v>S</v>
      </c>
      <c r="C639" s="7" t="str">
        <f ca="1">OFFSET(ORÇAMENTO!L$15,ROW(C639)-ROW(C$15),0)</f>
        <v/>
      </c>
      <c r="D639" s="118" t="str">
        <f ca="1">OFFSET(ORÇAMENTO!N$15,ROW(D639)-ROW(D$15),0)</f>
        <v>Serviço</v>
      </c>
      <c r="E639" s="119" t="str">
        <f ca="1">OFFSET(ORÇAMENTO!O$15,ROW(E639)-ROW(E$15),0)</f>
        <v>-</v>
      </c>
      <c r="F639" s="172" t="str">
        <f ca="1">OFFSET(ORÇAMENTO!R$15,ROW(F639)-ROW(F$15),0)</f>
        <v>(abra o arquivo 'Referência 06-2024.xlsm)</v>
      </c>
      <c r="G639" s="173" t="str">
        <f ca="1">IF($D639&lt;&gt;"Serviço","",OFFSET(ORÇAMENTO!S$15,ROW(G639)-ROW(G$15),0))</f>
        <v>-</v>
      </c>
      <c r="H639" s="124">
        <f ca="1">IF($D639&lt;&gt;"Serviço",0,IF(ACOMPANHAMENTO="BM",ROUND(OFFSET(ORÇAMENTO!AJ$15,ROW(H639)-ROW(H$15),0),15-13*ORÇAMENTO!$AF$7),SUMPRODUCT(($Q$12:$AI$12&lt;&gt;"")*ROUND($Q639:$AI639,15-13*ORÇAMENTO!$AF$7))))</f>
        <v>1</v>
      </c>
      <c r="I639" s="561" t="s">
        <v>1107</v>
      </c>
      <c r="K639" s="174"/>
      <c r="L639" s="175" t="s">
        <v>255</v>
      </c>
      <c r="M639" s="176">
        <f ca="1">IF($D639&lt;&gt;"Serviço","",IF(AUTOEVENTO="manual",$A639,IF(ISERROR(MATCH($A639,$A$15:OFFSET($A639,-1,0),0)),MAX($M$15:OFFSET(M639,-1,0))+1,INDEX($M$15:OFFSET(M639,-1,0),MATCH($A639,$A$15:OFFSET($A639,-1,0),0)))))</f>
        <v>67</v>
      </c>
      <c r="N639" s="177" t="str">
        <f ca="1">IF($D639&lt;&gt;"Serviço","",IF(AUTOEVENTO="Manual",IF($A639=0,"&lt;-- defina o número do agrupador",OFFSET(EVENTOS!$D$14,$A639,0)),OFFSET($F$15,$A639,0)))</f>
        <v>INSTALAÇÕES DE CABEAMENTO ESTRUTURADO - CAIXAS E QUADROS</v>
      </c>
      <c r="O639" s="178"/>
      <c r="Q639" s="178">
        <v>1</v>
      </c>
      <c r="R639" s="179"/>
      <c r="S639" s="179"/>
      <c r="T639" s="179"/>
      <c r="U639" s="179"/>
      <c r="V639" s="179"/>
      <c r="W639" s="179"/>
      <c r="X639" s="179"/>
      <c r="Y639" s="179"/>
      <c r="Z639" s="180"/>
      <c r="AA639" s="179"/>
      <c r="AB639" s="179"/>
      <c r="AC639" s="179"/>
      <c r="AD639" s="179"/>
      <c r="AE639" s="179"/>
      <c r="AF639" s="179"/>
      <c r="AG639" s="179"/>
      <c r="AH639" s="180"/>
      <c r="AJ639" s="544">
        <f ca="1">IF(AND($D639="Serviço",AJ$12&lt;&gt;0,$H639&gt;0,OR(AUTOEVENTO&lt;&gt;"manual",$M639&lt;&gt;1)),
IF(Import.TipoArredondamento&lt;&gt;"TransfereGOV",
ROUND(OFFSET($P639,0,AJ$13),15-13*ORÇAMENTO!$AF$7)/$H639*OFFSET(ORÇAMENTO!$X$15,ROW(AJ639)-ROW(AJ$15),0),
ROUND(ROUND(OFFSET($P639,0,AJ$13),15-13*ORÇAMENTO!$AF$7)*OFFSET(ORÇAMENTO!$W$15,ROW(AJ639)-ROW(AJ$15),0),15-13*ORÇAMENTO!$AF$11)),0)</f>
        <v>0</v>
      </c>
      <c r="AK639" s="545">
        <f ca="1">IF(AND($D639="Serviço",AK$12&lt;&gt;0,$H639&gt;0,OR(AUTOEVENTO&lt;&gt;"manual",$M639&lt;&gt;1)),
IF(Import.TipoArredondamento&lt;&gt;"TransfereGOV",
ROUND(OFFSET($P639,0,AK$13),15-13*ORÇAMENTO!$AF$7)/$H639*OFFSET(ORÇAMENTO!$X$15,ROW(AK639)-ROW(AK$15),0),
ROUND(ROUND(OFFSET($P639,0,AK$13),15-13*ORÇAMENTO!$AF$7)*OFFSET(ORÇAMENTO!$W$15,ROW(AK639)-ROW(AK$15),0),15-13*ORÇAMENTO!$AF$11)),0)</f>
        <v>0</v>
      </c>
      <c r="AL639" s="545">
        <f ca="1">IF(AND($D639="Serviço",AL$12&lt;&gt;0,$H639&gt;0,OR(AUTOEVENTO&lt;&gt;"manual",$M639&lt;&gt;1)),
IF(Import.TipoArredondamento&lt;&gt;"TransfereGOV",
ROUND(OFFSET($P639,0,AL$13),15-13*ORÇAMENTO!$AF$7)/$H639*OFFSET(ORÇAMENTO!$X$15,ROW(AL639)-ROW(AL$15),0),
ROUND(ROUND(OFFSET($P639,0,AL$13),15-13*ORÇAMENTO!$AF$7)*OFFSET(ORÇAMENTO!$W$15,ROW(AL639)-ROW(AL$15),0),15-13*ORÇAMENTO!$AF$11)),0)</f>
        <v>0</v>
      </c>
      <c r="AM639" s="545">
        <f ca="1">IF(AND($D639="Serviço",AM$12&lt;&gt;0,$H639&gt;0,OR(AUTOEVENTO&lt;&gt;"manual",$M639&lt;&gt;1)),
IF(Import.TipoArredondamento&lt;&gt;"TransfereGOV",
ROUND(OFFSET($P639,0,AM$13),15-13*ORÇAMENTO!$AF$7)/$H639*OFFSET(ORÇAMENTO!$X$15,ROW(AM639)-ROW(AM$15),0),
ROUND(ROUND(OFFSET($P639,0,AM$13),15-13*ORÇAMENTO!$AF$7)*OFFSET(ORÇAMENTO!$W$15,ROW(AM639)-ROW(AM$15),0),15-13*ORÇAMENTO!$AF$11)),0)</f>
        <v>0</v>
      </c>
      <c r="AN639" s="545">
        <f ca="1">IF(AND($D639="Serviço",AN$12&lt;&gt;0,$H639&gt;0,OR(AUTOEVENTO&lt;&gt;"manual",$M639&lt;&gt;1)),
IF(Import.TipoArredondamento&lt;&gt;"TransfereGOV",
ROUND(OFFSET($P639,0,AN$13),15-13*ORÇAMENTO!$AF$7)/$H639*OFFSET(ORÇAMENTO!$X$15,ROW(AN639)-ROW(AN$15),0),
ROUND(ROUND(OFFSET($P639,0,AN$13),15-13*ORÇAMENTO!$AF$7)*OFFSET(ORÇAMENTO!$W$15,ROW(AN639)-ROW(AN$15),0),15-13*ORÇAMENTO!$AF$11)),0)</f>
        <v>0</v>
      </c>
      <c r="AO639" s="545">
        <f ca="1">IF(AND($D639="Serviço",AO$12&lt;&gt;0,$H639&gt;0,OR(AUTOEVENTO&lt;&gt;"manual",$M639&lt;&gt;1)),
IF(Import.TipoArredondamento&lt;&gt;"TransfereGOV",
ROUND(OFFSET($P639,0,AO$13),15-13*ORÇAMENTO!$AF$7)/$H639*OFFSET(ORÇAMENTO!$X$15,ROW(AO639)-ROW(AO$15),0),
ROUND(ROUND(OFFSET($P639,0,AO$13),15-13*ORÇAMENTO!$AF$7)*OFFSET(ORÇAMENTO!$W$15,ROW(AO639)-ROW(AO$15),0),15-13*ORÇAMENTO!$AF$11)),0)</f>
        <v>0</v>
      </c>
      <c r="AP639" s="545">
        <f ca="1">IF(AND($D639="Serviço",AP$12&lt;&gt;0,$H639&gt;0,OR(AUTOEVENTO&lt;&gt;"manual",$M639&lt;&gt;1)),
IF(Import.TipoArredondamento&lt;&gt;"TransfereGOV",
ROUND(OFFSET($P639,0,AP$13),15-13*ORÇAMENTO!$AF$7)/$H639*OFFSET(ORÇAMENTO!$X$15,ROW(AP639)-ROW(AP$15),0),
ROUND(ROUND(OFFSET($P639,0,AP$13),15-13*ORÇAMENTO!$AF$7)*OFFSET(ORÇAMENTO!$W$15,ROW(AP639)-ROW(AP$15),0),15-13*ORÇAMENTO!$AF$11)),0)</f>
        <v>0</v>
      </c>
      <c r="AQ639" s="545">
        <f ca="1">IF(AND($D639="Serviço",AQ$12&lt;&gt;0,$H639&gt;0,OR(AUTOEVENTO&lt;&gt;"manual",$M639&lt;&gt;1)),
IF(Import.TipoArredondamento&lt;&gt;"TransfereGOV",
ROUND(OFFSET($P639,0,AQ$13),15-13*ORÇAMENTO!$AF$7)/$H639*OFFSET(ORÇAMENTO!$X$15,ROW(AQ639)-ROW(AQ$15),0),
ROUND(ROUND(OFFSET($P639,0,AQ$13),15-13*ORÇAMENTO!$AF$7)*OFFSET(ORÇAMENTO!$W$15,ROW(AQ639)-ROW(AQ$15),0),15-13*ORÇAMENTO!$AF$11)),0)</f>
        <v>0</v>
      </c>
      <c r="AR639" s="545">
        <f ca="1">IF(AND($D639="Serviço",AR$12&lt;&gt;0,$H639&gt;0,OR(AUTOEVENTO&lt;&gt;"manual",$M639&lt;&gt;1)),
IF(Import.TipoArredondamento&lt;&gt;"TransfereGOV",
ROUND(OFFSET($P639,0,AR$13),15-13*ORÇAMENTO!$AF$7)/$H639*OFFSET(ORÇAMENTO!$X$15,ROW(AR639)-ROW(AR$15),0),
ROUND(ROUND(OFFSET($P639,0,AR$13),15-13*ORÇAMENTO!$AF$7)*OFFSET(ORÇAMENTO!$W$15,ROW(AR639)-ROW(AR$15),0),15-13*ORÇAMENTO!$AF$11)),0)</f>
        <v>0</v>
      </c>
      <c r="AS639" s="546">
        <f ca="1">IF(AND($D639="Serviço",AS$12&lt;&gt;0,$H639&gt;0,OR(AUTOEVENTO&lt;&gt;"manual",$M639&lt;&gt;1)),
IF(Import.TipoArredondamento&lt;&gt;"TransfereGOV",
ROUND(OFFSET($P639,0,AS$13),15-13*ORÇAMENTO!$AF$7)/$H639*OFFSET(ORÇAMENTO!$X$15,ROW(AS639)-ROW(AS$15),0),
ROUND(ROUND(OFFSET($P639,0,AS$13),15-13*ORÇAMENTO!$AF$7)*OFFSET(ORÇAMENTO!$W$15,ROW(AS639)-ROW(AS$15),0),15-13*ORÇAMENTO!$AF$11)),0)</f>
        <v>0</v>
      </c>
      <c r="AT639" s="545">
        <f ca="1">IF(AND($D639="Serviço",AT$12&lt;&gt;0,$H639&gt;0,OR(AUTOEVENTO&lt;&gt;"manual",$M639&lt;&gt;1)),
IF(Import.TipoArredondamento&lt;&gt;"TransfereGOV",
ROUND(OFFSET($P639,0,AT$13),15-13*ORÇAMENTO!$AF$7)/$H639*OFFSET(ORÇAMENTO!$X$15,ROW(AT639)-ROW(AT$15),0),
ROUND(ROUND(OFFSET($P639,0,AT$13),15-13*ORÇAMENTO!$AF$7)*OFFSET(ORÇAMENTO!$W$15,ROW(AT639)-ROW(AT$15),0),15-13*ORÇAMENTO!$AF$11)),0)</f>
        <v>0</v>
      </c>
      <c r="AU639" s="545">
        <f ca="1">IF(AND($D639="Serviço",AU$12&lt;&gt;0,$H639&gt;0,OR(AUTOEVENTO&lt;&gt;"manual",$M639&lt;&gt;1)),
IF(Import.TipoArredondamento&lt;&gt;"TransfereGOV",
ROUND(OFFSET($P639,0,AU$13),15-13*ORÇAMENTO!$AF$7)/$H639*OFFSET(ORÇAMENTO!$X$15,ROW(AU639)-ROW(AU$15),0),
ROUND(ROUND(OFFSET($P639,0,AU$13),15-13*ORÇAMENTO!$AF$7)*OFFSET(ORÇAMENTO!$W$15,ROW(AU639)-ROW(AU$15),0),15-13*ORÇAMENTO!$AF$11)),0)</f>
        <v>0</v>
      </c>
      <c r="AV639" s="545">
        <f ca="1">IF(AND($D639="Serviço",AV$12&lt;&gt;0,$H639&gt;0,OR(AUTOEVENTO&lt;&gt;"manual",$M639&lt;&gt;1)),
IF(Import.TipoArredondamento&lt;&gt;"TransfereGOV",
ROUND(OFFSET($P639,0,AV$13),15-13*ORÇAMENTO!$AF$7)/$H639*OFFSET(ORÇAMENTO!$X$15,ROW(AV639)-ROW(AV$15),0),
ROUND(ROUND(OFFSET($P639,0,AV$13),15-13*ORÇAMENTO!$AF$7)*OFFSET(ORÇAMENTO!$W$15,ROW(AV639)-ROW(AV$15),0),15-13*ORÇAMENTO!$AF$11)),0)</f>
        <v>0</v>
      </c>
      <c r="AW639" s="545">
        <f ca="1">IF(AND($D639="Serviço",AW$12&lt;&gt;0,$H639&gt;0,OR(AUTOEVENTO&lt;&gt;"manual",$M639&lt;&gt;1)),
IF(Import.TipoArredondamento&lt;&gt;"TransfereGOV",
ROUND(OFFSET($P639,0,AW$13),15-13*ORÇAMENTO!$AF$7)/$H639*OFFSET(ORÇAMENTO!$X$15,ROW(AW639)-ROW(AW$15),0),
ROUND(ROUND(OFFSET($P639,0,AW$13),15-13*ORÇAMENTO!$AF$7)*OFFSET(ORÇAMENTO!$W$15,ROW(AW639)-ROW(AW$15),0),15-13*ORÇAMENTO!$AF$11)),0)</f>
        <v>0</v>
      </c>
      <c r="AX639" s="545">
        <f ca="1">IF(AND($D639="Serviço",AX$12&lt;&gt;0,$H639&gt;0,OR(AUTOEVENTO&lt;&gt;"manual",$M639&lt;&gt;1)),
IF(Import.TipoArredondamento&lt;&gt;"TransfereGOV",
ROUND(OFFSET($P639,0,AX$13),15-13*ORÇAMENTO!$AF$7)/$H639*OFFSET(ORÇAMENTO!$X$15,ROW(AX639)-ROW(AX$15),0),
ROUND(ROUND(OFFSET($P639,0,AX$13),15-13*ORÇAMENTO!$AF$7)*OFFSET(ORÇAMENTO!$W$15,ROW(AX639)-ROW(AX$15),0),15-13*ORÇAMENTO!$AF$11)),0)</f>
        <v>0</v>
      </c>
      <c r="AY639" s="545">
        <f ca="1">IF(AND($D639="Serviço",AY$12&lt;&gt;0,$H639&gt;0,OR(AUTOEVENTO&lt;&gt;"manual",$M639&lt;&gt;1)),
IF(Import.TipoArredondamento&lt;&gt;"TransfereGOV",
ROUND(OFFSET($P639,0,AY$13),15-13*ORÇAMENTO!$AF$7)/$H639*OFFSET(ORÇAMENTO!$X$15,ROW(AY639)-ROW(AY$15),0),
ROUND(ROUND(OFFSET($P639,0,AY$13),15-13*ORÇAMENTO!$AF$7)*OFFSET(ORÇAMENTO!$W$15,ROW(AY639)-ROW(AY$15),0),15-13*ORÇAMENTO!$AF$11)),0)</f>
        <v>0</v>
      </c>
      <c r="AZ639" s="545">
        <f ca="1">IF(AND($D639="Serviço",AZ$12&lt;&gt;0,$H639&gt;0,OR(AUTOEVENTO&lt;&gt;"manual",$M639&lt;&gt;1)),
IF(Import.TipoArredondamento&lt;&gt;"TransfereGOV",
ROUND(OFFSET($P639,0,AZ$13),15-13*ORÇAMENTO!$AF$7)/$H639*OFFSET(ORÇAMENTO!$X$15,ROW(AZ639)-ROW(AZ$15),0),
ROUND(ROUND(OFFSET($P639,0,AZ$13),15-13*ORÇAMENTO!$AF$7)*OFFSET(ORÇAMENTO!$W$15,ROW(AZ639)-ROW(AZ$15),0),15-13*ORÇAMENTO!$AF$11)),0)</f>
        <v>0</v>
      </c>
      <c r="BA639" s="546">
        <f ca="1">IF(AND($D639="Serviço",BA$12&lt;&gt;0,$H639&gt;0,OR(AUTOEVENTO&lt;&gt;"manual",$M639&lt;&gt;1)),
IF(Import.TipoArredondamento&lt;&gt;"TransfereGOV",
ROUND(OFFSET($P639,0,BA$13),15-13*ORÇAMENTO!$AF$7)/$H639*OFFSET(ORÇAMENTO!$X$15,ROW(BA639)-ROW(BA$15),0),
ROUND(ROUND(OFFSET($P639,0,BA$13),15-13*ORÇAMENTO!$AF$7)*OFFSET(ORÇAMENTO!$W$15,ROW(BA639)-ROW(BA$15),0),15-13*ORÇAMENTO!$AF$11)),0)</f>
        <v>0</v>
      </c>
      <c r="BC639" s="181">
        <f ca="1">IF($D639&lt;&gt;"Serviço",0,IF(AND(AUTOEVENTO="Manual",$M639=1),0,IF(OFFSET(CRONOPLE!$F$14,$M639,BC$13)="",10^12,OFFSET(CRONOPLE!$F$14,$M639,BC$13))))</f>
        <v>11</v>
      </c>
      <c r="BD639" s="181">
        <f ca="1">IF($D639&lt;&gt;"Serviço",0,IF(AND(AUTOEVENTO="Manual",$M639=1),0,IF(OFFSET(CRONOPLE!$F$14,$M639,BD$13)="",10^12,OFFSET(CRONOPLE!$F$14,$M639,BD$13))))</f>
        <v>1000000000000</v>
      </c>
      <c r="BE639" s="181">
        <f ca="1">IF($D639&lt;&gt;"Serviço",0,IF(AND(AUTOEVENTO="Manual",$M639=1),0,IF(OFFSET(CRONOPLE!$F$14,$M639,BE$13)="",10^12,OFFSET(CRONOPLE!$F$14,$M639,BE$13))))</f>
        <v>1000000000000</v>
      </c>
      <c r="BF639" s="181">
        <f ca="1">IF($D639&lt;&gt;"Serviço",0,IF(AND(AUTOEVENTO="Manual",$M639=1),0,IF(OFFSET(CRONOPLE!$F$14,$M639,BF$13)="",10^12,OFFSET(CRONOPLE!$F$14,$M639,BF$13))))</f>
        <v>1000000000000</v>
      </c>
      <c r="BG639" s="181">
        <f ca="1">IF($D639&lt;&gt;"Serviço",0,IF(AND(AUTOEVENTO="Manual",$M639=1),0,IF(OFFSET(CRONOPLE!$F$14,$M639,BG$13)="",10^12,OFFSET(CRONOPLE!$F$14,$M639,BG$13))))</f>
        <v>1000000000000</v>
      </c>
      <c r="BH639" s="181">
        <f ca="1">IF($D639&lt;&gt;"Serviço",0,IF(AND(AUTOEVENTO="Manual",$M639=1),0,IF(OFFSET(CRONOPLE!$F$14,$M639,BH$13)="",10^12,OFFSET(CRONOPLE!$F$14,$M639,BH$13))))</f>
        <v>1000000000000</v>
      </c>
      <c r="BI639" s="181">
        <f ca="1">IF($D639&lt;&gt;"Serviço",0,IF(AND(AUTOEVENTO="Manual",$M639=1),0,IF(OFFSET(CRONOPLE!$F$14,$M639,BI$13)="",10^12,OFFSET(CRONOPLE!$F$14,$M639,BI$13))))</f>
        <v>1000000000000</v>
      </c>
      <c r="BJ639" s="181">
        <f ca="1">IF($D639&lt;&gt;"Serviço",0,IF(AND(AUTOEVENTO="Manual",$M639=1),0,IF(OFFSET(CRONOPLE!$F$14,$M639,BJ$13)="",10^12,OFFSET(CRONOPLE!$F$14,$M639,BJ$13))))</f>
        <v>1000000000000</v>
      </c>
      <c r="BK639" s="181">
        <f ca="1">IF($D639&lt;&gt;"Serviço",0,IF(AND(AUTOEVENTO="Manual",$M639=1),0,IF(OFFSET(CRONOPLE!$F$14,$M639,BK$13)="",10^12,OFFSET(CRONOPLE!$F$14,$M639,BK$13))))</f>
        <v>1000000000000</v>
      </c>
      <c r="BL639" s="181">
        <f ca="1">IF($D639&lt;&gt;"Serviço",0,IF(AND(AUTOEVENTO="Manual",$M639=1),0,IF(OFFSET(CRONOPLE!$F$14,$M639,BL$13)="",10^12,OFFSET(CRONOPLE!$F$14,$M639,BL$13))))</f>
        <v>1000000000000</v>
      </c>
      <c r="BM639" s="181">
        <f ca="1">IF($D639&lt;&gt;"Serviço",0,IF(AND(AUTOEVENTO="Manual",$M639=1),0,IF(OFFSET(CRONOPLE!$F$14,$M639,BM$13)="",10^12,OFFSET(CRONOPLE!$F$14,$M639,BM$13))))</f>
        <v>1000000000000</v>
      </c>
      <c r="BN639" s="181">
        <f ca="1">IF($D639&lt;&gt;"Serviço",0,IF(AND(AUTOEVENTO="Manual",$M639=1),0,IF(OFFSET(CRONOPLE!$F$14,$M639,BN$13)="",10^12,OFFSET(CRONOPLE!$F$14,$M639,BN$13))))</f>
        <v>1000000000000</v>
      </c>
      <c r="BO639" s="181">
        <f ca="1">IF($D639&lt;&gt;"Serviço",0,IF(AND(AUTOEVENTO="Manual",$M639=1),0,IF(OFFSET(CRONOPLE!$F$14,$M639,BO$13)="",10^12,OFFSET(CRONOPLE!$F$14,$M639,BO$13))))</f>
        <v>1000000000000</v>
      </c>
      <c r="BP639" s="181">
        <f ca="1">IF($D639&lt;&gt;"Serviço",0,IF(AND(AUTOEVENTO="Manual",$M639=1),0,IF(OFFSET(CRONOPLE!$F$14,$M639,BP$13)="",10^12,OFFSET(CRONOPLE!$F$14,$M639,BP$13))))</f>
        <v>1000000000000</v>
      </c>
      <c r="BQ639" s="181">
        <f ca="1">IF($D639&lt;&gt;"Serviço",0,IF(AND(AUTOEVENTO="Manual",$M639=1),0,IF(OFFSET(CRONOPLE!$F$14,$M639,BQ$13)="",10^12,OFFSET(CRONOPLE!$F$14,$M639,BQ$13))))</f>
        <v>1000000000000</v>
      </c>
      <c r="BR639" s="181">
        <f ca="1">IF($D639&lt;&gt;"Serviço",0,IF(AND(AUTOEVENTO="Manual",$M639=1),0,IF(OFFSET(CRONOPLE!$F$14,$M639,BR$13)="",10^12,OFFSET(CRONOPLE!$F$14,$M639,BR$13))))</f>
        <v>1000000000000</v>
      </c>
      <c r="BS639" s="181">
        <f ca="1">IF($D639&lt;&gt;"Serviço",0,IF(AND(AUTOEVENTO="Manual",$M639=1),0,IF(OFFSET(CRONOPLE!$F$14,$M639,BS$13)="",10^12,OFFSET(CRONOPLE!$F$14,$M639,BS$13))))</f>
        <v>1000000000000</v>
      </c>
      <c r="BT639" s="181">
        <f ca="1">IF($D639&lt;&gt;"Serviço",0,IF(AND(AUTOEVENTO="Manual",$M639=1),0,IF(OFFSET(CRONOPLE!$F$14,$M639,BT$13)="",10^12,OFFSET(CRONOPLE!$F$14,$M639,BT$13))))</f>
        <v>1000000000000</v>
      </c>
      <c r="BV639" s="182">
        <f ca="1">IF($D639&lt;&gt;"Serviço",0,IF(OR(AND(AUTOEVENTO="Manual",$M639=1),$M639&gt;(ROW(PLE.lastrow)-ROW(PLE.firstrow))),0,IF(OFFSET(PLE!$G$14,$M639,BV$13)="",10^12,OFFSET(PLE!$G$14,$M639,BV$13))))</f>
        <v>1000000000000</v>
      </c>
      <c r="BW639" s="182">
        <f ca="1">IF($D639&lt;&gt;"Serviço",0,IF(OR(AND(AUTOEVENTO="Manual",$M639=1),$M639&gt;(ROW(PLE.lastrow)-ROW(PLE.firstrow))),0,IF(OFFSET(PLE!$G$14,$M639,BW$13)="",10^12,OFFSET(PLE!$G$14,$M639,BW$13))))</f>
        <v>1000000000000</v>
      </c>
      <c r="BX639" s="182">
        <f ca="1">IF($D639&lt;&gt;"Serviço",0,IF(OR(AND(AUTOEVENTO="Manual",$M639=1),$M639&gt;(ROW(PLE.lastrow)-ROW(PLE.firstrow))),0,IF(OFFSET(PLE!$G$14,$M639,BX$13)="",10^12,OFFSET(PLE!$G$14,$M639,BX$13))))</f>
        <v>1000000000000</v>
      </c>
      <c r="BY639" s="182">
        <f ca="1">IF($D639&lt;&gt;"Serviço",0,IF(OR(AND(AUTOEVENTO="Manual",$M639=1),$M639&gt;(ROW(PLE.lastrow)-ROW(PLE.firstrow))),0,IF(OFFSET(PLE!$G$14,$M639,BY$13)="",10^12,OFFSET(PLE!$G$14,$M639,BY$13))))</f>
        <v>1000000000000</v>
      </c>
      <c r="BZ639" s="182">
        <f ca="1">IF($D639&lt;&gt;"Serviço",0,IF(OR(AND(AUTOEVENTO="Manual",$M639=1),$M639&gt;(ROW(PLE.lastrow)-ROW(PLE.firstrow))),0,IF(OFFSET(PLE!$G$14,$M639,BZ$13)="",10^12,OFFSET(PLE!$G$14,$M639,BZ$13))))</f>
        <v>1000000000000</v>
      </c>
      <c r="CA639" s="182">
        <f ca="1">IF($D639&lt;&gt;"Serviço",0,IF(OR(AND(AUTOEVENTO="Manual",$M639=1),$M639&gt;(ROW(PLE.lastrow)-ROW(PLE.firstrow))),0,IF(OFFSET(PLE!$G$14,$M639,CA$13)="",10^12,OFFSET(PLE!$G$14,$M639,CA$13))))</f>
        <v>1000000000000</v>
      </c>
      <c r="CB639" s="182">
        <f ca="1">IF($D639&lt;&gt;"Serviço",0,IF(OR(AND(AUTOEVENTO="Manual",$M639=1),$M639&gt;(ROW(PLE.lastrow)-ROW(PLE.firstrow))),0,IF(OFFSET(PLE!$G$14,$M639,CB$13)="",10^12,OFFSET(PLE!$G$14,$M639,CB$13))))</f>
        <v>1000000000000</v>
      </c>
      <c r="CC639" s="182">
        <f ca="1">IF($D639&lt;&gt;"Serviço",0,IF(OR(AND(AUTOEVENTO="Manual",$M639=1),$M639&gt;(ROW(PLE.lastrow)-ROW(PLE.firstrow))),0,IF(OFFSET(PLE!$G$14,$M639,CC$13)="",10^12,OFFSET(PLE!$G$14,$M639,CC$13))))</f>
        <v>1000000000000</v>
      </c>
      <c r="CD639" s="182">
        <f ca="1">IF($D639&lt;&gt;"Serviço",0,IF(OR(AND(AUTOEVENTO="Manual",$M639=1),$M639&gt;(ROW(PLE.lastrow)-ROW(PLE.firstrow))),0,IF(OFFSET(PLE!$G$14,$M639,CD$13)="",10^12,OFFSET(PLE!$G$14,$M639,CD$13))))</f>
        <v>1000000000000</v>
      </c>
      <c r="CE639" s="182">
        <f ca="1">IF($D639&lt;&gt;"Serviço",0,IF(OR(AND(AUTOEVENTO="Manual",$M639=1),$M639&gt;(ROW(PLE.lastrow)-ROW(PLE.firstrow))),0,IF(OFFSET(PLE!$G$14,$M639,CE$13)="",10^12,OFFSET(PLE!$G$14,$M639,CE$13))))</f>
        <v>1000000000000</v>
      </c>
      <c r="CF639" s="182">
        <f ca="1">IF($D639&lt;&gt;"Serviço",0,IF(OR(AND(AUTOEVENTO="Manual",$M639=1),$M639&gt;(ROW(PLE.lastrow)-ROW(PLE.firstrow))),0,IF(OFFSET(PLE!$G$14,$M639,CF$13)="",10^12,OFFSET(PLE!$G$14,$M639,CF$13))))</f>
        <v>1000000000000</v>
      </c>
      <c r="CG639" s="182">
        <f ca="1">IF($D639&lt;&gt;"Serviço",0,IF(OR(AND(AUTOEVENTO="Manual",$M639=1),$M639&gt;(ROW(PLE.lastrow)-ROW(PLE.firstrow))),0,IF(OFFSET(PLE!$G$14,$M639,CG$13)="",10^12,OFFSET(PLE!$G$14,$M639,CG$13))))</f>
        <v>1000000000000</v>
      </c>
      <c r="CH639" s="182">
        <f ca="1">IF($D639&lt;&gt;"Serviço",0,IF(OR(AND(AUTOEVENTO="Manual",$M639=1),$M639&gt;(ROW(PLE.lastrow)-ROW(PLE.firstrow))),0,IF(OFFSET(PLE!$G$14,$M639,CH$13)="",10^12,OFFSET(PLE!$G$14,$M639,CH$13))))</f>
        <v>1000000000000</v>
      </c>
      <c r="CI639" s="182">
        <f ca="1">IF($D639&lt;&gt;"Serviço",0,IF(OR(AND(AUTOEVENTO="Manual",$M639=1),$M639&gt;(ROW(PLE.lastrow)-ROW(PLE.firstrow))),0,IF(OFFSET(PLE!$G$14,$M639,CI$13)="",10^12,OFFSET(PLE!$G$14,$M639,CI$13))))</f>
        <v>1000000000000</v>
      </c>
      <c r="CJ639" s="182">
        <f ca="1">IF($D639&lt;&gt;"Serviço",0,IF(OR(AND(AUTOEVENTO="Manual",$M639=1),$M639&gt;(ROW(PLE.lastrow)-ROW(PLE.firstrow))),0,IF(OFFSET(PLE!$G$14,$M639,CJ$13)="",10^12,OFFSET(PLE!$G$14,$M639,CJ$13))))</f>
        <v>1000000000000</v>
      </c>
      <c r="CK639" s="182">
        <f ca="1">IF($D639&lt;&gt;"Serviço",0,IF(OR(AND(AUTOEVENTO="Manual",$M639=1),$M639&gt;(ROW(PLE.lastrow)-ROW(PLE.firstrow))),0,IF(OFFSET(PLE!$G$14,$M639,CK$13)="",10^12,OFFSET(PLE!$G$14,$M639,CK$13))))</f>
        <v>1000000000000</v>
      </c>
      <c r="CL639" s="182">
        <f ca="1">IF($D639&lt;&gt;"Serviço",0,IF(OR(AND(AUTOEVENTO="Manual",$M639=1),$M639&gt;(ROW(PLE.lastrow)-ROW(PLE.firstrow))),0,IF(OFFSET(PLE!$G$14,$M639,CL$13)="",10^12,OFFSET(PLE!$G$14,$M639,CL$13))))</f>
        <v>1000000000000</v>
      </c>
      <c r="CM639" s="182">
        <f ca="1">IF($D639&lt;&gt;"Serviço",0,IF(OR(AND(AUTOEVENTO="Manual",$M639=1),$M639&gt;(ROW(PLE.lastrow)-ROW(PLE.firstrow))),0,IF(OFFSET(PLE!$G$14,$M639,CM$13)="",10^12,OFFSET(PLE!$G$14,$M639,CM$13))))</f>
        <v>1000000000000</v>
      </c>
    </row>
    <row r="640" spans="1:91" ht="12.75" x14ac:dyDescent="0.2">
      <c r="A640" s="7" t="str">
        <f t="shared" ca="1" si="18"/>
        <v>625.</v>
      </c>
      <c r="B640" s="7">
        <f ca="1">OFFSET(ORÇAMENTO!C$15,ROW(B640)-ROW(B$15),0)</f>
        <v>2</v>
      </c>
      <c r="C640" s="7" t="str">
        <f ca="1">OFFSET(ORÇAMENTO!L$15,ROW(C640)-ROW(C$15),0)</f>
        <v>F</v>
      </c>
      <c r="D640" s="118" t="str">
        <f ca="1">OFFSET(ORÇAMENTO!N$15,ROW(D640)-ROW(D$15),0)</f>
        <v>Nível 2</v>
      </c>
      <c r="E640" s="119" t="str">
        <f ca="1">OFFSET(ORÇAMENTO!O$15,ROW(E640)-ROW(E$15),0)</f>
        <v>1.67.</v>
      </c>
      <c r="F640" s="172" t="str">
        <f ca="1">OFFSET(ORÇAMENTO!R$15,ROW(F640)-ROW(F$15),0)</f>
        <v>INSTALAÇÕES DE CABEAMENTO ESTRUTURADO - DISPOSITIVOS</v>
      </c>
      <c r="G640" s="173" t="str">
        <f ca="1">IF($D640&lt;&gt;"Serviço","",OFFSET(ORÇAMENTO!S$15,ROW(G640)-ROW(G$15),0))</f>
        <v/>
      </c>
      <c r="H640" s="124">
        <f ca="1">IF($D640&lt;&gt;"Serviço",0,IF(ACOMPANHAMENTO="BM",ROUND(OFFSET(ORÇAMENTO!AJ$15,ROW(H640)-ROW(H$15),0),15-13*ORÇAMENTO!$AF$7),SUMPRODUCT(($Q$12:$AI$12&lt;&gt;"")*ROUND($Q640:$AI640,15-13*ORÇAMENTO!$AF$7))))</f>
        <v>0</v>
      </c>
      <c r="I640" s="561"/>
      <c r="K640" s="174"/>
      <c r="L640" s="175" t="s">
        <v>255</v>
      </c>
      <c r="M640" s="176" t="str">
        <f ca="1">IF($D640&lt;&gt;"Serviço","",IF(AUTOEVENTO="manual",$A640,IF(ISERROR(MATCH($A640,$A$15:OFFSET($A640,-1,0),0)),MAX($M$15:OFFSET(M640,-1,0))+1,INDEX($M$15:OFFSET(M640,-1,0),MATCH($A640,$A$15:OFFSET($A640,-1,0),0)))))</f>
        <v/>
      </c>
      <c r="N640" s="177" t="str">
        <f ca="1">IF($D640&lt;&gt;"Serviço","",IF(AUTOEVENTO="Manual",IF($A640=0,"&lt;-- defina o número do agrupador",OFFSET(EVENTOS!$D$14,$A640,0)),OFFSET($F$15,$A640,0)))</f>
        <v/>
      </c>
      <c r="O640" s="178"/>
      <c r="Q640" s="178">
        <v>0</v>
      </c>
      <c r="R640" s="179"/>
      <c r="S640" s="179"/>
      <c r="T640" s="179"/>
      <c r="U640" s="179"/>
      <c r="V640" s="179"/>
      <c r="W640" s="179"/>
      <c r="X640" s="179"/>
      <c r="Y640" s="179"/>
      <c r="Z640" s="180"/>
      <c r="AA640" s="179"/>
      <c r="AB640" s="179"/>
      <c r="AC640" s="179"/>
      <c r="AD640" s="179"/>
      <c r="AE640" s="179"/>
      <c r="AF640" s="179"/>
      <c r="AG640" s="179"/>
      <c r="AH640" s="180"/>
      <c r="AJ640" s="544">
        <f ca="1">IF(AND($D640="Serviço",AJ$12&lt;&gt;0,$H640&gt;0,OR(AUTOEVENTO&lt;&gt;"manual",$M640&lt;&gt;1)),
IF(Import.TipoArredondamento&lt;&gt;"TransfereGOV",
ROUND(OFFSET($P640,0,AJ$13),15-13*ORÇAMENTO!$AF$7)/$H640*OFFSET(ORÇAMENTO!$X$15,ROW(AJ640)-ROW(AJ$15),0),
ROUND(ROUND(OFFSET($P640,0,AJ$13),15-13*ORÇAMENTO!$AF$7)*OFFSET(ORÇAMENTO!$W$15,ROW(AJ640)-ROW(AJ$15),0),15-13*ORÇAMENTO!$AF$11)),0)</f>
        <v>0</v>
      </c>
      <c r="AK640" s="545">
        <f ca="1">IF(AND($D640="Serviço",AK$12&lt;&gt;0,$H640&gt;0,OR(AUTOEVENTO&lt;&gt;"manual",$M640&lt;&gt;1)),
IF(Import.TipoArredondamento&lt;&gt;"TransfereGOV",
ROUND(OFFSET($P640,0,AK$13),15-13*ORÇAMENTO!$AF$7)/$H640*OFFSET(ORÇAMENTO!$X$15,ROW(AK640)-ROW(AK$15),0),
ROUND(ROUND(OFFSET($P640,0,AK$13),15-13*ORÇAMENTO!$AF$7)*OFFSET(ORÇAMENTO!$W$15,ROW(AK640)-ROW(AK$15),0),15-13*ORÇAMENTO!$AF$11)),0)</f>
        <v>0</v>
      </c>
      <c r="AL640" s="545">
        <f ca="1">IF(AND($D640="Serviço",AL$12&lt;&gt;0,$H640&gt;0,OR(AUTOEVENTO&lt;&gt;"manual",$M640&lt;&gt;1)),
IF(Import.TipoArredondamento&lt;&gt;"TransfereGOV",
ROUND(OFFSET($P640,0,AL$13),15-13*ORÇAMENTO!$AF$7)/$H640*OFFSET(ORÇAMENTO!$X$15,ROW(AL640)-ROW(AL$15),0),
ROUND(ROUND(OFFSET($P640,0,AL$13),15-13*ORÇAMENTO!$AF$7)*OFFSET(ORÇAMENTO!$W$15,ROW(AL640)-ROW(AL$15),0),15-13*ORÇAMENTO!$AF$11)),0)</f>
        <v>0</v>
      </c>
      <c r="AM640" s="545">
        <f ca="1">IF(AND($D640="Serviço",AM$12&lt;&gt;0,$H640&gt;0,OR(AUTOEVENTO&lt;&gt;"manual",$M640&lt;&gt;1)),
IF(Import.TipoArredondamento&lt;&gt;"TransfereGOV",
ROUND(OFFSET($P640,0,AM$13),15-13*ORÇAMENTO!$AF$7)/$H640*OFFSET(ORÇAMENTO!$X$15,ROW(AM640)-ROW(AM$15),0),
ROUND(ROUND(OFFSET($P640,0,AM$13),15-13*ORÇAMENTO!$AF$7)*OFFSET(ORÇAMENTO!$W$15,ROW(AM640)-ROW(AM$15),0),15-13*ORÇAMENTO!$AF$11)),0)</f>
        <v>0</v>
      </c>
      <c r="AN640" s="545">
        <f ca="1">IF(AND($D640="Serviço",AN$12&lt;&gt;0,$H640&gt;0,OR(AUTOEVENTO&lt;&gt;"manual",$M640&lt;&gt;1)),
IF(Import.TipoArredondamento&lt;&gt;"TransfereGOV",
ROUND(OFFSET($P640,0,AN$13),15-13*ORÇAMENTO!$AF$7)/$H640*OFFSET(ORÇAMENTO!$X$15,ROW(AN640)-ROW(AN$15),0),
ROUND(ROUND(OFFSET($P640,0,AN$13),15-13*ORÇAMENTO!$AF$7)*OFFSET(ORÇAMENTO!$W$15,ROW(AN640)-ROW(AN$15),0),15-13*ORÇAMENTO!$AF$11)),0)</f>
        <v>0</v>
      </c>
      <c r="AO640" s="545">
        <f ca="1">IF(AND($D640="Serviço",AO$12&lt;&gt;0,$H640&gt;0,OR(AUTOEVENTO&lt;&gt;"manual",$M640&lt;&gt;1)),
IF(Import.TipoArredondamento&lt;&gt;"TransfereGOV",
ROUND(OFFSET($P640,0,AO$13),15-13*ORÇAMENTO!$AF$7)/$H640*OFFSET(ORÇAMENTO!$X$15,ROW(AO640)-ROW(AO$15),0),
ROUND(ROUND(OFFSET($P640,0,AO$13),15-13*ORÇAMENTO!$AF$7)*OFFSET(ORÇAMENTO!$W$15,ROW(AO640)-ROW(AO$15),0),15-13*ORÇAMENTO!$AF$11)),0)</f>
        <v>0</v>
      </c>
      <c r="AP640" s="545">
        <f ca="1">IF(AND($D640="Serviço",AP$12&lt;&gt;0,$H640&gt;0,OR(AUTOEVENTO&lt;&gt;"manual",$M640&lt;&gt;1)),
IF(Import.TipoArredondamento&lt;&gt;"TransfereGOV",
ROUND(OFFSET($P640,0,AP$13),15-13*ORÇAMENTO!$AF$7)/$H640*OFFSET(ORÇAMENTO!$X$15,ROW(AP640)-ROW(AP$15),0),
ROUND(ROUND(OFFSET($P640,0,AP$13),15-13*ORÇAMENTO!$AF$7)*OFFSET(ORÇAMENTO!$W$15,ROW(AP640)-ROW(AP$15),0),15-13*ORÇAMENTO!$AF$11)),0)</f>
        <v>0</v>
      </c>
      <c r="AQ640" s="545">
        <f ca="1">IF(AND($D640="Serviço",AQ$12&lt;&gt;0,$H640&gt;0,OR(AUTOEVENTO&lt;&gt;"manual",$M640&lt;&gt;1)),
IF(Import.TipoArredondamento&lt;&gt;"TransfereGOV",
ROUND(OFFSET($P640,0,AQ$13),15-13*ORÇAMENTO!$AF$7)/$H640*OFFSET(ORÇAMENTO!$X$15,ROW(AQ640)-ROW(AQ$15),0),
ROUND(ROUND(OFFSET($P640,0,AQ$13),15-13*ORÇAMENTO!$AF$7)*OFFSET(ORÇAMENTO!$W$15,ROW(AQ640)-ROW(AQ$15),0),15-13*ORÇAMENTO!$AF$11)),0)</f>
        <v>0</v>
      </c>
      <c r="AR640" s="545">
        <f ca="1">IF(AND($D640="Serviço",AR$12&lt;&gt;0,$H640&gt;0,OR(AUTOEVENTO&lt;&gt;"manual",$M640&lt;&gt;1)),
IF(Import.TipoArredondamento&lt;&gt;"TransfereGOV",
ROUND(OFFSET($P640,0,AR$13),15-13*ORÇAMENTO!$AF$7)/$H640*OFFSET(ORÇAMENTO!$X$15,ROW(AR640)-ROW(AR$15),0),
ROUND(ROUND(OFFSET($P640,0,AR$13),15-13*ORÇAMENTO!$AF$7)*OFFSET(ORÇAMENTO!$W$15,ROW(AR640)-ROW(AR$15),0),15-13*ORÇAMENTO!$AF$11)),0)</f>
        <v>0</v>
      </c>
      <c r="AS640" s="546">
        <f ca="1">IF(AND($D640="Serviço",AS$12&lt;&gt;0,$H640&gt;0,OR(AUTOEVENTO&lt;&gt;"manual",$M640&lt;&gt;1)),
IF(Import.TipoArredondamento&lt;&gt;"TransfereGOV",
ROUND(OFFSET($P640,0,AS$13),15-13*ORÇAMENTO!$AF$7)/$H640*OFFSET(ORÇAMENTO!$X$15,ROW(AS640)-ROW(AS$15),0),
ROUND(ROUND(OFFSET($P640,0,AS$13),15-13*ORÇAMENTO!$AF$7)*OFFSET(ORÇAMENTO!$W$15,ROW(AS640)-ROW(AS$15),0),15-13*ORÇAMENTO!$AF$11)),0)</f>
        <v>0</v>
      </c>
      <c r="AT640" s="545">
        <f ca="1">IF(AND($D640="Serviço",AT$12&lt;&gt;0,$H640&gt;0,OR(AUTOEVENTO&lt;&gt;"manual",$M640&lt;&gt;1)),
IF(Import.TipoArredondamento&lt;&gt;"TransfereGOV",
ROUND(OFFSET($P640,0,AT$13),15-13*ORÇAMENTO!$AF$7)/$H640*OFFSET(ORÇAMENTO!$X$15,ROW(AT640)-ROW(AT$15),0),
ROUND(ROUND(OFFSET($P640,0,AT$13),15-13*ORÇAMENTO!$AF$7)*OFFSET(ORÇAMENTO!$W$15,ROW(AT640)-ROW(AT$15),0),15-13*ORÇAMENTO!$AF$11)),0)</f>
        <v>0</v>
      </c>
      <c r="AU640" s="545">
        <f ca="1">IF(AND($D640="Serviço",AU$12&lt;&gt;0,$H640&gt;0,OR(AUTOEVENTO&lt;&gt;"manual",$M640&lt;&gt;1)),
IF(Import.TipoArredondamento&lt;&gt;"TransfereGOV",
ROUND(OFFSET($P640,0,AU$13),15-13*ORÇAMENTO!$AF$7)/$H640*OFFSET(ORÇAMENTO!$X$15,ROW(AU640)-ROW(AU$15),0),
ROUND(ROUND(OFFSET($P640,0,AU$13),15-13*ORÇAMENTO!$AF$7)*OFFSET(ORÇAMENTO!$W$15,ROW(AU640)-ROW(AU$15),0),15-13*ORÇAMENTO!$AF$11)),0)</f>
        <v>0</v>
      </c>
      <c r="AV640" s="545">
        <f ca="1">IF(AND($D640="Serviço",AV$12&lt;&gt;0,$H640&gt;0,OR(AUTOEVENTO&lt;&gt;"manual",$M640&lt;&gt;1)),
IF(Import.TipoArredondamento&lt;&gt;"TransfereGOV",
ROUND(OFFSET($P640,0,AV$13),15-13*ORÇAMENTO!$AF$7)/$H640*OFFSET(ORÇAMENTO!$X$15,ROW(AV640)-ROW(AV$15),0),
ROUND(ROUND(OFFSET($P640,0,AV$13),15-13*ORÇAMENTO!$AF$7)*OFFSET(ORÇAMENTO!$W$15,ROW(AV640)-ROW(AV$15),0),15-13*ORÇAMENTO!$AF$11)),0)</f>
        <v>0</v>
      </c>
      <c r="AW640" s="545">
        <f ca="1">IF(AND($D640="Serviço",AW$12&lt;&gt;0,$H640&gt;0,OR(AUTOEVENTO&lt;&gt;"manual",$M640&lt;&gt;1)),
IF(Import.TipoArredondamento&lt;&gt;"TransfereGOV",
ROUND(OFFSET($P640,0,AW$13),15-13*ORÇAMENTO!$AF$7)/$H640*OFFSET(ORÇAMENTO!$X$15,ROW(AW640)-ROW(AW$15),0),
ROUND(ROUND(OFFSET($P640,0,AW$13),15-13*ORÇAMENTO!$AF$7)*OFFSET(ORÇAMENTO!$W$15,ROW(AW640)-ROW(AW$15),0),15-13*ORÇAMENTO!$AF$11)),0)</f>
        <v>0</v>
      </c>
      <c r="AX640" s="545">
        <f ca="1">IF(AND($D640="Serviço",AX$12&lt;&gt;0,$H640&gt;0,OR(AUTOEVENTO&lt;&gt;"manual",$M640&lt;&gt;1)),
IF(Import.TipoArredondamento&lt;&gt;"TransfereGOV",
ROUND(OFFSET($P640,0,AX$13),15-13*ORÇAMENTO!$AF$7)/$H640*OFFSET(ORÇAMENTO!$X$15,ROW(AX640)-ROW(AX$15),0),
ROUND(ROUND(OFFSET($P640,0,AX$13),15-13*ORÇAMENTO!$AF$7)*OFFSET(ORÇAMENTO!$W$15,ROW(AX640)-ROW(AX$15),0),15-13*ORÇAMENTO!$AF$11)),0)</f>
        <v>0</v>
      </c>
      <c r="AY640" s="545">
        <f ca="1">IF(AND($D640="Serviço",AY$12&lt;&gt;0,$H640&gt;0,OR(AUTOEVENTO&lt;&gt;"manual",$M640&lt;&gt;1)),
IF(Import.TipoArredondamento&lt;&gt;"TransfereGOV",
ROUND(OFFSET($P640,0,AY$13),15-13*ORÇAMENTO!$AF$7)/$H640*OFFSET(ORÇAMENTO!$X$15,ROW(AY640)-ROW(AY$15),0),
ROUND(ROUND(OFFSET($P640,0,AY$13),15-13*ORÇAMENTO!$AF$7)*OFFSET(ORÇAMENTO!$W$15,ROW(AY640)-ROW(AY$15),0),15-13*ORÇAMENTO!$AF$11)),0)</f>
        <v>0</v>
      </c>
      <c r="AZ640" s="545">
        <f ca="1">IF(AND($D640="Serviço",AZ$12&lt;&gt;0,$H640&gt;0,OR(AUTOEVENTO&lt;&gt;"manual",$M640&lt;&gt;1)),
IF(Import.TipoArredondamento&lt;&gt;"TransfereGOV",
ROUND(OFFSET($P640,0,AZ$13),15-13*ORÇAMENTO!$AF$7)/$H640*OFFSET(ORÇAMENTO!$X$15,ROW(AZ640)-ROW(AZ$15),0),
ROUND(ROUND(OFFSET($P640,0,AZ$13),15-13*ORÇAMENTO!$AF$7)*OFFSET(ORÇAMENTO!$W$15,ROW(AZ640)-ROW(AZ$15),0),15-13*ORÇAMENTO!$AF$11)),0)</f>
        <v>0</v>
      </c>
      <c r="BA640" s="546">
        <f ca="1">IF(AND($D640="Serviço",BA$12&lt;&gt;0,$H640&gt;0,OR(AUTOEVENTO&lt;&gt;"manual",$M640&lt;&gt;1)),
IF(Import.TipoArredondamento&lt;&gt;"TransfereGOV",
ROUND(OFFSET($P640,0,BA$13),15-13*ORÇAMENTO!$AF$7)/$H640*OFFSET(ORÇAMENTO!$X$15,ROW(BA640)-ROW(BA$15),0),
ROUND(ROUND(OFFSET($P640,0,BA$13),15-13*ORÇAMENTO!$AF$7)*OFFSET(ORÇAMENTO!$W$15,ROW(BA640)-ROW(BA$15),0),15-13*ORÇAMENTO!$AF$11)),0)</f>
        <v>0</v>
      </c>
      <c r="BC640" s="181">
        <f ca="1">IF($D640&lt;&gt;"Serviço",0,IF(AND(AUTOEVENTO="Manual",$M640=1),0,IF(OFFSET(CRONOPLE!$F$14,$M640,BC$13)="",10^12,OFFSET(CRONOPLE!$F$14,$M640,BC$13))))</f>
        <v>0</v>
      </c>
      <c r="BD640" s="181">
        <f ca="1">IF($D640&lt;&gt;"Serviço",0,IF(AND(AUTOEVENTO="Manual",$M640=1),0,IF(OFFSET(CRONOPLE!$F$14,$M640,BD$13)="",10^12,OFFSET(CRONOPLE!$F$14,$M640,BD$13))))</f>
        <v>0</v>
      </c>
      <c r="BE640" s="181">
        <f ca="1">IF($D640&lt;&gt;"Serviço",0,IF(AND(AUTOEVENTO="Manual",$M640=1),0,IF(OFFSET(CRONOPLE!$F$14,$M640,BE$13)="",10^12,OFFSET(CRONOPLE!$F$14,$M640,BE$13))))</f>
        <v>0</v>
      </c>
      <c r="BF640" s="181">
        <f ca="1">IF($D640&lt;&gt;"Serviço",0,IF(AND(AUTOEVENTO="Manual",$M640=1),0,IF(OFFSET(CRONOPLE!$F$14,$M640,BF$13)="",10^12,OFFSET(CRONOPLE!$F$14,$M640,BF$13))))</f>
        <v>0</v>
      </c>
      <c r="BG640" s="181">
        <f ca="1">IF($D640&lt;&gt;"Serviço",0,IF(AND(AUTOEVENTO="Manual",$M640=1),0,IF(OFFSET(CRONOPLE!$F$14,$M640,BG$13)="",10^12,OFFSET(CRONOPLE!$F$14,$M640,BG$13))))</f>
        <v>0</v>
      </c>
      <c r="BH640" s="181">
        <f ca="1">IF($D640&lt;&gt;"Serviço",0,IF(AND(AUTOEVENTO="Manual",$M640=1),0,IF(OFFSET(CRONOPLE!$F$14,$M640,BH$13)="",10^12,OFFSET(CRONOPLE!$F$14,$M640,BH$13))))</f>
        <v>0</v>
      </c>
      <c r="BI640" s="181">
        <f ca="1">IF($D640&lt;&gt;"Serviço",0,IF(AND(AUTOEVENTO="Manual",$M640=1),0,IF(OFFSET(CRONOPLE!$F$14,$M640,BI$13)="",10^12,OFFSET(CRONOPLE!$F$14,$M640,BI$13))))</f>
        <v>0</v>
      </c>
      <c r="BJ640" s="181">
        <f ca="1">IF($D640&lt;&gt;"Serviço",0,IF(AND(AUTOEVENTO="Manual",$M640=1),0,IF(OFFSET(CRONOPLE!$F$14,$M640,BJ$13)="",10^12,OFFSET(CRONOPLE!$F$14,$M640,BJ$13))))</f>
        <v>0</v>
      </c>
      <c r="BK640" s="181">
        <f ca="1">IF($D640&lt;&gt;"Serviço",0,IF(AND(AUTOEVENTO="Manual",$M640=1),0,IF(OFFSET(CRONOPLE!$F$14,$M640,BK$13)="",10^12,OFFSET(CRONOPLE!$F$14,$M640,BK$13))))</f>
        <v>0</v>
      </c>
      <c r="BL640" s="181">
        <f ca="1">IF($D640&lt;&gt;"Serviço",0,IF(AND(AUTOEVENTO="Manual",$M640=1),0,IF(OFFSET(CRONOPLE!$F$14,$M640,BL$13)="",10^12,OFFSET(CRONOPLE!$F$14,$M640,BL$13))))</f>
        <v>0</v>
      </c>
      <c r="BM640" s="181">
        <f ca="1">IF($D640&lt;&gt;"Serviço",0,IF(AND(AUTOEVENTO="Manual",$M640=1),0,IF(OFFSET(CRONOPLE!$F$14,$M640,BM$13)="",10^12,OFFSET(CRONOPLE!$F$14,$M640,BM$13))))</f>
        <v>0</v>
      </c>
      <c r="BN640" s="181">
        <f ca="1">IF($D640&lt;&gt;"Serviço",0,IF(AND(AUTOEVENTO="Manual",$M640=1),0,IF(OFFSET(CRONOPLE!$F$14,$M640,BN$13)="",10^12,OFFSET(CRONOPLE!$F$14,$M640,BN$13))))</f>
        <v>0</v>
      </c>
      <c r="BO640" s="181">
        <f ca="1">IF($D640&lt;&gt;"Serviço",0,IF(AND(AUTOEVENTO="Manual",$M640=1),0,IF(OFFSET(CRONOPLE!$F$14,$M640,BO$13)="",10^12,OFFSET(CRONOPLE!$F$14,$M640,BO$13))))</f>
        <v>0</v>
      </c>
      <c r="BP640" s="181">
        <f ca="1">IF($D640&lt;&gt;"Serviço",0,IF(AND(AUTOEVENTO="Manual",$M640=1),0,IF(OFFSET(CRONOPLE!$F$14,$M640,BP$13)="",10^12,OFFSET(CRONOPLE!$F$14,$M640,BP$13))))</f>
        <v>0</v>
      </c>
      <c r="BQ640" s="181">
        <f ca="1">IF($D640&lt;&gt;"Serviço",0,IF(AND(AUTOEVENTO="Manual",$M640=1),0,IF(OFFSET(CRONOPLE!$F$14,$M640,BQ$13)="",10^12,OFFSET(CRONOPLE!$F$14,$M640,BQ$13))))</f>
        <v>0</v>
      </c>
      <c r="BR640" s="181">
        <f ca="1">IF($D640&lt;&gt;"Serviço",0,IF(AND(AUTOEVENTO="Manual",$M640=1),0,IF(OFFSET(CRONOPLE!$F$14,$M640,BR$13)="",10^12,OFFSET(CRONOPLE!$F$14,$M640,BR$13))))</f>
        <v>0</v>
      </c>
      <c r="BS640" s="181">
        <f ca="1">IF($D640&lt;&gt;"Serviço",0,IF(AND(AUTOEVENTO="Manual",$M640=1),0,IF(OFFSET(CRONOPLE!$F$14,$M640,BS$13)="",10^12,OFFSET(CRONOPLE!$F$14,$M640,BS$13))))</f>
        <v>0</v>
      </c>
      <c r="BT640" s="181">
        <f ca="1">IF($D640&lt;&gt;"Serviço",0,IF(AND(AUTOEVENTO="Manual",$M640=1),0,IF(OFFSET(CRONOPLE!$F$14,$M640,BT$13)="",10^12,OFFSET(CRONOPLE!$F$14,$M640,BT$13))))</f>
        <v>0</v>
      </c>
      <c r="BV640" s="182">
        <f ca="1">IF($D640&lt;&gt;"Serviço",0,IF(OR(AND(AUTOEVENTO="Manual",$M640=1),$M640&gt;(ROW(PLE.lastrow)-ROW(PLE.firstrow))),0,IF(OFFSET(PLE!$G$14,$M640,BV$13)="",10^12,OFFSET(PLE!$G$14,$M640,BV$13))))</f>
        <v>0</v>
      </c>
      <c r="BW640" s="182">
        <f ca="1">IF($D640&lt;&gt;"Serviço",0,IF(OR(AND(AUTOEVENTO="Manual",$M640=1),$M640&gt;(ROW(PLE.lastrow)-ROW(PLE.firstrow))),0,IF(OFFSET(PLE!$G$14,$M640,BW$13)="",10^12,OFFSET(PLE!$G$14,$M640,BW$13))))</f>
        <v>0</v>
      </c>
      <c r="BX640" s="182">
        <f ca="1">IF($D640&lt;&gt;"Serviço",0,IF(OR(AND(AUTOEVENTO="Manual",$M640=1),$M640&gt;(ROW(PLE.lastrow)-ROW(PLE.firstrow))),0,IF(OFFSET(PLE!$G$14,$M640,BX$13)="",10^12,OFFSET(PLE!$G$14,$M640,BX$13))))</f>
        <v>0</v>
      </c>
      <c r="BY640" s="182">
        <f ca="1">IF($D640&lt;&gt;"Serviço",0,IF(OR(AND(AUTOEVENTO="Manual",$M640=1),$M640&gt;(ROW(PLE.lastrow)-ROW(PLE.firstrow))),0,IF(OFFSET(PLE!$G$14,$M640,BY$13)="",10^12,OFFSET(PLE!$G$14,$M640,BY$13))))</f>
        <v>0</v>
      </c>
      <c r="BZ640" s="182">
        <f ca="1">IF($D640&lt;&gt;"Serviço",0,IF(OR(AND(AUTOEVENTO="Manual",$M640=1),$M640&gt;(ROW(PLE.lastrow)-ROW(PLE.firstrow))),0,IF(OFFSET(PLE!$G$14,$M640,BZ$13)="",10^12,OFFSET(PLE!$G$14,$M640,BZ$13))))</f>
        <v>0</v>
      </c>
      <c r="CA640" s="182">
        <f ca="1">IF($D640&lt;&gt;"Serviço",0,IF(OR(AND(AUTOEVENTO="Manual",$M640=1),$M640&gt;(ROW(PLE.lastrow)-ROW(PLE.firstrow))),0,IF(OFFSET(PLE!$G$14,$M640,CA$13)="",10^12,OFFSET(PLE!$G$14,$M640,CA$13))))</f>
        <v>0</v>
      </c>
      <c r="CB640" s="182">
        <f ca="1">IF($D640&lt;&gt;"Serviço",0,IF(OR(AND(AUTOEVENTO="Manual",$M640=1),$M640&gt;(ROW(PLE.lastrow)-ROW(PLE.firstrow))),0,IF(OFFSET(PLE!$G$14,$M640,CB$13)="",10^12,OFFSET(PLE!$G$14,$M640,CB$13))))</f>
        <v>0</v>
      </c>
      <c r="CC640" s="182">
        <f ca="1">IF($D640&lt;&gt;"Serviço",0,IF(OR(AND(AUTOEVENTO="Manual",$M640=1),$M640&gt;(ROW(PLE.lastrow)-ROW(PLE.firstrow))),0,IF(OFFSET(PLE!$G$14,$M640,CC$13)="",10^12,OFFSET(PLE!$G$14,$M640,CC$13))))</f>
        <v>0</v>
      </c>
      <c r="CD640" s="182">
        <f ca="1">IF($D640&lt;&gt;"Serviço",0,IF(OR(AND(AUTOEVENTO="Manual",$M640=1),$M640&gt;(ROW(PLE.lastrow)-ROW(PLE.firstrow))),0,IF(OFFSET(PLE!$G$14,$M640,CD$13)="",10^12,OFFSET(PLE!$G$14,$M640,CD$13))))</f>
        <v>0</v>
      </c>
      <c r="CE640" s="182">
        <f ca="1">IF($D640&lt;&gt;"Serviço",0,IF(OR(AND(AUTOEVENTO="Manual",$M640=1),$M640&gt;(ROW(PLE.lastrow)-ROW(PLE.firstrow))),0,IF(OFFSET(PLE!$G$14,$M640,CE$13)="",10^12,OFFSET(PLE!$G$14,$M640,CE$13))))</f>
        <v>0</v>
      </c>
      <c r="CF640" s="182">
        <f ca="1">IF($D640&lt;&gt;"Serviço",0,IF(OR(AND(AUTOEVENTO="Manual",$M640=1),$M640&gt;(ROW(PLE.lastrow)-ROW(PLE.firstrow))),0,IF(OFFSET(PLE!$G$14,$M640,CF$13)="",10^12,OFFSET(PLE!$G$14,$M640,CF$13))))</f>
        <v>0</v>
      </c>
      <c r="CG640" s="182">
        <f ca="1">IF($D640&lt;&gt;"Serviço",0,IF(OR(AND(AUTOEVENTO="Manual",$M640=1),$M640&gt;(ROW(PLE.lastrow)-ROW(PLE.firstrow))),0,IF(OFFSET(PLE!$G$14,$M640,CG$13)="",10^12,OFFSET(PLE!$G$14,$M640,CG$13))))</f>
        <v>0</v>
      </c>
      <c r="CH640" s="182">
        <f ca="1">IF($D640&lt;&gt;"Serviço",0,IF(OR(AND(AUTOEVENTO="Manual",$M640=1),$M640&gt;(ROW(PLE.lastrow)-ROW(PLE.firstrow))),0,IF(OFFSET(PLE!$G$14,$M640,CH$13)="",10^12,OFFSET(PLE!$G$14,$M640,CH$13))))</f>
        <v>0</v>
      </c>
      <c r="CI640" s="182">
        <f ca="1">IF($D640&lt;&gt;"Serviço",0,IF(OR(AND(AUTOEVENTO="Manual",$M640=1),$M640&gt;(ROW(PLE.lastrow)-ROW(PLE.firstrow))),0,IF(OFFSET(PLE!$G$14,$M640,CI$13)="",10^12,OFFSET(PLE!$G$14,$M640,CI$13))))</f>
        <v>0</v>
      </c>
      <c r="CJ640" s="182">
        <f ca="1">IF($D640&lt;&gt;"Serviço",0,IF(OR(AND(AUTOEVENTO="Manual",$M640=1),$M640&gt;(ROW(PLE.lastrow)-ROW(PLE.firstrow))),0,IF(OFFSET(PLE!$G$14,$M640,CJ$13)="",10^12,OFFSET(PLE!$G$14,$M640,CJ$13))))</f>
        <v>0</v>
      </c>
      <c r="CK640" s="182">
        <f ca="1">IF($D640&lt;&gt;"Serviço",0,IF(OR(AND(AUTOEVENTO="Manual",$M640=1),$M640&gt;(ROW(PLE.lastrow)-ROW(PLE.firstrow))),0,IF(OFFSET(PLE!$G$14,$M640,CK$13)="",10^12,OFFSET(PLE!$G$14,$M640,CK$13))))</f>
        <v>0</v>
      </c>
      <c r="CL640" s="182">
        <f ca="1">IF($D640&lt;&gt;"Serviço",0,IF(OR(AND(AUTOEVENTO="Manual",$M640=1),$M640&gt;(ROW(PLE.lastrow)-ROW(PLE.firstrow))),0,IF(OFFSET(PLE!$G$14,$M640,CL$13)="",10^12,OFFSET(PLE!$G$14,$M640,CL$13))))</f>
        <v>0</v>
      </c>
      <c r="CM640" s="182">
        <f ca="1">IF($D640&lt;&gt;"Serviço",0,IF(OR(AND(AUTOEVENTO="Manual",$M640=1),$M640&gt;(ROW(PLE.lastrow)-ROW(PLE.firstrow))),0,IF(OFFSET(PLE!$G$14,$M640,CM$13)="",10^12,OFFSET(PLE!$G$14,$M640,CM$13))))</f>
        <v>0</v>
      </c>
    </row>
    <row r="641" spans="1:91" ht="38.25" x14ac:dyDescent="0.2">
      <c r="A641" s="7" t="str">
        <f t="shared" ca="1" si="18"/>
        <v>625</v>
      </c>
      <c r="B641" s="7" t="str">
        <f ca="1">OFFSET(ORÇAMENTO!C$15,ROW(B641)-ROW(B$15),0)</f>
        <v>S</v>
      </c>
      <c r="C641" s="7" t="str">
        <f ca="1">OFFSET(ORÇAMENTO!L$15,ROW(C641)-ROW(C$15),0)</f>
        <v/>
      </c>
      <c r="D641" s="118" t="str">
        <f ca="1">OFFSET(ORÇAMENTO!N$15,ROW(D641)-ROW(D$15),0)</f>
        <v>Serviço</v>
      </c>
      <c r="E641" s="119" t="str">
        <f ca="1">OFFSET(ORÇAMENTO!O$15,ROW(E641)-ROW(E$15),0)</f>
        <v>-</v>
      </c>
      <c r="F641" s="172" t="str">
        <f ca="1">OFFSET(ORÇAMENTO!R$15,ROW(F641)-ROW(F$15),0)</f>
        <v>(abra o arquivo 'Referência 06-2024.xlsm)</v>
      </c>
      <c r="G641" s="173" t="str">
        <f ca="1">IF($D641&lt;&gt;"Serviço","",OFFSET(ORÇAMENTO!S$15,ROW(G641)-ROW(G$15),0))</f>
        <v>-</v>
      </c>
      <c r="H641" s="124">
        <f ca="1">IF($D641&lt;&gt;"Serviço",0,IF(ACOMPANHAMENTO="BM",ROUND(OFFSET(ORÇAMENTO!AJ$15,ROW(H641)-ROW(H$15),0),15-13*ORÇAMENTO!$AF$7),SUMPRODUCT(($Q$12:$AI$12&lt;&gt;"")*ROUND($Q641:$AI641,15-13*ORÇAMENTO!$AF$7))))</f>
        <v>28</v>
      </c>
      <c r="I641" s="561" t="s">
        <v>1107</v>
      </c>
      <c r="K641" s="174"/>
      <c r="L641" s="175" t="s">
        <v>255</v>
      </c>
      <c r="M641" s="176">
        <f ca="1">IF($D641&lt;&gt;"Serviço","",IF(AUTOEVENTO="manual",$A641,IF(ISERROR(MATCH($A641,$A$15:OFFSET($A641,-1,0),0)),MAX($M$15:OFFSET(M641,-1,0))+1,INDEX($M$15:OFFSET(M641,-1,0),MATCH($A641,$A$15:OFFSET($A641,-1,0),0)))))</f>
        <v>68</v>
      </c>
      <c r="N641" s="177" t="str">
        <f ca="1">IF($D641&lt;&gt;"Serviço","",IF(AUTOEVENTO="Manual",IF($A641=0,"&lt;-- defina o número do agrupador",OFFSET(EVENTOS!$D$14,$A641,0)),OFFSET($F$15,$A641,0)))</f>
        <v>INSTALAÇÕES DE CABEAMENTO ESTRUTURADO - DISPOSITIVOS</v>
      </c>
      <c r="O641" s="178"/>
      <c r="Q641" s="178">
        <v>28</v>
      </c>
      <c r="R641" s="179"/>
      <c r="S641" s="179"/>
      <c r="T641" s="179"/>
      <c r="U641" s="179"/>
      <c r="V641" s="179"/>
      <c r="W641" s="179"/>
      <c r="X641" s="179"/>
      <c r="Y641" s="179"/>
      <c r="Z641" s="180"/>
      <c r="AA641" s="179"/>
      <c r="AB641" s="179"/>
      <c r="AC641" s="179"/>
      <c r="AD641" s="179"/>
      <c r="AE641" s="179"/>
      <c r="AF641" s="179"/>
      <c r="AG641" s="179"/>
      <c r="AH641" s="180"/>
      <c r="AJ641" s="544">
        <f ca="1">IF(AND($D641="Serviço",AJ$12&lt;&gt;0,$H641&gt;0,OR(AUTOEVENTO&lt;&gt;"manual",$M641&lt;&gt;1)),
IF(Import.TipoArredondamento&lt;&gt;"TransfereGOV",
ROUND(OFFSET($P641,0,AJ$13),15-13*ORÇAMENTO!$AF$7)/$H641*OFFSET(ORÇAMENTO!$X$15,ROW(AJ641)-ROW(AJ$15),0),
ROUND(ROUND(OFFSET($P641,0,AJ$13),15-13*ORÇAMENTO!$AF$7)*OFFSET(ORÇAMENTO!$W$15,ROW(AJ641)-ROW(AJ$15),0),15-13*ORÇAMENTO!$AF$11)),0)</f>
        <v>0</v>
      </c>
      <c r="AK641" s="545">
        <f ca="1">IF(AND($D641="Serviço",AK$12&lt;&gt;0,$H641&gt;0,OR(AUTOEVENTO&lt;&gt;"manual",$M641&lt;&gt;1)),
IF(Import.TipoArredondamento&lt;&gt;"TransfereGOV",
ROUND(OFFSET($P641,0,AK$13),15-13*ORÇAMENTO!$AF$7)/$H641*OFFSET(ORÇAMENTO!$X$15,ROW(AK641)-ROW(AK$15),0),
ROUND(ROUND(OFFSET($P641,0,AK$13),15-13*ORÇAMENTO!$AF$7)*OFFSET(ORÇAMENTO!$W$15,ROW(AK641)-ROW(AK$15),0),15-13*ORÇAMENTO!$AF$11)),0)</f>
        <v>0</v>
      </c>
      <c r="AL641" s="545">
        <f ca="1">IF(AND($D641="Serviço",AL$12&lt;&gt;0,$H641&gt;0,OR(AUTOEVENTO&lt;&gt;"manual",$M641&lt;&gt;1)),
IF(Import.TipoArredondamento&lt;&gt;"TransfereGOV",
ROUND(OFFSET($P641,0,AL$13),15-13*ORÇAMENTO!$AF$7)/$H641*OFFSET(ORÇAMENTO!$X$15,ROW(AL641)-ROW(AL$15),0),
ROUND(ROUND(OFFSET($P641,0,AL$13),15-13*ORÇAMENTO!$AF$7)*OFFSET(ORÇAMENTO!$W$15,ROW(AL641)-ROW(AL$15),0),15-13*ORÇAMENTO!$AF$11)),0)</f>
        <v>0</v>
      </c>
      <c r="AM641" s="545">
        <f ca="1">IF(AND($D641="Serviço",AM$12&lt;&gt;0,$H641&gt;0,OR(AUTOEVENTO&lt;&gt;"manual",$M641&lt;&gt;1)),
IF(Import.TipoArredondamento&lt;&gt;"TransfereGOV",
ROUND(OFFSET($P641,0,AM$13),15-13*ORÇAMENTO!$AF$7)/$H641*OFFSET(ORÇAMENTO!$X$15,ROW(AM641)-ROW(AM$15),0),
ROUND(ROUND(OFFSET($P641,0,AM$13),15-13*ORÇAMENTO!$AF$7)*OFFSET(ORÇAMENTO!$W$15,ROW(AM641)-ROW(AM$15),0),15-13*ORÇAMENTO!$AF$11)),0)</f>
        <v>0</v>
      </c>
      <c r="AN641" s="545">
        <f ca="1">IF(AND($D641="Serviço",AN$12&lt;&gt;0,$H641&gt;0,OR(AUTOEVENTO&lt;&gt;"manual",$M641&lt;&gt;1)),
IF(Import.TipoArredondamento&lt;&gt;"TransfereGOV",
ROUND(OFFSET($P641,0,AN$13),15-13*ORÇAMENTO!$AF$7)/$H641*OFFSET(ORÇAMENTO!$X$15,ROW(AN641)-ROW(AN$15),0),
ROUND(ROUND(OFFSET($P641,0,AN$13),15-13*ORÇAMENTO!$AF$7)*OFFSET(ORÇAMENTO!$W$15,ROW(AN641)-ROW(AN$15),0),15-13*ORÇAMENTO!$AF$11)),0)</f>
        <v>0</v>
      </c>
      <c r="AO641" s="545">
        <f ca="1">IF(AND($D641="Serviço",AO$12&lt;&gt;0,$H641&gt;0,OR(AUTOEVENTO&lt;&gt;"manual",$M641&lt;&gt;1)),
IF(Import.TipoArredondamento&lt;&gt;"TransfereGOV",
ROUND(OFFSET($P641,0,AO$13),15-13*ORÇAMENTO!$AF$7)/$H641*OFFSET(ORÇAMENTO!$X$15,ROW(AO641)-ROW(AO$15),0),
ROUND(ROUND(OFFSET($P641,0,AO$13),15-13*ORÇAMENTO!$AF$7)*OFFSET(ORÇAMENTO!$W$15,ROW(AO641)-ROW(AO$15),0),15-13*ORÇAMENTO!$AF$11)),0)</f>
        <v>0</v>
      </c>
      <c r="AP641" s="545">
        <f ca="1">IF(AND($D641="Serviço",AP$12&lt;&gt;0,$H641&gt;0,OR(AUTOEVENTO&lt;&gt;"manual",$M641&lt;&gt;1)),
IF(Import.TipoArredondamento&lt;&gt;"TransfereGOV",
ROUND(OFFSET($P641,0,AP$13),15-13*ORÇAMENTO!$AF$7)/$H641*OFFSET(ORÇAMENTO!$X$15,ROW(AP641)-ROW(AP$15),0),
ROUND(ROUND(OFFSET($P641,0,AP$13),15-13*ORÇAMENTO!$AF$7)*OFFSET(ORÇAMENTO!$W$15,ROW(AP641)-ROW(AP$15),0),15-13*ORÇAMENTO!$AF$11)),0)</f>
        <v>0</v>
      </c>
      <c r="AQ641" s="545">
        <f ca="1">IF(AND($D641="Serviço",AQ$12&lt;&gt;0,$H641&gt;0,OR(AUTOEVENTO&lt;&gt;"manual",$M641&lt;&gt;1)),
IF(Import.TipoArredondamento&lt;&gt;"TransfereGOV",
ROUND(OFFSET($P641,0,AQ$13),15-13*ORÇAMENTO!$AF$7)/$H641*OFFSET(ORÇAMENTO!$X$15,ROW(AQ641)-ROW(AQ$15),0),
ROUND(ROUND(OFFSET($P641,0,AQ$13),15-13*ORÇAMENTO!$AF$7)*OFFSET(ORÇAMENTO!$W$15,ROW(AQ641)-ROW(AQ$15),0),15-13*ORÇAMENTO!$AF$11)),0)</f>
        <v>0</v>
      </c>
      <c r="AR641" s="545">
        <f ca="1">IF(AND($D641="Serviço",AR$12&lt;&gt;0,$H641&gt;0,OR(AUTOEVENTO&lt;&gt;"manual",$M641&lt;&gt;1)),
IF(Import.TipoArredondamento&lt;&gt;"TransfereGOV",
ROUND(OFFSET($P641,0,AR$13),15-13*ORÇAMENTO!$AF$7)/$H641*OFFSET(ORÇAMENTO!$X$15,ROW(AR641)-ROW(AR$15),0),
ROUND(ROUND(OFFSET($P641,0,AR$13),15-13*ORÇAMENTO!$AF$7)*OFFSET(ORÇAMENTO!$W$15,ROW(AR641)-ROW(AR$15),0),15-13*ORÇAMENTO!$AF$11)),0)</f>
        <v>0</v>
      </c>
      <c r="AS641" s="546">
        <f ca="1">IF(AND($D641="Serviço",AS$12&lt;&gt;0,$H641&gt;0,OR(AUTOEVENTO&lt;&gt;"manual",$M641&lt;&gt;1)),
IF(Import.TipoArredondamento&lt;&gt;"TransfereGOV",
ROUND(OFFSET($P641,0,AS$13),15-13*ORÇAMENTO!$AF$7)/$H641*OFFSET(ORÇAMENTO!$X$15,ROW(AS641)-ROW(AS$15),0),
ROUND(ROUND(OFFSET($P641,0,AS$13),15-13*ORÇAMENTO!$AF$7)*OFFSET(ORÇAMENTO!$W$15,ROW(AS641)-ROW(AS$15),0),15-13*ORÇAMENTO!$AF$11)),0)</f>
        <v>0</v>
      </c>
      <c r="AT641" s="545">
        <f ca="1">IF(AND($D641="Serviço",AT$12&lt;&gt;0,$H641&gt;0,OR(AUTOEVENTO&lt;&gt;"manual",$M641&lt;&gt;1)),
IF(Import.TipoArredondamento&lt;&gt;"TransfereGOV",
ROUND(OFFSET($P641,0,AT$13),15-13*ORÇAMENTO!$AF$7)/$H641*OFFSET(ORÇAMENTO!$X$15,ROW(AT641)-ROW(AT$15),0),
ROUND(ROUND(OFFSET($P641,0,AT$13),15-13*ORÇAMENTO!$AF$7)*OFFSET(ORÇAMENTO!$W$15,ROW(AT641)-ROW(AT$15),0),15-13*ORÇAMENTO!$AF$11)),0)</f>
        <v>0</v>
      </c>
      <c r="AU641" s="545">
        <f ca="1">IF(AND($D641="Serviço",AU$12&lt;&gt;0,$H641&gt;0,OR(AUTOEVENTO&lt;&gt;"manual",$M641&lt;&gt;1)),
IF(Import.TipoArredondamento&lt;&gt;"TransfereGOV",
ROUND(OFFSET($P641,0,AU$13),15-13*ORÇAMENTO!$AF$7)/$H641*OFFSET(ORÇAMENTO!$X$15,ROW(AU641)-ROW(AU$15),0),
ROUND(ROUND(OFFSET($P641,0,AU$13),15-13*ORÇAMENTO!$AF$7)*OFFSET(ORÇAMENTO!$W$15,ROW(AU641)-ROW(AU$15),0),15-13*ORÇAMENTO!$AF$11)),0)</f>
        <v>0</v>
      </c>
      <c r="AV641" s="545">
        <f ca="1">IF(AND($D641="Serviço",AV$12&lt;&gt;0,$H641&gt;0,OR(AUTOEVENTO&lt;&gt;"manual",$M641&lt;&gt;1)),
IF(Import.TipoArredondamento&lt;&gt;"TransfereGOV",
ROUND(OFFSET($P641,0,AV$13),15-13*ORÇAMENTO!$AF$7)/$H641*OFFSET(ORÇAMENTO!$X$15,ROW(AV641)-ROW(AV$15),0),
ROUND(ROUND(OFFSET($P641,0,AV$13),15-13*ORÇAMENTO!$AF$7)*OFFSET(ORÇAMENTO!$W$15,ROW(AV641)-ROW(AV$15),0),15-13*ORÇAMENTO!$AF$11)),0)</f>
        <v>0</v>
      </c>
      <c r="AW641" s="545">
        <f ca="1">IF(AND($D641="Serviço",AW$12&lt;&gt;0,$H641&gt;0,OR(AUTOEVENTO&lt;&gt;"manual",$M641&lt;&gt;1)),
IF(Import.TipoArredondamento&lt;&gt;"TransfereGOV",
ROUND(OFFSET($P641,0,AW$13),15-13*ORÇAMENTO!$AF$7)/$H641*OFFSET(ORÇAMENTO!$X$15,ROW(AW641)-ROW(AW$15),0),
ROUND(ROUND(OFFSET($P641,0,AW$13),15-13*ORÇAMENTO!$AF$7)*OFFSET(ORÇAMENTO!$W$15,ROW(AW641)-ROW(AW$15),0),15-13*ORÇAMENTO!$AF$11)),0)</f>
        <v>0</v>
      </c>
      <c r="AX641" s="545">
        <f ca="1">IF(AND($D641="Serviço",AX$12&lt;&gt;0,$H641&gt;0,OR(AUTOEVENTO&lt;&gt;"manual",$M641&lt;&gt;1)),
IF(Import.TipoArredondamento&lt;&gt;"TransfereGOV",
ROUND(OFFSET($P641,0,AX$13),15-13*ORÇAMENTO!$AF$7)/$H641*OFFSET(ORÇAMENTO!$X$15,ROW(AX641)-ROW(AX$15),0),
ROUND(ROUND(OFFSET($P641,0,AX$13),15-13*ORÇAMENTO!$AF$7)*OFFSET(ORÇAMENTO!$W$15,ROW(AX641)-ROW(AX$15),0),15-13*ORÇAMENTO!$AF$11)),0)</f>
        <v>0</v>
      </c>
      <c r="AY641" s="545">
        <f ca="1">IF(AND($D641="Serviço",AY$12&lt;&gt;0,$H641&gt;0,OR(AUTOEVENTO&lt;&gt;"manual",$M641&lt;&gt;1)),
IF(Import.TipoArredondamento&lt;&gt;"TransfereGOV",
ROUND(OFFSET($P641,0,AY$13),15-13*ORÇAMENTO!$AF$7)/$H641*OFFSET(ORÇAMENTO!$X$15,ROW(AY641)-ROW(AY$15),0),
ROUND(ROUND(OFFSET($P641,0,AY$13),15-13*ORÇAMENTO!$AF$7)*OFFSET(ORÇAMENTO!$W$15,ROW(AY641)-ROW(AY$15),0),15-13*ORÇAMENTO!$AF$11)),0)</f>
        <v>0</v>
      </c>
      <c r="AZ641" s="545">
        <f ca="1">IF(AND($D641="Serviço",AZ$12&lt;&gt;0,$H641&gt;0,OR(AUTOEVENTO&lt;&gt;"manual",$M641&lt;&gt;1)),
IF(Import.TipoArredondamento&lt;&gt;"TransfereGOV",
ROUND(OFFSET($P641,0,AZ$13),15-13*ORÇAMENTO!$AF$7)/$H641*OFFSET(ORÇAMENTO!$X$15,ROW(AZ641)-ROW(AZ$15),0),
ROUND(ROUND(OFFSET($P641,0,AZ$13),15-13*ORÇAMENTO!$AF$7)*OFFSET(ORÇAMENTO!$W$15,ROW(AZ641)-ROW(AZ$15),0),15-13*ORÇAMENTO!$AF$11)),0)</f>
        <v>0</v>
      </c>
      <c r="BA641" s="546">
        <f ca="1">IF(AND($D641="Serviço",BA$12&lt;&gt;0,$H641&gt;0,OR(AUTOEVENTO&lt;&gt;"manual",$M641&lt;&gt;1)),
IF(Import.TipoArredondamento&lt;&gt;"TransfereGOV",
ROUND(OFFSET($P641,0,BA$13),15-13*ORÇAMENTO!$AF$7)/$H641*OFFSET(ORÇAMENTO!$X$15,ROW(BA641)-ROW(BA$15),0),
ROUND(ROUND(OFFSET($P641,0,BA$13),15-13*ORÇAMENTO!$AF$7)*OFFSET(ORÇAMENTO!$W$15,ROW(BA641)-ROW(BA$15),0),15-13*ORÇAMENTO!$AF$11)),0)</f>
        <v>0</v>
      </c>
      <c r="BC641" s="181">
        <f ca="1">IF($D641&lt;&gt;"Serviço",0,IF(AND(AUTOEVENTO="Manual",$M641=1),0,IF(OFFSET(CRONOPLE!$F$14,$M641,BC$13)="",10^12,OFFSET(CRONOPLE!$F$14,$M641,BC$13))))</f>
        <v>11</v>
      </c>
      <c r="BD641" s="181">
        <f ca="1">IF($D641&lt;&gt;"Serviço",0,IF(AND(AUTOEVENTO="Manual",$M641=1),0,IF(OFFSET(CRONOPLE!$F$14,$M641,BD$13)="",10^12,OFFSET(CRONOPLE!$F$14,$M641,BD$13))))</f>
        <v>1000000000000</v>
      </c>
      <c r="BE641" s="181">
        <f ca="1">IF($D641&lt;&gt;"Serviço",0,IF(AND(AUTOEVENTO="Manual",$M641=1),0,IF(OFFSET(CRONOPLE!$F$14,$M641,BE$13)="",10^12,OFFSET(CRONOPLE!$F$14,$M641,BE$13))))</f>
        <v>1000000000000</v>
      </c>
      <c r="BF641" s="181">
        <f ca="1">IF($D641&lt;&gt;"Serviço",0,IF(AND(AUTOEVENTO="Manual",$M641=1),0,IF(OFFSET(CRONOPLE!$F$14,$M641,BF$13)="",10^12,OFFSET(CRONOPLE!$F$14,$M641,BF$13))))</f>
        <v>1000000000000</v>
      </c>
      <c r="BG641" s="181">
        <f ca="1">IF($D641&lt;&gt;"Serviço",0,IF(AND(AUTOEVENTO="Manual",$M641=1),0,IF(OFFSET(CRONOPLE!$F$14,$M641,BG$13)="",10^12,OFFSET(CRONOPLE!$F$14,$M641,BG$13))))</f>
        <v>1000000000000</v>
      </c>
      <c r="BH641" s="181">
        <f ca="1">IF($D641&lt;&gt;"Serviço",0,IF(AND(AUTOEVENTO="Manual",$M641=1),0,IF(OFFSET(CRONOPLE!$F$14,$M641,BH$13)="",10^12,OFFSET(CRONOPLE!$F$14,$M641,BH$13))))</f>
        <v>1000000000000</v>
      </c>
      <c r="BI641" s="181">
        <f ca="1">IF($D641&lt;&gt;"Serviço",0,IF(AND(AUTOEVENTO="Manual",$M641=1),0,IF(OFFSET(CRONOPLE!$F$14,$M641,BI$13)="",10^12,OFFSET(CRONOPLE!$F$14,$M641,BI$13))))</f>
        <v>1000000000000</v>
      </c>
      <c r="BJ641" s="181">
        <f ca="1">IF($D641&lt;&gt;"Serviço",0,IF(AND(AUTOEVENTO="Manual",$M641=1),0,IF(OFFSET(CRONOPLE!$F$14,$M641,BJ$13)="",10^12,OFFSET(CRONOPLE!$F$14,$M641,BJ$13))))</f>
        <v>1000000000000</v>
      </c>
      <c r="BK641" s="181">
        <f ca="1">IF($D641&lt;&gt;"Serviço",0,IF(AND(AUTOEVENTO="Manual",$M641=1),0,IF(OFFSET(CRONOPLE!$F$14,$M641,BK$13)="",10^12,OFFSET(CRONOPLE!$F$14,$M641,BK$13))))</f>
        <v>1000000000000</v>
      </c>
      <c r="BL641" s="181">
        <f ca="1">IF($D641&lt;&gt;"Serviço",0,IF(AND(AUTOEVENTO="Manual",$M641=1),0,IF(OFFSET(CRONOPLE!$F$14,$M641,BL$13)="",10^12,OFFSET(CRONOPLE!$F$14,$M641,BL$13))))</f>
        <v>1000000000000</v>
      </c>
      <c r="BM641" s="181">
        <f ca="1">IF($D641&lt;&gt;"Serviço",0,IF(AND(AUTOEVENTO="Manual",$M641=1),0,IF(OFFSET(CRONOPLE!$F$14,$M641,BM$13)="",10^12,OFFSET(CRONOPLE!$F$14,$M641,BM$13))))</f>
        <v>1000000000000</v>
      </c>
      <c r="BN641" s="181">
        <f ca="1">IF($D641&lt;&gt;"Serviço",0,IF(AND(AUTOEVENTO="Manual",$M641=1),0,IF(OFFSET(CRONOPLE!$F$14,$M641,BN$13)="",10^12,OFFSET(CRONOPLE!$F$14,$M641,BN$13))))</f>
        <v>1000000000000</v>
      </c>
      <c r="BO641" s="181">
        <f ca="1">IF($D641&lt;&gt;"Serviço",0,IF(AND(AUTOEVENTO="Manual",$M641=1),0,IF(OFFSET(CRONOPLE!$F$14,$M641,BO$13)="",10^12,OFFSET(CRONOPLE!$F$14,$M641,BO$13))))</f>
        <v>1000000000000</v>
      </c>
      <c r="BP641" s="181">
        <f ca="1">IF($D641&lt;&gt;"Serviço",0,IF(AND(AUTOEVENTO="Manual",$M641=1),0,IF(OFFSET(CRONOPLE!$F$14,$M641,BP$13)="",10^12,OFFSET(CRONOPLE!$F$14,$M641,BP$13))))</f>
        <v>1000000000000</v>
      </c>
      <c r="BQ641" s="181">
        <f ca="1">IF($D641&lt;&gt;"Serviço",0,IF(AND(AUTOEVENTO="Manual",$M641=1),0,IF(OFFSET(CRONOPLE!$F$14,$M641,BQ$13)="",10^12,OFFSET(CRONOPLE!$F$14,$M641,BQ$13))))</f>
        <v>1000000000000</v>
      </c>
      <c r="BR641" s="181">
        <f ca="1">IF($D641&lt;&gt;"Serviço",0,IF(AND(AUTOEVENTO="Manual",$M641=1),0,IF(OFFSET(CRONOPLE!$F$14,$M641,BR$13)="",10^12,OFFSET(CRONOPLE!$F$14,$M641,BR$13))))</f>
        <v>1000000000000</v>
      </c>
      <c r="BS641" s="181">
        <f ca="1">IF($D641&lt;&gt;"Serviço",0,IF(AND(AUTOEVENTO="Manual",$M641=1),0,IF(OFFSET(CRONOPLE!$F$14,$M641,BS$13)="",10^12,OFFSET(CRONOPLE!$F$14,$M641,BS$13))))</f>
        <v>1000000000000</v>
      </c>
      <c r="BT641" s="181">
        <f ca="1">IF($D641&lt;&gt;"Serviço",0,IF(AND(AUTOEVENTO="Manual",$M641=1),0,IF(OFFSET(CRONOPLE!$F$14,$M641,BT$13)="",10^12,OFFSET(CRONOPLE!$F$14,$M641,BT$13))))</f>
        <v>1000000000000</v>
      </c>
      <c r="BV641" s="182">
        <f ca="1">IF($D641&lt;&gt;"Serviço",0,IF(OR(AND(AUTOEVENTO="Manual",$M641=1),$M641&gt;(ROW(PLE.lastrow)-ROW(PLE.firstrow))),0,IF(OFFSET(PLE!$G$14,$M641,BV$13)="",10^12,OFFSET(PLE!$G$14,$M641,BV$13))))</f>
        <v>1000000000000</v>
      </c>
      <c r="BW641" s="182">
        <f ca="1">IF($D641&lt;&gt;"Serviço",0,IF(OR(AND(AUTOEVENTO="Manual",$M641=1),$M641&gt;(ROW(PLE.lastrow)-ROW(PLE.firstrow))),0,IF(OFFSET(PLE!$G$14,$M641,BW$13)="",10^12,OFFSET(PLE!$G$14,$M641,BW$13))))</f>
        <v>1000000000000</v>
      </c>
      <c r="BX641" s="182">
        <f ca="1">IF($D641&lt;&gt;"Serviço",0,IF(OR(AND(AUTOEVENTO="Manual",$M641=1),$M641&gt;(ROW(PLE.lastrow)-ROW(PLE.firstrow))),0,IF(OFFSET(PLE!$G$14,$M641,BX$13)="",10^12,OFFSET(PLE!$G$14,$M641,BX$13))))</f>
        <v>1000000000000</v>
      </c>
      <c r="BY641" s="182">
        <f ca="1">IF($D641&lt;&gt;"Serviço",0,IF(OR(AND(AUTOEVENTO="Manual",$M641=1),$M641&gt;(ROW(PLE.lastrow)-ROW(PLE.firstrow))),0,IF(OFFSET(PLE!$G$14,$M641,BY$13)="",10^12,OFFSET(PLE!$G$14,$M641,BY$13))))</f>
        <v>1000000000000</v>
      </c>
      <c r="BZ641" s="182">
        <f ca="1">IF($D641&lt;&gt;"Serviço",0,IF(OR(AND(AUTOEVENTO="Manual",$M641=1),$M641&gt;(ROW(PLE.lastrow)-ROW(PLE.firstrow))),0,IF(OFFSET(PLE!$G$14,$M641,BZ$13)="",10^12,OFFSET(PLE!$G$14,$M641,BZ$13))))</f>
        <v>1000000000000</v>
      </c>
      <c r="CA641" s="182">
        <f ca="1">IF($D641&lt;&gt;"Serviço",0,IF(OR(AND(AUTOEVENTO="Manual",$M641=1),$M641&gt;(ROW(PLE.lastrow)-ROW(PLE.firstrow))),0,IF(OFFSET(PLE!$G$14,$M641,CA$13)="",10^12,OFFSET(PLE!$G$14,$M641,CA$13))))</f>
        <v>1000000000000</v>
      </c>
      <c r="CB641" s="182">
        <f ca="1">IF($D641&lt;&gt;"Serviço",0,IF(OR(AND(AUTOEVENTO="Manual",$M641=1),$M641&gt;(ROW(PLE.lastrow)-ROW(PLE.firstrow))),0,IF(OFFSET(PLE!$G$14,$M641,CB$13)="",10^12,OFFSET(PLE!$G$14,$M641,CB$13))))</f>
        <v>1000000000000</v>
      </c>
      <c r="CC641" s="182">
        <f ca="1">IF($D641&lt;&gt;"Serviço",0,IF(OR(AND(AUTOEVENTO="Manual",$M641=1),$M641&gt;(ROW(PLE.lastrow)-ROW(PLE.firstrow))),0,IF(OFFSET(PLE!$G$14,$M641,CC$13)="",10^12,OFFSET(PLE!$G$14,$M641,CC$13))))</f>
        <v>1000000000000</v>
      </c>
      <c r="CD641" s="182">
        <f ca="1">IF($D641&lt;&gt;"Serviço",0,IF(OR(AND(AUTOEVENTO="Manual",$M641=1),$M641&gt;(ROW(PLE.lastrow)-ROW(PLE.firstrow))),0,IF(OFFSET(PLE!$G$14,$M641,CD$13)="",10^12,OFFSET(PLE!$G$14,$M641,CD$13))))</f>
        <v>1000000000000</v>
      </c>
      <c r="CE641" s="182">
        <f ca="1">IF($D641&lt;&gt;"Serviço",0,IF(OR(AND(AUTOEVENTO="Manual",$M641=1),$M641&gt;(ROW(PLE.lastrow)-ROW(PLE.firstrow))),0,IF(OFFSET(PLE!$G$14,$M641,CE$13)="",10^12,OFFSET(PLE!$G$14,$M641,CE$13))))</f>
        <v>1000000000000</v>
      </c>
      <c r="CF641" s="182">
        <f ca="1">IF($D641&lt;&gt;"Serviço",0,IF(OR(AND(AUTOEVENTO="Manual",$M641=1),$M641&gt;(ROW(PLE.lastrow)-ROW(PLE.firstrow))),0,IF(OFFSET(PLE!$G$14,$M641,CF$13)="",10^12,OFFSET(PLE!$G$14,$M641,CF$13))))</f>
        <v>1000000000000</v>
      </c>
      <c r="CG641" s="182">
        <f ca="1">IF($D641&lt;&gt;"Serviço",0,IF(OR(AND(AUTOEVENTO="Manual",$M641=1),$M641&gt;(ROW(PLE.lastrow)-ROW(PLE.firstrow))),0,IF(OFFSET(PLE!$G$14,$M641,CG$13)="",10^12,OFFSET(PLE!$G$14,$M641,CG$13))))</f>
        <v>1000000000000</v>
      </c>
      <c r="CH641" s="182">
        <f ca="1">IF($D641&lt;&gt;"Serviço",0,IF(OR(AND(AUTOEVENTO="Manual",$M641=1),$M641&gt;(ROW(PLE.lastrow)-ROW(PLE.firstrow))),0,IF(OFFSET(PLE!$G$14,$M641,CH$13)="",10^12,OFFSET(PLE!$G$14,$M641,CH$13))))</f>
        <v>1000000000000</v>
      </c>
      <c r="CI641" s="182">
        <f ca="1">IF($D641&lt;&gt;"Serviço",0,IF(OR(AND(AUTOEVENTO="Manual",$M641=1),$M641&gt;(ROW(PLE.lastrow)-ROW(PLE.firstrow))),0,IF(OFFSET(PLE!$G$14,$M641,CI$13)="",10^12,OFFSET(PLE!$G$14,$M641,CI$13))))</f>
        <v>1000000000000</v>
      </c>
      <c r="CJ641" s="182">
        <f ca="1">IF($D641&lt;&gt;"Serviço",0,IF(OR(AND(AUTOEVENTO="Manual",$M641=1),$M641&gt;(ROW(PLE.lastrow)-ROW(PLE.firstrow))),0,IF(OFFSET(PLE!$G$14,$M641,CJ$13)="",10^12,OFFSET(PLE!$G$14,$M641,CJ$13))))</f>
        <v>1000000000000</v>
      </c>
      <c r="CK641" s="182">
        <f ca="1">IF($D641&lt;&gt;"Serviço",0,IF(OR(AND(AUTOEVENTO="Manual",$M641=1),$M641&gt;(ROW(PLE.lastrow)-ROW(PLE.firstrow))),0,IF(OFFSET(PLE!$G$14,$M641,CK$13)="",10^12,OFFSET(PLE!$G$14,$M641,CK$13))))</f>
        <v>1000000000000</v>
      </c>
      <c r="CL641" s="182">
        <f ca="1">IF($D641&lt;&gt;"Serviço",0,IF(OR(AND(AUTOEVENTO="Manual",$M641=1),$M641&gt;(ROW(PLE.lastrow)-ROW(PLE.firstrow))),0,IF(OFFSET(PLE!$G$14,$M641,CL$13)="",10^12,OFFSET(PLE!$G$14,$M641,CL$13))))</f>
        <v>1000000000000</v>
      </c>
      <c r="CM641" s="182">
        <f ca="1">IF($D641&lt;&gt;"Serviço",0,IF(OR(AND(AUTOEVENTO="Manual",$M641=1),$M641&gt;(ROW(PLE.lastrow)-ROW(PLE.firstrow))),0,IF(OFFSET(PLE!$G$14,$M641,CM$13)="",10^12,OFFSET(PLE!$G$14,$M641,CM$13))))</f>
        <v>1000000000000</v>
      </c>
    </row>
    <row r="642" spans="1:91" ht="38.25" x14ac:dyDescent="0.2">
      <c r="A642" s="7" t="str">
        <f t="shared" ca="1" si="18"/>
        <v>625</v>
      </c>
      <c r="B642" s="7" t="str">
        <f ca="1">OFFSET(ORÇAMENTO!C$15,ROW(B642)-ROW(B$15),0)</f>
        <v>S</v>
      </c>
      <c r="C642" s="7" t="str">
        <f ca="1">OFFSET(ORÇAMENTO!L$15,ROW(C642)-ROW(C$15),0)</f>
        <v/>
      </c>
      <c r="D642" s="118" t="str">
        <f ca="1">OFFSET(ORÇAMENTO!N$15,ROW(D642)-ROW(D$15),0)</f>
        <v>Serviço</v>
      </c>
      <c r="E642" s="119" t="str">
        <f ca="1">OFFSET(ORÇAMENTO!O$15,ROW(E642)-ROW(E$15),0)</f>
        <v>-</v>
      </c>
      <c r="F642" s="172" t="str">
        <f ca="1">OFFSET(ORÇAMENTO!R$15,ROW(F642)-ROW(F$15),0)</f>
        <v>(abra o arquivo 'Referência 06-2024.xlsm)</v>
      </c>
      <c r="G642" s="173" t="str">
        <f ca="1">IF($D642&lt;&gt;"Serviço","",OFFSET(ORÇAMENTO!S$15,ROW(G642)-ROW(G$15),0))</f>
        <v>-</v>
      </c>
      <c r="H642" s="124">
        <f ca="1">IF($D642&lt;&gt;"Serviço",0,IF(ACOMPANHAMENTO="BM",ROUND(OFFSET(ORÇAMENTO!AJ$15,ROW(H642)-ROW(H$15),0),15-13*ORÇAMENTO!$AF$7),SUMPRODUCT(($Q$12:$AI$12&lt;&gt;"")*ROUND($Q642:$AI642,15-13*ORÇAMENTO!$AF$7))))</f>
        <v>14</v>
      </c>
      <c r="I642" s="561" t="s">
        <v>1107</v>
      </c>
      <c r="K642" s="174"/>
      <c r="L642" s="175" t="s">
        <v>255</v>
      </c>
      <c r="M642" s="176">
        <f ca="1">IF($D642&lt;&gt;"Serviço","",IF(AUTOEVENTO="manual",$A642,IF(ISERROR(MATCH($A642,$A$15:OFFSET($A642,-1,0),0)),MAX($M$15:OFFSET(M642,-1,0))+1,INDEX($M$15:OFFSET(M642,-1,0),MATCH($A642,$A$15:OFFSET($A642,-1,0),0)))))</f>
        <v>68</v>
      </c>
      <c r="N642" s="177" t="str">
        <f ca="1">IF($D642&lt;&gt;"Serviço","",IF(AUTOEVENTO="Manual",IF($A642=0,"&lt;-- defina o número do agrupador",OFFSET(EVENTOS!$D$14,$A642,0)),OFFSET($F$15,$A642,0)))</f>
        <v>INSTALAÇÕES DE CABEAMENTO ESTRUTURADO - DISPOSITIVOS</v>
      </c>
      <c r="O642" s="178"/>
      <c r="Q642" s="178">
        <v>14</v>
      </c>
      <c r="R642" s="179"/>
      <c r="S642" s="179"/>
      <c r="T642" s="179"/>
      <c r="U642" s="179"/>
      <c r="V642" s="179"/>
      <c r="W642" s="179"/>
      <c r="X642" s="179"/>
      <c r="Y642" s="179"/>
      <c r="Z642" s="180"/>
      <c r="AA642" s="179"/>
      <c r="AB642" s="179"/>
      <c r="AC642" s="179"/>
      <c r="AD642" s="179"/>
      <c r="AE642" s="179"/>
      <c r="AF642" s="179"/>
      <c r="AG642" s="179"/>
      <c r="AH642" s="180"/>
      <c r="AJ642" s="544">
        <f ca="1">IF(AND($D642="Serviço",AJ$12&lt;&gt;0,$H642&gt;0,OR(AUTOEVENTO&lt;&gt;"manual",$M642&lt;&gt;1)),
IF(Import.TipoArredondamento&lt;&gt;"TransfereGOV",
ROUND(OFFSET($P642,0,AJ$13),15-13*ORÇAMENTO!$AF$7)/$H642*OFFSET(ORÇAMENTO!$X$15,ROW(AJ642)-ROW(AJ$15),0),
ROUND(ROUND(OFFSET($P642,0,AJ$13),15-13*ORÇAMENTO!$AF$7)*OFFSET(ORÇAMENTO!$W$15,ROW(AJ642)-ROW(AJ$15),0),15-13*ORÇAMENTO!$AF$11)),0)</f>
        <v>0</v>
      </c>
      <c r="AK642" s="545">
        <f ca="1">IF(AND($D642="Serviço",AK$12&lt;&gt;0,$H642&gt;0,OR(AUTOEVENTO&lt;&gt;"manual",$M642&lt;&gt;1)),
IF(Import.TipoArredondamento&lt;&gt;"TransfereGOV",
ROUND(OFFSET($P642,0,AK$13),15-13*ORÇAMENTO!$AF$7)/$H642*OFFSET(ORÇAMENTO!$X$15,ROW(AK642)-ROW(AK$15),0),
ROUND(ROUND(OFFSET($P642,0,AK$13),15-13*ORÇAMENTO!$AF$7)*OFFSET(ORÇAMENTO!$W$15,ROW(AK642)-ROW(AK$15),0),15-13*ORÇAMENTO!$AF$11)),0)</f>
        <v>0</v>
      </c>
      <c r="AL642" s="545">
        <f ca="1">IF(AND($D642="Serviço",AL$12&lt;&gt;0,$H642&gt;0,OR(AUTOEVENTO&lt;&gt;"manual",$M642&lt;&gt;1)),
IF(Import.TipoArredondamento&lt;&gt;"TransfereGOV",
ROUND(OFFSET($P642,0,AL$13),15-13*ORÇAMENTO!$AF$7)/$H642*OFFSET(ORÇAMENTO!$X$15,ROW(AL642)-ROW(AL$15),0),
ROUND(ROUND(OFFSET($P642,0,AL$13),15-13*ORÇAMENTO!$AF$7)*OFFSET(ORÇAMENTO!$W$15,ROW(AL642)-ROW(AL$15),0),15-13*ORÇAMENTO!$AF$11)),0)</f>
        <v>0</v>
      </c>
      <c r="AM642" s="545">
        <f ca="1">IF(AND($D642="Serviço",AM$12&lt;&gt;0,$H642&gt;0,OR(AUTOEVENTO&lt;&gt;"manual",$M642&lt;&gt;1)),
IF(Import.TipoArredondamento&lt;&gt;"TransfereGOV",
ROUND(OFFSET($P642,0,AM$13),15-13*ORÇAMENTO!$AF$7)/$H642*OFFSET(ORÇAMENTO!$X$15,ROW(AM642)-ROW(AM$15),0),
ROUND(ROUND(OFFSET($P642,0,AM$13),15-13*ORÇAMENTO!$AF$7)*OFFSET(ORÇAMENTO!$W$15,ROW(AM642)-ROW(AM$15),0),15-13*ORÇAMENTO!$AF$11)),0)</f>
        <v>0</v>
      </c>
      <c r="AN642" s="545">
        <f ca="1">IF(AND($D642="Serviço",AN$12&lt;&gt;0,$H642&gt;0,OR(AUTOEVENTO&lt;&gt;"manual",$M642&lt;&gt;1)),
IF(Import.TipoArredondamento&lt;&gt;"TransfereGOV",
ROUND(OFFSET($P642,0,AN$13),15-13*ORÇAMENTO!$AF$7)/$H642*OFFSET(ORÇAMENTO!$X$15,ROW(AN642)-ROW(AN$15),0),
ROUND(ROUND(OFFSET($P642,0,AN$13),15-13*ORÇAMENTO!$AF$7)*OFFSET(ORÇAMENTO!$W$15,ROW(AN642)-ROW(AN$15),0),15-13*ORÇAMENTO!$AF$11)),0)</f>
        <v>0</v>
      </c>
      <c r="AO642" s="545">
        <f ca="1">IF(AND($D642="Serviço",AO$12&lt;&gt;0,$H642&gt;0,OR(AUTOEVENTO&lt;&gt;"manual",$M642&lt;&gt;1)),
IF(Import.TipoArredondamento&lt;&gt;"TransfereGOV",
ROUND(OFFSET($P642,0,AO$13),15-13*ORÇAMENTO!$AF$7)/$H642*OFFSET(ORÇAMENTO!$X$15,ROW(AO642)-ROW(AO$15),0),
ROUND(ROUND(OFFSET($P642,0,AO$13),15-13*ORÇAMENTO!$AF$7)*OFFSET(ORÇAMENTO!$W$15,ROW(AO642)-ROW(AO$15),0),15-13*ORÇAMENTO!$AF$11)),0)</f>
        <v>0</v>
      </c>
      <c r="AP642" s="545">
        <f ca="1">IF(AND($D642="Serviço",AP$12&lt;&gt;0,$H642&gt;0,OR(AUTOEVENTO&lt;&gt;"manual",$M642&lt;&gt;1)),
IF(Import.TipoArredondamento&lt;&gt;"TransfereGOV",
ROUND(OFFSET($P642,0,AP$13),15-13*ORÇAMENTO!$AF$7)/$H642*OFFSET(ORÇAMENTO!$X$15,ROW(AP642)-ROW(AP$15),0),
ROUND(ROUND(OFFSET($P642,0,AP$13),15-13*ORÇAMENTO!$AF$7)*OFFSET(ORÇAMENTO!$W$15,ROW(AP642)-ROW(AP$15),0),15-13*ORÇAMENTO!$AF$11)),0)</f>
        <v>0</v>
      </c>
      <c r="AQ642" s="545">
        <f ca="1">IF(AND($D642="Serviço",AQ$12&lt;&gt;0,$H642&gt;0,OR(AUTOEVENTO&lt;&gt;"manual",$M642&lt;&gt;1)),
IF(Import.TipoArredondamento&lt;&gt;"TransfereGOV",
ROUND(OFFSET($P642,0,AQ$13),15-13*ORÇAMENTO!$AF$7)/$H642*OFFSET(ORÇAMENTO!$X$15,ROW(AQ642)-ROW(AQ$15),0),
ROUND(ROUND(OFFSET($P642,0,AQ$13),15-13*ORÇAMENTO!$AF$7)*OFFSET(ORÇAMENTO!$W$15,ROW(AQ642)-ROW(AQ$15),0),15-13*ORÇAMENTO!$AF$11)),0)</f>
        <v>0</v>
      </c>
      <c r="AR642" s="545">
        <f ca="1">IF(AND($D642="Serviço",AR$12&lt;&gt;0,$H642&gt;0,OR(AUTOEVENTO&lt;&gt;"manual",$M642&lt;&gt;1)),
IF(Import.TipoArredondamento&lt;&gt;"TransfereGOV",
ROUND(OFFSET($P642,0,AR$13),15-13*ORÇAMENTO!$AF$7)/$H642*OFFSET(ORÇAMENTO!$X$15,ROW(AR642)-ROW(AR$15),0),
ROUND(ROUND(OFFSET($P642,0,AR$13),15-13*ORÇAMENTO!$AF$7)*OFFSET(ORÇAMENTO!$W$15,ROW(AR642)-ROW(AR$15),0),15-13*ORÇAMENTO!$AF$11)),0)</f>
        <v>0</v>
      </c>
      <c r="AS642" s="546">
        <f ca="1">IF(AND($D642="Serviço",AS$12&lt;&gt;0,$H642&gt;0,OR(AUTOEVENTO&lt;&gt;"manual",$M642&lt;&gt;1)),
IF(Import.TipoArredondamento&lt;&gt;"TransfereGOV",
ROUND(OFFSET($P642,0,AS$13),15-13*ORÇAMENTO!$AF$7)/$H642*OFFSET(ORÇAMENTO!$X$15,ROW(AS642)-ROW(AS$15),0),
ROUND(ROUND(OFFSET($P642,0,AS$13),15-13*ORÇAMENTO!$AF$7)*OFFSET(ORÇAMENTO!$W$15,ROW(AS642)-ROW(AS$15),0),15-13*ORÇAMENTO!$AF$11)),0)</f>
        <v>0</v>
      </c>
      <c r="AT642" s="545">
        <f ca="1">IF(AND($D642="Serviço",AT$12&lt;&gt;0,$H642&gt;0,OR(AUTOEVENTO&lt;&gt;"manual",$M642&lt;&gt;1)),
IF(Import.TipoArredondamento&lt;&gt;"TransfereGOV",
ROUND(OFFSET($P642,0,AT$13),15-13*ORÇAMENTO!$AF$7)/$H642*OFFSET(ORÇAMENTO!$X$15,ROW(AT642)-ROW(AT$15),0),
ROUND(ROUND(OFFSET($P642,0,AT$13),15-13*ORÇAMENTO!$AF$7)*OFFSET(ORÇAMENTO!$W$15,ROW(AT642)-ROW(AT$15),0),15-13*ORÇAMENTO!$AF$11)),0)</f>
        <v>0</v>
      </c>
      <c r="AU642" s="545">
        <f ca="1">IF(AND($D642="Serviço",AU$12&lt;&gt;0,$H642&gt;0,OR(AUTOEVENTO&lt;&gt;"manual",$M642&lt;&gt;1)),
IF(Import.TipoArredondamento&lt;&gt;"TransfereGOV",
ROUND(OFFSET($P642,0,AU$13),15-13*ORÇAMENTO!$AF$7)/$H642*OFFSET(ORÇAMENTO!$X$15,ROW(AU642)-ROW(AU$15),0),
ROUND(ROUND(OFFSET($P642,0,AU$13),15-13*ORÇAMENTO!$AF$7)*OFFSET(ORÇAMENTO!$W$15,ROW(AU642)-ROW(AU$15),0),15-13*ORÇAMENTO!$AF$11)),0)</f>
        <v>0</v>
      </c>
      <c r="AV642" s="545">
        <f ca="1">IF(AND($D642="Serviço",AV$12&lt;&gt;0,$H642&gt;0,OR(AUTOEVENTO&lt;&gt;"manual",$M642&lt;&gt;1)),
IF(Import.TipoArredondamento&lt;&gt;"TransfereGOV",
ROUND(OFFSET($P642,0,AV$13),15-13*ORÇAMENTO!$AF$7)/$H642*OFFSET(ORÇAMENTO!$X$15,ROW(AV642)-ROW(AV$15),0),
ROUND(ROUND(OFFSET($P642,0,AV$13),15-13*ORÇAMENTO!$AF$7)*OFFSET(ORÇAMENTO!$W$15,ROW(AV642)-ROW(AV$15),0),15-13*ORÇAMENTO!$AF$11)),0)</f>
        <v>0</v>
      </c>
      <c r="AW642" s="545">
        <f ca="1">IF(AND($D642="Serviço",AW$12&lt;&gt;0,$H642&gt;0,OR(AUTOEVENTO&lt;&gt;"manual",$M642&lt;&gt;1)),
IF(Import.TipoArredondamento&lt;&gt;"TransfereGOV",
ROUND(OFFSET($P642,0,AW$13),15-13*ORÇAMENTO!$AF$7)/$H642*OFFSET(ORÇAMENTO!$X$15,ROW(AW642)-ROW(AW$15),0),
ROUND(ROUND(OFFSET($P642,0,AW$13),15-13*ORÇAMENTO!$AF$7)*OFFSET(ORÇAMENTO!$W$15,ROW(AW642)-ROW(AW$15),0),15-13*ORÇAMENTO!$AF$11)),0)</f>
        <v>0</v>
      </c>
      <c r="AX642" s="545">
        <f ca="1">IF(AND($D642="Serviço",AX$12&lt;&gt;0,$H642&gt;0,OR(AUTOEVENTO&lt;&gt;"manual",$M642&lt;&gt;1)),
IF(Import.TipoArredondamento&lt;&gt;"TransfereGOV",
ROUND(OFFSET($P642,0,AX$13),15-13*ORÇAMENTO!$AF$7)/$H642*OFFSET(ORÇAMENTO!$X$15,ROW(AX642)-ROW(AX$15),0),
ROUND(ROUND(OFFSET($P642,0,AX$13),15-13*ORÇAMENTO!$AF$7)*OFFSET(ORÇAMENTO!$W$15,ROW(AX642)-ROW(AX$15),0),15-13*ORÇAMENTO!$AF$11)),0)</f>
        <v>0</v>
      </c>
      <c r="AY642" s="545">
        <f ca="1">IF(AND($D642="Serviço",AY$12&lt;&gt;0,$H642&gt;0,OR(AUTOEVENTO&lt;&gt;"manual",$M642&lt;&gt;1)),
IF(Import.TipoArredondamento&lt;&gt;"TransfereGOV",
ROUND(OFFSET($P642,0,AY$13),15-13*ORÇAMENTO!$AF$7)/$H642*OFFSET(ORÇAMENTO!$X$15,ROW(AY642)-ROW(AY$15),0),
ROUND(ROUND(OFFSET($P642,0,AY$13),15-13*ORÇAMENTO!$AF$7)*OFFSET(ORÇAMENTO!$W$15,ROW(AY642)-ROW(AY$15),0),15-13*ORÇAMENTO!$AF$11)),0)</f>
        <v>0</v>
      </c>
      <c r="AZ642" s="545">
        <f ca="1">IF(AND($D642="Serviço",AZ$12&lt;&gt;0,$H642&gt;0,OR(AUTOEVENTO&lt;&gt;"manual",$M642&lt;&gt;1)),
IF(Import.TipoArredondamento&lt;&gt;"TransfereGOV",
ROUND(OFFSET($P642,0,AZ$13),15-13*ORÇAMENTO!$AF$7)/$H642*OFFSET(ORÇAMENTO!$X$15,ROW(AZ642)-ROW(AZ$15),0),
ROUND(ROUND(OFFSET($P642,0,AZ$13),15-13*ORÇAMENTO!$AF$7)*OFFSET(ORÇAMENTO!$W$15,ROW(AZ642)-ROW(AZ$15),0),15-13*ORÇAMENTO!$AF$11)),0)</f>
        <v>0</v>
      </c>
      <c r="BA642" s="546">
        <f ca="1">IF(AND($D642="Serviço",BA$12&lt;&gt;0,$H642&gt;0,OR(AUTOEVENTO&lt;&gt;"manual",$M642&lt;&gt;1)),
IF(Import.TipoArredondamento&lt;&gt;"TransfereGOV",
ROUND(OFFSET($P642,0,BA$13),15-13*ORÇAMENTO!$AF$7)/$H642*OFFSET(ORÇAMENTO!$X$15,ROW(BA642)-ROW(BA$15),0),
ROUND(ROUND(OFFSET($P642,0,BA$13),15-13*ORÇAMENTO!$AF$7)*OFFSET(ORÇAMENTO!$W$15,ROW(BA642)-ROW(BA$15),0),15-13*ORÇAMENTO!$AF$11)),0)</f>
        <v>0</v>
      </c>
      <c r="BC642" s="181">
        <f ca="1">IF($D642&lt;&gt;"Serviço",0,IF(AND(AUTOEVENTO="Manual",$M642=1),0,IF(OFFSET(CRONOPLE!$F$14,$M642,BC$13)="",10^12,OFFSET(CRONOPLE!$F$14,$M642,BC$13))))</f>
        <v>11</v>
      </c>
      <c r="BD642" s="181">
        <f ca="1">IF($D642&lt;&gt;"Serviço",0,IF(AND(AUTOEVENTO="Manual",$M642=1),0,IF(OFFSET(CRONOPLE!$F$14,$M642,BD$13)="",10^12,OFFSET(CRONOPLE!$F$14,$M642,BD$13))))</f>
        <v>1000000000000</v>
      </c>
      <c r="BE642" s="181">
        <f ca="1">IF($D642&lt;&gt;"Serviço",0,IF(AND(AUTOEVENTO="Manual",$M642=1),0,IF(OFFSET(CRONOPLE!$F$14,$M642,BE$13)="",10^12,OFFSET(CRONOPLE!$F$14,$M642,BE$13))))</f>
        <v>1000000000000</v>
      </c>
      <c r="BF642" s="181">
        <f ca="1">IF($D642&lt;&gt;"Serviço",0,IF(AND(AUTOEVENTO="Manual",$M642=1),0,IF(OFFSET(CRONOPLE!$F$14,$M642,BF$13)="",10^12,OFFSET(CRONOPLE!$F$14,$M642,BF$13))))</f>
        <v>1000000000000</v>
      </c>
      <c r="BG642" s="181">
        <f ca="1">IF($D642&lt;&gt;"Serviço",0,IF(AND(AUTOEVENTO="Manual",$M642=1),0,IF(OFFSET(CRONOPLE!$F$14,$M642,BG$13)="",10^12,OFFSET(CRONOPLE!$F$14,$M642,BG$13))))</f>
        <v>1000000000000</v>
      </c>
      <c r="BH642" s="181">
        <f ca="1">IF($D642&lt;&gt;"Serviço",0,IF(AND(AUTOEVENTO="Manual",$M642=1),0,IF(OFFSET(CRONOPLE!$F$14,$M642,BH$13)="",10^12,OFFSET(CRONOPLE!$F$14,$M642,BH$13))))</f>
        <v>1000000000000</v>
      </c>
      <c r="BI642" s="181">
        <f ca="1">IF($D642&lt;&gt;"Serviço",0,IF(AND(AUTOEVENTO="Manual",$M642=1),0,IF(OFFSET(CRONOPLE!$F$14,$M642,BI$13)="",10^12,OFFSET(CRONOPLE!$F$14,$M642,BI$13))))</f>
        <v>1000000000000</v>
      </c>
      <c r="BJ642" s="181">
        <f ca="1">IF($D642&lt;&gt;"Serviço",0,IF(AND(AUTOEVENTO="Manual",$M642=1),0,IF(OFFSET(CRONOPLE!$F$14,$M642,BJ$13)="",10^12,OFFSET(CRONOPLE!$F$14,$M642,BJ$13))))</f>
        <v>1000000000000</v>
      </c>
      <c r="BK642" s="181">
        <f ca="1">IF($D642&lt;&gt;"Serviço",0,IF(AND(AUTOEVENTO="Manual",$M642=1),0,IF(OFFSET(CRONOPLE!$F$14,$M642,BK$13)="",10^12,OFFSET(CRONOPLE!$F$14,$M642,BK$13))))</f>
        <v>1000000000000</v>
      </c>
      <c r="BL642" s="181">
        <f ca="1">IF($D642&lt;&gt;"Serviço",0,IF(AND(AUTOEVENTO="Manual",$M642=1),0,IF(OFFSET(CRONOPLE!$F$14,$M642,BL$13)="",10^12,OFFSET(CRONOPLE!$F$14,$M642,BL$13))))</f>
        <v>1000000000000</v>
      </c>
      <c r="BM642" s="181">
        <f ca="1">IF($D642&lt;&gt;"Serviço",0,IF(AND(AUTOEVENTO="Manual",$M642=1),0,IF(OFFSET(CRONOPLE!$F$14,$M642,BM$13)="",10^12,OFFSET(CRONOPLE!$F$14,$M642,BM$13))))</f>
        <v>1000000000000</v>
      </c>
      <c r="BN642" s="181">
        <f ca="1">IF($D642&lt;&gt;"Serviço",0,IF(AND(AUTOEVENTO="Manual",$M642=1),0,IF(OFFSET(CRONOPLE!$F$14,$M642,BN$13)="",10^12,OFFSET(CRONOPLE!$F$14,$M642,BN$13))))</f>
        <v>1000000000000</v>
      </c>
      <c r="BO642" s="181">
        <f ca="1">IF($D642&lt;&gt;"Serviço",0,IF(AND(AUTOEVENTO="Manual",$M642=1),0,IF(OFFSET(CRONOPLE!$F$14,$M642,BO$13)="",10^12,OFFSET(CRONOPLE!$F$14,$M642,BO$13))))</f>
        <v>1000000000000</v>
      </c>
      <c r="BP642" s="181">
        <f ca="1">IF($D642&lt;&gt;"Serviço",0,IF(AND(AUTOEVENTO="Manual",$M642=1),0,IF(OFFSET(CRONOPLE!$F$14,$M642,BP$13)="",10^12,OFFSET(CRONOPLE!$F$14,$M642,BP$13))))</f>
        <v>1000000000000</v>
      </c>
      <c r="BQ642" s="181">
        <f ca="1">IF($D642&lt;&gt;"Serviço",0,IF(AND(AUTOEVENTO="Manual",$M642=1),0,IF(OFFSET(CRONOPLE!$F$14,$M642,BQ$13)="",10^12,OFFSET(CRONOPLE!$F$14,$M642,BQ$13))))</f>
        <v>1000000000000</v>
      </c>
      <c r="BR642" s="181">
        <f ca="1">IF($D642&lt;&gt;"Serviço",0,IF(AND(AUTOEVENTO="Manual",$M642=1),0,IF(OFFSET(CRONOPLE!$F$14,$M642,BR$13)="",10^12,OFFSET(CRONOPLE!$F$14,$M642,BR$13))))</f>
        <v>1000000000000</v>
      </c>
      <c r="BS642" s="181">
        <f ca="1">IF($D642&lt;&gt;"Serviço",0,IF(AND(AUTOEVENTO="Manual",$M642=1),0,IF(OFFSET(CRONOPLE!$F$14,$M642,BS$13)="",10^12,OFFSET(CRONOPLE!$F$14,$M642,BS$13))))</f>
        <v>1000000000000</v>
      </c>
      <c r="BT642" s="181">
        <f ca="1">IF($D642&lt;&gt;"Serviço",0,IF(AND(AUTOEVENTO="Manual",$M642=1),0,IF(OFFSET(CRONOPLE!$F$14,$M642,BT$13)="",10^12,OFFSET(CRONOPLE!$F$14,$M642,BT$13))))</f>
        <v>1000000000000</v>
      </c>
      <c r="BV642" s="182">
        <f ca="1">IF($D642&lt;&gt;"Serviço",0,IF(OR(AND(AUTOEVENTO="Manual",$M642=1),$M642&gt;(ROW(PLE.lastrow)-ROW(PLE.firstrow))),0,IF(OFFSET(PLE!$G$14,$M642,BV$13)="",10^12,OFFSET(PLE!$G$14,$M642,BV$13))))</f>
        <v>1000000000000</v>
      </c>
      <c r="BW642" s="182">
        <f ca="1">IF($D642&lt;&gt;"Serviço",0,IF(OR(AND(AUTOEVENTO="Manual",$M642=1),$M642&gt;(ROW(PLE.lastrow)-ROW(PLE.firstrow))),0,IF(OFFSET(PLE!$G$14,$M642,BW$13)="",10^12,OFFSET(PLE!$G$14,$M642,BW$13))))</f>
        <v>1000000000000</v>
      </c>
      <c r="BX642" s="182">
        <f ca="1">IF($D642&lt;&gt;"Serviço",0,IF(OR(AND(AUTOEVENTO="Manual",$M642=1),$M642&gt;(ROW(PLE.lastrow)-ROW(PLE.firstrow))),0,IF(OFFSET(PLE!$G$14,$M642,BX$13)="",10^12,OFFSET(PLE!$G$14,$M642,BX$13))))</f>
        <v>1000000000000</v>
      </c>
      <c r="BY642" s="182">
        <f ca="1">IF($D642&lt;&gt;"Serviço",0,IF(OR(AND(AUTOEVENTO="Manual",$M642=1),$M642&gt;(ROW(PLE.lastrow)-ROW(PLE.firstrow))),0,IF(OFFSET(PLE!$G$14,$M642,BY$13)="",10^12,OFFSET(PLE!$G$14,$M642,BY$13))))</f>
        <v>1000000000000</v>
      </c>
      <c r="BZ642" s="182">
        <f ca="1">IF($D642&lt;&gt;"Serviço",0,IF(OR(AND(AUTOEVENTO="Manual",$M642=1),$M642&gt;(ROW(PLE.lastrow)-ROW(PLE.firstrow))),0,IF(OFFSET(PLE!$G$14,$M642,BZ$13)="",10^12,OFFSET(PLE!$G$14,$M642,BZ$13))))</f>
        <v>1000000000000</v>
      </c>
      <c r="CA642" s="182">
        <f ca="1">IF($D642&lt;&gt;"Serviço",0,IF(OR(AND(AUTOEVENTO="Manual",$M642=1),$M642&gt;(ROW(PLE.lastrow)-ROW(PLE.firstrow))),0,IF(OFFSET(PLE!$G$14,$M642,CA$13)="",10^12,OFFSET(PLE!$G$14,$M642,CA$13))))</f>
        <v>1000000000000</v>
      </c>
      <c r="CB642" s="182">
        <f ca="1">IF($D642&lt;&gt;"Serviço",0,IF(OR(AND(AUTOEVENTO="Manual",$M642=1),$M642&gt;(ROW(PLE.lastrow)-ROW(PLE.firstrow))),0,IF(OFFSET(PLE!$G$14,$M642,CB$13)="",10^12,OFFSET(PLE!$G$14,$M642,CB$13))))</f>
        <v>1000000000000</v>
      </c>
      <c r="CC642" s="182">
        <f ca="1">IF($D642&lt;&gt;"Serviço",0,IF(OR(AND(AUTOEVENTO="Manual",$M642=1),$M642&gt;(ROW(PLE.lastrow)-ROW(PLE.firstrow))),0,IF(OFFSET(PLE!$G$14,$M642,CC$13)="",10^12,OFFSET(PLE!$G$14,$M642,CC$13))))</f>
        <v>1000000000000</v>
      </c>
      <c r="CD642" s="182">
        <f ca="1">IF($D642&lt;&gt;"Serviço",0,IF(OR(AND(AUTOEVENTO="Manual",$M642=1),$M642&gt;(ROW(PLE.lastrow)-ROW(PLE.firstrow))),0,IF(OFFSET(PLE!$G$14,$M642,CD$13)="",10^12,OFFSET(PLE!$G$14,$M642,CD$13))))</f>
        <v>1000000000000</v>
      </c>
      <c r="CE642" s="182">
        <f ca="1">IF($D642&lt;&gt;"Serviço",0,IF(OR(AND(AUTOEVENTO="Manual",$M642=1),$M642&gt;(ROW(PLE.lastrow)-ROW(PLE.firstrow))),0,IF(OFFSET(PLE!$G$14,$M642,CE$13)="",10^12,OFFSET(PLE!$G$14,$M642,CE$13))))</f>
        <v>1000000000000</v>
      </c>
      <c r="CF642" s="182">
        <f ca="1">IF($D642&lt;&gt;"Serviço",0,IF(OR(AND(AUTOEVENTO="Manual",$M642=1),$M642&gt;(ROW(PLE.lastrow)-ROW(PLE.firstrow))),0,IF(OFFSET(PLE!$G$14,$M642,CF$13)="",10^12,OFFSET(PLE!$G$14,$M642,CF$13))))</f>
        <v>1000000000000</v>
      </c>
      <c r="CG642" s="182">
        <f ca="1">IF($D642&lt;&gt;"Serviço",0,IF(OR(AND(AUTOEVENTO="Manual",$M642=1),$M642&gt;(ROW(PLE.lastrow)-ROW(PLE.firstrow))),0,IF(OFFSET(PLE!$G$14,$M642,CG$13)="",10^12,OFFSET(PLE!$G$14,$M642,CG$13))))</f>
        <v>1000000000000</v>
      </c>
      <c r="CH642" s="182">
        <f ca="1">IF($D642&lt;&gt;"Serviço",0,IF(OR(AND(AUTOEVENTO="Manual",$M642=1),$M642&gt;(ROW(PLE.lastrow)-ROW(PLE.firstrow))),0,IF(OFFSET(PLE!$G$14,$M642,CH$13)="",10^12,OFFSET(PLE!$G$14,$M642,CH$13))))</f>
        <v>1000000000000</v>
      </c>
      <c r="CI642" s="182">
        <f ca="1">IF($D642&lt;&gt;"Serviço",0,IF(OR(AND(AUTOEVENTO="Manual",$M642=1),$M642&gt;(ROW(PLE.lastrow)-ROW(PLE.firstrow))),0,IF(OFFSET(PLE!$G$14,$M642,CI$13)="",10^12,OFFSET(PLE!$G$14,$M642,CI$13))))</f>
        <v>1000000000000</v>
      </c>
      <c r="CJ642" s="182">
        <f ca="1">IF($D642&lt;&gt;"Serviço",0,IF(OR(AND(AUTOEVENTO="Manual",$M642=1),$M642&gt;(ROW(PLE.lastrow)-ROW(PLE.firstrow))),0,IF(OFFSET(PLE!$G$14,$M642,CJ$13)="",10^12,OFFSET(PLE!$G$14,$M642,CJ$13))))</f>
        <v>1000000000000</v>
      </c>
      <c r="CK642" s="182">
        <f ca="1">IF($D642&lt;&gt;"Serviço",0,IF(OR(AND(AUTOEVENTO="Manual",$M642=1),$M642&gt;(ROW(PLE.lastrow)-ROW(PLE.firstrow))),0,IF(OFFSET(PLE!$G$14,$M642,CK$13)="",10^12,OFFSET(PLE!$G$14,$M642,CK$13))))</f>
        <v>1000000000000</v>
      </c>
      <c r="CL642" s="182">
        <f ca="1">IF($D642&lt;&gt;"Serviço",0,IF(OR(AND(AUTOEVENTO="Manual",$M642=1),$M642&gt;(ROW(PLE.lastrow)-ROW(PLE.firstrow))),0,IF(OFFSET(PLE!$G$14,$M642,CL$13)="",10^12,OFFSET(PLE!$G$14,$M642,CL$13))))</f>
        <v>1000000000000</v>
      </c>
      <c r="CM642" s="182">
        <f ca="1">IF($D642&lt;&gt;"Serviço",0,IF(OR(AND(AUTOEVENTO="Manual",$M642=1),$M642&gt;(ROW(PLE.lastrow)-ROW(PLE.firstrow))),0,IF(OFFSET(PLE!$G$14,$M642,CM$13)="",10^12,OFFSET(PLE!$G$14,$M642,CM$13))))</f>
        <v>1000000000000</v>
      </c>
    </row>
    <row r="643" spans="1:91" ht="25.5" x14ac:dyDescent="0.2">
      <c r="A643" s="7" t="str">
        <f t="shared" ca="1" si="18"/>
        <v>628.</v>
      </c>
      <c r="B643" s="7">
        <f ca="1">OFFSET(ORÇAMENTO!C$15,ROW(B643)-ROW(B$15),0)</f>
        <v>2</v>
      </c>
      <c r="C643" s="7" t="str">
        <f ca="1">OFFSET(ORÇAMENTO!L$15,ROW(C643)-ROW(C$15),0)</f>
        <v>F</v>
      </c>
      <c r="D643" s="118" t="str">
        <f ca="1">OFFSET(ORÇAMENTO!N$15,ROW(D643)-ROW(D$15),0)</f>
        <v>Nível 2</v>
      </c>
      <c r="E643" s="119" t="str">
        <f ca="1">OFFSET(ORÇAMENTO!O$15,ROW(E643)-ROW(E$15),0)</f>
        <v>1.68.</v>
      </c>
      <c r="F643" s="172" t="str">
        <f ca="1">OFFSET(ORÇAMENTO!R$15,ROW(F643)-ROW(F$15),0)</f>
        <v>INSTALAÇÕES DE CABEAMENTO ESTRUTURADO - ELETROCALHA E ELETRODUTOS</v>
      </c>
      <c r="G643" s="173" t="str">
        <f ca="1">IF($D643&lt;&gt;"Serviço","",OFFSET(ORÇAMENTO!S$15,ROW(G643)-ROW(G$15),0))</f>
        <v/>
      </c>
      <c r="H643" s="124">
        <f ca="1">IF($D643&lt;&gt;"Serviço",0,IF(ACOMPANHAMENTO="BM",ROUND(OFFSET(ORÇAMENTO!AJ$15,ROW(H643)-ROW(H$15),0),15-13*ORÇAMENTO!$AF$7),SUMPRODUCT(($Q$12:$AI$12&lt;&gt;"")*ROUND($Q643:$AI643,15-13*ORÇAMENTO!$AF$7))))</f>
        <v>0</v>
      </c>
      <c r="I643" s="561"/>
      <c r="K643" s="174"/>
      <c r="L643" s="175" t="s">
        <v>255</v>
      </c>
      <c r="M643" s="176" t="str">
        <f ca="1">IF($D643&lt;&gt;"Serviço","",IF(AUTOEVENTO="manual",$A643,IF(ISERROR(MATCH($A643,$A$15:OFFSET($A643,-1,0),0)),MAX($M$15:OFFSET(M643,-1,0))+1,INDEX($M$15:OFFSET(M643,-1,0),MATCH($A643,$A$15:OFFSET($A643,-1,0),0)))))</f>
        <v/>
      </c>
      <c r="N643" s="177" t="str">
        <f ca="1">IF($D643&lt;&gt;"Serviço","",IF(AUTOEVENTO="Manual",IF($A643=0,"&lt;-- defina o número do agrupador",OFFSET(EVENTOS!$D$14,$A643,0)),OFFSET($F$15,$A643,0)))</f>
        <v/>
      </c>
      <c r="O643" s="178"/>
      <c r="Q643" s="178">
        <v>0</v>
      </c>
      <c r="R643" s="179"/>
      <c r="S643" s="179"/>
      <c r="T643" s="179"/>
      <c r="U643" s="179"/>
      <c r="V643" s="179"/>
      <c r="W643" s="179"/>
      <c r="X643" s="179"/>
      <c r="Y643" s="179"/>
      <c r="Z643" s="180"/>
      <c r="AA643" s="179"/>
      <c r="AB643" s="179"/>
      <c r="AC643" s="179"/>
      <c r="AD643" s="179"/>
      <c r="AE643" s="179"/>
      <c r="AF643" s="179"/>
      <c r="AG643" s="179"/>
      <c r="AH643" s="180"/>
      <c r="AJ643" s="544">
        <f ca="1">IF(AND($D643="Serviço",AJ$12&lt;&gt;0,$H643&gt;0,OR(AUTOEVENTO&lt;&gt;"manual",$M643&lt;&gt;1)),
IF(Import.TipoArredondamento&lt;&gt;"TransfereGOV",
ROUND(OFFSET($P643,0,AJ$13),15-13*ORÇAMENTO!$AF$7)/$H643*OFFSET(ORÇAMENTO!$X$15,ROW(AJ643)-ROW(AJ$15),0),
ROUND(ROUND(OFFSET($P643,0,AJ$13),15-13*ORÇAMENTO!$AF$7)*OFFSET(ORÇAMENTO!$W$15,ROW(AJ643)-ROW(AJ$15),0),15-13*ORÇAMENTO!$AF$11)),0)</f>
        <v>0</v>
      </c>
      <c r="AK643" s="545">
        <f ca="1">IF(AND($D643="Serviço",AK$12&lt;&gt;0,$H643&gt;0,OR(AUTOEVENTO&lt;&gt;"manual",$M643&lt;&gt;1)),
IF(Import.TipoArredondamento&lt;&gt;"TransfereGOV",
ROUND(OFFSET($P643,0,AK$13),15-13*ORÇAMENTO!$AF$7)/$H643*OFFSET(ORÇAMENTO!$X$15,ROW(AK643)-ROW(AK$15),0),
ROUND(ROUND(OFFSET($P643,0,AK$13),15-13*ORÇAMENTO!$AF$7)*OFFSET(ORÇAMENTO!$W$15,ROW(AK643)-ROW(AK$15),0),15-13*ORÇAMENTO!$AF$11)),0)</f>
        <v>0</v>
      </c>
      <c r="AL643" s="545">
        <f ca="1">IF(AND($D643="Serviço",AL$12&lt;&gt;0,$H643&gt;0,OR(AUTOEVENTO&lt;&gt;"manual",$M643&lt;&gt;1)),
IF(Import.TipoArredondamento&lt;&gt;"TransfereGOV",
ROUND(OFFSET($P643,0,AL$13),15-13*ORÇAMENTO!$AF$7)/$H643*OFFSET(ORÇAMENTO!$X$15,ROW(AL643)-ROW(AL$15),0),
ROUND(ROUND(OFFSET($P643,0,AL$13),15-13*ORÇAMENTO!$AF$7)*OFFSET(ORÇAMENTO!$W$15,ROW(AL643)-ROW(AL$15),0),15-13*ORÇAMENTO!$AF$11)),0)</f>
        <v>0</v>
      </c>
      <c r="AM643" s="545">
        <f ca="1">IF(AND($D643="Serviço",AM$12&lt;&gt;0,$H643&gt;0,OR(AUTOEVENTO&lt;&gt;"manual",$M643&lt;&gt;1)),
IF(Import.TipoArredondamento&lt;&gt;"TransfereGOV",
ROUND(OFFSET($P643,0,AM$13),15-13*ORÇAMENTO!$AF$7)/$H643*OFFSET(ORÇAMENTO!$X$15,ROW(AM643)-ROW(AM$15),0),
ROUND(ROUND(OFFSET($P643,0,AM$13),15-13*ORÇAMENTO!$AF$7)*OFFSET(ORÇAMENTO!$W$15,ROW(AM643)-ROW(AM$15),0),15-13*ORÇAMENTO!$AF$11)),0)</f>
        <v>0</v>
      </c>
      <c r="AN643" s="545">
        <f ca="1">IF(AND($D643="Serviço",AN$12&lt;&gt;0,$H643&gt;0,OR(AUTOEVENTO&lt;&gt;"manual",$M643&lt;&gt;1)),
IF(Import.TipoArredondamento&lt;&gt;"TransfereGOV",
ROUND(OFFSET($P643,0,AN$13),15-13*ORÇAMENTO!$AF$7)/$H643*OFFSET(ORÇAMENTO!$X$15,ROW(AN643)-ROW(AN$15),0),
ROUND(ROUND(OFFSET($P643,0,AN$13),15-13*ORÇAMENTO!$AF$7)*OFFSET(ORÇAMENTO!$W$15,ROW(AN643)-ROW(AN$15),0),15-13*ORÇAMENTO!$AF$11)),0)</f>
        <v>0</v>
      </c>
      <c r="AO643" s="545">
        <f ca="1">IF(AND($D643="Serviço",AO$12&lt;&gt;0,$H643&gt;0,OR(AUTOEVENTO&lt;&gt;"manual",$M643&lt;&gt;1)),
IF(Import.TipoArredondamento&lt;&gt;"TransfereGOV",
ROUND(OFFSET($P643,0,AO$13),15-13*ORÇAMENTO!$AF$7)/$H643*OFFSET(ORÇAMENTO!$X$15,ROW(AO643)-ROW(AO$15),0),
ROUND(ROUND(OFFSET($P643,0,AO$13),15-13*ORÇAMENTO!$AF$7)*OFFSET(ORÇAMENTO!$W$15,ROW(AO643)-ROW(AO$15),0),15-13*ORÇAMENTO!$AF$11)),0)</f>
        <v>0</v>
      </c>
      <c r="AP643" s="545">
        <f ca="1">IF(AND($D643="Serviço",AP$12&lt;&gt;0,$H643&gt;0,OR(AUTOEVENTO&lt;&gt;"manual",$M643&lt;&gt;1)),
IF(Import.TipoArredondamento&lt;&gt;"TransfereGOV",
ROUND(OFFSET($P643,0,AP$13),15-13*ORÇAMENTO!$AF$7)/$H643*OFFSET(ORÇAMENTO!$X$15,ROW(AP643)-ROW(AP$15),0),
ROUND(ROUND(OFFSET($P643,0,AP$13),15-13*ORÇAMENTO!$AF$7)*OFFSET(ORÇAMENTO!$W$15,ROW(AP643)-ROW(AP$15),0),15-13*ORÇAMENTO!$AF$11)),0)</f>
        <v>0</v>
      </c>
      <c r="AQ643" s="545">
        <f ca="1">IF(AND($D643="Serviço",AQ$12&lt;&gt;0,$H643&gt;0,OR(AUTOEVENTO&lt;&gt;"manual",$M643&lt;&gt;1)),
IF(Import.TipoArredondamento&lt;&gt;"TransfereGOV",
ROUND(OFFSET($P643,0,AQ$13),15-13*ORÇAMENTO!$AF$7)/$H643*OFFSET(ORÇAMENTO!$X$15,ROW(AQ643)-ROW(AQ$15),0),
ROUND(ROUND(OFFSET($P643,0,AQ$13),15-13*ORÇAMENTO!$AF$7)*OFFSET(ORÇAMENTO!$W$15,ROW(AQ643)-ROW(AQ$15),0),15-13*ORÇAMENTO!$AF$11)),0)</f>
        <v>0</v>
      </c>
      <c r="AR643" s="545">
        <f ca="1">IF(AND($D643="Serviço",AR$12&lt;&gt;0,$H643&gt;0,OR(AUTOEVENTO&lt;&gt;"manual",$M643&lt;&gt;1)),
IF(Import.TipoArredondamento&lt;&gt;"TransfereGOV",
ROUND(OFFSET($P643,0,AR$13),15-13*ORÇAMENTO!$AF$7)/$H643*OFFSET(ORÇAMENTO!$X$15,ROW(AR643)-ROW(AR$15),0),
ROUND(ROUND(OFFSET($P643,0,AR$13),15-13*ORÇAMENTO!$AF$7)*OFFSET(ORÇAMENTO!$W$15,ROW(AR643)-ROW(AR$15),0),15-13*ORÇAMENTO!$AF$11)),0)</f>
        <v>0</v>
      </c>
      <c r="AS643" s="546">
        <f ca="1">IF(AND($D643="Serviço",AS$12&lt;&gt;0,$H643&gt;0,OR(AUTOEVENTO&lt;&gt;"manual",$M643&lt;&gt;1)),
IF(Import.TipoArredondamento&lt;&gt;"TransfereGOV",
ROUND(OFFSET($P643,0,AS$13),15-13*ORÇAMENTO!$AF$7)/$H643*OFFSET(ORÇAMENTO!$X$15,ROW(AS643)-ROW(AS$15),0),
ROUND(ROUND(OFFSET($P643,0,AS$13),15-13*ORÇAMENTO!$AF$7)*OFFSET(ORÇAMENTO!$W$15,ROW(AS643)-ROW(AS$15),0),15-13*ORÇAMENTO!$AF$11)),0)</f>
        <v>0</v>
      </c>
      <c r="AT643" s="545">
        <f ca="1">IF(AND($D643="Serviço",AT$12&lt;&gt;0,$H643&gt;0,OR(AUTOEVENTO&lt;&gt;"manual",$M643&lt;&gt;1)),
IF(Import.TipoArredondamento&lt;&gt;"TransfereGOV",
ROUND(OFFSET($P643,0,AT$13),15-13*ORÇAMENTO!$AF$7)/$H643*OFFSET(ORÇAMENTO!$X$15,ROW(AT643)-ROW(AT$15),0),
ROUND(ROUND(OFFSET($P643,0,AT$13),15-13*ORÇAMENTO!$AF$7)*OFFSET(ORÇAMENTO!$W$15,ROW(AT643)-ROW(AT$15),0),15-13*ORÇAMENTO!$AF$11)),0)</f>
        <v>0</v>
      </c>
      <c r="AU643" s="545">
        <f ca="1">IF(AND($D643="Serviço",AU$12&lt;&gt;0,$H643&gt;0,OR(AUTOEVENTO&lt;&gt;"manual",$M643&lt;&gt;1)),
IF(Import.TipoArredondamento&lt;&gt;"TransfereGOV",
ROUND(OFFSET($P643,0,AU$13),15-13*ORÇAMENTO!$AF$7)/$H643*OFFSET(ORÇAMENTO!$X$15,ROW(AU643)-ROW(AU$15),0),
ROUND(ROUND(OFFSET($P643,0,AU$13),15-13*ORÇAMENTO!$AF$7)*OFFSET(ORÇAMENTO!$W$15,ROW(AU643)-ROW(AU$15),0),15-13*ORÇAMENTO!$AF$11)),0)</f>
        <v>0</v>
      </c>
      <c r="AV643" s="545">
        <f ca="1">IF(AND($D643="Serviço",AV$12&lt;&gt;0,$H643&gt;0,OR(AUTOEVENTO&lt;&gt;"manual",$M643&lt;&gt;1)),
IF(Import.TipoArredondamento&lt;&gt;"TransfereGOV",
ROUND(OFFSET($P643,0,AV$13),15-13*ORÇAMENTO!$AF$7)/$H643*OFFSET(ORÇAMENTO!$X$15,ROW(AV643)-ROW(AV$15),0),
ROUND(ROUND(OFFSET($P643,0,AV$13),15-13*ORÇAMENTO!$AF$7)*OFFSET(ORÇAMENTO!$W$15,ROW(AV643)-ROW(AV$15),0),15-13*ORÇAMENTO!$AF$11)),0)</f>
        <v>0</v>
      </c>
      <c r="AW643" s="545">
        <f ca="1">IF(AND($D643="Serviço",AW$12&lt;&gt;0,$H643&gt;0,OR(AUTOEVENTO&lt;&gt;"manual",$M643&lt;&gt;1)),
IF(Import.TipoArredondamento&lt;&gt;"TransfereGOV",
ROUND(OFFSET($P643,0,AW$13),15-13*ORÇAMENTO!$AF$7)/$H643*OFFSET(ORÇAMENTO!$X$15,ROW(AW643)-ROW(AW$15),0),
ROUND(ROUND(OFFSET($P643,0,AW$13),15-13*ORÇAMENTO!$AF$7)*OFFSET(ORÇAMENTO!$W$15,ROW(AW643)-ROW(AW$15),0),15-13*ORÇAMENTO!$AF$11)),0)</f>
        <v>0</v>
      </c>
      <c r="AX643" s="545">
        <f ca="1">IF(AND($D643="Serviço",AX$12&lt;&gt;0,$H643&gt;0,OR(AUTOEVENTO&lt;&gt;"manual",$M643&lt;&gt;1)),
IF(Import.TipoArredondamento&lt;&gt;"TransfereGOV",
ROUND(OFFSET($P643,0,AX$13),15-13*ORÇAMENTO!$AF$7)/$H643*OFFSET(ORÇAMENTO!$X$15,ROW(AX643)-ROW(AX$15),0),
ROUND(ROUND(OFFSET($P643,0,AX$13),15-13*ORÇAMENTO!$AF$7)*OFFSET(ORÇAMENTO!$W$15,ROW(AX643)-ROW(AX$15),0),15-13*ORÇAMENTO!$AF$11)),0)</f>
        <v>0</v>
      </c>
      <c r="AY643" s="545">
        <f ca="1">IF(AND($D643="Serviço",AY$12&lt;&gt;0,$H643&gt;0,OR(AUTOEVENTO&lt;&gt;"manual",$M643&lt;&gt;1)),
IF(Import.TipoArredondamento&lt;&gt;"TransfereGOV",
ROUND(OFFSET($P643,0,AY$13),15-13*ORÇAMENTO!$AF$7)/$H643*OFFSET(ORÇAMENTO!$X$15,ROW(AY643)-ROW(AY$15),0),
ROUND(ROUND(OFFSET($P643,0,AY$13),15-13*ORÇAMENTO!$AF$7)*OFFSET(ORÇAMENTO!$W$15,ROW(AY643)-ROW(AY$15),0),15-13*ORÇAMENTO!$AF$11)),0)</f>
        <v>0</v>
      </c>
      <c r="AZ643" s="545">
        <f ca="1">IF(AND($D643="Serviço",AZ$12&lt;&gt;0,$H643&gt;0,OR(AUTOEVENTO&lt;&gt;"manual",$M643&lt;&gt;1)),
IF(Import.TipoArredondamento&lt;&gt;"TransfereGOV",
ROUND(OFFSET($P643,0,AZ$13),15-13*ORÇAMENTO!$AF$7)/$H643*OFFSET(ORÇAMENTO!$X$15,ROW(AZ643)-ROW(AZ$15),0),
ROUND(ROUND(OFFSET($P643,0,AZ$13),15-13*ORÇAMENTO!$AF$7)*OFFSET(ORÇAMENTO!$W$15,ROW(AZ643)-ROW(AZ$15),0),15-13*ORÇAMENTO!$AF$11)),0)</f>
        <v>0</v>
      </c>
      <c r="BA643" s="546">
        <f ca="1">IF(AND($D643="Serviço",BA$12&lt;&gt;0,$H643&gt;0,OR(AUTOEVENTO&lt;&gt;"manual",$M643&lt;&gt;1)),
IF(Import.TipoArredondamento&lt;&gt;"TransfereGOV",
ROUND(OFFSET($P643,0,BA$13),15-13*ORÇAMENTO!$AF$7)/$H643*OFFSET(ORÇAMENTO!$X$15,ROW(BA643)-ROW(BA$15),0),
ROUND(ROUND(OFFSET($P643,0,BA$13),15-13*ORÇAMENTO!$AF$7)*OFFSET(ORÇAMENTO!$W$15,ROW(BA643)-ROW(BA$15),0),15-13*ORÇAMENTO!$AF$11)),0)</f>
        <v>0</v>
      </c>
      <c r="BC643" s="181">
        <f ca="1">IF($D643&lt;&gt;"Serviço",0,IF(AND(AUTOEVENTO="Manual",$M643=1),0,IF(OFFSET(CRONOPLE!$F$14,$M643,BC$13)="",10^12,OFFSET(CRONOPLE!$F$14,$M643,BC$13))))</f>
        <v>0</v>
      </c>
      <c r="BD643" s="181">
        <f ca="1">IF($D643&lt;&gt;"Serviço",0,IF(AND(AUTOEVENTO="Manual",$M643=1),0,IF(OFFSET(CRONOPLE!$F$14,$M643,BD$13)="",10^12,OFFSET(CRONOPLE!$F$14,$M643,BD$13))))</f>
        <v>0</v>
      </c>
      <c r="BE643" s="181">
        <f ca="1">IF($D643&lt;&gt;"Serviço",0,IF(AND(AUTOEVENTO="Manual",$M643=1),0,IF(OFFSET(CRONOPLE!$F$14,$M643,BE$13)="",10^12,OFFSET(CRONOPLE!$F$14,$M643,BE$13))))</f>
        <v>0</v>
      </c>
      <c r="BF643" s="181">
        <f ca="1">IF($D643&lt;&gt;"Serviço",0,IF(AND(AUTOEVENTO="Manual",$M643=1),0,IF(OFFSET(CRONOPLE!$F$14,$M643,BF$13)="",10^12,OFFSET(CRONOPLE!$F$14,$M643,BF$13))))</f>
        <v>0</v>
      </c>
      <c r="BG643" s="181">
        <f ca="1">IF($D643&lt;&gt;"Serviço",0,IF(AND(AUTOEVENTO="Manual",$M643=1),0,IF(OFFSET(CRONOPLE!$F$14,$M643,BG$13)="",10^12,OFFSET(CRONOPLE!$F$14,$M643,BG$13))))</f>
        <v>0</v>
      </c>
      <c r="BH643" s="181">
        <f ca="1">IF($D643&lt;&gt;"Serviço",0,IF(AND(AUTOEVENTO="Manual",$M643=1),0,IF(OFFSET(CRONOPLE!$F$14,$M643,BH$13)="",10^12,OFFSET(CRONOPLE!$F$14,$M643,BH$13))))</f>
        <v>0</v>
      </c>
      <c r="BI643" s="181">
        <f ca="1">IF($D643&lt;&gt;"Serviço",0,IF(AND(AUTOEVENTO="Manual",$M643=1),0,IF(OFFSET(CRONOPLE!$F$14,$M643,BI$13)="",10^12,OFFSET(CRONOPLE!$F$14,$M643,BI$13))))</f>
        <v>0</v>
      </c>
      <c r="BJ643" s="181">
        <f ca="1">IF($D643&lt;&gt;"Serviço",0,IF(AND(AUTOEVENTO="Manual",$M643=1),0,IF(OFFSET(CRONOPLE!$F$14,$M643,BJ$13)="",10^12,OFFSET(CRONOPLE!$F$14,$M643,BJ$13))))</f>
        <v>0</v>
      </c>
      <c r="BK643" s="181">
        <f ca="1">IF($D643&lt;&gt;"Serviço",0,IF(AND(AUTOEVENTO="Manual",$M643=1),0,IF(OFFSET(CRONOPLE!$F$14,$M643,BK$13)="",10^12,OFFSET(CRONOPLE!$F$14,$M643,BK$13))))</f>
        <v>0</v>
      </c>
      <c r="BL643" s="181">
        <f ca="1">IF($D643&lt;&gt;"Serviço",0,IF(AND(AUTOEVENTO="Manual",$M643=1),0,IF(OFFSET(CRONOPLE!$F$14,$M643,BL$13)="",10^12,OFFSET(CRONOPLE!$F$14,$M643,BL$13))))</f>
        <v>0</v>
      </c>
      <c r="BM643" s="181">
        <f ca="1">IF($D643&lt;&gt;"Serviço",0,IF(AND(AUTOEVENTO="Manual",$M643=1),0,IF(OFFSET(CRONOPLE!$F$14,$M643,BM$13)="",10^12,OFFSET(CRONOPLE!$F$14,$M643,BM$13))))</f>
        <v>0</v>
      </c>
      <c r="BN643" s="181">
        <f ca="1">IF($D643&lt;&gt;"Serviço",0,IF(AND(AUTOEVENTO="Manual",$M643=1),0,IF(OFFSET(CRONOPLE!$F$14,$M643,BN$13)="",10^12,OFFSET(CRONOPLE!$F$14,$M643,BN$13))))</f>
        <v>0</v>
      </c>
      <c r="BO643" s="181">
        <f ca="1">IF($D643&lt;&gt;"Serviço",0,IF(AND(AUTOEVENTO="Manual",$M643=1),0,IF(OFFSET(CRONOPLE!$F$14,$M643,BO$13)="",10^12,OFFSET(CRONOPLE!$F$14,$M643,BO$13))))</f>
        <v>0</v>
      </c>
      <c r="BP643" s="181">
        <f ca="1">IF($D643&lt;&gt;"Serviço",0,IF(AND(AUTOEVENTO="Manual",$M643=1),0,IF(OFFSET(CRONOPLE!$F$14,$M643,BP$13)="",10^12,OFFSET(CRONOPLE!$F$14,$M643,BP$13))))</f>
        <v>0</v>
      </c>
      <c r="BQ643" s="181">
        <f ca="1">IF($D643&lt;&gt;"Serviço",0,IF(AND(AUTOEVENTO="Manual",$M643=1),0,IF(OFFSET(CRONOPLE!$F$14,$M643,BQ$13)="",10^12,OFFSET(CRONOPLE!$F$14,$M643,BQ$13))))</f>
        <v>0</v>
      </c>
      <c r="BR643" s="181">
        <f ca="1">IF($D643&lt;&gt;"Serviço",0,IF(AND(AUTOEVENTO="Manual",$M643=1),0,IF(OFFSET(CRONOPLE!$F$14,$M643,BR$13)="",10^12,OFFSET(CRONOPLE!$F$14,$M643,BR$13))))</f>
        <v>0</v>
      </c>
      <c r="BS643" s="181">
        <f ca="1">IF($D643&lt;&gt;"Serviço",0,IF(AND(AUTOEVENTO="Manual",$M643=1),0,IF(OFFSET(CRONOPLE!$F$14,$M643,BS$13)="",10^12,OFFSET(CRONOPLE!$F$14,$M643,BS$13))))</f>
        <v>0</v>
      </c>
      <c r="BT643" s="181">
        <f ca="1">IF($D643&lt;&gt;"Serviço",0,IF(AND(AUTOEVENTO="Manual",$M643=1),0,IF(OFFSET(CRONOPLE!$F$14,$M643,BT$13)="",10^12,OFFSET(CRONOPLE!$F$14,$M643,BT$13))))</f>
        <v>0</v>
      </c>
      <c r="BV643" s="182">
        <f ca="1">IF($D643&lt;&gt;"Serviço",0,IF(OR(AND(AUTOEVENTO="Manual",$M643=1),$M643&gt;(ROW(PLE.lastrow)-ROW(PLE.firstrow))),0,IF(OFFSET(PLE!$G$14,$M643,BV$13)="",10^12,OFFSET(PLE!$G$14,$M643,BV$13))))</f>
        <v>0</v>
      </c>
      <c r="BW643" s="182">
        <f ca="1">IF($D643&lt;&gt;"Serviço",0,IF(OR(AND(AUTOEVENTO="Manual",$M643=1),$M643&gt;(ROW(PLE.lastrow)-ROW(PLE.firstrow))),0,IF(OFFSET(PLE!$G$14,$M643,BW$13)="",10^12,OFFSET(PLE!$G$14,$M643,BW$13))))</f>
        <v>0</v>
      </c>
      <c r="BX643" s="182">
        <f ca="1">IF($D643&lt;&gt;"Serviço",0,IF(OR(AND(AUTOEVENTO="Manual",$M643=1),$M643&gt;(ROW(PLE.lastrow)-ROW(PLE.firstrow))),0,IF(OFFSET(PLE!$G$14,$M643,BX$13)="",10^12,OFFSET(PLE!$G$14,$M643,BX$13))))</f>
        <v>0</v>
      </c>
      <c r="BY643" s="182">
        <f ca="1">IF($D643&lt;&gt;"Serviço",0,IF(OR(AND(AUTOEVENTO="Manual",$M643=1),$M643&gt;(ROW(PLE.lastrow)-ROW(PLE.firstrow))),0,IF(OFFSET(PLE!$G$14,$M643,BY$13)="",10^12,OFFSET(PLE!$G$14,$M643,BY$13))))</f>
        <v>0</v>
      </c>
      <c r="BZ643" s="182">
        <f ca="1">IF($D643&lt;&gt;"Serviço",0,IF(OR(AND(AUTOEVENTO="Manual",$M643=1),$M643&gt;(ROW(PLE.lastrow)-ROW(PLE.firstrow))),0,IF(OFFSET(PLE!$G$14,$M643,BZ$13)="",10^12,OFFSET(PLE!$G$14,$M643,BZ$13))))</f>
        <v>0</v>
      </c>
      <c r="CA643" s="182">
        <f ca="1">IF($D643&lt;&gt;"Serviço",0,IF(OR(AND(AUTOEVENTO="Manual",$M643=1),$M643&gt;(ROW(PLE.lastrow)-ROW(PLE.firstrow))),0,IF(OFFSET(PLE!$G$14,$M643,CA$13)="",10^12,OFFSET(PLE!$G$14,$M643,CA$13))))</f>
        <v>0</v>
      </c>
      <c r="CB643" s="182">
        <f ca="1">IF($D643&lt;&gt;"Serviço",0,IF(OR(AND(AUTOEVENTO="Manual",$M643=1),$M643&gt;(ROW(PLE.lastrow)-ROW(PLE.firstrow))),0,IF(OFFSET(PLE!$G$14,$M643,CB$13)="",10^12,OFFSET(PLE!$G$14,$M643,CB$13))))</f>
        <v>0</v>
      </c>
      <c r="CC643" s="182">
        <f ca="1">IF($D643&lt;&gt;"Serviço",0,IF(OR(AND(AUTOEVENTO="Manual",$M643=1),$M643&gt;(ROW(PLE.lastrow)-ROW(PLE.firstrow))),0,IF(OFFSET(PLE!$G$14,$M643,CC$13)="",10^12,OFFSET(PLE!$G$14,$M643,CC$13))))</f>
        <v>0</v>
      </c>
      <c r="CD643" s="182">
        <f ca="1">IF($D643&lt;&gt;"Serviço",0,IF(OR(AND(AUTOEVENTO="Manual",$M643=1),$M643&gt;(ROW(PLE.lastrow)-ROW(PLE.firstrow))),0,IF(OFFSET(PLE!$G$14,$M643,CD$13)="",10^12,OFFSET(PLE!$G$14,$M643,CD$13))))</f>
        <v>0</v>
      </c>
      <c r="CE643" s="182">
        <f ca="1">IF($D643&lt;&gt;"Serviço",0,IF(OR(AND(AUTOEVENTO="Manual",$M643=1),$M643&gt;(ROW(PLE.lastrow)-ROW(PLE.firstrow))),0,IF(OFFSET(PLE!$G$14,$M643,CE$13)="",10^12,OFFSET(PLE!$G$14,$M643,CE$13))))</f>
        <v>0</v>
      </c>
      <c r="CF643" s="182">
        <f ca="1">IF($D643&lt;&gt;"Serviço",0,IF(OR(AND(AUTOEVENTO="Manual",$M643=1),$M643&gt;(ROW(PLE.lastrow)-ROW(PLE.firstrow))),0,IF(OFFSET(PLE!$G$14,$M643,CF$13)="",10^12,OFFSET(PLE!$G$14,$M643,CF$13))))</f>
        <v>0</v>
      </c>
      <c r="CG643" s="182">
        <f ca="1">IF($D643&lt;&gt;"Serviço",0,IF(OR(AND(AUTOEVENTO="Manual",$M643=1),$M643&gt;(ROW(PLE.lastrow)-ROW(PLE.firstrow))),0,IF(OFFSET(PLE!$G$14,$M643,CG$13)="",10^12,OFFSET(PLE!$G$14,$M643,CG$13))))</f>
        <v>0</v>
      </c>
      <c r="CH643" s="182">
        <f ca="1">IF($D643&lt;&gt;"Serviço",0,IF(OR(AND(AUTOEVENTO="Manual",$M643=1),$M643&gt;(ROW(PLE.lastrow)-ROW(PLE.firstrow))),0,IF(OFFSET(PLE!$G$14,$M643,CH$13)="",10^12,OFFSET(PLE!$G$14,$M643,CH$13))))</f>
        <v>0</v>
      </c>
      <c r="CI643" s="182">
        <f ca="1">IF($D643&lt;&gt;"Serviço",0,IF(OR(AND(AUTOEVENTO="Manual",$M643=1),$M643&gt;(ROW(PLE.lastrow)-ROW(PLE.firstrow))),0,IF(OFFSET(PLE!$G$14,$M643,CI$13)="",10^12,OFFSET(PLE!$G$14,$M643,CI$13))))</f>
        <v>0</v>
      </c>
      <c r="CJ643" s="182">
        <f ca="1">IF($D643&lt;&gt;"Serviço",0,IF(OR(AND(AUTOEVENTO="Manual",$M643=1),$M643&gt;(ROW(PLE.lastrow)-ROW(PLE.firstrow))),0,IF(OFFSET(PLE!$G$14,$M643,CJ$13)="",10^12,OFFSET(PLE!$G$14,$M643,CJ$13))))</f>
        <v>0</v>
      </c>
      <c r="CK643" s="182">
        <f ca="1">IF($D643&lt;&gt;"Serviço",0,IF(OR(AND(AUTOEVENTO="Manual",$M643=1),$M643&gt;(ROW(PLE.lastrow)-ROW(PLE.firstrow))),0,IF(OFFSET(PLE!$G$14,$M643,CK$13)="",10^12,OFFSET(PLE!$G$14,$M643,CK$13))))</f>
        <v>0</v>
      </c>
      <c r="CL643" s="182">
        <f ca="1">IF($D643&lt;&gt;"Serviço",0,IF(OR(AND(AUTOEVENTO="Manual",$M643=1),$M643&gt;(ROW(PLE.lastrow)-ROW(PLE.firstrow))),0,IF(OFFSET(PLE!$G$14,$M643,CL$13)="",10^12,OFFSET(PLE!$G$14,$M643,CL$13))))</f>
        <v>0</v>
      </c>
      <c r="CM643" s="182">
        <f ca="1">IF($D643&lt;&gt;"Serviço",0,IF(OR(AND(AUTOEVENTO="Manual",$M643=1),$M643&gt;(ROW(PLE.lastrow)-ROW(PLE.firstrow))),0,IF(OFFSET(PLE!$G$14,$M643,CM$13)="",10^12,OFFSET(PLE!$G$14,$M643,CM$13))))</f>
        <v>0</v>
      </c>
    </row>
    <row r="644" spans="1:91" ht="51" x14ac:dyDescent="0.2">
      <c r="A644" s="7" t="str">
        <f t="shared" ref="A644:A700" ca="1" si="19">IF(AUTOEVENTO="Manual",IF(K644&lt;&gt;"",MIN(VALUE(LEFT(K644,FIND(".",K644)-1)),COUNTA(EVENTOS.Lista)),0),IF(OR($B644&gt;AUTOEVENTO,$B644="S",$B644=0),SUBSTITUTE(OFFSET($A644,-1,0),IF($D644="Serviço",".",""),""),ROW(A644)-ROW($A$15)&amp;"."))</f>
        <v>628</v>
      </c>
      <c r="B644" s="7" t="str">
        <f ca="1">OFFSET(ORÇAMENTO!C$15,ROW(B644)-ROW(B$15),0)</f>
        <v>S</v>
      </c>
      <c r="C644" s="7" t="str">
        <f ca="1">OFFSET(ORÇAMENTO!L$15,ROW(C644)-ROW(C$15),0)</f>
        <v/>
      </c>
      <c r="D644" s="118" t="str">
        <f ca="1">OFFSET(ORÇAMENTO!N$15,ROW(D644)-ROW(D$15),0)</f>
        <v>Serviço</v>
      </c>
      <c r="E644" s="119" t="str">
        <f ca="1">OFFSET(ORÇAMENTO!O$15,ROW(E644)-ROW(E$15),0)</f>
        <v>-</v>
      </c>
      <c r="F644" s="172" t="str">
        <f ca="1">OFFSET(ORÇAMENTO!R$15,ROW(F644)-ROW(F$15),0)</f>
        <v>(abra o arquivo 'Referência 06-2024.xlsm)</v>
      </c>
      <c r="G644" s="173" t="str">
        <f ca="1">IF($D644&lt;&gt;"Serviço","",OFFSET(ORÇAMENTO!S$15,ROW(G644)-ROW(G$15),0))</f>
        <v>-</v>
      </c>
      <c r="H644" s="124">
        <f ca="1">IF($D644&lt;&gt;"Serviço",0,IF(ACOMPANHAMENTO="BM",ROUND(OFFSET(ORÇAMENTO!AJ$15,ROW(H644)-ROW(H$15),0),15-13*ORÇAMENTO!$AF$7),SUMPRODUCT(($Q$12:$AI$12&lt;&gt;"")*ROUND($Q644:$AI644,15-13*ORÇAMENTO!$AF$7))))</f>
        <v>77.599999999999994</v>
      </c>
      <c r="I644" s="561" t="s">
        <v>1107</v>
      </c>
      <c r="K644" s="174"/>
      <c r="L644" s="175" t="s">
        <v>255</v>
      </c>
      <c r="M644" s="176">
        <f ca="1">IF($D644&lt;&gt;"Serviço","",IF(AUTOEVENTO="manual",$A644,IF(ISERROR(MATCH($A644,$A$15:OFFSET($A644,-1,0),0)),MAX($M$15:OFFSET(M644,-1,0))+1,INDEX($M$15:OFFSET(M644,-1,0),MATCH($A644,$A$15:OFFSET($A644,-1,0),0)))))</f>
        <v>69</v>
      </c>
      <c r="N644" s="177" t="str">
        <f ca="1">IF($D644&lt;&gt;"Serviço","",IF(AUTOEVENTO="Manual",IF($A644=0,"&lt;-- defina o número do agrupador",OFFSET(EVENTOS!$D$14,$A644,0)),OFFSET($F$15,$A644,0)))</f>
        <v>INSTALAÇÕES DE CABEAMENTO ESTRUTURADO - ELETROCALHA E ELETRODUTOS</v>
      </c>
      <c r="O644" s="178"/>
      <c r="Q644" s="178">
        <v>77.599999999999994</v>
      </c>
      <c r="R644" s="179"/>
      <c r="S644" s="179"/>
      <c r="T644" s="179"/>
      <c r="U644" s="179"/>
      <c r="V644" s="179"/>
      <c r="W644" s="179"/>
      <c r="X644" s="179"/>
      <c r="Y644" s="179"/>
      <c r="Z644" s="180"/>
      <c r="AA644" s="179"/>
      <c r="AB644" s="179"/>
      <c r="AC644" s="179"/>
      <c r="AD644" s="179"/>
      <c r="AE644" s="179"/>
      <c r="AF644" s="179"/>
      <c r="AG644" s="179"/>
      <c r="AH644" s="180"/>
      <c r="AJ644" s="544">
        <f ca="1">IF(AND($D644="Serviço",AJ$12&lt;&gt;0,$H644&gt;0,OR(AUTOEVENTO&lt;&gt;"manual",$M644&lt;&gt;1)),
IF(Import.TipoArredondamento&lt;&gt;"TransfereGOV",
ROUND(OFFSET($P644,0,AJ$13),15-13*ORÇAMENTO!$AF$7)/$H644*OFFSET(ORÇAMENTO!$X$15,ROW(AJ644)-ROW(AJ$15),0),
ROUND(ROUND(OFFSET($P644,0,AJ$13),15-13*ORÇAMENTO!$AF$7)*OFFSET(ORÇAMENTO!$W$15,ROW(AJ644)-ROW(AJ$15),0),15-13*ORÇAMENTO!$AF$11)),0)</f>
        <v>0</v>
      </c>
      <c r="AK644" s="545">
        <f ca="1">IF(AND($D644="Serviço",AK$12&lt;&gt;0,$H644&gt;0,OR(AUTOEVENTO&lt;&gt;"manual",$M644&lt;&gt;1)),
IF(Import.TipoArredondamento&lt;&gt;"TransfereGOV",
ROUND(OFFSET($P644,0,AK$13),15-13*ORÇAMENTO!$AF$7)/$H644*OFFSET(ORÇAMENTO!$X$15,ROW(AK644)-ROW(AK$15),0),
ROUND(ROUND(OFFSET($P644,0,AK$13),15-13*ORÇAMENTO!$AF$7)*OFFSET(ORÇAMENTO!$W$15,ROW(AK644)-ROW(AK$15),0),15-13*ORÇAMENTO!$AF$11)),0)</f>
        <v>0</v>
      </c>
      <c r="AL644" s="545">
        <f ca="1">IF(AND($D644="Serviço",AL$12&lt;&gt;0,$H644&gt;0,OR(AUTOEVENTO&lt;&gt;"manual",$M644&lt;&gt;1)),
IF(Import.TipoArredondamento&lt;&gt;"TransfereGOV",
ROUND(OFFSET($P644,0,AL$13),15-13*ORÇAMENTO!$AF$7)/$H644*OFFSET(ORÇAMENTO!$X$15,ROW(AL644)-ROW(AL$15),0),
ROUND(ROUND(OFFSET($P644,0,AL$13),15-13*ORÇAMENTO!$AF$7)*OFFSET(ORÇAMENTO!$W$15,ROW(AL644)-ROW(AL$15),0),15-13*ORÇAMENTO!$AF$11)),0)</f>
        <v>0</v>
      </c>
      <c r="AM644" s="545">
        <f ca="1">IF(AND($D644="Serviço",AM$12&lt;&gt;0,$H644&gt;0,OR(AUTOEVENTO&lt;&gt;"manual",$M644&lt;&gt;1)),
IF(Import.TipoArredondamento&lt;&gt;"TransfereGOV",
ROUND(OFFSET($P644,0,AM$13),15-13*ORÇAMENTO!$AF$7)/$H644*OFFSET(ORÇAMENTO!$X$15,ROW(AM644)-ROW(AM$15),0),
ROUND(ROUND(OFFSET($P644,0,AM$13),15-13*ORÇAMENTO!$AF$7)*OFFSET(ORÇAMENTO!$W$15,ROW(AM644)-ROW(AM$15),0),15-13*ORÇAMENTO!$AF$11)),0)</f>
        <v>0</v>
      </c>
      <c r="AN644" s="545">
        <f ca="1">IF(AND($D644="Serviço",AN$12&lt;&gt;0,$H644&gt;0,OR(AUTOEVENTO&lt;&gt;"manual",$M644&lt;&gt;1)),
IF(Import.TipoArredondamento&lt;&gt;"TransfereGOV",
ROUND(OFFSET($P644,0,AN$13),15-13*ORÇAMENTO!$AF$7)/$H644*OFFSET(ORÇAMENTO!$X$15,ROW(AN644)-ROW(AN$15),0),
ROUND(ROUND(OFFSET($P644,0,AN$13),15-13*ORÇAMENTO!$AF$7)*OFFSET(ORÇAMENTO!$W$15,ROW(AN644)-ROW(AN$15),0),15-13*ORÇAMENTO!$AF$11)),0)</f>
        <v>0</v>
      </c>
      <c r="AO644" s="545">
        <f ca="1">IF(AND($D644="Serviço",AO$12&lt;&gt;0,$H644&gt;0,OR(AUTOEVENTO&lt;&gt;"manual",$M644&lt;&gt;1)),
IF(Import.TipoArredondamento&lt;&gt;"TransfereGOV",
ROUND(OFFSET($P644,0,AO$13),15-13*ORÇAMENTO!$AF$7)/$H644*OFFSET(ORÇAMENTO!$X$15,ROW(AO644)-ROW(AO$15),0),
ROUND(ROUND(OFFSET($P644,0,AO$13),15-13*ORÇAMENTO!$AF$7)*OFFSET(ORÇAMENTO!$W$15,ROW(AO644)-ROW(AO$15),0),15-13*ORÇAMENTO!$AF$11)),0)</f>
        <v>0</v>
      </c>
      <c r="AP644" s="545">
        <f ca="1">IF(AND($D644="Serviço",AP$12&lt;&gt;0,$H644&gt;0,OR(AUTOEVENTO&lt;&gt;"manual",$M644&lt;&gt;1)),
IF(Import.TipoArredondamento&lt;&gt;"TransfereGOV",
ROUND(OFFSET($P644,0,AP$13),15-13*ORÇAMENTO!$AF$7)/$H644*OFFSET(ORÇAMENTO!$X$15,ROW(AP644)-ROW(AP$15),0),
ROUND(ROUND(OFFSET($P644,0,AP$13),15-13*ORÇAMENTO!$AF$7)*OFFSET(ORÇAMENTO!$W$15,ROW(AP644)-ROW(AP$15),0),15-13*ORÇAMENTO!$AF$11)),0)</f>
        <v>0</v>
      </c>
      <c r="AQ644" s="545">
        <f ca="1">IF(AND($D644="Serviço",AQ$12&lt;&gt;0,$H644&gt;0,OR(AUTOEVENTO&lt;&gt;"manual",$M644&lt;&gt;1)),
IF(Import.TipoArredondamento&lt;&gt;"TransfereGOV",
ROUND(OFFSET($P644,0,AQ$13),15-13*ORÇAMENTO!$AF$7)/$H644*OFFSET(ORÇAMENTO!$X$15,ROW(AQ644)-ROW(AQ$15),0),
ROUND(ROUND(OFFSET($P644,0,AQ$13),15-13*ORÇAMENTO!$AF$7)*OFFSET(ORÇAMENTO!$W$15,ROW(AQ644)-ROW(AQ$15),0),15-13*ORÇAMENTO!$AF$11)),0)</f>
        <v>0</v>
      </c>
      <c r="AR644" s="545">
        <f ca="1">IF(AND($D644="Serviço",AR$12&lt;&gt;0,$H644&gt;0,OR(AUTOEVENTO&lt;&gt;"manual",$M644&lt;&gt;1)),
IF(Import.TipoArredondamento&lt;&gt;"TransfereGOV",
ROUND(OFFSET($P644,0,AR$13),15-13*ORÇAMENTO!$AF$7)/$H644*OFFSET(ORÇAMENTO!$X$15,ROW(AR644)-ROW(AR$15),0),
ROUND(ROUND(OFFSET($P644,0,AR$13),15-13*ORÇAMENTO!$AF$7)*OFFSET(ORÇAMENTO!$W$15,ROW(AR644)-ROW(AR$15),0),15-13*ORÇAMENTO!$AF$11)),0)</f>
        <v>0</v>
      </c>
      <c r="AS644" s="546">
        <f ca="1">IF(AND($D644="Serviço",AS$12&lt;&gt;0,$H644&gt;0,OR(AUTOEVENTO&lt;&gt;"manual",$M644&lt;&gt;1)),
IF(Import.TipoArredondamento&lt;&gt;"TransfereGOV",
ROUND(OFFSET($P644,0,AS$13),15-13*ORÇAMENTO!$AF$7)/$H644*OFFSET(ORÇAMENTO!$X$15,ROW(AS644)-ROW(AS$15),0),
ROUND(ROUND(OFFSET($P644,0,AS$13),15-13*ORÇAMENTO!$AF$7)*OFFSET(ORÇAMENTO!$W$15,ROW(AS644)-ROW(AS$15),0),15-13*ORÇAMENTO!$AF$11)),0)</f>
        <v>0</v>
      </c>
      <c r="AT644" s="545">
        <f ca="1">IF(AND($D644="Serviço",AT$12&lt;&gt;0,$H644&gt;0,OR(AUTOEVENTO&lt;&gt;"manual",$M644&lt;&gt;1)),
IF(Import.TipoArredondamento&lt;&gt;"TransfereGOV",
ROUND(OFFSET($P644,0,AT$13),15-13*ORÇAMENTO!$AF$7)/$H644*OFFSET(ORÇAMENTO!$X$15,ROW(AT644)-ROW(AT$15),0),
ROUND(ROUND(OFFSET($P644,0,AT$13),15-13*ORÇAMENTO!$AF$7)*OFFSET(ORÇAMENTO!$W$15,ROW(AT644)-ROW(AT$15),0),15-13*ORÇAMENTO!$AF$11)),0)</f>
        <v>0</v>
      </c>
      <c r="AU644" s="545">
        <f ca="1">IF(AND($D644="Serviço",AU$12&lt;&gt;0,$H644&gt;0,OR(AUTOEVENTO&lt;&gt;"manual",$M644&lt;&gt;1)),
IF(Import.TipoArredondamento&lt;&gt;"TransfereGOV",
ROUND(OFFSET($P644,0,AU$13),15-13*ORÇAMENTO!$AF$7)/$H644*OFFSET(ORÇAMENTO!$X$15,ROW(AU644)-ROW(AU$15),0),
ROUND(ROUND(OFFSET($P644,0,AU$13),15-13*ORÇAMENTO!$AF$7)*OFFSET(ORÇAMENTO!$W$15,ROW(AU644)-ROW(AU$15),0),15-13*ORÇAMENTO!$AF$11)),0)</f>
        <v>0</v>
      </c>
      <c r="AV644" s="545">
        <f ca="1">IF(AND($D644="Serviço",AV$12&lt;&gt;0,$H644&gt;0,OR(AUTOEVENTO&lt;&gt;"manual",$M644&lt;&gt;1)),
IF(Import.TipoArredondamento&lt;&gt;"TransfereGOV",
ROUND(OFFSET($P644,0,AV$13),15-13*ORÇAMENTO!$AF$7)/$H644*OFFSET(ORÇAMENTO!$X$15,ROW(AV644)-ROW(AV$15),0),
ROUND(ROUND(OFFSET($P644,0,AV$13),15-13*ORÇAMENTO!$AF$7)*OFFSET(ORÇAMENTO!$W$15,ROW(AV644)-ROW(AV$15),0),15-13*ORÇAMENTO!$AF$11)),0)</f>
        <v>0</v>
      </c>
      <c r="AW644" s="545">
        <f ca="1">IF(AND($D644="Serviço",AW$12&lt;&gt;0,$H644&gt;0,OR(AUTOEVENTO&lt;&gt;"manual",$M644&lt;&gt;1)),
IF(Import.TipoArredondamento&lt;&gt;"TransfereGOV",
ROUND(OFFSET($P644,0,AW$13),15-13*ORÇAMENTO!$AF$7)/$H644*OFFSET(ORÇAMENTO!$X$15,ROW(AW644)-ROW(AW$15),0),
ROUND(ROUND(OFFSET($P644,0,AW$13),15-13*ORÇAMENTO!$AF$7)*OFFSET(ORÇAMENTO!$W$15,ROW(AW644)-ROW(AW$15),0),15-13*ORÇAMENTO!$AF$11)),0)</f>
        <v>0</v>
      </c>
      <c r="AX644" s="545">
        <f ca="1">IF(AND($D644="Serviço",AX$12&lt;&gt;0,$H644&gt;0,OR(AUTOEVENTO&lt;&gt;"manual",$M644&lt;&gt;1)),
IF(Import.TipoArredondamento&lt;&gt;"TransfereGOV",
ROUND(OFFSET($P644,0,AX$13),15-13*ORÇAMENTO!$AF$7)/$H644*OFFSET(ORÇAMENTO!$X$15,ROW(AX644)-ROW(AX$15),0),
ROUND(ROUND(OFFSET($P644,0,AX$13),15-13*ORÇAMENTO!$AF$7)*OFFSET(ORÇAMENTO!$W$15,ROW(AX644)-ROW(AX$15),0),15-13*ORÇAMENTO!$AF$11)),0)</f>
        <v>0</v>
      </c>
      <c r="AY644" s="545">
        <f ca="1">IF(AND($D644="Serviço",AY$12&lt;&gt;0,$H644&gt;0,OR(AUTOEVENTO&lt;&gt;"manual",$M644&lt;&gt;1)),
IF(Import.TipoArredondamento&lt;&gt;"TransfereGOV",
ROUND(OFFSET($P644,0,AY$13),15-13*ORÇAMENTO!$AF$7)/$H644*OFFSET(ORÇAMENTO!$X$15,ROW(AY644)-ROW(AY$15),0),
ROUND(ROUND(OFFSET($P644,0,AY$13),15-13*ORÇAMENTO!$AF$7)*OFFSET(ORÇAMENTO!$W$15,ROW(AY644)-ROW(AY$15),0),15-13*ORÇAMENTO!$AF$11)),0)</f>
        <v>0</v>
      </c>
      <c r="AZ644" s="545">
        <f ca="1">IF(AND($D644="Serviço",AZ$12&lt;&gt;0,$H644&gt;0,OR(AUTOEVENTO&lt;&gt;"manual",$M644&lt;&gt;1)),
IF(Import.TipoArredondamento&lt;&gt;"TransfereGOV",
ROUND(OFFSET($P644,0,AZ$13),15-13*ORÇAMENTO!$AF$7)/$H644*OFFSET(ORÇAMENTO!$X$15,ROW(AZ644)-ROW(AZ$15),0),
ROUND(ROUND(OFFSET($P644,0,AZ$13),15-13*ORÇAMENTO!$AF$7)*OFFSET(ORÇAMENTO!$W$15,ROW(AZ644)-ROW(AZ$15),0),15-13*ORÇAMENTO!$AF$11)),0)</f>
        <v>0</v>
      </c>
      <c r="BA644" s="546">
        <f ca="1">IF(AND($D644="Serviço",BA$12&lt;&gt;0,$H644&gt;0,OR(AUTOEVENTO&lt;&gt;"manual",$M644&lt;&gt;1)),
IF(Import.TipoArredondamento&lt;&gt;"TransfereGOV",
ROUND(OFFSET($P644,0,BA$13),15-13*ORÇAMENTO!$AF$7)/$H644*OFFSET(ORÇAMENTO!$X$15,ROW(BA644)-ROW(BA$15),0),
ROUND(ROUND(OFFSET($P644,0,BA$13),15-13*ORÇAMENTO!$AF$7)*OFFSET(ORÇAMENTO!$W$15,ROW(BA644)-ROW(BA$15),0),15-13*ORÇAMENTO!$AF$11)),0)</f>
        <v>0</v>
      </c>
      <c r="BC644" s="181">
        <f ca="1">IF($D644&lt;&gt;"Serviço",0,IF(AND(AUTOEVENTO="Manual",$M644=1),0,IF(OFFSET(CRONOPLE!$F$14,$M644,BC$13)="",10^12,OFFSET(CRONOPLE!$F$14,$M644,BC$13))))</f>
        <v>11</v>
      </c>
      <c r="BD644" s="181">
        <f ca="1">IF($D644&lt;&gt;"Serviço",0,IF(AND(AUTOEVENTO="Manual",$M644=1),0,IF(OFFSET(CRONOPLE!$F$14,$M644,BD$13)="",10^12,OFFSET(CRONOPLE!$F$14,$M644,BD$13))))</f>
        <v>1000000000000</v>
      </c>
      <c r="BE644" s="181">
        <f ca="1">IF($D644&lt;&gt;"Serviço",0,IF(AND(AUTOEVENTO="Manual",$M644=1),0,IF(OFFSET(CRONOPLE!$F$14,$M644,BE$13)="",10^12,OFFSET(CRONOPLE!$F$14,$M644,BE$13))))</f>
        <v>1000000000000</v>
      </c>
      <c r="BF644" s="181">
        <f ca="1">IF($D644&lt;&gt;"Serviço",0,IF(AND(AUTOEVENTO="Manual",$M644=1),0,IF(OFFSET(CRONOPLE!$F$14,$M644,BF$13)="",10^12,OFFSET(CRONOPLE!$F$14,$M644,BF$13))))</f>
        <v>1000000000000</v>
      </c>
      <c r="BG644" s="181">
        <f ca="1">IF($D644&lt;&gt;"Serviço",0,IF(AND(AUTOEVENTO="Manual",$M644=1),0,IF(OFFSET(CRONOPLE!$F$14,$M644,BG$13)="",10^12,OFFSET(CRONOPLE!$F$14,$M644,BG$13))))</f>
        <v>1000000000000</v>
      </c>
      <c r="BH644" s="181">
        <f ca="1">IF($D644&lt;&gt;"Serviço",0,IF(AND(AUTOEVENTO="Manual",$M644=1),0,IF(OFFSET(CRONOPLE!$F$14,$M644,BH$13)="",10^12,OFFSET(CRONOPLE!$F$14,$M644,BH$13))))</f>
        <v>1000000000000</v>
      </c>
      <c r="BI644" s="181">
        <f ca="1">IF($D644&lt;&gt;"Serviço",0,IF(AND(AUTOEVENTO="Manual",$M644=1),0,IF(OFFSET(CRONOPLE!$F$14,$M644,BI$13)="",10^12,OFFSET(CRONOPLE!$F$14,$M644,BI$13))))</f>
        <v>1000000000000</v>
      </c>
      <c r="BJ644" s="181">
        <f ca="1">IF($D644&lt;&gt;"Serviço",0,IF(AND(AUTOEVENTO="Manual",$M644=1),0,IF(OFFSET(CRONOPLE!$F$14,$M644,BJ$13)="",10^12,OFFSET(CRONOPLE!$F$14,$M644,BJ$13))))</f>
        <v>1000000000000</v>
      </c>
      <c r="BK644" s="181">
        <f ca="1">IF($D644&lt;&gt;"Serviço",0,IF(AND(AUTOEVENTO="Manual",$M644=1),0,IF(OFFSET(CRONOPLE!$F$14,$M644,BK$13)="",10^12,OFFSET(CRONOPLE!$F$14,$M644,BK$13))))</f>
        <v>1000000000000</v>
      </c>
      <c r="BL644" s="181">
        <f ca="1">IF($D644&lt;&gt;"Serviço",0,IF(AND(AUTOEVENTO="Manual",$M644=1),0,IF(OFFSET(CRONOPLE!$F$14,$M644,BL$13)="",10^12,OFFSET(CRONOPLE!$F$14,$M644,BL$13))))</f>
        <v>1000000000000</v>
      </c>
      <c r="BM644" s="181">
        <f ca="1">IF($D644&lt;&gt;"Serviço",0,IF(AND(AUTOEVENTO="Manual",$M644=1),0,IF(OFFSET(CRONOPLE!$F$14,$M644,BM$13)="",10^12,OFFSET(CRONOPLE!$F$14,$M644,BM$13))))</f>
        <v>1000000000000</v>
      </c>
      <c r="BN644" s="181">
        <f ca="1">IF($D644&lt;&gt;"Serviço",0,IF(AND(AUTOEVENTO="Manual",$M644=1),0,IF(OFFSET(CRONOPLE!$F$14,$M644,BN$13)="",10^12,OFFSET(CRONOPLE!$F$14,$M644,BN$13))))</f>
        <v>1000000000000</v>
      </c>
      <c r="BO644" s="181">
        <f ca="1">IF($D644&lt;&gt;"Serviço",0,IF(AND(AUTOEVENTO="Manual",$M644=1),0,IF(OFFSET(CRONOPLE!$F$14,$M644,BO$13)="",10^12,OFFSET(CRONOPLE!$F$14,$M644,BO$13))))</f>
        <v>1000000000000</v>
      </c>
      <c r="BP644" s="181">
        <f ca="1">IF($D644&lt;&gt;"Serviço",0,IF(AND(AUTOEVENTO="Manual",$M644=1),0,IF(OFFSET(CRONOPLE!$F$14,$M644,BP$13)="",10^12,OFFSET(CRONOPLE!$F$14,$M644,BP$13))))</f>
        <v>1000000000000</v>
      </c>
      <c r="BQ644" s="181">
        <f ca="1">IF($D644&lt;&gt;"Serviço",0,IF(AND(AUTOEVENTO="Manual",$M644=1),0,IF(OFFSET(CRONOPLE!$F$14,$M644,BQ$13)="",10^12,OFFSET(CRONOPLE!$F$14,$M644,BQ$13))))</f>
        <v>1000000000000</v>
      </c>
      <c r="BR644" s="181">
        <f ca="1">IF($D644&lt;&gt;"Serviço",0,IF(AND(AUTOEVENTO="Manual",$M644=1),0,IF(OFFSET(CRONOPLE!$F$14,$M644,BR$13)="",10^12,OFFSET(CRONOPLE!$F$14,$M644,BR$13))))</f>
        <v>1000000000000</v>
      </c>
      <c r="BS644" s="181">
        <f ca="1">IF($D644&lt;&gt;"Serviço",0,IF(AND(AUTOEVENTO="Manual",$M644=1),0,IF(OFFSET(CRONOPLE!$F$14,$M644,BS$13)="",10^12,OFFSET(CRONOPLE!$F$14,$M644,BS$13))))</f>
        <v>1000000000000</v>
      </c>
      <c r="BT644" s="181">
        <f ca="1">IF($D644&lt;&gt;"Serviço",0,IF(AND(AUTOEVENTO="Manual",$M644=1),0,IF(OFFSET(CRONOPLE!$F$14,$M644,BT$13)="",10^12,OFFSET(CRONOPLE!$F$14,$M644,BT$13))))</f>
        <v>1000000000000</v>
      </c>
      <c r="BV644" s="182">
        <f ca="1">IF($D644&lt;&gt;"Serviço",0,IF(OR(AND(AUTOEVENTO="Manual",$M644=1),$M644&gt;(ROW(PLE.lastrow)-ROW(PLE.firstrow))),0,IF(OFFSET(PLE!$G$14,$M644,BV$13)="",10^12,OFFSET(PLE!$G$14,$M644,BV$13))))</f>
        <v>1000000000000</v>
      </c>
      <c r="BW644" s="182">
        <f ca="1">IF($D644&lt;&gt;"Serviço",0,IF(OR(AND(AUTOEVENTO="Manual",$M644=1),$M644&gt;(ROW(PLE.lastrow)-ROW(PLE.firstrow))),0,IF(OFFSET(PLE!$G$14,$M644,BW$13)="",10^12,OFFSET(PLE!$G$14,$M644,BW$13))))</f>
        <v>1000000000000</v>
      </c>
      <c r="BX644" s="182">
        <f ca="1">IF($D644&lt;&gt;"Serviço",0,IF(OR(AND(AUTOEVENTO="Manual",$M644=1),$M644&gt;(ROW(PLE.lastrow)-ROW(PLE.firstrow))),0,IF(OFFSET(PLE!$G$14,$M644,BX$13)="",10^12,OFFSET(PLE!$G$14,$M644,BX$13))))</f>
        <v>1000000000000</v>
      </c>
      <c r="BY644" s="182">
        <f ca="1">IF($D644&lt;&gt;"Serviço",0,IF(OR(AND(AUTOEVENTO="Manual",$M644=1),$M644&gt;(ROW(PLE.lastrow)-ROW(PLE.firstrow))),0,IF(OFFSET(PLE!$G$14,$M644,BY$13)="",10^12,OFFSET(PLE!$G$14,$M644,BY$13))))</f>
        <v>1000000000000</v>
      </c>
      <c r="BZ644" s="182">
        <f ca="1">IF($D644&lt;&gt;"Serviço",0,IF(OR(AND(AUTOEVENTO="Manual",$M644=1),$M644&gt;(ROW(PLE.lastrow)-ROW(PLE.firstrow))),0,IF(OFFSET(PLE!$G$14,$M644,BZ$13)="",10^12,OFFSET(PLE!$G$14,$M644,BZ$13))))</f>
        <v>1000000000000</v>
      </c>
      <c r="CA644" s="182">
        <f ca="1">IF($D644&lt;&gt;"Serviço",0,IF(OR(AND(AUTOEVENTO="Manual",$M644=1),$M644&gt;(ROW(PLE.lastrow)-ROW(PLE.firstrow))),0,IF(OFFSET(PLE!$G$14,$M644,CA$13)="",10^12,OFFSET(PLE!$G$14,$M644,CA$13))))</f>
        <v>1000000000000</v>
      </c>
      <c r="CB644" s="182">
        <f ca="1">IF($D644&lt;&gt;"Serviço",0,IF(OR(AND(AUTOEVENTO="Manual",$M644=1),$M644&gt;(ROW(PLE.lastrow)-ROW(PLE.firstrow))),0,IF(OFFSET(PLE!$G$14,$M644,CB$13)="",10^12,OFFSET(PLE!$G$14,$M644,CB$13))))</f>
        <v>1000000000000</v>
      </c>
      <c r="CC644" s="182">
        <f ca="1">IF($D644&lt;&gt;"Serviço",0,IF(OR(AND(AUTOEVENTO="Manual",$M644=1),$M644&gt;(ROW(PLE.lastrow)-ROW(PLE.firstrow))),0,IF(OFFSET(PLE!$G$14,$M644,CC$13)="",10^12,OFFSET(PLE!$G$14,$M644,CC$13))))</f>
        <v>1000000000000</v>
      </c>
      <c r="CD644" s="182">
        <f ca="1">IF($D644&lt;&gt;"Serviço",0,IF(OR(AND(AUTOEVENTO="Manual",$M644=1),$M644&gt;(ROW(PLE.lastrow)-ROW(PLE.firstrow))),0,IF(OFFSET(PLE!$G$14,$M644,CD$13)="",10^12,OFFSET(PLE!$G$14,$M644,CD$13))))</f>
        <v>1000000000000</v>
      </c>
      <c r="CE644" s="182">
        <f ca="1">IF($D644&lt;&gt;"Serviço",0,IF(OR(AND(AUTOEVENTO="Manual",$M644=1),$M644&gt;(ROW(PLE.lastrow)-ROW(PLE.firstrow))),0,IF(OFFSET(PLE!$G$14,$M644,CE$13)="",10^12,OFFSET(PLE!$G$14,$M644,CE$13))))</f>
        <v>1000000000000</v>
      </c>
      <c r="CF644" s="182">
        <f ca="1">IF($D644&lt;&gt;"Serviço",0,IF(OR(AND(AUTOEVENTO="Manual",$M644=1),$M644&gt;(ROW(PLE.lastrow)-ROW(PLE.firstrow))),0,IF(OFFSET(PLE!$G$14,$M644,CF$13)="",10^12,OFFSET(PLE!$G$14,$M644,CF$13))))</f>
        <v>1000000000000</v>
      </c>
      <c r="CG644" s="182">
        <f ca="1">IF($D644&lt;&gt;"Serviço",0,IF(OR(AND(AUTOEVENTO="Manual",$M644=1),$M644&gt;(ROW(PLE.lastrow)-ROW(PLE.firstrow))),0,IF(OFFSET(PLE!$G$14,$M644,CG$13)="",10^12,OFFSET(PLE!$G$14,$M644,CG$13))))</f>
        <v>1000000000000</v>
      </c>
      <c r="CH644" s="182">
        <f ca="1">IF($D644&lt;&gt;"Serviço",0,IF(OR(AND(AUTOEVENTO="Manual",$M644=1),$M644&gt;(ROW(PLE.lastrow)-ROW(PLE.firstrow))),0,IF(OFFSET(PLE!$G$14,$M644,CH$13)="",10^12,OFFSET(PLE!$G$14,$M644,CH$13))))</f>
        <v>1000000000000</v>
      </c>
      <c r="CI644" s="182">
        <f ca="1">IF($D644&lt;&gt;"Serviço",0,IF(OR(AND(AUTOEVENTO="Manual",$M644=1),$M644&gt;(ROW(PLE.lastrow)-ROW(PLE.firstrow))),0,IF(OFFSET(PLE!$G$14,$M644,CI$13)="",10^12,OFFSET(PLE!$G$14,$M644,CI$13))))</f>
        <v>1000000000000</v>
      </c>
      <c r="CJ644" s="182">
        <f ca="1">IF($D644&lt;&gt;"Serviço",0,IF(OR(AND(AUTOEVENTO="Manual",$M644=1),$M644&gt;(ROW(PLE.lastrow)-ROW(PLE.firstrow))),0,IF(OFFSET(PLE!$G$14,$M644,CJ$13)="",10^12,OFFSET(PLE!$G$14,$M644,CJ$13))))</f>
        <v>1000000000000</v>
      </c>
      <c r="CK644" s="182">
        <f ca="1">IF($D644&lt;&gt;"Serviço",0,IF(OR(AND(AUTOEVENTO="Manual",$M644=1),$M644&gt;(ROW(PLE.lastrow)-ROW(PLE.firstrow))),0,IF(OFFSET(PLE!$G$14,$M644,CK$13)="",10^12,OFFSET(PLE!$G$14,$M644,CK$13))))</f>
        <v>1000000000000</v>
      </c>
      <c r="CL644" s="182">
        <f ca="1">IF($D644&lt;&gt;"Serviço",0,IF(OR(AND(AUTOEVENTO="Manual",$M644=1),$M644&gt;(ROW(PLE.lastrow)-ROW(PLE.firstrow))),0,IF(OFFSET(PLE!$G$14,$M644,CL$13)="",10^12,OFFSET(PLE!$G$14,$M644,CL$13))))</f>
        <v>1000000000000</v>
      </c>
      <c r="CM644" s="182">
        <f ca="1">IF($D644&lt;&gt;"Serviço",0,IF(OR(AND(AUTOEVENTO="Manual",$M644=1),$M644&gt;(ROW(PLE.lastrow)-ROW(PLE.firstrow))),0,IF(OFFSET(PLE!$G$14,$M644,CM$13)="",10^12,OFFSET(PLE!$G$14,$M644,CM$13))))</f>
        <v>1000000000000</v>
      </c>
    </row>
    <row r="645" spans="1:91" ht="51" x14ac:dyDescent="0.2">
      <c r="A645" s="7" t="str">
        <f t="shared" ca="1" si="19"/>
        <v>628</v>
      </c>
      <c r="B645" s="7" t="str">
        <f ca="1">OFFSET(ORÇAMENTO!C$15,ROW(B645)-ROW(B$15),0)</f>
        <v>S</v>
      </c>
      <c r="C645" s="7" t="str">
        <f ca="1">OFFSET(ORÇAMENTO!L$15,ROW(C645)-ROW(C$15),0)</f>
        <v/>
      </c>
      <c r="D645" s="118" t="str">
        <f ca="1">OFFSET(ORÇAMENTO!N$15,ROW(D645)-ROW(D$15),0)</f>
        <v>Serviço</v>
      </c>
      <c r="E645" s="119" t="str">
        <f ca="1">OFFSET(ORÇAMENTO!O$15,ROW(E645)-ROW(E$15),0)</f>
        <v>-</v>
      </c>
      <c r="F645" s="172" t="str">
        <f ca="1">OFFSET(ORÇAMENTO!R$15,ROW(F645)-ROW(F$15),0)</f>
        <v>(abra o arquivo 'Referência 06-2024.xlsm)</v>
      </c>
      <c r="G645" s="173" t="str">
        <f ca="1">IF($D645&lt;&gt;"Serviço","",OFFSET(ORÇAMENTO!S$15,ROW(G645)-ROW(G$15),0))</f>
        <v>-</v>
      </c>
      <c r="H645" s="124">
        <f ca="1">IF($D645&lt;&gt;"Serviço",0,IF(ACOMPANHAMENTO="BM",ROUND(OFFSET(ORÇAMENTO!AJ$15,ROW(H645)-ROW(H$15),0),15-13*ORÇAMENTO!$AF$7),SUMPRODUCT(($Q$12:$AI$12&lt;&gt;"")*ROUND($Q645:$AI645,15-13*ORÇAMENTO!$AF$7))))</f>
        <v>4.2</v>
      </c>
      <c r="I645" s="561" t="s">
        <v>1107</v>
      </c>
      <c r="K645" s="174"/>
      <c r="L645" s="175" t="s">
        <v>255</v>
      </c>
      <c r="M645" s="176">
        <f ca="1">IF($D645&lt;&gt;"Serviço","",IF(AUTOEVENTO="manual",$A645,IF(ISERROR(MATCH($A645,$A$15:OFFSET($A645,-1,0),0)),MAX($M$15:OFFSET(M645,-1,0))+1,INDEX($M$15:OFFSET(M645,-1,0),MATCH($A645,$A$15:OFFSET($A645,-1,0),0)))))</f>
        <v>69</v>
      </c>
      <c r="N645" s="177" t="str">
        <f ca="1">IF($D645&lt;&gt;"Serviço","",IF(AUTOEVENTO="Manual",IF($A645=0,"&lt;-- defina o número do agrupador",OFFSET(EVENTOS!$D$14,$A645,0)),OFFSET($F$15,$A645,0)))</f>
        <v>INSTALAÇÕES DE CABEAMENTO ESTRUTURADO - ELETROCALHA E ELETRODUTOS</v>
      </c>
      <c r="O645" s="178"/>
      <c r="Q645" s="178">
        <v>4.2</v>
      </c>
      <c r="R645" s="179"/>
      <c r="S645" s="179"/>
      <c r="T645" s="179"/>
      <c r="U645" s="179"/>
      <c r="V645" s="179"/>
      <c r="W645" s="179"/>
      <c r="X645" s="179"/>
      <c r="Y645" s="179"/>
      <c r="Z645" s="180"/>
      <c r="AA645" s="179"/>
      <c r="AB645" s="179"/>
      <c r="AC645" s="179"/>
      <c r="AD645" s="179"/>
      <c r="AE645" s="179"/>
      <c r="AF645" s="179"/>
      <c r="AG645" s="179"/>
      <c r="AH645" s="180"/>
      <c r="AJ645" s="544">
        <f ca="1">IF(AND($D645="Serviço",AJ$12&lt;&gt;0,$H645&gt;0,OR(AUTOEVENTO&lt;&gt;"manual",$M645&lt;&gt;1)),
IF(Import.TipoArredondamento&lt;&gt;"TransfereGOV",
ROUND(OFFSET($P645,0,AJ$13),15-13*ORÇAMENTO!$AF$7)/$H645*OFFSET(ORÇAMENTO!$X$15,ROW(AJ645)-ROW(AJ$15),0),
ROUND(ROUND(OFFSET($P645,0,AJ$13),15-13*ORÇAMENTO!$AF$7)*OFFSET(ORÇAMENTO!$W$15,ROW(AJ645)-ROW(AJ$15),0),15-13*ORÇAMENTO!$AF$11)),0)</f>
        <v>0</v>
      </c>
      <c r="AK645" s="545">
        <f ca="1">IF(AND($D645="Serviço",AK$12&lt;&gt;0,$H645&gt;0,OR(AUTOEVENTO&lt;&gt;"manual",$M645&lt;&gt;1)),
IF(Import.TipoArredondamento&lt;&gt;"TransfereGOV",
ROUND(OFFSET($P645,0,AK$13),15-13*ORÇAMENTO!$AF$7)/$H645*OFFSET(ORÇAMENTO!$X$15,ROW(AK645)-ROW(AK$15),0),
ROUND(ROUND(OFFSET($P645,0,AK$13),15-13*ORÇAMENTO!$AF$7)*OFFSET(ORÇAMENTO!$W$15,ROW(AK645)-ROW(AK$15),0),15-13*ORÇAMENTO!$AF$11)),0)</f>
        <v>0</v>
      </c>
      <c r="AL645" s="545">
        <f ca="1">IF(AND($D645="Serviço",AL$12&lt;&gt;0,$H645&gt;0,OR(AUTOEVENTO&lt;&gt;"manual",$M645&lt;&gt;1)),
IF(Import.TipoArredondamento&lt;&gt;"TransfereGOV",
ROUND(OFFSET($P645,0,AL$13),15-13*ORÇAMENTO!$AF$7)/$H645*OFFSET(ORÇAMENTO!$X$15,ROW(AL645)-ROW(AL$15),0),
ROUND(ROUND(OFFSET($P645,0,AL$13),15-13*ORÇAMENTO!$AF$7)*OFFSET(ORÇAMENTO!$W$15,ROW(AL645)-ROW(AL$15),0),15-13*ORÇAMENTO!$AF$11)),0)</f>
        <v>0</v>
      </c>
      <c r="AM645" s="545">
        <f ca="1">IF(AND($D645="Serviço",AM$12&lt;&gt;0,$H645&gt;0,OR(AUTOEVENTO&lt;&gt;"manual",$M645&lt;&gt;1)),
IF(Import.TipoArredondamento&lt;&gt;"TransfereGOV",
ROUND(OFFSET($P645,0,AM$13),15-13*ORÇAMENTO!$AF$7)/$H645*OFFSET(ORÇAMENTO!$X$15,ROW(AM645)-ROW(AM$15),0),
ROUND(ROUND(OFFSET($P645,0,AM$13),15-13*ORÇAMENTO!$AF$7)*OFFSET(ORÇAMENTO!$W$15,ROW(AM645)-ROW(AM$15),0),15-13*ORÇAMENTO!$AF$11)),0)</f>
        <v>0</v>
      </c>
      <c r="AN645" s="545">
        <f ca="1">IF(AND($D645="Serviço",AN$12&lt;&gt;0,$H645&gt;0,OR(AUTOEVENTO&lt;&gt;"manual",$M645&lt;&gt;1)),
IF(Import.TipoArredondamento&lt;&gt;"TransfereGOV",
ROUND(OFFSET($P645,0,AN$13),15-13*ORÇAMENTO!$AF$7)/$H645*OFFSET(ORÇAMENTO!$X$15,ROW(AN645)-ROW(AN$15),0),
ROUND(ROUND(OFFSET($P645,0,AN$13),15-13*ORÇAMENTO!$AF$7)*OFFSET(ORÇAMENTO!$W$15,ROW(AN645)-ROW(AN$15),0),15-13*ORÇAMENTO!$AF$11)),0)</f>
        <v>0</v>
      </c>
      <c r="AO645" s="545">
        <f ca="1">IF(AND($D645="Serviço",AO$12&lt;&gt;0,$H645&gt;0,OR(AUTOEVENTO&lt;&gt;"manual",$M645&lt;&gt;1)),
IF(Import.TipoArredondamento&lt;&gt;"TransfereGOV",
ROUND(OFFSET($P645,0,AO$13),15-13*ORÇAMENTO!$AF$7)/$H645*OFFSET(ORÇAMENTO!$X$15,ROW(AO645)-ROW(AO$15),0),
ROUND(ROUND(OFFSET($P645,0,AO$13),15-13*ORÇAMENTO!$AF$7)*OFFSET(ORÇAMENTO!$W$15,ROW(AO645)-ROW(AO$15),0),15-13*ORÇAMENTO!$AF$11)),0)</f>
        <v>0</v>
      </c>
      <c r="AP645" s="545">
        <f ca="1">IF(AND($D645="Serviço",AP$12&lt;&gt;0,$H645&gt;0,OR(AUTOEVENTO&lt;&gt;"manual",$M645&lt;&gt;1)),
IF(Import.TipoArredondamento&lt;&gt;"TransfereGOV",
ROUND(OFFSET($P645,0,AP$13),15-13*ORÇAMENTO!$AF$7)/$H645*OFFSET(ORÇAMENTO!$X$15,ROW(AP645)-ROW(AP$15),0),
ROUND(ROUND(OFFSET($P645,0,AP$13),15-13*ORÇAMENTO!$AF$7)*OFFSET(ORÇAMENTO!$W$15,ROW(AP645)-ROW(AP$15),0),15-13*ORÇAMENTO!$AF$11)),0)</f>
        <v>0</v>
      </c>
      <c r="AQ645" s="545">
        <f ca="1">IF(AND($D645="Serviço",AQ$12&lt;&gt;0,$H645&gt;0,OR(AUTOEVENTO&lt;&gt;"manual",$M645&lt;&gt;1)),
IF(Import.TipoArredondamento&lt;&gt;"TransfereGOV",
ROUND(OFFSET($P645,0,AQ$13),15-13*ORÇAMENTO!$AF$7)/$H645*OFFSET(ORÇAMENTO!$X$15,ROW(AQ645)-ROW(AQ$15),0),
ROUND(ROUND(OFFSET($P645,0,AQ$13),15-13*ORÇAMENTO!$AF$7)*OFFSET(ORÇAMENTO!$W$15,ROW(AQ645)-ROW(AQ$15),0),15-13*ORÇAMENTO!$AF$11)),0)</f>
        <v>0</v>
      </c>
      <c r="AR645" s="545">
        <f ca="1">IF(AND($D645="Serviço",AR$12&lt;&gt;0,$H645&gt;0,OR(AUTOEVENTO&lt;&gt;"manual",$M645&lt;&gt;1)),
IF(Import.TipoArredondamento&lt;&gt;"TransfereGOV",
ROUND(OFFSET($P645,0,AR$13),15-13*ORÇAMENTO!$AF$7)/$H645*OFFSET(ORÇAMENTO!$X$15,ROW(AR645)-ROW(AR$15),0),
ROUND(ROUND(OFFSET($P645,0,AR$13),15-13*ORÇAMENTO!$AF$7)*OFFSET(ORÇAMENTO!$W$15,ROW(AR645)-ROW(AR$15),0),15-13*ORÇAMENTO!$AF$11)),0)</f>
        <v>0</v>
      </c>
      <c r="AS645" s="546">
        <f ca="1">IF(AND($D645="Serviço",AS$12&lt;&gt;0,$H645&gt;0,OR(AUTOEVENTO&lt;&gt;"manual",$M645&lt;&gt;1)),
IF(Import.TipoArredondamento&lt;&gt;"TransfereGOV",
ROUND(OFFSET($P645,0,AS$13),15-13*ORÇAMENTO!$AF$7)/$H645*OFFSET(ORÇAMENTO!$X$15,ROW(AS645)-ROW(AS$15),0),
ROUND(ROUND(OFFSET($P645,0,AS$13),15-13*ORÇAMENTO!$AF$7)*OFFSET(ORÇAMENTO!$W$15,ROW(AS645)-ROW(AS$15),0),15-13*ORÇAMENTO!$AF$11)),0)</f>
        <v>0</v>
      </c>
      <c r="AT645" s="545">
        <f ca="1">IF(AND($D645="Serviço",AT$12&lt;&gt;0,$H645&gt;0,OR(AUTOEVENTO&lt;&gt;"manual",$M645&lt;&gt;1)),
IF(Import.TipoArredondamento&lt;&gt;"TransfereGOV",
ROUND(OFFSET($P645,0,AT$13),15-13*ORÇAMENTO!$AF$7)/$H645*OFFSET(ORÇAMENTO!$X$15,ROW(AT645)-ROW(AT$15),0),
ROUND(ROUND(OFFSET($P645,0,AT$13),15-13*ORÇAMENTO!$AF$7)*OFFSET(ORÇAMENTO!$W$15,ROW(AT645)-ROW(AT$15),0),15-13*ORÇAMENTO!$AF$11)),0)</f>
        <v>0</v>
      </c>
      <c r="AU645" s="545">
        <f ca="1">IF(AND($D645="Serviço",AU$12&lt;&gt;0,$H645&gt;0,OR(AUTOEVENTO&lt;&gt;"manual",$M645&lt;&gt;1)),
IF(Import.TipoArredondamento&lt;&gt;"TransfereGOV",
ROUND(OFFSET($P645,0,AU$13),15-13*ORÇAMENTO!$AF$7)/$H645*OFFSET(ORÇAMENTO!$X$15,ROW(AU645)-ROW(AU$15),0),
ROUND(ROUND(OFFSET($P645,0,AU$13),15-13*ORÇAMENTO!$AF$7)*OFFSET(ORÇAMENTO!$W$15,ROW(AU645)-ROW(AU$15),0),15-13*ORÇAMENTO!$AF$11)),0)</f>
        <v>0</v>
      </c>
      <c r="AV645" s="545">
        <f ca="1">IF(AND($D645="Serviço",AV$12&lt;&gt;0,$H645&gt;0,OR(AUTOEVENTO&lt;&gt;"manual",$M645&lt;&gt;1)),
IF(Import.TipoArredondamento&lt;&gt;"TransfereGOV",
ROUND(OFFSET($P645,0,AV$13),15-13*ORÇAMENTO!$AF$7)/$H645*OFFSET(ORÇAMENTO!$X$15,ROW(AV645)-ROW(AV$15),0),
ROUND(ROUND(OFFSET($P645,0,AV$13),15-13*ORÇAMENTO!$AF$7)*OFFSET(ORÇAMENTO!$W$15,ROW(AV645)-ROW(AV$15),0),15-13*ORÇAMENTO!$AF$11)),0)</f>
        <v>0</v>
      </c>
      <c r="AW645" s="545">
        <f ca="1">IF(AND($D645="Serviço",AW$12&lt;&gt;0,$H645&gt;0,OR(AUTOEVENTO&lt;&gt;"manual",$M645&lt;&gt;1)),
IF(Import.TipoArredondamento&lt;&gt;"TransfereGOV",
ROUND(OFFSET($P645,0,AW$13),15-13*ORÇAMENTO!$AF$7)/$H645*OFFSET(ORÇAMENTO!$X$15,ROW(AW645)-ROW(AW$15),0),
ROUND(ROUND(OFFSET($P645,0,AW$13),15-13*ORÇAMENTO!$AF$7)*OFFSET(ORÇAMENTO!$W$15,ROW(AW645)-ROW(AW$15),0),15-13*ORÇAMENTO!$AF$11)),0)</f>
        <v>0</v>
      </c>
      <c r="AX645" s="545">
        <f ca="1">IF(AND($D645="Serviço",AX$12&lt;&gt;0,$H645&gt;0,OR(AUTOEVENTO&lt;&gt;"manual",$M645&lt;&gt;1)),
IF(Import.TipoArredondamento&lt;&gt;"TransfereGOV",
ROUND(OFFSET($P645,0,AX$13),15-13*ORÇAMENTO!$AF$7)/$H645*OFFSET(ORÇAMENTO!$X$15,ROW(AX645)-ROW(AX$15),0),
ROUND(ROUND(OFFSET($P645,0,AX$13),15-13*ORÇAMENTO!$AF$7)*OFFSET(ORÇAMENTO!$W$15,ROW(AX645)-ROW(AX$15),0),15-13*ORÇAMENTO!$AF$11)),0)</f>
        <v>0</v>
      </c>
      <c r="AY645" s="545">
        <f ca="1">IF(AND($D645="Serviço",AY$12&lt;&gt;0,$H645&gt;0,OR(AUTOEVENTO&lt;&gt;"manual",$M645&lt;&gt;1)),
IF(Import.TipoArredondamento&lt;&gt;"TransfereGOV",
ROUND(OFFSET($P645,0,AY$13),15-13*ORÇAMENTO!$AF$7)/$H645*OFFSET(ORÇAMENTO!$X$15,ROW(AY645)-ROW(AY$15),0),
ROUND(ROUND(OFFSET($P645,0,AY$13),15-13*ORÇAMENTO!$AF$7)*OFFSET(ORÇAMENTO!$W$15,ROW(AY645)-ROW(AY$15),0),15-13*ORÇAMENTO!$AF$11)),0)</f>
        <v>0</v>
      </c>
      <c r="AZ645" s="545">
        <f ca="1">IF(AND($D645="Serviço",AZ$12&lt;&gt;0,$H645&gt;0,OR(AUTOEVENTO&lt;&gt;"manual",$M645&lt;&gt;1)),
IF(Import.TipoArredondamento&lt;&gt;"TransfereGOV",
ROUND(OFFSET($P645,0,AZ$13),15-13*ORÇAMENTO!$AF$7)/$H645*OFFSET(ORÇAMENTO!$X$15,ROW(AZ645)-ROW(AZ$15),0),
ROUND(ROUND(OFFSET($P645,0,AZ$13),15-13*ORÇAMENTO!$AF$7)*OFFSET(ORÇAMENTO!$W$15,ROW(AZ645)-ROW(AZ$15),0),15-13*ORÇAMENTO!$AF$11)),0)</f>
        <v>0</v>
      </c>
      <c r="BA645" s="546">
        <f ca="1">IF(AND($D645="Serviço",BA$12&lt;&gt;0,$H645&gt;0,OR(AUTOEVENTO&lt;&gt;"manual",$M645&lt;&gt;1)),
IF(Import.TipoArredondamento&lt;&gt;"TransfereGOV",
ROUND(OFFSET($P645,0,BA$13),15-13*ORÇAMENTO!$AF$7)/$H645*OFFSET(ORÇAMENTO!$X$15,ROW(BA645)-ROW(BA$15),0),
ROUND(ROUND(OFFSET($P645,0,BA$13),15-13*ORÇAMENTO!$AF$7)*OFFSET(ORÇAMENTO!$W$15,ROW(BA645)-ROW(BA$15),0),15-13*ORÇAMENTO!$AF$11)),0)</f>
        <v>0</v>
      </c>
      <c r="BC645" s="181">
        <f ca="1">IF($D645&lt;&gt;"Serviço",0,IF(AND(AUTOEVENTO="Manual",$M645=1),0,IF(OFFSET(CRONOPLE!$F$14,$M645,BC$13)="",10^12,OFFSET(CRONOPLE!$F$14,$M645,BC$13))))</f>
        <v>11</v>
      </c>
      <c r="BD645" s="181">
        <f ca="1">IF($D645&lt;&gt;"Serviço",0,IF(AND(AUTOEVENTO="Manual",$M645=1),0,IF(OFFSET(CRONOPLE!$F$14,$M645,BD$13)="",10^12,OFFSET(CRONOPLE!$F$14,$M645,BD$13))))</f>
        <v>1000000000000</v>
      </c>
      <c r="BE645" s="181">
        <f ca="1">IF($D645&lt;&gt;"Serviço",0,IF(AND(AUTOEVENTO="Manual",$M645=1),0,IF(OFFSET(CRONOPLE!$F$14,$M645,BE$13)="",10^12,OFFSET(CRONOPLE!$F$14,$M645,BE$13))))</f>
        <v>1000000000000</v>
      </c>
      <c r="BF645" s="181">
        <f ca="1">IF($D645&lt;&gt;"Serviço",0,IF(AND(AUTOEVENTO="Manual",$M645=1),0,IF(OFFSET(CRONOPLE!$F$14,$M645,BF$13)="",10^12,OFFSET(CRONOPLE!$F$14,$M645,BF$13))))</f>
        <v>1000000000000</v>
      </c>
      <c r="BG645" s="181">
        <f ca="1">IF($D645&lt;&gt;"Serviço",0,IF(AND(AUTOEVENTO="Manual",$M645=1),0,IF(OFFSET(CRONOPLE!$F$14,$M645,BG$13)="",10^12,OFFSET(CRONOPLE!$F$14,$M645,BG$13))))</f>
        <v>1000000000000</v>
      </c>
      <c r="BH645" s="181">
        <f ca="1">IF($D645&lt;&gt;"Serviço",0,IF(AND(AUTOEVENTO="Manual",$M645=1),0,IF(OFFSET(CRONOPLE!$F$14,$M645,BH$13)="",10^12,OFFSET(CRONOPLE!$F$14,$M645,BH$13))))</f>
        <v>1000000000000</v>
      </c>
      <c r="BI645" s="181">
        <f ca="1">IF($D645&lt;&gt;"Serviço",0,IF(AND(AUTOEVENTO="Manual",$M645=1),0,IF(OFFSET(CRONOPLE!$F$14,$M645,BI$13)="",10^12,OFFSET(CRONOPLE!$F$14,$M645,BI$13))))</f>
        <v>1000000000000</v>
      </c>
      <c r="BJ645" s="181">
        <f ca="1">IF($D645&lt;&gt;"Serviço",0,IF(AND(AUTOEVENTO="Manual",$M645=1),0,IF(OFFSET(CRONOPLE!$F$14,$M645,BJ$13)="",10^12,OFFSET(CRONOPLE!$F$14,$M645,BJ$13))))</f>
        <v>1000000000000</v>
      </c>
      <c r="BK645" s="181">
        <f ca="1">IF($D645&lt;&gt;"Serviço",0,IF(AND(AUTOEVENTO="Manual",$M645=1),0,IF(OFFSET(CRONOPLE!$F$14,$M645,BK$13)="",10^12,OFFSET(CRONOPLE!$F$14,$M645,BK$13))))</f>
        <v>1000000000000</v>
      </c>
      <c r="BL645" s="181">
        <f ca="1">IF($D645&lt;&gt;"Serviço",0,IF(AND(AUTOEVENTO="Manual",$M645=1),0,IF(OFFSET(CRONOPLE!$F$14,$M645,BL$13)="",10^12,OFFSET(CRONOPLE!$F$14,$M645,BL$13))))</f>
        <v>1000000000000</v>
      </c>
      <c r="BM645" s="181">
        <f ca="1">IF($D645&lt;&gt;"Serviço",0,IF(AND(AUTOEVENTO="Manual",$M645=1),0,IF(OFFSET(CRONOPLE!$F$14,$M645,BM$13)="",10^12,OFFSET(CRONOPLE!$F$14,$M645,BM$13))))</f>
        <v>1000000000000</v>
      </c>
      <c r="BN645" s="181">
        <f ca="1">IF($D645&lt;&gt;"Serviço",0,IF(AND(AUTOEVENTO="Manual",$M645=1),0,IF(OFFSET(CRONOPLE!$F$14,$M645,BN$13)="",10^12,OFFSET(CRONOPLE!$F$14,$M645,BN$13))))</f>
        <v>1000000000000</v>
      </c>
      <c r="BO645" s="181">
        <f ca="1">IF($D645&lt;&gt;"Serviço",0,IF(AND(AUTOEVENTO="Manual",$M645=1),0,IF(OFFSET(CRONOPLE!$F$14,$M645,BO$13)="",10^12,OFFSET(CRONOPLE!$F$14,$M645,BO$13))))</f>
        <v>1000000000000</v>
      </c>
      <c r="BP645" s="181">
        <f ca="1">IF($D645&lt;&gt;"Serviço",0,IF(AND(AUTOEVENTO="Manual",$M645=1),0,IF(OFFSET(CRONOPLE!$F$14,$M645,BP$13)="",10^12,OFFSET(CRONOPLE!$F$14,$M645,BP$13))))</f>
        <v>1000000000000</v>
      </c>
      <c r="BQ645" s="181">
        <f ca="1">IF($D645&lt;&gt;"Serviço",0,IF(AND(AUTOEVENTO="Manual",$M645=1),0,IF(OFFSET(CRONOPLE!$F$14,$M645,BQ$13)="",10^12,OFFSET(CRONOPLE!$F$14,$M645,BQ$13))))</f>
        <v>1000000000000</v>
      </c>
      <c r="BR645" s="181">
        <f ca="1">IF($D645&lt;&gt;"Serviço",0,IF(AND(AUTOEVENTO="Manual",$M645=1),0,IF(OFFSET(CRONOPLE!$F$14,$M645,BR$13)="",10^12,OFFSET(CRONOPLE!$F$14,$M645,BR$13))))</f>
        <v>1000000000000</v>
      </c>
      <c r="BS645" s="181">
        <f ca="1">IF($D645&lt;&gt;"Serviço",0,IF(AND(AUTOEVENTO="Manual",$M645=1),0,IF(OFFSET(CRONOPLE!$F$14,$M645,BS$13)="",10^12,OFFSET(CRONOPLE!$F$14,$M645,BS$13))))</f>
        <v>1000000000000</v>
      </c>
      <c r="BT645" s="181">
        <f ca="1">IF($D645&lt;&gt;"Serviço",0,IF(AND(AUTOEVENTO="Manual",$M645=1),0,IF(OFFSET(CRONOPLE!$F$14,$M645,BT$13)="",10^12,OFFSET(CRONOPLE!$F$14,$M645,BT$13))))</f>
        <v>1000000000000</v>
      </c>
      <c r="BV645" s="182">
        <f ca="1">IF($D645&lt;&gt;"Serviço",0,IF(OR(AND(AUTOEVENTO="Manual",$M645=1),$M645&gt;(ROW(PLE.lastrow)-ROW(PLE.firstrow))),0,IF(OFFSET(PLE!$G$14,$M645,BV$13)="",10^12,OFFSET(PLE!$G$14,$M645,BV$13))))</f>
        <v>1000000000000</v>
      </c>
      <c r="BW645" s="182">
        <f ca="1">IF($D645&lt;&gt;"Serviço",0,IF(OR(AND(AUTOEVENTO="Manual",$M645=1),$M645&gt;(ROW(PLE.lastrow)-ROW(PLE.firstrow))),0,IF(OFFSET(PLE!$G$14,$M645,BW$13)="",10^12,OFFSET(PLE!$G$14,$M645,BW$13))))</f>
        <v>1000000000000</v>
      </c>
      <c r="BX645" s="182">
        <f ca="1">IF($D645&lt;&gt;"Serviço",0,IF(OR(AND(AUTOEVENTO="Manual",$M645=1),$M645&gt;(ROW(PLE.lastrow)-ROW(PLE.firstrow))),0,IF(OFFSET(PLE!$G$14,$M645,BX$13)="",10^12,OFFSET(PLE!$G$14,$M645,BX$13))))</f>
        <v>1000000000000</v>
      </c>
      <c r="BY645" s="182">
        <f ca="1">IF($D645&lt;&gt;"Serviço",0,IF(OR(AND(AUTOEVENTO="Manual",$M645=1),$M645&gt;(ROW(PLE.lastrow)-ROW(PLE.firstrow))),0,IF(OFFSET(PLE!$G$14,$M645,BY$13)="",10^12,OFFSET(PLE!$G$14,$M645,BY$13))))</f>
        <v>1000000000000</v>
      </c>
      <c r="BZ645" s="182">
        <f ca="1">IF($D645&lt;&gt;"Serviço",0,IF(OR(AND(AUTOEVENTO="Manual",$M645=1),$M645&gt;(ROW(PLE.lastrow)-ROW(PLE.firstrow))),0,IF(OFFSET(PLE!$G$14,$M645,BZ$13)="",10^12,OFFSET(PLE!$G$14,$M645,BZ$13))))</f>
        <v>1000000000000</v>
      </c>
      <c r="CA645" s="182">
        <f ca="1">IF($D645&lt;&gt;"Serviço",0,IF(OR(AND(AUTOEVENTO="Manual",$M645=1),$M645&gt;(ROW(PLE.lastrow)-ROW(PLE.firstrow))),0,IF(OFFSET(PLE!$G$14,$M645,CA$13)="",10^12,OFFSET(PLE!$G$14,$M645,CA$13))))</f>
        <v>1000000000000</v>
      </c>
      <c r="CB645" s="182">
        <f ca="1">IF($D645&lt;&gt;"Serviço",0,IF(OR(AND(AUTOEVENTO="Manual",$M645=1),$M645&gt;(ROW(PLE.lastrow)-ROW(PLE.firstrow))),0,IF(OFFSET(PLE!$G$14,$M645,CB$13)="",10^12,OFFSET(PLE!$G$14,$M645,CB$13))))</f>
        <v>1000000000000</v>
      </c>
      <c r="CC645" s="182">
        <f ca="1">IF($D645&lt;&gt;"Serviço",0,IF(OR(AND(AUTOEVENTO="Manual",$M645=1),$M645&gt;(ROW(PLE.lastrow)-ROW(PLE.firstrow))),0,IF(OFFSET(PLE!$G$14,$M645,CC$13)="",10^12,OFFSET(PLE!$G$14,$M645,CC$13))))</f>
        <v>1000000000000</v>
      </c>
      <c r="CD645" s="182">
        <f ca="1">IF($D645&lt;&gt;"Serviço",0,IF(OR(AND(AUTOEVENTO="Manual",$M645=1),$M645&gt;(ROW(PLE.lastrow)-ROW(PLE.firstrow))),0,IF(OFFSET(PLE!$G$14,$M645,CD$13)="",10^12,OFFSET(PLE!$G$14,$M645,CD$13))))</f>
        <v>1000000000000</v>
      </c>
      <c r="CE645" s="182">
        <f ca="1">IF($D645&lt;&gt;"Serviço",0,IF(OR(AND(AUTOEVENTO="Manual",$M645=1),$M645&gt;(ROW(PLE.lastrow)-ROW(PLE.firstrow))),0,IF(OFFSET(PLE!$G$14,$M645,CE$13)="",10^12,OFFSET(PLE!$G$14,$M645,CE$13))))</f>
        <v>1000000000000</v>
      </c>
      <c r="CF645" s="182">
        <f ca="1">IF($D645&lt;&gt;"Serviço",0,IF(OR(AND(AUTOEVENTO="Manual",$M645=1),$M645&gt;(ROW(PLE.lastrow)-ROW(PLE.firstrow))),0,IF(OFFSET(PLE!$G$14,$M645,CF$13)="",10^12,OFFSET(PLE!$G$14,$M645,CF$13))))</f>
        <v>1000000000000</v>
      </c>
      <c r="CG645" s="182">
        <f ca="1">IF($D645&lt;&gt;"Serviço",0,IF(OR(AND(AUTOEVENTO="Manual",$M645=1),$M645&gt;(ROW(PLE.lastrow)-ROW(PLE.firstrow))),0,IF(OFFSET(PLE!$G$14,$M645,CG$13)="",10^12,OFFSET(PLE!$G$14,$M645,CG$13))))</f>
        <v>1000000000000</v>
      </c>
      <c r="CH645" s="182">
        <f ca="1">IF($D645&lt;&gt;"Serviço",0,IF(OR(AND(AUTOEVENTO="Manual",$M645=1),$M645&gt;(ROW(PLE.lastrow)-ROW(PLE.firstrow))),0,IF(OFFSET(PLE!$G$14,$M645,CH$13)="",10^12,OFFSET(PLE!$G$14,$M645,CH$13))))</f>
        <v>1000000000000</v>
      </c>
      <c r="CI645" s="182">
        <f ca="1">IF($D645&lt;&gt;"Serviço",0,IF(OR(AND(AUTOEVENTO="Manual",$M645=1),$M645&gt;(ROW(PLE.lastrow)-ROW(PLE.firstrow))),0,IF(OFFSET(PLE!$G$14,$M645,CI$13)="",10^12,OFFSET(PLE!$G$14,$M645,CI$13))))</f>
        <v>1000000000000</v>
      </c>
      <c r="CJ645" s="182">
        <f ca="1">IF($D645&lt;&gt;"Serviço",0,IF(OR(AND(AUTOEVENTO="Manual",$M645=1),$M645&gt;(ROW(PLE.lastrow)-ROW(PLE.firstrow))),0,IF(OFFSET(PLE!$G$14,$M645,CJ$13)="",10^12,OFFSET(PLE!$G$14,$M645,CJ$13))))</f>
        <v>1000000000000</v>
      </c>
      <c r="CK645" s="182">
        <f ca="1">IF($D645&lt;&gt;"Serviço",0,IF(OR(AND(AUTOEVENTO="Manual",$M645=1),$M645&gt;(ROW(PLE.lastrow)-ROW(PLE.firstrow))),0,IF(OFFSET(PLE!$G$14,$M645,CK$13)="",10^12,OFFSET(PLE!$G$14,$M645,CK$13))))</f>
        <v>1000000000000</v>
      </c>
      <c r="CL645" s="182">
        <f ca="1">IF($D645&lt;&gt;"Serviço",0,IF(OR(AND(AUTOEVENTO="Manual",$M645=1),$M645&gt;(ROW(PLE.lastrow)-ROW(PLE.firstrow))),0,IF(OFFSET(PLE!$G$14,$M645,CL$13)="",10^12,OFFSET(PLE!$G$14,$M645,CL$13))))</f>
        <v>1000000000000</v>
      </c>
      <c r="CM645" s="182">
        <f ca="1">IF($D645&lt;&gt;"Serviço",0,IF(OR(AND(AUTOEVENTO="Manual",$M645=1),$M645&gt;(ROW(PLE.lastrow)-ROW(PLE.firstrow))),0,IF(OFFSET(PLE!$G$14,$M645,CM$13)="",10^12,OFFSET(PLE!$G$14,$M645,CM$13))))</f>
        <v>1000000000000</v>
      </c>
    </row>
    <row r="646" spans="1:91" ht="51" x14ac:dyDescent="0.2">
      <c r="A646" s="7" t="str">
        <f t="shared" ca="1" si="19"/>
        <v>628</v>
      </c>
      <c r="B646" s="7" t="str">
        <f ca="1">OFFSET(ORÇAMENTO!C$15,ROW(B646)-ROW(B$15),0)</f>
        <v>S</v>
      </c>
      <c r="C646" s="7" t="str">
        <f ca="1">OFFSET(ORÇAMENTO!L$15,ROW(C646)-ROW(C$15),0)</f>
        <v/>
      </c>
      <c r="D646" s="118" t="str">
        <f ca="1">OFFSET(ORÇAMENTO!N$15,ROW(D646)-ROW(D$15),0)</f>
        <v>Serviço</v>
      </c>
      <c r="E646" s="119" t="str">
        <f ca="1">OFFSET(ORÇAMENTO!O$15,ROW(E646)-ROW(E$15),0)</f>
        <v>-</v>
      </c>
      <c r="F646" s="172" t="str">
        <f ca="1">OFFSET(ORÇAMENTO!R$15,ROW(F646)-ROW(F$15),0)</f>
        <v>(abra o arquivo 'Referência 06-2024.xlsm)</v>
      </c>
      <c r="G646" s="173" t="str">
        <f ca="1">IF($D646&lt;&gt;"Serviço","",OFFSET(ORÇAMENTO!S$15,ROW(G646)-ROW(G$15),0))</f>
        <v>-</v>
      </c>
      <c r="H646" s="124">
        <f ca="1">IF($D646&lt;&gt;"Serviço",0,IF(ACOMPANHAMENTO="BM",ROUND(OFFSET(ORÇAMENTO!AJ$15,ROW(H646)-ROW(H$15),0),15-13*ORÇAMENTO!$AF$7),SUMPRODUCT(($Q$12:$AI$12&lt;&gt;"")*ROUND($Q646:$AI646,15-13*ORÇAMENTO!$AF$7))))</f>
        <v>258.39999999999998</v>
      </c>
      <c r="I646" s="561" t="s">
        <v>1107</v>
      </c>
      <c r="K646" s="174"/>
      <c r="L646" s="175" t="s">
        <v>255</v>
      </c>
      <c r="M646" s="176">
        <f ca="1">IF($D646&lt;&gt;"Serviço","",IF(AUTOEVENTO="manual",$A646,IF(ISERROR(MATCH($A646,$A$15:OFFSET($A646,-1,0),0)),MAX($M$15:OFFSET(M646,-1,0))+1,INDEX($M$15:OFFSET(M646,-1,0),MATCH($A646,$A$15:OFFSET($A646,-1,0),0)))))</f>
        <v>69</v>
      </c>
      <c r="N646" s="177" t="str">
        <f ca="1">IF($D646&lt;&gt;"Serviço","",IF(AUTOEVENTO="Manual",IF($A646=0,"&lt;-- defina o número do agrupador",OFFSET(EVENTOS!$D$14,$A646,0)),OFFSET($F$15,$A646,0)))</f>
        <v>INSTALAÇÕES DE CABEAMENTO ESTRUTURADO - ELETROCALHA E ELETRODUTOS</v>
      </c>
      <c r="O646" s="178"/>
      <c r="Q646" s="178">
        <v>258.39999999999998</v>
      </c>
      <c r="R646" s="179"/>
      <c r="S646" s="179"/>
      <c r="T646" s="179"/>
      <c r="U646" s="179"/>
      <c r="V646" s="179"/>
      <c r="W646" s="179"/>
      <c r="X646" s="179"/>
      <c r="Y646" s="179"/>
      <c r="Z646" s="180"/>
      <c r="AA646" s="179"/>
      <c r="AB646" s="179"/>
      <c r="AC646" s="179"/>
      <c r="AD646" s="179"/>
      <c r="AE646" s="179"/>
      <c r="AF646" s="179"/>
      <c r="AG646" s="179"/>
      <c r="AH646" s="180"/>
      <c r="AJ646" s="544">
        <f ca="1">IF(AND($D646="Serviço",AJ$12&lt;&gt;0,$H646&gt;0,OR(AUTOEVENTO&lt;&gt;"manual",$M646&lt;&gt;1)),
IF(Import.TipoArredondamento&lt;&gt;"TransfereGOV",
ROUND(OFFSET($P646,0,AJ$13),15-13*ORÇAMENTO!$AF$7)/$H646*OFFSET(ORÇAMENTO!$X$15,ROW(AJ646)-ROW(AJ$15),0),
ROUND(ROUND(OFFSET($P646,0,AJ$13),15-13*ORÇAMENTO!$AF$7)*OFFSET(ORÇAMENTO!$W$15,ROW(AJ646)-ROW(AJ$15),0),15-13*ORÇAMENTO!$AF$11)),0)</f>
        <v>0</v>
      </c>
      <c r="AK646" s="545">
        <f ca="1">IF(AND($D646="Serviço",AK$12&lt;&gt;0,$H646&gt;0,OR(AUTOEVENTO&lt;&gt;"manual",$M646&lt;&gt;1)),
IF(Import.TipoArredondamento&lt;&gt;"TransfereGOV",
ROUND(OFFSET($P646,0,AK$13),15-13*ORÇAMENTO!$AF$7)/$H646*OFFSET(ORÇAMENTO!$X$15,ROW(AK646)-ROW(AK$15),0),
ROUND(ROUND(OFFSET($P646,0,AK$13),15-13*ORÇAMENTO!$AF$7)*OFFSET(ORÇAMENTO!$W$15,ROW(AK646)-ROW(AK$15),0),15-13*ORÇAMENTO!$AF$11)),0)</f>
        <v>0</v>
      </c>
      <c r="AL646" s="545">
        <f ca="1">IF(AND($D646="Serviço",AL$12&lt;&gt;0,$H646&gt;0,OR(AUTOEVENTO&lt;&gt;"manual",$M646&lt;&gt;1)),
IF(Import.TipoArredondamento&lt;&gt;"TransfereGOV",
ROUND(OFFSET($P646,0,AL$13),15-13*ORÇAMENTO!$AF$7)/$H646*OFFSET(ORÇAMENTO!$X$15,ROW(AL646)-ROW(AL$15),0),
ROUND(ROUND(OFFSET($P646,0,AL$13),15-13*ORÇAMENTO!$AF$7)*OFFSET(ORÇAMENTO!$W$15,ROW(AL646)-ROW(AL$15),0),15-13*ORÇAMENTO!$AF$11)),0)</f>
        <v>0</v>
      </c>
      <c r="AM646" s="545">
        <f ca="1">IF(AND($D646="Serviço",AM$12&lt;&gt;0,$H646&gt;0,OR(AUTOEVENTO&lt;&gt;"manual",$M646&lt;&gt;1)),
IF(Import.TipoArredondamento&lt;&gt;"TransfereGOV",
ROUND(OFFSET($P646,0,AM$13),15-13*ORÇAMENTO!$AF$7)/$H646*OFFSET(ORÇAMENTO!$X$15,ROW(AM646)-ROW(AM$15),0),
ROUND(ROUND(OFFSET($P646,0,AM$13),15-13*ORÇAMENTO!$AF$7)*OFFSET(ORÇAMENTO!$W$15,ROW(AM646)-ROW(AM$15),0),15-13*ORÇAMENTO!$AF$11)),0)</f>
        <v>0</v>
      </c>
      <c r="AN646" s="545">
        <f ca="1">IF(AND($D646="Serviço",AN$12&lt;&gt;0,$H646&gt;0,OR(AUTOEVENTO&lt;&gt;"manual",$M646&lt;&gt;1)),
IF(Import.TipoArredondamento&lt;&gt;"TransfereGOV",
ROUND(OFFSET($P646,0,AN$13),15-13*ORÇAMENTO!$AF$7)/$H646*OFFSET(ORÇAMENTO!$X$15,ROW(AN646)-ROW(AN$15),0),
ROUND(ROUND(OFFSET($P646,0,AN$13),15-13*ORÇAMENTO!$AF$7)*OFFSET(ORÇAMENTO!$W$15,ROW(AN646)-ROW(AN$15),0),15-13*ORÇAMENTO!$AF$11)),0)</f>
        <v>0</v>
      </c>
      <c r="AO646" s="545">
        <f ca="1">IF(AND($D646="Serviço",AO$12&lt;&gt;0,$H646&gt;0,OR(AUTOEVENTO&lt;&gt;"manual",$M646&lt;&gt;1)),
IF(Import.TipoArredondamento&lt;&gt;"TransfereGOV",
ROUND(OFFSET($P646,0,AO$13),15-13*ORÇAMENTO!$AF$7)/$H646*OFFSET(ORÇAMENTO!$X$15,ROW(AO646)-ROW(AO$15),0),
ROUND(ROUND(OFFSET($P646,0,AO$13),15-13*ORÇAMENTO!$AF$7)*OFFSET(ORÇAMENTO!$W$15,ROW(AO646)-ROW(AO$15),0),15-13*ORÇAMENTO!$AF$11)),0)</f>
        <v>0</v>
      </c>
      <c r="AP646" s="545">
        <f ca="1">IF(AND($D646="Serviço",AP$12&lt;&gt;0,$H646&gt;0,OR(AUTOEVENTO&lt;&gt;"manual",$M646&lt;&gt;1)),
IF(Import.TipoArredondamento&lt;&gt;"TransfereGOV",
ROUND(OFFSET($P646,0,AP$13),15-13*ORÇAMENTO!$AF$7)/$H646*OFFSET(ORÇAMENTO!$X$15,ROW(AP646)-ROW(AP$15),0),
ROUND(ROUND(OFFSET($P646,0,AP$13),15-13*ORÇAMENTO!$AF$7)*OFFSET(ORÇAMENTO!$W$15,ROW(AP646)-ROW(AP$15),0),15-13*ORÇAMENTO!$AF$11)),0)</f>
        <v>0</v>
      </c>
      <c r="AQ646" s="545">
        <f ca="1">IF(AND($D646="Serviço",AQ$12&lt;&gt;0,$H646&gt;0,OR(AUTOEVENTO&lt;&gt;"manual",$M646&lt;&gt;1)),
IF(Import.TipoArredondamento&lt;&gt;"TransfereGOV",
ROUND(OFFSET($P646,0,AQ$13),15-13*ORÇAMENTO!$AF$7)/$H646*OFFSET(ORÇAMENTO!$X$15,ROW(AQ646)-ROW(AQ$15),0),
ROUND(ROUND(OFFSET($P646,0,AQ$13),15-13*ORÇAMENTO!$AF$7)*OFFSET(ORÇAMENTO!$W$15,ROW(AQ646)-ROW(AQ$15),0),15-13*ORÇAMENTO!$AF$11)),0)</f>
        <v>0</v>
      </c>
      <c r="AR646" s="545">
        <f ca="1">IF(AND($D646="Serviço",AR$12&lt;&gt;0,$H646&gt;0,OR(AUTOEVENTO&lt;&gt;"manual",$M646&lt;&gt;1)),
IF(Import.TipoArredondamento&lt;&gt;"TransfereGOV",
ROUND(OFFSET($P646,0,AR$13),15-13*ORÇAMENTO!$AF$7)/$H646*OFFSET(ORÇAMENTO!$X$15,ROW(AR646)-ROW(AR$15),0),
ROUND(ROUND(OFFSET($P646,0,AR$13),15-13*ORÇAMENTO!$AF$7)*OFFSET(ORÇAMENTO!$W$15,ROW(AR646)-ROW(AR$15),0),15-13*ORÇAMENTO!$AF$11)),0)</f>
        <v>0</v>
      </c>
      <c r="AS646" s="546">
        <f ca="1">IF(AND($D646="Serviço",AS$12&lt;&gt;0,$H646&gt;0,OR(AUTOEVENTO&lt;&gt;"manual",$M646&lt;&gt;1)),
IF(Import.TipoArredondamento&lt;&gt;"TransfereGOV",
ROUND(OFFSET($P646,0,AS$13),15-13*ORÇAMENTO!$AF$7)/$H646*OFFSET(ORÇAMENTO!$X$15,ROW(AS646)-ROW(AS$15),0),
ROUND(ROUND(OFFSET($P646,0,AS$13),15-13*ORÇAMENTO!$AF$7)*OFFSET(ORÇAMENTO!$W$15,ROW(AS646)-ROW(AS$15),0),15-13*ORÇAMENTO!$AF$11)),0)</f>
        <v>0</v>
      </c>
      <c r="AT646" s="545">
        <f ca="1">IF(AND($D646="Serviço",AT$12&lt;&gt;0,$H646&gt;0,OR(AUTOEVENTO&lt;&gt;"manual",$M646&lt;&gt;1)),
IF(Import.TipoArredondamento&lt;&gt;"TransfereGOV",
ROUND(OFFSET($P646,0,AT$13),15-13*ORÇAMENTO!$AF$7)/$H646*OFFSET(ORÇAMENTO!$X$15,ROW(AT646)-ROW(AT$15),0),
ROUND(ROUND(OFFSET($P646,0,AT$13),15-13*ORÇAMENTO!$AF$7)*OFFSET(ORÇAMENTO!$W$15,ROW(AT646)-ROW(AT$15),0),15-13*ORÇAMENTO!$AF$11)),0)</f>
        <v>0</v>
      </c>
      <c r="AU646" s="545">
        <f ca="1">IF(AND($D646="Serviço",AU$12&lt;&gt;0,$H646&gt;0,OR(AUTOEVENTO&lt;&gt;"manual",$M646&lt;&gt;1)),
IF(Import.TipoArredondamento&lt;&gt;"TransfereGOV",
ROUND(OFFSET($P646,0,AU$13),15-13*ORÇAMENTO!$AF$7)/$H646*OFFSET(ORÇAMENTO!$X$15,ROW(AU646)-ROW(AU$15),0),
ROUND(ROUND(OFFSET($P646,0,AU$13),15-13*ORÇAMENTO!$AF$7)*OFFSET(ORÇAMENTO!$W$15,ROW(AU646)-ROW(AU$15),0),15-13*ORÇAMENTO!$AF$11)),0)</f>
        <v>0</v>
      </c>
      <c r="AV646" s="545">
        <f ca="1">IF(AND($D646="Serviço",AV$12&lt;&gt;0,$H646&gt;0,OR(AUTOEVENTO&lt;&gt;"manual",$M646&lt;&gt;1)),
IF(Import.TipoArredondamento&lt;&gt;"TransfereGOV",
ROUND(OFFSET($P646,0,AV$13),15-13*ORÇAMENTO!$AF$7)/$H646*OFFSET(ORÇAMENTO!$X$15,ROW(AV646)-ROW(AV$15),0),
ROUND(ROUND(OFFSET($P646,0,AV$13),15-13*ORÇAMENTO!$AF$7)*OFFSET(ORÇAMENTO!$W$15,ROW(AV646)-ROW(AV$15),0),15-13*ORÇAMENTO!$AF$11)),0)</f>
        <v>0</v>
      </c>
      <c r="AW646" s="545">
        <f ca="1">IF(AND($D646="Serviço",AW$12&lt;&gt;0,$H646&gt;0,OR(AUTOEVENTO&lt;&gt;"manual",$M646&lt;&gt;1)),
IF(Import.TipoArredondamento&lt;&gt;"TransfereGOV",
ROUND(OFFSET($P646,0,AW$13),15-13*ORÇAMENTO!$AF$7)/$H646*OFFSET(ORÇAMENTO!$X$15,ROW(AW646)-ROW(AW$15),0),
ROUND(ROUND(OFFSET($P646,0,AW$13),15-13*ORÇAMENTO!$AF$7)*OFFSET(ORÇAMENTO!$W$15,ROW(AW646)-ROW(AW$15),0),15-13*ORÇAMENTO!$AF$11)),0)</f>
        <v>0</v>
      </c>
      <c r="AX646" s="545">
        <f ca="1">IF(AND($D646="Serviço",AX$12&lt;&gt;0,$H646&gt;0,OR(AUTOEVENTO&lt;&gt;"manual",$M646&lt;&gt;1)),
IF(Import.TipoArredondamento&lt;&gt;"TransfereGOV",
ROUND(OFFSET($P646,0,AX$13),15-13*ORÇAMENTO!$AF$7)/$H646*OFFSET(ORÇAMENTO!$X$15,ROW(AX646)-ROW(AX$15),0),
ROUND(ROUND(OFFSET($P646,0,AX$13),15-13*ORÇAMENTO!$AF$7)*OFFSET(ORÇAMENTO!$W$15,ROW(AX646)-ROW(AX$15),0),15-13*ORÇAMENTO!$AF$11)),0)</f>
        <v>0</v>
      </c>
      <c r="AY646" s="545">
        <f ca="1">IF(AND($D646="Serviço",AY$12&lt;&gt;0,$H646&gt;0,OR(AUTOEVENTO&lt;&gt;"manual",$M646&lt;&gt;1)),
IF(Import.TipoArredondamento&lt;&gt;"TransfereGOV",
ROUND(OFFSET($P646,0,AY$13),15-13*ORÇAMENTO!$AF$7)/$H646*OFFSET(ORÇAMENTO!$X$15,ROW(AY646)-ROW(AY$15),0),
ROUND(ROUND(OFFSET($P646,0,AY$13),15-13*ORÇAMENTO!$AF$7)*OFFSET(ORÇAMENTO!$W$15,ROW(AY646)-ROW(AY$15),0),15-13*ORÇAMENTO!$AF$11)),0)</f>
        <v>0</v>
      </c>
      <c r="AZ646" s="545">
        <f ca="1">IF(AND($D646="Serviço",AZ$12&lt;&gt;0,$H646&gt;0,OR(AUTOEVENTO&lt;&gt;"manual",$M646&lt;&gt;1)),
IF(Import.TipoArredondamento&lt;&gt;"TransfereGOV",
ROUND(OFFSET($P646,0,AZ$13),15-13*ORÇAMENTO!$AF$7)/$H646*OFFSET(ORÇAMENTO!$X$15,ROW(AZ646)-ROW(AZ$15),0),
ROUND(ROUND(OFFSET($P646,0,AZ$13),15-13*ORÇAMENTO!$AF$7)*OFFSET(ORÇAMENTO!$W$15,ROW(AZ646)-ROW(AZ$15),0),15-13*ORÇAMENTO!$AF$11)),0)</f>
        <v>0</v>
      </c>
      <c r="BA646" s="546">
        <f ca="1">IF(AND($D646="Serviço",BA$12&lt;&gt;0,$H646&gt;0,OR(AUTOEVENTO&lt;&gt;"manual",$M646&lt;&gt;1)),
IF(Import.TipoArredondamento&lt;&gt;"TransfereGOV",
ROUND(OFFSET($P646,0,BA$13),15-13*ORÇAMENTO!$AF$7)/$H646*OFFSET(ORÇAMENTO!$X$15,ROW(BA646)-ROW(BA$15),0),
ROUND(ROUND(OFFSET($P646,0,BA$13),15-13*ORÇAMENTO!$AF$7)*OFFSET(ORÇAMENTO!$W$15,ROW(BA646)-ROW(BA$15),0),15-13*ORÇAMENTO!$AF$11)),0)</f>
        <v>0</v>
      </c>
      <c r="BC646" s="181">
        <f ca="1">IF($D646&lt;&gt;"Serviço",0,IF(AND(AUTOEVENTO="Manual",$M646=1),0,IF(OFFSET(CRONOPLE!$F$14,$M646,BC$13)="",10^12,OFFSET(CRONOPLE!$F$14,$M646,BC$13))))</f>
        <v>11</v>
      </c>
      <c r="BD646" s="181">
        <f ca="1">IF($D646&lt;&gt;"Serviço",0,IF(AND(AUTOEVENTO="Manual",$M646=1),0,IF(OFFSET(CRONOPLE!$F$14,$M646,BD$13)="",10^12,OFFSET(CRONOPLE!$F$14,$M646,BD$13))))</f>
        <v>1000000000000</v>
      </c>
      <c r="BE646" s="181">
        <f ca="1">IF($D646&lt;&gt;"Serviço",0,IF(AND(AUTOEVENTO="Manual",$M646=1),0,IF(OFFSET(CRONOPLE!$F$14,$M646,BE$13)="",10^12,OFFSET(CRONOPLE!$F$14,$M646,BE$13))))</f>
        <v>1000000000000</v>
      </c>
      <c r="BF646" s="181">
        <f ca="1">IF($D646&lt;&gt;"Serviço",0,IF(AND(AUTOEVENTO="Manual",$M646=1),0,IF(OFFSET(CRONOPLE!$F$14,$M646,BF$13)="",10^12,OFFSET(CRONOPLE!$F$14,$M646,BF$13))))</f>
        <v>1000000000000</v>
      </c>
      <c r="BG646" s="181">
        <f ca="1">IF($D646&lt;&gt;"Serviço",0,IF(AND(AUTOEVENTO="Manual",$M646=1),0,IF(OFFSET(CRONOPLE!$F$14,$M646,BG$13)="",10^12,OFFSET(CRONOPLE!$F$14,$M646,BG$13))))</f>
        <v>1000000000000</v>
      </c>
      <c r="BH646" s="181">
        <f ca="1">IF($D646&lt;&gt;"Serviço",0,IF(AND(AUTOEVENTO="Manual",$M646=1),0,IF(OFFSET(CRONOPLE!$F$14,$M646,BH$13)="",10^12,OFFSET(CRONOPLE!$F$14,$M646,BH$13))))</f>
        <v>1000000000000</v>
      </c>
      <c r="BI646" s="181">
        <f ca="1">IF($D646&lt;&gt;"Serviço",0,IF(AND(AUTOEVENTO="Manual",$M646=1),0,IF(OFFSET(CRONOPLE!$F$14,$M646,BI$13)="",10^12,OFFSET(CRONOPLE!$F$14,$M646,BI$13))))</f>
        <v>1000000000000</v>
      </c>
      <c r="BJ646" s="181">
        <f ca="1">IF($D646&lt;&gt;"Serviço",0,IF(AND(AUTOEVENTO="Manual",$M646=1),0,IF(OFFSET(CRONOPLE!$F$14,$M646,BJ$13)="",10^12,OFFSET(CRONOPLE!$F$14,$M646,BJ$13))))</f>
        <v>1000000000000</v>
      </c>
      <c r="BK646" s="181">
        <f ca="1">IF($D646&lt;&gt;"Serviço",0,IF(AND(AUTOEVENTO="Manual",$M646=1),0,IF(OFFSET(CRONOPLE!$F$14,$M646,BK$13)="",10^12,OFFSET(CRONOPLE!$F$14,$M646,BK$13))))</f>
        <v>1000000000000</v>
      </c>
      <c r="BL646" s="181">
        <f ca="1">IF($D646&lt;&gt;"Serviço",0,IF(AND(AUTOEVENTO="Manual",$M646=1),0,IF(OFFSET(CRONOPLE!$F$14,$M646,BL$13)="",10^12,OFFSET(CRONOPLE!$F$14,$M646,BL$13))))</f>
        <v>1000000000000</v>
      </c>
      <c r="BM646" s="181">
        <f ca="1">IF($D646&lt;&gt;"Serviço",0,IF(AND(AUTOEVENTO="Manual",$M646=1),0,IF(OFFSET(CRONOPLE!$F$14,$M646,BM$13)="",10^12,OFFSET(CRONOPLE!$F$14,$M646,BM$13))))</f>
        <v>1000000000000</v>
      </c>
      <c r="BN646" s="181">
        <f ca="1">IF($D646&lt;&gt;"Serviço",0,IF(AND(AUTOEVENTO="Manual",$M646=1),0,IF(OFFSET(CRONOPLE!$F$14,$M646,BN$13)="",10^12,OFFSET(CRONOPLE!$F$14,$M646,BN$13))))</f>
        <v>1000000000000</v>
      </c>
      <c r="BO646" s="181">
        <f ca="1">IF($D646&lt;&gt;"Serviço",0,IF(AND(AUTOEVENTO="Manual",$M646=1),0,IF(OFFSET(CRONOPLE!$F$14,$M646,BO$13)="",10^12,OFFSET(CRONOPLE!$F$14,$M646,BO$13))))</f>
        <v>1000000000000</v>
      </c>
      <c r="BP646" s="181">
        <f ca="1">IF($D646&lt;&gt;"Serviço",0,IF(AND(AUTOEVENTO="Manual",$M646=1),0,IF(OFFSET(CRONOPLE!$F$14,$M646,BP$13)="",10^12,OFFSET(CRONOPLE!$F$14,$M646,BP$13))))</f>
        <v>1000000000000</v>
      </c>
      <c r="BQ646" s="181">
        <f ca="1">IF($D646&lt;&gt;"Serviço",0,IF(AND(AUTOEVENTO="Manual",$M646=1),0,IF(OFFSET(CRONOPLE!$F$14,$M646,BQ$13)="",10^12,OFFSET(CRONOPLE!$F$14,$M646,BQ$13))))</f>
        <v>1000000000000</v>
      </c>
      <c r="BR646" s="181">
        <f ca="1">IF($D646&lt;&gt;"Serviço",0,IF(AND(AUTOEVENTO="Manual",$M646=1),0,IF(OFFSET(CRONOPLE!$F$14,$M646,BR$13)="",10^12,OFFSET(CRONOPLE!$F$14,$M646,BR$13))))</f>
        <v>1000000000000</v>
      </c>
      <c r="BS646" s="181">
        <f ca="1">IF($D646&lt;&gt;"Serviço",0,IF(AND(AUTOEVENTO="Manual",$M646=1),0,IF(OFFSET(CRONOPLE!$F$14,$M646,BS$13)="",10^12,OFFSET(CRONOPLE!$F$14,$M646,BS$13))))</f>
        <v>1000000000000</v>
      </c>
      <c r="BT646" s="181">
        <f ca="1">IF($D646&lt;&gt;"Serviço",0,IF(AND(AUTOEVENTO="Manual",$M646=1),0,IF(OFFSET(CRONOPLE!$F$14,$M646,BT$13)="",10^12,OFFSET(CRONOPLE!$F$14,$M646,BT$13))))</f>
        <v>1000000000000</v>
      </c>
      <c r="BV646" s="182">
        <f ca="1">IF($D646&lt;&gt;"Serviço",0,IF(OR(AND(AUTOEVENTO="Manual",$M646=1),$M646&gt;(ROW(PLE.lastrow)-ROW(PLE.firstrow))),0,IF(OFFSET(PLE!$G$14,$M646,BV$13)="",10^12,OFFSET(PLE!$G$14,$M646,BV$13))))</f>
        <v>1000000000000</v>
      </c>
      <c r="BW646" s="182">
        <f ca="1">IF($D646&lt;&gt;"Serviço",0,IF(OR(AND(AUTOEVENTO="Manual",$M646=1),$M646&gt;(ROW(PLE.lastrow)-ROW(PLE.firstrow))),0,IF(OFFSET(PLE!$G$14,$M646,BW$13)="",10^12,OFFSET(PLE!$G$14,$M646,BW$13))))</f>
        <v>1000000000000</v>
      </c>
      <c r="BX646" s="182">
        <f ca="1">IF($D646&lt;&gt;"Serviço",0,IF(OR(AND(AUTOEVENTO="Manual",$M646=1),$M646&gt;(ROW(PLE.lastrow)-ROW(PLE.firstrow))),0,IF(OFFSET(PLE!$G$14,$M646,BX$13)="",10^12,OFFSET(PLE!$G$14,$M646,BX$13))))</f>
        <v>1000000000000</v>
      </c>
      <c r="BY646" s="182">
        <f ca="1">IF($D646&lt;&gt;"Serviço",0,IF(OR(AND(AUTOEVENTO="Manual",$M646=1),$M646&gt;(ROW(PLE.lastrow)-ROW(PLE.firstrow))),0,IF(OFFSET(PLE!$G$14,$M646,BY$13)="",10^12,OFFSET(PLE!$G$14,$M646,BY$13))))</f>
        <v>1000000000000</v>
      </c>
      <c r="BZ646" s="182">
        <f ca="1">IF($D646&lt;&gt;"Serviço",0,IF(OR(AND(AUTOEVENTO="Manual",$M646=1),$M646&gt;(ROW(PLE.lastrow)-ROW(PLE.firstrow))),0,IF(OFFSET(PLE!$G$14,$M646,BZ$13)="",10^12,OFFSET(PLE!$G$14,$M646,BZ$13))))</f>
        <v>1000000000000</v>
      </c>
      <c r="CA646" s="182">
        <f ca="1">IF($D646&lt;&gt;"Serviço",0,IF(OR(AND(AUTOEVENTO="Manual",$M646=1),$M646&gt;(ROW(PLE.lastrow)-ROW(PLE.firstrow))),0,IF(OFFSET(PLE!$G$14,$M646,CA$13)="",10^12,OFFSET(PLE!$G$14,$M646,CA$13))))</f>
        <v>1000000000000</v>
      </c>
      <c r="CB646" s="182">
        <f ca="1">IF($D646&lt;&gt;"Serviço",0,IF(OR(AND(AUTOEVENTO="Manual",$M646=1),$M646&gt;(ROW(PLE.lastrow)-ROW(PLE.firstrow))),0,IF(OFFSET(PLE!$G$14,$M646,CB$13)="",10^12,OFFSET(PLE!$G$14,$M646,CB$13))))</f>
        <v>1000000000000</v>
      </c>
      <c r="CC646" s="182">
        <f ca="1">IF($D646&lt;&gt;"Serviço",0,IF(OR(AND(AUTOEVENTO="Manual",$M646=1),$M646&gt;(ROW(PLE.lastrow)-ROW(PLE.firstrow))),0,IF(OFFSET(PLE!$G$14,$M646,CC$13)="",10^12,OFFSET(PLE!$G$14,$M646,CC$13))))</f>
        <v>1000000000000</v>
      </c>
      <c r="CD646" s="182">
        <f ca="1">IF($D646&lt;&gt;"Serviço",0,IF(OR(AND(AUTOEVENTO="Manual",$M646=1),$M646&gt;(ROW(PLE.lastrow)-ROW(PLE.firstrow))),0,IF(OFFSET(PLE!$G$14,$M646,CD$13)="",10^12,OFFSET(PLE!$G$14,$M646,CD$13))))</f>
        <v>1000000000000</v>
      </c>
      <c r="CE646" s="182">
        <f ca="1">IF($D646&lt;&gt;"Serviço",0,IF(OR(AND(AUTOEVENTO="Manual",$M646=1),$M646&gt;(ROW(PLE.lastrow)-ROW(PLE.firstrow))),0,IF(OFFSET(PLE!$G$14,$M646,CE$13)="",10^12,OFFSET(PLE!$G$14,$M646,CE$13))))</f>
        <v>1000000000000</v>
      </c>
      <c r="CF646" s="182">
        <f ca="1">IF($D646&lt;&gt;"Serviço",0,IF(OR(AND(AUTOEVENTO="Manual",$M646=1),$M646&gt;(ROW(PLE.lastrow)-ROW(PLE.firstrow))),0,IF(OFFSET(PLE!$G$14,$M646,CF$13)="",10^12,OFFSET(PLE!$G$14,$M646,CF$13))))</f>
        <v>1000000000000</v>
      </c>
      <c r="CG646" s="182">
        <f ca="1">IF($D646&lt;&gt;"Serviço",0,IF(OR(AND(AUTOEVENTO="Manual",$M646=1),$M646&gt;(ROW(PLE.lastrow)-ROW(PLE.firstrow))),0,IF(OFFSET(PLE!$G$14,$M646,CG$13)="",10^12,OFFSET(PLE!$G$14,$M646,CG$13))))</f>
        <v>1000000000000</v>
      </c>
      <c r="CH646" s="182">
        <f ca="1">IF($D646&lt;&gt;"Serviço",0,IF(OR(AND(AUTOEVENTO="Manual",$M646=1),$M646&gt;(ROW(PLE.lastrow)-ROW(PLE.firstrow))),0,IF(OFFSET(PLE!$G$14,$M646,CH$13)="",10^12,OFFSET(PLE!$G$14,$M646,CH$13))))</f>
        <v>1000000000000</v>
      </c>
      <c r="CI646" s="182">
        <f ca="1">IF($D646&lt;&gt;"Serviço",0,IF(OR(AND(AUTOEVENTO="Manual",$M646=1),$M646&gt;(ROW(PLE.lastrow)-ROW(PLE.firstrow))),0,IF(OFFSET(PLE!$G$14,$M646,CI$13)="",10^12,OFFSET(PLE!$G$14,$M646,CI$13))))</f>
        <v>1000000000000</v>
      </c>
      <c r="CJ646" s="182">
        <f ca="1">IF($D646&lt;&gt;"Serviço",0,IF(OR(AND(AUTOEVENTO="Manual",$M646=1),$M646&gt;(ROW(PLE.lastrow)-ROW(PLE.firstrow))),0,IF(OFFSET(PLE!$G$14,$M646,CJ$13)="",10^12,OFFSET(PLE!$G$14,$M646,CJ$13))))</f>
        <v>1000000000000</v>
      </c>
      <c r="CK646" s="182">
        <f ca="1">IF($D646&lt;&gt;"Serviço",0,IF(OR(AND(AUTOEVENTO="Manual",$M646=1),$M646&gt;(ROW(PLE.lastrow)-ROW(PLE.firstrow))),0,IF(OFFSET(PLE!$G$14,$M646,CK$13)="",10^12,OFFSET(PLE!$G$14,$M646,CK$13))))</f>
        <v>1000000000000</v>
      </c>
      <c r="CL646" s="182">
        <f ca="1">IF($D646&lt;&gt;"Serviço",0,IF(OR(AND(AUTOEVENTO="Manual",$M646=1),$M646&gt;(ROW(PLE.lastrow)-ROW(PLE.firstrow))),0,IF(OFFSET(PLE!$G$14,$M646,CL$13)="",10^12,OFFSET(PLE!$G$14,$M646,CL$13))))</f>
        <v>1000000000000</v>
      </c>
      <c r="CM646" s="182">
        <f ca="1">IF($D646&lt;&gt;"Serviço",0,IF(OR(AND(AUTOEVENTO="Manual",$M646=1),$M646&gt;(ROW(PLE.lastrow)-ROW(PLE.firstrow))),0,IF(OFFSET(PLE!$G$14,$M646,CM$13)="",10^12,OFFSET(PLE!$G$14,$M646,CM$13))))</f>
        <v>1000000000000</v>
      </c>
    </row>
    <row r="647" spans="1:91" ht="51" x14ac:dyDescent="0.2">
      <c r="A647" s="7" t="str">
        <f t="shared" ca="1" si="19"/>
        <v>628</v>
      </c>
      <c r="B647" s="7" t="str">
        <f ca="1">OFFSET(ORÇAMENTO!C$15,ROW(B647)-ROW(B$15),0)</f>
        <v>S</v>
      </c>
      <c r="C647" s="7" t="str">
        <f ca="1">OFFSET(ORÇAMENTO!L$15,ROW(C647)-ROW(C$15),0)</f>
        <v/>
      </c>
      <c r="D647" s="118" t="str">
        <f ca="1">OFFSET(ORÇAMENTO!N$15,ROW(D647)-ROW(D$15),0)</f>
        <v>Serviço</v>
      </c>
      <c r="E647" s="119" t="str">
        <f ca="1">OFFSET(ORÇAMENTO!O$15,ROW(E647)-ROW(E$15),0)</f>
        <v>-</v>
      </c>
      <c r="F647" s="172" t="str">
        <f ca="1">OFFSET(ORÇAMENTO!R$15,ROW(F647)-ROW(F$15),0)</f>
        <v>(abra o arquivo 'Referência 06-2024.xlsm)</v>
      </c>
      <c r="G647" s="173" t="str">
        <f ca="1">IF($D647&lt;&gt;"Serviço","",OFFSET(ORÇAMENTO!S$15,ROW(G647)-ROW(G$15),0))</f>
        <v>-</v>
      </c>
      <c r="H647" s="124">
        <f ca="1">IF($D647&lt;&gt;"Serviço",0,IF(ACOMPANHAMENTO="BM",ROUND(OFFSET(ORÇAMENTO!AJ$15,ROW(H647)-ROW(H$15),0),15-13*ORÇAMENTO!$AF$7),SUMPRODUCT(($Q$12:$AI$12&lt;&gt;"")*ROUND($Q647:$AI647,15-13*ORÇAMENTO!$AF$7))))</f>
        <v>51.8</v>
      </c>
      <c r="I647" s="561" t="s">
        <v>1107</v>
      </c>
      <c r="K647" s="174"/>
      <c r="L647" s="175" t="s">
        <v>255</v>
      </c>
      <c r="M647" s="176">
        <f ca="1">IF($D647&lt;&gt;"Serviço","",IF(AUTOEVENTO="manual",$A647,IF(ISERROR(MATCH($A647,$A$15:OFFSET($A647,-1,0),0)),MAX($M$15:OFFSET(M647,-1,0))+1,INDEX($M$15:OFFSET(M647,-1,0),MATCH($A647,$A$15:OFFSET($A647,-1,0),0)))))</f>
        <v>69</v>
      </c>
      <c r="N647" s="177" t="str">
        <f ca="1">IF($D647&lt;&gt;"Serviço","",IF(AUTOEVENTO="Manual",IF($A647=0,"&lt;-- defina o número do agrupador",OFFSET(EVENTOS!$D$14,$A647,0)),OFFSET($F$15,$A647,0)))</f>
        <v>INSTALAÇÕES DE CABEAMENTO ESTRUTURADO - ELETROCALHA E ELETRODUTOS</v>
      </c>
      <c r="O647" s="178"/>
      <c r="Q647" s="178">
        <v>51.8</v>
      </c>
      <c r="R647" s="179"/>
      <c r="S647" s="179"/>
      <c r="T647" s="179"/>
      <c r="U647" s="179"/>
      <c r="V647" s="179"/>
      <c r="W647" s="179"/>
      <c r="X647" s="179"/>
      <c r="Y647" s="179"/>
      <c r="Z647" s="180"/>
      <c r="AA647" s="179"/>
      <c r="AB647" s="179"/>
      <c r="AC647" s="179"/>
      <c r="AD647" s="179"/>
      <c r="AE647" s="179"/>
      <c r="AF647" s="179"/>
      <c r="AG647" s="179"/>
      <c r="AH647" s="180"/>
      <c r="AJ647" s="544">
        <f ca="1">IF(AND($D647="Serviço",AJ$12&lt;&gt;0,$H647&gt;0,OR(AUTOEVENTO&lt;&gt;"manual",$M647&lt;&gt;1)),
IF(Import.TipoArredondamento&lt;&gt;"TransfereGOV",
ROUND(OFFSET($P647,0,AJ$13),15-13*ORÇAMENTO!$AF$7)/$H647*OFFSET(ORÇAMENTO!$X$15,ROW(AJ647)-ROW(AJ$15),0),
ROUND(ROUND(OFFSET($P647,0,AJ$13),15-13*ORÇAMENTO!$AF$7)*OFFSET(ORÇAMENTO!$W$15,ROW(AJ647)-ROW(AJ$15),0),15-13*ORÇAMENTO!$AF$11)),0)</f>
        <v>0</v>
      </c>
      <c r="AK647" s="545">
        <f ca="1">IF(AND($D647="Serviço",AK$12&lt;&gt;0,$H647&gt;0,OR(AUTOEVENTO&lt;&gt;"manual",$M647&lt;&gt;1)),
IF(Import.TipoArredondamento&lt;&gt;"TransfereGOV",
ROUND(OFFSET($P647,0,AK$13),15-13*ORÇAMENTO!$AF$7)/$H647*OFFSET(ORÇAMENTO!$X$15,ROW(AK647)-ROW(AK$15),0),
ROUND(ROUND(OFFSET($P647,0,AK$13),15-13*ORÇAMENTO!$AF$7)*OFFSET(ORÇAMENTO!$W$15,ROW(AK647)-ROW(AK$15),0),15-13*ORÇAMENTO!$AF$11)),0)</f>
        <v>0</v>
      </c>
      <c r="AL647" s="545">
        <f ca="1">IF(AND($D647="Serviço",AL$12&lt;&gt;0,$H647&gt;0,OR(AUTOEVENTO&lt;&gt;"manual",$M647&lt;&gt;1)),
IF(Import.TipoArredondamento&lt;&gt;"TransfereGOV",
ROUND(OFFSET($P647,0,AL$13),15-13*ORÇAMENTO!$AF$7)/$H647*OFFSET(ORÇAMENTO!$X$15,ROW(AL647)-ROW(AL$15),0),
ROUND(ROUND(OFFSET($P647,0,AL$13),15-13*ORÇAMENTO!$AF$7)*OFFSET(ORÇAMENTO!$W$15,ROW(AL647)-ROW(AL$15),0),15-13*ORÇAMENTO!$AF$11)),0)</f>
        <v>0</v>
      </c>
      <c r="AM647" s="545">
        <f ca="1">IF(AND($D647="Serviço",AM$12&lt;&gt;0,$H647&gt;0,OR(AUTOEVENTO&lt;&gt;"manual",$M647&lt;&gt;1)),
IF(Import.TipoArredondamento&lt;&gt;"TransfereGOV",
ROUND(OFFSET($P647,0,AM$13),15-13*ORÇAMENTO!$AF$7)/$H647*OFFSET(ORÇAMENTO!$X$15,ROW(AM647)-ROW(AM$15),0),
ROUND(ROUND(OFFSET($P647,0,AM$13),15-13*ORÇAMENTO!$AF$7)*OFFSET(ORÇAMENTO!$W$15,ROW(AM647)-ROW(AM$15),0),15-13*ORÇAMENTO!$AF$11)),0)</f>
        <v>0</v>
      </c>
      <c r="AN647" s="545">
        <f ca="1">IF(AND($D647="Serviço",AN$12&lt;&gt;0,$H647&gt;0,OR(AUTOEVENTO&lt;&gt;"manual",$M647&lt;&gt;1)),
IF(Import.TipoArredondamento&lt;&gt;"TransfereGOV",
ROUND(OFFSET($P647,0,AN$13),15-13*ORÇAMENTO!$AF$7)/$H647*OFFSET(ORÇAMENTO!$X$15,ROW(AN647)-ROW(AN$15),0),
ROUND(ROUND(OFFSET($P647,0,AN$13),15-13*ORÇAMENTO!$AF$7)*OFFSET(ORÇAMENTO!$W$15,ROW(AN647)-ROW(AN$15),0),15-13*ORÇAMENTO!$AF$11)),0)</f>
        <v>0</v>
      </c>
      <c r="AO647" s="545">
        <f ca="1">IF(AND($D647="Serviço",AO$12&lt;&gt;0,$H647&gt;0,OR(AUTOEVENTO&lt;&gt;"manual",$M647&lt;&gt;1)),
IF(Import.TipoArredondamento&lt;&gt;"TransfereGOV",
ROUND(OFFSET($P647,0,AO$13),15-13*ORÇAMENTO!$AF$7)/$H647*OFFSET(ORÇAMENTO!$X$15,ROW(AO647)-ROW(AO$15),0),
ROUND(ROUND(OFFSET($P647,0,AO$13),15-13*ORÇAMENTO!$AF$7)*OFFSET(ORÇAMENTO!$W$15,ROW(AO647)-ROW(AO$15),0),15-13*ORÇAMENTO!$AF$11)),0)</f>
        <v>0</v>
      </c>
      <c r="AP647" s="545">
        <f ca="1">IF(AND($D647="Serviço",AP$12&lt;&gt;0,$H647&gt;0,OR(AUTOEVENTO&lt;&gt;"manual",$M647&lt;&gt;1)),
IF(Import.TipoArredondamento&lt;&gt;"TransfereGOV",
ROUND(OFFSET($P647,0,AP$13),15-13*ORÇAMENTO!$AF$7)/$H647*OFFSET(ORÇAMENTO!$X$15,ROW(AP647)-ROW(AP$15),0),
ROUND(ROUND(OFFSET($P647,0,AP$13),15-13*ORÇAMENTO!$AF$7)*OFFSET(ORÇAMENTO!$W$15,ROW(AP647)-ROW(AP$15),0),15-13*ORÇAMENTO!$AF$11)),0)</f>
        <v>0</v>
      </c>
      <c r="AQ647" s="545">
        <f ca="1">IF(AND($D647="Serviço",AQ$12&lt;&gt;0,$H647&gt;0,OR(AUTOEVENTO&lt;&gt;"manual",$M647&lt;&gt;1)),
IF(Import.TipoArredondamento&lt;&gt;"TransfereGOV",
ROUND(OFFSET($P647,0,AQ$13),15-13*ORÇAMENTO!$AF$7)/$H647*OFFSET(ORÇAMENTO!$X$15,ROW(AQ647)-ROW(AQ$15),0),
ROUND(ROUND(OFFSET($P647,0,AQ$13),15-13*ORÇAMENTO!$AF$7)*OFFSET(ORÇAMENTO!$W$15,ROW(AQ647)-ROW(AQ$15),0),15-13*ORÇAMENTO!$AF$11)),0)</f>
        <v>0</v>
      </c>
      <c r="AR647" s="545">
        <f ca="1">IF(AND($D647="Serviço",AR$12&lt;&gt;0,$H647&gt;0,OR(AUTOEVENTO&lt;&gt;"manual",$M647&lt;&gt;1)),
IF(Import.TipoArredondamento&lt;&gt;"TransfereGOV",
ROUND(OFFSET($P647,0,AR$13),15-13*ORÇAMENTO!$AF$7)/$H647*OFFSET(ORÇAMENTO!$X$15,ROW(AR647)-ROW(AR$15),0),
ROUND(ROUND(OFFSET($P647,0,AR$13),15-13*ORÇAMENTO!$AF$7)*OFFSET(ORÇAMENTO!$W$15,ROW(AR647)-ROW(AR$15),0),15-13*ORÇAMENTO!$AF$11)),0)</f>
        <v>0</v>
      </c>
      <c r="AS647" s="546">
        <f ca="1">IF(AND($D647="Serviço",AS$12&lt;&gt;0,$H647&gt;0,OR(AUTOEVENTO&lt;&gt;"manual",$M647&lt;&gt;1)),
IF(Import.TipoArredondamento&lt;&gt;"TransfereGOV",
ROUND(OFFSET($P647,0,AS$13),15-13*ORÇAMENTO!$AF$7)/$H647*OFFSET(ORÇAMENTO!$X$15,ROW(AS647)-ROW(AS$15),0),
ROUND(ROUND(OFFSET($P647,0,AS$13),15-13*ORÇAMENTO!$AF$7)*OFFSET(ORÇAMENTO!$W$15,ROW(AS647)-ROW(AS$15),0),15-13*ORÇAMENTO!$AF$11)),0)</f>
        <v>0</v>
      </c>
      <c r="AT647" s="545">
        <f ca="1">IF(AND($D647="Serviço",AT$12&lt;&gt;0,$H647&gt;0,OR(AUTOEVENTO&lt;&gt;"manual",$M647&lt;&gt;1)),
IF(Import.TipoArredondamento&lt;&gt;"TransfereGOV",
ROUND(OFFSET($P647,0,AT$13),15-13*ORÇAMENTO!$AF$7)/$H647*OFFSET(ORÇAMENTO!$X$15,ROW(AT647)-ROW(AT$15),0),
ROUND(ROUND(OFFSET($P647,0,AT$13),15-13*ORÇAMENTO!$AF$7)*OFFSET(ORÇAMENTO!$W$15,ROW(AT647)-ROW(AT$15),0),15-13*ORÇAMENTO!$AF$11)),0)</f>
        <v>0</v>
      </c>
      <c r="AU647" s="545">
        <f ca="1">IF(AND($D647="Serviço",AU$12&lt;&gt;0,$H647&gt;0,OR(AUTOEVENTO&lt;&gt;"manual",$M647&lt;&gt;1)),
IF(Import.TipoArredondamento&lt;&gt;"TransfereGOV",
ROUND(OFFSET($P647,0,AU$13),15-13*ORÇAMENTO!$AF$7)/$H647*OFFSET(ORÇAMENTO!$X$15,ROW(AU647)-ROW(AU$15),0),
ROUND(ROUND(OFFSET($P647,0,AU$13),15-13*ORÇAMENTO!$AF$7)*OFFSET(ORÇAMENTO!$W$15,ROW(AU647)-ROW(AU$15),0),15-13*ORÇAMENTO!$AF$11)),0)</f>
        <v>0</v>
      </c>
      <c r="AV647" s="545">
        <f ca="1">IF(AND($D647="Serviço",AV$12&lt;&gt;0,$H647&gt;0,OR(AUTOEVENTO&lt;&gt;"manual",$M647&lt;&gt;1)),
IF(Import.TipoArredondamento&lt;&gt;"TransfereGOV",
ROUND(OFFSET($P647,0,AV$13),15-13*ORÇAMENTO!$AF$7)/$H647*OFFSET(ORÇAMENTO!$X$15,ROW(AV647)-ROW(AV$15),0),
ROUND(ROUND(OFFSET($P647,0,AV$13),15-13*ORÇAMENTO!$AF$7)*OFFSET(ORÇAMENTO!$W$15,ROW(AV647)-ROW(AV$15),0),15-13*ORÇAMENTO!$AF$11)),0)</f>
        <v>0</v>
      </c>
      <c r="AW647" s="545">
        <f ca="1">IF(AND($D647="Serviço",AW$12&lt;&gt;0,$H647&gt;0,OR(AUTOEVENTO&lt;&gt;"manual",$M647&lt;&gt;1)),
IF(Import.TipoArredondamento&lt;&gt;"TransfereGOV",
ROUND(OFFSET($P647,0,AW$13),15-13*ORÇAMENTO!$AF$7)/$H647*OFFSET(ORÇAMENTO!$X$15,ROW(AW647)-ROW(AW$15),0),
ROUND(ROUND(OFFSET($P647,0,AW$13),15-13*ORÇAMENTO!$AF$7)*OFFSET(ORÇAMENTO!$W$15,ROW(AW647)-ROW(AW$15),0),15-13*ORÇAMENTO!$AF$11)),0)</f>
        <v>0</v>
      </c>
      <c r="AX647" s="545">
        <f ca="1">IF(AND($D647="Serviço",AX$12&lt;&gt;0,$H647&gt;0,OR(AUTOEVENTO&lt;&gt;"manual",$M647&lt;&gt;1)),
IF(Import.TipoArredondamento&lt;&gt;"TransfereGOV",
ROUND(OFFSET($P647,0,AX$13),15-13*ORÇAMENTO!$AF$7)/$H647*OFFSET(ORÇAMENTO!$X$15,ROW(AX647)-ROW(AX$15),0),
ROUND(ROUND(OFFSET($P647,0,AX$13),15-13*ORÇAMENTO!$AF$7)*OFFSET(ORÇAMENTO!$W$15,ROW(AX647)-ROW(AX$15),0),15-13*ORÇAMENTO!$AF$11)),0)</f>
        <v>0</v>
      </c>
      <c r="AY647" s="545">
        <f ca="1">IF(AND($D647="Serviço",AY$12&lt;&gt;0,$H647&gt;0,OR(AUTOEVENTO&lt;&gt;"manual",$M647&lt;&gt;1)),
IF(Import.TipoArredondamento&lt;&gt;"TransfereGOV",
ROUND(OFFSET($P647,0,AY$13),15-13*ORÇAMENTO!$AF$7)/$H647*OFFSET(ORÇAMENTO!$X$15,ROW(AY647)-ROW(AY$15),0),
ROUND(ROUND(OFFSET($P647,0,AY$13),15-13*ORÇAMENTO!$AF$7)*OFFSET(ORÇAMENTO!$W$15,ROW(AY647)-ROW(AY$15),0),15-13*ORÇAMENTO!$AF$11)),0)</f>
        <v>0</v>
      </c>
      <c r="AZ647" s="545">
        <f ca="1">IF(AND($D647="Serviço",AZ$12&lt;&gt;0,$H647&gt;0,OR(AUTOEVENTO&lt;&gt;"manual",$M647&lt;&gt;1)),
IF(Import.TipoArredondamento&lt;&gt;"TransfereGOV",
ROUND(OFFSET($P647,0,AZ$13),15-13*ORÇAMENTO!$AF$7)/$H647*OFFSET(ORÇAMENTO!$X$15,ROW(AZ647)-ROW(AZ$15),0),
ROUND(ROUND(OFFSET($P647,0,AZ$13),15-13*ORÇAMENTO!$AF$7)*OFFSET(ORÇAMENTO!$W$15,ROW(AZ647)-ROW(AZ$15),0),15-13*ORÇAMENTO!$AF$11)),0)</f>
        <v>0</v>
      </c>
      <c r="BA647" s="546">
        <f ca="1">IF(AND($D647="Serviço",BA$12&lt;&gt;0,$H647&gt;0,OR(AUTOEVENTO&lt;&gt;"manual",$M647&lt;&gt;1)),
IF(Import.TipoArredondamento&lt;&gt;"TransfereGOV",
ROUND(OFFSET($P647,0,BA$13),15-13*ORÇAMENTO!$AF$7)/$H647*OFFSET(ORÇAMENTO!$X$15,ROW(BA647)-ROW(BA$15),0),
ROUND(ROUND(OFFSET($P647,0,BA$13),15-13*ORÇAMENTO!$AF$7)*OFFSET(ORÇAMENTO!$W$15,ROW(BA647)-ROW(BA$15),0),15-13*ORÇAMENTO!$AF$11)),0)</f>
        <v>0</v>
      </c>
      <c r="BC647" s="181">
        <f ca="1">IF($D647&lt;&gt;"Serviço",0,IF(AND(AUTOEVENTO="Manual",$M647=1),0,IF(OFFSET(CRONOPLE!$F$14,$M647,BC$13)="",10^12,OFFSET(CRONOPLE!$F$14,$M647,BC$13))))</f>
        <v>11</v>
      </c>
      <c r="BD647" s="181">
        <f ca="1">IF($D647&lt;&gt;"Serviço",0,IF(AND(AUTOEVENTO="Manual",$M647=1),0,IF(OFFSET(CRONOPLE!$F$14,$M647,BD$13)="",10^12,OFFSET(CRONOPLE!$F$14,$M647,BD$13))))</f>
        <v>1000000000000</v>
      </c>
      <c r="BE647" s="181">
        <f ca="1">IF($D647&lt;&gt;"Serviço",0,IF(AND(AUTOEVENTO="Manual",$M647=1),0,IF(OFFSET(CRONOPLE!$F$14,$M647,BE$13)="",10^12,OFFSET(CRONOPLE!$F$14,$M647,BE$13))))</f>
        <v>1000000000000</v>
      </c>
      <c r="BF647" s="181">
        <f ca="1">IF($D647&lt;&gt;"Serviço",0,IF(AND(AUTOEVENTO="Manual",$M647=1),0,IF(OFFSET(CRONOPLE!$F$14,$M647,BF$13)="",10^12,OFFSET(CRONOPLE!$F$14,$M647,BF$13))))</f>
        <v>1000000000000</v>
      </c>
      <c r="BG647" s="181">
        <f ca="1">IF($D647&lt;&gt;"Serviço",0,IF(AND(AUTOEVENTO="Manual",$M647=1),0,IF(OFFSET(CRONOPLE!$F$14,$M647,BG$13)="",10^12,OFFSET(CRONOPLE!$F$14,$M647,BG$13))))</f>
        <v>1000000000000</v>
      </c>
      <c r="BH647" s="181">
        <f ca="1">IF($D647&lt;&gt;"Serviço",0,IF(AND(AUTOEVENTO="Manual",$M647=1),0,IF(OFFSET(CRONOPLE!$F$14,$M647,BH$13)="",10^12,OFFSET(CRONOPLE!$F$14,$M647,BH$13))))</f>
        <v>1000000000000</v>
      </c>
      <c r="BI647" s="181">
        <f ca="1">IF($D647&lt;&gt;"Serviço",0,IF(AND(AUTOEVENTO="Manual",$M647=1),0,IF(OFFSET(CRONOPLE!$F$14,$M647,BI$13)="",10^12,OFFSET(CRONOPLE!$F$14,$M647,BI$13))))</f>
        <v>1000000000000</v>
      </c>
      <c r="BJ647" s="181">
        <f ca="1">IF($D647&lt;&gt;"Serviço",0,IF(AND(AUTOEVENTO="Manual",$M647=1),0,IF(OFFSET(CRONOPLE!$F$14,$M647,BJ$13)="",10^12,OFFSET(CRONOPLE!$F$14,$M647,BJ$13))))</f>
        <v>1000000000000</v>
      </c>
      <c r="BK647" s="181">
        <f ca="1">IF($D647&lt;&gt;"Serviço",0,IF(AND(AUTOEVENTO="Manual",$M647=1),0,IF(OFFSET(CRONOPLE!$F$14,$M647,BK$13)="",10^12,OFFSET(CRONOPLE!$F$14,$M647,BK$13))))</f>
        <v>1000000000000</v>
      </c>
      <c r="BL647" s="181">
        <f ca="1">IF($D647&lt;&gt;"Serviço",0,IF(AND(AUTOEVENTO="Manual",$M647=1),0,IF(OFFSET(CRONOPLE!$F$14,$M647,BL$13)="",10^12,OFFSET(CRONOPLE!$F$14,$M647,BL$13))))</f>
        <v>1000000000000</v>
      </c>
      <c r="BM647" s="181">
        <f ca="1">IF($D647&lt;&gt;"Serviço",0,IF(AND(AUTOEVENTO="Manual",$M647=1),0,IF(OFFSET(CRONOPLE!$F$14,$M647,BM$13)="",10^12,OFFSET(CRONOPLE!$F$14,$M647,BM$13))))</f>
        <v>1000000000000</v>
      </c>
      <c r="BN647" s="181">
        <f ca="1">IF($D647&lt;&gt;"Serviço",0,IF(AND(AUTOEVENTO="Manual",$M647=1),0,IF(OFFSET(CRONOPLE!$F$14,$M647,BN$13)="",10^12,OFFSET(CRONOPLE!$F$14,$M647,BN$13))))</f>
        <v>1000000000000</v>
      </c>
      <c r="BO647" s="181">
        <f ca="1">IF($D647&lt;&gt;"Serviço",0,IF(AND(AUTOEVENTO="Manual",$M647=1),0,IF(OFFSET(CRONOPLE!$F$14,$M647,BO$13)="",10^12,OFFSET(CRONOPLE!$F$14,$M647,BO$13))))</f>
        <v>1000000000000</v>
      </c>
      <c r="BP647" s="181">
        <f ca="1">IF($D647&lt;&gt;"Serviço",0,IF(AND(AUTOEVENTO="Manual",$M647=1),0,IF(OFFSET(CRONOPLE!$F$14,$M647,BP$13)="",10^12,OFFSET(CRONOPLE!$F$14,$M647,BP$13))))</f>
        <v>1000000000000</v>
      </c>
      <c r="BQ647" s="181">
        <f ca="1">IF($D647&lt;&gt;"Serviço",0,IF(AND(AUTOEVENTO="Manual",$M647=1),0,IF(OFFSET(CRONOPLE!$F$14,$M647,BQ$13)="",10^12,OFFSET(CRONOPLE!$F$14,$M647,BQ$13))))</f>
        <v>1000000000000</v>
      </c>
      <c r="BR647" s="181">
        <f ca="1">IF($D647&lt;&gt;"Serviço",0,IF(AND(AUTOEVENTO="Manual",$M647=1),0,IF(OFFSET(CRONOPLE!$F$14,$M647,BR$13)="",10^12,OFFSET(CRONOPLE!$F$14,$M647,BR$13))))</f>
        <v>1000000000000</v>
      </c>
      <c r="BS647" s="181">
        <f ca="1">IF($D647&lt;&gt;"Serviço",0,IF(AND(AUTOEVENTO="Manual",$M647=1),0,IF(OFFSET(CRONOPLE!$F$14,$M647,BS$13)="",10^12,OFFSET(CRONOPLE!$F$14,$M647,BS$13))))</f>
        <v>1000000000000</v>
      </c>
      <c r="BT647" s="181">
        <f ca="1">IF($D647&lt;&gt;"Serviço",0,IF(AND(AUTOEVENTO="Manual",$M647=1),0,IF(OFFSET(CRONOPLE!$F$14,$M647,BT$13)="",10^12,OFFSET(CRONOPLE!$F$14,$M647,BT$13))))</f>
        <v>1000000000000</v>
      </c>
      <c r="BV647" s="182">
        <f ca="1">IF($D647&lt;&gt;"Serviço",0,IF(OR(AND(AUTOEVENTO="Manual",$M647=1),$M647&gt;(ROW(PLE.lastrow)-ROW(PLE.firstrow))),0,IF(OFFSET(PLE!$G$14,$M647,BV$13)="",10^12,OFFSET(PLE!$G$14,$M647,BV$13))))</f>
        <v>1000000000000</v>
      </c>
      <c r="BW647" s="182">
        <f ca="1">IF($D647&lt;&gt;"Serviço",0,IF(OR(AND(AUTOEVENTO="Manual",$M647=1),$M647&gt;(ROW(PLE.lastrow)-ROW(PLE.firstrow))),0,IF(OFFSET(PLE!$G$14,$M647,BW$13)="",10^12,OFFSET(PLE!$G$14,$M647,BW$13))))</f>
        <v>1000000000000</v>
      </c>
      <c r="BX647" s="182">
        <f ca="1">IF($D647&lt;&gt;"Serviço",0,IF(OR(AND(AUTOEVENTO="Manual",$M647=1),$M647&gt;(ROW(PLE.lastrow)-ROW(PLE.firstrow))),0,IF(OFFSET(PLE!$G$14,$M647,BX$13)="",10^12,OFFSET(PLE!$G$14,$M647,BX$13))))</f>
        <v>1000000000000</v>
      </c>
      <c r="BY647" s="182">
        <f ca="1">IF($D647&lt;&gt;"Serviço",0,IF(OR(AND(AUTOEVENTO="Manual",$M647=1),$M647&gt;(ROW(PLE.lastrow)-ROW(PLE.firstrow))),0,IF(OFFSET(PLE!$G$14,$M647,BY$13)="",10^12,OFFSET(PLE!$G$14,$M647,BY$13))))</f>
        <v>1000000000000</v>
      </c>
      <c r="BZ647" s="182">
        <f ca="1">IF($D647&lt;&gt;"Serviço",0,IF(OR(AND(AUTOEVENTO="Manual",$M647=1),$M647&gt;(ROW(PLE.lastrow)-ROW(PLE.firstrow))),0,IF(OFFSET(PLE!$G$14,$M647,BZ$13)="",10^12,OFFSET(PLE!$G$14,$M647,BZ$13))))</f>
        <v>1000000000000</v>
      </c>
      <c r="CA647" s="182">
        <f ca="1">IF($D647&lt;&gt;"Serviço",0,IF(OR(AND(AUTOEVENTO="Manual",$M647=1),$M647&gt;(ROW(PLE.lastrow)-ROW(PLE.firstrow))),0,IF(OFFSET(PLE!$G$14,$M647,CA$13)="",10^12,OFFSET(PLE!$G$14,$M647,CA$13))))</f>
        <v>1000000000000</v>
      </c>
      <c r="CB647" s="182">
        <f ca="1">IF($D647&lt;&gt;"Serviço",0,IF(OR(AND(AUTOEVENTO="Manual",$M647=1),$M647&gt;(ROW(PLE.lastrow)-ROW(PLE.firstrow))),0,IF(OFFSET(PLE!$G$14,$M647,CB$13)="",10^12,OFFSET(PLE!$G$14,$M647,CB$13))))</f>
        <v>1000000000000</v>
      </c>
      <c r="CC647" s="182">
        <f ca="1">IF($D647&lt;&gt;"Serviço",0,IF(OR(AND(AUTOEVENTO="Manual",$M647=1),$M647&gt;(ROW(PLE.lastrow)-ROW(PLE.firstrow))),0,IF(OFFSET(PLE!$G$14,$M647,CC$13)="",10^12,OFFSET(PLE!$G$14,$M647,CC$13))))</f>
        <v>1000000000000</v>
      </c>
      <c r="CD647" s="182">
        <f ca="1">IF($D647&lt;&gt;"Serviço",0,IF(OR(AND(AUTOEVENTO="Manual",$M647=1),$M647&gt;(ROW(PLE.lastrow)-ROW(PLE.firstrow))),0,IF(OFFSET(PLE!$G$14,$M647,CD$13)="",10^12,OFFSET(PLE!$G$14,$M647,CD$13))))</f>
        <v>1000000000000</v>
      </c>
      <c r="CE647" s="182">
        <f ca="1">IF($D647&lt;&gt;"Serviço",0,IF(OR(AND(AUTOEVENTO="Manual",$M647=1),$M647&gt;(ROW(PLE.lastrow)-ROW(PLE.firstrow))),0,IF(OFFSET(PLE!$G$14,$M647,CE$13)="",10^12,OFFSET(PLE!$G$14,$M647,CE$13))))</f>
        <v>1000000000000</v>
      </c>
      <c r="CF647" s="182">
        <f ca="1">IF($D647&lt;&gt;"Serviço",0,IF(OR(AND(AUTOEVENTO="Manual",$M647=1),$M647&gt;(ROW(PLE.lastrow)-ROW(PLE.firstrow))),0,IF(OFFSET(PLE!$G$14,$M647,CF$13)="",10^12,OFFSET(PLE!$G$14,$M647,CF$13))))</f>
        <v>1000000000000</v>
      </c>
      <c r="CG647" s="182">
        <f ca="1">IF($D647&lt;&gt;"Serviço",0,IF(OR(AND(AUTOEVENTO="Manual",$M647=1),$M647&gt;(ROW(PLE.lastrow)-ROW(PLE.firstrow))),0,IF(OFFSET(PLE!$G$14,$M647,CG$13)="",10^12,OFFSET(PLE!$G$14,$M647,CG$13))))</f>
        <v>1000000000000</v>
      </c>
      <c r="CH647" s="182">
        <f ca="1">IF($D647&lt;&gt;"Serviço",0,IF(OR(AND(AUTOEVENTO="Manual",$M647=1),$M647&gt;(ROW(PLE.lastrow)-ROW(PLE.firstrow))),0,IF(OFFSET(PLE!$G$14,$M647,CH$13)="",10^12,OFFSET(PLE!$G$14,$M647,CH$13))))</f>
        <v>1000000000000</v>
      </c>
      <c r="CI647" s="182">
        <f ca="1">IF($D647&lt;&gt;"Serviço",0,IF(OR(AND(AUTOEVENTO="Manual",$M647=1),$M647&gt;(ROW(PLE.lastrow)-ROW(PLE.firstrow))),0,IF(OFFSET(PLE!$G$14,$M647,CI$13)="",10^12,OFFSET(PLE!$G$14,$M647,CI$13))))</f>
        <v>1000000000000</v>
      </c>
      <c r="CJ647" s="182">
        <f ca="1">IF($D647&lt;&gt;"Serviço",0,IF(OR(AND(AUTOEVENTO="Manual",$M647=1),$M647&gt;(ROW(PLE.lastrow)-ROW(PLE.firstrow))),0,IF(OFFSET(PLE!$G$14,$M647,CJ$13)="",10^12,OFFSET(PLE!$G$14,$M647,CJ$13))))</f>
        <v>1000000000000</v>
      </c>
      <c r="CK647" s="182">
        <f ca="1">IF($D647&lt;&gt;"Serviço",0,IF(OR(AND(AUTOEVENTO="Manual",$M647=1),$M647&gt;(ROW(PLE.lastrow)-ROW(PLE.firstrow))),0,IF(OFFSET(PLE!$G$14,$M647,CK$13)="",10^12,OFFSET(PLE!$G$14,$M647,CK$13))))</f>
        <v>1000000000000</v>
      </c>
      <c r="CL647" s="182">
        <f ca="1">IF($D647&lt;&gt;"Serviço",0,IF(OR(AND(AUTOEVENTO="Manual",$M647=1),$M647&gt;(ROW(PLE.lastrow)-ROW(PLE.firstrow))),0,IF(OFFSET(PLE!$G$14,$M647,CL$13)="",10^12,OFFSET(PLE!$G$14,$M647,CL$13))))</f>
        <v>1000000000000</v>
      </c>
      <c r="CM647" s="182">
        <f ca="1">IF($D647&lt;&gt;"Serviço",0,IF(OR(AND(AUTOEVENTO="Manual",$M647=1),$M647&gt;(ROW(PLE.lastrow)-ROW(PLE.firstrow))),0,IF(OFFSET(PLE!$G$14,$M647,CM$13)="",10^12,OFFSET(PLE!$G$14,$M647,CM$13))))</f>
        <v>1000000000000</v>
      </c>
    </row>
    <row r="648" spans="1:91" ht="51" x14ac:dyDescent="0.2">
      <c r="A648" s="7" t="str">
        <f t="shared" ca="1" si="19"/>
        <v>628</v>
      </c>
      <c r="B648" s="7" t="str">
        <f ca="1">OFFSET(ORÇAMENTO!C$15,ROW(B648)-ROW(B$15),0)</f>
        <v>S</v>
      </c>
      <c r="C648" s="7" t="str">
        <f ca="1">OFFSET(ORÇAMENTO!L$15,ROW(C648)-ROW(C$15),0)</f>
        <v/>
      </c>
      <c r="D648" s="118" t="str">
        <f ca="1">OFFSET(ORÇAMENTO!N$15,ROW(D648)-ROW(D$15),0)</f>
        <v>Serviço</v>
      </c>
      <c r="E648" s="119" t="str">
        <f ca="1">OFFSET(ORÇAMENTO!O$15,ROW(E648)-ROW(E$15),0)</f>
        <v>-</v>
      </c>
      <c r="F648" s="172" t="str">
        <f ca="1">OFFSET(ORÇAMENTO!R$15,ROW(F648)-ROW(F$15),0)</f>
        <v>(abra o arquivo 'Referência 06-2024.xlsm)</v>
      </c>
      <c r="G648" s="173" t="str">
        <f ca="1">IF($D648&lt;&gt;"Serviço","",OFFSET(ORÇAMENTO!S$15,ROW(G648)-ROW(G$15),0))</f>
        <v>-</v>
      </c>
      <c r="H648" s="124">
        <f ca="1">IF($D648&lt;&gt;"Serviço",0,IF(ACOMPANHAMENTO="BM",ROUND(OFFSET(ORÇAMENTO!AJ$15,ROW(H648)-ROW(H$15),0),15-13*ORÇAMENTO!$AF$7),SUMPRODUCT(($Q$12:$AI$12&lt;&gt;"")*ROUND($Q648:$AI648,15-13*ORÇAMENTO!$AF$7))))</f>
        <v>46.9</v>
      </c>
      <c r="I648" s="561" t="s">
        <v>1107</v>
      </c>
      <c r="K648" s="174"/>
      <c r="L648" s="175" t="s">
        <v>255</v>
      </c>
      <c r="M648" s="176">
        <f ca="1">IF($D648&lt;&gt;"Serviço","",IF(AUTOEVENTO="manual",$A648,IF(ISERROR(MATCH($A648,$A$15:OFFSET($A648,-1,0),0)),MAX($M$15:OFFSET(M648,-1,0))+1,INDEX($M$15:OFFSET(M648,-1,0),MATCH($A648,$A$15:OFFSET($A648,-1,0),0)))))</f>
        <v>69</v>
      </c>
      <c r="N648" s="177" t="str">
        <f ca="1">IF($D648&lt;&gt;"Serviço","",IF(AUTOEVENTO="Manual",IF($A648=0,"&lt;-- defina o número do agrupador",OFFSET(EVENTOS!$D$14,$A648,0)),OFFSET($F$15,$A648,0)))</f>
        <v>INSTALAÇÕES DE CABEAMENTO ESTRUTURADO - ELETROCALHA E ELETRODUTOS</v>
      </c>
      <c r="O648" s="178"/>
      <c r="Q648" s="178">
        <v>46.9</v>
      </c>
      <c r="R648" s="179"/>
      <c r="S648" s="179"/>
      <c r="T648" s="179"/>
      <c r="U648" s="179"/>
      <c r="V648" s="179"/>
      <c r="W648" s="179"/>
      <c r="X648" s="179"/>
      <c r="Y648" s="179"/>
      <c r="Z648" s="180"/>
      <c r="AA648" s="179"/>
      <c r="AB648" s="179"/>
      <c r="AC648" s="179"/>
      <c r="AD648" s="179"/>
      <c r="AE648" s="179"/>
      <c r="AF648" s="179"/>
      <c r="AG648" s="179"/>
      <c r="AH648" s="180"/>
      <c r="AJ648" s="544">
        <f ca="1">IF(AND($D648="Serviço",AJ$12&lt;&gt;0,$H648&gt;0,OR(AUTOEVENTO&lt;&gt;"manual",$M648&lt;&gt;1)),
IF(Import.TipoArredondamento&lt;&gt;"TransfereGOV",
ROUND(OFFSET($P648,0,AJ$13),15-13*ORÇAMENTO!$AF$7)/$H648*OFFSET(ORÇAMENTO!$X$15,ROW(AJ648)-ROW(AJ$15),0),
ROUND(ROUND(OFFSET($P648,0,AJ$13),15-13*ORÇAMENTO!$AF$7)*OFFSET(ORÇAMENTO!$W$15,ROW(AJ648)-ROW(AJ$15),0),15-13*ORÇAMENTO!$AF$11)),0)</f>
        <v>0</v>
      </c>
      <c r="AK648" s="545">
        <f ca="1">IF(AND($D648="Serviço",AK$12&lt;&gt;0,$H648&gt;0,OR(AUTOEVENTO&lt;&gt;"manual",$M648&lt;&gt;1)),
IF(Import.TipoArredondamento&lt;&gt;"TransfereGOV",
ROUND(OFFSET($P648,0,AK$13),15-13*ORÇAMENTO!$AF$7)/$H648*OFFSET(ORÇAMENTO!$X$15,ROW(AK648)-ROW(AK$15),0),
ROUND(ROUND(OFFSET($P648,0,AK$13),15-13*ORÇAMENTO!$AF$7)*OFFSET(ORÇAMENTO!$W$15,ROW(AK648)-ROW(AK$15),0),15-13*ORÇAMENTO!$AF$11)),0)</f>
        <v>0</v>
      </c>
      <c r="AL648" s="545">
        <f ca="1">IF(AND($D648="Serviço",AL$12&lt;&gt;0,$H648&gt;0,OR(AUTOEVENTO&lt;&gt;"manual",$M648&lt;&gt;1)),
IF(Import.TipoArredondamento&lt;&gt;"TransfereGOV",
ROUND(OFFSET($P648,0,AL$13),15-13*ORÇAMENTO!$AF$7)/$H648*OFFSET(ORÇAMENTO!$X$15,ROW(AL648)-ROW(AL$15),0),
ROUND(ROUND(OFFSET($P648,0,AL$13),15-13*ORÇAMENTO!$AF$7)*OFFSET(ORÇAMENTO!$W$15,ROW(AL648)-ROW(AL$15),0),15-13*ORÇAMENTO!$AF$11)),0)</f>
        <v>0</v>
      </c>
      <c r="AM648" s="545">
        <f ca="1">IF(AND($D648="Serviço",AM$12&lt;&gt;0,$H648&gt;0,OR(AUTOEVENTO&lt;&gt;"manual",$M648&lt;&gt;1)),
IF(Import.TipoArredondamento&lt;&gt;"TransfereGOV",
ROUND(OFFSET($P648,0,AM$13),15-13*ORÇAMENTO!$AF$7)/$H648*OFFSET(ORÇAMENTO!$X$15,ROW(AM648)-ROW(AM$15),0),
ROUND(ROUND(OFFSET($P648,0,AM$13),15-13*ORÇAMENTO!$AF$7)*OFFSET(ORÇAMENTO!$W$15,ROW(AM648)-ROW(AM$15),0),15-13*ORÇAMENTO!$AF$11)),0)</f>
        <v>0</v>
      </c>
      <c r="AN648" s="545">
        <f ca="1">IF(AND($D648="Serviço",AN$12&lt;&gt;0,$H648&gt;0,OR(AUTOEVENTO&lt;&gt;"manual",$M648&lt;&gt;1)),
IF(Import.TipoArredondamento&lt;&gt;"TransfereGOV",
ROUND(OFFSET($P648,0,AN$13),15-13*ORÇAMENTO!$AF$7)/$H648*OFFSET(ORÇAMENTO!$X$15,ROW(AN648)-ROW(AN$15),0),
ROUND(ROUND(OFFSET($P648,0,AN$13),15-13*ORÇAMENTO!$AF$7)*OFFSET(ORÇAMENTO!$W$15,ROW(AN648)-ROW(AN$15),0),15-13*ORÇAMENTO!$AF$11)),0)</f>
        <v>0</v>
      </c>
      <c r="AO648" s="545">
        <f ca="1">IF(AND($D648="Serviço",AO$12&lt;&gt;0,$H648&gt;0,OR(AUTOEVENTO&lt;&gt;"manual",$M648&lt;&gt;1)),
IF(Import.TipoArredondamento&lt;&gt;"TransfereGOV",
ROUND(OFFSET($P648,0,AO$13),15-13*ORÇAMENTO!$AF$7)/$H648*OFFSET(ORÇAMENTO!$X$15,ROW(AO648)-ROW(AO$15),0),
ROUND(ROUND(OFFSET($P648,0,AO$13),15-13*ORÇAMENTO!$AF$7)*OFFSET(ORÇAMENTO!$W$15,ROW(AO648)-ROW(AO$15),0),15-13*ORÇAMENTO!$AF$11)),0)</f>
        <v>0</v>
      </c>
      <c r="AP648" s="545">
        <f ca="1">IF(AND($D648="Serviço",AP$12&lt;&gt;0,$H648&gt;0,OR(AUTOEVENTO&lt;&gt;"manual",$M648&lt;&gt;1)),
IF(Import.TipoArredondamento&lt;&gt;"TransfereGOV",
ROUND(OFFSET($P648,0,AP$13),15-13*ORÇAMENTO!$AF$7)/$H648*OFFSET(ORÇAMENTO!$X$15,ROW(AP648)-ROW(AP$15),0),
ROUND(ROUND(OFFSET($P648,0,AP$13),15-13*ORÇAMENTO!$AF$7)*OFFSET(ORÇAMENTO!$W$15,ROW(AP648)-ROW(AP$15),0),15-13*ORÇAMENTO!$AF$11)),0)</f>
        <v>0</v>
      </c>
      <c r="AQ648" s="545">
        <f ca="1">IF(AND($D648="Serviço",AQ$12&lt;&gt;0,$H648&gt;0,OR(AUTOEVENTO&lt;&gt;"manual",$M648&lt;&gt;1)),
IF(Import.TipoArredondamento&lt;&gt;"TransfereGOV",
ROUND(OFFSET($P648,0,AQ$13),15-13*ORÇAMENTO!$AF$7)/$H648*OFFSET(ORÇAMENTO!$X$15,ROW(AQ648)-ROW(AQ$15),0),
ROUND(ROUND(OFFSET($P648,0,AQ$13),15-13*ORÇAMENTO!$AF$7)*OFFSET(ORÇAMENTO!$W$15,ROW(AQ648)-ROW(AQ$15),0),15-13*ORÇAMENTO!$AF$11)),0)</f>
        <v>0</v>
      </c>
      <c r="AR648" s="545">
        <f ca="1">IF(AND($D648="Serviço",AR$12&lt;&gt;0,$H648&gt;0,OR(AUTOEVENTO&lt;&gt;"manual",$M648&lt;&gt;1)),
IF(Import.TipoArredondamento&lt;&gt;"TransfereGOV",
ROUND(OFFSET($P648,0,AR$13),15-13*ORÇAMENTO!$AF$7)/$H648*OFFSET(ORÇAMENTO!$X$15,ROW(AR648)-ROW(AR$15),0),
ROUND(ROUND(OFFSET($P648,0,AR$13),15-13*ORÇAMENTO!$AF$7)*OFFSET(ORÇAMENTO!$W$15,ROW(AR648)-ROW(AR$15),0),15-13*ORÇAMENTO!$AF$11)),0)</f>
        <v>0</v>
      </c>
      <c r="AS648" s="546">
        <f ca="1">IF(AND($D648="Serviço",AS$12&lt;&gt;0,$H648&gt;0,OR(AUTOEVENTO&lt;&gt;"manual",$M648&lt;&gt;1)),
IF(Import.TipoArredondamento&lt;&gt;"TransfereGOV",
ROUND(OFFSET($P648,0,AS$13),15-13*ORÇAMENTO!$AF$7)/$H648*OFFSET(ORÇAMENTO!$X$15,ROW(AS648)-ROW(AS$15),0),
ROUND(ROUND(OFFSET($P648,0,AS$13),15-13*ORÇAMENTO!$AF$7)*OFFSET(ORÇAMENTO!$W$15,ROW(AS648)-ROW(AS$15),0),15-13*ORÇAMENTO!$AF$11)),0)</f>
        <v>0</v>
      </c>
      <c r="AT648" s="545">
        <f ca="1">IF(AND($D648="Serviço",AT$12&lt;&gt;0,$H648&gt;0,OR(AUTOEVENTO&lt;&gt;"manual",$M648&lt;&gt;1)),
IF(Import.TipoArredondamento&lt;&gt;"TransfereGOV",
ROUND(OFFSET($P648,0,AT$13),15-13*ORÇAMENTO!$AF$7)/$H648*OFFSET(ORÇAMENTO!$X$15,ROW(AT648)-ROW(AT$15),0),
ROUND(ROUND(OFFSET($P648,0,AT$13),15-13*ORÇAMENTO!$AF$7)*OFFSET(ORÇAMENTO!$W$15,ROW(AT648)-ROW(AT$15),0),15-13*ORÇAMENTO!$AF$11)),0)</f>
        <v>0</v>
      </c>
      <c r="AU648" s="545">
        <f ca="1">IF(AND($D648="Serviço",AU$12&lt;&gt;0,$H648&gt;0,OR(AUTOEVENTO&lt;&gt;"manual",$M648&lt;&gt;1)),
IF(Import.TipoArredondamento&lt;&gt;"TransfereGOV",
ROUND(OFFSET($P648,0,AU$13),15-13*ORÇAMENTO!$AF$7)/$H648*OFFSET(ORÇAMENTO!$X$15,ROW(AU648)-ROW(AU$15),0),
ROUND(ROUND(OFFSET($P648,0,AU$13),15-13*ORÇAMENTO!$AF$7)*OFFSET(ORÇAMENTO!$W$15,ROW(AU648)-ROW(AU$15),0),15-13*ORÇAMENTO!$AF$11)),0)</f>
        <v>0</v>
      </c>
      <c r="AV648" s="545">
        <f ca="1">IF(AND($D648="Serviço",AV$12&lt;&gt;0,$H648&gt;0,OR(AUTOEVENTO&lt;&gt;"manual",$M648&lt;&gt;1)),
IF(Import.TipoArredondamento&lt;&gt;"TransfereGOV",
ROUND(OFFSET($P648,0,AV$13),15-13*ORÇAMENTO!$AF$7)/$H648*OFFSET(ORÇAMENTO!$X$15,ROW(AV648)-ROW(AV$15),0),
ROUND(ROUND(OFFSET($P648,0,AV$13),15-13*ORÇAMENTO!$AF$7)*OFFSET(ORÇAMENTO!$W$15,ROW(AV648)-ROW(AV$15),0),15-13*ORÇAMENTO!$AF$11)),0)</f>
        <v>0</v>
      </c>
      <c r="AW648" s="545">
        <f ca="1">IF(AND($D648="Serviço",AW$12&lt;&gt;0,$H648&gt;0,OR(AUTOEVENTO&lt;&gt;"manual",$M648&lt;&gt;1)),
IF(Import.TipoArredondamento&lt;&gt;"TransfereGOV",
ROUND(OFFSET($P648,0,AW$13),15-13*ORÇAMENTO!$AF$7)/$H648*OFFSET(ORÇAMENTO!$X$15,ROW(AW648)-ROW(AW$15),0),
ROUND(ROUND(OFFSET($P648,0,AW$13),15-13*ORÇAMENTO!$AF$7)*OFFSET(ORÇAMENTO!$W$15,ROW(AW648)-ROW(AW$15),0),15-13*ORÇAMENTO!$AF$11)),0)</f>
        <v>0</v>
      </c>
      <c r="AX648" s="545">
        <f ca="1">IF(AND($D648="Serviço",AX$12&lt;&gt;0,$H648&gt;0,OR(AUTOEVENTO&lt;&gt;"manual",$M648&lt;&gt;1)),
IF(Import.TipoArredondamento&lt;&gt;"TransfereGOV",
ROUND(OFFSET($P648,0,AX$13),15-13*ORÇAMENTO!$AF$7)/$H648*OFFSET(ORÇAMENTO!$X$15,ROW(AX648)-ROW(AX$15),0),
ROUND(ROUND(OFFSET($P648,0,AX$13),15-13*ORÇAMENTO!$AF$7)*OFFSET(ORÇAMENTO!$W$15,ROW(AX648)-ROW(AX$15),0),15-13*ORÇAMENTO!$AF$11)),0)</f>
        <v>0</v>
      </c>
      <c r="AY648" s="545">
        <f ca="1">IF(AND($D648="Serviço",AY$12&lt;&gt;0,$H648&gt;0,OR(AUTOEVENTO&lt;&gt;"manual",$M648&lt;&gt;1)),
IF(Import.TipoArredondamento&lt;&gt;"TransfereGOV",
ROUND(OFFSET($P648,0,AY$13),15-13*ORÇAMENTO!$AF$7)/$H648*OFFSET(ORÇAMENTO!$X$15,ROW(AY648)-ROW(AY$15),0),
ROUND(ROUND(OFFSET($P648,0,AY$13),15-13*ORÇAMENTO!$AF$7)*OFFSET(ORÇAMENTO!$W$15,ROW(AY648)-ROW(AY$15),0),15-13*ORÇAMENTO!$AF$11)),0)</f>
        <v>0</v>
      </c>
      <c r="AZ648" s="545">
        <f ca="1">IF(AND($D648="Serviço",AZ$12&lt;&gt;0,$H648&gt;0,OR(AUTOEVENTO&lt;&gt;"manual",$M648&lt;&gt;1)),
IF(Import.TipoArredondamento&lt;&gt;"TransfereGOV",
ROUND(OFFSET($P648,0,AZ$13),15-13*ORÇAMENTO!$AF$7)/$H648*OFFSET(ORÇAMENTO!$X$15,ROW(AZ648)-ROW(AZ$15),0),
ROUND(ROUND(OFFSET($P648,0,AZ$13),15-13*ORÇAMENTO!$AF$7)*OFFSET(ORÇAMENTO!$W$15,ROW(AZ648)-ROW(AZ$15),0),15-13*ORÇAMENTO!$AF$11)),0)</f>
        <v>0</v>
      </c>
      <c r="BA648" s="546">
        <f ca="1">IF(AND($D648="Serviço",BA$12&lt;&gt;0,$H648&gt;0,OR(AUTOEVENTO&lt;&gt;"manual",$M648&lt;&gt;1)),
IF(Import.TipoArredondamento&lt;&gt;"TransfereGOV",
ROUND(OFFSET($P648,0,BA$13),15-13*ORÇAMENTO!$AF$7)/$H648*OFFSET(ORÇAMENTO!$X$15,ROW(BA648)-ROW(BA$15),0),
ROUND(ROUND(OFFSET($P648,0,BA$13),15-13*ORÇAMENTO!$AF$7)*OFFSET(ORÇAMENTO!$W$15,ROW(BA648)-ROW(BA$15),0),15-13*ORÇAMENTO!$AF$11)),0)</f>
        <v>0</v>
      </c>
      <c r="BC648" s="181">
        <f ca="1">IF($D648&lt;&gt;"Serviço",0,IF(AND(AUTOEVENTO="Manual",$M648=1),0,IF(OFFSET(CRONOPLE!$F$14,$M648,BC$13)="",10^12,OFFSET(CRONOPLE!$F$14,$M648,BC$13))))</f>
        <v>11</v>
      </c>
      <c r="BD648" s="181">
        <f ca="1">IF($D648&lt;&gt;"Serviço",0,IF(AND(AUTOEVENTO="Manual",$M648=1),0,IF(OFFSET(CRONOPLE!$F$14,$M648,BD$13)="",10^12,OFFSET(CRONOPLE!$F$14,$M648,BD$13))))</f>
        <v>1000000000000</v>
      </c>
      <c r="BE648" s="181">
        <f ca="1">IF($D648&lt;&gt;"Serviço",0,IF(AND(AUTOEVENTO="Manual",$M648=1),0,IF(OFFSET(CRONOPLE!$F$14,$M648,BE$13)="",10^12,OFFSET(CRONOPLE!$F$14,$M648,BE$13))))</f>
        <v>1000000000000</v>
      </c>
      <c r="BF648" s="181">
        <f ca="1">IF($D648&lt;&gt;"Serviço",0,IF(AND(AUTOEVENTO="Manual",$M648=1),0,IF(OFFSET(CRONOPLE!$F$14,$M648,BF$13)="",10^12,OFFSET(CRONOPLE!$F$14,$M648,BF$13))))</f>
        <v>1000000000000</v>
      </c>
      <c r="BG648" s="181">
        <f ca="1">IF($D648&lt;&gt;"Serviço",0,IF(AND(AUTOEVENTO="Manual",$M648=1),0,IF(OFFSET(CRONOPLE!$F$14,$M648,BG$13)="",10^12,OFFSET(CRONOPLE!$F$14,$M648,BG$13))))</f>
        <v>1000000000000</v>
      </c>
      <c r="BH648" s="181">
        <f ca="1">IF($D648&lt;&gt;"Serviço",0,IF(AND(AUTOEVENTO="Manual",$M648=1),0,IF(OFFSET(CRONOPLE!$F$14,$M648,BH$13)="",10^12,OFFSET(CRONOPLE!$F$14,$M648,BH$13))))</f>
        <v>1000000000000</v>
      </c>
      <c r="BI648" s="181">
        <f ca="1">IF($D648&lt;&gt;"Serviço",0,IF(AND(AUTOEVENTO="Manual",$M648=1),0,IF(OFFSET(CRONOPLE!$F$14,$M648,BI$13)="",10^12,OFFSET(CRONOPLE!$F$14,$M648,BI$13))))</f>
        <v>1000000000000</v>
      </c>
      <c r="BJ648" s="181">
        <f ca="1">IF($D648&lt;&gt;"Serviço",0,IF(AND(AUTOEVENTO="Manual",$M648=1),0,IF(OFFSET(CRONOPLE!$F$14,$M648,BJ$13)="",10^12,OFFSET(CRONOPLE!$F$14,$M648,BJ$13))))</f>
        <v>1000000000000</v>
      </c>
      <c r="BK648" s="181">
        <f ca="1">IF($D648&lt;&gt;"Serviço",0,IF(AND(AUTOEVENTO="Manual",$M648=1),0,IF(OFFSET(CRONOPLE!$F$14,$M648,BK$13)="",10^12,OFFSET(CRONOPLE!$F$14,$M648,BK$13))))</f>
        <v>1000000000000</v>
      </c>
      <c r="BL648" s="181">
        <f ca="1">IF($D648&lt;&gt;"Serviço",0,IF(AND(AUTOEVENTO="Manual",$M648=1),0,IF(OFFSET(CRONOPLE!$F$14,$M648,BL$13)="",10^12,OFFSET(CRONOPLE!$F$14,$M648,BL$13))))</f>
        <v>1000000000000</v>
      </c>
      <c r="BM648" s="181">
        <f ca="1">IF($D648&lt;&gt;"Serviço",0,IF(AND(AUTOEVENTO="Manual",$M648=1),0,IF(OFFSET(CRONOPLE!$F$14,$M648,BM$13)="",10^12,OFFSET(CRONOPLE!$F$14,$M648,BM$13))))</f>
        <v>1000000000000</v>
      </c>
      <c r="BN648" s="181">
        <f ca="1">IF($D648&lt;&gt;"Serviço",0,IF(AND(AUTOEVENTO="Manual",$M648=1),0,IF(OFFSET(CRONOPLE!$F$14,$M648,BN$13)="",10^12,OFFSET(CRONOPLE!$F$14,$M648,BN$13))))</f>
        <v>1000000000000</v>
      </c>
      <c r="BO648" s="181">
        <f ca="1">IF($D648&lt;&gt;"Serviço",0,IF(AND(AUTOEVENTO="Manual",$M648=1),0,IF(OFFSET(CRONOPLE!$F$14,$M648,BO$13)="",10^12,OFFSET(CRONOPLE!$F$14,$M648,BO$13))))</f>
        <v>1000000000000</v>
      </c>
      <c r="BP648" s="181">
        <f ca="1">IF($D648&lt;&gt;"Serviço",0,IF(AND(AUTOEVENTO="Manual",$M648=1),0,IF(OFFSET(CRONOPLE!$F$14,$M648,BP$13)="",10^12,OFFSET(CRONOPLE!$F$14,$M648,BP$13))))</f>
        <v>1000000000000</v>
      </c>
      <c r="BQ648" s="181">
        <f ca="1">IF($D648&lt;&gt;"Serviço",0,IF(AND(AUTOEVENTO="Manual",$M648=1),0,IF(OFFSET(CRONOPLE!$F$14,$M648,BQ$13)="",10^12,OFFSET(CRONOPLE!$F$14,$M648,BQ$13))))</f>
        <v>1000000000000</v>
      </c>
      <c r="BR648" s="181">
        <f ca="1">IF($D648&lt;&gt;"Serviço",0,IF(AND(AUTOEVENTO="Manual",$M648=1),0,IF(OFFSET(CRONOPLE!$F$14,$M648,BR$13)="",10^12,OFFSET(CRONOPLE!$F$14,$M648,BR$13))))</f>
        <v>1000000000000</v>
      </c>
      <c r="BS648" s="181">
        <f ca="1">IF($D648&lt;&gt;"Serviço",0,IF(AND(AUTOEVENTO="Manual",$M648=1),0,IF(OFFSET(CRONOPLE!$F$14,$M648,BS$13)="",10^12,OFFSET(CRONOPLE!$F$14,$M648,BS$13))))</f>
        <v>1000000000000</v>
      </c>
      <c r="BT648" s="181">
        <f ca="1">IF($D648&lt;&gt;"Serviço",0,IF(AND(AUTOEVENTO="Manual",$M648=1),0,IF(OFFSET(CRONOPLE!$F$14,$M648,BT$13)="",10^12,OFFSET(CRONOPLE!$F$14,$M648,BT$13))))</f>
        <v>1000000000000</v>
      </c>
      <c r="BV648" s="182">
        <f ca="1">IF($D648&lt;&gt;"Serviço",0,IF(OR(AND(AUTOEVENTO="Manual",$M648=1),$M648&gt;(ROW(PLE.lastrow)-ROW(PLE.firstrow))),0,IF(OFFSET(PLE!$G$14,$M648,BV$13)="",10^12,OFFSET(PLE!$G$14,$M648,BV$13))))</f>
        <v>1000000000000</v>
      </c>
      <c r="BW648" s="182">
        <f ca="1">IF($D648&lt;&gt;"Serviço",0,IF(OR(AND(AUTOEVENTO="Manual",$M648=1),$M648&gt;(ROW(PLE.lastrow)-ROW(PLE.firstrow))),0,IF(OFFSET(PLE!$G$14,$M648,BW$13)="",10^12,OFFSET(PLE!$G$14,$M648,BW$13))))</f>
        <v>1000000000000</v>
      </c>
      <c r="BX648" s="182">
        <f ca="1">IF($D648&lt;&gt;"Serviço",0,IF(OR(AND(AUTOEVENTO="Manual",$M648=1),$M648&gt;(ROW(PLE.lastrow)-ROW(PLE.firstrow))),0,IF(OFFSET(PLE!$G$14,$M648,BX$13)="",10^12,OFFSET(PLE!$G$14,$M648,BX$13))))</f>
        <v>1000000000000</v>
      </c>
      <c r="BY648" s="182">
        <f ca="1">IF($D648&lt;&gt;"Serviço",0,IF(OR(AND(AUTOEVENTO="Manual",$M648=1),$M648&gt;(ROW(PLE.lastrow)-ROW(PLE.firstrow))),0,IF(OFFSET(PLE!$G$14,$M648,BY$13)="",10^12,OFFSET(PLE!$G$14,$M648,BY$13))))</f>
        <v>1000000000000</v>
      </c>
      <c r="BZ648" s="182">
        <f ca="1">IF($D648&lt;&gt;"Serviço",0,IF(OR(AND(AUTOEVENTO="Manual",$M648=1),$M648&gt;(ROW(PLE.lastrow)-ROW(PLE.firstrow))),0,IF(OFFSET(PLE!$G$14,$M648,BZ$13)="",10^12,OFFSET(PLE!$G$14,$M648,BZ$13))))</f>
        <v>1000000000000</v>
      </c>
      <c r="CA648" s="182">
        <f ca="1">IF($D648&lt;&gt;"Serviço",0,IF(OR(AND(AUTOEVENTO="Manual",$M648=1),$M648&gt;(ROW(PLE.lastrow)-ROW(PLE.firstrow))),0,IF(OFFSET(PLE!$G$14,$M648,CA$13)="",10^12,OFFSET(PLE!$G$14,$M648,CA$13))))</f>
        <v>1000000000000</v>
      </c>
      <c r="CB648" s="182">
        <f ca="1">IF($D648&lt;&gt;"Serviço",0,IF(OR(AND(AUTOEVENTO="Manual",$M648=1),$M648&gt;(ROW(PLE.lastrow)-ROW(PLE.firstrow))),0,IF(OFFSET(PLE!$G$14,$M648,CB$13)="",10^12,OFFSET(PLE!$G$14,$M648,CB$13))))</f>
        <v>1000000000000</v>
      </c>
      <c r="CC648" s="182">
        <f ca="1">IF($D648&lt;&gt;"Serviço",0,IF(OR(AND(AUTOEVENTO="Manual",$M648=1),$M648&gt;(ROW(PLE.lastrow)-ROW(PLE.firstrow))),0,IF(OFFSET(PLE!$G$14,$M648,CC$13)="",10^12,OFFSET(PLE!$G$14,$M648,CC$13))))</f>
        <v>1000000000000</v>
      </c>
      <c r="CD648" s="182">
        <f ca="1">IF($D648&lt;&gt;"Serviço",0,IF(OR(AND(AUTOEVENTO="Manual",$M648=1),$M648&gt;(ROW(PLE.lastrow)-ROW(PLE.firstrow))),0,IF(OFFSET(PLE!$G$14,$M648,CD$13)="",10^12,OFFSET(PLE!$G$14,$M648,CD$13))))</f>
        <v>1000000000000</v>
      </c>
      <c r="CE648" s="182">
        <f ca="1">IF($D648&lt;&gt;"Serviço",0,IF(OR(AND(AUTOEVENTO="Manual",$M648=1),$M648&gt;(ROW(PLE.lastrow)-ROW(PLE.firstrow))),0,IF(OFFSET(PLE!$G$14,$M648,CE$13)="",10^12,OFFSET(PLE!$G$14,$M648,CE$13))))</f>
        <v>1000000000000</v>
      </c>
      <c r="CF648" s="182">
        <f ca="1">IF($D648&lt;&gt;"Serviço",0,IF(OR(AND(AUTOEVENTO="Manual",$M648=1),$M648&gt;(ROW(PLE.lastrow)-ROW(PLE.firstrow))),0,IF(OFFSET(PLE!$G$14,$M648,CF$13)="",10^12,OFFSET(PLE!$G$14,$M648,CF$13))))</f>
        <v>1000000000000</v>
      </c>
      <c r="CG648" s="182">
        <f ca="1">IF($D648&lt;&gt;"Serviço",0,IF(OR(AND(AUTOEVENTO="Manual",$M648=1),$M648&gt;(ROW(PLE.lastrow)-ROW(PLE.firstrow))),0,IF(OFFSET(PLE!$G$14,$M648,CG$13)="",10^12,OFFSET(PLE!$G$14,$M648,CG$13))))</f>
        <v>1000000000000</v>
      </c>
      <c r="CH648" s="182">
        <f ca="1">IF($D648&lt;&gt;"Serviço",0,IF(OR(AND(AUTOEVENTO="Manual",$M648=1),$M648&gt;(ROW(PLE.lastrow)-ROW(PLE.firstrow))),0,IF(OFFSET(PLE!$G$14,$M648,CH$13)="",10^12,OFFSET(PLE!$G$14,$M648,CH$13))))</f>
        <v>1000000000000</v>
      </c>
      <c r="CI648" s="182">
        <f ca="1">IF($D648&lt;&gt;"Serviço",0,IF(OR(AND(AUTOEVENTO="Manual",$M648=1),$M648&gt;(ROW(PLE.lastrow)-ROW(PLE.firstrow))),0,IF(OFFSET(PLE!$G$14,$M648,CI$13)="",10^12,OFFSET(PLE!$G$14,$M648,CI$13))))</f>
        <v>1000000000000</v>
      </c>
      <c r="CJ648" s="182">
        <f ca="1">IF($D648&lt;&gt;"Serviço",0,IF(OR(AND(AUTOEVENTO="Manual",$M648=1),$M648&gt;(ROW(PLE.lastrow)-ROW(PLE.firstrow))),0,IF(OFFSET(PLE!$G$14,$M648,CJ$13)="",10^12,OFFSET(PLE!$G$14,$M648,CJ$13))))</f>
        <v>1000000000000</v>
      </c>
      <c r="CK648" s="182">
        <f ca="1">IF($D648&lt;&gt;"Serviço",0,IF(OR(AND(AUTOEVENTO="Manual",$M648=1),$M648&gt;(ROW(PLE.lastrow)-ROW(PLE.firstrow))),0,IF(OFFSET(PLE!$G$14,$M648,CK$13)="",10^12,OFFSET(PLE!$G$14,$M648,CK$13))))</f>
        <v>1000000000000</v>
      </c>
      <c r="CL648" s="182">
        <f ca="1">IF($D648&lt;&gt;"Serviço",0,IF(OR(AND(AUTOEVENTO="Manual",$M648=1),$M648&gt;(ROW(PLE.lastrow)-ROW(PLE.firstrow))),0,IF(OFFSET(PLE!$G$14,$M648,CL$13)="",10^12,OFFSET(PLE!$G$14,$M648,CL$13))))</f>
        <v>1000000000000</v>
      </c>
      <c r="CM648" s="182">
        <f ca="1">IF($D648&lt;&gt;"Serviço",0,IF(OR(AND(AUTOEVENTO="Manual",$M648=1),$M648&gt;(ROW(PLE.lastrow)-ROW(PLE.firstrow))),0,IF(OFFSET(PLE!$G$14,$M648,CM$13)="",10^12,OFFSET(PLE!$G$14,$M648,CM$13))))</f>
        <v>1000000000000</v>
      </c>
    </row>
    <row r="649" spans="1:91" ht="51" x14ac:dyDescent="0.2">
      <c r="A649" s="7" t="str">
        <f t="shared" ca="1" si="19"/>
        <v>628</v>
      </c>
      <c r="B649" s="7" t="str">
        <f ca="1">OFFSET(ORÇAMENTO!C$15,ROW(B649)-ROW(B$15),0)</f>
        <v>S</v>
      </c>
      <c r="C649" s="7" t="str">
        <f ca="1">OFFSET(ORÇAMENTO!L$15,ROW(C649)-ROW(C$15),0)</f>
        <v/>
      </c>
      <c r="D649" s="118" t="str">
        <f ca="1">OFFSET(ORÇAMENTO!N$15,ROW(D649)-ROW(D$15),0)</f>
        <v>Serviço</v>
      </c>
      <c r="E649" s="119" t="str">
        <f ca="1">OFFSET(ORÇAMENTO!O$15,ROW(E649)-ROW(E$15),0)</f>
        <v>-</v>
      </c>
      <c r="F649" s="172" t="str">
        <f ca="1">OFFSET(ORÇAMENTO!R$15,ROW(F649)-ROW(F$15),0)</f>
        <v>(abra o arquivo 'Referência 06-2024.xlsm)</v>
      </c>
      <c r="G649" s="173" t="str">
        <f ca="1">IF($D649&lt;&gt;"Serviço","",OFFSET(ORÇAMENTO!S$15,ROW(G649)-ROW(G$15),0))</f>
        <v>-</v>
      </c>
      <c r="H649" s="124">
        <f ca="1">IF($D649&lt;&gt;"Serviço",0,IF(ACOMPANHAMENTO="BM",ROUND(OFFSET(ORÇAMENTO!AJ$15,ROW(H649)-ROW(H$15),0),15-13*ORÇAMENTO!$AF$7),SUMPRODUCT(($Q$12:$AI$12&lt;&gt;"")*ROUND($Q649:$AI649,15-13*ORÇAMENTO!$AF$7))))</f>
        <v>1</v>
      </c>
      <c r="I649" s="561" t="s">
        <v>1107</v>
      </c>
      <c r="K649" s="174"/>
      <c r="L649" s="175" t="s">
        <v>255</v>
      </c>
      <c r="M649" s="176">
        <f ca="1">IF($D649&lt;&gt;"Serviço","",IF(AUTOEVENTO="manual",$A649,IF(ISERROR(MATCH($A649,$A$15:OFFSET($A649,-1,0),0)),MAX($M$15:OFFSET(M649,-1,0))+1,INDEX($M$15:OFFSET(M649,-1,0),MATCH($A649,$A$15:OFFSET($A649,-1,0),0)))))</f>
        <v>69</v>
      </c>
      <c r="N649" s="177" t="str">
        <f ca="1">IF($D649&lt;&gt;"Serviço","",IF(AUTOEVENTO="Manual",IF($A649=0,"&lt;-- defina o número do agrupador",OFFSET(EVENTOS!$D$14,$A649,0)),OFFSET($F$15,$A649,0)))</f>
        <v>INSTALAÇÕES DE CABEAMENTO ESTRUTURADO - ELETROCALHA E ELETRODUTOS</v>
      </c>
      <c r="O649" s="178"/>
      <c r="Q649" s="178">
        <v>1</v>
      </c>
      <c r="R649" s="179"/>
      <c r="S649" s="179"/>
      <c r="T649" s="179"/>
      <c r="U649" s="179"/>
      <c r="V649" s="179"/>
      <c r="W649" s="179"/>
      <c r="X649" s="179"/>
      <c r="Y649" s="179"/>
      <c r="Z649" s="180"/>
      <c r="AA649" s="179"/>
      <c r="AB649" s="179"/>
      <c r="AC649" s="179"/>
      <c r="AD649" s="179"/>
      <c r="AE649" s="179"/>
      <c r="AF649" s="179"/>
      <c r="AG649" s="179"/>
      <c r="AH649" s="180"/>
      <c r="AJ649" s="544">
        <f ca="1">IF(AND($D649="Serviço",AJ$12&lt;&gt;0,$H649&gt;0,OR(AUTOEVENTO&lt;&gt;"manual",$M649&lt;&gt;1)),
IF(Import.TipoArredondamento&lt;&gt;"TransfereGOV",
ROUND(OFFSET($P649,0,AJ$13),15-13*ORÇAMENTO!$AF$7)/$H649*OFFSET(ORÇAMENTO!$X$15,ROW(AJ649)-ROW(AJ$15),0),
ROUND(ROUND(OFFSET($P649,0,AJ$13),15-13*ORÇAMENTO!$AF$7)*OFFSET(ORÇAMENTO!$W$15,ROW(AJ649)-ROW(AJ$15),0),15-13*ORÇAMENTO!$AF$11)),0)</f>
        <v>0</v>
      </c>
      <c r="AK649" s="545">
        <f ca="1">IF(AND($D649="Serviço",AK$12&lt;&gt;0,$H649&gt;0,OR(AUTOEVENTO&lt;&gt;"manual",$M649&lt;&gt;1)),
IF(Import.TipoArredondamento&lt;&gt;"TransfereGOV",
ROUND(OFFSET($P649,0,AK$13),15-13*ORÇAMENTO!$AF$7)/$H649*OFFSET(ORÇAMENTO!$X$15,ROW(AK649)-ROW(AK$15),0),
ROUND(ROUND(OFFSET($P649,0,AK$13),15-13*ORÇAMENTO!$AF$7)*OFFSET(ORÇAMENTO!$W$15,ROW(AK649)-ROW(AK$15),0),15-13*ORÇAMENTO!$AF$11)),0)</f>
        <v>0</v>
      </c>
      <c r="AL649" s="545">
        <f ca="1">IF(AND($D649="Serviço",AL$12&lt;&gt;0,$H649&gt;0,OR(AUTOEVENTO&lt;&gt;"manual",$M649&lt;&gt;1)),
IF(Import.TipoArredondamento&lt;&gt;"TransfereGOV",
ROUND(OFFSET($P649,0,AL$13),15-13*ORÇAMENTO!$AF$7)/$H649*OFFSET(ORÇAMENTO!$X$15,ROW(AL649)-ROW(AL$15),0),
ROUND(ROUND(OFFSET($P649,0,AL$13),15-13*ORÇAMENTO!$AF$7)*OFFSET(ORÇAMENTO!$W$15,ROW(AL649)-ROW(AL$15),0),15-13*ORÇAMENTO!$AF$11)),0)</f>
        <v>0</v>
      </c>
      <c r="AM649" s="545">
        <f ca="1">IF(AND($D649="Serviço",AM$12&lt;&gt;0,$H649&gt;0,OR(AUTOEVENTO&lt;&gt;"manual",$M649&lt;&gt;1)),
IF(Import.TipoArredondamento&lt;&gt;"TransfereGOV",
ROUND(OFFSET($P649,0,AM$13),15-13*ORÇAMENTO!$AF$7)/$H649*OFFSET(ORÇAMENTO!$X$15,ROW(AM649)-ROW(AM$15),0),
ROUND(ROUND(OFFSET($P649,0,AM$13),15-13*ORÇAMENTO!$AF$7)*OFFSET(ORÇAMENTO!$W$15,ROW(AM649)-ROW(AM$15),0),15-13*ORÇAMENTO!$AF$11)),0)</f>
        <v>0</v>
      </c>
      <c r="AN649" s="545">
        <f ca="1">IF(AND($D649="Serviço",AN$12&lt;&gt;0,$H649&gt;0,OR(AUTOEVENTO&lt;&gt;"manual",$M649&lt;&gt;1)),
IF(Import.TipoArredondamento&lt;&gt;"TransfereGOV",
ROUND(OFFSET($P649,0,AN$13),15-13*ORÇAMENTO!$AF$7)/$H649*OFFSET(ORÇAMENTO!$X$15,ROW(AN649)-ROW(AN$15),0),
ROUND(ROUND(OFFSET($P649,0,AN$13),15-13*ORÇAMENTO!$AF$7)*OFFSET(ORÇAMENTO!$W$15,ROW(AN649)-ROW(AN$15),0),15-13*ORÇAMENTO!$AF$11)),0)</f>
        <v>0</v>
      </c>
      <c r="AO649" s="545">
        <f ca="1">IF(AND($D649="Serviço",AO$12&lt;&gt;0,$H649&gt;0,OR(AUTOEVENTO&lt;&gt;"manual",$M649&lt;&gt;1)),
IF(Import.TipoArredondamento&lt;&gt;"TransfereGOV",
ROUND(OFFSET($P649,0,AO$13),15-13*ORÇAMENTO!$AF$7)/$H649*OFFSET(ORÇAMENTO!$X$15,ROW(AO649)-ROW(AO$15),0),
ROUND(ROUND(OFFSET($P649,0,AO$13),15-13*ORÇAMENTO!$AF$7)*OFFSET(ORÇAMENTO!$W$15,ROW(AO649)-ROW(AO$15),0),15-13*ORÇAMENTO!$AF$11)),0)</f>
        <v>0</v>
      </c>
      <c r="AP649" s="545">
        <f ca="1">IF(AND($D649="Serviço",AP$12&lt;&gt;0,$H649&gt;0,OR(AUTOEVENTO&lt;&gt;"manual",$M649&lt;&gt;1)),
IF(Import.TipoArredondamento&lt;&gt;"TransfereGOV",
ROUND(OFFSET($P649,0,AP$13),15-13*ORÇAMENTO!$AF$7)/$H649*OFFSET(ORÇAMENTO!$X$15,ROW(AP649)-ROW(AP$15),0),
ROUND(ROUND(OFFSET($P649,0,AP$13),15-13*ORÇAMENTO!$AF$7)*OFFSET(ORÇAMENTO!$W$15,ROW(AP649)-ROW(AP$15),0),15-13*ORÇAMENTO!$AF$11)),0)</f>
        <v>0</v>
      </c>
      <c r="AQ649" s="545">
        <f ca="1">IF(AND($D649="Serviço",AQ$12&lt;&gt;0,$H649&gt;0,OR(AUTOEVENTO&lt;&gt;"manual",$M649&lt;&gt;1)),
IF(Import.TipoArredondamento&lt;&gt;"TransfereGOV",
ROUND(OFFSET($P649,0,AQ$13),15-13*ORÇAMENTO!$AF$7)/$H649*OFFSET(ORÇAMENTO!$X$15,ROW(AQ649)-ROW(AQ$15),0),
ROUND(ROUND(OFFSET($P649,0,AQ$13),15-13*ORÇAMENTO!$AF$7)*OFFSET(ORÇAMENTO!$W$15,ROW(AQ649)-ROW(AQ$15),0),15-13*ORÇAMENTO!$AF$11)),0)</f>
        <v>0</v>
      </c>
      <c r="AR649" s="545">
        <f ca="1">IF(AND($D649="Serviço",AR$12&lt;&gt;0,$H649&gt;0,OR(AUTOEVENTO&lt;&gt;"manual",$M649&lt;&gt;1)),
IF(Import.TipoArredondamento&lt;&gt;"TransfereGOV",
ROUND(OFFSET($P649,0,AR$13),15-13*ORÇAMENTO!$AF$7)/$H649*OFFSET(ORÇAMENTO!$X$15,ROW(AR649)-ROW(AR$15),0),
ROUND(ROUND(OFFSET($P649,0,AR$13),15-13*ORÇAMENTO!$AF$7)*OFFSET(ORÇAMENTO!$W$15,ROW(AR649)-ROW(AR$15),0),15-13*ORÇAMENTO!$AF$11)),0)</f>
        <v>0</v>
      </c>
      <c r="AS649" s="546">
        <f ca="1">IF(AND($D649="Serviço",AS$12&lt;&gt;0,$H649&gt;0,OR(AUTOEVENTO&lt;&gt;"manual",$M649&lt;&gt;1)),
IF(Import.TipoArredondamento&lt;&gt;"TransfereGOV",
ROUND(OFFSET($P649,0,AS$13),15-13*ORÇAMENTO!$AF$7)/$H649*OFFSET(ORÇAMENTO!$X$15,ROW(AS649)-ROW(AS$15),0),
ROUND(ROUND(OFFSET($P649,0,AS$13),15-13*ORÇAMENTO!$AF$7)*OFFSET(ORÇAMENTO!$W$15,ROW(AS649)-ROW(AS$15),0),15-13*ORÇAMENTO!$AF$11)),0)</f>
        <v>0</v>
      </c>
      <c r="AT649" s="545">
        <f ca="1">IF(AND($D649="Serviço",AT$12&lt;&gt;0,$H649&gt;0,OR(AUTOEVENTO&lt;&gt;"manual",$M649&lt;&gt;1)),
IF(Import.TipoArredondamento&lt;&gt;"TransfereGOV",
ROUND(OFFSET($P649,0,AT$13),15-13*ORÇAMENTO!$AF$7)/$H649*OFFSET(ORÇAMENTO!$X$15,ROW(AT649)-ROW(AT$15),0),
ROUND(ROUND(OFFSET($P649,0,AT$13),15-13*ORÇAMENTO!$AF$7)*OFFSET(ORÇAMENTO!$W$15,ROW(AT649)-ROW(AT$15),0),15-13*ORÇAMENTO!$AF$11)),0)</f>
        <v>0</v>
      </c>
      <c r="AU649" s="545">
        <f ca="1">IF(AND($D649="Serviço",AU$12&lt;&gt;0,$H649&gt;0,OR(AUTOEVENTO&lt;&gt;"manual",$M649&lt;&gt;1)),
IF(Import.TipoArredondamento&lt;&gt;"TransfereGOV",
ROUND(OFFSET($P649,0,AU$13),15-13*ORÇAMENTO!$AF$7)/$H649*OFFSET(ORÇAMENTO!$X$15,ROW(AU649)-ROW(AU$15),0),
ROUND(ROUND(OFFSET($P649,0,AU$13),15-13*ORÇAMENTO!$AF$7)*OFFSET(ORÇAMENTO!$W$15,ROW(AU649)-ROW(AU$15),0),15-13*ORÇAMENTO!$AF$11)),0)</f>
        <v>0</v>
      </c>
      <c r="AV649" s="545">
        <f ca="1">IF(AND($D649="Serviço",AV$12&lt;&gt;0,$H649&gt;0,OR(AUTOEVENTO&lt;&gt;"manual",$M649&lt;&gt;1)),
IF(Import.TipoArredondamento&lt;&gt;"TransfereGOV",
ROUND(OFFSET($P649,0,AV$13),15-13*ORÇAMENTO!$AF$7)/$H649*OFFSET(ORÇAMENTO!$X$15,ROW(AV649)-ROW(AV$15),0),
ROUND(ROUND(OFFSET($P649,0,AV$13),15-13*ORÇAMENTO!$AF$7)*OFFSET(ORÇAMENTO!$W$15,ROW(AV649)-ROW(AV$15),0),15-13*ORÇAMENTO!$AF$11)),0)</f>
        <v>0</v>
      </c>
      <c r="AW649" s="545">
        <f ca="1">IF(AND($D649="Serviço",AW$12&lt;&gt;0,$H649&gt;0,OR(AUTOEVENTO&lt;&gt;"manual",$M649&lt;&gt;1)),
IF(Import.TipoArredondamento&lt;&gt;"TransfereGOV",
ROUND(OFFSET($P649,0,AW$13),15-13*ORÇAMENTO!$AF$7)/$H649*OFFSET(ORÇAMENTO!$X$15,ROW(AW649)-ROW(AW$15),0),
ROUND(ROUND(OFFSET($P649,0,AW$13),15-13*ORÇAMENTO!$AF$7)*OFFSET(ORÇAMENTO!$W$15,ROW(AW649)-ROW(AW$15),0),15-13*ORÇAMENTO!$AF$11)),0)</f>
        <v>0</v>
      </c>
      <c r="AX649" s="545">
        <f ca="1">IF(AND($D649="Serviço",AX$12&lt;&gt;0,$H649&gt;0,OR(AUTOEVENTO&lt;&gt;"manual",$M649&lt;&gt;1)),
IF(Import.TipoArredondamento&lt;&gt;"TransfereGOV",
ROUND(OFFSET($P649,0,AX$13),15-13*ORÇAMENTO!$AF$7)/$H649*OFFSET(ORÇAMENTO!$X$15,ROW(AX649)-ROW(AX$15),0),
ROUND(ROUND(OFFSET($P649,0,AX$13),15-13*ORÇAMENTO!$AF$7)*OFFSET(ORÇAMENTO!$W$15,ROW(AX649)-ROW(AX$15),0),15-13*ORÇAMENTO!$AF$11)),0)</f>
        <v>0</v>
      </c>
      <c r="AY649" s="545">
        <f ca="1">IF(AND($D649="Serviço",AY$12&lt;&gt;0,$H649&gt;0,OR(AUTOEVENTO&lt;&gt;"manual",$M649&lt;&gt;1)),
IF(Import.TipoArredondamento&lt;&gt;"TransfereGOV",
ROUND(OFFSET($P649,0,AY$13),15-13*ORÇAMENTO!$AF$7)/$H649*OFFSET(ORÇAMENTO!$X$15,ROW(AY649)-ROW(AY$15),0),
ROUND(ROUND(OFFSET($P649,0,AY$13),15-13*ORÇAMENTO!$AF$7)*OFFSET(ORÇAMENTO!$W$15,ROW(AY649)-ROW(AY$15),0),15-13*ORÇAMENTO!$AF$11)),0)</f>
        <v>0</v>
      </c>
      <c r="AZ649" s="545">
        <f ca="1">IF(AND($D649="Serviço",AZ$12&lt;&gt;0,$H649&gt;0,OR(AUTOEVENTO&lt;&gt;"manual",$M649&lt;&gt;1)),
IF(Import.TipoArredondamento&lt;&gt;"TransfereGOV",
ROUND(OFFSET($P649,0,AZ$13),15-13*ORÇAMENTO!$AF$7)/$H649*OFFSET(ORÇAMENTO!$X$15,ROW(AZ649)-ROW(AZ$15),0),
ROUND(ROUND(OFFSET($P649,0,AZ$13),15-13*ORÇAMENTO!$AF$7)*OFFSET(ORÇAMENTO!$W$15,ROW(AZ649)-ROW(AZ$15),0),15-13*ORÇAMENTO!$AF$11)),0)</f>
        <v>0</v>
      </c>
      <c r="BA649" s="546">
        <f ca="1">IF(AND($D649="Serviço",BA$12&lt;&gt;0,$H649&gt;0,OR(AUTOEVENTO&lt;&gt;"manual",$M649&lt;&gt;1)),
IF(Import.TipoArredondamento&lt;&gt;"TransfereGOV",
ROUND(OFFSET($P649,0,BA$13),15-13*ORÇAMENTO!$AF$7)/$H649*OFFSET(ORÇAMENTO!$X$15,ROW(BA649)-ROW(BA$15),0),
ROUND(ROUND(OFFSET($P649,0,BA$13),15-13*ORÇAMENTO!$AF$7)*OFFSET(ORÇAMENTO!$W$15,ROW(BA649)-ROW(BA$15),0),15-13*ORÇAMENTO!$AF$11)),0)</f>
        <v>0</v>
      </c>
      <c r="BC649" s="181">
        <f ca="1">IF($D649&lt;&gt;"Serviço",0,IF(AND(AUTOEVENTO="Manual",$M649=1),0,IF(OFFSET(CRONOPLE!$F$14,$M649,BC$13)="",10^12,OFFSET(CRONOPLE!$F$14,$M649,BC$13))))</f>
        <v>11</v>
      </c>
      <c r="BD649" s="181">
        <f ca="1">IF($D649&lt;&gt;"Serviço",0,IF(AND(AUTOEVENTO="Manual",$M649=1),0,IF(OFFSET(CRONOPLE!$F$14,$M649,BD$13)="",10^12,OFFSET(CRONOPLE!$F$14,$M649,BD$13))))</f>
        <v>1000000000000</v>
      </c>
      <c r="BE649" s="181">
        <f ca="1">IF($D649&lt;&gt;"Serviço",0,IF(AND(AUTOEVENTO="Manual",$M649=1),0,IF(OFFSET(CRONOPLE!$F$14,$M649,BE$13)="",10^12,OFFSET(CRONOPLE!$F$14,$M649,BE$13))))</f>
        <v>1000000000000</v>
      </c>
      <c r="BF649" s="181">
        <f ca="1">IF($D649&lt;&gt;"Serviço",0,IF(AND(AUTOEVENTO="Manual",$M649=1),0,IF(OFFSET(CRONOPLE!$F$14,$M649,BF$13)="",10^12,OFFSET(CRONOPLE!$F$14,$M649,BF$13))))</f>
        <v>1000000000000</v>
      </c>
      <c r="BG649" s="181">
        <f ca="1">IF($D649&lt;&gt;"Serviço",0,IF(AND(AUTOEVENTO="Manual",$M649=1),0,IF(OFFSET(CRONOPLE!$F$14,$M649,BG$13)="",10^12,OFFSET(CRONOPLE!$F$14,$M649,BG$13))))</f>
        <v>1000000000000</v>
      </c>
      <c r="BH649" s="181">
        <f ca="1">IF($D649&lt;&gt;"Serviço",0,IF(AND(AUTOEVENTO="Manual",$M649=1),0,IF(OFFSET(CRONOPLE!$F$14,$M649,BH$13)="",10^12,OFFSET(CRONOPLE!$F$14,$M649,BH$13))))</f>
        <v>1000000000000</v>
      </c>
      <c r="BI649" s="181">
        <f ca="1">IF($D649&lt;&gt;"Serviço",0,IF(AND(AUTOEVENTO="Manual",$M649=1),0,IF(OFFSET(CRONOPLE!$F$14,$M649,BI$13)="",10^12,OFFSET(CRONOPLE!$F$14,$M649,BI$13))))</f>
        <v>1000000000000</v>
      </c>
      <c r="BJ649" s="181">
        <f ca="1">IF($D649&lt;&gt;"Serviço",0,IF(AND(AUTOEVENTO="Manual",$M649=1),0,IF(OFFSET(CRONOPLE!$F$14,$M649,BJ$13)="",10^12,OFFSET(CRONOPLE!$F$14,$M649,BJ$13))))</f>
        <v>1000000000000</v>
      </c>
      <c r="BK649" s="181">
        <f ca="1">IF($D649&lt;&gt;"Serviço",0,IF(AND(AUTOEVENTO="Manual",$M649=1),0,IF(OFFSET(CRONOPLE!$F$14,$M649,BK$13)="",10^12,OFFSET(CRONOPLE!$F$14,$M649,BK$13))))</f>
        <v>1000000000000</v>
      </c>
      <c r="BL649" s="181">
        <f ca="1">IF($D649&lt;&gt;"Serviço",0,IF(AND(AUTOEVENTO="Manual",$M649=1),0,IF(OFFSET(CRONOPLE!$F$14,$M649,BL$13)="",10^12,OFFSET(CRONOPLE!$F$14,$M649,BL$13))))</f>
        <v>1000000000000</v>
      </c>
      <c r="BM649" s="181">
        <f ca="1">IF($D649&lt;&gt;"Serviço",0,IF(AND(AUTOEVENTO="Manual",$M649=1),0,IF(OFFSET(CRONOPLE!$F$14,$M649,BM$13)="",10^12,OFFSET(CRONOPLE!$F$14,$M649,BM$13))))</f>
        <v>1000000000000</v>
      </c>
      <c r="BN649" s="181">
        <f ca="1">IF($D649&lt;&gt;"Serviço",0,IF(AND(AUTOEVENTO="Manual",$M649=1),0,IF(OFFSET(CRONOPLE!$F$14,$M649,BN$13)="",10^12,OFFSET(CRONOPLE!$F$14,$M649,BN$13))))</f>
        <v>1000000000000</v>
      </c>
      <c r="BO649" s="181">
        <f ca="1">IF($D649&lt;&gt;"Serviço",0,IF(AND(AUTOEVENTO="Manual",$M649=1),0,IF(OFFSET(CRONOPLE!$F$14,$M649,BO$13)="",10^12,OFFSET(CRONOPLE!$F$14,$M649,BO$13))))</f>
        <v>1000000000000</v>
      </c>
      <c r="BP649" s="181">
        <f ca="1">IF($D649&lt;&gt;"Serviço",0,IF(AND(AUTOEVENTO="Manual",$M649=1),0,IF(OFFSET(CRONOPLE!$F$14,$M649,BP$13)="",10^12,OFFSET(CRONOPLE!$F$14,$M649,BP$13))))</f>
        <v>1000000000000</v>
      </c>
      <c r="BQ649" s="181">
        <f ca="1">IF($D649&lt;&gt;"Serviço",0,IF(AND(AUTOEVENTO="Manual",$M649=1),0,IF(OFFSET(CRONOPLE!$F$14,$M649,BQ$13)="",10^12,OFFSET(CRONOPLE!$F$14,$M649,BQ$13))))</f>
        <v>1000000000000</v>
      </c>
      <c r="BR649" s="181">
        <f ca="1">IF($D649&lt;&gt;"Serviço",0,IF(AND(AUTOEVENTO="Manual",$M649=1),0,IF(OFFSET(CRONOPLE!$F$14,$M649,BR$13)="",10^12,OFFSET(CRONOPLE!$F$14,$M649,BR$13))))</f>
        <v>1000000000000</v>
      </c>
      <c r="BS649" s="181">
        <f ca="1">IF($D649&lt;&gt;"Serviço",0,IF(AND(AUTOEVENTO="Manual",$M649=1),0,IF(OFFSET(CRONOPLE!$F$14,$M649,BS$13)="",10^12,OFFSET(CRONOPLE!$F$14,$M649,BS$13))))</f>
        <v>1000000000000</v>
      </c>
      <c r="BT649" s="181">
        <f ca="1">IF($D649&lt;&gt;"Serviço",0,IF(AND(AUTOEVENTO="Manual",$M649=1),0,IF(OFFSET(CRONOPLE!$F$14,$M649,BT$13)="",10^12,OFFSET(CRONOPLE!$F$14,$M649,BT$13))))</f>
        <v>1000000000000</v>
      </c>
      <c r="BV649" s="182">
        <f ca="1">IF($D649&lt;&gt;"Serviço",0,IF(OR(AND(AUTOEVENTO="Manual",$M649=1),$M649&gt;(ROW(PLE.lastrow)-ROW(PLE.firstrow))),0,IF(OFFSET(PLE!$G$14,$M649,BV$13)="",10^12,OFFSET(PLE!$G$14,$M649,BV$13))))</f>
        <v>1000000000000</v>
      </c>
      <c r="BW649" s="182">
        <f ca="1">IF($D649&lt;&gt;"Serviço",0,IF(OR(AND(AUTOEVENTO="Manual",$M649=1),$M649&gt;(ROW(PLE.lastrow)-ROW(PLE.firstrow))),0,IF(OFFSET(PLE!$G$14,$M649,BW$13)="",10^12,OFFSET(PLE!$G$14,$M649,BW$13))))</f>
        <v>1000000000000</v>
      </c>
      <c r="BX649" s="182">
        <f ca="1">IF($D649&lt;&gt;"Serviço",0,IF(OR(AND(AUTOEVENTO="Manual",$M649=1),$M649&gt;(ROW(PLE.lastrow)-ROW(PLE.firstrow))),0,IF(OFFSET(PLE!$G$14,$M649,BX$13)="",10^12,OFFSET(PLE!$G$14,$M649,BX$13))))</f>
        <v>1000000000000</v>
      </c>
      <c r="BY649" s="182">
        <f ca="1">IF($D649&lt;&gt;"Serviço",0,IF(OR(AND(AUTOEVENTO="Manual",$M649=1),$M649&gt;(ROW(PLE.lastrow)-ROW(PLE.firstrow))),0,IF(OFFSET(PLE!$G$14,$M649,BY$13)="",10^12,OFFSET(PLE!$G$14,$M649,BY$13))))</f>
        <v>1000000000000</v>
      </c>
      <c r="BZ649" s="182">
        <f ca="1">IF($D649&lt;&gt;"Serviço",0,IF(OR(AND(AUTOEVENTO="Manual",$M649=1),$M649&gt;(ROW(PLE.lastrow)-ROW(PLE.firstrow))),0,IF(OFFSET(PLE!$G$14,$M649,BZ$13)="",10^12,OFFSET(PLE!$G$14,$M649,BZ$13))))</f>
        <v>1000000000000</v>
      </c>
      <c r="CA649" s="182">
        <f ca="1">IF($D649&lt;&gt;"Serviço",0,IF(OR(AND(AUTOEVENTO="Manual",$M649=1),$M649&gt;(ROW(PLE.lastrow)-ROW(PLE.firstrow))),0,IF(OFFSET(PLE!$G$14,$M649,CA$13)="",10^12,OFFSET(PLE!$G$14,$M649,CA$13))))</f>
        <v>1000000000000</v>
      </c>
      <c r="CB649" s="182">
        <f ca="1">IF($D649&lt;&gt;"Serviço",0,IF(OR(AND(AUTOEVENTO="Manual",$M649=1),$M649&gt;(ROW(PLE.lastrow)-ROW(PLE.firstrow))),0,IF(OFFSET(PLE!$G$14,$M649,CB$13)="",10^12,OFFSET(PLE!$G$14,$M649,CB$13))))</f>
        <v>1000000000000</v>
      </c>
      <c r="CC649" s="182">
        <f ca="1">IF($D649&lt;&gt;"Serviço",0,IF(OR(AND(AUTOEVENTO="Manual",$M649=1),$M649&gt;(ROW(PLE.lastrow)-ROW(PLE.firstrow))),0,IF(OFFSET(PLE!$G$14,$M649,CC$13)="",10^12,OFFSET(PLE!$G$14,$M649,CC$13))))</f>
        <v>1000000000000</v>
      </c>
      <c r="CD649" s="182">
        <f ca="1">IF($D649&lt;&gt;"Serviço",0,IF(OR(AND(AUTOEVENTO="Manual",$M649=1),$M649&gt;(ROW(PLE.lastrow)-ROW(PLE.firstrow))),0,IF(OFFSET(PLE!$G$14,$M649,CD$13)="",10^12,OFFSET(PLE!$G$14,$M649,CD$13))))</f>
        <v>1000000000000</v>
      </c>
      <c r="CE649" s="182">
        <f ca="1">IF($D649&lt;&gt;"Serviço",0,IF(OR(AND(AUTOEVENTO="Manual",$M649=1),$M649&gt;(ROW(PLE.lastrow)-ROW(PLE.firstrow))),0,IF(OFFSET(PLE!$G$14,$M649,CE$13)="",10^12,OFFSET(PLE!$G$14,$M649,CE$13))))</f>
        <v>1000000000000</v>
      </c>
      <c r="CF649" s="182">
        <f ca="1">IF($D649&lt;&gt;"Serviço",0,IF(OR(AND(AUTOEVENTO="Manual",$M649=1),$M649&gt;(ROW(PLE.lastrow)-ROW(PLE.firstrow))),0,IF(OFFSET(PLE!$G$14,$M649,CF$13)="",10^12,OFFSET(PLE!$G$14,$M649,CF$13))))</f>
        <v>1000000000000</v>
      </c>
      <c r="CG649" s="182">
        <f ca="1">IF($D649&lt;&gt;"Serviço",0,IF(OR(AND(AUTOEVENTO="Manual",$M649=1),$M649&gt;(ROW(PLE.lastrow)-ROW(PLE.firstrow))),0,IF(OFFSET(PLE!$G$14,$M649,CG$13)="",10^12,OFFSET(PLE!$G$14,$M649,CG$13))))</f>
        <v>1000000000000</v>
      </c>
      <c r="CH649" s="182">
        <f ca="1">IF($D649&lt;&gt;"Serviço",0,IF(OR(AND(AUTOEVENTO="Manual",$M649=1),$M649&gt;(ROW(PLE.lastrow)-ROW(PLE.firstrow))),0,IF(OFFSET(PLE!$G$14,$M649,CH$13)="",10^12,OFFSET(PLE!$G$14,$M649,CH$13))))</f>
        <v>1000000000000</v>
      </c>
      <c r="CI649" s="182">
        <f ca="1">IF($D649&lt;&gt;"Serviço",0,IF(OR(AND(AUTOEVENTO="Manual",$M649=1),$M649&gt;(ROW(PLE.lastrow)-ROW(PLE.firstrow))),0,IF(OFFSET(PLE!$G$14,$M649,CI$13)="",10^12,OFFSET(PLE!$G$14,$M649,CI$13))))</f>
        <v>1000000000000</v>
      </c>
      <c r="CJ649" s="182">
        <f ca="1">IF($D649&lt;&gt;"Serviço",0,IF(OR(AND(AUTOEVENTO="Manual",$M649=1),$M649&gt;(ROW(PLE.lastrow)-ROW(PLE.firstrow))),0,IF(OFFSET(PLE!$G$14,$M649,CJ$13)="",10^12,OFFSET(PLE!$G$14,$M649,CJ$13))))</f>
        <v>1000000000000</v>
      </c>
      <c r="CK649" s="182">
        <f ca="1">IF($D649&lt;&gt;"Serviço",0,IF(OR(AND(AUTOEVENTO="Manual",$M649=1),$M649&gt;(ROW(PLE.lastrow)-ROW(PLE.firstrow))),0,IF(OFFSET(PLE!$G$14,$M649,CK$13)="",10^12,OFFSET(PLE!$G$14,$M649,CK$13))))</f>
        <v>1000000000000</v>
      </c>
      <c r="CL649" s="182">
        <f ca="1">IF($D649&lt;&gt;"Serviço",0,IF(OR(AND(AUTOEVENTO="Manual",$M649=1),$M649&gt;(ROW(PLE.lastrow)-ROW(PLE.firstrow))),0,IF(OFFSET(PLE!$G$14,$M649,CL$13)="",10^12,OFFSET(PLE!$G$14,$M649,CL$13))))</f>
        <v>1000000000000</v>
      </c>
      <c r="CM649" s="182">
        <f ca="1">IF($D649&lt;&gt;"Serviço",0,IF(OR(AND(AUTOEVENTO="Manual",$M649=1),$M649&gt;(ROW(PLE.lastrow)-ROW(PLE.firstrow))),0,IF(OFFSET(PLE!$G$14,$M649,CM$13)="",10^12,OFFSET(PLE!$G$14,$M649,CM$13))))</f>
        <v>1000000000000</v>
      </c>
    </row>
    <row r="650" spans="1:91" ht="51" x14ac:dyDescent="0.2">
      <c r="A650" s="7" t="str">
        <f t="shared" ca="1" si="19"/>
        <v>628</v>
      </c>
      <c r="B650" s="7" t="str">
        <f ca="1">OFFSET(ORÇAMENTO!C$15,ROW(B650)-ROW(B$15),0)</f>
        <v>S</v>
      </c>
      <c r="C650" s="7" t="str">
        <f ca="1">OFFSET(ORÇAMENTO!L$15,ROW(C650)-ROW(C$15),0)</f>
        <v/>
      </c>
      <c r="D650" s="118" t="str">
        <f ca="1">OFFSET(ORÇAMENTO!N$15,ROW(D650)-ROW(D$15),0)</f>
        <v>Serviço</v>
      </c>
      <c r="E650" s="119" t="str">
        <f ca="1">OFFSET(ORÇAMENTO!O$15,ROW(E650)-ROW(E$15),0)</f>
        <v>-</v>
      </c>
      <c r="F650" s="172" t="str">
        <f ca="1">OFFSET(ORÇAMENTO!R$15,ROW(F650)-ROW(F$15),0)</f>
        <v>(abra o arquivo 'Referência 06-2024.xlsm)</v>
      </c>
      <c r="G650" s="173" t="str">
        <f ca="1">IF($D650&lt;&gt;"Serviço","",OFFSET(ORÇAMENTO!S$15,ROW(G650)-ROW(G$15),0))</f>
        <v>-</v>
      </c>
      <c r="H650" s="124">
        <f ca="1">IF($D650&lt;&gt;"Serviço",0,IF(ACOMPANHAMENTO="BM",ROUND(OFFSET(ORÇAMENTO!AJ$15,ROW(H650)-ROW(H$15),0),15-13*ORÇAMENTO!$AF$7),SUMPRODUCT(($Q$12:$AI$12&lt;&gt;"")*ROUND($Q650:$AI650,15-13*ORÇAMENTO!$AF$7))))</f>
        <v>3</v>
      </c>
      <c r="I650" s="561" t="s">
        <v>1107</v>
      </c>
      <c r="K650" s="174"/>
      <c r="L650" s="175" t="s">
        <v>255</v>
      </c>
      <c r="M650" s="176">
        <f ca="1">IF($D650&lt;&gt;"Serviço","",IF(AUTOEVENTO="manual",$A650,IF(ISERROR(MATCH($A650,$A$15:OFFSET($A650,-1,0),0)),MAX($M$15:OFFSET(M650,-1,0))+1,INDEX($M$15:OFFSET(M650,-1,0),MATCH($A650,$A$15:OFFSET($A650,-1,0),0)))))</f>
        <v>69</v>
      </c>
      <c r="N650" s="177" t="str">
        <f ca="1">IF($D650&lt;&gt;"Serviço","",IF(AUTOEVENTO="Manual",IF($A650=0,"&lt;-- defina o número do agrupador",OFFSET(EVENTOS!$D$14,$A650,0)),OFFSET($F$15,$A650,0)))</f>
        <v>INSTALAÇÕES DE CABEAMENTO ESTRUTURADO - ELETROCALHA E ELETRODUTOS</v>
      </c>
      <c r="O650" s="178"/>
      <c r="Q650" s="178">
        <v>3</v>
      </c>
      <c r="R650" s="179"/>
      <c r="S650" s="179"/>
      <c r="T650" s="179"/>
      <c r="U650" s="179"/>
      <c r="V650" s="179"/>
      <c r="W650" s="179"/>
      <c r="X650" s="179"/>
      <c r="Y650" s="179"/>
      <c r="Z650" s="180"/>
      <c r="AA650" s="179"/>
      <c r="AB650" s="179"/>
      <c r="AC650" s="179"/>
      <c r="AD650" s="179"/>
      <c r="AE650" s="179"/>
      <c r="AF650" s="179"/>
      <c r="AG650" s="179"/>
      <c r="AH650" s="180"/>
      <c r="AJ650" s="544">
        <f ca="1">IF(AND($D650="Serviço",AJ$12&lt;&gt;0,$H650&gt;0,OR(AUTOEVENTO&lt;&gt;"manual",$M650&lt;&gt;1)),
IF(Import.TipoArredondamento&lt;&gt;"TransfereGOV",
ROUND(OFFSET($P650,0,AJ$13),15-13*ORÇAMENTO!$AF$7)/$H650*OFFSET(ORÇAMENTO!$X$15,ROW(AJ650)-ROW(AJ$15),0),
ROUND(ROUND(OFFSET($P650,0,AJ$13),15-13*ORÇAMENTO!$AF$7)*OFFSET(ORÇAMENTO!$W$15,ROW(AJ650)-ROW(AJ$15),0),15-13*ORÇAMENTO!$AF$11)),0)</f>
        <v>0</v>
      </c>
      <c r="AK650" s="545">
        <f ca="1">IF(AND($D650="Serviço",AK$12&lt;&gt;0,$H650&gt;0,OR(AUTOEVENTO&lt;&gt;"manual",$M650&lt;&gt;1)),
IF(Import.TipoArredondamento&lt;&gt;"TransfereGOV",
ROUND(OFFSET($P650,0,AK$13),15-13*ORÇAMENTO!$AF$7)/$H650*OFFSET(ORÇAMENTO!$X$15,ROW(AK650)-ROW(AK$15),0),
ROUND(ROUND(OFFSET($P650,0,AK$13),15-13*ORÇAMENTO!$AF$7)*OFFSET(ORÇAMENTO!$W$15,ROW(AK650)-ROW(AK$15),0),15-13*ORÇAMENTO!$AF$11)),0)</f>
        <v>0</v>
      </c>
      <c r="AL650" s="545">
        <f ca="1">IF(AND($D650="Serviço",AL$12&lt;&gt;0,$H650&gt;0,OR(AUTOEVENTO&lt;&gt;"manual",$M650&lt;&gt;1)),
IF(Import.TipoArredondamento&lt;&gt;"TransfereGOV",
ROUND(OFFSET($P650,0,AL$13),15-13*ORÇAMENTO!$AF$7)/$H650*OFFSET(ORÇAMENTO!$X$15,ROW(AL650)-ROW(AL$15),0),
ROUND(ROUND(OFFSET($P650,0,AL$13),15-13*ORÇAMENTO!$AF$7)*OFFSET(ORÇAMENTO!$W$15,ROW(AL650)-ROW(AL$15),0),15-13*ORÇAMENTO!$AF$11)),0)</f>
        <v>0</v>
      </c>
      <c r="AM650" s="545">
        <f ca="1">IF(AND($D650="Serviço",AM$12&lt;&gt;0,$H650&gt;0,OR(AUTOEVENTO&lt;&gt;"manual",$M650&lt;&gt;1)),
IF(Import.TipoArredondamento&lt;&gt;"TransfereGOV",
ROUND(OFFSET($P650,0,AM$13),15-13*ORÇAMENTO!$AF$7)/$H650*OFFSET(ORÇAMENTO!$X$15,ROW(AM650)-ROW(AM$15),0),
ROUND(ROUND(OFFSET($P650,0,AM$13),15-13*ORÇAMENTO!$AF$7)*OFFSET(ORÇAMENTO!$W$15,ROW(AM650)-ROW(AM$15),0),15-13*ORÇAMENTO!$AF$11)),0)</f>
        <v>0</v>
      </c>
      <c r="AN650" s="545">
        <f ca="1">IF(AND($D650="Serviço",AN$12&lt;&gt;0,$H650&gt;0,OR(AUTOEVENTO&lt;&gt;"manual",$M650&lt;&gt;1)),
IF(Import.TipoArredondamento&lt;&gt;"TransfereGOV",
ROUND(OFFSET($P650,0,AN$13),15-13*ORÇAMENTO!$AF$7)/$H650*OFFSET(ORÇAMENTO!$X$15,ROW(AN650)-ROW(AN$15),0),
ROUND(ROUND(OFFSET($P650,0,AN$13),15-13*ORÇAMENTO!$AF$7)*OFFSET(ORÇAMENTO!$W$15,ROW(AN650)-ROW(AN$15),0),15-13*ORÇAMENTO!$AF$11)),0)</f>
        <v>0</v>
      </c>
      <c r="AO650" s="545">
        <f ca="1">IF(AND($D650="Serviço",AO$12&lt;&gt;0,$H650&gt;0,OR(AUTOEVENTO&lt;&gt;"manual",$M650&lt;&gt;1)),
IF(Import.TipoArredondamento&lt;&gt;"TransfereGOV",
ROUND(OFFSET($P650,0,AO$13),15-13*ORÇAMENTO!$AF$7)/$H650*OFFSET(ORÇAMENTO!$X$15,ROW(AO650)-ROW(AO$15),0),
ROUND(ROUND(OFFSET($P650,0,AO$13),15-13*ORÇAMENTO!$AF$7)*OFFSET(ORÇAMENTO!$W$15,ROW(AO650)-ROW(AO$15),0),15-13*ORÇAMENTO!$AF$11)),0)</f>
        <v>0</v>
      </c>
      <c r="AP650" s="545">
        <f ca="1">IF(AND($D650="Serviço",AP$12&lt;&gt;0,$H650&gt;0,OR(AUTOEVENTO&lt;&gt;"manual",$M650&lt;&gt;1)),
IF(Import.TipoArredondamento&lt;&gt;"TransfereGOV",
ROUND(OFFSET($P650,0,AP$13),15-13*ORÇAMENTO!$AF$7)/$H650*OFFSET(ORÇAMENTO!$X$15,ROW(AP650)-ROW(AP$15),0),
ROUND(ROUND(OFFSET($P650,0,AP$13),15-13*ORÇAMENTO!$AF$7)*OFFSET(ORÇAMENTO!$W$15,ROW(AP650)-ROW(AP$15),0),15-13*ORÇAMENTO!$AF$11)),0)</f>
        <v>0</v>
      </c>
      <c r="AQ650" s="545">
        <f ca="1">IF(AND($D650="Serviço",AQ$12&lt;&gt;0,$H650&gt;0,OR(AUTOEVENTO&lt;&gt;"manual",$M650&lt;&gt;1)),
IF(Import.TipoArredondamento&lt;&gt;"TransfereGOV",
ROUND(OFFSET($P650,0,AQ$13),15-13*ORÇAMENTO!$AF$7)/$H650*OFFSET(ORÇAMENTO!$X$15,ROW(AQ650)-ROW(AQ$15),0),
ROUND(ROUND(OFFSET($P650,0,AQ$13),15-13*ORÇAMENTO!$AF$7)*OFFSET(ORÇAMENTO!$W$15,ROW(AQ650)-ROW(AQ$15),0),15-13*ORÇAMENTO!$AF$11)),0)</f>
        <v>0</v>
      </c>
      <c r="AR650" s="545">
        <f ca="1">IF(AND($D650="Serviço",AR$12&lt;&gt;0,$H650&gt;0,OR(AUTOEVENTO&lt;&gt;"manual",$M650&lt;&gt;1)),
IF(Import.TipoArredondamento&lt;&gt;"TransfereGOV",
ROUND(OFFSET($P650,0,AR$13),15-13*ORÇAMENTO!$AF$7)/$H650*OFFSET(ORÇAMENTO!$X$15,ROW(AR650)-ROW(AR$15),0),
ROUND(ROUND(OFFSET($P650,0,AR$13),15-13*ORÇAMENTO!$AF$7)*OFFSET(ORÇAMENTO!$W$15,ROW(AR650)-ROW(AR$15),0),15-13*ORÇAMENTO!$AF$11)),0)</f>
        <v>0</v>
      </c>
      <c r="AS650" s="546">
        <f ca="1">IF(AND($D650="Serviço",AS$12&lt;&gt;0,$H650&gt;0,OR(AUTOEVENTO&lt;&gt;"manual",$M650&lt;&gt;1)),
IF(Import.TipoArredondamento&lt;&gt;"TransfereGOV",
ROUND(OFFSET($P650,0,AS$13),15-13*ORÇAMENTO!$AF$7)/$H650*OFFSET(ORÇAMENTO!$X$15,ROW(AS650)-ROW(AS$15),0),
ROUND(ROUND(OFFSET($P650,0,AS$13),15-13*ORÇAMENTO!$AF$7)*OFFSET(ORÇAMENTO!$W$15,ROW(AS650)-ROW(AS$15),0),15-13*ORÇAMENTO!$AF$11)),0)</f>
        <v>0</v>
      </c>
      <c r="AT650" s="545">
        <f ca="1">IF(AND($D650="Serviço",AT$12&lt;&gt;0,$H650&gt;0,OR(AUTOEVENTO&lt;&gt;"manual",$M650&lt;&gt;1)),
IF(Import.TipoArredondamento&lt;&gt;"TransfereGOV",
ROUND(OFFSET($P650,0,AT$13),15-13*ORÇAMENTO!$AF$7)/$H650*OFFSET(ORÇAMENTO!$X$15,ROW(AT650)-ROW(AT$15),0),
ROUND(ROUND(OFFSET($P650,0,AT$13),15-13*ORÇAMENTO!$AF$7)*OFFSET(ORÇAMENTO!$W$15,ROW(AT650)-ROW(AT$15),0),15-13*ORÇAMENTO!$AF$11)),0)</f>
        <v>0</v>
      </c>
      <c r="AU650" s="545">
        <f ca="1">IF(AND($D650="Serviço",AU$12&lt;&gt;0,$H650&gt;0,OR(AUTOEVENTO&lt;&gt;"manual",$M650&lt;&gt;1)),
IF(Import.TipoArredondamento&lt;&gt;"TransfereGOV",
ROUND(OFFSET($P650,0,AU$13),15-13*ORÇAMENTO!$AF$7)/$H650*OFFSET(ORÇAMENTO!$X$15,ROW(AU650)-ROW(AU$15),0),
ROUND(ROUND(OFFSET($P650,0,AU$13),15-13*ORÇAMENTO!$AF$7)*OFFSET(ORÇAMENTO!$W$15,ROW(AU650)-ROW(AU$15),0),15-13*ORÇAMENTO!$AF$11)),0)</f>
        <v>0</v>
      </c>
      <c r="AV650" s="545">
        <f ca="1">IF(AND($D650="Serviço",AV$12&lt;&gt;0,$H650&gt;0,OR(AUTOEVENTO&lt;&gt;"manual",$M650&lt;&gt;1)),
IF(Import.TipoArredondamento&lt;&gt;"TransfereGOV",
ROUND(OFFSET($P650,0,AV$13),15-13*ORÇAMENTO!$AF$7)/$H650*OFFSET(ORÇAMENTO!$X$15,ROW(AV650)-ROW(AV$15),0),
ROUND(ROUND(OFFSET($P650,0,AV$13),15-13*ORÇAMENTO!$AF$7)*OFFSET(ORÇAMENTO!$W$15,ROW(AV650)-ROW(AV$15),0),15-13*ORÇAMENTO!$AF$11)),0)</f>
        <v>0</v>
      </c>
      <c r="AW650" s="545">
        <f ca="1">IF(AND($D650="Serviço",AW$12&lt;&gt;0,$H650&gt;0,OR(AUTOEVENTO&lt;&gt;"manual",$M650&lt;&gt;1)),
IF(Import.TipoArredondamento&lt;&gt;"TransfereGOV",
ROUND(OFFSET($P650,0,AW$13),15-13*ORÇAMENTO!$AF$7)/$H650*OFFSET(ORÇAMENTO!$X$15,ROW(AW650)-ROW(AW$15),0),
ROUND(ROUND(OFFSET($P650,0,AW$13),15-13*ORÇAMENTO!$AF$7)*OFFSET(ORÇAMENTO!$W$15,ROW(AW650)-ROW(AW$15),0),15-13*ORÇAMENTO!$AF$11)),0)</f>
        <v>0</v>
      </c>
      <c r="AX650" s="545">
        <f ca="1">IF(AND($D650="Serviço",AX$12&lt;&gt;0,$H650&gt;0,OR(AUTOEVENTO&lt;&gt;"manual",$M650&lt;&gt;1)),
IF(Import.TipoArredondamento&lt;&gt;"TransfereGOV",
ROUND(OFFSET($P650,0,AX$13),15-13*ORÇAMENTO!$AF$7)/$H650*OFFSET(ORÇAMENTO!$X$15,ROW(AX650)-ROW(AX$15),0),
ROUND(ROUND(OFFSET($P650,0,AX$13),15-13*ORÇAMENTO!$AF$7)*OFFSET(ORÇAMENTO!$W$15,ROW(AX650)-ROW(AX$15),0),15-13*ORÇAMENTO!$AF$11)),0)</f>
        <v>0</v>
      </c>
      <c r="AY650" s="545">
        <f ca="1">IF(AND($D650="Serviço",AY$12&lt;&gt;0,$H650&gt;0,OR(AUTOEVENTO&lt;&gt;"manual",$M650&lt;&gt;1)),
IF(Import.TipoArredondamento&lt;&gt;"TransfereGOV",
ROUND(OFFSET($P650,0,AY$13),15-13*ORÇAMENTO!$AF$7)/$H650*OFFSET(ORÇAMENTO!$X$15,ROW(AY650)-ROW(AY$15),0),
ROUND(ROUND(OFFSET($P650,0,AY$13),15-13*ORÇAMENTO!$AF$7)*OFFSET(ORÇAMENTO!$W$15,ROW(AY650)-ROW(AY$15),0),15-13*ORÇAMENTO!$AF$11)),0)</f>
        <v>0</v>
      </c>
      <c r="AZ650" s="545">
        <f ca="1">IF(AND($D650="Serviço",AZ$12&lt;&gt;0,$H650&gt;0,OR(AUTOEVENTO&lt;&gt;"manual",$M650&lt;&gt;1)),
IF(Import.TipoArredondamento&lt;&gt;"TransfereGOV",
ROUND(OFFSET($P650,0,AZ$13),15-13*ORÇAMENTO!$AF$7)/$H650*OFFSET(ORÇAMENTO!$X$15,ROW(AZ650)-ROW(AZ$15),0),
ROUND(ROUND(OFFSET($P650,0,AZ$13),15-13*ORÇAMENTO!$AF$7)*OFFSET(ORÇAMENTO!$W$15,ROW(AZ650)-ROW(AZ$15),0),15-13*ORÇAMENTO!$AF$11)),0)</f>
        <v>0</v>
      </c>
      <c r="BA650" s="546">
        <f ca="1">IF(AND($D650="Serviço",BA$12&lt;&gt;0,$H650&gt;0,OR(AUTOEVENTO&lt;&gt;"manual",$M650&lt;&gt;1)),
IF(Import.TipoArredondamento&lt;&gt;"TransfereGOV",
ROUND(OFFSET($P650,0,BA$13),15-13*ORÇAMENTO!$AF$7)/$H650*OFFSET(ORÇAMENTO!$X$15,ROW(BA650)-ROW(BA$15),0),
ROUND(ROUND(OFFSET($P650,0,BA$13),15-13*ORÇAMENTO!$AF$7)*OFFSET(ORÇAMENTO!$W$15,ROW(BA650)-ROW(BA$15),0),15-13*ORÇAMENTO!$AF$11)),0)</f>
        <v>0</v>
      </c>
      <c r="BC650" s="181">
        <f ca="1">IF($D650&lt;&gt;"Serviço",0,IF(AND(AUTOEVENTO="Manual",$M650=1),0,IF(OFFSET(CRONOPLE!$F$14,$M650,BC$13)="",10^12,OFFSET(CRONOPLE!$F$14,$M650,BC$13))))</f>
        <v>11</v>
      </c>
      <c r="BD650" s="181">
        <f ca="1">IF($D650&lt;&gt;"Serviço",0,IF(AND(AUTOEVENTO="Manual",$M650=1),0,IF(OFFSET(CRONOPLE!$F$14,$M650,BD$13)="",10^12,OFFSET(CRONOPLE!$F$14,$M650,BD$13))))</f>
        <v>1000000000000</v>
      </c>
      <c r="BE650" s="181">
        <f ca="1">IF($D650&lt;&gt;"Serviço",0,IF(AND(AUTOEVENTO="Manual",$M650=1),0,IF(OFFSET(CRONOPLE!$F$14,$M650,BE$13)="",10^12,OFFSET(CRONOPLE!$F$14,$M650,BE$13))))</f>
        <v>1000000000000</v>
      </c>
      <c r="BF650" s="181">
        <f ca="1">IF($D650&lt;&gt;"Serviço",0,IF(AND(AUTOEVENTO="Manual",$M650=1),0,IF(OFFSET(CRONOPLE!$F$14,$M650,BF$13)="",10^12,OFFSET(CRONOPLE!$F$14,$M650,BF$13))))</f>
        <v>1000000000000</v>
      </c>
      <c r="BG650" s="181">
        <f ca="1">IF($D650&lt;&gt;"Serviço",0,IF(AND(AUTOEVENTO="Manual",$M650=1),0,IF(OFFSET(CRONOPLE!$F$14,$M650,BG$13)="",10^12,OFFSET(CRONOPLE!$F$14,$M650,BG$13))))</f>
        <v>1000000000000</v>
      </c>
      <c r="BH650" s="181">
        <f ca="1">IF($D650&lt;&gt;"Serviço",0,IF(AND(AUTOEVENTO="Manual",$M650=1),0,IF(OFFSET(CRONOPLE!$F$14,$M650,BH$13)="",10^12,OFFSET(CRONOPLE!$F$14,$M650,BH$13))))</f>
        <v>1000000000000</v>
      </c>
      <c r="BI650" s="181">
        <f ca="1">IF($D650&lt;&gt;"Serviço",0,IF(AND(AUTOEVENTO="Manual",$M650=1),0,IF(OFFSET(CRONOPLE!$F$14,$M650,BI$13)="",10^12,OFFSET(CRONOPLE!$F$14,$M650,BI$13))))</f>
        <v>1000000000000</v>
      </c>
      <c r="BJ650" s="181">
        <f ca="1">IF($D650&lt;&gt;"Serviço",0,IF(AND(AUTOEVENTO="Manual",$M650=1),0,IF(OFFSET(CRONOPLE!$F$14,$M650,BJ$13)="",10^12,OFFSET(CRONOPLE!$F$14,$M650,BJ$13))))</f>
        <v>1000000000000</v>
      </c>
      <c r="BK650" s="181">
        <f ca="1">IF($D650&lt;&gt;"Serviço",0,IF(AND(AUTOEVENTO="Manual",$M650=1),0,IF(OFFSET(CRONOPLE!$F$14,$M650,BK$13)="",10^12,OFFSET(CRONOPLE!$F$14,$M650,BK$13))))</f>
        <v>1000000000000</v>
      </c>
      <c r="BL650" s="181">
        <f ca="1">IF($D650&lt;&gt;"Serviço",0,IF(AND(AUTOEVENTO="Manual",$M650=1),0,IF(OFFSET(CRONOPLE!$F$14,$M650,BL$13)="",10^12,OFFSET(CRONOPLE!$F$14,$M650,BL$13))))</f>
        <v>1000000000000</v>
      </c>
      <c r="BM650" s="181">
        <f ca="1">IF($D650&lt;&gt;"Serviço",0,IF(AND(AUTOEVENTO="Manual",$M650=1),0,IF(OFFSET(CRONOPLE!$F$14,$M650,BM$13)="",10^12,OFFSET(CRONOPLE!$F$14,$M650,BM$13))))</f>
        <v>1000000000000</v>
      </c>
      <c r="BN650" s="181">
        <f ca="1">IF($D650&lt;&gt;"Serviço",0,IF(AND(AUTOEVENTO="Manual",$M650=1),0,IF(OFFSET(CRONOPLE!$F$14,$M650,BN$13)="",10^12,OFFSET(CRONOPLE!$F$14,$M650,BN$13))))</f>
        <v>1000000000000</v>
      </c>
      <c r="BO650" s="181">
        <f ca="1">IF($D650&lt;&gt;"Serviço",0,IF(AND(AUTOEVENTO="Manual",$M650=1),0,IF(OFFSET(CRONOPLE!$F$14,$M650,BO$13)="",10^12,OFFSET(CRONOPLE!$F$14,$M650,BO$13))))</f>
        <v>1000000000000</v>
      </c>
      <c r="BP650" s="181">
        <f ca="1">IF($D650&lt;&gt;"Serviço",0,IF(AND(AUTOEVENTO="Manual",$M650=1),0,IF(OFFSET(CRONOPLE!$F$14,$M650,BP$13)="",10^12,OFFSET(CRONOPLE!$F$14,$M650,BP$13))))</f>
        <v>1000000000000</v>
      </c>
      <c r="BQ650" s="181">
        <f ca="1">IF($D650&lt;&gt;"Serviço",0,IF(AND(AUTOEVENTO="Manual",$M650=1),0,IF(OFFSET(CRONOPLE!$F$14,$M650,BQ$13)="",10^12,OFFSET(CRONOPLE!$F$14,$M650,BQ$13))))</f>
        <v>1000000000000</v>
      </c>
      <c r="BR650" s="181">
        <f ca="1">IF($D650&lt;&gt;"Serviço",0,IF(AND(AUTOEVENTO="Manual",$M650=1),0,IF(OFFSET(CRONOPLE!$F$14,$M650,BR$13)="",10^12,OFFSET(CRONOPLE!$F$14,$M650,BR$13))))</f>
        <v>1000000000000</v>
      </c>
      <c r="BS650" s="181">
        <f ca="1">IF($D650&lt;&gt;"Serviço",0,IF(AND(AUTOEVENTO="Manual",$M650=1),0,IF(OFFSET(CRONOPLE!$F$14,$M650,BS$13)="",10^12,OFFSET(CRONOPLE!$F$14,$M650,BS$13))))</f>
        <v>1000000000000</v>
      </c>
      <c r="BT650" s="181">
        <f ca="1">IF($D650&lt;&gt;"Serviço",0,IF(AND(AUTOEVENTO="Manual",$M650=1),0,IF(OFFSET(CRONOPLE!$F$14,$M650,BT$13)="",10^12,OFFSET(CRONOPLE!$F$14,$M650,BT$13))))</f>
        <v>1000000000000</v>
      </c>
      <c r="BV650" s="182">
        <f ca="1">IF($D650&lt;&gt;"Serviço",0,IF(OR(AND(AUTOEVENTO="Manual",$M650=1),$M650&gt;(ROW(PLE.lastrow)-ROW(PLE.firstrow))),0,IF(OFFSET(PLE!$G$14,$M650,BV$13)="",10^12,OFFSET(PLE!$G$14,$M650,BV$13))))</f>
        <v>1000000000000</v>
      </c>
      <c r="BW650" s="182">
        <f ca="1">IF($D650&lt;&gt;"Serviço",0,IF(OR(AND(AUTOEVENTO="Manual",$M650=1),$M650&gt;(ROW(PLE.lastrow)-ROW(PLE.firstrow))),0,IF(OFFSET(PLE!$G$14,$M650,BW$13)="",10^12,OFFSET(PLE!$G$14,$M650,BW$13))))</f>
        <v>1000000000000</v>
      </c>
      <c r="BX650" s="182">
        <f ca="1">IF($D650&lt;&gt;"Serviço",0,IF(OR(AND(AUTOEVENTO="Manual",$M650=1),$M650&gt;(ROW(PLE.lastrow)-ROW(PLE.firstrow))),0,IF(OFFSET(PLE!$G$14,$M650,BX$13)="",10^12,OFFSET(PLE!$G$14,$M650,BX$13))))</f>
        <v>1000000000000</v>
      </c>
      <c r="BY650" s="182">
        <f ca="1">IF($D650&lt;&gt;"Serviço",0,IF(OR(AND(AUTOEVENTO="Manual",$M650=1),$M650&gt;(ROW(PLE.lastrow)-ROW(PLE.firstrow))),0,IF(OFFSET(PLE!$G$14,$M650,BY$13)="",10^12,OFFSET(PLE!$G$14,$M650,BY$13))))</f>
        <v>1000000000000</v>
      </c>
      <c r="BZ650" s="182">
        <f ca="1">IF($D650&lt;&gt;"Serviço",0,IF(OR(AND(AUTOEVENTO="Manual",$M650=1),$M650&gt;(ROW(PLE.lastrow)-ROW(PLE.firstrow))),0,IF(OFFSET(PLE!$G$14,$M650,BZ$13)="",10^12,OFFSET(PLE!$G$14,$M650,BZ$13))))</f>
        <v>1000000000000</v>
      </c>
      <c r="CA650" s="182">
        <f ca="1">IF($D650&lt;&gt;"Serviço",0,IF(OR(AND(AUTOEVENTO="Manual",$M650=1),$M650&gt;(ROW(PLE.lastrow)-ROW(PLE.firstrow))),0,IF(OFFSET(PLE!$G$14,$M650,CA$13)="",10^12,OFFSET(PLE!$G$14,$M650,CA$13))))</f>
        <v>1000000000000</v>
      </c>
      <c r="CB650" s="182">
        <f ca="1">IF($D650&lt;&gt;"Serviço",0,IF(OR(AND(AUTOEVENTO="Manual",$M650=1),$M650&gt;(ROW(PLE.lastrow)-ROW(PLE.firstrow))),0,IF(OFFSET(PLE!$G$14,$M650,CB$13)="",10^12,OFFSET(PLE!$G$14,$M650,CB$13))))</f>
        <v>1000000000000</v>
      </c>
      <c r="CC650" s="182">
        <f ca="1">IF($D650&lt;&gt;"Serviço",0,IF(OR(AND(AUTOEVENTO="Manual",$M650=1),$M650&gt;(ROW(PLE.lastrow)-ROW(PLE.firstrow))),0,IF(OFFSET(PLE!$G$14,$M650,CC$13)="",10^12,OFFSET(PLE!$G$14,$M650,CC$13))))</f>
        <v>1000000000000</v>
      </c>
      <c r="CD650" s="182">
        <f ca="1">IF($D650&lt;&gt;"Serviço",0,IF(OR(AND(AUTOEVENTO="Manual",$M650=1),$M650&gt;(ROW(PLE.lastrow)-ROW(PLE.firstrow))),0,IF(OFFSET(PLE!$G$14,$M650,CD$13)="",10^12,OFFSET(PLE!$G$14,$M650,CD$13))))</f>
        <v>1000000000000</v>
      </c>
      <c r="CE650" s="182">
        <f ca="1">IF($D650&lt;&gt;"Serviço",0,IF(OR(AND(AUTOEVENTO="Manual",$M650=1),$M650&gt;(ROW(PLE.lastrow)-ROW(PLE.firstrow))),0,IF(OFFSET(PLE!$G$14,$M650,CE$13)="",10^12,OFFSET(PLE!$G$14,$M650,CE$13))))</f>
        <v>1000000000000</v>
      </c>
      <c r="CF650" s="182">
        <f ca="1">IF($D650&lt;&gt;"Serviço",0,IF(OR(AND(AUTOEVENTO="Manual",$M650=1),$M650&gt;(ROW(PLE.lastrow)-ROW(PLE.firstrow))),0,IF(OFFSET(PLE!$G$14,$M650,CF$13)="",10^12,OFFSET(PLE!$G$14,$M650,CF$13))))</f>
        <v>1000000000000</v>
      </c>
      <c r="CG650" s="182">
        <f ca="1">IF($D650&lt;&gt;"Serviço",0,IF(OR(AND(AUTOEVENTO="Manual",$M650=1),$M650&gt;(ROW(PLE.lastrow)-ROW(PLE.firstrow))),0,IF(OFFSET(PLE!$G$14,$M650,CG$13)="",10^12,OFFSET(PLE!$G$14,$M650,CG$13))))</f>
        <v>1000000000000</v>
      </c>
      <c r="CH650" s="182">
        <f ca="1">IF($D650&lt;&gt;"Serviço",0,IF(OR(AND(AUTOEVENTO="Manual",$M650=1),$M650&gt;(ROW(PLE.lastrow)-ROW(PLE.firstrow))),0,IF(OFFSET(PLE!$G$14,$M650,CH$13)="",10^12,OFFSET(PLE!$G$14,$M650,CH$13))))</f>
        <v>1000000000000</v>
      </c>
      <c r="CI650" s="182">
        <f ca="1">IF($D650&lt;&gt;"Serviço",0,IF(OR(AND(AUTOEVENTO="Manual",$M650=1),$M650&gt;(ROW(PLE.lastrow)-ROW(PLE.firstrow))),0,IF(OFFSET(PLE!$G$14,$M650,CI$13)="",10^12,OFFSET(PLE!$G$14,$M650,CI$13))))</f>
        <v>1000000000000</v>
      </c>
      <c r="CJ650" s="182">
        <f ca="1">IF($D650&lt;&gt;"Serviço",0,IF(OR(AND(AUTOEVENTO="Manual",$M650=1),$M650&gt;(ROW(PLE.lastrow)-ROW(PLE.firstrow))),0,IF(OFFSET(PLE!$G$14,$M650,CJ$13)="",10^12,OFFSET(PLE!$G$14,$M650,CJ$13))))</f>
        <v>1000000000000</v>
      </c>
      <c r="CK650" s="182">
        <f ca="1">IF($D650&lt;&gt;"Serviço",0,IF(OR(AND(AUTOEVENTO="Manual",$M650=1),$M650&gt;(ROW(PLE.lastrow)-ROW(PLE.firstrow))),0,IF(OFFSET(PLE!$G$14,$M650,CK$13)="",10^12,OFFSET(PLE!$G$14,$M650,CK$13))))</f>
        <v>1000000000000</v>
      </c>
      <c r="CL650" s="182">
        <f ca="1">IF($D650&lt;&gt;"Serviço",0,IF(OR(AND(AUTOEVENTO="Manual",$M650=1),$M650&gt;(ROW(PLE.lastrow)-ROW(PLE.firstrow))),0,IF(OFFSET(PLE!$G$14,$M650,CL$13)="",10^12,OFFSET(PLE!$G$14,$M650,CL$13))))</f>
        <v>1000000000000</v>
      </c>
      <c r="CM650" s="182">
        <f ca="1">IF($D650&lt;&gt;"Serviço",0,IF(OR(AND(AUTOEVENTO="Manual",$M650=1),$M650&gt;(ROW(PLE.lastrow)-ROW(PLE.firstrow))),0,IF(OFFSET(PLE!$G$14,$M650,CM$13)="",10^12,OFFSET(PLE!$G$14,$M650,CM$13))))</f>
        <v>1000000000000</v>
      </c>
    </row>
    <row r="651" spans="1:91" ht="51" x14ac:dyDescent="0.2">
      <c r="A651" s="7" t="str">
        <f t="shared" ca="1" si="19"/>
        <v>628</v>
      </c>
      <c r="B651" s="7" t="str">
        <f ca="1">OFFSET(ORÇAMENTO!C$15,ROW(B651)-ROW(B$15),0)</f>
        <v>S</v>
      </c>
      <c r="C651" s="7" t="str">
        <f ca="1">OFFSET(ORÇAMENTO!L$15,ROW(C651)-ROW(C$15),0)</f>
        <v/>
      </c>
      <c r="D651" s="118" t="str">
        <f ca="1">OFFSET(ORÇAMENTO!N$15,ROW(D651)-ROW(D$15),0)</f>
        <v>Serviço</v>
      </c>
      <c r="E651" s="119" t="str">
        <f ca="1">OFFSET(ORÇAMENTO!O$15,ROW(E651)-ROW(E$15),0)</f>
        <v>-</v>
      </c>
      <c r="F651" s="172" t="str">
        <f ca="1">OFFSET(ORÇAMENTO!R$15,ROW(F651)-ROW(F$15),0)</f>
        <v>(abra o arquivo 'Referência 06-2024.xlsm)</v>
      </c>
      <c r="G651" s="173" t="str">
        <f ca="1">IF($D651&lt;&gt;"Serviço","",OFFSET(ORÇAMENTO!S$15,ROW(G651)-ROW(G$15),0))</f>
        <v>-</v>
      </c>
      <c r="H651" s="124">
        <f ca="1">IF($D651&lt;&gt;"Serviço",0,IF(ACOMPANHAMENTO="BM",ROUND(OFFSET(ORÇAMENTO!AJ$15,ROW(H651)-ROW(H$15),0),15-13*ORÇAMENTO!$AF$7),SUMPRODUCT(($Q$12:$AI$12&lt;&gt;"")*ROUND($Q651:$AI651,15-13*ORÇAMENTO!$AF$7))))</f>
        <v>12</v>
      </c>
      <c r="I651" s="561" t="s">
        <v>1107</v>
      </c>
      <c r="K651" s="174"/>
      <c r="L651" s="175" t="s">
        <v>255</v>
      </c>
      <c r="M651" s="176">
        <f ca="1">IF($D651&lt;&gt;"Serviço","",IF(AUTOEVENTO="manual",$A651,IF(ISERROR(MATCH($A651,$A$15:OFFSET($A651,-1,0),0)),MAX($M$15:OFFSET(M651,-1,0))+1,INDEX($M$15:OFFSET(M651,-1,0),MATCH($A651,$A$15:OFFSET($A651,-1,0),0)))))</f>
        <v>69</v>
      </c>
      <c r="N651" s="177" t="str">
        <f ca="1">IF($D651&lt;&gt;"Serviço","",IF(AUTOEVENTO="Manual",IF($A651=0,"&lt;-- defina o número do agrupador",OFFSET(EVENTOS!$D$14,$A651,0)),OFFSET($F$15,$A651,0)))</f>
        <v>INSTALAÇÕES DE CABEAMENTO ESTRUTURADO - ELETROCALHA E ELETRODUTOS</v>
      </c>
      <c r="O651" s="178"/>
      <c r="Q651" s="178">
        <v>12</v>
      </c>
      <c r="R651" s="179"/>
      <c r="S651" s="179"/>
      <c r="T651" s="179"/>
      <c r="U651" s="179"/>
      <c r="V651" s="179"/>
      <c r="W651" s="179"/>
      <c r="X651" s="179"/>
      <c r="Y651" s="179"/>
      <c r="Z651" s="180"/>
      <c r="AA651" s="179"/>
      <c r="AB651" s="179"/>
      <c r="AC651" s="179"/>
      <c r="AD651" s="179"/>
      <c r="AE651" s="179"/>
      <c r="AF651" s="179"/>
      <c r="AG651" s="179"/>
      <c r="AH651" s="180"/>
      <c r="AJ651" s="544">
        <f ca="1">IF(AND($D651="Serviço",AJ$12&lt;&gt;0,$H651&gt;0,OR(AUTOEVENTO&lt;&gt;"manual",$M651&lt;&gt;1)),
IF(Import.TipoArredondamento&lt;&gt;"TransfereGOV",
ROUND(OFFSET($P651,0,AJ$13),15-13*ORÇAMENTO!$AF$7)/$H651*OFFSET(ORÇAMENTO!$X$15,ROW(AJ651)-ROW(AJ$15),0),
ROUND(ROUND(OFFSET($P651,0,AJ$13),15-13*ORÇAMENTO!$AF$7)*OFFSET(ORÇAMENTO!$W$15,ROW(AJ651)-ROW(AJ$15),0),15-13*ORÇAMENTO!$AF$11)),0)</f>
        <v>0</v>
      </c>
      <c r="AK651" s="545">
        <f ca="1">IF(AND($D651="Serviço",AK$12&lt;&gt;0,$H651&gt;0,OR(AUTOEVENTO&lt;&gt;"manual",$M651&lt;&gt;1)),
IF(Import.TipoArredondamento&lt;&gt;"TransfereGOV",
ROUND(OFFSET($P651,0,AK$13),15-13*ORÇAMENTO!$AF$7)/$H651*OFFSET(ORÇAMENTO!$X$15,ROW(AK651)-ROW(AK$15),0),
ROUND(ROUND(OFFSET($P651,0,AK$13),15-13*ORÇAMENTO!$AF$7)*OFFSET(ORÇAMENTO!$W$15,ROW(AK651)-ROW(AK$15),0),15-13*ORÇAMENTO!$AF$11)),0)</f>
        <v>0</v>
      </c>
      <c r="AL651" s="545">
        <f ca="1">IF(AND($D651="Serviço",AL$12&lt;&gt;0,$H651&gt;0,OR(AUTOEVENTO&lt;&gt;"manual",$M651&lt;&gt;1)),
IF(Import.TipoArredondamento&lt;&gt;"TransfereGOV",
ROUND(OFFSET($P651,0,AL$13),15-13*ORÇAMENTO!$AF$7)/$H651*OFFSET(ORÇAMENTO!$X$15,ROW(AL651)-ROW(AL$15),0),
ROUND(ROUND(OFFSET($P651,0,AL$13),15-13*ORÇAMENTO!$AF$7)*OFFSET(ORÇAMENTO!$W$15,ROW(AL651)-ROW(AL$15),0),15-13*ORÇAMENTO!$AF$11)),0)</f>
        <v>0</v>
      </c>
      <c r="AM651" s="545">
        <f ca="1">IF(AND($D651="Serviço",AM$12&lt;&gt;0,$H651&gt;0,OR(AUTOEVENTO&lt;&gt;"manual",$M651&lt;&gt;1)),
IF(Import.TipoArredondamento&lt;&gt;"TransfereGOV",
ROUND(OFFSET($P651,0,AM$13),15-13*ORÇAMENTO!$AF$7)/$H651*OFFSET(ORÇAMENTO!$X$15,ROW(AM651)-ROW(AM$15),0),
ROUND(ROUND(OFFSET($P651,0,AM$13),15-13*ORÇAMENTO!$AF$7)*OFFSET(ORÇAMENTO!$W$15,ROW(AM651)-ROW(AM$15),0),15-13*ORÇAMENTO!$AF$11)),0)</f>
        <v>0</v>
      </c>
      <c r="AN651" s="545">
        <f ca="1">IF(AND($D651="Serviço",AN$12&lt;&gt;0,$H651&gt;0,OR(AUTOEVENTO&lt;&gt;"manual",$M651&lt;&gt;1)),
IF(Import.TipoArredondamento&lt;&gt;"TransfereGOV",
ROUND(OFFSET($P651,0,AN$13),15-13*ORÇAMENTO!$AF$7)/$H651*OFFSET(ORÇAMENTO!$X$15,ROW(AN651)-ROW(AN$15),0),
ROUND(ROUND(OFFSET($P651,0,AN$13),15-13*ORÇAMENTO!$AF$7)*OFFSET(ORÇAMENTO!$W$15,ROW(AN651)-ROW(AN$15),0),15-13*ORÇAMENTO!$AF$11)),0)</f>
        <v>0</v>
      </c>
      <c r="AO651" s="545">
        <f ca="1">IF(AND($D651="Serviço",AO$12&lt;&gt;0,$H651&gt;0,OR(AUTOEVENTO&lt;&gt;"manual",$M651&lt;&gt;1)),
IF(Import.TipoArredondamento&lt;&gt;"TransfereGOV",
ROUND(OFFSET($P651,0,AO$13),15-13*ORÇAMENTO!$AF$7)/$H651*OFFSET(ORÇAMENTO!$X$15,ROW(AO651)-ROW(AO$15),0),
ROUND(ROUND(OFFSET($P651,0,AO$13),15-13*ORÇAMENTO!$AF$7)*OFFSET(ORÇAMENTO!$W$15,ROW(AO651)-ROW(AO$15),0),15-13*ORÇAMENTO!$AF$11)),0)</f>
        <v>0</v>
      </c>
      <c r="AP651" s="545">
        <f ca="1">IF(AND($D651="Serviço",AP$12&lt;&gt;0,$H651&gt;0,OR(AUTOEVENTO&lt;&gt;"manual",$M651&lt;&gt;1)),
IF(Import.TipoArredondamento&lt;&gt;"TransfereGOV",
ROUND(OFFSET($P651,0,AP$13),15-13*ORÇAMENTO!$AF$7)/$H651*OFFSET(ORÇAMENTO!$X$15,ROW(AP651)-ROW(AP$15),0),
ROUND(ROUND(OFFSET($P651,0,AP$13),15-13*ORÇAMENTO!$AF$7)*OFFSET(ORÇAMENTO!$W$15,ROW(AP651)-ROW(AP$15),0),15-13*ORÇAMENTO!$AF$11)),0)</f>
        <v>0</v>
      </c>
      <c r="AQ651" s="545">
        <f ca="1">IF(AND($D651="Serviço",AQ$12&lt;&gt;0,$H651&gt;0,OR(AUTOEVENTO&lt;&gt;"manual",$M651&lt;&gt;1)),
IF(Import.TipoArredondamento&lt;&gt;"TransfereGOV",
ROUND(OFFSET($P651,0,AQ$13),15-13*ORÇAMENTO!$AF$7)/$H651*OFFSET(ORÇAMENTO!$X$15,ROW(AQ651)-ROW(AQ$15),0),
ROUND(ROUND(OFFSET($P651,0,AQ$13),15-13*ORÇAMENTO!$AF$7)*OFFSET(ORÇAMENTO!$W$15,ROW(AQ651)-ROW(AQ$15),0),15-13*ORÇAMENTO!$AF$11)),0)</f>
        <v>0</v>
      </c>
      <c r="AR651" s="545">
        <f ca="1">IF(AND($D651="Serviço",AR$12&lt;&gt;0,$H651&gt;0,OR(AUTOEVENTO&lt;&gt;"manual",$M651&lt;&gt;1)),
IF(Import.TipoArredondamento&lt;&gt;"TransfereGOV",
ROUND(OFFSET($P651,0,AR$13),15-13*ORÇAMENTO!$AF$7)/$H651*OFFSET(ORÇAMENTO!$X$15,ROW(AR651)-ROW(AR$15),0),
ROUND(ROUND(OFFSET($P651,0,AR$13),15-13*ORÇAMENTO!$AF$7)*OFFSET(ORÇAMENTO!$W$15,ROW(AR651)-ROW(AR$15),0),15-13*ORÇAMENTO!$AF$11)),0)</f>
        <v>0</v>
      </c>
      <c r="AS651" s="546">
        <f ca="1">IF(AND($D651="Serviço",AS$12&lt;&gt;0,$H651&gt;0,OR(AUTOEVENTO&lt;&gt;"manual",$M651&lt;&gt;1)),
IF(Import.TipoArredondamento&lt;&gt;"TransfereGOV",
ROUND(OFFSET($P651,0,AS$13),15-13*ORÇAMENTO!$AF$7)/$H651*OFFSET(ORÇAMENTO!$X$15,ROW(AS651)-ROW(AS$15),0),
ROUND(ROUND(OFFSET($P651,0,AS$13),15-13*ORÇAMENTO!$AF$7)*OFFSET(ORÇAMENTO!$W$15,ROW(AS651)-ROW(AS$15),0),15-13*ORÇAMENTO!$AF$11)),0)</f>
        <v>0</v>
      </c>
      <c r="AT651" s="545">
        <f ca="1">IF(AND($D651="Serviço",AT$12&lt;&gt;0,$H651&gt;0,OR(AUTOEVENTO&lt;&gt;"manual",$M651&lt;&gt;1)),
IF(Import.TipoArredondamento&lt;&gt;"TransfereGOV",
ROUND(OFFSET($P651,0,AT$13),15-13*ORÇAMENTO!$AF$7)/$H651*OFFSET(ORÇAMENTO!$X$15,ROW(AT651)-ROW(AT$15),0),
ROUND(ROUND(OFFSET($P651,0,AT$13),15-13*ORÇAMENTO!$AF$7)*OFFSET(ORÇAMENTO!$W$15,ROW(AT651)-ROW(AT$15),0),15-13*ORÇAMENTO!$AF$11)),0)</f>
        <v>0</v>
      </c>
      <c r="AU651" s="545">
        <f ca="1">IF(AND($D651="Serviço",AU$12&lt;&gt;0,$H651&gt;0,OR(AUTOEVENTO&lt;&gt;"manual",$M651&lt;&gt;1)),
IF(Import.TipoArredondamento&lt;&gt;"TransfereGOV",
ROUND(OFFSET($P651,0,AU$13),15-13*ORÇAMENTO!$AF$7)/$H651*OFFSET(ORÇAMENTO!$X$15,ROW(AU651)-ROW(AU$15),0),
ROUND(ROUND(OFFSET($P651,0,AU$13),15-13*ORÇAMENTO!$AF$7)*OFFSET(ORÇAMENTO!$W$15,ROW(AU651)-ROW(AU$15),0),15-13*ORÇAMENTO!$AF$11)),0)</f>
        <v>0</v>
      </c>
      <c r="AV651" s="545">
        <f ca="1">IF(AND($D651="Serviço",AV$12&lt;&gt;0,$H651&gt;0,OR(AUTOEVENTO&lt;&gt;"manual",$M651&lt;&gt;1)),
IF(Import.TipoArredondamento&lt;&gt;"TransfereGOV",
ROUND(OFFSET($P651,0,AV$13),15-13*ORÇAMENTO!$AF$7)/$H651*OFFSET(ORÇAMENTO!$X$15,ROW(AV651)-ROW(AV$15),0),
ROUND(ROUND(OFFSET($P651,0,AV$13),15-13*ORÇAMENTO!$AF$7)*OFFSET(ORÇAMENTO!$W$15,ROW(AV651)-ROW(AV$15),0),15-13*ORÇAMENTO!$AF$11)),0)</f>
        <v>0</v>
      </c>
      <c r="AW651" s="545">
        <f ca="1">IF(AND($D651="Serviço",AW$12&lt;&gt;0,$H651&gt;0,OR(AUTOEVENTO&lt;&gt;"manual",$M651&lt;&gt;1)),
IF(Import.TipoArredondamento&lt;&gt;"TransfereGOV",
ROUND(OFFSET($P651,0,AW$13),15-13*ORÇAMENTO!$AF$7)/$H651*OFFSET(ORÇAMENTO!$X$15,ROW(AW651)-ROW(AW$15),0),
ROUND(ROUND(OFFSET($P651,0,AW$13),15-13*ORÇAMENTO!$AF$7)*OFFSET(ORÇAMENTO!$W$15,ROW(AW651)-ROW(AW$15),0),15-13*ORÇAMENTO!$AF$11)),0)</f>
        <v>0</v>
      </c>
      <c r="AX651" s="545">
        <f ca="1">IF(AND($D651="Serviço",AX$12&lt;&gt;0,$H651&gt;0,OR(AUTOEVENTO&lt;&gt;"manual",$M651&lt;&gt;1)),
IF(Import.TipoArredondamento&lt;&gt;"TransfereGOV",
ROUND(OFFSET($P651,0,AX$13),15-13*ORÇAMENTO!$AF$7)/$H651*OFFSET(ORÇAMENTO!$X$15,ROW(AX651)-ROW(AX$15),0),
ROUND(ROUND(OFFSET($P651,0,AX$13),15-13*ORÇAMENTO!$AF$7)*OFFSET(ORÇAMENTO!$W$15,ROW(AX651)-ROW(AX$15),0),15-13*ORÇAMENTO!$AF$11)),0)</f>
        <v>0</v>
      </c>
      <c r="AY651" s="545">
        <f ca="1">IF(AND($D651="Serviço",AY$12&lt;&gt;0,$H651&gt;0,OR(AUTOEVENTO&lt;&gt;"manual",$M651&lt;&gt;1)),
IF(Import.TipoArredondamento&lt;&gt;"TransfereGOV",
ROUND(OFFSET($P651,0,AY$13),15-13*ORÇAMENTO!$AF$7)/$H651*OFFSET(ORÇAMENTO!$X$15,ROW(AY651)-ROW(AY$15),0),
ROUND(ROUND(OFFSET($P651,0,AY$13),15-13*ORÇAMENTO!$AF$7)*OFFSET(ORÇAMENTO!$W$15,ROW(AY651)-ROW(AY$15),0),15-13*ORÇAMENTO!$AF$11)),0)</f>
        <v>0</v>
      </c>
      <c r="AZ651" s="545">
        <f ca="1">IF(AND($D651="Serviço",AZ$12&lt;&gt;0,$H651&gt;0,OR(AUTOEVENTO&lt;&gt;"manual",$M651&lt;&gt;1)),
IF(Import.TipoArredondamento&lt;&gt;"TransfereGOV",
ROUND(OFFSET($P651,0,AZ$13),15-13*ORÇAMENTO!$AF$7)/$H651*OFFSET(ORÇAMENTO!$X$15,ROW(AZ651)-ROW(AZ$15),0),
ROUND(ROUND(OFFSET($P651,0,AZ$13),15-13*ORÇAMENTO!$AF$7)*OFFSET(ORÇAMENTO!$W$15,ROW(AZ651)-ROW(AZ$15),0),15-13*ORÇAMENTO!$AF$11)),0)</f>
        <v>0</v>
      </c>
      <c r="BA651" s="546">
        <f ca="1">IF(AND($D651="Serviço",BA$12&lt;&gt;0,$H651&gt;0,OR(AUTOEVENTO&lt;&gt;"manual",$M651&lt;&gt;1)),
IF(Import.TipoArredondamento&lt;&gt;"TransfereGOV",
ROUND(OFFSET($P651,0,BA$13),15-13*ORÇAMENTO!$AF$7)/$H651*OFFSET(ORÇAMENTO!$X$15,ROW(BA651)-ROW(BA$15),0),
ROUND(ROUND(OFFSET($P651,0,BA$13),15-13*ORÇAMENTO!$AF$7)*OFFSET(ORÇAMENTO!$W$15,ROW(BA651)-ROW(BA$15),0),15-13*ORÇAMENTO!$AF$11)),0)</f>
        <v>0</v>
      </c>
      <c r="BC651" s="181">
        <f ca="1">IF($D651&lt;&gt;"Serviço",0,IF(AND(AUTOEVENTO="Manual",$M651=1),0,IF(OFFSET(CRONOPLE!$F$14,$M651,BC$13)="",10^12,OFFSET(CRONOPLE!$F$14,$M651,BC$13))))</f>
        <v>11</v>
      </c>
      <c r="BD651" s="181">
        <f ca="1">IF($D651&lt;&gt;"Serviço",0,IF(AND(AUTOEVENTO="Manual",$M651=1),0,IF(OFFSET(CRONOPLE!$F$14,$M651,BD$13)="",10^12,OFFSET(CRONOPLE!$F$14,$M651,BD$13))))</f>
        <v>1000000000000</v>
      </c>
      <c r="BE651" s="181">
        <f ca="1">IF($D651&lt;&gt;"Serviço",0,IF(AND(AUTOEVENTO="Manual",$M651=1),0,IF(OFFSET(CRONOPLE!$F$14,$M651,BE$13)="",10^12,OFFSET(CRONOPLE!$F$14,$M651,BE$13))))</f>
        <v>1000000000000</v>
      </c>
      <c r="BF651" s="181">
        <f ca="1">IF($D651&lt;&gt;"Serviço",0,IF(AND(AUTOEVENTO="Manual",$M651=1),0,IF(OFFSET(CRONOPLE!$F$14,$M651,BF$13)="",10^12,OFFSET(CRONOPLE!$F$14,$M651,BF$13))))</f>
        <v>1000000000000</v>
      </c>
      <c r="BG651" s="181">
        <f ca="1">IF($D651&lt;&gt;"Serviço",0,IF(AND(AUTOEVENTO="Manual",$M651=1),0,IF(OFFSET(CRONOPLE!$F$14,$M651,BG$13)="",10^12,OFFSET(CRONOPLE!$F$14,$M651,BG$13))))</f>
        <v>1000000000000</v>
      </c>
      <c r="BH651" s="181">
        <f ca="1">IF($D651&lt;&gt;"Serviço",0,IF(AND(AUTOEVENTO="Manual",$M651=1),0,IF(OFFSET(CRONOPLE!$F$14,$M651,BH$13)="",10^12,OFFSET(CRONOPLE!$F$14,$M651,BH$13))))</f>
        <v>1000000000000</v>
      </c>
      <c r="BI651" s="181">
        <f ca="1">IF($D651&lt;&gt;"Serviço",0,IF(AND(AUTOEVENTO="Manual",$M651=1),0,IF(OFFSET(CRONOPLE!$F$14,$M651,BI$13)="",10^12,OFFSET(CRONOPLE!$F$14,$M651,BI$13))))</f>
        <v>1000000000000</v>
      </c>
      <c r="BJ651" s="181">
        <f ca="1">IF($D651&lt;&gt;"Serviço",0,IF(AND(AUTOEVENTO="Manual",$M651=1),0,IF(OFFSET(CRONOPLE!$F$14,$M651,BJ$13)="",10^12,OFFSET(CRONOPLE!$F$14,$M651,BJ$13))))</f>
        <v>1000000000000</v>
      </c>
      <c r="BK651" s="181">
        <f ca="1">IF($D651&lt;&gt;"Serviço",0,IF(AND(AUTOEVENTO="Manual",$M651=1),0,IF(OFFSET(CRONOPLE!$F$14,$M651,BK$13)="",10^12,OFFSET(CRONOPLE!$F$14,$M651,BK$13))))</f>
        <v>1000000000000</v>
      </c>
      <c r="BL651" s="181">
        <f ca="1">IF($D651&lt;&gt;"Serviço",0,IF(AND(AUTOEVENTO="Manual",$M651=1),0,IF(OFFSET(CRONOPLE!$F$14,$M651,BL$13)="",10^12,OFFSET(CRONOPLE!$F$14,$M651,BL$13))))</f>
        <v>1000000000000</v>
      </c>
      <c r="BM651" s="181">
        <f ca="1">IF($D651&lt;&gt;"Serviço",0,IF(AND(AUTOEVENTO="Manual",$M651=1),0,IF(OFFSET(CRONOPLE!$F$14,$M651,BM$13)="",10^12,OFFSET(CRONOPLE!$F$14,$M651,BM$13))))</f>
        <v>1000000000000</v>
      </c>
      <c r="BN651" s="181">
        <f ca="1">IF($D651&lt;&gt;"Serviço",0,IF(AND(AUTOEVENTO="Manual",$M651=1),0,IF(OFFSET(CRONOPLE!$F$14,$M651,BN$13)="",10^12,OFFSET(CRONOPLE!$F$14,$M651,BN$13))))</f>
        <v>1000000000000</v>
      </c>
      <c r="BO651" s="181">
        <f ca="1">IF($D651&lt;&gt;"Serviço",0,IF(AND(AUTOEVENTO="Manual",$M651=1),0,IF(OFFSET(CRONOPLE!$F$14,$M651,BO$13)="",10^12,OFFSET(CRONOPLE!$F$14,$M651,BO$13))))</f>
        <v>1000000000000</v>
      </c>
      <c r="BP651" s="181">
        <f ca="1">IF($D651&lt;&gt;"Serviço",0,IF(AND(AUTOEVENTO="Manual",$M651=1),0,IF(OFFSET(CRONOPLE!$F$14,$M651,BP$13)="",10^12,OFFSET(CRONOPLE!$F$14,$M651,BP$13))))</f>
        <v>1000000000000</v>
      </c>
      <c r="BQ651" s="181">
        <f ca="1">IF($D651&lt;&gt;"Serviço",0,IF(AND(AUTOEVENTO="Manual",$M651=1),0,IF(OFFSET(CRONOPLE!$F$14,$M651,BQ$13)="",10^12,OFFSET(CRONOPLE!$F$14,$M651,BQ$13))))</f>
        <v>1000000000000</v>
      </c>
      <c r="BR651" s="181">
        <f ca="1">IF($D651&lt;&gt;"Serviço",0,IF(AND(AUTOEVENTO="Manual",$M651=1),0,IF(OFFSET(CRONOPLE!$F$14,$M651,BR$13)="",10^12,OFFSET(CRONOPLE!$F$14,$M651,BR$13))))</f>
        <v>1000000000000</v>
      </c>
      <c r="BS651" s="181">
        <f ca="1">IF($D651&lt;&gt;"Serviço",0,IF(AND(AUTOEVENTO="Manual",$M651=1),0,IF(OFFSET(CRONOPLE!$F$14,$M651,BS$13)="",10^12,OFFSET(CRONOPLE!$F$14,$M651,BS$13))))</f>
        <v>1000000000000</v>
      </c>
      <c r="BT651" s="181">
        <f ca="1">IF($D651&lt;&gt;"Serviço",0,IF(AND(AUTOEVENTO="Manual",$M651=1),0,IF(OFFSET(CRONOPLE!$F$14,$M651,BT$13)="",10^12,OFFSET(CRONOPLE!$F$14,$M651,BT$13))))</f>
        <v>1000000000000</v>
      </c>
      <c r="BV651" s="182">
        <f ca="1">IF($D651&lt;&gt;"Serviço",0,IF(OR(AND(AUTOEVENTO="Manual",$M651=1),$M651&gt;(ROW(PLE.lastrow)-ROW(PLE.firstrow))),0,IF(OFFSET(PLE!$G$14,$M651,BV$13)="",10^12,OFFSET(PLE!$G$14,$M651,BV$13))))</f>
        <v>1000000000000</v>
      </c>
      <c r="BW651" s="182">
        <f ca="1">IF($D651&lt;&gt;"Serviço",0,IF(OR(AND(AUTOEVENTO="Manual",$M651=1),$M651&gt;(ROW(PLE.lastrow)-ROW(PLE.firstrow))),0,IF(OFFSET(PLE!$G$14,$M651,BW$13)="",10^12,OFFSET(PLE!$G$14,$M651,BW$13))))</f>
        <v>1000000000000</v>
      </c>
      <c r="BX651" s="182">
        <f ca="1">IF($D651&lt;&gt;"Serviço",0,IF(OR(AND(AUTOEVENTO="Manual",$M651=1),$M651&gt;(ROW(PLE.lastrow)-ROW(PLE.firstrow))),0,IF(OFFSET(PLE!$G$14,$M651,BX$13)="",10^12,OFFSET(PLE!$G$14,$M651,BX$13))))</f>
        <v>1000000000000</v>
      </c>
      <c r="BY651" s="182">
        <f ca="1">IF($D651&lt;&gt;"Serviço",0,IF(OR(AND(AUTOEVENTO="Manual",$M651=1),$M651&gt;(ROW(PLE.lastrow)-ROW(PLE.firstrow))),0,IF(OFFSET(PLE!$G$14,$M651,BY$13)="",10^12,OFFSET(PLE!$G$14,$M651,BY$13))))</f>
        <v>1000000000000</v>
      </c>
      <c r="BZ651" s="182">
        <f ca="1">IF($D651&lt;&gt;"Serviço",0,IF(OR(AND(AUTOEVENTO="Manual",$M651=1),$M651&gt;(ROW(PLE.lastrow)-ROW(PLE.firstrow))),0,IF(OFFSET(PLE!$G$14,$M651,BZ$13)="",10^12,OFFSET(PLE!$G$14,$M651,BZ$13))))</f>
        <v>1000000000000</v>
      </c>
      <c r="CA651" s="182">
        <f ca="1">IF($D651&lt;&gt;"Serviço",0,IF(OR(AND(AUTOEVENTO="Manual",$M651=1),$M651&gt;(ROW(PLE.lastrow)-ROW(PLE.firstrow))),0,IF(OFFSET(PLE!$G$14,$M651,CA$13)="",10^12,OFFSET(PLE!$G$14,$M651,CA$13))))</f>
        <v>1000000000000</v>
      </c>
      <c r="CB651" s="182">
        <f ca="1">IF($D651&lt;&gt;"Serviço",0,IF(OR(AND(AUTOEVENTO="Manual",$M651=1),$M651&gt;(ROW(PLE.lastrow)-ROW(PLE.firstrow))),0,IF(OFFSET(PLE!$G$14,$M651,CB$13)="",10^12,OFFSET(PLE!$G$14,$M651,CB$13))))</f>
        <v>1000000000000</v>
      </c>
      <c r="CC651" s="182">
        <f ca="1">IF($D651&lt;&gt;"Serviço",0,IF(OR(AND(AUTOEVENTO="Manual",$M651=1),$M651&gt;(ROW(PLE.lastrow)-ROW(PLE.firstrow))),0,IF(OFFSET(PLE!$G$14,$M651,CC$13)="",10^12,OFFSET(PLE!$G$14,$M651,CC$13))))</f>
        <v>1000000000000</v>
      </c>
      <c r="CD651" s="182">
        <f ca="1">IF($D651&lt;&gt;"Serviço",0,IF(OR(AND(AUTOEVENTO="Manual",$M651=1),$M651&gt;(ROW(PLE.lastrow)-ROW(PLE.firstrow))),0,IF(OFFSET(PLE!$G$14,$M651,CD$13)="",10^12,OFFSET(PLE!$G$14,$M651,CD$13))))</f>
        <v>1000000000000</v>
      </c>
      <c r="CE651" s="182">
        <f ca="1">IF($D651&lt;&gt;"Serviço",0,IF(OR(AND(AUTOEVENTO="Manual",$M651=1),$M651&gt;(ROW(PLE.lastrow)-ROW(PLE.firstrow))),0,IF(OFFSET(PLE!$G$14,$M651,CE$13)="",10^12,OFFSET(PLE!$G$14,$M651,CE$13))))</f>
        <v>1000000000000</v>
      </c>
      <c r="CF651" s="182">
        <f ca="1">IF($D651&lt;&gt;"Serviço",0,IF(OR(AND(AUTOEVENTO="Manual",$M651=1),$M651&gt;(ROW(PLE.lastrow)-ROW(PLE.firstrow))),0,IF(OFFSET(PLE!$G$14,$M651,CF$13)="",10^12,OFFSET(PLE!$G$14,$M651,CF$13))))</f>
        <v>1000000000000</v>
      </c>
      <c r="CG651" s="182">
        <f ca="1">IF($D651&lt;&gt;"Serviço",0,IF(OR(AND(AUTOEVENTO="Manual",$M651=1),$M651&gt;(ROW(PLE.lastrow)-ROW(PLE.firstrow))),0,IF(OFFSET(PLE!$G$14,$M651,CG$13)="",10^12,OFFSET(PLE!$G$14,$M651,CG$13))))</f>
        <v>1000000000000</v>
      </c>
      <c r="CH651" s="182">
        <f ca="1">IF($D651&lt;&gt;"Serviço",0,IF(OR(AND(AUTOEVENTO="Manual",$M651=1),$M651&gt;(ROW(PLE.lastrow)-ROW(PLE.firstrow))),0,IF(OFFSET(PLE!$G$14,$M651,CH$13)="",10^12,OFFSET(PLE!$G$14,$M651,CH$13))))</f>
        <v>1000000000000</v>
      </c>
      <c r="CI651" s="182">
        <f ca="1">IF($D651&lt;&gt;"Serviço",0,IF(OR(AND(AUTOEVENTO="Manual",$M651=1),$M651&gt;(ROW(PLE.lastrow)-ROW(PLE.firstrow))),0,IF(OFFSET(PLE!$G$14,$M651,CI$13)="",10^12,OFFSET(PLE!$G$14,$M651,CI$13))))</f>
        <v>1000000000000</v>
      </c>
      <c r="CJ651" s="182">
        <f ca="1">IF($D651&lt;&gt;"Serviço",0,IF(OR(AND(AUTOEVENTO="Manual",$M651=1),$M651&gt;(ROW(PLE.lastrow)-ROW(PLE.firstrow))),0,IF(OFFSET(PLE!$G$14,$M651,CJ$13)="",10^12,OFFSET(PLE!$G$14,$M651,CJ$13))))</f>
        <v>1000000000000</v>
      </c>
      <c r="CK651" s="182">
        <f ca="1">IF($D651&lt;&gt;"Serviço",0,IF(OR(AND(AUTOEVENTO="Manual",$M651=1),$M651&gt;(ROW(PLE.lastrow)-ROW(PLE.firstrow))),0,IF(OFFSET(PLE!$G$14,$M651,CK$13)="",10^12,OFFSET(PLE!$G$14,$M651,CK$13))))</f>
        <v>1000000000000</v>
      </c>
      <c r="CL651" s="182">
        <f ca="1">IF($D651&lt;&gt;"Serviço",0,IF(OR(AND(AUTOEVENTO="Manual",$M651=1),$M651&gt;(ROW(PLE.lastrow)-ROW(PLE.firstrow))),0,IF(OFFSET(PLE!$G$14,$M651,CL$13)="",10^12,OFFSET(PLE!$G$14,$M651,CL$13))))</f>
        <v>1000000000000</v>
      </c>
      <c r="CM651" s="182">
        <f ca="1">IF($D651&lt;&gt;"Serviço",0,IF(OR(AND(AUTOEVENTO="Manual",$M651=1),$M651&gt;(ROW(PLE.lastrow)-ROW(PLE.firstrow))),0,IF(OFFSET(PLE!$G$14,$M651,CM$13)="",10^12,OFFSET(PLE!$G$14,$M651,CM$13))))</f>
        <v>1000000000000</v>
      </c>
    </row>
    <row r="652" spans="1:91" ht="51" x14ac:dyDescent="0.2">
      <c r="A652" s="7" t="str">
        <f t="shared" ca="1" si="19"/>
        <v>628</v>
      </c>
      <c r="B652" s="7" t="str">
        <f ca="1">OFFSET(ORÇAMENTO!C$15,ROW(B652)-ROW(B$15),0)</f>
        <v>S</v>
      </c>
      <c r="C652" s="7" t="str">
        <f ca="1">OFFSET(ORÇAMENTO!L$15,ROW(C652)-ROW(C$15),0)</f>
        <v/>
      </c>
      <c r="D652" s="118" t="str">
        <f ca="1">OFFSET(ORÇAMENTO!N$15,ROW(D652)-ROW(D$15),0)</f>
        <v>Serviço</v>
      </c>
      <c r="E652" s="119" t="str">
        <f ca="1">OFFSET(ORÇAMENTO!O$15,ROW(E652)-ROW(E$15),0)</f>
        <v>-</v>
      </c>
      <c r="F652" s="172" t="str">
        <f ca="1">OFFSET(ORÇAMENTO!R$15,ROW(F652)-ROW(F$15),0)</f>
        <v>(abra o arquivo 'Referência 06-2024.xlsm)</v>
      </c>
      <c r="G652" s="173" t="str">
        <f ca="1">IF($D652&lt;&gt;"Serviço","",OFFSET(ORÇAMENTO!S$15,ROW(G652)-ROW(G$15),0))</f>
        <v>-</v>
      </c>
      <c r="H652" s="124">
        <f ca="1">IF($D652&lt;&gt;"Serviço",0,IF(ACOMPANHAMENTO="BM",ROUND(OFFSET(ORÇAMENTO!AJ$15,ROW(H652)-ROW(H$15),0),15-13*ORÇAMENTO!$AF$7),SUMPRODUCT(($Q$12:$AI$12&lt;&gt;"")*ROUND($Q652:$AI652,15-13*ORÇAMENTO!$AF$7))))</f>
        <v>5</v>
      </c>
      <c r="I652" s="561" t="s">
        <v>1107</v>
      </c>
      <c r="K652" s="174"/>
      <c r="L652" s="175" t="s">
        <v>255</v>
      </c>
      <c r="M652" s="176">
        <f ca="1">IF($D652&lt;&gt;"Serviço","",IF(AUTOEVENTO="manual",$A652,IF(ISERROR(MATCH($A652,$A$15:OFFSET($A652,-1,0),0)),MAX($M$15:OFFSET(M652,-1,0))+1,INDEX($M$15:OFFSET(M652,-1,0),MATCH($A652,$A$15:OFFSET($A652,-1,0),0)))))</f>
        <v>69</v>
      </c>
      <c r="N652" s="177" t="str">
        <f ca="1">IF($D652&lt;&gt;"Serviço","",IF(AUTOEVENTO="Manual",IF($A652=0,"&lt;-- defina o número do agrupador",OFFSET(EVENTOS!$D$14,$A652,0)),OFFSET($F$15,$A652,0)))</f>
        <v>INSTALAÇÕES DE CABEAMENTO ESTRUTURADO - ELETROCALHA E ELETRODUTOS</v>
      </c>
      <c r="O652" s="178"/>
      <c r="Q652" s="178">
        <v>5</v>
      </c>
      <c r="R652" s="179"/>
      <c r="S652" s="179"/>
      <c r="T652" s="179"/>
      <c r="U652" s="179"/>
      <c r="V652" s="179"/>
      <c r="W652" s="179"/>
      <c r="X652" s="179"/>
      <c r="Y652" s="179"/>
      <c r="Z652" s="180"/>
      <c r="AA652" s="179"/>
      <c r="AB652" s="179"/>
      <c r="AC652" s="179"/>
      <c r="AD652" s="179"/>
      <c r="AE652" s="179"/>
      <c r="AF652" s="179"/>
      <c r="AG652" s="179"/>
      <c r="AH652" s="180"/>
      <c r="AJ652" s="544">
        <f ca="1">IF(AND($D652="Serviço",AJ$12&lt;&gt;0,$H652&gt;0,OR(AUTOEVENTO&lt;&gt;"manual",$M652&lt;&gt;1)),
IF(Import.TipoArredondamento&lt;&gt;"TransfereGOV",
ROUND(OFFSET($P652,0,AJ$13),15-13*ORÇAMENTO!$AF$7)/$H652*OFFSET(ORÇAMENTO!$X$15,ROW(AJ652)-ROW(AJ$15),0),
ROUND(ROUND(OFFSET($P652,0,AJ$13),15-13*ORÇAMENTO!$AF$7)*OFFSET(ORÇAMENTO!$W$15,ROW(AJ652)-ROW(AJ$15),0),15-13*ORÇAMENTO!$AF$11)),0)</f>
        <v>0</v>
      </c>
      <c r="AK652" s="545">
        <f ca="1">IF(AND($D652="Serviço",AK$12&lt;&gt;0,$H652&gt;0,OR(AUTOEVENTO&lt;&gt;"manual",$M652&lt;&gt;1)),
IF(Import.TipoArredondamento&lt;&gt;"TransfereGOV",
ROUND(OFFSET($P652,0,AK$13),15-13*ORÇAMENTO!$AF$7)/$H652*OFFSET(ORÇAMENTO!$X$15,ROW(AK652)-ROW(AK$15),0),
ROUND(ROUND(OFFSET($P652,0,AK$13),15-13*ORÇAMENTO!$AF$7)*OFFSET(ORÇAMENTO!$W$15,ROW(AK652)-ROW(AK$15),0),15-13*ORÇAMENTO!$AF$11)),0)</f>
        <v>0</v>
      </c>
      <c r="AL652" s="545">
        <f ca="1">IF(AND($D652="Serviço",AL$12&lt;&gt;0,$H652&gt;0,OR(AUTOEVENTO&lt;&gt;"manual",$M652&lt;&gt;1)),
IF(Import.TipoArredondamento&lt;&gt;"TransfereGOV",
ROUND(OFFSET($P652,0,AL$13),15-13*ORÇAMENTO!$AF$7)/$H652*OFFSET(ORÇAMENTO!$X$15,ROW(AL652)-ROW(AL$15),0),
ROUND(ROUND(OFFSET($P652,0,AL$13),15-13*ORÇAMENTO!$AF$7)*OFFSET(ORÇAMENTO!$W$15,ROW(AL652)-ROW(AL$15),0),15-13*ORÇAMENTO!$AF$11)),0)</f>
        <v>0</v>
      </c>
      <c r="AM652" s="545">
        <f ca="1">IF(AND($D652="Serviço",AM$12&lt;&gt;0,$H652&gt;0,OR(AUTOEVENTO&lt;&gt;"manual",$M652&lt;&gt;1)),
IF(Import.TipoArredondamento&lt;&gt;"TransfereGOV",
ROUND(OFFSET($P652,0,AM$13),15-13*ORÇAMENTO!$AF$7)/$H652*OFFSET(ORÇAMENTO!$X$15,ROW(AM652)-ROW(AM$15),0),
ROUND(ROUND(OFFSET($P652,0,AM$13),15-13*ORÇAMENTO!$AF$7)*OFFSET(ORÇAMENTO!$W$15,ROW(AM652)-ROW(AM$15),0),15-13*ORÇAMENTO!$AF$11)),0)</f>
        <v>0</v>
      </c>
      <c r="AN652" s="545">
        <f ca="1">IF(AND($D652="Serviço",AN$12&lt;&gt;0,$H652&gt;0,OR(AUTOEVENTO&lt;&gt;"manual",$M652&lt;&gt;1)),
IF(Import.TipoArredondamento&lt;&gt;"TransfereGOV",
ROUND(OFFSET($P652,0,AN$13),15-13*ORÇAMENTO!$AF$7)/$H652*OFFSET(ORÇAMENTO!$X$15,ROW(AN652)-ROW(AN$15),0),
ROUND(ROUND(OFFSET($P652,0,AN$13),15-13*ORÇAMENTO!$AF$7)*OFFSET(ORÇAMENTO!$W$15,ROW(AN652)-ROW(AN$15),0),15-13*ORÇAMENTO!$AF$11)),0)</f>
        <v>0</v>
      </c>
      <c r="AO652" s="545">
        <f ca="1">IF(AND($D652="Serviço",AO$12&lt;&gt;0,$H652&gt;0,OR(AUTOEVENTO&lt;&gt;"manual",$M652&lt;&gt;1)),
IF(Import.TipoArredondamento&lt;&gt;"TransfereGOV",
ROUND(OFFSET($P652,0,AO$13),15-13*ORÇAMENTO!$AF$7)/$H652*OFFSET(ORÇAMENTO!$X$15,ROW(AO652)-ROW(AO$15),0),
ROUND(ROUND(OFFSET($P652,0,AO$13),15-13*ORÇAMENTO!$AF$7)*OFFSET(ORÇAMENTO!$W$15,ROW(AO652)-ROW(AO$15),0),15-13*ORÇAMENTO!$AF$11)),0)</f>
        <v>0</v>
      </c>
      <c r="AP652" s="545">
        <f ca="1">IF(AND($D652="Serviço",AP$12&lt;&gt;0,$H652&gt;0,OR(AUTOEVENTO&lt;&gt;"manual",$M652&lt;&gt;1)),
IF(Import.TipoArredondamento&lt;&gt;"TransfereGOV",
ROUND(OFFSET($P652,0,AP$13),15-13*ORÇAMENTO!$AF$7)/$H652*OFFSET(ORÇAMENTO!$X$15,ROW(AP652)-ROW(AP$15),0),
ROUND(ROUND(OFFSET($P652,0,AP$13),15-13*ORÇAMENTO!$AF$7)*OFFSET(ORÇAMENTO!$W$15,ROW(AP652)-ROW(AP$15),0),15-13*ORÇAMENTO!$AF$11)),0)</f>
        <v>0</v>
      </c>
      <c r="AQ652" s="545">
        <f ca="1">IF(AND($D652="Serviço",AQ$12&lt;&gt;0,$H652&gt;0,OR(AUTOEVENTO&lt;&gt;"manual",$M652&lt;&gt;1)),
IF(Import.TipoArredondamento&lt;&gt;"TransfereGOV",
ROUND(OFFSET($P652,0,AQ$13),15-13*ORÇAMENTO!$AF$7)/$H652*OFFSET(ORÇAMENTO!$X$15,ROW(AQ652)-ROW(AQ$15),0),
ROUND(ROUND(OFFSET($P652,0,AQ$13),15-13*ORÇAMENTO!$AF$7)*OFFSET(ORÇAMENTO!$W$15,ROW(AQ652)-ROW(AQ$15),0),15-13*ORÇAMENTO!$AF$11)),0)</f>
        <v>0</v>
      </c>
      <c r="AR652" s="545">
        <f ca="1">IF(AND($D652="Serviço",AR$12&lt;&gt;0,$H652&gt;0,OR(AUTOEVENTO&lt;&gt;"manual",$M652&lt;&gt;1)),
IF(Import.TipoArredondamento&lt;&gt;"TransfereGOV",
ROUND(OFFSET($P652,0,AR$13),15-13*ORÇAMENTO!$AF$7)/$H652*OFFSET(ORÇAMENTO!$X$15,ROW(AR652)-ROW(AR$15),0),
ROUND(ROUND(OFFSET($P652,0,AR$13),15-13*ORÇAMENTO!$AF$7)*OFFSET(ORÇAMENTO!$W$15,ROW(AR652)-ROW(AR$15),0),15-13*ORÇAMENTO!$AF$11)),0)</f>
        <v>0</v>
      </c>
      <c r="AS652" s="546">
        <f ca="1">IF(AND($D652="Serviço",AS$12&lt;&gt;0,$H652&gt;0,OR(AUTOEVENTO&lt;&gt;"manual",$M652&lt;&gt;1)),
IF(Import.TipoArredondamento&lt;&gt;"TransfereGOV",
ROUND(OFFSET($P652,0,AS$13),15-13*ORÇAMENTO!$AF$7)/$H652*OFFSET(ORÇAMENTO!$X$15,ROW(AS652)-ROW(AS$15),0),
ROUND(ROUND(OFFSET($P652,0,AS$13),15-13*ORÇAMENTO!$AF$7)*OFFSET(ORÇAMENTO!$W$15,ROW(AS652)-ROW(AS$15),0),15-13*ORÇAMENTO!$AF$11)),0)</f>
        <v>0</v>
      </c>
      <c r="AT652" s="545">
        <f ca="1">IF(AND($D652="Serviço",AT$12&lt;&gt;0,$H652&gt;0,OR(AUTOEVENTO&lt;&gt;"manual",$M652&lt;&gt;1)),
IF(Import.TipoArredondamento&lt;&gt;"TransfereGOV",
ROUND(OFFSET($P652,0,AT$13),15-13*ORÇAMENTO!$AF$7)/$H652*OFFSET(ORÇAMENTO!$X$15,ROW(AT652)-ROW(AT$15),0),
ROUND(ROUND(OFFSET($P652,0,AT$13),15-13*ORÇAMENTO!$AF$7)*OFFSET(ORÇAMENTO!$W$15,ROW(AT652)-ROW(AT$15),0),15-13*ORÇAMENTO!$AF$11)),0)</f>
        <v>0</v>
      </c>
      <c r="AU652" s="545">
        <f ca="1">IF(AND($D652="Serviço",AU$12&lt;&gt;0,$H652&gt;0,OR(AUTOEVENTO&lt;&gt;"manual",$M652&lt;&gt;1)),
IF(Import.TipoArredondamento&lt;&gt;"TransfereGOV",
ROUND(OFFSET($P652,0,AU$13),15-13*ORÇAMENTO!$AF$7)/$H652*OFFSET(ORÇAMENTO!$X$15,ROW(AU652)-ROW(AU$15),0),
ROUND(ROUND(OFFSET($P652,0,AU$13),15-13*ORÇAMENTO!$AF$7)*OFFSET(ORÇAMENTO!$W$15,ROW(AU652)-ROW(AU$15),0),15-13*ORÇAMENTO!$AF$11)),0)</f>
        <v>0</v>
      </c>
      <c r="AV652" s="545">
        <f ca="1">IF(AND($D652="Serviço",AV$12&lt;&gt;0,$H652&gt;0,OR(AUTOEVENTO&lt;&gt;"manual",$M652&lt;&gt;1)),
IF(Import.TipoArredondamento&lt;&gt;"TransfereGOV",
ROUND(OFFSET($P652,0,AV$13),15-13*ORÇAMENTO!$AF$7)/$H652*OFFSET(ORÇAMENTO!$X$15,ROW(AV652)-ROW(AV$15),0),
ROUND(ROUND(OFFSET($P652,0,AV$13),15-13*ORÇAMENTO!$AF$7)*OFFSET(ORÇAMENTO!$W$15,ROW(AV652)-ROW(AV$15),0),15-13*ORÇAMENTO!$AF$11)),0)</f>
        <v>0</v>
      </c>
      <c r="AW652" s="545">
        <f ca="1">IF(AND($D652="Serviço",AW$12&lt;&gt;0,$H652&gt;0,OR(AUTOEVENTO&lt;&gt;"manual",$M652&lt;&gt;1)),
IF(Import.TipoArredondamento&lt;&gt;"TransfereGOV",
ROUND(OFFSET($P652,0,AW$13),15-13*ORÇAMENTO!$AF$7)/$H652*OFFSET(ORÇAMENTO!$X$15,ROW(AW652)-ROW(AW$15),0),
ROUND(ROUND(OFFSET($P652,0,AW$13),15-13*ORÇAMENTO!$AF$7)*OFFSET(ORÇAMENTO!$W$15,ROW(AW652)-ROW(AW$15),0),15-13*ORÇAMENTO!$AF$11)),0)</f>
        <v>0</v>
      </c>
      <c r="AX652" s="545">
        <f ca="1">IF(AND($D652="Serviço",AX$12&lt;&gt;0,$H652&gt;0,OR(AUTOEVENTO&lt;&gt;"manual",$M652&lt;&gt;1)),
IF(Import.TipoArredondamento&lt;&gt;"TransfereGOV",
ROUND(OFFSET($P652,0,AX$13),15-13*ORÇAMENTO!$AF$7)/$H652*OFFSET(ORÇAMENTO!$X$15,ROW(AX652)-ROW(AX$15),0),
ROUND(ROUND(OFFSET($P652,0,AX$13),15-13*ORÇAMENTO!$AF$7)*OFFSET(ORÇAMENTO!$W$15,ROW(AX652)-ROW(AX$15),0),15-13*ORÇAMENTO!$AF$11)),0)</f>
        <v>0</v>
      </c>
      <c r="AY652" s="545">
        <f ca="1">IF(AND($D652="Serviço",AY$12&lt;&gt;0,$H652&gt;0,OR(AUTOEVENTO&lt;&gt;"manual",$M652&lt;&gt;1)),
IF(Import.TipoArredondamento&lt;&gt;"TransfereGOV",
ROUND(OFFSET($P652,0,AY$13),15-13*ORÇAMENTO!$AF$7)/$H652*OFFSET(ORÇAMENTO!$X$15,ROW(AY652)-ROW(AY$15),0),
ROUND(ROUND(OFFSET($P652,0,AY$13),15-13*ORÇAMENTO!$AF$7)*OFFSET(ORÇAMENTO!$W$15,ROW(AY652)-ROW(AY$15),0),15-13*ORÇAMENTO!$AF$11)),0)</f>
        <v>0</v>
      </c>
      <c r="AZ652" s="545">
        <f ca="1">IF(AND($D652="Serviço",AZ$12&lt;&gt;0,$H652&gt;0,OR(AUTOEVENTO&lt;&gt;"manual",$M652&lt;&gt;1)),
IF(Import.TipoArredondamento&lt;&gt;"TransfereGOV",
ROUND(OFFSET($P652,0,AZ$13),15-13*ORÇAMENTO!$AF$7)/$H652*OFFSET(ORÇAMENTO!$X$15,ROW(AZ652)-ROW(AZ$15),0),
ROUND(ROUND(OFFSET($P652,0,AZ$13),15-13*ORÇAMENTO!$AF$7)*OFFSET(ORÇAMENTO!$W$15,ROW(AZ652)-ROW(AZ$15),0),15-13*ORÇAMENTO!$AF$11)),0)</f>
        <v>0</v>
      </c>
      <c r="BA652" s="546">
        <f ca="1">IF(AND($D652="Serviço",BA$12&lt;&gt;0,$H652&gt;0,OR(AUTOEVENTO&lt;&gt;"manual",$M652&lt;&gt;1)),
IF(Import.TipoArredondamento&lt;&gt;"TransfereGOV",
ROUND(OFFSET($P652,0,BA$13),15-13*ORÇAMENTO!$AF$7)/$H652*OFFSET(ORÇAMENTO!$X$15,ROW(BA652)-ROW(BA$15),0),
ROUND(ROUND(OFFSET($P652,0,BA$13),15-13*ORÇAMENTO!$AF$7)*OFFSET(ORÇAMENTO!$W$15,ROW(BA652)-ROW(BA$15),0),15-13*ORÇAMENTO!$AF$11)),0)</f>
        <v>0</v>
      </c>
      <c r="BC652" s="181">
        <f ca="1">IF($D652&lt;&gt;"Serviço",0,IF(AND(AUTOEVENTO="Manual",$M652=1),0,IF(OFFSET(CRONOPLE!$F$14,$M652,BC$13)="",10^12,OFFSET(CRONOPLE!$F$14,$M652,BC$13))))</f>
        <v>11</v>
      </c>
      <c r="BD652" s="181">
        <f ca="1">IF($D652&lt;&gt;"Serviço",0,IF(AND(AUTOEVENTO="Manual",$M652=1),0,IF(OFFSET(CRONOPLE!$F$14,$M652,BD$13)="",10^12,OFFSET(CRONOPLE!$F$14,$M652,BD$13))))</f>
        <v>1000000000000</v>
      </c>
      <c r="BE652" s="181">
        <f ca="1">IF($D652&lt;&gt;"Serviço",0,IF(AND(AUTOEVENTO="Manual",$M652=1),0,IF(OFFSET(CRONOPLE!$F$14,$M652,BE$13)="",10^12,OFFSET(CRONOPLE!$F$14,$M652,BE$13))))</f>
        <v>1000000000000</v>
      </c>
      <c r="BF652" s="181">
        <f ca="1">IF($D652&lt;&gt;"Serviço",0,IF(AND(AUTOEVENTO="Manual",$M652=1),0,IF(OFFSET(CRONOPLE!$F$14,$M652,BF$13)="",10^12,OFFSET(CRONOPLE!$F$14,$M652,BF$13))))</f>
        <v>1000000000000</v>
      </c>
      <c r="BG652" s="181">
        <f ca="1">IF($D652&lt;&gt;"Serviço",0,IF(AND(AUTOEVENTO="Manual",$M652=1),0,IF(OFFSET(CRONOPLE!$F$14,$M652,BG$13)="",10^12,OFFSET(CRONOPLE!$F$14,$M652,BG$13))))</f>
        <v>1000000000000</v>
      </c>
      <c r="BH652" s="181">
        <f ca="1">IF($D652&lt;&gt;"Serviço",0,IF(AND(AUTOEVENTO="Manual",$M652=1),0,IF(OFFSET(CRONOPLE!$F$14,$M652,BH$13)="",10^12,OFFSET(CRONOPLE!$F$14,$M652,BH$13))))</f>
        <v>1000000000000</v>
      </c>
      <c r="BI652" s="181">
        <f ca="1">IF($D652&lt;&gt;"Serviço",0,IF(AND(AUTOEVENTO="Manual",$M652=1),0,IF(OFFSET(CRONOPLE!$F$14,$M652,BI$13)="",10^12,OFFSET(CRONOPLE!$F$14,$M652,BI$13))))</f>
        <v>1000000000000</v>
      </c>
      <c r="BJ652" s="181">
        <f ca="1">IF($D652&lt;&gt;"Serviço",0,IF(AND(AUTOEVENTO="Manual",$M652=1),0,IF(OFFSET(CRONOPLE!$F$14,$M652,BJ$13)="",10^12,OFFSET(CRONOPLE!$F$14,$M652,BJ$13))))</f>
        <v>1000000000000</v>
      </c>
      <c r="BK652" s="181">
        <f ca="1">IF($D652&lt;&gt;"Serviço",0,IF(AND(AUTOEVENTO="Manual",$M652=1),0,IF(OFFSET(CRONOPLE!$F$14,$M652,BK$13)="",10^12,OFFSET(CRONOPLE!$F$14,$M652,BK$13))))</f>
        <v>1000000000000</v>
      </c>
      <c r="BL652" s="181">
        <f ca="1">IF($D652&lt;&gt;"Serviço",0,IF(AND(AUTOEVENTO="Manual",$M652=1),0,IF(OFFSET(CRONOPLE!$F$14,$M652,BL$13)="",10^12,OFFSET(CRONOPLE!$F$14,$M652,BL$13))))</f>
        <v>1000000000000</v>
      </c>
      <c r="BM652" s="181">
        <f ca="1">IF($D652&lt;&gt;"Serviço",0,IF(AND(AUTOEVENTO="Manual",$M652=1),0,IF(OFFSET(CRONOPLE!$F$14,$M652,BM$13)="",10^12,OFFSET(CRONOPLE!$F$14,$M652,BM$13))))</f>
        <v>1000000000000</v>
      </c>
      <c r="BN652" s="181">
        <f ca="1">IF($D652&lt;&gt;"Serviço",0,IF(AND(AUTOEVENTO="Manual",$M652=1),0,IF(OFFSET(CRONOPLE!$F$14,$M652,BN$13)="",10^12,OFFSET(CRONOPLE!$F$14,$M652,BN$13))))</f>
        <v>1000000000000</v>
      </c>
      <c r="BO652" s="181">
        <f ca="1">IF($D652&lt;&gt;"Serviço",0,IF(AND(AUTOEVENTO="Manual",$M652=1),0,IF(OFFSET(CRONOPLE!$F$14,$M652,BO$13)="",10^12,OFFSET(CRONOPLE!$F$14,$M652,BO$13))))</f>
        <v>1000000000000</v>
      </c>
      <c r="BP652" s="181">
        <f ca="1">IF($D652&lt;&gt;"Serviço",0,IF(AND(AUTOEVENTO="Manual",$M652=1),0,IF(OFFSET(CRONOPLE!$F$14,$M652,BP$13)="",10^12,OFFSET(CRONOPLE!$F$14,$M652,BP$13))))</f>
        <v>1000000000000</v>
      </c>
      <c r="BQ652" s="181">
        <f ca="1">IF($D652&lt;&gt;"Serviço",0,IF(AND(AUTOEVENTO="Manual",$M652=1),0,IF(OFFSET(CRONOPLE!$F$14,$M652,BQ$13)="",10^12,OFFSET(CRONOPLE!$F$14,$M652,BQ$13))))</f>
        <v>1000000000000</v>
      </c>
      <c r="BR652" s="181">
        <f ca="1">IF($D652&lt;&gt;"Serviço",0,IF(AND(AUTOEVENTO="Manual",$M652=1),0,IF(OFFSET(CRONOPLE!$F$14,$M652,BR$13)="",10^12,OFFSET(CRONOPLE!$F$14,$M652,BR$13))))</f>
        <v>1000000000000</v>
      </c>
      <c r="BS652" s="181">
        <f ca="1">IF($D652&lt;&gt;"Serviço",0,IF(AND(AUTOEVENTO="Manual",$M652=1),0,IF(OFFSET(CRONOPLE!$F$14,$M652,BS$13)="",10^12,OFFSET(CRONOPLE!$F$14,$M652,BS$13))))</f>
        <v>1000000000000</v>
      </c>
      <c r="BT652" s="181">
        <f ca="1">IF($D652&lt;&gt;"Serviço",0,IF(AND(AUTOEVENTO="Manual",$M652=1),0,IF(OFFSET(CRONOPLE!$F$14,$M652,BT$13)="",10^12,OFFSET(CRONOPLE!$F$14,$M652,BT$13))))</f>
        <v>1000000000000</v>
      </c>
      <c r="BV652" s="182">
        <f ca="1">IF($D652&lt;&gt;"Serviço",0,IF(OR(AND(AUTOEVENTO="Manual",$M652=1),$M652&gt;(ROW(PLE.lastrow)-ROW(PLE.firstrow))),0,IF(OFFSET(PLE!$G$14,$M652,BV$13)="",10^12,OFFSET(PLE!$G$14,$M652,BV$13))))</f>
        <v>1000000000000</v>
      </c>
      <c r="BW652" s="182">
        <f ca="1">IF($D652&lt;&gt;"Serviço",0,IF(OR(AND(AUTOEVENTO="Manual",$M652=1),$M652&gt;(ROW(PLE.lastrow)-ROW(PLE.firstrow))),0,IF(OFFSET(PLE!$G$14,$M652,BW$13)="",10^12,OFFSET(PLE!$G$14,$M652,BW$13))))</f>
        <v>1000000000000</v>
      </c>
      <c r="BX652" s="182">
        <f ca="1">IF($D652&lt;&gt;"Serviço",0,IF(OR(AND(AUTOEVENTO="Manual",$M652=1),$M652&gt;(ROW(PLE.lastrow)-ROW(PLE.firstrow))),0,IF(OFFSET(PLE!$G$14,$M652,BX$13)="",10^12,OFFSET(PLE!$G$14,$M652,BX$13))))</f>
        <v>1000000000000</v>
      </c>
      <c r="BY652" s="182">
        <f ca="1">IF($D652&lt;&gt;"Serviço",0,IF(OR(AND(AUTOEVENTO="Manual",$M652=1),$M652&gt;(ROW(PLE.lastrow)-ROW(PLE.firstrow))),0,IF(OFFSET(PLE!$G$14,$M652,BY$13)="",10^12,OFFSET(PLE!$G$14,$M652,BY$13))))</f>
        <v>1000000000000</v>
      </c>
      <c r="BZ652" s="182">
        <f ca="1">IF($D652&lt;&gt;"Serviço",0,IF(OR(AND(AUTOEVENTO="Manual",$M652=1),$M652&gt;(ROW(PLE.lastrow)-ROW(PLE.firstrow))),0,IF(OFFSET(PLE!$G$14,$M652,BZ$13)="",10^12,OFFSET(PLE!$G$14,$M652,BZ$13))))</f>
        <v>1000000000000</v>
      </c>
      <c r="CA652" s="182">
        <f ca="1">IF($D652&lt;&gt;"Serviço",0,IF(OR(AND(AUTOEVENTO="Manual",$M652=1),$M652&gt;(ROW(PLE.lastrow)-ROW(PLE.firstrow))),0,IF(OFFSET(PLE!$G$14,$M652,CA$13)="",10^12,OFFSET(PLE!$G$14,$M652,CA$13))))</f>
        <v>1000000000000</v>
      </c>
      <c r="CB652" s="182">
        <f ca="1">IF($D652&lt;&gt;"Serviço",0,IF(OR(AND(AUTOEVENTO="Manual",$M652=1),$M652&gt;(ROW(PLE.lastrow)-ROW(PLE.firstrow))),0,IF(OFFSET(PLE!$G$14,$M652,CB$13)="",10^12,OFFSET(PLE!$G$14,$M652,CB$13))))</f>
        <v>1000000000000</v>
      </c>
      <c r="CC652" s="182">
        <f ca="1">IF($D652&lt;&gt;"Serviço",0,IF(OR(AND(AUTOEVENTO="Manual",$M652=1),$M652&gt;(ROW(PLE.lastrow)-ROW(PLE.firstrow))),0,IF(OFFSET(PLE!$G$14,$M652,CC$13)="",10^12,OFFSET(PLE!$G$14,$M652,CC$13))))</f>
        <v>1000000000000</v>
      </c>
      <c r="CD652" s="182">
        <f ca="1">IF($D652&lt;&gt;"Serviço",0,IF(OR(AND(AUTOEVENTO="Manual",$M652=1),$M652&gt;(ROW(PLE.lastrow)-ROW(PLE.firstrow))),0,IF(OFFSET(PLE!$G$14,$M652,CD$13)="",10^12,OFFSET(PLE!$G$14,$M652,CD$13))))</f>
        <v>1000000000000</v>
      </c>
      <c r="CE652" s="182">
        <f ca="1">IF($D652&lt;&gt;"Serviço",0,IF(OR(AND(AUTOEVENTO="Manual",$M652=1),$M652&gt;(ROW(PLE.lastrow)-ROW(PLE.firstrow))),0,IF(OFFSET(PLE!$G$14,$M652,CE$13)="",10^12,OFFSET(PLE!$G$14,$M652,CE$13))))</f>
        <v>1000000000000</v>
      </c>
      <c r="CF652" s="182">
        <f ca="1">IF($D652&lt;&gt;"Serviço",0,IF(OR(AND(AUTOEVENTO="Manual",$M652=1),$M652&gt;(ROW(PLE.lastrow)-ROW(PLE.firstrow))),0,IF(OFFSET(PLE!$G$14,$M652,CF$13)="",10^12,OFFSET(PLE!$G$14,$M652,CF$13))))</f>
        <v>1000000000000</v>
      </c>
      <c r="CG652" s="182">
        <f ca="1">IF($D652&lt;&gt;"Serviço",0,IF(OR(AND(AUTOEVENTO="Manual",$M652=1),$M652&gt;(ROW(PLE.lastrow)-ROW(PLE.firstrow))),0,IF(OFFSET(PLE!$G$14,$M652,CG$13)="",10^12,OFFSET(PLE!$G$14,$M652,CG$13))))</f>
        <v>1000000000000</v>
      </c>
      <c r="CH652" s="182">
        <f ca="1">IF($D652&lt;&gt;"Serviço",0,IF(OR(AND(AUTOEVENTO="Manual",$M652=1),$M652&gt;(ROW(PLE.lastrow)-ROW(PLE.firstrow))),0,IF(OFFSET(PLE!$G$14,$M652,CH$13)="",10^12,OFFSET(PLE!$G$14,$M652,CH$13))))</f>
        <v>1000000000000</v>
      </c>
      <c r="CI652" s="182">
        <f ca="1">IF($D652&lt;&gt;"Serviço",0,IF(OR(AND(AUTOEVENTO="Manual",$M652=1),$M652&gt;(ROW(PLE.lastrow)-ROW(PLE.firstrow))),0,IF(OFFSET(PLE!$G$14,$M652,CI$13)="",10^12,OFFSET(PLE!$G$14,$M652,CI$13))))</f>
        <v>1000000000000</v>
      </c>
      <c r="CJ652" s="182">
        <f ca="1">IF($D652&lt;&gt;"Serviço",0,IF(OR(AND(AUTOEVENTO="Manual",$M652=1),$M652&gt;(ROW(PLE.lastrow)-ROW(PLE.firstrow))),0,IF(OFFSET(PLE!$G$14,$M652,CJ$13)="",10^12,OFFSET(PLE!$G$14,$M652,CJ$13))))</f>
        <v>1000000000000</v>
      </c>
      <c r="CK652" s="182">
        <f ca="1">IF($D652&lt;&gt;"Serviço",0,IF(OR(AND(AUTOEVENTO="Manual",$M652=1),$M652&gt;(ROW(PLE.lastrow)-ROW(PLE.firstrow))),0,IF(OFFSET(PLE!$G$14,$M652,CK$13)="",10^12,OFFSET(PLE!$G$14,$M652,CK$13))))</f>
        <v>1000000000000</v>
      </c>
      <c r="CL652" s="182">
        <f ca="1">IF($D652&lt;&gt;"Serviço",0,IF(OR(AND(AUTOEVENTO="Manual",$M652=1),$M652&gt;(ROW(PLE.lastrow)-ROW(PLE.firstrow))),0,IF(OFFSET(PLE!$G$14,$M652,CL$13)="",10^12,OFFSET(PLE!$G$14,$M652,CL$13))))</f>
        <v>1000000000000</v>
      </c>
      <c r="CM652" s="182">
        <f ca="1">IF($D652&lt;&gt;"Serviço",0,IF(OR(AND(AUTOEVENTO="Manual",$M652=1),$M652&gt;(ROW(PLE.lastrow)-ROW(PLE.firstrow))),0,IF(OFFSET(PLE!$G$14,$M652,CM$13)="",10^12,OFFSET(PLE!$G$14,$M652,CM$13))))</f>
        <v>1000000000000</v>
      </c>
    </row>
    <row r="653" spans="1:91" ht="51" x14ac:dyDescent="0.2">
      <c r="A653" s="7" t="str">
        <f t="shared" ca="1" si="19"/>
        <v>628</v>
      </c>
      <c r="B653" s="7" t="str">
        <f ca="1">OFFSET(ORÇAMENTO!C$15,ROW(B653)-ROW(B$15),0)</f>
        <v>S</v>
      </c>
      <c r="C653" s="7" t="str">
        <f ca="1">OFFSET(ORÇAMENTO!L$15,ROW(C653)-ROW(C$15),0)</f>
        <v/>
      </c>
      <c r="D653" s="118" t="str">
        <f ca="1">OFFSET(ORÇAMENTO!N$15,ROW(D653)-ROW(D$15),0)</f>
        <v>Serviço</v>
      </c>
      <c r="E653" s="119" t="str">
        <f ca="1">OFFSET(ORÇAMENTO!O$15,ROW(E653)-ROW(E$15),0)</f>
        <v>-</v>
      </c>
      <c r="F653" s="172" t="str">
        <f ca="1">OFFSET(ORÇAMENTO!R$15,ROW(F653)-ROW(F$15),0)</f>
        <v>(abra o arquivo 'Referência 06-2024.xlsm)</v>
      </c>
      <c r="G653" s="173" t="str">
        <f ca="1">IF($D653&lt;&gt;"Serviço","",OFFSET(ORÇAMENTO!S$15,ROW(G653)-ROW(G$15),0))</f>
        <v>-</v>
      </c>
      <c r="H653" s="124">
        <f ca="1">IF($D653&lt;&gt;"Serviço",0,IF(ACOMPANHAMENTO="BM",ROUND(OFFSET(ORÇAMENTO!AJ$15,ROW(H653)-ROW(H$15),0),15-13*ORÇAMENTO!$AF$7),SUMPRODUCT(($Q$12:$AI$12&lt;&gt;"")*ROUND($Q653:$AI653,15-13*ORÇAMENTO!$AF$7))))</f>
        <v>1</v>
      </c>
      <c r="I653" s="561" t="s">
        <v>1107</v>
      </c>
      <c r="K653" s="174"/>
      <c r="L653" s="175" t="s">
        <v>255</v>
      </c>
      <c r="M653" s="176">
        <f ca="1">IF($D653&lt;&gt;"Serviço","",IF(AUTOEVENTO="manual",$A653,IF(ISERROR(MATCH($A653,$A$15:OFFSET($A653,-1,0),0)),MAX($M$15:OFFSET(M653,-1,0))+1,INDEX($M$15:OFFSET(M653,-1,0),MATCH($A653,$A$15:OFFSET($A653,-1,0),0)))))</f>
        <v>69</v>
      </c>
      <c r="N653" s="177" t="str">
        <f ca="1">IF($D653&lt;&gt;"Serviço","",IF(AUTOEVENTO="Manual",IF($A653=0,"&lt;-- defina o número do agrupador",OFFSET(EVENTOS!$D$14,$A653,0)),OFFSET($F$15,$A653,0)))</f>
        <v>INSTALAÇÕES DE CABEAMENTO ESTRUTURADO - ELETROCALHA E ELETRODUTOS</v>
      </c>
      <c r="O653" s="178"/>
      <c r="Q653" s="178">
        <v>1</v>
      </c>
      <c r="R653" s="179"/>
      <c r="S653" s="179"/>
      <c r="T653" s="179"/>
      <c r="U653" s="179"/>
      <c r="V653" s="179"/>
      <c r="W653" s="179"/>
      <c r="X653" s="179"/>
      <c r="Y653" s="179"/>
      <c r="Z653" s="180"/>
      <c r="AA653" s="179"/>
      <c r="AB653" s="179"/>
      <c r="AC653" s="179"/>
      <c r="AD653" s="179"/>
      <c r="AE653" s="179"/>
      <c r="AF653" s="179"/>
      <c r="AG653" s="179"/>
      <c r="AH653" s="180"/>
      <c r="AJ653" s="544">
        <f ca="1">IF(AND($D653="Serviço",AJ$12&lt;&gt;0,$H653&gt;0,OR(AUTOEVENTO&lt;&gt;"manual",$M653&lt;&gt;1)),
IF(Import.TipoArredondamento&lt;&gt;"TransfereGOV",
ROUND(OFFSET($P653,0,AJ$13),15-13*ORÇAMENTO!$AF$7)/$H653*OFFSET(ORÇAMENTO!$X$15,ROW(AJ653)-ROW(AJ$15),0),
ROUND(ROUND(OFFSET($P653,0,AJ$13),15-13*ORÇAMENTO!$AF$7)*OFFSET(ORÇAMENTO!$W$15,ROW(AJ653)-ROW(AJ$15),0),15-13*ORÇAMENTO!$AF$11)),0)</f>
        <v>0</v>
      </c>
      <c r="AK653" s="545">
        <f ca="1">IF(AND($D653="Serviço",AK$12&lt;&gt;0,$H653&gt;0,OR(AUTOEVENTO&lt;&gt;"manual",$M653&lt;&gt;1)),
IF(Import.TipoArredondamento&lt;&gt;"TransfereGOV",
ROUND(OFFSET($P653,0,AK$13),15-13*ORÇAMENTO!$AF$7)/$H653*OFFSET(ORÇAMENTO!$X$15,ROW(AK653)-ROW(AK$15),0),
ROUND(ROUND(OFFSET($P653,0,AK$13),15-13*ORÇAMENTO!$AF$7)*OFFSET(ORÇAMENTO!$W$15,ROW(AK653)-ROW(AK$15),0),15-13*ORÇAMENTO!$AF$11)),0)</f>
        <v>0</v>
      </c>
      <c r="AL653" s="545">
        <f ca="1">IF(AND($D653="Serviço",AL$12&lt;&gt;0,$H653&gt;0,OR(AUTOEVENTO&lt;&gt;"manual",$M653&lt;&gt;1)),
IF(Import.TipoArredondamento&lt;&gt;"TransfereGOV",
ROUND(OFFSET($P653,0,AL$13),15-13*ORÇAMENTO!$AF$7)/$H653*OFFSET(ORÇAMENTO!$X$15,ROW(AL653)-ROW(AL$15),0),
ROUND(ROUND(OFFSET($P653,0,AL$13),15-13*ORÇAMENTO!$AF$7)*OFFSET(ORÇAMENTO!$W$15,ROW(AL653)-ROW(AL$15),0),15-13*ORÇAMENTO!$AF$11)),0)</f>
        <v>0</v>
      </c>
      <c r="AM653" s="545">
        <f ca="1">IF(AND($D653="Serviço",AM$12&lt;&gt;0,$H653&gt;0,OR(AUTOEVENTO&lt;&gt;"manual",$M653&lt;&gt;1)),
IF(Import.TipoArredondamento&lt;&gt;"TransfereGOV",
ROUND(OFFSET($P653,0,AM$13),15-13*ORÇAMENTO!$AF$7)/$H653*OFFSET(ORÇAMENTO!$X$15,ROW(AM653)-ROW(AM$15),0),
ROUND(ROUND(OFFSET($P653,0,AM$13),15-13*ORÇAMENTO!$AF$7)*OFFSET(ORÇAMENTO!$W$15,ROW(AM653)-ROW(AM$15),0),15-13*ORÇAMENTO!$AF$11)),0)</f>
        <v>0</v>
      </c>
      <c r="AN653" s="545">
        <f ca="1">IF(AND($D653="Serviço",AN$12&lt;&gt;0,$H653&gt;0,OR(AUTOEVENTO&lt;&gt;"manual",$M653&lt;&gt;1)),
IF(Import.TipoArredondamento&lt;&gt;"TransfereGOV",
ROUND(OFFSET($P653,0,AN$13),15-13*ORÇAMENTO!$AF$7)/$H653*OFFSET(ORÇAMENTO!$X$15,ROW(AN653)-ROW(AN$15),0),
ROUND(ROUND(OFFSET($P653,0,AN$13),15-13*ORÇAMENTO!$AF$7)*OFFSET(ORÇAMENTO!$W$15,ROW(AN653)-ROW(AN$15),0),15-13*ORÇAMENTO!$AF$11)),0)</f>
        <v>0</v>
      </c>
      <c r="AO653" s="545">
        <f ca="1">IF(AND($D653="Serviço",AO$12&lt;&gt;0,$H653&gt;0,OR(AUTOEVENTO&lt;&gt;"manual",$M653&lt;&gt;1)),
IF(Import.TipoArredondamento&lt;&gt;"TransfereGOV",
ROUND(OFFSET($P653,0,AO$13),15-13*ORÇAMENTO!$AF$7)/$H653*OFFSET(ORÇAMENTO!$X$15,ROW(AO653)-ROW(AO$15),0),
ROUND(ROUND(OFFSET($P653,0,AO$13),15-13*ORÇAMENTO!$AF$7)*OFFSET(ORÇAMENTO!$W$15,ROW(AO653)-ROW(AO$15),0),15-13*ORÇAMENTO!$AF$11)),0)</f>
        <v>0</v>
      </c>
      <c r="AP653" s="545">
        <f ca="1">IF(AND($D653="Serviço",AP$12&lt;&gt;0,$H653&gt;0,OR(AUTOEVENTO&lt;&gt;"manual",$M653&lt;&gt;1)),
IF(Import.TipoArredondamento&lt;&gt;"TransfereGOV",
ROUND(OFFSET($P653,0,AP$13),15-13*ORÇAMENTO!$AF$7)/$H653*OFFSET(ORÇAMENTO!$X$15,ROW(AP653)-ROW(AP$15),0),
ROUND(ROUND(OFFSET($P653,0,AP$13),15-13*ORÇAMENTO!$AF$7)*OFFSET(ORÇAMENTO!$W$15,ROW(AP653)-ROW(AP$15),0),15-13*ORÇAMENTO!$AF$11)),0)</f>
        <v>0</v>
      </c>
      <c r="AQ653" s="545">
        <f ca="1">IF(AND($D653="Serviço",AQ$12&lt;&gt;0,$H653&gt;0,OR(AUTOEVENTO&lt;&gt;"manual",$M653&lt;&gt;1)),
IF(Import.TipoArredondamento&lt;&gt;"TransfereGOV",
ROUND(OFFSET($P653,0,AQ$13),15-13*ORÇAMENTO!$AF$7)/$H653*OFFSET(ORÇAMENTO!$X$15,ROW(AQ653)-ROW(AQ$15),0),
ROUND(ROUND(OFFSET($P653,0,AQ$13),15-13*ORÇAMENTO!$AF$7)*OFFSET(ORÇAMENTO!$W$15,ROW(AQ653)-ROW(AQ$15),0),15-13*ORÇAMENTO!$AF$11)),0)</f>
        <v>0</v>
      </c>
      <c r="AR653" s="545">
        <f ca="1">IF(AND($D653="Serviço",AR$12&lt;&gt;0,$H653&gt;0,OR(AUTOEVENTO&lt;&gt;"manual",$M653&lt;&gt;1)),
IF(Import.TipoArredondamento&lt;&gt;"TransfereGOV",
ROUND(OFFSET($P653,0,AR$13),15-13*ORÇAMENTO!$AF$7)/$H653*OFFSET(ORÇAMENTO!$X$15,ROW(AR653)-ROW(AR$15),0),
ROUND(ROUND(OFFSET($P653,0,AR$13),15-13*ORÇAMENTO!$AF$7)*OFFSET(ORÇAMENTO!$W$15,ROW(AR653)-ROW(AR$15),0),15-13*ORÇAMENTO!$AF$11)),0)</f>
        <v>0</v>
      </c>
      <c r="AS653" s="546">
        <f ca="1">IF(AND($D653="Serviço",AS$12&lt;&gt;0,$H653&gt;0,OR(AUTOEVENTO&lt;&gt;"manual",$M653&lt;&gt;1)),
IF(Import.TipoArredondamento&lt;&gt;"TransfereGOV",
ROUND(OFFSET($P653,0,AS$13),15-13*ORÇAMENTO!$AF$7)/$H653*OFFSET(ORÇAMENTO!$X$15,ROW(AS653)-ROW(AS$15),0),
ROUND(ROUND(OFFSET($P653,0,AS$13),15-13*ORÇAMENTO!$AF$7)*OFFSET(ORÇAMENTO!$W$15,ROW(AS653)-ROW(AS$15),0),15-13*ORÇAMENTO!$AF$11)),0)</f>
        <v>0</v>
      </c>
      <c r="AT653" s="545">
        <f ca="1">IF(AND($D653="Serviço",AT$12&lt;&gt;0,$H653&gt;0,OR(AUTOEVENTO&lt;&gt;"manual",$M653&lt;&gt;1)),
IF(Import.TipoArredondamento&lt;&gt;"TransfereGOV",
ROUND(OFFSET($P653,0,AT$13),15-13*ORÇAMENTO!$AF$7)/$H653*OFFSET(ORÇAMENTO!$X$15,ROW(AT653)-ROW(AT$15),0),
ROUND(ROUND(OFFSET($P653,0,AT$13),15-13*ORÇAMENTO!$AF$7)*OFFSET(ORÇAMENTO!$W$15,ROW(AT653)-ROW(AT$15),0),15-13*ORÇAMENTO!$AF$11)),0)</f>
        <v>0</v>
      </c>
      <c r="AU653" s="545">
        <f ca="1">IF(AND($D653="Serviço",AU$12&lt;&gt;0,$H653&gt;0,OR(AUTOEVENTO&lt;&gt;"manual",$M653&lt;&gt;1)),
IF(Import.TipoArredondamento&lt;&gt;"TransfereGOV",
ROUND(OFFSET($P653,0,AU$13),15-13*ORÇAMENTO!$AF$7)/$H653*OFFSET(ORÇAMENTO!$X$15,ROW(AU653)-ROW(AU$15),0),
ROUND(ROUND(OFFSET($P653,0,AU$13),15-13*ORÇAMENTO!$AF$7)*OFFSET(ORÇAMENTO!$W$15,ROW(AU653)-ROW(AU$15),0),15-13*ORÇAMENTO!$AF$11)),0)</f>
        <v>0</v>
      </c>
      <c r="AV653" s="545">
        <f ca="1">IF(AND($D653="Serviço",AV$12&lt;&gt;0,$H653&gt;0,OR(AUTOEVENTO&lt;&gt;"manual",$M653&lt;&gt;1)),
IF(Import.TipoArredondamento&lt;&gt;"TransfereGOV",
ROUND(OFFSET($P653,0,AV$13),15-13*ORÇAMENTO!$AF$7)/$H653*OFFSET(ORÇAMENTO!$X$15,ROW(AV653)-ROW(AV$15),0),
ROUND(ROUND(OFFSET($P653,0,AV$13),15-13*ORÇAMENTO!$AF$7)*OFFSET(ORÇAMENTO!$W$15,ROW(AV653)-ROW(AV$15),0),15-13*ORÇAMENTO!$AF$11)),0)</f>
        <v>0</v>
      </c>
      <c r="AW653" s="545">
        <f ca="1">IF(AND($D653="Serviço",AW$12&lt;&gt;0,$H653&gt;0,OR(AUTOEVENTO&lt;&gt;"manual",$M653&lt;&gt;1)),
IF(Import.TipoArredondamento&lt;&gt;"TransfereGOV",
ROUND(OFFSET($P653,0,AW$13),15-13*ORÇAMENTO!$AF$7)/$H653*OFFSET(ORÇAMENTO!$X$15,ROW(AW653)-ROW(AW$15),0),
ROUND(ROUND(OFFSET($P653,0,AW$13),15-13*ORÇAMENTO!$AF$7)*OFFSET(ORÇAMENTO!$W$15,ROW(AW653)-ROW(AW$15),0),15-13*ORÇAMENTO!$AF$11)),0)</f>
        <v>0</v>
      </c>
      <c r="AX653" s="545">
        <f ca="1">IF(AND($D653="Serviço",AX$12&lt;&gt;0,$H653&gt;0,OR(AUTOEVENTO&lt;&gt;"manual",$M653&lt;&gt;1)),
IF(Import.TipoArredondamento&lt;&gt;"TransfereGOV",
ROUND(OFFSET($P653,0,AX$13),15-13*ORÇAMENTO!$AF$7)/$H653*OFFSET(ORÇAMENTO!$X$15,ROW(AX653)-ROW(AX$15),0),
ROUND(ROUND(OFFSET($P653,0,AX$13),15-13*ORÇAMENTO!$AF$7)*OFFSET(ORÇAMENTO!$W$15,ROW(AX653)-ROW(AX$15),0),15-13*ORÇAMENTO!$AF$11)),0)</f>
        <v>0</v>
      </c>
      <c r="AY653" s="545">
        <f ca="1">IF(AND($D653="Serviço",AY$12&lt;&gt;0,$H653&gt;0,OR(AUTOEVENTO&lt;&gt;"manual",$M653&lt;&gt;1)),
IF(Import.TipoArredondamento&lt;&gt;"TransfereGOV",
ROUND(OFFSET($P653,0,AY$13),15-13*ORÇAMENTO!$AF$7)/$H653*OFFSET(ORÇAMENTO!$X$15,ROW(AY653)-ROW(AY$15),0),
ROUND(ROUND(OFFSET($P653,0,AY$13),15-13*ORÇAMENTO!$AF$7)*OFFSET(ORÇAMENTO!$W$15,ROW(AY653)-ROW(AY$15),0),15-13*ORÇAMENTO!$AF$11)),0)</f>
        <v>0</v>
      </c>
      <c r="AZ653" s="545">
        <f ca="1">IF(AND($D653="Serviço",AZ$12&lt;&gt;0,$H653&gt;0,OR(AUTOEVENTO&lt;&gt;"manual",$M653&lt;&gt;1)),
IF(Import.TipoArredondamento&lt;&gt;"TransfereGOV",
ROUND(OFFSET($P653,0,AZ$13),15-13*ORÇAMENTO!$AF$7)/$H653*OFFSET(ORÇAMENTO!$X$15,ROW(AZ653)-ROW(AZ$15),0),
ROUND(ROUND(OFFSET($P653,0,AZ$13),15-13*ORÇAMENTO!$AF$7)*OFFSET(ORÇAMENTO!$W$15,ROW(AZ653)-ROW(AZ$15),0),15-13*ORÇAMENTO!$AF$11)),0)</f>
        <v>0</v>
      </c>
      <c r="BA653" s="546">
        <f ca="1">IF(AND($D653="Serviço",BA$12&lt;&gt;0,$H653&gt;0,OR(AUTOEVENTO&lt;&gt;"manual",$M653&lt;&gt;1)),
IF(Import.TipoArredondamento&lt;&gt;"TransfereGOV",
ROUND(OFFSET($P653,0,BA$13),15-13*ORÇAMENTO!$AF$7)/$H653*OFFSET(ORÇAMENTO!$X$15,ROW(BA653)-ROW(BA$15),0),
ROUND(ROUND(OFFSET($P653,0,BA$13),15-13*ORÇAMENTO!$AF$7)*OFFSET(ORÇAMENTO!$W$15,ROW(BA653)-ROW(BA$15),0),15-13*ORÇAMENTO!$AF$11)),0)</f>
        <v>0</v>
      </c>
      <c r="BC653" s="181">
        <f ca="1">IF($D653&lt;&gt;"Serviço",0,IF(AND(AUTOEVENTO="Manual",$M653=1),0,IF(OFFSET(CRONOPLE!$F$14,$M653,BC$13)="",10^12,OFFSET(CRONOPLE!$F$14,$M653,BC$13))))</f>
        <v>11</v>
      </c>
      <c r="BD653" s="181">
        <f ca="1">IF($D653&lt;&gt;"Serviço",0,IF(AND(AUTOEVENTO="Manual",$M653=1),0,IF(OFFSET(CRONOPLE!$F$14,$M653,BD$13)="",10^12,OFFSET(CRONOPLE!$F$14,$M653,BD$13))))</f>
        <v>1000000000000</v>
      </c>
      <c r="BE653" s="181">
        <f ca="1">IF($D653&lt;&gt;"Serviço",0,IF(AND(AUTOEVENTO="Manual",$M653=1),0,IF(OFFSET(CRONOPLE!$F$14,$M653,BE$13)="",10^12,OFFSET(CRONOPLE!$F$14,$M653,BE$13))))</f>
        <v>1000000000000</v>
      </c>
      <c r="BF653" s="181">
        <f ca="1">IF($D653&lt;&gt;"Serviço",0,IF(AND(AUTOEVENTO="Manual",$M653=1),0,IF(OFFSET(CRONOPLE!$F$14,$M653,BF$13)="",10^12,OFFSET(CRONOPLE!$F$14,$M653,BF$13))))</f>
        <v>1000000000000</v>
      </c>
      <c r="BG653" s="181">
        <f ca="1">IF($D653&lt;&gt;"Serviço",0,IF(AND(AUTOEVENTO="Manual",$M653=1),0,IF(OFFSET(CRONOPLE!$F$14,$M653,BG$13)="",10^12,OFFSET(CRONOPLE!$F$14,$M653,BG$13))))</f>
        <v>1000000000000</v>
      </c>
      <c r="BH653" s="181">
        <f ca="1">IF($D653&lt;&gt;"Serviço",0,IF(AND(AUTOEVENTO="Manual",$M653=1),0,IF(OFFSET(CRONOPLE!$F$14,$M653,BH$13)="",10^12,OFFSET(CRONOPLE!$F$14,$M653,BH$13))))</f>
        <v>1000000000000</v>
      </c>
      <c r="BI653" s="181">
        <f ca="1">IF($D653&lt;&gt;"Serviço",0,IF(AND(AUTOEVENTO="Manual",$M653=1),0,IF(OFFSET(CRONOPLE!$F$14,$M653,BI$13)="",10^12,OFFSET(CRONOPLE!$F$14,$M653,BI$13))))</f>
        <v>1000000000000</v>
      </c>
      <c r="BJ653" s="181">
        <f ca="1">IF($D653&lt;&gt;"Serviço",0,IF(AND(AUTOEVENTO="Manual",$M653=1),0,IF(OFFSET(CRONOPLE!$F$14,$M653,BJ$13)="",10^12,OFFSET(CRONOPLE!$F$14,$M653,BJ$13))))</f>
        <v>1000000000000</v>
      </c>
      <c r="BK653" s="181">
        <f ca="1">IF($D653&lt;&gt;"Serviço",0,IF(AND(AUTOEVENTO="Manual",$M653=1),0,IF(OFFSET(CRONOPLE!$F$14,$M653,BK$13)="",10^12,OFFSET(CRONOPLE!$F$14,$M653,BK$13))))</f>
        <v>1000000000000</v>
      </c>
      <c r="BL653" s="181">
        <f ca="1">IF($D653&lt;&gt;"Serviço",0,IF(AND(AUTOEVENTO="Manual",$M653=1),0,IF(OFFSET(CRONOPLE!$F$14,$M653,BL$13)="",10^12,OFFSET(CRONOPLE!$F$14,$M653,BL$13))))</f>
        <v>1000000000000</v>
      </c>
      <c r="BM653" s="181">
        <f ca="1">IF($D653&lt;&gt;"Serviço",0,IF(AND(AUTOEVENTO="Manual",$M653=1),0,IF(OFFSET(CRONOPLE!$F$14,$M653,BM$13)="",10^12,OFFSET(CRONOPLE!$F$14,$M653,BM$13))))</f>
        <v>1000000000000</v>
      </c>
      <c r="BN653" s="181">
        <f ca="1">IF($D653&lt;&gt;"Serviço",0,IF(AND(AUTOEVENTO="Manual",$M653=1),0,IF(OFFSET(CRONOPLE!$F$14,$M653,BN$13)="",10^12,OFFSET(CRONOPLE!$F$14,$M653,BN$13))))</f>
        <v>1000000000000</v>
      </c>
      <c r="BO653" s="181">
        <f ca="1">IF($D653&lt;&gt;"Serviço",0,IF(AND(AUTOEVENTO="Manual",$M653=1),0,IF(OFFSET(CRONOPLE!$F$14,$M653,BO$13)="",10^12,OFFSET(CRONOPLE!$F$14,$M653,BO$13))))</f>
        <v>1000000000000</v>
      </c>
      <c r="BP653" s="181">
        <f ca="1">IF($D653&lt;&gt;"Serviço",0,IF(AND(AUTOEVENTO="Manual",$M653=1),0,IF(OFFSET(CRONOPLE!$F$14,$M653,BP$13)="",10^12,OFFSET(CRONOPLE!$F$14,$M653,BP$13))))</f>
        <v>1000000000000</v>
      </c>
      <c r="BQ653" s="181">
        <f ca="1">IF($D653&lt;&gt;"Serviço",0,IF(AND(AUTOEVENTO="Manual",$M653=1),0,IF(OFFSET(CRONOPLE!$F$14,$M653,BQ$13)="",10^12,OFFSET(CRONOPLE!$F$14,$M653,BQ$13))))</f>
        <v>1000000000000</v>
      </c>
      <c r="BR653" s="181">
        <f ca="1">IF($D653&lt;&gt;"Serviço",0,IF(AND(AUTOEVENTO="Manual",$M653=1),0,IF(OFFSET(CRONOPLE!$F$14,$M653,BR$13)="",10^12,OFFSET(CRONOPLE!$F$14,$M653,BR$13))))</f>
        <v>1000000000000</v>
      </c>
      <c r="BS653" s="181">
        <f ca="1">IF($D653&lt;&gt;"Serviço",0,IF(AND(AUTOEVENTO="Manual",$M653=1),0,IF(OFFSET(CRONOPLE!$F$14,$M653,BS$13)="",10^12,OFFSET(CRONOPLE!$F$14,$M653,BS$13))))</f>
        <v>1000000000000</v>
      </c>
      <c r="BT653" s="181">
        <f ca="1">IF($D653&lt;&gt;"Serviço",0,IF(AND(AUTOEVENTO="Manual",$M653=1),0,IF(OFFSET(CRONOPLE!$F$14,$M653,BT$13)="",10^12,OFFSET(CRONOPLE!$F$14,$M653,BT$13))))</f>
        <v>1000000000000</v>
      </c>
      <c r="BV653" s="182">
        <f ca="1">IF($D653&lt;&gt;"Serviço",0,IF(OR(AND(AUTOEVENTO="Manual",$M653=1),$M653&gt;(ROW(PLE.lastrow)-ROW(PLE.firstrow))),0,IF(OFFSET(PLE!$G$14,$M653,BV$13)="",10^12,OFFSET(PLE!$G$14,$M653,BV$13))))</f>
        <v>1000000000000</v>
      </c>
      <c r="BW653" s="182">
        <f ca="1">IF($D653&lt;&gt;"Serviço",0,IF(OR(AND(AUTOEVENTO="Manual",$M653=1),$M653&gt;(ROW(PLE.lastrow)-ROW(PLE.firstrow))),0,IF(OFFSET(PLE!$G$14,$M653,BW$13)="",10^12,OFFSET(PLE!$G$14,$M653,BW$13))))</f>
        <v>1000000000000</v>
      </c>
      <c r="BX653" s="182">
        <f ca="1">IF($D653&lt;&gt;"Serviço",0,IF(OR(AND(AUTOEVENTO="Manual",$M653=1),$M653&gt;(ROW(PLE.lastrow)-ROW(PLE.firstrow))),0,IF(OFFSET(PLE!$G$14,$M653,BX$13)="",10^12,OFFSET(PLE!$G$14,$M653,BX$13))))</f>
        <v>1000000000000</v>
      </c>
      <c r="BY653" s="182">
        <f ca="1">IF($D653&lt;&gt;"Serviço",0,IF(OR(AND(AUTOEVENTO="Manual",$M653=1),$M653&gt;(ROW(PLE.lastrow)-ROW(PLE.firstrow))),0,IF(OFFSET(PLE!$G$14,$M653,BY$13)="",10^12,OFFSET(PLE!$G$14,$M653,BY$13))))</f>
        <v>1000000000000</v>
      </c>
      <c r="BZ653" s="182">
        <f ca="1">IF($D653&lt;&gt;"Serviço",0,IF(OR(AND(AUTOEVENTO="Manual",$M653=1),$M653&gt;(ROW(PLE.lastrow)-ROW(PLE.firstrow))),0,IF(OFFSET(PLE!$G$14,$M653,BZ$13)="",10^12,OFFSET(PLE!$G$14,$M653,BZ$13))))</f>
        <v>1000000000000</v>
      </c>
      <c r="CA653" s="182">
        <f ca="1">IF($D653&lt;&gt;"Serviço",0,IF(OR(AND(AUTOEVENTO="Manual",$M653=1),$M653&gt;(ROW(PLE.lastrow)-ROW(PLE.firstrow))),0,IF(OFFSET(PLE!$G$14,$M653,CA$13)="",10^12,OFFSET(PLE!$G$14,$M653,CA$13))))</f>
        <v>1000000000000</v>
      </c>
      <c r="CB653" s="182">
        <f ca="1">IF($D653&lt;&gt;"Serviço",0,IF(OR(AND(AUTOEVENTO="Manual",$M653=1),$M653&gt;(ROW(PLE.lastrow)-ROW(PLE.firstrow))),0,IF(OFFSET(PLE!$G$14,$M653,CB$13)="",10^12,OFFSET(PLE!$G$14,$M653,CB$13))))</f>
        <v>1000000000000</v>
      </c>
      <c r="CC653" s="182">
        <f ca="1">IF($D653&lt;&gt;"Serviço",0,IF(OR(AND(AUTOEVENTO="Manual",$M653=1),$M653&gt;(ROW(PLE.lastrow)-ROW(PLE.firstrow))),0,IF(OFFSET(PLE!$G$14,$M653,CC$13)="",10^12,OFFSET(PLE!$G$14,$M653,CC$13))))</f>
        <v>1000000000000</v>
      </c>
      <c r="CD653" s="182">
        <f ca="1">IF($D653&lt;&gt;"Serviço",0,IF(OR(AND(AUTOEVENTO="Manual",$M653=1),$M653&gt;(ROW(PLE.lastrow)-ROW(PLE.firstrow))),0,IF(OFFSET(PLE!$G$14,$M653,CD$13)="",10^12,OFFSET(PLE!$G$14,$M653,CD$13))))</f>
        <v>1000000000000</v>
      </c>
      <c r="CE653" s="182">
        <f ca="1">IF($D653&lt;&gt;"Serviço",0,IF(OR(AND(AUTOEVENTO="Manual",$M653=1),$M653&gt;(ROW(PLE.lastrow)-ROW(PLE.firstrow))),0,IF(OFFSET(PLE!$G$14,$M653,CE$13)="",10^12,OFFSET(PLE!$G$14,$M653,CE$13))))</f>
        <v>1000000000000</v>
      </c>
      <c r="CF653" s="182">
        <f ca="1">IF($D653&lt;&gt;"Serviço",0,IF(OR(AND(AUTOEVENTO="Manual",$M653=1),$M653&gt;(ROW(PLE.lastrow)-ROW(PLE.firstrow))),0,IF(OFFSET(PLE!$G$14,$M653,CF$13)="",10^12,OFFSET(PLE!$G$14,$M653,CF$13))))</f>
        <v>1000000000000</v>
      </c>
      <c r="CG653" s="182">
        <f ca="1">IF($D653&lt;&gt;"Serviço",0,IF(OR(AND(AUTOEVENTO="Manual",$M653=1),$M653&gt;(ROW(PLE.lastrow)-ROW(PLE.firstrow))),0,IF(OFFSET(PLE!$G$14,$M653,CG$13)="",10^12,OFFSET(PLE!$G$14,$M653,CG$13))))</f>
        <v>1000000000000</v>
      </c>
      <c r="CH653" s="182">
        <f ca="1">IF($D653&lt;&gt;"Serviço",0,IF(OR(AND(AUTOEVENTO="Manual",$M653=1),$M653&gt;(ROW(PLE.lastrow)-ROW(PLE.firstrow))),0,IF(OFFSET(PLE!$G$14,$M653,CH$13)="",10^12,OFFSET(PLE!$G$14,$M653,CH$13))))</f>
        <v>1000000000000</v>
      </c>
      <c r="CI653" s="182">
        <f ca="1">IF($D653&lt;&gt;"Serviço",0,IF(OR(AND(AUTOEVENTO="Manual",$M653=1),$M653&gt;(ROW(PLE.lastrow)-ROW(PLE.firstrow))),0,IF(OFFSET(PLE!$G$14,$M653,CI$13)="",10^12,OFFSET(PLE!$G$14,$M653,CI$13))))</f>
        <v>1000000000000</v>
      </c>
      <c r="CJ653" s="182">
        <f ca="1">IF($D653&lt;&gt;"Serviço",0,IF(OR(AND(AUTOEVENTO="Manual",$M653=1),$M653&gt;(ROW(PLE.lastrow)-ROW(PLE.firstrow))),0,IF(OFFSET(PLE!$G$14,$M653,CJ$13)="",10^12,OFFSET(PLE!$G$14,$M653,CJ$13))))</f>
        <v>1000000000000</v>
      </c>
      <c r="CK653" s="182">
        <f ca="1">IF($D653&lt;&gt;"Serviço",0,IF(OR(AND(AUTOEVENTO="Manual",$M653=1),$M653&gt;(ROW(PLE.lastrow)-ROW(PLE.firstrow))),0,IF(OFFSET(PLE!$G$14,$M653,CK$13)="",10^12,OFFSET(PLE!$G$14,$M653,CK$13))))</f>
        <v>1000000000000</v>
      </c>
      <c r="CL653" s="182">
        <f ca="1">IF($D653&lt;&gt;"Serviço",0,IF(OR(AND(AUTOEVENTO="Manual",$M653=1),$M653&gt;(ROW(PLE.lastrow)-ROW(PLE.firstrow))),0,IF(OFFSET(PLE!$G$14,$M653,CL$13)="",10^12,OFFSET(PLE!$G$14,$M653,CL$13))))</f>
        <v>1000000000000</v>
      </c>
      <c r="CM653" s="182">
        <f ca="1">IF($D653&lt;&gt;"Serviço",0,IF(OR(AND(AUTOEVENTO="Manual",$M653=1),$M653&gt;(ROW(PLE.lastrow)-ROW(PLE.firstrow))),0,IF(OFFSET(PLE!$G$14,$M653,CM$13)="",10^12,OFFSET(PLE!$G$14,$M653,CM$13))))</f>
        <v>1000000000000</v>
      </c>
    </row>
    <row r="654" spans="1:91" ht="12.75" x14ac:dyDescent="0.2">
      <c r="A654" s="7" t="str">
        <f t="shared" ca="1" si="19"/>
        <v>639.</v>
      </c>
      <c r="B654" s="7">
        <f ca="1">OFFSET(ORÇAMENTO!C$15,ROW(B654)-ROW(B$15),0)</f>
        <v>2</v>
      </c>
      <c r="C654" s="7" t="str">
        <f ca="1">OFFSET(ORÇAMENTO!L$15,ROW(C654)-ROW(C$15),0)</f>
        <v>F</v>
      </c>
      <c r="D654" s="118" t="str">
        <f ca="1">OFFSET(ORÇAMENTO!N$15,ROW(D654)-ROW(D$15),0)</f>
        <v>Nível 2</v>
      </c>
      <c r="E654" s="119" t="str">
        <f ca="1">OFFSET(ORÇAMENTO!O$15,ROW(E654)-ROW(E$15),0)</f>
        <v>1.69.</v>
      </c>
      <c r="F654" s="172" t="str">
        <f ca="1">OFFSET(ORÇAMENTO!R$15,ROW(F654)-ROW(F$15),0)</f>
        <v>INSTALAÇÕES DE CABEAMENTO ESTRUTURADO - CABEAMENTO</v>
      </c>
      <c r="G654" s="173" t="str">
        <f ca="1">IF($D654&lt;&gt;"Serviço","",OFFSET(ORÇAMENTO!S$15,ROW(G654)-ROW(G$15),0))</f>
        <v/>
      </c>
      <c r="H654" s="124">
        <f ca="1">IF($D654&lt;&gt;"Serviço",0,IF(ACOMPANHAMENTO="BM",ROUND(OFFSET(ORÇAMENTO!AJ$15,ROW(H654)-ROW(H$15),0),15-13*ORÇAMENTO!$AF$7),SUMPRODUCT(($Q$12:$AI$12&lt;&gt;"")*ROUND($Q654:$AI654,15-13*ORÇAMENTO!$AF$7))))</f>
        <v>0</v>
      </c>
      <c r="I654" s="561"/>
      <c r="K654" s="174"/>
      <c r="L654" s="175" t="s">
        <v>255</v>
      </c>
      <c r="M654" s="176" t="str">
        <f ca="1">IF($D654&lt;&gt;"Serviço","",IF(AUTOEVENTO="manual",$A654,IF(ISERROR(MATCH($A654,$A$15:OFFSET($A654,-1,0),0)),MAX($M$15:OFFSET(M654,-1,0))+1,INDEX($M$15:OFFSET(M654,-1,0),MATCH($A654,$A$15:OFFSET($A654,-1,0),0)))))</f>
        <v/>
      </c>
      <c r="N654" s="177" t="str">
        <f ca="1">IF($D654&lt;&gt;"Serviço","",IF(AUTOEVENTO="Manual",IF($A654=0,"&lt;-- defina o número do agrupador",OFFSET(EVENTOS!$D$14,$A654,0)),OFFSET($F$15,$A654,0)))</f>
        <v/>
      </c>
      <c r="O654" s="178"/>
      <c r="Q654" s="178">
        <v>0</v>
      </c>
      <c r="R654" s="179"/>
      <c r="S654" s="179"/>
      <c r="T654" s="179"/>
      <c r="U654" s="179"/>
      <c r="V654" s="179"/>
      <c r="W654" s="179"/>
      <c r="X654" s="179"/>
      <c r="Y654" s="179"/>
      <c r="Z654" s="180"/>
      <c r="AA654" s="179"/>
      <c r="AB654" s="179"/>
      <c r="AC654" s="179"/>
      <c r="AD654" s="179"/>
      <c r="AE654" s="179"/>
      <c r="AF654" s="179"/>
      <c r="AG654" s="179"/>
      <c r="AH654" s="180"/>
      <c r="AJ654" s="544">
        <f ca="1">IF(AND($D654="Serviço",AJ$12&lt;&gt;0,$H654&gt;0,OR(AUTOEVENTO&lt;&gt;"manual",$M654&lt;&gt;1)),
IF(Import.TipoArredondamento&lt;&gt;"TransfereGOV",
ROUND(OFFSET($P654,0,AJ$13),15-13*ORÇAMENTO!$AF$7)/$H654*OFFSET(ORÇAMENTO!$X$15,ROW(AJ654)-ROW(AJ$15),0),
ROUND(ROUND(OFFSET($P654,0,AJ$13),15-13*ORÇAMENTO!$AF$7)*OFFSET(ORÇAMENTO!$W$15,ROW(AJ654)-ROW(AJ$15),0),15-13*ORÇAMENTO!$AF$11)),0)</f>
        <v>0</v>
      </c>
      <c r="AK654" s="545">
        <f ca="1">IF(AND($D654="Serviço",AK$12&lt;&gt;0,$H654&gt;0,OR(AUTOEVENTO&lt;&gt;"manual",$M654&lt;&gt;1)),
IF(Import.TipoArredondamento&lt;&gt;"TransfereGOV",
ROUND(OFFSET($P654,0,AK$13),15-13*ORÇAMENTO!$AF$7)/$H654*OFFSET(ORÇAMENTO!$X$15,ROW(AK654)-ROW(AK$15),0),
ROUND(ROUND(OFFSET($P654,0,AK$13),15-13*ORÇAMENTO!$AF$7)*OFFSET(ORÇAMENTO!$W$15,ROW(AK654)-ROW(AK$15),0),15-13*ORÇAMENTO!$AF$11)),0)</f>
        <v>0</v>
      </c>
      <c r="AL654" s="545">
        <f ca="1">IF(AND($D654="Serviço",AL$12&lt;&gt;0,$H654&gt;0,OR(AUTOEVENTO&lt;&gt;"manual",$M654&lt;&gt;1)),
IF(Import.TipoArredondamento&lt;&gt;"TransfereGOV",
ROUND(OFFSET($P654,0,AL$13),15-13*ORÇAMENTO!$AF$7)/$H654*OFFSET(ORÇAMENTO!$X$15,ROW(AL654)-ROW(AL$15),0),
ROUND(ROUND(OFFSET($P654,0,AL$13),15-13*ORÇAMENTO!$AF$7)*OFFSET(ORÇAMENTO!$W$15,ROW(AL654)-ROW(AL$15),0),15-13*ORÇAMENTO!$AF$11)),0)</f>
        <v>0</v>
      </c>
      <c r="AM654" s="545">
        <f ca="1">IF(AND($D654="Serviço",AM$12&lt;&gt;0,$H654&gt;0,OR(AUTOEVENTO&lt;&gt;"manual",$M654&lt;&gt;1)),
IF(Import.TipoArredondamento&lt;&gt;"TransfereGOV",
ROUND(OFFSET($P654,0,AM$13),15-13*ORÇAMENTO!$AF$7)/$H654*OFFSET(ORÇAMENTO!$X$15,ROW(AM654)-ROW(AM$15),0),
ROUND(ROUND(OFFSET($P654,0,AM$13),15-13*ORÇAMENTO!$AF$7)*OFFSET(ORÇAMENTO!$W$15,ROW(AM654)-ROW(AM$15),0),15-13*ORÇAMENTO!$AF$11)),0)</f>
        <v>0</v>
      </c>
      <c r="AN654" s="545">
        <f ca="1">IF(AND($D654="Serviço",AN$12&lt;&gt;0,$H654&gt;0,OR(AUTOEVENTO&lt;&gt;"manual",$M654&lt;&gt;1)),
IF(Import.TipoArredondamento&lt;&gt;"TransfereGOV",
ROUND(OFFSET($P654,0,AN$13),15-13*ORÇAMENTO!$AF$7)/$H654*OFFSET(ORÇAMENTO!$X$15,ROW(AN654)-ROW(AN$15),0),
ROUND(ROUND(OFFSET($P654,0,AN$13),15-13*ORÇAMENTO!$AF$7)*OFFSET(ORÇAMENTO!$W$15,ROW(AN654)-ROW(AN$15),0),15-13*ORÇAMENTO!$AF$11)),0)</f>
        <v>0</v>
      </c>
      <c r="AO654" s="545">
        <f ca="1">IF(AND($D654="Serviço",AO$12&lt;&gt;0,$H654&gt;0,OR(AUTOEVENTO&lt;&gt;"manual",$M654&lt;&gt;1)),
IF(Import.TipoArredondamento&lt;&gt;"TransfereGOV",
ROUND(OFFSET($P654,0,AO$13),15-13*ORÇAMENTO!$AF$7)/$H654*OFFSET(ORÇAMENTO!$X$15,ROW(AO654)-ROW(AO$15),0),
ROUND(ROUND(OFFSET($P654,0,AO$13),15-13*ORÇAMENTO!$AF$7)*OFFSET(ORÇAMENTO!$W$15,ROW(AO654)-ROW(AO$15),0),15-13*ORÇAMENTO!$AF$11)),0)</f>
        <v>0</v>
      </c>
      <c r="AP654" s="545">
        <f ca="1">IF(AND($D654="Serviço",AP$12&lt;&gt;0,$H654&gt;0,OR(AUTOEVENTO&lt;&gt;"manual",$M654&lt;&gt;1)),
IF(Import.TipoArredondamento&lt;&gt;"TransfereGOV",
ROUND(OFFSET($P654,0,AP$13),15-13*ORÇAMENTO!$AF$7)/$H654*OFFSET(ORÇAMENTO!$X$15,ROW(AP654)-ROW(AP$15),0),
ROUND(ROUND(OFFSET($P654,0,AP$13),15-13*ORÇAMENTO!$AF$7)*OFFSET(ORÇAMENTO!$W$15,ROW(AP654)-ROW(AP$15),0),15-13*ORÇAMENTO!$AF$11)),0)</f>
        <v>0</v>
      </c>
      <c r="AQ654" s="545">
        <f ca="1">IF(AND($D654="Serviço",AQ$12&lt;&gt;0,$H654&gt;0,OR(AUTOEVENTO&lt;&gt;"manual",$M654&lt;&gt;1)),
IF(Import.TipoArredondamento&lt;&gt;"TransfereGOV",
ROUND(OFFSET($P654,0,AQ$13),15-13*ORÇAMENTO!$AF$7)/$H654*OFFSET(ORÇAMENTO!$X$15,ROW(AQ654)-ROW(AQ$15),0),
ROUND(ROUND(OFFSET($P654,0,AQ$13),15-13*ORÇAMENTO!$AF$7)*OFFSET(ORÇAMENTO!$W$15,ROW(AQ654)-ROW(AQ$15),0),15-13*ORÇAMENTO!$AF$11)),0)</f>
        <v>0</v>
      </c>
      <c r="AR654" s="545">
        <f ca="1">IF(AND($D654="Serviço",AR$12&lt;&gt;0,$H654&gt;0,OR(AUTOEVENTO&lt;&gt;"manual",$M654&lt;&gt;1)),
IF(Import.TipoArredondamento&lt;&gt;"TransfereGOV",
ROUND(OFFSET($P654,0,AR$13),15-13*ORÇAMENTO!$AF$7)/$H654*OFFSET(ORÇAMENTO!$X$15,ROW(AR654)-ROW(AR$15),0),
ROUND(ROUND(OFFSET($P654,0,AR$13),15-13*ORÇAMENTO!$AF$7)*OFFSET(ORÇAMENTO!$W$15,ROW(AR654)-ROW(AR$15),0),15-13*ORÇAMENTO!$AF$11)),0)</f>
        <v>0</v>
      </c>
      <c r="AS654" s="546">
        <f ca="1">IF(AND($D654="Serviço",AS$12&lt;&gt;0,$H654&gt;0,OR(AUTOEVENTO&lt;&gt;"manual",$M654&lt;&gt;1)),
IF(Import.TipoArredondamento&lt;&gt;"TransfereGOV",
ROUND(OFFSET($P654,0,AS$13),15-13*ORÇAMENTO!$AF$7)/$H654*OFFSET(ORÇAMENTO!$X$15,ROW(AS654)-ROW(AS$15),0),
ROUND(ROUND(OFFSET($P654,0,AS$13),15-13*ORÇAMENTO!$AF$7)*OFFSET(ORÇAMENTO!$W$15,ROW(AS654)-ROW(AS$15),0),15-13*ORÇAMENTO!$AF$11)),0)</f>
        <v>0</v>
      </c>
      <c r="AT654" s="545">
        <f ca="1">IF(AND($D654="Serviço",AT$12&lt;&gt;0,$H654&gt;0,OR(AUTOEVENTO&lt;&gt;"manual",$M654&lt;&gt;1)),
IF(Import.TipoArredondamento&lt;&gt;"TransfereGOV",
ROUND(OFFSET($P654,0,AT$13),15-13*ORÇAMENTO!$AF$7)/$H654*OFFSET(ORÇAMENTO!$X$15,ROW(AT654)-ROW(AT$15),0),
ROUND(ROUND(OFFSET($P654,0,AT$13),15-13*ORÇAMENTO!$AF$7)*OFFSET(ORÇAMENTO!$W$15,ROW(AT654)-ROW(AT$15),0),15-13*ORÇAMENTO!$AF$11)),0)</f>
        <v>0</v>
      </c>
      <c r="AU654" s="545">
        <f ca="1">IF(AND($D654="Serviço",AU$12&lt;&gt;0,$H654&gt;0,OR(AUTOEVENTO&lt;&gt;"manual",$M654&lt;&gt;1)),
IF(Import.TipoArredondamento&lt;&gt;"TransfereGOV",
ROUND(OFFSET($P654,0,AU$13),15-13*ORÇAMENTO!$AF$7)/$H654*OFFSET(ORÇAMENTO!$X$15,ROW(AU654)-ROW(AU$15),0),
ROUND(ROUND(OFFSET($P654,0,AU$13),15-13*ORÇAMENTO!$AF$7)*OFFSET(ORÇAMENTO!$W$15,ROW(AU654)-ROW(AU$15),0),15-13*ORÇAMENTO!$AF$11)),0)</f>
        <v>0</v>
      </c>
      <c r="AV654" s="545">
        <f ca="1">IF(AND($D654="Serviço",AV$12&lt;&gt;0,$H654&gt;0,OR(AUTOEVENTO&lt;&gt;"manual",$M654&lt;&gt;1)),
IF(Import.TipoArredondamento&lt;&gt;"TransfereGOV",
ROUND(OFFSET($P654,0,AV$13),15-13*ORÇAMENTO!$AF$7)/$H654*OFFSET(ORÇAMENTO!$X$15,ROW(AV654)-ROW(AV$15),0),
ROUND(ROUND(OFFSET($P654,0,AV$13),15-13*ORÇAMENTO!$AF$7)*OFFSET(ORÇAMENTO!$W$15,ROW(AV654)-ROW(AV$15),0),15-13*ORÇAMENTO!$AF$11)),0)</f>
        <v>0</v>
      </c>
      <c r="AW654" s="545">
        <f ca="1">IF(AND($D654="Serviço",AW$12&lt;&gt;0,$H654&gt;0,OR(AUTOEVENTO&lt;&gt;"manual",$M654&lt;&gt;1)),
IF(Import.TipoArredondamento&lt;&gt;"TransfereGOV",
ROUND(OFFSET($P654,0,AW$13),15-13*ORÇAMENTO!$AF$7)/$H654*OFFSET(ORÇAMENTO!$X$15,ROW(AW654)-ROW(AW$15),0),
ROUND(ROUND(OFFSET($P654,0,AW$13),15-13*ORÇAMENTO!$AF$7)*OFFSET(ORÇAMENTO!$W$15,ROW(AW654)-ROW(AW$15),0),15-13*ORÇAMENTO!$AF$11)),0)</f>
        <v>0</v>
      </c>
      <c r="AX654" s="545">
        <f ca="1">IF(AND($D654="Serviço",AX$12&lt;&gt;0,$H654&gt;0,OR(AUTOEVENTO&lt;&gt;"manual",$M654&lt;&gt;1)),
IF(Import.TipoArredondamento&lt;&gt;"TransfereGOV",
ROUND(OFFSET($P654,0,AX$13),15-13*ORÇAMENTO!$AF$7)/$H654*OFFSET(ORÇAMENTO!$X$15,ROW(AX654)-ROW(AX$15),0),
ROUND(ROUND(OFFSET($P654,0,AX$13),15-13*ORÇAMENTO!$AF$7)*OFFSET(ORÇAMENTO!$W$15,ROW(AX654)-ROW(AX$15),0),15-13*ORÇAMENTO!$AF$11)),0)</f>
        <v>0</v>
      </c>
      <c r="AY654" s="545">
        <f ca="1">IF(AND($D654="Serviço",AY$12&lt;&gt;0,$H654&gt;0,OR(AUTOEVENTO&lt;&gt;"manual",$M654&lt;&gt;1)),
IF(Import.TipoArredondamento&lt;&gt;"TransfereGOV",
ROUND(OFFSET($P654,0,AY$13),15-13*ORÇAMENTO!$AF$7)/$H654*OFFSET(ORÇAMENTO!$X$15,ROW(AY654)-ROW(AY$15),0),
ROUND(ROUND(OFFSET($P654,0,AY$13),15-13*ORÇAMENTO!$AF$7)*OFFSET(ORÇAMENTO!$W$15,ROW(AY654)-ROW(AY$15),0),15-13*ORÇAMENTO!$AF$11)),0)</f>
        <v>0</v>
      </c>
      <c r="AZ654" s="545">
        <f ca="1">IF(AND($D654="Serviço",AZ$12&lt;&gt;0,$H654&gt;0,OR(AUTOEVENTO&lt;&gt;"manual",$M654&lt;&gt;1)),
IF(Import.TipoArredondamento&lt;&gt;"TransfereGOV",
ROUND(OFFSET($P654,0,AZ$13),15-13*ORÇAMENTO!$AF$7)/$H654*OFFSET(ORÇAMENTO!$X$15,ROW(AZ654)-ROW(AZ$15),0),
ROUND(ROUND(OFFSET($P654,0,AZ$13),15-13*ORÇAMENTO!$AF$7)*OFFSET(ORÇAMENTO!$W$15,ROW(AZ654)-ROW(AZ$15),0),15-13*ORÇAMENTO!$AF$11)),0)</f>
        <v>0</v>
      </c>
      <c r="BA654" s="546">
        <f ca="1">IF(AND($D654="Serviço",BA$12&lt;&gt;0,$H654&gt;0,OR(AUTOEVENTO&lt;&gt;"manual",$M654&lt;&gt;1)),
IF(Import.TipoArredondamento&lt;&gt;"TransfereGOV",
ROUND(OFFSET($P654,0,BA$13),15-13*ORÇAMENTO!$AF$7)/$H654*OFFSET(ORÇAMENTO!$X$15,ROW(BA654)-ROW(BA$15),0),
ROUND(ROUND(OFFSET($P654,0,BA$13),15-13*ORÇAMENTO!$AF$7)*OFFSET(ORÇAMENTO!$W$15,ROW(BA654)-ROW(BA$15),0),15-13*ORÇAMENTO!$AF$11)),0)</f>
        <v>0</v>
      </c>
      <c r="BC654" s="181">
        <f ca="1">IF($D654&lt;&gt;"Serviço",0,IF(AND(AUTOEVENTO="Manual",$M654=1),0,IF(OFFSET(CRONOPLE!$F$14,$M654,BC$13)="",10^12,OFFSET(CRONOPLE!$F$14,$M654,BC$13))))</f>
        <v>0</v>
      </c>
      <c r="BD654" s="181">
        <f ca="1">IF($D654&lt;&gt;"Serviço",0,IF(AND(AUTOEVENTO="Manual",$M654=1),0,IF(OFFSET(CRONOPLE!$F$14,$M654,BD$13)="",10^12,OFFSET(CRONOPLE!$F$14,$M654,BD$13))))</f>
        <v>0</v>
      </c>
      <c r="BE654" s="181">
        <f ca="1">IF($D654&lt;&gt;"Serviço",0,IF(AND(AUTOEVENTO="Manual",$M654=1),0,IF(OFFSET(CRONOPLE!$F$14,$M654,BE$13)="",10^12,OFFSET(CRONOPLE!$F$14,$M654,BE$13))))</f>
        <v>0</v>
      </c>
      <c r="BF654" s="181">
        <f ca="1">IF($D654&lt;&gt;"Serviço",0,IF(AND(AUTOEVENTO="Manual",$M654=1),0,IF(OFFSET(CRONOPLE!$F$14,$M654,BF$13)="",10^12,OFFSET(CRONOPLE!$F$14,$M654,BF$13))))</f>
        <v>0</v>
      </c>
      <c r="BG654" s="181">
        <f ca="1">IF($D654&lt;&gt;"Serviço",0,IF(AND(AUTOEVENTO="Manual",$M654=1),0,IF(OFFSET(CRONOPLE!$F$14,$M654,BG$13)="",10^12,OFFSET(CRONOPLE!$F$14,$M654,BG$13))))</f>
        <v>0</v>
      </c>
      <c r="BH654" s="181">
        <f ca="1">IF($D654&lt;&gt;"Serviço",0,IF(AND(AUTOEVENTO="Manual",$M654=1),0,IF(OFFSET(CRONOPLE!$F$14,$M654,BH$13)="",10^12,OFFSET(CRONOPLE!$F$14,$M654,BH$13))))</f>
        <v>0</v>
      </c>
      <c r="BI654" s="181">
        <f ca="1">IF($D654&lt;&gt;"Serviço",0,IF(AND(AUTOEVENTO="Manual",$M654=1),0,IF(OFFSET(CRONOPLE!$F$14,$M654,BI$13)="",10^12,OFFSET(CRONOPLE!$F$14,$M654,BI$13))))</f>
        <v>0</v>
      </c>
      <c r="BJ654" s="181">
        <f ca="1">IF($D654&lt;&gt;"Serviço",0,IF(AND(AUTOEVENTO="Manual",$M654=1),0,IF(OFFSET(CRONOPLE!$F$14,$M654,BJ$13)="",10^12,OFFSET(CRONOPLE!$F$14,$M654,BJ$13))))</f>
        <v>0</v>
      </c>
      <c r="BK654" s="181">
        <f ca="1">IF($D654&lt;&gt;"Serviço",0,IF(AND(AUTOEVENTO="Manual",$M654=1),0,IF(OFFSET(CRONOPLE!$F$14,$M654,BK$13)="",10^12,OFFSET(CRONOPLE!$F$14,$M654,BK$13))))</f>
        <v>0</v>
      </c>
      <c r="BL654" s="181">
        <f ca="1">IF($D654&lt;&gt;"Serviço",0,IF(AND(AUTOEVENTO="Manual",$M654=1),0,IF(OFFSET(CRONOPLE!$F$14,$M654,BL$13)="",10^12,OFFSET(CRONOPLE!$F$14,$M654,BL$13))))</f>
        <v>0</v>
      </c>
      <c r="BM654" s="181">
        <f ca="1">IF($D654&lt;&gt;"Serviço",0,IF(AND(AUTOEVENTO="Manual",$M654=1),0,IF(OFFSET(CRONOPLE!$F$14,$M654,BM$13)="",10^12,OFFSET(CRONOPLE!$F$14,$M654,BM$13))))</f>
        <v>0</v>
      </c>
      <c r="BN654" s="181">
        <f ca="1">IF($D654&lt;&gt;"Serviço",0,IF(AND(AUTOEVENTO="Manual",$M654=1),0,IF(OFFSET(CRONOPLE!$F$14,$M654,BN$13)="",10^12,OFFSET(CRONOPLE!$F$14,$M654,BN$13))))</f>
        <v>0</v>
      </c>
      <c r="BO654" s="181">
        <f ca="1">IF($D654&lt;&gt;"Serviço",0,IF(AND(AUTOEVENTO="Manual",$M654=1),0,IF(OFFSET(CRONOPLE!$F$14,$M654,BO$13)="",10^12,OFFSET(CRONOPLE!$F$14,$M654,BO$13))))</f>
        <v>0</v>
      </c>
      <c r="BP654" s="181">
        <f ca="1">IF($D654&lt;&gt;"Serviço",0,IF(AND(AUTOEVENTO="Manual",$M654=1),0,IF(OFFSET(CRONOPLE!$F$14,$M654,BP$13)="",10^12,OFFSET(CRONOPLE!$F$14,$M654,BP$13))))</f>
        <v>0</v>
      </c>
      <c r="BQ654" s="181">
        <f ca="1">IF($D654&lt;&gt;"Serviço",0,IF(AND(AUTOEVENTO="Manual",$M654=1),0,IF(OFFSET(CRONOPLE!$F$14,$M654,BQ$13)="",10^12,OFFSET(CRONOPLE!$F$14,$M654,BQ$13))))</f>
        <v>0</v>
      </c>
      <c r="BR654" s="181">
        <f ca="1">IF($D654&lt;&gt;"Serviço",0,IF(AND(AUTOEVENTO="Manual",$M654=1),0,IF(OFFSET(CRONOPLE!$F$14,$M654,BR$13)="",10^12,OFFSET(CRONOPLE!$F$14,$M654,BR$13))))</f>
        <v>0</v>
      </c>
      <c r="BS654" s="181">
        <f ca="1">IF($D654&lt;&gt;"Serviço",0,IF(AND(AUTOEVENTO="Manual",$M654=1),0,IF(OFFSET(CRONOPLE!$F$14,$M654,BS$13)="",10^12,OFFSET(CRONOPLE!$F$14,$M654,BS$13))))</f>
        <v>0</v>
      </c>
      <c r="BT654" s="181">
        <f ca="1">IF($D654&lt;&gt;"Serviço",0,IF(AND(AUTOEVENTO="Manual",$M654=1),0,IF(OFFSET(CRONOPLE!$F$14,$M654,BT$13)="",10^12,OFFSET(CRONOPLE!$F$14,$M654,BT$13))))</f>
        <v>0</v>
      </c>
      <c r="BV654" s="182">
        <f ca="1">IF($D654&lt;&gt;"Serviço",0,IF(OR(AND(AUTOEVENTO="Manual",$M654=1),$M654&gt;(ROW(PLE.lastrow)-ROW(PLE.firstrow))),0,IF(OFFSET(PLE!$G$14,$M654,BV$13)="",10^12,OFFSET(PLE!$G$14,$M654,BV$13))))</f>
        <v>0</v>
      </c>
      <c r="BW654" s="182">
        <f ca="1">IF($D654&lt;&gt;"Serviço",0,IF(OR(AND(AUTOEVENTO="Manual",$M654=1),$M654&gt;(ROW(PLE.lastrow)-ROW(PLE.firstrow))),0,IF(OFFSET(PLE!$G$14,$M654,BW$13)="",10^12,OFFSET(PLE!$G$14,$M654,BW$13))))</f>
        <v>0</v>
      </c>
      <c r="BX654" s="182">
        <f ca="1">IF($D654&lt;&gt;"Serviço",0,IF(OR(AND(AUTOEVENTO="Manual",$M654=1),$M654&gt;(ROW(PLE.lastrow)-ROW(PLE.firstrow))),0,IF(OFFSET(PLE!$G$14,$M654,BX$13)="",10^12,OFFSET(PLE!$G$14,$M654,BX$13))))</f>
        <v>0</v>
      </c>
      <c r="BY654" s="182">
        <f ca="1">IF($D654&lt;&gt;"Serviço",0,IF(OR(AND(AUTOEVENTO="Manual",$M654=1),$M654&gt;(ROW(PLE.lastrow)-ROW(PLE.firstrow))),0,IF(OFFSET(PLE!$G$14,$M654,BY$13)="",10^12,OFFSET(PLE!$G$14,$M654,BY$13))))</f>
        <v>0</v>
      </c>
      <c r="BZ654" s="182">
        <f ca="1">IF($D654&lt;&gt;"Serviço",0,IF(OR(AND(AUTOEVENTO="Manual",$M654=1),$M654&gt;(ROW(PLE.lastrow)-ROW(PLE.firstrow))),0,IF(OFFSET(PLE!$G$14,$M654,BZ$13)="",10^12,OFFSET(PLE!$G$14,$M654,BZ$13))))</f>
        <v>0</v>
      </c>
      <c r="CA654" s="182">
        <f ca="1">IF($D654&lt;&gt;"Serviço",0,IF(OR(AND(AUTOEVENTO="Manual",$M654=1),$M654&gt;(ROW(PLE.lastrow)-ROW(PLE.firstrow))),0,IF(OFFSET(PLE!$G$14,$M654,CA$13)="",10^12,OFFSET(PLE!$G$14,$M654,CA$13))))</f>
        <v>0</v>
      </c>
      <c r="CB654" s="182">
        <f ca="1">IF($D654&lt;&gt;"Serviço",0,IF(OR(AND(AUTOEVENTO="Manual",$M654=1),$M654&gt;(ROW(PLE.lastrow)-ROW(PLE.firstrow))),0,IF(OFFSET(PLE!$G$14,$M654,CB$13)="",10^12,OFFSET(PLE!$G$14,$M654,CB$13))))</f>
        <v>0</v>
      </c>
      <c r="CC654" s="182">
        <f ca="1">IF($D654&lt;&gt;"Serviço",0,IF(OR(AND(AUTOEVENTO="Manual",$M654=1),$M654&gt;(ROW(PLE.lastrow)-ROW(PLE.firstrow))),0,IF(OFFSET(PLE!$G$14,$M654,CC$13)="",10^12,OFFSET(PLE!$G$14,$M654,CC$13))))</f>
        <v>0</v>
      </c>
      <c r="CD654" s="182">
        <f ca="1">IF($D654&lt;&gt;"Serviço",0,IF(OR(AND(AUTOEVENTO="Manual",$M654=1),$M654&gt;(ROW(PLE.lastrow)-ROW(PLE.firstrow))),0,IF(OFFSET(PLE!$G$14,$M654,CD$13)="",10^12,OFFSET(PLE!$G$14,$M654,CD$13))))</f>
        <v>0</v>
      </c>
      <c r="CE654" s="182">
        <f ca="1">IF($D654&lt;&gt;"Serviço",0,IF(OR(AND(AUTOEVENTO="Manual",$M654=1),$M654&gt;(ROW(PLE.lastrow)-ROW(PLE.firstrow))),0,IF(OFFSET(PLE!$G$14,$M654,CE$13)="",10^12,OFFSET(PLE!$G$14,$M654,CE$13))))</f>
        <v>0</v>
      </c>
      <c r="CF654" s="182">
        <f ca="1">IF($D654&lt;&gt;"Serviço",0,IF(OR(AND(AUTOEVENTO="Manual",$M654=1),$M654&gt;(ROW(PLE.lastrow)-ROW(PLE.firstrow))),0,IF(OFFSET(PLE!$G$14,$M654,CF$13)="",10^12,OFFSET(PLE!$G$14,$M654,CF$13))))</f>
        <v>0</v>
      </c>
      <c r="CG654" s="182">
        <f ca="1">IF($D654&lt;&gt;"Serviço",0,IF(OR(AND(AUTOEVENTO="Manual",$M654=1),$M654&gt;(ROW(PLE.lastrow)-ROW(PLE.firstrow))),0,IF(OFFSET(PLE!$G$14,$M654,CG$13)="",10^12,OFFSET(PLE!$G$14,$M654,CG$13))))</f>
        <v>0</v>
      </c>
      <c r="CH654" s="182">
        <f ca="1">IF($D654&lt;&gt;"Serviço",0,IF(OR(AND(AUTOEVENTO="Manual",$M654=1),$M654&gt;(ROW(PLE.lastrow)-ROW(PLE.firstrow))),0,IF(OFFSET(PLE!$G$14,$M654,CH$13)="",10^12,OFFSET(PLE!$G$14,$M654,CH$13))))</f>
        <v>0</v>
      </c>
      <c r="CI654" s="182">
        <f ca="1">IF($D654&lt;&gt;"Serviço",0,IF(OR(AND(AUTOEVENTO="Manual",$M654=1),$M654&gt;(ROW(PLE.lastrow)-ROW(PLE.firstrow))),0,IF(OFFSET(PLE!$G$14,$M654,CI$13)="",10^12,OFFSET(PLE!$G$14,$M654,CI$13))))</f>
        <v>0</v>
      </c>
      <c r="CJ654" s="182">
        <f ca="1">IF($D654&lt;&gt;"Serviço",0,IF(OR(AND(AUTOEVENTO="Manual",$M654=1),$M654&gt;(ROW(PLE.lastrow)-ROW(PLE.firstrow))),0,IF(OFFSET(PLE!$G$14,$M654,CJ$13)="",10^12,OFFSET(PLE!$G$14,$M654,CJ$13))))</f>
        <v>0</v>
      </c>
      <c r="CK654" s="182">
        <f ca="1">IF($D654&lt;&gt;"Serviço",0,IF(OR(AND(AUTOEVENTO="Manual",$M654=1),$M654&gt;(ROW(PLE.lastrow)-ROW(PLE.firstrow))),0,IF(OFFSET(PLE!$G$14,$M654,CK$13)="",10^12,OFFSET(PLE!$G$14,$M654,CK$13))))</f>
        <v>0</v>
      </c>
      <c r="CL654" s="182">
        <f ca="1">IF($D654&lt;&gt;"Serviço",0,IF(OR(AND(AUTOEVENTO="Manual",$M654=1),$M654&gt;(ROW(PLE.lastrow)-ROW(PLE.firstrow))),0,IF(OFFSET(PLE!$G$14,$M654,CL$13)="",10^12,OFFSET(PLE!$G$14,$M654,CL$13))))</f>
        <v>0</v>
      </c>
      <c r="CM654" s="182">
        <f ca="1">IF($D654&lt;&gt;"Serviço",0,IF(OR(AND(AUTOEVENTO="Manual",$M654=1),$M654&gt;(ROW(PLE.lastrow)-ROW(PLE.firstrow))),0,IF(OFFSET(PLE!$G$14,$M654,CM$13)="",10^12,OFFSET(PLE!$G$14,$M654,CM$13))))</f>
        <v>0</v>
      </c>
    </row>
    <row r="655" spans="1:91" ht="38.25" x14ac:dyDescent="0.2">
      <c r="A655" s="7" t="str">
        <f t="shared" ca="1" si="19"/>
        <v>639</v>
      </c>
      <c r="B655" s="7" t="str">
        <f ca="1">OFFSET(ORÇAMENTO!C$15,ROW(B655)-ROW(B$15),0)</f>
        <v>S</v>
      </c>
      <c r="C655" s="7" t="str">
        <f ca="1">OFFSET(ORÇAMENTO!L$15,ROW(C655)-ROW(C$15),0)</f>
        <v/>
      </c>
      <c r="D655" s="118" t="str">
        <f ca="1">OFFSET(ORÇAMENTO!N$15,ROW(D655)-ROW(D$15),0)</f>
        <v>Serviço</v>
      </c>
      <c r="E655" s="119" t="str">
        <f ca="1">OFFSET(ORÇAMENTO!O$15,ROW(E655)-ROW(E$15),0)</f>
        <v>-</v>
      </c>
      <c r="F655" s="172" t="str">
        <f ca="1">OFFSET(ORÇAMENTO!R$15,ROW(F655)-ROW(F$15),0)</f>
        <v>(abra o arquivo 'Referência 06-2024.xlsm)</v>
      </c>
      <c r="G655" s="173" t="str">
        <f ca="1">IF($D655&lt;&gt;"Serviço","",OFFSET(ORÇAMENTO!S$15,ROW(G655)-ROW(G$15),0))</f>
        <v>-</v>
      </c>
      <c r="H655" s="124">
        <f ca="1">IF($D655&lt;&gt;"Serviço",0,IF(ACOMPANHAMENTO="BM",ROUND(OFFSET(ORÇAMENTO!AJ$15,ROW(H655)-ROW(H$15),0),15-13*ORÇAMENTO!$AF$7),SUMPRODUCT(($Q$12:$AI$12&lt;&gt;"")*ROUND($Q655:$AI655,15-13*ORÇAMENTO!$AF$7))))</f>
        <v>1209.5</v>
      </c>
      <c r="I655" s="561" t="s">
        <v>1107</v>
      </c>
      <c r="K655" s="174"/>
      <c r="L655" s="175" t="s">
        <v>255</v>
      </c>
      <c r="M655" s="176">
        <f ca="1">IF($D655&lt;&gt;"Serviço","",IF(AUTOEVENTO="manual",$A655,IF(ISERROR(MATCH($A655,$A$15:OFFSET($A655,-1,0),0)),MAX($M$15:OFFSET(M655,-1,0))+1,INDEX($M$15:OFFSET(M655,-1,0),MATCH($A655,$A$15:OFFSET($A655,-1,0),0)))))</f>
        <v>70</v>
      </c>
      <c r="N655" s="177" t="str">
        <f ca="1">IF($D655&lt;&gt;"Serviço","",IF(AUTOEVENTO="Manual",IF($A655=0,"&lt;-- defina o número do agrupador",OFFSET(EVENTOS!$D$14,$A655,0)),OFFSET($F$15,$A655,0)))</f>
        <v>INSTALAÇÕES DE CABEAMENTO ESTRUTURADO - CABEAMENTO</v>
      </c>
      <c r="O655" s="178"/>
      <c r="Q655" s="178">
        <v>1209.5</v>
      </c>
      <c r="R655" s="179"/>
      <c r="S655" s="179"/>
      <c r="T655" s="179"/>
      <c r="U655" s="179"/>
      <c r="V655" s="179"/>
      <c r="W655" s="179"/>
      <c r="X655" s="179"/>
      <c r="Y655" s="179"/>
      <c r="Z655" s="180"/>
      <c r="AA655" s="179"/>
      <c r="AB655" s="179"/>
      <c r="AC655" s="179"/>
      <c r="AD655" s="179"/>
      <c r="AE655" s="179"/>
      <c r="AF655" s="179"/>
      <c r="AG655" s="179"/>
      <c r="AH655" s="180"/>
      <c r="AJ655" s="544">
        <f ca="1">IF(AND($D655="Serviço",AJ$12&lt;&gt;0,$H655&gt;0,OR(AUTOEVENTO&lt;&gt;"manual",$M655&lt;&gt;1)),
IF(Import.TipoArredondamento&lt;&gt;"TransfereGOV",
ROUND(OFFSET($P655,0,AJ$13),15-13*ORÇAMENTO!$AF$7)/$H655*OFFSET(ORÇAMENTO!$X$15,ROW(AJ655)-ROW(AJ$15),0),
ROUND(ROUND(OFFSET($P655,0,AJ$13),15-13*ORÇAMENTO!$AF$7)*OFFSET(ORÇAMENTO!$W$15,ROW(AJ655)-ROW(AJ$15),0),15-13*ORÇAMENTO!$AF$11)),0)</f>
        <v>0</v>
      </c>
      <c r="AK655" s="545">
        <f ca="1">IF(AND($D655="Serviço",AK$12&lt;&gt;0,$H655&gt;0,OR(AUTOEVENTO&lt;&gt;"manual",$M655&lt;&gt;1)),
IF(Import.TipoArredondamento&lt;&gt;"TransfereGOV",
ROUND(OFFSET($P655,0,AK$13),15-13*ORÇAMENTO!$AF$7)/$H655*OFFSET(ORÇAMENTO!$X$15,ROW(AK655)-ROW(AK$15),0),
ROUND(ROUND(OFFSET($P655,0,AK$13),15-13*ORÇAMENTO!$AF$7)*OFFSET(ORÇAMENTO!$W$15,ROW(AK655)-ROW(AK$15),0),15-13*ORÇAMENTO!$AF$11)),0)</f>
        <v>0</v>
      </c>
      <c r="AL655" s="545">
        <f ca="1">IF(AND($D655="Serviço",AL$12&lt;&gt;0,$H655&gt;0,OR(AUTOEVENTO&lt;&gt;"manual",$M655&lt;&gt;1)),
IF(Import.TipoArredondamento&lt;&gt;"TransfereGOV",
ROUND(OFFSET($P655,0,AL$13),15-13*ORÇAMENTO!$AF$7)/$H655*OFFSET(ORÇAMENTO!$X$15,ROW(AL655)-ROW(AL$15),0),
ROUND(ROUND(OFFSET($P655,0,AL$13),15-13*ORÇAMENTO!$AF$7)*OFFSET(ORÇAMENTO!$W$15,ROW(AL655)-ROW(AL$15),0),15-13*ORÇAMENTO!$AF$11)),0)</f>
        <v>0</v>
      </c>
      <c r="AM655" s="545">
        <f ca="1">IF(AND($D655="Serviço",AM$12&lt;&gt;0,$H655&gt;0,OR(AUTOEVENTO&lt;&gt;"manual",$M655&lt;&gt;1)),
IF(Import.TipoArredondamento&lt;&gt;"TransfereGOV",
ROUND(OFFSET($P655,0,AM$13),15-13*ORÇAMENTO!$AF$7)/$H655*OFFSET(ORÇAMENTO!$X$15,ROW(AM655)-ROW(AM$15),0),
ROUND(ROUND(OFFSET($P655,0,AM$13),15-13*ORÇAMENTO!$AF$7)*OFFSET(ORÇAMENTO!$W$15,ROW(AM655)-ROW(AM$15),0),15-13*ORÇAMENTO!$AF$11)),0)</f>
        <v>0</v>
      </c>
      <c r="AN655" s="545">
        <f ca="1">IF(AND($D655="Serviço",AN$12&lt;&gt;0,$H655&gt;0,OR(AUTOEVENTO&lt;&gt;"manual",$M655&lt;&gt;1)),
IF(Import.TipoArredondamento&lt;&gt;"TransfereGOV",
ROUND(OFFSET($P655,0,AN$13),15-13*ORÇAMENTO!$AF$7)/$H655*OFFSET(ORÇAMENTO!$X$15,ROW(AN655)-ROW(AN$15),0),
ROUND(ROUND(OFFSET($P655,0,AN$13),15-13*ORÇAMENTO!$AF$7)*OFFSET(ORÇAMENTO!$W$15,ROW(AN655)-ROW(AN$15),0),15-13*ORÇAMENTO!$AF$11)),0)</f>
        <v>0</v>
      </c>
      <c r="AO655" s="545">
        <f ca="1">IF(AND($D655="Serviço",AO$12&lt;&gt;0,$H655&gt;0,OR(AUTOEVENTO&lt;&gt;"manual",$M655&lt;&gt;1)),
IF(Import.TipoArredondamento&lt;&gt;"TransfereGOV",
ROUND(OFFSET($P655,0,AO$13),15-13*ORÇAMENTO!$AF$7)/$H655*OFFSET(ORÇAMENTO!$X$15,ROW(AO655)-ROW(AO$15),0),
ROUND(ROUND(OFFSET($P655,0,AO$13),15-13*ORÇAMENTO!$AF$7)*OFFSET(ORÇAMENTO!$W$15,ROW(AO655)-ROW(AO$15),0),15-13*ORÇAMENTO!$AF$11)),0)</f>
        <v>0</v>
      </c>
      <c r="AP655" s="545">
        <f ca="1">IF(AND($D655="Serviço",AP$12&lt;&gt;0,$H655&gt;0,OR(AUTOEVENTO&lt;&gt;"manual",$M655&lt;&gt;1)),
IF(Import.TipoArredondamento&lt;&gt;"TransfereGOV",
ROUND(OFFSET($P655,0,AP$13),15-13*ORÇAMENTO!$AF$7)/$H655*OFFSET(ORÇAMENTO!$X$15,ROW(AP655)-ROW(AP$15),0),
ROUND(ROUND(OFFSET($P655,0,AP$13),15-13*ORÇAMENTO!$AF$7)*OFFSET(ORÇAMENTO!$W$15,ROW(AP655)-ROW(AP$15),0),15-13*ORÇAMENTO!$AF$11)),0)</f>
        <v>0</v>
      </c>
      <c r="AQ655" s="545">
        <f ca="1">IF(AND($D655="Serviço",AQ$12&lt;&gt;0,$H655&gt;0,OR(AUTOEVENTO&lt;&gt;"manual",$M655&lt;&gt;1)),
IF(Import.TipoArredondamento&lt;&gt;"TransfereGOV",
ROUND(OFFSET($P655,0,AQ$13),15-13*ORÇAMENTO!$AF$7)/$H655*OFFSET(ORÇAMENTO!$X$15,ROW(AQ655)-ROW(AQ$15),0),
ROUND(ROUND(OFFSET($P655,0,AQ$13),15-13*ORÇAMENTO!$AF$7)*OFFSET(ORÇAMENTO!$W$15,ROW(AQ655)-ROW(AQ$15),0),15-13*ORÇAMENTO!$AF$11)),0)</f>
        <v>0</v>
      </c>
      <c r="AR655" s="545">
        <f ca="1">IF(AND($D655="Serviço",AR$12&lt;&gt;0,$H655&gt;0,OR(AUTOEVENTO&lt;&gt;"manual",$M655&lt;&gt;1)),
IF(Import.TipoArredondamento&lt;&gt;"TransfereGOV",
ROUND(OFFSET($P655,0,AR$13),15-13*ORÇAMENTO!$AF$7)/$H655*OFFSET(ORÇAMENTO!$X$15,ROW(AR655)-ROW(AR$15),0),
ROUND(ROUND(OFFSET($P655,0,AR$13),15-13*ORÇAMENTO!$AF$7)*OFFSET(ORÇAMENTO!$W$15,ROW(AR655)-ROW(AR$15),0),15-13*ORÇAMENTO!$AF$11)),0)</f>
        <v>0</v>
      </c>
      <c r="AS655" s="546">
        <f ca="1">IF(AND($D655="Serviço",AS$12&lt;&gt;0,$H655&gt;0,OR(AUTOEVENTO&lt;&gt;"manual",$M655&lt;&gt;1)),
IF(Import.TipoArredondamento&lt;&gt;"TransfereGOV",
ROUND(OFFSET($P655,0,AS$13),15-13*ORÇAMENTO!$AF$7)/$H655*OFFSET(ORÇAMENTO!$X$15,ROW(AS655)-ROW(AS$15),0),
ROUND(ROUND(OFFSET($P655,0,AS$13),15-13*ORÇAMENTO!$AF$7)*OFFSET(ORÇAMENTO!$W$15,ROW(AS655)-ROW(AS$15),0),15-13*ORÇAMENTO!$AF$11)),0)</f>
        <v>0</v>
      </c>
      <c r="AT655" s="545">
        <f ca="1">IF(AND($D655="Serviço",AT$12&lt;&gt;0,$H655&gt;0,OR(AUTOEVENTO&lt;&gt;"manual",$M655&lt;&gt;1)),
IF(Import.TipoArredondamento&lt;&gt;"TransfereGOV",
ROUND(OFFSET($P655,0,AT$13),15-13*ORÇAMENTO!$AF$7)/$H655*OFFSET(ORÇAMENTO!$X$15,ROW(AT655)-ROW(AT$15),0),
ROUND(ROUND(OFFSET($P655,0,AT$13),15-13*ORÇAMENTO!$AF$7)*OFFSET(ORÇAMENTO!$W$15,ROW(AT655)-ROW(AT$15),0),15-13*ORÇAMENTO!$AF$11)),0)</f>
        <v>0</v>
      </c>
      <c r="AU655" s="545">
        <f ca="1">IF(AND($D655="Serviço",AU$12&lt;&gt;0,$H655&gt;0,OR(AUTOEVENTO&lt;&gt;"manual",$M655&lt;&gt;1)),
IF(Import.TipoArredondamento&lt;&gt;"TransfereGOV",
ROUND(OFFSET($P655,0,AU$13),15-13*ORÇAMENTO!$AF$7)/$H655*OFFSET(ORÇAMENTO!$X$15,ROW(AU655)-ROW(AU$15),0),
ROUND(ROUND(OFFSET($P655,0,AU$13),15-13*ORÇAMENTO!$AF$7)*OFFSET(ORÇAMENTO!$W$15,ROW(AU655)-ROW(AU$15),0),15-13*ORÇAMENTO!$AF$11)),0)</f>
        <v>0</v>
      </c>
      <c r="AV655" s="545">
        <f ca="1">IF(AND($D655="Serviço",AV$12&lt;&gt;0,$H655&gt;0,OR(AUTOEVENTO&lt;&gt;"manual",$M655&lt;&gt;1)),
IF(Import.TipoArredondamento&lt;&gt;"TransfereGOV",
ROUND(OFFSET($P655,0,AV$13),15-13*ORÇAMENTO!$AF$7)/$H655*OFFSET(ORÇAMENTO!$X$15,ROW(AV655)-ROW(AV$15),0),
ROUND(ROUND(OFFSET($P655,0,AV$13),15-13*ORÇAMENTO!$AF$7)*OFFSET(ORÇAMENTO!$W$15,ROW(AV655)-ROW(AV$15),0),15-13*ORÇAMENTO!$AF$11)),0)</f>
        <v>0</v>
      </c>
      <c r="AW655" s="545">
        <f ca="1">IF(AND($D655="Serviço",AW$12&lt;&gt;0,$H655&gt;0,OR(AUTOEVENTO&lt;&gt;"manual",$M655&lt;&gt;1)),
IF(Import.TipoArredondamento&lt;&gt;"TransfereGOV",
ROUND(OFFSET($P655,0,AW$13),15-13*ORÇAMENTO!$AF$7)/$H655*OFFSET(ORÇAMENTO!$X$15,ROW(AW655)-ROW(AW$15),0),
ROUND(ROUND(OFFSET($P655,0,AW$13),15-13*ORÇAMENTO!$AF$7)*OFFSET(ORÇAMENTO!$W$15,ROW(AW655)-ROW(AW$15),0),15-13*ORÇAMENTO!$AF$11)),0)</f>
        <v>0</v>
      </c>
      <c r="AX655" s="545">
        <f ca="1">IF(AND($D655="Serviço",AX$12&lt;&gt;0,$H655&gt;0,OR(AUTOEVENTO&lt;&gt;"manual",$M655&lt;&gt;1)),
IF(Import.TipoArredondamento&lt;&gt;"TransfereGOV",
ROUND(OFFSET($P655,0,AX$13),15-13*ORÇAMENTO!$AF$7)/$H655*OFFSET(ORÇAMENTO!$X$15,ROW(AX655)-ROW(AX$15),0),
ROUND(ROUND(OFFSET($P655,0,AX$13),15-13*ORÇAMENTO!$AF$7)*OFFSET(ORÇAMENTO!$W$15,ROW(AX655)-ROW(AX$15),0),15-13*ORÇAMENTO!$AF$11)),0)</f>
        <v>0</v>
      </c>
      <c r="AY655" s="545">
        <f ca="1">IF(AND($D655="Serviço",AY$12&lt;&gt;0,$H655&gt;0,OR(AUTOEVENTO&lt;&gt;"manual",$M655&lt;&gt;1)),
IF(Import.TipoArredondamento&lt;&gt;"TransfereGOV",
ROUND(OFFSET($P655,0,AY$13),15-13*ORÇAMENTO!$AF$7)/$H655*OFFSET(ORÇAMENTO!$X$15,ROW(AY655)-ROW(AY$15),0),
ROUND(ROUND(OFFSET($P655,0,AY$13),15-13*ORÇAMENTO!$AF$7)*OFFSET(ORÇAMENTO!$W$15,ROW(AY655)-ROW(AY$15),0),15-13*ORÇAMENTO!$AF$11)),0)</f>
        <v>0</v>
      </c>
      <c r="AZ655" s="545">
        <f ca="1">IF(AND($D655="Serviço",AZ$12&lt;&gt;0,$H655&gt;0,OR(AUTOEVENTO&lt;&gt;"manual",$M655&lt;&gt;1)),
IF(Import.TipoArredondamento&lt;&gt;"TransfereGOV",
ROUND(OFFSET($P655,0,AZ$13),15-13*ORÇAMENTO!$AF$7)/$H655*OFFSET(ORÇAMENTO!$X$15,ROW(AZ655)-ROW(AZ$15),0),
ROUND(ROUND(OFFSET($P655,0,AZ$13),15-13*ORÇAMENTO!$AF$7)*OFFSET(ORÇAMENTO!$W$15,ROW(AZ655)-ROW(AZ$15),0),15-13*ORÇAMENTO!$AF$11)),0)</f>
        <v>0</v>
      </c>
      <c r="BA655" s="546">
        <f ca="1">IF(AND($D655="Serviço",BA$12&lt;&gt;0,$H655&gt;0,OR(AUTOEVENTO&lt;&gt;"manual",$M655&lt;&gt;1)),
IF(Import.TipoArredondamento&lt;&gt;"TransfereGOV",
ROUND(OFFSET($P655,0,BA$13),15-13*ORÇAMENTO!$AF$7)/$H655*OFFSET(ORÇAMENTO!$X$15,ROW(BA655)-ROW(BA$15),0),
ROUND(ROUND(OFFSET($P655,0,BA$13),15-13*ORÇAMENTO!$AF$7)*OFFSET(ORÇAMENTO!$W$15,ROW(BA655)-ROW(BA$15),0),15-13*ORÇAMENTO!$AF$11)),0)</f>
        <v>0</v>
      </c>
      <c r="BC655" s="181">
        <f ca="1">IF($D655&lt;&gt;"Serviço",0,IF(AND(AUTOEVENTO="Manual",$M655=1),0,IF(OFFSET(CRONOPLE!$F$14,$M655,BC$13)="",10^12,OFFSET(CRONOPLE!$F$14,$M655,BC$13))))</f>
        <v>11</v>
      </c>
      <c r="BD655" s="181">
        <f ca="1">IF($D655&lt;&gt;"Serviço",0,IF(AND(AUTOEVENTO="Manual",$M655=1),0,IF(OFFSET(CRONOPLE!$F$14,$M655,BD$13)="",10^12,OFFSET(CRONOPLE!$F$14,$M655,BD$13))))</f>
        <v>1000000000000</v>
      </c>
      <c r="BE655" s="181">
        <f ca="1">IF($D655&lt;&gt;"Serviço",0,IF(AND(AUTOEVENTO="Manual",$M655=1),0,IF(OFFSET(CRONOPLE!$F$14,$M655,BE$13)="",10^12,OFFSET(CRONOPLE!$F$14,$M655,BE$13))))</f>
        <v>1000000000000</v>
      </c>
      <c r="BF655" s="181">
        <f ca="1">IF($D655&lt;&gt;"Serviço",0,IF(AND(AUTOEVENTO="Manual",$M655=1),0,IF(OFFSET(CRONOPLE!$F$14,$M655,BF$13)="",10^12,OFFSET(CRONOPLE!$F$14,$M655,BF$13))))</f>
        <v>1000000000000</v>
      </c>
      <c r="BG655" s="181">
        <f ca="1">IF($D655&lt;&gt;"Serviço",0,IF(AND(AUTOEVENTO="Manual",$M655=1),0,IF(OFFSET(CRONOPLE!$F$14,$M655,BG$13)="",10^12,OFFSET(CRONOPLE!$F$14,$M655,BG$13))))</f>
        <v>1000000000000</v>
      </c>
      <c r="BH655" s="181">
        <f ca="1">IF($D655&lt;&gt;"Serviço",0,IF(AND(AUTOEVENTO="Manual",$M655=1),0,IF(OFFSET(CRONOPLE!$F$14,$M655,BH$13)="",10^12,OFFSET(CRONOPLE!$F$14,$M655,BH$13))))</f>
        <v>1000000000000</v>
      </c>
      <c r="BI655" s="181">
        <f ca="1">IF($D655&lt;&gt;"Serviço",0,IF(AND(AUTOEVENTO="Manual",$M655=1),0,IF(OFFSET(CRONOPLE!$F$14,$M655,BI$13)="",10^12,OFFSET(CRONOPLE!$F$14,$M655,BI$13))))</f>
        <v>1000000000000</v>
      </c>
      <c r="BJ655" s="181">
        <f ca="1">IF($D655&lt;&gt;"Serviço",0,IF(AND(AUTOEVENTO="Manual",$M655=1),0,IF(OFFSET(CRONOPLE!$F$14,$M655,BJ$13)="",10^12,OFFSET(CRONOPLE!$F$14,$M655,BJ$13))))</f>
        <v>1000000000000</v>
      </c>
      <c r="BK655" s="181">
        <f ca="1">IF($D655&lt;&gt;"Serviço",0,IF(AND(AUTOEVENTO="Manual",$M655=1),0,IF(OFFSET(CRONOPLE!$F$14,$M655,BK$13)="",10^12,OFFSET(CRONOPLE!$F$14,$M655,BK$13))))</f>
        <v>1000000000000</v>
      </c>
      <c r="BL655" s="181">
        <f ca="1">IF($D655&lt;&gt;"Serviço",0,IF(AND(AUTOEVENTO="Manual",$M655=1),0,IF(OFFSET(CRONOPLE!$F$14,$M655,BL$13)="",10^12,OFFSET(CRONOPLE!$F$14,$M655,BL$13))))</f>
        <v>1000000000000</v>
      </c>
      <c r="BM655" s="181">
        <f ca="1">IF($D655&lt;&gt;"Serviço",0,IF(AND(AUTOEVENTO="Manual",$M655=1),0,IF(OFFSET(CRONOPLE!$F$14,$M655,BM$13)="",10^12,OFFSET(CRONOPLE!$F$14,$M655,BM$13))))</f>
        <v>1000000000000</v>
      </c>
      <c r="BN655" s="181">
        <f ca="1">IF($D655&lt;&gt;"Serviço",0,IF(AND(AUTOEVENTO="Manual",$M655=1),0,IF(OFFSET(CRONOPLE!$F$14,$M655,BN$13)="",10^12,OFFSET(CRONOPLE!$F$14,$M655,BN$13))))</f>
        <v>1000000000000</v>
      </c>
      <c r="BO655" s="181">
        <f ca="1">IF($D655&lt;&gt;"Serviço",0,IF(AND(AUTOEVENTO="Manual",$M655=1),0,IF(OFFSET(CRONOPLE!$F$14,$M655,BO$13)="",10^12,OFFSET(CRONOPLE!$F$14,$M655,BO$13))))</f>
        <v>1000000000000</v>
      </c>
      <c r="BP655" s="181">
        <f ca="1">IF($D655&lt;&gt;"Serviço",0,IF(AND(AUTOEVENTO="Manual",$M655=1),0,IF(OFFSET(CRONOPLE!$F$14,$M655,BP$13)="",10^12,OFFSET(CRONOPLE!$F$14,$M655,BP$13))))</f>
        <v>1000000000000</v>
      </c>
      <c r="BQ655" s="181">
        <f ca="1">IF($D655&lt;&gt;"Serviço",0,IF(AND(AUTOEVENTO="Manual",$M655=1),0,IF(OFFSET(CRONOPLE!$F$14,$M655,BQ$13)="",10^12,OFFSET(CRONOPLE!$F$14,$M655,BQ$13))))</f>
        <v>1000000000000</v>
      </c>
      <c r="BR655" s="181">
        <f ca="1">IF($D655&lt;&gt;"Serviço",0,IF(AND(AUTOEVENTO="Manual",$M655=1),0,IF(OFFSET(CRONOPLE!$F$14,$M655,BR$13)="",10^12,OFFSET(CRONOPLE!$F$14,$M655,BR$13))))</f>
        <v>1000000000000</v>
      </c>
      <c r="BS655" s="181">
        <f ca="1">IF($D655&lt;&gt;"Serviço",0,IF(AND(AUTOEVENTO="Manual",$M655=1),0,IF(OFFSET(CRONOPLE!$F$14,$M655,BS$13)="",10^12,OFFSET(CRONOPLE!$F$14,$M655,BS$13))))</f>
        <v>1000000000000</v>
      </c>
      <c r="BT655" s="181">
        <f ca="1">IF($D655&lt;&gt;"Serviço",0,IF(AND(AUTOEVENTO="Manual",$M655=1),0,IF(OFFSET(CRONOPLE!$F$14,$M655,BT$13)="",10^12,OFFSET(CRONOPLE!$F$14,$M655,BT$13))))</f>
        <v>1000000000000</v>
      </c>
      <c r="BV655" s="182">
        <f ca="1">IF($D655&lt;&gt;"Serviço",0,IF(OR(AND(AUTOEVENTO="Manual",$M655=1),$M655&gt;(ROW(PLE.lastrow)-ROW(PLE.firstrow))),0,IF(OFFSET(PLE!$G$14,$M655,BV$13)="",10^12,OFFSET(PLE!$G$14,$M655,BV$13))))</f>
        <v>1000000000000</v>
      </c>
      <c r="BW655" s="182">
        <f ca="1">IF($D655&lt;&gt;"Serviço",0,IF(OR(AND(AUTOEVENTO="Manual",$M655=1),$M655&gt;(ROW(PLE.lastrow)-ROW(PLE.firstrow))),0,IF(OFFSET(PLE!$G$14,$M655,BW$13)="",10^12,OFFSET(PLE!$G$14,$M655,BW$13))))</f>
        <v>1000000000000</v>
      </c>
      <c r="BX655" s="182">
        <f ca="1">IF($D655&lt;&gt;"Serviço",0,IF(OR(AND(AUTOEVENTO="Manual",$M655=1),$M655&gt;(ROW(PLE.lastrow)-ROW(PLE.firstrow))),0,IF(OFFSET(PLE!$G$14,$M655,BX$13)="",10^12,OFFSET(PLE!$G$14,$M655,BX$13))))</f>
        <v>1000000000000</v>
      </c>
      <c r="BY655" s="182">
        <f ca="1">IF($D655&lt;&gt;"Serviço",0,IF(OR(AND(AUTOEVENTO="Manual",$M655=1),$M655&gt;(ROW(PLE.lastrow)-ROW(PLE.firstrow))),0,IF(OFFSET(PLE!$G$14,$M655,BY$13)="",10^12,OFFSET(PLE!$G$14,$M655,BY$13))))</f>
        <v>1000000000000</v>
      </c>
      <c r="BZ655" s="182">
        <f ca="1">IF($D655&lt;&gt;"Serviço",0,IF(OR(AND(AUTOEVENTO="Manual",$M655=1),$M655&gt;(ROW(PLE.lastrow)-ROW(PLE.firstrow))),0,IF(OFFSET(PLE!$G$14,$M655,BZ$13)="",10^12,OFFSET(PLE!$G$14,$M655,BZ$13))))</f>
        <v>1000000000000</v>
      </c>
      <c r="CA655" s="182">
        <f ca="1">IF($D655&lt;&gt;"Serviço",0,IF(OR(AND(AUTOEVENTO="Manual",$M655=1),$M655&gt;(ROW(PLE.lastrow)-ROW(PLE.firstrow))),0,IF(OFFSET(PLE!$G$14,$M655,CA$13)="",10^12,OFFSET(PLE!$G$14,$M655,CA$13))))</f>
        <v>1000000000000</v>
      </c>
      <c r="CB655" s="182">
        <f ca="1">IF($D655&lt;&gt;"Serviço",0,IF(OR(AND(AUTOEVENTO="Manual",$M655=1),$M655&gt;(ROW(PLE.lastrow)-ROW(PLE.firstrow))),0,IF(OFFSET(PLE!$G$14,$M655,CB$13)="",10^12,OFFSET(PLE!$G$14,$M655,CB$13))))</f>
        <v>1000000000000</v>
      </c>
      <c r="CC655" s="182">
        <f ca="1">IF($D655&lt;&gt;"Serviço",0,IF(OR(AND(AUTOEVENTO="Manual",$M655=1),$M655&gt;(ROW(PLE.lastrow)-ROW(PLE.firstrow))),0,IF(OFFSET(PLE!$G$14,$M655,CC$13)="",10^12,OFFSET(PLE!$G$14,$M655,CC$13))))</f>
        <v>1000000000000</v>
      </c>
      <c r="CD655" s="182">
        <f ca="1">IF($D655&lt;&gt;"Serviço",0,IF(OR(AND(AUTOEVENTO="Manual",$M655=1),$M655&gt;(ROW(PLE.lastrow)-ROW(PLE.firstrow))),0,IF(OFFSET(PLE!$G$14,$M655,CD$13)="",10^12,OFFSET(PLE!$G$14,$M655,CD$13))))</f>
        <v>1000000000000</v>
      </c>
      <c r="CE655" s="182">
        <f ca="1">IF($D655&lt;&gt;"Serviço",0,IF(OR(AND(AUTOEVENTO="Manual",$M655=1),$M655&gt;(ROW(PLE.lastrow)-ROW(PLE.firstrow))),0,IF(OFFSET(PLE!$G$14,$M655,CE$13)="",10^12,OFFSET(PLE!$G$14,$M655,CE$13))))</f>
        <v>1000000000000</v>
      </c>
      <c r="CF655" s="182">
        <f ca="1">IF($D655&lt;&gt;"Serviço",0,IF(OR(AND(AUTOEVENTO="Manual",$M655=1),$M655&gt;(ROW(PLE.lastrow)-ROW(PLE.firstrow))),0,IF(OFFSET(PLE!$G$14,$M655,CF$13)="",10^12,OFFSET(PLE!$G$14,$M655,CF$13))))</f>
        <v>1000000000000</v>
      </c>
      <c r="CG655" s="182">
        <f ca="1">IF($D655&lt;&gt;"Serviço",0,IF(OR(AND(AUTOEVENTO="Manual",$M655=1),$M655&gt;(ROW(PLE.lastrow)-ROW(PLE.firstrow))),0,IF(OFFSET(PLE!$G$14,$M655,CG$13)="",10^12,OFFSET(PLE!$G$14,$M655,CG$13))))</f>
        <v>1000000000000</v>
      </c>
      <c r="CH655" s="182">
        <f ca="1">IF($D655&lt;&gt;"Serviço",0,IF(OR(AND(AUTOEVENTO="Manual",$M655=1),$M655&gt;(ROW(PLE.lastrow)-ROW(PLE.firstrow))),0,IF(OFFSET(PLE!$G$14,$M655,CH$13)="",10^12,OFFSET(PLE!$G$14,$M655,CH$13))))</f>
        <v>1000000000000</v>
      </c>
      <c r="CI655" s="182">
        <f ca="1">IF($D655&lt;&gt;"Serviço",0,IF(OR(AND(AUTOEVENTO="Manual",$M655=1),$M655&gt;(ROW(PLE.lastrow)-ROW(PLE.firstrow))),0,IF(OFFSET(PLE!$G$14,$M655,CI$13)="",10^12,OFFSET(PLE!$G$14,$M655,CI$13))))</f>
        <v>1000000000000</v>
      </c>
      <c r="CJ655" s="182">
        <f ca="1">IF($D655&lt;&gt;"Serviço",0,IF(OR(AND(AUTOEVENTO="Manual",$M655=1),$M655&gt;(ROW(PLE.lastrow)-ROW(PLE.firstrow))),0,IF(OFFSET(PLE!$G$14,$M655,CJ$13)="",10^12,OFFSET(PLE!$G$14,$M655,CJ$13))))</f>
        <v>1000000000000</v>
      </c>
      <c r="CK655" s="182">
        <f ca="1">IF($D655&lt;&gt;"Serviço",0,IF(OR(AND(AUTOEVENTO="Manual",$M655=1),$M655&gt;(ROW(PLE.lastrow)-ROW(PLE.firstrow))),0,IF(OFFSET(PLE!$G$14,$M655,CK$13)="",10^12,OFFSET(PLE!$G$14,$M655,CK$13))))</f>
        <v>1000000000000</v>
      </c>
      <c r="CL655" s="182">
        <f ca="1">IF($D655&lt;&gt;"Serviço",0,IF(OR(AND(AUTOEVENTO="Manual",$M655=1),$M655&gt;(ROW(PLE.lastrow)-ROW(PLE.firstrow))),0,IF(OFFSET(PLE!$G$14,$M655,CL$13)="",10^12,OFFSET(PLE!$G$14,$M655,CL$13))))</f>
        <v>1000000000000</v>
      </c>
      <c r="CM655" s="182">
        <f ca="1">IF($D655&lt;&gt;"Serviço",0,IF(OR(AND(AUTOEVENTO="Manual",$M655=1),$M655&gt;(ROW(PLE.lastrow)-ROW(PLE.firstrow))),0,IF(OFFSET(PLE!$G$14,$M655,CM$13)="",10^12,OFFSET(PLE!$G$14,$M655,CM$13))))</f>
        <v>1000000000000</v>
      </c>
    </row>
    <row r="656" spans="1:91" ht="12.75" x14ac:dyDescent="0.2">
      <c r="A656" s="7" t="str">
        <f t="shared" ca="1" si="19"/>
        <v>641.</v>
      </c>
      <c r="B656" s="7">
        <f ca="1">OFFSET(ORÇAMENTO!C$15,ROW(B656)-ROW(B$15),0)</f>
        <v>2</v>
      </c>
      <c r="C656" s="7" t="str">
        <f ca="1">OFFSET(ORÇAMENTO!L$15,ROW(C656)-ROW(C$15),0)</f>
        <v>F</v>
      </c>
      <c r="D656" s="118" t="str">
        <f ca="1">OFFSET(ORÇAMENTO!N$15,ROW(D656)-ROW(D$15),0)</f>
        <v>Nível 2</v>
      </c>
      <c r="E656" s="119" t="str">
        <f ca="1">OFFSET(ORÇAMENTO!O$15,ROW(E656)-ROW(E$15),0)</f>
        <v>1.70.</v>
      </c>
      <c r="F656" s="172" t="str">
        <f ca="1">OFFSET(ORÇAMENTO!R$15,ROW(F656)-ROW(F$15),0)</f>
        <v>SISTEMA DE EXAUSTÃO MECÂNICA</v>
      </c>
      <c r="G656" s="173" t="str">
        <f ca="1">IF($D656&lt;&gt;"Serviço","",OFFSET(ORÇAMENTO!S$15,ROW(G656)-ROW(G$15),0))</f>
        <v/>
      </c>
      <c r="H656" s="124">
        <f ca="1">IF($D656&lt;&gt;"Serviço",0,IF(ACOMPANHAMENTO="BM",ROUND(OFFSET(ORÇAMENTO!AJ$15,ROW(H656)-ROW(H$15),0),15-13*ORÇAMENTO!$AF$7),SUMPRODUCT(($Q$12:$AI$12&lt;&gt;"")*ROUND($Q656:$AI656,15-13*ORÇAMENTO!$AF$7))))</f>
        <v>0</v>
      </c>
      <c r="I656" s="561"/>
      <c r="K656" s="174"/>
      <c r="L656" s="175" t="s">
        <v>255</v>
      </c>
      <c r="M656" s="176" t="str">
        <f ca="1">IF($D656&lt;&gt;"Serviço","",IF(AUTOEVENTO="manual",$A656,IF(ISERROR(MATCH($A656,$A$15:OFFSET($A656,-1,0),0)),MAX($M$15:OFFSET(M656,-1,0))+1,INDEX($M$15:OFFSET(M656,-1,0),MATCH($A656,$A$15:OFFSET($A656,-1,0),0)))))</f>
        <v/>
      </c>
      <c r="N656" s="177" t="str">
        <f ca="1">IF($D656&lt;&gt;"Serviço","",IF(AUTOEVENTO="Manual",IF($A656=0,"&lt;-- defina o número do agrupador",OFFSET(EVENTOS!$D$14,$A656,0)),OFFSET($F$15,$A656,0)))</f>
        <v/>
      </c>
      <c r="O656" s="178"/>
      <c r="Q656" s="178">
        <v>0</v>
      </c>
      <c r="R656" s="179"/>
      <c r="S656" s="179"/>
      <c r="T656" s="179"/>
      <c r="U656" s="179"/>
      <c r="V656" s="179"/>
      <c r="W656" s="179"/>
      <c r="X656" s="179"/>
      <c r="Y656" s="179"/>
      <c r="Z656" s="180"/>
      <c r="AA656" s="179"/>
      <c r="AB656" s="179"/>
      <c r="AC656" s="179"/>
      <c r="AD656" s="179"/>
      <c r="AE656" s="179"/>
      <c r="AF656" s="179"/>
      <c r="AG656" s="179"/>
      <c r="AH656" s="180"/>
      <c r="AJ656" s="544">
        <f ca="1">IF(AND($D656="Serviço",AJ$12&lt;&gt;0,$H656&gt;0,OR(AUTOEVENTO&lt;&gt;"manual",$M656&lt;&gt;1)),
IF(Import.TipoArredondamento&lt;&gt;"TransfereGOV",
ROUND(OFFSET($P656,0,AJ$13),15-13*ORÇAMENTO!$AF$7)/$H656*OFFSET(ORÇAMENTO!$X$15,ROW(AJ656)-ROW(AJ$15),0),
ROUND(ROUND(OFFSET($P656,0,AJ$13),15-13*ORÇAMENTO!$AF$7)*OFFSET(ORÇAMENTO!$W$15,ROW(AJ656)-ROW(AJ$15),0),15-13*ORÇAMENTO!$AF$11)),0)</f>
        <v>0</v>
      </c>
      <c r="AK656" s="545">
        <f ca="1">IF(AND($D656="Serviço",AK$12&lt;&gt;0,$H656&gt;0,OR(AUTOEVENTO&lt;&gt;"manual",$M656&lt;&gt;1)),
IF(Import.TipoArredondamento&lt;&gt;"TransfereGOV",
ROUND(OFFSET($P656,0,AK$13),15-13*ORÇAMENTO!$AF$7)/$H656*OFFSET(ORÇAMENTO!$X$15,ROW(AK656)-ROW(AK$15),0),
ROUND(ROUND(OFFSET($P656,0,AK$13),15-13*ORÇAMENTO!$AF$7)*OFFSET(ORÇAMENTO!$W$15,ROW(AK656)-ROW(AK$15),0),15-13*ORÇAMENTO!$AF$11)),0)</f>
        <v>0</v>
      </c>
      <c r="AL656" s="545">
        <f ca="1">IF(AND($D656="Serviço",AL$12&lt;&gt;0,$H656&gt;0,OR(AUTOEVENTO&lt;&gt;"manual",$M656&lt;&gt;1)),
IF(Import.TipoArredondamento&lt;&gt;"TransfereGOV",
ROUND(OFFSET($P656,0,AL$13),15-13*ORÇAMENTO!$AF$7)/$H656*OFFSET(ORÇAMENTO!$X$15,ROW(AL656)-ROW(AL$15),0),
ROUND(ROUND(OFFSET($P656,0,AL$13),15-13*ORÇAMENTO!$AF$7)*OFFSET(ORÇAMENTO!$W$15,ROW(AL656)-ROW(AL$15),0),15-13*ORÇAMENTO!$AF$11)),0)</f>
        <v>0</v>
      </c>
      <c r="AM656" s="545">
        <f ca="1">IF(AND($D656="Serviço",AM$12&lt;&gt;0,$H656&gt;0,OR(AUTOEVENTO&lt;&gt;"manual",$M656&lt;&gt;1)),
IF(Import.TipoArredondamento&lt;&gt;"TransfereGOV",
ROUND(OFFSET($P656,0,AM$13),15-13*ORÇAMENTO!$AF$7)/$H656*OFFSET(ORÇAMENTO!$X$15,ROW(AM656)-ROW(AM$15),0),
ROUND(ROUND(OFFSET($P656,0,AM$13),15-13*ORÇAMENTO!$AF$7)*OFFSET(ORÇAMENTO!$W$15,ROW(AM656)-ROW(AM$15),0),15-13*ORÇAMENTO!$AF$11)),0)</f>
        <v>0</v>
      </c>
      <c r="AN656" s="545">
        <f ca="1">IF(AND($D656="Serviço",AN$12&lt;&gt;0,$H656&gt;0,OR(AUTOEVENTO&lt;&gt;"manual",$M656&lt;&gt;1)),
IF(Import.TipoArredondamento&lt;&gt;"TransfereGOV",
ROUND(OFFSET($P656,0,AN$13),15-13*ORÇAMENTO!$AF$7)/$H656*OFFSET(ORÇAMENTO!$X$15,ROW(AN656)-ROW(AN$15),0),
ROUND(ROUND(OFFSET($P656,0,AN$13),15-13*ORÇAMENTO!$AF$7)*OFFSET(ORÇAMENTO!$W$15,ROW(AN656)-ROW(AN$15),0),15-13*ORÇAMENTO!$AF$11)),0)</f>
        <v>0</v>
      </c>
      <c r="AO656" s="545">
        <f ca="1">IF(AND($D656="Serviço",AO$12&lt;&gt;0,$H656&gt;0,OR(AUTOEVENTO&lt;&gt;"manual",$M656&lt;&gt;1)),
IF(Import.TipoArredondamento&lt;&gt;"TransfereGOV",
ROUND(OFFSET($P656,0,AO$13),15-13*ORÇAMENTO!$AF$7)/$H656*OFFSET(ORÇAMENTO!$X$15,ROW(AO656)-ROW(AO$15),0),
ROUND(ROUND(OFFSET($P656,0,AO$13),15-13*ORÇAMENTO!$AF$7)*OFFSET(ORÇAMENTO!$W$15,ROW(AO656)-ROW(AO$15),0),15-13*ORÇAMENTO!$AF$11)),0)</f>
        <v>0</v>
      </c>
      <c r="AP656" s="545">
        <f ca="1">IF(AND($D656="Serviço",AP$12&lt;&gt;0,$H656&gt;0,OR(AUTOEVENTO&lt;&gt;"manual",$M656&lt;&gt;1)),
IF(Import.TipoArredondamento&lt;&gt;"TransfereGOV",
ROUND(OFFSET($P656,0,AP$13),15-13*ORÇAMENTO!$AF$7)/$H656*OFFSET(ORÇAMENTO!$X$15,ROW(AP656)-ROW(AP$15),0),
ROUND(ROUND(OFFSET($P656,0,AP$13),15-13*ORÇAMENTO!$AF$7)*OFFSET(ORÇAMENTO!$W$15,ROW(AP656)-ROW(AP$15),0),15-13*ORÇAMENTO!$AF$11)),0)</f>
        <v>0</v>
      </c>
      <c r="AQ656" s="545">
        <f ca="1">IF(AND($D656="Serviço",AQ$12&lt;&gt;0,$H656&gt;0,OR(AUTOEVENTO&lt;&gt;"manual",$M656&lt;&gt;1)),
IF(Import.TipoArredondamento&lt;&gt;"TransfereGOV",
ROUND(OFFSET($P656,0,AQ$13),15-13*ORÇAMENTO!$AF$7)/$H656*OFFSET(ORÇAMENTO!$X$15,ROW(AQ656)-ROW(AQ$15),0),
ROUND(ROUND(OFFSET($P656,0,AQ$13),15-13*ORÇAMENTO!$AF$7)*OFFSET(ORÇAMENTO!$W$15,ROW(AQ656)-ROW(AQ$15),0),15-13*ORÇAMENTO!$AF$11)),0)</f>
        <v>0</v>
      </c>
      <c r="AR656" s="545">
        <f ca="1">IF(AND($D656="Serviço",AR$12&lt;&gt;0,$H656&gt;0,OR(AUTOEVENTO&lt;&gt;"manual",$M656&lt;&gt;1)),
IF(Import.TipoArredondamento&lt;&gt;"TransfereGOV",
ROUND(OFFSET($P656,0,AR$13),15-13*ORÇAMENTO!$AF$7)/$H656*OFFSET(ORÇAMENTO!$X$15,ROW(AR656)-ROW(AR$15),0),
ROUND(ROUND(OFFSET($P656,0,AR$13),15-13*ORÇAMENTO!$AF$7)*OFFSET(ORÇAMENTO!$W$15,ROW(AR656)-ROW(AR$15),0),15-13*ORÇAMENTO!$AF$11)),0)</f>
        <v>0</v>
      </c>
      <c r="AS656" s="546">
        <f ca="1">IF(AND($D656="Serviço",AS$12&lt;&gt;0,$H656&gt;0,OR(AUTOEVENTO&lt;&gt;"manual",$M656&lt;&gt;1)),
IF(Import.TipoArredondamento&lt;&gt;"TransfereGOV",
ROUND(OFFSET($P656,0,AS$13),15-13*ORÇAMENTO!$AF$7)/$H656*OFFSET(ORÇAMENTO!$X$15,ROW(AS656)-ROW(AS$15),0),
ROUND(ROUND(OFFSET($P656,0,AS$13),15-13*ORÇAMENTO!$AF$7)*OFFSET(ORÇAMENTO!$W$15,ROW(AS656)-ROW(AS$15),0),15-13*ORÇAMENTO!$AF$11)),0)</f>
        <v>0</v>
      </c>
      <c r="AT656" s="545">
        <f ca="1">IF(AND($D656="Serviço",AT$12&lt;&gt;0,$H656&gt;0,OR(AUTOEVENTO&lt;&gt;"manual",$M656&lt;&gt;1)),
IF(Import.TipoArredondamento&lt;&gt;"TransfereGOV",
ROUND(OFFSET($P656,0,AT$13),15-13*ORÇAMENTO!$AF$7)/$H656*OFFSET(ORÇAMENTO!$X$15,ROW(AT656)-ROW(AT$15),0),
ROUND(ROUND(OFFSET($P656,0,AT$13),15-13*ORÇAMENTO!$AF$7)*OFFSET(ORÇAMENTO!$W$15,ROW(AT656)-ROW(AT$15),0),15-13*ORÇAMENTO!$AF$11)),0)</f>
        <v>0</v>
      </c>
      <c r="AU656" s="545">
        <f ca="1">IF(AND($D656="Serviço",AU$12&lt;&gt;0,$H656&gt;0,OR(AUTOEVENTO&lt;&gt;"manual",$M656&lt;&gt;1)),
IF(Import.TipoArredondamento&lt;&gt;"TransfereGOV",
ROUND(OFFSET($P656,0,AU$13),15-13*ORÇAMENTO!$AF$7)/$H656*OFFSET(ORÇAMENTO!$X$15,ROW(AU656)-ROW(AU$15),0),
ROUND(ROUND(OFFSET($P656,0,AU$13),15-13*ORÇAMENTO!$AF$7)*OFFSET(ORÇAMENTO!$W$15,ROW(AU656)-ROW(AU$15),0),15-13*ORÇAMENTO!$AF$11)),0)</f>
        <v>0</v>
      </c>
      <c r="AV656" s="545">
        <f ca="1">IF(AND($D656="Serviço",AV$12&lt;&gt;0,$H656&gt;0,OR(AUTOEVENTO&lt;&gt;"manual",$M656&lt;&gt;1)),
IF(Import.TipoArredondamento&lt;&gt;"TransfereGOV",
ROUND(OFFSET($P656,0,AV$13),15-13*ORÇAMENTO!$AF$7)/$H656*OFFSET(ORÇAMENTO!$X$15,ROW(AV656)-ROW(AV$15),0),
ROUND(ROUND(OFFSET($P656,0,AV$13),15-13*ORÇAMENTO!$AF$7)*OFFSET(ORÇAMENTO!$W$15,ROW(AV656)-ROW(AV$15),0),15-13*ORÇAMENTO!$AF$11)),0)</f>
        <v>0</v>
      </c>
      <c r="AW656" s="545">
        <f ca="1">IF(AND($D656="Serviço",AW$12&lt;&gt;0,$H656&gt;0,OR(AUTOEVENTO&lt;&gt;"manual",$M656&lt;&gt;1)),
IF(Import.TipoArredondamento&lt;&gt;"TransfereGOV",
ROUND(OFFSET($P656,0,AW$13),15-13*ORÇAMENTO!$AF$7)/$H656*OFFSET(ORÇAMENTO!$X$15,ROW(AW656)-ROW(AW$15),0),
ROUND(ROUND(OFFSET($P656,0,AW$13),15-13*ORÇAMENTO!$AF$7)*OFFSET(ORÇAMENTO!$W$15,ROW(AW656)-ROW(AW$15),0),15-13*ORÇAMENTO!$AF$11)),0)</f>
        <v>0</v>
      </c>
      <c r="AX656" s="545">
        <f ca="1">IF(AND($D656="Serviço",AX$12&lt;&gt;0,$H656&gt;0,OR(AUTOEVENTO&lt;&gt;"manual",$M656&lt;&gt;1)),
IF(Import.TipoArredondamento&lt;&gt;"TransfereGOV",
ROUND(OFFSET($P656,0,AX$13),15-13*ORÇAMENTO!$AF$7)/$H656*OFFSET(ORÇAMENTO!$X$15,ROW(AX656)-ROW(AX$15),0),
ROUND(ROUND(OFFSET($P656,0,AX$13),15-13*ORÇAMENTO!$AF$7)*OFFSET(ORÇAMENTO!$W$15,ROW(AX656)-ROW(AX$15),0),15-13*ORÇAMENTO!$AF$11)),0)</f>
        <v>0</v>
      </c>
      <c r="AY656" s="545">
        <f ca="1">IF(AND($D656="Serviço",AY$12&lt;&gt;0,$H656&gt;0,OR(AUTOEVENTO&lt;&gt;"manual",$M656&lt;&gt;1)),
IF(Import.TipoArredondamento&lt;&gt;"TransfereGOV",
ROUND(OFFSET($P656,0,AY$13),15-13*ORÇAMENTO!$AF$7)/$H656*OFFSET(ORÇAMENTO!$X$15,ROW(AY656)-ROW(AY$15),0),
ROUND(ROUND(OFFSET($P656,0,AY$13),15-13*ORÇAMENTO!$AF$7)*OFFSET(ORÇAMENTO!$W$15,ROW(AY656)-ROW(AY$15),0),15-13*ORÇAMENTO!$AF$11)),0)</f>
        <v>0</v>
      </c>
      <c r="AZ656" s="545">
        <f ca="1">IF(AND($D656="Serviço",AZ$12&lt;&gt;0,$H656&gt;0,OR(AUTOEVENTO&lt;&gt;"manual",$M656&lt;&gt;1)),
IF(Import.TipoArredondamento&lt;&gt;"TransfereGOV",
ROUND(OFFSET($P656,0,AZ$13),15-13*ORÇAMENTO!$AF$7)/$H656*OFFSET(ORÇAMENTO!$X$15,ROW(AZ656)-ROW(AZ$15),0),
ROUND(ROUND(OFFSET($P656,0,AZ$13),15-13*ORÇAMENTO!$AF$7)*OFFSET(ORÇAMENTO!$W$15,ROW(AZ656)-ROW(AZ$15),0),15-13*ORÇAMENTO!$AF$11)),0)</f>
        <v>0</v>
      </c>
      <c r="BA656" s="546">
        <f ca="1">IF(AND($D656="Serviço",BA$12&lt;&gt;0,$H656&gt;0,OR(AUTOEVENTO&lt;&gt;"manual",$M656&lt;&gt;1)),
IF(Import.TipoArredondamento&lt;&gt;"TransfereGOV",
ROUND(OFFSET($P656,0,BA$13),15-13*ORÇAMENTO!$AF$7)/$H656*OFFSET(ORÇAMENTO!$X$15,ROW(BA656)-ROW(BA$15),0),
ROUND(ROUND(OFFSET($P656,0,BA$13),15-13*ORÇAMENTO!$AF$7)*OFFSET(ORÇAMENTO!$W$15,ROW(BA656)-ROW(BA$15),0),15-13*ORÇAMENTO!$AF$11)),0)</f>
        <v>0</v>
      </c>
      <c r="BC656" s="181">
        <f ca="1">IF($D656&lt;&gt;"Serviço",0,IF(AND(AUTOEVENTO="Manual",$M656=1),0,IF(OFFSET(CRONOPLE!$F$14,$M656,BC$13)="",10^12,OFFSET(CRONOPLE!$F$14,$M656,BC$13))))</f>
        <v>0</v>
      </c>
      <c r="BD656" s="181">
        <f ca="1">IF($D656&lt;&gt;"Serviço",0,IF(AND(AUTOEVENTO="Manual",$M656=1),0,IF(OFFSET(CRONOPLE!$F$14,$M656,BD$13)="",10^12,OFFSET(CRONOPLE!$F$14,$M656,BD$13))))</f>
        <v>0</v>
      </c>
      <c r="BE656" s="181">
        <f ca="1">IF($D656&lt;&gt;"Serviço",0,IF(AND(AUTOEVENTO="Manual",$M656=1),0,IF(OFFSET(CRONOPLE!$F$14,$M656,BE$13)="",10^12,OFFSET(CRONOPLE!$F$14,$M656,BE$13))))</f>
        <v>0</v>
      </c>
      <c r="BF656" s="181">
        <f ca="1">IF($D656&lt;&gt;"Serviço",0,IF(AND(AUTOEVENTO="Manual",$M656=1),0,IF(OFFSET(CRONOPLE!$F$14,$M656,BF$13)="",10^12,OFFSET(CRONOPLE!$F$14,$M656,BF$13))))</f>
        <v>0</v>
      </c>
      <c r="BG656" s="181">
        <f ca="1">IF($D656&lt;&gt;"Serviço",0,IF(AND(AUTOEVENTO="Manual",$M656=1),0,IF(OFFSET(CRONOPLE!$F$14,$M656,BG$13)="",10^12,OFFSET(CRONOPLE!$F$14,$M656,BG$13))))</f>
        <v>0</v>
      </c>
      <c r="BH656" s="181">
        <f ca="1">IF($D656&lt;&gt;"Serviço",0,IF(AND(AUTOEVENTO="Manual",$M656=1),0,IF(OFFSET(CRONOPLE!$F$14,$M656,BH$13)="",10^12,OFFSET(CRONOPLE!$F$14,$M656,BH$13))))</f>
        <v>0</v>
      </c>
      <c r="BI656" s="181">
        <f ca="1">IF($D656&lt;&gt;"Serviço",0,IF(AND(AUTOEVENTO="Manual",$M656=1),0,IF(OFFSET(CRONOPLE!$F$14,$M656,BI$13)="",10^12,OFFSET(CRONOPLE!$F$14,$M656,BI$13))))</f>
        <v>0</v>
      </c>
      <c r="BJ656" s="181">
        <f ca="1">IF($D656&lt;&gt;"Serviço",0,IF(AND(AUTOEVENTO="Manual",$M656=1),0,IF(OFFSET(CRONOPLE!$F$14,$M656,BJ$13)="",10^12,OFFSET(CRONOPLE!$F$14,$M656,BJ$13))))</f>
        <v>0</v>
      </c>
      <c r="BK656" s="181">
        <f ca="1">IF($D656&lt;&gt;"Serviço",0,IF(AND(AUTOEVENTO="Manual",$M656=1),0,IF(OFFSET(CRONOPLE!$F$14,$M656,BK$13)="",10^12,OFFSET(CRONOPLE!$F$14,$M656,BK$13))))</f>
        <v>0</v>
      </c>
      <c r="BL656" s="181">
        <f ca="1">IF($D656&lt;&gt;"Serviço",0,IF(AND(AUTOEVENTO="Manual",$M656=1),0,IF(OFFSET(CRONOPLE!$F$14,$M656,BL$13)="",10^12,OFFSET(CRONOPLE!$F$14,$M656,BL$13))))</f>
        <v>0</v>
      </c>
      <c r="BM656" s="181">
        <f ca="1">IF($D656&lt;&gt;"Serviço",0,IF(AND(AUTOEVENTO="Manual",$M656=1),0,IF(OFFSET(CRONOPLE!$F$14,$M656,BM$13)="",10^12,OFFSET(CRONOPLE!$F$14,$M656,BM$13))))</f>
        <v>0</v>
      </c>
      <c r="BN656" s="181">
        <f ca="1">IF($D656&lt;&gt;"Serviço",0,IF(AND(AUTOEVENTO="Manual",$M656=1),0,IF(OFFSET(CRONOPLE!$F$14,$M656,BN$13)="",10^12,OFFSET(CRONOPLE!$F$14,$M656,BN$13))))</f>
        <v>0</v>
      </c>
      <c r="BO656" s="181">
        <f ca="1">IF($D656&lt;&gt;"Serviço",0,IF(AND(AUTOEVENTO="Manual",$M656=1),0,IF(OFFSET(CRONOPLE!$F$14,$M656,BO$13)="",10^12,OFFSET(CRONOPLE!$F$14,$M656,BO$13))))</f>
        <v>0</v>
      </c>
      <c r="BP656" s="181">
        <f ca="1">IF($D656&lt;&gt;"Serviço",0,IF(AND(AUTOEVENTO="Manual",$M656=1),0,IF(OFFSET(CRONOPLE!$F$14,$M656,BP$13)="",10^12,OFFSET(CRONOPLE!$F$14,$M656,BP$13))))</f>
        <v>0</v>
      </c>
      <c r="BQ656" s="181">
        <f ca="1">IF($D656&lt;&gt;"Serviço",0,IF(AND(AUTOEVENTO="Manual",$M656=1),0,IF(OFFSET(CRONOPLE!$F$14,$M656,BQ$13)="",10^12,OFFSET(CRONOPLE!$F$14,$M656,BQ$13))))</f>
        <v>0</v>
      </c>
      <c r="BR656" s="181">
        <f ca="1">IF($D656&lt;&gt;"Serviço",0,IF(AND(AUTOEVENTO="Manual",$M656=1),0,IF(OFFSET(CRONOPLE!$F$14,$M656,BR$13)="",10^12,OFFSET(CRONOPLE!$F$14,$M656,BR$13))))</f>
        <v>0</v>
      </c>
      <c r="BS656" s="181">
        <f ca="1">IF($D656&lt;&gt;"Serviço",0,IF(AND(AUTOEVENTO="Manual",$M656=1),0,IF(OFFSET(CRONOPLE!$F$14,$M656,BS$13)="",10^12,OFFSET(CRONOPLE!$F$14,$M656,BS$13))))</f>
        <v>0</v>
      </c>
      <c r="BT656" s="181">
        <f ca="1">IF($D656&lt;&gt;"Serviço",0,IF(AND(AUTOEVENTO="Manual",$M656=1),0,IF(OFFSET(CRONOPLE!$F$14,$M656,BT$13)="",10^12,OFFSET(CRONOPLE!$F$14,$M656,BT$13))))</f>
        <v>0</v>
      </c>
      <c r="BV656" s="182">
        <f ca="1">IF($D656&lt;&gt;"Serviço",0,IF(OR(AND(AUTOEVENTO="Manual",$M656=1),$M656&gt;(ROW(PLE.lastrow)-ROW(PLE.firstrow))),0,IF(OFFSET(PLE!$G$14,$M656,BV$13)="",10^12,OFFSET(PLE!$G$14,$M656,BV$13))))</f>
        <v>0</v>
      </c>
      <c r="BW656" s="182">
        <f ca="1">IF($D656&lt;&gt;"Serviço",0,IF(OR(AND(AUTOEVENTO="Manual",$M656=1),$M656&gt;(ROW(PLE.lastrow)-ROW(PLE.firstrow))),0,IF(OFFSET(PLE!$G$14,$M656,BW$13)="",10^12,OFFSET(PLE!$G$14,$M656,BW$13))))</f>
        <v>0</v>
      </c>
      <c r="BX656" s="182">
        <f ca="1">IF($D656&lt;&gt;"Serviço",0,IF(OR(AND(AUTOEVENTO="Manual",$M656=1),$M656&gt;(ROW(PLE.lastrow)-ROW(PLE.firstrow))),0,IF(OFFSET(PLE!$G$14,$M656,BX$13)="",10^12,OFFSET(PLE!$G$14,$M656,BX$13))))</f>
        <v>0</v>
      </c>
      <c r="BY656" s="182">
        <f ca="1">IF($D656&lt;&gt;"Serviço",0,IF(OR(AND(AUTOEVENTO="Manual",$M656=1),$M656&gt;(ROW(PLE.lastrow)-ROW(PLE.firstrow))),0,IF(OFFSET(PLE!$G$14,$M656,BY$13)="",10^12,OFFSET(PLE!$G$14,$M656,BY$13))))</f>
        <v>0</v>
      </c>
      <c r="BZ656" s="182">
        <f ca="1">IF($D656&lt;&gt;"Serviço",0,IF(OR(AND(AUTOEVENTO="Manual",$M656=1),$M656&gt;(ROW(PLE.lastrow)-ROW(PLE.firstrow))),0,IF(OFFSET(PLE!$G$14,$M656,BZ$13)="",10^12,OFFSET(PLE!$G$14,$M656,BZ$13))))</f>
        <v>0</v>
      </c>
      <c r="CA656" s="182">
        <f ca="1">IF($D656&lt;&gt;"Serviço",0,IF(OR(AND(AUTOEVENTO="Manual",$M656=1),$M656&gt;(ROW(PLE.lastrow)-ROW(PLE.firstrow))),0,IF(OFFSET(PLE!$G$14,$M656,CA$13)="",10^12,OFFSET(PLE!$G$14,$M656,CA$13))))</f>
        <v>0</v>
      </c>
      <c r="CB656" s="182">
        <f ca="1">IF($D656&lt;&gt;"Serviço",0,IF(OR(AND(AUTOEVENTO="Manual",$M656=1),$M656&gt;(ROW(PLE.lastrow)-ROW(PLE.firstrow))),0,IF(OFFSET(PLE!$G$14,$M656,CB$13)="",10^12,OFFSET(PLE!$G$14,$M656,CB$13))))</f>
        <v>0</v>
      </c>
      <c r="CC656" s="182">
        <f ca="1">IF($D656&lt;&gt;"Serviço",0,IF(OR(AND(AUTOEVENTO="Manual",$M656=1),$M656&gt;(ROW(PLE.lastrow)-ROW(PLE.firstrow))),0,IF(OFFSET(PLE!$G$14,$M656,CC$13)="",10^12,OFFSET(PLE!$G$14,$M656,CC$13))))</f>
        <v>0</v>
      </c>
      <c r="CD656" s="182">
        <f ca="1">IF($D656&lt;&gt;"Serviço",0,IF(OR(AND(AUTOEVENTO="Manual",$M656=1),$M656&gt;(ROW(PLE.lastrow)-ROW(PLE.firstrow))),0,IF(OFFSET(PLE!$G$14,$M656,CD$13)="",10^12,OFFSET(PLE!$G$14,$M656,CD$13))))</f>
        <v>0</v>
      </c>
      <c r="CE656" s="182">
        <f ca="1">IF($D656&lt;&gt;"Serviço",0,IF(OR(AND(AUTOEVENTO="Manual",$M656=1),$M656&gt;(ROW(PLE.lastrow)-ROW(PLE.firstrow))),0,IF(OFFSET(PLE!$G$14,$M656,CE$13)="",10^12,OFFSET(PLE!$G$14,$M656,CE$13))))</f>
        <v>0</v>
      </c>
      <c r="CF656" s="182">
        <f ca="1">IF($D656&lt;&gt;"Serviço",0,IF(OR(AND(AUTOEVENTO="Manual",$M656=1),$M656&gt;(ROW(PLE.lastrow)-ROW(PLE.firstrow))),0,IF(OFFSET(PLE!$G$14,$M656,CF$13)="",10^12,OFFSET(PLE!$G$14,$M656,CF$13))))</f>
        <v>0</v>
      </c>
      <c r="CG656" s="182">
        <f ca="1">IF($D656&lt;&gt;"Serviço",0,IF(OR(AND(AUTOEVENTO="Manual",$M656=1),$M656&gt;(ROW(PLE.lastrow)-ROW(PLE.firstrow))),0,IF(OFFSET(PLE!$G$14,$M656,CG$13)="",10^12,OFFSET(PLE!$G$14,$M656,CG$13))))</f>
        <v>0</v>
      </c>
      <c r="CH656" s="182">
        <f ca="1">IF($D656&lt;&gt;"Serviço",0,IF(OR(AND(AUTOEVENTO="Manual",$M656=1),$M656&gt;(ROW(PLE.lastrow)-ROW(PLE.firstrow))),0,IF(OFFSET(PLE!$G$14,$M656,CH$13)="",10^12,OFFSET(PLE!$G$14,$M656,CH$13))))</f>
        <v>0</v>
      </c>
      <c r="CI656" s="182">
        <f ca="1">IF($D656&lt;&gt;"Serviço",0,IF(OR(AND(AUTOEVENTO="Manual",$M656=1),$M656&gt;(ROW(PLE.lastrow)-ROW(PLE.firstrow))),0,IF(OFFSET(PLE!$G$14,$M656,CI$13)="",10^12,OFFSET(PLE!$G$14,$M656,CI$13))))</f>
        <v>0</v>
      </c>
      <c r="CJ656" s="182">
        <f ca="1">IF($D656&lt;&gt;"Serviço",0,IF(OR(AND(AUTOEVENTO="Manual",$M656=1),$M656&gt;(ROW(PLE.lastrow)-ROW(PLE.firstrow))),0,IF(OFFSET(PLE!$G$14,$M656,CJ$13)="",10^12,OFFSET(PLE!$G$14,$M656,CJ$13))))</f>
        <v>0</v>
      </c>
      <c r="CK656" s="182">
        <f ca="1">IF($D656&lt;&gt;"Serviço",0,IF(OR(AND(AUTOEVENTO="Manual",$M656=1),$M656&gt;(ROW(PLE.lastrow)-ROW(PLE.firstrow))),0,IF(OFFSET(PLE!$G$14,$M656,CK$13)="",10^12,OFFSET(PLE!$G$14,$M656,CK$13))))</f>
        <v>0</v>
      </c>
      <c r="CL656" s="182">
        <f ca="1">IF($D656&lt;&gt;"Serviço",0,IF(OR(AND(AUTOEVENTO="Manual",$M656=1),$M656&gt;(ROW(PLE.lastrow)-ROW(PLE.firstrow))),0,IF(OFFSET(PLE!$G$14,$M656,CL$13)="",10^12,OFFSET(PLE!$G$14,$M656,CL$13))))</f>
        <v>0</v>
      </c>
      <c r="CM656" s="182">
        <f ca="1">IF($D656&lt;&gt;"Serviço",0,IF(OR(AND(AUTOEVENTO="Manual",$M656=1),$M656&gt;(ROW(PLE.lastrow)-ROW(PLE.firstrow))),0,IF(OFFSET(PLE!$G$14,$M656,CM$13)="",10^12,OFFSET(PLE!$G$14,$M656,CM$13))))</f>
        <v>0</v>
      </c>
    </row>
    <row r="657" spans="1:91" ht="25.5" x14ac:dyDescent="0.2">
      <c r="A657" s="7" t="str">
        <f t="shared" ca="1" si="19"/>
        <v>641</v>
      </c>
      <c r="B657" s="7" t="str">
        <f ca="1">OFFSET(ORÇAMENTO!C$15,ROW(B657)-ROW(B$15),0)</f>
        <v>S</v>
      </c>
      <c r="C657" s="7" t="str">
        <f ca="1">OFFSET(ORÇAMENTO!L$15,ROW(C657)-ROW(C$15),0)</f>
        <v/>
      </c>
      <c r="D657" s="118" t="str">
        <f ca="1">OFFSET(ORÇAMENTO!N$15,ROW(D657)-ROW(D$15),0)</f>
        <v>Serviço</v>
      </c>
      <c r="E657" s="119" t="str">
        <f ca="1">OFFSET(ORÇAMENTO!O$15,ROW(E657)-ROW(E$15),0)</f>
        <v>-</v>
      </c>
      <c r="F657" s="172" t="str">
        <f ca="1">OFFSET(ORÇAMENTO!R$15,ROW(F657)-ROW(F$15),0)</f>
        <v>(abra o arquivo 'Referência 06-2024.xlsm)</v>
      </c>
      <c r="G657" s="173" t="str">
        <f ca="1">IF($D657&lt;&gt;"Serviço","",OFFSET(ORÇAMENTO!S$15,ROW(G657)-ROW(G$15),0))</f>
        <v>-</v>
      </c>
      <c r="H657" s="124">
        <f ca="1">IF($D657&lt;&gt;"Serviço",0,IF(ACOMPANHAMENTO="BM",ROUND(OFFSET(ORÇAMENTO!AJ$15,ROW(H657)-ROW(H$15),0),15-13*ORÇAMENTO!$AF$7),SUMPRODUCT(($Q$12:$AI$12&lt;&gt;"")*ROUND($Q657:$AI657,15-13*ORÇAMENTO!$AF$7))))</f>
        <v>4</v>
      </c>
      <c r="I657" s="561" t="s">
        <v>1107</v>
      </c>
      <c r="K657" s="174"/>
      <c r="L657" s="175" t="s">
        <v>255</v>
      </c>
      <c r="M657" s="176">
        <f ca="1">IF($D657&lt;&gt;"Serviço","",IF(AUTOEVENTO="manual",$A657,IF(ISERROR(MATCH($A657,$A$15:OFFSET($A657,-1,0),0)),MAX($M$15:OFFSET(M657,-1,0))+1,INDEX($M$15:OFFSET(M657,-1,0),MATCH($A657,$A$15:OFFSET($A657,-1,0),0)))))</f>
        <v>71</v>
      </c>
      <c r="N657" s="177" t="str">
        <f ca="1">IF($D657&lt;&gt;"Serviço","",IF(AUTOEVENTO="Manual",IF($A657=0,"&lt;-- defina o número do agrupador",OFFSET(EVENTOS!$D$14,$A657,0)),OFFSET($F$15,$A657,0)))</f>
        <v>SISTEMA DE EXAUSTÃO MECÂNICA</v>
      </c>
      <c r="O657" s="178"/>
      <c r="Q657" s="178">
        <v>4</v>
      </c>
      <c r="R657" s="179"/>
      <c r="S657" s="179"/>
      <c r="T657" s="179"/>
      <c r="U657" s="179"/>
      <c r="V657" s="179"/>
      <c r="W657" s="179"/>
      <c r="X657" s="179"/>
      <c r="Y657" s="179"/>
      <c r="Z657" s="180"/>
      <c r="AA657" s="179"/>
      <c r="AB657" s="179"/>
      <c r="AC657" s="179"/>
      <c r="AD657" s="179"/>
      <c r="AE657" s="179"/>
      <c r="AF657" s="179"/>
      <c r="AG657" s="179"/>
      <c r="AH657" s="180"/>
      <c r="AJ657" s="544">
        <f ca="1">IF(AND($D657="Serviço",AJ$12&lt;&gt;0,$H657&gt;0,OR(AUTOEVENTO&lt;&gt;"manual",$M657&lt;&gt;1)),
IF(Import.TipoArredondamento&lt;&gt;"TransfereGOV",
ROUND(OFFSET($P657,0,AJ$13),15-13*ORÇAMENTO!$AF$7)/$H657*OFFSET(ORÇAMENTO!$X$15,ROW(AJ657)-ROW(AJ$15),0),
ROUND(ROUND(OFFSET($P657,0,AJ$13),15-13*ORÇAMENTO!$AF$7)*OFFSET(ORÇAMENTO!$W$15,ROW(AJ657)-ROW(AJ$15),0),15-13*ORÇAMENTO!$AF$11)),0)</f>
        <v>0</v>
      </c>
      <c r="AK657" s="545">
        <f ca="1">IF(AND($D657="Serviço",AK$12&lt;&gt;0,$H657&gt;0,OR(AUTOEVENTO&lt;&gt;"manual",$M657&lt;&gt;1)),
IF(Import.TipoArredondamento&lt;&gt;"TransfereGOV",
ROUND(OFFSET($P657,0,AK$13),15-13*ORÇAMENTO!$AF$7)/$H657*OFFSET(ORÇAMENTO!$X$15,ROW(AK657)-ROW(AK$15),0),
ROUND(ROUND(OFFSET($P657,0,AK$13),15-13*ORÇAMENTO!$AF$7)*OFFSET(ORÇAMENTO!$W$15,ROW(AK657)-ROW(AK$15),0),15-13*ORÇAMENTO!$AF$11)),0)</f>
        <v>0</v>
      </c>
      <c r="AL657" s="545">
        <f ca="1">IF(AND($D657="Serviço",AL$12&lt;&gt;0,$H657&gt;0,OR(AUTOEVENTO&lt;&gt;"manual",$M657&lt;&gt;1)),
IF(Import.TipoArredondamento&lt;&gt;"TransfereGOV",
ROUND(OFFSET($P657,0,AL$13),15-13*ORÇAMENTO!$AF$7)/$H657*OFFSET(ORÇAMENTO!$X$15,ROW(AL657)-ROW(AL$15),0),
ROUND(ROUND(OFFSET($P657,0,AL$13),15-13*ORÇAMENTO!$AF$7)*OFFSET(ORÇAMENTO!$W$15,ROW(AL657)-ROW(AL$15),0),15-13*ORÇAMENTO!$AF$11)),0)</f>
        <v>0</v>
      </c>
      <c r="AM657" s="545">
        <f ca="1">IF(AND($D657="Serviço",AM$12&lt;&gt;0,$H657&gt;0,OR(AUTOEVENTO&lt;&gt;"manual",$M657&lt;&gt;1)),
IF(Import.TipoArredondamento&lt;&gt;"TransfereGOV",
ROUND(OFFSET($P657,0,AM$13),15-13*ORÇAMENTO!$AF$7)/$H657*OFFSET(ORÇAMENTO!$X$15,ROW(AM657)-ROW(AM$15),0),
ROUND(ROUND(OFFSET($P657,0,AM$13),15-13*ORÇAMENTO!$AF$7)*OFFSET(ORÇAMENTO!$W$15,ROW(AM657)-ROW(AM$15),0),15-13*ORÇAMENTO!$AF$11)),0)</f>
        <v>0</v>
      </c>
      <c r="AN657" s="545">
        <f ca="1">IF(AND($D657="Serviço",AN$12&lt;&gt;0,$H657&gt;0,OR(AUTOEVENTO&lt;&gt;"manual",$M657&lt;&gt;1)),
IF(Import.TipoArredondamento&lt;&gt;"TransfereGOV",
ROUND(OFFSET($P657,0,AN$13),15-13*ORÇAMENTO!$AF$7)/$H657*OFFSET(ORÇAMENTO!$X$15,ROW(AN657)-ROW(AN$15),0),
ROUND(ROUND(OFFSET($P657,0,AN$13),15-13*ORÇAMENTO!$AF$7)*OFFSET(ORÇAMENTO!$W$15,ROW(AN657)-ROW(AN$15),0),15-13*ORÇAMENTO!$AF$11)),0)</f>
        <v>0</v>
      </c>
      <c r="AO657" s="545">
        <f ca="1">IF(AND($D657="Serviço",AO$12&lt;&gt;0,$H657&gt;0,OR(AUTOEVENTO&lt;&gt;"manual",$M657&lt;&gt;1)),
IF(Import.TipoArredondamento&lt;&gt;"TransfereGOV",
ROUND(OFFSET($P657,0,AO$13),15-13*ORÇAMENTO!$AF$7)/$H657*OFFSET(ORÇAMENTO!$X$15,ROW(AO657)-ROW(AO$15),0),
ROUND(ROUND(OFFSET($P657,0,AO$13),15-13*ORÇAMENTO!$AF$7)*OFFSET(ORÇAMENTO!$W$15,ROW(AO657)-ROW(AO$15),0),15-13*ORÇAMENTO!$AF$11)),0)</f>
        <v>0</v>
      </c>
      <c r="AP657" s="545">
        <f ca="1">IF(AND($D657="Serviço",AP$12&lt;&gt;0,$H657&gt;0,OR(AUTOEVENTO&lt;&gt;"manual",$M657&lt;&gt;1)),
IF(Import.TipoArredondamento&lt;&gt;"TransfereGOV",
ROUND(OFFSET($P657,0,AP$13),15-13*ORÇAMENTO!$AF$7)/$H657*OFFSET(ORÇAMENTO!$X$15,ROW(AP657)-ROW(AP$15),0),
ROUND(ROUND(OFFSET($P657,0,AP$13),15-13*ORÇAMENTO!$AF$7)*OFFSET(ORÇAMENTO!$W$15,ROW(AP657)-ROW(AP$15),0),15-13*ORÇAMENTO!$AF$11)),0)</f>
        <v>0</v>
      </c>
      <c r="AQ657" s="545">
        <f ca="1">IF(AND($D657="Serviço",AQ$12&lt;&gt;0,$H657&gt;0,OR(AUTOEVENTO&lt;&gt;"manual",$M657&lt;&gt;1)),
IF(Import.TipoArredondamento&lt;&gt;"TransfereGOV",
ROUND(OFFSET($P657,0,AQ$13),15-13*ORÇAMENTO!$AF$7)/$H657*OFFSET(ORÇAMENTO!$X$15,ROW(AQ657)-ROW(AQ$15),0),
ROUND(ROUND(OFFSET($P657,0,AQ$13),15-13*ORÇAMENTO!$AF$7)*OFFSET(ORÇAMENTO!$W$15,ROW(AQ657)-ROW(AQ$15),0),15-13*ORÇAMENTO!$AF$11)),0)</f>
        <v>0</v>
      </c>
      <c r="AR657" s="545">
        <f ca="1">IF(AND($D657="Serviço",AR$12&lt;&gt;0,$H657&gt;0,OR(AUTOEVENTO&lt;&gt;"manual",$M657&lt;&gt;1)),
IF(Import.TipoArredondamento&lt;&gt;"TransfereGOV",
ROUND(OFFSET($P657,0,AR$13),15-13*ORÇAMENTO!$AF$7)/$H657*OFFSET(ORÇAMENTO!$X$15,ROW(AR657)-ROW(AR$15),0),
ROUND(ROUND(OFFSET($P657,0,AR$13),15-13*ORÇAMENTO!$AF$7)*OFFSET(ORÇAMENTO!$W$15,ROW(AR657)-ROW(AR$15),0),15-13*ORÇAMENTO!$AF$11)),0)</f>
        <v>0</v>
      </c>
      <c r="AS657" s="546">
        <f ca="1">IF(AND($D657="Serviço",AS$12&lt;&gt;0,$H657&gt;0,OR(AUTOEVENTO&lt;&gt;"manual",$M657&lt;&gt;1)),
IF(Import.TipoArredondamento&lt;&gt;"TransfereGOV",
ROUND(OFFSET($P657,0,AS$13),15-13*ORÇAMENTO!$AF$7)/$H657*OFFSET(ORÇAMENTO!$X$15,ROW(AS657)-ROW(AS$15),0),
ROUND(ROUND(OFFSET($P657,0,AS$13),15-13*ORÇAMENTO!$AF$7)*OFFSET(ORÇAMENTO!$W$15,ROW(AS657)-ROW(AS$15),0),15-13*ORÇAMENTO!$AF$11)),0)</f>
        <v>0</v>
      </c>
      <c r="AT657" s="545">
        <f ca="1">IF(AND($D657="Serviço",AT$12&lt;&gt;0,$H657&gt;0,OR(AUTOEVENTO&lt;&gt;"manual",$M657&lt;&gt;1)),
IF(Import.TipoArredondamento&lt;&gt;"TransfereGOV",
ROUND(OFFSET($P657,0,AT$13),15-13*ORÇAMENTO!$AF$7)/$H657*OFFSET(ORÇAMENTO!$X$15,ROW(AT657)-ROW(AT$15),0),
ROUND(ROUND(OFFSET($P657,0,AT$13),15-13*ORÇAMENTO!$AF$7)*OFFSET(ORÇAMENTO!$W$15,ROW(AT657)-ROW(AT$15),0),15-13*ORÇAMENTO!$AF$11)),0)</f>
        <v>0</v>
      </c>
      <c r="AU657" s="545">
        <f ca="1">IF(AND($D657="Serviço",AU$12&lt;&gt;0,$H657&gt;0,OR(AUTOEVENTO&lt;&gt;"manual",$M657&lt;&gt;1)),
IF(Import.TipoArredondamento&lt;&gt;"TransfereGOV",
ROUND(OFFSET($P657,0,AU$13),15-13*ORÇAMENTO!$AF$7)/$H657*OFFSET(ORÇAMENTO!$X$15,ROW(AU657)-ROW(AU$15),0),
ROUND(ROUND(OFFSET($P657,0,AU$13),15-13*ORÇAMENTO!$AF$7)*OFFSET(ORÇAMENTO!$W$15,ROW(AU657)-ROW(AU$15),0),15-13*ORÇAMENTO!$AF$11)),0)</f>
        <v>0</v>
      </c>
      <c r="AV657" s="545">
        <f ca="1">IF(AND($D657="Serviço",AV$12&lt;&gt;0,$H657&gt;0,OR(AUTOEVENTO&lt;&gt;"manual",$M657&lt;&gt;1)),
IF(Import.TipoArredondamento&lt;&gt;"TransfereGOV",
ROUND(OFFSET($P657,0,AV$13),15-13*ORÇAMENTO!$AF$7)/$H657*OFFSET(ORÇAMENTO!$X$15,ROW(AV657)-ROW(AV$15),0),
ROUND(ROUND(OFFSET($P657,0,AV$13),15-13*ORÇAMENTO!$AF$7)*OFFSET(ORÇAMENTO!$W$15,ROW(AV657)-ROW(AV$15),0),15-13*ORÇAMENTO!$AF$11)),0)</f>
        <v>0</v>
      </c>
      <c r="AW657" s="545">
        <f ca="1">IF(AND($D657="Serviço",AW$12&lt;&gt;0,$H657&gt;0,OR(AUTOEVENTO&lt;&gt;"manual",$M657&lt;&gt;1)),
IF(Import.TipoArredondamento&lt;&gt;"TransfereGOV",
ROUND(OFFSET($P657,0,AW$13),15-13*ORÇAMENTO!$AF$7)/$H657*OFFSET(ORÇAMENTO!$X$15,ROW(AW657)-ROW(AW$15),0),
ROUND(ROUND(OFFSET($P657,0,AW$13),15-13*ORÇAMENTO!$AF$7)*OFFSET(ORÇAMENTO!$W$15,ROW(AW657)-ROW(AW$15),0),15-13*ORÇAMENTO!$AF$11)),0)</f>
        <v>0</v>
      </c>
      <c r="AX657" s="545">
        <f ca="1">IF(AND($D657="Serviço",AX$12&lt;&gt;0,$H657&gt;0,OR(AUTOEVENTO&lt;&gt;"manual",$M657&lt;&gt;1)),
IF(Import.TipoArredondamento&lt;&gt;"TransfereGOV",
ROUND(OFFSET($P657,0,AX$13),15-13*ORÇAMENTO!$AF$7)/$H657*OFFSET(ORÇAMENTO!$X$15,ROW(AX657)-ROW(AX$15),0),
ROUND(ROUND(OFFSET($P657,0,AX$13),15-13*ORÇAMENTO!$AF$7)*OFFSET(ORÇAMENTO!$W$15,ROW(AX657)-ROW(AX$15),0),15-13*ORÇAMENTO!$AF$11)),0)</f>
        <v>0</v>
      </c>
      <c r="AY657" s="545">
        <f ca="1">IF(AND($D657="Serviço",AY$12&lt;&gt;0,$H657&gt;0,OR(AUTOEVENTO&lt;&gt;"manual",$M657&lt;&gt;1)),
IF(Import.TipoArredondamento&lt;&gt;"TransfereGOV",
ROUND(OFFSET($P657,0,AY$13),15-13*ORÇAMENTO!$AF$7)/$H657*OFFSET(ORÇAMENTO!$X$15,ROW(AY657)-ROW(AY$15),0),
ROUND(ROUND(OFFSET($P657,0,AY$13),15-13*ORÇAMENTO!$AF$7)*OFFSET(ORÇAMENTO!$W$15,ROW(AY657)-ROW(AY$15),0),15-13*ORÇAMENTO!$AF$11)),0)</f>
        <v>0</v>
      </c>
      <c r="AZ657" s="545">
        <f ca="1">IF(AND($D657="Serviço",AZ$12&lt;&gt;0,$H657&gt;0,OR(AUTOEVENTO&lt;&gt;"manual",$M657&lt;&gt;1)),
IF(Import.TipoArredondamento&lt;&gt;"TransfereGOV",
ROUND(OFFSET($P657,0,AZ$13),15-13*ORÇAMENTO!$AF$7)/$H657*OFFSET(ORÇAMENTO!$X$15,ROW(AZ657)-ROW(AZ$15),0),
ROUND(ROUND(OFFSET($P657,0,AZ$13),15-13*ORÇAMENTO!$AF$7)*OFFSET(ORÇAMENTO!$W$15,ROW(AZ657)-ROW(AZ$15),0),15-13*ORÇAMENTO!$AF$11)),0)</f>
        <v>0</v>
      </c>
      <c r="BA657" s="546">
        <f ca="1">IF(AND($D657="Serviço",BA$12&lt;&gt;0,$H657&gt;0,OR(AUTOEVENTO&lt;&gt;"manual",$M657&lt;&gt;1)),
IF(Import.TipoArredondamento&lt;&gt;"TransfereGOV",
ROUND(OFFSET($P657,0,BA$13),15-13*ORÇAMENTO!$AF$7)/$H657*OFFSET(ORÇAMENTO!$X$15,ROW(BA657)-ROW(BA$15),0),
ROUND(ROUND(OFFSET($P657,0,BA$13),15-13*ORÇAMENTO!$AF$7)*OFFSET(ORÇAMENTO!$W$15,ROW(BA657)-ROW(BA$15),0),15-13*ORÇAMENTO!$AF$11)),0)</f>
        <v>0</v>
      </c>
      <c r="BC657" s="181">
        <f ca="1">IF($D657&lt;&gt;"Serviço",0,IF(AND(AUTOEVENTO="Manual",$M657=1),0,IF(OFFSET(CRONOPLE!$F$14,$M657,BC$13)="",10^12,OFFSET(CRONOPLE!$F$14,$M657,BC$13))))</f>
        <v>11</v>
      </c>
      <c r="BD657" s="181">
        <f ca="1">IF($D657&lt;&gt;"Serviço",0,IF(AND(AUTOEVENTO="Manual",$M657=1),0,IF(OFFSET(CRONOPLE!$F$14,$M657,BD$13)="",10^12,OFFSET(CRONOPLE!$F$14,$M657,BD$13))))</f>
        <v>1000000000000</v>
      </c>
      <c r="BE657" s="181">
        <f ca="1">IF($D657&lt;&gt;"Serviço",0,IF(AND(AUTOEVENTO="Manual",$M657=1),0,IF(OFFSET(CRONOPLE!$F$14,$M657,BE$13)="",10^12,OFFSET(CRONOPLE!$F$14,$M657,BE$13))))</f>
        <v>1000000000000</v>
      </c>
      <c r="BF657" s="181">
        <f ca="1">IF($D657&lt;&gt;"Serviço",0,IF(AND(AUTOEVENTO="Manual",$M657=1),0,IF(OFFSET(CRONOPLE!$F$14,$M657,BF$13)="",10^12,OFFSET(CRONOPLE!$F$14,$M657,BF$13))))</f>
        <v>1000000000000</v>
      </c>
      <c r="BG657" s="181">
        <f ca="1">IF($D657&lt;&gt;"Serviço",0,IF(AND(AUTOEVENTO="Manual",$M657=1),0,IF(OFFSET(CRONOPLE!$F$14,$M657,BG$13)="",10^12,OFFSET(CRONOPLE!$F$14,$M657,BG$13))))</f>
        <v>1000000000000</v>
      </c>
      <c r="BH657" s="181">
        <f ca="1">IF($D657&lt;&gt;"Serviço",0,IF(AND(AUTOEVENTO="Manual",$M657=1),0,IF(OFFSET(CRONOPLE!$F$14,$M657,BH$13)="",10^12,OFFSET(CRONOPLE!$F$14,$M657,BH$13))))</f>
        <v>1000000000000</v>
      </c>
      <c r="BI657" s="181">
        <f ca="1">IF($D657&lt;&gt;"Serviço",0,IF(AND(AUTOEVENTO="Manual",$M657=1),0,IF(OFFSET(CRONOPLE!$F$14,$M657,BI$13)="",10^12,OFFSET(CRONOPLE!$F$14,$M657,BI$13))))</f>
        <v>1000000000000</v>
      </c>
      <c r="BJ657" s="181">
        <f ca="1">IF($D657&lt;&gt;"Serviço",0,IF(AND(AUTOEVENTO="Manual",$M657=1),0,IF(OFFSET(CRONOPLE!$F$14,$M657,BJ$13)="",10^12,OFFSET(CRONOPLE!$F$14,$M657,BJ$13))))</f>
        <v>1000000000000</v>
      </c>
      <c r="BK657" s="181">
        <f ca="1">IF($D657&lt;&gt;"Serviço",0,IF(AND(AUTOEVENTO="Manual",$M657=1),0,IF(OFFSET(CRONOPLE!$F$14,$M657,BK$13)="",10^12,OFFSET(CRONOPLE!$F$14,$M657,BK$13))))</f>
        <v>1000000000000</v>
      </c>
      <c r="BL657" s="181">
        <f ca="1">IF($D657&lt;&gt;"Serviço",0,IF(AND(AUTOEVENTO="Manual",$M657=1),0,IF(OFFSET(CRONOPLE!$F$14,$M657,BL$13)="",10^12,OFFSET(CRONOPLE!$F$14,$M657,BL$13))))</f>
        <v>1000000000000</v>
      </c>
      <c r="BM657" s="181">
        <f ca="1">IF($D657&lt;&gt;"Serviço",0,IF(AND(AUTOEVENTO="Manual",$M657=1),0,IF(OFFSET(CRONOPLE!$F$14,$M657,BM$13)="",10^12,OFFSET(CRONOPLE!$F$14,$M657,BM$13))))</f>
        <v>1000000000000</v>
      </c>
      <c r="BN657" s="181">
        <f ca="1">IF($D657&lt;&gt;"Serviço",0,IF(AND(AUTOEVENTO="Manual",$M657=1),0,IF(OFFSET(CRONOPLE!$F$14,$M657,BN$13)="",10^12,OFFSET(CRONOPLE!$F$14,$M657,BN$13))))</f>
        <v>1000000000000</v>
      </c>
      <c r="BO657" s="181">
        <f ca="1">IF($D657&lt;&gt;"Serviço",0,IF(AND(AUTOEVENTO="Manual",$M657=1),0,IF(OFFSET(CRONOPLE!$F$14,$M657,BO$13)="",10^12,OFFSET(CRONOPLE!$F$14,$M657,BO$13))))</f>
        <v>1000000000000</v>
      </c>
      <c r="BP657" s="181">
        <f ca="1">IF($D657&lt;&gt;"Serviço",0,IF(AND(AUTOEVENTO="Manual",$M657=1),0,IF(OFFSET(CRONOPLE!$F$14,$M657,BP$13)="",10^12,OFFSET(CRONOPLE!$F$14,$M657,BP$13))))</f>
        <v>1000000000000</v>
      </c>
      <c r="BQ657" s="181">
        <f ca="1">IF($D657&lt;&gt;"Serviço",0,IF(AND(AUTOEVENTO="Manual",$M657=1),0,IF(OFFSET(CRONOPLE!$F$14,$M657,BQ$13)="",10^12,OFFSET(CRONOPLE!$F$14,$M657,BQ$13))))</f>
        <v>1000000000000</v>
      </c>
      <c r="BR657" s="181">
        <f ca="1">IF($D657&lt;&gt;"Serviço",0,IF(AND(AUTOEVENTO="Manual",$M657=1),0,IF(OFFSET(CRONOPLE!$F$14,$M657,BR$13)="",10^12,OFFSET(CRONOPLE!$F$14,$M657,BR$13))))</f>
        <v>1000000000000</v>
      </c>
      <c r="BS657" s="181">
        <f ca="1">IF($D657&lt;&gt;"Serviço",0,IF(AND(AUTOEVENTO="Manual",$M657=1),0,IF(OFFSET(CRONOPLE!$F$14,$M657,BS$13)="",10^12,OFFSET(CRONOPLE!$F$14,$M657,BS$13))))</f>
        <v>1000000000000</v>
      </c>
      <c r="BT657" s="181">
        <f ca="1">IF($D657&lt;&gt;"Serviço",0,IF(AND(AUTOEVENTO="Manual",$M657=1),0,IF(OFFSET(CRONOPLE!$F$14,$M657,BT$13)="",10^12,OFFSET(CRONOPLE!$F$14,$M657,BT$13))))</f>
        <v>1000000000000</v>
      </c>
      <c r="BV657" s="182">
        <f ca="1">IF($D657&lt;&gt;"Serviço",0,IF(OR(AND(AUTOEVENTO="Manual",$M657=1),$M657&gt;(ROW(PLE.lastrow)-ROW(PLE.firstrow))),0,IF(OFFSET(PLE!$G$14,$M657,BV$13)="",10^12,OFFSET(PLE!$G$14,$M657,BV$13))))</f>
        <v>1000000000000</v>
      </c>
      <c r="BW657" s="182">
        <f ca="1">IF($D657&lt;&gt;"Serviço",0,IF(OR(AND(AUTOEVENTO="Manual",$M657=1),$M657&gt;(ROW(PLE.lastrow)-ROW(PLE.firstrow))),0,IF(OFFSET(PLE!$G$14,$M657,BW$13)="",10^12,OFFSET(PLE!$G$14,$M657,BW$13))))</f>
        <v>1000000000000</v>
      </c>
      <c r="BX657" s="182">
        <f ca="1">IF($D657&lt;&gt;"Serviço",0,IF(OR(AND(AUTOEVENTO="Manual",$M657=1),$M657&gt;(ROW(PLE.lastrow)-ROW(PLE.firstrow))),0,IF(OFFSET(PLE!$G$14,$M657,BX$13)="",10^12,OFFSET(PLE!$G$14,$M657,BX$13))))</f>
        <v>1000000000000</v>
      </c>
      <c r="BY657" s="182">
        <f ca="1">IF($D657&lt;&gt;"Serviço",0,IF(OR(AND(AUTOEVENTO="Manual",$M657=1),$M657&gt;(ROW(PLE.lastrow)-ROW(PLE.firstrow))),0,IF(OFFSET(PLE!$G$14,$M657,BY$13)="",10^12,OFFSET(PLE!$G$14,$M657,BY$13))))</f>
        <v>1000000000000</v>
      </c>
      <c r="BZ657" s="182">
        <f ca="1">IF($D657&lt;&gt;"Serviço",0,IF(OR(AND(AUTOEVENTO="Manual",$M657=1),$M657&gt;(ROW(PLE.lastrow)-ROW(PLE.firstrow))),0,IF(OFFSET(PLE!$G$14,$M657,BZ$13)="",10^12,OFFSET(PLE!$G$14,$M657,BZ$13))))</f>
        <v>1000000000000</v>
      </c>
      <c r="CA657" s="182">
        <f ca="1">IF($D657&lt;&gt;"Serviço",0,IF(OR(AND(AUTOEVENTO="Manual",$M657=1),$M657&gt;(ROW(PLE.lastrow)-ROW(PLE.firstrow))),0,IF(OFFSET(PLE!$G$14,$M657,CA$13)="",10^12,OFFSET(PLE!$G$14,$M657,CA$13))))</f>
        <v>1000000000000</v>
      </c>
      <c r="CB657" s="182">
        <f ca="1">IF($D657&lt;&gt;"Serviço",0,IF(OR(AND(AUTOEVENTO="Manual",$M657=1),$M657&gt;(ROW(PLE.lastrow)-ROW(PLE.firstrow))),0,IF(OFFSET(PLE!$G$14,$M657,CB$13)="",10^12,OFFSET(PLE!$G$14,$M657,CB$13))))</f>
        <v>1000000000000</v>
      </c>
      <c r="CC657" s="182">
        <f ca="1">IF($D657&lt;&gt;"Serviço",0,IF(OR(AND(AUTOEVENTO="Manual",$M657=1),$M657&gt;(ROW(PLE.lastrow)-ROW(PLE.firstrow))),0,IF(OFFSET(PLE!$G$14,$M657,CC$13)="",10^12,OFFSET(PLE!$G$14,$M657,CC$13))))</f>
        <v>1000000000000</v>
      </c>
      <c r="CD657" s="182">
        <f ca="1">IF($D657&lt;&gt;"Serviço",0,IF(OR(AND(AUTOEVENTO="Manual",$M657=1),$M657&gt;(ROW(PLE.lastrow)-ROW(PLE.firstrow))),0,IF(OFFSET(PLE!$G$14,$M657,CD$13)="",10^12,OFFSET(PLE!$G$14,$M657,CD$13))))</f>
        <v>1000000000000</v>
      </c>
      <c r="CE657" s="182">
        <f ca="1">IF($D657&lt;&gt;"Serviço",0,IF(OR(AND(AUTOEVENTO="Manual",$M657=1),$M657&gt;(ROW(PLE.lastrow)-ROW(PLE.firstrow))),0,IF(OFFSET(PLE!$G$14,$M657,CE$13)="",10^12,OFFSET(PLE!$G$14,$M657,CE$13))))</f>
        <v>1000000000000</v>
      </c>
      <c r="CF657" s="182">
        <f ca="1">IF($D657&lt;&gt;"Serviço",0,IF(OR(AND(AUTOEVENTO="Manual",$M657=1),$M657&gt;(ROW(PLE.lastrow)-ROW(PLE.firstrow))),0,IF(OFFSET(PLE!$G$14,$M657,CF$13)="",10^12,OFFSET(PLE!$G$14,$M657,CF$13))))</f>
        <v>1000000000000</v>
      </c>
      <c r="CG657" s="182">
        <f ca="1">IF($D657&lt;&gt;"Serviço",0,IF(OR(AND(AUTOEVENTO="Manual",$M657=1),$M657&gt;(ROW(PLE.lastrow)-ROW(PLE.firstrow))),0,IF(OFFSET(PLE!$G$14,$M657,CG$13)="",10^12,OFFSET(PLE!$G$14,$M657,CG$13))))</f>
        <v>1000000000000</v>
      </c>
      <c r="CH657" s="182">
        <f ca="1">IF($D657&lt;&gt;"Serviço",0,IF(OR(AND(AUTOEVENTO="Manual",$M657=1),$M657&gt;(ROW(PLE.lastrow)-ROW(PLE.firstrow))),0,IF(OFFSET(PLE!$G$14,$M657,CH$13)="",10^12,OFFSET(PLE!$G$14,$M657,CH$13))))</f>
        <v>1000000000000</v>
      </c>
      <c r="CI657" s="182">
        <f ca="1">IF($D657&lt;&gt;"Serviço",0,IF(OR(AND(AUTOEVENTO="Manual",$M657=1),$M657&gt;(ROW(PLE.lastrow)-ROW(PLE.firstrow))),0,IF(OFFSET(PLE!$G$14,$M657,CI$13)="",10^12,OFFSET(PLE!$G$14,$M657,CI$13))))</f>
        <v>1000000000000</v>
      </c>
      <c r="CJ657" s="182">
        <f ca="1">IF($D657&lt;&gt;"Serviço",0,IF(OR(AND(AUTOEVENTO="Manual",$M657=1),$M657&gt;(ROW(PLE.lastrow)-ROW(PLE.firstrow))),0,IF(OFFSET(PLE!$G$14,$M657,CJ$13)="",10^12,OFFSET(PLE!$G$14,$M657,CJ$13))))</f>
        <v>1000000000000</v>
      </c>
      <c r="CK657" s="182">
        <f ca="1">IF($D657&lt;&gt;"Serviço",0,IF(OR(AND(AUTOEVENTO="Manual",$M657=1),$M657&gt;(ROW(PLE.lastrow)-ROW(PLE.firstrow))),0,IF(OFFSET(PLE!$G$14,$M657,CK$13)="",10^12,OFFSET(PLE!$G$14,$M657,CK$13))))</f>
        <v>1000000000000</v>
      </c>
      <c r="CL657" s="182">
        <f ca="1">IF($D657&lt;&gt;"Serviço",0,IF(OR(AND(AUTOEVENTO="Manual",$M657=1),$M657&gt;(ROW(PLE.lastrow)-ROW(PLE.firstrow))),0,IF(OFFSET(PLE!$G$14,$M657,CL$13)="",10^12,OFFSET(PLE!$G$14,$M657,CL$13))))</f>
        <v>1000000000000</v>
      </c>
      <c r="CM657" s="182">
        <f ca="1">IF($D657&lt;&gt;"Serviço",0,IF(OR(AND(AUTOEVENTO="Manual",$M657=1),$M657&gt;(ROW(PLE.lastrow)-ROW(PLE.firstrow))),0,IF(OFFSET(PLE!$G$14,$M657,CM$13)="",10^12,OFFSET(PLE!$G$14,$M657,CM$13))))</f>
        <v>1000000000000</v>
      </c>
    </row>
    <row r="658" spans="1:91" ht="25.5" x14ac:dyDescent="0.2">
      <c r="A658" s="7" t="str">
        <f t="shared" ca="1" si="19"/>
        <v>641</v>
      </c>
      <c r="B658" s="7" t="str">
        <f ca="1">OFFSET(ORÇAMENTO!C$15,ROW(B658)-ROW(B$15),0)</f>
        <v>S</v>
      </c>
      <c r="C658" s="7" t="str">
        <f ca="1">OFFSET(ORÇAMENTO!L$15,ROW(C658)-ROW(C$15),0)</f>
        <v/>
      </c>
      <c r="D658" s="118" t="str">
        <f ca="1">OFFSET(ORÇAMENTO!N$15,ROW(D658)-ROW(D$15),0)</f>
        <v>Serviço</v>
      </c>
      <c r="E658" s="119" t="str">
        <f ca="1">OFFSET(ORÇAMENTO!O$15,ROW(E658)-ROW(E$15),0)</f>
        <v>-</v>
      </c>
      <c r="F658" s="172" t="str">
        <f ca="1">OFFSET(ORÇAMENTO!R$15,ROW(F658)-ROW(F$15),0)</f>
        <v>(abra o arquivo 'Referência 06-2024.xlsm)</v>
      </c>
      <c r="G658" s="173" t="str">
        <f ca="1">IF($D658&lt;&gt;"Serviço","",OFFSET(ORÇAMENTO!S$15,ROW(G658)-ROW(G$15),0))</f>
        <v>-</v>
      </c>
      <c r="H658" s="124">
        <f ca="1">IF($D658&lt;&gt;"Serviço",0,IF(ACOMPANHAMENTO="BM",ROUND(OFFSET(ORÇAMENTO!AJ$15,ROW(H658)-ROW(H$15),0),15-13*ORÇAMENTO!$AF$7),SUMPRODUCT(($Q$12:$AI$12&lt;&gt;"")*ROUND($Q658:$AI658,15-13*ORÇAMENTO!$AF$7))))</f>
        <v>7.7</v>
      </c>
      <c r="I658" s="561" t="s">
        <v>1107</v>
      </c>
      <c r="K658" s="174"/>
      <c r="L658" s="175" t="s">
        <v>255</v>
      </c>
      <c r="M658" s="176">
        <f ca="1">IF($D658&lt;&gt;"Serviço","",IF(AUTOEVENTO="manual",$A658,IF(ISERROR(MATCH($A658,$A$15:OFFSET($A658,-1,0),0)),MAX($M$15:OFFSET(M658,-1,0))+1,INDEX($M$15:OFFSET(M658,-1,0),MATCH($A658,$A$15:OFFSET($A658,-1,0),0)))))</f>
        <v>71</v>
      </c>
      <c r="N658" s="177" t="str">
        <f ca="1">IF($D658&lt;&gt;"Serviço","",IF(AUTOEVENTO="Manual",IF($A658=0,"&lt;-- defina o número do agrupador",OFFSET(EVENTOS!$D$14,$A658,0)),OFFSET($F$15,$A658,0)))</f>
        <v>SISTEMA DE EXAUSTÃO MECÂNICA</v>
      </c>
      <c r="O658" s="178"/>
      <c r="Q658" s="178">
        <v>7.7</v>
      </c>
      <c r="R658" s="179"/>
      <c r="S658" s="179"/>
      <c r="T658" s="179"/>
      <c r="U658" s="179"/>
      <c r="V658" s="179"/>
      <c r="W658" s="179"/>
      <c r="X658" s="179"/>
      <c r="Y658" s="179"/>
      <c r="Z658" s="180"/>
      <c r="AA658" s="179"/>
      <c r="AB658" s="179"/>
      <c r="AC658" s="179"/>
      <c r="AD658" s="179"/>
      <c r="AE658" s="179"/>
      <c r="AF658" s="179"/>
      <c r="AG658" s="179"/>
      <c r="AH658" s="180"/>
      <c r="AJ658" s="544">
        <f ca="1">IF(AND($D658="Serviço",AJ$12&lt;&gt;0,$H658&gt;0,OR(AUTOEVENTO&lt;&gt;"manual",$M658&lt;&gt;1)),
IF(Import.TipoArredondamento&lt;&gt;"TransfereGOV",
ROUND(OFFSET($P658,0,AJ$13),15-13*ORÇAMENTO!$AF$7)/$H658*OFFSET(ORÇAMENTO!$X$15,ROW(AJ658)-ROW(AJ$15),0),
ROUND(ROUND(OFFSET($P658,0,AJ$13),15-13*ORÇAMENTO!$AF$7)*OFFSET(ORÇAMENTO!$W$15,ROW(AJ658)-ROW(AJ$15),0),15-13*ORÇAMENTO!$AF$11)),0)</f>
        <v>0</v>
      </c>
      <c r="AK658" s="545">
        <f ca="1">IF(AND($D658="Serviço",AK$12&lt;&gt;0,$H658&gt;0,OR(AUTOEVENTO&lt;&gt;"manual",$M658&lt;&gt;1)),
IF(Import.TipoArredondamento&lt;&gt;"TransfereGOV",
ROUND(OFFSET($P658,0,AK$13),15-13*ORÇAMENTO!$AF$7)/$H658*OFFSET(ORÇAMENTO!$X$15,ROW(AK658)-ROW(AK$15),0),
ROUND(ROUND(OFFSET($P658,0,AK$13),15-13*ORÇAMENTO!$AF$7)*OFFSET(ORÇAMENTO!$W$15,ROW(AK658)-ROW(AK$15),0),15-13*ORÇAMENTO!$AF$11)),0)</f>
        <v>0</v>
      </c>
      <c r="AL658" s="545">
        <f ca="1">IF(AND($D658="Serviço",AL$12&lt;&gt;0,$H658&gt;0,OR(AUTOEVENTO&lt;&gt;"manual",$M658&lt;&gt;1)),
IF(Import.TipoArredondamento&lt;&gt;"TransfereGOV",
ROUND(OFFSET($P658,0,AL$13),15-13*ORÇAMENTO!$AF$7)/$H658*OFFSET(ORÇAMENTO!$X$15,ROW(AL658)-ROW(AL$15),0),
ROUND(ROUND(OFFSET($P658,0,AL$13),15-13*ORÇAMENTO!$AF$7)*OFFSET(ORÇAMENTO!$W$15,ROW(AL658)-ROW(AL$15),0),15-13*ORÇAMENTO!$AF$11)),0)</f>
        <v>0</v>
      </c>
      <c r="AM658" s="545">
        <f ca="1">IF(AND($D658="Serviço",AM$12&lt;&gt;0,$H658&gt;0,OR(AUTOEVENTO&lt;&gt;"manual",$M658&lt;&gt;1)),
IF(Import.TipoArredondamento&lt;&gt;"TransfereGOV",
ROUND(OFFSET($P658,0,AM$13),15-13*ORÇAMENTO!$AF$7)/$H658*OFFSET(ORÇAMENTO!$X$15,ROW(AM658)-ROW(AM$15),0),
ROUND(ROUND(OFFSET($P658,0,AM$13),15-13*ORÇAMENTO!$AF$7)*OFFSET(ORÇAMENTO!$W$15,ROW(AM658)-ROW(AM$15),0),15-13*ORÇAMENTO!$AF$11)),0)</f>
        <v>0</v>
      </c>
      <c r="AN658" s="545">
        <f ca="1">IF(AND($D658="Serviço",AN$12&lt;&gt;0,$H658&gt;0,OR(AUTOEVENTO&lt;&gt;"manual",$M658&lt;&gt;1)),
IF(Import.TipoArredondamento&lt;&gt;"TransfereGOV",
ROUND(OFFSET($P658,0,AN$13),15-13*ORÇAMENTO!$AF$7)/$H658*OFFSET(ORÇAMENTO!$X$15,ROW(AN658)-ROW(AN$15),0),
ROUND(ROUND(OFFSET($P658,0,AN$13),15-13*ORÇAMENTO!$AF$7)*OFFSET(ORÇAMENTO!$W$15,ROW(AN658)-ROW(AN$15),0),15-13*ORÇAMENTO!$AF$11)),0)</f>
        <v>0</v>
      </c>
      <c r="AO658" s="545">
        <f ca="1">IF(AND($D658="Serviço",AO$12&lt;&gt;0,$H658&gt;0,OR(AUTOEVENTO&lt;&gt;"manual",$M658&lt;&gt;1)),
IF(Import.TipoArredondamento&lt;&gt;"TransfereGOV",
ROUND(OFFSET($P658,0,AO$13),15-13*ORÇAMENTO!$AF$7)/$H658*OFFSET(ORÇAMENTO!$X$15,ROW(AO658)-ROW(AO$15),0),
ROUND(ROUND(OFFSET($P658,0,AO$13),15-13*ORÇAMENTO!$AF$7)*OFFSET(ORÇAMENTO!$W$15,ROW(AO658)-ROW(AO$15),0),15-13*ORÇAMENTO!$AF$11)),0)</f>
        <v>0</v>
      </c>
      <c r="AP658" s="545">
        <f ca="1">IF(AND($D658="Serviço",AP$12&lt;&gt;0,$H658&gt;0,OR(AUTOEVENTO&lt;&gt;"manual",$M658&lt;&gt;1)),
IF(Import.TipoArredondamento&lt;&gt;"TransfereGOV",
ROUND(OFFSET($P658,0,AP$13),15-13*ORÇAMENTO!$AF$7)/$H658*OFFSET(ORÇAMENTO!$X$15,ROW(AP658)-ROW(AP$15),0),
ROUND(ROUND(OFFSET($P658,0,AP$13),15-13*ORÇAMENTO!$AF$7)*OFFSET(ORÇAMENTO!$W$15,ROW(AP658)-ROW(AP$15),0),15-13*ORÇAMENTO!$AF$11)),0)</f>
        <v>0</v>
      </c>
      <c r="AQ658" s="545">
        <f ca="1">IF(AND($D658="Serviço",AQ$12&lt;&gt;0,$H658&gt;0,OR(AUTOEVENTO&lt;&gt;"manual",$M658&lt;&gt;1)),
IF(Import.TipoArredondamento&lt;&gt;"TransfereGOV",
ROUND(OFFSET($P658,0,AQ$13),15-13*ORÇAMENTO!$AF$7)/$H658*OFFSET(ORÇAMENTO!$X$15,ROW(AQ658)-ROW(AQ$15),0),
ROUND(ROUND(OFFSET($P658,0,AQ$13),15-13*ORÇAMENTO!$AF$7)*OFFSET(ORÇAMENTO!$W$15,ROW(AQ658)-ROW(AQ$15),0),15-13*ORÇAMENTO!$AF$11)),0)</f>
        <v>0</v>
      </c>
      <c r="AR658" s="545">
        <f ca="1">IF(AND($D658="Serviço",AR$12&lt;&gt;0,$H658&gt;0,OR(AUTOEVENTO&lt;&gt;"manual",$M658&lt;&gt;1)),
IF(Import.TipoArredondamento&lt;&gt;"TransfereGOV",
ROUND(OFFSET($P658,0,AR$13),15-13*ORÇAMENTO!$AF$7)/$H658*OFFSET(ORÇAMENTO!$X$15,ROW(AR658)-ROW(AR$15),0),
ROUND(ROUND(OFFSET($P658,0,AR$13),15-13*ORÇAMENTO!$AF$7)*OFFSET(ORÇAMENTO!$W$15,ROW(AR658)-ROW(AR$15),0),15-13*ORÇAMENTO!$AF$11)),0)</f>
        <v>0</v>
      </c>
      <c r="AS658" s="546">
        <f ca="1">IF(AND($D658="Serviço",AS$12&lt;&gt;0,$H658&gt;0,OR(AUTOEVENTO&lt;&gt;"manual",$M658&lt;&gt;1)),
IF(Import.TipoArredondamento&lt;&gt;"TransfereGOV",
ROUND(OFFSET($P658,0,AS$13),15-13*ORÇAMENTO!$AF$7)/$H658*OFFSET(ORÇAMENTO!$X$15,ROW(AS658)-ROW(AS$15),0),
ROUND(ROUND(OFFSET($P658,0,AS$13),15-13*ORÇAMENTO!$AF$7)*OFFSET(ORÇAMENTO!$W$15,ROW(AS658)-ROW(AS$15),0),15-13*ORÇAMENTO!$AF$11)),0)</f>
        <v>0</v>
      </c>
      <c r="AT658" s="545">
        <f ca="1">IF(AND($D658="Serviço",AT$12&lt;&gt;0,$H658&gt;0,OR(AUTOEVENTO&lt;&gt;"manual",$M658&lt;&gt;1)),
IF(Import.TipoArredondamento&lt;&gt;"TransfereGOV",
ROUND(OFFSET($P658,0,AT$13),15-13*ORÇAMENTO!$AF$7)/$H658*OFFSET(ORÇAMENTO!$X$15,ROW(AT658)-ROW(AT$15),0),
ROUND(ROUND(OFFSET($P658,0,AT$13),15-13*ORÇAMENTO!$AF$7)*OFFSET(ORÇAMENTO!$W$15,ROW(AT658)-ROW(AT$15),0),15-13*ORÇAMENTO!$AF$11)),0)</f>
        <v>0</v>
      </c>
      <c r="AU658" s="545">
        <f ca="1">IF(AND($D658="Serviço",AU$12&lt;&gt;0,$H658&gt;0,OR(AUTOEVENTO&lt;&gt;"manual",$M658&lt;&gt;1)),
IF(Import.TipoArredondamento&lt;&gt;"TransfereGOV",
ROUND(OFFSET($P658,0,AU$13),15-13*ORÇAMENTO!$AF$7)/$H658*OFFSET(ORÇAMENTO!$X$15,ROW(AU658)-ROW(AU$15),0),
ROUND(ROUND(OFFSET($P658,0,AU$13),15-13*ORÇAMENTO!$AF$7)*OFFSET(ORÇAMENTO!$W$15,ROW(AU658)-ROW(AU$15),0),15-13*ORÇAMENTO!$AF$11)),0)</f>
        <v>0</v>
      </c>
      <c r="AV658" s="545">
        <f ca="1">IF(AND($D658="Serviço",AV$12&lt;&gt;0,$H658&gt;0,OR(AUTOEVENTO&lt;&gt;"manual",$M658&lt;&gt;1)),
IF(Import.TipoArredondamento&lt;&gt;"TransfereGOV",
ROUND(OFFSET($P658,0,AV$13),15-13*ORÇAMENTO!$AF$7)/$H658*OFFSET(ORÇAMENTO!$X$15,ROW(AV658)-ROW(AV$15),0),
ROUND(ROUND(OFFSET($P658,0,AV$13),15-13*ORÇAMENTO!$AF$7)*OFFSET(ORÇAMENTO!$W$15,ROW(AV658)-ROW(AV$15),0),15-13*ORÇAMENTO!$AF$11)),0)</f>
        <v>0</v>
      </c>
      <c r="AW658" s="545">
        <f ca="1">IF(AND($D658="Serviço",AW$12&lt;&gt;0,$H658&gt;0,OR(AUTOEVENTO&lt;&gt;"manual",$M658&lt;&gt;1)),
IF(Import.TipoArredondamento&lt;&gt;"TransfereGOV",
ROUND(OFFSET($P658,0,AW$13),15-13*ORÇAMENTO!$AF$7)/$H658*OFFSET(ORÇAMENTO!$X$15,ROW(AW658)-ROW(AW$15),0),
ROUND(ROUND(OFFSET($P658,0,AW$13),15-13*ORÇAMENTO!$AF$7)*OFFSET(ORÇAMENTO!$W$15,ROW(AW658)-ROW(AW$15),0),15-13*ORÇAMENTO!$AF$11)),0)</f>
        <v>0</v>
      </c>
      <c r="AX658" s="545">
        <f ca="1">IF(AND($D658="Serviço",AX$12&lt;&gt;0,$H658&gt;0,OR(AUTOEVENTO&lt;&gt;"manual",$M658&lt;&gt;1)),
IF(Import.TipoArredondamento&lt;&gt;"TransfereGOV",
ROUND(OFFSET($P658,0,AX$13),15-13*ORÇAMENTO!$AF$7)/$H658*OFFSET(ORÇAMENTO!$X$15,ROW(AX658)-ROW(AX$15),0),
ROUND(ROUND(OFFSET($P658,0,AX$13),15-13*ORÇAMENTO!$AF$7)*OFFSET(ORÇAMENTO!$W$15,ROW(AX658)-ROW(AX$15),0),15-13*ORÇAMENTO!$AF$11)),0)</f>
        <v>0</v>
      </c>
      <c r="AY658" s="545">
        <f ca="1">IF(AND($D658="Serviço",AY$12&lt;&gt;0,$H658&gt;0,OR(AUTOEVENTO&lt;&gt;"manual",$M658&lt;&gt;1)),
IF(Import.TipoArredondamento&lt;&gt;"TransfereGOV",
ROUND(OFFSET($P658,0,AY$13),15-13*ORÇAMENTO!$AF$7)/$H658*OFFSET(ORÇAMENTO!$X$15,ROW(AY658)-ROW(AY$15),0),
ROUND(ROUND(OFFSET($P658,0,AY$13),15-13*ORÇAMENTO!$AF$7)*OFFSET(ORÇAMENTO!$W$15,ROW(AY658)-ROW(AY$15),0),15-13*ORÇAMENTO!$AF$11)),0)</f>
        <v>0</v>
      </c>
      <c r="AZ658" s="545">
        <f ca="1">IF(AND($D658="Serviço",AZ$12&lt;&gt;0,$H658&gt;0,OR(AUTOEVENTO&lt;&gt;"manual",$M658&lt;&gt;1)),
IF(Import.TipoArredondamento&lt;&gt;"TransfereGOV",
ROUND(OFFSET($P658,0,AZ$13),15-13*ORÇAMENTO!$AF$7)/$H658*OFFSET(ORÇAMENTO!$X$15,ROW(AZ658)-ROW(AZ$15),0),
ROUND(ROUND(OFFSET($P658,0,AZ$13),15-13*ORÇAMENTO!$AF$7)*OFFSET(ORÇAMENTO!$W$15,ROW(AZ658)-ROW(AZ$15),0),15-13*ORÇAMENTO!$AF$11)),0)</f>
        <v>0</v>
      </c>
      <c r="BA658" s="546">
        <f ca="1">IF(AND($D658="Serviço",BA$12&lt;&gt;0,$H658&gt;0,OR(AUTOEVENTO&lt;&gt;"manual",$M658&lt;&gt;1)),
IF(Import.TipoArredondamento&lt;&gt;"TransfereGOV",
ROUND(OFFSET($P658,0,BA$13),15-13*ORÇAMENTO!$AF$7)/$H658*OFFSET(ORÇAMENTO!$X$15,ROW(BA658)-ROW(BA$15),0),
ROUND(ROUND(OFFSET($P658,0,BA$13),15-13*ORÇAMENTO!$AF$7)*OFFSET(ORÇAMENTO!$W$15,ROW(BA658)-ROW(BA$15),0),15-13*ORÇAMENTO!$AF$11)),0)</f>
        <v>0</v>
      </c>
      <c r="BC658" s="181">
        <f ca="1">IF($D658&lt;&gt;"Serviço",0,IF(AND(AUTOEVENTO="Manual",$M658=1),0,IF(OFFSET(CRONOPLE!$F$14,$M658,BC$13)="",10^12,OFFSET(CRONOPLE!$F$14,$M658,BC$13))))</f>
        <v>11</v>
      </c>
      <c r="BD658" s="181">
        <f ca="1">IF($D658&lt;&gt;"Serviço",0,IF(AND(AUTOEVENTO="Manual",$M658=1),0,IF(OFFSET(CRONOPLE!$F$14,$M658,BD$13)="",10^12,OFFSET(CRONOPLE!$F$14,$M658,BD$13))))</f>
        <v>1000000000000</v>
      </c>
      <c r="BE658" s="181">
        <f ca="1">IF($D658&lt;&gt;"Serviço",0,IF(AND(AUTOEVENTO="Manual",$M658=1),0,IF(OFFSET(CRONOPLE!$F$14,$M658,BE$13)="",10^12,OFFSET(CRONOPLE!$F$14,$M658,BE$13))))</f>
        <v>1000000000000</v>
      </c>
      <c r="BF658" s="181">
        <f ca="1">IF($D658&lt;&gt;"Serviço",0,IF(AND(AUTOEVENTO="Manual",$M658=1),0,IF(OFFSET(CRONOPLE!$F$14,$M658,BF$13)="",10^12,OFFSET(CRONOPLE!$F$14,$M658,BF$13))))</f>
        <v>1000000000000</v>
      </c>
      <c r="BG658" s="181">
        <f ca="1">IF($D658&lt;&gt;"Serviço",0,IF(AND(AUTOEVENTO="Manual",$M658=1),0,IF(OFFSET(CRONOPLE!$F$14,$M658,BG$13)="",10^12,OFFSET(CRONOPLE!$F$14,$M658,BG$13))))</f>
        <v>1000000000000</v>
      </c>
      <c r="BH658" s="181">
        <f ca="1">IF($D658&lt;&gt;"Serviço",0,IF(AND(AUTOEVENTO="Manual",$M658=1),0,IF(OFFSET(CRONOPLE!$F$14,$M658,BH$13)="",10^12,OFFSET(CRONOPLE!$F$14,$M658,BH$13))))</f>
        <v>1000000000000</v>
      </c>
      <c r="BI658" s="181">
        <f ca="1">IF($D658&lt;&gt;"Serviço",0,IF(AND(AUTOEVENTO="Manual",$M658=1),0,IF(OFFSET(CRONOPLE!$F$14,$M658,BI$13)="",10^12,OFFSET(CRONOPLE!$F$14,$M658,BI$13))))</f>
        <v>1000000000000</v>
      </c>
      <c r="BJ658" s="181">
        <f ca="1">IF($D658&lt;&gt;"Serviço",0,IF(AND(AUTOEVENTO="Manual",$M658=1),0,IF(OFFSET(CRONOPLE!$F$14,$M658,BJ$13)="",10^12,OFFSET(CRONOPLE!$F$14,$M658,BJ$13))))</f>
        <v>1000000000000</v>
      </c>
      <c r="BK658" s="181">
        <f ca="1">IF($D658&lt;&gt;"Serviço",0,IF(AND(AUTOEVENTO="Manual",$M658=1),0,IF(OFFSET(CRONOPLE!$F$14,$M658,BK$13)="",10^12,OFFSET(CRONOPLE!$F$14,$M658,BK$13))))</f>
        <v>1000000000000</v>
      </c>
      <c r="BL658" s="181">
        <f ca="1">IF($D658&lt;&gt;"Serviço",0,IF(AND(AUTOEVENTO="Manual",$M658=1),0,IF(OFFSET(CRONOPLE!$F$14,$M658,BL$13)="",10^12,OFFSET(CRONOPLE!$F$14,$M658,BL$13))))</f>
        <v>1000000000000</v>
      </c>
      <c r="BM658" s="181">
        <f ca="1">IF($D658&lt;&gt;"Serviço",0,IF(AND(AUTOEVENTO="Manual",$M658=1),0,IF(OFFSET(CRONOPLE!$F$14,$M658,BM$13)="",10^12,OFFSET(CRONOPLE!$F$14,$M658,BM$13))))</f>
        <v>1000000000000</v>
      </c>
      <c r="BN658" s="181">
        <f ca="1">IF($D658&lt;&gt;"Serviço",0,IF(AND(AUTOEVENTO="Manual",$M658=1),0,IF(OFFSET(CRONOPLE!$F$14,$M658,BN$13)="",10^12,OFFSET(CRONOPLE!$F$14,$M658,BN$13))))</f>
        <v>1000000000000</v>
      </c>
      <c r="BO658" s="181">
        <f ca="1">IF($D658&lt;&gt;"Serviço",0,IF(AND(AUTOEVENTO="Manual",$M658=1),0,IF(OFFSET(CRONOPLE!$F$14,$M658,BO$13)="",10^12,OFFSET(CRONOPLE!$F$14,$M658,BO$13))))</f>
        <v>1000000000000</v>
      </c>
      <c r="BP658" s="181">
        <f ca="1">IF($D658&lt;&gt;"Serviço",0,IF(AND(AUTOEVENTO="Manual",$M658=1),0,IF(OFFSET(CRONOPLE!$F$14,$M658,BP$13)="",10^12,OFFSET(CRONOPLE!$F$14,$M658,BP$13))))</f>
        <v>1000000000000</v>
      </c>
      <c r="BQ658" s="181">
        <f ca="1">IF($D658&lt;&gt;"Serviço",0,IF(AND(AUTOEVENTO="Manual",$M658=1),0,IF(OFFSET(CRONOPLE!$F$14,$M658,BQ$13)="",10^12,OFFSET(CRONOPLE!$F$14,$M658,BQ$13))))</f>
        <v>1000000000000</v>
      </c>
      <c r="BR658" s="181">
        <f ca="1">IF($D658&lt;&gt;"Serviço",0,IF(AND(AUTOEVENTO="Manual",$M658=1),0,IF(OFFSET(CRONOPLE!$F$14,$M658,BR$13)="",10^12,OFFSET(CRONOPLE!$F$14,$M658,BR$13))))</f>
        <v>1000000000000</v>
      </c>
      <c r="BS658" s="181">
        <f ca="1">IF($D658&lt;&gt;"Serviço",0,IF(AND(AUTOEVENTO="Manual",$M658=1),0,IF(OFFSET(CRONOPLE!$F$14,$M658,BS$13)="",10^12,OFFSET(CRONOPLE!$F$14,$M658,BS$13))))</f>
        <v>1000000000000</v>
      </c>
      <c r="BT658" s="181">
        <f ca="1">IF($D658&lt;&gt;"Serviço",0,IF(AND(AUTOEVENTO="Manual",$M658=1),0,IF(OFFSET(CRONOPLE!$F$14,$M658,BT$13)="",10^12,OFFSET(CRONOPLE!$F$14,$M658,BT$13))))</f>
        <v>1000000000000</v>
      </c>
      <c r="BV658" s="182">
        <f ca="1">IF($D658&lt;&gt;"Serviço",0,IF(OR(AND(AUTOEVENTO="Manual",$M658=1),$M658&gt;(ROW(PLE.lastrow)-ROW(PLE.firstrow))),0,IF(OFFSET(PLE!$G$14,$M658,BV$13)="",10^12,OFFSET(PLE!$G$14,$M658,BV$13))))</f>
        <v>1000000000000</v>
      </c>
      <c r="BW658" s="182">
        <f ca="1">IF($D658&lt;&gt;"Serviço",0,IF(OR(AND(AUTOEVENTO="Manual",$M658=1),$M658&gt;(ROW(PLE.lastrow)-ROW(PLE.firstrow))),0,IF(OFFSET(PLE!$G$14,$M658,BW$13)="",10^12,OFFSET(PLE!$G$14,$M658,BW$13))))</f>
        <v>1000000000000</v>
      </c>
      <c r="BX658" s="182">
        <f ca="1">IF($D658&lt;&gt;"Serviço",0,IF(OR(AND(AUTOEVENTO="Manual",$M658=1),$M658&gt;(ROW(PLE.lastrow)-ROW(PLE.firstrow))),0,IF(OFFSET(PLE!$G$14,$M658,BX$13)="",10^12,OFFSET(PLE!$G$14,$M658,BX$13))))</f>
        <v>1000000000000</v>
      </c>
      <c r="BY658" s="182">
        <f ca="1">IF($D658&lt;&gt;"Serviço",0,IF(OR(AND(AUTOEVENTO="Manual",$M658=1),$M658&gt;(ROW(PLE.lastrow)-ROW(PLE.firstrow))),0,IF(OFFSET(PLE!$G$14,$M658,BY$13)="",10^12,OFFSET(PLE!$G$14,$M658,BY$13))))</f>
        <v>1000000000000</v>
      </c>
      <c r="BZ658" s="182">
        <f ca="1">IF($D658&lt;&gt;"Serviço",0,IF(OR(AND(AUTOEVENTO="Manual",$M658=1),$M658&gt;(ROW(PLE.lastrow)-ROW(PLE.firstrow))),0,IF(OFFSET(PLE!$G$14,$M658,BZ$13)="",10^12,OFFSET(PLE!$G$14,$M658,BZ$13))))</f>
        <v>1000000000000</v>
      </c>
      <c r="CA658" s="182">
        <f ca="1">IF($D658&lt;&gt;"Serviço",0,IF(OR(AND(AUTOEVENTO="Manual",$M658=1),$M658&gt;(ROW(PLE.lastrow)-ROW(PLE.firstrow))),0,IF(OFFSET(PLE!$G$14,$M658,CA$13)="",10^12,OFFSET(PLE!$G$14,$M658,CA$13))))</f>
        <v>1000000000000</v>
      </c>
      <c r="CB658" s="182">
        <f ca="1">IF($D658&lt;&gt;"Serviço",0,IF(OR(AND(AUTOEVENTO="Manual",$M658=1),$M658&gt;(ROW(PLE.lastrow)-ROW(PLE.firstrow))),0,IF(OFFSET(PLE!$G$14,$M658,CB$13)="",10^12,OFFSET(PLE!$G$14,$M658,CB$13))))</f>
        <v>1000000000000</v>
      </c>
      <c r="CC658" s="182">
        <f ca="1">IF($D658&lt;&gt;"Serviço",0,IF(OR(AND(AUTOEVENTO="Manual",$M658=1),$M658&gt;(ROW(PLE.lastrow)-ROW(PLE.firstrow))),0,IF(OFFSET(PLE!$G$14,$M658,CC$13)="",10^12,OFFSET(PLE!$G$14,$M658,CC$13))))</f>
        <v>1000000000000</v>
      </c>
      <c r="CD658" s="182">
        <f ca="1">IF($D658&lt;&gt;"Serviço",0,IF(OR(AND(AUTOEVENTO="Manual",$M658=1),$M658&gt;(ROW(PLE.lastrow)-ROW(PLE.firstrow))),0,IF(OFFSET(PLE!$G$14,$M658,CD$13)="",10^12,OFFSET(PLE!$G$14,$M658,CD$13))))</f>
        <v>1000000000000</v>
      </c>
      <c r="CE658" s="182">
        <f ca="1">IF($D658&lt;&gt;"Serviço",0,IF(OR(AND(AUTOEVENTO="Manual",$M658=1),$M658&gt;(ROW(PLE.lastrow)-ROW(PLE.firstrow))),0,IF(OFFSET(PLE!$G$14,$M658,CE$13)="",10^12,OFFSET(PLE!$G$14,$M658,CE$13))))</f>
        <v>1000000000000</v>
      </c>
      <c r="CF658" s="182">
        <f ca="1">IF($D658&lt;&gt;"Serviço",0,IF(OR(AND(AUTOEVENTO="Manual",$M658=1),$M658&gt;(ROW(PLE.lastrow)-ROW(PLE.firstrow))),0,IF(OFFSET(PLE!$G$14,$M658,CF$13)="",10^12,OFFSET(PLE!$G$14,$M658,CF$13))))</f>
        <v>1000000000000</v>
      </c>
      <c r="CG658" s="182">
        <f ca="1">IF($D658&lt;&gt;"Serviço",0,IF(OR(AND(AUTOEVENTO="Manual",$M658=1),$M658&gt;(ROW(PLE.lastrow)-ROW(PLE.firstrow))),0,IF(OFFSET(PLE!$G$14,$M658,CG$13)="",10^12,OFFSET(PLE!$G$14,$M658,CG$13))))</f>
        <v>1000000000000</v>
      </c>
      <c r="CH658" s="182">
        <f ca="1">IF($D658&lt;&gt;"Serviço",0,IF(OR(AND(AUTOEVENTO="Manual",$M658=1),$M658&gt;(ROW(PLE.lastrow)-ROW(PLE.firstrow))),0,IF(OFFSET(PLE!$G$14,$M658,CH$13)="",10^12,OFFSET(PLE!$G$14,$M658,CH$13))))</f>
        <v>1000000000000</v>
      </c>
      <c r="CI658" s="182">
        <f ca="1">IF($D658&lt;&gt;"Serviço",0,IF(OR(AND(AUTOEVENTO="Manual",$M658=1),$M658&gt;(ROW(PLE.lastrow)-ROW(PLE.firstrow))),0,IF(OFFSET(PLE!$G$14,$M658,CI$13)="",10^12,OFFSET(PLE!$G$14,$M658,CI$13))))</f>
        <v>1000000000000</v>
      </c>
      <c r="CJ658" s="182">
        <f ca="1">IF($D658&lt;&gt;"Serviço",0,IF(OR(AND(AUTOEVENTO="Manual",$M658=1),$M658&gt;(ROW(PLE.lastrow)-ROW(PLE.firstrow))),0,IF(OFFSET(PLE!$G$14,$M658,CJ$13)="",10^12,OFFSET(PLE!$G$14,$M658,CJ$13))))</f>
        <v>1000000000000</v>
      </c>
      <c r="CK658" s="182">
        <f ca="1">IF($D658&lt;&gt;"Serviço",0,IF(OR(AND(AUTOEVENTO="Manual",$M658=1),$M658&gt;(ROW(PLE.lastrow)-ROW(PLE.firstrow))),0,IF(OFFSET(PLE!$G$14,$M658,CK$13)="",10^12,OFFSET(PLE!$G$14,$M658,CK$13))))</f>
        <v>1000000000000</v>
      </c>
      <c r="CL658" s="182">
        <f ca="1">IF($D658&lt;&gt;"Serviço",0,IF(OR(AND(AUTOEVENTO="Manual",$M658=1),$M658&gt;(ROW(PLE.lastrow)-ROW(PLE.firstrow))),0,IF(OFFSET(PLE!$G$14,$M658,CL$13)="",10^12,OFFSET(PLE!$G$14,$M658,CL$13))))</f>
        <v>1000000000000</v>
      </c>
      <c r="CM658" s="182">
        <f ca="1">IF($D658&lt;&gt;"Serviço",0,IF(OR(AND(AUTOEVENTO="Manual",$M658=1),$M658&gt;(ROW(PLE.lastrow)-ROW(PLE.firstrow))),0,IF(OFFSET(PLE!$G$14,$M658,CM$13)="",10^12,OFFSET(PLE!$G$14,$M658,CM$13))))</f>
        <v>1000000000000</v>
      </c>
    </row>
    <row r="659" spans="1:91" ht="25.5" x14ac:dyDescent="0.2">
      <c r="A659" s="7" t="str">
        <f t="shared" ca="1" si="19"/>
        <v>641</v>
      </c>
      <c r="B659" s="7" t="str">
        <f ca="1">OFFSET(ORÇAMENTO!C$15,ROW(B659)-ROW(B$15),0)</f>
        <v>S</v>
      </c>
      <c r="C659" s="7" t="str">
        <f ca="1">OFFSET(ORÇAMENTO!L$15,ROW(C659)-ROW(C$15),0)</f>
        <v/>
      </c>
      <c r="D659" s="118" t="str">
        <f ca="1">OFFSET(ORÇAMENTO!N$15,ROW(D659)-ROW(D$15),0)</f>
        <v>Serviço</v>
      </c>
      <c r="E659" s="119" t="str">
        <f ca="1">OFFSET(ORÇAMENTO!O$15,ROW(E659)-ROW(E$15),0)</f>
        <v>-</v>
      </c>
      <c r="F659" s="172" t="str">
        <f ca="1">OFFSET(ORÇAMENTO!R$15,ROW(F659)-ROW(F$15),0)</f>
        <v>(abra o arquivo 'Referência 06-2024.xlsm)</v>
      </c>
      <c r="G659" s="173" t="str">
        <f ca="1">IF($D659&lt;&gt;"Serviço","",OFFSET(ORÇAMENTO!S$15,ROW(G659)-ROW(G$15),0))</f>
        <v>-</v>
      </c>
      <c r="H659" s="124">
        <f ca="1">IF($D659&lt;&gt;"Serviço",0,IF(ACOMPANHAMENTO="BM",ROUND(OFFSET(ORÇAMENTO!AJ$15,ROW(H659)-ROW(H$15),0),15-13*ORÇAMENTO!$AF$7),SUMPRODUCT(($Q$12:$AI$12&lt;&gt;"")*ROUND($Q659:$AI659,15-13*ORÇAMENTO!$AF$7))))</f>
        <v>1</v>
      </c>
      <c r="I659" s="561" t="s">
        <v>1107</v>
      </c>
      <c r="K659" s="174"/>
      <c r="L659" s="175" t="s">
        <v>255</v>
      </c>
      <c r="M659" s="176">
        <f ca="1">IF($D659&lt;&gt;"Serviço","",IF(AUTOEVENTO="manual",$A659,IF(ISERROR(MATCH($A659,$A$15:OFFSET($A659,-1,0),0)),MAX($M$15:OFFSET(M659,-1,0))+1,INDEX($M$15:OFFSET(M659,-1,0),MATCH($A659,$A$15:OFFSET($A659,-1,0),0)))))</f>
        <v>71</v>
      </c>
      <c r="N659" s="177" t="str">
        <f ca="1">IF($D659&lt;&gt;"Serviço","",IF(AUTOEVENTO="Manual",IF($A659=0,"&lt;-- defina o número do agrupador",OFFSET(EVENTOS!$D$14,$A659,0)),OFFSET($F$15,$A659,0)))</f>
        <v>SISTEMA DE EXAUSTÃO MECÂNICA</v>
      </c>
      <c r="O659" s="178"/>
      <c r="Q659" s="178">
        <v>1</v>
      </c>
      <c r="R659" s="179"/>
      <c r="S659" s="179"/>
      <c r="T659" s="179"/>
      <c r="U659" s="179"/>
      <c r="V659" s="179"/>
      <c r="W659" s="179"/>
      <c r="X659" s="179"/>
      <c r="Y659" s="179"/>
      <c r="Z659" s="180"/>
      <c r="AA659" s="179"/>
      <c r="AB659" s="179"/>
      <c r="AC659" s="179"/>
      <c r="AD659" s="179"/>
      <c r="AE659" s="179"/>
      <c r="AF659" s="179"/>
      <c r="AG659" s="179"/>
      <c r="AH659" s="180"/>
      <c r="AJ659" s="544">
        <f ca="1">IF(AND($D659="Serviço",AJ$12&lt;&gt;0,$H659&gt;0,OR(AUTOEVENTO&lt;&gt;"manual",$M659&lt;&gt;1)),
IF(Import.TipoArredondamento&lt;&gt;"TransfereGOV",
ROUND(OFFSET($P659,0,AJ$13),15-13*ORÇAMENTO!$AF$7)/$H659*OFFSET(ORÇAMENTO!$X$15,ROW(AJ659)-ROW(AJ$15),0),
ROUND(ROUND(OFFSET($P659,0,AJ$13),15-13*ORÇAMENTO!$AF$7)*OFFSET(ORÇAMENTO!$W$15,ROW(AJ659)-ROW(AJ$15),0),15-13*ORÇAMENTO!$AF$11)),0)</f>
        <v>0</v>
      </c>
      <c r="AK659" s="545">
        <f ca="1">IF(AND($D659="Serviço",AK$12&lt;&gt;0,$H659&gt;0,OR(AUTOEVENTO&lt;&gt;"manual",$M659&lt;&gt;1)),
IF(Import.TipoArredondamento&lt;&gt;"TransfereGOV",
ROUND(OFFSET($P659,0,AK$13),15-13*ORÇAMENTO!$AF$7)/$H659*OFFSET(ORÇAMENTO!$X$15,ROW(AK659)-ROW(AK$15),0),
ROUND(ROUND(OFFSET($P659,0,AK$13),15-13*ORÇAMENTO!$AF$7)*OFFSET(ORÇAMENTO!$W$15,ROW(AK659)-ROW(AK$15),0),15-13*ORÇAMENTO!$AF$11)),0)</f>
        <v>0</v>
      </c>
      <c r="AL659" s="545">
        <f ca="1">IF(AND($D659="Serviço",AL$12&lt;&gt;0,$H659&gt;0,OR(AUTOEVENTO&lt;&gt;"manual",$M659&lt;&gt;1)),
IF(Import.TipoArredondamento&lt;&gt;"TransfereGOV",
ROUND(OFFSET($P659,0,AL$13),15-13*ORÇAMENTO!$AF$7)/$H659*OFFSET(ORÇAMENTO!$X$15,ROW(AL659)-ROW(AL$15),0),
ROUND(ROUND(OFFSET($P659,0,AL$13),15-13*ORÇAMENTO!$AF$7)*OFFSET(ORÇAMENTO!$W$15,ROW(AL659)-ROW(AL$15),0),15-13*ORÇAMENTO!$AF$11)),0)</f>
        <v>0</v>
      </c>
      <c r="AM659" s="545">
        <f ca="1">IF(AND($D659="Serviço",AM$12&lt;&gt;0,$H659&gt;0,OR(AUTOEVENTO&lt;&gt;"manual",$M659&lt;&gt;1)),
IF(Import.TipoArredondamento&lt;&gt;"TransfereGOV",
ROUND(OFFSET($P659,0,AM$13),15-13*ORÇAMENTO!$AF$7)/$H659*OFFSET(ORÇAMENTO!$X$15,ROW(AM659)-ROW(AM$15),0),
ROUND(ROUND(OFFSET($P659,0,AM$13),15-13*ORÇAMENTO!$AF$7)*OFFSET(ORÇAMENTO!$W$15,ROW(AM659)-ROW(AM$15),0),15-13*ORÇAMENTO!$AF$11)),0)</f>
        <v>0</v>
      </c>
      <c r="AN659" s="545">
        <f ca="1">IF(AND($D659="Serviço",AN$12&lt;&gt;0,$H659&gt;0,OR(AUTOEVENTO&lt;&gt;"manual",$M659&lt;&gt;1)),
IF(Import.TipoArredondamento&lt;&gt;"TransfereGOV",
ROUND(OFFSET($P659,0,AN$13),15-13*ORÇAMENTO!$AF$7)/$H659*OFFSET(ORÇAMENTO!$X$15,ROW(AN659)-ROW(AN$15),0),
ROUND(ROUND(OFFSET($P659,0,AN$13),15-13*ORÇAMENTO!$AF$7)*OFFSET(ORÇAMENTO!$W$15,ROW(AN659)-ROW(AN$15),0),15-13*ORÇAMENTO!$AF$11)),0)</f>
        <v>0</v>
      </c>
      <c r="AO659" s="545">
        <f ca="1">IF(AND($D659="Serviço",AO$12&lt;&gt;0,$H659&gt;0,OR(AUTOEVENTO&lt;&gt;"manual",$M659&lt;&gt;1)),
IF(Import.TipoArredondamento&lt;&gt;"TransfereGOV",
ROUND(OFFSET($P659,0,AO$13),15-13*ORÇAMENTO!$AF$7)/$H659*OFFSET(ORÇAMENTO!$X$15,ROW(AO659)-ROW(AO$15),0),
ROUND(ROUND(OFFSET($P659,0,AO$13),15-13*ORÇAMENTO!$AF$7)*OFFSET(ORÇAMENTO!$W$15,ROW(AO659)-ROW(AO$15),0),15-13*ORÇAMENTO!$AF$11)),0)</f>
        <v>0</v>
      </c>
      <c r="AP659" s="545">
        <f ca="1">IF(AND($D659="Serviço",AP$12&lt;&gt;0,$H659&gt;0,OR(AUTOEVENTO&lt;&gt;"manual",$M659&lt;&gt;1)),
IF(Import.TipoArredondamento&lt;&gt;"TransfereGOV",
ROUND(OFFSET($P659,0,AP$13),15-13*ORÇAMENTO!$AF$7)/$H659*OFFSET(ORÇAMENTO!$X$15,ROW(AP659)-ROW(AP$15),0),
ROUND(ROUND(OFFSET($P659,0,AP$13),15-13*ORÇAMENTO!$AF$7)*OFFSET(ORÇAMENTO!$W$15,ROW(AP659)-ROW(AP$15),0),15-13*ORÇAMENTO!$AF$11)),0)</f>
        <v>0</v>
      </c>
      <c r="AQ659" s="545">
        <f ca="1">IF(AND($D659="Serviço",AQ$12&lt;&gt;0,$H659&gt;0,OR(AUTOEVENTO&lt;&gt;"manual",$M659&lt;&gt;1)),
IF(Import.TipoArredondamento&lt;&gt;"TransfereGOV",
ROUND(OFFSET($P659,0,AQ$13),15-13*ORÇAMENTO!$AF$7)/$H659*OFFSET(ORÇAMENTO!$X$15,ROW(AQ659)-ROW(AQ$15),0),
ROUND(ROUND(OFFSET($P659,0,AQ$13),15-13*ORÇAMENTO!$AF$7)*OFFSET(ORÇAMENTO!$W$15,ROW(AQ659)-ROW(AQ$15),0),15-13*ORÇAMENTO!$AF$11)),0)</f>
        <v>0</v>
      </c>
      <c r="AR659" s="545">
        <f ca="1">IF(AND($D659="Serviço",AR$12&lt;&gt;0,$H659&gt;0,OR(AUTOEVENTO&lt;&gt;"manual",$M659&lt;&gt;1)),
IF(Import.TipoArredondamento&lt;&gt;"TransfereGOV",
ROUND(OFFSET($P659,0,AR$13),15-13*ORÇAMENTO!$AF$7)/$H659*OFFSET(ORÇAMENTO!$X$15,ROW(AR659)-ROW(AR$15),0),
ROUND(ROUND(OFFSET($P659,0,AR$13),15-13*ORÇAMENTO!$AF$7)*OFFSET(ORÇAMENTO!$W$15,ROW(AR659)-ROW(AR$15),0),15-13*ORÇAMENTO!$AF$11)),0)</f>
        <v>0</v>
      </c>
      <c r="AS659" s="546">
        <f ca="1">IF(AND($D659="Serviço",AS$12&lt;&gt;0,$H659&gt;0,OR(AUTOEVENTO&lt;&gt;"manual",$M659&lt;&gt;1)),
IF(Import.TipoArredondamento&lt;&gt;"TransfereGOV",
ROUND(OFFSET($P659,0,AS$13),15-13*ORÇAMENTO!$AF$7)/$H659*OFFSET(ORÇAMENTO!$X$15,ROW(AS659)-ROW(AS$15),0),
ROUND(ROUND(OFFSET($P659,0,AS$13),15-13*ORÇAMENTO!$AF$7)*OFFSET(ORÇAMENTO!$W$15,ROW(AS659)-ROW(AS$15),0),15-13*ORÇAMENTO!$AF$11)),0)</f>
        <v>0</v>
      </c>
      <c r="AT659" s="545">
        <f ca="1">IF(AND($D659="Serviço",AT$12&lt;&gt;0,$H659&gt;0,OR(AUTOEVENTO&lt;&gt;"manual",$M659&lt;&gt;1)),
IF(Import.TipoArredondamento&lt;&gt;"TransfereGOV",
ROUND(OFFSET($P659,0,AT$13),15-13*ORÇAMENTO!$AF$7)/$H659*OFFSET(ORÇAMENTO!$X$15,ROW(AT659)-ROW(AT$15),0),
ROUND(ROUND(OFFSET($P659,0,AT$13),15-13*ORÇAMENTO!$AF$7)*OFFSET(ORÇAMENTO!$W$15,ROW(AT659)-ROW(AT$15),0),15-13*ORÇAMENTO!$AF$11)),0)</f>
        <v>0</v>
      </c>
      <c r="AU659" s="545">
        <f ca="1">IF(AND($D659="Serviço",AU$12&lt;&gt;0,$H659&gt;0,OR(AUTOEVENTO&lt;&gt;"manual",$M659&lt;&gt;1)),
IF(Import.TipoArredondamento&lt;&gt;"TransfereGOV",
ROUND(OFFSET($P659,0,AU$13),15-13*ORÇAMENTO!$AF$7)/$H659*OFFSET(ORÇAMENTO!$X$15,ROW(AU659)-ROW(AU$15),0),
ROUND(ROUND(OFFSET($P659,0,AU$13),15-13*ORÇAMENTO!$AF$7)*OFFSET(ORÇAMENTO!$W$15,ROW(AU659)-ROW(AU$15),0),15-13*ORÇAMENTO!$AF$11)),0)</f>
        <v>0</v>
      </c>
      <c r="AV659" s="545">
        <f ca="1">IF(AND($D659="Serviço",AV$12&lt;&gt;0,$H659&gt;0,OR(AUTOEVENTO&lt;&gt;"manual",$M659&lt;&gt;1)),
IF(Import.TipoArredondamento&lt;&gt;"TransfereGOV",
ROUND(OFFSET($P659,0,AV$13),15-13*ORÇAMENTO!$AF$7)/$H659*OFFSET(ORÇAMENTO!$X$15,ROW(AV659)-ROW(AV$15),0),
ROUND(ROUND(OFFSET($P659,0,AV$13),15-13*ORÇAMENTO!$AF$7)*OFFSET(ORÇAMENTO!$W$15,ROW(AV659)-ROW(AV$15),0),15-13*ORÇAMENTO!$AF$11)),0)</f>
        <v>0</v>
      </c>
      <c r="AW659" s="545">
        <f ca="1">IF(AND($D659="Serviço",AW$12&lt;&gt;0,$H659&gt;0,OR(AUTOEVENTO&lt;&gt;"manual",$M659&lt;&gt;1)),
IF(Import.TipoArredondamento&lt;&gt;"TransfereGOV",
ROUND(OFFSET($P659,0,AW$13),15-13*ORÇAMENTO!$AF$7)/$H659*OFFSET(ORÇAMENTO!$X$15,ROW(AW659)-ROW(AW$15),0),
ROUND(ROUND(OFFSET($P659,0,AW$13),15-13*ORÇAMENTO!$AF$7)*OFFSET(ORÇAMENTO!$W$15,ROW(AW659)-ROW(AW$15),0),15-13*ORÇAMENTO!$AF$11)),0)</f>
        <v>0</v>
      </c>
      <c r="AX659" s="545">
        <f ca="1">IF(AND($D659="Serviço",AX$12&lt;&gt;0,$H659&gt;0,OR(AUTOEVENTO&lt;&gt;"manual",$M659&lt;&gt;1)),
IF(Import.TipoArredondamento&lt;&gt;"TransfereGOV",
ROUND(OFFSET($P659,0,AX$13),15-13*ORÇAMENTO!$AF$7)/$H659*OFFSET(ORÇAMENTO!$X$15,ROW(AX659)-ROW(AX$15),0),
ROUND(ROUND(OFFSET($P659,0,AX$13),15-13*ORÇAMENTO!$AF$7)*OFFSET(ORÇAMENTO!$W$15,ROW(AX659)-ROW(AX$15),0),15-13*ORÇAMENTO!$AF$11)),0)</f>
        <v>0</v>
      </c>
      <c r="AY659" s="545">
        <f ca="1">IF(AND($D659="Serviço",AY$12&lt;&gt;0,$H659&gt;0,OR(AUTOEVENTO&lt;&gt;"manual",$M659&lt;&gt;1)),
IF(Import.TipoArredondamento&lt;&gt;"TransfereGOV",
ROUND(OFFSET($P659,0,AY$13),15-13*ORÇAMENTO!$AF$7)/$H659*OFFSET(ORÇAMENTO!$X$15,ROW(AY659)-ROW(AY$15),0),
ROUND(ROUND(OFFSET($P659,0,AY$13),15-13*ORÇAMENTO!$AF$7)*OFFSET(ORÇAMENTO!$W$15,ROW(AY659)-ROW(AY$15),0),15-13*ORÇAMENTO!$AF$11)),0)</f>
        <v>0</v>
      </c>
      <c r="AZ659" s="545">
        <f ca="1">IF(AND($D659="Serviço",AZ$12&lt;&gt;0,$H659&gt;0,OR(AUTOEVENTO&lt;&gt;"manual",$M659&lt;&gt;1)),
IF(Import.TipoArredondamento&lt;&gt;"TransfereGOV",
ROUND(OFFSET($P659,0,AZ$13),15-13*ORÇAMENTO!$AF$7)/$H659*OFFSET(ORÇAMENTO!$X$15,ROW(AZ659)-ROW(AZ$15),0),
ROUND(ROUND(OFFSET($P659,0,AZ$13),15-13*ORÇAMENTO!$AF$7)*OFFSET(ORÇAMENTO!$W$15,ROW(AZ659)-ROW(AZ$15),0),15-13*ORÇAMENTO!$AF$11)),0)</f>
        <v>0</v>
      </c>
      <c r="BA659" s="546">
        <f ca="1">IF(AND($D659="Serviço",BA$12&lt;&gt;0,$H659&gt;0,OR(AUTOEVENTO&lt;&gt;"manual",$M659&lt;&gt;1)),
IF(Import.TipoArredondamento&lt;&gt;"TransfereGOV",
ROUND(OFFSET($P659,0,BA$13),15-13*ORÇAMENTO!$AF$7)/$H659*OFFSET(ORÇAMENTO!$X$15,ROW(BA659)-ROW(BA$15),0),
ROUND(ROUND(OFFSET($P659,0,BA$13),15-13*ORÇAMENTO!$AF$7)*OFFSET(ORÇAMENTO!$W$15,ROW(BA659)-ROW(BA$15),0),15-13*ORÇAMENTO!$AF$11)),0)</f>
        <v>0</v>
      </c>
      <c r="BC659" s="181">
        <f ca="1">IF($D659&lt;&gt;"Serviço",0,IF(AND(AUTOEVENTO="Manual",$M659=1),0,IF(OFFSET(CRONOPLE!$F$14,$M659,BC$13)="",10^12,OFFSET(CRONOPLE!$F$14,$M659,BC$13))))</f>
        <v>11</v>
      </c>
      <c r="BD659" s="181">
        <f ca="1">IF($D659&lt;&gt;"Serviço",0,IF(AND(AUTOEVENTO="Manual",$M659=1),0,IF(OFFSET(CRONOPLE!$F$14,$M659,BD$13)="",10^12,OFFSET(CRONOPLE!$F$14,$M659,BD$13))))</f>
        <v>1000000000000</v>
      </c>
      <c r="BE659" s="181">
        <f ca="1">IF($D659&lt;&gt;"Serviço",0,IF(AND(AUTOEVENTO="Manual",$M659=1),0,IF(OFFSET(CRONOPLE!$F$14,$M659,BE$13)="",10^12,OFFSET(CRONOPLE!$F$14,$M659,BE$13))))</f>
        <v>1000000000000</v>
      </c>
      <c r="BF659" s="181">
        <f ca="1">IF($D659&lt;&gt;"Serviço",0,IF(AND(AUTOEVENTO="Manual",$M659=1),0,IF(OFFSET(CRONOPLE!$F$14,$M659,BF$13)="",10^12,OFFSET(CRONOPLE!$F$14,$M659,BF$13))))</f>
        <v>1000000000000</v>
      </c>
      <c r="BG659" s="181">
        <f ca="1">IF($D659&lt;&gt;"Serviço",0,IF(AND(AUTOEVENTO="Manual",$M659=1),0,IF(OFFSET(CRONOPLE!$F$14,$M659,BG$13)="",10^12,OFFSET(CRONOPLE!$F$14,$M659,BG$13))))</f>
        <v>1000000000000</v>
      </c>
      <c r="BH659" s="181">
        <f ca="1">IF($D659&lt;&gt;"Serviço",0,IF(AND(AUTOEVENTO="Manual",$M659=1),0,IF(OFFSET(CRONOPLE!$F$14,$M659,BH$13)="",10^12,OFFSET(CRONOPLE!$F$14,$M659,BH$13))))</f>
        <v>1000000000000</v>
      </c>
      <c r="BI659" s="181">
        <f ca="1">IF($D659&lt;&gt;"Serviço",0,IF(AND(AUTOEVENTO="Manual",$M659=1),0,IF(OFFSET(CRONOPLE!$F$14,$M659,BI$13)="",10^12,OFFSET(CRONOPLE!$F$14,$M659,BI$13))))</f>
        <v>1000000000000</v>
      </c>
      <c r="BJ659" s="181">
        <f ca="1">IF($D659&lt;&gt;"Serviço",0,IF(AND(AUTOEVENTO="Manual",$M659=1),0,IF(OFFSET(CRONOPLE!$F$14,$M659,BJ$13)="",10^12,OFFSET(CRONOPLE!$F$14,$M659,BJ$13))))</f>
        <v>1000000000000</v>
      </c>
      <c r="BK659" s="181">
        <f ca="1">IF($D659&lt;&gt;"Serviço",0,IF(AND(AUTOEVENTO="Manual",$M659=1),0,IF(OFFSET(CRONOPLE!$F$14,$M659,BK$13)="",10^12,OFFSET(CRONOPLE!$F$14,$M659,BK$13))))</f>
        <v>1000000000000</v>
      </c>
      <c r="BL659" s="181">
        <f ca="1">IF($D659&lt;&gt;"Serviço",0,IF(AND(AUTOEVENTO="Manual",$M659=1),0,IF(OFFSET(CRONOPLE!$F$14,$M659,BL$13)="",10^12,OFFSET(CRONOPLE!$F$14,$M659,BL$13))))</f>
        <v>1000000000000</v>
      </c>
      <c r="BM659" s="181">
        <f ca="1">IF($D659&lt;&gt;"Serviço",0,IF(AND(AUTOEVENTO="Manual",$M659=1),0,IF(OFFSET(CRONOPLE!$F$14,$M659,BM$13)="",10^12,OFFSET(CRONOPLE!$F$14,$M659,BM$13))))</f>
        <v>1000000000000</v>
      </c>
      <c r="BN659" s="181">
        <f ca="1">IF($D659&lt;&gt;"Serviço",0,IF(AND(AUTOEVENTO="Manual",$M659=1),0,IF(OFFSET(CRONOPLE!$F$14,$M659,BN$13)="",10^12,OFFSET(CRONOPLE!$F$14,$M659,BN$13))))</f>
        <v>1000000000000</v>
      </c>
      <c r="BO659" s="181">
        <f ca="1">IF($D659&lt;&gt;"Serviço",0,IF(AND(AUTOEVENTO="Manual",$M659=1),0,IF(OFFSET(CRONOPLE!$F$14,$M659,BO$13)="",10^12,OFFSET(CRONOPLE!$F$14,$M659,BO$13))))</f>
        <v>1000000000000</v>
      </c>
      <c r="BP659" s="181">
        <f ca="1">IF($D659&lt;&gt;"Serviço",0,IF(AND(AUTOEVENTO="Manual",$M659=1),0,IF(OFFSET(CRONOPLE!$F$14,$M659,BP$13)="",10^12,OFFSET(CRONOPLE!$F$14,$M659,BP$13))))</f>
        <v>1000000000000</v>
      </c>
      <c r="BQ659" s="181">
        <f ca="1">IF($D659&lt;&gt;"Serviço",0,IF(AND(AUTOEVENTO="Manual",$M659=1),0,IF(OFFSET(CRONOPLE!$F$14,$M659,BQ$13)="",10^12,OFFSET(CRONOPLE!$F$14,$M659,BQ$13))))</f>
        <v>1000000000000</v>
      </c>
      <c r="BR659" s="181">
        <f ca="1">IF($D659&lt;&gt;"Serviço",0,IF(AND(AUTOEVENTO="Manual",$M659=1),0,IF(OFFSET(CRONOPLE!$F$14,$M659,BR$13)="",10^12,OFFSET(CRONOPLE!$F$14,$M659,BR$13))))</f>
        <v>1000000000000</v>
      </c>
      <c r="BS659" s="181">
        <f ca="1">IF($D659&lt;&gt;"Serviço",0,IF(AND(AUTOEVENTO="Manual",$M659=1),0,IF(OFFSET(CRONOPLE!$F$14,$M659,BS$13)="",10^12,OFFSET(CRONOPLE!$F$14,$M659,BS$13))))</f>
        <v>1000000000000</v>
      </c>
      <c r="BT659" s="181">
        <f ca="1">IF($D659&lt;&gt;"Serviço",0,IF(AND(AUTOEVENTO="Manual",$M659=1),0,IF(OFFSET(CRONOPLE!$F$14,$M659,BT$13)="",10^12,OFFSET(CRONOPLE!$F$14,$M659,BT$13))))</f>
        <v>1000000000000</v>
      </c>
      <c r="BV659" s="182">
        <f ca="1">IF($D659&lt;&gt;"Serviço",0,IF(OR(AND(AUTOEVENTO="Manual",$M659=1),$M659&gt;(ROW(PLE.lastrow)-ROW(PLE.firstrow))),0,IF(OFFSET(PLE!$G$14,$M659,BV$13)="",10^12,OFFSET(PLE!$G$14,$M659,BV$13))))</f>
        <v>1000000000000</v>
      </c>
      <c r="BW659" s="182">
        <f ca="1">IF($D659&lt;&gt;"Serviço",0,IF(OR(AND(AUTOEVENTO="Manual",$M659=1),$M659&gt;(ROW(PLE.lastrow)-ROW(PLE.firstrow))),0,IF(OFFSET(PLE!$G$14,$M659,BW$13)="",10^12,OFFSET(PLE!$G$14,$M659,BW$13))))</f>
        <v>1000000000000</v>
      </c>
      <c r="BX659" s="182">
        <f ca="1">IF($D659&lt;&gt;"Serviço",0,IF(OR(AND(AUTOEVENTO="Manual",$M659=1),$M659&gt;(ROW(PLE.lastrow)-ROW(PLE.firstrow))),0,IF(OFFSET(PLE!$G$14,$M659,BX$13)="",10^12,OFFSET(PLE!$G$14,$M659,BX$13))))</f>
        <v>1000000000000</v>
      </c>
      <c r="BY659" s="182">
        <f ca="1">IF($D659&lt;&gt;"Serviço",0,IF(OR(AND(AUTOEVENTO="Manual",$M659=1),$M659&gt;(ROW(PLE.lastrow)-ROW(PLE.firstrow))),0,IF(OFFSET(PLE!$G$14,$M659,BY$13)="",10^12,OFFSET(PLE!$G$14,$M659,BY$13))))</f>
        <v>1000000000000</v>
      </c>
      <c r="BZ659" s="182">
        <f ca="1">IF($D659&lt;&gt;"Serviço",0,IF(OR(AND(AUTOEVENTO="Manual",$M659=1),$M659&gt;(ROW(PLE.lastrow)-ROW(PLE.firstrow))),0,IF(OFFSET(PLE!$G$14,$M659,BZ$13)="",10^12,OFFSET(PLE!$G$14,$M659,BZ$13))))</f>
        <v>1000000000000</v>
      </c>
      <c r="CA659" s="182">
        <f ca="1">IF($D659&lt;&gt;"Serviço",0,IF(OR(AND(AUTOEVENTO="Manual",$M659=1),$M659&gt;(ROW(PLE.lastrow)-ROW(PLE.firstrow))),0,IF(OFFSET(PLE!$G$14,$M659,CA$13)="",10^12,OFFSET(PLE!$G$14,$M659,CA$13))))</f>
        <v>1000000000000</v>
      </c>
      <c r="CB659" s="182">
        <f ca="1">IF($D659&lt;&gt;"Serviço",0,IF(OR(AND(AUTOEVENTO="Manual",$M659=1),$M659&gt;(ROW(PLE.lastrow)-ROW(PLE.firstrow))),0,IF(OFFSET(PLE!$G$14,$M659,CB$13)="",10^12,OFFSET(PLE!$G$14,$M659,CB$13))))</f>
        <v>1000000000000</v>
      </c>
      <c r="CC659" s="182">
        <f ca="1">IF($D659&lt;&gt;"Serviço",0,IF(OR(AND(AUTOEVENTO="Manual",$M659=1),$M659&gt;(ROW(PLE.lastrow)-ROW(PLE.firstrow))),0,IF(OFFSET(PLE!$G$14,$M659,CC$13)="",10^12,OFFSET(PLE!$G$14,$M659,CC$13))))</f>
        <v>1000000000000</v>
      </c>
      <c r="CD659" s="182">
        <f ca="1">IF($D659&lt;&gt;"Serviço",0,IF(OR(AND(AUTOEVENTO="Manual",$M659=1),$M659&gt;(ROW(PLE.lastrow)-ROW(PLE.firstrow))),0,IF(OFFSET(PLE!$G$14,$M659,CD$13)="",10^12,OFFSET(PLE!$G$14,$M659,CD$13))))</f>
        <v>1000000000000</v>
      </c>
      <c r="CE659" s="182">
        <f ca="1">IF($D659&lt;&gt;"Serviço",0,IF(OR(AND(AUTOEVENTO="Manual",$M659=1),$M659&gt;(ROW(PLE.lastrow)-ROW(PLE.firstrow))),0,IF(OFFSET(PLE!$G$14,$M659,CE$13)="",10^12,OFFSET(PLE!$G$14,$M659,CE$13))))</f>
        <v>1000000000000</v>
      </c>
      <c r="CF659" s="182">
        <f ca="1">IF($D659&lt;&gt;"Serviço",0,IF(OR(AND(AUTOEVENTO="Manual",$M659=1),$M659&gt;(ROW(PLE.lastrow)-ROW(PLE.firstrow))),0,IF(OFFSET(PLE!$G$14,$M659,CF$13)="",10^12,OFFSET(PLE!$G$14,$M659,CF$13))))</f>
        <v>1000000000000</v>
      </c>
      <c r="CG659" s="182">
        <f ca="1">IF($D659&lt;&gt;"Serviço",0,IF(OR(AND(AUTOEVENTO="Manual",$M659=1),$M659&gt;(ROW(PLE.lastrow)-ROW(PLE.firstrow))),0,IF(OFFSET(PLE!$G$14,$M659,CG$13)="",10^12,OFFSET(PLE!$G$14,$M659,CG$13))))</f>
        <v>1000000000000</v>
      </c>
      <c r="CH659" s="182">
        <f ca="1">IF($D659&lt;&gt;"Serviço",0,IF(OR(AND(AUTOEVENTO="Manual",$M659=1),$M659&gt;(ROW(PLE.lastrow)-ROW(PLE.firstrow))),0,IF(OFFSET(PLE!$G$14,$M659,CH$13)="",10^12,OFFSET(PLE!$G$14,$M659,CH$13))))</f>
        <v>1000000000000</v>
      </c>
      <c r="CI659" s="182">
        <f ca="1">IF($D659&lt;&gt;"Serviço",0,IF(OR(AND(AUTOEVENTO="Manual",$M659=1),$M659&gt;(ROW(PLE.lastrow)-ROW(PLE.firstrow))),0,IF(OFFSET(PLE!$G$14,$M659,CI$13)="",10^12,OFFSET(PLE!$G$14,$M659,CI$13))))</f>
        <v>1000000000000</v>
      </c>
      <c r="CJ659" s="182">
        <f ca="1">IF($D659&lt;&gt;"Serviço",0,IF(OR(AND(AUTOEVENTO="Manual",$M659=1),$M659&gt;(ROW(PLE.lastrow)-ROW(PLE.firstrow))),0,IF(OFFSET(PLE!$G$14,$M659,CJ$13)="",10^12,OFFSET(PLE!$G$14,$M659,CJ$13))))</f>
        <v>1000000000000</v>
      </c>
      <c r="CK659" s="182">
        <f ca="1">IF($D659&lt;&gt;"Serviço",0,IF(OR(AND(AUTOEVENTO="Manual",$M659=1),$M659&gt;(ROW(PLE.lastrow)-ROW(PLE.firstrow))),0,IF(OFFSET(PLE!$G$14,$M659,CK$13)="",10^12,OFFSET(PLE!$G$14,$M659,CK$13))))</f>
        <v>1000000000000</v>
      </c>
      <c r="CL659" s="182">
        <f ca="1">IF($D659&lt;&gt;"Serviço",0,IF(OR(AND(AUTOEVENTO="Manual",$M659=1),$M659&gt;(ROW(PLE.lastrow)-ROW(PLE.firstrow))),0,IF(OFFSET(PLE!$G$14,$M659,CL$13)="",10^12,OFFSET(PLE!$G$14,$M659,CL$13))))</f>
        <v>1000000000000</v>
      </c>
      <c r="CM659" s="182">
        <f ca="1">IF($D659&lt;&gt;"Serviço",0,IF(OR(AND(AUTOEVENTO="Manual",$M659=1),$M659&gt;(ROW(PLE.lastrow)-ROW(PLE.firstrow))),0,IF(OFFSET(PLE!$G$14,$M659,CM$13)="",10^12,OFFSET(PLE!$G$14,$M659,CM$13))))</f>
        <v>1000000000000</v>
      </c>
    </row>
    <row r="660" spans="1:91" ht="25.5" x14ac:dyDescent="0.2">
      <c r="A660" s="7" t="str">
        <f t="shared" ca="1" si="19"/>
        <v>645.</v>
      </c>
      <c r="B660" s="7">
        <f ca="1">OFFSET(ORÇAMENTO!C$15,ROW(B660)-ROW(B$15),0)</f>
        <v>2</v>
      </c>
      <c r="C660" s="7" t="str">
        <f ca="1">OFFSET(ORÇAMENTO!L$15,ROW(C660)-ROW(C$15),0)</f>
        <v>F</v>
      </c>
      <c r="D660" s="118" t="str">
        <f ca="1">OFFSET(ORÇAMENTO!N$15,ROW(D660)-ROW(D$15),0)</f>
        <v>Nível 2</v>
      </c>
      <c r="E660" s="119" t="str">
        <f ca="1">OFFSET(ORÇAMENTO!O$15,ROW(E660)-ROW(E$15),0)</f>
        <v>1.71.</v>
      </c>
      <c r="F660" s="172" t="str">
        <f ca="1">OFFSET(ORÇAMENTO!R$15,ROW(F660)-ROW(F$15),0)</f>
        <v>SISTEMA DE PROTEÇÃO CONTRA DESCARGAS ATMOSFÉRICAS (SPDA)</v>
      </c>
      <c r="G660" s="173" t="str">
        <f ca="1">IF($D660&lt;&gt;"Serviço","",OFFSET(ORÇAMENTO!S$15,ROW(G660)-ROW(G$15),0))</f>
        <v/>
      </c>
      <c r="H660" s="124">
        <f ca="1">IF($D660&lt;&gt;"Serviço",0,IF(ACOMPANHAMENTO="BM",ROUND(OFFSET(ORÇAMENTO!AJ$15,ROW(H660)-ROW(H$15),0),15-13*ORÇAMENTO!$AF$7),SUMPRODUCT(($Q$12:$AI$12&lt;&gt;"")*ROUND($Q660:$AI660,15-13*ORÇAMENTO!$AF$7))))</f>
        <v>0</v>
      </c>
      <c r="I660" s="561"/>
      <c r="K660" s="174"/>
      <c r="L660" s="175" t="s">
        <v>255</v>
      </c>
      <c r="M660" s="176" t="str">
        <f ca="1">IF($D660&lt;&gt;"Serviço","",IF(AUTOEVENTO="manual",$A660,IF(ISERROR(MATCH($A660,$A$15:OFFSET($A660,-1,0),0)),MAX($M$15:OFFSET(M660,-1,0))+1,INDEX($M$15:OFFSET(M660,-1,0),MATCH($A660,$A$15:OFFSET($A660,-1,0),0)))))</f>
        <v/>
      </c>
      <c r="N660" s="177" t="str">
        <f ca="1">IF($D660&lt;&gt;"Serviço","",IF(AUTOEVENTO="Manual",IF($A660=0,"&lt;-- defina o número do agrupador",OFFSET(EVENTOS!$D$14,$A660,0)),OFFSET($F$15,$A660,0)))</f>
        <v/>
      </c>
      <c r="O660" s="178"/>
      <c r="Q660" s="178">
        <v>0</v>
      </c>
      <c r="R660" s="179"/>
      <c r="S660" s="179"/>
      <c r="T660" s="179"/>
      <c r="U660" s="179"/>
      <c r="V660" s="179"/>
      <c r="W660" s="179"/>
      <c r="X660" s="179"/>
      <c r="Y660" s="179"/>
      <c r="Z660" s="180"/>
      <c r="AA660" s="179"/>
      <c r="AB660" s="179"/>
      <c r="AC660" s="179"/>
      <c r="AD660" s="179"/>
      <c r="AE660" s="179"/>
      <c r="AF660" s="179"/>
      <c r="AG660" s="179"/>
      <c r="AH660" s="180"/>
      <c r="AJ660" s="544">
        <f ca="1">IF(AND($D660="Serviço",AJ$12&lt;&gt;0,$H660&gt;0,OR(AUTOEVENTO&lt;&gt;"manual",$M660&lt;&gt;1)),
IF(Import.TipoArredondamento&lt;&gt;"TransfereGOV",
ROUND(OFFSET($P660,0,AJ$13),15-13*ORÇAMENTO!$AF$7)/$H660*OFFSET(ORÇAMENTO!$X$15,ROW(AJ660)-ROW(AJ$15),0),
ROUND(ROUND(OFFSET($P660,0,AJ$13),15-13*ORÇAMENTO!$AF$7)*OFFSET(ORÇAMENTO!$W$15,ROW(AJ660)-ROW(AJ$15),0),15-13*ORÇAMENTO!$AF$11)),0)</f>
        <v>0</v>
      </c>
      <c r="AK660" s="545">
        <f ca="1">IF(AND($D660="Serviço",AK$12&lt;&gt;0,$H660&gt;0,OR(AUTOEVENTO&lt;&gt;"manual",$M660&lt;&gt;1)),
IF(Import.TipoArredondamento&lt;&gt;"TransfereGOV",
ROUND(OFFSET($P660,0,AK$13),15-13*ORÇAMENTO!$AF$7)/$H660*OFFSET(ORÇAMENTO!$X$15,ROW(AK660)-ROW(AK$15),0),
ROUND(ROUND(OFFSET($P660,0,AK$13),15-13*ORÇAMENTO!$AF$7)*OFFSET(ORÇAMENTO!$W$15,ROW(AK660)-ROW(AK$15),0),15-13*ORÇAMENTO!$AF$11)),0)</f>
        <v>0</v>
      </c>
      <c r="AL660" s="545">
        <f ca="1">IF(AND($D660="Serviço",AL$12&lt;&gt;0,$H660&gt;0,OR(AUTOEVENTO&lt;&gt;"manual",$M660&lt;&gt;1)),
IF(Import.TipoArredondamento&lt;&gt;"TransfereGOV",
ROUND(OFFSET($P660,0,AL$13),15-13*ORÇAMENTO!$AF$7)/$H660*OFFSET(ORÇAMENTO!$X$15,ROW(AL660)-ROW(AL$15),0),
ROUND(ROUND(OFFSET($P660,0,AL$13),15-13*ORÇAMENTO!$AF$7)*OFFSET(ORÇAMENTO!$W$15,ROW(AL660)-ROW(AL$15),0),15-13*ORÇAMENTO!$AF$11)),0)</f>
        <v>0</v>
      </c>
      <c r="AM660" s="545">
        <f ca="1">IF(AND($D660="Serviço",AM$12&lt;&gt;0,$H660&gt;0,OR(AUTOEVENTO&lt;&gt;"manual",$M660&lt;&gt;1)),
IF(Import.TipoArredondamento&lt;&gt;"TransfereGOV",
ROUND(OFFSET($P660,0,AM$13),15-13*ORÇAMENTO!$AF$7)/$H660*OFFSET(ORÇAMENTO!$X$15,ROW(AM660)-ROW(AM$15),0),
ROUND(ROUND(OFFSET($P660,0,AM$13),15-13*ORÇAMENTO!$AF$7)*OFFSET(ORÇAMENTO!$W$15,ROW(AM660)-ROW(AM$15),0),15-13*ORÇAMENTO!$AF$11)),0)</f>
        <v>0</v>
      </c>
      <c r="AN660" s="545">
        <f ca="1">IF(AND($D660="Serviço",AN$12&lt;&gt;0,$H660&gt;0,OR(AUTOEVENTO&lt;&gt;"manual",$M660&lt;&gt;1)),
IF(Import.TipoArredondamento&lt;&gt;"TransfereGOV",
ROUND(OFFSET($P660,0,AN$13),15-13*ORÇAMENTO!$AF$7)/$H660*OFFSET(ORÇAMENTO!$X$15,ROW(AN660)-ROW(AN$15),0),
ROUND(ROUND(OFFSET($P660,0,AN$13),15-13*ORÇAMENTO!$AF$7)*OFFSET(ORÇAMENTO!$W$15,ROW(AN660)-ROW(AN$15),0),15-13*ORÇAMENTO!$AF$11)),0)</f>
        <v>0</v>
      </c>
      <c r="AO660" s="545">
        <f ca="1">IF(AND($D660="Serviço",AO$12&lt;&gt;0,$H660&gt;0,OR(AUTOEVENTO&lt;&gt;"manual",$M660&lt;&gt;1)),
IF(Import.TipoArredondamento&lt;&gt;"TransfereGOV",
ROUND(OFFSET($P660,0,AO$13),15-13*ORÇAMENTO!$AF$7)/$H660*OFFSET(ORÇAMENTO!$X$15,ROW(AO660)-ROW(AO$15),0),
ROUND(ROUND(OFFSET($P660,0,AO$13),15-13*ORÇAMENTO!$AF$7)*OFFSET(ORÇAMENTO!$W$15,ROW(AO660)-ROW(AO$15),0),15-13*ORÇAMENTO!$AF$11)),0)</f>
        <v>0</v>
      </c>
      <c r="AP660" s="545">
        <f ca="1">IF(AND($D660="Serviço",AP$12&lt;&gt;0,$H660&gt;0,OR(AUTOEVENTO&lt;&gt;"manual",$M660&lt;&gt;1)),
IF(Import.TipoArredondamento&lt;&gt;"TransfereGOV",
ROUND(OFFSET($P660,0,AP$13),15-13*ORÇAMENTO!$AF$7)/$H660*OFFSET(ORÇAMENTO!$X$15,ROW(AP660)-ROW(AP$15),0),
ROUND(ROUND(OFFSET($P660,0,AP$13),15-13*ORÇAMENTO!$AF$7)*OFFSET(ORÇAMENTO!$W$15,ROW(AP660)-ROW(AP$15),0),15-13*ORÇAMENTO!$AF$11)),0)</f>
        <v>0</v>
      </c>
      <c r="AQ660" s="545">
        <f ca="1">IF(AND($D660="Serviço",AQ$12&lt;&gt;0,$H660&gt;0,OR(AUTOEVENTO&lt;&gt;"manual",$M660&lt;&gt;1)),
IF(Import.TipoArredondamento&lt;&gt;"TransfereGOV",
ROUND(OFFSET($P660,0,AQ$13),15-13*ORÇAMENTO!$AF$7)/$H660*OFFSET(ORÇAMENTO!$X$15,ROW(AQ660)-ROW(AQ$15),0),
ROUND(ROUND(OFFSET($P660,0,AQ$13),15-13*ORÇAMENTO!$AF$7)*OFFSET(ORÇAMENTO!$W$15,ROW(AQ660)-ROW(AQ$15),0),15-13*ORÇAMENTO!$AF$11)),0)</f>
        <v>0</v>
      </c>
      <c r="AR660" s="545">
        <f ca="1">IF(AND($D660="Serviço",AR$12&lt;&gt;0,$H660&gt;0,OR(AUTOEVENTO&lt;&gt;"manual",$M660&lt;&gt;1)),
IF(Import.TipoArredondamento&lt;&gt;"TransfereGOV",
ROUND(OFFSET($P660,0,AR$13),15-13*ORÇAMENTO!$AF$7)/$H660*OFFSET(ORÇAMENTO!$X$15,ROW(AR660)-ROW(AR$15),0),
ROUND(ROUND(OFFSET($P660,0,AR$13),15-13*ORÇAMENTO!$AF$7)*OFFSET(ORÇAMENTO!$W$15,ROW(AR660)-ROW(AR$15),0),15-13*ORÇAMENTO!$AF$11)),0)</f>
        <v>0</v>
      </c>
      <c r="AS660" s="546">
        <f ca="1">IF(AND($D660="Serviço",AS$12&lt;&gt;0,$H660&gt;0,OR(AUTOEVENTO&lt;&gt;"manual",$M660&lt;&gt;1)),
IF(Import.TipoArredondamento&lt;&gt;"TransfereGOV",
ROUND(OFFSET($P660,0,AS$13),15-13*ORÇAMENTO!$AF$7)/$H660*OFFSET(ORÇAMENTO!$X$15,ROW(AS660)-ROW(AS$15),0),
ROUND(ROUND(OFFSET($P660,0,AS$13),15-13*ORÇAMENTO!$AF$7)*OFFSET(ORÇAMENTO!$W$15,ROW(AS660)-ROW(AS$15),0),15-13*ORÇAMENTO!$AF$11)),0)</f>
        <v>0</v>
      </c>
      <c r="AT660" s="545">
        <f ca="1">IF(AND($D660="Serviço",AT$12&lt;&gt;0,$H660&gt;0,OR(AUTOEVENTO&lt;&gt;"manual",$M660&lt;&gt;1)),
IF(Import.TipoArredondamento&lt;&gt;"TransfereGOV",
ROUND(OFFSET($P660,0,AT$13),15-13*ORÇAMENTO!$AF$7)/$H660*OFFSET(ORÇAMENTO!$X$15,ROW(AT660)-ROW(AT$15),0),
ROUND(ROUND(OFFSET($P660,0,AT$13),15-13*ORÇAMENTO!$AF$7)*OFFSET(ORÇAMENTO!$W$15,ROW(AT660)-ROW(AT$15),0),15-13*ORÇAMENTO!$AF$11)),0)</f>
        <v>0</v>
      </c>
      <c r="AU660" s="545">
        <f ca="1">IF(AND($D660="Serviço",AU$12&lt;&gt;0,$H660&gt;0,OR(AUTOEVENTO&lt;&gt;"manual",$M660&lt;&gt;1)),
IF(Import.TipoArredondamento&lt;&gt;"TransfereGOV",
ROUND(OFFSET($P660,0,AU$13),15-13*ORÇAMENTO!$AF$7)/$H660*OFFSET(ORÇAMENTO!$X$15,ROW(AU660)-ROW(AU$15),0),
ROUND(ROUND(OFFSET($P660,0,AU$13),15-13*ORÇAMENTO!$AF$7)*OFFSET(ORÇAMENTO!$W$15,ROW(AU660)-ROW(AU$15),0),15-13*ORÇAMENTO!$AF$11)),0)</f>
        <v>0</v>
      </c>
      <c r="AV660" s="545">
        <f ca="1">IF(AND($D660="Serviço",AV$12&lt;&gt;0,$H660&gt;0,OR(AUTOEVENTO&lt;&gt;"manual",$M660&lt;&gt;1)),
IF(Import.TipoArredondamento&lt;&gt;"TransfereGOV",
ROUND(OFFSET($P660,0,AV$13),15-13*ORÇAMENTO!$AF$7)/$H660*OFFSET(ORÇAMENTO!$X$15,ROW(AV660)-ROW(AV$15),0),
ROUND(ROUND(OFFSET($P660,0,AV$13),15-13*ORÇAMENTO!$AF$7)*OFFSET(ORÇAMENTO!$W$15,ROW(AV660)-ROW(AV$15),0),15-13*ORÇAMENTO!$AF$11)),0)</f>
        <v>0</v>
      </c>
      <c r="AW660" s="545">
        <f ca="1">IF(AND($D660="Serviço",AW$12&lt;&gt;0,$H660&gt;0,OR(AUTOEVENTO&lt;&gt;"manual",$M660&lt;&gt;1)),
IF(Import.TipoArredondamento&lt;&gt;"TransfereGOV",
ROUND(OFFSET($P660,0,AW$13),15-13*ORÇAMENTO!$AF$7)/$H660*OFFSET(ORÇAMENTO!$X$15,ROW(AW660)-ROW(AW$15),0),
ROUND(ROUND(OFFSET($P660,0,AW$13),15-13*ORÇAMENTO!$AF$7)*OFFSET(ORÇAMENTO!$W$15,ROW(AW660)-ROW(AW$15),0),15-13*ORÇAMENTO!$AF$11)),0)</f>
        <v>0</v>
      </c>
      <c r="AX660" s="545">
        <f ca="1">IF(AND($D660="Serviço",AX$12&lt;&gt;0,$H660&gt;0,OR(AUTOEVENTO&lt;&gt;"manual",$M660&lt;&gt;1)),
IF(Import.TipoArredondamento&lt;&gt;"TransfereGOV",
ROUND(OFFSET($P660,0,AX$13),15-13*ORÇAMENTO!$AF$7)/$H660*OFFSET(ORÇAMENTO!$X$15,ROW(AX660)-ROW(AX$15),0),
ROUND(ROUND(OFFSET($P660,0,AX$13),15-13*ORÇAMENTO!$AF$7)*OFFSET(ORÇAMENTO!$W$15,ROW(AX660)-ROW(AX$15),0),15-13*ORÇAMENTO!$AF$11)),0)</f>
        <v>0</v>
      </c>
      <c r="AY660" s="545">
        <f ca="1">IF(AND($D660="Serviço",AY$12&lt;&gt;0,$H660&gt;0,OR(AUTOEVENTO&lt;&gt;"manual",$M660&lt;&gt;1)),
IF(Import.TipoArredondamento&lt;&gt;"TransfereGOV",
ROUND(OFFSET($P660,0,AY$13),15-13*ORÇAMENTO!$AF$7)/$H660*OFFSET(ORÇAMENTO!$X$15,ROW(AY660)-ROW(AY$15),0),
ROUND(ROUND(OFFSET($P660,0,AY$13),15-13*ORÇAMENTO!$AF$7)*OFFSET(ORÇAMENTO!$W$15,ROW(AY660)-ROW(AY$15),0),15-13*ORÇAMENTO!$AF$11)),0)</f>
        <v>0</v>
      </c>
      <c r="AZ660" s="545">
        <f ca="1">IF(AND($D660="Serviço",AZ$12&lt;&gt;0,$H660&gt;0,OR(AUTOEVENTO&lt;&gt;"manual",$M660&lt;&gt;1)),
IF(Import.TipoArredondamento&lt;&gt;"TransfereGOV",
ROUND(OFFSET($P660,0,AZ$13),15-13*ORÇAMENTO!$AF$7)/$H660*OFFSET(ORÇAMENTO!$X$15,ROW(AZ660)-ROW(AZ$15),0),
ROUND(ROUND(OFFSET($P660,0,AZ$13),15-13*ORÇAMENTO!$AF$7)*OFFSET(ORÇAMENTO!$W$15,ROW(AZ660)-ROW(AZ$15),0),15-13*ORÇAMENTO!$AF$11)),0)</f>
        <v>0</v>
      </c>
      <c r="BA660" s="546">
        <f ca="1">IF(AND($D660="Serviço",BA$12&lt;&gt;0,$H660&gt;0,OR(AUTOEVENTO&lt;&gt;"manual",$M660&lt;&gt;1)),
IF(Import.TipoArredondamento&lt;&gt;"TransfereGOV",
ROUND(OFFSET($P660,0,BA$13),15-13*ORÇAMENTO!$AF$7)/$H660*OFFSET(ORÇAMENTO!$X$15,ROW(BA660)-ROW(BA$15),0),
ROUND(ROUND(OFFSET($P660,0,BA$13),15-13*ORÇAMENTO!$AF$7)*OFFSET(ORÇAMENTO!$W$15,ROW(BA660)-ROW(BA$15),0),15-13*ORÇAMENTO!$AF$11)),0)</f>
        <v>0</v>
      </c>
      <c r="BC660" s="181">
        <f ca="1">IF($D660&lt;&gt;"Serviço",0,IF(AND(AUTOEVENTO="Manual",$M660=1),0,IF(OFFSET(CRONOPLE!$F$14,$M660,BC$13)="",10^12,OFFSET(CRONOPLE!$F$14,$M660,BC$13))))</f>
        <v>0</v>
      </c>
      <c r="BD660" s="181">
        <f ca="1">IF($D660&lt;&gt;"Serviço",0,IF(AND(AUTOEVENTO="Manual",$M660=1),0,IF(OFFSET(CRONOPLE!$F$14,$M660,BD$13)="",10^12,OFFSET(CRONOPLE!$F$14,$M660,BD$13))))</f>
        <v>0</v>
      </c>
      <c r="BE660" s="181">
        <f ca="1">IF($D660&lt;&gt;"Serviço",0,IF(AND(AUTOEVENTO="Manual",$M660=1),0,IF(OFFSET(CRONOPLE!$F$14,$M660,BE$13)="",10^12,OFFSET(CRONOPLE!$F$14,$M660,BE$13))))</f>
        <v>0</v>
      </c>
      <c r="BF660" s="181">
        <f ca="1">IF($D660&lt;&gt;"Serviço",0,IF(AND(AUTOEVENTO="Manual",$M660=1),0,IF(OFFSET(CRONOPLE!$F$14,$M660,BF$13)="",10^12,OFFSET(CRONOPLE!$F$14,$M660,BF$13))))</f>
        <v>0</v>
      </c>
      <c r="BG660" s="181">
        <f ca="1">IF($D660&lt;&gt;"Serviço",0,IF(AND(AUTOEVENTO="Manual",$M660=1),0,IF(OFFSET(CRONOPLE!$F$14,$M660,BG$13)="",10^12,OFFSET(CRONOPLE!$F$14,$M660,BG$13))))</f>
        <v>0</v>
      </c>
      <c r="BH660" s="181">
        <f ca="1">IF($D660&lt;&gt;"Serviço",0,IF(AND(AUTOEVENTO="Manual",$M660=1),0,IF(OFFSET(CRONOPLE!$F$14,$M660,BH$13)="",10^12,OFFSET(CRONOPLE!$F$14,$M660,BH$13))))</f>
        <v>0</v>
      </c>
      <c r="BI660" s="181">
        <f ca="1">IF($D660&lt;&gt;"Serviço",0,IF(AND(AUTOEVENTO="Manual",$M660=1),0,IF(OFFSET(CRONOPLE!$F$14,$M660,BI$13)="",10^12,OFFSET(CRONOPLE!$F$14,$M660,BI$13))))</f>
        <v>0</v>
      </c>
      <c r="BJ660" s="181">
        <f ca="1">IF($D660&lt;&gt;"Serviço",0,IF(AND(AUTOEVENTO="Manual",$M660=1),0,IF(OFFSET(CRONOPLE!$F$14,$M660,BJ$13)="",10^12,OFFSET(CRONOPLE!$F$14,$M660,BJ$13))))</f>
        <v>0</v>
      </c>
      <c r="BK660" s="181">
        <f ca="1">IF($D660&lt;&gt;"Serviço",0,IF(AND(AUTOEVENTO="Manual",$M660=1),0,IF(OFFSET(CRONOPLE!$F$14,$M660,BK$13)="",10^12,OFFSET(CRONOPLE!$F$14,$M660,BK$13))))</f>
        <v>0</v>
      </c>
      <c r="BL660" s="181">
        <f ca="1">IF($D660&lt;&gt;"Serviço",0,IF(AND(AUTOEVENTO="Manual",$M660=1),0,IF(OFFSET(CRONOPLE!$F$14,$M660,BL$13)="",10^12,OFFSET(CRONOPLE!$F$14,$M660,BL$13))))</f>
        <v>0</v>
      </c>
      <c r="BM660" s="181">
        <f ca="1">IF($D660&lt;&gt;"Serviço",0,IF(AND(AUTOEVENTO="Manual",$M660=1),0,IF(OFFSET(CRONOPLE!$F$14,$M660,BM$13)="",10^12,OFFSET(CRONOPLE!$F$14,$M660,BM$13))))</f>
        <v>0</v>
      </c>
      <c r="BN660" s="181">
        <f ca="1">IF($D660&lt;&gt;"Serviço",0,IF(AND(AUTOEVENTO="Manual",$M660=1),0,IF(OFFSET(CRONOPLE!$F$14,$M660,BN$13)="",10^12,OFFSET(CRONOPLE!$F$14,$M660,BN$13))))</f>
        <v>0</v>
      </c>
      <c r="BO660" s="181">
        <f ca="1">IF($D660&lt;&gt;"Serviço",0,IF(AND(AUTOEVENTO="Manual",$M660=1),0,IF(OFFSET(CRONOPLE!$F$14,$M660,BO$13)="",10^12,OFFSET(CRONOPLE!$F$14,$M660,BO$13))))</f>
        <v>0</v>
      </c>
      <c r="BP660" s="181">
        <f ca="1">IF($D660&lt;&gt;"Serviço",0,IF(AND(AUTOEVENTO="Manual",$M660=1),0,IF(OFFSET(CRONOPLE!$F$14,$M660,BP$13)="",10^12,OFFSET(CRONOPLE!$F$14,$M660,BP$13))))</f>
        <v>0</v>
      </c>
      <c r="BQ660" s="181">
        <f ca="1">IF($D660&lt;&gt;"Serviço",0,IF(AND(AUTOEVENTO="Manual",$M660=1),0,IF(OFFSET(CRONOPLE!$F$14,$M660,BQ$13)="",10^12,OFFSET(CRONOPLE!$F$14,$M660,BQ$13))))</f>
        <v>0</v>
      </c>
      <c r="BR660" s="181">
        <f ca="1">IF($D660&lt;&gt;"Serviço",0,IF(AND(AUTOEVENTO="Manual",$M660=1),0,IF(OFFSET(CRONOPLE!$F$14,$M660,BR$13)="",10^12,OFFSET(CRONOPLE!$F$14,$M660,BR$13))))</f>
        <v>0</v>
      </c>
      <c r="BS660" s="181">
        <f ca="1">IF($D660&lt;&gt;"Serviço",0,IF(AND(AUTOEVENTO="Manual",$M660=1),0,IF(OFFSET(CRONOPLE!$F$14,$M660,BS$13)="",10^12,OFFSET(CRONOPLE!$F$14,$M660,BS$13))))</f>
        <v>0</v>
      </c>
      <c r="BT660" s="181">
        <f ca="1">IF($D660&lt;&gt;"Serviço",0,IF(AND(AUTOEVENTO="Manual",$M660=1),0,IF(OFFSET(CRONOPLE!$F$14,$M660,BT$13)="",10^12,OFFSET(CRONOPLE!$F$14,$M660,BT$13))))</f>
        <v>0</v>
      </c>
      <c r="BV660" s="182">
        <f ca="1">IF($D660&lt;&gt;"Serviço",0,IF(OR(AND(AUTOEVENTO="Manual",$M660=1),$M660&gt;(ROW(PLE.lastrow)-ROW(PLE.firstrow))),0,IF(OFFSET(PLE!$G$14,$M660,BV$13)="",10^12,OFFSET(PLE!$G$14,$M660,BV$13))))</f>
        <v>0</v>
      </c>
      <c r="BW660" s="182">
        <f ca="1">IF($D660&lt;&gt;"Serviço",0,IF(OR(AND(AUTOEVENTO="Manual",$M660=1),$M660&gt;(ROW(PLE.lastrow)-ROW(PLE.firstrow))),0,IF(OFFSET(PLE!$G$14,$M660,BW$13)="",10^12,OFFSET(PLE!$G$14,$M660,BW$13))))</f>
        <v>0</v>
      </c>
      <c r="BX660" s="182">
        <f ca="1">IF($D660&lt;&gt;"Serviço",0,IF(OR(AND(AUTOEVENTO="Manual",$M660=1),$M660&gt;(ROW(PLE.lastrow)-ROW(PLE.firstrow))),0,IF(OFFSET(PLE!$G$14,$M660,BX$13)="",10^12,OFFSET(PLE!$G$14,$M660,BX$13))))</f>
        <v>0</v>
      </c>
      <c r="BY660" s="182">
        <f ca="1">IF($D660&lt;&gt;"Serviço",0,IF(OR(AND(AUTOEVENTO="Manual",$M660=1),$M660&gt;(ROW(PLE.lastrow)-ROW(PLE.firstrow))),0,IF(OFFSET(PLE!$G$14,$M660,BY$13)="",10^12,OFFSET(PLE!$G$14,$M660,BY$13))))</f>
        <v>0</v>
      </c>
      <c r="BZ660" s="182">
        <f ca="1">IF($D660&lt;&gt;"Serviço",0,IF(OR(AND(AUTOEVENTO="Manual",$M660=1),$M660&gt;(ROW(PLE.lastrow)-ROW(PLE.firstrow))),0,IF(OFFSET(PLE!$G$14,$M660,BZ$13)="",10^12,OFFSET(PLE!$G$14,$M660,BZ$13))))</f>
        <v>0</v>
      </c>
      <c r="CA660" s="182">
        <f ca="1">IF($D660&lt;&gt;"Serviço",0,IF(OR(AND(AUTOEVENTO="Manual",$M660=1),$M660&gt;(ROW(PLE.lastrow)-ROW(PLE.firstrow))),0,IF(OFFSET(PLE!$G$14,$M660,CA$13)="",10^12,OFFSET(PLE!$G$14,$M660,CA$13))))</f>
        <v>0</v>
      </c>
      <c r="CB660" s="182">
        <f ca="1">IF($D660&lt;&gt;"Serviço",0,IF(OR(AND(AUTOEVENTO="Manual",$M660=1),$M660&gt;(ROW(PLE.lastrow)-ROW(PLE.firstrow))),0,IF(OFFSET(PLE!$G$14,$M660,CB$13)="",10^12,OFFSET(PLE!$G$14,$M660,CB$13))))</f>
        <v>0</v>
      </c>
      <c r="CC660" s="182">
        <f ca="1">IF($D660&lt;&gt;"Serviço",0,IF(OR(AND(AUTOEVENTO="Manual",$M660=1),$M660&gt;(ROW(PLE.lastrow)-ROW(PLE.firstrow))),0,IF(OFFSET(PLE!$G$14,$M660,CC$13)="",10^12,OFFSET(PLE!$G$14,$M660,CC$13))))</f>
        <v>0</v>
      </c>
      <c r="CD660" s="182">
        <f ca="1">IF($D660&lt;&gt;"Serviço",0,IF(OR(AND(AUTOEVENTO="Manual",$M660=1),$M660&gt;(ROW(PLE.lastrow)-ROW(PLE.firstrow))),0,IF(OFFSET(PLE!$G$14,$M660,CD$13)="",10^12,OFFSET(PLE!$G$14,$M660,CD$13))))</f>
        <v>0</v>
      </c>
      <c r="CE660" s="182">
        <f ca="1">IF($D660&lt;&gt;"Serviço",0,IF(OR(AND(AUTOEVENTO="Manual",$M660=1),$M660&gt;(ROW(PLE.lastrow)-ROW(PLE.firstrow))),0,IF(OFFSET(PLE!$G$14,$M660,CE$13)="",10^12,OFFSET(PLE!$G$14,$M660,CE$13))))</f>
        <v>0</v>
      </c>
      <c r="CF660" s="182">
        <f ca="1">IF($D660&lt;&gt;"Serviço",0,IF(OR(AND(AUTOEVENTO="Manual",$M660=1),$M660&gt;(ROW(PLE.lastrow)-ROW(PLE.firstrow))),0,IF(OFFSET(PLE!$G$14,$M660,CF$13)="",10^12,OFFSET(PLE!$G$14,$M660,CF$13))))</f>
        <v>0</v>
      </c>
      <c r="CG660" s="182">
        <f ca="1">IF($D660&lt;&gt;"Serviço",0,IF(OR(AND(AUTOEVENTO="Manual",$M660=1),$M660&gt;(ROW(PLE.lastrow)-ROW(PLE.firstrow))),0,IF(OFFSET(PLE!$G$14,$M660,CG$13)="",10^12,OFFSET(PLE!$G$14,$M660,CG$13))))</f>
        <v>0</v>
      </c>
      <c r="CH660" s="182">
        <f ca="1">IF($D660&lt;&gt;"Serviço",0,IF(OR(AND(AUTOEVENTO="Manual",$M660=1),$M660&gt;(ROW(PLE.lastrow)-ROW(PLE.firstrow))),0,IF(OFFSET(PLE!$G$14,$M660,CH$13)="",10^12,OFFSET(PLE!$G$14,$M660,CH$13))))</f>
        <v>0</v>
      </c>
      <c r="CI660" s="182">
        <f ca="1">IF($D660&lt;&gt;"Serviço",0,IF(OR(AND(AUTOEVENTO="Manual",$M660=1),$M660&gt;(ROW(PLE.lastrow)-ROW(PLE.firstrow))),0,IF(OFFSET(PLE!$G$14,$M660,CI$13)="",10^12,OFFSET(PLE!$G$14,$M660,CI$13))))</f>
        <v>0</v>
      </c>
      <c r="CJ660" s="182">
        <f ca="1">IF($D660&lt;&gt;"Serviço",0,IF(OR(AND(AUTOEVENTO="Manual",$M660=1),$M660&gt;(ROW(PLE.lastrow)-ROW(PLE.firstrow))),0,IF(OFFSET(PLE!$G$14,$M660,CJ$13)="",10^12,OFFSET(PLE!$G$14,$M660,CJ$13))))</f>
        <v>0</v>
      </c>
      <c r="CK660" s="182">
        <f ca="1">IF($D660&lt;&gt;"Serviço",0,IF(OR(AND(AUTOEVENTO="Manual",$M660=1),$M660&gt;(ROW(PLE.lastrow)-ROW(PLE.firstrow))),0,IF(OFFSET(PLE!$G$14,$M660,CK$13)="",10^12,OFFSET(PLE!$G$14,$M660,CK$13))))</f>
        <v>0</v>
      </c>
      <c r="CL660" s="182">
        <f ca="1">IF($D660&lt;&gt;"Serviço",0,IF(OR(AND(AUTOEVENTO="Manual",$M660=1),$M660&gt;(ROW(PLE.lastrow)-ROW(PLE.firstrow))),0,IF(OFFSET(PLE!$G$14,$M660,CL$13)="",10^12,OFFSET(PLE!$G$14,$M660,CL$13))))</f>
        <v>0</v>
      </c>
      <c r="CM660" s="182">
        <f ca="1">IF($D660&lt;&gt;"Serviço",0,IF(OR(AND(AUTOEVENTO="Manual",$M660=1),$M660&gt;(ROW(PLE.lastrow)-ROW(PLE.firstrow))),0,IF(OFFSET(PLE!$G$14,$M660,CM$13)="",10^12,OFFSET(PLE!$G$14,$M660,CM$13))))</f>
        <v>0</v>
      </c>
    </row>
    <row r="661" spans="1:91" ht="38.25" x14ac:dyDescent="0.2">
      <c r="A661" s="7" t="str">
        <f t="shared" ca="1" si="19"/>
        <v>645</v>
      </c>
      <c r="B661" s="7" t="str">
        <f ca="1">OFFSET(ORÇAMENTO!C$15,ROW(B661)-ROW(B$15),0)</f>
        <v>S</v>
      </c>
      <c r="C661" s="7" t="str">
        <f ca="1">OFFSET(ORÇAMENTO!L$15,ROW(C661)-ROW(C$15),0)</f>
        <v/>
      </c>
      <c r="D661" s="118" t="str">
        <f ca="1">OFFSET(ORÇAMENTO!N$15,ROW(D661)-ROW(D$15),0)</f>
        <v>Serviço</v>
      </c>
      <c r="E661" s="119" t="str">
        <f ca="1">OFFSET(ORÇAMENTO!O$15,ROW(E661)-ROW(E$15),0)</f>
        <v>-</v>
      </c>
      <c r="F661" s="172" t="str">
        <f ca="1">OFFSET(ORÇAMENTO!R$15,ROW(F661)-ROW(F$15),0)</f>
        <v>(abra o arquivo 'Referência 06-2024.xlsm)</v>
      </c>
      <c r="G661" s="173" t="str">
        <f ca="1">IF($D661&lt;&gt;"Serviço","",OFFSET(ORÇAMENTO!S$15,ROW(G661)-ROW(G$15),0))</f>
        <v>-</v>
      </c>
      <c r="H661" s="124">
        <f ca="1">IF($D661&lt;&gt;"Serviço",0,IF(ACOMPANHAMENTO="BM",ROUND(OFFSET(ORÇAMENTO!AJ$15,ROW(H661)-ROW(H$15),0),15-13*ORÇAMENTO!$AF$7),SUMPRODUCT(($Q$12:$AI$12&lt;&gt;"")*ROUND($Q661:$AI661,15-13*ORÇAMENTO!$AF$7))))</f>
        <v>15</v>
      </c>
      <c r="I661" s="561" t="s">
        <v>1107</v>
      </c>
      <c r="K661" s="174"/>
      <c r="L661" s="175" t="s">
        <v>255</v>
      </c>
      <c r="M661" s="176">
        <f ca="1">IF($D661&lt;&gt;"Serviço","",IF(AUTOEVENTO="manual",$A661,IF(ISERROR(MATCH($A661,$A$15:OFFSET($A661,-1,0),0)),MAX($M$15:OFFSET(M661,-1,0))+1,INDEX($M$15:OFFSET(M661,-1,0),MATCH($A661,$A$15:OFFSET($A661,-1,0),0)))))</f>
        <v>72</v>
      </c>
      <c r="N661" s="177" t="str">
        <f ca="1">IF($D661&lt;&gt;"Serviço","",IF(AUTOEVENTO="Manual",IF($A661=0,"&lt;-- defina o número do agrupador",OFFSET(EVENTOS!$D$14,$A661,0)),OFFSET($F$15,$A661,0)))</f>
        <v>SISTEMA DE PROTEÇÃO CONTRA DESCARGAS ATMOSFÉRICAS (SPDA)</v>
      </c>
      <c r="O661" s="178"/>
      <c r="Q661" s="178">
        <v>15</v>
      </c>
      <c r="R661" s="179"/>
      <c r="S661" s="179"/>
      <c r="T661" s="179"/>
      <c r="U661" s="179"/>
      <c r="V661" s="179"/>
      <c r="W661" s="179"/>
      <c r="X661" s="179"/>
      <c r="Y661" s="179"/>
      <c r="Z661" s="180"/>
      <c r="AA661" s="179"/>
      <c r="AB661" s="179"/>
      <c r="AC661" s="179"/>
      <c r="AD661" s="179"/>
      <c r="AE661" s="179"/>
      <c r="AF661" s="179"/>
      <c r="AG661" s="179"/>
      <c r="AH661" s="180"/>
      <c r="AJ661" s="544">
        <f ca="1">IF(AND($D661="Serviço",AJ$12&lt;&gt;0,$H661&gt;0,OR(AUTOEVENTO&lt;&gt;"manual",$M661&lt;&gt;1)),
IF(Import.TipoArredondamento&lt;&gt;"TransfereGOV",
ROUND(OFFSET($P661,0,AJ$13),15-13*ORÇAMENTO!$AF$7)/$H661*OFFSET(ORÇAMENTO!$X$15,ROW(AJ661)-ROW(AJ$15),0),
ROUND(ROUND(OFFSET($P661,0,AJ$13),15-13*ORÇAMENTO!$AF$7)*OFFSET(ORÇAMENTO!$W$15,ROW(AJ661)-ROW(AJ$15),0),15-13*ORÇAMENTO!$AF$11)),0)</f>
        <v>0</v>
      </c>
      <c r="AK661" s="545">
        <f ca="1">IF(AND($D661="Serviço",AK$12&lt;&gt;0,$H661&gt;0,OR(AUTOEVENTO&lt;&gt;"manual",$M661&lt;&gt;1)),
IF(Import.TipoArredondamento&lt;&gt;"TransfereGOV",
ROUND(OFFSET($P661,0,AK$13),15-13*ORÇAMENTO!$AF$7)/$H661*OFFSET(ORÇAMENTO!$X$15,ROW(AK661)-ROW(AK$15),0),
ROUND(ROUND(OFFSET($P661,0,AK$13),15-13*ORÇAMENTO!$AF$7)*OFFSET(ORÇAMENTO!$W$15,ROW(AK661)-ROW(AK$15),0),15-13*ORÇAMENTO!$AF$11)),0)</f>
        <v>0</v>
      </c>
      <c r="AL661" s="545">
        <f ca="1">IF(AND($D661="Serviço",AL$12&lt;&gt;0,$H661&gt;0,OR(AUTOEVENTO&lt;&gt;"manual",$M661&lt;&gt;1)),
IF(Import.TipoArredondamento&lt;&gt;"TransfereGOV",
ROUND(OFFSET($P661,0,AL$13),15-13*ORÇAMENTO!$AF$7)/$H661*OFFSET(ORÇAMENTO!$X$15,ROW(AL661)-ROW(AL$15),0),
ROUND(ROUND(OFFSET($P661,0,AL$13),15-13*ORÇAMENTO!$AF$7)*OFFSET(ORÇAMENTO!$W$15,ROW(AL661)-ROW(AL$15),0),15-13*ORÇAMENTO!$AF$11)),0)</f>
        <v>0</v>
      </c>
      <c r="AM661" s="545">
        <f ca="1">IF(AND($D661="Serviço",AM$12&lt;&gt;0,$H661&gt;0,OR(AUTOEVENTO&lt;&gt;"manual",$M661&lt;&gt;1)),
IF(Import.TipoArredondamento&lt;&gt;"TransfereGOV",
ROUND(OFFSET($P661,0,AM$13),15-13*ORÇAMENTO!$AF$7)/$H661*OFFSET(ORÇAMENTO!$X$15,ROW(AM661)-ROW(AM$15),0),
ROUND(ROUND(OFFSET($P661,0,AM$13),15-13*ORÇAMENTO!$AF$7)*OFFSET(ORÇAMENTO!$W$15,ROW(AM661)-ROW(AM$15),0),15-13*ORÇAMENTO!$AF$11)),0)</f>
        <v>0</v>
      </c>
      <c r="AN661" s="545">
        <f ca="1">IF(AND($D661="Serviço",AN$12&lt;&gt;0,$H661&gt;0,OR(AUTOEVENTO&lt;&gt;"manual",$M661&lt;&gt;1)),
IF(Import.TipoArredondamento&lt;&gt;"TransfereGOV",
ROUND(OFFSET($P661,0,AN$13),15-13*ORÇAMENTO!$AF$7)/$H661*OFFSET(ORÇAMENTO!$X$15,ROW(AN661)-ROW(AN$15),0),
ROUND(ROUND(OFFSET($P661,0,AN$13),15-13*ORÇAMENTO!$AF$7)*OFFSET(ORÇAMENTO!$W$15,ROW(AN661)-ROW(AN$15),0),15-13*ORÇAMENTO!$AF$11)),0)</f>
        <v>0</v>
      </c>
      <c r="AO661" s="545">
        <f ca="1">IF(AND($D661="Serviço",AO$12&lt;&gt;0,$H661&gt;0,OR(AUTOEVENTO&lt;&gt;"manual",$M661&lt;&gt;1)),
IF(Import.TipoArredondamento&lt;&gt;"TransfereGOV",
ROUND(OFFSET($P661,0,AO$13),15-13*ORÇAMENTO!$AF$7)/$H661*OFFSET(ORÇAMENTO!$X$15,ROW(AO661)-ROW(AO$15),0),
ROUND(ROUND(OFFSET($P661,0,AO$13),15-13*ORÇAMENTO!$AF$7)*OFFSET(ORÇAMENTO!$W$15,ROW(AO661)-ROW(AO$15),0),15-13*ORÇAMENTO!$AF$11)),0)</f>
        <v>0</v>
      </c>
      <c r="AP661" s="545">
        <f ca="1">IF(AND($D661="Serviço",AP$12&lt;&gt;0,$H661&gt;0,OR(AUTOEVENTO&lt;&gt;"manual",$M661&lt;&gt;1)),
IF(Import.TipoArredondamento&lt;&gt;"TransfereGOV",
ROUND(OFFSET($P661,0,AP$13),15-13*ORÇAMENTO!$AF$7)/$H661*OFFSET(ORÇAMENTO!$X$15,ROW(AP661)-ROW(AP$15),0),
ROUND(ROUND(OFFSET($P661,0,AP$13),15-13*ORÇAMENTO!$AF$7)*OFFSET(ORÇAMENTO!$W$15,ROW(AP661)-ROW(AP$15),0),15-13*ORÇAMENTO!$AF$11)),0)</f>
        <v>0</v>
      </c>
      <c r="AQ661" s="545">
        <f ca="1">IF(AND($D661="Serviço",AQ$12&lt;&gt;0,$H661&gt;0,OR(AUTOEVENTO&lt;&gt;"manual",$M661&lt;&gt;1)),
IF(Import.TipoArredondamento&lt;&gt;"TransfereGOV",
ROUND(OFFSET($P661,0,AQ$13),15-13*ORÇAMENTO!$AF$7)/$H661*OFFSET(ORÇAMENTO!$X$15,ROW(AQ661)-ROW(AQ$15),0),
ROUND(ROUND(OFFSET($P661,0,AQ$13),15-13*ORÇAMENTO!$AF$7)*OFFSET(ORÇAMENTO!$W$15,ROW(AQ661)-ROW(AQ$15),0),15-13*ORÇAMENTO!$AF$11)),0)</f>
        <v>0</v>
      </c>
      <c r="AR661" s="545">
        <f ca="1">IF(AND($D661="Serviço",AR$12&lt;&gt;0,$H661&gt;0,OR(AUTOEVENTO&lt;&gt;"manual",$M661&lt;&gt;1)),
IF(Import.TipoArredondamento&lt;&gt;"TransfereGOV",
ROUND(OFFSET($P661,0,AR$13),15-13*ORÇAMENTO!$AF$7)/$H661*OFFSET(ORÇAMENTO!$X$15,ROW(AR661)-ROW(AR$15),0),
ROUND(ROUND(OFFSET($P661,0,AR$13),15-13*ORÇAMENTO!$AF$7)*OFFSET(ORÇAMENTO!$W$15,ROW(AR661)-ROW(AR$15),0),15-13*ORÇAMENTO!$AF$11)),0)</f>
        <v>0</v>
      </c>
      <c r="AS661" s="546">
        <f ca="1">IF(AND($D661="Serviço",AS$12&lt;&gt;0,$H661&gt;0,OR(AUTOEVENTO&lt;&gt;"manual",$M661&lt;&gt;1)),
IF(Import.TipoArredondamento&lt;&gt;"TransfereGOV",
ROUND(OFFSET($P661,0,AS$13),15-13*ORÇAMENTO!$AF$7)/$H661*OFFSET(ORÇAMENTO!$X$15,ROW(AS661)-ROW(AS$15),0),
ROUND(ROUND(OFFSET($P661,0,AS$13),15-13*ORÇAMENTO!$AF$7)*OFFSET(ORÇAMENTO!$W$15,ROW(AS661)-ROW(AS$15),0),15-13*ORÇAMENTO!$AF$11)),0)</f>
        <v>0</v>
      </c>
      <c r="AT661" s="545">
        <f ca="1">IF(AND($D661="Serviço",AT$12&lt;&gt;0,$H661&gt;0,OR(AUTOEVENTO&lt;&gt;"manual",$M661&lt;&gt;1)),
IF(Import.TipoArredondamento&lt;&gt;"TransfereGOV",
ROUND(OFFSET($P661,0,AT$13),15-13*ORÇAMENTO!$AF$7)/$H661*OFFSET(ORÇAMENTO!$X$15,ROW(AT661)-ROW(AT$15),0),
ROUND(ROUND(OFFSET($P661,0,AT$13),15-13*ORÇAMENTO!$AF$7)*OFFSET(ORÇAMENTO!$W$15,ROW(AT661)-ROW(AT$15),0),15-13*ORÇAMENTO!$AF$11)),0)</f>
        <v>0</v>
      </c>
      <c r="AU661" s="545">
        <f ca="1">IF(AND($D661="Serviço",AU$12&lt;&gt;0,$H661&gt;0,OR(AUTOEVENTO&lt;&gt;"manual",$M661&lt;&gt;1)),
IF(Import.TipoArredondamento&lt;&gt;"TransfereGOV",
ROUND(OFFSET($P661,0,AU$13),15-13*ORÇAMENTO!$AF$7)/$H661*OFFSET(ORÇAMENTO!$X$15,ROW(AU661)-ROW(AU$15),0),
ROUND(ROUND(OFFSET($P661,0,AU$13),15-13*ORÇAMENTO!$AF$7)*OFFSET(ORÇAMENTO!$W$15,ROW(AU661)-ROW(AU$15),0),15-13*ORÇAMENTO!$AF$11)),0)</f>
        <v>0</v>
      </c>
      <c r="AV661" s="545">
        <f ca="1">IF(AND($D661="Serviço",AV$12&lt;&gt;0,$H661&gt;0,OR(AUTOEVENTO&lt;&gt;"manual",$M661&lt;&gt;1)),
IF(Import.TipoArredondamento&lt;&gt;"TransfereGOV",
ROUND(OFFSET($P661,0,AV$13),15-13*ORÇAMENTO!$AF$7)/$H661*OFFSET(ORÇAMENTO!$X$15,ROW(AV661)-ROW(AV$15),0),
ROUND(ROUND(OFFSET($P661,0,AV$13),15-13*ORÇAMENTO!$AF$7)*OFFSET(ORÇAMENTO!$W$15,ROW(AV661)-ROW(AV$15),0),15-13*ORÇAMENTO!$AF$11)),0)</f>
        <v>0</v>
      </c>
      <c r="AW661" s="545">
        <f ca="1">IF(AND($D661="Serviço",AW$12&lt;&gt;0,$H661&gt;0,OR(AUTOEVENTO&lt;&gt;"manual",$M661&lt;&gt;1)),
IF(Import.TipoArredondamento&lt;&gt;"TransfereGOV",
ROUND(OFFSET($P661,0,AW$13),15-13*ORÇAMENTO!$AF$7)/$H661*OFFSET(ORÇAMENTO!$X$15,ROW(AW661)-ROW(AW$15),0),
ROUND(ROUND(OFFSET($P661,0,AW$13),15-13*ORÇAMENTO!$AF$7)*OFFSET(ORÇAMENTO!$W$15,ROW(AW661)-ROW(AW$15),0),15-13*ORÇAMENTO!$AF$11)),0)</f>
        <v>0</v>
      </c>
      <c r="AX661" s="545">
        <f ca="1">IF(AND($D661="Serviço",AX$12&lt;&gt;0,$H661&gt;0,OR(AUTOEVENTO&lt;&gt;"manual",$M661&lt;&gt;1)),
IF(Import.TipoArredondamento&lt;&gt;"TransfereGOV",
ROUND(OFFSET($P661,0,AX$13),15-13*ORÇAMENTO!$AF$7)/$H661*OFFSET(ORÇAMENTO!$X$15,ROW(AX661)-ROW(AX$15),0),
ROUND(ROUND(OFFSET($P661,0,AX$13),15-13*ORÇAMENTO!$AF$7)*OFFSET(ORÇAMENTO!$W$15,ROW(AX661)-ROW(AX$15),0),15-13*ORÇAMENTO!$AF$11)),0)</f>
        <v>0</v>
      </c>
      <c r="AY661" s="545">
        <f ca="1">IF(AND($D661="Serviço",AY$12&lt;&gt;0,$H661&gt;0,OR(AUTOEVENTO&lt;&gt;"manual",$M661&lt;&gt;1)),
IF(Import.TipoArredondamento&lt;&gt;"TransfereGOV",
ROUND(OFFSET($P661,0,AY$13),15-13*ORÇAMENTO!$AF$7)/$H661*OFFSET(ORÇAMENTO!$X$15,ROW(AY661)-ROW(AY$15),0),
ROUND(ROUND(OFFSET($P661,0,AY$13),15-13*ORÇAMENTO!$AF$7)*OFFSET(ORÇAMENTO!$W$15,ROW(AY661)-ROW(AY$15),0),15-13*ORÇAMENTO!$AF$11)),0)</f>
        <v>0</v>
      </c>
      <c r="AZ661" s="545">
        <f ca="1">IF(AND($D661="Serviço",AZ$12&lt;&gt;0,$H661&gt;0,OR(AUTOEVENTO&lt;&gt;"manual",$M661&lt;&gt;1)),
IF(Import.TipoArredondamento&lt;&gt;"TransfereGOV",
ROUND(OFFSET($P661,0,AZ$13),15-13*ORÇAMENTO!$AF$7)/$H661*OFFSET(ORÇAMENTO!$X$15,ROW(AZ661)-ROW(AZ$15),0),
ROUND(ROUND(OFFSET($P661,0,AZ$13),15-13*ORÇAMENTO!$AF$7)*OFFSET(ORÇAMENTO!$W$15,ROW(AZ661)-ROW(AZ$15),0),15-13*ORÇAMENTO!$AF$11)),0)</f>
        <v>0</v>
      </c>
      <c r="BA661" s="546">
        <f ca="1">IF(AND($D661="Serviço",BA$12&lt;&gt;0,$H661&gt;0,OR(AUTOEVENTO&lt;&gt;"manual",$M661&lt;&gt;1)),
IF(Import.TipoArredondamento&lt;&gt;"TransfereGOV",
ROUND(OFFSET($P661,0,BA$13),15-13*ORÇAMENTO!$AF$7)/$H661*OFFSET(ORÇAMENTO!$X$15,ROW(BA661)-ROW(BA$15),0),
ROUND(ROUND(OFFSET($P661,0,BA$13),15-13*ORÇAMENTO!$AF$7)*OFFSET(ORÇAMENTO!$W$15,ROW(BA661)-ROW(BA$15),0),15-13*ORÇAMENTO!$AF$11)),0)</f>
        <v>0</v>
      </c>
      <c r="BC661" s="181">
        <f ca="1">IF($D661&lt;&gt;"Serviço",0,IF(AND(AUTOEVENTO="Manual",$M661=1),0,IF(OFFSET(CRONOPLE!$F$14,$M661,BC$13)="",10^12,OFFSET(CRONOPLE!$F$14,$M661,BC$13))))</f>
        <v>11</v>
      </c>
      <c r="BD661" s="181">
        <f ca="1">IF($D661&lt;&gt;"Serviço",0,IF(AND(AUTOEVENTO="Manual",$M661=1),0,IF(OFFSET(CRONOPLE!$F$14,$M661,BD$13)="",10^12,OFFSET(CRONOPLE!$F$14,$M661,BD$13))))</f>
        <v>1000000000000</v>
      </c>
      <c r="BE661" s="181">
        <f ca="1">IF($D661&lt;&gt;"Serviço",0,IF(AND(AUTOEVENTO="Manual",$M661=1),0,IF(OFFSET(CRONOPLE!$F$14,$M661,BE$13)="",10^12,OFFSET(CRONOPLE!$F$14,$M661,BE$13))))</f>
        <v>1000000000000</v>
      </c>
      <c r="BF661" s="181">
        <f ca="1">IF($D661&lt;&gt;"Serviço",0,IF(AND(AUTOEVENTO="Manual",$M661=1),0,IF(OFFSET(CRONOPLE!$F$14,$M661,BF$13)="",10^12,OFFSET(CRONOPLE!$F$14,$M661,BF$13))))</f>
        <v>1000000000000</v>
      </c>
      <c r="BG661" s="181">
        <f ca="1">IF($D661&lt;&gt;"Serviço",0,IF(AND(AUTOEVENTO="Manual",$M661=1),0,IF(OFFSET(CRONOPLE!$F$14,$M661,BG$13)="",10^12,OFFSET(CRONOPLE!$F$14,$M661,BG$13))))</f>
        <v>1000000000000</v>
      </c>
      <c r="BH661" s="181">
        <f ca="1">IF($D661&lt;&gt;"Serviço",0,IF(AND(AUTOEVENTO="Manual",$M661=1),0,IF(OFFSET(CRONOPLE!$F$14,$M661,BH$13)="",10^12,OFFSET(CRONOPLE!$F$14,$M661,BH$13))))</f>
        <v>1000000000000</v>
      </c>
      <c r="BI661" s="181">
        <f ca="1">IF($D661&lt;&gt;"Serviço",0,IF(AND(AUTOEVENTO="Manual",$M661=1),0,IF(OFFSET(CRONOPLE!$F$14,$M661,BI$13)="",10^12,OFFSET(CRONOPLE!$F$14,$M661,BI$13))))</f>
        <v>1000000000000</v>
      </c>
      <c r="BJ661" s="181">
        <f ca="1">IF($D661&lt;&gt;"Serviço",0,IF(AND(AUTOEVENTO="Manual",$M661=1),0,IF(OFFSET(CRONOPLE!$F$14,$M661,BJ$13)="",10^12,OFFSET(CRONOPLE!$F$14,$M661,BJ$13))))</f>
        <v>1000000000000</v>
      </c>
      <c r="BK661" s="181">
        <f ca="1">IF($D661&lt;&gt;"Serviço",0,IF(AND(AUTOEVENTO="Manual",$M661=1),0,IF(OFFSET(CRONOPLE!$F$14,$M661,BK$13)="",10^12,OFFSET(CRONOPLE!$F$14,$M661,BK$13))))</f>
        <v>1000000000000</v>
      </c>
      <c r="BL661" s="181">
        <f ca="1">IF($D661&lt;&gt;"Serviço",0,IF(AND(AUTOEVENTO="Manual",$M661=1),0,IF(OFFSET(CRONOPLE!$F$14,$M661,BL$13)="",10^12,OFFSET(CRONOPLE!$F$14,$M661,BL$13))))</f>
        <v>1000000000000</v>
      </c>
      <c r="BM661" s="181">
        <f ca="1">IF($D661&lt;&gt;"Serviço",0,IF(AND(AUTOEVENTO="Manual",$M661=1),0,IF(OFFSET(CRONOPLE!$F$14,$M661,BM$13)="",10^12,OFFSET(CRONOPLE!$F$14,$M661,BM$13))))</f>
        <v>1000000000000</v>
      </c>
      <c r="BN661" s="181">
        <f ca="1">IF($D661&lt;&gt;"Serviço",0,IF(AND(AUTOEVENTO="Manual",$M661=1),0,IF(OFFSET(CRONOPLE!$F$14,$M661,BN$13)="",10^12,OFFSET(CRONOPLE!$F$14,$M661,BN$13))))</f>
        <v>1000000000000</v>
      </c>
      <c r="BO661" s="181">
        <f ca="1">IF($D661&lt;&gt;"Serviço",0,IF(AND(AUTOEVENTO="Manual",$M661=1),0,IF(OFFSET(CRONOPLE!$F$14,$M661,BO$13)="",10^12,OFFSET(CRONOPLE!$F$14,$M661,BO$13))))</f>
        <v>1000000000000</v>
      </c>
      <c r="BP661" s="181">
        <f ca="1">IF($D661&lt;&gt;"Serviço",0,IF(AND(AUTOEVENTO="Manual",$M661=1),0,IF(OFFSET(CRONOPLE!$F$14,$M661,BP$13)="",10^12,OFFSET(CRONOPLE!$F$14,$M661,BP$13))))</f>
        <v>1000000000000</v>
      </c>
      <c r="BQ661" s="181">
        <f ca="1">IF($D661&lt;&gt;"Serviço",0,IF(AND(AUTOEVENTO="Manual",$M661=1),0,IF(OFFSET(CRONOPLE!$F$14,$M661,BQ$13)="",10^12,OFFSET(CRONOPLE!$F$14,$M661,BQ$13))))</f>
        <v>1000000000000</v>
      </c>
      <c r="BR661" s="181">
        <f ca="1">IF($D661&lt;&gt;"Serviço",0,IF(AND(AUTOEVENTO="Manual",$M661=1),0,IF(OFFSET(CRONOPLE!$F$14,$M661,BR$13)="",10^12,OFFSET(CRONOPLE!$F$14,$M661,BR$13))))</f>
        <v>1000000000000</v>
      </c>
      <c r="BS661" s="181">
        <f ca="1">IF($D661&lt;&gt;"Serviço",0,IF(AND(AUTOEVENTO="Manual",$M661=1),0,IF(OFFSET(CRONOPLE!$F$14,$M661,BS$13)="",10^12,OFFSET(CRONOPLE!$F$14,$M661,BS$13))))</f>
        <v>1000000000000</v>
      </c>
      <c r="BT661" s="181">
        <f ca="1">IF($D661&lt;&gt;"Serviço",0,IF(AND(AUTOEVENTO="Manual",$M661=1),0,IF(OFFSET(CRONOPLE!$F$14,$M661,BT$13)="",10^12,OFFSET(CRONOPLE!$F$14,$M661,BT$13))))</f>
        <v>1000000000000</v>
      </c>
      <c r="BV661" s="182">
        <f ca="1">IF($D661&lt;&gt;"Serviço",0,IF(OR(AND(AUTOEVENTO="Manual",$M661=1),$M661&gt;(ROW(PLE.lastrow)-ROW(PLE.firstrow))),0,IF(OFFSET(PLE!$G$14,$M661,BV$13)="",10^12,OFFSET(PLE!$G$14,$M661,BV$13))))</f>
        <v>1000000000000</v>
      </c>
      <c r="BW661" s="182">
        <f ca="1">IF($D661&lt;&gt;"Serviço",0,IF(OR(AND(AUTOEVENTO="Manual",$M661=1),$M661&gt;(ROW(PLE.lastrow)-ROW(PLE.firstrow))),0,IF(OFFSET(PLE!$G$14,$M661,BW$13)="",10^12,OFFSET(PLE!$G$14,$M661,BW$13))))</f>
        <v>1000000000000</v>
      </c>
      <c r="BX661" s="182">
        <f ca="1">IF($D661&lt;&gt;"Serviço",0,IF(OR(AND(AUTOEVENTO="Manual",$M661=1),$M661&gt;(ROW(PLE.lastrow)-ROW(PLE.firstrow))),0,IF(OFFSET(PLE!$G$14,$M661,BX$13)="",10^12,OFFSET(PLE!$G$14,$M661,BX$13))))</f>
        <v>1000000000000</v>
      </c>
      <c r="BY661" s="182">
        <f ca="1">IF($D661&lt;&gt;"Serviço",0,IF(OR(AND(AUTOEVENTO="Manual",$M661=1),$M661&gt;(ROW(PLE.lastrow)-ROW(PLE.firstrow))),0,IF(OFFSET(PLE!$G$14,$M661,BY$13)="",10^12,OFFSET(PLE!$G$14,$M661,BY$13))))</f>
        <v>1000000000000</v>
      </c>
      <c r="BZ661" s="182">
        <f ca="1">IF($D661&lt;&gt;"Serviço",0,IF(OR(AND(AUTOEVENTO="Manual",$M661=1),$M661&gt;(ROW(PLE.lastrow)-ROW(PLE.firstrow))),0,IF(OFFSET(PLE!$G$14,$M661,BZ$13)="",10^12,OFFSET(PLE!$G$14,$M661,BZ$13))))</f>
        <v>1000000000000</v>
      </c>
      <c r="CA661" s="182">
        <f ca="1">IF($D661&lt;&gt;"Serviço",0,IF(OR(AND(AUTOEVENTO="Manual",$M661=1),$M661&gt;(ROW(PLE.lastrow)-ROW(PLE.firstrow))),0,IF(OFFSET(PLE!$G$14,$M661,CA$13)="",10^12,OFFSET(PLE!$G$14,$M661,CA$13))))</f>
        <v>1000000000000</v>
      </c>
      <c r="CB661" s="182">
        <f ca="1">IF($D661&lt;&gt;"Serviço",0,IF(OR(AND(AUTOEVENTO="Manual",$M661=1),$M661&gt;(ROW(PLE.lastrow)-ROW(PLE.firstrow))),0,IF(OFFSET(PLE!$G$14,$M661,CB$13)="",10^12,OFFSET(PLE!$G$14,$M661,CB$13))))</f>
        <v>1000000000000</v>
      </c>
      <c r="CC661" s="182">
        <f ca="1">IF($D661&lt;&gt;"Serviço",0,IF(OR(AND(AUTOEVENTO="Manual",$M661=1),$M661&gt;(ROW(PLE.lastrow)-ROW(PLE.firstrow))),0,IF(OFFSET(PLE!$G$14,$M661,CC$13)="",10^12,OFFSET(PLE!$G$14,$M661,CC$13))))</f>
        <v>1000000000000</v>
      </c>
      <c r="CD661" s="182">
        <f ca="1">IF($D661&lt;&gt;"Serviço",0,IF(OR(AND(AUTOEVENTO="Manual",$M661=1),$M661&gt;(ROW(PLE.lastrow)-ROW(PLE.firstrow))),0,IF(OFFSET(PLE!$G$14,$M661,CD$13)="",10^12,OFFSET(PLE!$G$14,$M661,CD$13))))</f>
        <v>1000000000000</v>
      </c>
      <c r="CE661" s="182">
        <f ca="1">IF($D661&lt;&gt;"Serviço",0,IF(OR(AND(AUTOEVENTO="Manual",$M661=1),$M661&gt;(ROW(PLE.lastrow)-ROW(PLE.firstrow))),0,IF(OFFSET(PLE!$G$14,$M661,CE$13)="",10^12,OFFSET(PLE!$G$14,$M661,CE$13))))</f>
        <v>1000000000000</v>
      </c>
      <c r="CF661" s="182">
        <f ca="1">IF($D661&lt;&gt;"Serviço",0,IF(OR(AND(AUTOEVENTO="Manual",$M661=1),$M661&gt;(ROW(PLE.lastrow)-ROW(PLE.firstrow))),0,IF(OFFSET(PLE!$G$14,$M661,CF$13)="",10^12,OFFSET(PLE!$G$14,$M661,CF$13))))</f>
        <v>1000000000000</v>
      </c>
      <c r="CG661" s="182">
        <f ca="1">IF($D661&lt;&gt;"Serviço",0,IF(OR(AND(AUTOEVENTO="Manual",$M661=1),$M661&gt;(ROW(PLE.lastrow)-ROW(PLE.firstrow))),0,IF(OFFSET(PLE!$G$14,$M661,CG$13)="",10^12,OFFSET(PLE!$G$14,$M661,CG$13))))</f>
        <v>1000000000000</v>
      </c>
      <c r="CH661" s="182">
        <f ca="1">IF($D661&lt;&gt;"Serviço",0,IF(OR(AND(AUTOEVENTO="Manual",$M661=1),$M661&gt;(ROW(PLE.lastrow)-ROW(PLE.firstrow))),0,IF(OFFSET(PLE!$G$14,$M661,CH$13)="",10^12,OFFSET(PLE!$G$14,$M661,CH$13))))</f>
        <v>1000000000000</v>
      </c>
      <c r="CI661" s="182">
        <f ca="1">IF($D661&lt;&gt;"Serviço",0,IF(OR(AND(AUTOEVENTO="Manual",$M661=1),$M661&gt;(ROW(PLE.lastrow)-ROW(PLE.firstrow))),0,IF(OFFSET(PLE!$G$14,$M661,CI$13)="",10^12,OFFSET(PLE!$G$14,$M661,CI$13))))</f>
        <v>1000000000000</v>
      </c>
      <c r="CJ661" s="182">
        <f ca="1">IF($D661&lt;&gt;"Serviço",0,IF(OR(AND(AUTOEVENTO="Manual",$M661=1),$M661&gt;(ROW(PLE.lastrow)-ROW(PLE.firstrow))),0,IF(OFFSET(PLE!$G$14,$M661,CJ$13)="",10^12,OFFSET(PLE!$G$14,$M661,CJ$13))))</f>
        <v>1000000000000</v>
      </c>
      <c r="CK661" s="182">
        <f ca="1">IF($D661&lt;&gt;"Serviço",0,IF(OR(AND(AUTOEVENTO="Manual",$M661=1),$M661&gt;(ROW(PLE.lastrow)-ROW(PLE.firstrow))),0,IF(OFFSET(PLE!$G$14,$M661,CK$13)="",10^12,OFFSET(PLE!$G$14,$M661,CK$13))))</f>
        <v>1000000000000</v>
      </c>
      <c r="CL661" s="182">
        <f ca="1">IF($D661&lt;&gt;"Serviço",0,IF(OR(AND(AUTOEVENTO="Manual",$M661=1),$M661&gt;(ROW(PLE.lastrow)-ROW(PLE.firstrow))),0,IF(OFFSET(PLE!$G$14,$M661,CL$13)="",10^12,OFFSET(PLE!$G$14,$M661,CL$13))))</f>
        <v>1000000000000</v>
      </c>
      <c r="CM661" s="182">
        <f ca="1">IF($D661&lt;&gt;"Serviço",0,IF(OR(AND(AUTOEVENTO="Manual",$M661=1),$M661&gt;(ROW(PLE.lastrow)-ROW(PLE.firstrow))),0,IF(OFFSET(PLE!$G$14,$M661,CM$13)="",10^12,OFFSET(PLE!$G$14,$M661,CM$13))))</f>
        <v>1000000000000</v>
      </c>
    </row>
    <row r="662" spans="1:91" ht="38.25" x14ac:dyDescent="0.2">
      <c r="A662" s="7" t="str">
        <f t="shared" ca="1" si="19"/>
        <v>645</v>
      </c>
      <c r="B662" s="7" t="str">
        <f ca="1">OFFSET(ORÇAMENTO!C$15,ROW(B662)-ROW(B$15),0)</f>
        <v>S</v>
      </c>
      <c r="C662" s="7" t="str">
        <f ca="1">OFFSET(ORÇAMENTO!L$15,ROW(C662)-ROW(C$15),0)</f>
        <v/>
      </c>
      <c r="D662" s="118" t="str">
        <f ca="1">OFFSET(ORÇAMENTO!N$15,ROW(D662)-ROW(D$15),0)</f>
        <v>Serviço</v>
      </c>
      <c r="E662" s="119" t="str">
        <f ca="1">OFFSET(ORÇAMENTO!O$15,ROW(E662)-ROW(E$15),0)</f>
        <v>-</v>
      </c>
      <c r="F662" s="172" t="str">
        <f ca="1">OFFSET(ORÇAMENTO!R$15,ROW(F662)-ROW(F$15),0)</f>
        <v>(abra o arquivo 'Referência 06-2024.xlsm)</v>
      </c>
      <c r="G662" s="173" t="str">
        <f ca="1">IF($D662&lt;&gt;"Serviço","",OFFSET(ORÇAMENTO!S$15,ROW(G662)-ROW(G$15),0))</f>
        <v>-</v>
      </c>
      <c r="H662" s="124">
        <f ca="1">IF($D662&lt;&gt;"Serviço",0,IF(ACOMPANHAMENTO="BM",ROUND(OFFSET(ORÇAMENTO!AJ$15,ROW(H662)-ROW(H$15),0),15-13*ORÇAMENTO!$AF$7),SUMPRODUCT(($Q$12:$AI$12&lt;&gt;"")*ROUND($Q662:$AI662,15-13*ORÇAMENTO!$AF$7))))</f>
        <v>15</v>
      </c>
      <c r="I662" s="561" t="s">
        <v>1107</v>
      </c>
      <c r="K662" s="174"/>
      <c r="L662" s="175" t="s">
        <v>255</v>
      </c>
      <c r="M662" s="176">
        <f ca="1">IF($D662&lt;&gt;"Serviço","",IF(AUTOEVENTO="manual",$A662,IF(ISERROR(MATCH($A662,$A$15:OFFSET($A662,-1,0),0)),MAX($M$15:OFFSET(M662,-1,0))+1,INDEX($M$15:OFFSET(M662,-1,0),MATCH($A662,$A$15:OFFSET($A662,-1,0),0)))))</f>
        <v>72</v>
      </c>
      <c r="N662" s="177" t="str">
        <f ca="1">IF($D662&lt;&gt;"Serviço","",IF(AUTOEVENTO="Manual",IF($A662=0,"&lt;-- defina o número do agrupador",OFFSET(EVENTOS!$D$14,$A662,0)),OFFSET($F$15,$A662,0)))</f>
        <v>SISTEMA DE PROTEÇÃO CONTRA DESCARGAS ATMOSFÉRICAS (SPDA)</v>
      </c>
      <c r="O662" s="178"/>
      <c r="Q662" s="178">
        <v>15</v>
      </c>
      <c r="R662" s="179"/>
      <c r="S662" s="179"/>
      <c r="T662" s="179"/>
      <c r="U662" s="179"/>
      <c r="V662" s="179"/>
      <c r="W662" s="179"/>
      <c r="X662" s="179"/>
      <c r="Y662" s="179"/>
      <c r="Z662" s="180"/>
      <c r="AA662" s="179"/>
      <c r="AB662" s="179"/>
      <c r="AC662" s="179"/>
      <c r="AD662" s="179"/>
      <c r="AE662" s="179"/>
      <c r="AF662" s="179"/>
      <c r="AG662" s="179"/>
      <c r="AH662" s="180"/>
      <c r="AJ662" s="544">
        <f ca="1">IF(AND($D662="Serviço",AJ$12&lt;&gt;0,$H662&gt;0,OR(AUTOEVENTO&lt;&gt;"manual",$M662&lt;&gt;1)),
IF(Import.TipoArredondamento&lt;&gt;"TransfereGOV",
ROUND(OFFSET($P662,0,AJ$13),15-13*ORÇAMENTO!$AF$7)/$H662*OFFSET(ORÇAMENTO!$X$15,ROW(AJ662)-ROW(AJ$15),0),
ROUND(ROUND(OFFSET($P662,0,AJ$13),15-13*ORÇAMENTO!$AF$7)*OFFSET(ORÇAMENTO!$W$15,ROW(AJ662)-ROW(AJ$15),0),15-13*ORÇAMENTO!$AF$11)),0)</f>
        <v>0</v>
      </c>
      <c r="AK662" s="545">
        <f ca="1">IF(AND($D662="Serviço",AK$12&lt;&gt;0,$H662&gt;0,OR(AUTOEVENTO&lt;&gt;"manual",$M662&lt;&gt;1)),
IF(Import.TipoArredondamento&lt;&gt;"TransfereGOV",
ROUND(OFFSET($P662,0,AK$13),15-13*ORÇAMENTO!$AF$7)/$H662*OFFSET(ORÇAMENTO!$X$15,ROW(AK662)-ROW(AK$15),0),
ROUND(ROUND(OFFSET($P662,0,AK$13),15-13*ORÇAMENTO!$AF$7)*OFFSET(ORÇAMENTO!$W$15,ROW(AK662)-ROW(AK$15),0),15-13*ORÇAMENTO!$AF$11)),0)</f>
        <v>0</v>
      </c>
      <c r="AL662" s="545">
        <f ca="1">IF(AND($D662="Serviço",AL$12&lt;&gt;0,$H662&gt;0,OR(AUTOEVENTO&lt;&gt;"manual",$M662&lt;&gt;1)),
IF(Import.TipoArredondamento&lt;&gt;"TransfereGOV",
ROUND(OFFSET($P662,0,AL$13),15-13*ORÇAMENTO!$AF$7)/$H662*OFFSET(ORÇAMENTO!$X$15,ROW(AL662)-ROW(AL$15),0),
ROUND(ROUND(OFFSET($P662,0,AL$13),15-13*ORÇAMENTO!$AF$7)*OFFSET(ORÇAMENTO!$W$15,ROW(AL662)-ROW(AL$15),0),15-13*ORÇAMENTO!$AF$11)),0)</f>
        <v>0</v>
      </c>
      <c r="AM662" s="545">
        <f ca="1">IF(AND($D662="Serviço",AM$12&lt;&gt;0,$H662&gt;0,OR(AUTOEVENTO&lt;&gt;"manual",$M662&lt;&gt;1)),
IF(Import.TipoArredondamento&lt;&gt;"TransfereGOV",
ROUND(OFFSET($P662,0,AM$13),15-13*ORÇAMENTO!$AF$7)/$H662*OFFSET(ORÇAMENTO!$X$15,ROW(AM662)-ROW(AM$15),0),
ROUND(ROUND(OFFSET($P662,0,AM$13),15-13*ORÇAMENTO!$AF$7)*OFFSET(ORÇAMENTO!$W$15,ROW(AM662)-ROW(AM$15),0),15-13*ORÇAMENTO!$AF$11)),0)</f>
        <v>0</v>
      </c>
      <c r="AN662" s="545">
        <f ca="1">IF(AND($D662="Serviço",AN$12&lt;&gt;0,$H662&gt;0,OR(AUTOEVENTO&lt;&gt;"manual",$M662&lt;&gt;1)),
IF(Import.TipoArredondamento&lt;&gt;"TransfereGOV",
ROUND(OFFSET($P662,0,AN$13),15-13*ORÇAMENTO!$AF$7)/$H662*OFFSET(ORÇAMENTO!$X$15,ROW(AN662)-ROW(AN$15),0),
ROUND(ROUND(OFFSET($P662,0,AN$13),15-13*ORÇAMENTO!$AF$7)*OFFSET(ORÇAMENTO!$W$15,ROW(AN662)-ROW(AN$15),0),15-13*ORÇAMENTO!$AF$11)),0)</f>
        <v>0</v>
      </c>
      <c r="AO662" s="545">
        <f ca="1">IF(AND($D662="Serviço",AO$12&lt;&gt;0,$H662&gt;0,OR(AUTOEVENTO&lt;&gt;"manual",$M662&lt;&gt;1)),
IF(Import.TipoArredondamento&lt;&gt;"TransfereGOV",
ROUND(OFFSET($P662,0,AO$13),15-13*ORÇAMENTO!$AF$7)/$H662*OFFSET(ORÇAMENTO!$X$15,ROW(AO662)-ROW(AO$15),0),
ROUND(ROUND(OFFSET($P662,0,AO$13),15-13*ORÇAMENTO!$AF$7)*OFFSET(ORÇAMENTO!$W$15,ROW(AO662)-ROW(AO$15),0),15-13*ORÇAMENTO!$AF$11)),0)</f>
        <v>0</v>
      </c>
      <c r="AP662" s="545">
        <f ca="1">IF(AND($D662="Serviço",AP$12&lt;&gt;0,$H662&gt;0,OR(AUTOEVENTO&lt;&gt;"manual",$M662&lt;&gt;1)),
IF(Import.TipoArredondamento&lt;&gt;"TransfereGOV",
ROUND(OFFSET($P662,0,AP$13),15-13*ORÇAMENTO!$AF$7)/$H662*OFFSET(ORÇAMENTO!$X$15,ROW(AP662)-ROW(AP$15),0),
ROUND(ROUND(OFFSET($P662,0,AP$13),15-13*ORÇAMENTO!$AF$7)*OFFSET(ORÇAMENTO!$W$15,ROW(AP662)-ROW(AP$15),0),15-13*ORÇAMENTO!$AF$11)),0)</f>
        <v>0</v>
      </c>
      <c r="AQ662" s="545">
        <f ca="1">IF(AND($D662="Serviço",AQ$12&lt;&gt;0,$H662&gt;0,OR(AUTOEVENTO&lt;&gt;"manual",$M662&lt;&gt;1)),
IF(Import.TipoArredondamento&lt;&gt;"TransfereGOV",
ROUND(OFFSET($P662,0,AQ$13),15-13*ORÇAMENTO!$AF$7)/$H662*OFFSET(ORÇAMENTO!$X$15,ROW(AQ662)-ROW(AQ$15),0),
ROUND(ROUND(OFFSET($P662,0,AQ$13),15-13*ORÇAMENTO!$AF$7)*OFFSET(ORÇAMENTO!$W$15,ROW(AQ662)-ROW(AQ$15),0),15-13*ORÇAMENTO!$AF$11)),0)</f>
        <v>0</v>
      </c>
      <c r="AR662" s="545">
        <f ca="1">IF(AND($D662="Serviço",AR$12&lt;&gt;0,$H662&gt;0,OR(AUTOEVENTO&lt;&gt;"manual",$M662&lt;&gt;1)),
IF(Import.TipoArredondamento&lt;&gt;"TransfereGOV",
ROUND(OFFSET($P662,0,AR$13),15-13*ORÇAMENTO!$AF$7)/$H662*OFFSET(ORÇAMENTO!$X$15,ROW(AR662)-ROW(AR$15),0),
ROUND(ROUND(OFFSET($P662,0,AR$13),15-13*ORÇAMENTO!$AF$7)*OFFSET(ORÇAMENTO!$W$15,ROW(AR662)-ROW(AR$15),0),15-13*ORÇAMENTO!$AF$11)),0)</f>
        <v>0</v>
      </c>
      <c r="AS662" s="546">
        <f ca="1">IF(AND($D662="Serviço",AS$12&lt;&gt;0,$H662&gt;0,OR(AUTOEVENTO&lt;&gt;"manual",$M662&lt;&gt;1)),
IF(Import.TipoArredondamento&lt;&gt;"TransfereGOV",
ROUND(OFFSET($P662,0,AS$13),15-13*ORÇAMENTO!$AF$7)/$H662*OFFSET(ORÇAMENTO!$X$15,ROW(AS662)-ROW(AS$15),0),
ROUND(ROUND(OFFSET($P662,0,AS$13),15-13*ORÇAMENTO!$AF$7)*OFFSET(ORÇAMENTO!$W$15,ROW(AS662)-ROW(AS$15),0),15-13*ORÇAMENTO!$AF$11)),0)</f>
        <v>0</v>
      </c>
      <c r="AT662" s="545">
        <f ca="1">IF(AND($D662="Serviço",AT$12&lt;&gt;0,$H662&gt;0,OR(AUTOEVENTO&lt;&gt;"manual",$M662&lt;&gt;1)),
IF(Import.TipoArredondamento&lt;&gt;"TransfereGOV",
ROUND(OFFSET($P662,0,AT$13),15-13*ORÇAMENTO!$AF$7)/$H662*OFFSET(ORÇAMENTO!$X$15,ROW(AT662)-ROW(AT$15),0),
ROUND(ROUND(OFFSET($P662,0,AT$13),15-13*ORÇAMENTO!$AF$7)*OFFSET(ORÇAMENTO!$W$15,ROW(AT662)-ROW(AT$15),0),15-13*ORÇAMENTO!$AF$11)),0)</f>
        <v>0</v>
      </c>
      <c r="AU662" s="545">
        <f ca="1">IF(AND($D662="Serviço",AU$12&lt;&gt;0,$H662&gt;0,OR(AUTOEVENTO&lt;&gt;"manual",$M662&lt;&gt;1)),
IF(Import.TipoArredondamento&lt;&gt;"TransfereGOV",
ROUND(OFFSET($P662,0,AU$13),15-13*ORÇAMENTO!$AF$7)/$H662*OFFSET(ORÇAMENTO!$X$15,ROW(AU662)-ROW(AU$15),0),
ROUND(ROUND(OFFSET($P662,0,AU$13),15-13*ORÇAMENTO!$AF$7)*OFFSET(ORÇAMENTO!$W$15,ROW(AU662)-ROW(AU$15),0),15-13*ORÇAMENTO!$AF$11)),0)</f>
        <v>0</v>
      </c>
      <c r="AV662" s="545">
        <f ca="1">IF(AND($D662="Serviço",AV$12&lt;&gt;0,$H662&gt;0,OR(AUTOEVENTO&lt;&gt;"manual",$M662&lt;&gt;1)),
IF(Import.TipoArredondamento&lt;&gt;"TransfereGOV",
ROUND(OFFSET($P662,0,AV$13),15-13*ORÇAMENTO!$AF$7)/$H662*OFFSET(ORÇAMENTO!$X$15,ROW(AV662)-ROW(AV$15),0),
ROUND(ROUND(OFFSET($P662,0,AV$13),15-13*ORÇAMENTO!$AF$7)*OFFSET(ORÇAMENTO!$W$15,ROW(AV662)-ROW(AV$15),0),15-13*ORÇAMENTO!$AF$11)),0)</f>
        <v>0</v>
      </c>
      <c r="AW662" s="545">
        <f ca="1">IF(AND($D662="Serviço",AW$12&lt;&gt;0,$H662&gt;0,OR(AUTOEVENTO&lt;&gt;"manual",$M662&lt;&gt;1)),
IF(Import.TipoArredondamento&lt;&gt;"TransfereGOV",
ROUND(OFFSET($P662,0,AW$13),15-13*ORÇAMENTO!$AF$7)/$H662*OFFSET(ORÇAMENTO!$X$15,ROW(AW662)-ROW(AW$15),0),
ROUND(ROUND(OFFSET($P662,0,AW$13),15-13*ORÇAMENTO!$AF$7)*OFFSET(ORÇAMENTO!$W$15,ROW(AW662)-ROW(AW$15),0),15-13*ORÇAMENTO!$AF$11)),0)</f>
        <v>0</v>
      </c>
      <c r="AX662" s="545">
        <f ca="1">IF(AND($D662="Serviço",AX$12&lt;&gt;0,$H662&gt;0,OR(AUTOEVENTO&lt;&gt;"manual",$M662&lt;&gt;1)),
IF(Import.TipoArredondamento&lt;&gt;"TransfereGOV",
ROUND(OFFSET($P662,0,AX$13),15-13*ORÇAMENTO!$AF$7)/$H662*OFFSET(ORÇAMENTO!$X$15,ROW(AX662)-ROW(AX$15),0),
ROUND(ROUND(OFFSET($P662,0,AX$13),15-13*ORÇAMENTO!$AF$7)*OFFSET(ORÇAMENTO!$W$15,ROW(AX662)-ROW(AX$15),0),15-13*ORÇAMENTO!$AF$11)),0)</f>
        <v>0</v>
      </c>
      <c r="AY662" s="545">
        <f ca="1">IF(AND($D662="Serviço",AY$12&lt;&gt;0,$H662&gt;0,OR(AUTOEVENTO&lt;&gt;"manual",$M662&lt;&gt;1)),
IF(Import.TipoArredondamento&lt;&gt;"TransfereGOV",
ROUND(OFFSET($P662,0,AY$13),15-13*ORÇAMENTO!$AF$7)/$H662*OFFSET(ORÇAMENTO!$X$15,ROW(AY662)-ROW(AY$15),0),
ROUND(ROUND(OFFSET($P662,0,AY$13),15-13*ORÇAMENTO!$AF$7)*OFFSET(ORÇAMENTO!$W$15,ROW(AY662)-ROW(AY$15),0),15-13*ORÇAMENTO!$AF$11)),0)</f>
        <v>0</v>
      </c>
      <c r="AZ662" s="545">
        <f ca="1">IF(AND($D662="Serviço",AZ$12&lt;&gt;0,$H662&gt;0,OR(AUTOEVENTO&lt;&gt;"manual",$M662&lt;&gt;1)),
IF(Import.TipoArredondamento&lt;&gt;"TransfereGOV",
ROUND(OFFSET($P662,0,AZ$13),15-13*ORÇAMENTO!$AF$7)/$H662*OFFSET(ORÇAMENTO!$X$15,ROW(AZ662)-ROW(AZ$15),0),
ROUND(ROUND(OFFSET($P662,0,AZ$13),15-13*ORÇAMENTO!$AF$7)*OFFSET(ORÇAMENTO!$W$15,ROW(AZ662)-ROW(AZ$15),0),15-13*ORÇAMENTO!$AF$11)),0)</f>
        <v>0</v>
      </c>
      <c r="BA662" s="546">
        <f ca="1">IF(AND($D662="Serviço",BA$12&lt;&gt;0,$H662&gt;0,OR(AUTOEVENTO&lt;&gt;"manual",$M662&lt;&gt;1)),
IF(Import.TipoArredondamento&lt;&gt;"TransfereGOV",
ROUND(OFFSET($P662,0,BA$13),15-13*ORÇAMENTO!$AF$7)/$H662*OFFSET(ORÇAMENTO!$X$15,ROW(BA662)-ROW(BA$15),0),
ROUND(ROUND(OFFSET($P662,0,BA$13),15-13*ORÇAMENTO!$AF$7)*OFFSET(ORÇAMENTO!$W$15,ROW(BA662)-ROW(BA$15),0),15-13*ORÇAMENTO!$AF$11)),0)</f>
        <v>0</v>
      </c>
      <c r="BC662" s="181">
        <f ca="1">IF($D662&lt;&gt;"Serviço",0,IF(AND(AUTOEVENTO="Manual",$M662=1),0,IF(OFFSET(CRONOPLE!$F$14,$M662,BC$13)="",10^12,OFFSET(CRONOPLE!$F$14,$M662,BC$13))))</f>
        <v>11</v>
      </c>
      <c r="BD662" s="181">
        <f ca="1">IF($D662&lt;&gt;"Serviço",0,IF(AND(AUTOEVENTO="Manual",$M662=1),0,IF(OFFSET(CRONOPLE!$F$14,$M662,BD$13)="",10^12,OFFSET(CRONOPLE!$F$14,$M662,BD$13))))</f>
        <v>1000000000000</v>
      </c>
      <c r="BE662" s="181">
        <f ca="1">IF($D662&lt;&gt;"Serviço",0,IF(AND(AUTOEVENTO="Manual",$M662=1),0,IF(OFFSET(CRONOPLE!$F$14,$M662,BE$13)="",10^12,OFFSET(CRONOPLE!$F$14,$M662,BE$13))))</f>
        <v>1000000000000</v>
      </c>
      <c r="BF662" s="181">
        <f ca="1">IF($D662&lt;&gt;"Serviço",0,IF(AND(AUTOEVENTO="Manual",$M662=1),0,IF(OFFSET(CRONOPLE!$F$14,$M662,BF$13)="",10^12,OFFSET(CRONOPLE!$F$14,$M662,BF$13))))</f>
        <v>1000000000000</v>
      </c>
      <c r="BG662" s="181">
        <f ca="1">IF($D662&lt;&gt;"Serviço",0,IF(AND(AUTOEVENTO="Manual",$M662=1),0,IF(OFFSET(CRONOPLE!$F$14,$M662,BG$13)="",10^12,OFFSET(CRONOPLE!$F$14,$M662,BG$13))))</f>
        <v>1000000000000</v>
      </c>
      <c r="BH662" s="181">
        <f ca="1">IF($D662&lt;&gt;"Serviço",0,IF(AND(AUTOEVENTO="Manual",$M662=1),0,IF(OFFSET(CRONOPLE!$F$14,$M662,BH$13)="",10^12,OFFSET(CRONOPLE!$F$14,$M662,BH$13))))</f>
        <v>1000000000000</v>
      </c>
      <c r="BI662" s="181">
        <f ca="1">IF($D662&lt;&gt;"Serviço",0,IF(AND(AUTOEVENTO="Manual",$M662=1),0,IF(OFFSET(CRONOPLE!$F$14,$M662,BI$13)="",10^12,OFFSET(CRONOPLE!$F$14,$M662,BI$13))))</f>
        <v>1000000000000</v>
      </c>
      <c r="BJ662" s="181">
        <f ca="1">IF($D662&lt;&gt;"Serviço",0,IF(AND(AUTOEVENTO="Manual",$M662=1),0,IF(OFFSET(CRONOPLE!$F$14,$M662,BJ$13)="",10^12,OFFSET(CRONOPLE!$F$14,$M662,BJ$13))))</f>
        <v>1000000000000</v>
      </c>
      <c r="BK662" s="181">
        <f ca="1">IF($D662&lt;&gt;"Serviço",0,IF(AND(AUTOEVENTO="Manual",$M662=1),0,IF(OFFSET(CRONOPLE!$F$14,$M662,BK$13)="",10^12,OFFSET(CRONOPLE!$F$14,$M662,BK$13))))</f>
        <v>1000000000000</v>
      </c>
      <c r="BL662" s="181">
        <f ca="1">IF($D662&lt;&gt;"Serviço",0,IF(AND(AUTOEVENTO="Manual",$M662=1),0,IF(OFFSET(CRONOPLE!$F$14,$M662,BL$13)="",10^12,OFFSET(CRONOPLE!$F$14,$M662,BL$13))))</f>
        <v>1000000000000</v>
      </c>
      <c r="BM662" s="181">
        <f ca="1">IF($D662&lt;&gt;"Serviço",0,IF(AND(AUTOEVENTO="Manual",$M662=1),0,IF(OFFSET(CRONOPLE!$F$14,$M662,BM$13)="",10^12,OFFSET(CRONOPLE!$F$14,$M662,BM$13))))</f>
        <v>1000000000000</v>
      </c>
      <c r="BN662" s="181">
        <f ca="1">IF($D662&lt;&gt;"Serviço",0,IF(AND(AUTOEVENTO="Manual",$M662=1),0,IF(OFFSET(CRONOPLE!$F$14,$M662,BN$13)="",10^12,OFFSET(CRONOPLE!$F$14,$M662,BN$13))))</f>
        <v>1000000000000</v>
      </c>
      <c r="BO662" s="181">
        <f ca="1">IF($D662&lt;&gt;"Serviço",0,IF(AND(AUTOEVENTO="Manual",$M662=1),0,IF(OFFSET(CRONOPLE!$F$14,$M662,BO$13)="",10^12,OFFSET(CRONOPLE!$F$14,$M662,BO$13))))</f>
        <v>1000000000000</v>
      </c>
      <c r="BP662" s="181">
        <f ca="1">IF($D662&lt;&gt;"Serviço",0,IF(AND(AUTOEVENTO="Manual",$M662=1),0,IF(OFFSET(CRONOPLE!$F$14,$M662,BP$13)="",10^12,OFFSET(CRONOPLE!$F$14,$M662,BP$13))))</f>
        <v>1000000000000</v>
      </c>
      <c r="BQ662" s="181">
        <f ca="1">IF($D662&lt;&gt;"Serviço",0,IF(AND(AUTOEVENTO="Manual",$M662=1),0,IF(OFFSET(CRONOPLE!$F$14,$M662,BQ$13)="",10^12,OFFSET(CRONOPLE!$F$14,$M662,BQ$13))))</f>
        <v>1000000000000</v>
      </c>
      <c r="BR662" s="181">
        <f ca="1">IF($D662&lt;&gt;"Serviço",0,IF(AND(AUTOEVENTO="Manual",$M662=1),0,IF(OFFSET(CRONOPLE!$F$14,$M662,BR$13)="",10^12,OFFSET(CRONOPLE!$F$14,$M662,BR$13))))</f>
        <v>1000000000000</v>
      </c>
      <c r="BS662" s="181">
        <f ca="1">IF($D662&lt;&gt;"Serviço",0,IF(AND(AUTOEVENTO="Manual",$M662=1),0,IF(OFFSET(CRONOPLE!$F$14,$M662,BS$13)="",10^12,OFFSET(CRONOPLE!$F$14,$M662,BS$13))))</f>
        <v>1000000000000</v>
      </c>
      <c r="BT662" s="181">
        <f ca="1">IF($D662&lt;&gt;"Serviço",0,IF(AND(AUTOEVENTO="Manual",$M662=1),0,IF(OFFSET(CRONOPLE!$F$14,$M662,BT$13)="",10^12,OFFSET(CRONOPLE!$F$14,$M662,BT$13))))</f>
        <v>1000000000000</v>
      </c>
      <c r="BV662" s="182">
        <f ca="1">IF($D662&lt;&gt;"Serviço",0,IF(OR(AND(AUTOEVENTO="Manual",$M662=1),$M662&gt;(ROW(PLE.lastrow)-ROW(PLE.firstrow))),0,IF(OFFSET(PLE!$G$14,$M662,BV$13)="",10^12,OFFSET(PLE!$G$14,$M662,BV$13))))</f>
        <v>1000000000000</v>
      </c>
      <c r="BW662" s="182">
        <f ca="1">IF($D662&lt;&gt;"Serviço",0,IF(OR(AND(AUTOEVENTO="Manual",$M662=1),$M662&gt;(ROW(PLE.lastrow)-ROW(PLE.firstrow))),0,IF(OFFSET(PLE!$G$14,$M662,BW$13)="",10^12,OFFSET(PLE!$G$14,$M662,BW$13))))</f>
        <v>1000000000000</v>
      </c>
      <c r="BX662" s="182">
        <f ca="1">IF($D662&lt;&gt;"Serviço",0,IF(OR(AND(AUTOEVENTO="Manual",$M662=1),$M662&gt;(ROW(PLE.lastrow)-ROW(PLE.firstrow))),0,IF(OFFSET(PLE!$G$14,$M662,BX$13)="",10^12,OFFSET(PLE!$G$14,$M662,BX$13))))</f>
        <v>1000000000000</v>
      </c>
      <c r="BY662" s="182">
        <f ca="1">IF($D662&lt;&gt;"Serviço",0,IF(OR(AND(AUTOEVENTO="Manual",$M662=1),$M662&gt;(ROW(PLE.lastrow)-ROW(PLE.firstrow))),0,IF(OFFSET(PLE!$G$14,$M662,BY$13)="",10^12,OFFSET(PLE!$G$14,$M662,BY$13))))</f>
        <v>1000000000000</v>
      </c>
      <c r="BZ662" s="182">
        <f ca="1">IF($D662&lt;&gt;"Serviço",0,IF(OR(AND(AUTOEVENTO="Manual",$M662=1),$M662&gt;(ROW(PLE.lastrow)-ROW(PLE.firstrow))),0,IF(OFFSET(PLE!$G$14,$M662,BZ$13)="",10^12,OFFSET(PLE!$G$14,$M662,BZ$13))))</f>
        <v>1000000000000</v>
      </c>
      <c r="CA662" s="182">
        <f ca="1">IF($D662&lt;&gt;"Serviço",0,IF(OR(AND(AUTOEVENTO="Manual",$M662=1),$M662&gt;(ROW(PLE.lastrow)-ROW(PLE.firstrow))),0,IF(OFFSET(PLE!$G$14,$M662,CA$13)="",10^12,OFFSET(PLE!$G$14,$M662,CA$13))))</f>
        <v>1000000000000</v>
      </c>
      <c r="CB662" s="182">
        <f ca="1">IF($D662&lt;&gt;"Serviço",0,IF(OR(AND(AUTOEVENTO="Manual",$M662=1),$M662&gt;(ROW(PLE.lastrow)-ROW(PLE.firstrow))),0,IF(OFFSET(PLE!$G$14,$M662,CB$13)="",10^12,OFFSET(PLE!$G$14,$M662,CB$13))))</f>
        <v>1000000000000</v>
      </c>
      <c r="CC662" s="182">
        <f ca="1">IF($D662&lt;&gt;"Serviço",0,IF(OR(AND(AUTOEVENTO="Manual",$M662=1),$M662&gt;(ROW(PLE.lastrow)-ROW(PLE.firstrow))),0,IF(OFFSET(PLE!$G$14,$M662,CC$13)="",10^12,OFFSET(PLE!$G$14,$M662,CC$13))))</f>
        <v>1000000000000</v>
      </c>
      <c r="CD662" s="182">
        <f ca="1">IF($D662&lt;&gt;"Serviço",0,IF(OR(AND(AUTOEVENTO="Manual",$M662=1),$M662&gt;(ROW(PLE.lastrow)-ROW(PLE.firstrow))),0,IF(OFFSET(PLE!$G$14,$M662,CD$13)="",10^12,OFFSET(PLE!$G$14,$M662,CD$13))))</f>
        <v>1000000000000</v>
      </c>
      <c r="CE662" s="182">
        <f ca="1">IF($D662&lt;&gt;"Serviço",0,IF(OR(AND(AUTOEVENTO="Manual",$M662=1),$M662&gt;(ROW(PLE.lastrow)-ROW(PLE.firstrow))),0,IF(OFFSET(PLE!$G$14,$M662,CE$13)="",10^12,OFFSET(PLE!$G$14,$M662,CE$13))))</f>
        <v>1000000000000</v>
      </c>
      <c r="CF662" s="182">
        <f ca="1">IF($D662&lt;&gt;"Serviço",0,IF(OR(AND(AUTOEVENTO="Manual",$M662=1),$M662&gt;(ROW(PLE.lastrow)-ROW(PLE.firstrow))),0,IF(OFFSET(PLE!$G$14,$M662,CF$13)="",10^12,OFFSET(PLE!$G$14,$M662,CF$13))))</f>
        <v>1000000000000</v>
      </c>
      <c r="CG662" s="182">
        <f ca="1">IF($D662&lt;&gt;"Serviço",0,IF(OR(AND(AUTOEVENTO="Manual",$M662=1),$M662&gt;(ROW(PLE.lastrow)-ROW(PLE.firstrow))),0,IF(OFFSET(PLE!$G$14,$M662,CG$13)="",10^12,OFFSET(PLE!$G$14,$M662,CG$13))))</f>
        <v>1000000000000</v>
      </c>
      <c r="CH662" s="182">
        <f ca="1">IF($D662&lt;&gt;"Serviço",0,IF(OR(AND(AUTOEVENTO="Manual",$M662=1),$M662&gt;(ROW(PLE.lastrow)-ROW(PLE.firstrow))),0,IF(OFFSET(PLE!$G$14,$M662,CH$13)="",10^12,OFFSET(PLE!$G$14,$M662,CH$13))))</f>
        <v>1000000000000</v>
      </c>
      <c r="CI662" s="182">
        <f ca="1">IF($D662&lt;&gt;"Serviço",0,IF(OR(AND(AUTOEVENTO="Manual",$M662=1),$M662&gt;(ROW(PLE.lastrow)-ROW(PLE.firstrow))),0,IF(OFFSET(PLE!$G$14,$M662,CI$13)="",10^12,OFFSET(PLE!$G$14,$M662,CI$13))))</f>
        <v>1000000000000</v>
      </c>
      <c r="CJ662" s="182">
        <f ca="1">IF($D662&lt;&gt;"Serviço",0,IF(OR(AND(AUTOEVENTO="Manual",$M662=1),$M662&gt;(ROW(PLE.lastrow)-ROW(PLE.firstrow))),0,IF(OFFSET(PLE!$G$14,$M662,CJ$13)="",10^12,OFFSET(PLE!$G$14,$M662,CJ$13))))</f>
        <v>1000000000000</v>
      </c>
      <c r="CK662" s="182">
        <f ca="1">IF($D662&lt;&gt;"Serviço",0,IF(OR(AND(AUTOEVENTO="Manual",$M662=1),$M662&gt;(ROW(PLE.lastrow)-ROW(PLE.firstrow))),0,IF(OFFSET(PLE!$G$14,$M662,CK$13)="",10^12,OFFSET(PLE!$G$14,$M662,CK$13))))</f>
        <v>1000000000000</v>
      </c>
      <c r="CL662" s="182">
        <f ca="1">IF($D662&lt;&gt;"Serviço",0,IF(OR(AND(AUTOEVENTO="Manual",$M662=1),$M662&gt;(ROW(PLE.lastrow)-ROW(PLE.firstrow))),0,IF(OFFSET(PLE!$G$14,$M662,CL$13)="",10^12,OFFSET(PLE!$G$14,$M662,CL$13))))</f>
        <v>1000000000000</v>
      </c>
      <c r="CM662" s="182">
        <f ca="1">IF($D662&lt;&gt;"Serviço",0,IF(OR(AND(AUTOEVENTO="Manual",$M662=1),$M662&gt;(ROW(PLE.lastrow)-ROW(PLE.firstrow))),0,IF(OFFSET(PLE!$G$14,$M662,CM$13)="",10^12,OFFSET(PLE!$G$14,$M662,CM$13))))</f>
        <v>1000000000000</v>
      </c>
    </row>
    <row r="663" spans="1:91" ht="38.25" x14ac:dyDescent="0.2">
      <c r="A663" s="7" t="str">
        <f t="shared" ca="1" si="19"/>
        <v>645</v>
      </c>
      <c r="B663" s="7" t="str">
        <f ca="1">OFFSET(ORÇAMENTO!C$15,ROW(B663)-ROW(B$15),0)</f>
        <v>S</v>
      </c>
      <c r="C663" s="7" t="str">
        <f ca="1">OFFSET(ORÇAMENTO!L$15,ROW(C663)-ROW(C$15),0)</f>
        <v/>
      </c>
      <c r="D663" s="118" t="str">
        <f ca="1">OFFSET(ORÇAMENTO!N$15,ROW(D663)-ROW(D$15),0)</f>
        <v>Serviço</v>
      </c>
      <c r="E663" s="119" t="str">
        <f ca="1">OFFSET(ORÇAMENTO!O$15,ROW(E663)-ROW(E$15),0)</f>
        <v>-</v>
      </c>
      <c r="F663" s="172" t="str">
        <f ca="1">OFFSET(ORÇAMENTO!R$15,ROW(F663)-ROW(F$15),0)</f>
        <v>(abra o arquivo 'Referência 06-2024.xlsm)</v>
      </c>
      <c r="G663" s="173" t="str">
        <f ca="1">IF($D663&lt;&gt;"Serviço","",OFFSET(ORÇAMENTO!S$15,ROW(G663)-ROW(G$15),0))</f>
        <v>-</v>
      </c>
      <c r="H663" s="124">
        <f ca="1">IF($D663&lt;&gt;"Serviço",0,IF(ACOMPANHAMENTO="BM",ROUND(OFFSET(ORÇAMENTO!AJ$15,ROW(H663)-ROW(H$15),0),15-13*ORÇAMENTO!$AF$7),SUMPRODUCT(($Q$12:$AI$12&lt;&gt;"")*ROUND($Q663:$AI663,15-13*ORÇAMENTO!$AF$7))))</f>
        <v>48</v>
      </c>
      <c r="I663" s="561" t="s">
        <v>1107</v>
      </c>
      <c r="K663" s="174"/>
      <c r="L663" s="175" t="s">
        <v>255</v>
      </c>
      <c r="M663" s="176">
        <f ca="1">IF($D663&lt;&gt;"Serviço","",IF(AUTOEVENTO="manual",$A663,IF(ISERROR(MATCH($A663,$A$15:OFFSET($A663,-1,0),0)),MAX($M$15:OFFSET(M663,-1,0))+1,INDEX($M$15:OFFSET(M663,-1,0),MATCH($A663,$A$15:OFFSET($A663,-1,0),0)))))</f>
        <v>72</v>
      </c>
      <c r="N663" s="177" t="str">
        <f ca="1">IF($D663&lt;&gt;"Serviço","",IF(AUTOEVENTO="Manual",IF($A663=0,"&lt;-- defina o número do agrupador",OFFSET(EVENTOS!$D$14,$A663,0)),OFFSET($F$15,$A663,0)))</f>
        <v>SISTEMA DE PROTEÇÃO CONTRA DESCARGAS ATMOSFÉRICAS (SPDA)</v>
      </c>
      <c r="O663" s="178"/>
      <c r="Q663" s="178">
        <v>48</v>
      </c>
      <c r="R663" s="179"/>
      <c r="S663" s="179"/>
      <c r="T663" s="179"/>
      <c r="U663" s="179"/>
      <c r="V663" s="179"/>
      <c r="W663" s="179"/>
      <c r="X663" s="179"/>
      <c r="Y663" s="179"/>
      <c r="Z663" s="180"/>
      <c r="AA663" s="179"/>
      <c r="AB663" s="179"/>
      <c r="AC663" s="179"/>
      <c r="AD663" s="179"/>
      <c r="AE663" s="179"/>
      <c r="AF663" s="179"/>
      <c r="AG663" s="179"/>
      <c r="AH663" s="180"/>
      <c r="AJ663" s="544">
        <f ca="1">IF(AND($D663="Serviço",AJ$12&lt;&gt;0,$H663&gt;0,OR(AUTOEVENTO&lt;&gt;"manual",$M663&lt;&gt;1)),
IF(Import.TipoArredondamento&lt;&gt;"TransfereGOV",
ROUND(OFFSET($P663,0,AJ$13),15-13*ORÇAMENTO!$AF$7)/$H663*OFFSET(ORÇAMENTO!$X$15,ROW(AJ663)-ROW(AJ$15),0),
ROUND(ROUND(OFFSET($P663,0,AJ$13),15-13*ORÇAMENTO!$AF$7)*OFFSET(ORÇAMENTO!$W$15,ROW(AJ663)-ROW(AJ$15),0),15-13*ORÇAMENTO!$AF$11)),0)</f>
        <v>0</v>
      </c>
      <c r="AK663" s="545">
        <f ca="1">IF(AND($D663="Serviço",AK$12&lt;&gt;0,$H663&gt;0,OR(AUTOEVENTO&lt;&gt;"manual",$M663&lt;&gt;1)),
IF(Import.TipoArredondamento&lt;&gt;"TransfereGOV",
ROUND(OFFSET($P663,0,AK$13),15-13*ORÇAMENTO!$AF$7)/$H663*OFFSET(ORÇAMENTO!$X$15,ROW(AK663)-ROW(AK$15),0),
ROUND(ROUND(OFFSET($P663,0,AK$13),15-13*ORÇAMENTO!$AF$7)*OFFSET(ORÇAMENTO!$W$15,ROW(AK663)-ROW(AK$15),0),15-13*ORÇAMENTO!$AF$11)),0)</f>
        <v>0</v>
      </c>
      <c r="AL663" s="545">
        <f ca="1">IF(AND($D663="Serviço",AL$12&lt;&gt;0,$H663&gt;0,OR(AUTOEVENTO&lt;&gt;"manual",$M663&lt;&gt;1)),
IF(Import.TipoArredondamento&lt;&gt;"TransfereGOV",
ROUND(OFFSET($P663,0,AL$13),15-13*ORÇAMENTO!$AF$7)/$H663*OFFSET(ORÇAMENTO!$X$15,ROW(AL663)-ROW(AL$15),0),
ROUND(ROUND(OFFSET($P663,0,AL$13),15-13*ORÇAMENTO!$AF$7)*OFFSET(ORÇAMENTO!$W$15,ROW(AL663)-ROW(AL$15),0),15-13*ORÇAMENTO!$AF$11)),0)</f>
        <v>0</v>
      </c>
      <c r="AM663" s="545">
        <f ca="1">IF(AND($D663="Serviço",AM$12&lt;&gt;0,$H663&gt;0,OR(AUTOEVENTO&lt;&gt;"manual",$M663&lt;&gt;1)),
IF(Import.TipoArredondamento&lt;&gt;"TransfereGOV",
ROUND(OFFSET($P663,0,AM$13),15-13*ORÇAMENTO!$AF$7)/$H663*OFFSET(ORÇAMENTO!$X$15,ROW(AM663)-ROW(AM$15),0),
ROUND(ROUND(OFFSET($P663,0,AM$13),15-13*ORÇAMENTO!$AF$7)*OFFSET(ORÇAMENTO!$W$15,ROW(AM663)-ROW(AM$15),0),15-13*ORÇAMENTO!$AF$11)),0)</f>
        <v>0</v>
      </c>
      <c r="AN663" s="545">
        <f ca="1">IF(AND($D663="Serviço",AN$12&lt;&gt;0,$H663&gt;0,OR(AUTOEVENTO&lt;&gt;"manual",$M663&lt;&gt;1)),
IF(Import.TipoArredondamento&lt;&gt;"TransfereGOV",
ROUND(OFFSET($P663,0,AN$13),15-13*ORÇAMENTO!$AF$7)/$H663*OFFSET(ORÇAMENTO!$X$15,ROW(AN663)-ROW(AN$15),0),
ROUND(ROUND(OFFSET($P663,0,AN$13),15-13*ORÇAMENTO!$AF$7)*OFFSET(ORÇAMENTO!$W$15,ROW(AN663)-ROW(AN$15),0),15-13*ORÇAMENTO!$AF$11)),0)</f>
        <v>0</v>
      </c>
      <c r="AO663" s="545">
        <f ca="1">IF(AND($D663="Serviço",AO$12&lt;&gt;0,$H663&gt;0,OR(AUTOEVENTO&lt;&gt;"manual",$M663&lt;&gt;1)),
IF(Import.TipoArredondamento&lt;&gt;"TransfereGOV",
ROUND(OFFSET($P663,0,AO$13),15-13*ORÇAMENTO!$AF$7)/$H663*OFFSET(ORÇAMENTO!$X$15,ROW(AO663)-ROW(AO$15),0),
ROUND(ROUND(OFFSET($P663,0,AO$13),15-13*ORÇAMENTO!$AF$7)*OFFSET(ORÇAMENTO!$W$15,ROW(AO663)-ROW(AO$15),0),15-13*ORÇAMENTO!$AF$11)),0)</f>
        <v>0</v>
      </c>
      <c r="AP663" s="545">
        <f ca="1">IF(AND($D663="Serviço",AP$12&lt;&gt;0,$H663&gt;0,OR(AUTOEVENTO&lt;&gt;"manual",$M663&lt;&gt;1)),
IF(Import.TipoArredondamento&lt;&gt;"TransfereGOV",
ROUND(OFFSET($P663,0,AP$13),15-13*ORÇAMENTO!$AF$7)/$H663*OFFSET(ORÇAMENTO!$X$15,ROW(AP663)-ROW(AP$15),0),
ROUND(ROUND(OFFSET($P663,0,AP$13),15-13*ORÇAMENTO!$AF$7)*OFFSET(ORÇAMENTO!$W$15,ROW(AP663)-ROW(AP$15),0),15-13*ORÇAMENTO!$AF$11)),0)</f>
        <v>0</v>
      </c>
      <c r="AQ663" s="545">
        <f ca="1">IF(AND($D663="Serviço",AQ$12&lt;&gt;0,$H663&gt;0,OR(AUTOEVENTO&lt;&gt;"manual",$M663&lt;&gt;1)),
IF(Import.TipoArredondamento&lt;&gt;"TransfereGOV",
ROUND(OFFSET($P663,0,AQ$13),15-13*ORÇAMENTO!$AF$7)/$H663*OFFSET(ORÇAMENTO!$X$15,ROW(AQ663)-ROW(AQ$15),0),
ROUND(ROUND(OFFSET($P663,0,AQ$13),15-13*ORÇAMENTO!$AF$7)*OFFSET(ORÇAMENTO!$W$15,ROW(AQ663)-ROW(AQ$15),0),15-13*ORÇAMENTO!$AF$11)),0)</f>
        <v>0</v>
      </c>
      <c r="AR663" s="545">
        <f ca="1">IF(AND($D663="Serviço",AR$12&lt;&gt;0,$H663&gt;0,OR(AUTOEVENTO&lt;&gt;"manual",$M663&lt;&gt;1)),
IF(Import.TipoArredondamento&lt;&gt;"TransfereGOV",
ROUND(OFFSET($P663,0,AR$13),15-13*ORÇAMENTO!$AF$7)/$H663*OFFSET(ORÇAMENTO!$X$15,ROW(AR663)-ROW(AR$15),0),
ROUND(ROUND(OFFSET($P663,0,AR$13),15-13*ORÇAMENTO!$AF$7)*OFFSET(ORÇAMENTO!$W$15,ROW(AR663)-ROW(AR$15),0),15-13*ORÇAMENTO!$AF$11)),0)</f>
        <v>0</v>
      </c>
      <c r="AS663" s="546">
        <f ca="1">IF(AND($D663="Serviço",AS$12&lt;&gt;0,$H663&gt;0,OR(AUTOEVENTO&lt;&gt;"manual",$M663&lt;&gt;1)),
IF(Import.TipoArredondamento&lt;&gt;"TransfereGOV",
ROUND(OFFSET($P663,0,AS$13),15-13*ORÇAMENTO!$AF$7)/$H663*OFFSET(ORÇAMENTO!$X$15,ROW(AS663)-ROW(AS$15),0),
ROUND(ROUND(OFFSET($P663,0,AS$13),15-13*ORÇAMENTO!$AF$7)*OFFSET(ORÇAMENTO!$W$15,ROW(AS663)-ROW(AS$15),0),15-13*ORÇAMENTO!$AF$11)),0)</f>
        <v>0</v>
      </c>
      <c r="AT663" s="545">
        <f ca="1">IF(AND($D663="Serviço",AT$12&lt;&gt;0,$H663&gt;0,OR(AUTOEVENTO&lt;&gt;"manual",$M663&lt;&gt;1)),
IF(Import.TipoArredondamento&lt;&gt;"TransfereGOV",
ROUND(OFFSET($P663,0,AT$13),15-13*ORÇAMENTO!$AF$7)/$H663*OFFSET(ORÇAMENTO!$X$15,ROW(AT663)-ROW(AT$15),0),
ROUND(ROUND(OFFSET($P663,0,AT$13),15-13*ORÇAMENTO!$AF$7)*OFFSET(ORÇAMENTO!$W$15,ROW(AT663)-ROW(AT$15),0),15-13*ORÇAMENTO!$AF$11)),0)</f>
        <v>0</v>
      </c>
      <c r="AU663" s="545">
        <f ca="1">IF(AND($D663="Serviço",AU$12&lt;&gt;0,$H663&gt;0,OR(AUTOEVENTO&lt;&gt;"manual",$M663&lt;&gt;1)),
IF(Import.TipoArredondamento&lt;&gt;"TransfereGOV",
ROUND(OFFSET($P663,0,AU$13),15-13*ORÇAMENTO!$AF$7)/$H663*OFFSET(ORÇAMENTO!$X$15,ROW(AU663)-ROW(AU$15),0),
ROUND(ROUND(OFFSET($P663,0,AU$13),15-13*ORÇAMENTO!$AF$7)*OFFSET(ORÇAMENTO!$W$15,ROW(AU663)-ROW(AU$15),0),15-13*ORÇAMENTO!$AF$11)),0)</f>
        <v>0</v>
      </c>
      <c r="AV663" s="545">
        <f ca="1">IF(AND($D663="Serviço",AV$12&lt;&gt;0,$H663&gt;0,OR(AUTOEVENTO&lt;&gt;"manual",$M663&lt;&gt;1)),
IF(Import.TipoArredondamento&lt;&gt;"TransfereGOV",
ROUND(OFFSET($P663,0,AV$13),15-13*ORÇAMENTO!$AF$7)/$H663*OFFSET(ORÇAMENTO!$X$15,ROW(AV663)-ROW(AV$15),0),
ROUND(ROUND(OFFSET($P663,0,AV$13),15-13*ORÇAMENTO!$AF$7)*OFFSET(ORÇAMENTO!$W$15,ROW(AV663)-ROW(AV$15),0),15-13*ORÇAMENTO!$AF$11)),0)</f>
        <v>0</v>
      </c>
      <c r="AW663" s="545">
        <f ca="1">IF(AND($D663="Serviço",AW$12&lt;&gt;0,$H663&gt;0,OR(AUTOEVENTO&lt;&gt;"manual",$M663&lt;&gt;1)),
IF(Import.TipoArredondamento&lt;&gt;"TransfereGOV",
ROUND(OFFSET($P663,0,AW$13),15-13*ORÇAMENTO!$AF$7)/$H663*OFFSET(ORÇAMENTO!$X$15,ROW(AW663)-ROW(AW$15),0),
ROUND(ROUND(OFFSET($P663,0,AW$13),15-13*ORÇAMENTO!$AF$7)*OFFSET(ORÇAMENTO!$W$15,ROW(AW663)-ROW(AW$15),0),15-13*ORÇAMENTO!$AF$11)),0)</f>
        <v>0</v>
      </c>
      <c r="AX663" s="545">
        <f ca="1">IF(AND($D663="Serviço",AX$12&lt;&gt;0,$H663&gt;0,OR(AUTOEVENTO&lt;&gt;"manual",$M663&lt;&gt;1)),
IF(Import.TipoArredondamento&lt;&gt;"TransfereGOV",
ROUND(OFFSET($P663,0,AX$13),15-13*ORÇAMENTO!$AF$7)/$H663*OFFSET(ORÇAMENTO!$X$15,ROW(AX663)-ROW(AX$15),0),
ROUND(ROUND(OFFSET($P663,0,AX$13),15-13*ORÇAMENTO!$AF$7)*OFFSET(ORÇAMENTO!$W$15,ROW(AX663)-ROW(AX$15),0),15-13*ORÇAMENTO!$AF$11)),0)</f>
        <v>0</v>
      </c>
      <c r="AY663" s="545">
        <f ca="1">IF(AND($D663="Serviço",AY$12&lt;&gt;0,$H663&gt;0,OR(AUTOEVENTO&lt;&gt;"manual",$M663&lt;&gt;1)),
IF(Import.TipoArredondamento&lt;&gt;"TransfereGOV",
ROUND(OFFSET($P663,0,AY$13),15-13*ORÇAMENTO!$AF$7)/$H663*OFFSET(ORÇAMENTO!$X$15,ROW(AY663)-ROW(AY$15),0),
ROUND(ROUND(OFFSET($P663,0,AY$13),15-13*ORÇAMENTO!$AF$7)*OFFSET(ORÇAMENTO!$W$15,ROW(AY663)-ROW(AY$15),0),15-13*ORÇAMENTO!$AF$11)),0)</f>
        <v>0</v>
      </c>
      <c r="AZ663" s="545">
        <f ca="1">IF(AND($D663="Serviço",AZ$12&lt;&gt;0,$H663&gt;0,OR(AUTOEVENTO&lt;&gt;"manual",$M663&lt;&gt;1)),
IF(Import.TipoArredondamento&lt;&gt;"TransfereGOV",
ROUND(OFFSET($P663,0,AZ$13),15-13*ORÇAMENTO!$AF$7)/$H663*OFFSET(ORÇAMENTO!$X$15,ROW(AZ663)-ROW(AZ$15),0),
ROUND(ROUND(OFFSET($P663,0,AZ$13),15-13*ORÇAMENTO!$AF$7)*OFFSET(ORÇAMENTO!$W$15,ROW(AZ663)-ROW(AZ$15),0),15-13*ORÇAMENTO!$AF$11)),0)</f>
        <v>0</v>
      </c>
      <c r="BA663" s="546">
        <f ca="1">IF(AND($D663="Serviço",BA$12&lt;&gt;0,$H663&gt;0,OR(AUTOEVENTO&lt;&gt;"manual",$M663&lt;&gt;1)),
IF(Import.TipoArredondamento&lt;&gt;"TransfereGOV",
ROUND(OFFSET($P663,0,BA$13),15-13*ORÇAMENTO!$AF$7)/$H663*OFFSET(ORÇAMENTO!$X$15,ROW(BA663)-ROW(BA$15),0),
ROUND(ROUND(OFFSET($P663,0,BA$13),15-13*ORÇAMENTO!$AF$7)*OFFSET(ORÇAMENTO!$W$15,ROW(BA663)-ROW(BA$15),0),15-13*ORÇAMENTO!$AF$11)),0)</f>
        <v>0</v>
      </c>
      <c r="BC663" s="181">
        <f ca="1">IF($D663&lt;&gt;"Serviço",0,IF(AND(AUTOEVENTO="Manual",$M663=1),0,IF(OFFSET(CRONOPLE!$F$14,$M663,BC$13)="",10^12,OFFSET(CRONOPLE!$F$14,$M663,BC$13))))</f>
        <v>11</v>
      </c>
      <c r="BD663" s="181">
        <f ca="1">IF($D663&lt;&gt;"Serviço",0,IF(AND(AUTOEVENTO="Manual",$M663=1),0,IF(OFFSET(CRONOPLE!$F$14,$M663,BD$13)="",10^12,OFFSET(CRONOPLE!$F$14,$M663,BD$13))))</f>
        <v>1000000000000</v>
      </c>
      <c r="BE663" s="181">
        <f ca="1">IF($D663&lt;&gt;"Serviço",0,IF(AND(AUTOEVENTO="Manual",$M663=1),0,IF(OFFSET(CRONOPLE!$F$14,$M663,BE$13)="",10^12,OFFSET(CRONOPLE!$F$14,$M663,BE$13))))</f>
        <v>1000000000000</v>
      </c>
      <c r="BF663" s="181">
        <f ca="1">IF($D663&lt;&gt;"Serviço",0,IF(AND(AUTOEVENTO="Manual",$M663=1),0,IF(OFFSET(CRONOPLE!$F$14,$M663,BF$13)="",10^12,OFFSET(CRONOPLE!$F$14,$M663,BF$13))))</f>
        <v>1000000000000</v>
      </c>
      <c r="BG663" s="181">
        <f ca="1">IF($D663&lt;&gt;"Serviço",0,IF(AND(AUTOEVENTO="Manual",$M663=1),0,IF(OFFSET(CRONOPLE!$F$14,$M663,BG$13)="",10^12,OFFSET(CRONOPLE!$F$14,$M663,BG$13))))</f>
        <v>1000000000000</v>
      </c>
      <c r="BH663" s="181">
        <f ca="1">IF($D663&lt;&gt;"Serviço",0,IF(AND(AUTOEVENTO="Manual",$M663=1),0,IF(OFFSET(CRONOPLE!$F$14,$M663,BH$13)="",10^12,OFFSET(CRONOPLE!$F$14,$M663,BH$13))))</f>
        <v>1000000000000</v>
      </c>
      <c r="BI663" s="181">
        <f ca="1">IF($D663&lt;&gt;"Serviço",0,IF(AND(AUTOEVENTO="Manual",$M663=1),0,IF(OFFSET(CRONOPLE!$F$14,$M663,BI$13)="",10^12,OFFSET(CRONOPLE!$F$14,$M663,BI$13))))</f>
        <v>1000000000000</v>
      </c>
      <c r="BJ663" s="181">
        <f ca="1">IF($D663&lt;&gt;"Serviço",0,IF(AND(AUTOEVENTO="Manual",$M663=1),0,IF(OFFSET(CRONOPLE!$F$14,$M663,BJ$13)="",10^12,OFFSET(CRONOPLE!$F$14,$M663,BJ$13))))</f>
        <v>1000000000000</v>
      </c>
      <c r="BK663" s="181">
        <f ca="1">IF($D663&lt;&gt;"Serviço",0,IF(AND(AUTOEVENTO="Manual",$M663=1),0,IF(OFFSET(CRONOPLE!$F$14,$M663,BK$13)="",10^12,OFFSET(CRONOPLE!$F$14,$M663,BK$13))))</f>
        <v>1000000000000</v>
      </c>
      <c r="BL663" s="181">
        <f ca="1">IF($D663&lt;&gt;"Serviço",0,IF(AND(AUTOEVENTO="Manual",$M663=1),0,IF(OFFSET(CRONOPLE!$F$14,$M663,BL$13)="",10^12,OFFSET(CRONOPLE!$F$14,$M663,BL$13))))</f>
        <v>1000000000000</v>
      </c>
      <c r="BM663" s="181">
        <f ca="1">IF($D663&lt;&gt;"Serviço",0,IF(AND(AUTOEVENTO="Manual",$M663=1),0,IF(OFFSET(CRONOPLE!$F$14,$M663,BM$13)="",10^12,OFFSET(CRONOPLE!$F$14,$M663,BM$13))))</f>
        <v>1000000000000</v>
      </c>
      <c r="BN663" s="181">
        <f ca="1">IF($D663&lt;&gt;"Serviço",0,IF(AND(AUTOEVENTO="Manual",$M663=1),0,IF(OFFSET(CRONOPLE!$F$14,$M663,BN$13)="",10^12,OFFSET(CRONOPLE!$F$14,$M663,BN$13))))</f>
        <v>1000000000000</v>
      </c>
      <c r="BO663" s="181">
        <f ca="1">IF($D663&lt;&gt;"Serviço",0,IF(AND(AUTOEVENTO="Manual",$M663=1),0,IF(OFFSET(CRONOPLE!$F$14,$M663,BO$13)="",10^12,OFFSET(CRONOPLE!$F$14,$M663,BO$13))))</f>
        <v>1000000000000</v>
      </c>
      <c r="BP663" s="181">
        <f ca="1">IF($D663&lt;&gt;"Serviço",0,IF(AND(AUTOEVENTO="Manual",$M663=1),0,IF(OFFSET(CRONOPLE!$F$14,$M663,BP$13)="",10^12,OFFSET(CRONOPLE!$F$14,$M663,BP$13))))</f>
        <v>1000000000000</v>
      </c>
      <c r="BQ663" s="181">
        <f ca="1">IF($D663&lt;&gt;"Serviço",0,IF(AND(AUTOEVENTO="Manual",$M663=1),0,IF(OFFSET(CRONOPLE!$F$14,$M663,BQ$13)="",10^12,OFFSET(CRONOPLE!$F$14,$M663,BQ$13))))</f>
        <v>1000000000000</v>
      </c>
      <c r="BR663" s="181">
        <f ca="1">IF($D663&lt;&gt;"Serviço",0,IF(AND(AUTOEVENTO="Manual",$M663=1),0,IF(OFFSET(CRONOPLE!$F$14,$M663,BR$13)="",10^12,OFFSET(CRONOPLE!$F$14,$M663,BR$13))))</f>
        <v>1000000000000</v>
      </c>
      <c r="BS663" s="181">
        <f ca="1">IF($D663&lt;&gt;"Serviço",0,IF(AND(AUTOEVENTO="Manual",$M663=1),0,IF(OFFSET(CRONOPLE!$F$14,$M663,BS$13)="",10^12,OFFSET(CRONOPLE!$F$14,$M663,BS$13))))</f>
        <v>1000000000000</v>
      </c>
      <c r="BT663" s="181">
        <f ca="1">IF($D663&lt;&gt;"Serviço",0,IF(AND(AUTOEVENTO="Manual",$M663=1),0,IF(OFFSET(CRONOPLE!$F$14,$M663,BT$13)="",10^12,OFFSET(CRONOPLE!$F$14,$M663,BT$13))))</f>
        <v>1000000000000</v>
      </c>
      <c r="BV663" s="182">
        <f ca="1">IF($D663&lt;&gt;"Serviço",0,IF(OR(AND(AUTOEVENTO="Manual",$M663=1),$M663&gt;(ROW(PLE.lastrow)-ROW(PLE.firstrow))),0,IF(OFFSET(PLE!$G$14,$M663,BV$13)="",10^12,OFFSET(PLE!$G$14,$M663,BV$13))))</f>
        <v>1000000000000</v>
      </c>
      <c r="BW663" s="182">
        <f ca="1">IF($D663&lt;&gt;"Serviço",0,IF(OR(AND(AUTOEVENTO="Manual",$M663=1),$M663&gt;(ROW(PLE.lastrow)-ROW(PLE.firstrow))),0,IF(OFFSET(PLE!$G$14,$M663,BW$13)="",10^12,OFFSET(PLE!$G$14,$M663,BW$13))))</f>
        <v>1000000000000</v>
      </c>
      <c r="BX663" s="182">
        <f ca="1">IF($D663&lt;&gt;"Serviço",0,IF(OR(AND(AUTOEVENTO="Manual",$M663=1),$M663&gt;(ROW(PLE.lastrow)-ROW(PLE.firstrow))),0,IF(OFFSET(PLE!$G$14,$M663,BX$13)="",10^12,OFFSET(PLE!$G$14,$M663,BX$13))))</f>
        <v>1000000000000</v>
      </c>
      <c r="BY663" s="182">
        <f ca="1">IF($D663&lt;&gt;"Serviço",0,IF(OR(AND(AUTOEVENTO="Manual",$M663=1),$M663&gt;(ROW(PLE.lastrow)-ROW(PLE.firstrow))),0,IF(OFFSET(PLE!$G$14,$M663,BY$13)="",10^12,OFFSET(PLE!$G$14,$M663,BY$13))))</f>
        <v>1000000000000</v>
      </c>
      <c r="BZ663" s="182">
        <f ca="1">IF($D663&lt;&gt;"Serviço",0,IF(OR(AND(AUTOEVENTO="Manual",$M663=1),$M663&gt;(ROW(PLE.lastrow)-ROW(PLE.firstrow))),0,IF(OFFSET(PLE!$G$14,$M663,BZ$13)="",10^12,OFFSET(PLE!$G$14,$M663,BZ$13))))</f>
        <v>1000000000000</v>
      </c>
      <c r="CA663" s="182">
        <f ca="1">IF($D663&lt;&gt;"Serviço",0,IF(OR(AND(AUTOEVENTO="Manual",$M663=1),$M663&gt;(ROW(PLE.lastrow)-ROW(PLE.firstrow))),0,IF(OFFSET(PLE!$G$14,$M663,CA$13)="",10^12,OFFSET(PLE!$G$14,$M663,CA$13))))</f>
        <v>1000000000000</v>
      </c>
      <c r="CB663" s="182">
        <f ca="1">IF($D663&lt;&gt;"Serviço",0,IF(OR(AND(AUTOEVENTO="Manual",$M663=1),$M663&gt;(ROW(PLE.lastrow)-ROW(PLE.firstrow))),0,IF(OFFSET(PLE!$G$14,$M663,CB$13)="",10^12,OFFSET(PLE!$G$14,$M663,CB$13))))</f>
        <v>1000000000000</v>
      </c>
      <c r="CC663" s="182">
        <f ca="1">IF($D663&lt;&gt;"Serviço",0,IF(OR(AND(AUTOEVENTO="Manual",$M663=1),$M663&gt;(ROW(PLE.lastrow)-ROW(PLE.firstrow))),0,IF(OFFSET(PLE!$G$14,$M663,CC$13)="",10^12,OFFSET(PLE!$G$14,$M663,CC$13))))</f>
        <v>1000000000000</v>
      </c>
      <c r="CD663" s="182">
        <f ca="1">IF($D663&lt;&gt;"Serviço",0,IF(OR(AND(AUTOEVENTO="Manual",$M663=1),$M663&gt;(ROW(PLE.lastrow)-ROW(PLE.firstrow))),0,IF(OFFSET(PLE!$G$14,$M663,CD$13)="",10^12,OFFSET(PLE!$G$14,$M663,CD$13))))</f>
        <v>1000000000000</v>
      </c>
      <c r="CE663" s="182">
        <f ca="1">IF($D663&lt;&gt;"Serviço",0,IF(OR(AND(AUTOEVENTO="Manual",$M663=1),$M663&gt;(ROW(PLE.lastrow)-ROW(PLE.firstrow))),0,IF(OFFSET(PLE!$G$14,$M663,CE$13)="",10^12,OFFSET(PLE!$G$14,$M663,CE$13))))</f>
        <v>1000000000000</v>
      </c>
      <c r="CF663" s="182">
        <f ca="1">IF($D663&lt;&gt;"Serviço",0,IF(OR(AND(AUTOEVENTO="Manual",$M663=1),$M663&gt;(ROW(PLE.lastrow)-ROW(PLE.firstrow))),0,IF(OFFSET(PLE!$G$14,$M663,CF$13)="",10^12,OFFSET(PLE!$G$14,$M663,CF$13))))</f>
        <v>1000000000000</v>
      </c>
      <c r="CG663" s="182">
        <f ca="1">IF($D663&lt;&gt;"Serviço",0,IF(OR(AND(AUTOEVENTO="Manual",$M663=1),$M663&gt;(ROW(PLE.lastrow)-ROW(PLE.firstrow))),0,IF(OFFSET(PLE!$G$14,$M663,CG$13)="",10^12,OFFSET(PLE!$G$14,$M663,CG$13))))</f>
        <v>1000000000000</v>
      </c>
      <c r="CH663" s="182">
        <f ca="1">IF($D663&lt;&gt;"Serviço",0,IF(OR(AND(AUTOEVENTO="Manual",$M663=1),$M663&gt;(ROW(PLE.lastrow)-ROW(PLE.firstrow))),0,IF(OFFSET(PLE!$G$14,$M663,CH$13)="",10^12,OFFSET(PLE!$G$14,$M663,CH$13))))</f>
        <v>1000000000000</v>
      </c>
      <c r="CI663" s="182">
        <f ca="1">IF($D663&lt;&gt;"Serviço",0,IF(OR(AND(AUTOEVENTO="Manual",$M663=1),$M663&gt;(ROW(PLE.lastrow)-ROW(PLE.firstrow))),0,IF(OFFSET(PLE!$G$14,$M663,CI$13)="",10^12,OFFSET(PLE!$G$14,$M663,CI$13))))</f>
        <v>1000000000000</v>
      </c>
      <c r="CJ663" s="182">
        <f ca="1">IF($D663&lt;&gt;"Serviço",0,IF(OR(AND(AUTOEVENTO="Manual",$M663=1),$M663&gt;(ROW(PLE.lastrow)-ROW(PLE.firstrow))),0,IF(OFFSET(PLE!$G$14,$M663,CJ$13)="",10^12,OFFSET(PLE!$G$14,$M663,CJ$13))))</f>
        <v>1000000000000</v>
      </c>
      <c r="CK663" s="182">
        <f ca="1">IF($D663&lt;&gt;"Serviço",0,IF(OR(AND(AUTOEVENTO="Manual",$M663=1),$M663&gt;(ROW(PLE.lastrow)-ROW(PLE.firstrow))),0,IF(OFFSET(PLE!$G$14,$M663,CK$13)="",10^12,OFFSET(PLE!$G$14,$M663,CK$13))))</f>
        <v>1000000000000</v>
      </c>
      <c r="CL663" s="182">
        <f ca="1">IF($D663&lt;&gt;"Serviço",0,IF(OR(AND(AUTOEVENTO="Manual",$M663=1),$M663&gt;(ROW(PLE.lastrow)-ROW(PLE.firstrow))),0,IF(OFFSET(PLE!$G$14,$M663,CL$13)="",10^12,OFFSET(PLE!$G$14,$M663,CL$13))))</f>
        <v>1000000000000</v>
      </c>
      <c r="CM663" s="182">
        <f ca="1">IF($D663&lt;&gt;"Serviço",0,IF(OR(AND(AUTOEVENTO="Manual",$M663=1),$M663&gt;(ROW(PLE.lastrow)-ROW(PLE.firstrow))),0,IF(OFFSET(PLE!$G$14,$M663,CM$13)="",10^12,OFFSET(PLE!$G$14,$M663,CM$13))))</f>
        <v>1000000000000</v>
      </c>
    </row>
    <row r="664" spans="1:91" ht="38.25" x14ac:dyDescent="0.2">
      <c r="A664" s="7" t="str">
        <f t="shared" ca="1" si="19"/>
        <v>645</v>
      </c>
      <c r="B664" s="7" t="str">
        <f ca="1">OFFSET(ORÇAMENTO!C$15,ROW(B664)-ROW(B$15),0)</f>
        <v>S</v>
      </c>
      <c r="C664" s="7" t="str">
        <f ca="1">OFFSET(ORÇAMENTO!L$15,ROW(C664)-ROW(C$15),0)</f>
        <v/>
      </c>
      <c r="D664" s="118" t="str">
        <f ca="1">OFFSET(ORÇAMENTO!N$15,ROW(D664)-ROW(D$15),0)</f>
        <v>Serviço</v>
      </c>
      <c r="E664" s="119" t="str">
        <f ca="1">OFFSET(ORÇAMENTO!O$15,ROW(E664)-ROW(E$15),0)</f>
        <v>-</v>
      </c>
      <c r="F664" s="172" t="str">
        <f ca="1">OFFSET(ORÇAMENTO!R$15,ROW(F664)-ROW(F$15),0)</f>
        <v>(abra o arquivo 'Referência 06-2024.xlsm)</v>
      </c>
      <c r="G664" s="173" t="str">
        <f ca="1">IF($D664&lt;&gt;"Serviço","",OFFSET(ORÇAMENTO!S$15,ROW(G664)-ROW(G$15),0))</f>
        <v>-</v>
      </c>
      <c r="H664" s="124">
        <f ca="1">IF($D664&lt;&gt;"Serviço",0,IF(ACOMPANHAMENTO="BM",ROUND(OFFSET(ORÇAMENTO!AJ$15,ROW(H664)-ROW(H$15),0),15-13*ORÇAMENTO!$AF$7),SUMPRODUCT(($Q$12:$AI$12&lt;&gt;"")*ROUND($Q664:$AI664,15-13*ORÇAMENTO!$AF$7))))</f>
        <v>310</v>
      </c>
      <c r="I664" s="561" t="s">
        <v>1107</v>
      </c>
      <c r="K664" s="174"/>
      <c r="L664" s="175" t="s">
        <v>255</v>
      </c>
      <c r="M664" s="176">
        <f ca="1">IF($D664&lt;&gt;"Serviço","",IF(AUTOEVENTO="manual",$A664,IF(ISERROR(MATCH($A664,$A$15:OFFSET($A664,-1,0),0)),MAX($M$15:OFFSET(M664,-1,0))+1,INDEX($M$15:OFFSET(M664,-1,0),MATCH($A664,$A$15:OFFSET($A664,-1,0),0)))))</f>
        <v>72</v>
      </c>
      <c r="N664" s="177" t="str">
        <f ca="1">IF($D664&lt;&gt;"Serviço","",IF(AUTOEVENTO="Manual",IF($A664=0,"&lt;-- defina o número do agrupador",OFFSET(EVENTOS!$D$14,$A664,0)),OFFSET($F$15,$A664,0)))</f>
        <v>SISTEMA DE PROTEÇÃO CONTRA DESCARGAS ATMOSFÉRICAS (SPDA)</v>
      </c>
      <c r="O664" s="178"/>
      <c r="Q664" s="178">
        <v>310</v>
      </c>
      <c r="R664" s="179"/>
      <c r="S664" s="179"/>
      <c r="T664" s="179"/>
      <c r="U664" s="179"/>
      <c r="V664" s="179"/>
      <c r="W664" s="179"/>
      <c r="X664" s="179"/>
      <c r="Y664" s="179"/>
      <c r="Z664" s="180"/>
      <c r="AA664" s="179"/>
      <c r="AB664" s="179"/>
      <c r="AC664" s="179"/>
      <c r="AD664" s="179"/>
      <c r="AE664" s="179"/>
      <c r="AF664" s="179"/>
      <c r="AG664" s="179"/>
      <c r="AH664" s="180"/>
      <c r="AJ664" s="544">
        <f ca="1">IF(AND($D664="Serviço",AJ$12&lt;&gt;0,$H664&gt;0,OR(AUTOEVENTO&lt;&gt;"manual",$M664&lt;&gt;1)),
IF(Import.TipoArredondamento&lt;&gt;"TransfereGOV",
ROUND(OFFSET($P664,0,AJ$13),15-13*ORÇAMENTO!$AF$7)/$H664*OFFSET(ORÇAMENTO!$X$15,ROW(AJ664)-ROW(AJ$15),0),
ROUND(ROUND(OFFSET($P664,0,AJ$13),15-13*ORÇAMENTO!$AF$7)*OFFSET(ORÇAMENTO!$W$15,ROW(AJ664)-ROW(AJ$15),0),15-13*ORÇAMENTO!$AF$11)),0)</f>
        <v>0</v>
      </c>
      <c r="AK664" s="545">
        <f ca="1">IF(AND($D664="Serviço",AK$12&lt;&gt;0,$H664&gt;0,OR(AUTOEVENTO&lt;&gt;"manual",$M664&lt;&gt;1)),
IF(Import.TipoArredondamento&lt;&gt;"TransfereGOV",
ROUND(OFFSET($P664,0,AK$13),15-13*ORÇAMENTO!$AF$7)/$H664*OFFSET(ORÇAMENTO!$X$15,ROW(AK664)-ROW(AK$15),0),
ROUND(ROUND(OFFSET($P664,0,AK$13),15-13*ORÇAMENTO!$AF$7)*OFFSET(ORÇAMENTO!$W$15,ROW(AK664)-ROW(AK$15),0),15-13*ORÇAMENTO!$AF$11)),0)</f>
        <v>0</v>
      </c>
      <c r="AL664" s="545">
        <f ca="1">IF(AND($D664="Serviço",AL$12&lt;&gt;0,$H664&gt;0,OR(AUTOEVENTO&lt;&gt;"manual",$M664&lt;&gt;1)),
IF(Import.TipoArredondamento&lt;&gt;"TransfereGOV",
ROUND(OFFSET($P664,0,AL$13),15-13*ORÇAMENTO!$AF$7)/$H664*OFFSET(ORÇAMENTO!$X$15,ROW(AL664)-ROW(AL$15),0),
ROUND(ROUND(OFFSET($P664,0,AL$13),15-13*ORÇAMENTO!$AF$7)*OFFSET(ORÇAMENTO!$W$15,ROW(AL664)-ROW(AL$15),0),15-13*ORÇAMENTO!$AF$11)),0)</f>
        <v>0</v>
      </c>
      <c r="AM664" s="545">
        <f ca="1">IF(AND($D664="Serviço",AM$12&lt;&gt;0,$H664&gt;0,OR(AUTOEVENTO&lt;&gt;"manual",$M664&lt;&gt;1)),
IF(Import.TipoArredondamento&lt;&gt;"TransfereGOV",
ROUND(OFFSET($P664,0,AM$13),15-13*ORÇAMENTO!$AF$7)/$H664*OFFSET(ORÇAMENTO!$X$15,ROW(AM664)-ROW(AM$15),0),
ROUND(ROUND(OFFSET($P664,0,AM$13),15-13*ORÇAMENTO!$AF$7)*OFFSET(ORÇAMENTO!$W$15,ROW(AM664)-ROW(AM$15),0),15-13*ORÇAMENTO!$AF$11)),0)</f>
        <v>0</v>
      </c>
      <c r="AN664" s="545">
        <f ca="1">IF(AND($D664="Serviço",AN$12&lt;&gt;0,$H664&gt;0,OR(AUTOEVENTO&lt;&gt;"manual",$M664&lt;&gt;1)),
IF(Import.TipoArredondamento&lt;&gt;"TransfereGOV",
ROUND(OFFSET($P664,0,AN$13),15-13*ORÇAMENTO!$AF$7)/$H664*OFFSET(ORÇAMENTO!$X$15,ROW(AN664)-ROW(AN$15),0),
ROUND(ROUND(OFFSET($P664,0,AN$13),15-13*ORÇAMENTO!$AF$7)*OFFSET(ORÇAMENTO!$W$15,ROW(AN664)-ROW(AN$15),0),15-13*ORÇAMENTO!$AF$11)),0)</f>
        <v>0</v>
      </c>
      <c r="AO664" s="545">
        <f ca="1">IF(AND($D664="Serviço",AO$12&lt;&gt;0,$H664&gt;0,OR(AUTOEVENTO&lt;&gt;"manual",$M664&lt;&gt;1)),
IF(Import.TipoArredondamento&lt;&gt;"TransfereGOV",
ROUND(OFFSET($P664,0,AO$13),15-13*ORÇAMENTO!$AF$7)/$H664*OFFSET(ORÇAMENTO!$X$15,ROW(AO664)-ROW(AO$15),0),
ROUND(ROUND(OFFSET($P664,0,AO$13),15-13*ORÇAMENTO!$AF$7)*OFFSET(ORÇAMENTO!$W$15,ROW(AO664)-ROW(AO$15),0),15-13*ORÇAMENTO!$AF$11)),0)</f>
        <v>0</v>
      </c>
      <c r="AP664" s="545">
        <f ca="1">IF(AND($D664="Serviço",AP$12&lt;&gt;0,$H664&gt;0,OR(AUTOEVENTO&lt;&gt;"manual",$M664&lt;&gt;1)),
IF(Import.TipoArredondamento&lt;&gt;"TransfereGOV",
ROUND(OFFSET($P664,0,AP$13),15-13*ORÇAMENTO!$AF$7)/$H664*OFFSET(ORÇAMENTO!$X$15,ROW(AP664)-ROW(AP$15),0),
ROUND(ROUND(OFFSET($P664,0,AP$13),15-13*ORÇAMENTO!$AF$7)*OFFSET(ORÇAMENTO!$W$15,ROW(AP664)-ROW(AP$15),0),15-13*ORÇAMENTO!$AF$11)),0)</f>
        <v>0</v>
      </c>
      <c r="AQ664" s="545">
        <f ca="1">IF(AND($D664="Serviço",AQ$12&lt;&gt;0,$H664&gt;0,OR(AUTOEVENTO&lt;&gt;"manual",$M664&lt;&gt;1)),
IF(Import.TipoArredondamento&lt;&gt;"TransfereGOV",
ROUND(OFFSET($P664,0,AQ$13),15-13*ORÇAMENTO!$AF$7)/$H664*OFFSET(ORÇAMENTO!$X$15,ROW(AQ664)-ROW(AQ$15),0),
ROUND(ROUND(OFFSET($P664,0,AQ$13),15-13*ORÇAMENTO!$AF$7)*OFFSET(ORÇAMENTO!$W$15,ROW(AQ664)-ROW(AQ$15),0),15-13*ORÇAMENTO!$AF$11)),0)</f>
        <v>0</v>
      </c>
      <c r="AR664" s="545">
        <f ca="1">IF(AND($D664="Serviço",AR$12&lt;&gt;0,$H664&gt;0,OR(AUTOEVENTO&lt;&gt;"manual",$M664&lt;&gt;1)),
IF(Import.TipoArredondamento&lt;&gt;"TransfereGOV",
ROUND(OFFSET($P664,0,AR$13),15-13*ORÇAMENTO!$AF$7)/$H664*OFFSET(ORÇAMENTO!$X$15,ROW(AR664)-ROW(AR$15),0),
ROUND(ROUND(OFFSET($P664,0,AR$13),15-13*ORÇAMENTO!$AF$7)*OFFSET(ORÇAMENTO!$W$15,ROW(AR664)-ROW(AR$15),0),15-13*ORÇAMENTO!$AF$11)),0)</f>
        <v>0</v>
      </c>
      <c r="AS664" s="546">
        <f ca="1">IF(AND($D664="Serviço",AS$12&lt;&gt;0,$H664&gt;0,OR(AUTOEVENTO&lt;&gt;"manual",$M664&lt;&gt;1)),
IF(Import.TipoArredondamento&lt;&gt;"TransfereGOV",
ROUND(OFFSET($P664,0,AS$13),15-13*ORÇAMENTO!$AF$7)/$H664*OFFSET(ORÇAMENTO!$X$15,ROW(AS664)-ROW(AS$15),0),
ROUND(ROUND(OFFSET($P664,0,AS$13),15-13*ORÇAMENTO!$AF$7)*OFFSET(ORÇAMENTO!$W$15,ROW(AS664)-ROW(AS$15),0),15-13*ORÇAMENTO!$AF$11)),0)</f>
        <v>0</v>
      </c>
      <c r="AT664" s="545">
        <f ca="1">IF(AND($D664="Serviço",AT$12&lt;&gt;0,$H664&gt;0,OR(AUTOEVENTO&lt;&gt;"manual",$M664&lt;&gt;1)),
IF(Import.TipoArredondamento&lt;&gt;"TransfereGOV",
ROUND(OFFSET($P664,0,AT$13),15-13*ORÇAMENTO!$AF$7)/$H664*OFFSET(ORÇAMENTO!$X$15,ROW(AT664)-ROW(AT$15),0),
ROUND(ROUND(OFFSET($P664,0,AT$13),15-13*ORÇAMENTO!$AF$7)*OFFSET(ORÇAMENTO!$W$15,ROW(AT664)-ROW(AT$15),0),15-13*ORÇAMENTO!$AF$11)),0)</f>
        <v>0</v>
      </c>
      <c r="AU664" s="545">
        <f ca="1">IF(AND($D664="Serviço",AU$12&lt;&gt;0,$H664&gt;0,OR(AUTOEVENTO&lt;&gt;"manual",$M664&lt;&gt;1)),
IF(Import.TipoArredondamento&lt;&gt;"TransfereGOV",
ROUND(OFFSET($P664,0,AU$13),15-13*ORÇAMENTO!$AF$7)/$H664*OFFSET(ORÇAMENTO!$X$15,ROW(AU664)-ROW(AU$15),0),
ROUND(ROUND(OFFSET($P664,0,AU$13),15-13*ORÇAMENTO!$AF$7)*OFFSET(ORÇAMENTO!$W$15,ROW(AU664)-ROW(AU$15),0),15-13*ORÇAMENTO!$AF$11)),0)</f>
        <v>0</v>
      </c>
      <c r="AV664" s="545">
        <f ca="1">IF(AND($D664="Serviço",AV$12&lt;&gt;0,$H664&gt;0,OR(AUTOEVENTO&lt;&gt;"manual",$M664&lt;&gt;1)),
IF(Import.TipoArredondamento&lt;&gt;"TransfereGOV",
ROUND(OFFSET($P664,0,AV$13),15-13*ORÇAMENTO!$AF$7)/$H664*OFFSET(ORÇAMENTO!$X$15,ROW(AV664)-ROW(AV$15),0),
ROUND(ROUND(OFFSET($P664,0,AV$13),15-13*ORÇAMENTO!$AF$7)*OFFSET(ORÇAMENTO!$W$15,ROW(AV664)-ROW(AV$15),0),15-13*ORÇAMENTO!$AF$11)),0)</f>
        <v>0</v>
      </c>
      <c r="AW664" s="545">
        <f ca="1">IF(AND($D664="Serviço",AW$12&lt;&gt;0,$H664&gt;0,OR(AUTOEVENTO&lt;&gt;"manual",$M664&lt;&gt;1)),
IF(Import.TipoArredondamento&lt;&gt;"TransfereGOV",
ROUND(OFFSET($P664,0,AW$13),15-13*ORÇAMENTO!$AF$7)/$H664*OFFSET(ORÇAMENTO!$X$15,ROW(AW664)-ROW(AW$15),0),
ROUND(ROUND(OFFSET($P664,0,AW$13),15-13*ORÇAMENTO!$AF$7)*OFFSET(ORÇAMENTO!$W$15,ROW(AW664)-ROW(AW$15),0),15-13*ORÇAMENTO!$AF$11)),0)</f>
        <v>0</v>
      </c>
      <c r="AX664" s="545">
        <f ca="1">IF(AND($D664="Serviço",AX$12&lt;&gt;0,$H664&gt;0,OR(AUTOEVENTO&lt;&gt;"manual",$M664&lt;&gt;1)),
IF(Import.TipoArredondamento&lt;&gt;"TransfereGOV",
ROUND(OFFSET($P664,0,AX$13),15-13*ORÇAMENTO!$AF$7)/$H664*OFFSET(ORÇAMENTO!$X$15,ROW(AX664)-ROW(AX$15),0),
ROUND(ROUND(OFFSET($P664,0,AX$13),15-13*ORÇAMENTO!$AF$7)*OFFSET(ORÇAMENTO!$W$15,ROW(AX664)-ROW(AX$15),0),15-13*ORÇAMENTO!$AF$11)),0)</f>
        <v>0</v>
      </c>
      <c r="AY664" s="545">
        <f ca="1">IF(AND($D664="Serviço",AY$12&lt;&gt;0,$H664&gt;0,OR(AUTOEVENTO&lt;&gt;"manual",$M664&lt;&gt;1)),
IF(Import.TipoArredondamento&lt;&gt;"TransfereGOV",
ROUND(OFFSET($P664,0,AY$13),15-13*ORÇAMENTO!$AF$7)/$H664*OFFSET(ORÇAMENTO!$X$15,ROW(AY664)-ROW(AY$15),0),
ROUND(ROUND(OFFSET($P664,0,AY$13),15-13*ORÇAMENTO!$AF$7)*OFFSET(ORÇAMENTO!$W$15,ROW(AY664)-ROW(AY$15),0),15-13*ORÇAMENTO!$AF$11)),0)</f>
        <v>0</v>
      </c>
      <c r="AZ664" s="545">
        <f ca="1">IF(AND($D664="Serviço",AZ$12&lt;&gt;0,$H664&gt;0,OR(AUTOEVENTO&lt;&gt;"manual",$M664&lt;&gt;1)),
IF(Import.TipoArredondamento&lt;&gt;"TransfereGOV",
ROUND(OFFSET($P664,0,AZ$13),15-13*ORÇAMENTO!$AF$7)/$H664*OFFSET(ORÇAMENTO!$X$15,ROW(AZ664)-ROW(AZ$15),0),
ROUND(ROUND(OFFSET($P664,0,AZ$13),15-13*ORÇAMENTO!$AF$7)*OFFSET(ORÇAMENTO!$W$15,ROW(AZ664)-ROW(AZ$15),0),15-13*ORÇAMENTO!$AF$11)),0)</f>
        <v>0</v>
      </c>
      <c r="BA664" s="546">
        <f ca="1">IF(AND($D664="Serviço",BA$12&lt;&gt;0,$H664&gt;0,OR(AUTOEVENTO&lt;&gt;"manual",$M664&lt;&gt;1)),
IF(Import.TipoArredondamento&lt;&gt;"TransfereGOV",
ROUND(OFFSET($P664,0,BA$13),15-13*ORÇAMENTO!$AF$7)/$H664*OFFSET(ORÇAMENTO!$X$15,ROW(BA664)-ROW(BA$15),0),
ROUND(ROUND(OFFSET($P664,0,BA$13),15-13*ORÇAMENTO!$AF$7)*OFFSET(ORÇAMENTO!$W$15,ROW(BA664)-ROW(BA$15),0),15-13*ORÇAMENTO!$AF$11)),0)</f>
        <v>0</v>
      </c>
      <c r="BC664" s="181">
        <f ca="1">IF($D664&lt;&gt;"Serviço",0,IF(AND(AUTOEVENTO="Manual",$M664=1),0,IF(OFFSET(CRONOPLE!$F$14,$M664,BC$13)="",10^12,OFFSET(CRONOPLE!$F$14,$M664,BC$13))))</f>
        <v>11</v>
      </c>
      <c r="BD664" s="181">
        <f ca="1">IF($D664&lt;&gt;"Serviço",0,IF(AND(AUTOEVENTO="Manual",$M664=1),0,IF(OFFSET(CRONOPLE!$F$14,$M664,BD$13)="",10^12,OFFSET(CRONOPLE!$F$14,$M664,BD$13))))</f>
        <v>1000000000000</v>
      </c>
      <c r="BE664" s="181">
        <f ca="1">IF($D664&lt;&gt;"Serviço",0,IF(AND(AUTOEVENTO="Manual",$M664=1),0,IF(OFFSET(CRONOPLE!$F$14,$M664,BE$13)="",10^12,OFFSET(CRONOPLE!$F$14,$M664,BE$13))))</f>
        <v>1000000000000</v>
      </c>
      <c r="BF664" s="181">
        <f ca="1">IF($D664&lt;&gt;"Serviço",0,IF(AND(AUTOEVENTO="Manual",$M664=1),0,IF(OFFSET(CRONOPLE!$F$14,$M664,BF$13)="",10^12,OFFSET(CRONOPLE!$F$14,$M664,BF$13))))</f>
        <v>1000000000000</v>
      </c>
      <c r="BG664" s="181">
        <f ca="1">IF($D664&lt;&gt;"Serviço",0,IF(AND(AUTOEVENTO="Manual",$M664=1),0,IF(OFFSET(CRONOPLE!$F$14,$M664,BG$13)="",10^12,OFFSET(CRONOPLE!$F$14,$M664,BG$13))))</f>
        <v>1000000000000</v>
      </c>
      <c r="BH664" s="181">
        <f ca="1">IF($D664&lt;&gt;"Serviço",0,IF(AND(AUTOEVENTO="Manual",$M664=1),0,IF(OFFSET(CRONOPLE!$F$14,$M664,BH$13)="",10^12,OFFSET(CRONOPLE!$F$14,$M664,BH$13))))</f>
        <v>1000000000000</v>
      </c>
      <c r="BI664" s="181">
        <f ca="1">IF($D664&lt;&gt;"Serviço",0,IF(AND(AUTOEVENTO="Manual",$M664=1),0,IF(OFFSET(CRONOPLE!$F$14,$M664,BI$13)="",10^12,OFFSET(CRONOPLE!$F$14,$M664,BI$13))))</f>
        <v>1000000000000</v>
      </c>
      <c r="BJ664" s="181">
        <f ca="1">IF($D664&lt;&gt;"Serviço",0,IF(AND(AUTOEVENTO="Manual",$M664=1),0,IF(OFFSET(CRONOPLE!$F$14,$M664,BJ$13)="",10^12,OFFSET(CRONOPLE!$F$14,$M664,BJ$13))))</f>
        <v>1000000000000</v>
      </c>
      <c r="BK664" s="181">
        <f ca="1">IF($D664&lt;&gt;"Serviço",0,IF(AND(AUTOEVENTO="Manual",$M664=1),0,IF(OFFSET(CRONOPLE!$F$14,$M664,BK$13)="",10^12,OFFSET(CRONOPLE!$F$14,$M664,BK$13))))</f>
        <v>1000000000000</v>
      </c>
      <c r="BL664" s="181">
        <f ca="1">IF($D664&lt;&gt;"Serviço",0,IF(AND(AUTOEVENTO="Manual",$M664=1),0,IF(OFFSET(CRONOPLE!$F$14,$M664,BL$13)="",10^12,OFFSET(CRONOPLE!$F$14,$M664,BL$13))))</f>
        <v>1000000000000</v>
      </c>
      <c r="BM664" s="181">
        <f ca="1">IF($D664&lt;&gt;"Serviço",0,IF(AND(AUTOEVENTO="Manual",$M664=1),0,IF(OFFSET(CRONOPLE!$F$14,$M664,BM$13)="",10^12,OFFSET(CRONOPLE!$F$14,$M664,BM$13))))</f>
        <v>1000000000000</v>
      </c>
      <c r="BN664" s="181">
        <f ca="1">IF($D664&lt;&gt;"Serviço",0,IF(AND(AUTOEVENTO="Manual",$M664=1),0,IF(OFFSET(CRONOPLE!$F$14,$M664,BN$13)="",10^12,OFFSET(CRONOPLE!$F$14,$M664,BN$13))))</f>
        <v>1000000000000</v>
      </c>
      <c r="BO664" s="181">
        <f ca="1">IF($D664&lt;&gt;"Serviço",0,IF(AND(AUTOEVENTO="Manual",$M664=1),0,IF(OFFSET(CRONOPLE!$F$14,$M664,BO$13)="",10^12,OFFSET(CRONOPLE!$F$14,$M664,BO$13))))</f>
        <v>1000000000000</v>
      </c>
      <c r="BP664" s="181">
        <f ca="1">IF($D664&lt;&gt;"Serviço",0,IF(AND(AUTOEVENTO="Manual",$M664=1),0,IF(OFFSET(CRONOPLE!$F$14,$M664,BP$13)="",10^12,OFFSET(CRONOPLE!$F$14,$M664,BP$13))))</f>
        <v>1000000000000</v>
      </c>
      <c r="BQ664" s="181">
        <f ca="1">IF($D664&lt;&gt;"Serviço",0,IF(AND(AUTOEVENTO="Manual",$M664=1),0,IF(OFFSET(CRONOPLE!$F$14,$M664,BQ$13)="",10^12,OFFSET(CRONOPLE!$F$14,$M664,BQ$13))))</f>
        <v>1000000000000</v>
      </c>
      <c r="BR664" s="181">
        <f ca="1">IF($D664&lt;&gt;"Serviço",0,IF(AND(AUTOEVENTO="Manual",$M664=1),0,IF(OFFSET(CRONOPLE!$F$14,$M664,BR$13)="",10^12,OFFSET(CRONOPLE!$F$14,$M664,BR$13))))</f>
        <v>1000000000000</v>
      </c>
      <c r="BS664" s="181">
        <f ca="1">IF($D664&lt;&gt;"Serviço",0,IF(AND(AUTOEVENTO="Manual",$M664=1),0,IF(OFFSET(CRONOPLE!$F$14,$M664,BS$13)="",10^12,OFFSET(CRONOPLE!$F$14,$M664,BS$13))))</f>
        <v>1000000000000</v>
      </c>
      <c r="BT664" s="181">
        <f ca="1">IF($D664&lt;&gt;"Serviço",0,IF(AND(AUTOEVENTO="Manual",$M664=1),0,IF(OFFSET(CRONOPLE!$F$14,$M664,BT$13)="",10^12,OFFSET(CRONOPLE!$F$14,$M664,BT$13))))</f>
        <v>1000000000000</v>
      </c>
      <c r="BV664" s="182">
        <f ca="1">IF($D664&lt;&gt;"Serviço",0,IF(OR(AND(AUTOEVENTO="Manual",$M664=1),$M664&gt;(ROW(PLE.lastrow)-ROW(PLE.firstrow))),0,IF(OFFSET(PLE!$G$14,$M664,BV$13)="",10^12,OFFSET(PLE!$G$14,$M664,BV$13))))</f>
        <v>1000000000000</v>
      </c>
      <c r="BW664" s="182">
        <f ca="1">IF($D664&lt;&gt;"Serviço",0,IF(OR(AND(AUTOEVENTO="Manual",$M664=1),$M664&gt;(ROW(PLE.lastrow)-ROW(PLE.firstrow))),0,IF(OFFSET(PLE!$G$14,$M664,BW$13)="",10^12,OFFSET(PLE!$G$14,$M664,BW$13))))</f>
        <v>1000000000000</v>
      </c>
      <c r="BX664" s="182">
        <f ca="1">IF($D664&lt;&gt;"Serviço",0,IF(OR(AND(AUTOEVENTO="Manual",$M664=1),$M664&gt;(ROW(PLE.lastrow)-ROW(PLE.firstrow))),0,IF(OFFSET(PLE!$G$14,$M664,BX$13)="",10^12,OFFSET(PLE!$G$14,$M664,BX$13))))</f>
        <v>1000000000000</v>
      </c>
      <c r="BY664" s="182">
        <f ca="1">IF($D664&lt;&gt;"Serviço",0,IF(OR(AND(AUTOEVENTO="Manual",$M664=1),$M664&gt;(ROW(PLE.lastrow)-ROW(PLE.firstrow))),0,IF(OFFSET(PLE!$G$14,$M664,BY$13)="",10^12,OFFSET(PLE!$G$14,$M664,BY$13))))</f>
        <v>1000000000000</v>
      </c>
      <c r="BZ664" s="182">
        <f ca="1">IF($D664&lt;&gt;"Serviço",0,IF(OR(AND(AUTOEVENTO="Manual",$M664=1),$M664&gt;(ROW(PLE.lastrow)-ROW(PLE.firstrow))),0,IF(OFFSET(PLE!$G$14,$M664,BZ$13)="",10^12,OFFSET(PLE!$G$14,$M664,BZ$13))))</f>
        <v>1000000000000</v>
      </c>
      <c r="CA664" s="182">
        <f ca="1">IF($D664&lt;&gt;"Serviço",0,IF(OR(AND(AUTOEVENTO="Manual",$M664=1),$M664&gt;(ROW(PLE.lastrow)-ROW(PLE.firstrow))),0,IF(OFFSET(PLE!$G$14,$M664,CA$13)="",10^12,OFFSET(PLE!$G$14,$M664,CA$13))))</f>
        <v>1000000000000</v>
      </c>
      <c r="CB664" s="182">
        <f ca="1">IF($D664&lt;&gt;"Serviço",0,IF(OR(AND(AUTOEVENTO="Manual",$M664=1),$M664&gt;(ROW(PLE.lastrow)-ROW(PLE.firstrow))),0,IF(OFFSET(PLE!$G$14,$M664,CB$13)="",10^12,OFFSET(PLE!$G$14,$M664,CB$13))))</f>
        <v>1000000000000</v>
      </c>
      <c r="CC664" s="182">
        <f ca="1">IF($D664&lt;&gt;"Serviço",0,IF(OR(AND(AUTOEVENTO="Manual",$M664=1),$M664&gt;(ROW(PLE.lastrow)-ROW(PLE.firstrow))),0,IF(OFFSET(PLE!$G$14,$M664,CC$13)="",10^12,OFFSET(PLE!$G$14,$M664,CC$13))))</f>
        <v>1000000000000</v>
      </c>
      <c r="CD664" s="182">
        <f ca="1">IF($D664&lt;&gt;"Serviço",0,IF(OR(AND(AUTOEVENTO="Manual",$M664=1),$M664&gt;(ROW(PLE.lastrow)-ROW(PLE.firstrow))),0,IF(OFFSET(PLE!$G$14,$M664,CD$13)="",10^12,OFFSET(PLE!$G$14,$M664,CD$13))))</f>
        <v>1000000000000</v>
      </c>
      <c r="CE664" s="182">
        <f ca="1">IF($D664&lt;&gt;"Serviço",0,IF(OR(AND(AUTOEVENTO="Manual",$M664=1),$M664&gt;(ROW(PLE.lastrow)-ROW(PLE.firstrow))),0,IF(OFFSET(PLE!$G$14,$M664,CE$13)="",10^12,OFFSET(PLE!$G$14,$M664,CE$13))))</f>
        <v>1000000000000</v>
      </c>
      <c r="CF664" s="182">
        <f ca="1">IF($D664&lt;&gt;"Serviço",0,IF(OR(AND(AUTOEVENTO="Manual",$M664=1),$M664&gt;(ROW(PLE.lastrow)-ROW(PLE.firstrow))),0,IF(OFFSET(PLE!$G$14,$M664,CF$13)="",10^12,OFFSET(PLE!$G$14,$M664,CF$13))))</f>
        <v>1000000000000</v>
      </c>
      <c r="CG664" s="182">
        <f ca="1">IF($D664&lt;&gt;"Serviço",0,IF(OR(AND(AUTOEVENTO="Manual",$M664=1),$M664&gt;(ROW(PLE.lastrow)-ROW(PLE.firstrow))),0,IF(OFFSET(PLE!$G$14,$M664,CG$13)="",10^12,OFFSET(PLE!$G$14,$M664,CG$13))))</f>
        <v>1000000000000</v>
      </c>
      <c r="CH664" s="182">
        <f ca="1">IF($D664&lt;&gt;"Serviço",0,IF(OR(AND(AUTOEVENTO="Manual",$M664=1),$M664&gt;(ROW(PLE.lastrow)-ROW(PLE.firstrow))),0,IF(OFFSET(PLE!$G$14,$M664,CH$13)="",10^12,OFFSET(PLE!$G$14,$M664,CH$13))))</f>
        <v>1000000000000</v>
      </c>
      <c r="CI664" s="182">
        <f ca="1">IF($D664&lt;&gt;"Serviço",0,IF(OR(AND(AUTOEVENTO="Manual",$M664=1),$M664&gt;(ROW(PLE.lastrow)-ROW(PLE.firstrow))),0,IF(OFFSET(PLE!$G$14,$M664,CI$13)="",10^12,OFFSET(PLE!$G$14,$M664,CI$13))))</f>
        <v>1000000000000</v>
      </c>
      <c r="CJ664" s="182">
        <f ca="1">IF($D664&lt;&gt;"Serviço",0,IF(OR(AND(AUTOEVENTO="Manual",$M664=1),$M664&gt;(ROW(PLE.lastrow)-ROW(PLE.firstrow))),0,IF(OFFSET(PLE!$G$14,$M664,CJ$13)="",10^12,OFFSET(PLE!$G$14,$M664,CJ$13))))</f>
        <v>1000000000000</v>
      </c>
      <c r="CK664" s="182">
        <f ca="1">IF($D664&lt;&gt;"Serviço",0,IF(OR(AND(AUTOEVENTO="Manual",$M664=1),$M664&gt;(ROW(PLE.lastrow)-ROW(PLE.firstrow))),0,IF(OFFSET(PLE!$G$14,$M664,CK$13)="",10^12,OFFSET(PLE!$G$14,$M664,CK$13))))</f>
        <v>1000000000000</v>
      </c>
      <c r="CL664" s="182">
        <f ca="1">IF($D664&lt;&gt;"Serviço",0,IF(OR(AND(AUTOEVENTO="Manual",$M664=1),$M664&gt;(ROW(PLE.lastrow)-ROW(PLE.firstrow))),0,IF(OFFSET(PLE!$G$14,$M664,CL$13)="",10^12,OFFSET(PLE!$G$14,$M664,CL$13))))</f>
        <v>1000000000000</v>
      </c>
      <c r="CM664" s="182">
        <f ca="1">IF($D664&lt;&gt;"Serviço",0,IF(OR(AND(AUTOEVENTO="Manual",$M664=1),$M664&gt;(ROW(PLE.lastrow)-ROW(PLE.firstrow))),0,IF(OFFSET(PLE!$G$14,$M664,CM$13)="",10^12,OFFSET(PLE!$G$14,$M664,CM$13))))</f>
        <v>1000000000000</v>
      </c>
    </row>
    <row r="665" spans="1:91" ht="38.25" x14ac:dyDescent="0.2">
      <c r="A665" s="7" t="str">
        <f t="shared" ca="1" si="19"/>
        <v>645</v>
      </c>
      <c r="B665" s="7" t="str">
        <f ca="1">OFFSET(ORÇAMENTO!C$15,ROW(B665)-ROW(B$15),0)</f>
        <v>S</v>
      </c>
      <c r="C665" s="7" t="str">
        <f ca="1">OFFSET(ORÇAMENTO!L$15,ROW(C665)-ROW(C$15),0)</f>
        <v/>
      </c>
      <c r="D665" s="118" t="str">
        <f ca="1">OFFSET(ORÇAMENTO!N$15,ROW(D665)-ROW(D$15),0)</f>
        <v>Serviço</v>
      </c>
      <c r="E665" s="119" t="str">
        <f ca="1">OFFSET(ORÇAMENTO!O$15,ROW(E665)-ROW(E$15),0)</f>
        <v>-</v>
      </c>
      <c r="F665" s="172" t="str">
        <f ca="1">OFFSET(ORÇAMENTO!R$15,ROW(F665)-ROW(F$15),0)</f>
        <v>(abra o arquivo 'Referência 06-2024.xlsm)</v>
      </c>
      <c r="G665" s="173" t="str">
        <f ca="1">IF($D665&lt;&gt;"Serviço","",OFFSET(ORÇAMENTO!S$15,ROW(G665)-ROW(G$15),0))</f>
        <v>-</v>
      </c>
      <c r="H665" s="124">
        <f ca="1">IF($D665&lt;&gt;"Serviço",0,IF(ACOMPANHAMENTO="BM",ROUND(OFFSET(ORÇAMENTO!AJ$15,ROW(H665)-ROW(H$15),0),15-13*ORÇAMENTO!$AF$7),SUMPRODUCT(($Q$12:$AI$12&lt;&gt;"")*ROUND($Q665:$AI665,15-13*ORÇAMENTO!$AF$7))))</f>
        <v>20</v>
      </c>
      <c r="I665" s="561" t="s">
        <v>1107</v>
      </c>
      <c r="K665" s="174"/>
      <c r="L665" s="175" t="s">
        <v>255</v>
      </c>
      <c r="M665" s="176">
        <f ca="1">IF($D665&lt;&gt;"Serviço","",IF(AUTOEVENTO="manual",$A665,IF(ISERROR(MATCH($A665,$A$15:OFFSET($A665,-1,0),0)),MAX($M$15:OFFSET(M665,-1,0))+1,INDEX($M$15:OFFSET(M665,-1,0),MATCH($A665,$A$15:OFFSET($A665,-1,0),0)))))</f>
        <v>72</v>
      </c>
      <c r="N665" s="177" t="str">
        <f ca="1">IF($D665&lt;&gt;"Serviço","",IF(AUTOEVENTO="Manual",IF($A665=0,"&lt;-- defina o número do agrupador",OFFSET(EVENTOS!$D$14,$A665,0)),OFFSET($F$15,$A665,0)))</f>
        <v>SISTEMA DE PROTEÇÃO CONTRA DESCARGAS ATMOSFÉRICAS (SPDA)</v>
      </c>
      <c r="O665" s="178"/>
      <c r="Q665" s="178">
        <v>20</v>
      </c>
      <c r="R665" s="179"/>
      <c r="S665" s="179"/>
      <c r="T665" s="179"/>
      <c r="U665" s="179"/>
      <c r="V665" s="179"/>
      <c r="W665" s="179"/>
      <c r="X665" s="179"/>
      <c r="Y665" s="179"/>
      <c r="Z665" s="180"/>
      <c r="AA665" s="179"/>
      <c r="AB665" s="179"/>
      <c r="AC665" s="179"/>
      <c r="AD665" s="179"/>
      <c r="AE665" s="179"/>
      <c r="AF665" s="179"/>
      <c r="AG665" s="179"/>
      <c r="AH665" s="180"/>
      <c r="AJ665" s="544">
        <f ca="1">IF(AND($D665="Serviço",AJ$12&lt;&gt;0,$H665&gt;0,OR(AUTOEVENTO&lt;&gt;"manual",$M665&lt;&gt;1)),
IF(Import.TipoArredondamento&lt;&gt;"TransfereGOV",
ROUND(OFFSET($P665,0,AJ$13),15-13*ORÇAMENTO!$AF$7)/$H665*OFFSET(ORÇAMENTO!$X$15,ROW(AJ665)-ROW(AJ$15),0),
ROUND(ROUND(OFFSET($P665,0,AJ$13),15-13*ORÇAMENTO!$AF$7)*OFFSET(ORÇAMENTO!$W$15,ROW(AJ665)-ROW(AJ$15),0),15-13*ORÇAMENTO!$AF$11)),0)</f>
        <v>0</v>
      </c>
      <c r="AK665" s="545">
        <f ca="1">IF(AND($D665="Serviço",AK$12&lt;&gt;0,$H665&gt;0,OR(AUTOEVENTO&lt;&gt;"manual",$M665&lt;&gt;1)),
IF(Import.TipoArredondamento&lt;&gt;"TransfereGOV",
ROUND(OFFSET($P665,0,AK$13),15-13*ORÇAMENTO!$AF$7)/$H665*OFFSET(ORÇAMENTO!$X$15,ROW(AK665)-ROW(AK$15),0),
ROUND(ROUND(OFFSET($P665,0,AK$13),15-13*ORÇAMENTO!$AF$7)*OFFSET(ORÇAMENTO!$W$15,ROW(AK665)-ROW(AK$15),0),15-13*ORÇAMENTO!$AF$11)),0)</f>
        <v>0</v>
      </c>
      <c r="AL665" s="545">
        <f ca="1">IF(AND($D665="Serviço",AL$12&lt;&gt;0,$H665&gt;0,OR(AUTOEVENTO&lt;&gt;"manual",$M665&lt;&gt;1)),
IF(Import.TipoArredondamento&lt;&gt;"TransfereGOV",
ROUND(OFFSET($P665,0,AL$13),15-13*ORÇAMENTO!$AF$7)/$H665*OFFSET(ORÇAMENTO!$X$15,ROW(AL665)-ROW(AL$15),0),
ROUND(ROUND(OFFSET($P665,0,AL$13),15-13*ORÇAMENTO!$AF$7)*OFFSET(ORÇAMENTO!$W$15,ROW(AL665)-ROW(AL$15),0),15-13*ORÇAMENTO!$AF$11)),0)</f>
        <v>0</v>
      </c>
      <c r="AM665" s="545">
        <f ca="1">IF(AND($D665="Serviço",AM$12&lt;&gt;0,$H665&gt;0,OR(AUTOEVENTO&lt;&gt;"manual",$M665&lt;&gt;1)),
IF(Import.TipoArredondamento&lt;&gt;"TransfereGOV",
ROUND(OFFSET($P665,0,AM$13),15-13*ORÇAMENTO!$AF$7)/$H665*OFFSET(ORÇAMENTO!$X$15,ROW(AM665)-ROW(AM$15),0),
ROUND(ROUND(OFFSET($P665,0,AM$13),15-13*ORÇAMENTO!$AF$7)*OFFSET(ORÇAMENTO!$W$15,ROW(AM665)-ROW(AM$15),0),15-13*ORÇAMENTO!$AF$11)),0)</f>
        <v>0</v>
      </c>
      <c r="AN665" s="545">
        <f ca="1">IF(AND($D665="Serviço",AN$12&lt;&gt;0,$H665&gt;0,OR(AUTOEVENTO&lt;&gt;"manual",$M665&lt;&gt;1)),
IF(Import.TipoArredondamento&lt;&gt;"TransfereGOV",
ROUND(OFFSET($P665,0,AN$13),15-13*ORÇAMENTO!$AF$7)/$H665*OFFSET(ORÇAMENTO!$X$15,ROW(AN665)-ROW(AN$15),0),
ROUND(ROUND(OFFSET($P665,0,AN$13),15-13*ORÇAMENTO!$AF$7)*OFFSET(ORÇAMENTO!$W$15,ROW(AN665)-ROW(AN$15),0),15-13*ORÇAMENTO!$AF$11)),0)</f>
        <v>0</v>
      </c>
      <c r="AO665" s="545">
        <f ca="1">IF(AND($D665="Serviço",AO$12&lt;&gt;0,$H665&gt;0,OR(AUTOEVENTO&lt;&gt;"manual",$M665&lt;&gt;1)),
IF(Import.TipoArredondamento&lt;&gt;"TransfereGOV",
ROUND(OFFSET($P665,0,AO$13),15-13*ORÇAMENTO!$AF$7)/$H665*OFFSET(ORÇAMENTO!$X$15,ROW(AO665)-ROW(AO$15),0),
ROUND(ROUND(OFFSET($P665,0,AO$13),15-13*ORÇAMENTO!$AF$7)*OFFSET(ORÇAMENTO!$W$15,ROW(AO665)-ROW(AO$15),0),15-13*ORÇAMENTO!$AF$11)),0)</f>
        <v>0</v>
      </c>
      <c r="AP665" s="545">
        <f ca="1">IF(AND($D665="Serviço",AP$12&lt;&gt;0,$H665&gt;0,OR(AUTOEVENTO&lt;&gt;"manual",$M665&lt;&gt;1)),
IF(Import.TipoArredondamento&lt;&gt;"TransfereGOV",
ROUND(OFFSET($P665,0,AP$13),15-13*ORÇAMENTO!$AF$7)/$H665*OFFSET(ORÇAMENTO!$X$15,ROW(AP665)-ROW(AP$15),0),
ROUND(ROUND(OFFSET($P665,0,AP$13),15-13*ORÇAMENTO!$AF$7)*OFFSET(ORÇAMENTO!$W$15,ROW(AP665)-ROW(AP$15),0),15-13*ORÇAMENTO!$AF$11)),0)</f>
        <v>0</v>
      </c>
      <c r="AQ665" s="545">
        <f ca="1">IF(AND($D665="Serviço",AQ$12&lt;&gt;0,$H665&gt;0,OR(AUTOEVENTO&lt;&gt;"manual",$M665&lt;&gt;1)),
IF(Import.TipoArredondamento&lt;&gt;"TransfereGOV",
ROUND(OFFSET($P665,0,AQ$13),15-13*ORÇAMENTO!$AF$7)/$H665*OFFSET(ORÇAMENTO!$X$15,ROW(AQ665)-ROW(AQ$15),0),
ROUND(ROUND(OFFSET($P665,0,AQ$13),15-13*ORÇAMENTO!$AF$7)*OFFSET(ORÇAMENTO!$W$15,ROW(AQ665)-ROW(AQ$15),0),15-13*ORÇAMENTO!$AF$11)),0)</f>
        <v>0</v>
      </c>
      <c r="AR665" s="545">
        <f ca="1">IF(AND($D665="Serviço",AR$12&lt;&gt;0,$H665&gt;0,OR(AUTOEVENTO&lt;&gt;"manual",$M665&lt;&gt;1)),
IF(Import.TipoArredondamento&lt;&gt;"TransfereGOV",
ROUND(OFFSET($P665,0,AR$13),15-13*ORÇAMENTO!$AF$7)/$H665*OFFSET(ORÇAMENTO!$X$15,ROW(AR665)-ROW(AR$15),0),
ROUND(ROUND(OFFSET($P665,0,AR$13),15-13*ORÇAMENTO!$AF$7)*OFFSET(ORÇAMENTO!$W$15,ROW(AR665)-ROW(AR$15),0),15-13*ORÇAMENTO!$AF$11)),0)</f>
        <v>0</v>
      </c>
      <c r="AS665" s="546">
        <f ca="1">IF(AND($D665="Serviço",AS$12&lt;&gt;0,$H665&gt;0,OR(AUTOEVENTO&lt;&gt;"manual",$M665&lt;&gt;1)),
IF(Import.TipoArredondamento&lt;&gt;"TransfereGOV",
ROUND(OFFSET($P665,0,AS$13),15-13*ORÇAMENTO!$AF$7)/$H665*OFFSET(ORÇAMENTO!$X$15,ROW(AS665)-ROW(AS$15),0),
ROUND(ROUND(OFFSET($P665,0,AS$13),15-13*ORÇAMENTO!$AF$7)*OFFSET(ORÇAMENTO!$W$15,ROW(AS665)-ROW(AS$15),0),15-13*ORÇAMENTO!$AF$11)),0)</f>
        <v>0</v>
      </c>
      <c r="AT665" s="545">
        <f ca="1">IF(AND($D665="Serviço",AT$12&lt;&gt;0,$H665&gt;0,OR(AUTOEVENTO&lt;&gt;"manual",$M665&lt;&gt;1)),
IF(Import.TipoArredondamento&lt;&gt;"TransfereGOV",
ROUND(OFFSET($P665,0,AT$13),15-13*ORÇAMENTO!$AF$7)/$H665*OFFSET(ORÇAMENTO!$X$15,ROW(AT665)-ROW(AT$15),0),
ROUND(ROUND(OFFSET($P665,0,AT$13),15-13*ORÇAMENTO!$AF$7)*OFFSET(ORÇAMENTO!$W$15,ROW(AT665)-ROW(AT$15),0),15-13*ORÇAMENTO!$AF$11)),0)</f>
        <v>0</v>
      </c>
      <c r="AU665" s="545">
        <f ca="1">IF(AND($D665="Serviço",AU$12&lt;&gt;0,$H665&gt;0,OR(AUTOEVENTO&lt;&gt;"manual",$M665&lt;&gt;1)),
IF(Import.TipoArredondamento&lt;&gt;"TransfereGOV",
ROUND(OFFSET($P665,0,AU$13),15-13*ORÇAMENTO!$AF$7)/$H665*OFFSET(ORÇAMENTO!$X$15,ROW(AU665)-ROW(AU$15),0),
ROUND(ROUND(OFFSET($P665,0,AU$13),15-13*ORÇAMENTO!$AF$7)*OFFSET(ORÇAMENTO!$W$15,ROW(AU665)-ROW(AU$15),0),15-13*ORÇAMENTO!$AF$11)),0)</f>
        <v>0</v>
      </c>
      <c r="AV665" s="545">
        <f ca="1">IF(AND($D665="Serviço",AV$12&lt;&gt;0,$H665&gt;0,OR(AUTOEVENTO&lt;&gt;"manual",$M665&lt;&gt;1)),
IF(Import.TipoArredondamento&lt;&gt;"TransfereGOV",
ROUND(OFFSET($P665,0,AV$13),15-13*ORÇAMENTO!$AF$7)/$H665*OFFSET(ORÇAMENTO!$X$15,ROW(AV665)-ROW(AV$15),0),
ROUND(ROUND(OFFSET($P665,0,AV$13),15-13*ORÇAMENTO!$AF$7)*OFFSET(ORÇAMENTO!$W$15,ROW(AV665)-ROW(AV$15),0),15-13*ORÇAMENTO!$AF$11)),0)</f>
        <v>0</v>
      </c>
      <c r="AW665" s="545">
        <f ca="1">IF(AND($D665="Serviço",AW$12&lt;&gt;0,$H665&gt;0,OR(AUTOEVENTO&lt;&gt;"manual",$M665&lt;&gt;1)),
IF(Import.TipoArredondamento&lt;&gt;"TransfereGOV",
ROUND(OFFSET($P665,0,AW$13),15-13*ORÇAMENTO!$AF$7)/$H665*OFFSET(ORÇAMENTO!$X$15,ROW(AW665)-ROW(AW$15),0),
ROUND(ROUND(OFFSET($P665,0,AW$13),15-13*ORÇAMENTO!$AF$7)*OFFSET(ORÇAMENTO!$W$15,ROW(AW665)-ROW(AW$15),0),15-13*ORÇAMENTO!$AF$11)),0)</f>
        <v>0</v>
      </c>
      <c r="AX665" s="545">
        <f ca="1">IF(AND($D665="Serviço",AX$12&lt;&gt;0,$H665&gt;0,OR(AUTOEVENTO&lt;&gt;"manual",$M665&lt;&gt;1)),
IF(Import.TipoArredondamento&lt;&gt;"TransfereGOV",
ROUND(OFFSET($P665,0,AX$13),15-13*ORÇAMENTO!$AF$7)/$H665*OFFSET(ORÇAMENTO!$X$15,ROW(AX665)-ROW(AX$15),0),
ROUND(ROUND(OFFSET($P665,0,AX$13),15-13*ORÇAMENTO!$AF$7)*OFFSET(ORÇAMENTO!$W$15,ROW(AX665)-ROW(AX$15),0),15-13*ORÇAMENTO!$AF$11)),0)</f>
        <v>0</v>
      </c>
      <c r="AY665" s="545">
        <f ca="1">IF(AND($D665="Serviço",AY$12&lt;&gt;0,$H665&gt;0,OR(AUTOEVENTO&lt;&gt;"manual",$M665&lt;&gt;1)),
IF(Import.TipoArredondamento&lt;&gt;"TransfereGOV",
ROUND(OFFSET($P665,0,AY$13),15-13*ORÇAMENTO!$AF$7)/$H665*OFFSET(ORÇAMENTO!$X$15,ROW(AY665)-ROW(AY$15),0),
ROUND(ROUND(OFFSET($P665,0,AY$13),15-13*ORÇAMENTO!$AF$7)*OFFSET(ORÇAMENTO!$W$15,ROW(AY665)-ROW(AY$15),0),15-13*ORÇAMENTO!$AF$11)),0)</f>
        <v>0</v>
      </c>
      <c r="AZ665" s="545">
        <f ca="1">IF(AND($D665="Serviço",AZ$12&lt;&gt;0,$H665&gt;0,OR(AUTOEVENTO&lt;&gt;"manual",$M665&lt;&gt;1)),
IF(Import.TipoArredondamento&lt;&gt;"TransfereGOV",
ROUND(OFFSET($P665,0,AZ$13),15-13*ORÇAMENTO!$AF$7)/$H665*OFFSET(ORÇAMENTO!$X$15,ROW(AZ665)-ROW(AZ$15),0),
ROUND(ROUND(OFFSET($P665,0,AZ$13),15-13*ORÇAMENTO!$AF$7)*OFFSET(ORÇAMENTO!$W$15,ROW(AZ665)-ROW(AZ$15),0),15-13*ORÇAMENTO!$AF$11)),0)</f>
        <v>0</v>
      </c>
      <c r="BA665" s="546">
        <f ca="1">IF(AND($D665="Serviço",BA$12&lt;&gt;0,$H665&gt;0,OR(AUTOEVENTO&lt;&gt;"manual",$M665&lt;&gt;1)),
IF(Import.TipoArredondamento&lt;&gt;"TransfereGOV",
ROUND(OFFSET($P665,0,BA$13),15-13*ORÇAMENTO!$AF$7)/$H665*OFFSET(ORÇAMENTO!$X$15,ROW(BA665)-ROW(BA$15),0),
ROUND(ROUND(OFFSET($P665,0,BA$13),15-13*ORÇAMENTO!$AF$7)*OFFSET(ORÇAMENTO!$W$15,ROW(BA665)-ROW(BA$15),0),15-13*ORÇAMENTO!$AF$11)),0)</f>
        <v>0</v>
      </c>
      <c r="BC665" s="181">
        <f ca="1">IF($D665&lt;&gt;"Serviço",0,IF(AND(AUTOEVENTO="Manual",$M665=1),0,IF(OFFSET(CRONOPLE!$F$14,$M665,BC$13)="",10^12,OFFSET(CRONOPLE!$F$14,$M665,BC$13))))</f>
        <v>11</v>
      </c>
      <c r="BD665" s="181">
        <f ca="1">IF($D665&lt;&gt;"Serviço",0,IF(AND(AUTOEVENTO="Manual",$M665=1),0,IF(OFFSET(CRONOPLE!$F$14,$M665,BD$13)="",10^12,OFFSET(CRONOPLE!$F$14,$M665,BD$13))))</f>
        <v>1000000000000</v>
      </c>
      <c r="BE665" s="181">
        <f ca="1">IF($D665&lt;&gt;"Serviço",0,IF(AND(AUTOEVENTO="Manual",$M665=1),0,IF(OFFSET(CRONOPLE!$F$14,$M665,BE$13)="",10^12,OFFSET(CRONOPLE!$F$14,$M665,BE$13))))</f>
        <v>1000000000000</v>
      </c>
      <c r="BF665" s="181">
        <f ca="1">IF($D665&lt;&gt;"Serviço",0,IF(AND(AUTOEVENTO="Manual",$M665=1),0,IF(OFFSET(CRONOPLE!$F$14,$M665,BF$13)="",10^12,OFFSET(CRONOPLE!$F$14,$M665,BF$13))))</f>
        <v>1000000000000</v>
      </c>
      <c r="BG665" s="181">
        <f ca="1">IF($D665&lt;&gt;"Serviço",0,IF(AND(AUTOEVENTO="Manual",$M665=1),0,IF(OFFSET(CRONOPLE!$F$14,$M665,BG$13)="",10^12,OFFSET(CRONOPLE!$F$14,$M665,BG$13))))</f>
        <v>1000000000000</v>
      </c>
      <c r="BH665" s="181">
        <f ca="1">IF($D665&lt;&gt;"Serviço",0,IF(AND(AUTOEVENTO="Manual",$M665=1),0,IF(OFFSET(CRONOPLE!$F$14,$M665,BH$13)="",10^12,OFFSET(CRONOPLE!$F$14,$M665,BH$13))))</f>
        <v>1000000000000</v>
      </c>
      <c r="BI665" s="181">
        <f ca="1">IF($D665&lt;&gt;"Serviço",0,IF(AND(AUTOEVENTO="Manual",$M665=1),0,IF(OFFSET(CRONOPLE!$F$14,$M665,BI$13)="",10^12,OFFSET(CRONOPLE!$F$14,$M665,BI$13))))</f>
        <v>1000000000000</v>
      </c>
      <c r="BJ665" s="181">
        <f ca="1">IF($D665&lt;&gt;"Serviço",0,IF(AND(AUTOEVENTO="Manual",$M665=1),0,IF(OFFSET(CRONOPLE!$F$14,$M665,BJ$13)="",10^12,OFFSET(CRONOPLE!$F$14,$M665,BJ$13))))</f>
        <v>1000000000000</v>
      </c>
      <c r="BK665" s="181">
        <f ca="1">IF($D665&lt;&gt;"Serviço",0,IF(AND(AUTOEVENTO="Manual",$M665=1),0,IF(OFFSET(CRONOPLE!$F$14,$M665,BK$13)="",10^12,OFFSET(CRONOPLE!$F$14,$M665,BK$13))))</f>
        <v>1000000000000</v>
      </c>
      <c r="BL665" s="181">
        <f ca="1">IF($D665&lt;&gt;"Serviço",0,IF(AND(AUTOEVENTO="Manual",$M665=1),0,IF(OFFSET(CRONOPLE!$F$14,$M665,BL$13)="",10^12,OFFSET(CRONOPLE!$F$14,$M665,BL$13))))</f>
        <v>1000000000000</v>
      </c>
      <c r="BM665" s="181">
        <f ca="1">IF($D665&lt;&gt;"Serviço",0,IF(AND(AUTOEVENTO="Manual",$M665=1),0,IF(OFFSET(CRONOPLE!$F$14,$M665,BM$13)="",10^12,OFFSET(CRONOPLE!$F$14,$M665,BM$13))))</f>
        <v>1000000000000</v>
      </c>
      <c r="BN665" s="181">
        <f ca="1">IF($D665&lt;&gt;"Serviço",0,IF(AND(AUTOEVENTO="Manual",$M665=1),0,IF(OFFSET(CRONOPLE!$F$14,$M665,BN$13)="",10^12,OFFSET(CRONOPLE!$F$14,$M665,BN$13))))</f>
        <v>1000000000000</v>
      </c>
      <c r="BO665" s="181">
        <f ca="1">IF($D665&lt;&gt;"Serviço",0,IF(AND(AUTOEVENTO="Manual",$M665=1),0,IF(OFFSET(CRONOPLE!$F$14,$M665,BO$13)="",10^12,OFFSET(CRONOPLE!$F$14,$M665,BO$13))))</f>
        <v>1000000000000</v>
      </c>
      <c r="BP665" s="181">
        <f ca="1">IF($D665&lt;&gt;"Serviço",0,IF(AND(AUTOEVENTO="Manual",$M665=1),0,IF(OFFSET(CRONOPLE!$F$14,$M665,BP$13)="",10^12,OFFSET(CRONOPLE!$F$14,$M665,BP$13))))</f>
        <v>1000000000000</v>
      </c>
      <c r="BQ665" s="181">
        <f ca="1">IF($D665&lt;&gt;"Serviço",0,IF(AND(AUTOEVENTO="Manual",$M665=1),0,IF(OFFSET(CRONOPLE!$F$14,$M665,BQ$13)="",10^12,OFFSET(CRONOPLE!$F$14,$M665,BQ$13))))</f>
        <v>1000000000000</v>
      </c>
      <c r="BR665" s="181">
        <f ca="1">IF($D665&lt;&gt;"Serviço",0,IF(AND(AUTOEVENTO="Manual",$M665=1),0,IF(OFFSET(CRONOPLE!$F$14,$M665,BR$13)="",10^12,OFFSET(CRONOPLE!$F$14,$M665,BR$13))))</f>
        <v>1000000000000</v>
      </c>
      <c r="BS665" s="181">
        <f ca="1">IF($D665&lt;&gt;"Serviço",0,IF(AND(AUTOEVENTO="Manual",$M665=1),0,IF(OFFSET(CRONOPLE!$F$14,$M665,BS$13)="",10^12,OFFSET(CRONOPLE!$F$14,$M665,BS$13))))</f>
        <v>1000000000000</v>
      </c>
      <c r="BT665" s="181">
        <f ca="1">IF($D665&lt;&gt;"Serviço",0,IF(AND(AUTOEVENTO="Manual",$M665=1),0,IF(OFFSET(CRONOPLE!$F$14,$M665,BT$13)="",10^12,OFFSET(CRONOPLE!$F$14,$M665,BT$13))))</f>
        <v>1000000000000</v>
      </c>
      <c r="BV665" s="182">
        <f ca="1">IF($D665&lt;&gt;"Serviço",0,IF(OR(AND(AUTOEVENTO="Manual",$M665=1),$M665&gt;(ROW(PLE.lastrow)-ROW(PLE.firstrow))),0,IF(OFFSET(PLE!$G$14,$M665,BV$13)="",10^12,OFFSET(PLE!$G$14,$M665,BV$13))))</f>
        <v>1000000000000</v>
      </c>
      <c r="BW665" s="182">
        <f ca="1">IF($D665&lt;&gt;"Serviço",0,IF(OR(AND(AUTOEVENTO="Manual",$M665=1),$M665&gt;(ROW(PLE.lastrow)-ROW(PLE.firstrow))),0,IF(OFFSET(PLE!$G$14,$M665,BW$13)="",10^12,OFFSET(PLE!$G$14,$M665,BW$13))))</f>
        <v>1000000000000</v>
      </c>
      <c r="BX665" s="182">
        <f ca="1">IF($D665&lt;&gt;"Serviço",0,IF(OR(AND(AUTOEVENTO="Manual",$M665=1),$M665&gt;(ROW(PLE.lastrow)-ROW(PLE.firstrow))),0,IF(OFFSET(PLE!$G$14,$M665,BX$13)="",10^12,OFFSET(PLE!$G$14,$M665,BX$13))))</f>
        <v>1000000000000</v>
      </c>
      <c r="BY665" s="182">
        <f ca="1">IF($D665&lt;&gt;"Serviço",0,IF(OR(AND(AUTOEVENTO="Manual",$M665=1),$M665&gt;(ROW(PLE.lastrow)-ROW(PLE.firstrow))),0,IF(OFFSET(PLE!$G$14,$M665,BY$13)="",10^12,OFFSET(PLE!$G$14,$M665,BY$13))))</f>
        <v>1000000000000</v>
      </c>
      <c r="BZ665" s="182">
        <f ca="1">IF($D665&lt;&gt;"Serviço",0,IF(OR(AND(AUTOEVENTO="Manual",$M665=1),$M665&gt;(ROW(PLE.lastrow)-ROW(PLE.firstrow))),0,IF(OFFSET(PLE!$G$14,$M665,BZ$13)="",10^12,OFFSET(PLE!$G$14,$M665,BZ$13))))</f>
        <v>1000000000000</v>
      </c>
      <c r="CA665" s="182">
        <f ca="1">IF($D665&lt;&gt;"Serviço",0,IF(OR(AND(AUTOEVENTO="Manual",$M665=1),$M665&gt;(ROW(PLE.lastrow)-ROW(PLE.firstrow))),0,IF(OFFSET(PLE!$G$14,$M665,CA$13)="",10^12,OFFSET(PLE!$G$14,$M665,CA$13))))</f>
        <v>1000000000000</v>
      </c>
      <c r="CB665" s="182">
        <f ca="1">IF($D665&lt;&gt;"Serviço",0,IF(OR(AND(AUTOEVENTO="Manual",$M665=1),$M665&gt;(ROW(PLE.lastrow)-ROW(PLE.firstrow))),0,IF(OFFSET(PLE!$G$14,$M665,CB$13)="",10^12,OFFSET(PLE!$G$14,$M665,CB$13))))</f>
        <v>1000000000000</v>
      </c>
      <c r="CC665" s="182">
        <f ca="1">IF($D665&lt;&gt;"Serviço",0,IF(OR(AND(AUTOEVENTO="Manual",$M665=1),$M665&gt;(ROW(PLE.lastrow)-ROW(PLE.firstrow))),0,IF(OFFSET(PLE!$G$14,$M665,CC$13)="",10^12,OFFSET(PLE!$G$14,$M665,CC$13))))</f>
        <v>1000000000000</v>
      </c>
      <c r="CD665" s="182">
        <f ca="1">IF($D665&lt;&gt;"Serviço",0,IF(OR(AND(AUTOEVENTO="Manual",$M665=1),$M665&gt;(ROW(PLE.lastrow)-ROW(PLE.firstrow))),0,IF(OFFSET(PLE!$G$14,$M665,CD$13)="",10^12,OFFSET(PLE!$G$14,$M665,CD$13))))</f>
        <v>1000000000000</v>
      </c>
      <c r="CE665" s="182">
        <f ca="1">IF($D665&lt;&gt;"Serviço",0,IF(OR(AND(AUTOEVENTO="Manual",$M665=1),$M665&gt;(ROW(PLE.lastrow)-ROW(PLE.firstrow))),0,IF(OFFSET(PLE!$G$14,$M665,CE$13)="",10^12,OFFSET(PLE!$G$14,$M665,CE$13))))</f>
        <v>1000000000000</v>
      </c>
      <c r="CF665" s="182">
        <f ca="1">IF($D665&lt;&gt;"Serviço",0,IF(OR(AND(AUTOEVENTO="Manual",$M665=1),$M665&gt;(ROW(PLE.lastrow)-ROW(PLE.firstrow))),0,IF(OFFSET(PLE!$G$14,$M665,CF$13)="",10^12,OFFSET(PLE!$G$14,$M665,CF$13))))</f>
        <v>1000000000000</v>
      </c>
      <c r="CG665" s="182">
        <f ca="1">IF($D665&lt;&gt;"Serviço",0,IF(OR(AND(AUTOEVENTO="Manual",$M665=1),$M665&gt;(ROW(PLE.lastrow)-ROW(PLE.firstrow))),0,IF(OFFSET(PLE!$G$14,$M665,CG$13)="",10^12,OFFSET(PLE!$G$14,$M665,CG$13))))</f>
        <v>1000000000000</v>
      </c>
      <c r="CH665" s="182">
        <f ca="1">IF($D665&lt;&gt;"Serviço",0,IF(OR(AND(AUTOEVENTO="Manual",$M665=1),$M665&gt;(ROW(PLE.lastrow)-ROW(PLE.firstrow))),0,IF(OFFSET(PLE!$G$14,$M665,CH$13)="",10^12,OFFSET(PLE!$G$14,$M665,CH$13))))</f>
        <v>1000000000000</v>
      </c>
      <c r="CI665" s="182">
        <f ca="1">IF($D665&lt;&gt;"Serviço",0,IF(OR(AND(AUTOEVENTO="Manual",$M665=1),$M665&gt;(ROW(PLE.lastrow)-ROW(PLE.firstrow))),0,IF(OFFSET(PLE!$G$14,$M665,CI$13)="",10^12,OFFSET(PLE!$G$14,$M665,CI$13))))</f>
        <v>1000000000000</v>
      </c>
      <c r="CJ665" s="182">
        <f ca="1">IF($D665&lt;&gt;"Serviço",0,IF(OR(AND(AUTOEVENTO="Manual",$M665=1),$M665&gt;(ROW(PLE.lastrow)-ROW(PLE.firstrow))),0,IF(OFFSET(PLE!$G$14,$M665,CJ$13)="",10^12,OFFSET(PLE!$G$14,$M665,CJ$13))))</f>
        <v>1000000000000</v>
      </c>
      <c r="CK665" s="182">
        <f ca="1">IF($D665&lt;&gt;"Serviço",0,IF(OR(AND(AUTOEVENTO="Manual",$M665=1),$M665&gt;(ROW(PLE.lastrow)-ROW(PLE.firstrow))),0,IF(OFFSET(PLE!$G$14,$M665,CK$13)="",10^12,OFFSET(PLE!$G$14,$M665,CK$13))))</f>
        <v>1000000000000</v>
      </c>
      <c r="CL665" s="182">
        <f ca="1">IF($D665&lt;&gt;"Serviço",0,IF(OR(AND(AUTOEVENTO="Manual",$M665=1),$M665&gt;(ROW(PLE.lastrow)-ROW(PLE.firstrow))),0,IF(OFFSET(PLE!$G$14,$M665,CL$13)="",10^12,OFFSET(PLE!$G$14,$M665,CL$13))))</f>
        <v>1000000000000</v>
      </c>
      <c r="CM665" s="182">
        <f ca="1">IF($D665&lt;&gt;"Serviço",0,IF(OR(AND(AUTOEVENTO="Manual",$M665=1),$M665&gt;(ROW(PLE.lastrow)-ROW(PLE.firstrow))),0,IF(OFFSET(PLE!$G$14,$M665,CM$13)="",10^12,OFFSET(PLE!$G$14,$M665,CM$13))))</f>
        <v>1000000000000</v>
      </c>
    </row>
    <row r="666" spans="1:91" ht="38.25" x14ac:dyDescent="0.2">
      <c r="A666" s="7" t="str">
        <f t="shared" ca="1" si="19"/>
        <v>645</v>
      </c>
      <c r="B666" s="7" t="str">
        <f ca="1">OFFSET(ORÇAMENTO!C$15,ROW(B666)-ROW(B$15),0)</f>
        <v>S</v>
      </c>
      <c r="C666" s="7" t="str">
        <f ca="1">OFFSET(ORÇAMENTO!L$15,ROW(C666)-ROW(C$15),0)</f>
        <v/>
      </c>
      <c r="D666" s="118" t="str">
        <f ca="1">OFFSET(ORÇAMENTO!N$15,ROW(D666)-ROW(D$15),0)</f>
        <v>Serviço</v>
      </c>
      <c r="E666" s="119" t="str">
        <f ca="1">OFFSET(ORÇAMENTO!O$15,ROW(E666)-ROW(E$15),0)</f>
        <v>-</v>
      </c>
      <c r="F666" s="172" t="str">
        <f ca="1">OFFSET(ORÇAMENTO!R$15,ROW(F666)-ROW(F$15),0)</f>
        <v>(abra o arquivo 'Referência 06-2024.xlsm)</v>
      </c>
      <c r="G666" s="173" t="str">
        <f ca="1">IF($D666&lt;&gt;"Serviço","",OFFSET(ORÇAMENTO!S$15,ROW(G666)-ROW(G$15),0))</f>
        <v>-</v>
      </c>
      <c r="H666" s="124">
        <f ca="1">IF($D666&lt;&gt;"Serviço",0,IF(ACOMPANHAMENTO="BM",ROUND(OFFSET(ORÇAMENTO!AJ$15,ROW(H666)-ROW(H$15),0),15-13*ORÇAMENTO!$AF$7),SUMPRODUCT(($Q$12:$AI$12&lt;&gt;"")*ROUND($Q666:$AI666,15-13*ORÇAMENTO!$AF$7))))</f>
        <v>120</v>
      </c>
      <c r="I666" s="561" t="s">
        <v>1107</v>
      </c>
      <c r="K666" s="174"/>
      <c r="L666" s="175" t="s">
        <v>255</v>
      </c>
      <c r="M666" s="176">
        <f ca="1">IF($D666&lt;&gt;"Serviço","",IF(AUTOEVENTO="manual",$A666,IF(ISERROR(MATCH($A666,$A$15:OFFSET($A666,-1,0),0)),MAX($M$15:OFFSET(M666,-1,0))+1,INDEX($M$15:OFFSET(M666,-1,0),MATCH($A666,$A$15:OFFSET($A666,-1,0),0)))))</f>
        <v>72</v>
      </c>
      <c r="N666" s="177" t="str">
        <f ca="1">IF($D666&lt;&gt;"Serviço","",IF(AUTOEVENTO="Manual",IF($A666=0,"&lt;-- defina o número do agrupador",OFFSET(EVENTOS!$D$14,$A666,0)),OFFSET($F$15,$A666,0)))</f>
        <v>SISTEMA DE PROTEÇÃO CONTRA DESCARGAS ATMOSFÉRICAS (SPDA)</v>
      </c>
      <c r="O666" s="178"/>
      <c r="Q666" s="178">
        <v>120</v>
      </c>
      <c r="R666" s="179"/>
      <c r="S666" s="179"/>
      <c r="T666" s="179"/>
      <c r="U666" s="179"/>
      <c r="V666" s="179"/>
      <c r="W666" s="179"/>
      <c r="X666" s="179"/>
      <c r="Y666" s="179"/>
      <c r="Z666" s="180"/>
      <c r="AA666" s="179"/>
      <c r="AB666" s="179"/>
      <c r="AC666" s="179"/>
      <c r="AD666" s="179"/>
      <c r="AE666" s="179"/>
      <c r="AF666" s="179"/>
      <c r="AG666" s="179"/>
      <c r="AH666" s="180"/>
      <c r="AJ666" s="544">
        <f ca="1">IF(AND($D666="Serviço",AJ$12&lt;&gt;0,$H666&gt;0,OR(AUTOEVENTO&lt;&gt;"manual",$M666&lt;&gt;1)),
IF(Import.TipoArredondamento&lt;&gt;"TransfereGOV",
ROUND(OFFSET($P666,0,AJ$13),15-13*ORÇAMENTO!$AF$7)/$H666*OFFSET(ORÇAMENTO!$X$15,ROW(AJ666)-ROW(AJ$15),0),
ROUND(ROUND(OFFSET($P666,0,AJ$13),15-13*ORÇAMENTO!$AF$7)*OFFSET(ORÇAMENTO!$W$15,ROW(AJ666)-ROW(AJ$15),0),15-13*ORÇAMENTO!$AF$11)),0)</f>
        <v>0</v>
      </c>
      <c r="AK666" s="545">
        <f ca="1">IF(AND($D666="Serviço",AK$12&lt;&gt;0,$H666&gt;0,OR(AUTOEVENTO&lt;&gt;"manual",$M666&lt;&gt;1)),
IF(Import.TipoArredondamento&lt;&gt;"TransfereGOV",
ROUND(OFFSET($P666,0,AK$13),15-13*ORÇAMENTO!$AF$7)/$H666*OFFSET(ORÇAMENTO!$X$15,ROW(AK666)-ROW(AK$15),0),
ROUND(ROUND(OFFSET($P666,0,AK$13),15-13*ORÇAMENTO!$AF$7)*OFFSET(ORÇAMENTO!$W$15,ROW(AK666)-ROW(AK$15),0),15-13*ORÇAMENTO!$AF$11)),0)</f>
        <v>0</v>
      </c>
      <c r="AL666" s="545">
        <f ca="1">IF(AND($D666="Serviço",AL$12&lt;&gt;0,$H666&gt;0,OR(AUTOEVENTO&lt;&gt;"manual",$M666&lt;&gt;1)),
IF(Import.TipoArredondamento&lt;&gt;"TransfereGOV",
ROUND(OFFSET($P666,0,AL$13),15-13*ORÇAMENTO!$AF$7)/$H666*OFFSET(ORÇAMENTO!$X$15,ROW(AL666)-ROW(AL$15),0),
ROUND(ROUND(OFFSET($P666,0,AL$13),15-13*ORÇAMENTO!$AF$7)*OFFSET(ORÇAMENTO!$W$15,ROW(AL666)-ROW(AL$15),0),15-13*ORÇAMENTO!$AF$11)),0)</f>
        <v>0</v>
      </c>
      <c r="AM666" s="545">
        <f ca="1">IF(AND($D666="Serviço",AM$12&lt;&gt;0,$H666&gt;0,OR(AUTOEVENTO&lt;&gt;"manual",$M666&lt;&gt;1)),
IF(Import.TipoArredondamento&lt;&gt;"TransfereGOV",
ROUND(OFFSET($P666,0,AM$13),15-13*ORÇAMENTO!$AF$7)/$H666*OFFSET(ORÇAMENTO!$X$15,ROW(AM666)-ROW(AM$15),0),
ROUND(ROUND(OFFSET($P666,0,AM$13),15-13*ORÇAMENTO!$AF$7)*OFFSET(ORÇAMENTO!$W$15,ROW(AM666)-ROW(AM$15),0),15-13*ORÇAMENTO!$AF$11)),0)</f>
        <v>0</v>
      </c>
      <c r="AN666" s="545">
        <f ca="1">IF(AND($D666="Serviço",AN$12&lt;&gt;0,$H666&gt;0,OR(AUTOEVENTO&lt;&gt;"manual",$M666&lt;&gt;1)),
IF(Import.TipoArredondamento&lt;&gt;"TransfereGOV",
ROUND(OFFSET($P666,0,AN$13),15-13*ORÇAMENTO!$AF$7)/$H666*OFFSET(ORÇAMENTO!$X$15,ROW(AN666)-ROW(AN$15),0),
ROUND(ROUND(OFFSET($P666,0,AN$13),15-13*ORÇAMENTO!$AF$7)*OFFSET(ORÇAMENTO!$W$15,ROW(AN666)-ROW(AN$15),0),15-13*ORÇAMENTO!$AF$11)),0)</f>
        <v>0</v>
      </c>
      <c r="AO666" s="545">
        <f ca="1">IF(AND($D666="Serviço",AO$12&lt;&gt;0,$H666&gt;0,OR(AUTOEVENTO&lt;&gt;"manual",$M666&lt;&gt;1)),
IF(Import.TipoArredondamento&lt;&gt;"TransfereGOV",
ROUND(OFFSET($P666,0,AO$13),15-13*ORÇAMENTO!$AF$7)/$H666*OFFSET(ORÇAMENTO!$X$15,ROW(AO666)-ROW(AO$15),0),
ROUND(ROUND(OFFSET($P666,0,AO$13),15-13*ORÇAMENTO!$AF$7)*OFFSET(ORÇAMENTO!$W$15,ROW(AO666)-ROW(AO$15),0),15-13*ORÇAMENTO!$AF$11)),0)</f>
        <v>0</v>
      </c>
      <c r="AP666" s="545">
        <f ca="1">IF(AND($D666="Serviço",AP$12&lt;&gt;0,$H666&gt;0,OR(AUTOEVENTO&lt;&gt;"manual",$M666&lt;&gt;1)),
IF(Import.TipoArredondamento&lt;&gt;"TransfereGOV",
ROUND(OFFSET($P666,0,AP$13),15-13*ORÇAMENTO!$AF$7)/$H666*OFFSET(ORÇAMENTO!$X$15,ROW(AP666)-ROW(AP$15),0),
ROUND(ROUND(OFFSET($P666,0,AP$13),15-13*ORÇAMENTO!$AF$7)*OFFSET(ORÇAMENTO!$W$15,ROW(AP666)-ROW(AP$15),0),15-13*ORÇAMENTO!$AF$11)),0)</f>
        <v>0</v>
      </c>
      <c r="AQ666" s="545">
        <f ca="1">IF(AND($D666="Serviço",AQ$12&lt;&gt;0,$H666&gt;0,OR(AUTOEVENTO&lt;&gt;"manual",$M666&lt;&gt;1)),
IF(Import.TipoArredondamento&lt;&gt;"TransfereGOV",
ROUND(OFFSET($P666,0,AQ$13),15-13*ORÇAMENTO!$AF$7)/$H666*OFFSET(ORÇAMENTO!$X$15,ROW(AQ666)-ROW(AQ$15),0),
ROUND(ROUND(OFFSET($P666,0,AQ$13),15-13*ORÇAMENTO!$AF$7)*OFFSET(ORÇAMENTO!$W$15,ROW(AQ666)-ROW(AQ$15),0),15-13*ORÇAMENTO!$AF$11)),0)</f>
        <v>0</v>
      </c>
      <c r="AR666" s="545">
        <f ca="1">IF(AND($D666="Serviço",AR$12&lt;&gt;0,$H666&gt;0,OR(AUTOEVENTO&lt;&gt;"manual",$M666&lt;&gt;1)),
IF(Import.TipoArredondamento&lt;&gt;"TransfereGOV",
ROUND(OFFSET($P666,0,AR$13),15-13*ORÇAMENTO!$AF$7)/$H666*OFFSET(ORÇAMENTO!$X$15,ROW(AR666)-ROW(AR$15),0),
ROUND(ROUND(OFFSET($P666,0,AR$13),15-13*ORÇAMENTO!$AF$7)*OFFSET(ORÇAMENTO!$W$15,ROW(AR666)-ROW(AR$15),0),15-13*ORÇAMENTO!$AF$11)),0)</f>
        <v>0</v>
      </c>
      <c r="AS666" s="546">
        <f ca="1">IF(AND($D666="Serviço",AS$12&lt;&gt;0,$H666&gt;0,OR(AUTOEVENTO&lt;&gt;"manual",$M666&lt;&gt;1)),
IF(Import.TipoArredondamento&lt;&gt;"TransfereGOV",
ROUND(OFFSET($P666,0,AS$13),15-13*ORÇAMENTO!$AF$7)/$H666*OFFSET(ORÇAMENTO!$X$15,ROW(AS666)-ROW(AS$15),0),
ROUND(ROUND(OFFSET($P666,0,AS$13),15-13*ORÇAMENTO!$AF$7)*OFFSET(ORÇAMENTO!$W$15,ROW(AS666)-ROW(AS$15),0),15-13*ORÇAMENTO!$AF$11)),0)</f>
        <v>0</v>
      </c>
      <c r="AT666" s="545">
        <f ca="1">IF(AND($D666="Serviço",AT$12&lt;&gt;0,$H666&gt;0,OR(AUTOEVENTO&lt;&gt;"manual",$M666&lt;&gt;1)),
IF(Import.TipoArredondamento&lt;&gt;"TransfereGOV",
ROUND(OFFSET($P666,0,AT$13),15-13*ORÇAMENTO!$AF$7)/$H666*OFFSET(ORÇAMENTO!$X$15,ROW(AT666)-ROW(AT$15),0),
ROUND(ROUND(OFFSET($P666,0,AT$13),15-13*ORÇAMENTO!$AF$7)*OFFSET(ORÇAMENTO!$W$15,ROW(AT666)-ROW(AT$15),0),15-13*ORÇAMENTO!$AF$11)),0)</f>
        <v>0</v>
      </c>
      <c r="AU666" s="545">
        <f ca="1">IF(AND($D666="Serviço",AU$12&lt;&gt;0,$H666&gt;0,OR(AUTOEVENTO&lt;&gt;"manual",$M666&lt;&gt;1)),
IF(Import.TipoArredondamento&lt;&gt;"TransfereGOV",
ROUND(OFFSET($P666,0,AU$13),15-13*ORÇAMENTO!$AF$7)/$H666*OFFSET(ORÇAMENTO!$X$15,ROW(AU666)-ROW(AU$15),0),
ROUND(ROUND(OFFSET($P666,0,AU$13),15-13*ORÇAMENTO!$AF$7)*OFFSET(ORÇAMENTO!$W$15,ROW(AU666)-ROW(AU$15),0),15-13*ORÇAMENTO!$AF$11)),0)</f>
        <v>0</v>
      </c>
      <c r="AV666" s="545">
        <f ca="1">IF(AND($D666="Serviço",AV$12&lt;&gt;0,$H666&gt;0,OR(AUTOEVENTO&lt;&gt;"manual",$M666&lt;&gt;1)),
IF(Import.TipoArredondamento&lt;&gt;"TransfereGOV",
ROUND(OFFSET($P666,0,AV$13),15-13*ORÇAMENTO!$AF$7)/$H666*OFFSET(ORÇAMENTO!$X$15,ROW(AV666)-ROW(AV$15),0),
ROUND(ROUND(OFFSET($P666,0,AV$13),15-13*ORÇAMENTO!$AF$7)*OFFSET(ORÇAMENTO!$W$15,ROW(AV666)-ROW(AV$15),0),15-13*ORÇAMENTO!$AF$11)),0)</f>
        <v>0</v>
      </c>
      <c r="AW666" s="545">
        <f ca="1">IF(AND($D666="Serviço",AW$12&lt;&gt;0,$H666&gt;0,OR(AUTOEVENTO&lt;&gt;"manual",$M666&lt;&gt;1)),
IF(Import.TipoArredondamento&lt;&gt;"TransfereGOV",
ROUND(OFFSET($P666,0,AW$13),15-13*ORÇAMENTO!$AF$7)/$H666*OFFSET(ORÇAMENTO!$X$15,ROW(AW666)-ROW(AW$15),0),
ROUND(ROUND(OFFSET($P666,0,AW$13),15-13*ORÇAMENTO!$AF$7)*OFFSET(ORÇAMENTO!$W$15,ROW(AW666)-ROW(AW$15),0),15-13*ORÇAMENTO!$AF$11)),0)</f>
        <v>0</v>
      </c>
      <c r="AX666" s="545">
        <f ca="1">IF(AND($D666="Serviço",AX$12&lt;&gt;0,$H666&gt;0,OR(AUTOEVENTO&lt;&gt;"manual",$M666&lt;&gt;1)),
IF(Import.TipoArredondamento&lt;&gt;"TransfereGOV",
ROUND(OFFSET($P666,0,AX$13),15-13*ORÇAMENTO!$AF$7)/$H666*OFFSET(ORÇAMENTO!$X$15,ROW(AX666)-ROW(AX$15),0),
ROUND(ROUND(OFFSET($P666,0,AX$13),15-13*ORÇAMENTO!$AF$7)*OFFSET(ORÇAMENTO!$W$15,ROW(AX666)-ROW(AX$15),0),15-13*ORÇAMENTO!$AF$11)),0)</f>
        <v>0</v>
      </c>
      <c r="AY666" s="545">
        <f ca="1">IF(AND($D666="Serviço",AY$12&lt;&gt;0,$H666&gt;0,OR(AUTOEVENTO&lt;&gt;"manual",$M666&lt;&gt;1)),
IF(Import.TipoArredondamento&lt;&gt;"TransfereGOV",
ROUND(OFFSET($P666,0,AY$13),15-13*ORÇAMENTO!$AF$7)/$H666*OFFSET(ORÇAMENTO!$X$15,ROW(AY666)-ROW(AY$15),0),
ROUND(ROUND(OFFSET($P666,0,AY$13),15-13*ORÇAMENTO!$AF$7)*OFFSET(ORÇAMENTO!$W$15,ROW(AY666)-ROW(AY$15),0),15-13*ORÇAMENTO!$AF$11)),0)</f>
        <v>0</v>
      </c>
      <c r="AZ666" s="545">
        <f ca="1">IF(AND($D666="Serviço",AZ$12&lt;&gt;0,$H666&gt;0,OR(AUTOEVENTO&lt;&gt;"manual",$M666&lt;&gt;1)),
IF(Import.TipoArredondamento&lt;&gt;"TransfereGOV",
ROUND(OFFSET($P666,0,AZ$13),15-13*ORÇAMENTO!$AF$7)/$H666*OFFSET(ORÇAMENTO!$X$15,ROW(AZ666)-ROW(AZ$15),0),
ROUND(ROUND(OFFSET($P666,0,AZ$13),15-13*ORÇAMENTO!$AF$7)*OFFSET(ORÇAMENTO!$W$15,ROW(AZ666)-ROW(AZ$15),0),15-13*ORÇAMENTO!$AF$11)),0)</f>
        <v>0</v>
      </c>
      <c r="BA666" s="546">
        <f ca="1">IF(AND($D666="Serviço",BA$12&lt;&gt;0,$H666&gt;0,OR(AUTOEVENTO&lt;&gt;"manual",$M666&lt;&gt;1)),
IF(Import.TipoArredondamento&lt;&gt;"TransfereGOV",
ROUND(OFFSET($P666,0,BA$13),15-13*ORÇAMENTO!$AF$7)/$H666*OFFSET(ORÇAMENTO!$X$15,ROW(BA666)-ROW(BA$15),0),
ROUND(ROUND(OFFSET($P666,0,BA$13),15-13*ORÇAMENTO!$AF$7)*OFFSET(ORÇAMENTO!$W$15,ROW(BA666)-ROW(BA$15),0),15-13*ORÇAMENTO!$AF$11)),0)</f>
        <v>0</v>
      </c>
      <c r="BC666" s="181">
        <f ca="1">IF($D666&lt;&gt;"Serviço",0,IF(AND(AUTOEVENTO="Manual",$M666=1),0,IF(OFFSET(CRONOPLE!$F$14,$M666,BC$13)="",10^12,OFFSET(CRONOPLE!$F$14,$M666,BC$13))))</f>
        <v>11</v>
      </c>
      <c r="BD666" s="181">
        <f ca="1">IF($D666&lt;&gt;"Serviço",0,IF(AND(AUTOEVENTO="Manual",$M666=1),0,IF(OFFSET(CRONOPLE!$F$14,$M666,BD$13)="",10^12,OFFSET(CRONOPLE!$F$14,$M666,BD$13))))</f>
        <v>1000000000000</v>
      </c>
      <c r="BE666" s="181">
        <f ca="1">IF($D666&lt;&gt;"Serviço",0,IF(AND(AUTOEVENTO="Manual",$M666=1),0,IF(OFFSET(CRONOPLE!$F$14,$M666,BE$13)="",10^12,OFFSET(CRONOPLE!$F$14,$M666,BE$13))))</f>
        <v>1000000000000</v>
      </c>
      <c r="BF666" s="181">
        <f ca="1">IF($D666&lt;&gt;"Serviço",0,IF(AND(AUTOEVENTO="Manual",$M666=1),0,IF(OFFSET(CRONOPLE!$F$14,$M666,BF$13)="",10^12,OFFSET(CRONOPLE!$F$14,$M666,BF$13))))</f>
        <v>1000000000000</v>
      </c>
      <c r="BG666" s="181">
        <f ca="1">IF($D666&lt;&gt;"Serviço",0,IF(AND(AUTOEVENTO="Manual",$M666=1),0,IF(OFFSET(CRONOPLE!$F$14,$M666,BG$13)="",10^12,OFFSET(CRONOPLE!$F$14,$M666,BG$13))))</f>
        <v>1000000000000</v>
      </c>
      <c r="BH666" s="181">
        <f ca="1">IF($D666&lt;&gt;"Serviço",0,IF(AND(AUTOEVENTO="Manual",$M666=1),0,IF(OFFSET(CRONOPLE!$F$14,$M666,BH$13)="",10^12,OFFSET(CRONOPLE!$F$14,$M666,BH$13))))</f>
        <v>1000000000000</v>
      </c>
      <c r="BI666" s="181">
        <f ca="1">IF($D666&lt;&gt;"Serviço",0,IF(AND(AUTOEVENTO="Manual",$M666=1),0,IF(OFFSET(CRONOPLE!$F$14,$M666,BI$13)="",10^12,OFFSET(CRONOPLE!$F$14,$M666,BI$13))))</f>
        <v>1000000000000</v>
      </c>
      <c r="BJ666" s="181">
        <f ca="1">IF($D666&lt;&gt;"Serviço",0,IF(AND(AUTOEVENTO="Manual",$M666=1),0,IF(OFFSET(CRONOPLE!$F$14,$M666,BJ$13)="",10^12,OFFSET(CRONOPLE!$F$14,$M666,BJ$13))))</f>
        <v>1000000000000</v>
      </c>
      <c r="BK666" s="181">
        <f ca="1">IF($D666&lt;&gt;"Serviço",0,IF(AND(AUTOEVENTO="Manual",$M666=1),0,IF(OFFSET(CRONOPLE!$F$14,$M666,BK$13)="",10^12,OFFSET(CRONOPLE!$F$14,$M666,BK$13))))</f>
        <v>1000000000000</v>
      </c>
      <c r="BL666" s="181">
        <f ca="1">IF($D666&lt;&gt;"Serviço",0,IF(AND(AUTOEVENTO="Manual",$M666=1),0,IF(OFFSET(CRONOPLE!$F$14,$M666,BL$13)="",10^12,OFFSET(CRONOPLE!$F$14,$M666,BL$13))))</f>
        <v>1000000000000</v>
      </c>
      <c r="BM666" s="181">
        <f ca="1">IF($D666&lt;&gt;"Serviço",0,IF(AND(AUTOEVENTO="Manual",$M666=1),0,IF(OFFSET(CRONOPLE!$F$14,$M666,BM$13)="",10^12,OFFSET(CRONOPLE!$F$14,$M666,BM$13))))</f>
        <v>1000000000000</v>
      </c>
      <c r="BN666" s="181">
        <f ca="1">IF($D666&lt;&gt;"Serviço",0,IF(AND(AUTOEVENTO="Manual",$M666=1),0,IF(OFFSET(CRONOPLE!$F$14,$M666,BN$13)="",10^12,OFFSET(CRONOPLE!$F$14,$M666,BN$13))))</f>
        <v>1000000000000</v>
      </c>
      <c r="BO666" s="181">
        <f ca="1">IF($D666&lt;&gt;"Serviço",0,IF(AND(AUTOEVENTO="Manual",$M666=1),0,IF(OFFSET(CRONOPLE!$F$14,$M666,BO$13)="",10^12,OFFSET(CRONOPLE!$F$14,$M666,BO$13))))</f>
        <v>1000000000000</v>
      </c>
      <c r="BP666" s="181">
        <f ca="1">IF($D666&lt;&gt;"Serviço",0,IF(AND(AUTOEVENTO="Manual",$M666=1),0,IF(OFFSET(CRONOPLE!$F$14,$M666,BP$13)="",10^12,OFFSET(CRONOPLE!$F$14,$M666,BP$13))))</f>
        <v>1000000000000</v>
      </c>
      <c r="BQ666" s="181">
        <f ca="1">IF($D666&lt;&gt;"Serviço",0,IF(AND(AUTOEVENTO="Manual",$M666=1),0,IF(OFFSET(CRONOPLE!$F$14,$M666,BQ$13)="",10^12,OFFSET(CRONOPLE!$F$14,$M666,BQ$13))))</f>
        <v>1000000000000</v>
      </c>
      <c r="BR666" s="181">
        <f ca="1">IF($D666&lt;&gt;"Serviço",0,IF(AND(AUTOEVENTO="Manual",$M666=1),0,IF(OFFSET(CRONOPLE!$F$14,$M666,BR$13)="",10^12,OFFSET(CRONOPLE!$F$14,$M666,BR$13))))</f>
        <v>1000000000000</v>
      </c>
      <c r="BS666" s="181">
        <f ca="1">IF($D666&lt;&gt;"Serviço",0,IF(AND(AUTOEVENTO="Manual",$M666=1),0,IF(OFFSET(CRONOPLE!$F$14,$M666,BS$13)="",10^12,OFFSET(CRONOPLE!$F$14,$M666,BS$13))))</f>
        <v>1000000000000</v>
      </c>
      <c r="BT666" s="181">
        <f ca="1">IF($D666&lt;&gt;"Serviço",0,IF(AND(AUTOEVENTO="Manual",$M666=1),0,IF(OFFSET(CRONOPLE!$F$14,$M666,BT$13)="",10^12,OFFSET(CRONOPLE!$F$14,$M666,BT$13))))</f>
        <v>1000000000000</v>
      </c>
      <c r="BV666" s="182">
        <f ca="1">IF($D666&lt;&gt;"Serviço",0,IF(OR(AND(AUTOEVENTO="Manual",$M666=1),$M666&gt;(ROW(PLE.lastrow)-ROW(PLE.firstrow))),0,IF(OFFSET(PLE!$G$14,$M666,BV$13)="",10^12,OFFSET(PLE!$G$14,$M666,BV$13))))</f>
        <v>1000000000000</v>
      </c>
      <c r="BW666" s="182">
        <f ca="1">IF($D666&lt;&gt;"Serviço",0,IF(OR(AND(AUTOEVENTO="Manual",$M666=1),$M666&gt;(ROW(PLE.lastrow)-ROW(PLE.firstrow))),0,IF(OFFSET(PLE!$G$14,$M666,BW$13)="",10^12,OFFSET(PLE!$G$14,$M666,BW$13))))</f>
        <v>1000000000000</v>
      </c>
      <c r="BX666" s="182">
        <f ca="1">IF($D666&lt;&gt;"Serviço",0,IF(OR(AND(AUTOEVENTO="Manual",$M666=1),$M666&gt;(ROW(PLE.lastrow)-ROW(PLE.firstrow))),0,IF(OFFSET(PLE!$G$14,$M666,BX$13)="",10^12,OFFSET(PLE!$G$14,$M666,BX$13))))</f>
        <v>1000000000000</v>
      </c>
      <c r="BY666" s="182">
        <f ca="1">IF($D666&lt;&gt;"Serviço",0,IF(OR(AND(AUTOEVENTO="Manual",$M666=1),$M666&gt;(ROW(PLE.lastrow)-ROW(PLE.firstrow))),0,IF(OFFSET(PLE!$G$14,$M666,BY$13)="",10^12,OFFSET(PLE!$G$14,$M666,BY$13))))</f>
        <v>1000000000000</v>
      </c>
      <c r="BZ666" s="182">
        <f ca="1">IF($D666&lt;&gt;"Serviço",0,IF(OR(AND(AUTOEVENTO="Manual",$M666=1),$M666&gt;(ROW(PLE.lastrow)-ROW(PLE.firstrow))),0,IF(OFFSET(PLE!$G$14,$M666,BZ$13)="",10^12,OFFSET(PLE!$G$14,$M666,BZ$13))))</f>
        <v>1000000000000</v>
      </c>
      <c r="CA666" s="182">
        <f ca="1">IF($D666&lt;&gt;"Serviço",0,IF(OR(AND(AUTOEVENTO="Manual",$M666=1),$M666&gt;(ROW(PLE.lastrow)-ROW(PLE.firstrow))),0,IF(OFFSET(PLE!$G$14,$M666,CA$13)="",10^12,OFFSET(PLE!$G$14,$M666,CA$13))))</f>
        <v>1000000000000</v>
      </c>
      <c r="CB666" s="182">
        <f ca="1">IF($D666&lt;&gt;"Serviço",0,IF(OR(AND(AUTOEVENTO="Manual",$M666=1),$M666&gt;(ROW(PLE.lastrow)-ROW(PLE.firstrow))),0,IF(OFFSET(PLE!$G$14,$M666,CB$13)="",10^12,OFFSET(PLE!$G$14,$M666,CB$13))))</f>
        <v>1000000000000</v>
      </c>
      <c r="CC666" s="182">
        <f ca="1">IF($D666&lt;&gt;"Serviço",0,IF(OR(AND(AUTOEVENTO="Manual",$M666=1),$M666&gt;(ROW(PLE.lastrow)-ROW(PLE.firstrow))),0,IF(OFFSET(PLE!$G$14,$M666,CC$13)="",10^12,OFFSET(PLE!$G$14,$M666,CC$13))))</f>
        <v>1000000000000</v>
      </c>
      <c r="CD666" s="182">
        <f ca="1">IF($D666&lt;&gt;"Serviço",0,IF(OR(AND(AUTOEVENTO="Manual",$M666=1),$M666&gt;(ROW(PLE.lastrow)-ROW(PLE.firstrow))),0,IF(OFFSET(PLE!$G$14,$M666,CD$13)="",10^12,OFFSET(PLE!$G$14,$M666,CD$13))))</f>
        <v>1000000000000</v>
      </c>
      <c r="CE666" s="182">
        <f ca="1">IF($D666&lt;&gt;"Serviço",0,IF(OR(AND(AUTOEVENTO="Manual",$M666=1),$M666&gt;(ROW(PLE.lastrow)-ROW(PLE.firstrow))),0,IF(OFFSET(PLE!$G$14,$M666,CE$13)="",10^12,OFFSET(PLE!$G$14,$M666,CE$13))))</f>
        <v>1000000000000</v>
      </c>
      <c r="CF666" s="182">
        <f ca="1">IF($D666&lt;&gt;"Serviço",0,IF(OR(AND(AUTOEVENTO="Manual",$M666=1),$M666&gt;(ROW(PLE.lastrow)-ROW(PLE.firstrow))),0,IF(OFFSET(PLE!$G$14,$M666,CF$13)="",10^12,OFFSET(PLE!$G$14,$M666,CF$13))))</f>
        <v>1000000000000</v>
      </c>
      <c r="CG666" s="182">
        <f ca="1">IF($D666&lt;&gt;"Serviço",0,IF(OR(AND(AUTOEVENTO="Manual",$M666=1),$M666&gt;(ROW(PLE.lastrow)-ROW(PLE.firstrow))),0,IF(OFFSET(PLE!$G$14,$M666,CG$13)="",10^12,OFFSET(PLE!$G$14,$M666,CG$13))))</f>
        <v>1000000000000</v>
      </c>
      <c r="CH666" s="182">
        <f ca="1">IF($D666&lt;&gt;"Serviço",0,IF(OR(AND(AUTOEVENTO="Manual",$M666=1),$M666&gt;(ROW(PLE.lastrow)-ROW(PLE.firstrow))),0,IF(OFFSET(PLE!$G$14,$M666,CH$13)="",10^12,OFFSET(PLE!$G$14,$M666,CH$13))))</f>
        <v>1000000000000</v>
      </c>
      <c r="CI666" s="182">
        <f ca="1">IF($D666&lt;&gt;"Serviço",0,IF(OR(AND(AUTOEVENTO="Manual",$M666=1),$M666&gt;(ROW(PLE.lastrow)-ROW(PLE.firstrow))),0,IF(OFFSET(PLE!$G$14,$M666,CI$13)="",10^12,OFFSET(PLE!$G$14,$M666,CI$13))))</f>
        <v>1000000000000</v>
      </c>
      <c r="CJ666" s="182">
        <f ca="1">IF($D666&lt;&gt;"Serviço",0,IF(OR(AND(AUTOEVENTO="Manual",$M666=1),$M666&gt;(ROW(PLE.lastrow)-ROW(PLE.firstrow))),0,IF(OFFSET(PLE!$G$14,$M666,CJ$13)="",10^12,OFFSET(PLE!$G$14,$M666,CJ$13))))</f>
        <v>1000000000000</v>
      </c>
      <c r="CK666" s="182">
        <f ca="1">IF($D666&lt;&gt;"Serviço",0,IF(OR(AND(AUTOEVENTO="Manual",$M666=1),$M666&gt;(ROW(PLE.lastrow)-ROW(PLE.firstrow))),0,IF(OFFSET(PLE!$G$14,$M666,CK$13)="",10^12,OFFSET(PLE!$G$14,$M666,CK$13))))</f>
        <v>1000000000000</v>
      </c>
      <c r="CL666" s="182">
        <f ca="1">IF($D666&lt;&gt;"Serviço",0,IF(OR(AND(AUTOEVENTO="Manual",$M666=1),$M666&gt;(ROW(PLE.lastrow)-ROW(PLE.firstrow))),0,IF(OFFSET(PLE!$G$14,$M666,CL$13)="",10^12,OFFSET(PLE!$G$14,$M666,CL$13))))</f>
        <v>1000000000000</v>
      </c>
      <c r="CM666" s="182">
        <f ca="1">IF($D666&lt;&gt;"Serviço",0,IF(OR(AND(AUTOEVENTO="Manual",$M666=1),$M666&gt;(ROW(PLE.lastrow)-ROW(PLE.firstrow))),0,IF(OFFSET(PLE!$G$14,$M666,CM$13)="",10^12,OFFSET(PLE!$G$14,$M666,CM$13))))</f>
        <v>1000000000000</v>
      </c>
    </row>
    <row r="667" spans="1:91" ht="38.25" x14ac:dyDescent="0.2">
      <c r="A667" s="7" t="str">
        <f t="shared" ca="1" si="19"/>
        <v>645</v>
      </c>
      <c r="B667" s="7" t="str">
        <f ca="1">OFFSET(ORÇAMENTO!C$15,ROW(B667)-ROW(B$15),0)</f>
        <v>S</v>
      </c>
      <c r="C667" s="7" t="str">
        <f ca="1">OFFSET(ORÇAMENTO!L$15,ROW(C667)-ROW(C$15),0)</f>
        <v/>
      </c>
      <c r="D667" s="118" t="str">
        <f ca="1">OFFSET(ORÇAMENTO!N$15,ROW(D667)-ROW(D$15),0)</f>
        <v>Serviço</v>
      </c>
      <c r="E667" s="119" t="str">
        <f ca="1">OFFSET(ORÇAMENTO!O$15,ROW(E667)-ROW(E$15),0)</f>
        <v>-</v>
      </c>
      <c r="F667" s="172" t="str">
        <f ca="1">OFFSET(ORÇAMENTO!R$15,ROW(F667)-ROW(F$15),0)</f>
        <v>(abra o arquivo 'Referência 06-2024.xlsm)</v>
      </c>
      <c r="G667" s="173" t="str">
        <f ca="1">IF($D667&lt;&gt;"Serviço","",OFFSET(ORÇAMENTO!S$15,ROW(G667)-ROW(G$15),0))</f>
        <v>-</v>
      </c>
      <c r="H667" s="124">
        <f ca="1">IF($D667&lt;&gt;"Serviço",0,IF(ACOMPANHAMENTO="BM",ROUND(OFFSET(ORÇAMENTO!AJ$15,ROW(H667)-ROW(H$15),0),15-13*ORÇAMENTO!$AF$7),SUMPRODUCT(($Q$12:$AI$12&lt;&gt;"")*ROUND($Q667:$AI667,15-13*ORÇAMENTO!$AF$7))))</f>
        <v>280</v>
      </c>
      <c r="I667" s="561" t="s">
        <v>1107</v>
      </c>
      <c r="K667" s="174"/>
      <c r="L667" s="175" t="s">
        <v>255</v>
      </c>
      <c r="M667" s="176">
        <f ca="1">IF($D667&lt;&gt;"Serviço","",IF(AUTOEVENTO="manual",$A667,IF(ISERROR(MATCH($A667,$A$15:OFFSET($A667,-1,0),0)),MAX($M$15:OFFSET(M667,-1,0))+1,INDEX($M$15:OFFSET(M667,-1,0),MATCH($A667,$A$15:OFFSET($A667,-1,0),0)))))</f>
        <v>72</v>
      </c>
      <c r="N667" s="177" t="str">
        <f ca="1">IF($D667&lt;&gt;"Serviço","",IF(AUTOEVENTO="Manual",IF($A667=0,"&lt;-- defina o número do agrupador",OFFSET(EVENTOS!$D$14,$A667,0)),OFFSET($F$15,$A667,0)))</f>
        <v>SISTEMA DE PROTEÇÃO CONTRA DESCARGAS ATMOSFÉRICAS (SPDA)</v>
      </c>
      <c r="O667" s="178"/>
      <c r="Q667" s="178">
        <v>280</v>
      </c>
      <c r="R667" s="179"/>
      <c r="S667" s="179"/>
      <c r="T667" s="179"/>
      <c r="U667" s="179"/>
      <c r="V667" s="179"/>
      <c r="W667" s="179"/>
      <c r="X667" s="179"/>
      <c r="Y667" s="179"/>
      <c r="Z667" s="180"/>
      <c r="AA667" s="179"/>
      <c r="AB667" s="179"/>
      <c r="AC667" s="179"/>
      <c r="AD667" s="179"/>
      <c r="AE667" s="179"/>
      <c r="AF667" s="179"/>
      <c r="AG667" s="179"/>
      <c r="AH667" s="180"/>
      <c r="AJ667" s="544">
        <f ca="1">IF(AND($D667="Serviço",AJ$12&lt;&gt;0,$H667&gt;0,OR(AUTOEVENTO&lt;&gt;"manual",$M667&lt;&gt;1)),
IF(Import.TipoArredondamento&lt;&gt;"TransfereGOV",
ROUND(OFFSET($P667,0,AJ$13),15-13*ORÇAMENTO!$AF$7)/$H667*OFFSET(ORÇAMENTO!$X$15,ROW(AJ667)-ROW(AJ$15),0),
ROUND(ROUND(OFFSET($P667,0,AJ$13),15-13*ORÇAMENTO!$AF$7)*OFFSET(ORÇAMENTO!$W$15,ROW(AJ667)-ROW(AJ$15),0),15-13*ORÇAMENTO!$AF$11)),0)</f>
        <v>0</v>
      </c>
      <c r="AK667" s="545">
        <f ca="1">IF(AND($D667="Serviço",AK$12&lt;&gt;0,$H667&gt;0,OR(AUTOEVENTO&lt;&gt;"manual",$M667&lt;&gt;1)),
IF(Import.TipoArredondamento&lt;&gt;"TransfereGOV",
ROUND(OFFSET($P667,0,AK$13),15-13*ORÇAMENTO!$AF$7)/$H667*OFFSET(ORÇAMENTO!$X$15,ROW(AK667)-ROW(AK$15),0),
ROUND(ROUND(OFFSET($P667,0,AK$13),15-13*ORÇAMENTO!$AF$7)*OFFSET(ORÇAMENTO!$W$15,ROW(AK667)-ROW(AK$15),0),15-13*ORÇAMENTO!$AF$11)),0)</f>
        <v>0</v>
      </c>
      <c r="AL667" s="545">
        <f ca="1">IF(AND($D667="Serviço",AL$12&lt;&gt;0,$H667&gt;0,OR(AUTOEVENTO&lt;&gt;"manual",$M667&lt;&gt;1)),
IF(Import.TipoArredondamento&lt;&gt;"TransfereGOV",
ROUND(OFFSET($P667,0,AL$13),15-13*ORÇAMENTO!$AF$7)/$H667*OFFSET(ORÇAMENTO!$X$15,ROW(AL667)-ROW(AL$15),0),
ROUND(ROUND(OFFSET($P667,0,AL$13),15-13*ORÇAMENTO!$AF$7)*OFFSET(ORÇAMENTO!$W$15,ROW(AL667)-ROW(AL$15),0),15-13*ORÇAMENTO!$AF$11)),0)</f>
        <v>0</v>
      </c>
      <c r="AM667" s="545">
        <f ca="1">IF(AND($D667="Serviço",AM$12&lt;&gt;0,$H667&gt;0,OR(AUTOEVENTO&lt;&gt;"manual",$M667&lt;&gt;1)),
IF(Import.TipoArredondamento&lt;&gt;"TransfereGOV",
ROUND(OFFSET($P667,0,AM$13),15-13*ORÇAMENTO!$AF$7)/$H667*OFFSET(ORÇAMENTO!$X$15,ROW(AM667)-ROW(AM$15),0),
ROUND(ROUND(OFFSET($P667,0,AM$13),15-13*ORÇAMENTO!$AF$7)*OFFSET(ORÇAMENTO!$W$15,ROW(AM667)-ROW(AM$15),0),15-13*ORÇAMENTO!$AF$11)),0)</f>
        <v>0</v>
      </c>
      <c r="AN667" s="545">
        <f ca="1">IF(AND($D667="Serviço",AN$12&lt;&gt;0,$H667&gt;0,OR(AUTOEVENTO&lt;&gt;"manual",$M667&lt;&gt;1)),
IF(Import.TipoArredondamento&lt;&gt;"TransfereGOV",
ROUND(OFFSET($P667,0,AN$13),15-13*ORÇAMENTO!$AF$7)/$H667*OFFSET(ORÇAMENTO!$X$15,ROW(AN667)-ROW(AN$15),0),
ROUND(ROUND(OFFSET($P667,0,AN$13),15-13*ORÇAMENTO!$AF$7)*OFFSET(ORÇAMENTO!$W$15,ROW(AN667)-ROW(AN$15),0),15-13*ORÇAMENTO!$AF$11)),0)</f>
        <v>0</v>
      </c>
      <c r="AO667" s="545">
        <f ca="1">IF(AND($D667="Serviço",AO$12&lt;&gt;0,$H667&gt;0,OR(AUTOEVENTO&lt;&gt;"manual",$M667&lt;&gt;1)),
IF(Import.TipoArredondamento&lt;&gt;"TransfereGOV",
ROUND(OFFSET($P667,0,AO$13),15-13*ORÇAMENTO!$AF$7)/$H667*OFFSET(ORÇAMENTO!$X$15,ROW(AO667)-ROW(AO$15),0),
ROUND(ROUND(OFFSET($P667,0,AO$13),15-13*ORÇAMENTO!$AF$7)*OFFSET(ORÇAMENTO!$W$15,ROW(AO667)-ROW(AO$15),0),15-13*ORÇAMENTO!$AF$11)),0)</f>
        <v>0</v>
      </c>
      <c r="AP667" s="545">
        <f ca="1">IF(AND($D667="Serviço",AP$12&lt;&gt;0,$H667&gt;0,OR(AUTOEVENTO&lt;&gt;"manual",$M667&lt;&gt;1)),
IF(Import.TipoArredondamento&lt;&gt;"TransfereGOV",
ROUND(OFFSET($P667,0,AP$13),15-13*ORÇAMENTO!$AF$7)/$H667*OFFSET(ORÇAMENTO!$X$15,ROW(AP667)-ROW(AP$15),0),
ROUND(ROUND(OFFSET($P667,0,AP$13),15-13*ORÇAMENTO!$AF$7)*OFFSET(ORÇAMENTO!$W$15,ROW(AP667)-ROW(AP$15),0),15-13*ORÇAMENTO!$AF$11)),0)</f>
        <v>0</v>
      </c>
      <c r="AQ667" s="545">
        <f ca="1">IF(AND($D667="Serviço",AQ$12&lt;&gt;0,$H667&gt;0,OR(AUTOEVENTO&lt;&gt;"manual",$M667&lt;&gt;1)),
IF(Import.TipoArredondamento&lt;&gt;"TransfereGOV",
ROUND(OFFSET($P667,0,AQ$13),15-13*ORÇAMENTO!$AF$7)/$H667*OFFSET(ORÇAMENTO!$X$15,ROW(AQ667)-ROW(AQ$15),0),
ROUND(ROUND(OFFSET($P667,0,AQ$13),15-13*ORÇAMENTO!$AF$7)*OFFSET(ORÇAMENTO!$W$15,ROW(AQ667)-ROW(AQ$15),0),15-13*ORÇAMENTO!$AF$11)),0)</f>
        <v>0</v>
      </c>
      <c r="AR667" s="545">
        <f ca="1">IF(AND($D667="Serviço",AR$12&lt;&gt;0,$H667&gt;0,OR(AUTOEVENTO&lt;&gt;"manual",$M667&lt;&gt;1)),
IF(Import.TipoArredondamento&lt;&gt;"TransfereGOV",
ROUND(OFFSET($P667,0,AR$13),15-13*ORÇAMENTO!$AF$7)/$H667*OFFSET(ORÇAMENTO!$X$15,ROW(AR667)-ROW(AR$15),0),
ROUND(ROUND(OFFSET($P667,0,AR$13),15-13*ORÇAMENTO!$AF$7)*OFFSET(ORÇAMENTO!$W$15,ROW(AR667)-ROW(AR$15),0),15-13*ORÇAMENTO!$AF$11)),0)</f>
        <v>0</v>
      </c>
      <c r="AS667" s="546">
        <f ca="1">IF(AND($D667="Serviço",AS$12&lt;&gt;0,$H667&gt;0,OR(AUTOEVENTO&lt;&gt;"manual",$M667&lt;&gt;1)),
IF(Import.TipoArredondamento&lt;&gt;"TransfereGOV",
ROUND(OFFSET($P667,0,AS$13),15-13*ORÇAMENTO!$AF$7)/$H667*OFFSET(ORÇAMENTO!$X$15,ROW(AS667)-ROW(AS$15),0),
ROUND(ROUND(OFFSET($P667,0,AS$13),15-13*ORÇAMENTO!$AF$7)*OFFSET(ORÇAMENTO!$W$15,ROW(AS667)-ROW(AS$15),0),15-13*ORÇAMENTO!$AF$11)),0)</f>
        <v>0</v>
      </c>
      <c r="AT667" s="545">
        <f ca="1">IF(AND($D667="Serviço",AT$12&lt;&gt;0,$H667&gt;0,OR(AUTOEVENTO&lt;&gt;"manual",$M667&lt;&gt;1)),
IF(Import.TipoArredondamento&lt;&gt;"TransfereGOV",
ROUND(OFFSET($P667,0,AT$13),15-13*ORÇAMENTO!$AF$7)/$H667*OFFSET(ORÇAMENTO!$X$15,ROW(AT667)-ROW(AT$15),0),
ROUND(ROUND(OFFSET($P667,0,AT$13),15-13*ORÇAMENTO!$AF$7)*OFFSET(ORÇAMENTO!$W$15,ROW(AT667)-ROW(AT$15),0),15-13*ORÇAMENTO!$AF$11)),0)</f>
        <v>0</v>
      </c>
      <c r="AU667" s="545">
        <f ca="1">IF(AND($D667="Serviço",AU$12&lt;&gt;0,$H667&gt;0,OR(AUTOEVENTO&lt;&gt;"manual",$M667&lt;&gt;1)),
IF(Import.TipoArredondamento&lt;&gt;"TransfereGOV",
ROUND(OFFSET($P667,0,AU$13),15-13*ORÇAMENTO!$AF$7)/$H667*OFFSET(ORÇAMENTO!$X$15,ROW(AU667)-ROW(AU$15),0),
ROUND(ROUND(OFFSET($P667,0,AU$13),15-13*ORÇAMENTO!$AF$7)*OFFSET(ORÇAMENTO!$W$15,ROW(AU667)-ROW(AU$15),0),15-13*ORÇAMENTO!$AF$11)),0)</f>
        <v>0</v>
      </c>
      <c r="AV667" s="545">
        <f ca="1">IF(AND($D667="Serviço",AV$12&lt;&gt;0,$H667&gt;0,OR(AUTOEVENTO&lt;&gt;"manual",$M667&lt;&gt;1)),
IF(Import.TipoArredondamento&lt;&gt;"TransfereGOV",
ROUND(OFFSET($P667,0,AV$13),15-13*ORÇAMENTO!$AF$7)/$H667*OFFSET(ORÇAMENTO!$X$15,ROW(AV667)-ROW(AV$15),0),
ROUND(ROUND(OFFSET($P667,0,AV$13),15-13*ORÇAMENTO!$AF$7)*OFFSET(ORÇAMENTO!$W$15,ROW(AV667)-ROW(AV$15),0),15-13*ORÇAMENTO!$AF$11)),0)</f>
        <v>0</v>
      </c>
      <c r="AW667" s="545">
        <f ca="1">IF(AND($D667="Serviço",AW$12&lt;&gt;0,$H667&gt;0,OR(AUTOEVENTO&lt;&gt;"manual",$M667&lt;&gt;1)),
IF(Import.TipoArredondamento&lt;&gt;"TransfereGOV",
ROUND(OFFSET($P667,0,AW$13),15-13*ORÇAMENTO!$AF$7)/$H667*OFFSET(ORÇAMENTO!$X$15,ROW(AW667)-ROW(AW$15),0),
ROUND(ROUND(OFFSET($P667,0,AW$13),15-13*ORÇAMENTO!$AF$7)*OFFSET(ORÇAMENTO!$W$15,ROW(AW667)-ROW(AW$15),0),15-13*ORÇAMENTO!$AF$11)),0)</f>
        <v>0</v>
      </c>
      <c r="AX667" s="545">
        <f ca="1">IF(AND($D667="Serviço",AX$12&lt;&gt;0,$H667&gt;0,OR(AUTOEVENTO&lt;&gt;"manual",$M667&lt;&gt;1)),
IF(Import.TipoArredondamento&lt;&gt;"TransfereGOV",
ROUND(OFFSET($P667,0,AX$13),15-13*ORÇAMENTO!$AF$7)/$H667*OFFSET(ORÇAMENTO!$X$15,ROW(AX667)-ROW(AX$15),0),
ROUND(ROUND(OFFSET($P667,0,AX$13),15-13*ORÇAMENTO!$AF$7)*OFFSET(ORÇAMENTO!$W$15,ROW(AX667)-ROW(AX$15),0),15-13*ORÇAMENTO!$AF$11)),0)</f>
        <v>0</v>
      </c>
      <c r="AY667" s="545">
        <f ca="1">IF(AND($D667="Serviço",AY$12&lt;&gt;0,$H667&gt;0,OR(AUTOEVENTO&lt;&gt;"manual",$M667&lt;&gt;1)),
IF(Import.TipoArredondamento&lt;&gt;"TransfereGOV",
ROUND(OFFSET($P667,0,AY$13),15-13*ORÇAMENTO!$AF$7)/$H667*OFFSET(ORÇAMENTO!$X$15,ROW(AY667)-ROW(AY$15),0),
ROUND(ROUND(OFFSET($P667,0,AY$13),15-13*ORÇAMENTO!$AF$7)*OFFSET(ORÇAMENTO!$W$15,ROW(AY667)-ROW(AY$15),0),15-13*ORÇAMENTO!$AF$11)),0)</f>
        <v>0</v>
      </c>
      <c r="AZ667" s="545">
        <f ca="1">IF(AND($D667="Serviço",AZ$12&lt;&gt;0,$H667&gt;0,OR(AUTOEVENTO&lt;&gt;"manual",$M667&lt;&gt;1)),
IF(Import.TipoArredondamento&lt;&gt;"TransfereGOV",
ROUND(OFFSET($P667,0,AZ$13),15-13*ORÇAMENTO!$AF$7)/$H667*OFFSET(ORÇAMENTO!$X$15,ROW(AZ667)-ROW(AZ$15),0),
ROUND(ROUND(OFFSET($P667,0,AZ$13),15-13*ORÇAMENTO!$AF$7)*OFFSET(ORÇAMENTO!$W$15,ROW(AZ667)-ROW(AZ$15),0),15-13*ORÇAMENTO!$AF$11)),0)</f>
        <v>0</v>
      </c>
      <c r="BA667" s="546">
        <f ca="1">IF(AND($D667="Serviço",BA$12&lt;&gt;0,$H667&gt;0,OR(AUTOEVENTO&lt;&gt;"manual",$M667&lt;&gt;1)),
IF(Import.TipoArredondamento&lt;&gt;"TransfereGOV",
ROUND(OFFSET($P667,0,BA$13),15-13*ORÇAMENTO!$AF$7)/$H667*OFFSET(ORÇAMENTO!$X$15,ROW(BA667)-ROW(BA$15),0),
ROUND(ROUND(OFFSET($P667,0,BA$13),15-13*ORÇAMENTO!$AF$7)*OFFSET(ORÇAMENTO!$W$15,ROW(BA667)-ROW(BA$15),0),15-13*ORÇAMENTO!$AF$11)),0)</f>
        <v>0</v>
      </c>
      <c r="BC667" s="181">
        <f ca="1">IF($D667&lt;&gt;"Serviço",0,IF(AND(AUTOEVENTO="Manual",$M667=1),0,IF(OFFSET(CRONOPLE!$F$14,$M667,BC$13)="",10^12,OFFSET(CRONOPLE!$F$14,$M667,BC$13))))</f>
        <v>11</v>
      </c>
      <c r="BD667" s="181">
        <f ca="1">IF($D667&lt;&gt;"Serviço",0,IF(AND(AUTOEVENTO="Manual",$M667=1),0,IF(OFFSET(CRONOPLE!$F$14,$M667,BD$13)="",10^12,OFFSET(CRONOPLE!$F$14,$M667,BD$13))))</f>
        <v>1000000000000</v>
      </c>
      <c r="BE667" s="181">
        <f ca="1">IF($D667&lt;&gt;"Serviço",0,IF(AND(AUTOEVENTO="Manual",$M667=1),0,IF(OFFSET(CRONOPLE!$F$14,$M667,BE$13)="",10^12,OFFSET(CRONOPLE!$F$14,$M667,BE$13))))</f>
        <v>1000000000000</v>
      </c>
      <c r="BF667" s="181">
        <f ca="1">IF($D667&lt;&gt;"Serviço",0,IF(AND(AUTOEVENTO="Manual",$M667=1),0,IF(OFFSET(CRONOPLE!$F$14,$M667,BF$13)="",10^12,OFFSET(CRONOPLE!$F$14,$M667,BF$13))))</f>
        <v>1000000000000</v>
      </c>
      <c r="BG667" s="181">
        <f ca="1">IF($D667&lt;&gt;"Serviço",0,IF(AND(AUTOEVENTO="Manual",$M667=1),0,IF(OFFSET(CRONOPLE!$F$14,$M667,BG$13)="",10^12,OFFSET(CRONOPLE!$F$14,$M667,BG$13))))</f>
        <v>1000000000000</v>
      </c>
      <c r="BH667" s="181">
        <f ca="1">IF($D667&lt;&gt;"Serviço",0,IF(AND(AUTOEVENTO="Manual",$M667=1),0,IF(OFFSET(CRONOPLE!$F$14,$M667,BH$13)="",10^12,OFFSET(CRONOPLE!$F$14,$M667,BH$13))))</f>
        <v>1000000000000</v>
      </c>
      <c r="BI667" s="181">
        <f ca="1">IF($D667&lt;&gt;"Serviço",0,IF(AND(AUTOEVENTO="Manual",$M667=1),0,IF(OFFSET(CRONOPLE!$F$14,$M667,BI$13)="",10^12,OFFSET(CRONOPLE!$F$14,$M667,BI$13))))</f>
        <v>1000000000000</v>
      </c>
      <c r="BJ667" s="181">
        <f ca="1">IF($D667&lt;&gt;"Serviço",0,IF(AND(AUTOEVENTO="Manual",$M667=1),0,IF(OFFSET(CRONOPLE!$F$14,$M667,BJ$13)="",10^12,OFFSET(CRONOPLE!$F$14,$M667,BJ$13))))</f>
        <v>1000000000000</v>
      </c>
      <c r="BK667" s="181">
        <f ca="1">IF($D667&lt;&gt;"Serviço",0,IF(AND(AUTOEVENTO="Manual",$M667=1),0,IF(OFFSET(CRONOPLE!$F$14,$M667,BK$13)="",10^12,OFFSET(CRONOPLE!$F$14,$M667,BK$13))))</f>
        <v>1000000000000</v>
      </c>
      <c r="BL667" s="181">
        <f ca="1">IF($D667&lt;&gt;"Serviço",0,IF(AND(AUTOEVENTO="Manual",$M667=1),0,IF(OFFSET(CRONOPLE!$F$14,$M667,BL$13)="",10^12,OFFSET(CRONOPLE!$F$14,$M667,BL$13))))</f>
        <v>1000000000000</v>
      </c>
      <c r="BM667" s="181">
        <f ca="1">IF($D667&lt;&gt;"Serviço",0,IF(AND(AUTOEVENTO="Manual",$M667=1),0,IF(OFFSET(CRONOPLE!$F$14,$M667,BM$13)="",10^12,OFFSET(CRONOPLE!$F$14,$M667,BM$13))))</f>
        <v>1000000000000</v>
      </c>
      <c r="BN667" s="181">
        <f ca="1">IF($D667&lt;&gt;"Serviço",0,IF(AND(AUTOEVENTO="Manual",$M667=1),0,IF(OFFSET(CRONOPLE!$F$14,$M667,BN$13)="",10^12,OFFSET(CRONOPLE!$F$14,$M667,BN$13))))</f>
        <v>1000000000000</v>
      </c>
      <c r="BO667" s="181">
        <f ca="1">IF($D667&lt;&gt;"Serviço",0,IF(AND(AUTOEVENTO="Manual",$M667=1),0,IF(OFFSET(CRONOPLE!$F$14,$M667,BO$13)="",10^12,OFFSET(CRONOPLE!$F$14,$M667,BO$13))))</f>
        <v>1000000000000</v>
      </c>
      <c r="BP667" s="181">
        <f ca="1">IF($D667&lt;&gt;"Serviço",0,IF(AND(AUTOEVENTO="Manual",$M667=1),0,IF(OFFSET(CRONOPLE!$F$14,$M667,BP$13)="",10^12,OFFSET(CRONOPLE!$F$14,$M667,BP$13))))</f>
        <v>1000000000000</v>
      </c>
      <c r="BQ667" s="181">
        <f ca="1">IF($D667&lt;&gt;"Serviço",0,IF(AND(AUTOEVENTO="Manual",$M667=1),0,IF(OFFSET(CRONOPLE!$F$14,$M667,BQ$13)="",10^12,OFFSET(CRONOPLE!$F$14,$M667,BQ$13))))</f>
        <v>1000000000000</v>
      </c>
      <c r="BR667" s="181">
        <f ca="1">IF($D667&lt;&gt;"Serviço",0,IF(AND(AUTOEVENTO="Manual",$M667=1),0,IF(OFFSET(CRONOPLE!$F$14,$M667,BR$13)="",10^12,OFFSET(CRONOPLE!$F$14,$M667,BR$13))))</f>
        <v>1000000000000</v>
      </c>
      <c r="BS667" s="181">
        <f ca="1">IF($D667&lt;&gt;"Serviço",0,IF(AND(AUTOEVENTO="Manual",$M667=1),0,IF(OFFSET(CRONOPLE!$F$14,$M667,BS$13)="",10^12,OFFSET(CRONOPLE!$F$14,$M667,BS$13))))</f>
        <v>1000000000000</v>
      </c>
      <c r="BT667" s="181">
        <f ca="1">IF($D667&lt;&gt;"Serviço",0,IF(AND(AUTOEVENTO="Manual",$M667=1),0,IF(OFFSET(CRONOPLE!$F$14,$M667,BT$13)="",10^12,OFFSET(CRONOPLE!$F$14,$M667,BT$13))))</f>
        <v>1000000000000</v>
      </c>
      <c r="BV667" s="182">
        <f ca="1">IF($D667&lt;&gt;"Serviço",0,IF(OR(AND(AUTOEVENTO="Manual",$M667=1),$M667&gt;(ROW(PLE.lastrow)-ROW(PLE.firstrow))),0,IF(OFFSET(PLE!$G$14,$M667,BV$13)="",10^12,OFFSET(PLE!$G$14,$M667,BV$13))))</f>
        <v>1000000000000</v>
      </c>
      <c r="BW667" s="182">
        <f ca="1">IF($D667&lt;&gt;"Serviço",0,IF(OR(AND(AUTOEVENTO="Manual",$M667=1),$M667&gt;(ROW(PLE.lastrow)-ROW(PLE.firstrow))),0,IF(OFFSET(PLE!$G$14,$M667,BW$13)="",10^12,OFFSET(PLE!$G$14,$M667,BW$13))))</f>
        <v>1000000000000</v>
      </c>
      <c r="BX667" s="182">
        <f ca="1">IF($D667&lt;&gt;"Serviço",0,IF(OR(AND(AUTOEVENTO="Manual",$M667=1),$M667&gt;(ROW(PLE.lastrow)-ROW(PLE.firstrow))),0,IF(OFFSET(PLE!$G$14,$M667,BX$13)="",10^12,OFFSET(PLE!$G$14,$M667,BX$13))))</f>
        <v>1000000000000</v>
      </c>
      <c r="BY667" s="182">
        <f ca="1">IF($D667&lt;&gt;"Serviço",0,IF(OR(AND(AUTOEVENTO="Manual",$M667=1),$M667&gt;(ROW(PLE.lastrow)-ROW(PLE.firstrow))),0,IF(OFFSET(PLE!$G$14,$M667,BY$13)="",10^12,OFFSET(PLE!$G$14,$M667,BY$13))))</f>
        <v>1000000000000</v>
      </c>
      <c r="BZ667" s="182">
        <f ca="1">IF($D667&lt;&gt;"Serviço",0,IF(OR(AND(AUTOEVENTO="Manual",$M667=1),$M667&gt;(ROW(PLE.lastrow)-ROW(PLE.firstrow))),0,IF(OFFSET(PLE!$G$14,$M667,BZ$13)="",10^12,OFFSET(PLE!$G$14,$M667,BZ$13))))</f>
        <v>1000000000000</v>
      </c>
      <c r="CA667" s="182">
        <f ca="1">IF($D667&lt;&gt;"Serviço",0,IF(OR(AND(AUTOEVENTO="Manual",$M667=1),$M667&gt;(ROW(PLE.lastrow)-ROW(PLE.firstrow))),0,IF(OFFSET(PLE!$G$14,$M667,CA$13)="",10^12,OFFSET(PLE!$G$14,$M667,CA$13))))</f>
        <v>1000000000000</v>
      </c>
      <c r="CB667" s="182">
        <f ca="1">IF($D667&lt;&gt;"Serviço",0,IF(OR(AND(AUTOEVENTO="Manual",$M667=1),$M667&gt;(ROW(PLE.lastrow)-ROW(PLE.firstrow))),0,IF(OFFSET(PLE!$G$14,$M667,CB$13)="",10^12,OFFSET(PLE!$G$14,$M667,CB$13))))</f>
        <v>1000000000000</v>
      </c>
      <c r="CC667" s="182">
        <f ca="1">IF($D667&lt;&gt;"Serviço",0,IF(OR(AND(AUTOEVENTO="Manual",$M667=1),$M667&gt;(ROW(PLE.lastrow)-ROW(PLE.firstrow))),0,IF(OFFSET(PLE!$G$14,$M667,CC$13)="",10^12,OFFSET(PLE!$G$14,$M667,CC$13))))</f>
        <v>1000000000000</v>
      </c>
      <c r="CD667" s="182">
        <f ca="1">IF($D667&lt;&gt;"Serviço",0,IF(OR(AND(AUTOEVENTO="Manual",$M667=1),$M667&gt;(ROW(PLE.lastrow)-ROW(PLE.firstrow))),0,IF(OFFSET(PLE!$G$14,$M667,CD$13)="",10^12,OFFSET(PLE!$G$14,$M667,CD$13))))</f>
        <v>1000000000000</v>
      </c>
      <c r="CE667" s="182">
        <f ca="1">IF($D667&lt;&gt;"Serviço",0,IF(OR(AND(AUTOEVENTO="Manual",$M667=1),$M667&gt;(ROW(PLE.lastrow)-ROW(PLE.firstrow))),0,IF(OFFSET(PLE!$G$14,$M667,CE$13)="",10^12,OFFSET(PLE!$G$14,$M667,CE$13))))</f>
        <v>1000000000000</v>
      </c>
      <c r="CF667" s="182">
        <f ca="1">IF($D667&lt;&gt;"Serviço",0,IF(OR(AND(AUTOEVENTO="Manual",$M667=1),$M667&gt;(ROW(PLE.lastrow)-ROW(PLE.firstrow))),0,IF(OFFSET(PLE!$G$14,$M667,CF$13)="",10^12,OFFSET(PLE!$G$14,$M667,CF$13))))</f>
        <v>1000000000000</v>
      </c>
      <c r="CG667" s="182">
        <f ca="1">IF($D667&lt;&gt;"Serviço",0,IF(OR(AND(AUTOEVENTO="Manual",$M667=1),$M667&gt;(ROW(PLE.lastrow)-ROW(PLE.firstrow))),0,IF(OFFSET(PLE!$G$14,$M667,CG$13)="",10^12,OFFSET(PLE!$G$14,$M667,CG$13))))</f>
        <v>1000000000000</v>
      </c>
      <c r="CH667" s="182">
        <f ca="1">IF($D667&lt;&gt;"Serviço",0,IF(OR(AND(AUTOEVENTO="Manual",$M667=1),$M667&gt;(ROW(PLE.lastrow)-ROW(PLE.firstrow))),0,IF(OFFSET(PLE!$G$14,$M667,CH$13)="",10^12,OFFSET(PLE!$G$14,$M667,CH$13))))</f>
        <v>1000000000000</v>
      </c>
      <c r="CI667" s="182">
        <f ca="1">IF($D667&lt;&gt;"Serviço",0,IF(OR(AND(AUTOEVENTO="Manual",$M667=1),$M667&gt;(ROW(PLE.lastrow)-ROW(PLE.firstrow))),0,IF(OFFSET(PLE!$G$14,$M667,CI$13)="",10^12,OFFSET(PLE!$G$14,$M667,CI$13))))</f>
        <v>1000000000000</v>
      </c>
      <c r="CJ667" s="182">
        <f ca="1">IF($D667&lt;&gt;"Serviço",0,IF(OR(AND(AUTOEVENTO="Manual",$M667=1),$M667&gt;(ROW(PLE.lastrow)-ROW(PLE.firstrow))),0,IF(OFFSET(PLE!$G$14,$M667,CJ$13)="",10^12,OFFSET(PLE!$G$14,$M667,CJ$13))))</f>
        <v>1000000000000</v>
      </c>
      <c r="CK667" s="182">
        <f ca="1">IF($D667&lt;&gt;"Serviço",0,IF(OR(AND(AUTOEVENTO="Manual",$M667=1),$M667&gt;(ROW(PLE.lastrow)-ROW(PLE.firstrow))),0,IF(OFFSET(PLE!$G$14,$M667,CK$13)="",10^12,OFFSET(PLE!$G$14,$M667,CK$13))))</f>
        <v>1000000000000</v>
      </c>
      <c r="CL667" s="182">
        <f ca="1">IF($D667&lt;&gt;"Serviço",0,IF(OR(AND(AUTOEVENTO="Manual",$M667=1),$M667&gt;(ROW(PLE.lastrow)-ROW(PLE.firstrow))),0,IF(OFFSET(PLE!$G$14,$M667,CL$13)="",10^12,OFFSET(PLE!$G$14,$M667,CL$13))))</f>
        <v>1000000000000</v>
      </c>
      <c r="CM667" s="182">
        <f ca="1">IF($D667&lt;&gt;"Serviço",0,IF(OR(AND(AUTOEVENTO="Manual",$M667=1),$M667&gt;(ROW(PLE.lastrow)-ROW(PLE.firstrow))),0,IF(OFFSET(PLE!$G$14,$M667,CM$13)="",10^12,OFFSET(PLE!$G$14,$M667,CM$13))))</f>
        <v>1000000000000</v>
      </c>
    </row>
    <row r="668" spans="1:91" ht="12.75" x14ac:dyDescent="0.2">
      <c r="A668" s="7" t="str">
        <f t="shared" ca="1" si="19"/>
        <v>653.</v>
      </c>
      <c r="B668" s="7">
        <f ca="1">OFFSET(ORÇAMENTO!C$15,ROW(B668)-ROW(B$15),0)</f>
        <v>2</v>
      </c>
      <c r="C668" s="7" t="str">
        <f ca="1">OFFSET(ORÇAMENTO!L$15,ROW(C668)-ROW(C$15),0)</f>
        <v>F</v>
      </c>
      <c r="D668" s="118" t="str">
        <f ca="1">OFFSET(ORÇAMENTO!N$15,ROW(D668)-ROW(D$15),0)</f>
        <v>Nível 2</v>
      </c>
      <c r="E668" s="119" t="str">
        <f ca="1">OFFSET(ORÇAMENTO!O$15,ROW(E668)-ROW(E$15),0)</f>
        <v>1.72.</v>
      </c>
      <c r="F668" s="172" t="str">
        <f ca="1">OFFSET(ORÇAMENTO!R$15,ROW(F668)-ROW(F$15),0)</f>
        <v>SERVIÇOS COMPLEMENTARES</v>
      </c>
      <c r="G668" s="173" t="str">
        <f ca="1">IF($D668&lt;&gt;"Serviço","",OFFSET(ORÇAMENTO!S$15,ROW(G668)-ROW(G$15),0))</f>
        <v/>
      </c>
      <c r="H668" s="124">
        <f ca="1">IF($D668&lt;&gt;"Serviço",0,IF(ACOMPANHAMENTO="BM",ROUND(OFFSET(ORÇAMENTO!AJ$15,ROW(H668)-ROW(H$15),0),15-13*ORÇAMENTO!$AF$7),SUMPRODUCT(($Q$12:$AI$12&lt;&gt;"")*ROUND($Q668:$AI668,15-13*ORÇAMENTO!$AF$7))))</f>
        <v>0</v>
      </c>
      <c r="I668" s="561"/>
      <c r="K668" s="174"/>
      <c r="L668" s="175" t="s">
        <v>255</v>
      </c>
      <c r="M668" s="176" t="str">
        <f ca="1">IF($D668&lt;&gt;"Serviço","",IF(AUTOEVENTO="manual",$A668,IF(ISERROR(MATCH($A668,$A$15:OFFSET($A668,-1,0),0)),MAX($M$15:OFFSET(M668,-1,0))+1,INDEX($M$15:OFFSET(M668,-1,0),MATCH($A668,$A$15:OFFSET($A668,-1,0),0)))))</f>
        <v/>
      </c>
      <c r="N668" s="177" t="str">
        <f ca="1">IF($D668&lt;&gt;"Serviço","",IF(AUTOEVENTO="Manual",IF($A668=0,"&lt;-- defina o número do agrupador",OFFSET(EVENTOS!$D$14,$A668,0)),OFFSET($F$15,$A668,0)))</f>
        <v/>
      </c>
      <c r="O668" s="178"/>
      <c r="Q668" s="178">
        <v>0</v>
      </c>
      <c r="R668" s="179"/>
      <c r="S668" s="179"/>
      <c r="T668" s="179"/>
      <c r="U668" s="179"/>
      <c r="V668" s="179"/>
      <c r="W668" s="179"/>
      <c r="X668" s="179"/>
      <c r="Y668" s="179"/>
      <c r="Z668" s="180"/>
      <c r="AA668" s="179"/>
      <c r="AB668" s="179"/>
      <c r="AC668" s="179"/>
      <c r="AD668" s="179"/>
      <c r="AE668" s="179"/>
      <c r="AF668" s="179"/>
      <c r="AG668" s="179"/>
      <c r="AH668" s="180"/>
      <c r="AJ668" s="544">
        <f ca="1">IF(AND($D668="Serviço",AJ$12&lt;&gt;0,$H668&gt;0,OR(AUTOEVENTO&lt;&gt;"manual",$M668&lt;&gt;1)),
IF(Import.TipoArredondamento&lt;&gt;"TransfereGOV",
ROUND(OFFSET($P668,0,AJ$13),15-13*ORÇAMENTO!$AF$7)/$H668*OFFSET(ORÇAMENTO!$X$15,ROW(AJ668)-ROW(AJ$15),0),
ROUND(ROUND(OFFSET($P668,0,AJ$13),15-13*ORÇAMENTO!$AF$7)*OFFSET(ORÇAMENTO!$W$15,ROW(AJ668)-ROW(AJ$15),0),15-13*ORÇAMENTO!$AF$11)),0)</f>
        <v>0</v>
      </c>
      <c r="AK668" s="545">
        <f ca="1">IF(AND($D668="Serviço",AK$12&lt;&gt;0,$H668&gt;0,OR(AUTOEVENTO&lt;&gt;"manual",$M668&lt;&gt;1)),
IF(Import.TipoArredondamento&lt;&gt;"TransfereGOV",
ROUND(OFFSET($P668,0,AK$13),15-13*ORÇAMENTO!$AF$7)/$H668*OFFSET(ORÇAMENTO!$X$15,ROW(AK668)-ROW(AK$15),0),
ROUND(ROUND(OFFSET($P668,0,AK$13),15-13*ORÇAMENTO!$AF$7)*OFFSET(ORÇAMENTO!$W$15,ROW(AK668)-ROW(AK$15),0),15-13*ORÇAMENTO!$AF$11)),0)</f>
        <v>0</v>
      </c>
      <c r="AL668" s="545">
        <f ca="1">IF(AND($D668="Serviço",AL$12&lt;&gt;0,$H668&gt;0,OR(AUTOEVENTO&lt;&gt;"manual",$M668&lt;&gt;1)),
IF(Import.TipoArredondamento&lt;&gt;"TransfereGOV",
ROUND(OFFSET($P668,0,AL$13),15-13*ORÇAMENTO!$AF$7)/$H668*OFFSET(ORÇAMENTO!$X$15,ROW(AL668)-ROW(AL$15),0),
ROUND(ROUND(OFFSET($P668,0,AL$13),15-13*ORÇAMENTO!$AF$7)*OFFSET(ORÇAMENTO!$W$15,ROW(AL668)-ROW(AL$15),0),15-13*ORÇAMENTO!$AF$11)),0)</f>
        <v>0</v>
      </c>
      <c r="AM668" s="545">
        <f ca="1">IF(AND($D668="Serviço",AM$12&lt;&gt;0,$H668&gt;0,OR(AUTOEVENTO&lt;&gt;"manual",$M668&lt;&gt;1)),
IF(Import.TipoArredondamento&lt;&gt;"TransfereGOV",
ROUND(OFFSET($P668,0,AM$13),15-13*ORÇAMENTO!$AF$7)/$H668*OFFSET(ORÇAMENTO!$X$15,ROW(AM668)-ROW(AM$15),0),
ROUND(ROUND(OFFSET($P668,0,AM$13),15-13*ORÇAMENTO!$AF$7)*OFFSET(ORÇAMENTO!$W$15,ROW(AM668)-ROW(AM$15),0),15-13*ORÇAMENTO!$AF$11)),0)</f>
        <v>0</v>
      </c>
      <c r="AN668" s="545">
        <f ca="1">IF(AND($D668="Serviço",AN$12&lt;&gt;0,$H668&gt;0,OR(AUTOEVENTO&lt;&gt;"manual",$M668&lt;&gt;1)),
IF(Import.TipoArredondamento&lt;&gt;"TransfereGOV",
ROUND(OFFSET($P668,0,AN$13),15-13*ORÇAMENTO!$AF$7)/$H668*OFFSET(ORÇAMENTO!$X$15,ROW(AN668)-ROW(AN$15),0),
ROUND(ROUND(OFFSET($P668,0,AN$13),15-13*ORÇAMENTO!$AF$7)*OFFSET(ORÇAMENTO!$W$15,ROW(AN668)-ROW(AN$15),0),15-13*ORÇAMENTO!$AF$11)),0)</f>
        <v>0</v>
      </c>
      <c r="AO668" s="545">
        <f ca="1">IF(AND($D668="Serviço",AO$12&lt;&gt;0,$H668&gt;0,OR(AUTOEVENTO&lt;&gt;"manual",$M668&lt;&gt;1)),
IF(Import.TipoArredondamento&lt;&gt;"TransfereGOV",
ROUND(OFFSET($P668,0,AO$13),15-13*ORÇAMENTO!$AF$7)/$H668*OFFSET(ORÇAMENTO!$X$15,ROW(AO668)-ROW(AO$15),0),
ROUND(ROUND(OFFSET($P668,0,AO$13),15-13*ORÇAMENTO!$AF$7)*OFFSET(ORÇAMENTO!$W$15,ROW(AO668)-ROW(AO$15),0),15-13*ORÇAMENTO!$AF$11)),0)</f>
        <v>0</v>
      </c>
      <c r="AP668" s="545">
        <f ca="1">IF(AND($D668="Serviço",AP$12&lt;&gt;0,$H668&gt;0,OR(AUTOEVENTO&lt;&gt;"manual",$M668&lt;&gt;1)),
IF(Import.TipoArredondamento&lt;&gt;"TransfereGOV",
ROUND(OFFSET($P668,0,AP$13),15-13*ORÇAMENTO!$AF$7)/$H668*OFFSET(ORÇAMENTO!$X$15,ROW(AP668)-ROW(AP$15),0),
ROUND(ROUND(OFFSET($P668,0,AP$13),15-13*ORÇAMENTO!$AF$7)*OFFSET(ORÇAMENTO!$W$15,ROW(AP668)-ROW(AP$15),0),15-13*ORÇAMENTO!$AF$11)),0)</f>
        <v>0</v>
      </c>
      <c r="AQ668" s="545">
        <f ca="1">IF(AND($D668="Serviço",AQ$12&lt;&gt;0,$H668&gt;0,OR(AUTOEVENTO&lt;&gt;"manual",$M668&lt;&gt;1)),
IF(Import.TipoArredondamento&lt;&gt;"TransfereGOV",
ROUND(OFFSET($P668,0,AQ$13),15-13*ORÇAMENTO!$AF$7)/$H668*OFFSET(ORÇAMENTO!$X$15,ROW(AQ668)-ROW(AQ$15),0),
ROUND(ROUND(OFFSET($P668,0,AQ$13),15-13*ORÇAMENTO!$AF$7)*OFFSET(ORÇAMENTO!$W$15,ROW(AQ668)-ROW(AQ$15),0),15-13*ORÇAMENTO!$AF$11)),0)</f>
        <v>0</v>
      </c>
      <c r="AR668" s="545">
        <f ca="1">IF(AND($D668="Serviço",AR$12&lt;&gt;0,$H668&gt;0,OR(AUTOEVENTO&lt;&gt;"manual",$M668&lt;&gt;1)),
IF(Import.TipoArredondamento&lt;&gt;"TransfereGOV",
ROUND(OFFSET($P668,0,AR$13),15-13*ORÇAMENTO!$AF$7)/$H668*OFFSET(ORÇAMENTO!$X$15,ROW(AR668)-ROW(AR$15),0),
ROUND(ROUND(OFFSET($P668,0,AR$13),15-13*ORÇAMENTO!$AF$7)*OFFSET(ORÇAMENTO!$W$15,ROW(AR668)-ROW(AR$15),0),15-13*ORÇAMENTO!$AF$11)),0)</f>
        <v>0</v>
      </c>
      <c r="AS668" s="546">
        <f ca="1">IF(AND($D668="Serviço",AS$12&lt;&gt;0,$H668&gt;0,OR(AUTOEVENTO&lt;&gt;"manual",$M668&lt;&gt;1)),
IF(Import.TipoArredondamento&lt;&gt;"TransfereGOV",
ROUND(OFFSET($P668,0,AS$13),15-13*ORÇAMENTO!$AF$7)/$H668*OFFSET(ORÇAMENTO!$X$15,ROW(AS668)-ROW(AS$15),0),
ROUND(ROUND(OFFSET($P668,0,AS$13),15-13*ORÇAMENTO!$AF$7)*OFFSET(ORÇAMENTO!$W$15,ROW(AS668)-ROW(AS$15),0),15-13*ORÇAMENTO!$AF$11)),0)</f>
        <v>0</v>
      </c>
      <c r="AT668" s="545">
        <f ca="1">IF(AND($D668="Serviço",AT$12&lt;&gt;0,$H668&gt;0,OR(AUTOEVENTO&lt;&gt;"manual",$M668&lt;&gt;1)),
IF(Import.TipoArredondamento&lt;&gt;"TransfereGOV",
ROUND(OFFSET($P668,0,AT$13),15-13*ORÇAMENTO!$AF$7)/$H668*OFFSET(ORÇAMENTO!$X$15,ROW(AT668)-ROW(AT$15),0),
ROUND(ROUND(OFFSET($P668,0,AT$13),15-13*ORÇAMENTO!$AF$7)*OFFSET(ORÇAMENTO!$W$15,ROW(AT668)-ROW(AT$15),0),15-13*ORÇAMENTO!$AF$11)),0)</f>
        <v>0</v>
      </c>
      <c r="AU668" s="545">
        <f ca="1">IF(AND($D668="Serviço",AU$12&lt;&gt;0,$H668&gt;0,OR(AUTOEVENTO&lt;&gt;"manual",$M668&lt;&gt;1)),
IF(Import.TipoArredondamento&lt;&gt;"TransfereGOV",
ROUND(OFFSET($P668,0,AU$13),15-13*ORÇAMENTO!$AF$7)/$H668*OFFSET(ORÇAMENTO!$X$15,ROW(AU668)-ROW(AU$15),0),
ROUND(ROUND(OFFSET($P668,0,AU$13),15-13*ORÇAMENTO!$AF$7)*OFFSET(ORÇAMENTO!$W$15,ROW(AU668)-ROW(AU$15),0),15-13*ORÇAMENTO!$AF$11)),0)</f>
        <v>0</v>
      </c>
      <c r="AV668" s="545">
        <f ca="1">IF(AND($D668="Serviço",AV$12&lt;&gt;0,$H668&gt;0,OR(AUTOEVENTO&lt;&gt;"manual",$M668&lt;&gt;1)),
IF(Import.TipoArredondamento&lt;&gt;"TransfereGOV",
ROUND(OFFSET($P668,0,AV$13),15-13*ORÇAMENTO!$AF$7)/$H668*OFFSET(ORÇAMENTO!$X$15,ROW(AV668)-ROW(AV$15),0),
ROUND(ROUND(OFFSET($P668,0,AV$13),15-13*ORÇAMENTO!$AF$7)*OFFSET(ORÇAMENTO!$W$15,ROW(AV668)-ROW(AV$15),0),15-13*ORÇAMENTO!$AF$11)),0)</f>
        <v>0</v>
      </c>
      <c r="AW668" s="545">
        <f ca="1">IF(AND($D668="Serviço",AW$12&lt;&gt;0,$H668&gt;0,OR(AUTOEVENTO&lt;&gt;"manual",$M668&lt;&gt;1)),
IF(Import.TipoArredondamento&lt;&gt;"TransfereGOV",
ROUND(OFFSET($P668,0,AW$13),15-13*ORÇAMENTO!$AF$7)/$H668*OFFSET(ORÇAMENTO!$X$15,ROW(AW668)-ROW(AW$15),0),
ROUND(ROUND(OFFSET($P668,0,AW$13),15-13*ORÇAMENTO!$AF$7)*OFFSET(ORÇAMENTO!$W$15,ROW(AW668)-ROW(AW$15),0),15-13*ORÇAMENTO!$AF$11)),0)</f>
        <v>0</v>
      </c>
      <c r="AX668" s="545">
        <f ca="1">IF(AND($D668="Serviço",AX$12&lt;&gt;0,$H668&gt;0,OR(AUTOEVENTO&lt;&gt;"manual",$M668&lt;&gt;1)),
IF(Import.TipoArredondamento&lt;&gt;"TransfereGOV",
ROUND(OFFSET($P668,0,AX$13),15-13*ORÇAMENTO!$AF$7)/$H668*OFFSET(ORÇAMENTO!$X$15,ROW(AX668)-ROW(AX$15),0),
ROUND(ROUND(OFFSET($P668,0,AX$13),15-13*ORÇAMENTO!$AF$7)*OFFSET(ORÇAMENTO!$W$15,ROW(AX668)-ROW(AX$15),0),15-13*ORÇAMENTO!$AF$11)),0)</f>
        <v>0</v>
      </c>
      <c r="AY668" s="545">
        <f ca="1">IF(AND($D668="Serviço",AY$12&lt;&gt;0,$H668&gt;0,OR(AUTOEVENTO&lt;&gt;"manual",$M668&lt;&gt;1)),
IF(Import.TipoArredondamento&lt;&gt;"TransfereGOV",
ROUND(OFFSET($P668,0,AY$13),15-13*ORÇAMENTO!$AF$7)/$H668*OFFSET(ORÇAMENTO!$X$15,ROW(AY668)-ROW(AY$15),0),
ROUND(ROUND(OFFSET($P668,0,AY$13),15-13*ORÇAMENTO!$AF$7)*OFFSET(ORÇAMENTO!$W$15,ROW(AY668)-ROW(AY$15),0),15-13*ORÇAMENTO!$AF$11)),0)</f>
        <v>0</v>
      </c>
      <c r="AZ668" s="545">
        <f ca="1">IF(AND($D668="Serviço",AZ$12&lt;&gt;0,$H668&gt;0,OR(AUTOEVENTO&lt;&gt;"manual",$M668&lt;&gt;1)),
IF(Import.TipoArredondamento&lt;&gt;"TransfereGOV",
ROUND(OFFSET($P668,0,AZ$13),15-13*ORÇAMENTO!$AF$7)/$H668*OFFSET(ORÇAMENTO!$X$15,ROW(AZ668)-ROW(AZ$15),0),
ROUND(ROUND(OFFSET($P668,0,AZ$13),15-13*ORÇAMENTO!$AF$7)*OFFSET(ORÇAMENTO!$W$15,ROW(AZ668)-ROW(AZ$15),0),15-13*ORÇAMENTO!$AF$11)),0)</f>
        <v>0</v>
      </c>
      <c r="BA668" s="546">
        <f ca="1">IF(AND($D668="Serviço",BA$12&lt;&gt;0,$H668&gt;0,OR(AUTOEVENTO&lt;&gt;"manual",$M668&lt;&gt;1)),
IF(Import.TipoArredondamento&lt;&gt;"TransfereGOV",
ROUND(OFFSET($P668,0,BA$13),15-13*ORÇAMENTO!$AF$7)/$H668*OFFSET(ORÇAMENTO!$X$15,ROW(BA668)-ROW(BA$15),0),
ROUND(ROUND(OFFSET($P668,0,BA$13),15-13*ORÇAMENTO!$AF$7)*OFFSET(ORÇAMENTO!$W$15,ROW(BA668)-ROW(BA$15),0),15-13*ORÇAMENTO!$AF$11)),0)</f>
        <v>0</v>
      </c>
      <c r="BC668" s="181">
        <f ca="1">IF($D668&lt;&gt;"Serviço",0,IF(AND(AUTOEVENTO="Manual",$M668=1),0,IF(OFFSET(CRONOPLE!$F$14,$M668,BC$13)="",10^12,OFFSET(CRONOPLE!$F$14,$M668,BC$13))))</f>
        <v>0</v>
      </c>
      <c r="BD668" s="181">
        <f ca="1">IF($D668&lt;&gt;"Serviço",0,IF(AND(AUTOEVENTO="Manual",$M668=1),0,IF(OFFSET(CRONOPLE!$F$14,$M668,BD$13)="",10^12,OFFSET(CRONOPLE!$F$14,$M668,BD$13))))</f>
        <v>0</v>
      </c>
      <c r="BE668" s="181">
        <f ca="1">IF($D668&lt;&gt;"Serviço",0,IF(AND(AUTOEVENTO="Manual",$M668=1),0,IF(OFFSET(CRONOPLE!$F$14,$M668,BE$13)="",10^12,OFFSET(CRONOPLE!$F$14,$M668,BE$13))))</f>
        <v>0</v>
      </c>
      <c r="BF668" s="181">
        <f ca="1">IF($D668&lt;&gt;"Serviço",0,IF(AND(AUTOEVENTO="Manual",$M668=1),0,IF(OFFSET(CRONOPLE!$F$14,$M668,BF$13)="",10^12,OFFSET(CRONOPLE!$F$14,$M668,BF$13))))</f>
        <v>0</v>
      </c>
      <c r="BG668" s="181">
        <f ca="1">IF($D668&lt;&gt;"Serviço",0,IF(AND(AUTOEVENTO="Manual",$M668=1),0,IF(OFFSET(CRONOPLE!$F$14,$M668,BG$13)="",10^12,OFFSET(CRONOPLE!$F$14,$M668,BG$13))))</f>
        <v>0</v>
      </c>
      <c r="BH668" s="181">
        <f ca="1">IF($D668&lt;&gt;"Serviço",0,IF(AND(AUTOEVENTO="Manual",$M668=1),0,IF(OFFSET(CRONOPLE!$F$14,$M668,BH$13)="",10^12,OFFSET(CRONOPLE!$F$14,$M668,BH$13))))</f>
        <v>0</v>
      </c>
      <c r="BI668" s="181">
        <f ca="1">IF($D668&lt;&gt;"Serviço",0,IF(AND(AUTOEVENTO="Manual",$M668=1),0,IF(OFFSET(CRONOPLE!$F$14,$M668,BI$13)="",10^12,OFFSET(CRONOPLE!$F$14,$M668,BI$13))))</f>
        <v>0</v>
      </c>
      <c r="BJ668" s="181">
        <f ca="1">IF($D668&lt;&gt;"Serviço",0,IF(AND(AUTOEVENTO="Manual",$M668=1),0,IF(OFFSET(CRONOPLE!$F$14,$M668,BJ$13)="",10^12,OFFSET(CRONOPLE!$F$14,$M668,BJ$13))))</f>
        <v>0</v>
      </c>
      <c r="BK668" s="181">
        <f ca="1">IF($D668&lt;&gt;"Serviço",0,IF(AND(AUTOEVENTO="Manual",$M668=1),0,IF(OFFSET(CRONOPLE!$F$14,$M668,BK$13)="",10^12,OFFSET(CRONOPLE!$F$14,$M668,BK$13))))</f>
        <v>0</v>
      </c>
      <c r="BL668" s="181">
        <f ca="1">IF($D668&lt;&gt;"Serviço",0,IF(AND(AUTOEVENTO="Manual",$M668=1),0,IF(OFFSET(CRONOPLE!$F$14,$M668,BL$13)="",10^12,OFFSET(CRONOPLE!$F$14,$M668,BL$13))))</f>
        <v>0</v>
      </c>
      <c r="BM668" s="181">
        <f ca="1">IF($D668&lt;&gt;"Serviço",0,IF(AND(AUTOEVENTO="Manual",$M668=1),0,IF(OFFSET(CRONOPLE!$F$14,$M668,BM$13)="",10^12,OFFSET(CRONOPLE!$F$14,$M668,BM$13))))</f>
        <v>0</v>
      </c>
      <c r="BN668" s="181">
        <f ca="1">IF($D668&lt;&gt;"Serviço",0,IF(AND(AUTOEVENTO="Manual",$M668=1),0,IF(OFFSET(CRONOPLE!$F$14,$M668,BN$13)="",10^12,OFFSET(CRONOPLE!$F$14,$M668,BN$13))))</f>
        <v>0</v>
      </c>
      <c r="BO668" s="181">
        <f ca="1">IF($D668&lt;&gt;"Serviço",0,IF(AND(AUTOEVENTO="Manual",$M668=1),0,IF(OFFSET(CRONOPLE!$F$14,$M668,BO$13)="",10^12,OFFSET(CRONOPLE!$F$14,$M668,BO$13))))</f>
        <v>0</v>
      </c>
      <c r="BP668" s="181">
        <f ca="1">IF($D668&lt;&gt;"Serviço",0,IF(AND(AUTOEVENTO="Manual",$M668=1),0,IF(OFFSET(CRONOPLE!$F$14,$M668,BP$13)="",10^12,OFFSET(CRONOPLE!$F$14,$M668,BP$13))))</f>
        <v>0</v>
      </c>
      <c r="BQ668" s="181">
        <f ca="1">IF($D668&lt;&gt;"Serviço",0,IF(AND(AUTOEVENTO="Manual",$M668=1),0,IF(OFFSET(CRONOPLE!$F$14,$M668,BQ$13)="",10^12,OFFSET(CRONOPLE!$F$14,$M668,BQ$13))))</f>
        <v>0</v>
      </c>
      <c r="BR668" s="181">
        <f ca="1">IF($D668&lt;&gt;"Serviço",0,IF(AND(AUTOEVENTO="Manual",$M668=1),0,IF(OFFSET(CRONOPLE!$F$14,$M668,BR$13)="",10^12,OFFSET(CRONOPLE!$F$14,$M668,BR$13))))</f>
        <v>0</v>
      </c>
      <c r="BS668" s="181">
        <f ca="1">IF($D668&lt;&gt;"Serviço",0,IF(AND(AUTOEVENTO="Manual",$M668=1),0,IF(OFFSET(CRONOPLE!$F$14,$M668,BS$13)="",10^12,OFFSET(CRONOPLE!$F$14,$M668,BS$13))))</f>
        <v>0</v>
      </c>
      <c r="BT668" s="181">
        <f ca="1">IF($D668&lt;&gt;"Serviço",0,IF(AND(AUTOEVENTO="Manual",$M668=1),0,IF(OFFSET(CRONOPLE!$F$14,$M668,BT$13)="",10^12,OFFSET(CRONOPLE!$F$14,$M668,BT$13))))</f>
        <v>0</v>
      </c>
      <c r="BV668" s="182">
        <f ca="1">IF($D668&lt;&gt;"Serviço",0,IF(OR(AND(AUTOEVENTO="Manual",$M668=1),$M668&gt;(ROW(PLE.lastrow)-ROW(PLE.firstrow))),0,IF(OFFSET(PLE!$G$14,$M668,BV$13)="",10^12,OFFSET(PLE!$G$14,$M668,BV$13))))</f>
        <v>0</v>
      </c>
      <c r="BW668" s="182">
        <f ca="1">IF($D668&lt;&gt;"Serviço",0,IF(OR(AND(AUTOEVENTO="Manual",$M668=1),$M668&gt;(ROW(PLE.lastrow)-ROW(PLE.firstrow))),0,IF(OFFSET(PLE!$G$14,$M668,BW$13)="",10^12,OFFSET(PLE!$G$14,$M668,BW$13))))</f>
        <v>0</v>
      </c>
      <c r="BX668" s="182">
        <f ca="1">IF($D668&lt;&gt;"Serviço",0,IF(OR(AND(AUTOEVENTO="Manual",$M668=1),$M668&gt;(ROW(PLE.lastrow)-ROW(PLE.firstrow))),0,IF(OFFSET(PLE!$G$14,$M668,BX$13)="",10^12,OFFSET(PLE!$G$14,$M668,BX$13))))</f>
        <v>0</v>
      </c>
      <c r="BY668" s="182">
        <f ca="1">IF($D668&lt;&gt;"Serviço",0,IF(OR(AND(AUTOEVENTO="Manual",$M668=1),$M668&gt;(ROW(PLE.lastrow)-ROW(PLE.firstrow))),0,IF(OFFSET(PLE!$G$14,$M668,BY$13)="",10^12,OFFSET(PLE!$G$14,$M668,BY$13))))</f>
        <v>0</v>
      </c>
      <c r="BZ668" s="182">
        <f ca="1">IF($D668&lt;&gt;"Serviço",0,IF(OR(AND(AUTOEVENTO="Manual",$M668=1),$M668&gt;(ROW(PLE.lastrow)-ROW(PLE.firstrow))),0,IF(OFFSET(PLE!$G$14,$M668,BZ$13)="",10^12,OFFSET(PLE!$G$14,$M668,BZ$13))))</f>
        <v>0</v>
      </c>
      <c r="CA668" s="182">
        <f ca="1">IF($D668&lt;&gt;"Serviço",0,IF(OR(AND(AUTOEVENTO="Manual",$M668=1),$M668&gt;(ROW(PLE.lastrow)-ROW(PLE.firstrow))),0,IF(OFFSET(PLE!$G$14,$M668,CA$13)="",10^12,OFFSET(PLE!$G$14,$M668,CA$13))))</f>
        <v>0</v>
      </c>
      <c r="CB668" s="182">
        <f ca="1">IF($D668&lt;&gt;"Serviço",0,IF(OR(AND(AUTOEVENTO="Manual",$M668=1),$M668&gt;(ROW(PLE.lastrow)-ROW(PLE.firstrow))),0,IF(OFFSET(PLE!$G$14,$M668,CB$13)="",10^12,OFFSET(PLE!$G$14,$M668,CB$13))))</f>
        <v>0</v>
      </c>
      <c r="CC668" s="182">
        <f ca="1">IF($D668&lt;&gt;"Serviço",0,IF(OR(AND(AUTOEVENTO="Manual",$M668=1),$M668&gt;(ROW(PLE.lastrow)-ROW(PLE.firstrow))),0,IF(OFFSET(PLE!$G$14,$M668,CC$13)="",10^12,OFFSET(PLE!$G$14,$M668,CC$13))))</f>
        <v>0</v>
      </c>
      <c r="CD668" s="182">
        <f ca="1">IF($D668&lt;&gt;"Serviço",0,IF(OR(AND(AUTOEVENTO="Manual",$M668=1),$M668&gt;(ROW(PLE.lastrow)-ROW(PLE.firstrow))),0,IF(OFFSET(PLE!$G$14,$M668,CD$13)="",10^12,OFFSET(PLE!$G$14,$M668,CD$13))))</f>
        <v>0</v>
      </c>
      <c r="CE668" s="182">
        <f ca="1">IF($D668&lt;&gt;"Serviço",0,IF(OR(AND(AUTOEVENTO="Manual",$M668=1),$M668&gt;(ROW(PLE.lastrow)-ROW(PLE.firstrow))),0,IF(OFFSET(PLE!$G$14,$M668,CE$13)="",10^12,OFFSET(PLE!$G$14,$M668,CE$13))))</f>
        <v>0</v>
      </c>
      <c r="CF668" s="182">
        <f ca="1">IF($D668&lt;&gt;"Serviço",0,IF(OR(AND(AUTOEVENTO="Manual",$M668=1),$M668&gt;(ROW(PLE.lastrow)-ROW(PLE.firstrow))),0,IF(OFFSET(PLE!$G$14,$M668,CF$13)="",10^12,OFFSET(PLE!$G$14,$M668,CF$13))))</f>
        <v>0</v>
      </c>
      <c r="CG668" s="182">
        <f ca="1">IF($D668&lt;&gt;"Serviço",0,IF(OR(AND(AUTOEVENTO="Manual",$M668=1),$M668&gt;(ROW(PLE.lastrow)-ROW(PLE.firstrow))),0,IF(OFFSET(PLE!$G$14,$M668,CG$13)="",10^12,OFFSET(PLE!$G$14,$M668,CG$13))))</f>
        <v>0</v>
      </c>
      <c r="CH668" s="182">
        <f ca="1">IF($D668&lt;&gt;"Serviço",0,IF(OR(AND(AUTOEVENTO="Manual",$M668=1),$M668&gt;(ROW(PLE.lastrow)-ROW(PLE.firstrow))),0,IF(OFFSET(PLE!$G$14,$M668,CH$13)="",10^12,OFFSET(PLE!$G$14,$M668,CH$13))))</f>
        <v>0</v>
      </c>
      <c r="CI668" s="182">
        <f ca="1">IF($D668&lt;&gt;"Serviço",0,IF(OR(AND(AUTOEVENTO="Manual",$M668=1),$M668&gt;(ROW(PLE.lastrow)-ROW(PLE.firstrow))),0,IF(OFFSET(PLE!$G$14,$M668,CI$13)="",10^12,OFFSET(PLE!$G$14,$M668,CI$13))))</f>
        <v>0</v>
      </c>
      <c r="CJ668" s="182">
        <f ca="1">IF($D668&lt;&gt;"Serviço",0,IF(OR(AND(AUTOEVENTO="Manual",$M668=1),$M668&gt;(ROW(PLE.lastrow)-ROW(PLE.firstrow))),0,IF(OFFSET(PLE!$G$14,$M668,CJ$13)="",10^12,OFFSET(PLE!$G$14,$M668,CJ$13))))</f>
        <v>0</v>
      </c>
      <c r="CK668" s="182">
        <f ca="1">IF($D668&lt;&gt;"Serviço",0,IF(OR(AND(AUTOEVENTO="Manual",$M668=1),$M668&gt;(ROW(PLE.lastrow)-ROW(PLE.firstrow))),0,IF(OFFSET(PLE!$G$14,$M668,CK$13)="",10^12,OFFSET(PLE!$G$14,$M668,CK$13))))</f>
        <v>0</v>
      </c>
      <c r="CL668" s="182">
        <f ca="1">IF($D668&lt;&gt;"Serviço",0,IF(OR(AND(AUTOEVENTO="Manual",$M668=1),$M668&gt;(ROW(PLE.lastrow)-ROW(PLE.firstrow))),0,IF(OFFSET(PLE!$G$14,$M668,CL$13)="",10^12,OFFSET(PLE!$G$14,$M668,CL$13))))</f>
        <v>0</v>
      </c>
      <c r="CM668" s="182">
        <f ca="1">IF($D668&lt;&gt;"Serviço",0,IF(OR(AND(AUTOEVENTO="Manual",$M668=1),$M668&gt;(ROW(PLE.lastrow)-ROW(PLE.firstrow))),0,IF(OFFSET(PLE!$G$14,$M668,CM$13)="",10^12,OFFSET(PLE!$G$14,$M668,CM$13))))</f>
        <v>0</v>
      </c>
    </row>
    <row r="669" spans="1:91" ht="25.5" x14ac:dyDescent="0.2">
      <c r="A669" s="7" t="str">
        <f t="shared" ca="1" si="19"/>
        <v>653</v>
      </c>
      <c r="B669" s="7" t="str">
        <f ca="1">OFFSET(ORÇAMENTO!C$15,ROW(B669)-ROW(B$15),0)</f>
        <v>S</v>
      </c>
      <c r="C669" s="7" t="str">
        <f ca="1">OFFSET(ORÇAMENTO!L$15,ROW(C669)-ROW(C$15),0)</f>
        <v/>
      </c>
      <c r="D669" s="118" t="str">
        <f ca="1">OFFSET(ORÇAMENTO!N$15,ROW(D669)-ROW(D$15),0)</f>
        <v>Serviço</v>
      </c>
      <c r="E669" s="119" t="str">
        <f ca="1">OFFSET(ORÇAMENTO!O$15,ROW(E669)-ROW(E$15),0)</f>
        <v>-</v>
      </c>
      <c r="F669" s="172" t="str">
        <f ca="1">OFFSET(ORÇAMENTO!R$15,ROW(F669)-ROW(F$15),0)</f>
        <v>(abra o arquivo 'Referência 06-2024.xlsm)</v>
      </c>
      <c r="G669" s="173" t="str">
        <f ca="1">IF($D669&lt;&gt;"Serviço","",OFFSET(ORÇAMENTO!S$15,ROW(G669)-ROW(G$15),0))</f>
        <v>-</v>
      </c>
      <c r="H669" s="124">
        <f ca="1">IF($D669&lt;&gt;"Serviço",0,IF(ACOMPANHAMENTO="BM",ROUND(OFFSET(ORÇAMENTO!AJ$15,ROW(H669)-ROW(H$15),0),15-13*ORÇAMENTO!$AF$7),SUMPRODUCT(($Q$12:$AI$12&lt;&gt;"")*ROUND($Q669:$AI669,15-13*ORÇAMENTO!$AF$7))))</f>
        <v>1</v>
      </c>
      <c r="I669" s="561" t="s">
        <v>1107</v>
      </c>
      <c r="K669" s="174"/>
      <c r="L669" s="175" t="s">
        <v>255</v>
      </c>
      <c r="M669" s="176">
        <f ca="1">IF($D669&lt;&gt;"Serviço","",IF(AUTOEVENTO="manual",$A669,IF(ISERROR(MATCH($A669,$A$15:OFFSET($A669,-1,0),0)),MAX($M$15:OFFSET(M669,-1,0))+1,INDEX($M$15:OFFSET(M669,-1,0),MATCH($A669,$A$15:OFFSET($A669,-1,0),0)))))</f>
        <v>73</v>
      </c>
      <c r="N669" s="177" t="str">
        <f ca="1">IF($D669&lt;&gt;"Serviço","",IF(AUTOEVENTO="Manual",IF($A669=0,"&lt;-- defina o número do agrupador",OFFSET(EVENTOS!$D$14,$A669,0)),OFFSET($F$15,$A669,0)))</f>
        <v>SERVIÇOS COMPLEMENTARES</v>
      </c>
      <c r="O669" s="178"/>
      <c r="Q669" s="178">
        <v>1</v>
      </c>
      <c r="R669" s="179"/>
      <c r="S669" s="179"/>
      <c r="T669" s="179"/>
      <c r="U669" s="179"/>
      <c r="V669" s="179"/>
      <c r="W669" s="179"/>
      <c r="X669" s="179"/>
      <c r="Y669" s="179"/>
      <c r="Z669" s="180"/>
      <c r="AA669" s="179"/>
      <c r="AB669" s="179"/>
      <c r="AC669" s="179"/>
      <c r="AD669" s="179"/>
      <c r="AE669" s="179"/>
      <c r="AF669" s="179"/>
      <c r="AG669" s="179"/>
      <c r="AH669" s="180"/>
      <c r="AJ669" s="544">
        <f ca="1">IF(AND($D669="Serviço",AJ$12&lt;&gt;0,$H669&gt;0,OR(AUTOEVENTO&lt;&gt;"manual",$M669&lt;&gt;1)),
IF(Import.TipoArredondamento&lt;&gt;"TransfereGOV",
ROUND(OFFSET($P669,0,AJ$13),15-13*ORÇAMENTO!$AF$7)/$H669*OFFSET(ORÇAMENTO!$X$15,ROW(AJ669)-ROW(AJ$15),0),
ROUND(ROUND(OFFSET($P669,0,AJ$13),15-13*ORÇAMENTO!$AF$7)*OFFSET(ORÇAMENTO!$W$15,ROW(AJ669)-ROW(AJ$15),0),15-13*ORÇAMENTO!$AF$11)),0)</f>
        <v>0</v>
      </c>
      <c r="AK669" s="545">
        <f ca="1">IF(AND($D669="Serviço",AK$12&lt;&gt;0,$H669&gt;0,OR(AUTOEVENTO&lt;&gt;"manual",$M669&lt;&gt;1)),
IF(Import.TipoArredondamento&lt;&gt;"TransfereGOV",
ROUND(OFFSET($P669,0,AK$13),15-13*ORÇAMENTO!$AF$7)/$H669*OFFSET(ORÇAMENTO!$X$15,ROW(AK669)-ROW(AK$15),0),
ROUND(ROUND(OFFSET($P669,0,AK$13),15-13*ORÇAMENTO!$AF$7)*OFFSET(ORÇAMENTO!$W$15,ROW(AK669)-ROW(AK$15),0),15-13*ORÇAMENTO!$AF$11)),0)</f>
        <v>0</v>
      </c>
      <c r="AL669" s="545">
        <f ca="1">IF(AND($D669="Serviço",AL$12&lt;&gt;0,$H669&gt;0,OR(AUTOEVENTO&lt;&gt;"manual",$M669&lt;&gt;1)),
IF(Import.TipoArredondamento&lt;&gt;"TransfereGOV",
ROUND(OFFSET($P669,0,AL$13),15-13*ORÇAMENTO!$AF$7)/$H669*OFFSET(ORÇAMENTO!$X$15,ROW(AL669)-ROW(AL$15),0),
ROUND(ROUND(OFFSET($P669,0,AL$13),15-13*ORÇAMENTO!$AF$7)*OFFSET(ORÇAMENTO!$W$15,ROW(AL669)-ROW(AL$15),0),15-13*ORÇAMENTO!$AF$11)),0)</f>
        <v>0</v>
      </c>
      <c r="AM669" s="545">
        <f ca="1">IF(AND($D669="Serviço",AM$12&lt;&gt;0,$H669&gt;0,OR(AUTOEVENTO&lt;&gt;"manual",$M669&lt;&gt;1)),
IF(Import.TipoArredondamento&lt;&gt;"TransfereGOV",
ROUND(OFFSET($P669,0,AM$13),15-13*ORÇAMENTO!$AF$7)/$H669*OFFSET(ORÇAMENTO!$X$15,ROW(AM669)-ROW(AM$15),0),
ROUND(ROUND(OFFSET($P669,0,AM$13),15-13*ORÇAMENTO!$AF$7)*OFFSET(ORÇAMENTO!$W$15,ROW(AM669)-ROW(AM$15),0),15-13*ORÇAMENTO!$AF$11)),0)</f>
        <v>0</v>
      </c>
      <c r="AN669" s="545">
        <f ca="1">IF(AND($D669="Serviço",AN$12&lt;&gt;0,$H669&gt;0,OR(AUTOEVENTO&lt;&gt;"manual",$M669&lt;&gt;1)),
IF(Import.TipoArredondamento&lt;&gt;"TransfereGOV",
ROUND(OFFSET($P669,0,AN$13),15-13*ORÇAMENTO!$AF$7)/$H669*OFFSET(ORÇAMENTO!$X$15,ROW(AN669)-ROW(AN$15),0),
ROUND(ROUND(OFFSET($P669,0,AN$13),15-13*ORÇAMENTO!$AF$7)*OFFSET(ORÇAMENTO!$W$15,ROW(AN669)-ROW(AN$15),0),15-13*ORÇAMENTO!$AF$11)),0)</f>
        <v>0</v>
      </c>
      <c r="AO669" s="545">
        <f ca="1">IF(AND($D669="Serviço",AO$12&lt;&gt;0,$H669&gt;0,OR(AUTOEVENTO&lt;&gt;"manual",$M669&lt;&gt;1)),
IF(Import.TipoArredondamento&lt;&gt;"TransfereGOV",
ROUND(OFFSET($P669,0,AO$13),15-13*ORÇAMENTO!$AF$7)/$H669*OFFSET(ORÇAMENTO!$X$15,ROW(AO669)-ROW(AO$15),0),
ROUND(ROUND(OFFSET($P669,0,AO$13),15-13*ORÇAMENTO!$AF$7)*OFFSET(ORÇAMENTO!$W$15,ROW(AO669)-ROW(AO$15),0),15-13*ORÇAMENTO!$AF$11)),0)</f>
        <v>0</v>
      </c>
      <c r="AP669" s="545">
        <f ca="1">IF(AND($D669="Serviço",AP$12&lt;&gt;0,$H669&gt;0,OR(AUTOEVENTO&lt;&gt;"manual",$M669&lt;&gt;1)),
IF(Import.TipoArredondamento&lt;&gt;"TransfereGOV",
ROUND(OFFSET($P669,0,AP$13),15-13*ORÇAMENTO!$AF$7)/$H669*OFFSET(ORÇAMENTO!$X$15,ROW(AP669)-ROW(AP$15),0),
ROUND(ROUND(OFFSET($P669,0,AP$13),15-13*ORÇAMENTO!$AF$7)*OFFSET(ORÇAMENTO!$W$15,ROW(AP669)-ROW(AP$15),0),15-13*ORÇAMENTO!$AF$11)),0)</f>
        <v>0</v>
      </c>
      <c r="AQ669" s="545">
        <f ca="1">IF(AND($D669="Serviço",AQ$12&lt;&gt;0,$H669&gt;0,OR(AUTOEVENTO&lt;&gt;"manual",$M669&lt;&gt;1)),
IF(Import.TipoArredondamento&lt;&gt;"TransfereGOV",
ROUND(OFFSET($P669,0,AQ$13),15-13*ORÇAMENTO!$AF$7)/$H669*OFFSET(ORÇAMENTO!$X$15,ROW(AQ669)-ROW(AQ$15),0),
ROUND(ROUND(OFFSET($P669,0,AQ$13),15-13*ORÇAMENTO!$AF$7)*OFFSET(ORÇAMENTO!$W$15,ROW(AQ669)-ROW(AQ$15),0),15-13*ORÇAMENTO!$AF$11)),0)</f>
        <v>0</v>
      </c>
      <c r="AR669" s="545">
        <f ca="1">IF(AND($D669="Serviço",AR$12&lt;&gt;0,$H669&gt;0,OR(AUTOEVENTO&lt;&gt;"manual",$M669&lt;&gt;1)),
IF(Import.TipoArredondamento&lt;&gt;"TransfereGOV",
ROUND(OFFSET($P669,0,AR$13),15-13*ORÇAMENTO!$AF$7)/$H669*OFFSET(ORÇAMENTO!$X$15,ROW(AR669)-ROW(AR$15),0),
ROUND(ROUND(OFFSET($P669,0,AR$13),15-13*ORÇAMENTO!$AF$7)*OFFSET(ORÇAMENTO!$W$15,ROW(AR669)-ROW(AR$15),0),15-13*ORÇAMENTO!$AF$11)),0)</f>
        <v>0</v>
      </c>
      <c r="AS669" s="546">
        <f ca="1">IF(AND($D669="Serviço",AS$12&lt;&gt;0,$H669&gt;0,OR(AUTOEVENTO&lt;&gt;"manual",$M669&lt;&gt;1)),
IF(Import.TipoArredondamento&lt;&gt;"TransfereGOV",
ROUND(OFFSET($P669,0,AS$13),15-13*ORÇAMENTO!$AF$7)/$H669*OFFSET(ORÇAMENTO!$X$15,ROW(AS669)-ROW(AS$15),0),
ROUND(ROUND(OFFSET($P669,0,AS$13),15-13*ORÇAMENTO!$AF$7)*OFFSET(ORÇAMENTO!$W$15,ROW(AS669)-ROW(AS$15),0),15-13*ORÇAMENTO!$AF$11)),0)</f>
        <v>0</v>
      </c>
      <c r="AT669" s="545">
        <f ca="1">IF(AND($D669="Serviço",AT$12&lt;&gt;0,$H669&gt;0,OR(AUTOEVENTO&lt;&gt;"manual",$M669&lt;&gt;1)),
IF(Import.TipoArredondamento&lt;&gt;"TransfereGOV",
ROUND(OFFSET($P669,0,AT$13),15-13*ORÇAMENTO!$AF$7)/$H669*OFFSET(ORÇAMENTO!$X$15,ROW(AT669)-ROW(AT$15),0),
ROUND(ROUND(OFFSET($P669,0,AT$13),15-13*ORÇAMENTO!$AF$7)*OFFSET(ORÇAMENTO!$W$15,ROW(AT669)-ROW(AT$15),0),15-13*ORÇAMENTO!$AF$11)),0)</f>
        <v>0</v>
      </c>
      <c r="AU669" s="545">
        <f ca="1">IF(AND($D669="Serviço",AU$12&lt;&gt;0,$H669&gt;0,OR(AUTOEVENTO&lt;&gt;"manual",$M669&lt;&gt;1)),
IF(Import.TipoArredondamento&lt;&gt;"TransfereGOV",
ROUND(OFFSET($P669,0,AU$13),15-13*ORÇAMENTO!$AF$7)/$H669*OFFSET(ORÇAMENTO!$X$15,ROW(AU669)-ROW(AU$15),0),
ROUND(ROUND(OFFSET($P669,0,AU$13),15-13*ORÇAMENTO!$AF$7)*OFFSET(ORÇAMENTO!$W$15,ROW(AU669)-ROW(AU$15),0),15-13*ORÇAMENTO!$AF$11)),0)</f>
        <v>0</v>
      </c>
      <c r="AV669" s="545">
        <f ca="1">IF(AND($D669="Serviço",AV$12&lt;&gt;0,$H669&gt;0,OR(AUTOEVENTO&lt;&gt;"manual",$M669&lt;&gt;1)),
IF(Import.TipoArredondamento&lt;&gt;"TransfereGOV",
ROUND(OFFSET($P669,0,AV$13),15-13*ORÇAMENTO!$AF$7)/$H669*OFFSET(ORÇAMENTO!$X$15,ROW(AV669)-ROW(AV$15),0),
ROUND(ROUND(OFFSET($P669,0,AV$13),15-13*ORÇAMENTO!$AF$7)*OFFSET(ORÇAMENTO!$W$15,ROW(AV669)-ROW(AV$15),0),15-13*ORÇAMENTO!$AF$11)),0)</f>
        <v>0</v>
      </c>
      <c r="AW669" s="545">
        <f ca="1">IF(AND($D669="Serviço",AW$12&lt;&gt;0,$H669&gt;0,OR(AUTOEVENTO&lt;&gt;"manual",$M669&lt;&gt;1)),
IF(Import.TipoArredondamento&lt;&gt;"TransfereGOV",
ROUND(OFFSET($P669,0,AW$13),15-13*ORÇAMENTO!$AF$7)/$H669*OFFSET(ORÇAMENTO!$X$15,ROW(AW669)-ROW(AW$15),0),
ROUND(ROUND(OFFSET($P669,0,AW$13),15-13*ORÇAMENTO!$AF$7)*OFFSET(ORÇAMENTO!$W$15,ROW(AW669)-ROW(AW$15),0),15-13*ORÇAMENTO!$AF$11)),0)</f>
        <v>0</v>
      </c>
      <c r="AX669" s="545">
        <f ca="1">IF(AND($D669="Serviço",AX$12&lt;&gt;0,$H669&gt;0,OR(AUTOEVENTO&lt;&gt;"manual",$M669&lt;&gt;1)),
IF(Import.TipoArredondamento&lt;&gt;"TransfereGOV",
ROUND(OFFSET($P669,0,AX$13),15-13*ORÇAMENTO!$AF$7)/$H669*OFFSET(ORÇAMENTO!$X$15,ROW(AX669)-ROW(AX$15),0),
ROUND(ROUND(OFFSET($P669,0,AX$13),15-13*ORÇAMENTO!$AF$7)*OFFSET(ORÇAMENTO!$W$15,ROW(AX669)-ROW(AX$15),0),15-13*ORÇAMENTO!$AF$11)),0)</f>
        <v>0</v>
      </c>
      <c r="AY669" s="545">
        <f ca="1">IF(AND($D669="Serviço",AY$12&lt;&gt;0,$H669&gt;0,OR(AUTOEVENTO&lt;&gt;"manual",$M669&lt;&gt;1)),
IF(Import.TipoArredondamento&lt;&gt;"TransfereGOV",
ROUND(OFFSET($P669,0,AY$13),15-13*ORÇAMENTO!$AF$7)/$H669*OFFSET(ORÇAMENTO!$X$15,ROW(AY669)-ROW(AY$15),0),
ROUND(ROUND(OFFSET($P669,0,AY$13),15-13*ORÇAMENTO!$AF$7)*OFFSET(ORÇAMENTO!$W$15,ROW(AY669)-ROW(AY$15),0),15-13*ORÇAMENTO!$AF$11)),0)</f>
        <v>0</v>
      </c>
      <c r="AZ669" s="545">
        <f ca="1">IF(AND($D669="Serviço",AZ$12&lt;&gt;0,$H669&gt;0,OR(AUTOEVENTO&lt;&gt;"manual",$M669&lt;&gt;1)),
IF(Import.TipoArredondamento&lt;&gt;"TransfereGOV",
ROUND(OFFSET($P669,0,AZ$13),15-13*ORÇAMENTO!$AF$7)/$H669*OFFSET(ORÇAMENTO!$X$15,ROW(AZ669)-ROW(AZ$15),0),
ROUND(ROUND(OFFSET($P669,0,AZ$13),15-13*ORÇAMENTO!$AF$7)*OFFSET(ORÇAMENTO!$W$15,ROW(AZ669)-ROW(AZ$15),0),15-13*ORÇAMENTO!$AF$11)),0)</f>
        <v>0</v>
      </c>
      <c r="BA669" s="546">
        <f ca="1">IF(AND($D669="Serviço",BA$12&lt;&gt;0,$H669&gt;0,OR(AUTOEVENTO&lt;&gt;"manual",$M669&lt;&gt;1)),
IF(Import.TipoArredondamento&lt;&gt;"TransfereGOV",
ROUND(OFFSET($P669,0,BA$13),15-13*ORÇAMENTO!$AF$7)/$H669*OFFSET(ORÇAMENTO!$X$15,ROW(BA669)-ROW(BA$15),0),
ROUND(ROUND(OFFSET($P669,0,BA$13),15-13*ORÇAMENTO!$AF$7)*OFFSET(ORÇAMENTO!$W$15,ROW(BA669)-ROW(BA$15),0),15-13*ORÇAMENTO!$AF$11)),0)</f>
        <v>0</v>
      </c>
      <c r="BC669" s="181">
        <f ca="1">IF($D669&lt;&gt;"Serviço",0,IF(AND(AUTOEVENTO="Manual",$M669=1),0,IF(OFFSET(CRONOPLE!$F$14,$M669,BC$13)="",10^12,OFFSET(CRONOPLE!$F$14,$M669,BC$13))))</f>
        <v>11</v>
      </c>
      <c r="BD669" s="181">
        <f ca="1">IF($D669&lt;&gt;"Serviço",0,IF(AND(AUTOEVENTO="Manual",$M669=1),0,IF(OFFSET(CRONOPLE!$F$14,$M669,BD$13)="",10^12,OFFSET(CRONOPLE!$F$14,$M669,BD$13))))</f>
        <v>1000000000000</v>
      </c>
      <c r="BE669" s="181">
        <f ca="1">IF($D669&lt;&gt;"Serviço",0,IF(AND(AUTOEVENTO="Manual",$M669=1),0,IF(OFFSET(CRONOPLE!$F$14,$M669,BE$13)="",10^12,OFFSET(CRONOPLE!$F$14,$M669,BE$13))))</f>
        <v>1000000000000</v>
      </c>
      <c r="BF669" s="181">
        <f ca="1">IF($D669&lt;&gt;"Serviço",0,IF(AND(AUTOEVENTO="Manual",$M669=1),0,IF(OFFSET(CRONOPLE!$F$14,$M669,BF$13)="",10^12,OFFSET(CRONOPLE!$F$14,$M669,BF$13))))</f>
        <v>1000000000000</v>
      </c>
      <c r="BG669" s="181">
        <f ca="1">IF($D669&lt;&gt;"Serviço",0,IF(AND(AUTOEVENTO="Manual",$M669=1),0,IF(OFFSET(CRONOPLE!$F$14,$M669,BG$13)="",10^12,OFFSET(CRONOPLE!$F$14,$M669,BG$13))))</f>
        <v>1000000000000</v>
      </c>
      <c r="BH669" s="181">
        <f ca="1">IF($D669&lt;&gt;"Serviço",0,IF(AND(AUTOEVENTO="Manual",$M669=1),0,IF(OFFSET(CRONOPLE!$F$14,$M669,BH$13)="",10^12,OFFSET(CRONOPLE!$F$14,$M669,BH$13))))</f>
        <v>1000000000000</v>
      </c>
      <c r="BI669" s="181">
        <f ca="1">IF($D669&lt;&gt;"Serviço",0,IF(AND(AUTOEVENTO="Manual",$M669=1),0,IF(OFFSET(CRONOPLE!$F$14,$M669,BI$13)="",10^12,OFFSET(CRONOPLE!$F$14,$M669,BI$13))))</f>
        <v>1000000000000</v>
      </c>
      <c r="BJ669" s="181">
        <f ca="1">IF($D669&lt;&gt;"Serviço",0,IF(AND(AUTOEVENTO="Manual",$M669=1),0,IF(OFFSET(CRONOPLE!$F$14,$M669,BJ$13)="",10^12,OFFSET(CRONOPLE!$F$14,$M669,BJ$13))))</f>
        <v>1000000000000</v>
      </c>
      <c r="BK669" s="181">
        <f ca="1">IF($D669&lt;&gt;"Serviço",0,IF(AND(AUTOEVENTO="Manual",$M669=1),0,IF(OFFSET(CRONOPLE!$F$14,$M669,BK$13)="",10^12,OFFSET(CRONOPLE!$F$14,$M669,BK$13))))</f>
        <v>1000000000000</v>
      </c>
      <c r="BL669" s="181">
        <f ca="1">IF($D669&lt;&gt;"Serviço",0,IF(AND(AUTOEVENTO="Manual",$M669=1),0,IF(OFFSET(CRONOPLE!$F$14,$M669,BL$13)="",10^12,OFFSET(CRONOPLE!$F$14,$M669,BL$13))))</f>
        <v>1000000000000</v>
      </c>
      <c r="BM669" s="181">
        <f ca="1">IF($D669&lt;&gt;"Serviço",0,IF(AND(AUTOEVENTO="Manual",$M669=1),0,IF(OFFSET(CRONOPLE!$F$14,$M669,BM$13)="",10^12,OFFSET(CRONOPLE!$F$14,$M669,BM$13))))</f>
        <v>1000000000000</v>
      </c>
      <c r="BN669" s="181">
        <f ca="1">IF($D669&lt;&gt;"Serviço",0,IF(AND(AUTOEVENTO="Manual",$M669=1),0,IF(OFFSET(CRONOPLE!$F$14,$M669,BN$13)="",10^12,OFFSET(CRONOPLE!$F$14,$M669,BN$13))))</f>
        <v>1000000000000</v>
      </c>
      <c r="BO669" s="181">
        <f ca="1">IF($D669&lt;&gt;"Serviço",0,IF(AND(AUTOEVENTO="Manual",$M669=1),0,IF(OFFSET(CRONOPLE!$F$14,$M669,BO$13)="",10^12,OFFSET(CRONOPLE!$F$14,$M669,BO$13))))</f>
        <v>1000000000000</v>
      </c>
      <c r="BP669" s="181">
        <f ca="1">IF($D669&lt;&gt;"Serviço",0,IF(AND(AUTOEVENTO="Manual",$M669=1),0,IF(OFFSET(CRONOPLE!$F$14,$M669,BP$13)="",10^12,OFFSET(CRONOPLE!$F$14,$M669,BP$13))))</f>
        <v>1000000000000</v>
      </c>
      <c r="BQ669" s="181">
        <f ca="1">IF($D669&lt;&gt;"Serviço",0,IF(AND(AUTOEVENTO="Manual",$M669=1),0,IF(OFFSET(CRONOPLE!$F$14,$M669,BQ$13)="",10^12,OFFSET(CRONOPLE!$F$14,$M669,BQ$13))))</f>
        <v>1000000000000</v>
      </c>
      <c r="BR669" s="181">
        <f ca="1">IF($D669&lt;&gt;"Serviço",0,IF(AND(AUTOEVENTO="Manual",$M669=1),0,IF(OFFSET(CRONOPLE!$F$14,$M669,BR$13)="",10^12,OFFSET(CRONOPLE!$F$14,$M669,BR$13))))</f>
        <v>1000000000000</v>
      </c>
      <c r="BS669" s="181">
        <f ca="1">IF($D669&lt;&gt;"Serviço",0,IF(AND(AUTOEVENTO="Manual",$M669=1),0,IF(OFFSET(CRONOPLE!$F$14,$M669,BS$13)="",10^12,OFFSET(CRONOPLE!$F$14,$M669,BS$13))))</f>
        <v>1000000000000</v>
      </c>
      <c r="BT669" s="181">
        <f ca="1">IF($D669&lt;&gt;"Serviço",0,IF(AND(AUTOEVENTO="Manual",$M669=1),0,IF(OFFSET(CRONOPLE!$F$14,$M669,BT$13)="",10^12,OFFSET(CRONOPLE!$F$14,$M669,BT$13))))</f>
        <v>1000000000000</v>
      </c>
      <c r="BV669" s="182">
        <f ca="1">IF($D669&lt;&gt;"Serviço",0,IF(OR(AND(AUTOEVENTO="Manual",$M669=1),$M669&gt;(ROW(PLE.lastrow)-ROW(PLE.firstrow))),0,IF(OFFSET(PLE!$G$14,$M669,BV$13)="",10^12,OFFSET(PLE!$G$14,$M669,BV$13))))</f>
        <v>1000000000000</v>
      </c>
      <c r="BW669" s="182">
        <f ca="1">IF($D669&lt;&gt;"Serviço",0,IF(OR(AND(AUTOEVENTO="Manual",$M669=1),$M669&gt;(ROW(PLE.lastrow)-ROW(PLE.firstrow))),0,IF(OFFSET(PLE!$G$14,$M669,BW$13)="",10^12,OFFSET(PLE!$G$14,$M669,BW$13))))</f>
        <v>1000000000000</v>
      </c>
      <c r="BX669" s="182">
        <f ca="1">IF($D669&lt;&gt;"Serviço",0,IF(OR(AND(AUTOEVENTO="Manual",$M669=1),$M669&gt;(ROW(PLE.lastrow)-ROW(PLE.firstrow))),0,IF(OFFSET(PLE!$G$14,$M669,BX$13)="",10^12,OFFSET(PLE!$G$14,$M669,BX$13))))</f>
        <v>1000000000000</v>
      </c>
      <c r="BY669" s="182">
        <f ca="1">IF($D669&lt;&gt;"Serviço",0,IF(OR(AND(AUTOEVENTO="Manual",$M669=1),$M669&gt;(ROW(PLE.lastrow)-ROW(PLE.firstrow))),0,IF(OFFSET(PLE!$G$14,$M669,BY$13)="",10^12,OFFSET(PLE!$G$14,$M669,BY$13))))</f>
        <v>1000000000000</v>
      </c>
      <c r="BZ669" s="182">
        <f ca="1">IF($D669&lt;&gt;"Serviço",0,IF(OR(AND(AUTOEVENTO="Manual",$M669=1),$M669&gt;(ROW(PLE.lastrow)-ROW(PLE.firstrow))),0,IF(OFFSET(PLE!$G$14,$M669,BZ$13)="",10^12,OFFSET(PLE!$G$14,$M669,BZ$13))))</f>
        <v>1000000000000</v>
      </c>
      <c r="CA669" s="182">
        <f ca="1">IF($D669&lt;&gt;"Serviço",0,IF(OR(AND(AUTOEVENTO="Manual",$M669=1),$M669&gt;(ROW(PLE.lastrow)-ROW(PLE.firstrow))),0,IF(OFFSET(PLE!$G$14,$M669,CA$13)="",10^12,OFFSET(PLE!$G$14,$M669,CA$13))))</f>
        <v>1000000000000</v>
      </c>
      <c r="CB669" s="182">
        <f ca="1">IF($D669&lt;&gt;"Serviço",0,IF(OR(AND(AUTOEVENTO="Manual",$M669=1),$M669&gt;(ROW(PLE.lastrow)-ROW(PLE.firstrow))),0,IF(OFFSET(PLE!$G$14,$M669,CB$13)="",10^12,OFFSET(PLE!$G$14,$M669,CB$13))))</f>
        <v>1000000000000</v>
      </c>
      <c r="CC669" s="182">
        <f ca="1">IF($D669&lt;&gt;"Serviço",0,IF(OR(AND(AUTOEVENTO="Manual",$M669=1),$M669&gt;(ROW(PLE.lastrow)-ROW(PLE.firstrow))),0,IF(OFFSET(PLE!$G$14,$M669,CC$13)="",10^12,OFFSET(PLE!$G$14,$M669,CC$13))))</f>
        <v>1000000000000</v>
      </c>
      <c r="CD669" s="182">
        <f ca="1">IF($D669&lt;&gt;"Serviço",0,IF(OR(AND(AUTOEVENTO="Manual",$M669=1),$M669&gt;(ROW(PLE.lastrow)-ROW(PLE.firstrow))),0,IF(OFFSET(PLE!$G$14,$M669,CD$13)="",10^12,OFFSET(PLE!$G$14,$M669,CD$13))))</f>
        <v>1000000000000</v>
      </c>
      <c r="CE669" s="182">
        <f ca="1">IF($D669&lt;&gt;"Serviço",0,IF(OR(AND(AUTOEVENTO="Manual",$M669=1),$M669&gt;(ROW(PLE.lastrow)-ROW(PLE.firstrow))),0,IF(OFFSET(PLE!$G$14,$M669,CE$13)="",10^12,OFFSET(PLE!$G$14,$M669,CE$13))))</f>
        <v>1000000000000</v>
      </c>
      <c r="CF669" s="182">
        <f ca="1">IF($D669&lt;&gt;"Serviço",0,IF(OR(AND(AUTOEVENTO="Manual",$M669=1),$M669&gt;(ROW(PLE.lastrow)-ROW(PLE.firstrow))),0,IF(OFFSET(PLE!$G$14,$M669,CF$13)="",10^12,OFFSET(PLE!$G$14,$M669,CF$13))))</f>
        <v>1000000000000</v>
      </c>
      <c r="CG669" s="182">
        <f ca="1">IF($D669&lt;&gt;"Serviço",0,IF(OR(AND(AUTOEVENTO="Manual",$M669=1),$M669&gt;(ROW(PLE.lastrow)-ROW(PLE.firstrow))),0,IF(OFFSET(PLE!$G$14,$M669,CG$13)="",10^12,OFFSET(PLE!$G$14,$M669,CG$13))))</f>
        <v>1000000000000</v>
      </c>
      <c r="CH669" s="182">
        <f ca="1">IF($D669&lt;&gt;"Serviço",0,IF(OR(AND(AUTOEVENTO="Manual",$M669=1),$M669&gt;(ROW(PLE.lastrow)-ROW(PLE.firstrow))),0,IF(OFFSET(PLE!$G$14,$M669,CH$13)="",10^12,OFFSET(PLE!$G$14,$M669,CH$13))))</f>
        <v>1000000000000</v>
      </c>
      <c r="CI669" s="182">
        <f ca="1">IF($D669&lt;&gt;"Serviço",0,IF(OR(AND(AUTOEVENTO="Manual",$M669=1),$M669&gt;(ROW(PLE.lastrow)-ROW(PLE.firstrow))),0,IF(OFFSET(PLE!$G$14,$M669,CI$13)="",10^12,OFFSET(PLE!$G$14,$M669,CI$13))))</f>
        <v>1000000000000</v>
      </c>
      <c r="CJ669" s="182">
        <f ca="1">IF($D669&lt;&gt;"Serviço",0,IF(OR(AND(AUTOEVENTO="Manual",$M669=1),$M669&gt;(ROW(PLE.lastrow)-ROW(PLE.firstrow))),0,IF(OFFSET(PLE!$G$14,$M669,CJ$13)="",10^12,OFFSET(PLE!$G$14,$M669,CJ$13))))</f>
        <v>1000000000000</v>
      </c>
      <c r="CK669" s="182">
        <f ca="1">IF($D669&lt;&gt;"Serviço",0,IF(OR(AND(AUTOEVENTO="Manual",$M669=1),$M669&gt;(ROW(PLE.lastrow)-ROW(PLE.firstrow))),0,IF(OFFSET(PLE!$G$14,$M669,CK$13)="",10^12,OFFSET(PLE!$G$14,$M669,CK$13))))</f>
        <v>1000000000000</v>
      </c>
      <c r="CL669" s="182">
        <f ca="1">IF($D669&lt;&gt;"Serviço",0,IF(OR(AND(AUTOEVENTO="Manual",$M669=1),$M669&gt;(ROW(PLE.lastrow)-ROW(PLE.firstrow))),0,IF(OFFSET(PLE!$G$14,$M669,CL$13)="",10^12,OFFSET(PLE!$G$14,$M669,CL$13))))</f>
        <v>1000000000000</v>
      </c>
      <c r="CM669" s="182">
        <f ca="1">IF($D669&lt;&gt;"Serviço",0,IF(OR(AND(AUTOEVENTO="Manual",$M669=1),$M669&gt;(ROW(PLE.lastrow)-ROW(PLE.firstrow))),0,IF(OFFSET(PLE!$G$14,$M669,CM$13)="",10^12,OFFSET(PLE!$G$14,$M669,CM$13))))</f>
        <v>1000000000000</v>
      </c>
    </row>
    <row r="670" spans="1:91" ht="25.5" x14ac:dyDescent="0.2">
      <c r="A670" s="7" t="str">
        <f t="shared" ca="1" si="19"/>
        <v>653</v>
      </c>
      <c r="B670" s="7" t="str">
        <f ca="1">OFFSET(ORÇAMENTO!C$15,ROW(B670)-ROW(B$15),0)</f>
        <v>S</v>
      </c>
      <c r="C670" s="7" t="str">
        <f ca="1">OFFSET(ORÇAMENTO!L$15,ROW(C670)-ROW(C$15),0)</f>
        <v/>
      </c>
      <c r="D670" s="118" t="str">
        <f ca="1">OFFSET(ORÇAMENTO!N$15,ROW(D670)-ROW(D$15),0)</f>
        <v>Serviço</v>
      </c>
      <c r="E670" s="119" t="str">
        <f ca="1">OFFSET(ORÇAMENTO!O$15,ROW(E670)-ROW(E$15),0)</f>
        <v>-</v>
      </c>
      <c r="F670" s="172" t="str">
        <f ca="1">OFFSET(ORÇAMENTO!R$15,ROW(F670)-ROW(F$15),0)</f>
        <v>(abra o arquivo 'Referência 06-2024.xlsm)</v>
      </c>
      <c r="G670" s="173" t="str">
        <f ca="1">IF($D670&lt;&gt;"Serviço","",OFFSET(ORÇAMENTO!S$15,ROW(G670)-ROW(G$15),0))</f>
        <v>-</v>
      </c>
      <c r="H670" s="124">
        <f ca="1">IF($D670&lt;&gt;"Serviço",0,IF(ACOMPANHAMENTO="BM",ROUND(OFFSET(ORÇAMENTO!AJ$15,ROW(H670)-ROW(H$15),0),15-13*ORÇAMENTO!$AF$7),SUMPRODUCT(($Q$12:$AI$12&lt;&gt;"")*ROUND($Q670:$AI670,15-13*ORÇAMENTO!$AF$7))))</f>
        <v>64.53</v>
      </c>
      <c r="I670" s="561" t="s">
        <v>1107</v>
      </c>
      <c r="K670" s="174"/>
      <c r="L670" s="175" t="s">
        <v>255</v>
      </c>
      <c r="M670" s="176">
        <f ca="1">IF($D670&lt;&gt;"Serviço","",IF(AUTOEVENTO="manual",$A670,IF(ISERROR(MATCH($A670,$A$15:OFFSET($A670,-1,0),0)),MAX($M$15:OFFSET(M670,-1,0))+1,INDEX($M$15:OFFSET(M670,-1,0),MATCH($A670,$A$15:OFFSET($A670,-1,0),0)))))</f>
        <v>73</v>
      </c>
      <c r="N670" s="177" t="str">
        <f ca="1">IF($D670&lt;&gt;"Serviço","",IF(AUTOEVENTO="Manual",IF($A670=0,"&lt;-- defina o número do agrupador",OFFSET(EVENTOS!$D$14,$A670,0)),OFFSET($F$15,$A670,0)))</f>
        <v>SERVIÇOS COMPLEMENTARES</v>
      </c>
      <c r="O670" s="178"/>
      <c r="Q670" s="178">
        <v>64.53</v>
      </c>
      <c r="R670" s="179"/>
      <c r="S670" s="179"/>
      <c r="T670" s="179"/>
      <c r="U670" s="179"/>
      <c r="V670" s="179"/>
      <c r="W670" s="179"/>
      <c r="X670" s="179"/>
      <c r="Y670" s="179"/>
      <c r="Z670" s="180"/>
      <c r="AA670" s="179"/>
      <c r="AB670" s="179"/>
      <c r="AC670" s="179"/>
      <c r="AD670" s="179"/>
      <c r="AE670" s="179"/>
      <c r="AF670" s="179"/>
      <c r="AG670" s="179"/>
      <c r="AH670" s="180"/>
      <c r="AJ670" s="544">
        <f ca="1">IF(AND($D670="Serviço",AJ$12&lt;&gt;0,$H670&gt;0,OR(AUTOEVENTO&lt;&gt;"manual",$M670&lt;&gt;1)),
IF(Import.TipoArredondamento&lt;&gt;"TransfereGOV",
ROUND(OFFSET($P670,0,AJ$13),15-13*ORÇAMENTO!$AF$7)/$H670*OFFSET(ORÇAMENTO!$X$15,ROW(AJ670)-ROW(AJ$15),0),
ROUND(ROUND(OFFSET($P670,0,AJ$13),15-13*ORÇAMENTO!$AF$7)*OFFSET(ORÇAMENTO!$W$15,ROW(AJ670)-ROW(AJ$15),0),15-13*ORÇAMENTO!$AF$11)),0)</f>
        <v>0</v>
      </c>
      <c r="AK670" s="545">
        <f ca="1">IF(AND($D670="Serviço",AK$12&lt;&gt;0,$H670&gt;0,OR(AUTOEVENTO&lt;&gt;"manual",$M670&lt;&gt;1)),
IF(Import.TipoArredondamento&lt;&gt;"TransfereGOV",
ROUND(OFFSET($P670,0,AK$13),15-13*ORÇAMENTO!$AF$7)/$H670*OFFSET(ORÇAMENTO!$X$15,ROW(AK670)-ROW(AK$15),0),
ROUND(ROUND(OFFSET($P670,0,AK$13),15-13*ORÇAMENTO!$AF$7)*OFFSET(ORÇAMENTO!$W$15,ROW(AK670)-ROW(AK$15),0),15-13*ORÇAMENTO!$AF$11)),0)</f>
        <v>0</v>
      </c>
      <c r="AL670" s="545">
        <f ca="1">IF(AND($D670="Serviço",AL$12&lt;&gt;0,$H670&gt;0,OR(AUTOEVENTO&lt;&gt;"manual",$M670&lt;&gt;1)),
IF(Import.TipoArredondamento&lt;&gt;"TransfereGOV",
ROUND(OFFSET($P670,0,AL$13),15-13*ORÇAMENTO!$AF$7)/$H670*OFFSET(ORÇAMENTO!$X$15,ROW(AL670)-ROW(AL$15),0),
ROUND(ROUND(OFFSET($P670,0,AL$13),15-13*ORÇAMENTO!$AF$7)*OFFSET(ORÇAMENTO!$W$15,ROW(AL670)-ROW(AL$15),0),15-13*ORÇAMENTO!$AF$11)),0)</f>
        <v>0</v>
      </c>
      <c r="AM670" s="545">
        <f ca="1">IF(AND($D670="Serviço",AM$12&lt;&gt;0,$H670&gt;0,OR(AUTOEVENTO&lt;&gt;"manual",$M670&lt;&gt;1)),
IF(Import.TipoArredondamento&lt;&gt;"TransfereGOV",
ROUND(OFFSET($P670,0,AM$13),15-13*ORÇAMENTO!$AF$7)/$H670*OFFSET(ORÇAMENTO!$X$15,ROW(AM670)-ROW(AM$15),0),
ROUND(ROUND(OFFSET($P670,0,AM$13),15-13*ORÇAMENTO!$AF$7)*OFFSET(ORÇAMENTO!$W$15,ROW(AM670)-ROW(AM$15),0),15-13*ORÇAMENTO!$AF$11)),0)</f>
        <v>0</v>
      </c>
      <c r="AN670" s="545">
        <f ca="1">IF(AND($D670="Serviço",AN$12&lt;&gt;0,$H670&gt;0,OR(AUTOEVENTO&lt;&gt;"manual",$M670&lt;&gt;1)),
IF(Import.TipoArredondamento&lt;&gt;"TransfereGOV",
ROUND(OFFSET($P670,0,AN$13),15-13*ORÇAMENTO!$AF$7)/$H670*OFFSET(ORÇAMENTO!$X$15,ROW(AN670)-ROW(AN$15),0),
ROUND(ROUND(OFFSET($P670,0,AN$13),15-13*ORÇAMENTO!$AF$7)*OFFSET(ORÇAMENTO!$W$15,ROW(AN670)-ROW(AN$15),0),15-13*ORÇAMENTO!$AF$11)),0)</f>
        <v>0</v>
      </c>
      <c r="AO670" s="545">
        <f ca="1">IF(AND($D670="Serviço",AO$12&lt;&gt;0,$H670&gt;0,OR(AUTOEVENTO&lt;&gt;"manual",$M670&lt;&gt;1)),
IF(Import.TipoArredondamento&lt;&gt;"TransfereGOV",
ROUND(OFFSET($P670,0,AO$13),15-13*ORÇAMENTO!$AF$7)/$H670*OFFSET(ORÇAMENTO!$X$15,ROW(AO670)-ROW(AO$15),0),
ROUND(ROUND(OFFSET($P670,0,AO$13),15-13*ORÇAMENTO!$AF$7)*OFFSET(ORÇAMENTO!$W$15,ROW(AO670)-ROW(AO$15),0),15-13*ORÇAMENTO!$AF$11)),0)</f>
        <v>0</v>
      </c>
      <c r="AP670" s="545">
        <f ca="1">IF(AND($D670="Serviço",AP$12&lt;&gt;0,$H670&gt;0,OR(AUTOEVENTO&lt;&gt;"manual",$M670&lt;&gt;1)),
IF(Import.TipoArredondamento&lt;&gt;"TransfereGOV",
ROUND(OFFSET($P670,0,AP$13),15-13*ORÇAMENTO!$AF$7)/$H670*OFFSET(ORÇAMENTO!$X$15,ROW(AP670)-ROW(AP$15),0),
ROUND(ROUND(OFFSET($P670,0,AP$13),15-13*ORÇAMENTO!$AF$7)*OFFSET(ORÇAMENTO!$W$15,ROW(AP670)-ROW(AP$15),0),15-13*ORÇAMENTO!$AF$11)),0)</f>
        <v>0</v>
      </c>
      <c r="AQ670" s="545">
        <f ca="1">IF(AND($D670="Serviço",AQ$12&lt;&gt;0,$H670&gt;0,OR(AUTOEVENTO&lt;&gt;"manual",$M670&lt;&gt;1)),
IF(Import.TipoArredondamento&lt;&gt;"TransfereGOV",
ROUND(OFFSET($P670,0,AQ$13),15-13*ORÇAMENTO!$AF$7)/$H670*OFFSET(ORÇAMENTO!$X$15,ROW(AQ670)-ROW(AQ$15),0),
ROUND(ROUND(OFFSET($P670,0,AQ$13),15-13*ORÇAMENTO!$AF$7)*OFFSET(ORÇAMENTO!$W$15,ROW(AQ670)-ROW(AQ$15),0),15-13*ORÇAMENTO!$AF$11)),0)</f>
        <v>0</v>
      </c>
      <c r="AR670" s="545">
        <f ca="1">IF(AND($D670="Serviço",AR$12&lt;&gt;0,$H670&gt;0,OR(AUTOEVENTO&lt;&gt;"manual",$M670&lt;&gt;1)),
IF(Import.TipoArredondamento&lt;&gt;"TransfereGOV",
ROUND(OFFSET($P670,0,AR$13),15-13*ORÇAMENTO!$AF$7)/$H670*OFFSET(ORÇAMENTO!$X$15,ROW(AR670)-ROW(AR$15),0),
ROUND(ROUND(OFFSET($P670,0,AR$13),15-13*ORÇAMENTO!$AF$7)*OFFSET(ORÇAMENTO!$W$15,ROW(AR670)-ROW(AR$15),0),15-13*ORÇAMENTO!$AF$11)),0)</f>
        <v>0</v>
      </c>
      <c r="AS670" s="546">
        <f ca="1">IF(AND($D670="Serviço",AS$12&lt;&gt;0,$H670&gt;0,OR(AUTOEVENTO&lt;&gt;"manual",$M670&lt;&gt;1)),
IF(Import.TipoArredondamento&lt;&gt;"TransfereGOV",
ROUND(OFFSET($P670,0,AS$13),15-13*ORÇAMENTO!$AF$7)/$H670*OFFSET(ORÇAMENTO!$X$15,ROW(AS670)-ROW(AS$15),0),
ROUND(ROUND(OFFSET($P670,0,AS$13),15-13*ORÇAMENTO!$AF$7)*OFFSET(ORÇAMENTO!$W$15,ROW(AS670)-ROW(AS$15),0),15-13*ORÇAMENTO!$AF$11)),0)</f>
        <v>0</v>
      </c>
      <c r="AT670" s="545">
        <f ca="1">IF(AND($D670="Serviço",AT$12&lt;&gt;0,$H670&gt;0,OR(AUTOEVENTO&lt;&gt;"manual",$M670&lt;&gt;1)),
IF(Import.TipoArredondamento&lt;&gt;"TransfereGOV",
ROUND(OFFSET($P670,0,AT$13),15-13*ORÇAMENTO!$AF$7)/$H670*OFFSET(ORÇAMENTO!$X$15,ROW(AT670)-ROW(AT$15),0),
ROUND(ROUND(OFFSET($P670,0,AT$13),15-13*ORÇAMENTO!$AF$7)*OFFSET(ORÇAMENTO!$W$15,ROW(AT670)-ROW(AT$15),0),15-13*ORÇAMENTO!$AF$11)),0)</f>
        <v>0</v>
      </c>
      <c r="AU670" s="545">
        <f ca="1">IF(AND($D670="Serviço",AU$12&lt;&gt;0,$H670&gt;0,OR(AUTOEVENTO&lt;&gt;"manual",$M670&lt;&gt;1)),
IF(Import.TipoArredondamento&lt;&gt;"TransfereGOV",
ROUND(OFFSET($P670,0,AU$13),15-13*ORÇAMENTO!$AF$7)/$H670*OFFSET(ORÇAMENTO!$X$15,ROW(AU670)-ROW(AU$15),0),
ROUND(ROUND(OFFSET($P670,0,AU$13),15-13*ORÇAMENTO!$AF$7)*OFFSET(ORÇAMENTO!$W$15,ROW(AU670)-ROW(AU$15),0),15-13*ORÇAMENTO!$AF$11)),0)</f>
        <v>0</v>
      </c>
      <c r="AV670" s="545">
        <f ca="1">IF(AND($D670="Serviço",AV$12&lt;&gt;0,$H670&gt;0,OR(AUTOEVENTO&lt;&gt;"manual",$M670&lt;&gt;1)),
IF(Import.TipoArredondamento&lt;&gt;"TransfereGOV",
ROUND(OFFSET($P670,0,AV$13),15-13*ORÇAMENTO!$AF$7)/$H670*OFFSET(ORÇAMENTO!$X$15,ROW(AV670)-ROW(AV$15),0),
ROUND(ROUND(OFFSET($P670,0,AV$13),15-13*ORÇAMENTO!$AF$7)*OFFSET(ORÇAMENTO!$W$15,ROW(AV670)-ROW(AV$15),0),15-13*ORÇAMENTO!$AF$11)),0)</f>
        <v>0</v>
      </c>
      <c r="AW670" s="545">
        <f ca="1">IF(AND($D670="Serviço",AW$12&lt;&gt;0,$H670&gt;0,OR(AUTOEVENTO&lt;&gt;"manual",$M670&lt;&gt;1)),
IF(Import.TipoArredondamento&lt;&gt;"TransfereGOV",
ROUND(OFFSET($P670,0,AW$13),15-13*ORÇAMENTO!$AF$7)/$H670*OFFSET(ORÇAMENTO!$X$15,ROW(AW670)-ROW(AW$15),0),
ROUND(ROUND(OFFSET($P670,0,AW$13),15-13*ORÇAMENTO!$AF$7)*OFFSET(ORÇAMENTO!$W$15,ROW(AW670)-ROW(AW$15),0),15-13*ORÇAMENTO!$AF$11)),0)</f>
        <v>0</v>
      </c>
      <c r="AX670" s="545">
        <f ca="1">IF(AND($D670="Serviço",AX$12&lt;&gt;0,$H670&gt;0,OR(AUTOEVENTO&lt;&gt;"manual",$M670&lt;&gt;1)),
IF(Import.TipoArredondamento&lt;&gt;"TransfereGOV",
ROUND(OFFSET($P670,0,AX$13),15-13*ORÇAMENTO!$AF$7)/$H670*OFFSET(ORÇAMENTO!$X$15,ROW(AX670)-ROW(AX$15),0),
ROUND(ROUND(OFFSET($P670,0,AX$13),15-13*ORÇAMENTO!$AF$7)*OFFSET(ORÇAMENTO!$W$15,ROW(AX670)-ROW(AX$15),0),15-13*ORÇAMENTO!$AF$11)),0)</f>
        <v>0</v>
      </c>
      <c r="AY670" s="545">
        <f ca="1">IF(AND($D670="Serviço",AY$12&lt;&gt;0,$H670&gt;0,OR(AUTOEVENTO&lt;&gt;"manual",$M670&lt;&gt;1)),
IF(Import.TipoArredondamento&lt;&gt;"TransfereGOV",
ROUND(OFFSET($P670,0,AY$13),15-13*ORÇAMENTO!$AF$7)/$H670*OFFSET(ORÇAMENTO!$X$15,ROW(AY670)-ROW(AY$15),0),
ROUND(ROUND(OFFSET($P670,0,AY$13),15-13*ORÇAMENTO!$AF$7)*OFFSET(ORÇAMENTO!$W$15,ROW(AY670)-ROW(AY$15),0),15-13*ORÇAMENTO!$AF$11)),0)</f>
        <v>0</v>
      </c>
      <c r="AZ670" s="545">
        <f ca="1">IF(AND($D670="Serviço",AZ$12&lt;&gt;0,$H670&gt;0,OR(AUTOEVENTO&lt;&gt;"manual",$M670&lt;&gt;1)),
IF(Import.TipoArredondamento&lt;&gt;"TransfereGOV",
ROUND(OFFSET($P670,0,AZ$13),15-13*ORÇAMENTO!$AF$7)/$H670*OFFSET(ORÇAMENTO!$X$15,ROW(AZ670)-ROW(AZ$15),0),
ROUND(ROUND(OFFSET($P670,0,AZ$13),15-13*ORÇAMENTO!$AF$7)*OFFSET(ORÇAMENTO!$W$15,ROW(AZ670)-ROW(AZ$15),0),15-13*ORÇAMENTO!$AF$11)),0)</f>
        <v>0</v>
      </c>
      <c r="BA670" s="546">
        <f ca="1">IF(AND($D670="Serviço",BA$12&lt;&gt;0,$H670&gt;0,OR(AUTOEVENTO&lt;&gt;"manual",$M670&lt;&gt;1)),
IF(Import.TipoArredondamento&lt;&gt;"TransfereGOV",
ROUND(OFFSET($P670,0,BA$13),15-13*ORÇAMENTO!$AF$7)/$H670*OFFSET(ORÇAMENTO!$X$15,ROW(BA670)-ROW(BA$15),0),
ROUND(ROUND(OFFSET($P670,0,BA$13),15-13*ORÇAMENTO!$AF$7)*OFFSET(ORÇAMENTO!$W$15,ROW(BA670)-ROW(BA$15),0),15-13*ORÇAMENTO!$AF$11)),0)</f>
        <v>0</v>
      </c>
      <c r="BC670" s="181">
        <f ca="1">IF($D670&lt;&gt;"Serviço",0,IF(AND(AUTOEVENTO="Manual",$M670=1),0,IF(OFFSET(CRONOPLE!$F$14,$M670,BC$13)="",10^12,OFFSET(CRONOPLE!$F$14,$M670,BC$13))))</f>
        <v>11</v>
      </c>
      <c r="BD670" s="181">
        <f ca="1">IF($D670&lt;&gt;"Serviço",0,IF(AND(AUTOEVENTO="Manual",$M670=1),0,IF(OFFSET(CRONOPLE!$F$14,$M670,BD$13)="",10^12,OFFSET(CRONOPLE!$F$14,$M670,BD$13))))</f>
        <v>1000000000000</v>
      </c>
      <c r="BE670" s="181">
        <f ca="1">IF($D670&lt;&gt;"Serviço",0,IF(AND(AUTOEVENTO="Manual",$M670=1),0,IF(OFFSET(CRONOPLE!$F$14,$M670,BE$13)="",10^12,OFFSET(CRONOPLE!$F$14,$M670,BE$13))))</f>
        <v>1000000000000</v>
      </c>
      <c r="BF670" s="181">
        <f ca="1">IF($D670&lt;&gt;"Serviço",0,IF(AND(AUTOEVENTO="Manual",$M670=1),0,IF(OFFSET(CRONOPLE!$F$14,$M670,BF$13)="",10^12,OFFSET(CRONOPLE!$F$14,$M670,BF$13))))</f>
        <v>1000000000000</v>
      </c>
      <c r="BG670" s="181">
        <f ca="1">IF($D670&lt;&gt;"Serviço",0,IF(AND(AUTOEVENTO="Manual",$M670=1),0,IF(OFFSET(CRONOPLE!$F$14,$M670,BG$13)="",10^12,OFFSET(CRONOPLE!$F$14,$M670,BG$13))))</f>
        <v>1000000000000</v>
      </c>
      <c r="BH670" s="181">
        <f ca="1">IF($D670&lt;&gt;"Serviço",0,IF(AND(AUTOEVENTO="Manual",$M670=1),0,IF(OFFSET(CRONOPLE!$F$14,$M670,BH$13)="",10^12,OFFSET(CRONOPLE!$F$14,$M670,BH$13))))</f>
        <v>1000000000000</v>
      </c>
      <c r="BI670" s="181">
        <f ca="1">IF($D670&lt;&gt;"Serviço",0,IF(AND(AUTOEVENTO="Manual",$M670=1),0,IF(OFFSET(CRONOPLE!$F$14,$M670,BI$13)="",10^12,OFFSET(CRONOPLE!$F$14,$M670,BI$13))))</f>
        <v>1000000000000</v>
      </c>
      <c r="BJ670" s="181">
        <f ca="1">IF($D670&lt;&gt;"Serviço",0,IF(AND(AUTOEVENTO="Manual",$M670=1),0,IF(OFFSET(CRONOPLE!$F$14,$M670,BJ$13)="",10^12,OFFSET(CRONOPLE!$F$14,$M670,BJ$13))))</f>
        <v>1000000000000</v>
      </c>
      <c r="BK670" s="181">
        <f ca="1">IF($D670&lt;&gt;"Serviço",0,IF(AND(AUTOEVENTO="Manual",$M670=1),0,IF(OFFSET(CRONOPLE!$F$14,$M670,BK$13)="",10^12,OFFSET(CRONOPLE!$F$14,$M670,BK$13))))</f>
        <v>1000000000000</v>
      </c>
      <c r="BL670" s="181">
        <f ca="1">IF($D670&lt;&gt;"Serviço",0,IF(AND(AUTOEVENTO="Manual",$M670=1),0,IF(OFFSET(CRONOPLE!$F$14,$M670,BL$13)="",10^12,OFFSET(CRONOPLE!$F$14,$M670,BL$13))))</f>
        <v>1000000000000</v>
      </c>
      <c r="BM670" s="181">
        <f ca="1">IF($D670&lt;&gt;"Serviço",0,IF(AND(AUTOEVENTO="Manual",$M670=1),0,IF(OFFSET(CRONOPLE!$F$14,$M670,BM$13)="",10^12,OFFSET(CRONOPLE!$F$14,$M670,BM$13))))</f>
        <v>1000000000000</v>
      </c>
      <c r="BN670" s="181">
        <f ca="1">IF($D670&lt;&gt;"Serviço",0,IF(AND(AUTOEVENTO="Manual",$M670=1),0,IF(OFFSET(CRONOPLE!$F$14,$M670,BN$13)="",10^12,OFFSET(CRONOPLE!$F$14,$M670,BN$13))))</f>
        <v>1000000000000</v>
      </c>
      <c r="BO670" s="181">
        <f ca="1">IF($D670&lt;&gt;"Serviço",0,IF(AND(AUTOEVENTO="Manual",$M670=1),0,IF(OFFSET(CRONOPLE!$F$14,$M670,BO$13)="",10^12,OFFSET(CRONOPLE!$F$14,$M670,BO$13))))</f>
        <v>1000000000000</v>
      </c>
      <c r="BP670" s="181">
        <f ca="1">IF($D670&lt;&gt;"Serviço",0,IF(AND(AUTOEVENTO="Manual",$M670=1),0,IF(OFFSET(CRONOPLE!$F$14,$M670,BP$13)="",10^12,OFFSET(CRONOPLE!$F$14,$M670,BP$13))))</f>
        <v>1000000000000</v>
      </c>
      <c r="BQ670" s="181">
        <f ca="1">IF($D670&lt;&gt;"Serviço",0,IF(AND(AUTOEVENTO="Manual",$M670=1),0,IF(OFFSET(CRONOPLE!$F$14,$M670,BQ$13)="",10^12,OFFSET(CRONOPLE!$F$14,$M670,BQ$13))))</f>
        <v>1000000000000</v>
      </c>
      <c r="BR670" s="181">
        <f ca="1">IF($D670&lt;&gt;"Serviço",0,IF(AND(AUTOEVENTO="Manual",$M670=1),0,IF(OFFSET(CRONOPLE!$F$14,$M670,BR$13)="",10^12,OFFSET(CRONOPLE!$F$14,$M670,BR$13))))</f>
        <v>1000000000000</v>
      </c>
      <c r="BS670" s="181">
        <f ca="1">IF($D670&lt;&gt;"Serviço",0,IF(AND(AUTOEVENTO="Manual",$M670=1),0,IF(OFFSET(CRONOPLE!$F$14,$M670,BS$13)="",10^12,OFFSET(CRONOPLE!$F$14,$M670,BS$13))))</f>
        <v>1000000000000</v>
      </c>
      <c r="BT670" s="181">
        <f ca="1">IF($D670&lt;&gt;"Serviço",0,IF(AND(AUTOEVENTO="Manual",$M670=1),0,IF(OFFSET(CRONOPLE!$F$14,$M670,BT$13)="",10^12,OFFSET(CRONOPLE!$F$14,$M670,BT$13))))</f>
        <v>1000000000000</v>
      </c>
      <c r="BV670" s="182">
        <f ca="1">IF($D670&lt;&gt;"Serviço",0,IF(OR(AND(AUTOEVENTO="Manual",$M670=1),$M670&gt;(ROW(PLE.lastrow)-ROW(PLE.firstrow))),0,IF(OFFSET(PLE!$G$14,$M670,BV$13)="",10^12,OFFSET(PLE!$G$14,$M670,BV$13))))</f>
        <v>1000000000000</v>
      </c>
      <c r="BW670" s="182">
        <f ca="1">IF($D670&lt;&gt;"Serviço",0,IF(OR(AND(AUTOEVENTO="Manual",$M670=1),$M670&gt;(ROW(PLE.lastrow)-ROW(PLE.firstrow))),0,IF(OFFSET(PLE!$G$14,$M670,BW$13)="",10^12,OFFSET(PLE!$G$14,$M670,BW$13))))</f>
        <v>1000000000000</v>
      </c>
      <c r="BX670" s="182">
        <f ca="1">IF($D670&lt;&gt;"Serviço",0,IF(OR(AND(AUTOEVENTO="Manual",$M670=1),$M670&gt;(ROW(PLE.lastrow)-ROW(PLE.firstrow))),0,IF(OFFSET(PLE!$G$14,$M670,BX$13)="",10^12,OFFSET(PLE!$G$14,$M670,BX$13))))</f>
        <v>1000000000000</v>
      </c>
      <c r="BY670" s="182">
        <f ca="1">IF($D670&lt;&gt;"Serviço",0,IF(OR(AND(AUTOEVENTO="Manual",$M670=1),$M670&gt;(ROW(PLE.lastrow)-ROW(PLE.firstrow))),0,IF(OFFSET(PLE!$G$14,$M670,BY$13)="",10^12,OFFSET(PLE!$G$14,$M670,BY$13))))</f>
        <v>1000000000000</v>
      </c>
      <c r="BZ670" s="182">
        <f ca="1">IF($D670&lt;&gt;"Serviço",0,IF(OR(AND(AUTOEVENTO="Manual",$M670=1),$M670&gt;(ROW(PLE.lastrow)-ROW(PLE.firstrow))),0,IF(OFFSET(PLE!$G$14,$M670,BZ$13)="",10^12,OFFSET(PLE!$G$14,$M670,BZ$13))))</f>
        <v>1000000000000</v>
      </c>
      <c r="CA670" s="182">
        <f ca="1">IF($D670&lt;&gt;"Serviço",0,IF(OR(AND(AUTOEVENTO="Manual",$M670=1),$M670&gt;(ROW(PLE.lastrow)-ROW(PLE.firstrow))),0,IF(OFFSET(PLE!$G$14,$M670,CA$13)="",10^12,OFFSET(PLE!$G$14,$M670,CA$13))))</f>
        <v>1000000000000</v>
      </c>
      <c r="CB670" s="182">
        <f ca="1">IF($D670&lt;&gt;"Serviço",0,IF(OR(AND(AUTOEVENTO="Manual",$M670=1),$M670&gt;(ROW(PLE.lastrow)-ROW(PLE.firstrow))),0,IF(OFFSET(PLE!$G$14,$M670,CB$13)="",10^12,OFFSET(PLE!$G$14,$M670,CB$13))))</f>
        <v>1000000000000</v>
      </c>
      <c r="CC670" s="182">
        <f ca="1">IF($D670&lt;&gt;"Serviço",0,IF(OR(AND(AUTOEVENTO="Manual",$M670=1),$M670&gt;(ROW(PLE.lastrow)-ROW(PLE.firstrow))),0,IF(OFFSET(PLE!$G$14,$M670,CC$13)="",10^12,OFFSET(PLE!$G$14,$M670,CC$13))))</f>
        <v>1000000000000</v>
      </c>
      <c r="CD670" s="182">
        <f ca="1">IF($D670&lt;&gt;"Serviço",0,IF(OR(AND(AUTOEVENTO="Manual",$M670=1),$M670&gt;(ROW(PLE.lastrow)-ROW(PLE.firstrow))),0,IF(OFFSET(PLE!$G$14,$M670,CD$13)="",10^12,OFFSET(PLE!$G$14,$M670,CD$13))))</f>
        <v>1000000000000</v>
      </c>
      <c r="CE670" s="182">
        <f ca="1">IF($D670&lt;&gt;"Serviço",0,IF(OR(AND(AUTOEVENTO="Manual",$M670=1),$M670&gt;(ROW(PLE.lastrow)-ROW(PLE.firstrow))),0,IF(OFFSET(PLE!$G$14,$M670,CE$13)="",10^12,OFFSET(PLE!$G$14,$M670,CE$13))))</f>
        <v>1000000000000</v>
      </c>
      <c r="CF670" s="182">
        <f ca="1">IF($D670&lt;&gt;"Serviço",0,IF(OR(AND(AUTOEVENTO="Manual",$M670=1),$M670&gt;(ROW(PLE.lastrow)-ROW(PLE.firstrow))),0,IF(OFFSET(PLE!$G$14,$M670,CF$13)="",10^12,OFFSET(PLE!$G$14,$M670,CF$13))))</f>
        <v>1000000000000</v>
      </c>
      <c r="CG670" s="182">
        <f ca="1">IF($D670&lt;&gt;"Serviço",0,IF(OR(AND(AUTOEVENTO="Manual",$M670=1),$M670&gt;(ROW(PLE.lastrow)-ROW(PLE.firstrow))),0,IF(OFFSET(PLE!$G$14,$M670,CG$13)="",10^12,OFFSET(PLE!$G$14,$M670,CG$13))))</f>
        <v>1000000000000</v>
      </c>
      <c r="CH670" s="182">
        <f ca="1">IF($D670&lt;&gt;"Serviço",0,IF(OR(AND(AUTOEVENTO="Manual",$M670=1),$M670&gt;(ROW(PLE.lastrow)-ROW(PLE.firstrow))),0,IF(OFFSET(PLE!$G$14,$M670,CH$13)="",10^12,OFFSET(PLE!$G$14,$M670,CH$13))))</f>
        <v>1000000000000</v>
      </c>
      <c r="CI670" s="182">
        <f ca="1">IF($D670&lt;&gt;"Serviço",0,IF(OR(AND(AUTOEVENTO="Manual",$M670=1),$M670&gt;(ROW(PLE.lastrow)-ROW(PLE.firstrow))),0,IF(OFFSET(PLE!$G$14,$M670,CI$13)="",10^12,OFFSET(PLE!$G$14,$M670,CI$13))))</f>
        <v>1000000000000</v>
      </c>
      <c r="CJ670" s="182">
        <f ca="1">IF($D670&lt;&gt;"Serviço",0,IF(OR(AND(AUTOEVENTO="Manual",$M670=1),$M670&gt;(ROW(PLE.lastrow)-ROW(PLE.firstrow))),0,IF(OFFSET(PLE!$G$14,$M670,CJ$13)="",10^12,OFFSET(PLE!$G$14,$M670,CJ$13))))</f>
        <v>1000000000000</v>
      </c>
      <c r="CK670" s="182">
        <f ca="1">IF($D670&lt;&gt;"Serviço",0,IF(OR(AND(AUTOEVENTO="Manual",$M670=1),$M670&gt;(ROW(PLE.lastrow)-ROW(PLE.firstrow))),0,IF(OFFSET(PLE!$G$14,$M670,CK$13)="",10^12,OFFSET(PLE!$G$14,$M670,CK$13))))</f>
        <v>1000000000000</v>
      </c>
      <c r="CL670" s="182">
        <f ca="1">IF($D670&lt;&gt;"Serviço",0,IF(OR(AND(AUTOEVENTO="Manual",$M670=1),$M670&gt;(ROW(PLE.lastrow)-ROW(PLE.firstrow))),0,IF(OFFSET(PLE!$G$14,$M670,CL$13)="",10^12,OFFSET(PLE!$G$14,$M670,CL$13))))</f>
        <v>1000000000000</v>
      </c>
      <c r="CM670" s="182">
        <f ca="1">IF($D670&lt;&gt;"Serviço",0,IF(OR(AND(AUTOEVENTO="Manual",$M670=1),$M670&gt;(ROW(PLE.lastrow)-ROW(PLE.firstrow))),0,IF(OFFSET(PLE!$G$14,$M670,CM$13)="",10^12,OFFSET(PLE!$G$14,$M670,CM$13))))</f>
        <v>1000000000000</v>
      </c>
    </row>
    <row r="671" spans="1:91" ht="25.5" x14ac:dyDescent="0.2">
      <c r="A671" s="7" t="str">
        <f t="shared" ca="1" si="19"/>
        <v>653</v>
      </c>
      <c r="B671" s="7" t="str">
        <f ca="1">OFFSET(ORÇAMENTO!C$15,ROW(B671)-ROW(B$15),0)</f>
        <v>S</v>
      </c>
      <c r="C671" s="7" t="str">
        <f ca="1">OFFSET(ORÇAMENTO!L$15,ROW(C671)-ROW(C$15),0)</f>
        <v/>
      </c>
      <c r="D671" s="118" t="str">
        <f ca="1">OFFSET(ORÇAMENTO!N$15,ROW(D671)-ROW(D$15),0)</f>
        <v>Serviço</v>
      </c>
      <c r="E671" s="119" t="str">
        <f ca="1">OFFSET(ORÇAMENTO!O$15,ROW(E671)-ROW(E$15),0)</f>
        <v>-</v>
      </c>
      <c r="F671" s="172" t="str">
        <f ca="1">OFFSET(ORÇAMENTO!R$15,ROW(F671)-ROW(F$15),0)</f>
        <v>(abra o arquivo 'Referência 06-2024.xlsm)</v>
      </c>
      <c r="G671" s="173" t="str">
        <f ca="1">IF($D671&lt;&gt;"Serviço","",OFFSET(ORÇAMENTO!S$15,ROW(G671)-ROW(G$15),0))</f>
        <v>-</v>
      </c>
      <c r="H671" s="124">
        <f ca="1">IF($D671&lt;&gt;"Serviço",0,IF(ACOMPANHAMENTO="BM",ROUND(OFFSET(ORÇAMENTO!AJ$15,ROW(H671)-ROW(H$15),0),15-13*ORÇAMENTO!$AF$7),SUMPRODUCT(($Q$12:$AI$12&lt;&gt;"")*ROUND($Q671:$AI671,15-13*ORÇAMENTO!$AF$7))))</f>
        <v>2.21</v>
      </c>
      <c r="I671" s="561" t="s">
        <v>1107</v>
      </c>
      <c r="K671" s="174"/>
      <c r="L671" s="175" t="s">
        <v>255</v>
      </c>
      <c r="M671" s="176">
        <f ca="1">IF($D671&lt;&gt;"Serviço","",IF(AUTOEVENTO="manual",$A671,IF(ISERROR(MATCH($A671,$A$15:OFFSET($A671,-1,0),0)),MAX($M$15:OFFSET(M671,-1,0))+1,INDEX($M$15:OFFSET(M671,-1,0),MATCH($A671,$A$15:OFFSET($A671,-1,0),0)))))</f>
        <v>73</v>
      </c>
      <c r="N671" s="177" t="str">
        <f ca="1">IF($D671&lt;&gt;"Serviço","",IF(AUTOEVENTO="Manual",IF($A671=0,"&lt;-- defina o número do agrupador",OFFSET(EVENTOS!$D$14,$A671,0)),OFFSET($F$15,$A671,0)))</f>
        <v>SERVIÇOS COMPLEMENTARES</v>
      </c>
      <c r="O671" s="178"/>
      <c r="Q671" s="178">
        <v>2.21</v>
      </c>
      <c r="R671" s="179"/>
      <c r="S671" s="179"/>
      <c r="T671" s="179"/>
      <c r="U671" s="179"/>
      <c r="V671" s="179"/>
      <c r="W671" s="179"/>
      <c r="X671" s="179"/>
      <c r="Y671" s="179"/>
      <c r="Z671" s="180"/>
      <c r="AA671" s="179"/>
      <c r="AB671" s="179"/>
      <c r="AC671" s="179"/>
      <c r="AD671" s="179"/>
      <c r="AE671" s="179"/>
      <c r="AF671" s="179"/>
      <c r="AG671" s="179"/>
      <c r="AH671" s="180"/>
      <c r="AJ671" s="544">
        <f ca="1">IF(AND($D671="Serviço",AJ$12&lt;&gt;0,$H671&gt;0,OR(AUTOEVENTO&lt;&gt;"manual",$M671&lt;&gt;1)),
IF(Import.TipoArredondamento&lt;&gt;"TransfereGOV",
ROUND(OFFSET($P671,0,AJ$13),15-13*ORÇAMENTO!$AF$7)/$H671*OFFSET(ORÇAMENTO!$X$15,ROW(AJ671)-ROW(AJ$15),0),
ROUND(ROUND(OFFSET($P671,0,AJ$13),15-13*ORÇAMENTO!$AF$7)*OFFSET(ORÇAMENTO!$W$15,ROW(AJ671)-ROW(AJ$15),0),15-13*ORÇAMENTO!$AF$11)),0)</f>
        <v>0</v>
      </c>
      <c r="AK671" s="545">
        <f ca="1">IF(AND($D671="Serviço",AK$12&lt;&gt;0,$H671&gt;0,OR(AUTOEVENTO&lt;&gt;"manual",$M671&lt;&gt;1)),
IF(Import.TipoArredondamento&lt;&gt;"TransfereGOV",
ROUND(OFFSET($P671,0,AK$13),15-13*ORÇAMENTO!$AF$7)/$H671*OFFSET(ORÇAMENTO!$X$15,ROW(AK671)-ROW(AK$15),0),
ROUND(ROUND(OFFSET($P671,0,AK$13),15-13*ORÇAMENTO!$AF$7)*OFFSET(ORÇAMENTO!$W$15,ROW(AK671)-ROW(AK$15),0),15-13*ORÇAMENTO!$AF$11)),0)</f>
        <v>0</v>
      </c>
      <c r="AL671" s="545">
        <f ca="1">IF(AND($D671="Serviço",AL$12&lt;&gt;0,$H671&gt;0,OR(AUTOEVENTO&lt;&gt;"manual",$M671&lt;&gt;1)),
IF(Import.TipoArredondamento&lt;&gt;"TransfereGOV",
ROUND(OFFSET($P671,0,AL$13),15-13*ORÇAMENTO!$AF$7)/$H671*OFFSET(ORÇAMENTO!$X$15,ROW(AL671)-ROW(AL$15),0),
ROUND(ROUND(OFFSET($P671,0,AL$13),15-13*ORÇAMENTO!$AF$7)*OFFSET(ORÇAMENTO!$W$15,ROW(AL671)-ROW(AL$15),0),15-13*ORÇAMENTO!$AF$11)),0)</f>
        <v>0</v>
      </c>
      <c r="AM671" s="545">
        <f ca="1">IF(AND($D671="Serviço",AM$12&lt;&gt;0,$H671&gt;0,OR(AUTOEVENTO&lt;&gt;"manual",$M671&lt;&gt;1)),
IF(Import.TipoArredondamento&lt;&gt;"TransfereGOV",
ROUND(OFFSET($P671,0,AM$13),15-13*ORÇAMENTO!$AF$7)/$H671*OFFSET(ORÇAMENTO!$X$15,ROW(AM671)-ROW(AM$15),0),
ROUND(ROUND(OFFSET($P671,0,AM$13),15-13*ORÇAMENTO!$AF$7)*OFFSET(ORÇAMENTO!$W$15,ROW(AM671)-ROW(AM$15),0),15-13*ORÇAMENTO!$AF$11)),0)</f>
        <v>0</v>
      </c>
      <c r="AN671" s="545">
        <f ca="1">IF(AND($D671="Serviço",AN$12&lt;&gt;0,$H671&gt;0,OR(AUTOEVENTO&lt;&gt;"manual",$M671&lt;&gt;1)),
IF(Import.TipoArredondamento&lt;&gt;"TransfereGOV",
ROUND(OFFSET($P671,0,AN$13),15-13*ORÇAMENTO!$AF$7)/$H671*OFFSET(ORÇAMENTO!$X$15,ROW(AN671)-ROW(AN$15),0),
ROUND(ROUND(OFFSET($P671,0,AN$13),15-13*ORÇAMENTO!$AF$7)*OFFSET(ORÇAMENTO!$W$15,ROW(AN671)-ROW(AN$15),0),15-13*ORÇAMENTO!$AF$11)),0)</f>
        <v>0</v>
      </c>
      <c r="AO671" s="545">
        <f ca="1">IF(AND($D671="Serviço",AO$12&lt;&gt;0,$H671&gt;0,OR(AUTOEVENTO&lt;&gt;"manual",$M671&lt;&gt;1)),
IF(Import.TipoArredondamento&lt;&gt;"TransfereGOV",
ROUND(OFFSET($P671,0,AO$13),15-13*ORÇAMENTO!$AF$7)/$H671*OFFSET(ORÇAMENTO!$X$15,ROW(AO671)-ROW(AO$15),0),
ROUND(ROUND(OFFSET($P671,0,AO$13),15-13*ORÇAMENTO!$AF$7)*OFFSET(ORÇAMENTO!$W$15,ROW(AO671)-ROW(AO$15),0),15-13*ORÇAMENTO!$AF$11)),0)</f>
        <v>0</v>
      </c>
      <c r="AP671" s="545">
        <f ca="1">IF(AND($D671="Serviço",AP$12&lt;&gt;0,$H671&gt;0,OR(AUTOEVENTO&lt;&gt;"manual",$M671&lt;&gt;1)),
IF(Import.TipoArredondamento&lt;&gt;"TransfereGOV",
ROUND(OFFSET($P671,0,AP$13),15-13*ORÇAMENTO!$AF$7)/$H671*OFFSET(ORÇAMENTO!$X$15,ROW(AP671)-ROW(AP$15),0),
ROUND(ROUND(OFFSET($P671,0,AP$13),15-13*ORÇAMENTO!$AF$7)*OFFSET(ORÇAMENTO!$W$15,ROW(AP671)-ROW(AP$15),0),15-13*ORÇAMENTO!$AF$11)),0)</f>
        <v>0</v>
      </c>
      <c r="AQ671" s="545">
        <f ca="1">IF(AND($D671="Serviço",AQ$12&lt;&gt;0,$H671&gt;0,OR(AUTOEVENTO&lt;&gt;"manual",$M671&lt;&gt;1)),
IF(Import.TipoArredondamento&lt;&gt;"TransfereGOV",
ROUND(OFFSET($P671,0,AQ$13),15-13*ORÇAMENTO!$AF$7)/$H671*OFFSET(ORÇAMENTO!$X$15,ROW(AQ671)-ROW(AQ$15),0),
ROUND(ROUND(OFFSET($P671,0,AQ$13),15-13*ORÇAMENTO!$AF$7)*OFFSET(ORÇAMENTO!$W$15,ROW(AQ671)-ROW(AQ$15),0),15-13*ORÇAMENTO!$AF$11)),0)</f>
        <v>0</v>
      </c>
      <c r="AR671" s="545">
        <f ca="1">IF(AND($D671="Serviço",AR$12&lt;&gt;0,$H671&gt;0,OR(AUTOEVENTO&lt;&gt;"manual",$M671&lt;&gt;1)),
IF(Import.TipoArredondamento&lt;&gt;"TransfereGOV",
ROUND(OFFSET($P671,0,AR$13),15-13*ORÇAMENTO!$AF$7)/$H671*OFFSET(ORÇAMENTO!$X$15,ROW(AR671)-ROW(AR$15),0),
ROUND(ROUND(OFFSET($P671,0,AR$13),15-13*ORÇAMENTO!$AF$7)*OFFSET(ORÇAMENTO!$W$15,ROW(AR671)-ROW(AR$15),0),15-13*ORÇAMENTO!$AF$11)),0)</f>
        <v>0</v>
      </c>
      <c r="AS671" s="546">
        <f ca="1">IF(AND($D671="Serviço",AS$12&lt;&gt;0,$H671&gt;0,OR(AUTOEVENTO&lt;&gt;"manual",$M671&lt;&gt;1)),
IF(Import.TipoArredondamento&lt;&gt;"TransfereGOV",
ROUND(OFFSET($P671,0,AS$13),15-13*ORÇAMENTO!$AF$7)/$H671*OFFSET(ORÇAMENTO!$X$15,ROW(AS671)-ROW(AS$15),0),
ROUND(ROUND(OFFSET($P671,0,AS$13),15-13*ORÇAMENTO!$AF$7)*OFFSET(ORÇAMENTO!$W$15,ROW(AS671)-ROW(AS$15),0),15-13*ORÇAMENTO!$AF$11)),0)</f>
        <v>0</v>
      </c>
      <c r="AT671" s="545">
        <f ca="1">IF(AND($D671="Serviço",AT$12&lt;&gt;0,$H671&gt;0,OR(AUTOEVENTO&lt;&gt;"manual",$M671&lt;&gt;1)),
IF(Import.TipoArredondamento&lt;&gt;"TransfereGOV",
ROUND(OFFSET($P671,0,AT$13),15-13*ORÇAMENTO!$AF$7)/$H671*OFFSET(ORÇAMENTO!$X$15,ROW(AT671)-ROW(AT$15),0),
ROUND(ROUND(OFFSET($P671,0,AT$13),15-13*ORÇAMENTO!$AF$7)*OFFSET(ORÇAMENTO!$W$15,ROW(AT671)-ROW(AT$15),0),15-13*ORÇAMENTO!$AF$11)),0)</f>
        <v>0</v>
      </c>
      <c r="AU671" s="545">
        <f ca="1">IF(AND($D671="Serviço",AU$12&lt;&gt;0,$H671&gt;0,OR(AUTOEVENTO&lt;&gt;"manual",$M671&lt;&gt;1)),
IF(Import.TipoArredondamento&lt;&gt;"TransfereGOV",
ROUND(OFFSET($P671,0,AU$13),15-13*ORÇAMENTO!$AF$7)/$H671*OFFSET(ORÇAMENTO!$X$15,ROW(AU671)-ROW(AU$15),0),
ROUND(ROUND(OFFSET($P671,0,AU$13),15-13*ORÇAMENTO!$AF$7)*OFFSET(ORÇAMENTO!$W$15,ROW(AU671)-ROW(AU$15),0),15-13*ORÇAMENTO!$AF$11)),0)</f>
        <v>0</v>
      </c>
      <c r="AV671" s="545">
        <f ca="1">IF(AND($D671="Serviço",AV$12&lt;&gt;0,$H671&gt;0,OR(AUTOEVENTO&lt;&gt;"manual",$M671&lt;&gt;1)),
IF(Import.TipoArredondamento&lt;&gt;"TransfereGOV",
ROUND(OFFSET($P671,0,AV$13),15-13*ORÇAMENTO!$AF$7)/$H671*OFFSET(ORÇAMENTO!$X$15,ROW(AV671)-ROW(AV$15),0),
ROUND(ROUND(OFFSET($P671,0,AV$13),15-13*ORÇAMENTO!$AF$7)*OFFSET(ORÇAMENTO!$W$15,ROW(AV671)-ROW(AV$15),0),15-13*ORÇAMENTO!$AF$11)),0)</f>
        <v>0</v>
      </c>
      <c r="AW671" s="545">
        <f ca="1">IF(AND($D671="Serviço",AW$12&lt;&gt;0,$H671&gt;0,OR(AUTOEVENTO&lt;&gt;"manual",$M671&lt;&gt;1)),
IF(Import.TipoArredondamento&lt;&gt;"TransfereGOV",
ROUND(OFFSET($P671,0,AW$13),15-13*ORÇAMENTO!$AF$7)/$H671*OFFSET(ORÇAMENTO!$X$15,ROW(AW671)-ROW(AW$15),0),
ROUND(ROUND(OFFSET($P671,0,AW$13),15-13*ORÇAMENTO!$AF$7)*OFFSET(ORÇAMENTO!$W$15,ROW(AW671)-ROW(AW$15),0),15-13*ORÇAMENTO!$AF$11)),0)</f>
        <v>0</v>
      </c>
      <c r="AX671" s="545">
        <f ca="1">IF(AND($D671="Serviço",AX$12&lt;&gt;0,$H671&gt;0,OR(AUTOEVENTO&lt;&gt;"manual",$M671&lt;&gt;1)),
IF(Import.TipoArredondamento&lt;&gt;"TransfereGOV",
ROUND(OFFSET($P671,0,AX$13),15-13*ORÇAMENTO!$AF$7)/$H671*OFFSET(ORÇAMENTO!$X$15,ROW(AX671)-ROW(AX$15),0),
ROUND(ROUND(OFFSET($P671,0,AX$13),15-13*ORÇAMENTO!$AF$7)*OFFSET(ORÇAMENTO!$W$15,ROW(AX671)-ROW(AX$15),0),15-13*ORÇAMENTO!$AF$11)),0)</f>
        <v>0</v>
      </c>
      <c r="AY671" s="545">
        <f ca="1">IF(AND($D671="Serviço",AY$12&lt;&gt;0,$H671&gt;0,OR(AUTOEVENTO&lt;&gt;"manual",$M671&lt;&gt;1)),
IF(Import.TipoArredondamento&lt;&gt;"TransfereGOV",
ROUND(OFFSET($P671,0,AY$13),15-13*ORÇAMENTO!$AF$7)/$H671*OFFSET(ORÇAMENTO!$X$15,ROW(AY671)-ROW(AY$15),0),
ROUND(ROUND(OFFSET($P671,0,AY$13),15-13*ORÇAMENTO!$AF$7)*OFFSET(ORÇAMENTO!$W$15,ROW(AY671)-ROW(AY$15),0),15-13*ORÇAMENTO!$AF$11)),0)</f>
        <v>0</v>
      </c>
      <c r="AZ671" s="545">
        <f ca="1">IF(AND($D671="Serviço",AZ$12&lt;&gt;0,$H671&gt;0,OR(AUTOEVENTO&lt;&gt;"manual",$M671&lt;&gt;1)),
IF(Import.TipoArredondamento&lt;&gt;"TransfereGOV",
ROUND(OFFSET($P671,0,AZ$13),15-13*ORÇAMENTO!$AF$7)/$H671*OFFSET(ORÇAMENTO!$X$15,ROW(AZ671)-ROW(AZ$15),0),
ROUND(ROUND(OFFSET($P671,0,AZ$13),15-13*ORÇAMENTO!$AF$7)*OFFSET(ORÇAMENTO!$W$15,ROW(AZ671)-ROW(AZ$15),0),15-13*ORÇAMENTO!$AF$11)),0)</f>
        <v>0</v>
      </c>
      <c r="BA671" s="546">
        <f ca="1">IF(AND($D671="Serviço",BA$12&lt;&gt;0,$H671&gt;0,OR(AUTOEVENTO&lt;&gt;"manual",$M671&lt;&gt;1)),
IF(Import.TipoArredondamento&lt;&gt;"TransfereGOV",
ROUND(OFFSET($P671,0,BA$13),15-13*ORÇAMENTO!$AF$7)/$H671*OFFSET(ORÇAMENTO!$X$15,ROW(BA671)-ROW(BA$15),0),
ROUND(ROUND(OFFSET($P671,0,BA$13),15-13*ORÇAMENTO!$AF$7)*OFFSET(ORÇAMENTO!$W$15,ROW(BA671)-ROW(BA$15),0),15-13*ORÇAMENTO!$AF$11)),0)</f>
        <v>0</v>
      </c>
      <c r="BC671" s="181">
        <f ca="1">IF($D671&lt;&gt;"Serviço",0,IF(AND(AUTOEVENTO="Manual",$M671=1),0,IF(OFFSET(CRONOPLE!$F$14,$M671,BC$13)="",10^12,OFFSET(CRONOPLE!$F$14,$M671,BC$13))))</f>
        <v>11</v>
      </c>
      <c r="BD671" s="181">
        <f ca="1">IF($D671&lt;&gt;"Serviço",0,IF(AND(AUTOEVENTO="Manual",$M671=1),0,IF(OFFSET(CRONOPLE!$F$14,$M671,BD$13)="",10^12,OFFSET(CRONOPLE!$F$14,$M671,BD$13))))</f>
        <v>1000000000000</v>
      </c>
      <c r="BE671" s="181">
        <f ca="1">IF($D671&lt;&gt;"Serviço",0,IF(AND(AUTOEVENTO="Manual",$M671=1),0,IF(OFFSET(CRONOPLE!$F$14,$M671,BE$13)="",10^12,OFFSET(CRONOPLE!$F$14,$M671,BE$13))))</f>
        <v>1000000000000</v>
      </c>
      <c r="BF671" s="181">
        <f ca="1">IF($D671&lt;&gt;"Serviço",0,IF(AND(AUTOEVENTO="Manual",$M671=1),0,IF(OFFSET(CRONOPLE!$F$14,$M671,BF$13)="",10^12,OFFSET(CRONOPLE!$F$14,$M671,BF$13))))</f>
        <v>1000000000000</v>
      </c>
      <c r="BG671" s="181">
        <f ca="1">IF($D671&lt;&gt;"Serviço",0,IF(AND(AUTOEVENTO="Manual",$M671=1),0,IF(OFFSET(CRONOPLE!$F$14,$M671,BG$13)="",10^12,OFFSET(CRONOPLE!$F$14,$M671,BG$13))))</f>
        <v>1000000000000</v>
      </c>
      <c r="BH671" s="181">
        <f ca="1">IF($D671&lt;&gt;"Serviço",0,IF(AND(AUTOEVENTO="Manual",$M671=1),0,IF(OFFSET(CRONOPLE!$F$14,$M671,BH$13)="",10^12,OFFSET(CRONOPLE!$F$14,$M671,BH$13))))</f>
        <v>1000000000000</v>
      </c>
      <c r="BI671" s="181">
        <f ca="1">IF($D671&lt;&gt;"Serviço",0,IF(AND(AUTOEVENTO="Manual",$M671=1),0,IF(OFFSET(CRONOPLE!$F$14,$M671,BI$13)="",10^12,OFFSET(CRONOPLE!$F$14,$M671,BI$13))))</f>
        <v>1000000000000</v>
      </c>
      <c r="BJ671" s="181">
        <f ca="1">IF($D671&lt;&gt;"Serviço",0,IF(AND(AUTOEVENTO="Manual",$M671=1),0,IF(OFFSET(CRONOPLE!$F$14,$M671,BJ$13)="",10^12,OFFSET(CRONOPLE!$F$14,$M671,BJ$13))))</f>
        <v>1000000000000</v>
      </c>
      <c r="BK671" s="181">
        <f ca="1">IF($D671&lt;&gt;"Serviço",0,IF(AND(AUTOEVENTO="Manual",$M671=1),0,IF(OFFSET(CRONOPLE!$F$14,$M671,BK$13)="",10^12,OFFSET(CRONOPLE!$F$14,$M671,BK$13))))</f>
        <v>1000000000000</v>
      </c>
      <c r="BL671" s="181">
        <f ca="1">IF($D671&lt;&gt;"Serviço",0,IF(AND(AUTOEVENTO="Manual",$M671=1),0,IF(OFFSET(CRONOPLE!$F$14,$M671,BL$13)="",10^12,OFFSET(CRONOPLE!$F$14,$M671,BL$13))))</f>
        <v>1000000000000</v>
      </c>
      <c r="BM671" s="181">
        <f ca="1">IF($D671&lt;&gt;"Serviço",0,IF(AND(AUTOEVENTO="Manual",$M671=1),0,IF(OFFSET(CRONOPLE!$F$14,$M671,BM$13)="",10^12,OFFSET(CRONOPLE!$F$14,$M671,BM$13))))</f>
        <v>1000000000000</v>
      </c>
      <c r="BN671" s="181">
        <f ca="1">IF($D671&lt;&gt;"Serviço",0,IF(AND(AUTOEVENTO="Manual",$M671=1),0,IF(OFFSET(CRONOPLE!$F$14,$M671,BN$13)="",10^12,OFFSET(CRONOPLE!$F$14,$M671,BN$13))))</f>
        <v>1000000000000</v>
      </c>
      <c r="BO671" s="181">
        <f ca="1">IF($D671&lt;&gt;"Serviço",0,IF(AND(AUTOEVENTO="Manual",$M671=1),0,IF(OFFSET(CRONOPLE!$F$14,$M671,BO$13)="",10^12,OFFSET(CRONOPLE!$F$14,$M671,BO$13))))</f>
        <v>1000000000000</v>
      </c>
      <c r="BP671" s="181">
        <f ca="1">IF($D671&lt;&gt;"Serviço",0,IF(AND(AUTOEVENTO="Manual",$M671=1),0,IF(OFFSET(CRONOPLE!$F$14,$M671,BP$13)="",10^12,OFFSET(CRONOPLE!$F$14,$M671,BP$13))))</f>
        <v>1000000000000</v>
      </c>
      <c r="BQ671" s="181">
        <f ca="1">IF($D671&lt;&gt;"Serviço",0,IF(AND(AUTOEVENTO="Manual",$M671=1),0,IF(OFFSET(CRONOPLE!$F$14,$M671,BQ$13)="",10^12,OFFSET(CRONOPLE!$F$14,$M671,BQ$13))))</f>
        <v>1000000000000</v>
      </c>
      <c r="BR671" s="181">
        <f ca="1">IF($D671&lt;&gt;"Serviço",0,IF(AND(AUTOEVENTO="Manual",$M671=1),0,IF(OFFSET(CRONOPLE!$F$14,$M671,BR$13)="",10^12,OFFSET(CRONOPLE!$F$14,$M671,BR$13))))</f>
        <v>1000000000000</v>
      </c>
      <c r="BS671" s="181">
        <f ca="1">IF($D671&lt;&gt;"Serviço",0,IF(AND(AUTOEVENTO="Manual",$M671=1),0,IF(OFFSET(CRONOPLE!$F$14,$M671,BS$13)="",10^12,OFFSET(CRONOPLE!$F$14,$M671,BS$13))))</f>
        <v>1000000000000</v>
      </c>
      <c r="BT671" s="181">
        <f ca="1">IF($D671&lt;&gt;"Serviço",0,IF(AND(AUTOEVENTO="Manual",$M671=1),0,IF(OFFSET(CRONOPLE!$F$14,$M671,BT$13)="",10^12,OFFSET(CRONOPLE!$F$14,$M671,BT$13))))</f>
        <v>1000000000000</v>
      </c>
      <c r="BV671" s="182">
        <f ca="1">IF($D671&lt;&gt;"Serviço",0,IF(OR(AND(AUTOEVENTO="Manual",$M671=1),$M671&gt;(ROW(PLE.lastrow)-ROW(PLE.firstrow))),0,IF(OFFSET(PLE!$G$14,$M671,BV$13)="",10^12,OFFSET(PLE!$G$14,$M671,BV$13))))</f>
        <v>1000000000000</v>
      </c>
      <c r="BW671" s="182">
        <f ca="1">IF($D671&lt;&gt;"Serviço",0,IF(OR(AND(AUTOEVENTO="Manual",$M671=1),$M671&gt;(ROW(PLE.lastrow)-ROW(PLE.firstrow))),0,IF(OFFSET(PLE!$G$14,$M671,BW$13)="",10^12,OFFSET(PLE!$G$14,$M671,BW$13))))</f>
        <v>1000000000000</v>
      </c>
      <c r="BX671" s="182">
        <f ca="1">IF($D671&lt;&gt;"Serviço",0,IF(OR(AND(AUTOEVENTO="Manual",$M671=1),$M671&gt;(ROW(PLE.lastrow)-ROW(PLE.firstrow))),0,IF(OFFSET(PLE!$G$14,$M671,BX$13)="",10^12,OFFSET(PLE!$G$14,$M671,BX$13))))</f>
        <v>1000000000000</v>
      </c>
      <c r="BY671" s="182">
        <f ca="1">IF($D671&lt;&gt;"Serviço",0,IF(OR(AND(AUTOEVENTO="Manual",$M671=1),$M671&gt;(ROW(PLE.lastrow)-ROW(PLE.firstrow))),0,IF(OFFSET(PLE!$G$14,$M671,BY$13)="",10^12,OFFSET(PLE!$G$14,$M671,BY$13))))</f>
        <v>1000000000000</v>
      </c>
      <c r="BZ671" s="182">
        <f ca="1">IF($D671&lt;&gt;"Serviço",0,IF(OR(AND(AUTOEVENTO="Manual",$M671=1),$M671&gt;(ROW(PLE.lastrow)-ROW(PLE.firstrow))),0,IF(OFFSET(PLE!$G$14,$M671,BZ$13)="",10^12,OFFSET(PLE!$G$14,$M671,BZ$13))))</f>
        <v>1000000000000</v>
      </c>
      <c r="CA671" s="182">
        <f ca="1">IF($D671&lt;&gt;"Serviço",0,IF(OR(AND(AUTOEVENTO="Manual",$M671=1),$M671&gt;(ROW(PLE.lastrow)-ROW(PLE.firstrow))),0,IF(OFFSET(PLE!$G$14,$M671,CA$13)="",10^12,OFFSET(PLE!$G$14,$M671,CA$13))))</f>
        <v>1000000000000</v>
      </c>
      <c r="CB671" s="182">
        <f ca="1">IF($D671&lt;&gt;"Serviço",0,IF(OR(AND(AUTOEVENTO="Manual",$M671=1),$M671&gt;(ROW(PLE.lastrow)-ROW(PLE.firstrow))),0,IF(OFFSET(PLE!$G$14,$M671,CB$13)="",10^12,OFFSET(PLE!$G$14,$M671,CB$13))))</f>
        <v>1000000000000</v>
      </c>
      <c r="CC671" s="182">
        <f ca="1">IF($D671&lt;&gt;"Serviço",0,IF(OR(AND(AUTOEVENTO="Manual",$M671=1),$M671&gt;(ROW(PLE.lastrow)-ROW(PLE.firstrow))),0,IF(OFFSET(PLE!$G$14,$M671,CC$13)="",10^12,OFFSET(PLE!$G$14,$M671,CC$13))))</f>
        <v>1000000000000</v>
      </c>
      <c r="CD671" s="182">
        <f ca="1">IF($D671&lt;&gt;"Serviço",0,IF(OR(AND(AUTOEVENTO="Manual",$M671=1),$M671&gt;(ROW(PLE.lastrow)-ROW(PLE.firstrow))),0,IF(OFFSET(PLE!$G$14,$M671,CD$13)="",10^12,OFFSET(PLE!$G$14,$M671,CD$13))))</f>
        <v>1000000000000</v>
      </c>
      <c r="CE671" s="182">
        <f ca="1">IF($D671&lt;&gt;"Serviço",0,IF(OR(AND(AUTOEVENTO="Manual",$M671=1),$M671&gt;(ROW(PLE.lastrow)-ROW(PLE.firstrow))),0,IF(OFFSET(PLE!$G$14,$M671,CE$13)="",10^12,OFFSET(PLE!$G$14,$M671,CE$13))))</f>
        <v>1000000000000</v>
      </c>
      <c r="CF671" s="182">
        <f ca="1">IF($D671&lt;&gt;"Serviço",0,IF(OR(AND(AUTOEVENTO="Manual",$M671=1),$M671&gt;(ROW(PLE.lastrow)-ROW(PLE.firstrow))),0,IF(OFFSET(PLE!$G$14,$M671,CF$13)="",10^12,OFFSET(PLE!$G$14,$M671,CF$13))))</f>
        <v>1000000000000</v>
      </c>
      <c r="CG671" s="182">
        <f ca="1">IF($D671&lt;&gt;"Serviço",0,IF(OR(AND(AUTOEVENTO="Manual",$M671=1),$M671&gt;(ROW(PLE.lastrow)-ROW(PLE.firstrow))),0,IF(OFFSET(PLE!$G$14,$M671,CG$13)="",10^12,OFFSET(PLE!$G$14,$M671,CG$13))))</f>
        <v>1000000000000</v>
      </c>
      <c r="CH671" s="182">
        <f ca="1">IF($D671&lt;&gt;"Serviço",0,IF(OR(AND(AUTOEVENTO="Manual",$M671=1),$M671&gt;(ROW(PLE.lastrow)-ROW(PLE.firstrow))),0,IF(OFFSET(PLE!$G$14,$M671,CH$13)="",10^12,OFFSET(PLE!$G$14,$M671,CH$13))))</f>
        <v>1000000000000</v>
      </c>
      <c r="CI671" s="182">
        <f ca="1">IF($D671&lt;&gt;"Serviço",0,IF(OR(AND(AUTOEVENTO="Manual",$M671=1),$M671&gt;(ROW(PLE.lastrow)-ROW(PLE.firstrow))),0,IF(OFFSET(PLE!$G$14,$M671,CI$13)="",10^12,OFFSET(PLE!$G$14,$M671,CI$13))))</f>
        <v>1000000000000</v>
      </c>
      <c r="CJ671" s="182">
        <f ca="1">IF($D671&lt;&gt;"Serviço",0,IF(OR(AND(AUTOEVENTO="Manual",$M671=1),$M671&gt;(ROW(PLE.lastrow)-ROW(PLE.firstrow))),0,IF(OFFSET(PLE!$G$14,$M671,CJ$13)="",10^12,OFFSET(PLE!$G$14,$M671,CJ$13))))</f>
        <v>1000000000000</v>
      </c>
      <c r="CK671" s="182">
        <f ca="1">IF($D671&lt;&gt;"Serviço",0,IF(OR(AND(AUTOEVENTO="Manual",$M671=1),$M671&gt;(ROW(PLE.lastrow)-ROW(PLE.firstrow))),0,IF(OFFSET(PLE!$G$14,$M671,CK$13)="",10^12,OFFSET(PLE!$G$14,$M671,CK$13))))</f>
        <v>1000000000000</v>
      </c>
      <c r="CL671" s="182">
        <f ca="1">IF($D671&lt;&gt;"Serviço",0,IF(OR(AND(AUTOEVENTO="Manual",$M671=1),$M671&gt;(ROW(PLE.lastrow)-ROW(PLE.firstrow))),0,IF(OFFSET(PLE!$G$14,$M671,CL$13)="",10^12,OFFSET(PLE!$G$14,$M671,CL$13))))</f>
        <v>1000000000000</v>
      </c>
      <c r="CM671" s="182">
        <f ca="1">IF($D671&lt;&gt;"Serviço",0,IF(OR(AND(AUTOEVENTO="Manual",$M671=1),$M671&gt;(ROW(PLE.lastrow)-ROW(PLE.firstrow))),0,IF(OFFSET(PLE!$G$14,$M671,CM$13)="",10^12,OFFSET(PLE!$G$14,$M671,CM$13))))</f>
        <v>1000000000000</v>
      </c>
    </row>
    <row r="672" spans="1:91" ht="25.5" x14ac:dyDescent="0.2">
      <c r="A672" s="7" t="str">
        <f t="shared" ca="1" si="19"/>
        <v>653</v>
      </c>
      <c r="B672" s="7" t="str">
        <f ca="1">OFFSET(ORÇAMENTO!C$15,ROW(B672)-ROW(B$15),0)</f>
        <v>S</v>
      </c>
      <c r="C672" s="7" t="str">
        <f ca="1">OFFSET(ORÇAMENTO!L$15,ROW(C672)-ROW(C$15),0)</f>
        <v/>
      </c>
      <c r="D672" s="118" t="str">
        <f ca="1">OFFSET(ORÇAMENTO!N$15,ROW(D672)-ROW(D$15),0)</f>
        <v>Serviço</v>
      </c>
      <c r="E672" s="119" t="str">
        <f ca="1">OFFSET(ORÇAMENTO!O$15,ROW(E672)-ROW(E$15),0)</f>
        <v>-</v>
      </c>
      <c r="F672" s="172" t="str">
        <f ca="1">OFFSET(ORÇAMENTO!R$15,ROW(F672)-ROW(F$15),0)</f>
        <v>(abra o arquivo 'Referência 06-2024.xlsm)</v>
      </c>
      <c r="G672" s="173" t="str">
        <f ca="1">IF($D672&lt;&gt;"Serviço","",OFFSET(ORÇAMENTO!S$15,ROW(G672)-ROW(G$15),0))</f>
        <v>-</v>
      </c>
      <c r="H672" s="124">
        <f ca="1">IF($D672&lt;&gt;"Serviço",0,IF(ACOMPANHAMENTO="BM",ROUND(OFFSET(ORÇAMENTO!AJ$15,ROW(H672)-ROW(H$15),0),15-13*ORÇAMENTO!$AF$7),SUMPRODUCT(($Q$12:$AI$12&lt;&gt;"")*ROUND($Q672:$AI672,15-13*ORÇAMENTO!$AF$7))))</f>
        <v>53.79</v>
      </c>
      <c r="I672" s="561" t="s">
        <v>1107</v>
      </c>
      <c r="K672" s="174"/>
      <c r="L672" s="175" t="s">
        <v>255</v>
      </c>
      <c r="M672" s="176">
        <f ca="1">IF($D672&lt;&gt;"Serviço","",IF(AUTOEVENTO="manual",$A672,IF(ISERROR(MATCH($A672,$A$15:OFFSET($A672,-1,0),0)),MAX($M$15:OFFSET(M672,-1,0))+1,INDEX($M$15:OFFSET(M672,-1,0),MATCH($A672,$A$15:OFFSET($A672,-1,0),0)))))</f>
        <v>73</v>
      </c>
      <c r="N672" s="177" t="str">
        <f ca="1">IF($D672&lt;&gt;"Serviço","",IF(AUTOEVENTO="Manual",IF($A672=0,"&lt;-- defina o número do agrupador",OFFSET(EVENTOS!$D$14,$A672,0)),OFFSET($F$15,$A672,0)))</f>
        <v>SERVIÇOS COMPLEMENTARES</v>
      </c>
      <c r="O672" s="178"/>
      <c r="Q672" s="178">
        <v>53.79</v>
      </c>
      <c r="R672" s="179"/>
      <c r="S672" s="179"/>
      <c r="T672" s="179"/>
      <c r="U672" s="179"/>
      <c r="V672" s="179"/>
      <c r="W672" s="179"/>
      <c r="X672" s="179"/>
      <c r="Y672" s="179"/>
      <c r="Z672" s="180"/>
      <c r="AA672" s="179"/>
      <c r="AB672" s="179"/>
      <c r="AC672" s="179"/>
      <c r="AD672" s="179"/>
      <c r="AE672" s="179"/>
      <c r="AF672" s="179"/>
      <c r="AG672" s="179"/>
      <c r="AH672" s="180"/>
      <c r="AJ672" s="544">
        <f ca="1">IF(AND($D672="Serviço",AJ$12&lt;&gt;0,$H672&gt;0,OR(AUTOEVENTO&lt;&gt;"manual",$M672&lt;&gt;1)),
IF(Import.TipoArredondamento&lt;&gt;"TransfereGOV",
ROUND(OFFSET($P672,0,AJ$13),15-13*ORÇAMENTO!$AF$7)/$H672*OFFSET(ORÇAMENTO!$X$15,ROW(AJ672)-ROW(AJ$15),0),
ROUND(ROUND(OFFSET($P672,0,AJ$13),15-13*ORÇAMENTO!$AF$7)*OFFSET(ORÇAMENTO!$W$15,ROW(AJ672)-ROW(AJ$15),0),15-13*ORÇAMENTO!$AF$11)),0)</f>
        <v>0</v>
      </c>
      <c r="AK672" s="545">
        <f ca="1">IF(AND($D672="Serviço",AK$12&lt;&gt;0,$H672&gt;0,OR(AUTOEVENTO&lt;&gt;"manual",$M672&lt;&gt;1)),
IF(Import.TipoArredondamento&lt;&gt;"TransfereGOV",
ROUND(OFFSET($P672,0,AK$13),15-13*ORÇAMENTO!$AF$7)/$H672*OFFSET(ORÇAMENTO!$X$15,ROW(AK672)-ROW(AK$15),0),
ROUND(ROUND(OFFSET($P672,0,AK$13),15-13*ORÇAMENTO!$AF$7)*OFFSET(ORÇAMENTO!$W$15,ROW(AK672)-ROW(AK$15),0),15-13*ORÇAMENTO!$AF$11)),0)</f>
        <v>0</v>
      </c>
      <c r="AL672" s="545">
        <f ca="1">IF(AND($D672="Serviço",AL$12&lt;&gt;0,$H672&gt;0,OR(AUTOEVENTO&lt;&gt;"manual",$M672&lt;&gt;1)),
IF(Import.TipoArredondamento&lt;&gt;"TransfereGOV",
ROUND(OFFSET($P672,0,AL$13),15-13*ORÇAMENTO!$AF$7)/$H672*OFFSET(ORÇAMENTO!$X$15,ROW(AL672)-ROW(AL$15),0),
ROUND(ROUND(OFFSET($P672,0,AL$13),15-13*ORÇAMENTO!$AF$7)*OFFSET(ORÇAMENTO!$W$15,ROW(AL672)-ROW(AL$15),0),15-13*ORÇAMENTO!$AF$11)),0)</f>
        <v>0</v>
      </c>
      <c r="AM672" s="545">
        <f ca="1">IF(AND($D672="Serviço",AM$12&lt;&gt;0,$H672&gt;0,OR(AUTOEVENTO&lt;&gt;"manual",$M672&lt;&gt;1)),
IF(Import.TipoArredondamento&lt;&gt;"TransfereGOV",
ROUND(OFFSET($P672,0,AM$13),15-13*ORÇAMENTO!$AF$7)/$H672*OFFSET(ORÇAMENTO!$X$15,ROW(AM672)-ROW(AM$15),0),
ROUND(ROUND(OFFSET($P672,0,AM$13),15-13*ORÇAMENTO!$AF$7)*OFFSET(ORÇAMENTO!$W$15,ROW(AM672)-ROW(AM$15),0),15-13*ORÇAMENTO!$AF$11)),0)</f>
        <v>0</v>
      </c>
      <c r="AN672" s="545">
        <f ca="1">IF(AND($D672="Serviço",AN$12&lt;&gt;0,$H672&gt;0,OR(AUTOEVENTO&lt;&gt;"manual",$M672&lt;&gt;1)),
IF(Import.TipoArredondamento&lt;&gt;"TransfereGOV",
ROUND(OFFSET($P672,0,AN$13),15-13*ORÇAMENTO!$AF$7)/$H672*OFFSET(ORÇAMENTO!$X$15,ROW(AN672)-ROW(AN$15),0),
ROUND(ROUND(OFFSET($P672,0,AN$13),15-13*ORÇAMENTO!$AF$7)*OFFSET(ORÇAMENTO!$W$15,ROW(AN672)-ROW(AN$15),0),15-13*ORÇAMENTO!$AF$11)),0)</f>
        <v>0</v>
      </c>
      <c r="AO672" s="545">
        <f ca="1">IF(AND($D672="Serviço",AO$12&lt;&gt;0,$H672&gt;0,OR(AUTOEVENTO&lt;&gt;"manual",$M672&lt;&gt;1)),
IF(Import.TipoArredondamento&lt;&gt;"TransfereGOV",
ROUND(OFFSET($P672,0,AO$13),15-13*ORÇAMENTO!$AF$7)/$H672*OFFSET(ORÇAMENTO!$X$15,ROW(AO672)-ROW(AO$15),0),
ROUND(ROUND(OFFSET($P672,0,AO$13),15-13*ORÇAMENTO!$AF$7)*OFFSET(ORÇAMENTO!$W$15,ROW(AO672)-ROW(AO$15),0),15-13*ORÇAMENTO!$AF$11)),0)</f>
        <v>0</v>
      </c>
      <c r="AP672" s="545">
        <f ca="1">IF(AND($D672="Serviço",AP$12&lt;&gt;0,$H672&gt;0,OR(AUTOEVENTO&lt;&gt;"manual",$M672&lt;&gt;1)),
IF(Import.TipoArredondamento&lt;&gt;"TransfereGOV",
ROUND(OFFSET($P672,0,AP$13),15-13*ORÇAMENTO!$AF$7)/$H672*OFFSET(ORÇAMENTO!$X$15,ROW(AP672)-ROW(AP$15),0),
ROUND(ROUND(OFFSET($P672,0,AP$13),15-13*ORÇAMENTO!$AF$7)*OFFSET(ORÇAMENTO!$W$15,ROW(AP672)-ROW(AP$15),0),15-13*ORÇAMENTO!$AF$11)),0)</f>
        <v>0</v>
      </c>
      <c r="AQ672" s="545">
        <f ca="1">IF(AND($D672="Serviço",AQ$12&lt;&gt;0,$H672&gt;0,OR(AUTOEVENTO&lt;&gt;"manual",$M672&lt;&gt;1)),
IF(Import.TipoArredondamento&lt;&gt;"TransfereGOV",
ROUND(OFFSET($P672,0,AQ$13),15-13*ORÇAMENTO!$AF$7)/$H672*OFFSET(ORÇAMENTO!$X$15,ROW(AQ672)-ROW(AQ$15),0),
ROUND(ROUND(OFFSET($P672,0,AQ$13),15-13*ORÇAMENTO!$AF$7)*OFFSET(ORÇAMENTO!$W$15,ROW(AQ672)-ROW(AQ$15),0),15-13*ORÇAMENTO!$AF$11)),0)</f>
        <v>0</v>
      </c>
      <c r="AR672" s="545">
        <f ca="1">IF(AND($D672="Serviço",AR$12&lt;&gt;0,$H672&gt;0,OR(AUTOEVENTO&lt;&gt;"manual",$M672&lt;&gt;1)),
IF(Import.TipoArredondamento&lt;&gt;"TransfereGOV",
ROUND(OFFSET($P672,0,AR$13),15-13*ORÇAMENTO!$AF$7)/$H672*OFFSET(ORÇAMENTO!$X$15,ROW(AR672)-ROW(AR$15),0),
ROUND(ROUND(OFFSET($P672,0,AR$13),15-13*ORÇAMENTO!$AF$7)*OFFSET(ORÇAMENTO!$W$15,ROW(AR672)-ROW(AR$15),0),15-13*ORÇAMENTO!$AF$11)),0)</f>
        <v>0</v>
      </c>
      <c r="AS672" s="546">
        <f ca="1">IF(AND($D672="Serviço",AS$12&lt;&gt;0,$H672&gt;0,OR(AUTOEVENTO&lt;&gt;"manual",$M672&lt;&gt;1)),
IF(Import.TipoArredondamento&lt;&gt;"TransfereGOV",
ROUND(OFFSET($P672,0,AS$13),15-13*ORÇAMENTO!$AF$7)/$H672*OFFSET(ORÇAMENTO!$X$15,ROW(AS672)-ROW(AS$15),0),
ROUND(ROUND(OFFSET($P672,0,AS$13),15-13*ORÇAMENTO!$AF$7)*OFFSET(ORÇAMENTO!$W$15,ROW(AS672)-ROW(AS$15),0),15-13*ORÇAMENTO!$AF$11)),0)</f>
        <v>0</v>
      </c>
      <c r="AT672" s="545">
        <f ca="1">IF(AND($D672="Serviço",AT$12&lt;&gt;0,$H672&gt;0,OR(AUTOEVENTO&lt;&gt;"manual",$M672&lt;&gt;1)),
IF(Import.TipoArredondamento&lt;&gt;"TransfereGOV",
ROUND(OFFSET($P672,0,AT$13),15-13*ORÇAMENTO!$AF$7)/$H672*OFFSET(ORÇAMENTO!$X$15,ROW(AT672)-ROW(AT$15),0),
ROUND(ROUND(OFFSET($P672,0,AT$13),15-13*ORÇAMENTO!$AF$7)*OFFSET(ORÇAMENTO!$W$15,ROW(AT672)-ROW(AT$15),0),15-13*ORÇAMENTO!$AF$11)),0)</f>
        <v>0</v>
      </c>
      <c r="AU672" s="545">
        <f ca="1">IF(AND($D672="Serviço",AU$12&lt;&gt;0,$H672&gt;0,OR(AUTOEVENTO&lt;&gt;"manual",$M672&lt;&gt;1)),
IF(Import.TipoArredondamento&lt;&gt;"TransfereGOV",
ROUND(OFFSET($P672,0,AU$13),15-13*ORÇAMENTO!$AF$7)/$H672*OFFSET(ORÇAMENTO!$X$15,ROW(AU672)-ROW(AU$15),0),
ROUND(ROUND(OFFSET($P672,0,AU$13),15-13*ORÇAMENTO!$AF$7)*OFFSET(ORÇAMENTO!$W$15,ROW(AU672)-ROW(AU$15),0),15-13*ORÇAMENTO!$AF$11)),0)</f>
        <v>0</v>
      </c>
      <c r="AV672" s="545">
        <f ca="1">IF(AND($D672="Serviço",AV$12&lt;&gt;0,$H672&gt;0,OR(AUTOEVENTO&lt;&gt;"manual",$M672&lt;&gt;1)),
IF(Import.TipoArredondamento&lt;&gt;"TransfereGOV",
ROUND(OFFSET($P672,0,AV$13),15-13*ORÇAMENTO!$AF$7)/$H672*OFFSET(ORÇAMENTO!$X$15,ROW(AV672)-ROW(AV$15),0),
ROUND(ROUND(OFFSET($P672,0,AV$13),15-13*ORÇAMENTO!$AF$7)*OFFSET(ORÇAMENTO!$W$15,ROW(AV672)-ROW(AV$15),0),15-13*ORÇAMENTO!$AF$11)),0)</f>
        <v>0</v>
      </c>
      <c r="AW672" s="545">
        <f ca="1">IF(AND($D672="Serviço",AW$12&lt;&gt;0,$H672&gt;0,OR(AUTOEVENTO&lt;&gt;"manual",$M672&lt;&gt;1)),
IF(Import.TipoArredondamento&lt;&gt;"TransfereGOV",
ROUND(OFFSET($P672,0,AW$13),15-13*ORÇAMENTO!$AF$7)/$H672*OFFSET(ORÇAMENTO!$X$15,ROW(AW672)-ROW(AW$15),0),
ROUND(ROUND(OFFSET($P672,0,AW$13),15-13*ORÇAMENTO!$AF$7)*OFFSET(ORÇAMENTO!$W$15,ROW(AW672)-ROW(AW$15),0),15-13*ORÇAMENTO!$AF$11)),0)</f>
        <v>0</v>
      </c>
      <c r="AX672" s="545">
        <f ca="1">IF(AND($D672="Serviço",AX$12&lt;&gt;0,$H672&gt;0,OR(AUTOEVENTO&lt;&gt;"manual",$M672&lt;&gt;1)),
IF(Import.TipoArredondamento&lt;&gt;"TransfereGOV",
ROUND(OFFSET($P672,0,AX$13),15-13*ORÇAMENTO!$AF$7)/$H672*OFFSET(ORÇAMENTO!$X$15,ROW(AX672)-ROW(AX$15),0),
ROUND(ROUND(OFFSET($P672,0,AX$13),15-13*ORÇAMENTO!$AF$7)*OFFSET(ORÇAMENTO!$W$15,ROW(AX672)-ROW(AX$15),0),15-13*ORÇAMENTO!$AF$11)),0)</f>
        <v>0</v>
      </c>
      <c r="AY672" s="545">
        <f ca="1">IF(AND($D672="Serviço",AY$12&lt;&gt;0,$H672&gt;0,OR(AUTOEVENTO&lt;&gt;"manual",$M672&lt;&gt;1)),
IF(Import.TipoArredondamento&lt;&gt;"TransfereGOV",
ROUND(OFFSET($P672,0,AY$13),15-13*ORÇAMENTO!$AF$7)/$H672*OFFSET(ORÇAMENTO!$X$15,ROW(AY672)-ROW(AY$15),0),
ROUND(ROUND(OFFSET($P672,0,AY$13),15-13*ORÇAMENTO!$AF$7)*OFFSET(ORÇAMENTO!$W$15,ROW(AY672)-ROW(AY$15),0),15-13*ORÇAMENTO!$AF$11)),0)</f>
        <v>0</v>
      </c>
      <c r="AZ672" s="545">
        <f ca="1">IF(AND($D672="Serviço",AZ$12&lt;&gt;0,$H672&gt;0,OR(AUTOEVENTO&lt;&gt;"manual",$M672&lt;&gt;1)),
IF(Import.TipoArredondamento&lt;&gt;"TransfereGOV",
ROUND(OFFSET($P672,0,AZ$13),15-13*ORÇAMENTO!$AF$7)/$H672*OFFSET(ORÇAMENTO!$X$15,ROW(AZ672)-ROW(AZ$15),0),
ROUND(ROUND(OFFSET($P672,0,AZ$13),15-13*ORÇAMENTO!$AF$7)*OFFSET(ORÇAMENTO!$W$15,ROW(AZ672)-ROW(AZ$15),0),15-13*ORÇAMENTO!$AF$11)),0)</f>
        <v>0</v>
      </c>
      <c r="BA672" s="546">
        <f ca="1">IF(AND($D672="Serviço",BA$12&lt;&gt;0,$H672&gt;0,OR(AUTOEVENTO&lt;&gt;"manual",$M672&lt;&gt;1)),
IF(Import.TipoArredondamento&lt;&gt;"TransfereGOV",
ROUND(OFFSET($P672,0,BA$13),15-13*ORÇAMENTO!$AF$7)/$H672*OFFSET(ORÇAMENTO!$X$15,ROW(BA672)-ROW(BA$15),0),
ROUND(ROUND(OFFSET($P672,0,BA$13),15-13*ORÇAMENTO!$AF$7)*OFFSET(ORÇAMENTO!$W$15,ROW(BA672)-ROW(BA$15),0),15-13*ORÇAMENTO!$AF$11)),0)</f>
        <v>0</v>
      </c>
      <c r="BC672" s="181">
        <f ca="1">IF($D672&lt;&gt;"Serviço",0,IF(AND(AUTOEVENTO="Manual",$M672=1),0,IF(OFFSET(CRONOPLE!$F$14,$M672,BC$13)="",10^12,OFFSET(CRONOPLE!$F$14,$M672,BC$13))))</f>
        <v>11</v>
      </c>
      <c r="BD672" s="181">
        <f ca="1">IF($D672&lt;&gt;"Serviço",0,IF(AND(AUTOEVENTO="Manual",$M672=1),0,IF(OFFSET(CRONOPLE!$F$14,$M672,BD$13)="",10^12,OFFSET(CRONOPLE!$F$14,$M672,BD$13))))</f>
        <v>1000000000000</v>
      </c>
      <c r="BE672" s="181">
        <f ca="1">IF($D672&lt;&gt;"Serviço",0,IF(AND(AUTOEVENTO="Manual",$M672=1),0,IF(OFFSET(CRONOPLE!$F$14,$M672,BE$13)="",10^12,OFFSET(CRONOPLE!$F$14,$M672,BE$13))))</f>
        <v>1000000000000</v>
      </c>
      <c r="BF672" s="181">
        <f ca="1">IF($D672&lt;&gt;"Serviço",0,IF(AND(AUTOEVENTO="Manual",$M672=1),0,IF(OFFSET(CRONOPLE!$F$14,$M672,BF$13)="",10^12,OFFSET(CRONOPLE!$F$14,$M672,BF$13))))</f>
        <v>1000000000000</v>
      </c>
      <c r="BG672" s="181">
        <f ca="1">IF($D672&lt;&gt;"Serviço",0,IF(AND(AUTOEVENTO="Manual",$M672=1),0,IF(OFFSET(CRONOPLE!$F$14,$M672,BG$13)="",10^12,OFFSET(CRONOPLE!$F$14,$M672,BG$13))))</f>
        <v>1000000000000</v>
      </c>
      <c r="BH672" s="181">
        <f ca="1">IF($D672&lt;&gt;"Serviço",0,IF(AND(AUTOEVENTO="Manual",$M672=1),0,IF(OFFSET(CRONOPLE!$F$14,$M672,BH$13)="",10^12,OFFSET(CRONOPLE!$F$14,$M672,BH$13))))</f>
        <v>1000000000000</v>
      </c>
      <c r="BI672" s="181">
        <f ca="1">IF($D672&lt;&gt;"Serviço",0,IF(AND(AUTOEVENTO="Manual",$M672=1),0,IF(OFFSET(CRONOPLE!$F$14,$M672,BI$13)="",10^12,OFFSET(CRONOPLE!$F$14,$M672,BI$13))))</f>
        <v>1000000000000</v>
      </c>
      <c r="BJ672" s="181">
        <f ca="1">IF($D672&lt;&gt;"Serviço",0,IF(AND(AUTOEVENTO="Manual",$M672=1),0,IF(OFFSET(CRONOPLE!$F$14,$M672,BJ$13)="",10^12,OFFSET(CRONOPLE!$F$14,$M672,BJ$13))))</f>
        <v>1000000000000</v>
      </c>
      <c r="BK672" s="181">
        <f ca="1">IF($D672&lt;&gt;"Serviço",0,IF(AND(AUTOEVENTO="Manual",$M672=1),0,IF(OFFSET(CRONOPLE!$F$14,$M672,BK$13)="",10^12,OFFSET(CRONOPLE!$F$14,$M672,BK$13))))</f>
        <v>1000000000000</v>
      </c>
      <c r="BL672" s="181">
        <f ca="1">IF($D672&lt;&gt;"Serviço",0,IF(AND(AUTOEVENTO="Manual",$M672=1),0,IF(OFFSET(CRONOPLE!$F$14,$M672,BL$13)="",10^12,OFFSET(CRONOPLE!$F$14,$M672,BL$13))))</f>
        <v>1000000000000</v>
      </c>
      <c r="BM672" s="181">
        <f ca="1">IF($D672&lt;&gt;"Serviço",0,IF(AND(AUTOEVENTO="Manual",$M672=1),0,IF(OFFSET(CRONOPLE!$F$14,$M672,BM$13)="",10^12,OFFSET(CRONOPLE!$F$14,$M672,BM$13))))</f>
        <v>1000000000000</v>
      </c>
      <c r="BN672" s="181">
        <f ca="1">IF($D672&lt;&gt;"Serviço",0,IF(AND(AUTOEVENTO="Manual",$M672=1),0,IF(OFFSET(CRONOPLE!$F$14,$M672,BN$13)="",10^12,OFFSET(CRONOPLE!$F$14,$M672,BN$13))))</f>
        <v>1000000000000</v>
      </c>
      <c r="BO672" s="181">
        <f ca="1">IF($D672&lt;&gt;"Serviço",0,IF(AND(AUTOEVENTO="Manual",$M672=1),0,IF(OFFSET(CRONOPLE!$F$14,$M672,BO$13)="",10^12,OFFSET(CRONOPLE!$F$14,$M672,BO$13))))</f>
        <v>1000000000000</v>
      </c>
      <c r="BP672" s="181">
        <f ca="1">IF($D672&lt;&gt;"Serviço",0,IF(AND(AUTOEVENTO="Manual",$M672=1),0,IF(OFFSET(CRONOPLE!$F$14,$M672,BP$13)="",10^12,OFFSET(CRONOPLE!$F$14,$M672,BP$13))))</f>
        <v>1000000000000</v>
      </c>
      <c r="BQ672" s="181">
        <f ca="1">IF($D672&lt;&gt;"Serviço",0,IF(AND(AUTOEVENTO="Manual",$M672=1),0,IF(OFFSET(CRONOPLE!$F$14,$M672,BQ$13)="",10^12,OFFSET(CRONOPLE!$F$14,$M672,BQ$13))))</f>
        <v>1000000000000</v>
      </c>
      <c r="BR672" s="181">
        <f ca="1">IF($D672&lt;&gt;"Serviço",0,IF(AND(AUTOEVENTO="Manual",$M672=1),0,IF(OFFSET(CRONOPLE!$F$14,$M672,BR$13)="",10^12,OFFSET(CRONOPLE!$F$14,$M672,BR$13))))</f>
        <v>1000000000000</v>
      </c>
      <c r="BS672" s="181">
        <f ca="1">IF($D672&lt;&gt;"Serviço",0,IF(AND(AUTOEVENTO="Manual",$M672=1),0,IF(OFFSET(CRONOPLE!$F$14,$M672,BS$13)="",10^12,OFFSET(CRONOPLE!$F$14,$M672,BS$13))))</f>
        <v>1000000000000</v>
      </c>
      <c r="BT672" s="181">
        <f ca="1">IF($D672&lt;&gt;"Serviço",0,IF(AND(AUTOEVENTO="Manual",$M672=1),0,IF(OFFSET(CRONOPLE!$F$14,$M672,BT$13)="",10^12,OFFSET(CRONOPLE!$F$14,$M672,BT$13))))</f>
        <v>1000000000000</v>
      </c>
      <c r="BV672" s="182">
        <f ca="1">IF($D672&lt;&gt;"Serviço",0,IF(OR(AND(AUTOEVENTO="Manual",$M672=1),$M672&gt;(ROW(PLE.lastrow)-ROW(PLE.firstrow))),0,IF(OFFSET(PLE!$G$14,$M672,BV$13)="",10^12,OFFSET(PLE!$G$14,$M672,BV$13))))</f>
        <v>1000000000000</v>
      </c>
      <c r="BW672" s="182">
        <f ca="1">IF($D672&lt;&gt;"Serviço",0,IF(OR(AND(AUTOEVENTO="Manual",$M672=1),$M672&gt;(ROW(PLE.lastrow)-ROW(PLE.firstrow))),0,IF(OFFSET(PLE!$G$14,$M672,BW$13)="",10^12,OFFSET(PLE!$G$14,$M672,BW$13))))</f>
        <v>1000000000000</v>
      </c>
      <c r="BX672" s="182">
        <f ca="1">IF($D672&lt;&gt;"Serviço",0,IF(OR(AND(AUTOEVENTO="Manual",$M672=1),$M672&gt;(ROW(PLE.lastrow)-ROW(PLE.firstrow))),0,IF(OFFSET(PLE!$G$14,$M672,BX$13)="",10^12,OFFSET(PLE!$G$14,$M672,BX$13))))</f>
        <v>1000000000000</v>
      </c>
      <c r="BY672" s="182">
        <f ca="1">IF($D672&lt;&gt;"Serviço",0,IF(OR(AND(AUTOEVENTO="Manual",$M672=1),$M672&gt;(ROW(PLE.lastrow)-ROW(PLE.firstrow))),0,IF(OFFSET(PLE!$G$14,$M672,BY$13)="",10^12,OFFSET(PLE!$G$14,$M672,BY$13))))</f>
        <v>1000000000000</v>
      </c>
      <c r="BZ672" s="182">
        <f ca="1">IF($D672&lt;&gt;"Serviço",0,IF(OR(AND(AUTOEVENTO="Manual",$M672=1),$M672&gt;(ROW(PLE.lastrow)-ROW(PLE.firstrow))),0,IF(OFFSET(PLE!$G$14,$M672,BZ$13)="",10^12,OFFSET(PLE!$G$14,$M672,BZ$13))))</f>
        <v>1000000000000</v>
      </c>
      <c r="CA672" s="182">
        <f ca="1">IF($D672&lt;&gt;"Serviço",0,IF(OR(AND(AUTOEVENTO="Manual",$M672=1),$M672&gt;(ROW(PLE.lastrow)-ROW(PLE.firstrow))),0,IF(OFFSET(PLE!$G$14,$M672,CA$13)="",10^12,OFFSET(PLE!$G$14,$M672,CA$13))))</f>
        <v>1000000000000</v>
      </c>
      <c r="CB672" s="182">
        <f ca="1">IF($D672&lt;&gt;"Serviço",0,IF(OR(AND(AUTOEVENTO="Manual",$M672=1),$M672&gt;(ROW(PLE.lastrow)-ROW(PLE.firstrow))),0,IF(OFFSET(PLE!$G$14,$M672,CB$13)="",10^12,OFFSET(PLE!$G$14,$M672,CB$13))))</f>
        <v>1000000000000</v>
      </c>
      <c r="CC672" s="182">
        <f ca="1">IF($D672&lt;&gt;"Serviço",0,IF(OR(AND(AUTOEVENTO="Manual",$M672=1),$M672&gt;(ROW(PLE.lastrow)-ROW(PLE.firstrow))),0,IF(OFFSET(PLE!$G$14,$M672,CC$13)="",10^12,OFFSET(PLE!$G$14,$M672,CC$13))))</f>
        <v>1000000000000</v>
      </c>
      <c r="CD672" s="182">
        <f ca="1">IF($D672&lt;&gt;"Serviço",0,IF(OR(AND(AUTOEVENTO="Manual",$M672=1),$M672&gt;(ROW(PLE.lastrow)-ROW(PLE.firstrow))),0,IF(OFFSET(PLE!$G$14,$M672,CD$13)="",10^12,OFFSET(PLE!$G$14,$M672,CD$13))))</f>
        <v>1000000000000</v>
      </c>
      <c r="CE672" s="182">
        <f ca="1">IF($D672&lt;&gt;"Serviço",0,IF(OR(AND(AUTOEVENTO="Manual",$M672=1),$M672&gt;(ROW(PLE.lastrow)-ROW(PLE.firstrow))),0,IF(OFFSET(PLE!$G$14,$M672,CE$13)="",10^12,OFFSET(PLE!$G$14,$M672,CE$13))))</f>
        <v>1000000000000</v>
      </c>
      <c r="CF672" s="182">
        <f ca="1">IF($D672&lt;&gt;"Serviço",0,IF(OR(AND(AUTOEVENTO="Manual",$M672=1),$M672&gt;(ROW(PLE.lastrow)-ROW(PLE.firstrow))),0,IF(OFFSET(PLE!$G$14,$M672,CF$13)="",10^12,OFFSET(PLE!$G$14,$M672,CF$13))))</f>
        <v>1000000000000</v>
      </c>
      <c r="CG672" s="182">
        <f ca="1">IF($D672&lt;&gt;"Serviço",0,IF(OR(AND(AUTOEVENTO="Manual",$M672=1),$M672&gt;(ROW(PLE.lastrow)-ROW(PLE.firstrow))),0,IF(OFFSET(PLE!$G$14,$M672,CG$13)="",10^12,OFFSET(PLE!$G$14,$M672,CG$13))))</f>
        <v>1000000000000</v>
      </c>
      <c r="CH672" s="182">
        <f ca="1">IF($D672&lt;&gt;"Serviço",0,IF(OR(AND(AUTOEVENTO="Manual",$M672=1),$M672&gt;(ROW(PLE.lastrow)-ROW(PLE.firstrow))),0,IF(OFFSET(PLE!$G$14,$M672,CH$13)="",10^12,OFFSET(PLE!$G$14,$M672,CH$13))))</f>
        <v>1000000000000</v>
      </c>
      <c r="CI672" s="182">
        <f ca="1">IF($D672&lt;&gt;"Serviço",0,IF(OR(AND(AUTOEVENTO="Manual",$M672=1),$M672&gt;(ROW(PLE.lastrow)-ROW(PLE.firstrow))),0,IF(OFFSET(PLE!$G$14,$M672,CI$13)="",10^12,OFFSET(PLE!$G$14,$M672,CI$13))))</f>
        <v>1000000000000</v>
      </c>
      <c r="CJ672" s="182">
        <f ca="1">IF($D672&lt;&gt;"Serviço",0,IF(OR(AND(AUTOEVENTO="Manual",$M672=1),$M672&gt;(ROW(PLE.lastrow)-ROW(PLE.firstrow))),0,IF(OFFSET(PLE!$G$14,$M672,CJ$13)="",10^12,OFFSET(PLE!$G$14,$M672,CJ$13))))</f>
        <v>1000000000000</v>
      </c>
      <c r="CK672" s="182">
        <f ca="1">IF($D672&lt;&gt;"Serviço",0,IF(OR(AND(AUTOEVENTO="Manual",$M672=1),$M672&gt;(ROW(PLE.lastrow)-ROW(PLE.firstrow))),0,IF(OFFSET(PLE!$G$14,$M672,CK$13)="",10^12,OFFSET(PLE!$G$14,$M672,CK$13))))</f>
        <v>1000000000000</v>
      </c>
      <c r="CL672" s="182">
        <f ca="1">IF($D672&lt;&gt;"Serviço",0,IF(OR(AND(AUTOEVENTO="Manual",$M672=1),$M672&gt;(ROW(PLE.lastrow)-ROW(PLE.firstrow))),0,IF(OFFSET(PLE!$G$14,$M672,CL$13)="",10^12,OFFSET(PLE!$G$14,$M672,CL$13))))</f>
        <v>1000000000000</v>
      </c>
      <c r="CM672" s="182">
        <f ca="1">IF($D672&lt;&gt;"Serviço",0,IF(OR(AND(AUTOEVENTO="Manual",$M672=1),$M672&gt;(ROW(PLE.lastrow)-ROW(PLE.firstrow))),0,IF(OFFSET(PLE!$G$14,$M672,CM$13)="",10^12,OFFSET(PLE!$G$14,$M672,CM$13))))</f>
        <v>1000000000000</v>
      </c>
    </row>
    <row r="673" spans="1:91" ht="25.5" x14ac:dyDescent="0.2">
      <c r="A673" s="7" t="str">
        <f t="shared" ca="1" si="19"/>
        <v>653</v>
      </c>
      <c r="B673" s="7" t="str">
        <f ca="1">OFFSET(ORÇAMENTO!C$15,ROW(B673)-ROW(B$15),0)</f>
        <v>S</v>
      </c>
      <c r="C673" s="7" t="str">
        <f ca="1">OFFSET(ORÇAMENTO!L$15,ROW(C673)-ROW(C$15),0)</f>
        <v/>
      </c>
      <c r="D673" s="118" t="str">
        <f ca="1">OFFSET(ORÇAMENTO!N$15,ROW(D673)-ROW(D$15),0)</f>
        <v>Serviço</v>
      </c>
      <c r="E673" s="119" t="str">
        <f ca="1">OFFSET(ORÇAMENTO!O$15,ROW(E673)-ROW(E$15),0)</f>
        <v>-</v>
      </c>
      <c r="F673" s="172" t="str">
        <f ca="1">OFFSET(ORÇAMENTO!R$15,ROW(F673)-ROW(F$15),0)</f>
        <v>(abra o arquivo 'Referência 06-2024.xlsm)</v>
      </c>
      <c r="G673" s="173" t="str">
        <f ca="1">IF($D673&lt;&gt;"Serviço","",OFFSET(ORÇAMENTO!S$15,ROW(G673)-ROW(G$15),0))</f>
        <v>-</v>
      </c>
      <c r="H673" s="124">
        <f ca="1">IF($D673&lt;&gt;"Serviço",0,IF(ACOMPANHAMENTO="BM",ROUND(OFFSET(ORÇAMENTO!AJ$15,ROW(H673)-ROW(H$15),0),15-13*ORÇAMENTO!$AF$7),SUMPRODUCT(($Q$12:$AI$12&lt;&gt;"")*ROUND($Q673:$AI673,15-13*ORÇAMENTO!$AF$7))))</f>
        <v>96.67</v>
      </c>
      <c r="I673" s="561" t="s">
        <v>1107</v>
      </c>
      <c r="K673" s="174"/>
      <c r="L673" s="175" t="s">
        <v>255</v>
      </c>
      <c r="M673" s="176">
        <f ca="1">IF($D673&lt;&gt;"Serviço","",IF(AUTOEVENTO="manual",$A673,IF(ISERROR(MATCH($A673,$A$15:OFFSET($A673,-1,0),0)),MAX($M$15:OFFSET(M673,-1,0))+1,INDEX($M$15:OFFSET(M673,-1,0),MATCH($A673,$A$15:OFFSET($A673,-1,0),0)))))</f>
        <v>73</v>
      </c>
      <c r="N673" s="177" t="str">
        <f ca="1">IF($D673&lt;&gt;"Serviço","",IF(AUTOEVENTO="Manual",IF($A673=0,"&lt;-- defina o número do agrupador",OFFSET(EVENTOS!$D$14,$A673,0)),OFFSET($F$15,$A673,0)))</f>
        <v>SERVIÇOS COMPLEMENTARES</v>
      </c>
      <c r="O673" s="178"/>
      <c r="Q673" s="178">
        <v>96.67</v>
      </c>
      <c r="R673" s="179"/>
      <c r="S673" s="179"/>
      <c r="T673" s="179"/>
      <c r="U673" s="179"/>
      <c r="V673" s="179"/>
      <c r="W673" s="179"/>
      <c r="X673" s="179"/>
      <c r="Y673" s="179"/>
      <c r="Z673" s="180"/>
      <c r="AA673" s="179"/>
      <c r="AB673" s="179"/>
      <c r="AC673" s="179"/>
      <c r="AD673" s="179"/>
      <c r="AE673" s="179"/>
      <c r="AF673" s="179"/>
      <c r="AG673" s="179"/>
      <c r="AH673" s="180"/>
      <c r="AJ673" s="544">
        <f ca="1">IF(AND($D673="Serviço",AJ$12&lt;&gt;0,$H673&gt;0,OR(AUTOEVENTO&lt;&gt;"manual",$M673&lt;&gt;1)),
IF(Import.TipoArredondamento&lt;&gt;"TransfereGOV",
ROUND(OFFSET($P673,0,AJ$13),15-13*ORÇAMENTO!$AF$7)/$H673*OFFSET(ORÇAMENTO!$X$15,ROW(AJ673)-ROW(AJ$15),0),
ROUND(ROUND(OFFSET($P673,0,AJ$13),15-13*ORÇAMENTO!$AF$7)*OFFSET(ORÇAMENTO!$W$15,ROW(AJ673)-ROW(AJ$15),0),15-13*ORÇAMENTO!$AF$11)),0)</f>
        <v>0</v>
      </c>
      <c r="AK673" s="545">
        <f ca="1">IF(AND($D673="Serviço",AK$12&lt;&gt;0,$H673&gt;0,OR(AUTOEVENTO&lt;&gt;"manual",$M673&lt;&gt;1)),
IF(Import.TipoArredondamento&lt;&gt;"TransfereGOV",
ROUND(OFFSET($P673,0,AK$13),15-13*ORÇAMENTO!$AF$7)/$H673*OFFSET(ORÇAMENTO!$X$15,ROW(AK673)-ROW(AK$15),0),
ROUND(ROUND(OFFSET($P673,0,AK$13),15-13*ORÇAMENTO!$AF$7)*OFFSET(ORÇAMENTO!$W$15,ROW(AK673)-ROW(AK$15),0),15-13*ORÇAMENTO!$AF$11)),0)</f>
        <v>0</v>
      </c>
      <c r="AL673" s="545">
        <f ca="1">IF(AND($D673="Serviço",AL$12&lt;&gt;0,$H673&gt;0,OR(AUTOEVENTO&lt;&gt;"manual",$M673&lt;&gt;1)),
IF(Import.TipoArredondamento&lt;&gt;"TransfereGOV",
ROUND(OFFSET($P673,0,AL$13),15-13*ORÇAMENTO!$AF$7)/$H673*OFFSET(ORÇAMENTO!$X$15,ROW(AL673)-ROW(AL$15),0),
ROUND(ROUND(OFFSET($P673,0,AL$13),15-13*ORÇAMENTO!$AF$7)*OFFSET(ORÇAMENTO!$W$15,ROW(AL673)-ROW(AL$15),0),15-13*ORÇAMENTO!$AF$11)),0)</f>
        <v>0</v>
      </c>
      <c r="AM673" s="545">
        <f ca="1">IF(AND($D673="Serviço",AM$12&lt;&gt;0,$H673&gt;0,OR(AUTOEVENTO&lt;&gt;"manual",$M673&lt;&gt;1)),
IF(Import.TipoArredondamento&lt;&gt;"TransfereGOV",
ROUND(OFFSET($P673,0,AM$13),15-13*ORÇAMENTO!$AF$7)/$H673*OFFSET(ORÇAMENTO!$X$15,ROW(AM673)-ROW(AM$15),0),
ROUND(ROUND(OFFSET($P673,0,AM$13),15-13*ORÇAMENTO!$AF$7)*OFFSET(ORÇAMENTO!$W$15,ROW(AM673)-ROW(AM$15),0),15-13*ORÇAMENTO!$AF$11)),0)</f>
        <v>0</v>
      </c>
      <c r="AN673" s="545">
        <f ca="1">IF(AND($D673="Serviço",AN$12&lt;&gt;0,$H673&gt;0,OR(AUTOEVENTO&lt;&gt;"manual",$M673&lt;&gt;1)),
IF(Import.TipoArredondamento&lt;&gt;"TransfereGOV",
ROUND(OFFSET($P673,0,AN$13),15-13*ORÇAMENTO!$AF$7)/$H673*OFFSET(ORÇAMENTO!$X$15,ROW(AN673)-ROW(AN$15),0),
ROUND(ROUND(OFFSET($P673,0,AN$13),15-13*ORÇAMENTO!$AF$7)*OFFSET(ORÇAMENTO!$W$15,ROW(AN673)-ROW(AN$15),0),15-13*ORÇAMENTO!$AF$11)),0)</f>
        <v>0</v>
      </c>
      <c r="AO673" s="545">
        <f ca="1">IF(AND($D673="Serviço",AO$12&lt;&gt;0,$H673&gt;0,OR(AUTOEVENTO&lt;&gt;"manual",$M673&lt;&gt;1)),
IF(Import.TipoArredondamento&lt;&gt;"TransfereGOV",
ROUND(OFFSET($P673,0,AO$13),15-13*ORÇAMENTO!$AF$7)/$H673*OFFSET(ORÇAMENTO!$X$15,ROW(AO673)-ROW(AO$15),0),
ROUND(ROUND(OFFSET($P673,0,AO$13),15-13*ORÇAMENTO!$AF$7)*OFFSET(ORÇAMENTO!$W$15,ROW(AO673)-ROW(AO$15),0),15-13*ORÇAMENTO!$AF$11)),0)</f>
        <v>0</v>
      </c>
      <c r="AP673" s="545">
        <f ca="1">IF(AND($D673="Serviço",AP$12&lt;&gt;0,$H673&gt;0,OR(AUTOEVENTO&lt;&gt;"manual",$M673&lt;&gt;1)),
IF(Import.TipoArredondamento&lt;&gt;"TransfereGOV",
ROUND(OFFSET($P673,0,AP$13),15-13*ORÇAMENTO!$AF$7)/$H673*OFFSET(ORÇAMENTO!$X$15,ROW(AP673)-ROW(AP$15),0),
ROUND(ROUND(OFFSET($P673,0,AP$13),15-13*ORÇAMENTO!$AF$7)*OFFSET(ORÇAMENTO!$W$15,ROW(AP673)-ROW(AP$15),0),15-13*ORÇAMENTO!$AF$11)),0)</f>
        <v>0</v>
      </c>
      <c r="AQ673" s="545">
        <f ca="1">IF(AND($D673="Serviço",AQ$12&lt;&gt;0,$H673&gt;0,OR(AUTOEVENTO&lt;&gt;"manual",$M673&lt;&gt;1)),
IF(Import.TipoArredondamento&lt;&gt;"TransfereGOV",
ROUND(OFFSET($P673,0,AQ$13),15-13*ORÇAMENTO!$AF$7)/$H673*OFFSET(ORÇAMENTO!$X$15,ROW(AQ673)-ROW(AQ$15),0),
ROUND(ROUND(OFFSET($P673,0,AQ$13),15-13*ORÇAMENTO!$AF$7)*OFFSET(ORÇAMENTO!$W$15,ROW(AQ673)-ROW(AQ$15),0),15-13*ORÇAMENTO!$AF$11)),0)</f>
        <v>0</v>
      </c>
      <c r="AR673" s="545">
        <f ca="1">IF(AND($D673="Serviço",AR$12&lt;&gt;0,$H673&gt;0,OR(AUTOEVENTO&lt;&gt;"manual",$M673&lt;&gt;1)),
IF(Import.TipoArredondamento&lt;&gt;"TransfereGOV",
ROUND(OFFSET($P673,0,AR$13),15-13*ORÇAMENTO!$AF$7)/$H673*OFFSET(ORÇAMENTO!$X$15,ROW(AR673)-ROW(AR$15),0),
ROUND(ROUND(OFFSET($P673,0,AR$13),15-13*ORÇAMENTO!$AF$7)*OFFSET(ORÇAMENTO!$W$15,ROW(AR673)-ROW(AR$15),0),15-13*ORÇAMENTO!$AF$11)),0)</f>
        <v>0</v>
      </c>
      <c r="AS673" s="546">
        <f ca="1">IF(AND($D673="Serviço",AS$12&lt;&gt;0,$H673&gt;0,OR(AUTOEVENTO&lt;&gt;"manual",$M673&lt;&gt;1)),
IF(Import.TipoArredondamento&lt;&gt;"TransfereGOV",
ROUND(OFFSET($P673,0,AS$13),15-13*ORÇAMENTO!$AF$7)/$H673*OFFSET(ORÇAMENTO!$X$15,ROW(AS673)-ROW(AS$15),0),
ROUND(ROUND(OFFSET($P673,0,AS$13),15-13*ORÇAMENTO!$AF$7)*OFFSET(ORÇAMENTO!$W$15,ROW(AS673)-ROW(AS$15),0),15-13*ORÇAMENTO!$AF$11)),0)</f>
        <v>0</v>
      </c>
      <c r="AT673" s="545">
        <f ca="1">IF(AND($D673="Serviço",AT$12&lt;&gt;0,$H673&gt;0,OR(AUTOEVENTO&lt;&gt;"manual",$M673&lt;&gt;1)),
IF(Import.TipoArredondamento&lt;&gt;"TransfereGOV",
ROUND(OFFSET($P673,0,AT$13),15-13*ORÇAMENTO!$AF$7)/$H673*OFFSET(ORÇAMENTO!$X$15,ROW(AT673)-ROW(AT$15),0),
ROUND(ROUND(OFFSET($P673,0,AT$13),15-13*ORÇAMENTO!$AF$7)*OFFSET(ORÇAMENTO!$W$15,ROW(AT673)-ROW(AT$15),0),15-13*ORÇAMENTO!$AF$11)),0)</f>
        <v>0</v>
      </c>
      <c r="AU673" s="545">
        <f ca="1">IF(AND($D673="Serviço",AU$12&lt;&gt;0,$H673&gt;0,OR(AUTOEVENTO&lt;&gt;"manual",$M673&lt;&gt;1)),
IF(Import.TipoArredondamento&lt;&gt;"TransfereGOV",
ROUND(OFFSET($P673,0,AU$13),15-13*ORÇAMENTO!$AF$7)/$H673*OFFSET(ORÇAMENTO!$X$15,ROW(AU673)-ROW(AU$15),0),
ROUND(ROUND(OFFSET($P673,0,AU$13),15-13*ORÇAMENTO!$AF$7)*OFFSET(ORÇAMENTO!$W$15,ROW(AU673)-ROW(AU$15),0),15-13*ORÇAMENTO!$AF$11)),0)</f>
        <v>0</v>
      </c>
      <c r="AV673" s="545">
        <f ca="1">IF(AND($D673="Serviço",AV$12&lt;&gt;0,$H673&gt;0,OR(AUTOEVENTO&lt;&gt;"manual",$M673&lt;&gt;1)),
IF(Import.TipoArredondamento&lt;&gt;"TransfereGOV",
ROUND(OFFSET($P673,0,AV$13),15-13*ORÇAMENTO!$AF$7)/$H673*OFFSET(ORÇAMENTO!$X$15,ROW(AV673)-ROW(AV$15),0),
ROUND(ROUND(OFFSET($P673,0,AV$13),15-13*ORÇAMENTO!$AF$7)*OFFSET(ORÇAMENTO!$W$15,ROW(AV673)-ROW(AV$15),0),15-13*ORÇAMENTO!$AF$11)),0)</f>
        <v>0</v>
      </c>
      <c r="AW673" s="545">
        <f ca="1">IF(AND($D673="Serviço",AW$12&lt;&gt;0,$H673&gt;0,OR(AUTOEVENTO&lt;&gt;"manual",$M673&lt;&gt;1)),
IF(Import.TipoArredondamento&lt;&gt;"TransfereGOV",
ROUND(OFFSET($P673,0,AW$13),15-13*ORÇAMENTO!$AF$7)/$H673*OFFSET(ORÇAMENTO!$X$15,ROW(AW673)-ROW(AW$15),0),
ROUND(ROUND(OFFSET($P673,0,AW$13),15-13*ORÇAMENTO!$AF$7)*OFFSET(ORÇAMENTO!$W$15,ROW(AW673)-ROW(AW$15),0),15-13*ORÇAMENTO!$AF$11)),0)</f>
        <v>0</v>
      </c>
      <c r="AX673" s="545">
        <f ca="1">IF(AND($D673="Serviço",AX$12&lt;&gt;0,$H673&gt;0,OR(AUTOEVENTO&lt;&gt;"manual",$M673&lt;&gt;1)),
IF(Import.TipoArredondamento&lt;&gt;"TransfereGOV",
ROUND(OFFSET($P673,0,AX$13),15-13*ORÇAMENTO!$AF$7)/$H673*OFFSET(ORÇAMENTO!$X$15,ROW(AX673)-ROW(AX$15),0),
ROUND(ROUND(OFFSET($P673,0,AX$13),15-13*ORÇAMENTO!$AF$7)*OFFSET(ORÇAMENTO!$W$15,ROW(AX673)-ROW(AX$15),0),15-13*ORÇAMENTO!$AF$11)),0)</f>
        <v>0</v>
      </c>
      <c r="AY673" s="545">
        <f ca="1">IF(AND($D673="Serviço",AY$12&lt;&gt;0,$H673&gt;0,OR(AUTOEVENTO&lt;&gt;"manual",$M673&lt;&gt;1)),
IF(Import.TipoArredondamento&lt;&gt;"TransfereGOV",
ROUND(OFFSET($P673,0,AY$13),15-13*ORÇAMENTO!$AF$7)/$H673*OFFSET(ORÇAMENTO!$X$15,ROW(AY673)-ROW(AY$15),0),
ROUND(ROUND(OFFSET($P673,0,AY$13),15-13*ORÇAMENTO!$AF$7)*OFFSET(ORÇAMENTO!$W$15,ROW(AY673)-ROW(AY$15),0),15-13*ORÇAMENTO!$AF$11)),0)</f>
        <v>0</v>
      </c>
      <c r="AZ673" s="545">
        <f ca="1">IF(AND($D673="Serviço",AZ$12&lt;&gt;0,$H673&gt;0,OR(AUTOEVENTO&lt;&gt;"manual",$M673&lt;&gt;1)),
IF(Import.TipoArredondamento&lt;&gt;"TransfereGOV",
ROUND(OFFSET($P673,0,AZ$13),15-13*ORÇAMENTO!$AF$7)/$H673*OFFSET(ORÇAMENTO!$X$15,ROW(AZ673)-ROW(AZ$15),0),
ROUND(ROUND(OFFSET($P673,0,AZ$13),15-13*ORÇAMENTO!$AF$7)*OFFSET(ORÇAMENTO!$W$15,ROW(AZ673)-ROW(AZ$15),0),15-13*ORÇAMENTO!$AF$11)),0)</f>
        <v>0</v>
      </c>
      <c r="BA673" s="546">
        <f ca="1">IF(AND($D673="Serviço",BA$12&lt;&gt;0,$H673&gt;0,OR(AUTOEVENTO&lt;&gt;"manual",$M673&lt;&gt;1)),
IF(Import.TipoArredondamento&lt;&gt;"TransfereGOV",
ROUND(OFFSET($P673,0,BA$13),15-13*ORÇAMENTO!$AF$7)/$H673*OFFSET(ORÇAMENTO!$X$15,ROW(BA673)-ROW(BA$15),0),
ROUND(ROUND(OFFSET($P673,0,BA$13),15-13*ORÇAMENTO!$AF$7)*OFFSET(ORÇAMENTO!$W$15,ROW(BA673)-ROW(BA$15),0),15-13*ORÇAMENTO!$AF$11)),0)</f>
        <v>0</v>
      </c>
      <c r="BC673" s="181">
        <f ca="1">IF($D673&lt;&gt;"Serviço",0,IF(AND(AUTOEVENTO="Manual",$M673=1),0,IF(OFFSET(CRONOPLE!$F$14,$M673,BC$13)="",10^12,OFFSET(CRONOPLE!$F$14,$M673,BC$13))))</f>
        <v>11</v>
      </c>
      <c r="BD673" s="181">
        <f ca="1">IF($D673&lt;&gt;"Serviço",0,IF(AND(AUTOEVENTO="Manual",$M673=1),0,IF(OFFSET(CRONOPLE!$F$14,$M673,BD$13)="",10^12,OFFSET(CRONOPLE!$F$14,$M673,BD$13))))</f>
        <v>1000000000000</v>
      </c>
      <c r="BE673" s="181">
        <f ca="1">IF($D673&lt;&gt;"Serviço",0,IF(AND(AUTOEVENTO="Manual",$M673=1),0,IF(OFFSET(CRONOPLE!$F$14,$M673,BE$13)="",10^12,OFFSET(CRONOPLE!$F$14,$M673,BE$13))))</f>
        <v>1000000000000</v>
      </c>
      <c r="BF673" s="181">
        <f ca="1">IF($D673&lt;&gt;"Serviço",0,IF(AND(AUTOEVENTO="Manual",$M673=1),0,IF(OFFSET(CRONOPLE!$F$14,$M673,BF$13)="",10^12,OFFSET(CRONOPLE!$F$14,$M673,BF$13))))</f>
        <v>1000000000000</v>
      </c>
      <c r="BG673" s="181">
        <f ca="1">IF($D673&lt;&gt;"Serviço",0,IF(AND(AUTOEVENTO="Manual",$M673=1),0,IF(OFFSET(CRONOPLE!$F$14,$M673,BG$13)="",10^12,OFFSET(CRONOPLE!$F$14,$M673,BG$13))))</f>
        <v>1000000000000</v>
      </c>
      <c r="BH673" s="181">
        <f ca="1">IF($D673&lt;&gt;"Serviço",0,IF(AND(AUTOEVENTO="Manual",$M673=1),0,IF(OFFSET(CRONOPLE!$F$14,$M673,BH$13)="",10^12,OFFSET(CRONOPLE!$F$14,$M673,BH$13))))</f>
        <v>1000000000000</v>
      </c>
      <c r="BI673" s="181">
        <f ca="1">IF($D673&lt;&gt;"Serviço",0,IF(AND(AUTOEVENTO="Manual",$M673=1),0,IF(OFFSET(CRONOPLE!$F$14,$M673,BI$13)="",10^12,OFFSET(CRONOPLE!$F$14,$M673,BI$13))))</f>
        <v>1000000000000</v>
      </c>
      <c r="BJ673" s="181">
        <f ca="1">IF($D673&lt;&gt;"Serviço",0,IF(AND(AUTOEVENTO="Manual",$M673=1),0,IF(OFFSET(CRONOPLE!$F$14,$M673,BJ$13)="",10^12,OFFSET(CRONOPLE!$F$14,$M673,BJ$13))))</f>
        <v>1000000000000</v>
      </c>
      <c r="BK673" s="181">
        <f ca="1">IF($D673&lt;&gt;"Serviço",0,IF(AND(AUTOEVENTO="Manual",$M673=1),0,IF(OFFSET(CRONOPLE!$F$14,$M673,BK$13)="",10^12,OFFSET(CRONOPLE!$F$14,$M673,BK$13))))</f>
        <v>1000000000000</v>
      </c>
      <c r="BL673" s="181">
        <f ca="1">IF($D673&lt;&gt;"Serviço",0,IF(AND(AUTOEVENTO="Manual",$M673=1),0,IF(OFFSET(CRONOPLE!$F$14,$M673,BL$13)="",10^12,OFFSET(CRONOPLE!$F$14,$M673,BL$13))))</f>
        <v>1000000000000</v>
      </c>
      <c r="BM673" s="181">
        <f ca="1">IF($D673&lt;&gt;"Serviço",0,IF(AND(AUTOEVENTO="Manual",$M673=1),0,IF(OFFSET(CRONOPLE!$F$14,$M673,BM$13)="",10^12,OFFSET(CRONOPLE!$F$14,$M673,BM$13))))</f>
        <v>1000000000000</v>
      </c>
      <c r="BN673" s="181">
        <f ca="1">IF($D673&lt;&gt;"Serviço",0,IF(AND(AUTOEVENTO="Manual",$M673=1),0,IF(OFFSET(CRONOPLE!$F$14,$M673,BN$13)="",10^12,OFFSET(CRONOPLE!$F$14,$M673,BN$13))))</f>
        <v>1000000000000</v>
      </c>
      <c r="BO673" s="181">
        <f ca="1">IF($D673&lt;&gt;"Serviço",0,IF(AND(AUTOEVENTO="Manual",$M673=1),0,IF(OFFSET(CRONOPLE!$F$14,$M673,BO$13)="",10^12,OFFSET(CRONOPLE!$F$14,$M673,BO$13))))</f>
        <v>1000000000000</v>
      </c>
      <c r="BP673" s="181">
        <f ca="1">IF($D673&lt;&gt;"Serviço",0,IF(AND(AUTOEVENTO="Manual",$M673=1),0,IF(OFFSET(CRONOPLE!$F$14,$M673,BP$13)="",10^12,OFFSET(CRONOPLE!$F$14,$M673,BP$13))))</f>
        <v>1000000000000</v>
      </c>
      <c r="BQ673" s="181">
        <f ca="1">IF($D673&lt;&gt;"Serviço",0,IF(AND(AUTOEVENTO="Manual",$M673=1),0,IF(OFFSET(CRONOPLE!$F$14,$M673,BQ$13)="",10^12,OFFSET(CRONOPLE!$F$14,$M673,BQ$13))))</f>
        <v>1000000000000</v>
      </c>
      <c r="BR673" s="181">
        <f ca="1">IF($D673&lt;&gt;"Serviço",0,IF(AND(AUTOEVENTO="Manual",$M673=1),0,IF(OFFSET(CRONOPLE!$F$14,$M673,BR$13)="",10^12,OFFSET(CRONOPLE!$F$14,$M673,BR$13))))</f>
        <v>1000000000000</v>
      </c>
      <c r="BS673" s="181">
        <f ca="1">IF($D673&lt;&gt;"Serviço",0,IF(AND(AUTOEVENTO="Manual",$M673=1),0,IF(OFFSET(CRONOPLE!$F$14,$M673,BS$13)="",10^12,OFFSET(CRONOPLE!$F$14,$M673,BS$13))))</f>
        <v>1000000000000</v>
      </c>
      <c r="BT673" s="181">
        <f ca="1">IF($D673&lt;&gt;"Serviço",0,IF(AND(AUTOEVENTO="Manual",$M673=1),0,IF(OFFSET(CRONOPLE!$F$14,$M673,BT$13)="",10^12,OFFSET(CRONOPLE!$F$14,$M673,BT$13))))</f>
        <v>1000000000000</v>
      </c>
      <c r="BV673" s="182">
        <f ca="1">IF($D673&lt;&gt;"Serviço",0,IF(OR(AND(AUTOEVENTO="Manual",$M673=1),$M673&gt;(ROW(PLE.lastrow)-ROW(PLE.firstrow))),0,IF(OFFSET(PLE!$G$14,$M673,BV$13)="",10^12,OFFSET(PLE!$G$14,$M673,BV$13))))</f>
        <v>1000000000000</v>
      </c>
      <c r="BW673" s="182">
        <f ca="1">IF($D673&lt;&gt;"Serviço",0,IF(OR(AND(AUTOEVENTO="Manual",$M673=1),$M673&gt;(ROW(PLE.lastrow)-ROW(PLE.firstrow))),0,IF(OFFSET(PLE!$G$14,$M673,BW$13)="",10^12,OFFSET(PLE!$G$14,$M673,BW$13))))</f>
        <v>1000000000000</v>
      </c>
      <c r="BX673" s="182">
        <f ca="1">IF($D673&lt;&gt;"Serviço",0,IF(OR(AND(AUTOEVENTO="Manual",$M673=1),$M673&gt;(ROW(PLE.lastrow)-ROW(PLE.firstrow))),0,IF(OFFSET(PLE!$G$14,$M673,BX$13)="",10^12,OFFSET(PLE!$G$14,$M673,BX$13))))</f>
        <v>1000000000000</v>
      </c>
      <c r="BY673" s="182">
        <f ca="1">IF($D673&lt;&gt;"Serviço",0,IF(OR(AND(AUTOEVENTO="Manual",$M673=1),$M673&gt;(ROW(PLE.lastrow)-ROW(PLE.firstrow))),0,IF(OFFSET(PLE!$G$14,$M673,BY$13)="",10^12,OFFSET(PLE!$G$14,$M673,BY$13))))</f>
        <v>1000000000000</v>
      </c>
      <c r="BZ673" s="182">
        <f ca="1">IF($D673&lt;&gt;"Serviço",0,IF(OR(AND(AUTOEVENTO="Manual",$M673=1),$M673&gt;(ROW(PLE.lastrow)-ROW(PLE.firstrow))),0,IF(OFFSET(PLE!$G$14,$M673,BZ$13)="",10^12,OFFSET(PLE!$G$14,$M673,BZ$13))))</f>
        <v>1000000000000</v>
      </c>
      <c r="CA673" s="182">
        <f ca="1">IF($D673&lt;&gt;"Serviço",0,IF(OR(AND(AUTOEVENTO="Manual",$M673=1),$M673&gt;(ROW(PLE.lastrow)-ROW(PLE.firstrow))),0,IF(OFFSET(PLE!$G$14,$M673,CA$13)="",10^12,OFFSET(PLE!$G$14,$M673,CA$13))))</f>
        <v>1000000000000</v>
      </c>
      <c r="CB673" s="182">
        <f ca="1">IF($D673&lt;&gt;"Serviço",0,IF(OR(AND(AUTOEVENTO="Manual",$M673=1),$M673&gt;(ROW(PLE.lastrow)-ROW(PLE.firstrow))),0,IF(OFFSET(PLE!$G$14,$M673,CB$13)="",10^12,OFFSET(PLE!$G$14,$M673,CB$13))))</f>
        <v>1000000000000</v>
      </c>
      <c r="CC673" s="182">
        <f ca="1">IF($D673&lt;&gt;"Serviço",0,IF(OR(AND(AUTOEVENTO="Manual",$M673=1),$M673&gt;(ROW(PLE.lastrow)-ROW(PLE.firstrow))),0,IF(OFFSET(PLE!$G$14,$M673,CC$13)="",10^12,OFFSET(PLE!$G$14,$M673,CC$13))))</f>
        <v>1000000000000</v>
      </c>
      <c r="CD673" s="182">
        <f ca="1">IF($D673&lt;&gt;"Serviço",0,IF(OR(AND(AUTOEVENTO="Manual",$M673=1),$M673&gt;(ROW(PLE.lastrow)-ROW(PLE.firstrow))),0,IF(OFFSET(PLE!$G$14,$M673,CD$13)="",10^12,OFFSET(PLE!$G$14,$M673,CD$13))))</f>
        <v>1000000000000</v>
      </c>
      <c r="CE673" s="182">
        <f ca="1">IF($D673&lt;&gt;"Serviço",0,IF(OR(AND(AUTOEVENTO="Manual",$M673=1),$M673&gt;(ROW(PLE.lastrow)-ROW(PLE.firstrow))),0,IF(OFFSET(PLE!$G$14,$M673,CE$13)="",10^12,OFFSET(PLE!$G$14,$M673,CE$13))))</f>
        <v>1000000000000</v>
      </c>
      <c r="CF673" s="182">
        <f ca="1">IF($D673&lt;&gt;"Serviço",0,IF(OR(AND(AUTOEVENTO="Manual",$M673=1),$M673&gt;(ROW(PLE.lastrow)-ROW(PLE.firstrow))),0,IF(OFFSET(PLE!$G$14,$M673,CF$13)="",10^12,OFFSET(PLE!$G$14,$M673,CF$13))))</f>
        <v>1000000000000</v>
      </c>
      <c r="CG673" s="182">
        <f ca="1">IF($D673&lt;&gt;"Serviço",0,IF(OR(AND(AUTOEVENTO="Manual",$M673=1),$M673&gt;(ROW(PLE.lastrow)-ROW(PLE.firstrow))),0,IF(OFFSET(PLE!$G$14,$M673,CG$13)="",10^12,OFFSET(PLE!$G$14,$M673,CG$13))))</f>
        <v>1000000000000</v>
      </c>
      <c r="CH673" s="182">
        <f ca="1">IF($D673&lt;&gt;"Serviço",0,IF(OR(AND(AUTOEVENTO="Manual",$M673=1),$M673&gt;(ROW(PLE.lastrow)-ROW(PLE.firstrow))),0,IF(OFFSET(PLE!$G$14,$M673,CH$13)="",10^12,OFFSET(PLE!$G$14,$M673,CH$13))))</f>
        <v>1000000000000</v>
      </c>
      <c r="CI673" s="182">
        <f ca="1">IF($D673&lt;&gt;"Serviço",0,IF(OR(AND(AUTOEVENTO="Manual",$M673=1),$M673&gt;(ROW(PLE.lastrow)-ROW(PLE.firstrow))),0,IF(OFFSET(PLE!$G$14,$M673,CI$13)="",10^12,OFFSET(PLE!$G$14,$M673,CI$13))))</f>
        <v>1000000000000</v>
      </c>
      <c r="CJ673" s="182">
        <f ca="1">IF($D673&lt;&gt;"Serviço",0,IF(OR(AND(AUTOEVENTO="Manual",$M673=1),$M673&gt;(ROW(PLE.lastrow)-ROW(PLE.firstrow))),0,IF(OFFSET(PLE!$G$14,$M673,CJ$13)="",10^12,OFFSET(PLE!$G$14,$M673,CJ$13))))</f>
        <v>1000000000000</v>
      </c>
      <c r="CK673" s="182">
        <f ca="1">IF($D673&lt;&gt;"Serviço",0,IF(OR(AND(AUTOEVENTO="Manual",$M673=1),$M673&gt;(ROW(PLE.lastrow)-ROW(PLE.firstrow))),0,IF(OFFSET(PLE!$G$14,$M673,CK$13)="",10^12,OFFSET(PLE!$G$14,$M673,CK$13))))</f>
        <v>1000000000000</v>
      </c>
      <c r="CL673" s="182">
        <f ca="1">IF($D673&lt;&gt;"Serviço",0,IF(OR(AND(AUTOEVENTO="Manual",$M673=1),$M673&gt;(ROW(PLE.lastrow)-ROW(PLE.firstrow))),0,IF(OFFSET(PLE!$G$14,$M673,CL$13)="",10^12,OFFSET(PLE!$G$14,$M673,CL$13))))</f>
        <v>1000000000000</v>
      </c>
      <c r="CM673" s="182">
        <f ca="1">IF($D673&lt;&gt;"Serviço",0,IF(OR(AND(AUTOEVENTO="Manual",$M673=1),$M673&gt;(ROW(PLE.lastrow)-ROW(PLE.firstrow))),0,IF(OFFSET(PLE!$G$14,$M673,CM$13)="",10^12,OFFSET(PLE!$G$14,$M673,CM$13))))</f>
        <v>1000000000000</v>
      </c>
    </row>
    <row r="674" spans="1:91" ht="38.25" x14ac:dyDescent="0.2">
      <c r="A674" s="7" t="str">
        <f t="shared" ca="1" si="19"/>
        <v>653</v>
      </c>
      <c r="B674" s="7" t="str">
        <f ca="1">OFFSET(ORÇAMENTO!C$15,ROW(B674)-ROW(B$15),0)</f>
        <v>S</v>
      </c>
      <c r="C674" s="7" t="str">
        <f ca="1">OFFSET(ORÇAMENTO!L$15,ROW(C674)-ROW(C$15),0)</f>
        <v/>
      </c>
      <c r="D674" s="118" t="str">
        <f ca="1">OFFSET(ORÇAMENTO!N$15,ROW(D674)-ROW(D$15),0)</f>
        <v>Serviço</v>
      </c>
      <c r="E674" s="119" t="str">
        <f ca="1">OFFSET(ORÇAMENTO!O$15,ROW(E674)-ROW(E$15),0)</f>
        <v>-</v>
      </c>
      <c r="F674" s="172" t="str">
        <f ca="1">OFFSET(ORÇAMENTO!R$15,ROW(F674)-ROW(F$15),0)</f>
        <v>(abra o arquivo 'Referência 06-2024.xlsm)</v>
      </c>
      <c r="G674" s="173" t="str">
        <f ca="1">IF($D674&lt;&gt;"Serviço","",OFFSET(ORÇAMENTO!S$15,ROW(G674)-ROW(G$15),0))</f>
        <v>-</v>
      </c>
      <c r="H674" s="124">
        <f ca="1">IF($D674&lt;&gt;"Serviço",0,IF(ACOMPANHAMENTO="BM",ROUND(OFFSET(ORÇAMENTO!AJ$15,ROW(H674)-ROW(H$15),0),15-13*ORÇAMENTO!$AF$7),SUMPRODUCT(($Q$12:$AI$12&lt;&gt;"")*ROUND($Q674:$AI674,15-13*ORÇAMENTO!$AF$7))))</f>
        <v>132</v>
      </c>
      <c r="I674" s="561" t="s">
        <v>1107</v>
      </c>
      <c r="K674" s="174"/>
      <c r="L674" s="175" t="s">
        <v>255</v>
      </c>
      <c r="M674" s="176">
        <f ca="1">IF($D674&lt;&gt;"Serviço","",IF(AUTOEVENTO="manual",$A674,IF(ISERROR(MATCH($A674,$A$15:OFFSET($A674,-1,0),0)),MAX($M$15:OFFSET(M674,-1,0))+1,INDEX($M$15:OFFSET(M674,-1,0),MATCH($A674,$A$15:OFFSET($A674,-1,0),0)))))</f>
        <v>73</v>
      </c>
      <c r="N674" s="177" t="str">
        <f ca="1">IF($D674&lt;&gt;"Serviço","",IF(AUTOEVENTO="Manual",IF($A674=0,"&lt;-- defina o número do agrupador",OFFSET(EVENTOS!$D$14,$A674,0)),OFFSET($F$15,$A674,0)))</f>
        <v>SERVIÇOS COMPLEMENTARES</v>
      </c>
      <c r="O674" s="178"/>
      <c r="Q674" s="178">
        <v>132</v>
      </c>
      <c r="R674" s="179"/>
      <c r="S674" s="179"/>
      <c r="T674" s="179"/>
      <c r="U674" s="179"/>
      <c r="V674" s="179"/>
      <c r="W674" s="179"/>
      <c r="X674" s="179"/>
      <c r="Y674" s="179"/>
      <c r="Z674" s="180"/>
      <c r="AA674" s="179"/>
      <c r="AB674" s="179"/>
      <c r="AC674" s="179"/>
      <c r="AD674" s="179"/>
      <c r="AE674" s="179"/>
      <c r="AF674" s="179"/>
      <c r="AG674" s="179"/>
      <c r="AH674" s="180"/>
      <c r="AJ674" s="544">
        <f ca="1">IF(AND($D674="Serviço",AJ$12&lt;&gt;0,$H674&gt;0,OR(AUTOEVENTO&lt;&gt;"manual",$M674&lt;&gt;1)),
IF(Import.TipoArredondamento&lt;&gt;"TransfereGOV",
ROUND(OFFSET($P674,0,AJ$13),15-13*ORÇAMENTO!$AF$7)/$H674*OFFSET(ORÇAMENTO!$X$15,ROW(AJ674)-ROW(AJ$15),0),
ROUND(ROUND(OFFSET($P674,0,AJ$13),15-13*ORÇAMENTO!$AF$7)*OFFSET(ORÇAMENTO!$W$15,ROW(AJ674)-ROW(AJ$15),0),15-13*ORÇAMENTO!$AF$11)),0)</f>
        <v>0</v>
      </c>
      <c r="AK674" s="545">
        <f ca="1">IF(AND($D674="Serviço",AK$12&lt;&gt;0,$H674&gt;0,OR(AUTOEVENTO&lt;&gt;"manual",$M674&lt;&gt;1)),
IF(Import.TipoArredondamento&lt;&gt;"TransfereGOV",
ROUND(OFFSET($P674,0,AK$13),15-13*ORÇAMENTO!$AF$7)/$H674*OFFSET(ORÇAMENTO!$X$15,ROW(AK674)-ROW(AK$15),0),
ROUND(ROUND(OFFSET($P674,0,AK$13),15-13*ORÇAMENTO!$AF$7)*OFFSET(ORÇAMENTO!$W$15,ROW(AK674)-ROW(AK$15),0),15-13*ORÇAMENTO!$AF$11)),0)</f>
        <v>0</v>
      </c>
      <c r="AL674" s="545">
        <f ca="1">IF(AND($D674="Serviço",AL$12&lt;&gt;0,$H674&gt;0,OR(AUTOEVENTO&lt;&gt;"manual",$M674&lt;&gt;1)),
IF(Import.TipoArredondamento&lt;&gt;"TransfereGOV",
ROUND(OFFSET($P674,0,AL$13),15-13*ORÇAMENTO!$AF$7)/$H674*OFFSET(ORÇAMENTO!$X$15,ROW(AL674)-ROW(AL$15),0),
ROUND(ROUND(OFFSET($P674,0,AL$13),15-13*ORÇAMENTO!$AF$7)*OFFSET(ORÇAMENTO!$W$15,ROW(AL674)-ROW(AL$15),0),15-13*ORÇAMENTO!$AF$11)),0)</f>
        <v>0</v>
      </c>
      <c r="AM674" s="545">
        <f ca="1">IF(AND($D674="Serviço",AM$12&lt;&gt;0,$H674&gt;0,OR(AUTOEVENTO&lt;&gt;"manual",$M674&lt;&gt;1)),
IF(Import.TipoArredondamento&lt;&gt;"TransfereGOV",
ROUND(OFFSET($P674,0,AM$13),15-13*ORÇAMENTO!$AF$7)/$H674*OFFSET(ORÇAMENTO!$X$15,ROW(AM674)-ROW(AM$15),0),
ROUND(ROUND(OFFSET($P674,0,AM$13),15-13*ORÇAMENTO!$AF$7)*OFFSET(ORÇAMENTO!$W$15,ROW(AM674)-ROW(AM$15),0),15-13*ORÇAMENTO!$AF$11)),0)</f>
        <v>0</v>
      </c>
      <c r="AN674" s="545">
        <f ca="1">IF(AND($D674="Serviço",AN$12&lt;&gt;0,$H674&gt;0,OR(AUTOEVENTO&lt;&gt;"manual",$M674&lt;&gt;1)),
IF(Import.TipoArredondamento&lt;&gt;"TransfereGOV",
ROUND(OFFSET($P674,0,AN$13),15-13*ORÇAMENTO!$AF$7)/$H674*OFFSET(ORÇAMENTO!$X$15,ROW(AN674)-ROW(AN$15),0),
ROUND(ROUND(OFFSET($P674,0,AN$13),15-13*ORÇAMENTO!$AF$7)*OFFSET(ORÇAMENTO!$W$15,ROW(AN674)-ROW(AN$15),0),15-13*ORÇAMENTO!$AF$11)),0)</f>
        <v>0</v>
      </c>
      <c r="AO674" s="545">
        <f ca="1">IF(AND($D674="Serviço",AO$12&lt;&gt;0,$H674&gt;0,OR(AUTOEVENTO&lt;&gt;"manual",$M674&lt;&gt;1)),
IF(Import.TipoArredondamento&lt;&gt;"TransfereGOV",
ROUND(OFFSET($P674,0,AO$13),15-13*ORÇAMENTO!$AF$7)/$H674*OFFSET(ORÇAMENTO!$X$15,ROW(AO674)-ROW(AO$15),0),
ROUND(ROUND(OFFSET($P674,0,AO$13),15-13*ORÇAMENTO!$AF$7)*OFFSET(ORÇAMENTO!$W$15,ROW(AO674)-ROW(AO$15),0),15-13*ORÇAMENTO!$AF$11)),0)</f>
        <v>0</v>
      </c>
      <c r="AP674" s="545">
        <f ca="1">IF(AND($D674="Serviço",AP$12&lt;&gt;0,$H674&gt;0,OR(AUTOEVENTO&lt;&gt;"manual",$M674&lt;&gt;1)),
IF(Import.TipoArredondamento&lt;&gt;"TransfereGOV",
ROUND(OFFSET($P674,0,AP$13),15-13*ORÇAMENTO!$AF$7)/$H674*OFFSET(ORÇAMENTO!$X$15,ROW(AP674)-ROW(AP$15),0),
ROUND(ROUND(OFFSET($P674,0,AP$13),15-13*ORÇAMENTO!$AF$7)*OFFSET(ORÇAMENTO!$W$15,ROW(AP674)-ROW(AP$15),0),15-13*ORÇAMENTO!$AF$11)),0)</f>
        <v>0</v>
      </c>
      <c r="AQ674" s="545">
        <f ca="1">IF(AND($D674="Serviço",AQ$12&lt;&gt;0,$H674&gt;0,OR(AUTOEVENTO&lt;&gt;"manual",$M674&lt;&gt;1)),
IF(Import.TipoArredondamento&lt;&gt;"TransfereGOV",
ROUND(OFFSET($P674,0,AQ$13),15-13*ORÇAMENTO!$AF$7)/$H674*OFFSET(ORÇAMENTO!$X$15,ROW(AQ674)-ROW(AQ$15),0),
ROUND(ROUND(OFFSET($P674,0,AQ$13),15-13*ORÇAMENTO!$AF$7)*OFFSET(ORÇAMENTO!$W$15,ROW(AQ674)-ROW(AQ$15),0),15-13*ORÇAMENTO!$AF$11)),0)</f>
        <v>0</v>
      </c>
      <c r="AR674" s="545">
        <f ca="1">IF(AND($D674="Serviço",AR$12&lt;&gt;0,$H674&gt;0,OR(AUTOEVENTO&lt;&gt;"manual",$M674&lt;&gt;1)),
IF(Import.TipoArredondamento&lt;&gt;"TransfereGOV",
ROUND(OFFSET($P674,0,AR$13),15-13*ORÇAMENTO!$AF$7)/$H674*OFFSET(ORÇAMENTO!$X$15,ROW(AR674)-ROW(AR$15),0),
ROUND(ROUND(OFFSET($P674,0,AR$13),15-13*ORÇAMENTO!$AF$7)*OFFSET(ORÇAMENTO!$W$15,ROW(AR674)-ROW(AR$15),0),15-13*ORÇAMENTO!$AF$11)),0)</f>
        <v>0</v>
      </c>
      <c r="AS674" s="546">
        <f ca="1">IF(AND($D674="Serviço",AS$12&lt;&gt;0,$H674&gt;0,OR(AUTOEVENTO&lt;&gt;"manual",$M674&lt;&gt;1)),
IF(Import.TipoArredondamento&lt;&gt;"TransfereGOV",
ROUND(OFFSET($P674,0,AS$13),15-13*ORÇAMENTO!$AF$7)/$H674*OFFSET(ORÇAMENTO!$X$15,ROW(AS674)-ROW(AS$15),0),
ROUND(ROUND(OFFSET($P674,0,AS$13),15-13*ORÇAMENTO!$AF$7)*OFFSET(ORÇAMENTO!$W$15,ROW(AS674)-ROW(AS$15),0),15-13*ORÇAMENTO!$AF$11)),0)</f>
        <v>0</v>
      </c>
      <c r="AT674" s="545">
        <f ca="1">IF(AND($D674="Serviço",AT$12&lt;&gt;0,$H674&gt;0,OR(AUTOEVENTO&lt;&gt;"manual",$M674&lt;&gt;1)),
IF(Import.TipoArredondamento&lt;&gt;"TransfereGOV",
ROUND(OFFSET($P674,0,AT$13),15-13*ORÇAMENTO!$AF$7)/$H674*OFFSET(ORÇAMENTO!$X$15,ROW(AT674)-ROW(AT$15),0),
ROUND(ROUND(OFFSET($P674,0,AT$13),15-13*ORÇAMENTO!$AF$7)*OFFSET(ORÇAMENTO!$W$15,ROW(AT674)-ROW(AT$15),0),15-13*ORÇAMENTO!$AF$11)),0)</f>
        <v>0</v>
      </c>
      <c r="AU674" s="545">
        <f ca="1">IF(AND($D674="Serviço",AU$12&lt;&gt;0,$H674&gt;0,OR(AUTOEVENTO&lt;&gt;"manual",$M674&lt;&gt;1)),
IF(Import.TipoArredondamento&lt;&gt;"TransfereGOV",
ROUND(OFFSET($P674,0,AU$13),15-13*ORÇAMENTO!$AF$7)/$H674*OFFSET(ORÇAMENTO!$X$15,ROW(AU674)-ROW(AU$15),0),
ROUND(ROUND(OFFSET($P674,0,AU$13),15-13*ORÇAMENTO!$AF$7)*OFFSET(ORÇAMENTO!$W$15,ROW(AU674)-ROW(AU$15),0),15-13*ORÇAMENTO!$AF$11)),0)</f>
        <v>0</v>
      </c>
      <c r="AV674" s="545">
        <f ca="1">IF(AND($D674="Serviço",AV$12&lt;&gt;0,$H674&gt;0,OR(AUTOEVENTO&lt;&gt;"manual",$M674&lt;&gt;1)),
IF(Import.TipoArredondamento&lt;&gt;"TransfereGOV",
ROUND(OFFSET($P674,0,AV$13),15-13*ORÇAMENTO!$AF$7)/$H674*OFFSET(ORÇAMENTO!$X$15,ROW(AV674)-ROW(AV$15),0),
ROUND(ROUND(OFFSET($P674,0,AV$13),15-13*ORÇAMENTO!$AF$7)*OFFSET(ORÇAMENTO!$W$15,ROW(AV674)-ROW(AV$15),0),15-13*ORÇAMENTO!$AF$11)),0)</f>
        <v>0</v>
      </c>
      <c r="AW674" s="545">
        <f ca="1">IF(AND($D674="Serviço",AW$12&lt;&gt;0,$H674&gt;0,OR(AUTOEVENTO&lt;&gt;"manual",$M674&lt;&gt;1)),
IF(Import.TipoArredondamento&lt;&gt;"TransfereGOV",
ROUND(OFFSET($P674,0,AW$13),15-13*ORÇAMENTO!$AF$7)/$H674*OFFSET(ORÇAMENTO!$X$15,ROW(AW674)-ROW(AW$15),0),
ROUND(ROUND(OFFSET($P674,0,AW$13),15-13*ORÇAMENTO!$AF$7)*OFFSET(ORÇAMENTO!$W$15,ROW(AW674)-ROW(AW$15),0),15-13*ORÇAMENTO!$AF$11)),0)</f>
        <v>0</v>
      </c>
      <c r="AX674" s="545">
        <f ca="1">IF(AND($D674="Serviço",AX$12&lt;&gt;0,$H674&gt;0,OR(AUTOEVENTO&lt;&gt;"manual",$M674&lt;&gt;1)),
IF(Import.TipoArredondamento&lt;&gt;"TransfereGOV",
ROUND(OFFSET($P674,0,AX$13),15-13*ORÇAMENTO!$AF$7)/$H674*OFFSET(ORÇAMENTO!$X$15,ROW(AX674)-ROW(AX$15),0),
ROUND(ROUND(OFFSET($P674,0,AX$13),15-13*ORÇAMENTO!$AF$7)*OFFSET(ORÇAMENTO!$W$15,ROW(AX674)-ROW(AX$15),0),15-13*ORÇAMENTO!$AF$11)),0)</f>
        <v>0</v>
      </c>
      <c r="AY674" s="545">
        <f ca="1">IF(AND($D674="Serviço",AY$12&lt;&gt;0,$H674&gt;0,OR(AUTOEVENTO&lt;&gt;"manual",$M674&lt;&gt;1)),
IF(Import.TipoArredondamento&lt;&gt;"TransfereGOV",
ROUND(OFFSET($P674,0,AY$13),15-13*ORÇAMENTO!$AF$7)/$H674*OFFSET(ORÇAMENTO!$X$15,ROW(AY674)-ROW(AY$15),0),
ROUND(ROUND(OFFSET($P674,0,AY$13),15-13*ORÇAMENTO!$AF$7)*OFFSET(ORÇAMENTO!$W$15,ROW(AY674)-ROW(AY$15),0),15-13*ORÇAMENTO!$AF$11)),0)</f>
        <v>0</v>
      </c>
      <c r="AZ674" s="545">
        <f ca="1">IF(AND($D674="Serviço",AZ$12&lt;&gt;0,$H674&gt;0,OR(AUTOEVENTO&lt;&gt;"manual",$M674&lt;&gt;1)),
IF(Import.TipoArredondamento&lt;&gt;"TransfereGOV",
ROUND(OFFSET($P674,0,AZ$13),15-13*ORÇAMENTO!$AF$7)/$H674*OFFSET(ORÇAMENTO!$X$15,ROW(AZ674)-ROW(AZ$15),0),
ROUND(ROUND(OFFSET($P674,0,AZ$13),15-13*ORÇAMENTO!$AF$7)*OFFSET(ORÇAMENTO!$W$15,ROW(AZ674)-ROW(AZ$15),0),15-13*ORÇAMENTO!$AF$11)),0)</f>
        <v>0</v>
      </c>
      <c r="BA674" s="546">
        <f ca="1">IF(AND($D674="Serviço",BA$12&lt;&gt;0,$H674&gt;0,OR(AUTOEVENTO&lt;&gt;"manual",$M674&lt;&gt;1)),
IF(Import.TipoArredondamento&lt;&gt;"TransfereGOV",
ROUND(OFFSET($P674,0,BA$13),15-13*ORÇAMENTO!$AF$7)/$H674*OFFSET(ORÇAMENTO!$X$15,ROW(BA674)-ROW(BA$15),0),
ROUND(ROUND(OFFSET($P674,0,BA$13),15-13*ORÇAMENTO!$AF$7)*OFFSET(ORÇAMENTO!$W$15,ROW(BA674)-ROW(BA$15),0),15-13*ORÇAMENTO!$AF$11)),0)</f>
        <v>0</v>
      </c>
      <c r="BC674" s="181">
        <f ca="1">IF($D674&lt;&gt;"Serviço",0,IF(AND(AUTOEVENTO="Manual",$M674=1),0,IF(OFFSET(CRONOPLE!$F$14,$M674,BC$13)="",10^12,OFFSET(CRONOPLE!$F$14,$M674,BC$13))))</f>
        <v>11</v>
      </c>
      <c r="BD674" s="181">
        <f ca="1">IF($D674&lt;&gt;"Serviço",0,IF(AND(AUTOEVENTO="Manual",$M674=1),0,IF(OFFSET(CRONOPLE!$F$14,$M674,BD$13)="",10^12,OFFSET(CRONOPLE!$F$14,$M674,BD$13))))</f>
        <v>1000000000000</v>
      </c>
      <c r="BE674" s="181">
        <f ca="1">IF($D674&lt;&gt;"Serviço",0,IF(AND(AUTOEVENTO="Manual",$M674=1),0,IF(OFFSET(CRONOPLE!$F$14,$M674,BE$13)="",10^12,OFFSET(CRONOPLE!$F$14,$M674,BE$13))))</f>
        <v>1000000000000</v>
      </c>
      <c r="BF674" s="181">
        <f ca="1">IF($D674&lt;&gt;"Serviço",0,IF(AND(AUTOEVENTO="Manual",$M674=1),0,IF(OFFSET(CRONOPLE!$F$14,$M674,BF$13)="",10^12,OFFSET(CRONOPLE!$F$14,$M674,BF$13))))</f>
        <v>1000000000000</v>
      </c>
      <c r="BG674" s="181">
        <f ca="1">IF($D674&lt;&gt;"Serviço",0,IF(AND(AUTOEVENTO="Manual",$M674=1),0,IF(OFFSET(CRONOPLE!$F$14,$M674,BG$13)="",10^12,OFFSET(CRONOPLE!$F$14,$M674,BG$13))))</f>
        <v>1000000000000</v>
      </c>
      <c r="BH674" s="181">
        <f ca="1">IF($D674&lt;&gt;"Serviço",0,IF(AND(AUTOEVENTO="Manual",$M674=1),0,IF(OFFSET(CRONOPLE!$F$14,$M674,BH$13)="",10^12,OFFSET(CRONOPLE!$F$14,$M674,BH$13))))</f>
        <v>1000000000000</v>
      </c>
      <c r="BI674" s="181">
        <f ca="1">IF($D674&lt;&gt;"Serviço",0,IF(AND(AUTOEVENTO="Manual",$M674=1),0,IF(OFFSET(CRONOPLE!$F$14,$M674,BI$13)="",10^12,OFFSET(CRONOPLE!$F$14,$M674,BI$13))))</f>
        <v>1000000000000</v>
      </c>
      <c r="BJ674" s="181">
        <f ca="1">IF($D674&lt;&gt;"Serviço",0,IF(AND(AUTOEVENTO="Manual",$M674=1),0,IF(OFFSET(CRONOPLE!$F$14,$M674,BJ$13)="",10^12,OFFSET(CRONOPLE!$F$14,$M674,BJ$13))))</f>
        <v>1000000000000</v>
      </c>
      <c r="BK674" s="181">
        <f ca="1">IF($D674&lt;&gt;"Serviço",0,IF(AND(AUTOEVENTO="Manual",$M674=1),0,IF(OFFSET(CRONOPLE!$F$14,$M674,BK$13)="",10^12,OFFSET(CRONOPLE!$F$14,$M674,BK$13))))</f>
        <v>1000000000000</v>
      </c>
      <c r="BL674" s="181">
        <f ca="1">IF($D674&lt;&gt;"Serviço",0,IF(AND(AUTOEVENTO="Manual",$M674=1),0,IF(OFFSET(CRONOPLE!$F$14,$M674,BL$13)="",10^12,OFFSET(CRONOPLE!$F$14,$M674,BL$13))))</f>
        <v>1000000000000</v>
      </c>
      <c r="BM674" s="181">
        <f ca="1">IF($D674&lt;&gt;"Serviço",0,IF(AND(AUTOEVENTO="Manual",$M674=1),0,IF(OFFSET(CRONOPLE!$F$14,$M674,BM$13)="",10^12,OFFSET(CRONOPLE!$F$14,$M674,BM$13))))</f>
        <v>1000000000000</v>
      </c>
      <c r="BN674" s="181">
        <f ca="1">IF($D674&lt;&gt;"Serviço",0,IF(AND(AUTOEVENTO="Manual",$M674=1),0,IF(OFFSET(CRONOPLE!$F$14,$M674,BN$13)="",10^12,OFFSET(CRONOPLE!$F$14,$M674,BN$13))))</f>
        <v>1000000000000</v>
      </c>
      <c r="BO674" s="181">
        <f ca="1">IF($D674&lt;&gt;"Serviço",0,IF(AND(AUTOEVENTO="Manual",$M674=1),0,IF(OFFSET(CRONOPLE!$F$14,$M674,BO$13)="",10^12,OFFSET(CRONOPLE!$F$14,$M674,BO$13))))</f>
        <v>1000000000000</v>
      </c>
      <c r="BP674" s="181">
        <f ca="1">IF($D674&lt;&gt;"Serviço",0,IF(AND(AUTOEVENTO="Manual",$M674=1),0,IF(OFFSET(CRONOPLE!$F$14,$M674,BP$13)="",10^12,OFFSET(CRONOPLE!$F$14,$M674,BP$13))))</f>
        <v>1000000000000</v>
      </c>
      <c r="BQ674" s="181">
        <f ca="1">IF($D674&lt;&gt;"Serviço",0,IF(AND(AUTOEVENTO="Manual",$M674=1),0,IF(OFFSET(CRONOPLE!$F$14,$M674,BQ$13)="",10^12,OFFSET(CRONOPLE!$F$14,$M674,BQ$13))))</f>
        <v>1000000000000</v>
      </c>
      <c r="BR674" s="181">
        <f ca="1">IF($D674&lt;&gt;"Serviço",0,IF(AND(AUTOEVENTO="Manual",$M674=1),0,IF(OFFSET(CRONOPLE!$F$14,$M674,BR$13)="",10^12,OFFSET(CRONOPLE!$F$14,$M674,BR$13))))</f>
        <v>1000000000000</v>
      </c>
      <c r="BS674" s="181">
        <f ca="1">IF($D674&lt;&gt;"Serviço",0,IF(AND(AUTOEVENTO="Manual",$M674=1),0,IF(OFFSET(CRONOPLE!$F$14,$M674,BS$13)="",10^12,OFFSET(CRONOPLE!$F$14,$M674,BS$13))))</f>
        <v>1000000000000</v>
      </c>
      <c r="BT674" s="181">
        <f ca="1">IF($D674&lt;&gt;"Serviço",0,IF(AND(AUTOEVENTO="Manual",$M674=1),0,IF(OFFSET(CRONOPLE!$F$14,$M674,BT$13)="",10^12,OFFSET(CRONOPLE!$F$14,$M674,BT$13))))</f>
        <v>1000000000000</v>
      </c>
      <c r="BV674" s="182">
        <f ca="1">IF($D674&lt;&gt;"Serviço",0,IF(OR(AND(AUTOEVENTO="Manual",$M674=1),$M674&gt;(ROW(PLE.lastrow)-ROW(PLE.firstrow))),0,IF(OFFSET(PLE!$G$14,$M674,BV$13)="",10^12,OFFSET(PLE!$G$14,$M674,BV$13))))</f>
        <v>1000000000000</v>
      </c>
      <c r="BW674" s="182">
        <f ca="1">IF($D674&lt;&gt;"Serviço",0,IF(OR(AND(AUTOEVENTO="Manual",$M674=1),$M674&gt;(ROW(PLE.lastrow)-ROW(PLE.firstrow))),0,IF(OFFSET(PLE!$G$14,$M674,BW$13)="",10^12,OFFSET(PLE!$G$14,$M674,BW$13))))</f>
        <v>1000000000000</v>
      </c>
      <c r="BX674" s="182">
        <f ca="1">IF($D674&lt;&gt;"Serviço",0,IF(OR(AND(AUTOEVENTO="Manual",$M674=1),$M674&gt;(ROW(PLE.lastrow)-ROW(PLE.firstrow))),0,IF(OFFSET(PLE!$G$14,$M674,BX$13)="",10^12,OFFSET(PLE!$G$14,$M674,BX$13))))</f>
        <v>1000000000000</v>
      </c>
      <c r="BY674" s="182">
        <f ca="1">IF($D674&lt;&gt;"Serviço",0,IF(OR(AND(AUTOEVENTO="Manual",$M674=1),$M674&gt;(ROW(PLE.lastrow)-ROW(PLE.firstrow))),0,IF(OFFSET(PLE!$G$14,$M674,BY$13)="",10^12,OFFSET(PLE!$G$14,$M674,BY$13))))</f>
        <v>1000000000000</v>
      </c>
      <c r="BZ674" s="182">
        <f ca="1">IF($D674&lt;&gt;"Serviço",0,IF(OR(AND(AUTOEVENTO="Manual",$M674=1),$M674&gt;(ROW(PLE.lastrow)-ROW(PLE.firstrow))),0,IF(OFFSET(PLE!$G$14,$M674,BZ$13)="",10^12,OFFSET(PLE!$G$14,$M674,BZ$13))))</f>
        <v>1000000000000</v>
      </c>
      <c r="CA674" s="182">
        <f ca="1">IF($D674&lt;&gt;"Serviço",0,IF(OR(AND(AUTOEVENTO="Manual",$M674=1),$M674&gt;(ROW(PLE.lastrow)-ROW(PLE.firstrow))),0,IF(OFFSET(PLE!$G$14,$M674,CA$13)="",10^12,OFFSET(PLE!$G$14,$M674,CA$13))))</f>
        <v>1000000000000</v>
      </c>
      <c r="CB674" s="182">
        <f ca="1">IF($D674&lt;&gt;"Serviço",0,IF(OR(AND(AUTOEVENTO="Manual",$M674=1),$M674&gt;(ROW(PLE.lastrow)-ROW(PLE.firstrow))),0,IF(OFFSET(PLE!$G$14,$M674,CB$13)="",10^12,OFFSET(PLE!$G$14,$M674,CB$13))))</f>
        <v>1000000000000</v>
      </c>
      <c r="CC674" s="182">
        <f ca="1">IF($D674&lt;&gt;"Serviço",0,IF(OR(AND(AUTOEVENTO="Manual",$M674=1),$M674&gt;(ROW(PLE.lastrow)-ROW(PLE.firstrow))),0,IF(OFFSET(PLE!$G$14,$M674,CC$13)="",10^12,OFFSET(PLE!$G$14,$M674,CC$13))))</f>
        <v>1000000000000</v>
      </c>
      <c r="CD674" s="182">
        <f ca="1">IF($D674&lt;&gt;"Serviço",0,IF(OR(AND(AUTOEVENTO="Manual",$M674=1),$M674&gt;(ROW(PLE.lastrow)-ROW(PLE.firstrow))),0,IF(OFFSET(PLE!$G$14,$M674,CD$13)="",10^12,OFFSET(PLE!$G$14,$M674,CD$13))))</f>
        <v>1000000000000</v>
      </c>
      <c r="CE674" s="182">
        <f ca="1">IF($D674&lt;&gt;"Serviço",0,IF(OR(AND(AUTOEVENTO="Manual",$M674=1),$M674&gt;(ROW(PLE.lastrow)-ROW(PLE.firstrow))),0,IF(OFFSET(PLE!$G$14,$M674,CE$13)="",10^12,OFFSET(PLE!$G$14,$M674,CE$13))))</f>
        <v>1000000000000</v>
      </c>
      <c r="CF674" s="182">
        <f ca="1">IF($D674&lt;&gt;"Serviço",0,IF(OR(AND(AUTOEVENTO="Manual",$M674=1),$M674&gt;(ROW(PLE.lastrow)-ROW(PLE.firstrow))),0,IF(OFFSET(PLE!$G$14,$M674,CF$13)="",10^12,OFFSET(PLE!$G$14,$M674,CF$13))))</f>
        <v>1000000000000</v>
      </c>
      <c r="CG674" s="182">
        <f ca="1">IF($D674&lt;&gt;"Serviço",0,IF(OR(AND(AUTOEVENTO="Manual",$M674=1),$M674&gt;(ROW(PLE.lastrow)-ROW(PLE.firstrow))),0,IF(OFFSET(PLE!$G$14,$M674,CG$13)="",10^12,OFFSET(PLE!$G$14,$M674,CG$13))))</f>
        <v>1000000000000</v>
      </c>
      <c r="CH674" s="182">
        <f ca="1">IF($D674&lt;&gt;"Serviço",0,IF(OR(AND(AUTOEVENTO="Manual",$M674=1),$M674&gt;(ROW(PLE.lastrow)-ROW(PLE.firstrow))),0,IF(OFFSET(PLE!$G$14,$M674,CH$13)="",10^12,OFFSET(PLE!$G$14,$M674,CH$13))))</f>
        <v>1000000000000</v>
      </c>
      <c r="CI674" s="182">
        <f ca="1">IF($D674&lt;&gt;"Serviço",0,IF(OR(AND(AUTOEVENTO="Manual",$M674=1),$M674&gt;(ROW(PLE.lastrow)-ROW(PLE.firstrow))),0,IF(OFFSET(PLE!$G$14,$M674,CI$13)="",10^12,OFFSET(PLE!$G$14,$M674,CI$13))))</f>
        <v>1000000000000</v>
      </c>
      <c r="CJ674" s="182">
        <f ca="1">IF($D674&lt;&gt;"Serviço",0,IF(OR(AND(AUTOEVENTO="Manual",$M674=1),$M674&gt;(ROW(PLE.lastrow)-ROW(PLE.firstrow))),0,IF(OFFSET(PLE!$G$14,$M674,CJ$13)="",10^12,OFFSET(PLE!$G$14,$M674,CJ$13))))</f>
        <v>1000000000000</v>
      </c>
      <c r="CK674" s="182">
        <f ca="1">IF($D674&lt;&gt;"Serviço",0,IF(OR(AND(AUTOEVENTO="Manual",$M674=1),$M674&gt;(ROW(PLE.lastrow)-ROW(PLE.firstrow))),0,IF(OFFSET(PLE!$G$14,$M674,CK$13)="",10^12,OFFSET(PLE!$G$14,$M674,CK$13))))</f>
        <v>1000000000000</v>
      </c>
      <c r="CL674" s="182">
        <f ca="1">IF($D674&lt;&gt;"Serviço",0,IF(OR(AND(AUTOEVENTO="Manual",$M674=1),$M674&gt;(ROW(PLE.lastrow)-ROW(PLE.firstrow))),0,IF(OFFSET(PLE!$G$14,$M674,CL$13)="",10^12,OFFSET(PLE!$G$14,$M674,CL$13))))</f>
        <v>1000000000000</v>
      </c>
      <c r="CM674" s="182">
        <f ca="1">IF($D674&lt;&gt;"Serviço",0,IF(OR(AND(AUTOEVENTO="Manual",$M674=1),$M674&gt;(ROW(PLE.lastrow)-ROW(PLE.firstrow))),0,IF(OFFSET(PLE!$G$14,$M674,CM$13)="",10^12,OFFSET(PLE!$G$14,$M674,CM$13))))</f>
        <v>1000000000000</v>
      </c>
    </row>
    <row r="675" spans="1:91" ht="38.25" x14ac:dyDescent="0.2">
      <c r="A675" s="7" t="str">
        <f t="shared" ca="1" si="19"/>
        <v>653</v>
      </c>
      <c r="B675" s="7" t="str">
        <f ca="1">OFFSET(ORÇAMENTO!C$15,ROW(B675)-ROW(B$15),0)</f>
        <v>S</v>
      </c>
      <c r="C675" s="7" t="str">
        <f ca="1">OFFSET(ORÇAMENTO!L$15,ROW(C675)-ROW(C$15),0)</f>
        <v/>
      </c>
      <c r="D675" s="118" t="str">
        <f ca="1">OFFSET(ORÇAMENTO!N$15,ROW(D675)-ROW(D$15),0)</f>
        <v>Serviço</v>
      </c>
      <c r="E675" s="119" t="str">
        <f ca="1">OFFSET(ORÇAMENTO!O$15,ROW(E675)-ROW(E$15),0)</f>
        <v>-</v>
      </c>
      <c r="F675" s="172" t="str">
        <f ca="1">OFFSET(ORÇAMENTO!R$15,ROW(F675)-ROW(F$15),0)</f>
        <v>(abra o arquivo 'Referência 06-2024.xlsm)</v>
      </c>
      <c r="G675" s="173" t="str">
        <f ca="1">IF($D675&lt;&gt;"Serviço","",OFFSET(ORÇAMENTO!S$15,ROW(G675)-ROW(G$15),0))</f>
        <v>-</v>
      </c>
      <c r="H675" s="124">
        <f ca="1">IF($D675&lt;&gt;"Serviço",0,IF(ACOMPANHAMENTO="BM",ROUND(OFFSET(ORÇAMENTO!AJ$15,ROW(H675)-ROW(H$15),0),15-13*ORÇAMENTO!$AF$7),SUMPRODUCT(($Q$12:$AI$12&lt;&gt;"")*ROUND($Q675:$AI675,15-13*ORÇAMENTO!$AF$7))))</f>
        <v>8.4499999999999993</v>
      </c>
      <c r="I675" s="561" t="s">
        <v>1107</v>
      </c>
      <c r="K675" s="174"/>
      <c r="L675" s="175" t="s">
        <v>255</v>
      </c>
      <c r="M675" s="176">
        <f ca="1">IF($D675&lt;&gt;"Serviço","",IF(AUTOEVENTO="manual",$A675,IF(ISERROR(MATCH($A675,$A$15:OFFSET($A675,-1,0),0)),MAX($M$15:OFFSET(M675,-1,0))+1,INDEX($M$15:OFFSET(M675,-1,0),MATCH($A675,$A$15:OFFSET($A675,-1,0),0)))))</f>
        <v>73</v>
      </c>
      <c r="N675" s="177" t="str">
        <f ca="1">IF($D675&lt;&gt;"Serviço","",IF(AUTOEVENTO="Manual",IF($A675=0,"&lt;-- defina o número do agrupador",OFFSET(EVENTOS!$D$14,$A675,0)),OFFSET($F$15,$A675,0)))</f>
        <v>SERVIÇOS COMPLEMENTARES</v>
      </c>
      <c r="O675" s="178"/>
      <c r="Q675" s="178">
        <v>8.4499999999999993</v>
      </c>
      <c r="R675" s="179"/>
      <c r="S675" s="179"/>
      <c r="T675" s="179"/>
      <c r="U675" s="179"/>
      <c r="V675" s="179"/>
      <c r="W675" s="179"/>
      <c r="X675" s="179"/>
      <c r="Y675" s="179"/>
      <c r="Z675" s="180"/>
      <c r="AA675" s="179"/>
      <c r="AB675" s="179"/>
      <c r="AC675" s="179"/>
      <c r="AD675" s="179"/>
      <c r="AE675" s="179"/>
      <c r="AF675" s="179"/>
      <c r="AG675" s="179"/>
      <c r="AH675" s="180"/>
      <c r="AJ675" s="544">
        <f ca="1">IF(AND($D675="Serviço",AJ$12&lt;&gt;0,$H675&gt;0,OR(AUTOEVENTO&lt;&gt;"manual",$M675&lt;&gt;1)),
IF(Import.TipoArredondamento&lt;&gt;"TransfereGOV",
ROUND(OFFSET($P675,0,AJ$13),15-13*ORÇAMENTO!$AF$7)/$H675*OFFSET(ORÇAMENTO!$X$15,ROW(AJ675)-ROW(AJ$15),0),
ROUND(ROUND(OFFSET($P675,0,AJ$13),15-13*ORÇAMENTO!$AF$7)*OFFSET(ORÇAMENTO!$W$15,ROW(AJ675)-ROW(AJ$15),0),15-13*ORÇAMENTO!$AF$11)),0)</f>
        <v>0</v>
      </c>
      <c r="AK675" s="545">
        <f ca="1">IF(AND($D675="Serviço",AK$12&lt;&gt;0,$H675&gt;0,OR(AUTOEVENTO&lt;&gt;"manual",$M675&lt;&gt;1)),
IF(Import.TipoArredondamento&lt;&gt;"TransfereGOV",
ROUND(OFFSET($P675,0,AK$13),15-13*ORÇAMENTO!$AF$7)/$H675*OFFSET(ORÇAMENTO!$X$15,ROW(AK675)-ROW(AK$15),0),
ROUND(ROUND(OFFSET($P675,0,AK$13),15-13*ORÇAMENTO!$AF$7)*OFFSET(ORÇAMENTO!$W$15,ROW(AK675)-ROW(AK$15),0),15-13*ORÇAMENTO!$AF$11)),0)</f>
        <v>0</v>
      </c>
      <c r="AL675" s="545">
        <f ca="1">IF(AND($D675="Serviço",AL$12&lt;&gt;0,$H675&gt;0,OR(AUTOEVENTO&lt;&gt;"manual",$M675&lt;&gt;1)),
IF(Import.TipoArredondamento&lt;&gt;"TransfereGOV",
ROUND(OFFSET($P675,0,AL$13),15-13*ORÇAMENTO!$AF$7)/$H675*OFFSET(ORÇAMENTO!$X$15,ROW(AL675)-ROW(AL$15),0),
ROUND(ROUND(OFFSET($P675,0,AL$13),15-13*ORÇAMENTO!$AF$7)*OFFSET(ORÇAMENTO!$W$15,ROW(AL675)-ROW(AL$15),0),15-13*ORÇAMENTO!$AF$11)),0)</f>
        <v>0</v>
      </c>
      <c r="AM675" s="545">
        <f ca="1">IF(AND($D675="Serviço",AM$12&lt;&gt;0,$H675&gt;0,OR(AUTOEVENTO&lt;&gt;"manual",$M675&lt;&gt;1)),
IF(Import.TipoArredondamento&lt;&gt;"TransfereGOV",
ROUND(OFFSET($P675,0,AM$13),15-13*ORÇAMENTO!$AF$7)/$H675*OFFSET(ORÇAMENTO!$X$15,ROW(AM675)-ROW(AM$15),0),
ROUND(ROUND(OFFSET($P675,0,AM$13),15-13*ORÇAMENTO!$AF$7)*OFFSET(ORÇAMENTO!$W$15,ROW(AM675)-ROW(AM$15),0),15-13*ORÇAMENTO!$AF$11)),0)</f>
        <v>0</v>
      </c>
      <c r="AN675" s="545">
        <f ca="1">IF(AND($D675="Serviço",AN$12&lt;&gt;0,$H675&gt;0,OR(AUTOEVENTO&lt;&gt;"manual",$M675&lt;&gt;1)),
IF(Import.TipoArredondamento&lt;&gt;"TransfereGOV",
ROUND(OFFSET($P675,0,AN$13),15-13*ORÇAMENTO!$AF$7)/$H675*OFFSET(ORÇAMENTO!$X$15,ROW(AN675)-ROW(AN$15),0),
ROUND(ROUND(OFFSET($P675,0,AN$13),15-13*ORÇAMENTO!$AF$7)*OFFSET(ORÇAMENTO!$W$15,ROW(AN675)-ROW(AN$15),0),15-13*ORÇAMENTO!$AF$11)),0)</f>
        <v>0</v>
      </c>
      <c r="AO675" s="545">
        <f ca="1">IF(AND($D675="Serviço",AO$12&lt;&gt;0,$H675&gt;0,OR(AUTOEVENTO&lt;&gt;"manual",$M675&lt;&gt;1)),
IF(Import.TipoArredondamento&lt;&gt;"TransfereGOV",
ROUND(OFFSET($P675,0,AO$13),15-13*ORÇAMENTO!$AF$7)/$H675*OFFSET(ORÇAMENTO!$X$15,ROW(AO675)-ROW(AO$15),0),
ROUND(ROUND(OFFSET($P675,0,AO$13),15-13*ORÇAMENTO!$AF$7)*OFFSET(ORÇAMENTO!$W$15,ROW(AO675)-ROW(AO$15),0),15-13*ORÇAMENTO!$AF$11)),0)</f>
        <v>0</v>
      </c>
      <c r="AP675" s="545">
        <f ca="1">IF(AND($D675="Serviço",AP$12&lt;&gt;0,$H675&gt;0,OR(AUTOEVENTO&lt;&gt;"manual",$M675&lt;&gt;1)),
IF(Import.TipoArredondamento&lt;&gt;"TransfereGOV",
ROUND(OFFSET($P675,0,AP$13),15-13*ORÇAMENTO!$AF$7)/$H675*OFFSET(ORÇAMENTO!$X$15,ROW(AP675)-ROW(AP$15),0),
ROUND(ROUND(OFFSET($P675,0,AP$13),15-13*ORÇAMENTO!$AF$7)*OFFSET(ORÇAMENTO!$W$15,ROW(AP675)-ROW(AP$15),0),15-13*ORÇAMENTO!$AF$11)),0)</f>
        <v>0</v>
      </c>
      <c r="AQ675" s="545">
        <f ca="1">IF(AND($D675="Serviço",AQ$12&lt;&gt;0,$H675&gt;0,OR(AUTOEVENTO&lt;&gt;"manual",$M675&lt;&gt;1)),
IF(Import.TipoArredondamento&lt;&gt;"TransfereGOV",
ROUND(OFFSET($P675,0,AQ$13),15-13*ORÇAMENTO!$AF$7)/$H675*OFFSET(ORÇAMENTO!$X$15,ROW(AQ675)-ROW(AQ$15),0),
ROUND(ROUND(OFFSET($P675,0,AQ$13),15-13*ORÇAMENTO!$AF$7)*OFFSET(ORÇAMENTO!$W$15,ROW(AQ675)-ROW(AQ$15),0),15-13*ORÇAMENTO!$AF$11)),0)</f>
        <v>0</v>
      </c>
      <c r="AR675" s="545">
        <f ca="1">IF(AND($D675="Serviço",AR$12&lt;&gt;0,$H675&gt;0,OR(AUTOEVENTO&lt;&gt;"manual",$M675&lt;&gt;1)),
IF(Import.TipoArredondamento&lt;&gt;"TransfereGOV",
ROUND(OFFSET($P675,0,AR$13),15-13*ORÇAMENTO!$AF$7)/$H675*OFFSET(ORÇAMENTO!$X$15,ROW(AR675)-ROW(AR$15),0),
ROUND(ROUND(OFFSET($P675,0,AR$13),15-13*ORÇAMENTO!$AF$7)*OFFSET(ORÇAMENTO!$W$15,ROW(AR675)-ROW(AR$15),0),15-13*ORÇAMENTO!$AF$11)),0)</f>
        <v>0</v>
      </c>
      <c r="AS675" s="546">
        <f ca="1">IF(AND($D675="Serviço",AS$12&lt;&gt;0,$H675&gt;0,OR(AUTOEVENTO&lt;&gt;"manual",$M675&lt;&gt;1)),
IF(Import.TipoArredondamento&lt;&gt;"TransfereGOV",
ROUND(OFFSET($P675,0,AS$13),15-13*ORÇAMENTO!$AF$7)/$H675*OFFSET(ORÇAMENTO!$X$15,ROW(AS675)-ROW(AS$15),0),
ROUND(ROUND(OFFSET($P675,0,AS$13),15-13*ORÇAMENTO!$AF$7)*OFFSET(ORÇAMENTO!$W$15,ROW(AS675)-ROW(AS$15),0),15-13*ORÇAMENTO!$AF$11)),0)</f>
        <v>0</v>
      </c>
      <c r="AT675" s="545">
        <f ca="1">IF(AND($D675="Serviço",AT$12&lt;&gt;0,$H675&gt;0,OR(AUTOEVENTO&lt;&gt;"manual",$M675&lt;&gt;1)),
IF(Import.TipoArredondamento&lt;&gt;"TransfereGOV",
ROUND(OFFSET($P675,0,AT$13),15-13*ORÇAMENTO!$AF$7)/$H675*OFFSET(ORÇAMENTO!$X$15,ROW(AT675)-ROW(AT$15),0),
ROUND(ROUND(OFFSET($P675,0,AT$13),15-13*ORÇAMENTO!$AF$7)*OFFSET(ORÇAMENTO!$W$15,ROW(AT675)-ROW(AT$15),0),15-13*ORÇAMENTO!$AF$11)),0)</f>
        <v>0</v>
      </c>
      <c r="AU675" s="545">
        <f ca="1">IF(AND($D675="Serviço",AU$12&lt;&gt;0,$H675&gt;0,OR(AUTOEVENTO&lt;&gt;"manual",$M675&lt;&gt;1)),
IF(Import.TipoArredondamento&lt;&gt;"TransfereGOV",
ROUND(OFFSET($P675,0,AU$13),15-13*ORÇAMENTO!$AF$7)/$H675*OFFSET(ORÇAMENTO!$X$15,ROW(AU675)-ROW(AU$15),0),
ROUND(ROUND(OFFSET($P675,0,AU$13),15-13*ORÇAMENTO!$AF$7)*OFFSET(ORÇAMENTO!$W$15,ROW(AU675)-ROW(AU$15),0),15-13*ORÇAMENTO!$AF$11)),0)</f>
        <v>0</v>
      </c>
      <c r="AV675" s="545">
        <f ca="1">IF(AND($D675="Serviço",AV$12&lt;&gt;0,$H675&gt;0,OR(AUTOEVENTO&lt;&gt;"manual",$M675&lt;&gt;1)),
IF(Import.TipoArredondamento&lt;&gt;"TransfereGOV",
ROUND(OFFSET($P675,0,AV$13),15-13*ORÇAMENTO!$AF$7)/$H675*OFFSET(ORÇAMENTO!$X$15,ROW(AV675)-ROW(AV$15),0),
ROUND(ROUND(OFFSET($P675,0,AV$13),15-13*ORÇAMENTO!$AF$7)*OFFSET(ORÇAMENTO!$W$15,ROW(AV675)-ROW(AV$15),0),15-13*ORÇAMENTO!$AF$11)),0)</f>
        <v>0</v>
      </c>
      <c r="AW675" s="545">
        <f ca="1">IF(AND($D675="Serviço",AW$12&lt;&gt;0,$H675&gt;0,OR(AUTOEVENTO&lt;&gt;"manual",$M675&lt;&gt;1)),
IF(Import.TipoArredondamento&lt;&gt;"TransfereGOV",
ROUND(OFFSET($P675,0,AW$13),15-13*ORÇAMENTO!$AF$7)/$H675*OFFSET(ORÇAMENTO!$X$15,ROW(AW675)-ROW(AW$15),0),
ROUND(ROUND(OFFSET($P675,0,AW$13),15-13*ORÇAMENTO!$AF$7)*OFFSET(ORÇAMENTO!$W$15,ROW(AW675)-ROW(AW$15),0),15-13*ORÇAMENTO!$AF$11)),0)</f>
        <v>0</v>
      </c>
      <c r="AX675" s="545">
        <f ca="1">IF(AND($D675="Serviço",AX$12&lt;&gt;0,$H675&gt;0,OR(AUTOEVENTO&lt;&gt;"manual",$M675&lt;&gt;1)),
IF(Import.TipoArredondamento&lt;&gt;"TransfereGOV",
ROUND(OFFSET($P675,0,AX$13),15-13*ORÇAMENTO!$AF$7)/$H675*OFFSET(ORÇAMENTO!$X$15,ROW(AX675)-ROW(AX$15),0),
ROUND(ROUND(OFFSET($P675,0,AX$13),15-13*ORÇAMENTO!$AF$7)*OFFSET(ORÇAMENTO!$W$15,ROW(AX675)-ROW(AX$15),0),15-13*ORÇAMENTO!$AF$11)),0)</f>
        <v>0</v>
      </c>
      <c r="AY675" s="545">
        <f ca="1">IF(AND($D675="Serviço",AY$12&lt;&gt;0,$H675&gt;0,OR(AUTOEVENTO&lt;&gt;"manual",$M675&lt;&gt;1)),
IF(Import.TipoArredondamento&lt;&gt;"TransfereGOV",
ROUND(OFFSET($P675,0,AY$13),15-13*ORÇAMENTO!$AF$7)/$H675*OFFSET(ORÇAMENTO!$X$15,ROW(AY675)-ROW(AY$15),0),
ROUND(ROUND(OFFSET($P675,0,AY$13),15-13*ORÇAMENTO!$AF$7)*OFFSET(ORÇAMENTO!$W$15,ROW(AY675)-ROW(AY$15),0),15-13*ORÇAMENTO!$AF$11)),0)</f>
        <v>0</v>
      </c>
      <c r="AZ675" s="545">
        <f ca="1">IF(AND($D675="Serviço",AZ$12&lt;&gt;0,$H675&gt;0,OR(AUTOEVENTO&lt;&gt;"manual",$M675&lt;&gt;1)),
IF(Import.TipoArredondamento&lt;&gt;"TransfereGOV",
ROUND(OFFSET($P675,0,AZ$13),15-13*ORÇAMENTO!$AF$7)/$H675*OFFSET(ORÇAMENTO!$X$15,ROW(AZ675)-ROW(AZ$15),0),
ROUND(ROUND(OFFSET($P675,0,AZ$13),15-13*ORÇAMENTO!$AF$7)*OFFSET(ORÇAMENTO!$W$15,ROW(AZ675)-ROW(AZ$15),0),15-13*ORÇAMENTO!$AF$11)),0)</f>
        <v>0</v>
      </c>
      <c r="BA675" s="546">
        <f ca="1">IF(AND($D675="Serviço",BA$12&lt;&gt;0,$H675&gt;0,OR(AUTOEVENTO&lt;&gt;"manual",$M675&lt;&gt;1)),
IF(Import.TipoArredondamento&lt;&gt;"TransfereGOV",
ROUND(OFFSET($P675,0,BA$13),15-13*ORÇAMENTO!$AF$7)/$H675*OFFSET(ORÇAMENTO!$X$15,ROW(BA675)-ROW(BA$15),0),
ROUND(ROUND(OFFSET($P675,0,BA$13),15-13*ORÇAMENTO!$AF$7)*OFFSET(ORÇAMENTO!$W$15,ROW(BA675)-ROW(BA$15),0),15-13*ORÇAMENTO!$AF$11)),0)</f>
        <v>0</v>
      </c>
      <c r="BC675" s="181">
        <f ca="1">IF($D675&lt;&gt;"Serviço",0,IF(AND(AUTOEVENTO="Manual",$M675=1),0,IF(OFFSET(CRONOPLE!$F$14,$M675,BC$13)="",10^12,OFFSET(CRONOPLE!$F$14,$M675,BC$13))))</f>
        <v>11</v>
      </c>
      <c r="BD675" s="181">
        <f ca="1">IF($D675&lt;&gt;"Serviço",0,IF(AND(AUTOEVENTO="Manual",$M675=1),0,IF(OFFSET(CRONOPLE!$F$14,$M675,BD$13)="",10^12,OFFSET(CRONOPLE!$F$14,$M675,BD$13))))</f>
        <v>1000000000000</v>
      </c>
      <c r="BE675" s="181">
        <f ca="1">IF($D675&lt;&gt;"Serviço",0,IF(AND(AUTOEVENTO="Manual",$M675=1),0,IF(OFFSET(CRONOPLE!$F$14,$M675,BE$13)="",10^12,OFFSET(CRONOPLE!$F$14,$M675,BE$13))))</f>
        <v>1000000000000</v>
      </c>
      <c r="BF675" s="181">
        <f ca="1">IF($D675&lt;&gt;"Serviço",0,IF(AND(AUTOEVENTO="Manual",$M675=1),0,IF(OFFSET(CRONOPLE!$F$14,$M675,BF$13)="",10^12,OFFSET(CRONOPLE!$F$14,$M675,BF$13))))</f>
        <v>1000000000000</v>
      </c>
      <c r="BG675" s="181">
        <f ca="1">IF($D675&lt;&gt;"Serviço",0,IF(AND(AUTOEVENTO="Manual",$M675=1),0,IF(OFFSET(CRONOPLE!$F$14,$M675,BG$13)="",10^12,OFFSET(CRONOPLE!$F$14,$M675,BG$13))))</f>
        <v>1000000000000</v>
      </c>
      <c r="BH675" s="181">
        <f ca="1">IF($D675&lt;&gt;"Serviço",0,IF(AND(AUTOEVENTO="Manual",$M675=1),0,IF(OFFSET(CRONOPLE!$F$14,$M675,BH$13)="",10^12,OFFSET(CRONOPLE!$F$14,$M675,BH$13))))</f>
        <v>1000000000000</v>
      </c>
      <c r="BI675" s="181">
        <f ca="1">IF($D675&lt;&gt;"Serviço",0,IF(AND(AUTOEVENTO="Manual",$M675=1),0,IF(OFFSET(CRONOPLE!$F$14,$M675,BI$13)="",10^12,OFFSET(CRONOPLE!$F$14,$M675,BI$13))))</f>
        <v>1000000000000</v>
      </c>
      <c r="BJ675" s="181">
        <f ca="1">IF($D675&lt;&gt;"Serviço",0,IF(AND(AUTOEVENTO="Manual",$M675=1),0,IF(OFFSET(CRONOPLE!$F$14,$M675,BJ$13)="",10^12,OFFSET(CRONOPLE!$F$14,$M675,BJ$13))))</f>
        <v>1000000000000</v>
      </c>
      <c r="BK675" s="181">
        <f ca="1">IF($D675&lt;&gt;"Serviço",0,IF(AND(AUTOEVENTO="Manual",$M675=1),0,IF(OFFSET(CRONOPLE!$F$14,$M675,BK$13)="",10^12,OFFSET(CRONOPLE!$F$14,$M675,BK$13))))</f>
        <v>1000000000000</v>
      </c>
      <c r="BL675" s="181">
        <f ca="1">IF($D675&lt;&gt;"Serviço",0,IF(AND(AUTOEVENTO="Manual",$M675=1),0,IF(OFFSET(CRONOPLE!$F$14,$M675,BL$13)="",10^12,OFFSET(CRONOPLE!$F$14,$M675,BL$13))))</f>
        <v>1000000000000</v>
      </c>
      <c r="BM675" s="181">
        <f ca="1">IF($D675&lt;&gt;"Serviço",0,IF(AND(AUTOEVENTO="Manual",$M675=1),0,IF(OFFSET(CRONOPLE!$F$14,$M675,BM$13)="",10^12,OFFSET(CRONOPLE!$F$14,$M675,BM$13))))</f>
        <v>1000000000000</v>
      </c>
      <c r="BN675" s="181">
        <f ca="1">IF($D675&lt;&gt;"Serviço",0,IF(AND(AUTOEVENTO="Manual",$M675=1),0,IF(OFFSET(CRONOPLE!$F$14,$M675,BN$13)="",10^12,OFFSET(CRONOPLE!$F$14,$M675,BN$13))))</f>
        <v>1000000000000</v>
      </c>
      <c r="BO675" s="181">
        <f ca="1">IF($D675&lt;&gt;"Serviço",0,IF(AND(AUTOEVENTO="Manual",$M675=1),0,IF(OFFSET(CRONOPLE!$F$14,$M675,BO$13)="",10^12,OFFSET(CRONOPLE!$F$14,$M675,BO$13))))</f>
        <v>1000000000000</v>
      </c>
      <c r="BP675" s="181">
        <f ca="1">IF($D675&lt;&gt;"Serviço",0,IF(AND(AUTOEVENTO="Manual",$M675=1),0,IF(OFFSET(CRONOPLE!$F$14,$M675,BP$13)="",10^12,OFFSET(CRONOPLE!$F$14,$M675,BP$13))))</f>
        <v>1000000000000</v>
      </c>
      <c r="BQ675" s="181">
        <f ca="1">IF($D675&lt;&gt;"Serviço",0,IF(AND(AUTOEVENTO="Manual",$M675=1),0,IF(OFFSET(CRONOPLE!$F$14,$M675,BQ$13)="",10^12,OFFSET(CRONOPLE!$F$14,$M675,BQ$13))))</f>
        <v>1000000000000</v>
      </c>
      <c r="BR675" s="181">
        <f ca="1">IF($D675&lt;&gt;"Serviço",0,IF(AND(AUTOEVENTO="Manual",$M675=1),0,IF(OFFSET(CRONOPLE!$F$14,$M675,BR$13)="",10^12,OFFSET(CRONOPLE!$F$14,$M675,BR$13))))</f>
        <v>1000000000000</v>
      </c>
      <c r="BS675" s="181">
        <f ca="1">IF($D675&lt;&gt;"Serviço",0,IF(AND(AUTOEVENTO="Manual",$M675=1),0,IF(OFFSET(CRONOPLE!$F$14,$M675,BS$13)="",10^12,OFFSET(CRONOPLE!$F$14,$M675,BS$13))))</f>
        <v>1000000000000</v>
      </c>
      <c r="BT675" s="181">
        <f ca="1">IF($D675&lt;&gt;"Serviço",0,IF(AND(AUTOEVENTO="Manual",$M675=1),0,IF(OFFSET(CRONOPLE!$F$14,$M675,BT$13)="",10^12,OFFSET(CRONOPLE!$F$14,$M675,BT$13))))</f>
        <v>1000000000000</v>
      </c>
      <c r="BV675" s="182">
        <f ca="1">IF($D675&lt;&gt;"Serviço",0,IF(OR(AND(AUTOEVENTO="Manual",$M675=1),$M675&gt;(ROW(PLE.lastrow)-ROW(PLE.firstrow))),0,IF(OFFSET(PLE!$G$14,$M675,BV$13)="",10^12,OFFSET(PLE!$G$14,$M675,BV$13))))</f>
        <v>1000000000000</v>
      </c>
      <c r="BW675" s="182">
        <f ca="1">IF($D675&lt;&gt;"Serviço",0,IF(OR(AND(AUTOEVENTO="Manual",$M675=1),$M675&gt;(ROW(PLE.lastrow)-ROW(PLE.firstrow))),0,IF(OFFSET(PLE!$G$14,$M675,BW$13)="",10^12,OFFSET(PLE!$G$14,$M675,BW$13))))</f>
        <v>1000000000000</v>
      </c>
      <c r="BX675" s="182">
        <f ca="1">IF($D675&lt;&gt;"Serviço",0,IF(OR(AND(AUTOEVENTO="Manual",$M675=1),$M675&gt;(ROW(PLE.lastrow)-ROW(PLE.firstrow))),0,IF(OFFSET(PLE!$G$14,$M675,BX$13)="",10^12,OFFSET(PLE!$G$14,$M675,BX$13))))</f>
        <v>1000000000000</v>
      </c>
      <c r="BY675" s="182">
        <f ca="1">IF($D675&lt;&gt;"Serviço",0,IF(OR(AND(AUTOEVENTO="Manual",$M675=1),$M675&gt;(ROW(PLE.lastrow)-ROW(PLE.firstrow))),0,IF(OFFSET(PLE!$G$14,$M675,BY$13)="",10^12,OFFSET(PLE!$G$14,$M675,BY$13))))</f>
        <v>1000000000000</v>
      </c>
      <c r="BZ675" s="182">
        <f ca="1">IF($D675&lt;&gt;"Serviço",0,IF(OR(AND(AUTOEVENTO="Manual",$M675=1),$M675&gt;(ROW(PLE.lastrow)-ROW(PLE.firstrow))),0,IF(OFFSET(PLE!$G$14,$M675,BZ$13)="",10^12,OFFSET(PLE!$G$14,$M675,BZ$13))))</f>
        <v>1000000000000</v>
      </c>
      <c r="CA675" s="182">
        <f ca="1">IF($D675&lt;&gt;"Serviço",0,IF(OR(AND(AUTOEVENTO="Manual",$M675=1),$M675&gt;(ROW(PLE.lastrow)-ROW(PLE.firstrow))),0,IF(OFFSET(PLE!$G$14,$M675,CA$13)="",10^12,OFFSET(PLE!$G$14,$M675,CA$13))))</f>
        <v>1000000000000</v>
      </c>
      <c r="CB675" s="182">
        <f ca="1">IF($D675&lt;&gt;"Serviço",0,IF(OR(AND(AUTOEVENTO="Manual",$M675=1),$M675&gt;(ROW(PLE.lastrow)-ROW(PLE.firstrow))),0,IF(OFFSET(PLE!$G$14,$M675,CB$13)="",10^12,OFFSET(PLE!$G$14,$M675,CB$13))))</f>
        <v>1000000000000</v>
      </c>
      <c r="CC675" s="182">
        <f ca="1">IF($D675&lt;&gt;"Serviço",0,IF(OR(AND(AUTOEVENTO="Manual",$M675=1),$M675&gt;(ROW(PLE.lastrow)-ROW(PLE.firstrow))),0,IF(OFFSET(PLE!$G$14,$M675,CC$13)="",10^12,OFFSET(PLE!$G$14,$M675,CC$13))))</f>
        <v>1000000000000</v>
      </c>
      <c r="CD675" s="182">
        <f ca="1">IF($D675&lt;&gt;"Serviço",0,IF(OR(AND(AUTOEVENTO="Manual",$M675=1),$M675&gt;(ROW(PLE.lastrow)-ROW(PLE.firstrow))),0,IF(OFFSET(PLE!$G$14,$M675,CD$13)="",10^12,OFFSET(PLE!$G$14,$M675,CD$13))))</f>
        <v>1000000000000</v>
      </c>
      <c r="CE675" s="182">
        <f ca="1">IF($D675&lt;&gt;"Serviço",0,IF(OR(AND(AUTOEVENTO="Manual",$M675=1),$M675&gt;(ROW(PLE.lastrow)-ROW(PLE.firstrow))),0,IF(OFFSET(PLE!$G$14,$M675,CE$13)="",10^12,OFFSET(PLE!$G$14,$M675,CE$13))))</f>
        <v>1000000000000</v>
      </c>
      <c r="CF675" s="182">
        <f ca="1">IF($D675&lt;&gt;"Serviço",0,IF(OR(AND(AUTOEVENTO="Manual",$M675=1),$M675&gt;(ROW(PLE.lastrow)-ROW(PLE.firstrow))),0,IF(OFFSET(PLE!$G$14,$M675,CF$13)="",10^12,OFFSET(PLE!$G$14,$M675,CF$13))))</f>
        <v>1000000000000</v>
      </c>
      <c r="CG675" s="182">
        <f ca="1">IF($D675&lt;&gt;"Serviço",0,IF(OR(AND(AUTOEVENTO="Manual",$M675=1),$M675&gt;(ROW(PLE.lastrow)-ROW(PLE.firstrow))),0,IF(OFFSET(PLE!$G$14,$M675,CG$13)="",10^12,OFFSET(PLE!$G$14,$M675,CG$13))))</f>
        <v>1000000000000</v>
      </c>
      <c r="CH675" s="182">
        <f ca="1">IF($D675&lt;&gt;"Serviço",0,IF(OR(AND(AUTOEVENTO="Manual",$M675=1),$M675&gt;(ROW(PLE.lastrow)-ROW(PLE.firstrow))),0,IF(OFFSET(PLE!$G$14,$M675,CH$13)="",10^12,OFFSET(PLE!$G$14,$M675,CH$13))))</f>
        <v>1000000000000</v>
      </c>
      <c r="CI675" s="182">
        <f ca="1">IF($D675&lt;&gt;"Serviço",0,IF(OR(AND(AUTOEVENTO="Manual",$M675=1),$M675&gt;(ROW(PLE.lastrow)-ROW(PLE.firstrow))),0,IF(OFFSET(PLE!$G$14,$M675,CI$13)="",10^12,OFFSET(PLE!$G$14,$M675,CI$13))))</f>
        <v>1000000000000</v>
      </c>
      <c r="CJ675" s="182">
        <f ca="1">IF($D675&lt;&gt;"Serviço",0,IF(OR(AND(AUTOEVENTO="Manual",$M675=1),$M675&gt;(ROW(PLE.lastrow)-ROW(PLE.firstrow))),0,IF(OFFSET(PLE!$G$14,$M675,CJ$13)="",10^12,OFFSET(PLE!$G$14,$M675,CJ$13))))</f>
        <v>1000000000000</v>
      </c>
      <c r="CK675" s="182">
        <f ca="1">IF($D675&lt;&gt;"Serviço",0,IF(OR(AND(AUTOEVENTO="Manual",$M675=1),$M675&gt;(ROW(PLE.lastrow)-ROW(PLE.firstrow))),0,IF(OFFSET(PLE!$G$14,$M675,CK$13)="",10^12,OFFSET(PLE!$G$14,$M675,CK$13))))</f>
        <v>1000000000000</v>
      </c>
      <c r="CL675" s="182">
        <f ca="1">IF($D675&lt;&gt;"Serviço",0,IF(OR(AND(AUTOEVENTO="Manual",$M675=1),$M675&gt;(ROW(PLE.lastrow)-ROW(PLE.firstrow))),0,IF(OFFSET(PLE!$G$14,$M675,CL$13)="",10^12,OFFSET(PLE!$G$14,$M675,CL$13))))</f>
        <v>1000000000000</v>
      </c>
      <c r="CM675" s="182">
        <f ca="1">IF($D675&lt;&gt;"Serviço",0,IF(OR(AND(AUTOEVENTO="Manual",$M675=1),$M675&gt;(ROW(PLE.lastrow)-ROW(PLE.firstrow))),0,IF(OFFSET(PLE!$G$14,$M675,CM$13)="",10^12,OFFSET(PLE!$G$14,$M675,CM$13))))</f>
        <v>1000000000000</v>
      </c>
    </row>
    <row r="676" spans="1:91" ht="38.25" x14ac:dyDescent="0.2">
      <c r="A676" s="7" t="str">
        <f t="shared" ca="1" si="19"/>
        <v>653</v>
      </c>
      <c r="B676" s="7" t="str">
        <f ca="1">OFFSET(ORÇAMENTO!C$15,ROW(B676)-ROW(B$15),0)</f>
        <v>S</v>
      </c>
      <c r="C676" s="7" t="str">
        <f ca="1">OFFSET(ORÇAMENTO!L$15,ROW(C676)-ROW(C$15),0)</f>
        <v/>
      </c>
      <c r="D676" s="118" t="str">
        <f ca="1">OFFSET(ORÇAMENTO!N$15,ROW(D676)-ROW(D$15),0)</f>
        <v>Serviço</v>
      </c>
      <c r="E676" s="119" t="str">
        <f ca="1">OFFSET(ORÇAMENTO!O$15,ROW(E676)-ROW(E$15),0)</f>
        <v>-</v>
      </c>
      <c r="F676" s="172" t="str">
        <f ca="1">OFFSET(ORÇAMENTO!R$15,ROW(F676)-ROW(F$15),0)</f>
        <v>(abra o arquivo 'Referência 06-2024.xlsm)</v>
      </c>
      <c r="G676" s="173" t="str">
        <f ca="1">IF($D676&lt;&gt;"Serviço","",OFFSET(ORÇAMENTO!S$15,ROW(G676)-ROW(G$15),0))</f>
        <v>-</v>
      </c>
      <c r="H676" s="124">
        <f ca="1">IF($D676&lt;&gt;"Serviço",0,IF(ACOMPANHAMENTO="BM",ROUND(OFFSET(ORÇAMENTO!AJ$15,ROW(H676)-ROW(H$15),0),15-13*ORÇAMENTO!$AF$7),SUMPRODUCT(($Q$12:$AI$12&lt;&gt;"")*ROUND($Q676:$AI676,15-13*ORÇAMENTO!$AF$7))))</f>
        <v>301</v>
      </c>
      <c r="I676" s="561" t="s">
        <v>1107</v>
      </c>
      <c r="K676" s="174"/>
      <c r="L676" s="175" t="s">
        <v>255</v>
      </c>
      <c r="M676" s="176">
        <f ca="1">IF($D676&lt;&gt;"Serviço","",IF(AUTOEVENTO="manual",$A676,IF(ISERROR(MATCH($A676,$A$15:OFFSET($A676,-1,0),0)),MAX($M$15:OFFSET(M676,-1,0))+1,INDEX($M$15:OFFSET(M676,-1,0),MATCH($A676,$A$15:OFFSET($A676,-1,0),0)))))</f>
        <v>73</v>
      </c>
      <c r="N676" s="177" t="str">
        <f ca="1">IF($D676&lt;&gt;"Serviço","",IF(AUTOEVENTO="Manual",IF($A676=0,"&lt;-- defina o número do agrupador",OFFSET(EVENTOS!$D$14,$A676,0)),OFFSET($F$15,$A676,0)))</f>
        <v>SERVIÇOS COMPLEMENTARES</v>
      </c>
      <c r="O676" s="178"/>
      <c r="Q676" s="178">
        <v>301</v>
      </c>
      <c r="R676" s="179"/>
      <c r="S676" s="179"/>
      <c r="T676" s="179"/>
      <c r="U676" s="179"/>
      <c r="V676" s="179"/>
      <c r="W676" s="179"/>
      <c r="X676" s="179"/>
      <c r="Y676" s="179"/>
      <c r="Z676" s="180"/>
      <c r="AA676" s="179"/>
      <c r="AB676" s="179"/>
      <c r="AC676" s="179"/>
      <c r="AD676" s="179"/>
      <c r="AE676" s="179"/>
      <c r="AF676" s="179"/>
      <c r="AG676" s="179"/>
      <c r="AH676" s="180"/>
      <c r="AJ676" s="544">
        <f ca="1">IF(AND($D676="Serviço",AJ$12&lt;&gt;0,$H676&gt;0,OR(AUTOEVENTO&lt;&gt;"manual",$M676&lt;&gt;1)),
IF(Import.TipoArredondamento&lt;&gt;"TransfereGOV",
ROUND(OFFSET($P676,0,AJ$13),15-13*ORÇAMENTO!$AF$7)/$H676*OFFSET(ORÇAMENTO!$X$15,ROW(AJ676)-ROW(AJ$15),0),
ROUND(ROUND(OFFSET($P676,0,AJ$13),15-13*ORÇAMENTO!$AF$7)*OFFSET(ORÇAMENTO!$W$15,ROW(AJ676)-ROW(AJ$15),0),15-13*ORÇAMENTO!$AF$11)),0)</f>
        <v>0</v>
      </c>
      <c r="AK676" s="545">
        <f ca="1">IF(AND($D676="Serviço",AK$12&lt;&gt;0,$H676&gt;0,OR(AUTOEVENTO&lt;&gt;"manual",$M676&lt;&gt;1)),
IF(Import.TipoArredondamento&lt;&gt;"TransfereGOV",
ROUND(OFFSET($P676,0,AK$13),15-13*ORÇAMENTO!$AF$7)/$H676*OFFSET(ORÇAMENTO!$X$15,ROW(AK676)-ROW(AK$15),0),
ROUND(ROUND(OFFSET($P676,0,AK$13),15-13*ORÇAMENTO!$AF$7)*OFFSET(ORÇAMENTO!$W$15,ROW(AK676)-ROW(AK$15),0),15-13*ORÇAMENTO!$AF$11)),0)</f>
        <v>0</v>
      </c>
      <c r="AL676" s="545">
        <f ca="1">IF(AND($D676="Serviço",AL$12&lt;&gt;0,$H676&gt;0,OR(AUTOEVENTO&lt;&gt;"manual",$M676&lt;&gt;1)),
IF(Import.TipoArredondamento&lt;&gt;"TransfereGOV",
ROUND(OFFSET($P676,0,AL$13),15-13*ORÇAMENTO!$AF$7)/$H676*OFFSET(ORÇAMENTO!$X$15,ROW(AL676)-ROW(AL$15),0),
ROUND(ROUND(OFFSET($P676,0,AL$13),15-13*ORÇAMENTO!$AF$7)*OFFSET(ORÇAMENTO!$W$15,ROW(AL676)-ROW(AL$15),0),15-13*ORÇAMENTO!$AF$11)),0)</f>
        <v>0</v>
      </c>
      <c r="AM676" s="545">
        <f ca="1">IF(AND($D676="Serviço",AM$12&lt;&gt;0,$H676&gt;0,OR(AUTOEVENTO&lt;&gt;"manual",$M676&lt;&gt;1)),
IF(Import.TipoArredondamento&lt;&gt;"TransfereGOV",
ROUND(OFFSET($P676,0,AM$13),15-13*ORÇAMENTO!$AF$7)/$H676*OFFSET(ORÇAMENTO!$X$15,ROW(AM676)-ROW(AM$15),0),
ROUND(ROUND(OFFSET($P676,0,AM$13),15-13*ORÇAMENTO!$AF$7)*OFFSET(ORÇAMENTO!$W$15,ROW(AM676)-ROW(AM$15),0),15-13*ORÇAMENTO!$AF$11)),0)</f>
        <v>0</v>
      </c>
      <c r="AN676" s="545">
        <f ca="1">IF(AND($D676="Serviço",AN$12&lt;&gt;0,$H676&gt;0,OR(AUTOEVENTO&lt;&gt;"manual",$M676&lt;&gt;1)),
IF(Import.TipoArredondamento&lt;&gt;"TransfereGOV",
ROUND(OFFSET($P676,0,AN$13),15-13*ORÇAMENTO!$AF$7)/$H676*OFFSET(ORÇAMENTO!$X$15,ROW(AN676)-ROW(AN$15),0),
ROUND(ROUND(OFFSET($P676,0,AN$13),15-13*ORÇAMENTO!$AF$7)*OFFSET(ORÇAMENTO!$W$15,ROW(AN676)-ROW(AN$15),0),15-13*ORÇAMENTO!$AF$11)),0)</f>
        <v>0</v>
      </c>
      <c r="AO676" s="545">
        <f ca="1">IF(AND($D676="Serviço",AO$12&lt;&gt;0,$H676&gt;0,OR(AUTOEVENTO&lt;&gt;"manual",$M676&lt;&gt;1)),
IF(Import.TipoArredondamento&lt;&gt;"TransfereGOV",
ROUND(OFFSET($P676,0,AO$13),15-13*ORÇAMENTO!$AF$7)/$H676*OFFSET(ORÇAMENTO!$X$15,ROW(AO676)-ROW(AO$15),0),
ROUND(ROUND(OFFSET($P676,0,AO$13),15-13*ORÇAMENTO!$AF$7)*OFFSET(ORÇAMENTO!$W$15,ROW(AO676)-ROW(AO$15),0),15-13*ORÇAMENTO!$AF$11)),0)</f>
        <v>0</v>
      </c>
      <c r="AP676" s="545">
        <f ca="1">IF(AND($D676="Serviço",AP$12&lt;&gt;0,$H676&gt;0,OR(AUTOEVENTO&lt;&gt;"manual",$M676&lt;&gt;1)),
IF(Import.TipoArredondamento&lt;&gt;"TransfereGOV",
ROUND(OFFSET($P676,0,AP$13),15-13*ORÇAMENTO!$AF$7)/$H676*OFFSET(ORÇAMENTO!$X$15,ROW(AP676)-ROW(AP$15),0),
ROUND(ROUND(OFFSET($P676,0,AP$13),15-13*ORÇAMENTO!$AF$7)*OFFSET(ORÇAMENTO!$W$15,ROW(AP676)-ROW(AP$15),0),15-13*ORÇAMENTO!$AF$11)),0)</f>
        <v>0</v>
      </c>
      <c r="AQ676" s="545">
        <f ca="1">IF(AND($D676="Serviço",AQ$12&lt;&gt;0,$H676&gt;0,OR(AUTOEVENTO&lt;&gt;"manual",$M676&lt;&gt;1)),
IF(Import.TipoArredondamento&lt;&gt;"TransfereGOV",
ROUND(OFFSET($P676,0,AQ$13),15-13*ORÇAMENTO!$AF$7)/$H676*OFFSET(ORÇAMENTO!$X$15,ROW(AQ676)-ROW(AQ$15),0),
ROUND(ROUND(OFFSET($P676,0,AQ$13),15-13*ORÇAMENTO!$AF$7)*OFFSET(ORÇAMENTO!$W$15,ROW(AQ676)-ROW(AQ$15),0),15-13*ORÇAMENTO!$AF$11)),0)</f>
        <v>0</v>
      </c>
      <c r="AR676" s="545">
        <f ca="1">IF(AND($D676="Serviço",AR$12&lt;&gt;0,$H676&gt;0,OR(AUTOEVENTO&lt;&gt;"manual",$M676&lt;&gt;1)),
IF(Import.TipoArredondamento&lt;&gt;"TransfereGOV",
ROUND(OFFSET($P676,0,AR$13),15-13*ORÇAMENTO!$AF$7)/$H676*OFFSET(ORÇAMENTO!$X$15,ROW(AR676)-ROW(AR$15),0),
ROUND(ROUND(OFFSET($P676,0,AR$13),15-13*ORÇAMENTO!$AF$7)*OFFSET(ORÇAMENTO!$W$15,ROW(AR676)-ROW(AR$15),0),15-13*ORÇAMENTO!$AF$11)),0)</f>
        <v>0</v>
      </c>
      <c r="AS676" s="546">
        <f ca="1">IF(AND($D676="Serviço",AS$12&lt;&gt;0,$H676&gt;0,OR(AUTOEVENTO&lt;&gt;"manual",$M676&lt;&gt;1)),
IF(Import.TipoArredondamento&lt;&gt;"TransfereGOV",
ROUND(OFFSET($P676,0,AS$13),15-13*ORÇAMENTO!$AF$7)/$H676*OFFSET(ORÇAMENTO!$X$15,ROW(AS676)-ROW(AS$15),0),
ROUND(ROUND(OFFSET($P676,0,AS$13),15-13*ORÇAMENTO!$AF$7)*OFFSET(ORÇAMENTO!$W$15,ROW(AS676)-ROW(AS$15),0),15-13*ORÇAMENTO!$AF$11)),0)</f>
        <v>0</v>
      </c>
      <c r="AT676" s="545">
        <f ca="1">IF(AND($D676="Serviço",AT$12&lt;&gt;0,$H676&gt;0,OR(AUTOEVENTO&lt;&gt;"manual",$M676&lt;&gt;1)),
IF(Import.TipoArredondamento&lt;&gt;"TransfereGOV",
ROUND(OFFSET($P676,0,AT$13),15-13*ORÇAMENTO!$AF$7)/$H676*OFFSET(ORÇAMENTO!$X$15,ROW(AT676)-ROW(AT$15),0),
ROUND(ROUND(OFFSET($P676,0,AT$13),15-13*ORÇAMENTO!$AF$7)*OFFSET(ORÇAMENTO!$W$15,ROW(AT676)-ROW(AT$15),0),15-13*ORÇAMENTO!$AF$11)),0)</f>
        <v>0</v>
      </c>
      <c r="AU676" s="545">
        <f ca="1">IF(AND($D676="Serviço",AU$12&lt;&gt;0,$H676&gt;0,OR(AUTOEVENTO&lt;&gt;"manual",$M676&lt;&gt;1)),
IF(Import.TipoArredondamento&lt;&gt;"TransfereGOV",
ROUND(OFFSET($P676,0,AU$13),15-13*ORÇAMENTO!$AF$7)/$H676*OFFSET(ORÇAMENTO!$X$15,ROW(AU676)-ROW(AU$15),0),
ROUND(ROUND(OFFSET($P676,0,AU$13),15-13*ORÇAMENTO!$AF$7)*OFFSET(ORÇAMENTO!$W$15,ROW(AU676)-ROW(AU$15),0),15-13*ORÇAMENTO!$AF$11)),0)</f>
        <v>0</v>
      </c>
      <c r="AV676" s="545">
        <f ca="1">IF(AND($D676="Serviço",AV$12&lt;&gt;0,$H676&gt;0,OR(AUTOEVENTO&lt;&gt;"manual",$M676&lt;&gt;1)),
IF(Import.TipoArredondamento&lt;&gt;"TransfereGOV",
ROUND(OFFSET($P676,0,AV$13),15-13*ORÇAMENTO!$AF$7)/$H676*OFFSET(ORÇAMENTO!$X$15,ROW(AV676)-ROW(AV$15),0),
ROUND(ROUND(OFFSET($P676,0,AV$13),15-13*ORÇAMENTO!$AF$7)*OFFSET(ORÇAMENTO!$W$15,ROW(AV676)-ROW(AV$15),0),15-13*ORÇAMENTO!$AF$11)),0)</f>
        <v>0</v>
      </c>
      <c r="AW676" s="545">
        <f ca="1">IF(AND($D676="Serviço",AW$12&lt;&gt;0,$H676&gt;0,OR(AUTOEVENTO&lt;&gt;"manual",$M676&lt;&gt;1)),
IF(Import.TipoArredondamento&lt;&gt;"TransfereGOV",
ROUND(OFFSET($P676,0,AW$13),15-13*ORÇAMENTO!$AF$7)/$H676*OFFSET(ORÇAMENTO!$X$15,ROW(AW676)-ROW(AW$15),0),
ROUND(ROUND(OFFSET($P676,0,AW$13),15-13*ORÇAMENTO!$AF$7)*OFFSET(ORÇAMENTO!$W$15,ROW(AW676)-ROW(AW$15),0),15-13*ORÇAMENTO!$AF$11)),0)</f>
        <v>0</v>
      </c>
      <c r="AX676" s="545">
        <f ca="1">IF(AND($D676="Serviço",AX$12&lt;&gt;0,$H676&gt;0,OR(AUTOEVENTO&lt;&gt;"manual",$M676&lt;&gt;1)),
IF(Import.TipoArredondamento&lt;&gt;"TransfereGOV",
ROUND(OFFSET($P676,0,AX$13),15-13*ORÇAMENTO!$AF$7)/$H676*OFFSET(ORÇAMENTO!$X$15,ROW(AX676)-ROW(AX$15),0),
ROUND(ROUND(OFFSET($P676,0,AX$13),15-13*ORÇAMENTO!$AF$7)*OFFSET(ORÇAMENTO!$W$15,ROW(AX676)-ROW(AX$15),0),15-13*ORÇAMENTO!$AF$11)),0)</f>
        <v>0</v>
      </c>
      <c r="AY676" s="545">
        <f ca="1">IF(AND($D676="Serviço",AY$12&lt;&gt;0,$H676&gt;0,OR(AUTOEVENTO&lt;&gt;"manual",$M676&lt;&gt;1)),
IF(Import.TipoArredondamento&lt;&gt;"TransfereGOV",
ROUND(OFFSET($P676,0,AY$13),15-13*ORÇAMENTO!$AF$7)/$H676*OFFSET(ORÇAMENTO!$X$15,ROW(AY676)-ROW(AY$15),0),
ROUND(ROUND(OFFSET($P676,0,AY$13),15-13*ORÇAMENTO!$AF$7)*OFFSET(ORÇAMENTO!$W$15,ROW(AY676)-ROW(AY$15),0),15-13*ORÇAMENTO!$AF$11)),0)</f>
        <v>0</v>
      </c>
      <c r="AZ676" s="545">
        <f ca="1">IF(AND($D676="Serviço",AZ$12&lt;&gt;0,$H676&gt;0,OR(AUTOEVENTO&lt;&gt;"manual",$M676&lt;&gt;1)),
IF(Import.TipoArredondamento&lt;&gt;"TransfereGOV",
ROUND(OFFSET($P676,0,AZ$13),15-13*ORÇAMENTO!$AF$7)/$H676*OFFSET(ORÇAMENTO!$X$15,ROW(AZ676)-ROW(AZ$15),0),
ROUND(ROUND(OFFSET($P676,0,AZ$13),15-13*ORÇAMENTO!$AF$7)*OFFSET(ORÇAMENTO!$W$15,ROW(AZ676)-ROW(AZ$15),0),15-13*ORÇAMENTO!$AF$11)),0)</f>
        <v>0</v>
      </c>
      <c r="BA676" s="546">
        <f ca="1">IF(AND($D676="Serviço",BA$12&lt;&gt;0,$H676&gt;0,OR(AUTOEVENTO&lt;&gt;"manual",$M676&lt;&gt;1)),
IF(Import.TipoArredondamento&lt;&gt;"TransfereGOV",
ROUND(OFFSET($P676,0,BA$13),15-13*ORÇAMENTO!$AF$7)/$H676*OFFSET(ORÇAMENTO!$X$15,ROW(BA676)-ROW(BA$15),0),
ROUND(ROUND(OFFSET($P676,0,BA$13),15-13*ORÇAMENTO!$AF$7)*OFFSET(ORÇAMENTO!$W$15,ROW(BA676)-ROW(BA$15),0),15-13*ORÇAMENTO!$AF$11)),0)</f>
        <v>0</v>
      </c>
      <c r="BC676" s="181">
        <f ca="1">IF($D676&lt;&gt;"Serviço",0,IF(AND(AUTOEVENTO="Manual",$M676=1),0,IF(OFFSET(CRONOPLE!$F$14,$M676,BC$13)="",10^12,OFFSET(CRONOPLE!$F$14,$M676,BC$13))))</f>
        <v>11</v>
      </c>
      <c r="BD676" s="181">
        <f ca="1">IF($D676&lt;&gt;"Serviço",0,IF(AND(AUTOEVENTO="Manual",$M676=1),0,IF(OFFSET(CRONOPLE!$F$14,$M676,BD$13)="",10^12,OFFSET(CRONOPLE!$F$14,$M676,BD$13))))</f>
        <v>1000000000000</v>
      </c>
      <c r="BE676" s="181">
        <f ca="1">IF($D676&lt;&gt;"Serviço",0,IF(AND(AUTOEVENTO="Manual",$M676=1),0,IF(OFFSET(CRONOPLE!$F$14,$M676,BE$13)="",10^12,OFFSET(CRONOPLE!$F$14,$M676,BE$13))))</f>
        <v>1000000000000</v>
      </c>
      <c r="BF676" s="181">
        <f ca="1">IF($D676&lt;&gt;"Serviço",0,IF(AND(AUTOEVENTO="Manual",$M676=1),0,IF(OFFSET(CRONOPLE!$F$14,$M676,BF$13)="",10^12,OFFSET(CRONOPLE!$F$14,$M676,BF$13))))</f>
        <v>1000000000000</v>
      </c>
      <c r="BG676" s="181">
        <f ca="1">IF($D676&lt;&gt;"Serviço",0,IF(AND(AUTOEVENTO="Manual",$M676=1),0,IF(OFFSET(CRONOPLE!$F$14,$M676,BG$13)="",10^12,OFFSET(CRONOPLE!$F$14,$M676,BG$13))))</f>
        <v>1000000000000</v>
      </c>
      <c r="BH676" s="181">
        <f ca="1">IF($D676&lt;&gt;"Serviço",0,IF(AND(AUTOEVENTO="Manual",$M676=1),0,IF(OFFSET(CRONOPLE!$F$14,$M676,BH$13)="",10^12,OFFSET(CRONOPLE!$F$14,$M676,BH$13))))</f>
        <v>1000000000000</v>
      </c>
      <c r="BI676" s="181">
        <f ca="1">IF($D676&lt;&gt;"Serviço",0,IF(AND(AUTOEVENTO="Manual",$M676=1),0,IF(OFFSET(CRONOPLE!$F$14,$M676,BI$13)="",10^12,OFFSET(CRONOPLE!$F$14,$M676,BI$13))))</f>
        <v>1000000000000</v>
      </c>
      <c r="BJ676" s="181">
        <f ca="1">IF($D676&lt;&gt;"Serviço",0,IF(AND(AUTOEVENTO="Manual",$M676=1),0,IF(OFFSET(CRONOPLE!$F$14,$M676,BJ$13)="",10^12,OFFSET(CRONOPLE!$F$14,$M676,BJ$13))))</f>
        <v>1000000000000</v>
      </c>
      <c r="BK676" s="181">
        <f ca="1">IF($D676&lt;&gt;"Serviço",0,IF(AND(AUTOEVENTO="Manual",$M676=1),0,IF(OFFSET(CRONOPLE!$F$14,$M676,BK$13)="",10^12,OFFSET(CRONOPLE!$F$14,$M676,BK$13))))</f>
        <v>1000000000000</v>
      </c>
      <c r="BL676" s="181">
        <f ca="1">IF($D676&lt;&gt;"Serviço",0,IF(AND(AUTOEVENTO="Manual",$M676=1),0,IF(OFFSET(CRONOPLE!$F$14,$M676,BL$13)="",10^12,OFFSET(CRONOPLE!$F$14,$M676,BL$13))))</f>
        <v>1000000000000</v>
      </c>
      <c r="BM676" s="181">
        <f ca="1">IF($D676&lt;&gt;"Serviço",0,IF(AND(AUTOEVENTO="Manual",$M676=1),0,IF(OFFSET(CRONOPLE!$F$14,$M676,BM$13)="",10^12,OFFSET(CRONOPLE!$F$14,$M676,BM$13))))</f>
        <v>1000000000000</v>
      </c>
      <c r="BN676" s="181">
        <f ca="1">IF($D676&lt;&gt;"Serviço",0,IF(AND(AUTOEVENTO="Manual",$M676=1),0,IF(OFFSET(CRONOPLE!$F$14,$M676,BN$13)="",10^12,OFFSET(CRONOPLE!$F$14,$M676,BN$13))))</f>
        <v>1000000000000</v>
      </c>
      <c r="BO676" s="181">
        <f ca="1">IF($D676&lt;&gt;"Serviço",0,IF(AND(AUTOEVENTO="Manual",$M676=1),0,IF(OFFSET(CRONOPLE!$F$14,$M676,BO$13)="",10^12,OFFSET(CRONOPLE!$F$14,$M676,BO$13))))</f>
        <v>1000000000000</v>
      </c>
      <c r="BP676" s="181">
        <f ca="1">IF($D676&lt;&gt;"Serviço",0,IF(AND(AUTOEVENTO="Manual",$M676=1),0,IF(OFFSET(CRONOPLE!$F$14,$M676,BP$13)="",10^12,OFFSET(CRONOPLE!$F$14,$M676,BP$13))))</f>
        <v>1000000000000</v>
      </c>
      <c r="BQ676" s="181">
        <f ca="1">IF($D676&lt;&gt;"Serviço",0,IF(AND(AUTOEVENTO="Manual",$M676=1),0,IF(OFFSET(CRONOPLE!$F$14,$M676,BQ$13)="",10^12,OFFSET(CRONOPLE!$F$14,$M676,BQ$13))))</f>
        <v>1000000000000</v>
      </c>
      <c r="BR676" s="181">
        <f ca="1">IF($D676&lt;&gt;"Serviço",0,IF(AND(AUTOEVENTO="Manual",$M676=1),0,IF(OFFSET(CRONOPLE!$F$14,$M676,BR$13)="",10^12,OFFSET(CRONOPLE!$F$14,$M676,BR$13))))</f>
        <v>1000000000000</v>
      </c>
      <c r="BS676" s="181">
        <f ca="1">IF($D676&lt;&gt;"Serviço",0,IF(AND(AUTOEVENTO="Manual",$M676=1),0,IF(OFFSET(CRONOPLE!$F$14,$M676,BS$13)="",10^12,OFFSET(CRONOPLE!$F$14,$M676,BS$13))))</f>
        <v>1000000000000</v>
      </c>
      <c r="BT676" s="181">
        <f ca="1">IF($D676&lt;&gt;"Serviço",0,IF(AND(AUTOEVENTO="Manual",$M676=1),0,IF(OFFSET(CRONOPLE!$F$14,$M676,BT$13)="",10^12,OFFSET(CRONOPLE!$F$14,$M676,BT$13))))</f>
        <v>1000000000000</v>
      </c>
      <c r="BV676" s="182">
        <f ca="1">IF($D676&lt;&gt;"Serviço",0,IF(OR(AND(AUTOEVENTO="Manual",$M676=1),$M676&gt;(ROW(PLE.lastrow)-ROW(PLE.firstrow))),0,IF(OFFSET(PLE!$G$14,$M676,BV$13)="",10^12,OFFSET(PLE!$G$14,$M676,BV$13))))</f>
        <v>1000000000000</v>
      </c>
      <c r="BW676" s="182">
        <f ca="1">IF($D676&lt;&gt;"Serviço",0,IF(OR(AND(AUTOEVENTO="Manual",$M676=1),$M676&gt;(ROW(PLE.lastrow)-ROW(PLE.firstrow))),0,IF(OFFSET(PLE!$G$14,$M676,BW$13)="",10^12,OFFSET(PLE!$G$14,$M676,BW$13))))</f>
        <v>1000000000000</v>
      </c>
      <c r="BX676" s="182">
        <f ca="1">IF($D676&lt;&gt;"Serviço",0,IF(OR(AND(AUTOEVENTO="Manual",$M676=1),$M676&gt;(ROW(PLE.lastrow)-ROW(PLE.firstrow))),0,IF(OFFSET(PLE!$G$14,$M676,BX$13)="",10^12,OFFSET(PLE!$G$14,$M676,BX$13))))</f>
        <v>1000000000000</v>
      </c>
      <c r="BY676" s="182">
        <f ca="1">IF($D676&lt;&gt;"Serviço",0,IF(OR(AND(AUTOEVENTO="Manual",$M676=1),$M676&gt;(ROW(PLE.lastrow)-ROW(PLE.firstrow))),0,IF(OFFSET(PLE!$G$14,$M676,BY$13)="",10^12,OFFSET(PLE!$G$14,$M676,BY$13))))</f>
        <v>1000000000000</v>
      </c>
      <c r="BZ676" s="182">
        <f ca="1">IF($D676&lt;&gt;"Serviço",0,IF(OR(AND(AUTOEVENTO="Manual",$M676=1),$M676&gt;(ROW(PLE.lastrow)-ROW(PLE.firstrow))),0,IF(OFFSET(PLE!$G$14,$M676,BZ$13)="",10^12,OFFSET(PLE!$G$14,$M676,BZ$13))))</f>
        <v>1000000000000</v>
      </c>
      <c r="CA676" s="182">
        <f ca="1">IF($D676&lt;&gt;"Serviço",0,IF(OR(AND(AUTOEVENTO="Manual",$M676=1),$M676&gt;(ROW(PLE.lastrow)-ROW(PLE.firstrow))),0,IF(OFFSET(PLE!$G$14,$M676,CA$13)="",10^12,OFFSET(PLE!$G$14,$M676,CA$13))))</f>
        <v>1000000000000</v>
      </c>
      <c r="CB676" s="182">
        <f ca="1">IF($D676&lt;&gt;"Serviço",0,IF(OR(AND(AUTOEVENTO="Manual",$M676=1),$M676&gt;(ROW(PLE.lastrow)-ROW(PLE.firstrow))),0,IF(OFFSET(PLE!$G$14,$M676,CB$13)="",10^12,OFFSET(PLE!$G$14,$M676,CB$13))))</f>
        <v>1000000000000</v>
      </c>
      <c r="CC676" s="182">
        <f ca="1">IF($D676&lt;&gt;"Serviço",0,IF(OR(AND(AUTOEVENTO="Manual",$M676=1),$M676&gt;(ROW(PLE.lastrow)-ROW(PLE.firstrow))),0,IF(OFFSET(PLE!$G$14,$M676,CC$13)="",10^12,OFFSET(PLE!$G$14,$M676,CC$13))))</f>
        <v>1000000000000</v>
      </c>
      <c r="CD676" s="182">
        <f ca="1">IF($D676&lt;&gt;"Serviço",0,IF(OR(AND(AUTOEVENTO="Manual",$M676=1),$M676&gt;(ROW(PLE.lastrow)-ROW(PLE.firstrow))),0,IF(OFFSET(PLE!$G$14,$M676,CD$13)="",10^12,OFFSET(PLE!$G$14,$M676,CD$13))))</f>
        <v>1000000000000</v>
      </c>
      <c r="CE676" s="182">
        <f ca="1">IF($D676&lt;&gt;"Serviço",0,IF(OR(AND(AUTOEVENTO="Manual",$M676=1),$M676&gt;(ROW(PLE.lastrow)-ROW(PLE.firstrow))),0,IF(OFFSET(PLE!$G$14,$M676,CE$13)="",10^12,OFFSET(PLE!$G$14,$M676,CE$13))))</f>
        <v>1000000000000</v>
      </c>
      <c r="CF676" s="182">
        <f ca="1">IF($D676&lt;&gt;"Serviço",0,IF(OR(AND(AUTOEVENTO="Manual",$M676=1),$M676&gt;(ROW(PLE.lastrow)-ROW(PLE.firstrow))),0,IF(OFFSET(PLE!$G$14,$M676,CF$13)="",10^12,OFFSET(PLE!$G$14,$M676,CF$13))))</f>
        <v>1000000000000</v>
      </c>
      <c r="CG676" s="182">
        <f ca="1">IF($D676&lt;&gt;"Serviço",0,IF(OR(AND(AUTOEVENTO="Manual",$M676=1),$M676&gt;(ROW(PLE.lastrow)-ROW(PLE.firstrow))),0,IF(OFFSET(PLE!$G$14,$M676,CG$13)="",10^12,OFFSET(PLE!$G$14,$M676,CG$13))))</f>
        <v>1000000000000</v>
      </c>
      <c r="CH676" s="182">
        <f ca="1">IF($D676&lt;&gt;"Serviço",0,IF(OR(AND(AUTOEVENTO="Manual",$M676=1),$M676&gt;(ROW(PLE.lastrow)-ROW(PLE.firstrow))),0,IF(OFFSET(PLE!$G$14,$M676,CH$13)="",10^12,OFFSET(PLE!$G$14,$M676,CH$13))))</f>
        <v>1000000000000</v>
      </c>
      <c r="CI676" s="182">
        <f ca="1">IF($D676&lt;&gt;"Serviço",0,IF(OR(AND(AUTOEVENTO="Manual",$M676=1),$M676&gt;(ROW(PLE.lastrow)-ROW(PLE.firstrow))),0,IF(OFFSET(PLE!$G$14,$M676,CI$13)="",10^12,OFFSET(PLE!$G$14,$M676,CI$13))))</f>
        <v>1000000000000</v>
      </c>
      <c r="CJ676" s="182">
        <f ca="1">IF($D676&lt;&gt;"Serviço",0,IF(OR(AND(AUTOEVENTO="Manual",$M676=1),$M676&gt;(ROW(PLE.lastrow)-ROW(PLE.firstrow))),0,IF(OFFSET(PLE!$G$14,$M676,CJ$13)="",10^12,OFFSET(PLE!$G$14,$M676,CJ$13))))</f>
        <v>1000000000000</v>
      </c>
      <c r="CK676" s="182">
        <f ca="1">IF($D676&lt;&gt;"Serviço",0,IF(OR(AND(AUTOEVENTO="Manual",$M676=1),$M676&gt;(ROW(PLE.lastrow)-ROW(PLE.firstrow))),0,IF(OFFSET(PLE!$G$14,$M676,CK$13)="",10^12,OFFSET(PLE!$G$14,$M676,CK$13))))</f>
        <v>1000000000000</v>
      </c>
      <c r="CL676" s="182">
        <f ca="1">IF($D676&lt;&gt;"Serviço",0,IF(OR(AND(AUTOEVENTO="Manual",$M676=1),$M676&gt;(ROW(PLE.lastrow)-ROW(PLE.firstrow))),0,IF(OFFSET(PLE!$G$14,$M676,CL$13)="",10^12,OFFSET(PLE!$G$14,$M676,CL$13))))</f>
        <v>1000000000000</v>
      </c>
      <c r="CM676" s="182">
        <f ca="1">IF($D676&lt;&gt;"Serviço",0,IF(OR(AND(AUTOEVENTO="Manual",$M676=1),$M676&gt;(ROW(PLE.lastrow)-ROW(PLE.firstrow))),0,IF(OFFSET(PLE!$G$14,$M676,CM$13)="",10^12,OFFSET(PLE!$G$14,$M676,CM$13))))</f>
        <v>1000000000000</v>
      </c>
    </row>
    <row r="677" spans="1:91" ht="25.5" x14ac:dyDescent="0.2">
      <c r="A677" s="7" t="str">
        <f t="shared" ca="1" si="19"/>
        <v>653</v>
      </c>
      <c r="B677" s="7" t="str">
        <f ca="1">OFFSET(ORÇAMENTO!C$15,ROW(B677)-ROW(B$15),0)</f>
        <v>S</v>
      </c>
      <c r="C677" s="7" t="str">
        <f ca="1">OFFSET(ORÇAMENTO!L$15,ROW(C677)-ROW(C$15),0)</f>
        <v/>
      </c>
      <c r="D677" s="118" t="str">
        <f ca="1">OFFSET(ORÇAMENTO!N$15,ROW(D677)-ROW(D$15),0)</f>
        <v>Serviço</v>
      </c>
      <c r="E677" s="119" t="str">
        <f ca="1">OFFSET(ORÇAMENTO!O$15,ROW(E677)-ROW(E$15),0)</f>
        <v>-</v>
      </c>
      <c r="F677" s="172" t="str">
        <f ca="1">OFFSET(ORÇAMENTO!R$15,ROW(F677)-ROW(F$15),0)</f>
        <v>(abra o arquivo 'Referência 06-2024.xlsm)</v>
      </c>
      <c r="G677" s="173" t="str">
        <f ca="1">IF($D677&lt;&gt;"Serviço","",OFFSET(ORÇAMENTO!S$15,ROW(G677)-ROW(G$15),0))</f>
        <v>-</v>
      </c>
      <c r="H677" s="124">
        <f ca="1">IF($D677&lt;&gt;"Serviço",0,IF(ACOMPANHAMENTO="BM",ROUND(OFFSET(ORÇAMENTO!AJ$15,ROW(H677)-ROW(H$15),0),15-13*ORÇAMENTO!$AF$7),SUMPRODUCT(($Q$12:$AI$12&lt;&gt;"")*ROUND($Q677:$AI677,15-13*ORÇAMENTO!$AF$7))))</f>
        <v>23.86</v>
      </c>
      <c r="I677" s="561" t="s">
        <v>1107</v>
      </c>
      <c r="K677" s="174"/>
      <c r="L677" s="175" t="s">
        <v>255</v>
      </c>
      <c r="M677" s="176">
        <f ca="1">IF($D677&lt;&gt;"Serviço","",IF(AUTOEVENTO="manual",$A677,IF(ISERROR(MATCH($A677,$A$15:OFFSET($A677,-1,0),0)),MAX($M$15:OFFSET(M677,-1,0))+1,INDEX($M$15:OFFSET(M677,-1,0),MATCH($A677,$A$15:OFFSET($A677,-1,0),0)))))</f>
        <v>73</v>
      </c>
      <c r="N677" s="177" t="str">
        <f ca="1">IF($D677&lt;&gt;"Serviço","",IF(AUTOEVENTO="Manual",IF($A677=0,"&lt;-- defina o número do agrupador",OFFSET(EVENTOS!$D$14,$A677,0)),OFFSET($F$15,$A677,0)))</f>
        <v>SERVIÇOS COMPLEMENTARES</v>
      </c>
      <c r="O677" s="178"/>
      <c r="Q677" s="178">
        <v>23.86</v>
      </c>
      <c r="R677" s="179"/>
      <c r="S677" s="179"/>
      <c r="T677" s="179"/>
      <c r="U677" s="179"/>
      <c r="V677" s="179"/>
      <c r="W677" s="179"/>
      <c r="X677" s="179"/>
      <c r="Y677" s="179"/>
      <c r="Z677" s="180"/>
      <c r="AA677" s="179"/>
      <c r="AB677" s="179"/>
      <c r="AC677" s="179"/>
      <c r="AD677" s="179"/>
      <c r="AE677" s="179"/>
      <c r="AF677" s="179"/>
      <c r="AG677" s="179"/>
      <c r="AH677" s="180"/>
      <c r="AJ677" s="544">
        <f ca="1">IF(AND($D677="Serviço",AJ$12&lt;&gt;0,$H677&gt;0,OR(AUTOEVENTO&lt;&gt;"manual",$M677&lt;&gt;1)),
IF(Import.TipoArredondamento&lt;&gt;"TransfereGOV",
ROUND(OFFSET($P677,0,AJ$13),15-13*ORÇAMENTO!$AF$7)/$H677*OFFSET(ORÇAMENTO!$X$15,ROW(AJ677)-ROW(AJ$15),0),
ROUND(ROUND(OFFSET($P677,0,AJ$13),15-13*ORÇAMENTO!$AF$7)*OFFSET(ORÇAMENTO!$W$15,ROW(AJ677)-ROW(AJ$15),0),15-13*ORÇAMENTO!$AF$11)),0)</f>
        <v>0</v>
      </c>
      <c r="AK677" s="545">
        <f ca="1">IF(AND($D677="Serviço",AK$12&lt;&gt;0,$H677&gt;0,OR(AUTOEVENTO&lt;&gt;"manual",$M677&lt;&gt;1)),
IF(Import.TipoArredondamento&lt;&gt;"TransfereGOV",
ROUND(OFFSET($P677,0,AK$13),15-13*ORÇAMENTO!$AF$7)/$H677*OFFSET(ORÇAMENTO!$X$15,ROW(AK677)-ROW(AK$15),0),
ROUND(ROUND(OFFSET($P677,0,AK$13),15-13*ORÇAMENTO!$AF$7)*OFFSET(ORÇAMENTO!$W$15,ROW(AK677)-ROW(AK$15),0),15-13*ORÇAMENTO!$AF$11)),0)</f>
        <v>0</v>
      </c>
      <c r="AL677" s="545">
        <f ca="1">IF(AND($D677="Serviço",AL$12&lt;&gt;0,$H677&gt;0,OR(AUTOEVENTO&lt;&gt;"manual",$M677&lt;&gt;1)),
IF(Import.TipoArredondamento&lt;&gt;"TransfereGOV",
ROUND(OFFSET($P677,0,AL$13),15-13*ORÇAMENTO!$AF$7)/$H677*OFFSET(ORÇAMENTO!$X$15,ROW(AL677)-ROW(AL$15),0),
ROUND(ROUND(OFFSET($P677,0,AL$13),15-13*ORÇAMENTO!$AF$7)*OFFSET(ORÇAMENTO!$W$15,ROW(AL677)-ROW(AL$15),0),15-13*ORÇAMENTO!$AF$11)),0)</f>
        <v>0</v>
      </c>
      <c r="AM677" s="545">
        <f ca="1">IF(AND($D677="Serviço",AM$12&lt;&gt;0,$H677&gt;0,OR(AUTOEVENTO&lt;&gt;"manual",$M677&lt;&gt;1)),
IF(Import.TipoArredondamento&lt;&gt;"TransfereGOV",
ROUND(OFFSET($P677,0,AM$13),15-13*ORÇAMENTO!$AF$7)/$H677*OFFSET(ORÇAMENTO!$X$15,ROW(AM677)-ROW(AM$15),0),
ROUND(ROUND(OFFSET($P677,0,AM$13),15-13*ORÇAMENTO!$AF$7)*OFFSET(ORÇAMENTO!$W$15,ROW(AM677)-ROW(AM$15),0),15-13*ORÇAMENTO!$AF$11)),0)</f>
        <v>0</v>
      </c>
      <c r="AN677" s="545">
        <f ca="1">IF(AND($D677="Serviço",AN$12&lt;&gt;0,$H677&gt;0,OR(AUTOEVENTO&lt;&gt;"manual",$M677&lt;&gt;1)),
IF(Import.TipoArredondamento&lt;&gt;"TransfereGOV",
ROUND(OFFSET($P677,0,AN$13),15-13*ORÇAMENTO!$AF$7)/$H677*OFFSET(ORÇAMENTO!$X$15,ROW(AN677)-ROW(AN$15),0),
ROUND(ROUND(OFFSET($P677,0,AN$13),15-13*ORÇAMENTO!$AF$7)*OFFSET(ORÇAMENTO!$W$15,ROW(AN677)-ROW(AN$15),0),15-13*ORÇAMENTO!$AF$11)),0)</f>
        <v>0</v>
      </c>
      <c r="AO677" s="545">
        <f ca="1">IF(AND($D677="Serviço",AO$12&lt;&gt;0,$H677&gt;0,OR(AUTOEVENTO&lt;&gt;"manual",$M677&lt;&gt;1)),
IF(Import.TipoArredondamento&lt;&gt;"TransfereGOV",
ROUND(OFFSET($P677,0,AO$13),15-13*ORÇAMENTO!$AF$7)/$H677*OFFSET(ORÇAMENTO!$X$15,ROW(AO677)-ROW(AO$15),0),
ROUND(ROUND(OFFSET($P677,0,AO$13),15-13*ORÇAMENTO!$AF$7)*OFFSET(ORÇAMENTO!$W$15,ROW(AO677)-ROW(AO$15),0),15-13*ORÇAMENTO!$AF$11)),0)</f>
        <v>0</v>
      </c>
      <c r="AP677" s="545">
        <f ca="1">IF(AND($D677="Serviço",AP$12&lt;&gt;0,$H677&gt;0,OR(AUTOEVENTO&lt;&gt;"manual",$M677&lt;&gt;1)),
IF(Import.TipoArredondamento&lt;&gt;"TransfereGOV",
ROUND(OFFSET($P677,0,AP$13),15-13*ORÇAMENTO!$AF$7)/$H677*OFFSET(ORÇAMENTO!$X$15,ROW(AP677)-ROW(AP$15),0),
ROUND(ROUND(OFFSET($P677,0,AP$13),15-13*ORÇAMENTO!$AF$7)*OFFSET(ORÇAMENTO!$W$15,ROW(AP677)-ROW(AP$15),0),15-13*ORÇAMENTO!$AF$11)),0)</f>
        <v>0</v>
      </c>
      <c r="AQ677" s="545">
        <f ca="1">IF(AND($D677="Serviço",AQ$12&lt;&gt;0,$H677&gt;0,OR(AUTOEVENTO&lt;&gt;"manual",$M677&lt;&gt;1)),
IF(Import.TipoArredondamento&lt;&gt;"TransfereGOV",
ROUND(OFFSET($P677,0,AQ$13),15-13*ORÇAMENTO!$AF$7)/$H677*OFFSET(ORÇAMENTO!$X$15,ROW(AQ677)-ROW(AQ$15),0),
ROUND(ROUND(OFFSET($P677,0,AQ$13),15-13*ORÇAMENTO!$AF$7)*OFFSET(ORÇAMENTO!$W$15,ROW(AQ677)-ROW(AQ$15),0),15-13*ORÇAMENTO!$AF$11)),0)</f>
        <v>0</v>
      </c>
      <c r="AR677" s="545">
        <f ca="1">IF(AND($D677="Serviço",AR$12&lt;&gt;0,$H677&gt;0,OR(AUTOEVENTO&lt;&gt;"manual",$M677&lt;&gt;1)),
IF(Import.TipoArredondamento&lt;&gt;"TransfereGOV",
ROUND(OFFSET($P677,0,AR$13),15-13*ORÇAMENTO!$AF$7)/$H677*OFFSET(ORÇAMENTO!$X$15,ROW(AR677)-ROW(AR$15),0),
ROUND(ROUND(OFFSET($P677,0,AR$13),15-13*ORÇAMENTO!$AF$7)*OFFSET(ORÇAMENTO!$W$15,ROW(AR677)-ROW(AR$15),0),15-13*ORÇAMENTO!$AF$11)),0)</f>
        <v>0</v>
      </c>
      <c r="AS677" s="546">
        <f ca="1">IF(AND($D677="Serviço",AS$12&lt;&gt;0,$H677&gt;0,OR(AUTOEVENTO&lt;&gt;"manual",$M677&lt;&gt;1)),
IF(Import.TipoArredondamento&lt;&gt;"TransfereGOV",
ROUND(OFFSET($P677,0,AS$13),15-13*ORÇAMENTO!$AF$7)/$H677*OFFSET(ORÇAMENTO!$X$15,ROW(AS677)-ROW(AS$15),0),
ROUND(ROUND(OFFSET($P677,0,AS$13),15-13*ORÇAMENTO!$AF$7)*OFFSET(ORÇAMENTO!$W$15,ROW(AS677)-ROW(AS$15),0),15-13*ORÇAMENTO!$AF$11)),0)</f>
        <v>0</v>
      </c>
      <c r="AT677" s="545">
        <f ca="1">IF(AND($D677="Serviço",AT$12&lt;&gt;0,$H677&gt;0,OR(AUTOEVENTO&lt;&gt;"manual",$M677&lt;&gt;1)),
IF(Import.TipoArredondamento&lt;&gt;"TransfereGOV",
ROUND(OFFSET($P677,0,AT$13),15-13*ORÇAMENTO!$AF$7)/$H677*OFFSET(ORÇAMENTO!$X$15,ROW(AT677)-ROW(AT$15),0),
ROUND(ROUND(OFFSET($P677,0,AT$13),15-13*ORÇAMENTO!$AF$7)*OFFSET(ORÇAMENTO!$W$15,ROW(AT677)-ROW(AT$15),0),15-13*ORÇAMENTO!$AF$11)),0)</f>
        <v>0</v>
      </c>
      <c r="AU677" s="545">
        <f ca="1">IF(AND($D677="Serviço",AU$12&lt;&gt;0,$H677&gt;0,OR(AUTOEVENTO&lt;&gt;"manual",$M677&lt;&gt;1)),
IF(Import.TipoArredondamento&lt;&gt;"TransfereGOV",
ROUND(OFFSET($P677,0,AU$13),15-13*ORÇAMENTO!$AF$7)/$H677*OFFSET(ORÇAMENTO!$X$15,ROW(AU677)-ROW(AU$15),0),
ROUND(ROUND(OFFSET($P677,0,AU$13),15-13*ORÇAMENTO!$AF$7)*OFFSET(ORÇAMENTO!$W$15,ROW(AU677)-ROW(AU$15),0),15-13*ORÇAMENTO!$AF$11)),0)</f>
        <v>0</v>
      </c>
      <c r="AV677" s="545">
        <f ca="1">IF(AND($D677="Serviço",AV$12&lt;&gt;0,$H677&gt;0,OR(AUTOEVENTO&lt;&gt;"manual",$M677&lt;&gt;1)),
IF(Import.TipoArredondamento&lt;&gt;"TransfereGOV",
ROUND(OFFSET($P677,0,AV$13),15-13*ORÇAMENTO!$AF$7)/$H677*OFFSET(ORÇAMENTO!$X$15,ROW(AV677)-ROW(AV$15),0),
ROUND(ROUND(OFFSET($P677,0,AV$13),15-13*ORÇAMENTO!$AF$7)*OFFSET(ORÇAMENTO!$W$15,ROW(AV677)-ROW(AV$15),0),15-13*ORÇAMENTO!$AF$11)),0)</f>
        <v>0</v>
      </c>
      <c r="AW677" s="545">
        <f ca="1">IF(AND($D677="Serviço",AW$12&lt;&gt;0,$H677&gt;0,OR(AUTOEVENTO&lt;&gt;"manual",$M677&lt;&gt;1)),
IF(Import.TipoArredondamento&lt;&gt;"TransfereGOV",
ROUND(OFFSET($P677,0,AW$13),15-13*ORÇAMENTO!$AF$7)/$H677*OFFSET(ORÇAMENTO!$X$15,ROW(AW677)-ROW(AW$15),0),
ROUND(ROUND(OFFSET($P677,0,AW$13),15-13*ORÇAMENTO!$AF$7)*OFFSET(ORÇAMENTO!$W$15,ROW(AW677)-ROW(AW$15),0),15-13*ORÇAMENTO!$AF$11)),0)</f>
        <v>0</v>
      </c>
      <c r="AX677" s="545">
        <f ca="1">IF(AND($D677="Serviço",AX$12&lt;&gt;0,$H677&gt;0,OR(AUTOEVENTO&lt;&gt;"manual",$M677&lt;&gt;1)),
IF(Import.TipoArredondamento&lt;&gt;"TransfereGOV",
ROUND(OFFSET($P677,0,AX$13),15-13*ORÇAMENTO!$AF$7)/$H677*OFFSET(ORÇAMENTO!$X$15,ROW(AX677)-ROW(AX$15),0),
ROUND(ROUND(OFFSET($P677,0,AX$13),15-13*ORÇAMENTO!$AF$7)*OFFSET(ORÇAMENTO!$W$15,ROW(AX677)-ROW(AX$15),0),15-13*ORÇAMENTO!$AF$11)),0)</f>
        <v>0</v>
      </c>
      <c r="AY677" s="545">
        <f ca="1">IF(AND($D677="Serviço",AY$12&lt;&gt;0,$H677&gt;0,OR(AUTOEVENTO&lt;&gt;"manual",$M677&lt;&gt;1)),
IF(Import.TipoArredondamento&lt;&gt;"TransfereGOV",
ROUND(OFFSET($P677,0,AY$13),15-13*ORÇAMENTO!$AF$7)/$H677*OFFSET(ORÇAMENTO!$X$15,ROW(AY677)-ROW(AY$15),0),
ROUND(ROUND(OFFSET($P677,0,AY$13),15-13*ORÇAMENTO!$AF$7)*OFFSET(ORÇAMENTO!$W$15,ROW(AY677)-ROW(AY$15),0),15-13*ORÇAMENTO!$AF$11)),0)</f>
        <v>0</v>
      </c>
      <c r="AZ677" s="545">
        <f ca="1">IF(AND($D677="Serviço",AZ$12&lt;&gt;0,$H677&gt;0,OR(AUTOEVENTO&lt;&gt;"manual",$M677&lt;&gt;1)),
IF(Import.TipoArredondamento&lt;&gt;"TransfereGOV",
ROUND(OFFSET($P677,0,AZ$13),15-13*ORÇAMENTO!$AF$7)/$H677*OFFSET(ORÇAMENTO!$X$15,ROW(AZ677)-ROW(AZ$15),0),
ROUND(ROUND(OFFSET($P677,0,AZ$13),15-13*ORÇAMENTO!$AF$7)*OFFSET(ORÇAMENTO!$W$15,ROW(AZ677)-ROW(AZ$15),0),15-13*ORÇAMENTO!$AF$11)),0)</f>
        <v>0</v>
      </c>
      <c r="BA677" s="546">
        <f ca="1">IF(AND($D677="Serviço",BA$12&lt;&gt;0,$H677&gt;0,OR(AUTOEVENTO&lt;&gt;"manual",$M677&lt;&gt;1)),
IF(Import.TipoArredondamento&lt;&gt;"TransfereGOV",
ROUND(OFFSET($P677,0,BA$13),15-13*ORÇAMENTO!$AF$7)/$H677*OFFSET(ORÇAMENTO!$X$15,ROW(BA677)-ROW(BA$15),0),
ROUND(ROUND(OFFSET($P677,0,BA$13),15-13*ORÇAMENTO!$AF$7)*OFFSET(ORÇAMENTO!$W$15,ROW(BA677)-ROW(BA$15),0),15-13*ORÇAMENTO!$AF$11)),0)</f>
        <v>0</v>
      </c>
      <c r="BC677" s="181">
        <f ca="1">IF($D677&lt;&gt;"Serviço",0,IF(AND(AUTOEVENTO="Manual",$M677=1),0,IF(OFFSET(CRONOPLE!$F$14,$M677,BC$13)="",10^12,OFFSET(CRONOPLE!$F$14,$M677,BC$13))))</f>
        <v>11</v>
      </c>
      <c r="BD677" s="181">
        <f ca="1">IF($D677&lt;&gt;"Serviço",0,IF(AND(AUTOEVENTO="Manual",$M677=1),0,IF(OFFSET(CRONOPLE!$F$14,$M677,BD$13)="",10^12,OFFSET(CRONOPLE!$F$14,$M677,BD$13))))</f>
        <v>1000000000000</v>
      </c>
      <c r="BE677" s="181">
        <f ca="1">IF($D677&lt;&gt;"Serviço",0,IF(AND(AUTOEVENTO="Manual",$M677=1),0,IF(OFFSET(CRONOPLE!$F$14,$M677,BE$13)="",10^12,OFFSET(CRONOPLE!$F$14,$M677,BE$13))))</f>
        <v>1000000000000</v>
      </c>
      <c r="BF677" s="181">
        <f ca="1">IF($D677&lt;&gt;"Serviço",0,IF(AND(AUTOEVENTO="Manual",$M677=1),0,IF(OFFSET(CRONOPLE!$F$14,$M677,BF$13)="",10^12,OFFSET(CRONOPLE!$F$14,$M677,BF$13))))</f>
        <v>1000000000000</v>
      </c>
      <c r="BG677" s="181">
        <f ca="1">IF($D677&lt;&gt;"Serviço",0,IF(AND(AUTOEVENTO="Manual",$M677=1),0,IF(OFFSET(CRONOPLE!$F$14,$M677,BG$13)="",10^12,OFFSET(CRONOPLE!$F$14,$M677,BG$13))))</f>
        <v>1000000000000</v>
      </c>
      <c r="BH677" s="181">
        <f ca="1">IF($D677&lt;&gt;"Serviço",0,IF(AND(AUTOEVENTO="Manual",$M677=1),0,IF(OFFSET(CRONOPLE!$F$14,$M677,BH$13)="",10^12,OFFSET(CRONOPLE!$F$14,$M677,BH$13))))</f>
        <v>1000000000000</v>
      </c>
      <c r="BI677" s="181">
        <f ca="1">IF($D677&lt;&gt;"Serviço",0,IF(AND(AUTOEVENTO="Manual",$M677=1),0,IF(OFFSET(CRONOPLE!$F$14,$M677,BI$13)="",10^12,OFFSET(CRONOPLE!$F$14,$M677,BI$13))))</f>
        <v>1000000000000</v>
      </c>
      <c r="BJ677" s="181">
        <f ca="1">IF($D677&lt;&gt;"Serviço",0,IF(AND(AUTOEVENTO="Manual",$M677=1),0,IF(OFFSET(CRONOPLE!$F$14,$M677,BJ$13)="",10^12,OFFSET(CRONOPLE!$F$14,$M677,BJ$13))))</f>
        <v>1000000000000</v>
      </c>
      <c r="BK677" s="181">
        <f ca="1">IF($D677&lt;&gt;"Serviço",0,IF(AND(AUTOEVENTO="Manual",$M677=1),0,IF(OFFSET(CRONOPLE!$F$14,$M677,BK$13)="",10^12,OFFSET(CRONOPLE!$F$14,$M677,BK$13))))</f>
        <v>1000000000000</v>
      </c>
      <c r="BL677" s="181">
        <f ca="1">IF($D677&lt;&gt;"Serviço",0,IF(AND(AUTOEVENTO="Manual",$M677=1),0,IF(OFFSET(CRONOPLE!$F$14,$M677,BL$13)="",10^12,OFFSET(CRONOPLE!$F$14,$M677,BL$13))))</f>
        <v>1000000000000</v>
      </c>
      <c r="BM677" s="181">
        <f ca="1">IF($D677&lt;&gt;"Serviço",0,IF(AND(AUTOEVENTO="Manual",$M677=1),0,IF(OFFSET(CRONOPLE!$F$14,$M677,BM$13)="",10^12,OFFSET(CRONOPLE!$F$14,$M677,BM$13))))</f>
        <v>1000000000000</v>
      </c>
      <c r="BN677" s="181">
        <f ca="1">IF($D677&lt;&gt;"Serviço",0,IF(AND(AUTOEVENTO="Manual",$M677=1),0,IF(OFFSET(CRONOPLE!$F$14,$M677,BN$13)="",10^12,OFFSET(CRONOPLE!$F$14,$M677,BN$13))))</f>
        <v>1000000000000</v>
      </c>
      <c r="BO677" s="181">
        <f ca="1">IF($D677&lt;&gt;"Serviço",0,IF(AND(AUTOEVENTO="Manual",$M677=1),0,IF(OFFSET(CRONOPLE!$F$14,$M677,BO$13)="",10^12,OFFSET(CRONOPLE!$F$14,$M677,BO$13))))</f>
        <v>1000000000000</v>
      </c>
      <c r="BP677" s="181">
        <f ca="1">IF($D677&lt;&gt;"Serviço",0,IF(AND(AUTOEVENTO="Manual",$M677=1),0,IF(OFFSET(CRONOPLE!$F$14,$M677,BP$13)="",10^12,OFFSET(CRONOPLE!$F$14,$M677,BP$13))))</f>
        <v>1000000000000</v>
      </c>
      <c r="BQ677" s="181">
        <f ca="1">IF($D677&lt;&gt;"Serviço",0,IF(AND(AUTOEVENTO="Manual",$M677=1),0,IF(OFFSET(CRONOPLE!$F$14,$M677,BQ$13)="",10^12,OFFSET(CRONOPLE!$F$14,$M677,BQ$13))))</f>
        <v>1000000000000</v>
      </c>
      <c r="BR677" s="181">
        <f ca="1">IF($D677&lt;&gt;"Serviço",0,IF(AND(AUTOEVENTO="Manual",$M677=1),0,IF(OFFSET(CRONOPLE!$F$14,$M677,BR$13)="",10^12,OFFSET(CRONOPLE!$F$14,$M677,BR$13))))</f>
        <v>1000000000000</v>
      </c>
      <c r="BS677" s="181">
        <f ca="1">IF($D677&lt;&gt;"Serviço",0,IF(AND(AUTOEVENTO="Manual",$M677=1),0,IF(OFFSET(CRONOPLE!$F$14,$M677,BS$13)="",10^12,OFFSET(CRONOPLE!$F$14,$M677,BS$13))))</f>
        <v>1000000000000</v>
      </c>
      <c r="BT677" s="181">
        <f ca="1">IF($D677&lt;&gt;"Serviço",0,IF(AND(AUTOEVENTO="Manual",$M677=1),0,IF(OFFSET(CRONOPLE!$F$14,$M677,BT$13)="",10^12,OFFSET(CRONOPLE!$F$14,$M677,BT$13))))</f>
        <v>1000000000000</v>
      </c>
      <c r="BV677" s="182">
        <f ca="1">IF($D677&lt;&gt;"Serviço",0,IF(OR(AND(AUTOEVENTO="Manual",$M677=1),$M677&gt;(ROW(PLE.lastrow)-ROW(PLE.firstrow))),0,IF(OFFSET(PLE!$G$14,$M677,BV$13)="",10^12,OFFSET(PLE!$G$14,$M677,BV$13))))</f>
        <v>1000000000000</v>
      </c>
      <c r="BW677" s="182">
        <f ca="1">IF($D677&lt;&gt;"Serviço",0,IF(OR(AND(AUTOEVENTO="Manual",$M677=1),$M677&gt;(ROW(PLE.lastrow)-ROW(PLE.firstrow))),0,IF(OFFSET(PLE!$G$14,$M677,BW$13)="",10^12,OFFSET(PLE!$G$14,$M677,BW$13))))</f>
        <v>1000000000000</v>
      </c>
      <c r="BX677" s="182">
        <f ca="1">IF($D677&lt;&gt;"Serviço",0,IF(OR(AND(AUTOEVENTO="Manual",$M677=1),$M677&gt;(ROW(PLE.lastrow)-ROW(PLE.firstrow))),0,IF(OFFSET(PLE!$G$14,$M677,BX$13)="",10^12,OFFSET(PLE!$G$14,$M677,BX$13))))</f>
        <v>1000000000000</v>
      </c>
      <c r="BY677" s="182">
        <f ca="1">IF($D677&lt;&gt;"Serviço",0,IF(OR(AND(AUTOEVENTO="Manual",$M677=1),$M677&gt;(ROW(PLE.lastrow)-ROW(PLE.firstrow))),0,IF(OFFSET(PLE!$G$14,$M677,BY$13)="",10^12,OFFSET(PLE!$G$14,$M677,BY$13))))</f>
        <v>1000000000000</v>
      </c>
      <c r="BZ677" s="182">
        <f ca="1">IF($D677&lt;&gt;"Serviço",0,IF(OR(AND(AUTOEVENTO="Manual",$M677=1),$M677&gt;(ROW(PLE.lastrow)-ROW(PLE.firstrow))),0,IF(OFFSET(PLE!$G$14,$M677,BZ$13)="",10^12,OFFSET(PLE!$G$14,$M677,BZ$13))))</f>
        <v>1000000000000</v>
      </c>
      <c r="CA677" s="182">
        <f ca="1">IF($D677&lt;&gt;"Serviço",0,IF(OR(AND(AUTOEVENTO="Manual",$M677=1),$M677&gt;(ROW(PLE.lastrow)-ROW(PLE.firstrow))),0,IF(OFFSET(PLE!$G$14,$M677,CA$13)="",10^12,OFFSET(PLE!$G$14,$M677,CA$13))))</f>
        <v>1000000000000</v>
      </c>
      <c r="CB677" s="182">
        <f ca="1">IF($D677&lt;&gt;"Serviço",0,IF(OR(AND(AUTOEVENTO="Manual",$M677=1),$M677&gt;(ROW(PLE.lastrow)-ROW(PLE.firstrow))),0,IF(OFFSET(PLE!$G$14,$M677,CB$13)="",10^12,OFFSET(PLE!$G$14,$M677,CB$13))))</f>
        <v>1000000000000</v>
      </c>
      <c r="CC677" s="182">
        <f ca="1">IF($D677&lt;&gt;"Serviço",0,IF(OR(AND(AUTOEVENTO="Manual",$M677=1),$M677&gt;(ROW(PLE.lastrow)-ROW(PLE.firstrow))),0,IF(OFFSET(PLE!$G$14,$M677,CC$13)="",10^12,OFFSET(PLE!$G$14,$M677,CC$13))))</f>
        <v>1000000000000</v>
      </c>
      <c r="CD677" s="182">
        <f ca="1">IF($D677&lt;&gt;"Serviço",0,IF(OR(AND(AUTOEVENTO="Manual",$M677=1),$M677&gt;(ROW(PLE.lastrow)-ROW(PLE.firstrow))),0,IF(OFFSET(PLE!$G$14,$M677,CD$13)="",10^12,OFFSET(PLE!$G$14,$M677,CD$13))))</f>
        <v>1000000000000</v>
      </c>
      <c r="CE677" s="182">
        <f ca="1">IF($D677&lt;&gt;"Serviço",0,IF(OR(AND(AUTOEVENTO="Manual",$M677=1),$M677&gt;(ROW(PLE.lastrow)-ROW(PLE.firstrow))),0,IF(OFFSET(PLE!$G$14,$M677,CE$13)="",10^12,OFFSET(PLE!$G$14,$M677,CE$13))))</f>
        <v>1000000000000</v>
      </c>
      <c r="CF677" s="182">
        <f ca="1">IF($D677&lt;&gt;"Serviço",0,IF(OR(AND(AUTOEVENTO="Manual",$M677=1),$M677&gt;(ROW(PLE.lastrow)-ROW(PLE.firstrow))),0,IF(OFFSET(PLE!$G$14,$M677,CF$13)="",10^12,OFFSET(PLE!$G$14,$M677,CF$13))))</f>
        <v>1000000000000</v>
      </c>
      <c r="CG677" s="182">
        <f ca="1">IF($D677&lt;&gt;"Serviço",0,IF(OR(AND(AUTOEVENTO="Manual",$M677=1),$M677&gt;(ROW(PLE.lastrow)-ROW(PLE.firstrow))),0,IF(OFFSET(PLE!$G$14,$M677,CG$13)="",10^12,OFFSET(PLE!$G$14,$M677,CG$13))))</f>
        <v>1000000000000</v>
      </c>
      <c r="CH677" s="182">
        <f ca="1">IF($D677&lt;&gt;"Serviço",0,IF(OR(AND(AUTOEVENTO="Manual",$M677=1),$M677&gt;(ROW(PLE.lastrow)-ROW(PLE.firstrow))),0,IF(OFFSET(PLE!$G$14,$M677,CH$13)="",10^12,OFFSET(PLE!$G$14,$M677,CH$13))))</f>
        <v>1000000000000</v>
      </c>
      <c r="CI677" s="182">
        <f ca="1">IF($D677&lt;&gt;"Serviço",0,IF(OR(AND(AUTOEVENTO="Manual",$M677=1),$M677&gt;(ROW(PLE.lastrow)-ROW(PLE.firstrow))),0,IF(OFFSET(PLE!$G$14,$M677,CI$13)="",10^12,OFFSET(PLE!$G$14,$M677,CI$13))))</f>
        <v>1000000000000</v>
      </c>
      <c r="CJ677" s="182">
        <f ca="1">IF($D677&lt;&gt;"Serviço",0,IF(OR(AND(AUTOEVENTO="Manual",$M677=1),$M677&gt;(ROW(PLE.lastrow)-ROW(PLE.firstrow))),0,IF(OFFSET(PLE!$G$14,$M677,CJ$13)="",10^12,OFFSET(PLE!$G$14,$M677,CJ$13))))</f>
        <v>1000000000000</v>
      </c>
      <c r="CK677" s="182">
        <f ca="1">IF($D677&lt;&gt;"Serviço",0,IF(OR(AND(AUTOEVENTO="Manual",$M677=1),$M677&gt;(ROW(PLE.lastrow)-ROW(PLE.firstrow))),0,IF(OFFSET(PLE!$G$14,$M677,CK$13)="",10^12,OFFSET(PLE!$G$14,$M677,CK$13))))</f>
        <v>1000000000000</v>
      </c>
      <c r="CL677" s="182">
        <f ca="1">IF($D677&lt;&gt;"Serviço",0,IF(OR(AND(AUTOEVENTO="Manual",$M677=1),$M677&gt;(ROW(PLE.lastrow)-ROW(PLE.firstrow))),0,IF(OFFSET(PLE!$G$14,$M677,CL$13)="",10^12,OFFSET(PLE!$G$14,$M677,CL$13))))</f>
        <v>1000000000000</v>
      </c>
      <c r="CM677" s="182">
        <f ca="1">IF($D677&lt;&gt;"Serviço",0,IF(OR(AND(AUTOEVENTO="Manual",$M677=1),$M677&gt;(ROW(PLE.lastrow)-ROW(PLE.firstrow))),0,IF(OFFSET(PLE!$G$14,$M677,CM$13)="",10^12,OFFSET(PLE!$G$14,$M677,CM$13))))</f>
        <v>1000000000000</v>
      </c>
    </row>
    <row r="678" spans="1:91" ht="25.5" x14ac:dyDescent="0.2">
      <c r="A678" s="7" t="str">
        <f t="shared" ca="1" si="19"/>
        <v>653</v>
      </c>
      <c r="B678" s="7" t="str">
        <f ca="1">OFFSET(ORÇAMENTO!C$15,ROW(B678)-ROW(B$15),0)</f>
        <v>S</v>
      </c>
      <c r="C678" s="7" t="str">
        <f ca="1">OFFSET(ORÇAMENTO!L$15,ROW(C678)-ROW(C$15),0)</f>
        <v/>
      </c>
      <c r="D678" s="118" t="str">
        <f ca="1">OFFSET(ORÇAMENTO!N$15,ROW(D678)-ROW(D$15),0)</f>
        <v>Serviço</v>
      </c>
      <c r="E678" s="119" t="str">
        <f ca="1">OFFSET(ORÇAMENTO!O$15,ROW(E678)-ROW(E$15),0)</f>
        <v>-</v>
      </c>
      <c r="F678" s="172" t="str">
        <f ca="1">OFFSET(ORÇAMENTO!R$15,ROW(F678)-ROW(F$15),0)</f>
        <v>(abra o arquivo 'Referência 06-2024.xlsm)</v>
      </c>
      <c r="G678" s="173" t="str">
        <f ca="1">IF($D678&lt;&gt;"Serviço","",OFFSET(ORÇAMENTO!S$15,ROW(G678)-ROW(G$15),0))</f>
        <v>-</v>
      </c>
      <c r="H678" s="124">
        <f ca="1">IF($D678&lt;&gt;"Serviço",0,IF(ACOMPANHAMENTO="BM",ROUND(OFFSET(ORÇAMENTO!AJ$15,ROW(H678)-ROW(H$15),0),15-13*ORÇAMENTO!$AF$7),SUMPRODUCT(($Q$12:$AI$12&lt;&gt;"")*ROUND($Q678:$AI678,15-13*ORÇAMENTO!$AF$7))))</f>
        <v>5.44</v>
      </c>
      <c r="I678" s="561" t="s">
        <v>1107</v>
      </c>
      <c r="K678" s="174"/>
      <c r="L678" s="175" t="s">
        <v>255</v>
      </c>
      <c r="M678" s="176">
        <f ca="1">IF($D678&lt;&gt;"Serviço","",IF(AUTOEVENTO="manual",$A678,IF(ISERROR(MATCH($A678,$A$15:OFFSET($A678,-1,0),0)),MAX($M$15:OFFSET(M678,-1,0))+1,INDEX($M$15:OFFSET(M678,-1,0),MATCH($A678,$A$15:OFFSET($A678,-1,0),0)))))</f>
        <v>73</v>
      </c>
      <c r="N678" s="177" t="str">
        <f ca="1">IF($D678&lt;&gt;"Serviço","",IF(AUTOEVENTO="Manual",IF($A678=0,"&lt;-- defina o número do agrupador",OFFSET(EVENTOS!$D$14,$A678,0)),OFFSET($F$15,$A678,0)))</f>
        <v>SERVIÇOS COMPLEMENTARES</v>
      </c>
      <c r="O678" s="178"/>
      <c r="Q678" s="178">
        <v>5.44</v>
      </c>
      <c r="R678" s="179"/>
      <c r="S678" s="179"/>
      <c r="T678" s="179"/>
      <c r="U678" s="179"/>
      <c r="V678" s="179"/>
      <c r="W678" s="179"/>
      <c r="X678" s="179"/>
      <c r="Y678" s="179"/>
      <c r="Z678" s="180"/>
      <c r="AA678" s="179"/>
      <c r="AB678" s="179"/>
      <c r="AC678" s="179"/>
      <c r="AD678" s="179"/>
      <c r="AE678" s="179"/>
      <c r="AF678" s="179"/>
      <c r="AG678" s="179"/>
      <c r="AH678" s="180"/>
      <c r="AJ678" s="544">
        <f ca="1">IF(AND($D678="Serviço",AJ$12&lt;&gt;0,$H678&gt;0,OR(AUTOEVENTO&lt;&gt;"manual",$M678&lt;&gt;1)),
IF(Import.TipoArredondamento&lt;&gt;"TransfereGOV",
ROUND(OFFSET($P678,0,AJ$13),15-13*ORÇAMENTO!$AF$7)/$H678*OFFSET(ORÇAMENTO!$X$15,ROW(AJ678)-ROW(AJ$15),0),
ROUND(ROUND(OFFSET($P678,0,AJ$13),15-13*ORÇAMENTO!$AF$7)*OFFSET(ORÇAMENTO!$W$15,ROW(AJ678)-ROW(AJ$15),0),15-13*ORÇAMENTO!$AF$11)),0)</f>
        <v>0</v>
      </c>
      <c r="AK678" s="545">
        <f ca="1">IF(AND($D678="Serviço",AK$12&lt;&gt;0,$H678&gt;0,OR(AUTOEVENTO&lt;&gt;"manual",$M678&lt;&gt;1)),
IF(Import.TipoArredondamento&lt;&gt;"TransfereGOV",
ROUND(OFFSET($P678,0,AK$13),15-13*ORÇAMENTO!$AF$7)/$H678*OFFSET(ORÇAMENTO!$X$15,ROW(AK678)-ROW(AK$15),0),
ROUND(ROUND(OFFSET($P678,0,AK$13),15-13*ORÇAMENTO!$AF$7)*OFFSET(ORÇAMENTO!$W$15,ROW(AK678)-ROW(AK$15),0),15-13*ORÇAMENTO!$AF$11)),0)</f>
        <v>0</v>
      </c>
      <c r="AL678" s="545">
        <f ca="1">IF(AND($D678="Serviço",AL$12&lt;&gt;0,$H678&gt;0,OR(AUTOEVENTO&lt;&gt;"manual",$M678&lt;&gt;1)),
IF(Import.TipoArredondamento&lt;&gt;"TransfereGOV",
ROUND(OFFSET($P678,0,AL$13),15-13*ORÇAMENTO!$AF$7)/$H678*OFFSET(ORÇAMENTO!$X$15,ROW(AL678)-ROW(AL$15),0),
ROUND(ROUND(OFFSET($P678,0,AL$13),15-13*ORÇAMENTO!$AF$7)*OFFSET(ORÇAMENTO!$W$15,ROW(AL678)-ROW(AL$15),0),15-13*ORÇAMENTO!$AF$11)),0)</f>
        <v>0</v>
      </c>
      <c r="AM678" s="545">
        <f ca="1">IF(AND($D678="Serviço",AM$12&lt;&gt;0,$H678&gt;0,OR(AUTOEVENTO&lt;&gt;"manual",$M678&lt;&gt;1)),
IF(Import.TipoArredondamento&lt;&gt;"TransfereGOV",
ROUND(OFFSET($P678,0,AM$13),15-13*ORÇAMENTO!$AF$7)/$H678*OFFSET(ORÇAMENTO!$X$15,ROW(AM678)-ROW(AM$15),0),
ROUND(ROUND(OFFSET($P678,0,AM$13),15-13*ORÇAMENTO!$AF$7)*OFFSET(ORÇAMENTO!$W$15,ROW(AM678)-ROW(AM$15),0),15-13*ORÇAMENTO!$AF$11)),0)</f>
        <v>0</v>
      </c>
      <c r="AN678" s="545">
        <f ca="1">IF(AND($D678="Serviço",AN$12&lt;&gt;0,$H678&gt;0,OR(AUTOEVENTO&lt;&gt;"manual",$M678&lt;&gt;1)),
IF(Import.TipoArredondamento&lt;&gt;"TransfereGOV",
ROUND(OFFSET($P678,0,AN$13),15-13*ORÇAMENTO!$AF$7)/$H678*OFFSET(ORÇAMENTO!$X$15,ROW(AN678)-ROW(AN$15),0),
ROUND(ROUND(OFFSET($P678,0,AN$13),15-13*ORÇAMENTO!$AF$7)*OFFSET(ORÇAMENTO!$W$15,ROW(AN678)-ROW(AN$15),0),15-13*ORÇAMENTO!$AF$11)),0)</f>
        <v>0</v>
      </c>
      <c r="AO678" s="545">
        <f ca="1">IF(AND($D678="Serviço",AO$12&lt;&gt;0,$H678&gt;0,OR(AUTOEVENTO&lt;&gt;"manual",$M678&lt;&gt;1)),
IF(Import.TipoArredondamento&lt;&gt;"TransfereGOV",
ROUND(OFFSET($P678,0,AO$13),15-13*ORÇAMENTO!$AF$7)/$H678*OFFSET(ORÇAMENTO!$X$15,ROW(AO678)-ROW(AO$15),0),
ROUND(ROUND(OFFSET($P678,0,AO$13),15-13*ORÇAMENTO!$AF$7)*OFFSET(ORÇAMENTO!$W$15,ROW(AO678)-ROW(AO$15),0),15-13*ORÇAMENTO!$AF$11)),0)</f>
        <v>0</v>
      </c>
      <c r="AP678" s="545">
        <f ca="1">IF(AND($D678="Serviço",AP$12&lt;&gt;0,$H678&gt;0,OR(AUTOEVENTO&lt;&gt;"manual",$M678&lt;&gt;1)),
IF(Import.TipoArredondamento&lt;&gt;"TransfereGOV",
ROUND(OFFSET($P678,0,AP$13),15-13*ORÇAMENTO!$AF$7)/$H678*OFFSET(ORÇAMENTO!$X$15,ROW(AP678)-ROW(AP$15),0),
ROUND(ROUND(OFFSET($P678,0,AP$13),15-13*ORÇAMENTO!$AF$7)*OFFSET(ORÇAMENTO!$W$15,ROW(AP678)-ROW(AP$15),0),15-13*ORÇAMENTO!$AF$11)),0)</f>
        <v>0</v>
      </c>
      <c r="AQ678" s="545">
        <f ca="1">IF(AND($D678="Serviço",AQ$12&lt;&gt;0,$H678&gt;0,OR(AUTOEVENTO&lt;&gt;"manual",$M678&lt;&gt;1)),
IF(Import.TipoArredondamento&lt;&gt;"TransfereGOV",
ROUND(OFFSET($P678,0,AQ$13),15-13*ORÇAMENTO!$AF$7)/$H678*OFFSET(ORÇAMENTO!$X$15,ROW(AQ678)-ROW(AQ$15),0),
ROUND(ROUND(OFFSET($P678,0,AQ$13),15-13*ORÇAMENTO!$AF$7)*OFFSET(ORÇAMENTO!$W$15,ROW(AQ678)-ROW(AQ$15),0),15-13*ORÇAMENTO!$AF$11)),0)</f>
        <v>0</v>
      </c>
      <c r="AR678" s="545">
        <f ca="1">IF(AND($D678="Serviço",AR$12&lt;&gt;0,$H678&gt;0,OR(AUTOEVENTO&lt;&gt;"manual",$M678&lt;&gt;1)),
IF(Import.TipoArredondamento&lt;&gt;"TransfereGOV",
ROUND(OFFSET($P678,0,AR$13),15-13*ORÇAMENTO!$AF$7)/$H678*OFFSET(ORÇAMENTO!$X$15,ROW(AR678)-ROW(AR$15),0),
ROUND(ROUND(OFFSET($P678,0,AR$13),15-13*ORÇAMENTO!$AF$7)*OFFSET(ORÇAMENTO!$W$15,ROW(AR678)-ROW(AR$15),0),15-13*ORÇAMENTO!$AF$11)),0)</f>
        <v>0</v>
      </c>
      <c r="AS678" s="546">
        <f ca="1">IF(AND($D678="Serviço",AS$12&lt;&gt;0,$H678&gt;0,OR(AUTOEVENTO&lt;&gt;"manual",$M678&lt;&gt;1)),
IF(Import.TipoArredondamento&lt;&gt;"TransfereGOV",
ROUND(OFFSET($P678,0,AS$13),15-13*ORÇAMENTO!$AF$7)/$H678*OFFSET(ORÇAMENTO!$X$15,ROW(AS678)-ROW(AS$15),0),
ROUND(ROUND(OFFSET($P678,0,AS$13),15-13*ORÇAMENTO!$AF$7)*OFFSET(ORÇAMENTO!$W$15,ROW(AS678)-ROW(AS$15),0),15-13*ORÇAMENTO!$AF$11)),0)</f>
        <v>0</v>
      </c>
      <c r="AT678" s="545">
        <f ca="1">IF(AND($D678="Serviço",AT$12&lt;&gt;0,$H678&gt;0,OR(AUTOEVENTO&lt;&gt;"manual",$M678&lt;&gt;1)),
IF(Import.TipoArredondamento&lt;&gt;"TransfereGOV",
ROUND(OFFSET($P678,0,AT$13),15-13*ORÇAMENTO!$AF$7)/$H678*OFFSET(ORÇAMENTO!$X$15,ROW(AT678)-ROW(AT$15),0),
ROUND(ROUND(OFFSET($P678,0,AT$13),15-13*ORÇAMENTO!$AF$7)*OFFSET(ORÇAMENTO!$W$15,ROW(AT678)-ROW(AT$15),0),15-13*ORÇAMENTO!$AF$11)),0)</f>
        <v>0</v>
      </c>
      <c r="AU678" s="545">
        <f ca="1">IF(AND($D678="Serviço",AU$12&lt;&gt;0,$H678&gt;0,OR(AUTOEVENTO&lt;&gt;"manual",$M678&lt;&gt;1)),
IF(Import.TipoArredondamento&lt;&gt;"TransfereGOV",
ROUND(OFFSET($P678,0,AU$13),15-13*ORÇAMENTO!$AF$7)/$H678*OFFSET(ORÇAMENTO!$X$15,ROW(AU678)-ROW(AU$15),0),
ROUND(ROUND(OFFSET($P678,0,AU$13),15-13*ORÇAMENTO!$AF$7)*OFFSET(ORÇAMENTO!$W$15,ROW(AU678)-ROW(AU$15),0),15-13*ORÇAMENTO!$AF$11)),0)</f>
        <v>0</v>
      </c>
      <c r="AV678" s="545">
        <f ca="1">IF(AND($D678="Serviço",AV$12&lt;&gt;0,$H678&gt;0,OR(AUTOEVENTO&lt;&gt;"manual",$M678&lt;&gt;1)),
IF(Import.TipoArredondamento&lt;&gt;"TransfereGOV",
ROUND(OFFSET($P678,0,AV$13),15-13*ORÇAMENTO!$AF$7)/$H678*OFFSET(ORÇAMENTO!$X$15,ROW(AV678)-ROW(AV$15),0),
ROUND(ROUND(OFFSET($P678,0,AV$13),15-13*ORÇAMENTO!$AF$7)*OFFSET(ORÇAMENTO!$W$15,ROW(AV678)-ROW(AV$15),0),15-13*ORÇAMENTO!$AF$11)),0)</f>
        <v>0</v>
      </c>
      <c r="AW678" s="545">
        <f ca="1">IF(AND($D678="Serviço",AW$12&lt;&gt;0,$H678&gt;0,OR(AUTOEVENTO&lt;&gt;"manual",$M678&lt;&gt;1)),
IF(Import.TipoArredondamento&lt;&gt;"TransfereGOV",
ROUND(OFFSET($P678,0,AW$13),15-13*ORÇAMENTO!$AF$7)/$H678*OFFSET(ORÇAMENTO!$X$15,ROW(AW678)-ROW(AW$15),0),
ROUND(ROUND(OFFSET($P678,0,AW$13),15-13*ORÇAMENTO!$AF$7)*OFFSET(ORÇAMENTO!$W$15,ROW(AW678)-ROW(AW$15),0),15-13*ORÇAMENTO!$AF$11)),0)</f>
        <v>0</v>
      </c>
      <c r="AX678" s="545">
        <f ca="1">IF(AND($D678="Serviço",AX$12&lt;&gt;0,$H678&gt;0,OR(AUTOEVENTO&lt;&gt;"manual",$M678&lt;&gt;1)),
IF(Import.TipoArredondamento&lt;&gt;"TransfereGOV",
ROUND(OFFSET($P678,0,AX$13),15-13*ORÇAMENTO!$AF$7)/$H678*OFFSET(ORÇAMENTO!$X$15,ROW(AX678)-ROW(AX$15),0),
ROUND(ROUND(OFFSET($P678,0,AX$13),15-13*ORÇAMENTO!$AF$7)*OFFSET(ORÇAMENTO!$W$15,ROW(AX678)-ROW(AX$15),0),15-13*ORÇAMENTO!$AF$11)),0)</f>
        <v>0</v>
      </c>
      <c r="AY678" s="545">
        <f ca="1">IF(AND($D678="Serviço",AY$12&lt;&gt;0,$H678&gt;0,OR(AUTOEVENTO&lt;&gt;"manual",$M678&lt;&gt;1)),
IF(Import.TipoArredondamento&lt;&gt;"TransfereGOV",
ROUND(OFFSET($P678,0,AY$13),15-13*ORÇAMENTO!$AF$7)/$H678*OFFSET(ORÇAMENTO!$X$15,ROW(AY678)-ROW(AY$15),0),
ROUND(ROUND(OFFSET($P678,0,AY$13),15-13*ORÇAMENTO!$AF$7)*OFFSET(ORÇAMENTO!$W$15,ROW(AY678)-ROW(AY$15),0),15-13*ORÇAMENTO!$AF$11)),0)</f>
        <v>0</v>
      </c>
      <c r="AZ678" s="545">
        <f ca="1">IF(AND($D678="Serviço",AZ$12&lt;&gt;0,$H678&gt;0,OR(AUTOEVENTO&lt;&gt;"manual",$M678&lt;&gt;1)),
IF(Import.TipoArredondamento&lt;&gt;"TransfereGOV",
ROUND(OFFSET($P678,0,AZ$13),15-13*ORÇAMENTO!$AF$7)/$H678*OFFSET(ORÇAMENTO!$X$15,ROW(AZ678)-ROW(AZ$15),0),
ROUND(ROUND(OFFSET($P678,0,AZ$13),15-13*ORÇAMENTO!$AF$7)*OFFSET(ORÇAMENTO!$W$15,ROW(AZ678)-ROW(AZ$15),0),15-13*ORÇAMENTO!$AF$11)),0)</f>
        <v>0</v>
      </c>
      <c r="BA678" s="546">
        <f ca="1">IF(AND($D678="Serviço",BA$12&lt;&gt;0,$H678&gt;0,OR(AUTOEVENTO&lt;&gt;"manual",$M678&lt;&gt;1)),
IF(Import.TipoArredondamento&lt;&gt;"TransfereGOV",
ROUND(OFFSET($P678,0,BA$13),15-13*ORÇAMENTO!$AF$7)/$H678*OFFSET(ORÇAMENTO!$X$15,ROW(BA678)-ROW(BA$15),0),
ROUND(ROUND(OFFSET($P678,0,BA$13),15-13*ORÇAMENTO!$AF$7)*OFFSET(ORÇAMENTO!$W$15,ROW(BA678)-ROW(BA$15),0),15-13*ORÇAMENTO!$AF$11)),0)</f>
        <v>0</v>
      </c>
      <c r="BC678" s="181">
        <f ca="1">IF($D678&lt;&gt;"Serviço",0,IF(AND(AUTOEVENTO="Manual",$M678=1),0,IF(OFFSET(CRONOPLE!$F$14,$M678,BC$13)="",10^12,OFFSET(CRONOPLE!$F$14,$M678,BC$13))))</f>
        <v>11</v>
      </c>
      <c r="BD678" s="181">
        <f ca="1">IF($D678&lt;&gt;"Serviço",0,IF(AND(AUTOEVENTO="Manual",$M678=1),0,IF(OFFSET(CRONOPLE!$F$14,$M678,BD$13)="",10^12,OFFSET(CRONOPLE!$F$14,$M678,BD$13))))</f>
        <v>1000000000000</v>
      </c>
      <c r="BE678" s="181">
        <f ca="1">IF($D678&lt;&gt;"Serviço",0,IF(AND(AUTOEVENTO="Manual",$M678=1),0,IF(OFFSET(CRONOPLE!$F$14,$M678,BE$13)="",10^12,OFFSET(CRONOPLE!$F$14,$M678,BE$13))))</f>
        <v>1000000000000</v>
      </c>
      <c r="BF678" s="181">
        <f ca="1">IF($D678&lt;&gt;"Serviço",0,IF(AND(AUTOEVENTO="Manual",$M678=1),0,IF(OFFSET(CRONOPLE!$F$14,$M678,BF$13)="",10^12,OFFSET(CRONOPLE!$F$14,$M678,BF$13))))</f>
        <v>1000000000000</v>
      </c>
      <c r="BG678" s="181">
        <f ca="1">IF($D678&lt;&gt;"Serviço",0,IF(AND(AUTOEVENTO="Manual",$M678=1),0,IF(OFFSET(CRONOPLE!$F$14,$M678,BG$13)="",10^12,OFFSET(CRONOPLE!$F$14,$M678,BG$13))))</f>
        <v>1000000000000</v>
      </c>
      <c r="BH678" s="181">
        <f ca="1">IF($D678&lt;&gt;"Serviço",0,IF(AND(AUTOEVENTO="Manual",$M678=1),0,IF(OFFSET(CRONOPLE!$F$14,$M678,BH$13)="",10^12,OFFSET(CRONOPLE!$F$14,$M678,BH$13))))</f>
        <v>1000000000000</v>
      </c>
      <c r="BI678" s="181">
        <f ca="1">IF($D678&lt;&gt;"Serviço",0,IF(AND(AUTOEVENTO="Manual",$M678=1),0,IF(OFFSET(CRONOPLE!$F$14,$M678,BI$13)="",10^12,OFFSET(CRONOPLE!$F$14,$M678,BI$13))))</f>
        <v>1000000000000</v>
      </c>
      <c r="BJ678" s="181">
        <f ca="1">IF($D678&lt;&gt;"Serviço",0,IF(AND(AUTOEVENTO="Manual",$M678=1),0,IF(OFFSET(CRONOPLE!$F$14,$M678,BJ$13)="",10^12,OFFSET(CRONOPLE!$F$14,$M678,BJ$13))))</f>
        <v>1000000000000</v>
      </c>
      <c r="BK678" s="181">
        <f ca="1">IF($D678&lt;&gt;"Serviço",0,IF(AND(AUTOEVENTO="Manual",$M678=1),0,IF(OFFSET(CRONOPLE!$F$14,$M678,BK$13)="",10^12,OFFSET(CRONOPLE!$F$14,$M678,BK$13))))</f>
        <v>1000000000000</v>
      </c>
      <c r="BL678" s="181">
        <f ca="1">IF($D678&lt;&gt;"Serviço",0,IF(AND(AUTOEVENTO="Manual",$M678=1),0,IF(OFFSET(CRONOPLE!$F$14,$M678,BL$13)="",10^12,OFFSET(CRONOPLE!$F$14,$M678,BL$13))))</f>
        <v>1000000000000</v>
      </c>
      <c r="BM678" s="181">
        <f ca="1">IF($D678&lt;&gt;"Serviço",0,IF(AND(AUTOEVENTO="Manual",$M678=1),0,IF(OFFSET(CRONOPLE!$F$14,$M678,BM$13)="",10^12,OFFSET(CRONOPLE!$F$14,$M678,BM$13))))</f>
        <v>1000000000000</v>
      </c>
      <c r="BN678" s="181">
        <f ca="1">IF($D678&lt;&gt;"Serviço",0,IF(AND(AUTOEVENTO="Manual",$M678=1),0,IF(OFFSET(CRONOPLE!$F$14,$M678,BN$13)="",10^12,OFFSET(CRONOPLE!$F$14,$M678,BN$13))))</f>
        <v>1000000000000</v>
      </c>
      <c r="BO678" s="181">
        <f ca="1">IF($D678&lt;&gt;"Serviço",0,IF(AND(AUTOEVENTO="Manual",$M678=1),0,IF(OFFSET(CRONOPLE!$F$14,$M678,BO$13)="",10^12,OFFSET(CRONOPLE!$F$14,$M678,BO$13))))</f>
        <v>1000000000000</v>
      </c>
      <c r="BP678" s="181">
        <f ca="1">IF($D678&lt;&gt;"Serviço",0,IF(AND(AUTOEVENTO="Manual",$M678=1),0,IF(OFFSET(CRONOPLE!$F$14,$M678,BP$13)="",10^12,OFFSET(CRONOPLE!$F$14,$M678,BP$13))))</f>
        <v>1000000000000</v>
      </c>
      <c r="BQ678" s="181">
        <f ca="1">IF($D678&lt;&gt;"Serviço",0,IF(AND(AUTOEVENTO="Manual",$M678=1),0,IF(OFFSET(CRONOPLE!$F$14,$M678,BQ$13)="",10^12,OFFSET(CRONOPLE!$F$14,$M678,BQ$13))))</f>
        <v>1000000000000</v>
      </c>
      <c r="BR678" s="181">
        <f ca="1">IF($D678&lt;&gt;"Serviço",0,IF(AND(AUTOEVENTO="Manual",$M678=1),0,IF(OFFSET(CRONOPLE!$F$14,$M678,BR$13)="",10^12,OFFSET(CRONOPLE!$F$14,$M678,BR$13))))</f>
        <v>1000000000000</v>
      </c>
      <c r="BS678" s="181">
        <f ca="1">IF($D678&lt;&gt;"Serviço",0,IF(AND(AUTOEVENTO="Manual",$M678=1),0,IF(OFFSET(CRONOPLE!$F$14,$M678,BS$13)="",10^12,OFFSET(CRONOPLE!$F$14,$M678,BS$13))))</f>
        <v>1000000000000</v>
      </c>
      <c r="BT678" s="181">
        <f ca="1">IF($D678&lt;&gt;"Serviço",0,IF(AND(AUTOEVENTO="Manual",$M678=1),0,IF(OFFSET(CRONOPLE!$F$14,$M678,BT$13)="",10^12,OFFSET(CRONOPLE!$F$14,$M678,BT$13))))</f>
        <v>1000000000000</v>
      </c>
      <c r="BV678" s="182">
        <f ca="1">IF($D678&lt;&gt;"Serviço",0,IF(OR(AND(AUTOEVENTO="Manual",$M678=1),$M678&gt;(ROW(PLE.lastrow)-ROW(PLE.firstrow))),0,IF(OFFSET(PLE!$G$14,$M678,BV$13)="",10^12,OFFSET(PLE!$G$14,$M678,BV$13))))</f>
        <v>1000000000000</v>
      </c>
      <c r="BW678" s="182">
        <f ca="1">IF($D678&lt;&gt;"Serviço",0,IF(OR(AND(AUTOEVENTO="Manual",$M678=1),$M678&gt;(ROW(PLE.lastrow)-ROW(PLE.firstrow))),0,IF(OFFSET(PLE!$G$14,$M678,BW$13)="",10^12,OFFSET(PLE!$G$14,$M678,BW$13))))</f>
        <v>1000000000000</v>
      </c>
      <c r="BX678" s="182">
        <f ca="1">IF($D678&lt;&gt;"Serviço",0,IF(OR(AND(AUTOEVENTO="Manual",$M678=1),$M678&gt;(ROW(PLE.lastrow)-ROW(PLE.firstrow))),0,IF(OFFSET(PLE!$G$14,$M678,BX$13)="",10^12,OFFSET(PLE!$G$14,$M678,BX$13))))</f>
        <v>1000000000000</v>
      </c>
      <c r="BY678" s="182">
        <f ca="1">IF($D678&lt;&gt;"Serviço",0,IF(OR(AND(AUTOEVENTO="Manual",$M678=1),$M678&gt;(ROW(PLE.lastrow)-ROW(PLE.firstrow))),0,IF(OFFSET(PLE!$G$14,$M678,BY$13)="",10^12,OFFSET(PLE!$G$14,$M678,BY$13))))</f>
        <v>1000000000000</v>
      </c>
      <c r="BZ678" s="182">
        <f ca="1">IF($D678&lt;&gt;"Serviço",0,IF(OR(AND(AUTOEVENTO="Manual",$M678=1),$M678&gt;(ROW(PLE.lastrow)-ROW(PLE.firstrow))),0,IF(OFFSET(PLE!$G$14,$M678,BZ$13)="",10^12,OFFSET(PLE!$G$14,$M678,BZ$13))))</f>
        <v>1000000000000</v>
      </c>
      <c r="CA678" s="182">
        <f ca="1">IF($D678&lt;&gt;"Serviço",0,IF(OR(AND(AUTOEVENTO="Manual",$M678=1),$M678&gt;(ROW(PLE.lastrow)-ROW(PLE.firstrow))),0,IF(OFFSET(PLE!$G$14,$M678,CA$13)="",10^12,OFFSET(PLE!$G$14,$M678,CA$13))))</f>
        <v>1000000000000</v>
      </c>
      <c r="CB678" s="182">
        <f ca="1">IF($D678&lt;&gt;"Serviço",0,IF(OR(AND(AUTOEVENTO="Manual",$M678=1),$M678&gt;(ROW(PLE.lastrow)-ROW(PLE.firstrow))),0,IF(OFFSET(PLE!$G$14,$M678,CB$13)="",10^12,OFFSET(PLE!$G$14,$M678,CB$13))))</f>
        <v>1000000000000</v>
      </c>
      <c r="CC678" s="182">
        <f ca="1">IF($D678&lt;&gt;"Serviço",0,IF(OR(AND(AUTOEVENTO="Manual",$M678=1),$M678&gt;(ROW(PLE.lastrow)-ROW(PLE.firstrow))),0,IF(OFFSET(PLE!$G$14,$M678,CC$13)="",10^12,OFFSET(PLE!$G$14,$M678,CC$13))))</f>
        <v>1000000000000</v>
      </c>
      <c r="CD678" s="182">
        <f ca="1">IF($D678&lt;&gt;"Serviço",0,IF(OR(AND(AUTOEVENTO="Manual",$M678=1),$M678&gt;(ROW(PLE.lastrow)-ROW(PLE.firstrow))),0,IF(OFFSET(PLE!$G$14,$M678,CD$13)="",10^12,OFFSET(PLE!$G$14,$M678,CD$13))))</f>
        <v>1000000000000</v>
      </c>
      <c r="CE678" s="182">
        <f ca="1">IF($D678&lt;&gt;"Serviço",0,IF(OR(AND(AUTOEVENTO="Manual",$M678=1),$M678&gt;(ROW(PLE.lastrow)-ROW(PLE.firstrow))),0,IF(OFFSET(PLE!$G$14,$M678,CE$13)="",10^12,OFFSET(PLE!$G$14,$M678,CE$13))))</f>
        <v>1000000000000</v>
      </c>
      <c r="CF678" s="182">
        <f ca="1">IF($D678&lt;&gt;"Serviço",0,IF(OR(AND(AUTOEVENTO="Manual",$M678=1),$M678&gt;(ROW(PLE.lastrow)-ROW(PLE.firstrow))),0,IF(OFFSET(PLE!$G$14,$M678,CF$13)="",10^12,OFFSET(PLE!$G$14,$M678,CF$13))))</f>
        <v>1000000000000</v>
      </c>
      <c r="CG678" s="182">
        <f ca="1">IF($D678&lt;&gt;"Serviço",0,IF(OR(AND(AUTOEVENTO="Manual",$M678=1),$M678&gt;(ROW(PLE.lastrow)-ROW(PLE.firstrow))),0,IF(OFFSET(PLE!$G$14,$M678,CG$13)="",10^12,OFFSET(PLE!$G$14,$M678,CG$13))))</f>
        <v>1000000000000</v>
      </c>
      <c r="CH678" s="182">
        <f ca="1">IF($D678&lt;&gt;"Serviço",0,IF(OR(AND(AUTOEVENTO="Manual",$M678=1),$M678&gt;(ROW(PLE.lastrow)-ROW(PLE.firstrow))),0,IF(OFFSET(PLE!$G$14,$M678,CH$13)="",10^12,OFFSET(PLE!$G$14,$M678,CH$13))))</f>
        <v>1000000000000</v>
      </c>
      <c r="CI678" s="182">
        <f ca="1">IF($D678&lt;&gt;"Serviço",0,IF(OR(AND(AUTOEVENTO="Manual",$M678=1),$M678&gt;(ROW(PLE.lastrow)-ROW(PLE.firstrow))),0,IF(OFFSET(PLE!$G$14,$M678,CI$13)="",10^12,OFFSET(PLE!$G$14,$M678,CI$13))))</f>
        <v>1000000000000</v>
      </c>
      <c r="CJ678" s="182">
        <f ca="1">IF($D678&lt;&gt;"Serviço",0,IF(OR(AND(AUTOEVENTO="Manual",$M678=1),$M678&gt;(ROW(PLE.lastrow)-ROW(PLE.firstrow))),0,IF(OFFSET(PLE!$G$14,$M678,CJ$13)="",10^12,OFFSET(PLE!$G$14,$M678,CJ$13))))</f>
        <v>1000000000000</v>
      </c>
      <c r="CK678" s="182">
        <f ca="1">IF($D678&lt;&gt;"Serviço",0,IF(OR(AND(AUTOEVENTO="Manual",$M678=1),$M678&gt;(ROW(PLE.lastrow)-ROW(PLE.firstrow))),0,IF(OFFSET(PLE!$G$14,$M678,CK$13)="",10^12,OFFSET(PLE!$G$14,$M678,CK$13))))</f>
        <v>1000000000000</v>
      </c>
      <c r="CL678" s="182">
        <f ca="1">IF($D678&lt;&gt;"Serviço",0,IF(OR(AND(AUTOEVENTO="Manual",$M678=1),$M678&gt;(ROW(PLE.lastrow)-ROW(PLE.firstrow))),0,IF(OFFSET(PLE!$G$14,$M678,CL$13)="",10^12,OFFSET(PLE!$G$14,$M678,CL$13))))</f>
        <v>1000000000000</v>
      </c>
      <c r="CM678" s="182">
        <f ca="1">IF($D678&lt;&gt;"Serviço",0,IF(OR(AND(AUTOEVENTO="Manual",$M678=1),$M678&gt;(ROW(PLE.lastrow)-ROW(PLE.firstrow))),0,IF(OFFSET(PLE!$G$14,$M678,CM$13)="",10^12,OFFSET(PLE!$G$14,$M678,CM$13))))</f>
        <v>1000000000000</v>
      </c>
    </row>
    <row r="679" spans="1:91" ht="25.5" x14ac:dyDescent="0.2">
      <c r="A679" s="7" t="str">
        <f t="shared" ca="1" si="19"/>
        <v>653</v>
      </c>
      <c r="B679" s="7" t="str">
        <f ca="1">OFFSET(ORÇAMENTO!C$15,ROW(B679)-ROW(B$15),0)</f>
        <v>S</v>
      </c>
      <c r="C679" s="7" t="str">
        <f ca="1">OFFSET(ORÇAMENTO!L$15,ROW(C679)-ROW(C$15),0)</f>
        <v/>
      </c>
      <c r="D679" s="118" t="str">
        <f ca="1">OFFSET(ORÇAMENTO!N$15,ROW(D679)-ROW(D$15),0)</f>
        <v>Serviço</v>
      </c>
      <c r="E679" s="119" t="str">
        <f ca="1">OFFSET(ORÇAMENTO!O$15,ROW(E679)-ROW(E$15),0)</f>
        <v>-</v>
      </c>
      <c r="F679" s="172" t="str">
        <f ca="1">OFFSET(ORÇAMENTO!R$15,ROW(F679)-ROW(F$15),0)</f>
        <v>(abra o arquivo 'Referência 06-2024.xlsm)</v>
      </c>
      <c r="G679" s="173" t="str">
        <f ca="1">IF($D679&lt;&gt;"Serviço","",OFFSET(ORÇAMENTO!S$15,ROW(G679)-ROW(G$15),0))</f>
        <v>-</v>
      </c>
      <c r="H679" s="124">
        <f ca="1">IF($D679&lt;&gt;"Serviço",0,IF(ACOMPANHAMENTO="BM",ROUND(OFFSET(ORÇAMENTO!AJ$15,ROW(H679)-ROW(H$15),0),15-13*ORÇAMENTO!$AF$7),SUMPRODUCT(($Q$12:$AI$12&lt;&gt;"")*ROUND($Q679:$AI679,15-13*ORÇAMENTO!$AF$7))))</f>
        <v>1</v>
      </c>
      <c r="I679" s="561" t="s">
        <v>1107</v>
      </c>
      <c r="K679" s="174"/>
      <c r="L679" s="175" t="s">
        <v>255</v>
      </c>
      <c r="M679" s="176">
        <f ca="1">IF($D679&lt;&gt;"Serviço","",IF(AUTOEVENTO="manual",$A679,IF(ISERROR(MATCH($A679,$A$15:OFFSET($A679,-1,0),0)),MAX($M$15:OFFSET(M679,-1,0))+1,INDEX($M$15:OFFSET(M679,-1,0),MATCH($A679,$A$15:OFFSET($A679,-1,0),0)))))</f>
        <v>73</v>
      </c>
      <c r="N679" s="177" t="str">
        <f ca="1">IF($D679&lt;&gt;"Serviço","",IF(AUTOEVENTO="Manual",IF($A679=0,"&lt;-- defina o número do agrupador",OFFSET(EVENTOS!$D$14,$A679,0)),OFFSET($F$15,$A679,0)))</f>
        <v>SERVIÇOS COMPLEMENTARES</v>
      </c>
      <c r="O679" s="178"/>
      <c r="Q679" s="178">
        <v>1</v>
      </c>
      <c r="R679" s="179"/>
      <c r="S679" s="179"/>
      <c r="T679" s="179"/>
      <c r="U679" s="179"/>
      <c r="V679" s="179"/>
      <c r="W679" s="179"/>
      <c r="X679" s="179"/>
      <c r="Y679" s="179"/>
      <c r="Z679" s="180"/>
      <c r="AA679" s="179"/>
      <c r="AB679" s="179"/>
      <c r="AC679" s="179"/>
      <c r="AD679" s="179"/>
      <c r="AE679" s="179"/>
      <c r="AF679" s="179"/>
      <c r="AG679" s="179"/>
      <c r="AH679" s="180"/>
      <c r="AJ679" s="544">
        <f ca="1">IF(AND($D679="Serviço",AJ$12&lt;&gt;0,$H679&gt;0,OR(AUTOEVENTO&lt;&gt;"manual",$M679&lt;&gt;1)),
IF(Import.TipoArredondamento&lt;&gt;"TransfereGOV",
ROUND(OFFSET($P679,0,AJ$13),15-13*ORÇAMENTO!$AF$7)/$H679*OFFSET(ORÇAMENTO!$X$15,ROW(AJ679)-ROW(AJ$15),0),
ROUND(ROUND(OFFSET($P679,0,AJ$13),15-13*ORÇAMENTO!$AF$7)*OFFSET(ORÇAMENTO!$W$15,ROW(AJ679)-ROW(AJ$15),0),15-13*ORÇAMENTO!$AF$11)),0)</f>
        <v>0</v>
      </c>
      <c r="AK679" s="545">
        <f ca="1">IF(AND($D679="Serviço",AK$12&lt;&gt;0,$H679&gt;0,OR(AUTOEVENTO&lt;&gt;"manual",$M679&lt;&gt;1)),
IF(Import.TipoArredondamento&lt;&gt;"TransfereGOV",
ROUND(OFFSET($P679,0,AK$13),15-13*ORÇAMENTO!$AF$7)/$H679*OFFSET(ORÇAMENTO!$X$15,ROW(AK679)-ROW(AK$15),0),
ROUND(ROUND(OFFSET($P679,0,AK$13),15-13*ORÇAMENTO!$AF$7)*OFFSET(ORÇAMENTO!$W$15,ROW(AK679)-ROW(AK$15),0),15-13*ORÇAMENTO!$AF$11)),0)</f>
        <v>0</v>
      </c>
      <c r="AL679" s="545">
        <f ca="1">IF(AND($D679="Serviço",AL$12&lt;&gt;0,$H679&gt;0,OR(AUTOEVENTO&lt;&gt;"manual",$M679&lt;&gt;1)),
IF(Import.TipoArredondamento&lt;&gt;"TransfereGOV",
ROUND(OFFSET($P679,0,AL$13),15-13*ORÇAMENTO!$AF$7)/$H679*OFFSET(ORÇAMENTO!$X$15,ROW(AL679)-ROW(AL$15),0),
ROUND(ROUND(OFFSET($P679,0,AL$13),15-13*ORÇAMENTO!$AF$7)*OFFSET(ORÇAMENTO!$W$15,ROW(AL679)-ROW(AL$15),0),15-13*ORÇAMENTO!$AF$11)),0)</f>
        <v>0</v>
      </c>
      <c r="AM679" s="545">
        <f ca="1">IF(AND($D679="Serviço",AM$12&lt;&gt;0,$H679&gt;0,OR(AUTOEVENTO&lt;&gt;"manual",$M679&lt;&gt;1)),
IF(Import.TipoArredondamento&lt;&gt;"TransfereGOV",
ROUND(OFFSET($P679,0,AM$13),15-13*ORÇAMENTO!$AF$7)/$H679*OFFSET(ORÇAMENTO!$X$15,ROW(AM679)-ROW(AM$15),0),
ROUND(ROUND(OFFSET($P679,0,AM$13),15-13*ORÇAMENTO!$AF$7)*OFFSET(ORÇAMENTO!$W$15,ROW(AM679)-ROW(AM$15),0),15-13*ORÇAMENTO!$AF$11)),0)</f>
        <v>0</v>
      </c>
      <c r="AN679" s="545">
        <f ca="1">IF(AND($D679="Serviço",AN$12&lt;&gt;0,$H679&gt;0,OR(AUTOEVENTO&lt;&gt;"manual",$M679&lt;&gt;1)),
IF(Import.TipoArredondamento&lt;&gt;"TransfereGOV",
ROUND(OFFSET($P679,0,AN$13),15-13*ORÇAMENTO!$AF$7)/$H679*OFFSET(ORÇAMENTO!$X$15,ROW(AN679)-ROW(AN$15),0),
ROUND(ROUND(OFFSET($P679,0,AN$13),15-13*ORÇAMENTO!$AF$7)*OFFSET(ORÇAMENTO!$W$15,ROW(AN679)-ROW(AN$15),0),15-13*ORÇAMENTO!$AF$11)),0)</f>
        <v>0</v>
      </c>
      <c r="AO679" s="545">
        <f ca="1">IF(AND($D679="Serviço",AO$12&lt;&gt;0,$H679&gt;0,OR(AUTOEVENTO&lt;&gt;"manual",$M679&lt;&gt;1)),
IF(Import.TipoArredondamento&lt;&gt;"TransfereGOV",
ROUND(OFFSET($P679,0,AO$13),15-13*ORÇAMENTO!$AF$7)/$H679*OFFSET(ORÇAMENTO!$X$15,ROW(AO679)-ROW(AO$15),0),
ROUND(ROUND(OFFSET($P679,0,AO$13),15-13*ORÇAMENTO!$AF$7)*OFFSET(ORÇAMENTO!$W$15,ROW(AO679)-ROW(AO$15),0),15-13*ORÇAMENTO!$AF$11)),0)</f>
        <v>0</v>
      </c>
      <c r="AP679" s="545">
        <f ca="1">IF(AND($D679="Serviço",AP$12&lt;&gt;0,$H679&gt;0,OR(AUTOEVENTO&lt;&gt;"manual",$M679&lt;&gt;1)),
IF(Import.TipoArredondamento&lt;&gt;"TransfereGOV",
ROUND(OFFSET($P679,0,AP$13),15-13*ORÇAMENTO!$AF$7)/$H679*OFFSET(ORÇAMENTO!$X$15,ROW(AP679)-ROW(AP$15),0),
ROUND(ROUND(OFFSET($P679,0,AP$13),15-13*ORÇAMENTO!$AF$7)*OFFSET(ORÇAMENTO!$W$15,ROW(AP679)-ROW(AP$15),0),15-13*ORÇAMENTO!$AF$11)),0)</f>
        <v>0</v>
      </c>
      <c r="AQ679" s="545">
        <f ca="1">IF(AND($D679="Serviço",AQ$12&lt;&gt;0,$H679&gt;0,OR(AUTOEVENTO&lt;&gt;"manual",$M679&lt;&gt;1)),
IF(Import.TipoArredondamento&lt;&gt;"TransfereGOV",
ROUND(OFFSET($P679,0,AQ$13),15-13*ORÇAMENTO!$AF$7)/$H679*OFFSET(ORÇAMENTO!$X$15,ROW(AQ679)-ROW(AQ$15),0),
ROUND(ROUND(OFFSET($P679,0,AQ$13),15-13*ORÇAMENTO!$AF$7)*OFFSET(ORÇAMENTO!$W$15,ROW(AQ679)-ROW(AQ$15),0),15-13*ORÇAMENTO!$AF$11)),0)</f>
        <v>0</v>
      </c>
      <c r="AR679" s="545">
        <f ca="1">IF(AND($D679="Serviço",AR$12&lt;&gt;0,$H679&gt;0,OR(AUTOEVENTO&lt;&gt;"manual",$M679&lt;&gt;1)),
IF(Import.TipoArredondamento&lt;&gt;"TransfereGOV",
ROUND(OFFSET($P679,0,AR$13),15-13*ORÇAMENTO!$AF$7)/$H679*OFFSET(ORÇAMENTO!$X$15,ROW(AR679)-ROW(AR$15),0),
ROUND(ROUND(OFFSET($P679,0,AR$13),15-13*ORÇAMENTO!$AF$7)*OFFSET(ORÇAMENTO!$W$15,ROW(AR679)-ROW(AR$15),0),15-13*ORÇAMENTO!$AF$11)),0)</f>
        <v>0</v>
      </c>
      <c r="AS679" s="546">
        <f ca="1">IF(AND($D679="Serviço",AS$12&lt;&gt;0,$H679&gt;0,OR(AUTOEVENTO&lt;&gt;"manual",$M679&lt;&gt;1)),
IF(Import.TipoArredondamento&lt;&gt;"TransfereGOV",
ROUND(OFFSET($P679,0,AS$13),15-13*ORÇAMENTO!$AF$7)/$H679*OFFSET(ORÇAMENTO!$X$15,ROW(AS679)-ROW(AS$15),0),
ROUND(ROUND(OFFSET($P679,0,AS$13),15-13*ORÇAMENTO!$AF$7)*OFFSET(ORÇAMENTO!$W$15,ROW(AS679)-ROW(AS$15),0),15-13*ORÇAMENTO!$AF$11)),0)</f>
        <v>0</v>
      </c>
      <c r="AT679" s="545">
        <f ca="1">IF(AND($D679="Serviço",AT$12&lt;&gt;0,$H679&gt;0,OR(AUTOEVENTO&lt;&gt;"manual",$M679&lt;&gt;1)),
IF(Import.TipoArredondamento&lt;&gt;"TransfereGOV",
ROUND(OFFSET($P679,0,AT$13),15-13*ORÇAMENTO!$AF$7)/$H679*OFFSET(ORÇAMENTO!$X$15,ROW(AT679)-ROW(AT$15),0),
ROUND(ROUND(OFFSET($P679,0,AT$13),15-13*ORÇAMENTO!$AF$7)*OFFSET(ORÇAMENTO!$W$15,ROW(AT679)-ROW(AT$15),0),15-13*ORÇAMENTO!$AF$11)),0)</f>
        <v>0</v>
      </c>
      <c r="AU679" s="545">
        <f ca="1">IF(AND($D679="Serviço",AU$12&lt;&gt;0,$H679&gt;0,OR(AUTOEVENTO&lt;&gt;"manual",$M679&lt;&gt;1)),
IF(Import.TipoArredondamento&lt;&gt;"TransfereGOV",
ROUND(OFFSET($P679,0,AU$13),15-13*ORÇAMENTO!$AF$7)/$H679*OFFSET(ORÇAMENTO!$X$15,ROW(AU679)-ROW(AU$15),0),
ROUND(ROUND(OFFSET($P679,0,AU$13),15-13*ORÇAMENTO!$AF$7)*OFFSET(ORÇAMENTO!$W$15,ROW(AU679)-ROW(AU$15),0),15-13*ORÇAMENTO!$AF$11)),0)</f>
        <v>0</v>
      </c>
      <c r="AV679" s="545">
        <f ca="1">IF(AND($D679="Serviço",AV$12&lt;&gt;0,$H679&gt;0,OR(AUTOEVENTO&lt;&gt;"manual",$M679&lt;&gt;1)),
IF(Import.TipoArredondamento&lt;&gt;"TransfereGOV",
ROUND(OFFSET($P679,0,AV$13),15-13*ORÇAMENTO!$AF$7)/$H679*OFFSET(ORÇAMENTO!$X$15,ROW(AV679)-ROW(AV$15),0),
ROUND(ROUND(OFFSET($P679,0,AV$13),15-13*ORÇAMENTO!$AF$7)*OFFSET(ORÇAMENTO!$W$15,ROW(AV679)-ROW(AV$15),0),15-13*ORÇAMENTO!$AF$11)),0)</f>
        <v>0</v>
      </c>
      <c r="AW679" s="545">
        <f ca="1">IF(AND($D679="Serviço",AW$12&lt;&gt;0,$H679&gt;0,OR(AUTOEVENTO&lt;&gt;"manual",$M679&lt;&gt;1)),
IF(Import.TipoArredondamento&lt;&gt;"TransfereGOV",
ROUND(OFFSET($P679,0,AW$13),15-13*ORÇAMENTO!$AF$7)/$H679*OFFSET(ORÇAMENTO!$X$15,ROW(AW679)-ROW(AW$15),0),
ROUND(ROUND(OFFSET($P679,0,AW$13),15-13*ORÇAMENTO!$AF$7)*OFFSET(ORÇAMENTO!$W$15,ROW(AW679)-ROW(AW$15),0),15-13*ORÇAMENTO!$AF$11)),0)</f>
        <v>0</v>
      </c>
      <c r="AX679" s="545">
        <f ca="1">IF(AND($D679="Serviço",AX$12&lt;&gt;0,$H679&gt;0,OR(AUTOEVENTO&lt;&gt;"manual",$M679&lt;&gt;1)),
IF(Import.TipoArredondamento&lt;&gt;"TransfereGOV",
ROUND(OFFSET($P679,0,AX$13),15-13*ORÇAMENTO!$AF$7)/$H679*OFFSET(ORÇAMENTO!$X$15,ROW(AX679)-ROW(AX$15),0),
ROUND(ROUND(OFFSET($P679,0,AX$13),15-13*ORÇAMENTO!$AF$7)*OFFSET(ORÇAMENTO!$W$15,ROW(AX679)-ROW(AX$15),0),15-13*ORÇAMENTO!$AF$11)),0)</f>
        <v>0</v>
      </c>
      <c r="AY679" s="545">
        <f ca="1">IF(AND($D679="Serviço",AY$12&lt;&gt;0,$H679&gt;0,OR(AUTOEVENTO&lt;&gt;"manual",$M679&lt;&gt;1)),
IF(Import.TipoArredondamento&lt;&gt;"TransfereGOV",
ROUND(OFFSET($P679,0,AY$13),15-13*ORÇAMENTO!$AF$7)/$H679*OFFSET(ORÇAMENTO!$X$15,ROW(AY679)-ROW(AY$15),0),
ROUND(ROUND(OFFSET($P679,0,AY$13),15-13*ORÇAMENTO!$AF$7)*OFFSET(ORÇAMENTO!$W$15,ROW(AY679)-ROW(AY$15),0),15-13*ORÇAMENTO!$AF$11)),0)</f>
        <v>0</v>
      </c>
      <c r="AZ679" s="545">
        <f ca="1">IF(AND($D679="Serviço",AZ$12&lt;&gt;0,$H679&gt;0,OR(AUTOEVENTO&lt;&gt;"manual",$M679&lt;&gt;1)),
IF(Import.TipoArredondamento&lt;&gt;"TransfereGOV",
ROUND(OFFSET($P679,0,AZ$13),15-13*ORÇAMENTO!$AF$7)/$H679*OFFSET(ORÇAMENTO!$X$15,ROW(AZ679)-ROW(AZ$15),0),
ROUND(ROUND(OFFSET($P679,0,AZ$13),15-13*ORÇAMENTO!$AF$7)*OFFSET(ORÇAMENTO!$W$15,ROW(AZ679)-ROW(AZ$15),0),15-13*ORÇAMENTO!$AF$11)),0)</f>
        <v>0</v>
      </c>
      <c r="BA679" s="546">
        <f ca="1">IF(AND($D679="Serviço",BA$12&lt;&gt;0,$H679&gt;0,OR(AUTOEVENTO&lt;&gt;"manual",$M679&lt;&gt;1)),
IF(Import.TipoArredondamento&lt;&gt;"TransfereGOV",
ROUND(OFFSET($P679,0,BA$13),15-13*ORÇAMENTO!$AF$7)/$H679*OFFSET(ORÇAMENTO!$X$15,ROW(BA679)-ROW(BA$15),0),
ROUND(ROUND(OFFSET($P679,0,BA$13),15-13*ORÇAMENTO!$AF$7)*OFFSET(ORÇAMENTO!$W$15,ROW(BA679)-ROW(BA$15),0),15-13*ORÇAMENTO!$AF$11)),0)</f>
        <v>0</v>
      </c>
      <c r="BC679" s="181">
        <f ca="1">IF($D679&lt;&gt;"Serviço",0,IF(AND(AUTOEVENTO="Manual",$M679=1),0,IF(OFFSET(CRONOPLE!$F$14,$M679,BC$13)="",10^12,OFFSET(CRONOPLE!$F$14,$M679,BC$13))))</f>
        <v>11</v>
      </c>
      <c r="BD679" s="181">
        <f ca="1">IF($D679&lt;&gt;"Serviço",0,IF(AND(AUTOEVENTO="Manual",$M679=1),0,IF(OFFSET(CRONOPLE!$F$14,$M679,BD$13)="",10^12,OFFSET(CRONOPLE!$F$14,$M679,BD$13))))</f>
        <v>1000000000000</v>
      </c>
      <c r="BE679" s="181">
        <f ca="1">IF($D679&lt;&gt;"Serviço",0,IF(AND(AUTOEVENTO="Manual",$M679=1),0,IF(OFFSET(CRONOPLE!$F$14,$M679,BE$13)="",10^12,OFFSET(CRONOPLE!$F$14,$M679,BE$13))))</f>
        <v>1000000000000</v>
      </c>
      <c r="BF679" s="181">
        <f ca="1">IF($D679&lt;&gt;"Serviço",0,IF(AND(AUTOEVENTO="Manual",$M679=1),0,IF(OFFSET(CRONOPLE!$F$14,$M679,BF$13)="",10^12,OFFSET(CRONOPLE!$F$14,$M679,BF$13))))</f>
        <v>1000000000000</v>
      </c>
      <c r="BG679" s="181">
        <f ca="1">IF($D679&lt;&gt;"Serviço",0,IF(AND(AUTOEVENTO="Manual",$M679=1),0,IF(OFFSET(CRONOPLE!$F$14,$M679,BG$13)="",10^12,OFFSET(CRONOPLE!$F$14,$M679,BG$13))))</f>
        <v>1000000000000</v>
      </c>
      <c r="BH679" s="181">
        <f ca="1">IF($D679&lt;&gt;"Serviço",0,IF(AND(AUTOEVENTO="Manual",$M679=1),0,IF(OFFSET(CRONOPLE!$F$14,$M679,BH$13)="",10^12,OFFSET(CRONOPLE!$F$14,$M679,BH$13))))</f>
        <v>1000000000000</v>
      </c>
      <c r="BI679" s="181">
        <f ca="1">IF($D679&lt;&gt;"Serviço",0,IF(AND(AUTOEVENTO="Manual",$M679=1),0,IF(OFFSET(CRONOPLE!$F$14,$M679,BI$13)="",10^12,OFFSET(CRONOPLE!$F$14,$M679,BI$13))))</f>
        <v>1000000000000</v>
      </c>
      <c r="BJ679" s="181">
        <f ca="1">IF($D679&lt;&gt;"Serviço",0,IF(AND(AUTOEVENTO="Manual",$M679=1),0,IF(OFFSET(CRONOPLE!$F$14,$M679,BJ$13)="",10^12,OFFSET(CRONOPLE!$F$14,$M679,BJ$13))))</f>
        <v>1000000000000</v>
      </c>
      <c r="BK679" s="181">
        <f ca="1">IF($D679&lt;&gt;"Serviço",0,IF(AND(AUTOEVENTO="Manual",$M679=1),0,IF(OFFSET(CRONOPLE!$F$14,$M679,BK$13)="",10^12,OFFSET(CRONOPLE!$F$14,$M679,BK$13))))</f>
        <v>1000000000000</v>
      </c>
      <c r="BL679" s="181">
        <f ca="1">IF($D679&lt;&gt;"Serviço",0,IF(AND(AUTOEVENTO="Manual",$M679=1),0,IF(OFFSET(CRONOPLE!$F$14,$M679,BL$13)="",10^12,OFFSET(CRONOPLE!$F$14,$M679,BL$13))))</f>
        <v>1000000000000</v>
      </c>
      <c r="BM679" s="181">
        <f ca="1">IF($D679&lt;&gt;"Serviço",0,IF(AND(AUTOEVENTO="Manual",$M679=1),0,IF(OFFSET(CRONOPLE!$F$14,$M679,BM$13)="",10^12,OFFSET(CRONOPLE!$F$14,$M679,BM$13))))</f>
        <v>1000000000000</v>
      </c>
      <c r="BN679" s="181">
        <f ca="1">IF($D679&lt;&gt;"Serviço",0,IF(AND(AUTOEVENTO="Manual",$M679=1),0,IF(OFFSET(CRONOPLE!$F$14,$M679,BN$13)="",10^12,OFFSET(CRONOPLE!$F$14,$M679,BN$13))))</f>
        <v>1000000000000</v>
      </c>
      <c r="BO679" s="181">
        <f ca="1">IF($D679&lt;&gt;"Serviço",0,IF(AND(AUTOEVENTO="Manual",$M679=1),0,IF(OFFSET(CRONOPLE!$F$14,$M679,BO$13)="",10^12,OFFSET(CRONOPLE!$F$14,$M679,BO$13))))</f>
        <v>1000000000000</v>
      </c>
      <c r="BP679" s="181">
        <f ca="1">IF($D679&lt;&gt;"Serviço",0,IF(AND(AUTOEVENTO="Manual",$M679=1),0,IF(OFFSET(CRONOPLE!$F$14,$M679,BP$13)="",10^12,OFFSET(CRONOPLE!$F$14,$M679,BP$13))))</f>
        <v>1000000000000</v>
      </c>
      <c r="BQ679" s="181">
        <f ca="1">IF($D679&lt;&gt;"Serviço",0,IF(AND(AUTOEVENTO="Manual",$M679=1),0,IF(OFFSET(CRONOPLE!$F$14,$M679,BQ$13)="",10^12,OFFSET(CRONOPLE!$F$14,$M679,BQ$13))))</f>
        <v>1000000000000</v>
      </c>
      <c r="BR679" s="181">
        <f ca="1">IF($D679&lt;&gt;"Serviço",0,IF(AND(AUTOEVENTO="Manual",$M679=1),0,IF(OFFSET(CRONOPLE!$F$14,$M679,BR$13)="",10^12,OFFSET(CRONOPLE!$F$14,$M679,BR$13))))</f>
        <v>1000000000000</v>
      </c>
      <c r="BS679" s="181">
        <f ca="1">IF($D679&lt;&gt;"Serviço",0,IF(AND(AUTOEVENTO="Manual",$M679=1),0,IF(OFFSET(CRONOPLE!$F$14,$M679,BS$13)="",10^12,OFFSET(CRONOPLE!$F$14,$M679,BS$13))))</f>
        <v>1000000000000</v>
      </c>
      <c r="BT679" s="181">
        <f ca="1">IF($D679&lt;&gt;"Serviço",0,IF(AND(AUTOEVENTO="Manual",$M679=1),0,IF(OFFSET(CRONOPLE!$F$14,$M679,BT$13)="",10^12,OFFSET(CRONOPLE!$F$14,$M679,BT$13))))</f>
        <v>1000000000000</v>
      </c>
      <c r="BV679" s="182">
        <f ca="1">IF($D679&lt;&gt;"Serviço",0,IF(OR(AND(AUTOEVENTO="Manual",$M679=1),$M679&gt;(ROW(PLE.lastrow)-ROW(PLE.firstrow))),0,IF(OFFSET(PLE!$G$14,$M679,BV$13)="",10^12,OFFSET(PLE!$G$14,$M679,BV$13))))</f>
        <v>1000000000000</v>
      </c>
      <c r="BW679" s="182">
        <f ca="1">IF($D679&lt;&gt;"Serviço",0,IF(OR(AND(AUTOEVENTO="Manual",$M679=1),$M679&gt;(ROW(PLE.lastrow)-ROW(PLE.firstrow))),0,IF(OFFSET(PLE!$G$14,$M679,BW$13)="",10^12,OFFSET(PLE!$G$14,$M679,BW$13))))</f>
        <v>1000000000000</v>
      </c>
      <c r="BX679" s="182">
        <f ca="1">IF($D679&lt;&gt;"Serviço",0,IF(OR(AND(AUTOEVENTO="Manual",$M679=1),$M679&gt;(ROW(PLE.lastrow)-ROW(PLE.firstrow))),0,IF(OFFSET(PLE!$G$14,$M679,BX$13)="",10^12,OFFSET(PLE!$G$14,$M679,BX$13))))</f>
        <v>1000000000000</v>
      </c>
      <c r="BY679" s="182">
        <f ca="1">IF($D679&lt;&gt;"Serviço",0,IF(OR(AND(AUTOEVENTO="Manual",$M679=1),$M679&gt;(ROW(PLE.lastrow)-ROW(PLE.firstrow))),0,IF(OFFSET(PLE!$G$14,$M679,BY$13)="",10^12,OFFSET(PLE!$G$14,$M679,BY$13))))</f>
        <v>1000000000000</v>
      </c>
      <c r="BZ679" s="182">
        <f ca="1">IF($D679&lt;&gt;"Serviço",0,IF(OR(AND(AUTOEVENTO="Manual",$M679=1),$M679&gt;(ROW(PLE.lastrow)-ROW(PLE.firstrow))),0,IF(OFFSET(PLE!$G$14,$M679,BZ$13)="",10^12,OFFSET(PLE!$G$14,$M679,BZ$13))))</f>
        <v>1000000000000</v>
      </c>
      <c r="CA679" s="182">
        <f ca="1">IF($D679&lt;&gt;"Serviço",0,IF(OR(AND(AUTOEVENTO="Manual",$M679=1),$M679&gt;(ROW(PLE.lastrow)-ROW(PLE.firstrow))),0,IF(OFFSET(PLE!$G$14,$M679,CA$13)="",10^12,OFFSET(PLE!$G$14,$M679,CA$13))))</f>
        <v>1000000000000</v>
      </c>
      <c r="CB679" s="182">
        <f ca="1">IF($D679&lt;&gt;"Serviço",0,IF(OR(AND(AUTOEVENTO="Manual",$M679=1),$M679&gt;(ROW(PLE.lastrow)-ROW(PLE.firstrow))),0,IF(OFFSET(PLE!$G$14,$M679,CB$13)="",10^12,OFFSET(PLE!$G$14,$M679,CB$13))))</f>
        <v>1000000000000</v>
      </c>
      <c r="CC679" s="182">
        <f ca="1">IF($D679&lt;&gt;"Serviço",0,IF(OR(AND(AUTOEVENTO="Manual",$M679=1),$M679&gt;(ROW(PLE.lastrow)-ROW(PLE.firstrow))),0,IF(OFFSET(PLE!$G$14,$M679,CC$13)="",10^12,OFFSET(PLE!$G$14,$M679,CC$13))))</f>
        <v>1000000000000</v>
      </c>
      <c r="CD679" s="182">
        <f ca="1">IF($D679&lt;&gt;"Serviço",0,IF(OR(AND(AUTOEVENTO="Manual",$M679=1),$M679&gt;(ROW(PLE.lastrow)-ROW(PLE.firstrow))),0,IF(OFFSET(PLE!$G$14,$M679,CD$13)="",10^12,OFFSET(PLE!$G$14,$M679,CD$13))))</f>
        <v>1000000000000</v>
      </c>
      <c r="CE679" s="182">
        <f ca="1">IF($D679&lt;&gt;"Serviço",0,IF(OR(AND(AUTOEVENTO="Manual",$M679=1),$M679&gt;(ROW(PLE.lastrow)-ROW(PLE.firstrow))),0,IF(OFFSET(PLE!$G$14,$M679,CE$13)="",10^12,OFFSET(PLE!$G$14,$M679,CE$13))))</f>
        <v>1000000000000</v>
      </c>
      <c r="CF679" s="182">
        <f ca="1">IF($D679&lt;&gt;"Serviço",0,IF(OR(AND(AUTOEVENTO="Manual",$M679=1),$M679&gt;(ROW(PLE.lastrow)-ROW(PLE.firstrow))),0,IF(OFFSET(PLE!$G$14,$M679,CF$13)="",10^12,OFFSET(PLE!$G$14,$M679,CF$13))))</f>
        <v>1000000000000</v>
      </c>
      <c r="CG679" s="182">
        <f ca="1">IF($D679&lt;&gt;"Serviço",0,IF(OR(AND(AUTOEVENTO="Manual",$M679=1),$M679&gt;(ROW(PLE.lastrow)-ROW(PLE.firstrow))),0,IF(OFFSET(PLE!$G$14,$M679,CG$13)="",10^12,OFFSET(PLE!$G$14,$M679,CG$13))))</f>
        <v>1000000000000</v>
      </c>
      <c r="CH679" s="182">
        <f ca="1">IF($D679&lt;&gt;"Serviço",0,IF(OR(AND(AUTOEVENTO="Manual",$M679=1),$M679&gt;(ROW(PLE.lastrow)-ROW(PLE.firstrow))),0,IF(OFFSET(PLE!$G$14,$M679,CH$13)="",10^12,OFFSET(PLE!$G$14,$M679,CH$13))))</f>
        <v>1000000000000</v>
      </c>
      <c r="CI679" s="182">
        <f ca="1">IF($D679&lt;&gt;"Serviço",0,IF(OR(AND(AUTOEVENTO="Manual",$M679=1),$M679&gt;(ROW(PLE.lastrow)-ROW(PLE.firstrow))),0,IF(OFFSET(PLE!$G$14,$M679,CI$13)="",10^12,OFFSET(PLE!$G$14,$M679,CI$13))))</f>
        <v>1000000000000</v>
      </c>
      <c r="CJ679" s="182">
        <f ca="1">IF($D679&lt;&gt;"Serviço",0,IF(OR(AND(AUTOEVENTO="Manual",$M679=1),$M679&gt;(ROW(PLE.lastrow)-ROW(PLE.firstrow))),0,IF(OFFSET(PLE!$G$14,$M679,CJ$13)="",10^12,OFFSET(PLE!$G$14,$M679,CJ$13))))</f>
        <v>1000000000000</v>
      </c>
      <c r="CK679" s="182">
        <f ca="1">IF($D679&lt;&gt;"Serviço",0,IF(OR(AND(AUTOEVENTO="Manual",$M679=1),$M679&gt;(ROW(PLE.lastrow)-ROW(PLE.firstrow))),0,IF(OFFSET(PLE!$G$14,$M679,CK$13)="",10^12,OFFSET(PLE!$G$14,$M679,CK$13))))</f>
        <v>1000000000000</v>
      </c>
      <c r="CL679" s="182">
        <f ca="1">IF($D679&lt;&gt;"Serviço",0,IF(OR(AND(AUTOEVENTO="Manual",$M679=1),$M679&gt;(ROW(PLE.lastrow)-ROW(PLE.firstrow))),0,IF(OFFSET(PLE!$G$14,$M679,CL$13)="",10^12,OFFSET(PLE!$G$14,$M679,CL$13))))</f>
        <v>1000000000000</v>
      </c>
      <c r="CM679" s="182">
        <f ca="1">IF($D679&lt;&gt;"Serviço",0,IF(OR(AND(AUTOEVENTO="Manual",$M679=1),$M679&gt;(ROW(PLE.lastrow)-ROW(PLE.firstrow))),0,IF(OFFSET(PLE!$G$14,$M679,CM$13)="",10^12,OFFSET(PLE!$G$14,$M679,CM$13))))</f>
        <v>1000000000000</v>
      </c>
    </row>
    <row r="680" spans="1:91" ht="25.5" x14ac:dyDescent="0.2">
      <c r="A680" s="7" t="str">
        <f t="shared" ca="1" si="19"/>
        <v>653</v>
      </c>
      <c r="B680" s="7" t="str">
        <f ca="1">OFFSET(ORÇAMENTO!C$15,ROW(B680)-ROW(B$15),0)</f>
        <v>S</v>
      </c>
      <c r="C680" s="7" t="str">
        <f ca="1">OFFSET(ORÇAMENTO!L$15,ROW(C680)-ROW(C$15),0)</f>
        <v/>
      </c>
      <c r="D680" s="118" t="str">
        <f ca="1">OFFSET(ORÇAMENTO!N$15,ROW(D680)-ROW(D$15),0)</f>
        <v>Serviço</v>
      </c>
      <c r="E680" s="119" t="str">
        <f ca="1">OFFSET(ORÇAMENTO!O$15,ROW(E680)-ROW(E$15),0)</f>
        <v>-</v>
      </c>
      <c r="F680" s="172" t="str">
        <f ca="1">OFFSET(ORÇAMENTO!R$15,ROW(F680)-ROW(F$15),0)</f>
        <v>(abra o arquivo 'Referência 06-2024.xlsm)</v>
      </c>
      <c r="G680" s="173" t="str">
        <f ca="1">IF($D680&lt;&gt;"Serviço","",OFFSET(ORÇAMENTO!S$15,ROW(G680)-ROW(G$15),0))</f>
        <v>-</v>
      </c>
      <c r="H680" s="124">
        <f ca="1">IF($D680&lt;&gt;"Serviço",0,IF(ACOMPANHAMENTO="BM",ROUND(OFFSET(ORÇAMENTO!AJ$15,ROW(H680)-ROW(H$15),0),15-13*ORÇAMENTO!$AF$7),SUMPRODUCT(($Q$12:$AI$12&lt;&gt;"")*ROUND($Q680:$AI680,15-13*ORÇAMENTO!$AF$7))))</f>
        <v>1</v>
      </c>
      <c r="I680" s="561" t="s">
        <v>1107</v>
      </c>
      <c r="K680" s="174"/>
      <c r="L680" s="175" t="s">
        <v>255</v>
      </c>
      <c r="M680" s="176">
        <f ca="1">IF($D680&lt;&gt;"Serviço","",IF(AUTOEVENTO="manual",$A680,IF(ISERROR(MATCH($A680,$A$15:OFFSET($A680,-1,0),0)),MAX($M$15:OFFSET(M680,-1,0))+1,INDEX($M$15:OFFSET(M680,-1,0),MATCH($A680,$A$15:OFFSET($A680,-1,0),0)))))</f>
        <v>73</v>
      </c>
      <c r="N680" s="177" t="str">
        <f ca="1">IF($D680&lt;&gt;"Serviço","",IF(AUTOEVENTO="Manual",IF($A680=0,"&lt;-- defina o número do agrupador",OFFSET(EVENTOS!$D$14,$A680,0)),OFFSET($F$15,$A680,0)))</f>
        <v>SERVIÇOS COMPLEMENTARES</v>
      </c>
      <c r="O680" s="178"/>
      <c r="Q680" s="178">
        <v>1</v>
      </c>
      <c r="R680" s="179"/>
      <c r="S680" s="179"/>
      <c r="T680" s="179"/>
      <c r="U680" s="179"/>
      <c r="V680" s="179"/>
      <c r="W680" s="179"/>
      <c r="X680" s="179"/>
      <c r="Y680" s="179"/>
      <c r="Z680" s="180"/>
      <c r="AA680" s="179"/>
      <c r="AB680" s="179"/>
      <c r="AC680" s="179"/>
      <c r="AD680" s="179"/>
      <c r="AE680" s="179"/>
      <c r="AF680" s="179"/>
      <c r="AG680" s="179"/>
      <c r="AH680" s="180"/>
      <c r="AJ680" s="544">
        <f ca="1">IF(AND($D680="Serviço",AJ$12&lt;&gt;0,$H680&gt;0,OR(AUTOEVENTO&lt;&gt;"manual",$M680&lt;&gt;1)),
IF(Import.TipoArredondamento&lt;&gt;"TransfereGOV",
ROUND(OFFSET($P680,0,AJ$13),15-13*ORÇAMENTO!$AF$7)/$H680*OFFSET(ORÇAMENTO!$X$15,ROW(AJ680)-ROW(AJ$15),0),
ROUND(ROUND(OFFSET($P680,0,AJ$13),15-13*ORÇAMENTO!$AF$7)*OFFSET(ORÇAMENTO!$W$15,ROW(AJ680)-ROW(AJ$15),0),15-13*ORÇAMENTO!$AF$11)),0)</f>
        <v>0</v>
      </c>
      <c r="AK680" s="545">
        <f ca="1">IF(AND($D680="Serviço",AK$12&lt;&gt;0,$H680&gt;0,OR(AUTOEVENTO&lt;&gt;"manual",$M680&lt;&gt;1)),
IF(Import.TipoArredondamento&lt;&gt;"TransfereGOV",
ROUND(OFFSET($P680,0,AK$13),15-13*ORÇAMENTO!$AF$7)/$H680*OFFSET(ORÇAMENTO!$X$15,ROW(AK680)-ROW(AK$15),0),
ROUND(ROUND(OFFSET($P680,0,AK$13),15-13*ORÇAMENTO!$AF$7)*OFFSET(ORÇAMENTO!$W$15,ROW(AK680)-ROW(AK$15),0),15-13*ORÇAMENTO!$AF$11)),0)</f>
        <v>0</v>
      </c>
      <c r="AL680" s="545">
        <f ca="1">IF(AND($D680="Serviço",AL$12&lt;&gt;0,$H680&gt;0,OR(AUTOEVENTO&lt;&gt;"manual",$M680&lt;&gt;1)),
IF(Import.TipoArredondamento&lt;&gt;"TransfereGOV",
ROUND(OFFSET($P680,0,AL$13),15-13*ORÇAMENTO!$AF$7)/$H680*OFFSET(ORÇAMENTO!$X$15,ROW(AL680)-ROW(AL$15),0),
ROUND(ROUND(OFFSET($P680,0,AL$13),15-13*ORÇAMENTO!$AF$7)*OFFSET(ORÇAMENTO!$W$15,ROW(AL680)-ROW(AL$15),0),15-13*ORÇAMENTO!$AF$11)),0)</f>
        <v>0</v>
      </c>
      <c r="AM680" s="545">
        <f ca="1">IF(AND($D680="Serviço",AM$12&lt;&gt;0,$H680&gt;0,OR(AUTOEVENTO&lt;&gt;"manual",$M680&lt;&gt;1)),
IF(Import.TipoArredondamento&lt;&gt;"TransfereGOV",
ROUND(OFFSET($P680,0,AM$13),15-13*ORÇAMENTO!$AF$7)/$H680*OFFSET(ORÇAMENTO!$X$15,ROW(AM680)-ROW(AM$15),0),
ROUND(ROUND(OFFSET($P680,0,AM$13),15-13*ORÇAMENTO!$AF$7)*OFFSET(ORÇAMENTO!$W$15,ROW(AM680)-ROW(AM$15),0),15-13*ORÇAMENTO!$AF$11)),0)</f>
        <v>0</v>
      </c>
      <c r="AN680" s="545">
        <f ca="1">IF(AND($D680="Serviço",AN$12&lt;&gt;0,$H680&gt;0,OR(AUTOEVENTO&lt;&gt;"manual",$M680&lt;&gt;1)),
IF(Import.TipoArredondamento&lt;&gt;"TransfereGOV",
ROUND(OFFSET($P680,0,AN$13),15-13*ORÇAMENTO!$AF$7)/$H680*OFFSET(ORÇAMENTO!$X$15,ROW(AN680)-ROW(AN$15),0),
ROUND(ROUND(OFFSET($P680,0,AN$13),15-13*ORÇAMENTO!$AF$7)*OFFSET(ORÇAMENTO!$W$15,ROW(AN680)-ROW(AN$15),0),15-13*ORÇAMENTO!$AF$11)),0)</f>
        <v>0</v>
      </c>
      <c r="AO680" s="545">
        <f ca="1">IF(AND($D680="Serviço",AO$12&lt;&gt;0,$H680&gt;0,OR(AUTOEVENTO&lt;&gt;"manual",$M680&lt;&gt;1)),
IF(Import.TipoArredondamento&lt;&gt;"TransfereGOV",
ROUND(OFFSET($P680,0,AO$13),15-13*ORÇAMENTO!$AF$7)/$H680*OFFSET(ORÇAMENTO!$X$15,ROW(AO680)-ROW(AO$15),0),
ROUND(ROUND(OFFSET($P680,0,AO$13),15-13*ORÇAMENTO!$AF$7)*OFFSET(ORÇAMENTO!$W$15,ROW(AO680)-ROW(AO$15),0),15-13*ORÇAMENTO!$AF$11)),0)</f>
        <v>0</v>
      </c>
      <c r="AP680" s="545">
        <f ca="1">IF(AND($D680="Serviço",AP$12&lt;&gt;0,$H680&gt;0,OR(AUTOEVENTO&lt;&gt;"manual",$M680&lt;&gt;1)),
IF(Import.TipoArredondamento&lt;&gt;"TransfereGOV",
ROUND(OFFSET($P680,0,AP$13),15-13*ORÇAMENTO!$AF$7)/$H680*OFFSET(ORÇAMENTO!$X$15,ROW(AP680)-ROW(AP$15),0),
ROUND(ROUND(OFFSET($P680,0,AP$13),15-13*ORÇAMENTO!$AF$7)*OFFSET(ORÇAMENTO!$W$15,ROW(AP680)-ROW(AP$15),0),15-13*ORÇAMENTO!$AF$11)),0)</f>
        <v>0</v>
      </c>
      <c r="AQ680" s="545">
        <f ca="1">IF(AND($D680="Serviço",AQ$12&lt;&gt;0,$H680&gt;0,OR(AUTOEVENTO&lt;&gt;"manual",$M680&lt;&gt;1)),
IF(Import.TipoArredondamento&lt;&gt;"TransfereGOV",
ROUND(OFFSET($P680,0,AQ$13),15-13*ORÇAMENTO!$AF$7)/$H680*OFFSET(ORÇAMENTO!$X$15,ROW(AQ680)-ROW(AQ$15),0),
ROUND(ROUND(OFFSET($P680,0,AQ$13),15-13*ORÇAMENTO!$AF$7)*OFFSET(ORÇAMENTO!$W$15,ROW(AQ680)-ROW(AQ$15),0),15-13*ORÇAMENTO!$AF$11)),0)</f>
        <v>0</v>
      </c>
      <c r="AR680" s="545">
        <f ca="1">IF(AND($D680="Serviço",AR$12&lt;&gt;0,$H680&gt;0,OR(AUTOEVENTO&lt;&gt;"manual",$M680&lt;&gt;1)),
IF(Import.TipoArredondamento&lt;&gt;"TransfereGOV",
ROUND(OFFSET($P680,0,AR$13),15-13*ORÇAMENTO!$AF$7)/$H680*OFFSET(ORÇAMENTO!$X$15,ROW(AR680)-ROW(AR$15),0),
ROUND(ROUND(OFFSET($P680,0,AR$13),15-13*ORÇAMENTO!$AF$7)*OFFSET(ORÇAMENTO!$W$15,ROW(AR680)-ROW(AR$15),0),15-13*ORÇAMENTO!$AF$11)),0)</f>
        <v>0</v>
      </c>
      <c r="AS680" s="546">
        <f ca="1">IF(AND($D680="Serviço",AS$12&lt;&gt;0,$H680&gt;0,OR(AUTOEVENTO&lt;&gt;"manual",$M680&lt;&gt;1)),
IF(Import.TipoArredondamento&lt;&gt;"TransfereGOV",
ROUND(OFFSET($P680,0,AS$13),15-13*ORÇAMENTO!$AF$7)/$H680*OFFSET(ORÇAMENTO!$X$15,ROW(AS680)-ROW(AS$15),0),
ROUND(ROUND(OFFSET($P680,0,AS$13),15-13*ORÇAMENTO!$AF$7)*OFFSET(ORÇAMENTO!$W$15,ROW(AS680)-ROW(AS$15),0),15-13*ORÇAMENTO!$AF$11)),0)</f>
        <v>0</v>
      </c>
      <c r="AT680" s="545">
        <f ca="1">IF(AND($D680="Serviço",AT$12&lt;&gt;0,$H680&gt;0,OR(AUTOEVENTO&lt;&gt;"manual",$M680&lt;&gt;1)),
IF(Import.TipoArredondamento&lt;&gt;"TransfereGOV",
ROUND(OFFSET($P680,0,AT$13),15-13*ORÇAMENTO!$AF$7)/$H680*OFFSET(ORÇAMENTO!$X$15,ROW(AT680)-ROW(AT$15),0),
ROUND(ROUND(OFFSET($P680,0,AT$13),15-13*ORÇAMENTO!$AF$7)*OFFSET(ORÇAMENTO!$W$15,ROW(AT680)-ROW(AT$15),0),15-13*ORÇAMENTO!$AF$11)),0)</f>
        <v>0</v>
      </c>
      <c r="AU680" s="545">
        <f ca="1">IF(AND($D680="Serviço",AU$12&lt;&gt;0,$H680&gt;0,OR(AUTOEVENTO&lt;&gt;"manual",$M680&lt;&gt;1)),
IF(Import.TipoArredondamento&lt;&gt;"TransfereGOV",
ROUND(OFFSET($P680,0,AU$13),15-13*ORÇAMENTO!$AF$7)/$H680*OFFSET(ORÇAMENTO!$X$15,ROW(AU680)-ROW(AU$15),0),
ROUND(ROUND(OFFSET($P680,0,AU$13),15-13*ORÇAMENTO!$AF$7)*OFFSET(ORÇAMENTO!$W$15,ROW(AU680)-ROW(AU$15),0),15-13*ORÇAMENTO!$AF$11)),0)</f>
        <v>0</v>
      </c>
      <c r="AV680" s="545">
        <f ca="1">IF(AND($D680="Serviço",AV$12&lt;&gt;0,$H680&gt;0,OR(AUTOEVENTO&lt;&gt;"manual",$M680&lt;&gt;1)),
IF(Import.TipoArredondamento&lt;&gt;"TransfereGOV",
ROUND(OFFSET($P680,0,AV$13),15-13*ORÇAMENTO!$AF$7)/$H680*OFFSET(ORÇAMENTO!$X$15,ROW(AV680)-ROW(AV$15),0),
ROUND(ROUND(OFFSET($P680,0,AV$13),15-13*ORÇAMENTO!$AF$7)*OFFSET(ORÇAMENTO!$W$15,ROW(AV680)-ROW(AV$15),0),15-13*ORÇAMENTO!$AF$11)),0)</f>
        <v>0</v>
      </c>
      <c r="AW680" s="545">
        <f ca="1">IF(AND($D680="Serviço",AW$12&lt;&gt;0,$H680&gt;0,OR(AUTOEVENTO&lt;&gt;"manual",$M680&lt;&gt;1)),
IF(Import.TipoArredondamento&lt;&gt;"TransfereGOV",
ROUND(OFFSET($P680,0,AW$13),15-13*ORÇAMENTO!$AF$7)/$H680*OFFSET(ORÇAMENTO!$X$15,ROW(AW680)-ROW(AW$15),0),
ROUND(ROUND(OFFSET($P680,0,AW$13),15-13*ORÇAMENTO!$AF$7)*OFFSET(ORÇAMENTO!$W$15,ROW(AW680)-ROW(AW$15),0),15-13*ORÇAMENTO!$AF$11)),0)</f>
        <v>0</v>
      </c>
      <c r="AX680" s="545">
        <f ca="1">IF(AND($D680="Serviço",AX$12&lt;&gt;0,$H680&gt;0,OR(AUTOEVENTO&lt;&gt;"manual",$M680&lt;&gt;1)),
IF(Import.TipoArredondamento&lt;&gt;"TransfereGOV",
ROUND(OFFSET($P680,0,AX$13),15-13*ORÇAMENTO!$AF$7)/$H680*OFFSET(ORÇAMENTO!$X$15,ROW(AX680)-ROW(AX$15),0),
ROUND(ROUND(OFFSET($P680,0,AX$13),15-13*ORÇAMENTO!$AF$7)*OFFSET(ORÇAMENTO!$W$15,ROW(AX680)-ROW(AX$15),0),15-13*ORÇAMENTO!$AF$11)),0)</f>
        <v>0</v>
      </c>
      <c r="AY680" s="545">
        <f ca="1">IF(AND($D680="Serviço",AY$12&lt;&gt;0,$H680&gt;0,OR(AUTOEVENTO&lt;&gt;"manual",$M680&lt;&gt;1)),
IF(Import.TipoArredondamento&lt;&gt;"TransfereGOV",
ROUND(OFFSET($P680,0,AY$13),15-13*ORÇAMENTO!$AF$7)/$H680*OFFSET(ORÇAMENTO!$X$15,ROW(AY680)-ROW(AY$15),0),
ROUND(ROUND(OFFSET($P680,0,AY$13),15-13*ORÇAMENTO!$AF$7)*OFFSET(ORÇAMENTO!$W$15,ROW(AY680)-ROW(AY$15),0),15-13*ORÇAMENTO!$AF$11)),0)</f>
        <v>0</v>
      </c>
      <c r="AZ680" s="545">
        <f ca="1">IF(AND($D680="Serviço",AZ$12&lt;&gt;0,$H680&gt;0,OR(AUTOEVENTO&lt;&gt;"manual",$M680&lt;&gt;1)),
IF(Import.TipoArredondamento&lt;&gt;"TransfereGOV",
ROUND(OFFSET($P680,0,AZ$13),15-13*ORÇAMENTO!$AF$7)/$H680*OFFSET(ORÇAMENTO!$X$15,ROW(AZ680)-ROW(AZ$15),0),
ROUND(ROUND(OFFSET($P680,0,AZ$13),15-13*ORÇAMENTO!$AF$7)*OFFSET(ORÇAMENTO!$W$15,ROW(AZ680)-ROW(AZ$15),0),15-13*ORÇAMENTO!$AF$11)),0)</f>
        <v>0</v>
      </c>
      <c r="BA680" s="546">
        <f ca="1">IF(AND($D680="Serviço",BA$12&lt;&gt;0,$H680&gt;0,OR(AUTOEVENTO&lt;&gt;"manual",$M680&lt;&gt;1)),
IF(Import.TipoArredondamento&lt;&gt;"TransfereGOV",
ROUND(OFFSET($P680,0,BA$13),15-13*ORÇAMENTO!$AF$7)/$H680*OFFSET(ORÇAMENTO!$X$15,ROW(BA680)-ROW(BA$15),0),
ROUND(ROUND(OFFSET($P680,0,BA$13),15-13*ORÇAMENTO!$AF$7)*OFFSET(ORÇAMENTO!$W$15,ROW(BA680)-ROW(BA$15),0),15-13*ORÇAMENTO!$AF$11)),0)</f>
        <v>0</v>
      </c>
      <c r="BC680" s="181">
        <f ca="1">IF($D680&lt;&gt;"Serviço",0,IF(AND(AUTOEVENTO="Manual",$M680=1),0,IF(OFFSET(CRONOPLE!$F$14,$M680,BC$13)="",10^12,OFFSET(CRONOPLE!$F$14,$M680,BC$13))))</f>
        <v>11</v>
      </c>
      <c r="BD680" s="181">
        <f ca="1">IF($D680&lt;&gt;"Serviço",0,IF(AND(AUTOEVENTO="Manual",$M680=1),0,IF(OFFSET(CRONOPLE!$F$14,$M680,BD$13)="",10^12,OFFSET(CRONOPLE!$F$14,$M680,BD$13))))</f>
        <v>1000000000000</v>
      </c>
      <c r="BE680" s="181">
        <f ca="1">IF($D680&lt;&gt;"Serviço",0,IF(AND(AUTOEVENTO="Manual",$M680=1),0,IF(OFFSET(CRONOPLE!$F$14,$M680,BE$13)="",10^12,OFFSET(CRONOPLE!$F$14,$M680,BE$13))))</f>
        <v>1000000000000</v>
      </c>
      <c r="BF680" s="181">
        <f ca="1">IF($D680&lt;&gt;"Serviço",0,IF(AND(AUTOEVENTO="Manual",$M680=1),0,IF(OFFSET(CRONOPLE!$F$14,$M680,BF$13)="",10^12,OFFSET(CRONOPLE!$F$14,$M680,BF$13))))</f>
        <v>1000000000000</v>
      </c>
      <c r="BG680" s="181">
        <f ca="1">IF($D680&lt;&gt;"Serviço",0,IF(AND(AUTOEVENTO="Manual",$M680=1),0,IF(OFFSET(CRONOPLE!$F$14,$M680,BG$13)="",10^12,OFFSET(CRONOPLE!$F$14,$M680,BG$13))))</f>
        <v>1000000000000</v>
      </c>
      <c r="BH680" s="181">
        <f ca="1">IF($D680&lt;&gt;"Serviço",0,IF(AND(AUTOEVENTO="Manual",$M680=1),0,IF(OFFSET(CRONOPLE!$F$14,$M680,BH$13)="",10^12,OFFSET(CRONOPLE!$F$14,$M680,BH$13))))</f>
        <v>1000000000000</v>
      </c>
      <c r="BI680" s="181">
        <f ca="1">IF($D680&lt;&gt;"Serviço",0,IF(AND(AUTOEVENTO="Manual",$M680=1),0,IF(OFFSET(CRONOPLE!$F$14,$M680,BI$13)="",10^12,OFFSET(CRONOPLE!$F$14,$M680,BI$13))))</f>
        <v>1000000000000</v>
      </c>
      <c r="BJ680" s="181">
        <f ca="1">IF($D680&lt;&gt;"Serviço",0,IF(AND(AUTOEVENTO="Manual",$M680=1),0,IF(OFFSET(CRONOPLE!$F$14,$M680,BJ$13)="",10^12,OFFSET(CRONOPLE!$F$14,$M680,BJ$13))))</f>
        <v>1000000000000</v>
      </c>
      <c r="BK680" s="181">
        <f ca="1">IF($D680&lt;&gt;"Serviço",0,IF(AND(AUTOEVENTO="Manual",$M680=1),0,IF(OFFSET(CRONOPLE!$F$14,$M680,BK$13)="",10^12,OFFSET(CRONOPLE!$F$14,$M680,BK$13))))</f>
        <v>1000000000000</v>
      </c>
      <c r="BL680" s="181">
        <f ca="1">IF($D680&lt;&gt;"Serviço",0,IF(AND(AUTOEVENTO="Manual",$M680=1),0,IF(OFFSET(CRONOPLE!$F$14,$M680,BL$13)="",10^12,OFFSET(CRONOPLE!$F$14,$M680,BL$13))))</f>
        <v>1000000000000</v>
      </c>
      <c r="BM680" s="181">
        <f ca="1">IF($D680&lt;&gt;"Serviço",0,IF(AND(AUTOEVENTO="Manual",$M680=1),0,IF(OFFSET(CRONOPLE!$F$14,$M680,BM$13)="",10^12,OFFSET(CRONOPLE!$F$14,$M680,BM$13))))</f>
        <v>1000000000000</v>
      </c>
      <c r="BN680" s="181">
        <f ca="1">IF($D680&lt;&gt;"Serviço",0,IF(AND(AUTOEVENTO="Manual",$M680=1),0,IF(OFFSET(CRONOPLE!$F$14,$M680,BN$13)="",10^12,OFFSET(CRONOPLE!$F$14,$M680,BN$13))))</f>
        <v>1000000000000</v>
      </c>
      <c r="BO680" s="181">
        <f ca="1">IF($D680&lt;&gt;"Serviço",0,IF(AND(AUTOEVENTO="Manual",$M680=1),0,IF(OFFSET(CRONOPLE!$F$14,$M680,BO$13)="",10^12,OFFSET(CRONOPLE!$F$14,$M680,BO$13))))</f>
        <v>1000000000000</v>
      </c>
      <c r="BP680" s="181">
        <f ca="1">IF($D680&lt;&gt;"Serviço",0,IF(AND(AUTOEVENTO="Manual",$M680=1),0,IF(OFFSET(CRONOPLE!$F$14,$M680,BP$13)="",10^12,OFFSET(CRONOPLE!$F$14,$M680,BP$13))))</f>
        <v>1000000000000</v>
      </c>
      <c r="BQ680" s="181">
        <f ca="1">IF($D680&lt;&gt;"Serviço",0,IF(AND(AUTOEVENTO="Manual",$M680=1),0,IF(OFFSET(CRONOPLE!$F$14,$M680,BQ$13)="",10^12,OFFSET(CRONOPLE!$F$14,$M680,BQ$13))))</f>
        <v>1000000000000</v>
      </c>
      <c r="BR680" s="181">
        <f ca="1">IF($D680&lt;&gt;"Serviço",0,IF(AND(AUTOEVENTO="Manual",$M680=1),0,IF(OFFSET(CRONOPLE!$F$14,$M680,BR$13)="",10^12,OFFSET(CRONOPLE!$F$14,$M680,BR$13))))</f>
        <v>1000000000000</v>
      </c>
      <c r="BS680" s="181">
        <f ca="1">IF($D680&lt;&gt;"Serviço",0,IF(AND(AUTOEVENTO="Manual",$M680=1),0,IF(OFFSET(CRONOPLE!$F$14,$M680,BS$13)="",10^12,OFFSET(CRONOPLE!$F$14,$M680,BS$13))))</f>
        <v>1000000000000</v>
      </c>
      <c r="BT680" s="181">
        <f ca="1">IF($D680&lt;&gt;"Serviço",0,IF(AND(AUTOEVENTO="Manual",$M680=1),0,IF(OFFSET(CRONOPLE!$F$14,$M680,BT$13)="",10^12,OFFSET(CRONOPLE!$F$14,$M680,BT$13))))</f>
        <v>1000000000000</v>
      </c>
      <c r="BV680" s="182">
        <f ca="1">IF($D680&lt;&gt;"Serviço",0,IF(OR(AND(AUTOEVENTO="Manual",$M680=1),$M680&gt;(ROW(PLE.lastrow)-ROW(PLE.firstrow))),0,IF(OFFSET(PLE!$G$14,$M680,BV$13)="",10^12,OFFSET(PLE!$G$14,$M680,BV$13))))</f>
        <v>1000000000000</v>
      </c>
      <c r="BW680" s="182">
        <f ca="1">IF($D680&lt;&gt;"Serviço",0,IF(OR(AND(AUTOEVENTO="Manual",$M680=1),$M680&gt;(ROW(PLE.lastrow)-ROW(PLE.firstrow))),0,IF(OFFSET(PLE!$G$14,$M680,BW$13)="",10^12,OFFSET(PLE!$G$14,$M680,BW$13))))</f>
        <v>1000000000000</v>
      </c>
      <c r="BX680" s="182">
        <f ca="1">IF($D680&lt;&gt;"Serviço",0,IF(OR(AND(AUTOEVENTO="Manual",$M680=1),$M680&gt;(ROW(PLE.lastrow)-ROW(PLE.firstrow))),0,IF(OFFSET(PLE!$G$14,$M680,BX$13)="",10^12,OFFSET(PLE!$G$14,$M680,BX$13))))</f>
        <v>1000000000000</v>
      </c>
      <c r="BY680" s="182">
        <f ca="1">IF($D680&lt;&gt;"Serviço",0,IF(OR(AND(AUTOEVENTO="Manual",$M680=1),$M680&gt;(ROW(PLE.lastrow)-ROW(PLE.firstrow))),0,IF(OFFSET(PLE!$G$14,$M680,BY$13)="",10^12,OFFSET(PLE!$G$14,$M680,BY$13))))</f>
        <v>1000000000000</v>
      </c>
      <c r="BZ680" s="182">
        <f ca="1">IF($D680&lt;&gt;"Serviço",0,IF(OR(AND(AUTOEVENTO="Manual",$M680=1),$M680&gt;(ROW(PLE.lastrow)-ROW(PLE.firstrow))),0,IF(OFFSET(PLE!$G$14,$M680,BZ$13)="",10^12,OFFSET(PLE!$G$14,$M680,BZ$13))))</f>
        <v>1000000000000</v>
      </c>
      <c r="CA680" s="182">
        <f ca="1">IF($D680&lt;&gt;"Serviço",0,IF(OR(AND(AUTOEVENTO="Manual",$M680=1),$M680&gt;(ROW(PLE.lastrow)-ROW(PLE.firstrow))),0,IF(OFFSET(PLE!$G$14,$M680,CA$13)="",10^12,OFFSET(PLE!$G$14,$M680,CA$13))))</f>
        <v>1000000000000</v>
      </c>
      <c r="CB680" s="182">
        <f ca="1">IF($D680&lt;&gt;"Serviço",0,IF(OR(AND(AUTOEVENTO="Manual",$M680=1),$M680&gt;(ROW(PLE.lastrow)-ROW(PLE.firstrow))),0,IF(OFFSET(PLE!$G$14,$M680,CB$13)="",10^12,OFFSET(PLE!$G$14,$M680,CB$13))))</f>
        <v>1000000000000</v>
      </c>
      <c r="CC680" s="182">
        <f ca="1">IF($D680&lt;&gt;"Serviço",0,IF(OR(AND(AUTOEVENTO="Manual",$M680=1),$M680&gt;(ROW(PLE.lastrow)-ROW(PLE.firstrow))),0,IF(OFFSET(PLE!$G$14,$M680,CC$13)="",10^12,OFFSET(PLE!$G$14,$M680,CC$13))))</f>
        <v>1000000000000</v>
      </c>
      <c r="CD680" s="182">
        <f ca="1">IF($D680&lt;&gt;"Serviço",0,IF(OR(AND(AUTOEVENTO="Manual",$M680=1),$M680&gt;(ROW(PLE.lastrow)-ROW(PLE.firstrow))),0,IF(OFFSET(PLE!$G$14,$M680,CD$13)="",10^12,OFFSET(PLE!$G$14,$M680,CD$13))))</f>
        <v>1000000000000</v>
      </c>
      <c r="CE680" s="182">
        <f ca="1">IF($D680&lt;&gt;"Serviço",0,IF(OR(AND(AUTOEVENTO="Manual",$M680=1),$M680&gt;(ROW(PLE.lastrow)-ROW(PLE.firstrow))),0,IF(OFFSET(PLE!$G$14,$M680,CE$13)="",10^12,OFFSET(PLE!$G$14,$M680,CE$13))))</f>
        <v>1000000000000</v>
      </c>
      <c r="CF680" s="182">
        <f ca="1">IF($D680&lt;&gt;"Serviço",0,IF(OR(AND(AUTOEVENTO="Manual",$M680=1),$M680&gt;(ROW(PLE.lastrow)-ROW(PLE.firstrow))),0,IF(OFFSET(PLE!$G$14,$M680,CF$13)="",10^12,OFFSET(PLE!$G$14,$M680,CF$13))))</f>
        <v>1000000000000</v>
      </c>
      <c r="CG680" s="182">
        <f ca="1">IF($D680&lt;&gt;"Serviço",0,IF(OR(AND(AUTOEVENTO="Manual",$M680=1),$M680&gt;(ROW(PLE.lastrow)-ROW(PLE.firstrow))),0,IF(OFFSET(PLE!$G$14,$M680,CG$13)="",10^12,OFFSET(PLE!$G$14,$M680,CG$13))))</f>
        <v>1000000000000</v>
      </c>
      <c r="CH680" s="182">
        <f ca="1">IF($D680&lt;&gt;"Serviço",0,IF(OR(AND(AUTOEVENTO="Manual",$M680=1),$M680&gt;(ROW(PLE.lastrow)-ROW(PLE.firstrow))),0,IF(OFFSET(PLE!$G$14,$M680,CH$13)="",10^12,OFFSET(PLE!$G$14,$M680,CH$13))))</f>
        <v>1000000000000</v>
      </c>
      <c r="CI680" s="182">
        <f ca="1">IF($D680&lt;&gt;"Serviço",0,IF(OR(AND(AUTOEVENTO="Manual",$M680=1),$M680&gt;(ROW(PLE.lastrow)-ROW(PLE.firstrow))),0,IF(OFFSET(PLE!$G$14,$M680,CI$13)="",10^12,OFFSET(PLE!$G$14,$M680,CI$13))))</f>
        <v>1000000000000</v>
      </c>
      <c r="CJ680" s="182">
        <f ca="1">IF($D680&lt;&gt;"Serviço",0,IF(OR(AND(AUTOEVENTO="Manual",$M680=1),$M680&gt;(ROW(PLE.lastrow)-ROW(PLE.firstrow))),0,IF(OFFSET(PLE!$G$14,$M680,CJ$13)="",10^12,OFFSET(PLE!$G$14,$M680,CJ$13))))</f>
        <v>1000000000000</v>
      </c>
      <c r="CK680" s="182">
        <f ca="1">IF($D680&lt;&gt;"Serviço",0,IF(OR(AND(AUTOEVENTO="Manual",$M680=1),$M680&gt;(ROW(PLE.lastrow)-ROW(PLE.firstrow))),0,IF(OFFSET(PLE!$G$14,$M680,CK$13)="",10^12,OFFSET(PLE!$G$14,$M680,CK$13))))</f>
        <v>1000000000000</v>
      </c>
      <c r="CL680" s="182">
        <f ca="1">IF($D680&lt;&gt;"Serviço",0,IF(OR(AND(AUTOEVENTO="Manual",$M680=1),$M680&gt;(ROW(PLE.lastrow)-ROW(PLE.firstrow))),0,IF(OFFSET(PLE!$G$14,$M680,CL$13)="",10^12,OFFSET(PLE!$G$14,$M680,CL$13))))</f>
        <v>1000000000000</v>
      </c>
      <c r="CM680" s="182">
        <f ca="1">IF($D680&lt;&gt;"Serviço",0,IF(OR(AND(AUTOEVENTO="Manual",$M680=1),$M680&gt;(ROW(PLE.lastrow)-ROW(PLE.firstrow))),0,IF(OFFSET(PLE!$G$14,$M680,CM$13)="",10^12,OFFSET(PLE!$G$14,$M680,CM$13))))</f>
        <v>1000000000000</v>
      </c>
    </row>
    <row r="681" spans="1:91" ht="25.5" x14ac:dyDescent="0.2">
      <c r="A681" s="7" t="str">
        <f t="shared" ca="1" si="19"/>
        <v>653</v>
      </c>
      <c r="B681" s="7" t="str">
        <f ca="1">OFFSET(ORÇAMENTO!C$15,ROW(B681)-ROW(B$15),0)</f>
        <v>S</v>
      </c>
      <c r="C681" s="7" t="str">
        <f ca="1">OFFSET(ORÇAMENTO!L$15,ROW(C681)-ROW(C$15),0)</f>
        <v/>
      </c>
      <c r="D681" s="118" t="str">
        <f ca="1">OFFSET(ORÇAMENTO!N$15,ROW(D681)-ROW(D$15),0)</f>
        <v>Serviço</v>
      </c>
      <c r="E681" s="119" t="str">
        <f ca="1">OFFSET(ORÇAMENTO!O$15,ROW(E681)-ROW(E$15),0)</f>
        <v>-</v>
      </c>
      <c r="F681" s="172" t="str">
        <f ca="1">OFFSET(ORÇAMENTO!R$15,ROW(F681)-ROW(F$15),0)</f>
        <v>(abra o arquivo 'Referência 06-2024.xlsm)</v>
      </c>
      <c r="G681" s="173" t="str">
        <f ca="1">IF($D681&lt;&gt;"Serviço","",OFFSET(ORÇAMENTO!S$15,ROW(G681)-ROW(G$15),0))</f>
        <v>-</v>
      </c>
      <c r="H681" s="124">
        <f ca="1">IF($D681&lt;&gt;"Serviço",0,IF(ACOMPANHAMENTO="BM",ROUND(OFFSET(ORÇAMENTO!AJ$15,ROW(H681)-ROW(H$15),0),15-13*ORÇAMENTO!$AF$7),SUMPRODUCT(($Q$12:$AI$12&lt;&gt;"")*ROUND($Q681:$AI681,15-13*ORÇAMENTO!$AF$7))))</f>
        <v>1</v>
      </c>
      <c r="I681" s="561" t="s">
        <v>1107</v>
      </c>
      <c r="K681" s="174"/>
      <c r="L681" s="175" t="s">
        <v>255</v>
      </c>
      <c r="M681" s="176">
        <f ca="1">IF($D681&lt;&gt;"Serviço","",IF(AUTOEVENTO="manual",$A681,IF(ISERROR(MATCH($A681,$A$15:OFFSET($A681,-1,0),0)),MAX($M$15:OFFSET(M681,-1,0))+1,INDEX($M$15:OFFSET(M681,-1,0),MATCH($A681,$A$15:OFFSET($A681,-1,0),0)))))</f>
        <v>73</v>
      </c>
      <c r="N681" s="177" t="str">
        <f ca="1">IF($D681&lt;&gt;"Serviço","",IF(AUTOEVENTO="Manual",IF($A681=0,"&lt;-- defina o número do agrupador",OFFSET(EVENTOS!$D$14,$A681,0)),OFFSET($F$15,$A681,0)))</f>
        <v>SERVIÇOS COMPLEMENTARES</v>
      </c>
      <c r="O681" s="178"/>
      <c r="Q681" s="178">
        <v>1</v>
      </c>
      <c r="R681" s="179"/>
      <c r="S681" s="179"/>
      <c r="T681" s="179"/>
      <c r="U681" s="179"/>
      <c r="V681" s="179"/>
      <c r="W681" s="179"/>
      <c r="X681" s="179"/>
      <c r="Y681" s="179"/>
      <c r="Z681" s="180"/>
      <c r="AA681" s="179"/>
      <c r="AB681" s="179"/>
      <c r="AC681" s="179"/>
      <c r="AD681" s="179"/>
      <c r="AE681" s="179"/>
      <c r="AF681" s="179"/>
      <c r="AG681" s="179"/>
      <c r="AH681" s="180"/>
      <c r="AJ681" s="544">
        <f ca="1">IF(AND($D681="Serviço",AJ$12&lt;&gt;0,$H681&gt;0,OR(AUTOEVENTO&lt;&gt;"manual",$M681&lt;&gt;1)),
IF(Import.TipoArredondamento&lt;&gt;"TransfereGOV",
ROUND(OFFSET($P681,0,AJ$13),15-13*ORÇAMENTO!$AF$7)/$H681*OFFSET(ORÇAMENTO!$X$15,ROW(AJ681)-ROW(AJ$15),0),
ROUND(ROUND(OFFSET($P681,0,AJ$13),15-13*ORÇAMENTO!$AF$7)*OFFSET(ORÇAMENTO!$W$15,ROW(AJ681)-ROW(AJ$15),0),15-13*ORÇAMENTO!$AF$11)),0)</f>
        <v>0</v>
      </c>
      <c r="AK681" s="545">
        <f ca="1">IF(AND($D681="Serviço",AK$12&lt;&gt;0,$H681&gt;0,OR(AUTOEVENTO&lt;&gt;"manual",$M681&lt;&gt;1)),
IF(Import.TipoArredondamento&lt;&gt;"TransfereGOV",
ROUND(OFFSET($P681,0,AK$13),15-13*ORÇAMENTO!$AF$7)/$H681*OFFSET(ORÇAMENTO!$X$15,ROW(AK681)-ROW(AK$15),0),
ROUND(ROUND(OFFSET($P681,0,AK$13),15-13*ORÇAMENTO!$AF$7)*OFFSET(ORÇAMENTO!$W$15,ROW(AK681)-ROW(AK$15),0),15-13*ORÇAMENTO!$AF$11)),0)</f>
        <v>0</v>
      </c>
      <c r="AL681" s="545">
        <f ca="1">IF(AND($D681="Serviço",AL$12&lt;&gt;0,$H681&gt;0,OR(AUTOEVENTO&lt;&gt;"manual",$M681&lt;&gt;1)),
IF(Import.TipoArredondamento&lt;&gt;"TransfereGOV",
ROUND(OFFSET($P681,0,AL$13),15-13*ORÇAMENTO!$AF$7)/$H681*OFFSET(ORÇAMENTO!$X$15,ROW(AL681)-ROW(AL$15),0),
ROUND(ROUND(OFFSET($P681,0,AL$13),15-13*ORÇAMENTO!$AF$7)*OFFSET(ORÇAMENTO!$W$15,ROW(AL681)-ROW(AL$15),0),15-13*ORÇAMENTO!$AF$11)),0)</f>
        <v>0</v>
      </c>
      <c r="AM681" s="545">
        <f ca="1">IF(AND($D681="Serviço",AM$12&lt;&gt;0,$H681&gt;0,OR(AUTOEVENTO&lt;&gt;"manual",$M681&lt;&gt;1)),
IF(Import.TipoArredondamento&lt;&gt;"TransfereGOV",
ROUND(OFFSET($P681,0,AM$13),15-13*ORÇAMENTO!$AF$7)/$H681*OFFSET(ORÇAMENTO!$X$15,ROW(AM681)-ROW(AM$15),0),
ROUND(ROUND(OFFSET($P681,0,AM$13),15-13*ORÇAMENTO!$AF$7)*OFFSET(ORÇAMENTO!$W$15,ROW(AM681)-ROW(AM$15),0),15-13*ORÇAMENTO!$AF$11)),0)</f>
        <v>0</v>
      </c>
      <c r="AN681" s="545">
        <f ca="1">IF(AND($D681="Serviço",AN$12&lt;&gt;0,$H681&gt;0,OR(AUTOEVENTO&lt;&gt;"manual",$M681&lt;&gt;1)),
IF(Import.TipoArredondamento&lt;&gt;"TransfereGOV",
ROUND(OFFSET($P681,0,AN$13),15-13*ORÇAMENTO!$AF$7)/$H681*OFFSET(ORÇAMENTO!$X$15,ROW(AN681)-ROW(AN$15),0),
ROUND(ROUND(OFFSET($P681,0,AN$13),15-13*ORÇAMENTO!$AF$7)*OFFSET(ORÇAMENTO!$W$15,ROW(AN681)-ROW(AN$15),0),15-13*ORÇAMENTO!$AF$11)),0)</f>
        <v>0</v>
      </c>
      <c r="AO681" s="545">
        <f ca="1">IF(AND($D681="Serviço",AO$12&lt;&gt;0,$H681&gt;0,OR(AUTOEVENTO&lt;&gt;"manual",$M681&lt;&gt;1)),
IF(Import.TipoArredondamento&lt;&gt;"TransfereGOV",
ROUND(OFFSET($P681,0,AO$13),15-13*ORÇAMENTO!$AF$7)/$H681*OFFSET(ORÇAMENTO!$X$15,ROW(AO681)-ROW(AO$15),0),
ROUND(ROUND(OFFSET($P681,0,AO$13),15-13*ORÇAMENTO!$AF$7)*OFFSET(ORÇAMENTO!$W$15,ROW(AO681)-ROW(AO$15),0),15-13*ORÇAMENTO!$AF$11)),0)</f>
        <v>0</v>
      </c>
      <c r="AP681" s="545">
        <f ca="1">IF(AND($D681="Serviço",AP$12&lt;&gt;0,$H681&gt;0,OR(AUTOEVENTO&lt;&gt;"manual",$M681&lt;&gt;1)),
IF(Import.TipoArredondamento&lt;&gt;"TransfereGOV",
ROUND(OFFSET($P681,0,AP$13),15-13*ORÇAMENTO!$AF$7)/$H681*OFFSET(ORÇAMENTO!$X$15,ROW(AP681)-ROW(AP$15),0),
ROUND(ROUND(OFFSET($P681,0,AP$13),15-13*ORÇAMENTO!$AF$7)*OFFSET(ORÇAMENTO!$W$15,ROW(AP681)-ROW(AP$15),0),15-13*ORÇAMENTO!$AF$11)),0)</f>
        <v>0</v>
      </c>
      <c r="AQ681" s="545">
        <f ca="1">IF(AND($D681="Serviço",AQ$12&lt;&gt;0,$H681&gt;0,OR(AUTOEVENTO&lt;&gt;"manual",$M681&lt;&gt;1)),
IF(Import.TipoArredondamento&lt;&gt;"TransfereGOV",
ROUND(OFFSET($P681,0,AQ$13),15-13*ORÇAMENTO!$AF$7)/$H681*OFFSET(ORÇAMENTO!$X$15,ROW(AQ681)-ROW(AQ$15),0),
ROUND(ROUND(OFFSET($P681,0,AQ$13),15-13*ORÇAMENTO!$AF$7)*OFFSET(ORÇAMENTO!$W$15,ROW(AQ681)-ROW(AQ$15),0),15-13*ORÇAMENTO!$AF$11)),0)</f>
        <v>0</v>
      </c>
      <c r="AR681" s="545">
        <f ca="1">IF(AND($D681="Serviço",AR$12&lt;&gt;0,$H681&gt;0,OR(AUTOEVENTO&lt;&gt;"manual",$M681&lt;&gt;1)),
IF(Import.TipoArredondamento&lt;&gt;"TransfereGOV",
ROUND(OFFSET($P681,0,AR$13),15-13*ORÇAMENTO!$AF$7)/$H681*OFFSET(ORÇAMENTO!$X$15,ROW(AR681)-ROW(AR$15),0),
ROUND(ROUND(OFFSET($P681,0,AR$13),15-13*ORÇAMENTO!$AF$7)*OFFSET(ORÇAMENTO!$W$15,ROW(AR681)-ROW(AR$15),0),15-13*ORÇAMENTO!$AF$11)),0)</f>
        <v>0</v>
      </c>
      <c r="AS681" s="546">
        <f ca="1">IF(AND($D681="Serviço",AS$12&lt;&gt;0,$H681&gt;0,OR(AUTOEVENTO&lt;&gt;"manual",$M681&lt;&gt;1)),
IF(Import.TipoArredondamento&lt;&gt;"TransfereGOV",
ROUND(OFFSET($P681,0,AS$13),15-13*ORÇAMENTO!$AF$7)/$H681*OFFSET(ORÇAMENTO!$X$15,ROW(AS681)-ROW(AS$15),0),
ROUND(ROUND(OFFSET($P681,0,AS$13),15-13*ORÇAMENTO!$AF$7)*OFFSET(ORÇAMENTO!$W$15,ROW(AS681)-ROW(AS$15),0),15-13*ORÇAMENTO!$AF$11)),0)</f>
        <v>0</v>
      </c>
      <c r="AT681" s="545">
        <f ca="1">IF(AND($D681="Serviço",AT$12&lt;&gt;0,$H681&gt;0,OR(AUTOEVENTO&lt;&gt;"manual",$M681&lt;&gt;1)),
IF(Import.TipoArredondamento&lt;&gt;"TransfereGOV",
ROUND(OFFSET($P681,0,AT$13),15-13*ORÇAMENTO!$AF$7)/$H681*OFFSET(ORÇAMENTO!$X$15,ROW(AT681)-ROW(AT$15),0),
ROUND(ROUND(OFFSET($P681,0,AT$13),15-13*ORÇAMENTO!$AF$7)*OFFSET(ORÇAMENTO!$W$15,ROW(AT681)-ROW(AT$15),0),15-13*ORÇAMENTO!$AF$11)),0)</f>
        <v>0</v>
      </c>
      <c r="AU681" s="545">
        <f ca="1">IF(AND($D681="Serviço",AU$12&lt;&gt;0,$H681&gt;0,OR(AUTOEVENTO&lt;&gt;"manual",$M681&lt;&gt;1)),
IF(Import.TipoArredondamento&lt;&gt;"TransfereGOV",
ROUND(OFFSET($P681,0,AU$13),15-13*ORÇAMENTO!$AF$7)/$H681*OFFSET(ORÇAMENTO!$X$15,ROW(AU681)-ROW(AU$15),0),
ROUND(ROUND(OFFSET($P681,0,AU$13),15-13*ORÇAMENTO!$AF$7)*OFFSET(ORÇAMENTO!$W$15,ROW(AU681)-ROW(AU$15),0),15-13*ORÇAMENTO!$AF$11)),0)</f>
        <v>0</v>
      </c>
      <c r="AV681" s="545">
        <f ca="1">IF(AND($D681="Serviço",AV$12&lt;&gt;0,$H681&gt;0,OR(AUTOEVENTO&lt;&gt;"manual",$M681&lt;&gt;1)),
IF(Import.TipoArredondamento&lt;&gt;"TransfereGOV",
ROUND(OFFSET($P681,0,AV$13),15-13*ORÇAMENTO!$AF$7)/$H681*OFFSET(ORÇAMENTO!$X$15,ROW(AV681)-ROW(AV$15),0),
ROUND(ROUND(OFFSET($P681,0,AV$13),15-13*ORÇAMENTO!$AF$7)*OFFSET(ORÇAMENTO!$W$15,ROW(AV681)-ROW(AV$15),0),15-13*ORÇAMENTO!$AF$11)),0)</f>
        <v>0</v>
      </c>
      <c r="AW681" s="545">
        <f ca="1">IF(AND($D681="Serviço",AW$12&lt;&gt;0,$H681&gt;0,OR(AUTOEVENTO&lt;&gt;"manual",$M681&lt;&gt;1)),
IF(Import.TipoArredondamento&lt;&gt;"TransfereGOV",
ROUND(OFFSET($P681,0,AW$13),15-13*ORÇAMENTO!$AF$7)/$H681*OFFSET(ORÇAMENTO!$X$15,ROW(AW681)-ROW(AW$15),0),
ROUND(ROUND(OFFSET($P681,0,AW$13),15-13*ORÇAMENTO!$AF$7)*OFFSET(ORÇAMENTO!$W$15,ROW(AW681)-ROW(AW$15),0),15-13*ORÇAMENTO!$AF$11)),0)</f>
        <v>0</v>
      </c>
      <c r="AX681" s="545">
        <f ca="1">IF(AND($D681="Serviço",AX$12&lt;&gt;0,$H681&gt;0,OR(AUTOEVENTO&lt;&gt;"manual",$M681&lt;&gt;1)),
IF(Import.TipoArredondamento&lt;&gt;"TransfereGOV",
ROUND(OFFSET($P681,0,AX$13),15-13*ORÇAMENTO!$AF$7)/$H681*OFFSET(ORÇAMENTO!$X$15,ROW(AX681)-ROW(AX$15),0),
ROUND(ROUND(OFFSET($P681,0,AX$13),15-13*ORÇAMENTO!$AF$7)*OFFSET(ORÇAMENTO!$W$15,ROW(AX681)-ROW(AX$15),0),15-13*ORÇAMENTO!$AF$11)),0)</f>
        <v>0</v>
      </c>
      <c r="AY681" s="545">
        <f ca="1">IF(AND($D681="Serviço",AY$12&lt;&gt;0,$H681&gt;0,OR(AUTOEVENTO&lt;&gt;"manual",$M681&lt;&gt;1)),
IF(Import.TipoArredondamento&lt;&gt;"TransfereGOV",
ROUND(OFFSET($P681,0,AY$13),15-13*ORÇAMENTO!$AF$7)/$H681*OFFSET(ORÇAMENTO!$X$15,ROW(AY681)-ROW(AY$15),0),
ROUND(ROUND(OFFSET($P681,0,AY$13),15-13*ORÇAMENTO!$AF$7)*OFFSET(ORÇAMENTO!$W$15,ROW(AY681)-ROW(AY$15),0),15-13*ORÇAMENTO!$AF$11)),0)</f>
        <v>0</v>
      </c>
      <c r="AZ681" s="545">
        <f ca="1">IF(AND($D681="Serviço",AZ$12&lt;&gt;0,$H681&gt;0,OR(AUTOEVENTO&lt;&gt;"manual",$M681&lt;&gt;1)),
IF(Import.TipoArredondamento&lt;&gt;"TransfereGOV",
ROUND(OFFSET($P681,0,AZ$13),15-13*ORÇAMENTO!$AF$7)/$H681*OFFSET(ORÇAMENTO!$X$15,ROW(AZ681)-ROW(AZ$15),0),
ROUND(ROUND(OFFSET($P681,0,AZ$13),15-13*ORÇAMENTO!$AF$7)*OFFSET(ORÇAMENTO!$W$15,ROW(AZ681)-ROW(AZ$15),0),15-13*ORÇAMENTO!$AF$11)),0)</f>
        <v>0</v>
      </c>
      <c r="BA681" s="546">
        <f ca="1">IF(AND($D681="Serviço",BA$12&lt;&gt;0,$H681&gt;0,OR(AUTOEVENTO&lt;&gt;"manual",$M681&lt;&gt;1)),
IF(Import.TipoArredondamento&lt;&gt;"TransfereGOV",
ROUND(OFFSET($P681,0,BA$13),15-13*ORÇAMENTO!$AF$7)/$H681*OFFSET(ORÇAMENTO!$X$15,ROW(BA681)-ROW(BA$15),0),
ROUND(ROUND(OFFSET($P681,0,BA$13),15-13*ORÇAMENTO!$AF$7)*OFFSET(ORÇAMENTO!$W$15,ROW(BA681)-ROW(BA$15),0),15-13*ORÇAMENTO!$AF$11)),0)</f>
        <v>0</v>
      </c>
      <c r="BC681" s="181">
        <f ca="1">IF($D681&lt;&gt;"Serviço",0,IF(AND(AUTOEVENTO="Manual",$M681=1),0,IF(OFFSET(CRONOPLE!$F$14,$M681,BC$13)="",10^12,OFFSET(CRONOPLE!$F$14,$M681,BC$13))))</f>
        <v>11</v>
      </c>
      <c r="BD681" s="181">
        <f ca="1">IF($D681&lt;&gt;"Serviço",0,IF(AND(AUTOEVENTO="Manual",$M681=1),0,IF(OFFSET(CRONOPLE!$F$14,$M681,BD$13)="",10^12,OFFSET(CRONOPLE!$F$14,$M681,BD$13))))</f>
        <v>1000000000000</v>
      </c>
      <c r="BE681" s="181">
        <f ca="1">IF($D681&lt;&gt;"Serviço",0,IF(AND(AUTOEVENTO="Manual",$M681=1),0,IF(OFFSET(CRONOPLE!$F$14,$M681,BE$13)="",10^12,OFFSET(CRONOPLE!$F$14,$M681,BE$13))))</f>
        <v>1000000000000</v>
      </c>
      <c r="BF681" s="181">
        <f ca="1">IF($D681&lt;&gt;"Serviço",0,IF(AND(AUTOEVENTO="Manual",$M681=1),0,IF(OFFSET(CRONOPLE!$F$14,$M681,BF$13)="",10^12,OFFSET(CRONOPLE!$F$14,$M681,BF$13))))</f>
        <v>1000000000000</v>
      </c>
      <c r="BG681" s="181">
        <f ca="1">IF($D681&lt;&gt;"Serviço",0,IF(AND(AUTOEVENTO="Manual",$M681=1),0,IF(OFFSET(CRONOPLE!$F$14,$M681,BG$13)="",10^12,OFFSET(CRONOPLE!$F$14,$M681,BG$13))))</f>
        <v>1000000000000</v>
      </c>
      <c r="BH681" s="181">
        <f ca="1">IF($D681&lt;&gt;"Serviço",0,IF(AND(AUTOEVENTO="Manual",$M681=1),0,IF(OFFSET(CRONOPLE!$F$14,$M681,BH$13)="",10^12,OFFSET(CRONOPLE!$F$14,$M681,BH$13))))</f>
        <v>1000000000000</v>
      </c>
      <c r="BI681" s="181">
        <f ca="1">IF($D681&lt;&gt;"Serviço",0,IF(AND(AUTOEVENTO="Manual",$M681=1),0,IF(OFFSET(CRONOPLE!$F$14,$M681,BI$13)="",10^12,OFFSET(CRONOPLE!$F$14,$M681,BI$13))))</f>
        <v>1000000000000</v>
      </c>
      <c r="BJ681" s="181">
        <f ca="1">IF($D681&lt;&gt;"Serviço",0,IF(AND(AUTOEVENTO="Manual",$M681=1),0,IF(OFFSET(CRONOPLE!$F$14,$M681,BJ$13)="",10^12,OFFSET(CRONOPLE!$F$14,$M681,BJ$13))))</f>
        <v>1000000000000</v>
      </c>
      <c r="BK681" s="181">
        <f ca="1">IF($D681&lt;&gt;"Serviço",0,IF(AND(AUTOEVENTO="Manual",$M681=1),0,IF(OFFSET(CRONOPLE!$F$14,$M681,BK$13)="",10^12,OFFSET(CRONOPLE!$F$14,$M681,BK$13))))</f>
        <v>1000000000000</v>
      </c>
      <c r="BL681" s="181">
        <f ca="1">IF($D681&lt;&gt;"Serviço",0,IF(AND(AUTOEVENTO="Manual",$M681=1),0,IF(OFFSET(CRONOPLE!$F$14,$M681,BL$13)="",10^12,OFFSET(CRONOPLE!$F$14,$M681,BL$13))))</f>
        <v>1000000000000</v>
      </c>
      <c r="BM681" s="181">
        <f ca="1">IF($D681&lt;&gt;"Serviço",0,IF(AND(AUTOEVENTO="Manual",$M681=1),0,IF(OFFSET(CRONOPLE!$F$14,$M681,BM$13)="",10^12,OFFSET(CRONOPLE!$F$14,$M681,BM$13))))</f>
        <v>1000000000000</v>
      </c>
      <c r="BN681" s="181">
        <f ca="1">IF($D681&lt;&gt;"Serviço",0,IF(AND(AUTOEVENTO="Manual",$M681=1),0,IF(OFFSET(CRONOPLE!$F$14,$M681,BN$13)="",10^12,OFFSET(CRONOPLE!$F$14,$M681,BN$13))))</f>
        <v>1000000000000</v>
      </c>
      <c r="BO681" s="181">
        <f ca="1">IF($D681&lt;&gt;"Serviço",0,IF(AND(AUTOEVENTO="Manual",$M681=1),0,IF(OFFSET(CRONOPLE!$F$14,$M681,BO$13)="",10^12,OFFSET(CRONOPLE!$F$14,$M681,BO$13))))</f>
        <v>1000000000000</v>
      </c>
      <c r="BP681" s="181">
        <f ca="1">IF($D681&lt;&gt;"Serviço",0,IF(AND(AUTOEVENTO="Manual",$M681=1),0,IF(OFFSET(CRONOPLE!$F$14,$M681,BP$13)="",10^12,OFFSET(CRONOPLE!$F$14,$M681,BP$13))))</f>
        <v>1000000000000</v>
      </c>
      <c r="BQ681" s="181">
        <f ca="1">IF($D681&lt;&gt;"Serviço",0,IF(AND(AUTOEVENTO="Manual",$M681=1),0,IF(OFFSET(CRONOPLE!$F$14,$M681,BQ$13)="",10^12,OFFSET(CRONOPLE!$F$14,$M681,BQ$13))))</f>
        <v>1000000000000</v>
      </c>
      <c r="BR681" s="181">
        <f ca="1">IF($D681&lt;&gt;"Serviço",0,IF(AND(AUTOEVENTO="Manual",$M681=1),0,IF(OFFSET(CRONOPLE!$F$14,$M681,BR$13)="",10^12,OFFSET(CRONOPLE!$F$14,$M681,BR$13))))</f>
        <v>1000000000000</v>
      </c>
      <c r="BS681" s="181">
        <f ca="1">IF($D681&lt;&gt;"Serviço",0,IF(AND(AUTOEVENTO="Manual",$M681=1),0,IF(OFFSET(CRONOPLE!$F$14,$M681,BS$13)="",10^12,OFFSET(CRONOPLE!$F$14,$M681,BS$13))))</f>
        <v>1000000000000</v>
      </c>
      <c r="BT681" s="181">
        <f ca="1">IF($D681&lt;&gt;"Serviço",0,IF(AND(AUTOEVENTO="Manual",$M681=1),0,IF(OFFSET(CRONOPLE!$F$14,$M681,BT$13)="",10^12,OFFSET(CRONOPLE!$F$14,$M681,BT$13))))</f>
        <v>1000000000000</v>
      </c>
      <c r="BV681" s="182">
        <f ca="1">IF($D681&lt;&gt;"Serviço",0,IF(OR(AND(AUTOEVENTO="Manual",$M681=1),$M681&gt;(ROW(PLE.lastrow)-ROW(PLE.firstrow))),0,IF(OFFSET(PLE!$G$14,$M681,BV$13)="",10^12,OFFSET(PLE!$G$14,$M681,BV$13))))</f>
        <v>1000000000000</v>
      </c>
      <c r="BW681" s="182">
        <f ca="1">IF($D681&lt;&gt;"Serviço",0,IF(OR(AND(AUTOEVENTO="Manual",$M681=1),$M681&gt;(ROW(PLE.lastrow)-ROW(PLE.firstrow))),0,IF(OFFSET(PLE!$G$14,$M681,BW$13)="",10^12,OFFSET(PLE!$G$14,$M681,BW$13))))</f>
        <v>1000000000000</v>
      </c>
      <c r="BX681" s="182">
        <f ca="1">IF($D681&lt;&gt;"Serviço",0,IF(OR(AND(AUTOEVENTO="Manual",$M681=1),$M681&gt;(ROW(PLE.lastrow)-ROW(PLE.firstrow))),0,IF(OFFSET(PLE!$G$14,$M681,BX$13)="",10^12,OFFSET(PLE!$G$14,$M681,BX$13))))</f>
        <v>1000000000000</v>
      </c>
      <c r="BY681" s="182">
        <f ca="1">IF($D681&lt;&gt;"Serviço",0,IF(OR(AND(AUTOEVENTO="Manual",$M681=1),$M681&gt;(ROW(PLE.lastrow)-ROW(PLE.firstrow))),0,IF(OFFSET(PLE!$G$14,$M681,BY$13)="",10^12,OFFSET(PLE!$G$14,$M681,BY$13))))</f>
        <v>1000000000000</v>
      </c>
      <c r="BZ681" s="182">
        <f ca="1">IF($D681&lt;&gt;"Serviço",0,IF(OR(AND(AUTOEVENTO="Manual",$M681=1),$M681&gt;(ROW(PLE.lastrow)-ROW(PLE.firstrow))),0,IF(OFFSET(PLE!$G$14,$M681,BZ$13)="",10^12,OFFSET(PLE!$G$14,$M681,BZ$13))))</f>
        <v>1000000000000</v>
      </c>
      <c r="CA681" s="182">
        <f ca="1">IF($D681&lt;&gt;"Serviço",0,IF(OR(AND(AUTOEVENTO="Manual",$M681=1),$M681&gt;(ROW(PLE.lastrow)-ROW(PLE.firstrow))),0,IF(OFFSET(PLE!$G$14,$M681,CA$13)="",10^12,OFFSET(PLE!$G$14,$M681,CA$13))))</f>
        <v>1000000000000</v>
      </c>
      <c r="CB681" s="182">
        <f ca="1">IF($D681&lt;&gt;"Serviço",0,IF(OR(AND(AUTOEVENTO="Manual",$M681=1),$M681&gt;(ROW(PLE.lastrow)-ROW(PLE.firstrow))),0,IF(OFFSET(PLE!$G$14,$M681,CB$13)="",10^12,OFFSET(PLE!$G$14,$M681,CB$13))))</f>
        <v>1000000000000</v>
      </c>
      <c r="CC681" s="182">
        <f ca="1">IF($D681&lt;&gt;"Serviço",0,IF(OR(AND(AUTOEVENTO="Manual",$M681=1),$M681&gt;(ROW(PLE.lastrow)-ROW(PLE.firstrow))),0,IF(OFFSET(PLE!$G$14,$M681,CC$13)="",10^12,OFFSET(PLE!$G$14,$M681,CC$13))))</f>
        <v>1000000000000</v>
      </c>
      <c r="CD681" s="182">
        <f ca="1">IF($D681&lt;&gt;"Serviço",0,IF(OR(AND(AUTOEVENTO="Manual",$M681=1),$M681&gt;(ROW(PLE.lastrow)-ROW(PLE.firstrow))),0,IF(OFFSET(PLE!$G$14,$M681,CD$13)="",10^12,OFFSET(PLE!$G$14,$M681,CD$13))))</f>
        <v>1000000000000</v>
      </c>
      <c r="CE681" s="182">
        <f ca="1">IF($D681&lt;&gt;"Serviço",0,IF(OR(AND(AUTOEVENTO="Manual",$M681=1),$M681&gt;(ROW(PLE.lastrow)-ROW(PLE.firstrow))),0,IF(OFFSET(PLE!$G$14,$M681,CE$13)="",10^12,OFFSET(PLE!$G$14,$M681,CE$13))))</f>
        <v>1000000000000</v>
      </c>
      <c r="CF681" s="182">
        <f ca="1">IF($D681&lt;&gt;"Serviço",0,IF(OR(AND(AUTOEVENTO="Manual",$M681=1),$M681&gt;(ROW(PLE.lastrow)-ROW(PLE.firstrow))),0,IF(OFFSET(PLE!$G$14,$M681,CF$13)="",10^12,OFFSET(PLE!$G$14,$M681,CF$13))))</f>
        <v>1000000000000</v>
      </c>
      <c r="CG681" s="182">
        <f ca="1">IF($D681&lt;&gt;"Serviço",0,IF(OR(AND(AUTOEVENTO="Manual",$M681=1),$M681&gt;(ROW(PLE.lastrow)-ROW(PLE.firstrow))),0,IF(OFFSET(PLE!$G$14,$M681,CG$13)="",10^12,OFFSET(PLE!$G$14,$M681,CG$13))))</f>
        <v>1000000000000</v>
      </c>
      <c r="CH681" s="182">
        <f ca="1">IF($D681&lt;&gt;"Serviço",0,IF(OR(AND(AUTOEVENTO="Manual",$M681=1),$M681&gt;(ROW(PLE.lastrow)-ROW(PLE.firstrow))),0,IF(OFFSET(PLE!$G$14,$M681,CH$13)="",10^12,OFFSET(PLE!$G$14,$M681,CH$13))))</f>
        <v>1000000000000</v>
      </c>
      <c r="CI681" s="182">
        <f ca="1">IF($D681&lt;&gt;"Serviço",0,IF(OR(AND(AUTOEVENTO="Manual",$M681=1),$M681&gt;(ROW(PLE.lastrow)-ROW(PLE.firstrow))),0,IF(OFFSET(PLE!$G$14,$M681,CI$13)="",10^12,OFFSET(PLE!$G$14,$M681,CI$13))))</f>
        <v>1000000000000</v>
      </c>
      <c r="CJ681" s="182">
        <f ca="1">IF($D681&lt;&gt;"Serviço",0,IF(OR(AND(AUTOEVENTO="Manual",$M681=1),$M681&gt;(ROW(PLE.lastrow)-ROW(PLE.firstrow))),0,IF(OFFSET(PLE!$G$14,$M681,CJ$13)="",10^12,OFFSET(PLE!$G$14,$M681,CJ$13))))</f>
        <v>1000000000000</v>
      </c>
      <c r="CK681" s="182">
        <f ca="1">IF($D681&lt;&gt;"Serviço",0,IF(OR(AND(AUTOEVENTO="Manual",$M681=1),$M681&gt;(ROW(PLE.lastrow)-ROW(PLE.firstrow))),0,IF(OFFSET(PLE!$G$14,$M681,CK$13)="",10^12,OFFSET(PLE!$G$14,$M681,CK$13))))</f>
        <v>1000000000000</v>
      </c>
      <c r="CL681" s="182">
        <f ca="1">IF($D681&lt;&gt;"Serviço",0,IF(OR(AND(AUTOEVENTO="Manual",$M681=1),$M681&gt;(ROW(PLE.lastrow)-ROW(PLE.firstrow))),0,IF(OFFSET(PLE!$G$14,$M681,CL$13)="",10^12,OFFSET(PLE!$G$14,$M681,CL$13))))</f>
        <v>1000000000000</v>
      </c>
      <c r="CM681" s="182">
        <f ca="1">IF($D681&lt;&gt;"Serviço",0,IF(OR(AND(AUTOEVENTO="Manual",$M681=1),$M681&gt;(ROW(PLE.lastrow)-ROW(PLE.firstrow))),0,IF(OFFSET(PLE!$G$14,$M681,CM$13)="",10^12,OFFSET(PLE!$G$14,$M681,CM$13))))</f>
        <v>1000000000000</v>
      </c>
    </row>
    <row r="682" spans="1:91" ht="12.75" x14ac:dyDescent="0.2">
      <c r="A682" s="7" t="str">
        <f t="shared" ca="1" si="19"/>
        <v>667.</v>
      </c>
      <c r="B682" s="7">
        <f ca="1">OFFSET(ORÇAMENTO!C$15,ROW(B682)-ROW(B$15),0)</f>
        <v>2</v>
      </c>
      <c r="C682" s="7" t="str">
        <f ca="1">OFFSET(ORÇAMENTO!L$15,ROW(C682)-ROW(C$15),0)</f>
        <v>F</v>
      </c>
      <c r="D682" s="118" t="str">
        <f ca="1">OFFSET(ORÇAMENTO!N$15,ROW(D682)-ROW(D$15),0)</f>
        <v>Nível 2</v>
      </c>
      <c r="E682" s="119" t="str">
        <f ca="1">OFFSET(ORÇAMENTO!O$15,ROW(E682)-ROW(E$15),0)</f>
        <v>1.73.</v>
      </c>
      <c r="F682" s="172" t="str">
        <f ca="1">OFFSET(ORÇAMENTO!R$15,ROW(F682)-ROW(F$15),0)</f>
        <v>MURO DE FECHAMENTO - MOVIMENTO DE TERRA PARA FUNDAÇÕES</v>
      </c>
      <c r="G682" s="173" t="str">
        <f ca="1">IF($D682&lt;&gt;"Serviço","",OFFSET(ORÇAMENTO!S$15,ROW(G682)-ROW(G$15),0))</f>
        <v/>
      </c>
      <c r="H682" s="124">
        <f ca="1">IF($D682&lt;&gt;"Serviço",0,IF(ACOMPANHAMENTO="BM",ROUND(OFFSET(ORÇAMENTO!AJ$15,ROW(H682)-ROW(H$15),0),15-13*ORÇAMENTO!$AF$7),SUMPRODUCT(($Q$12:$AI$12&lt;&gt;"")*ROUND($Q682:$AI682,15-13*ORÇAMENTO!$AF$7))))</f>
        <v>0</v>
      </c>
      <c r="I682" s="561"/>
      <c r="K682" s="174"/>
      <c r="L682" s="175" t="s">
        <v>255</v>
      </c>
      <c r="M682" s="176" t="str">
        <f ca="1">IF($D682&lt;&gt;"Serviço","",IF(AUTOEVENTO="manual",$A682,IF(ISERROR(MATCH($A682,$A$15:OFFSET($A682,-1,0),0)),MAX($M$15:OFFSET(M682,-1,0))+1,INDEX($M$15:OFFSET(M682,-1,0),MATCH($A682,$A$15:OFFSET($A682,-1,0),0)))))</f>
        <v/>
      </c>
      <c r="N682" s="177" t="str">
        <f ca="1">IF($D682&lt;&gt;"Serviço","",IF(AUTOEVENTO="Manual",IF($A682=0,"&lt;-- defina o número do agrupador",OFFSET(EVENTOS!$D$14,$A682,0)),OFFSET($F$15,$A682,0)))</f>
        <v/>
      </c>
      <c r="O682" s="178"/>
      <c r="Q682" s="178">
        <v>0</v>
      </c>
      <c r="R682" s="179"/>
      <c r="S682" s="179"/>
      <c r="T682" s="179"/>
      <c r="U682" s="179"/>
      <c r="V682" s="179"/>
      <c r="W682" s="179"/>
      <c r="X682" s="179"/>
      <c r="Y682" s="179"/>
      <c r="Z682" s="180"/>
      <c r="AA682" s="179"/>
      <c r="AB682" s="179"/>
      <c r="AC682" s="179"/>
      <c r="AD682" s="179"/>
      <c r="AE682" s="179"/>
      <c r="AF682" s="179"/>
      <c r="AG682" s="179"/>
      <c r="AH682" s="180"/>
      <c r="AJ682" s="544">
        <f ca="1">IF(AND($D682="Serviço",AJ$12&lt;&gt;0,$H682&gt;0,OR(AUTOEVENTO&lt;&gt;"manual",$M682&lt;&gt;1)),
IF(Import.TipoArredondamento&lt;&gt;"TransfereGOV",
ROUND(OFFSET($P682,0,AJ$13),15-13*ORÇAMENTO!$AF$7)/$H682*OFFSET(ORÇAMENTO!$X$15,ROW(AJ682)-ROW(AJ$15),0),
ROUND(ROUND(OFFSET($P682,0,AJ$13),15-13*ORÇAMENTO!$AF$7)*OFFSET(ORÇAMENTO!$W$15,ROW(AJ682)-ROW(AJ$15),0),15-13*ORÇAMENTO!$AF$11)),0)</f>
        <v>0</v>
      </c>
      <c r="AK682" s="545">
        <f ca="1">IF(AND($D682="Serviço",AK$12&lt;&gt;0,$H682&gt;0,OR(AUTOEVENTO&lt;&gt;"manual",$M682&lt;&gt;1)),
IF(Import.TipoArredondamento&lt;&gt;"TransfereGOV",
ROUND(OFFSET($P682,0,AK$13),15-13*ORÇAMENTO!$AF$7)/$H682*OFFSET(ORÇAMENTO!$X$15,ROW(AK682)-ROW(AK$15),0),
ROUND(ROUND(OFFSET($P682,0,AK$13),15-13*ORÇAMENTO!$AF$7)*OFFSET(ORÇAMENTO!$W$15,ROW(AK682)-ROW(AK$15),0),15-13*ORÇAMENTO!$AF$11)),0)</f>
        <v>0</v>
      </c>
      <c r="AL682" s="545">
        <f ca="1">IF(AND($D682="Serviço",AL$12&lt;&gt;0,$H682&gt;0,OR(AUTOEVENTO&lt;&gt;"manual",$M682&lt;&gt;1)),
IF(Import.TipoArredondamento&lt;&gt;"TransfereGOV",
ROUND(OFFSET($P682,0,AL$13),15-13*ORÇAMENTO!$AF$7)/$H682*OFFSET(ORÇAMENTO!$X$15,ROW(AL682)-ROW(AL$15),0),
ROUND(ROUND(OFFSET($P682,0,AL$13),15-13*ORÇAMENTO!$AF$7)*OFFSET(ORÇAMENTO!$W$15,ROW(AL682)-ROW(AL$15),0),15-13*ORÇAMENTO!$AF$11)),0)</f>
        <v>0</v>
      </c>
      <c r="AM682" s="545">
        <f ca="1">IF(AND($D682="Serviço",AM$12&lt;&gt;0,$H682&gt;0,OR(AUTOEVENTO&lt;&gt;"manual",$M682&lt;&gt;1)),
IF(Import.TipoArredondamento&lt;&gt;"TransfereGOV",
ROUND(OFFSET($P682,0,AM$13),15-13*ORÇAMENTO!$AF$7)/$H682*OFFSET(ORÇAMENTO!$X$15,ROW(AM682)-ROW(AM$15),0),
ROUND(ROUND(OFFSET($P682,0,AM$13),15-13*ORÇAMENTO!$AF$7)*OFFSET(ORÇAMENTO!$W$15,ROW(AM682)-ROW(AM$15),0),15-13*ORÇAMENTO!$AF$11)),0)</f>
        <v>0</v>
      </c>
      <c r="AN682" s="545">
        <f ca="1">IF(AND($D682="Serviço",AN$12&lt;&gt;0,$H682&gt;0,OR(AUTOEVENTO&lt;&gt;"manual",$M682&lt;&gt;1)),
IF(Import.TipoArredondamento&lt;&gt;"TransfereGOV",
ROUND(OFFSET($P682,0,AN$13),15-13*ORÇAMENTO!$AF$7)/$H682*OFFSET(ORÇAMENTO!$X$15,ROW(AN682)-ROW(AN$15),0),
ROUND(ROUND(OFFSET($P682,0,AN$13),15-13*ORÇAMENTO!$AF$7)*OFFSET(ORÇAMENTO!$W$15,ROW(AN682)-ROW(AN$15),0),15-13*ORÇAMENTO!$AF$11)),0)</f>
        <v>0</v>
      </c>
      <c r="AO682" s="545">
        <f ca="1">IF(AND($D682="Serviço",AO$12&lt;&gt;0,$H682&gt;0,OR(AUTOEVENTO&lt;&gt;"manual",$M682&lt;&gt;1)),
IF(Import.TipoArredondamento&lt;&gt;"TransfereGOV",
ROUND(OFFSET($P682,0,AO$13),15-13*ORÇAMENTO!$AF$7)/$H682*OFFSET(ORÇAMENTO!$X$15,ROW(AO682)-ROW(AO$15),0),
ROUND(ROUND(OFFSET($P682,0,AO$13),15-13*ORÇAMENTO!$AF$7)*OFFSET(ORÇAMENTO!$W$15,ROW(AO682)-ROW(AO$15),0),15-13*ORÇAMENTO!$AF$11)),0)</f>
        <v>0</v>
      </c>
      <c r="AP682" s="545">
        <f ca="1">IF(AND($D682="Serviço",AP$12&lt;&gt;0,$H682&gt;0,OR(AUTOEVENTO&lt;&gt;"manual",$M682&lt;&gt;1)),
IF(Import.TipoArredondamento&lt;&gt;"TransfereGOV",
ROUND(OFFSET($P682,0,AP$13),15-13*ORÇAMENTO!$AF$7)/$H682*OFFSET(ORÇAMENTO!$X$15,ROW(AP682)-ROW(AP$15),0),
ROUND(ROUND(OFFSET($P682,0,AP$13),15-13*ORÇAMENTO!$AF$7)*OFFSET(ORÇAMENTO!$W$15,ROW(AP682)-ROW(AP$15),0),15-13*ORÇAMENTO!$AF$11)),0)</f>
        <v>0</v>
      </c>
      <c r="AQ682" s="545">
        <f ca="1">IF(AND($D682="Serviço",AQ$12&lt;&gt;0,$H682&gt;0,OR(AUTOEVENTO&lt;&gt;"manual",$M682&lt;&gt;1)),
IF(Import.TipoArredondamento&lt;&gt;"TransfereGOV",
ROUND(OFFSET($P682,0,AQ$13),15-13*ORÇAMENTO!$AF$7)/$H682*OFFSET(ORÇAMENTO!$X$15,ROW(AQ682)-ROW(AQ$15),0),
ROUND(ROUND(OFFSET($P682,0,AQ$13),15-13*ORÇAMENTO!$AF$7)*OFFSET(ORÇAMENTO!$W$15,ROW(AQ682)-ROW(AQ$15),0),15-13*ORÇAMENTO!$AF$11)),0)</f>
        <v>0</v>
      </c>
      <c r="AR682" s="545">
        <f ca="1">IF(AND($D682="Serviço",AR$12&lt;&gt;0,$H682&gt;0,OR(AUTOEVENTO&lt;&gt;"manual",$M682&lt;&gt;1)),
IF(Import.TipoArredondamento&lt;&gt;"TransfereGOV",
ROUND(OFFSET($P682,0,AR$13),15-13*ORÇAMENTO!$AF$7)/$H682*OFFSET(ORÇAMENTO!$X$15,ROW(AR682)-ROW(AR$15),0),
ROUND(ROUND(OFFSET($P682,0,AR$13),15-13*ORÇAMENTO!$AF$7)*OFFSET(ORÇAMENTO!$W$15,ROW(AR682)-ROW(AR$15),0),15-13*ORÇAMENTO!$AF$11)),0)</f>
        <v>0</v>
      </c>
      <c r="AS682" s="546">
        <f ca="1">IF(AND($D682="Serviço",AS$12&lt;&gt;0,$H682&gt;0,OR(AUTOEVENTO&lt;&gt;"manual",$M682&lt;&gt;1)),
IF(Import.TipoArredondamento&lt;&gt;"TransfereGOV",
ROUND(OFFSET($P682,0,AS$13),15-13*ORÇAMENTO!$AF$7)/$H682*OFFSET(ORÇAMENTO!$X$15,ROW(AS682)-ROW(AS$15),0),
ROUND(ROUND(OFFSET($P682,0,AS$13),15-13*ORÇAMENTO!$AF$7)*OFFSET(ORÇAMENTO!$W$15,ROW(AS682)-ROW(AS$15),0),15-13*ORÇAMENTO!$AF$11)),0)</f>
        <v>0</v>
      </c>
      <c r="AT682" s="545">
        <f ca="1">IF(AND($D682="Serviço",AT$12&lt;&gt;0,$H682&gt;0,OR(AUTOEVENTO&lt;&gt;"manual",$M682&lt;&gt;1)),
IF(Import.TipoArredondamento&lt;&gt;"TransfereGOV",
ROUND(OFFSET($P682,0,AT$13),15-13*ORÇAMENTO!$AF$7)/$H682*OFFSET(ORÇAMENTO!$X$15,ROW(AT682)-ROW(AT$15),0),
ROUND(ROUND(OFFSET($P682,0,AT$13),15-13*ORÇAMENTO!$AF$7)*OFFSET(ORÇAMENTO!$W$15,ROW(AT682)-ROW(AT$15),0),15-13*ORÇAMENTO!$AF$11)),0)</f>
        <v>0</v>
      </c>
      <c r="AU682" s="545">
        <f ca="1">IF(AND($D682="Serviço",AU$12&lt;&gt;0,$H682&gt;0,OR(AUTOEVENTO&lt;&gt;"manual",$M682&lt;&gt;1)),
IF(Import.TipoArredondamento&lt;&gt;"TransfereGOV",
ROUND(OFFSET($P682,0,AU$13),15-13*ORÇAMENTO!$AF$7)/$H682*OFFSET(ORÇAMENTO!$X$15,ROW(AU682)-ROW(AU$15),0),
ROUND(ROUND(OFFSET($P682,0,AU$13),15-13*ORÇAMENTO!$AF$7)*OFFSET(ORÇAMENTO!$W$15,ROW(AU682)-ROW(AU$15),0),15-13*ORÇAMENTO!$AF$11)),0)</f>
        <v>0</v>
      </c>
      <c r="AV682" s="545">
        <f ca="1">IF(AND($D682="Serviço",AV$12&lt;&gt;0,$H682&gt;0,OR(AUTOEVENTO&lt;&gt;"manual",$M682&lt;&gt;1)),
IF(Import.TipoArredondamento&lt;&gt;"TransfereGOV",
ROUND(OFFSET($P682,0,AV$13),15-13*ORÇAMENTO!$AF$7)/$H682*OFFSET(ORÇAMENTO!$X$15,ROW(AV682)-ROW(AV$15),0),
ROUND(ROUND(OFFSET($P682,0,AV$13),15-13*ORÇAMENTO!$AF$7)*OFFSET(ORÇAMENTO!$W$15,ROW(AV682)-ROW(AV$15),0),15-13*ORÇAMENTO!$AF$11)),0)</f>
        <v>0</v>
      </c>
      <c r="AW682" s="545">
        <f ca="1">IF(AND($D682="Serviço",AW$12&lt;&gt;0,$H682&gt;0,OR(AUTOEVENTO&lt;&gt;"manual",$M682&lt;&gt;1)),
IF(Import.TipoArredondamento&lt;&gt;"TransfereGOV",
ROUND(OFFSET($P682,0,AW$13),15-13*ORÇAMENTO!$AF$7)/$H682*OFFSET(ORÇAMENTO!$X$15,ROW(AW682)-ROW(AW$15),0),
ROUND(ROUND(OFFSET($P682,0,AW$13),15-13*ORÇAMENTO!$AF$7)*OFFSET(ORÇAMENTO!$W$15,ROW(AW682)-ROW(AW$15),0),15-13*ORÇAMENTO!$AF$11)),0)</f>
        <v>0</v>
      </c>
      <c r="AX682" s="545">
        <f ca="1">IF(AND($D682="Serviço",AX$12&lt;&gt;0,$H682&gt;0,OR(AUTOEVENTO&lt;&gt;"manual",$M682&lt;&gt;1)),
IF(Import.TipoArredondamento&lt;&gt;"TransfereGOV",
ROUND(OFFSET($P682,0,AX$13),15-13*ORÇAMENTO!$AF$7)/$H682*OFFSET(ORÇAMENTO!$X$15,ROW(AX682)-ROW(AX$15),0),
ROUND(ROUND(OFFSET($P682,0,AX$13),15-13*ORÇAMENTO!$AF$7)*OFFSET(ORÇAMENTO!$W$15,ROW(AX682)-ROW(AX$15),0),15-13*ORÇAMENTO!$AF$11)),0)</f>
        <v>0</v>
      </c>
      <c r="AY682" s="545">
        <f ca="1">IF(AND($D682="Serviço",AY$12&lt;&gt;0,$H682&gt;0,OR(AUTOEVENTO&lt;&gt;"manual",$M682&lt;&gt;1)),
IF(Import.TipoArredondamento&lt;&gt;"TransfereGOV",
ROUND(OFFSET($P682,0,AY$13),15-13*ORÇAMENTO!$AF$7)/$H682*OFFSET(ORÇAMENTO!$X$15,ROW(AY682)-ROW(AY$15),0),
ROUND(ROUND(OFFSET($P682,0,AY$13),15-13*ORÇAMENTO!$AF$7)*OFFSET(ORÇAMENTO!$W$15,ROW(AY682)-ROW(AY$15),0),15-13*ORÇAMENTO!$AF$11)),0)</f>
        <v>0</v>
      </c>
      <c r="AZ682" s="545">
        <f ca="1">IF(AND($D682="Serviço",AZ$12&lt;&gt;0,$H682&gt;0,OR(AUTOEVENTO&lt;&gt;"manual",$M682&lt;&gt;1)),
IF(Import.TipoArredondamento&lt;&gt;"TransfereGOV",
ROUND(OFFSET($P682,0,AZ$13),15-13*ORÇAMENTO!$AF$7)/$H682*OFFSET(ORÇAMENTO!$X$15,ROW(AZ682)-ROW(AZ$15),0),
ROUND(ROUND(OFFSET($P682,0,AZ$13),15-13*ORÇAMENTO!$AF$7)*OFFSET(ORÇAMENTO!$W$15,ROW(AZ682)-ROW(AZ$15),0),15-13*ORÇAMENTO!$AF$11)),0)</f>
        <v>0</v>
      </c>
      <c r="BA682" s="546">
        <f ca="1">IF(AND($D682="Serviço",BA$12&lt;&gt;0,$H682&gt;0,OR(AUTOEVENTO&lt;&gt;"manual",$M682&lt;&gt;1)),
IF(Import.TipoArredondamento&lt;&gt;"TransfereGOV",
ROUND(OFFSET($P682,0,BA$13),15-13*ORÇAMENTO!$AF$7)/$H682*OFFSET(ORÇAMENTO!$X$15,ROW(BA682)-ROW(BA$15),0),
ROUND(ROUND(OFFSET($P682,0,BA$13),15-13*ORÇAMENTO!$AF$7)*OFFSET(ORÇAMENTO!$W$15,ROW(BA682)-ROW(BA$15),0),15-13*ORÇAMENTO!$AF$11)),0)</f>
        <v>0</v>
      </c>
      <c r="BC682" s="181">
        <f ca="1">IF($D682&lt;&gt;"Serviço",0,IF(AND(AUTOEVENTO="Manual",$M682=1),0,IF(OFFSET(CRONOPLE!$F$14,$M682,BC$13)="",10^12,OFFSET(CRONOPLE!$F$14,$M682,BC$13))))</f>
        <v>0</v>
      </c>
      <c r="BD682" s="181">
        <f ca="1">IF($D682&lt;&gt;"Serviço",0,IF(AND(AUTOEVENTO="Manual",$M682=1),0,IF(OFFSET(CRONOPLE!$F$14,$M682,BD$13)="",10^12,OFFSET(CRONOPLE!$F$14,$M682,BD$13))))</f>
        <v>0</v>
      </c>
      <c r="BE682" s="181">
        <f ca="1">IF($D682&lt;&gt;"Serviço",0,IF(AND(AUTOEVENTO="Manual",$M682=1),0,IF(OFFSET(CRONOPLE!$F$14,$M682,BE$13)="",10^12,OFFSET(CRONOPLE!$F$14,$M682,BE$13))))</f>
        <v>0</v>
      </c>
      <c r="BF682" s="181">
        <f ca="1">IF($D682&lt;&gt;"Serviço",0,IF(AND(AUTOEVENTO="Manual",$M682=1),0,IF(OFFSET(CRONOPLE!$F$14,$M682,BF$13)="",10^12,OFFSET(CRONOPLE!$F$14,$M682,BF$13))))</f>
        <v>0</v>
      </c>
      <c r="BG682" s="181">
        <f ca="1">IF($D682&lt;&gt;"Serviço",0,IF(AND(AUTOEVENTO="Manual",$M682=1),0,IF(OFFSET(CRONOPLE!$F$14,$M682,BG$13)="",10^12,OFFSET(CRONOPLE!$F$14,$M682,BG$13))))</f>
        <v>0</v>
      </c>
      <c r="BH682" s="181">
        <f ca="1">IF($D682&lt;&gt;"Serviço",0,IF(AND(AUTOEVENTO="Manual",$M682=1),0,IF(OFFSET(CRONOPLE!$F$14,$M682,BH$13)="",10^12,OFFSET(CRONOPLE!$F$14,$M682,BH$13))))</f>
        <v>0</v>
      </c>
      <c r="BI682" s="181">
        <f ca="1">IF($D682&lt;&gt;"Serviço",0,IF(AND(AUTOEVENTO="Manual",$M682=1),0,IF(OFFSET(CRONOPLE!$F$14,$M682,BI$13)="",10^12,OFFSET(CRONOPLE!$F$14,$M682,BI$13))))</f>
        <v>0</v>
      </c>
      <c r="BJ682" s="181">
        <f ca="1">IF($D682&lt;&gt;"Serviço",0,IF(AND(AUTOEVENTO="Manual",$M682=1),0,IF(OFFSET(CRONOPLE!$F$14,$M682,BJ$13)="",10^12,OFFSET(CRONOPLE!$F$14,$M682,BJ$13))))</f>
        <v>0</v>
      </c>
      <c r="BK682" s="181">
        <f ca="1">IF($D682&lt;&gt;"Serviço",0,IF(AND(AUTOEVENTO="Manual",$M682=1),0,IF(OFFSET(CRONOPLE!$F$14,$M682,BK$13)="",10^12,OFFSET(CRONOPLE!$F$14,$M682,BK$13))))</f>
        <v>0</v>
      </c>
      <c r="BL682" s="181">
        <f ca="1">IF($D682&lt;&gt;"Serviço",0,IF(AND(AUTOEVENTO="Manual",$M682=1),0,IF(OFFSET(CRONOPLE!$F$14,$M682,BL$13)="",10^12,OFFSET(CRONOPLE!$F$14,$M682,BL$13))))</f>
        <v>0</v>
      </c>
      <c r="BM682" s="181">
        <f ca="1">IF($D682&lt;&gt;"Serviço",0,IF(AND(AUTOEVENTO="Manual",$M682=1),0,IF(OFFSET(CRONOPLE!$F$14,$M682,BM$13)="",10^12,OFFSET(CRONOPLE!$F$14,$M682,BM$13))))</f>
        <v>0</v>
      </c>
      <c r="BN682" s="181">
        <f ca="1">IF($D682&lt;&gt;"Serviço",0,IF(AND(AUTOEVENTO="Manual",$M682=1),0,IF(OFFSET(CRONOPLE!$F$14,$M682,BN$13)="",10^12,OFFSET(CRONOPLE!$F$14,$M682,BN$13))))</f>
        <v>0</v>
      </c>
      <c r="BO682" s="181">
        <f ca="1">IF($D682&lt;&gt;"Serviço",0,IF(AND(AUTOEVENTO="Manual",$M682=1),0,IF(OFFSET(CRONOPLE!$F$14,$M682,BO$13)="",10^12,OFFSET(CRONOPLE!$F$14,$M682,BO$13))))</f>
        <v>0</v>
      </c>
      <c r="BP682" s="181">
        <f ca="1">IF($D682&lt;&gt;"Serviço",0,IF(AND(AUTOEVENTO="Manual",$M682=1),0,IF(OFFSET(CRONOPLE!$F$14,$M682,BP$13)="",10^12,OFFSET(CRONOPLE!$F$14,$M682,BP$13))))</f>
        <v>0</v>
      </c>
      <c r="BQ682" s="181">
        <f ca="1">IF($D682&lt;&gt;"Serviço",0,IF(AND(AUTOEVENTO="Manual",$M682=1),0,IF(OFFSET(CRONOPLE!$F$14,$M682,BQ$13)="",10^12,OFFSET(CRONOPLE!$F$14,$M682,BQ$13))))</f>
        <v>0</v>
      </c>
      <c r="BR682" s="181">
        <f ca="1">IF($D682&lt;&gt;"Serviço",0,IF(AND(AUTOEVENTO="Manual",$M682=1),0,IF(OFFSET(CRONOPLE!$F$14,$M682,BR$13)="",10^12,OFFSET(CRONOPLE!$F$14,$M682,BR$13))))</f>
        <v>0</v>
      </c>
      <c r="BS682" s="181">
        <f ca="1">IF($D682&lt;&gt;"Serviço",0,IF(AND(AUTOEVENTO="Manual",$M682=1),0,IF(OFFSET(CRONOPLE!$F$14,$M682,BS$13)="",10^12,OFFSET(CRONOPLE!$F$14,$M682,BS$13))))</f>
        <v>0</v>
      </c>
      <c r="BT682" s="181">
        <f ca="1">IF($D682&lt;&gt;"Serviço",0,IF(AND(AUTOEVENTO="Manual",$M682=1),0,IF(OFFSET(CRONOPLE!$F$14,$M682,BT$13)="",10^12,OFFSET(CRONOPLE!$F$14,$M682,BT$13))))</f>
        <v>0</v>
      </c>
      <c r="BV682" s="182">
        <f ca="1">IF($D682&lt;&gt;"Serviço",0,IF(OR(AND(AUTOEVENTO="Manual",$M682=1),$M682&gt;(ROW(PLE.lastrow)-ROW(PLE.firstrow))),0,IF(OFFSET(PLE!$G$14,$M682,BV$13)="",10^12,OFFSET(PLE!$G$14,$M682,BV$13))))</f>
        <v>0</v>
      </c>
      <c r="BW682" s="182">
        <f ca="1">IF($D682&lt;&gt;"Serviço",0,IF(OR(AND(AUTOEVENTO="Manual",$M682=1),$M682&gt;(ROW(PLE.lastrow)-ROW(PLE.firstrow))),0,IF(OFFSET(PLE!$G$14,$M682,BW$13)="",10^12,OFFSET(PLE!$G$14,$M682,BW$13))))</f>
        <v>0</v>
      </c>
      <c r="BX682" s="182">
        <f ca="1">IF($D682&lt;&gt;"Serviço",0,IF(OR(AND(AUTOEVENTO="Manual",$M682=1),$M682&gt;(ROW(PLE.lastrow)-ROW(PLE.firstrow))),0,IF(OFFSET(PLE!$G$14,$M682,BX$13)="",10^12,OFFSET(PLE!$G$14,$M682,BX$13))))</f>
        <v>0</v>
      </c>
      <c r="BY682" s="182">
        <f ca="1">IF($D682&lt;&gt;"Serviço",0,IF(OR(AND(AUTOEVENTO="Manual",$M682=1),$M682&gt;(ROW(PLE.lastrow)-ROW(PLE.firstrow))),0,IF(OFFSET(PLE!$G$14,$M682,BY$13)="",10^12,OFFSET(PLE!$G$14,$M682,BY$13))))</f>
        <v>0</v>
      </c>
      <c r="BZ682" s="182">
        <f ca="1">IF($D682&lt;&gt;"Serviço",0,IF(OR(AND(AUTOEVENTO="Manual",$M682=1),$M682&gt;(ROW(PLE.lastrow)-ROW(PLE.firstrow))),0,IF(OFFSET(PLE!$G$14,$M682,BZ$13)="",10^12,OFFSET(PLE!$G$14,$M682,BZ$13))))</f>
        <v>0</v>
      </c>
      <c r="CA682" s="182">
        <f ca="1">IF($D682&lt;&gt;"Serviço",0,IF(OR(AND(AUTOEVENTO="Manual",$M682=1),$M682&gt;(ROW(PLE.lastrow)-ROW(PLE.firstrow))),0,IF(OFFSET(PLE!$G$14,$M682,CA$13)="",10^12,OFFSET(PLE!$G$14,$M682,CA$13))))</f>
        <v>0</v>
      </c>
      <c r="CB682" s="182">
        <f ca="1">IF($D682&lt;&gt;"Serviço",0,IF(OR(AND(AUTOEVENTO="Manual",$M682=1),$M682&gt;(ROW(PLE.lastrow)-ROW(PLE.firstrow))),0,IF(OFFSET(PLE!$G$14,$M682,CB$13)="",10^12,OFFSET(PLE!$G$14,$M682,CB$13))))</f>
        <v>0</v>
      </c>
      <c r="CC682" s="182">
        <f ca="1">IF($D682&lt;&gt;"Serviço",0,IF(OR(AND(AUTOEVENTO="Manual",$M682=1),$M682&gt;(ROW(PLE.lastrow)-ROW(PLE.firstrow))),0,IF(OFFSET(PLE!$G$14,$M682,CC$13)="",10^12,OFFSET(PLE!$G$14,$M682,CC$13))))</f>
        <v>0</v>
      </c>
      <c r="CD682" s="182">
        <f ca="1">IF($D682&lt;&gt;"Serviço",0,IF(OR(AND(AUTOEVENTO="Manual",$M682=1),$M682&gt;(ROW(PLE.lastrow)-ROW(PLE.firstrow))),0,IF(OFFSET(PLE!$G$14,$M682,CD$13)="",10^12,OFFSET(PLE!$G$14,$M682,CD$13))))</f>
        <v>0</v>
      </c>
      <c r="CE682" s="182">
        <f ca="1">IF($D682&lt;&gt;"Serviço",0,IF(OR(AND(AUTOEVENTO="Manual",$M682=1),$M682&gt;(ROW(PLE.lastrow)-ROW(PLE.firstrow))),0,IF(OFFSET(PLE!$G$14,$M682,CE$13)="",10^12,OFFSET(PLE!$G$14,$M682,CE$13))))</f>
        <v>0</v>
      </c>
      <c r="CF682" s="182">
        <f ca="1">IF($D682&lt;&gt;"Serviço",0,IF(OR(AND(AUTOEVENTO="Manual",$M682=1),$M682&gt;(ROW(PLE.lastrow)-ROW(PLE.firstrow))),0,IF(OFFSET(PLE!$G$14,$M682,CF$13)="",10^12,OFFSET(PLE!$G$14,$M682,CF$13))))</f>
        <v>0</v>
      </c>
      <c r="CG682" s="182">
        <f ca="1">IF($D682&lt;&gt;"Serviço",0,IF(OR(AND(AUTOEVENTO="Manual",$M682=1),$M682&gt;(ROW(PLE.lastrow)-ROW(PLE.firstrow))),0,IF(OFFSET(PLE!$G$14,$M682,CG$13)="",10^12,OFFSET(PLE!$G$14,$M682,CG$13))))</f>
        <v>0</v>
      </c>
      <c r="CH682" s="182">
        <f ca="1">IF($D682&lt;&gt;"Serviço",0,IF(OR(AND(AUTOEVENTO="Manual",$M682=1),$M682&gt;(ROW(PLE.lastrow)-ROW(PLE.firstrow))),0,IF(OFFSET(PLE!$G$14,$M682,CH$13)="",10^12,OFFSET(PLE!$G$14,$M682,CH$13))))</f>
        <v>0</v>
      </c>
      <c r="CI682" s="182">
        <f ca="1">IF($D682&lt;&gt;"Serviço",0,IF(OR(AND(AUTOEVENTO="Manual",$M682=1),$M682&gt;(ROW(PLE.lastrow)-ROW(PLE.firstrow))),0,IF(OFFSET(PLE!$G$14,$M682,CI$13)="",10^12,OFFSET(PLE!$G$14,$M682,CI$13))))</f>
        <v>0</v>
      </c>
      <c r="CJ682" s="182">
        <f ca="1">IF($D682&lt;&gt;"Serviço",0,IF(OR(AND(AUTOEVENTO="Manual",$M682=1),$M682&gt;(ROW(PLE.lastrow)-ROW(PLE.firstrow))),0,IF(OFFSET(PLE!$G$14,$M682,CJ$13)="",10^12,OFFSET(PLE!$G$14,$M682,CJ$13))))</f>
        <v>0</v>
      </c>
      <c r="CK682" s="182">
        <f ca="1">IF($D682&lt;&gt;"Serviço",0,IF(OR(AND(AUTOEVENTO="Manual",$M682=1),$M682&gt;(ROW(PLE.lastrow)-ROW(PLE.firstrow))),0,IF(OFFSET(PLE!$G$14,$M682,CK$13)="",10^12,OFFSET(PLE!$G$14,$M682,CK$13))))</f>
        <v>0</v>
      </c>
      <c r="CL682" s="182">
        <f ca="1">IF($D682&lt;&gt;"Serviço",0,IF(OR(AND(AUTOEVENTO="Manual",$M682=1),$M682&gt;(ROW(PLE.lastrow)-ROW(PLE.firstrow))),0,IF(OFFSET(PLE!$G$14,$M682,CL$13)="",10^12,OFFSET(PLE!$G$14,$M682,CL$13))))</f>
        <v>0</v>
      </c>
      <c r="CM682" s="182">
        <f ca="1">IF($D682&lt;&gt;"Serviço",0,IF(OR(AND(AUTOEVENTO="Manual",$M682=1),$M682&gt;(ROW(PLE.lastrow)-ROW(PLE.firstrow))),0,IF(OFFSET(PLE!$G$14,$M682,CM$13)="",10^12,OFFSET(PLE!$G$14,$M682,CM$13))))</f>
        <v>0</v>
      </c>
    </row>
    <row r="683" spans="1:91" ht="38.25" x14ac:dyDescent="0.2">
      <c r="A683" s="7" t="str">
        <f t="shared" ca="1" si="19"/>
        <v>667</v>
      </c>
      <c r="B683" s="7" t="str">
        <f ca="1">OFFSET(ORÇAMENTO!C$15,ROW(B683)-ROW(B$15),0)</f>
        <v>S</v>
      </c>
      <c r="C683" s="7" t="str">
        <f ca="1">OFFSET(ORÇAMENTO!L$15,ROW(C683)-ROW(C$15),0)</f>
        <v/>
      </c>
      <c r="D683" s="118" t="str">
        <f ca="1">OFFSET(ORÇAMENTO!N$15,ROW(D683)-ROW(D$15),0)</f>
        <v>Serviço</v>
      </c>
      <c r="E683" s="119" t="str">
        <f ca="1">OFFSET(ORÇAMENTO!O$15,ROW(E683)-ROW(E$15),0)</f>
        <v>-</v>
      </c>
      <c r="F683" s="172" t="str">
        <f ca="1">OFFSET(ORÇAMENTO!R$15,ROW(F683)-ROW(F$15),0)</f>
        <v>(abra o arquivo 'Referência 06-2024.xlsm)</v>
      </c>
      <c r="G683" s="173" t="str">
        <f ca="1">IF($D683&lt;&gt;"Serviço","",OFFSET(ORÇAMENTO!S$15,ROW(G683)-ROW(G$15),0))</f>
        <v>-</v>
      </c>
      <c r="H683" s="124">
        <f ca="1">IF($D683&lt;&gt;"Serviço",0,IF(ACOMPANHAMENTO="BM",ROUND(OFFSET(ORÇAMENTO!AJ$15,ROW(H683)-ROW(H$15),0),15-13*ORÇAMENTO!$AF$7),SUMPRODUCT(($Q$12:$AI$12&lt;&gt;"")*ROUND($Q683:$AI683,15-13*ORÇAMENTO!$AF$7))))</f>
        <v>36.54</v>
      </c>
      <c r="I683" s="561" t="s">
        <v>1107</v>
      </c>
      <c r="K683" s="174"/>
      <c r="L683" s="175" t="s">
        <v>255</v>
      </c>
      <c r="M683" s="176">
        <f ca="1">IF($D683&lt;&gt;"Serviço","",IF(AUTOEVENTO="manual",$A683,IF(ISERROR(MATCH($A683,$A$15:OFFSET($A683,-1,0),0)),MAX($M$15:OFFSET(M683,-1,0))+1,INDEX($M$15:OFFSET(M683,-1,0),MATCH($A683,$A$15:OFFSET($A683,-1,0),0)))))</f>
        <v>74</v>
      </c>
      <c r="N683" s="177" t="str">
        <f ca="1">IF($D683&lt;&gt;"Serviço","",IF(AUTOEVENTO="Manual",IF($A683=0,"&lt;-- defina o número do agrupador",OFFSET(EVENTOS!$D$14,$A683,0)),OFFSET($F$15,$A683,0)))</f>
        <v>MURO DE FECHAMENTO - MOVIMENTO DE TERRA PARA FUNDAÇÕES</v>
      </c>
      <c r="O683" s="178"/>
      <c r="Q683" s="178">
        <v>36.54</v>
      </c>
      <c r="R683" s="179"/>
      <c r="S683" s="179"/>
      <c r="T683" s="179"/>
      <c r="U683" s="179"/>
      <c r="V683" s="179"/>
      <c r="W683" s="179"/>
      <c r="X683" s="179"/>
      <c r="Y683" s="179"/>
      <c r="Z683" s="180"/>
      <c r="AA683" s="179"/>
      <c r="AB683" s="179"/>
      <c r="AC683" s="179"/>
      <c r="AD683" s="179"/>
      <c r="AE683" s="179"/>
      <c r="AF683" s="179"/>
      <c r="AG683" s="179"/>
      <c r="AH683" s="180"/>
      <c r="AJ683" s="544">
        <f ca="1">IF(AND($D683="Serviço",AJ$12&lt;&gt;0,$H683&gt;0,OR(AUTOEVENTO&lt;&gt;"manual",$M683&lt;&gt;1)),
IF(Import.TipoArredondamento&lt;&gt;"TransfereGOV",
ROUND(OFFSET($P683,0,AJ$13),15-13*ORÇAMENTO!$AF$7)/$H683*OFFSET(ORÇAMENTO!$X$15,ROW(AJ683)-ROW(AJ$15),0),
ROUND(ROUND(OFFSET($P683,0,AJ$13),15-13*ORÇAMENTO!$AF$7)*OFFSET(ORÇAMENTO!$W$15,ROW(AJ683)-ROW(AJ$15),0),15-13*ORÇAMENTO!$AF$11)),0)</f>
        <v>0</v>
      </c>
      <c r="AK683" s="545">
        <f ca="1">IF(AND($D683="Serviço",AK$12&lt;&gt;0,$H683&gt;0,OR(AUTOEVENTO&lt;&gt;"manual",$M683&lt;&gt;1)),
IF(Import.TipoArredondamento&lt;&gt;"TransfereGOV",
ROUND(OFFSET($P683,0,AK$13),15-13*ORÇAMENTO!$AF$7)/$H683*OFFSET(ORÇAMENTO!$X$15,ROW(AK683)-ROW(AK$15),0),
ROUND(ROUND(OFFSET($P683,0,AK$13),15-13*ORÇAMENTO!$AF$7)*OFFSET(ORÇAMENTO!$W$15,ROW(AK683)-ROW(AK$15),0),15-13*ORÇAMENTO!$AF$11)),0)</f>
        <v>0</v>
      </c>
      <c r="AL683" s="545">
        <f ca="1">IF(AND($D683="Serviço",AL$12&lt;&gt;0,$H683&gt;0,OR(AUTOEVENTO&lt;&gt;"manual",$M683&lt;&gt;1)),
IF(Import.TipoArredondamento&lt;&gt;"TransfereGOV",
ROUND(OFFSET($P683,0,AL$13),15-13*ORÇAMENTO!$AF$7)/$H683*OFFSET(ORÇAMENTO!$X$15,ROW(AL683)-ROW(AL$15),0),
ROUND(ROUND(OFFSET($P683,0,AL$13),15-13*ORÇAMENTO!$AF$7)*OFFSET(ORÇAMENTO!$W$15,ROW(AL683)-ROW(AL$15),0),15-13*ORÇAMENTO!$AF$11)),0)</f>
        <v>0</v>
      </c>
      <c r="AM683" s="545">
        <f ca="1">IF(AND($D683="Serviço",AM$12&lt;&gt;0,$H683&gt;0,OR(AUTOEVENTO&lt;&gt;"manual",$M683&lt;&gt;1)),
IF(Import.TipoArredondamento&lt;&gt;"TransfereGOV",
ROUND(OFFSET($P683,0,AM$13),15-13*ORÇAMENTO!$AF$7)/$H683*OFFSET(ORÇAMENTO!$X$15,ROW(AM683)-ROW(AM$15),0),
ROUND(ROUND(OFFSET($P683,0,AM$13),15-13*ORÇAMENTO!$AF$7)*OFFSET(ORÇAMENTO!$W$15,ROW(AM683)-ROW(AM$15),0),15-13*ORÇAMENTO!$AF$11)),0)</f>
        <v>0</v>
      </c>
      <c r="AN683" s="545">
        <f ca="1">IF(AND($D683="Serviço",AN$12&lt;&gt;0,$H683&gt;0,OR(AUTOEVENTO&lt;&gt;"manual",$M683&lt;&gt;1)),
IF(Import.TipoArredondamento&lt;&gt;"TransfereGOV",
ROUND(OFFSET($P683,0,AN$13),15-13*ORÇAMENTO!$AF$7)/$H683*OFFSET(ORÇAMENTO!$X$15,ROW(AN683)-ROW(AN$15),0),
ROUND(ROUND(OFFSET($P683,0,AN$13),15-13*ORÇAMENTO!$AF$7)*OFFSET(ORÇAMENTO!$W$15,ROW(AN683)-ROW(AN$15),0),15-13*ORÇAMENTO!$AF$11)),0)</f>
        <v>0</v>
      </c>
      <c r="AO683" s="545">
        <f ca="1">IF(AND($D683="Serviço",AO$12&lt;&gt;0,$H683&gt;0,OR(AUTOEVENTO&lt;&gt;"manual",$M683&lt;&gt;1)),
IF(Import.TipoArredondamento&lt;&gt;"TransfereGOV",
ROUND(OFFSET($P683,0,AO$13),15-13*ORÇAMENTO!$AF$7)/$H683*OFFSET(ORÇAMENTO!$X$15,ROW(AO683)-ROW(AO$15),0),
ROUND(ROUND(OFFSET($P683,0,AO$13),15-13*ORÇAMENTO!$AF$7)*OFFSET(ORÇAMENTO!$W$15,ROW(AO683)-ROW(AO$15),0),15-13*ORÇAMENTO!$AF$11)),0)</f>
        <v>0</v>
      </c>
      <c r="AP683" s="545">
        <f ca="1">IF(AND($D683="Serviço",AP$12&lt;&gt;0,$H683&gt;0,OR(AUTOEVENTO&lt;&gt;"manual",$M683&lt;&gt;1)),
IF(Import.TipoArredondamento&lt;&gt;"TransfereGOV",
ROUND(OFFSET($P683,0,AP$13),15-13*ORÇAMENTO!$AF$7)/$H683*OFFSET(ORÇAMENTO!$X$15,ROW(AP683)-ROW(AP$15),0),
ROUND(ROUND(OFFSET($P683,0,AP$13),15-13*ORÇAMENTO!$AF$7)*OFFSET(ORÇAMENTO!$W$15,ROW(AP683)-ROW(AP$15),0),15-13*ORÇAMENTO!$AF$11)),0)</f>
        <v>0</v>
      </c>
      <c r="AQ683" s="545">
        <f ca="1">IF(AND($D683="Serviço",AQ$12&lt;&gt;0,$H683&gt;0,OR(AUTOEVENTO&lt;&gt;"manual",$M683&lt;&gt;1)),
IF(Import.TipoArredondamento&lt;&gt;"TransfereGOV",
ROUND(OFFSET($P683,0,AQ$13),15-13*ORÇAMENTO!$AF$7)/$H683*OFFSET(ORÇAMENTO!$X$15,ROW(AQ683)-ROW(AQ$15),0),
ROUND(ROUND(OFFSET($P683,0,AQ$13),15-13*ORÇAMENTO!$AF$7)*OFFSET(ORÇAMENTO!$W$15,ROW(AQ683)-ROW(AQ$15),0),15-13*ORÇAMENTO!$AF$11)),0)</f>
        <v>0</v>
      </c>
      <c r="AR683" s="545">
        <f ca="1">IF(AND($D683="Serviço",AR$12&lt;&gt;0,$H683&gt;0,OR(AUTOEVENTO&lt;&gt;"manual",$M683&lt;&gt;1)),
IF(Import.TipoArredondamento&lt;&gt;"TransfereGOV",
ROUND(OFFSET($P683,0,AR$13),15-13*ORÇAMENTO!$AF$7)/$H683*OFFSET(ORÇAMENTO!$X$15,ROW(AR683)-ROW(AR$15),0),
ROUND(ROUND(OFFSET($P683,0,AR$13),15-13*ORÇAMENTO!$AF$7)*OFFSET(ORÇAMENTO!$W$15,ROW(AR683)-ROW(AR$15),0),15-13*ORÇAMENTO!$AF$11)),0)</f>
        <v>0</v>
      </c>
      <c r="AS683" s="546">
        <f ca="1">IF(AND($D683="Serviço",AS$12&lt;&gt;0,$H683&gt;0,OR(AUTOEVENTO&lt;&gt;"manual",$M683&lt;&gt;1)),
IF(Import.TipoArredondamento&lt;&gt;"TransfereGOV",
ROUND(OFFSET($P683,0,AS$13),15-13*ORÇAMENTO!$AF$7)/$H683*OFFSET(ORÇAMENTO!$X$15,ROW(AS683)-ROW(AS$15),0),
ROUND(ROUND(OFFSET($P683,0,AS$13),15-13*ORÇAMENTO!$AF$7)*OFFSET(ORÇAMENTO!$W$15,ROW(AS683)-ROW(AS$15),0),15-13*ORÇAMENTO!$AF$11)),0)</f>
        <v>0</v>
      </c>
      <c r="AT683" s="545">
        <f ca="1">IF(AND($D683="Serviço",AT$12&lt;&gt;0,$H683&gt;0,OR(AUTOEVENTO&lt;&gt;"manual",$M683&lt;&gt;1)),
IF(Import.TipoArredondamento&lt;&gt;"TransfereGOV",
ROUND(OFFSET($P683,0,AT$13),15-13*ORÇAMENTO!$AF$7)/$H683*OFFSET(ORÇAMENTO!$X$15,ROW(AT683)-ROW(AT$15),0),
ROUND(ROUND(OFFSET($P683,0,AT$13),15-13*ORÇAMENTO!$AF$7)*OFFSET(ORÇAMENTO!$W$15,ROW(AT683)-ROW(AT$15),0),15-13*ORÇAMENTO!$AF$11)),0)</f>
        <v>0</v>
      </c>
      <c r="AU683" s="545">
        <f ca="1">IF(AND($D683="Serviço",AU$12&lt;&gt;0,$H683&gt;0,OR(AUTOEVENTO&lt;&gt;"manual",$M683&lt;&gt;1)),
IF(Import.TipoArredondamento&lt;&gt;"TransfereGOV",
ROUND(OFFSET($P683,0,AU$13),15-13*ORÇAMENTO!$AF$7)/$H683*OFFSET(ORÇAMENTO!$X$15,ROW(AU683)-ROW(AU$15),0),
ROUND(ROUND(OFFSET($P683,0,AU$13),15-13*ORÇAMENTO!$AF$7)*OFFSET(ORÇAMENTO!$W$15,ROW(AU683)-ROW(AU$15),0),15-13*ORÇAMENTO!$AF$11)),0)</f>
        <v>0</v>
      </c>
      <c r="AV683" s="545">
        <f ca="1">IF(AND($D683="Serviço",AV$12&lt;&gt;0,$H683&gt;0,OR(AUTOEVENTO&lt;&gt;"manual",$M683&lt;&gt;1)),
IF(Import.TipoArredondamento&lt;&gt;"TransfereGOV",
ROUND(OFFSET($P683,0,AV$13),15-13*ORÇAMENTO!$AF$7)/$H683*OFFSET(ORÇAMENTO!$X$15,ROW(AV683)-ROW(AV$15),0),
ROUND(ROUND(OFFSET($P683,0,AV$13),15-13*ORÇAMENTO!$AF$7)*OFFSET(ORÇAMENTO!$W$15,ROW(AV683)-ROW(AV$15),0),15-13*ORÇAMENTO!$AF$11)),0)</f>
        <v>0</v>
      </c>
      <c r="AW683" s="545">
        <f ca="1">IF(AND($D683="Serviço",AW$12&lt;&gt;0,$H683&gt;0,OR(AUTOEVENTO&lt;&gt;"manual",$M683&lt;&gt;1)),
IF(Import.TipoArredondamento&lt;&gt;"TransfereGOV",
ROUND(OFFSET($P683,0,AW$13),15-13*ORÇAMENTO!$AF$7)/$H683*OFFSET(ORÇAMENTO!$X$15,ROW(AW683)-ROW(AW$15),0),
ROUND(ROUND(OFFSET($P683,0,AW$13),15-13*ORÇAMENTO!$AF$7)*OFFSET(ORÇAMENTO!$W$15,ROW(AW683)-ROW(AW$15),0),15-13*ORÇAMENTO!$AF$11)),0)</f>
        <v>0</v>
      </c>
      <c r="AX683" s="545">
        <f ca="1">IF(AND($D683="Serviço",AX$12&lt;&gt;0,$H683&gt;0,OR(AUTOEVENTO&lt;&gt;"manual",$M683&lt;&gt;1)),
IF(Import.TipoArredondamento&lt;&gt;"TransfereGOV",
ROUND(OFFSET($P683,0,AX$13),15-13*ORÇAMENTO!$AF$7)/$H683*OFFSET(ORÇAMENTO!$X$15,ROW(AX683)-ROW(AX$15),0),
ROUND(ROUND(OFFSET($P683,0,AX$13),15-13*ORÇAMENTO!$AF$7)*OFFSET(ORÇAMENTO!$W$15,ROW(AX683)-ROW(AX$15),0),15-13*ORÇAMENTO!$AF$11)),0)</f>
        <v>0</v>
      </c>
      <c r="AY683" s="545">
        <f ca="1">IF(AND($D683="Serviço",AY$12&lt;&gt;0,$H683&gt;0,OR(AUTOEVENTO&lt;&gt;"manual",$M683&lt;&gt;1)),
IF(Import.TipoArredondamento&lt;&gt;"TransfereGOV",
ROUND(OFFSET($P683,0,AY$13),15-13*ORÇAMENTO!$AF$7)/$H683*OFFSET(ORÇAMENTO!$X$15,ROW(AY683)-ROW(AY$15),0),
ROUND(ROUND(OFFSET($P683,0,AY$13),15-13*ORÇAMENTO!$AF$7)*OFFSET(ORÇAMENTO!$W$15,ROW(AY683)-ROW(AY$15),0),15-13*ORÇAMENTO!$AF$11)),0)</f>
        <v>0</v>
      </c>
      <c r="AZ683" s="545">
        <f ca="1">IF(AND($D683="Serviço",AZ$12&lt;&gt;0,$H683&gt;0,OR(AUTOEVENTO&lt;&gt;"manual",$M683&lt;&gt;1)),
IF(Import.TipoArredondamento&lt;&gt;"TransfereGOV",
ROUND(OFFSET($P683,0,AZ$13),15-13*ORÇAMENTO!$AF$7)/$H683*OFFSET(ORÇAMENTO!$X$15,ROW(AZ683)-ROW(AZ$15),0),
ROUND(ROUND(OFFSET($P683,0,AZ$13),15-13*ORÇAMENTO!$AF$7)*OFFSET(ORÇAMENTO!$W$15,ROW(AZ683)-ROW(AZ$15),0),15-13*ORÇAMENTO!$AF$11)),0)</f>
        <v>0</v>
      </c>
      <c r="BA683" s="546">
        <f ca="1">IF(AND($D683="Serviço",BA$12&lt;&gt;0,$H683&gt;0,OR(AUTOEVENTO&lt;&gt;"manual",$M683&lt;&gt;1)),
IF(Import.TipoArredondamento&lt;&gt;"TransfereGOV",
ROUND(OFFSET($P683,0,BA$13),15-13*ORÇAMENTO!$AF$7)/$H683*OFFSET(ORÇAMENTO!$X$15,ROW(BA683)-ROW(BA$15),0),
ROUND(ROUND(OFFSET($P683,0,BA$13),15-13*ORÇAMENTO!$AF$7)*OFFSET(ORÇAMENTO!$W$15,ROW(BA683)-ROW(BA$15),0),15-13*ORÇAMENTO!$AF$11)),0)</f>
        <v>0</v>
      </c>
      <c r="BC683" s="181">
        <f ca="1">IF($D683&lt;&gt;"Serviço",0,IF(AND(AUTOEVENTO="Manual",$M683=1),0,IF(OFFSET(CRONOPLE!$F$14,$M683,BC$13)="",10^12,OFFSET(CRONOPLE!$F$14,$M683,BC$13))))</f>
        <v>12</v>
      </c>
      <c r="BD683" s="181">
        <f ca="1">IF($D683&lt;&gt;"Serviço",0,IF(AND(AUTOEVENTO="Manual",$M683=1),0,IF(OFFSET(CRONOPLE!$F$14,$M683,BD$13)="",10^12,OFFSET(CRONOPLE!$F$14,$M683,BD$13))))</f>
        <v>1000000000000</v>
      </c>
      <c r="BE683" s="181">
        <f ca="1">IF($D683&lt;&gt;"Serviço",0,IF(AND(AUTOEVENTO="Manual",$M683=1),0,IF(OFFSET(CRONOPLE!$F$14,$M683,BE$13)="",10^12,OFFSET(CRONOPLE!$F$14,$M683,BE$13))))</f>
        <v>1000000000000</v>
      </c>
      <c r="BF683" s="181">
        <f ca="1">IF($D683&lt;&gt;"Serviço",0,IF(AND(AUTOEVENTO="Manual",$M683=1),0,IF(OFFSET(CRONOPLE!$F$14,$M683,BF$13)="",10^12,OFFSET(CRONOPLE!$F$14,$M683,BF$13))))</f>
        <v>1000000000000</v>
      </c>
      <c r="BG683" s="181">
        <f ca="1">IF($D683&lt;&gt;"Serviço",0,IF(AND(AUTOEVENTO="Manual",$M683=1),0,IF(OFFSET(CRONOPLE!$F$14,$M683,BG$13)="",10^12,OFFSET(CRONOPLE!$F$14,$M683,BG$13))))</f>
        <v>1000000000000</v>
      </c>
      <c r="BH683" s="181">
        <f ca="1">IF($D683&lt;&gt;"Serviço",0,IF(AND(AUTOEVENTO="Manual",$M683=1),0,IF(OFFSET(CRONOPLE!$F$14,$M683,BH$13)="",10^12,OFFSET(CRONOPLE!$F$14,$M683,BH$13))))</f>
        <v>1000000000000</v>
      </c>
      <c r="BI683" s="181">
        <f ca="1">IF($D683&lt;&gt;"Serviço",0,IF(AND(AUTOEVENTO="Manual",$M683=1),0,IF(OFFSET(CRONOPLE!$F$14,$M683,BI$13)="",10^12,OFFSET(CRONOPLE!$F$14,$M683,BI$13))))</f>
        <v>1000000000000</v>
      </c>
      <c r="BJ683" s="181">
        <f ca="1">IF($D683&lt;&gt;"Serviço",0,IF(AND(AUTOEVENTO="Manual",$M683=1),0,IF(OFFSET(CRONOPLE!$F$14,$M683,BJ$13)="",10^12,OFFSET(CRONOPLE!$F$14,$M683,BJ$13))))</f>
        <v>1000000000000</v>
      </c>
      <c r="BK683" s="181">
        <f ca="1">IF($D683&lt;&gt;"Serviço",0,IF(AND(AUTOEVENTO="Manual",$M683=1),0,IF(OFFSET(CRONOPLE!$F$14,$M683,BK$13)="",10^12,OFFSET(CRONOPLE!$F$14,$M683,BK$13))))</f>
        <v>1000000000000</v>
      </c>
      <c r="BL683" s="181">
        <f ca="1">IF($D683&lt;&gt;"Serviço",0,IF(AND(AUTOEVENTO="Manual",$M683=1),0,IF(OFFSET(CRONOPLE!$F$14,$M683,BL$13)="",10^12,OFFSET(CRONOPLE!$F$14,$M683,BL$13))))</f>
        <v>1000000000000</v>
      </c>
      <c r="BM683" s="181">
        <f ca="1">IF($D683&lt;&gt;"Serviço",0,IF(AND(AUTOEVENTO="Manual",$M683=1),0,IF(OFFSET(CRONOPLE!$F$14,$M683,BM$13)="",10^12,OFFSET(CRONOPLE!$F$14,$M683,BM$13))))</f>
        <v>1000000000000</v>
      </c>
      <c r="BN683" s="181">
        <f ca="1">IF($D683&lt;&gt;"Serviço",0,IF(AND(AUTOEVENTO="Manual",$M683=1),0,IF(OFFSET(CRONOPLE!$F$14,$M683,BN$13)="",10^12,OFFSET(CRONOPLE!$F$14,$M683,BN$13))))</f>
        <v>1000000000000</v>
      </c>
      <c r="BO683" s="181">
        <f ca="1">IF($D683&lt;&gt;"Serviço",0,IF(AND(AUTOEVENTO="Manual",$M683=1),0,IF(OFFSET(CRONOPLE!$F$14,$M683,BO$13)="",10^12,OFFSET(CRONOPLE!$F$14,$M683,BO$13))))</f>
        <v>1000000000000</v>
      </c>
      <c r="BP683" s="181">
        <f ca="1">IF($D683&lt;&gt;"Serviço",0,IF(AND(AUTOEVENTO="Manual",$M683=1),0,IF(OFFSET(CRONOPLE!$F$14,$M683,BP$13)="",10^12,OFFSET(CRONOPLE!$F$14,$M683,BP$13))))</f>
        <v>1000000000000</v>
      </c>
      <c r="BQ683" s="181">
        <f ca="1">IF($D683&lt;&gt;"Serviço",0,IF(AND(AUTOEVENTO="Manual",$M683=1),0,IF(OFFSET(CRONOPLE!$F$14,$M683,BQ$13)="",10^12,OFFSET(CRONOPLE!$F$14,$M683,BQ$13))))</f>
        <v>1000000000000</v>
      </c>
      <c r="BR683" s="181">
        <f ca="1">IF($D683&lt;&gt;"Serviço",0,IF(AND(AUTOEVENTO="Manual",$M683=1),0,IF(OFFSET(CRONOPLE!$F$14,$M683,BR$13)="",10^12,OFFSET(CRONOPLE!$F$14,$M683,BR$13))))</f>
        <v>1000000000000</v>
      </c>
      <c r="BS683" s="181">
        <f ca="1">IF($D683&lt;&gt;"Serviço",0,IF(AND(AUTOEVENTO="Manual",$M683=1),0,IF(OFFSET(CRONOPLE!$F$14,$M683,BS$13)="",10^12,OFFSET(CRONOPLE!$F$14,$M683,BS$13))))</f>
        <v>1000000000000</v>
      </c>
      <c r="BT683" s="181">
        <f ca="1">IF($D683&lt;&gt;"Serviço",0,IF(AND(AUTOEVENTO="Manual",$M683=1),0,IF(OFFSET(CRONOPLE!$F$14,$M683,BT$13)="",10^12,OFFSET(CRONOPLE!$F$14,$M683,BT$13))))</f>
        <v>1000000000000</v>
      </c>
      <c r="BV683" s="182">
        <f ca="1">IF($D683&lt;&gt;"Serviço",0,IF(OR(AND(AUTOEVENTO="Manual",$M683=1),$M683&gt;(ROW(PLE.lastrow)-ROW(PLE.firstrow))),0,IF(OFFSET(PLE!$G$14,$M683,BV$13)="",10^12,OFFSET(PLE!$G$14,$M683,BV$13))))</f>
        <v>1000000000000</v>
      </c>
      <c r="BW683" s="182">
        <f ca="1">IF($D683&lt;&gt;"Serviço",0,IF(OR(AND(AUTOEVENTO="Manual",$M683=1),$M683&gt;(ROW(PLE.lastrow)-ROW(PLE.firstrow))),0,IF(OFFSET(PLE!$G$14,$M683,BW$13)="",10^12,OFFSET(PLE!$G$14,$M683,BW$13))))</f>
        <v>1000000000000</v>
      </c>
      <c r="BX683" s="182">
        <f ca="1">IF($D683&lt;&gt;"Serviço",0,IF(OR(AND(AUTOEVENTO="Manual",$M683=1),$M683&gt;(ROW(PLE.lastrow)-ROW(PLE.firstrow))),0,IF(OFFSET(PLE!$G$14,$M683,BX$13)="",10^12,OFFSET(PLE!$G$14,$M683,BX$13))))</f>
        <v>1000000000000</v>
      </c>
      <c r="BY683" s="182">
        <f ca="1">IF($D683&lt;&gt;"Serviço",0,IF(OR(AND(AUTOEVENTO="Manual",$M683=1),$M683&gt;(ROW(PLE.lastrow)-ROW(PLE.firstrow))),0,IF(OFFSET(PLE!$G$14,$M683,BY$13)="",10^12,OFFSET(PLE!$G$14,$M683,BY$13))))</f>
        <v>1000000000000</v>
      </c>
      <c r="BZ683" s="182">
        <f ca="1">IF($D683&lt;&gt;"Serviço",0,IF(OR(AND(AUTOEVENTO="Manual",$M683=1),$M683&gt;(ROW(PLE.lastrow)-ROW(PLE.firstrow))),0,IF(OFFSET(PLE!$G$14,$M683,BZ$13)="",10^12,OFFSET(PLE!$G$14,$M683,BZ$13))))</f>
        <v>1000000000000</v>
      </c>
      <c r="CA683" s="182">
        <f ca="1">IF($D683&lt;&gt;"Serviço",0,IF(OR(AND(AUTOEVENTO="Manual",$M683=1),$M683&gt;(ROW(PLE.lastrow)-ROW(PLE.firstrow))),0,IF(OFFSET(PLE!$G$14,$M683,CA$13)="",10^12,OFFSET(PLE!$G$14,$M683,CA$13))))</f>
        <v>1000000000000</v>
      </c>
      <c r="CB683" s="182">
        <f ca="1">IF($D683&lt;&gt;"Serviço",0,IF(OR(AND(AUTOEVENTO="Manual",$M683=1),$M683&gt;(ROW(PLE.lastrow)-ROW(PLE.firstrow))),0,IF(OFFSET(PLE!$G$14,$M683,CB$13)="",10^12,OFFSET(PLE!$G$14,$M683,CB$13))))</f>
        <v>1000000000000</v>
      </c>
      <c r="CC683" s="182">
        <f ca="1">IF($D683&lt;&gt;"Serviço",0,IF(OR(AND(AUTOEVENTO="Manual",$M683=1),$M683&gt;(ROW(PLE.lastrow)-ROW(PLE.firstrow))),0,IF(OFFSET(PLE!$G$14,$M683,CC$13)="",10^12,OFFSET(PLE!$G$14,$M683,CC$13))))</f>
        <v>1000000000000</v>
      </c>
      <c r="CD683" s="182">
        <f ca="1">IF($D683&lt;&gt;"Serviço",0,IF(OR(AND(AUTOEVENTO="Manual",$M683=1),$M683&gt;(ROW(PLE.lastrow)-ROW(PLE.firstrow))),0,IF(OFFSET(PLE!$G$14,$M683,CD$13)="",10^12,OFFSET(PLE!$G$14,$M683,CD$13))))</f>
        <v>1000000000000</v>
      </c>
      <c r="CE683" s="182">
        <f ca="1">IF($D683&lt;&gt;"Serviço",0,IF(OR(AND(AUTOEVENTO="Manual",$M683=1),$M683&gt;(ROW(PLE.lastrow)-ROW(PLE.firstrow))),0,IF(OFFSET(PLE!$G$14,$M683,CE$13)="",10^12,OFFSET(PLE!$G$14,$M683,CE$13))))</f>
        <v>1000000000000</v>
      </c>
      <c r="CF683" s="182">
        <f ca="1">IF($D683&lt;&gt;"Serviço",0,IF(OR(AND(AUTOEVENTO="Manual",$M683=1),$M683&gt;(ROW(PLE.lastrow)-ROW(PLE.firstrow))),0,IF(OFFSET(PLE!$G$14,$M683,CF$13)="",10^12,OFFSET(PLE!$G$14,$M683,CF$13))))</f>
        <v>1000000000000</v>
      </c>
      <c r="CG683" s="182">
        <f ca="1">IF($D683&lt;&gt;"Serviço",0,IF(OR(AND(AUTOEVENTO="Manual",$M683=1),$M683&gt;(ROW(PLE.lastrow)-ROW(PLE.firstrow))),0,IF(OFFSET(PLE!$G$14,$M683,CG$13)="",10^12,OFFSET(PLE!$G$14,$M683,CG$13))))</f>
        <v>1000000000000</v>
      </c>
      <c r="CH683" s="182">
        <f ca="1">IF($D683&lt;&gt;"Serviço",0,IF(OR(AND(AUTOEVENTO="Manual",$M683=1),$M683&gt;(ROW(PLE.lastrow)-ROW(PLE.firstrow))),0,IF(OFFSET(PLE!$G$14,$M683,CH$13)="",10^12,OFFSET(PLE!$G$14,$M683,CH$13))))</f>
        <v>1000000000000</v>
      </c>
      <c r="CI683" s="182">
        <f ca="1">IF($D683&lt;&gt;"Serviço",0,IF(OR(AND(AUTOEVENTO="Manual",$M683=1),$M683&gt;(ROW(PLE.lastrow)-ROW(PLE.firstrow))),0,IF(OFFSET(PLE!$G$14,$M683,CI$13)="",10^12,OFFSET(PLE!$G$14,$M683,CI$13))))</f>
        <v>1000000000000</v>
      </c>
      <c r="CJ683" s="182">
        <f ca="1">IF($D683&lt;&gt;"Serviço",0,IF(OR(AND(AUTOEVENTO="Manual",$M683=1),$M683&gt;(ROW(PLE.lastrow)-ROW(PLE.firstrow))),0,IF(OFFSET(PLE!$G$14,$M683,CJ$13)="",10^12,OFFSET(PLE!$G$14,$M683,CJ$13))))</f>
        <v>1000000000000</v>
      </c>
      <c r="CK683" s="182">
        <f ca="1">IF($D683&lt;&gt;"Serviço",0,IF(OR(AND(AUTOEVENTO="Manual",$M683=1),$M683&gt;(ROW(PLE.lastrow)-ROW(PLE.firstrow))),0,IF(OFFSET(PLE!$G$14,$M683,CK$13)="",10^12,OFFSET(PLE!$G$14,$M683,CK$13))))</f>
        <v>1000000000000</v>
      </c>
      <c r="CL683" s="182">
        <f ca="1">IF($D683&lt;&gt;"Serviço",0,IF(OR(AND(AUTOEVENTO="Manual",$M683=1),$M683&gt;(ROW(PLE.lastrow)-ROW(PLE.firstrow))),0,IF(OFFSET(PLE!$G$14,$M683,CL$13)="",10^12,OFFSET(PLE!$G$14,$M683,CL$13))))</f>
        <v>1000000000000</v>
      </c>
      <c r="CM683" s="182">
        <f ca="1">IF($D683&lt;&gt;"Serviço",0,IF(OR(AND(AUTOEVENTO="Manual",$M683=1),$M683&gt;(ROW(PLE.lastrow)-ROW(PLE.firstrow))),0,IF(OFFSET(PLE!$G$14,$M683,CM$13)="",10^12,OFFSET(PLE!$G$14,$M683,CM$13))))</f>
        <v>1000000000000</v>
      </c>
    </row>
    <row r="684" spans="1:91" ht="63.75" x14ac:dyDescent="0.2">
      <c r="A684" s="7" t="str">
        <f t="shared" ca="1" si="19"/>
        <v>667</v>
      </c>
      <c r="B684" s="7" t="str">
        <f ca="1">OFFSET(ORÇAMENTO!C$15,ROW(B684)-ROW(B$15),0)</f>
        <v>S</v>
      </c>
      <c r="C684" s="7" t="str">
        <f ca="1">OFFSET(ORÇAMENTO!L$15,ROW(C684)-ROW(C$15),0)</f>
        <v/>
      </c>
      <c r="D684" s="118" t="str">
        <f ca="1">OFFSET(ORÇAMENTO!N$15,ROW(D684)-ROW(D$15),0)</f>
        <v>Serviço</v>
      </c>
      <c r="E684" s="119" t="str">
        <f ca="1">OFFSET(ORÇAMENTO!O$15,ROW(E684)-ROW(E$15),0)</f>
        <v>-</v>
      </c>
      <c r="F684" s="172" t="str">
        <f ca="1">OFFSET(ORÇAMENTO!R$15,ROW(F684)-ROW(F$15),0)</f>
        <v>(abra o arquivo 'Referência 06-2024.xlsm)</v>
      </c>
      <c r="G684" s="173" t="str">
        <f ca="1">IF($D684&lt;&gt;"Serviço","",OFFSET(ORÇAMENTO!S$15,ROW(G684)-ROW(G$15),0))</f>
        <v>-</v>
      </c>
      <c r="H684" s="124">
        <f ca="1">IF($D684&lt;&gt;"Serviço",0,IF(ACOMPANHAMENTO="BM",ROUND(OFFSET(ORÇAMENTO!AJ$15,ROW(H684)-ROW(H$15),0),15-13*ORÇAMENTO!$AF$7),SUMPRODUCT(($Q$12:$AI$12&lt;&gt;"")*ROUND($Q684:$AI684,15-13*ORÇAMENTO!$AF$7))))</f>
        <v>14.59</v>
      </c>
      <c r="I684" s="561" t="s">
        <v>1107</v>
      </c>
      <c r="K684" s="174"/>
      <c r="L684" s="175" t="s">
        <v>255</v>
      </c>
      <c r="M684" s="176">
        <f ca="1">IF($D684&lt;&gt;"Serviço","",IF(AUTOEVENTO="manual",$A684,IF(ISERROR(MATCH($A684,$A$15:OFFSET($A684,-1,0),0)),MAX($M$15:OFFSET(M684,-1,0))+1,INDEX($M$15:OFFSET(M684,-1,0),MATCH($A684,$A$15:OFFSET($A684,-1,0),0)))))</f>
        <v>74</v>
      </c>
      <c r="N684" s="177" t="str">
        <f ca="1">IF($D684&lt;&gt;"Serviço","",IF(AUTOEVENTO="Manual",IF($A684=0,"&lt;-- defina o número do agrupador",OFFSET(EVENTOS!$D$14,$A684,0)),OFFSET($F$15,$A684,0)))</f>
        <v>MURO DE FECHAMENTO - MOVIMENTO DE TERRA PARA FUNDAÇÕES</v>
      </c>
      <c r="O684" s="178"/>
      <c r="Q684" s="178">
        <v>14.59</v>
      </c>
      <c r="R684" s="179"/>
      <c r="S684" s="179"/>
      <c r="T684" s="179"/>
      <c r="U684" s="179"/>
      <c r="V684" s="179"/>
      <c r="W684" s="179"/>
      <c r="X684" s="179"/>
      <c r="Y684" s="179"/>
      <c r="Z684" s="180"/>
      <c r="AA684" s="179"/>
      <c r="AB684" s="179"/>
      <c r="AC684" s="179"/>
      <c r="AD684" s="179"/>
      <c r="AE684" s="179"/>
      <c r="AF684" s="179"/>
      <c r="AG684" s="179"/>
      <c r="AH684" s="180"/>
      <c r="AJ684" s="544">
        <f ca="1">IF(AND($D684="Serviço",AJ$12&lt;&gt;0,$H684&gt;0,OR(AUTOEVENTO&lt;&gt;"manual",$M684&lt;&gt;1)),
IF(Import.TipoArredondamento&lt;&gt;"TransfereGOV",
ROUND(OFFSET($P684,0,AJ$13),15-13*ORÇAMENTO!$AF$7)/$H684*OFFSET(ORÇAMENTO!$X$15,ROW(AJ684)-ROW(AJ$15),0),
ROUND(ROUND(OFFSET($P684,0,AJ$13),15-13*ORÇAMENTO!$AF$7)*OFFSET(ORÇAMENTO!$W$15,ROW(AJ684)-ROW(AJ$15),0),15-13*ORÇAMENTO!$AF$11)),0)</f>
        <v>0</v>
      </c>
      <c r="AK684" s="545">
        <f ca="1">IF(AND($D684="Serviço",AK$12&lt;&gt;0,$H684&gt;0,OR(AUTOEVENTO&lt;&gt;"manual",$M684&lt;&gt;1)),
IF(Import.TipoArredondamento&lt;&gt;"TransfereGOV",
ROUND(OFFSET($P684,0,AK$13),15-13*ORÇAMENTO!$AF$7)/$H684*OFFSET(ORÇAMENTO!$X$15,ROW(AK684)-ROW(AK$15),0),
ROUND(ROUND(OFFSET($P684,0,AK$13),15-13*ORÇAMENTO!$AF$7)*OFFSET(ORÇAMENTO!$W$15,ROW(AK684)-ROW(AK$15),0),15-13*ORÇAMENTO!$AF$11)),0)</f>
        <v>0</v>
      </c>
      <c r="AL684" s="545">
        <f ca="1">IF(AND($D684="Serviço",AL$12&lt;&gt;0,$H684&gt;0,OR(AUTOEVENTO&lt;&gt;"manual",$M684&lt;&gt;1)),
IF(Import.TipoArredondamento&lt;&gt;"TransfereGOV",
ROUND(OFFSET($P684,0,AL$13),15-13*ORÇAMENTO!$AF$7)/$H684*OFFSET(ORÇAMENTO!$X$15,ROW(AL684)-ROW(AL$15),0),
ROUND(ROUND(OFFSET($P684,0,AL$13),15-13*ORÇAMENTO!$AF$7)*OFFSET(ORÇAMENTO!$W$15,ROW(AL684)-ROW(AL$15),0),15-13*ORÇAMENTO!$AF$11)),0)</f>
        <v>0</v>
      </c>
      <c r="AM684" s="545">
        <f ca="1">IF(AND($D684="Serviço",AM$12&lt;&gt;0,$H684&gt;0,OR(AUTOEVENTO&lt;&gt;"manual",$M684&lt;&gt;1)),
IF(Import.TipoArredondamento&lt;&gt;"TransfereGOV",
ROUND(OFFSET($P684,0,AM$13),15-13*ORÇAMENTO!$AF$7)/$H684*OFFSET(ORÇAMENTO!$X$15,ROW(AM684)-ROW(AM$15),0),
ROUND(ROUND(OFFSET($P684,0,AM$13),15-13*ORÇAMENTO!$AF$7)*OFFSET(ORÇAMENTO!$W$15,ROW(AM684)-ROW(AM$15),0),15-13*ORÇAMENTO!$AF$11)),0)</f>
        <v>0</v>
      </c>
      <c r="AN684" s="545">
        <f ca="1">IF(AND($D684="Serviço",AN$12&lt;&gt;0,$H684&gt;0,OR(AUTOEVENTO&lt;&gt;"manual",$M684&lt;&gt;1)),
IF(Import.TipoArredondamento&lt;&gt;"TransfereGOV",
ROUND(OFFSET($P684,0,AN$13),15-13*ORÇAMENTO!$AF$7)/$H684*OFFSET(ORÇAMENTO!$X$15,ROW(AN684)-ROW(AN$15),0),
ROUND(ROUND(OFFSET($P684,0,AN$13),15-13*ORÇAMENTO!$AF$7)*OFFSET(ORÇAMENTO!$W$15,ROW(AN684)-ROW(AN$15),0),15-13*ORÇAMENTO!$AF$11)),0)</f>
        <v>0</v>
      </c>
      <c r="AO684" s="545">
        <f ca="1">IF(AND($D684="Serviço",AO$12&lt;&gt;0,$H684&gt;0,OR(AUTOEVENTO&lt;&gt;"manual",$M684&lt;&gt;1)),
IF(Import.TipoArredondamento&lt;&gt;"TransfereGOV",
ROUND(OFFSET($P684,0,AO$13),15-13*ORÇAMENTO!$AF$7)/$H684*OFFSET(ORÇAMENTO!$X$15,ROW(AO684)-ROW(AO$15),0),
ROUND(ROUND(OFFSET($P684,0,AO$13),15-13*ORÇAMENTO!$AF$7)*OFFSET(ORÇAMENTO!$W$15,ROW(AO684)-ROW(AO$15),0),15-13*ORÇAMENTO!$AF$11)),0)</f>
        <v>0</v>
      </c>
      <c r="AP684" s="545">
        <f ca="1">IF(AND($D684="Serviço",AP$12&lt;&gt;0,$H684&gt;0,OR(AUTOEVENTO&lt;&gt;"manual",$M684&lt;&gt;1)),
IF(Import.TipoArredondamento&lt;&gt;"TransfereGOV",
ROUND(OFFSET($P684,0,AP$13),15-13*ORÇAMENTO!$AF$7)/$H684*OFFSET(ORÇAMENTO!$X$15,ROW(AP684)-ROW(AP$15),0),
ROUND(ROUND(OFFSET($P684,0,AP$13),15-13*ORÇAMENTO!$AF$7)*OFFSET(ORÇAMENTO!$W$15,ROW(AP684)-ROW(AP$15),0),15-13*ORÇAMENTO!$AF$11)),0)</f>
        <v>0</v>
      </c>
      <c r="AQ684" s="545">
        <f ca="1">IF(AND($D684="Serviço",AQ$12&lt;&gt;0,$H684&gt;0,OR(AUTOEVENTO&lt;&gt;"manual",$M684&lt;&gt;1)),
IF(Import.TipoArredondamento&lt;&gt;"TransfereGOV",
ROUND(OFFSET($P684,0,AQ$13),15-13*ORÇAMENTO!$AF$7)/$H684*OFFSET(ORÇAMENTO!$X$15,ROW(AQ684)-ROW(AQ$15),0),
ROUND(ROUND(OFFSET($P684,0,AQ$13),15-13*ORÇAMENTO!$AF$7)*OFFSET(ORÇAMENTO!$W$15,ROW(AQ684)-ROW(AQ$15),0),15-13*ORÇAMENTO!$AF$11)),0)</f>
        <v>0</v>
      </c>
      <c r="AR684" s="545">
        <f ca="1">IF(AND($D684="Serviço",AR$12&lt;&gt;0,$H684&gt;0,OR(AUTOEVENTO&lt;&gt;"manual",$M684&lt;&gt;1)),
IF(Import.TipoArredondamento&lt;&gt;"TransfereGOV",
ROUND(OFFSET($P684,0,AR$13),15-13*ORÇAMENTO!$AF$7)/$H684*OFFSET(ORÇAMENTO!$X$15,ROW(AR684)-ROW(AR$15),0),
ROUND(ROUND(OFFSET($P684,0,AR$13),15-13*ORÇAMENTO!$AF$7)*OFFSET(ORÇAMENTO!$W$15,ROW(AR684)-ROW(AR$15),0),15-13*ORÇAMENTO!$AF$11)),0)</f>
        <v>0</v>
      </c>
      <c r="AS684" s="546">
        <f ca="1">IF(AND($D684="Serviço",AS$12&lt;&gt;0,$H684&gt;0,OR(AUTOEVENTO&lt;&gt;"manual",$M684&lt;&gt;1)),
IF(Import.TipoArredondamento&lt;&gt;"TransfereGOV",
ROUND(OFFSET($P684,0,AS$13),15-13*ORÇAMENTO!$AF$7)/$H684*OFFSET(ORÇAMENTO!$X$15,ROW(AS684)-ROW(AS$15),0),
ROUND(ROUND(OFFSET($P684,0,AS$13),15-13*ORÇAMENTO!$AF$7)*OFFSET(ORÇAMENTO!$W$15,ROW(AS684)-ROW(AS$15),0),15-13*ORÇAMENTO!$AF$11)),0)</f>
        <v>0</v>
      </c>
      <c r="AT684" s="545">
        <f ca="1">IF(AND($D684="Serviço",AT$12&lt;&gt;0,$H684&gt;0,OR(AUTOEVENTO&lt;&gt;"manual",$M684&lt;&gt;1)),
IF(Import.TipoArredondamento&lt;&gt;"TransfereGOV",
ROUND(OFFSET($P684,0,AT$13),15-13*ORÇAMENTO!$AF$7)/$H684*OFFSET(ORÇAMENTO!$X$15,ROW(AT684)-ROW(AT$15),0),
ROUND(ROUND(OFFSET($P684,0,AT$13),15-13*ORÇAMENTO!$AF$7)*OFFSET(ORÇAMENTO!$W$15,ROW(AT684)-ROW(AT$15),0),15-13*ORÇAMENTO!$AF$11)),0)</f>
        <v>0</v>
      </c>
      <c r="AU684" s="545">
        <f ca="1">IF(AND($D684="Serviço",AU$12&lt;&gt;0,$H684&gt;0,OR(AUTOEVENTO&lt;&gt;"manual",$M684&lt;&gt;1)),
IF(Import.TipoArredondamento&lt;&gt;"TransfereGOV",
ROUND(OFFSET($P684,0,AU$13),15-13*ORÇAMENTO!$AF$7)/$H684*OFFSET(ORÇAMENTO!$X$15,ROW(AU684)-ROW(AU$15),0),
ROUND(ROUND(OFFSET($P684,0,AU$13),15-13*ORÇAMENTO!$AF$7)*OFFSET(ORÇAMENTO!$W$15,ROW(AU684)-ROW(AU$15),0),15-13*ORÇAMENTO!$AF$11)),0)</f>
        <v>0</v>
      </c>
      <c r="AV684" s="545">
        <f ca="1">IF(AND($D684="Serviço",AV$12&lt;&gt;0,$H684&gt;0,OR(AUTOEVENTO&lt;&gt;"manual",$M684&lt;&gt;1)),
IF(Import.TipoArredondamento&lt;&gt;"TransfereGOV",
ROUND(OFFSET($P684,0,AV$13),15-13*ORÇAMENTO!$AF$7)/$H684*OFFSET(ORÇAMENTO!$X$15,ROW(AV684)-ROW(AV$15),0),
ROUND(ROUND(OFFSET($P684,0,AV$13),15-13*ORÇAMENTO!$AF$7)*OFFSET(ORÇAMENTO!$W$15,ROW(AV684)-ROW(AV$15),0),15-13*ORÇAMENTO!$AF$11)),0)</f>
        <v>0</v>
      </c>
      <c r="AW684" s="545">
        <f ca="1">IF(AND($D684="Serviço",AW$12&lt;&gt;0,$H684&gt;0,OR(AUTOEVENTO&lt;&gt;"manual",$M684&lt;&gt;1)),
IF(Import.TipoArredondamento&lt;&gt;"TransfereGOV",
ROUND(OFFSET($P684,0,AW$13),15-13*ORÇAMENTO!$AF$7)/$H684*OFFSET(ORÇAMENTO!$X$15,ROW(AW684)-ROW(AW$15),0),
ROUND(ROUND(OFFSET($P684,0,AW$13),15-13*ORÇAMENTO!$AF$7)*OFFSET(ORÇAMENTO!$W$15,ROW(AW684)-ROW(AW$15),0),15-13*ORÇAMENTO!$AF$11)),0)</f>
        <v>0</v>
      </c>
      <c r="AX684" s="545">
        <f ca="1">IF(AND($D684="Serviço",AX$12&lt;&gt;0,$H684&gt;0,OR(AUTOEVENTO&lt;&gt;"manual",$M684&lt;&gt;1)),
IF(Import.TipoArredondamento&lt;&gt;"TransfereGOV",
ROUND(OFFSET($P684,0,AX$13),15-13*ORÇAMENTO!$AF$7)/$H684*OFFSET(ORÇAMENTO!$X$15,ROW(AX684)-ROW(AX$15),0),
ROUND(ROUND(OFFSET($P684,0,AX$13),15-13*ORÇAMENTO!$AF$7)*OFFSET(ORÇAMENTO!$W$15,ROW(AX684)-ROW(AX$15),0),15-13*ORÇAMENTO!$AF$11)),0)</f>
        <v>0</v>
      </c>
      <c r="AY684" s="545">
        <f ca="1">IF(AND($D684="Serviço",AY$12&lt;&gt;0,$H684&gt;0,OR(AUTOEVENTO&lt;&gt;"manual",$M684&lt;&gt;1)),
IF(Import.TipoArredondamento&lt;&gt;"TransfereGOV",
ROUND(OFFSET($P684,0,AY$13),15-13*ORÇAMENTO!$AF$7)/$H684*OFFSET(ORÇAMENTO!$X$15,ROW(AY684)-ROW(AY$15),0),
ROUND(ROUND(OFFSET($P684,0,AY$13),15-13*ORÇAMENTO!$AF$7)*OFFSET(ORÇAMENTO!$W$15,ROW(AY684)-ROW(AY$15),0),15-13*ORÇAMENTO!$AF$11)),0)</f>
        <v>0</v>
      </c>
      <c r="AZ684" s="545">
        <f ca="1">IF(AND($D684="Serviço",AZ$12&lt;&gt;0,$H684&gt;0,OR(AUTOEVENTO&lt;&gt;"manual",$M684&lt;&gt;1)),
IF(Import.TipoArredondamento&lt;&gt;"TransfereGOV",
ROUND(OFFSET($P684,0,AZ$13),15-13*ORÇAMENTO!$AF$7)/$H684*OFFSET(ORÇAMENTO!$X$15,ROW(AZ684)-ROW(AZ$15),0),
ROUND(ROUND(OFFSET($P684,0,AZ$13),15-13*ORÇAMENTO!$AF$7)*OFFSET(ORÇAMENTO!$W$15,ROW(AZ684)-ROW(AZ$15),0),15-13*ORÇAMENTO!$AF$11)),0)</f>
        <v>0</v>
      </c>
      <c r="BA684" s="546">
        <f ca="1">IF(AND($D684="Serviço",BA$12&lt;&gt;0,$H684&gt;0,OR(AUTOEVENTO&lt;&gt;"manual",$M684&lt;&gt;1)),
IF(Import.TipoArredondamento&lt;&gt;"TransfereGOV",
ROUND(OFFSET($P684,0,BA$13),15-13*ORÇAMENTO!$AF$7)/$H684*OFFSET(ORÇAMENTO!$X$15,ROW(BA684)-ROW(BA$15),0),
ROUND(ROUND(OFFSET($P684,0,BA$13),15-13*ORÇAMENTO!$AF$7)*OFFSET(ORÇAMENTO!$W$15,ROW(BA684)-ROW(BA$15),0),15-13*ORÇAMENTO!$AF$11)),0)</f>
        <v>0</v>
      </c>
      <c r="BC684" s="181">
        <f ca="1">IF($D684&lt;&gt;"Serviço",0,IF(AND(AUTOEVENTO="Manual",$M684=1),0,IF(OFFSET(CRONOPLE!$F$14,$M684,BC$13)="",10^12,OFFSET(CRONOPLE!$F$14,$M684,BC$13))))</f>
        <v>12</v>
      </c>
      <c r="BD684" s="181">
        <f ca="1">IF($D684&lt;&gt;"Serviço",0,IF(AND(AUTOEVENTO="Manual",$M684=1),0,IF(OFFSET(CRONOPLE!$F$14,$M684,BD$13)="",10^12,OFFSET(CRONOPLE!$F$14,$M684,BD$13))))</f>
        <v>1000000000000</v>
      </c>
      <c r="BE684" s="181">
        <f ca="1">IF($D684&lt;&gt;"Serviço",0,IF(AND(AUTOEVENTO="Manual",$M684=1),0,IF(OFFSET(CRONOPLE!$F$14,$M684,BE$13)="",10^12,OFFSET(CRONOPLE!$F$14,$M684,BE$13))))</f>
        <v>1000000000000</v>
      </c>
      <c r="BF684" s="181">
        <f ca="1">IF($D684&lt;&gt;"Serviço",0,IF(AND(AUTOEVENTO="Manual",$M684=1),0,IF(OFFSET(CRONOPLE!$F$14,$M684,BF$13)="",10^12,OFFSET(CRONOPLE!$F$14,$M684,BF$13))))</f>
        <v>1000000000000</v>
      </c>
      <c r="BG684" s="181">
        <f ca="1">IF($D684&lt;&gt;"Serviço",0,IF(AND(AUTOEVENTO="Manual",$M684=1),0,IF(OFFSET(CRONOPLE!$F$14,$M684,BG$13)="",10^12,OFFSET(CRONOPLE!$F$14,$M684,BG$13))))</f>
        <v>1000000000000</v>
      </c>
      <c r="BH684" s="181">
        <f ca="1">IF($D684&lt;&gt;"Serviço",0,IF(AND(AUTOEVENTO="Manual",$M684=1),0,IF(OFFSET(CRONOPLE!$F$14,$M684,BH$13)="",10^12,OFFSET(CRONOPLE!$F$14,$M684,BH$13))))</f>
        <v>1000000000000</v>
      </c>
      <c r="BI684" s="181">
        <f ca="1">IF($D684&lt;&gt;"Serviço",0,IF(AND(AUTOEVENTO="Manual",$M684=1),0,IF(OFFSET(CRONOPLE!$F$14,$M684,BI$13)="",10^12,OFFSET(CRONOPLE!$F$14,$M684,BI$13))))</f>
        <v>1000000000000</v>
      </c>
      <c r="BJ684" s="181">
        <f ca="1">IF($D684&lt;&gt;"Serviço",0,IF(AND(AUTOEVENTO="Manual",$M684=1),0,IF(OFFSET(CRONOPLE!$F$14,$M684,BJ$13)="",10^12,OFFSET(CRONOPLE!$F$14,$M684,BJ$13))))</f>
        <v>1000000000000</v>
      </c>
      <c r="BK684" s="181">
        <f ca="1">IF($D684&lt;&gt;"Serviço",0,IF(AND(AUTOEVENTO="Manual",$M684=1),0,IF(OFFSET(CRONOPLE!$F$14,$M684,BK$13)="",10^12,OFFSET(CRONOPLE!$F$14,$M684,BK$13))))</f>
        <v>1000000000000</v>
      </c>
      <c r="BL684" s="181">
        <f ca="1">IF($D684&lt;&gt;"Serviço",0,IF(AND(AUTOEVENTO="Manual",$M684=1),0,IF(OFFSET(CRONOPLE!$F$14,$M684,BL$13)="",10^12,OFFSET(CRONOPLE!$F$14,$M684,BL$13))))</f>
        <v>1000000000000</v>
      </c>
      <c r="BM684" s="181">
        <f ca="1">IF($D684&lt;&gt;"Serviço",0,IF(AND(AUTOEVENTO="Manual",$M684=1),0,IF(OFFSET(CRONOPLE!$F$14,$M684,BM$13)="",10^12,OFFSET(CRONOPLE!$F$14,$M684,BM$13))))</f>
        <v>1000000000000</v>
      </c>
      <c r="BN684" s="181">
        <f ca="1">IF($D684&lt;&gt;"Serviço",0,IF(AND(AUTOEVENTO="Manual",$M684=1),0,IF(OFFSET(CRONOPLE!$F$14,$M684,BN$13)="",10^12,OFFSET(CRONOPLE!$F$14,$M684,BN$13))))</f>
        <v>1000000000000</v>
      </c>
      <c r="BO684" s="181">
        <f ca="1">IF($D684&lt;&gt;"Serviço",0,IF(AND(AUTOEVENTO="Manual",$M684=1),0,IF(OFFSET(CRONOPLE!$F$14,$M684,BO$13)="",10^12,OFFSET(CRONOPLE!$F$14,$M684,BO$13))))</f>
        <v>1000000000000</v>
      </c>
      <c r="BP684" s="181">
        <f ca="1">IF($D684&lt;&gt;"Serviço",0,IF(AND(AUTOEVENTO="Manual",$M684=1),0,IF(OFFSET(CRONOPLE!$F$14,$M684,BP$13)="",10^12,OFFSET(CRONOPLE!$F$14,$M684,BP$13))))</f>
        <v>1000000000000</v>
      </c>
      <c r="BQ684" s="181">
        <f ca="1">IF($D684&lt;&gt;"Serviço",0,IF(AND(AUTOEVENTO="Manual",$M684=1),0,IF(OFFSET(CRONOPLE!$F$14,$M684,BQ$13)="",10^12,OFFSET(CRONOPLE!$F$14,$M684,BQ$13))))</f>
        <v>1000000000000</v>
      </c>
      <c r="BR684" s="181">
        <f ca="1">IF($D684&lt;&gt;"Serviço",0,IF(AND(AUTOEVENTO="Manual",$M684=1),0,IF(OFFSET(CRONOPLE!$F$14,$M684,BR$13)="",10^12,OFFSET(CRONOPLE!$F$14,$M684,BR$13))))</f>
        <v>1000000000000</v>
      </c>
      <c r="BS684" s="181">
        <f ca="1">IF($D684&lt;&gt;"Serviço",0,IF(AND(AUTOEVENTO="Manual",$M684=1),0,IF(OFFSET(CRONOPLE!$F$14,$M684,BS$13)="",10^12,OFFSET(CRONOPLE!$F$14,$M684,BS$13))))</f>
        <v>1000000000000</v>
      </c>
      <c r="BT684" s="181">
        <f ca="1">IF($D684&lt;&gt;"Serviço",0,IF(AND(AUTOEVENTO="Manual",$M684=1),0,IF(OFFSET(CRONOPLE!$F$14,$M684,BT$13)="",10^12,OFFSET(CRONOPLE!$F$14,$M684,BT$13))))</f>
        <v>1000000000000</v>
      </c>
      <c r="BV684" s="182">
        <f ca="1">IF($D684&lt;&gt;"Serviço",0,IF(OR(AND(AUTOEVENTO="Manual",$M684=1),$M684&gt;(ROW(PLE.lastrow)-ROW(PLE.firstrow))),0,IF(OFFSET(PLE!$G$14,$M684,BV$13)="",10^12,OFFSET(PLE!$G$14,$M684,BV$13))))</f>
        <v>1000000000000</v>
      </c>
      <c r="BW684" s="182">
        <f ca="1">IF($D684&lt;&gt;"Serviço",0,IF(OR(AND(AUTOEVENTO="Manual",$M684=1),$M684&gt;(ROW(PLE.lastrow)-ROW(PLE.firstrow))),0,IF(OFFSET(PLE!$G$14,$M684,BW$13)="",10^12,OFFSET(PLE!$G$14,$M684,BW$13))))</f>
        <v>1000000000000</v>
      </c>
      <c r="BX684" s="182">
        <f ca="1">IF($D684&lt;&gt;"Serviço",0,IF(OR(AND(AUTOEVENTO="Manual",$M684=1),$M684&gt;(ROW(PLE.lastrow)-ROW(PLE.firstrow))),0,IF(OFFSET(PLE!$G$14,$M684,BX$13)="",10^12,OFFSET(PLE!$G$14,$M684,BX$13))))</f>
        <v>1000000000000</v>
      </c>
      <c r="BY684" s="182">
        <f ca="1">IF($D684&lt;&gt;"Serviço",0,IF(OR(AND(AUTOEVENTO="Manual",$M684=1),$M684&gt;(ROW(PLE.lastrow)-ROW(PLE.firstrow))),0,IF(OFFSET(PLE!$G$14,$M684,BY$13)="",10^12,OFFSET(PLE!$G$14,$M684,BY$13))))</f>
        <v>1000000000000</v>
      </c>
      <c r="BZ684" s="182">
        <f ca="1">IF($D684&lt;&gt;"Serviço",0,IF(OR(AND(AUTOEVENTO="Manual",$M684=1),$M684&gt;(ROW(PLE.lastrow)-ROW(PLE.firstrow))),0,IF(OFFSET(PLE!$G$14,$M684,BZ$13)="",10^12,OFFSET(PLE!$G$14,$M684,BZ$13))))</f>
        <v>1000000000000</v>
      </c>
      <c r="CA684" s="182">
        <f ca="1">IF($D684&lt;&gt;"Serviço",0,IF(OR(AND(AUTOEVENTO="Manual",$M684=1),$M684&gt;(ROW(PLE.lastrow)-ROW(PLE.firstrow))),0,IF(OFFSET(PLE!$G$14,$M684,CA$13)="",10^12,OFFSET(PLE!$G$14,$M684,CA$13))))</f>
        <v>1000000000000</v>
      </c>
      <c r="CB684" s="182">
        <f ca="1">IF($D684&lt;&gt;"Serviço",0,IF(OR(AND(AUTOEVENTO="Manual",$M684=1),$M684&gt;(ROW(PLE.lastrow)-ROW(PLE.firstrow))),0,IF(OFFSET(PLE!$G$14,$M684,CB$13)="",10^12,OFFSET(PLE!$G$14,$M684,CB$13))))</f>
        <v>1000000000000</v>
      </c>
      <c r="CC684" s="182">
        <f ca="1">IF($D684&lt;&gt;"Serviço",0,IF(OR(AND(AUTOEVENTO="Manual",$M684=1),$M684&gt;(ROW(PLE.lastrow)-ROW(PLE.firstrow))),0,IF(OFFSET(PLE!$G$14,$M684,CC$13)="",10^12,OFFSET(PLE!$G$14,$M684,CC$13))))</f>
        <v>1000000000000</v>
      </c>
      <c r="CD684" s="182">
        <f ca="1">IF($D684&lt;&gt;"Serviço",0,IF(OR(AND(AUTOEVENTO="Manual",$M684=1),$M684&gt;(ROW(PLE.lastrow)-ROW(PLE.firstrow))),0,IF(OFFSET(PLE!$G$14,$M684,CD$13)="",10^12,OFFSET(PLE!$G$14,$M684,CD$13))))</f>
        <v>1000000000000</v>
      </c>
      <c r="CE684" s="182">
        <f ca="1">IF($D684&lt;&gt;"Serviço",0,IF(OR(AND(AUTOEVENTO="Manual",$M684=1),$M684&gt;(ROW(PLE.lastrow)-ROW(PLE.firstrow))),0,IF(OFFSET(PLE!$G$14,$M684,CE$13)="",10^12,OFFSET(PLE!$G$14,$M684,CE$13))))</f>
        <v>1000000000000</v>
      </c>
      <c r="CF684" s="182">
        <f ca="1">IF($D684&lt;&gt;"Serviço",0,IF(OR(AND(AUTOEVENTO="Manual",$M684=1),$M684&gt;(ROW(PLE.lastrow)-ROW(PLE.firstrow))),0,IF(OFFSET(PLE!$G$14,$M684,CF$13)="",10^12,OFFSET(PLE!$G$14,$M684,CF$13))))</f>
        <v>1000000000000</v>
      </c>
      <c r="CG684" s="182">
        <f ca="1">IF($D684&lt;&gt;"Serviço",0,IF(OR(AND(AUTOEVENTO="Manual",$M684=1),$M684&gt;(ROW(PLE.lastrow)-ROW(PLE.firstrow))),0,IF(OFFSET(PLE!$G$14,$M684,CG$13)="",10^12,OFFSET(PLE!$G$14,$M684,CG$13))))</f>
        <v>1000000000000</v>
      </c>
      <c r="CH684" s="182">
        <f ca="1">IF($D684&lt;&gt;"Serviço",0,IF(OR(AND(AUTOEVENTO="Manual",$M684=1),$M684&gt;(ROW(PLE.lastrow)-ROW(PLE.firstrow))),0,IF(OFFSET(PLE!$G$14,$M684,CH$13)="",10^12,OFFSET(PLE!$G$14,$M684,CH$13))))</f>
        <v>1000000000000</v>
      </c>
      <c r="CI684" s="182">
        <f ca="1">IF($D684&lt;&gt;"Serviço",0,IF(OR(AND(AUTOEVENTO="Manual",$M684=1),$M684&gt;(ROW(PLE.lastrow)-ROW(PLE.firstrow))),0,IF(OFFSET(PLE!$G$14,$M684,CI$13)="",10^12,OFFSET(PLE!$G$14,$M684,CI$13))))</f>
        <v>1000000000000</v>
      </c>
      <c r="CJ684" s="182">
        <f ca="1">IF($D684&lt;&gt;"Serviço",0,IF(OR(AND(AUTOEVENTO="Manual",$M684=1),$M684&gt;(ROW(PLE.lastrow)-ROW(PLE.firstrow))),0,IF(OFFSET(PLE!$G$14,$M684,CJ$13)="",10^12,OFFSET(PLE!$G$14,$M684,CJ$13))))</f>
        <v>1000000000000</v>
      </c>
      <c r="CK684" s="182">
        <f ca="1">IF($D684&lt;&gt;"Serviço",0,IF(OR(AND(AUTOEVENTO="Manual",$M684=1),$M684&gt;(ROW(PLE.lastrow)-ROW(PLE.firstrow))),0,IF(OFFSET(PLE!$G$14,$M684,CK$13)="",10^12,OFFSET(PLE!$G$14,$M684,CK$13))))</f>
        <v>1000000000000</v>
      </c>
      <c r="CL684" s="182">
        <f ca="1">IF($D684&lt;&gt;"Serviço",0,IF(OR(AND(AUTOEVENTO="Manual",$M684=1),$M684&gt;(ROW(PLE.lastrow)-ROW(PLE.firstrow))),0,IF(OFFSET(PLE!$G$14,$M684,CL$13)="",10^12,OFFSET(PLE!$G$14,$M684,CL$13))))</f>
        <v>1000000000000</v>
      </c>
      <c r="CM684" s="182">
        <f ca="1">IF($D684&lt;&gt;"Serviço",0,IF(OR(AND(AUTOEVENTO="Manual",$M684=1),$M684&gt;(ROW(PLE.lastrow)-ROW(PLE.firstrow))),0,IF(OFFSET(PLE!$G$14,$M684,CM$13)="",10^12,OFFSET(PLE!$G$14,$M684,CM$13))))</f>
        <v>1000000000000</v>
      </c>
    </row>
    <row r="685" spans="1:91" ht="38.25" x14ac:dyDescent="0.2">
      <c r="A685" s="7" t="str">
        <f t="shared" ca="1" si="19"/>
        <v>667</v>
      </c>
      <c r="B685" s="7" t="str">
        <f ca="1">OFFSET(ORÇAMENTO!C$15,ROW(B685)-ROW(B$15),0)</f>
        <v>S</v>
      </c>
      <c r="C685" s="7" t="str">
        <f ca="1">OFFSET(ORÇAMENTO!L$15,ROW(C685)-ROW(C$15),0)</f>
        <v/>
      </c>
      <c r="D685" s="118" t="str">
        <f ca="1">OFFSET(ORÇAMENTO!N$15,ROW(D685)-ROW(D$15),0)</f>
        <v>Serviço</v>
      </c>
      <c r="E685" s="119" t="str">
        <f ca="1">OFFSET(ORÇAMENTO!O$15,ROW(E685)-ROW(E$15),0)</f>
        <v>-</v>
      </c>
      <c r="F685" s="172" t="str">
        <f ca="1">OFFSET(ORÇAMENTO!R$15,ROW(F685)-ROW(F$15),0)</f>
        <v>(abra o arquivo 'Referência 06-2024.xlsm)</v>
      </c>
      <c r="G685" s="173" t="str">
        <f ca="1">IF($D685&lt;&gt;"Serviço","",OFFSET(ORÇAMENTO!S$15,ROW(G685)-ROW(G$15),0))</f>
        <v>-</v>
      </c>
      <c r="H685" s="124">
        <f ca="1">IF($D685&lt;&gt;"Serviço",0,IF(ACOMPANHAMENTO="BM",ROUND(OFFSET(ORÇAMENTO!AJ$15,ROW(H685)-ROW(H$15),0),15-13*ORÇAMENTO!$AF$7),SUMPRODUCT(($Q$12:$AI$12&lt;&gt;"")*ROUND($Q685:$AI685,15-13*ORÇAMENTO!$AF$7))))</f>
        <v>29.23</v>
      </c>
      <c r="I685" s="561" t="s">
        <v>1107</v>
      </c>
      <c r="K685" s="174"/>
      <c r="L685" s="175" t="s">
        <v>255</v>
      </c>
      <c r="M685" s="176">
        <f ca="1">IF($D685&lt;&gt;"Serviço","",IF(AUTOEVENTO="manual",$A685,IF(ISERROR(MATCH($A685,$A$15:OFFSET($A685,-1,0),0)),MAX($M$15:OFFSET(M685,-1,0))+1,INDEX($M$15:OFFSET(M685,-1,0),MATCH($A685,$A$15:OFFSET($A685,-1,0),0)))))</f>
        <v>74</v>
      </c>
      <c r="N685" s="177" t="str">
        <f ca="1">IF($D685&lt;&gt;"Serviço","",IF(AUTOEVENTO="Manual",IF($A685=0,"&lt;-- defina o número do agrupador",OFFSET(EVENTOS!$D$14,$A685,0)),OFFSET($F$15,$A685,0)))</f>
        <v>MURO DE FECHAMENTO - MOVIMENTO DE TERRA PARA FUNDAÇÕES</v>
      </c>
      <c r="O685" s="178"/>
      <c r="Q685" s="178">
        <v>29.23</v>
      </c>
      <c r="R685" s="179"/>
      <c r="S685" s="179"/>
      <c r="T685" s="179"/>
      <c r="U685" s="179"/>
      <c r="V685" s="179"/>
      <c r="W685" s="179"/>
      <c r="X685" s="179"/>
      <c r="Y685" s="179"/>
      <c r="Z685" s="180"/>
      <c r="AA685" s="179"/>
      <c r="AB685" s="179"/>
      <c r="AC685" s="179"/>
      <c r="AD685" s="179"/>
      <c r="AE685" s="179"/>
      <c r="AF685" s="179"/>
      <c r="AG685" s="179"/>
      <c r="AH685" s="180"/>
      <c r="AJ685" s="544">
        <f ca="1">IF(AND($D685="Serviço",AJ$12&lt;&gt;0,$H685&gt;0,OR(AUTOEVENTO&lt;&gt;"manual",$M685&lt;&gt;1)),
IF(Import.TipoArredondamento&lt;&gt;"TransfereGOV",
ROUND(OFFSET($P685,0,AJ$13),15-13*ORÇAMENTO!$AF$7)/$H685*OFFSET(ORÇAMENTO!$X$15,ROW(AJ685)-ROW(AJ$15),0),
ROUND(ROUND(OFFSET($P685,0,AJ$13),15-13*ORÇAMENTO!$AF$7)*OFFSET(ORÇAMENTO!$W$15,ROW(AJ685)-ROW(AJ$15),0),15-13*ORÇAMENTO!$AF$11)),0)</f>
        <v>0</v>
      </c>
      <c r="AK685" s="545">
        <f ca="1">IF(AND($D685="Serviço",AK$12&lt;&gt;0,$H685&gt;0,OR(AUTOEVENTO&lt;&gt;"manual",$M685&lt;&gt;1)),
IF(Import.TipoArredondamento&lt;&gt;"TransfereGOV",
ROUND(OFFSET($P685,0,AK$13),15-13*ORÇAMENTO!$AF$7)/$H685*OFFSET(ORÇAMENTO!$X$15,ROW(AK685)-ROW(AK$15),0),
ROUND(ROUND(OFFSET($P685,0,AK$13),15-13*ORÇAMENTO!$AF$7)*OFFSET(ORÇAMENTO!$W$15,ROW(AK685)-ROW(AK$15),0),15-13*ORÇAMENTO!$AF$11)),0)</f>
        <v>0</v>
      </c>
      <c r="AL685" s="545">
        <f ca="1">IF(AND($D685="Serviço",AL$12&lt;&gt;0,$H685&gt;0,OR(AUTOEVENTO&lt;&gt;"manual",$M685&lt;&gt;1)),
IF(Import.TipoArredondamento&lt;&gt;"TransfereGOV",
ROUND(OFFSET($P685,0,AL$13),15-13*ORÇAMENTO!$AF$7)/$H685*OFFSET(ORÇAMENTO!$X$15,ROW(AL685)-ROW(AL$15),0),
ROUND(ROUND(OFFSET($P685,0,AL$13),15-13*ORÇAMENTO!$AF$7)*OFFSET(ORÇAMENTO!$W$15,ROW(AL685)-ROW(AL$15),0),15-13*ORÇAMENTO!$AF$11)),0)</f>
        <v>0</v>
      </c>
      <c r="AM685" s="545">
        <f ca="1">IF(AND($D685="Serviço",AM$12&lt;&gt;0,$H685&gt;0,OR(AUTOEVENTO&lt;&gt;"manual",$M685&lt;&gt;1)),
IF(Import.TipoArredondamento&lt;&gt;"TransfereGOV",
ROUND(OFFSET($P685,0,AM$13),15-13*ORÇAMENTO!$AF$7)/$H685*OFFSET(ORÇAMENTO!$X$15,ROW(AM685)-ROW(AM$15),0),
ROUND(ROUND(OFFSET($P685,0,AM$13),15-13*ORÇAMENTO!$AF$7)*OFFSET(ORÇAMENTO!$W$15,ROW(AM685)-ROW(AM$15),0),15-13*ORÇAMENTO!$AF$11)),0)</f>
        <v>0</v>
      </c>
      <c r="AN685" s="545">
        <f ca="1">IF(AND($D685="Serviço",AN$12&lt;&gt;0,$H685&gt;0,OR(AUTOEVENTO&lt;&gt;"manual",$M685&lt;&gt;1)),
IF(Import.TipoArredondamento&lt;&gt;"TransfereGOV",
ROUND(OFFSET($P685,0,AN$13),15-13*ORÇAMENTO!$AF$7)/$H685*OFFSET(ORÇAMENTO!$X$15,ROW(AN685)-ROW(AN$15),0),
ROUND(ROUND(OFFSET($P685,0,AN$13),15-13*ORÇAMENTO!$AF$7)*OFFSET(ORÇAMENTO!$W$15,ROW(AN685)-ROW(AN$15),0),15-13*ORÇAMENTO!$AF$11)),0)</f>
        <v>0</v>
      </c>
      <c r="AO685" s="545">
        <f ca="1">IF(AND($D685="Serviço",AO$12&lt;&gt;0,$H685&gt;0,OR(AUTOEVENTO&lt;&gt;"manual",$M685&lt;&gt;1)),
IF(Import.TipoArredondamento&lt;&gt;"TransfereGOV",
ROUND(OFFSET($P685,0,AO$13),15-13*ORÇAMENTO!$AF$7)/$H685*OFFSET(ORÇAMENTO!$X$15,ROW(AO685)-ROW(AO$15),0),
ROUND(ROUND(OFFSET($P685,0,AO$13),15-13*ORÇAMENTO!$AF$7)*OFFSET(ORÇAMENTO!$W$15,ROW(AO685)-ROW(AO$15),0),15-13*ORÇAMENTO!$AF$11)),0)</f>
        <v>0</v>
      </c>
      <c r="AP685" s="545">
        <f ca="1">IF(AND($D685="Serviço",AP$12&lt;&gt;0,$H685&gt;0,OR(AUTOEVENTO&lt;&gt;"manual",$M685&lt;&gt;1)),
IF(Import.TipoArredondamento&lt;&gt;"TransfereGOV",
ROUND(OFFSET($P685,0,AP$13),15-13*ORÇAMENTO!$AF$7)/$H685*OFFSET(ORÇAMENTO!$X$15,ROW(AP685)-ROW(AP$15),0),
ROUND(ROUND(OFFSET($P685,0,AP$13),15-13*ORÇAMENTO!$AF$7)*OFFSET(ORÇAMENTO!$W$15,ROW(AP685)-ROW(AP$15),0),15-13*ORÇAMENTO!$AF$11)),0)</f>
        <v>0</v>
      </c>
      <c r="AQ685" s="545">
        <f ca="1">IF(AND($D685="Serviço",AQ$12&lt;&gt;0,$H685&gt;0,OR(AUTOEVENTO&lt;&gt;"manual",$M685&lt;&gt;1)),
IF(Import.TipoArredondamento&lt;&gt;"TransfereGOV",
ROUND(OFFSET($P685,0,AQ$13),15-13*ORÇAMENTO!$AF$7)/$H685*OFFSET(ORÇAMENTO!$X$15,ROW(AQ685)-ROW(AQ$15),0),
ROUND(ROUND(OFFSET($P685,0,AQ$13),15-13*ORÇAMENTO!$AF$7)*OFFSET(ORÇAMENTO!$W$15,ROW(AQ685)-ROW(AQ$15),0),15-13*ORÇAMENTO!$AF$11)),0)</f>
        <v>0</v>
      </c>
      <c r="AR685" s="545">
        <f ca="1">IF(AND($D685="Serviço",AR$12&lt;&gt;0,$H685&gt;0,OR(AUTOEVENTO&lt;&gt;"manual",$M685&lt;&gt;1)),
IF(Import.TipoArredondamento&lt;&gt;"TransfereGOV",
ROUND(OFFSET($P685,0,AR$13),15-13*ORÇAMENTO!$AF$7)/$H685*OFFSET(ORÇAMENTO!$X$15,ROW(AR685)-ROW(AR$15),0),
ROUND(ROUND(OFFSET($P685,0,AR$13),15-13*ORÇAMENTO!$AF$7)*OFFSET(ORÇAMENTO!$W$15,ROW(AR685)-ROW(AR$15),0),15-13*ORÇAMENTO!$AF$11)),0)</f>
        <v>0</v>
      </c>
      <c r="AS685" s="546">
        <f ca="1">IF(AND($D685="Serviço",AS$12&lt;&gt;0,$H685&gt;0,OR(AUTOEVENTO&lt;&gt;"manual",$M685&lt;&gt;1)),
IF(Import.TipoArredondamento&lt;&gt;"TransfereGOV",
ROUND(OFFSET($P685,0,AS$13),15-13*ORÇAMENTO!$AF$7)/$H685*OFFSET(ORÇAMENTO!$X$15,ROW(AS685)-ROW(AS$15),0),
ROUND(ROUND(OFFSET($P685,0,AS$13),15-13*ORÇAMENTO!$AF$7)*OFFSET(ORÇAMENTO!$W$15,ROW(AS685)-ROW(AS$15),0),15-13*ORÇAMENTO!$AF$11)),0)</f>
        <v>0</v>
      </c>
      <c r="AT685" s="545">
        <f ca="1">IF(AND($D685="Serviço",AT$12&lt;&gt;0,$H685&gt;0,OR(AUTOEVENTO&lt;&gt;"manual",$M685&lt;&gt;1)),
IF(Import.TipoArredondamento&lt;&gt;"TransfereGOV",
ROUND(OFFSET($P685,0,AT$13),15-13*ORÇAMENTO!$AF$7)/$H685*OFFSET(ORÇAMENTO!$X$15,ROW(AT685)-ROW(AT$15),0),
ROUND(ROUND(OFFSET($P685,0,AT$13),15-13*ORÇAMENTO!$AF$7)*OFFSET(ORÇAMENTO!$W$15,ROW(AT685)-ROW(AT$15),0),15-13*ORÇAMENTO!$AF$11)),0)</f>
        <v>0</v>
      </c>
      <c r="AU685" s="545">
        <f ca="1">IF(AND($D685="Serviço",AU$12&lt;&gt;0,$H685&gt;0,OR(AUTOEVENTO&lt;&gt;"manual",$M685&lt;&gt;1)),
IF(Import.TipoArredondamento&lt;&gt;"TransfereGOV",
ROUND(OFFSET($P685,0,AU$13),15-13*ORÇAMENTO!$AF$7)/$H685*OFFSET(ORÇAMENTO!$X$15,ROW(AU685)-ROW(AU$15),0),
ROUND(ROUND(OFFSET($P685,0,AU$13),15-13*ORÇAMENTO!$AF$7)*OFFSET(ORÇAMENTO!$W$15,ROW(AU685)-ROW(AU$15),0),15-13*ORÇAMENTO!$AF$11)),0)</f>
        <v>0</v>
      </c>
      <c r="AV685" s="545">
        <f ca="1">IF(AND($D685="Serviço",AV$12&lt;&gt;0,$H685&gt;0,OR(AUTOEVENTO&lt;&gt;"manual",$M685&lt;&gt;1)),
IF(Import.TipoArredondamento&lt;&gt;"TransfereGOV",
ROUND(OFFSET($P685,0,AV$13),15-13*ORÇAMENTO!$AF$7)/$H685*OFFSET(ORÇAMENTO!$X$15,ROW(AV685)-ROW(AV$15),0),
ROUND(ROUND(OFFSET($P685,0,AV$13),15-13*ORÇAMENTO!$AF$7)*OFFSET(ORÇAMENTO!$W$15,ROW(AV685)-ROW(AV$15),0),15-13*ORÇAMENTO!$AF$11)),0)</f>
        <v>0</v>
      </c>
      <c r="AW685" s="545">
        <f ca="1">IF(AND($D685="Serviço",AW$12&lt;&gt;0,$H685&gt;0,OR(AUTOEVENTO&lt;&gt;"manual",$M685&lt;&gt;1)),
IF(Import.TipoArredondamento&lt;&gt;"TransfereGOV",
ROUND(OFFSET($P685,0,AW$13),15-13*ORÇAMENTO!$AF$7)/$H685*OFFSET(ORÇAMENTO!$X$15,ROW(AW685)-ROW(AW$15),0),
ROUND(ROUND(OFFSET($P685,0,AW$13),15-13*ORÇAMENTO!$AF$7)*OFFSET(ORÇAMENTO!$W$15,ROW(AW685)-ROW(AW$15),0),15-13*ORÇAMENTO!$AF$11)),0)</f>
        <v>0</v>
      </c>
      <c r="AX685" s="545">
        <f ca="1">IF(AND($D685="Serviço",AX$12&lt;&gt;0,$H685&gt;0,OR(AUTOEVENTO&lt;&gt;"manual",$M685&lt;&gt;1)),
IF(Import.TipoArredondamento&lt;&gt;"TransfereGOV",
ROUND(OFFSET($P685,0,AX$13),15-13*ORÇAMENTO!$AF$7)/$H685*OFFSET(ORÇAMENTO!$X$15,ROW(AX685)-ROW(AX$15),0),
ROUND(ROUND(OFFSET($P685,0,AX$13),15-13*ORÇAMENTO!$AF$7)*OFFSET(ORÇAMENTO!$W$15,ROW(AX685)-ROW(AX$15),0),15-13*ORÇAMENTO!$AF$11)),0)</f>
        <v>0</v>
      </c>
      <c r="AY685" s="545">
        <f ca="1">IF(AND($D685="Serviço",AY$12&lt;&gt;0,$H685&gt;0,OR(AUTOEVENTO&lt;&gt;"manual",$M685&lt;&gt;1)),
IF(Import.TipoArredondamento&lt;&gt;"TransfereGOV",
ROUND(OFFSET($P685,0,AY$13),15-13*ORÇAMENTO!$AF$7)/$H685*OFFSET(ORÇAMENTO!$X$15,ROW(AY685)-ROW(AY$15),0),
ROUND(ROUND(OFFSET($P685,0,AY$13),15-13*ORÇAMENTO!$AF$7)*OFFSET(ORÇAMENTO!$W$15,ROW(AY685)-ROW(AY$15),0),15-13*ORÇAMENTO!$AF$11)),0)</f>
        <v>0</v>
      </c>
      <c r="AZ685" s="545">
        <f ca="1">IF(AND($D685="Serviço",AZ$12&lt;&gt;0,$H685&gt;0,OR(AUTOEVENTO&lt;&gt;"manual",$M685&lt;&gt;1)),
IF(Import.TipoArredondamento&lt;&gt;"TransfereGOV",
ROUND(OFFSET($P685,0,AZ$13),15-13*ORÇAMENTO!$AF$7)/$H685*OFFSET(ORÇAMENTO!$X$15,ROW(AZ685)-ROW(AZ$15),0),
ROUND(ROUND(OFFSET($P685,0,AZ$13),15-13*ORÇAMENTO!$AF$7)*OFFSET(ORÇAMENTO!$W$15,ROW(AZ685)-ROW(AZ$15),0),15-13*ORÇAMENTO!$AF$11)),0)</f>
        <v>0</v>
      </c>
      <c r="BA685" s="546">
        <f ca="1">IF(AND($D685="Serviço",BA$12&lt;&gt;0,$H685&gt;0,OR(AUTOEVENTO&lt;&gt;"manual",$M685&lt;&gt;1)),
IF(Import.TipoArredondamento&lt;&gt;"TransfereGOV",
ROUND(OFFSET($P685,0,BA$13),15-13*ORÇAMENTO!$AF$7)/$H685*OFFSET(ORÇAMENTO!$X$15,ROW(BA685)-ROW(BA$15),0),
ROUND(ROUND(OFFSET($P685,0,BA$13),15-13*ORÇAMENTO!$AF$7)*OFFSET(ORÇAMENTO!$W$15,ROW(BA685)-ROW(BA$15),0),15-13*ORÇAMENTO!$AF$11)),0)</f>
        <v>0</v>
      </c>
      <c r="BC685" s="181">
        <f ca="1">IF($D685&lt;&gt;"Serviço",0,IF(AND(AUTOEVENTO="Manual",$M685=1),0,IF(OFFSET(CRONOPLE!$F$14,$M685,BC$13)="",10^12,OFFSET(CRONOPLE!$F$14,$M685,BC$13))))</f>
        <v>12</v>
      </c>
      <c r="BD685" s="181">
        <f ca="1">IF($D685&lt;&gt;"Serviço",0,IF(AND(AUTOEVENTO="Manual",$M685=1),0,IF(OFFSET(CRONOPLE!$F$14,$M685,BD$13)="",10^12,OFFSET(CRONOPLE!$F$14,$M685,BD$13))))</f>
        <v>1000000000000</v>
      </c>
      <c r="BE685" s="181">
        <f ca="1">IF($D685&lt;&gt;"Serviço",0,IF(AND(AUTOEVENTO="Manual",$M685=1),0,IF(OFFSET(CRONOPLE!$F$14,$M685,BE$13)="",10^12,OFFSET(CRONOPLE!$F$14,$M685,BE$13))))</f>
        <v>1000000000000</v>
      </c>
      <c r="BF685" s="181">
        <f ca="1">IF($D685&lt;&gt;"Serviço",0,IF(AND(AUTOEVENTO="Manual",$M685=1),0,IF(OFFSET(CRONOPLE!$F$14,$M685,BF$13)="",10^12,OFFSET(CRONOPLE!$F$14,$M685,BF$13))))</f>
        <v>1000000000000</v>
      </c>
      <c r="BG685" s="181">
        <f ca="1">IF($D685&lt;&gt;"Serviço",0,IF(AND(AUTOEVENTO="Manual",$M685=1),0,IF(OFFSET(CRONOPLE!$F$14,$M685,BG$13)="",10^12,OFFSET(CRONOPLE!$F$14,$M685,BG$13))))</f>
        <v>1000000000000</v>
      </c>
      <c r="BH685" s="181">
        <f ca="1">IF($D685&lt;&gt;"Serviço",0,IF(AND(AUTOEVENTO="Manual",$M685=1),0,IF(OFFSET(CRONOPLE!$F$14,$M685,BH$13)="",10^12,OFFSET(CRONOPLE!$F$14,$M685,BH$13))))</f>
        <v>1000000000000</v>
      </c>
      <c r="BI685" s="181">
        <f ca="1">IF($D685&lt;&gt;"Serviço",0,IF(AND(AUTOEVENTO="Manual",$M685=1),0,IF(OFFSET(CRONOPLE!$F$14,$M685,BI$13)="",10^12,OFFSET(CRONOPLE!$F$14,$M685,BI$13))))</f>
        <v>1000000000000</v>
      </c>
      <c r="BJ685" s="181">
        <f ca="1">IF($D685&lt;&gt;"Serviço",0,IF(AND(AUTOEVENTO="Manual",$M685=1),0,IF(OFFSET(CRONOPLE!$F$14,$M685,BJ$13)="",10^12,OFFSET(CRONOPLE!$F$14,$M685,BJ$13))))</f>
        <v>1000000000000</v>
      </c>
      <c r="BK685" s="181">
        <f ca="1">IF($D685&lt;&gt;"Serviço",0,IF(AND(AUTOEVENTO="Manual",$M685=1),0,IF(OFFSET(CRONOPLE!$F$14,$M685,BK$13)="",10^12,OFFSET(CRONOPLE!$F$14,$M685,BK$13))))</f>
        <v>1000000000000</v>
      </c>
      <c r="BL685" s="181">
        <f ca="1">IF($D685&lt;&gt;"Serviço",0,IF(AND(AUTOEVENTO="Manual",$M685=1),0,IF(OFFSET(CRONOPLE!$F$14,$M685,BL$13)="",10^12,OFFSET(CRONOPLE!$F$14,$M685,BL$13))))</f>
        <v>1000000000000</v>
      </c>
      <c r="BM685" s="181">
        <f ca="1">IF($D685&lt;&gt;"Serviço",0,IF(AND(AUTOEVENTO="Manual",$M685=1),0,IF(OFFSET(CRONOPLE!$F$14,$M685,BM$13)="",10^12,OFFSET(CRONOPLE!$F$14,$M685,BM$13))))</f>
        <v>1000000000000</v>
      </c>
      <c r="BN685" s="181">
        <f ca="1">IF($D685&lt;&gt;"Serviço",0,IF(AND(AUTOEVENTO="Manual",$M685=1),0,IF(OFFSET(CRONOPLE!$F$14,$M685,BN$13)="",10^12,OFFSET(CRONOPLE!$F$14,$M685,BN$13))))</f>
        <v>1000000000000</v>
      </c>
      <c r="BO685" s="181">
        <f ca="1">IF($D685&lt;&gt;"Serviço",0,IF(AND(AUTOEVENTO="Manual",$M685=1),0,IF(OFFSET(CRONOPLE!$F$14,$M685,BO$13)="",10^12,OFFSET(CRONOPLE!$F$14,$M685,BO$13))))</f>
        <v>1000000000000</v>
      </c>
      <c r="BP685" s="181">
        <f ca="1">IF($D685&lt;&gt;"Serviço",0,IF(AND(AUTOEVENTO="Manual",$M685=1),0,IF(OFFSET(CRONOPLE!$F$14,$M685,BP$13)="",10^12,OFFSET(CRONOPLE!$F$14,$M685,BP$13))))</f>
        <v>1000000000000</v>
      </c>
      <c r="BQ685" s="181">
        <f ca="1">IF($D685&lt;&gt;"Serviço",0,IF(AND(AUTOEVENTO="Manual",$M685=1),0,IF(OFFSET(CRONOPLE!$F$14,$M685,BQ$13)="",10^12,OFFSET(CRONOPLE!$F$14,$M685,BQ$13))))</f>
        <v>1000000000000</v>
      </c>
      <c r="BR685" s="181">
        <f ca="1">IF($D685&lt;&gt;"Serviço",0,IF(AND(AUTOEVENTO="Manual",$M685=1),0,IF(OFFSET(CRONOPLE!$F$14,$M685,BR$13)="",10^12,OFFSET(CRONOPLE!$F$14,$M685,BR$13))))</f>
        <v>1000000000000</v>
      </c>
      <c r="BS685" s="181">
        <f ca="1">IF($D685&lt;&gt;"Serviço",0,IF(AND(AUTOEVENTO="Manual",$M685=1),0,IF(OFFSET(CRONOPLE!$F$14,$M685,BS$13)="",10^12,OFFSET(CRONOPLE!$F$14,$M685,BS$13))))</f>
        <v>1000000000000</v>
      </c>
      <c r="BT685" s="181">
        <f ca="1">IF($D685&lt;&gt;"Serviço",0,IF(AND(AUTOEVENTO="Manual",$M685=1),0,IF(OFFSET(CRONOPLE!$F$14,$M685,BT$13)="",10^12,OFFSET(CRONOPLE!$F$14,$M685,BT$13))))</f>
        <v>1000000000000</v>
      </c>
      <c r="BV685" s="182">
        <f ca="1">IF($D685&lt;&gt;"Serviço",0,IF(OR(AND(AUTOEVENTO="Manual",$M685=1),$M685&gt;(ROW(PLE.lastrow)-ROW(PLE.firstrow))),0,IF(OFFSET(PLE!$G$14,$M685,BV$13)="",10^12,OFFSET(PLE!$G$14,$M685,BV$13))))</f>
        <v>1000000000000</v>
      </c>
      <c r="BW685" s="182">
        <f ca="1">IF($D685&lt;&gt;"Serviço",0,IF(OR(AND(AUTOEVENTO="Manual",$M685=1),$M685&gt;(ROW(PLE.lastrow)-ROW(PLE.firstrow))),0,IF(OFFSET(PLE!$G$14,$M685,BW$13)="",10^12,OFFSET(PLE!$G$14,$M685,BW$13))))</f>
        <v>1000000000000</v>
      </c>
      <c r="BX685" s="182">
        <f ca="1">IF($D685&lt;&gt;"Serviço",0,IF(OR(AND(AUTOEVENTO="Manual",$M685=1),$M685&gt;(ROW(PLE.lastrow)-ROW(PLE.firstrow))),0,IF(OFFSET(PLE!$G$14,$M685,BX$13)="",10^12,OFFSET(PLE!$G$14,$M685,BX$13))))</f>
        <v>1000000000000</v>
      </c>
      <c r="BY685" s="182">
        <f ca="1">IF($D685&lt;&gt;"Serviço",0,IF(OR(AND(AUTOEVENTO="Manual",$M685=1),$M685&gt;(ROW(PLE.lastrow)-ROW(PLE.firstrow))),0,IF(OFFSET(PLE!$G$14,$M685,BY$13)="",10^12,OFFSET(PLE!$G$14,$M685,BY$13))))</f>
        <v>1000000000000</v>
      </c>
      <c r="BZ685" s="182">
        <f ca="1">IF($D685&lt;&gt;"Serviço",0,IF(OR(AND(AUTOEVENTO="Manual",$M685=1),$M685&gt;(ROW(PLE.lastrow)-ROW(PLE.firstrow))),0,IF(OFFSET(PLE!$G$14,$M685,BZ$13)="",10^12,OFFSET(PLE!$G$14,$M685,BZ$13))))</f>
        <v>1000000000000</v>
      </c>
      <c r="CA685" s="182">
        <f ca="1">IF($D685&lt;&gt;"Serviço",0,IF(OR(AND(AUTOEVENTO="Manual",$M685=1),$M685&gt;(ROW(PLE.lastrow)-ROW(PLE.firstrow))),0,IF(OFFSET(PLE!$G$14,$M685,CA$13)="",10^12,OFFSET(PLE!$G$14,$M685,CA$13))))</f>
        <v>1000000000000</v>
      </c>
      <c r="CB685" s="182">
        <f ca="1">IF($D685&lt;&gt;"Serviço",0,IF(OR(AND(AUTOEVENTO="Manual",$M685=1),$M685&gt;(ROW(PLE.lastrow)-ROW(PLE.firstrow))),0,IF(OFFSET(PLE!$G$14,$M685,CB$13)="",10^12,OFFSET(PLE!$G$14,$M685,CB$13))))</f>
        <v>1000000000000</v>
      </c>
      <c r="CC685" s="182">
        <f ca="1">IF($D685&lt;&gt;"Serviço",0,IF(OR(AND(AUTOEVENTO="Manual",$M685=1),$M685&gt;(ROW(PLE.lastrow)-ROW(PLE.firstrow))),0,IF(OFFSET(PLE!$G$14,$M685,CC$13)="",10^12,OFFSET(PLE!$G$14,$M685,CC$13))))</f>
        <v>1000000000000</v>
      </c>
      <c r="CD685" s="182">
        <f ca="1">IF($D685&lt;&gt;"Serviço",0,IF(OR(AND(AUTOEVENTO="Manual",$M685=1),$M685&gt;(ROW(PLE.lastrow)-ROW(PLE.firstrow))),0,IF(OFFSET(PLE!$G$14,$M685,CD$13)="",10^12,OFFSET(PLE!$G$14,$M685,CD$13))))</f>
        <v>1000000000000</v>
      </c>
      <c r="CE685" s="182">
        <f ca="1">IF($D685&lt;&gt;"Serviço",0,IF(OR(AND(AUTOEVENTO="Manual",$M685=1),$M685&gt;(ROW(PLE.lastrow)-ROW(PLE.firstrow))),0,IF(OFFSET(PLE!$G$14,$M685,CE$13)="",10^12,OFFSET(PLE!$G$14,$M685,CE$13))))</f>
        <v>1000000000000</v>
      </c>
      <c r="CF685" s="182">
        <f ca="1">IF($D685&lt;&gt;"Serviço",0,IF(OR(AND(AUTOEVENTO="Manual",$M685=1),$M685&gt;(ROW(PLE.lastrow)-ROW(PLE.firstrow))),0,IF(OFFSET(PLE!$G$14,$M685,CF$13)="",10^12,OFFSET(PLE!$G$14,$M685,CF$13))))</f>
        <v>1000000000000</v>
      </c>
      <c r="CG685" s="182">
        <f ca="1">IF($D685&lt;&gt;"Serviço",0,IF(OR(AND(AUTOEVENTO="Manual",$M685=1),$M685&gt;(ROW(PLE.lastrow)-ROW(PLE.firstrow))),0,IF(OFFSET(PLE!$G$14,$M685,CG$13)="",10^12,OFFSET(PLE!$G$14,$M685,CG$13))))</f>
        <v>1000000000000</v>
      </c>
      <c r="CH685" s="182">
        <f ca="1">IF($D685&lt;&gt;"Serviço",0,IF(OR(AND(AUTOEVENTO="Manual",$M685=1),$M685&gt;(ROW(PLE.lastrow)-ROW(PLE.firstrow))),0,IF(OFFSET(PLE!$G$14,$M685,CH$13)="",10^12,OFFSET(PLE!$G$14,$M685,CH$13))))</f>
        <v>1000000000000</v>
      </c>
      <c r="CI685" s="182">
        <f ca="1">IF($D685&lt;&gt;"Serviço",0,IF(OR(AND(AUTOEVENTO="Manual",$M685=1),$M685&gt;(ROW(PLE.lastrow)-ROW(PLE.firstrow))),0,IF(OFFSET(PLE!$G$14,$M685,CI$13)="",10^12,OFFSET(PLE!$G$14,$M685,CI$13))))</f>
        <v>1000000000000</v>
      </c>
      <c r="CJ685" s="182">
        <f ca="1">IF($D685&lt;&gt;"Serviço",0,IF(OR(AND(AUTOEVENTO="Manual",$M685=1),$M685&gt;(ROW(PLE.lastrow)-ROW(PLE.firstrow))),0,IF(OFFSET(PLE!$G$14,$M685,CJ$13)="",10^12,OFFSET(PLE!$G$14,$M685,CJ$13))))</f>
        <v>1000000000000</v>
      </c>
      <c r="CK685" s="182">
        <f ca="1">IF($D685&lt;&gt;"Serviço",0,IF(OR(AND(AUTOEVENTO="Manual",$M685=1),$M685&gt;(ROW(PLE.lastrow)-ROW(PLE.firstrow))),0,IF(OFFSET(PLE!$G$14,$M685,CK$13)="",10^12,OFFSET(PLE!$G$14,$M685,CK$13))))</f>
        <v>1000000000000</v>
      </c>
      <c r="CL685" s="182">
        <f ca="1">IF($D685&lt;&gt;"Serviço",0,IF(OR(AND(AUTOEVENTO="Manual",$M685=1),$M685&gt;(ROW(PLE.lastrow)-ROW(PLE.firstrow))),0,IF(OFFSET(PLE!$G$14,$M685,CL$13)="",10^12,OFFSET(PLE!$G$14,$M685,CL$13))))</f>
        <v>1000000000000</v>
      </c>
      <c r="CM685" s="182">
        <f ca="1">IF($D685&lt;&gt;"Serviço",0,IF(OR(AND(AUTOEVENTO="Manual",$M685=1),$M685&gt;(ROW(PLE.lastrow)-ROW(PLE.firstrow))),0,IF(OFFSET(PLE!$G$14,$M685,CM$13)="",10^12,OFFSET(PLE!$G$14,$M685,CM$13))))</f>
        <v>1000000000000</v>
      </c>
    </row>
    <row r="686" spans="1:91" ht="25.5" x14ac:dyDescent="0.2">
      <c r="A686" s="7" t="str">
        <f t="shared" ca="1" si="19"/>
        <v>671.</v>
      </c>
      <c r="B686" s="7">
        <f ca="1">OFFSET(ORÇAMENTO!C$15,ROW(B686)-ROW(B$15),0)</f>
        <v>2</v>
      </c>
      <c r="C686" s="7" t="str">
        <f ca="1">OFFSET(ORÇAMENTO!L$15,ROW(C686)-ROW(C$15),0)</f>
        <v>F</v>
      </c>
      <c r="D686" s="118" t="str">
        <f ca="1">OFFSET(ORÇAMENTO!N$15,ROW(D686)-ROW(D$15),0)</f>
        <v>Nível 2</v>
      </c>
      <c r="E686" s="119" t="str">
        <f ca="1">OFFSET(ORÇAMENTO!O$15,ROW(E686)-ROW(E$15),0)</f>
        <v>1.74.</v>
      </c>
      <c r="F686" s="172" t="str">
        <f ca="1">OFFSET(ORÇAMENTO!R$15,ROW(F686)-ROW(F$15),0)</f>
        <v>MURO DE FECHAMENTO - CONCRETO ARMADO PARA SAPATAS E BLOCOS</v>
      </c>
      <c r="G686" s="173" t="str">
        <f ca="1">IF($D686&lt;&gt;"Serviço","",OFFSET(ORÇAMENTO!S$15,ROW(G686)-ROW(G$15),0))</f>
        <v/>
      </c>
      <c r="H686" s="124">
        <f ca="1">IF($D686&lt;&gt;"Serviço",0,IF(ACOMPANHAMENTO="BM",ROUND(OFFSET(ORÇAMENTO!AJ$15,ROW(H686)-ROW(H$15),0),15-13*ORÇAMENTO!$AF$7),SUMPRODUCT(($Q$12:$AI$12&lt;&gt;"")*ROUND($Q686:$AI686,15-13*ORÇAMENTO!$AF$7))))</f>
        <v>0</v>
      </c>
      <c r="I686" s="561"/>
      <c r="K686" s="174"/>
      <c r="L686" s="175" t="s">
        <v>255</v>
      </c>
      <c r="M686" s="176" t="str">
        <f ca="1">IF($D686&lt;&gt;"Serviço","",IF(AUTOEVENTO="manual",$A686,IF(ISERROR(MATCH($A686,$A$15:OFFSET($A686,-1,0),0)),MAX($M$15:OFFSET(M686,-1,0))+1,INDEX($M$15:OFFSET(M686,-1,0),MATCH($A686,$A$15:OFFSET($A686,-1,0),0)))))</f>
        <v/>
      </c>
      <c r="N686" s="177" t="str">
        <f ca="1">IF($D686&lt;&gt;"Serviço","",IF(AUTOEVENTO="Manual",IF($A686=0,"&lt;-- defina o número do agrupador",OFFSET(EVENTOS!$D$14,$A686,0)),OFFSET($F$15,$A686,0)))</f>
        <v/>
      </c>
      <c r="O686" s="178"/>
      <c r="Q686" s="178">
        <v>0</v>
      </c>
      <c r="R686" s="179"/>
      <c r="S686" s="179"/>
      <c r="T686" s="179"/>
      <c r="U686" s="179"/>
      <c r="V686" s="179"/>
      <c r="W686" s="179"/>
      <c r="X686" s="179"/>
      <c r="Y686" s="179"/>
      <c r="Z686" s="180"/>
      <c r="AA686" s="179"/>
      <c r="AB686" s="179"/>
      <c r="AC686" s="179"/>
      <c r="AD686" s="179"/>
      <c r="AE686" s="179"/>
      <c r="AF686" s="179"/>
      <c r="AG686" s="179"/>
      <c r="AH686" s="180"/>
      <c r="AJ686" s="544">
        <f ca="1">IF(AND($D686="Serviço",AJ$12&lt;&gt;0,$H686&gt;0,OR(AUTOEVENTO&lt;&gt;"manual",$M686&lt;&gt;1)),
IF(Import.TipoArredondamento&lt;&gt;"TransfereGOV",
ROUND(OFFSET($P686,0,AJ$13),15-13*ORÇAMENTO!$AF$7)/$H686*OFFSET(ORÇAMENTO!$X$15,ROW(AJ686)-ROW(AJ$15),0),
ROUND(ROUND(OFFSET($P686,0,AJ$13),15-13*ORÇAMENTO!$AF$7)*OFFSET(ORÇAMENTO!$W$15,ROW(AJ686)-ROW(AJ$15),0),15-13*ORÇAMENTO!$AF$11)),0)</f>
        <v>0</v>
      </c>
      <c r="AK686" s="545">
        <f ca="1">IF(AND($D686="Serviço",AK$12&lt;&gt;0,$H686&gt;0,OR(AUTOEVENTO&lt;&gt;"manual",$M686&lt;&gt;1)),
IF(Import.TipoArredondamento&lt;&gt;"TransfereGOV",
ROUND(OFFSET($P686,0,AK$13),15-13*ORÇAMENTO!$AF$7)/$H686*OFFSET(ORÇAMENTO!$X$15,ROW(AK686)-ROW(AK$15),0),
ROUND(ROUND(OFFSET($P686,0,AK$13),15-13*ORÇAMENTO!$AF$7)*OFFSET(ORÇAMENTO!$W$15,ROW(AK686)-ROW(AK$15),0),15-13*ORÇAMENTO!$AF$11)),0)</f>
        <v>0</v>
      </c>
      <c r="AL686" s="545">
        <f ca="1">IF(AND($D686="Serviço",AL$12&lt;&gt;0,$H686&gt;0,OR(AUTOEVENTO&lt;&gt;"manual",$M686&lt;&gt;1)),
IF(Import.TipoArredondamento&lt;&gt;"TransfereGOV",
ROUND(OFFSET($P686,0,AL$13),15-13*ORÇAMENTO!$AF$7)/$H686*OFFSET(ORÇAMENTO!$X$15,ROW(AL686)-ROW(AL$15),0),
ROUND(ROUND(OFFSET($P686,0,AL$13),15-13*ORÇAMENTO!$AF$7)*OFFSET(ORÇAMENTO!$W$15,ROW(AL686)-ROW(AL$15),0),15-13*ORÇAMENTO!$AF$11)),0)</f>
        <v>0</v>
      </c>
      <c r="AM686" s="545">
        <f ca="1">IF(AND($D686="Serviço",AM$12&lt;&gt;0,$H686&gt;0,OR(AUTOEVENTO&lt;&gt;"manual",$M686&lt;&gt;1)),
IF(Import.TipoArredondamento&lt;&gt;"TransfereGOV",
ROUND(OFFSET($P686,0,AM$13),15-13*ORÇAMENTO!$AF$7)/$H686*OFFSET(ORÇAMENTO!$X$15,ROW(AM686)-ROW(AM$15),0),
ROUND(ROUND(OFFSET($P686,0,AM$13),15-13*ORÇAMENTO!$AF$7)*OFFSET(ORÇAMENTO!$W$15,ROW(AM686)-ROW(AM$15),0),15-13*ORÇAMENTO!$AF$11)),0)</f>
        <v>0</v>
      </c>
      <c r="AN686" s="545">
        <f ca="1">IF(AND($D686="Serviço",AN$12&lt;&gt;0,$H686&gt;0,OR(AUTOEVENTO&lt;&gt;"manual",$M686&lt;&gt;1)),
IF(Import.TipoArredondamento&lt;&gt;"TransfereGOV",
ROUND(OFFSET($P686,0,AN$13),15-13*ORÇAMENTO!$AF$7)/$H686*OFFSET(ORÇAMENTO!$X$15,ROW(AN686)-ROW(AN$15),0),
ROUND(ROUND(OFFSET($P686,0,AN$13),15-13*ORÇAMENTO!$AF$7)*OFFSET(ORÇAMENTO!$W$15,ROW(AN686)-ROW(AN$15),0),15-13*ORÇAMENTO!$AF$11)),0)</f>
        <v>0</v>
      </c>
      <c r="AO686" s="545">
        <f ca="1">IF(AND($D686="Serviço",AO$12&lt;&gt;0,$H686&gt;0,OR(AUTOEVENTO&lt;&gt;"manual",$M686&lt;&gt;1)),
IF(Import.TipoArredondamento&lt;&gt;"TransfereGOV",
ROUND(OFFSET($P686,0,AO$13),15-13*ORÇAMENTO!$AF$7)/$H686*OFFSET(ORÇAMENTO!$X$15,ROW(AO686)-ROW(AO$15),0),
ROUND(ROUND(OFFSET($P686,0,AO$13),15-13*ORÇAMENTO!$AF$7)*OFFSET(ORÇAMENTO!$W$15,ROW(AO686)-ROW(AO$15),0),15-13*ORÇAMENTO!$AF$11)),0)</f>
        <v>0</v>
      </c>
      <c r="AP686" s="545">
        <f ca="1">IF(AND($D686="Serviço",AP$12&lt;&gt;0,$H686&gt;0,OR(AUTOEVENTO&lt;&gt;"manual",$M686&lt;&gt;1)),
IF(Import.TipoArredondamento&lt;&gt;"TransfereGOV",
ROUND(OFFSET($P686,0,AP$13),15-13*ORÇAMENTO!$AF$7)/$H686*OFFSET(ORÇAMENTO!$X$15,ROW(AP686)-ROW(AP$15),0),
ROUND(ROUND(OFFSET($P686,0,AP$13),15-13*ORÇAMENTO!$AF$7)*OFFSET(ORÇAMENTO!$W$15,ROW(AP686)-ROW(AP$15),0),15-13*ORÇAMENTO!$AF$11)),0)</f>
        <v>0</v>
      </c>
      <c r="AQ686" s="545">
        <f ca="1">IF(AND($D686="Serviço",AQ$12&lt;&gt;0,$H686&gt;0,OR(AUTOEVENTO&lt;&gt;"manual",$M686&lt;&gt;1)),
IF(Import.TipoArredondamento&lt;&gt;"TransfereGOV",
ROUND(OFFSET($P686,0,AQ$13),15-13*ORÇAMENTO!$AF$7)/$H686*OFFSET(ORÇAMENTO!$X$15,ROW(AQ686)-ROW(AQ$15),0),
ROUND(ROUND(OFFSET($P686,0,AQ$13),15-13*ORÇAMENTO!$AF$7)*OFFSET(ORÇAMENTO!$W$15,ROW(AQ686)-ROW(AQ$15),0),15-13*ORÇAMENTO!$AF$11)),0)</f>
        <v>0</v>
      </c>
      <c r="AR686" s="545">
        <f ca="1">IF(AND($D686="Serviço",AR$12&lt;&gt;0,$H686&gt;0,OR(AUTOEVENTO&lt;&gt;"manual",$M686&lt;&gt;1)),
IF(Import.TipoArredondamento&lt;&gt;"TransfereGOV",
ROUND(OFFSET($P686,0,AR$13),15-13*ORÇAMENTO!$AF$7)/$H686*OFFSET(ORÇAMENTO!$X$15,ROW(AR686)-ROW(AR$15),0),
ROUND(ROUND(OFFSET($P686,0,AR$13),15-13*ORÇAMENTO!$AF$7)*OFFSET(ORÇAMENTO!$W$15,ROW(AR686)-ROW(AR$15),0),15-13*ORÇAMENTO!$AF$11)),0)</f>
        <v>0</v>
      </c>
      <c r="AS686" s="546">
        <f ca="1">IF(AND($D686="Serviço",AS$12&lt;&gt;0,$H686&gt;0,OR(AUTOEVENTO&lt;&gt;"manual",$M686&lt;&gt;1)),
IF(Import.TipoArredondamento&lt;&gt;"TransfereGOV",
ROUND(OFFSET($P686,0,AS$13),15-13*ORÇAMENTO!$AF$7)/$H686*OFFSET(ORÇAMENTO!$X$15,ROW(AS686)-ROW(AS$15),0),
ROUND(ROUND(OFFSET($P686,0,AS$13),15-13*ORÇAMENTO!$AF$7)*OFFSET(ORÇAMENTO!$W$15,ROW(AS686)-ROW(AS$15),0),15-13*ORÇAMENTO!$AF$11)),0)</f>
        <v>0</v>
      </c>
      <c r="AT686" s="545">
        <f ca="1">IF(AND($D686="Serviço",AT$12&lt;&gt;0,$H686&gt;0,OR(AUTOEVENTO&lt;&gt;"manual",$M686&lt;&gt;1)),
IF(Import.TipoArredondamento&lt;&gt;"TransfereGOV",
ROUND(OFFSET($P686,0,AT$13),15-13*ORÇAMENTO!$AF$7)/$H686*OFFSET(ORÇAMENTO!$X$15,ROW(AT686)-ROW(AT$15),0),
ROUND(ROUND(OFFSET($P686,0,AT$13),15-13*ORÇAMENTO!$AF$7)*OFFSET(ORÇAMENTO!$W$15,ROW(AT686)-ROW(AT$15),0),15-13*ORÇAMENTO!$AF$11)),0)</f>
        <v>0</v>
      </c>
      <c r="AU686" s="545">
        <f ca="1">IF(AND($D686="Serviço",AU$12&lt;&gt;0,$H686&gt;0,OR(AUTOEVENTO&lt;&gt;"manual",$M686&lt;&gt;1)),
IF(Import.TipoArredondamento&lt;&gt;"TransfereGOV",
ROUND(OFFSET($P686,0,AU$13),15-13*ORÇAMENTO!$AF$7)/$H686*OFFSET(ORÇAMENTO!$X$15,ROW(AU686)-ROW(AU$15),0),
ROUND(ROUND(OFFSET($P686,0,AU$13),15-13*ORÇAMENTO!$AF$7)*OFFSET(ORÇAMENTO!$W$15,ROW(AU686)-ROW(AU$15),0),15-13*ORÇAMENTO!$AF$11)),0)</f>
        <v>0</v>
      </c>
      <c r="AV686" s="545">
        <f ca="1">IF(AND($D686="Serviço",AV$12&lt;&gt;0,$H686&gt;0,OR(AUTOEVENTO&lt;&gt;"manual",$M686&lt;&gt;1)),
IF(Import.TipoArredondamento&lt;&gt;"TransfereGOV",
ROUND(OFFSET($P686,0,AV$13),15-13*ORÇAMENTO!$AF$7)/$H686*OFFSET(ORÇAMENTO!$X$15,ROW(AV686)-ROW(AV$15),0),
ROUND(ROUND(OFFSET($P686,0,AV$13),15-13*ORÇAMENTO!$AF$7)*OFFSET(ORÇAMENTO!$W$15,ROW(AV686)-ROW(AV$15),0),15-13*ORÇAMENTO!$AF$11)),0)</f>
        <v>0</v>
      </c>
      <c r="AW686" s="545">
        <f ca="1">IF(AND($D686="Serviço",AW$12&lt;&gt;0,$H686&gt;0,OR(AUTOEVENTO&lt;&gt;"manual",$M686&lt;&gt;1)),
IF(Import.TipoArredondamento&lt;&gt;"TransfereGOV",
ROUND(OFFSET($P686,0,AW$13),15-13*ORÇAMENTO!$AF$7)/$H686*OFFSET(ORÇAMENTO!$X$15,ROW(AW686)-ROW(AW$15),0),
ROUND(ROUND(OFFSET($P686,0,AW$13),15-13*ORÇAMENTO!$AF$7)*OFFSET(ORÇAMENTO!$W$15,ROW(AW686)-ROW(AW$15),0),15-13*ORÇAMENTO!$AF$11)),0)</f>
        <v>0</v>
      </c>
      <c r="AX686" s="545">
        <f ca="1">IF(AND($D686="Serviço",AX$12&lt;&gt;0,$H686&gt;0,OR(AUTOEVENTO&lt;&gt;"manual",$M686&lt;&gt;1)),
IF(Import.TipoArredondamento&lt;&gt;"TransfereGOV",
ROUND(OFFSET($P686,0,AX$13),15-13*ORÇAMENTO!$AF$7)/$H686*OFFSET(ORÇAMENTO!$X$15,ROW(AX686)-ROW(AX$15),0),
ROUND(ROUND(OFFSET($P686,0,AX$13),15-13*ORÇAMENTO!$AF$7)*OFFSET(ORÇAMENTO!$W$15,ROW(AX686)-ROW(AX$15),0),15-13*ORÇAMENTO!$AF$11)),0)</f>
        <v>0</v>
      </c>
      <c r="AY686" s="545">
        <f ca="1">IF(AND($D686="Serviço",AY$12&lt;&gt;0,$H686&gt;0,OR(AUTOEVENTO&lt;&gt;"manual",$M686&lt;&gt;1)),
IF(Import.TipoArredondamento&lt;&gt;"TransfereGOV",
ROUND(OFFSET($P686,0,AY$13),15-13*ORÇAMENTO!$AF$7)/$H686*OFFSET(ORÇAMENTO!$X$15,ROW(AY686)-ROW(AY$15),0),
ROUND(ROUND(OFFSET($P686,0,AY$13),15-13*ORÇAMENTO!$AF$7)*OFFSET(ORÇAMENTO!$W$15,ROW(AY686)-ROW(AY$15),0),15-13*ORÇAMENTO!$AF$11)),0)</f>
        <v>0</v>
      </c>
      <c r="AZ686" s="545">
        <f ca="1">IF(AND($D686="Serviço",AZ$12&lt;&gt;0,$H686&gt;0,OR(AUTOEVENTO&lt;&gt;"manual",$M686&lt;&gt;1)),
IF(Import.TipoArredondamento&lt;&gt;"TransfereGOV",
ROUND(OFFSET($P686,0,AZ$13),15-13*ORÇAMENTO!$AF$7)/$H686*OFFSET(ORÇAMENTO!$X$15,ROW(AZ686)-ROW(AZ$15),0),
ROUND(ROUND(OFFSET($P686,0,AZ$13),15-13*ORÇAMENTO!$AF$7)*OFFSET(ORÇAMENTO!$W$15,ROW(AZ686)-ROW(AZ$15),0),15-13*ORÇAMENTO!$AF$11)),0)</f>
        <v>0</v>
      </c>
      <c r="BA686" s="546">
        <f ca="1">IF(AND($D686="Serviço",BA$12&lt;&gt;0,$H686&gt;0,OR(AUTOEVENTO&lt;&gt;"manual",$M686&lt;&gt;1)),
IF(Import.TipoArredondamento&lt;&gt;"TransfereGOV",
ROUND(OFFSET($P686,0,BA$13),15-13*ORÇAMENTO!$AF$7)/$H686*OFFSET(ORÇAMENTO!$X$15,ROW(BA686)-ROW(BA$15),0),
ROUND(ROUND(OFFSET($P686,0,BA$13),15-13*ORÇAMENTO!$AF$7)*OFFSET(ORÇAMENTO!$W$15,ROW(BA686)-ROW(BA$15),0),15-13*ORÇAMENTO!$AF$11)),0)</f>
        <v>0</v>
      </c>
      <c r="BC686" s="181">
        <f ca="1">IF($D686&lt;&gt;"Serviço",0,IF(AND(AUTOEVENTO="Manual",$M686=1),0,IF(OFFSET(CRONOPLE!$F$14,$M686,BC$13)="",10^12,OFFSET(CRONOPLE!$F$14,$M686,BC$13))))</f>
        <v>0</v>
      </c>
      <c r="BD686" s="181">
        <f ca="1">IF($D686&lt;&gt;"Serviço",0,IF(AND(AUTOEVENTO="Manual",$M686=1),0,IF(OFFSET(CRONOPLE!$F$14,$M686,BD$13)="",10^12,OFFSET(CRONOPLE!$F$14,$M686,BD$13))))</f>
        <v>0</v>
      </c>
      <c r="BE686" s="181">
        <f ca="1">IF($D686&lt;&gt;"Serviço",0,IF(AND(AUTOEVENTO="Manual",$M686=1),0,IF(OFFSET(CRONOPLE!$F$14,$M686,BE$13)="",10^12,OFFSET(CRONOPLE!$F$14,$M686,BE$13))))</f>
        <v>0</v>
      </c>
      <c r="BF686" s="181">
        <f ca="1">IF($D686&lt;&gt;"Serviço",0,IF(AND(AUTOEVENTO="Manual",$M686=1),0,IF(OFFSET(CRONOPLE!$F$14,$M686,BF$13)="",10^12,OFFSET(CRONOPLE!$F$14,$M686,BF$13))))</f>
        <v>0</v>
      </c>
      <c r="BG686" s="181">
        <f ca="1">IF($D686&lt;&gt;"Serviço",0,IF(AND(AUTOEVENTO="Manual",$M686=1),0,IF(OFFSET(CRONOPLE!$F$14,$M686,BG$13)="",10^12,OFFSET(CRONOPLE!$F$14,$M686,BG$13))))</f>
        <v>0</v>
      </c>
      <c r="BH686" s="181">
        <f ca="1">IF($D686&lt;&gt;"Serviço",0,IF(AND(AUTOEVENTO="Manual",$M686=1),0,IF(OFFSET(CRONOPLE!$F$14,$M686,BH$13)="",10^12,OFFSET(CRONOPLE!$F$14,$M686,BH$13))))</f>
        <v>0</v>
      </c>
      <c r="BI686" s="181">
        <f ca="1">IF($D686&lt;&gt;"Serviço",0,IF(AND(AUTOEVENTO="Manual",$M686=1),0,IF(OFFSET(CRONOPLE!$F$14,$M686,BI$13)="",10^12,OFFSET(CRONOPLE!$F$14,$M686,BI$13))))</f>
        <v>0</v>
      </c>
      <c r="BJ686" s="181">
        <f ca="1">IF($D686&lt;&gt;"Serviço",0,IF(AND(AUTOEVENTO="Manual",$M686=1),0,IF(OFFSET(CRONOPLE!$F$14,$M686,BJ$13)="",10^12,OFFSET(CRONOPLE!$F$14,$M686,BJ$13))))</f>
        <v>0</v>
      </c>
      <c r="BK686" s="181">
        <f ca="1">IF($D686&lt;&gt;"Serviço",0,IF(AND(AUTOEVENTO="Manual",$M686=1),0,IF(OFFSET(CRONOPLE!$F$14,$M686,BK$13)="",10^12,OFFSET(CRONOPLE!$F$14,$M686,BK$13))))</f>
        <v>0</v>
      </c>
      <c r="BL686" s="181">
        <f ca="1">IF($D686&lt;&gt;"Serviço",0,IF(AND(AUTOEVENTO="Manual",$M686=1),0,IF(OFFSET(CRONOPLE!$F$14,$M686,BL$13)="",10^12,OFFSET(CRONOPLE!$F$14,$M686,BL$13))))</f>
        <v>0</v>
      </c>
      <c r="BM686" s="181">
        <f ca="1">IF($D686&lt;&gt;"Serviço",0,IF(AND(AUTOEVENTO="Manual",$M686=1),0,IF(OFFSET(CRONOPLE!$F$14,$M686,BM$13)="",10^12,OFFSET(CRONOPLE!$F$14,$M686,BM$13))))</f>
        <v>0</v>
      </c>
      <c r="BN686" s="181">
        <f ca="1">IF($D686&lt;&gt;"Serviço",0,IF(AND(AUTOEVENTO="Manual",$M686=1),0,IF(OFFSET(CRONOPLE!$F$14,$M686,BN$13)="",10^12,OFFSET(CRONOPLE!$F$14,$M686,BN$13))))</f>
        <v>0</v>
      </c>
      <c r="BO686" s="181">
        <f ca="1">IF($D686&lt;&gt;"Serviço",0,IF(AND(AUTOEVENTO="Manual",$M686=1),0,IF(OFFSET(CRONOPLE!$F$14,$M686,BO$13)="",10^12,OFFSET(CRONOPLE!$F$14,$M686,BO$13))))</f>
        <v>0</v>
      </c>
      <c r="BP686" s="181">
        <f ca="1">IF($D686&lt;&gt;"Serviço",0,IF(AND(AUTOEVENTO="Manual",$M686=1),0,IF(OFFSET(CRONOPLE!$F$14,$M686,BP$13)="",10^12,OFFSET(CRONOPLE!$F$14,$M686,BP$13))))</f>
        <v>0</v>
      </c>
      <c r="BQ686" s="181">
        <f ca="1">IF($D686&lt;&gt;"Serviço",0,IF(AND(AUTOEVENTO="Manual",$M686=1),0,IF(OFFSET(CRONOPLE!$F$14,$M686,BQ$13)="",10^12,OFFSET(CRONOPLE!$F$14,$M686,BQ$13))))</f>
        <v>0</v>
      </c>
      <c r="BR686" s="181">
        <f ca="1">IF($D686&lt;&gt;"Serviço",0,IF(AND(AUTOEVENTO="Manual",$M686=1),0,IF(OFFSET(CRONOPLE!$F$14,$M686,BR$13)="",10^12,OFFSET(CRONOPLE!$F$14,$M686,BR$13))))</f>
        <v>0</v>
      </c>
      <c r="BS686" s="181">
        <f ca="1">IF($D686&lt;&gt;"Serviço",0,IF(AND(AUTOEVENTO="Manual",$M686=1),0,IF(OFFSET(CRONOPLE!$F$14,$M686,BS$13)="",10^12,OFFSET(CRONOPLE!$F$14,$M686,BS$13))))</f>
        <v>0</v>
      </c>
      <c r="BT686" s="181">
        <f ca="1">IF($D686&lt;&gt;"Serviço",0,IF(AND(AUTOEVENTO="Manual",$M686=1),0,IF(OFFSET(CRONOPLE!$F$14,$M686,BT$13)="",10^12,OFFSET(CRONOPLE!$F$14,$M686,BT$13))))</f>
        <v>0</v>
      </c>
      <c r="BV686" s="182">
        <f ca="1">IF($D686&lt;&gt;"Serviço",0,IF(OR(AND(AUTOEVENTO="Manual",$M686=1),$M686&gt;(ROW(PLE.lastrow)-ROW(PLE.firstrow))),0,IF(OFFSET(PLE!$G$14,$M686,BV$13)="",10^12,OFFSET(PLE!$G$14,$M686,BV$13))))</f>
        <v>0</v>
      </c>
      <c r="BW686" s="182">
        <f ca="1">IF($D686&lt;&gt;"Serviço",0,IF(OR(AND(AUTOEVENTO="Manual",$M686=1),$M686&gt;(ROW(PLE.lastrow)-ROW(PLE.firstrow))),0,IF(OFFSET(PLE!$G$14,$M686,BW$13)="",10^12,OFFSET(PLE!$G$14,$M686,BW$13))))</f>
        <v>0</v>
      </c>
      <c r="BX686" s="182">
        <f ca="1">IF($D686&lt;&gt;"Serviço",0,IF(OR(AND(AUTOEVENTO="Manual",$M686=1),$M686&gt;(ROW(PLE.lastrow)-ROW(PLE.firstrow))),0,IF(OFFSET(PLE!$G$14,$M686,BX$13)="",10^12,OFFSET(PLE!$G$14,$M686,BX$13))))</f>
        <v>0</v>
      </c>
      <c r="BY686" s="182">
        <f ca="1">IF($D686&lt;&gt;"Serviço",0,IF(OR(AND(AUTOEVENTO="Manual",$M686=1),$M686&gt;(ROW(PLE.lastrow)-ROW(PLE.firstrow))),0,IF(OFFSET(PLE!$G$14,$M686,BY$13)="",10^12,OFFSET(PLE!$G$14,$M686,BY$13))))</f>
        <v>0</v>
      </c>
      <c r="BZ686" s="182">
        <f ca="1">IF($D686&lt;&gt;"Serviço",0,IF(OR(AND(AUTOEVENTO="Manual",$M686=1),$M686&gt;(ROW(PLE.lastrow)-ROW(PLE.firstrow))),0,IF(OFFSET(PLE!$G$14,$M686,BZ$13)="",10^12,OFFSET(PLE!$G$14,$M686,BZ$13))))</f>
        <v>0</v>
      </c>
      <c r="CA686" s="182">
        <f ca="1">IF($D686&lt;&gt;"Serviço",0,IF(OR(AND(AUTOEVENTO="Manual",$M686=1),$M686&gt;(ROW(PLE.lastrow)-ROW(PLE.firstrow))),0,IF(OFFSET(PLE!$G$14,$M686,CA$13)="",10^12,OFFSET(PLE!$G$14,$M686,CA$13))))</f>
        <v>0</v>
      </c>
      <c r="CB686" s="182">
        <f ca="1">IF($D686&lt;&gt;"Serviço",0,IF(OR(AND(AUTOEVENTO="Manual",$M686=1),$M686&gt;(ROW(PLE.lastrow)-ROW(PLE.firstrow))),0,IF(OFFSET(PLE!$G$14,$M686,CB$13)="",10^12,OFFSET(PLE!$G$14,$M686,CB$13))))</f>
        <v>0</v>
      </c>
      <c r="CC686" s="182">
        <f ca="1">IF($D686&lt;&gt;"Serviço",0,IF(OR(AND(AUTOEVENTO="Manual",$M686=1),$M686&gt;(ROW(PLE.lastrow)-ROW(PLE.firstrow))),0,IF(OFFSET(PLE!$G$14,$M686,CC$13)="",10^12,OFFSET(PLE!$G$14,$M686,CC$13))))</f>
        <v>0</v>
      </c>
      <c r="CD686" s="182">
        <f ca="1">IF($D686&lt;&gt;"Serviço",0,IF(OR(AND(AUTOEVENTO="Manual",$M686=1),$M686&gt;(ROW(PLE.lastrow)-ROW(PLE.firstrow))),0,IF(OFFSET(PLE!$G$14,$M686,CD$13)="",10^12,OFFSET(PLE!$G$14,$M686,CD$13))))</f>
        <v>0</v>
      </c>
      <c r="CE686" s="182">
        <f ca="1">IF($D686&lt;&gt;"Serviço",0,IF(OR(AND(AUTOEVENTO="Manual",$M686=1),$M686&gt;(ROW(PLE.lastrow)-ROW(PLE.firstrow))),0,IF(OFFSET(PLE!$G$14,$M686,CE$13)="",10^12,OFFSET(PLE!$G$14,$M686,CE$13))))</f>
        <v>0</v>
      </c>
      <c r="CF686" s="182">
        <f ca="1">IF($D686&lt;&gt;"Serviço",0,IF(OR(AND(AUTOEVENTO="Manual",$M686=1),$M686&gt;(ROW(PLE.lastrow)-ROW(PLE.firstrow))),0,IF(OFFSET(PLE!$G$14,$M686,CF$13)="",10^12,OFFSET(PLE!$G$14,$M686,CF$13))))</f>
        <v>0</v>
      </c>
      <c r="CG686" s="182">
        <f ca="1">IF($D686&lt;&gt;"Serviço",0,IF(OR(AND(AUTOEVENTO="Manual",$M686=1),$M686&gt;(ROW(PLE.lastrow)-ROW(PLE.firstrow))),0,IF(OFFSET(PLE!$G$14,$M686,CG$13)="",10^12,OFFSET(PLE!$G$14,$M686,CG$13))))</f>
        <v>0</v>
      </c>
      <c r="CH686" s="182">
        <f ca="1">IF($D686&lt;&gt;"Serviço",0,IF(OR(AND(AUTOEVENTO="Manual",$M686=1),$M686&gt;(ROW(PLE.lastrow)-ROW(PLE.firstrow))),0,IF(OFFSET(PLE!$G$14,$M686,CH$13)="",10^12,OFFSET(PLE!$G$14,$M686,CH$13))))</f>
        <v>0</v>
      </c>
      <c r="CI686" s="182">
        <f ca="1">IF($D686&lt;&gt;"Serviço",0,IF(OR(AND(AUTOEVENTO="Manual",$M686=1),$M686&gt;(ROW(PLE.lastrow)-ROW(PLE.firstrow))),0,IF(OFFSET(PLE!$G$14,$M686,CI$13)="",10^12,OFFSET(PLE!$G$14,$M686,CI$13))))</f>
        <v>0</v>
      </c>
      <c r="CJ686" s="182">
        <f ca="1">IF($D686&lt;&gt;"Serviço",0,IF(OR(AND(AUTOEVENTO="Manual",$M686=1),$M686&gt;(ROW(PLE.lastrow)-ROW(PLE.firstrow))),0,IF(OFFSET(PLE!$G$14,$M686,CJ$13)="",10^12,OFFSET(PLE!$G$14,$M686,CJ$13))))</f>
        <v>0</v>
      </c>
      <c r="CK686" s="182">
        <f ca="1">IF($D686&lt;&gt;"Serviço",0,IF(OR(AND(AUTOEVENTO="Manual",$M686=1),$M686&gt;(ROW(PLE.lastrow)-ROW(PLE.firstrow))),0,IF(OFFSET(PLE!$G$14,$M686,CK$13)="",10^12,OFFSET(PLE!$G$14,$M686,CK$13))))</f>
        <v>0</v>
      </c>
      <c r="CL686" s="182">
        <f ca="1">IF($D686&lt;&gt;"Serviço",0,IF(OR(AND(AUTOEVENTO="Manual",$M686=1),$M686&gt;(ROW(PLE.lastrow)-ROW(PLE.firstrow))),0,IF(OFFSET(PLE!$G$14,$M686,CL$13)="",10^12,OFFSET(PLE!$G$14,$M686,CL$13))))</f>
        <v>0</v>
      </c>
      <c r="CM686" s="182">
        <f ca="1">IF($D686&lt;&gt;"Serviço",0,IF(OR(AND(AUTOEVENTO="Manual",$M686=1),$M686&gt;(ROW(PLE.lastrow)-ROW(PLE.firstrow))),0,IF(OFFSET(PLE!$G$14,$M686,CM$13)="",10^12,OFFSET(PLE!$G$14,$M686,CM$13))))</f>
        <v>0</v>
      </c>
    </row>
    <row r="687" spans="1:91" ht="38.25" x14ac:dyDescent="0.2">
      <c r="A687" s="7" t="str">
        <f t="shared" ca="1" si="19"/>
        <v>671</v>
      </c>
      <c r="B687" s="7" t="str">
        <f ca="1">OFFSET(ORÇAMENTO!C$15,ROW(B687)-ROW(B$15),0)</f>
        <v>S</v>
      </c>
      <c r="C687" s="7" t="str">
        <f ca="1">OFFSET(ORÇAMENTO!L$15,ROW(C687)-ROW(C$15),0)</f>
        <v/>
      </c>
      <c r="D687" s="118" t="str">
        <f ca="1">OFFSET(ORÇAMENTO!N$15,ROW(D687)-ROW(D$15),0)</f>
        <v>Serviço</v>
      </c>
      <c r="E687" s="119" t="str">
        <f ca="1">OFFSET(ORÇAMENTO!O$15,ROW(E687)-ROW(E$15),0)</f>
        <v>-</v>
      </c>
      <c r="F687" s="172" t="str">
        <f ca="1">OFFSET(ORÇAMENTO!R$15,ROW(F687)-ROW(F$15),0)</f>
        <v>(abra o arquivo 'Referência 06-2024.xlsm)</v>
      </c>
      <c r="G687" s="173" t="str">
        <f ca="1">IF($D687&lt;&gt;"Serviço","",OFFSET(ORÇAMENTO!S$15,ROW(G687)-ROW(G$15),0))</f>
        <v>-</v>
      </c>
      <c r="H687" s="124">
        <f ca="1">IF($D687&lt;&gt;"Serviço",0,IF(ACOMPANHAMENTO="BM",ROUND(OFFSET(ORÇAMENTO!AJ$15,ROW(H687)-ROW(H$15),0),15-13*ORÇAMENTO!$AF$7),SUMPRODUCT(($Q$12:$AI$12&lt;&gt;"")*ROUND($Q687:$AI687,15-13*ORÇAMENTO!$AF$7))))</f>
        <v>1.83</v>
      </c>
      <c r="I687" s="561" t="s">
        <v>1107</v>
      </c>
      <c r="K687" s="174"/>
      <c r="L687" s="175" t="s">
        <v>255</v>
      </c>
      <c r="M687" s="176">
        <f ca="1">IF($D687&lt;&gt;"Serviço","",IF(AUTOEVENTO="manual",$A687,IF(ISERROR(MATCH($A687,$A$15:OFFSET($A687,-1,0),0)),MAX($M$15:OFFSET(M687,-1,0))+1,INDEX($M$15:OFFSET(M687,-1,0),MATCH($A687,$A$15:OFFSET($A687,-1,0),0)))))</f>
        <v>75</v>
      </c>
      <c r="N687" s="177" t="str">
        <f ca="1">IF($D687&lt;&gt;"Serviço","",IF(AUTOEVENTO="Manual",IF($A687=0,"&lt;-- defina o número do agrupador",OFFSET(EVENTOS!$D$14,$A687,0)),OFFSET($F$15,$A687,0)))</f>
        <v>MURO DE FECHAMENTO - CONCRETO ARMADO PARA SAPATAS E BLOCOS</v>
      </c>
      <c r="O687" s="178"/>
      <c r="Q687" s="178">
        <v>1.83</v>
      </c>
      <c r="R687" s="179"/>
      <c r="S687" s="179"/>
      <c r="T687" s="179"/>
      <c r="U687" s="179"/>
      <c r="V687" s="179"/>
      <c r="W687" s="179"/>
      <c r="X687" s="179"/>
      <c r="Y687" s="179"/>
      <c r="Z687" s="180"/>
      <c r="AA687" s="179"/>
      <c r="AB687" s="179"/>
      <c r="AC687" s="179"/>
      <c r="AD687" s="179"/>
      <c r="AE687" s="179"/>
      <c r="AF687" s="179"/>
      <c r="AG687" s="179"/>
      <c r="AH687" s="180"/>
      <c r="AJ687" s="544">
        <f ca="1">IF(AND($D687="Serviço",AJ$12&lt;&gt;0,$H687&gt;0,OR(AUTOEVENTO&lt;&gt;"manual",$M687&lt;&gt;1)),
IF(Import.TipoArredondamento&lt;&gt;"TransfereGOV",
ROUND(OFFSET($P687,0,AJ$13),15-13*ORÇAMENTO!$AF$7)/$H687*OFFSET(ORÇAMENTO!$X$15,ROW(AJ687)-ROW(AJ$15),0),
ROUND(ROUND(OFFSET($P687,0,AJ$13),15-13*ORÇAMENTO!$AF$7)*OFFSET(ORÇAMENTO!$W$15,ROW(AJ687)-ROW(AJ$15),0),15-13*ORÇAMENTO!$AF$11)),0)</f>
        <v>0</v>
      </c>
      <c r="AK687" s="545">
        <f ca="1">IF(AND($D687="Serviço",AK$12&lt;&gt;0,$H687&gt;0,OR(AUTOEVENTO&lt;&gt;"manual",$M687&lt;&gt;1)),
IF(Import.TipoArredondamento&lt;&gt;"TransfereGOV",
ROUND(OFFSET($P687,0,AK$13),15-13*ORÇAMENTO!$AF$7)/$H687*OFFSET(ORÇAMENTO!$X$15,ROW(AK687)-ROW(AK$15),0),
ROUND(ROUND(OFFSET($P687,0,AK$13),15-13*ORÇAMENTO!$AF$7)*OFFSET(ORÇAMENTO!$W$15,ROW(AK687)-ROW(AK$15),0),15-13*ORÇAMENTO!$AF$11)),0)</f>
        <v>0</v>
      </c>
      <c r="AL687" s="545">
        <f ca="1">IF(AND($D687="Serviço",AL$12&lt;&gt;0,$H687&gt;0,OR(AUTOEVENTO&lt;&gt;"manual",$M687&lt;&gt;1)),
IF(Import.TipoArredondamento&lt;&gt;"TransfereGOV",
ROUND(OFFSET($P687,0,AL$13),15-13*ORÇAMENTO!$AF$7)/$H687*OFFSET(ORÇAMENTO!$X$15,ROW(AL687)-ROW(AL$15),0),
ROUND(ROUND(OFFSET($P687,0,AL$13),15-13*ORÇAMENTO!$AF$7)*OFFSET(ORÇAMENTO!$W$15,ROW(AL687)-ROW(AL$15),0),15-13*ORÇAMENTO!$AF$11)),0)</f>
        <v>0</v>
      </c>
      <c r="AM687" s="545">
        <f ca="1">IF(AND($D687="Serviço",AM$12&lt;&gt;0,$H687&gt;0,OR(AUTOEVENTO&lt;&gt;"manual",$M687&lt;&gt;1)),
IF(Import.TipoArredondamento&lt;&gt;"TransfereGOV",
ROUND(OFFSET($P687,0,AM$13),15-13*ORÇAMENTO!$AF$7)/$H687*OFFSET(ORÇAMENTO!$X$15,ROW(AM687)-ROW(AM$15),0),
ROUND(ROUND(OFFSET($P687,0,AM$13),15-13*ORÇAMENTO!$AF$7)*OFFSET(ORÇAMENTO!$W$15,ROW(AM687)-ROW(AM$15),0),15-13*ORÇAMENTO!$AF$11)),0)</f>
        <v>0</v>
      </c>
      <c r="AN687" s="545">
        <f ca="1">IF(AND($D687="Serviço",AN$12&lt;&gt;0,$H687&gt;0,OR(AUTOEVENTO&lt;&gt;"manual",$M687&lt;&gt;1)),
IF(Import.TipoArredondamento&lt;&gt;"TransfereGOV",
ROUND(OFFSET($P687,0,AN$13),15-13*ORÇAMENTO!$AF$7)/$H687*OFFSET(ORÇAMENTO!$X$15,ROW(AN687)-ROW(AN$15),0),
ROUND(ROUND(OFFSET($P687,0,AN$13),15-13*ORÇAMENTO!$AF$7)*OFFSET(ORÇAMENTO!$W$15,ROW(AN687)-ROW(AN$15),0),15-13*ORÇAMENTO!$AF$11)),0)</f>
        <v>0</v>
      </c>
      <c r="AO687" s="545">
        <f ca="1">IF(AND($D687="Serviço",AO$12&lt;&gt;0,$H687&gt;0,OR(AUTOEVENTO&lt;&gt;"manual",$M687&lt;&gt;1)),
IF(Import.TipoArredondamento&lt;&gt;"TransfereGOV",
ROUND(OFFSET($P687,0,AO$13),15-13*ORÇAMENTO!$AF$7)/$H687*OFFSET(ORÇAMENTO!$X$15,ROW(AO687)-ROW(AO$15),0),
ROUND(ROUND(OFFSET($P687,0,AO$13),15-13*ORÇAMENTO!$AF$7)*OFFSET(ORÇAMENTO!$W$15,ROW(AO687)-ROW(AO$15),0),15-13*ORÇAMENTO!$AF$11)),0)</f>
        <v>0</v>
      </c>
      <c r="AP687" s="545">
        <f ca="1">IF(AND($D687="Serviço",AP$12&lt;&gt;0,$H687&gt;0,OR(AUTOEVENTO&lt;&gt;"manual",$M687&lt;&gt;1)),
IF(Import.TipoArredondamento&lt;&gt;"TransfereGOV",
ROUND(OFFSET($P687,0,AP$13),15-13*ORÇAMENTO!$AF$7)/$H687*OFFSET(ORÇAMENTO!$X$15,ROW(AP687)-ROW(AP$15),0),
ROUND(ROUND(OFFSET($P687,0,AP$13),15-13*ORÇAMENTO!$AF$7)*OFFSET(ORÇAMENTO!$W$15,ROW(AP687)-ROW(AP$15),0),15-13*ORÇAMENTO!$AF$11)),0)</f>
        <v>0</v>
      </c>
      <c r="AQ687" s="545">
        <f ca="1">IF(AND($D687="Serviço",AQ$12&lt;&gt;0,$H687&gt;0,OR(AUTOEVENTO&lt;&gt;"manual",$M687&lt;&gt;1)),
IF(Import.TipoArredondamento&lt;&gt;"TransfereGOV",
ROUND(OFFSET($P687,0,AQ$13),15-13*ORÇAMENTO!$AF$7)/$H687*OFFSET(ORÇAMENTO!$X$15,ROW(AQ687)-ROW(AQ$15),0),
ROUND(ROUND(OFFSET($P687,0,AQ$13),15-13*ORÇAMENTO!$AF$7)*OFFSET(ORÇAMENTO!$W$15,ROW(AQ687)-ROW(AQ$15),0),15-13*ORÇAMENTO!$AF$11)),0)</f>
        <v>0</v>
      </c>
      <c r="AR687" s="545">
        <f ca="1">IF(AND($D687="Serviço",AR$12&lt;&gt;0,$H687&gt;0,OR(AUTOEVENTO&lt;&gt;"manual",$M687&lt;&gt;1)),
IF(Import.TipoArredondamento&lt;&gt;"TransfereGOV",
ROUND(OFFSET($P687,0,AR$13),15-13*ORÇAMENTO!$AF$7)/$H687*OFFSET(ORÇAMENTO!$X$15,ROW(AR687)-ROW(AR$15),0),
ROUND(ROUND(OFFSET($P687,0,AR$13),15-13*ORÇAMENTO!$AF$7)*OFFSET(ORÇAMENTO!$W$15,ROW(AR687)-ROW(AR$15),0),15-13*ORÇAMENTO!$AF$11)),0)</f>
        <v>0</v>
      </c>
      <c r="AS687" s="546">
        <f ca="1">IF(AND($D687="Serviço",AS$12&lt;&gt;0,$H687&gt;0,OR(AUTOEVENTO&lt;&gt;"manual",$M687&lt;&gt;1)),
IF(Import.TipoArredondamento&lt;&gt;"TransfereGOV",
ROUND(OFFSET($P687,0,AS$13),15-13*ORÇAMENTO!$AF$7)/$H687*OFFSET(ORÇAMENTO!$X$15,ROW(AS687)-ROW(AS$15),0),
ROUND(ROUND(OFFSET($P687,0,AS$13),15-13*ORÇAMENTO!$AF$7)*OFFSET(ORÇAMENTO!$W$15,ROW(AS687)-ROW(AS$15),0),15-13*ORÇAMENTO!$AF$11)),0)</f>
        <v>0</v>
      </c>
      <c r="AT687" s="545">
        <f ca="1">IF(AND($D687="Serviço",AT$12&lt;&gt;0,$H687&gt;0,OR(AUTOEVENTO&lt;&gt;"manual",$M687&lt;&gt;1)),
IF(Import.TipoArredondamento&lt;&gt;"TransfereGOV",
ROUND(OFFSET($P687,0,AT$13),15-13*ORÇAMENTO!$AF$7)/$H687*OFFSET(ORÇAMENTO!$X$15,ROW(AT687)-ROW(AT$15),0),
ROUND(ROUND(OFFSET($P687,0,AT$13),15-13*ORÇAMENTO!$AF$7)*OFFSET(ORÇAMENTO!$W$15,ROW(AT687)-ROW(AT$15),0),15-13*ORÇAMENTO!$AF$11)),0)</f>
        <v>0</v>
      </c>
      <c r="AU687" s="545">
        <f ca="1">IF(AND($D687="Serviço",AU$12&lt;&gt;0,$H687&gt;0,OR(AUTOEVENTO&lt;&gt;"manual",$M687&lt;&gt;1)),
IF(Import.TipoArredondamento&lt;&gt;"TransfereGOV",
ROUND(OFFSET($P687,0,AU$13),15-13*ORÇAMENTO!$AF$7)/$H687*OFFSET(ORÇAMENTO!$X$15,ROW(AU687)-ROW(AU$15),0),
ROUND(ROUND(OFFSET($P687,0,AU$13),15-13*ORÇAMENTO!$AF$7)*OFFSET(ORÇAMENTO!$W$15,ROW(AU687)-ROW(AU$15),0),15-13*ORÇAMENTO!$AF$11)),0)</f>
        <v>0</v>
      </c>
      <c r="AV687" s="545">
        <f ca="1">IF(AND($D687="Serviço",AV$12&lt;&gt;0,$H687&gt;0,OR(AUTOEVENTO&lt;&gt;"manual",$M687&lt;&gt;1)),
IF(Import.TipoArredondamento&lt;&gt;"TransfereGOV",
ROUND(OFFSET($P687,0,AV$13),15-13*ORÇAMENTO!$AF$7)/$H687*OFFSET(ORÇAMENTO!$X$15,ROW(AV687)-ROW(AV$15),0),
ROUND(ROUND(OFFSET($P687,0,AV$13),15-13*ORÇAMENTO!$AF$7)*OFFSET(ORÇAMENTO!$W$15,ROW(AV687)-ROW(AV$15),0),15-13*ORÇAMENTO!$AF$11)),0)</f>
        <v>0</v>
      </c>
      <c r="AW687" s="545">
        <f ca="1">IF(AND($D687="Serviço",AW$12&lt;&gt;0,$H687&gt;0,OR(AUTOEVENTO&lt;&gt;"manual",$M687&lt;&gt;1)),
IF(Import.TipoArredondamento&lt;&gt;"TransfereGOV",
ROUND(OFFSET($P687,0,AW$13),15-13*ORÇAMENTO!$AF$7)/$H687*OFFSET(ORÇAMENTO!$X$15,ROW(AW687)-ROW(AW$15),0),
ROUND(ROUND(OFFSET($P687,0,AW$13),15-13*ORÇAMENTO!$AF$7)*OFFSET(ORÇAMENTO!$W$15,ROW(AW687)-ROW(AW$15),0),15-13*ORÇAMENTO!$AF$11)),0)</f>
        <v>0</v>
      </c>
      <c r="AX687" s="545">
        <f ca="1">IF(AND($D687="Serviço",AX$12&lt;&gt;0,$H687&gt;0,OR(AUTOEVENTO&lt;&gt;"manual",$M687&lt;&gt;1)),
IF(Import.TipoArredondamento&lt;&gt;"TransfereGOV",
ROUND(OFFSET($P687,0,AX$13),15-13*ORÇAMENTO!$AF$7)/$H687*OFFSET(ORÇAMENTO!$X$15,ROW(AX687)-ROW(AX$15),0),
ROUND(ROUND(OFFSET($P687,0,AX$13),15-13*ORÇAMENTO!$AF$7)*OFFSET(ORÇAMENTO!$W$15,ROW(AX687)-ROW(AX$15),0),15-13*ORÇAMENTO!$AF$11)),0)</f>
        <v>0</v>
      </c>
      <c r="AY687" s="545">
        <f ca="1">IF(AND($D687="Serviço",AY$12&lt;&gt;0,$H687&gt;0,OR(AUTOEVENTO&lt;&gt;"manual",$M687&lt;&gt;1)),
IF(Import.TipoArredondamento&lt;&gt;"TransfereGOV",
ROUND(OFFSET($P687,0,AY$13),15-13*ORÇAMENTO!$AF$7)/$H687*OFFSET(ORÇAMENTO!$X$15,ROW(AY687)-ROW(AY$15),0),
ROUND(ROUND(OFFSET($P687,0,AY$13),15-13*ORÇAMENTO!$AF$7)*OFFSET(ORÇAMENTO!$W$15,ROW(AY687)-ROW(AY$15),0),15-13*ORÇAMENTO!$AF$11)),0)</f>
        <v>0</v>
      </c>
      <c r="AZ687" s="545">
        <f ca="1">IF(AND($D687="Serviço",AZ$12&lt;&gt;0,$H687&gt;0,OR(AUTOEVENTO&lt;&gt;"manual",$M687&lt;&gt;1)),
IF(Import.TipoArredondamento&lt;&gt;"TransfereGOV",
ROUND(OFFSET($P687,0,AZ$13),15-13*ORÇAMENTO!$AF$7)/$H687*OFFSET(ORÇAMENTO!$X$15,ROW(AZ687)-ROW(AZ$15),0),
ROUND(ROUND(OFFSET($P687,0,AZ$13),15-13*ORÇAMENTO!$AF$7)*OFFSET(ORÇAMENTO!$W$15,ROW(AZ687)-ROW(AZ$15),0),15-13*ORÇAMENTO!$AF$11)),0)</f>
        <v>0</v>
      </c>
      <c r="BA687" s="546">
        <f ca="1">IF(AND($D687="Serviço",BA$12&lt;&gt;0,$H687&gt;0,OR(AUTOEVENTO&lt;&gt;"manual",$M687&lt;&gt;1)),
IF(Import.TipoArredondamento&lt;&gt;"TransfereGOV",
ROUND(OFFSET($P687,0,BA$13),15-13*ORÇAMENTO!$AF$7)/$H687*OFFSET(ORÇAMENTO!$X$15,ROW(BA687)-ROW(BA$15),0),
ROUND(ROUND(OFFSET($P687,0,BA$13),15-13*ORÇAMENTO!$AF$7)*OFFSET(ORÇAMENTO!$W$15,ROW(BA687)-ROW(BA$15),0),15-13*ORÇAMENTO!$AF$11)),0)</f>
        <v>0</v>
      </c>
      <c r="BC687" s="181">
        <f ca="1">IF($D687&lt;&gt;"Serviço",0,IF(AND(AUTOEVENTO="Manual",$M687=1),0,IF(OFFSET(CRONOPLE!$F$14,$M687,BC$13)="",10^12,OFFSET(CRONOPLE!$F$14,$M687,BC$13))))</f>
        <v>12</v>
      </c>
      <c r="BD687" s="181">
        <f ca="1">IF($D687&lt;&gt;"Serviço",0,IF(AND(AUTOEVENTO="Manual",$M687=1),0,IF(OFFSET(CRONOPLE!$F$14,$M687,BD$13)="",10^12,OFFSET(CRONOPLE!$F$14,$M687,BD$13))))</f>
        <v>1000000000000</v>
      </c>
      <c r="BE687" s="181">
        <f ca="1">IF($D687&lt;&gt;"Serviço",0,IF(AND(AUTOEVENTO="Manual",$M687=1),0,IF(OFFSET(CRONOPLE!$F$14,$M687,BE$13)="",10^12,OFFSET(CRONOPLE!$F$14,$M687,BE$13))))</f>
        <v>1000000000000</v>
      </c>
      <c r="BF687" s="181">
        <f ca="1">IF($D687&lt;&gt;"Serviço",0,IF(AND(AUTOEVENTO="Manual",$M687=1),0,IF(OFFSET(CRONOPLE!$F$14,$M687,BF$13)="",10^12,OFFSET(CRONOPLE!$F$14,$M687,BF$13))))</f>
        <v>1000000000000</v>
      </c>
      <c r="BG687" s="181">
        <f ca="1">IF($D687&lt;&gt;"Serviço",0,IF(AND(AUTOEVENTO="Manual",$M687=1),0,IF(OFFSET(CRONOPLE!$F$14,$M687,BG$13)="",10^12,OFFSET(CRONOPLE!$F$14,$M687,BG$13))))</f>
        <v>1000000000000</v>
      </c>
      <c r="BH687" s="181">
        <f ca="1">IF($D687&lt;&gt;"Serviço",0,IF(AND(AUTOEVENTO="Manual",$M687=1),0,IF(OFFSET(CRONOPLE!$F$14,$M687,BH$13)="",10^12,OFFSET(CRONOPLE!$F$14,$M687,BH$13))))</f>
        <v>1000000000000</v>
      </c>
      <c r="BI687" s="181">
        <f ca="1">IF($D687&lt;&gt;"Serviço",0,IF(AND(AUTOEVENTO="Manual",$M687=1),0,IF(OFFSET(CRONOPLE!$F$14,$M687,BI$13)="",10^12,OFFSET(CRONOPLE!$F$14,$M687,BI$13))))</f>
        <v>1000000000000</v>
      </c>
      <c r="BJ687" s="181">
        <f ca="1">IF($D687&lt;&gt;"Serviço",0,IF(AND(AUTOEVENTO="Manual",$M687=1),0,IF(OFFSET(CRONOPLE!$F$14,$M687,BJ$13)="",10^12,OFFSET(CRONOPLE!$F$14,$M687,BJ$13))))</f>
        <v>1000000000000</v>
      </c>
      <c r="BK687" s="181">
        <f ca="1">IF($D687&lt;&gt;"Serviço",0,IF(AND(AUTOEVENTO="Manual",$M687=1),0,IF(OFFSET(CRONOPLE!$F$14,$M687,BK$13)="",10^12,OFFSET(CRONOPLE!$F$14,$M687,BK$13))))</f>
        <v>1000000000000</v>
      </c>
      <c r="BL687" s="181">
        <f ca="1">IF($D687&lt;&gt;"Serviço",0,IF(AND(AUTOEVENTO="Manual",$M687=1),0,IF(OFFSET(CRONOPLE!$F$14,$M687,BL$13)="",10^12,OFFSET(CRONOPLE!$F$14,$M687,BL$13))))</f>
        <v>1000000000000</v>
      </c>
      <c r="BM687" s="181">
        <f ca="1">IF($D687&lt;&gt;"Serviço",0,IF(AND(AUTOEVENTO="Manual",$M687=1),0,IF(OFFSET(CRONOPLE!$F$14,$M687,BM$13)="",10^12,OFFSET(CRONOPLE!$F$14,$M687,BM$13))))</f>
        <v>1000000000000</v>
      </c>
      <c r="BN687" s="181">
        <f ca="1">IF($D687&lt;&gt;"Serviço",0,IF(AND(AUTOEVENTO="Manual",$M687=1),0,IF(OFFSET(CRONOPLE!$F$14,$M687,BN$13)="",10^12,OFFSET(CRONOPLE!$F$14,$M687,BN$13))))</f>
        <v>1000000000000</v>
      </c>
      <c r="BO687" s="181">
        <f ca="1">IF($D687&lt;&gt;"Serviço",0,IF(AND(AUTOEVENTO="Manual",$M687=1),0,IF(OFFSET(CRONOPLE!$F$14,$M687,BO$13)="",10^12,OFFSET(CRONOPLE!$F$14,$M687,BO$13))))</f>
        <v>1000000000000</v>
      </c>
      <c r="BP687" s="181">
        <f ca="1">IF($D687&lt;&gt;"Serviço",0,IF(AND(AUTOEVENTO="Manual",$M687=1),0,IF(OFFSET(CRONOPLE!$F$14,$M687,BP$13)="",10^12,OFFSET(CRONOPLE!$F$14,$M687,BP$13))))</f>
        <v>1000000000000</v>
      </c>
      <c r="BQ687" s="181">
        <f ca="1">IF($D687&lt;&gt;"Serviço",0,IF(AND(AUTOEVENTO="Manual",$M687=1),0,IF(OFFSET(CRONOPLE!$F$14,$M687,BQ$13)="",10^12,OFFSET(CRONOPLE!$F$14,$M687,BQ$13))))</f>
        <v>1000000000000</v>
      </c>
      <c r="BR687" s="181">
        <f ca="1">IF($D687&lt;&gt;"Serviço",0,IF(AND(AUTOEVENTO="Manual",$M687=1),0,IF(OFFSET(CRONOPLE!$F$14,$M687,BR$13)="",10^12,OFFSET(CRONOPLE!$F$14,$M687,BR$13))))</f>
        <v>1000000000000</v>
      </c>
      <c r="BS687" s="181">
        <f ca="1">IF($D687&lt;&gt;"Serviço",0,IF(AND(AUTOEVENTO="Manual",$M687=1),0,IF(OFFSET(CRONOPLE!$F$14,$M687,BS$13)="",10^12,OFFSET(CRONOPLE!$F$14,$M687,BS$13))))</f>
        <v>1000000000000</v>
      </c>
      <c r="BT687" s="181">
        <f ca="1">IF($D687&lt;&gt;"Serviço",0,IF(AND(AUTOEVENTO="Manual",$M687=1),0,IF(OFFSET(CRONOPLE!$F$14,$M687,BT$13)="",10^12,OFFSET(CRONOPLE!$F$14,$M687,BT$13))))</f>
        <v>1000000000000</v>
      </c>
      <c r="BV687" s="182">
        <f ca="1">IF($D687&lt;&gt;"Serviço",0,IF(OR(AND(AUTOEVENTO="Manual",$M687=1),$M687&gt;(ROW(PLE.lastrow)-ROW(PLE.firstrow))),0,IF(OFFSET(PLE!$G$14,$M687,BV$13)="",10^12,OFFSET(PLE!$G$14,$M687,BV$13))))</f>
        <v>1000000000000</v>
      </c>
      <c r="BW687" s="182">
        <f ca="1">IF($D687&lt;&gt;"Serviço",0,IF(OR(AND(AUTOEVENTO="Manual",$M687=1),$M687&gt;(ROW(PLE.lastrow)-ROW(PLE.firstrow))),0,IF(OFFSET(PLE!$G$14,$M687,BW$13)="",10^12,OFFSET(PLE!$G$14,$M687,BW$13))))</f>
        <v>1000000000000</v>
      </c>
      <c r="BX687" s="182">
        <f ca="1">IF($D687&lt;&gt;"Serviço",0,IF(OR(AND(AUTOEVENTO="Manual",$M687=1),$M687&gt;(ROW(PLE.lastrow)-ROW(PLE.firstrow))),0,IF(OFFSET(PLE!$G$14,$M687,BX$13)="",10^12,OFFSET(PLE!$G$14,$M687,BX$13))))</f>
        <v>1000000000000</v>
      </c>
      <c r="BY687" s="182">
        <f ca="1">IF($D687&lt;&gt;"Serviço",0,IF(OR(AND(AUTOEVENTO="Manual",$M687=1),$M687&gt;(ROW(PLE.lastrow)-ROW(PLE.firstrow))),0,IF(OFFSET(PLE!$G$14,$M687,BY$13)="",10^12,OFFSET(PLE!$G$14,$M687,BY$13))))</f>
        <v>1000000000000</v>
      </c>
      <c r="BZ687" s="182">
        <f ca="1">IF($D687&lt;&gt;"Serviço",0,IF(OR(AND(AUTOEVENTO="Manual",$M687=1),$M687&gt;(ROW(PLE.lastrow)-ROW(PLE.firstrow))),0,IF(OFFSET(PLE!$G$14,$M687,BZ$13)="",10^12,OFFSET(PLE!$G$14,$M687,BZ$13))))</f>
        <v>1000000000000</v>
      </c>
      <c r="CA687" s="182">
        <f ca="1">IF($D687&lt;&gt;"Serviço",0,IF(OR(AND(AUTOEVENTO="Manual",$M687=1),$M687&gt;(ROW(PLE.lastrow)-ROW(PLE.firstrow))),0,IF(OFFSET(PLE!$G$14,$M687,CA$13)="",10^12,OFFSET(PLE!$G$14,$M687,CA$13))))</f>
        <v>1000000000000</v>
      </c>
      <c r="CB687" s="182">
        <f ca="1">IF($D687&lt;&gt;"Serviço",0,IF(OR(AND(AUTOEVENTO="Manual",$M687=1),$M687&gt;(ROW(PLE.lastrow)-ROW(PLE.firstrow))),0,IF(OFFSET(PLE!$G$14,$M687,CB$13)="",10^12,OFFSET(PLE!$G$14,$M687,CB$13))))</f>
        <v>1000000000000</v>
      </c>
      <c r="CC687" s="182">
        <f ca="1">IF($D687&lt;&gt;"Serviço",0,IF(OR(AND(AUTOEVENTO="Manual",$M687=1),$M687&gt;(ROW(PLE.lastrow)-ROW(PLE.firstrow))),0,IF(OFFSET(PLE!$G$14,$M687,CC$13)="",10^12,OFFSET(PLE!$G$14,$M687,CC$13))))</f>
        <v>1000000000000</v>
      </c>
      <c r="CD687" s="182">
        <f ca="1">IF($D687&lt;&gt;"Serviço",0,IF(OR(AND(AUTOEVENTO="Manual",$M687=1),$M687&gt;(ROW(PLE.lastrow)-ROW(PLE.firstrow))),0,IF(OFFSET(PLE!$G$14,$M687,CD$13)="",10^12,OFFSET(PLE!$G$14,$M687,CD$13))))</f>
        <v>1000000000000</v>
      </c>
      <c r="CE687" s="182">
        <f ca="1">IF($D687&lt;&gt;"Serviço",0,IF(OR(AND(AUTOEVENTO="Manual",$M687=1),$M687&gt;(ROW(PLE.lastrow)-ROW(PLE.firstrow))),0,IF(OFFSET(PLE!$G$14,$M687,CE$13)="",10^12,OFFSET(PLE!$G$14,$M687,CE$13))))</f>
        <v>1000000000000</v>
      </c>
      <c r="CF687" s="182">
        <f ca="1">IF($D687&lt;&gt;"Serviço",0,IF(OR(AND(AUTOEVENTO="Manual",$M687=1),$M687&gt;(ROW(PLE.lastrow)-ROW(PLE.firstrow))),0,IF(OFFSET(PLE!$G$14,$M687,CF$13)="",10^12,OFFSET(PLE!$G$14,$M687,CF$13))))</f>
        <v>1000000000000</v>
      </c>
      <c r="CG687" s="182">
        <f ca="1">IF($D687&lt;&gt;"Serviço",0,IF(OR(AND(AUTOEVENTO="Manual",$M687=1),$M687&gt;(ROW(PLE.lastrow)-ROW(PLE.firstrow))),0,IF(OFFSET(PLE!$G$14,$M687,CG$13)="",10^12,OFFSET(PLE!$G$14,$M687,CG$13))))</f>
        <v>1000000000000</v>
      </c>
      <c r="CH687" s="182">
        <f ca="1">IF($D687&lt;&gt;"Serviço",0,IF(OR(AND(AUTOEVENTO="Manual",$M687=1),$M687&gt;(ROW(PLE.lastrow)-ROW(PLE.firstrow))),0,IF(OFFSET(PLE!$G$14,$M687,CH$13)="",10^12,OFFSET(PLE!$G$14,$M687,CH$13))))</f>
        <v>1000000000000</v>
      </c>
      <c r="CI687" s="182">
        <f ca="1">IF($D687&lt;&gt;"Serviço",0,IF(OR(AND(AUTOEVENTO="Manual",$M687=1),$M687&gt;(ROW(PLE.lastrow)-ROW(PLE.firstrow))),0,IF(OFFSET(PLE!$G$14,$M687,CI$13)="",10^12,OFFSET(PLE!$G$14,$M687,CI$13))))</f>
        <v>1000000000000</v>
      </c>
      <c r="CJ687" s="182">
        <f ca="1">IF($D687&lt;&gt;"Serviço",0,IF(OR(AND(AUTOEVENTO="Manual",$M687=1),$M687&gt;(ROW(PLE.lastrow)-ROW(PLE.firstrow))),0,IF(OFFSET(PLE!$G$14,$M687,CJ$13)="",10^12,OFFSET(PLE!$G$14,$M687,CJ$13))))</f>
        <v>1000000000000</v>
      </c>
      <c r="CK687" s="182">
        <f ca="1">IF($D687&lt;&gt;"Serviço",0,IF(OR(AND(AUTOEVENTO="Manual",$M687=1),$M687&gt;(ROW(PLE.lastrow)-ROW(PLE.firstrow))),0,IF(OFFSET(PLE!$G$14,$M687,CK$13)="",10^12,OFFSET(PLE!$G$14,$M687,CK$13))))</f>
        <v>1000000000000</v>
      </c>
      <c r="CL687" s="182">
        <f ca="1">IF($D687&lt;&gt;"Serviço",0,IF(OR(AND(AUTOEVENTO="Manual",$M687=1),$M687&gt;(ROW(PLE.lastrow)-ROW(PLE.firstrow))),0,IF(OFFSET(PLE!$G$14,$M687,CL$13)="",10^12,OFFSET(PLE!$G$14,$M687,CL$13))))</f>
        <v>1000000000000</v>
      </c>
      <c r="CM687" s="182">
        <f ca="1">IF($D687&lt;&gt;"Serviço",0,IF(OR(AND(AUTOEVENTO="Manual",$M687=1),$M687&gt;(ROW(PLE.lastrow)-ROW(PLE.firstrow))),0,IF(OFFSET(PLE!$G$14,$M687,CM$13)="",10^12,OFFSET(PLE!$G$14,$M687,CM$13))))</f>
        <v>1000000000000</v>
      </c>
    </row>
    <row r="688" spans="1:91" ht="38.25" x14ac:dyDescent="0.2">
      <c r="A688" s="7" t="str">
        <f t="shared" ca="1" si="19"/>
        <v>671</v>
      </c>
      <c r="B688" s="7" t="str">
        <f ca="1">OFFSET(ORÇAMENTO!C$15,ROW(B688)-ROW(B$15),0)</f>
        <v>S</v>
      </c>
      <c r="C688" s="7" t="str">
        <f ca="1">OFFSET(ORÇAMENTO!L$15,ROW(C688)-ROW(C$15),0)</f>
        <v/>
      </c>
      <c r="D688" s="118" t="str">
        <f ca="1">OFFSET(ORÇAMENTO!N$15,ROW(D688)-ROW(D$15),0)</f>
        <v>Serviço</v>
      </c>
      <c r="E688" s="119" t="str">
        <f ca="1">OFFSET(ORÇAMENTO!O$15,ROW(E688)-ROW(E$15),0)</f>
        <v>-</v>
      </c>
      <c r="F688" s="172" t="str">
        <f ca="1">OFFSET(ORÇAMENTO!R$15,ROW(F688)-ROW(F$15),0)</f>
        <v>(abra o arquivo 'Referência 06-2024.xlsm)</v>
      </c>
      <c r="G688" s="173" t="str">
        <f ca="1">IF($D688&lt;&gt;"Serviço","",OFFSET(ORÇAMENTO!S$15,ROW(G688)-ROW(G$15),0))</f>
        <v>-</v>
      </c>
      <c r="H688" s="124">
        <f ca="1">IF($D688&lt;&gt;"Serviço",0,IF(ACOMPANHAMENTO="BM",ROUND(OFFSET(ORÇAMENTO!AJ$15,ROW(H688)-ROW(H$15),0),15-13*ORÇAMENTO!$AF$7),SUMPRODUCT(($Q$12:$AI$12&lt;&gt;"")*ROUND($Q688:$AI688,15-13*ORÇAMENTO!$AF$7))))</f>
        <v>14.76</v>
      </c>
      <c r="I688" s="561" t="s">
        <v>1107</v>
      </c>
      <c r="K688" s="174"/>
      <c r="L688" s="175" t="s">
        <v>255</v>
      </c>
      <c r="M688" s="176">
        <f ca="1">IF($D688&lt;&gt;"Serviço","",IF(AUTOEVENTO="manual",$A688,IF(ISERROR(MATCH($A688,$A$15:OFFSET($A688,-1,0),0)),MAX($M$15:OFFSET(M688,-1,0))+1,INDEX($M$15:OFFSET(M688,-1,0),MATCH($A688,$A$15:OFFSET($A688,-1,0),0)))))</f>
        <v>75</v>
      </c>
      <c r="N688" s="177" t="str">
        <f ca="1">IF($D688&lt;&gt;"Serviço","",IF(AUTOEVENTO="Manual",IF($A688=0,"&lt;-- defina o número do agrupador",OFFSET(EVENTOS!$D$14,$A688,0)),OFFSET($F$15,$A688,0)))</f>
        <v>MURO DE FECHAMENTO - CONCRETO ARMADO PARA SAPATAS E BLOCOS</v>
      </c>
      <c r="O688" s="178"/>
      <c r="Q688" s="178">
        <v>14.76</v>
      </c>
      <c r="R688" s="179"/>
      <c r="S688" s="179"/>
      <c r="T688" s="179"/>
      <c r="U688" s="179"/>
      <c r="V688" s="179"/>
      <c r="W688" s="179"/>
      <c r="X688" s="179"/>
      <c r="Y688" s="179"/>
      <c r="Z688" s="180"/>
      <c r="AA688" s="179"/>
      <c r="AB688" s="179"/>
      <c r="AC688" s="179"/>
      <c r="AD688" s="179"/>
      <c r="AE688" s="179"/>
      <c r="AF688" s="179"/>
      <c r="AG688" s="179"/>
      <c r="AH688" s="180"/>
      <c r="AJ688" s="544">
        <f ca="1">IF(AND($D688="Serviço",AJ$12&lt;&gt;0,$H688&gt;0,OR(AUTOEVENTO&lt;&gt;"manual",$M688&lt;&gt;1)),
IF(Import.TipoArredondamento&lt;&gt;"TransfereGOV",
ROUND(OFFSET($P688,0,AJ$13),15-13*ORÇAMENTO!$AF$7)/$H688*OFFSET(ORÇAMENTO!$X$15,ROW(AJ688)-ROW(AJ$15),0),
ROUND(ROUND(OFFSET($P688,0,AJ$13),15-13*ORÇAMENTO!$AF$7)*OFFSET(ORÇAMENTO!$W$15,ROW(AJ688)-ROW(AJ$15),0),15-13*ORÇAMENTO!$AF$11)),0)</f>
        <v>0</v>
      </c>
      <c r="AK688" s="545">
        <f ca="1">IF(AND($D688="Serviço",AK$12&lt;&gt;0,$H688&gt;0,OR(AUTOEVENTO&lt;&gt;"manual",$M688&lt;&gt;1)),
IF(Import.TipoArredondamento&lt;&gt;"TransfereGOV",
ROUND(OFFSET($P688,0,AK$13),15-13*ORÇAMENTO!$AF$7)/$H688*OFFSET(ORÇAMENTO!$X$15,ROW(AK688)-ROW(AK$15),0),
ROUND(ROUND(OFFSET($P688,0,AK$13),15-13*ORÇAMENTO!$AF$7)*OFFSET(ORÇAMENTO!$W$15,ROW(AK688)-ROW(AK$15),0),15-13*ORÇAMENTO!$AF$11)),0)</f>
        <v>0</v>
      </c>
      <c r="AL688" s="545">
        <f ca="1">IF(AND($D688="Serviço",AL$12&lt;&gt;0,$H688&gt;0,OR(AUTOEVENTO&lt;&gt;"manual",$M688&lt;&gt;1)),
IF(Import.TipoArredondamento&lt;&gt;"TransfereGOV",
ROUND(OFFSET($P688,0,AL$13),15-13*ORÇAMENTO!$AF$7)/$H688*OFFSET(ORÇAMENTO!$X$15,ROW(AL688)-ROW(AL$15),0),
ROUND(ROUND(OFFSET($P688,0,AL$13),15-13*ORÇAMENTO!$AF$7)*OFFSET(ORÇAMENTO!$W$15,ROW(AL688)-ROW(AL$15),0),15-13*ORÇAMENTO!$AF$11)),0)</f>
        <v>0</v>
      </c>
      <c r="AM688" s="545">
        <f ca="1">IF(AND($D688="Serviço",AM$12&lt;&gt;0,$H688&gt;0,OR(AUTOEVENTO&lt;&gt;"manual",$M688&lt;&gt;1)),
IF(Import.TipoArredondamento&lt;&gt;"TransfereGOV",
ROUND(OFFSET($P688,0,AM$13),15-13*ORÇAMENTO!$AF$7)/$H688*OFFSET(ORÇAMENTO!$X$15,ROW(AM688)-ROW(AM$15),0),
ROUND(ROUND(OFFSET($P688,0,AM$13),15-13*ORÇAMENTO!$AF$7)*OFFSET(ORÇAMENTO!$W$15,ROW(AM688)-ROW(AM$15),0),15-13*ORÇAMENTO!$AF$11)),0)</f>
        <v>0</v>
      </c>
      <c r="AN688" s="545">
        <f ca="1">IF(AND($D688="Serviço",AN$12&lt;&gt;0,$H688&gt;0,OR(AUTOEVENTO&lt;&gt;"manual",$M688&lt;&gt;1)),
IF(Import.TipoArredondamento&lt;&gt;"TransfereGOV",
ROUND(OFFSET($P688,0,AN$13),15-13*ORÇAMENTO!$AF$7)/$H688*OFFSET(ORÇAMENTO!$X$15,ROW(AN688)-ROW(AN$15),0),
ROUND(ROUND(OFFSET($P688,0,AN$13),15-13*ORÇAMENTO!$AF$7)*OFFSET(ORÇAMENTO!$W$15,ROW(AN688)-ROW(AN$15),0),15-13*ORÇAMENTO!$AF$11)),0)</f>
        <v>0</v>
      </c>
      <c r="AO688" s="545">
        <f ca="1">IF(AND($D688="Serviço",AO$12&lt;&gt;0,$H688&gt;0,OR(AUTOEVENTO&lt;&gt;"manual",$M688&lt;&gt;1)),
IF(Import.TipoArredondamento&lt;&gt;"TransfereGOV",
ROUND(OFFSET($P688,0,AO$13),15-13*ORÇAMENTO!$AF$7)/$H688*OFFSET(ORÇAMENTO!$X$15,ROW(AO688)-ROW(AO$15),0),
ROUND(ROUND(OFFSET($P688,0,AO$13),15-13*ORÇAMENTO!$AF$7)*OFFSET(ORÇAMENTO!$W$15,ROW(AO688)-ROW(AO$15),0),15-13*ORÇAMENTO!$AF$11)),0)</f>
        <v>0</v>
      </c>
      <c r="AP688" s="545">
        <f ca="1">IF(AND($D688="Serviço",AP$12&lt;&gt;0,$H688&gt;0,OR(AUTOEVENTO&lt;&gt;"manual",$M688&lt;&gt;1)),
IF(Import.TipoArredondamento&lt;&gt;"TransfereGOV",
ROUND(OFFSET($P688,0,AP$13),15-13*ORÇAMENTO!$AF$7)/$H688*OFFSET(ORÇAMENTO!$X$15,ROW(AP688)-ROW(AP$15),0),
ROUND(ROUND(OFFSET($P688,0,AP$13),15-13*ORÇAMENTO!$AF$7)*OFFSET(ORÇAMENTO!$W$15,ROW(AP688)-ROW(AP$15),0),15-13*ORÇAMENTO!$AF$11)),0)</f>
        <v>0</v>
      </c>
      <c r="AQ688" s="545">
        <f ca="1">IF(AND($D688="Serviço",AQ$12&lt;&gt;0,$H688&gt;0,OR(AUTOEVENTO&lt;&gt;"manual",$M688&lt;&gt;1)),
IF(Import.TipoArredondamento&lt;&gt;"TransfereGOV",
ROUND(OFFSET($P688,0,AQ$13),15-13*ORÇAMENTO!$AF$7)/$H688*OFFSET(ORÇAMENTO!$X$15,ROW(AQ688)-ROW(AQ$15),0),
ROUND(ROUND(OFFSET($P688,0,AQ$13),15-13*ORÇAMENTO!$AF$7)*OFFSET(ORÇAMENTO!$W$15,ROW(AQ688)-ROW(AQ$15),0),15-13*ORÇAMENTO!$AF$11)),0)</f>
        <v>0</v>
      </c>
      <c r="AR688" s="545">
        <f ca="1">IF(AND($D688="Serviço",AR$12&lt;&gt;0,$H688&gt;0,OR(AUTOEVENTO&lt;&gt;"manual",$M688&lt;&gt;1)),
IF(Import.TipoArredondamento&lt;&gt;"TransfereGOV",
ROUND(OFFSET($P688,0,AR$13),15-13*ORÇAMENTO!$AF$7)/$H688*OFFSET(ORÇAMENTO!$X$15,ROW(AR688)-ROW(AR$15),0),
ROUND(ROUND(OFFSET($P688,0,AR$13),15-13*ORÇAMENTO!$AF$7)*OFFSET(ORÇAMENTO!$W$15,ROW(AR688)-ROW(AR$15),0),15-13*ORÇAMENTO!$AF$11)),0)</f>
        <v>0</v>
      </c>
      <c r="AS688" s="546">
        <f ca="1">IF(AND($D688="Serviço",AS$12&lt;&gt;0,$H688&gt;0,OR(AUTOEVENTO&lt;&gt;"manual",$M688&lt;&gt;1)),
IF(Import.TipoArredondamento&lt;&gt;"TransfereGOV",
ROUND(OFFSET($P688,0,AS$13),15-13*ORÇAMENTO!$AF$7)/$H688*OFFSET(ORÇAMENTO!$X$15,ROW(AS688)-ROW(AS$15),0),
ROUND(ROUND(OFFSET($P688,0,AS$13),15-13*ORÇAMENTO!$AF$7)*OFFSET(ORÇAMENTO!$W$15,ROW(AS688)-ROW(AS$15),0),15-13*ORÇAMENTO!$AF$11)),0)</f>
        <v>0</v>
      </c>
      <c r="AT688" s="545">
        <f ca="1">IF(AND($D688="Serviço",AT$12&lt;&gt;0,$H688&gt;0,OR(AUTOEVENTO&lt;&gt;"manual",$M688&lt;&gt;1)),
IF(Import.TipoArredondamento&lt;&gt;"TransfereGOV",
ROUND(OFFSET($P688,0,AT$13),15-13*ORÇAMENTO!$AF$7)/$H688*OFFSET(ORÇAMENTO!$X$15,ROW(AT688)-ROW(AT$15),0),
ROUND(ROUND(OFFSET($P688,0,AT$13),15-13*ORÇAMENTO!$AF$7)*OFFSET(ORÇAMENTO!$W$15,ROW(AT688)-ROW(AT$15),0),15-13*ORÇAMENTO!$AF$11)),0)</f>
        <v>0</v>
      </c>
      <c r="AU688" s="545">
        <f ca="1">IF(AND($D688="Serviço",AU$12&lt;&gt;0,$H688&gt;0,OR(AUTOEVENTO&lt;&gt;"manual",$M688&lt;&gt;1)),
IF(Import.TipoArredondamento&lt;&gt;"TransfereGOV",
ROUND(OFFSET($P688,0,AU$13),15-13*ORÇAMENTO!$AF$7)/$H688*OFFSET(ORÇAMENTO!$X$15,ROW(AU688)-ROW(AU$15),0),
ROUND(ROUND(OFFSET($P688,0,AU$13),15-13*ORÇAMENTO!$AF$7)*OFFSET(ORÇAMENTO!$W$15,ROW(AU688)-ROW(AU$15),0),15-13*ORÇAMENTO!$AF$11)),0)</f>
        <v>0</v>
      </c>
      <c r="AV688" s="545">
        <f ca="1">IF(AND($D688="Serviço",AV$12&lt;&gt;0,$H688&gt;0,OR(AUTOEVENTO&lt;&gt;"manual",$M688&lt;&gt;1)),
IF(Import.TipoArredondamento&lt;&gt;"TransfereGOV",
ROUND(OFFSET($P688,0,AV$13),15-13*ORÇAMENTO!$AF$7)/$H688*OFFSET(ORÇAMENTO!$X$15,ROW(AV688)-ROW(AV$15),0),
ROUND(ROUND(OFFSET($P688,0,AV$13),15-13*ORÇAMENTO!$AF$7)*OFFSET(ORÇAMENTO!$W$15,ROW(AV688)-ROW(AV$15),0),15-13*ORÇAMENTO!$AF$11)),0)</f>
        <v>0</v>
      </c>
      <c r="AW688" s="545">
        <f ca="1">IF(AND($D688="Serviço",AW$12&lt;&gt;0,$H688&gt;0,OR(AUTOEVENTO&lt;&gt;"manual",$M688&lt;&gt;1)),
IF(Import.TipoArredondamento&lt;&gt;"TransfereGOV",
ROUND(OFFSET($P688,0,AW$13),15-13*ORÇAMENTO!$AF$7)/$H688*OFFSET(ORÇAMENTO!$X$15,ROW(AW688)-ROW(AW$15),0),
ROUND(ROUND(OFFSET($P688,0,AW$13),15-13*ORÇAMENTO!$AF$7)*OFFSET(ORÇAMENTO!$W$15,ROW(AW688)-ROW(AW$15),0),15-13*ORÇAMENTO!$AF$11)),0)</f>
        <v>0</v>
      </c>
      <c r="AX688" s="545">
        <f ca="1">IF(AND($D688="Serviço",AX$12&lt;&gt;0,$H688&gt;0,OR(AUTOEVENTO&lt;&gt;"manual",$M688&lt;&gt;1)),
IF(Import.TipoArredondamento&lt;&gt;"TransfereGOV",
ROUND(OFFSET($P688,0,AX$13),15-13*ORÇAMENTO!$AF$7)/$H688*OFFSET(ORÇAMENTO!$X$15,ROW(AX688)-ROW(AX$15),0),
ROUND(ROUND(OFFSET($P688,0,AX$13),15-13*ORÇAMENTO!$AF$7)*OFFSET(ORÇAMENTO!$W$15,ROW(AX688)-ROW(AX$15),0),15-13*ORÇAMENTO!$AF$11)),0)</f>
        <v>0</v>
      </c>
      <c r="AY688" s="545">
        <f ca="1">IF(AND($D688="Serviço",AY$12&lt;&gt;0,$H688&gt;0,OR(AUTOEVENTO&lt;&gt;"manual",$M688&lt;&gt;1)),
IF(Import.TipoArredondamento&lt;&gt;"TransfereGOV",
ROUND(OFFSET($P688,0,AY$13),15-13*ORÇAMENTO!$AF$7)/$H688*OFFSET(ORÇAMENTO!$X$15,ROW(AY688)-ROW(AY$15),0),
ROUND(ROUND(OFFSET($P688,0,AY$13),15-13*ORÇAMENTO!$AF$7)*OFFSET(ORÇAMENTO!$W$15,ROW(AY688)-ROW(AY$15),0),15-13*ORÇAMENTO!$AF$11)),0)</f>
        <v>0</v>
      </c>
      <c r="AZ688" s="545">
        <f ca="1">IF(AND($D688="Serviço",AZ$12&lt;&gt;0,$H688&gt;0,OR(AUTOEVENTO&lt;&gt;"manual",$M688&lt;&gt;1)),
IF(Import.TipoArredondamento&lt;&gt;"TransfereGOV",
ROUND(OFFSET($P688,0,AZ$13),15-13*ORÇAMENTO!$AF$7)/$H688*OFFSET(ORÇAMENTO!$X$15,ROW(AZ688)-ROW(AZ$15),0),
ROUND(ROUND(OFFSET($P688,0,AZ$13),15-13*ORÇAMENTO!$AF$7)*OFFSET(ORÇAMENTO!$W$15,ROW(AZ688)-ROW(AZ$15),0),15-13*ORÇAMENTO!$AF$11)),0)</f>
        <v>0</v>
      </c>
      <c r="BA688" s="546">
        <f ca="1">IF(AND($D688="Serviço",BA$12&lt;&gt;0,$H688&gt;0,OR(AUTOEVENTO&lt;&gt;"manual",$M688&lt;&gt;1)),
IF(Import.TipoArredondamento&lt;&gt;"TransfereGOV",
ROUND(OFFSET($P688,0,BA$13),15-13*ORÇAMENTO!$AF$7)/$H688*OFFSET(ORÇAMENTO!$X$15,ROW(BA688)-ROW(BA$15),0),
ROUND(ROUND(OFFSET($P688,0,BA$13),15-13*ORÇAMENTO!$AF$7)*OFFSET(ORÇAMENTO!$W$15,ROW(BA688)-ROW(BA$15),0),15-13*ORÇAMENTO!$AF$11)),0)</f>
        <v>0</v>
      </c>
      <c r="BC688" s="181">
        <f ca="1">IF($D688&lt;&gt;"Serviço",0,IF(AND(AUTOEVENTO="Manual",$M688=1),0,IF(OFFSET(CRONOPLE!$F$14,$M688,BC$13)="",10^12,OFFSET(CRONOPLE!$F$14,$M688,BC$13))))</f>
        <v>12</v>
      </c>
      <c r="BD688" s="181">
        <f ca="1">IF($D688&lt;&gt;"Serviço",0,IF(AND(AUTOEVENTO="Manual",$M688=1),0,IF(OFFSET(CRONOPLE!$F$14,$M688,BD$13)="",10^12,OFFSET(CRONOPLE!$F$14,$M688,BD$13))))</f>
        <v>1000000000000</v>
      </c>
      <c r="BE688" s="181">
        <f ca="1">IF($D688&lt;&gt;"Serviço",0,IF(AND(AUTOEVENTO="Manual",$M688=1),0,IF(OFFSET(CRONOPLE!$F$14,$M688,BE$13)="",10^12,OFFSET(CRONOPLE!$F$14,$M688,BE$13))))</f>
        <v>1000000000000</v>
      </c>
      <c r="BF688" s="181">
        <f ca="1">IF($D688&lt;&gt;"Serviço",0,IF(AND(AUTOEVENTO="Manual",$M688=1),0,IF(OFFSET(CRONOPLE!$F$14,$M688,BF$13)="",10^12,OFFSET(CRONOPLE!$F$14,$M688,BF$13))))</f>
        <v>1000000000000</v>
      </c>
      <c r="BG688" s="181">
        <f ca="1">IF($D688&lt;&gt;"Serviço",0,IF(AND(AUTOEVENTO="Manual",$M688=1),0,IF(OFFSET(CRONOPLE!$F$14,$M688,BG$13)="",10^12,OFFSET(CRONOPLE!$F$14,$M688,BG$13))))</f>
        <v>1000000000000</v>
      </c>
      <c r="BH688" s="181">
        <f ca="1">IF($D688&lt;&gt;"Serviço",0,IF(AND(AUTOEVENTO="Manual",$M688=1),0,IF(OFFSET(CRONOPLE!$F$14,$M688,BH$13)="",10^12,OFFSET(CRONOPLE!$F$14,$M688,BH$13))))</f>
        <v>1000000000000</v>
      </c>
      <c r="BI688" s="181">
        <f ca="1">IF($D688&lt;&gt;"Serviço",0,IF(AND(AUTOEVENTO="Manual",$M688=1),0,IF(OFFSET(CRONOPLE!$F$14,$M688,BI$13)="",10^12,OFFSET(CRONOPLE!$F$14,$M688,BI$13))))</f>
        <v>1000000000000</v>
      </c>
      <c r="BJ688" s="181">
        <f ca="1">IF($D688&lt;&gt;"Serviço",0,IF(AND(AUTOEVENTO="Manual",$M688=1),0,IF(OFFSET(CRONOPLE!$F$14,$M688,BJ$13)="",10^12,OFFSET(CRONOPLE!$F$14,$M688,BJ$13))))</f>
        <v>1000000000000</v>
      </c>
      <c r="BK688" s="181">
        <f ca="1">IF($D688&lt;&gt;"Serviço",0,IF(AND(AUTOEVENTO="Manual",$M688=1),0,IF(OFFSET(CRONOPLE!$F$14,$M688,BK$13)="",10^12,OFFSET(CRONOPLE!$F$14,$M688,BK$13))))</f>
        <v>1000000000000</v>
      </c>
      <c r="BL688" s="181">
        <f ca="1">IF($D688&lt;&gt;"Serviço",0,IF(AND(AUTOEVENTO="Manual",$M688=1),0,IF(OFFSET(CRONOPLE!$F$14,$M688,BL$13)="",10^12,OFFSET(CRONOPLE!$F$14,$M688,BL$13))))</f>
        <v>1000000000000</v>
      </c>
      <c r="BM688" s="181">
        <f ca="1">IF($D688&lt;&gt;"Serviço",0,IF(AND(AUTOEVENTO="Manual",$M688=1),0,IF(OFFSET(CRONOPLE!$F$14,$M688,BM$13)="",10^12,OFFSET(CRONOPLE!$F$14,$M688,BM$13))))</f>
        <v>1000000000000</v>
      </c>
      <c r="BN688" s="181">
        <f ca="1">IF($D688&lt;&gt;"Serviço",0,IF(AND(AUTOEVENTO="Manual",$M688=1),0,IF(OFFSET(CRONOPLE!$F$14,$M688,BN$13)="",10^12,OFFSET(CRONOPLE!$F$14,$M688,BN$13))))</f>
        <v>1000000000000</v>
      </c>
      <c r="BO688" s="181">
        <f ca="1">IF($D688&lt;&gt;"Serviço",0,IF(AND(AUTOEVENTO="Manual",$M688=1),0,IF(OFFSET(CRONOPLE!$F$14,$M688,BO$13)="",10^12,OFFSET(CRONOPLE!$F$14,$M688,BO$13))))</f>
        <v>1000000000000</v>
      </c>
      <c r="BP688" s="181">
        <f ca="1">IF($D688&lt;&gt;"Serviço",0,IF(AND(AUTOEVENTO="Manual",$M688=1),0,IF(OFFSET(CRONOPLE!$F$14,$M688,BP$13)="",10^12,OFFSET(CRONOPLE!$F$14,$M688,BP$13))))</f>
        <v>1000000000000</v>
      </c>
      <c r="BQ688" s="181">
        <f ca="1">IF($D688&lt;&gt;"Serviço",0,IF(AND(AUTOEVENTO="Manual",$M688=1),0,IF(OFFSET(CRONOPLE!$F$14,$M688,BQ$13)="",10^12,OFFSET(CRONOPLE!$F$14,$M688,BQ$13))))</f>
        <v>1000000000000</v>
      </c>
      <c r="BR688" s="181">
        <f ca="1">IF($D688&lt;&gt;"Serviço",0,IF(AND(AUTOEVENTO="Manual",$M688=1),0,IF(OFFSET(CRONOPLE!$F$14,$M688,BR$13)="",10^12,OFFSET(CRONOPLE!$F$14,$M688,BR$13))))</f>
        <v>1000000000000</v>
      </c>
      <c r="BS688" s="181">
        <f ca="1">IF($D688&lt;&gt;"Serviço",0,IF(AND(AUTOEVENTO="Manual",$M688=1),0,IF(OFFSET(CRONOPLE!$F$14,$M688,BS$13)="",10^12,OFFSET(CRONOPLE!$F$14,$M688,BS$13))))</f>
        <v>1000000000000</v>
      </c>
      <c r="BT688" s="181">
        <f ca="1">IF($D688&lt;&gt;"Serviço",0,IF(AND(AUTOEVENTO="Manual",$M688=1),0,IF(OFFSET(CRONOPLE!$F$14,$M688,BT$13)="",10^12,OFFSET(CRONOPLE!$F$14,$M688,BT$13))))</f>
        <v>1000000000000</v>
      </c>
      <c r="BV688" s="182">
        <f ca="1">IF($D688&lt;&gt;"Serviço",0,IF(OR(AND(AUTOEVENTO="Manual",$M688=1),$M688&gt;(ROW(PLE.lastrow)-ROW(PLE.firstrow))),0,IF(OFFSET(PLE!$G$14,$M688,BV$13)="",10^12,OFFSET(PLE!$G$14,$M688,BV$13))))</f>
        <v>1000000000000</v>
      </c>
      <c r="BW688" s="182">
        <f ca="1">IF($D688&lt;&gt;"Serviço",0,IF(OR(AND(AUTOEVENTO="Manual",$M688=1),$M688&gt;(ROW(PLE.lastrow)-ROW(PLE.firstrow))),0,IF(OFFSET(PLE!$G$14,$M688,BW$13)="",10^12,OFFSET(PLE!$G$14,$M688,BW$13))))</f>
        <v>1000000000000</v>
      </c>
      <c r="BX688" s="182">
        <f ca="1">IF($D688&lt;&gt;"Serviço",0,IF(OR(AND(AUTOEVENTO="Manual",$M688=1),$M688&gt;(ROW(PLE.lastrow)-ROW(PLE.firstrow))),0,IF(OFFSET(PLE!$G$14,$M688,BX$13)="",10^12,OFFSET(PLE!$G$14,$M688,BX$13))))</f>
        <v>1000000000000</v>
      </c>
      <c r="BY688" s="182">
        <f ca="1">IF($D688&lt;&gt;"Serviço",0,IF(OR(AND(AUTOEVENTO="Manual",$M688=1),$M688&gt;(ROW(PLE.lastrow)-ROW(PLE.firstrow))),0,IF(OFFSET(PLE!$G$14,$M688,BY$13)="",10^12,OFFSET(PLE!$G$14,$M688,BY$13))))</f>
        <v>1000000000000</v>
      </c>
      <c r="BZ688" s="182">
        <f ca="1">IF($D688&lt;&gt;"Serviço",0,IF(OR(AND(AUTOEVENTO="Manual",$M688=1),$M688&gt;(ROW(PLE.lastrow)-ROW(PLE.firstrow))),0,IF(OFFSET(PLE!$G$14,$M688,BZ$13)="",10^12,OFFSET(PLE!$G$14,$M688,BZ$13))))</f>
        <v>1000000000000</v>
      </c>
      <c r="CA688" s="182">
        <f ca="1">IF($D688&lt;&gt;"Serviço",0,IF(OR(AND(AUTOEVENTO="Manual",$M688=1),$M688&gt;(ROW(PLE.lastrow)-ROW(PLE.firstrow))),0,IF(OFFSET(PLE!$G$14,$M688,CA$13)="",10^12,OFFSET(PLE!$G$14,$M688,CA$13))))</f>
        <v>1000000000000</v>
      </c>
      <c r="CB688" s="182">
        <f ca="1">IF($D688&lt;&gt;"Serviço",0,IF(OR(AND(AUTOEVENTO="Manual",$M688=1),$M688&gt;(ROW(PLE.lastrow)-ROW(PLE.firstrow))),0,IF(OFFSET(PLE!$G$14,$M688,CB$13)="",10^12,OFFSET(PLE!$G$14,$M688,CB$13))))</f>
        <v>1000000000000</v>
      </c>
      <c r="CC688" s="182">
        <f ca="1">IF($D688&lt;&gt;"Serviço",0,IF(OR(AND(AUTOEVENTO="Manual",$M688=1),$M688&gt;(ROW(PLE.lastrow)-ROW(PLE.firstrow))),0,IF(OFFSET(PLE!$G$14,$M688,CC$13)="",10^12,OFFSET(PLE!$G$14,$M688,CC$13))))</f>
        <v>1000000000000</v>
      </c>
      <c r="CD688" s="182">
        <f ca="1">IF($D688&lt;&gt;"Serviço",0,IF(OR(AND(AUTOEVENTO="Manual",$M688=1),$M688&gt;(ROW(PLE.lastrow)-ROW(PLE.firstrow))),0,IF(OFFSET(PLE!$G$14,$M688,CD$13)="",10^12,OFFSET(PLE!$G$14,$M688,CD$13))))</f>
        <v>1000000000000</v>
      </c>
      <c r="CE688" s="182">
        <f ca="1">IF($D688&lt;&gt;"Serviço",0,IF(OR(AND(AUTOEVENTO="Manual",$M688=1),$M688&gt;(ROW(PLE.lastrow)-ROW(PLE.firstrow))),0,IF(OFFSET(PLE!$G$14,$M688,CE$13)="",10^12,OFFSET(PLE!$G$14,$M688,CE$13))))</f>
        <v>1000000000000</v>
      </c>
      <c r="CF688" s="182">
        <f ca="1">IF($D688&lt;&gt;"Serviço",0,IF(OR(AND(AUTOEVENTO="Manual",$M688=1),$M688&gt;(ROW(PLE.lastrow)-ROW(PLE.firstrow))),0,IF(OFFSET(PLE!$G$14,$M688,CF$13)="",10^12,OFFSET(PLE!$G$14,$M688,CF$13))))</f>
        <v>1000000000000</v>
      </c>
      <c r="CG688" s="182">
        <f ca="1">IF($D688&lt;&gt;"Serviço",0,IF(OR(AND(AUTOEVENTO="Manual",$M688=1),$M688&gt;(ROW(PLE.lastrow)-ROW(PLE.firstrow))),0,IF(OFFSET(PLE!$G$14,$M688,CG$13)="",10^12,OFFSET(PLE!$G$14,$M688,CG$13))))</f>
        <v>1000000000000</v>
      </c>
      <c r="CH688" s="182">
        <f ca="1">IF($D688&lt;&gt;"Serviço",0,IF(OR(AND(AUTOEVENTO="Manual",$M688=1),$M688&gt;(ROW(PLE.lastrow)-ROW(PLE.firstrow))),0,IF(OFFSET(PLE!$G$14,$M688,CH$13)="",10^12,OFFSET(PLE!$G$14,$M688,CH$13))))</f>
        <v>1000000000000</v>
      </c>
      <c r="CI688" s="182">
        <f ca="1">IF($D688&lt;&gt;"Serviço",0,IF(OR(AND(AUTOEVENTO="Manual",$M688=1),$M688&gt;(ROW(PLE.lastrow)-ROW(PLE.firstrow))),0,IF(OFFSET(PLE!$G$14,$M688,CI$13)="",10^12,OFFSET(PLE!$G$14,$M688,CI$13))))</f>
        <v>1000000000000</v>
      </c>
      <c r="CJ688" s="182">
        <f ca="1">IF($D688&lt;&gt;"Serviço",0,IF(OR(AND(AUTOEVENTO="Manual",$M688=1),$M688&gt;(ROW(PLE.lastrow)-ROW(PLE.firstrow))),0,IF(OFFSET(PLE!$G$14,$M688,CJ$13)="",10^12,OFFSET(PLE!$G$14,$M688,CJ$13))))</f>
        <v>1000000000000</v>
      </c>
      <c r="CK688" s="182">
        <f ca="1">IF($D688&lt;&gt;"Serviço",0,IF(OR(AND(AUTOEVENTO="Manual",$M688=1),$M688&gt;(ROW(PLE.lastrow)-ROW(PLE.firstrow))),0,IF(OFFSET(PLE!$G$14,$M688,CK$13)="",10^12,OFFSET(PLE!$G$14,$M688,CK$13))))</f>
        <v>1000000000000</v>
      </c>
      <c r="CL688" s="182">
        <f ca="1">IF($D688&lt;&gt;"Serviço",0,IF(OR(AND(AUTOEVENTO="Manual",$M688=1),$M688&gt;(ROW(PLE.lastrow)-ROW(PLE.firstrow))),0,IF(OFFSET(PLE!$G$14,$M688,CL$13)="",10^12,OFFSET(PLE!$G$14,$M688,CL$13))))</f>
        <v>1000000000000</v>
      </c>
      <c r="CM688" s="182">
        <f ca="1">IF($D688&lt;&gt;"Serviço",0,IF(OR(AND(AUTOEVENTO="Manual",$M688=1),$M688&gt;(ROW(PLE.lastrow)-ROW(PLE.firstrow))),0,IF(OFFSET(PLE!$G$14,$M688,CM$13)="",10^12,OFFSET(PLE!$G$14,$M688,CM$13))))</f>
        <v>1000000000000</v>
      </c>
    </row>
    <row r="689" spans="1:91" ht="38.25" x14ac:dyDescent="0.2">
      <c r="A689" s="7" t="str">
        <f t="shared" ca="1" si="19"/>
        <v>671</v>
      </c>
      <c r="B689" s="7" t="str">
        <f ca="1">OFFSET(ORÇAMENTO!C$15,ROW(B689)-ROW(B$15),0)</f>
        <v>S</v>
      </c>
      <c r="C689" s="7" t="str">
        <f ca="1">OFFSET(ORÇAMENTO!L$15,ROW(C689)-ROW(C$15),0)</f>
        <v/>
      </c>
      <c r="D689" s="118" t="str">
        <f ca="1">OFFSET(ORÇAMENTO!N$15,ROW(D689)-ROW(D$15),0)</f>
        <v>Serviço</v>
      </c>
      <c r="E689" s="119" t="str">
        <f ca="1">OFFSET(ORÇAMENTO!O$15,ROW(E689)-ROW(E$15),0)</f>
        <v>-</v>
      </c>
      <c r="F689" s="172" t="str">
        <f ca="1">OFFSET(ORÇAMENTO!R$15,ROW(F689)-ROW(F$15),0)</f>
        <v>(abra o arquivo 'Referência 06-2024.xlsm)</v>
      </c>
      <c r="G689" s="173" t="str">
        <f ca="1">IF($D689&lt;&gt;"Serviço","",OFFSET(ORÇAMENTO!S$15,ROW(G689)-ROW(G$15),0))</f>
        <v>-</v>
      </c>
      <c r="H689" s="124">
        <f ca="1">IF($D689&lt;&gt;"Serviço",0,IF(ACOMPANHAMENTO="BM",ROUND(OFFSET(ORÇAMENTO!AJ$15,ROW(H689)-ROW(H$15),0),15-13*ORÇAMENTO!$AF$7),SUMPRODUCT(($Q$12:$AI$12&lt;&gt;"")*ROUND($Q689:$AI689,15-13*ORÇAMENTO!$AF$7))))</f>
        <v>89.74</v>
      </c>
      <c r="I689" s="561" t="s">
        <v>1107</v>
      </c>
      <c r="K689" s="174"/>
      <c r="L689" s="175" t="s">
        <v>255</v>
      </c>
      <c r="M689" s="176">
        <f ca="1">IF($D689&lt;&gt;"Serviço","",IF(AUTOEVENTO="manual",$A689,IF(ISERROR(MATCH($A689,$A$15:OFFSET($A689,-1,0),0)),MAX($M$15:OFFSET(M689,-1,0))+1,INDEX($M$15:OFFSET(M689,-1,0),MATCH($A689,$A$15:OFFSET($A689,-1,0),0)))))</f>
        <v>75</v>
      </c>
      <c r="N689" s="177" t="str">
        <f ca="1">IF($D689&lt;&gt;"Serviço","",IF(AUTOEVENTO="Manual",IF($A689=0,"&lt;-- defina o número do agrupador",OFFSET(EVENTOS!$D$14,$A689,0)),OFFSET($F$15,$A689,0)))</f>
        <v>MURO DE FECHAMENTO - CONCRETO ARMADO PARA SAPATAS E BLOCOS</v>
      </c>
      <c r="O689" s="178"/>
      <c r="Q689" s="178">
        <v>89.74</v>
      </c>
      <c r="R689" s="179"/>
      <c r="S689" s="179"/>
      <c r="T689" s="179"/>
      <c r="U689" s="179"/>
      <c r="V689" s="179"/>
      <c r="W689" s="179"/>
      <c r="X689" s="179"/>
      <c r="Y689" s="179"/>
      <c r="Z689" s="180"/>
      <c r="AA689" s="179"/>
      <c r="AB689" s="179"/>
      <c r="AC689" s="179"/>
      <c r="AD689" s="179"/>
      <c r="AE689" s="179"/>
      <c r="AF689" s="179"/>
      <c r="AG689" s="179"/>
      <c r="AH689" s="180"/>
      <c r="AJ689" s="544">
        <f ca="1">IF(AND($D689="Serviço",AJ$12&lt;&gt;0,$H689&gt;0,OR(AUTOEVENTO&lt;&gt;"manual",$M689&lt;&gt;1)),
IF(Import.TipoArredondamento&lt;&gt;"TransfereGOV",
ROUND(OFFSET($P689,0,AJ$13),15-13*ORÇAMENTO!$AF$7)/$H689*OFFSET(ORÇAMENTO!$X$15,ROW(AJ689)-ROW(AJ$15),0),
ROUND(ROUND(OFFSET($P689,0,AJ$13),15-13*ORÇAMENTO!$AF$7)*OFFSET(ORÇAMENTO!$W$15,ROW(AJ689)-ROW(AJ$15),0),15-13*ORÇAMENTO!$AF$11)),0)</f>
        <v>0</v>
      </c>
      <c r="AK689" s="545">
        <f ca="1">IF(AND($D689="Serviço",AK$12&lt;&gt;0,$H689&gt;0,OR(AUTOEVENTO&lt;&gt;"manual",$M689&lt;&gt;1)),
IF(Import.TipoArredondamento&lt;&gt;"TransfereGOV",
ROUND(OFFSET($P689,0,AK$13),15-13*ORÇAMENTO!$AF$7)/$H689*OFFSET(ORÇAMENTO!$X$15,ROW(AK689)-ROW(AK$15),0),
ROUND(ROUND(OFFSET($P689,0,AK$13),15-13*ORÇAMENTO!$AF$7)*OFFSET(ORÇAMENTO!$W$15,ROW(AK689)-ROW(AK$15),0),15-13*ORÇAMENTO!$AF$11)),0)</f>
        <v>0</v>
      </c>
      <c r="AL689" s="545">
        <f ca="1">IF(AND($D689="Serviço",AL$12&lt;&gt;0,$H689&gt;0,OR(AUTOEVENTO&lt;&gt;"manual",$M689&lt;&gt;1)),
IF(Import.TipoArredondamento&lt;&gt;"TransfereGOV",
ROUND(OFFSET($P689,0,AL$13),15-13*ORÇAMENTO!$AF$7)/$H689*OFFSET(ORÇAMENTO!$X$15,ROW(AL689)-ROW(AL$15),0),
ROUND(ROUND(OFFSET($P689,0,AL$13),15-13*ORÇAMENTO!$AF$7)*OFFSET(ORÇAMENTO!$W$15,ROW(AL689)-ROW(AL$15),0),15-13*ORÇAMENTO!$AF$11)),0)</f>
        <v>0</v>
      </c>
      <c r="AM689" s="545">
        <f ca="1">IF(AND($D689="Serviço",AM$12&lt;&gt;0,$H689&gt;0,OR(AUTOEVENTO&lt;&gt;"manual",$M689&lt;&gt;1)),
IF(Import.TipoArredondamento&lt;&gt;"TransfereGOV",
ROUND(OFFSET($P689,0,AM$13),15-13*ORÇAMENTO!$AF$7)/$H689*OFFSET(ORÇAMENTO!$X$15,ROW(AM689)-ROW(AM$15),0),
ROUND(ROUND(OFFSET($P689,0,AM$13),15-13*ORÇAMENTO!$AF$7)*OFFSET(ORÇAMENTO!$W$15,ROW(AM689)-ROW(AM$15),0),15-13*ORÇAMENTO!$AF$11)),0)</f>
        <v>0</v>
      </c>
      <c r="AN689" s="545">
        <f ca="1">IF(AND($D689="Serviço",AN$12&lt;&gt;0,$H689&gt;0,OR(AUTOEVENTO&lt;&gt;"manual",$M689&lt;&gt;1)),
IF(Import.TipoArredondamento&lt;&gt;"TransfereGOV",
ROUND(OFFSET($P689,0,AN$13),15-13*ORÇAMENTO!$AF$7)/$H689*OFFSET(ORÇAMENTO!$X$15,ROW(AN689)-ROW(AN$15),0),
ROUND(ROUND(OFFSET($P689,0,AN$13),15-13*ORÇAMENTO!$AF$7)*OFFSET(ORÇAMENTO!$W$15,ROW(AN689)-ROW(AN$15),0),15-13*ORÇAMENTO!$AF$11)),0)</f>
        <v>0</v>
      </c>
      <c r="AO689" s="545">
        <f ca="1">IF(AND($D689="Serviço",AO$12&lt;&gt;0,$H689&gt;0,OR(AUTOEVENTO&lt;&gt;"manual",$M689&lt;&gt;1)),
IF(Import.TipoArredondamento&lt;&gt;"TransfereGOV",
ROUND(OFFSET($P689,0,AO$13),15-13*ORÇAMENTO!$AF$7)/$H689*OFFSET(ORÇAMENTO!$X$15,ROW(AO689)-ROW(AO$15),0),
ROUND(ROUND(OFFSET($P689,0,AO$13),15-13*ORÇAMENTO!$AF$7)*OFFSET(ORÇAMENTO!$W$15,ROW(AO689)-ROW(AO$15),0),15-13*ORÇAMENTO!$AF$11)),0)</f>
        <v>0</v>
      </c>
      <c r="AP689" s="545">
        <f ca="1">IF(AND($D689="Serviço",AP$12&lt;&gt;0,$H689&gt;0,OR(AUTOEVENTO&lt;&gt;"manual",$M689&lt;&gt;1)),
IF(Import.TipoArredondamento&lt;&gt;"TransfereGOV",
ROUND(OFFSET($P689,0,AP$13),15-13*ORÇAMENTO!$AF$7)/$H689*OFFSET(ORÇAMENTO!$X$15,ROW(AP689)-ROW(AP$15),0),
ROUND(ROUND(OFFSET($P689,0,AP$13),15-13*ORÇAMENTO!$AF$7)*OFFSET(ORÇAMENTO!$W$15,ROW(AP689)-ROW(AP$15),0),15-13*ORÇAMENTO!$AF$11)),0)</f>
        <v>0</v>
      </c>
      <c r="AQ689" s="545">
        <f ca="1">IF(AND($D689="Serviço",AQ$12&lt;&gt;0,$H689&gt;0,OR(AUTOEVENTO&lt;&gt;"manual",$M689&lt;&gt;1)),
IF(Import.TipoArredondamento&lt;&gt;"TransfereGOV",
ROUND(OFFSET($P689,0,AQ$13),15-13*ORÇAMENTO!$AF$7)/$H689*OFFSET(ORÇAMENTO!$X$15,ROW(AQ689)-ROW(AQ$15),0),
ROUND(ROUND(OFFSET($P689,0,AQ$13),15-13*ORÇAMENTO!$AF$7)*OFFSET(ORÇAMENTO!$W$15,ROW(AQ689)-ROW(AQ$15),0),15-13*ORÇAMENTO!$AF$11)),0)</f>
        <v>0</v>
      </c>
      <c r="AR689" s="545">
        <f ca="1">IF(AND($D689="Serviço",AR$12&lt;&gt;0,$H689&gt;0,OR(AUTOEVENTO&lt;&gt;"manual",$M689&lt;&gt;1)),
IF(Import.TipoArredondamento&lt;&gt;"TransfereGOV",
ROUND(OFFSET($P689,0,AR$13),15-13*ORÇAMENTO!$AF$7)/$H689*OFFSET(ORÇAMENTO!$X$15,ROW(AR689)-ROW(AR$15),0),
ROUND(ROUND(OFFSET($P689,0,AR$13),15-13*ORÇAMENTO!$AF$7)*OFFSET(ORÇAMENTO!$W$15,ROW(AR689)-ROW(AR$15),0),15-13*ORÇAMENTO!$AF$11)),0)</f>
        <v>0</v>
      </c>
      <c r="AS689" s="546">
        <f ca="1">IF(AND($D689="Serviço",AS$12&lt;&gt;0,$H689&gt;0,OR(AUTOEVENTO&lt;&gt;"manual",$M689&lt;&gt;1)),
IF(Import.TipoArredondamento&lt;&gt;"TransfereGOV",
ROUND(OFFSET($P689,0,AS$13),15-13*ORÇAMENTO!$AF$7)/$H689*OFFSET(ORÇAMENTO!$X$15,ROW(AS689)-ROW(AS$15),0),
ROUND(ROUND(OFFSET($P689,0,AS$13),15-13*ORÇAMENTO!$AF$7)*OFFSET(ORÇAMENTO!$W$15,ROW(AS689)-ROW(AS$15),0),15-13*ORÇAMENTO!$AF$11)),0)</f>
        <v>0</v>
      </c>
      <c r="AT689" s="545">
        <f ca="1">IF(AND($D689="Serviço",AT$12&lt;&gt;0,$H689&gt;0,OR(AUTOEVENTO&lt;&gt;"manual",$M689&lt;&gt;1)),
IF(Import.TipoArredondamento&lt;&gt;"TransfereGOV",
ROUND(OFFSET($P689,0,AT$13),15-13*ORÇAMENTO!$AF$7)/$H689*OFFSET(ORÇAMENTO!$X$15,ROW(AT689)-ROW(AT$15),0),
ROUND(ROUND(OFFSET($P689,0,AT$13),15-13*ORÇAMENTO!$AF$7)*OFFSET(ORÇAMENTO!$W$15,ROW(AT689)-ROW(AT$15),0),15-13*ORÇAMENTO!$AF$11)),0)</f>
        <v>0</v>
      </c>
      <c r="AU689" s="545">
        <f ca="1">IF(AND($D689="Serviço",AU$12&lt;&gt;0,$H689&gt;0,OR(AUTOEVENTO&lt;&gt;"manual",$M689&lt;&gt;1)),
IF(Import.TipoArredondamento&lt;&gt;"TransfereGOV",
ROUND(OFFSET($P689,0,AU$13),15-13*ORÇAMENTO!$AF$7)/$H689*OFFSET(ORÇAMENTO!$X$15,ROW(AU689)-ROW(AU$15),0),
ROUND(ROUND(OFFSET($P689,0,AU$13),15-13*ORÇAMENTO!$AF$7)*OFFSET(ORÇAMENTO!$W$15,ROW(AU689)-ROW(AU$15),0),15-13*ORÇAMENTO!$AF$11)),0)</f>
        <v>0</v>
      </c>
      <c r="AV689" s="545">
        <f ca="1">IF(AND($D689="Serviço",AV$12&lt;&gt;0,$H689&gt;0,OR(AUTOEVENTO&lt;&gt;"manual",$M689&lt;&gt;1)),
IF(Import.TipoArredondamento&lt;&gt;"TransfereGOV",
ROUND(OFFSET($P689,0,AV$13),15-13*ORÇAMENTO!$AF$7)/$H689*OFFSET(ORÇAMENTO!$X$15,ROW(AV689)-ROW(AV$15),0),
ROUND(ROUND(OFFSET($P689,0,AV$13),15-13*ORÇAMENTO!$AF$7)*OFFSET(ORÇAMENTO!$W$15,ROW(AV689)-ROW(AV$15),0),15-13*ORÇAMENTO!$AF$11)),0)</f>
        <v>0</v>
      </c>
      <c r="AW689" s="545">
        <f ca="1">IF(AND($D689="Serviço",AW$12&lt;&gt;0,$H689&gt;0,OR(AUTOEVENTO&lt;&gt;"manual",$M689&lt;&gt;1)),
IF(Import.TipoArredondamento&lt;&gt;"TransfereGOV",
ROUND(OFFSET($P689,0,AW$13),15-13*ORÇAMENTO!$AF$7)/$H689*OFFSET(ORÇAMENTO!$X$15,ROW(AW689)-ROW(AW$15),0),
ROUND(ROUND(OFFSET($P689,0,AW$13),15-13*ORÇAMENTO!$AF$7)*OFFSET(ORÇAMENTO!$W$15,ROW(AW689)-ROW(AW$15),0),15-13*ORÇAMENTO!$AF$11)),0)</f>
        <v>0</v>
      </c>
      <c r="AX689" s="545">
        <f ca="1">IF(AND($D689="Serviço",AX$12&lt;&gt;0,$H689&gt;0,OR(AUTOEVENTO&lt;&gt;"manual",$M689&lt;&gt;1)),
IF(Import.TipoArredondamento&lt;&gt;"TransfereGOV",
ROUND(OFFSET($P689,0,AX$13),15-13*ORÇAMENTO!$AF$7)/$H689*OFFSET(ORÇAMENTO!$X$15,ROW(AX689)-ROW(AX$15),0),
ROUND(ROUND(OFFSET($P689,0,AX$13),15-13*ORÇAMENTO!$AF$7)*OFFSET(ORÇAMENTO!$W$15,ROW(AX689)-ROW(AX$15),0),15-13*ORÇAMENTO!$AF$11)),0)</f>
        <v>0</v>
      </c>
      <c r="AY689" s="545">
        <f ca="1">IF(AND($D689="Serviço",AY$12&lt;&gt;0,$H689&gt;0,OR(AUTOEVENTO&lt;&gt;"manual",$M689&lt;&gt;1)),
IF(Import.TipoArredondamento&lt;&gt;"TransfereGOV",
ROUND(OFFSET($P689,0,AY$13),15-13*ORÇAMENTO!$AF$7)/$H689*OFFSET(ORÇAMENTO!$X$15,ROW(AY689)-ROW(AY$15),0),
ROUND(ROUND(OFFSET($P689,0,AY$13),15-13*ORÇAMENTO!$AF$7)*OFFSET(ORÇAMENTO!$W$15,ROW(AY689)-ROW(AY$15),0),15-13*ORÇAMENTO!$AF$11)),0)</f>
        <v>0</v>
      </c>
      <c r="AZ689" s="545">
        <f ca="1">IF(AND($D689="Serviço",AZ$12&lt;&gt;0,$H689&gt;0,OR(AUTOEVENTO&lt;&gt;"manual",$M689&lt;&gt;1)),
IF(Import.TipoArredondamento&lt;&gt;"TransfereGOV",
ROUND(OFFSET($P689,0,AZ$13),15-13*ORÇAMENTO!$AF$7)/$H689*OFFSET(ORÇAMENTO!$X$15,ROW(AZ689)-ROW(AZ$15),0),
ROUND(ROUND(OFFSET($P689,0,AZ$13),15-13*ORÇAMENTO!$AF$7)*OFFSET(ORÇAMENTO!$W$15,ROW(AZ689)-ROW(AZ$15),0),15-13*ORÇAMENTO!$AF$11)),0)</f>
        <v>0</v>
      </c>
      <c r="BA689" s="546">
        <f ca="1">IF(AND($D689="Serviço",BA$12&lt;&gt;0,$H689&gt;0,OR(AUTOEVENTO&lt;&gt;"manual",$M689&lt;&gt;1)),
IF(Import.TipoArredondamento&lt;&gt;"TransfereGOV",
ROUND(OFFSET($P689,0,BA$13),15-13*ORÇAMENTO!$AF$7)/$H689*OFFSET(ORÇAMENTO!$X$15,ROW(BA689)-ROW(BA$15),0),
ROUND(ROUND(OFFSET($P689,0,BA$13),15-13*ORÇAMENTO!$AF$7)*OFFSET(ORÇAMENTO!$W$15,ROW(BA689)-ROW(BA$15),0),15-13*ORÇAMENTO!$AF$11)),0)</f>
        <v>0</v>
      </c>
      <c r="BC689" s="181">
        <f ca="1">IF($D689&lt;&gt;"Serviço",0,IF(AND(AUTOEVENTO="Manual",$M689=1),0,IF(OFFSET(CRONOPLE!$F$14,$M689,BC$13)="",10^12,OFFSET(CRONOPLE!$F$14,$M689,BC$13))))</f>
        <v>12</v>
      </c>
      <c r="BD689" s="181">
        <f ca="1">IF($D689&lt;&gt;"Serviço",0,IF(AND(AUTOEVENTO="Manual",$M689=1),0,IF(OFFSET(CRONOPLE!$F$14,$M689,BD$13)="",10^12,OFFSET(CRONOPLE!$F$14,$M689,BD$13))))</f>
        <v>1000000000000</v>
      </c>
      <c r="BE689" s="181">
        <f ca="1">IF($D689&lt;&gt;"Serviço",0,IF(AND(AUTOEVENTO="Manual",$M689=1),0,IF(OFFSET(CRONOPLE!$F$14,$M689,BE$13)="",10^12,OFFSET(CRONOPLE!$F$14,$M689,BE$13))))</f>
        <v>1000000000000</v>
      </c>
      <c r="BF689" s="181">
        <f ca="1">IF($D689&lt;&gt;"Serviço",0,IF(AND(AUTOEVENTO="Manual",$M689=1),0,IF(OFFSET(CRONOPLE!$F$14,$M689,BF$13)="",10^12,OFFSET(CRONOPLE!$F$14,$M689,BF$13))))</f>
        <v>1000000000000</v>
      </c>
      <c r="BG689" s="181">
        <f ca="1">IF($D689&lt;&gt;"Serviço",0,IF(AND(AUTOEVENTO="Manual",$M689=1),0,IF(OFFSET(CRONOPLE!$F$14,$M689,BG$13)="",10^12,OFFSET(CRONOPLE!$F$14,$M689,BG$13))))</f>
        <v>1000000000000</v>
      </c>
      <c r="BH689" s="181">
        <f ca="1">IF($D689&lt;&gt;"Serviço",0,IF(AND(AUTOEVENTO="Manual",$M689=1),0,IF(OFFSET(CRONOPLE!$F$14,$M689,BH$13)="",10^12,OFFSET(CRONOPLE!$F$14,$M689,BH$13))))</f>
        <v>1000000000000</v>
      </c>
      <c r="BI689" s="181">
        <f ca="1">IF($D689&lt;&gt;"Serviço",0,IF(AND(AUTOEVENTO="Manual",$M689=1),0,IF(OFFSET(CRONOPLE!$F$14,$M689,BI$13)="",10^12,OFFSET(CRONOPLE!$F$14,$M689,BI$13))))</f>
        <v>1000000000000</v>
      </c>
      <c r="BJ689" s="181">
        <f ca="1">IF($D689&lt;&gt;"Serviço",0,IF(AND(AUTOEVENTO="Manual",$M689=1),0,IF(OFFSET(CRONOPLE!$F$14,$M689,BJ$13)="",10^12,OFFSET(CRONOPLE!$F$14,$M689,BJ$13))))</f>
        <v>1000000000000</v>
      </c>
      <c r="BK689" s="181">
        <f ca="1">IF($D689&lt;&gt;"Serviço",0,IF(AND(AUTOEVENTO="Manual",$M689=1),0,IF(OFFSET(CRONOPLE!$F$14,$M689,BK$13)="",10^12,OFFSET(CRONOPLE!$F$14,$M689,BK$13))))</f>
        <v>1000000000000</v>
      </c>
      <c r="BL689" s="181">
        <f ca="1">IF($D689&lt;&gt;"Serviço",0,IF(AND(AUTOEVENTO="Manual",$M689=1),0,IF(OFFSET(CRONOPLE!$F$14,$M689,BL$13)="",10^12,OFFSET(CRONOPLE!$F$14,$M689,BL$13))))</f>
        <v>1000000000000</v>
      </c>
      <c r="BM689" s="181">
        <f ca="1">IF($D689&lt;&gt;"Serviço",0,IF(AND(AUTOEVENTO="Manual",$M689=1),0,IF(OFFSET(CRONOPLE!$F$14,$M689,BM$13)="",10^12,OFFSET(CRONOPLE!$F$14,$M689,BM$13))))</f>
        <v>1000000000000</v>
      </c>
      <c r="BN689" s="181">
        <f ca="1">IF($D689&lt;&gt;"Serviço",0,IF(AND(AUTOEVENTO="Manual",$M689=1),0,IF(OFFSET(CRONOPLE!$F$14,$M689,BN$13)="",10^12,OFFSET(CRONOPLE!$F$14,$M689,BN$13))))</f>
        <v>1000000000000</v>
      </c>
      <c r="BO689" s="181">
        <f ca="1">IF($D689&lt;&gt;"Serviço",0,IF(AND(AUTOEVENTO="Manual",$M689=1),0,IF(OFFSET(CRONOPLE!$F$14,$M689,BO$13)="",10^12,OFFSET(CRONOPLE!$F$14,$M689,BO$13))))</f>
        <v>1000000000000</v>
      </c>
      <c r="BP689" s="181">
        <f ca="1">IF($D689&lt;&gt;"Serviço",0,IF(AND(AUTOEVENTO="Manual",$M689=1),0,IF(OFFSET(CRONOPLE!$F$14,$M689,BP$13)="",10^12,OFFSET(CRONOPLE!$F$14,$M689,BP$13))))</f>
        <v>1000000000000</v>
      </c>
      <c r="BQ689" s="181">
        <f ca="1">IF($D689&lt;&gt;"Serviço",0,IF(AND(AUTOEVENTO="Manual",$M689=1),0,IF(OFFSET(CRONOPLE!$F$14,$M689,BQ$13)="",10^12,OFFSET(CRONOPLE!$F$14,$M689,BQ$13))))</f>
        <v>1000000000000</v>
      </c>
      <c r="BR689" s="181">
        <f ca="1">IF($D689&lt;&gt;"Serviço",0,IF(AND(AUTOEVENTO="Manual",$M689=1),0,IF(OFFSET(CRONOPLE!$F$14,$M689,BR$13)="",10^12,OFFSET(CRONOPLE!$F$14,$M689,BR$13))))</f>
        <v>1000000000000</v>
      </c>
      <c r="BS689" s="181">
        <f ca="1">IF($D689&lt;&gt;"Serviço",0,IF(AND(AUTOEVENTO="Manual",$M689=1),0,IF(OFFSET(CRONOPLE!$F$14,$M689,BS$13)="",10^12,OFFSET(CRONOPLE!$F$14,$M689,BS$13))))</f>
        <v>1000000000000</v>
      </c>
      <c r="BT689" s="181">
        <f ca="1">IF($D689&lt;&gt;"Serviço",0,IF(AND(AUTOEVENTO="Manual",$M689=1),0,IF(OFFSET(CRONOPLE!$F$14,$M689,BT$13)="",10^12,OFFSET(CRONOPLE!$F$14,$M689,BT$13))))</f>
        <v>1000000000000</v>
      </c>
      <c r="BV689" s="182">
        <f ca="1">IF($D689&lt;&gt;"Serviço",0,IF(OR(AND(AUTOEVENTO="Manual",$M689=1),$M689&gt;(ROW(PLE.lastrow)-ROW(PLE.firstrow))),0,IF(OFFSET(PLE!$G$14,$M689,BV$13)="",10^12,OFFSET(PLE!$G$14,$M689,BV$13))))</f>
        <v>1000000000000</v>
      </c>
      <c r="BW689" s="182">
        <f ca="1">IF($D689&lt;&gt;"Serviço",0,IF(OR(AND(AUTOEVENTO="Manual",$M689=1),$M689&gt;(ROW(PLE.lastrow)-ROW(PLE.firstrow))),0,IF(OFFSET(PLE!$G$14,$M689,BW$13)="",10^12,OFFSET(PLE!$G$14,$M689,BW$13))))</f>
        <v>1000000000000</v>
      </c>
      <c r="BX689" s="182">
        <f ca="1">IF($D689&lt;&gt;"Serviço",0,IF(OR(AND(AUTOEVENTO="Manual",$M689=1),$M689&gt;(ROW(PLE.lastrow)-ROW(PLE.firstrow))),0,IF(OFFSET(PLE!$G$14,$M689,BX$13)="",10^12,OFFSET(PLE!$G$14,$M689,BX$13))))</f>
        <v>1000000000000</v>
      </c>
      <c r="BY689" s="182">
        <f ca="1">IF($D689&lt;&gt;"Serviço",0,IF(OR(AND(AUTOEVENTO="Manual",$M689=1),$M689&gt;(ROW(PLE.lastrow)-ROW(PLE.firstrow))),0,IF(OFFSET(PLE!$G$14,$M689,BY$13)="",10^12,OFFSET(PLE!$G$14,$M689,BY$13))))</f>
        <v>1000000000000</v>
      </c>
      <c r="BZ689" s="182">
        <f ca="1">IF($D689&lt;&gt;"Serviço",0,IF(OR(AND(AUTOEVENTO="Manual",$M689=1),$M689&gt;(ROW(PLE.lastrow)-ROW(PLE.firstrow))),0,IF(OFFSET(PLE!$G$14,$M689,BZ$13)="",10^12,OFFSET(PLE!$G$14,$M689,BZ$13))))</f>
        <v>1000000000000</v>
      </c>
      <c r="CA689" s="182">
        <f ca="1">IF($D689&lt;&gt;"Serviço",0,IF(OR(AND(AUTOEVENTO="Manual",$M689=1),$M689&gt;(ROW(PLE.lastrow)-ROW(PLE.firstrow))),0,IF(OFFSET(PLE!$G$14,$M689,CA$13)="",10^12,OFFSET(PLE!$G$14,$M689,CA$13))))</f>
        <v>1000000000000</v>
      </c>
      <c r="CB689" s="182">
        <f ca="1">IF($D689&lt;&gt;"Serviço",0,IF(OR(AND(AUTOEVENTO="Manual",$M689=1),$M689&gt;(ROW(PLE.lastrow)-ROW(PLE.firstrow))),0,IF(OFFSET(PLE!$G$14,$M689,CB$13)="",10^12,OFFSET(PLE!$G$14,$M689,CB$13))))</f>
        <v>1000000000000</v>
      </c>
      <c r="CC689" s="182">
        <f ca="1">IF($D689&lt;&gt;"Serviço",0,IF(OR(AND(AUTOEVENTO="Manual",$M689=1),$M689&gt;(ROW(PLE.lastrow)-ROW(PLE.firstrow))),0,IF(OFFSET(PLE!$G$14,$M689,CC$13)="",10^12,OFFSET(PLE!$G$14,$M689,CC$13))))</f>
        <v>1000000000000</v>
      </c>
      <c r="CD689" s="182">
        <f ca="1">IF($D689&lt;&gt;"Serviço",0,IF(OR(AND(AUTOEVENTO="Manual",$M689=1),$M689&gt;(ROW(PLE.lastrow)-ROW(PLE.firstrow))),0,IF(OFFSET(PLE!$G$14,$M689,CD$13)="",10^12,OFFSET(PLE!$G$14,$M689,CD$13))))</f>
        <v>1000000000000</v>
      </c>
      <c r="CE689" s="182">
        <f ca="1">IF($D689&lt;&gt;"Serviço",0,IF(OR(AND(AUTOEVENTO="Manual",$M689=1),$M689&gt;(ROW(PLE.lastrow)-ROW(PLE.firstrow))),0,IF(OFFSET(PLE!$G$14,$M689,CE$13)="",10^12,OFFSET(PLE!$G$14,$M689,CE$13))))</f>
        <v>1000000000000</v>
      </c>
      <c r="CF689" s="182">
        <f ca="1">IF($D689&lt;&gt;"Serviço",0,IF(OR(AND(AUTOEVENTO="Manual",$M689=1),$M689&gt;(ROW(PLE.lastrow)-ROW(PLE.firstrow))),0,IF(OFFSET(PLE!$G$14,$M689,CF$13)="",10^12,OFFSET(PLE!$G$14,$M689,CF$13))))</f>
        <v>1000000000000</v>
      </c>
      <c r="CG689" s="182">
        <f ca="1">IF($D689&lt;&gt;"Serviço",0,IF(OR(AND(AUTOEVENTO="Manual",$M689=1),$M689&gt;(ROW(PLE.lastrow)-ROW(PLE.firstrow))),0,IF(OFFSET(PLE!$G$14,$M689,CG$13)="",10^12,OFFSET(PLE!$G$14,$M689,CG$13))))</f>
        <v>1000000000000</v>
      </c>
      <c r="CH689" s="182">
        <f ca="1">IF($D689&lt;&gt;"Serviço",0,IF(OR(AND(AUTOEVENTO="Manual",$M689=1),$M689&gt;(ROW(PLE.lastrow)-ROW(PLE.firstrow))),0,IF(OFFSET(PLE!$G$14,$M689,CH$13)="",10^12,OFFSET(PLE!$G$14,$M689,CH$13))))</f>
        <v>1000000000000</v>
      </c>
      <c r="CI689" s="182">
        <f ca="1">IF($D689&lt;&gt;"Serviço",0,IF(OR(AND(AUTOEVENTO="Manual",$M689=1),$M689&gt;(ROW(PLE.lastrow)-ROW(PLE.firstrow))),0,IF(OFFSET(PLE!$G$14,$M689,CI$13)="",10^12,OFFSET(PLE!$G$14,$M689,CI$13))))</f>
        <v>1000000000000</v>
      </c>
      <c r="CJ689" s="182">
        <f ca="1">IF($D689&lt;&gt;"Serviço",0,IF(OR(AND(AUTOEVENTO="Manual",$M689=1),$M689&gt;(ROW(PLE.lastrow)-ROW(PLE.firstrow))),0,IF(OFFSET(PLE!$G$14,$M689,CJ$13)="",10^12,OFFSET(PLE!$G$14,$M689,CJ$13))))</f>
        <v>1000000000000</v>
      </c>
      <c r="CK689" s="182">
        <f ca="1">IF($D689&lt;&gt;"Serviço",0,IF(OR(AND(AUTOEVENTO="Manual",$M689=1),$M689&gt;(ROW(PLE.lastrow)-ROW(PLE.firstrow))),0,IF(OFFSET(PLE!$G$14,$M689,CK$13)="",10^12,OFFSET(PLE!$G$14,$M689,CK$13))))</f>
        <v>1000000000000</v>
      </c>
      <c r="CL689" s="182">
        <f ca="1">IF($D689&lt;&gt;"Serviço",0,IF(OR(AND(AUTOEVENTO="Manual",$M689=1),$M689&gt;(ROW(PLE.lastrow)-ROW(PLE.firstrow))),0,IF(OFFSET(PLE!$G$14,$M689,CL$13)="",10^12,OFFSET(PLE!$G$14,$M689,CL$13))))</f>
        <v>1000000000000</v>
      </c>
      <c r="CM689" s="182">
        <f ca="1">IF($D689&lt;&gt;"Serviço",0,IF(OR(AND(AUTOEVENTO="Manual",$M689=1),$M689&gt;(ROW(PLE.lastrow)-ROW(PLE.firstrow))),0,IF(OFFSET(PLE!$G$14,$M689,CM$13)="",10^12,OFFSET(PLE!$G$14,$M689,CM$13))))</f>
        <v>1000000000000</v>
      </c>
    </row>
    <row r="690" spans="1:91" ht="38.25" x14ac:dyDescent="0.2">
      <c r="A690" s="7" t="str">
        <f t="shared" ca="1" si="19"/>
        <v>671</v>
      </c>
      <c r="B690" s="7" t="str">
        <f ca="1">OFFSET(ORÇAMENTO!C$15,ROW(B690)-ROW(B$15),0)</f>
        <v>S</v>
      </c>
      <c r="C690" s="7" t="str">
        <f ca="1">OFFSET(ORÇAMENTO!L$15,ROW(C690)-ROW(C$15),0)</f>
        <v/>
      </c>
      <c r="D690" s="118" t="str">
        <f ca="1">OFFSET(ORÇAMENTO!N$15,ROW(D690)-ROW(D$15),0)</f>
        <v>Serviço</v>
      </c>
      <c r="E690" s="119" t="str">
        <f ca="1">OFFSET(ORÇAMENTO!O$15,ROW(E690)-ROW(E$15),0)</f>
        <v>-</v>
      </c>
      <c r="F690" s="172" t="str">
        <f ca="1">OFFSET(ORÇAMENTO!R$15,ROW(F690)-ROW(F$15),0)</f>
        <v>(abra o arquivo 'Referência 06-2024.xlsm)</v>
      </c>
      <c r="G690" s="173" t="str">
        <f ca="1">IF($D690&lt;&gt;"Serviço","",OFFSET(ORÇAMENTO!S$15,ROW(G690)-ROW(G$15),0))</f>
        <v>-</v>
      </c>
      <c r="H690" s="124">
        <f ca="1">IF($D690&lt;&gt;"Serviço",0,IF(ACOMPANHAMENTO="BM",ROUND(OFFSET(ORÇAMENTO!AJ$15,ROW(H690)-ROW(H$15),0),15-13*ORÇAMENTO!$AF$7),SUMPRODUCT(($Q$12:$AI$12&lt;&gt;"")*ROUND($Q690:$AI690,15-13*ORÇAMENTO!$AF$7))))</f>
        <v>585.54</v>
      </c>
      <c r="I690" s="561" t="s">
        <v>1107</v>
      </c>
      <c r="K690" s="174"/>
      <c r="L690" s="175" t="s">
        <v>255</v>
      </c>
      <c r="M690" s="176">
        <f ca="1">IF($D690&lt;&gt;"Serviço","",IF(AUTOEVENTO="manual",$A690,IF(ISERROR(MATCH($A690,$A$15:OFFSET($A690,-1,0),0)),MAX($M$15:OFFSET(M690,-1,0))+1,INDEX($M$15:OFFSET(M690,-1,0),MATCH($A690,$A$15:OFFSET($A690,-1,0),0)))))</f>
        <v>75</v>
      </c>
      <c r="N690" s="177" t="str">
        <f ca="1">IF($D690&lt;&gt;"Serviço","",IF(AUTOEVENTO="Manual",IF($A690=0,"&lt;-- defina o número do agrupador",OFFSET(EVENTOS!$D$14,$A690,0)),OFFSET($F$15,$A690,0)))</f>
        <v>MURO DE FECHAMENTO - CONCRETO ARMADO PARA SAPATAS E BLOCOS</v>
      </c>
      <c r="O690" s="178"/>
      <c r="Q690" s="178">
        <v>585.54</v>
      </c>
      <c r="R690" s="179"/>
      <c r="S690" s="179"/>
      <c r="T690" s="179"/>
      <c r="U690" s="179"/>
      <c r="V690" s="179"/>
      <c r="W690" s="179"/>
      <c r="X690" s="179"/>
      <c r="Y690" s="179"/>
      <c r="Z690" s="180"/>
      <c r="AA690" s="179"/>
      <c r="AB690" s="179"/>
      <c r="AC690" s="179"/>
      <c r="AD690" s="179"/>
      <c r="AE690" s="179"/>
      <c r="AF690" s="179"/>
      <c r="AG690" s="179"/>
      <c r="AH690" s="180"/>
      <c r="AJ690" s="544">
        <f ca="1">IF(AND($D690="Serviço",AJ$12&lt;&gt;0,$H690&gt;0,OR(AUTOEVENTO&lt;&gt;"manual",$M690&lt;&gt;1)),
IF(Import.TipoArredondamento&lt;&gt;"TransfereGOV",
ROUND(OFFSET($P690,0,AJ$13),15-13*ORÇAMENTO!$AF$7)/$H690*OFFSET(ORÇAMENTO!$X$15,ROW(AJ690)-ROW(AJ$15),0),
ROUND(ROUND(OFFSET($P690,0,AJ$13),15-13*ORÇAMENTO!$AF$7)*OFFSET(ORÇAMENTO!$W$15,ROW(AJ690)-ROW(AJ$15),0),15-13*ORÇAMENTO!$AF$11)),0)</f>
        <v>0</v>
      </c>
      <c r="AK690" s="545">
        <f ca="1">IF(AND($D690="Serviço",AK$12&lt;&gt;0,$H690&gt;0,OR(AUTOEVENTO&lt;&gt;"manual",$M690&lt;&gt;1)),
IF(Import.TipoArredondamento&lt;&gt;"TransfereGOV",
ROUND(OFFSET($P690,0,AK$13),15-13*ORÇAMENTO!$AF$7)/$H690*OFFSET(ORÇAMENTO!$X$15,ROW(AK690)-ROW(AK$15),0),
ROUND(ROUND(OFFSET($P690,0,AK$13),15-13*ORÇAMENTO!$AF$7)*OFFSET(ORÇAMENTO!$W$15,ROW(AK690)-ROW(AK$15),0),15-13*ORÇAMENTO!$AF$11)),0)</f>
        <v>0</v>
      </c>
      <c r="AL690" s="545">
        <f ca="1">IF(AND($D690="Serviço",AL$12&lt;&gt;0,$H690&gt;0,OR(AUTOEVENTO&lt;&gt;"manual",$M690&lt;&gt;1)),
IF(Import.TipoArredondamento&lt;&gt;"TransfereGOV",
ROUND(OFFSET($P690,0,AL$13),15-13*ORÇAMENTO!$AF$7)/$H690*OFFSET(ORÇAMENTO!$X$15,ROW(AL690)-ROW(AL$15),0),
ROUND(ROUND(OFFSET($P690,0,AL$13),15-13*ORÇAMENTO!$AF$7)*OFFSET(ORÇAMENTO!$W$15,ROW(AL690)-ROW(AL$15),0),15-13*ORÇAMENTO!$AF$11)),0)</f>
        <v>0</v>
      </c>
      <c r="AM690" s="545">
        <f ca="1">IF(AND($D690="Serviço",AM$12&lt;&gt;0,$H690&gt;0,OR(AUTOEVENTO&lt;&gt;"manual",$M690&lt;&gt;1)),
IF(Import.TipoArredondamento&lt;&gt;"TransfereGOV",
ROUND(OFFSET($P690,0,AM$13),15-13*ORÇAMENTO!$AF$7)/$H690*OFFSET(ORÇAMENTO!$X$15,ROW(AM690)-ROW(AM$15),0),
ROUND(ROUND(OFFSET($P690,0,AM$13),15-13*ORÇAMENTO!$AF$7)*OFFSET(ORÇAMENTO!$W$15,ROW(AM690)-ROW(AM$15),0),15-13*ORÇAMENTO!$AF$11)),0)</f>
        <v>0</v>
      </c>
      <c r="AN690" s="545">
        <f ca="1">IF(AND($D690="Serviço",AN$12&lt;&gt;0,$H690&gt;0,OR(AUTOEVENTO&lt;&gt;"manual",$M690&lt;&gt;1)),
IF(Import.TipoArredondamento&lt;&gt;"TransfereGOV",
ROUND(OFFSET($P690,0,AN$13),15-13*ORÇAMENTO!$AF$7)/$H690*OFFSET(ORÇAMENTO!$X$15,ROW(AN690)-ROW(AN$15),0),
ROUND(ROUND(OFFSET($P690,0,AN$13),15-13*ORÇAMENTO!$AF$7)*OFFSET(ORÇAMENTO!$W$15,ROW(AN690)-ROW(AN$15),0),15-13*ORÇAMENTO!$AF$11)),0)</f>
        <v>0</v>
      </c>
      <c r="AO690" s="545">
        <f ca="1">IF(AND($D690="Serviço",AO$12&lt;&gt;0,$H690&gt;0,OR(AUTOEVENTO&lt;&gt;"manual",$M690&lt;&gt;1)),
IF(Import.TipoArredondamento&lt;&gt;"TransfereGOV",
ROUND(OFFSET($P690,0,AO$13),15-13*ORÇAMENTO!$AF$7)/$H690*OFFSET(ORÇAMENTO!$X$15,ROW(AO690)-ROW(AO$15),0),
ROUND(ROUND(OFFSET($P690,0,AO$13),15-13*ORÇAMENTO!$AF$7)*OFFSET(ORÇAMENTO!$W$15,ROW(AO690)-ROW(AO$15),0),15-13*ORÇAMENTO!$AF$11)),0)</f>
        <v>0</v>
      </c>
      <c r="AP690" s="545">
        <f ca="1">IF(AND($D690="Serviço",AP$12&lt;&gt;0,$H690&gt;0,OR(AUTOEVENTO&lt;&gt;"manual",$M690&lt;&gt;1)),
IF(Import.TipoArredondamento&lt;&gt;"TransfereGOV",
ROUND(OFFSET($P690,0,AP$13),15-13*ORÇAMENTO!$AF$7)/$H690*OFFSET(ORÇAMENTO!$X$15,ROW(AP690)-ROW(AP$15),0),
ROUND(ROUND(OFFSET($P690,0,AP$13),15-13*ORÇAMENTO!$AF$7)*OFFSET(ORÇAMENTO!$W$15,ROW(AP690)-ROW(AP$15),0),15-13*ORÇAMENTO!$AF$11)),0)</f>
        <v>0</v>
      </c>
      <c r="AQ690" s="545">
        <f ca="1">IF(AND($D690="Serviço",AQ$12&lt;&gt;0,$H690&gt;0,OR(AUTOEVENTO&lt;&gt;"manual",$M690&lt;&gt;1)),
IF(Import.TipoArredondamento&lt;&gt;"TransfereGOV",
ROUND(OFFSET($P690,0,AQ$13),15-13*ORÇAMENTO!$AF$7)/$H690*OFFSET(ORÇAMENTO!$X$15,ROW(AQ690)-ROW(AQ$15),0),
ROUND(ROUND(OFFSET($P690,0,AQ$13),15-13*ORÇAMENTO!$AF$7)*OFFSET(ORÇAMENTO!$W$15,ROW(AQ690)-ROW(AQ$15),0),15-13*ORÇAMENTO!$AF$11)),0)</f>
        <v>0</v>
      </c>
      <c r="AR690" s="545">
        <f ca="1">IF(AND($D690="Serviço",AR$12&lt;&gt;0,$H690&gt;0,OR(AUTOEVENTO&lt;&gt;"manual",$M690&lt;&gt;1)),
IF(Import.TipoArredondamento&lt;&gt;"TransfereGOV",
ROUND(OFFSET($P690,0,AR$13),15-13*ORÇAMENTO!$AF$7)/$H690*OFFSET(ORÇAMENTO!$X$15,ROW(AR690)-ROW(AR$15),0),
ROUND(ROUND(OFFSET($P690,0,AR$13),15-13*ORÇAMENTO!$AF$7)*OFFSET(ORÇAMENTO!$W$15,ROW(AR690)-ROW(AR$15),0),15-13*ORÇAMENTO!$AF$11)),0)</f>
        <v>0</v>
      </c>
      <c r="AS690" s="546">
        <f ca="1">IF(AND($D690="Serviço",AS$12&lt;&gt;0,$H690&gt;0,OR(AUTOEVENTO&lt;&gt;"manual",$M690&lt;&gt;1)),
IF(Import.TipoArredondamento&lt;&gt;"TransfereGOV",
ROUND(OFFSET($P690,0,AS$13),15-13*ORÇAMENTO!$AF$7)/$H690*OFFSET(ORÇAMENTO!$X$15,ROW(AS690)-ROW(AS$15),0),
ROUND(ROUND(OFFSET($P690,0,AS$13),15-13*ORÇAMENTO!$AF$7)*OFFSET(ORÇAMENTO!$W$15,ROW(AS690)-ROW(AS$15),0),15-13*ORÇAMENTO!$AF$11)),0)</f>
        <v>0</v>
      </c>
      <c r="AT690" s="545">
        <f ca="1">IF(AND($D690="Serviço",AT$12&lt;&gt;0,$H690&gt;0,OR(AUTOEVENTO&lt;&gt;"manual",$M690&lt;&gt;1)),
IF(Import.TipoArredondamento&lt;&gt;"TransfereGOV",
ROUND(OFFSET($P690,0,AT$13),15-13*ORÇAMENTO!$AF$7)/$H690*OFFSET(ORÇAMENTO!$X$15,ROW(AT690)-ROW(AT$15),0),
ROUND(ROUND(OFFSET($P690,0,AT$13),15-13*ORÇAMENTO!$AF$7)*OFFSET(ORÇAMENTO!$W$15,ROW(AT690)-ROW(AT$15),0),15-13*ORÇAMENTO!$AF$11)),0)</f>
        <v>0</v>
      </c>
      <c r="AU690" s="545">
        <f ca="1">IF(AND($D690="Serviço",AU$12&lt;&gt;0,$H690&gt;0,OR(AUTOEVENTO&lt;&gt;"manual",$M690&lt;&gt;1)),
IF(Import.TipoArredondamento&lt;&gt;"TransfereGOV",
ROUND(OFFSET($P690,0,AU$13),15-13*ORÇAMENTO!$AF$7)/$H690*OFFSET(ORÇAMENTO!$X$15,ROW(AU690)-ROW(AU$15),0),
ROUND(ROUND(OFFSET($P690,0,AU$13),15-13*ORÇAMENTO!$AF$7)*OFFSET(ORÇAMENTO!$W$15,ROW(AU690)-ROW(AU$15),0),15-13*ORÇAMENTO!$AF$11)),0)</f>
        <v>0</v>
      </c>
      <c r="AV690" s="545">
        <f ca="1">IF(AND($D690="Serviço",AV$12&lt;&gt;0,$H690&gt;0,OR(AUTOEVENTO&lt;&gt;"manual",$M690&lt;&gt;1)),
IF(Import.TipoArredondamento&lt;&gt;"TransfereGOV",
ROUND(OFFSET($P690,0,AV$13),15-13*ORÇAMENTO!$AF$7)/$H690*OFFSET(ORÇAMENTO!$X$15,ROW(AV690)-ROW(AV$15),0),
ROUND(ROUND(OFFSET($P690,0,AV$13),15-13*ORÇAMENTO!$AF$7)*OFFSET(ORÇAMENTO!$W$15,ROW(AV690)-ROW(AV$15),0),15-13*ORÇAMENTO!$AF$11)),0)</f>
        <v>0</v>
      </c>
      <c r="AW690" s="545">
        <f ca="1">IF(AND($D690="Serviço",AW$12&lt;&gt;0,$H690&gt;0,OR(AUTOEVENTO&lt;&gt;"manual",$M690&lt;&gt;1)),
IF(Import.TipoArredondamento&lt;&gt;"TransfereGOV",
ROUND(OFFSET($P690,0,AW$13),15-13*ORÇAMENTO!$AF$7)/$H690*OFFSET(ORÇAMENTO!$X$15,ROW(AW690)-ROW(AW$15),0),
ROUND(ROUND(OFFSET($P690,0,AW$13),15-13*ORÇAMENTO!$AF$7)*OFFSET(ORÇAMENTO!$W$15,ROW(AW690)-ROW(AW$15),0),15-13*ORÇAMENTO!$AF$11)),0)</f>
        <v>0</v>
      </c>
      <c r="AX690" s="545">
        <f ca="1">IF(AND($D690="Serviço",AX$12&lt;&gt;0,$H690&gt;0,OR(AUTOEVENTO&lt;&gt;"manual",$M690&lt;&gt;1)),
IF(Import.TipoArredondamento&lt;&gt;"TransfereGOV",
ROUND(OFFSET($P690,0,AX$13),15-13*ORÇAMENTO!$AF$7)/$H690*OFFSET(ORÇAMENTO!$X$15,ROW(AX690)-ROW(AX$15),0),
ROUND(ROUND(OFFSET($P690,0,AX$13),15-13*ORÇAMENTO!$AF$7)*OFFSET(ORÇAMENTO!$W$15,ROW(AX690)-ROW(AX$15),0),15-13*ORÇAMENTO!$AF$11)),0)</f>
        <v>0</v>
      </c>
      <c r="AY690" s="545">
        <f ca="1">IF(AND($D690="Serviço",AY$12&lt;&gt;0,$H690&gt;0,OR(AUTOEVENTO&lt;&gt;"manual",$M690&lt;&gt;1)),
IF(Import.TipoArredondamento&lt;&gt;"TransfereGOV",
ROUND(OFFSET($P690,0,AY$13),15-13*ORÇAMENTO!$AF$7)/$H690*OFFSET(ORÇAMENTO!$X$15,ROW(AY690)-ROW(AY$15),0),
ROUND(ROUND(OFFSET($P690,0,AY$13),15-13*ORÇAMENTO!$AF$7)*OFFSET(ORÇAMENTO!$W$15,ROW(AY690)-ROW(AY$15),0),15-13*ORÇAMENTO!$AF$11)),0)</f>
        <v>0</v>
      </c>
      <c r="AZ690" s="545">
        <f ca="1">IF(AND($D690="Serviço",AZ$12&lt;&gt;0,$H690&gt;0,OR(AUTOEVENTO&lt;&gt;"manual",$M690&lt;&gt;1)),
IF(Import.TipoArredondamento&lt;&gt;"TransfereGOV",
ROUND(OFFSET($P690,0,AZ$13),15-13*ORÇAMENTO!$AF$7)/$H690*OFFSET(ORÇAMENTO!$X$15,ROW(AZ690)-ROW(AZ$15),0),
ROUND(ROUND(OFFSET($P690,0,AZ$13),15-13*ORÇAMENTO!$AF$7)*OFFSET(ORÇAMENTO!$W$15,ROW(AZ690)-ROW(AZ$15),0),15-13*ORÇAMENTO!$AF$11)),0)</f>
        <v>0</v>
      </c>
      <c r="BA690" s="546">
        <f ca="1">IF(AND($D690="Serviço",BA$12&lt;&gt;0,$H690&gt;0,OR(AUTOEVENTO&lt;&gt;"manual",$M690&lt;&gt;1)),
IF(Import.TipoArredondamento&lt;&gt;"TransfereGOV",
ROUND(OFFSET($P690,0,BA$13),15-13*ORÇAMENTO!$AF$7)/$H690*OFFSET(ORÇAMENTO!$X$15,ROW(BA690)-ROW(BA$15),0),
ROUND(ROUND(OFFSET($P690,0,BA$13),15-13*ORÇAMENTO!$AF$7)*OFFSET(ORÇAMENTO!$W$15,ROW(BA690)-ROW(BA$15),0),15-13*ORÇAMENTO!$AF$11)),0)</f>
        <v>0</v>
      </c>
      <c r="BC690" s="181">
        <f ca="1">IF($D690&lt;&gt;"Serviço",0,IF(AND(AUTOEVENTO="Manual",$M690=1),0,IF(OFFSET(CRONOPLE!$F$14,$M690,BC$13)="",10^12,OFFSET(CRONOPLE!$F$14,$M690,BC$13))))</f>
        <v>12</v>
      </c>
      <c r="BD690" s="181">
        <f ca="1">IF($D690&lt;&gt;"Serviço",0,IF(AND(AUTOEVENTO="Manual",$M690=1),0,IF(OFFSET(CRONOPLE!$F$14,$M690,BD$13)="",10^12,OFFSET(CRONOPLE!$F$14,$M690,BD$13))))</f>
        <v>1000000000000</v>
      </c>
      <c r="BE690" s="181">
        <f ca="1">IF($D690&lt;&gt;"Serviço",0,IF(AND(AUTOEVENTO="Manual",$M690=1),0,IF(OFFSET(CRONOPLE!$F$14,$M690,BE$13)="",10^12,OFFSET(CRONOPLE!$F$14,$M690,BE$13))))</f>
        <v>1000000000000</v>
      </c>
      <c r="BF690" s="181">
        <f ca="1">IF($D690&lt;&gt;"Serviço",0,IF(AND(AUTOEVENTO="Manual",$M690=1),0,IF(OFFSET(CRONOPLE!$F$14,$M690,BF$13)="",10^12,OFFSET(CRONOPLE!$F$14,$M690,BF$13))))</f>
        <v>1000000000000</v>
      </c>
      <c r="BG690" s="181">
        <f ca="1">IF($D690&lt;&gt;"Serviço",0,IF(AND(AUTOEVENTO="Manual",$M690=1),0,IF(OFFSET(CRONOPLE!$F$14,$M690,BG$13)="",10^12,OFFSET(CRONOPLE!$F$14,$M690,BG$13))))</f>
        <v>1000000000000</v>
      </c>
      <c r="BH690" s="181">
        <f ca="1">IF($D690&lt;&gt;"Serviço",0,IF(AND(AUTOEVENTO="Manual",$M690=1),0,IF(OFFSET(CRONOPLE!$F$14,$M690,BH$13)="",10^12,OFFSET(CRONOPLE!$F$14,$M690,BH$13))))</f>
        <v>1000000000000</v>
      </c>
      <c r="BI690" s="181">
        <f ca="1">IF($D690&lt;&gt;"Serviço",0,IF(AND(AUTOEVENTO="Manual",$M690=1),0,IF(OFFSET(CRONOPLE!$F$14,$M690,BI$13)="",10^12,OFFSET(CRONOPLE!$F$14,$M690,BI$13))))</f>
        <v>1000000000000</v>
      </c>
      <c r="BJ690" s="181">
        <f ca="1">IF($D690&lt;&gt;"Serviço",0,IF(AND(AUTOEVENTO="Manual",$M690=1),0,IF(OFFSET(CRONOPLE!$F$14,$M690,BJ$13)="",10^12,OFFSET(CRONOPLE!$F$14,$M690,BJ$13))))</f>
        <v>1000000000000</v>
      </c>
      <c r="BK690" s="181">
        <f ca="1">IF($D690&lt;&gt;"Serviço",0,IF(AND(AUTOEVENTO="Manual",$M690=1),0,IF(OFFSET(CRONOPLE!$F$14,$M690,BK$13)="",10^12,OFFSET(CRONOPLE!$F$14,$M690,BK$13))))</f>
        <v>1000000000000</v>
      </c>
      <c r="BL690" s="181">
        <f ca="1">IF($D690&lt;&gt;"Serviço",0,IF(AND(AUTOEVENTO="Manual",$M690=1),0,IF(OFFSET(CRONOPLE!$F$14,$M690,BL$13)="",10^12,OFFSET(CRONOPLE!$F$14,$M690,BL$13))))</f>
        <v>1000000000000</v>
      </c>
      <c r="BM690" s="181">
        <f ca="1">IF($D690&lt;&gt;"Serviço",0,IF(AND(AUTOEVENTO="Manual",$M690=1),0,IF(OFFSET(CRONOPLE!$F$14,$M690,BM$13)="",10^12,OFFSET(CRONOPLE!$F$14,$M690,BM$13))))</f>
        <v>1000000000000</v>
      </c>
      <c r="BN690" s="181">
        <f ca="1">IF($D690&lt;&gt;"Serviço",0,IF(AND(AUTOEVENTO="Manual",$M690=1),0,IF(OFFSET(CRONOPLE!$F$14,$M690,BN$13)="",10^12,OFFSET(CRONOPLE!$F$14,$M690,BN$13))))</f>
        <v>1000000000000</v>
      </c>
      <c r="BO690" s="181">
        <f ca="1">IF($D690&lt;&gt;"Serviço",0,IF(AND(AUTOEVENTO="Manual",$M690=1),0,IF(OFFSET(CRONOPLE!$F$14,$M690,BO$13)="",10^12,OFFSET(CRONOPLE!$F$14,$M690,BO$13))))</f>
        <v>1000000000000</v>
      </c>
      <c r="BP690" s="181">
        <f ca="1">IF($D690&lt;&gt;"Serviço",0,IF(AND(AUTOEVENTO="Manual",$M690=1),0,IF(OFFSET(CRONOPLE!$F$14,$M690,BP$13)="",10^12,OFFSET(CRONOPLE!$F$14,$M690,BP$13))))</f>
        <v>1000000000000</v>
      </c>
      <c r="BQ690" s="181">
        <f ca="1">IF($D690&lt;&gt;"Serviço",0,IF(AND(AUTOEVENTO="Manual",$M690=1),0,IF(OFFSET(CRONOPLE!$F$14,$M690,BQ$13)="",10^12,OFFSET(CRONOPLE!$F$14,$M690,BQ$13))))</f>
        <v>1000000000000</v>
      </c>
      <c r="BR690" s="181">
        <f ca="1">IF($D690&lt;&gt;"Serviço",0,IF(AND(AUTOEVENTO="Manual",$M690=1),0,IF(OFFSET(CRONOPLE!$F$14,$M690,BR$13)="",10^12,OFFSET(CRONOPLE!$F$14,$M690,BR$13))))</f>
        <v>1000000000000</v>
      </c>
      <c r="BS690" s="181">
        <f ca="1">IF($D690&lt;&gt;"Serviço",0,IF(AND(AUTOEVENTO="Manual",$M690=1),0,IF(OFFSET(CRONOPLE!$F$14,$M690,BS$13)="",10^12,OFFSET(CRONOPLE!$F$14,$M690,BS$13))))</f>
        <v>1000000000000</v>
      </c>
      <c r="BT690" s="181">
        <f ca="1">IF($D690&lt;&gt;"Serviço",0,IF(AND(AUTOEVENTO="Manual",$M690=1),0,IF(OFFSET(CRONOPLE!$F$14,$M690,BT$13)="",10^12,OFFSET(CRONOPLE!$F$14,$M690,BT$13))))</f>
        <v>1000000000000</v>
      </c>
      <c r="BV690" s="182">
        <f ca="1">IF($D690&lt;&gt;"Serviço",0,IF(OR(AND(AUTOEVENTO="Manual",$M690=1),$M690&gt;(ROW(PLE.lastrow)-ROW(PLE.firstrow))),0,IF(OFFSET(PLE!$G$14,$M690,BV$13)="",10^12,OFFSET(PLE!$G$14,$M690,BV$13))))</f>
        <v>1000000000000</v>
      </c>
      <c r="BW690" s="182">
        <f ca="1">IF($D690&lt;&gt;"Serviço",0,IF(OR(AND(AUTOEVENTO="Manual",$M690=1),$M690&gt;(ROW(PLE.lastrow)-ROW(PLE.firstrow))),0,IF(OFFSET(PLE!$G$14,$M690,BW$13)="",10^12,OFFSET(PLE!$G$14,$M690,BW$13))))</f>
        <v>1000000000000</v>
      </c>
      <c r="BX690" s="182">
        <f ca="1">IF($D690&lt;&gt;"Serviço",0,IF(OR(AND(AUTOEVENTO="Manual",$M690=1),$M690&gt;(ROW(PLE.lastrow)-ROW(PLE.firstrow))),0,IF(OFFSET(PLE!$G$14,$M690,BX$13)="",10^12,OFFSET(PLE!$G$14,$M690,BX$13))))</f>
        <v>1000000000000</v>
      </c>
      <c r="BY690" s="182">
        <f ca="1">IF($D690&lt;&gt;"Serviço",0,IF(OR(AND(AUTOEVENTO="Manual",$M690=1),$M690&gt;(ROW(PLE.lastrow)-ROW(PLE.firstrow))),0,IF(OFFSET(PLE!$G$14,$M690,BY$13)="",10^12,OFFSET(PLE!$G$14,$M690,BY$13))))</f>
        <v>1000000000000</v>
      </c>
      <c r="BZ690" s="182">
        <f ca="1">IF($D690&lt;&gt;"Serviço",0,IF(OR(AND(AUTOEVENTO="Manual",$M690=1),$M690&gt;(ROW(PLE.lastrow)-ROW(PLE.firstrow))),0,IF(OFFSET(PLE!$G$14,$M690,BZ$13)="",10^12,OFFSET(PLE!$G$14,$M690,BZ$13))))</f>
        <v>1000000000000</v>
      </c>
      <c r="CA690" s="182">
        <f ca="1">IF($D690&lt;&gt;"Serviço",0,IF(OR(AND(AUTOEVENTO="Manual",$M690=1),$M690&gt;(ROW(PLE.lastrow)-ROW(PLE.firstrow))),0,IF(OFFSET(PLE!$G$14,$M690,CA$13)="",10^12,OFFSET(PLE!$G$14,$M690,CA$13))))</f>
        <v>1000000000000</v>
      </c>
      <c r="CB690" s="182">
        <f ca="1">IF($D690&lt;&gt;"Serviço",0,IF(OR(AND(AUTOEVENTO="Manual",$M690=1),$M690&gt;(ROW(PLE.lastrow)-ROW(PLE.firstrow))),0,IF(OFFSET(PLE!$G$14,$M690,CB$13)="",10^12,OFFSET(PLE!$G$14,$M690,CB$13))))</f>
        <v>1000000000000</v>
      </c>
      <c r="CC690" s="182">
        <f ca="1">IF($D690&lt;&gt;"Serviço",0,IF(OR(AND(AUTOEVENTO="Manual",$M690=1),$M690&gt;(ROW(PLE.lastrow)-ROW(PLE.firstrow))),0,IF(OFFSET(PLE!$G$14,$M690,CC$13)="",10^12,OFFSET(PLE!$G$14,$M690,CC$13))))</f>
        <v>1000000000000</v>
      </c>
      <c r="CD690" s="182">
        <f ca="1">IF($D690&lt;&gt;"Serviço",0,IF(OR(AND(AUTOEVENTO="Manual",$M690=1),$M690&gt;(ROW(PLE.lastrow)-ROW(PLE.firstrow))),0,IF(OFFSET(PLE!$G$14,$M690,CD$13)="",10^12,OFFSET(PLE!$G$14,$M690,CD$13))))</f>
        <v>1000000000000</v>
      </c>
      <c r="CE690" s="182">
        <f ca="1">IF($D690&lt;&gt;"Serviço",0,IF(OR(AND(AUTOEVENTO="Manual",$M690=1),$M690&gt;(ROW(PLE.lastrow)-ROW(PLE.firstrow))),0,IF(OFFSET(PLE!$G$14,$M690,CE$13)="",10^12,OFFSET(PLE!$G$14,$M690,CE$13))))</f>
        <v>1000000000000</v>
      </c>
      <c r="CF690" s="182">
        <f ca="1">IF($D690&lt;&gt;"Serviço",0,IF(OR(AND(AUTOEVENTO="Manual",$M690=1),$M690&gt;(ROW(PLE.lastrow)-ROW(PLE.firstrow))),0,IF(OFFSET(PLE!$G$14,$M690,CF$13)="",10^12,OFFSET(PLE!$G$14,$M690,CF$13))))</f>
        <v>1000000000000</v>
      </c>
      <c r="CG690" s="182">
        <f ca="1">IF($D690&lt;&gt;"Serviço",0,IF(OR(AND(AUTOEVENTO="Manual",$M690=1),$M690&gt;(ROW(PLE.lastrow)-ROW(PLE.firstrow))),0,IF(OFFSET(PLE!$G$14,$M690,CG$13)="",10^12,OFFSET(PLE!$G$14,$M690,CG$13))))</f>
        <v>1000000000000</v>
      </c>
      <c r="CH690" s="182">
        <f ca="1">IF($D690&lt;&gt;"Serviço",0,IF(OR(AND(AUTOEVENTO="Manual",$M690=1),$M690&gt;(ROW(PLE.lastrow)-ROW(PLE.firstrow))),0,IF(OFFSET(PLE!$G$14,$M690,CH$13)="",10^12,OFFSET(PLE!$G$14,$M690,CH$13))))</f>
        <v>1000000000000</v>
      </c>
      <c r="CI690" s="182">
        <f ca="1">IF($D690&lt;&gt;"Serviço",0,IF(OR(AND(AUTOEVENTO="Manual",$M690=1),$M690&gt;(ROW(PLE.lastrow)-ROW(PLE.firstrow))),0,IF(OFFSET(PLE!$G$14,$M690,CI$13)="",10^12,OFFSET(PLE!$G$14,$M690,CI$13))))</f>
        <v>1000000000000</v>
      </c>
      <c r="CJ690" s="182">
        <f ca="1">IF($D690&lt;&gt;"Serviço",0,IF(OR(AND(AUTOEVENTO="Manual",$M690=1),$M690&gt;(ROW(PLE.lastrow)-ROW(PLE.firstrow))),0,IF(OFFSET(PLE!$G$14,$M690,CJ$13)="",10^12,OFFSET(PLE!$G$14,$M690,CJ$13))))</f>
        <v>1000000000000</v>
      </c>
      <c r="CK690" s="182">
        <f ca="1">IF($D690&lt;&gt;"Serviço",0,IF(OR(AND(AUTOEVENTO="Manual",$M690=1),$M690&gt;(ROW(PLE.lastrow)-ROW(PLE.firstrow))),0,IF(OFFSET(PLE!$G$14,$M690,CK$13)="",10^12,OFFSET(PLE!$G$14,$M690,CK$13))))</f>
        <v>1000000000000</v>
      </c>
      <c r="CL690" s="182">
        <f ca="1">IF($D690&lt;&gt;"Serviço",0,IF(OR(AND(AUTOEVENTO="Manual",$M690=1),$M690&gt;(ROW(PLE.lastrow)-ROW(PLE.firstrow))),0,IF(OFFSET(PLE!$G$14,$M690,CL$13)="",10^12,OFFSET(PLE!$G$14,$M690,CL$13))))</f>
        <v>1000000000000</v>
      </c>
      <c r="CM690" s="182">
        <f ca="1">IF($D690&lt;&gt;"Serviço",0,IF(OR(AND(AUTOEVENTO="Manual",$M690=1),$M690&gt;(ROW(PLE.lastrow)-ROW(PLE.firstrow))),0,IF(OFFSET(PLE!$G$14,$M690,CM$13)="",10^12,OFFSET(PLE!$G$14,$M690,CM$13))))</f>
        <v>1000000000000</v>
      </c>
    </row>
    <row r="691" spans="1:91" ht="38.25" x14ac:dyDescent="0.2">
      <c r="A691" s="7" t="str">
        <f t="shared" ca="1" si="19"/>
        <v>671</v>
      </c>
      <c r="B691" s="7" t="str">
        <f ca="1">OFFSET(ORÇAMENTO!C$15,ROW(B691)-ROW(B$15),0)</f>
        <v>S</v>
      </c>
      <c r="C691" s="7" t="str">
        <f ca="1">OFFSET(ORÇAMENTO!L$15,ROW(C691)-ROW(C$15),0)</f>
        <v/>
      </c>
      <c r="D691" s="118" t="str">
        <f ca="1">OFFSET(ORÇAMENTO!N$15,ROW(D691)-ROW(D$15),0)</f>
        <v>Serviço</v>
      </c>
      <c r="E691" s="119" t="str">
        <f ca="1">OFFSET(ORÇAMENTO!O$15,ROW(E691)-ROW(E$15),0)</f>
        <v>-</v>
      </c>
      <c r="F691" s="172" t="str">
        <f ca="1">OFFSET(ORÇAMENTO!R$15,ROW(F691)-ROW(F$15),0)</f>
        <v>(abra o arquivo 'Referência 06-2024.xlsm)</v>
      </c>
      <c r="G691" s="173" t="str">
        <f ca="1">IF($D691&lt;&gt;"Serviço","",OFFSET(ORÇAMENTO!S$15,ROW(G691)-ROW(G$15),0))</f>
        <v>-</v>
      </c>
      <c r="H691" s="124">
        <f ca="1">IF($D691&lt;&gt;"Serviço",0,IF(ACOMPANHAMENTO="BM",ROUND(OFFSET(ORÇAMENTO!AJ$15,ROW(H691)-ROW(H$15),0),15-13*ORÇAMENTO!$AF$7),SUMPRODUCT(($Q$12:$AI$12&lt;&gt;"")*ROUND($Q691:$AI691,15-13*ORÇAMENTO!$AF$7))))</f>
        <v>352.14</v>
      </c>
      <c r="I691" s="561" t="s">
        <v>1107</v>
      </c>
      <c r="K691" s="174"/>
      <c r="L691" s="175" t="s">
        <v>255</v>
      </c>
      <c r="M691" s="176">
        <f ca="1">IF($D691&lt;&gt;"Serviço","",IF(AUTOEVENTO="manual",$A691,IF(ISERROR(MATCH($A691,$A$15:OFFSET($A691,-1,0),0)),MAX($M$15:OFFSET(M691,-1,0))+1,INDEX($M$15:OFFSET(M691,-1,0),MATCH($A691,$A$15:OFFSET($A691,-1,0),0)))))</f>
        <v>75</v>
      </c>
      <c r="N691" s="177" t="str">
        <f ca="1">IF($D691&lt;&gt;"Serviço","",IF(AUTOEVENTO="Manual",IF($A691=0,"&lt;-- defina o número do agrupador",OFFSET(EVENTOS!$D$14,$A691,0)),OFFSET($F$15,$A691,0)))</f>
        <v>MURO DE FECHAMENTO - CONCRETO ARMADO PARA SAPATAS E BLOCOS</v>
      </c>
      <c r="O691" s="178"/>
      <c r="Q691" s="178">
        <v>352.14</v>
      </c>
      <c r="R691" s="179"/>
      <c r="S691" s="179"/>
      <c r="T691" s="179"/>
      <c r="U691" s="179"/>
      <c r="V691" s="179"/>
      <c r="W691" s="179"/>
      <c r="X691" s="179"/>
      <c r="Y691" s="179"/>
      <c r="Z691" s="180"/>
      <c r="AA691" s="179"/>
      <c r="AB691" s="179"/>
      <c r="AC691" s="179"/>
      <c r="AD691" s="179"/>
      <c r="AE691" s="179"/>
      <c r="AF691" s="179"/>
      <c r="AG691" s="179"/>
      <c r="AH691" s="180"/>
      <c r="AJ691" s="544">
        <f ca="1">IF(AND($D691="Serviço",AJ$12&lt;&gt;0,$H691&gt;0,OR(AUTOEVENTO&lt;&gt;"manual",$M691&lt;&gt;1)),
IF(Import.TipoArredondamento&lt;&gt;"TransfereGOV",
ROUND(OFFSET($P691,0,AJ$13),15-13*ORÇAMENTO!$AF$7)/$H691*OFFSET(ORÇAMENTO!$X$15,ROW(AJ691)-ROW(AJ$15),0),
ROUND(ROUND(OFFSET($P691,0,AJ$13),15-13*ORÇAMENTO!$AF$7)*OFFSET(ORÇAMENTO!$W$15,ROW(AJ691)-ROW(AJ$15),0),15-13*ORÇAMENTO!$AF$11)),0)</f>
        <v>0</v>
      </c>
      <c r="AK691" s="545">
        <f ca="1">IF(AND($D691="Serviço",AK$12&lt;&gt;0,$H691&gt;0,OR(AUTOEVENTO&lt;&gt;"manual",$M691&lt;&gt;1)),
IF(Import.TipoArredondamento&lt;&gt;"TransfereGOV",
ROUND(OFFSET($P691,0,AK$13),15-13*ORÇAMENTO!$AF$7)/$H691*OFFSET(ORÇAMENTO!$X$15,ROW(AK691)-ROW(AK$15),0),
ROUND(ROUND(OFFSET($P691,0,AK$13),15-13*ORÇAMENTO!$AF$7)*OFFSET(ORÇAMENTO!$W$15,ROW(AK691)-ROW(AK$15),0),15-13*ORÇAMENTO!$AF$11)),0)</f>
        <v>0</v>
      </c>
      <c r="AL691" s="545">
        <f ca="1">IF(AND($D691="Serviço",AL$12&lt;&gt;0,$H691&gt;0,OR(AUTOEVENTO&lt;&gt;"manual",$M691&lt;&gt;1)),
IF(Import.TipoArredondamento&lt;&gt;"TransfereGOV",
ROUND(OFFSET($P691,0,AL$13),15-13*ORÇAMENTO!$AF$7)/$H691*OFFSET(ORÇAMENTO!$X$15,ROW(AL691)-ROW(AL$15),0),
ROUND(ROUND(OFFSET($P691,0,AL$13),15-13*ORÇAMENTO!$AF$7)*OFFSET(ORÇAMENTO!$W$15,ROW(AL691)-ROW(AL$15),0),15-13*ORÇAMENTO!$AF$11)),0)</f>
        <v>0</v>
      </c>
      <c r="AM691" s="545">
        <f ca="1">IF(AND($D691="Serviço",AM$12&lt;&gt;0,$H691&gt;0,OR(AUTOEVENTO&lt;&gt;"manual",$M691&lt;&gt;1)),
IF(Import.TipoArredondamento&lt;&gt;"TransfereGOV",
ROUND(OFFSET($P691,0,AM$13),15-13*ORÇAMENTO!$AF$7)/$H691*OFFSET(ORÇAMENTO!$X$15,ROW(AM691)-ROW(AM$15),0),
ROUND(ROUND(OFFSET($P691,0,AM$13),15-13*ORÇAMENTO!$AF$7)*OFFSET(ORÇAMENTO!$W$15,ROW(AM691)-ROW(AM$15),0),15-13*ORÇAMENTO!$AF$11)),0)</f>
        <v>0</v>
      </c>
      <c r="AN691" s="545">
        <f ca="1">IF(AND($D691="Serviço",AN$12&lt;&gt;0,$H691&gt;0,OR(AUTOEVENTO&lt;&gt;"manual",$M691&lt;&gt;1)),
IF(Import.TipoArredondamento&lt;&gt;"TransfereGOV",
ROUND(OFFSET($P691,0,AN$13),15-13*ORÇAMENTO!$AF$7)/$H691*OFFSET(ORÇAMENTO!$X$15,ROW(AN691)-ROW(AN$15),0),
ROUND(ROUND(OFFSET($P691,0,AN$13),15-13*ORÇAMENTO!$AF$7)*OFFSET(ORÇAMENTO!$W$15,ROW(AN691)-ROW(AN$15),0),15-13*ORÇAMENTO!$AF$11)),0)</f>
        <v>0</v>
      </c>
      <c r="AO691" s="545">
        <f ca="1">IF(AND($D691="Serviço",AO$12&lt;&gt;0,$H691&gt;0,OR(AUTOEVENTO&lt;&gt;"manual",$M691&lt;&gt;1)),
IF(Import.TipoArredondamento&lt;&gt;"TransfereGOV",
ROUND(OFFSET($P691,0,AO$13),15-13*ORÇAMENTO!$AF$7)/$H691*OFFSET(ORÇAMENTO!$X$15,ROW(AO691)-ROW(AO$15),0),
ROUND(ROUND(OFFSET($P691,0,AO$13),15-13*ORÇAMENTO!$AF$7)*OFFSET(ORÇAMENTO!$W$15,ROW(AO691)-ROW(AO$15),0),15-13*ORÇAMENTO!$AF$11)),0)</f>
        <v>0</v>
      </c>
      <c r="AP691" s="545">
        <f ca="1">IF(AND($D691="Serviço",AP$12&lt;&gt;0,$H691&gt;0,OR(AUTOEVENTO&lt;&gt;"manual",$M691&lt;&gt;1)),
IF(Import.TipoArredondamento&lt;&gt;"TransfereGOV",
ROUND(OFFSET($P691,0,AP$13),15-13*ORÇAMENTO!$AF$7)/$H691*OFFSET(ORÇAMENTO!$X$15,ROW(AP691)-ROW(AP$15),0),
ROUND(ROUND(OFFSET($P691,0,AP$13),15-13*ORÇAMENTO!$AF$7)*OFFSET(ORÇAMENTO!$W$15,ROW(AP691)-ROW(AP$15),0),15-13*ORÇAMENTO!$AF$11)),0)</f>
        <v>0</v>
      </c>
      <c r="AQ691" s="545">
        <f ca="1">IF(AND($D691="Serviço",AQ$12&lt;&gt;0,$H691&gt;0,OR(AUTOEVENTO&lt;&gt;"manual",$M691&lt;&gt;1)),
IF(Import.TipoArredondamento&lt;&gt;"TransfereGOV",
ROUND(OFFSET($P691,0,AQ$13),15-13*ORÇAMENTO!$AF$7)/$H691*OFFSET(ORÇAMENTO!$X$15,ROW(AQ691)-ROW(AQ$15),0),
ROUND(ROUND(OFFSET($P691,0,AQ$13),15-13*ORÇAMENTO!$AF$7)*OFFSET(ORÇAMENTO!$W$15,ROW(AQ691)-ROW(AQ$15),0),15-13*ORÇAMENTO!$AF$11)),0)</f>
        <v>0</v>
      </c>
      <c r="AR691" s="545">
        <f ca="1">IF(AND($D691="Serviço",AR$12&lt;&gt;0,$H691&gt;0,OR(AUTOEVENTO&lt;&gt;"manual",$M691&lt;&gt;1)),
IF(Import.TipoArredondamento&lt;&gt;"TransfereGOV",
ROUND(OFFSET($P691,0,AR$13),15-13*ORÇAMENTO!$AF$7)/$H691*OFFSET(ORÇAMENTO!$X$15,ROW(AR691)-ROW(AR$15),0),
ROUND(ROUND(OFFSET($P691,0,AR$13),15-13*ORÇAMENTO!$AF$7)*OFFSET(ORÇAMENTO!$W$15,ROW(AR691)-ROW(AR$15),0),15-13*ORÇAMENTO!$AF$11)),0)</f>
        <v>0</v>
      </c>
      <c r="AS691" s="546">
        <f ca="1">IF(AND($D691="Serviço",AS$12&lt;&gt;0,$H691&gt;0,OR(AUTOEVENTO&lt;&gt;"manual",$M691&lt;&gt;1)),
IF(Import.TipoArredondamento&lt;&gt;"TransfereGOV",
ROUND(OFFSET($P691,0,AS$13),15-13*ORÇAMENTO!$AF$7)/$H691*OFFSET(ORÇAMENTO!$X$15,ROW(AS691)-ROW(AS$15),0),
ROUND(ROUND(OFFSET($P691,0,AS$13),15-13*ORÇAMENTO!$AF$7)*OFFSET(ORÇAMENTO!$W$15,ROW(AS691)-ROW(AS$15),0),15-13*ORÇAMENTO!$AF$11)),0)</f>
        <v>0</v>
      </c>
      <c r="AT691" s="545">
        <f ca="1">IF(AND($D691="Serviço",AT$12&lt;&gt;0,$H691&gt;0,OR(AUTOEVENTO&lt;&gt;"manual",$M691&lt;&gt;1)),
IF(Import.TipoArredondamento&lt;&gt;"TransfereGOV",
ROUND(OFFSET($P691,0,AT$13),15-13*ORÇAMENTO!$AF$7)/$H691*OFFSET(ORÇAMENTO!$X$15,ROW(AT691)-ROW(AT$15),0),
ROUND(ROUND(OFFSET($P691,0,AT$13),15-13*ORÇAMENTO!$AF$7)*OFFSET(ORÇAMENTO!$W$15,ROW(AT691)-ROW(AT$15),0),15-13*ORÇAMENTO!$AF$11)),0)</f>
        <v>0</v>
      </c>
      <c r="AU691" s="545">
        <f ca="1">IF(AND($D691="Serviço",AU$12&lt;&gt;0,$H691&gt;0,OR(AUTOEVENTO&lt;&gt;"manual",$M691&lt;&gt;1)),
IF(Import.TipoArredondamento&lt;&gt;"TransfereGOV",
ROUND(OFFSET($P691,0,AU$13),15-13*ORÇAMENTO!$AF$7)/$H691*OFFSET(ORÇAMENTO!$X$15,ROW(AU691)-ROW(AU$15),0),
ROUND(ROUND(OFFSET($P691,0,AU$13),15-13*ORÇAMENTO!$AF$7)*OFFSET(ORÇAMENTO!$W$15,ROW(AU691)-ROW(AU$15),0),15-13*ORÇAMENTO!$AF$11)),0)</f>
        <v>0</v>
      </c>
      <c r="AV691" s="545">
        <f ca="1">IF(AND($D691="Serviço",AV$12&lt;&gt;0,$H691&gt;0,OR(AUTOEVENTO&lt;&gt;"manual",$M691&lt;&gt;1)),
IF(Import.TipoArredondamento&lt;&gt;"TransfereGOV",
ROUND(OFFSET($P691,0,AV$13),15-13*ORÇAMENTO!$AF$7)/$H691*OFFSET(ORÇAMENTO!$X$15,ROW(AV691)-ROW(AV$15),0),
ROUND(ROUND(OFFSET($P691,0,AV$13),15-13*ORÇAMENTO!$AF$7)*OFFSET(ORÇAMENTO!$W$15,ROW(AV691)-ROW(AV$15),0),15-13*ORÇAMENTO!$AF$11)),0)</f>
        <v>0</v>
      </c>
      <c r="AW691" s="545">
        <f ca="1">IF(AND($D691="Serviço",AW$12&lt;&gt;0,$H691&gt;0,OR(AUTOEVENTO&lt;&gt;"manual",$M691&lt;&gt;1)),
IF(Import.TipoArredondamento&lt;&gt;"TransfereGOV",
ROUND(OFFSET($P691,0,AW$13),15-13*ORÇAMENTO!$AF$7)/$H691*OFFSET(ORÇAMENTO!$X$15,ROW(AW691)-ROW(AW$15),0),
ROUND(ROUND(OFFSET($P691,0,AW$13),15-13*ORÇAMENTO!$AF$7)*OFFSET(ORÇAMENTO!$W$15,ROW(AW691)-ROW(AW$15),0),15-13*ORÇAMENTO!$AF$11)),0)</f>
        <v>0</v>
      </c>
      <c r="AX691" s="545">
        <f ca="1">IF(AND($D691="Serviço",AX$12&lt;&gt;0,$H691&gt;0,OR(AUTOEVENTO&lt;&gt;"manual",$M691&lt;&gt;1)),
IF(Import.TipoArredondamento&lt;&gt;"TransfereGOV",
ROUND(OFFSET($P691,0,AX$13),15-13*ORÇAMENTO!$AF$7)/$H691*OFFSET(ORÇAMENTO!$X$15,ROW(AX691)-ROW(AX$15),0),
ROUND(ROUND(OFFSET($P691,0,AX$13),15-13*ORÇAMENTO!$AF$7)*OFFSET(ORÇAMENTO!$W$15,ROW(AX691)-ROW(AX$15),0),15-13*ORÇAMENTO!$AF$11)),0)</f>
        <v>0</v>
      </c>
      <c r="AY691" s="545">
        <f ca="1">IF(AND($D691="Serviço",AY$12&lt;&gt;0,$H691&gt;0,OR(AUTOEVENTO&lt;&gt;"manual",$M691&lt;&gt;1)),
IF(Import.TipoArredondamento&lt;&gt;"TransfereGOV",
ROUND(OFFSET($P691,0,AY$13),15-13*ORÇAMENTO!$AF$7)/$H691*OFFSET(ORÇAMENTO!$X$15,ROW(AY691)-ROW(AY$15),0),
ROUND(ROUND(OFFSET($P691,0,AY$13),15-13*ORÇAMENTO!$AF$7)*OFFSET(ORÇAMENTO!$W$15,ROW(AY691)-ROW(AY$15),0),15-13*ORÇAMENTO!$AF$11)),0)</f>
        <v>0</v>
      </c>
      <c r="AZ691" s="545">
        <f ca="1">IF(AND($D691="Serviço",AZ$12&lt;&gt;0,$H691&gt;0,OR(AUTOEVENTO&lt;&gt;"manual",$M691&lt;&gt;1)),
IF(Import.TipoArredondamento&lt;&gt;"TransfereGOV",
ROUND(OFFSET($P691,0,AZ$13),15-13*ORÇAMENTO!$AF$7)/$H691*OFFSET(ORÇAMENTO!$X$15,ROW(AZ691)-ROW(AZ$15),0),
ROUND(ROUND(OFFSET($P691,0,AZ$13),15-13*ORÇAMENTO!$AF$7)*OFFSET(ORÇAMENTO!$W$15,ROW(AZ691)-ROW(AZ$15),0),15-13*ORÇAMENTO!$AF$11)),0)</f>
        <v>0</v>
      </c>
      <c r="BA691" s="546">
        <f ca="1">IF(AND($D691="Serviço",BA$12&lt;&gt;0,$H691&gt;0,OR(AUTOEVENTO&lt;&gt;"manual",$M691&lt;&gt;1)),
IF(Import.TipoArredondamento&lt;&gt;"TransfereGOV",
ROUND(OFFSET($P691,0,BA$13),15-13*ORÇAMENTO!$AF$7)/$H691*OFFSET(ORÇAMENTO!$X$15,ROW(BA691)-ROW(BA$15),0),
ROUND(ROUND(OFFSET($P691,0,BA$13),15-13*ORÇAMENTO!$AF$7)*OFFSET(ORÇAMENTO!$W$15,ROW(BA691)-ROW(BA$15),0),15-13*ORÇAMENTO!$AF$11)),0)</f>
        <v>0</v>
      </c>
      <c r="BC691" s="181">
        <f ca="1">IF($D691&lt;&gt;"Serviço",0,IF(AND(AUTOEVENTO="Manual",$M691=1),0,IF(OFFSET(CRONOPLE!$F$14,$M691,BC$13)="",10^12,OFFSET(CRONOPLE!$F$14,$M691,BC$13))))</f>
        <v>12</v>
      </c>
      <c r="BD691" s="181">
        <f ca="1">IF($D691&lt;&gt;"Serviço",0,IF(AND(AUTOEVENTO="Manual",$M691=1),0,IF(OFFSET(CRONOPLE!$F$14,$M691,BD$13)="",10^12,OFFSET(CRONOPLE!$F$14,$M691,BD$13))))</f>
        <v>1000000000000</v>
      </c>
      <c r="BE691" s="181">
        <f ca="1">IF($D691&lt;&gt;"Serviço",0,IF(AND(AUTOEVENTO="Manual",$M691=1),0,IF(OFFSET(CRONOPLE!$F$14,$M691,BE$13)="",10^12,OFFSET(CRONOPLE!$F$14,$M691,BE$13))))</f>
        <v>1000000000000</v>
      </c>
      <c r="BF691" s="181">
        <f ca="1">IF($D691&lt;&gt;"Serviço",0,IF(AND(AUTOEVENTO="Manual",$M691=1),0,IF(OFFSET(CRONOPLE!$F$14,$M691,BF$13)="",10^12,OFFSET(CRONOPLE!$F$14,$M691,BF$13))))</f>
        <v>1000000000000</v>
      </c>
      <c r="BG691" s="181">
        <f ca="1">IF($D691&lt;&gt;"Serviço",0,IF(AND(AUTOEVENTO="Manual",$M691=1),0,IF(OFFSET(CRONOPLE!$F$14,$M691,BG$13)="",10^12,OFFSET(CRONOPLE!$F$14,$M691,BG$13))))</f>
        <v>1000000000000</v>
      </c>
      <c r="BH691" s="181">
        <f ca="1">IF($D691&lt;&gt;"Serviço",0,IF(AND(AUTOEVENTO="Manual",$M691=1),0,IF(OFFSET(CRONOPLE!$F$14,$M691,BH$13)="",10^12,OFFSET(CRONOPLE!$F$14,$M691,BH$13))))</f>
        <v>1000000000000</v>
      </c>
      <c r="BI691" s="181">
        <f ca="1">IF($D691&lt;&gt;"Serviço",0,IF(AND(AUTOEVENTO="Manual",$M691=1),0,IF(OFFSET(CRONOPLE!$F$14,$M691,BI$13)="",10^12,OFFSET(CRONOPLE!$F$14,$M691,BI$13))))</f>
        <v>1000000000000</v>
      </c>
      <c r="BJ691" s="181">
        <f ca="1">IF($D691&lt;&gt;"Serviço",0,IF(AND(AUTOEVENTO="Manual",$M691=1),0,IF(OFFSET(CRONOPLE!$F$14,$M691,BJ$13)="",10^12,OFFSET(CRONOPLE!$F$14,$M691,BJ$13))))</f>
        <v>1000000000000</v>
      </c>
      <c r="BK691" s="181">
        <f ca="1">IF($D691&lt;&gt;"Serviço",0,IF(AND(AUTOEVENTO="Manual",$M691=1),0,IF(OFFSET(CRONOPLE!$F$14,$M691,BK$13)="",10^12,OFFSET(CRONOPLE!$F$14,$M691,BK$13))))</f>
        <v>1000000000000</v>
      </c>
      <c r="BL691" s="181">
        <f ca="1">IF($D691&lt;&gt;"Serviço",0,IF(AND(AUTOEVENTO="Manual",$M691=1),0,IF(OFFSET(CRONOPLE!$F$14,$M691,BL$13)="",10^12,OFFSET(CRONOPLE!$F$14,$M691,BL$13))))</f>
        <v>1000000000000</v>
      </c>
      <c r="BM691" s="181">
        <f ca="1">IF($D691&lt;&gt;"Serviço",0,IF(AND(AUTOEVENTO="Manual",$M691=1),0,IF(OFFSET(CRONOPLE!$F$14,$M691,BM$13)="",10^12,OFFSET(CRONOPLE!$F$14,$M691,BM$13))))</f>
        <v>1000000000000</v>
      </c>
      <c r="BN691" s="181">
        <f ca="1">IF($D691&lt;&gt;"Serviço",0,IF(AND(AUTOEVENTO="Manual",$M691=1),0,IF(OFFSET(CRONOPLE!$F$14,$M691,BN$13)="",10^12,OFFSET(CRONOPLE!$F$14,$M691,BN$13))))</f>
        <v>1000000000000</v>
      </c>
      <c r="BO691" s="181">
        <f ca="1">IF($D691&lt;&gt;"Serviço",0,IF(AND(AUTOEVENTO="Manual",$M691=1),0,IF(OFFSET(CRONOPLE!$F$14,$M691,BO$13)="",10^12,OFFSET(CRONOPLE!$F$14,$M691,BO$13))))</f>
        <v>1000000000000</v>
      </c>
      <c r="BP691" s="181">
        <f ca="1">IF($D691&lt;&gt;"Serviço",0,IF(AND(AUTOEVENTO="Manual",$M691=1),0,IF(OFFSET(CRONOPLE!$F$14,$M691,BP$13)="",10^12,OFFSET(CRONOPLE!$F$14,$M691,BP$13))))</f>
        <v>1000000000000</v>
      </c>
      <c r="BQ691" s="181">
        <f ca="1">IF($D691&lt;&gt;"Serviço",0,IF(AND(AUTOEVENTO="Manual",$M691=1),0,IF(OFFSET(CRONOPLE!$F$14,$M691,BQ$13)="",10^12,OFFSET(CRONOPLE!$F$14,$M691,BQ$13))))</f>
        <v>1000000000000</v>
      </c>
      <c r="BR691" s="181">
        <f ca="1">IF($D691&lt;&gt;"Serviço",0,IF(AND(AUTOEVENTO="Manual",$M691=1),0,IF(OFFSET(CRONOPLE!$F$14,$M691,BR$13)="",10^12,OFFSET(CRONOPLE!$F$14,$M691,BR$13))))</f>
        <v>1000000000000</v>
      </c>
      <c r="BS691" s="181">
        <f ca="1">IF($D691&lt;&gt;"Serviço",0,IF(AND(AUTOEVENTO="Manual",$M691=1),0,IF(OFFSET(CRONOPLE!$F$14,$M691,BS$13)="",10^12,OFFSET(CRONOPLE!$F$14,$M691,BS$13))))</f>
        <v>1000000000000</v>
      </c>
      <c r="BT691" s="181">
        <f ca="1">IF($D691&lt;&gt;"Serviço",0,IF(AND(AUTOEVENTO="Manual",$M691=1),0,IF(OFFSET(CRONOPLE!$F$14,$M691,BT$13)="",10^12,OFFSET(CRONOPLE!$F$14,$M691,BT$13))))</f>
        <v>1000000000000</v>
      </c>
      <c r="BV691" s="182">
        <f ca="1">IF($D691&lt;&gt;"Serviço",0,IF(OR(AND(AUTOEVENTO="Manual",$M691=1),$M691&gt;(ROW(PLE.lastrow)-ROW(PLE.firstrow))),0,IF(OFFSET(PLE!$G$14,$M691,BV$13)="",10^12,OFFSET(PLE!$G$14,$M691,BV$13))))</f>
        <v>1000000000000</v>
      </c>
      <c r="BW691" s="182">
        <f ca="1">IF($D691&lt;&gt;"Serviço",0,IF(OR(AND(AUTOEVENTO="Manual",$M691=1),$M691&gt;(ROW(PLE.lastrow)-ROW(PLE.firstrow))),0,IF(OFFSET(PLE!$G$14,$M691,BW$13)="",10^12,OFFSET(PLE!$G$14,$M691,BW$13))))</f>
        <v>1000000000000</v>
      </c>
      <c r="BX691" s="182">
        <f ca="1">IF($D691&lt;&gt;"Serviço",0,IF(OR(AND(AUTOEVENTO="Manual",$M691=1),$M691&gt;(ROW(PLE.lastrow)-ROW(PLE.firstrow))),0,IF(OFFSET(PLE!$G$14,$M691,BX$13)="",10^12,OFFSET(PLE!$G$14,$M691,BX$13))))</f>
        <v>1000000000000</v>
      </c>
      <c r="BY691" s="182">
        <f ca="1">IF($D691&lt;&gt;"Serviço",0,IF(OR(AND(AUTOEVENTO="Manual",$M691=1),$M691&gt;(ROW(PLE.lastrow)-ROW(PLE.firstrow))),0,IF(OFFSET(PLE!$G$14,$M691,BY$13)="",10^12,OFFSET(PLE!$G$14,$M691,BY$13))))</f>
        <v>1000000000000</v>
      </c>
      <c r="BZ691" s="182">
        <f ca="1">IF($D691&lt;&gt;"Serviço",0,IF(OR(AND(AUTOEVENTO="Manual",$M691=1),$M691&gt;(ROW(PLE.lastrow)-ROW(PLE.firstrow))),0,IF(OFFSET(PLE!$G$14,$M691,BZ$13)="",10^12,OFFSET(PLE!$G$14,$M691,BZ$13))))</f>
        <v>1000000000000</v>
      </c>
      <c r="CA691" s="182">
        <f ca="1">IF($D691&lt;&gt;"Serviço",0,IF(OR(AND(AUTOEVENTO="Manual",$M691=1),$M691&gt;(ROW(PLE.lastrow)-ROW(PLE.firstrow))),0,IF(OFFSET(PLE!$G$14,$M691,CA$13)="",10^12,OFFSET(PLE!$G$14,$M691,CA$13))))</f>
        <v>1000000000000</v>
      </c>
      <c r="CB691" s="182">
        <f ca="1">IF($D691&lt;&gt;"Serviço",0,IF(OR(AND(AUTOEVENTO="Manual",$M691=1),$M691&gt;(ROW(PLE.lastrow)-ROW(PLE.firstrow))),0,IF(OFFSET(PLE!$G$14,$M691,CB$13)="",10^12,OFFSET(PLE!$G$14,$M691,CB$13))))</f>
        <v>1000000000000</v>
      </c>
      <c r="CC691" s="182">
        <f ca="1">IF($D691&lt;&gt;"Serviço",0,IF(OR(AND(AUTOEVENTO="Manual",$M691=1),$M691&gt;(ROW(PLE.lastrow)-ROW(PLE.firstrow))),0,IF(OFFSET(PLE!$G$14,$M691,CC$13)="",10^12,OFFSET(PLE!$G$14,$M691,CC$13))))</f>
        <v>1000000000000</v>
      </c>
      <c r="CD691" s="182">
        <f ca="1">IF($D691&lt;&gt;"Serviço",0,IF(OR(AND(AUTOEVENTO="Manual",$M691=1),$M691&gt;(ROW(PLE.lastrow)-ROW(PLE.firstrow))),0,IF(OFFSET(PLE!$G$14,$M691,CD$13)="",10^12,OFFSET(PLE!$G$14,$M691,CD$13))))</f>
        <v>1000000000000</v>
      </c>
      <c r="CE691" s="182">
        <f ca="1">IF($D691&lt;&gt;"Serviço",0,IF(OR(AND(AUTOEVENTO="Manual",$M691=1),$M691&gt;(ROW(PLE.lastrow)-ROW(PLE.firstrow))),0,IF(OFFSET(PLE!$G$14,$M691,CE$13)="",10^12,OFFSET(PLE!$G$14,$M691,CE$13))))</f>
        <v>1000000000000</v>
      </c>
      <c r="CF691" s="182">
        <f ca="1">IF($D691&lt;&gt;"Serviço",0,IF(OR(AND(AUTOEVENTO="Manual",$M691=1),$M691&gt;(ROW(PLE.lastrow)-ROW(PLE.firstrow))),0,IF(OFFSET(PLE!$G$14,$M691,CF$13)="",10^12,OFFSET(PLE!$G$14,$M691,CF$13))))</f>
        <v>1000000000000</v>
      </c>
      <c r="CG691" s="182">
        <f ca="1">IF($D691&lt;&gt;"Serviço",0,IF(OR(AND(AUTOEVENTO="Manual",$M691=1),$M691&gt;(ROW(PLE.lastrow)-ROW(PLE.firstrow))),0,IF(OFFSET(PLE!$G$14,$M691,CG$13)="",10^12,OFFSET(PLE!$G$14,$M691,CG$13))))</f>
        <v>1000000000000</v>
      </c>
      <c r="CH691" s="182">
        <f ca="1">IF($D691&lt;&gt;"Serviço",0,IF(OR(AND(AUTOEVENTO="Manual",$M691=1),$M691&gt;(ROW(PLE.lastrow)-ROW(PLE.firstrow))),0,IF(OFFSET(PLE!$G$14,$M691,CH$13)="",10^12,OFFSET(PLE!$G$14,$M691,CH$13))))</f>
        <v>1000000000000</v>
      </c>
      <c r="CI691" s="182">
        <f ca="1">IF($D691&lt;&gt;"Serviço",0,IF(OR(AND(AUTOEVENTO="Manual",$M691=1),$M691&gt;(ROW(PLE.lastrow)-ROW(PLE.firstrow))),0,IF(OFFSET(PLE!$G$14,$M691,CI$13)="",10^12,OFFSET(PLE!$G$14,$M691,CI$13))))</f>
        <v>1000000000000</v>
      </c>
      <c r="CJ691" s="182">
        <f ca="1">IF($D691&lt;&gt;"Serviço",0,IF(OR(AND(AUTOEVENTO="Manual",$M691=1),$M691&gt;(ROW(PLE.lastrow)-ROW(PLE.firstrow))),0,IF(OFFSET(PLE!$G$14,$M691,CJ$13)="",10^12,OFFSET(PLE!$G$14,$M691,CJ$13))))</f>
        <v>1000000000000</v>
      </c>
      <c r="CK691" s="182">
        <f ca="1">IF($D691&lt;&gt;"Serviço",0,IF(OR(AND(AUTOEVENTO="Manual",$M691=1),$M691&gt;(ROW(PLE.lastrow)-ROW(PLE.firstrow))),0,IF(OFFSET(PLE!$G$14,$M691,CK$13)="",10^12,OFFSET(PLE!$G$14,$M691,CK$13))))</f>
        <v>1000000000000</v>
      </c>
      <c r="CL691" s="182">
        <f ca="1">IF($D691&lt;&gt;"Serviço",0,IF(OR(AND(AUTOEVENTO="Manual",$M691=1),$M691&gt;(ROW(PLE.lastrow)-ROW(PLE.firstrow))),0,IF(OFFSET(PLE!$G$14,$M691,CL$13)="",10^12,OFFSET(PLE!$G$14,$M691,CL$13))))</f>
        <v>1000000000000</v>
      </c>
      <c r="CM691" s="182">
        <f ca="1">IF($D691&lt;&gt;"Serviço",0,IF(OR(AND(AUTOEVENTO="Manual",$M691=1),$M691&gt;(ROW(PLE.lastrow)-ROW(PLE.firstrow))),0,IF(OFFSET(PLE!$G$14,$M691,CM$13)="",10^12,OFFSET(PLE!$G$14,$M691,CM$13))))</f>
        <v>1000000000000</v>
      </c>
    </row>
    <row r="692" spans="1:91" ht="38.25" x14ac:dyDescent="0.2">
      <c r="A692" s="7" t="str">
        <f t="shared" ca="1" si="19"/>
        <v>671</v>
      </c>
      <c r="B692" s="7" t="str">
        <f ca="1">OFFSET(ORÇAMENTO!C$15,ROW(B692)-ROW(B$15),0)</f>
        <v>S</v>
      </c>
      <c r="C692" s="7" t="str">
        <f ca="1">OFFSET(ORÇAMENTO!L$15,ROW(C692)-ROW(C$15),0)</f>
        <v/>
      </c>
      <c r="D692" s="118" t="str">
        <f ca="1">OFFSET(ORÇAMENTO!N$15,ROW(D692)-ROW(D$15),0)</f>
        <v>Serviço</v>
      </c>
      <c r="E692" s="119" t="str">
        <f ca="1">OFFSET(ORÇAMENTO!O$15,ROW(E692)-ROW(E$15),0)</f>
        <v>-</v>
      </c>
      <c r="F692" s="172" t="str">
        <f ca="1">OFFSET(ORÇAMENTO!R$15,ROW(F692)-ROW(F$15),0)</f>
        <v>(abra o arquivo 'Referência 06-2024.xlsm)</v>
      </c>
      <c r="G692" s="173" t="str">
        <f ca="1">IF($D692&lt;&gt;"Serviço","",OFFSET(ORÇAMENTO!S$15,ROW(G692)-ROW(G$15),0))</f>
        <v>-</v>
      </c>
      <c r="H692" s="124">
        <f ca="1">IF($D692&lt;&gt;"Serviço",0,IF(ACOMPANHAMENTO="BM",ROUND(OFFSET(ORÇAMENTO!AJ$15,ROW(H692)-ROW(H$15),0),15-13*ORÇAMENTO!$AF$7),SUMPRODUCT(($Q$12:$AI$12&lt;&gt;"")*ROUND($Q692:$AI692,15-13*ORÇAMENTO!$AF$7))))</f>
        <v>95.58</v>
      </c>
      <c r="I692" s="561" t="s">
        <v>1107</v>
      </c>
      <c r="K692" s="174"/>
      <c r="L692" s="175" t="s">
        <v>255</v>
      </c>
      <c r="M692" s="176">
        <f ca="1">IF($D692&lt;&gt;"Serviço","",IF(AUTOEVENTO="manual",$A692,IF(ISERROR(MATCH($A692,$A$15:OFFSET($A692,-1,0),0)),MAX($M$15:OFFSET(M692,-1,0))+1,INDEX($M$15:OFFSET(M692,-1,0),MATCH($A692,$A$15:OFFSET($A692,-1,0),0)))))</f>
        <v>75</v>
      </c>
      <c r="N692" s="177" t="str">
        <f ca="1">IF($D692&lt;&gt;"Serviço","",IF(AUTOEVENTO="Manual",IF($A692=0,"&lt;-- defina o número do agrupador",OFFSET(EVENTOS!$D$14,$A692,0)),OFFSET($F$15,$A692,0)))</f>
        <v>MURO DE FECHAMENTO - CONCRETO ARMADO PARA SAPATAS E BLOCOS</v>
      </c>
      <c r="O692" s="178"/>
      <c r="Q692" s="178">
        <v>95.58</v>
      </c>
      <c r="R692" s="179"/>
      <c r="S692" s="179"/>
      <c r="T692" s="179"/>
      <c r="U692" s="179"/>
      <c r="V692" s="179"/>
      <c r="W692" s="179"/>
      <c r="X692" s="179"/>
      <c r="Y692" s="179"/>
      <c r="Z692" s="180"/>
      <c r="AA692" s="179"/>
      <c r="AB692" s="179"/>
      <c r="AC692" s="179"/>
      <c r="AD692" s="179"/>
      <c r="AE692" s="179"/>
      <c r="AF692" s="179"/>
      <c r="AG692" s="179"/>
      <c r="AH692" s="180"/>
      <c r="AJ692" s="544">
        <f ca="1">IF(AND($D692="Serviço",AJ$12&lt;&gt;0,$H692&gt;0,OR(AUTOEVENTO&lt;&gt;"manual",$M692&lt;&gt;1)),
IF(Import.TipoArredondamento&lt;&gt;"TransfereGOV",
ROUND(OFFSET($P692,0,AJ$13),15-13*ORÇAMENTO!$AF$7)/$H692*OFFSET(ORÇAMENTO!$X$15,ROW(AJ692)-ROW(AJ$15),0),
ROUND(ROUND(OFFSET($P692,0,AJ$13),15-13*ORÇAMENTO!$AF$7)*OFFSET(ORÇAMENTO!$W$15,ROW(AJ692)-ROW(AJ$15),0),15-13*ORÇAMENTO!$AF$11)),0)</f>
        <v>0</v>
      </c>
      <c r="AK692" s="545">
        <f ca="1">IF(AND($D692="Serviço",AK$12&lt;&gt;0,$H692&gt;0,OR(AUTOEVENTO&lt;&gt;"manual",$M692&lt;&gt;1)),
IF(Import.TipoArredondamento&lt;&gt;"TransfereGOV",
ROUND(OFFSET($P692,0,AK$13),15-13*ORÇAMENTO!$AF$7)/$H692*OFFSET(ORÇAMENTO!$X$15,ROW(AK692)-ROW(AK$15),0),
ROUND(ROUND(OFFSET($P692,0,AK$13),15-13*ORÇAMENTO!$AF$7)*OFFSET(ORÇAMENTO!$W$15,ROW(AK692)-ROW(AK$15),0),15-13*ORÇAMENTO!$AF$11)),0)</f>
        <v>0</v>
      </c>
      <c r="AL692" s="545">
        <f ca="1">IF(AND($D692="Serviço",AL$12&lt;&gt;0,$H692&gt;0,OR(AUTOEVENTO&lt;&gt;"manual",$M692&lt;&gt;1)),
IF(Import.TipoArredondamento&lt;&gt;"TransfereGOV",
ROUND(OFFSET($P692,0,AL$13),15-13*ORÇAMENTO!$AF$7)/$H692*OFFSET(ORÇAMENTO!$X$15,ROW(AL692)-ROW(AL$15),0),
ROUND(ROUND(OFFSET($P692,0,AL$13),15-13*ORÇAMENTO!$AF$7)*OFFSET(ORÇAMENTO!$W$15,ROW(AL692)-ROW(AL$15),0),15-13*ORÇAMENTO!$AF$11)),0)</f>
        <v>0</v>
      </c>
      <c r="AM692" s="545">
        <f ca="1">IF(AND($D692="Serviço",AM$12&lt;&gt;0,$H692&gt;0,OR(AUTOEVENTO&lt;&gt;"manual",$M692&lt;&gt;1)),
IF(Import.TipoArredondamento&lt;&gt;"TransfereGOV",
ROUND(OFFSET($P692,0,AM$13),15-13*ORÇAMENTO!$AF$7)/$H692*OFFSET(ORÇAMENTO!$X$15,ROW(AM692)-ROW(AM$15),0),
ROUND(ROUND(OFFSET($P692,0,AM$13),15-13*ORÇAMENTO!$AF$7)*OFFSET(ORÇAMENTO!$W$15,ROW(AM692)-ROW(AM$15),0),15-13*ORÇAMENTO!$AF$11)),0)</f>
        <v>0</v>
      </c>
      <c r="AN692" s="545">
        <f ca="1">IF(AND($D692="Serviço",AN$12&lt;&gt;0,$H692&gt;0,OR(AUTOEVENTO&lt;&gt;"manual",$M692&lt;&gt;1)),
IF(Import.TipoArredondamento&lt;&gt;"TransfereGOV",
ROUND(OFFSET($P692,0,AN$13),15-13*ORÇAMENTO!$AF$7)/$H692*OFFSET(ORÇAMENTO!$X$15,ROW(AN692)-ROW(AN$15),0),
ROUND(ROUND(OFFSET($P692,0,AN$13),15-13*ORÇAMENTO!$AF$7)*OFFSET(ORÇAMENTO!$W$15,ROW(AN692)-ROW(AN$15),0),15-13*ORÇAMENTO!$AF$11)),0)</f>
        <v>0</v>
      </c>
      <c r="AO692" s="545">
        <f ca="1">IF(AND($D692="Serviço",AO$12&lt;&gt;0,$H692&gt;0,OR(AUTOEVENTO&lt;&gt;"manual",$M692&lt;&gt;1)),
IF(Import.TipoArredondamento&lt;&gt;"TransfereGOV",
ROUND(OFFSET($P692,0,AO$13),15-13*ORÇAMENTO!$AF$7)/$H692*OFFSET(ORÇAMENTO!$X$15,ROW(AO692)-ROW(AO$15),0),
ROUND(ROUND(OFFSET($P692,0,AO$13),15-13*ORÇAMENTO!$AF$7)*OFFSET(ORÇAMENTO!$W$15,ROW(AO692)-ROW(AO$15),0),15-13*ORÇAMENTO!$AF$11)),0)</f>
        <v>0</v>
      </c>
      <c r="AP692" s="545">
        <f ca="1">IF(AND($D692="Serviço",AP$12&lt;&gt;0,$H692&gt;0,OR(AUTOEVENTO&lt;&gt;"manual",$M692&lt;&gt;1)),
IF(Import.TipoArredondamento&lt;&gt;"TransfereGOV",
ROUND(OFFSET($P692,0,AP$13),15-13*ORÇAMENTO!$AF$7)/$H692*OFFSET(ORÇAMENTO!$X$15,ROW(AP692)-ROW(AP$15),0),
ROUND(ROUND(OFFSET($P692,0,AP$13),15-13*ORÇAMENTO!$AF$7)*OFFSET(ORÇAMENTO!$W$15,ROW(AP692)-ROW(AP$15),0),15-13*ORÇAMENTO!$AF$11)),0)</f>
        <v>0</v>
      </c>
      <c r="AQ692" s="545">
        <f ca="1">IF(AND($D692="Serviço",AQ$12&lt;&gt;0,$H692&gt;0,OR(AUTOEVENTO&lt;&gt;"manual",$M692&lt;&gt;1)),
IF(Import.TipoArredondamento&lt;&gt;"TransfereGOV",
ROUND(OFFSET($P692,0,AQ$13),15-13*ORÇAMENTO!$AF$7)/$H692*OFFSET(ORÇAMENTO!$X$15,ROW(AQ692)-ROW(AQ$15),0),
ROUND(ROUND(OFFSET($P692,0,AQ$13),15-13*ORÇAMENTO!$AF$7)*OFFSET(ORÇAMENTO!$W$15,ROW(AQ692)-ROW(AQ$15),0),15-13*ORÇAMENTO!$AF$11)),0)</f>
        <v>0</v>
      </c>
      <c r="AR692" s="545">
        <f ca="1">IF(AND($D692="Serviço",AR$12&lt;&gt;0,$H692&gt;0,OR(AUTOEVENTO&lt;&gt;"manual",$M692&lt;&gt;1)),
IF(Import.TipoArredondamento&lt;&gt;"TransfereGOV",
ROUND(OFFSET($P692,0,AR$13),15-13*ORÇAMENTO!$AF$7)/$H692*OFFSET(ORÇAMENTO!$X$15,ROW(AR692)-ROW(AR$15),0),
ROUND(ROUND(OFFSET($P692,0,AR$13),15-13*ORÇAMENTO!$AF$7)*OFFSET(ORÇAMENTO!$W$15,ROW(AR692)-ROW(AR$15),0),15-13*ORÇAMENTO!$AF$11)),0)</f>
        <v>0</v>
      </c>
      <c r="AS692" s="546">
        <f ca="1">IF(AND($D692="Serviço",AS$12&lt;&gt;0,$H692&gt;0,OR(AUTOEVENTO&lt;&gt;"manual",$M692&lt;&gt;1)),
IF(Import.TipoArredondamento&lt;&gt;"TransfereGOV",
ROUND(OFFSET($P692,0,AS$13),15-13*ORÇAMENTO!$AF$7)/$H692*OFFSET(ORÇAMENTO!$X$15,ROW(AS692)-ROW(AS$15),0),
ROUND(ROUND(OFFSET($P692,0,AS$13),15-13*ORÇAMENTO!$AF$7)*OFFSET(ORÇAMENTO!$W$15,ROW(AS692)-ROW(AS$15),0),15-13*ORÇAMENTO!$AF$11)),0)</f>
        <v>0</v>
      </c>
      <c r="AT692" s="545">
        <f ca="1">IF(AND($D692="Serviço",AT$12&lt;&gt;0,$H692&gt;0,OR(AUTOEVENTO&lt;&gt;"manual",$M692&lt;&gt;1)),
IF(Import.TipoArredondamento&lt;&gt;"TransfereGOV",
ROUND(OFFSET($P692,0,AT$13),15-13*ORÇAMENTO!$AF$7)/$H692*OFFSET(ORÇAMENTO!$X$15,ROW(AT692)-ROW(AT$15),0),
ROUND(ROUND(OFFSET($P692,0,AT$13),15-13*ORÇAMENTO!$AF$7)*OFFSET(ORÇAMENTO!$W$15,ROW(AT692)-ROW(AT$15),0),15-13*ORÇAMENTO!$AF$11)),0)</f>
        <v>0</v>
      </c>
      <c r="AU692" s="545">
        <f ca="1">IF(AND($D692="Serviço",AU$12&lt;&gt;0,$H692&gt;0,OR(AUTOEVENTO&lt;&gt;"manual",$M692&lt;&gt;1)),
IF(Import.TipoArredondamento&lt;&gt;"TransfereGOV",
ROUND(OFFSET($P692,0,AU$13),15-13*ORÇAMENTO!$AF$7)/$H692*OFFSET(ORÇAMENTO!$X$15,ROW(AU692)-ROW(AU$15),0),
ROUND(ROUND(OFFSET($P692,0,AU$13),15-13*ORÇAMENTO!$AF$7)*OFFSET(ORÇAMENTO!$W$15,ROW(AU692)-ROW(AU$15),0),15-13*ORÇAMENTO!$AF$11)),0)</f>
        <v>0</v>
      </c>
      <c r="AV692" s="545">
        <f ca="1">IF(AND($D692="Serviço",AV$12&lt;&gt;0,$H692&gt;0,OR(AUTOEVENTO&lt;&gt;"manual",$M692&lt;&gt;1)),
IF(Import.TipoArredondamento&lt;&gt;"TransfereGOV",
ROUND(OFFSET($P692,0,AV$13),15-13*ORÇAMENTO!$AF$7)/$H692*OFFSET(ORÇAMENTO!$X$15,ROW(AV692)-ROW(AV$15),0),
ROUND(ROUND(OFFSET($P692,0,AV$13),15-13*ORÇAMENTO!$AF$7)*OFFSET(ORÇAMENTO!$W$15,ROW(AV692)-ROW(AV$15),0),15-13*ORÇAMENTO!$AF$11)),0)</f>
        <v>0</v>
      </c>
      <c r="AW692" s="545">
        <f ca="1">IF(AND($D692="Serviço",AW$12&lt;&gt;0,$H692&gt;0,OR(AUTOEVENTO&lt;&gt;"manual",$M692&lt;&gt;1)),
IF(Import.TipoArredondamento&lt;&gt;"TransfereGOV",
ROUND(OFFSET($P692,0,AW$13),15-13*ORÇAMENTO!$AF$7)/$H692*OFFSET(ORÇAMENTO!$X$15,ROW(AW692)-ROW(AW$15),0),
ROUND(ROUND(OFFSET($P692,0,AW$13),15-13*ORÇAMENTO!$AF$7)*OFFSET(ORÇAMENTO!$W$15,ROW(AW692)-ROW(AW$15),0),15-13*ORÇAMENTO!$AF$11)),0)</f>
        <v>0</v>
      </c>
      <c r="AX692" s="545">
        <f ca="1">IF(AND($D692="Serviço",AX$12&lt;&gt;0,$H692&gt;0,OR(AUTOEVENTO&lt;&gt;"manual",$M692&lt;&gt;1)),
IF(Import.TipoArredondamento&lt;&gt;"TransfereGOV",
ROUND(OFFSET($P692,0,AX$13),15-13*ORÇAMENTO!$AF$7)/$H692*OFFSET(ORÇAMENTO!$X$15,ROW(AX692)-ROW(AX$15),0),
ROUND(ROUND(OFFSET($P692,0,AX$13),15-13*ORÇAMENTO!$AF$7)*OFFSET(ORÇAMENTO!$W$15,ROW(AX692)-ROW(AX$15),0),15-13*ORÇAMENTO!$AF$11)),0)</f>
        <v>0</v>
      </c>
      <c r="AY692" s="545">
        <f ca="1">IF(AND($D692="Serviço",AY$12&lt;&gt;0,$H692&gt;0,OR(AUTOEVENTO&lt;&gt;"manual",$M692&lt;&gt;1)),
IF(Import.TipoArredondamento&lt;&gt;"TransfereGOV",
ROUND(OFFSET($P692,0,AY$13),15-13*ORÇAMENTO!$AF$7)/$H692*OFFSET(ORÇAMENTO!$X$15,ROW(AY692)-ROW(AY$15),0),
ROUND(ROUND(OFFSET($P692,0,AY$13),15-13*ORÇAMENTO!$AF$7)*OFFSET(ORÇAMENTO!$W$15,ROW(AY692)-ROW(AY$15),0),15-13*ORÇAMENTO!$AF$11)),0)</f>
        <v>0</v>
      </c>
      <c r="AZ692" s="545">
        <f ca="1">IF(AND($D692="Serviço",AZ$12&lt;&gt;0,$H692&gt;0,OR(AUTOEVENTO&lt;&gt;"manual",$M692&lt;&gt;1)),
IF(Import.TipoArredondamento&lt;&gt;"TransfereGOV",
ROUND(OFFSET($P692,0,AZ$13),15-13*ORÇAMENTO!$AF$7)/$H692*OFFSET(ORÇAMENTO!$X$15,ROW(AZ692)-ROW(AZ$15),0),
ROUND(ROUND(OFFSET($P692,0,AZ$13),15-13*ORÇAMENTO!$AF$7)*OFFSET(ORÇAMENTO!$W$15,ROW(AZ692)-ROW(AZ$15),0),15-13*ORÇAMENTO!$AF$11)),0)</f>
        <v>0</v>
      </c>
      <c r="BA692" s="546">
        <f ca="1">IF(AND($D692="Serviço",BA$12&lt;&gt;0,$H692&gt;0,OR(AUTOEVENTO&lt;&gt;"manual",$M692&lt;&gt;1)),
IF(Import.TipoArredondamento&lt;&gt;"TransfereGOV",
ROUND(OFFSET($P692,0,BA$13),15-13*ORÇAMENTO!$AF$7)/$H692*OFFSET(ORÇAMENTO!$X$15,ROW(BA692)-ROW(BA$15),0),
ROUND(ROUND(OFFSET($P692,0,BA$13),15-13*ORÇAMENTO!$AF$7)*OFFSET(ORÇAMENTO!$W$15,ROW(BA692)-ROW(BA$15),0),15-13*ORÇAMENTO!$AF$11)),0)</f>
        <v>0</v>
      </c>
      <c r="BC692" s="181">
        <f ca="1">IF($D692&lt;&gt;"Serviço",0,IF(AND(AUTOEVENTO="Manual",$M692=1),0,IF(OFFSET(CRONOPLE!$F$14,$M692,BC$13)="",10^12,OFFSET(CRONOPLE!$F$14,$M692,BC$13))))</f>
        <v>12</v>
      </c>
      <c r="BD692" s="181">
        <f ca="1">IF($D692&lt;&gt;"Serviço",0,IF(AND(AUTOEVENTO="Manual",$M692=1),0,IF(OFFSET(CRONOPLE!$F$14,$M692,BD$13)="",10^12,OFFSET(CRONOPLE!$F$14,$M692,BD$13))))</f>
        <v>1000000000000</v>
      </c>
      <c r="BE692" s="181">
        <f ca="1">IF($D692&lt;&gt;"Serviço",0,IF(AND(AUTOEVENTO="Manual",$M692=1),0,IF(OFFSET(CRONOPLE!$F$14,$M692,BE$13)="",10^12,OFFSET(CRONOPLE!$F$14,$M692,BE$13))))</f>
        <v>1000000000000</v>
      </c>
      <c r="BF692" s="181">
        <f ca="1">IF($D692&lt;&gt;"Serviço",0,IF(AND(AUTOEVENTO="Manual",$M692=1),0,IF(OFFSET(CRONOPLE!$F$14,$M692,BF$13)="",10^12,OFFSET(CRONOPLE!$F$14,$M692,BF$13))))</f>
        <v>1000000000000</v>
      </c>
      <c r="BG692" s="181">
        <f ca="1">IF($D692&lt;&gt;"Serviço",0,IF(AND(AUTOEVENTO="Manual",$M692=1),0,IF(OFFSET(CRONOPLE!$F$14,$M692,BG$13)="",10^12,OFFSET(CRONOPLE!$F$14,$M692,BG$13))))</f>
        <v>1000000000000</v>
      </c>
      <c r="BH692" s="181">
        <f ca="1">IF($D692&lt;&gt;"Serviço",0,IF(AND(AUTOEVENTO="Manual",$M692=1),0,IF(OFFSET(CRONOPLE!$F$14,$M692,BH$13)="",10^12,OFFSET(CRONOPLE!$F$14,$M692,BH$13))))</f>
        <v>1000000000000</v>
      </c>
      <c r="BI692" s="181">
        <f ca="1">IF($D692&lt;&gt;"Serviço",0,IF(AND(AUTOEVENTO="Manual",$M692=1),0,IF(OFFSET(CRONOPLE!$F$14,$M692,BI$13)="",10^12,OFFSET(CRONOPLE!$F$14,$M692,BI$13))))</f>
        <v>1000000000000</v>
      </c>
      <c r="BJ692" s="181">
        <f ca="1">IF($D692&lt;&gt;"Serviço",0,IF(AND(AUTOEVENTO="Manual",$M692=1),0,IF(OFFSET(CRONOPLE!$F$14,$M692,BJ$13)="",10^12,OFFSET(CRONOPLE!$F$14,$M692,BJ$13))))</f>
        <v>1000000000000</v>
      </c>
      <c r="BK692" s="181">
        <f ca="1">IF($D692&lt;&gt;"Serviço",0,IF(AND(AUTOEVENTO="Manual",$M692=1),0,IF(OFFSET(CRONOPLE!$F$14,$M692,BK$13)="",10^12,OFFSET(CRONOPLE!$F$14,$M692,BK$13))))</f>
        <v>1000000000000</v>
      </c>
      <c r="BL692" s="181">
        <f ca="1">IF($D692&lt;&gt;"Serviço",0,IF(AND(AUTOEVENTO="Manual",$M692=1),0,IF(OFFSET(CRONOPLE!$F$14,$M692,BL$13)="",10^12,OFFSET(CRONOPLE!$F$14,$M692,BL$13))))</f>
        <v>1000000000000</v>
      </c>
      <c r="BM692" s="181">
        <f ca="1">IF($D692&lt;&gt;"Serviço",0,IF(AND(AUTOEVENTO="Manual",$M692=1),0,IF(OFFSET(CRONOPLE!$F$14,$M692,BM$13)="",10^12,OFFSET(CRONOPLE!$F$14,$M692,BM$13))))</f>
        <v>1000000000000</v>
      </c>
      <c r="BN692" s="181">
        <f ca="1">IF($D692&lt;&gt;"Serviço",0,IF(AND(AUTOEVENTO="Manual",$M692=1),0,IF(OFFSET(CRONOPLE!$F$14,$M692,BN$13)="",10^12,OFFSET(CRONOPLE!$F$14,$M692,BN$13))))</f>
        <v>1000000000000</v>
      </c>
      <c r="BO692" s="181">
        <f ca="1">IF($D692&lt;&gt;"Serviço",0,IF(AND(AUTOEVENTO="Manual",$M692=1),0,IF(OFFSET(CRONOPLE!$F$14,$M692,BO$13)="",10^12,OFFSET(CRONOPLE!$F$14,$M692,BO$13))))</f>
        <v>1000000000000</v>
      </c>
      <c r="BP692" s="181">
        <f ca="1">IF($D692&lt;&gt;"Serviço",0,IF(AND(AUTOEVENTO="Manual",$M692=1),0,IF(OFFSET(CRONOPLE!$F$14,$M692,BP$13)="",10^12,OFFSET(CRONOPLE!$F$14,$M692,BP$13))))</f>
        <v>1000000000000</v>
      </c>
      <c r="BQ692" s="181">
        <f ca="1">IF($D692&lt;&gt;"Serviço",0,IF(AND(AUTOEVENTO="Manual",$M692=1),0,IF(OFFSET(CRONOPLE!$F$14,$M692,BQ$13)="",10^12,OFFSET(CRONOPLE!$F$14,$M692,BQ$13))))</f>
        <v>1000000000000</v>
      </c>
      <c r="BR692" s="181">
        <f ca="1">IF($D692&lt;&gt;"Serviço",0,IF(AND(AUTOEVENTO="Manual",$M692=1),0,IF(OFFSET(CRONOPLE!$F$14,$M692,BR$13)="",10^12,OFFSET(CRONOPLE!$F$14,$M692,BR$13))))</f>
        <v>1000000000000</v>
      </c>
      <c r="BS692" s="181">
        <f ca="1">IF($D692&lt;&gt;"Serviço",0,IF(AND(AUTOEVENTO="Manual",$M692=1),0,IF(OFFSET(CRONOPLE!$F$14,$M692,BS$13)="",10^12,OFFSET(CRONOPLE!$F$14,$M692,BS$13))))</f>
        <v>1000000000000</v>
      </c>
      <c r="BT692" s="181">
        <f ca="1">IF($D692&lt;&gt;"Serviço",0,IF(AND(AUTOEVENTO="Manual",$M692=1),0,IF(OFFSET(CRONOPLE!$F$14,$M692,BT$13)="",10^12,OFFSET(CRONOPLE!$F$14,$M692,BT$13))))</f>
        <v>1000000000000</v>
      </c>
      <c r="BV692" s="182">
        <f ca="1">IF($D692&lt;&gt;"Serviço",0,IF(OR(AND(AUTOEVENTO="Manual",$M692=1),$M692&gt;(ROW(PLE.lastrow)-ROW(PLE.firstrow))),0,IF(OFFSET(PLE!$G$14,$M692,BV$13)="",10^12,OFFSET(PLE!$G$14,$M692,BV$13))))</f>
        <v>1000000000000</v>
      </c>
      <c r="BW692" s="182">
        <f ca="1">IF($D692&lt;&gt;"Serviço",0,IF(OR(AND(AUTOEVENTO="Manual",$M692=1),$M692&gt;(ROW(PLE.lastrow)-ROW(PLE.firstrow))),0,IF(OFFSET(PLE!$G$14,$M692,BW$13)="",10^12,OFFSET(PLE!$G$14,$M692,BW$13))))</f>
        <v>1000000000000</v>
      </c>
      <c r="BX692" s="182">
        <f ca="1">IF($D692&lt;&gt;"Serviço",0,IF(OR(AND(AUTOEVENTO="Manual",$M692=1),$M692&gt;(ROW(PLE.lastrow)-ROW(PLE.firstrow))),0,IF(OFFSET(PLE!$G$14,$M692,BX$13)="",10^12,OFFSET(PLE!$G$14,$M692,BX$13))))</f>
        <v>1000000000000</v>
      </c>
      <c r="BY692" s="182">
        <f ca="1">IF($D692&lt;&gt;"Serviço",0,IF(OR(AND(AUTOEVENTO="Manual",$M692=1),$M692&gt;(ROW(PLE.lastrow)-ROW(PLE.firstrow))),0,IF(OFFSET(PLE!$G$14,$M692,BY$13)="",10^12,OFFSET(PLE!$G$14,$M692,BY$13))))</f>
        <v>1000000000000</v>
      </c>
      <c r="BZ692" s="182">
        <f ca="1">IF($D692&lt;&gt;"Serviço",0,IF(OR(AND(AUTOEVENTO="Manual",$M692=1),$M692&gt;(ROW(PLE.lastrow)-ROW(PLE.firstrow))),0,IF(OFFSET(PLE!$G$14,$M692,BZ$13)="",10^12,OFFSET(PLE!$G$14,$M692,BZ$13))))</f>
        <v>1000000000000</v>
      </c>
      <c r="CA692" s="182">
        <f ca="1">IF($D692&lt;&gt;"Serviço",0,IF(OR(AND(AUTOEVENTO="Manual",$M692=1),$M692&gt;(ROW(PLE.lastrow)-ROW(PLE.firstrow))),0,IF(OFFSET(PLE!$G$14,$M692,CA$13)="",10^12,OFFSET(PLE!$G$14,$M692,CA$13))))</f>
        <v>1000000000000</v>
      </c>
      <c r="CB692" s="182">
        <f ca="1">IF($D692&lt;&gt;"Serviço",0,IF(OR(AND(AUTOEVENTO="Manual",$M692=1),$M692&gt;(ROW(PLE.lastrow)-ROW(PLE.firstrow))),0,IF(OFFSET(PLE!$G$14,$M692,CB$13)="",10^12,OFFSET(PLE!$G$14,$M692,CB$13))))</f>
        <v>1000000000000</v>
      </c>
      <c r="CC692" s="182">
        <f ca="1">IF($D692&lt;&gt;"Serviço",0,IF(OR(AND(AUTOEVENTO="Manual",$M692=1),$M692&gt;(ROW(PLE.lastrow)-ROW(PLE.firstrow))),0,IF(OFFSET(PLE!$G$14,$M692,CC$13)="",10^12,OFFSET(PLE!$G$14,$M692,CC$13))))</f>
        <v>1000000000000</v>
      </c>
      <c r="CD692" s="182">
        <f ca="1">IF($D692&lt;&gt;"Serviço",0,IF(OR(AND(AUTOEVENTO="Manual",$M692=1),$M692&gt;(ROW(PLE.lastrow)-ROW(PLE.firstrow))),0,IF(OFFSET(PLE!$G$14,$M692,CD$13)="",10^12,OFFSET(PLE!$G$14,$M692,CD$13))))</f>
        <v>1000000000000</v>
      </c>
      <c r="CE692" s="182">
        <f ca="1">IF($D692&lt;&gt;"Serviço",0,IF(OR(AND(AUTOEVENTO="Manual",$M692=1),$M692&gt;(ROW(PLE.lastrow)-ROW(PLE.firstrow))),0,IF(OFFSET(PLE!$G$14,$M692,CE$13)="",10^12,OFFSET(PLE!$G$14,$M692,CE$13))))</f>
        <v>1000000000000</v>
      </c>
      <c r="CF692" s="182">
        <f ca="1">IF($D692&lt;&gt;"Serviço",0,IF(OR(AND(AUTOEVENTO="Manual",$M692=1),$M692&gt;(ROW(PLE.lastrow)-ROW(PLE.firstrow))),0,IF(OFFSET(PLE!$G$14,$M692,CF$13)="",10^12,OFFSET(PLE!$G$14,$M692,CF$13))))</f>
        <v>1000000000000</v>
      </c>
      <c r="CG692" s="182">
        <f ca="1">IF($D692&lt;&gt;"Serviço",0,IF(OR(AND(AUTOEVENTO="Manual",$M692=1),$M692&gt;(ROW(PLE.lastrow)-ROW(PLE.firstrow))),0,IF(OFFSET(PLE!$G$14,$M692,CG$13)="",10^12,OFFSET(PLE!$G$14,$M692,CG$13))))</f>
        <v>1000000000000</v>
      </c>
      <c r="CH692" s="182">
        <f ca="1">IF($D692&lt;&gt;"Serviço",0,IF(OR(AND(AUTOEVENTO="Manual",$M692=1),$M692&gt;(ROW(PLE.lastrow)-ROW(PLE.firstrow))),0,IF(OFFSET(PLE!$G$14,$M692,CH$13)="",10^12,OFFSET(PLE!$G$14,$M692,CH$13))))</f>
        <v>1000000000000</v>
      </c>
      <c r="CI692" s="182">
        <f ca="1">IF($D692&lt;&gt;"Serviço",0,IF(OR(AND(AUTOEVENTO="Manual",$M692=1),$M692&gt;(ROW(PLE.lastrow)-ROW(PLE.firstrow))),0,IF(OFFSET(PLE!$G$14,$M692,CI$13)="",10^12,OFFSET(PLE!$G$14,$M692,CI$13))))</f>
        <v>1000000000000</v>
      </c>
      <c r="CJ692" s="182">
        <f ca="1">IF($D692&lt;&gt;"Serviço",0,IF(OR(AND(AUTOEVENTO="Manual",$M692=1),$M692&gt;(ROW(PLE.lastrow)-ROW(PLE.firstrow))),0,IF(OFFSET(PLE!$G$14,$M692,CJ$13)="",10^12,OFFSET(PLE!$G$14,$M692,CJ$13))))</f>
        <v>1000000000000</v>
      </c>
      <c r="CK692" s="182">
        <f ca="1">IF($D692&lt;&gt;"Serviço",0,IF(OR(AND(AUTOEVENTO="Manual",$M692=1),$M692&gt;(ROW(PLE.lastrow)-ROW(PLE.firstrow))),0,IF(OFFSET(PLE!$G$14,$M692,CK$13)="",10^12,OFFSET(PLE!$G$14,$M692,CK$13))))</f>
        <v>1000000000000</v>
      </c>
      <c r="CL692" s="182">
        <f ca="1">IF($D692&lt;&gt;"Serviço",0,IF(OR(AND(AUTOEVENTO="Manual",$M692=1),$M692&gt;(ROW(PLE.lastrow)-ROW(PLE.firstrow))),0,IF(OFFSET(PLE!$G$14,$M692,CL$13)="",10^12,OFFSET(PLE!$G$14,$M692,CL$13))))</f>
        <v>1000000000000</v>
      </c>
      <c r="CM692" s="182">
        <f ca="1">IF($D692&lt;&gt;"Serviço",0,IF(OR(AND(AUTOEVENTO="Manual",$M692=1),$M692&gt;(ROW(PLE.lastrow)-ROW(PLE.firstrow))),0,IF(OFFSET(PLE!$G$14,$M692,CM$13)="",10^12,OFFSET(PLE!$G$14,$M692,CM$13))))</f>
        <v>1000000000000</v>
      </c>
    </row>
    <row r="693" spans="1:91" ht="38.25" x14ac:dyDescent="0.2">
      <c r="A693" s="7" t="str">
        <f t="shared" ca="1" si="19"/>
        <v>671</v>
      </c>
      <c r="B693" s="7" t="str">
        <f ca="1">OFFSET(ORÇAMENTO!C$15,ROW(B693)-ROW(B$15),0)</f>
        <v>S</v>
      </c>
      <c r="C693" s="7" t="str">
        <f ca="1">OFFSET(ORÇAMENTO!L$15,ROW(C693)-ROW(C$15),0)</f>
        <v/>
      </c>
      <c r="D693" s="118" t="str">
        <f ca="1">OFFSET(ORÇAMENTO!N$15,ROW(D693)-ROW(D$15),0)</f>
        <v>Serviço</v>
      </c>
      <c r="E693" s="119" t="str">
        <f ca="1">OFFSET(ORÇAMENTO!O$15,ROW(E693)-ROW(E$15),0)</f>
        <v>-</v>
      </c>
      <c r="F693" s="172" t="str">
        <f ca="1">OFFSET(ORÇAMENTO!R$15,ROW(F693)-ROW(F$15),0)</f>
        <v>(abra o arquivo 'Referência 06-2024.xlsm)</v>
      </c>
      <c r="G693" s="173" t="str">
        <f ca="1">IF($D693&lt;&gt;"Serviço","",OFFSET(ORÇAMENTO!S$15,ROW(G693)-ROW(G$15),0))</f>
        <v>-</v>
      </c>
      <c r="H693" s="124">
        <f ca="1">IF($D693&lt;&gt;"Serviço",0,IF(ACOMPANHAMENTO="BM",ROUND(OFFSET(ORÇAMENTO!AJ$15,ROW(H693)-ROW(H$15),0),15-13*ORÇAMENTO!$AF$7),SUMPRODUCT(($Q$12:$AI$12&lt;&gt;"")*ROUND($Q693:$AI693,15-13*ORÇAMENTO!$AF$7))))</f>
        <v>14.55</v>
      </c>
      <c r="I693" s="561" t="s">
        <v>1107</v>
      </c>
      <c r="K693" s="174"/>
      <c r="L693" s="175" t="s">
        <v>255</v>
      </c>
      <c r="M693" s="176">
        <f ca="1">IF($D693&lt;&gt;"Serviço","",IF(AUTOEVENTO="manual",$A693,IF(ISERROR(MATCH($A693,$A$15:OFFSET($A693,-1,0),0)),MAX($M$15:OFFSET(M693,-1,0))+1,INDEX($M$15:OFFSET(M693,-1,0),MATCH($A693,$A$15:OFFSET($A693,-1,0),0)))))</f>
        <v>75</v>
      </c>
      <c r="N693" s="177" t="str">
        <f ca="1">IF($D693&lt;&gt;"Serviço","",IF(AUTOEVENTO="Manual",IF($A693=0,"&lt;-- defina o número do agrupador",OFFSET(EVENTOS!$D$14,$A693,0)),OFFSET($F$15,$A693,0)))</f>
        <v>MURO DE FECHAMENTO - CONCRETO ARMADO PARA SAPATAS E BLOCOS</v>
      </c>
      <c r="O693" s="178"/>
      <c r="Q693" s="178">
        <v>14.55</v>
      </c>
      <c r="R693" s="179"/>
      <c r="S693" s="179"/>
      <c r="T693" s="179"/>
      <c r="U693" s="179"/>
      <c r="V693" s="179"/>
      <c r="W693" s="179"/>
      <c r="X693" s="179"/>
      <c r="Y693" s="179"/>
      <c r="Z693" s="180"/>
      <c r="AA693" s="179"/>
      <c r="AB693" s="179"/>
      <c r="AC693" s="179"/>
      <c r="AD693" s="179"/>
      <c r="AE693" s="179"/>
      <c r="AF693" s="179"/>
      <c r="AG693" s="179"/>
      <c r="AH693" s="180"/>
      <c r="AJ693" s="544">
        <f ca="1">IF(AND($D693="Serviço",AJ$12&lt;&gt;0,$H693&gt;0,OR(AUTOEVENTO&lt;&gt;"manual",$M693&lt;&gt;1)),
IF(Import.TipoArredondamento&lt;&gt;"TransfereGOV",
ROUND(OFFSET($P693,0,AJ$13),15-13*ORÇAMENTO!$AF$7)/$H693*OFFSET(ORÇAMENTO!$X$15,ROW(AJ693)-ROW(AJ$15),0),
ROUND(ROUND(OFFSET($P693,0,AJ$13),15-13*ORÇAMENTO!$AF$7)*OFFSET(ORÇAMENTO!$W$15,ROW(AJ693)-ROW(AJ$15),0),15-13*ORÇAMENTO!$AF$11)),0)</f>
        <v>0</v>
      </c>
      <c r="AK693" s="545">
        <f ca="1">IF(AND($D693="Serviço",AK$12&lt;&gt;0,$H693&gt;0,OR(AUTOEVENTO&lt;&gt;"manual",$M693&lt;&gt;1)),
IF(Import.TipoArredondamento&lt;&gt;"TransfereGOV",
ROUND(OFFSET($P693,0,AK$13),15-13*ORÇAMENTO!$AF$7)/$H693*OFFSET(ORÇAMENTO!$X$15,ROW(AK693)-ROW(AK$15),0),
ROUND(ROUND(OFFSET($P693,0,AK$13),15-13*ORÇAMENTO!$AF$7)*OFFSET(ORÇAMENTO!$W$15,ROW(AK693)-ROW(AK$15),0),15-13*ORÇAMENTO!$AF$11)),0)</f>
        <v>0</v>
      </c>
      <c r="AL693" s="545">
        <f ca="1">IF(AND($D693="Serviço",AL$12&lt;&gt;0,$H693&gt;0,OR(AUTOEVENTO&lt;&gt;"manual",$M693&lt;&gt;1)),
IF(Import.TipoArredondamento&lt;&gt;"TransfereGOV",
ROUND(OFFSET($P693,0,AL$13),15-13*ORÇAMENTO!$AF$7)/$H693*OFFSET(ORÇAMENTO!$X$15,ROW(AL693)-ROW(AL$15),0),
ROUND(ROUND(OFFSET($P693,0,AL$13),15-13*ORÇAMENTO!$AF$7)*OFFSET(ORÇAMENTO!$W$15,ROW(AL693)-ROW(AL$15),0),15-13*ORÇAMENTO!$AF$11)),0)</f>
        <v>0</v>
      </c>
      <c r="AM693" s="545">
        <f ca="1">IF(AND($D693="Serviço",AM$12&lt;&gt;0,$H693&gt;0,OR(AUTOEVENTO&lt;&gt;"manual",$M693&lt;&gt;1)),
IF(Import.TipoArredondamento&lt;&gt;"TransfereGOV",
ROUND(OFFSET($P693,0,AM$13),15-13*ORÇAMENTO!$AF$7)/$H693*OFFSET(ORÇAMENTO!$X$15,ROW(AM693)-ROW(AM$15),0),
ROUND(ROUND(OFFSET($P693,0,AM$13),15-13*ORÇAMENTO!$AF$7)*OFFSET(ORÇAMENTO!$W$15,ROW(AM693)-ROW(AM$15),0),15-13*ORÇAMENTO!$AF$11)),0)</f>
        <v>0</v>
      </c>
      <c r="AN693" s="545">
        <f ca="1">IF(AND($D693="Serviço",AN$12&lt;&gt;0,$H693&gt;0,OR(AUTOEVENTO&lt;&gt;"manual",$M693&lt;&gt;1)),
IF(Import.TipoArredondamento&lt;&gt;"TransfereGOV",
ROUND(OFFSET($P693,0,AN$13),15-13*ORÇAMENTO!$AF$7)/$H693*OFFSET(ORÇAMENTO!$X$15,ROW(AN693)-ROW(AN$15),0),
ROUND(ROUND(OFFSET($P693,0,AN$13),15-13*ORÇAMENTO!$AF$7)*OFFSET(ORÇAMENTO!$W$15,ROW(AN693)-ROW(AN$15),0),15-13*ORÇAMENTO!$AF$11)),0)</f>
        <v>0</v>
      </c>
      <c r="AO693" s="545">
        <f ca="1">IF(AND($D693="Serviço",AO$12&lt;&gt;0,$H693&gt;0,OR(AUTOEVENTO&lt;&gt;"manual",$M693&lt;&gt;1)),
IF(Import.TipoArredondamento&lt;&gt;"TransfereGOV",
ROUND(OFFSET($P693,0,AO$13),15-13*ORÇAMENTO!$AF$7)/$H693*OFFSET(ORÇAMENTO!$X$15,ROW(AO693)-ROW(AO$15),0),
ROUND(ROUND(OFFSET($P693,0,AO$13),15-13*ORÇAMENTO!$AF$7)*OFFSET(ORÇAMENTO!$W$15,ROW(AO693)-ROW(AO$15),0),15-13*ORÇAMENTO!$AF$11)),0)</f>
        <v>0</v>
      </c>
      <c r="AP693" s="545">
        <f ca="1">IF(AND($D693="Serviço",AP$12&lt;&gt;0,$H693&gt;0,OR(AUTOEVENTO&lt;&gt;"manual",$M693&lt;&gt;1)),
IF(Import.TipoArredondamento&lt;&gt;"TransfereGOV",
ROUND(OFFSET($P693,0,AP$13),15-13*ORÇAMENTO!$AF$7)/$H693*OFFSET(ORÇAMENTO!$X$15,ROW(AP693)-ROW(AP$15),0),
ROUND(ROUND(OFFSET($P693,0,AP$13),15-13*ORÇAMENTO!$AF$7)*OFFSET(ORÇAMENTO!$W$15,ROW(AP693)-ROW(AP$15),0),15-13*ORÇAMENTO!$AF$11)),0)</f>
        <v>0</v>
      </c>
      <c r="AQ693" s="545">
        <f ca="1">IF(AND($D693="Serviço",AQ$12&lt;&gt;0,$H693&gt;0,OR(AUTOEVENTO&lt;&gt;"manual",$M693&lt;&gt;1)),
IF(Import.TipoArredondamento&lt;&gt;"TransfereGOV",
ROUND(OFFSET($P693,0,AQ$13),15-13*ORÇAMENTO!$AF$7)/$H693*OFFSET(ORÇAMENTO!$X$15,ROW(AQ693)-ROW(AQ$15),0),
ROUND(ROUND(OFFSET($P693,0,AQ$13),15-13*ORÇAMENTO!$AF$7)*OFFSET(ORÇAMENTO!$W$15,ROW(AQ693)-ROW(AQ$15),0),15-13*ORÇAMENTO!$AF$11)),0)</f>
        <v>0</v>
      </c>
      <c r="AR693" s="545">
        <f ca="1">IF(AND($D693="Serviço",AR$12&lt;&gt;0,$H693&gt;0,OR(AUTOEVENTO&lt;&gt;"manual",$M693&lt;&gt;1)),
IF(Import.TipoArredondamento&lt;&gt;"TransfereGOV",
ROUND(OFFSET($P693,0,AR$13),15-13*ORÇAMENTO!$AF$7)/$H693*OFFSET(ORÇAMENTO!$X$15,ROW(AR693)-ROW(AR$15),0),
ROUND(ROUND(OFFSET($P693,0,AR$13),15-13*ORÇAMENTO!$AF$7)*OFFSET(ORÇAMENTO!$W$15,ROW(AR693)-ROW(AR$15),0),15-13*ORÇAMENTO!$AF$11)),0)</f>
        <v>0</v>
      </c>
      <c r="AS693" s="546">
        <f ca="1">IF(AND($D693="Serviço",AS$12&lt;&gt;0,$H693&gt;0,OR(AUTOEVENTO&lt;&gt;"manual",$M693&lt;&gt;1)),
IF(Import.TipoArredondamento&lt;&gt;"TransfereGOV",
ROUND(OFFSET($P693,0,AS$13),15-13*ORÇAMENTO!$AF$7)/$H693*OFFSET(ORÇAMENTO!$X$15,ROW(AS693)-ROW(AS$15),0),
ROUND(ROUND(OFFSET($P693,0,AS$13),15-13*ORÇAMENTO!$AF$7)*OFFSET(ORÇAMENTO!$W$15,ROW(AS693)-ROW(AS$15),0),15-13*ORÇAMENTO!$AF$11)),0)</f>
        <v>0</v>
      </c>
      <c r="AT693" s="545">
        <f ca="1">IF(AND($D693="Serviço",AT$12&lt;&gt;0,$H693&gt;0,OR(AUTOEVENTO&lt;&gt;"manual",$M693&lt;&gt;1)),
IF(Import.TipoArredondamento&lt;&gt;"TransfereGOV",
ROUND(OFFSET($P693,0,AT$13),15-13*ORÇAMENTO!$AF$7)/$H693*OFFSET(ORÇAMENTO!$X$15,ROW(AT693)-ROW(AT$15),0),
ROUND(ROUND(OFFSET($P693,0,AT$13),15-13*ORÇAMENTO!$AF$7)*OFFSET(ORÇAMENTO!$W$15,ROW(AT693)-ROW(AT$15),0),15-13*ORÇAMENTO!$AF$11)),0)</f>
        <v>0</v>
      </c>
      <c r="AU693" s="545">
        <f ca="1">IF(AND($D693="Serviço",AU$12&lt;&gt;0,$H693&gt;0,OR(AUTOEVENTO&lt;&gt;"manual",$M693&lt;&gt;1)),
IF(Import.TipoArredondamento&lt;&gt;"TransfereGOV",
ROUND(OFFSET($P693,0,AU$13),15-13*ORÇAMENTO!$AF$7)/$H693*OFFSET(ORÇAMENTO!$X$15,ROW(AU693)-ROW(AU$15),0),
ROUND(ROUND(OFFSET($P693,0,AU$13),15-13*ORÇAMENTO!$AF$7)*OFFSET(ORÇAMENTO!$W$15,ROW(AU693)-ROW(AU$15),0),15-13*ORÇAMENTO!$AF$11)),0)</f>
        <v>0</v>
      </c>
      <c r="AV693" s="545">
        <f ca="1">IF(AND($D693="Serviço",AV$12&lt;&gt;0,$H693&gt;0,OR(AUTOEVENTO&lt;&gt;"manual",$M693&lt;&gt;1)),
IF(Import.TipoArredondamento&lt;&gt;"TransfereGOV",
ROUND(OFFSET($P693,0,AV$13),15-13*ORÇAMENTO!$AF$7)/$H693*OFFSET(ORÇAMENTO!$X$15,ROW(AV693)-ROW(AV$15),0),
ROUND(ROUND(OFFSET($P693,0,AV$13),15-13*ORÇAMENTO!$AF$7)*OFFSET(ORÇAMENTO!$W$15,ROW(AV693)-ROW(AV$15),0),15-13*ORÇAMENTO!$AF$11)),0)</f>
        <v>0</v>
      </c>
      <c r="AW693" s="545">
        <f ca="1">IF(AND($D693="Serviço",AW$12&lt;&gt;0,$H693&gt;0,OR(AUTOEVENTO&lt;&gt;"manual",$M693&lt;&gt;1)),
IF(Import.TipoArredondamento&lt;&gt;"TransfereGOV",
ROUND(OFFSET($P693,0,AW$13),15-13*ORÇAMENTO!$AF$7)/$H693*OFFSET(ORÇAMENTO!$X$15,ROW(AW693)-ROW(AW$15),0),
ROUND(ROUND(OFFSET($P693,0,AW$13),15-13*ORÇAMENTO!$AF$7)*OFFSET(ORÇAMENTO!$W$15,ROW(AW693)-ROW(AW$15),0),15-13*ORÇAMENTO!$AF$11)),0)</f>
        <v>0</v>
      </c>
      <c r="AX693" s="545">
        <f ca="1">IF(AND($D693="Serviço",AX$12&lt;&gt;0,$H693&gt;0,OR(AUTOEVENTO&lt;&gt;"manual",$M693&lt;&gt;1)),
IF(Import.TipoArredondamento&lt;&gt;"TransfereGOV",
ROUND(OFFSET($P693,0,AX$13),15-13*ORÇAMENTO!$AF$7)/$H693*OFFSET(ORÇAMENTO!$X$15,ROW(AX693)-ROW(AX$15),0),
ROUND(ROUND(OFFSET($P693,0,AX$13),15-13*ORÇAMENTO!$AF$7)*OFFSET(ORÇAMENTO!$W$15,ROW(AX693)-ROW(AX$15),0),15-13*ORÇAMENTO!$AF$11)),0)</f>
        <v>0</v>
      </c>
      <c r="AY693" s="545">
        <f ca="1">IF(AND($D693="Serviço",AY$12&lt;&gt;0,$H693&gt;0,OR(AUTOEVENTO&lt;&gt;"manual",$M693&lt;&gt;1)),
IF(Import.TipoArredondamento&lt;&gt;"TransfereGOV",
ROUND(OFFSET($P693,0,AY$13),15-13*ORÇAMENTO!$AF$7)/$H693*OFFSET(ORÇAMENTO!$X$15,ROW(AY693)-ROW(AY$15),0),
ROUND(ROUND(OFFSET($P693,0,AY$13),15-13*ORÇAMENTO!$AF$7)*OFFSET(ORÇAMENTO!$W$15,ROW(AY693)-ROW(AY$15),0),15-13*ORÇAMENTO!$AF$11)),0)</f>
        <v>0</v>
      </c>
      <c r="AZ693" s="545">
        <f ca="1">IF(AND($D693="Serviço",AZ$12&lt;&gt;0,$H693&gt;0,OR(AUTOEVENTO&lt;&gt;"manual",$M693&lt;&gt;1)),
IF(Import.TipoArredondamento&lt;&gt;"TransfereGOV",
ROUND(OFFSET($P693,0,AZ$13),15-13*ORÇAMENTO!$AF$7)/$H693*OFFSET(ORÇAMENTO!$X$15,ROW(AZ693)-ROW(AZ$15),0),
ROUND(ROUND(OFFSET($P693,0,AZ$13),15-13*ORÇAMENTO!$AF$7)*OFFSET(ORÇAMENTO!$W$15,ROW(AZ693)-ROW(AZ$15),0),15-13*ORÇAMENTO!$AF$11)),0)</f>
        <v>0</v>
      </c>
      <c r="BA693" s="546">
        <f ca="1">IF(AND($D693="Serviço",BA$12&lt;&gt;0,$H693&gt;0,OR(AUTOEVENTO&lt;&gt;"manual",$M693&lt;&gt;1)),
IF(Import.TipoArredondamento&lt;&gt;"TransfereGOV",
ROUND(OFFSET($P693,0,BA$13),15-13*ORÇAMENTO!$AF$7)/$H693*OFFSET(ORÇAMENTO!$X$15,ROW(BA693)-ROW(BA$15),0),
ROUND(ROUND(OFFSET($P693,0,BA$13),15-13*ORÇAMENTO!$AF$7)*OFFSET(ORÇAMENTO!$W$15,ROW(BA693)-ROW(BA$15),0),15-13*ORÇAMENTO!$AF$11)),0)</f>
        <v>0</v>
      </c>
      <c r="BC693" s="181">
        <f ca="1">IF($D693&lt;&gt;"Serviço",0,IF(AND(AUTOEVENTO="Manual",$M693=1),0,IF(OFFSET(CRONOPLE!$F$14,$M693,BC$13)="",10^12,OFFSET(CRONOPLE!$F$14,$M693,BC$13))))</f>
        <v>12</v>
      </c>
      <c r="BD693" s="181">
        <f ca="1">IF($D693&lt;&gt;"Serviço",0,IF(AND(AUTOEVENTO="Manual",$M693=1),0,IF(OFFSET(CRONOPLE!$F$14,$M693,BD$13)="",10^12,OFFSET(CRONOPLE!$F$14,$M693,BD$13))))</f>
        <v>1000000000000</v>
      </c>
      <c r="BE693" s="181">
        <f ca="1">IF($D693&lt;&gt;"Serviço",0,IF(AND(AUTOEVENTO="Manual",$M693=1),0,IF(OFFSET(CRONOPLE!$F$14,$M693,BE$13)="",10^12,OFFSET(CRONOPLE!$F$14,$M693,BE$13))))</f>
        <v>1000000000000</v>
      </c>
      <c r="BF693" s="181">
        <f ca="1">IF($D693&lt;&gt;"Serviço",0,IF(AND(AUTOEVENTO="Manual",$M693=1),0,IF(OFFSET(CRONOPLE!$F$14,$M693,BF$13)="",10^12,OFFSET(CRONOPLE!$F$14,$M693,BF$13))))</f>
        <v>1000000000000</v>
      </c>
      <c r="BG693" s="181">
        <f ca="1">IF($D693&lt;&gt;"Serviço",0,IF(AND(AUTOEVENTO="Manual",$M693=1),0,IF(OFFSET(CRONOPLE!$F$14,$M693,BG$13)="",10^12,OFFSET(CRONOPLE!$F$14,$M693,BG$13))))</f>
        <v>1000000000000</v>
      </c>
      <c r="BH693" s="181">
        <f ca="1">IF($D693&lt;&gt;"Serviço",0,IF(AND(AUTOEVENTO="Manual",$M693=1),0,IF(OFFSET(CRONOPLE!$F$14,$M693,BH$13)="",10^12,OFFSET(CRONOPLE!$F$14,$M693,BH$13))))</f>
        <v>1000000000000</v>
      </c>
      <c r="BI693" s="181">
        <f ca="1">IF($D693&lt;&gt;"Serviço",0,IF(AND(AUTOEVENTO="Manual",$M693=1),0,IF(OFFSET(CRONOPLE!$F$14,$M693,BI$13)="",10^12,OFFSET(CRONOPLE!$F$14,$M693,BI$13))))</f>
        <v>1000000000000</v>
      </c>
      <c r="BJ693" s="181">
        <f ca="1">IF($D693&lt;&gt;"Serviço",0,IF(AND(AUTOEVENTO="Manual",$M693=1),0,IF(OFFSET(CRONOPLE!$F$14,$M693,BJ$13)="",10^12,OFFSET(CRONOPLE!$F$14,$M693,BJ$13))))</f>
        <v>1000000000000</v>
      </c>
      <c r="BK693" s="181">
        <f ca="1">IF($D693&lt;&gt;"Serviço",0,IF(AND(AUTOEVENTO="Manual",$M693=1),0,IF(OFFSET(CRONOPLE!$F$14,$M693,BK$13)="",10^12,OFFSET(CRONOPLE!$F$14,$M693,BK$13))))</f>
        <v>1000000000000</v>
      </c>
      <c r="BL693" s="181">
        <f ca="1">IF($D693&lt;&gt;"Serviço",0,IF(AND(AUTOEVENTO="Manual",$M693=1),0,IF(OFFSET(CRONOPLE!$F$14,$M693,BL$13)="",10^12,OFFSET(CRONOPLE!$F$14,$M693,BL$13))))</f>
        <v>1000000000000</v>
      </c>
      <c r="BM693" s="181">
        <f ca="1">IF($D693&lt;&gt;"Serviço",0,IF(AND(AUTOEVENTO="Manual",$M693=1),0,IF(OFFSET(CRONOPLE!$F$14,$M693,BM$13)="",10^12,OFFSET(CRONOPLE!$F$14,$M693,BM$13))))</f>
        <v>1000000000000</v>
      </c>
      <c r="BN693" s="181">
        <f ca="1">IF($D693&lt;&gt;"Serviço",0,IF(AND(AUTOEVENTO="Manual",$M693=1),0,IF(OFFSET(CRONOPLE!$F$14,$M693,BN$13)="",10^12,OFFSET(CRONOPLE!$F$14,$M693,BN$13))))</f>
        <v>1000000000000</v>
      </c>
      <c r="BO693" s="181">
        <f ca="1">IF($D693&lt;&gt;"Serviço",0,IF(AND(AUTOEVENTO="Manual",$M693=1),0,IF(OFFSET(CRONOPLE!$F$14,$M693,BO$13)="",10^12,OFFSET(CRONOPLE!$F$14,$M693,BO$13))))</f>
        <v>1000000000000</v>
      </c>
      <c r="BP693" s="181">
        <f ca="1">IF($D693&lt;&gt;"Serviço",0,IF(AND(AUTOEVENTO="Manual",$M693=1),0,IF(OFFSET(CRONOPLE!$F$14,$M693,BP$13)="",10^12,OFFSET(CRONOPLE!$F$14,$M693,BP$13))))</f>
        <v>1000000000000</v>
      </c>
      <c r="BQ693" s="181">
        <f ca="1">IF($D693&lt;&gt;"Serviço",0,IF(AND(AUTOEVENTO="Manual",$M693=1),0,IF(OFFSET(CRONOPLE!$F$14,$M693,BQ$13)="",10^12,OFFSET(CRONOPLE!$F$14,$M693,BQ$13))))</f>
        <v>1000000000000</v>
      </c>
      <c r="BR693" s="181">
        <f ca="1">IF($D693&lt;&gt;"Serviço",0,IF(AND(AUTOEVENTO="Manual",$M693=1),0,IF(OFFSET(CRONOPLE!$F$14,$M693,BR$13)="",10^12,OFFSET(CRONOPLE!$F$14,$M693,BR$13))))</f>
        <v>1000000000000</v>
      </c>
      <c r="BS693" s="181">
        <f ca="1">IF($D693&lt;&gt;"Serviço",0,IF(AND(AUTOEVENTO="Manual",$M693=1),0,IF(OFFSET(CRONOPLE!$F$14,$M693,BS$13)="",10^12,OFFSET(CRONOPLE!$F$14,$M693,BS$13))))</f>
        <v>1000000000000</v>
      </c>
      <c r="BT693" s="181">
        <f ca="1">IF($D693&lt;&gt;"Serviço",0,IF(AND(AUTOEVENTO="Manual",$M693=1),0,IF(OFFSET(CRONOPLE!$F$14,$M693,BT$13)="",10^12,OFFSET(CRONOPLE!$F$14,$M693,BT$13))))</f>
        <v>1000000000000</v>
      </c>
      <c r="BV693" s="182">
        <f ca="1">IF($D693&lt;&gt;"Serviço",0,IF(OR(AND(AUTOEVENTO="Manual",$M693=1),$M693&gt;(ROW(PLE.lastrow)-ROW(PLE.firstrow))),0,IF(OFFSET(PLE!$G$14,$M693,BV$13)="",10^12,OFFSET(PLE!$G$14,$M693,BV$13))))</f>
        <v>1000000000000</v>
      </c>
      <c r="BW693" s="182">
        <f ca="1">IF($D693&lt;&gt;"Serviço",0,IF(OR(AND(AUTOEVENTO="Manual",$M693=1),$M693&gt;(ROW(PLE.lastrow)-ROW(PLE.firstrow))),0,IF(OFFSET(PLE!$G$14,$M693,BW$13)="",10^12,OFFSET(PLE!$G$14,$M693,BW$13))))</f>
        <v>1000000000000</v>
      </c>
      <c r="BX693" s="182">
        <f ca="1">IF($D693&lt;&gt;"Serviço",0,IF(OR(AND(AUTOEVENTO="Manual",$M693=1),$M693&gt;(ROW(PLE.lastrow)-ROW(PLE.firstrow))),0,IF(OFFSET(PLE!$G$14,$M693,BX$13)="",10^12,OFFSET(PLE!$G$14,$M693,BX$13))))</f>
        <v>1000000000000</v>
      </c>
      <c r="BY693" s="182">
        <f ca="1">IF($D693&lt;&gt;"Serviço",0,IF(OR(AND(AUTOEVENTO="Manual",$M693=1),$M693&gt;(ROW(PLE.lastrow)-ROW(PLE.firstrow))),0,IF(OFFSET(PLE!$G$14,$M693,BY$13)="",10^12,OFFSET(PLE!$G$14,$M693,BY$13))))</f>
        <v>1000000000000</v>
      </c>
      <c r="BZ693" s="182">
        <f ca="1">IF($D693&lt;&gt;"Serviço",0,IF(OR(AND(AUTOEVENTO="Manual",$M693=1),$M693&gt;(ROW(PLE.lastrow)-ROW(PLE.firstrow))),0,IF(OFFSET(PLE!$G$14,$M693,BZ$13)="",10^12,OFFSET(PLE!$G$14,$M693,BZ$13))))</f>
        <v>1000000000000</v>
      </c>
      <c r="CA693" s="182">
        <f ca="1">IF($D693&lt;&gt;"Serviço",0,IF(OR(AND(AUTOEVENTO="Manual",$M693=1),$M693&gt;(ROW(PLE.lastrow)-ROW(PLE.firstrow))),0,IF(OFFSET(PLE!$G$14,$M693,CA$13)="",10^12,OFFSET(PLE!$G$14,$M693,CA$13))))</f>
        <v>1000000000000</v>
      </c>
      <c r="CB693" s="182">
        <f ca="1">IF($D693&lt;&gt;"Serviço",0,IF(OR(AND(AUTOEVENTO="Manual",$M693=1),$M693&gt;(ROW(PLE.lastrow)-ROW(PLE.firstrow))),0,IF(OFFSET(PLE!$G$14,$M693,CB$13)="",10^12,OFFSET(PLE!$G$14,$M693,CB$13))))</f>
        <v>1000000000000</v>
      </c>
      <c r="CC693" s="182">
        <f ca="1">IF($D693&lt;&gt;"Serviço",0,IF(OR(AND(AUTOEVENTO="Manual",$M693=1),$M693&gt;(ROW(PLE.lastrow)-ROW(PLE.firstrow))),0,IF(OFFSET(PLE!$G$14,$M693,CC$13)="",10^12,OFFSET(PLE!$G$14,$M693,CC$13))))</f>
        <v>1000000000000</v>
      </c>
      <c r="CD693" s="182">
        <f ca="1">IF($D693&lt;&gt;"Serviço",0,IF(OR(AND(AUTOEVENTO="Manual",$M693=1),$M693&gt;(ROW(PLE.lastrow)-ROW(PLE.firstrow))),0,IF(OFFSET(PLE!$G$14,$M693,CD$13)="",10^12,OFFSET(PLE!$G$14,$M693,CD$13))))</f>
        <v>1000000000000</v>
      </c>
      <c r="CE693" s="182">
        <f ca="1">IF($D693&lt;&gt;"Serviço",0,IF(OR(AND(AUTOEVENTO="Manual",$M693=1),$M693&gt;(ROW(PLE.lastrow)-ROW(PLE.firstrow))),0,IF(OFFSET(PLE!$G$14,$M693,CE$13)="",10^12,OFFSET(PLE!$G$14,$M693,CE$13))))</f>
        <v>1000000000000</v>
      </c>
      <c r="CF693" s="182">
        <f ca="1">IF($D693&lt;&gt;"Serviço",0,IF(OR(AND(AUTOEVENTO="Manual",$M693=1),$M693&gt;(ROW(PLE.lastrow)-ROW(PLE.firstrow))),0,IF(OFFSET(PLE!$G$14,$M693,CF$13)="",10^12,OFFSET(PLE!$G$14,$M693,CF$13))))</f>
        <v>1000000000000</v>
      </c>
      <c r="CG693" s="182">
        <f ca="1">IF($D693&lt;&gt;"Serviço",0,IF(OR(AND(AUTOEVENTO="Manual",$M693=1),$M693&gt;(ROW(PLE.lastrow)-ROW(PLE.firstrow))),0,IF(OFFSET(PLE!$G$14,$M693,CG$13)="",10^12,OFFSET(PLE!$G$14,$M693,CG$13))))</f>
        <v>1000000000000</v>
      </c>
      <c r="CH693" s="182">
        <f ca="1">IF($D693&lt;&gt;"Serviço",0,IF(OR(AND(AUTOEVENTO="Manual",$M693=1),$M693&gt;(ROW(PLE.lastrow)-ROW(PLE.firstrow))),0,IF(OFFSET(PLE!$G$14,$M693,CH$13)="",10^12,OFFSET(PLE!$G$14,$M693,CH$13))))</f>
        <v>1000000000000</v>
      </c>
      <c r="CI693" s="182">
        <f ca="1">IF($D693&lt;&gt;"Serviço",0,IF(OR(AND(AUTOEVENTO="Manual",$M693=1),$M693&gt;(ROW(PLE.lastrow)-ROW(PLE.firstrow))),0,IF(OFFSET(PLE!$G$14,$M693,CI$13)="",10^12,OFFSET(PLE!$G$14,$M693,CI$13))))</f>
        <v>1000000000000</v>
      </c>
      <c r="CJ693" s="182">
        <f ca="1">IF($D693&lt;&gt;"Serviço",0,IF(OR(AND(AUTOEVENTO="Manual",$M693=1),$M693&gt;(ROW(PLE.lastrow)-ROW(PLE.firstrow))),0,IF(OFFSET(PLE!$G$14,$M693,CJ$13)="",10^12,OFFSET(PLE!$G$14,$M693,CJ$13))))</f>
        <v>1000000000000</v>
      </c>
      <c r="CK693" s="182">
        <f ca="1">IF($D693&lt;&gt;"Serviço",0,IF(OR(AND(AUTOEVENTO="Manual",$M693=1),$M693&gt;(ROW(PLE.lastrow)-ROW(PLE.firstrow))),0,IF(OFFSET(PLE!$G$14,$M693,CK$13)="",10^12,OFFSET(PLE!$G$14,$M693,CK$13))))</f>
        <v>1000000000000</v>
      </c>
      <c r="CL693" s="182">
        <f ca="1">IF($D693&lt;&gt;"Serviço",0,IF(OR(AND(AUTOEVENTO="Manual",$M693=1),$M693&gt;(ROW(PLE.lastrow)-ROW(PLE.firstrow))),0,IF(OFFSET(PLE!$G$14,$M693,CL$13)="",10^12,OFFSET(PLE!$G$14,$M693,CL$13))))</f>
        <v>1000000000000</v>
      </c>
      <c r="CM693" s="182">
        <f ca="1">IF($D693&lt;&gt;"Serviço",0,IF(OR(AND(AUTOEVENTO="Manual",$M693=1),$M693&gt;(ROW(PLE.lastrow)-ROW(PLE.firstrow))),0,IF(OFFSET(PLE!$G$14,$M693,CM$13)="",10^12,OFFSET(PLE!$G$14,$M693,CM$13))))</f>
        <v>1000000000000</v>
      </c>
    </row>
    <row r="694" spans="1:91" ht="38.25" x14ac:dyDescent="0.2">
      <c r="A694" s="7" t="str">
        <f t="shared" ca="1" si="19"/>
        <v>671</v>
      </c>
      <c r="B694" s="7" t="str">
        <f ca="1">OFFSET(ORÇAMENTO!C$15,ROW(B694)-ROW(B$15),0)</f>
        <v>S</v>
      </c>
      <c r="C694" s="7" t="str">
        <f ca="1">OFFSET(ORÇAMENTO!L$15,ROW(C694)-ROW(C$15),0)</f>
        <v/>
      </c>
      <c r="D694" s="118" t="str">
        <f ca="1">OFFSET(ORÇAMENTO!N$15,ROW(D694)-ROW(D$15),0)</f>
        <v>Serviço</v>
      </c>
      <c r="E694" s="119" t="str">
        <f ca="1">OFFSET(ORÇAMENTO!O$15,ROW(E694)-ROW(E$15),0)</f>
        <v>-</v>
      </c>
      <c r="F694" s="172" t="str">
        <f ca="1">OFFSET(ORÇAMENTO!R$15,ROW(F694)-ROW(F$15),0)</f>
        <v>(abra o arquivo 'Referência 06-2024.xlsm)</v>
      </c>
      <c r="G694" s="173" t="str">
        <f ca="1">IF($D694&lt;&gt;"Serviço","",OFFSET(ORÇAMENTO!S$15,ROW(G694)-ROW(G$15),0))</f>
        <v>-</v>
      </c>
      <c r="H694" s="124">
        <f ca="1">IF($D694&lt;&gt;"Serviço",0,IF(ACOMPANHAMENTO="BM",ROUND(OFFSET(ORÇAMENTO!AJ$15,ROW(H694)-ROW(H$15),0),15-13*ORÇAMENTO!$AF$7),SUMPRODUCT(($Q$12:$AI$12&lt;&gt;"")*ROUND($Q694:$AI694,15-13*ORÇAMENTO!$AF$7))))</f>
        <v>29.22</v>
      </c>
      <c r="I694" s="561" t="s">
        <v>1107</v>
      </c>
      <c r="K694" s="174"/>
      <c r="L694" s="175" t="s">
        <v>255</v>
      </c>
      <c r="M694" s="176">
        <f ca="1">IF($D694&lt;&gt;"Serviço","",IF(AUTOEVENTO="manual",$A694,IF(ISERROR(MATCH($A694,$A$15:OFFSET($A694,-1,0),0)),MAX($M$15:OFFSET(M694,-1,0))+1,INDEX($M$15:OFFSET(M694,-1,0),MATCH($A694,$A$15:OFFSET($A694,-1,0),0)))))</f>
        <v>75</v>
      </c>
      <c r="N694" s="177" t="str">
        <f ca="1">IF($D694&lt;&gt;"Serviço","",IF(AUTOEVENTO="Manual",IF($A694=0,"&lt;-- defina o número do agrupador",OFFSET(EVENTOS!$D$14,$A694,0)),OFFSET($F$15,$A694,0)))</f>
        <v>MURO DE FECHAMENTO - CONCRETO ARMADO PARA SAPATAS E BLOCOS</v>
      </c>
      <c r="O694" s="178"/>
      <c r="Q694" s="178">
        <v>29.22</v>
      </c>
      <c r="R694" s="179"/>
      <c r="S694" s="179"/>
      <c r="T694" s="179"/>
      <c r="U694" s="179"/>
      <c r="V694" s="179"/>
      <c r="W694" s="179"/>
      <c r="X694" s="179"/>
      <c r="Y694" s="179"/>
      <c r="Z694" s="180"/>
      <c r="AA694" s="179"/>
      <c r="AB694" s="179"/>
      <c r="AC694" s="179"/>
      <c r="AD694" s="179"/>
      <c r="AE694" s="179"/>
      <c r="AF694" s="179"/>
      <c r="AG694" s="179"/>
      <c r="AH694" s="180"/>
      <c r="AJ694" s="544">
        <f ca="1">IF(AND($D694="Serviço",AJ$12&lt;&gt;0,$H694&gt;0,OR(AUTOEVENTO&lt;&gt;"manual",$M694&lt;&gt;1)),
IF(Import.TipoArredondamento&lt;&gt;"TransfereGOV",
ROUND(OFFSET($P694,0,AJ$13),15-13*ORÇAMENTO!$AF$7)/$H694*OFFSET(ORÇAMENTO!$X$15,ROW(AJ694)-ROW(AJ$15),0),
ROUND(ROUND(OFFSET($P694,0,AJ$13),15-13*ORÇAMENTO!$AF$7)*OFFSET(ORÇAMENTO!$W$15,ROW(AJ694)-ROW(AJ$15),0),15-13*ORÇAMENTO!$AF$11)),0)</f>
        <v>0</v>
      </c>
      <c r="AK694" s="545">
        <f ca="1">IF(AND($D694="Serviço",AK$12&lt;&gt;0,$H694&gt;0,OR(AUTOEVENTO&lt;&gt;"manual",$M694&lt;&gt;1)),
IF(Import.TipoArredondamento&lt;&gt;"TransfereGOV",
ROUND(OFFSET($P694,0,AK$13),15-13*ORÇAMENTO!$AF$7)/$H694*OFFSET(ORÇAMENTO!$X$15,ROW(AK694)-ROW(AK$15),0),
ROUND(ROUND(OFFSET($P694,0,AK$13),15-13*ORÇAMENTO!$AF$7)*OFFSET(ORÇAMENTO!$W$15,ROW(AK694)-ROW(AK$15),0),15-13*ORÇAMENTO!$AF$11)),0)</f>
        <v>0</v>
      </c>
      <c r="AL694" s="545">
        <f ca="1">IF(AND($D694="Serviço",AL$12&lt;&gt;0,$H694&gt;0,OR(AUTOEVENTO&lt;&gt;"manual",$M694&lt;&gt;1)),
IF(Import.TipoArredondamento&lt;&gt;"TransfereGOV",
ROUND(OFFSET($P694,0,AL$13),15-13*ORÇAMENTO!$AF$7)/$H694*OFFSET(ORÇAMENTO!$X$15,ROW(AL694)-ROW(AL$15),0),
ROUND(ROUND(OFFSET($P694,0,AL$13),15-13*ORÇAMENTO!$AF$7)*OFFSET(ORÇAMENTO!$W$15,ROW(AL694)-ROW(AL$15),0),15-13*ORÇAMENTO!$AF$11)),0)</f>
        <v>0</v>
      </c>
      <c r="AM694" s="545">
        <f ca="1">IF(AND($D694="Serviço",AM$12&lt;&gt;0,$H694&gt;0,OR(AUTOEVENTO&lt;&gt;"manual",$M694&lt;&gt;1)),
IF(Import.TipoArredondamento&lt;&gt;"TransfereGOV",
ROUND(OFFSET($P694,0,AM$13),15-13*ORÇAMENTO!$AF$7)/$H694*OFFSET(ORÇAMENTO!$X$15,ROW(AM694)-ROW(AM$15),0),
ROUND(ROUND(OFFSET($P694,0,AM$13),15-13*ORÇAMENTO!$AF$7)*OFFSET(ORÇAMENTO!$W$15,ROW(AM694)-ROW(AM$15),0),15-13*ORÇAMENTO!$AF$11)),0)</f>
        <v>0</v>
      </c>
      <c r="AN694" s="545">
        <f ca="1">IF(AND($D694="Serviço",AN$12&lt;&gt;0,$H694&gt;0,OR(AUTOEVENTO&lt;&gt;"manual",$M694&lt;&gt;1)),
IF(Import.TipoArredondamento&lt;&gt;"TransfereGOV",
ROUND(OFFSET($P694,0,AN$13),15-13*ORÇAMENTO!$AF$7)/$H694*OFFSET(ORÇAMENTO!$X$15,ROW(AN694)-ROW(AN$15),0),
ROUND(ROUND(OFFSET($P694,0,AN$13),15-13*ORÇAMENTO!$AF$7)*OFFSET(ORÇAMENTO!$W$15,ROW(AN694)-ROW(AN$15),0),15-13*ORÇAMENTO!$AF$11)),0)</f>
        <v>0</v>
      </c>
      <c r="AO694" s="545">
        <f ca="1">IF(AND($D694="Serviço",AO$12&lt;&gt;0,$H694&gt;0,OR(AUTOEVENTO&lt;&gt;"manual",$M694&lt;&gt;1)),
IF(Import.TipoArredondamento&lt;&gt;"TransfereGOV",
ROUND(OFFSET($P694,0,AO$13),15-13*ORÇAMENTO!$AF$7)/$H694*OFFSET(ORÇAMENTO!$X$15,ROW(AO694)-ROW(AO$15),0),
ROUND(ROUND(OFFSET($P694,0,AO$13),15-13*ORÇAMENTO!$AF$7)*OFFSET(ORÇAMENTO!$W$15,ROW(AO694)-ROW(AO$15),0),15-13*ORÇAMENTO!$AF$11)),0)</f>
        <v>0</v>
      </c>
      <c r="AP694" s="545">
        <f ca="1">IF(AND($D694="Serviço",AP$12&lt;&gt;0,$H694&gt;0,OR(AUTOEVENTO&lt;&gt;"manual",$M694&lt;&gt;1)),
IF(Import.TipoArredondamento&lt;&gt;"TransfereGOV",
ROUND(OFFSET($P694,0,AP$13),15-13*ORÇAMENTO!$AF$7)/$H694*OFFSET(ORÇAMENTO!$X$15,ROW(AP694)-ROW(AP$15),0),
ROUND(ROUND(OFFSET($P694,0,AP$13),15-13*ORÇAMENTO!$AF$7)*OFFSET(ORÇAMENTO!$W$15,ROW(AP694)-ROW(AP$15),0),15-13*ORÇAMENTO!$AF$11)),0)</f>
        <v>0</v>
      </c>
      <c r="AQ694" s="545">
        <f ca="1">IF(AND($D694="Serviço",AQ$12&lt;&gt;0,$H694&gt;0,OR(AUTOEVENTO&lt;&gt;"manual",$M694&lt;&gt;1)),
IF(Import.TipoArredondamento&lt;&gt;"TransfereGOV",
ROUND(OFFSET($P694,0,AQ$13),15-13*ORÇAMENTO!$AF$7)/$H694*OFFSET(ORÇAMENTO!$X$15,ROW(AQ694)-ROW(AQ$15),0),
ROUND(ROUND(OFFSET($P694,0,AQ$13),15-13*ORÇAMENTO!$AF$7)*OFFSET(ORÇAMENTO!$W$15,ROW(AQ694)-ROW(AQ$15),0),15-13*ORÇAMENTO!$AF$11)),0)</f>
        <v>0</v>
      </c>
      <c r="AR694" s="545">
        <f ca="1">IF(AND($D694="Serviço",AR$12&lt;&gt;0,$H694&gt;0,OR(AUTOEVENTO&lt;&gt;"manual",$M694&lt;&gt;1)),
IF(Import.TipoArredondamento&lt;&gt;"TransfereGOV",
ROUND(OFFSET($P694,0,AR$13),15-13*ORÇAMENTO!$AF$7)/$H694*OFFSET(ORÇAMENTO!$X$15,ROW(AR694)-ROW(AR$15),0),
ROUND(ROUND(OFFSET($P694,0,AR$13),15-13*ORÇAMENTO!$AF$7)*OFFSET(ORÇAMENTO!$W$15,ROW(AR694)-ROW(AR$15),0),15-13*ORÇAMENTO!$AF$11)),0)</f>
        <v>0</v>
      </c>
      <c r="AS694" s="546">
        <f ca="1">IF(AND($D694="Serviço",AS$12&lt;&gt;0,$H694&gt;0,OR(AUTOEVENTO&lt;&gt;"manual",$M694&lt;&gt;1)),
IF(Import.TipoArredondamento&lt;&gt;"TransfereGOV",
ROUND(OFFSET($P694,0,AS$13),15-13*ORÇAMENTO!$AF$7)/$H694*OFFSET(ORÇAMENTO!$X$15,ROW(AS694)-ROW(AS$15),0),
ROUND(ROUND(OFFSET($P694,0,AS$13),15-13*ORÇAMENTO!$AF$7)*OFFSET(ORÇAMENTO!$W$15,ROW(AS694)-ROW(AS$15),0),15-13*ORÇAMENTO!$AF$11)),0)</f>
        <v>0</v>
      </c>
      <c r="AT694" s="545">
        <f ca="1">IF(AND($D694="Serviço",AT$12&lt;&gt;0,$H694&gt;0,OR(AUTOEVENTO&lt;&gt;"manual",$M694&lt;&gt;1)),
IF(Import.TipoArredondamento&lt;&gt;"TransfereGOV",
ROUND(OFFSET($P694,0,AT$13),15-13*ORÇAMENTO!$AF$7)/$H694*OFFSET(ORÇAMENTO!$X$15,ROW(AT694)-ROW(AT$15),0),
ROUND(ROUND(OFFSET($P694,0,AT$13),15-13*ORÇAMENTO!$AF$7)*OFFSET(ORÇAMENTO!$W$15,ROW(AT694)-ROW(AT$15),0),15-13*ORÇAMENTO!$AF$11)),0)</f>
        <v>0</v>
      </c>
      <c r="AU694" s="545">
        <f ca="1">IF(AND($D694="Serviço",AU$12&lt;&gt;0,$H694&gt;0,OR(AUTOEVENTO&lt;&gt;"manual",$M694&lt;&gt;1)),
IF(Import.TipoArredondamento&lt;&gt;"TransfereGOV",
ROUND(OFFSET($P694,0,AU$13),15-13*ORÇAMENTO!$AF$7)/$H694*OFFSET(ORÇAMENTO!$X$15,ROW(AU694)-ROW(AU$15),0),
ROUND(ROUND(OFFSET($P694,0,AU$13),15-13*ORÇAMENTO!$AF$7)*OFFSET(ORÇAMENTO!$W$15,ROW(AU694)-ROW(AU$15),0),15-13*ORÇAMENTO!$AF$11)),0)</f>
        <v>0</v>
      </c>
      <c r="AV694" s="545">
        <f ca="1">IF(AND($D694="Serviço",AV$12&lt;&gt;0,$H694&gt;0,OR(AUTOEVENTO&lt;&gt;"manual",$M694&lt;&gt;1)),
IF(Import.TipoArredondamento&lt;&gt;"TransfereGOV",
ROUND(OFFSET($P694,0,AV$13),15-13*ORÇAMENTO!$AF$7)/$H694*OFFSET(ORÇAMENTO!$X$15,ROW(AV694)-ROW(AV$15),0),
ROUND(ROUND(OFFSET($P694,0,AV$13),15-13*ORÇAMENTO!$AF$7)*OFFSET(ORÇAMENTO!$W$15,ROW(AV694)-ROW(AV$15),0),15-13*ORÇAMENTO!$AF$11)),0)</f>
        <v>0</v>
      </c>
      <c r="AW694" s="545">
        <f ca="1">IF(AND($D694="Serviço",AW$12&lt;&gt;0,$H694&gt;0,OR(AUTOEVENTO&lt;&gt;"manual",$M694&lt;&gt;1)),
IF(Import.TipoArredondamento&lt;&gt;"TransfereGOV",
ROUND(OFFSET($P694,0,AW$13),15-13*ORÇAMENTO!$AF$7)/$H694*OFFSET(ORÇAMENTO!$X$15,ROW(AW694)-ROW(AW$15),0),
ROUND(ROUND(OFFSET($P694,0,AW$13),15-13*ORÇAMENTO!$AF$7)*OFFSET(ORÇAMENTO!$W$15,ROW(AW694)-ROW(AW$15),0),15-13*ORÇAMENTO!$AF$11)),0)</f>
        <v>0</v>
      </c>
      <c r="AX694" s="545">
        <f ca="1">IF(AND($D694="Serviço",AX$12&lt;&gt;0,$H694&gt;0,OR(AUTOEVENTO&lt;&gt;"manual",$M694&lt;&gt;1)),
IF(Import.TipoArredondamento&lt;&gt;"TransfereGOV",
ROUND(OFFSET($P694,0,AX$13),15-13*ORÇAMENTO!$AF$7)/$H694*OFFSET(ORÇAMENTO!$X$15,ROW(AX694)-ROW(AX$15),0),
ROUND(ROUND(OFFSET($P694,0,AX$13),15-13*ORÇAMENTO!$AF$7)*OFFSET(ORÇAMENTO!$W$15,ROW(AX694)-ROW(AX$15),0),15-13*ORÇAMENTO!$AF$11)),0)</f>
        <v>0</v>
      </c>
      <c r="AY694" s="545">
        <f ca="1">IF(AND($D694="Serviço",AY$12&lt;&gt;0,$H694&gt;0,OR(AUTOEVENTO&lt;&gt;"manual",$M694&lt;&gt;1)),
IF(Import.TipoArredondamento&lt;&gt;"TransfereGOV",
ROUND(OFFSET($P694,0,AY$13),15-13*ORÇAMENTO!$AF$7)/$H694*OFFSET(ORÇAMENTO!$X$15,ROW(AY694)-ROW(AY$15),0),
ROUND(ROUND(OFFSET($P694,0,AY$13),15-13*ORÇAMENTO!$AF$7)*OFFSET(ORÇAMENTO!$W$15,ROW(AY694)-ROW(AY$15),0),15-13*ORÇAMENTO!$AF$11)),0)</f>
        <v>0</v>
      </c>
      <c r="AZ694" s="545">
        <f ca="1">IF(AND($D694="Serviço",AZ$12&lt;&gt;0,$H694&gt;0,OR(AUTOEVENTO&lt;&gt;"manual",$M694&lt;&gt;1)),
IF(Import.TipoArredondamento&lt;&gt;"TransfereGOV",
ROUND(OFFSET($P694,0,AZ$13),15-13*ORÇAMENTO!$AF$7)/$H694*OFFSET(ORÇAMENTO!$X$15,ROW(AZ694)-ROW(AZ$15),0),
ROUND(ROUND(OFFSET($P694,0,AZ$13),15-13*ORÇAMENTO!$AF$7)*OFFSET(ORÇAMENTO!$W$15,ROW(AZ694)-ROW(AZ$15),0),15-13*ORÇAMENTO!$AF$11)),0)</f>
        <v>0</v>
      </c>
      <c r="BA694" s="546">
        <f ca="1">IF(AND($D694="Serviço",BA$12&lt;&gt;0,$H694&gt;0,OR(AUTOEVENTO&lt;&gt;"manual",$M694&lt;&gt;1)),
IF(Import.TipoArredondamento&lt;&gt;"TransfereGOV",
ROUND(OFFSET($P694,0,BA$13),15-13*ORÇAMENTO!$AF$7)/$H694*OFFSET(ORÇAMENTO!$X$15,ROW(BA694)-ROW(BA$15),0),
ROUND(ROUND(OFFSET($P694,0,BA$13),15-13*ORÇAMENTO!$AF$7)*OFFSET(ORÇAMENTO!$W$15,ROW(BA694)-ROW(BA$15),0),15-13*ORÇAMENTO!$AF$11)),0)</f>
        <v>0</v>
      </c>
      <c r="BC694" s="181">
        <f ca="1">IF($D694&lt;&gt;"Serviço",0,IF(AND(AUTOEVENTO="Manual",$M694=1),0,IF(OFFSET(CRONOPLE!$F$14,$M694,BC$13)="",10^12,OFFSET(CRONOPLE!$F$14,$M694,BC$13))))</f>
        <v>12</v>
      </c>
      <c r="BD694" s="181">
        <f ca="1">IF($D694&lt;&gt;"Serviço",0,IF(AND(AUTOEVENTO="Manual",$M694=1),0,IF(OFFSET(CRONOPLE!$F$14,$M694,BD$13)="",10^12,OFFSET(CRONOPLE!$F$14,$M694,BD$13))))</f>
        <v>1000000000000</v>
      </c>
      <c r="BE694" s="181">
        <f ca="1">IF($D694&lt;&gt;"Serviço",0,IF(AND(AUTOEVENTO="Manual",$M694=1),0,IF(OFFSET(CRONOPLE!$F$14,$M694,BE$13)="",10^12,OFFSET(CRONOPLE!$F$14,$M694,BE$13))))</f>
        <v>1000000000000</v>
      </c>
      <c r="BF694" s="181">
        <f ca="1">IF($D694&lt;&gt;"Serviço",0,IF(AND(AUTOEVENTO="Manual",$M694=1),0,IF(OFFSET(CRONOPLE!$F$14,$M694,BF$13)="",10^12,OFFSET(CRONOPLE!$F$14,$M694,BF$13))))</f>
        <v>1000000000000</v>
      </c>
      <c r="BG694" s="181">
        <f ca="1">IF($D694&lt;&gt;"Serviço",0,IF(AND(AUTOEVENTO="Manual",$M694=1),0,IF(OFFSET(CRONOPLE!$F$14,$M694,BG$13)="",10^12,OFFSET(CRONOPLE!$F$14,$M694,BG$13))))</f>
        <v>1000000000000</v>
      </c>
      <c r="BH694" s="181">
        <f ca="1">IF($D694&lt;&gt;"Serviço",0,IF(AND(AUTOEVENTO="Manual",$M694=1),0,IF(OFFSET(CRONOPLE!$F$14,$M694,BH$13)="",10^12,OFFSET(CRONOPLE!$F$14,$M694,BH$13))))</f>
        <v>1000000000000</v>
      </c>
      <c r="BI694" s="181">
        <f ca="1">IF($D694&lt;&gt;"Serviço",0,IF(AND(AUTOEVENTO="Manual",$M694=1),0,IF(OFFSET(CRONOPLE!$F$14,$M694,BI$13)="",10^12,OFFSET(CRONOPLE!$F$14,$M694,BI$13))))</f>
        <v>1000000000000</v>
      </c>
      <c r="BJ694" s="181">
        <f ca="1">IF($D694&lt;&gt;"Serviço",0,IF(AND(AUTOEVENTO="Manual",$M694=1),0,IF(OFFSET(CRONOPLE!$F$14,$M694,BJ$13)="",10^12,OFFSET(CRONOPLE!$F$14,$M694,BJ$13))))</f>
        <v>1000000000000</v>
      </c>
      <c r="BK694" s="181">
        <f ca="1">IF($D694&lt;&gt;"Serviço",0,IF(AND(AUTOEVENTO="Manual",$M694=1),0,IF(OFFSET(CRONOPLE!$F$14,$M694,BK$13)="",10^12,OFFSET(CRONOPLE!$F$14,$M694,BK$13))))</f>
        <v>1000000000000</v>
      </c>
      <c r="BL694" s="181">
        <f ca="1">IF($D694&lt;&gt;"Serviço",0,IF(AND(AUTOEVENTO="Manual",$M694=1),0,IF(OFFSET(CRONOPLE!$F$14,$M694,BL$13)="",10^12,OFFSET(CRONOPLE!$F$14,$M694,BL$13))))</f>
        <v>1000000000000</v>
      </c>
      <c r="BM694" s="181">
        <f ca="1">IF($D694&lt;&gt;"Serviço",0,IF(AND(AUTOEVENTO="Manual",$M694=1),0,IF(OFFSET(CRONOPLE!$F$14,$M694,BM$13)="",10^12,OFFSET(CRONOPLE!$F$14,$M694,BM$13))))</f>
        <v>1000000000000</v>
      </c>
      <c r="BN694" s="181">
        <f ca="1">IF($D694&lt;&gt;"Serviço",0,IF(AND(AUTOEVENTO="Manual",$M694=1),0,IF(OFFSET(CRONOPLE!$F$14,$M694,BN$13)="",10^12,OFFSET(CRONOPLE!$F$14,$M694,BN$13))))</f>
        <v>1000000000000</v>
      </c>
      <c r="BO694" s="181">
        <f ca="1">IF($D694&lt;&gt;"Serviço",0,IF(AND(AUTOEVENTO="Manual",$M694=1),0,IF(OFFSET(CRONOPLE!$F$14,$M694,BO$13)="",10^12,OFFSET(CRONOPLE!$F$14,$M694,BO$13))))</f>
        <v>1000000000000</v>
      </c>
      <c r="BP694" s="181">
        <f ca="1">IF($D694&lt;&gt;"Serviço",0,IF(AND(AUTOEVENTO="Manual",$M694=1),0,IF(OFFSET(CRONOPLE!$F$14,$M694,BP$13)="",10^12,OFFSET(CRONOPLE!$F$14,$M694,BP$13))))</f>
        <v>1000000000000</v>
      </c>
      <c r="BQ694" s="181">
        <f ca="1">IF($D694&lt;&gt;"Serviço",0,IF(AND(AUTOEVENTO="Manual",$M694=1),0,IF(OFFSET(CRONOPLE!$F$14,$M694,BQ$13)="",10^12,OFFSET(CRONOPLE!$F$14,$M694,BQ$13))))</f>
        <v>1000000000000</v>
      </c>
      <c r="BR694" s="181">
        <f ca="1">IF($D694&lt;&gt;"Serviço",0,IF(AND(AUTOEVENTO="Manual",$M694=1),0,IF(OFFSET(CRONOPLE!$F$14,$M694,BR$13)="",10^12,OFFSET(CRONOPLE!$F$14,$M694,BR$13))))</f>
        <v>1000000000000</v>
      </c>
      <c r="BS694" s="181">
        <f ca="1">IF($D694&lt;&gt;"Serviço",0,IF(AND(AUTOEVENTO="Manual",$M694=1),0,IF(OFFSET(CRONOPLE!$F$14,$M694,BS$13)="",10^12,OFFSET(CRONOPLE!$F$14,$M694,BS$13))))</f>
        <v>1000000000000</v>
      </c>
      <c r="BT694" s="181">
        <f ca="1">IF($D694&lt;&gt;"Serviço",0,IF(AND(AUTOEVENTO="Manual",$M694=1),0,IF(OFFSET(CRONOPLE!$F$14,$M694,BT$13)="",10^12,OFFSET(CRONOPLE!$F$14,$M694,BT$13))))</f>
        <v>1000000000000</v>
      </c>
      <c r="BV694" s="182">
        <f ca="1">IF($D694&lt;&gt;"Serviço",0,IF(OR(AND(AUTOEVENTO="Manual",$M694=1),$M694&gt;(ROW(PLE.lastrow)-ROW(PLE.firstrow))),0,IF(OFFSET(PLE!$G$14,$M694,BV$13)="",10^12,OFFSET(PLE!$G$14,$M694,BV$13))))</f>
        <v>1000000000000</v>
      </c>
      <c r="BW694" s="182">
        <f ca="1">IF($D694&lt;&gt;"Serviço",0,IF(OR(AND(AUTOEVENTO="Manual",$M694=1),$M694&gt;(ROW(PLE.lastrow)-ROW(PLE.firstrow))),0,IF(OFFSET(PLE!$G$14,$M694,BW$13)="",10^12,OFFSET(PLE!$G$14,$M694,BW$13))))</f>
        <v>1000000000000</v>
      </c>
      <c r="BX694" s="182">
        <f ca="1">IF($D694&lt;&gt;"Serviço",0,IF(OR(AND(AUTOEVENTO="Manual",$M694=1),$M694&gt;(ROW(PLE.lastrow)-ROW(PLE.firstrow))),0,IF(OFFSET(PLE!$G$14,$M694,BX$13)="",10^12,OFFSET(PLE!$G$14,$M694,BX$13))))</f>
        <v>1000000000000</v>
      </c>
      <c r="BY694" s="182">
        <f ca="1">IF($D694&lt;&gt;"Serviço",0,IF(OR(AND(AUTOEVENTO="Manual",$M694=1),$M694&gt;(ROW(PLE.lastrow)-ROW(PLE.firstrow))),0,IF(OFFSET(PLE!$G$14,$M694,BY$13)="",10^12,OFFSET(PLE!$G$14,$M694,BY$13))))</f>
        <v>1000000000000</v>
      </c>
      <c r="BZ694" s="182">
        <f ca="1">IF($D694&lt;&gt;"Serviço",0,IF(OR(AND(AUTOEVENTO="Manual",$M694=1),$M694&gt;(ROW(PLE.lastrow)-ROW(PLE.firstrow))),0,IF(OFFSET(PLE!$G$14,$M694,BZ$13)="",10^12,OFFSET(PLE!$G$14,$M694,BZ$13))))</f>
        <v>1000000000000</v>
      </c>
      <c r="CA694" s="182">
        <f ca="1">IF($D694&lt;&gt;"Serviço",0,IF(OR(AND(AUTOEVENTO="Manual",$M694=1),$M694&gt;(ROW(PLE.lastrow)-ROW(PLE.firstrow))),0,IF(OFFSET(PLE!$G$14,$M694,CA$13)="",10^12,OFFSET(PLE!$G$14,$M694,CA$13))))</f>
        <v>1000000000000</v>
      </c>
      <c r="CB694" s="182">
        <f ca="1">IF($D694&lt;&gt;"Serviço",0,IF(OR(AND(AUTOEVENTO="Manual",$M694=1),$M694&gt;(ROW(PLE.lastrow)-ROW(PLE.firstrow))),0,IF(OFFSET(PLE!$G$14,$M694,CB$13)="",10^12,OFFSET(PLE!$G$14,$M694,CB$13))))</f>
        <v>1000000000000</v>
      </c>
      <c r="CC694" s="182">
        <f ca="1">IF($D694&lt;&gt;"Serviço",0,IF(OR(AND(AUTOEVENTO="Manual",$M694=1),$M694&gt;(ROW(PLE.lastrow)-ROW(PLE.firstrow))),0,IF(OFFSET(PLE!$G$14,$M694,CC$13)="",10^12,OFFSET(PLE!$G$14,$M694,CC$13))))</f>
        <v>1000000000000</v>
      </c>
      <c r="CD694" s="182">
        <f ca="1">IF($D694&lt;&gt;"Serviço",0,IF(OR(AND(AUTOEVENTO="Manual",$M694=1),$M694&gt;(ROW(PLE.lastrow)-ROW(PLE.firstrow))),0,IF(OFFSET(PLE!$G$14,$M694,CD$13)="",10^12,OFFSET(PLE!$G$14,$M694,CD$13))))</f>
        <v>1000000000000</v>
      </c>
      <c r="CE694" s="182">
        <f ca="1">IF($D694&lt;&gt;"Serviço",0,IF(OR(AND(AUTOEVENTO="Manual",$M694=1),$M694&gt;(ROW(PLE.lastrow)-ROW(PLE.firstrow))),0,IF(OFFSET(PLE!$G$14,$M694,CE$13)="",10^12,OFFSET(PLE!$G$14,$M694,CE$13))))</f>
        <v>1000000000000</v>
      </c>
      <c r="CF694" s="182">
        <f ca="1">IF($D694&lt;&gt;"Serviço",0,IF(OR(AND(AUTOEVENTO="Manual",$M694=1),$M694&gt;(ROW(PLE.lastrow)-ROW(PLE.firstrow))),0,IF(OFFSET(PLE!$G$14,$M694,CF$13)="",10^12,OFFSET(PLE!$G$14,$M694,CF$13))))</f>
        <v>1000000000000</v>
      </c>
      <c r="CG694" s="182">
        <f ca="1">IF($D694&lt;&gt;"Serviço",0,IF(OR(AND(AUTOEVENTO="Manual",$M694=1),$M694&gt;(ROW(PLE.lastrow)-ROW(PLE.firstrow))),0,IF(OFFSET(PLE!$G$14,$M694,CG$13)="",10^12,OFFSET(PLE!$G$14,$M694,CG$13))))</f>
        <v>1000000000000</v>
      </c>
      <c r="CH694" s="182">
        <f ca="1">IF($D694&lt;&gt;"Serviço",0,IF(OR(AND(AUTOEVENTO="Manual",$M694=1),$M694&gt;(ROW(PLE.lastrow)-ROW(PLE.firstrow))),0,IF(OFFSET(PLE!$G$14,$M694,CH$13)="",10^12,OFFSET(PLE!$G$14,$M694,CH$13))))</f>
        <v>1000000000000</v>
      </c>
      <c r="CI694" s="182">
        <f ca="1">IF($D694&lt;&gt;"Serviço",0,IF(OR(AND(AUTOEVENTO="Manual",$M694=1),$M694&gt;(ROW(PLE.lastrow)-ROW(PLE.firstrow))),0,IF(OFFSET(PLE!$G$14,$M694,CI$13)="",10^12,OFFSET(PLE!$G$14,$M694,CI$13))))</f>
        <v>1000000000000</v>
      </c>
      <c r="CJ694" s="182">
        <f ca="1">IF($D694&lt;&gt;"Serviço",0,IF(OR(AND(AUTOEVENTO="Manual",$M694=1),$M694&gt;(ROW(PLE.lastrow)-ROW(PLE.firstrow))),0,IF(OFFSET(PLE!$G$14,$M694,CJ$13)="",10^12,OFFSET(PLE!$G$14,$M694,CJ$13))))</f>
        <v>1000000000000</v>
      </c>
      <c r="CK694" s="182">
        <f ca="1">IF($D694&lt;&gt;"Serviço",0,IF(OR(AND(AUTOEVENTO="Manual",$M694=1),$M694&gt;(ROW(PLE.lastrow)-ROW(PLE.firstrow))),0,IF(OFFSET(PLE!$G$14,$M694,CK$13)="",10^12,OFFSET(PLE!$G$14,$M694,CK$13))))</f>
        <v>1000000000000</v>
      </c>
      <c r="CL694" s="182">
        <f ca="1">IF($D694&lt;&gt;"Serviço",0,IF(OR(AND(AUTOEVENTO="Manual",$M694=1),$M694&gt;(ROW(PLE.lastrow)-ROW(PLE.firstrow))),0,IF(OFFSET(PLE!$G$14,$M694,CL$13)="",10^12,OFFSET(PLE!$G$14,$M694,CL$13))))</f>
        <v>1000000000000</v>
      </c>
      <c r="CM694" s="182">
        <f ca="1">IF($D694&lt;&gt;"Serviço",0,IF(OR(AND(AUTOEVENTO="Manual",$M694=1),$M694&gt;(ROW(PLE.lastrow)-ROW(PLE.firstrow))),0,IF(OFFSET(PLE!$G$14,$M694,CM$13)="",10^12,OFFSET(PLE!$G$14,$M694,CM$13))))</f>
        <v>1000000000000</v>
      </c>
    </row>
    <row r="695" spans="1:91" ht="12.75" x14ac:dyDescent="0.2">
      <c r="A695" s="7" t="str">
        <f t="shared" ca="1" si="19"/>
        <v>680.</v>
      </c>
      <c r="B695" s="7">
        <f ca="1">OFFSET(ORÇAMENTO!C$15,ROW(B695)-ROW(B$15),0)</f>
        <v>2</v>
      </c>
      <c r="C695" s="7" t="str">
        <f ca="1">OFFSET(ORÇAMENTO!L$15,ROW(C695)-ROW(C$15),0)</f>
        <v>F</v>
      </c>
      <c r="D695" s="118" t="str">
        <f ca="1">OFFSET(ORÇAMENTO!N$15,ROW(D695)-ROW(D$15),0)</f>
        <v>Nível 2</v>
      </c>
      <c r="E695" s="119" t="str">
        <f ca="1">OFFSET(ORÇAMENTO!O$15,ROW(E695)-ROW(E$15),0)</f>
        <v>1.75.</v>
      </c>
      <c r="F695" s="172" t="str">
        <f ca="1">OFFSET(ORÇAMENTO!R$15,ROW(F695)-ROW(F$15),0)</f>
        <v>MURO DE FECHAMENTO - CONCRETO ARMADO PARA PILARES</v>
      </c>
      <c r="G695" s="173" t="str">
        <f ca="1">IF($D695&lt;&gt;"Serviço","",OFFSET(ORÇAMENTO!S$15,ROW(G695)-ROW(G$15),0))</f>
        <v/>
      </c>
      <c r="H695" s="124">
        <f ca="1">IF($D695&lt;&gt;"Serviço",0,IF(ACOMPANHAMENTO="BM",ROUND(OFFSET(ORÇAMENTO!AJ$15,ROW(H695)-ROW(H$15),0),15-13*ORÇAMENTO!$AF$7),SUMPRODUCT(($Q$12:$AI$12&lt;&gt;"")*ROUND($Q695:$AI695,15-13*ORÇAMENTO!$AF$7))))</f>
        <v>0</v>
      </c>
      <c r="I695" s="561"/>
      <c r="K695" s="174"/>
      <c r="L695" s="175" t="s">
        <v>255</v>
      </c>
      <c r="M695" s="176" t="str">
        <f ca="1">IF($D695&lt;&gt;"Serviço","",IF(AUTOEVENTO="manual",$A695,IF(ISERROR(MATCH($A695,$A$15:OFFSET($A695,-1,0),0)),MAX($M$15:OFFSET(M695,-1,0))+1,INDEX($M$15:OFFSET(M695,-1,0),MATCH($A695,$A$15:OFFSET($A695,-1,0),0)))))</f>
        <v/>
      </c>
      <c r="N695" s="177" t="str">
        <f ca="1">IF($D695&lt;&gt;"Serviço","",IF(AUTOEVENTO="Manual",IF($A695=0,"&lt;-- defina o número do agrupador",OFFSET(EVENTOS!$D$14,$A695,0)),OFFSET($F$15,$A695,0)))</f>
        <v/>
      </c>
      <c r="O695" s="178"/>
      <c r="Q695" s="178">
        <v>0</v>
      </c>
      <c r="R695" s="179"/>
      <c r="S695" s="179"/>
      <c r="T695" s="179"/>
      <c r="U695" s="179"/>
      <c r="V695" s="179"/>
      <c r="W695" s="179"/>
      <c r="X695" s="179"/>
      <c r="Y695" s="179"/>
      <c r="Z695" s="180"/>
      <c r="AA695" s="179"/>
      <c r="AB695" s="179"/>
      <c r="AC695" s="179"/>
      <c r="AD695" s="179"/>
      <c r="AE695" s="179"/>
      <c r="AF695" s="179"/>
      <c r="AG695" s="179"/>
      <c r="AH695" s="180"/>
      <c r="AJ695" s="544">
        <f ca="1">IF(AND($D695="Serviço",AJ$12&lt;&gt;0,$H695&gt;0,OR(AUTOEVENTO&lt;&gt;"manual",$M695&lt;&gt;1)),
IF(Import.TipoArredondamento&lt;&gt;"TransfereGOV",
ROUND(OFFSET($P695,0,AJ$13),15-13*ORÇAMENTO!$AF$7)/$H695*OFFSET(ORÇAMENTO!$X$15,ROW(AJ695)-ROW(AJ$15),0),
ROUND(ROUND(OFFSET($P695,0,AJ$13),15-13*ORÇAMENTO!$AF$7)*OFFSET(ORÇAMENTO!$W$15,ROW(AJ695)-ROW(AJ$15),0),15-13*ORÇAMENTO!$AF$11)),0)</f>
        <v>0</v>
      </c>
      <c r="AK695" s="545">
        <f ca="1">IF(AND($D695="Serviço",AK$12&lt;&gt;0,$H695&gt;0,OR(AUTOEVENTO&lt;&gt;"manual",$M695&lt;&gt;1)),
IF(Import.TipoArredondamento&lt;&gt;"TransfereGOV",
ROUND(OFFSET($P695,0,AK$13),15-13*ORÇAMENTO!$AF$7)/$H695*OFFSET(ORÇAMENTO!$X$15,ROW(AK695)-ROW(AK$15),0),
ROUND(ROUND(OFFSET($P695,0,AK$13),15-13*ORÇAMENTO!$AF$7)*OFFSET(ORÇAMENTO!$W$15,ROW(AK695)-ROW(AK$15),0),15-13*ORÇAMENTO!$AF$11)),0)</f>
        <v>0</v>
      </c>
      <c r="AL695" s="545">
        <f ca="1">IF(AND($D695="Serviço",AL$12&lt;&gt;0,$H695&gt;0,OR(AUTOEVENTO&lt;&gt;"manual",$M695&lt;&gt;1)),
IF(Import.TipoArredondamento&lt;&gt;"TransfereGOV",
ROUND(OFFSET($P695,0,AL$13),15-13*ORÇAMENTO!$AF$7)/$H695*OFFSET(ORÇAMENTO!$X$15,ROW(AL695)-ROW(AL$15),0),
ROUND(ROUND(OFFSET($P695,0,AL$13),15-13*ORÇAMENTO!$AF$7)*OFFSET(ORÇAMENTO!$W$15,ROW(AL695)-ROW(AL$15),0),15-13*ORÇAMENTO!$AF$11)),0)</f>
        <v>0</v>
      </c>
      <c r="AM695" s="545">
        <f ca="1">IF(AND($D695="Serviço",AM$12&lt;&gt;0,$H695&gt;0,OR(AUTOEVENTO&lt;&gt;"manual",$M695&lt;&gt;1)),
IF(Import.TipoArredondamento&lt;&gt;"TransfereGOV",
ROUND(OFFSET($P695,0,AM$13),15-13*ORÇAMENTO!$AF$7)/$H695*OFFSET(ORÇAMENTO!$X$15,ROW(AM695)-ROW(AM$15),0),
ROUND(ROUND(OFFSET($P695,0,AM$13),15-13*ORÇAMENTO!$AF$7)*OFFSET(ORÇAMENTO!$W$15,ROW(AM695)-ROW(AM$15),0),15-13*ORÇAMENTO!$AF$11)),0)</f>
        <v>0</v>
      </c>
      <c r="AN695" s="545">
        <f ca="1">IF(AND($D695="Serviço",AN$12&lt;&gt;0,$H695&gt;0,OR(AUTOEVENTO&lt;&gt;"manual",$M695&lt;&gt;1)),
IF(Import.TipoArredondamento&lt;&gt;"TransfereGOV",
ROUND(OFFSET($P695,0,AN$13),15-13*ORÇAMENTO!$AF$7)/$H695*OFFSET(ORÇAMENTO!$X$15,ROW(AN695)-ROW(AN$15),0),
ROUND(ROUND(OFFSET($P695,0,AN$13),15-13*ORÇAMENTO!$AF$7)*OFFSET(ORÇAMENTO!$W$15,ROW(AN695)-ROW(AN$15),0),15-13*ORÇAMENTO!$AF$11)),0)</f>
        <v>0</v>
      </c>
      <c r="AO695" s="545">
        <f ca="1">IF(AND($D695="Serviço",AO$12&lt;&gt;0,$H695&gt;0,OR(AUTOEVENTO&lt;&gt;"manual",$M695&lt;&gt;1)),
IF(Import.TipoArredondamento&lt;&gt;"TransfereGOV",
ROUND(OFFSET($P695,0,AO$13),15-13*ORÇAMENTO!$AF$7)/$H695*OFFSET(ORÇAMENTO!$X$15,ROW(AO695)-ROW(AO$15),0),
ROUND(ROUND(OFFSET($P695,0,AO$13),15-13*ORÇAMENTO!$AF$7)*OFFSET(ORÇAMENTO!$W$15,ROW(AO695)-ROW(AO$15),0),15-13*ORÇAMENTO!$AF$11)),0)</f>
        <v>0</v>
      </c>
      <c r="AP695" s="545">
        <f ca="1">IF(AND($D695="Serviço",AP$12&lt;&gt;0,$H695&gt;0,OR(AUTOEVENTO&lt;&gt;"manual",$M695&lt;&gt;1)),
IF(Import.TipoArredondamento&lt;&gt;"TransfereGOV",
ROUND(OFFSET($P695,0,AP$13),15-13*ORÇAMENTO!$AF$7)/$H695*OFFSET(ORÇAMENTO!$X$15,ROW(AP695)-ROW(AP$15),0),
ROUND(ROUND(OFFSET($P695,0,AP$13),15-13*ORÇAMENTO!$AF$7)*OFFSET(ORÇAMENTO!$W$15,ROW(AP695)-ROW(AP$15),0),15-13*ORÇAMENTO!$AF$11)),0)</f>
        <v>0</v>
      </c>
      <c r="AQ695" s="545">
        <f ca="1">IF(AND($D695="Serviço",AQ$12&lt;&gt;0,$H695&gt;0,OR(AUTOEVENTO&lt;&gt;"manual",$M695&lt;&gt;1)),
IF(Import.TipoArredondamento&lt;&gt;"TransfereGOV",
ROUND(OFFSET($P695,0,AQ$13),15-13*ORÇAMENTO!$AF$7)/$H695*OFFSET(ORÇAMENTO!$X$15,ROW(AQ695)-ROW(AQ$15),0),
ROUND(ROUND(OFFSET($P695,0,AQ$13),15-13*ORÇAMENTO!$AF$7)*OFFSET(ORÇAMENTO!$W$15,ROW(AQ695)-ROW(AQ$15),0),15-13*ORÇAMENTO!$AF$11)),0)</f>
        <v>0</v>
      </c>
      <c r="AR695" s="545">
        <f ca="1">IF(AND($D695="Serviço",AR$12&lt;&gt;0,$H695&gt;0,OR(AUTOEVENTO&lt;&gt;"manual",$M695&lt;&gt;1)),
IF(Import.TipoArredondamento&lt;&gt;"TransfereGOV",
ROUND(OFFSET($P695,0,AR$13),15-13*ORÇAMENTO!$AF$7)/$H695*OFFSET(ORÇAMENTO!$X$15,ROW(AR695)-ROW(AR$15),0),
ROUND(ROUND(OFFSET($P695,0,AR$13),15-13*ORÇAMENTO!$AF$7)*OFFSET(ORÇAMENTO!$W$15,ROW(AR695)-ROW(AR$15),0),15-13*ORÇAMENTO!$AF$11)),0)</f>
        <v>0</v>
      </c>
      <c r="AS695" s="546">
        <f ca="1">IF(AND($D695="Serviço",AS$12&lt;&gt;0,$H695&gt;0,OR(AUTOEVENTO&lt;&gt;"manual",$M695&lt;&gt;1)),
IF(Import.TipoArredondamento&lt;&gt;"TransfereGOV",
ROUND(OFFSET($P695,0,AS$13),15-13*ORÇAMENTO!$AF$7)/$H695*OFFSET(ORÇAMENTO!$X$15,ROW(AS695)-ROW(AS$15),0),
ROUND(ROUND(OFFSET($P695,0,AS$13),15-13*ORÇAMENTO!$AF$7)*OFFSET(ORÇAMENTO!$W$15,ROW(AS695)-ROW(AS$15),0),15-13*ORÇAMENTO!$AF$11)),0)</f>
        <v>0</v>
      </c>
      <c r="AT695" s="545">
        <f ca="1">IF(AND($D695="Serviço",AT$12&lt;&gt;0,$H695&gt;0,OR(AUTOEVENTO&lt;&gt;"manual",$M695&lt;&gt;1)),
IF(Import.TipoArredondamento&lt;&gt;"TransfereGOV",
ROUND(OFFSET($P695,0,AT$13),15-13*ORÇAMENTO!$AF$7)/$H695*OFFSET(ORÇAMENTO!$X$15,ROW(AT695)-ROW(AT$15),0),
ROUND(ROUND(OFFSET($P695,0,AT$13),15-13*ORÇAMENTO!$AF$7)*OFFSET(ORÇAMENTO!$W$15,ROW(AT695)-ROW(AT$15),0),15-13*ORÇAMENTO!$AF$11)),0)</f>
        <v>0</v>
      </c>
      <c r="AU695" s="545">
        <f ca="1">IF(AND($D695="Serviço",AU$12&lt;&gt;0,$H695&gt;0,OR(AUTOEVENTO&lt;&gt;"manual",$M695&lt;&gt;1)),
IF(Import.TipoArredondamento&lt;&gt;"TransfereGOV",
ROUND(OFFSET($P695,0,AU$13),15-13*ORÇAMENTO!$AF$7)/$H695*OFFSET(ORÇAMENTO!$X$15,ROW(AU695)-ROW(AU$15),0),
ROUND(ROUND(OFFSET($P695,0,AU$13),15-13*ORÇAMENTO!$AF$7)*OFFSET(ORÇAMENTO!$W$15,ROW(AU695)-ROW(AU$15),0),15-13*ORÇAMENTO!$AF$11)),0)</f>
        <v>0</v>
      </c>
      <c r="AV695" s="545">
        <f ca="1">IF(AND($D695="Serviço",AV$12&lt;&gt;0,$H695&gt;0,OR(AUTOEVENTO&lt;&gt;"manual",$M695&lt;&gt;1)),
IF(Import.TipoArredondamento&lt;&gt;"TransfereGOV",
ROUND(OFFSET($P695,0,AV$13),15-13*ORÇAMENTO!$AF$7)/$H695*OFFSET(ORÇAMENTO!$X$15,ROW(AV695)-ROW(AV$15),0),
ROUND(ROUND(OFFSET($P695,0,AV$13),15-13*ORÇAMENTO!$AF$7)*OFFSET(ORÇAMENTO!$W$15,ROW(AV695)-ROW(AV$15),0),15-13*ORÇAMENTO!$AF$11)),0)</f>
        <v>0</v>
      </c>
      <c r="AW695" s="545">
        <f ca="1">IF(AND($D695="Serviço",AW$12&lt;&gt;0,$H695&gt;0,OR(AUTOEVENTO&lt;&gt;"manual",$M695&lt;&gt;1)),
IF(Import.TipoArredondamento&lt;&gt;"TransfereGOV",
ROUND(OFFSET($P695,0,AW$13),15-13*ORÇAMENTO!$AF$7)/$H695*OFFSET(ORÇAMENTO!$X$15,ROW(AW695)-ROW(AW$15),0),
ROUND(ROUND(OFFSET($P695,0,AW$13),15-13*ORÇAMENTO!$AF$7)*OFFSET(ORÇAMENTO!$W$15,ROW(AW695)-ROW(AW$15),0),15-13*ORÇAMENTO!$AF$11)),0)</f>
        <v>0</v>
      </c>
      <c r="AX695" s="545">
        <f ca="1">IF(AND($D695="Serviço",AX$12&lt;&gt;0,$H695&gt;0,OR(AUTOEVENTO&lt;&gt;"manual",$M695&lt;&gt;1)),
IF(Import.TipoArredondamento&lt;&gt;"TransfereGOV",
ROUND(OFFSET($P695,0,AX$13),15-13*ORÇAMENTO!$AF$7)/$H695*OFFSET(ORÇAMENTO!$X$15,ROW(AX695)-ROW(AX$15),0),
ROUND(ROUND(OFFSET($P695,0,AX$13),15-13*ORÇAMENTO!$AF$7)*OFFSET(ORÇAMENTO!$W$15,ROW(AX695)-ROW(AX$15),0),15-13*ORÇAMENTO!$AF$11)),0)</f>
        <v>0</v>
      </c>
      <c r="AY695" s="545">
        <f ca="1">IF(AND($D695="Serviço",AY$12&lt;&gt;0,$H695&gt;0,OR(AUTOEVENTO&lt;&gt;"manual",$M695&lt;&gt;1)),
IF(Import.TipoArredondamento&lt;&gt;"TransfereGOV",
ROUND(OFFSET($P695,0,AY$13),15-13*ORÇAMENTO!$AF$7)/$H695*OFFSET(ORÇAMENTO!$X$15,ROW(AY695)-ROW(AY$15),0),
ROUND(ROUND(OFFSET($P695,0,AY$13),15-13*ORÇAMENTO!$AF$7)*OFFSET(ORÇAMENTO!$W$15,ROW(AY695)-ROW(AY$15),0),15-13*ORÇAMENTO!$AF$11)),0)</f>
        <v>0</v>
      </c>
      <c r="AZ695" s="545">
        <f ca="1">IF(AND($D695="Serviço",AZ$12&lt;&gt;0,$H695&gt;0,OR(AUTOEVENTO&lt;&gt;"manual",$M695&lt;&gt;1)),
IF(Import.TipoArredondamento&lt;&gt;"TransfereGOV",
ROUND(OFFSET($P695,0,AZ$13),15-13*ORÇAMENTO!$AF$7)/$H695*OFFSET(ORÇAMENTO!$X$15,ROW(AZ695)-ROW(AZ$15),0),
ROUND(ROUND(OFFSET($P695,0,AZ$13),15-13*ORÇAMENTO!$AF$7)*OFFSET(ORÇAMENTO!$W$15,ROW(AZ695)-ROW(AZ$15),0),15-13*ORÇAMENTO!$AF$11)),0)</f>
        <v>0</v>
      </c>
      <c r="BA695" s="546">
        <f ca="1">IF(AND($D695="Serviço",BA$12&lt;&gt;0,$H695&gt;0,OR(AUTOEVENTO&lt;&gt;"manual",$M695&lt;&gt;1)),
IF(Import.TipoArredondamento&lt;&gt;"TransfereGOV",
ROUND(OFFSET($P695,0,BA$13),15-13*ORÇAMENTO!$AF$7)/$H695*OFFSET(ORÇAMENTO!$X$15,ROW(BA695)-ROW(BA$15),0),
ROUND(ROUND(OFFSET($P695,0,BA$13),15-13*ORÇAMENTO!$AF$7)*OFFSET(ORÇAMENTO!$W$15,ROW(BA695)-ROW(BA$15),0),15-13*ORÇAMENTO!$AF$11)),0)</f>
        <v>0</v>
      </c>
      <c r="BC695" s="181">
        <f ca="1">IF($D695&lt;&gt;"Serviço",0,IF(AND(AUTOEVENTO="Manual",$M695=1),0,IF(OFFSET(CRONOPLE!$F$14,$M695,BC$13)="",10^12,OFFSET(CRONOPLE!$F$14,$M695,BC$13))))</f>
        <v>0</v>
      </c>
      <c r="BD695" s="181">
        <f ca="1">IF($D695&lt;&gt;"Serviço",0,IF(AND(AUTOEVENTO="Manual",$M695=1),0,IF(OFFSET(CRONOPLE!$F$14,$M695,BD$13)="",10^12,OFFSET(CRONOPLE!$F$14,$M695,BD$13))))</f>
        <v>0</v>
      </c>
      <c r="BE695" s="181">
        <f ca="1">IF($D695&lt;&gt;"Serviço",0,IF(AND(AUTOEVENTO="Manual",$M695=1),0,IF(OFFSET(CRONOPLE!$F$14,$M695,BE$13)="",10^12,OFFSET(CRONOPLE!$F$14,$M695,BE$13))))</f>
        <v>0</v>
      </c>
      <c r="BF695" s="181">
        <f ca="1">IF($D695&lt;&gt;"Serviço",0,IF(AND(AUTOEVENTO="Manual",$M695=1),0,IF(OFFSET(CRONOPLE!$F$14,$M695,BF$13)="",10^12,OFFSET(CRONOPLE!$F$14,$M695,BF$13))))</f>
        <v>0</v>
      </c>
      <c r="BG695" s="181">
        <f ca="1">IF($D695&lt;&gt;"Serviço",0,IF(AND(AUTOEVENTO="Manual",$M695=1),0,IF(OFFSET(CRONOPLE!$F$14,$M695,BG$13)="",10^12,OFFSET(CRONOPLE!$F$14,$M695,BG$13))))</f>
        <v>0</v>
      </c>
      <c r="BH695" s="181">
        <f ca="1">IF($D695&lt;&gt;"Serviço",0,IF(AND(AUTOEVENTO="Manual",$M695=1),0,IF(OFFSET(CRONOPLE!$F$14,$M695,BH$13)="",10^12,OFFSET(CRONOPLE!$F$14,$M695,BH$13))))</f>
        <v>0</v>
      </c>
      <c r="BI695" s="181">
        <f ca="1">IF($D695&lt;&gt;"Serviço",0,IF(AND(AUTOEVENTO="Manual",$M695=1),0,IF(OFFSET(CRONOPLE!$F$14,$M695,BI$13)="",10^12,OFFSET(CRONOPLE!$F$14,$M695,BI$13))))</f>
        <v>0</v>
      </c>
      <c r="BJ695" s="181">
        <f ca="1">IF($D695&lt;&gt;"Serviço",0,IF(AND(AUTOEVENTO="Manual",$M695=1),0,IF(OFFSET(CRONOPLE!$F$14,$M695,BJ$13)="",10^12,OFFSET(CRONOPLE!$F$14,$M695,BJ$13))))</f>
        <v>0</v>
      </c>
      <c r="BK695" s="181">
        <f ca="1">IF($D695&lt;&gt;"Serviço",0,IF(AND(AUTOEVENTO="Manual",$M695=1),0,IF(OFFSET(CRONOPLE!$F$14,$M695,BK$13)="",10^12,OFFSET(CRONOPLE!$F$14,$M695,BK$13))))</f>
        <v>0</v>
      </c>
      <c r="BL695" s="181">
        <f ca="1">IF($D695&lt;&gt;"Serviço",0,IF(AND(AUTOEVENTO="Manual",$M695=1),0,IF(OFFSET(CRONOPLE!$F$14,$M695,BL$13)="",10^12,OFFSET(CRONOPLE!$F$14,$M695,BL$13))))</f>
        <v>0</v>
      </c>
      <c r="BM695" s="181">
        <f ca="1">IF($D695&lt;&gt;"Serviço",0,IF(AND(AUTOEVENTO="Manual",$M695=1),0,IF(OFFSET(CRONOPLE!$F$14,$M695,BM$13)="",10^12,OFFSET(CRONOPLE!$F$14,$M695,BM$13))))</f>
        <v>0</v>
      </c>
      <c r="BN695" s="181">
        <f ca="1">IF($D695&lt;&gt;"Serviço",0,IF(AND(AUTOEVENTO="Manual",$M695=1),0,IF(OFFSET(CRONOPLE!$F$14,$M695,BN$13)="",10^12,OFFSET(CRONOPLE!$F$14,$M695,BN$13))))</f>
        <v>0</v>
      </c>
      <c r="BO695" s="181">
        <f ca="1">IF($D695&lt;&gt;"Serviço",0,IF(AND(AUTOEVENTO="Manual",$M695=1),0,IF(OFFSET(CRONOPLE!$F$14,$M695,BO$13)="",10^12,OFFSET(CRONOPLE!$F$14,$M695,BO$13))))</f>
        <v>0</v>
      </c>
      <c r="BP695" s="181">
        <f ca="1">IF($D695&lt;&gt;"Serviço",0,IF(AND(AUTOEVENTO="Manual",$M695=1),0,IF(OFFSET(CRONOPLE!$F$14,$M695,BP$13)="",10^12,OFFSET(CRONOPLE!$F$14,$M695,BP$13))))</f>
        <v>0</v>
      </c>
      <c r="BQ695" s="181">
        <f ca="1">IF($D695&lt;&gt;"Serviço",0,IF(AND(AUTOEVENTO="Manual",$M695=1),0,IF(OFFSET(CRONOPLE!$F$14,$M695,BQ$13)="",10^12,OFFSET(CRONOPLE!$F$14,$M695,BQ$13))))</f>
        <v>0</v>
      </c>
      <c r="BR695" s="181">
        <f ca="1">IF($D695&lt;&gt;"Serviço",0,IF(AND(AUTOEVENTO="Manual",$M695=1),0,IF(OFFSET(CRONOPLE!$F$14,$M695,BR$13)="",10^12,OFFSET(CRONOPLE!$F$14,$M695,BR$13))))</f>
        <v>0</v>
      </c>
      <c r="BS695" s="181">
        <f ca="1">IF($D695&lt;&gt;"Serviço",0,IF(AND(AUTOEVENTO="Manual",$M695=1),0,IF(OFFSET(CRONOPLE!$F$14,$M695,BS$13)="",10^12,OFFSET(CRONOPLE!$F$14,$M695,BS$13))))</f>
        <v>0</v>
      </c>
      <c r="BT695" s="181">
        <f ca="1">IF($D695&lt;&gt;"Serviço",0,IF(AND(AUTOEVENTO="Manual",$M695=1),0,IF(OFFSET(CRONOPLE!$F$14,$M695,BT$13)="",10^12,OFFSET(CRONOPLE!$F$14,$M695,BT$13))))</f>
        <v>0</v>
      </c>
      <c r="BV695" s="182">
        <f ca="1">IF($D695&lt;&gt;"Serviço",0,IF(OR(AND(AUTOEVENTO="Manual",$M695=1),$M695&gt;(ROW(PLE.lastrow)-ROW(PLE.firstrow))),0,IF(OFFSET(PLE!$G$14,$M695,BV$13)="",10^12,OFFSET(PLE!$G$14,$M695,BV$13))))</f>
        <v>0</v>
      </c>
      <c r="BW695" s="182">
        <f ca="1">IF($D695&lt;&gt;"Serviço",0,IF(OR(AND(AUTOEVENTO="Manual",$M695=1),$M695&gt;(ROW(PLE.lastrow)-ROW(PLE.firstrow))),0,IF(OFFSET(PLE!$G$14,$M695,BW$13)="",10^12,OFFSET(PLE!$G$14,$M695,BW$13))))</f>
        <v>0</v>
      </c>
      <c r="BX695" s="182">
        <f ca="1">IF($D695&lt;&gt;"Serviço",0,IF(OR(AND(AUTOEVENTO="Manual",$M695=1),$M695&gt;(ROW(PLE.lastrow)-ROW(PLE.firstrow))),0,IF(OFFSET(PLE!$G$14,$M695,BX$13)="",10^12,OFFSET(PLE!$G$14,$M695,BX$13))))</f>
        <v>0</v>
      </c>
      <c r="BY695" s="182">
        <f ca="1">IF($D695&lt;&gt;"Serviço",0,IF(OR(AND(AUTOEVENTO="Manual",$M695=1),$M695&gt;(ROW(PLE.lastrow)-ROW(PLE.firstrow))),0,IF(OFFSET(PLE!$G$14,$M695,BY$13)="",10^12,OFFSET(PLE!$G$14,$M695,BY$13))))</f>
        <v>0</v>
      </c>
      <c r="BZ695" s="182">
        <f ca="1">IF($D695&lt;&gt;"Serviço",0,IF(OR(AND(AUTOEVENTO="Manual",$M695=1),$M695&gt;(ROW(PLE.lastrow)-ROW(PLE.firstrow))),0,IF(OFFSET(PLE!$G$14,$M695,BZ$13)="",10^12,OFFSET(PLE!$G$14,$M695,BZ$13))))</f>
        <v>0</v>
      </c>
      <c r="CA695" s="182">
        <f ca="1">IF($D695&lt;&gt;"Serviço",0,IF(OR(AND(AUTOEVENTO="Manual",$M695=1),$M695&gt;(ROW(PLE.lastrow)-ROW(PLE.firstrow))),0,IF(OFFSET(PLE!$G$14,$M695,CA$13)="",10^12,OFFSET(PLE!$G$14,$M695,CA$13))))</f>
        <v>0</v>
      </c>
      <c r="CB695" s="182">
        <f ca="1">IF($D695&lt;&gt;"Serviço",0,IF(OR(AND(AUTOEVENTO="Manual",$M695=1),$M695&gt;(ROW(PLE.lastrow)-ROW(PLE.firstrow))),0,IF(OFFSET(PLE!$G$14,$M695,CB$13)="",10^12,OFFSET(PLE!$G$14,$M695,CB$13))))</f>
        <v>0</v>
      </c>
      <c r="CC695" s="182">
        <f ca="1">IF($D695&lt;&gt;"Serviço",0,IF(OR(AND(AUTOEVENTO="Manual",$M695=1),$M695&gt;(ROW(PLE.lastrow)-ROW(PLE.firstrow))),0,IF(OFFSET(PLE!$G$14,$M695,CC$13)="",10^12,OFFSET(PLE!$G$14,$M695,CC$13))))</f>
        <v>0</v>
      </c>
      <c r="CD695" s="182">
        <f ca="1">IF($D695&lt;&gt;"Serviço",0,IF(OR(AND(AUTOEVENTO="Manual",$M695=1),$M695&gt;(ROW(PLE.lastrow)-ROW(PLE.firstrow))),0,IF(OFFSET(PLE!$G$14,$M695,CD$13)="",10^12,OFFSET(PLE!$G$14,$M695,CD$13))))</f>
        <v>0</v>
      </c>
      <c r="CE695" s="182">
        <f ca="1">IF($D695&lt;&gt;"Serviço",0,IF(OR(AND(AUTOEVENTO="Manual",$M695=1),$M695&gt;(ROW(PLE.lastrow)-ROW(PLE.firstrow))),0,IF(OFFSET(PLE!$G$14,$M695,CE$13)="",10^12,OFFSET(PLE!$G$14,$M695,CE$13))))</f>
        <v>0</v>
      </c>
      <c r="CF695" s="182">
        <f ca="1">IF($D695&lt;&gt;"Serviço",0,IF(OR(AND(AUTOEVENTO="Manual",$M695=1),$M695&gt;(ROW(PLE.lastrow)-ROW(PLE.firstrow))),0,IF(OFFSET(PLE!$G$14,$M695,CF$13)="",10^12,OFFSET(PLE!$G$14,$M695,CF$13))))</f>
        <v>0</v>
      </c>
      <c r="CG695" s="182">
        <f ca="1">IF($D695&lt;&gt;"Serviço",0,IF(OR(AND(AUTOEVENTO="Manual",$M695=1),$M695&gt;(ROW(PLE.lastrow)-ROW(PLE.firstrow))),0,IF(OFFSET(PLE!$G$14,$M695,CG$13)="",10^12,OFFSET(PLE!$G$14,$M695,CG$13))))</f>
        <v>0</v>
      </c>
      <c r="CH695" s="182">
        <f ca="1">IF($D695&lt;&gt;"Serviço",0,IF(OR(AND(AUTOEVENTO="Manual",$M695=1),$M695&gt;(ROW(PLE.lastrow)-ROW(PLE.firstrow))),0,IF(OFFSET(PLE!$G$14,$M695,CH$13)="",10^12,OFFSET(PLE!$G$14,$M695,CH$13))))</f>
        <v>0</v>
      </c>
      <c r="CI695" s="182">
        <f ca="1">IF($D695&lt;&gt;"Serviço",0,IF(OR(AND(AUTOEVENTO="Manual",$M695=1),$M695&gt;(ROW(PLE.lastrow)-ROW(PLE.firstrow))),0,IF(OFFSET(PLE!$G$14,$M695,CI$13)="",10^12,OFFSET(PLE!$G$14,$M695,CI$13))))</f>
        <v>0</v>
      </c>
      <c r="CJ695" s="182">
        <f ca="1">IF($D695&lt;&gt;"Serviço",0,IF(OR(AND(AUTOEVENTO="Manual",$M695=1),$M695&gt;(ROW(PLE.lastrow)-ROW(PLE.firstrow))),0,IF(OFFSET(PLE!$G$14,$M695,CJ$13)="",10^12,OFFSET(PLE!$G$14,$M695,CJ$13))))</f>
        <v>0</v>
      </c>
      <c r="CK695" s="182">
        <f ca="1">IF($D695&lt;&gt;"Serviço",0,IF(OR(AND(AUTOEVENTO="Manual",$M695=1),$M695&gt;(ROW(PLE.lastrow)-ROW(PLE.firstrow))),0,IF(OFFSET(PLE!$G$14,$M695,CK$13)="",10^12,OFFSET(PLE!$G$14,$M695,CK$13))))</f>
        <v>0</v>
      </c>
      <c r="CL695" s="182">
        <f ca="1">IF($D695&lt;&gt;"Serviço",0,IF(OR(AND(AUTOEVENTO="Manual",$M695=1),$M695&gt;(ROW(PLE.lastrow)-ROW(PLE.firstrow))),0,IF(OFFSET(PLE!$G$14,$M695,CL$13)="",10^12,OFFSET(PLE!$G$14,$M695,CL$13))))</f>
        <v>0</v>
      </c>
      <c r="CM695" s="182">
        <f ca="1">IF($D695&lt;&gt;"Serviço",0,IF(OR(AND(AUTOEVENTO="Manual",$M695=1),$M695&gt;(ROW(PLE.lastrow)-ROW(PLE.firstrow))),0,IF(OFFSET(PLE!$G$14,$M695,CM$13)="",10^12,OFFSET(PLE!$G$14,$M695,CM$13))))</f>
        <v>0</v>
      </c>
    </row>
    <row r="696" spans="1:91" ht="51" x14ac:dyDescent="0.2">
      <c r="A696" s="7" t="str">
        <f t="shared" ca="1" si="19"/>
        <v>680</v>
      </c>
      <c r="B696" s="7" t="str">
        <f ca="1">OFFSET(ORÇAMENTO!C$15,ROW(B696)-ROW(B$15),0)</f>
        <v>S</v>
      </c>
      <c r="C696" s="7" t="str">
        <f ca="1">OFFSET(ORÇAMENTO!L$15,ROW(C696)-ROW(C$15),0)</f>
        <v/>
      </c>
      <c r="D696" s="118" t="str">
        <f ca="1">OFFSET(ORÇAMENTO!N$15,ROW(D696)-ROW(D$15),0)</f>
        <v>Serviço</v>
      </c>
      <c r="E696" s="119" t="str">
        <f ca="1">OFFSET(ORÇAMENTO!O$15,ROW(E696)-ROW(E$15),0)</f>
        <v>-</v>
      </c>
      <c r="F696" s="172" t="str">
        <f ca="1">OFFSET(ORÇAMENTO!R$15,ROW(F696)-ROW(F$15),0)</f>
        <v>(abra o arquivo 'Referência 06-2024.xlsm)</v>
      </c>
      <c r="G696" s="173" t="str">
        <f ca="1">IF($D696&lt;&gt;"Serviço","",OFFSET(ORÇAMENTO!S$15,ROW(G696)-ROW(G$15),0))</f>
        <v>-</v>
      </c>
      <c r="H696" s="124">
        <f ca="1">IF($D696&lt;&gt;"Serviço",0,IF(ACOMPANHAMENTO="BM",ROUND(OFFSET(ORÇAMENTO!AJ$15,ROW(H696)-ROW(H$15),0),15-13*ORÇAMENTO!$AF$7),SUMPRODUCT(($Q$12:$AI$12&lt;&gt;"")*ROUND($Q696:$AI696,15-13*ORÇAMENTO!$AF$7))))</f>
        <v>104.48</v>
      </c>
      <c r="I696" s="561" t="s">
        <v>1107</v>
      </c>
      <c r="K696" s="174"/>
      <c r="L696" s="175" t="s">
        <v>255</v>
      </c>
      <c r="M696" s="176">
        <f ca="1">IF($D696&lt;&gt;"Serviço","",IF(AUTOEVENTO="manual",$A696,IF(ISERROR(MATCH($A696,$A$15:OFFSET($A696,-1,0),0)),MAX($M$15:OFFSET(M696,-1,0))+1,INDEX($M$15:OFFSET(M696,-1,0),MATCH($A696,$A$15:OFFSET($A696,-1,0),0)))))</f>
        <v>76</v>
      </c>
      <c r="N696" s="177" t="str">
        <f ca="1">IF($D696&lt;&gt;"Serviço","",IF(AUTOEVENTO="Manual",IF($A696=0,"&lt;-- defina o número do agrupador",OFFSET(EVENTOS!$D$14,$A696,0)),OFFSET($F$15,$A696,0)))</f>
        <v>MURO DE FECHAMENTO - CONCRETO ARMADO PARA PILARES</v>
      </c>
      <c r="O696" s="178"/>
      <c r="Q696" s="178">
        <v>104.48</v>
      </c>
      <c r="R696" s="179"/>
      <c r="S696" s="179"/>
      <c r="T696" s="179"/>
      <c r="U696" s="179"/>
      <c r="V696" s="179"/>
      <c r="W696" s="179"/>
      <c r="X696" s="179"/>
      <c r="Y696" s="179"/>
      <c r="Z696" s="180"/>
      <c r="AA696" s="179"/>
      <c r="AB696" s="179"/>
      <c r="AC696" s="179"/>
      <c r="AD696" s="179"/>
      <c r="AE696" s="179"/>
      <c r="AF696" s="179"/>
      <c r="AG696" s="179"/>
      <c r="AH696" s="180"/>
      <c r="AJ696" s="544">
        <f ca="1">IF(AND($D696="Serviço",AJ$12&lt;&gt;0,$H696&gt;0,OR(AUTOEVENTO&lt;&gt;"manual",$M696&lt;&gt;1)),
IF(Import.TipoArredondamento&lt;&gt;"TransfereGOV",
ROUND(OFFSET($P696,0,AJ$13),15-13*ORÇAMENTO!$AF$7)/$H696*OFFSET(ORÇAMENTO!$X$15,ROW(AJ696)-ROW(AJ$15),0),
ROUND(ROUND(OFFSET($P696,0,AJ$13),15-13*ORÇAMENTO!$AF$7)*OFFSET(ORÇAMENTO!$W$15,ROW(AJ696)-ROW(AJ$15),0),15-13*ORÇAMENTO!$AF$11)),0)</f>
        <v>0</v>
      </c>
      <c r="AK696" s="545">
        <f ca="1">IF(AND($D696="Serviço",AK$12&lt;&gt;0,$H696&gt;0,OR(AUTOEVENTO&lt;&gt;"manual",$M696&lt;&gt;1)),
IF(Import.TipoArredondamento&lt;&gt;"TransfereGOV",
ROUND(OFFSET($P696,0,AK$13),15-13*ORÇAMENTO!$AF$7)/$H696*OFFSET(ORÇAMENTO!$X$15,ROW(AK696)-ROW(AK$15),0),
ROUND(ROUND(OFFSET($P696,0,AK$13),15-13*ORÇAMENTO!$AF$7)*OFFSET(ORÇAMENTO!$W$15,ROW(AK696)-ROW(AK$15),0),15-13*ORÇAMENTO!$AF$11)),0)</f>
        <v>0</v>
      </c>
      <c r="AL696" s="545">
        <f ca="1">IF(AND($D696="Serviço",AL$12&lt;&gt;0,$H696&gt;0,OR(AUTOEVENTO&lt;&gt;"manual",$M696&lt;&gt;1)),
IF(Import.TipoArredondamento&lt;&gt;"TransfereGOV",
ROUND(OFFSET($P696,0,AL$13),15-13*ORÇAMENTO!$AF$7)/$H696*OFFSET(ORÇAMENTO!$X$15,ROW(AL696)-ROW(AL$15),0),
ROUND(ROUND(OFFSET($P696,0,AL$13),15-13*ORÇAMENTO!$AF$7)*OFFSET(ORÇAMENTO!$W$15,ROW(AL696)-ROW(AL$15),0),15-13*ORÇAMENTO!$AF$11)),0)</f>
        <v>0</v>
      </c>
      <c r="AM696" s="545">
        <f ca="1">IF(AND($D696="Serviço",AM$12&lt;&gt;0,$H696&gt;0,OR(AUTOEVENTO&lt;&gt;"manual",$M696&lt;&gt;1)),
IF(Import.TipoArredondamento&lt;&gt;"TransfereGOV",
ROUND(OFFSET($P696,0,AM$13),15-13*ORÇAMENTO!$AF$7)/$H696*OFFSET(ORÇAMENTO!$X$15,ROW(AM696)-ROW(AM$15),0),
ROUND(ROUND(OFFSET($P696,0,AM$13),15-13*ORÇAMENTO!$AF$7)*OFFSET(ORÇAMENTO!$W$15,ROW(AM696)-ROW(AM$15),0),15-13*ORÇAMENTO!$AF$11)),0)</f>
        <v>0</v>
      </c>
      <c r="AN696" s="545">
        <f ca="1">IF(AND($D696="Serviço",AN$12&lt;&gt;0,$H696&gt;0,OR(AUTOEVENTO&lt;&gt;"manual",$M696&lt;&gt;1)),
IF(Import.TipoArredondamento&lt;&gt;"TransfereGOV",
ROUND(OFFSET($P696,0,AN$13),15-13*ORÇAMENTO!$AF$7)/$H696*OFFSET(ORÇAMENTO!$X$15,ROW(AN696)-ROW(AN$15),0),
ROUND(ROUND(OFFSET($P696,0,AN$13),15-13*ORÇAMENTO!$AF$7)*OFFSET(ORÇAMENTO!$W$15,ROW(AN696)-ROW(AN$15),0),15-13*ORÇAMENTO!$AF$11)),0)</f>
        <v>0</v>
      </c>
      <c r="AO696" s="545">
        <f ca="1">IF(AND($D696="Serviço",AO$12&lt;&gt;0,$H696&gt;0,OR(AUTOEVENTO&lt;&gt;"manual",$M696&lt;&gt;1)),
IF(Import.TipoArredondamento&lt;&gt;"TransfereGOV",
ROUND(OFFSET($P696,0,AO$13),15-13*ORÇAMENTO!$AF$7)/$H696*OFFSET(ORÇAMENTO!$X$15,ROW(AO696)-ROW(AO$15),0),
ROUND(ROUND(OFFSET($P696,0,AO$13),15-13*ORÇAMENTO!$AF$7)*OFFSET(ORÇAMENTO!$W$15,ROW(AO696)-ROW(AO$15),0),15-13*ORÇAMENTO!$AF$11)),0)</f>
        <v>0</v>
      </c>
      <c r="AP696" s="545">
        <f ca="1">IF(AND($D696="Serviço",AP$12&lt;&gt;0,$H696&gt;0,OR(AUTOEVENTO&lt;&gt;"manual",$M696&lt;&gt;1)),
IF(Import.TipoArredondamento&lt;&gt;"TransfereGOV",
ROUND(OFFSET($P696,0,AP$13),15-13*ORÇAMENTO!$AF$7)/$H696*OFFSET(ORÇAMENTO!$X$15,ROW(AP696)-ROW(AP$15),0),
ROUND(ROUND(OFFSET($P696,0,AP$13),15-13*ORÇAMENTO!$AF$7)*OFFSET(ORÇAMENTO!$W$15,ROW(AP696)-ROW(AP$15),0),15-13*ORÇAMENTO!$AF$11)),0)</f>
        <v>0</v>
      </c>
      <c r="AQ696" s="545">
        <f ca="1">IF(AND($D696="Serviço",AQ$12&lt;&gt;0,$H696&gt;0,OR(AUTOEVENTO&lt;&gt;"manual",$M696&lt;&gt;1)),
IF(Import.TipoArredondamento&lt;&gt;"TransfereGOV",
ROUND(OFFSET($P696,0,AQ$13),15-13*ORÇAMENTO!$AF$7)/$H696*OFFSET(ORÇAMENTO!$X$15,ROW(AQ696)-ROW(AQ$15),0),
ROUND(ROUND(OFFSET($P696,0,AQ$13),15-13*ORÇAMENTO!$AF$7)*OFFSET(ORÇAMENTO!$W$15,ROW(AQ696)-ROW(AQ$15),0),15-13*ORÇAMENTO!$AF$11)),0)</f>
        <v>0</v>
      </c>
      <c r="AR696" s="545">
        <f ca="1">IF(AND($D696="Serviço",AR$12&lt;&gt;0,$H696&gt;0,OR(AUTOEVENTO&lt;&gt;"manual",$M696&lt;&gt;1)),
IF(Import.TipoArredondamento&lt;&gt;"TransfereGOV",
ROUND(OFFSET($P696,0,AR$13),15-13*ORÇAMENTO!$AF$7)/$H696*OFFSET(ORÇAMENTO!$X$15,ROW(AR696)-ROW(AR$15),0),
ROUND(ROUND(OFFSET($P696,0,AR$13),15-13*ORÇAMENTO!$AF$7)*OFFSET(ORÇAMENTO!$W$15,ROW(AR696)-ROW(AR$15),0),15-13*ORÇAMENTO!$AF$11)),0)</f>
        <v>0</v>
      </c>
      <c r="AS696" s="546">
        <f ca="1">IF(AND($D696="Serviço",AS$12&lt;&gt;0,$H696&gt;0,OR(AUTOEVENTO&lt;&gt;"manual",$M696&lt;&gt;1)),
IF(Import.TipoArredondamento&lt;&gt;"TransfereGOV",
ROUND(OFFSET($P696,0,AS$13),15-13*ORÇAMENTO!$AF$7)/$H696*OFFSET(ORÇAMENTO!$X$15,ROW(AS696)-ROW(AS$15),0),
ROUND(ROUND(OFFSET($P696,0,AS$13),15-13*ORÇAMENTO!$AF$7)*OFFSET(ORÇAMENTO!$W$15,ROW(AS696)-ROW(AS$15),0),15-13*ORÇAMENTO!$AF$11)),0)</f>
        <v>0</v>
      </c>
      <c r="AT696" s="545">
        <f ca="1">IF(AND($D696="Serviço",AT$12&lt;&gt;0,$H696&gt;0,OR(AUTOEVENTO&lt;&gt;"manual",$M696&lt;&gt;1)),
IF(Import.TipoArredondamento&lt;&gt;"TransfereGOV",
ROUND(OFFSET($P696,0,AT$13),15-13*ORÇAMENTO!$AF$7)/$H696*OFFSET(ORÇAMENTO!$X$15,ROW(AT696)-ROW(AT$15),0),
ROUND(ROUND(OFFSET($P696,0,AT$13),15-13*ORÇAMENTO!$AF$7)*OFFSET(ORÇAMENTO!$W$15,ROW(AT696)-ROW(AT$15),0),15-13*ORÇAMENTO!$AF$11)),0)</f>
        <v>0</v>
      </c>
      <c r="AU696" s="545">
        <f ca="1">IF(AND($D696="Serviço",AU$12&lt;&gt;0,$H696&gt;0,OR(AUTOEVENTO&lt;&gt;"manual",$M696&lt;&gt;1)),
IF(Import.TipoArredondamento&lt;&gt;"TransfereGOV",
ROUND(OFFSET($P696,0,AU$13),15-13*ORÇAMENTO!$AF$7)/$H696*OFFSET(ORÇAMENTO!$X$15,ROW(AU696)-ROW(AU$15),0),
ROUND(ROUND(OFFSET($P696,0,AU$13),15-13*ORÇAMENTO!$AF$7)*OFFSET(ORÇAMENTO!$W$15,ROW(AU696)-ROW(AU$15),0),15-13*ORÇAMENTO!$AF$11)),0)</f>
        <v>0</v>
      </c>
      <c r="AV696" s="545">
        <f ca="1">IF(AND($D696="Serviço",AV$12&lt;&gt;0,$H696&gt;0,OR(AUTOEVENTO&lt;&gt;"manual",$M696&lt;&gt;1)),
IF(Import.TipoArredondamento&lt;&gt;"TransfereGOV",
ROUND(OFFSET($P696,0,AV$13),15-13*ORÇAMENTO!$AF$7)/$H696*OFFSET(ORÇAMENTO!$X$15,ROW(AV696)-ROW(AV$15),0),
ROUND(ROUND(OFFSET($P696,0,AV$13),15-13*ORÇAMENTO!$AF$7)*OFFSET(ORÇAMENTO!$W$15,ROW(AV696)-ROW(AV$15),0),15-13*ORÇAMENTO!$AF$11)),0)</f>
        <v>0</v>
      </c>
      <c r="AW696" s="545">
        <f ca="1">IF(AND($D696="Serviço",AW$12&lt;&gt;0,$H696&gt;0,OR(AUTOEVENTO&lt;&gt;"manual",$M696&lt;&gt;1)),
IF(Import.TipoArredondamento&lt;&gt;"TransfereGOV",
ROUND(OFFSET($P696,0,AW$13),15-13*ORÇAMENTO!$AF$7)/$H696*OFFSET(ORÇAMENTO!$X$15,ROW(AW696)-ROW(AW$15),0),
ROUND(ROUND(OFFSET($P696,0,AW$13),15-13*ORÇAMENTO!$AF$7)*OFFSET(ORÇAMENTO!$W$15,ROW(AW696)-ROW(AW$15),0),15-13*ORÇAMENTO!$AF$11)),0)</f>
        <v>0</v>
      </c>
      <c r="AX696" s="545">
        <f ca="1">IF(AND($D696="Serviço",AX$12&lt;&gt;0,$H696&gt;0,OR(AUTOEVENTO&lt;&gt;"manual",$M696&lt;&gt;1)),
IF(Import.TipoArredondamento&lt;&gt;"TransfereGOV",
ROUND(OFFSET($P696,0,AX$13),15-13*ORÇAMENTO!$AF$7)/$H696*OFFSET(ORÇAMENTO!$X$15,ROW(AX696)-ROW(AX$15),0),
ROUND(ROUND(OFFSET($P696,0,AX$13),15-13*ORÇAMENTO!$AF$7)*OFFSET(ORÇAMENTO!$W$15,ROW(AX696)-ROW(AX$15),0),15-13*ORÇAMENTO!$AF$11)),0)</f>
        <v>0</v>
      </c>
      <c r="AY696" s="545">
        <f ca="1">IF(AND($D696="Serviço",AY$12&lt;&gt;0,$H696&gt;0,OR(AUTOEVENTO&lt;&gt;"manual",$M696&lt;&gt;1)),
IF(Import.TipoArredondamento&lt;&gt;"TransfereGOV",
ROUND(OFFSET($P696,0,AY$13),15-13*ORÇAMENTO!$AF$7)/$H696*OFFSET(ORÇAMENTO!$X$15,ROW(AY696)-ROW(AY$15),0),
ROUND(ROUND(OFFSET($P696,0,AY$13),15-13*ORÇAMENTO!$AF$7)*OFFSET(ORÇAMENTO!$W$15,ROW(AY696)-ROW(AY$15),0),15-13*ORÇAMENTO!$AF$11)),0)</f>
        <v>0</v>
      </c>
      <c r="AZ696" s="545">
        <f ca="1">IF(AND($D696="Serviço",AZ$12&lt;&gt;0,$H696&gt;0,OR(AUTOEVENTO&lt;&gt;"manual",$M696&lt;&gt;1)),
IF(Import.TipoArredondamento&lt;&gt;"TransfereGOV",
ROUND(OFFSET($P696,0,AZ$13),15-13*ORÇAMENTO!$AF$7)/$H696*OFFSET(ORÇAMENTO!$X$15,ROW(AZ696)-ROW(AZ$15),0),
ROUND(ROUND(OFFSET($P696,0,AZ$13),15-13*ORÇAMENTO!$AF$7)*OFFSET(ORÇAMENTO!$W$15,ROW(AZ696)-ROW(AZ$15),0),15-13*ORÇAMENTO!$AF$11)),0)</f>
        <v>0</v>
      </c>
      <c r="BA696" s="546">
        <f ca="1">IF(AND($D696="Serviço",BA$12&lt;&gt;0,$H696&gt;0,OR(AUTOEVENTO&lt;&gt;"manual",$M696&lt;&gt;1)),
IF(Import.TipoArredondamento&lt;&gt;"TransfereGOV",
ROUND(OFFSET($P696,0,BA$13),15-13*ORÇAMENTO!$AF$7)/$H696*OFFSET(ORÇAMENTO!$X$15,ROW(BA696)-ROW(BA$15),0),
ROUND(ROUND(OFFSET($P696,0,BA$13),15-13*ORÇAMENTO!$AF$7)*OFFSET(ORÇAMENTO!$W$15,ROW(BA696)-ROW(BA$15),0),15-13*ORÇAMENTO!$AF$11)),0)</f>
        <v>0</v>
      </c>
      <c r="BC696" s="181">
        <f ca="1">IF($D696&lt;&gt;"Serviço",0,IF(AND(AUTOEVENTO="Manual",$M696=1),0,IF(OFFSET(CRONOPLE!$F$14,$M696,BC$13)="",10^12,OFFSET(CRONOPLE!$F$14,$M696,BC$13))))</f>
        <v>12</v>
      </c>
      <c r="BD696" s="181">
        <f ca="1">IF($D696&lt;&gt;"Serviço",0,IF(AND(AUTOEVENTO="Manual",$M696=1),0,IF(OFFSET(CRONOPLE!$F$14,$M696,BD$13)="",10^12,OFFSET(CRONOPLE!$F$14,$M696,BD$13))))</f>
        <v>1000000000000</v>
      </c>
      <c r="BE696" s="181">
        <f ca="1">IF($D696&lt;&gt;"Serviço",0,IF(AND(AUTOEVENTO="Manual",$M696=1),0,IF(OFFSET(CRONOPLE!$F$14,$M696,BE$13)="",10^12,OFFSET(CRONOPLE!$F$14,$M696,BE$13))))</f>
        <v>1000000000000</v>
      </c>
      <c r="BF696" s="181">
        <f ca="1">IF($D696&lt;&gt;"Serviço",0,IF(AND(AUTOEVENTO="Manual",$M696=1),0,IF(OFFSET(CRONOPLE!$F$14,$M696,BF$13)="",10^12,OFFSET(CRONOPLE!$F$14,$M696,BF$13))))</f>
        <v>1000000000000</v>
      </c>
      <c r="BG696" s="181">
        <f ca="1">IF($D696&lt;&gt;"Serviço",0,IF(AND(AUTOEVENTO="Manual",$M696=1),0,IF(OFFSET(CRONOPLE!$F$14,$M696,BG$13)="",10^12,OFFSET(CRONOPLE!$F$14,$M696,BG$13))))</f>
        <v>1000000000000</v>
      </c>
      <c r="BH696" s="181">
        <f ca="1">IF($D696&lt;&gt;"Serviço",0,IF(AND(AUTOEVENTO="Manual",$M696=1),0,IF(OFFSET(CRONOPLE!$F$14,$M696,BH$13)="",10^12,OFFSET(CRONOPLE!$F$14,$M696,BH$13))))</f>
        <v>1000000000000</v>
      </c>
      <c r="BI696" s="181">
        <f ca="1">IF($D696&lt;&gt;"Serviço",0,IF(AND(AUTOEVENTO="Manual",$M696=1),0,IF(OFFSET(CRONOPLE!$F$14,$M696,BI$13)="",10^12,OFFSET(CRONOPLE!$F$14,$M696,BI$13))))</f>
        <v>1000000000000</v>
      </c>
      <c r="BJ696" s="181">
        <f ca="1">IF($D696&lt;&gt;"Serviço",0,IF(AND(AUTOEVENTO="Manual",$M696=1),0,IF(OFFSET(CRONOPLE!$F$14,$M696,BJ$13)="",10^12,OFFSET(CRONOPLE!$F$14,$M696,BJ$13))))</f>
        <v>1000000000000</v>
      </c>
      <c r="BK696" s="181">
        <f ca="1">IF($D696&lt;&gt;"Serviço",0,IF(AND(AUTOEVENTO="Manual",$M696=1),0,IF(OFFSET(CRONOPLE!$F$14,$M696,BK$13)="",10^12,OFFSET(CRONOPLE!$F$14,$M696,BK$13))))</f>
        <v>1000000000000</v>
      </c>
      <c r="BL696" s="181">
        <f ca="1">IF($D696&lt;&gt;"Serviço",0,IF(AND(AUTOEVENTO="Manual",$M696=1),0,IF(OFFSET(CRONOPLE!$F$14,$M696,BL$13)="",10^12,OFFSET(CRONOPLE!$F$14,$M696,BL$13))))</f>
        <v>1000000000000</v>
      </c>
      <c r="BM696" s="181">
        <f ca="1">IF($D696&lt;&gt;"Serviço",0,IF(AND(AUTOEVENTO="Manual",$M696=1),0,IF(OFFSET(CRONOPLE!$F$14,$M696,BM$13)="",10^12,OFFSET(CRONOPLE!$F$14,$M696,BM$13))))</f>
        <v>1000000000000</v>
      </c>
      <c r="BN696" s="181">
        <f ca="1">IF($D696&lt;&gt;"Serviço",0,IF(AND(AUTOEVENTO="Manual",$M696=1),0,IF(OFFSET(CRONOPLE!$F$14,$M696,BN$13)="",10^12,OFFSET(CRONOPLE!$F$14,$M696,BN$13))))</f>
        <v>1000000000000</v>
      </c>
      <c r="BO696" s="181">
        <f ca="1">IF($D696&lt;&gt;"Serviço",0,IF(AND(AUTOEVENTO="Manual",$M696=1),0,IF(OFFSET(CRONOPLE!$F$14,$M696,BO$13)="",10^12,OFFSET(CRONOPLE!$F$14,$M696,BO$13))))</f>
        <v>1000000000000</v>
      </c>
      <c r="BP696" s="181">
        <f ca="1">IF($D696&lt;&gt;"Serviço",0,IF(AND(AUTOEVENTO="Manual",$M696=1),0,IF(OFFSET(CRONOPLE!$F$14,$M696,BP$13)="",10^12,OFFSET(CRONOPLE!$F$14,$M696,BP$13))))</f>
        <v>1000000000000</v>
      </c>
      <c r="BQ696" s="181">
        <f ca="1">IF($D696&lt;&gt;"Serviço",0,IF(AND(AUTOEVENTO="Manual",$M696=1),0,IF(OFFSET(CRONOPLE!$F$14,$M696,BQ$13)="",10^12,OFFSET(CRONOPLE!$F$14,$M696,BQ$13))))</f>
        <v>1000000000000</v>
      </c>
      <c r="BR696" s="181">
        <f ca="1">IF($D696&lt;&gt;"Serviço",0,IF(AND(AUTOEVENTO="Manual",$M696=1),0,IF(OFFSET(CRONOPLE!$F$14,$M696,BR$13)="",10^12,OFFSET(CRONOPLE!$F$14,$M696,BR$13))))</f>
        <v>1000000000000</v>
      </c>
      <c r="BS696" s="181">
        <f ca="1">IF($D696&lt;&gt;"Serviço",0,IF(AND(AUTOEVENTO="Manual",$M696=1),0,IF(OFFSET(CRONOPLE!$F$14,$M696,BS$13)="",10^12,OFFSET(CRONOPLE!$F$14,$M696,BS$13))))</f>
        <v>1000000000000</v>
      </c>
      <c r="BT696" s="181">
        <f ca="1">IF($D696&lt;&gt;"Serviço",0,IF(AND(AUTOEVENTO="Manual",$M696=1),0,IF(OFFSET(CRONOPLE!$F$14,$M696,BT$13)="",10^12,OFFSET(CRONOPLE!$F$14,$M696,BT$13))))</f>
        <v>1000000000000</v>
      </c>
      <c r="BV696" s="182">
        <f ca="1">IF($D696&lt;&gt;"Serviço",0,IF(OR(AND(AUTOEVENTO="Manual",$M696=1),$M696&gt;(ROW(PLE.lastrow)-ROW(PLE.firstrow))),0,IF(OFFSET(PLE!$G$14,$M696,BV$13)="",10^12,OFFSET(PLE!$G$14,$M696,BV$13))))</f>
        <v>1000000000000</v>
      </c>
      <c r="BW696" s="182">
        <f ca="1">IF($D696&lt;&gt;"Serviço",0,IF(OR(AND(AUTOEVENTO="Manual",$M696=1),$M696&gt;(ROW(PLE.lastrow)-ROW(PLE.firstrow))),0,IF(OFFSET(PLE!$G$14,$M696,BW$13)="",10^12,OFFSET(PLE!$G$14,$M696,BW$13))))</f>
        <v>1000000000000</v>
      </c>
      <c r="BX696" s="182">
        <f ca="1">IF($D696&lt;&gt;"Serviço",0,IF(OR(AND(AUTOEVENTO="Manual",$M696=1),$M696&gt;(ROW(PLE.lastrow)-ROW(PLE.firstrow))),0,IF(OFFSET(PLE!$G$14,$M696,BX$13)="",10^12,OFFSET(PLE!$G$14,$M696,BX$13))))</f>
        <v>1000000000000</v>
      </c>
      <c r="BY696" s="182">
        <f ca="1">IF($D696&lt;&gt;"Serviço",0,IF(OR(AND(AUTOEVENTO="Manual",$M696=1),$M696&gt;(ROW(PLE.lastrow)-ROW(PLE.firstrow))),0,IF(OFFSET(PLE!$G$14,$M696,BY$13)="",10^12,OFFSET(PLE!$G$14,$M696,BY$13))))</f>
        <v>1000000000000</v>
      </c>
      <c r="BZ696" s="182">
        <f ca="1">IF($D696&lt;&gt;"Serviço",0,IF(OR(AND(AUTOEVENTO="Manual",$M696=1),$M696&gt;(ROW(PLE.lastrow)-ROW(PLE.firstrow))),0,IF(OFFSET(PLE!$G$14,$M696,BZ$13)="",10^12,OFFSET(PLE!$G$14,$M696,BZ$13))))</f>
        <v>1000000000000</v>
      </c>
      <c r="CA696" s="182">
        <f ca="1">IF($D696&lt;&gt;"Serviço",0,IF(OR(AND(AUTOEVENTO="Manual",$M696=1),$M696&gt;(ROW(PLE.lastrow)-ROW(PLE.firstrow))),0,IF(OFFSET(PLE!$G$14,$M696,CA$13)="",10^12,OFFSET(PLE!$G$14,$M696,CA$13))))</f>
        <v>1000000000000</v>
      </c>
      <c r="CB696" s="182">
        <f ca="1">IF($D696&lt;&gt;"Serviço",0,IF(OR(AND(AUTOEVENTO="Manual",$M696=1),$M696&gt;(ROW(PLE.lastrow)-ROW(PLE.firstrow))),0,IF(OFFSET(PLE!$G$14,$M696,CB$13)="",10^12,OFFSET(PLE!$G$14,$M696,CB$13))))</f>
        <v>1000000000000</v>
      </c>
      <c r="CC696" s="182">
        <f ca="1">IF($D696&lt;&gt;"Serviço",0,IF(OR(AND(AUTOEVENTO="Manual",$M696=1),$M696&gt;(ROW(PLE.lastrow)-ROW(PLE.firstrow))),0,IF(OFFSET(PLE!$G$14,$M696,CC$13)="",10^12,OFFSET(PLE!$G$14,$M696,CC$13))))</f>
        <v>1000000000000</v>
      </c>
      <c r="CD696" s="182">
        <f ca="1">IF($D696&lt;&gt;"Serviço",0,IF(OR(AND(AUTOEVENTO="Manual",$M696=1),$M696&gt;(ROW(PLE.lastrow)-ROW(PLE.firstrow))),0,IF(OFFSET(PLE!$G$14,$M696,CD$13)="",10^12,OFFSET(PLE!$G$14,$M696,CD$13))))</f>
        <v>1000000000000</v>
      </c>
      <c r="CE696" s="182">
        <f ca="1">IF($D696&lt;&gt;"Serviço",0,IF(OR(AND(AUTOEVENTO="Manual",$M696=1),$M696&gt;(ROW(PLE.lastrow)-ROW(PLE.firstrow))),0,IF(OFFSET(PLE!$G$14,$M696,CE$13)="",10^12,OFFSET(PLE!$G$14,$M696,CE$13))))</f>
        <v>1000000000000</v>
      </c>
      <c r="CF696" s="182">
        <f ca="1">IF($D696&lt;&gt;"Serviço",0,IF(OR(AND(AUTOEVENTO="Manual",$M696=1),$M696&gt;(ROW(PLE.lastrow)-ROW(PLE.firstrow))),0,IF(OFFSET(PLE!$G$14,$M696,CF$13)="",10^12,OFFSET(PLE!$G$14,$M696,CF$13))))</f>
        <v>1000000000000</v>
      </c>
      <c r="CG696" s="182">
        <f ca="1">IF($D696&lt;&gt;"Serviço",0,IF(OR(AND(AUTOEVENTO="Manual",$M696=1),$M696&gt;(ROW(PLE.lastrow)-ROW(PLE.firstrow))),0,IF(OFFSET(PLE!$G$14,$M696,CG$13)="",10^12,OFFSET(PLE!$G$14,$M696,CG$13))))</f>
        <v>1000000000000</v>
      </c>
      <c r="CH696" s="182">
        <f ca="1">IF($D696&lt;&gt;"Serviço",0,IF(OR(AND(AUTOEVENTO="Manual",$M696=1),$M696&gt;(ROW(PLE.lastrow)-ROW(PLE.firstrow))),0,IF(OFFSET(PLE!$G$14,$M696,CH$13)="",10^12,OFFSET(PLE!$G$14,$M696,CH$13))))</f>
        <v>1000000000000</v>
      </c>
      <c r="CI696" s="182">
        <f ca="1">IF($D696&lt;&gt;"Serviço",0,IF(OR(AND(AUTOEVENTO="Manual",$M696=1),$M696&gt;(ROW(PLE.lastrow)-ROW(PLE.firstrow))),0,IF(OFFSET(PLE!$G$14,$M696,CI$13)="",10^12,OFFSET(PLE!$G$14,$M696,CI$13))))</f>
        <v>1000000000000</v>
      </c>
      <c r="CJ696" s="182">
        <f ca="1">IF($D696&lt;&gt;"Serviço",0,IF(OR(AND(AUTOEVENTO="Manual",$M696=1),$M696&gt;(ROW(PLE.lastrow)-ROW(PLE.firstrow))),0,IF(OFFSET(PLE!$G$14,$M696,CJ$13)="",10^12,OFFSET(PLE!$G$14,$M696,CJ$13))))</f>
        <v>1000000000000</v>
      </c>
      <c r="CK696" s="182">
        <f ca="1">IF($D696&lt;&gt;"Serviço",0,IF(OR(AND(AUTOEVENTO="Manual",$M696=1),$M696&gt;(ROW(PLE.lastrow)-ROW(PLE.firstrow))),0,IF(OFFSET(PLE!$G$14,$M696,CK$13)="",10^12,OFFSET(PLE!$G$14,$M696,CK$13))))</f>
        <v>1000000000000</v>
      </c>
      <c r="CL696" s="182">
        <f ca="1">IF($D696&lt;&gt;"Serviço",0,IF(OR(AND(AUTOEVENTO="Manual",$M696=1),$M696&gt;(ROW(PLE.lastrow)-ROW(PLE.firstrow))),0,IF(OFFSET(PLE!$G$14,$M696,CL$13)="",10^12,OFFSET(PLE!$G$14,$M696,CL$13))))</f>
        <v>1000000000000</v>
      </c>
      <c r="CM696" s="182">
        <f ca="1">IF($D696&lt;&gt;"Serviço",0,IF(OR(AND(AUTOEVENTO="Manual",$M696=1),$M696&gt;(ROW(PLE.lastrow)-ROW(PLE.firstrow))),0,IF(OFFSET(PLE!$G$14,$M696,CM$13)="",10^12,OFFSET(PLE!$G$14,$M696,CM$13))))</f>
        <v>1000000000000</v>
      </c>
    </row>
    <row r="697" spans="1:91" ht="38.25" x14ac:dyDescent="0.2">
      <c r="A697" s="7" t="str">
        <f t="shared" ca="1" si="19"/>
        <v>680</v>
      </c>
      <c r="B697" s="7" t="str">
        <f ca="1">OFFSET(ORÇAMENTO!C$15,ROW(B697)-ROW(B$15),0)</f>
        <v>S</v>
      </c>
      <c r="C697" s="7" t="str">
        <f ca="1">OFFSET(ORÇAMENTO!L$15,ROW(C697)-ROW(C$15),0)</f>
        <v/>
      </c>
      <c r="D697" s="118" t="str">
        <f ca="1">OFFSET(ORÇAMENTO!N$15,ROW(D697)-ROW(D$15),0)</f>
        <v>Serviço</v>
      </c>
      <c r="E697" s="119" t="str">
        <f ca="1">OFFSET(ORÇAMENTO!O$15,ROW(E697)-ROW(E$15),0)</f>
        <v>-</v>
      </c>
      <c r="F697" s="172" t="str">
        <f ca="1">OFFSET(ORÇAMENTO!R$15,ROW(F697)-ROW(F$15),0)</f>
        <v>(abra o arquivo 'Referência 06-2024.xlsm)</v>
      </c>
      <c r="G697" s="173" t="str">
        <f ca="1">IF($D697&lt;&gt;"Serviço","",OFFSET(ORÇAMENTO!S$15,ROW(G697)-ROW(G$15),0))</f>
        <v>-</v>
      </c>
      <c r="H697" s="124">
        <f ca="1">IF($D697&lt;&gt;"Serviço",0,IF(ACOMPANHAMENTO="BM",ROUND(OFFSET(ORÇAMENTO!AJ$15,ROW(H697)-ROW(H$15),0),15-13*ORÇAMENTO!$AF$7),SUMPRODUCT(($Q$12:$AI$12&lt;&gt;"")*ROUND($Q697:$AI697,15-13*ORÇAMENTO!$AF$7))))</f>
        <v>294.01</v>
      </c>
      <c r="I697" s="561" t="s">
        <v>1107</v>
      </c>
      <c r="K697" s="174"/>
      <c r="L697" s="175" t="s">
        <v>255</v>
      </c>
      <c r="M697" s="176">
        <f ca="1">IF($D697&lt;&gt;"Serviço","",IF(AUTOEVENTO="manual",$A697,IF(ISERROR(MATCH($A697,$A$15:OFFSET($A697,-1,0),0)),MAX($M$15:OFFSET(M697,-1,0))+1,INDEX($M$15:OFFSET(M697,-1,0),MATCH($A697,$A$15:OFFSET($A697,-1,0),0)))))</f>
        <v>76</v>
      </c>
      <c r="N697" s="177" t="str">
        <f ca="1">IF($D697&lt;&gt;"Serviço","",IF(AUTOEVENTO="Manual",IF($A697=0,"&lt;-- defina o número do agrupador",OFFSET(EVENTOS!$D$14,$A697,0)),OFFSET($F$15,$A697,0)))</f>
        <v>MURO DE FECHAMENTO - CONCRETO ARMADO PARA PILARES</v>
      </c>
      <c r="O697" s="178"/>
      <c r="Q697" s="178">
        <v>294.01</v>
      </c>
      <c r="R697" s="179"/>
      <c r="S697" s="179"/>
      <c r="T697" s="179"/>
      <c r="U697" s="179"/>
      <c r="V697" s="179"/>
      <c r="W697" s="179"/>
      <c r="X697" s="179"/>
      <c r="Y697" s="179"/>
      <c r="Z697" s="180"/>
      <c r="AA697" s="179"/>
      <c r="AB697" s="179"/>
      <c r="AC697" s="179"/>
      <c r="AD697" s="179"/>
      <c r="AE697" s="179"/>
      <c r="AF697" s="179"/>
      <c r="AG697" s="179"/>
      <c r="AH697" s="180"/>
      <c r="AJ697" s="544">
        <f ca="1">IF(AND($D697="Serviço",AJ$12&lt;&gt;0,$H697&gt;0,OR(AUTOEVENTO&lt;&gt;"manual",$M697&lt;&gt;1)),
IF(Import.TipoArredondamento&lt;&gt;"TransfereGOV",
ROUND(OFFSET($P697,0,AJ$13),15-13*ORÇAMENTO!$AF$7)/$H697*OFFSET(ORÇAMENTO!$X$15,ROW(AJ697)-ROW(AJ$15),0),
ROUND(ROUND(OFFSET($P697,0,AJ$13),15-13*ORÇAMENTO!$AF$7)*OFFSET(ORÇAMENTO!$W$15,ROW(AJ697)-ROW(AJ$15),0),15-13*ORÇAMENTO!$AF$11)),0)</f>
        <v>0</v>
      </c>
      <c r="AK697" s="545">
        <f ca="1">IF(AND($D697="Serviço",AK$12&lt;&gt;0,$H697&gt;0,OR(AUTOEVENTO&lt;&gt;"manual",$M697&lt;&gt;1)),
IF(Import.TipoArredondamento&lt;&gt;"TransfereGOV",
ROUND(OFFSET($P697,0,AK$13),15-13*ORÇAMENTO!$AF$7)/$H697*OFFSET(ORÇAMENTO!$X$15,ROW(AK697)-ROW(AK$15),0),
ROUND(ROUND(OFFSET($P697,0,AK$13),15-13*ORÇAMENTO!$AF$7)*OFFSET(ORÇAMENTO!$W$15,ROW(AK697)-ROW(AK$15),0),15-13*ORÇAMENTO!$AF$11)),0)</f>
        <v>0</v>
      </c>
      <c r="AL697" s="545">
        <f ca="1">IF(AND($D697="Serviço",AL$12&lt;&gt;0,$H697&gt;0,OR(AUTOEVENTO&lt;&gt;"manual",$M697&lt;&gt;1)),
IF(Import.TipoArredondamento&lt;&gt;"TransfereGOV",
ROUND(OFFSET($P697,0,AL$13),15-13*ORÇAMENTO!$AF$7)/$H697*OFFSET(ORÇAMENTO!$X$15,ROW(AL697)-ROW(AL$15),0),
ROUND(ROUND(OFFSET($P697,0,AL$13),15-13*ORÇAMENTO!$AF$7)*OFFSET(ORÇAMENTO!$W$15,ROW(AL697)-ROW(AL$15),0),15-13*ORÇAMENTO!$AF$11)),0)</f>
        <v>0</v>
      </c>
      <c r="AM697" s="545">
        <f ca="1">IF(AND($D697="Serviço",AM$12&lt;&gt;0,$H697&gt;0,OR(AUTOEVENTO&lt;&gt;"manual",$M697&lt;&gt;1)),
IF(Import.TipoArredondamento&lt;&gt;"TransfereGOV",
ROUND(OFFSET($P697,0,AM$13),15-13*ORÇAMENTO!$AF$7)/$H697*OFFSET(ORÇAMENTO!$X$15,ROW(AM697)-ROW(AM$15),0),
ROUND(ROUND(OFFSET($P697,0,AM$13),15-13*ORÇAMENTO!$AF$7)*OFFSET(ORÇAMENTO!$W$15,ROW(AM697)-ROW(AM$15),0),15-13*ORÇAMENTO!$AF$11)),0)</f>
        <v>0</v>
      </c>
      <c r="AN697" s="545">
        <f ca="1">IF(AND($D697="Serviço",AN$12&lt;&gt;0,$H697&gt;0,OR(AUTOEVENTO&lt;&gt;"manual",$M697&lt;&gt;1)),
IF(Import.TipoArredondamento&lt;&gt;"TransfereGOV",
ROUND(OFFSET($P697,0,AN$13),15-13*ORÇAMENTO!$AF$7)/$H697*OFFSET(ORÇAMENTO!$X$15,ROW(AN697)-ROW(AN$15),0),
ROUND(ROUND(OFFSET($P697,0,AN$13),15-13*ORÇAMENTO!$AF$7)*OFFSET(ORÇAMENTO!$W$15,ROW(AN697)-ROW(AN$15),0),15-13*ORÇAMENTO!$AF$11)),0)</f>
        <v>0</v>
      </c>
      <c r="AO697" s="545">
        <f ca="1">IF(AND($D697="Serviço",AO$12&lt;&gt;0,$H697&gt;0,OR(AUTOEVENTO&lt;&gt;"manual",$M697&lt;&gt;1)),
IF(Import.TipoArredondamento&lt;&gt;"TransfereGOV",
ROUND(OFFSET($P697,0,AO$13),15-13*ORÇAMENTO!$AF$7)/$H697*OFFSET(ORÇAMENTO!$X$15,ROW(AO697)-ROW(AO$15),0),
ROUND(ROUND(OFFSET($P697,0,AO$13),15-13*ORÇAMENTO!$AF$7)*OFFSET(ORÇAMENTO!$W$15,ROW(AO697)-ROW(AO$15),0),15-13*ORÇAMENTO!$AF$11)),0)</f>
        <v>0</v>
      </c>
      <c r="AP697" s="545">
        <f ca="1">IF(AND($D697="Serviço",AP$12&lt;&gt;0,$H697&gt;0,OR(AUTOEVENTO&lt;&gt;"manual",$M697&lt;&gt;1)),
IF(Import.TipoArredondamento&lt;&gt;"TransfereGOV",
ROUND(OFFSET($P697,0,AP$13),15-13*ORÇAMENTO!$AF$7)/$H697*OFFSET(ORÇAMENTO!$X$15,ROW(AP697)-ROW(AP$15),0),
ROUND(ROUND(OFFSET($P697,0,AP$13),15-13*ORÇAMENTO!$AF$7)*OFFSET(ORÇAMENTO!$W$15,ROW(AP697)-ROW(AP$15),0),15-13*ORÇAMENTO!$AF$11)),0)</f>
        <v>0</v>
      </c>
      <c r="AQ697" s="545">
        <f ca="1">IF(AND($D697="Serviço",AQ$12&lt;&gt;0,$H697&gt;0,OR(AUTOEVENTO&lt;&gt;"manual",$M697&lt;&gt;1)),
IF(Import.TipoArredondamento&lt;&gt;"TransfereGOV",
ROUND(OFFSET($P697,0,AQ$13),15-13*ORÇAMENTO!$AF$7)/$H697*OFFSET(ORÇAMENTO!$X$15,ROW(AQ697)-ROW(AQ$15),0),
ROUND(ROUND(OFFSET($P697,0,AQ$13),15-13*ORÇAMENTO!$AF$7)*OFFSET(ORÇAMENTO!$W$15,ROW(AQ697)-ROW(AQ$15),0),15-13*ORÇAMENTO!$AF$11)),0)</f>
        <v>0</v>
      </c>
      <c r="AR697" s="545">
        <f ca="1">IF(AND($D697="Serviço",AR$12&lt;&gt;0,$H697&gt;0,OR(AUTOEVENTO&lt;&gt;"manual",$M697&lt;&gt;1)),
IF(Import.TipoArredondamento&lt;&gt;"TransfereGOV",
ROUND(OFFSET($P697,0,AR$13),15-13*ORÇAMENTO!$AF$7)/$H697*OFFSET(ORÇAMENTO!$X$15,ROW(AR697)-ROW(AR$15),0),
ROUND(ROUND(OFFSET($P697,0,AR$13),15-13*ORÇAMENTO!$AF$7)*OFFSET(ORÇAMENTO!$W$15,ROW(AR697)-ROW(AR$15),0),15-13*ORÇAMENTO!$AF$11)),0)</f>
        <v>0</v>
      </c>
      <c r="AS697" s="546">
        <f ca="1">IF(AND($D697="Serviço",AS$12&lt;&gt;0,$H697&gt;0,OR(AUTOEVENTO&lt;&gt;"manual",$M697&lt;&gt;1)),
IF(Import.TipoArredondamento&lt;&gt;"TransfereGOV",
ROUND(OFFSET($P697,0,AS$13),15-13*ORÇAMENTO!$AF$7)/$H697*OFFSET(ORÇAMENTO!$X$15,ROW(AS697)-ROW(AS$15),0),
ROUND(ROUND(OFFSET($P697,0,AS$13),15-13*ORÇAMENTO!$AF$7)*OFFSET(ORÇAMENTO!$W$15,ROW(AS697)-ROW(AS$15),0),15-13*ORÇAMENTO!$AF$11)),0)</f>
        <v>0</v>
      </c>
      <c r="AT697" s="545">
        <f ca="1">IF(AND($D697="Serviço",AT$12&lt;&gt;0,$H697&gt;0,OR(AUTOEVENTO&lt;&gt;"manual",$M697&lt;&gt;1)),
IF(Import.TipoArredondamento&lt;&gt;"TransfereGOV",
ROUND(OFFSET($P697,0,AT$13),15-13*ORÇAMENTO!$AF$7)/$H697*OFFSET(ORÇAMENTO!$X$15,ROW(AT697)-ROW(AT$15),0),
ROUND(ROUND(OFFSET($P697,0,AT$13),15-13*ORÇAMENTO!$AF$7)*OFFSET(ORÇAMENTO!$W$15,ROW(AT697)-ROW(AT$15),0),15-13*ORÇAMENTO!$AF$11)),0)</f>
        <v>0</v>
      </c>
      <c r="AU697" s="545">
        <f ca="1">IF(AND($D697="Serviço",AU$12&lt;&gt;0,$H697&gt;0,OR(AUTOEVENTO&lt;&gt;"manual",$M697&lt;&gt;1)),
IF(Import.TipoArredondamento&lt;&gt;"TransfereGOV",
ROUND(OFFSET($P697,0,AU$13),15-13*ORÇAMENTO!$AF$7)/$H697*OFFSET(ORÇAMENTO!$X$15,ROW(AU697)-ROW(AU$15),0),
ROUND(ROUND(OFFSET($P697,0,AU$13),15-13*ORÇAMENTO!$AF$7)*OFFSET(ORÇAMENTO!$W$15,ROW(AU697)-ROW(AU$15),0),15-13*ORÇAMENTO!$AF$11)),0)</f>
        <v>0</v>
      </c>
      <c r="AV697" s="545">
        <f ca="1">IF(AND($D697="Serviço",AV$12&lt;&gt;0,$H697&gt;0,OR(AUTOEVENTO&lt;&gt;"manual",$M697&lt;&gt;1)),
IF(Import.TipoArredondamento&lt;&gt;"TransfereGOV",
ROUND(OFFSET($P697,0,AV$13),15-13*ORÇAMENTO!$AF$7)/$H697*OFFSET(ORÇAMENTO!$X$15,ROW(AV697)-ROW(AV$15),0),
ROUND(ROUND(OFFSET($P697,0,AV$13),15-13*ORÇAMENTO!$AF$7)*OFFSET(ORÇAMENTO!$W$15,ROW(AV697)-ROW(AV$15),0),15-13*ORÇAMENTO!$AF$11)),0)</f>
        <v>0</v>
      </c>
      <c r="AW697" s="545">
        <f ca="1">IF(AND($D697="Serviço",AW$12&lt;&gt;0,$H697&gt;0,OR(AUTOEVENTO&lt;&gt;"manual",$M697&lt;&gt;1)),
IF(Import.TipoArredondamento&lt;&gt;"TransfereGOV",
ROUND(OFFSET($P697,0,AW$13),15-13*ORÇAMENTO!$AF$7)/$H697*OFFSET(ORÇAMENTO!$X$15,ROW(AW697)-ROW(AW$15),0),
ROUND(ROUND(OFFSET($P697,0,AW$13),15-13*ORÇAMENTO!$AF$7)*OFFSET(ORÇAMENTO!$W$15,ROW(AW697)-ROW(AW$15),0),15-13*ORÇAMENTO!$AF$11)),0)</f>
        <v>0</v>
      </c>
      <c r="AX697" s="545">
        <f ca="1">IF(AND($D697="Serviço",AX$12&lt;&gt;0,$H697&gt;0,OR(AUTOEVENTO&lt;&gt;"manual",$M697&lt;&gt;1)),
IF(Import.TipoArredondamento&lt;&gt;"TransfereGOV",
ROUND(OFFSET($P697,0,AX$13),15-13*ORÇAMENTO!$AF$7)/$H697*OFFSET(ORÇAMENTO!$X$15,ROW(AX697)-ROW(AX$15),0),
ROUND(ROUND(OFFSET($P697,0,AX$13),15-13*ORÇAMENTO!$AF$7)*OFFSET(ORÇAMENTO!$W$15,ROW(AX697)-ROW(AX$15),0),15-13*ORÇAMENTO!$AF$11)),0)</f>
        <v>0</v>
      </c>
      <c r="AY697" s="545">
        <f ca="1">IF(AND($D697="Serviço",AY$12&lt;&gt;0,$H697&gt;0,OR(AUTOEVENTO&lt;&gt;"manual",$M697&lt;&gt;1)),
IF(Import.TipoArredondamento&lt;&gt;"TransfereGOV",
ROUND(OFFSET($P697,0,AY$13),15-13*ORÇAMENTO!$AF$7)/$H697*OFFSET(ORÇAMENTO!$X$15,ROW(AY697)-ROW(AY$15),0),
ROUND(ROUND(OFFSET($P697,0,AY$13),15-13*ORÇAMENTO!$AF$7)*OFFSET(ORÇAMENTO!$W$15,ROW(AY697)-ROW(AY$15),0),15-13*ORÇAMENTO!$AF$11)),0)</f>
        <v>0</v>
      </c>
      <c r="AZ697" s="545">
        <f ca="1">IF(AND($D697="Serviço",AZ$12&lt;&gt;0,$H697&gt;0,OR(AUTOEVENTO&lt;&gt;"manual",$M697&lt;&gt;1)),
IF(Import.TipoArredondamento&lt;&gt;"TransfereGOV",
ROUND(OFFSET($P697,0,AZ$13),15-13*ORÇAMENTO!$AF$7)/$H697*OFFSET(ORÇAMENTO!$X$15,ROW(AZ697)-ROW(AZ$15),0),
ROUND(ROUND(OFFSET($P697,0,AZ$13),15-13*ORÇAMENTO!$AF$7)*OFFSET(ORÇAMENTO!$W$15,ROW(AZ697)-ROW(AZ$15),0),15-13*ORÇAMENTO!$AF$11)),0)</f>
        <v>0</v>
      </c>
      <c r="BA697" s="546">
        <f ca="1">IF(AND($D697="Serviço",BA$12&lt;&gt;0,$H697&gt;0,OR(AUTOEVENTO&lt;&gt;"manual",$M697&lt;&gt;1)),
IF(Import.TipoArredondamento&lt;&gt;"TransfereGOV",
ROUND(OFFSET($P697,0,BA$13),15-13*ORÇAMENTO!$AF$7)/$H697*OFFSET(ORÇAMENTO!$X$15,ROW(BA697)-ROW(BA$15),0),
ROUND(ROUND(OFFSET($P697,0,BA$13),15-13*ORÇAMENTO!$AF$7)*OFFSET(ORÇAMENTO!$W$15,ROW(BA697)-ROW(BA$15),0),15-13*ORÇAMENTO!$AF$11)),0)</f>
        <v>0</v>
      </c>
      <c r="BC697" s="181">
        <f ca="1">IF($D697&lt;&gt;"Serviço",0,IF(AND(AUTOEVENTO="Manual",$M697=1),0,IF(OFFSET(CRONOPLE!$F$14,$M697,BC$13)="",10^12,OFFSET(CRONOPLE!$F$14,$M697,BC$13))))</f>
        <v>12</v>
      </c>
      <c r="BD697" s="181">
        <f ca="1">IF($D697&lt;&gt;"Serviço",0,IF(AND(AUTOEVENTO="Manual",$M697=1),0,IF(OFFSET(CRONOPLE!$F$14,$M697,BD$13)="",10^12,OFFSET(CRONOPLE!$F$14,$M697,BD$13))))</f>
        <v>1000000000000</v>
      </c>
      <c r="BE697" s="181">
        <f ca="1">IF($D697&lt;&gt;"Serviço",0,IF(AND(AUTOEVENTO="Manual",$M697=1),0,IF(OFFSET(CRONOPLE!$F$14,$M697,BE$13)="",10^12,OFFSET(CRONOPLE!$F$14,$M697,BE$13))))</f>
        <v>1000000000000</v>
      </c>
      <c r="BF697" s="181">
        <f ca="1">IF($D697&lt;&gt;"Serviço",0,IF(AND(AUTOEVENTO="Manual",$M697=1),0,IF(OFFSET(CRONOPLE!$F$14,$M697,BF$13)="",10^12,OFFSET(CRONOPLE!$F$14,$M697,BF$13))))</f>
        <v>1000000000000</v>
      </c>
      <c r="BG697" s="181">
        <f ca="1">IF($D697&lt;&gt;"Serviço",0,IF(AND(AUTOEVENTO="Manual",$M697=1),0,IF(OFFSET(CRONOPLE!$F$14,$M697,BG$13)="",10^12,OFFSET(CRONOPLE!$F$14,$M697,BG$13))))</f>
        <v>1000000000000</v>
      </c>
      <c r="BH697" s="181">
        <f ca="1">IF($D697&lt;&gt;"Serviço",0,IF(AND(AUTOEVENTO="Manual",$M697=1),0,IF(OFFSET(CRONOPLE!$F$14,$M697,BH$13)="",10^12,OFFSET(CRONOPLE!$F$14,$M697,BH$13))))</f>
        <v>1000000000000</v>
      </c>
      <c r="BI697" s="181">
        <f ca="1">IF($D697&lt;&gt;"Serviço",0,IF(AND(AUTOEVENTO="Manual",$M697=1),0,IF(OFFSET(CRONOPLE!$F$14,$M697,BI$13)="",10^12,OFFSET(CRONOPLE!$F$14,$M697,BI$13))))</f>
        <v>1000000000000</v>
      </c>
      <c r="BJ697" s="181">
        <f ca="1">IF($D697&lt;&gt;"Serviço",0,IF(AND(AUTOEVENTO="Manual",$M697=1),0,IF(OFFSET(CRONOPLE!$F$14,$M697,BJ$13)="",10^12,OFFSET(CRONOPLE!$F$14,$M697,BJ$13))))</f>
        <v>1000000000000</v>
      </c>
      <c r="BK697" s="181">
        <f ca="1">IF($D697&lt;&gt;"Serviço",0,IF(AND(AUTOEVENTO="Manual",$M697=1),0,IF(OFFSET(CRONOPLE!$F$14,$M697,BK$13)="",10^12,OFFSET(CRONOPLE!$F$14,$M697,BK$13))))</f>
        <v>1000000000000</v>
      </c>
      <c r="BL697" s="181">
        <f ca="1">IF($D697&lt;&gt;"Serviço",0,IF(AND(AUTOEVENTO="Manual",$M697=1),0,IF(OFFSET(CRONOPLE!$F$14,$M697,BL$13)="",10^12,OFFSET(CRONOPLE!$F$14,$M697,BL$13))))</f>
        <v>1000000000000</v>
      </c>
      <c r="BM697" s="181">
        <f ca="1">IF($D697&lt;&gt;"Serviço",0,IF(AND(AUTOEVENTO="Manual",$M697=1),0,IF(OFFSET(CRONOPLE!$F$14,$M697,BM$13)="",10^12,OFFSET(CRONOPLE!$F$14,$M697,BM$13))))</f>
        <v>1000000000000</v>
      </c>
      <c r="BN697" s="181">
        <f ca="1">IF($D697&lt;&gt;"Serviço",0,IF(AND(AUTOEVENTO="Manual",$M697=1),0,IF(OFFSET(CRONOPLE!$F$14,$M697,BN$13)="",10^12,OFFSET(CRONOPLE!$F$14,$M697,BN$13))))</f>
        <v>1000000000000</v>
      </c>
      <c r="BO697" s="181">
        <f ca="1">IF($D697&lt;&gt;"Serviço",0,IF(AND(AUTOEVENTO="Manual",$M697=1),0,IF(OFFSET(CRONOPLE!$F$14,$M697,BO$13)="",10^12,OFFSET(CRONOPLE!$F$14,$M697,BO$13))))</f>
        <v>1000000000000</v>
      </c>
      <c r="BP697" s="181">
        <f ca="1">IF($D697&lt;&gt;"Serviço",0,IF(AND(AUTOEVENTO="Manual",$M697=1),0,IF(OFFSET(CRONOPLE!$F$14,$M697,BP$13)="",10^12,OFFSET(CRONOPLE!$F$14,$M697,BP$13))))</f>
        <v>1000000000000</v>
      </c>
      <c r="BQ697" s="181">
        <f ca="1">IF($D697&lt;&gt;"Serviço",0,IF(AND(AUTOEVENTO="Manual",$M697=1),0,IF(OFFSET(CRONOPLE!$F$14,$M697,BQ$13)="",10^12,OFFSET(CRONOPLE!$F$14,$M697,BQ$13))))</f>
        <v>1000000000000</v>
      </c>
      <c r="BR697" s="181">
        <f ca="1">IF($D697&lt;&gt;"Serviço",0,IF(AND(AUTOEVENTO="Manual",$M697=1),0,IF(OFFSET(CRONOPLE!$F$14,$M697,BR$13)="",10^12,OFFSET(CRONOPLE!$F$14,$M697,BR$13))))</f>
        <v>1000000000000</v>
      </c>
      <c r="BS697" s="181">
        <f ca="1">IF($D697&lt;&gt;"Serviço",0,IF(AND(AUTOEVENTO="Manual",$M697=1),0,IF(OFFSET(CRONOPLE!$F$14,$M697,BS$13)="",10^12,OFFSET(CRONOPLE!$F$14,$M697,BS$13))))</f>
        <v>1000000000000</v>
      </c>
      <c r="BT697" s="181">
        <f ca="1">IF($D697&lt;&gt;"Serviço",0,IF(AND(AUTOEVENTO="Manual",$M697=1),0,IF(OFFSET(CRONOPLE!$F$14,$M697,BT$13)="",10^12,OFFSET(CRONOPLE!$F$14,$M697,BT$13))))</f>
        <v>1000000000000</v>
      </c>
      <c r="BV697" s="182">
        <f ca="1">IF($D697&lt;&gt;"Serviço",0,IF(OR(AND(AUTOEVENTO="Manual",$M697=1),$M697&gt;(ROW(PLE.lastrow)-ROW(PLE.firstrow))),0,IF(OFFSET(PLE!$G$14,$M697,BV$13)="",10^12,OFFSET(PLE!$G$14,$M697,BV$13))))</f>
        <v>1000000000000</v>
      </c>
      <c r="BW697" s="182">
        <f ca="1">IF($D697&lt;&gt;"Serviço",0,IF(OR(AND(AUTOEVENTO="Manual",$M697=1),$M697&gt;(ROW(PLE.lastrow)-ROW(PLE.firstrow))),0,IF(OFFSET(PLE!$G$14,$M697,BW$13)="",10^12,OFFSET(PLE!$G$14,$M697,BW$13))))</f>
        <v>1000000000000</v>
      </c>
      <c r="BX697" s="182">
        <f ca="1">IF($D697&lt;&gt;"Serviço",0,IF(OR(AND(AUTOEVENTO="Manual",$M697=1),$M697&gt;(ROW(PLE.lastrow)-ROW(PLE.firstrow))),0,IF(OFFSET(PLE!$G$14,$M697,BX$13)="",10^12,OFFSET(PLE!$G$14,$M697,BX$13))))</f>
        <v>1000000000000</v>
      </c>
      <c r="BY697" s="182">
        <f ca="1">IF($D697&lt;&gt;"Serviço",0,IF(OR(AND(AUTOEVENTO="Manual",$M697=1),$M697&gt;(ROW(PLE.lastrow)-ROW(PLE.firstrow))),0,IF(OFFSET(PLE!$G$14,$M697,BY$13)="",10^12,OFFSET(PLE!$G$14,$M697,BY$13))))</f>
        <v>1000000000000</v>
      </c>
      <c r="BZ697" s="182">
        <f ca="1">IF($D697&lt;&gt;"Serviço",0,IF(OR(AND(AUTOEVENTO="Manual",$M697=1),$M697&gt;(ROW(PLE.lastrow)-ROW(PLE.firstrow))),0,IF(OFFSET(PLE!$G$14,$M697,BZ$13)="",10^12,OFFSET(PLE!$G$14,$M697,BZ$13))))</f>
        <v>1000000000000</v>
      </c>
      <c r="CA697" s="182">
        <f ca="1">IF($D697&lt;&gt;"Serviço",0,IF(OR(AND(AUTOEVENTO="Manual",$M697=1),$M697&gt;(ROW(PLE.lastrow)-ROW(PLE.firstrow))),0,IF(OFFSET(PLE!$G$14,$M697,CA$13)="",10^12,OFFSET(PLE!$G$14,$M697,CA$13))))</f>
        <v>1000000000000</v>
      </c>
      <c r="CB697" s="182">
        <f ca="1">IF($D697&lt;&gt;"Serviço",0,IF(OR(AND(AUTOEVENTO="Manual",$M697=1),$M697&gt;(ROW(PLE.lastrow)-ROW(PLE.firstrow))),0,IF(OFFSET(PLE!$G$14,$M697,CB$13)="",10^12,OFFSET(PLE!$G$14,$M697,CB$13))))</f>
        <v>1000000000000</v>
      </c>
      <c r="CC697" s="182">
        <f ca="1">IF($D697&lt;&gt;"Serviço",0,IF(OR(AND(AUTOEVENTO="Manual",$M697=1),$M697&gt;(ROW(PLE.lastrow)-ROW(PLE.firstrow))),0,IF(OFFSET(PLE!$G$14,$M697,CC$13)="",10^12,OFFSET(PLE!$G$14,$M697,CC$13))))</f>
        <v>1000000000000</v>
      </c>
      <c r="CD697" s="182">
        <f ca="1">IF($D697&lt;&gt;"Serviço",0,IF(OR(AND(AUTOEVENTO="Manual",$M697=1),$M697&gt;(ROW(PLE.lastrow)-ROW(PLE.firstrow))),0,IF(OFFSET(PLE!$G$14,$M697,CD$13)="",10^12,OFFSET(PLE!$G$14,$M697,CD$13))))</f>
        <v>1000000000000</v>
      </c>
      <c r="CE697" s="182">
        <f ca="1">IF($D697&lt;&gt;"Serviço",0,IF(OR(AND(AUTOEVENTO="Manual",$M697=1),$M697&gt;(ROW(PLE.lastrow)-ROW(PLE.firstrow))),0,IF(OFFSET(PLE!$G$14,$M697,CE$13)="",10^12,OFFSET(PLE!$G$14,$M697,CE$13))))</f>
        <v>1000000000000</v>
      </c>
      <c r="CF697" s="182">
        <f ca="1">IF($D697&lt;&gt;"Serviço",0,IF(OR(AND(AUTOEVENTO="Manual",$M697=1),$M697&gt;(ROW(PLE.lastrow)-ROW(PLE.firstrow))),0,IF(OFFSET(PLE!$G$14,$M697,CF$13)="",10^12,OFFSET(PLE!$G$14,$M697,CF$13))))</f>
        <v>1000000000000</v>
      </c>
      <c r="CG697" s="182">
        <f ca="1">IF($D697&lt;&gt;"Serviço",0,IF(OR(AND(AUTOEVENTO="Manual",$M697=1),$M697&gt;(ROW(PLE.lastrow)-ROW(PLE.firstrow))),0,IF(OFFSET(PLE!$G$14,$M697,CG$13)="",10^12,OFFSET(PLE!$G$14,$M697,CG$13))))</f>
        <v>1000000000000</v>
      </c>
      <c r="CH697" s="182">
        <f ca="1">IF($D697&lt;&gt;"Serviço",0,IF(OR(AND(AUTOEVENTO="Manual",$M697=1),$M697&gt;(ROW(PLE.lastrow)-ROW(PLE.firstrow))),0,IF(OFFSET(PLE!$G$14,$M697,CH$13)="",10^12,OFFSET(PLE!$G$14,$M697,CH$13))))</f>
        <v>1000000000000</v>
      </c>
      <c r="CI697" s="182">
        <f ca="1">IF($D697&lt;&gt;"Serviço",0,IF(OR(AND(AUTOEVENTO="Manual",$M697=1),$M697&gt;(ROW(PLE.lastrow)-ROW(PLE.firstrow))),0,IF(OFFSET(PLE!$G$14,$M697,CI$13)="",10^12,OFFSET(PLE!$G$14,$M697,CI$13))))</f>
        <v>1000000000000</v>
      </c>
      <c r="CJ697" s="182">
        <f ca="1">IF($D697&lt;&gt;"Serviço",0,IF(OR(AND(AUTOEVENTO="Manual",$M697=1),$M697&gt;(ROW(PLE.lastrow)-ROW(PLE.firstrow))),0,IF(OFFSET(PLE!$G$14,$M697,CJ$13)="",10^12,OFFSET(PLE!$G$14,$M697,CJ$13))))</f>
        <v>1000000000000</v>
      </c>
      <c r="CK697" s="182">
        <f ca="1">IF($D697&lt;&gt;"Serviço",0,IF(OR(AND(AUTOEVENTO="Manual",$M697=1),$M697&gt;(ROW(PLE.lastrow)-ROW(PLE.firstrow))),0,IF(OFFSET(PLE!$G$14,$M697,CK$13)="",10^12,OFFSET(PLE!$G$14,$M697,CK$13))))</f>
        <v>1000000000000</v>
      </c>
      <c r="CL697" s="182">
        <f ca="1">IF($D697&lt;&gt;"Serviço",0,IF(OR(AND(AUTOEVENTO="Manual",$M697=1),$M697&gt;(ROW(PLE.lastrow)-ROW(PLE.firstrow))),0,IF(OFFSET(PLE!$G$14,$M697,CL$13)="",10^12,OFFSET(PLE!$G$14,$M697,CL$13))))</f>
        <v>1000000000000</v>
      </c>
      <c r="CM697" s="182">
        <f ca="1">IF($D697&lt;&gt;"Serviço",0,IF(OR(AND(AUTOEVENTO="Manual",$M697=1),$M697&gt;(ROW(PLE.lastrow)-ROW(PLE.firstrow))),0,IF(OFFSET(PLE!$G$14,$M697,CM$13)="",10^12,OFFSET(PLE!$G$14,$M697,CM$13))))</f>
        <v>1000000000000</v>
      </c>
    </row>
    <row r="698" spans="1:91" ht="38.25" x14ac:dyDescent="0.2">
      <c r="A698" s="7" t="str">
        <f t="shared" ca="1" si="19"/>
        <v>680</v>
      </c>
      <c r="B698" s="7" t="str">
        <f ca="1">OFFSET(ORÇAMENTO!C$15,ROW(B698)-ROW(B$15),0)</f>
        <v>S</v>
      </c>
      <c r="C698" s="7" t="str">
        <f ca="1">OFFSET(ORÇAMENTO!L$15,ROW(C698)-ROW(C$15),0)</f>
        <v/>
      </c>
      <c r="D698" s="118" t="str">
        <f ca="1">OFFSET(ORÇAMENTO!N$15,ROW(D698)-ROW(D$15),0)</f>
        <v>Serviço</v>
      </c>
      <c r="E698" s="119" t="str">
        <f ca="1">OFFSET(ORÇAMENTO!O$15,ROW(E698)-ROW(E$15),0)</f>
        <v>-</v>
      </c>
      <c r="F698" s="172" t="str">
        <f ca="1">OFFSET(ORÇAMENTO!R$15,ROW(F698)-ROW(F$15),0)</f>
        <v>(abra o arquivo 'Referência 06-2024.xlsm)</v>
      </c>
      <c r="G698" s="173" t="str">
        <f ca="1">IF($D698&lt;&gt;"Serviço","",OFFSET(ORÇAMENTO!S$15,ROW(G698)-ROW(G$15),0))</f>
        <v>-</v>
      </c>
      <c r="H698" s="124">
        <f ca="1">IF($D698&lt;&gt;"Serviço",0,IF(ACOMPANHAMENTO="BM",ROUND(OFFSET(ORÇAMENTO!AJ$15,ROW(H698)-ROW(H$15),0),15-13*ORÇAMENTO!$AF$7),SUMPRODUCT(($Q$12:$AI$12&lt;&gt;"")*ROUND($Q698:$AI698,15-13*ORÇAMENTO!$AF$7))))</f>
        <v>173.04</v>
      </c>
      <c r="I698" s="561" t="s">
        <v>1107</v>
      </c>
      <c r="K698" s="174"/>
      <c r="L698" s="175" t="s">
        <v>255</v>
      </c>
      <c r="M698" s="176">
        <f ca="1">IF($D698&lt;&gt;"Serviço","",IF(AUTOEVENTO="manual",$A698,IF(ISERROR(MATCH($A698,$A$15:OFFSET($A698,-1,0),0)),MAX($M$15:OFFSET(M698,-1,0))+1,INDEX($M$15:OFFSET(M698,-1,0),MATCH($A698,$A$15:OFFSET($A698,-1,0),0)))))</f>
        <v>76</v>
      </c>
      <c r="N698" s="177" t="str">
        <f ca="1">IF($D698&lt;&gt;"Serviço","",IF(AUTOEVENTO="Manual",IF($A698=0,"&lt;-- defina o número do agrupador",OFFSET(EVENTOS!$D$14,$A698,0)),OFFSET($F$15,$A698,0)))</f>
        <v>MURO DE FECHAMENTO - CONCRETO ARMADO PARA PILARES</v>
      </c>
      <c r="O698" s="178"/>
      <c r="Q698" s="178">
        <v>173.04</v>
      </c>
      <c r="R698" s="179"/>
      <c r="S698" s="179"/>
      <c r="T698" s="179"/>
      <c r="U698" s="179"/>
      <c r="V698" s="179"/>
      <c r="W698" s="179"/>
      <c r="X698" s="179"/>
      <c r="Y698" s="179"/>
      <c r="Z698" s="180"/>
      <c r="AA698" s="179"/>
      <c r="AB698" s="179"/>
      <c r="AC698" s="179"/>
      <c r="AD698" s="179"/>
      <c r="AE698" s="179"/>
      <c r="AF698" s="179"/>
      <c r="AG698" s="179"/>
      <c r="AH698" s="180"/>
      <c r="AJ698" s="544">
        <f ca="1">IF(AND($D698="Serviço",AJ$12&lt;&gt;0,$H698&gt;0,OR(AUTOEVENTO&lt;&gt;"manual",$M698&lt;&gt;1)),
IF(Import.TipoArredondamento&lt;&gt;"TransfereGOV",
ROUND(OFFSET($P698,0,AJ$13),15-13*ORÇAMENTO!$AF$7)/$H698*OFFSET(ORÇAMENTO!$X$15,ROW(AJ698)-ROW(AJ$15),0),
ROUND(ROUND(OFFSET($P698,0,AJ$13),15-13*ORÇAMENTO!$AF$7)*OFFSET(ORÇAMENTO!$W$15,ROW(AJ698)-ROW(AJ$15),0),15-13*ORÇAMENTO!$AF$11)),0)</f>
        <v>0</v>
      </c>
      <c r="AK698" s="545">
        <f ca="1">IF(AND($D698="Serviço",AK$12&lt;&gt;0,$H698&gt;0,OR(AUTOEVENTO&lt;&gt;"manual",$M698&lt;&gt;1)),
IF(Import.TipoArredondamento&lt;&gt;"TransfereGOV",
ROUND(OFFSET($P698,0,AK$13),15-13*ORÇAMENTO!$AF$7)/$H698*OFFSET(ORÇAMENTO!$X$15,ROW(AK698)-ROW(AK$15),0),
ROUND(ROUND(OFFSET($P698,0,AK$13),15-13*ORÇAMENTO!$AF$7)*OFFSET(ORÇAMENTO!$W$15,ROW(AK698)-ROW(AK$15),0),15-13*ORÇAMENTO!$AF$11)),0)</f>
        <v>0</v>
      </c>
      <c r="AL698" s="545">
        <f ca="1">IF(AND($D698="Serviço",AL$12&lt;&gt;0,$H698&gt;0,OR(AUTOEVENTO&lt;&gt;"manual",$M698&lt;&gt;1)),
IF(Import.TipoArredondamento&lt;&gt;"TransfereGOV",
ROUND(OFFSET($P698,0,AL$13),15-13*ORÇAMENTO!$AF$7)/$H698*OFFSET(ORÇAMENTO!$X$15,ROW(AL698)-ROW(AL$15),0),
ROUND(ROUND(OFFSET($P698,0,AL$13),15-13*ORÇAMENTO!$AF$7)*OFFSET(ORÇAMENTO!$W$15,ROW(AL698)-ROW(AL$15),0),15-13*ORÇAMENTO!$AF$11)),0)</f>
        <v>0</v>
      </c>
      <c r="AM698" s="545">
        <f ca="1">IF(AND($D698="Serviço",AM$12&lt;&gt;0,$H698&gt;0,OR(AUTOEVENTO&lt;&gt;"manual",$M698&lt;&gt;1)),
IF(Import.TipoArredondamento&lt;&gt;"TransfereGOV",
ROUND(OFFSET($P698,0,AM$13),15-13*ORÇAMENTO!$AF$7)/$H698*OFFSET(ORÇAMENTO!$X$15,ROW(AM698)-ROW(AM$15),0),
ROUND(ROUND(OFFSET($P698,0,AM$13),15-13*ORÇAMENTO!$AF$7)*OFFSET(ORÇAMENTO!$W$15,ROW(AM698)-ROW(AM$15),0),15-13*ORÇAMENTO!$AF$11)),0)</f>
        <v>0</v>
      </c>
      <c r="AN698" s="545">
        <f ca="1">IF(AND($D698="Serviço",AN$12&lt;&gt;0,$H698&gt;0,OR(AUTOEVENTO&lt;&gt;"manual",$M698&lt;&gt;1)),
IF(Import.TipoArredondamento&lt;&gt;"TransfereGOV",
ROUND(OFFSET($P698,0,AN$13),15-13*ORÇAMENTO!$AF$7)/$H698*OFFSET(ORÇAMENTO!$X$15,ROW(AN698)-ROW(AN$15),0),
ROUND(ROUND(OFFSET($P698,0,AN$13),15-13*ORÇAMENTO!$AF$7)*OFFSET(ORÇAMENTO!$W$15,ROW(AN698)-ROW(AN$15),0),15-13*ORÇAMENTO!$AF$11)),0)</f>
        <v>0</v>
      </c>
      <c r="AO698" s="545">
        <f ca="1">IF(AND($D698="Serviço",AO$12&lt;&gt;0,$H698&gt;0,OR(AUTOEVENTO&lt;&gt;"manual",$M698&lt;&gt;1)),
IF(Import.TipoArredondamento&lt;&gt;"TransfereGOV",
ROUND(OFFSET($P698,0,AO$13),15-13*ORÇAMENTO!$AF$7)/$H698*OFFSET(ORÇAMENTO!$X$15,ROW(AO698)-ROW(AO$15),0),
ROUND(ROUND(OFFSET($P698,0,AO$13),15-13*ORÇAMENTO!$AF$7)*OFFSET(ORÇAMENTO!$W$15,ROW(AO698)-ROW(AO$15),0),15-13*ORÇAMENTO!$AF$11)),0)</f>
        <v>0</v>
      </c>
      <c r="AP698" s="545">
        <f ca="1">IF(AND($D698="Serviço",AP$12&lt;&gt;0,$H698&gt;0,OR(AUTOEVENTO&lt;&gt;"manual",$M698&lt;&gt;1)),
IF(Import.TipoArredondamento&lt;&gt;"TransfereGOV",
ROUND(OFFSET($P698,0,AP$13),15-13*ORÇAMENTO!$AF$7)/$H698*OFFSET(ORÇAMENTO!$X$15,ROW(AP698)-ROW(AP$15),0),
ROUND(ROUND(OFFSET($P698,0,AP$13),15-13*ORÇAMENTO!$AF$7)*OFFSET(ORÇAMENTO!$W$15,ROW(AP698)-ROW(AP$15),0),15-13*ORÇAMENTO!$AF$11)),0)</f>
        <v>0</v>
      </c>
      <c r="AQ698" s="545">
        <f ca="1">IF(AND($D698="Serviço",AQ$12&lt;&gt;0,$H698&gt;0,OR(AUTOEVENTO&lt;&gt;"manual",$M698&lt;&gt;1)),
IF(Import.TipoArredondamento&lt;&gt;"TransfereGOV",
ROUND(OFFSET($P698,0,AQ$13),15-13*ORÇAMENTO!$AF$7)/$H698*OFFSET(ORÇAMENTO!$X$15,ROW(AQ698)-ROW(AQ$15),0),
ROUND(ROUND(OFFSET($P698,0,AQ$13),15-13*ORÇAMENTO!$AF$7)*OFFSET(ORÇAMENTO!$W$15,ROW(AQ698)-ROW(AQ$15),0),15-13*ORÇAMENTO!$AF$11)),0)</f>
        <v>0</v>
      </c>
      <c r="AR698" s="545">
        <f ca="1">IF(AND($D698="Serviço",AR$12&lt;&gt;0,$H698&gt;0,OR(AUTOEVENTO&lt;&gt;"manual",$M698&lt;&gt;1)),
IF(Import.TipoArredondamento&lt;&gt;"TransfereGOV",
ROUND(OFFSET($P698,0,AR$13),15-13*ORÇAMENTO!$AF$7)/$H698*OFFSET(ORÇAMENTO!$X$15,ROW(AR698)-ROW(AR$15),0),
ROUND(ROUND(OFFSET($P698,0,AR$13),15-13*ORÇAMENTO!$AF$7)*OFFSET(ORÇAMENTO!$W$15,ROW(AR698)-ROW(AR$15),0),15-13*ORÇAMENTO!$AF$11)),0)</f>
        <v>0</v>
      </c>
      <c r="AS698" s="546">
        <f ca="1">IF(AND($D698="Serviço",AS$12&lt;&gt;0,$H698&gt;0,OR(AUTOEVENTO&lt;&gt;"manual",$M698&lt;&gt;1)),
IF(Import.TipoArredondamento&lt;&gt;"TransfereGOV",
ROUND(OFFSET($P698,0,AS$13),15-13*ORÇAMENTO!$AF$7)/$H698*OFFSET(ORÇAMENTO!$X$15,ROW(AS698)-ROW(AS$15),0),
ROUND(ROUND(OFFSET($P698,0,AS$13),15-13*ORÇAMENTO!$AF$7)*OFFSET(ORÇAMENTO!$W$15,ROW(AS698)-ROW(AS$15),0),15-13*ORÇAMENTO!$AF$11)),0)</f>
        <v>0</v>
      </c>
      <c r="AT698" s="545">
        <f ca="1">IF(AND($D698="Serviço",AT$12&lt;&gt;0,$H698&gt;0,OR(AUTOEVENTO&lt;&gt;"manual",$M698&lt;&gt;1)),
IF(Import.TipoArredondamento&lt;&gt;"TransfereGOV",
ROUND(OFFSET($P698,0,AT$13),15-13*ORÇAMENTO!$AF$7)/$H698*OFFSET(ORÇAMENTO!$X$15,ROW(AT698)-ROW(AT$15),0),
ROUND(ROUND(OFFSET($P698,0,AT$13),15-13*ORÇAMENTO!$AF$7)*OFFSET(ORÇAMENTO!$W$15,ROW(AT698)-ROW(AT$15),0),15-13*ORÇAMENTO!$AF$11)),0)</f>
        <v>0</v>
      </c>
      <c r="AU698" s="545">
        <f ca="1">IF(AND($D698="Serviço",AU$12&lt;&gt;0,$H698&gt;0,OR(AUTOEVENTO&lt;&gt;"manual",$M698&lt;&gt;1)),
IF(Import.TipoArredondamento&lt;&gt;"TransfereGOV",
ROUND(OFFSET($P698,0,AU$13),15-13*ORÇAMENTO!$AF$7)/$H698*OFFSET(ORÇAMENTO!$X$15,ROW(AU698)-ROW(AU$15),0),
ROUND(ROUND(OFFSET($P698,0,AU$13),15-13*ORÇAMENTO!$AF$7)*OFFSET(ORÇAMENTO!$W$15,ROW(AU698)-ROW(AU$15),0),15-13*ORÇAMENTO!$AF$11)),0)</f>
        <v>0</v>
      </c>
      <c r="AV698" s="545">
        <f ca="1">IF(AND($D698="Serviço",AV$12&lt;&gt;0,$H698&gt;0,OR(AUTOEVENTO&lt;&gt;"manual",$M698&lt;&gt;1)),
IF(Import.TipoArredondamento&lt;&gt;"TransfereGOV",
ROUND(OFFSET($P698,0,AV$13),15-13*ORÇAMENTO!$AF$7)/$H698*OFFSET(ORÇAMENTO!$X$15,ROW(AV698)-ROW(AV$15),0),
ROUND(ROUND(OFFSET($P698,0,AV$13),15-13*ORÇAMENTO!$AF$7)*OFFSET(ORÇAMENTO!$W$15,ROW(AV698)-ROW(AV$15),0),15-13*ORÇAMENTO!$AF$11)),0)</f>
        <v>0</v>
      </c>
      <c r="AW698" s="545">
        <f ca="1">IF(AND($D698="Serviço",AW$12&lt;&gt;0,$H698&gt;0,OR(AUTOEVENTO&lt;&gt;"manual",$M698&lt;&gt;1)),
IF(Import.TipoArredondamento&lt;&gt;"TransfereGOV",
ROUND(OFFSET($P698,0,AW$13),15-13*ORÇAMENTO!$AF$7)/$H698*OFFSET(ORÇAMENTO!$X$15,ROW(AW698)-ROW(AW$15),0),
ROUND(ROUND(OFFSET($P698,0,AW$13),15-13*ORÇAMENTO!$AF$7)*OFFSET(ORÇAMENTO!$W$15,ROW(AW698)-ROW(AW$15),0),15-13*ORÇAMENTO!$AF$11)),0)</f>
        <v>0</v>
      </c>
      <c r="AX698" s="545">
        <f ca="1">IF(AND($D698="Serviço",AX$12&lt;&gt;0,$H698&gt;0,OR(AUTOEVENTO&lt;&gt;"manual",$M698&lt;&gt;1)),
IF(Import.TipoArredondamento&lt;&gt;"TransfereGOV",
ROUND(OFFSET($P698,0,AX$13),15-13*ORÇAMENTO!$AF$7)/$H698*OFFSET(ORÇAMENTO!$X$15,ROW(AX698)-ROW(AX$15),0),
ROUND(ROUND(OFFSET($P698,0,AX$13),15-13*ORÇAMENTO!$AF$7)*OFFSET(ORÇAMENTO!$W$15,ROW(AX698)-ROW(AX$15),0),15-13*ORÇAMENTO!$AF$11)),0)</f>
        <v>0</v>
      </c>
      <c r="AY698" s="545">
        <f ca="1">IF(AND($D698="Serviço",AY$12&lt;&gt;0,$H698&gt;0,OR(AUTOEVENTO&lt;&gt;"manual",$M698&lt;&gt;1)),
IF(Import.TipoArredondamento&lt;&gt;"TransfereGOV",
ROUND(OFFSET($P698,0,AY$13),15-13*ORÇAMENTO!$AF$7)/$H698*OFFSET(ORÇAMENTO!$X$15,ROW(AY698)-ROW(AY$15),0),
ROUND(ROUND(OFFSET($P698,0,AY$13),15-13*ORÇAMENTO!$AF$7)*OFFSET(ORÇAMENTO!$W$15,ROW(AY698)-ROW(AY$15),0),15-13*ORÇAMENTO!$AF$11)),0)</f>
        <v>0</v>
      </c>
      <c r="AZ698" s="545">
        <f ca="1">IF(AND($D698="Serviço",AZ$12&lt;&gt;0,$H698&gt;0,OR(AUTOEVENTO&lt;&gt;"manual",$M698&lt;&gt;1)),
IF(Import.TipoArredondamento&lt;&gt;"TransfereGOV",
ROUND(OFFSET($P698,0,AZ$13),15-13*ORÇAMENTO!$AF$7)/$H698*OFFSET(ORÇAMENTO!$X$15,ROW(AZ698)-ROW(AZ$15),0),
ROUND(ROUND(OFFSET($P698,0,AZ$13),15-13*ORÇAMENTO!$AF$7)*OFFSET(ORÇAMENTO!$W$15,ROW(AZ698)-ROW(AZ$15),0),15-13*ORÇAMENTO!$AF$11)),0)</f>
        <v>0</v>
      </c>
      <c r="BA698" s="546">
        <f ca="1">IF(AND($D698="Serviço",BA$12&lt;&gt;0,$H698&gt;0,OR(AUTOEVENTO&lt;&gt;"manual",$M698&lt;&gt;1)),
IF(Import.TipoArredondamento&lt;&gt;"TransfereGOV",
ROUND(OFFSET($P698,0,BA$13),15-13*ORÇAMENTO!$AF$7)/$H698*OFFSET(ORÇAMENTO!$X$15,ROW(BA698)-ROW(BA$15),0),
ROUND(ROUND(OFFSET($P698,0,BA$13),15-13*ORÇAMENTO!$AF$7)*OFFSET(ORÇAMENTO!$W$15,ROW(BA698)-ROW(BA$15),0),15-13*ORÇAMENTO!$AF$11)),0)</f>
        <v>0</v>
      </c>
      <c r="BC698" s="181">
        <f ca="1">IF($D698&lt;&gt;"Serviço",0,IF(AND(AUTOEVENTO="Manual",$M698=1),0,IF(OFFSET(CRONOPLE!$F$14,$M698,BC$13)="",10^12,OFFSET(CRONOPLE!$F$14,$M698,BC$13))))</f>
        <v>12</v>
      </c>
      <c r="BD698" s="181">
        <f ca="1">IF($D698&lt;&gt;"Serviço",0,IF(AND(AUTOEVENTO="Manual",$M698=1),0,IF(OFFSET(CRONOPLE!$F$14,$M698,BD$13)="",10^12,OFFSET(CRONOPLE!$F$14,$M698,BD$13))))</f>
        <v>1000000000000</v>
      </c>
      <c r="BE698" s="181">
        <f ca="1">IF($D698&lt;&gt;"Serviço",0,IF(AND(AUTOEVENTO="Manual",$M698=1),0,IF(OFFSET(CRONOPLE!$F$14,$M698,BE$13)="",10^12,OFFSET(CRONOPLE!$F$14,$M698,BE$13))))</f>
        <v>1000000000000</v>
      </c>
      <c r="BF698" s="181">
        <f ca="1">IF($D698&lt;&gt;"Serviço",0,IF(AND(AUTOEVENTO="Manual",$M698=1),0,IF(OFFSET(CRONOPLE!$F$14,$M698,BF$13)="",10^12,OFFSET(CRONOPLE!$F$14,$M698,BF$13))))</f>
        <v>1000000000000</v>
      </c>
      <c r="BG698" s="181">
        <f ca="1">IF($D698&lt;&gt;"Serviço",0,IF(AND(AUTOEVENTO="Manual",$M698=1),0,IF(OFFSET(CRONOPLE!$F$14,$M698,BG$13)="",10^12,OFFSET(CRONOPLE!$F$14,$M698,BG$13))))</f>
        <v>1000000000000</v>
      </c>
      <c r="BH698" s="181">
        <f ca="1">IF($D698&lt;&gt;"Serviço",0,IF(AND(AUTOEVENTO="Manual",$M698=1),0,IF(OFFSET(CRONOPLE!$F$14,$M698,BH$13)="",10^12,OFFSET(CRONOPLE!$F$14,$M698,BH$13))))</f>
        <v>1000000000000</v>
      </c>
      <c r="BI698" s="181">
        <f ca="1">IF($D698&lt;&gt;"Serviço",0,IF(AND(AUTOEVENTO="Manual",$M698=1),0,IF(OFFSET(CRONOPLE!$F$14,$M698,BI$13)="",10^12,OFFSET(CRONOPLE!$F$14,$M698,BI$13))))</f>
        <v>1000000000000</v>
      </c>
      <c r="BJ698" s="181">
        <f ca="1">IF($D698&lt;&gt;"Serviço",0,IF(AND(AUTOEVENTO="Manual",$M698=1),0,IF(OFFSET(CRONOPLE!$F$14,$M698,BJ$13)="",10^12,OFFSET(CRONOPLE!$F$14,$M698,BJ$13))))</f>
        <v>1000000000000</v>
      </c>
      <c r="BK698" s="181">
        <f ca="1">IF($D698&lt;&gt;"Serviço",0,IF(AND(AUTOEVENTO="Manual",$M698=1),0,IF(OFFSET(CRONOPLE!$F$14,$M698,BK$13)="",10^12,OFFSET(CRONOPLE!$F$14,$M698,BK$13))))</f>
        <v>1000000000000</v>
      </c>
      <c r="BL698" s="181">
        <f ca="1">IF($D698&lt;&gt;"Serviço",0,IF(AND(AUTOEVENTO="Manual",$M698=1),0,IF(OFFSET(CRONOPLE!$F$14,$M698,BL$13)="",10^12,OFFSET(CRONOPLE!$F$14,$M698,BL$13))))</f>
        <v>1000000000000</v>
      </c>
      <c r="BM698" s="181">
        <f ca="1">IF($D698&lt;&gt;"Serviço",0,IF(AND(AUTOEVENTO="Manual",$M698=1),0,IF(OFFSET(CRONOPLE!$F$14,$M698,BM$13)="",10^12,OFFSET(CRONOPLE!$F$14,$M698,BM$13))))</f>
        <v>1000000000000</v>
      </c>
      <c r="BN698" s="181">
        <f ca="1">IF($D698&lt;&gt;"Serviço",0,IF(AND(AUTOEVENTO="Manual",$M698=1),0,IF(OFFSET(CRONOPLE!$F$14,$M698,BN$13)="",10^12,OFFSET(CRONOPLE!$F$14,$M698,BN$13))))</f>
        <v>1000000000000</v>
      </c>
      <c r="BO698" s="181">
        <f ca="1">IF($D698&lt;&gt;"Serviço",0,IF(AND(AUTOEVENTO="Manual",$M698=1),0,IF(OFFSET(CRONOPLE!$F$14,$M698,BO$13)="",10^12,OFFSET(CRONOPLE!$F$14,$M698,BO$13))))</f>
        <v>1000000000000</v>
      </c>
      <c r="BP698" s="181">
        <f ca="1">IF($D698&lt;&gt;"Serviço",0,IF(AND(AUTOEVENTO="Manual",$M698=1),0,IF(OFFSET(CRONOPLE!$F$14,$M698,BP$13)="",10^12,OFFSET(CRONOPLE!$F$14,$M698,BP$13))))</f>
        <v>1000000000000</v>
      </c>
      <c r="BQ698" s="181">
        <f ca="1">IF($D698&lt;&gt;"Serviço",0,IF(AND(AUTOEVENTO="Manual",$M698=1),0,IF(OFFSET(CRONOPLE!$F$14,$M698,BQ$13)="",10^12,OFFSET(CRONOPLE!$F$14,$M698,BQ$13))))</f>
        <v>1000000000000</v>
      </c>
      <c r="BR698" s="181">
        <f ca="1">IF($D698&lt;&gt;"Serviço",0,IF(AND(AUTOEVENTO="Manual",$M698=1),0,IF(OFFSET(CRONOPLE!$F$14,$M698,BR$13)="",10^12,OFFSET(CRONOPLE!$F$14,$M698,BR$13))))</f>
        <v>1000000000000</v>
      </c>
      <c r="BS698" s="181">
        <f ca="1">IF($D698&lt;&gt;"Serviço",0,IF(AND(AUTOEVENTO="Manual",$M698=1),0,IF(OFFSET(CRONOPLE!$F$14,$M698,BS$13)="",10^12,OFFSET(CRONOPLE!$F$14,$M698,BS$13))))</f>
        <v>1000000000000</v>
      </c>
      <c r="BT698" s="181">
        <f ca="1">IF($D698&lt;&gt;"Serviço",0,IF(AND(AUTOEVENTO="Manual",$M698=1),0,IF(OFFSET(CRONOPLE!$F$14,$M698,BT$13)="",10^12,OFFSET(CRONOPLE!$F$14,$M698,BT$13))))</f>
        <v>1000000000000</v>
      </c>
      <c r="BV698" s="182">
        <f ca="1">IF($D698&lt;&gt;"Serviço",0,IF(OR(AND(AUTOEVENTO="Manual",$M698=1),$M698&gt;(ROW(PLE.lastrow)-ROW(PLE.firstrow))),0,IF(OFFSET(PLE!$G$14,$M698,BV$13)="",10^12,OFFSET(PLE!$G$14,$M698,BV$13))))</f>
        <v>1000000000000</v>
      </c>
      <c r="BW698" s="182">
        <f ca="1">IF($D698&lt;&gt;"Serviço",0,IF(OR(AND(AUTOEVENTO="Manual",$M698=1),$M698&gt;(ROW(PLE.lastrow)-ROW(PLE.firstrow))),0,IF(OFFSET(PLE!$G$14,$M698,BW$13)="",10^12,OFFSET(PLE!$G$14,$M698,BW$13))))</f>
        <v>1000000000000</v>
      </c>
      <c r="BX698" s="182">
        <f ca="1">IF($D698&lt;&gt;"Serviço",0,IF(OR(AND(AUTOEVENTO="Manual",$M698=1),$M698&gt;(ROW(PLE.lastrow)-ROW(PLE.firstrow))),0,IF(OFFSET(PLE!$G$14,$M698,BX$13)="",10^12,OFFSET(PLE!$G$14,$M698,BX$13))))</f>
        <v>1000000000000</v>
      </c>
      <c r="BY698" s="182">
        <f ca="1">IF($D698&lt;&gt;"Serviço",0,IF(OR(AND(AUTOEVENTO="Manual",$M698=1),$M698&gt;(ROW(PLE.lastrow)-ROW(PLE.firstrow))),0,IF(OFFSET(PLE!$G$14,$M698,BY$13)="",10^12,OFFSET(PLE!$G$14,$M698,BY$13))))</f>
        <v>1000000000000</v>
      </c>
      <c r="BZ698" s="182">
        <f ca="1">IF($D698&lt;&gt;"Serviço",0,IF(OR(AND(AUTOEVENTO="Manual",$M698=1),$M698&gt;(ROW(PLE.lastrow)-ROW(PLE.firstrow))),0,IF(OFFSET(PLE!$G$14,$M698,BZ$13)="",10^12,OFFSET(PLE!$G$14,$M698,BZ$13))))</f>
        <v>1000000000000</v>
      </c>
      <c r="CA698" s="182">
        <f ca="1">IF($D698&lt;&gt;"Serviço",0,IF(OR(AND(AUTOEVENTO="Manual",$M698=1),$M698&gt;(ROW(PLE.lastrow)-ROW(PLE.firstrow))),0,IF(OFFSET(PLE!$G$14,$M698,CA$13)="",10^12,OFFSET(PLE!$G$14,$M698,CA$13))))</f>
        <v>1000000000000</v>
      </c>
      <c r="CB698" s="182">
        <f ca="1">IF($D698&lt;&gt;"Serviço",0,IF(OR(AND(AUTOEVENTO="Manual",$M698=1),$M698&gt;(ROW(PLE.lastrow)-ROW(PLE.firstrow))),0,IF(OFFSET(PLE!$G$14,$M698,CB$13)="",10^12,OFFSET(PLE!$G$14,$M698,CB$13))))</f>
        <v>1000000000000</v>
      </c>
      <c r="CC698" s="182">
        <f ca="1">IF($D698&lt;&gt;"Serviço",0,IF(OR(AND(AUTOEVENTO="Manual",$M698=1),$M698&gt;(ROW(PLE.lastrow)-ROW(PLE.firstrow))),0,IF(OFFSET(PLE!$G$14,$M698,CC$13)="",10^12,OFFSET(PLE!$G$14,$M698,CC$13))))</f>
        <v>1000000000000</v>
      </c>
      <c r="CD698" s="182">
        <f ca="1">IF($D698&lt;&gt;"Serviço",0,IF(OR(AND(AUTOEVENTO="Manual",$M698=1),$M698&gt;(ROW(PLE.lastrow)-ROW(PLE.firstrow))),0,IF(OFFSET(PLE!$G$14,$M698,CD$13)="",10^12,OFFSET(PLE!$G$14,$M698,CD$13))))</f>
        <v>1000000000000</v>
      </c>
      <c r="CE698" s="182">
        <f ca="1">IF($D698&lt;&gt;"Serviço",0,IF(OR(AND(AUTOEVENTO="Manual",$M698=1),$M698&gt;(ROW(PLE.lastrow)-ROW(PLE.firstrow))),0,IF(OFFSET(PLE!$G$14,$M698,CE$13)="",10^12,OFFSET(PLE!$G$14,$M698,CE$13))))</f>
        <v>1000000000000</v>
      </c>
      <c r="CF698" s="182">
        <f ca="1">IF($D698&lt;&gt;"Serviço",0,IF(OR(AND(AUTOEVENTO="Manual",$M698=1),$M698&gt;(ROW(PLE.lastrow)-ROW(PLE.firstrow))),0,IF(OFFSET(PLE!$G$14,$M698,CF$13)="",10^12,OFFSET(PLE!$G$14,$M698,CF$13))))</f>
        <v>1000000000000</v>
      </c>
      <c r="CG698" s="182">
        <f ca="1">IF($D698&lt;&gt;"Serviço",0,IF(OR(AND(AUTOEVENTO="Manual",$M698=1),$M698&gt;(ROW(PLE.lastrow)-ROW(PLE.firstrow))),0,IF(OFFSET(PLE!$G$14,$M698,CG$13)="",10^12,OFFSET(PLE!$G$14,$M698,CG$13))))</f>
        <v>1000000000000</v>
      </c>
      <c r="CH698" s="182">
        <f ca="1">IF($D698&lt;&gt;"Serviço",0,IF(OR(AND(AUTOEVENTO="Manual",$M698=1),$M698&gt;(ROW(PLE.lastrow)-ROW(PLE.firstrow))),0,IF(OFFSET(PLE!$G$14,$M698,CH$13)="",10^12,OFFSET(PLE!$G$14,$M698,CH$13))))</f>
        <v>1000000000000</v>
      </c>
      <c r="CI698" s="182">
        <f ca="1">IF($D698&lt;&gt;"Serviço",0,IF(OR(AND(AUTOEVENTO="Manual",$M698=1),$M698&gt;(ROW(PLE.lastrow)-ROW(PLE.firstrow))),0,IF(OFFSET(PLE!$G$14,$M698,CI$13)="",10^12,OFFSET(PLE!$G$14,$M698,CI$13))))</f>
        <v>1000000000000</v>
      </c>
      <c r="CJ698" s="182">
        <f ca="1">IF($D698&lt;&gt;"Serviço",0,IF(OR(AND(AUTOEVENTO="Manual",$M698=1),$M698&gt;(ROW(PLE.lastrow)-ROW(PLE.firstrow))),0,IF(OFFSET(PLE!$G$14,$M698,CJ$13)="",10^12,OFFSET(PLE!$G$14,$M698,CJ$13))))</f>
        <v>1000000000000</v>
      </c>
      <c r="CK698" s="182">
        <f ca="1">IF($D698&lt;&gt;"Serviço",0,IF(OR(AND(AUTOEVENTO="Manual",$M698=1),$M698&gt;(ROW(PLE.lastrow)-ROW(PLE.firstrow))),0,IF(OFFSET(PLE!$G$14,$M698,CK$13)="",10^12,OFFSET(PLE!$G$14,$M698,CK$13))))</f>
        <v>1000000000000</v>
      </c>
      <c r="CL698" s="182">
        <f ca="1">IF($D698&lt;&gt;"Serviço",0,IF(OR(AND(AUTOEVENTO="Manual",$M698=1),$M698&gt;(ROW(PLE.lastrow)-ROW(PLE.firstrow))),0,IF(OFFSET(PLE!$G$14,$M698,CL$13)="",10^12,OFFSET(PLE!$G$14,$M698,CL$13))))</f>
        <v>1000000000000</v>
      </c>
      <c r="CM698" s="182">
        <f ca="1">IF($D698&lt;&gt;"Serviço",0,IF(OR(AND(AUTOEVENTO="Manual",$M698=1),$M698&gt;(ROW(PLE.lastrow)-ROW(PLE.firstrow))),0,IF(OFFSET(PLE!$G$14,$M698,CM$13)="",10^12,OFFSET(PLE!$G$14,$M698,CM$13))))</f>
        <v>1000000000000</v>
      </c>
    </row>
    <row r="699" spans="1:91" ht="38.25" x14ac:dyDescent="0.2">
      <c r="A699" s="7" t="str">
        <f t="shared" ca="1" si="19"/>
        <v>680</v>
      </c>
      <c r="B699" s="7" t="str">
        <f ca="1">OFFSET(ORÇAMENTO!C$15,ROW(B699)-ROW(B$15),0)</f>
        <v>S</v>
      </c>
      <c r="C699" s="7" t="str">
        <f ca="1">OFFSET(ORÇAMENTO!L$15,ROW(C699)-ROW(C$15),0)</f>
        <v/>
      </c>
      <c r="D699" s="118" t="str">
        <f ca="1">OFFSET(ORÇAMENTO!N$15,ROW(D699)-ROW(D$15),0)</f>
        <v>Serviço</v>
      </c>
      <c r="E699" s="119" t="str">
        <f ca="1">OFFSET(ORÇAMENTO!O$15,ROW(E699)-ROW(E$15),0)</f>
        <v>-</v>
      </c>
      <c r="F699" s="172" t="str">
        <f ca="1">OFFSET(ORÇAMENTO!R$15,ROW(F699)-ROW(F$15),0)</f>
        <v>(abra o arquivo 'Referência 06-2024.xlsm)</v>
      </c>
      <c r="G699" s="173" t="str">
        <f ca="1">IF($D699&lt;&gt;"Serviço","",OFFSET(ORÇAMENTO!S$15,ROW(G699)-ROW(G$15),0))</f>
        <v>-</v>
      </c>
      <c r="H699" s="124">
        <f ca="1">IF($D699&lt;&gt;"Serviço",0,IF(ACOMPANHAMENTO="BM",ROUND(OFFSET(ORÇAMENTO!AJ$15,ROW(H699)-ROW(H$15),0),15-13*ORÇAMENTO!$AF$7),SUMPRODUCT(($Q$12:$AI$12&lt;&gt;"")*ROUND($Q699:$AI699,15-13*ORÇAMENTO!$AF$7))))</f>
        <v>4.9800000000000004</v>
      </c>
      <c r="I699" s="561" t="s">
        <v>1107</v>
      </c>
      <c r="K699" s="174"/>
      <c r="L699" s="175" t="s">
        <v>255</v>
      </c>
      <c r="M699" s="176">
        <f ca="1">IF($D699&lt;&gt;"Serviço","",IF(AUTOEVENTO="manual",$A699,IF(ISERROR(MATCH($A699,$A$15:OFFSET($A699,-1,0),0)),MAX($M$15:OFFSET(M699,-1,0))+1,INDEX($M$15:OFFSET(M699,-1,0),MATCH($A699,$A$15:OFFSET($A699,-1,0),0)))))</f>
        <v>76</v>
      </c>
      <c r="N699" s="177" t="str">
        <f ca="1">IF($D699&lt;&gt;"Serviço","",IF(AUTOEVENTO="Manual",IF($A699=0,"&lt;-- defina o número do agrupador",OFFSET(EVENTOS!$D$14,$A699,0)),OFFSET($F$15,$A699,0)))</f>
        <v>MURO DE FECHAMENTO - CONCRETO ARMADO PARA PILARES</v>
      </c>
      <c r="O699" s="178"/>
      <c r="Q699" s="178">
        <v>4.9800000000000004</v>
      </c>
      <c r="R699" s="179"/>
      <c r="S699" s="179"/>
      <c r="T699" s="179"/>
      <c r="U699" s="179"/>
      <c r="V699" s="179"/>
      <c r="W699" s="179"/>
      <c r="X699" s="179"/>
      <c r="Y699" s="179"/>
      <c r="Z699" s="180"/>
      <c r="AA699" s="179"/>
      <c r="AB699" s="179"/>
      <c r="AC699" s="179"/>
      <c r="AD699" s="179"/>
      <c r="AE699" s="179"/>
      <c r="AF699" s="179"/>
      <c r="AG699" s="179"/>
      <c r="AH699" s="180"/>
      <c r="AJ699" s="544">
        <f ca="1">IF(AND($D699="Serviço",AJ$12&lt;&gt;0,$H699&gt;0,OR(AUTOEVENTO&lt;&gt;"manual",$M699&lt;&gt;1)),
IF(Import.TipoArredondamento&lt;&gt;"TransfereGOV",
ROUND(OFFSET($P699,0,AJ$13),15-13*ORÇAMENTO!$AF$7)/$H699*OFFSET(ORÇAMENTO!$X$15,ROW(AJ699)-ROW(AJ$15),0),
ROUND(ROUND(OFFSET($P699,0,AJ$13),15-13*ORÇAMENTO!$AF$7)*OFFSET(ORÇAMENTO!$W$15,ROW(AJ699)-ROW(AJ$15),0),15-13*ORÇAMENTO!$AF$11)),0)</f>
        <v>0</v>
      </c>
      <c r="AK699" s="545">
        <f ca="1">IF(AND($D699="Serviço",AK$12&lt;&gt;0,$H699&gt;0,OR(AUTOEVENTO&lt;&gt;"manual",$M699&lt;&gt;1)),
IF(Import.TipoArredondamento&lt;&gt;"TransfereGOV",
ROUND(OFFSET($P699,0,AK$13),15-13*ORÇAMENTO!$AF$7)/$H699*OFFSET(ORÇAMENTO!$X$15,ROW(AK699)-ROW(AK$15),0),
ROUND(ROUND(OFFSET($P699,0,AK$13),15-13*ORÇAMENTO!$AF$7)*OFFSET(ORÇAMENTO!$W$15,ROW(AK699)-ROW(AK$15),0),15-13*ORÇAMENTO!$AF$11)),0)</f>
        <v>0</v>
      </c>
      <c r="AL699" s="545">
        <f ca="1">IF(AND($D699="Serviço",AL$12&lt;&gt;0,$H699&gt;0,OR(AUTOEVENTO&lt;&gt;"manual",$M699&lt;&gt;1)),
IF(Import.TipoArredondamento&lt;&gt;"TransfereGOV",
ROUND(OFFSET($P699,0,AL$13),15-13*ORÇAMENTO!$AF$7)/$H699*OFFSET(ORÇAMENTO!$X$15,ROW(AL699)-ROW(AL$15),0),
ROUND(ROUND(OFFSET($P699,0,AL$13),15-13*ORÇAMENTO!$AF$7)*OFFSET(ORÇAMENTO!$W$15,ROW(AL699)-ROW(AL$15),0),15-13*ORÇAMENTO!$AF$11)),0)</f>
        <v>0</v>
      </c>
      <c r="AM699" s="545">
        <f ca="1">IF(AND($D699="Serviço",AM$12&lt;&gt;0,$H699&gt;0,OR(AUTOEVENTO&lt;&gt;"manual",$M699&lt;&gt;1)),
IF(Import.TipoArredondamento&lt;&gt;"TransfereGOV",
ROUND(OFFSET($P699,0,AM$13),15-13*ORÇAMENTO!$AF$7)/$H699*OFFSET(ORÇAMENTO!$X$15,ROW(AM699)-ROW(AM$15),0),
ROUND(ROUND(OFFSET($P699,0,AM$13),15-13*ORÇAMENTO!$AF$7)*OFFSET(ORÇAMENTO!$W$15,ROW(AM699)-ROW(AM$15),0),15-13*ORÇAMENTO!$AF$11)),0)</f>
        <v>0</v>
      </c>
      <c r="AN699" s="545">
        <f ca="1">IF(AND($D699="Serviço",AN$12&lt;&gt;0,$H699&gt;0,OR(AUTOEVENTO&lt;&gt;"manual",$M699&lt;&gt;1)),
IF(Import.TipoArredondamento&lt;&gt;"TransfereGOV",
ROUND(OFFSET($P699,0,AN$13),15-13*ORÇAMENTO!$AF$7)/$H699*OFFSET(ORÇAMENTO!$X$15,ROW(AN699)-ROW(AN$15),0),
ROUND(ROUND(OFFSET($P699,0,AN$13),15-13*ORÇAMENTO!$AF$7)*OFFSET(ORÇAMENTO!$W$15,ROW(AN699)-ROW(AN$15),0),15-13*ORÇAMENTO!$AF$11)),0)</f>
        <v>0</v>
      </c>
      <c r="AO699" s="545">
        <f ca="1">IF(AND($D699="Serviço",AO$12&lt;&gt;0,$H699&gt;0,OR(AUTOEVENTO&lt;&gt;"manual",$M699&lt;&gt;1)),
IF(Import.TipoArredondamento&lt;&gt;"TransfereGOV",
ROUND(OFFSET($P699,0,AO$13),15-13*ORÇAMENTO!$AF$7)/$H699*OFFSET(ORÇAMENTO!$X$15,ROW(AO699)-ROW(AO$15),0),
ROUND(ROUND(OFFSET($P699,0,AO$13),15-13*ORÇAMENTO!$AF$7)*OFFSET(ORÇAMENTO!$W$15,ROW(AO699)-ROW(AO$15),0),15-13*ORÇAMENTO!$AF$11)),0)</f>
        <v>0</v>
      </c>
      <c r="AP699" s="545">
        <f ca="1">IF(AND($D699="Serviço",AP$12&lt;&gt;0,$H699&gt;0,OR(AUTOEVENTO&lt;&gt;"manual",$M699&lt;&gt;1)),
IF(Import.TipoArredondamento&lt;&gt;"TransfereGOV",
ROUND(OFFSET($P699,0,AP$13),15-13*ORÇAMENTO!$AF$7)/$H699*OFFSET(ORÇAMENTO!$X$15,ROW(AP699)-ROW(AP$15),0),
ROUND(ROUND(OFFSET($P699,0,AP$13),15-13*ORÇAMENTO!$AF$7)*OFFSET(ORÇAMENTO!$W$15,ROW(AP699)-ROW(AP$15),0),15-13*ORÇAMENTO!$AF$11)),0)</f>
        <v>0</v>
      </c>
      <c r="AQ699" s="545">
        <f ca="1">IF(AND($D699="Serviço",AQ$12&lt;&gt;0,$H699&gt;0,OR(AUTOEVENTO&lt;&gt;"manual",$M699&lt;&gt;1)),
IF(Import.TipoArredondamento&lt;&gt;"TransfereGOV",
ROUND(OFFSET($P699,0,AQ$13),15-13*ORÇAMENTO!$AF$7)/$H699*OFFSET(ORÇAMENTO!$X$15,ROW(AQ699)-ROW(AQ$15),0),
ROUND(ROUND(OFFSET($P699,0,AQ$13),15-13*ORÇAMENTO!$AF$7)*OFFSET(ORÇAMENTO!$W$15,ROW(AQ699)-ROW(AQ$15),0),15-13*ORÇAMENTO!$AF$11)),0)</f>
        <v>0</v>
      </c>
      <c r="AR699" s="545">
        <f ca="1">IF(AND($D699="Serviço",AR$12&lt;&gt;0,$H699&gt;0,OR(AUTOEVENTO&lt;&gt;"manual",$M699&lt;&gt;1)),
IF(Import.TipoArredondamento&lt;&gt;"TransfereGOV",
ROUND(OFFSET($P699,0,AR$13),15-13*ORÇAMENTO!$AF$7)/$H699*OFFSET(ORÇAMENTO!$X$15,ROW(AR699)-ROW(AR$15),0),
ROUND(ROUND(OFFSET($P699,0,AR$13),15-13*ORÇAMENTO!$AF$7)*OFFSET(ORÇAMENTO!$W$15,ROW(AR699)-ROW(AR$15),0),15-13*ORÇAMENTO!$AF$11)),0)</f>
        <v>0</v>
      </c>
      <c r="AS699" s="546">
        <f ca="1">IF(AND($D699="Serviço",AS$12&lt;&gt;0,$H699&gt;0,OR(AUTOEVENTO&lt;&gt;"manual",$M699&lt;&gt;1)),
IF(Import.TipoArredondamento&lt;&gt;"TransfereGOV",
ROUND(OFFSET($P699,0,AS$13),15-13*ORÇAMENTO!$AF$7)/$H699*OFFSET(ORÇAMENTO!$X$15,ROW(AS699)-ROW(AS$15),0),
ROUND(ROUND(OFFSET($P699,0,AS$13),15-13*ORÇAMENTO!$AF$7)*OFFSET(ORÇAMENTO!$W$15,ROW(AS699)-ROW(AS$15),0),15-13*ORÇAMENTO!$AF$11)),0)</f>
        <v>0</v>
      </c>
      <c r="AT699" s="545">
        <f ca="1">IF(AND($D699="Serviço",AT$12&lt;&gt;0,$H699&gt;0,OR(AUTOEVENTO&lt;&gt;"manual",$M699&lt;&gt;1)),
IF(Import.TipoArredondamento&lt;&gt;"TransfereGOV",
ROUND(OFFSET($P699,0,AT$13),15-13*ORÇAMENTO!$AF$7)/$H699*OFFSET(ORÇAMENTO!$X$15,ROW(AT699)-ROW(AT$15),0),
ROUND(ROUND(OFFSET($P699,0,AT$13),15-13*ORÇAMENTO!$AF$7)*OFFSET(ORÇAMENTO!$W$15,ROW(AT699)-ROW(AT$15),0),15-13*ORÇAMENTO!$AF$11)),0)</f>
        <v>0</v>
      </c>
      <c r="AU699" s="545">
        <f ca="1">IF(AND($D699="Serviço",AU$12&lt;&gt;0,$H699&gt;0,OR(AUTOEVENTO&lt;&gt;"manual",$M699&lt;&gt;1)),
IF(Import.TipoArredondamento&lt;&gt;"TransfereGOV",
ROUND(OFFSET($P699,0,AU$13),15-13*ORÇAMENTO!$AF$7)/$H699*OFFSET(ORÇAMENTO!$X$15,ROW(AU699)-ROW(AU$15),0),
ROUND(ROUND(OFFSET($P699,0,AU$13),15-13*ORÇAMENTO!$AF$7)*OFFSET(ORÇAMENTO!$W$15,ROW(AU699)-ROW(AU$15),0),15-13*ORÇAMENTO!$AF$11)),0)</f>
        <v>0</v>
      </c>
      <c r="AV699" s="545">
        <f ca="1">IF(AND($D699="Serviço",AV$12&lt;&gt;0,$H699&gt;0,OR(AUTOEVENTO&lt;&gt;"manual",$M699&lt;&gt;1)),
IF(Import.TipoArredondamento&lt;&gt;"TransfereGOV",
ROUND(OFFSET($P699,0,AV$13),15-13*ORÇAMENTO!$AF$7)/$H699*OFFSET(ORÇAMENTO!$X$15,ROW(AV699)-ROW(AV$15),0),
ROUND(ROUND(OFFSET($P699,0,AV$13),15-13*ORÇAMENTO!$AF$7)*OFFSET(ORÇAMENTO!$W$15,ROW(AV699)-ROW(AV$15),0),15-13*ORÇAMENTO!$AF$11)),0)</f>
        <v>0</v>
      </c>
      <c r="AW699" s="545">
        <f ca="1">IF(AND($D699="Serviço",AW$12&lt;&gt;0,$H699&gt;0,OR(AUTOEVENTO&lt;&gt;"manual",$M699&lt;&gt;1)),
IF(Import.TipoArredondamento&lt;&gt;"TransfereGOV",
ROUND(OFFSET($P699,0,AW$13),15-13*ORÇAMENTO!$AF$7)/$H699*OFFSET(ORÇAMENTO!$X$15,ROW(AW699)-ROW(AW$15),0),
ROUND(ROUND(OFFSET($P699,0,AW$13),15-13*ORÇAMENTO!$AF$7)*OFFSET(ORÇAMENTO!$W$15,ROW(AW699)-ROW(AW$15),0),15-13*ORÇAMENTO!$AF$11)),0)</f>
        <v>0</v>
      </c>
      <c r="AX699" s="545">
        <f ca="1">IF(AND($D699="Serviço",AX$12&lt;&gt;0,$H699&gt;0,OR(AUTOEVENTO&lt;&gt;"manual",$M699&lt;&gt;1)),
IF(Import.TipoArredondamento&lt;&gt;"TransfereGOV",
ROUND(OFFSET($P699,0,AX$13),15-13*ORÇAMENTO!$AF$7)/$H699*OFFSET(ORÇAMENTO!$X$15,ROW(AX699)-ROW(AX$15),0),
ROUND(ROUND(OFFSET($P699,0,AX$13),15-13*ORÇAMENTO!$AF$7)*OFFSET(ORÇAMENTO!$W$15,ROW(AX699)-ROW(AX$15),0),15-13*ORÇAMENTO!$AF$11)),0)</f>
        <v>0</v>
      </c>
      <c r="AY699" s="545">
        <f ca="1">IF(AND($D699="Serviço",AY$12&lt;&gt;0,$H699&gt;0,OR(AUTOEVENTO&lt;&gt;"manual",$M699&lt;&gt;1)),
IF(Import.TipoArredondamento&lt;&gt;"TransfereGOV",
ROUND(OFFSET($P699,0,AY$13),15-13*ORÇAMENTO!$AF$7)/$H699*OFFSET(ORÇAMENTO!$X$15,ROW(AY699)-ROW(AY$15),0),
ROUND(ROUND(OFFSET($P699,0,AY$13),15-13*ORÇAMENTO!$AF$7)*OFFSET(ORÇAMENTO!$W$15,ROW(AY699)-ROW(AY$15),0),15-13*ORÇAMENTO!$AF$11)),0)</f>
        <v>0</v>
      </c>
      <c r="AZ699" s="545">
        <f ca="1">IF(AND($D699="Serviço",AZ$12&lt;&gt;0,$H699&gt;0,OR(AUTOEVENTO&lt;&gt;"manual",$M699&lt;&gt;1)),
IF(Import.TipoArredondamento&lt;&gt;"TransfereGOV",
ROUND(OFFSET($P699,0,AZ$13),15-13*ORÇAMENTO!$AF$7)/$H699*OFFSET(ORÇAMENTO!$X$15,ROW(AZ699)-ROW(AZ$15),0),
ROUND(ROUND(OFFSET($P699,0,AZ$13),15-13*ORÇAMENTO!$AF$7)*OFFSET(ORÇAMENTO!$W$15,ROW(AZ699)-ROW(AZ$15),0),15-13*ORÇAMENTO!$AF$11)),0)</f>
        <v>0</v>
      </c>
      <c r="BA699" s="546">
        <f ca="1">IF(AND($D699="Serviço",BA$12&lt;&gt;0,$H699&gt;0,OR(AUTOEVENTO&lt;&gt;"manual",$M699&lt;&gt;1)),
IF(Import.TipoArredondamento&lt;&gt;"TransfereGOV",
ROUND(OFFSET($P699,0,BA$13),15-13*ORÇAMENTO!$AF$7)/$H699*OFFSET(ORÇAMENTO!$X$15,ROW(BA699)-ROW(BA$15),0),
ROUND(ROUND(OFFSET($P699,0,BA$13),15-13*ORÇAMENTO!$AF$7)*OFFSET(ORÇAMENTO!$W$15,ROW(BA699)-ROW(BA$15),0),15-13*ORÇAMENTO!$AF$11)),0)</f>
        <v>0</v>
      </c>
      <c r="BC699" s="181">
        <f ca="1">IF($D699&lt;&gt;"Serviço",0,IF(AND(AUTOEVENTO="Manual",$M699=1),0,IF(OFFSET(CRONOPLE!$F$14,$M699,BC$13)="",10^12,OFFSET(CRONOPLE!$F$14,$M699,BC$13))))</f>
        <v>12</v>
      </c>
      <c r="BD699" s="181">
        <f ca="1">IF($D699&lt;&gt;"Serviço",0,IF(AND(AUTOEVENTO="Manual",$M699=1),0,IF(OFFSET(CRONOPLE!$F$14,$M699,BD$13)="",10^12,OFFSET(CRONOPLE!$F$14,$M699,BD$13))))</f>
        <v>1000000000000</v>
      </c>
      <c r="BE699" s="181">
        <f ca="1">IF($D699&lt;&gt;"Serviço",0,IF(AND(AUTOEVENTO="Manual",$M699=1),0,IF(OFFSET(CRONOPLE!$F$14,$M699,BE$13)="",10^12,OFFSET(CRONOPLE!$F$14,$M699,BE$13))))</f>
        <v>1000000000000</v>
      </c>
      <c r="BF699" s="181">
        <f ca="1">IF($D699&lt;&gt;"Serviço",0,IF(AND(AUTOEVENTO="Manual",$M699=1),0,IF(OFFSET(CRONOPLE!$F$14,$M699,BF$13)="",10^12,OFFSET(CRONOPLE!$F$14,$M699,BF$13))))</f>
        <v>1000000000000</v>
      </c>
      <c r="BG699" s="181">
        <f ca="1">IF($D699&lt;&gt;"Serviço",0,IF(AND(AUTOEVENTO="Manual",$M699=1),0,IF(OFFSET(CRONOPLE!$F$14,$M699,BG$13)="",10^12,OFFSET(CRONOPLE!$F$14,$M699,BG$13))))</f>
        <v>1000000000000</v>
      </c>
      <c r="BH699" s="181">
        <f ca="1">IF($D699&lt;&gt;"Serviço",0,IF(AND(AUTOEVENTO="Manual",$M699=1),0,IF(OFFSET(CRONOPLE!$F$14,$M699,BH$13)="",10^12,OFFSET(CRONOPLE!$F$14,$M699,BH$13))))</f>
        <v>1000000000000</v>
      </c>
      <c r="BI699" s="181">
        <f ca="1">IF($D699&lt;&gt;"Serviço",0,IF(AND(AUTOEVENTO="Manual",$M699=1),0,IF(OFFSET(CRONOPLE!$F$14,$M699,BI$13)="",10^12,OFFSET(CRONOPLE!$F$14,$M699,BI$13))))</f>
        <v>1000000000000</v>
      </c>
      <c r="BJ699" s="181">
        <f ca="1">IF($D699&lt;&gt;"Serviço",0,IF(AND(AUTOEVENTO="Manual",$M699=1),0,IF(OFFSET(CRONOPLE!$F$14,$M699,BJ$13)="",10^12,OFFSET(CRONOPLE!$F$14,$M699,BJ$13))))</f>
        <v>1000000000000</v>
      </c>
      <c r="BK699" s="181">
        <f ca="1">IF($D699&lt;&gt;"Serviço",0,IF(AND(AUTOEVENTO="Manual",$M699=1),0,IF(OFFSET(CRONOPLE!$F$14,$M699,BK$13)="",10^12,OFFSET(CRONOPLE!$F$14,$M699,BK$13))))</f>
        <v>1000000000000</v>
      </c>
      <c r="BL699" s="181">
        <f ca="1">IF($D699&lt;&gt;"Serviço",0,IF(AND(AUTOEVENTO="Manual",$M699=1),0,IF(OFFSET(CRONOPLE!$F$14,$M699,BL$13)="",10^12,OFFSET(CRONOPLE!$F$14,$M699,BL$13))))</f>
        <v>1000000000000</v>
      </c>
      <c r="BM699" s="181">
        <f ca="1">IF($D699&lt;&gt;"Serviço",0,IF(AND(AUTOEVENTO="Manual",$M699=1),0,IF(OFFSET(CRONOPLE!$F$14,$M699,BM$13)="",10^12,OFFSET(CRONOPLE!$F$14,$M699,BM$13))))</f>
        <v>1000000000000</v>
      </c>
      <c r="BN699" s="181">
        <f ca="1">IF($D699&lt;&gt;"Serviço",0,IF(AND(AUTOEVENTO="Manual",$M699=1),0,IF(OFFSET(CRONOPLE!$F$14,$M699,BN$13)="",10^12,OFFSET(CRONOPLE!$F$14,$M699,BN$13))))</f>
        <v>1000000000000</v>
      </c>
      <c r="BO699" s="181">
        <f ca="1">IF($D699&lt;&gt;"Serviço",0,IF(AND(AUTOEVENTO="Manual",$M699=1),0,IF(OFFSET(CRONOPLE!$F$14,$M699,BO$13)="",10^12,OFFSET(CRONOPLE!$F$14,$M699,BO$13))))</f>
        <v>1000000000000</v>
      </c>
      <c r="BP699" s="181">
        <f ca="1">IF($D699&lt;&gt;"Serviço",0,IF(AND(AUTOEVENTO="Manual",$M699=1),0,IF(OFFSET(CRONOPLE!$F$14,$M699,BP$13)="",10^12,OFFSET(CRONOPLE!$F$14,$M699,BP$13))))</f>
        <v>1000000000000</v>
      </c>
      <c r="BQ699" s="181">
        <f ca="1">IF($D699&lt;&gt;"Serviço",0,IF(AND(AUTOEVENTO="Manual",$M699=1),0,IF(OFFSET(CRONOPLE!$F$14,$M699,BQ$13)="",10^12,OFFSET(CRONOPLE!$F$14,$M699,BQ$13))))</f>
        <v>1000000000000</v>
      </c>
      <c r="BR699" s="181">
        <f ca="1">IF($D699&lt;&gt;"Serviço",0,IF(AND(AUTOEVENTO="Manual",$M699=1),0,IF(OFFSET(CRONOPLE!$F$14,$M699,BR$13)="",10^12,OFFSET(CRONOPLE!$F$14,$M699,BR$13))))</f>
        <v>1000000000000</v>
      </c>
      <c r="BS699" s="181">
        <f ca="1">IF($D699&lt;&gt;"Serviço",0,IF(AND(AUTOEVENTO="Manual",$M699=1),0,IF(OFFSET(CRONOPLE!$F$14,$M699,BS$13)="",10^12,OFFSET(CRONOPLE!$F$14,$M699,BS$13))))</f>
        <v>1000000000000</v>
      </c>
      <c r="BT699" s="181">
        <f ca="1">IF($D699&lt;&gt;"Serviço",0,IF(AND(AUTOEVENTO="Manual",$M699=1),0,IF(OFFSET(CRONOPLE!$F$14,$M699,BT$13)="",10^12,OFFSET(CRONOPLE!$F$14,$M699,BT$13))))</f>
        <v>1000000000000</v>
      </c>
      <c r="BV699" s="182">
        <f ca="1">IF($D699&lt;&gt;"Serviço",0,IF(OR(AND(AUTOEVENTO="Manual",$M699=1),$M699&gt;(ROW(PLE.lastrow)-ROW(PLE.firstrow))),0,IF(OFFSET(PLE!$G$14,$M699,BV$13)="",10^12,OFFSET(PLE!$G$14,$M699,BV$13))))</f>
        <v>1000000000000</v>
      </c>
      <c r="BW699" s="182">
        <f ca="1">IF($D699&lt;&gt;"Serviço",0,IF(OR(AND(AUTOEVENTO="Manual",$M699=1),$M699&gt;(ROW(PLE.lastrow)-ROW(PLE.firstrow))),0,IF(OFFSET(PLE!$G$14,$M699,BW$13)="",10^12,OFFSET(PLE!$G$14,$M699,BW$13))))</f>
        <v>1000000000000</v>
      </c>
      <c r="BX699" s="182">
        <f ca="1">IF($D699&lt;&gt;"Serviço",0,IF(OR(AND(AUTOEVENTO="Manual",$M699=1),$M699&gt;(ROW(PLE.lastrow)-ROW(PLE.firstrow))),0,IF(OFFSET(PLE!$G$14,$M699,BX$13)="",10^12,OFFSET(PLE!$G$14,$M699,BX$13))))</f>
        <v>1000000000000</v>
      </c>
      <c r="BY699" s="182">
        <f ca="1">IF($D699&lt;&gt;"Serviço",0,IF(OR(AND(AUTOEVENTO="Manual",$M699=1),$M699&gt;(ROW(PLE.lastrow)-ROW(PLE.firstrow))),0,IF(OFFSET(PLE!$G$14,$M699,BY$13)="",10^12,OFFSET(PLE!$G$14,$M699,BY$13))))</f>
        <v>1000000000000</v>
      </c>
      <c r="BZ699" s="182">
        <f ca="1">IF($D699&lt;&gt;"Serviço",0,IF(OR(AND(AUTOEVENTO="Manual",$M699=1),$M699&gt;(ROW(PLE.lastrow)-ROW(PLE.firstrow))),0,IF(OFFSET(PLE!$G$14,$M699,BZ$13)="",10^12,OFFSET(PLE!$G$14,$M699,BZ$13))))</f>
        <v>1000000000000</v>
      </c>
      <c r="CA699" s="182">
        <f ca="1">IF($D699&lt;&gt;"Serviço",0,IF(OR(AND(AUTOEVENTO="Manual",$M699=1),$M699&gt;(ROW(PLE.lastrow)-ROW(PLE.firstrow))),0,IF(OFFSET(PLE!$G$14,$M699,CA$13)="",10^12,OFFSET(PLE!$G$14,$M699,CA$13))))</f>
        <v>1000000000000</v>
      </c>
      <c r="CB699" s="182">
        <f ca="1">IF($D699&lt;&gt;"Serviço",0,IF(OR(AND(AUTOEVENTO="Manual",$M699=1),$M699&gt;(ROW(PLE.lastrow)-ROW(PLE.firstrow))),0,IF(OFFSET(PLE!$G$14,$M699,CB$13)="",10^12,OFFSET(PLE!$G$14,$M699,CB$13))))</f>
        <v>1000000000000</v>
      </c>
      <c r="CC699" s="182">
        <f ca="1">IF($D699&lt;&gt;"Serviço",0,IF(OR(AND(AUTOEVENTO="Manual",$M699=1),$M699&gt;(ROW(PLE.lastrow)-ROW(PLE.firstrow))),0,IF(OFFSET(PLE!$G$14,$M699,CC$13)="",10^12,OFFSET(PLE!$G$14,$M699,CC$13))))</f>
        <v>1000000000000</v>
      </c>
      <c r="CD699" s="182">
        <f ca="1">IF($D699&lt;&gt;"Serviço",0,IF(OR(AND(AUTOEVENTO="Manual",$M699=1),$M699&gt;(ROW(PLE.lastrow)-ROW(PLE.firstrow))),0,IF(OFFSET(PLE!$G$14,$M699,CD$13)="",10^12,OFFSET(PLE!$G$14,$M699,CD$13))))</f>
        <v>1000000000000</v>
      </c>
      <c r="CE699" s="182">
        <f ca="1">IF($D699&lt;&gt;"Serviço",0,IF(OR(AND(AUTOEVENTO="Manual",$M699=1),$M699&gt;(ROW(PLE.lastrow)-ROW(PLE.firstrow))),0,IF(OFFSET(PLE!$G$14,$M699,CE$13)="",10^12,OFFSET(PLE!$G$14,$M699,CE$13))))</f>
        <v>1000000000000</v>
      </c>
      <c r="CF699" s="182">
        <f ca="1">IF($D699&lt;&gt;"Serviço",0,IF(OR(AND(AUTOEVENTO="Manual",$M699=1),$M699&gt;(ROW(PLE.lastrow)-ROW(PLE.firstrow))),0,IF(OFFSET(PLE!$G$14,$M699,CF$13)="",10^12,OFFSET(PLE!$G$14,$M699,CF$13))))</f>
        <v>1000000000000</v>
      </c>
      <c r="CG699" s="182">
        <f ca="1">IF($D699&lt;&gt;"Serviço",0,IF(OR(AND(AUTOEVENTO="Manual",$M699=1),$M699&gt;(ROW(PLE.lastrow)-ROW(PLE.firstrow))),0,IF(OFFSET(PLE!$G$14,$M699,CG$13)="",10^12,OFFSET(PLE!$G$14,$M699,CG$13))))</f>
        <v>1000000000000</v>
      </c>
      <c r="CH699" s="182">
        <f ca="1">IF($D699&lt;&gt;"Serviço",0,IF(OR(AND(AUTOEVENTO="Manual",$M699=1),$M699&gt;(ROW(PLE.lastrow)-ROW(PLE.firstrow))),0,IF(OFFSET(PLE!$G$14,$M699,CH$13)="",10^12,OFFSET(PLE!$G$14,$M699,CH$13))))</f>
        <v>1000000000000</v>
      </c>
      <c r="CI699" s="182">
        <f ca="1">IF($D699&lt;&gt;"Serviço",0,IF(OR(AND(AUTOEVENTO="Manual",$M699=1),$M699&gt;(ROW(PLE.lastrow)-ROW(PLE.firstrow))),0,IF(OFFSET(PLE!$G$14,$M699,CI$13)="",10^12,OFFSET(PLE!$G$14,$M699,CI$13))))</f>
        <v>1000000000000</v>
      </c>
      <c r="CJ699" s="182">
        <f ca="1">IF($D699&lt;&gt;"Serviço",0,IF(OR(AND(AUTOEVENTO="Manual",$M699=1),$M699&gt;(ROW(PLE.lastrow)-ROW(PLE.firstrow))),0,IF(OFFSET(PLE!$G$14,$M699,CJ$13)="",10^12,OFFSET(PLE!$G$14,$M699,CJ$13))))</f>
        <v>1000000000000</v>
      </c>
      <c r="CK699" s="182">
        <f ca="1">IF($D699&lt;&gt;"Serviço",0,IF(OR(AND(AUTOEVENTO="Manual",$M699=1),$M699&gt;(ROW(PLE.lastrow)-ROW(PLE.firstrow))),0,IF(OFFSET(PLE!$G$14,$M699,CK$13)="",10^12,OFFSET(PLE!$G$14,$M699,CK$13))))</f>
        <v>1000000000000</v>
      </c>
      <c r="CL699" s="182">
        <f ca="1">IF($D699&lt;&gt;"Serviço",0,IF(OR(AND(AUTOEVENTO="Manual",$M699=1),$M699&gt;(ROW(PLE.lastrow)-ROW(PLE.firstrow))),0,IF(OFFSET(PLE!$G$14,$M699,CL$13)="",10^12,OFFSET(PLE!$G$14,$M699,CL$13))))</f>
        <v>1000000000000</v>
      </c>
      <c r="CM699" s="182">
        <f ca="1">IF($D699&lt;&gt;"Serviço",0,IF(OR(AND(AUTOEVENTO="Manual",$M699=1),$M699&gt;(ROW(PLE.lastrow)-ROW(PLE.firstrow))),0,IF(OFFSET(PLE!$G$14,$M699,CM$13)="",10^12,OFFSET(PLE!$G$14,$M699,CM$13))))</f>
        <v>1000000000000</v>
      </c>
    </row>
    <row r="700" spans="1:91" ht="38.25" x14ac:dyDescent="0.2">
      <c r="A700" s="7" t="str">
        <f t="shared" ca="1" si="19"/>
        <v>680</v>
      </c>
      <c r="B700" s="7" t="str">
        <f ca="1">OFFSET(ORÇAMENTO!C$15,ROW(B700)-ROW(B$15),0)</f>
        <v>S</v>
      </c>
      <c r="C700" s="7" t="str">
        <f ca="1">OFFSET(ORÇAMENTO!L$15,ROW(C700)-ROW(C$15),0)</f>
        <v/>
      </c>
      <c r="D700" s="118" t="str">
        <f ca="1">OFFSET(ORÇAMENTO!N$15,ROW(D700)-ROW(D$15),0)</f>
        <v>Serviço</v>
      </c>
      <c r="E700" s="119" t="str">
        <f ca="1">OFFSET(ORÇAMENTO!O$15,ROW(E700)-ROW(E$15),0)</f>
        <v>-</v>
      </c>
      <c r="F700" s="172" t="str">
        <f ca="1">OFFSET(ORÇAMENTO!R$15,ROW(F700)-ROW(F$15),0)</f>
        <v>(abra o arquivo 'Referência 06-2024.xlsm)</v>
      </c>
      <c r="G700" s="173" t="str">
        <f ca="1">IF($D700&lt;&gt;"Serviço","",OFFSET(ORÇAMENTO!S$15,ROW(G700)-ROW(G$15),0))</f>
        <v>-</v>
      </c>
      <c r="H700" s="124">
        <f ca="1">IF($D700&lt;&gt;"Serviço",0,IF(ACOMPANHAMENTO="BM",ROUND(OFFSET(ORÇAMENTO!AJ$15,ROW(H700)-ROW(H$15),0),15-13*ORÇAMENTO!$AF$7),SUMPRODUCT(($Q$12:$AI$12&lt;&gt;"")*ROUND($Q700:$AI700,15-13*ORÇAMENTO!$AF$7))))</f>
        <v>1</v>
      </c>
      <c r="I700" s="561" t="s">
        <v>1107</v>
      </c>
      <c r="K700" s="174"/>
      <c r="L700" s="175" t="s">
        <v>255</v>
      </c>
      <c r="M700" s="176">
        <f ca="1">IF($D700&lt;&gt;"Serviço","",IF(AUTOEVENTO="manual",$A700,IF(ISERROR(MATCH($A700,$A$15:OFFSET($A700,-1,0),0)),MAX($M$15:OFFSET(M700,-1,0))+1,INDEX($M$15:OFFSET(M700,-1,0),MATCH($A700,$A$15:OFFSET($A700,-1,0),0)))))</f>
        <v>76</v>
      </c>
      <c r="N700" s="177" t="str">
        <f ca="1">IF($D700&lt;&gt;"Serviço","",IF(AUTOEVENTO="Manual",IF($A700=0,"&lt;-- defina o número do agrupador",OFFSET(EVENTOS!$D$14,$A700,0)),OFFSET($F$15,$A700,0)))</f>
        <v>MURO DE FECHAMENTO - CONCRETO ARMADO PARA PILARES</v>
      </c>
      <c r="O700" s="178"/>
      <c r="Q700" s="178">
        <v>1</v>
      </c>
      <c r="R700" s="179"/>
      <c r="S700" s="179"/>
      <c r="T700" s="179"/>
      <c r="U700" s="179"/>
      <c r="V700" s="179"/>
      <c r="W700" s="179"/>
      <c r="X700" s="179"/>
      <c r="Y700" s="179"/>
      <c r="Z700" s="180"/>
      <c r="AA700" s="179"/>
      <c r="AB700" s="179"/>
      <c r="AC700" s="179"/>
      <c r="AD700" s="179"/>
      <c r="AE700" s="179"/>
      <c r="AF700" s="179"/>
      <c r="AG700" s="179"/>
      <c r="AH700" s="180"/>
      <c r="AJ700" s="544">
        <f ca="1">IF(AND($D700="Serviço",AJ$12&lt;&gt;0,$H700&gt;0,OR(AUTOEVENTO&lt;&gt;"manual",$M700&lt;&gt;1)),
IF(Import.TipoArredondamento&lt;&gt;"TransfereGOV",
ROUND(OFFSET($P700,0,AJ$13),15-13*ORÇAMENTO!$AF$7)/$H700*OFFSET(ORÇAMENTO!$X$15,ROW(AJ700)-ROW(AJ$15),0),
ROUND(ROUND(OFFSET($P700,0,AJ$13),15-13*ORÇAMENTO!$AF$7)*OFFSET(ORÇAMENTO!$W$15,ROW(AJ700)-ROW(AJ$15),0),15-13*ORÇAMENTO!$AF$11)),0)</f>
        <v>0</v>
      </c>
      <c r="AK700" s="545">
        <f ca="1">IF(AND($D700="Serviço",AK$12&lt;&gt;0,$H700&gt;0,OR(AUTOEVENTO&lt;&gt;"manual",$M700&lt;&gt;1)),
IF(Import.TipoArredondamento&lt;&gt;"TransfereGOV",
ROUND(OFFSET($P700,0,AK$13),15-13*ORÇAMENTO!$AF$7)/$H700*OFFSET(ORÇAMENTO!$X$15,ROW(AK700)-ROW(AK$15),0),
ROUND(ROUND(OFFSET($P700,0,AK$13),15-13*ORÇAMENTO!$AF$7)*OFFSET(ORÇAMENTO!$W$15,ROW(AK700)-ROW(AK$15),0),15-13*ORÇAMENTO!$AF$11)),0)</f>
        <v>0</v>
      </c>
      <c r="AL700" s="545">
        <f ca="1">IF(AND($D700="Serviço",AL$12&lt;&gt;0,$H700&gt;0,OR(AUTOEVENTO&lt;&gt;"manual",$M700&lt;&gt;1)),
IF(Import.TipoArredondamento&lt;&gt;"TransfereGOV",
ROUND(OFFSET($P700,0,AL$13),15-13*ORÇAMENTO!$AF$7)/$H700*OFFSET(ORÇAMENTO!$X$15,ROW(AL700)-ROW(AL$15),0),
ROUND(ROUND(OFFSET($P700,0,AL$13),15-13*ORÇAMENTO!$AF$7)*OFFSET(ORÇAMENTO!$W$15,ROW(AL700)-ROW(AL$15),0),15-13*ORÇAMENTO!$AF$11)),0)</f>
        <v>0</v>
      </c>
      <c r="AM700" s="545">
        <f ca="1">IF(AND($D700="Serviço",AM$12&lt;&gt;0,$H700&gt;0,OR(AUTOEVENTO&lt;&gt;"manual",$M700&lt;&gt;1)),
IF(Import.TipoArredondamento&lt;&gt;"TransfereGOV",
ROUND(OFFSET($P700,0,AM$13),15-13*ORÇAMENTO!$AF$7)/$H700*OFFSET(ORÇAMENTO!$X$15,ROW(AM700)-ROW(AM$15),0),
ROUND(ROUND(OFFSET($P700,0,AM$13),15-13*ORÇAMENTO!$AF$7)*OFFSET(ORÇAMENTO!$W$15,ROW(AM700)-ROW(AM$15),0),15-13*ORÇAMENTO!$AF$11)),0)</f>
        <v>0</v>
      </c>
      <c r="AN700" s="545">
        <f ca="1">IF(AND($D700="Serviço",AN$12&lt;&gt;0,$H700&gt;0,OR(AUTOEVENTO&lt;&gt;"manual",$M700&lt;&gt;1)),
IF(Import.TipoArredondamento&lt;&gt;"TransfereGOV",
ROUND(OFFSET($P700,0,AN$13),15-13*ORÇAMENTO!$AF$7)/$H700*OFFSET(ORÇAMENTO!$X$15,ROW(AN700)-ROW(AN$15),0),
ROUND(ROUND(OFFSET($P700,0,AN$13),15-13*ORÇAMENTO!$AF$7)*OFFSET(ORÇAMENTO!$W$15,ROW(AN700)-ROW(AN$15),0),15-13*ORÇAMENTO!$AF$11)),0)</f>
        <v>0</v>
      </c>
      <c r="AO700" s="545">
        <f ca="1">IF(AND($D700="Serviço",AO$12&lt;&gt;0,$H700&gt;0,OR(AUTOEVENTO&lt;&gt;"manual",$M700&lt;&gt;1)),
IF(Import.TipoArredondamento&lt;&gt;"TransfereGOV",
ROUND(OFFSET($P700,0,AO$13),15-13*ORÇAMENTO!$AF$7)/$H700*OFFSET(ORÇAMENTO!$X$15,ROW(AO700)-ROW(AO$15),0),
ROUND(ROUND(OFFSET($P700,0,AO$13),15-13*ORÇAMENTO!$AF$7)*OFFSET(ORÇAMENTO!$W$15,ROW(AO700)-ROW(AO$15),0),15-13*ORÇAMENTO!$AF$11)),0)</f>
        <v>0</v>
      </c>
      <c r="AP700" s="545">
        <f ca="1">IF(AND($D700="Serviço",AP$12&lt;&gt;0,$H700&gt;0,OR(AUTOEVENTO&lt;&gt;"manual",$M700&lt;&gt;1)),
IF(Import.TipoArredondamento&lt;&gt;"TransfereGOV",
ROUND(OFFSET($P700,0,AP$13),15-13*ORÇAMENTO!$AF$7)/$H700*OFFSET(ORÇAMENTO!$X$15,ROW(AP700)-ROW(AP$15),0),
ROUND(ROUND(OFFSET($P700,0,AP$13),15-13*ORÇAMENTO!$AF$7)*OFFSET(ORÇAMENTO!$W$15,ROW(AP700)-ROW(AP$15),0),15-13*ORÇAMENTO!$AF$11)),0)</f>
        <v>0</v>
      </c>
      <c r="AQ700" s="545">
        <f ca="1">IF(AND($D700="Serviço",AQ$12&lt;&gt;0,$H700&gt;0,OR(AUTOEVENTO&lt;&gt;"manual",$M700&lt;&gt;1)),
IF(Import.TipoArredondamento&lt;&gt;"TransfereGOV",
ROUND(OFFSET($P700,0,AQ$13),15-13*ORÇAMENTO!$AF$7)/$H700*OFFSET(ORÇAMENTO!$X$15,ROW(AQ700)-ROW(AQ$15),0),
ROUND(ROUND(OFFSET($P700,0,AQ$13),15-13*ORÇAMENTO!$AF$7)*OFFSET(ORÇAMENTO!$W$15,ROW(AQ700)-ROW(AQ$15),0),15-13*ORÇAMENTO!$AF$11)),0)</f>
        <v>0</v>
      </c>
      <c r="AR700" s="545">
        <f ca="1">IF(AND($D700="Serviço",AR$12&lt;&gt;0,$H700&gt;0,OR(AUTOEVENTO&lt;&gt;"manual",$M700&lt;&gt;1)),
IF(Import.TipoArredondamento&lt;&gt;"TransfereGOV",
ROUND(OFFSET($P700,0,AR$13),15-13*ORÇAMENTO!$AF$7)/$H700*OFFSET(ORÇAMENTO!$X$15,ROW(AR700)-ROW(AR$15),0),
ROUND(ROUND(OFFSET($P700,0,AR$13),15-13*ORÇAMENTO!$AF$7)*OFFSET(ORÇAMENTO!$W$15,ROW(AR700)-ROW(AR$15),0),15-13*ORÇAMENTO!$AF$11)),0)</f>
        <v>0</v>
      </c>
      <c r="AS700" s="546">
        <f ca="1">IF(AND($D700="Serviço",AS$12&lt;&gt;0,$H700&gt;0,OR(AUTOEVENTO&lt;&gt;"manual",$M700&lt;&gt;1)),
IF(Import.TipoArredondamento&lt;&gt;"TransfereGOV",
ROUND(OFFSET($P700,0,AS$13),15-13*ORÇAMENTO!$AF$7)/$H700*OFFSET(ORÇAMENTO!$X$15,ROW(AS700)-ROW(AS$15),0),
ROUND(ROUND(OFFSET($P700,0,AS$13),15-13*ORÇAMENTO!$AF$7)*OFFSET(ORÇAMENTO!$W$15,ROW(AS700)-ROW(AS$15),0),15-13*ORÇAMENTO!$AF$11)),0)</f>
        <v>0</v>
      </c>
      <c r="AT700" s="545">
        <f ca="1">IF(AND($D700="Serviço",AT$12&lt;&gt;0,$H700&gt;0,OR(AUTOEVENTO&lt;&gt;"manual",$M700&lt;&gt;1)),
IF(Import.TipoArredondamento&lt;&gt;"TransfereGOV",
ROUND(OFFSET($P700,0,AT$13),15-13*ORÇAMENTO!$AF$7)/$H700*OFFSET(ORÇAMENTO!$X$15,ROW(AT700)-ROW(AT$15),0),
ROUND(ROUND(OFFSET($P700,0,AT$13),15-13*ORÇAMENTO!$AF$7)*OFFSET(ORÇAMENTO!$W$15,ROW(AT700)-ROW(AT$15),0),15-13*ORÇAMENTO!$AF$11)),0)</f>
        <v>0</v>
      </c>
      <c r="AU700" s="545">
        <f ca="1">IF(AND($D700="Serviço",AU$12&lt;&gt;0,$H700&gt;0,OR(AUTOEVENTO&lt;&gt;"manual",$M700&lt;&gt;1)),
IF(Import.TipoArredondamento&lt;&gt;"TransfereGOV",
ROUND(OFFSET($P700,0,AU$13),15-13*ORÇAMENTO!$AF$7)/$H700*OFFSET(ORÇAMENTO!$X$15,ROW(AU700)-ROW(AU$15),0),
ROUND(ROUND(OFFSET($P700,0,AU$13),15-13*ORÇAMENTO!$AF$7)*OFFSET(ORÇAMENTO!$W$15,ROW(AU700)-ROW(AU$15),0),15-13*ORÇAMENTO!$AF$11)),0)</f>
        <v>0</v>
      </c>
      <c r="AV700" s="545">
        <f ca="1">IF(AND($D700="Serviço",AV$12&lt;&gt;0,$H700&gt;0,OR(AUTOEVENTO&lt;&gt;"manual",$M700&lt;&gt;1)),
IF(Import.TipoArredondamento&lt;&gt;"TransfereGOV",
ROUND(OFFSET($P700,0,AV$13),15-13*ORÇAMENTO!$AF$7)/$H700*OFFSET(ORÇAMENTO!$X$15,ROW(AV700)-ROW(AV$15),0),
ROUND(ROUND(OFFSET($P700,0,AV$13),15-13*ORÇAMENTO!$AF$7)*OFFSET(ORÇAMENTO!$W$15,ROW(AV700)-ROW(AV$15),0),15-13*ORÇAMENTO!$AF$11)),0)</f>
        <v>0</v>
      </c>
      <c r="AW700" s="545">
        <f ca="1">IF(AND($D700="Serviço",AW$12&lt;&gt;0,$H700&gt;0,OR(AUTOEVENTO&lt;&gt;"manual",$M700&lt;&gt;1)),
IF(Import.TipoArredondamento&lt;&gt;"TransfereGOV",
ROUND(OFFSET($P700,0,AW$13),15-13*ORÇAMENTO!$AF$7)/$H700*OFFSET(ORÇAMENTO!$X$15,ROW(AW700)-ROW(AW$15),0),
ROUND(ROUND(OFFSET($P700,0,AW$13),15-13*ORÇAMENTO!$AF$7)*OFFSET(ORÇAMENTO!$W$15,ROW(AW700)-ROW(AW$15),0),15-13*ORÇAMENTO!$AF$11)),0)</f>
        <v>0</v>
      </c>
      <c r="AX700" s="545">
        <f ca="1">IF(AND($D700="Serviço",AX$12&lt;&gt;0,$H700&gt;0,OR(AUTOEVENTO&lt;&gt;"manual",$M700&lt;&gt;1)),
IF(Import.TipoArredondamento&lt;&gt;"TransfereGOV",
ROUND(OFFSET($P700,0,AX$13),15-13*ORÇAMENTO!$AF$7)/$H700*OFFSET(ORÇAMENTO!$X$15,ROW(AX700)-ROW(AX$15),0),
ROUND(ROUND(OFFSET($P700,0,AX$13),15-13*ORÇAMENTO!$AF$7)*OFFSET(ORÇAMENTO!$W$15,ROW(AX700)-ROW(AX$15),0),15-13*ORÇAMENTO!$AF$11)),0)</f>
        <v>0</v>
      </c>
      <c r="AY700" s="545">
        <f ca="1">IF(AND($D700="Serviço",AY$12&lt;&gt;0,$H700&gt;0,OR(AUTOEVENTO&lt;&gt;"manual",$M700&lt;&gt;1)),
IF(Import.TipoArredondamento&lt;&gt;"TransfereGOV",
ROUND(OFFSET($P700,0,AY$13),15-13*ORÇAMENTO!$AF$7)/$H700*OFFSET(ORÇAMENTO!$X$15,ROW(AY700)-ROW(AY$15),0),
ROUND(ROUND(OFFSET($P700,0,AY$13),15-13*ORÇAMENTO!$AF$7)*OFFSET(ORÇAMENTO!$W$15,ROW(AY700)-ROW(AY$15),0),15-13*ORÇAMENTO!$AF$11)),0)</f>
        <v>0</v>
      </c>
      <c r="AZ700" s="545">
        <f ca="1">IF(AND($D700="Serviço",AZ$12&lt;&gt;0,$H700&gt;0,OR(AUTOEVENTO&lt;&gt;"manual",$M700&lt;&gt;1)),
IF(Import.TipoArredondamento&lt;&gt;"TransfereGOV",
ROUND(OFFSET($P700,0,AZ$13),15-13*ORÇAMENTO!$AF$7)/$H700*OFFSET(ORÇAMENTO!$X$15,ROW(AZ700)-ROW(AZ$15),0),
ROUND(ROUND(OFFSET($P700,0,AZ$13),15-13*ORÇAMENTO!$AF$7)*OFFSET(ORÇAMENTO!$W$15,ROW(AZ700)-ROW(AZ$15),0),15-13*ORÇAMENTO!$AF$11)),0)</f>
        <v>0</v>
      </c>
      <c r="BA700" s="546">
        <f ca="1">IF(AND($D700="Serviço",BA$12&lt;&gt;0,$H700&gt;0,OR(AUTOEVENTO&lt;&gt;"manual",$M700&lt;&gt;1)),
IF(Import.TipoArredondamento&lt;&gt;"TransfereGOV",
ROUND(OFFSET($P700,0,BA$13),15-13*ORÇAMENTO!$AF$7)/$H700*OFFSET(ORÇAMENTO!$X$15,ROW(BA700)-ROW(BA$15),0),
ROUND(ROUND(OFFSET($P700,0,BA$13),15-13*ORÇAMENTO!$AF$7)*OFFSET(ORÇAMENTO!$W$15,ROW(BA700)-ROW(BA$15),0),15-13*ORÇAMENTO!$AF$11)),0)</f>
        <v>0</v>
      </c>
      <c r="BC700" s="181">
        <f ca="1">IF($D700&lt;&gt;"Serviço",0,IF(AND(AUTOEVENTO="Manual",$M700=1),0,IF(OFFSET(CRONOPLE!$F$14,$M700,BC$13)="",10^12,OFFSET(CRONOPLE!$F$14,$M700,BC$13))))</f>
        <v>12</v>
      </c>
      <c r="BD700" s="181">
        <f ca="1">IF($D700&lt;&gt;"Serviço",0,IF(AND(AUTOEVENTO="Manual",$M700=1),0,IF(OFFSET(CRONOPLE!$F$14,$M700,BD$13)="",10^12,OFFSET(CRONOPLE!$F$14,$M700,BD$13))))</f>
        <v>1000000000000</v>
      </c>
      <c r="BE700" s="181">
        <f ca="1">IF($D700&lt;&gt;"Serviço",0,IF(AND(AUTOEVENTO="Manual",$M700=1),0,IF(OFFSET(CRONOPLE!$F$14,$M700,BE$13)="",10^12,OFFSET(CRONOPLE!$F$14,$M700,BE$13))))</f>
        <v>1000000000000</v>
      </c>
      <c r="BF700" s="181">
        <f ca="1">IF($D700&lt;&gt;"Serviço",0,IF(AND(AUTOEVENTO="Manual",$M700=1),0,IF(OFFSET(CRONOPLE!$F$14,$M700,BF$13)="",10^12,OFFSET(CRONOPLE!$F$14,$M700,BF$13))))</f>
        <v>1000000000000</v>
      </c>
      <c r="BG700" s="181">
        <f ca="1">IF($D700&lt;&gt;"Serviço",0,IF(AND(AUTOEVENTO="Manual",$M700=1),0,IF(OFFSET(CRONOPLE!$F$14,$M700,BG$13)="",10^12,OFFSET(CRONOPLE!$F$14,$M700,BG$13))))</f>
        <v>1000000000000</v>
      </c>
      <c r="BH700" s="181">
        <f ca="1">IF($D700&lt;&gt;"Serviço",0,IF(AND(AUTOEVENTO="Manual",$M700=1),0,IF(OFFSET(CRONOPLE!$F$14,$M700,BH$13)="",10^12,OFFSET(CRONOPLE!$F$14,$M700,BH$13))))</f>
        <v>1000000000000</v>
      </c>
      <c r="BI700" s="181">
        <f ca="1">IF($D700&lt;&gt;"Serviço",0,IF(AND(AUTOEVENTO="Manual",$M700=1),0,IF(OFFSET(CRONOPLE!$F$14,$M700,BI$13)="",10^12,OFFSET(CRONOPLE!$F$14,$M700,BI$13))))</f>
        <v>1000000000000</v>
      </c>
      <c r="BJ700" s="181">
        <f ca="1">IF($D700&lt;&gt;"Serviço",0,IF(AND(AUTOEVENTO="Manual",$M700=1),0,IF(OFFSET(CRONOPLE!$F$14,$M700,BJ$13)="",10^12,OFFSET(CRONOPLE!$F$14,$M700,BJ$13))))</f>
        <v>1000000000000</v>
      </c>
      <c r="BK700" s="181">
        <f ca="1">IF($D700&lt;&gt;"Serviço",0,IF(AND(AUTOEVENTO="Manual",$M700=1),0,IF(OFFSET(CRONOPLE!$F$14,$M700,BK$13)="",10^12,OFFSET(CRONOPLE!$F$14,$M700,BK$13))))</f>
        <v>1000000000000</v>
      </c>
      <c r="BL700" s="181">
        <f ca="1">IF($D700&lt;&gt;"Serviço",0,IF(AND(AUTOEVENTO="Manual",$M700=1),0,IF(OFFSET(CRONOPLE!$F$14,$M700,BL$13)="",10^12,OFFSET(CRONOPLE!$F$14,$M700,BL$13))))</f>
        <v>1000000000000</v>
      </c>
      <c r="BM700" s="181">
        <f ca="1">IF($D700&lt;&gt;"Serviço",0,IF(AND(AUTOEVENTO="Manual",$M700=1),0,IF(OFFSET(CRONOPLE!$F$14,$M700,BM$13)="",10^12,OFFSET(CRONOPLE!$F$14,$M700,BM$13))))</f>
        <v>1000000000000</v>
      </c>
      <c r="BN700" s="181">
        <f ca="1">IF($D700&lt;&gt;"Serviço",0,IF(AND(AUTOEVENTO="Manual",$M700=1),0,IF(OFFSET(CRONOPLE!$F$14,$M700,BN$13)="",10^12,OFFSET(CRONOPLE!$F$14,$M700,BN$13))))</f>
        <v>1000000000000</v>
      </c>
      <c r="BO700" s="181">
        <f ca="1">IF($D700&lt;&gt;"Serviço",0,IF(AND(AUTOEVENTO="Manual",$M700=1),0,IF(OFFSET(CRONOPLE!$F$14,$M700,BO$13)="",10^12,OFFSET(CRONOPLE!$F$14,$M700,BO$13))))</f>
        <v>1000000000000</v>
      </c>
      <c r="BP700" s="181">
        <f ca="1">IF($D700&lt;&gt;"Serviço",0,IF(AND(AUTOEVENTO="Manual",$M700=1),0,IF(OFFSET(CRONOPLE!$F$14,$M700,BP$13)="",10^12,OFFSET(CRONOPLE!$F$14,$M700,BP$13))))</f>
        <v>1000000000000</v>
      </c>
      <c r="BQ700" s="181">
        <f ca="1">IF($D700&lt;&gt;"Serviço",0,IF(AND(AUTOEVENTO="Manual",$M700=1),0,IF(OFFSET(CRONOPLE!$F$14,$M700,BQ$13)="",10^12,OFFSET(CRONOPLE!$F$14,$M700,BQ$13))))</f>
        <v>1000000000000</v>
      </c>
      <c r="BR700" s="181">
        <f ca="1">IF($D700&lt;&gt;"Serviço",0,IF(AND(AUTOEVENTO="Manual",$M700=1),0,IF(OFFSET(CRONOPLE!$F$14,$M700,BR$13)="",10^12,OFFSET(CRONOPLE!$F$14,$M700,BR$13))))</f>
        <v>1000000000000</v>
      </c>
      <c r="BS700" s="181">
        <f ca="1">IF($D700&lt;&gt;"Serviço",0,IF(AND(AUTOEVENTO="Manual",$M700=1),0,IF(OFFSET(CRONOPLE!$F$14,$M700,BS$13)="",10^12,OFFSET(CRONOPLE!$F$14,$M700,BS$13))))</f>
        <v>1000000000000</v>
      </c>
      <c r="BT700" s="181">
        <f ca="1">IF($D700&lt;&gt;"Serviço",0,IF(AND(AUTOEVENTO="Manual",$M700=1),0,IF(OFFSET(CRONOPLE!$F$14,$M700,BT$13)="",10^12,OFFSET(CRONOPLE!$F$14,$M700,BT$13))))</f>
        <v>1000000000000</v>
      </c>
      <c r="BV700" s="182">
        <f ca="1">IF($D700&lt;&gt;"Serviço",0,IF(OR(AND(AUTOEVENTO="Manual",$M700=1),$M700&gt;(ROW(PLE.lastrow)-ROW(PLE.firstrow))),0,IF(OFFSET(PLE!$G$14,$M700,BV$13)="",10^12,OFFSET(PLE!$G$14,$M700,BV$13))))</f>
        <v>1000000000000</v>
      </c>
      <c r="BW700" s="182">
        <f ca="1">IF($D700&lt;&gt;"Serviço",0,IF(OR(AND(AUTOEVENTO="Manual",$M700=1),$M700&gt;(ROW(PLE.lastrow)-ROW(PLE.firstrow))),0,IF(OFFSET(PLE!$G$14,$M700,BW$13)="",10^12,OFFSET(PLE!$G$14,$M700,BW$13))))</f>
        <v>1000000000000</v>
      </c>
      <c r="BX700" s="182">
        <f ca="1">IF($D700&lt;&gt;"Serviço",0,IF(OR(AND(AUTOEVENTO="Manual",$M700=1),$M700&gt;(ROW(PLE.lastrow)-ROW(PLE.firstrow))),0,IF(OFFSET(PLE!$G$14,$M700,BX$13)="",10^12,OFFSET(PLE!$G$14,$M700,BX$13))))</f>
        <v>1000000000000</v>
      </c>
      <c r="BY700" s="182">
        <f ca="1">IF($D700&lt;&gt;"Serviço",0,IF(OR(AND(AUTOEVENTO="Manual",$M700=1),$M700&gt;(ROW(PLE.lastrow)-ROW(PLE.firstrow))),0,IF(OFFSET(PLE!$G$14,$M700,BY$13)="",10^12,OFFSET(PLE!$G$14,$M700,BY$13))))</f>
        <v>1000000000000</v>
      </c>
      <c r="BZ700" s="182">
        <f ca="1">IF($D700&lt;&gt;"Serviço",0,IF(OR(AND(AUTOEVENTO="Manual",$M700=1),$M700&gt;(ROW(PLE.lastrow)-ROW(PLE.firstrow))),0,IF(OFFSET(PLE!$G$14,$M700,BZ$13)="",10^12,OFFSET(PLE!$G$14,$M700,BZ$13))))</f>
        <v>1000000000000</v>
      </c>
      <c r="CA700" s="182">
        <f ca="1">IF($D700&lt;&gt;"Serviço",0,IF(OR(AND(AUTOEVENTO="Manual",$M700=1),$M700&gt;(ROW(PLE.lastrow)-ROW(PLE.firstrow))),0,IF(OFFSET(PLE!$G$14,$M700,CA$13)="",10^12,OFFSET(PLE!$G$14,$M700,CA$13))))</f>
        <v>1000000000000</v>
      </c>
      <c r="CB700" s="182">
        <f ca="1">IF($D700&lt;&gt;"Serviço",0,IF(OR(AND(AUTOEVENTO="Manual",$M700=1),$M700&gt;(ROW(PLE.lastrow)-ROW(PLE.firstrow))),0,IF(OFFSET(PLE!$G$14,$M700,CB$13)="",10^12,OFFSET(PLE!$G$14,$M700,CB$13))))</f>
        <v>1000000000000</v>
      </c>
      <c r="CC700" s="182">
        <f ca="1">IF($D700&lt;&gt;"Serviço",0,IF(OR(AND(AUTOEVENTO="Manual",$M700=1),$M700&gt;(ROW(PLE.lastrow)-ROW(PLE.firstrow))),0,IF(OFFSET(PLE!$G$14,$M700,CC$13)="",10^12,OFFSET(PLE!$G$14,$M700,CC$13))))</f>
        <v>1000000000000</v>
      </c>
      <c r="CD700" s="182">
        <f ca="1">IF($D700&lt;&gt;"Serviço",0,IF(OR(AND(AUTOEVENTO="Manual",$M700=1),$M700&gt;(ROW(PLE.lastrow)-ROW(PLE.firstrow))),0,IF(OFFSET(PLE!$G$14,$M700,CD$13)="",10^12,OFFSET(PLE!$G$14,$M700,CD$13))))</f>
        <v>1000000000000</v>
      </c>
      <c r="CE700" s="182">
        <f ca="1">IF($D700&lt;&gt;"Serviço",0,IF(OR(AND(AUTOEVENTO="Manual",$M700=1),$M700&gt;(ROW(PLE.lastrow)-ROW(PLE.firstrow))),0,IF(OFFSET(PLE!$G$14,$M700,CE$13)="",10^12,OFFSET(PLE!$G$14,$M700,CE$13))))</f>
        <v>1000000000000</v>
      </c>
      <c r="CF700" s="182">
        <f ca="1">IF($D700&lt;&gt;"Serviço",0,IF(OR(AND(AUTOEVENTO="Manual",$M700=1),$M700&gt;(ROW(PLE.lastrow)-ROW(PLE.firstrow))),0,IF(OFFSET(PLE!$G$14,$M700,CF$13)="",10^12,OFFSET(PLE!$G$14,$M700,CF$13))))</f>
        <v>1000000000000</v>
      </c>
      <c r="CG700" s="182">
        <f ca="1">IF($D700&lt;&gt;"Serviço",0,IF(OR(AND(AUTOEVENTO="Manual",$M700=1),$M700&gt;(ROW(PLE.lastrow)-ROW(PLE.firstrow))),0,IF(OFFSET(PLE!$G$14,$M700,CG$13)="",10^12,OFFSET(PLE!$G$14,$M700,CG$13))))</f>
        <v>1000000000000</v>
      </c>
      <c r="CH700" s="182">
        <f ca="1">IF($D700&lt;&gt;"Serviço",0,IF(OR(AND(AUTOEVENTO="Manual",$M700=1),$M700&gt;(ROW(PLE.lastrow)-ROW(PLE.firstrow))),0,IF(OFFSET(PLE!$G$14,$M700,CH$13)="",10^12,OFFSET(PLE!$G$14,$M700,CH$13))))</f>
        <v>1000000000000</v>
      </c>
      <c r="CI700" s="182">
        <f ca="1">IF($D700&lt;&gt;"Serviço",0,IF(OR(AND(AUTOEVENTO="Manual",$M700=1),$M700&gt;(ROW(PLE.lastrow)-ROW(PLE.firstrow))),0,IF(OFFSET(PLE!$G$14,$M700,CI$13)="",10^12,OFFSET(PLE!$G$14,$M700,CI$13))))</f>
        <v>1000000000000</v>
      </c>
      <c r="CJ700" s="182">
        <f ca="1">IF($D700&lt;&gt;"Serviço",0,IF(OR(AND(AUTOEVENTO="Manual",$M700=1),$M700&gt;(ROW(PLE.lastrow)-ROW(PLE.firstrow))),0,IF(OFFSET(PLE!$G$14,$M700,CJ$13)="",10^12,OFFSET(PLE!$G$14,$M700,CJ$13))))</f>
        <v>1000000000000</v>
      </c>
      <c r="CK700" s="182">
        <f ca="1">IF($D700&lt;&gt;"Serviço",0,IF(OR(AND(AUTOEVENTO="Manual",$M700=1),$M700&gt;(ROW(PLE.lastrow)-ROW(PLE.firstrow))),0,IF(OFFSET(PLE!$G$14,$M700,CK$13)="",10^12,OFFSET(PLE!$G$14,$M700,CK$13))))</f>
        <v>1000000000000</v>
      </c>
      <c r="CL700" s="182">
        <f ca="1">IF($D700&lt;&gt;"Serviço",0,IF(OR(AND(AUTOEVENTO="Manual",$M700=1),$M700&gt;(ROW(PLE.lastrow)-ROW(PLE.firstrow))),0,IF(OFFSET(PLE!$G$14,$M700,CL$13)="",10^12,OFFSET(PLE!$G$14,$M700,CL$13))))</f>
        <v>1000000000000</v>
      </c>
      <c r="CM700" s="182">
        <f ca="1">IF($D700&lt;&gt;"Serviço",0,IF(OR(AND(AUTOEVENTO="Manual",$M700=1),$M700&gt;(ROW(PLE.lastrow)-ROW(PLE.firstrow))),0,IF(OFFSET(PLE!$G$14,$M700,CM$13)="",10^12,OFFSET(PLE!$G$14,$M700,CM$13))))</f>
        <v>1000000000000</v>
      </c>
    </row>
    <row r="701" spans="1:91" ht="25.5" x14ac:dyDescent="0.2">
      <c r="A701" s="7" t="str">
        <f t="shared" ref="A701:A726" ca="1" si="20">IF(AUTOEVENTO="Manual",IF(K701&lt;&gt;"",MIN(VALUE(LEFT(K701,FIND(".",K701)-1)),COUNTA(EVENTOS.Lista)),0),IF(OR($B701&gt;AUTOEVENTO,$B701="S",$B701=0),SUBSTITUTE(OFFSET($A701,-1,0),IF($D701="Serviço",".",""),""),ROW(A701)-ROW($A$15)&amp;"."))</f>
        <v>686.</v>
      </c>
      <c r="B701" s="7">
        <f ca="1">OFFSET(ORÇAMENTO!C$15,ROW(B701)-ROW(B$15),0)</f>
        <v>2</v>
      </c>
      <c r="C701" s="7" t="str">
        <f ca="1">OFFSET(ORÇAMENTO!L$15,ROW(C701)-ROW(C$15),0)</f>
        <v>F</v>
      </c>
      <c r="D701" s="118" t="str">
        <f ca="1">OFFSET(ORÇAMENTO!N$15,ROW(D701)-ROW(D$15),0)</f>
        <v>Nível 2</v>
      </c>
      <c r="E701" s="119" t="str">
        <f ca="1">OFFSET(ORÇAMENTO!O$15,ROW(E701)-ROW(E$15),0)</f>
        <v>1.76.</v>
      </c>
      <c r="F701" s="172" t="str">
        <f ca="1">OFFSET(ORÇAMENTO!R$15,ROW(F701)-ROW(F$15),0)</f>
        <v>MURO DE FECHAMENTO - CONCRETO ARMADO PARA VIGAS INCLUINDO BALDRAME</v>
      </c>
      <c r="G701" s="173" t="str">
        <f ca="1">IF($D701&lt;&gt;"Serviço","",OFFSET(ORÇAMENTO!S$15,ROW(G701)-ROW(G$15),0))</f>
        <v/>
      </c>
      <c r="H701" s="124">
        <f ca="1">IF($D701&lt;&gt;"Serviço",0,IF(ACOMPANHAMENTO="BM",ROUND(OFFSET(ORÇAMENTO!AJ$15,ROW(H701)-ROW(H$15),0),15-13*ORÇAMENTO!$AF$7),SUMPRODUCT(($Q$12:$AI$12&lt;&gt;"")*ROUND($Q701:$AI701,15-13*ORÇAMENTO!$AF$7))))</f>
        <v>0</v>
      </c>
      <c r="I701" s="561"/>
      <c r="K701" s="174"/>
      <c r="L701" s="175" t="s">
        <v>255</v>
      </c>
      <c r="M701" s="176" t="str">
        <f ca="1">IF($D701&lt;&gt;"Serviço","",IF(AUTOEVENTO="manual",$A701,IF(ISERROR(MATCH($A701,$A$15:OFFSET($A701,-1,0),0)),MAX($M$15:OFFSET(M701,-1,0))+1,INDEX($M$15:OFFSET(M701,-1,0),MATCH($A701,$A$15:OFFSET($A701,-1,0),0)))))</f>
        <v/>
      </c>
      <c r="N701" s="177" t="str">
        <f ca="1">IF($D701&lt;&gt;"Serviço","",IF(AUTOEVENTO="Manual",IF($A701=0,"&lt;-- defina o número do agrupador",OFFSET(EVENTOS!$D$14,$A701,0)),OFFSET($F$15,$A701,0)))</f>
        <v/>
      </c>
      <c r="O701" s="178"/>
      <c r="Q701" s="178">
        <v>0</v>
      </c>
      <c r="R701" s="179"/>
      <c r="S701" s="179"/>
      <c r="T701" s="179"/>
      <c r="U701" s="179"/>
      <c r="V701" s="179"/>
      <c r="W701" s="179"/>
      <c r="X701" s="179"/>
      <c r="Y701" s="179"/>
      <c r="Z701" s="180"/>
      <c r="AA701" s="179"/>
      <c r="AB701" s="179"/>
      <c r="AC701" s="179"/>
      <c r="AD701" s="179"/>
      <c r="AE701" s="179"/>
      <c r="AF701" s="179"/>
      <c r="AG701" s="179"/>
      <c r="AH701" s="180"/>
      <c r="AJ701" s="544">
        <f ca="1">IF(AND($D701="Serviço",AJ$12&lt;&gt;0,$H701&gt;0,OR(AUTOEVENTO&lt;&gt;"manual",$M701&lt;&gt;1)),
IF(Import.TipoArredondamento&lt;&gt;"TransfereGOV",
ROUND(OFFSET($P701,0,AJ$13),15-13*ORÇAMENTO!$AF$7)/$H701*OFFSET(ORÇAMENTO!$X$15,ROW(AJ701)-ROW(AJ$15),0),
ROUND(ROUND(OFFSET($P701,0,AJ$13),15-13*ORÇAMENTO!$AF$7)*OFFSET(ORÇAMENTO!$W$15,ROW(AJ701)-ROW(AJ$15),0),15-13*ORÇAMENTO!$AF$11)),0)</f>
        <v>0</v>
      </c>
      <c r="AK701" s="545">
        <f ca="1">IF(AND($D701="Serviço",AK$12&lt;&gt;0,$H701&gt;0,OR(AUTOEVENTO&lt;&gt;"manual",$M701&lt;&gt;1)),
IF(Import.TipoArredondamento&lt;&gt;"TransfereGOV",
ROUND(OFFSET($P701,0,AK$13),15-13*ORÇAMENTO!$AF$7)/$H701*OFFSET(ORÇAMENTO!$X$15,ROW(AK701)-ROW(AK$15),0),
ROUND(ROUND(OFFSET($P701,0,AK$13),15-13*ORÇAMENTO!$AF$7)*OFFSET(ORÇAMENTO!$W$15,ROW(AK701)-ROW(AK$15),0),15-13*ORÇAMENTO!$AF$11)),0)</f>
        <v>0</v>
      </c>
      <c r="AL701" s="545">
        <f ca="1">IF(AND($D701="Serviço",AL$12&lt;&gt;0,$H701&gt;0,OR(AUTOEVENTO&lt;&gt;"manual",$M701&lt;&gt;1)),
IF(Import.TipoArredondamento&lt;&gt;"TransfereGOV",
ROUND(OFFSET($P701,0,AL$13),15-13*ORÇAMENTO!$AF$7)/$H701*OFFSET(ORÇAMENTO!$X$15,ROW(AL701)-ROW(AL$15),0),
ROUND(ROUND(OFFSET($P701,0,AL$13),15-13*ORÇAMENTO!$AF$7)*OFFSET(ORÇAMENTO!$W$15,ROW(AL701)-ROW(AL$15),0),15-13*ORÇAMENTO!$AF$11)),0)</f>
        <v>0</v>
      </c>
      <c r="AM701" s="545">
        <f ca="1">IF(AND($D701="Serviço",AM$12&lt;&gt;0,$H701&gt;0,OR(AUTOEVENTO&lt;&gt;"manual",$M701&lt;&gt;1)),
IF(Import.TipoArredondamento&lt;&gt;"TransfereGOV",
ROUND(OFFSET($P701,0,AM$13),15-13*ORÇAMENTO!$AF$7)/$H701*OFFSET(ORÇAMENTO!$X$15,ROW(AM701)-ROW(AM$15),0),
ROUND(ROUND(OFFSET($P701,0,AM$13),15-13*ORÇAMENTO!$AF$7)*OFFSET(ORÇAMENTO!$W$15,ROW(AM701)-ROW(AM$15),0),15-13*ORÇAMENTO!$AF$11)),0)</f>
        <v>0</v>
      </c>
      <c r="AN701" s="545">
        <f ca="1">IF(AND($D701="Serviço",AN$12&lt;&gt;0,$H701&gt;0,OR(AUTOEVENTO&lt;&gt;"manual",$M701&lt;&gt;1)),
IF(Import.TipoArredondamento&lt;&gt;"TransfereGOV",
ROUND(OFFSET($P701,0,AN$13),15-13*ORÇAMENTO!$AF$7)/$H701*OFFSET(ORÇAMENTO!$X$15,ROW(AN701)-ROW(AN$15),0),
ROUND(ROUND(OFFSET($P701,0,AN$13),15-13*ORÇAMENTO!$AF$7)*OFFSET(ORÇAMENTO!$W$15,ROW(AN701)-ROW(AN$15),0),15-13*ORÇAMENTO!$AF$11)),0)</f>
        <v>0</v>
      </c>
      <c r="AO701" s="545">
        <f ca="1">IF(AND($D701="Serviço",AO$12&lt;&gt;0,$H701&gt;0,OR(AUTOEVENTO&lt;&gt;"manual",$M701&lt;&gt;1)),
IF(Import.TipoArredondamento&lt;&gt;"TransfereGOV",
ROUND(OFFSET($P701,0,AO$13),15-13*ORÇAMENTO!$AF$7)/$H701*OFFSET(ORÇAMENTO!$X$15,ROW(AO701)-ROW(AO$15),0),
ROUND(ROUND(OFFSET($P701,0,AO$13),15-13*ORÇAMENTO!$AF$7)*OFFSET(ORÇAMENTO!$W$15,ROW(AO701)-ROW(AO$15),0),15-13*ORÇAMENTO!$AF$11)),0)</f>
        <v>0</v>
      </c>
      <c r="AP701" s="545">
        <f ca="1">IF(AND($D701="Serviço",AP$12&lt;&gt;0,$H701&gt;0,OR(AUTOEVENTO&lt;&gt;"manual",$M701&lt;&gt;1)),
IF(Import.TipoArredondamento&lt;&gt;"TransfereGOV",
ROUND(OFFSET($P701,0,AP$13),15-13*ORÇAMENTO!$AF$7)/$H701*OFFSET(ORÇAMENTO!$X$15,ROW(AP701)-ROW(AP$15),0),
ROUND(ROUND(OFFSET($P701,0,AP$13),15-13*ORÇAMENTO!$AF$7)*OFFSET(ORÇAMENTO!$W$15,ROW(AP701)-ROW(AP$15),0),15-13*ORÇAMENTO!$AF$11)),0)</f>
        <v>0</v>
      </c>
      <c r="AQ701" s="545">
        <f ca="1">IF(AND($D701="Serviço",AQ$12&lt;&gt;0,$H701&gt;0,OR(AUTOEVENTO&lt;&gt;"manual",$M701&lt;&gt;1)),
IF(Import.TipoArredondamento&lt;&gt;"TransfereGOV",
ROUND(OFFSET($P701,0,AQ$13),15-13*ORÇAMENTO!$AF$7)/$H701*OFFSET(ORÇAMENTO!$X$15,ROW(AQ701)-ROW(AQ$15),0),
ROUND(ROUND(OFFSET($P701,0,AQ$13),15-13*ORÇAMENTO!$AF$7)*OFFSET(ORÇAMENTO!$W$15,ROW(AQ701)-ROW(AQ$15),0),15-13*ORÇAMENTO!$AF$11)),0)</f>
        <v>0</v>
      </c>
      <c r="AR701" s="545">
        <f ca="1">IF(AND($D701="Serviço",AR$12&lt;&gt;0,$H701&gt;0,OR(AUTOEVENTO&lt;&gt;"manual",$M701&lt;&gt;1)),
IF(Import.TipoArredondamento&lt;&gt;"TransfereGOV",
ROUND(OFFSET($P701,0,AR$13),15-13*ORÇAMENTO!$AF$7)/$H701*OFFSET(ORÇAMENTO!$X$15,ROW(AR701)-ROW(AR$15),0),
ROUND(ROUND(OFFSET($P701,0,AR$13),15-13*ORÇAMENTO!$AF$7)*OFFSET(ORÇAMENTO!$W$15,ROW(AR701)-ROW(AR$15),0),15-13*ORÇAMENTO!$AF$11)),0)</f>
        <v>0</v>
      </c>
      <c r="AS701" s="546">
        <f ca="1">IF(AND($D701="Serviço",AS$12&lt;&gt;0,$H701&gt;0,OR(AUTOEVENTO&lt;&gt;"manual",$M701&lt;&gt;1)),
IF(Import.TipoArredondamento&lt;&gt;"TransfereGOV",
ROUND(OFFSET($P701,0,AS$13),15-13*ORÇAMENTO!$AF$7)/$H701*OFFSET(ORÇAMENTO!$X$15,ROW(AS701)-ROW(AS$15),0),
ROUND(ROUND(OFFSET($P701,0,AS$13),15-13*ORÇAMENTO!$AF$7)*OFFSET(ORÇAMENTO!$W$15,ROW(AS701)-ROW(AS$15),0),15-13*ORÇAMENTO!$AF$11)),0)</f>
        <v>0</v>
      </c>
      <c r="AT701" s="545">
        <f ca="1">IF(AND($D701="Serviço",AT$12&lt;&gt;0,$H701&gt;0,OR(AUTOEVENTO&lt;&gt;"manual",$M701&lt;&gt;1)),
IF(Import.TipoArredondamento&lt;&gt;"TransfereGOV",
ROUND(OFFSET($P701,0,AT$13),15-13*ORÇAMENTO!$AF$7)/$H701*OFFSET(ORÇAMENTO!$X$15,ROW(AT701)-ROW(AT$15),0),
ROUND(ROUND(OFFSET($P701,0,AT$13),15-13*ORÇAMENTO!$AF$7)*OFFSET(ORÇAMENTO!$W$15,ROW(AT701)-ROW(AT$15),0),15-13*ORÇAMENTO!$AF$11)),0)</f>
        <v>0</v>
      </c>
      <c r="AU701" s="545">
        <f ca="1">IF(AND($D701="Serviço",AU$12&lt;&gt;0,$H701&gt;0,OR(AUTOEVENTO&lt;&gt;"manual",$M701&lt;&gt;1)),
IF(Import.TipoArredondamento&lt;&gt;"TransfereGOV",
ROUND(OFFSET($P701,0,AU$13),15-13*ORÇAMENTO!$AF$7)/$H701*OFFSET(ORÇAMENTO!$X$15,ROW(AU701)-ROW(AU$15),0),
ROUND(ROUND(OFFSET($P701,0,AU$13),15-13*ORÇAMENTO!$AF$7)*OFFSET(ORÇAMENTO!$W$15,ROW(AU701)-ROW(AU$15),0),15-13*ORÇAMENTO!$AF$11)),0)</f>
        <v>0</v>
      </c>
      <c r="AV701" s="545">
        <f ca="1">IF(AND($D701="Serviço",AV$12&lt;&gt;0,$H701&gt;0,OR(AUTOEVENTO&lt;&gt;"manual",$M701&lt;&gt;1)),
IF(Import.TipoArredondamento&lt;&gt;"TransfereGOV",
ROUND(OFFSET($P701,0,AV$13),15-13*ORÇAMENTO!$AF$7)/$H701*OFFSET(ORÇAMENTO!$X$15,ROW(AV701)-ROW(AV$15),0),
ROUND(ROUND(OFFSET($P701,0,AV$13),15-13*ORÇAMENTO!$AF$7)*OFFSET(ORÇAMENTO!$W$15,ROW(AV701)-ROW(AV$15),0),15-13*ORÇAMENTO!$AF$11)),0)</f>
        <v>0</v>
      </c>
      <c r="AW701" s="545">
        <f ca="1">IF(AND($D701="Serviço",AW$12&lt;&gt;0,$H701&gt;0,OR(AUTOEVENTO&lt;&gt;"manual",$M701&lt;&gt;1)),
IF(Import.TipoArredondamento&lt;&gt;"TransfereGOV",
ROUND(OFFSET($P701,0,AW$13),15-13*ORÇAMENTO!$AF$7)/$H701*OFFSET(ORÇAMENTO!$X$15,ROW(AW701)-ROW(AW$15),0),
ROUND(ROUND(OFFSET($P701,0,AW$13),15-13*ORÇAMENTO!$AF$7)*OFFSET(ORÇAMENTO!$W$15,ROW(AW701)-ROW(AW$15),0),15-13*ORÇAMENTO!$AF$11)),0)</f>
        <v>0</v>
      </c>
      <c r="AX701" s="545">
        <f ca="1">IF(AND($D701="Serviço",AX$12&lt;&gt;0,$H701&gt;0,OR(AUTOEVENTO&lt;&gt;"manual",$M701&lt;&gt;1)),
IF(Import.TipoArredondamento&lt;&gt;"TransfereGOV",
ROUND(OFFSET($P701,0,AX$13),15-13*ORÇAMENTO!$AF$7)/$H701*OFFSET(ORÇAMENTO!$X$15,ROW(AX701)-ROW(AX$15),0),
ROUND(ROUND(OFFSET($P701,0,AX$13),15-13*ORÇAMENTO!$AF$7)*OFFSET(ORÇAMENTO!$W$15,ROW(AX701)-ROW(AX$15),0),15-13*ORÇAMENTO!$AF$11)),0)</f>
        <v>0</v>
      </c>
      <c r="AY701" s="545">
        <f ca="1">IF(AND($D701="Serviço",AY$12&lt;&gt;0,$H701&gt;0,OR(AUTOEVENTO&lt;&gt;"manual",$M701&lt;&gt;1)),
IF(Import.TipoArredondamento&lt;&gt;"TransfereGOV",
ROUND(OFFSET($P701,0,AY$13),15-13*ORÇAMENTO!$AF$7)/$H701*OFFSET(ORÇAMENTO!$X$15,ROW(AY701)-ROW(AY$15),0),
ROUND(ROUND(OFFSET($P701,0,AY$13),15-13*ORÇAMENTO!$AF$7)*OFFSET(ORÇAMENTO!$W$15,ROW(AY701)-ROW(AY$15),0),15-13*ORÇAMENTO!$AF$11)),0)</f>
        <v>0</v>
      </c>
      <c r="AZ701" s="545">
        <f ca="1">IF(AND($D701="Serviço",AZ$12&lt;&gt;0,$H701&gt;0,OR(AUTOEVENTO&lt;&gt;"manual",$M701&lt;&gt;1)),
IF(Import.TipoArredondamento&lt;&gt;"TransfereGOV",
ROUND(OFFSET($P701,0,AZ$13),15-13*ORÇAMENTO!$AF$7)/$H701*OFFSET(ORÇAMENTO!$X$15,ROW(AZ701)-ROW(AZ$15),0),
ROUND(ROUND(OFFSET($P701,0,AZ$13),15-13*ORÇAMENTO!$AF$7)*OFFSET(ORÇAMENTO!$W$15,ROW(AZ701)-ROW(AZ$15),0),15-13*ORÇAMENTO!$AF$11)),0)</f>
        <v>0</v>
      </c>
      <c r="BA701" s="546">
        <f ca="1">IF(AND($D701="Serviço",BA$12&lt;&gt;0,$H701&gt;0,OR(AUTOEVENTO&lt;&gt;"manual",$M701&lt;&gt;1)),
IF(Import.TipoArredondamento&lt;&gt;"TransfereGOV",
ROUND(OFFSET($P701,0,BA$13),15-13*ORÇAMENTO!$AF$7)/$H701*OFFSET(ORÇAMENTO!$X$15,ROW(BA701)-ROW(BA$15),0),
ROUND(ROUND(OFFSET($P701,0,BA$13),15-13*ORÇAMENTO!$AF$7)*OFFSET(ORÇAMENTO!$W$15,ROW(BA701)-ROW(BA$15),0),15-13*ORÇAMENTO!$AF$11)),0)</f>
        <v>0</v>
      </c>
      <c r="BC701" s="181">
        <f ca="1">IF($D701&lt;&gt;"Serviço",0,IF(AND(AUTOEVENTO="Manual",$M701=1),0,IF(OFFSET(CRONOPLE!$F$14,$M701,BC$13)="",10^12,OFFSET(CRONOPLE!$F$14,$M701,BC$13))))</f>
        <v>0</v>
      </c>
      <c r="BD701" s="181">
        <f ca="1">IF($D701&lt;&gt;"Serviço",0,IF(AND(AUTOEVENTO="Manual",$M701=1),0,IF(OFFSET(CRONOPLE!$F$14,$M701,BD$13)="",10^12,OFFSET(CRONOPLE!$F$14,$M701,BD$13))))</f>
        <v>0</v>
      </c>
      <c r="BE701" s="181">
        <f ca="1">IF($D701&lt;&gt;"Serviço",0,IF(AND(AUTOEVENTO="Manual",$M701=1),0,IF(OFFSET(CRONOPLE!$F$14,$M701,BE$13)="",10^12,OFFSET(CRONOPLE!$F$14,$M701,BE$13))))</f>
        <v>0</v>
      </c>
      <c r="BF701" s="181">
        <f ca="1">IF($D701&lt;&gt;"Serviço",0,IF(AND(AUTOEVENTO="Manual",$M701=1),0,IF(OFFSET(CRONOPLE!$F$14,$M701,BF$13)="",10^12,OFFSET(CRONOPLE!$F$14,$M701,BF$13))))</f>
        <v>0</v>
      </c>
      <c r="BG701" s="181">
        <f ca="1">IF($D701&lt;&gt;"Serviço",0,IF(AND(AUTOEVENTO="Manual",$M701=1),0,IF(OFFSET(CRONOPLE!$F$14,$M701,BG$13)="",10^12,OFFSET(CRONOPLE!$F$14,$M701,BG$13))))</f>
        <v>0</v>
      </c>
      <c r="BH701" s="181">
        <f ca="1">IF($D701&lt;&gt;"Serviço",0,IF(AND(AUTOEVENTO="Manual",$M701=1),0,IF(OFFSET(CRONOPLE!$F$14,$M701,BH$13)="",10^12,OFFSET(CRONOPLE!$F$14,$M701,BH$13))))</f>
        <v>0</v>
      </c>
      <c r="BI701" s="181">
        <f ca="1">IF($D701&lt;&gt;"Serviço",0,IF(AND(AUTOEVENTO="Manual",$M701=1),0,IF(OFFSET(CRONOPLE!$F$14,$M701,BI$13)="",10^12,OFFSET(CRONOPLE!$F$14,$M701,BI$13))))</f>
        <v>0</v>
      </c>
      <c r="BJ701" s="181">
        <f ca="1">IF($D701&lt;&gt;"Serviço",0,IF(AND(AUTOEVENTO="Manual",$M701=1),0,IF(OFFSET(CRONOPLE!$F$14,$M701,BJ$13)="",10^12,OFFSET(CRONOPLE!$F$14,$M701,BJ$13))))</f>
        <v>0</v>
      </c>
      <c r="BK701" s="181">
        <f ca="1">IF($D701&lt;&gt;"Serviço",0,IF(AND(AUTOEVENTO="Manual",$M701=1),0,IF(OFFSET(CRONOPLE!$F$14,$M701,BK$13)="",10^12,OFFSET(CRONOPLE!$F$14,$M701,BK$13))))</f>
        <v>0</v>
      </c>
      <c r="BL701" s="181">
        <f ca="1">IF($D701&lt;&gt;"Serviço",0,IF(AND(AUTOEVENTO="Manual",$M701=1),0,IF(OFFSET(CRONOPLE!$F$14,$M701,BL$13)="",10^12,OFFSET(CRONOPLE!$F$14,$M701,BL$13))))</f>
        <v>0</v>
      </c>
      <c r="BM701" s="181">
        <f ca="1">IF($D701&lt;&gt;"Serviço",0,IF(AND(AUTOEVENTO="Manual",$M701=1),0,IF(OFFSET(CRONOPLE!$F$14,$M701,BM$13)="",10^12,OFFSET(CRONOPLE!$F$14,$M701,BM$13))))</f>
        <v>0</v>
      </c>
      <c r="BN701" s="181">
        <f ca="1">IF($D701&lt;&gt;"Serviço",0,IF(AND(AUTOEVENTO="Manual",$M701=1),0,IF(OFFSET(CRONOPLE!$F$14,$M701,BN$13)="",10^12,OFFSET(CRONOPLE!$F$14,$M701,BN$13))))</f>
        <v>0</v>
      </c>
      <c r="BO701" s="181">
        <f ca="1">IF($D701&lt;&gt;"Serviço",0,IF(AND(AUTOEVENTO="Manual",$M701=1),0,IF(OFFSET(CRONOPLE!$F$14,$M701,BO$13)="",10^12,OFFSET(CRONOPLE!$F$14,$M701,BO$13))))</f>
        <v>0</v>
      </c>
      <c r="BP701" s="181">
        <f ca="1">IF($D701&lt;&gt;"Serviço",0,IF(AND(AUTOEVENTO="Manual",$M701=1),0,IF(OFFSET(CRONOPLE!$F$14,$M701,BP$13)="",10^12,OFFSET(CRONOPLE!$F$14,$M701,BP$13))))</f>
        <v>0</v>
      </c>
      <c r="BQ701" s="181">
        <f ca="1">IF($D701&lt;&gt;"Serviço",0,IF(AND(AUTOEVENTO="Manual",$M701=1),0,IF(OFFSET(CRONOPLE!$F$14,$M701,BQ$13)="",10^12,OFFSET(CRONOPLE!$F$14,$M701,BQ$13))))</f>
        <v>0</v>
      </c>
      <c r="BR701" s="181">
        <f ca="1">IF($D701&lt;&gt;"Serviço",0,IF(AND(AUTOEVENTO="Manual",$M701=1),0,IF(OFFSET(CRONOPLE!$F$14,$M701,BR$13)="",10^12,OFFSET(CRONOPLE!$F$14,$M701,BR$13))))</f>
        <v>0</v>
      </c>
      <c r="BS701" s="181">
        <f ca="1">IF($D701&lt;&gt;"Serviço",0,IF(AND(AUTOEVENTO="Manual",$M701=1),0,IF(OFFSET(CRONOPLE!$F$14,$M701,BS$13)="",10^12,OFFSET(CRONOPLE!$F$14,$M701,BS$13))))</f>
        <v>0</v>
      </c>
      <c r="BT701" s="181">
        <f ca="1">IF($D701&lt;&gt;"Serviço",0,IF(AND(AUTOEVENTO="Manual",$M701=1),0,IF(OFFSET(CRONOPLE!$F$14,$M701,BT$13)="",10^12,OFFSET(CRONOPLE!$F$14,$M701,BT$13))))</f>
        <v>0</v>
      </c>
      <c r="BV701" s="182">
        <f ca="1">IF($D701&lt;&gt;"Serviço",0,IF(OR(AND(AUTOEVENTO="Manual",$M701=1),$M701&gt;(ROW(PLE.lastrow)-ROW(PLE.firstrow))),0,IF(OFFSET(PLE!$G$14,$M701,BV$13)="",10^12,OFFSET(PLE!$G$14,$M701,BV$13))))</f>
        <v>0</v>
      </c>
      <c r="BW701" s="182">
        <f ca="1">IF($D701&lt;&gt;"Serviço",0,IF(OR(AND(AUTOEVENTO="Manual",$M701=1),$M701&gt;(ROW(PLE.lastrow)-ROW(PLE.firstrow))),0,IF(OFFSET(PLE!$G$14,$M701,BW$13)="",10^12,OFFSET(PLE!$G$14,$M701,BW$13))))</f>
        <v>0</v>
      </c>
      <c r="BX701" s="182">
        <f ca="1">IF($D701&lt;&gt;"Serviço",0,IF(OR(AND(AUTOEVENTO="Manual",$M701=1),$M701&gt;(ROW(PLE.lastrow)-ROW(PLE.firstrow))),0,IF(OFFSET(PLE!$G$14,$M701,BX$13)="",10^12,OFFSET(PLE!$G$14,$M701,BX$13))))</f>
        <v>0</v>
      </c>
      <c r="BY701" s="182">
        <f ca="1">IF($D701&lt;&gt;"Serviço",0,IF(OR(AND(AUTOEVENTO="Manual",$M701=1),$M701&gt;(ROW(PLE.lastrow)-ROW(PLE.firstrow))),0,IF(OFFSET(PLE!$G$14,$M701,BY$13)="",10^12,OFFSET(PLE!$G$14,$M701,BY$13))))</f>
        <v>0</v>
      </c>
      <c r="BZ701" s="182">
        <f ca="1">IF($D701&lt;&gt;"Serviço",0,IF(OR(AND(AUTOEVENTO="Manual",$M701=1),$M701&gt;(ROW(PLE.lastrow)-ROW(PLE.firstrow))),0,IF(OFFSET(PLE!$G$14,$M701,BZ$13)="",10^12,OFFSET(PLE!$G$14,$M701,BZ$13))))</f>
        <v>0</v>
      </c>
      <c r="CA701" s="182">
        <f ca="1">IF($D701&lt;&gt;"Serviço",0,IF(OR(AND(AUTOEVENTO="Manual",$M701=1),$M701&gt;(ROW(PLE.lastrow)-ROW(PLE.firstrow))),0,IF(OFFSET(PLE!$G$14,$M701,CA$13)="",10^12,OFFSET(PLE!$G$14,$M701,CA$13))))</f>
        <v>0</v>
      </c>
      <c r="CB701" s="182">
        <f ca="1">IF($D701&lt;&gt;"Serviço",0,IF(OR(AND(AUTOEVENTO="Manual",$M701=1),$M701&gt;(ROW(PLE.lastrow)-ROW(PLE.firstrow))),0,IF(OFFSET(PLE!$G$14,$M701,CB$13)="",10^12,OFFSET(PLE!$G$14,$M701,CB$13))))</f>
        <v>0</v>
      </c>
      <c r="CC701" s="182">
        <f ca="1">IF($D701&lt;&gt;"Serviço",0,IF(OR(AND(AUTOEVENTO="Manual",$M701=1),$M701&gt;(ROW(PLE.lastrow)-ROW(PLE.firstrow))),0,IF(OFFSET(PLE!$G$14,$M701,CC$13)="",10^12,OFFSET(PLE!$G$14,$M701,CC$13))))</f>
        <v>0</v>
      </c>
      <c r="CD701" s="182">
        <f ca="1">IF($D701&lt;&gt;"Serviço",0,IF(OR(AND(AUTOEVENTO="Manual",$M701=1),$M701&gt;(ROW(PLE.lastrow)-ROW(PLE.firstrow))),0,IF(OFFSET(PLE!$G$14,$M701,CD$13)="",10^12,OFFSET(PLE!$G$14,$M701,CD$13))))</f>
        <v>0</v>
      </c>
      <c r="CE701" s="182">
        <f ca="1">IF($D701&lt;&gt;"Serviço",0,IF(OR(AND(AUTOEVENTO="Manual",$M701=1),$M701&gt;(ROW(PLE.lastrow)-ROW(PLE.firstrow))),0,IF(OFFSET(PLE!$G$14,$M701,CE$13)="",10^12,OFFSET(PLE!$G$14,$M701,CE$13))))</f>
        <v>0</v>
      </c>
      <c r="CF701" s="182">
        <f ca="1">IF($D701&lt;&gt;"Serviço",0,IF(OR(AND(AUTOEVENTO="Manual",$M701=1),$M701&gt;(ROW(PLE.lastrow)-ROW(PLE.firstrow))),0,IF(OFFSET(PLE!$G$14,$M701,CF$13)="",10^12,OFFSET(PLE!$G$14,$M701,CF$13))))</f>
        <v>0</v>
      </c>
      <c r="CG701" s="182">
        <f ca="1">IF($D701&lt;&gt;"Serviço",0,IF(OR(AND(AUTOEVENTO="Manual",$M701=1),$M701&gt;(ROW(PLE.lastrow)-ROW(PLE.firstrow))),0,IF(OFFSET(PLE!$G$14,$M701,CG$13)="",10^12,OFFSET(PLE!$G$14,$M701,CG$13))))</f>
        <v>0</v>
      </c>
      <c r="CH701" s="182">
        <f ca="1">IF($D701&lt;&gt;"Serviço",0,IF(OR(AND(AUTOEVENTO="Manual",$M701=1),$M701&gt;(ROW(PLE.lastrow)-ROW(PLE.firstrow))),0,IF(OFFSET(PLE!$G$14,$M701,CH$13)="",10^12,OFFSET(PLE!$G$14,$M701,CH$13))))</f>
        <v>0</v>
      </c>
      <c r="CI701" s="182">
        <f ca="1">IF($D701&lt;&gt;"Serviço",0,IF(OR(AND(AUTOEVENTO="Manual",$M701=1),$M701&gt;(ROW(PLE.lastrow)-ROW(PLE.firstrow))),0,IF(OFFSET(PLE!$G$14,$M701,CI$13)="",10^12,OFFSET(PLE!$G$14,$M701,CI$13))))</f>
        <v>0</v>
      </c>
      <c r="CJ701" s="182">
        <f ca="1">IF($D701&lt;&gt;"Serviço",0,IF(OR(AND(AUTOEVENTO="Manual",$M701=1),$M701&gt;(ROW(PLE.lastrow)-ROW(PLE.firstrow))),0,IF(OFFSET(PLE!$G$14,$M701,CJ$13)="",10^12,OFFSET(PLE!$G$14,$M701,CJ$13))))</f>
        <v>0</v>
      </c>
      <c r="CK701" s="182">
        <f ca="1">IF($D701&lt;&gt;"Serviço",0,IF(OR(AND(AUTOEVENTO="Manual",$M701=1),$M701&gt;(ROW(PLE.lastrow)-ROW(PLE.firstrow))),0,IF(OFFSET(PLE!$G$14,$M701,CK$13)="",10^12,OFFSET(PLE!$G$14,$M701,CK$13))))</f>
        <v>0</v>
      </c>
      <c r="CL701" s="182">
        <f ca="1">IF($D701&lt;&gt;"Serviço",0,IF(OR(AND(AUTOEVENTO="Manual",$M701=1),$M701&gt;(ROW(PLE.lastrow)-ROW(PLE.firstrow))),0,IF(OFFSET(PLE!$G$14,$M701,CL$13)="",10^12,OFFSET(PLE!$G$14,$M701,CL$13))))</f>
        <v>0</v>
      </c>
      <c r="CM701" s="182">
        <f ca="1">IF($D701&lt;&gt;"Serviço",0,IF(OR(AND(AUTOEVENTO="Manual",$M701=1),$M701&gt;(ROW(PLE.lastrow)-ROW(PLE.firstrow))),0,IF(OFFSET(PLE!$G$14,$M701,CM$13)="",10^12,OFFSET(PLE!$G$14,$M701,CM$13))))</f>
        <v>0</v>
      </c>
    </row>
    <row r="702" spans="1:91" ht="38.25" x14ac:dyDescent="0.2">
      <c r="A702" s="7" t="str">
        <f t="shared" ca="1" si="20"/>
        <v>686</v>
      </c>
      <c r="B702" s="7" t="str">
        <f ca="1">OFFSET(ORÇAMENTO!C$15,ROW(B702)-ROW(B$15),0)</f>
        <v>S</v>
      </c>
      <c r="C702" s="7" t="str">
        <f ca="1">OFFSET(ORÇAMENTO!L$15,ROW(C702)-ROW(C$15),0)</f>
        <v/>
      </c>
      <c r="D702" s="118" t="str">
        <f ca="1">OFFSET(ORÇAMENTO!N$15,ROW(D702)-ROW(D$15),0)</f>
        <v>Serviço</v>
      </c>
      <c r="E702" s="119" t="str">
        <f ca="1">OFFSET(ORÇAMENTO!O$15,ROW(E702)-ROW(E$15),0)</f>
        <v>-</v>
      </c>
      <c r="F702" s="172" t="str">
        <f ca="1">OFFSET(ORÇAMENTO!R$15,ROW(F702)-ROW(F$15),0)</f>
        <v>(abra o arquivo 'Referência 06-2024.xlsm)</v>
      </c>
      <c r="G702" s="173" t="str">
        <f ca="1">IF($D702&lt;&gt;"Serviço","",OFFSET(ORÇAMENTO!S$15,ROW(G702)-ROW(G$15),0))</f>
        <v>-</v>
      </c>
      <c r="H702" s="124">
        <f ca="1">IF($D702&lt;&gt;"Serviço",0,IF(ACOMPANHAMENTO="BM",ROUND(OFFSET(ORÇAMENTO!AJ$15,ROW(H702)-ROW(H$15),0),15-13*ORÇAMENTO!$AF$7),SUMPRODUCT(($Q$12:$AI$12&lt;&gt;"")*ROUND($Q702:$AI702,15-13*ORÇAMENTO!$AF$7))))</f>
        <v>40.299999999999997</v>
      </c>
      <c r="I702" s="561" t="s">
        <v>1107</v>
      </c>
      <c r="K702" s="174"/>
      <c r="L702" s="175" t="s">
        <v>255</v>
      </c>
      <c r="M702" s="176">
        <f ca="1">IF($D702&lt;&gt;"Serviço","",IF(AUTOEVENTO="manual",$A702,IF(ISERROR(MATCH($A702,$A$15:OFFSET($A702,-1,0),0)),MAX($M$15:OFFSET(M702,-1,0))+1,INDEX($M$15:OFFSET(M702,-1,0),MATCH($A702,$A$15:OFFSET($A702,-1,0),0)))))</f>
        <v>77</v>
      </c>
      <c r="N702" s="177" t="str">
        <f ca="1">IF($D702&lt;&gt;"Serviço","",IF(AUTOEVENTO="Manual",IF($A702=0,"&lt;-- defina o número do agrupador",OFFSET(EVENTOS!$D$14,$A702,0)),OFFSET($F$15,$A702,0)))</f>
        <v>MURO DE FECHAMENTO - CONCRETO ARMADO PARA VIGAS INCLUINDO BALDRAME</v>
      </c>
      <c r="O702" s="178"/>
      <c r="Q702" s="178">
        <v>40.299999999999997</v>
      </c>
      <c r="R702" s="179"/>
      <c r="S702" s="179"/>
      <c r="T702" s="179"/>
      <c r="U702" s="179"/>
      <c r="V702" s="179"/>
      <c r="W702" s="179"/>
      <c r="X702" s="179"/>
      <c r="Y702" s="179"/>
      <c r="Z702" s="180"/>
      <c r="AA702" s="179"/>
      <c r="AB702" s="179"/>
      <c r="AC702" s="179"/>
      <c r="AD702" s="179"/>
      <c r="AE702" s="179"/>
      <c r="AF702" s="179"/>
      <c r="AG702" s="179"/>
      <c r="AH702" s="180"/>
      <c r="AJ702" s="544">
        <f ca="1">IF(AND($D702="Serviço",AJ$12&lt;&gt;0,$H702&gt;0,OR(AUTOEVENTO&lt;&gt;"manual",$M702&lt;&gt;1)),
IF(Import.TipoArredondamento&lt;&gt;"TransfereGOV",
ROUND(OFFSET($P702,0,AJ$13),15-13*ORÇAMENTO!$AF$7)/$H702*OFFSET(ORÇAMENTO!$X$15,ROW(AJ702)-ROW(AJ$15),0),
ROUND(ROUND(OFFSET($P702,0,AJ$13),15-13*ORÇAMENTO!$AF$7)*OFFSET(ORÇAMENTO!$W$15,ROW(AJ702)-ROW(AJ$15),0),15-13*ORÇAMENTO!$AF$11)),0)</f>
        <v>0</v>
      </c>
      <c r="AK702" s="545">
        <f ca="1">IF(AND($D702="Serviço",AK$12&lt;&gt;0,$H702&gt;0,OR(AUTOEVENTO&lt;&gt;"manual",$M702&lt;&gt;1)),
IF(Import.TipoArredondamento&lt;&gt;"TransfereGOV",
ROUND(OFFSET($P702,0,AK$13),15-13*ORÇAMENTO!$AF$7)/$H702*OFFSET(ORÇAMENTO!$X$15,ROW(AK702)-ROW(AK$15),0),
ROUND(ROUND(OFFSET($P702,0,AK$13),15-13*ORÇAMENTO!$AF$7)*OFFSET(ORÇAMENTO!$W$15,ROW(AK702)-ROW(AK$15),0),15-13*ORÇAMENTO!$AF$11)),0)</f>
        <v>0</v>
      </c>
      <c r="AL702" s="545">
        <f ca="1">IF(AND($D702="Serviço",AL$12&lt;&gt;0,$H702&gt;0,OR(AUTOEVENTO&lt;&gt;"manual",$M702&lt;&gt;1)),
IF(Import.TipoArredondamento&lt;&gt;"TransfereGOV",
ROUND(OFFSET($P702,0,AL$13),15-13*ORÇAMENTO!$AF$7)/$H702*OFFSET(ORÇAMENTO!$X$15,ROW(AL702)-ROW(AL$15),0),
ROUND(ROUND(OFFSET($P702,0,AL$13),15-13*ORÇAMENTO!$AF$7)*OFFSET(ORÇAMENTO!$W$15,ROW(AL702)-ROW(AL$15),0),15-13*ORÇAMENTO!$AF$11)),0)</f>
        <v>0</v>
      </c>
      <c r="AM702" s="545">
        <f ca="1">IF(AND($D702="Serviço",AM$12&lt;&gt;0,$H702&gt;0,OR(AUTOEVENTO&lt;&gt;"manual",$M702&lt;&gt;1)),
IF(Import.TipoArredondamento&lt;&gt;"TransfereGOV",
ROUND(OFFSET($P702,0,AM$13),15-13*ORÇAMENTO!$AF$7)/$H702*OFFSET(ORÇAMENTO!$X$15,ROW(AM702)-ROW(AM$15),0),
ROUND(ROUND(OFFSET($P702,0,AM$13),15-13*ORÇAMENTO!$AF$7)*OFFSET(ORÇAMENTO!$W$15,ROW(AM702)-ROW(AM$15),0),15-13*ORÇAMENTO!$AF$11)),0)</f>
        <v>0</v>
      </c>
      <c r="AN702" s="545">
        <f ca="1">IF(AND($D702="Serviço",AN$12&lt;&gt;0,$H702&gt;0,OR(AUTOEVENTO&lt;&gt;"manual",$M702&lt;&gt;1)),
IF(Import.TipoArredondamento&lt;&gt;"TransfereGOV",
ROUND(OFFSET($P702,0,AN$13),15-13*ORÇAMENTO!$AF$7)/$H702*OFFSET(ORÇAMENTO!$X$15,ROW(AN702)-ROW(AN$15),0),
ROUND(ROUND(OFFSET($P702,0,AN$13),15-13*ORÇAMENTO!$AF$7)*OFFSET(ORÇAMENTO!$W$15,ROW(AN702)-ROW(AN$15),0),15-13*ORÇAMENTO!$AF$11)),0)</f>
        <v>0</v>
      </c>
      <c r="AO702" s="545">
        <f ca="1">IF(AND($D702="Serviço",AO$12&lt;&gt;0,$H702&gt;0,OR(AUTOEVENTO&lt;&gt;"manual",$M702&lt;&gt;1)),
IF(Import.TipoArredondamento&lt;&gt;"TransfereGOV",
ROUND(OFFSET($P702,0,AO$13),15-13*ORÇAMENTO!$AF$7)/$H702*OFFSET(ORÇAMENTO!$X$15,ROW(AO702)-ROW(AO$15),0),
ROUND(ROUND(OFFSET($P702,0,AO$13),15-13*ORÇAMENTO!$AF$7)*OFFSET(ORÇAMENTO!$W$15,ROW(AO702)-ROW(AO$15),0),15-13*ORÇAMENTO!$AF$11)),0)</f>
        <v>0</v>
      </c>
      <c r="AP702" s="545">
        <f ca="1">IF(AND($D702="Serviço",AP$12&lt;&gt;0,$H702&gt;0,OR(AUTOEVENTO&lt;&gt;"manual",$M702&lt;&gt;1)),
IF(Import.TipoArredondamento&lt;&gt;"TransfereGOV",
ROUND(OFFSET($P702,0,AP$13),15-13*ORÇAMENTO!$AF$7)/$H702*OFFSET(ORÇAMENTO!$X$15,ROW(AP702)-ROW(AP$15),0),
ROUND(ROUND(OFFSET($P702,0,AP$13),15-13*ORÇAMENTO!$AF$7)*OFFSET(ORÇAMENTO!$W$15,ROW(AP702)-ROW(AP$15),0),15-13*ORÇAMENTO!$AF$11)),0)</f>
        <v>0</v>
      </c>
      <c r="AQ702" s="545">
        <f ca="1">IF(AND($D702="Serviço",AQ$12&lt;&gt;0,$H702&gt;0,OR(AUTOEVENTO&lt;&gt;"manual",$M702&lt;&gt;1)),
IF(Import.TipoArredondamento&lt;&gt;"TransfereGOV",
ROUND(OFFSET($P702,0,AQ$13),15-13*ORÇAMENTO!$AF$7)/$H702*OFFSET(ORÇAMENTO!$X$15,ROW(AQ702)-ROW(AQ$15),0),
ROUND(ROUND(OFFSET($P702,0,AQ$13),15-13*ORÇAMENTO!$AF$7)*OFFSET(ORÇAMENTO!$W$15,ROW(AQ702)-ROW(AQ$15),0),15-13*ORÇAMENTO!$AF$11)),0)</f>
        <v>0</v>
      </c>
      <c r="AR702" s="545">
        <f ca="1">IF(AND($D702="Serviço",AR$12&lt;&gt;0,$H702&gt;0,OR(AUTOEVENTO&lt;&gt;"manual",$M702&lt;&gt;1)),
IF(Import.TipoArredondamento&lt;&gt;"TransfereGOV",
ROUND(OFFSET($P702,0,AR$13),15-13*ORÇAMENTO!$AF$7)/$H702*OFFSET(ORÇAMENTO!$X$15,ROW(AR702)-ROW(AR$15),0),
ROUND(ROUND(OFFSET($P702,0,AR$13),15-13*ORÇAMENTO!$AF$7)*OFFSET(ORÇAMENTO!$W$15,ROW(AR702)-ROW(AR$15),0),15-13*ORÇAMENTO!$AF$11)),0)</f>
        <v>0</v>
      </c>
      <c r="AS702" s="546">
        <f ca="1">IF(AND($D702="Serviço",AS$12&lt;&gt;0,$H702&gt;0,OR(AUTOEVENTO&lt;&gt;"manual",$M702&lt;&gt;1)),
IF(Import.TipoArredondamento&lt;&gt;"TransfereGOV",
ROUND(OFFSET($P702,0,AS$13),15-13*ORÇAMENTO!$AF$7)/$H702*OFFSET(ORÇAMENTO!$X$15,ROW(AS702)-ROW(AS$15),0),
ROUND(ROUND(OFFSET($P702,0,AS$13),15-13*ORÇAMENTO!$AF$7)*OFFSET(ORÇAMENTO!$W$15,ROW(AS702)-ROW(AS$15),0),15-13*ORÇAMENTO!$AF$11)),0)</f>
        <v>0</v>
      </c>
      <c r="AT702" s="545">
        <f ca="1">IF(AND($D702="Serviço",AT$12&lt;&gt;0,$H702&gt;0,OR(AUTOEVENTO&lt;&gt;"manual",$M702&lt;&gt;1)),
IF(Import.TipoArredondamento&lt;&gt;"TransfereGOV",
ROUND(OFFSET($P702,0,AT$13),15-13*ORÇAMENTO!$AF$7)/$H702*OFFSET(ORÇAMENTO!$X$15,ROW(AT702)-ROW(AT$15),0),
ROUND(ROUND(OFFSET($P702,0,AT$13),15-13*ORÇAMENTO!$AF$7)*OFFSET(ORÇAMENTO!$W$15,ROW(AT702)-ROW(AT$15),0),15-13*ORÇAMENTO!$AF$11)),0)</f>
        <v>0</v>
      </c>
      <c r="AU702" s="545">
        <f ca="1">IF(AND($D702="Serviço",AU$12&lt;&gt;0,$H702&gt;0,OR(AUTOEVENTO&lt;&gt;"manual",$M702&lt;&gt;1)),
IF(Import.TipoArredondamento&lt;&gt;"TransfereGOV",
ROUND(OFFSET($P702,0,AU$13),15-13*ORÇAMENTO!$AF$7)/$H702*OFFSET(ORÇAMENTO!$X$15,ROW(AU702)-ROW(AU$15),0),
ROUND(ROUND(OFFSET($P702,0,AU$13),15-13*ORÇAMENTO!$AF$7)*OFFSET(ORÇAMENTO!$W$15,ROW(AU702)-ROW(AU$15),0),15-13*ORÇAMENTO!$AF$11)),0)</f>
        <v>0</v>
      </c>
      <c r="AV702" s="545">
        <f ca="1">IF(AND($D702="Serviço",AV$12&lt;&gt;0,$H702&gt;0,OR(AUTOEVENTO&lt;&gt;"manual",$M702&lt;&gt;1)),
IF(Import.TipoArredondamento&lt;&gt;"TransfereGOV",
ROUND(OFFSET($P702,0,AV$13),15-13*ORÇAMENTO!$AF$7)/$H702*OFFSET(ORÇAMENTO!$X$15,ROW(AV702)-ROW(AV$15),0),
ROUND(ROUND(OFFSET($P702,0,AV$13),15-13*ORÇAMENTO!$AF$7)*OFFSET(ORÇAMENTO!$W$15,ROW(AV702)-ROW(AV$15),0),15-13*ORÇAMENTO!$AF$11)),0)</f>
        <v>0</v>
      </c>
      <c r="AW702" s="545">
        <f ca="1">IF(AND($D702="Serviço",AW$12&lt;&gt;0,$H702&gt;0,OR(AUTOEVENTO&lt;&gt;"manual",$M702&lt;&gt;1)),
IF(Import.TipoArredondamento&lt;&gt;"TransfereGOV",
ROUND(OFFSET($P702,0,AW$13),15-13*ORÇAMENTO!$AF$7)/$H702*OFFSET(ORÇAMENTO!$X$15,ROW(AW702)-ROW(AW$15),0),
ROUND(ROUND(OFFSET($P702,0,AW$13),15-13*ORÇAMENTO!$AF$7)*OFFSET(ORÇAMENTO!$W$15,ROW(AW702)-ROW(AW$15),0),15-13*ORÇAMENTO!$AF$11)),0)</f>
        <v>0</v>
      </c>
      <c r="AX702" s="545">
        <f ca="1">IF(AND($D702="Serviço",AX$12&lt;&gt;0,$H702&gt;0,OR(AUTOEVENTO&lt;&gt;"manual",$M702&lt;&gt;1)),
IF(Import.TipoArredondamento&lt;&gt;"TransfereGOV",
ROUND(OFFSET($P702,0,AX$13),15-13*ORÇAMENTO!$AF$7)/$H702*OFFSET(ORÇAMENTO!$X$15,ROW(AX702)-ROW(AX$15),0),
ROUND(ROUND(OFFSET($P702,0,AX$13),15-13*ORÇAMENTO!$AF$7)*OFFSET(ORÇAMENTO!$W$15,ROW(AX702)-ROW(AX$15),0),15-13*ORÇAMENTO!$AF$11)),0)</f>
        <v>0</v>
      </c>
      <c r="AY702" s="545">
        <f ca="1">IF(AND($D702="Serviço",AY$12&lt;&gt;0,$H702&gt;0,OR(AUTOEVENTO&lt;&gt;"manual",$M702&lt;&gt;1)),
IF(Import.TipoArredondamento&lt;&gt;"TransfereGOV",
ROUND(OFFSET($P702,0,AY$13),15-13*ORÇAMENTO!$AF$7)/$H702*OFFSET(ORÇAMENTO!$X$15,ROW(AY702)-ROW(AY$15),0),
ROUND(ROUND(OFFSET($P702,0,AY$13),15-13*ORÇAMENTO!$AF$7)*OFFSET(ORÇAMENTO!$W$15,ROW(AY702)-ROW(AY$15),0),15-13*ORÇAMENTO!$AF$11)),0)</f>
        <v>0</v>
      </c>
      <c r="AZ702" s="545">
        <f ca="1">IF(AND($D702="Serviço",AZ$12&lt;&gt;0,$H702&gt;0,OR(AUTOEVENTO&lt;&gt;"manual",$M702&lt;&gt;1)),
IF(Import.TipoArredondamento&lt;&gt;"TransfereGOV",
ROUND(OFFSET($P702,0,AZ$13),15-13*ORÇAMENTO!$AF$7)/$H702*OFFSET(ORÇAMENTO!$X$15,ROW(AZ702)-ROW(AZ$15),0),
ROUND(ROUND(OFFSET($P702,0,AZ$13),15-13*ORÇAMENTO!$AF$7)*OFFSET(ORÇAMENTO!$W$15,ROW(AZ702)-ROW(AZ$15),0),15-13*ORÇAMENTO!$AF$11)),0)</f>
        <v>0</v>
      </c>
      <c r="BA702" s="546">
        <f ca="1">IF(AND($D702="Serviço",BA$12&lt;&gt;0,$H702&gt;0,OR(AUTOEVENTO&lt;&gt;"manual",$M702&lt;&gt;1)),
IF(Import.TipoArredondamento&lt;&gt;"TransfereGOV",
ROUND(OFFSET($P702,0,BA$13),15-13*ORÇAMENTO!$AF$7)/$H702*OFFSET(ORÇAMENTO!$X$15,ROW(BA702)-ROW(BA$15),0),
ROUND(ROUND(OFFSET($P702,0,BA$13),15-13*ORÇAMENTO!$AF$7)*OFFSET(ORÇAMENTO!$W$15,ROW(BA702)-ROW(BA$15),0),15-13*ORÇAMENTO!$AF$11)),0)</f>
        <v>0</v>
      </c>
      <c r="BC702" s="181">
        <f ca="1">IF($D702&lt;&gt;"Serviço",0,IF(AND(AUTOEVENTO="Manual",$M702=1),0,IF(OFFSET(CRONOPLE!$F$14,$M702,BC$13)="",10^12,OFFSET(CRONOPLE!$F$14,$M702,BC$13))))</f>
        <v>12</v>
      </c>
      <c r="BD702" s="181">
        <f ca="1">IF($D702&lt;&gt;"Serviço",0,IF(AND(AUTOEVENTO="Manual",$M702=1),0,IF(OFFSET(CRONOPLE!$F$14,$M702,BD$13)="",10^12,OFFSET(CRONOPLE!$F$14,$M702,BD$13))))</f>
        <v>1000000000000</v>
      </c>
      <c r="BE702" s="181">
        <f ca="1">IF($D702&lt;&gt;"Serviço",0,IF(AND(AUTOEVENTO="Manual",$M702=1),0,IF(OFFSET(CRONOPLE!$F$14,$M702,BE$13)="",10^12,OFFSET(CRONOPLE!$F$14,$M702,BE$13))))</f>
        <v>1000000000000</v>
      </c>
      <c r="BF702" s="181">
        <f ca="1">IF($D702&lt;&gt;"Serviço",0,IF(AND(AUTOEVENTO="Manual",$M702=1),0,IF(OFFSET(CRONOPLE!$F$14,$M702,BF$13)="",10^12,OFFSET(CRONOPLE!$F$14,$M702,BF$13))))</f>
        <v>1000000000000</v>
      </c>
      <c r="BG702" s="181">
        <f ca="1">IF($D702&lt;&gt;"Serviço",0,IF(AND(AUTOEVENTO="Manual",$M702=1),0,IF(OFFSET(CRONOPLE!$F$14,$M702,BG$13)="",10^12,OFFSET(CRONOPLE!$F$14,$M702,BG$13))))</f>
        <v>1000000000000</v>
      </c>
      <c r="BH702" s="181">
        <f ca="1">IF($D702&lt;&gt;"Serviço",0,IF(AND(AUTOEVENTO="Manual",$M702=1),0,IF(OFFSET(CRONOPLE!$F$14,$M702,BH$13)="",10^12,OFFSET(CRONOPLE!$F$14,$M702,BH$13))))</f>
        <v>1000000000000</v>
      </c>
      <c r="BI702" s="181">
        <f ca="1">IF($D702&lt;&gt;"Serviço",0,IF(AND(AUTOEVENTO="Manual",$M702=1),0,IF(OFFSET(CRONOPLE!$F$14,$M702,BI$13)="",10^12,OFFSET(CRONOPLE!$F$14,$M702,BI$13))))</f>
        <v>1000000000000</v>
      </c>
      <c r="BJ702" s="181">
        <f ca="1">IF($D702&lt;&gt;"Serviço",0,IF(AND(AUTOEVENTO="Manual",$M702=1),0,IF(OFFSET(CRONOPLE!$F$14,$M702,BJ$13)="",10^12,OFFSET(CRONOPLE!$F$14,$M702,BJ$13))))</f>
        <v>1000000000000</v>
      </c>
      <c r="BK702" s="181">
        <f ca="1">IF($D702&lt;&gt;"Serviço",0,IF(AND(AUTOEVENTO="Manual",$M702=1),0,IF(OFFSET(CRONOPLE!$F$14,$M702,BK$13)="",10^12,OFFSET(CRONOPLE!$F$14,$M702,BK$13))))</f>
        <v>1000000000000</v>
      </c>
      <c r="BL702" s="181">
        <f ca="1">IF($D702&lt;&gt;"Serviço",0,IF(AND(AUTOEVENTO="Manual",$M702=1),0,IF(OFFSET(CRONOPLE!$F$14,$M702,BL$13)="",10^12,OFFSET(CRONOPLE!$F$14,$M702,BL$13))))</f>
        <v>1000000000000</v>
      </c>
      <c r="BM702" s="181">
        <f ca="1">IF($D702&lt;&gt;"Serviço",0,IF(AND(AUTOEVENTO="Manual",$M702=1),0,IF(OFFSET(CRONOPLE!$F$14,$M702,BM$13)="",10^12,OFFSET(CRONOPLE!$F$14,$M702,BM$13))))</f>
        <v>1000000000000</v>
      </c>
      <c r="BN702" s="181">
        <f ca="1">IF($D702&lt;&gt;"Serviço",0,IF(AND(AUTOEVENTO="Manual",$M702=1),0,IF(OFFSET(CRONOPLE!$F$14,$M702,BN$13)="",10^12,OFFSET(CRONOPLE!$F$14,$M702,BN$13))))</f>
        <v>1000000000000</v>
      </c>
      <c r="BO702" s="181">
        <f ca="1">IF($D702&lt;&gt;"Serviço",0,IF(AND(AUTOEVENTO="Manual",$M702=1),0,IF(OFFSET(CRONOPLE!$F$14,$M702,BO$13)="",10^12,OFFSET(CRONOPLE!$F$14,$M702,BO$13))))</f>
        <v>1000000000000</v>
      </c>
      <c r="BP702" s="181">
        <f ca="1">IF($D702&lt;&gt;"Serviço",0,IF(AND(AUTOEVENTO="Manual",$M702=1),0,IF(OFFSET(CRONOPLE!$F$14,$M702,BP$13)="",10^12,OFFSET(CRONOPLE!$F$14,$M702,BP$13))))</f>
        <v>1000000000000</v>
      </c>
      <c r="BQ702" s="181">
        <f ca="1">IF($D702&lt;&gt;"Serviço",0,IF(AND(AUTOEVENTO="Manual",$M702=1),0,IF(OFFSET(CRONOPLE!$F$14,$M702,BQ$13)="",10^12,OFFSET(CRONOPLE!$F$14,$M702,BQ$13))))</f>
        <v>1000000000000</v>
      </c>
      <c r="BR702" s="181">
        <f ca="1">IF($D702&lt;&gt;"Serviço",0,IF(AND(AUTOEVENTO="Manual",$M702=1),0,IF(OFFSET(CRONOPLE!$F$14,$M702,BR$13)="",10^12,OFFSET(CRONOPLE!$F$14,$M702,BR$13))))</f>
        <v>1000000000000</v>
      </c>
      <c r="BS702" s="181">
        <f ca="1">IF($D702&lt;&gt;"Serviço",0,IF(AND(AUTOEVENTO="Manual",$M702=1),0,IF(OFFSET(CRONOPLE!$F$14,$M702,BS$13)="",10^12,OFFSET(CRONOPLE!$F$14,$M702,BS$13))))</f>
        <v>1000000000000</v>
      </c>
      <c r="BT702" s="181">
        <f ca="1">IF($D702&lt;&gt;"Serviço",0,IF(AND(AUTOEVENTO="Manual",$M702=1),0,IF(OFFSET(CRONOPLE!$F$14,$M702,BT$13)="",10^12,OFFSET(CRONOPLE!$F$14,$M702,BT$13))))</f>
        <v>1000000000000</v>
      </c>
      <c r="BV702" s="182">
        <f ca="1">IF($D702&lt;&gt;"Serviço",0,IF(OR(AND(AUTOEVENTO="Manual",$M702=1),$M702&gt;(ROW(PLE.lastrow)-ROW(PLE.firstrow))),0,IF(OFFSET(PLE!$G$14,$M702,BV$13)="",10^12,OFFSET(PLE!$G$14,$M702,BV$13))))</f>
        <v>1000000000000</v>
      </c>
      <c r="BW702" s="182">
        <f ca="1">IF($D702&lt;&gt;"Serviço",0,IF(OR(AND(AUTOEVENTO="Manual",$M702=1),$M702&gt;(ROW(PLE.lastrow)-ROW(PLE.firstrow))),0,IF(OFFSET(PLE!$G$14,$M702,BW$13)="",10^12,OFFSET(PLE!$G$14,$M702,BW$13))))</f>
        <v>1000000000000</v>
      </c>
      <c r="BX702" s="182">
        <f ca="1">IF($D702&lt;&gt;"Serviço",0,IF(OR(AND(AUTOEVENTO="Manual",$M702=1),$M702&gt;(ROW(PLE.lastrow)-ROW(PLE.firstrow))),0,IF(OFFSET(PLE!$G$14,$M702,BX$13)="",10^12,OFFSET(PLE!$G$14,$M702,BX$13))))</f>
        <v>1000000000000</v>
      </c>
      <c r="BY702" s="182">
        <f ca="1">IF($D702&lt;&gt;"Serviço",0,IF(OR(AND(AUTOEVENTO="Manual",$M702=1),$M702&gt;(ROW(PLE.lastrow)-ROW(PLE.firstrow))),0,IF(OFFSET(PLE!$G$14,$M702,BY$13)="",10^12,OFFSET(PLE!$G$14,$M702,BY$13))))</f>
        <v>1000000000000</v>
      </c>
      <c r="BZ702" s="182">
        <f ca="1">IF($D702&lt;&gt;"Serviço",0,IF(OR(AND(AUTOEVENTO="Manual",$M702=1),$M702&gt;(ROW(PLE.lastrow)-ROW(PLE.firstrow))),0,IF(OFFSET(PLE!$G$14,$M702,BZ$13)="",10^12,OFFSET(PLE!$G$14,$M702,BZ$13))))</f>
        <v>1000000000000</v>
      </c>
      <c r="CA702" s="182">
        <f ca="1">IF($D702&lt;&gt;"Serviço",0,IF(OR(AND(AUTOEVENTO="Manual",$M702=1),$M702&gt;(ROW(PLE.lastrow)-ROW(PLE.firstrow))),0,IF(OFFSET(PLE!$G$14,$M702,CA$13)="",10^12,OFFSET(PLE!$G$14,$M702,CA$13))))</f>
        <v>1000000000000</v>
      </c>
      <c r="CB702" s="182">
        <f ca="1">IF($D702&lt;&gt;"Serviço",0,IF(OR(AND(AUTOEVENTO="Manual",$M702=1),$M702&gt;(ROW(PLE.lastrow)-ROW(PLE.firstrow))),0,IF(OFFSET(PLE!$G$14,$M702,CB$13)="",10^12,OFFSET(PLE!$G$14,$M702,CB$13))))</f>
        <v>1000000000000</v>
      </c>
      <c r="CC702" s="182">
        <f ca="1">IF($D702&lt;&gt;"Serviço",0,IF(OR(AND(AUTOEVENTO="Manual",$M702=1),$M702&gt;(ROW(PLE.lastrow)-ROW(PLE.firstrow))),0,IF(OFFSET(PLE!$G$14,$M702,CC$13)="",10^12,OFFSET(PLE!$G$14,$M702,CC$13))))</f>
        <v>1000000000000</v>
      </c>
      <c r="CD702" s="182">
        <f ca="1">IF($D702&lt;&gt;"Serviço",0,IF(OR(AND(AUTOEVENTO="Manual",$M702=1),$M702&gt;(ROW(PLE.lastrow)-ROW(PLE.firstrow))),0,IF(OFFSET(PLE!$G$14,$M702,CD$13)="",10^12,OFFSET(PLE!$G$14,$M702,CD$13))))</f>
        <v>1000000000000</v>
      </c>
      <c r="CE702" s="182">
        <f ca="1">IF($D702&lt;&gt;"Serviço",0,IF(OR(AND(AUTOEVENTO="Manual",$M702=1),$M702&gt;(ROW(PLE.lastrow)-ROW(PLE.firstrow))),0,IF(OFFSET(PLE!$G$14,$M702,CE$13)="",10^12,OFFSET(PLE!$G$14,$M702,CE$13))))</f>
        <v>1000000000000</v>
      </c>
      <c r="CF702" s="182">
        <f ca="1">IF($D702&lt;&gt;"Serviço",0,IF(OR(AND(AUTOEVENTO="Manual",$M702=1),$M702&gt;(ROW(PLE.lastrow)-ROW(PLE.firstrow))),0,IF(OFFSET(PLE!$G$14,$M702,CF$13)="",10^12,OFFSET(PLE!$G$14,$M702,CF$13))))</f>
        <v>1000000000000</v>
      </c>
      <c r="CG702" s="182">
        <f ca="1">IF($D702&lt;&gt;"Serviço",0,IF(OR(AND(AUTOEVENTO="Manual",$M702=1),$M702&gt;(ROW(PLE.lastrow)-ROW(PLE.firstrow))),0,IF(OFFSET(PLE!$G$14,$M702,CG$13)="",10^12,OFFSET(PLE!$G$14,$M702,CG$13))))</f>
        <v>1000000000000</v>
      </c>
      <c r="CH702" s="182">
        <f ca="1">IF($D702&lt;&gt;"Serviço",0,IF(OR(AND(AUTOEVENTO="Manual",$M702=1),$M702&gt;(ROW(PLE.lastrow)-ROW(PLE.firstrow))),0,IF(OFFSET(PLE!$G$14,$M702,CH$13)="",10^12,OFFSET(PLE!$G$14,$M702,CH$13))))</f>
        <v>1000000000000</v>
      </c>
      <c r="CI702" s="182">
        <f ca="1">IF($D702&lt;&gt;"Serviço",0,IF(OR(AND(AUTOEVENTO="Manual",$M702=1),$M702&gt;(ROW(PLE.lastrow)-ROW(PLE.firstrow))),0,IF(OFFSET(PLE!$G$14,$M702,CI$13)="",10^12,OFFSET(PLE!$G$14,$M702,CI$13))))</f>
        <v>1000000000000</v>
      </c>
      <c r="CJ702" s="182">
        <f ca="1">IF($D702&lt;&gt;"Serviço",0,IF(OR(AND(AUTOEVENTO="Manual",$M702=1),$M702&gt;(ROW(PLE.lastrow)-ROW(PLE.firstrow))),0,IF(OFFSET(PLE!$G$14,$M702,CJ$13)="",10^12,OFFSET(PLE!$G$14,$M702,CJ$13))))</f>
        <v>1000000000000</v>
      </c>
      <c r="CK702" s="182">
        <f ca="1">IF($D702&lt;&gt;"Serviço",0,IF(OR(AND(AUTOEVENTO="Manual",$M702=1),$M702&gt;(ROW(PLE.lastrow)-ROW(PLE.firstrow))),0,IF(OFFSET(PLE!$G$14,$M702,CK$13)="",10^12,OFFSET(PLE!$G$14,$M702,CK$13))))</f>
        <v>1000000000000</v>
      </c>
      <c r="CL702" s="182">
        <f ca="1">IF($D702&lt;&gt;"Serviço",0,IF(OR(AND(AUTOEVENTO="Manual",$M702=1),$M702&gt;(ROW(PLE.lastrow)-ROW(PLE.firstrow))),0,IF(OFFSET(PLE!$G$14,$M702,CL$13)="",10^12,OFFSET(PLE!$G$14,$M702,CL$13))))</f>
        <v>1000000000000</v>
      </c>
      <c r="CM702" s="182">
        <f ca="1">IF($D702&lt;&gt;"Serviço",0,IF(OR(AND(AUTOEVENTO="Manual",$M702=1),$M702&gt;(ROW(PLE.lastrow)-ROW(PLE.firstrow))),0,IF(OFFSET(PLE!$G$14,$M702,CM$13)="",10^12,OFFSET(PLE!$G$14,$M702,CM$13))))</f>
        <v>1000000000000</v>
      </c>
    </row>
    <row r="703" spans="1:91" ht="51" x14ac:dyDescent="0.2">
      <c r="A703" s="7" t="str">
        <f t="shared" ca="1" si="20"/>
        <v>686</v>
      </c>
      <c r="B703" s="7" t="str">
        <f ca="1">OFFSET(ORÇAMENTO!C$15,ROW(B703)-ROW(B$15),0)</f>
        <v>S</v>
      </c>
      <c r="C703" s="7" t="str">
        <f ca="1">OFFSET(ORÇAMENTO!L$15,ROW(C703)-ROW(C$15),0)</f>
        <v/>
      </c>
      <c r="D703" s="118" t="str">
        <f ca="1">OFFSET(ORÇAMENTO!N$15,ROW(D703)-ROW(D$15),0)</f>
        <v>Serviço</v>
      </c>
      <c r="E703" s="119" t="str">
        <f ca="1">OFFSET(ORÇAMENTO!O$15,ROW(E703)-ROW(E$15),0)</f>
        <v>-</v>
      </c>
      <c r="F703" s="172" t="str">
        <f ca="1">OFFSET(ORÇAMENTO!R$15,ROW(F703)-ROW(F$15),0)</f>
        <v>(abra o arquivo 'Referência 06-2024.xlsm)</v>
      </c>
      <c r="G703" s="173" t="str">
        <f ca="1">IF($D703&lt;&gt;"Serviço","",OFFSET(ORÇAMENTO!S$15,ROW(G703)-ROW(G$15),0))</f>
        <v>-</v>
      </c>
      <c r="H703" s="124">
        <f ca="1">IF($D703&lt;&gt;"Serviço",0,IF(ACOMPANHAMENTO="BM",ROUND(OFFSET(ORÇAMENTO!AJ$15,ROW(H703)-ROW(H$15),0),15-13*ORÇAMENTO!$AF$7),SUMPRODUCT(($Q$12:$AI$12&lt;&gt;"")*ROUND($Q703:$AI703,15-13*ORÇAMENTO!$AF$7))))</f>
        <v>163.16999999999999</v>
      </c>
      <c r="I703" s="561" t="s">
        <v>1107</v>
      </c>
      <c r="K703" s="174"/>
      <c r="L703" s="175" t="s">
        <v>255</v>
      </c>
      <c r="M703" s="176">
        <f ca="1">IF($D703&lt;&gt;"Serviço","",IF(AUTOEVENTO="manual",$A703,IF(ISERROR(MATCH($A703,$A$15:OFFSET($A703,-1,0),0)),MAX($M$15:OFFSET(M703,-1,0))+1,INDEX($M$15:OFFSET(M703,-1,0),MATCH($A703,$A$15:OFFSET($A703,-1,0),0)))))</f>
        <v>77</v>
      </c>
      <c r="N703" s="177" t="str">
        <f ca="1">IF($D703&lt;&gt;"Serviço","",IF(AUTOEVENTO="Manual",IF($A703=0,"&lt;-- defina o número do agrupador",OFFSET(EVENTOS!$D$14,$A703,0)),OFFSET($F$15,$A703,0)))</f>
        <v>MURO DE FECHAMENTO - CONCRETO ARMADO PARA VIGAS INCLUINDO BALDRAME</v>
      </c>
      <c r="O703" s="178"/>
      <c r="Q703" s="178">
        <v>163.16999999999999</v>
      </c>
      <c r="R703" s="179"/>
      <c r="S703" s="179"/>
      <c r="T703" s="179"/>
      <c r="U703" s="179"/>
      <c r="V703" s="179"/>
      <c r="W703" s="179"/>
      <c r="X703" s="179"/>
      <c r="Y703" s="179"/>
      <c r="Z703" s="180"/>
      <c r="AA703" s="179"/>
      <c r="AB703" s="179"/>
      <c r="AC703" s="179"/>
      <c r="AD703" s="179"/>
      <c r="AE703" s="179"/>
      <c r="AF703" s="179"/>
      <c r="AG703" s="179"/>
      <c r="AH703" s="180"/>
      <c r="AJ703" s="544">
        <f ca="1">IF(AND($D703="Serviço",AJ$12&lt;&gt;0,$H703&gt;0,OR(AUTOEVENTO&lt;&gt;"manual",$M703&lt;&gt;1)),
IF(Import.TipoArredondamento&lt;&gt;"TransfereGOV",
ROUND(OFFSET($P703,0,AJ$13),15-13*ORÇAMENTO!$AF$7)/$H703*OFFSET(ORÇAMENTO!$X$15,ROW(AJ703)-ROW(AJ$15),0),
ROUND(ROUND(OFFSET($P703,0,AJ$13),15-13*ORÇAMENTO!$AF$7)*OFFSET(ORÇAMENTO!$W$15,ROW(AJ703)-ROW(AJ$15),0),15-13*ORÇAMENTO!$AF$11)),0)</f>
        <v>0</v>
      </c>
      <c r="AK703" s="545">
        <f ca="1">IF(AND($D703="Serviço",AK$12&lt;&gt;0,$H703&gt;0,OR(AUTOEVENTO&lt;&gt;"manual",$M703&lt;&gt;1)),
IF(Import.TipoArredondamento&lt;&gt;"TransfereGOV",
ROUND(OFFSET($P703,0,AK$13),15-13*ORÇAMENTO!$AF$7)/$H703*OFFSET(ORÇAMENTO!$X$15,ROW(AK703)-ROW(AK$15),0),
ROUND(ROUND(OFFSET($P703,0,AK$13),15-13*ORÇAMENTO!$AF$7)*OFFSET(ORÇAMENTO!$W$15,ROW(AK703)-ROW(AK$15),0),15-13*ORÇAMENTO!$AF$11)),0)</f>
        <v>0</v>
      </c>
      <c r="AL703" s="545">
        <f ca="1">IF(AND($D703="Serviço",AL$12&lt;&gt;0,$H703&gt;0,OR(AUTOEVENTO&lt;&gt;"manual",$M703&lt;&gt;1)),
IF(Import.TipoArredondamento&lt;&gt;"TransfereGOV",
ROUND(OFFSET($P703,0,AL$13),15-13*ORÇAMENTO!$AF$7)/$H703*OFFSET(ORÇAMENTO!$X$15,ROW(AL703)-ROW(AL$15),0),
ROUND(ROUND(OFFSET($P703,0,AL$13),15-13*ORÇAMENTO!$AF$7)*OFFSET(ORÇAMENTO!$W$15,ROW(AL703)-ROW(AL$15),0),15-13*ORÇAMENTO!$AF$11)),0)</f>
        <v>0</v>
      </c>
      <c r="AM703" s="545">
        <f ca="1">IF(AND($D703="Serviço",AM$12&lt;&gt;0,$H703&gt;0,OR(AUTOEVENTO&lt;&gt;"manual",$M703&lt;&gt;1)),
IF(Import.TipoArredondamento&lt;&gt;"TransfereGOV",
ROUND(OFFSET($P703,0,AM$13),15-13*ORÇAMENTO!$AF$7)/$H703*OFFSET(ORÇAMENTO!$X$15,ROW(AM703)-ROW(AM$15),0),
ROUND(ROUND(OFFSET($P703,0,AM$13),15-13*ORÇAMENTO!$AF$7)*OFFSET(ORÇAMENTO!$W$15,ROW(AM703)-ROW(AM$15),0),15-13*ORÇAMENTO!$AF$11)),0)</f>
        <v>0</v>
      </c>
      <c r="AN703" s="545">
        <f ca="1">IF(AND($D703="Serviço",AN$12&lt;&gt;0,$H703&gt;0,OR(AUTOEVENTO&lt;&gt;"manual",$M703&lt;&gt;1)),
IF(Import.TipoArredondamento&lt;&gt;"TransfereGOV",
ROUND(OFFSET($P703,0,AN$13),15-13*ORÇAMENTO!$AF$7)/$H703*OFFSET(ORÇAMENTO!$X$15,ROW(AN703)-ROW(AN$15),0),
ROUND(ROUND(OFFSET($P703,0,AN$13),15-13*ORÇAMENTO!$AF$7)*OFFSET(ORÇAMENTO!$W$15,ROW(AN703)-ROW(AN$15),0),15-13*ORÇAMENTO!$AF$11)),0)</f>
        <v>0</v>
      </c>
      <c r="AO703" s="545">
        <f ca="1">IF(AND($D703="Serviço",AO$12&lt;&gt;0,$H703&gt;0,OR(AUTOEVENTO&lt;&gt;"manual",$M703&lt;&gt;1)),
IF(Import.TipoArredondamento&lt;&gt;"TransfereGOV",
ROUND(OFFSET($P703,0,AO$13),15-13*ORÇAMENTO!$AF$7)/$H703*OFFSET(ORÇAMENTO!$X$15,ROW(AO703)-ROW(AO$15),0),
ROUND(ROUND(OFFSET($P703,0,AO$13),15-13*ORÇAMENTO!$AF$7)*OFFSET(ORÇAMENTO!$W$15,ROW(AO703)-ROW(AO$15),0),15-13*ORÇAMENTO!$AF$11)),0)</f>
        <v>0</v>
      </c>
      <c r="AP703" s="545">
        <f ca="1">IF(AND($D703="Serviço",AP$12&lt;&gt;0,$H703&gt;0,OR(AUTOEVENTO&lt;&gt;"manual",$M703&lt;&gt;1)),
IF(Import.TipoArredondamento&lt;&gt;"TransfereGOV",
ROUND(OFFSET($P703,0,AP$13),15-13*ORÇAMENTO!$AF$7)/$H703*OFFSET(ORÇAMENTO!$X$15,ROW(AP703)-ROW(AP$15),0),
ROUND(ROUND(OFFSET($P703,0,AP$13),15-13*ORÇAMENTO!$AF$7)*OFFSET(ORÇAMENTO!$W$15,ROW(AP703)-ROW(AP$15),0),15-13*ORÇAMENTO!$AF$11)),0)</f>
        <v>0</v>
      </c>
      <c r="AQ703" s="545">
        <f ca="1">IF(AND($D703="Serviço",AQ$12&lt;&gt;0,$H703&gt;0,OR(AUTOEVENTO&lt;&gt;"manual",$M703&lt;&gt;1)),
IF(Import.TipoArredondamento&lt;&gt;"TransfereGOV",
ROUND(OFFSET($P703,0,AQ$13),15-13*ORÇAMENTO!$AF$7)/$H703*OFFSET(ORÇAMENTO!$X$15,ROW(AQ703)-ROW(AQ$15),0),
ROUND(ROUND(OFFSET($P703,0,AQ$13),15-13*ORÇAMENTO!$AF$7)*OFFSET(ORÇAMENTO!$W$15,ROW(AQ703)-ROW(AQ$15),0),15-13*ORÇAMENTO!$AF$11)),0)</f>
        <v>0</v>
      </c>
      <c r="AR703" s="545">
        <f ca="1">IF(AND($D703="Serviço",AR$12&lt;&gt;0,$H703&gt;0,OR(AUTOEVENTO&lt;&gt;"manual",$M703&lt;&gt;1)),
IF(Import.TipoArredondamento&lt;&gt;"TransfereGOV",
ROUND(OFFSET($P703,0,AR$13),15-13*ORÇAMENTO!$AF$7)/$H703*OFFSET(ORÇAMENTO!$X$15,ROW(AR703)-ROW(AR$15),0),
ROUND(ROUND(OFFSET($P703,0,AR$13),15-13*ORÇAMENTO!$AF$7)*OFFSET(ORÇAMENTO!$W$15,ROW(AR703)-ROW(AR$15),0),15-13*ORÇAMENTO!$AF$11)),0)</f>
        <v>0</v>
      </c>
      <c r="AS703" s="546">
        <f ca="1">IF(AND($D703="Serviço",AS$12&lt;&gt;0,$H703&gt;0,OR(AUTOEVENTO&lt;&gt;"manual",$M703&lt;&gt;1)),
IF(Import.TipoArredondamento&lt;&gt;"TransfereGOV",
ROUND(OFFSET($P703,0,AS$13),15-13*ORÇAMENTO!$AF$7)/$H703*OFFSET(ORÇAMENTO!$X$15,ROW(AS703)-ROW(AS$15),0),
ROUND(ROUND(OFFSET($P703,0,AS$13),15-13*ORÇAMENTO!$AF$7)*OFFSET(ORÇAMENTO!$W$15,ROW(AS703)-ROW(AS$15),0),15-13*ORÇAMENTO!$AF$11)),0)</f>
        <v>0</v>
      </c>
      <c r="AT703" s="545">
        <f ca="1">IF(AND($D703="Serviço",AT$12&lt;&gt;0,$H703&gt;0,OR(AUTOEVENTO&lt;&gt;"manual",$M703&lt;&gt;1)),
IF(Import.TipoArredondamento&lt;&gt;"TransfereGOV",
ROUND(OFFSET($P703,0,AT$13),15-13*ORÇAMENTO!$AF$7)/$H703*OFFSET(ORÇAMENTO!$X$15,ROW(AT703)-ROW(AT$15),0),
ROUND(ROUND(OFFSET($P703,0,AT$13),15-13*ORÇAMENTO!$AF$7)*OFFSET(ORÇAMENTO!$W$15,ROW(AT703)-ROW(AT$15),0),15-13*ORÇAMENTO!$AF$11)),0)</f>
        <v>0</v>
      </c>
      <c r="AU703" s="545">
        <f ca="1">IF(AND($D703="Serviço",AU$12&lt;&gt;0,$H703&gt;0,OR(AUTOEVENTO&lt;&gt;"manual",$M703&lt;&gt;1)),
IF(Import.TipoArredondamento&lt;&gt;"TransfereGOV",
ROUND(OFFSET($P703,0,AU$13),15-13*ORÇAMENTO!$AF$7)/$H703*OFFSET(ORÇAMENTO!$X$15,ROW(AU703)-ROW(AU$15),0),
ROUND(ROUND(OFFSET($P703,0,AU$13),15-13*ORÇAMENTO!$AF$7)*OFFSET(ORÇAMENTO!$W$15,ROW(AU703)-ROW(AU$15),0),15-13*ORÇAMENTO!$AF$11)),0)</f>
        <v>0</v>
      </c>
      <c r="AV703" s="545">
        <f ca="1">IF(AND($D703="Serviço",AV$12&lt;&gt;0,$H703&gt;0,OR(AUTOEVENTO&lt;&gt;"manual",$M703&lt;&gt;1)),
IF(Import.TipoArredondamento&lt;&gt;"TransfereGOV",
ROUND(OFFSET($P703,0,AV$13),15-13*ORÇAMENTO!$AF$7)/$H703*OFFSET(ORÇAMENTO!$X$15,ROW(AV703)-ROW(AV$15),0),
ROUND(ROUND(OFFSET($P703,0,AV$13),15-13*ORÇAMENTO!$AF$7)*OFFSET(ORÇAMENTO!$W$15,ROW(AV703)-ROW(AV$15),0),15-13*ORÇAMENTO!$AF$11)),0)</f>
        <v>0</v>
      </c>
      <c r="AW703" s="545">
        <f ca="1">IF(AND($D703="Serviço",AW$12&lt;&gt;0,$H703&gt;0,OR(AUTOEVENTO&lt;&gt;"manual",$M703&lt;&gt;1)),
IF(Import.TipoArredondamento&lt;&gt;"TransfereGOV",
ROUND(OFFSET($P703,0,AW$13),15-13*ORÇAMENTO!$AF$7)/$H703*OFFSET(ORÇAMENTO!$X$15,ROW(AW703)-ROW(AW$15),0),
ROUND(ROUND(OFFSET($P703,0,AW$13),15-13*ORÇAMENTO!$AF$7)*OFFSET(ORÇAMENTO!$W$15,ROW(AW703)-ROW(AW$15),0),15-13*ORÇAMENTO!$AF$11)),0)</f>
        <v>0</v>
      </c>
      <c r="AX703" s="545">
        <f ca="1">IF(AND($D703="Serviço",AX$12&lt;&gt;0,$H703&gt;0,OR(AUTOEVENTO&lt;&gt;"manual",$M703&lt;&gt;1)),
IF(Import.TipoArredondamento&lt;&gt;"TransfereGOV",
ROUND(OFFSET($P703,0,AX$13),15-13*ORÇAMENTO!$AF$7)/$H703*OFFSET(ORÇAMENTO!$X$15,ROW(AX703)-ROW(AX$15),0),
ROUND(ROUND(OFFSET($P703,0,AX$13),15-13*ORÇAMENTO!$AF$7)*OFFSET(ORÇAMENTO!$W$15,ROW(AX703)-ROW(AX$15),0),15-13*ORÇAMENTO!$AF$11)),0)</f>
        <v>0</v>
      </c>
      <c r="AY703" s="545">
        <f ca="1">IF(AND($D703="Serviço",AY$12&lt;&gt;0,$H703&gt;0,OR(AUTOEVENTO&lt;&gt;"manual",$M703&lt;&gt;1)),
IF(Import.TipoArredondamento&lt;&gt;"TransfereGOV",
ROUND(OFFSET($P703,0,AY$13),15-13*ORÇAMENTO!$AF$7)/$H703*OFFSET(ORÇAMENTO!$X$15,ROW(AY703)-ROW(AY$15),0),
ROUND(ROUND(OFFSET($P703,0,AY$13),15-13*ORÇAMENTO!$AF$7)*OFFSET(ORÇAMENTO!$W$15,ROW(AY703)-ROW(AY$15),0),15-13*ORÇAMENTO!$AF$11)),0)</f>
        <v>0</v>
      </c>
      <c r="AZ703" s="545">
        <f ca="1">IF(AND($D703="Serviço",AZ$12&lt;&gt;0,$H703&gt;0,OR(AUTOEVENTO&lt;&gt;"manual",$M703&lt;&gt;1)),
IF(Import.TipoArredondamento&lt;&gt;"TransfereGOV",
ROUND(OFFSET($P703,0,AZ$13),15-13*ORÇAMENTO!$AF$7)/$H703*OFFSET(ORÇAMENTO!$X$15,ROW(AZ703)-ROW(AZ$15),0),
ROUND(ROUND(OFFSET($P703,0,AZ$13),15-13*ORÇAMENTO!$AF$7)*OFFSET(ORÇAMENTO!$W$15,ROW(AZ703)-ROW(AZ$15),0),15-13*ORÇAMENTO!$AF$11)),0)</f>
        <v>0</v>
      </c>
      <c r="BA703" s="546">
        <f ca="1">IF(AND($D703="Serviço",BA$12&lt;&gt;0,$H703&gt;0,OR(AUTOEVENTO&lt;&gt;"manual",$M703&lt;&gt;1)),
IF(Import.TipoArredondamento&lt;&gt;"TransfereGOV",
ROUND(OFFSET($P703,0,BA$13),15-13*ORÇAMENTO!$AF$7)/$H703*OFFSET(ORÇAMENTO!$X$15,ROW(BA703)-ROW(BA$15),0),
ROUND(ROUND(OFFSET($P703,0,BA$13),15-13*ORÇAMENTO!$AF$7)*OFFSET(ORÇAMENTO!$W$15,ROW(BA703)-ROW(BA$15),0),15-13*ORÇAMENTO!$AF$11)),0)</f>
        <v>0</v>
      </c>
      <c r="BC703" s="181">
        <f ca="1">IF($D703&lt;&gt;"Serviço",0,IF(AND(AUTOEVENTO="Manual",$M703=1),0,IF(OFFSET(CRONOPLE!$F$14,$M703,BC$13)="",10^12,OFFSET(CRONOPLE!$F$14,$M703,BC$13))))</f>
        <v>12</v>
      </c>
      <c r="BD703" s="181">
        <f ca="1">IF($D703&lt;&gt;"Serviço",0,IF(AND(AUTOEVENTO="Manual",$M703=1),0,IF(OFFSET(CRONOPLE!$F$14,$M703,BD$13)="",10^12,OFFSET(CRONOPLE!$F$14,$M703,BD$13))))</f>
        <v>1000000000000</v>
      </c>
      <c r="BE703" s="181">
        <f ca="1">IF($D703&lt;&gt;"Serviço",0,IF(AND(AUTOEVENTO="Manual",$M703=1),0,IF(OFFSET(CRONOPLE!$F$14,$M703,BE$13)="",10^12,OFFSET(CRONOPLE!$F$14,$M703,BE$13))))</f>
        <v>1000000000000</v>
      </c>
      <c r="BF703" s="181">
        <f ca="1">IF($D703&lt;&gt;"Serviço",0,IF(AND(AUTOEVENTO="Manual",$M703=1),0,IF(OFFSET(CRONOPLE!$F$14,$M703,BF$13)="",10^12,OFFSET(CRONOPLE!$F$14,$M703,BF$13))))</f>
        <v>1000000000000</v>
      </c>
      <c r="BG703" s="181">
        <f ca="1">IF($D703&lt;&gt;"Serviço",0,IF(AND(AUTOEVENTO="Manual",$M703=1),0,IF(OFFSET(CRONOPLE!$F$14,$M703,BG$13)="",10^12,OFFSET(CRONOPLE!$F$14,$M703,BG$13))))</f>
        <v>1000000000000</v>
      </c>
      <c r="BH703" s="181">
        <f ca="1">IF($D703&lt;&gt;"Serviço",0,IF(AND(AUTOEVENTO="Manual",$M703=1),0,IF(OFFSET(CRONOPLE!$F$14,$M703,BH$13)="",10^12,OFFSET(CRONOPLE!$F$14,$M703,BH$13))))</f>
        <v>1000000000000</v>
      </c>
      <c r="BI703" s="181">
        <f ca="1">IF($D703&lt;&gt;"Serviço",0,IF(AND(AUTOEVENTO="Manual",$M703=1),0,IF(OFFSET(CRONOPLE!$F$14,$M703,BI$13)="",10^12,OFFSET(CRONOPLE!$F$14,$M703,BI$13))))</f>
        <v>1000000000000</v>
      </c>
      <c r="BJ703" s="181">
        <f ca="1">IF($D703&lt;&gt;"Serviço",0,IF(AND(AUTOEVENTO="Manual",$M703=1),0,IF(OFFSET(CRONOPLE!$F$14,$M703,BJ$13)="",10^12,OFFSET(CRONOPLE!$F$14,$M703,BJ$13))))</f>
        <v>1000000000000</v>
      </c>
      <c r="BK703" s="181">
        <f ca="1">IF($D703&lt;&gt;"Serviço",0,IF(AND(AUTOEVENTO="Manual",$M703=1),0,IF(OFFSET(CRONOPLE!$F$14,$M703,BK$13)="",10^12,OFFSET(CRONOPLE!$F$14,$M703,BK$13))))</f>
        <v>1000000000000</v>
      </c>
      <c r="BL703" s="181">
        <f ca="1">IF($D703&lt;&gt;"Serviço",0,IF(AND(AUTOEVENTO="Manual",$M703=1),0,IF(OFFSET(CRONOPLE!$F$14,$M703,BL$13)="",10^12,OFFSET(CRONOPLE!$F$14,$M703,BL$13))))</f>
        <v>1000000000000</v>
      </c>
      <c r="BM703" s="181">
        <f ca="1">IF($D703&lt;&gt;"Serviço",0,IF(AND(AUTOEVENTO="Manual",$M703=1),0,IF(OFFSET(CRONOPLE!$F$14,$M703,BM$13)="",10^12,OFFSET(CRONOPLE!$F$14,$M703,BM$13))))</f>
        <v>1000000000000</v>
      </c>
      <c r="BN703" s="181">
        <f ca="1">IF($D703&lt;&gt;"Serviço",0,IF(AND(AUTOEVENTO="Manual",$M703=1),0,IF(OFFSET(CRONOPLE!$F$14,$M703,BN$13)="",10^12,OFFSET(CRONOPLE!$F$14,$M703,BN$13))))</f>
        <v>1000000000000</v>
      </c>
      <c r="BO703" s="181">
        <f ca="1">IF($D703&lt;&gt;"Serviço",0,IF(AND(AUTOEVENTO="Manual",$M703=1),0,IF(OFFSET(CRONOPLE!$F$14,$M703,BO$13)="",10^12,OFFSET(CRONOPLE!$F$14,$M703,BO$13))))</f>
        <v>1000000000000</v>
      </c>
      <c r="BP703" s="181">
        <f ca="1">IF($D703&lt;&gt;"Serviço",0,IF(AND(AUTOEVENTO="Manual",$M703=1),0,IF(OFFSET(CRONOPLE!$F$14,$M703,BP$13)="",10^12,OFFSET(CRONOPLE!$F$14,$M703,BP$13))))</f>
        <v>1000000000000</v>
      </c>
      <c r="BQ703" s="181">
        <f ca="1">IF($D703&lt;&gt;"Serviço",0,IF(AND(AUTOEVENTO="Manual",$M703=1),0,IF(OFFSET(CRONOPLE!$F$14,$M703,BQ$13)="",10^12,OFFSET(CRONOPLE!$F$14,$M703,BQ$13))))</f>
        <v>1000000000000</v>
      </c>
      <c r="BR703" s="181">
        <f ca="1">IF($D703&lt;&gt;"Serviço",0,IF(AND(AUTOEVENTO="Manual",$M703=1),0,IF(OFFSET(CRONOPLE!$F$14,$M703,BR$13)="",10^12,OFFSET(CRONOPLE!$F$14,$M703,BR$13))))</f>
        <v>1000000000000</v>
      </c>
      <c r="BS703" s="181">
        <f ca="1">IF($D703&lt;&gt;"Serviço",0,IF(AND(AUTOEVENTO="Manual",$M703=1),0,IF(OFFSET(CRONOPLE!$F$14,$M703,BS$13)="",10^12,OFFSET(CRONOPLE!$F$14,$M703,BS$13))))</f>
        <v>1000000000000</v>
      </c>
      <c r="BT703" s="181">
        <f ca="1">IF($D703&lt;&gt;"Serviço",0,IF(AND(AUTOEVENTO="Manual",$M703=1),0,IF(OFFSET(CRONOPLE!$F$14,$M703,BT$13)="",10^12,OFFSET(CRONOPLE!$F$14,$M703,BT$13))))</f>
        <v>1000000000000</v>
      </c>
      <c r="BV703" s="182">
        <f ca="1">IF($D703&lt;&gt;"Serviço",0,IF(OR(AND(AUTOEVENTO="Manual",$M703=1),$M703&gt;(ROW(PLE.lastrow)-ROW(PLE.firstrow))),0,IF(OFFSET(PLE!$G$14,$M703,BV$13)="",10^12,OFFSET(PLE!$G$14,$M703,BV$13))))</f>
        <v>1000000000000</v>
      </c>
      <c r="BW703" s="182">
        <f ca="1">IF($D703&lt;&gt;"Serviço",0,IF(OR(AND(AUTOEVENTO="Manual",$M703=1),$M703&gt;(ROW(PLE.lastrow)-ROW(PLE.firstrow))),0,IF(OFFSET(PLE!$G$14,$M703,BW$13)="",10^12,OFFSET(PLE!$G$14,$M703,BW$13))))</f>
        <v>1000000000000</v>
      </c>
      <c r="BX703" s="182">
        <f ca="1">IF($D703&lt;&gt;"Serviço",0,IF(OR(AND(AUTOEVENTO="Manual",$M703=1),$M703&gt;(ROW(PLE.lastrow)-ROW(PLE.firstrow))),0,IF(OFFSET(PLE!$G$14,$M703,BX$13)="",10^12,OFFSET(PLE!$G$14,$M703,BX$13))))</f>
        <v>1000000000000</v>
      </c>
      <c r="BY703" s="182">
        <f ca="1">IF($D703&lt;&gt;"Serviço",0,IF(OR(AND(AUTOEVENTO="Manual",$M703=1),$M703&gt;(ROW(PLE.lastrow)-ROW(PLE.firstrow))),0,IF(OFFSET(PLE!$G$14,$M703,BY$13)="",10^12,OFFSET(PLE!$G$14,$M703,BY$13))))</f>
        <v>1000000000000</v>
      </c>
      <c r="BZ703" s="182">
        <f ca="1">IF($D703&lt;&gt;"Serviço",0,IF(OR(AND(AUTOEVENTO="Manual",$M703=1),$M703&gt;(ROW(PLE.lastrow)-ROW(PLE.firstrow))),0,IF(OFFSET(PLE!$G$14,$M703,BZ$13)="",10^12,OFFSET(PLE!$G$14,$M703,BZ$13))))</f>
        <v>1000000000000</v>
      </c>
      <c r="CA703" s="182">
        <f ca="1">IF($D703&lt;&gt;"Serviço",0,IF(OR(AND(AUTOEVENTO="Manual",$M703=1),$M703&gt;(ROW(PLE.lastrow)-ROW(PLE.firstrow))),0,IF(OFFSET(PLE!$G$14,$M703,CA$13)="",10^12,OFFSET(PLE!$G$14,$M703,CA$13))))</f>
        <v>1000000000000</v>
      </c>
      <c r="CB703" s="182">
        <f ca="1">IF($D703&lt;&gt;"Serviço",0,IF(OR(AND(AUTOEVENTO="Manual",$M703=1),$M703&gt;(ROW(PLE.lastrow)-ROW(PLE.firstrow))),0,IF(OFFSET(PLE!$G$14,$M703,CB$13)="",10^12,OFFSET(PLE!$G$14,$M703,CB$13))))</f>
        <v>1000000000000</v>
      </c>
      <c r="CC703" s="182">
        <f ca="1">IF($D703&lt;&gt;"Serviço",0,IF(OR(AND(AUTOEVENTO="Manual",$M703=1),$M703&gt;(ROW(PLE.lastrow)-ROW(PLE.firstrow))),0,IF(OFFSET(PLE!$G$14,$M703,CC$13)="",10^12,OFFSET(PLE!$G$14,$M703,CC$13))))</f>
        <v>1000000000000</v>
      </c>
      <c r="CD703" s="182">
        <f ca="1">IF($D703&lt;&gt;"Serviço",0,IF(OR(AND(AUTOEVENTO="Manual",$M703=1),$M703&gt;(ROW(PLE.lastrow)-ROW(PLE.firstrow))),0,IF(OFFSET(PLE!$G$14,$M703,CD$13)="",10^12,OFFSET(PLE!$G$14,$M703,CD$13))))</f>
        <v>1000000000000</v>
      </c>
      <c r="CE703" s="182">
        <f ca="1">IF($D703&lt;&gt;"Serviço",0,IF(OR(AND(AUTOEVENTO="Manual",$M703=1),$M703&gt;(ROW(PLE.lastrow)-ROW(PLE.firstrow))),0,IF(OFFSET(PLE!$G$14,$M703,CE$13)="",10^12,OFFSET(PLE!$G$14,$M703,CE$13))))</f>
        <v>1000000000000</v>
      </c>
      <c r="CF703" s="182">
        <f ca="1">IF($D703&lt;&gt;"Serviço",0,IF(OR(AND(AUTOEVENTO="Manual",$M703=1),$M703&gt;(ROW(PLE.lastrow)-ROW(PLE.firstrow))),0,IF(OFFSET(PLE!$G$14,$M703,CF$13)="",10^12,OFFSET(PLE!$G$14,$M703,CF$13))))</f>
        <v>1000000000000</v>
      </c>
      <c r="CG703" s="182">
        <f ca="1">IF($D703&lt;&gt;"Serviço",0,IF(OR(AND(AUTOEVENTO="Manual",$M703=1),$M703&gt;(ROW(PLE.lastrow)-ROW(PLE.firstrow))),0,IF(OFFSET(PLE!$G$14,$M703,CG$13)="",10^12,OFFSET(PLE!$G$14,$M703,CG$13))))</f>
        <v>1000000000000</v>
      </c>
      <c r="CH703" s="182">
        <f ca="1">IF($D703&lt;&gt;"Serviço",0,IF(OR(AND(AUTOEVENTO="Manual",$M703=1),$M703&gt;(ROW(PLE.lastrow)-ROW(PLE.firstrow))),0,IF(OFFSET(PLE!$G$14,$M703,CH$13)="",10^12,OFFSET(PLE!$G$14,$M703,CH$13))))</f>
        <v>1000000000000</v>
      </c>
      <c r="CI703" s="182">
        <f ca="1">IF($D703&lt;&gt;"Serviço",0,IF(OR(AND(AUTOEVENTO="Manual",$M703=1),$M703&gt;(ROW(PLE.lastrow)-ROW(PLE.firstrow))),0,IF(OFFSET(PLE!$G$14,$M703,CI$13)="",10^12,OFFSET(PLE!$G$14,$M703,CI$13))))</f>
        <v>1000000000000</v>
      </c>
      <c r="CJ703" s="182">
        <f ca="1">IF($D703&lt;&gt;"Serviço",0,IF(OR(AND(AUTOEVENTO="Manual",$M703=1),$M703&gt;(ROW(PLE.lastrow)-ROW(PLE.firstrow))),0,IF(OFFSET(PLE!$G$14,$M703,CJ$13)="",10^12,OFFSET(PLE!$G$14,$M703,CJ$13))))</f>
        <v>1000000000000</v>
      </c>
      <c r="CK703" s="182">
        <f ca="1">IF($D703&lt;&gt;"Serviço",0,IF(OR(AND(AUTOEVENTO="Manual",$M703=1),$M703&gt;(ROW(PLE.lastrow)-ROW(PLE.firstrow))),0,IF(OFFSET(PLE!$G$14,$M703,CK$13)="",10^12,OFFSET(PLE!$G$14,$M703,CK$13))))</f>
        <v>1000000000000</v>
      </c>
      <c r="CL703" s="182">
        <f ca="1">IF($D703&lt;&gt;"Serviço",0,IF(OR(AND(AUTOEVENTO="Manual",$M703=1),$M703&gt;(ROW(PLE.lastrow)-ROW(PLE.firstrow))),0,IF(OFFSET(PLE!$G$14,$M703,CL$13)="",10^12,OFFSET(PLE!$G$14,$M703,CL$13))))</f>
        <v>1000000000000</v>
      </c>
      <c r="CM703" s="182">
        <f ca="1">IF($D703&lt;&gt;"Serviço",0,IF(OR(AND(AUTOEVENTO="Manual",$M703=1),$M703&gt;(ROW(PLE.lastrow)-ROW(PLE.firstrow))),0,IF(OFFSET(PLE!$G$14,$M703,CM$13)="",10^12,OFFSET(PLE!$G$14,$M703,CM$13))))</f>
        <v>1000000000000</v>
      </c>
    </row>
    <row r="704" spans="1:91" ht="38.25" x14ac:dyDescent="0.2">
      <c r="A704" s="7" t="str">
        <f t="shared" ca="1" si="20"/>
        <v>686</v>
      </c>
      <c r="B704" s="7" t="str">
        <f ca="1">OFFSET(ORÇAMENTO!C$15,ROW(B704)-ROW(B$15),0)</f>
        <v>S</v>
      </c>
      <c r="C704" s="7" t="str">
        <f ca="1">OFFSET(ORÇAMENTO!L$15,ROW(C704)-ROW(C$15),0)</f>
        <v/>
      </c>
      <c r="D704" s="118" t="str">
        <f ca="1">OFFSET(ORÇAMENTO!N$15,ROW(D704)-ROW(D$15),0)</f>
        <v>Serviço</v>
      </c>
      <c r="E704" s="119" t="str">
        <f ca="1">OFFSET(ORÇAMENTO!O$15,ROW(E704)-ROW(E$15),0)</f>
        <v>-</v>
      </c>
      <c r="F704" s="172" t="str">
        <f ca="1">OFFSET(ORÇAMENTO!R$15,ROW(F704)-ROW(F$15),0)</f>
        <v>(abra o arquivo 'Referência 06-2024.xlsm)</v>
      </c>
      <c r="G704" s="173" t="str">
        <f ca="1">IF($D704&lt;&gt;"Serviço","",OFFSET(ORÇAMENTO!S$15,ROW(G704)-ROW(G$15),0))</f>
        <v>-</v>
      </c>
      <c r="H704" s="124">
        <f ca="1">IF($D704&lt;&gt;"Serviço",0,IF(ACOMPANHAMENTO="BM",ROUND(OFFSET(ORÇAMENTO!AJ$15,ROW(H704)-ROW(H$15),0),15-13*ORÇAMENTO!$AF$7),SUMPRODUCT(($Q$12:$AI$12&lt;&gt;"")*ROUND($Q704:$AI704,15-13*ORÇAMENTO!$AF$7))))</f>
        <v>541.39</v>
      </c>
      <c r="I704" s="561" t="s">
        <v>1107</v>
      </c>
      <c r="K704" s="174"/>
      <c r="L704" s="175" t="s">
        <v>255</v>
      </c>
      <c r="M704" s="176">
        <f ca="1">IF($D704&lt;&gt;"Serviço","",IF(AUTOEVENTO="manual",$A704,IF(ISERROR(MATCH($A704,$A$15:OFFSET($A704,-1,0),0)),MAX($M$15:OFFSET(M704,-1,0))+1,INDEX($M$15:OFFSET(M704,-1,0),MATCH($A704,$A$15:OFFSET($A704,-1,0),0)))))</f>
        <v>77</v>
      </c>
      <c r="N704" s="177" t="str">
        <f ca="1">IF($D704&lt;&gt;"Serviço","",IF(AUTOEVENTO="Manual",IF($A704=0,"&lt;-- defina o número do agrupador",OFFSET(EVENTOS!$D$14,$A704,0)),OFFSET($F$15,$A704,0)))</f>
        <v>MURO DE FECHAMENTO - CONCRETO ARMADO PARA VIGAS INCLUINDO BALDRAME</v>
      </c>
      <c r="O704" s="178"/>
      <c r="Q704" s="178">
        <v>541.39</v>
      </c>
      <c r="R704" s="179"/>
      <c r="S704" s="179"/>
      <c r="T704" s="179"/>
      <c r="U704" s="179"/>
      <c r="V704" s="179"/>
      <c r="W704" s="179"/>
      <c r="X704" s="179"/>
      <c r="Y704" s="179"/>
      <c r="Z704" s="180"/>
      <c r="AA704" s="179"/>
      <c r="AB704" s="179"/>
      <c r="AC704" s="179"/>
      <c r="AD704" s="179"/>
      <c r="AE704" s="179"/>
      <c r="AF704" s="179"/>
      <c r="AG704" s="179"/>
      <c r="AH704" s="180"/>
      <c r="AJ704" s="544">
        <f ca="1">IF(AND($D704="Serviço",AJ$12&lt;&gt;0,$H704&gt;0,OR(AUTOEVENTO&lt;&gt;"manual",$M704&lt;&gt;1)),
IF(Import.TipoArredondamento&lt;&gt;"TransfereGOV",
ROUND(OFFSET($P704,0,AJ$13),15-13*ORÇAMENTO!$AF$7)/$H704*OFFSET(ORÇAMENTO!$X$15,ROW(AJ704)-ROW(AJ$15),0),
ROUND(ROUND(OFFSET($P704,0,AJ$13),15-13*ORÇAMENTO!$AF$7)*OFFSET(ORÇAMENTO!$W$15,ROW(AJ704)-ROW(AJ$15),0),15-13*ORÇAMENTO!$AF$11)),0)</f>
        <v>0</v>
      </c>
      <c r="AK704" s="545">
        <f ca="1">IF(AND($D704="Serviço",AK$12&lt;&gt;0,$H704&gt;0,OR(AUTOEVENTO&lt;&gt;"manual",$M704&lt;&gt;1)),
IF(Import.TipoArredondamento&lt;&gt;"TransfereGOV",
ROUND(OFFSET($P704,0,AK$13),15-13*ORÇAMENTO!$AF$7)/$H704*OFFSET(ORÇAMENTO!$X$15,ROW(AK704)-ROW(AK$15),0),
ROUND(ROUND(OFFSET($P704,0,AK$13),15-13*ORÇAMENTO!$AF$7)*OFFSET(ORÇAMENTO!$W$15,ROW(AK704)-ROW(AK$15),0),15-13*ORÇAMENTO!$AF$11)),0)</f>
        <v>0</v>
      </c>
      <c r="AL704" s="545">
        <f ca="1">IF(AND($D704="Serviço",AL$12&lt;&gt;0,$H704&gt;0,OR(AUTOEVENTO&lt;&gt;"manual",$M704&lt;&gt;1)),
IF(Import.TipoArredondamento&lt;&gt;"TransfereGOV",
ROUND(OFFSET($P704,0,AL$13),15-13*ORÇAMENTO!$AF$7)/$H704*OFFSET(ORÇAMENTO!$X$15,ROW(AL704)-ROW(AL$15),0),
ROUND(ROUND(OFFSET($P704,0,AL$13),15-13*ORÇAMENTO!$AF$7)*OFFSET(ORÇAMENTO!$W$15,ROW(AL704)-ROW(AL$15),0),15-13*ORÇAMENTO!$AF$11)),0)</f>
        <v>0</v>
      </c>
      <c r="AM704" s="545">
        <f ca="1">IF(AND($D704="Serviço",AM$12&lt;&gt;0,$H704&gt;0,OR(AUTOEVENTO&lt;&gt;"manual",$M704&lt;&gt;1)),
IF(Import.TipoArredondamento&lt;&gt;"TransfereGOV",
ROUND(OFFSET($P704,0,AM$13),15-13*ORÇAMENTO!$AF$7)/$H704*OFFSET(ORÇAMENTO!$X$15,ROW(AM704)-ROW(AM$15),0),
ROUND(ROUND(OFFSET($P704,0,AM$13),15-13*ORÇAMENTO!$AF$7)*OFFSET(ORÇAMENTO!$W$15,ROW(AM704)-ROW(AM$15),0),15-13*ORÇAMENTO!$AF$11)),0)</f>
        <v>0</v>
      </c>
      <c r="AN704" s="545">
        <f ca="1">IF(AND($D704="Serviço",AN$12&lt;&gt;0,$H704&gt;0,OR(AUTOEVENTO&lt;&gt;"manual",$M704&lt;&gt;1)),
IF(Import.TipoArredondamento&lt;&gt;"TransfereGOV",
ROUND(OFFSET($P704,0,AN$13),15-13*ORÇAMENTO!$AF$7)/$H704*OFFSET(ORÇAMENTO!$X$15,ROW(AN704)-ROW(AN$15),0),
ROUND(ROUND(OFFSET($P704,0,AN$13),15-13*ORÇAMENTO!$AF$7)*OFFSET(ORÇAMENTO!$W$15,ROW(AN704)-ROW(AN$15),0),15-13*ORÇAMENTO!$AF$11)),0)</f>
        <v>0</v>
      </c>
      <c r="AO704" s="545">
        <f ca="1">IF(AND($D704="Serviço",AO$12&lt;&gt;0,$H704&gt;0,OR(AUTOEVENTO&lt;&gt;"manual",$M704&lt;&gt;1)),
IF(Import.TipoArredondamento&lt;&gt;"TransfereGOV",
ROUND(OFFSET($P704,0,AO$13),15-13*ORÇAMENTO!$AF$7)/$H704*OFFSET(ORÇAMENTO!$X$15,ROW(AO704)-ROW(AO$15),0),
ROUND(ROUND(OFFSET($P704,0,AO$13),15-13*ORÇAMENTO!$AF$7)*OFFSET(ORÇAMENTO!$W$15,ROW(AO704)-ROW(AO$15),0),15-13*ORÇAMENTO!$AF$11)),0)</f>
        <v>0</v>
      </c>
      <c r="AP704" s="545">
        <f ca="1">IF(AND($D704="Serviço",AP$12&lt;&gt;0,$H704&gt;0,OR(AUTOEVENTO&lt;&gt;"manual",$M704&lt;&gt;1)),
IF(Import.TipoArredondamento&lt;&gt;"TransfereGOV",
ROUND(OFFSET($P704,0,AP$13),15-13*ORÇAMENTO!$AF$7)/$H704*OFFSET(ORÇAMENTO!$X$15,ROW(AP704)-ROW(AP$15),0),
ROUND(ROUND(OFFSET($P704,0,AP$13),15-13*ORÇAMENTO!$AF$7)*OFFSET(ORÇAMENTO!$W$15,ROW(AP704)-ROW(AP$15),0),15-13*ORÇAMENTO!$AF$11)),0)</f>
        <v>0</v>
      </c>
      <c r="AQ704" s="545">
        <f ca="1">IF(AND($D704="Serviço",AQ$12&lt;&gt;0,$H704&gt;0,OR(AUTOEVENTO&lt;&gt;"manual",$M704&lt;&gt;1)),
IF(Import.TipoArredondamento&lt;&gt;"TransfereGOV",
ROUND(OFFSET($P704,0,AQ$13),15-13*ORÇAMENTO!$AF$7)/$H704*OFFSET(ORÇAMENTO!$X$15,ROW(AQ704)-ROW(AQ$15),0),
ROUND(ROUND(OFFSET($P704,0,AQ$13),15-13*ORÇAMENTO!$AF$7)*OFFSET(ORÇAMENTO!$W$15,ROW(AQ704)-ROW(AQ$15),0),15-13*ORÇAMENTO!$AF$11)),0)</f>
        <v>0</v>
      </c>
      <c r="AR704" s="545">
        <f ca="1">IF(AND($D704="Serviço",AR$12&lt;&gt;0,$H704&gt;0,OR(AUTOEVENTO&lt;&gt;"manual",$M704&lt;&gt;1)),
IF(Import.TipoArredondamento&lt;&gt;"TransfereGOV",
ROUND(OFFSET($P704,0,AR$13),15-13*ORÇAMENTO!$AF$7)/$H704*OFFSET(ORÇAMENTO!$X$15,ROW(AR704)-ROW(AR$15),0),
ROUND(ROUND(OFFSET($P704,0,AR$13),15-13*ORÇAMENTO!$AF$7)*OFFSET(ORÇAMENTO!$W$15,ROW(AR704)-ROW(AR$15),0),15-13*ORÇAMENTO!$AF$11)),0)</f>
        <v>0</v>
      </c>
      <c r="AS704" s="546">
        <f ca="1">IF(AND($D704="Serviço",AS$12&lt;&gt;0,$H704&gt;0,OR(AUTOEVENTO&lt;&gt;"manual",$M704&lt;&gt;1)),
IF(Import.TipoArredondamento&lt;&gt;"TransfereGOV",
ROUND(OFFSET($P704,0,AS$13),15-13*ORÇAMENTO!$AF$7)/$H704*OFFSET(ORÇAMENTO!$X$15,ROW(AS704)-ROW(AS$15),0),
ROUND(ROUND(OFFSET($P704,0,AS$13),15-13*ORÇAMENTO!$AF$7)*OFFSET(ORÇAMENTO!$W$15,ROW(AS704)-ROW(AS$15),0),15-13*ORÇAMENTO!$AF$11)),0)</f>
        <v>0</v>
      </c>
      <c r="AT704" s="545">
        <f ca="1">IF(AND($D704="Serviço",AT$12&lt;&gt;0,$H704&gt;0,OR(AUTOEVENTO&lt;&gt;"manual",$M704&lt;&gt;1)),
IF(Import.TipoArredondamento&lt;&gt;"TransfereGOV",
ROUND(OFFSET($P704,0,AT$13),15-13*ORÇAMENTO!$AF$7)/$H704*OFFSET(ORÇAMENTO!$X$15,ROW(AT704)-ROW(AT$15),0),
ROUND(ROUND(OFFSET($P704,0,AT$13),15-13*ORÇAMENTO!$AF$7)*OFFSET(ORÇAMENTO!$W$15,ROW(AT704)-ROW(AT$15),0),15-13*ORÇAMENTO!$AF$11)),0)</f>
        <v>0</v>
      </c>
      <c r="AU704" s="545">
        <f ca="1">IF(AND($D704="Serviço",AU$12&lt;&gt;0,$H704&gt;0,OR(AUTOEVENTO&lt;&gt;"manual",$M704&lt;&gt;1)),
IF(Import.TipoArredondamento&lt;&gt;"TransfereGOV",
ROUND(OFFSET($P704,0,AU$13),15-13*ORÇAMENTO!$AF$7)/$H704*OFFSET(ORÇAMENTO!$X$15,ROW(AU704)-ROW(AU$15),0),
ROUND(ROUND(OFFSET($P704,0,AU$13),15-13*ORÇAMENTO!$AF$7)*OFFSET(ORÇAMENTO!$W$15,ROW(AU704)-ROW(AU$15),0),15-13*ORÇAMENTO!$AF$11)),0)</f>
        <v>0</v>
      </c>
      <c r="AV704" s="545">
        <f ca="1">IF(AND($D704="Serviço",AV$12&lt;&gt;0,$H704&gt;0,OR(AUTOEVENTO&lt;&gt;"manual",$M704&lt;&gt;1)),
IF(Import.TipoArredondamento&lt;&gt;"TransfereGOV",
ROUND(OFFSET($P704,0,AV$13),15-13*ORÇAMENTO!$AF$7)/$H704*OFFSET(ORÇAMENTO!$X$15,ROW(AV704)-ROW(AV$15),0),
ROUND(ROUND(OFFSET($P704,0,AV$13),15-13*ORÇAMENTO!$AF$7)*OFFSET(ORÇAMENTO!$W$15,ROW(AV704)-ROW(AV$15),0),15-13*ORÇAMENTO!$AF$11)),0)</f>
        <v>0</v>
      </c>
      <c r="AW704" s="545">
        <f ca="1">IF(AND($D704="Serviço",AW$12&lt;&gt;0,$H704&gt;0,OR(AUTOEVENTO&lt;&gt;"manual",$M704&lt;&gt;1)),
IF(Import.TipoArredondamento&lt;&gt;"TransfereGOV",
ROUND(OFFSET($P704,0,AW$13),15-13*ORÇAMENTO!$AF$7)/$H704*OFFSET(ORÇAMENTO!$X$15,ROW(AW704)-ROW(AW$15),0),
ROUND(ROUND(OFFSET($P704,0,AW$13),15-13*ORÇAMENTO!$AF$7)*OFFSET(ORÇAMENTO!$W$15,ROW(AW704)-ROW(AW$15),0),15-13*ORÇAMENTO!$AF$11)),0)</f>
        <v>0</v>
      </c>
      <c r="AX704" s="545">
        <f ca="1">IF(AND($D704="Serviço",AX$12&lt;&gt;0,$H704&gt;0,OR(AUTOEVENTO&lt;&gt;"manual",$M704&lt;&gt;1)),
IF(Import.TipoArredondamento&lt;&gt;"TransfereGOV",
ROUND(OFFSET($P704,0,AX$13),15-13*ORÇAMENTO!$AF$7)/$H704*OFFSET(ORÇAMENTO!$X$15,ROW(AX704)-ROW(AX$15),0),
ROUND(ROUND(OFFSET($P704,0,AX$13),15-13*ORÇAMENTO!$AF$7)*OFFSET(ORÇAMENTO!$W$15,ROW(AX704)-ROW(AX$15),0),15-13*ORÇAMENTO!$AF$11)),0)</f>
        <v>0</v>
      </c>
      <c r="AY704" s="545">
        <f ca="1">IF(AND($D704="Serviço",AY$12&lt;&gt;0,$H704&gt;0,OR(AUTOEVENTO&lt;&gt;"manual",$M704&lt;&gt;1)),
IF(Import.TipoArredondamento&lt;&gt;"TransfereGOV",
ROUND(OFFSET($P704,0,AY$13),15-13*ORÇAMENTO!$AF$7)/$H704*OFFSET(ORÇAMENTO!$X$15,ROW(AY704)-ROW(AY$15),0),
ROUND(ROUND(OFFSET($P704,0,AY$13),15-13*ORÇAMENTO!$AF$7)*OFFSET(ORÇAMENTO!$W$15,ROW(AY704)-ROW(AY$15),0),15-13*ORÇAMENTO!$AF$11)),0)</f>
        <v>0</v>
      </c>
      <c r="AZ704" s="545">
        <f ca="1">IF(AND($D704="Serviço",AZ$12&lt;&gt;0,$H704&gt;0,OR(AUTOEVENTO&lt;&gt;"manual",$M704&lt;&gt;1)),
IF(Import.TipoArredondamento&lt;&gt;"TransfereGOV",
ROUND(OFFSET($P704,0,AZ$13),15-13*ORÇAMENTO!$AF$7)/$H704*OFFSET(ORÇAMENTO!$X$15,ROW(AZ704)-ROW(AZ$15),0),
ROUND(ROUND(OFFSET($P704,0,AZ$13),15-13*ORÇAMENTO!$AF$7)*OFFSET(ORÇAMENTO!$W$15,ROW(AZ704)-ROW(AZ$15),0),15-13*ORÇAMENTO!$AF$11)),0)</f>
        <v>0</v>
      </c>
      <c r="BA704" s="546">
        <f ca="1">IF(AND($D704="Serviço",BA$12&lt;&gt;0,$H704&gt;0,OR(AUTOEVENTO&lt;&gt;"manual",$M704&lt;&gt;1)),
IF(Import.TipoArredondamento&lt;&gt;"TransfereGOV",
ROUND(OFFSET($P704,0,BA$13),15-13*ORÇAMENTO!$AF$7)/$H704*OFFSET(ORÇAMENTO!$X$15,ROW(BA704)-ROW(BA$15),0),
ROUND(ROUND(OFFSET($P704,0,BA$13),15-13*ORÇAMENTO!$AF$7)*OFFSET(ORÇAMENTO!$W$15,ROW(BA704)-ROW(BA$15),0),15-13*ORÇAMENTO!$AF$11)),0)</f>
        <v>0</v>
      </c>
      <c r="BC704" s="181">
        <f ca="1">IF($D704&lt;&gt;"Serviço",0,IF(AND(AUTOEVENTO="Manual",$M704=1),0,IF(OFFSET(CRONOPLE!$F$14,$M704,BC$13)="",10^12,OFFSET(CRONOPLE!$F$14,$M704,BC$13))))</f>
        <v>12</v>
      </c>
      <c r="BD704" s="181">
        <f ca="1">IF($D704&lt;&gt;"Serviço",0,IF(AND(AUTOEVENTO="Manual",$M704=1),0,IF(OFFSET(CRONOPLE!$F$14,$M704,BD$13)="",10^12,OFFSET(CRONOPLE!$F$14,$M704,BD$13))))</f>
        <v>1000000000000</v>
      </c>
      <c r="BE704" s="181">
        <f ca="1">IF($D704&lt;&gt;"Serviço",0,IF(AND(AUTOEVENTO="Manual",$M704=1),0,IF(OFFSET(CRONOPLE!$F$14,$M704,BE$13)="",10^12,OFFSET(CRONOPLE!$F$14,$M704,BE$13))))</f>
        <v>1000000000000</v>
      </c>
      <c r="BF704" s="181">
        <f ca="1">IF($D704&lt;&gt;"Serviço",0,IF(AND(AUTOEVENTO="Manual",$M704=1),0,IF(OFFSET(CRONOPLE!$F$14,$M704,BF$13)="",10^12,OFFSET(CRONOPLE!$F$14,$M704,BF$13))))</f>
        <v>1000000000000</v>
      </c>
      <c r="BG704" s="181">
        <f ca="1">IF($D704&lt;&gt;"Serviço",0,IF(AND(AUTOEVENTO="Manual",$M704=1),0,IF(OFFSET(CRONOPLE!$F$14,$M704,BG$13)="",10^12,OFFSET(CRONOPLE!$F$14,$M704,BG$13))))</f>
        <v>1000000000000</v>
      </c>
      <c r="BH704" s="181">
        <f ca="1">IF($D704&lt;&gt;"Serviço",0,IF(AND(AUTOEVENTO="Manual",$M704=1),0,IF(OFFSET(CRONOPLE!$F$14,$M704,BH$13)="",10^12,OFFSET(CRONOPLE!$F$14,$M704,BH$13))))</f>
        <v>1000000000000</v>
      </c>
      <c r="BI704" s="181">
        <f ca="1">IF($D704&lt;&gt;"Serviço",0,IF(AND(AUTOEVENTO="Manual",$M704=1),0,IF(OFFSET(CRONOPLE!$F$14,$M704,BI$13)="",10^12,OFFSET(CRONOPLE!$F$14,$M704,BI$13))))</f>
        <v>1000000000000</v>
      </c>
      <c r="BJ704" s="181">
        <f ca="1">IF($D704&lt;&gt;"Serviço",0,IF(AND(AUTOEVENTO="Manual",$M704=1),0,IF(OFFSET(CRONOPLE!$F$14,$M704,BJ$13)="",10^12,OFFSET(CRONOPLE!$F$14,$M704,BJ$13))))</f>
        <v>1000000000000</v>
      </c>
      <c r="BK704" s="181">
        <f ca="1">IF($D704&lt;&gt;"Serviço",0,IF(AND(AUTOEVENTO="Manual",$M704=1),0,IF(OFFSET(CRONOPLE!$F$14,$M704,BK$13)="",10^12,OFFSET(CRONOPLE!$F$14,$M704,BK$13))))</f>
        <v>1000000000000</v>
      </c>
      <c r="BL704" s="181">
        <f ca="1">IF($D704&lt;&gt;"Serviço",0,IF(AND(AUTOEVENTO="Manual",$M704=1),0,IF(OFFSET(CRONOPLE!$F$14,$M704,BL$13)="",10^12,OFFSET(CRONOPLE!$F$14,$M704,BL$13))))</f>
        <v>1000000000000</v>
      </c>
      <c r="BM704" s="181">
        <f ca="1">IF($D704&lt;&gt;"Serviço",0,IF(AND(AUTOEVENTO="Manual",$M704=1),0,IF(OFFSET(CRONOPLE!$F$14,$M704,BM$13)="",10^12,OFFSET(CRONOPLE!$F$14,$M704,BM$13))))</f>
        <v>1000000000000</v>
      </c>
      <c r="BN704" s="181">
        <f ca="1">IF($D704&lt;&gt;"Serviço",0,IF(AND(AUTOEVENTO="Manual",$M704=1),0,IF(OFFSET(CRONOPLE!$F$14,$M704,BN$13)="",10^12,OFFSET(CRONOPLE!$F$14,$M704,BN$13))))</f>
        <v>1000000000000</v>
      </c>
      <c r="BO704" s="181">
        <f ca="1">IF($D704&lt;&gt;"Serviço",0,IF(AND(AUTOEVENTO="Manual",$M704=1),0,IF(OFFSET(CRONOPLE!$F$14,$M704,BO$13)="",10^12,OFFSET(CRONOPLE!$F$14,$M704,BO$13))))</f>
        <v>1000000000000</v>
      </c>
      <c r="BP704" s="181">
        <f ca="1">IF($D704&lt;&gt;"Serviço",0,IF(AND(AUTOEVENTO="Manual",$M704=1),0,IF(OFFSET(CRONOPLE!$F$14,$M704,BP$13)="",10^12,OFFSET(CRONOPLE!$F$14,$M704,BP$13))))</f>
        <v>1000000000000</v>
      </c>
      <c r="BQ704" s="181">
        <f ca="1">IF($D704&lt;&gt;"Serviço",0,IF(AND(AUTOEVENTO="Manual",$M704=1),0,IF(OFFSET(CRONOPLE!$F$14,$M704,BQ$13)="",10^12,OFFSET(CRONOPLE!$F$14,$M704,BQ$13))))</f>
        <v>1000000000000</v>
      </c>
      <c r="BR704" s="181">
        <f ca="1">IF($D704&lt;&gt;"Serviço",0,IF(AND(AUTOEVENTO="Manual",$M704=1),0,IF(OFFSET(CRONOPLE!$F$14,$M704,BR$13)="",10^12,OFFSET(CRONOPLE!$F$14,$M704,BR$13))))</f>
        <v>1000000000000</v>
      </c>
      <c r="BS704" s="181">
        <f ca="1">IF($D704&lt;&gt;"Serviço",0,IF(AND(AUTOEVENTO="Manual",$M704=1),0,IF(OFFSET(CRONOPLE!$F$14,$M704,BS$13)="",10^12,OFFSET(CRONOPLE!$F$14,$M704,BS$13))))</f>
        <v>1000000000000</v>
      </c>
      <c r="BT704" s="181">
        <f ca="1">IF($D704&lt;&gt;"Serviço",0,IF(AND(AUTOEVENTO="Manual",$M704=1),0,IF(OFFSET(CRONOPLE!$F$14,$M704,BT$13)="",10^12,OFFSET(CRONOPLE!$F$14,$M704,BT$13))))</f>
        <v>1000000000000</v>
      </c>
      <c r="BV704" s="182">
        <f ca="1">IF($D704&lt;&gt;"Serviço",0,IF(OR(AND(AUTOEVENTO="Manual",$M704=1),$M704&gt;(ROW(PLE.lastrow)-ROW(PLE.firstrow))),0,IF(OFFSET(PLE!$G$14,$M704,BV$13)="",10^12,OFFSET(PLE!$G$14,$M704,BV$13))))</f>
        <v>1000000000000</v>
      </c>
      <c r="BW704" s="182">
        <f ca="1">IF($D704&lt;&gt;"Serviço",0,IF(OR(AND(AUTOEVENTO="Manual",$M704=1),$M704&gt;(ROW(PLE.lastrow)-ROW(PLE.firstrow))),0,IF(OFFSET(PLE!$G$14,$M704,BW$13)="",10^12,OFFSET(PLE!$G$14,$M704,BW$13))))</f>
        <v>1000000000000</v>
      </c>
      <c r="BX704" s="182">
        <f ca="1">IF($D704&lt;&gt;"Serviço",0,IF(OR(AND(AUTOEVENTO="Manual",$M704=1),$M704&gt;(ROW(PLE.lastrow)-ROW(PLE.firstrow))),0,IF(OFFSET(PLE!$G$14,$M704,BX$13)="",10^12,OFFSET(PLE!$G$14,$M704,BX$13))))</f>
        <v>1000000000000</v>
      </c>
      <c r="BY704" s="182">
        <f ca="1">IF($D704&lt;&gt;"Serviço",0,IF(OR(AND(AUTOEVENTO="Manual",$M704=1),$M704&gt;(ROW(PLE.lastrow)-ROW(PLE.firstrow))),0,IF(OFFSET(PLE!$G$14,$M704,BY$13)="",10^12,OFFSET(PLE!$G$14,$M704,BY$13))))</f>
        <v>1000000000000</v>
      </c>
      <c r="BZ704" s="182">
        <f ca="1">IF($D704&lt;&gt;"Serviço",0,IF(OR(AND(AUTOEVENTO="Manual",$M704=1),$M704&gt;(ROW(PLE.lastrow)-ROW(PLE.firstrow))),0,IF(OFFSET(PLE!$G$14,$M704,BZ$13)="",10^12,OFFSET(PLE!$G$14,$M704,BZ$13))))</f>
        <v>1000000000000</v>
      </c>
      <c r="CA704" s="182">
        <f ca="1">IF($D704&lt;&gt;"Serviço",0,IF(OR(AND(AUTOEVENTO="Manual",$M704=1),$M704&gt;(ROW(PLE.lastrow)-ROW(PLE.firstrow))),0,IF(OFFSET(PLE!$G$14,$M704,CA$13)="",10^12,OFFSET(PLE!$G$14,$M704,CA$13))))</f>
        <v>1000000000000</v>
      </c>
      <c r="CB704" s="182">
        <f ca="1">IF($D704&lt;&gt;"Serviço",0,IF(OR(AND(AUTOEVENTO="Manual",$M704=1),$M704&gt;(ROW(PLE.lastrow)-ROW(PLE.firstrow))),0,IF(OFFSET(PLE!$G$14,$M704,CB$13)="",10^12,OFFSET(PLE!$G$14,$M704,CB$13))))</f>
        <v>1000000000000</v>
      </c>
      <c r="CC704" s="182">
        <f ca="1">IF($D704&lt;&gt;"Serviço",0,IF(OR(AND(AUTOEVENTO="Manual",$M704=1),$M704&gt;(ROW(PLE.lastrow)-ROW(PLE.firstrow))),0,IF(OFFSET(PLE!$G$14,$M704,CC$13)="",10^12,OFFSET(PLE!$G$14,$M704,CC$13))))</f>
        <v>1000000000000</v>
      </c>
      <c r="CD704" s="182">
        <f ca="1">IF($D704&lt;&gt;"Serviço",0,IF(OR(AND(AUTOEVENTO="Manual",$M704=1),$M704&gt;(ROW(PLE.lastrow)-ROW(PLE.firstrow))),0,IF(OFFSET(PLE!$G$14,$M704,CD$13)="",10^12,OFFSET(PLE!$G$14,$M704,CD$13))))</f>
        <v>1000000000000</v>
      </c>
      <c r="CE704" s="182">
        <f ca="1">IF($D704&lt;&gt;"Serviço",0,IF(OR(AND(AUTOEVENTO="Manual",$M704=1),$M704&gt;(ROW(PLE.lastrow)-ROW(PLE.firstrow))),0,IF(OFFSET(PLE!$G$14,$M704,CE$13)="",10^12,OFFSET(PLE!$G$14,$M704,CE$13))))</f>
        <v>1000000000000</v>
      </c>
      <c r="CF704" s="182">
        <f ca="1">IF($D704&lt;&gt;"Serviço",0,IF(OR(AND(AUTOEVENTO="Manual",$M704=1),$M704&gt;(ROW(PLE.lastrow)-ROW(PLE.firstrow))),0,IF(OFFSET(PLE!$G$14,$M704,CF$13)="",10^12,OFFSET(PLE!$G$14,$M704,CF$13))))</f>
        <v>1000000000000</v>
      </c>
      <c r="CG704" s="182">
        <f ca="1">IF($D704&lt;&gt;"Serviço",0,IF(OR(AND(AUTOEVENTO="Manual",$M704=1),$M704&gt;(ROW(PLE.lastrow)-ROW(PLE.firstrow))),0,IF(OFFSET(PLE!$G$14,$M704,CG$13)="",10^12,OFFSET(PLE!$G$14,$M704,CG$13))))</f>
        <v>1000000000000</v>
      </c>
      <c r="CH704" s="182">
        <f ca="1">IF($D704&lt;&gt;"Serviço",0,IF(OR(AND(AUTOEVENTO="Manual",$M704=1),$M704&gt;(ROW(PLE.lastrow)-ROW(PLE.firstrow))),0,IF(OFFSET(PLE!$G$14,$M704,CH$13)="",10^12,OFFSET(PLE!$G$14,$M704,CH$13))))</f>
        <v>1000000000000</v>
      </c>
      <c r="CI704" s="182">
        <f ca="1">IF($D704&lt;&gt;"Serviço",0,IF(OR(AND(AUTOEVENTO="Manual",$M704=1),$M704&gt;(ROW(PLE.lastrow)-ROW(PLE.firstrow))),0,IF(OFFSET(PLE!$G$14,$M704,CI$13)="",10^12,OFFSET(PLE!$G$14,$M704,CI$13))))</f>
        <v>1000000000000</v>
      </c>
      <c r="CJ704" s="182">
        <f ca="1">IF($D704&lt;&gt;"Serviço",0,IF(OR(AND(AUTOEVENTO="Manual",$M704=1),$M704&gt;(ROW(PLE.lastrow)-ROW(PLE.firstrow))),0,IF(OFFSET(PLE!$G$14,$M704,CJ$13)="",10^12,OFFSET(PLE!$G$14,$M704,CJ$13))))</f>
        <v>1000000000000</v>
      </c>
      <c r="CK704" s="182">
        <f ca="1">IF($D704&lt;&gt;"Serviço",0,IF(OR(AND(AUTOEVENTO="Manual",$M704=1),$M704&gt;(ROW(PLE.lastrow)-ROW(PLE.firstrow))),0,IF(OFFSET(PLE!$G$14,$M704,CK$13)="",10^12,OFFSET(PLE!$G$14,$M704,CK$13))))</f>
        <v>1000000000000</v>
      </c>
      <c r="CL704" s="182">
        <f ca="1">IF($D704&lt;&gt;"Serviço",0,IF(OR(AND(AUTOEVENTO="Manual",$M704=1),$M704&gt;(ROW(PLE.lastrow)-ROW(PLE.firstrow))),0,IF(OFFSET(PLE!$G$14,$M704,CL$13)="",10^12,OFFSET(PLE!$G$14,$M704,CL$13))))</f>
        <v>1000000000000</v>
      </c>
      <c r="CM704" s="182">
        <f ca="1">IF($D704&lt;&gt;"Serviço",0,IF(OR(AND(AUTOEVENTO="Manual",$M704=1),$M704&gt;(ROW(PLE.lastrow)-ROW(PLE.firstrow))),0,IF(OFFSET(PLE!$G$14,$M704,CM$13)="",10^12,OFFSET(PLE!$G$14,$M704,CM$13))))</f>
        <v>1000000000000</v>
      </c>
    </row>
    <row r="705" spans="1:91" ht="38.25" x14ac:dyDescent="0.2">
      <c r="A705" s="7" t="str">
        <f t="shared" ca="1" si="20"/>
        <v>686</v>
      </c>
      <c r="B705" s="7" t="str">
        <f ca="1">OFFSET(ORÇAMENTO!C$15,ROW(B705)-ROW(B$15),0)</f>
        <v>S</v>
      </c>
      <c r="C705" s="7" t="str">
        <f ca="1">OFFSET(ORÇAMENTO!L$15,ROW(C705)-ROW(C$15),0)</f>
        <v/>
      </c>
      <c r="D705" s="118" t="str">
        <f ca="1">OFFSET(ORÇAMENTO!N$15,ROW(D705)-ROW(D$15),0)</f>
        <v>Serviço</v>
      </c>
      <c r="E705" s="119" t="str">
        <f ca="1">OFFSET(ORÇAMENTO!O$15,ROW(E705)-ROW(E$15),0)</f>
        <v>-</v>
      </c>
      <c r="F705" s="172" t="str">
        <f ca="1">OFFSET(ORÇAMENTO!R$15,ROW(F705)-ROW(F$15),0)</f>
        <v>(abra o arquivo 'Referência 06-2024.xlsm)</v>
      </c>
      <c r="G705" s="173" t="str">
        <f ca="1">IF($D705&lt;&gt;"Serviço","",OFFSET(ORÇAMENTO!S$15,ROW(G705)-ROW(G$15),0))</f>
        <v>-</v>
      </c>
      <c r="H705" s="124">
        <f ca="1">IF($D705&lt;&gt;"Serviço",0,IF(ACOMPANHAMENTO="BM",ROUND(OFFSET(ORÇAMENTO!AJ$15,ROW(H705)-ROW(H$15),0),15-13*ORÇAMENTO!$AF$7),SUMPRODUCT(($Q$12:$AI$12&lt;&gt;"")*ROUND($Q705:$AI705,15-13*ORÇAMENTO!$AF$7))))</f>
        <v>3.99</v>
      </c>
      <c r="I705" s="561" t="s">
        <v>1107</v>
      </c>
      <c r="K705" s="174"/>
      <c r="L705" s="175" t="s">
        <v>255</v>
      </c>
      <c r="M705" s="176">
        <f ca="1">IF($D705&lt;&gt;"Serviço","",IF(AUTOEVENTO="manual",$A705,IF(ISERROR(MATCH($A705,$A$15:OFFSET($A705,-1,0),0)),MAX($M$15:OFFSET(M705,-1,0))+1,INDEX($M$15:OFFSET(M705,-1,0),MATCH($A705,$A$15:OFFSET($A705,-1,0),0)))))</f>
        <v>77</v>
      </c>
      <c r="N705" s="177" t="str">
        <f ca="1">IF($D705&lt;&gt;"Serviço","",IF(AUTOEVENTO="Manual",IF($A705=0,"&lt;-- defina o número do agrupador",OFFSET(EVENTOS!$D$14,$A705,0)),OFFSET($F$15,$A705,0)))</f>
        <v>MURO DE FECHAMENTO - CONCRETO ARMADO PARA VIGAS INCLUINDO BALDRAME</v>
      </c>
      <c r="O705" s="178"/>
      <c r="Q705" s="178">
        <v>3.99</v>
      </c>
      <c r="R705" s="179"/>
      <c r="S705" s="179"/>
      <c r="T705" s="179"/>
      <c r="U705" s="179"/>
      <c r="V705" s="179"/>
      <c r="W705" s="179"/>
      <c r="X705" s="179"/>
      <c r="Y705" s="179"/>
      <c r="Z705" s="180"/>
      <c r="AA705" s="179"/>
      <c r="AB705" s="179"/>
      <c r="AC705" s="179"/>
      <c r="AD705" s="179"/>
      <c r="AE705" s="179"/>
      <c r="AF705" s="179"/>
      <c r="AG705" s="179"/>
      <c r="AH705" s="180"/>
      <c r="AJ705" s="544">
        <f ca="1">IF(AND($D705="Serviço",AJ$12&lt;&gt;0,$H705&gt;0,OR(AUTOEVENTO&lt;&gt;"manual",$M705&lt;&gt;1)),
IF(Import.TipoArredondamento&lt;&gt;"TransfereGOV",
ROUND(OFFSET($P705,0,AJ$13),15-13*ORÇAMENTO!$AF$7)/$H705*OFFSET(ORÇAMENTO!$X$15,ROW(AJ705)-ROW(AJ$15),0),
ROUND(ROUND(OFFSET($P705,0,AJ$13),15-13*ORÇAMENTO!$AF$7)*OFFSET(ORÇAMENTO!$W$15,ROW(AJ705)-ROW(AJ$15),0),15-13*ORÇAMENTO!$AF$11)),0)</f>
        <v>0</v>
      </c>
      <c r="AK705" s="545">
        <f ca="1">IF(AND($D705="Serviço",AK$12&lt;&gt;0,$H705&gt;0,OR(AUTOEVENTO&lt;&gt;"manual",$M705&lt;&gt;1)),
IF(Import.TipoArredondamento&lt;&gt;"TransfereGOV",
ROUND(OFFSET($P705,0,AK$13),15-13*ORÇAMENTO!$AF$7)/$H705*OFFSET(ORÇAMENTO!$X$15,ROW(AK705)-ROW(AK$15),0),
ROUND(ROUND(OFFSET($P705,0,AK$13),15-13*ORÇAMENTO!$AF$7)*OFFSET(ORÇAMENTO!$W$15,ROW(AK705)-ROW(AK$15),0),15-13*ORÇAMENTO!$AF$11)),0)</f>
        <v>0</v>
      </c>
      <c r="AL705" s="545">
        <f ca="1">IF(AND($D705="Serviço",AL$12&lt;&gt;0,$H705&gt;0,OR(AUTOEVENTO&lt;&gt;"manual",$M705&lt;&gt;1)),
IF(Import.TipoArredondamento&lt;&gt;"TransfereGOV",
ROUND(OFFSET($P705,0,AL$13),15-13*ORÇAMENTO!$AF$7)/$H705*OFFSET(ORÇAMENTO!$X$15,ROW(AL705)-ROW(AL$15),0),
ROUND(ROUND(OFFSET($P705,0,AL$13),15-13*ORÇAMENTO!$AF$7)*OFFSET(ORÇAMENTO!$W$15,ROW(AL705)-ROW(AL$15),0),15-13*ORÇAMENTO!$AF$11)),0)</f>
        <v>0</v>
      </c>
      <c r="AM705" s="545">
        <f ca="1">IF(AND($D705="Serviço",AM$12&lt;&gt;0,$H705&gt;0,OR(AUTOEVENTO&lt;&gt;"manual",$M705&lt;&gt;1)),
IF(Import.TipoArredondamento&lt;&gt;"TransfereGOV",
ROUND(OFFSET($P705,0,AM$13),15-13*ORÇAMENTO!$AF$7)/$H705*OFFSET(ORÇAMENTO!$X$15,ROW(AM705)-ROW(AM$15),0),
ROUND(ROUND(OFFSET($P705,0,AM$13),15-13*ORÇAMENTO!$AF$7)*OFFSET(ORÇAMENTO!$W$15,ROW(AM705)-ROW(AM$15),0),15-13*ORÇAMENTO!$AF$11)),0)</f>
        <v>0</v>
      </c>
      <c r="AN705" s="545">
        <f ca="1">IF(AND($D705="Serviço",AN$12&lt;&gt;0,$H705&gt;0,OR(AUTOEVENTO&lt;&gt;"manual",$M705&lt;&gt;1)),
IF(Import.TipoArredondamento&lt;&gt;"TransfereGOV",
ROUND(OFFSET($P705,0,AN$13),15-13*ORÇAMENTO!$AF$7)/$H705*OFFSET(ORÇAMENTO!$X$15,ROW(AN705)-ROW(AN$15),0),
ROUND(ROUND(OFFSET($P705,0,AN$13),15-13*ORÇAMENTO!$AF$7)*OFFSET(ORÇAMENTO!$W$15,ROW(AN705)-ROW(AN$15),0),15-13*ORÇAMENTO!$AF$11)),0)</f>
        <v>0</v>
      </c>
      <c r="AO705" s="545">
        <f ca="1">IF(AND($D705="Serviço",AO$12&lt;&gt;0,$H705&gt;0,OR(AUTOEVENTO&lt;&gt;"manual",$M705&lt;&gt;1)),
IF(Import.TipoArredondamento&lt;&gt;"TransfereGOV",
ROUND(OFFSET($P705,0,AO$13),15-13*ORÇAMENTO!$AF$7)/$H705*OFFSET(ORÇAMENTO!$X$15,ROW(AO705)-ROW(AO$15),0),
ROUND(ROUND(OFFSET($P705,0,AO$13),15-13*ORÇAMENTO!$AF$7)*OFFSET(ORÇAMENTO!$W$15,ROW(AO705)-ROW(AO$15),0),15-13*ORÇAMENTO!$AF$11)),0)</f>
        <v>0</v>
      </c>
      <c r="AP705" s="545">
        <f ca="1">IF(AND($D705="Serviço",AP$12&lt;&gt;0,$H705&gt;0,OR(AUTOEVENTO&lt;&gt;"manual",$M705&lt;&gt;1)),
IF(Import.TipoArredondamento&lt;&gt;"TransfereGOV",
ROUND(OFFSET($P705,0,AP$13),15-13*ORÇAMENTO!$AF$7)/$H705*OFFSET(ORÇAMENTO!$X$15,ROW(AP705)-ROW(AP$15),0),
ROUND(ROUND(OFFSET($P705,0,AP$13),15-13*ORÇAMENTO!$AF$7)*OFFSET(ORÇAMENTO!$W$15,ROW(AP705)-ROW(AP$15),0),15-13*ORÇAMENTO!$AF$11)),0)</f>
        <v>0</v>
      </c>
      <c r="AQ705" s="545">
        <f ca="1">IF(AND($D705="Serviço",AQ$12&lt;&gt;0,$H705&gt;0,OR(AUTOEVENTO&lt;&gt;"manual",$M705&lt;&gt;1)),
IF(Import.TipoArredondamento&lt;&gt;"TransfereGOV",
ROUND(OFFSET($P705,0,AQ$13),15-13*ORÇAMENTO!$AF$7)/$H705*OFFSET(ORÇAMENTO!$X$15,ROW(AQ705)-ROW(AQ$15),0),
ROUND(ROUND(OFFSET($P705,0,AQ$13),15-13*ORÇAMENTO!$AF$7)*OFFSET(ORÇAMENTO!$W$15,ROW(AQ705)-ROW(AQ$15),0),15-13*ORÇAMENTO!$AF$11)),0)</f>
        <v>0</v>
      </c>
      <c r="AR705" s="545">
        <f ca="1">IF(AND($D705="Serviço",AR$12&lt;&gt;0,$H705&gt;0,OR(AUTOEVENTO&lt;&gt;"manual",$M705&lt;&gt;1)),
IF(Import.TipoArredondamento&lt;&gt;"TransfereGOV",
ROUND(OFFSET($P705,0,AR$13),15-13*ORÇAMENTO!$AF$7)/$H705*OFFSET(ORÇAMENTO!$X$15,ROW(AR705)-ROW(AR$15),0),
ROUND(ROUND(OFFSET($P705,0,AR$13),15-13*ORÇAMENTO!$AF$7)*OFFSET(ORÇAMENTO!$W$15,ROW(AR705)-ROW(AR$15),0),15-13*ORÇAMENTO!$AF$11)),0)</f>
        <v>0</v>
      </c>
      <c r="AS705" s="546">
        <f ca="1">IF(AND($D705="Serviço",AS$12&lt;&gt;0,$H705&gt;0,OR(AUTOEVENTO&lt;&gt;"manual",$M705&lt;&gt;1)),
IF(Import.TipoArredondamento&lt;&gt;"TransfereGOV",
ROUND(OFFSET($P705,0,AS$13),15-13*ORÇAMENTO!$AF$7)/$H705*OFFSET(ORÇAMENTO!$X$15,ROW(AS705)-ROW(AS$15),0),
ROUND(ROUND(OFFSET($P705,0,AS$13),15-13*ORÇAMENTO!$AF$7)*OFFSET(ORÇAMENTO!$W$15,ROW(AS705)-ROW(AS$15),0),15-13*ORÇAMENTO!$AF$11)),0)</f>
        <v>0</v>
      </c>
      <c r="AT705" s="545">
        <f ca="1">IF(AND($D705="Serviço",AT$12&lt;&gt;0,$H705&gt;0,OR(AUTOEVENTO&lt;&gt;"manual",$M705&lt;&gt;1)),
IF(Import.TipoArredondamento&lt;&gt;"TransfereGOV",
ROUND(OFFSET($P705,0,AT$13),15-13*ORÇAMENTO!$AF$7)/$H705*OFFSET(ORÇAMENTO!$X$15,ROW(AT705)-ROW(AT$15),0),
ROUND(ROUND(OFFSET($P705,0,AT$13),15-13*ORÇAMENTO!$AF$7)*OFFSET(ORÇAMENTO!$W$15,ROW(AT705)-ROW(AT$15),0),15-13*ORÇAMENTO!$AF$11)),0)</f>
        <v>0</v>
      </c>
      <c r="AU705" s="545">
        <f ca="1">IF(AND($D705="Serviço",AU$12&lt;&gt;0,$H705&gt;0,OR(AUTOEVENTO&lt;&gt;"manual",$M705&lt;&gt;1)),
IF(Import.TipoArredondamento&lt;&gt;"TransfereGOV",
ROUND(OFFSET($P705,0,AU$13),15-13*ORÇAMENTO!$AF$7)/$H705*OFFSET(ORÇAMENTO!$X$15,ROW(AU705)-ROW(AU$15),0),
ROUND(ROUND(OFFSET($P705,0,AU$13),15-13*ORÇAMENTO!$AF$7)*OFFSET(ORÇAMENTO!$W$15,ROW(AU705)-ROW(AU$15),0),15-13*ORÇAMENTO!$AF$11)),0)</f>
        <v>0</v>
      </c>
      <c r="AV705" s="545">
        <f ca="1">IF(AND($D705="Serviço",AV$12&lt;&gt;0,$H705&gt;0,OR(AUTOEVENTO&lt;&gt;"manual",$M705&lt;&gt;1)),
IF(Import.TipoArredondamento&lt;&gt;"TransfereGOV",
ROUND(OFFSET($P705,0,AV$13),15-13*ORÇAMENTO!$AF$7)/$H705*OFFSET(ORÇAMENTO!$X$15,ROW(AV705)-ROW(AV$15),0),
ROUND(ROUND(OFFSET($P705,0,AV$13),15-13*ORÇAMENTO!$AF$7)*OFFSET(ORÇAMENTO!$W$15,ROW(AV705)-ROW(AV$15),0),15-13*ORÇAMENTO!$AF$11)),0)</f>
        <v>0</v>
      </c>
      <c r="AW705" s="545">
        <f ca="1">IF(AND($D705="Serviço",AW$12&lt;&gt;0,$H705&gt;0,OR(AUTOEVENTO&lt;&gt;"manual",$M705&lt;&gt;1)),
IF(Import.TipoArredondamento&lt;&gt;"TransfereGOV",
ROUND(OFFSET($P705,0,AW$13),15-13*ORÇAMENTO!$AF$7)/$H705*OFFSET(ORÇAMENTO!$X$15,ROW(AW705)-ROW(AW$15),0),
ROUND(ROUND(OFFSET($P705,0,AW$13),15-13*ORÇAMENTO!$AF$7)*OFFSET(ORÇAMENTO!$W$15,ROW(AW705)-ROW(AW$15),0),15-13*ORÇAMENTO!$AF$11)),0)</f>
        <v>0</v>
      </c>
      <c r="AX705" s="545">
        <f ca="1">IF(AND($D705="Serviço",AX$12&lt;&gt;0,$H705&gt;0,OR(AUTOEVENTO&lt;&gt;"manual",$M705&lt;&gt;1)),
IF(Import.TipoArredondamento&lt;&gt;"TransfereGOV",
ROUND(OFFSET($P705,0,AX$13),15-13*ORÇAMENTO!$AF$7)/$H705*OFFSET(ORÇAMENTO!$X$15,ROW(AX705)-ROW(AX$15),0),
ROUND(ROUND(OFFSET($P705,0,AX$13),15-13*ORÇAMENTO!$AF$7)*OFFSET(ORÇAMENTO!$W$15,ROW(AX705)-ROW(AX$15),0),15-13*ORÇAMENTO!$AF$11)),0)</f>
        <v>0</v>
      </c>
      <c r="AY705" s="545">
        <f ca="1">IF(AND($D705="Serviço",AY$12&lt;&gt;0,$H705&gt;0,OR(AUTOEVENTO&lt;&gt;"manual",$M705&lt;&gt;1)),
IF(Import.TipoArredondamento&lt;&gt;"TransfereGOV",
ROUND(OFFSET($P705,0,AY$13),15-13*ORÇAMENTO!$AF$7)/$H705*OFFSET(ORÇAMENTO!$X$15,ROW(AY705)-ROW(AY$15),0),
ROUND(ROUND(OFFSET($P705,0,AY$13),15-13*ORÇAMENTO!$AF$7)*OFFSET(ORÇAMENTO!$W$15,ROW(AY705)-ROW(AY$15),0),15-13*ORÇAMENTO!$AF$11)),0)</f>
        <v>0</v>
      </c>
      <c r="AZ705" s="545">
        <f ca="1">IF(AND($D705="Serviço",AZ$12&lt;&gt;0,$H705&gt;0,OR(AUTOEVENTO&lt;&gt;"manual",$M705&lt;&gt;1)),
IF(Import.TipoArredondamento&lt;&gt;"TransfereGOV",
ROUND(OFFSET($P705,0,AZ$13),15-13*ORÇAMENTO!$AF$7)/$H705*OFFSET(ORÇAMENTO!$X$15,ROW(AZ705)-ROW(AZ$15),0),
ROUND(ROUND(OFFSET($P705,0,AZ$13),15-13*ORÇAMENTO!$AF$7)*OFFSET(ORÇAMENTO!$W$15,ROW(AZ705)-ROW(AZ$15),0),15-13*ORÇAMENTO!$AF$11)),0)</f>
        <v>0</v>
      </c>
      <c r="BA705" s="546">
        <f ca="1">IF(AND($D705="Serviço",BA$12&lt;&gt;0,$H705&gt;0,OR(AUTOEVENTO&lt;&gt;"manual",$M705&lt;&gt;1)),
IF(Import.TipoArredondamento&lt;&gt;"TransfereGOV",
ROUND(OFFSET($P705,0,BA$13),15-13*ORÇAMENTO!$AF$7)/$H705*OFFSET(ORÇAMENTO!$X$15,ROW(BA705)-ROW(BA$15),0),
ROUND(ROUND(OFFSET($P705,0,BA$13),15-13*ORÇAMENTO!$AF$7)*OFFSET(ORÇAMENTO!$W$15,ROW(BA705)-ROW(BA$15),0),15-13*ORÇAMENTO!$AF$11)),0)</f>
        <v>0</v>
      </c>
      <c r="BC705" s="181">
        <f ca="1">IF($D705&lt;&gt;"Serviço",0,IF(AND(AUTOEVENTO="Manual",$M705=1),0,IF(OFFSET(CRONOPLE!$F$14,$M705,BC$13)="",10^12,OFFSET(CRONOPLE!$F$14,$M705,BC$13))))</f>
        <v>12</v>
      </c>
      <c r="BD705" s="181">
        <f ca="1">IF($D705&lt;&gt;"Serviço",0,IF(AND(AUTOEVENTO="Manual",$M705=1),0,IF(OFFSET(CRONOPLE!$F$14,$M705,BD$13)="",10^12,OFFSET(CRONOPLE!$F$14,$M705,BD$13))))</f>
        <v>1000000000000</v>
      </c>
      <c r="BE705" s="181">
        <f ca="1">IF($D705&lt;&gt;"Serviço",0,IF(AND(AUTOEVENTO="Manual",$M705=1),0,IF(OFFSET(CRONOPLE!$F$14,$M705,BE$13)="",10^12,OFFSET(CRONOPLE!$F$14,$M705,BE$13))))</f>
        <v>1000000000000</v>
      </c>
      <c r="BF705" s="181">
        <f ca="1">IF($D705&lt;&gt;"Serviço",0,IF(AND(AUTOEVENTO="Manual",$M705=1),0,IF(OFFSET(CRONOPLE!$F$14,$M705,BF$13)="",10^12,OFFSET(CRONOPLE!$F$14,$M705,BF$13))))</f>
        <v>1000000000000</v>
      </c>
      <c r="BG705" s="181">
        <f ca="1">IF($D705&lt;&gt;"Serviço",0,IF(AND(AUTOEVENTO="Manual",$M705=1),0,IF(OFFSET(CRONOPLE!$F$14,$M705,BG$13)="",10^12,OFFSET(CRONOPLE!$F$14,$M705,BG$13))))</f>
        <v>1000000000000</v>
      </c>
      <c r="BH705" s="181">
        <f ca="1">IF($D705&lt;&gt;"Serviço",0,IF(AND(AUTOEVENTO="Manual",$M705=1),0,IF(OFFSET(CRONOPLE!$F$14,$M705,BH$13)="",10^12,OFFSET(CRONOPLE!$F$14,$M705,BH$13))))</f>
        <v>1000000000000</v>
      </c>
      <c r="BI705" s="181">
        <f ca="1">IF($D705&lt;&gt;"Serviço",0,IF(AND(AUTOEVENTO="Manual",$M705=1),0,IF(OFFSET(CRONOPLE!$F$14,$M705,BI$13)="",10^12,OFFSET(CRONOPLE!$F$14,$M705,BI$13))))</f>
        <v>1000000000000</v>
      </c>
      <c r="BJ705" s="181">
        <f ca="1">IF($D705&lt;&gt;"Serviço",0,IF(AND(AUTOEVENTO="Manual",$M705=1),0,IF(OFFSET(CRONOPLE!$F$14,$M705,BJ$13)="",10^12,OFFSET(CRONOPLE!$F$14,$M705,BJ$13))))</f>
        <v>1000000000000</v>
      </c>
      <c r="BK705" s="181">
        <f ca="1">IF($D705&lt;&gt;"Serviço",0,IF(AND(AUTOEVENTO="Manual",$M705=1),0,IF(OFFSET(CRONOPLE!$F$14,$M705,BK$13)="",10^12,OFFSET(CRONOPLE!$F$14,$M705,BK$13))))</f>
        <v>1000000000000</v>
      </c>
      <c r="BL705" s="181">
        <f ca="1">IF($D705&lt;&gt;"Serviço",0,IF(AND(AUTOEVENTO="Manual",$M705=1),0,IF(OFFSET(CRONOPLE!$F$14,$M705,BL$13)="",10^12,OFFSET(CRONOPLE!$F$14,$M705,BL$13))))</f>
        <v>1000000000000</v>
      </c>
      <c r="BM705" s="181">
        <f ca="1">IF($D705&lt;&gt;"Serviço",0,IF(AND(AUTOEVENTO="Manual",$M705=1),0,IF(OFFSET(CRONOPLE!$F$14,$M705,BM$13)="",10^12,OFFSET(CRONOPLE!$F$14,$M705,BM$13))))</f>
        <v>1000000000000</v>
      </c>
      <c r="BN705" s="181">
        <f ca="1">IF($D705&lt;&gt;"Serviço",0,IF(AND(AUTOEVENTO="Manual",$M705=1),0,IF(OFFSET(CRONOPLE!$F$14,$M705,BN$13)="",10^12,OFFSET(CRONOPLE!$F$14,$M705,BN$13))))</f>
        <v>1000000000000</v>
      </c>
      <c r="BO705" s="181">
        <f ca="1">IF($D705&lt;&gt;"Serviço",0,IF(AND(AUTOEVENTO="Manual",$M705=1),0,IF(OFFSET(CRONOPLE!$F$14,$M705,BO$13)="",10^12,OFFSET(CRONOPLE!$F$14,$M705,BO$13))))</f>
        <v>1000000000000</v>
      </c>
      <c r="BP705" s="181">
        <f ca="1">IF($D705&lt;&gt;"Serviço",0,IF(AND(AUTOEVENTO="Manual",$M705=1),0,IF(OFFSET(CRONOPLE!$F$14,$M705,BP$13)="",10^12,OFFSET(CRONOPLE!$F$14,$M705,BP$13))))</f>
        <v>1000000000000</v>
      </c>
      <c r="BQ705" s="181">
        <f ca="1">IF($D705&lt;&gt;"Serviço",0,IF(AND(AUTOEVENTO="Manual",$M705=1),0,IF(OFFSET(CRONOPLE!$F$14,$M705,BQ$13)="",10^12,OFFSET(CRONOPLE!$F$14,$M705,BQ$13))))</f>
        <v>1000000000000</v>
      </c>
      <c r="BR705" s="181">
        <f ca="1">IF($D705&lt;&gt;"Serviço",0,IF(AND(AUTOEVENTO="Manual",$M705=1),0,IF(OFFSET(CRONOPLE!$F$14,$M705,BR$13)="",10^12,OFFSET(CRONOPLE!$F$14,$M705,BR$13))))</f>
        <v>1000000000000</v>
      </c>
      <c r="BS705" s="181">
        <f ca="1">IF($D705&lt;&gt;"Serviço",0,IF(AND(AUTOEVENTO="Manual",$M705=1),0,IF(OFFSET(CRONOPLE!$F$14,$M705,BS$13)="",10^12,OFFSET(CRONOPLE!$F$14,$M705,BS$13))))</f>
        <v>1000000000000</v>
      </c>
      <c r="BT705" s="181">
        <f ca="1">IF($D705&lt;&gt;"Serviço",0,IF(AND(AUTOEVENTO="Manual",$M705=1),0,IF(OFFSET(CRONOPLE!$F$14,$M705,BT$13)="",10^12,OFFSET(CRONOPLE!$F$14,$M705,BT$13))))</f>
        <v>1000000000000</v>
      </c>
      <c r="BV705" s="182">
        <f ca="1">IF($D705&lt;&gt;"Serviço",0,IF(OR(AND(AUTOEVENTO="Manual",$M705=1),$M705&gt;(ROW(PLE.lastrow)-ROW(PLE.firstrow))),0,IF(OFFSET(PLE!$G$14,$M705,BV$13)="",10^12,OFFSET(PLE!$G$14,$M705,BV$13))))</f>
        <v>1000000000000</v>
      </c>
      <c r="BW705" s="182">
        <f ca="1">IF($D705&lt;&gt;"Serviço",0,IF(OR(AND(AUTOEVENTO="Manual",$M705=1),$M705&gt;(ROW(PLE.lastrow)-ROW(PLE.firstrow))),0,IF(OFFSET(PLE!$G$14,$M705,BW$13)="",10^12,OFFSET(PLE!$G$14,$M705,BW$13))))</f>
        <v>1000000000000</v>
      </c>
      <c r="BX705" s="182">
        <f ca="1">IF($D705&lt;&gt;"Serviço",0,IF(OR(AND(AUTOEVENTO="Manual",$M705=1),$M705&gt;(ROW(PLE.lastrow)-ROW(PLE.firstrow))),0,IF(OFFSET(PLE!$G$14,$M705,BX$13)="",10^12,OFFSET(PLE!$G$14,$M705,BX$13))))</f>
        <v>1000000000000</v>
      </c>
      <c r="BY705" s="182">
        <f ca="1">IF($D705&lt;&gt;"Serviço",0,IF(OR(AND(AUTOEVENTO="Manual",$M705=1),$M705&gt;(ROW(PLE.lastrow)-ROW(PLE.firstrow))),0,IF(OFFSET(PLE!$G$14,$M705,BY$13)="",10^12,OFFSET(PLE!$G$14,$M705,BY$13))))</f>
        <v>1000000000000</v>
      </c>
      <c r="BZ705" s="182">
        <f ca="1">IF($D705&lt;&gt;"Serviço",0,IF(OR(AND(AUTOEVENTO="Manual",$M705=1),$M705&gt;(ROW(PLE.lastrow)-ROW(PLE.firstrow))),0,IF(OFFSET(PLE!$G$14,$M705,BZ$13)="",10^12,OFFSET(PLE!$G$14,$M705,BZ$13))))</f>
        <v>1000000000000</v>
      </c>
      <c r="CA705" s="182">
        <f ca="1">IF($D705&lt;&gt;"Serviço",0,IF(OR(AND(AUTOEVENTO="Manual",$M705=1),$M705&gt;(ROW(PLE.lastrow)-ROW(PLE.firstrow))),0,IF(OFFSET(PLE!$G$14,$M705,CA$13)="",10^12,OFFSET(PLE!$G$14,$M705,CA$13))))</f>
        <v>1000000000000</v>
      </c>
      <c r="CB705" s="182">
        <f ca="1">IF($D705&lt;&gt;"Serviço",0,IF(OR(AND(AUTOEVENTO="Manual",$M705=1),$M705&gt;(ROW(PLE.lastrow)-ROW(PLE.firstrow))),0,IF(OFFSET(PLE!$G$14,$M705,CB$13)="",10^12,OFFSET(PLE!$G$14,$M705,CB$13))))</f>
        <v>1000000000000</v>
      </c>
      <c r="CC705" s="182">
        <f ca="1">IF($D705&lt;&gt;"Serviço",0,IF(OR(AND(AUTOEVENTO="Manual",$M705=1),$M705&gt;(ROW(PLE.lastrow)-ROW(PLE.firstrow))),0,IF(OFFSET(PLE!$G$14,$M705,CC$13)="",10^12,OFFSET(PLE!$G$14,$M705,CC$13))))</f>
        <v>1000000000000</v>
      </c>
      <c r="CD705" s="182">
        <f ca="1">IF($D705&lt;&gt;"Serviço",0,IF(OR(AND(AUTOEVENTO="Manual",$M705=1),$M705&gt;(ROW(PLE.lastrow)-ROW(PLE.firstrow))),0,IF(OFFSET(PLE!$G$14,$M705,CD$13)="",10^12,OFFSET(PLE!$G$14,$M705,CD$13))))</f>
        <v>1000000000000</v>
      </c>
      <c r="CE705" s="182">
        <f ca="1">IF($D705&lt;&gt;"Serviço",0,IF(OR(AND(AUTOEVENTO="Manual",$M705=1),$M705&gt;(ROW(PLE.lastrow)-ROW(PLE.firstrow))),0,IF(OFFSET(PLE!$G$14,$M705,CE$13)="",10^12,OFFSET(PLE!$G$14,$M705,CE$13))))</f>
        <v>1000000000000</v>
      </c>
      <c r="CF705" s="182">
        <f ca="1">IF($D705&lt;&gt;"Serviço",0,IF(OR(AND(AUTOEVENTO="Manual",$M705=1),$M705&gt;(ROW(PLE.lastrow)-ROW(PLE.firstrow))),0,IF(OFFSET(PLE!$G$14,$M705,CF$13)="",10^12,OFFSET(PLE!$G$14,$M705,CF$13))))</f>
        <v>1000000000000</v>
      </c>
      <c r="CG705" s="182">
        <f ca="1">IF($D705&lt;&gt;"Serviço",0,IF(OR(AND(AUTOEVENTO="Manual",$M705=1),$M705&gt;(ROW(PLE.lastrow)-ROW(PLE.firstrow))),0,IF(OFFSET(PLE!$G$14,$M705,CG$13)="",10^12,OFFSET(PLE!$G$14,$M705,CG$13))))</f>
        <v>1000000000000</v>
      </c>
      <c r="CH705" s="182">
        <f ca="1">IF($D705&lt;&gt;"Serviço",0,IF(OR(AND(AUTOEVENTO="Manual",$M705=1),$M705&gt;(ROW(PLE.lastrow)-ROW(PLE.firstrow))),0,IF(OFFSET(PLE!$G$14,$M705,CH$13)="",10^12,OFFSET(PLE!$G$14,$M705,CH$13))))</f>
        <v>1000000000000</v>
      </c>
      <c r="CI705" s="182">
        <f ca="1">IF($D705&lt;&gt;"Serviço",0,IF(OR(AND(AUTOEVENTO="Manual",$M705=1),$M705&gt;(ROW(PLE.lastrow)-ROW(PLE.firstrow))),0,IF(OFFSET(PLE!$G$14,$M705,CI$13)="",10^12,OFFSET(PLE!$G$14,$M705,CI$13))))</f>
        <v>1000000000000</v>
      </c>
      <c r="CJ705" s="182">
        <f ca="1">IF($D705&lt;&gt;"Serviço",0,IF(OR(AND(AUTOEVENTO="Manual",$M705=1),$M705&gt;(ROW(PLE.lastrow)-ROW(PLE.firstrow))),0,IF(OFFSET(PLE!$G$14,$M705,CJ$13)="",10^12,OFFSET(PLE!$G$14,$M705,CJ$13))))</f>
        <v>1000000000000</v>
      </c>
      <c r="CK705" s="182">
        <f ca="1">IF($D705&lt;&gt;"Serviço",0,IF(OR(AND(AUTOEVENTO="Manual",$M705=1),$M705&gt;(ROW(PLE.lastrow)-ROW(PLE.firstrow))),0,IF(OFFSET(PLE!$G$14,$M705,CK$13)="",10^12,OFFSET(PLE!$G$14,$M705,CK$13))))</f>
        <v>1000000000000</v>
      </c>
      <c r="CL705" s="182">
        <f ca="1">IF($D705&lt;&gt;"Serviço",0,IF(OR(AND(AUTOEVENTO="Manual",$M705=1),$M705&gt;(ROW(PLE.lastrow)-ROW(PLE.firstrow))),0,IF(OFFSET(PLE!$G$14,$M705,CL$13)="",10^12,OFFSET(PLE!$G$14,$M705,CL$13))))</f>
        <v>1000000000000</v>
      </c>
      <c r="CM705" s="182">
        <f ca="1">IF($D705&lt;&gt;"Serviço",0,IF(OR(AND(AUTOEVENTO="Manual",$M705=1),$M705&gt;(ROW(PLE.lastrow)-ROW(PLE.firstrow))),0,IF(OFFSET(PLE!$G$14,$M705,CM$13)="",10^12,OFFSET(PLE!$G$14,$M705,CM$13))))</f>
        <v>1000000000000</v>
      </c>
    </row>
    <row r="706" spans="1:91" ht="38.25" x14ac:dyDescent="0.2">
      <c r="A706" s="7" t="str">
        <f t="shared" ca="1" si="20"/>
        <v>686</v>
      </c>
      <c r="B706" s="7" t="str">
        <f ca="1">OFFSET(ORÇAMENTO!C$15,ROW(B706)-ROW(B$15),0)</f>
        <v>S</v>
      </c>
      <c r="C706" s="7" t="str">
        <f ca="1">OFFSET(ORÇAMENTO!L$15,ROW(C706)-ROW(C$15),0)</f>
        <v/>
      </c>
      <c r="D706" s="118" t="str">
        <f ca="1">OFFSET(ORÇAMENTO!N$15,ROW(D706)-ROW(D$15),0)</f>
        <v>Serviço</v>
      </c>
      <c r="E706" s="119" t="str">
        <f ca="1">OFFSET(ORÇAMENTO!O$15,ROW(E706)-ROW(E$15),0)</f>
        <v>-</v>
      </c>
      <c r="F706" s="172" t="str">
        <f ca="1">OFFSET(ORÇAMENTO!R$15,ROW(F706)-ROW(F$15),0)</f>
        <v>(abra o arquivo 'Referência 06-2024.xlsm)</v>
      </c>
      <c r="G706" s="173" t="str">
        <f ca="1">IF($D706&lt;&gt;"Serviço","",OFFSET(ORÇAMENTO!S$15,ROW(G706)-ROW(G$15),0))</f>
        <v>-</v>
      </c>
      <c r="H706" s="124">
        <f ca="1">IF($D706&lt;&gt;"Serviço",0,IF(ACOMPANHAMENTO="BM",ROUND(OFFSET(ORÇAMENTO!AJ$15,ROW(H706)-ROW(H$15),0),15-13*ORÇAMENTO!$AF$7),SUMPRODUCT(($Q$12:$AI$12&lt;&gt;"")*ROUND($Q706:$AI706,15-13*ORÇAMENTO!$AF$7))))</f>
        <v>8.51</v>
      </c>
      <c r="I706" s="561" t="s">
        <v>1107</v>
      </c>
      <c r="K706" s="174"/>
      <c r="L706" s="175" t="s">
        <v>255</v>
      </c>
      <c r="M706" s="176">
        <f ca="1">IF($D706&lt;&gt;"Serviço","",IF(AUTOEVENTO="manual",$A706,IF(ISERROR(MATCH($A706,$A$15:OFFSET($A706,-1,0),0)),MAX($M$15:OFFSET(M706,-1,0))+1,INDEX($M$15:OFFSET(M706,-1,0),MATCH($A706,$A$15:OFFSET($A706,-1,0),0)))))</f>
        <v>77</v>
      </c>
      <c r="N706" s="177" t="str">
        <f ca="1">IF($D706&lt;&gt;"Serviço","",IF(AUTOEVENTO="Manual",IF($A706=0,"&lt;-- defina o número do agrupador",OFFSET(EVENTOS!$D$14,$A706,0)),OFFSET($F$15,$A706,0)))</f>
        <v>MURO DE FECHAMENTO - CONCRETO ARMADO PARA VIGAS INCLUINDO BALDRAME</v>
      </c>
      <c r="O706" s="178"/>
      <c r="Q706" s="178">
        <v>8.51</v>
      </c>
      <c r="R706" s="179"/>
      <c r="S706" s="179"/>
      <c r="T706" s="179"/>
      <c r="U706" s="179"/>
      <c r="V706" s="179"/>
      <c r="W706" s="179"/>
      <c r="X706" s="179"/>
      <c r="Y706" s="179"/>
      <c r="Z706" s="180"/>
      <c r="AA706" s="179"/>
      <c r="AB706" s="179"/>
      <c r="AC706" s="179"/>
      <c r="AD706" s="179"/>
      <c r="AE706" s="179"/>
      <c r="AF706" s="179"/>
      <c r="AG706" s="179"/>
      <c r="AH706" s="180"/>
      <c r="AJ706" s="544">
        <f ca="1">IF(AND($D706="Serviço",AJ$12&lt;&gt;0,$H706&gt;0,OR(AUTOEVENTO&lt;&gt;"manual",$M706&lt;&gt;1)),
IF(Import.TipoArredondamento&lt;&gt;"TransfereGOV",
ROUND(OFFSET($P706,0,AJ$13),15-13*ORÇAMENTO!$AF$7)/$H706*OFFSET(ORÇAMENTO!$X$15,ROW(AJ706)-ROW(AJ$15),0),
ROUND(ROUND(OFFSET($P706,0,AJ$13),15-13*ORÇAMENTO!$AF$7)*OFFSET(ORÇAMENTO!$W$15,ROW(AJ706)-ROW(AJ$15),0),15-13*ORÇAMENTO!$AF$11)),0)</f>
        <v>0</v>
      </c>
      <c r="AK706" s="545">
        <f ca="1">IF(AND($D706="Serviço",AK$12&lt;&gt;0,$H706&gt;0,OR(AUTOEVENTO&lt;&gt;"manual",$M706&lt;&gt;1)),
IF(Import.TipoArredondamento&lt;&gt;"TransfereGOV",
ROUND(OFFSET($P706,0,AK$13),15-13*ORÇAMENTO!$AF$7)/$H706*OFFSET(ORÇAMENTO!$X$15,ROW(AK706)-ROW(AK$15),0),
ROUND(ROUND(OFFSET($P706,0,AK$13),15-13*ORÇAMENTO!$AF$7)*OFFSET(ORÇAMENTO!$W$15,ROW(AK706)-ROW(AK$15),0),15-13*ORÇAMENTO!$AF$11)),0)</f>
        <v>0</v>
      </c>
      <c r="AL706" s="545">
        <f ca="1">IF(AND($D706="Serviço",AL$12&lt;&gt;0,$H706&gt;0,OR(AUTOEVENTO&lt;&gt;"manual",$M706&lt;&gt;1)),
IF(Import.TipoArredondamento&lt;&gt;"TransfereGOV",
ROUND(OFFSET($P706,0,AL$13),15-13*ORÇAMENTO!$AF$7)/$H706*OFFSET(ORÇAMENTO!$X$15,ROW(AL706)-ROW(AL$15),0),
ROUND(ROUND(OFFSET($P706,0,AL$13),15-13*ORÇAMENTO!$AF$7)*OFFSET(ORÇAMENTO!$W$15,ROW(AL706)-ROW(AL$15),0),15-13*ORÇAMENTO!$AF$11)),0)</f>
        <v>0</v>
      </c>
      <c r="AM706" s="545">
        <f ca="1">IF(AND($D706="Serviço",AM$12&lt;&gt;0,$H706&gt;0,OR(AUTOEVENTO&lt;&gt;"manual",$M706&lt;&gt;1)),
IF(Import.TipoArredondamento&lt;&gt;"TransfereGOV",
ROUND(OFFSET($P706,0,AM$13),15-13*ORÇAMENTO!$AF$7)/$H706*OFFSET(ORÇAMENTO!$X$15,ROW(AM706)-ROW(AM$15),0),
ROUND(ROUND(OFFSET($P706,0,AM$13),15-13*ORÇAMENTO!$AF$7)*OFFSET(ORÇAMENTO!$W$15,ROW(AM706)-ROW(AM$15),0),15-13*ORÇAMENTO!$AF$11)),0)</f>
        <v>0</v>
      </c>
      <c r="AN706" s="545">
        <f ca="1">IF(AND($D706="Serviço",AN$12&lt;&gt;0,$H706&gt;0,OR(AUTOEVENTO&lt;&gt;"manual",$M706&lt;&gt;1)),
IF(Import.TipoArredondamento&lt;&gt;"TransfereGOV",
ROUND(OFFSET($P706,0,AN$13),15-13*ORÇAMENTO!$AF$7)/$H706*OFFSET(ORÇAMENTO!$X$15,ROW(AN706)-ROW(AN$15),0),
ROUND(ROUND(OFFSET($P706,0,AN$13),15-13*ORÇAMENTO!$AF$7)*OFFSET(ORÇAMENTO!$W$15,ROW(AN706)-ROW(AN$15),0),15-13*ORÇAMENTO!$AF$11)),0)</f>
        <v>0</v>
      </c>
      <c r="AO706" s="545">
        <f ca="1">IF(AND($D706="Serviço",AO$12&lt;&gt;0,$H706&gt;0,OR(AUTOEVENTO&lt;&gt;"manual",$M706&lt;&gt;1)),
IF(Import.TipoArredondamento&lt;&gt;"TransfereGOV",
ROUND(OFFSET($P706,0,AO$13),15-13*ORÇAMENTO!$AF$7)/$H706*OFFSET(ORÇAMENTO!$X$15,ROW(AO706)-ROW(AO$15),0),
ROUND(ROUND(OFFSET($P706,0,AO$13),15-13*ORÇAMENTO!$AF$7)*OFFSET(ORÇAMENTO!$W$15,ROW(AO706)-ROW(AO$15),0),15-13*ORÇAMENTO!$AF$11)),0)</f>
        <v>0</v>
      </c>
      <c r="AP706" s="545">
        <f ca="1">IF(AND($D706="Serviço",AP$12&lt;&gt;0,$H706&gt;0,OR(AUTOEVENTO&lt;&gt;"manual",$M706&lt;&gt;1)),
IF(Import.TipoArredondamento&lt;&gt;"TransfereGOV",
ROUND(OFFSET($P706,0,AP$13),15-13*ORÇAMENTO!$AF$7)/$H706*OFFSET(ORÇAMENTO!$X$15,ROW(AP706)-ROW(AP$15),0),
ROUND(ROUND(OFFSET($P706,0,AP$13),15-13*ORÇAMENTO!$AF$7)*OFFSET(ORÇAMENTO!$W$15,ROW(AP706)-ROW(AP$15),0),15-13*ORÇAMENTO!$AF$11)),0)</f>
        <v>0</v>
      </c>
      <c r="AQ706" s="545">
        <f ca="1">IF(AND($D706="Serviço",AQ$12&lt;&gt;0,$H706&gt;0,OR(AUTOEVENTO&lt;&gt;"manual",$M706&lt;&gt;1)),
IF(Import.TipoArredondamento&lt;&gt;"TransfereGOV",
ROUND(OFFSET($P706,0,AQ$13),15-13*ORÇAMENTO!$AF$7)/$H706*OFFSET(ORÇAMENTO!$X$15,ROW(AQ706)-ROW(AQ$15),0),
ROUND(ROUND(OFFSET($P706,0,AQ$13),15-13*ORÇAMENTO!$AF$7)*OFFSET(ORÇAMENTO!$W$15,ROW(AQ706)-ROW(AQ$15),0),15-13*ORÇAMENTO!$AF$11)),0)</f>
        <v>0</v>
      </c>
      <c r="AR706" s="545">
        <f ca="1">IF(AND($D706="Serviço",AR$12&lt;&gt;0,$H706&gt;0,OR(AUTOEVENTO&lt;&gt;"manual",$M706&lt;&gt;1)),
IF(Import.TipoArredondamento&lt;&gt;"TransfereGOV",
ROUND(OFFSET($P706,0,AR$13),15-13*ORÇAMENTO!$AF$7)/$H706*OFFSET(ORÇAMENTO!$X$15,ROW(AR706)-ROW(AR$15),0),
ROUND(ROUND(OFFSET($P706,0,AR$13),15-13*ORÇAMENTO!$AF$7)*OFFSET(ORÇAMENTO!$W$15,ROW(AR706)-ROW(AR$15),0),15-13*ORÇAMENTO!$AF$11)),0)</f>
        <v>0</v>
      </c>
      <c r="AS706" s="546">
        <f ca="1">IF(AND($D706="Serviço",AS$12&lt;&gt;0,$H706&gt;0,OR(AUTOEVENTO&lt;&gt;"manual",$M706&lt;&gt;1)),
IF(Import.TipoArredondamento&lt;&gt;"TransfereGOV",
ROUND(OFFSET($P706,0,AS$13),15-13*ORÇAMENTO!$AF$7)/$H706*OFFSET(ORÇAMENTO!$X$15,ROW(AS706)-ROW(AS$15),0),
ROUND(ROUND(OFFSET($P706,0,AS$13),15-13*ORÇAMENTO!$AF$7)*OFFSET(ORÇAMENTO!$W$15,ROW(AS706)-ROW(AS$15),0),15-13*ORÇAMENTO!$AF$11)),0)</f>
        <v>0</v>
      </c>
      <c r="AT706" s="545">
        <f ca="1">IF(AND($D706="Serviço",AT$12&lt;&gt;0,$H706&gt;0,OR(AUTOEVENTO&lt;&gt;"manual",$M706&lt;&gt;1)),
IF(Import.TipoArredondamento&lt;&gt;"TransfereGOV",
ROUND(OFFSET($P706,0,AT$13),15-13*ORÇAMENTO!$AF$7)/$H706*OFFSET(ORÇAMENTO!$X$15,ROW(AT706)-ROW(AT$15),0),
ROUND(ROUND(OFFSET($P706,0,AT$13),15-13*ORÇAMENTO!$AF$7)*OFFSET(ORÇAMENTO!$W$15,ROW(AT706)-ROW(AT$15),0),15-13*ORÇAMENTO!$AF$11)),0)</f>
        <v>0</v>
      </c>
      <c r="AU706" s="545">
        <f ca="1">IF(AND($D706="Serviço",AU$12&lt;&gt;0,$H706&gt;0,OR(AUTOEVENTO&lt;&gt;"manual",$M706&lt;&gt;1)),
IF(Import.TipoArredondamento&lt;&gt;"TransfereGOV",
ROUND(OFFSET($P706,0,AU$13),15-13*ORÇAMENTO!$AF$7)/$H706*OFFSET(ORÇAMENTO!$X$15,ROW(AU706)-ROW(AU$15),0),
ROUND(ROUND(OFFSET($P706,0,AU$13),15-13*ORÇAMENTO!$AF$7)*OFFSET(ORÇAMENTO!$W$15,ROW(AU706)-ROW(AU$15),0),15-13*ORÇAMENTO!$AF$11)),0)</f>
        <v>0</v>
      </c>
      <c r="AV706" s="545">
        <f ca="1">IF(AND($D706="Serviço",AV$12&lt;&gt;0,$H706&gt;0,OR(AUTOEVENTO&lt;&gt;"manual",$M706&lt;&gt;1)),
IF(Import.TipoArredondamento&lt;&gt;"TransfereGOV",
ROUND(OFFSET($P706,0,AV$13),15-13*ORÇAMENTO!$AF$7)/$H706*OFFSET(ORÇAMENTO!$X$15,ROW(AV706)-ROW(AV$15),0),
ROUND(ROUND(OFFSET($P706,0,AV$13),15-13*ORÇAMENTO!$AF$7)*OFFSET(ORÇAMENTO!$W$15,ROW(AV706)-ROW(AV$15),0),15-13*ORÇAMENTO!$AF$11)),0)</f>
        <v>0</v>
      </c>
      <c r="AW706" s="545">
        <f ca="1">IF(AND($D706="Serviço",AW$12&lt;&gt;0,$H706&gt;0,OR(AUTOEVENTO&lt;&gt;"manual",$M706&lt;&gt;1)),
IF(Import.TipoArredondamento&lt;&gt;"TransfereGOV",
ROUND(OFFSET($P706,0,AW$13),15-13*ORÇAMENTO!$AF$7)/$H706*OFFSET(ORÇAMENTO!$X$15,ROW(AW706)-ROW(AW$15),0),
ROUND(ROUND(OFFSET($P706,0,AW$13),15-13*ORÇAMENTO!$AF$7)*OFFSET(ORÇAMENTO!$W$15,ROW(AW706)-ROW(AW$15),0),15-13*ORÇAMENTO!$AF$11)),0)</f>
        <v>0</v>
      </c>
      <c r="AX706" s="545">
        <f ca="1">IF(AND($D706="Serviço",AX$12&lt;&gt;0,$H706&gt;0,OR(AUTOEVENTO&lt;&gt;"manual",$M706&lt;&gt;1)),
IF(Import.TipoArredondamento&lt;&gt;"TransfereGOV",
ROUND(OFFSET($P706,0,AX$13),15-13*ORÇAMENTO!$AF$7)/$H706*OFFSET(ORÇAMENTO!$X$15,ROW(AX706)-ROW(AX$15),0),
ROUND(ROUND(OFFSET($P706,0,AX$13),15-13*ORÇAMENTO!$AF$7)*OFFSET(ORÇAMENTO!$W$15,ROW(AX706)-ROW(AX$15),0),15-13*ORÇAMENTO!$AF$11)),0)</f>
        <v>0</v>
      </c>
      <c r="AY706" s="545">
        <f ca="1">IF(AND($D706="Serviço",AY$12&lt;&gt;0,$H706&gt;0,OR(AUTOEVENTO&lt;&gt;"manual",$M706&lt;&gt;1)),
IF(Import.TipoArredondamento&lt;&gt;"TransfereGOV",
ROUND(OFFSET($P706,0,AY$13),15-13*ORÇAMENTO!$AF$7)/$H706*OFFSET(ORÇAMENTO!$X$15,ROW(AY706)-ROW(AY$15),0),
ROUND(ROUND(OFFSET($P706,0,AY$13),15-13*ORÇAMENTO!$AF$7)*OFFSET(ORÇAMENTO!$W$15,ROW(AY706)-ROW(AY$15),0),15-13*ORÇAMENTO!$AF$11)),0)</f>
        <v>0</v>
      </c>
      <c r="AZ706" s="545">
        <f ca="1">IF(AND($D706="Serviço",AZ$12&lt;&gt;0,$H706&gt;0,OR(AUTOEVENTO&lt;&gt;"manual",$M706&lt;&gt;1)),
IF(Import.TipoArredondamento&lt;&gt;"TransfereGOV",
ROUND(OFFSET($P706,0,AZ$13),15-13*ORÇAMENTO!$AF$7)/$H706*OFFSET(ORÇAMENTO!$X$15,ROW(AZ706)-ROW(AZ$15),0),
ROUND(ROUND(OFFSET($P706,0,AZ$13),15-13*ORÇAMENTO!$AF$7)*OFFSET(ORÇAMENTO!$W$15,ROW(AZ706)-ROW(AZ$15),0),15-13*ORÇAMENTO!$AF$11)),0)</f>
        <v>0</v>
      </c>
      <c r="BA706" s="546">
        <f ca="1">IF(AND($D706="Serviço",BA$12&lt;&gt;0,$H706&gt;0,OR(AUTOEVENTO&lt;&gt;"manual",$M706&lt;&gt;1)),
IF(Import.TipoArredondamento&lt;&gt;"TransfereGOV",
ROUND(OFFSET($P706,0,BA$13),15-13*ORÇAMENTO!$AF$7)/$H706*OFFSET(ORÇAMENTO!$X$15,ROW(BA706)-ROW(BA$15),0),
ROUND(ROUND(OFFSET($P706,0,BA$13),15-13*ORÇAMENTO!$AF$7)*OFFSET(ORÇAMENTO!$W$15,ROW(BA706)-ROW(BA$15),0),15-13*ORÇAMENTO!$AF$11)),0)</f>
        <v>0</v>
      </c>
      <c r="BC706" s="181">
        <f ca="1">IF($D706&lt;&gt;"Serviço",0,IF(AND(AUTOEVENTO="Manual",$M706=1),0,IF(OFFSET(CRONOPLE!$F$14,$M706,BC$13)="",10^12,OFFSET(CRONOPLE!$F$14,$M706,BC$13))))</f>
        <v>12</v>
      </c>
      <c r="BD706" s="181">
        <f ca="1">IF($D706&lt;&gt;"Serviço",0,IF(AND(AUTOEVENTO="Manual",$M706=1),0,IF(OFFSET(CRONOPLE!$F$14,$M706,BD$13)="",10^12,OFFSET(CRONOPLE!$F$14,$M706,BD$13))))</f>
        <v>1000000000000</v>
      </c>
      <c r="BE706" s="181">
        <f ca="1">IF($D706&lt;&gt;"Serviço",0,IF(AND(AUTOEVENTO="Manual",$M706=1),0,IF(OFFSET(CRONOPLE!$F$14,$M706,BE$13)="",10^12,OFFSET(CRONOPLE!$F$14,$M706,BE$13))))</f>
        <v>1000000000000</v>
      </c>
      <c r="BF706" s="181">
        <f ca="1">IF($D706&lt;&gt;"Serviço",0,IF(AND(AUTOEVENTO="Manual",$M706=1),0,IF(OFFSET(CRONOPLE!$F$14,$M706,BF$13)="",10^12,OFFSET(CRONOPLE!$F$14,$M706,BF$13))))</f>
        <v>1000000000000</v>
      </c>
      <c r="BG706" s="181">
        <f ca="1">IF($D706&lt;&gt;"Serviço",0,IF(AND(AUTOEVENTO="Manual",$M706=1),0,IF(OFFSET(CRONOPLE!$F$14,$M706,BG$13)="",10^12,OFFSET(CRONOPLE!$F$14,$M706,BG$13))))</f>
        <v>1000000000000</v>
      </c>
      <c r="BH706" s="181">
        <f ca="1">IF($D706&lt;&gt;"Serviço",0,IF(AND(AUTOEVENTO="Manual",$M706=1),0,IF(OFFSET(CRONOPLE!$F$14,$M706,BH$13)="",10^12,OFFSET(CRONOPLE!$F$14,$M706,BH$13))))</f>
        <v>1000000000000</v>
      </c>
      <c r="BI706" s="181">
        <f ca="1">IF($D706&lt;&gt;"Serviço",0,IF(AND(AUTOEVENTO="Manual",$M706=1),0,IF(OFFSET(CRONOPLE!$F$14,$M706,BI$13)="",10^12,OFFSET(CRONOPLE!$F$14,$M706,BI$13))))</f>
        <v>1000000000000</v>
      </c>
      <c r="BJ706" s="181">
        <f ca="1">IF($D706&lt;&gt;"Serviço",0,IF(AND(AUTOEVENTO="Manual",$M706=1),0,IF(OFFSET(CRONOPLE!$F$14,$M706,BJ$13)="",10^12,OFFSET(CRONOPLE!$F$14,$M706,BJ$13))))</f>
        <v>1000000000000</v>
      </c>
      <c r="BK706" s="181">
        <f ca="1">IF($D706&lt;&gt;"Serviço",0,IF(AND(AUTOEVENTO="Manual",$M706=1),0,IF(OFFSET(CRONOPLE!$F$14,$M706,BK$13)="",10^12,OFFSET(CRONOPLE!$F$14,$M706,BK$13))))</f>
        <v>1000000000000</v>
      </c>
      <c r="BL706" s="181">
        <f ca="1">IF($D706&lt;&gt;"Serviço",0,IF(AND(AUTOEVENTO="Manual",$M706=1),0,IF(OFFSET(CRONOPLE!$F$14,$M706,BL$13)="",10^12,OFFSET(CRONOPLE!$F$14,$M706,BL$13))))</f>
        <v>1000000000000</v>
      </c>
      <c r="BM706" s="181">
        <f ca="1">IF($D706&lt;&gt;"Serviço",0,IF(AND(AUTOEVENTO="Manual",$M706=1),0,IF(OFFSET(CRONOPLE!$F$14,$M706,BM$13)="",10^12,OFFSET(CRONOPLE!$F$14,$M706,BM$13))))</f>
        <v>1000000000000</v>
      </c>
      <c r="BN706" s="181">
        <f ca="1">IF($D706&lt;&gt;"Serviço",0,IF(AND(AUTOEVENTO="Manual",$M706=1),0,IF(OFFSET(CRONOPLE!$F$14,$M706,BN$13)="",10^12,OFFSET(CRONOPLE!$F$14,$M706,BN$13))))</f>
        <v>1000000000000</v>
      </c>
      <c r="BO706" s="181">
        <f ca="1">IF($D706&lt;&gt;"Serviço",0,IF(AND(AUTOEVENTO="Manual",$M706=1),0,IF(OFFSET(CRONOPLE!$F$14,$M706,BO$13)="",10^12,OFFSET(CRONOPLE!$F$14,$M706,BO$13))))</f>
        <v>1000000000000</v>
      </c>
      <c r="BP706" s="181">
        <f ca="1">IF($D706&lt;&gt;"Serviço",0,IF(AND(AUTOEVENTO="Manual",$M706=1),0,IF(OFFSET(CRONOPLE!$F$14,$M706,BP$13)="",10^12,OFFSET(CRONOPLE!$F$14,$M706,BP$13))))</f>
        <v>1000000000000</v>
      </c>
      <c r="BQ706" s="181">
        <f ca="1">IF($D706&lt;&gt;"Serviço",0,IF(AND(AUTOEVENTO="Manual",$M706=1),0,IF(OFFSET(CRONOPLE!$F$14,$M706,BQ$13)="",10^12,OFFSET(CRONOPLE!$F$14,$M706,BQ$13))))</f>
        <v>1000000000000</v>
      </c>
      <c r="BR706" s="181">
        <f ca="1">IF($D706&lt;&gt;"Serviço",0,IF(AND(AUTOEVENTO="Manual",$M706=1),0,IF(OFFSET(CRONOPLE!$F$14,$M706,BR$13)="",10^12,OFFSET(CRONOPLE!$F$14,$M706,BR$13))))</f>
        <v>1000000000000</v>
      </c>
      <c r="BS706" s="181">
        <f ca="1">IF($D706&lt;&gt;"Serviço",0,IF(AND(AUTOEVENTO="Manual",$M706=1),0,IF(OFFSET(CRONOPLE!$F$14,$M706,BS$13)="",10^12,OFFSET(CRONOPLE!$F$14,$M706,BS$13))))</f>
        <v>1000000000000</v>
      </c>
      <c r="BT706" s="181">
        <f ca="1">IF($D706&lt;&gt;"Serviço",0,IF(AND(AUTOEVENTO="Manual",$M706=1),0,IF(OFFSET(CRONOPLE!$F$14,$M706,BT$13)="",10^12,OFFSET(CRONOPLE!$F$14,$M706,BT$13))))</f>
        <v>1000000000000</v>
      </c>
      <c r="BV706" s="182">
        <f ca="1">IF($D706&lt;&gt;"Serviço",0,IF(OR(AND(AUTOEVENTO="Manual",$M706=1),$M706&gt;(ROW(PLE.lastrow)-ROW(PLE.firstrow))),0,IF(OFFSET(PLE!$G$14,$M706,BV$13)="",10^12,OFFSET(PLE!$G$14,$M706,BV$13))))</f>
        <v>1000000000000</v>
      </c>
      <c r="BW706" s="182">
        <f ca="1">IF($D706&lt;&gt;"Serviço",0,IF(OR(AND(AUTOEVENTO="Manual",$M706=1),$M706&gt;(ROW(PLE.lastrow)-ROW(PLE.firstrow))),0,IF(OFFSET(PLE!$G$14,$M706,BW$13)="",10^12,OFFSET(PLE!$G$14,$M706,BW$13))))</f>
        <v>1000000000000</v>
      </c>
      <c r="BX706" s="182">
        <f ca="1">IF($D706&lt;&gt;"Serviço",0,IF(OR(AND(AUTOEVENTO="Manual",$M706=1),$M706&gt;(ROW(PLE.lastrow)-ROW(PLE.firstrow))),0,IF(OFFSET(PLE!$G$14,$M706,BX$13)="",10^12,OFFSET(PLE!$G$14,$M706,BX$13))))</f>
        <v>1000000000000</v>
      </c>
      <c r="BY706" s="182">
        <f ca="1">IF($D706&lt;&gt;"Serviço",0,IF(OR(AND(AUTOEVENTO="Manual",$M706=1),$M706&gt;(ROW(PLE.lastrow)-ROW(PLE.firstrow))),0,IF(OFFSET(PLE!$G$14,$M706,BY$13)="",10^12,OFFSET(PLE!$G$14,$M706,BY$13))))</f>
        <v>1000000000000</v>
      </c>
      <c r="BZ706" s="182">
        <f ca="1">IF($D706&lt;&gt;"Serviço",0,IF(OR(AND(AUTOEVENTO="Manual",$M706=1),$M706&gt;(ROW(PLE.lastrow)-ROW(PLE.firstrow))),0,IF(OFFSET(PLE!$G$14,$M706,BZ$13)="",10^12,OFFSET(PLE!$G$14,$M706,BZ$13))))</f>
        <v>1000000000000</v>
      </c>
      <c r="CA706" s="182">
        <f ca="1">IF($D706&lt;&gt;"Serviço",0,IF(OR(AND(AUTOEVENTO="Manual",$M706=1),$M706&gt;(ROW(PLE.lastrow)-ROW(PLE.firstrow))),0,IF(OFFSET(PLE!$G$14,$M706,CA$13)="",10^12,OFFSET(PLE!$G$14,$M706,CA$13))))</f>
        <v>1000000000000</v>
      </c>
      <c r="CB706" s="182">
        <f ca="1">IF($D706&lt;&gt;"Serviço",0,IF(OR(AND(AUTOEVENTO="Manual",$M706=1),$M706&gt;(ROW(PLE.lastrow)-ROW(PLE.firstrow))),0,IF(OFFSET(PLE!$G$14,$M706,CB$13)="",10^12,OFFSET(PLE!$G$14,$M706,CB$13))))</f>
        <v>1000000000000</v>
      </c>
      <c r="CC706" s="182">
        <f ca="1">IF($D706&lt;&gt;"Serviço",0,IF(OR(AND(AUTOEVENTO="Manual",$M706=1),$M706&gt;(ROW(PLE.lastrow)-ROW(PLE.firstrow))),0,IF(OFFSET(PLE!$G$14,$M706,CC$13)="",10^12,OFFSET(PLE!$G$14,$M706,CC$13))))</f>
        <v>1000000000000</v>
      </c>
      <c r="CD706" s="182">
        <f ca="1">IF($D706&lt;&gt;"Serviço",0,IF(OR(AND(AUTOEVENTO="Manual",$M706=1),$M706&gt;(ROW(PLE.lastrow)-ROW(PLE.firstrow))),0,IF(OFFSET(PLE!$G$14,$M706,CD$13)="",10^12,OFFSET(PLE!$G$14,$M706,CD$13))))</f>
        <v>1000000000000</v>
      </c>
      <c r="CE706" s="182">
        <f ca="1">IF($D706&lt;&gt;"Serviço",0,IF(OR(AND(AUTOEVENTO="Manual",$M706=1),$M706&gt;(ROW(PLE.lastrow)-ROW(PLE.firstrow))),0,IF(OFFSET(PLE!$G$14,$M706,CE$13)="",10^12,OFFSET(PLE!$G$14,$M706,CE$13))))</f>
        <v>1000000000000</v>
      </c>
      <c r="CF706" s="182">
        <f ca="1">IF($D706&lt;&gt;"Serviço",0,IF(OR(AND(AUTOEVENTO="Manual",$M706=1),$M706&gt;(ROW(PLE.lastrow)-ROW(PLE.firstrow))),0,IF(OFFSET(PLE!$G$14,$M706,CF$13)="",10^12,OFFSET(PLE!$G$14,$M706,CF$13))))</f>
        <v>1000000000000</v>
      </c>
      <c r="CG706" s="182">
        <f ca="1">IF($D706&lt;&gt;"Serviço",0,IF(OR(AND(AUTOEVENTO="Manual",$M706=1),$M706&gt;(ROW(PLE.lastrow)-ROW(PLE.firstrow))),0,IF(OFFSET(PLE!$G$14,$M706,CG$13)="",10^12,OFFSET(PLE!$G$14,$M706,CG$13))))</f>
        <v>1000000000000</v>
      </c>
      <c r="CH706" s="182">
        <f ca="1">IF($D706&lt;&gt;"Serviço",0,IF(OR(AND(AUTOEVENTO="Manual",$M706=1),$M706&gt;(ROW(PLE.lastrow)-ROW(PLE.firstrow))),0,IF(OFFSET(PLE!$G$14,$M706,CH$13)="",10^12,OFFSET(PLE!$G$14,$M706,CH$13))))</f>
        <v>1000000000000</v>
      </c>
      <c r="CI706" s="182">
        <f ca="1">IF($D706&lt;&gt;"Serviço",0,IF(OR(AND(AUTOEVENTO="Manual",$M706=1),$M706&gt;(ROW(PLE.lastrow)-ROW(PLE.firstrow))),0,IF(OFFSET(PLE!$G$14,$M706,CI$13)="",10^12,OFFSET(PLE!$G$14,$M706,CI$13))))</f>
        <v>1000000000000</v>
      </c>
      <c r="CJ706" s="182">
        <f ca="1">IF($D706&lt;&gt;"Serviço",0,IF(OR(AND(AUTOEVENTO="Manual",$M706=1),$M706&gt;(ROW(PLE.lastrow)-ROW(PLE.firstrow))),0,IF(OFFSET(PLE!$G$14,$M706,CJ$13)="",10^12,OFFSET(PLE!$G$14,$M706,CJ$13))))</f>
        <v>1000000000000</v>
      </c>
      <c r="CK706" s="182">
        <f ca="1">IF($D706&lt;&gt;"Serviço",0,IF(OR(AND(AUTOEVENTO="Manual",$M706=1),$M706&gt;(ROW(PLE.lastrow)-ROW(PLE.firstrow))),0,IF(OFFSET(PLE!$G$14,$M706,CK$13)="",10^12,OFFSET(PLE!$G$14,$M706,CK$13))))</f>
        <v>1000000000000</v>
      </c>
      <c r="CL706" s="182">
        <f ca="1">IF($D706&lt;&gt;"Serviço",0,IF(OR(AND(AUTOEVENTO="Manual",$M706=1),$M706&gt;(ROW(PLE.lastrow)-ROW(PLE.firstrow))),0,IF(OFFSET(PLE!$G$14,$M706,CL$13)="",10^12,OFFSET(PLE!$G$14,$M706,CL$13))))</f>
        <v>1000000000000</v>
      </c>
      <c r="CM706" s="182">
        <f ca="1">IF($D706&lt;&gt;"Serviço",0,IF(OR(AND(AUTOEVENTO="Manual",$M706=1),$M706&gt;(ROW(PLE.lastrow)-ROW(PLE.firstrow))),0,IF(OFFSET(PLE!$G$14,$M706,CM$13)="",10^12,OFFSET(PLE!$G$14,$M706,CM$13))))</f>
        <v>1000000000000</v>
      </c>
    </row>
    <row r="707" spans="1:91" ht="38.25" x14ac:dyDescent="0.2">
      <c r="A707" s="7" t="str">
        <f t="shared" ca="1" si="20"/>
        <v>686</v>
      </c>
      <c r="B707" s="7" t="str">
        <f ca="1">OFFSET(ORÇAMENTO!C$15,ROW(B707)-ROW(B$15),0)</f>
        <v>S</v>
      </c>
      <c r="C707" s="7" t="str">
        <f ca="1">OFFSET(ORÇAMENTO!L$15,ROW(C707)-ROW(C$15),0)</f>
        <v/>
      </c>
      <c r="D707" s="118" t="str">
        <f ca="1">OFFSET(ORÇAMENTO!N$15,ROW(D707)-ROW(D$15),0)</f>
        <v>Serviço</v>
      </c>
      <c r="E707" s="119" t="str">
        <f ca="1">OFFSET(ORÇAMENTO!O$15,ROW(E707)-ROW(E$15),0)</f>
        <v>-</v>
      </c>
      <c r="F707" s="172" t="str">
        <f ca="1">OFFSET(ORÇAMENTO!R$15,ROW(F707)-ROW(F$15),0)</f>
        <v>(abra o arquivo 'Referência 06-2024.xlsm)</v>
      </c>
      <c r="G707" s="173" t="str">
        <f ca="1">IF($D707&lt;&gt;"Serviço","",OFFSET(ORÇAMENTO!S$15,ROW(G707)-ROW(G$15),0))</f>
        <v>-</v>
      </c>
      <c r="H707" s="124">
        <f ca="1">IF($D707&lt;&gt;"Serviço",0,IF(ACOMPANHAMENTO="BM",ROUND(OFFSET(ORÇAMENTO!AJ$15,ROW(H707)-ROW(H$15),0),15-13*ORÇAMENTO!$AF$7),SUMPRODUCT(($Q$12:$AI$12&lt;&gt;"")*ROUND($Q707:$AI707,15-13*ORÇAMENTO!$AF$7))))</f>
        <v>40.21</v>
      </c>
      <c r="I707" s="561" t="s">
        <v>1107</v>
      </c>
      <c r="K707" s="174"/>
      <c r="L707" s="175" t="s">
        <v>255</v>
      </c>
      <c r="M707" s="176">
        <f ca="1">IF($D707&lt;&gt;"Serviço","",IF(AUTOEVENTO="manual",$A707,IF(ISERROR(MATCH($A707,$A$15:OFFSET($A707,-1,0),0)),MAX($M$15:OFFSET(M707,-1,0))+1,INDEX($M$15:OFFSET(M707,-1,0),MATCH($A707,$A$15:OFFSET($A707,-1,0),0)))))</f>
        <v>77</v>
      </c>
      <c r="N707" s="177" t="str">
        <f ca="1">IF($D707&lt;&gt;"Serviço","",IF(AUTOEVENTO="Manual",IF($A707=0,"&lt;-- defina o número do agrupador",OFFSET(EVENTOS!$D$14,$A707,0)),OFFSET($F$15,$A707,0)))</f>
        <v>MURO DE FECHAMENTO - CONCRETO ARMADO PARA VIGAS INCLUINDO BALDRAME</v>
      </c>
      <c r="O707" s="178"/>
      <c r="Q707" s="178">
        <v>40.21</v>
      </c>
      <c r="R707" s="179"/>
      <c r="S707" s="179"/>
      <c r="T707" s="179"/>
      <c r="U707" s="179"/>
      <c r="V707" s="179"/>
      <c r="W707" s="179"/>
      <c r="X707" s="179"/>
      <c r="Y707" s="179"/>
      <c r="Z707" s="180"/>
      <c r="AA707" s="179"/>
      <c r="AB707" s="179"/>
      <c r="AC707" s="179"/>
      <c r="AD707" s="179"/>
      <c r="AE707" s="179"/>
      <c r="AF707" s="179"/>
      <c r="AG707" s="179"/>
      <c r="AH707" s="180"/>
      <c r="AJ707" s="544">
        <f ca="1">IF(AND($D707="Serviço",AJ$12&lt;&gt;0,$H707&gt;0,OR(AUTOEVENTO&lt;&gt;"manual",$M707&lt;&gt;1)),
IF(Import.TipoArredondamento&lt;&gt;"TransfereGOV",
ROUND(OFFSET($P707,0,AJ$13),15-13*ORÇAMENTO!$AF$7)/$H707*OFFSET(ORÇAMENTO!$X$15,ROW(AJ707)-ROW(AJ$15),0),
ROUND(ROUND(OFFSET($P707,0,AJ$13),15-13*ORÇAMENTO!$AF$7)*OFFSET(ORÇAMENTO!$W$15,ROW(AJ707)-ROW(AJ$15),0),15-13*ORÇAMENTO!$AF$11)),0)</f>
        <v>0</v>
      </c>
      <c r="AK707" s="545">
        <f ca="1">IF(AND($D707="Serviço",AK$12&lt;&gt;0,$H707&gt;0,OR(AUTOEVENTO&lt;&gt;"manual",$M707&lt;&gt;1)),
IF(Import.TipoArredondamento&lt;&gt;"TransfereGOV",
ROUND(OFFSET($P707,0,AK$13),15-13*ORÇAMENTO!$AF$7)/$H707*OFFSET(ORÇAMENTO!$X$15,ROW(AK707)-ROW(AK$15),0),
ROUND(ROUND(OFFSET($P707,0,AK$13),15-13*ORÇAMENTO!$AF$7)*OFFSET(ORÇAMENTO!$W$15,ROW(AK707)-ROW(AK$15),0),15-13*ORÇAMENTO!$AF$11)),0)</f>
        <v>0</v>
      </c>
      <c r="AL707" s="545">
        <f ca="1">IF(AND($D707="Serviço",AL$12&lt;&gt;0,$H707&gt;0,OR(AUTOEVENTO&lt;&gt;"manual",$M707&lt;&gt;1)),
IF(Import.TipoArredondamento&lt;&gt;"TransfereGOV",
ROUND(OFFSET($P707,0,AL$13),15-13*ORÇAMENTO!$AF$7)/$H707*OFFSET(ORÇAMENTO!$X$15,ROW(AL707)-ROW(AL$15),0),
ROUND(ROUND(OFFSET($P707,0,AL$13),15-13*ORÇAMENTO!$AF$7)*OFFSET(ORÇAMENTO!$W$15,ROW(AL707)-ROW(AL$15),0),15-13*ORÇAMENTO!$AF$11)),0)</f>
        <v>0</v>
      </c>
      <c r="AM707" s="545">
        <f ca="1">IF(AND($D707="Serviço",AM$12&lt;&gt;0,$H707&gt;0,OR(AUTOEVENTO&lt;&gt;"manual",$M707&lt;&gt;1)),
IF(Import.TipoArredondamento&lt;&gt;"TransfereGOV",
ROUND(OFFSET($P707,0,AM$13),15-13*ORÇAMENTO!$AF$7)/$H707*OFFSET(ORÇAMENTO!$X$15,ROW(AM707)-ROW(AM$15),0),
ROUND(ROUND(OFFSET($P707,0,AM$13),15-13*ORÇAMENTO!$AF$7)*OFFSET(ORÇAMENTO!$W$15,ROW(AM707)-ROW(AM$15),0),15-13*ORÇAMENTO!$AF$11)),0)</f>
        <v>0</v>
      </c>
      <c r="AN707" s="545">
        <f ca="1">IF(AND($D707="Serviço",AN$12&lt;&gt;0,$H707&gt;0,OR(AUTOEVENTO&lt;&gt;"manual",$M707&lt;&gt;1)),
IF(Import.TipoArredondamento&lt;&gt;"TransfereGOV",
ROUND(OFFSET($P707,0,AN$13),15-13*ORÇAMENTO!$AF$7)/$H707*OFFSET(ORÇAMENTO!$X$15,ROW(AN707)-ROW(AN$15),0),
ROUND(ROUND(OFFSET($P707,0,AN$13),15-13*ORÇAMENTO!$AF$7)*OFFSET(ORÇAMENTO!$W$15,ROW(AN707)-ROW(AN$15),0),15-13*ORÇAMENTO!$AF$11)),0)</f>
        <v>0</v>
      </c>
      <c r="AO707" s="545">
        <f ca="1">IF(AND($D707="Serviço",AO$12&lt;&gt;0,$H707&gt;0,OR(AUTOEVENTO&lt;&gt;"manual",$M707&lt;&gt;1)),
IF(Import.TipoArredondamento&lt;&gt;"TransfereGOV",
ROUND(OFFSET($P707,0,AO$13),15-13*ORÇAMENTO!$AF$7)/$H707*OFFSET(ORÇAMENTO!$X$15,ROW(AO707)-ROW(AO$15),0),
ROUND(ROUND(OFFSET($P707,0,AO$13),15-13*ORÇAMENTO!$AF$7)*OFFSET(ORÇAMENTO!$W$15,ROW(AO707)-ROW(AO$15),0),15-13*ORÇAMENTO!$AF$11)),0)</f>
        <v>0</v>
      </c>
      <c r="AP707" s="545">
        <f ca="1">IF(AND($D707="Serviço",AP$12&lt;&gt;0,$H707&gt;0,OR(AUTOEVENTO&lt;&gt;"manual",$M707&lt;&gt;1)),
IF(Import.TipoArredondamento&lt;&gt;"TransfereGOV",
ROUND(OFFSET($P707,0,AP$13),15-13*ORÇAMENTO!$AF$7)/$H707*OFFSET(ORÇAMENTO!$X$15,ROW(AP707)-ROW(AP$15),0),
ROUND(ROUND(OFFSET($P707,0,AP$13),15-13*ORÇAMENTO!$AF$7)*OFFSET(ORÇAMENTO!$W$15,ROW(AP707)-ROW(AP$15),0),15-13*ORÇAMENTO!$AF$11)),0)</f>
        <v>0</v>
      </c>
      <c r="AQ707" s="545">
        <f ca="1">IF(AND($D707="Serviço",AQ$12&lt;&gt;0,$H707&gt;0,OR(AUTOEVENTO&lt;&gt;"manual",$M707&lt;&gt;1)),
IF(Import.TipoArredondamento&lt;&gt;"TransfereGOV",
ROUND(OFFSET($P707,0,AQ$13),15-13*ORÇAMENTO!$AF$7)/$H707*OFFSET(ORÇAMENTO!$X$15,ROW(AQ707)-ROW(AQ$15),0),
ROUND(ROUND(OFFSET($P707,0,AQ$13),15-13*ORÇAMENTO!$AF$7)*OFFSET(ORÇAMENTO!$W$15,ROW(AQ707)-ROW(AQ$15),0),15-13*ORÇAMENTO!$AF$11)),0)</f>
        <v>0</v>
      </c>
      <c r="AR707" s="545">
        <f ca="1">IF(AND($D707="Serviço",AR$12&lt;&gt;0,$H707&gt;0,OR(AUTOEVENTO&lt;&gt;"manual",$M707&lt;&gt;1)),
IF(Import.TipoArredondamento&lt;&gt;"TransfereGOV",
ROUND(OFFSET($P707,0,AR$13),15-13*ORÇAMENTO!$AF$7)/$H707*OFFSET(ORÇAMENTO!$X$15,ROW(AR707)-ROW(AR$15),0),
ROUND(ROUND(OFFSET($P707,0,AR$13),15-13*ORÇAMENTO!$AF$7)*OFFSET(ORÇAMENTO!$W$15,ROW(AR707)-ROW(AR$15),0),15-13*ORÇAMENTO!$AF$11)),0)</f>
        <v>0</v>
      </c>
      <c r="AS707" s="546">
        <f ca="1">IF(AND($D707="Serviço",AS$12&lt;&gt;0,$H707&gt;0,OR(AUTOEVENTO&lt;&gt;"manual",$M707&lt;&gt;1)),
IF(Import.TipoArredondamento&lt;&gt;"TransfereGOV",
ROUND(OFFSET($P707,0,AS$13),15-13*ORÇAMENTO!$AF$7)/$H707*OFFSET(ORÇAMENTO!$X$15,ROW(AS707)-ROW(AS$15),0),
ROUND(ROUND(OFFSET($P707,0,AS$13),15-13*ORÇAMENTO!$AF$7)*OFFSET(ORÇAMENTO!$W$15,ROW(AS707)-ROW(AS$15),0),15-13*ORÇAMENTO!$AF$11)),0)</f>
        <v>0</v>
      </c>
      <c r="AT707" s="545">
        <f ca="1">IF(AND($D707="Serviço",AT$12&lt;&gt;0,$H707&gt;0,OR(AUTOEVENTO&lt;&gt;"manual",$M707&lt;&gt;1)),
IF(Import.TipoArredondamento&lt;&gt;"TransfereGOV",
ROUND(OFFSET($P707,0,AT$13),15-13*ORÇAMENTO!$AF$7)/$H707*OFFSET(ORÇAMENTO!$X$15,ROW(AT707)-ROW(AT$15),0),
ROUND(ROUND(OFFSET($P707,0,AT$13),15-13*ORÇAMENTO!$AF$7)*OFFSET(ORÇAMENTO!$W$15,ROW(AT707)-ROW(AT$15),0),15-13*ORÇAMENTO!$AF$11)),0)</f>
        <v>0</v>
      </c>
      <c r="AU707" s="545">
        <f ca="1">IF(AND($D707="Serviço",AU$12&lt;&gt;0,$H707&gt;0,OR(AUTOEVENTO&lt;&gt;"manual",$M707&lt;&gt;1)),
IF(Import.TipoArredondamento&lt;&gt;"TransfereGOV",
ROUND(OFFSET($P707,0,AU$13),15-13*ORÇAMENTO!$AF$7)/$H707*OFFSET(ORÇAMENTO!$X$15,ROW(AU707)-ROW(AU$15),0),
ROUND(ROUND(OFFSET($P707,0,AU$13),15-13*ORÇAMENTO!$AF$7)*OFFSET(ORÇAMENTO!$W$15,ROW(AU707)-ROW(AU$15),0),15-13*ORÇAMENTO!$AF$11)),0)</f>
        <v>0</v>
      </c>
      <c r="AV707" s="545">
        <f ca="1">IF(AND($D707="Serviço",AV$12&lt;&gt;0,$H707&gt;0,OR(AUTOEVENTO&lt;&gt;"manual",$M707&lt;&gt;1)),
IF(Import.TipoArredondamento&lt;&gt;"TransfereGOV",
ROUND(OFFSET($P707,0,AV$13),15-13*ORÇAMENTO!$AF$7)/$H707*OFFSET(ORÇAMENTO!$X$15,ROW(AV707)-ROW(AV$15),0),
ROUND(ROUND(OFFSET($P707,0,AV$13),15-13*ORÇAMENTO!$AF$7)*OFFSET(ORÇAMENTO!$W$15,ROW(AV707)-ROW(AV$15),0),15-13*ORÇAMENTO!$AF$11)),0)</f>
        <v>0</v>
      </c>
      <c r="AW707" s="545">
        <f ca="1">IF(AND($D707="Serviço",AW$12&lt;&gt;0,$H707&gt;0,OR(AUTOEVENTO&lt;&gt;"manual",$M707&lt;&gt;1)),
IF(Import.TipoArredondamento&lt;&gt;"TransfereGOV",
ROUND(OFFSET($P707,0,AW$13),15-13*ORÇAMENTO!$AF$7)/$H707*OFFSET(ORÇAMENTO!$X$15,ROW(AW707)-ROW(AW$15),0),
ROUND(ROUND(OFFSET($P707,0,AW$13),15-13*ORÇAMENTO!$AF$7)*OFFSET(ORÇAMENTO!$W$15,ROW(AW707)-ROW(AW$15),0),15-13*ORÇAMENTO!$AF$11)),0)</f>
        <v>0</v>
      </c>
      <c r="AX707" s="545">
        <f ca="1">IF(AND($D707="Serviço",AX$12&lt;&gt;0,$H707&gt;0,OR(AUTOEVENTO&lt;&gt;"manual",$M707&lt;&gt;1)),
IF(Import.TipoArredondamento&lt;&gt;"TransfereGOV",
ROUND(OFFSET($P707,0,AX$13),15-13*ORÇAMENTO!$AF$7)/$H707*OFFSET(ORÇAMENTO!$X$15,ROW(AX707)-ROW(AX$15),0),
ROUND(ROUND(OFFSET($P707,0,AX$13),15-13*ORÇAMENTO!$AF$7)*OFFSET(ORÇAMENTO!$W$15,ROW(AX707)-ROW(AX$15),0),15-13*ORÇAMENTO!$AF$11)),0)</f>
        <v>0</v>
      </c>
      <c r="AY707" s="545">
        <f ca="1">IF(AND($D707="Serviço",AY$12&lt;&gt;0,$H707&gt;0,OR(AUTOEVENTO&lt;&gt;"manual",$M707&lt;&gt;1)),
IF(Import.TipoArredondamento&lt;&gt;"TransfereGOV",
ROUND(OFFSET($P707,0,AY$13),15-13*ORÇAMENTO!$AF$7)/$H707*OFFSET(ORÇAMENTO!$X$15,ROW(AY707)-ROW(AY$15),0),
ROUND(ROUND(OFFSET($P707,0,AY$13),15-13*ORÇAMENTO!$AF$7)*OFFSET(ORÇAMENTO!$W$15,ROW(AY707)-ROW(AY$15),0),15-13*ORÇAMENTO!$AF$11)),0)</f>
        <v>0</v>
      </c>
      <c r="AZ707" s="545">
        <f ca="1">IF(AND($D707="Serviço",AZ$12&lt;&gt;0,$H707&gt;0,OR(AUTOEVENTO&lt;&gt;"manual",$M707&lt;&gt;1)),
IF(Import.TipoArredondamento&lt;&gt;"TransfereGOV",
ROUND(OFFSET($P707,0,AZ$13),15-13*ORÇAMENTO!$AF$7)/$H707*OFFSET(ORÇAMENTO!$X$15,ROW(AZ707)-ROW(AZ$15),0),
ROUND(ROUND(OFFSET($P707,0,AZ$13),15-13*ORÇAMENTO!$AF$7)*OFFSET(ORÇAMENTO!$W$15,ROW(AZ707)-ROW(AZ$15),0),15-13*ORÇAMENTO!$AF$11)),0)</f>
        <v>0</v>
      </c>
      <c r="BA707" s="546">
        <f ca="1">IF(AND($D707="Serviço",BA$12&lt;&gt;0,$H707&gt;0,OR(AUTOEVENTO&lt;&gt;"manual",$M707&lt;&gt;1)),
IF(Import.TipoArredondamento&lt;&gt;"TransfereGOV",
ROUND(OFFSET($P707,0,BA$13),15-13*ORÇAMENTO!$AF$7)/$H707*OFFSET(ORÇAMENTO!$X$15,ROW(BA707)-ROW(BA$15),0),
ROUND(ROUND(OFFSET($P707,0,BA$13),15-13*ORÇAMENTO!$AF$7)*OFFSET(ORÇAMENTO!$W$15,ROW(BA707)-ROW(BA$15),0),15-13*ORÇAMENTO!$AF$11)),0)</f>
        <v>0</v>
      </c>
      <c r="BC707" s="181">
        <f ca="1">IF($D707&lt;&gt;"Serviço",0,IF(AND(AUTOEVENTO="Manual",$M707=1),0,IF(OFFSET(CRONOPLE!$F$14,$M707,BC$13)="",10^12,OFFSET(CRONOPLE!$F$14,$M707,BC$13))))</f>
        <v>12</v>
      </c>
      <c r="BD707" s="181">
        <f ca="1">IF($D707&lt;&gt;"Serviço",0,IF(AND(AUTOEVENTO="Manual",$M707=1),0,IF(OFFSET(CRONOPLE!$F$14,$M707,BD$13)="",10^12,OFFSET(CRONOPLE!$F$14,$M707,BD$13))))</f>
        <v>1000000000000</v>
      </c>
      <c r="BE707" s="181">
        <f ca="1">IF($D707&lt;&gt;"Serviço",0,IF(AND(AUTOEVENTO="Manual",$M707=1),0,IF(OFFSET(CRONOPLE!$F$14,$M707,BE$13)="",10^12,OFFSET(CRONOPLE!$F$14,$M707,BE$13))))</f>
        <v>1000000000000</v>
      </c>
      <c r="BF707" s="181">
        <f ca="1">IF($D707&lt;&gt;"Serviço",0,IF(AND(AUTOEVENTO="Manual",$M707=1),0,IF(OFFSET(CRONOPLE!$F$14,$M707,BF$13)="",10^12,OFFSET(CRONOPLE!$F$14,$M707,BF$13))))</f>
        <v>1000000000000</v>
      </c>
      <c r="BG707" s="181">
        <f ca="1">IF($D707&lt;&gt;"Serviço",0,IF(AND(AUTOEVENTO="Manual",$M707=1),0,IF(OFFSET(CRONOPLE!$F$14,$M707,BG$13)="",10^12,OFFSET(CRONOPLE!$F$14,$M707,BG$13))))</f>
        <v>1000000000000</v>
      </c>
      <c r="BH707" s="181">
        <f ca="1">IF($D707&lt;&gt;"Serviço",0,IF(AND(AUTOEVENTO="Manual",$M707=1),0,IF(OFFSET(CRONOPLE!$F$14,$M707,BH$13)="",10^12,OFFSET(CRONOPLE!$F$14,$M707,BH$13))))</f>
        <v>1000000000000</v>
      </c>
      <c r="BI707" s="181">
        <f ca="1">IF($D707&lt;&gt;"Serviço",0,IF(AND(AUTOEVENTO="Manual",$M707=1),0,IF(OFFSET(CRONOPLE!$F$14,$M707,BI$13)="",10^12,OFFSET(CRONOPLE!$F$14,$M707,BI$13))))</f>
        <v>1000000000000</v>
      </c>
      <c r="BJ707" s="181">
        <f ca="1">IF($D707&lt;&gt;"Serviço",0,IF(AND(AUTOEVENTO="Manual",$M707=1),0,IF(OFFSET(CRONOPLE!$F$14,$M707,BJ$13)="",10^12,OFFSET(CRONOPLE!$F$14,$M707,BJ$13))))</f>
        <v>1000000000000</v>
      </c>
      <c r="BK707" s="181">
        <f ca="1">IF($D707&lt;&gt;"Serviço",0,IF(AND(AUTOEVENTO="Manual",$M707=1),0,IF(OFFSET(CRONOPLE!$F$14,$M707,BK$13)="",10^12,OFFSET(CRONOPLE!$F$14,$M707,BK$13))))</f>
        <v>1000000000000</v>
      </c>
      <c r="BL707" s="181">
        <f ca="1">IF($D707&lt;&gt;"Serviço",0,IF(AND(AUTOEVENTO="Manual",$M707=1),0,IF(OFFSET(CRONOPLE!$F$14,$M707,BL$13)="",10^12,OFFSET(CRONOPLE!$F$14,$M707,BL$13))))</f>
        <v>1000000000000</v>
      </c>
      <c r="BM707" s="181">
        <f ca="1">IF($D707&lt;&gt;"Serviço",0,IF(AND(AUTOEVENTO="Manual",$M707=1),0,IF(OFFSET(CRONOPLE!$F$14,$M707,BM$13)="",10^12,OFFSET(CRONOPLE!$F$14,$M707,BM$13))))</f>
        <v>1000000000000</v>
      </c>
      <c r="BN707" s="181">
        <f ca="1">IF($D707&lt;&gt;"Serviço",0,IF(AND(AUTOEVENTO="Manual",$M707=1),0,IF(OFFSET(CRONOPLE!$F$14,$M707,BN$13)="",10^12,OFFSET(CRONOPLE!$F$14,$M707,BN$13))))</f>
        <v>1000000000000</v>
      </c>
      <c r="BO707" s="181">
        <f ca="1">IF($D707&lt;&gt;"Serviço",0,IF(AND(AUTOEVENTO="Manual",$M707=1),0,IF(OFFSET(CRONOPLE!$F$14,$M707,BO$13)="",10^12,OFFSET(CRONOPLE!$F$14,$M707,BO$13))))</f>
        <v>1000000000000</v>
      </c>
      <c r="BP707" s="181">
        <f ca="1">IF($D707&lt;&gt;"Serviço",0,IF(AND(AUTOEVENTO="Manual",$M707=1),0,IF(OFFSET(CRONOPLE!$F$14,$M707,BP$13)="",10^12,OFFSET(CRONOPLE!$F$14,$M707,BP$13))))</f>
        <v>1000000000000</v>
      </c>
      <c r="BQ707" s="181">
        <f ca="1">IF($D707&lt;&gt;"Serviço",0,IF(AND(AUTOEVENTO="Manual",$M707=1),0,IF(OFFSET(CRONOPLE!$F$14,$M707,BQ$13)="",10^12,OFFSET(CRONOPLE!$F$14,$M707,BQ$13))))</f>
        <v>1000000000000</v>
      </c>
      <c r="BR707" s="181">
        <f ca="1">IF($D707&lt;&gt;"Serviço",0,IF(AND(AUTOEVENTO="Manual",$M707=1),0,IF(OFFSET(CRONOPLE!$F$14,$M707,BR$13)="",10^12,OFFSET(CRONOPLE!$F$14,$M707,BR$13))))</f>
        <v>1000000000000</v>
      </c>
      <c r="BS707" s="181">
        <f ca="1">IF($D707&lt;&gt;"Serviço",0,IF(AND(AUTOEVENTO="Manual",$M707=1),0,IF(OFFSET(CRONOPLE!$F$14,$M707,BS$13)="",10^12,OFFSET(CRONOPLE!$F$14,$M707,BS$13))))</f>
        <v>1000000000000</v>
      </c>
      <c r="BT707" s="181">
        <f ca="1">IF($D707&lt;&gt;"Serviço",0,IF(AND(AUTOEVENTO="Manual",$M707=1),0,IF(OFFSET(CRONOPLE!$F$14,$M707,BT$13)="",10^12,OFFSET(CRONOPLE!$F$14,$M707,BT$13))))</f>
        <v>1000000000000</v>
      </c>
      <c r="BV707" s="182">
        <f ca="1">IF($D707&lt;&gt;"Serviço",0,IF(OR(AND(AUTOEVENTO="Manual",$M707=1),$M707&gt;(ROW(PLE.lastrow)-ROW(PLE.firstrow))),0,IF(OFFSET(PLE!$G$14,$M707,BV$13)="",10^12,OFFSET(PLE!$G$14,$M707,BV$13))))</f>
        <v>1000000000000</v>
      </c>
      <c r="BW707" s="182">
        <f ca="1">IF($D707&lt;&gt;"Serviço",0,IF(OR(AND(AUTOEVENTO="Manual",$M707=1),$M707&gt;(ROW(PLE.lastrow)-ROW(PLE.firstrow))),0,IF(OFFSET(PLE!$G$14,$M707,BW$13)="",10^12,OFFSET(PLE!$G$14,$M707,BW$13))))</f>
        <v>1000000000000</v>
      </c>
      <c r="BX707" s="182">
        <f ca="1">IF($D707&lt;&gt;"Serviço",0,IF(OR(AND(AUTOEVENTO="Manual",$M707=1),$M707&gt;(ROW(PLE.lastrow)-ROW(PLE.firstrow))),0,IF(OFFSET(PLE!$G$14,$M707,BX$13)="",10^12,OFFSET(PLE!$G$14,$M707,BX$13))))</f>
        <v>1000000000000</v>
      </c>
      <c r="BY707" s="182">
        <f ca="1">IF($D707&lt;&gt;"Serviço",0,IF(OR(AND(AUTOEVENTO="Manual",$M707=1),$M707&gt;(ROW(PLE.lastrow)-ROW(PLE.firstrow))),0,IF(OFFSET(PLE!$G$14,$M707,BY$13)="",10^12,OFFSET(PLE!$G$14,$M707,BY$13))))</f>
        <v>1000000000000</v>
      </c>
      <c r="BZ707" s="182">
        <f ca="1">IF($D707&lt;&gt;"Serviço",0,IF(OR(AND(AUTOEVENTO="Manual",$M707=1),$M707&gt;(ROW(PLE.lastrow)-ROW(PLE.firstrow))),0,IF(OFFSET(PLE!$G$14,$M707,BZ$13)="",10^12,OFFSET(PLE!$G$14,$M707,BZ$13))))</f>
        <v>1000000000000</v>
      </c>
      <c r="CA707" s="182">
        <f ca="1">IF($D707&lt;&gt;"Serviço",0,IF(OR(AND(AUTOEVENTO="Manual",$M707=1),$M707&gt;(ROW(PLE.lastrow)-ROW(PLE.firstrow))),0,IF(OFFSET(PLE!$G$14,$M707,CA$13)="",10^12,OFFSET(PLE!$G$14,$M707,CA$13))))</f>
        <v>1000000000000</v>
      </c>
      <c r="CB707" s="182">
        <f ca="1">IF($D707&lt;&gt;"Serviço",0,IF(OR(AND(AUTOEVENTO="Manual",$M707=1),$M707&gt;(ROW(PLE.lastrow)-ROW(PLE.firstrow))),0,IF(OFFSET(PLE!$G$14,$M707,CB$13)="",10^12,OFFSET(PLE!$G$14,$M707,CB$13))))</f>
        <v>1000000000000</v>
      </c>
      <c r="CC707" s="182">
        <f ca="1">IF($D707&lt;&gt;"Serviço",0,IF(OR(AND(AUTOEVENTO="Manual",$M707=1),$M707&gt;(ROW(PLE.lastrow)-ROW(PLE.firstrow))),0,IF(OFFSET(PLE!$G$14,$M707,CC$13)="",10^12,OFFSET(PLE!$G$14,$M707,CC$13))))</f>
        <v>1000000000000</v>
      </c>
      <c r="CD707" s="182">
        <f ca="1">IF($D707&lt;&gt;"Serviço",0,IF(OR(AND(AUTOEVENTO="Manual",$M707=1),$M707&gt;(ROW(PLE.lastrow)-ROW(PLE.firstrow))),0,IF(OFFSET(PLE!$G$14,$M707,CD$13)="",10^12,OFFSET(PLE!$G$14,$M707,CD$13))))</f>
        <v>1000000000000</v>
      </c>
      <c r="CE707" s="182">
        <f ca="1">IF($D707&lt;&gt;"Serviço",0,IF(OR(AND(AUTOEVENTO="Manual",$M707=1),$M707&gt;(ROW(PLE.lastrow)-ROW(PLE.firstrow))),0,IF(OFFSET(PLE!$G$14,$M707,CE$13)="",10^12,OFFSET(PLE!$G$14,$M707,CE$13))))</f>
        <v>1000000000000</v>
      </c>
      <c r="CF707" s="182">
        <f ca="1">IF($D707&lt;&gt;"Serviço",0,IF(OR(AND(AUTOEVENTO="Manual",$M707=1),$M707&gt;(ROW(PLE.lastrow)-ROW(PLE.firstrow))),0,IF(OFFSET(PLE!$G$14,$M707,CF$13)="",10^12,OFFSET(PLE!$G$14,$M707,CF$13))))</f>
        <v>1000000000000</v>
      </c>
      <c r="CG707" s="182">
        <f ca="1">IF($D707&lt;&gt;"Serviço",0,IF(OR(AND(AUTOEVENTO="Manual",$M707=1),$M707&gt;(ROW(PLE.lastrow)-ROW(PLE.firstrow))),0,IF(OFFSET(PLE!$G$14,$M707,CG$13)="",10^12,OFFSET(PLE!$G$14,$M707,CG$13))))</f>
        <v>1000000000000</v>
      </c>
      <c r="CH707" s="182">
        <f ca="1">IF($D707&lt;&gt;"Serviço",0,IF(OR(AND(AUTOEVENTO="Manual",$M707=1),$M707&gt;(ROW(PLE.lastrow)-ROW(PLE.firstrow))),0,IF(OFFSET(PLE!$G$14,$M707,CH$13)="",10^12,OFFSET(PLE!$G$14,$M707,CH$13))))</f>
        <v>1000000000000</v>
      </c>
      <c r="CI707" s="182">
        <f ca="1">IF($D707&lt;&gt;"Serviço",0,IF(OR(AND(AUTOEVENTO="Manual",$M707=1),$M707&gt;(ROW(PLE.lastrow)-ROW(PLE.firstrow))),0,IF(OFFSET(PLE!$G$14,$M707,CI$13)="",10^12,OFFSET(PLE!$G$14,$M707,CI$13))))</f>
        <v>1000000000000</v>
      </c>
      <c r="CJ707" s="182">
        <f ca="1">IF($D707&lt;&gt;"Serviço",0,IF(OR(AND(AUTOEVENTO="Manual",$M707=1),$M707&gt;(ROW(PLE.lastrow)-ROW(PLE.firstrow))),0,IF(OFFSET(PLE!$G$14,$M707,CJ$13)="",10^12,OFFSET(PLE!$G$14,$M707,CJ$13))))</f>
        <v>1000000000000</v>
      </c>
      <c r="CK707" s="182">
        <f ca="1">IF($D707&lt;&gt;"Serviço",0,IF(OR(AND(AUTOEVENTO="Manual",$M707=1),$M707&gt;(ROW(PLE.lastrow)-ROW(PLE.firstrow))),0,IF(OFFSET(PLE!$G$14,$M707,CK$13)="",10^12,OFFSET(PLE!$G$14,$M707,CK$13))))</f>
        <v>1000000000000</v>
      </c>
      <c r="CL707" s="182">
        <f ca="1">IF($D707&lt;&gt;"Serviço",0,IF(OR(AND(AUTOEVENTO="Manual",$M707=1),$M707&gt;(ROW(PLE.lastrow)-ROW(PLE.firstrow))),0,IF(OFFSET(PLE!$G$14,$M707,CL$13)="",10^12,OFFSET(PLE!$G$14,$M707,CL$13))))</f>
        <v>1000000000000</v>
      </c>
      <c r="CM707" s="182">
        <f ca="1">IF($D707&lt;&gt;"Serviço",0,IF(OR(AND(AUTOEVENTO="Manual",$M707=1),$M707&gt;(ROW(PLE.lastrow)-ROW(PLE.firstrow))),0,IF(OFFSET(PLE!$G$14,$M707,CM$13)="",10^12,OFFSET(PLE!$G$14,$M707,CM$13))))</f>
        <v>1000000000000</v>
      </c>
    </row>
    <row r="708" spans="1:91" ht="38.25" x14ac:dyDescent="0.2">
      <c r="A708" s="7" t="str">
        <f t="shared" ca="1" si="20"/>
        <v>686</v>
      </c>
      <c r="B708" s="7" t="str">
        <f ca="1">OFFSET(ORÇAMENTO!C$15,ROW(B708)-ROW(B$15),0)</f>
        <v>S</v>
      </c>
      <c r="C708" s="7" t="str">
        <f ca="1">OFFSET(ORÇAMENTO!L$15,ROW(C708)-ROW(C$15),0)</f>
        <v/>
      </c>
      <c r="D708" s="118" t="str">
        <f ca="1">OFFSET(ORÇAMENTO!N$15,ROW(D708)-ROW(D$15),0)</f>
        <v>Serviço</v>
      </c>
      <c r="E708" s="119" t="str">
        <f ca="1">OFFSET(ORÇAMENTO!O$15,ROW(E708)-ROW(E$15),0)</f>
        <v>-</v>
      </c>
      <c r="F708" s="172" t="str">
        <f ca="1">OFFSET(ORÇAMENTO!R$15,ROW(F708)-ROW(F$15),0)</f>
        <v>(abra o arquivo 'Referência 06-2024.xlsm)</v>
      </c>
      <c r="G708" s="173" t="str">
        <f ca="1">IF($D708&lt;&gt;"Serviço","",OFFSET(ORÇAMENTO!S$15,ROW(G708)-ROW(G$15),0))</f>
        <v>-</v>
      </c>
      <c r="H708" s="124">
        <f ca="1">IF($D708&lt;&gt;"Serviço",0,IF(ACOMPANHAMENTO="BM",ROUND(OFFSET(ORÇAMENTO!AJ$15,ROW(H708)-ROW(H$15),0),15-13*ORÇAMENTO!$AF$7),SUMPRODUCT(($Q$12:$AI$12&lt;&gt;"")*ROUND($Q708:$AI708,15-13*ORÇAMENTO!$AF$7))))</f>
        <v>202.39</v>
      </c>
      <c r="I708" s="561" t="s">
        <v>1107</v>
      </c>
      <c r="K708" s="174"/>
      <c r="L708" s="175" t="s">
        <v>255</v>
      </c>
      <c r="M708" s="176">
        <f ca="1">IF($D708&lt;&gt;"Serviço","",IF(AUTOEVENTO="manual",$A708,IF(ISERROR(MATCH($A708,$A$15:OFFSET($A708,-1,0),0)),MAX($M$15:OFFSET(M708,-1,0))+1,INDEX($M$15:OFFSET(M708,-1,0),MATCH($A708,$A$15:OFFSET($A708,-1,0),0)))))</f>
        <v>77</v>
      </c>
      <c r="N708" s="177" t="str">
        <f ca="1">IF($D708&lt;&gt;"Serviço","",IF(AUTOEVENTO="Manual",IF($A708=0,"&lt;-- defina o número do agrupador",OFFSET(EVENTOS!$D$14,$A708,0)),OFFSET($F$15,$A708,0)))</f>
        <v>MURO DE FECHAMENTO - CONCRETO ARMADO PARA VIGAS INCLUINDO BALDRAME</v>
      </c>
      <c r="O708" s="178"/>
      <c r="Q708" s="178">
        <v>202.39</v>
      </c>
      <c r="R708" s="179"/>
      <c r="S708" s="179"/>
      <c r="T708" s="179"/>
      <c r="U708" s="179"/>
      <c r="V708" s="179"/>
      <c r="W708" s="179"/>
      <c r="X708" s="179"/>
      <c r="Y708" s="179"/>
      <c r="Z708" s="180"/>
      <c r="AA708" s="179"/>
      <c r="AB708" s="179"/>
      <c r="AC708" s="179"/>
      <c r="AD708" s="179"/>
      <c r="AE708" s="179"/>
      <c r="AF708" s="179"/>
      <c r="AG708" s="179"/>
      <c r="AH708" s="180"/>
      <c r="AJ708" s="544">
        <f ca="1">IF(AND($D708="Serviço",AJ$12&lt;&gt;0,$H708&gt;0,OR(AUTOEVENTO&lt;&gt;"manual",$M708&lt;&gt;1)),
IF(Import.TipoArredondamento&lt;&gt;"TransfereGOV",
ROUND(OFFSET($P708,0,AJ$13),15-13*ORÇAMENTO!$AF$7)/$H708*OFFSET(ORÇAMENTO!$X$15,ROW(AJ708)-ROW(AJ$15),0),
ROUND(ROUND(OFFSET($P708,0,AJ$13),15-13*ORÇAMENTO!$AF$7)*OFFSET(ORÇAMENTO!$W$15,ROW(AJ708)-ROW(AJ$15),0),15-13*ORÇAMENTO!$AF$11)),0)</f>
        <v>0</v>
      </c>
      <c r="AK708" s="545">
        <f ca="1">IF(AND($D708="Serviço",AK$12&lt;&gt;0,$H708&gt;0,OR(AUTOEVENTO&lt;&gt;"manual",$M708&lt;&gt;1)),
IF(Import.TipoArredondamento&lt;&gt;"TransfereGOV",
ROUND(OFFSET($P708,0,AK$13),15-13*ORÇAMENTO!$AF$7)/$H708*OFFSET(ORÇAMENTO!$X$15,ROW(AK708)-ROW(AK$15),0),
ROUND(ROUND(OFFSET($P708,0,AK$13),15-13*ORÇAMENTO!$AF$7)*OFFSET(ORÇAMENTO!$W$15,ROW(AK708)-ROW(AK$15),0),15-13*ORÇAMENTO!$AF$11)),0)</f>
        <v>0</v>
      </c>
      <c r="AL708" s="545">
        <f ca="1">IF(AND($D708="Serviço",AL$12&lt;&gt;0,$H708&gt;0,OR(AUTOEVENTO&lt;&gt;"manual",$M708&lt;&gt;1)),
IF(Import.TipoArredondamento&lt;&gt;"TransfereGOV",
ROUND(OFFSET($P708,0,AL$13),15-13*ORÇAMENTO!$AF$7)/$H708*OFFSET(ORÇAMENTO!$X$15,ROW(AL708)-ROW(AL$15),0),
ROUND(ROUND(OFFSET($P708,0,AL$13),15-13*ORÇAMENTO!$AF$7)*OFFSET(ORÇAMENTO!$W$15,ROW(AL708)-ROW(AL$15),0),15-13*ORÇAMENTO!$AF$11)),0)</f>
        <v>0</v>
      </c>
      <c r="AM708" s="545">
        <f ca="1">IF(AND($D708="Serviço",AM$12&lt;&gt;0,$H708&gt;0,OR(AUTOEVENTO&lt;&gt;"manual",$M708&lt;&gt;1)),
IF(Import.TipoArredondamento&lt;&gt;"TransfereGOV",
ROUND(OFFSET($P708,0,AM$13),15-13*ORÇAMENTO!$AF$7)/$H708*OFFSET(ORÇAMENTO!$X$15,ROW(AM708)-ROW(AM$15),0),
ROUND(ROUND(OFFSET($P708,0,AM$13),15-13*ORÇAMENTO!$AF$7)*OFFSET(ORÇAMENTO!$W$15,ROW(AM708)-ROW(AM$15),0),15-13*ORÇAMENTO!$AF$11)),0)</f>
        <v>0</v>
      </c>
      <c r="AN708" s="545">
        <f ca="1">IF(AND($D708="Serviço",AN$12&lt;&gt;0,$H708&gt;0,OR(AUTOEVENTO&lt;&gt;"manual",$M708&lt;&gt;1)),
IF(Import.TipoArredondamento&lt;&gt;"TransfereGOV",
ROUND(OFFSET($P708,0,AN$13),15-13*ORÇAMENTO!$AF$7)/$H708*OFFSET(ORÇAMENTO!$X$15,ROW(AN708)-ROW(AN$15),0),
ROUND(ROUND(OFFSET($P708,0,AN$13),15-13*ORÇAMENTO!$AF$7)*OFFSET(ORÇAMENTO!$W$15,ROW(AN708)-ROW(AN$15),0),15-13*ORÇAMENTO!$AF$11)),0)</f>
        <v>0</v>
      </c>
      <c r="AO708" s="545">
        <f ca="1">IF(AND($D708="Serviço",AO$12&lt;&gt;0,$H708&gt;0,OR(AUTOEVENTO&lt;&gt;"manual",$M708&lt;&gt;1)),
IF(Import.TipoArredondamento&lt;&gt;"TransfereGOV",
ROUND(OFFSET($P708,0,AO$13),15-13*ORÇAMENTO!$AF$7)/$H708*OFFSET(ORÇAMENTO!$X$15,ROW(AO708)-ROW(AO$15),0),
ROUND(ROUND(OFFSET($P708,0,AO$13),15-13*ORÇAMENTO!$AF$7)*OFFSET(ORÇAMENTO!$W$15,ROW(AO708)-ROW(AO$15),0),15-13*ORÇAMENTO!$AF$11)),0)</f>
        <v>0</v>
      </c>
      <c r="AP708" s="545">
        <f ca="1">IF(AND($D708="Serviço",AP$12&lt;&gt;0,$H708&gt;0,OR(AUTOEVENTO&lt;&gt;"manual",$M708&lt;&gt;1)),
IF(Import.TipoArredondamento&lt;&gt;"TransfereGOV",
ROUND(OFFSET($P708,0,AP$13),15-13*ORÇAMENTO!$AF$7)/$H708*OFFSET(ORÇAMENTO!$X$15,ROW(AP708)-ROW(AP$15),0),
ROUND(ROUND(OFFSET($P708,0,AP$13),15-13*ORÇAMENTO!$AF$7)*OFFSET(ORÇAMENTO!$W$15,ROW(AP708)-ROW(AP$15),0),15-13*ORÇAMENTO!$AF$11)),0)</f>
        <v>0</v>
      </c>
      <c r="AQ708" s="545">
        <f ca="1">IF(AND($D708="Serviço",AQ$12&lt;&gt;0,$H708&gt;0,OR(AUTOEVENTO&lt;&gt;"manual",$M708&lt;&gt;1)),
IF(Import.TipoArredondamento&lt;&gt;"TransfereGOV",
ROUND(OFFSET($P708,0,AQ$13),15-13*ORÇAMENTO!$AF$7)/$H708*OFFSET(ORÇAMENTO!$X$15,ROW(AQ708)-ROW(AQ$15),0),
ROUND(ROUND(OFFSET($P708,0,AQ$13),15-13*ORÇAMENTO!$AF$7)*OFFSET(ORÇAMENTO!$W$15,ROW(AQ708)-ROW(AQ$15),0),15-13*ORÇAMENTO!$AF$11)),0)</f>
        <v>0</v>
      </c>
      <c r="AR708" s="545">
        <f ca="1">IF(AND($D708="Serviço",AR$12&lt;&gt;0,$H708&gt;0,OR(AUTOEVENTO&lt;&gt;"manual",$M708&lt;&gt;1)),
IF(Import.TipoArredondamento&lt;&gt;"TransfereGOV",
ROUND(OFFSET($P708,0,AR$13),15-13*ORÇAMENTO!$AF$7)/$H708*OFFSET(ORÇAMENTO!$X$15,ROW(AR708)-ROW(AR$15),0),
ROUND(ROUND(OFFSET($P708,0,AR$13),15-13*ORÇAMENTO!$AF$7)*OFFSET(ORÇAMENTO!$W$15,ROW(AR708)-ROW(AR$15),0),15-13*ORÇAMENTO!$AF$11)),0)</f>
        <v>0</v>
      </c>
      <c r="AS708" s="546">
        <f ca="1">IF(AND($D708="Serviço",AS$12&lt;&gt;0,$H708&gt;0,OR(AUTOEVENTO&lt;&gt;"manual",$M708&lt;&gt;1)),
IF(Import.TipoArredondamento&lt;&gt;"TransfereGOV",
ROUND(OFFSET($P708,0,AS$13),15-13*ORÇAMENTO!$AF$7)/$H708*OFFSET(ORÇAMENTO!$X$15,ROW(AS708)-ROW(AS$15),0),
ROUND(ROUND(OFFSET($P708,0,AS$13),15-13*ORÇAMENTO!$AF$7)*OFFSET(ORÇAMENTO!$W$15,ROW(AS708)-ROW(AS$15),0),15-13*ORÇAMENTO!$AF$11)),0)</f>
        <v>0</v>
      </c>
      <c r="AT708" s="545">
        <f ca="1">IF(AND($D708="Serviço",AT$12&lt;&gt;0,$H708&gt;0,OR(AUTOEVENTO&lt;&gt;"manual",$M708&lt;&gt;1)),
IF(Import.TipoArredondamento&lt;&gt;"TransfereGOV",
ROUND(OFFSET($P708,0,AT$13),15-13*ORÇAMENTO!$AF$7)/$H708*OFFSET(ORÇAMENTO!$X$15,ROW(AT708)-ROW(AT$15),0),
ROUND(ROUND(OFFSET($P708,0,AT$13),15-13*ORÇAMENTO!$AF$7)*OFFSET(ORÇAMENTO!$W$15,ROW(AT708)-ROW(AT$15),0),15-13*ORÇAMENTO!$AF$11)),0)</f>
        <v>0</v>
      </c>
      <c r="AU708" s="545">
        <f ca="1">IF(AND($D708="Serviço",AU$12&lt;&gt;0,$H708&gt;0,OR(AUTOEVENTO&lt;&gt;"manual",$M708&lt;&gt;1)),
IF(Import.TipoArredondamento&lt;&gt;"TransfereGOV",
ROUND(OFFSET($P708,0,AU$13),15-13*ORÇAMENTO!$AF$7)/$H708*OFFSET(ORÇAMENTO!$X$15,ROW(AU708)-ROW(AU$15),0),
ROUND(ROUND(OFFSET($P708,0,AU$13),15-13*ORÇAMENTO!$AF$7)*OFFSET(ORÇAMENTO!$W$15,ROW(AU708)-ROW(AU$15),0),15-13*ORÇAMENTO!$AF$11)),0)</f>
        <v>0</v>
      </c>
      <c r="AV708" s="545">
        <f ca="1">IF(AND($D708="Serviço",AV$12&lt;&gt;0,$H708&gt;0,OR(AUTOEVENTO&lt;&gt;"manual",$M708&lt;&gt;1)),
IF(Import.TipoArredondamento&lt;&gt;"TransfereGOV",
ROUND(OFFSET($P708,0,AV$13),15-13*ORÇAMENTO!$AF$7)/$H708*OFFSET(ORÇAMENTO!$X$15,ROW(AV708)-ROW(AV$15),0),
ROUND(ROUND(OFFSET($P708,0,AV$13),15-13*ORÇAMENTO!$AF$7)*OFFSET(ORÇAMENTO!$W$15,ROW(AV708)-ROW(AV$15),0),15-13*ORÇAMENTO!$AF$11)),0)</f>
        <v>0</v>
      </c>
      <c r="AW708" s="545">
        <f ca="1">IF(AND($D708="Serviço",AW$12&lt;&gt;0,$H708&gt;0,OR(AUTOEVENTO&lt;&gt;"manual",$M708&lt;&gt;1)),
IF(Import.TipoArredondamento&lt;&gt;"TransfereGOV",
ROUND(OFFSET($P708,0,AW$13),15-13*ORÇAMENTO!$AF$7)/$H708*OFFSET(ORÇAMENTO!$X$15,ROW(AW708)-ROW(AW$15),0),
ROUND(ROUND(OFFSET($P708,0,AW$13),15-13*ORÇAMENTO!$AF$7)*OFFSET(ORÇAMENTO!$W$15,ROW(AW708)-ROW(AW$15),0),15-13*ORÇAMENTO!$AF$11)),0)</f>
        <v>0</v>
      </c>
      <c r="AX708" s="545">
        <f ca="1">IF(AND($D708="Serviço",AX$12&lt;&gt;0,$H708&gt;0,OR(AUTOEVENTO&lt;&gt;"manual",$M708&lt;&gt;1)),
IF(Import.TipoArredondamento&lt;&gt;"TransfereGOV",
ROUND(OFFSET($P708,0,AX$13),15-13*ORÇAMENTO!$AF$7)/$H708*OFFSET(ORÇAMENTO!$X$15,ROW(AX708)-ROW(AX$15),0),
ROUND(ROUND(OFFSET($P708,0,AX$13),15-13*ORÇAMENTO!$AF$7)*OFFSET(ORÇAMENTO!$W$15,ROW(AX708)-ROW(AX$15),0),15-13*ORÇAMENTO!$AF$11)),0)</f>
        <v>0</v>
      </c>
      <c r="AY708" s="545">
        <f ca="1">IF(AND($D708="Serviço",AY$12&lt;&gt;0,$H708&gt;0,OR(AUTOEVENTO&lt;&gt;"manual",$M708&lt;&gt;1)),
IF(Import.TipoArredondamento&lt;&gt;"TransfereGOV",
ROUND(OFFSET($P708,0,AY$13),15-13*ORÇAMENTO!$AF$7)/$H708*OFFSET(ORÇAMENTO!$X$15,ROW(AY708)-ROW(AY$15),0),
ROUND(ROUND(OFFSET($P708,0,AY$13),15-13*ORÇAMENTO!$AF$7)*OFFSET(ORÇAMENTO!$W$15,ROW(AY708)-ROW(AY$15),0),15-13*ORÇAMENTO!$AF$11)),0)</f>
        <v>0</v>
      </c>
      <c r="AZ708" s="545">
        <f ca="1">IF(AND($D708="Serviço",AZ$12&lt;&gt;0,$H708&gt;0,OR(AUTOEVENTO&lt;&gt;"manual",$M708&lt;&gt;1)),
IF(Import.TipoArredondamento&lt;&gt;"TransfereGOV",
ROUND(OFFSET($P708,0,AZ$13),15-13*ORÇAMENTO!$AF$7)/$H708*OFFSET(ORÇAMENTO!$X$15,ROW(AZ708)-ROW(AZ$15),0),
ROUND(ROUND(OFFSET($P708,0,AZ$13),15-13*ORÇAMENTO!$AF$7)*OFFSET(ORÇAMENTO!$W$15,ROW(AZ708)-ROW(AZ$15),0),15-13*ORÇAMENTO!$AF$11)),0)</f>
        <v>0</v>
      </c>
      <c r="BA708" s="546">
        <f ca="1">IF(AND($D708="Serviço",BA$12&lt;&gt;0,$H708&gt;0,OR(AUTOEVENTO&lt;&gt;"manual",$M708&lt;&gt;1)),
IF(Import.TipoArredondamento&lt;&gt;"TransfereGOV",
ROUND(OFFSET($P708,0,BA$13),15-13*ORÇAMENTO!$AF$7)/$H708*OFFSET(ORÇAMENTO!$X$15,ROW(BA708)-ROW(BA$15),0),
ROUND(ROUND(OFFSET($P708,0,BA$13),15-13*ORÇAMENTO!$AF$7)*OFFSET(ORÇAMENTO!$W$15,ROW(BA708)-ROW(BA$15),0),15-13*ORÇAMENTO!$AF$11)),0)</f>
        <v>0</v>
      </c>
      <c r="BC708" s="181">
        <f ca="1">IF($D708&lt;&gt;"Serviço",0,IF(AND(AUTOEVENTO="Manual",$M708=1),0,IF(OFFSET(CRONOPLE!$F$14,$M708,BC$13)="",10^12,OFFSET(CRONOPLE!$F$14,$M708,BC$13))))</f>
        <v>12</v>
      </c>
      <c r="BD708" s="181">
        <f ca="1">IF($D708&lt;&gt;"Serviço",0,IF(AND(AUTOEVENTO="Manual",$M708=1),0,IF(OFFSET(CRONOPLE!$F$14,$M708,BD$13)="",10^12,OFFSET(CRONOPLE!$F$14,$M708,BD$13))))</f>
        <v>1000000000000</v>
      </c>
      <c r="BE708" s="181">
        <f ca="1">IF($D708&lt;&gt;"Serviço",0,IF(AND(AUTOEVENTO="Manual",$M708=1),0,IF(OFFSET(CRONOPLE!$F$14,$M708,BE$13)="",10^12,OFFSET(CRONOPLE!$F$14,$M708,BE$13))))</f>
        <v>1000000000000</v>
      </c>
      <c r="BF708" s="181">
        <f ca="1">IF($D708&lt;&gt;"Serviço",0,IF(AND(AUTOEVENTO="Manual",$M708=1),0,IF(OFFSET(CRONOPLE!$F$14,$M708,BF$13)="",10^12,OFFSET(CRONOPLE!$F$14,$M708,BF$13))))</f>
        <v>1000000000000</v>
      </c>
      <c r="BG708" s="181">
        <f ca="1">IF($D708&lt;&gt;"Serviço",0,IF(AND(AUTOEVENTO="Manual",$M708=1),0,IF(OFFSET(CRONOPLE!$F$14,$M708,BG$13)="",10^12,OFFSET(CRONOPLE!$F$14,$M708,BG$13))))</f>
        <v>1000000000000</v>
      </c>
      <c r="BH708" s="181">
        <f ca="1">IF($D708&lt;&gt;"Serviço",0,IF(AND(AUTOEVENTO="Manual",$M708=1),0,IF(OFFSET(CRONOPLE!$F$14,$M708,BH$13)="",10^12,OFFSET(CRONOPLE!$F$14,$M708,BH$13))))</f>
        <v>1000000000000</v>
      </c>
      <c r="BI708" s="181">
        <f ca="1">IF($D708&lt;&gt;"Serviço",0,IF(AND(AUTOEVENTO="Manual",$M708=1),0,IF(OFFSET(CRONOPLE!$F$14,$M708,BI$13)="",10^12,OFFSET(CRONOPLE!$F$14,$M708,BI$13))))</f>
        <v>1000000000000</v>
      </c>
      <c r="BJ708" s="181">
        <f ca="1">IF($D708&lt;&gt;"Serviço",0,IF(AND(AUTOEVENTO="Manual",$M708=1),0,IF(OFFSET(CRONOPLE!$F$14,$M708,BJ$13)="",10^12,OFFSET(CRONOPLE!$F$14,$M708,BJ$13))))</f>
        <v>1000000000000</v>
      </c>
      <c r="BK708" s="181">
        <f ca="1">IF($D708&lt;&gt;"Serviço",0,IF(AND(AUTOEVENTO="Manual",$M708=1),0,IF(OFFSET(CRONOPLE!$F$14,$M708,BK$13)="",10^12,OFFSET(CRONOPLE!$F$14,$M708,BK$13))))</f>
        <v>1000000000000</v>
      </c>
      <c r="BL708" s="181">
        <f ca="1">IF($D708&lt;&gt;"Serviço",0,IF(AND(AUTOEVENTO="Manual",$M708=1),0,IF(OFFSET(CRONOPLE!$F$14,$M708,BL$13)="",10^12,OFFSET(CRONOPLE!$F$14,$M708,BL$13))))</f>
        <v>1000000000000</v>
      </c>
      <c r="BM708" s="181">
        <f ca="1">IF($D708&lt;&gt;"Serviço",0,IF(AND(AUTOEVENTO="Manual",$M708=1),0,IF(OFFSET(CRONOPLE!$F$14,$M708,BM$13)="",10^12,OFFSET(CRONOPLE!$F$14,$M708,BM$13))))</f>
        <v>1000000000000</v>
      </c>
      <c r="BN708" s="181">
        <f ca="1">IF($D708&lt;&gt;"Serviço",0,IF(AND(AUTOEVENTO="Manual",$M708=1),0,IF(OFFSET(CRONOPLE!$F$14,$M708,BN$13)="",10^12,OFFSET(CRONOPLE!$F$14,$M708,BN$13))))</f>
        <v>1000000000000</v>
      </c>
      <c r="BO708" s="181">
        <f ca="1">IF($D708&lt;&gt;"Serviço",0,IF(AND(AUTOEVENTO="Manual",$M708=1),0,IF(OFFSET(CRONOPLE!$F$14,$M708,BO$13)="",10^12,OFFSET(CRONOPLE!$F$14,$M708,BO$13))))</f>
        <v>1000000000000</v>
      </c>
      <c r="BP708" s="181">
        <f ca="1">IF($D708&lt;&gt;"Serviço",0,IF(AND(AUTOEVENTO="Manual",$M708=1),0,IF(OFFSET(CRONOPLE!$F$14,$M708,BP$13)="",10^12,OFFSET(CRONOPLE!$F$14,$M708,BP$13))))</f>
        <v>1000000000000</v>
      </c>
      <c r="BQ708" s="181">
        <f ca="1">IF($D708&lt;&gt;"Serviço",0,IF(AND(AUTOEVENTO="Manual",$M708=1),0,IF(OFFSET(CRONOPLE!$F$14,$M708,BQ$13)="",10^12,OFFSET(CRONOPLE!$F$14,$M708,BQ$13))))</f>
        <v>1000000000000</v>
      </c>
      <c r="BR708" s="181">
        <f ca="1">IF($D708&lt;&gt;"Serviço",0,IF(AND(AUTOEVENTO="Manual",$M708=1),0,IF(OFFSET(CRONOPLE!$F$14,$M708,BR$13)="",10^12,OFFSET(CRONOPLE!$F$14,$M708,BR$13))))</f>
        <v>1000000000000</v>
      </c>
      <c r="BS708" s="181">
        <f ca="1">IF($D708&lt;&gt;"Serviço",0,IF(AND(AUTOEVENTO="Manual",$M708=1),0,IF(OFFSET(CRONOPLE!$F$14,$M708,BS$13)="",10^12,OFFSET(CRONOPLE!$F$14,$M708,BS$13))))</f>
        <v>1000000000000</v>
      </c>
      <c r="BT708" s="181">
        <f ca="1">IF($D708&lt;&gt;"Serviço",0,IF(AND(AUTOEVENTO="Manual",$M708=1),0,IF(OFFSET(CRONOPLE!$F$14,$M708,BT$13)="",10^12,OFFSET(CRONOPLE!$F$14,$M708,BT$13))))</f>
        <v>1000000000000</v>
      </c>
      <c r="BV708" s="182">
        <f ca="1">IF($D708&lt;&gt;"Serviço",0,IF(OR(AND(AUTOEVENTO="Manual",$M708=1),$M708&gt;(ROW(PLE.lastrow)-ROW(PLE.firstrow))),0,IF(OFFSET(PLE!$G$14,$M708,BV$13)="",10^12,OFFSET(PLE!$G$14,$M708,BV$13))))</f>
        <v>1000000000000</v>
      </c>
      <c r="BW708" s="182">
        <f ca="1">IF($D708&lt;&gt;"Serviço",0,IF(OR(AND(AUTOEVENTO="Manual",$M708=1),$M708&gt;(ROW(PLE.lastrow)-ROW(PLE.firstrow))),0,IF(OFFSET(PLE!$G$14,$M708,BW$13)="",10^12,OFFSET(PLE!$G$14,$M708,BW$13))))</f>
        <v>1000000000000</v>
      </c>
      <c r="BX708" s="182">
        <f ca="1">IF($D708&lt;&gt;"Serviço",0,IF(OR(AND(AUTOEVENTO="Manual",$M708=1),$M708&gt;(ROW(PLE.lastrow)-ROW(PLE.firstrow))),0,IF(OFFSET(PLE!$G$14,$M708,BX$13)="",10^12,OFFSET(PLE!$G$14,$M708,BX$13))))</f>
        <v>1000000000000</v>
      </c>
      <c r="BY708" s="182">
        <f ca="1">IF($D708&lt;&gt;"Serviço",0,IF(OR(AND(AUTOEVENTO="Manual",$M708=1),$M708&gt;(ROW(PLE.lastrow)-ROW(PLE.firstrow))),0,IF(OFFSET(PLE!$G$14,$M708,BY$13)="",10^12,OFFSET(PLE!$G$14,$M708,BY$13))))</f>
        <v>1000000000000</v>
      </c>
      <c r="BZ708" s="182">
        <f ca="1">IF($D708&lt;&gt;"Serviço",0,IF(OR(AND(AUTOEVENTO="Manual",$M708=1),$M708&gt;(ROW(PLE.lastrow)-ROW(PLE.firstrow))),0,IF(OFFSET(PLE!$G$14,$M708,BZ$13)="",10^12,OFFSET(PLE!$G$14,$M708,BZ$13))))</f>
        <v>1000000000000</v>
      </c>
      <c r="CA708" s="182">
        <f ca="1">IF($D708&lt;&gt;"Serviço",0,IF(OR(AND(AUTOEVENTO="Manual",$M708=1),$M708&gt;(ROW(PLE.lastrow)-ROW(PLE.firstrow))),0,IF(OFFSET(PLE!$G$14,$M708,CA$13)="",10^12,OFFSET(PLE!$G$14,$M708,CA$13))))</f>
        <v>1000000000000</v>
      </c>
      <c r="CB708" s="182">
        <f ca="1">IF($D708&lt;&gt;"Serviço",0,IF(OR(AND(AUTOEVENTO="Manual",$M708=1),$M708&gt;(ROW(PLE.lastrow)-ROW(PLE.firstrow))),0,IF(OFFSET(PLE!$G$14,$M708,CB$13)="",10^12,OFFSET(PLE!$G$14,$M708,CB$13))))</f>
        <v>1000000000000</v>
      </c>
      <c r="CC708" s="182">
        <f ca="1">IF($D708&lt;&gt;"Serviço",0,IF(OR(AND(AUTOEVENTO="Manual",$M708=1),$M708&gt;(ROW(PLE.lastrow)-ROW(PLE.firstrow))),0,IF(OFFSET(PLE!$G$14,$M708,CC$13)="",10^12,OFFSET(PLE!$G$14,$M708,CC$13))))</f>
        <v>1000000000000</v>
      </c>
      <c r="CD708" s="182">
        <f ca="1">IF($D708&lt;&gt;"Serviço",0,IF(OR(AND(AUTOEVENTO="Manual",$M708=1),$M708&gt;(ROW(PLE.lastrow)-ROW(PLE.firstrow))),0,IF(OFFSET(PLE!$G$14,$M708,CD$13)="",10^12,OFFSET(PLE!$G$14,$M708,CD$13))))</f>
        <v>1000000000000</v>
      </c>
      <c r="CE708" s="182">
        <f ca="1">IF($D708&lt;&gt;"Serviço",0,IF(OR(AND(AUTOEVENTO="Manual",$M708=1),$M708&gt;(ROW(PLE.lastrow)-ROW(PLE.firstrow))),0,IF(OFFSET(PLE!$G$14,$M708,CE$13)="",10^12,OFFSET(PLE!$G$14,$M708,CE$13))))</f>
        <v>1000000000000</v>
      </c>
      <c r="CF708" s="182">
        <f ca="1">IF($D708&lt;&gt;"Serviço",0,IF(OR(AND(AUTOEVENTO="Manual",$M708=1),$M708&gt;(ROW(PLE.lastrow)-ROW(PLE.firstrow))),0,IF(OFFSET(PLE!$G$14,$M708,CF$13)="",10^12,OFFSET(PLE!$G$14,$M708,CF$13))))</f>
        <v>1000000000000</v>
      </c>
      <c r="CG708" s="182">
        <f ca="1">IF($D708&lt;&gt;"Serviço",0,IF(OR(AND(AUTOEVENTO="Manual",$M708=1),$M708&gt;(ROW(PLE.lastrow)-ROW(PLE.firstrow))),0,IF(OFFSET(PLE!$G$14,$M708,CG$13)="",10^12,OFFSET(PLE!$G$14,$M708,CG$13))))</f>
        <v>1000000000000</v>
      </c>
      <c r="CH708" s="182">
        <f ca="1">IF($D708&lt;&gt;"Serviço",0,IF(OR(AND(AUTOEVENTO="Manual",$M708=1),$M708&gt;(ROW(PLE.lastrow)-ROW(PLE.firstrow))),0,IF(OFFSET(PLE!$G$14,$M708,CH$13)="",10^12,OFFSET(PLE!$G$14,$M708,CH$13))))</f>
        <v>1000000000000</v>
      </c>
      <c r="CI708" s="182">
        <f ca="1">IF($D708&lt;&gt;"Serviço",0,IF(OR(AND(AUTOEVENTO="Manual",$M708=1),$M708&gt;(ROW(PLE.lastrow)-ROW(PLE.firstrow))),0,IF(OFFSET(PLE!$G$14,$M708,CI$13)="",10^12,OFFSET(PLE!$G$14,$M708,CI$13))))</f>
        <v>1000000000000</v>
      </c>
      <c r="CJ708" s="182">
        <f ca="1">IF($D708&lt;&gt;"Serviço",0,IF(OR(AND(AUTOEVENTO="Manual",$M708=1),$M708&gt;(ROW(PLE.lastrow)-ROW(PLE.firstrow))),0,IF(OFFSET(PLE!$G$14,$M708,CJ$13)="",10^12,OFFSET(PLE!$G$14,$M708,CJ$13))))</f>
        <v>1000000000000</v>
      </c>
      <c r="CK708" s="182">
        <f ca="1">IF($D708&lt;&gt;"Serviço",0,IF(OR(AND(AUTOEVENTO="Manual",$M708=1),$M708&gt;(ROW(PLE.lastrow)-ROW(PLE.firstrow))),0,IF(OFFSET(PLE!$G$14,$M708,CK$13)="",10^12,OFFSET(PLE!$G$14,$M708,CK$13))))</f>
        <v>1000000000000</v>
      </c>
      <c r="CL708" s="182">
        <f ca="1">IF($D708&lt;&gt;"Serviço",0,IF(OR(AND(AUTOEVENTO="Manual",$M708=1),$M708&gt;(ROW(PLE.lastrow)-ROW(PLE.firstrow))),0,IF(OFFSET(PLE!$G$14,$M708,CL$13)="",10^12,OFFSET(PLE!$G$14,$M708,CL$13))))</f>
        <v>1000000000000</v>
      </c>
      <c r="CM708" s="182">
        <f ca="1">IF($D708&lt;&gt;"Serviço",0,IF(OR(AND(AUTOEVENTO="Manual",$M708=1),$M708&gt;(ROW(PLE.lastrow)-ROW(PLE.firstrow))),0,IF(OFFSET(PLE!$G$14,$M708,CM$13)="",10^12,OFFSET(PLE!$G$14,$M708,CM$13))))</f>
        <v>1000000000000</v>
      </c>
    </row>
    <row r="709" spans="1:91" ht="38.25" x14ac:dyDescent="0.2">
      <c r="A709" s="7" t="str">
        <f t="shared" ca="1" si="20"/>
        <v>686</v>
      </c>
      <c r="B709" s="7" t="str">
        <f ca="1">OFFSET(ORÇAMENTO!C$15,ROW(B709)-ROW(B$15),0)</f>
        <v>S</v>
      </c>
      <c r="C709" s="7" t="str">
        <f ca="1">OFFSET(ORÇAMENTO!L$15,ROW(C709)-ROW(C$15),0)</f>
        <v/>
      </c>
      <c r="D709" s="118" t="str">
        <f ca="1">OFFSET(ORÇAMENTO!N$15,ROW(D709)-ROW(D$15),0)</f>
        <v>Serviço</v>
      </c>
      <c r="E709" s="119" t="str">
        <f ca="1">OFFSET(ORÇAMENTO!O$15,ROW(E709)-ROW(E$15),0)</f>
        <v>-</v>
      </c>
      <c r="F709" s="172" t="str">
        <f ca="1">OFFSET(ORÇAMENTO!R$15,ROW(F709)-ROW(F$15),0)</f>
        <v>(abra o arquivo 'Referência 06-2024.xlsm)</v>
      </c>
      <c r="G709" s="173" t="str">
        <f ca="1">IF($D709&lt;&gt;"Serviço","",OFFSET(ORÇAMENTO!S$15,ROW(G709)-ROW(G$15),0))</f>
        <v>-</v>
      </c>
      <c r="H709" s="124">
        <f ca="1">IF($D709&lt;&gt;"Serviço",0,IF(ACOMPANHAMENTO="BM",ROUND(OFFSET(ORÇAMENTO!AJ$15,ROW(H709)-ROW(H$15),0),15-13*ORÇAMENTO!$AF$7),SUMPRODUCT(($Q$12:$AI$12&lt;&gt;"")*ROUND($Q709:$AI709,15-13*ORÇAMENTO!$AF$7))))</f>
        <v>12.09</v>
      </c>
      <c r="I709" s="561" t="s">
        <v>1107</v>
      </c>
      <c r="K709" s="174"/>
      <c r="L709" s="175" t="s">
        <v>255</v>
      </c>
      <c r="M709" s="176">
        <f ca="1">IF($D709&lt;&gt;"Serviço","",IF(AUTOEVENTO="manual",$A709,IF(ISERROR(MATCH($A709,$A$15:OFFSET($A709,-1,0),0)),MAX($M$15:OFFSET(M709,-1,0))+1,INDEX($M$15:OFFSET(M709,-1,0),MATCH($A709,$A$15:OFFSET($A709,-1,0),0)))))</f>
        <v>77</v>
      </c>
      <c r="N709" s="177" t="str">
        <f ca="1">IF($D709&lt;&gt;"Serviço","",IF(AUTOEVENTO="Manual",IF($A709=0,"&lt;-- defina o número do agrupador",OFFSET(EVENTOS!$D$14,$A709,0)),OFFSET($F$15,$A709,0)))</f>
        <v>MURO DE FECHAMENTO - CONCRETO ARMADO PARA VIGAS INCLUINDO BALDRAME</v>
      </c>
      <c r="O709" s="178"/>
      <c r="Q709" s="178">
        <v>12.09</v>
      </c>
      <c r="R709" s="179"/>
      <c r="S709" s="179"/>
      <c r="T709" s="179"/>
      <c r="U709" s="179"/>
      <c r="V709" s="179"/>
      <c r="W709" s="179"/>
      <c r="X709" s="179"/>
      <c r="Y709" s="179"/>
      <c r="Z709" s="180"/>
      <c r="AA709" s="179"/>
      <c r="AB709" s="179"/>
      <c r="AC709" s="179"/>
      <c r="AD709" s="179"/>
      <c r="AE709" s="179"/>
      <c r="AF709" s="179"/>
      <c r="AG709" s="179"/>
      <c r="AH709" s="180"/>
      <c r="AJ709" s="544">
        <f ca="1">IF(AND($D709="Serviço",AJ$12&lt;&gt;0,$H709&gt;0,OR(AUTOEVENTO&lt;&gt;"manual",$M709&lt;&gt;1)),
IF(Import.TipoArredondamento&lt;&gt;"TransfereGOV",
ROUND(OFFSET($P709,0,AJ$13),15-13*ORÇAMENTO!$AF$7)/$H709*OFFSET(ORÇAMENTO!$X$15,ROW(AJ709)-ROW(AJ$15),0),
ROUND(ROUND(OFFSET($P709,0,AJ$13),15-13*ORÇAMENTO!$AF$7)*OFFSET(ORÇAMENTO!$W$15,ROW(AJ709)-ROW(AJ$15),0),15-13*ORÇAMENTO!$AF$11)),0)</f>
        <v>0</v>
      </c>
      <c r="AK709" s="545">
        <f ca="1">IF(AND($D709="Serviço",AK$12&lt;&gt;0,$H709&gt;0,OR(AUTOEVENTO&lt;&gt;"manual",$M709&lt;&gt;1)),
IF(Import.TipoArredondamento&lt;&gt;"TransfereGOV",
ROUND(OFFSET($P709,0,AK$13),15-13*ORÇAMENTO!$AF$7)/$H709*OFFSET(ORÇAMENTO!$X$15,ROW(AK709)-ROW(AK$15),0),
ROUND(ROUND(OFFSET($P709,0,AK$13),15-13*ORÇAMENTO!$AF$7)*OFFSET(ORÇAMENTO!$W$15,ROW(AK709)-ROW(AK$15),0),15-13*ORÇAMENTO!$AF$11)),0)</f>
        <v>0</v>
      </c>
      <c r="AL709" s="545">
        <f ca="1">IF(AND($D709="Serviço",AL$12&lt;&gt;0,$H709&gt;0,OR(AUTOEVENTO&lt;&gt;"manual",$M709&lt;&gt;1)),
IF(Import.TipoArredondamento&lt;&gt;"TransfereGOV",
ROUND(OFFSET($P709,0,AL$13),15-13*ORÇAMENTO!$AF$7)/$H709*OFFSET(ORÇAMENTO!$X$15,ROW(AL709)-ROW(AL$15),0),
ROUND(ROUND(OFFSET($P709,0,AL$13),15-13*ORÇAMENTO!$AF$7)*OFFSET(ORÇAMENTO!$W$15,ROW(AL709)-ROW(AL$15),0),15-13*ORÇAMENTO!$AF$11)),0)</f>
        <v>0</v>
      </c>
      <c r="AM709" s="545">
        <f ca="1">IF(AND($D709="Serviço",AM$12&lt;&gt;0,$H709&gt;0,OR(AUTOEVENTO&lt;&gt;"manual",$M709&lt;&gt;1)),
IF(Import.TipoArredondamento&lt;&gt;"TransfereGOV",
ROUND(OFFSET($P709,0,AM$13),15-13*ORÇAMENTO!$AF$7)/$H709*OFFSET(ORÇAMENTO!$X$15,ROW(AM709)-ROW(AM$15),0),
ROUND(ROUND(OFFSET($P709,0,AM$13),15-13*ORÇAMENTO!$AF$7)*OFFSET(ORÇAMENTO!$W$15,ROW(AM709)-ROW(AM$15),0),15-13*ORÇAMENTO!$AF$11)),0)</f>
        <v>0</v>
      </c>
      <c r="AN709" s="545">
        <f ca="1">IF(AND($D709="Serviço",AN$12&lt;&gt;0,$H709&gt;0,OR(AUTOEVENTO&lt;&gt;"manual",$M709&lt;&gt;1)),
IF(Import.TipoArredondamento&lt;&gt;"TransfereGOV",
ROUND(OFFSET($P709,0,AN$13),15-13*ORÇAMENTO!$AF$7)/$H709*OFFSET(ORÇAMENTO!$X$15,ROW(AN709)-ROW(AN$15),0),
ROUND(ROUND(OFFSET($P709,0,AN$13),15-13*ORÇAMENTO!$AF$7)*OFFSET(ORÇAMENTO!$W$15,ROW(AN709)-ROW(AN$15),0),15-13*ORÇAMENTO!$AF$11)),0)</f>
        <v>0</v>
      </c>
      <c r="AO709" s="545">
        <f ca="1">IF(AND($D709="Serviço",AO$12&lt;&gt;0,$H709&gt;0,OR(AUTOEVENTO&lt;&gt;"manual",$M709&lt;&gt;1)),
IF(Import.TipoArredondamento&lt;&gt;"TransfereGOV",
ROUND(OFFSET($P709,0,AO$13),15-13*ORÇAMENTO!$AF$7)/$H709*OFFSET(ORÇAMENTO!$X$15,ROW(AO709)-ROW(AO$15),0),
ROUND(ROUND(OFFSET($P709,0,AO$13),15-13*ORÇAMENTO!$AF$7)*OFFSET(ORÇAMENTO!$W$15,ROW(AO709)-ROW(AO$15),0),15-13*ORÇAMENTO!$AF$11)),0)</f>
        <v>0</v>
      </c>
      <c r="AP709" s="545">
        <f ca="1">IF(AND($D709="Serviço",AP$12&lt;&gt;0,$H709&gt;0,OR(AUTOEVENTO&lt;&gt;"manual",$M709&lt;&gt;1)),
IF(Import.TipoArredondamento&lt;&gt;"TransfereGOV",
ROUND(OFFSET($P709,0,AP$13),15-13*ORÇAMENTO!$AF$7)/$H709*OFFSET(ORÇAMENTO!$X$15,ROW(AP709)-ROW(AP$15),0),
ROUND(ROUND(OFFSET($P709,0,AP$13),15-13*ORÇAMENTO!$AF$7)*OFFSET(ORÇAMENTO!$W$15,ROW(AP709)-ROW(AP$15),0),15-13*ORÇAMENTO!$AF$11)),0)</f>
        <v>0</v>
      </c>
      <c r="AQ709" s="545">
        <f ca="1">IF(AND($D709="Serviço",AQ$12&lt;&gt;0,$H709&gt;0,OR(AUTOEVENTO&lt;&gt;"manual",$M709&lt;&gt;1)),
IF(Import.TipoArredondamento&lt;&gt;"TransfereGOV",
ROUND(OFFSET($P709,0,AQ$13),15-13*ORÇAMENTO!$AF$7)/$H709*OFFSET(ORÇAMENTO!$X$15,ROW(AQ709)-ROW(AQ$15),0),
ROUND(ROUND(OFFSET($P709,0,AQ$13),15-13*ORÇAMENTO!$AF$7)*OFFSET(ORÇAMENTO!$W$15,ROW(AQ709)-ROW(AQ$15),0),15-13*ORÇAMENTO!$AF$11)),0)</f>
        <v>0</v>
      </c>
      <c r="AR709" s="545">
        <f ca="1">IF(AND($D709="Serviço",AR$12&lt;&gt;0,$H709&gt;0,OR(AUTOEVENTO&lt;&gt;"manual",$M709&lt;&gt;1)),
IF(Import.TipoArredondamento&lt;&gt;"TransfereGOV",
ROUND(OFFSET($P709,0,AR$13),15-13*ORÇAMENTO!$AF$7)/$H709*OFFSET(ORÇAMENTO!$X$15,ROW(AR709)-ROW(AR$15),0),
ROUND(ROUND(OFFSET($P709,0,AR$13),15-13*ORÇAMENTO!$AF$7)*OFFSET(ORÇAMENTO!$W$15,ROW(AR709)-ROW(AR$15),0),15-13*ORÇAMENTO!$AF$11)),0)</f>
        <v>0</v>
      </c>
      <c r="AS709" s="546">
        <f ca="1">IF(AND($D709="Serviço",AS$12&lt;&gt;0,$H709&gt;0,OR(AUTOEVENTO&lt;&gt;"manual",$M709&lt;&gt;1)),
IF(Import.TipoArredondamento&lt;&gt;"TransfereGOV",
ROUND(OFFSET($P709,0,AS$13),15-13*ORÇAMENTO!$AF$7)/$H709*OFFSET(ORÇAMENTO!$X$15,ROW(AS709)-ROW(AS$15),0),
ROUND(ROUND(OFFSET($P709,0,AS$13),15-13*ORÇAMENTO!$AF$7)*OFFSET(ORÇAMENTO!$W$15,ROW(AS709)-ROW(AS$15),0),15-13*ORÇAMENTO!$AF$11)),0)</f>
        <v>0</v>
      </c>
      <c r="AT709" s="545">
        <f ca="1">IF(AND($D709="Serviço",AT$12&lt;&gt;0,$H709&gt;0,OR(AUTOEVENTO&lt;&gt;"manual",$M709&lt;&gt;1)),
IF(Import.TipoArredondamento&lt;&gt;"TransfereGOV",
ROUND(OFFSET($P709,0,AT$13),15-13*ORÇAMENTO!$AF$7)/$H709*OFFSET(ORÇAMENTO!$X$15,ROW(AT709)-ROW(AT$15),0),
ROUND(ROUND(OFFSET($P709,0,AT$13),15-13*ORÇAMENTO!$AF$7)*OFFSET(ORÇAMENTO!$W$15,ROW(AT709)-ROW(AT$15),0),15-13*ORÇAMENTO!$AF$11)),0)</f>
        <v>0</v>
      </c>
      <c r="AU709" s="545">
        <f ca="1">IF(AND($D709="Serviço",AU$12&lt;&gt;0,$H709&gt;0,OR(AUTOEVENTO&lt;&gt;"manual",$M709&lt;&gt;1)),
IF(Import.TipoArredondamento&lt;&gt;"TransfereGOV",
ROUND(OFFSET($P709,0,AU$13),15-13*ORÇAMENTO!$AF$7)/$H709*OFFSET(ORÇAMENTO!$X$15,ROW(AU709)-ROW(AU$15),0),
ROUND(ROUND(OFFSET($P709,0,AU$13),15-13*ORÇAMENTO!$AF$7)*OFFSET(ORÇAMENTO!$W$15,ROW(AU709)-ROW(AU$15),0),15-13*ORÇAMENTO!$AF$11)),0)</f>
        <v>0</v>
      </c>
      <c r="AV709" s="545">
        <f ca="1">IF(AND($D709="Serviço",AV$12&lt;&gt;0,$H709&gt;0,OR(AUTOEVENTO&lt;&gt;"manual",$M709&lt;&gt;1)),
IF(Import.TipoArredondamento&lt;&gt;"TransfereGOV",
ROUND(OFFSET($P709,0,AV$13),15-13*ORÇAMENTO!$AF$7)/$H709*OFFSET(ORÇAMENTO!$X$15,ROW(AV709)-ROW(AV$15),0),
ROUND(ROUND(OFFSET($P709,0,AV$13),15-13*ORÇAMENTO!$AF$7)*OFFSET(ORÇAMENTO!$W$15,ROW(AV709)-ROW(AV$15),0),15-13*ORÇAMENTO!$AF$11)),0)</f>
        <v>0</v>
      </c>
      <c r="AW709" s="545">
        <f ca="1">IF(AND($D709="Serviço",AW$12&lt;&gt;0,$H709&gt;0,OR(AUTOEVENTO&lt;&gt;"manual",$M709&lt;&gt;1)),
IF(Import.TipoArredondamento&lt;&gt;"TransfereGOV",
ROUND(OFFSET($P709,0,AW$13),15-13*ORÇAMENTO!$AF$7)/$H709*OFFSET(ORÇAMENTO!$X$15,ROW(AW709)-ROW(AW$15),0),
ROUND(ROUND(OFFSET($P709,0,AW$13),15-13*ORÇAMENTO!$AF$7)*OFFSET(ORÇAMENTO!$W$15,ROW(AW709)-ROW(AW$15),0),15-13*ORÇAMENTO!$AF$11)),0)</f>
        <v>0</v>
      </c>
      <c r="AX709" s="545">
        <f ca="1">IF(AND($D709="Serviço",AX$12&lt;&gt;0,$H709&gt;0,OR(AUTOEVENTO&lt;&gt;"manual",$M709&lt;&gt;1)),
IF(Import.TipoArredondamento&lt;&gt;"TransfereGOV",
ROUND(OFFSET($P709,0,AX$13),15-13*ORÇAMENTO!$AF$7)/$H709*OFFSET(ORÇAMENTO!$X$15,ROW(AX709)-ROW(AX$15),0),
ROUND(ROUND(OFFSET($P709,0,AX$13),15-13*ORÇAMENTO!$AF$7)*OFFSET(ORÇAMENTO!$W$15,ROW(AX709)-ROW(AX$15),0),15-13*ORÇAMENTO!$AF$11)),0)</f>
        <v>0</v>
      </c>
      <c r="AY709" s="545">
        <f ca="1">IF(AND($D709="Serviço",AY$12&lt;&gt;0,$H709&gt;0,OR(AUTOEVENTO&lt;&gt;"manual",$M709&lt;&gt;1)),
IF(Import.TipoArredondamento&lt;&gt;"TransfereGOV",
ROUND(OFFSET($P709,0,AY$13),15-13*ORÇAMENTO!$AF$7)/$H709*OFFSET(ORÇAMENTO!$X$15,ROW(AY709)-ROW(AY$15),0),
ROUND(ROUND(OFFSET($P709,0,AY$13),15-13*ORÇAMENTO!$AF$7)*OFFSET(ORÇAMENTO!$W$15,ROW(AY709)-ROW(AY$15),0),15-13*ORÇAMENTO!$AF$11)),0)</f>
        <v>0</v>
      </c>
      <c r="AZ709" s="545">
        <f ca="1">IF(AND($D709="Serviço",AZ$12&lt;&gt;0,$H709&gt;0,OR(AUTOEVENTO&lt;&gt;"manual",$M709&lt;&gt;1)),
IF(Import.TipoArredondamento&lt;&gt;"TransfereGOV",
ROUND(OFFSET($P709,0,AZ$13),15-13*ORÇAMENTO!$AF$7)/$H709*OFFSET(ORÇAMENTO!$X$15,ROW(AZ709)-ROW(AZ$15),0),
ROUND(ROUND(OFFSET($P709,0,AZ$13),15-13*ORÇAMENTO!$AF$7)*OFFSET(ORÇAMENTO!$W$15,ROW(AZ709)-ROW(AZ$15),0),15-13*ORÇAMENTO!$AF$11)),0)</f>
        <v>0</v>
      </c>
      <c r="BA709" s="546">
        <f ca="1">IF(AND($D709="Serviço",BA$12&lt;&gt;0,$H709&gt;0,OR(AUTOEVENTO&lt;&gt;"manual",$M709&lt;&gt;1)),
IF(Import.TipoArredondamento&lt;&gt;"TransfereGOV",
ROUND(OFFSET($P709,0,BA$13),15-13*ORÇAMENTO!$AF$7)/$H709*OFFSET(ORÇAMENTO!$X$15,ROW(BA709)-ROW(BA$15),0),
ROUND(ROUND(OFFSET($P709,0,BA$13),15-13*ORÇAMENTO!$AF$7)*OFFSET(ORÇAMENTO!$W$15,ROW(BA709)-ROW(BA$15),0),15-13*ORÇAMENTO!$AF$11)),0)</f>
        <v>0</v>
      </c>
      <c r="BC709" s="181">
        <f ca="1">IF($D709&lt;&gt;"Serviço",0,IF(AND(AUTOEVENTO="Manual",$M709=1),0,IF(OFFSET(CRONOPLE!$F$14,$M709,BC$13)="",10^12,OFFSET(CRONOPLE!$F$14,$M709,BC$13))))</f>
        <v>12</v>
      </c>
      <c r="BD709" s="181">
        <f ca="1">IF($D709&lt;&gt;"Serviço",0,IF(AND(AUTOEVENTO="Manual",$M709=1),0,IF(OFFSET(CRONOPLE!$F$14,$M709,BD$13)="",10^12,OFFSET(CRONOPLE!$F$14,$M709,BD$13))))</f>
        <v>1000000000000</v>
      </c>
      <c r="BE709" s="181">
        <f ca="1">IF($D709&lt;&gt;"Serviço",0,IF(AND(AUTOEVENTO="Manual",$M709=1),0,IF(OFFSET(CRONOPLE!$F$14,$M709,BE$13)="",10^12,OFFSET(CRONOPLE!$F$14,$M709,BE$13))))</f>
        <v>1000000000000</v>
      </c>
      <c r="BF709" s="181">
        <f ca="1">IF($D709&lt;&gt;"Serviço",0,IF(AND(AUTOEVENTO="Manual",$M709=1),0,IF(OFFSET(CRONOPLE!$F$14,$M709,BF$13)="",10^12,OFFSET(CRONOPLE!$F$14,$M709,BF$13))))</f>
        <v>1000000000000</v>
      </c>
      <c r="BG709" s="181">
        <f ca="1">IF($D709&lt;&gt;"Serviço",0,IF(AND(AUTOEVENTO="Manual",$M709=1),0,IF(OFFSET(CRONOPLE!$F$14,$M709,BG$13)="",10^12,OFFSET(CRONOPLE!$F$14,$M709,BG$13))))</f>
        <v>1000000000000</v>
      </c>
      <c r="BH709" s="181">
        <f ca="1">IF($D709&lt;&gt;"Serviço",0,IF(AND(AUTOEVENTO="Manual",$M709=1),0,IF(OFFSET(CRONOPLE!$F$14,$M709,BH$13)="",10^12,OFFSET(CRONOPLE!$F$14,$M709,BH$13))))</f>
        <v>1000000000000</v>
      </c>
      <c r="BI709" s="181">
        <f ca="1">IF($D709&lt;&gt;"Serviço",0,IF(AND(AUTOEVENTO="Manual",$M709=1),0,IF(OFFSET(CRONOPLE!$F$14,$M709,BI$13)="",10^12,OFFSET(CRONOPLE!$F$14,$M709,BI$13))))</f>
        <v>1000000000000</v>
      </c>
      <c r="BJ709" s="181">
        <f ca="1">IF($D709&lt;&gt;"Serviço",0,IF(AND(AUTOEVENTO="Manual",$M709=1),0,IF(OFFSET(CRONOPLE!$F$14,$M709,BJ$13)="",10^12,OFFSET(CRONOPLE!$F$14,$M709,BJ$13))))</f>
        <v>1000000000000</v>
      </c>
      <c r="BK709" s="181">
        <f ca="1">IF($D709&lt;&gt;"Serviço",0,IF(AND(AUTOEVENTO="Manual",$M709=1),0,IF(OFFSET(CRONOPLE!$F$14,$M709,BK$13)="",10^12,OFFSET(CRONOPLE!$F$14,$M709,BK$13))))</f>
        <v>1000000000000</v>
      </c>
      <c r="BL709" s="181">
        <f ca="1">IF($D709&lt;&gt;"Serviço",0,IF(AND(AUTOEVENTO="Manual",$M709=1),0,IF(OFFSET(CRONOPLE!$F$14,$M709,BL$13)="",10^12,OFFSET(CRONOPLE!$F$14,$M709,BL$13))))</f>
        <v>1000000000000</v>
      </c>
      <c r="BM709" s="181">
        <f ca="1">IF($D709&lt;&gt;"Serviço",0,IF(AND(AUTOEVENTO="Manual",$M709=1),0,IF(OFFSET(CRONOPLE!$F$14,$M709,BM$13)="",10^12,OFFSET(CRONOPLE!$F$14,$M709,BM$13))))</f>
        <v>1000000000000</v>
      </c>
      <c r="BN709" s="181">
        <f ca="1">IF($D709&lt;&gt;"Serviço",0,IF(AND(AUTOEVENTO="Manual",$M709=1),0,IF(OFFSET(CRONOPLE!$F$14,$M709,BN$13)="",10^12,OFFSET(CRONOPLE!$F$14,$M709,BN$13))))</f>
        <v>1000000000000</v>
      </c>
      <c r="BO709" s="181">
        <f ca="1">IF($D709&lt;&gt;"Serviço",0,IF(AND(AUTOEVENTO="Manual",$M709=1),0,IF(OFFSET(CRONOPLE!$F$14,$M709,BO$13)="",10^12,OFFSET(CRONOPLE!$F$14,$M709,BO$13))))</f>
        <v>1000000000000</v>
      </c>
      <c r="BP709" s="181">
        <f ca="1">IF($D709&lt;&gt;"Serviço",0,IF(AND(AUTOEVENTO="Manual",$M709=1),0,IF(OFFSET(CRONOPLE!$F$14,$M709,BP$13)="",10^12,OFFSET(CRONOPLE!$F$14,$M709,BP$13))))</f>
        <v>1000000000000</v>
      </c>
      <c r="BQ709" s="181">
        <f ca="1">IF($D709&lt;&gt;"Serviço",0,IF(AND(AUTOEVENTO="Manual",$M709=1),0,IF(OFFSET(CRONOPLE!$F$14,$M709,BQ$13)="",10^12,OFFSET(CRONOPLE!$F$14,$M709,BQ$13))))</f>
        <v>1000000000000</v>
      </c>
      <c r="BR709" s="181">
        <f ca="1">IF($D709&lt;&gt;"Serviço",0,IF(AND(AUTOEVENTO="Manual",$M709=1),0,IF(OFFSET(CRONOPLE!$F$14,$M709,BR$13)="",10^12,OFFSET(CRONOPLE!$F$14,$M709,BR$13))))</f>
        <v>1000000000000</v>
      </c>
      <c r="BS709" s="181">
        <f ca="1">IF($D709&lt;&gt;"Serviço",0,IF(AND(AUTOEVENTO="Manual",$M709=1),0,IF(OFFSET(CRONOPLE!$F$14,$M709,BS$13)="",10^12,OFFSET(CRONOPLE!$F$14,$M709,BS$13))))</f>
        <v>1000000000000</v>
      </c>
      <c r="BT709" s="181">
        <f ca="1">IF($D709&lt;&gt;"Serviço",0,IF(AND(AUTOEVENTO="Manual",$M709=1),0,IF(OFFSET(CRONOPLE!$F$14,$M709,BT$13)="",10^12,OFFSET(CRONOPLE!$F$14,$M709,BT$13))))</f>
        <v>1000000000000</v>
      </c>
      <c r="BV709" s="182">
        <f ca="1">IF($D709&lt;&gt;"Serviço",0,IF(OR(AND(AUTOEVENTO="Manual",$M709=1),$M709&gt;(ROW(PLE.lastrow)-ROW(PLE.firstrow))),0,IF(OFFSET(PLE!$G$14,$M709,BV$13)="",10^12,OFFSET(PLE!$G$14,$M709,BV$13))))</f>
        <v>1000000000000</v>
      </c>
      <c r="BW709" s="182">
        <f ca="1">IF($D709&lt;&gt;"Serviço",0,IF(OR(AND(AUTOEVENTO="Manual",$M709=1),$M709&gt;(ROW(PLE.lastrow)-ROW(PLE.firstrow))),0,IF(OFFSET(PLE!$G$14,$M709,BW$13)="",10^12,OFFSET(PLE!$G$14,$M709,BW$13))))</f>
        <v>1000000000000</v>
      </c>
      <c r="BX709" s="182">
        <f ca="1">IF($D709&lt;&gt;"Serviço",0,IF(OR(AND(AUTOEVENTO="Manual",$M709=1),$M709&gt;(ROW(PLE.lastrow)-ROW(PLE.firstrow))),0,IF(OFFSET(PLE!$G$14,$M709,BX$13)="",10^12,OFFSET(PLE!$G$14,$M709,BX$13))))</f>
        <v>1000000000000</v>
      </c>
      <c r="BY709" s="182">
        <f ca="1">IF($D709&lt;&gt;"Serviço",0,IF(OR(AND(AUTOEVENTO="Manual",$M709=1),$M709&gt;(ROW(PLE.lastrow)-ROW(PLE.firstrow))),0,IF(OFFSET(PLE!$G$14,$M709,BY$13)="",10^12,OFFSET(PLE!$G$14,$M709,BY$13))))</f>
        <v>1000000000000</v>
      </c>
      <c r="BZ709" s="182">
        <f ca="1">IF($D709&lt;&gt;"Serviço",0,IF(OR(AND(AUTOEVENTO="Manual",$M709=1),$M709&gt;(ROW(PLE.lastrow)-ROW(PLE.firstrow))),0,IF(OFFSET(PLE!$G$14,$M709,BZ$13)="",10^12,OFFSET(PLE!$G$14,$M709,BZ$13))))</f>
        <v>1000000000000</v>
      </c>
      <c r="CA709" s="182">
        <f ca="1">IF($D709&lt;&gt;"Serviço",0,IF(OR(AND(AUTOEVENTO="Manual",$M709=1),$M709&gt;(ROW(PLE.lastrow)-ROW(PLE.firstrow))),0,IF(OFFSET(PLE!$G$14,$M709,CA$13)="",10^12,OFFSET(PLE!$G$14,$M709,CA$13))))</f>
        <v>1000000000000</v>
      </c>
      <c r="CB709" s="182">
        <f ca="1">IF($D709&lt;&gt;"Serviço",0,IF(OR(AND(AUTOEVENTO="Manual",$M709=1),$M709&gt;(ROW(PLE.lastrow)-ROW(PLE.firstrow))),0,IF(OFFSET(PLE!$G$14,$M709,CB$13)="",10^12,OFFSET(PLE!$G$14,$M709,CB$13))))</f>
        <v>1000000000000</v>
      </c>
      <c r="CC709" s="182">
        <f ca="1">IF($D709&lt;&gt;"Serviço",0,IF(OR(AND(AUTOEVENTO="Manual",$M709=1),$M709&gt;(ROW(PLE.lastrow)-ROW(PLE.firstrow))),0,IF(OFFSET(PLE!$G$14,$M709,CC$13)="",10^12,OFFSET(PLE!$G$14,$M709,CC$13))))</f>
        <v>1000000000000</v>
      </c>
      <c r="CD709" s="182">
        <f ca="1">IF($D709&lt;&gt;"Serviço",0,IF(OR(AND(AUTOEVENTO="Manual",$M709=1),$M709&gt;(ROW(PLE.lastrow)-ROW(PLE.firstrow))),0,IF(OFFSET(PLE!$G$14,$M709,CD$13)="",10^12,OFFSET(PLE!$G$14,$M709,CD$13))))</f>
        <v>1000000000000</v>
      </c>
      <c r="CE709" s="182">
        <f ca="1">IF($D709&lt;&gt;"Serviço",0,IF(OR(AND(AUTOEVENTO="Manual",$M709=1),$M709&gt;(ROW(PLE.lastrow)-ROW(PLE.firstrow))),0,IF(OFFSET(PLE!$G$14,$M709,CE$13)="",10^12,OFFSET(PLE!$G$14,$M709,CE$13))))</f>
        <v>1000000000000</v>
      </c>
      <c r="CF709" s="182">
        <f ca="1">IF($D709&lt;&gt;"Serviço",0,IF(OR(AND(AUTOEVENTO="Manual",$M709=1),$M709&gt;(ROW(PLE.lastrow)-ROW(PLE.firstrow))),0,IF(OFFSET(PLE!$G$14,$M709,CF$13)="",10^12,OFFSET(PLE!$G$14,$M709,CF$13))))</f>
        <v>1000000000000</v>
      </c>
      <c r="CG709" s="182">
        <f ca="1">IF($D709&lt;&gt;"Serviço",0,IF(OR(AND(AUTOEVENTO="Manual",$M709=1),$M709&gt;(ROW(PLE.lastrow)-ROW(PLE.firstrow))),0,IF(OFFSET(PLE!$G$14,$M709,CG$13)="",10^12,OFFSET(PLE!$G$14,$M709,CG$13))))</f>
        <v>1000000000000</v>
      </c>
      <c r="CH709" s="182">
        <f ca="1">IF($D709&lt;&gt;"Serviço",0,IF(OR(AND(AUTOEVENTO="Manual",$M709=1),$M709&gt;(ROW(PLE.lastrow)-ROW(PLE.firstrow))),0,IF(OFFSET(PLE!$G$14,$M709,CH$13)="",10^12,OFFSET(PLE!$G$14,$M709,CH$13))))</f>
        <v>1000000000000</v>
      </c>
      <c r="CI709" s="182">
        <f ca="1">IF($D709&lt;&gt;"Serviço",0,IF(OR(AND(AUTOEVENTO="Manual",$M709=1),$M709&gt;(ROW(PLE.lastrow)-ROW(PLE.firstrow))),0,IF(OFFSET(PLE!$G$14,$M709,CI$13)="",10^12,OFFSET(PLE!$G$14,$M709,CI$13))))</f>
        <v>1000000000000</v>
      </c>
      <c r="CJ709" s="182">
        <f ca="1">IF($D709&lt;&gt;"Serviço",0,IF(OR(AND(AUTOEVENTO="Manual",$M709=1),$M709&gt;(ROW(PLE.lastrow)-ROW(PLE.firstrow))),0,IF(OFFSET(PLE!$G$14,$M709,CJ$13)="",10^12,OFFSET(PLE!$G$14,$M709,CJ$13))))</f>
        <v>1000000000000</v>
      </c>
      <c r="CK709" s="182">
        <f ca="1">IF($D709&lt;&gt;"Serviço",0,IF(OR(AND(AUTOEVENTO="Manual",$M709=1),$M709&gt;(ROW(PLE.lastrow)-ROW(PLE.firstrow))),0,IF(OFFSET(PLE!$G$14,$M709,CK$13)="",10^12,OFFSET(PLE!$G$14,$M709,CK$13))))</f>
        <v>1000000000000</v>
      </c>
      <c r="CL709" s="182">
        <f ca="1">IF($D709&lt;&gt;"Serviço",0,IF(OR(AND(AUTOEVENTO="Manual",$M709=1),$M709&gt;(ROW(PLE.lastrow)-ROW(PLE.firstrow))),0,IF(OFFSET(PLE!$G$14,$M709,CL$13)="",10^12,OFFSET(PLE!$G$14,$M709,CL$13))))</f>
        <v>1000000000000</v>
      </c>
      <c r="CM709" s="182">
        <f ca="1">IF($D709&lt;&gt;"Serviço",0,IF(OR(AND(AUTOEVENTO="Manual",$M709=1),$M709&gt;(ROW(PLE.lastrow)-ROW(PLE.firstrow))),0,IF(OFFSET(PLE!$G$14,$M709,CM$13)="",10^12,OFFSET(PLE!$G$14,$M709,CM$13))))</f>
        <v>1000000000000</v>
      </c>
    </row>
    <row r="710" spans="1:91" ht="12.75" x14ac:dyDescent="0.2">
      <c r="A710" s="7" t="str">
        <f t="shared" ca="1" si="20"/>
        <v>695.</v>
      </c>
      <c r="B710" s="7">
        <f ca="1">OFFSET(ORÇAMENTO!C$15,ROW(B710)-ROW(B$15),0)</f>
        <v>2</v>
      </c>
      <c r="C710" s="7" t="str">
        <f ca="1">OFFSET(ORÇAMENTO!L$15,ROW(C710)-ROW(C$15),0)</f>
        <v>F</v>
      </c>
      <c r="D710" s="118" t="str">
        <f ca="1">OFFSET(ORÇAMENTO!N$15,ROW(D710)-ROW(D$15),0)</f>
        <v>Nível 2</v>
      </c>
      <c r="E710" s="119" t="str">
        <f ca="1">OFFSET(ORÇAMENTO!O$15,ROW(E710)-ROW(E$15),0)</f>
        <v>1.77.</v>
      </c>
      <c r="F710" s="172" t="str">
        <f ca="1">OFFSET(ORÇAMENTO!R$15,ROW(F710)-ROW(F$15),0)</f>
        <v>MURO DE FECHAMENTO - IMPERMEABILIZAÇÃO</v>
      </c>
      <c r="G710" s="173" t="str">
        <f ca="1">IF($D710&lt;&gt;"Serviço","",OFFSET(ORÇAMENTO!S$15,ROW(G710)-ROW(G$15),0))</f>
        <v/>
      </c>
      <c r="H710" s="124">
        <f ca="1">IF($D710&lt;&gt;"Serviço",0,IF(ACOMPANHAMENTO="BM",ROUND(OFFSET(ORÇAMENTO!AJ$15,ROW(H710)-ROW(H$15),0),15-13*ORÇAMENTO!$AF$7),SUMPRODUCT(($Q$12:$AI$12&lt;&gt;"")*ROUND($Q710:$AI710,15-13*ORÇAMENTO!$AF$7))))</f>
        <v>0</v>
      </c>
      <c r="I710" s="561"/>
      <c r="K710" s="174"/>
      <c r="L710" s="175" t="s">
        <v>255</v>
      </c>
      <c r="M710" s="176" t="str">
        <f ca="1">IF($D710&lt;&gt;"Serviço","",IF(AUTOEVENTO="manual",$A710,IF(ISERROR(MATCH($A710,$A$15:OFFSET($A710,-1,0),0)),MAX($M$15:OFFSET(M710,-1,0))+1,INDEX($M$15:OFFSET(M710,-1,0),MATCH($A710,$A$15:OFFSET($A710,-1,0),0)))))</f>
        <v/>
      </c>
      <c r="N710" s="177" t="str">
        <f ca="1">IF($D710&lt;&gt;"Serviço","",IF(AUTOEVENTO="Manual",IF($A710=0,"&lt;-- defina o número do agrupador",OFFSET(EVENTOS!$D$14,$A710,0)),OFFSET($F$15,$A710,0)))</f>
        <v/>
      </c>
      <c r="O710" s="178"/>
      <c r="Q710" s="178">
        <v>0</v>
      </c>
      <c r="R710" s="179"/>
      <c r="S710" s="179"/>
      <c r="T710" s="179"/>
      <c r="U710" s="179"/>
      <c r="V710" s="179"/>
      <c r="W710" s="179"/>
      <c r="X710" s="179"/>
      <c r="Y710" s="179"/>
      <c r="Z710" s="180"/>
      <c r="AA710" s="179"/>
      <c r="AB710" s="179"/>
      <c r="AC710" s="179"/>
      <c r="AD710" s="179"/>
      <c r="AE710" s="179"/>
      <c r="AF710" s="179"/>
      <c r="AG710" s="179"/>
      <c r="AH710" s="180"/>
      <c r="AJ710" s="544">
        <f ca="1">IF(AND($D710="Serviço",AJ$12&lt;&gt;0,$H710&gt;0,OR(AUTOEVENTO&lt;&gt;"manual",$M710&lt;&gt;1)),
IF(Import.TipoArredondamento&lt;&gt;"TransfereGOV",
ROUND(OFFSET($P710,0,AJ$13),15-13*ORÇAMENTO!$AF$7)/$H710*OFFSET(ORÇAMENTO!$X$15,ROW(AJ710)-ROW(AJ$15),0),
ROUND(ROUND(OFFSET($P710,0,AJ$13),15-13*ORÇAMENTO!$AF$7)*OFFSET(ORÇAMENTO!$W$15,ROW(AJ710)-ROW(AJ$15),0),15-13*ORÇAMENTO!$AF$11)),0)</f>
        <v>0</v>
      </c>
      <c r="AK710" s="545">
        <f ca="1">IF(AND($D710="Serviço",AK$12&lt;&gt;0,$H710&gt;0,OR(AUTOEVENTO&lt;&gt;"manual",$M710&lt;&gt;1)),
IF(Import.TipoArredondamento&lt;&gt;"TransfereGOV",
ROUND(OFFSET($P710,0,AK$13),15-13*ORÇAMENTO!$AF$7)/$H710*OFFSET(ORÇAMENTO!$X$15,ROW(AK710)-ROW(AK$15),0),
ROUND(ROUND(OFFSET($P710,0,AK$13),15-13*ORÇAMENTO!$AF$7)*OFFSET(ORÇAMENTO!$W$15,ROW(AK710)-ROW(AK$15),0),15-13*ORÇAMENTO!$AF$11)),0)</f>
        <v>0</v>
      </c>
      <c r="AL710" s="545">
        <f ca="1">IF(AND($D710="Serviço",AL$12&lt;&gt;0,$H710&gt;0,OR(AUTOEVENTO&lt;&gt;"manual",$M710&lt;&gt;1)),
IF(Import.TipoArredondamento&lt;&gt;"TransfereGOV",
ROUND(OFFSET($P710,0,AL$13),15-13*ORÇAMENTO!$AF$7)/$H710*OFFSET(ORÇAMENTO!$X$15,ROW(AL710)-ROW(AL$15),0),
ROUND(ROUND(OFFSET($P710,0,AL$13),15-13*ORÇAMENTO!$AF$7)*OFFSET(ORÇAMENTO!$W$15,ROW(AL710)-ROW(AL$15),0),15-13*ORÇAMENTO!$AF$11)),0)</f>
        <v>0</v>
      </c>
      <c r="AM710" s="545">
        <f ca="1">IF(AND($D710="Serviço",AM$12&lt;&gt;0,$H710&gt;0,OR(AUTOEVENTO&lt;&gt;"manual",$M710&lt;&gt;1)),
IF(Import.TipoArredondamento&lt;&gt;"TransfereGOV",
ROUND(OFFSET($P710,0,AM$13),15-13*ORÇAMENTO!$AF$7)/$H710*OFFSET(ORÇAMENTO!$X$15,ROW(AM710)-ROW(AM$15),0),
ROUND(ROUND(OFFSET($P710,0,AM$13),15-13*ORÇAMENTO!$AF$7)*OFFSET(ORÇAMENTO!$W$15,ROW(AM710)-ROW(AM$15),0),15-13*ORÇAMENTO!$AF$11)),0)</f>
        <v>0</v>
      </c>
      <c r="AN710" s="545">
        <f ca="1">IF(AND($D710="Serviço",AN$12&lt;&gt;0,$H710&gt;0,OR(AUTOEVENTO&lt;&gt;"manual",$M710&lt;&gt;1)),
IF(Import.TipoArredondamento&lt;&gt;"TransfereGOV",
ROUND(OFFSET($P710,0,AN$13),15-13*ORÇAMENTO!$AF$7)/$H710*OFFSET(ORÇAMENTO!$X$15,ROW(AN710)-ROW(AN$15),0),
ROUND(ROUND(OFFSET($P710,0,AN$13),15-13*ORÇAMENTO!$AF$7)*OFFSET(ORÇAMENTO!$W$15,ROW(AN710)-ROW(AN$15),0),15-13*ORÇAMENTO!$AF$11)),0)</f>
        <v>0</v>
      </c>
      <c r="AO710" s="545">
        <f ca="1">IF(AND($D710="Serviço",AO$12&lt;&gt;0,$H710&gt;0,OR(AUTOEVENTO&lt;&gt;"manual",$M710&lt;&gt;1)),
IF(Import.TipoArredondamento&lt;&gt;"TransfereGOV",
ROUND(OFFSET($P710,0,AO$13),15-13*ORÇAMENTO!$AF$7)/$H710*OFFSET(ORÇAMENTO!$X$15,ROW(AO710)-ROW(AO$15),0),
ROUND(ROUND(OFFSET($P710,0,AO$13),15-13*ORÇAMENTO!$AF$7)*OFFSET(ORÇAMENTO!$W$15,ROW(AO710)-ROW(AO$15),0),15-13*ORÇAMENTO!$AF$11)),0)</f>
        <v>0</v>
      </c>
      <c r="AP710" s="545">
        <f ca="1">IF(AND($D710="Serviço",AP$12&lt;&gt;0,$H710&gt;0,OR(AUTOEVENTO&lt;&gt;"manual",$M710&lt;&gt;1)),
IF(Import.TipoArredondamento&lt;&gt;"TransfereGOV",
ROUND(OFFSET($P710,0,AP$13),15-13*ORÇAMENTO!$AF$7)/$H710*OFFSET(ORÇAMENTO!$X$15,ROW(AP710)-ROW(AP$15),0),
ROUND(ROUND(OFFSET($P710,0,AP$13),15-13*ORÇAMENTO!$AF$7)*OFFSET(ORÇAMENTO!$W$15,ROW(AP710)-ROW(AP$15),0),15-13*ORÇAMENTO!$AF$11)),0)</f>
        <v>0</v>
      </c>
      <c r="AQ710" s="545">
        <f ca="1">IF(AND($D710="Serviço",AQ$12&lt;&gt;0,$H710&gt;0,OR(AUTOEVENTO&lt;&gt;"manual",$M710&lt;&gt;1)),
IF(Import.TipoArredondamento&lt;&gt;"TransfereGOV",
ROUND(OFFSET($P710,0,AQ$13),15-13*ORÇAMENTO!$AF$7)/$H710*OFFSET(ORÇAMENTO!$X$15,ROW(AQ710)-ROW(AQ$15),0),
ROUND(ROUND(OFFSET($P710,0,AQ$13),15-13*ORÇAMENTO!$AF$7)*OFFSET(ORÇAMENTO!$W$15,ROW(AQ710)-ROW(AQ$15),0),15-13*ORÇAMENTO!$AF$11)),0)</f>
        <v>0</v>
      </c>
      <c r="AR710" s="545">
        <f ca="1">IF(AND($D710="Serviço",AR$12&lt;&gt;0,$H710&gt;0,OR(AUTOEVENTO&lt;&gt;"manual",$M710&lt;&gt;1)),
IF(Import.TipoArredondamento&lt;&gt;"TransfereGOV",
ROUND(OFFSET($P710,0,AR$13),15-13*ORÇAMENTO!$AF$7)/$H710*OFFSET(ORÇAMENTO!$X$15,ROW(AR710)-ROW(AR$15),0),
ROUND(ROUND(OFFSET($P710,0,AR$13),15-13*ORÇAMENTO!$AF$7)*OFFSET(ORÇAMENTO!$W$15,ROW(AR710)-ROW(AR$15),0),15-13*ORÇAMENTO!$AF$11)),0)</f>
        <v>0</v>
      </c>
      <c r="AS710" s="546">
        <f ca="1">IF(AND($D710="Serviço",AS$12&lt;&gt;0,$H710&gt;0,OR(AUTOEVENTO&lt;&gt;"manual",$M710&lt;&gt;1)),
IF(Import.TipoArredondamento&lt;&gt;"TransfereGOV",
ROUND(OFFSET($P710,0,AS$13),15-13*ORÇAMENTO!$AF$7)/$H710*OFFSET(ORÇAMENTO!$X$15,ROW(AS710)-ROW(AS$15),0),
ROUND(ROUND(OFFSET($P710,0,AS$13),15-13*ORÇAMENTO!$AF$7)*OFFSET(ORÇAMENTO!$W$15,ROW(AS710)-ROW(AS$15),0),15-13*ORÇAMENTO!$AF$11)),0)</f>
        <v>0</v>
      </c>
      <c r="AT710" s="545">
        <f ca="1">IF(AND($D710="Serviço",AT$12&lt;&gt;0,$H710&gt;0,OR(AUTOEVENTO&lt;&gt;"manual",$M710&lt;&gt;1)),
IF(Import.TipoArredondamento&lt;&gt;"TransfereGOV",
ROUND(OFFSET($P710,0,AT$13),15-13*ORÇAMENTO!$AF$7)/$H710*OFFSET(ORÇAMENTO!$X$15,ROW(AT710)-ROW(AT$15),0),
ROUND(ROUND(OFFSET($P710,0,AT$13),15-13*ORÇAMENTO!$AF$7)*OFFSET(ORÇAMENTO!$W$15,ROW(AT710)-ROW(AT$15),0),15-13*ORÇAMENTO!$AF$11)),0)</f>
        <v>0</v>
      </c>
      <c r="AU710" s="545">
        <f ca="1">IF(AND($D710="Serviço",AU$12&lt;&gt;0,$H710&gt;0,OR(AUTOEVENTO&lt;&gt;"manual",$M710&lt;&gt;1)),
IF(Import.TipoArredondamento&lt;&gt;"TransfereGOV",
ROUND(OFFSET($P710,0,AU$13),15-13*ORÇAMENTO!$AF$7)/$H710*OFFSET(ORÇAMENTO!$X$15,ROW(AU710)-ROW(AU$15),0),
ROUND(ROUND(OFFSET($P710,0,AU$13),15-13*ORÇAMENTO!$AF$7)*OFFSET(ORÇAMENTO!$W$15,ROW(AU710)-ROW(AU$15),0),15-13*ORÇAMENTO!$AF$11)),0)</f>
        <v>0</v>
      </c>
      <c r="AV710" s="545">
        <f ca="1">IF(AND($D710="Serviço",AV$12&lt;&gt;0,$H710&gt;0,OR(AUTOEVENTO&lt;&gt;"manual",$M710&lt;&gt;1)),
IF(Import.TipoArredondamento&lt;&gt;"TransfereGOV",
ROUND(OFFSET($P710,0,AV$13),15-13*ORÇAMENTO!$AF$7)/$H710*OFFSET(ORÇAMENTO!$X$15,ROW(AV710)-ROW(AV$15),0),
ROUND(ROUND(OFFSET($P710,0,AV$13),15-13*ORÇAMENTO!$AF$7)*OFFSET(ORÇAMENTO!$W$15,ROW(AV710)-ROW(AV$15),0),15-13*ORÇAMENTO!$AF$11)),0)</f>
        <v>0</v>
      </c>
      <c r="AW710" s="545">
        <f ca="1">IF(AND($D710="Serviço",AW$12&lt;&gt;0,$H710&gt;0,OR(AUTOEVENTO&lt;&gt;"manual",$M710&lt;&gt;1)),
IF(Import.TipoArredondamento&lt;&gt;"TransfereGOV",
ROUND(OFFSET($P710,0,AW$13),15-13*ORÇAMENTO!$AF$7)/$H710*OFFSET(ORÇAMENTO!$X$15,ROW(AW710)-ROW(AW$15),0),
ROUND(ROUND(OFFSET($P710,0,AW$13),15-13*ORÇAMENTO!$AF$7)*OFFSET(ORÇAMENTO!$W$15,ROW(AW710)-ROW(AW$15),0),15-13*ORÇAMENTO!$AF$11)),0)</f>
        <v>0</v>
      </c>
      <c r="AX710" s="545">
        <f ca="1">IF(AND($D710="Serviço",AX$12&lt;&gt;0,$H710&gt;0,OR(AUTOEVENTO&lt;&gt;"manual",$M710&lt;&gt;1)),
IF(Import.TipoArredondamento&lt;&gt;"TransfereGOV",
ROUND(OFFSET($P710,0,AX$13),15-13*ORÇAMENTO!$AF$7)/$H710*OFFSET(ORÇAMENTO!$X$15,ROW(AX710)-ROW(AX$15),0),
ROUND(ROUND(OFFSET($P710,0,AX$13),15-13*ORÇAMENTO!$AF$7)*OFFSET(ORÇAMENTO!$W$15,ROW(AX710)-ROW(AX$15),0),15-13*ORÇAMENTO!$AF$11)),0)</f>
        <v>0</v>
      </c>
      <c r="AY710" s="545">
        <f ca="1">IF(AND($D710="Serviço",AY$12&lt;&gt;0,$H710&gt;0,OR(AUTOEVENTO&lt;&gt;"manual",$M710&lt;&gt;1)),
IF(Import.TipoArredondamento&lt;&gt;"TransfereGOV",
ROUND(OFFSET($P710,0,AY$13),15-13*ORÇAMENTO!$AF$7)/$H710*OFFSET(ORÇAMENTO!$X$15,ROW(AY710)-ROW(AY$15),0),
ROUND(ROUND(OFFSET($P710,0,AY$13),15-13*ORÇAMENTO!$AF$7)*OFFSET(ORÇAMENTO!$W$15,ROW(AY710)-ROW(AY$15),0),15-13*ORÇAMENTO!$AF$11)),0)</f>
        <v>0</v>
      </c>
      <c r="AZ710" s="545">
        <f ca="1">IF(AND($D710="Serviço",AZ$12&lt;&gt;0,$H710&gt;0,OR(AUTOEVENTO&lt;&gt;"manual",$M710&lt;&gt;1)),
IF(Import.TipoArredondamento&lt;&gt;"TransfereGOV",
ROUND(OFFSET($P710,0,AZ$13),15-13*ORÇAMENTO!$AF$7)/$H710*OFFSET(ORÇAMENTO!$X$15,ROW(AZ710)-ROW(AZ$15),0),
ROUND(ROUND(OFFSET($P710,0,AZ$13),15-13*ORÇAMENTO!$AF$7)*OFFSET(ORÇAMENTO!$W$15,ROW(AZ710)-ROW(AZ$15),0),15-13*ORÇAMENTO!$AF$11)),0)</f>
        <v>0</v>
      </c>
      <c r="BA710" s="546">
        <f ca="1">IF(AND($D710="Serviço",BA$12&lt;&gt;0,$H710&gt;0,OR(AUTOEVENTO&lt;&gt;"manual",$M710&lt;&gt;1)),
IF(Import.TipoArredondamento&lt;&gt;"TransfereGOV",
ROUND(OFFSET($P710,0,BA$13),15-13*ORÇAMENTO!$AF$7)/$H710*OFFSET(ORÇAMENTO!$X$15,ROW(BA710)-ROW(BA$15),0),
ROUND(ROUND(OFFSET($P710,0,BA$13),15-13*ORÇAMENTO!$AF$7)*OFFSET(ORÇAMENTO!$W$15,ROW(BA710)-ROW(BA$15),0),15-13*ORÇAMENTO!$AF$11)),0)</f>
        <v>0</v>
      </c>
      <c r="BC710" s="181">
        <f ca="1">IF($D710&lt;&gt;"Serviço",0,IF(AND(AUTOEVENTO="Manual",$M710=1),0,IF(OFFSET(CRONOPLE!$F$14,$M710,BC$13)="",10^12,OFFSET(CRONOPLE!$F$14,$M710,BC$13))))</f>
        <v>0</v>
      </c>
      <c r="BD710" s="181">
        <f ca="1">IF($D710&lt;&gt;"Serviço",0,IF(AND(AUTOEVENTO="Manual",$M710=1),0,IF(OFFSET(CRONOPLE!$F$14,$M710,BD$13)="",10^12,OFFSET(CRONOPLE!$F$14,$M710,BD$13))))</f>
        <v>0</v>
      </c>
      <c r="BE710" s="181">
        <f ca="1">IF($D710&lt;&gt;"Serviço",0,IF(AND(AUTOEVENTO="Manual",$M710=1),0,IF(OFFSET(CRONOPLE!$F$14,$M710,BE$13)="",10^12,OFFSET(CRONOPLE!$F$14,$M710,BE$13))))</f>
        <v>0</v>
      </c>
      <c r="BF710" s="181">
        <f ca="1">IF($D710&lt;&gt;"Serviço",0,IF(AND(AUTOEVENTO="Manual",$M710=1),0,IF(OFFSET(CRONOPLE!$F$14,$M710,BF$13)="",10^12,OFFSET(CRONOPLE!$F$14,$M710,BF$13))))</f>
        <v>0</v>
      </c>
      <c r="BG710" s="181">
        <f ca="1">IF($D710&lt;&gt;"Serviço",0,IF(AND(AUTOEVENTO="Manual",$M710=1),0,IF(OFFSET(CRONOPLE!$F$14,$M710,BG$13)="",10^12,OFFSET(CRONOPLE!$F$14,$M710,BG$13))))</f>
        <v>0</v>
      </c>
      <c r="BH710" s="181">
        <f ca="1">IF($D710&lt;&gt;"Serviço",0,IF(AND(AUTOEVENTO="Manual",$M710=1),0,IF(OFFSET(CRONOPLE!$F$14,$M710,BH$13)="",10^12,OFFSET(CRONOPLE!$F$14,$M710,BH$13))))</f>
        <v>0</v>
      </c>
      <c r="BI710" s="181">
        <f ca="1">IF($D710&lt;&gt;"Serviço",0,IF(AND(AUTOEVENTO="Manual",$M710=1),0,IF(OFFSET(CRONOPLE!$F$14,$M710,BI$13)="",10^12,OFFSET(CRONOPLE!$F$14,$M710,BI$13))))</f>
        <v>0</v>
      </c>
      <c r="BJ710" s="181">
        <f ca="1">IF($D710&lt;&gt;"Serviço",0,IF(AND(AUTOEVENTO="Manual",$M710=1),0,IF(OFFSET(CRONOPLE!$F$14,$M710,BJ$13)="",10^12,OFFSET(CRONOPLE!$F$14,$M710,BJ$13))))</f>
        <v>0</v>
      </c>
      <c r="BK710" s="181">
        <f ca="1">IF($D710&lt;&gt;"Serviço",0,IF(AND(AUTOEVENTO="Manual",$M710=1),0,IF(OFFSET(CRONOPLE!$F$14,$M710,BK$13)="",10^12,OFFSET(CRONOPLE!$F$14,$M710,BK$13))))</f>
        <v>0</v>
      </c>
      <c r="BL710" s="181">
        <f ca="1">IF($D710&lt;&gt;"Serviço",0,IF(AND(AUTOEVENTO="Manual",$M710=1),0,IF(OFFSET(CRONOPLE!$F$14,$M710,BL$13)="",10^12,OFFSET(CRONOPLE!$F$14,$M710,BL$13))))</f>
        <v>0</v>
      </c>
      <c r="BM710" s="181">
        <f ca="1">IF($D710&lt;&gt;"Serviço",0,IF(AND(AUTOEVENTO="Manual",$M710=1),0,IF(OFFSET(CRONOPLE!$F$14,$M710,BM$13)="",10^12,OFFSET(CRONOPLE!$F$14,$M710,BM$13))))</f>
        <v>0</v>
      </c>
      <c r="BN710" s="181">
        <f ca="1">IF($D710&lt;&gt;"Serviço",0,IF(AND(AUTOEVENTO="Manual",$M710=1),0,IF(OFFSET(CRONOPLE!$F$14,$M710,BN$13)="",10^12,OFFSET(CRONOPLE!$F$14,$M710,BN$13))))</f>
        <v>0</v>
      </c>
      <c r="BO710" s="181">
        <f ca="1">IF($D710&lt;&gt;"Serviço",0,IF(AND(AUTOEVENTO="Manual",$M710=1),0,IF(OFFSET(CRONOPLE!$F$14,$M710,BO$13)="",10^12,OFFSET(CRONOPLE!$F$14,$M710,BO$13))))</f>
        <v>0</v>
      </c>
      <c r="BP710" s="181">
        <f ca="1">IF($D710&lt;&gt;"Serviço",0,IF(AND(AUTOEVENTO="Manual",$M710=1),0,IF(OFFSET(CRONOPLE!$F$14,$M710,BP$13)="",10^12,OFFSET(CRONOPLE!$F$14,$M710,BP$13))))</f>
        <v>0</v>
      </c>
      <c r="BQ710" s="181">
        <f ca="1">IF($D710&lt;&gt;"Serviço",0,IF(AND(AUTOEVENTO="Manual",$M710=1),0,IF(OFFSET(CRONOPLE!$F$14,$M710,BQ$13)="",10^12,OFFSET(CRONOPLE!$F$14,$M710,BQ$13))))</f>
        <v>0</v>
      </c>
      <c r="BR710" s="181">
        <f ca="1">IF($D710&lt;&gt;"Serviço",0,IF(AND(AUTOEVENTO="Manual",$M710=1),0,IF(OFFSET(CRONOPLE!$F$14,$M710,BR$13)="",10^12,OFFSET(CRONOPLE!$F$14,$M710,BR$13))))</f>
        <v>0</v>
      </c>
      <c r="BS710" s="181">
        <f ca="1">IF($D710&lt;&gt;"Serviço",0,IF(AND(AUTOEVENTO="Manual",$M710=1),0,IF(OFFSET(CRONOPLE!$F$14,$M710,BS$13)="",10^12,OFFSET(CRONOPLE!$F$14,$M710,BS$13))))</f>
        <v>0</v>
      </c>
      <c r="BT710" s="181">
        <f ca="1">IF($D710&lt;&gt;"Serviço",0,IF(AND(AUTOEVENTO="Manual",$M710=1),0,IF(OFFSET(CRONOPLE!$F$14,$M710,BT$13)="",10^12,OFFSET(CRONOPLE!$F$14,$M710,BT$13))))</f>
        <v>0</v>
      </c>
      <c r="BV710" s="182">
        <f ca="1">IF($D710&lt;&gt;"Serviço",0,IF(OR(AND(AUTOEVENTO="Manual",$M710=1),$M710&gt;(ROW(PLE.lastrow)-ROW(PLE.firstrow))),0,IF(OFFSET(PLE!$G$14,$M710,BV$13)="",10^12,OFFSET(PLE!$G$14,$M710,BV$13))))</f>
        <v>0</v>
      </c>
      <c r="BW710" s="182">
        <f ca="1">IF($D710&lt;&gt;"Serviço",0,IF(OR(AND(AUTOEVENTO="Manual",$M710=1),$M710&gt;(ROW(PLE.lastrow)-ROW(PLE.firstrow))),0,IF(OFFSET(PLE!$G$14,$M710,BW$13)="",10^12,OFFSET(PLE!$G$14,$M710,BW$13))))</f>
        <v>0</v>
      </c>
      <c r="BX710" s="182">
        <f ca="1">IF($D710&lt;&gt;"Serviço",0,IF(OR(AND(AUTOEVENTO="Manual",$M710=1),$M710&gt;(ROW(PLE.lastrow)-ROW(PLE.firstrow))),0,IF(OFFSET(PLE!$G$14,$M710,BX$13)="",10^12,OFFSET(PLE!$G$14,$M710,BX$13))))</f>
        <v>0</v>
      </c>
      <c r="BY710" s="182">
        <f ca="1">IF($D710&lt;&gt;"Serviço",0,IF(OR(AND(AUTOEVENTO="Manual",$M710=1),$M710&gt;(ROW(PLE.lastrow)-ROW(PLE.firstrow))),0,IF(OFFSET(PLE!$G$14,$M710,BY$13)="",10^12,OFFSET(PLE!$G$14,$M710,BY$13))))</f>
        <v>0</v>
      </c>
      <c r="BZ710" s="182">
        <f ca="1">IF($D710&lt;&gt;"Serviço",0,IF(OR(AND(AUTOEVENTO="Manual",$M710=1),$M710&gt;(ROW(PLE.lastrow)-ROW(PLE.firstrow))),0,IF(OFFSET(PLE!$G$14,$M710,BZ$13)="",10^12,OFFSET(PLE!$G$14,$M710,BZ$13))))</f>
        <v>0</v>
      </c>
      <c r="CA710" s="182">
        <f ca="1">IF($D710&lt;&gt;"Serviço",0,IF(OR(AND(AUTOEVENTO="Manual",$M710=1),$M710&gt;(ROW(PLE.lastrow)-ROW(PLE.firstrow))),0,IF(OFFSET(PLE!$G$14,$M710,CA$13)="",10^12,OFFSET(PLE!$G$14,$M710,CA$13))))</f>
        <v>0</v>
      </c>
      <c r="CB710" s="182">
        <f ca="1">IF($D710&lt;&gt;"Serviço",0,IF(OR(AND(AUTOEVENTO="Manual",$M710=1),$M710&gt;(ROW(PLE.lastrow)-ROW(PLE.firstrow))),0,IF(OFFSET(PLE!$G$14,$M710,CB$13)="",10^12,OFFSET(PLE!$G$14,$M710,CB$13))))</f>
        <v>0</v>
      </c>
      <c r="CC710" s="182">
        <f ca="1">IF($D710&lt;&gt;"Serviço",0,IF(OR(AND(AUTOEVENTO="Manual",$M710=1),$M710&gt;(ROW(PLE.lastrow)-ROW(PLE.firstrow))),0,IF(OFFSET(PLE!$G$14,$M710,CC$13)="",10^12,OFFSET(PLE!$G$14,$M710,CC$13))))</f>
        <v>0</v>
      </c>
      <c r="CD710" s="182">
        <f ca="1">IF($D710&lt;&gt;"Serviço",0,IF(OR(AND(AUTOEVENTO="Manual",$M710=1),$M710&gt;(ROW(PLE.lastrow)-ROW(PLE.firstrow))),0,IF(OFFSET(PLE!$G$14,$M710,CD$13)="",10^12,OFFSET(PLE!$G$14,$M710,CD$13))))</f>
        <v>0</v>
      </c>
      <c r="CE710" s="182">
        <f ca="1">IF($D710&lt;&gt;"Serviço",0,IF(OR(AND(AUTOEVENTO="Manual",$M710=1),$M710&gt;(ROW(PLE.lastrow)-ROW(PLE.firstrow))),0,IF(OFFSET(PLE!$G$14,$M710,CE$13)="",10^12,OFFSET(PLE!$G$14,$M710,CE$13))))</f>
        <v>0</v>
      </c>
      <c r="CF710" s="182">
        <f ca="1">IF($D710&lt;&gt;"Serviço",0,IF(OR(AND(AUTOEVENTO="Manual",$M710=1),$M710&gt;(ROW(PLE.lastrow)-ROW(PLE.firstrow))),0,IF(OFFSET(PLE!$G$14,$M710,CF$13)="",10^12,OFFSET(PLE!$G$14,$M710,CF$13))))</f>
        <v>0</v>
      </c>
      <c r="CG710" s="182">
        <f ca="1">IF($D710&lt;&gt;"Serviço",0,IF(OR(AND(AUTOEVENTO="Manual",$M710=1),$M710&gt;(ROW(PLE.lastrow)-ROW(PLE.firstrow))),0,IF(OFFSET(PLE!$G$14,$M710,CG$13)="",10^12,OFFSET(PLE!$G$14,$M710,CG$13))))</f>
        <v>0</v>
      </c>
      <c r="CH710" s="182">
        <f ca="1">IF($D710&lt;&gt;"Serviço",0,IF(OR(AND(AUTOEVENTO="Manual",$M710=1),$M710&gt;(ROW(PLE.lastrow)-ROW(PLE.firstrow))),0,IF(OFFSET(PLE!$G$14,$M710,CH$13)="",10^12,OFFSET(PLE!$G$14,$M710,CH$13))))</f>
        <v>0</v>
      </c>
      <c r="CI710" s="182">
        <f ca="1">IF($D710&lt;&gt;"Serviço",0,IF(OR(AND(AUTOEVENTO="Manual",$M710=1),$M710&gt;(ROW(PLE.lastrow)-ROW(PLE.firstrow))),0,IF(OFFSET(PLE!$G$14,$M710,CI$13)="",10^12,OFFSET(PLE!$G$14,$M710,CI$13))))</f>
        <v>0</v>
      </c>
      <c r="CJ710" s="182">
        <f ca="1">IF($D710&lt;&gt;"Serviço",0,IF(OR(AND(AUTOEVENTO="Manual",$M710=1),$M710&gt;(ROW(PLE.lastrow)-ROW(PLE.firstrow))),0,IF(OFFSET(PLE!$G$14,$M710,CJ$13)="",10^12,OFFSET(PLE!$G$14,$M710,CJ$13))))</f>
        <v>0</v>
      </c>
      <c r="CK710" s="182">
        <f ca="1">IF($D710&lt;&gt;"Serviço",0,IF(OR(AND(AUTOEVENTO="Manual",$M710=1),$M710&gt;(ROW(PLE.lastrow)-ROW(PLE.firstrow))),0,IF(OFFSET(PLE!$G$14,$M710,CK$13)="",10^12,OFFSET(PLE!$G$14,$M710,CK$13))))</f>
        <v>0</v>
      </c>
      <c r="CL710" s="182">
        <f ca="1">IF($D710&lt;&gt;"Serviço",0,IF(OR(AND(AUTOEVENTO="Manual",$M710=1),$M710&gt;(ROW(PLE.lastrow)-ROW(PLE.firstrow))),0,IF(OFFSET(PLE!$G$14,$M710,CL$13)="",10^12,OFFSET(PLE!$G$14,$M710,CL$13))))</f>
        <v>0</v>
      </c>
      <c r="CM710" s="182">
        <f ca="1">IF($D710&lt;&gt;"Serviço",0,IF(OR(AND(AUTOEVENTO="Manual",$M710=1),$M710&gt;(ROW(PLE.lastrow)-ROW(PLE.firstrow))),0,IF(OFFSET(PLE!$G$14,$M710,CM$13)="",10^12,OFFSET(PLE!$G$14,$M710,CM$13))))</f>
        <v>0</v>
      </c>
    </row>
    <row r="711" spans="1:91" ht="25.5" x14ac:dyDescent="0.2">
      <c r="A711" s="7" t="str">
        <f t="shared" ca="1" si="20"/>
        <v>695</v>
      </c>
      <c r="B711" s="7" t="str">
        <f ca="1">OFFSET(ORÇAMENTO!C$15,ROW(B711)-ROW(B$15),0)</f>
        <v>S</v>
      </c>
      <c r="C711" s="7" t="str">
        <f ca="1">OFFSET(ORÇAMENTO!L$15,ROW(C711)-ROW(C$15),0)</f>
        <v/>
      </c>
      <c r="D711" s="118" t="str">
        <f ca="1">OFFSET(ORÇAMENTO!N$15,ROW(D711)-ROW(D$15),0)</f>
        <v>Serviço</v>
      </c>
      <c r="E711" s="119" t="str">
        <f ca="1">OFFSET(ORÇAMENTO!O$15,ROW(E711)-ROW(E$15),0)</f>
        <v>-</v>
      </c>
      <c r="F711" s="172" t="str">
        <f ca="1">OFFSET(ORÇAMENTO!R$15,ROW(F711)-ROW(F$15),0)</f>
        <v>(abra o arquivo 'Referência 06-2024.xlsm)</v>
      </c>
      <c r="G711" s="173" t="str">
        <f ca="1">IF($D711&lt;&gt;"Serviço","",OFFSET(ORÇAMENTO!S$15,ROW(G711)-ROW(G$15),0))</f>
        <v>-</v>
      </c>
      <c r="H711" s="124">
        <f ca="1">IF($D711&lt;&gt;"Serviço",0,IF(ACOMPANHAMENTO="BM",ROUND(OFFSET(ORÇAMENTO!AJ$15,ROW(H711)-ROW(H$15),0),15-13*ORÇAMENTO!$AF$7),SUMPRODUCT(($Q$12:$AI$12&lt;&gt;"")*ROUND($Q711:$AI711,15-13*ORÇAMENTO!$AF$7))))</f>
        <v>106.81</v>
      </c>
      <c r="I711" s="561" t="s">
        <v>1107</v>
      </c>
      <c r="K711" s="174"/>
      <c r="L711" s="175" t="s">
        <v>255</v>
      </c>
      <c r="M711" s="176">
        <f ca="1">IF($D711&lt;&gt;"Serviço","",IF(AUTOEVENTO="manual",$A711,IF(ISERROR(MATCH($A711,$A$15:OFFSET($A711,-1,0),0)),MAX($M$15:OFFSET(M711,-1,0))+1,INDEX($M$15:OFFSET(M711,-1,0),MATCH($A711,$A$15:OFFSET($A711,-1,0),0)))))</f>
        <v>78</v>
      </c>
      <c r="N711" s="177" t="str">
        <f ca="1">IF($D711&lt;&gt;"Serviço","",IF(AUTOEVENTO="Manual",IF($A711=0,"&lt;-- defina o número do agrupador",OFFSET(EVENTOS!$D$14,$A711,0)),OFFSET($F$15,$A711,0)))</f>
        <v>MURO DE FECHAMENTO - IMPERMEABILIZAÇÃO</v>
      </c>
      <c r="O711" s="178"/>
      <c r="Q711" s="178">
        <v>106.81</v>
      </c>
      <c r="R711" s="179"/>
      <c r="S711" s="179"/>
      <c r="T711" s="179"/>
      <c r="U711" s="179"/>
      <c r="V711" s="179"/>
      <c r="W711" s="179"/>
      <c r="X711" s="179"/>
      <c r="Y711" s="179"/>
      <c r="Z711" s="180"/>
      <c r="AA711" s="179"/>
      <c r="AB711" s="179"/>
      <c r="AC711" s="179"/>
      <c r="AD711" s="179"/>
      <c r="AE711" s="179"/>
      <c r="AF711" s="179"/>
      <c r="AG711" s="179"/>
      <c r="AH711" s="180"/>
      <c r="AJ711" s="544">
        <f ca="1">IF(AND($D711="Serviço",AJ$12&lt;&gt;0,$H711&gt;0,OR(AUTOEVENTO&lt;&gt;"manual",$M711&lt;&gt;1)),
IF(Import.TipoArredondamento&lt;&gt;"TransfereGOV",
ROUND(OFFSET($P711,0,AJ$13),15-13*ORÇAMENTO!$AF$7)/$H711*OFFSET(ORÇAMENTO!$X$15,ROW(AJ711)-ROW(AJ$15),0),
ROUND(ROUND(OFFSET($P711,0,AJ$13),15-13*ORÇAMENTO!$AF$7)*OFFSET(ORÇAMENTO!$W$15,ROW(AJ711)-ROW(AJ$15),0),15-13*ORÇAMENTO!$AF$11)),0)</f>
        <v>0</v>
      </c>
      <c r="AK711" s="545">
        <f ca="1">IF(AND($D711="Serviço",AK$12&lt;&gt;0,$H711&gt;0,OR(AUTOEVENTO&lt;&gt;"manual",$M711&lt;&gt;1)),
IF(Import.TipoArredondamento&lt;&gt;"TransfereGOV",
ROUND(OFFSET($P711,0,AK$13),15-13*ORÇAMENTO!$AF$7)/$H711*OFFSET(ORÇAMENTO!$X$15,ROW(AK711)-ROW(AK$15),0),
ROUND(ROUND(OFFSET($P711,0,AK$13),15-13*ORÇAMENTO!$AF$7)*OFFSET(ORÇAMENTO!$W$15,ROW(AK711)-ROW(AK$15),0),15-13*ORÇAMENTO!$AF$11)),0)</f>
        <v>0</v>
      </c>
      <c r="AL711" s="545">
        <f ca="1">IF(AND($D711="Serviço",AL$12&lt;&gt;0,$H711&gt;0,OR(AUTOEVENTO&lt;&gt;"manual",$M711&lt;&gt;1)),
IF(Import.TipoArredondamento&lt;&gt;"TransfereGOV",
ROUND(OFFSET($P711,0,AL$13),15-13*ORÇAMENTO!$AF$7)/$H711*OFFSET(ORÇAMENTO!$X$15,ROW(AL711)-ROW(AL$15),0),
ROUND(ROUND(OFFSET($P711,0,AL$13),15-13*ORÇAMENTO!$AF$7)*OFFSET(ORÇAMENTO!$W$15,ROW(AL711)-ROW(AL$15),0),15-13*ORÇAMENTO!$AF$11)),0)</f>
        <v>0</v>
      </c>
      <c r="AM711" s="545">
        <f ca="1">IF(AND($D711="Serviço",AM$12&lt;&gt;0,$H711&gt;0,OR(AUTOEVENTO&lt;&gt;"manual",$M711&lt;&gt;1)),
IF(Import.TipoArredondamento&lt;&gt;"TransfereGOV",
ROUND(OFFSET($P711,0,AM$13),15-13*ORÇAMENTO!$AF$7)/$H711*OFFSET(ORÇAMENTO!$X$15,ROW(AM711)-ROW(AM$15),0),
ROUND(ROUND(OFFSET($P711,0,AM$13),15-13*ORÇAMENTO!$AF$7)*OFFSET(ORÇAMENTO!$W$15,ROW(AM711)-ROW(AM$15),0),15-13*ORÇAMENTO!$AF$11)),0)</f>
        <v>0</v>
      </c>
      <c r="AN711" s="545">
        <f ca="1">IF(AND($D711="Serviço",AN$12&lt;&gt;0,$H711&gt;0,OR(AUTOEVENTO&lt;&gt;"manual",$M711&lt;&gt;1)),
IF(Import.TipoArredondamento&lt;&gt;"TransfereGOV",
ROUND(OFFSET($P711,0,AN$13),15-13*ORÇAMENTO!$AF$7)/$H711*OFFSET(ORÇAMENTO!$X$15,ROW(AN711)-ROW(AN$15),0),
ROUND(ROUND(OFFSET($P711,0,AN$13),15-13*ORÇAMENTO!$AF$7)*OFFSET(ORÇAMENTO!$W$15,ROW(AN711)-ROW(AN$15),0),15-13*ORÇAMENTO!$AF$11)),0)</f>
        <v>0</v>
      </c>
      <c r="AO711" s="545">
        <f ca="1">IF(AND($D711="Serviço",AO$12&lt;&gt;0,$H711&gt;0,OR(AUTOEVENTO&lt;&gt;"manual",$M711&lt;&gt;1)),
IF(Import.TipoArredondamento&lt;&gt;"TransfereGOV",
ROUND(OFFSET($P711,0,AO$13),15-13*ORÇAMENTO!$AF$7)/$H711*OFFSET(ORÇAMENTO!$X$15,ROW(AO711)-ROW(AO$15),0),
ROUND(ROUND(OFFSET($P711,0,AO$13),15-13*ORÇAMENTO!$AF$7)*OFFSET(ORÇAMENTO!$W$15,ROW(AO711)-ROW(AO$15),0),15-13*ORÇAMENTO!$AF$11)),0)</f>
        <v>0</v>
      </c>
      <c r="AP711" s="545">
        <f ca="1">IF(AND($D711="Serviço",AP$12&lt;&gt;0,$H711&gt;0,OR(AUTOEVENTO&lt;&gt;"manual",$M711&lt;&gt;1)),
IF(Import.TipoArredondamento&lt;&gt;"TransfereGOV",
ROUND(OFFSET($P711,0,AP$13),15-13*ORÇAMENTO!$AF$7)/$H711*OFFSET(ORÇAMENTO!$X$15,ROW(AP711)-ROW(AP$15),0),
ROUND(ROUND(OFFSET($P711,0,AP$13),15-13*ORÇAMENTO!$AF$7)*OFFSET(ORÇAMENTO!$W$15,ROW(AP711)-ROW(AP$15),0),15-13*ORÇAMENTO!$AF$11)),0)</f>
        <v>0</v>
      </c>
      <c r="AQ711" s="545">
        <f ca="1">IF(AND($D711="Serviço",AQ$12&lt;&gt;0,$H711&gt;0,OR(AUTOEVENTO&lt;&gt;"manual",$M711&lt;&gt;1)),
IF(Import.TipoArredondamento&lt;&gt;"TransfereGOV",
ROUND(OFFSET($P711,0,AQ$13),15-13*ORÇAMENTO!$AF$7)/$H711*OFFSET(ORÇAMENTO!$X$15,ROW(AQ711)-ROW(AQ$15),0),
ROUND(ROUND(OFFSET($P711,0,AQ$13),15-13*ORÇAMENTO!$AF$7)*OFFSET(ORÇAMENTO!$W$15,ROW(AQ711)-ROW(AQ$15),0),15-13*ORÇAMENTO!$AF$11)),0)</f>
        <v>0</v>
      </c>
      <c r="AR711" s="545">
        <f ca="1">IF(AND($D711="Serviço",AR$12&lt;&gt;0,$H711&gt;0,OR(AUTOEVENTO&lt;&gt;"manual",$M711&lt;&gt;1)),
IF(Import.TipoArredondamento&lt;&gt;"TransfereGOV",
ROUND(OFFSET($P711,0,AR$13),15-13*ORÇAMENTO!$AF$7)/$H711*OFFSET(ORÇAMENTO!$X$15,ROW(AR711)-ROW(AR$15),0),
ROUND(ROUND(OFFSET($P711,0,AR$13),15-13*ORÇAMENTO!$AF$7)*OFFSET(ORÇAMENTO!$W$15,ROW(AR711)-ROW(AR$15),0),15-13*ORÇAMENTO!$AF$11)),0)</f>
        <v>0</v>
      </c>
      <c r="AS711" s="546">
        <f ca="1">IF(AND($D711="Serviço",AS$12&lt;&gt;0,$H711&gt;0,OR(AUTOEVENTO&lt;&gt;"manual",$M711&lt;&gt;1)),
IF(Import.TipoArredondamento&lt;&gt;"TransfereGOV",
ROUND(OFFSET($P711,0,AS$13),15-13*ORÇAMENTO!$AF$7)/$H711*OFFSET(ORÇAMENTO!$X$15,ROW(AS711)-ROW(AS$15),0),
ROUND(ROUND(OFFSET($P711,0,AS$13),15-13*ORÇAMENTO!$AF$7)*OFFSET(ORÇAMENTO!$W$15,ROW(AS711)-ROW(AS$15),0),15-13*ORÇAMENTO!$AF$11)),0)</f>
        <v>0</v>
      </c>
      <c r="AT711" s="545">
        <f ca="1">IF(AND($D711="Serviço",AT$12&lt;&gt;0,$H711&gt;0,OR(AUTOEVENTO&lt;&gt;"manual",$M711&lt;&gt;1)),
IF(Import.TipoArredondamento&lt;&gt;"TransfereGOV",
ROUND(OFFSET($P711,0,AT$13),15-13*ORÇAMENTO!$AF$7)/$H711*OFFSET(ORÇAMENTO!$X$15,ROW(AT711)-ROW(AT$15),0),
ROUND(ROUND(OFFSET($P711,0,AT$13),15-13*ORÇAMENTO!$AF$7)*OFFSET(ORÇAMENTO!$W$15,ROW(AT711)-ROW(AT$15),0),15-13*ORÇAMENTO!$AF$11)),0)</f>
        <v>0</v>
      </c>
      <c r="AU711" s="545">
        <f ca="1">IF(AND($D711="Serviço",AU$12&lt;&gt;0,$H711&gt;0,OR(AUTOEVENTO&lt;&gt;"manual",$M711&lt;&gt;1)),
IF(Import.TipoArredondamento&lt;&gt;"TransfereGOV",
ROUND(OFFSET($P711,0,AU$13),15-13*ORÇAMENTO!$AF$7)/$H711*OFFSET(ORÇAMENTO!$X$15,ROW(AU711)-ROW(AU$15),0),
ROUND(ROUND(OFFSET($P711,0,AU$13),15-13*ORÇAMENTO!$AF$7)*OFFSET(ORÇAMENTO!$W$15,ROW(AU711)-ROW(AU$15),0),15-13*ORÇAMENTO!$AF$11)),0)</f>
        <v>0</v>
      </c>
      <c r="AV711" s="545">
        <f ca="1">IF(AND($D711="Serviço",AV$12&lt;&gt;0,$H711&gt;0,OR(AUTOEVENTO&lt;&gt;"manual",$M711&lt;&gt;1)),
IF(Import.TipoArredondamento&lt;&gt;"TransfereGOV",
ROUND(OFFSET($P711,0,AV$13),15-13*ORÇAMENTO!$AF$7)/$H711*OFFSET(ORÇAMENTO!$X$15,ROW(AV711)-ROW(AV$15),0),
ROUND(ROUND(OFFSET($P711,0,AV$13),15-13*ORÇAMENTO!$AF$7)*OFFSET(ORÇAMENTO!$W$15,ROW(AV711)-ROW(AV$15),0),15-13*ORÇAMENTO!$AF$11)),0)</f>
        <v>0</v>
      </c>
      <c r="AW711" s="545">
        <f ca="1">IF(AND($D711="Serviço",AW$12&lt;&gt;0,$H711&gt;0,OR(AUTOEVENTO&lt;&gt;"manual",$M711&lt;&gt;1)),
IF(Import.TipoArredondamento&lt;&gt;"TransfereGOV",
ROUND(OFFSET($P711,0,AW$13),15-13*ORÇAMENTO!$AF$7)/$H711*OFFSET(ORÇAMENTO!$X$15,ROW(AW711)-ROW(AW$15),0),
ROUND(ROUND(OFFSET($P711,0,AW$13),15-13*ORÇAMENTO!$AF$7)*OFFSET(ORÇAMENTO!$W$15,ROW(AW711)-ROW(AW$15),0),15-13*ORÇAMENTO!$AF$11)),0)</f>
        <v>0</v>
      </c>
      <c r="AX711" s="545">
        <f ca="1">IF(AND($D711="Serviço",AX$12&lt;&gt;0,$H711&gt;0,OR(AUTOEVENTO&lt;&gt;"manual",$M711&lt;&gt;1)),
IF(Import.TipoArredondamento&lt;&gt;"TransfereGOV",
ROUND(OFFSET($P711,0,AX$13),15-13*ORÇAMENTO!$AF$7)/$H711*OFFSET(ORÇAMENTO!$X$15,ROW(AX711)-ROW(AX$15),0),
ROUND(ROUND(OFFSET($P711,0,AX$13),15-13*ORÇAMENTO!$AF$7)*OFFSET(ORÇAMENTO!$W$15,ROW(AX711)-ROW(AX$15),0),15-13*ORÇAMENTO!$AF$11)),0)</f>
        <v>0</v>
      </c>
      <c r="AY711" s="545">
        <f ca="1">IF(AND($D711="Serviço",AY$12&lt;&gt;0,$H711&gt;0,OR(AUTOEVENTO&lt;&gt;"manual",$M711&lt;&gt;1)),
IF(Import.TipoArredondamento&lt;&gt;"TransfereGOV",
ROUND(OFFSET($P711,0,AY$13),15-13*ORÇAMENTO!$AF$7)/$H711*OFFSET(ORÇAMENTO!$X$15,ROW(AY711)-ROW(AY$15),0),
ROUND(ROUND(OFFSET($P711,0,AY$13),15-13*ORÇAMENTO!$AF$7)*OFFSET(ORÇAMENTO!$W$15,ROW(AY711)-ROW(AY$15),0),15-13*ORÇAMENTO!$AF$11)),0)</f>
        <v>0</v>
      </c>
      <c r="AZ711" s="545">
        <f ca="1">IF(AND($D711="Serviço",AZ$12&lt;&gt;0,$H711&gt;0,OR(AUTOEVENTO&lt;&gt;"manual",$M711&lt;&gt;1)),
IF(Import.TipoArredondamento&lt;&gt;"TransfereGOV",
ROUND(OFFSET($P711,0,AZ$13),15-13*ORÇAMENTO!$AF$7)/$H711*OFFSET(ORÇAMENTO!$X$15,ROW(AZ711)-ROW(AZ$15),0),
ROUND(ROUND(OFFSET($P711,0,AZ$13),15-13*ORÇAMENTO!$AF$7)*OFFSET(ORÇAMENTO!$W$15,ROW(AZ711)-ROW(AZ$15),0),15-13*ORÇAMENTO!$AF$11)),0)</f>
        <v>0</v>
      </c>
      <c r="BA711" s="546">
        <f ca="1">IF(AND($D711="Serviço",BA$12&lt;&gt;0,$H711&gt;0,OR(AUTOEVENTO&lt;&gt;"manual",$M711&lt;&gt;1)),
IF(Import.TipoArredondamento&lt;&gt;"TransfereGOV",
ROUND(OFFSET($P711,0,BA$13),15-13*ORÇAMENTO!$AF$7)/$H711*OFFSET(ORÇAMENTO!$X$15,ROW(BA711)-ROW(BA$15),0),
ROUND(ROUND(OFFSET($P711,0,BA$13),15-13*ORÇAMENTO!$AF$7)*OFFSET(ORÇAMENTO!$W$15,ROW(BA711)-ROW(BA$15),0),15-13*ORÇAMENTO!$AF$11)),0)</f>
        <v>0</v>
      </c>
      <c r="BC711" s="181">
        <f ca="1">IF($D711&lt;&gt;"Serviço",0,IF(AND(AUTOEVENTO="Manual",$M711=1),0,IF(OFFSET(CRONOPLE!$F$14,$M711,BC$13)="",10^12,OFFSET(CRONOPLE!$F$14,$M711,BC$13))))</f>
        <v>12</v>
      </c>
      <c r="BD711" s="181">
        <f ca="1">IF($D711&lt;&gt;"Serviço",0,IF(AND(AUTOEVENTO="Manual",$M711=1),0,IF(OFFSET(CRONOPLE!$F$14,$M711,BD$13)="",10^12,OFFSET(CRONOPLE!$F$14,$M711,BD$13))))</f>
        <v>1000000000000</v>
      </c>
      <c r="BE711" s="181">
        <f ca="1">IF($D711&lt;&gt;"Serviço",0,IF(AND(AUTOEVENTO="Manual",$M711=1),0,IF(OFFSET(CRONOPLE!$F$14,$M711,BE$13)="",10^12,OFFSET(CRONOPLE!$F$14,$M711,BE$13))))</f>
        <v>1000000000000</v>
      </c>
      <c r="BF711" s="181">
        <f ca="1">IF($D711&lt;&gt;"Serviço",0,IF(AND(AUTOEVENTO="Manual",$M711=1),0,IF(OFFSET(CRONOPLE!$F$14,$M711,BF$13)="",10^12,OFFSET(CRONOPLE!$F$14,$M711,BF$13))))</f>
        <v>1000000000000</v>
      </c>
      <c r="BG711" s="181">
        <f ca="1">IF($D711&lt;&gt;"Serviço",0,IF(AND(AUTOEVENTO="Manual",$M711=1),0,IF(OFFSET(CRONOPLE!$F$14,$M711,BG$13)="",10^12,OFFSET(CRONOPLE!$F$14,$M711,BG$13))))</f>
        <v>1000000000000</v>
      </c>
      <c r="BH711" s="181">
        <f ca="1">IF($D711&lt;&gt;"Serviço",0,IF(AND(AUTOEVENTO="Manual",$M711=1),0,IF(OFFSET(CRONOPLE!$F$14,$M711,BH$13)="",10^12,OFFSET(CRONOPLE!$F$14,$M711,BH$13))))</f>
        <v>1000000000000</v>
      </c>
      <c r="BI711" s="181">
        <f ca="1">IF($D711&lt;&gt;"Serviço",0,IF(AND(AUTOEVENTO="Manual",$M711=1),0,IF(OFFSET(CRONOPLE!$F$14,$M711,BI$13)="",10^12,OFFSET(CRONOPLE!$F$14,$M711,BI$13))))</f>
        <v>1000000000000</v>
      </c>
      <c r="BJ711" s="181">
        <f ca="1">IF($D711&lt;&gt;"Serviço",0,IF(AND(AUTOEVENTO="Manual",$M711=1),0,IF(OFFSET(CRONOPLE!$F$14,$M711,BJ$13)="",10^12,OFFSET(CRONOPLE!$F$14,$M711,BJ$13))))</f>
        <v>1000000000000</v>
      </c>
      <c r="BK711" s="181">
        <f ca="1">IF($D711&lt;&gt;"Serviço",0,IF(AND(AUTOEVENTO="Manual",$M711=1),0,IF(OFFSET(CRONOPLE!$F$14,$M711,BK$13)="",10^12,OFFSET(CRONOPLE!$F$14,$M711,BK$13))))</f>
        <v>1000000000000</v>
      </c>
      <c r="BL711" s="181">
        <f ca="1">IF($D711&lt;&gt;"Serviço",0,IF(AND(AUTOEVENTO="Manual",$M711=1),0,IF(OFFSET(CRONOPLE!$F$14,$M711,BL$13)="",10^12,OFFSET(CRONOPLE!$F$14,$M711,BL$13))))</f>
        <v>1000000000000</v>
      </c>
      <c r="BM711" s="181">
        <f ca="1">IF($D711&lt;&gt;"Serviço",0,IF(AND(AUTOEVENTO="Manual",$M711=1),0,IF(OFFSET(CRONOPLE!$F$14,$M711,BM$13)="",10^12,OFFSET(CRONOPLE!$F$14,$M711,BM$13))))</f>
        <v>1000000000000</v>
      </c>
      <c r="BN711" s="181">
        <f ca="1">IF($D711&lt;&gt;"Serviço",0,IF(AND(AUTOEVENTO="Manual",$M711=1),0,IF(OFFSET(CRONOPLE!$F$14,$M711,BN$13)="",10^12,OFFSET(CRONOPLE!$F$14,$M711,BN$13))))</f>
        <v>1000000000000</v>
      </c>
      <c r="BO711" s="181">
        <f ca="1">IF($D711&lt;&gt;"Serviço",0,IF(AND(AUTOEVENTO="Manual",$M711=1),0,IF(OFFSET(CRONOPLE!$F$14,$M711,BO$13)="",10^12,OFFSET(CRONOPLE!$F$14,$M711,BO$13))))</f>
        <v>1000000000000</v>
      </c>
      <c r="BP711" s="181">
        <f ca="1">IF($D711&lt;&gt;"Serviço",0,IF(AND(AUTOEVENTO="Manual",$M711=1),0,IF(OFFSET(CRONOPLE!$F$14,$M711,BP$13)="",10^12,OFFSET(CRONOPLE!$F$14,$M711,BP$13))))</f>
        <v>1000000000000</v>
      </c>
      <c r="BQ711" s="181">
        <f ca="1">IF($D711&lt;&gt;"Serviço",0,IF(AND(AUTOEVENTO="Manual",$M711=1),0,IF(OFFSET(CRONOPLE!$F$14,$M711,BQ$13)="",10^12,OFFSET(CRONOPLE!$F$14,$M711,BQ$13))))</f>
        <v>1000000000000</v>
      </c>
      <c r="BR711" s="181">
        <f ca="1">IF($D711&lt;&gt;"Serviço",0,IF(AND(AUTOEVENTO="Manual",$M711=1),0,IF(OFFSET(CRONOPLE!$F$14,$M711,BR$13)="",10^12,OFFSET(CRONOPLE!$F$14,$M711,BR$13))))</f>
        <v>1000000000000</v>
      </c>
      <c r="BS711" s="181">
        <f ca="1">IF($D711&lt;&gt;"Serviço",0,IF(AND(AUTOEVENTO="Manual",$M711=1),0,IF(OFFSET(CRONOPLE!$F$14,$M711,BS$13)="",10^12,OFFSET(CRONOPLE!$F$14,$M711,BS$13))))</f>
        <v>1000000000000</v>
      </c>
      <c r="BT711" s="181">
        <f ca="1">IF($D711&lt;&gt;"Serviço",0,IF(AND(AUTOEVENTO="Manual",$M711=1),0,IF(OFFSET(CRONOPLE!$F$14,$M711,BT$13)="",10^12,OFFSET(CRONOPLE!$F$14,$M711,BT$13))))</f>
        <v>1000000000000</v>
      </c>
      <c r="BV711" s="182">
        <f ca="1">IF($D711&lt;&gt;"Serviço",0,IF(OR(AND(AUTOEVENTO="Manual",$M711=1),$M711&gt;(ROW(PLE.lastrow)-ROW(PLE.firstrow))),0,IF(OFFSET(PLE!$G$14,$M711,BV$13)="",10^12,OFFSET(PLE!$G$14,$M711,BV$13))))</f>
        <v>1000000000000</v>
      </c>
      <c r="BW711" s="182">
        <f ca="1">IF($D711&lt;&gt;"Serviço",0,IF(OR(AND(AUTOEVENTO="Manual",$M711=1),$M711&gt;(ROW(PLE.lastrow)-ROW(PLE.firstrow))),0,IF(OFFSET(PLE!$G$14,$M711,BW$13)="",10^12,OFFSET(PLE!$G$14,$M711,BW$13))))</f>
        <v>1000000000000</v>
      </c>
      <c r="BX711" s="182">
        <f ca="1">IF($D711&lt;&gt;"Serviço",0,IF(OR(AND(AUTOEVENTO="Manual",$M711=1),$M711&gt;(ROW(PLE.lastrow)-ROW(PLE.firstrow))),0,IF(OFFSET(PLE!$G$14,$M711,BX$13)="",10^12,OFFSET(PLE!$G$14,$M711,BX$13))))</f>
        <v>1000000000000</v>
      </c>
      <c r="BY711" s="182">
        <f ca="1">IF($D711&lt;&gt;"Serviço",0,IF(OR(AND(AUTOEVENTO="Manual",$M711=1),$M711&gt;(ROW(PLE.lastrow)-ROW(PLE.firstrow))),0,IF(OFFSET(PLE!$G$14,$M711,BY$13)="",10^12,OFFSET(PLE!$G$14,$M711,BY$13))))</f>
        <v>1000000000000</v>
      </c>
      <c r="BZ711" s="182">
        <f ca="1">IF($D711&lt;&gt;"Serviço",0,IF(OR(AND(AUTOEVENTO="Manual",$M711=1),$M711&gt;(ROW(PLE.lastrow)-ROW(PLE.firstrow))),0,IF(OFFSET(PLE!$G$14,$M711,BZ$13)="",10^12,OFFSET(PLE!$G$14,$M711,BZ$13))))</f>
        <v>1000000000000</v>
      </c>
      <c r="CA711" s="182">
        <f ca="1">IF($D711&lt;&gt;"Serviço",0,IF(OR(AND(AUTOEVENTO="Manual",$M711=1),$M711&gt;(ROW(PLE.lastrow)-ROW(PLE.firstrow))),0,IF(OFFSET(PLE!$G$14,$M711,CA$13)="",10^12,OFFSET(PLE!$G$14,$M711,CA$13))))</f>
        <v>1000000000000</v>
      </c>
      <c r="CB711" s="182">
        <f ca="1">IF($D711&lt;&gt;"Serviço",0,IF(OR(AND(AUTOEVENTO="Manual",$M711=1),$M711&gt;(ROW(PLE.lastrow)-ROW(PLE.firstrow))),0,IF(OFFSET(PLE!$G$14,$M711,CB$13)="",10^12,OFFSET(PLE!$G$14,$M711,CB$13))))</f>
        <v>1000000000000</v>
      </c>
      <c r="CC711" s="182">
        <f ca="1">IF($D711&lt;&gt;"Serviço",0,IF(OR(AND(AUTOEVENTO="Manual",$M711=1),$M711&gt;(ROW(PLE.lastrow)-ROW(PLE.firstrow))),0,IF(OFFSET(PLE!$G$14,$M711,CC$13)="",10^12,OFFSET(PLE!$G$14,$M711,CC$13))))</f>
        <v>1000000000000</v>
      </c>
      <c r="CD711" s="182">
        <f ca="1">IF($D711&lt;&gt;"Serviço",0,IF(OR(AND(AUTOEVENTO="Manual",$M711=1),$M711&gt;(ROW(PLE.lastrow)-ROW(PLE.firstrow))),0,IF(OFFSET(PLE!$G$14,$M711,CD$13)="",10^12,OFFSET(PLE!$G$14,$M711,CD$13))))</f>
        <v>1000000000000</v>
      </c>
      <c r="CE711" s="182">
        <f ca="1">IF($D711&lt;&gt;"Serviço",0,IF(OR(AND(AUTOEVENTO="Manual",$M711=1),$M711&gt;(ROW(PLE.lastrow)-ROW(PLE.firstrow))),0,IF(OFFSET(PLE!$G$14,$M711,CE$13)="",10^12,OFFSET(PLE!$G$14,$M711,CE$13))))</f>
        <v>1000000000000</v>
      </c>
      <c r="CF711" s="182">
        <f ca="1">IF($D711&lt;&gt;"Serviço",0,IF(OR(AND(AUTOEVENTO="Manual",$M711=1),$M711&gt;(ROW(PLE.lastrow)-ROW(PLE.firstrow))),0,IF(OFFSET(PLE!$G$14,$M711,CF$13)="",10^12,OFFSET(PLE!$G$14,$M711,CF$13))))</f>
        <v>1000000000000</v>
      </c>
      <c r="CG711" s="182">
        <f ca="1">IF($D711&lt;&gt;"Serviço",0,IF(OR(AND(AUTOEVENTO="Manual",$M711=1),$M711&gt;(ROW(PLE.lastrow)-ROW(PLE.firstrow))),0,IF(OFFSET(PLE!$G$14,$M711,CG$13)="",10^12,OFFSET(PLE!$G$14,$M711,CG$13))))</f>
        <v>1000000000000</v>
      </c>
      <c r="CH711" s="182">
        <f ca="1">IF($D711&lt;&gt;"Serviço",0,IF(OR(AND(AUTOEVENTO="Manual",$M711=1),$M711&gt;(ROW(PLE.lastrow)-ROW(PLE.firstrow))),0,IF(OFFSET(PLE!$G$14,$M711,CH$13)="",10^12,OFFSET(PLE!$G$14,$M711,CH$13))))</f>
        <v>1000000000000</v>
      </c>
      <c r="CI711" s="182">
        <f ca="1">IF($D711&lt;&gt;"Serviço",0,IF(OR(AND(AUTOEVENTO="Manual",$M711=1),$M711&gt;(ROW(PLE.lastrow)-ROW(PLE.firstrow))),0,IF(OFFSET(PLE!$G$14,$M711,CI$13)="",10^12,OFFSET(PLE!$G$14,$M711,CI$13))))</f>
        <v>1000000000000</v>
      </c>
      <c r="CJ711" s="182">
        <f ca="1">IF($D711&lt;&gt;"Serviço",0,IF(OR(AND(AUTOEVENTO="Manual",$M711=1),$M711&gt;(ROW(PLE.lastrow)-ROW(PLE.firstrow))),0,IF(OFFSET(PLE!$G$14,$M711,CJ$13)="",10^12,OFFSET(PLE!$G$14,$M711,CJ$13))))</f>
        <v>1000000000000</v>
      </c>
      <c r="CK711" s="182">
        <f ca="1">IF($D711&lt;&gt;"Serviço",0,IF(OR(AND(AUTOEVENTO="Manual",$M711=1),$M711&gt;(ROW(PLE.lastrow)-ROW(PLE.firstrow))),0,IF(OFFSET(PLE!$G$14,$M711,CK$13)="",10^12,OFFSET(PLE!$G$14,$M711,CK$13))))</f>
        <v>1000000000000</v>
      </c>
      <c r="CL711" s="182">
        <f ca="1">IF($D711&lt;&gt;"Serviço",0,IF(OR(AND(AUTOEVENTO="Manual",$M711=1),$M711&gt;(ROW(PLE.lastrow)-ROW(PLE.firstrow))),0,IF(OFFSET(PLE!$G$14,$M711,CL$13)="",10^12,OFFSET(PLE!$G$14,$M711,CL$13))))</f>
        <v>1000000000000</v>
      </c>
      <c r="CM711" s="182">
        <f ca="1">IF($D711&lt;&gt;"Serviço",0,IF(OR(AND(AUTOEVENTO="Manual",$M711=1),$M711&gt;(ROW(PLE.lastrow)-ROW(PLE.firstrow))),0,IF(OFFSET(PLE!$G$14,$M711,CM$13)="",10^12,OFFSET(PLE!$G$14,$M711,CM$13))))</f>
        <v>1000000000000</v>
      </c>
    </row>
    <row r="712" spans="1:91" ht="12.75" x14ac:dyDescent="0.2">
      <c r="A712" s="7" t="str">
        <f t="shared" ca="1" si="20"/>
        <v>697.</v>
      </c>
      <c r="B712" s="7">
        <f ca="1">OFFSET(ORÇAMENTO!C$15,ROW(B712)-ROW(B$15),0)</f>
        <v>2</v>
      </c>
      <c r="C712" s="7" t="str">
        <f ca="1">OFFSET(ORÇAMENTO!L$15,ROW(C712)-ROW(C$15),0)</f>
        <v>F</v>
      </c>
      <c r="D712" s="118" t="str">
        <f ca="1">OFFSET(ORÇAMENTO!N$15,ROW(D712)-ROW(D$15),0)</f>
        <v>Nível 2</v>
      </c>
      <c r="E712" s="119" t="str">
        <f ca="1">OFFSET(ORÇAMENTO!O$15,ROW(E712)-ROW(E$15),0)</f>
        <v>1.78.</v>
      </c>
      <c r="F712" s="172" t="str">
        <f ca="1">OFFSET(ORÇAMENTO!R$15,ROW(F712)-ROW(F$15),0)</f>
        <v>MURO DE FECHAMENTO - ALVENARIA DE VEDAÇÃO</v>
      </c>
      <c r="G712" s="173" t="str">
        <f ca="1">IF($D712&lt;&gt;"Serviço","",OFFSET(ORÇAMENTO!S$15,ROW(G712)-ROW(G$15),0))</f>
        <v/>
      </c>
      <c r="H712" s="124">
        <f ca="1">IF($D712&lt;&gt;"Serviço",0,IF(ACOMPANHAMENTO="BM",ROUND(OFFSET(ORÇAMENTO!AJ$15,ROW(H712)-ROW(H$15),0),15-13*ORÇAMENTO!$AF$7),SUMPRODUCT(($Q$12:$AI$12&lt;&gt;"")*ROUND($Q712:$AI712,15-13*ORÇAMENTO!$AF$7))))</f>
        <v>0</v>
      </c>
      <c r="I712" s="561"/>
      <c r="K712" s="174"/>
      <c r="L712" s="175" t="s">
        <v>255</v>
      </c>
      <c r="M712" s="176" t="str">
        <f ca="1">IF($D712&lt;&gt;"Serviço","",IF(AUTOEVENTO="manual",$A712,IF(ISERROR(MATCH($A712,$A$15:OFFSET($A712,-1,0),0)),MAX($M$15:OFFSET(M712,-1,0))+1,INDEX($M$15:OFFSET(M712,-1,0),MATCH($A712,$A$15:OFFSET($A712,-1,0),0)))))</f>
        <v/>
      </c>
      <c r="N712" s="177" t="str">
        <f ca="1">IF($D712&lt;&gt;"Serviço","",IF(AUTOEVENTO="Manual",IF($A712=0,"&lt;-- defina o número do agrupador",OFFSET(EVENTOS!$D$14,$A712,0)),OFFSET($F$15,$A712,0)))</f>
        <v/>
      </c>
      <c r="O712" s="178"/>
      <c r="Q712" s="178">
        <v>0</v>
      </c>
      <c r="R712" s="179"/>
      <c r="S712" s="179"/>
      <c r="T712" s="179"/>
      <c r="U712" s="179"/>
      <c r="V712" s="179"/>
      <c r="W712" s="179"/>
      <c r="X712" s="179"/>
      <c r="Y712" s="179"/>
      <c r="Z712" s="180"/>
      <c r="AA712" s="179"/>
      <c r="AB712" s="179"/>
      <c r="AC712" s="179"/>
      <c r="AD712" s="179"/>
      <c r="AE712" s="179"/>
      <c r="AF712" s="179"/>
      <c r="AG712" s="179"/>
      <c r="AH712" s="180"/>
      <c r="AJ712" s="544">
        <f ca="1">IF(AND($D712="Serviço",AJ$12&lt;&gt;0,$H712&gt;0,OR(AUTOEVENTO&lt;&gt;"manual",$M712&lt;&gt;1)),
IF(Import.TipoArredondamento&lt;&gt;"TransfereGOV",
ROUND(OFFSET($P712,0,AJ$13),15-13*ORÇAMENTO!$AF$7)/$H712*OFFSET(ORÇAMENTO!$X$15,ROW(AJ712)-ROW(AJ$15),0),
ROUND(ROUND(OFFSET($P712,0,AJ$13),15-13*ORÇAMENTO!$AF$7)*OFFSET(ORÇAMENTO!$W$15,ROW(AJ712)-ROW(AJ$15),0),15-13*ORÇAMENTO!$AF$11)),0)</f>
        <v>0</v>
      </c>
      <c r="AK712" s="545">
        <f ca="1">IF(AND($D712="Serviço",AK$12&lt;&gt;0,$H712&gt;0,OR(AUTOEVENTO&lt;&gt;"manual",$M712&lt;&gt;1)),
IF(Import.TipoArredondamento&lt;&gt;"TransfereGOV",
ROUND(OFFSET($P712,0,AK$13),15-13*ORÇAMENTO!$AF$7)/$H712*OFFSET(ORÇAMENTO!$X$15,ROW(AK712)-ROW(AK$15),0),
ROUND(ROUND(OFFSET($P712,0,AK$13),15-13*ORÇAMENTO!$AF$7)*OFFSET(ORÇAMENTO!$W$15,ROW(AK712)-ROW(AK$15),0),15-13*ORÇAMENTO!$AF$11)),0)</f>
        <v>0</v>
      </c>
      <c r="AL712" s="545">
        <f ca="1">IF(AND($D712="Serviço",AL$12&lt;&gt;0,$H712&gt;0,OR(AUTOEVENTO&lt;&gt;"manual",$M712&lt;&gt;1)),
IF(Import.TipoArredondamento&lt;&gt;"TransfereGOV",
ROUND(OFFSET($P712,0,AL$13),15-13*ORÇAMENTO!$AF$7)/$H712*OFFSET(ORÇAMENTO!$X$15,ROW(AL712)-ROW(AL$15),0),
ROUND(ROUND(OFFSET($P712,0,AL$13),15-13*ORÇAMENTO!$AF$7)*OFFSET(ORÇAMENTO!$W$15,ROW(AL712)-ROW(AL$15),0),15-13*ORÇAMENTO!$AF$11)),0)</f>
        <v>0</v>
      </c>
      <c r="AM712" s="545">
        <f ca="1">IF(AND($D712="Serviço",AM$12&lt;&gt;0,$H712&gt;0,OR(AUTOEVENTO&lt;&gt;"manual",$M712&lt;&gt;1)),
IF(Import.TipoArredondamento&lt;&gt;"TransfereGOV",
ROUND(OFFSET($P712,0,AM$13),15-13*ORÇAMENTO!$AF$7)/$H712*OFFSET(ORÇAMENTO!$X$15,ROW(AM712)-ROW(AM$15),0),
ROUND(ROUND(OFFSET($P712,0,AM$13),15-13*ORÇAMENTO!$AF$7)*OFFSET(ORÇAMENTO!$W$15,ROW(AM712)-ROW(AM$15),0),15-13*ORÇAMENTO!$AF$11)),0)</f>
        <v>0</v>
      </c>
      <c r="AN712" s="545">
        <f ca="1">IF(AND($D712="Serviço",AN$12&lt;&gt;0,$H712&gt;0,OR(AUTOEVENTO&lt;&gt;"manual",$M712&lt;&gt;1)),
IF(Import.TipoArredondamento&lt;&gt;"TransfereGOV",
ROUND(OFFSET($P712,0,AN$13),15-13*ORÇAMENTO!$AF$7)/$H712*OFFSET(ORÇAMENTO!$X$15,ROW(AN712)-ROW(AN$15),0),
ROUND(ROUND(OFFSET($P712,0,AN$13),15-13*ORÇAMENTO!$AF$7)*OFFSET(ORÇAMENTO!$W$15,ROW(AN712)-ROW(AN$15),0),15-13*ORÇAMENTO!$AF$11)),0)</f>
        <v>0</v>
      </c>
      <c r="AO712" s="545">
        <f ca="1">IF(AND($D712="Serviço",AO$12&lt;&gt;0,$H712&gt;0,OR(AUTOEVENTO&lt;&gt;"manual",$M712&lt;&gt;1)),
IF(Import.TipoArredondamento&lt;&gt;"TransfereGOV",
ROUND(OFFSET($P712,0,AO$13),15-13*ORÇAMENTO!$AF$7)/$H712*OFFSET(ORÇAMENTO!$X$15,ROW(AO712)-ROW(AO$15),0),
ROUND(ROUND(OFFSET($P712,0,AO$13),15-13*ORÇAMENTO!$AF$7)*OFFSET(ORÇAMENTO!$W$15,ROW(AO712)-ROW(AO$15),0),15-13*ORÇAMENTO!$AF$11)),0)</f>
        <v>0</v>
      </c>
      <c r="AP712" s="545">
        <f ca="1">IF(AND($D712="Serviço",AP$12&lt;&gt;0,$H712&gt;0,OR(AUTOEVENTO&lt;&gt;"manual",$M712&lt;&gt;1)),
IF(Import.TipoArredondamento&lt;&gt;"TransfereGOV",
ROUND(OFFSET($P712,0,AP$13),15-13*ORÇAMENTO!$AF$7)/$H712*OFFSET(ORÇAMENTO!$X$15,ROW(AP712)-ROW(AP$15),0),
ROUND(ROUND(OFFSET($P712,0,AP$13),15-13*ORÇAMENTO!$AF$7)*OFFSET(ORÇAMENTO!$W$15,ROW(AP712)-ROW(AP$15),0),15-13*ORÇAMENTO!$AF$11)),0)</f>
        <v>0</v>
      </c>
      <c r="AQ712" s="545">
        <f ca="1">IF(AND($D712="Serviço",AQ$12&lt;&gt;0,$H712&gt;0,OR(AUTOEVENTO&lt;&gt;"manual",$M712&lt;&gt;1)),
IF(Import.TipoArredondamento&lt;&gt;"TransfereGOV",
ROUND(OFFSET($P712,0,AQ$13),15-13*ORÇAMENTO!$AF$7)/$H712*OFFSET(ORÇAMENTO!$X$15,ROW(AQ712)-ROW(AQ$15),0),
ROUND(ROUND(OFFSET($P712,0,AQ$13),15-13*ORÇAMENTO!$AF$7)*OFFSET(ORÇAMENTO!$W$15,ROW(AQ712)-ROW(AQ$15),0),15-13*ORÇAMENTO!$AF$11)),0)</f>
        <v>0</v>
      </c>
      <c r="AR712" s="545">
        <f ca="1">IF(AND($D712="Serviço",AR$12&lt;&gt;0,$H712&gt;0,OR(AUTOEVENTO&lt;&gt;"manual",$M712&lt;&gt;1)),
IF(Import.TipoArredondamento&lt;&gt;"TransfereGOV",
ROUND(OFFSET($P712,0,AR$13),15-13*ORÇAMENTO!$AF$7)/$H712*OFFSET(ORÇAMENTO!$X$15,ROW(AR712)-ROW(AR$15),0),
ROUND(ROUND(OFFSET($P712,0,AR$13),15-13*ORÇAMENTO!$AF$7)*OFFSET(ORÇAMENTO!$W$15,ROW(AR712)-ROW(AR$15),0),15-13*ORÇAMENTO!$AF$11)),0)</f>
        <v>0</v>
      </c>
      <c r="AS712" s="546">
        <f ca="1">IF(AND($D712="Serviço",AS$12&lt;&gt;0,$H712&gt;0,OR(AUTOEVENTO&lt;&gt;"manual",$M712&lt;&gt;1)),
IF(Import.TipoArredondamento&lt;&gt;"TransfereGOV",
ROUND(OFFSET($P712,0,AS$13),15-13*ORÇAMENTO!$AF$7)/$H712*OFFSET(ORÇAMENTO!$X$15,ROW(AS712)-ROW(AS$15),0),
ROUND(ROUND(OFFSET($P712,0,AS$13),15-13*ORÇAMENTO!$AF$7)*OFFSET(ORÇAMENTO!$W$15,ROW(AS712)-ROW(AS$15),0),15-13*ORÇAMENTO!$AF$11)),0)</f>
        <v>0</v>
      </c>
      <c r="AT712" s="545">
        <f ca="1">IF(AND($D712="Serviço",AT$12&lt;&gt;0,$H712&gt;0,OR(AUTOEVENTO&lt;&gt;"manual",$M712&lt;&gt;1)),
IF(Import.TipoArredondamento&lt;&gt;"TransfereGOV",
ROUND(OFFSET($P712,0,AT$13),15-13*ORÇAMENTO!$AF$7)/$H712*OFFSET(ORÇAMENTO!$X$15,ROW(AT712)-ROW(AT$15),0),
ROUND(ROUND(OFFSET($P712,0,AT$13),15-13*ORÇAMENTO!$AF$7)*OFFSET(ORÇAMENTO!$W$15,ROW(AT712)-ROW(AT$15),0),15-13*ORÇAMENTO!$AF$11)),0)</f>
        <v>0</v>
      </c>
      <c r="AU712" s="545">
        <f ca="1">IF(AND($D712="Serviço",AU$12&lt;&gt;0,$H712&gt;0,OR(AUTOEVENTO&lt;&gt;"manual",$M712&lt;&gt;1)),
IF(Import.TipoArredondamento&lt;&gt;"TransfereGOV",
ROUND(OFFSET($P712,0,AU$13),15-13*ORÇAMENTO!$AF$7)/$H712*OFFSET(ORÇAMENTO!$X$15,ROW(AU712)-ROW(AU$15),0),
ROUND(ROUND(OFFSET($P712,0,AU$13),15-13*ORÇAMENTO!$AF$7)*OFFSET(ORÇAMENTO!$W$15,ROW(AU712)-ROW(AU$15),0),15-13*ORÇAMENTO!$AF$11)),0)</f>
        <v>0</v>
      </c>
      <c r="AV712" s="545">
        <f ca="1">IF(AND($D712="Serviço",AV$12&lt;&gt;0,$H712&gt;0,OR(AUTOEVENTO&lt;&gt;"manual",$M712&lt;&gt;1)),
IF(Import.TipoArredondamento&lt;&gt;"TransfereGOV",
ROUND(OFFSET($P712,0,AV$13),15-13*ORÇAMENTO!$AF$7)/$H712*OFFSET(ORÇAMENTO!$X$15,ROW(AV712)-ROW(AV$15),0),
ROUND(ROUND(OFFSET($P712,0,AV$13),15-13*ORÇAMENTO!$AF$7)*OFFSET(ORÇAMENTO!$W$15,ROW(AV712)-ROW(AV$15),0),15-13*ORÇAMENTO!$AF$11)),0)</f>
        <v>0</v>
      </c>
      <c r="AW712" s="545">
        <f ca="1">IF(AND($D712="Serviço",AW$12&lt;&gt;0,$H712&gt;0,OR(AUTOEVENTO&lt;&gt;"manual",$M712&lt;&gt;1)),
IF(Import.TipoArredondamento&lt;&gt;"TransfereGOV",
ROUND(OFFSET($P712,0,AW$13),15-13*ORÇAMENTO!$AF$7)/$H712*OFFSET(ORÇAMENTO!$X$15,ROW(AW712)-ROW(AW$15),0),
ROUND(ROUND(OFFSET($P712,0,AW$13),15-13*ORÇAMENTO!$AF$7)*OFFSET(ORÇAMENTO!$W$15,ROW(AW712)-ROW(AW$15),0),15-13*ORÇAMENTO!$AF$11)),0)</f>
        <v>0</v>
      </c>
      <c r="AX712" s="545">
        <f ca="1">IF(AND($D712="Serviço",AX$12&lt;&gt;0,$H712&gt;0,OR(AUTOEVENTO&lt;&gt;"manual",$M712&lt;&gt;1)),
IF(Import.TipoArredondamento&lt;&gt;"TransfereGOV",
ROUND(OFFSET($P712,0,AX$13),15-13*ORÇAMENTO!$AF$7)/$H712*OFFSET(ORÇAMENTO!$X$15,ROW(AX712)-ROW(AX$15),0),
ROUND(ROUND(OFFSET($P712,0,AX$13),15-13*ORÇAMENTO!$AF$7)*OFFSET(ORÇAMENTO!$W$15,ROW(AX712)-ROW(AX$15),0),15-13*ORÇAMENTO!$AF$11)),0)</f>
        <v>0</v>
      </c>
      <c r="AY712" s="545">
        <f ca="1">IF(AND($D712="Serviço",AY$12&lt;&gt;0,$H712&gt;0,OR(AUTOEVENTO&lt;&gt;"manual",$M712&lt;&gt;1)),
IF(Import.TipoArredondamento&lt;&gt;"TransfereGOV",
ROUND(OFFSET($P712,0,AY$13),15-13*ORÇAMENTO!$AF$7)/$H712*OFFSET(ORÇAMENTO!$X$15,ROW(AY712)-ROW(AY$15),0),
ROUND(ROUND(OFFSET($P712,0,AY$13),15-13*ORÇAMENTO!$AF$7)*OFFSET(ORÇAMENTO!$W$15,ROW(AY712)-ROW(AY$15),0),15-13*ORÇAMENTO!$AF$11)),0)</f>
        <v>0</v>
      </c>
      <c r="AZ712" s="545">
        <f ca="1">IF(AND($D712="Serviço",AZ$12&lt;&gt;0,$H712&gt;0,OR(AUTOEVENTO&lt;&gt;"manual",$M712&lt;&gt;1)),
IF(Import.TipoArredondamento&lt;&gt;"TransfereGOV",
ROUND(OFFSET($P712,0,AZ$13),15-13*ORÇAMENTO!$AF$7)/$H712*OFFSET(ORÇAMENTO!$X$15,ROW(AZ712)-ROW(AZ$15),0),
ROUND(ROUND(OFFSET($P712,0,AZ$13),15-13*ORÇAMENTO!$AF$7)*OFFSET(ORÇAMENTO!$W$15,ROW(AZ712)-ROW(AZ$15),0),15-13*ORÇAMENTO!$AF$11)),0)</f>
        <v>0</v>
      </c>
      <c r="BA712" s="546">
        <f ca="1">IF(AND($D712="Serviço",BA$12&lt;&gt;0,$H712&gt;0,OR(AUTOEVENTO&lt;&gt;"manual",$M712&lt;&gt;1)),
IF(Import.TipoArredondamento&lt;&gt;"TransfereGOV",
ROUND(OFFSET($P712,0,BA$13),15-13*ORÇAMENTO!$AF$7)/$H712*OFFSET(ORÇAMENTO!$X$15,ROW(BA712)-ROW(BA$15),0),
ROUND(ROUND(OFFSET($P712,0,BA$13),15-13*ORÇAMENTO!$AF$7)*OFFSET(ORÇAMENTO!$W$15,ROW(BA712)-ROW(BA$15),0),15-13*ORÇAMENTO!$AF$11)),0)</f>
        <v>0</v>
      </c>
      <c r="BC712" s="181">
        <f ca="1">IF($D712&lt;&gt;"Serviço",0,IF(AND(AUTOEVENTO="Manual",$M712=1),0,IF(OFFSET(CRONOPLE!$F$14,$M712,BC$13)="",10^12,OFFSET(CRONOPLE!$F$14,$M712,BC$13))))</f>
        <v>0</v>
      </c>
      <c r="BD712" s="181">
        <f ca="1">IF($D712&lt;&gt;"Serviço",0,IF(AND(AUTOEVENTO="Manual",$M712=1),0,IF(OFFSET(CRONOPLE!$F$14,$M712,BD$13)="",10^12,OFFSET(CRONOPLE!$F$14,$M712,BD$13))))</f>
        <v>0</v>
      </c>
      <c r="BE712" s="181">
        <f ca="1">IF($D712&lt;&gt;"Serviço",0,IF(AND(AUTOEVENTO="Manual",$M712=1),0,IF(OFFSET(CRONOPLE!$F$14,$M712,BE$13)="",10^12,OFFSET(CRONOPLE!$F$14,$M712,BE$13))))</f>
        <v>0</v>
      </c>
      <c r="BF712" s="181">
        <f ca="1">IF($D712&lt;&gt;"Serviço",0,IF(AND(AUTOEVENTO="Manual",$M712=1),0,IF(OFFSET(CRONOPLE!$F$14,$M712,BF$13)="",10^12,OFFSET(CRONOPLE!$F$14,$M712,BF$13))))</f>
        <v>0</v>
      </c>
      <c r="BG712" s="181">
        <f ca="1">IF($D712&lt;&gt;"Serviço",0,IF(AND(AUTOEVENTO="Manual",$M712=1),0,IF(OFFSET(CRONOPLE!$F$14,$M712,BG$13)="",10^12,OFFSET(CRONOPLE!$F$14,$M712,BG$13))))</f>
        <v>0</v>
      </c>
      <c r="BH712" s="181">
        <f ca="1">IF($D712&lt;&gt;"Serviço",0,IF(AND(AUTOEVENTO="Manual",$M712=1),0,IF(OFFSET(CRONOPLE!$F$14,$M712,BH$13)="",10^12,OFFSET(CRONOPLE!$F$14,$M712,BH$13))))</f>
        <v>0</v>
      </c>
      <c r="BI712" s="181">
        <f ca="1">IF($D712&lt;&gt;"Serviço",0,IF(AND(AUTOEVENTO="Manual",$M712=1),0,IF(OFFSET(CRONOPLE!$F$14,$M712,BI$13)="",10^12,OFFSET(CRONOPLE!$F$14,$M712,BI$13))))</f>
        <v>0</v>
      </c>
      <c r="BJ712" s="181">
        <f ca="1">IF($D712&lt;&gt;"Serviço",0,IF(AND(AUTOEVENTO="Manual",$M712=1),0,IF(OFFSET(CRONOPLE!$F$14,$M712,BJ$13)="",10^12,OFFSET(CRONOPLE!$F$14,$M712,BJ$13))))</f>
        <v>0</v>
      </c>
      <c r="BK712" s="181">
        <f ca="1">IF($D712&lt;&gt;"Serviço",0,IF(AND(AUTOEVENTO="Manual",$M712=1),0,IF(OFFSET(CRONOPLE!$F$14,$M712,BK$13)="",10^12,OFFSET(CRONOPLE!$F$14,$M712,BK$13))))</f>
        <v>0</v>
      </c>
      <c r="BL712" s="181">
        <f ca="1">IF($D712&lt;&gt;"Serviço",0,IF(AND(AUTOEVENTO="Manual",$M712=1),0,IF(OFFSET(CRONOPLE!$F$14,$M712,BL$13)="",10^12,OFFSET(CRONOPLE!$F$14,$M712,BL$13))))</f>
        <v>0</v>
      </c>
      <c r="BM712" s="181">
        <f ca="1">IF($D712&lt;&gt;"Serviço",0,IF(AND(AUTOEVENTO="Manual",$M712=1),0,IF(OFFSET(CRONOPLE!$F$14,$M712,BM$13)="",10^12,OFFSET(CRONOPLE!$F$14,$M712,BM$13))))</f>
        <v>0</v>
      </c>
      <c r="BN712" s="181">
        <f ca="1">IF($D712&lt;&gt;"Serviço",0,IF(AND(AUTOEVENTO="Manual",$M712=1),0,IF(OFFSET(CRONOPLE!$F$14,$M712,BN$13)="",10^12,OFFSET(CRONOPLE!$F$14,$M712,BN$13))))</f>
        <v>0</v>
      </c>
      <c r="BO712" s="181">
        <f ca="1">IF($D712&lt;&gt;"Serviço",0,IF(AND(AUTOEVENTO="Manual",$M712=1),0,IF(OFFSET(CRONOPLE!$F$14,$M712,BO$13)="",10^12,OFFSET(CRONOPLE!$F$14,$M712,BO$13))))</f>
        <v>0</v>
      </c>
      <c r="BP712" s="181">
        <f ca="1">IF($D712&lt;&gt;"Serviço",0,IF(AND(AUTOEVENTO="Manual",$M712=1),0,IF(OFFSET(CRONOPLE!$F$14,$M712,BP$13)="",10^12,OFFSET(CRONOPLE!$F$14,$M712,BP$13))))</f>
        <v>0</v>
      </c>
      <c r="BQ712" s="181">
        <f ca="1">IF($D712&lt;&gt;"Serviço",0,IF(AND(AUTOEVENTO="Manual",$M712=1),0,IF(OFFSET(CRONOPLE!$F$14,$M712,BQ$13)="",10^12,OFFSET(CRONOPLE!$F$14,$M712,BQ$13))))</f>
        <v>0</v>
      </c>
      <c r="BR712" s="181">
        <f ca="1">IF($D712&lt;&gt;"Serviço",0,IF(AND(AUTOEVENTO="Manual",$M712=1),0,IF(OFFSET(CRONOPLE!$F$14,$M712,BR$13)="",10^12,OFFSET(CRONOPLE!$F$14,$M712,BR$13))))</f>
        <v>0</v>
      </c>
      <c r="BS712" s="181">
        <f ca="1">IF($D712&lt;&gt;"Serviço",0,IF(AND(AUTOEVENTO="Manual",$M712=1),0,IF(OFFSET(CRONOPLE!$F$14,$M712,BS$13)="",10^12,OFFSET(CRONOPLE!$F$14,$M712,BS$13))))</f>
        <v>0</v>
      </c>
      <c r="BT712" s="181">
        <f ca="1">IF($D712&lt;&gt;"Serviço",0,IF(AND(AUTOEVENTO="Manual",$M712=1),0,IF(OFFSET(CRONOPLE!$F$14,$M712,BT$13)="",10^12,OFFSET(CRONOPLE!$F$14,$M712,BT$13))))</f>
        <v>0</v>
      </c>
      <c r="BV712" s="182">
        <f ca="1">IF($D712&lt;&gt;"Serviço",0,IF(OR(AND(AUTOEVENTO="Manual",$M712=1),$M712&gt;(ROW(PLE.lastrow)-ROW(PLE.firstrow))),0,IF(OFFSET(PLE!$G$14,$M712,BV$13)="",10^12,OFFSET(PLE!$G$14,$M712,BV$13))))</f>
        <v>0</v>
      </c>
      <c r="BW712" s="182">
        <f ca="1">IF($D712&lt;&gt;"Serviço",0,IF(OR(AND(AUTOEVENTO="Manual",$M712=1),$M712&gt;(ROW(PLE.lastrow)-ROW(PLE.firstrow))),0,IF(OFFSET(PLE!$G$14,$M712,BW$13)="",10^12,OFFSET(PLE!$G$14,$M712,BW$13))))</f>
        <v>0</v>
      </c>
      <c r="BX712" s="182">
        <f ca="1">IF($D712&lt;&gt;"Serviço",0,IF(OR(AND(AUTOEVENTO="Manual",$M712=1),$M712&gt;(ROW(PLE.lastrow)-ROW(PLE.firstrow))),0,IF(OFFSET(PLE!$G$14,$M712,BX$13)="",10^12,OFFSET(PLE!$G$14,$M712,BX$13))))</f>
        <v>0</v>
      </c>
      <c r="BY712" s="182">
        <f ca="1">IF($D712&lt;&gt;"Serviço",0,IF(OR(AND(AUTOEVENTO="Manual",$M712=1),$M712&gt;(ROW(PLE.lastrow)-ROW(PLE.firstrow))),0,IF(OFFSET(PLE!$G$14,$M712,BY$13)="",10^12,OFFSET(PLE!$G$14,$M712,BY$13))))</f>
        <v>0</v>
      </c>
      <c r="BZ712" s="182">
        <f ca="1">IF($D712&lt;&gt;"Serviço",0,IF(OR(AND(AUTOEVENTO="Manual",$M712=1),$M712&gt;(ROW(PLE.lastrow)-ROW(PLE.firstrow))),0,IF(OFFSET(PLE!$G$14,$M712,BZ$13)="",10^12,OFFSET(PLE!$G$14,$M712,BZ$13))))</f>
        <v>0</v>
      </c>
      <c r="CA712" s="182">
        <f ca="1">IF($D712&lt;&gt;"Serviço",0,IF(OR(AND(AUTOEVENTO="Manual",$M712=1),$M712&gt;(ROW(PLE.lastrow)-ROW(PLE.firstrow))),0,IF(OFFSET(PLE!$G$14,$M712,CA$13)="",10^12,OFFSET(PLE!$G$14,$M712,CA$13))))</f>
        <v>0</v>
      </c>
      <c r="CB712" s="182">
        <f ca="1">IF($D712&lt;&gt;"Serviço",0,IF(OR(AND(AUTOEVENTO="Manual",$M712=1),$M712&gt;(ROW(PLE.lastrow)-ROW(PLE.firstrow))),0,IF(OFFSET(PLE!$G$14,$M712,CB$13)="",10^12,OFFSET(PLE!$G$14,$M712,CB$13))))</f>
        <v>0</v>
      </c>
      <c r="CC712" s="182">
        <f ca="1">IF($D712&lt;&gt;"Serviço",0,IF(OR(AND(AUTOEVENTO="Manual",$M712=1),$M712&gt;(ROW(PLE.lastrow)-ROW(PLE.firstrow))),0,IF(OFFSET(PLE!$G$14,$M712,CC$13)="",10^12,OFFSET(PLE!$G$14,$M712,CC$13))))</f>
        <v>0</v>
      </c>
      <c r="CD712" s="182">
        <f ca="1">IF($D712&lt;&gt;"Serviço",0,IF(OR(AND(AUTOEVENTO="Manual",$M712=1),$M712&gt;(ROW(PLE.lastrow)-ROW(PLE.firstrow))),0,IF(OFFSET(PLE!$G$14,$M712,CD$13)="",10^12,OFFSET(PLE!$G$14,$M712,CD$13))))</f>
        <v>0</v>
      </c>
      <c r="CE712" s="182">
        <f ca="1">IF($D712&lt;&gt;"Serviço",0,IF(OR(AND(AUTOEVENTO="Manual",$M712=1),$M712&gt;(ROW(PLE.lastrow)-ROW(PLE.firstrow))),0,IF(OFFSET(PLE!$G$14,$M712,CE$13)="",10^12,OFFSET(PLE!$G$14,$M712,CE$13))))</f>
        <v>0</v>
      </c>
      <c r="CF712" s="182">
        <f ca="1">IF($D712&lt;&gt;"Serviço",0,IF(OR(AND(AUTOEVENTO="Manual",$M712=1),$M712&gt;(ROW(PLE.lastrow)-ROW(PLE.firstrow))),0,IF(OFFSET(PLE!$G$14,$M712,CF$13)="",10^12,OFFSET(PLE!$G$14,$M712,CF$13))))</f>
        <v>0</v>
      </c>
      <c r="CG712" s="182">
        <f ca="1">IF($D712&lt;&gt;"Serviço",0,IF(OR(AND(AUTOEVENTO="Manual",$M712=1),$M712&gt;(ROW(PLE.lastrow)-ROW(PLE.firstrow))),0,IF(OFFSET(PLE!$G$14,$M712,CG$13)="",10^12,OFFSET(PLE!$G$14,$M712,CG$13))))</f>
        <v>0</v>
      </c>
      <c r="CH712" s="182">
        <f ca="1">IF($D712&lt;&gt;"Serviço",0,IF(OR(AND(AUTOEVENTO="Manual",$M712=1),$M712&gt;(ROW(PLE.lastrow)-ROW(PLE.firstrow))),0,IF(OFFSET(PLE!$G$14,$M712,CH$13)="",10^12,OFFSET(PLE!$G$14,$M712,CH$13))))</f>
        <v>0</v>
      </c>
      <c r="CI712" s="182">
        <f ca="1">IF($D712&lt;&gt;"Serviço",0,IF(OR(AND(AUTOEVENTO="Manual",$M712=1),$M712&gt;(ROW(PLE.lastrow)-ROW(PLE.firstrow))),0,IF(OFFSET(PLE!$G$14,$M712,CI$13)="",10^12,OFFSET(PLE!$G$14,$M712,CI$13))))</f>
        <v>0</v>
      </c>
      <c r="CJ712" s="182">
        <f ca="1">IF($D712&lt;&gt;"Serviço",0,IF(OR(AND(AUTOEVENTO="Manual",$M712=1),$M712&gt;(ROW(PLE.lastrow)-ROW(PLE.firstrow))),0,IF(OFFSET(PLE!$G$14,$M712,CJ$13)="",10^12,OFFSET(PLE!$G$14,$M712,CJ$13))))</f>
        <v>0</v>
      </c>
      <c r="CK712" s="182">
        <f ca="1">IF($D712&lt;&gt;"Serviço",0,IF(OR(AND(AUTOEVENTO="Manual",$M712=1),$M712&gt;(ROW(PLE.lastrow)-ROW(PLE.firstrow))),0,IF(OFFSET(PLE!$G$14,$M712,CK$13)="",10^12,OFFSET(PLE!$G$14,$M712,CK$13))))</f>
        <v>0</v>
      </c>
      <c r="CL712" s="182">
        <f ca="1">IF($D712&lt;&gt;"Serviço",0,IF(OR(AND(AUTOEVENTO="Manual",$M712=1),$M712&gt;(ROW(PLE.lastrow)-ROW(PLE.firstrow))),0,IF(OFFSET(PLE!$G$14,$M712,CL$13)="",10^12,OFFSET(PLE!$G$14,$M712,CL$13))))</f>
        <v>0</v>
      </c>
      <c r="CM712" s="182">
        <f ca="1">IF($D712&lt;&gt;"Serviço",0,IF(OR(AND(AUTOEVENTO="Manual",$M712=1),$M712&gt;(ROW(PLE.lastrow)-ROW(PLE.firstrow))),0,IF(OFFSET(PLE!$G$14,$M712,CM$13)="",10^12,OFFSET(PLE!$G$14,$M712,CM$13))))</f>
        <v>0</v>
      </c>
    </row>
    <row r="713" spans="1:91" ht="38.25" x14ac:dyDescent="0.2">
      <c r="A713" s="7" t="str">
        <f t="shared" ca="1" si="20"/>
        <v>697</v>
      </c>
      <c r="B713" s="7" t="str">
        <f ca="1">OFFSET(ORÇAMENTO!C$15,ROW(B713)-ROW(B$15),0)</f>
        <v>S</v>
      </c>
      <c r="C713" s="7" t="str">
        <f ca="1">OFFSET(ORÇAMENTO!L$15,ROW(C713)-ROW(C$15),0)</f>
        <v/>
      </c>
      <c r="D713" s="118" t="str">
        <f ca="1">OFFSET(ORÇAMENTO!N$15,ROW(D713)-ROW(D$15),0)</f>
        <v>Serviço</v>
      </c>
      <c r="E713" s="119" t="str">
        <f ca="1">OFFSET(ORÇAMENTO!O$15,ROW(E713)-ROW(E$15),0)</f>
        <v>-</v>
      </c>
      <c r="F713" s="172" t="str">
        <f ca="1">OFFSET(ORÇAMENTO!R$15,ROW(F713)-ROW(F$15),0)</f>
        <v>(abra o arquivo 'Referência 06-2024.xlsm)</v>
      </c>
      <c r="G713" s="173" t="str">
        <f ca="1">IF($D713&lt;&gt;"Serviço","",OFFSET(ORÇAMENTO!S$15,ROW(G713)-ROW(G$15),0))</f>
        <v>-</v>
      </c>
      <c r="H713" s="124">
        <f ca="1">IF($D713&lt;&gt;"Serviço",0,IF(ACOMPANHAMENTO="BM",ROUND(OFFSET(ORÇAMENTO!AJ$15,ROW(H713)-ROW(H$15),0),15-13*ORÇAMENTO!$AF$7),SUMPRODUCT(($Q$12:$AI$12&lt;&gt;"")*ROUND($Q713:$AI713,15-13*ORÇAMENTO!$AF$7))))</f>
        <v>330.6</v>
      </c>
      <c r="I713" s="561" t="s">
        <v>1107</v>
      </c>
      <c r="K713" s="174"/>
      <c r="L713" s="175" t="s">
        <v>255</v>
      </c>
      <c r="M713" s="176">
        <f ca="1">IF($D713&lt;&gt;"Serviço","",IF(AUTOEVENTO="manual",$A713,IF(ISERROR(MATCH($A713,$A$15:OFFSET($A713,-1,0),0)),MAX($M$15:OFFSET(M713,-1,0))+1,INDEX($M$15:OFFSET(M713,-1,0),MATCH($A713,$A$15:OFFSET($A713,-1,0),0)))))</f>
        <v>79</v>
      </c>
      <c r="N713" s="177" t="str">
        <f ca="1">IF($D713&lt;&gt;"Serviço","",IF(AUTOEVENTO="Manual",IF($A713=0,"&lt;-- defina o número do agrupador",OFFSET(EVENTOS!$D$14,$A713,0)),OFFSET($F$15,$A713,0)))</f>
        <v>MURO DE FECHAMENTO - ALVENARIA DE VEDAÇÃO</v>
      </c>
      <c r="O713" s="178"/>
      <c r="Q713" s="178">
        <v>330.6</v>
      </c>
      <c r="R713" s="179"/>
      <c r="S713" s="179"/>
      <c r="T713" s="179"/>
      <c r="U713" s="179"/>
      <c r="V713" s="179"/>
      <c r="W713" s="179"/>
      <c r="X713" s="179"/>
      <c r="Y713" s="179"/>
      <c r="Z713" s="180"/>
      <c r="AA713" s="179"/>
      <c r="AB713" s="179"/>
      <c r="AC713" s="179"/>
      <c r="AD713" s="179"/>
      <c r="AE713" s="179"/>
      <c r="AF713" s="179"/>
      <c r="AG713" s="179"/>
      <c r="AH713" s="180"/>
      <c r="AJ713" s="544">
        <f ca="1">IF(AND($D713="Serviço",AJ$12&lt;&gt;0,$H713&gt;0,OR(AUTOEVENTO&lt;&gt;"manual",$M713&lt;&gt;1)),
IF(Import.TipoArredondamento&lt;&gt;"TransfereGOV",
ROUND(OFFSET($P713,0,AJ$13),15-13*ORÇAMENTO!$AF$7)/$H713*OFFSET(ORÇAMENTO!$X$15,ROW(AJ713)-ROW(AJ$15),0),
ROUND(ROUND(OFFSET($P713,0,AJ$13),15-13*ORÇAMENTO!$AF$7)*OFFSET(ORÇAMENTO!$W$15,ROW(AJ713)-ROW(AJ$15),0),15-13*ORÇAMENTO!$AF$11)),0)</f>
        <v>0</v>
      </c>
      <c r="AK713" s="545">
        <f ca="1">IF(AND($D713="Serviço",AK$12&lt;&gt;0,$H713&gt;0,OR(AUTOEVENTO&lt;&gt;"manual",$M713&lt;&gt;1)),
IF(Import.TipoArredondamento&lt;&gt;"TransfereGOV",
ROUND(OFFSET($P713,0,AK$13),15-13*ORÇAMENTO!$AF$7)/$H713*OFFSET(ORÇAMENTO!$X$15,ROW(AK713)-ROW(AK$15),0),
ROUND(ROUND(OFFSET($P713,0,AK$13),15-13*ORÇAMENTO!$AF$7)*OFFSET(ORÇAMENTO!$W$15,ROW(AK713)-ROW(AK$15),0),15-13*ORÇAMENTO!$AF$11)),0)</f>
        <v>0</v>
      </c>
      <c r="AL713" s="545">
        <f ca="1">IF(AND($D713="Serviço",AL$12&lt;&gt;0,$H713&gt;0,OR(AUTOEVENTO&lt;&gt;"manual",$M713&lt;&gt;1)),
IF(Import.TipoArredondamento&lt;&gt;"TransfereGOV",
ROUND(OFFSET($P713,0,AL$13),15-13*ORÇAMENTO!$AF$7)/$H713*OFFSET(ORÇAMENTO!$X$15,ROW(AL713)-ROW(AL$15),0),
ROUND(ROUND(OFFSET($P713,0,AL$13),15-13*ORÇAMENTO!$AF$7)*OFFSET(ORÇAMENTO!$W$15,ROW(AL713)-ROW(AL$15),0),15-13*ORÇAMENTO!$AF$11)),0)</f>
        <v>0</v>
      </c>
      <c r="AM713" s="545">
        <f ca="1">IF(AND($D713="Serviço",AM$12&lt;&gt;0,$H713&gt;0,OR(AUTOEVENTO&lt;&gt;"manual",$M713&lt;&gt;1)),
IF(Import.TipoArredondamento&lt;&gt;"TransfereGOV",
ROUND(OFFSET($P713,0,AM$13),15-13*ORÇAMENTO!$AF$7)/$H713*OFFSET(ORÇAMENTO!$X$15,ROW(AM713)-ROW(AM$15),0),
ROUND(ROUND(OFFSET($P713,0,AM$13),15-13*ORÇAMENTO!$AF$7)*OFFSET(ORÇAMENTO!$W$15,ROW(AM713)-ROW(AM$15),0),15-13*ORÇAMENTO!$AF$11)),0)</f>
        <v>0</v>
      </c>
      <c r="AN713" s="545">
        <f ca="1">IF(AND($D713="Serviço",AN$12&lt;&gt;0,$H713&gt;0,OR(AUTOEVENTO&lt;&gt;"manual",$M713&lt;&gt;1)),
IF(Import.TipoArredondamento&lt;&gt;"TransfereGOV",
ROUND(OFFSET($P713,0,AN$13),15-13*ORÇAMENTO!$AF$7)/$H713*OFFSET(ORÇAMENTO!$X$15,ROW(AN713)-ROW(AN$15),0),
ROUND(ROUND(OFFSET($P713,0,AN$13),15-13*ORÇAMENTO!$AF$7)*OFFSET(ORÇAMENTO!$W$15,ROW(AN713)-ROW(AN$15),0),15-13*ORÇAMENTO!$AF$11)),0)</f>
        <v>0</v>
      </c>
      <c r="AO713" s="545">
        <f ca="1">IF(AND($D713="Serviço",AO$12&lt;&gt;0,$H713&gt;0,OR(AUTOEVENTO&lt;&gt;"manual",$M713&lt;&gt;1)),
IF(Import.TipoArredondamento&lt;&gt;"TransfereGOV",
ROUND(OFFSET($P713,0,AO$13),15-13*ORÇAMENTO!$AF$7)/$H713*OFFSET(ORÇAMENTO!$X$15,ROW(AO713)-ROW(AO$15),0),
ROUND(ROUND(OFFSET($P713,0,AO$13),15-13*ORÇAMENTO!$AF$7)*OFFSET(ORÇAMENTO!$W$15,ROW(AO713)-ROW(AO$15),0),15-13*ORÇAMENTO!$AF$11)),0)</f>
        <v>0</v>
      </c>
      <c r="AP713" s="545">
        <f ca="1">IF(AND($D713="Serviço",AP$12&lt;&gt;0,$H713&gt;0,OR(AUTOEVENTO&lt;&gt;"manual",$M713&lt;&gt;1)),
IF(Import.TipoArredondamento&lt;&gt;"TransfereGOV",
ROUND(OFFSET($P713,0,AP$13),15-13*ORÇAMENTO!$AF$7)/$H713*OFFSET(ORÇAMENTO!$X$15,ROW(AP713)-ROW(AP$15),0),
ROUND(ROUND(OFFSET($P713,0,AP$13),15-13*ORÇAMENTO!$AF$7)*OFFSET(ORÇAMENTO!$W$15,ROW(AP713)-ROW(AP$15),0),15-13*ORÇAMENTO!$AF$11)),0)</f>
        <v>0</v>
      </c>
      <c r="AQ713" s="545">
        <f ca="1">IF(AND($D713="Serviço",AQ$12&lt;&gt;0,$H713&gt;0,OR(AUTOEVENTO&lt;&gt;"manual",$M713&lt;&gt;1)),
IF(Import.TipoArredondamento&lt;&gt;"TransfereGOV",
ROUND(OFFSET($P713,0,AQ$13),15-13*ORÇAMENTO!$AF$7)/$H713*OFFSET(ORÇAMENTO!$X$15,ROW(AQ713)-ROW(AQ$15),0),
ROUND(ROUND(OFFSET($P713,0,AQ$13),15-13*ORÇAMENTO!$AF$7)*OFFSET(ORÇAMENTO!$W$15,ROW(AQ713)-ROW(AQ$15),0),15-13*ORÇAMENTO!$AF$11)),0)</f>
        <v>0</v>
      </c>
      <c r="AR713" s="545">
        <f ca="1">IF(AND($D713="Serviço",AR$12&lt;&gt;0,$H713&gt;0,OR(AUTOEVENTO&lt;&gt;"manual",$M713&lt;&gt;1)),
IF(Import.TipoArredondamento&lt;&gt;"TransfereGOV",
ROUND(OFFSET($P713,0,AR$13),15-13*ORÇAMENTO!$AF$7)/$H713*OFFSET(ORÇAMENTO!$X$15,ROW(AR713)-ROW(AR$15),0),
ROUND(ROUND(OFFSET($P713,0,AR$13),15-13*ORÇAMENTO!$AF$7)*OFFSET(ORÇAMENTO!$W$15,ROW(AR713)-ROW(AR$15),0),15-13*ORÇAMENTO!$AF$11)),0)</f>
        <v>0</v>
      </c>
      <c r="AS713" s="546">
        <f ca="1">IF(AND($D713="Serviço",AS$12&lt;&gt;0,$H713&gt;0,OR(AUTOEVENTO&lt;&gt;"manual",$M713&lt;&gt;1)),
IF(Import.TipoArredondamento&lt;&gt;"TransfereGOV",
ROUND(OFFSET($P713,0,AS$13),15-13*ORÇAMENTO!$AF$7)/$H713*OFFSET(ORÇAMENTO!$X$15,ROW(AS713)-ROW(AS$15),0),
ROUND(ROUND(OFFSET($P713,0,AS$13),15-13*ORÇAMENTO!$AF$7)*OFFSET(ORÇAMENTO!$W$15,ROW(AS713)-ROW(AS$15),0),15-13*ORÇAMENTO!$AF$11)),0)</f>
        <v>0</v>
      </c>
      <c r="AT713" s="545">
        <f ca="1">IF(AND($D713="Serviço",AT$12&lt;&gt;0,$H713&gt;0,OR(AUTOEVENTO&lt;&gt;"manual",$M713&lt;&gt;1)),
IF(Import.TipoArredondamento&lt;&gt;"TransfereGOV",
ROUND(OFFSET($P713,0,AT$13),15-13*ORÇAMENTO!$AF$7)/$H713*OFFSET(ORÇAMENTO!$X$15,ROW(AT713)-ROW(AT$15),0),
ROUND(ROUND(OFFSET($P713,0,AT$13),15-13*ORÇAMENTO!$AF$7)*OFFSET(ORÇAMENTO!$W$15,ROW(AT713)-ROW(AT$15),0),15-13*ORÇAMENTO!$AF$11)),0)</f>
        <v>0</v>
      </c>
      <c r="AU713" s="545">
        <f ca="1">IF(AND($D713="Serviço",AU$12&lt;&gt;0,$H713&gt;0,OR(AUTOEVENTO&lt;&gt;"manual",$M713&lt;&gt;1)),
IF(Import.TipoArredondamento&lt;&gt;"TransfereGOV",
ROUND(OFFSET($P713,0,AU$13),15-13*ORÇAMENTO!$AF$7)/$H713*OFFSET(ORÇAMENTO!$X$15,ROW(AU713)-ROW(AU$15),0),
ROUND(ROUND(OFFSET($P713,0,AU$13),15-13*ORÇAMENTO!$AF$7)*OFFSET(ORÇAMENTO!$W$15,ROW(AU713)-ROW(AU$15),0),15-13*ORÇAMENTO!$AF$11)),0)</f>
        <v>0</v>
      </c>
      <c r="AV713" s="545">
        <f ca="1">IF(AND($D713="Serviço",AV$12&lt;&gt;0,$H713&gt;0,OR(AUTOEVENTO&lt;&gt;"manual",$M713&lt;&gt;1)),
IF(Import.TipoArredondamento&lt;&gt;"TransfereGOV",
ROUND(OFFSET($P713,0,AV$13),15-13*ORÇAMENTO!$AF$7)/$H713*OFFSET(ORÇAMENTO!$X$15,ROW(AV713)-ROW(AV$15),0),
ROUND(ROUND(OFFSET($P713,0,AV$13),15-13*ORÇAMENTO!$AF$7)*OFFSET(ORÇAMENTO!$W$15,ROW(AV713)-ROW(AV$15),0),15-13*ORÇAMENTO!$AF$11)),0)</f>
        <v>0</v>
      </c>
      <c r="AW713" s="545">
        <f ca="1">IF(AND($D713="Serviço",AW$12&lt;&gt;0,$H713&gt;0,OR(AUTOEVENTO&lt;&gt;"manual",$M713&lt;&gt;1)),
IF(Import.TipoArredondamento&lt;&gt;"TransfereGOV",
ROUND(OFFSET($P713,0,AW$13),15-13*ORÇAMENTO!$AF$7)/$H713*OFFSET(ORÇAMENTO!$X$15,ROW(AW713)-ROW(AW$15),0),
ROUND(ROUND(OFFSET($P713,0,AW$13),15-13*ORÇAMENTO!$AF$7)*OFFSET(ORÇAMENTO!$W$15,ROW(AW713)-ROW(AW$15),0),15-13*ORÇAMENTO!$AF$11)),0)</f>
        <v>0</v>
      </c>
      <c r="AX713" s="545">
        <f ca="1">IF(AND($D713="Serviço",AX$12&lt;&gt;0,$H713&gt;0,OR(AUTOEVENTO&lt;&gt;"manual",$M713&lt;&gt;1)),
IF(Import.TipoArredondamento&lt;&gt;"TransfereGOV",
ROUND(OFFSET($P713,0,AX$13),15-13*ORÇAMENTO!$AF$7)/$H713*OFFSET(ORÇAMENTO!$X$15,ROW(AX713)-ROW(AX$15),0),
ROUND(ROUND(OFFSET($P713,0,AX$13),15-13*ORÇAMENTO!$AF$7)*OFFSET(ORÇAMENTO!$W$15,ROW(AX713)-ROW(AX$15),0),15-13*ORÇAMENTO!$AF$11)),0)</f>
        <v>0</v>
      </c>
      <c r="AY713" s="545">
        <f ca="1">IF(AND($D713="Serviço",AY$12&lt;&gt;0,$H713&gt;0,OR(AUTOEVENTO&lt;&gt;"manual",$M713&lt;&gt;1)),
IF(Import.TipoArredondamento&lt;&gt;"TransfereGOV",
ROUND(OFFSET($P713,0,AY$13),15-13*ORÇAMENTO!$AF$7)/$H713*OFFSET(ORÇAMENTO!$X$15,ROW(AY713)-ROW(AY$15),0),
ROUND(ROUND(OFFSET($P713,0,AY$13),15-13*ORÇAMENTO!$AF$7)*OFFSET(ORÇAMENTO!$W$15,ROW(AY713)-ROW(AY$15),0),15-13*ORÇAMENTO!$AF$11)),0)</f>
        <v>0</v>
      </c>
      <c r="AZ713" s="545">
        <f ca="1">IF(AND($D713="Serviço",AZ$12&lt;&gt;0,$H713&gt;0,OR(AUTOEVENTO&lt;&gt;"manual",$M713&lt;&gt;1)),
IF(Import.TipoArredondamento&lt;&gt;"TransfereGOV",
ROUND(OFFSET($P713,0,AZ$13),15-13*ORÇAMENTO!$AF$7)/$H713*OFFSET(ORÇAMENTO!$X$15,ROW(AZ713)-ROW(AZ$15),0),
ROUND(ROUND(OFFSET($P713,0,AZ$13),15-13*ORÇAMENTO!$AF$7)*OFFSET(ORÇAMENTO!$W$15,ROW(AZ713)-ROW(AZ$15),0),15-13*ORÇAMENTO!$AF$11)),0)</f>
        <v>0</v>
      </c>
      <c r="BA713" s="546">
        <f ca="1">IF(AND($D713="Serviço",BA$12&lt;&gt;0,$H713&gt;0,OR(AUTOEVENTO&lt;&gt;"manual",$M713&lt;&gt;1)),
IF(Import.TipoArredondamento&lt;&gt;"TransfereGOV",
ROUND(OFFSET($P713,0,BA$13),15-13*ORÇAMENTO!$AF$7)/$H713*OFFSET(ORÇAMENTO!$X$15,ROW(BA713)-ROW(BA$15),0),
ROUND(ROUND(OFFSET($P713,0,BA$13),15-13*ORÇAMENTO!$AF$7)*OFFSET(ORÇAMENTO!$W$15,ROW(BA713)-ROW(BA$15),0),15-13*ORÇAMENTO!$AF$11)),0)</f>
        <v>0</v>
      </c>
      <c r="BC713" s="181">
        <f ca="1">IF($D713&lt;&gt;"Serviço",0,IF(AND(AUTOEVENTO="Manual",$M713=1),0,IF(OFFSET(CRONOPLE!$F$14,$M713,BC$13)="",10^12,OFFSET(CRONOPLE!$F$14,$M713,BC$13))))</f>
        <v>12</v>
      </c>
      <c r="BD713" s="181">
        <f ca="1">IF($D713&lt;&gt;"Serviço",0,IF(AND(AUTOEVENTO="Manual",$M713=1),0,IF(OFFSET(CRONOPLE!$F$14,$M713,BD$13)="",10^12,OFFSET(CRONOPLE!$F$14,$M713,BD$13))))</f>
        <v>1000000000000</v>
      </c>
      <c r="BE713" s="181">
        <f ca="1">IF($D713&lt;&gt;"Serviço",0,IF(AND(AUTOEVENTO="Manual",$M713=1),0,IF(OFFSET(CRONOPLE!$F$14,$M713,BE$13)="",10^12,OFFSET(CRONOPLE!$F$14,$M713,BE$13))))</f>
        <v>1000000000000</v>
      </c>
      <c r="BF713" s="181">
        <f ca="1">IF($D713&lt;&gt;"Serviço",0,IF(AND(AUTOEVENTO="Manual",$M713=1),0,IF(OFFSET(CRONOPLE!$F$14,$M713,BF$13)="",10^12,OFFSET(CRONOPLE!$F$14,$M713,BF$13))))</f>
        <v>1000000000000</v>
      </c>
      <c r="BG713" s="181">
        <f ca="1">IF($D713&lt;&gt;"Serviço",0,IF(AND(AUTOEVENTO="Manual",$M713=1),0,IF(OFFSET(CRONOPLE!$F$14,$M713,BG$13)="",10^12,OFFSET(CRONOPLE!$F$14,$M713,BG$13))))</f>
        <v>1000000000000</v>
      </c>
      <c r="BH713" s="181">
        <f ca="1">IF($D713&lt;&gt;"Serviço",0,IF(AND(AUTOEVENTO="Manual",$M713=1),0,IF(OFFSET(CRONOPLE!$F$14,$M713,BH$13)="",10^12,OFFSET(CRONOPLE!$F$14,$M713,BH$13))))</f>
        <v>1000000000000</v>
      </c>
      <c r="BI713" s="181">
        <f ca="1">IF($D713&lt;&gt;"Serviço",0,IF(AND(AUTOEVENTO="Manual",$M713=1),0,IF(OFFSET(CRONOPLE!$F$14,$M713,BI$13)="",10^12,OFFSET(CRONOPLE!$F$14,$M713,BI$13))))</f>
        <v>1000000000000</v>
      </c>
      <c r="BJ713" s="181">
        <f ca="1">IF($D713&lt;&gt;"Serviço",0,IF(AND(AUTOEVENTO="Manual",$M713=1),0,IF(OFFSET(CRONOPLE!$F$14,$M713,BJ$13)="",10^12,OFFSET(CRONOPLE!$F$14,$M713,BJ$13))))</f>
        <v>1000000000000</v>
      </c>
      <c r="BK713" s="181">
        <f ca="1">IF($D713&lt;&gt;"Serviço",0,IF(AND(AUTOEVENTO="Manual",$M713=1),0,IF(OFFSET(CRONOPLE!$F$14,$M713,BK$13)="",10^12,OFFSET(CRONOPLE!$F$14,$M713,BK$13))))</f>
        <v>1000000000000</v>
      </c>
      <c r="BL713" s="181">
        <f ca="1">IF($D713&lt;&gt;"Serviço",0,IF(AND(AUTOEVENTO="Manual",$M713=1),0,IF(OFFSET(CRONOPLE!$F$14,$M713,BL$13)="",10^12,OFFSET(CRONOPLE!$F$14,$M713,BL$13))))</f>
        <v>1000000000000</v>
      </c>
      <c r="BM713" s="181">
        <f ca="1">IF($D713&lt;&gt;"Serviço",0,IF(AND(AUTOEVENTO="Manual",$M713=1),0,IF(OFFSET(CRONOPLE!$F$14,$M713,BM$13)="",10^12,OFFSET(CRONOPLE!$F$14,$M713,BM$13))))</f>
        <v>1000000000000</v>
      </c>
      <c r="BN713" s="181">
        <f ca="1">IF($D713&lt;&gt;"Serviço",0,IF(AND(AUTOEVENTO="Manual",$M713=1),0,IF(OFFSET(CRONOPLE!$F$14,$M713,BN$13)="",10^12,OFFSET(CRONOPLE!$F$14,$M713,BN$13))))</f>
        <v>1000000000000</v>
      </c>
      <c r="BO713" s="181">
        <f ca="1">IF($D713&lt;&gt;"Serviço",0,IF(AND(AUTOEVENTO="Manual",$M713=1),0,IF(OFFSET(CRONOPLE!$F$14,$M713,BO$13)="",10^12,OFFSET(CRONOPLE!$F$14,$M713,BO$13))))</f>
        <v>1000000000000</v>
      </c>
      <c r="BP713" s="181">
        <f ca="1">IF($D713&lt;&gt;"Serviço",0,IF(AND(AUTOEVENTO="Manual",$M713=1),0,IF(OFFSET(CRONOPLE!$F$14,$M713,BP$13)="",10^12,OFFSET(CRONOPLE!$F$14,$M713,BP$13))))</f>
        <v>1000000000000</v>
      </c>
      <c r="BQ713" s="181">
        <f ca="1">IF($D713&lt;&gt;"Serviço",0,IF(AND(AUTOEVENTO="Manual",$M713=1),0,IF(OFFSET(CRONOPLE!$F$14,$M713,BQ$13)="",10^12,OFFSET(CRONOPLE!$F$14,$M713,BQ$13))))</f>
        <v>1000000000000</v>
      </c>
      <c r="BR713" s="181">
        <f ca="1">IF($D713&lt;&gt;"Serviço",0,IF(AND(AUTOEVENTO="Manual",$M713=1),0,IF(OFFSET(CRONOPLE!$F$14,$M713,BR$13)="",10^12,OFFSET(CRONOPLE!$F$14,$M713,BR$13))))</f>
        <v>1000000000000</v>
      </c>
      <c r="BS713" s="181">
        <f ca="1">IF($D713&lt;&gt;"Serviço",0,IF(AND(AUTOEVENTO="Manual",$M713=1),0,IF(OFFSET(CRONOPLE!$F$14,$M713,BS$13)="",10^12,OFFSET(CRONOPLE!$F$14,$M713,BS$13))))</f>
        <v>1000000000000</v>
      </c>
      <c r="BT713" s="181">
        <f ca="1">IF($D713&lt;&gt;"Serviço",0,IF(AND(AUTOEVENTO="Manual",$M713=1),0,IF(OFFSET(CRONOPLE!$F$14,$M713,BT$13)="",10^12,OFFSET(CRONOPLE!$F$14,$M713,BT$13))))</f>
        <v>1000000000000</v>
      </c>
      <c r="BV713" s="182">
        <f ca="1">IF($D713&lt;&gt;"Serviço",0,IF(OR(AND(AUTOEVENTO="Manual",$M713=1),$M713&gt;(ROW(PLE.lastrow)-ROW(PLE.firstrow))),0,IF(OFFSET(PLE!$G$14,$M713,BV$13)="",10^12,OFFSET(PLE!$G$14,$M713,BV$13))))</f>
        <v>1000000000000</v>
      </c>
      <c r="BW713" s="182">
        <f ca="1">IF($D713&lt;&gt;"Serviço",0,IF(OR(AND(AUTOEVENTO="Manual",$M713=1),$M713&gt;(ROW(PLE.lastrow)-ROW(PLE.firstrow))),0,IF(OFFSET(PLE!$G$14,$M713,BW$13)="",10^12,OFFSET(PLE!$G$14,$M713,BW$13))))</f>
        <v>1000000000000</v>
      </c>
      <c r="BX713" s="182">
        <f ca="1">IF($D713&lt;&gt;"Serviço",0,IF(OR(AND(AUTOEVENTO="Manual",$M713=1),$M713&gt;(ROW(PLE.lastrow)-ROW(PLE.firstrow))),0,IF(OFFSET(PLE!$G$14,$M713,BX$13)="",10^12,OFFSET(PLE!$G$14,$M713,BX$13))))</f>
        <v>1000000000000</v>
      </c>
      <c r="BY713" s="182">
        <f ca="1">IF($D713&lt;&gt;"Serviço",0,IF(OR(AND(AUTOEVENTO="Manual",$M713=1),$M713&gt;(ROW(PLE.lastrow)-ROW(PLE.firstrow))),0,IF(OFFSET(PLE!$G$14,$M713,BY$13)="",10^12,OFFSET(PLE!$G$14,$M713,BY$13))))</f>
        <v>1000000000000</v>
      </c>
      <c r="BZ713" s="182">
        <f ca="1">IF($D713&lt;&gt;"Serviço",0,IF(OR(AND(AUTOEVENTO="Manual",$M713=1),$M713&gt;(ROW(PLE.lastrow)-ROW(PLE.firstrow))),0,IF(OFFSET(PLE!$G$14,$M713,BZ$13)="",10^12,OFFSET(PLE!$G$14,$M713,BZ$13))))</f>
        <v>1000000000000</v>
      </c>
      <c r="CA713" s="182">
        <f ca="1">IF($D713&lt;&gt;"Serviço",0,IF(OR(AND(AUTOEVENTO="Manual",$M713=1),$M713&gt;(ROW(PLE.lastrow)-ROW(PLE.firstrow))),0,IF(OFFSET(PLE!$G$14,$M713,CA$13)="",10^12,OFFSET(PLE!$G$14,$M713,CA$13))))</f>
        <v>1000000000000</v>
      </c>
      <c r="CB713" s="182">
        <f ca="1">IF($D713&lt;&gt;"Serviço",0,IF(OR(AND(AUTOEVENTO="Manual",$M713=1),$M713&gt;(ROW(PLE.lastrow)-ROW(PLE.firstrow))),0,IF(OFFSET(PLE!$G$14,$M713,CB$13)="",10^12,OFFSET(PLE!$G$14,$M713,CB$13))))</f>
        <v>1000000000000</v>
      </c>
      <c r="CC713" s="182">
        <f ca="1">IF($D713&lt;&gt;"Serviço",0,IF(OR(AND(AUTOEVENTO="Manual",$M713=1),$M713&gt;(ROW(PLE.lastrow)-ROW(PLE.firstrow))),0,IF(OFFSET(PLE!$G$14,$M713,CC$13)="",10^12,OFFSET(PLE!$G$14,$M713,CC$13))))</f>
        <v>1000000000000</v>
      </c>
      <c r="CD713" s="182">
        <f ca="1">IF($D713&lt;&gt;"Serviço",0,IF(OR(AND(AUTOEVENTO="Manual",$M713=1),$M713&gt;(ROW(PLE.lastrow)-ROW(PLE.firstrow))),0,IF(OFFSET(PLE!$G$14,$M713,CD$13)="",10^12,OFFSET(PLE!$G$14,$M713,CD$13))))</f>
        <v>1000000000000</v>
      </c>
      <c r="CE713" s="182">
        <f ca="1">IF($D713&lt;&gt;"Serviço",0,IF(OR(AND(AUTOEVENTO="Manual",$M713=1),$M713&gt;(ROW(PLE.lastrow)-ROW(PLE.firstrow))),0,IF(OFFSET(PLE!$G$14,$M713,CE$13)="",10^12,OFFSET(PLE!$G$14,$M713,CE$13))))</f>
        <v>1000000000000</v>
      </c>
      <c r="CF713" s="182">
        <f ca="1">IF($D713&lt;&gt;"Serviço",0,IF(OR(AND(AUTOEVENTO="Manual",$M713=1),$M713&gt;(ROW(PLE.lastrow)-ROW(PLE.firstrow))),0,IF(OFFSET(PLE!$G$14,$M713,CF$13)="",10^12,OFFSET(PLE!$G$14,$M713,CF$13))))</f>
        <v>1000000000000</v>
      </c>
      <c r="CG713" s="182">
        <f ca="1">IF($D713&lt;&gt;"Serviço",0,IF(OR(AND(AUTOEVENTO="Manual",$M713=1),$M713&gt;(ROW(PLE.lastrow)-ROW(PLE.firstrow))),0,IF(OFFSET(PLE!$G$14,$M713,CG$13)="",10^12,OFFSET(PLE!$G$14,$M713,CG$13))))</f>
        <v>1000000000000</v>
      </c>
      <c r="CH713" s="182">
        <f ca="1">IF($D713&lt;&gt;"Serviço",0,IF(OR(AND(AUTOEVENTO="Manual",$M713=1),$M713&gt;(ROW(PLE.lastrow)-ROW(PLE.firstrow))),0,IF(OFFSET(PLE!$G$14,$M713,CH$13)="",10^12,OFFSET(PLE!$G$14,$M713,CH$13))))</f>
        <v>1000000000000</v>
      </c>
      <c r="CI713" s="182">
        <f ca="1">IF($D713&lt;&gt;"Serviço",0,IF(OR(AND(AUTOEVENTO="Manual",$M713=1),$M713&gt;(ROW(PLE.lastrow)-ROW(PLE.firstrow))),0,IF(OFFSET(PLE!$G$14,$M713,CI$13)="",10^12,OFFSET(PLE!$G$14,$M713,CI$13))))</f>
        <v>1000000000000</v>
      </c>
      <c r="CJ713" s="182">
        <f ca="1">IF($D713&lt;&gt;"Serviço",0,IF(OR(AND(AUTOEVENTO="Manual",$M713=1),$M713&gt;(ROW(PLE.lastrow)-ROW(PLE.firstrow))),0,IF(OFFSET(PLE!$G$14,$M713,CJ$13)="",10^12,OFFSET(PLE!$G$14,$M713,CJ$13))))</f>
        <v>1000000000000</v>
      </c>
      <c r="CK713" s="182">
        <f ca="1">IF($D713&lt;&gt;"Serviço",0,IF(OR(AND(AUTOEVENTO="Manual",$M713=1),$M713&gt;(ROW(PLE.lastrow)-ROW(PLE.firstrow))),0,IF(OFFSET(PLE!$G$14,$M713,CK$13)="",10^12,OFFSET(PLE!$G$14,$M713,CK$13))))</f>
        <v>1000000000000</v>
      </c>
      <c r="CL713" s="182">
        <f ca="1">IF($D713&lt;&gt;"Serviço",0,IF(OR(AND(AUTOEVENTO="Manual",$M713=1),$M713&gt;(ROW(PLE.lastrow)-ROW(PLE.firstrow))),0,IF(OFFSET(PLE!$G$14,$M713,CL$13)="",10^12,OFFSET(PLE!$G$14,$M713,CL$13))))</f>
        <v>1000000000000</v>
      </c>
      <c r="CM713" s="182">
        <f ca="1">IF($D713&lt;&gt;"Serviço",0,IF(OR(AND(AUTOEVENTO="Manual",$M713=1),$M713&gt;(ROW(PLE.lastrow)-ROW(PLE.firstrow))),0,IF(OFFSET(PLE!$G$14,$M713,CM$13)="",10^12,OFFSET(PLE!$G$14,$M713,CM$13))))</f>
        <v>1000000000000</v>
      </c>
    </row>
    <row r="714" spans="1:91" ht="25.5" x14ac:dyDescent="0.2">
      <c r="A714" s="7" t="str">
        <f t="shared" ca="1" si="20"/>
        <v>697</v>
      </c>
      <c r="B714" s="7" t="str">
        <f ca="1">OFFSET(ORÇAMENTO!C$15,ROW(B714)-ROW(B$15),0)</f>
        <v>S</v>
      </c>
      <c r="C714" s="7" t="str">
        <f ca="1">OFFSET(ORÇAMENTO!L$15,ROW(C714)-ROW(C$15),0)</f>
        <v/>
      </c>
      <c r="D714" s="118" t="str">
        <f ca="1">OFFSET(ORÇAMENTO!N$15,ROW(D714)-ROW(D$15),0)</f>
        <v>Serviço</v>
      </c>
      <c r="E714" s="119" t="str">
        <f ca="1">OFFSET(ORÇAMENTO!O$15,ROW(E714)-ROW(E$15),0)</f>
        <v>-</v>
      </c>
      <c r="F714" s="172" t="str">
        <f ca="1">OFFSET(ORÇAMENTO!R$15,ROW(F714)-ROW(F$15),0)</f>
        <v>(abra o arquivo 'Referência 06-2024.xlsm)</v>
      </c>
      <c r="G714" s="173" t="str">
        <f ca="1">IF($D714&lt;&gt;"Serviço","",OFFSET(ORÇAMENTO!S$15,ROW(G714)-ROW(G$15),0))</f>
        <v>-</v>
      </c>
      <c r="H714" s="124">
        <f ca="1">IF($D714&lt;&gt;"Serviço",0,IF(ACOMPANHAMENTO="BM",ROUND(OFFSET(ORÇAMENTO!AJ$15,ROW(H714)-ROW(H$15),0),15-13*ORÇAMENTO!$AF$7),SUMPRODUCT(($Q$12:$AI$12&lt;&gt;"")*ROUND($Q714:$AI714,15-13*ORÇAMENTO!$AF$7))))</f>
        <v>171.8</v>
      </c>
      <c r="I714" s="561" t="s">
        <v>1107</v>
      </c>
      <c r="K714" s="174"/>
      <c r="L714" s="175" t="s">
        <v>255</v>
      </c>
      <c r="M714" s="176">
        <f ca="1">IF($D714&lt;&gt;"Serviço","",IF(AUTOEVENTO="manual",$A714,IF(ISERROR(MATCH($A714,$A$15:OFFSET($A714,-1,0),0)),MAX($M$15:OFFSET(M714,-1,0))+1,INDEX($M$15:OFFSET(M714,-1,0),MATCH($A714,$A$15:OFFSET($A714,-1,0),0)))))</f>
        <v>79</v>
      </c>
      <c r="N714" s="177" t="str">
        <f ca="1">IF($D714&lt;&gt;"Serviço","",IF(AUTOEVENTO="Manual",IF($A714=0,"&lt;-- defina o número do agrupador",OFFSET(EVENTOS!$D$14,$A714,0)),OFFSET($F$15,$A714,0)))</f>
        <v>MURO DE FECHAMENTO - ALVENARIA DE VEDAÇÃO</v>
      </c>
      <c r="O714" s="178"/>
      <c r="Q714" s="178">
        <v>171.8</v>
      </c>
      <c r="R714" s="179"/>
      <c r="S714" s="179"/>
      <c r="T714" s="179"/>
      <c r="U714" s="179"/>
      <c r="V714" s="179"/>
      <c r="W714" s="179"/>
      <c r="X714" s="179"/>
      <c r="Y714" s="179"/>
      <c r="Z714" s="180"/>
      <c r="AA714" s="179"/>
      <c r="AB714" s="179"/>
      <c r="AC714" s="179"/>
      <c r="AD714" s="179"/>
      <c r="AE714" s="179"/>
      <c r="AF714" s="179"/>
      <c r="AG714" s="179"/>
      <c r="AH714" s="180"/>
      <c r="AJ714" s="544">
        <f ca="1">IF(AND($D714="Serviço",AJ$12&lt;&gt;0,$H714&gt;0,OR(AUTOEVENTO&lt;&gt;"manual",$M714&lt;&gt;1)),
IF(Import.TipoArredondamento&lt;&gt;"TransfereGOV",
ROUND(OFFSET($P714,0,AJ$13),15-13*ORÇAMENTO!$AF$7)/$H714*OFFSET(ORÇAMENTO!$X$15,ROW(AJ714)-ROW(AJ$15),0),
ROUND(ROUND(OFFSET($P714,0,AJ$13),15-13*ORÇAMENTO!$AF$7)*OFFSET(ORÇAMENTO!$W$15,ROW(AJ714)-ROW(AJ$15),0),15-13*ORÇAMENTO!$AF$11)),0)</f>
        <v>0</v>
      </c>
      <c r="AK714" s="545">
        <f ca="1">IF(AND($D714="Serviço",AK$12&lt;&gt;0,$H714&gt;0,OR(AUTOEVENTO&lt;&gt;"manual",$M714&lt;&gt;1)),
IF(Import.TipoArredondamento&lt;&gt;"TransfereGOV",
ROUND(OFFSET($P714,0,AK$13),15-13*ORÇAMENTO!$AF$7)/$H714*OFFSET(ORÇAMENTO!$X$15,ROW(AK714)-ROW(AK$15),0),
ROUND(ROUND(OFFSET($P714,0,AK$13),15-13*ORÇAMENTO!$AF$7)*OFFSET(ORÇAMENTO!$W$15,ROW(AK714)-ROW(AK$15),0),15-13*ORÇAMENTO!$AF$11)),0)</f>
        <v>0</v>
      </c>
      <c r="AL714" s="545">
        <f ca="1">IF(AND($D714="Serviço",AL$12&lt;&gt;0,$H714&gt;0,OR(AUTOEVENTO&lt;&gt;"manual",$M714&lt;&gt;1)),
IF(Import.TipoArredondamento&lt;&gt;"TransfereGOV",
ROUND(OFFSET($P714,0,AL$13),15-13*ORÇAMENTO!$AF$7)/$H714*OFFSET(ORÇAMENTO!$X$15,ROW(AL714)-ROW(AL$15),0),
ROUND(ROUND(OFFSET($P714,0,AL$13),15-13*ORÇAMENTO!$AF$7)*OFFSET(ORÇAMENTO!$W$15,ROW(AL714)-ROW(AL$15),0),15-13*ORÇAMENTO!$AF$11)),0)</f>
        <v>0</v>
      </c>
      <c r="AM714" s="545">
        <f ca="1">IF(AND($D714="Serviço",AM$12&lt;&gt;0,$H714&gt;0,OR(AUTOEVENTO&lt;&gt;"manual",$M714&lt;&gt;1)),
IF(Import.TipoArredondamento&lt;&gt;"TransfereGOV",
ROUND(OFFSET($P714,0,AM$13),15-13*ORÇAMENTO!$AF$7)/$H714*OFFSET(ORÇAMENTO!$X$15,ROW(AM714)-ROW(AM$15),0),
ROUND(ROUND(OFFSET($P714,0,AM$13),15-13*ORÇAMENTO!$AF$7)*OFFSET(ORÇAMENTO!$W$15,ROW(AM714)-ROW(AM$15),0),15-13*ORÇAMENTO!$AF$11)),0)</f>
        <v>0</v>
      </c>
      <c r="AN714" s="545">
        <f ca="1">IF(AND($D714="Serviço",AN$12&lt;&gt;0,$H714&gt;0,OR(AUTOEVENTO&lt;&gt;"manual",$M714&lt;&gt;1)),
IF(Import.TipoArredondamento&lt;&gt;"TransfereGOV",
ROUND(OFFSET($P714,0,AN$13),15-13*ORÇAMENTO!$AF$7)/$H714*OFFSET(ORÇAMENTO!$X$15,ROW(AN714)-ROW(AN$15),0),
ROUND(ROUND(OFFSET($P714,0,AN$13),15-13*ORÇAMENTO!$AF$7)*OFFSET(ORÇAMENTO!$W$15,ROW(AN714)-ROW(AN$15),0),15-13*ORÇAMENTO!$AF$11)),0)</f>
        <v>0</v>
      </c>
      <c r="AO714" s="545">
        <f ca="1">IF(AND($D714="Serviço",AO$12&lt;&gt;0,$H714&gt;0,OR(AUTOEVENTO&lt;&gt;"manual",$M714&lt;&gt;1)),
IF(Import.TipoArredondamento&lt;&gt;"TransfereGOV",
ROUND(OFFSET($P714,0,AO$13),15-13*ORÇAMENTO!$AF$7)/$H714*OFFSET(ORÇAMENTO!$X$15,ROW(AO714)-ROW(AO$15),0),
ROUND(ROUND(OFFSET($P714,0,AO$13),15-13*ORÇAMENTO!$AF$7)*OFFSET(ORÇAMENTO!$W$15,ROW(AO714)-ROW(AO$15),0),15-13*ORÇAMENTO!$AF$11)),0)</f>
        <v>0</v>
      </c>
      <c r="AP714" s="545">
        <f ca="1">IF(AND($D714="Serviço",AP$12&lt;&gt;0,$H714&gt;0,OR(AUTOEVENTO&lt;&gt;"manual",$M714&lt;&gt;1)),
IF(Import.TipoArredondamento&lt;&gt;"TransfereGOV",
ROUND(OFFSET($P714,0,AP$13),15-13*ORÇAMENTO!$AF$7)/$H714*OFFSET(ORÇAMENTO!$X$15,ROW(AP714)-ROW(AP$15),0),
ROUND(ROUND(OFFSET($P714,0,AP$13),15-13*ORÇAMENTO!$AF$7)*OFFSET(ORÇAMENTO!$W$15,ROW(AP714)-ROW(AP$15),0),15-13*ORÇAMENTO!$AF$11)),0)</f>
        <v>0</v>
      </c>
      <c r="AQ714" s="545">
        <f ca="1">IF(AND($D714="Serviço",AQ$12&lt;&gt;0,$H714&gt;0,OR(AUTOEVENTO&lt;&gt;"manual",$M714&lt;&gt;1)),
IF(Import.TipoArredondamento&lt;&gt;"TransfereGOV",
ROUND(OFFSET($P714,0,AQ$13),15-13*ORÇAMENTO!$AF$7)/$H714*OFFSET(ORÇAMENTO!$X$15,ROW(AQ714)-ROW(AQ$15),0),
ROUND(ROUND(OFFSET($P714,0,AQ$13),15-13*ORÇAMENTO!$AF$7)*OFFSET(ORÇAMENTO!$W$15,ROW(AQ714)-ROW(AQ$15),0),15-13*ORÇAMENTO!$AF$11)),0)</f>
        <v>0</v>
      </c>
      <c r="AR714" s="545">
        <f ca="1">IF(AND($D714="Serviço",AR$12&lt;&gt;0,$H714&gt;0,OR(AUTOEVENTO&lt;&gt;"manual",$M714&lt;&gt;1)),
IF(Import.TipoArredondamento&lt;&gt;"TransfereGOV",
ROUND(OFFSET($P714,0,AR$13),15-13*ORÇAMENTO!$AF$7)/$H714*OFFSET(ORÇAMENTO!$X$15,ROW(AR714)-ROW(AR$15),0),
ROUND(ROUND(OFFSET($P714,0,AR$13),15-13*ORÇAMENTO!$AF$7)*OFFSET(ORÇAMENTO!$W$15,ROW(AR714)-ROW(AR$15),0),15-13*ORÇAMENTO!$AF$11)),0)</f>
        <v>0</v>
      </c>
      <c r="AS714" s="546">
        <f ca="1">IF(AND($D714="Serviço",AS$12&lt;&gt;0,$H714&gt;0,OR(AUTOEVENTO&lt;&gt;"manual",$M714&lt;&gt;1)),
IF(Import.TipoArredondamento&lt;&gt;"TransfereGOV",
ROUND(OFFSET($P714,0,AS$13),15-13*ORÇAMENTO!$AF$7)/$H714*OFFSET(ORÇAMENTO!$X$15,ROW(AS714)-ROW(AS$15),0),
ROUND(ROUND(OFFSET($P714,0,AS$13),15-13*ORÇAMENTO!$AF$7)*OFFSET(ORÇAMENTO!$W$15,ROW(AS714)-ROW(AS$15),0),15-13*ORÇAMENTO!$AF$11)),0)</f>
        <v>0</v>
      </c>
      <c r="AT714" s="545">
        <f ca="1">IF(AND($D714="Serviço",AT$12&lt;&gt;0,$H714&gt;0,OR(AUTOEVENTO&lt;&gt;"manual",$M714&lt;&gt;1)),
IF(Import.TipoArredondamento&lt;&gt;"TransfereGOV",
ROUND(OFFSET($P714,0,AT$13),15-13*ORÇAMENTO!$AF$7)/$H714*OFFSET(ORÇAMENTO!$X$15,ROW(AT714)-ROW(AT$15),0),
ROUND(ROUND(OFFSET($P714,0,AT$13),15-13*ORÇAMENTO!$AF$7)*OFFSET(ORÇAMENTO!$W$15,ROW(AT714)-ROW(AT$15),0),15-13*ORÇAMENTO!$AF$11)),0)</f>
        <v>0</v>
      </c>
      <c r="AU714" s="545">
        <f ca="1">IF(AND($D714="Serviço",AU$12&lt;&gt;0,$H714&gt;0,OR(AUTOEVENTO&lt;&gt;"manual",$M714&lt;&gt;1)),
IF(Import.TipoArredondamento&lt;&gt;"TransfereGOV",
ROUND(OFFSET($P714,0,AU$13),15-13*ORÇAMENTO!$AF$7)/$H714*OFFSET(ORÇAMENTO!$X$15,ROW(AU714)-ROW(AU$15),0),
ROUND(ROUND(OFFSET($P714,0,AU$13),15-13*ORÇAMENTO!$AF$7)*OFFSET(ORÇAMENTO!$W$15,ROW(AU714)-ROW(AU$15),0),15-13*ORÇAMENTO!$AF$11)),0)</f>
        <v>0</v>
      </c>
      <c r="AV714" s="545">
        <f ca="1">IF(AND($D714="Serviço",AV$12&lt;&gt;0,$H714&gt;0,OR(AUTOEVENTO&lt;&gt;"manual",$M714&lt;&gt;1)),
IF(Import.TipoArredondamento&lt;&gt;"TransfereGOV",
ROUND(OFFSET($P714,0,AV$13),15-13*ORÇAMENTO!$AF$7)/$H714*OFFSET(ORÇAMENTO!$X$15,ROW(AV714)-ROW(AV$15),0),
ROUND(ROUND(OFFSET($P714,0,AV$13),15-13*ORÇAMENTO!$AF$7)*OFFSET(ORÇAMENTO!$W$15,ROW(AV714)-ROW(AV$15),0),15-13*ORÇAMENTO!$AF$11)),0)</f>
        <v>0</v>
      </c>
      <c r="AW714" s="545">
        <f ca="1">IF(AND($D714="Serviço",AW$12&lt;&gt;0,$H714&gt;0,OR(AUTOEVENTO&lt;&gt;"manual",$M714&lt;&gt;1)),
IF(Import.TipoArredondamento&lt;&gt;"TransfereGOV",
ROUND(OFFSET($P714,0,AW$13),15-13*ORÇAMENTO!$AF$7)/$H714*OFFSET(ORÇAMENTO!$X$15,ROW(AW714)-ROW(AW$15),0),
ROUND(ROUND(OFFSET($P714,0,AW$13),15-13*ORÇAMENTO!$AF$7)*OFFSET(ORÇAMENTO!$W$15,ROW(AW714)-ROW(AW$15),0),15-13*ORÇAMENTO!$AF$11)),0)</f>
        <v>0</v>
      </c>
      <c r="AX714" s="545">
        <f ca="1">IF(AND($D714="Serviço",AX$12&lt;&gt;0,$H714&gt;0,OR(AUTOEVENTO&lt;&gt;"manual",$M714&lt;&gt;1)),
IF(Import.TipoArredondamento&lt;&gt;"TransfereGOV",
ROUND(OFFSET($P714,0,AX$13),15-13*ORÇAMENTO!$AF$7)/$H714*OFFSET(ORÇAMENTO!$X$15,ROW(AX714)-ROW(AX$15),0),
ROUND(ROUND(OFFSET($P714,0,AX$13),15-13*ORÇAMENTO!$AF$7)*OFFSET(ORÇAMENTO!$W$15,ROW(AX714)-ROW(AX$15),0),15-13*ORÇAMENTO!$AF$11)),0)</f>
        <v>0</v>
      </c>
      <c r="AY714" s="545">
        <f ca="1">IF(AND($D714="Serviço",AY$12&lt;&gt;0,$H714&gt;0,OR(AUTOEVENTO&lt;&gt;"manual",$M714&lt;&gt;1)),
IF(Import.TipoArredondamento&lt;&gt;"TransfereGOV",
ROUND(OFFSET($P714,0,AY$13),15-13*ORÇAMENTO!$AF$7)/$H714*OFFSET(ORÇAMENTO!$X$15,ROW(AY714)-ROW(AY$15),0),
ROUND(ROUND(OFFSET($P714,0,AY$13),15-13*ORÇAMENTO!$AF$7)*OFFSET(ORÇAMENTO!$W$15,ROW(AY714)-ROW(AY$15),0),15-13*ORÇAMENTO!$AF$11)),0)</f>
        <v>0</v>
      </c>
      <c r="AZ714" s="545">
        <f ca="1">IF(AND($D714="Serviço",AZ$12&lt;&gt;0,$H714&gt;0,OR(AUTOEVENTO&lt;&gt;"manual",$M714&lt;&gt;1)),
IF(Import.TipoArredondamento&lt;&gt;"TransfereGOV",
ROUND(OFFSET($P714,0,AZ$13),15-13*ORÇAMENTO!$AF$7)/$H714*OFFSET(ORÇAMENTO!$X$15,ROW(AZ714)-ROW(AZ$15),0),
ROUND(ROUND(OFFSET($P714,0,AZ$13),15-13*ORÇAMENTO!$AF$7)*OFFSET(ORÇAMENTO!$W$15,ROW(AZ714)-ROW(AZ$15),0),15-13*ORÇAMENTO!$AF$11)),0)</f>
        <v>0</v>
      </c>
      <c r="BA714" s="546">
        <f ca="1">IF(AND($D714="Serviço",BA$12&lt;&gt;0,$H714&gt;0,OR(AUTOEVENTO&lt;&gt;"manual",$M714&lt;&gt;1)),
IF(Import.TipoArredondamento&lt;&gt;"TransfereGOV",
ROUND(OFFSET($P714,0,BA$13),15-13*ORÇAMENTO!$AF$7)/$H714*OFFSET(ORÇAMENTO!$X$15,ROW(BA714)-ROW(BA$15),0),
ROUND(ROUND(OFFSET($P714,0,BA$13),15-13*ORÇAMENTO!$AF$7)*OFFSET(ORÇAMENTO!$W$15,ROW(BA714)-ROW(BA$15),0),15-13*ORÇAMENTO!$AF$11)),0)</f>
        <v>0</v>
      </c>
      <c r="BC714" s="181">
        <f ca="1">IF($D714&lt;&gt;"Serviço",0,IF(AND(AUTOEVENTO="Manual",$M714=1),0,IF(OFFSET(CRONOPLE!$F$14,$M714,BC$13)="",10^12,OFFSET(CRONOPLE!$F$14,$M714,BC$13))))</f>
        <v>12</v>
      </c>
      <c r="BD714" s="181">
        <f ca="1">IF($D714&lt;&gt;"Serviço",0,IF(AND(AUTOEVENTO="Manual",$M714=1),0,IF(OFFSET(CRONOPLE!$F$14,$M714,BD$13)="",10^12,OFFSET(CRONOPLE!$F$14,$M714,BD$13))))</f>
        <v>1000000000000</v>
      </c>
      <c r="BE714" s="181">
        <f ca="1">IF($D714&lt;&gt;"Serviço",0,IF(AND(AUTOEVENTO="Manual",$M714=1),0,IF(OFFSET(CRONOPLE!$F$14,$M714,BE$13)="",10^12,OFFSET(CRONOPLE!$F$14,$M714,BE$13))))</f>
        <v>1000000000000</v>
      </c>
      <c r="BF714" s="181">
        <f ca="1">IF($D714&lt;&gt;"Serviço",0,IF(AND(AUTOEVENTO="Manual",$M714=1),0,IF(OFFSET(CRONOPLE!$F$14,$M714,BF$13)="",10^12,OFFSET(CRONOPLE!$F$14,$M714,BF$13))))</f>
        <v>1000000000000</v>
      </c>
      <c r="BG714" s="181">
        <f ca="1">IF($D714&lt;&gt;"Serviço",0,IF(AND(AUTOEVENTO="Manual",$M714=1),0,IF(OFFSET(CRONOPLE!$F$14,$M714,BG$13)="",10^12,OFFSET(CRONOPLE!$F$14,$M714,BG$13))))</f>
        <v>1000000000000</v>
      </c>
      <c r="BH714" s="181">
        <f ca="1">IF($D714&lt;&gt;"Serviço",0,IF(AND(AUTOEVENTO="Manual",$M714=1),0,IF(OFFSET(CRONOPLE!$F$14,$M714,BH$13)="",10^12,OFFSET(CRONOPLE!$F$14,$M714,BH$13))))</f>
        <v>1000000000000</v>
      </c>
      <c r="BI714" s="181">
        <f ca="1">IF($D714&lt;&gt;"Serviço",0,IF(AND(AUTOEVENTO="Manual",$M714=1),0,IF(OFFSET(CRONOPLE!$F$14,$M714,BI$13)="",10^12,OFFSET(CRONOPLE!$F$14,$M714,BI$13))))</f>
        <v>1000000000000</v>
      </c>
      <c r="BJ714" s="181">
        <f ca="1">IF($D714&lt;&gt;"Serviço",0,IF(AND(AUTOEVENTO="Manual",$M714=1),0,IF(OFFSET(CRONOPLE!$F$14,$M714,BJ$13)="",10^12,OFFSET(CRONOPLE!$F$14,$M714,BJ$13))))</f>
        <v>1000000000000</v>
      </c>
      <c r="BK714" s="181">
        <f ca="1">IF($D714&lt;&gt;"Serviço",0,IF(AND(AUTOEVENTO="Manual",$M714=1),0,IF(OFFSET(CRONOPLE!$F$14,$M714,BK$13)="",10^12,OFFSET(CRONOPLE!$F$14,$M714,BK$13))))</f>
        <v>1000000000000</v>
      </c>
      <c r="BL714" s="181">
        <f ca="1">IF($D714&lt;&gt;"Serviço",0,IF(AND(AUTOEVENTO="Manual",$M714=1),0,IF(OFFSET(CRONOPLE!$F$14,$M714,BL$13)="",10^12,OFFSET(CRONOPLE!$F$14,$M714,BL$13))))</f>
        <v>1000000000000</v>
      </c>
      <c r="BM714" s="181">
        <f ca="1">IF($D714&lt;&gt;"Serviço",0,IF(AND(AUTOEVENTO="Manual",$M714=1),0,IF(OFFSET(CRONOPLE!$F$14,$M714,BM$13)="",10^12,OFFSET(CRONOPLE!$F$14,$M714,BM$13))))</f>
        <v>1000000000000</v>
      </c>
      <c r="BN714" s="181">
        <f ca="1">IF($D714&lt;&gt;"Serviço",0,IF(AND(AUTOEVENTO="Manual",$M714=1),0,IF(OFFSET(CRONOPLE!$F$14,$M714,BN$13)="",10^12,OFFSET(CRONOPLE!$F$14,$M714,BN$13))))</f>
        <v>1000000000000</v>
      </c>
      <c r="BO714" s="181">
        <f ca="1">IF($D714&lt;&gt;"Serviço",0,IF(AND(AUTOEVENTO="Manual",$M714=1),0,IF(OFFSET(CRONOPLE!$F$14,$M714,BO$13)="",10^12,OFFSET(CRONOPLE!$F$14,$M714,BO$13))))</f>
        <v>1000000000000</v>
      </c>
      <c r="BP714" s="181">
        <f ca="1">IF($D714&lt;&gt;"Serviço",0,IF(AND(AUTOEVENTO="Manual",$M714=1),0,IF(OFFSET(CRONOPLE!$F$14,$M714,BP$13)="",10^12,OFFSET(CRONOPLE!$F$14,$M714,BP$13))))</f>
        <v>1000000000000</v>
      </c>
      <c r="BQ714" s="181">
        <f ca="1">IF($D714&lt;&gt;"Serviço",0,IF(AND(AUTOEVENTO="Manual",$M714=1),0,IF(OFFSET(CRONOPLE!$F$14,$M714,BQ$13)="",10^12,OFFSET(CRONOPLE!$F$14,$M714,BQ$13))))</f>
        <v>1000000000000</v>
      </c>
      <c r="BR714" s="181">
        <f ca="1">IF($D714&lt;&gt;"Serviço",0,IF(AND(AUTOEVENTO="Manual",$M714=1),0,IF(OFFSET(CRONOPLE!$F$14,$M714,BR$13)="",10^12,OFFSET(CRONOPLE!$F$14,$M714,BR$13))))</f>
        <v>1000000000000</v>
      </c>
      <c r="BS714" s="181">
        <f ca="1">IF($D714&lt;&gt;"Serviço",0,IF(AND(AUTOEVENTO="Manual",$M714=1),0,IF(OFFSET(CRONOPLE!$F$14,$M714,BS$13)="",10^12,OFFSET(CRONOPLE!$F$14,$M714,BS$13))))</f>
        <v>1000000000000</v>
      </c>
      <c r="BT714" s="181">
        <f ca="1">IF($D714&lt;&gt;"Serviço",0,IF(AND(AUTOEVENTO="Manual",$M714=1),0,IF(OFFSET(CRONOPLE!$F$14,$M714,BT$13)="",10^12,OFFSET(CRONOPLE!$F$14,$M714,BT$13))))</f>
        <v>1000000000000</v>
      </c>
      <c r="BV714" s="182">
        <f ca="1">IF($D714&lt;&gt;"Serviço",0,IF(OR(AND(AUTOEVENTO="Manual",$M714=1),$M714&gt;(ROW(PLE.lastrow)-ROW(PLE.firstrow))),0,IF(OFFSET(PLE!$G$14,$M714,BV$13)="",10^12,OFFSET(PLE!$G$14,$M714,BV$13))))</f>
        <v>1000000000000</v>
      </c>
      <c r="BW714" s="182">
        <f ca="1">IF($D714&lt;&gt;"Serviço",0,IF(OR(AND(AUTOEVENTO="Manual",$M714=1),$M714&gt;(ROW(PLE.lastrow)-ROW(PLE.firstrow))),0,IF(OFFSET(PLE!$G$14,$M714,BW$13)="",10^12,OFFSET(PLE!$G$14,$M714,BW$13))))</f>
        <v>1000000000000</v>
      </c>
      <c r="BX714" s="182">
        <f ca="1">IF($D714&lt;&gt;"Serviço",0,IF(OR(AND(AUTOEVENTO="Manual",$M714=1),$M714&gt;(ROW(PLE.lastrow)-ROW(PLE.firstrow))),0,IF(OFFSET(PLE!$G$14,$M714,BX$13)="",10^12,OFFSET(PLE!$G$14,$M714,BX$13))))</f>
        <v>1000000000000</v>
      </c>
      <c r="BY714" s="182">
        <f ca="1">IF($D714&lt;&gt;"Serviço",0,IF(OR(AND(AUTOEVENTO="Manual",$M714=1),$M714&gt;(ROW(PLE.lastrow)-ROW(PLE.firstrow))),0,IF(OFFSET(PLE!$G$14,$M714,BY$13)="",10^12,OFFSET(PLE!$G$14,$M714,BY$13))))</f>
        <v>1000000000000</v>
      </c>
      <c r="BZ714" s="182">
        <f ca="1">IF($D714&lt;&gt;"Serviço",0,IF(OR(AND(AUTOEVENTO="Manual",$M714=1),$M714&gt;(ROW(PLE.lastrow)-ROW(PLE.firstrow))),0,IF(OFFSET(PLE!$G$14,$M714,BZ$13)="",10^12,OFFSET(PLE!$G$14,$M714,BZ$13))))</f>
        <v>1000000000000</v>
      </c>
      <c r="CA714" s="182">
        <f ca="1">IF($D714&lt;&gt;"Serviço",0,IF(OR(AND(AUTOEVENTO="Manual",$M714=1),$M714&gt;(ROW(PLE.lastrow)-ROW(PLE.firstrow))),0,IF(OFFSET(PLE!$G$14,$M714,CA$13)="",10^12,OFFSET(PLE!$G$14,$M714,CA$13))))</f>
        <v>1000000000000</v>
      </c>
      <c r="CB714" s="182">
        <f ca="1">IF($D714&lt;&gt;"Serviço",0,IF(OR(AND(AUTOEVENTO="Manual",$M714=1),$M714&gt;(ROW(PLE.lastrow)-ROW(PLE.firstrow))),0,IF(OFFSET(PLE!$G$14,$M714,CB$13)="",10^12,OFFSET(PLE!$G$14,$M714,CB$13))))</f>
        <v>1000000000000</v>
      </c>
      <c r="CC714" s="182">
        <f ca="1">IF($D714&lt;&gt;"Serviço",0,IF(OR(AND(AUTOEVENTO="Manual",$M714=1),$M714&gt;(ROW(PLE.lastrow)-ROW(PLE.firstrow))),0,IF(OFFSET(PLE!$G$14,$M714,CC$13)="",10^12,OFFSET(PLE!$G$14,$M714,CC$13))))</f>
        <v>1000000000000</v>
      </c>
      <c r="CD714" s="182">
        <f ca="1">IF($D714&lt;&gt;"Serviço",0,IF(OR(AND(AUTOEVENTO="Manual",$M714=1),$M714&gt;(ROW(PLE.lastrow)-ROW(PLE.firstrow))),0,IF(OFFSET(PLE!$G$14,$M714,CD$13)="",10^12,OFFSET(PLE!$G$14,$M714,CD$13))))</f>
        <v>1000000000000</v>
      </c>
      <c r="CE714" s="182">
        <f ca="1">IF($D714&lt;&gt;"Serviço",0,IF(OR(AND(AUTOEVENTO="Manual",$M714=1),$M714&gt;(ROW(PLE.lastrow)-ROW(PLE.firstrow))),0,IF(OFFSET(PLE!$G$14,$M714,CE$13)="",10^12,OFFSET(PLE!$G$14,$M714,CE$13))))</f>
        <v>1000000000000</v>
      </c>
      <c r="CF714" s="182">
        <f ca="1">IF($D714&lt;&gt;"Serviço",0,IF(OR(AND(AUTOEVENTO="Manual",$M714=1),$M714&gt;(ROW(PLE.lastrow)-ROW(PLE.firstrow))),0,IF(OFFSET(PLE!$G$14,$M714,CF$13)="",10^12,OFFSET(PLE!$G$14,$M714,CF$13))))</f>
        <v>1000000000000</v>
      </c>
      <c r="CG714" s="182">
        <f ca="1">IF($D714&lt;&gt;"Serviço",0,IF(OR(AND(AUTOEVENTO="Manual",$M714=1),$M714&gt;(ROW(PLE.lastrow)-ROW(PLE.firstrow))),0,IF(OFFSET(PLE!$G$14,$M714,CG$13)="",10^12,OFFSET(PLE!$G$14,$M714,CG$13))))</f>
        <v>1000000000000</v>
      </c>
      <c r="CH714" s="182">
        <f ca="1">IF($D714&lt;&gt;"Serviço",0,IF(OR(AND(AUTOEVENTO="Manual",$M714=1),$M714&gt;(ROW(PLE.lastrow)-ROW(PLE.firstrow))),0,IF(OFFSET(PLE!$G$14,$M714,CH$13)="",10^12,OFFSET(PLE!$G$14,$M714,CH$13))))</f>
        <v>1000000000000</v>
      </c>
      <c r="CI714" s="182">
        <f ca="1">IF($D714&lt;&gt;"Serviço",0,IF(OR(AND(AUTOEVENTO="Manual",$M714=1),$M714&gt;(ROW(PLE.lastrow)-ROW(PLE.firstrow))),0,IF(OFFSET(PLE!$G$14,$M714,CI$13)="",10^12,OFFSET(PLE!$G$14,$M714,CI$13))))</f>
        <v>1000000000000</v>
      </c>
      <c r="CJ714" s="182">
        <f ca="1">IF($D714&lt;&gt;"Serviço",0,IF(OR(AND(AUTOEVENTO="Manual",$M714=1),$M714&gt;(ROW(PLE.lastrow)-ROW(PLE.firstrow))),0,IF(OFFSET(PLE!$G$14,$M714,CJ$13)="",10^12,OFFSET(PLE!$G$14,$M714,CJ$13))))</f>
        <v>1000000000000</v>
      </c>
      <c r="CK714" s="182">
        <f ca="1">IF($D714&lt;&gt;"Serviço",0,IF(OR(AND(AUTOEVENTO="Manual",$M714=1),$M714&gt;(ROW(PLE.lastrow)-ROW(PLE.firstrow))),0,IF(OFFSET(PLE!$G$14,$M714,CK$13)="",10^12,OFFSET(PLE!$G$14,$M714,CK$13))))</f>
        <v>1000000000000</v>
      </c>
      <c r="CL714" s="182">
        <f ca="1">IF($D714&lt;&gt;"Serviço",0,IF(OR(AND(AUTOEVENTO="Manual",$M714=1),$M714&gt;(ROW(PLE.lastrow)-ROW(PLE.firstrow))),0,IF(OFFSET(PLE!$G$14,$M714,CL$13)="",10^12,OFFSET(PLE!$G$14,$M714,CL$13))))</f>
        <v>1000000000000</v>
      </c>
      <c r="CM714" s="182">
        <f ca="1">IF($D714&lt;&gt;"Serviço",0,IF(OR(AND(AUTOEVENTO="Manual",$M714=1),$M714&gt;(ROW(PLE.lastrow)-ROW(PLE.firstrow))),0,IF(OFFSET(PLE!$G$14,$M714,CM$13)="",10^12,OFFSET(PLE!$G$14,$M714,CM$13))))</f>
        <v>1000000000000</v>
      </c>
    </row>
    <row r="715" spans="1:91" ht="12.75" x14ac:dyDescent="0.2">
      <c r="A715" s="7" t="str">
        <f t="shared" ca="1" si="20"/>
        <v>700.</v>
      </c>
      <c r="B715" s="7">
        <f ca="1">OFFSET(ORÇAMENTO!C$15,ROW(B715)-ROW(B$15),0)</f>
        <v>2</v>
      </c>
      <c r="C715" s="7" t="str">
        <f ca="1">OFFSET(ORÇAMENTO!L$15,ROW(C715)-ROW(C$15),0)</f>
        <v>F</v>
      </c>
      <c r="D715" s="118" t="str">
        <f ca="1">OFFSET(ORÇAMENTO!N$15,ROW(D715)-ROW(D$15),0)</f>
        <v>Nível 2</v>
      </c>
      <c r="E715" s="119" t="str">
        <f ca="1">OFFSET(ORÇAMENTO!O$15,ROW(E715)-ROW(E$15),0)</f>
        <v>1.79.</v>
      </c>
      <c r="F715" s="172" t="str">
        <f ca="1">OFFSET(ORÇAMENTO!R$15,ROW(F715)-ROW(F$15),0)</f>
        <v>MURO DE FECHAMENTO - REVESTIMENTO</v>
      </c>
      <c r="G715" s="173" t="str">
        <f ca="1">IF($D715&lt;&gt;"Serviço","",OFFSET(ORÇAMENTO!S$15,ROW(G715)-ROW(G$15),0))</f>
        <v/>
      </c>
      <c r="H715" s="124">
        <f ca="1">IF($D715&lt;&gt;"Serviço",0,IF(ACOMPANHAMENTO="BM",ROUND(OFFSET(ORÇAMENTO!AJ$15,ROW(H715)-ROW(H$15),0),15-13*ORÇAMENTO!$AF$7),SUMPRODUCT(($Q$12:$AI$12&lt;&gt;"")*ROUND($Q715:$AI715,15-13*ORÇAMENTO!$AF$7))))</f>
        <v>0</v>
      </c>
      <c r="I715" s="561"/>
      <c r="K715" s="174"/>
      <c r="L715" s="175" t="s">
        <v>255</v>
      </c>
      <c r="M715" s="176" t="str">
        <f ca="1">IF($D715&lt;&gt;"Serviço","",IF(AUTOEVENTO="manual",$A715,IF(ISERROR(MATCH($A715,$A$15:OFFSET($A715,-1,0),0)),MAX($M$15:OFFSET(M715,-1,0))+1,INDEX($M$15:OFFSET(M715,-1,0),MATCH($A715,$A$15:OFFSET($A715,-1,0),0)))))</f>
        <v/>
      </c>
      <c r="N715" s="177" t="str">
        <f ca="1">IF($D715&lt;&gt;"Serviço","",IF(AUTOEVENTO="Manual",IF($A715=0,"&lt;-- defina o número do agrupador",OFFSET(EVENTOS!$D$14,$A715,0)),OFFSET($F$15,$A715,0)))</f>
        <v/>
      </c>
      <c r="O715" s="178"/>
      <c r="Q715" s="178">
        <v>0</v>
      </c>
      <c r="R715" s="179"/>
      <c r="S715" s="179"/>
      <c r="T715" s="179"/>
      <c r="U715" s="179"/>
      <c r="V715" s="179"/>
      <c r="W715" s="179"/>
      <c r="X715" s="179"/>
      <c r="Y715" s="179"/>
      <c r="Z715" s="180"/>
      <c r="AA715" s="179"/>
      <c r="AB715" s="179"/>
      <c r="AC715" s="179"/>
      <c r="AD715" s="179"/>
      <c r="AE715" s="179"/>
      <c r="AF715" s="179"/>
      <c r="AG715" s="179"/>
      <c r="AH715" s="180"/>
      <c r="AJ715" s="544">
        <f ca="1">IF(AND($D715="Serviço",AJ$12&lt;&gt;0,$H715&gt;0,OR(AUTOEVENTO&lt;&gt;"manual",$M715&lt;&gt;1)),
IF(Import.TipoArredondamento&lt;&gt;"TransfereGOV",
ROUND(OFFSET($P715,0,AJ$13),15-13*ORÇAMENTO!$AF$7)/$H715*OFFSET(ORÇAMENTO!$X$15,ROW(AJ715)-ROW(AJ$15),0),
ROUND(ROUND(OFFSET($P715,0,AJ$13),15-13*ORÇAMENTO!$AF$7)*OFFSET(ORÇAMENTO!$W$15,ROW(AJ715)-ROW(AJ$15),0),15-13*ORÇAMENTO!$AF$11)),0)</f>
        <v>0</v>
      </c>
      <c r="AK715" s="545">
        <f ca="1">IF(AND($D715="Serviço",AK$12&lt;&gt;0,$H715&gt;0,OR(AUTOEVENTO&lt;&gt;"manual",$M715&lt;&gt;1)),
IF(Import.TipoArredondamento&lt;&gt;"TransfereGOV",
ROUND(OFFSET($P715,0,AK$13),15-13*ORÇAMENTO!$AF$7)/$H715*OFFSET(ORÇAMENTO!$X$15,ROW(AK715)-ROW(AK$15),0),
ROUND(ROUND(OFFSET($P715,0,AK$13),15-13*ORÇAMENTO!$AF$7)*OFFSET(ORÇAMENTO!$W$15,ROW(AK715)-ROW(AK$15),0),15-13*ORÇAMENTO!$AF$11)),0)</f>
        <v>0</v>
      </c>
      <c r="AL715" s="545">
        <f ca="1">IF(AND($D715="Serviço",AL$12&lt;&gt;0,$H715&gt;0,OR(AUTOEVENTO&lt;&gt;"manual",$M715&lt;&gt;1)),
IF(Import.TipoArredondamento&lt;&gt;"TransfereGOV",
ROUND(OFFSET($P715,0,AL$13),15-13*ORÇAMENTO!$AF$7)/$H715*OFFSET(ORÇAMENTO!$X$15,ROW(AL715)-ROW(AL$15),0),
ROUND(ROUND(OFFSET($P715,0,AL$13),15-13*ORÇAMENTO!$AF$7)*OFFSET(ORÇAMENTO!$W$15,ROW(AL715)-ROW(AL$15),0),15-13*ORÇAMENTO!$AF$11)),0)</f>
        <v>0</v>
      </c>
      <c r="AM715" s="545">
        <f ca="1">IF(AND($D715="Serviço",AM$12&lt;&gt;0,$H715&gt;0,OR(AUTOEVENTO&lt;&gt;"manual",$M715&lt;&gt;1)),
IF(Import.TipoArredondamento&lt;&gt;"TransfereGOV",
ROUND(OFFSET($P715,0,AM$13),15-13*ORÇAMENTO!$AF$7)/$H715*OFFSET(ORÇAMENTO!$X$15,ROW(AM715)-ROW(AM$15),0),
ROUND(ROUND(OFFSET($P715,0,AM$13),15-13*ORÇAMENTO!$AF$7)*OFFSET(ORÇAMENTO!$W$15,ROW(AM715)-ROW(AM$15),0),15-13*ORÇAMENTO!$AF$11)),0)</f>
        <v>0</v>
      </c>
      <c r="AN715" s="545">
        <f ca="1">IF(AND($D715="Serviço",AN$12&lt;&gt;0,$H715&gt;0,OR(AUTOEVENTO&lt;&gt;"manual",$M715&lt;&gt;1)),
IF(Import.TipoArredondamento&lt;&gt;"TransfereGOV",
ROUND(OFFSET($P715,0,AN$13),15-13*ORÇAMENTO!$AF$7)/$H715*OFFSET(ORÇAMENTO!$X$15,ROW(AN715)-ROW(AN$15),0),
ROUND(ROUND(OFFSET($P715,0,AN$13),15-13*ORÇAMENTO!$AF$7)*OFFSET(ORÇAMENTO!$W$15,ROW(AN715)-ROW(AN$15),0),15-13*ORÇAMENTO!$AF$11)),0)</f>
        <v>0</v>
      </c>
      <c r="AO715" s="545">
        <f ca="1">IF(AND($D715="Serviço",AO$12&lt;&gt;0,$H715&gt;0,OR(AUTOEVENTO&lt;&gt;"manual",$M715&lt;&gt;1)),
IF(Import.TipoArredondamento&lt;&gt;"TransfereGOV",
ROUND(OFFSET($P715,0,AO$13),15-13*ORÇAMENTO!$AF$7)/$H715*OFFSET(ORÇAMENTO!$X$15,ROW(AO715)-ROW(AO$15),0),
ROUND(ROUND(OFFSET($P715,0,AO$13),15-13*ORÇAMENTO!$AF$7)*OFFSET(ORÇAMENTO!$W$15,ROW(AO715)-ROW(AO$15),0),15-13*ORÇAMENTO!$AF$11)),0)</f>
        <v>0</v>
      </c>
      <c r="AP715" s="545">
        <f ca="1">IF(AND($D715="Serviço",AP$12&lt;&gt;0,$H715&gt;0,OR(AUTOEVENTO&lt;&gt;"manual",$M715&lt;&gt;1)),
IF(Import.TipoArredondamento&lt;&gt;"TransfereGOV",
ROUND(OFFSET($P715,0,AP$13),15-13*ORÇAMENTO!$AF$7)/$H715*OFFSET(ORÇAMENTO!$X$15,ROW(AP715)-ROW(AP$15),0),
ROUND(ROUND(OFFSET($P715,0,AP$13),15-13*ORÇAMENTO!$AF$7)*OFFSET(ORÇAMENTO!$W$15,ROW(AP715)-ROW(AP$15),0),15-13*ORÇAMENTO!$AF$11)),0)</f>
        <v>0</v>
      </c>
      <c r="AQ715" s="545">
        <f ca="1">IF(AND($D715="Serviço",AQ$12&lt;&gt;0,$H715&gt;0,OR(AUTOEVENTO&lt;&gt;"manual",$M715&lt;&gt;1)),
IF(Import.TipoArredondamento&lt;&gt;"TransfereGOV",
ROUND(OFFSET($P715,0,AQ$13),15-13*ORÇAMENTO!$AF$7)/$H715*OFFSET(ORÇAMENTO!$X$15,ROW(AQ715)-ROW(AQ$15),0),
ROUND(ROUND(OFFSET($P715,0,AQ$13),15-13*ORÇAMENTO!$AF$7)*OFFSET(ORÇAMENTO!$W$15,ROW(AQ715)-ROW(AQ$15),0),15-13*ORÇAMENTO!$AF$11)),0)</f>
        <v>0</v>
      </c>
      <c r="AR715" s="545">
        <f ca="1">IF(AND($D715="Serviço",AR$12&lt;&gt;0,$H715&gt;0,OR(AUTOEVENTO&lt;&gt;"manual",$M715&lt;&gt;1)),
IF(Import.TipoArredondamento&lt;&gt;"TransfereGOV",
ROUND(OFFSET($P715,0,AR$13),15-13*ORÇAMENTO!$AF$7)/$H715*OFFSET(ORÇAMENTO!$X$15,ROW(AR715)-ROW(AR$15),0),
ROUND(ROUND(OFFSET($P715,0,AR$13),15-13*ORÇAMENTO!$AF$7)*OFFSET(ORÇAMENTO!$W$15,ROW(AR715)-ROW(AR$15),0),15-13*ORÇAMENTO!$AF$11)),0)</f>
        <v>0</v>
      </c>
      <c r="AS715" s="546">
        <f ca="1">IF(AND($D715="Serviço",AS$12&lt;&gt;0,$H715&gt;0,OR(AUTOEVENTO&lt;&gt;"manual",$M715&lt;&gt;1)),
IF(Import.TipoArredondamento&lt;&gt;"TransfereGOV",
ROUND(OFFSET($P715,0,AS$13),15-13*ORÇAMENTO!$AF$7)/$H715*OFFSET(ORÇAMENTO!$X$15,ROW(AS715)-ROW(AS$15),0),
ROUND(ROUND(OFFSET($P715,0,AS$13),15-13*ORÇAMENTO!$AF$7)*OFFSET(ORÇAMENTO!$W$15,ROW(AS715)-ROW(AS$15),0),15-13*ORÇAMENTO!$AF$11)),0)</f>
        <v>0</v>
      </c>
      <c r="AT715" s="545">
        <f ca="1">IF(AND($D715="Serviço",AT$12&lt;&gt;0,$H715&gt;0,OR(AUTOEVENTO&lt;&gt;"manual",$M715&lt;&gt;1)),
IF(Import.TipoArredondamento&lt;&gt;"TransfereGOV",
ROUND(OFFSET($P715,0,AT$13),15-13*ORÇAMENTO!$AF$7)/$H715*OFFSET(ORÇAMENTO!$X$15,ROW(AT715)-ROW(AT$15),0),
ROUND(ROUND(OFFSET($P715,0,AT$13),15-13*ORÇAMENTO!$AF$7)*OFFSET(ORÇAMENTO!$W$15,ROW(AT715)-ROW(AT$15),0),15-13*ORÇAMENTO!$AF$11)),0)</f>
        <v>0</v>
      </c>
      <c r="AU715" s="545">
        <f ca="1">IF(AND($D715="Serviço",AU$12&lt;&gt;0,$H715&gt;0,OR(AUTOEVENTO&lt;&gt;"manual",$M715&lt;&gt;1)),
IF(Import.TipoArredondamento&lt;&gt;"TransfereGOV",
ROUND(OFFSET($P715,0,AU$13),15-13*ORÇAMENTO!$AF$7)/$H715*OFFSET(ORÇAMENTO!$X$15,ROW(AU715)-ROW(AU$15),0),
ROUND(ROUND(OFFSET($P715,0,AU$13),15-13*ORÇAMENTO!$AF$7)*OFFSET(ORÇAMENTO!$W$15,ROW(AU715)-ROW(AU$15),0),15-13*ORÇAMENTO!$AF$11)),0)</f>
        <v>0</v>
      </c>
      <c r="AV715" s="545">
        <f ca="1">IF(AND($D715="Serviço",AV$12&lt;&gt;0,$H715&gt;0,OR(AUTOEVENTO&lt;&gt;"manual",$M715&lt;&gt;1)),
IF(Import.TipoArredondamento&lt;&gt;"TransfereGOV",
ROUND(OFFSET($P715,0,AV$13),15-13*ORÇAMENTO!$AF$7)/$H715*OFFSET(ORÇAMENTO!$X$15,ROW(AV715)-ROW(AV$15),0),
ROUND(ROUND(OFFSET($P715,0,AV$13),15-13*ORÇAMENTO!$AF$7)*OFFSET(ORÇAMENTO!$W$15,ROW(AV715)-ROW(AV$15),0),15-13*ORÇAMENTO!$AF$11)),0)</f>
        <v>0</v>
      </c>
      <c r="AW715" s="545">
        <f ca="1">IF(AND($D715="Serviço",AW$12&lt;&gt;0,$H715&gt;0,OR(AUTOEVENTO&lt;&gt;"manual",$M715&lt;&gt;1)),
IF(Import.TipoArredondamento&lt;&gt;"TransfereGOV",
ROUND(OFFSET($P715,0,AW$13),15-13*ORÇAMENTO!$AF$7)/$H715*OFFSET(ORÇAMENTO!$X$15,ROW(AW715)-ROW(AW$15),0),
ROUND(ROUND(OFFSET($P715,0,AW$13),15-13*ORÇAMENTO!$AF$7)*OFFSET(ORÇAMENTO!$W$15,ROW(AW715)-ROW(AW$15),0),15-13*ORÇAMENTO!$AF$11)),0)</f>
        <v>0</v>
      </c>
      <c r="AX715" s="545">
        <f ca="1">IF(AND($D715="Serviço",AX$12&lt;&gt;0,$H715&gt;0,OR(AUTOEVENTO&lt;&gt;"manual",$M715&lt;&gt;1)),
IF(Import.TipoArredondamento&lt;&gt;"TransfereGOV",
ROUND(OFFSET($P715,0,AX$13),15-13*ORÇAMENTO!$AF$7)/$H715*OFFSET(ORÇAMENTO!$X$15,ROW(AX715)-ROW(AX$15),0),
ROUND(ROUND(OFFSET($P715,0,AX$13),15-13*ORÇAMENTO!$AF$7)*OFFSET(ORÇAMENTO!$W$15,ROW(AX715)-ROW(AX$15),0),15-13*ORÇAMENTO!$AF$11)),0)</f>
        <v>0</v>
      </c>
      <c r="AY715" s="545">
        <f ca="1">IF(AND($D715="Serviço",AY$12&lt;&gt;0,$H715&gt;0,OR(AUTOEVENTO&lt;&gt;"manual",$M715&lt;&gt;1)),
IF(Import.TipoArredondamento&lt;&gt;"TransfereGOV",
ROUND(OFFSET($P715,0,AY$13),15-13*ORÇAMENTO!$AF$7)/$H715*OFFSET(ORÇAMENTO!$X$15,ROW(AY715)-ROW(AY$15),0),
ROUND(ROUND(OFFSET($P715,0,AY$13),15-13*ORÇAMENTO!$AF$7)*OFFSET(ORÇAMENTO!$W$15,ROW(AY715)-ROW(AY$15),0),15-13*ORÇAMENTO!$AF$11)),0)</f>
        <v>0</v>
      </c>
      <c r="AZ715" s="545">
        <f ca="1">IF(AND($D715="Serviço",AZ$12&lt;&gt;0,$H715&gt;0,OR(AUTOEVENTO&lt;&gt;"manual",$M715&lt;&gt;1)),
IF(Import.TipoArredondamento&lt;&gt;"TransfereGOV",
ROUND(OFFSET($P715,0,AZ$13),15-13*ORÇAMENTO!$AF$7)/$H715*OFFSET(ORÇAMENTO!$X$15,ROW(AZ715)-ROW(AZ$15),0),
ROUND(ROUND(OFFSET($P715,0,AZ$13),15-13*ORÇAMENTO!$AF$7)*OFFSET(ORÇAMENTO!$W$15,ROW(AZ715)-ROW(AZ$15),0),15-13*ORÇAMENTO!$AF$11)),0)</f>
        <v>0</v>
      </c>
      <c r="BA715" s="546">
        <f ca="1">IF(AND($D715="Serviço",BA$12&lt;&gt;0,$H715&gt;0,OR(AUTOEVENTO&lt;&gt;"manual",$M715&lt;&gt;1)),
IF(Import.TipoArredondamento&lt;&gt;"TransfereGOV",
ROUND(OFFSET($P715,0,BA$13),15-13*ORÇAMENTO!$AF$7)/$H715*OFFSET(ORÇAMENTO!$X$15,ROW(BA715)-ROW(BA$15),0),
ROUND(ROUND(OFFSET($P715,0,BA$13),15-13*ORÇAMENTO!$AF$7)*OFFSET(ORÇAMENTO!$W$15,ROW(BA715)-ROW(BA$15),0),15-13*ORÇAMENTO!$AF$11)),0)</f>
        <v>0</v>
      </c>
      <c r="BC715" s="181">
        <f ca="1">IF($D715&lt;&gt;"Serviço",0,IF(AND(AUTOEVENTO="Manual",$M715=1),0,IF(OFFSET(CRONOPLE!$F$14,$M715,BC$13)="",10^12,OFFSET(CRONOPLE!$F$14,$M715,BC$13))))</f>
        <v>0</v>
      </c>
      <c r="BD715" s="181">
        <f ca="1">IF($D715&lt;&gt;"Serviço",0,IF(AND(AUTOEVENTO="Manual",$M715=1),0,IF(OFFSET(CRONOPLE!$F$14,$M715,BD$13)="",10^12,OFFSET(CRONOPLE!$F$14,$M715,BD$13))))</f>
        <v>0</v>
      </c>
      <c r="BE715" s="181">
        <f ca="1">IF($D715&lt;&gt;"Serviço",0,IF(AND(AUTOEVENTO="Manual",$M715=1),0,IF(OFFSET(CRONOPLE!$F$14,$M715,BE$13)="",10^12,OFFSET(CRONOPLE!$F$14,$M715,BE$13))))</f>
        <v>0</v>
      </c>
      <c r="BF715" s="181">
        <f ca="1">IF($D715&lt;&gt;"Serviço",0,IF(AND(AUTOEVENTO="Manual",$M715=1),0,IF(OFFSET(CRONOPLE!$F$14,$M715,BF$13)="",10^12,OFFSET(CRONOPLE!$F$14,$M715,BF$13))))</f>
        <v>0</v>
      </c>
      <c r="BG715" s="181">
        <f ca="1">IF($D715&lt;&gt;"Serviço",0,IF(AND(AUTOEVENTO="Manual",$M715=1),0,IF(OFFSET(CRONOPLE!$F$14,$M715,BG$13)="",10^12,OFFSET(CRONOPLE!$F$14,$M715,BG$13))))</f>
        <v>0</v>
      </c>
      <c r="BH715" s="181">
        <f ca="1">IF($D715&lt;&gt;"Serviço",0,IF(AND(AUTOEVENTO="Manual",$M715=1),0,IF(OFFSET(CRONOPLE!$F$14,$M715,BH$13)="",10^12,OFFSET(CRONOPLE!$F$14,$M715,BH$13))))</f>
        <v>0</v>
      </c>
      <c r="BI715" s="181">
        <f ca="1">IF($D715&lt;&gt;"Serviço",0,IF(AND(AUTOEVENTO="Manual",$M715=1),0,IF(OFFSET(CRONOPLE!$F$14,$M715,BI$13)="",10^12,OFFSET(CRONOPLE!$F$14,$M715,BI$13))))</f>
        <v>0</v>
      </c>
      <c r="BJ715" s="181">
        <f ca="1">IF($D715&lt;&gt;"Serviço",0,IF(AND(AUTOEVENTO="Manual",$M715=1),0,IF(OFFSET(CRONOPLE!$F$14,$M715,BJ$13)="",10^12,OFFSET(CRONOPLE!$F$14,$M715,BJ$13))))</f>
        <v>0</v>
      </c>
      <c r="BK715" s="181">
        <f ca="1">IF($D715&lt;&gt;"Serviço",0,IF(AND(AUTOEVENTO="Manual",$M715=1),0,IF(OFFSET(CRONOPLE!$F$14,$M715,BK$13)="",10^12,OFFSET(CRONOPLE!$F$14,$M715,BK$13))))</f>
        <v>0</v>
      </c>
      <c r="BL715" s="181">
        <f ca="1">IF($D715&lt;&gt;"Serviço",0,IF(AND(AUTOEVENTO="Manual",$M715=1),0,IF(OFFSET(CRONOPLE!$F$14,$M715,BL$13)="",10^12,OFFSET(CRONOPLE!$F$14,$M715,BL$13))))</f>
        <v>0</v>
      </c>
      <c r="BM715" s="181">
        <f ca="1">IF($D715&lt;&gt;"Serviço",0,IF(AND(AUTOEVENTO="Manual",$M715=1),0,IF(OFFSET(CRONOPLE!$F$14,$M715,BM$13)="",10^12,OFFSET(CRONOPLE!$F$14,$M715,BM$13))))</f>
        <v>0</v>
      </c>
      <c r="BN715" s="181">
        <f ca="1">IF($D715&lt;&gt;"Serviço",0,IF(AND(AUTOEVENTO="Manual",$M715=1),0,IF(OFFSET(CRONOPLE!$F$14,$M715,BN$13)="",10^12,OFFSET(CRONOPLE!$F$14,$M715,BN$13))))</f>
        <v>0</v>
      </c>
      <c r="BO715" s="181">
        <f ca="1">IF($D715&lt;&gt;"Serviço",0,IF(AND(AUTOEVENTO="Manual",$M715=1),0,IF(OFFSET(CRONOPLE!$F$14,$M715,BO$13)="",10^12,OFFSET(CRONOPLE!$F$14,$M715,BO$13))))</f>
        <v>0</v>
      </c>
      <c r="BP715" s="181">
        <f ca="1">IF($D715&lt;&gt;"Serviço",0,IF(AND(AUTOEVENTO="Manual",$M715=1),0,IF(OFFSET(CRONOPLE!$F$14,$M715,BP$13)="",10^12,OFFSET(CRONOPLE!$F$14,$M715,BP$13))))</f>
        <v>0</v>
      </c>
      <c r="BQ715" s="181">
        <f ca="1">IF($D715&lt;&gt;"Serviço",0,IF(AND(AUTOEVENTO="Manual",$M715=1),0,IF(OFFSET(CRONOPLE!$F$14,$M715,BQ$13)="",10^12,OFFSET(CRONOPLE!$F$14,$M715,BQ$13))))</f>
        <v>0</v>
      </c>
      <c r="BR715" s="181">
        <f ca="1">IF($D715&lt;&gt;"Serviço",0,IF(AND(AUTOEVENTO="Manual",$M715=1),0,IF(OFFSET(CRONOPLE!$F$14,$M715,BR$13)="",10^12,OFFSET(CRONOPLE!$F$14,$M715,BR$13))))</f>
        <v>0</v>
      </c>
      <c r="BS715" s="181">
        <f ca="1">IF($D715&lt;&gt;"Serviço",0,IF(AND(AUTOEVENTO="Manual",$M715=1),0,IF(OFFSET(CRONOPLE!$F$14,$M715,BS$13)="",10^12,OFFSET(CRONOPLE!$F$14,$M715,BS$13))))</f>
        <v>0</v>
      </c>
      <c r="BT715" s="181">
        <f ca="1">IF($D715&lt;&gt;"Serviço",0,IF(AND(AUTOEVENTO="Manual",$M715=1),0,IF(OFFSET(CRONOPLE!$F$14,$M715,BT$13)="",10^12,OFFSET(CRONOPLE!$F$14,$M715,BT$13))))</f>
        <v>0</v>
      </c>
      <c r="BV715" s="182">
        <f ca="1">IF($D715&lt;&gt;"Serviço",0,IF(OR(AND(AUTOEVENTO="Manual",$M715=1),$M715&gt;(ROW(PLE.lastrow)-ROW(PLE.firstrow))),0,IF(OFFSET(PLE!$G$14,$M715,BV$13)="",10^12,OFFSET(PLE!$G$14,$M715,BV$13))))</f>
        <v>0</v>
      </c>
      <c r="BW715" s="182">
        <f ca="1">IF($D715&lt;&gt;"Serviço",0,IF(OR(AND(AUTOEVENTO="Manual",$M715=1),$M715&gt;(ROW(PLE.lastrow)-ROW(PLE.firstrow))),0,IF(OFFSET(PLE!$G$14,$M715,BW$13)="",10^12,OFFSET(PLE!$G$14,$M715,BW$13))))</f>
        <v>0</v>
      </c>
      <c r="BX715" s="182">
        <f ca="1">IF($D715&lt;&gt;"Serviço",0,IF(OR(AND(AUTOEVENTO="Manual",$M715=1),$M715&gt;(ROW(PLE.lastrow)-ROW(PLE.firstrow))),0,IF(OFFSET(PLE!$G$14,$M715,BX$13)="",10^12,OFFSET(PLE!$G$14,$M715,BX$13))))</f>
        <v>0</v>
      </c>
      <c r="BY715" s="182">
        <f ca="1">IF($D715&lt;&gt;"Serviço",0,IF(OR(AND(AUTOEVENTO="Manual",$M715=1),$M715&gt;(ROW(PLE.lastrow)-ROW(PLE.firstrow))),0,IF(OFFSET(PLE!$G$14,$M715,BY$13)="",10^12,OFFSET(PLE!$G$14,$M715,BY$13))))</f>
        <v>0</v>
      </c>
      <c r="BZ715" s="182">
        <f ca="1">IF($D715&lt;&gt;"Serviço",0,IF(OR(AND(AUTOEVENTO="Manual",$M715=1),$M715&gt;(ROW(PLE.lastrow)-ROW(PLE.firstrow))),0,IF(OFFSET(PLE!$G$14,$M715,BZ$13)="",10^12,OFFSET(PLE!$G$14,$M715,BZ$13))))</f>
        <v>0</v>
      </c>
      <c r="CA715" s="182">
        <f ca="1">IF($D715&lt;&gt;"Serviço",0,IF(OR(AND(AUTOEVENTO="Manual",$M715=1),$M715&gt;(ROW(PLE.lastrow)-ROW(PLE.firstrow))),0,IF(OFFSET(PLE!$G$14,$M715,CA$13)="",10^12,OFFSET(PLE!$G$14,$M715,CA$13))))</f>
        <v>0</v>
      </c>
      <c r="CB715" s="182">
        <f ca="1">IF($D715&lt;&gt;"Serviço",0,IF(OR(AND(AUTOEVENTO="Manual",$M715=1),$M715&gt;(ROW(PLE.lastrow)-ROW(PLE.firstrow))),0,IF(OFFSET(PLE!$G$14,$M715,CB$13)="",10^12,OFFSET(PLE!$G$14,$M715,CB$13))))</f>
        <v>0</v>
      </c>
      <c r="CC715" s="182">
        <f ca="1">IF($D715&lt;&gt;"Serviço",0,IF(OR(AND(AUTOEVENTO="Manual",$M715=1),$M715&gt;(ROW(PLE.lastrow)-ROW(PLE.firstrow))),0,IF(OFFSET(PLE!$G$14,$M715,CC$13)="",10^12,OFFSET(PLE!$G$14,$M715,CC$13))))</f>
        <v>0</v>
      </c>
      <c r="CD715" s="182">
        <f ca="1">IF($D715&lt;&gt;"Serviço",0,IF(OR(AND(AUTOEVENTO="Manual",$M715=1),$M715&gt;(ROW(PLE.lastrow)-ROW(PLE.firstrow))),0,IF(OFFSET(PLE!$G$14,$M715,CD$13)="",10^12,OFFSET(PLE!$G$14,$M715,CD$13))))</f>
        <v>0</v>
      </c>
      <c r="CE715" s="182">
        <f ca="1">IF($D715&lt;&gt;"Serviço",0,IF(OR(AND(AUTOEVENTO="Manual",$M715=1),$M715&gt;(ROW(PLE.lastrow)-ROW(PLE.firstrow))),0,IF(OFFSET(PLE!$G$14,$M715,CE$13)="",10^12,OFFSET(PLE!$G$14,$M715,CE$13))))</f>
        <v>0</v>
      </c>
      <c r="CF715" s="182">
        <f ca="1">IF($D715&lt;&gt;"Serviço",0,IF(OR(AND(AUTOEVENTO="Manual",$M715=1),$M715&gt;(ROW(PLE.lastrow)-ROW(PLE.firstrow))),0,IF(OFFSET(PLE!$G$14,$M715,CF$13)="",10^12,OFFSET(PLE!$G$14,$M715,CF$13))))</f>
        <v>0</v>
      </c>
      <c r="CG715" s="182">
        <f ca="1">IF($D715&lt;&gt;"Serviço",0,IF(OR(AND(AUTOEVENTO="Manual",$M715=1),$M715&gt;(ROW(PLE.lastrow)-ROW(PLE.firstrow))),0,IF(OFFSET(PLE!$G$14,$M715,CG$13)="",10^12,OFFSET(PLE!$G$14,$M715,CG$13))))</f>
        <v>0</v>
      </c>
      <c r="CH715" s="182">
        <f ca="1">IF($D715&lt;&gt;"Serviço",0,IF(OR(AND(AUTOEVENTO="Manual",$M715=1),$M715&gt;(ROW(PLE.lastrow)-ROW(PLE.firstrow))),0,IF(OFFSET(PLE!$G$14,$M715,CH$13)="",10^12,OFFSET(PLE!$G$14,$M715,CH$13))))</f>
        <v>0</v>
      </c>
      <c r="CI715" s="182">
        <f ca="1">IF($D715&lt;&gt;"Serviço",0,IF(OR(AND(AUTOEVENTO="Manual",$M715=1),$M715&gt;(ROW(PLE.lastrow)-ROW(PLE.firstrow))),0,IF(OFFSET(PLE!$G$14,$M715,CI$13)="",10^12,OFFSET(PLE!$G$14,$M715,CI$13))))</f>
        <v>0</v>
      </c>
      <c r="CJ715" s="182">
        <f ca="1">IF($D715&lt;&gt;"Serviço",0,IF(OR(AND(AUTOEVENTO="Manual",$M715=1),$M715&gt;(ROW(PLE.lastrow)-ROW(PLE.firstrow))),0,IF(OFFSET(PLE!$G$14,$M715,CJ$13)="",10^12,OFFSET(PLE!$G$14,$M715,CJ$13))))</f>
        <v>0</v>
      </c>
      <c r="CK715" s="182">
        <f ca="1">IF($D715&lt;&gt;"Serviço",0,IF(OR(AND(AUTOEVENTO="Manual",$M715=1),$M715&gt;(ROW(PLE.lastrow)-ROW(PLE.firstrow))),0,IF(OFFSET(PLE!$G$14,$M715,CK$13)="",10^12,OFFSET(PLE!$G$14,$M715,CK$13))))</f>
        <v>0</v>
      </c>
      <c r="CL715" s="182">
        <f ca="1">IF($D715&lt;&gt;"Serviço",0,IF(OR(AND(AUTOEVENTO="Manual",$M715=1),$M715&gt;(ROW(PLE.lastrow)-ROW(PLE.firstrow))),0,IF(OFFSET(PLE!$G$14,$M715,CL$13)="",10^12,OFFSET(PLE!$G$14,$M715,CL$13))))</f>
        <v>0</v>
      </c>
      <c r="CM715" s="182">
        <f ca="1">IF($D715&lt;&gt;"Serviço",0,IF(OR(AND(AUTOEVENTO="Manual",$M715=1),$M715&gt;(ROW(PLE.lastrow)-ROW(PLE.firstrow))),0,IF(OFFSET(PLE!$G$14,$M715,CM$13)="",10^12,OFFSET(PLE!$G$14,$M715,CM$13))))</f>
        <v>0</v>
      </c>
    </row>
    <row r="716" spans="1:91" ht="38.25" x14ac:dyDescent="0.2">
      <c r="A716" s="7" t="str">
        <f t="shared" ca="1" si="20"/>
        <v>700</v>
      </c>
      <c r="B716" s="7" t="str">
        <f ca="1">OFFSET(ORÇAMENTO!C$15,ROW(B716)-ROW(B$15),0)</f>
        <v>S</v>
      </c>
      <c r="C716" s="7" t="str">
        <f ca="1">OFFSET(ORÇAMENTO!L$15,ROW(C716)-ROW(C$15),0)</f>
        <v/>
      </c>
      <c r="D716" s="118" t="str">
        <f ca="1">OFFSET(ORÇAMENTO!N$15,ROW(D716)-ROW(D$15),0)</f>
        <v>Serviço</v>
      </c>
      <c r="E716" s="119" t="str">
        <f ca="1">OFFSET(ORÇAMENTO!O$15,ROW(E716)-ROW(E$15),0)</f>
        <v>-</v>
      </c>
      <c r="F716" s="172" t="str">
        <f ca="1">OFFSET(ORÇAMENTO!R$15,ROW(F716)-ROW(F$15),0)</f>
        <v>(abra o arquivo 'Referência 06-2024.xlsm)</v>
      </c>
      <c r="G716" s="173" t="str">
        <f ca="1">IF($D716&lt;&gt;"Serviço","",OFFSET(ORÇAMENTO!S$15,ROW(G716)-ROW(G$15),0))</f>
        <v>-</v>
      </c>
      <c r="H716" s="124">
        <f ca="1">IF($D716&lt;&gt;"Serviço",0,IF(ACOMPANHAMENTO="BM",ROUND(OFFSET(ORÇAMENTO!AJ$15,ROW(H716)-ROW(H$15),0),15-13*ORÇAMENTO!$AF$7),SUMPRODUCT(($Q$12:$AI$12&lt;&gt;"")*ROUND($Q716:$AI716,15-13*ORÇAMENTO!$AF$7))))</f>
        <v>330.6</v>
      </c>
      <c r="I716" s="561" t="s">
        <v>1107</v>
      </c>
      <c r="K716" s="174"/>
      <c r="L716" s="175" t="s">
        <v>255</v>
      </c>
      <c r="M716" s="176">
        <f ca="1">IF($D716&lt;&gt;"Serviço","",IF(AUTOEVENTO="manual",$A716,IF(ISERROR(MATCH($A716,$A$15:OFFSET($A716,-1,0),0)),MAX($M$15:OFFSET(M716,-1,0))+1,INDEX($M$15:OFFSET(M716,-1,0),MATCH($A716,$A$15:OFFSET($A716,-1,0),0)))))</f>
        <v>80</v>
      </c>
      <c r="N716" s="177" t="str">
        <f ca="1">IF($D716&lt;&gt;"Serviço","",IF(AUTOEVENTO="Manual",IF($A716=0,"&lt;-- defina o número do agrupador",OFFSET(EVENTOS!$D$14,$A716,0)),OFFSET($F$15,$A716,0)))</f>
        <v>MURO DE FECHAMENTO - REVESTIMENTO</v>
      </c>
      <c r="O716" s="178"/>
      <c r="Q716" s="178">
        <v>330.6</v>
      </c>
      <c r="R716" s="179"/>
      <c r="S716" s="179"/>
      <c r="T716" s="179"/>
      <c r="U716" s="179"/>
      <c r="V716" s="179"/>
      <c r="W716" s="179"/>
      <c r="X716" s="179"/>
      <c r="Y716" s="179"/>
      <c r="Z716" s="180"/>
      <c r="AA716" s="179"/>
      <c r="AB716" s="179"/>
      <c r="AC716" s="179"/>
      <c r="AD716" s="179"/>
      <c r="AE716" s="179"/>
      <c r="AF716" s="179"/>
      <c r="AG716" s="179"/>
      <c r="AH716" s="180"/>
      <c r="AJ716" s="544">
        <f ca="1">IF(AND($D716="Serviço",AJ$12&lt;&gt;0,$H716&gt;0,OR(AUTOEVENTO&lt;&gt;"manual",$M716&lt;&gt;1)),
IF(Import.TipoArredondamento&lt;&gt;"TransfereGOV",
ROUND(OFFSET($P716,0,AJ$13),15-13*ORÇAMENTO!$AF$7)/$H716*OFFSET(ORÇAMENTO!$X$15,ROW(AJ716)-ROW(AJ$15),0),
ROUND(ROUND(OFFSET($P716,0,AJ$13),15-13*ORÇAMENTO!$AF$7)*OFFSET(ORÇAMENTO!$W$15,ROW(AJ716)-ROW(AJ$15),0),15-13*ORÇAMENTO!$AF$11)),0)</f>
        <v>0</v>
      </c>
      <c r="AK716" s="545">
        <f ca="1">IF(AND($D716="Serviço",AK$12&lt;&gt;0,$H716&gt;0,OR(AUTOEVENTO&lt;&gt;"manual",$M716&lt;&gt;1)),
IF(Import.TipoArredondamento&lt;&gt;"TransfereGOV",
ROUND(OFFSET($P716,0,AK$13),15-13*ORÇAMENTO!$AF$7)/$H716*OFFSET(ORÇAMENTO!$X$15,ROW(AK716)-ROW(AK$15),0),
ROUND(ROUND(OFFSET($P716,0,AK$13),15-13*ORÇAMENTO!$AF$7)*OFFSET(ORÇAMENTO!$W$15,ROW(AK716)-ROW(AK$15),0),15-13*ORÇAMENTO!$AF$11)),0)</f>
        <v>0</v>
      </c>
      <c r="AL716" s="545">
        <f ca="1">IF(AND($D716="Serviço",AL$12&lt;&gt;0,$H716&gt;0,OR(AUTOEVENTO&lt;&gt;"manual",$M716&lt;&gt;1)),
IF(Import.TipoArredondamento&lt;&gt;"TransfereGOV",
ROUND(OFFSET($P716,0,AL$13),15-13*ORÇAMENTO!$AF$7)/$H716*OFFSET(ORÇAMENTO!$X$15,ROW(AL716)-ROW(AL$15),0),
ROUND(ROUND(OFFSET($P716,0,AL$13),15-13*ORÇAMENTO!$AF$7)*OFFSET(ORÇAMENTO!$W$15,ROW(AL716)-ROW(AL$15),0),15-13*ORÇAMENTO!$AF$11)),0)</f>
        <v>0</v>
      </c>
      <c r="AM716" s="545">
        <f ca="1">IF(AND($D716="Serviço",AM$12&lt;&gt;0,$H716&gt;0,OR(AUTOEVENTO&lt;&gt;"manual",$M716&lt;&gt;1)),
IF(Import.TipoArredondamento&lt;&gt;"TransfereGOV",
ROUND(OFFSET($P716,0,AM$13),15-13*ORÇAMENTO!$AF$7)/$H716*OFFSET(ORÇAMENTO!$X$15,ROW(AM716)-ROW(AM$15),0),
ROUND(ROUND(OFFSET($P716,0,AM$13),15-13*ORÇAMENTO!$AF$7)*OFFSET(ORÇAMENTO!$W$15,ROW(AM716)-ROW(AM$15),0),15-13*ORÇAMENTO!$AF$11)),0)</f>
        <v>0</v>
      </c>
      <c r="AN716" s="545">
        <f ca="1">IF(AND($D716="Serviço",AN$12&lt;&gt;0,$H716&gt;0,OR(AUTOEVENTO&lt;&gt;"manual",$M716&lt;&gt;1)),
IF(Import.TipoArredondamento&lt;&gt;"TransfereGOV",
ROUND(OFFSET($P716,0,AN$13),15-13*ORÇAMENTO!$AF$7)/$H716*OFFSET(ORÇAMENTO!$X$15,ROW(AN716)-ROW(AN$15),0),
ROUND(ROUND(OFFSET($P716,0,AN$13),15-13*ORÇAMENTO!$AF$7)*OFFSET(ORÇAMENTO!$W$15,ROW(AN716)-ROW(AN$15),0),15-13*ORÇAMENTO!$AF$11)),0)</f>
        <v>0</v>
      </c>
      <c r="AO716" s="545">
        <f ca="1">IF(AND($D716="Serviço",AO$12&lt;&gt;0,$H716&gt;0,OR(AUTOEVENTO&lt;&gt;"manual",$M716&lt;&gt;1)),
IF(Import.TipoArredondamento&lt;&gt;"TransfereGOV",
ROUND(OFFSET($P716,0,AO$13),15-13*ORÇAMENTO!$AF$7)/$H716*OFFSET(ORÇAMENTO!$X$15,ROW(AO716)-ROW(AO$15),0),
ROUND(ROUND(OFFSET($P716,0,AO$13),15-13*ORÇAMENTO!$AF$7)*OFFSET(ORÇAMENTO!$W$15,ROW(AO716)-ROW(AO$15),0),15-13*ORÇAMENTO!$AF$11)),0)</f>
        <v>0</v>
      </c>
      <c r="AP716" s="545">
        <f ca="1">IF(AND($D716="Serviço",AP$12&lt;&gt;0,$H716&gt;0,OR(AUTOEVENTO&lt;&gt;"manual",$M716&lt;&gt;1)),
IF(Import.TipoArredondamento&lt;&gt;"TransfereGOV",
ROUND(OFFSET($P716,0,AP$13),15-13*ORÇAMENTO!$AF$7)/$H716*OFFSET(ORÇAMENTO!$X$15,ROW(AP716)-ROW(AP$15),0),
ROUND(ROUND(OFFSET($P716,0,AP$13),15-13*ORÇAMENTO!$AF$7)*OFFSET(ORÇAMENTO!$W$15,ROW(AP716)-ROW(AP$15),0),15-13*ORÇAMENTO!$AF$11)),0)</f>
        <v>0</v>
      </c>
      <c r="AQ716" s="545">
        <f ca="1">IF(AND($D716="Serviço",AQ$12&lt;&gt;0,$H716&gt;0,OR(AUTOEVENTO&lt;&gt;"manual",$M716&lt;&gt;1)),
IF(Import.TipoArredondamento&lt;&gt;"TransfereGOV",
ROUND(OFFSET($P716,0,AQ$13),15-13*ORÇAMENTO!$AF$7)/$H716*OFFSET(ORÇAMENTO!$X$15,ROW(AQ716)-ROW(AQ$15),0),
ROUND(ROUND(OFFSET($P716,0,AQ$13),15-13*ORÇAMENTO!$AF$7)*OFFSET(ORÇAMENTO!$W$15,ROW(AQ716)-ROW(AQ$15),0),15-13*ORÇAMENTO!$AF$11)),0)</f>
        <v>0</v>
      </c>
      <c r="AR716" s="545">
        <f ca="1">IF(AND($D716="Serviço",AR$12&lt;&gt;0,$H716&gt;0,OR(AUTOEVENTO&lt;&gt;"manual",$M716&lt;&gt;1)),
IF(Import.TipoArredondamento&lt;&gt;"TransfereGOV",
ROUND(OFFSET($P716,0,AR$13),15-13*ORÇAMENTO!$AF$7)/$H716*OFFSET(ORÇAMENTO!$X$15,ROW(AR716)-ROW(AR$15),0),
ROUND(ROUND(OFFSET($P716,0,AR$13),15-13*ORÇAMENTO!$AF$7)*OFFSET(ORÇAMENTO!$W$15,ROW(AR716)-ROW(AR$15),0),15-13*ORÇAMENTO!$AF$11)),0)</f>
        <v>0</v>
      </c>
      <c r="AS716" s="546">
        <f ca="1">IF(AND($D716="Serviço",AS$12&lt;&gt;0,$H716&gt;0,OR(AUTOEVENTO&lt;&gt;"manual",$M716&lt;&gt;1)),
IF(Import.TipoArredondamento&lt;&gt;"TransfereGOV",
ROUND(OFFSET($P716,0,AS$13),15-13*ORÇAMENTO!$AF$7)/$H716*OFFSET(ORÇAMENTO!$X$15,ROW(AS716)-ROW(AS$15),0),
ROUND(ROUND(OFFSET($P716,0,AS$13),15-13*ORÇAMENTO!$AF$7)*OFFSET(ORÇAMENTO!$W$15,ROW(AS716)-ROW(AS$15),0),15-13*ORÇAMENTO!$AF$11)),0)</f>
        <v>0</v>
      </c>
      <c r="AT716" s="545">
        <f ca="1">IF(AND($D716="Serviço",AT$12&lt;&gt;0,$H716&gt;0,OR(AUTOEVENTO&lt;&gt;"manual",$M716&lt;&gt;1)),
IF(Import.TipoArredondamento&lt;&gt;"TransfereGOV",
ROUND(OFFSET($P716,0,AT$13),15-13*ORÇAMENTO!$AF$7)/$H716*OFFSET(ORÇAMENTO!$X$15,ROW(AT716)-ROW(AT$15),0),
ROUND(ROUND(OFFSET($P716,0,AT$13),15-13*ORÇAMENTO!$AF$7)*OFFSET(ORÇAMENTO!$W$15,ROW(AT716)-ROW(AT$15),0),15-13*ORÇAMENTO!$AF$11)),0)</f>
        <v>0</v>
      </c>
      <c r="AU716" s="545">
        <f ca="1">IF(AND($D716="Serviço",AU$12&lt;&gt;0,$H716&gt;0,OR(AUTOEVENTO&lt;&gt;"manual",$M716&lt;&gt;1)),
IF(Import.TipoArredondamento&lt;&gt;"TransfereGOV",
ROUND(OFFSET($P716,0,AU$13),15-13*ORÇAMENTO!$AF$7)/$H716*OFFSET(ORÇAMENTO!$X$15,ROW(AU716)-ROW(AU$15),0),
ROUND(ROUND(OFFSET($P716,0,AU$13),15-13*ORÇAMENTO!$AF$7)*OFFSET(ORÇAMENTO!$W$15,ROW(AU716)-ROW(AU$15),0),15-13*ORÇAMENTO!$AF$11)),0)</f>
        <v>0</v>
      </c>
      <c r="AV716" s="545">
        <f ca="1">IF(AND($D716="Serviço",AV$12&lt;&gt;0,$H716&gt;0,OR(AUTOEVENTO&lt;&gt;"manual",$M716&lt;&gt;1)),
IF(Import.TipoArredondamento&lt;&gt;"TransfereGOV",
ROUND(OFFSET($P716,0,AV$13),15-13*ORÇAMENTO!$AF$7)/$H716*OFFSET(ORÇAMENTO!$X$15,ROW(AV716)-ROW(AV$15),0),
ROUND(ROUND(OFFSET($P716,0,AV$13),15-13*ORÇAMENTO!$AF$7)*OFFSET(ORÇAMENTO!$W$15,ROW(AV716)-ROW(AV$15),0),15-13*ORÇAMENTO!$AF$11)),0)</f>
        <v>0</v>
      </c>
      <c r="AW716" s="545">
        <f ca="1">IF(AND($D716="Serviço",AW$12&lt;&gt;0,$H716&gt;0,OR(AUTOEVENTO&lt;&gt;"manual",$M716&lt;&gt;1)),
IF(Import.TipoArredondamento&lt;&gt;"TransfereGOV",
ROUND(OFFSET($P716,0,AW$13),15-13*ORÇAMENTO!$AF$7)/$H716*OFFSET(ORÇAMENTO!$X$15,ROW(AW716)-ROW(AW$15),0),
ROUND(ROUND(OFFSET($P716,0,AW$13),15-13*ORÇAMENTO!$AF$7)*OFFSET(ORÇAMENTO!$W$15,ROW(AW716)-ROW(AW$15),0),15-13*ORÇAMENTO!$AF$11)),0)</f>
        <v>0</v>
      </c>
      <c r="AX716" s="545">
        <f ca="1">IF(AND($D716="Serviço",AX$12&lt;&gt;0,$H716&gt;0,OR(AUTOEVENTO&lt;&gt;"manual",$M716&lt;&gt;1)),
IF(Import.TipoArredondamento&lt;&gt;"TransfereGOV",
ROUND(OFFSET($P716,0,AX$13),15-13*ORÇAMENTO!$AF$7)/$H716*OFFSET(ORÇAMENTO!$X$15,ROW(AX716)-ROW(AX$15),0),
ROUND(ROUND(OFFSET($P716,0,AX$13),15-13*ORÇAMENTO!$AF$7)*OFFSET(ORÇAMENTO!$W$15,ROW(AX716)-ROW(AX$15),0),15-13*ORÇAMENTO!$AF$11)),0)</f>
        <v>0</v>
      </c>
      <c r="AY716" s="545">
        <f ca="1">IF(AND($D716="Serviço",AY$12&lt;&gt;0,$H716&gt;0,OR(AUTOEVENTO&lt;&gt;"manual",$M716&lt;&gt;1)),
IF(Import.TipoArredondamento&lt;&gt;"TransfereGOV",
ROUND(OFFSET($P716,0,AY$13),15-13*ORÇAMENTO!$AF$7)/$H716*OFFSET(ORÇAMENTO!$X$15,ROW(AY716)-ROW(AY$15),0),
ROUND(ROUND(OFFSET($P716,0,AY$13),15-13*ORÇAMENTO!$AF$7)*OFFSET(ORÇAMENTO!$W$15,ROW(AY716)-ROW(AY$15),0),15-13*ORÇAMENTO!$AF$11)),0)</f>
        <v>0</v>
      </c>
      <c r="AZ716" s="545">
        <f ca="1">IF(AND($D716="Serviço",AZ$12&lt;&gt;0,$H716&gt;0,OR(AUTOEVENTO&lt;&gt;"manual",$M716&lt;&gt;1)),
IF(Import.TipoArredondamento&lt;&gt;"TransfereGOV",
ROUND(OFFSET($P716,0,AZ$13),15-13*ORÇAMENTO!$AF$7)/$H716*OFFSET(ORÇAMENTO!$X$15,ROW(AZ716)-ROW(AZ$15),0),
ROUND(ROUND(OFFSET($P716,0,AZ$13),15-13*ORÇAMENTO!$AF$7)*OFFSET(ORÇAMENTO!$W$15,ROW(AZ716)-ROW(AZ$15),0),15-13*ORÇAMENTO!$AF$11)),0)</f>
        <v>0</v>
      </c>
      <c r="BA716" s="546">
        <f ca="1">IF(AND($D716="Serviço",BA$12&lt;&gt;0,$H716&gt;0,OR(AUTOEVENTO&lt;&gt;"manual",$M716&lt;&gt;1)),
IF(Import.TipoArredondamento&lt;&gt;"TransfereGOV",
ROUND(OFFSET($P716,0,BA$13),15-13*ORÇAMENTO!$AF$7)/$H716*OFFSET(ORÇAMENTO!$X$15,ROW(BA716)-ROW(BA$15),0),
ROUND(ROUND(OFFSET($P716,0,BA$13),15-13*ORÇAMENTO!$AF$7)*OFFSET(ORÇAMENTO!$W$15,ROW(BA716)-ROW(BA$15),0),15-13*ORÇAMENTO!$AF$11)),0)</f>
        <v>0</v>
      </c>
      <c r="BC716" s="181">
        <f ca="1">IF($D716&lt;&gt;"Serviço",0,IF(AND(AUTOEVENTO="Manual",$M716=1),0,IF(OFFSET(CRONOPLE!$F$14,$M716,BC$13)="",10^12,OFFSET(CRONOPLE!$F$14,$M716,BC$13))))</f>
        <v>12</v>
      </c>
      <c r="BD716" s="181">
        <f ca="1">IF($D716&lt;&gt;"Serviço",0,IF(AND(AUTOEVENTO="Manual",$M716=1),0,IF(OFFSET(CRONOPLE!$F$14,$M716,BD$13)="",10^12,OFFSET(CRONOPLE!$F$14,$M716,BD$13))))</f>
        <v>1000000000000</v>
      </c>
      <c r="BE716" s="181">
        <f ca="1">IF($D716&lt;&gt;"Serviço",0,IF(AND(AUTOEVENTO="Manual",$M716=1),0,IF(OFFSET(CRONOPLE!$F$14,$M716,BE$13)="",10^12,OFFSET(CRONOPLE!$F$14,$M716,BE$13))))</f>
        <v>1000000000000</v>
      </c>
      <c r="BF716" s="181">
        <f ca="1">IF($D716&lt;&gt;"Serviço",0,IF(AND(AUTOEVENTO="Manual",$M716=1),0,IF(OFFSET(CRONOPLE!$F$14,$M716,BF$13)="",10^12,OFFSET(CRONOPLE!$F$14,$M716,BF$13))))</f>
        <v>1000000000000</v>
      </c>
      <c r="BG716" s="181">
        <f ca="1">IF($D716&lt;&gt;"Serviço",0,IF(AND(AUTOEVENTO="Manual",$M716=1),0,IF(OFFSET(CRONOPLE!$F$14,$M716,BG$13)="",10^12,OFFSET(CRONOPLE!$F$14,$M716,BG$13))))</f>
        <v>1000000000000</v>
      </c>
      <c r="BH716" s="181">
        <f ca="1">IF($D716&lt;&gt;"Serviço",0,IF(AND(AUTOEVENTO="Manual",$M716=1),0,IF(OFFSET(CRONOPLE!$F$14,$M716,BH$13)="",10^12,OFFSET(CRONOPLE!$F$14,$M716,BH$13))))</f>
        <v>1000000000000</v>
      </c>
      <c r="BI716" s="181">
        <f ca="1">IF($D716&lt;&gt;"Serviço",0,IF(AND(AUTOEVENTO="Manual",$M716=1),0,IF(OFFSET(CRONOPLE!$F$14,$M716,BI$13)="",10^12,OFFSET(CRONOPLE!$F$14,$M716,BI$13))))</f>
        <v>1000000000000</v>
      </c>
      <c r="BJ716" s="181">
        <f ca="1">IF($D716&lt;&gt;"Serviço",0,IF(AND(AUTOEVENTO="Manual",$M716=1),0,IF(OFFSET(CRONOPLE!$F$14,$M716,BJ$13)="",10^12,OFFSET(CRONOPLE!$F$14,$M716,BJ$13))))</f>
        <v>1000000000000</v>
      </c>
      <c r="BK716" s="181">
        <f ca="1">IF($D716&lt;&gt;"Serviço",0,IF(AND(AUTOEVENTO="Manual",$M716=1),0,IF(OFFSET(CRONOPLE!$F$14,$M716,BK$13)="",10^12,OFFSET(CRONOPLE!$F$14,$M716,BK$13))))</f>
        <v>1000000000000</v>
      </c>
      <c r="BL716" s="181">
        <f ca="1">IF($D716&lt;&gt;"Serviço",0,IF(AND(AUTOEVENTO="Manual",$M716=1),0,IF(OFFSET(CRONOPLE!$F$14,$M716,BL$13)="",10^12,OFFSET(CRONOPLE!$F$14,$M716,BL$13))))</f>
        <v>1000000000000</v>
      </c>
      <c r="BM716" s="181">
        <f ca="1">IF($D716&lt;&gt;"Serviço",0,IF(AND(AUTOEVENTO="Manual",$M716=1),0,IF(OFFSET(CRONOPLE!$F$14,$M716,BM$13)="",10^12,OFFSET(CRONOPLE!$F$14,$M716,BM$13))))</f>
        <v>1000000000000</v>
      </c>
      <c r="BN716" s="181">
        <f ca="1">IF($D716&lt;&gt;"Serviço",0,IF(AND(AUTOEVENTO="Manual",$M716=1),0,IF(OFFSET(CRONOPLE!$F$14,$M716,BN$13)="",10^12,OFFSET(CRONOPLE!$F$14,$M716,BN$13))))</f>
        <v>1000000000000</v>
      </c>
      <c r="BO716" s="181">
        <f ca="1">IF($D716&lt;&gt;"Serviço",0,IF(AND(AUTOEVENTO="Manual",$M716=1),0,IF(OFFSET(CRONOPLE!$F$14,$M716,BO$13)="",10^12,OFFSET(CRONOPLE!$F$14,$M716,BO$13))))</f>
        <v>1000000000000</v>
      </c>
      <c r="BP716" s="181">
        <f ca="1">IF($D716&lt;&gt;"Serviço",0,IF(AND(AUTOEVENTO="Manual",$M716=1),0,IF(OFFSET(CRONOPLE!$F$14,$M716,BP$13)="",10^12,OFFSET(CRONOPLE!$F$14,$M716,BP$13))))</f>
        <v>1000000000000</v>
      </c>
      <c r="BQ716" s="181">
        <f ca="1">IF($D716&lt;&gt;"Serviço",0,IF(AND(AUTOEVENTO="Manual",$M716=1),0,IF(OFFSET(CRONOPLE!$F$14,$M716,BQ$13)="",10^12,OFFSET(CRONOPLE!$F$14,$M716,BQ$13))))</f>
        <v>1000000000000</v>
      </c>
      <c r="BR716" s="181">
        <f ca="1">IF($D716&lt;&gt;"Serviço",0,IF(AND(AUTOEVENTO="Manual",$M716=1),0,IF(OFFSET(CRONOPLE!$F$14,$M716,BR$13)="",10^12,OFFSET(CRONOPLE!$F$14,$M716,BR$13))))</f>
        <v>1000000000000</v>
      </c>
      <c r="BS716" s="181">
        <f ca="1">IF($D716&lt;&gt;"Serviço",0,IF(AND(AUTOEVENTO="Manual",$M716=1),0,IF(OFFSET(CRONOPLE!$F$14,$M716,BS$13)="",10^12,OFFSET(CRONOPLE!$F$14,$M716,BS$13))))</f>
        <v>1000000000000</v>
      </c>
      <c r="BT716" s="181">
        <f ca="1">IF($D716&lt;&gt;"Serviço",0,IF(AND(AUTOEVENTO="Manual",$M716=1),0,IF(OFFSET(CRONOPLE!$F$14,$M716,BT$13)="",10^12,OFFSET(CRONOPLE!$F$14,$M716,BT$13))))</f>
        <v>1000000000000</v>
      </c>
      <c r="BV716" s="182">
        <f ca="1">IF($D716&lt;&gt;"Serviço",0,IF(OR(AND(AUTOEVENTO="Manual",$M716=1),$M716&gt;(ROW(PLE.lastrow)-ROW(PLE.firstrow))),0,IF(OFFSET(PLE!$G$14,$M716,BV$13)="",10^12,OFFSET(PLE!$G$14,$M716,BV$13))))</f>
        <v>1000000000000</v>
      </c>
      <c r="BW716" s="182">
        <f ca="1">IF($D716&lt;&gt;"Serviço",0,IF(OR(AND(AUTOEVENTO="Manual",$M716=1),$M716&gt;(ROW(PLE.lastrow)-ROW(PLE.firstrow))),0,IF(OFFSET(PLE!$G$14,$M716,BW$13)="",10^12,OFFSET(PLE!$G$14,$M716,BW$13))))</f>
        <v>1000000000000</v>
      </c>
      <c r="BX716" s="182">
        <f ca="1">IF($D716&lt;&gt;"Serviço",0,IF(OR(AND(AUTOEVENTO="Manual",$M716=1),$M716&gt;(ROW(PLE.lastrow)-ROW(PLE.firstrow))),0,IF(OFFSET(PLE!$G$14,$M716,BX$13)="",10^12,OFFSET(PLE!$G$14,$M716,BX$13))))</f>
        <v>1000000000000</v>
      </c>
      <c r="BY716" s="182">
        <f ca="1">IF($D716&lt;&gt;"Serviço",0,IF(OR(AND(AUTOEVENTO="Manual",$M716=1),$M716&gt;(ROW(PLE.lastrow)-ROW(PLE.firstrow))),0,IF(OFFSET(PLE!$G$14,$M716,BY$13)="",10^12,OFFSET(PLE!$G$14,$M716,BY$13))))</f>
        <v>1000000000000</v>
      </c>
      <c r="BZ716" s="182">
        <f ca="1">IF($D716&lt;&gt;"Serviço",0,IF(OR(AND(AUTOEVENTO="Manual",$M716=1),$M716&gt;(ROW(PLE.lastrow)-ROW(PLE.firstrow))),0,IF(OFFSET(PLE!$G$14,$M716,BZ$13)="",10^12,OFFSET(PLE!$G$14,$M716,BZ$13))))</f>
        <v>1000000000000</v>
      </c>
      <c r="CA716" s="182">
        <f ca="1">IF($D716&lt;&gt;"Serviço",0,IF(OR(AND(AUTOEVENTO="Manual",$M716=1),$M716&gt;(ROW(PLE.lastrow)-ROW(PLE.firstrow))),0,IF(OFFSET(PLE!$G$14,$M716,CA$13)="",10^12,OFFSET(PLE!$G$14,$M716,CA$13))))</f>
        <v>1000000000000</v>
      </c>
      <c r="CB716" s="182">
        <f ca="1">IF($D716&lt;&gt;"Serviço",0,IF(OR(AND(AUTOEVENTO="Manual",$M716=1),$M716&gt;(ROW(PLE.lastrow)-ROW(PLE.firstrow))),0,IF(OFFSET(PLE!$G$14,$M716,CB$13)="",10^12,OFFSET(PLE!$G$14,$M716,CB$13))))</f>
        <v>1000000000000</v>
      </c>
      <c r="CC716" s="182">
        <f ca="1">IF($D716&lt;&gt;"Serviço",0,IF(OR(AND(AUTOEVENTO="Manual",$M716=1),$M716&gt;(ROW(PLE.lastrow)-ROW(PLE.firstrow))),0,IF(OFFSET(PLE!$G$14,$M716,CC$13)="",10^12,OFFSET(PLE!$G$14,$M716,CC$13))))</f>
        <v>1000000000000</v>
      </c>
      <c r="CD716" s="182">
        <f ca="1">IF($D716&lt;&gt;"Serviço",0,IF(OR(AND(AUTOEVENTO="Manual",$M716=1),$M716&gt;(ROW(PLE.lastrow)-ROW(PLE.firstrow))),0,IF(OFFSET(PLE!$G$14,$M716,CD$13)="",10^12,OFFSET(PLE!$G$14,$M716,CD$13))))</f>
        <v>1000000000000</v>
      </c>
      <c r="CE716" s="182">
        <f ca="1">IF($D716&lt;&gt;"Serviço",0,IF(OR(AND(AUTOEVENTO="Manual",$M716=1),$M716&gt;(ROW(PLE.lastrow)-ROW(PLE.firstrow))),0,IF(OFFSET(PLE!$G$14,$M716,CE$13)="",10^12,OFFSET(PLE!$G$14,$M716,CE$13))))</f>
        <v>1000000000000</v>
      </c>
      <c r="CF716" s="182">
        <f ca="1">IF($D716&lt;&gt;"Serviço",0,IF(OR(AND(AUTOEVENTO="Manual",$M716=1),$M716&gt;(ROW(PLE.lastrow)-ROW(PLE.firstrow))),0,IF(OFFSET(PLE!$G$14,$M716,CF$13)="",10^12,OFFSET(PLE!$G$14,$M716,CF$13))))</f>
        <v>1000000000000</v>
      </c>
      <c r="CG716" s="182">
        <f ca="1">IF($D716&lt;&gt;"Serviço",0,IF(OR(AND(AUTOEVENTO="Manual",$M716=1),$M716&gt;(ROW(PLE.lastrow)-ROW(PLE.firstrow))),0,IF(OFFSET(PLE!$G$14,$M716,CG$13)="",10^12,OFFSET(PLE!$G$14,$M716,CG$13))))</f>
        <v>1000000000000</v>
      </c>
      <c r="CH716" s="182">
        <f ca="1">IF($D716&lt;&gt;"Serviço",0,IF(OR(AND(AUTOEVENTO="Manual",$M716=1),$M716&gt;(ROW(PLE.lastrow)-ROW(PLE.firstrow))),0,IF(OFFSET(PLE!$G$14,$M716,CH$13)="",10^12,OFFSET(PLE!$G$14,$M716,CH$13))))</f>
        <v>1000000000000</v>
      </c>
      <c r="CI716" s="182">
        <f ca="1">IF($D716&lt;&gt;"Serviço",0,IF(OR(AND(AUTOEVENTO="Manual",$M716=1),$M716&gt;(ROW(PLE.lastrow)-ROW(PLE.firstrow))),0,IF(OFFSET(PLE!$G$14,$M716,CI$13)="",10^12,OFFSET(PLE!$G$14,$M716,CI$13))))</f>
        <v>1000000000000</v>
      </c>
      <c r="CJ716" s="182">
        <f ca="1">IF($D716&lt;&gt;"Serviço",0,IF(OR(AND(AUTOEVENTO="Manual",$M716=1),$M716&gt;(ROW(PLE.lastrow)-ROW(PLE.firstrow))),0,IF(OFFSET(PLE!$G$14,$M716,CJ$13)="",10^12,OFFSET(PLE!$G$14,$M716,CJ$13))))</f>
        <v>1000000000000</v>
      </c>
      <c r="CK716" s="182">
        <f ca="1">IF($D716&lt;&gt;"Serviço",0,IF(OR(AND(AUTOEVENTO="Manual",$M716=1),$M716&gt;(ROW(PLE.lastrow)-ROW(PLE.firstrow))),0,IF(OFFSET(PLE!$G$14,$M716,CK$13)="",10^12,OFFSET(PLE!$G$14,$M716,CK$13))))</f>
        <v>1000000000000</v>
      </c>
      <c r="CL716" s="182">
        <f ca="1">IF($D716&lt;&gt;"Serviço",0,IF(OR(AND(AUTOEVENTO="Manual",$M716=1),$M716&gt;(ROW(PLE.lastrow)-ROW(PLE.firstrow))),0,IF(OFFSET(PLE!$G$14,$M716,CL$13)="",10^12,OFFSET(PLE!$G$14,$M716,CL$13))))</f>
        <v>1000000000000</v>
      </c>
      <c r="CM716" s="182">
        <f ca="1">IF($D716&lt;&gt;"Serviço",0,IF(OR(AND(AUTOEVENTO="Manual",$M716=1),$M716&gt;(ROW(PLE.lastrow)-ROW(PLE.firstrow))),0,IF(OFFSET(PLE!$G$14,$M716,CM$13)="",10^12,OFFSET(PLE!$G$14,$M716,CM$13))))</f>
        <v>1000000000000</v>
      </c>
    </row>
    <row r="717" spans="1:91" ht="38.25" x14ac:dyDescent="0.2">
      <c r="A717" s="7" t="str">
        <f t="shared" ca="1" si="20"/>
        <v>700</v>
      </c>
      <c r="B717" s="7" t="str">
        <f ca="1">OFFSET(ORÇAMENTO!C$15,ROW(B717)-ROW(B$15),0)</f>
        <v>S</v>
      </c>
      <c r="C717" s="7" t="str">
        <f ca="1">OFFSET(ORÇAMENTO!L$15,ROW(C717)-ROW(C$15),0)</f>
        <v/>
      </c>
      <c r="D717" s="118" t="str">
        <f ca="1">OFFSET(ORÇAMENTO!N$15,ROW(D717)-ROW(D$15),0)</f>
        <v>Serviço</v>
      </c>
      <c r="E717" s="119" t="str">
        <f ca="1">OFFSET(ORÇAMENTO!O$15,ROW(E717)-ROW(E$15),0)</f>
        <v>-</v>
      </c>
      <c r="F717" s="172" t="str">
        <f ca="1">OFFSET(ORÇAMENTO!R$15,ROW(F717)-ROW(F$15),0)</f>
        <v>(abra o arquivo 'Referência 06-2024.xlsm)</v>
      </c>
      <c r="G717" s="173" t="str">
        <f ca="1">IF($D717&lt;&gt;"Serviço","",OFFSET(ORÇAMENTO!S$15,ROW(G717)-ROW(G$15),0))</f>
        <v>-</v>
      </c>
      <c r="H717" s="124">
        <f ca="1">IF($D717&lt;&gt;"Serviço",0,IF(ACOMPANHAMENTO="BM",ROUND(OFFSET(ORÇAMENTO!AJ$15,ROW(H717)-ROW(H$15),0),15-13*ORÇAMENTO!$AF$7),SUMPRODUCT(($Q$12:$AI$12&lt;&gt;"")*ROUND($Q717:$AI717,15-13*ORÇAMENTO!$AF$7))))</f>
        <v>330.6</v>
      </c>
      <c r="I717" s="561" t="s">
        <v>1107</v>
      </c>
      <c r="K717" s="174"/>
      <c r="L717" s="175" t="s">
        <v>255</v>
      </c>
      <c r="M717" s="176">
        <f ca="1">IF($D717&lt;&gt;"Serviço","",IF(AUTOEVENTO="manual",$A717,IF(ISERROR(MATCH($A717,$A$15:OFFSET($A717,-1,0),0)),MAX($M$15:OFFSET(M717,-1,0))+1,INDEX($M$15:OFFSET(M717,-1,0),MATCH($A717,$A$15:OFFSET($A717,-1,0),0)))))</f>
        <v>80</v>
      </c>
      <c r="N717" s="177" t="str">
        <f ca="1">IF($D717&lt;&gt;"Serviço","",IF(AUTOEVENTO="Manual",IF($A717=0,"&lt;-- defina o número do agrupador",OFFSET(EVENTOS!$D$14,$A717,0)),OFFSET($F$15,$A717,0)))</f>
        <v>MURO DE FECHAMENTO - REVESTIMENTO</v>
      </c>
      <c r="O717" s="178"/>
      <c r="Q717" s="178">
        <v>330.6</v>
      </c>
      <c r="R717" s="179"/>
      <c r="S717" s="179"/>
      <c r="T717" s="179"/>
      <c r="U717" s="179"/>
      <c r="V717" s="179"/>
      <c r="W717" s="179"/>
      <c r="X717" s="179"/>
      <c r="Y717" s="179"/>
      <c r="Z717" s="180"/>
      <c r="AA717" s="179"/>
      <c r="AB717" s="179"/>
      <c r="AC717" s="179"/>
      <c r="AD717" s="179"/>
      <c r="AE717" s="179"/>
      <c r="AF717" s="179"/>
      <c r="AG717" s="179"/>
      <c r="AH717" s="180"/>
      <c r="AJ717" s="544">
        <f ca="1">IF(AND($D717="Serviço",AJ$12&lt;&gt;0,$H717&gt;0,OR(AUTOEVENTO&lt;&gt;"manual",$M717&lt;&gt;1)),
IF(Import.TipoArredondamento&lt;&gt;"TransfereGOV",
ROUND(OFFSET($P717,0,AJ$13),15-13*ORÇAMENTO!$AF$7)/$H717*OFFSET(ORÇAMENTO!$X$15,ROW(AJ717)-ROW(AJ$15),0),
ROUND(ROUND(OFFSET($P717,0,AJ$13),15-13*ORÇAMENTO!$AF$7)*OFFSET(ORÇAMENTO!$W$15,ROW(AJ717)-ROW(AJ$15),0),15-13*ORÇAMENTO!$AF$11)),0)</f>
        <v>0</v>
      </c>
      <c r="AK717" s="545">
        <f ca="1">IF(AND($D717="Serviço",AK$12&lt;&gt;0,$H717&gt;0,OR(AUTOEVENTO&lt;&gt;"manual",$M717&lt;&gt;1)),
IF(Import.TipoArredondamento&lt;&gt;"TransfereGOV",
ROUND(OFFSET($P717,0,AK$13),15-13*ORÇAMENTO!$AF$7)/$H717*OFFSET(ORÇAMENTO!$X$15,ROW(AK717)-ROW(AK$15),0),
ROUND(ROUND(OFFSET($P717,0,AK$13),15-13*ORÇAMENTO!$AF$7)*OFFSET(ORÇAMENTO!$W$15,ROW(AK717)-ROW(AK$15),0),15-13*ORÇAMENTO!$AF$11)),0)</f>
        <v>0</v>
      </c>
      <c r="AL717" s="545">
        <f ca="1">IF(AND($D717="Serviço",AL$12&lt;&gt;0,$H717&gt;0,OR(AUTOEVENTO&lt;&gt;"manual",$M717&lt;&gt;1)),
IF(Import.TipoArredondamento&lt;&gt;"TransfereGOV",
ROUND(OFFSET($P717,0,AL$13),15-13*ORÇAMENTO!$AF$7)/$H717*OFFSET(ORÇAMENTO!$X$15,ROW(AL717)-ROW(AL$15),0),
ROUND(ROUND(OFFSET($P717,0,AL$13),15-13*ORÇAMENTO!$AF$7)*OFFSET(ORÇAMENTO!$W$15,ROW(AL717)-ROW(AL$15),0),15-13*ORÇAMENTO!$AF$11)),0)</f>
        <v>0</v>
      </c>
      <c r="AM717" s="545">
        <f ca="1">IF(AND($D717="Serviço",AM$12&lt;&gt;0,$H717&gt;0,OR(AUTOEVENTO&lt;&gt;"manual",$M717&lt;&gt;1)),
IF(Import.TipoArredondamento&lt;&gt;"TransfereGOV",
ROUND(OFFSET($P717,0,AM$13),15-13*ORÇAMENTO!$AF$7)/$H717*OFFSET(ORÇAMENTO!$X$15,ROW(AM717)-ROW(AM$15),0),
ROUND(ROUND(OFFSET($P717,0,AM$13),15-13*ORÇAMENTO!$AF$7)*OFFSET(ORÇAMENTO!$W$15,ROW(AM717)-ROW(AM$15),0),15-13*ORÇAMENTO!$AF$11)),0)</f>
        <v>0</v>
      </c>
      <c r="AN717" s="545">
        <f ca="1">IF(AND($D717="Serviço",AN$12&lt;&gt;0,$H717&gt;0,OR(AUTOEVENTO&lt;&gt;"manual",$M717&lt;&gt;1)),
IF(Import.TipoArredondamento&lt;&gt;"TransfereGOV",
ROUND(OFFSET($P717,0,AN$13),15-13*ORÇAMENTO!$AF$7)/$H717*OFFSET(ORÇAMENTO!$X$15,ROW(AN717)-ROW(AN$15),0),
ROUND(ROUND(OFFSET($P717,0,AN$13),15-13*ORÇAMENTO!$AF$7)*OFFSET(ORÇAMENTO!$W$15,ROW(AN717)-ROW(AN$15),0),15-13*ORÇAMENTO!$AF$11)),0)</f>
        <v>0</v>
      </c>
      <c r="AO717" s="545">
        <f ca="1">IF(AND($D717="Serviço",AO$12&lt;&gt;0,$H717&gt;0,OR(AUTOEVENTO&lt;&gt;"manual",$M717&lt;&gt;1)),
IF(Import.TipoArredondamento&lt;&gt;"TransfereGOV",
ROUND(OFFSET($P717,0,AO$13),15-13*ORÇAMENTO!$AF$7)/$H717*OFFSET(ORÇAMENTO!$X$15,ROW(AO717)-ROW(AO$15),0),
ROUND(ROUND(OFFSET($P717,0,AO$13),15-13*ORÇAMENTO!$AF$7)*OFFSET(ORÇAMENTO!$W$15,ROW(AO717)-ROW(AO$15),0),15-13*ORÇAMENTO!$AF$11)),0)</f>
        <v>0</v>
      </c>
      <c r="AP717" s="545">
        <f ca="1">IF(AND($D717="Serviço",AP$12&lt;&gt;0,$H717&gt;0,OR(AUTOEVENTO&lt;&gt;"manual",$M717&lt;&gt;1)),
IF(Import.TipoArredondamento&lt;&gt;"TransfereGOV",
ROUND(OFFSET($P717,0,AP$13),15-13*ORÇAMENTO!$AF$7)/$H717*OFFSET(ORÇAMENTO!$X$15,ROW(AP717)-ROW(AP$15),0),
ROUND(ROUND(OFFSET($P717,0,AP$13),15-13*ORÇAMENTO!$AF$7)*OFFSET(ORÇAMENTO!$W$15,ROW(AP717)-ROW(AP$15),0),15-13*ORÇAMENTO!$AF$11)),0)</f>
        <v>0</v>
      </c>
      <c r="AQ717" s="545">
        <f ca="1">IF(AND($D717="Serviço",AQ$12&lt;&gt;0,$H717&gt;0,OR(AUTOEVENTO&lt;&gt;"manual",$M717&lt;&gt;1)),
IF(Import.TipoArredondamento&lt;&gt;"TransfereGOV",
ROUND(OFFSET($P717,0,AQ$13),15-13*ORÇAMENTO!$AF$7)/$H717*OFFSET(ORÇAMENTO!$X$15,ROW(AQ717)-ROW(AQ$15),0),
ROUND(ROUND(OFFSET($P717,0,AQ$13),15-13*ORÇAMENTO!$AF$7)*OFFSET(ORÇAMENTO!$W$15,ROW(AQ717)-ROW(AQ$15),0),15-13*ORÇAMENTO!$AF$11)),0)</f>
        <v>0</v>
      </c>
      <c r="AR717" s="545">
        <f ca="1">IF(AND($D717="Serviço",AR$12&lt;&gt;0,$H717&gt;0,OR(AUTOEVENTO&lt;&gt;"manual",$M717&lt;&gt;1)),
IF(Import.TipoArredondamento&lt;&gt;"TransfereGOV",
ROUND(OFFSET($P717,0,AR$13),15-13*ORÇAMENTO!$AF$7)/$H717*OFFSET(ORÇAMENTO!$X$15,ROW(AR717)-ROW(AR$15),0),
ROUND(ROUND(OFFSET($P717,0,AR$13),15-13*ORÇAMENTO!$AF$7)*OFFSET(ORÇAMENTO!$W$15,ROW(AR717)-ROW(AR$15),0),15-13*ORÇAMENTO!$AF$11)),0)</f>
        <v>0</v>
      </c>
      <c r="AS717" s="546">
        <f ca="1">IF(AND($D717="Serviço",AS$12&lt;&gt;0,$H717&gt;0,OR(AUTOEVENTO&lt;&gt;"manual",$M717&lt;&gt;1)),
IF(Import.TipoArredondamento&lt;&gt;"TransfereGOV",
ROUND(OFFSET($P717,0,AS$13),15-13*ORÇAMENTO!$AF$7)/$H717*OFFSET(ORÇAMENTO!$X$15,ROW(AS717)-ROW(AS$15),0),
ROUND(ROUND(OFFSET($P717,0,AS$13),15-13*ORÇAMENTO!$AF$7)*OFFSET(ORÇAMENTO!$W$15,ROW(AS717)-ROW(AS$15),0),15-13*ORÇAMENTO!$AF$11)),0)</f>
        <v>0</v>
      </c>
      <c r="AT717" s="545">
        <f ca="1">IF(AND($D717="Serviço",AT$12&lt;&gt;0,$H717&gt;0,OR(AUTOEVENTO&lt;&gt;"manual",$M717&lt;&gt;1)),
IF(Import.TipoArredondamento&lt;&gt;"TransfereGOV",
ROUND(OFFSET($P717,0,AT$13),15-13*ORÇAMENTO!$AF$7)/$H717*OFFSET(ORÇAMENTO!$X$15,ROW(AT717)-ROW(AT$15),0),
ROUND(ROUND(OFFSET($P717,0,AT$13),15-13*ORÇAMENTO!$AF$7)*OFFSET(ORÇAMENTO!$W$15,ROW(AT717)-ROW(AT$15),0),15-13*ORÇAMENTO!$AF$11)),0)</f>
        <v>0</v>
      </c>
      <c r="AU717" s="545">
        <f ca="1">IF(AND($D717="Serviço",AU$12&lt;&gt;0,$H717&gt;0,OR(AUTOEVENTO&lt;&gt;"manual",$M717&lt;&gt;1)),
IF(Import.TipoArredondamento&lt;&gt;"TransfereGOV",
ROUND(OFFSET($P717,0,AU$13),15-13*ORÇAMENTO!$AF$7)/$H717*OFFSET(ORÇAMENTO!$X$15,ROW(AU717)-ROW(AU$15),0),
ROUND(ROUND(OFFSET($P717,0,AU$13),15-13*ORÇAMENTO!$AF$7)*OFFSET(ORÇAMENTO!$W$15,ROW(AU717)-ROW(AU$15),0),15-13*ORÇAMENTO!$AF$11)),0)</f>
        <v>0</v>
      </c>
      <c r="AV717" s="545">
        <f ca="1">IF(AND($D717="Serviço",AV$12&lt;&gt;0,$H717&gt;0,OR(AUTOEVENTO&lt;&gt;"manual",$M717&lt;&gt;1)),
IF(Import.TipoArredondamento&lt;&gt;"TransfereGOV",
ROUND(OFFSET($P717,0,AV$13),15-13*ORÇAMENTO!$AF$7)/$H717*OFFSET(ORÇAMENTO!$X$15,ROW(AV717)-ROW(AV$15),0),
ROUND(ROUND(OFFSET($P717,0,AV$13),15-13*ORÇAMENTO!$AF$7)*OFFSET(ORÇAMENTO!$W$15,ROW(AV717)-ROW(AV$15),0),15-13*ORÇAMENTO!$AF$11)),0)</f>
        <v>0</v>
      </c>
      <c r="AW717" s="545">
        <f ca="1">IF(AND($D717="Serviço",AW$12&lt;&gt;0,$H717&gt;0,OR(AUTOEVENTO&lt;&gt;"manual",$M717&lt;&gt;1)),
IF(Import.TipoArredondamento&lt;&gt;"TransfereGOV",
ROUND(OFFSET($P717,0,AW$13),15-13*ORÇAMENTO!$AF$7)/$H717*OFFSET(ORÇAMENTO!$X$15,ROW(AW717)-ROW(AW$15),0),
ROUND(ROUND(OFFSET($P717,0,AW$13),15-13*ORÇAMENTO!$AF$7)*OFFSET(ORÇAMENTO!$W$15,ROW(AW717)-ROW(AW$15),0),15-13*ORÇAMENTO!$AF$11)),0)</f>
        <v>0</v>
      </c>
      <c r="AX717" s="545">
        <f ca="1">IF(AND($D717="Serviço",AX$12&lt;&gt;0,$H717&gt;0,OR(AUTOEVENTO&lt;&gt;"manual",$M717&lt;&gt;1)),
IF(Import.TipoArredondamento&lt;&gt;"TransfereGOV",
ROUND(OFFSET($P717,0,AX$13),15-13*ORÇAMENTO!$AF$7)/$H717*OFFSET(ORÇAMENTO!$X$15,ROW(AX717)-ROW(AX$15),0),
ROUND(ROUND(OFFSET($P717,0,AX$13),15-13*ORÇAMENTO!$AF$7)*OFFSET(ORÇAMENTO!$W$15,ROW(AX717)-ROW(AX$15),0),15-13*ORÇAMENTO!$AF$11)),0)</f>
        <v>0</v>
      </c>
      <c r="AY717" s="545">
        <f ca="1">IF(AND($D717="Serviço",AY$12&lt;&gt;0,$H717&gt;0,OR(AUTOEVENTO&lt;&gt;"manual",$M717&lt;&gt;1)),
IF(Import.TipoArredondamento&lt;&gt;"TransfereGOV",
ROUND(OFFSET($P717,0,AY$13),15-13*ORÇAMENTO!$AF$7)/$H717*OFFSET(ORÇAMENTO!$X$15,ROW(AY717)-ROW(AY$15),0),
ROUND(ROUND(OFFSET($P717,0,AY$13),15-13*ORÇAMENTO!$AF$7)*OFFSET(ORÇAMENTO!$W$15,ROW(AY717)-ROW(AY$15),0),15-13*ORÇAMENTO!$AF$11)),0)</f>
        <v>0</v>
      </c>
      <c r="AZ717" s="545">
        <f ca="1">IF(AND($D717="Serviço",AZ$12&lt;&gt;0,$H717&gt;0,OR(AUTOEVENTO&lt;&gt;"manual",$M717&lt;&gt;1)),
IF(Import.TipoArredondamento&lt;&gt;"TransfereGOV",
ROUND(OFFSET($P717,0,AZ$13),15-13*ORÇAMENTO!$AF$7)/$H717*OFFSET(ORÇAMENTO!$X$15,ROW(AZ717)-ROW(AZ$15),0),
ROUND(ROUND(OFFSET($P717,0,AZ$13),15-13*ORÇAMENTO!$AF$7)*OFFSET(ORÇAMENTO!$W$15,ROW(AZ717)-ROW(AZ$15),0),15-13*ORÇAMENTO!$AF$11)),0)</f>
        <v>0</v>
      </c>
      <c r="BA717" s="546">
        <f ca="1">IF(AND($D717="Serviço",BA$12&lt;&gt;0,$H717&gt;0,OR(AUTOEVENTO&lt;&gt;"manual",$M717&lt;&gt;1)),
IF(Import.TipoArredondamento&lt;&gt;"TransfereGOV",
ROUND(OFFSET($P717,0,BA$13),15-13*ORÇAMENTO!$AF$7)/$H717*OFFSET(ORÇAMENTO!$X$15,ROW(BA717)-ROW(BA$15),0),
ROUND(ROUND(OFFSET($P717,0,BA$13),15-13*ORÇAMENTO!$AF$7)*OFFSET(ORÇAMENTO!$W$15,ROW(BA717)-ROW(BA$15),0),15-13*ORÇAMENTO!$AF$11)),0)</f>
        <v>0</v>
      </c>
      <c r="BC717" s="181">
        <f ca="1">IF($D717&lt;&gt;"Serviço",0,IF(AND(AUTOEVENTO="Manual",$M717=1),0,IF(OFFSET(CRONOPLE!$F$14,$M717,BC$13)="",10^12,OFFSET(CRONOPLE!$F$14,$M717,BC$13))))</f>
        <v>12</v>
      </c>
      <c r="BD717" s="181">
        <f ca="1">IF($D717&lt;&gt;"Serviço",0,IF(AND(AUTOEVENTO="Manual",$M717=1),0,IF(OFFSET(CRONOPLE!$F$14,$M717,BD$13)="",10^12,OFFSET(CRONOPLE!$F$14,$M717,BD$13))))</f>
        <v>1000000000000</v>
      </c>
      <c r="BE717" s="181">
        <f ca="1">IF($D717&lt;&gt;"Serviço",0,IF(AND(AUTOEVENTO="Manual",$M717=1),0,IF(OFFSET(CRONOPLE!$F$14,$M717,BE$13)="",10^12,OFFSET(CRONOPLE!$F$14,$M717,BE$13))))</f>
        <v>1000000000000</v>
      </c>
      <c r="BF717" s="181">
        <f ca="1">IF($D717&lt;&gt;"Serviço",0,IF(AND(AUTOEVENTO="Manual",$M717=1),0,IF(OFFSET(CRONOPLE!$F$14,$M717,BF$13)="",10^12,OFFSET(CRONOPLE!$F$14,$M717,BF$13))))</f>
        <v>1000000000000</v>
      </c>
      <c r="BG717" s="181">
        <f ca="1">IF($D717&lt;&gt;"Serviço",0,IF(AND(AUTOEVENTO="Manual",$M717=1),0,IF(OFFSET(CRONOPLE!$F$14,$M717,BG$13)="",10^12,OFFSET(CRONOPLE!$F$14,$M717,BG$13))))</f>
        <v>1000000000000</v>
      </c>
      <c r="BH717" s="181">
        <f ca="1">IF($D717&lt;&gt;"Serviço",0,IF(AND(AUTOEVENTO="Manual",$M717=1),0,IF(OFFSET(CRONOPLE!$F$14,$M717,BH$13)="",10^12,OFFSET(CRONOPLE!$F$14,$M717,BH$13))))</f>
        <v>1000000000000</v>
      </c>
      <c r="BI717" s="181">
        <f ca="1">IF($D717&lt;&gt;"Serviço",0,IF(AND(AUTOEVENTO="Manual",$M717=1),0,IF(OFFSET(CRONOPLE!$F$14,$M717,BI$13)="",10^12,OFFSET(CRONOPLE!$F$14,$M717,BI$13))))</f>
        <v>1000000000000</v>
      </c>
      <c r="BJ717" s="181">
        <f ca="1">IF($D717&lt;&gt;"Serviço",0,IF(AND(AUTOEVENTO="Manual",$M717=1),0,IF(OFFSET(CRONOPLE!$F$14,$M717,BJ$13)="",10^12,OFFSET(CRONOPLE!$F$14,$M717,BJ$13))))</f>
        <v>1000000000000</v>
      </c>
      <c r="BK717" s="181">
        <f ca="1">IF($D717&lt;&gt;"Serviço",0,IF(AND(AUTOEVENTO="Manual",$M717=1),0,IF(OFFSET(CRONOPLE!$F$14,$M717,BK$13)="",10^12,OFFSET(CRONOPLE!$F$14,$M717,BK$13))))</f>
        <v>1000000000000</v>
      </c>
      <c r="BL717" s="181">
        <f ca="1">IF($D717&lt;&gt;"Serviço",0,IF(AND(AUTOEVENTO="Manual",$M717=1),0,IF(OFFSET(CRONOPLE!$F$14,$M717,BL$13)="",10^12,OFFSET(CRONOPLE!$F$14,$M717,BL$13))))</f>
        <v>1000000000000</v>
      </c>
      <c r="BM717" s="181">
        <f ca="1">IF($D717&lt;&gt;"Serviço",0,IF(AND(AUTOEVENTO="Manual",$M717=1),0,IF(OFFSET(CRONOPLE!$F$14,$M717,BM$13)="",10^12,OFFSET(CRONOPLE!$F$14,$M717,BM$13))))</f>
        <v>1000000000000</v>
      </c>
      <c r="BN717" s="181">
        <f ca="1">IF($D717&lt;&gt;"Serviço",0,IF(AND(AUTOEVENTO="Manual",$M717=1),0,IF(OFFSET(CRONOPLE!$F$14,$M717,BN$13)="",10^12,OFFSET(CRONOPLE!$F$14,$M717,BN$13))))</f>
        <v>1000000000000</v>
      </c>
      <c r="BO717" s="181">
        <f ca="1">IF($D717&lt;&gt;"Serviço",0,IF(AND(AUTOEVENTO="Manual",$M717=1),0,IF(OFFSET(CRONOPLE!$F$14,$M717,BO$13)="",10^12,OFFSET(CRONOPLE!$F$14,$M717,BO$13))))</f>
        <v>1000000000000</v>
      </c>
      <c r="BP717" s="181">
        <f ca="1">IF($D717&lt;&gt;"Serviço",0,IF(AND(AUTOEVENTO="Manual",$M717=1),0,IF(OFFSET(CRONOPLE!$F$14,$M717,BP$13)="",10^12,OFFSET(CRONOPLE!$F$14,$M717,BP$13))))</f>
        <v>1000000000000</v>
      </c>
      <c r="BQ717" s="181">
        <f ca="1">IF($D717&lt;&gt;"Serviço",0,IF(AND(AUTOEVENTO="Manual",$M717=1),0,IF(OFFSET(CRONOPLE!$F$14,$M717,BQ$13)="",10^12,OFFSET(CRONOPLE!$F$14,$M717,BQ$13))))</f>
        <v>1000000000000</v>
      </c>
      <c r="BR717" s="181">
        <f ca="1">IF($D717&lt;&gt;"Serviço",0,IF(AND(AUTOEVENTO="Manual",$M717=1),0,IF(OFFSET(CRONOPLE!$F$14,$M717,BR$13)="",10^12,OFFSET(CRONOPLE!$F$14,$M717,BR$13))))</f>
        <v>1000000000000</v>
      </c>
      <c r="BS717" s="181">
        <f ca="1">IF($D717&lt;&gt;"Serviço",0,IF(AND(AUTOEVENTO="Manual",$M717=1),0,IF(OFFSET(CRONOPLE!$F$14,$M717,BS$13)="",10^12,OFFSET(CRONOPLE!$F$14,$M717,BS$13))))</f>
        <v>1000000000000</v>
      </c>
      <c r="BT717" s="181">
        <f ca="1">IF($D717&lt;&gt;"Serviço",0,IF(AND(AUTOEVENTO="Manual",$M717=1),0,IF(OFFSET(CRONOPLE!$F$14,$M717,BT$13)="",10^12,OFFSET(CRONOPLE!$F$14,$M717,BT$13))))</f>
        <v>1000000000000</v>
      </c>
      <c r="BV717" s="182">
        <f ca="1">IF($D717&lt;&gt;"Serviço",0,IF(OR(AND(AUTOEVENTO="Manual",$M717=1),$M717&gt;(ROW(PLE.lastrow)-ROW(PLE.firstrow))),0,IF(OFFSET(PLE!$G$14,$M717,BV$13)="",10^12,OFFSET(PLE!$G$14,$M717,BV$13))))</f>
        <v>1000000000000</v>
      </c>
      <c r="BW717" s="182">
        <f ca="1">IF($D717&lt;&gt;"Serviço",0,IF(OR(AND(AUTOEVENTO="Manual",$M717=1),$M717&gt;(ROW(PLE.lastrow)-ROW(PLE.firstrow))),0,IF(OFFSET(PLE!$G$14,$M717,BW$13)="",10^12,OFFSET(PLE!$G$14,$M717,BW$13))))</f>
        <v>1000000000000</v>
      </c>
      <c r="BX717" s="182">
        <f ca="1">IF($D717&lt;&gt;"Serviço",0,IF(OR(AND(AUTOEVENTO="Manual",$M717=1),$M717&gt;(ROW(PLE.lastrow)-ROW(PLE.firstrow))),0,IF(OFFSET(PLE!$G$14,$M717,BX$13)="",10^12,OFFSET(PLE!$G$14,$M717,BX$13))))</f>
        <v>1000000000000</v>
      </c>
      <c r="BY717" s="182">
        <f ca="1">IF($D717&lt;&gt;"Serviço",0,IF(OR(AND(AUTOEVENTO="Manual",$M717=1),$M717&gt;(ROW(PLE.lastrow)-ROW(PLE.firstrow))),0,IF(OFFSET(PLE!$G$14,$M717,BY$13)="",10^12,OFFSET(PLE!$G$14,$M717,BY$13))))</f>
        <v>1000000000000</v>
      </c>
      <c r="BZ717" s="182">
        <f ca="1">IF($D717&lt;&gt;"Serviço",0,IF(OR(AND(AUTOEVENTO="Manual",$M717=1),$M717&gt;(ROW(PLE.lastrow)-ROW(PLE.firstrow))),0,IF(OFFSET(PLE!$G$14,$M717,BZ$13)="",10^12,OFFSET(PLE!$G$14,$M717,BZ$13))))</f>
        <v>1000000000000</v>
      </c>
      <c r="CA717" s="182">
        <f ca="1">IF($D717&lt;&gt;"Serviço",0,IF(OR(AND(AUTOEVENTO="Manual",$M717=1),$M717&gt;(ROW(PLE.lastrow)-ROW(PLE.firstrow))),0,IF(OFFSET(PLE!$G$14,$M717,CA$13)="",10^12,OFFSET(PLE!$G$14,$M717,CA$13))))</f>
        <v>1000000000000</v>
      </c>
      <c r="CB717" s="182">
        <f ca="1">IF($D717&lt;&gt;"Serviço",0,IF(OR(AND(AUTOEVENTO="Manual",$M717=1),$M717&gt;(ROW(PLE.lastrow)-ROW(PLE.firstrow))),0,IF(OFFSET(PLE!$G$14,$M717,CB$13)="",10^12,OFFSET(PLE!$G$14,$M717,CB$13))))</f>
        <v>1000000000000</v>
      </c>
      <c r="CC717" s="182">
        <f ca="1">IF($D717&lt;&gt;"Serviço",0,IF(OR(AND(AUTOEVENTO="Manual",$M717=1),$M717&gt;(ROW(PLE.lastrow)-ROW(PLE.firstrow))),0,IF(OFFSET(PLE!$G$14,$M717,CC$13)="",10^12,OFFSET(PLE!$G$14,$M717,CC$13))))</f>
        <v>1000000000000</v>
      </c>
      <c r="CD717" s="182">
        <f ca="1">IF($D717&lt;&gt;"Serviço",0,IF(OR(AND(AUTOEVENTO="Manual",$M717=1),$M717&gt;(ROW(PLE.lastrow)-ROW(PLE.firstrow))),0,IF(OFFSET(PLE!$G$14,$M717,CD$13)="",10^12,OFFSET(PLE!$G$14,$M717,CD$13))))</f>
        <v>1000000000000</v>
      </c>
      <c r="CE717" s="182">
        <f ca="1">IF($D717&lt;&gt;"Serviço",0,IF(OR(AND(AUTOEVENTO="Manual",$M717=1),$M717&gt;(ROW(PLE.lastrow)-ROW(PLE.firstrow))),0,IF(OFFSET(PLE!$G$14,$M717,CE$13)="",10^12,OFFSET(PLE!$G$14,$M717,CE$13))))</f>
        <v>1000000000000</v>
      </c>
      <c r="CF717" s="182">
        <f ca="1">IF($D717&lt;&gt;"Serviço",0,IF(OR(AND(AUTOEVENTO="Manual",$M717=1),$M717&gt;(ROW(PLE.lastrow)-ROW(PLE.firstrow))),0,IF(OFFSET(PLE!$G$14,$M717,CF$13)="",10^12,OFFSET(PLE!$G$14,$M717,CF$13))))</f>
        <v>1000000000000</v>
      </c>
      <c r="CG717" s="182">
        <f ca="1">IF($D717&lt;&gt;"Serviço",0,IF(OR(AND(AUTOEVENTO="Manual",$M717=1),$M717&gt;(ROW(PLE.lastrow)-ROW(PLE.firstrow))),0,IF(OFFSET(PLE!$G$14,$M717,CG$13)="",10^12,OFFSET(PLE!$G$14,$M717,CG$13))))</f>
        <v>1000000000000</v>
      </c>
      <c r="CH717" s="182">
        <f ca="1">IF($D717&lt;&gt;"Serviço",0,IF(OR(AND(AUTOEVENTO="Manual",$M717=1),$M717&gt;(ROW(PLE.lastrow)-ROW(PLE.firstrow))),0,IF(OFFSET(PLE!$G$14,$M717,CH$13)="",10^12,OFFSET(PLE!$G$14,$M717,CH$13))))</f>
        <v>1000000000000</v>
      </c>
      <c r="CI717" s="182">
        <f ca="1">IF($D717&lt;&gt;"Serviço",0,IF(OR(AND(AUTOEVENTO="Manual",$M717=1),$M717&gt;(ROW(PLE.lastrow)-ROW(PLE.firstrow))),0,IF(OFFSET(PLE!$G$14,$M717,CI$13)="",10^12,OFFSET(PLE!$G$14,$M717,CI$13))))</f>
        <v>1000000000000</v>
      </c>
      <c r="CJ717" s="182">
        <f ca="1">IF($D717&lt;&gt;"Serviço",0,IF(OR(AND(AUTOEVENTO="Manual",$M717=1),$M717&gt;(ROW(PLE.lastrow)-ROW(PLE.firstrow))),0,IF(OFFSET(PLE!$G$14,$M717,CJ$13)="",10^12,OFFSET(PLE!$G$14,$M717,CJ$13))))</f>
        <v>1000000000000</v>
      </c>
      <c r="CK717" s="182">
        <f ca="1">IF($D717&lt;&gt;"Serviço",0,IF(OR(AND(AUTOEVENTO="Manual",$M717=1),$M717&gt;(ROW(PLE.lastrow)-ROW(PLE.firstrow))),0,IF(OFFSET(PLE!$G$14,$M717,CK$13)="",10^12,OFFSET(PLE!$G$14,$M717,CK$13))))</f>
        <v>1000000000000</v>
      </c>
      <c r="CL717" s="182">
        <f ca="1">IF($D717&lt;&gt;"Serviço",0,IF(OR(AND(AUTOEVENTO="Manual",$M717=1),$M717&gt;(ROW(PLE.lastrow)-ROW(PLE.firstrow))),0,IF(OFFSET(PLE!$G$14,$M717,CL$13)="",10^12,OFFSET(PLE!$G$14,$M717,CL$13))))</f>
        <v>1000000000000</v>
      </c>
      <c r="CM717" s="182">
        <f ca="1">IF($D717&lt;&gt;"Serviço",0,IF(OR(AND(AUTOEVENTO="Manual",$M717=1),$M717&gt;(ROW(PLE.lastrow)-ROW(PLE.firstrow))),0,IF(OFFSET(PLE!$G$14,$M717,CM$13)="",10^12,OFFSET(PLE!$G$14,$M717,CM$13))))</f>
        <v>1000000000000</v>
      </c>
    </row>
    <row r="718" spans="1:91" ht="51" x14ac:dyDescent="0.2">
      <c r="A718" s="7" t="str">
        <f t="shared" ca="1" si="20"/>
        <v>700</v>
      </c>
      <c r="B718" s="7" t="str">
        <f ca="1">OFFSET(ORÇAMENTO!C$15,ROW(B718)-ROW(B$15),0)</f>
        <v>S</v>
      </c>
      <c r="C718" s="7" t="str">
        <f ca="1">OFFSET(ORÇAMENTO!L$15,ROW(C718)-ROW(C$15),0)</f>
        <v/>
      </c>
      <c r="D718" s="118" t="str">
        <f ca="1">OFFSET(ORÇAMENTO!N$15,ROW(D718)-ROW(D$15),0)</f>
        <v>Serviço</v>
      </c>
      <c r="E718" s="119" t="str">
        <f ca="1">OFFSET(ORÇAMENTO!O$15,ROW(E718)-ROW(E$15),0)</f>
        <v>-</v>
      </c>
      <c r="F718" s="172" t="str">
        <f ca="1">OFFSET(ORÇAMENTO!R$15,ROW(F718)-ROW(F$15),0)</f>
        <v>(abra o arquivo 'Referência 06-2024.xlsm)</v>
      </c>
      <c r="G718" s="173" t="str">
        <f ca="1">IF($D718&lt;&gt;"Serviço","",OFFSET(ORÇAMENTO!S$15,ROW(G718)-ROW(G$15),0))</f>
        <v>-</v>
      </c>
      <c r="H718" s="124">
        <f ca="1">IF($D718&lt;&gt;"Serviço",0,IF(ACOMPANHAMENTO="BM",ROUND(OFFSET(ORÇAMENTO!AJ$15,ROW(H718)-ROW(H$15),0),15-13*ORÇAMENTO!$AF$7),SUMPRODUCT(($Q$12:$AI$12&lt;&gt;"")*ROUND($Q718:$AI718,15-13*ORÇAMENTO!$AF$7))))</f>
        <v>330.6</v>
      </c>
      <c r="I718" s="561" t="s">
        <v>1107</v>
      </c>
      <c r="K718" s="174"/>
      <c r="L718" s="175" t="s">
        <v>255</v>
      </c>
      <c r="M718" s="176">
        <f ca="1">IF($D718&lt;&gt;"Serviço","",IF(AUTOEVENTO="manual",$A718,IF(ISERROR(MATCH($A718,$A$15:OFFSET($A718,-1,0),0)),MAX($M$15:OFFSET(M718,-1,0))+1,INDEX($M$15:OFFSET(M718,-1,0),MATCH($A718,$A$15:OFFSET($A718,-1,0),0)))))</f>
        <v>80</v>
      </c>
      <c r="N718" s="177" t="str">
        <f ca="1">IF($D718&lt;&gt;"Serviço","",IF(AUTOEVENTO="Manual",IF($A718=0,"&lt;-- defina o número do agrupador",OFFSET(EVENTOS!$D$14,$A718,0)),OFFSET($F$15,$A718,0)))</f>
        <v>MURO DE FECHAMENTO - REVESTIMENTO</v>
      </c>
      <c r="O718" s="178"/>
      <c r="Q718" s="178">
        <v>330.6</v>
      </c>
      <c r="R718" s="179"/>
      <c r="S718" s="179"/>
      <c r="T718" s="179"/>
      <c r="U718" s="179"/>
      <c r="V718" s="179"/>
      <c r="W718" s="179"/>
      <c r="X718" s="179"/>
      <c r="Y718" s="179"/>
      <c r="Z718" s="180"/>
      <c r="AA718" s="179"/>
      <c r="AB718" s="179"/>
      <c r="AC718" s="179"/>
      <c r="AD718" s="179"/>
      <c r="AE718" s="179"/>
      <c r="AF718" s="179"/>
      <c r="AG718" s="179"/>
      <c r="AH718" s="180"/>
      <c r="AJ718" s="544">
        <f ca="1">IF(AND($D718="Serviço",AJ$12&lt;&gt;0,$H718&gt;0,OR(AUTOEVENTO&lt;&gt;"manual",$M718&lt;&gt;1)),
IF(Import.TipoArredondamento&lt;&gt;"TransfereGOV",
ROUND(OFFSET($P718,0,AJ$13),15-13*ORÇAMENTO!$AF$7)/$H718*OFFSET(ORÇAMENTO!$X$15,ROW(AJ718)-ROW(AJ$15),0),
ROUND(ROUND(OFFSET($P718,0,AJ$13),15-13*ORÇAMENTO!$AF$7)*OFFSET(ORÇAMENTO!$W$15,ROW(AJ718)-ROW(AJ$15),0),15-13*ORÇAMENTO!$AF$11)),0)</f>
        <v>0</v>
      </c>
      <c r="AK718" s="545">
        <f ca="1">IF(AND($D718="Serviço",AK$12&lt;&gt;0,$H718&gt;0,OR(AUTOEVENTO&lt;&gt;"manual",$M718&lt;&gt;1)),
IF(Import.TipoArredondamento&lt;&gt;"TransfereGOV",
ROUND(OFFSET($P718,0,AK$13),15-13*ORÇAMENTO!$AF$7)/$H718*OFFSET(ORÇAMENTO!$X$15,ROW(AK718)-ROW(AK$15),0),
ROUND(ROUND(OFFSET($P718,0,AK$13),15-13*ORÇAMENTO!$AF$7)*OFFSET(ORÇAMENTO!$W$15,ROW(AK718)-ROW(AK$15),0),15-13*ORÇAMENTO!$AF$11)),0)</f>
        <v>0</v>
      </c>
      <c r="AL718" s="545">
        <f ca="1">IF(AND($D718="Serviço",AL$12&lt;&gt;0,$H718&gt;0,OR(AUTOEVENTO&lt;&gt;"manual",$M718&lt;&gt;1)),
IF(Import.TipoArredondamento&lt;&gt;"TransfereGOV",
ROUND(OFFSET($P718,0,AL$13),15-13*ORÇAMENTO!$AF$7)/$H718*OFFSET(ORÇAMENTO!$X$15,ROW(AL718)-ROW(AL$15),0),
ROUND(ROUND(OFFSET($P718,0,AL$13),15-13*ORÇAMENTO!$AF$7)*OFFSET(ORÇAMENTO!$W$15,ROW(AL718)-ROW(AL$15),0),15-13*ORÇAMENTO!$AF$11)),0)</f>
        <v>0</v>
      </c>
      <c r="AM718" s="545">
        <f ca="1">IF(AND($D718="Serviço",AM$12&lt;&gt;0,$H718&gt;0,OR(AUTOEVENTO&lt;&gt;"manual",$M718&lt;&gt;1)),
IF(Import.TipoArredondamento&lt;&gt;"TransfereGOV",
ROUND(OFFSET($P718,0,AM$13),15-13*ORÇAMENTO!$AF$7)/$H718*OFFSET(ORÇAMENTO!$X$15,ROW(AM718)-ROW(AM$15),0),
ROUND(ROUND(OFFSET($P718,0,AM$13),15-13*ORÇAMENTO!$AF$7)*OFFSET(ORÇAMENTO!$W$15,ROW(AM718)-ROW(AM$15),0),15-13*ORÇAMENTO!$AF$11)),0)</f>
        <v>0</v>
      </c>
      <c r="AN718" s="545">
        <f ca="1">IF(AND($D718="Serviço",AN$12&lt;&gt;0,$H718&gt;0,OR(AUTOEVENTO&lt;&gt;"manual",$M718&lt;&gt;1)),
IF(Import.TipoArredondamento&lt;&gt;"TransfereGOV",
ROUND(OFFSET($P718,0,AN$13),15-13*ORÇAMENTO!$AF$7)/$H718*OFFSET(ORÇAMENTO!$X$15,ROW(AN718)-ROW(AN$15),0),
ROUND(ROUND(OFFSET($P718,0,AN$13),15-13*ORÇAMENTO!$AF$7)*OFFSET(ORÇAMENTO!$W$15,ROW(AN718)-ROW(AN$15),0),15-13*ORÇAMENTO!$AF$11)),0)</f>
        <v>0</v>
      </c>
      <c r="AO718" s="545">
        <f ca="1">IF(AND($D718="Serviço",AO$12&lt;&gt;0,$H718&gt;0,OR(AUTOEVENTO&lt;&gt;"manual",$M718&lt;&gt;1)),
IF(Import.TipoArredondamento&lt;&gt;"TransfereGOV",
ROUND(OFFSET($P718,0,AO$13),15-13*ORÇAMENTO!$AF$7)/$H718*OFFSET(ORÇAMENTO!$X$15,ROW(AO718)-ROW(AO$15),0),
ROUND(ROUND(OFFSET($P718,0,AO$13),15-13*ORÇAMENTO!$AF$7)*OFFSET(ORÇAMENTO!$W$15,ROW(AO718)-ROW(AO$15),0),15-13*ORÇAMENTO!$AF$11)),0)</f>
        <v>0</v>
      </c>
      <c r="AP718" s="545">
        <f ca="1">IF(AND($D718="Serviço",AP$12&lt;&gt;0,$H718&gt;0,OR(AUTOEVENTO&lt;&gt;"manual",$M718&lt;&gt;1)),
IF(Import.TipoArredondamento&lt;&gt;"TransfereGOV",
ROUND(OFFSET($P718,0,AP$13),15-13*ORÇAMENTO!$AF$7)/$H718*OFFSET(ORÇAMENTO!$X$15,ROW(AP718)-ROW(AP$15),0),
ROUND(ROUND(OFFSET($P718,0,AP$13),15-13*ORÇAMENTO!$AF$7)*OFFSET(ORÇAMENTO!$W$15,ROW(AP718)-ROW(AP$15),0),15-13*ORÇAMENTO!$AF$11)),0)</f>
        <v>0</v>
      </c>
      <c r="AQ718" s="545">
        <f ca="1">IF(AND($D718="Serviço",AQ$12&lt;&gt;0,$H718&gt;0,OR(AUTOEVENTO&lt;&gt;"manual",$M718&lt;&gt;1)),
IF(Import.TipoArredondamento&lt;&gt;"TransfereGOV",
ROUND(OFFSET($P718,0,AQ$13),15-13*ORÇAMENTO!$AF$7)/$H718*OFFSET(ORÇAMENTO!$X$15,ROW(AQ718)-ROW(AQ$15),0),
ROUND(ROUND(OFFSET($P718,0,AQ$13),15-13*ORÇAMENTO!$AF$7)*OFFSET(ORÇAMENTO!$W$15,ROW(AQ718)-ROW(AQ$15),0),15-13*ORÇAMENTO!$AF$11)),0)</f>
        <v>0</v>
      </c>
      <c r="AR718" s="545">
        <f ca="1">IF(AND($D718="Serviço",AR$12&lt;&gt;0,$H718&gt;0,OR(AUTOEVENTO&lt;&gt;"manual",$M718&lt;&gt;1)),
IF(Import.TipoArredondamento&lt;&gt;"TransfereGOV",
ROUND(OFFSET($P718,0,AR$13),15-13*ORÇAMENTO!$AF$7)/$H718*OFFSET(ORÇAMENTO!$X$15,ROW(AR718)-ROW(AR$15),0),
ROUND(ROUND(OFFSET($P718,0,AR$13),15-13*ORÇAMENTO!$AF$7)*OFFSET(ORÇAMENTO!$W$15,ROW(AR718)-ROW(AR$15),0),15-13*ORÇAMENTO!$AF$11)),0)</f>
        <v>0</v>
      </c>
      <c r="AS718" s="546">
        <f ca="1">IF(AND($D718="Serviço",AS$12&lt;&gt;0,$H718&gt;0,OR(AUTOEVENTO&lt;&gt;"manual",$M718&lt;&gt;1)),
IF(Import.TipoArredondamento&lt;&gt;"TransfereGOV",
ROUND(OFFSET($P718,0,AS$13),15-13*ORÇAMENTO!$AF$7)/$H718*OFFSET(ORÇAMENTO!$X$15,ROW(AS718)-ROW(AS$15),0),
ROUND(ROUND(OFFSET($P718,0,AS$13),15-13*ORÇAMENTO!$AF$7)*OFFSET(ORÇAMENTO!$W$15,ROW(AS718)-ROW(AS$15),0),15-13*ORÇAMENTO!$AF$11)),0)</f>
        <v>0</v>
      </c>
      <c r="AT718" s="545">
        <f ca="1">IF(AND($D718="Serviço",AT$12&lt;&gt;0,$H718&gt;0,OR(AUTOEVENTO&lt;&gt;"manual",$M718&lt;&gt;1)),
IF(Import.TipoArredondamento&lt;&gt;"TransfereGOV",
ROUND(OFFSET($P718,0,AT$13),15-13*ORÇAMENTO!$AF$7)/$H718*OFFSET(ORÇAMENTO!$X$15,ROW(AT718)-ROW(AT$15),0),
ROUND(ROUND(OFFSET($P718,0,AT$13),15-13*ORÇAMENTO!$AF$7)*OFFSET(ORÇAMENTO!$W$15,ROW(AT718)-ROW(AT$15),0),15-13*ORÇAMENTO!$AF$11)),0)</f>
        <v>0</v>
      </c>
      <c r="AU718" s="545">
        <f ca="1">IF(AND($D718="Serviço",AU$12&lt;&gt;0,$H718&gt;0,OR(AUTOEVENTO&lt;&gt;"manual",$M718&lt;&gt;1)),
IF(Import.TipoArredondamento&lt;&gt;"TransfereGOV",
ROUND(OFFSET($P718,0,AU$13),15-13*ORÇAMENTO!$AF$7)/$H718*OFFSET(ORÇAMENTO!$X$15,ROW(AU718)-ROW(AU$15),0),
ROUND(ROUND(OFFSET($P718,0,AU$13),15-13*ORÇAMENTO!$AF$7)*OFFSET(ORÇAMENTO!$W$15,ROW(AU718)-ROW(AU$15),0),15-13*ORÇAMENTO!$AF$11)),0)</f>
        <v>0</v>
      </c>
      <c r="AV718" s="545">
        <f ca="1">IF(AND($D718="Serviço",AV$12&lt;&gt;0,$H718&gt;0,OR(AUTOEVENTO&lt;&gt;"manual",$M718&lt;&gt;1)),
IF(Import.TipoArredondamento&lt;&gt;"TransfereGOV",
ROUND(OFFSET($P718,0,AV$13),15-13*ORÇAMENTO!$AF$7)/$H718*OFFSET(ORÇAMENTO!$X$15,ROW(AV718)-ROW(AV$15),0),
ROUND(ROUND(OFFSET($P718,0,AV$13),15-13*ORÇAMENTO!$AF$7)*OFFSET(ORÇAMENTO!$W$15,ROW(AV718)-ROW(AV$15),0),15-13*ORÇAMENTO!$AF$11)),0)</f>
        <v>0</v>
      </c>
      <c r="AW718" s="545">
        <f ca="1">IF(AND($D718="Serviço",AW$12&lt;&gt;0,$H718&gt;0,OR(AUTOEVENTO&lt;&gt;"manual",$M718&lt;&gt;1)),
IF(Import.TipoArredondamento&lt;&gt;"TransfereGOV",
ROUND(OFFSET($P718,0,AW$13),15-13*ORÇAMENTO!$AF$7)/$H718*OFFSET(ORÇAMENTO!$X$15,ROW(AW718)-ROW(AW$15),0),
ROUND(ROUND(OFFSET($P718,0,AW$13),15-13*ORÇAMENTO!$AF$7)*OFFSET(ORÇAMENTO!$W$15,ROW(AW718)-ROW(AW$15),0),15-13*ORÇAMENTO!$AF$11)),0)</f>
        <v>0</v>
      </c>
      <c r="AX718" s="545">
        <f ca="1">IF(AND($D718="Serviço",AX$12&lt;&gt;0,$H718&gt;0,OR(AUTOEVENTO&lt;&gt;"manual",$M718&lt;&gt;1)),
IF(Import.TipoArredondamento&lt;&gt;"TransfereGOV",
ROUND(OFFSET($P718,0,AX$13),15-13*ORÇAMENTO!$AF$7)/$H718*OFFSET(ORÇAMENTO!$X$15,ROW(AX718)-ROW(AX$15),0),
ROUND(ROUND(OFFSET($P718,0,AX$13),15-13*ORÇAMENTO!$AF$7)*OFFSET(ORÇAMENTO!$W$15,ROW(AX718)-ROW(AX$15),0),15-13*ORÇAMENTO!$AF$11)),0)</f>
        <v>0</v>
      </c>
      <c r="AY718" s="545">
        <f ca="1">IF(AND($D718="Serviço",AY$12&lt;&gt;0,$H718&gt;0,OR(AUTOEVENTO&lt;&gt;"manual",$M718&lt;&gt;1)),
IF(Import.TipoArredondamento&lt;&gt;"TransfereGOV",
ROUND(OFFSET($P718,0,AY$13),15-13*ORÇAMENTO!$AF$7)/$H718*OFFSET(ORÇAMENTO!$X$15,ROW(AY718)-ROW(AY$15),0),
ROUND(ROUND(OFFSET($P718,0,AY$13),15-13*ORÇAMENTO!$AF$7)*OFFSET(ORÇAMENTO!$W$15,ROW(AY718)-ROW(AY$15),0),15-13*ORÇAMENTO!$AF$11)),0)</f>
        <v>0</v>
      </c>
      <c r="AZ718" s="545">
        <f ca="1">IF(AND($D718="Serviço",AZ$12&lt;&gt;0,$H718&gt;0,OR(AUTOEVENTO&lt;&gt;"manual",$M718&lt;&gt;1)),
IF(Import.TipoArredondamento&lt;&gt;"TransfereGOV",
ROUND(OFFSET($P718,0,AZ$13),15-13*ORÇAMENTO!$AF$7)/$H718*OFFSET(ORÇAMENTO!$X$15,ROW(AZ718)-ROW(AZ$15),0),
ROUND(ROUND(OFFSET($P718,0,AZ$13),15-13*ORÇAMENTO!$AF$7)*OFFSET(ORÇAMENTO!$W$15,ROW(AZ718)-ROW(AZ$15),0),15-13*ORÇAMENTO!$AF$11)),0)</f>
        <v>0</v>
      </c>
      <c r="BA718" s="546">
        <f ca="1">IF(AND($D718="Serviço",BA$12&lt;&gt;0,$H718&gt;0,OR(AUTOEVENTO&lt;&gt;"manual",$M718&lt;&gt;1)),
IF(Import.TipoArredondamento&lt;&gt;"TransfereGOV",
ROUND(OFFSET($P718,0,BA$13),15-13*ORÇAMENTO!$AF$7)/$H718*OFFSET(ORÇAMENTO!$X$15,ROW(BA718)-ROW(BA$15),0),
ROUND(ROUND(OFFSET($P718,0,BA$13),15-13*ORÇAMENTO!$AF$7)*OFFSET(ORÇAMENTO!$W$15,ROW(BA718)-ROW(BA$15),0),15-13*ORÇAMENTO!$AF$11)),0)</f>
        <v>0</v>
      </c>
      <c r="BC718" s="181">
        <f ca="1">IF($D718&lt;&gt;"Serviço",0,IF(AND(AUTOEVENTO="Manual",$M718=1),0,IF(OFFSET(CRONOPLE!$F$14,$M718,BC$13)="",10^12,OFFSET(CRONOPLE!$F$14,$M718,BC$13))))</f>
        <v>12</v>
      </c>
      <c r="BD718" s="181">
        <f ca="1">IF($D718&lt;&gt;"Serviço",0,IF(AND(AUTOEVENTO="Manual",$M718=1),0,IF(OFFSET(CRONOPLE!$F$14,$M718,BD$13)="",10^12,OFFSET(CRONOPLE!$F$14,$M718,BD$13))))</f>
        <v>1000000000000</v>
      </c>
      <c r="BE718" s="181">
        <f ca="1">IF($D718&lt;&gt;"Serviço",0,IF(AND(AUTOEVENTO="Manual",$M718=1),0,IF(OFFSET(CRONOPLE!$F$14,$M718,BE$13)="",10^12,OFFSET(CRONOPLE!$F$14,$M718,BE$13))))</f>
        <v>1000000000000</v>
      </c>
      <c r="BF718" s="181">
        <f ca="1">IF($D718&lt;&gt;"Serviço",0,IF(AND(AUTOEVENTO="Manual",$M718=1),0,IF(OFFSET(CRONOPLE!$F$14,$M718,BF$13)="",10^12,OFFSET(CRONOPLE!$F$14,$M718,BF$13))))</f>
        <v>1000000000000</v>
      </c>
      <c r="BG718" s="181">
        <f ca="1">IF($D718&lt;&gt;"Serviço",0,IF(AND(AUTOEVENTO="Manual",$M718=1),0,IF(OFFSET(CRONOPLE!$F$14,$M718,BG$13)="",10^12,OFFSET(CRONOPLE!$F$14,$M718,BG$13))))</f>
        <v>1000000000000</v>
      </c>
      <c r="BH718" s="181">
        <f ca="1">IF($D718&lt;&gt;"Serviço",0,IF(AND(AUTOEVENTO="Manual",$M718=1),0,IF(OFFSET(CRONOPLE!$F$14,$M718,BH$13)="",10^12,OFFSET(CRONOPLE!$F$14,$M718,BH$13))))</f>
        <v>1000000000000</v>
      </c>
      <c r="BI718" s="181">
        <f ca="1">IF($D718&lt;&gt;"Serviço",0,IF(AND(AUTOEVENTO="Manual",$M718=1),0,IF(OFFSET(CRONOPLE!$F$14,$M718,BI$13)="",10^12,OFFSET(CRONOPLE!$F$14,$M718,BI$13))))</f>
        <v>1000000000000</v>
      </c>
      <c r="BJ718" s="181">
        <f ca="1">IF($D718&lt;&gt;"Serviço",0,IF(AND(AUTOEVENTO="Manual",$M718=1),0,IF(OFFSET(CRONOPLE!$F$14,$M718,BJ$13)="",10^12,OFFSET(CRONOPLE!$F$14,$M718,BJ$13))))</f>
        <v>1000000000000</v>
      </c>
      <c r="BK718" s="181">
        <f ca="1">IF($D718&lt;&gt;"Serviço",0,IF(AND(AUTOEVENTO="Manual",$M718=1),0,IF(OFFSET(CRONOPLE!$F$14,$M718,BK$13)="",10^12,OFFSET(CRONOPLE!$F$14,$M718,BK$13))))</f>
        <v>1000000000000</v>
      </c>
      <c r="BL718" s="181">
        <f ca="1">IF($D718&lt;&gt;"Serviço",0,IF(AND(AUTOEVENTO="Manual",$M718=1),0,IF(OFFSET(CRONOPLE!$F$14,$M718,BL$13)="",10^12,OFFSET(CRONOPLE!$F$14,$M718,BL$13))))</f>
        <v>1000000000000</v>
      </c>
      <c r="BM718" s="181">
        <f ca="1">IF($D718&lt;&gt;"Serviço",0,IF(AND(AUTOEVENTO="Manual",$M718=1),0,IF(OFFSET(CRONOPLE!$F$14,$M718,BM$13)="",10^12,OFFSET(CRONOPLE!$F$14,$M718,BM$13))))</f>
        <v>1000000000000</v>
      </c>
      <c r="BN718" s="181">
        <f ca="1">IF($D718&lt;&gt;"Serviço",0,IF(AND(AUTOEVENTO="Manual",$M718=1),0,IF(OFFSET(CRONOPLE!$F$14,$M718,BN$13)="",10^12,OFFSET(CRONOPLE!$F$14,$M718,BN$13))))</f>
        <v>1000000000000</v>
      </c>
      <c r="BO718" s="181">
        <f ca="1">IF($D718&lt;&gt;"Serviço",0,IF(AND(AUTOEVENTO="Manual",$M718=1),0,IF(OFFSET(CRONOPLE!$F$14,$M718,BO$13)="",10^12,OFFSET(CRONOPLE!$F$14,$M718,BO$13))))</f>
        <v>1000000000000</v>
      </c>
      <c r="BP718" s="181">
        <f ca="1">IF($D718&lt;&gt;"Serviço",0,IF(AND(AUTOEVENTO="Manual",$M718=1),0,IF(OFFSET(CRONOPLE!$F$14,$M718,BP$13)="",10^12,OFFSET(CRONOPLE!$F$14,$M718,BP$13))))</f>
        <v>1000000000000</v>
      </c>
      <c r="BQ718" s="181">
        <f ca="1">IF($D718&lt;&gt;"Serviço",0,IF(AND(AUTOEVENTO="Manual",$M718=1),0,IF(OFFSET(CRONOPLE!$F$14,$M718,BQ$13)="",10^12,OFFSET(CRONOPLE!$F$14,$M718,BQ$13))))</f>
        <v>1000000000000</v>
      </c>
      <c r="BR718" s="181">
        <f ca="1">IF($D718&lt;&gt;"Serviço",0,IF(AND(AUTOEVENTO="Manual",$M718=1),0,IF(OFFSET(CRONOPLE!$F$14,$M718,BR$13)="",10^12,OFFSET(CRONOPLE!$F$14,$M718,BR$13))))</f>
        <v>1000000000000</v>
      </c>
      <c r="BS718" s="181">
        <f ca="1">IF($D718&lt;&gt;"Serviço",0,IF(AND(AUTOEVENTO="Manual",$M718=1),0,IF(OFFSET(CRONOPLE!$F$14,$M718,BS$13)="",10^12,OFFSET(CRONOPLE!$F$14,$M718,BS$13))))</f>
        <v>1000000000000</v>
      </c>
      <c r="BT718" s="181">
        <f ca="1">IF($D718&lt;&gt;"Serviço",0,IF(AND(AUTOEVENTO="Manual",$M718=1),0,IF(OFFSET(CRONOPLE!$F$14,$M718,BT$13)="",10^12,OFFSET(CRONOPLE!$F$14,$M718,BT$13))))</f>
        <v>1000000000000</v>
      </c>
      <c r="BV718" s="182">
        <f ca="1">IF($D718&lt;&gt;"Serviço",0,IF(OR(AND(AUTOEVENTO="Manual",$M718=1),$M718&gt;(ROW(PLE.lastrow)-ROW(PLE.firstrow))),0,IF(OFFSET(PLE!$G$14,$M718,BV$13)="",10^12,OFFSET(PLE!$G$14,$M718,BV$13))))</f>
        <v>1000000000000</v>
      </c>
      <c r="BW718" s="182">
        <f ca="1">IF($D718&lt;&gt;"Serviço",0,IF(OR(AND(AUTOEVENTO="Manual",$M718=1),$M718&gt;(ROW(PLE.lastrow)-ROW(PLE.firstrow))),0,IF(OFFSET(PLE!$G$14,$M718,BW$13)="",10^12,OFFSET(PLE!$G$14,$M718,BW$13))))</f>
        <v>1000000000000</v>
      </c>
      <c r="BX718" s="182">
        <f ca="1">IF($D718&lt;&gt;"Serviço",0,IF(OR(AND(AUTOEVENTO="Manual",$M718=1),$M718&gt;(ROW(PLE.lastrow)-ROW(PLE.firstrow))),0,IF(OFFSET(PLE!$G$14,$M718,BX$13)="",10^12,OFFSET(PLE!$G$14,$M718,BX$13))))</f>
        <v>1000000000000</v>
      </c>
      <c r="BY718" s="182">
        <f ca="1">IF($D718&lt;&gt;"Serviço",0,IF(OR(AND(AUTOEVENTO="Manual",$M718=1),$M718&gt;(ROW(PLE.lastrow)-ROW(PLE.firstrow))),0,IF(OFFSET(PLE!$G$14,$M718,BY$13)="",10^12,OFFSET(PLE!$G$14,$M718,BY$13))))</f>
        <v>1000000000000</v>
      </c>
      <c r="BZ718" s="182">
        <f ca="1">IF($D718&lt;&gt;"Serviço",0,IF(OR(AND(AUTOEVENTO="Manual",$M718=1),$M718&gt;(ROW(PLE.lastrow)-ROW(PLE.firstrow))),0,IF(OFFSET(PLE!$G$14,$M718,BZ$13)="",10^12,OFFSET(PLE!$G$14,$M718,BZ$13))))</f>
        <v>1000000000000</v>
      </c>
      <c r="CA718" s="182">
        <f ca="1">IF($D718&lt;&gt;"Serviço",0,IF(OR(AND(AUTOEVENTO="Manual",$M718=1),$M718&gt;(ROW(PLE.lastrow)-ROW(PLE.firstrow))),0,IF(OFFSET(PLE!$G$14,$M718,CA$13)="",10^12,OFFSET(PLE!$G$14,$M718,CA$13))))</f>
        <v>1000000000000</v>
      </c>
      <c r="CB718" s="182">
        <f ca="1">IF($D718&lt;&gt;"Serviço",0,IF(OR(AND(AUTOEVENTO="Manual",$M718=1),$M718&gt;(ROW(PLE.lastrow)-ROW(PLE.firstrow))),0,IF(OFFSET(PLE!$G$14,$M718,CB$13)="",10^12,OFFSET(PLE!$G$14,$M718,CB$13))))</f>
        <v>1000000000000</v>
      </c>
      <c r="CC718" s="182">
        <f ca="1">IF($D718&lt;&gt;"Serviço",0,IF(OR(AND(AUTOEVENTO="Manual",$M718=1),$M718&gt;(ROW(PLE.lastrow)-ROW(PLE.firstrow))),0,IF(OFFSET(PLE!$G$14,$M718,CC$13)="",10^12,OFFSET(PLE!$G$14,$M718,CC$13))))</f>
        <v>1000000000000</v>
      </c>
      <c r="CD718" s="182">
        <f ca="1">IF($D718&lt;&gt;"Serviço",0,IF(OR(AND(AUTOEVENTO="Manual",$M718=1),$M718&gt;(ROW(PLE.lastrow)-ROW(PLE.firstrow))),0,IF(OFFSET(PLE!$G$14,$M718,CD$13)="",10^12,OFFSET(PLE!$G$14,$M718,CD$13))))</f>
        <v>1000000000000</v>
      </c>
      <c r="CE718" s="182">
        <f ca="1">IF($D718&lt;&gt;"Serviço",0,IF(OR(AND(AUTOEVENTO="Manual",$M718=1),$M718&gt;(ROW(PLE.lastrow)-ROW(PLE.firstrow))),0,IF(OFFSET(PLE!$G$14,$M718,CE$13)="",10^12,OFFSET(PLE!$G$14,$M718,CE$13))))</f>
        <v>1000000000000</v>
      </c>
      <c r="CF718" s="182">
        <f ca="1">IF($D718&lt;&gt;"Serviço",0,IF(OR(AND(AUTOEVENTO="Manual",$M718=1),$M718&gt;(ROW(PLE.lastrow)-ROW(PLE.firstrow))),0,IF(OFFSET(PLE!$G$14,$M718,CF$13)="",10^12,OFFSET(PLE!$G$14,$M718,CF$13))))</f>
        <v>1000000000000</v>
      </c>
      <c r="CG718" s="182">
        <f ca="1">IF($D718&lt;&gt;"Serviço",0,IF(OR(AND(AUTOEVENTO="Manual",$M718=1),$M718&gt;(ROW(PLE.lastrow)-ROW(PLE.firstrow))),0,IF(OFFSET(PLE!$G$14,$M718,CG$13)="",10^12,OFFSET(PLE!$G$14,$M718,CG$13))))</f>
        <v>1000000000000</v>
      </c>
      <c r="CH718" s="182">
        <f ca="1">IF($D718&lt;&gt;"Serviço",0,IF(OR(AND(AUTOEVENTO="Manual",$M718=1),$M718&gt;(ROW(PLE.lastrow)-ROW(PLE.firstrow))),0,IF(OFFSET(PLE!$G$14,$M718,CH$13)="",10^12,OFFSET(PLE!$G$14,$M718,CH$13))))</f>
        <v>1000000000000</v>
      </c>
      <c r="CI718" s="182">
        <f ca="1">IF($D718&lt;&gt;"Serviço",0,IF(OR(AND(AUTOEVENTO="Manual",$M718=1),$M718&gt;(ROW(PLE.lastrow)-ROW(PLE.firstrow))),0,IF(OFFSET(PLE!$G$14,$M718,CI$13)="",10^12,OFFSET(PLE!$G$14,$M718,CI$13))))</f>
        <v>1000000000000</v>
      </c>
      <c r="CJ718" s="182">
        <f ca="1">IF($D718&lt;&gt;"Serviço",0,IF(OR(AND(AUTOEVENTO="Manual",$M718=1),$M718&gt;(ROW(PLE.lastrow)-ROW(PLE.firstrow))),0,IF(OFFSET(PLE!$G$14,$M718,CJ$13)="",10^12,OFFSET(PLE!$G$14,$M718,CJ$13))))</f>
        <v>1000000000000</v>
      </c>
      <c r="CK718" s="182">
        <f ca="1">IF($D718&lt;&gt;"Serviço",0,IF(OR(AND(AUTOEVENTO="Manual",$M718=1),$M718&gt;(ROW(PLE.lastrow)-ROW(PLE.firstrow))),0,IF(OFFSET(PLE!$G$14,$M718,CK$13)="",10^12,OFFSET(PLE!$G$14,$M718,CK$13))))</f>
        <v>1000000000000</v>
      </c>
      <c r="CL718" s="182">
        <f ca="1">IF($D718&lt;&gt;"Serviço",0,IF(OR(AND(AUTOEVENTO="Manual",$M718=1),$M718&gt;(ROW(PLE.lastrow)-ROW(PLE.firstrow))),0,IF(OFFSET(PLE!$G$14,$M718,CL$13)="",10^12,OFFSET(PLE!$G$14,$M718,CL$13))))</f>
        <v>1000000000000</v>
      </c>
      <c r="CM718" s="182">
        <f ca="1">IF($D718&lt;&gt;"Serviço",0,IF(OR(AND(AUTOEVENTO="Manual",$M718=1),$M718&gt;(ROW(PLE.lastrow)-ROW(PLE.firstrow))),0,IF(OFFSET(PLE!$G$14,$M718,CM$13)="",10^12,OFFSET(PLE!$G$14,$M718,CM$13))))</f>
        <v>1000000000000</v>
      </c>
    </row>
    <row r="719" spans="1:91" ht="51" x14ac:dyDescent="0.2">
      <c r="A719" s="7" t="str">
        <f t="shared" ca="1" si="20"/>
        <v>700</v>
      </c>
      <c r="B719" s="7" t="str">
        <f ca="1">OFFSET(ORÇAMENTO!C$15,ROW(B719)-ROW(B$15),0)</f>
        <v>S</v>
      </c>
      <c r="C719" s="7" t="str">
        <f ca="1">OFFSET(ORÇAMENTO!L$15,ROW(C719)-ROW(C$15),0)</f>
        <v/>
      </c>
      <c r="D719" s="118" t="str">
        <f ca="1">OFFSET(ORÇAMENTO!N$15,ROW(D719)-ROW(D$15),0)</f>
        <v>Serviço</v>
      </c>
      <c r="E719" s="119" t="str">
        <f ca="1">OFFSET(ORÇAMENTO!O$15,ROW(E719)-ROW(E$15),0)</f>
        <v>-</v>
      </c>
      <c r="F719" s="172" t="str">
        <f ca="1">OFFSET(ORÇAMENTO!R$15,ROW(F719)-ROW(F$15),0)</f>
        <v>(abra o arquivo 'Referência 06-2024.xlsm)</v>
      </c>
      <c r="G719" s="173" t="str">
        <f ca="1">IF($D719&lt;&gt;"Serviço","",OFFSET(ORÇAMENTO!S$15,ROW(G719)-ROW(G$15),0))</f>
        <v>-</v>
      </c>
      <c r="H719" s="124">
        <f ca="1">IF($D719&lt;&gt;"Serviço",0,IF(ACOMPANHAMENTO="BM",ROUND(OFFSET(ORÇAMENTO!AJ$15,ROW(H719)-ROW(H$15),0),15-13*ORÇAMENTO!$AF$7),SUMPRODUCT(($Q$12:$AI$12&lt;&gt;"")*ROUND($Q719:$AI719,15-13*ORÇAMENTO!$AF$7))))</f>
        <v>330.6</v>
      </c>
      <c r="I719" s="561" t="s">
        <v>1107</v>
      </c>
      <c r="K719" s="174"/>
      <c r="L719" s="175" t="s">
        <v>255</v>
      </c>
      <c r="M719" s="176">
        <f ca="1">IF($D719&lt;&gt;"Serviço","",IF(AUTOEVENTO="manual",$A719,IF(ISERROR(MATCH($A719,$A$15:OFFSET($A719,-1,0),0)),MAX($M$15:OFFSET(M719,-1,0))+1,INDEX($M$15:OFFSET(M719,-1,0),MATCH($A719,$A$15:OFFSET($A719,-1,0),0)))))</f>
        <v>80</v>
      </c>
      <c r="N719" s="177" t="str">
        <f ca="1">IF($D719&lt;&gt;"Serviço","",IF(AUTOEVENTO="Manual",IF($A719=0,"&lt;-- defina o número do agrupador",OFFSET(EVENTOS!$D$14,$A719,0)),OFFSET($F$15,$A719,0)))</f>
        <v>MURO DE FECHAMENTO - REVESTIMENTO</v>
      </c>
      <c r="O719" s="178"/>
      <c r="Q719" s="178">
        <v>330.6</v>
      </c>
      <c r="R719" s="179"/>
      <c r="S719" s="179"/>
      <c r="T719" s="179"/>
      <c r="U719" s="179"/>
      <c r="V719" s="179"/>
      <c r="W719" s="179"/>
      <c r="X719" s="179"/>
      <c r="Y719" s="179"/>
      <c r="Z719" s="180"/>
      <c r="AA719" s="179"/>
      <c r="AB719" s="179"/>
      <c r="AC719" s="179"/>
      <c r="AD719" s="179"/>
      <c r="AE719" s="179"/>
      <c r="AF719" s="179"/>
      <c r="AG719" s="179"/>
      <c r="AH719" s="180"/>
      <c r="AJ719" s="544">
        <f ca="1">IF(AND($D719="Serviço",AJ$12&lt;&gt;0,$H719&gt;0,OR(AUTOEVENTO&lt;&gt;"manual",$M719&lt;&gt;1)),
IF(Import.TipoArredondamento&lt;&gt;"TransfereGOV",
ROUND(OFFSET($P719,0,AJ$13),15-13*ORÇAMENTO!$AF$7)/$H719*OFFSET(ORÇAMENTO!$X$15,ROW(AJ719)-ROW(AJ$15),0),
ROUND(ROUND(OFFSET($P719,0,AJ$13),15-13*ORÇAMENTO!$AF$7)*OFFSET(ORÇAMENTO!$W$15,ROW(AJ719)-ROW(AJ$15),0),15-13*ORÇAMENTO!$AF$11)),0)</f>
        <v>0</v>
      </c>
      <c r="AK719" s="545">
        <f ca="1">IF(AND($D719="Serviço",AK$12&lt;&gt;0,$H719&gt;0,OR(AUTOEVENTO&lt;&gt;"manual",$M719&lt;&gt;1)),
IF(Import.TipoArredondamento&lt;&gt;"TransfereGOV",
ROUND(OFFSET($P719,0,AK$13),15-13*ORÇAMENTO!$AF$7)/$H719*OFFSET(ORÇAMENTO!$X$15,ROW(AK719)-ROW(AK$15),0),
ROUND(ROUND(OFFSET($P719,0,AK$13),15-13*ORÇAMENTO!$AF$7)*OFFSET(ORÇAMENTO!$W$15,ROW(AK719)-ROW(AK$15),0),15-13*ORÇAMENTO!$AF$11)),0)</f>
        <v>0</v>
      </c>
      <c r="AL719" s="545">
        <f ca="1">IF(AND($D719="Serviço",AL$12&lt;&gt;0,$H719&gt;0,OR(AUTOEVENTO&lt;&gt;"manual",$M719&lt;&gt;1)),
IF(Import.TipoArredondamento&lt;&gt;"TransfereGOV",
ROUND(OFFSET($P719,0,AL$13),15-13*ORÇAMENTO!$AF$7)/$H719*OFFSET(ORÇAMENTO!$X$15,ROW(AL719)-ROW(AL$15),0),
ROUND(ROUND(OFFSET($P719,0,AL$13),15-13*ORÇAMENTO!$AF$7)*OFFSET(ORÇAMENTO!$W$15,ROW(AL719)-ROW(AL$15),0),15-13*ORÇAMENTO!$AF$11)),0)</f>
        <v>0</v>
      </c>
      <c r="AM719" s="545">
        <f ca="1">IF(AND($D719="Serviço",AM$12&lt;&gt;0,$H719&gt;0,OR(AUTOEVENTO&lt;&gt;"manual",$M719&lt;&gt;1)),
IF(Import.TipoArredondamento&lt;&gt;"TransfereGOV",
ROUND(OFFSET($P719,0,AM$13),15-13*ORÇAMENTO!$AF$7)/$H719*OFFSET(ORÇAMENTO!$X$15,ROW(AM719)-ROW(AM$15),0),
ROUND(ROUND(OFFSET($P719,0,AM$13),15-13*ORÇAMENTO!$AF$7)*OFFSET(ORÇAMENTO!$W$15,ROW(AM719)-ROW(AM$15),0),15-13*ORÇAMENTO!$AF$11)),0)</f>
        <v>0</v>
      </c>
      <c r="AN719" s="545">
        <f ca="1">IF(AND($D719="Serviço",AN$12&lt;&gt;0,$H719&gt;0,OR(AUTOEVENTO&lt;&gt;"manual",$M719&lt;&gt;1)),
IF(Import.TipoArredondamento&lt;&gt;"TransfereGOV",
ROUND(OFFSET($P719,0,AN$13),15-13*ORÇAMENTO!$AF$7)/$H719*OFFSET(ORÇAMENTO!$X$15,ROW(AN719)-ROW(AN$15),0),
ROUND(ROUND(OFFSET($P719,0,AN$13),15-13*ORÇAMENTO!$AF$7)*OFFSET(ORÇAMENTO!$W$15,ROW(AN719)-ROW(AN$15),0),15-13*ORÇAMENTO!$AF$11)),0)</f>
        <v>0</v>
      </c>
      <c r="AO719" s="545">
        <f ca="1">IF(AND($D719="Serviço",AO$12&lt;&gt;0,$H719&gt;0,OR(AUTOEVENTO&lt;&gt;"manual",$M719&lt;&gt;1)),
IF(Import.TipoArredondamento&lt;&gt;"TransfereGOV",
ROUND(OFFSET($P719,0,AO$13),15-13*ORÇAMENTO!$AF$7)/$H719*OFFSET(ORÇAMENTO!$X$15,ROW(AO719)-ROW(AO$15),0),
ROUND(ROUND(OFFSET($P719,0,AO$13),15-13*ORÇAMENTO!$AF$7)*OFFSET(ORÇAMENTO!$W$15,ROW(AO719)-ROW(AO$15),0),15-13*ORÇAMENTO!$AF$11)),0)</f>
        <v>0</v>
      </c>
      <c r="AP719" s="545">
        <f ca="1">IF(AND($D719="Serviço",AP$12&lt;&gt;0,$H719&gt;0,OR(AUTOEVENTO&lt;&gt;"manual",$M719&lt;&gt;1)),
IF(Import.TipoArredondamento&lt;&gt;"TransfereGOV",
ROUND(OFFSET($P719,0,AP$13),15-13*ORÇAMENTO!$AF$7)/$H719*OFFSET(ORÇAMENTO!$X$15,ROW(AP719)-ROW(AP$15),0),
ROUND(ROUND(OFFSET($P719,0,AP$13),15-13*ORÇAMENTO!$AF$7)*OFFSET(ORÇAMENTO!$W$15,ROW(AP719)-ROW(AP$15),0),15-13*ORÇAMENTO!$AF$11)),0)</f>
        <v>0</v>
      </c>
      <c r="AQ719" s="545">
        <f ca="1">IF(AND($D719="Serviço",AQ$12&lt;&gt;0,$H719&gt;0,OR(AUTOEVENTO&lt;&gt;"manual",$M719&lt;&gt;1)),
IF(Import.TipoArredondamento&lt;&gt;"TransfereGOV",
ROUND(OFFSET($P719,0,AQ$13),15-13*ORÇAMENTO!$AF$7)/$H719*OFFSET(ORÇAMENTO!$X$15,ROW(AQ719)-ROW(AQ$15),0),
ROUND(ROUND(OFFSET($P719,0,AQ$13),15-13*ORÇAMENTO!$AF$7)*OFFSET(ORÇAMENTO!$W$15,ROW(AQ719)-ROW(AQ$15),0),15-13*ORÇAMENTO!$AF$11)),0)</f>
        <v>0</v>
      </c>
      <c r="AR719" s="545">
        <f ca="1">IF(AND($D719="Serviço",AR$12&lt;&gt;0,$H719&gt;0,OR(AUTOEVENTO&lt;&gt;"manual",$M719&lt;&gt;1)),
IF(Import.TipoArredondamento&lt;&gt;"TransfereGOV",
ROUND(OFFSET($P719,0,AR$13),15-13*ORÇAMENTO!$AF$7)/$H719*OFFSET(ORÇAMENTO!$X$15,ROW(AR719)-ROW(AR$15),0),
ROUND(ROUND(OFFSET($P719,0,AR$13),15-13*ORÇAMENTO!$AF$7)*OFFSET(ORÇAMENTO!$W$15,ROW(AR719)-ROW(AR$15),0),15-13*ORÇAMENTO!$AF$11)),0)</f>
        <v>0</v>
      </c>
      <c r="AS719" s="546">
        <f ca="1">IF(AND($D719="Serviço",AS$12&lt;&gt;0,$H719&gt;0,OR(AUTOEVENTO&lt;&gt;"manual",$M719&lt;&gt;1)),
IF(Import.TipoArredondamento&lt;&gt;"TransfereGOV",
ROUND(OFFSET($P719,0,AS$13),15-13*ORÇAMENTO!$AF$7)/$H719*OFFSET(ORÇAMENTO!$X$15,ROW(AS719)-ROW(AS$15),0),
ROUND(ROUND(OFFSET($P719,0,AS$13),15-13*ORÇAMENTO!$AF$7)*OFFSET(ORÇAMENTO!$W$15,ROW(AS719)-ROW(AS$15),0),15-13*ORÇAMENTO!$AF$11)),0)</f>
        <v>0</v>
      </c>
      <c r="AT719" s="545">
        <f ca="1">IF(AND($D719="Serviço",AT$12&lt;&gt;0,$H719&gt;0,OR(AUTOEVENTO&lt;&gt;"manual",$M719&lt;&gt;1)),
IF(Import.TipoArredondamento&lt;&gt;"TransfereGOV",
ROUND(OFFSET($P719,0,AT$13),15-13*ORÇAMENTO!$AF$7)/$H719*OFFSET(ORÇAMENTO!$X$15,ROW(AT719)-ROW(AT$15),0),
ROUND(ROUND(OFFSET($P719,0,AT$13),15-13*ORÇAMENTO!$AF$7)*OFFSET(ORÇAMENTO!$W$15,ROW(AT719)-ROW(AT$15),0),15-13*ORÇAMENTO!$AF$11)),0)</f>
        <v>0</v>
      </c>
      <c r="AU719" s="545">
        <f ca="1">IF(AND($D719="Serviço",AU$12&lt;&gt;0,$H719&gt;0,OR(AUTOEVENTO&lt;&gt;"manual",$M719&lt;&gt;1)),
IF(Import.TipoArredondamento&lt;&gt;"TransfereGOV",
ROUND(OFFSET($P719,0,AU$13),15-13*ORÇAMENTO!$AF$7)/$H719*OFFSET(ORÇAMENTO!$X$15,ROW(AU719)-ROW(AU$15),0),
ROUND(ROUND(OFFSET($P719,0,AU$13),15-13*ORÇAMENTO!$AF$7)*OFFSET(ORÇAMENTO!$W$15,ROW(AU719)-ROW(AU$15),0),15-13*ORÇAMENTO!$AF$11)),0)</f>
        <v>0</v>
      </c>
      <c r="AV719" s="545">
        <f ca="1">IF(AND($D719="Serviço",AV$12&lt;&gt;0,$H719&gt;0,OR(AUTOEVENTO&lt;&gt;"manual",$M719&lt;&gt;1)),
IF(Import.TipoArredondamento&lt;&gt;"TransfereGOV",
ROUND(OFFSET($P719,0,AV$13),15-13*ORÇAMENTO!$AF$7)/$H719*OFFSET(ORÇAMENTO!$X$15,ROW(AV719)-ROW(AV$15),0),
ROUND(ROUND(OFFSET($P719,0,AV$13),15-13*ORÇAMENTO!$AF$7)*OFFSET(ORÇAMENTO!$W$15,ROW(AV719)-ROW(AV$15),0),15-13*ORÇAMENTO!$AF$11)),0)</f>
        <v>0</v>
      </c>
      <c r="AW719" s="545">
        <f ca="1">IF(AND($D719="Serviço",AW$12&lt;&gt;0,$H719&gt;0,OR(AUTOEVENTO&lt;&gt;"manual",$M719&lt;&gt;1)),
IF(Import.TipoArredondamento&lt;&gt;"TransfereGOV",
ROUND(OFFSET($P719,0,AW$13),15-13*ORÇAMENTO!$AF$7)/$H719*OFFSET(ORÇAMENTO!$X$15,ROW(AW719)-ROW(AW$15),0),
ROUND(ROUND(OFFSET($P719,0,AW$13),15-13*ORÇAMENTO!$AF$7)*OFFSET(ORÇAMENTO!$W$15,ROW(AW719)-ROW(AW$15),0),15-13*ORÇAMENTO!$AF$11)),0)</f>
        <v>0</v>
      </c>
      <c r="AX719" s="545">
        <f ca="1">IF(AND($D719="Serviço",AX$12&lt;&gt;0,$H719&gt;0,OR(AUTOEVENTO&lt;&gt;"manual",$M719&lt;&gt;1)),
IF(Import.TipoArredondamento&lt;&gt;"TransfereGOV",
ROUND(OFFSET($P719,0,AX$13),15-13*ORÇAMENTO!$AF$7)/$H719*OFFSET(ORÇAMENTO!$X$15,ROW(AX719)-ROW(AX$15),0),
ROUND(ROUND(OFFSET($P719,0,AX$13),15-13*ORÇAMENTO!$AF$7)*OFFSET(ORÇAMENTO!$W$15,ROW(AX719)-ROW(AX$15),0),15-13*ORÇAMENTO!$AF$11)),0)</f>
        <v>0</v>
      </c>
      <c r="AY719" s="545">
        <f ca="1">IF(AND($D719="Serviço",AY$12&lt;&gt;0,$H719&gt;0,OR(AUTOEVENTO&lt;&gt;"manual",$M719&lt;&gt;1)),
IF(Import.TipoArredondamento&lt;&gt;"TransfereGOV",
ROUND(OFFSET($P719,0,AY$13),15-13*ORÇAMENTO!$AF$7)/$H719*OFFSET(ORÇAMENTO!$X$15,ROW(AY719)-ROW(AY$15),0),
ROUND(ROUND(OFFSET($P719,0,AY$13),15-13*ORÇAMENTO!$AF$7)*OFFSET(ORÇAMENTO!$W$15,ROW(AY719)-ROW(AY$15),0),15-13*ORÇAMENTO!$AF$11)),0)</f>
        <v>0</v>
      </c>
      <c r="AZ719" s="545">
        <f ca="1">IF(AND($D719="Serviço",AZ$12&lt;&gt;0,$H719&gt;0,OR(AUTOEVENTO&lt;&gt;"manual",$M719&lt;&gt;1)),
IF(Import.TipoArredondamento&lt;&gt;"TransfereGOV",
ROUND(OFFSET($P719,0,AZ$13),15-13*ORÇAMENTO!$AF$7)/$H719*OFFSET(ORÇAMENTO!$X$15,ROW(AZ719)-ROW(AZ$15),0),
ROUND(ROUND(OFFSET($P719,0,AZ$13),15-13*ORÇAMENTO!$AF$7)*OFFSET(ORÇAMENTO!$W$15,ROW(AZ719)-ROW(AZ$15),0),15-13*ORÇAMENTO!$AF$11)),0)</f>
        <v>0</v>
      </c>
      <c r="BA719" s="546">
        <f ca="1">IF(AND($D719="Serviço",BA$12&lt;&gt;0,$H719&gt;0,OR(AUTOEVENTO&lt;&gt;"manual",$M719&lt;&gt;1)),
IF(Import.TipoArredondamento&lt;&gt;"TransfereGOV",
ROUND(OFFSET($P719,0,BA$13),15-13*ORÇAMENTO!$AF$7)/$H719*OFFSET(ORÇAMENTO!$X$15,ROW(BA719)-ROW(BA$15),0),
ROUND(ROUND(OFFSET($P719,0,BA$13),15-13*ORÇAMENTO!$AF$7)*OFFSET(ORÇAMENTO!$W$15,ROW(BA719)-ROW(BA$15),0),15-13*ORÇAMENTO!$AF$11)),0)</f>
        <v>0</v>
      </c>
      <c r="BC719" s="181">
        <f ca="1">IF($D719&lt;&gt;"Serviço",0,IF(AND(AUTOEVENTO="Manual",$M719=1),0,IF(OFFSET(CRONOPLE!$F$14,$M719,BC$13)="",10^12,OFFSET(CRONOPLE!$F$14,$M719,BC$13))))</f>
        <v>12</v>
      </c>
      <c r="BD719" s="181">
        <f ca="1">IF($D719&lt;&gt;"Serviço",0,IF(AND(AUTOEVENTO="Manual",$M719=1),0,IF(OFFSET(CRONOPLE!$F$14,$M719,BD$13)="",10^12,OFFSET(CRONOPLE!$F$14,$M719,BD$13))))</f>
        <v>1000000000000</v>
      </c>
      <c r="BE719" s="181">
        <f ca="1">IF($D719&lt;&gt;"Serviço",0,IF(AND(AUTOEVENTO="Manual",$M719=1),0,IF(OFFSET(CRONOPLE!$F$14,$M719,BE$13)="",10^12,OFFSET(CRONOPLE!$F$14,$M719,BE$13))))</f>
        <v>1000000000000</v>
      </c>
      <c r="BF719" s="181">
        <f ca="1">IF($D719&lt;&gt;"Serviço",0,IF(AND(AUTOEVENTO="Manual",$M719=1),0,IF(OFFSET(CRONOPLE!$F$14,$M719,BF$13)="",10^12,OFFSET(CRONOPLE!$F$14,$M719,BF$13))))</f>
        <v>1000000000000</v>
      </c>
      <c r="BG719" s="181">
        <f ca="1">IF($D719&lt;&gt;"Serviço",0,IF(AND(AUTOEVENTO="Manual",$M719=1),0,IF(OFFSET(CRONOPLE!$F$14,$M719,BG$13)="",10^12,OFFSET(CRONOPLE!$F$14,$M719,BG$13))))</f>
        <v>1000000000000</v>
      </c>
      <c r="BH719" s="181">
        <f ca="1">IF($D719&lt;&gt;"Serviço",0,IF(AND(AUTOEVENTO="Manual",$M719=1),0,IF(OFFSET(CRONOPLE!$F$14,$M719,BH$13)="",10^12,OFFSET(CRONOPLE!$F$14,$M719,BH$13))))</f>
        <v>1000000000000</v>
      </c>
      <c r="BI719" s="181">
        <f ca="1">IF($D719&lt;&gt;"Serviço",0,IF(AND(AUTOEVENTO="Manual",$M719=1),0,IF(OFFSET(CRONOPLE!$F$14,$M719,BI$13)="",10^12,OFFSET(CRONOPLE!$F$14,$M719,BI$13))))</f>
        <v>1000000000000</v>
      </c>
      <c r="BJ719" s="181">
        <f ca="1">IF($D719&lt;&gt;"Serviço",0,IF(AND(AUTOEVENTO="Manual",$M719=1),0,IF(OFFSET(CRONOPLE!$F$14,$M719,BJ$13)="",10^12,OFFSET(CRONOPLE!$F$14,$M719,BJ$13))))</f>
        <v>1000000000000</v>
      </c>
      <c r="BK719" s="181">
        <f ca="1">IF($D719&lt;&gt;"Serviço",0,IF(AND(AUTOEVENTO="Manual",$M719=1),0,IF(OFFSET(CRONOPLE!$F$14,$M719,BK$13)="",10^12,OFFSET(CRONOPLE!$F$14,$M719,BK$13))))</f>
        <v>1000000000000</v>
      </c>
      <c r="BL719" s="181">
        <f ca="1">IF($D719&lt;&gt;"Serviço",0,IF(AND(AUTOEVENTO="Manual",$M719=1),0,IF(OFFSET(CRONOPLE!$F$14,$M719,BL$13)="",10^12,OFFSET(CRONOPLE!$F$14,$M719,BL$13))))</f>
        <v>1000000000000</v>
      </c>
      <c r="BM719" s="181">
        <f ca="1">IF($D719&lt;&gt;"Serviço",0,IF(AND(AUTOEVENTO="Manual",$M719=1),0,IF(OFFSET(CRONOPLE!$F$14,$M719,BM$13)="",10^12,OFFSET(CRONOPLE!$F$14,$M719,BM$13))))</f>
        <v>1000000000000</v>
      </c>
      <c r="BN719" s="181">
        <f ca="1">IF($D719&lt;&gt;"Serviço",0,IF(AND(AUTOEVENTO="Manual",$M719=1),0,IF(OFFSET(CRONOPLE!$F$14,$M719,BN$13)="",10^12,OFFSET(CRONOPLE!$F$14,$M719,BN$13))))</f>
        <v>1000000000000</v>
      </c>
      <c r="BO719" s="181">
        <f ca="1">IF($D719&lt;&gt;"Serviço",0,IF(AND(AUTOEVENTO="Manual",$M719=1),0,IF(OFFSET(CRONOPLE!$F$14,$M719,BO$13)="",10^12,OFFSET(CRONOPLE!$F$14,$M719,BO$13))))</f>
        <v>1000000000000</v>
      </c>
      <c r="BP719" s="181">
        <f ca="1">IF($D719&lt;&gt;"Serviço",0,IF(AND(AUTOEVENTO="Manual",$M719=1),0,IF(OFFSET(CRONOPLE!$F$14,$M719,BP$13)="",10^12,OFFSET(CRONOPLE!$F$14,$M719,BP$13))))</f>
        <v>1000000000000</v>
      </c>
      <c r="BQ719" s="181">
        <f ca="1">IF($D719&lt;&gt;"Serviço",0,IF(AND(AUTOEVENTO="Manual",$M719=1),0,IF(OFFSET(CRONOPLE!$F$14,$M719,BQ$13)="",10^12,OFFSET(CRONOPLE!$F$14,$M719,BQ$13))))</f>
        <v>1000000000000</v>
      </c>
      <c r="BR719" s="181">
        <f ca="1">IF($D719&lt;&gt;"Serviço",0,IF(AND(AUTOEVENTO="Manual",$M719=1),0,IF(OFFSET(CRONOPLE!$F$14,$M719,BR$13)="",10^12,OFFSET(CRONOPLE!$F$14,$M719,BR$13))))</f>
        <v>1000000000000</v>
      </c>
      <c r="BS719" s="181">
        <f ca="1">IF($D719&lt;&gt;"Serviço",0,IF(AND(AUTOEVENTO="Manual",$M719=1),0,IF(OFFSET(CRONOPLE!$F$14,$M719,BS$13)="",10^12,OFFSET(CRONOPLE!$F$14,$M719,BS$13))))</f>
        <v>1000000000000</v>
      </c>
      <c r="BT719" s="181">
        <f ca="1">IF($D719&lt;&gt;"Serviço",0,IF(AND(AUTOEVENTO="Manual",$M719=1),0,IF(OFFSET(CRONOPLE!$F$14,$M719,BT$13)="",10^12,OFFSET(CRONOPLE!$F$14,$M719,BT$13))))</f>
        <v>1000000000000</v>
      </c>
      <c r="BV719" s="182">
        <f ca="1">IF($D719&lt;&gt;"Serviço",0,IF(OR(AND(AUTOEVENTO="Manual",$M719=1),$M719&gt;(ROW(PLE.lastrow)-ROW(PLE.firstrow))),0,IF(OFFSET(PLE!$G$14,$M719,BV$13)="",10^12,OFFSET(PLE!$G$14,$M719,BV$13))))</f>
        <v>1000000000000</v>
      </c>
      <c r="BW719" s="182">
        <f ca="1">IF($D719&lt;&gt;"Serviço",0,IF(OR(AND(AUTOEVENTO="Manual",$M719=1),$M719&gt;(ROW(PLE.lastrow)-ROW(PLE.firstrow))),0,IF(OFFSET(PLE!$G$14,$M719,BW$13)="",10^12,OFFSET(PLE!$G$14,$M719,BW$13))))</f>
        <v>1000000000000</v>
      </c>
      <c r="BX719" s="182">
        <f ca="1">IF($D719&lt;&gt;"Serviço",0,IF(OR(AND(AUTOEVENTO="Manual",$M719=1),$M719&gt;(ROW(PLE.lastrow)-ROW(PLE.firstrow))),0,IF(OFFSET(PLE!$G$14,$M719,BX$13)="",10^12,OFFSET(PLE!$G$14,$M719,BX$13))))</f>
        <v>1000000000000</v>
      </c>
      <c r="BY719" s="182">
        <f ca="1">IF($D719&lt;&gt;"Serviço",0,IF(OR(AND(AUTOEVENTO="Manual",$M719=1),$M719&gt;(ROW(PLE.lastrow)-ROW(PLE.firstrow))),0,IF(OFFSET(PLE!$G$14,$M719,BY$13)="",10^12,OFFSET(PLE!$G$14,$M719,BY$13))))</f>
        <v>1000000000000</v>
      </c>
      <c r="BZ719" s="182">
        <f ca="1">IF($D719&lt;&gt;"Serviço",0,IF(OR(AND(AUTOEVENTO="Manual",$M719=1),$M719&gt;(ROW(PLE.lastrow)-ROW(PLE.firstrow))),0,IF(OFFSET(PLE!$G$14,$M719,BZ$13)="",10^12,OFFSET(PLE!$G$14,$M719,BZ$13))))</f>
        <v>1000000000000</v>
      </c>
      <c r="CA719" s="182">
        <f ca="1">IF($D719&lt;&gt;"Serviço",0,IF(OR(AND(AUTOEVENTO="Manual",$M719=1),$M719&gt;(ROW(PLE.lastrow)-ROW(PLE.firstrow))),0,IF(OFFSET(PLE!$G$14,$M719,CA$13)="",10^12,OFFSET(PLE!$G$14,$M719,CA$13))))</f>
        <v>1000000000000</v>
      </c>
      <c r="CB719" s="182">
        <f ca="1">IF($D719&lt;&gt;"Serviço",0,IF(OR(AND(AUTOEVENTO="Manual",$M719=1),$M719&gt;(ROW(PLE.lastrow)-ROW(PLE.firstrow))),0,IF(OFFSET(PLE!$G$14,$M719,CB$13)="",10^12,OFFSET(PLE!$G$14,$M719,CB$13))))</f>
        <v>1000000000000</v>
      </c>
      <c r="CC719" s="182">
        <f ca="1">IF($D719&lt;&gt;"Serviço",0,IF(OR(AND(AUTOEVENTO="Manual",$M719=1),$M719&gt;(ROW(PLE.lastrow)-ROW(PLE.firstrow))),0,IF(OFFSET(PLE!$G$14,$M719,CC$13)="",10^12,OFFSET(PLE!$G$14,$M719,CC$13))))</f>
        <v>1000000000000</v>
      </c>
      <c r="CD719" s="182">
        <f ca="1">IF($D719&lt;&gt;"Serviço",0,IF(OR(AND(AUTOEVENTO="Manual",$M719=1),$M719&gt;(ROW(PLE.lastrow)-ROW(PLE.firstrow))),0,IF(OFFSET(PLE!$G$14,$M719,CD$13)="",10^12,OFFSET(PLE!$G$14,$M719,CD$13))))</f>
        <v>1000000000000</v>
      </c>
      <c r="CE719" s="182">
        <f ca="1">IF($D719&lt;&gt;"Serviço",0,IF(OR(AND(AUTOEVENTO="Manual",$M719=1),$M719&gt;(ROW(PLE.lastrow)-ROW(PLE.firstrow))),0,IF(OFFSET(PLE!$G$14,$M719,CE$13)="",10^12,OFFSET(PLE!$G$14,$M719,CE$13))))</f>
        <v>1000000000000</v>
      </c>
      <c r="CF719" s="182">
        <f ca="1">IF($D719&lt;&gt;"Serviço",0,IF(OR(AND(AUTOEVENTO="Manual",$M719=1),$M719&gt;(ROW(PLE.lastrow)-ROW(PLE.firstrow))),0,IF(OFFSET(PLE!$G$14,$M719,CF$13)="",10^12,OFFSET(PLE!$G$14,$M719,CF$13))))</f>
        <v>1000000000000</v>
      </c>
      <c r="CG719" s="182">
        <f ca="1">IF($D719&lt;&gt;"Serviço",0,IF(OR(AND(AUTOEVENTO="Manual",$M719=1),$M719&gt;(ROW(PLE.lastrow)-ROW(PLE.firstrow))),0,IF(OFFSET(PLE!$G$14,$M719,CG$13)="",10^12,OFFSET(PLE!$G$14,$M719,CG$13))))</f>
        <v>1000000000000</v>
      </c>
      <c r="CH719" s="182">
        <f ca="1">IF($D719&lt;&gt;"Serviço",0,IF(OR(AND(AUTOEVENTO="Manual",$M719=1),$M719&gt;(ROW(PLE.lastrow)-ROW(PLE.firstrow))),0,IF(OFFSET(PLE!$G$14,$M719,CH$13)="",10^12,OFFSET(PLE!$G$14,$M719,CH$13))))</f>
        <v>1000000000000</v>
      </c>
      <c r="CI719" s="182">
        <f ca="1">IF($D719&lt;&gt;"Serviço",0,IF(OR(AND(AUTOEVENTO="Manual",$M719=1),$M719&gt;(ROW(PLE.lastrow)-ROW(PLE.firstrow))),0,IF(OFFSET(PLE!$G$14,$M719,CI$13)="",10^12,OFFSET(PLE!$G$14,$M719,CI$13))))</f>
        <v>1000000000000</v>
      </c>
      <c r="CJ719" s="182">
        <f ca="1">IF($D719&lt;&gt;"Serviço",0,IF(OR(AND(AUTOEVENTO="Manual",$M719=1),$M719&gt;(ROW(PLE.lastrow)-ROW(PLE.firstrow))),0,IF(OFFSET(PLE!$G$14,$M719,CJ$13)="",10^12,OFFSET(PLE!$G$14,$M719,CJ$13))))</f>
        <v>1000000000000</v>
      </c>
      <c r="CK719" s="182">
        <f ca="1">IF($D719&lt;&gt;"Serviço",0,IF(OR(AND(AUTOEVENTO="Manual",$M719=1),$M719&gt;(ROW(PLE.lastrow)-ROW(PLE.firstrow))),0,IF(OFFSET(PLE!$G$14,$M719,CK$13)="",10^12,OFFSET(PLE!$G$14,$M719,CK$13))))</f>
        <v>1000000000000</v>
      </c>
      <c r="CL719" s="182">
        <f ca="1">IF($D719&lt;&gt;"Serviço",0,IF(OR(AND(AUTOEVENTO="Manual",$M719=1),$M719&gt;(ROW(PLE.lastrow)-ROW(PLE.firstrow))),0,IF(OFFSET(PLE!$G$14,$M719,CL$13)="",10^12,OFFSET(PLE!$G$14,$M719,CL$13))))</f>
        <v>1000000000000</v>
      </c>
      <c r="CM719" s="182">
        <f ca="1">IF($D719&lt;&gt;"Serviço",0,IF(OR(AND(AUTOEVENTO="Manual",$M719=1),$M719&gt;(ROW(PLE.lastrow)-ROW(PLE.firstrow))),0,IF(OFFSET(PLE!$G$14,$M719,CM$13)="",10^12,OFFSET(PLE!$G$14,$M719,CM$13))))</f>
        <v>1000000000000</v>
      </c>
    </row>
    <row r="720" spans="1:91" ht="25.5" x14ac:dyDescent="0.2">
      <c r="A720" s="7" t="str">
        <f t="shared" ca="1" si="20"/>
        <v>700</v>
      </c>
      <c r="B720" s="7" t="str">
        <f ca="1">OFFSET(ORÇAMENTO!C$15,ROW(B720)-ROW(B$15),0)</f>
        <v>S</v>
      </c>
      <c r="C720" s="7" t="str">
        <f ca="1">OFFSET(ORÇAMENTO!L$15,ROW(C720)-ROW(C$15),0)</f>
        <v/>
      </c>
      <c r="D720" s="118" t="str">
        <f ca="1">OFFSET(ORÇAMENTO!N$15,ROW(D720)-ROW(D$15),0)</f>
        <v>Serviço</v>
      </c>
      <c r="E720" s="119" t="str">
        <f ca="1">OFFSET(ORÇAMENTO!O$15,ROW(E720)-ROW(E$15),0)</f>
        <v>-</v>
      </c>
      <c r="F720" s="172" t="str">
        <f ca="1">OFFSET(ORÇAMENTO!R$15,ROW(F720)-ROW(F$15),0)</f>
        <v>(abra o arquivo 'Referência 06-2024.xlsm)</v>
      </c>
      <c r="G720" s="173" t="str">
        <f ca="1">IF($D720&lt;&gt;"Serviço","",OFFSET(ORÇAMENTO!S$15,ROW(G720)-ROW(G$15),0))</f>
        <v>-</v>
      </c>
      <c r="H720" s="124">
        <f ca="1">IF($D720&lt;&gt;"Serviço",0,IF(ACOMPANHAMENTO="BM",ROUND(OFFSET(ORÇAMENTO!AJ$15,ROW(H720)-ROW(H$15),0),15-13*ORÇAMENTO!$AF$7),SUMPRODUCT(($Q$12:$AI$12&lt;&gt;"")*ROUND($Q720:$AI720,15-13*ORÇAMENTO!$AF$7))))</f>
        <v>177.7</v>
      </c>
      <c r="I720" s="561" t="s">
        <v>1107</v>
      </c>
      <c r="K720" s="174"/>
      <c r="L720" s="175" t="s">
        <v>255</v>
      </c>
      <c r="M720" s="176">
        <f ca="1">IF($D720&lt;&gt;"Serviço","",IF(AUTOEVENTO="manual",$A720,IF(ISERROR(MATCH($A720,$A$15:OFFSET($A720,-1,0),0)),MAX($M$15:OFFSET(M720,-1,0))+1,INDEX($M$15:OFFSET(M720,-1,0),MATCH($A720,$A$15:OFFSET($A720,-1,0),0)))))</f>
        <v>80</v>
      </c>
      <c r="N720" s="177" t="str">
        <f ca="1">IF($D720&lt;&gt;"Serviço","",IF(AUTOEVENTO="Manual",IF($A720=0,"&lt;-- defina o número do agrupador",OFFSET(EVENTOS!$D$14,$A720,0)),OFFSET($F$15,$A720,0)))</f>
        <v>MURO DE FECHAMENTO - REVESTIMENTO</v>
      </c>
      <c r="O720" s="178"/>
      <c r="Q720" s="178">
        <v>177.7</v>
      </c>
      <c r="R720" s="179"/>
      <c r="S720" s="179"/>
      <c r="T720" s="179"/>
      <c r="U720" s="179"/>
      <c r="V720" s="179"/>
      <c r="W720" s="179"/>
      <c r="X720" s="179"/>
      <c r="Y720" s="179"/>
      <c r="Z720" s="180"/>
      <c r="AA720" s="179"/>
      <c r="AB720" s="179"/>
      <c r="AC720" s="179"/>
      <c r="AD720" s="179"/>
      <c r="AE720" s="179"/>
      <c r="AF720" s="179"/>
      <c r="AG720" s="179"/>
      <c r="AH720" s="180"/>
      <c r="AJ720" s="544">
        <f ca="1">IF(AND($D720="Serviço",AJ$12&lt;&gt;0,$H720&gt;0,OR(AUTOEVENTO&lt;&gt;"manual",$M720&lt;&gt;1)),
IF(Import.TipoArredondamento&lt;&gt;"TransfereGOV",
ROUND(OFFSET($P720,0,AJ$13),15-13*ORÇAMENTO!$AF$7)/$H720*OFFSET(ORÇAMENTO!$X$15,ROW(AJ720)-ROW(AJ$15),0),
ROUND(ROUND(OFFSET($P720,0,AJ$13),15-13*ORÇAMENTO!$AF$7)*OFFSET(ORÇAMENTO!$W$15,ROW(AJ720)-ROW(AJ$15),0),15-13*ORÇAMENTO!$AF$11)),0)</f>
        <v>0</v>
      </c>
      <c r="AK720" s="545">
        <f ca="1">IF(AND($D720="Serviço",AK$12&lt;&gt;0,$H720&gt;0,OR(AUTOEVENTO&lt;&gt;"manual",$M720&lt;&gt;1)),
IF(Import.TipoArredondamento&lt;&gt;"TransfereGOV",
ROUND(OFFSET($P720,0,AK$13),15-13*ORÇAMENTO!$AF$7)/$H720*OFFSET(ORÇAMENTO!$X$15,ROW(AK720)-ROW(AK$15),0),
ROUND(ROUND(OFFSET($P720,0,AK$13),15-13*ORÇAMENTO!$AF$7)*OFFSET(ORÇAMENTO!$W$15,ROW(AK720)-ROW(AK$15),0),15-13*ORÇAMENTO!$AF$11)),0)</f>
        <v>0</v>
      </c>
      <c r="AL720" s="545">
        <f ca="1">IF(AND($D720="Serviço",AL$12&lt;&gt;0,$H720&gt;0,OR(AUTOEVENTO&lt;&gt;"manual",$M720&lt;&gt;1)),
IF(Import.TipoArredondamento&lt;&gt;"TransfereGOV",
ROUND(OFFSET($P720,0,AL$13),15-13*ORÇAMENTO!$AF$7)/$H720*OFFSET(ORÇAMENTO!$X$15,ROW(AL720)-ROW(AL$15),0),
ROUND(ROUND(OFFSET($P720,0,AL$13),15-13*ORÇAMENTO!$AF$7)*OFFSET(ORÇAMENTO!$W$15,ROW(AL720)-ROW(AL$15),0),15-13*ORÇAMENTO!$AF$11)),0)</f>
        <v>0</v>
      </c>
      <c r="AM720" s="545">
        <f ca="1">IF(AND($D720="Serviço",AM$12&lt;&gt;0,$H720&gt;0,OR(AUTOEVENTO&lt;&gt;"manual",$M720&lt;&gt;1)),
IF(Import.TipoArredondamento&lt;&gt;"TransfereGOV",
ROUND(OFFSET($P720,0,AM$13),15-13*ORÇAMENTO!$AF$7)/$H720*OFFSET(ORÇAMENTO!$X$15,ROW(AM720)-ROW(AM$15),0),
ROUND(ROUND(OFFSET($P720,0,AM$13),15-13*ORÇAMENTO!$AF$7)*OFFSET(ORÇAMENTO!$W$15,ROW(AM720)-ROW(AM$15),0),15-13*ORÇAMENTO!$AF$11)),0)</f>
        <v>0</v>
      </c>
      <c r="AN720" s="545">
        <f ca="1">IF(AND($D720="Serviço",AN$12&lt;&gt;0,$H720&gt;0,OR(AUTOEVENTO&lt;&gt;"manual",$M720&lt;&gt;1)),
IF(Import.TipoArredondamento&lt;&gt;"TransfereGOV",
ROUND(OFFSET($P720,0,AN$13),15-13*ORÇAMENTO!$AF$7)/$H720*OFFSET(ORÇAMENTO!$X$15,ROW(AN720)-ROW(AN$15),0),
ROUND(ROUND(OFFSET($P720,0,AN$13),15-13*ORÇAMENTO!$AF$7)*OFFSET(ORÇAMENTO!$W$15,ROW(AN720)-ROW(AN$15),0),15-13*ORÇAMENTO!$AF$11)),0)</f>
        <v>0</v>
      </c>
      <c r="AO720" s="545">
        <f ca="1">IF(AND($D720="Serviço",AO$12&lt;&gt;0,$H720&gt;0,OR(AUTOEVENTO&lt;&gt;"manual",$M720&lt;&gt;1)),
IF(Import.TipoArredondamento&lt;&gt;"TransfereGOV",
ROUND(OFFSET($P720,0,AO$13),15-13*ORÇAMENTO!$AF$7)/$H720*OFFSET(ORÇAMENTO!$X$15,ROW(AO720)-ROW(AO$15),0),
ROUND(ROUND(OFFSET($P720,0,AO$13),15-13*ORÇAMENTO!$AF$7)*OFFSET(ORÇAMENTO!$W$15,ROW(AO720)-ROW(AO$15),0),15-13*ORÇAMENTO!$AF$11)),0)</f>
        <v>0</v>
      </c>
      <c r="AP720" s="545">
        <f ca="1">IF(AND($D720="Serviço",AP$12&lt;&gt;0,$H720&gt;0,OR(AUTOEVENTO&lt;&gt;"manual",$M720&lt;&gt;1)),
IF(Import.TipoArredondamento&lt;&gt;"TransfereGOV",
ROUND(OFFSET($P720,0,AP$13),15-13*ORÇAMENTO!$AF$7)/$H720*OFFSET(ORÇAMENTO!$X$15,ROW(AP720)-ROW(AP$15),0),
ROUND(ROUND(OFFSET($P720,0,AP$13),15-13*ORÇAMENTO!$AF$7)*OFFSET(ORÇAMENTO!$W$15,ROW(AP720)-ROW(AP$15),0),15-13*ORÇAMENTO!$AF$11)),0)</f>
        <v>0</v>
      </c>
      <c r="AQ720" s="545">
        <f ca="1">IF(AND($D720="Serviço",AQ$12&lt;&gt;0,$H720&gt;0,OR(AUTOEVENTO&lt;&gt;"manual",$M720&lt;&gt;1)),
IF(Import.TipoArredondamento&lt;&gt;"TransfereGOV",
ROUND(OFFSET($P720,0,AQ$13),15-13*ORÇAMENTO!$AF$7)/$H720*OFFSET(ORÇAMENTO!$X$15,ROW(AQ720)-ROW(AQ$15),0),
ROUND(ROUND(OFFSET($P720,0,AQ$13),15-13*ORÇAMENTO!$AF$7)*OFFSET(ORÇAMENTO!$W$15,ROW(AQ720)-ROW(AQ$15),0),15-13*ORÇAMENTO!$AF$11)),0)</f>
        <v>0</v>
      </c>
      <c r="AR720" s="545">
        <f ca="1">IF(AND($D720="Serviço",AR$12&lt;&gt;0,$H720&gt;0,OR(AUTOEVENTO&lt;&gt;"manual",$M720&lt;&gt;1)),
IF(Import.TipoArredondamento&lt;&gt;"TransfereGOV",
ROUND(OFFSET($P720,0,AR$13),15-13*ORÇAMENTO!$AF$7)/$H720*OFFSET(ORÇAMENTO!$X$15,ROW(AR720)-ROW(AR$15),0),
ROUND(ROUND(OFFSET($P720,0,AR$13),15-13*ORÇAMENTO!$AF$7)*OFFSET(ORÇAMENTO!$W$15,ROW(AR720)-ROW(AR$15),0),15-13*ORÇAMENTO!$AF$11)),0)</f>
        <v>0</v>
      </c>
      <c r="AS720" s="546">
        <f ca="1">IF(AND($D720="Serviço",AS$12&lt;&gt;0,$H720&gt;0,OR(AUTOEVENTO&lt;&gt;"manual",$M720&lt;&gt;1)),
IF(Import.TipoArredondamento&lt;&gt;"TransfereGOV",
ROUND(OFFSET($P720,0,AS$13),15-13*ORÇAMENTO!$AF$7)/$H720*OFFSET(ORÇAMENTO!$X$15,ROW(AS720)-ROW(AS$15),0),
ROUND(ROUND(OFFSET($P720,0,AS$13),15-13*ORÇAMENTO!$AF$7)*OFFSET(ORÇAMENTO!$W$15,ROW(AS720)-ROW(AS$15),0),15-13*ORÇAMENTO!$AF$11)),0)</f>
        <v>0</v>
      </c>
      <c r="AT720" s="545">
        <f ca="1">IF(AND($D720="Serviço",AT$12&lt;&gt;0,$H720&gt;0,OR(AUTOEVENTO&lt;&gt;"manual",$M720&lt;&gt;1)),
IF(Import.TipoArredondamento&lt;&gt;"TransfereGOV",
ROUND(OFFSET($P720,0,AT$13),15-13*ORÇAMENTO!$AF$7)/$H720*OFFSET(ORÇAMENTO!$X$15,ROW(AT720)-ROW(AT$15),0),
ROUND(ROUND(OFFSET($P720,0,AT$13),15-13*ORÇAMENTO!$AF$7)*OFFSET(ORÇAMENTO!$W$15,ROW(AT720)-ROW(AT$15),0),15-13*ORÇAMENTO!$AF$11)),0)</f>
        <v>0</v>
      </c>
      <c r="AU720" s="545">
        <f ca="1">IF(AND($D720="Serviço",AU$12&lt;&gt;0,$H720&gt;0,OR(AUTOEVENTO&lt;&gt;"manual",$M720&lt;&gt;1)),
IF(Import.TipoArredondamento&lt;&gt;"TransfereGOV",
ROUND(OFFSET($P720,0,AU$13),15-13*ORÇAMENTO!$AF$7)/$H720*OFFSET(ORÇAMENTO!$X$15,ROW(AU720)-ROW(AU$15),0),
ROUND(ROUND(OFFSET($P720,0,AU$13),15-13*ORÇAMENTO!$AF$7)*OFFSET(ORÇAMENTO!$W$15,ROW(AU720)-ROW(AU$15),0),15-13*ORÇAMENTO!$AF$11)),0)</f>
        <v>0</v>
      </c>
      <c r="AV720" s="545">
        <f ca="1">IF(AND($D720="Serviço",AV$12&lt;&gt;0,$H720&gt;0,OR(AUTOEVENTO&lt;&gt;"manual",$M720&lt;&gt;1)),
IF(Import.TipoArredondamento&lt;&gt;"TransfereGOV",
ROUND(OFFSET($P720,0,AV$13),15-13*ORÇAMENTO!$AF$7)/$H720*OFFSET(ORÇAMENTO!$X$15,ROW(AV720)-ROW(AV$15),0),
ROUND(ROUND(OFFSET($P720,0,AV$13),15-13*ORÇAMENTO!$AF$7)*OFFSET(ORÇAMENTO!$W$15,ROW(AV720)-ROW(AV$15),0),15-13*ORÇAMENTO!$AF$11)),0)</f>
        <v>0</v>
      </c>
      <c r="AW720" s="545">
        <f ca="1">IF(AND($D720="Serviço",AW$12&lt;&gt;0,$H720&gt;0,OR(AUTOEVENTO&lt;&gt;"manual",$M720&lt;&gt;1)),
IF(Import.TipoArredondamento&lt;&gt;"TransfereGOV",
ROUND(OFFSET($P720,0,AW$13),15-13*ORÇAMENTO!$AF$7)/$H720*OFFSET(ORÇAMENTO!$X$15,ROW(AW720)-ROW(AW$15),0),
ROUND(ROUND(OFFSET($P720,0,AW$13),15-13*ORÇAMENTO!$AF$7)*OFFSET(ORÇAMENTO!$W$15,ROW(AW720)-ROW(AW$15),0),15-13*ORÇAMENTO!$AF$11)),0)</f>
        <v>0</v>
      </c>
      <c r="AX720" s="545">
        <f ca="1">IF(AND($D720="Serviço",AX$12&lt;&gt;0,$H720&gt;0,OR(AUTOEVENTO&lt;&gt;"manual",$M720&lt;&gt;1)),
IF(Import.TipoArredondamento&lt;&gt;"TransfereGOV",
ROUND(OFFSET($P720,0,AX$13),15-13*ORÇAMENTO!$AF$7)/$H720*OFFSET(ORÇAMENTO!$X$15,ROW(AX720)-ROW(AX$15),0),
ROUND(ROUND(OFFSET($P720,0,AX$13),15-13*ORÇAMENTO!$AF$7)*OFFSET(ORÇAMENTO!$W$15,ROW(AX720)-ROW(AX$15),0),15-13*ORÇAMENTO!$AF$11)),0)</f>
        <v>0</v>
      </c>
      <c r="AY720" s="545">
        <f ca="1">IF(AND($D720="Serviço",AY$12&lt;&gt;0,$H720&gt;0,OR(AUTOEVENTO&lt;&gt;"manual",$M720&lt;&gt;1)),
IF(Import.TipoArredondamento&lt;&gt;"TransfereGOV",
ROUND(OFFSET($P720,0,AY$13),15-13*ORÇAMENTO!$AF$7)/$H720*OFFSET(ORÇAMENTO!$X$15,ROW(AY720)-ROW(AY$15),0),
ROUND(ROUND(OFFSET($P720,0,AY$13),15-13*ORÇAMENTO!$AF$7)*OFFSET(ORÇAMENTO!$W$15,ROW(AY720)-ROW(AY$15),0),15-13*ORÇAMENTO!$AF$11)),0)</f>
        <v>0</v>
      </c>
      <c r="AZ720" s="545">
        <f ca="1">IF(AND($D720="Serviço",AZ$12&lt;&gt;0,$H720&gt;0,OR(AUTOEVENTO&lt;&gt;"manual",$M720&lt;&gt;1)),
IF(Import.TipoArredondamento&lt;&gt;"TransfereGOV",
ROUND(OFFSET($P720,0,AZ$13),15-13*ORÇAMENTO!$AF$7)/$H720*OFFSET(ORÇAMENTO!$X$15,ROW(AZ720)-ROW(AZ$15),0),
ROUND(ROUND(OFFSET($P720,0,AZ$13),15-13*ORÇAMENTO!$AF$7)*OFFSET(ORÇAMENTO!$W$15,ROW(AZ720)-ROW(AZ$15),0),15-13*ORÇAMENTO!$AF$11)),0)</f>
        <v>0</v>
      </c>
      <c r="BA720" s="546">
        <f ca="1">IF(AND($D720="Serviço",BA$12&lt;&gt;0,$H720&gt;0,OR(AUTOEVENTO&lt;&gt;"manual",$M720&lt;&gt;1)),
IF(Import.TipoArredondamento&lt;&gt;"TransfereGOV",
ROUND(OFFSET($P720,0,BA$13),15-13*ORÇAMENTO!$AF$7)/$H720*OFFSET(ORÇAMENTO!$X$15,ROW(BA720)-ROW(BA$15),0),
ROUND(ROUND(OFFSET($P720,0,BA$13),15-13*ORÇAMENTO!$AF$7)*OFFSET(ORÇAMENTO!$W$15,ROW(BA720)-ROW(BA$15),0),15-13*ORÇAMENTO!$AF$11)),0)</f>
        <v>0</v>
      </c>
      <c r="BC720" s="181">
        <f ca="1">IF($D720&lt;&gt;"Serviço",0,IF(AND(AUTOEVENTO="Manual",$M720=1),0,IF(OFFSET(CRONOPLE!$F$14,$M720,BC$13)="",10^12,OFFSET(CRONOPLE!$F$14,$M720,BC$13))))</f>
        <v>12</v>
      </c>
      <c r="BD720" s="181">
        <f ca="1">IF($D720&lt;&gt;"Serviço",0,IF(AND(AUTOEVENTO="Manual",$M720=1),0,IF(OFFSET(CRONOPLE!$F$14,$M720,BD$13)="",10^12,OFFSET(CRONOPLE!$F$14,$M720,BD$13))))</f>
        <v>1000000000000</v>
      </c>
      <c r="BE720" s="181">
        <f ca="1">IF($D720&lt;&gt;"Serviço",0,IF(AND(AUTOEVENTO="Manual",$M720=1),0,IF(OFFSET(CRONOPLE!$F$14,$M720,BE$13)="",10^12,OFFSET(CRONOPLE!$F$14,$M720,BE$13))))</f>
        <v>1000000000000</v>
      </c>
      <c r="BF720" s="181">
        <f ca="1">IF($D720&lt;&gt;"Serviço",0,IF(AND(AUTOEVENTO="Manual",$M720=1),0,IF(OFFSET(CRONOPLE!$F$14,$M720,BF$13)="",10^12,OFFSET(CRONOPLE!$F$14,$M720,BF$13))))</f>
        <v>1000000000000</v>
      </c>
      <c r="BG720" s="181">
        <f ca="1">IF($D720&lt;&gt;"Serviço",0,IF(AND(AUTOEVENTO="Manual",$M720=1),0,IF(OFFSET(CRONOPLE!$F$14,$M720,BG$13)="",10^12,OFFSET(CRONOPLE!$F$14,$M720,BG$13))))</f>
        <v>1000000000000</v>
      </c>
      <c r="BH720" s="181">
        <f ca="1">IF($D720&lt;&gt;"Serviço",0,IF(AND(AUTOEVENTO="Manual",$M720=1),0,IF(OFFSET(CRONOPLE!$F$14,$M720,BH$13)="",10^12,OFFSET(CRONOPLE!$F$14,$M720,BH$13))))</f>
        <v>1000000000000</v>
      </c>
      <c r="BI720" s="181">
        <f ca="1">IF($D720&lt;&gt;"Serviço",0,IF(AND(AUTOEVENTO="Manual",$M720=1),0,IF(OFFSET(CRONOPLE!$F$14,$M720,BI$13)="",10^12,OFFSET(CRONOPLE!$F$14,$M720,BI$13))))</f>
        <v>1000000000000</v>
      </c>
      <c r="BJ720" s="181">
        <f ca="1">IF($D720&lt;&gt;"Serviço",0,IF(AND(AUTOEVENTO="Manual",$M720=1),0,IF(OFFSET(CRONOPLE!$F$14,$M720,BJ$13)="",10^12,OFFSET(CRONOPLE!$F$14,$M720,BJ$13))))</f>
        <v>1000000000000</v>
      </c>
      <c r="BK720" s="181">
        <f ca="1">IF($D720&lt;&gt;"Serviço",0,IF(AND(AUTOEVENTO="Manual",$M720=1),0,IF(OFFSET(CRONOPLE!$F$14,$M720,BK$13)="",10^12,OFFSET(CRONOPLE!$F$14,$M720,BK$13))))</f>
        <v>1000000000000</v>
      </c>
      <c r="BL720" s="181">
        <f ca="1">IF($D720&lt;&gt;"Serviço",0,IF(AND(AUTOEVENTO="Manual",$M720=1),0,IF(OFFSET(CRONOPLE!$F$14,$M720,BL$13)="",10^12,OFFSET(CRONOPLE!$F$14,$M720,BL$13))))</f>
        <v>1000000000000</v>
      </c>
      <c r="BM720" s="181">
        <f ca="1">IF($D720&lt;&gt;"Serviço",0,IF(AND(AUTOEVENTO="Manual",$M720=1),0,IF(OFFSET(CRONOPLE!$F$14,$M720,BM$13)="",10^12,OFFSET(CRONOPLE!$F$14,$M720,BM$13))))</f>
        <v>1000000000000</v>
      </c>
      <c r="BN720" s="181">
        <f ca="1">IF($D720&lt;&gt;"Serviço",0,IF(AND(AUTOEVENTO="Manual",$M720=1),0,IF(OFFSET(CRONOPLE!$F$14,$M720,BN$13)="",10^12,OFFSET(CRONOPLE!$F$14,$M720,BN$13))))</f>
        <v>1000000000000</v>
      </c>
      <c r="BO720" s="181">
        <f ca="1">IF($D720&lt;&gt;"Serviço",0,IF(AND(AUTOEVENTO="Manual",$M720=1),0,IF(OFFSET(CRONOPLE!$F$14,$M720,BO$13)="",10^12,OFFSET(CRONOPLE!$F$14,$M720,BO$13))))</f>
        <v>1000000000000</v>
      </c>
      <c r="BP720" s="181">
        <f ca="1">IF($D720&lt;&gt;"Serviço",0,IF(AND(AUTOEVENTO="Manual",$M720=1),0,IF(OFFSET(CRONOPLE!$F$14,$M720,BP$13)="",10^12,OFFSET(CRONOPLE!$F$14,$M720,BP$13))))</f>
        <v>1000000000000</v>
      </c>
      <c r="BQ720" s="181">
        <f ca="1">IF($D720&lt;&gt;"Serviço",0,IF(AND(AUTOEVENTO="Manual",$M720=1),0,IF(OFFSET(CRONOPLE!$F$14,$M720,BQ$13)="",10^12,OFFSET(CRONOPLE!$F$14,$M720,BQ$13))))</f>
        <v>1000000000000</v>
      </c>
      <c r="BR720" s="181">
        <f ca="1">IF($D720&lt;&gt;"Serviço",0,IF(AND(AUTOEVENTO="Manual",$M720=1),0,IF(OFFSET(CRONOPLE!$F$14,$M720,BR$13)="",10^12,OFFSET(CRONOPLE!$F$14,$M720,BR$13))))</f>
        <v>1000000000000</v>
      </c>
      <c r="BS720" s="181">
        <f ca="1">IF($D720&lt;&gt;"Serviço",0,IF(AND(AUTOEVENTO="Manual",$M720=1),0,IF(OFFSET(CRONOPLE!$F$14,$M720,BS$13)="",10^12,OFFSET(CRONOPLE!$F$14,$M720,BS$13))))</f>
        <v>1000000000000</v>
      </c>
      <c r="BT720" s="181">
        <f ca="1">IF($D720&lt;&gt;"Serviço",0,IF(AND(AUTOEVENTO="Manual",$M720=1),0,IF(OFFSET(CRONOPLE!$F$14,$M720,BT$13)="",10^12,OFFSET(CRONOPLE!$F$14,$M720,BT$13))))</f>
        <v>1000000000000</v>
      </c>
      <c r="BV720" s="182">
        <f ca="1">IF($D720&lt;&gt;"Serviço",0,IF(OR(AND(AUTOEVENTO="Manual",$M720=1),$M720&gt;(ROW(PLE.lastrow)-ROW(PLE.firstrow))),0,IF(OFFSET(PLE!$G$14,$M720,BV$13)="",10^12,OFFSET(PLE!$G$14,$M720,BV$13))))</f>
        <v>1000000000000</v>
      </c>
      <c r="BW720" s="182">
        <f ca="1">IF($D720&lt;&gt;"Serviço",0,IF(OR(AND(AUTOEVENTO="Manual",$M720=1),$M720&gt;(ROW(PLE.lastrow)-ROW(PLE.firstrow))),0,IF(OFFSET(PLE!$G$14,$M720,BW$13)="",10^12,OFFSET(PLE!$G$14,$M720,BW$13))))</f>
        <v>1000000000000</v>
      </c>
      <c r="BX720" s="182">
        <f ca="1">IF($D720&lt;&gt;"Serviço",0,IF(OR(AND(AUTOEVENTO="Manual",$M720=1),$M720&gt;(ROW(PLE.lastrow)-ROW(PLE.firstrow))),0,IF(OFFSET(PLE!$G$14,$M720,BX$13)="",10^12,OFFSET(PLE!$G$14,$M720,BX$13))))</f>
        <v>1000000000000</v>
      </c>
      <c r="BY720" s="182">
        <f ca="1">IF($D720&lt;&gt;"Serviço",0,IF(OR(AND(AUTOEVENTO="Manual",$M720=1),$M720&gt;(ROW(PLE.lastrow)-ROW(PLE.firstrow))),0,IF(OFFSET(PLE!$G$14,$M720,BY$13)="",10^12,OFFSET(PLE!$G$14,$M720,BY$13))))</f>
        <v>1000000000000</v>
      </c>
      <c r="BZ720" s="182">
        <f ca="1">IF($D720&lt;&gt;"Serviço",0,IF(OR(AND(AUTOEVENTO="Manual",$M720=1),$M720&gt;(ROW(PLE.lastrow)-ROW(PLE.firstrow))),0,IF(OFFSET(PLE!$G$14,$M720,BZ$13)="",10^12,OFFSET(PLE!$G$14,$M720,BZ$13))))</f>
        <v>1000000000000</v>
      </c>
      <c r="CA720" s="182">
        <f ca="1">IF($D720&lt;&gt;"Serviço",0,IF(OR(AND(AUTOEVENTO="Manual",$M720=1),$M720&gt;(ROW(PLE.lastrow)-ROW(PLE.firstrow))),0,IF(OFFSET(PLE!$G$14,$M720,CA$13)="",10^12,OFFSET(PLE!$G$14,$M720,CA$13))))</f>
        <v>1000000000000</v>
      </c>
      <c r="CB720" s="182">
        <f ca="1">IF($D720&lt;&gt;"Serviço",0,IF(OR(AND(AUTOEVENTO="Manual",$M720=1),$M720&gt;(ROW(PLE.lastrow)-ROW(PLE.firstrow))),0,IF(OFFSET(PLE!$G$14,$M720,CB$13)="",10^12,OFFSET(PLE!$G$14,$M720,CB$13))))</f>
        <v>1000000000000</v>
      </c>
      <c r="CC720" s="182">
        <f ca="1">IF($D720&lt;&gt;"Serviço",0,IF(OR(AND(AUTOEVENTO="Manual",$M720=1),$M720&gt;(ROW(PLE.lastrow)-ROW(PLE.firstrow))),0,IF(OFFSET(PLE!$G$14,$M720,CC$13)="",10^12,OFFSET(PLE!$G$14,$M720,CC$13))))</f>
        <v>1000000000000</v>
      </c>
      <c r="CD720" s="182">
        <f ca="1">IF($D720&lt;&gt;"Serviço",0,IF(OR(AND(AUTOEVENTO="Manual",$M720=1),$M720&gt;(ROW(PLE.lastrow)-ROW(PLE.firstrow))),0,IF(OFFSET(PLE!$G$14,$M720,CD$13)="",10^12,OFFSET(PLE!$G$14,$M720,CD$13))))</f>
        <v>1000000000000</v>
      </c>
      <c r="CE720" s="182">
        <f ca="1">IF($D720&lt;&gt;"Serviço",0,IF(OR(AND(AUTOEVENTO="Manual",$M720=1),$M720&gt;(ROW(PLE.lastrow)-ROW(PLE.firstrow))),0,IF(OFFSET(PLE!$G$14,$M720,CE$13)="",10^12,OFFSET(PLE!$G$14,$M720,CE$13))))</f>
        <v>1000000000000</v>
      </c>
      <c r="CF720" s="182">
        <f ca="1">IF($D720&lt;&gt;"Serviço",0,IF(OR(AND(AUTOEVENTO="Manual",$M720=1),$M720&gt;(ROW(PLE.lastrow)-ROW(PLE.firstrow))),0,IF(OFFSET(PLE!$G$14,$M720,CF$13)="",10^12,OFFSET(PLE!$G$14,$M720,CF$13))))</f>
        <v>1000000000000</v>
      </c>
      <c r="CG720" s="182">
        <f ca="1">IF($D720&lt;&gt;"Serviço",0,IF(OR(AND(AUTOEVENTO="Manual",$M720=1),$M720&gt;(ROW(PLE.lastrow)-ROW(PLE.firstrow))),0,IF(OFFSET(PLE!$G$14,$M720,CG$13)="",10^12,OFFSET(PLE!$G$14,$M720,CG$13))))</f>
        <v>1000000000000</v>
      </c>
      <c r="CH720" s="182">
        <f ca="1">IF($D720&lt;&gt;"Serviço",0,IF(OR(AND(AUTOEVENTO="Manual",$M720=1),$M720&gt;(ROW(PLE.lastrow)-ROW(PLE.firstrow))),0,IF(OFFSET(PLE!$G$14,$M720,CH$13)="",10^12,OFFSET(PLE!$G$14,$M720,CH$13))))</f>
        <v>1000000000000</v>
      </c>
      <c r="CI720" s="182">
        <f ca="1">IF($D720&lt;&gt;"Serviço",0,IF(OR(AND(AUTOEVENTO="Manual",$M720=1),$M720&gt;(ROW(PLE.lastrow)-ROW(PLE.firstrow))),0,IF(OFFSET(PLE!$G$14,$M720,CI$13)="",10^12,OFFSET(PLE!$G$14,$M720,CI$13))))</f>
        <v>1000000000000</v>
      </c>
      <c r="CJ720" s="182">
        <f ca="1">IF($D720&lt;&gt;"Serviço",0,IF(OR(AND(AUTOEVENTO="Manual",$M720=1),$M720&gt;(ROW(PLE.lastrow)-ROW(PLE.firstrow))),0,IF(OFFSET(PLE!$G$14,$M720,CJ$13)="",10^12,OFFSET(PLE!$G$14,$M720,CJ$13))))</f>
        <v>1000000000000</v>
      </c>
      <c r="CK720" s="182">
        <f ca="1">IF($D720&lt;&gt;"Serviço",0,IF(OR(AND(AUTOEVENTO="Manual",$M720=1),$M720&gt;(ROW(PLE.lastrow)-ROW(PLE.firstrow))),0,IF(OFFSET(PLE!$G$14,$M720,CK$13)="",10^12,OFFSET(PLE!$G$14,$M720,CK$13))))</f>
        <v>1000000000000</v>
      </c>
      <c r="CL720" s="182">
        <f ca="1">IF($D720&lt;&gt;"Serviço",0,IF(OR(AND(AUTOEVENTO="Manual",$M720=1),$M720&gt;(ROW(PLE.lastrow)-ROW(PLE.firstrow))),0,IF(OFFSET(PLE!$G$14,$M720,CL$13)="",10^12,OFFSET(PLE!$G$14,$M720,CL$13))))</f>
        <v>1000000000000</v>
      </c>
      <c r="CM720" s="182">
        <f ca="1">IF($D720&lt;&gt;"Serviço",0,IF(OR(AND(AUTOEVENTO="Manual",$M720=1),$M720&gt;(ROW(PLE.lastrow)-ROW(PLE.firstrow))),0,IF(OFFSET(PLE!$G$14,$M720,CM$13)="",10^12,OFFSET(PLE!$G$14,$M720,CM$13))))</f>
        <v>1000000000000</v>
      </c>
    </row>
    <row r="721" spans="1:91" ht="12.75" x14ac:dyDescent="0.2">
      <c r="A721" s="7" t="str">
        <f t="shared" ca="1" si="20"/>
        <v>706.</v>
      </c>
      <c r="B721" s="7">
        <f ca="1">OFFSET(ORÇAMENTO!C$15,ROW(B721)-ROW(B$15),0)</f>
        <v>2</v>
      </c>
      <c r="C721" s="7" t="str">
        <f ca="1">OFFSET(ORÇAMENTO!L$15,ROW(C721)-ROW(C$15),0)</f>
        <v>F</v>
      </c>
      <c r="D721" s="118" t="str">
        <f ca="1">OFFSET(ORÇAMENTO!N$15,ROW(D721)-ROW(D$15),0)</f>
        <v>Nível 2</v>
      </c>
      <c r="E721" s="119" t="str">
        <f ca="1">OFFSET(ORÇAMENTO!O$15,ROW(E721)-ROW(E$15),0)</f>
        <v>1.80.</v>
      </c>
      <c r="F721" s="172" t="str">
        <f ca="1">OFFSET(ORÇAMENTO!R$15,ROW(F721)-ROW(F$15),0)</f>
        <v>MURO DE FECHAMENTO - PINTURA</v>
      </c>
      <c r="G721" s="173" t="str">
        <f ca="1">IF($D721&lt;&gt;"Serviço","",OFFSET(ORÇAMENTO!S$15,ROW(G721)-ROW(G$15),0))</f>
        <v/>
      </c>
      <c r="H721" s="124">
        <f ca="1">IF($D721&lt;&gt;"Serviço",0,IF(ACOMPANHAMENTO="BM",ROUND(OFFSET(ORÇAMENTO!AJ$15,ROW(H721)-ROW(H$15),0),15-13*ORÇAMENTO!$AF$7),SUMPRODUCT(($Q$12:$AI$12&lt;&gt;"")*ROUND($Q721:$AI721,15-13*ORÇAMENTO!$AF$7))))</f>
        <v>0</v>
      </c>
      <c r="I721" s="561"/>
      <c r="K721" s="174"/>
      <c r="L721" s="175" t="s">
        <v>255</v>
      </c>
      <c r="M721" s="176" t="str">
        <f ca="1">IF($D721&lt;&gt;"Serviço","",IF(AUTOEVENTO="manual",$A721,IF(ISERROR(MATCH($A721,$A$15:OFFSET($A721,-1,0),0)),MAX($M$15:OFFSET(M721,-1,0))+1,INDEX($M$15:OFFSET(M721,-1,0),MATCH($A721,$A$15:OFFSET($A721,-1,0),0)))))</f>
        <v/>
      </c>
      <c r="N721" s="177" t="str">
        <f ca="1">IF($D721&lt;&gt;"Serviço","",IF(AUTOEVENTO="Manual",IF($A721=0,"&lt;-- defina o número do agrupador",OFFSET(EVENTOS!$D$14,$A721,0)),OFFSET($F$15,$A721,0)))</f>
        <v/>
      </c>
      <c r="O721" s="178"/>
      <c r="Q721" s="178">
        <v>0</v>
      </c>
      <c r="R721" s="179"/>
      <c r="S721" s="179"/>
      <c r="T721" s="179"/>
      <c r="U721" s="179"/>
      <c r="V721" s="179"/>
      <c r="W721" s="179"/>
      <c r="X721" s="179"/>
      <c r="Y721" s="179"/>
      <c r="Z721" s="180"/>
      <c r="AA721" s="179"/>
      <c r="AB721" s="179"/>
      <c r="AC721" s="179"/>
      <c r="AD721" s="179"/>
      <c r="AE721" s="179"/>
      <c r="AF721" s="179"/>
      <c r="AG721" s="179"/>
      <c r="AH721" s="180"/>
      <c r="AJ721" s="544">
        <f ca="1">IF(AND($D721="Serviço",AJ$12&lt;&gt;0,$H721&gt;0,OR(AUTOEVENTO&lt;&gt;"manual",$M721&lt;&gt;1)),
IF(Import.TipoArredondamento&lt;&gt;"TransfereGOV",
ROUND(OFFSET($P721,0,AJ$13),15-13*ORÇAMENTO!$AF$7)/$H721*OFFSET(ORÇAMENTO!$X$15,ROW(AJ721)-ROW(AJ$15),0),
ROUND(ROUND(OFFSET($P721,0,AJ$13),15-13*ORÇAMENTO!$AF$7)*OFFSET(ORÇAMENTO!$W$15,ROW(AJ721)-ROW(AJ$15),0),15-13*ORÇAMENTO!$AF$11)),0)</f>
        <v>0</v>
      </c>
      <c r="AK721" s="545">
        <f ca="1">IF(AND($D721="Serviço",AK$12&lt;&gt;0,$H721&gt;0,OR(AUTOEVENTO&lt;&gt;"manual",$M721&lt;&gt;1)),
IF(Import.TipoArredondamento&lt;&gt;"TransfereGOV",
ROUND(OFFSET($P721,0,AK$13),15-13*ORÇAMENTO!$AF$7)/$H721*OFFSET(ORÇAMENTO!$X$15,ROW(AK721)-ROW(AK$15),0),
ROUND(ROUND(OFFSET($P721,0,AK$13),15-13*ORÇAMENTO!$AF$7)*OFFSET(ORÇAMENTO!$W$15,ROW(AK721)-ROW(AK$15),0),15-13*ORÇAMENTO!$AF$11)),0)</f>
        <v>0</v>
      </c>
      <c r="AL721" s="545">
        <f ca="1">IF(AND($D721="Serviço",AL$12&lt;&gt;0,$H721&gt;0,OR(AUTOEVENTO&lt;&gt;"manual",$M721&lt;&gt;1)),
IF(Import.TipoArredondamento&lt;&gt;"TransfereGOV",
ROUND(OFFSET($P721,0,AL$13),15-13*ORÇAMENTO!$AF$7)/$H721*OFFSET(ORÇAMENTO!$X$15,ROW(AL721)-ROW(AL$15),0),
ROUND(ROUND(OFFSET($P721,0,AL$13),15-13*ORÇAMENTO!$AF$7)*OFFSET(ORÇAMENTO!$W$15,ROW(AL721)-ROW(AL$15),0),15-13*ORÇAMENTO!$AF$11)),0)</f>
        <v>0</v>
      </c>
      <c r="AM721" s="545">
        <f ca="1">IF(AND($D721="Serviço",AM$12&lt;&gt;0,$H721&gt;0,OR(AUTOEVENTO&lt;&gt;"manual",$M721&lt;&gt;1)),
IF(Import.TipoArredondamento&lt;&gt;"TransfereGOV",
ROUND(OFFSET($P721,0,AM$13),15-13*ORÇAMENTO!$AF$7)/$H721*OFFSET(ORÇAMENTO!$X$15,ROW(AM721)-ROW(AM$15),0),
ROUND(ROUND(OFFSET($P721,0,AM$13),15-13*ORÇAMENTO!$AF$7)*OFFSET(ORÇAMENTO!$W$15,ROW(AM721)-ROW(AM$15),0),15-13*ORÇAMENTO!$AF$11)),0)</f>
        <v>0</v>
      </c>
      <c r="AN721" s="545">
        <f ca="1">IF(AND($D721="Serviço",AN$12&lt;&gt;0,$H721&gt;0,OR(AUTOEVENTO&lt;&gt;"manual",$M721&lt;&gt;1)),
IF(Import.TipoArredondamento&lt;&gt;"TransfereGOV",
ROUND(OFFSET($P721,0,AN$13),15-13*ORÇAMENTO!$AF$7)/$H721*OFFSET(ORÇAMENTO!$X$15,ROW(AN721)-ROW(AN$15),0),
ROUND(ROUND(OFFSET($P721,0,AN$13),15-13*ORÇAMENTO!$AF$7)*OFFSET(ORÇAMENTO!$W$15,ROW(AN721)-ROW(AN$15),0),15-13*ORÇAMENTO!$AF$11)),0)</f>
        <v>0</v>
      </c>
      <c r="AO721" s="545">
        <f ca="1">IF(AND($D721="Serviço",AO$12&lt;&gt;0,$H721&gt;0,OR(AUTOEVENTO&lt;&gt;"manual",$M721&lt;&gt;1)),
IF(Import.TipoArredondamento&lt;&gt;"TransfereGOV",
ROUND(OFFSET($P721,0,AO$13),15-13*ORÇAMENTO!$AF$7)/$H721*OFFSET(ORÇAMENTO!$X$15,ROW(AO721)-ROW(AO$15),0),
ROUND(ROUND(OFFSET($P721,0,AO$13),15-13*ORÇAMENTO!$AF$7)*OFFSET(ORÇAMENTO!$W$15,ROW(AO721)-ROW(AO$15),0),15-13*ORÇAMENTO!$AF$11)),0)</f>
        <v>0</v>
      </c>
      <c r="AP721" s="545">
        <f ca="1">IF(AND($D721="Serviço",AP$12&lt;&gt;0,$H721&gt;0,OR(AUTOEVENTO&lt;&gt;"manual",$M721&lt;&gt;1)),
IF(Import.TipoArredondamento&lt;&gt;"TransfereGOV",
ROUND(OFFSET($P721,0,AP$13),15-13*ORÇAMENTO!$AF$7)/$H721*OFFSET(ORÇAMENTO!$X$15,ROW(AP721)-ROW(AP$15),0),
ROUND(ROUND(OFFSET($P721,0,AP$13),15-13*ORÇAMENTO!$AF$7)*OFFSET(ORÇAMENTO!$W$15,ROW(AP721)-ROW(AP$15),0),15-13*ORÇAMENTO!$AF$11)),0)</f>
        <v>0</v>
      </c>
      <c r="AQ721" s="545">
        <f ca="1">IF(AND($D721="Serviço",AQ$12&lt;&gt;0,$H721&gt;0,OR(AUTOEVENTO&lt;&gt;"manual",$M721&lt;&gt;1)),
IF(Import.TipoArredondamento&lt;&gt;"TransfereGOV",
ROUND(OFFSET($P721,0,AQ$13),15-13*ORÇAMENTO!$AF$7)/$H721*OFFSET(ORÇAMENTO!$X$15,ROW(AQ721)-ROW(AQ$15),0),
ROUND(ROUND(OFFSET($P721,0,AQ$13),15-13*ORÇAMENTO!$AF$7)*OFFSET(ORÇAMENTO!$W$15,ROW(AQ721)-ROW(AQ$15),0),15-13*ORÇAMENTO!$AF$11)),0)</f>
        <v>0</v>
      </c>
      <c r="AR721" s="545">
        <f ca="1">IF(AND($D721="Serviço",AR$12&lt;&gt;0,$H721&gt;0,OR(AUTOEVENTO&lt;&gt;"manual",$M721&lt;&gt;1)),
IF(Import.TipoArredondamento&lt;&gt;"TransfereGOV",
ROUND(OFFSET($P721,0,AR$13),15-13*ORÇAMENTO!$AF$7)/$H721*OFFSET(ORÇAMENTO!$X$15,ROW(AR721)-ROW(AR$15),0),
ROUND(ROUND(OFFSET($P721,0,AR$13),15-13*ORÇAMENTO!$AF$7)*OFFSET(ORÇAMENTO!$W$15,ROW(AR721)-ROW(AR$15),0),15-13*ORÇAMENTO!$AF$11)),0)</f>
        <v>0</v>
      </c>
      <c r="AS721" s="546">
        <f ca="1">IF(AND($D721="Serviço",AS$12&lt;&gt;0,$H721&gt;0,OR(AUTOEVENTO&lt;&gt;"manual",$M721&lt;&gt;1)),
IF(Import.TipoArredondamento&lt;&gt;"TransfereGOV",
ROUND(OFFSET($P721,0,AS$13),15-13*ORÇAMENTO!$AF$7)/$H721*OFFSET(ORÇAMENTO!$X$15,ROW(AS721)-ROW(AS$15),0),
ROUND(ROUND(OFFSET($P721,0,AS$13),15-13*ORÇAMENTO!$AF$7)*OFFSET(ORÇAMENTO!$W$15,ROW(AS721)-ROW(AS$15),0),15-13*ORÇAMENTO!$AF$11)),0)</f>
        <v>0</v>
      </c>
      <c r="AT721" s="545">
        <f ca="1">IF(AND($D721="Serviço",AT$12&lt;&gt;0,$H721&gt;0,OR(AUTOEVENTO&lt;&gt;"manual",$M721&lt;&gt;1)),
IF(Import.TipoArredondamento&lt;&gt;"TransfereGOV",
ROUND(OFFSET($P721,0,AT$13),15-13*ORÇAMENTO!$AF$7)/$H721*OFFSET(ORÇAMENTO!$X$15,ROW(AT721)-ROW(AT$15),0),
ROUND(ROUND(OFFSET($P721,0,AT$13),15-13*ORÇAMENTO!$AF$7)*OFFSET(ORÇAMENTO!$W$15,ROW(AT721)-ROW(AT$15),0),15-13*ORÇAMENTO!$AF$11)),0)</f>
        <v>0</v>
      </c>
      <c r="AU721" s="545">
        <f ca="1">IF(AND($D721="Serviço",AU$12&lt;&gt;0,$H721&gt;0,OR(AUTOEVENTO&lt;&gt;"manual",$M721&lt;&gt;1)),
IF(Import.TipoArredondamento&lt;&gt;"TransfereGOV",
ROUND(OFFSET($P721,0,AU$13),15-13*ORÇAMENTO!$AF$7)/$H721*OFFSET(ORÇAMENTO!$X$15,ROW(AU721)-ROW(AU$15),0),
ROUND(ROUND(OFFSET($P721,0,AU$13),15-13*ORÇAMENTO!$AF$7)*OFFSET(ORÇAMENTO!$W$15,ROW(AU721)-ROW(AU$15),0),15-13*ORÇAMENTO!$AF$11)),0)</f>
        <v>0</v>
      </c>
      <c r="AV721" s="545">
        <f ca="1">IF(AND($D721="Serviço",AV$12&lt;&gt;0,$H721&gt;0,OR(AUTOEVENTO&lt;&gt;"manual",$M721&lt;&gt;1)),
IF(Import.TipoArredondamento&lt;&gt;"TransfereGOV",
ROUND(OFFSET($P721,0,AV$13),15-13*ORÇAMENTO!$AF$7)/$H721*OFFSET(ORÇAMENTO!$X$15,ROW(AV721)-ROW(AV$15),0),
ROUND(ROUND(OFFSET($P721,0,AV$13),15-13*ORÇAMENTO!$AF$7)*OFFSET(ORÇAMENTO!$W$15,ROW(AV721)-ROW(AV$15),0),15-13*ORÇAMENTO!$AF$11)),0)</f>
        <v>0</v>
      </c>
      <c r="AW721" s="545">
        <f ca="1">IF(AND($D721="Serviço",AW$12&lt;&gt;0,$H721&gt;0,OR(AUTOEVENTO&lt;&gt;"manual",$M721&lt;&gt;1)),
IF(Import.TipoArredondamento&lt;&gt;"TransfereGOV",
ROUND(OFFSET($P721,0,AW$13),15-13*ORÇAMENTO!$AF$7)/$H721*OFFSET(ORÇAMENTO!$X$15,ROW(AW721)-ROW(AW$15),0),
ROUND(ROUND(OFFSET($P721,0,AW$13),15-13*ORÇAMENTO!$AF$7)*OFFSET(ORÇAMENTO!$W$15,ROW(AW721)-ROW(AW$15),0),15-13*ORÇAMENTO!$AF$11)),0)</f>
        <v>0</v>
      </c>
      <c r="AX721" s="545">
        <f ca="1">IF(AND($D721="Serviço",AX$12&lt;&gt;0,$H721&gt;0,OR(AUTOEVENTO&lt;&gt;"manual",$M721&lt;&gt;1)),
IF(Import.TipoArredondamento&lt;&gt;"TransfereGOV",
ROUND(OFFSET($P721,0,AX$13),15-13*ORÇAMENTO!$AF$7)/$H721*OFFSET(ORÇAMENTO!$X$15,ROW(AX721)-ROW(AX$15),0),
ROUND(ROUND(OFFSET($P721,0,AX$13),15-13*ORÇAMENTO!$AF$7)*OFFSET(ORÇAMENTO!$W$15,ROW(AX721)-ROW(AX$15),0),15-13*ORÇAMENTO!$AF$11)),0)</f>
        <v>0</v>
      </c>
      <c r="AY721" s="545">
        <f ca="1">IF(AND($D721="Serviço",AY$12&lt;&gt;0,$H721&gt;0,OR(AUTOEVENTO&lt;&gt;"manual",$M721&lt;&gt;1)),
IF(Import.TipoArredondamento&lt;&gt;"TransfereGOV",
ROUND(OFFSET($P721,0,AY$13),15-13*ORÇAMENTO!$AF$7)/$H721*OFFSET(ORÇAMENTO!$X$15,ROW(AY721)-ROW(AY$15),0),
ROUND(ROUND(OFFSET($P721,0,AY$13),15-13*ORÇAMENTO!$AF$7)*OFFSET(ORÇAMENTO!$W$15,ROW(AY721)-ROW(AY$15),0),15-13*ORÇAMENTO!$AF$11)),0)</f>
        <v>0</v>
      </c>
      <c r="AZ721" s="545">
        <f ca="1">IF(AND($D721="Serviço",AZ$12&lt;&gt;0,$H721&gt;0,OR(AUTOEVENTO&lt;&gt;"manual",$M721&lt;&gt;1)),
IF(Import.TipoArredondamento&lt;&gt;"TransfereGOV",
ROUND(OFFSET($P721,0,AZ$13),15-13*ORÇAMENTO!$AF$7)/$H721*OFFSET(ORÇAMENTO!$X$15,ROW(AZ721)-ROW(AZ$15),0),
ROUND(ROUND(OFFSET($P721,0,AZ$13),15-13*ORÇAMENTO!$AF$7)*OFFSET(ORÇAMENTO!$W$15,ROW(AZ721)-ROW(AZ$15),0),15-13*ORÇAMENTO!$AF$11)),0)</f>
        <v>0</v>
      </c>
      <c r="BA721" s="546">
        <f ca="1">IF(AND($D721="Serviço",BA$12&lt;&gt;0,$H721&gt;0,OR(AUTOEVENTO&lt;&gt;"manual",$M721&lt;&gt;1)),
IF(Import.TipoArredondamento&lt;&gt;"TransfereGOV",
ROUND(OFFSET($P721,0,BA$13),15-13*ORÇAMENTO!$AF$7)/$H721*OFFSET(ORÇAMENTO!$X$15,ROW(BA721)-ROW(BA$15),0),
ROUND(ROUND(OFFSET($P721,0,BA$13),15-13*ORÇAMENTO!$AF$7)*OFFSET(ORÇAMENTO!$W$15,ROW(BA721)-ROW(BA$15),0),15-13*ORÇAMENTO!$AF$11)),0)</f>
        <v>0</v>
      </c>
      <c r="BC721" s="181">
        <f ca="1">IF($D721&lt;&gt;"Serviço",0,IF(AND(AUTOEVENTO="Manual",$M721=1),0,IF(OFFSET(CRONOPLE!$F$14,$M721,BC$13)="",10^12,OFFSET(CRONOPLE!$F$14,$M721,BC$13))))</f>
        <v>0</v>
      </c>
      <c r="BD721" s="181">
        <f ca="1">IF($D721&lt;&gt;"Serviço",0,IF(AND(AUTOEVENTO="Manual",$M721=1),0,IF(OFFSET(CRONOPLE!$F$14,$M721,BD$13)="",10^12,OFFSET(CRONOPLE!$F$14,$M721,BD$13))))</f>
        <v>0</v>
      </c>
      <c r="BE721" s="181">
        <f ca="1">IF($D721&lt;&gt;"Serviço",0,IF(AND(AUTOEVENTO="Manual",$M721=1),0,IF(OFFSET(CRONOPLE!$F$14,$M721,BE$13)="",10^12,OFFSET(CRONOPLE!$F$14,$M721,BE$13))))</f>
        <v>0</v>
      </c>
      <c r="BF721" s="181">
        <f ca="1">IF($D721&lt;&gt;"Serviço",0,IF(AND(AUTOEVENTO="Manual",$M721=1),0,IF(OFFSET(CRONOPLE!$F$14,$M721,BF$13)="",10^12,OFFSET(CRONOPLE!$F$14,$M721,BF$13))))</f>
        <v>0</v>
      </c>
      <c r="BG721" s="181">
        <f ca="1">IF($D721&lt;&gt;"Serviço",0,IF(AND(AUTOEVENTO="Manual",$M721=1),0,IF(OFFSET(CRONOPLE!$F$14,$M721,BG$13)="",10^12,OFFSET(CRONOPLE!$F$14,$M721,BG$13))))</f>
        <v>0</v>
      </c>
      <c r="BH721" s="181">
        <f ca="1">IF($D721&lt;&gt;"Serviço",0,IF(AND(AUTOEVENTO="Manual",$M721=1),0,IF(OFFSET(CRONOPLE!$F$14,$M721,BH$13)="",10^12,OFFSET(CRONOPLE!$F$14,$M721,BH$13))))</f>
        <v>0</v>
      </c>
      <c r="BI721" s="181">
        <f ca="1">IF($D721&lt;&gt;"Serviço",0,IF(AND(AUTOEVENTO="Manual",$M721=1),0,IF(OFFSET(CRONOPLE!$F$14,$M721,BI$13)="",10^12,OFFSET(CRONOPLE!$F$14,$M721,BI$13))))</f>
        <v>0</v>
      </c>
      <c r="BJ721" s="181">
        <f ca="1">IF($D721&lt;&gt;"Serviço",0,IF(AND(AUTOEVENTO="Manual",$M721=1),0,IF(OFFSET(CRONOPLE!$F$14,$M721,BJ$13)="",10^12,OFFSET(CRONOPLE!$F$14,$M721,BJ$13))))</f>
        <v>0</v>
      </c>
      <c r="BK721" s="181">
        <f ca="1">IF($D721&lt;&gt;"Serviço",0,IF(AND(AUTOEVENTO="Manual",$M721=1),0,IF(OFFSET(CRONOPLE!$F$14,$M721,BK$13)="",10^12,OFFSET(CRONOPLE!$F$14,$M721,BK$13))))</f>
        <v>0</v>
      </c>
      <c r="BL721" s="181">
        <f ca="1">IF($D721&lt;&gt;"Serviço",0,IF(AND(AUTOEVENTO="Manual",$M721=1),0,IF(OFFSET(CRONOPLE!$F$14,$M721,BL$13)="",10^12,OFFSET(CRONOPLE!$F$14,$M721,BL$13))))</f>
        <v>0</v>
      </c>
      <c r="BM721" s="181">
        <f ca="1">IF($D721&lt;&gt;"Serviço",0,IF(AND(AUTOEVENTO="Manual",$M721=1),0,IF(OFFSET(CRONOPLE!$F$14,$M721,BM$13)="",10^12,OFFSET(CRONOPLE!$F$14,$M721,BM$13))))</f>
        <v>0</v>
      </c>
      <c r="BN721" s="181">
        <f ca="1">IF($D721&lt;&gt;"Serviço",0,IF(AND(AUTOEVENTO="Manual",$M721=1),0,IF(OFFSET(CRONOPLE!$F$14,$M721,BN$13)="",10^12,OFFSET(CRONOPLE!$F$14,$M721,BN$13))))</f>
        <v>0</v>
      </c>
      <c r="BO721" s="181">
        <f ca="1">IF($D721&lt;&gt;"Serviço",0,IF(AND(AUTOEVENTO="Manual",$M721=1),0,IF(OFFSET(CRONOPLE!$F$14,$M721,BO$13)="",10^12,OFFSET(CRONOPLE!$F$14,$M721,BO$13))))</f>
        <v>0</v>
      </c>
      <c r="BP721" s="181">
        <f ca="1">IF($D721&lt;&gt;"Serviço",0,IF(AND(AUTOEVENTO="Manual",$M721=1),0,IF(OFFSET(CRONOPLE!$F$14,$M721,BP$13)="",10^12,OFFSET(CRONOPLE!$F$14,$M721,BP$13))))</f>
        <v>0</v>
      </c>
      <c r="BQ721" s="181">
        <f ca="1">IF($D721&lt;&gt;"Serviço",0,IF(AND(AUTOEVENTO="Manual",$M721=1),0,IF(OFFSET(CRONOPLE!$F$14,$M721,BQ$13)="",10^12,OFFSET(CRONOPLE!$F$14,$M721,BQ$13))))</f>
        <v>0</v>
      </c>
      <c r="BR721" s="181">
        <f ca="1">IF($D721&lt;&gt;"Serviço",0,IF(AND(AUTOEVENTO="Manual",$M721=1),0,IF(OFFSET(CRONOPLE!$F$14,$M721,BR$13)="",10^12,OFFSET(CRONOPLE!$F$14,$M721,BR$13))))</f>
        <v>0</v>
      </c>
      <c r="BS721" s="181">
        <f ca="1">IF($D721&lt;&gt;"Serviço",0,IF(AND(AUTOEVENTO="Manual",$M721=1),0,IF(OFFSET(CRONOPLE!$F$14,$M721,BS$13)="",10^12,OFFSET(CRONOPLE!$F$14,$M721,BS$13))))</f>
        <v>0</v>
      </c>
      <c r="BT721" s="181">
        <f ca="1">IF($D721&lt;&gt;"Serviço",0,IF(AND(AUTOEVENTO="Manual",$M721=1),0,IF(OFFSET(CRONOPLE!$F$14,$M721,BT$13)="",10^12,OFFSET(CRONOPLE!$F$14,$M721,BT$13))))</f>
        <v>0</v>
      </c>
      <c r="BV721" s="182">
        <f ca="1">IF($D721&lt;&gt;"Serviço",0,IF(OR(AND(AUTOEVENTO="Manual",$M721=1),$M721&gt;(ROW(PLE.lastrow)-ROW(PLE.firstrow))),0,IF(OFFSET(PLE!$G$14,$M721,BV$13)="",10^12,OFFSET(PLE!$G$14,$M721,BV$13))))</f>
        <v>0</v>
      </c>
      <c r="BW721" s="182">
        <f ca="1">IF($D721&lt;&gt;"Serviço",0,IF(OR(AND(AUTOEVENTO="Manual",$M721=1),$M721&gt;(ROW(PLE.lastrow)-ROW(PLE.firstrow))),0,IF(OFFSET(PLE!$G$14,$M721,BW$13)="",10^12,OFFSET(PLE!$G$14,$M721,BW$13))))</f>
        <v>0</v>
      </c>
      <c r="BX721" s="182">
        <f ca="1">IF($D721&lt;&gt;"Serviço",0,IF(OR(AND(AUTOEVENTO="Manual",$M721=1),$M721&gt;(ROW(PLE.lastrow)-ROW(PLE.firstrow))),0,IF(OFFSET(PLE!$G$14,$M721,BX$13)="",10^12,OFFSET(PLE!$G$14,$M721,BX$13))))</f>
        <v>0</v>
      </c>
      <c r="BY721" s="182">
        <f ca="1">IF($D721&lt;&gt;"Serviço",0,IF(OR(AND(AUTOEVENTO="Manual",$M721=1),$M721&gt;(ROW(PLE.lastrow)-ROW(PLE.firstrow))),0,IF(OFFSET(PLE!$G$14,$M721,BY$13)="",10^12,OFFSET(PLE!$G$14,$M721,BY$13))))</f>
        <v>0</v>
      </c>
      <c r="BZ721" s="182">
        <f ca="1">IF($D721&lt;&gt;"Serviço",0,IF(OR(AND(AUTOEVENTO="Manual",$M721=1),$M721&gt;(ROW(PLE.lastrow)-ROW(PLE.firstrow))),0,IF(OFFSET(PLE!$G$14,$M721,BZ$13)="",10^12,OFFSET(PLE!$G$14,$M721,BZ$13))))</f>
        <v>0</v>
      </c>
      <c r="CA721" s="182">
        <f ca="1">IF($D721&lt;&gt;"Serviço",0,IF(OR(AND(AUTOEVENTO="Manual",$M721=1),$M721&gt;(ROW(PLE.lastrow)-ROW(PLE.firstrow))),0,IF(OFFSET(PLE!$G$14,$M721,CA$13)="",10^12,OFFSET(PLE!$G$14,$M721,CA$13))))</f>
        <v>0</v>
      </c>
      <c r="CB721" s="182">
        <f ca="1">IF($D721&lt;&gt;"Serviço",0,IF(OR(AND(AUTOEVENTO="Manual",$M721=1),$M721&gt;(ROW(PLE.lastrow)-ROW(PLE.firstrow))),0,IF(OFFSET(PLE!$G$14,$M721,CB$13)="",10^12,OFFSET(PLE!$G$14,$M721,CB$13))))</f>
        <v>0</v>
      </c>
      <c r="CC721" s="182">
        <f ca="1">IF($D721&lt;&gt;"Serviço",0,IF(OR(AND(AUTOEVENTO="Manual",$M721=1),$M721&gt;(ROW(PLE.lastrow)-ROW(PLE.firstrow))),0,IF(OFFSET(PLE!$G$14,$M721,CC$13)="",10^12,OFFSET(PLE!$G$14,$M721,CC$13))))</f>
        <v>0</v>
      </c>
      <c r="CD721" s="182">
        <f ca="1">IF($D721&lt;&gt;"Serviço",0,IF(OR(AND(AUTOEVENTO="Manual",$M721=1),$M721&gt;(ROW(PLE.lastrow)-ROW(PLE.firstrow))),0,IF(OFFSET(PLE!$G$14,$M721,CD$13)="",10^12,OFFSET(PLE!$G$14,$M721,CD$13))))</f>
        <v>0</v>
      </c>
      <c r="CE721" s="182">
        <f ca="1">IF($D721&lt;&gt;"Serviço",0,IF(OR(AND(AUTOEVENTO="Manual",$M721=1),$M721&gt;(ROW(PLE.lastrow)-ROW(PLE.firstrow))),0,IF(OFFSET(PLE!$G$14,$M721,CE$13)="",10^12,OFFSET(PLE!$G$14,$M721,CE$13))))</f>
        <v>0</v>
      </c>
      <c r="CF721" s="182">
        <f ca="1">IF($D721&lt;&gt;"Serviço",0,IF(OR(AND(AUTOEVENTO="Manual",$M721=1),$M721&gt;(ROW(PLE.lastrow)-ROW(PLE.firstrow))),0,IF(OFFSET(PLE!$G$14,$M721,CF$13)="",10^12,OFFSET(PLE!$G$14,$M721,CF$13))))</f>
        <v>0</v>
      </c>
      <c r="CG721" s="182">
        <f ca="1">IF($D721&lt;&gt;"Serviço",0,IF(OR(AND(AUTOEVENTO="Manual",$M721=1),$M721&gt;(ROW(PLE.lastrow)-ROW(PLE.firstrow))),0,IF(OFFSET(PLE!$G$14,$M721,CG$13)="",10^12,OFFSET(PLE!$G$14,$M721,CG$13))))</f>
        <v>0</v>
      </c>
      <c r="CH721" s="182">
        <f ca="1">IF($D721&lt;&gt;"Serviço",0,IF(OR(AND(AUTOEVENTO="Manual",$M721=1),$M721&gt;(ROW(PLE.lastrow)-ROW(PLE.firstrow))),0,IF(OFFSET(PLE!$G$14,$M721,CH$13)="",10^12,OFFSET(PLE!$G$14,$M721,CH$13))))</f>
        <v>0</v>
      </c>
      <c r="CI721" s="182">
        <f ca="1">IF($D721&lt;&gt;"Serviço",0,IF(OR(AND(AUTOEVENTO="Manual",$M721=1),$M721&gt;(ROW(PLE.lastrow)-ROW(PLE.firstrow))),0,IF(OFFSET(PLE!$G$14,$M721,CI$13)="",10^12,OFFSET(PLE!$G$14,$M721,CI$13))))</f>
        <v>0</v>
      </c>
      <c r="CJ721" s="182">
        <f ca="1">IF($D721&lt;&gt;"Serviço",0,IF(OR(AND(AUTOEVENTO="Manual",$M721=1),$M721&gt;(ROW(PLE.lastrow)-ROW(PLE.firstrow))),0,IF(OFFSET(PLE!$G$14,$M721,CJ$13)="",10^12,OFFSET(PLE!$G$14,$M721,CJ$13))))</f>
        <v>0</v>
      </c>
      <c r="CK721" s="182">
        <f ca="1">IF($D721&lt;&gt;"Serviço",0,IF(OR(AND(AUTOEVENTO="Manual",$M721=1),$M721&gt;(ROW(PLE.lastrow)-ROW(PLE.firstrow))),0,IF(OFFSET(PLE!$G$14,$M721,CK$13)="",10^12,OFFSET(PLE!$G$14,$M721,CK$13))))</f>
        <v>0</v>
      </c>
      <c r="CL721" s="182">
        <f ca="1">IF($D721&lt;&gt;"Serviço",0,IF(OR(AND(AUTOEVENTO="Manual",$M721=1),$M721&gt;(ROW(PLE.lastrow)-ROW(PLE.firstrow))),0,IF(OFFSET(PLE!$G$14,$M721,CL$13)="",10^12,OFFSET(PLE!$G$14,$M721,CL$13))))</f>
        <v>0</v>
      </c>
      <c r="CM721" s="182">
        <f ca="1">IF($D721&lt;&gt;"Serviço",0,IF(OR(AND(AUTOEVENTO="Manual",$M721=1),$M721&gt;(ROW(PLE.lastrow)-ROW(PLE.firstrow))),0,IF(OFFSET(PLE!$G$14,$M721,CM$13)="",10^12,OFFSET(PLE!$G$14,$M721,CM$13))))</f>
        <v>0</v>
      </c>
    </row>
    <row r="722" spans="1:91" ht="25.5" x14ac:dyDescent="0.2">
      <c r="A722" s="7" t="str">
        <f t="shared" ca="1" si="20"/>
        <v>706</v>
      </c>
      <c r="B722" s="7" t="str">
        <f ca="1">OFFSET(ORÇAMENTO!C$15,ROW(B722)-ROW(B$15),0)</f>
        <v>S</v>
      </c>
      <c r="C722" s="7" t="str">
        <f ca="1">OFFSET(ORÇAMENTO!L$15,ROW(C722)-ROW(C$15),0)</f>
        <v/>
      </c>
      <c r="D722" s="118" t="str">
        <f ca="1">OFFSET(ORÇAMENTO!N$15,ROW(D722)-ROW(D$15),0)</f>
        <v>Serviço</v>
      </c>
      <c r="E722" s="119" t="str">
        <f ca="1">OFFSET(ORÇAMENTO!O$15,ROW(E722)-ROW(E$15),0)</f>
        <v>-</v>
      </c>
      <c r="F722" s="172" t="str">
        <f ca="1">OFFSET(ORÇAMENTO!R$15,ROW(F722)-ROW(F$15),0)</f>
        <v>(abra o arquivo 'Referência 06-2024.xlsm)</v>
      </c>
      <c r="G722" s="173" t="str">
        <f ca="1">IF($D722&lt;&gt;"Serviço","",OFFSET(ORÇAMENTO!S$15,ROW(G722)-ROW(G$15),0))</f>
        <v>-</v>
      </c>
      <c r="H722" s="124">
        <f ca="1">IF($D722&lt;&gt;"Serviço",0,IF(ACOMPANHAMENTO="BM",ROUND(OFFSET(ORÇAMENTO!AJ$15,ROW(H722)-ROW(H$15),0),15-13*ORÇAMENTO!$AF$7),SUMPRODUCT(($Q$12:$AI$12&lt;&gt;"")*ROUND($Q722:$AI722,15-13*ORÇAMENTO!$AF$7))))</f>
        <v>330.6</v>
      </c>
      <c r="I722" s="561" t="s">
        <v>1107</v>
      </c>
      <c r="K722" s="174"/>
      <c r="L722" s="175" t="s">
        <v>255</v>
      </c>
      <c r="M722" s="176">
        <f ca="1">IF($D722&lt;&gt;"Serviço","",IF(AUTOEVENTO="manual",$A722,IF(ISERROR(MATCH($A722,$A$15:OFFSET($A722,-1,0),0)),MAX($M$15:OFFSET(M722,-1,0))+1,INDEX($M$15:OFFSET(M722,-1,0),MATCH($A722,$A$15:OFFSET($A722,-1,0),0)))))</f>
        <v>81</v>
      </c>
      <c r="N722" s="177" t="str">
        <f ca="1">IF($D722&lt;&gt;"Serviço","",IF(AUTOEVENTO="Manual",IF($A722=0,"&lt;-- defina o número do agrupador",OFFSET(EVENTOS!$D$14,$A722,0)),OFFSET($F$15,$A722,0)))</f>
        <v>MURO DE FECHAMENTO - PINTURA</v>
      </c>
      <c r="O722" s="178"/>
      <c r="Q722" s="178">
        <v>330.6</v>
      </c>
      <c r="R722" s="179"/>
      <c r="S722" s="179"/>
      <c r="T722" s="179"/>
      <c r="U722" s="179"/>
      <c r="V722" s="179"/>
      <c r="W722" s="179"/>
      <c r="X722" s="179"/>
      <c r="Y722" s="179"/>
      <c r="Z722" s="180"/>
      <c r="AA722" s="179"/>
      <c r="AB722" s="179"/>
      <c r="AC722" s="179"/>
      <c r="AD722" s="179"/>
      <c r="AE722" s="179"/>
      <c r="AF722" s="179"/>
      <c r="AG722" s="179"/>
      <c r="AH722" s="180"/>
      <c r="AJ722" s="544">
        <f ca="1">IF(AND($D722="Serviço",AJ$12&lt;&gt;0,$H722&gt;0,OR(AUTOEVENTO&lt;&gt;"manual",$M722&lt;&gt;1)),
IF(Import.TipoArredondamento&lt;&gt;"TransfereGOV",
ROUND(OFFSET($P722,0,AJ$13),15-13*ORÇAMENTO!$AF$7)/$H722*OFFSET(ORÇAMENTO!$X$15,ROW(AJ722)-ROW(AJ$15),0),
ROUND(ROUND(OFFSET($P722,0,AJ$13),15-13*ORÇAMENTO!$AF$7)*OFFSET(ORÇAMENTO!$W$15,ROW(AJ722)-ROW(AJ$15),0),15-13*ORÇAMENTO!$AF$11)),0)</f>
        <v>0</v>
      </c>
      <c r="AK722" s="545">
        <f ca="1">IF(AND($D722="Serviço",AK$12&lt;&gt;0,$H722&gt;0,OR(AUTOEVENTO&lt;&gt;"manual",$M722&lt;&gt;1)),
IF(Import.TipoArredondamento&lt;&gt;"TransfereGOV",
ROUND(OFFSET($P722,0,AK$13),15-13*ORÇAMENTO!$AF$7)/$H722*OFFSET(ORÇAMENTO!$X$15,ROW(AK722)-ROW(AK$15),0),
ROUND(ROUND(OFFSET($P722,0,AK$13),15-13*ORÇAMENTO!$AF$7)*OFFSET(ORÇAMENTO!$W$15,ROW(AK722)-ROW(AK$15),0),15-13*ORÇAMENTO!$AF$11)),0)</f>
        <v>0</v>
      </c>
      <c r="AL722" s="545">
        <f ca="1">IF(AND($D722="Serviço",AL$12&lt;&gt;0,$H722&gt;0,OR(AUTOEVENTO&lt;&gt;"manual",$M722&lt;&gt;1)),
IF(Import.TipoArredondamento&lt;&gt;"TransfereGOV",
ROUND(OFFSET($P722,0,AL$13),15-13*ORÇAMENTO!$AF$7)/$H722*OFFSET(ORÇAMENTO!$X$15,ROW(AL722)-ROW(AL$15),0),
ROUND(ROUND(OFFSET($P722,0,AL$13),15-13*ORÇAMENTO!$AF$7)*OFFSET(ORÇAMENTO!$W$15,ROW(AL722)-ROW(AL$15),0),15-13*ORÇAMENTO!$AF$11)),0)</f>
        <v>0</v>
      </c>
      <c r="AM722" s="545">
        <f ca="1">IF(AND($D722="Serviço",AM$12&lt;&gt;0,$H722&gt;0,OR(AUTOEVENTO&lt;&gt;"manual",$M722&lt;&gt;1)),
IF(Import.TipoArredondamento&lt;&gt;"TransfereGOV",
ROUND(OFFSET($P722,0,AM$13),15-13*ORÇAMENTO!$AF$7)/$H722*OFFSET(ORÇAMENTO!$X$15,ROW(AM722)-ROW(AM$15),0),
ROUND(ROUND(OFFSET($P722,0,AM$13),15-13*ORÇAMENTO!$AF$7)*OFFSET(ORÇAMENTO!$W$15,ROW(AM722)-ROW(AM$15),0),15-13*ORÇAMENTO!$AF$11)),0)</f>
        <v>0</v>
      </c>
      <c r="AN722" s="545">
        <f ca="1">IF(AND($D722="Serviço",AN$12&lt;&gt;0,$H722&gt;0,OR(AUTOEVENTO&lt;&gt;"manual",$M722&lt;&gt;1)),
IF(Import.TipoArredondamento&lt;&gt;"TransfereGOV",
ROUND(OFFSET($P722,0,AN$13),15-13*ORÇAMENTO!$AF$7)/$H722*OFFSET(ORÇAMENTO!$X$15,ROW(AN722)-ROW(AN$15),0),
ROUND(ROUND(OFFSET($P722,0,AN$13),15-13*ORÇAMENTO!$AF$7)*OFFSET(ORÇAMENTO!$W$15,ROW(AN722)-ROW(AN$15),0),15-13*ORÇAMENTO!$AF$11)),0)</f>
        <v>0</v>
      </c>
      <c r="AO722" s="545">
        <f ca="1">IF(AND($D722="Serviço",AO$12&lt;&gt;0,$H722&gt;0,OR(AUTOEVENTO&lt;&gt;"manual",$M722&lt;&gt;1)),
IF(Import.TipoArredondamento&lt;&gt;"TransfereGOV",
ROUND(OFFSET($P722,0,AO$13),15-13*ORÇAMENTO!$AF$7)/$H722*OFFSET(ORÇAMENTO!$X$15,ROW(AO722)-ROW(AO$15),0),
ROUND(ROUND(OFFSET($P722,0,AO$13),15-13*ORÇAMENTO!$AF$7)*OFFSET(ORÇAMENTO!$W$15,ROW(AO722)-ROW(AO$15),0),15-13*ORÇAMENTO!$AF$11)),0)</f>
        <v>0</v>
      </c>
      <c r="AP722" s="545">
        <f ca="1">IF(AND($D722="Serviço",AP$12&lt;&gt;0,$H722&gt;0,OR(AUTOEVENTO&lt;&gt;"manual",$M722&lt;&gt;1)),
IF(Import.TipoArredondamento&lt;&gt;"TransfereGOV",
ROUND(OFFSET($P722,0,AP$13),15-13*ORÇAMENTO!$AF$7)/$H722*OFFSET(ORÇAMENTO!$X$15,ROW(AP722)-ROW(AP$15),0),
ROUND(ROUND(OFFSET($P722,0,AP$13),15-13*ORÇAMENTO!$AF$7)*OFFSET(ORÇAMENTO!$W$15,ROW(AP722)-ROW(AP$15),0),15-13*ORÇAMENTO!$AF$11)),0)</f>
        <v>0</v>
      </c>
      <c r="AQ722" s="545">
        <f ca="1">IF(AND($D722="Serviço",AQ$12&lt;&gt;0,$H722&gt;0,OR(AUTOEVENTO&lt;&gt;"manual",$M722&lt;&gt;1)),
IF(Import.TipoArredondamento&lt;&gt;"TransfereGOV",
ROUND(OFFSET($P722,0,AQ$13),15-13*ORÇAMENTO!$AF$7)/$H722*OFFSET(ORÇAMENTO!$X$15,ROW(AQ722)-ROW(AQ$15),0),
ROUND(ROUND(OFFSET($P722,0,AQ$13),15-13*ORÇAMENTO!$AF$7)*OFFSET(ORÇAMENTO!$W$15,ROW(AQ722)-ROW(AQ$15),0),15-13*ORÇAMENTO!$AF$11)),0)</f>
        <v>0</v>
      </c>
      <c r="AR722" s="545">
        <f ca="1">IF(AND($D722="Serviço",AR$12&lt;&gt;0,$H722&gt;0,OR(AUTOEVENTO&lt;&gt;"manual",$M722&lt;&gt;1)),
IF(Import.TipoArredondamento&lt;&gt;"TransfereGOV",
ROUND(OFFSET($P722,0,AR$13),15-13*ORÇAMENTO!$AF$7)/$H722*OFFSET(ORÇAMENTO!$X$15,ROW(AR722)-ROW(AR$15),0),
ROUND(ROUND(OFFSET($P722,0,AR$13),15-13*ORÇAMENTO!$AF$7)*OFFSET(ORÇAMENTO!$W$15,ROW(AR722)-ROW(AR$15),0),15-13*ORÇAMENTO!$AF$11)),0)</f>
        <v>0</v>
      </c>
      <c r="AS722" s="546">
        <f ca="1">IF(AND($D722="Serviço",AS$12&lt;&gt;0,$H722&gt;0,OR(AUTOEVENTO&lt;&gt;"manual",$M722&lt;&gt;1)),
IF(Import.TipoArredondamento&lt;&gt;"TransfereGOV",
ROUND(OFFSET($P722,0,AS$13),15-13*ORÇAMENTO!$AF$7)/$H722*OFFSET(ORÇAMENTO!$X$15,ROW(AS722)-ROW(AS$15),0),
ROUND(ROUND(OFFSET($P722,0,AS$13),15-13*ORÇAMENTO!$AF$7)*OFFSET(ORÇAMENTO!$W$15,ROW(AS722)-ROW(AS$15),0),15-13*ORÇAMENTO!$AF$11)),0)</f>
        <v>0</v>
      </c>
      <c r="AT722" s="545">
        <f ca="1">IF(AND($D722="Serviço",AT$12&lt;&gt;0,$H722&gt;0,OR(AUTOEVENTO&lt;&gt;"manual",$M722&lt;&gt;1)),
IF(Import.TipoArredondamento&lt;&gt;"TransfereGOV",
ROUND(OFFSET($P722,0,AT$13),15-13*ORÇAMENTO!$AF$7)/$H722*OFFSET(ORÇAMENTO!$X$15,ROW(AT722)-ROW(AT$15),0),
ROUND(ROUND(OFFSET($P722,0,AT$13),15-13*ORÇAMENTO!$AF$7)*OFFSET(ORÇAMENTO!$W$15,ROW(AT722)-ROW(AT$15),0),15-13*ORÇAMENTO!$AF$11)),0)</f>
        <v>0</v>
      </c>
      <c r="AU722" s="545">
        <f ca="1">IF(AND($D722="Serviço",AU$12&lt;&gt;0,$H722&gt;0,OR(AUTOEVENTO&lt;&gt;"manual",$M722&lt;&gt;1)),
IF(Import.TipoArredondamento&lt;&gt;"TransfereGOV",
ROUND(OFFSET($P722,0,AU$13),15-13*ORÇAMENTO!$AF$7)/$H722*OFFSET(ORÇAMENTO!$X$15,ROW(AU722)-ROW(AU$15),0),
ROUND(ROUND(OFFSET($P722,0,AU$13),15-13*ORÇAMENTO!$AF$7)*OFFSET(ORÇAMENTO!$W$15,ROW(AU722)-ROW(AU$15),0),15-13*ORÇAMENTO!$AF$11)),0)</f>
        <v>0</v>
      </c>
      <c r="AV722" s="545">
        <f ca="1">IF(AND($D722="Serviço",AV$12&lt;&gt;0,$H722&gt;0,OR(AUTOEVENTO&lt;&gt;"manual",$M722&lt;&gt;1)),
IF(Import.TipoArredondamento&lt;&gt;"TransfereGOV",
ROUND(OFFSET($P722,0,AV$13),15-13*ORÇAMENTO!$AF$7)/$H722*OFFSET(ORÇAMENTO!$X$15,ROW(AV722)-ROW(AV$15),0),
ROUND(ROUND(OFFSET($P722,0,AV$13),15-13*ORÇAMENTO!$AF$7)*OFFSET(ORÇAMENTO!$W$15,ROW(AV722)-ROW(AV$15),0),15-13*ORÇAMENTO!$AF$11)),0)</f>
        <v>0</v>
      </c>
      <c r="AW722" s="545">
        <f ca="1">IF(AND($D722="Serviço",AW$12&lt;&gt;0,$H722&gt;0,OR(AUTOEVENTO&lt;&gt;"manual",$M722&lt;&gt;1)),
IF(Import.TipoArredondamento&lt;&gt;"TransfereGOV",
ROUND(OFFSET($P722,0,AW$13),15-13*ORÇAMENTO!$AF$7)/$H722*OFFSET(ORÇAMENTO!$X$15,ROW(AW722)-ROW(AW$15),0),
ROUND(ROUND(OFFSET($P722,0,AW$13),15-13*ORÇAMENTO!$AF$7)*OFFSET(ORÇAMENTO!$W$15,ROW(AW722)-ROW(AW$15),0),15-13*ORÇAMENTO!$AF$11)),0)</f>
        <v>0</v>
      </c>
      <c r="AX722" s="545">
        <f ca="1">IF(AND($D722="Serviço",AX$12&lt;&gt;0,$H722&gt;0,OR(AUTOEVENTO&lt;&gt;"manual",$M722&lt;&gt;1)),
IF(Import.TipoArredondamento&lt;&gt;"TransfereGOV",
ROUND(OFFSET($P722,0,AX$13),15-13*ORÇAMENTO!$AF$7)/$H722*OFFSET(ORÇAMENTO!$X$15,ROW(AX722)-ROW(AX$15),0),
ROUND(ROUND(OFFSET($P722,0,AX$13),15-13*ORÇAMENTO!$AF$7)*OFFSET(ORÇAMENTO!$W$15,ROW(AX722)-ROW(AX$15),0),15-13*ORÇAMENTO!$AF$11)),0)</f>
        <v>0</v>
      </c>
      <c r="AY722" s="545">
        <f ca="1">IF(AND($D722="Serviço",AY$12&lt;&gt;0,$H722&gt;0,OR(AUTOEVENTO&lt;&gt;"manual",$M722&lt;&gt;1)),
IF(Import.TipoArredondamento&lt;&gt;"TransfereGOV",
ROUND(OFFSET($P722,0,AY$13),15-13*ORÇAMENTO!$AF$7)/$H722*OFFSET(ORÇAMENTO!$X$15,ROW(AY722)-ROW(AY$15),0),
ROUND(ROUND(OFFSET($P722,0,AY$13),15-13*ORÇAMENTO!$AF$7)*OFFSET(ORÇAMENTO!$W$15,ROW(AY722)-ROW(AY$15),0),15-13*ORÇAMENTO!$AF$11)),0)</f>
        <v>0</v>
      </c>
      <c r="AZ722" s="545">
        <f ca="1">IF(AND($D722="Serviço",AZ$12&lt;&gt;0,$H722&gt;0,OR(AUTOEVENTO&lt;&gt;"manual",$M722&lt;&gt;1)),
IF(Import.TipoArredondamento&lt;&gt;"TransfereGOV",
ROUND(OFFSET($P722,0,AZ$13),15-13*ORÇAMENTO!$AF$7)/$H722*OFFSET(ORÇAMENTO!$X$15,ROW(AZ722)-ROW(AZ$15),0),
ROUND(ROUND(OFFSET($P722,0,AZ$13),15-13*ORÇAMENTO!$AF$7)*OFFSET(ORÇAMENTO!$W$15,ROW(AZ722)-ROW(AZ$15),0),15-13*ORÇAMENTO!$AF$11)),0)</f>
        <v>0</v>
      </c>
      <c r="BA722" s="546">
        <f ca="1">IF(AND($D722="Serviço",BA$12&lt;&gt;0,$H722&gt;0,OR(AUTOEVENTO&lt;&gt;"manual",$M722&lt;&gt;1)),
IF(Import.TipoArredondamento&lt;&gt;"TransfereGOV",
ROUND(OFFSET($P722,0,BA$13),15-13*ORÇAMENTO!$AF$7)/$H722*OFFSET(ORÇAMENTO!$X$15,ROW(BA722)-ROW(BA$15),0),
ROUND(ROUND(OFFSET($P722,0,BA$13),15-13*ORÇAMENTO!$AF$7)*OFFSET(ORÇAMENTO!$W$15,ROW(BA722)-ROW(BA$15),0),15-13*ORÇAMENTO!$AF$11)),0)</f>
        <v>0</v>
      </c>
      <c r="BC722" s="181">
        <f ca="1">IF($D722&lt;&gt;"Serviço",0,IF(AND(AUTOEVENTO="Manual",$M722=1),0,IF(OFFSET(CRONOPLE!$F$14,$M722,BC$13)="",10^12,OFFSET(CRONOPLE!$F$14,$M722,BC$13))))</f>
        <v>12</v>
      </c>
      <c r="BD722" s="181">
        <f ca="1">IF($D722&lt;&gt;"Serviço",0,IF(AND(AUTOEVENTO="Manual",$M722=1),0,IF(OFFSET(CRONOPLE!$F$14,$M722,BD$13)="",10^12,OFFSET(CRONOPLE!$F$14,$M722,BD$13))))</f>
        <v>1000000000000</v>
      </c>
      <c r="BE722" s="181">
        <f ca="1">IF($D722&lt;&gt;"Serviço",0,IF(AND(AUTOEVENTO="Manual",$M722=1),0,IF(OFFSET(CRONOPLE!$F$14,$M722,BE$13)="",10^12,OFFSET(CRONOPLE!$F$14,$M722,BE$13))))</f>
        <v>1000000000000</v>
      </c>
      <c r="BF722" s="181">
        <f ca="1">IF($D722&lt;&gt;"Serviço",0,IF(AND(AUTOEVENTO="Manual",$M722=1),0,IF(OFFSET(CRONOPLE!$F$14,$M722,BF$13)="",10^12,OFFSET(CRONOPLE!$F$14,$M722,BF$13))))</f>
        <v>1000000000000</v>
      </c>
      <c r="BG722" s="181">
        <f ca="1">IF($D722&lt;&gt;"Serviço",0,IF(AND(AUTOEVENTO="Manual",$M722=1),0,IF(OFFSET(CRONOPLE!$F$14,$M722,BG$13)="",10^12,OFFSET(CRONOPLE!$F$14,$M722,BG$13))))</f>
        <v>1000000000000</v>
      </c>
      <c r="BH722" s="181">
        <f ca="1">IF($D722&lt;&gt;"Serviço",0,IF(AND(AUTOEVENTO="Manual",$M722=1),0,IF(OFFSET(CRONOPLE!$F$14,$M722,BH$13)="",10^12,OFFSET(CRONOPLE!$F$14,$M722,BH$13))))</f>
        <v>1000000000000</v>
      </c>
      <c r="BI722" s="181">
        <f ca="1">IF($D722&lt;&gt;"Serviço",0,IF(AND(AUTOEVENTO="Manual",$M722=1),0,IF(OFFSET(CRONOPLE!$F$14,$M722,BI$13)="",10^12,OFFSET(CRONOPLE!$F$14,$M722,BI$13))))</f>
        <v>1000000000000</v>
      </c>
      <c r="BJ722" s="181">
        <f ca="1">IF($D722&lt;&gt;"Serviço",0,IF(AND(AUTOEVENTO="Manual",$M722=1),0,IF(OFFSET(CRONOPLE!$F$14,$M722,BJ$13)="",10^12,OFFSET(CRONOPLE!$F$14,$M722,BJ$13))))</f>
        <v>1000000000000</v>
      </c>
      <c r="BK722" s="181">
        <f ca="1">IF($D722&lt;&gt;"Serviço",0,IF(AND(AUTOEVENTO="Manual",$M722=1),0,IF(OFFSET(CRONOPLE!$F$14,$M722,BK$13)="",10^12,OFFSET(CRONOPLE!$F$14,$M722,BK$13))))</f>
        <v>1000000000000</v>
      </c>
      <c r="BL722" s="181">
        <f ca="1">IF($D722&lt;&gt;"Serviço",0,IF(AND(AUTOEVENTO="Manual",$M722=1),0,IF(OFFSET(CRONOPLE!$F$14,$M722,BL$13)="",10^12,OFFSET(CRONOPLE!$F$14,$M722,BL$13))))</f>
        <v>1000000000000</v>
      </c>
      <c r="BM722" s="181">
        <f ca="1">IF($D722&lt;&gt;"Serviço",0,IF(AND(AUTOEVENTO="Manual",$M722=1),0,IF(OFFSET(CRONOPLE!$F$14,$M722,BM$13)="",10^12,OFFSET(CRONOPLE!$F$14,$M722,BM$13))))</f>
        <v>1000000000000</v>
      </c>
      <c r="BN722" s="181">
        <f ca="1">IF($D722&lt;&gt;"Serviço",0,IF(AND(AUTOEVENTO="Manual",$M722=1),0,IF(OFFSET(CRONOPLE!$F$14,$M722,BN$13)="",10^12,OFFSET(CRONOPLE!$F$14,$M722,BN$13))))</f>
        <v>1000000000000</v>
      </c>
      <c r="BO722" s="181">
        <f ca="1">IF($D722&lt;&gt;"Serviço",0,IF(AND(AUTOEVENTO="Manual",$M722=1),0,IF(OFFSET(CRONOPLE!$F$14,$M722,BO$13)="",10^12,OFFSET(CRONOPLE!$F$14,$M722,BO$13))))</f>
        <v>1000000000000</v>
      </c>
      <c r="BP722" s="181">
        <f ca="1">IF($D722&lt;&gt;"Serviço",0,IF(AND(AUTOEVENTO="Manual",$M722=1),0,IF(OFFSET(CRONOPLE!$F$14,$M722,BP$13)="",10^12,OFFSET(CRONOPLE!$F$14,$M722,BP$13))))</f>
        <v>1000000000000</v>
      </c>
      <c r="BQ722" s="181">
        <f ca="1">IF($D722&lt;&gt;"Serviço",0,IF(AND(AUTOEVENTO="Manual",$M722=1),0,IF(OFFSET(CRONOPLE!$F$14,$M722,BQ$13)="",10^12,OFFSET(CRONOPLE!$F$14,$M722,BQ$13))))</f>
        <v>1000000000000</v>
      </c>
      <c r="BR722" s="181">
        <f ca="1">IF($D722&lt;&gt;"Serviço",0,IF(AND(AUTOEVENTO="Manual",$M722=1),0,IF(OFFSET(CRONOPLE!$F$14,$M722,BR$13)="",10^12,OFFSET(CRONOPLE!$F$14,$M722,BR$13))))</f>
        <v>1000000000000</v>
      </c>
      <c r="BS722" s="181">
        <f ca="1">IF($D722&lt;&gt;"Serviço",0,IF(AND(AUTOEVENTO="Manual",$M722=1),0,IF(OFFSET(CRONOPLE!$F$14,$M722,BS$13)="",10^12,OFFSET(CRONOPLE!$F$14,$M722,BS$13))))</f>
        <v>1000000000000</v>
      </c>
      <c r="BT722" s="181">
        <f ca="1">IF($D722&lt;&gt;"Serviço",0,IF(AND(AUTOEVENTO="Manual",$M722=1),0,IF(OFFSET(CRONOPLE!$F$14,$M722,BT$13)="",10^12,OFFSET(CRONOPLE!$F$14,$M722,BT$13))))</f>
        <v>1000000000000</v>
      </c>
      <c r="BV722" s="182">
        <f ca="1">IF($D722&lt;&gt;"Serviço",0,IF(OR(AND(AUTOEVENTO="Manual",$M722=1),$M722&gt;(ROW(PLE.lastrow)-ROW(PLE.firstrow))),0,IF(OFFSET(PLE!$G$14,$M722,BV$13)="",10^12,OFFSET(PLE!$G$14,$M722,BV$13))))</f>
        <v>1000000000000</v>
      </c>
      <c r="BW722" s="182">
        <f ca="1">IF($D722&lt;&gt;"Serviço",0,IF(OR(AND(AUTOEVENTO="Manual",$M722=1),$M722&gt;(ROW(PLE.lastrow)-ROW(PLE.firstrow))),0,IF(OFFSET(PLE!$G$14,$M722,BW$13)="",10^12,OFFSET(PLE!$G$14,$M722,BW$13))))</f>
        <v>1000000000000</v>
      </c>
      <c r="BX722" s="182">
        <f ca="1">IF($D722&lt;&gt;"Serviço",0,IF(OR(AND(AUTOEVENTO="Manual",$M722=1),$M722&gt;(ROW(PLE.lastrow)-ROW(PLE.firstrow))),0,IF(OFFSET(PLE!$G$14,$M722,BX$13)="",10^12,OFFSET(PLE!$G$14,$M722,BX$13))))</f>
        <v>1000000000000</v>
      </c>
      <c r="BY722" s="182">
        <f ca="1">IF($D722&lt;&gt;"Serviço",0,IF(OR(AND(AUTOEVENTO="Manual",$M722=1),$M722&gt;(ROW(PLE.lastrow)-ROW(PLE.firstrow))),0,IF(OFFSET(PLE!$G$14,$M722,BY$13)="",10^12,OFFSET(PLE!$G$14,$M722,BY$13))))</f>
        <v>1000000000000</v>
      </c>
      <c r="BZ722" s="182">
        <f ca="1">IF($D722&lt;&gt;"Serviço",0,IF(OR(AND(AUTOEVENTO="Manual",$M722=1),$M722&gt;(ROW(PLE.lastrow)-ROW(PLE.firstrow))),0,IF(OFFSET(PLE!$G$14,$M722,BZ$13)="",10^12,OFFSET(PLE!$G$14,$M722,BZ$13))))</f>
        <v>1000000000000</v>
      </c>
      <c r="CA722" s="182">
        <f ca="1">IF($D722&lt;&gt;"Serviço",0,IF(OR(AND(AUTOEVENTO="Manual",$M722=1),$M722&gt;(ROW(PLE.lastrow)-ROW(PLE.firstrow))),0,IF(OFFSET(PLE!$G$14,$M722,CA$13)="",10^12,OFFSET(PLE!$G$14,$M722,CA$13))))</f>
        <v>1000000000000</v>
      </c>
      <c r="CB722" s="182">
        <f ca="1">IF($D722&lt;&gt;"Serviço",0,IF(OR(AND(AUTOEVENTO="Manual",$M722=1),$M722&gt;(ROW(PLE.lastrow)-ROW(PLE.firstrow))),0,IF(OFFSET(PLE!$G$14,$M722,CB$13)="",10^12,OFFSET(PLE!$G$14,$M722,CB$13))))</f>
        <v>1000000000000</v>
      </c>
      <c r="CC722" s="182">
        <f ca="1">IF($D722&lt;&gt;"Serviço",0,IF(OR(AND(AUTOEVENTO="Manual",$M722=1),$M722&gt;(ROW(PLE.lastrow)-ROW(PLE.firstrow))),0,IF(OFFSET(PLE!$G$14,$M722,CC$13)="",10^12,OFFSET(PLE!$G$14,$M722,CC$13))))</f>
        <v>1000000000000</v>
      </c>
      <c r="CD722" s="182">
        <f ca="1">IF($D722&lt;&gt;"Serviço",0,IF(OR(AND(AUTOEVENTO="Manual",$M722=1),$M722&gt;(ROW(PLE.lastrow)-ROW(PLE.firstrow))),0,IF(OFFSET(PLE!$G$14,$M722,CD$13)="",10^12,OFFSET(PLE!$G$14,$M722,CD$13))))</f>
        <v>1000000000000</v>
      </c>
      <c r="CE722" s="182">
        <f ca="1">IF($D722&lt;&gt;"Serviço",0,IF(OR(AND(AUTOEVENTO="Manual",$M722=1),$M722&gt;(ROW(PLE.lastrow)-ROW(PLE.firstrow))),0,IF(OFFSET(PLE!$G$14,$M722,CE$13)="",10^12,OFFSET(PLE!$G$14,$M722,CE$13))))</f>
        <v>1000000000000</v>
      </c>
      <c r="CF722" s="182">
        <f ca="1">IF($D722&lt;&gt;"Serviço",0,IF(OR(AND(AUTOEVENTO="Manual",$M722=1),$M722&gt;(ROW(PLE.lastrow)-ROW(PLE.firstrow))),0,IF(OFFSET(PLE!$G$14,$M722,CF$13)="",10^12,OFFSET(PLE!$G$14,$M722,CF$13))))</f>
        <v>1000000000000</v>
      </c>
      <c r="CG722" s="182">
        <f ca="1">IF($D722&lt;&gt;"Serviço",0,IF(OR(AND(AUTOEVENTO="Manual",$M722=1),$M722&gt;(ROW(PLE.lastrow)-ROW(PLE.firstrow))),0,IF(OFFSET(PLE!$G$14,$M722,CG$13)="",10^12,OFFSET(PLE!$G$14,$M722,CG$13))))</f>
        <v>1000000000000</v>
      </c>
      <c r="CH722" s="182">
        <f ca="1">IF($D722&lt;&gt;"Serviço",0,IF(OR(AND(AUTOEVENTO="Manual",$M722=1),$M722&gt;(ROW(PLE.lastrow)-ROW(PLE.firstrow))),0,IF(OFFSET(PLE!$G$14,$M722,CH$13)="",10^12,OFFSET(PLE!$G$14,$M722,CH$13))))</f>
        <v>1000000000000</v>
      </c>
      <c r="CI722" s="182">
        <f ca="1">IF($D722&lt;&gt;"Serviço",0,IF(OR(AND(AUTOEVENTO="Manual",$M722=1),$M722&gt;(ROW(PLE.lastrow)-ROW(PLE.firstrow))),0,IF(OFFSET(PLE!$G$14,$M722,CI$13)="",10^12,OFFSET(PLE!$G$14,$M722,CI$13))))</f>
        <v>1000000000000</v>
      </c>
      <c r="CJ722" s="182">
        <f ca="1">IF($D722&lt;&gt;"Serviço",0,IF(OR(AND(AUTOEVENTO="Manual",$M722=1),$M722&gt;(ROW(PLE.lastrow)-ROW(PLE.firstrow))),0,IF(OFFSET(PLE!$G$14,$M722,CJ$13)="",10^12,OFFSET(PLE!$G$14,$M722,CJ$13))))</f>
        <v>1000000000000</v>
      </c>
      <c r="CK722" s="182">
        <f ca="1">IF($D722&lt;&gt;"Serviço",0,IF(OR(AND(AUTOEVENTO="Manual",$M722=1),$M722&gt;(ROW(PLE.lastrow)-ROW(PLE.firstrow))),0,IF(OFFSET(PLE!$G$14,$M722,CK$13)="",10^12,OFFSET(PLE!$G$14,$M722,CK$13))))</f>
        <v>1000000000000</v>
      </c>
      <c r="CL722" s="182">
        <f ca="1">IF($D722&lt;&gt;"Serviço",0,IF(OR(AND(AUTOEVENTO="Manual",$M722=1),$M722&gt;(ROW(PLE.lastrow)-ROW(PLE.firstrow))),0,IF(OFFSET(PLE!$G$14,$M722,CL$13)="",10^12,OFFSET(PLE!$G$14,$M722,CL$13))))</f>
        <v>1000000000000</v>
      </c>
      <c r="CM722" s="182">
        <f ca="1">IF($D722&lt;&gt;"Serviço",0,IF(OR(AND(AUTOEVENTO="Manual",$M722=1),$M722&gt;(ROW(PLE.lastrow)-ROW(PLE.firstrow))),0,IF(OFFSET(PLE!$G$14,$M722,CM$13)="",10^12,OFFSET(PLE!$G$14,$M722,CM$13))))</f>
        <v>1000000000000</v>
      </c>
    </row>
    <row r="723" spans="1:91" ht="38.25" x14ac:dyDescent="0.2">
      <c r="A723" s="7" t="str">
        <f t="shared" ca="1" si="20"/>
        <v>706</v>
      </c>
      <c r="B723" s="7" t="str">
        <f ca="1">OFFSET(ORÇAMENTO!C$15,ROW(B723)-ROW(B$15),0)</f>
        <v>S</v>
      </c>
      <c r="C723" s="7" t="str">
        <f ca="1">OFFSET(ORÇAMENTO!L$15,ROW(C723)-ROW(C$15),0)</f>
        <v/>
      </c>
      <c r="D723" s="118" t="str">
        <f ca="1">OFFSET(ORÇAMENTO!N$15,ROW(D723)-ROW(D$15),0)</f>
        <v>Serviço</v>
      </c>
      <c r="E723" s="119" t="str">
        <f ca="1">OFFSET(ORÇAMENTO!O$15,ROW(E723)-ROW(E$15),0)</f>
        <v>-</v>
      </c>
      <c r="F723" s="172" t="str">
        <f ca="1">OFFSET(ORÇAMENTO!R$15,ROW(F723)-ROW(F$15),0)</f>
        <v>(abra o arquivo 'Referência 06-2024.xlsm)</v>
      </c>
      <c r="G723" s="173" t="str">
        <f ca="1">IF($D723&lt;&gt;"Serviço","",OFFSET(ORÇAMENTO!S$15,ROW(G723)-ROW(G$15),0))</f>
        <v>-</v>
      </c>
      <c r="H723" s="124">
        <f ca="1">IF($D723&lt;&gt;"Serviço",0,IF(ACOMPANHAMENTO="BM",ROUND(OFFSET(ORÇAMENTO!AJ$15,ROW(H723)-ROW(H$15),0),15-13*ORÇAMENTO!$AF$7),SUMPRODUCT(($Q$12:$AI$12&lt;&gt;"")*ROUND($Q723:$AI723,15-13*ORÇAMENTO!$AF$7))))</f>
        <v>330.6</v>
      </c>
      <c r="I723" s="561" t="s">
        <v>1107</v>
      </c>
      <c r="K723" s="174"/>
      <c r="L723" s="175" t="s">
        <v>255</v>
      </c>
      <c r="M723" s="176">
        <f ca="1">IF($D723&lt;&gt;"Serviço","",IF(AUTOEVENTO="manual",$A723,IF(ISERROR(MATCH($A723,$A$15:OFFSET($A723,-1,0),0)),MAX($M$15:OFFSET(M723,-1,0))+1,INDEX($M$15:OFFSET(M723,-1,0),MATCH($A723,$A$15:OFFSET($A723,-1,0),0)))))</f>
        <v>81</v>
      </c>
      <c r="N723" s="177" t="str">
        <f ca="1">IF($D723&lt;&gt;"Serviço","",IF(AUTOEVENTO="Manual",IF($A723=0,"&lt;-- defina o número do agrupador",OFFSET(EVENTOS!$D$14,$A723,0)),OFFSET($F$15,$A723,0)))</f>
        <v>MURO DE FECHAMENTO - PINTURA</v>
      </c>
      <c r="O723" s="178"/>
      <c r="Q723" s="178">
        <v>330.6</v>
      </c>
      <c r="R723" s="179"/>
      <c r="S723" s="179"/>
      <c r="T723" s="179"/>
      <c r="U723" s="179"/>
      <c r="V723" s="179"/>
      <c r="W723" s="179"/>
      <c r="X723" s="179"/>
      <c r="Y723" s="179"/>
      <c r="Z723" s="180"/>
      <c r="AA723" s="179"/>
      <c r="AB723" s="179"/>
      <c r="AC723" s="179"/>
      <c r="AD723" s="179"/>
      <c r="AE723" s="179"/>
      <c r="AF723" s="179"/>
      <c r="AG723" s="179"/>
      <c r="AH723" s="180"/>
      <c r="AJ723" s="544">
        <f ca="1">IF(AND($D723="Serviço",AJ$12&lt;&gt;0,$H723&gt;0,OR(AUTOEVENTO&lt;&gt;"manual",$M723&lt;&gt;1)),
IF(Import.TipoArredondamento&lt;&gt;"TransfereGOV",
ROUND(OFFSET($P723,0,AJ$13),15-13*ORÇAMENTO!$AF$7)/$H723*OFFSET(ORÇAMENTO!$X$15,ROW(AJ723)-ROW(AJ$15),0),
ROUND(ROUND(OFFSET($P723,0,AJ$13),15-13*ORÇAMENTO!$AF$7)*OFFSET(ORÇAMENTO!$W$15,ROW(AJ723)-ROW(AJ$15),0),15-13*ORÇAMENTO!$AF$11)),0)</f>
        <v>0</v>
      </c>
      <c r="AK723" s="545">
        <f ca="1">IF(AND($D723="Serviço",AK$12&lt;&gt;0,$H723&gt;0,OR(AUTOEVENTO&lt;&gt;"manual",$M723&lt;&gt;1)),
IF(Import.TipoArredondamento&lt;&gt;"TransfereGOV",
ROUND(OFFSET($P723,0,AK$13),15-13*ORÇAMENTO!$AF$7)/$H723*OFFSET(ORÇAMENTO!$X$15,ROW(AK723)-ROW(AK$15),0),
ROUND(ROUND(OFFSET($P723,0,AK$13),15-13*ORÇAMENTO!$AF$7)*OFFSET(ORÇAMENTO!$W$15,ROW(AK723)-ROW(AK$15),0),15-13*ORÇAMENTO!$AF$11)),0)</f>
        <v>0</v>
      </c>
      <c r="AL723" s="545">
        <f ca="1">IF(AND($D723="Serviço",AL$12&lt;&gt;0,$H723&gt;0,OR(AUTOEVENTO&lt;&gt;"manual",$M723&lt;&gt;1)),
IF(Import.TipoArredondamento&lt;&gt;"TransfereGOV",
ROUND(OFFSET($P723,0,AL$13),15-13*ORÇAMENTO!$AF$7)/$H723*OFFSET(ORÇAMENTO!$X$15,ROW(AL723)-ROW(AL$15),0),
ROUND(ROUND(OFFSET($P723,0,AL$13),15-13*ORÇAMENTO!$AF$7)*OFFSET(ORÇAMENTO!$W$15,ROW(AL723)-ROW(AL$15),0),15-13*ORÇAMENTO!$AF$11)),0)</f>
        <v>0</v>
      </c>
      <c r="AM723" s="545">
        <f ca="1">IF(AND($D723="Serviço",AM$12&lt;&gt;0,$H723&gt;0,OR(AUTOEVENTO&lt;&gt;"manual",$M723&lt;&gt;1)),
IF(Import.TipoArredondamento&lt;&gt;"TransfereGOV",
ROUND(OFFSET($P723,0,AM$13),15-13*ORÇAMENTO!$AF$7)/$H723*OFFSET(ORÇAMENTO!$X$15,ROW(AM723)-ROW(AM$15),0),
ROUND(ROUND(OFFSET($P723,0,AM$13),15-13*ORÇAMENTO!$AF$7)*OFFSET(ORÇAMENTO!$W$15,ROW(AM723)-ROW(AM$15),0),15-13*ORÇAMENTO!$AF$11)),0)</f>
        <v>0</v>
      </c>
      <c r="AN723" s="545">
        <f ca="1">IF(AND($D723="Serviço",AN$12&lt;&gt;0,$H723&gt;0,OR(AUTOEVENTO&lt;&gt;"manual",$M723&lt;&gt;1)),
IF(Import.TipoArredondamento&lt;&gt;"TransfereGOV",
ROUND(OFFSET($P723,0,AN$13),15-13*ORÇAMENTO!$AF$7)/$H723*OFFSET(ORÇAMENTO!$X$15,ROW(AN723)-ROW(AN$15),0),
ROUND(ROUND(OFFSET($P723,0,AN$13),15-13*ORÇAMENTO!$AF$7)*OFFSET(ORÇAMENTO!$W$15,ROW(AN723)-ROW(AN$15),0),15-13*ORÇAMENTO!$AF$11)),0)</f>
        <v>0</v>
      </c>
      <c r="AO723" s="545">
        <f ca="1">IF(AND($D723="Serviço",AO$12&lt;&gt;0,$H723&gt;0,OR(AUTOEVENTO&lt;&gt;"manual",$M723&lt;&gt;1)),
IF(Import.TipoArredondamento&lt;&gt;"TransfereGOV",
ROUND(OFFSET($P723,0,AO$13),15-13*ORÇAMENTO!$AF$7)/$H723*OFFSET(ORÇAMENTO!$X$15,ROW(AO723)-ROW(AO$15),0),
ROUND(ROUND(OFFSET($P723,0,AO$13),15-13*ORÇAMENTO!$AF$7)*OFFSET(ORÇAMENTO!$W$15,ROW(AO723)-ROW(AO$15),0),15-13*ORÇAMENTO!$AF$11)),0)</f>
        <v>0</v>
      </c>
      <c r="AP723" s="545">
        <f ca="1">IF(AND($D723="Serviço",AP$12&lt;&gt;0,$H723&gt;0,OR(AUTOEVENTO&lt;&gt;"manual",$M723&lt;&gt;1)),
IF(Import.TipoArredondamento&lt;&gt;"TransfereGOV",
ROUND(OFFSET($P723,0,AP$13),15-13*ORÇAMENTO!$AF$7)/$H723*OFFSET(ORÇAMENTO!$X$15,ROW(AP723)-ROW(AP$15),0),
ROUND(ROUND(OFFSET($P723,0,AP$13),15-13*ORÇAMENTO!$AF$7)*OFFSET(ORÇAMENTO!$W$15,ROW(AP723)-ROW(AP$15),0),15-13*ORÇAMENTO!$AF$11)),0)</f>
        <v>0</v>
      </c>
      <c r="AQ723" s="545">
        <f ca="1">IF(AND($D723="Serviço",AQ$12&lt;&gt;0,$H723&gt;0,OR(AUTOEVENTO&lt;&gt;"manual",$M723&lt;&gt;1)),
IF(Import.TipoArredondamento&lt;&gt;"TransfereGOV",
ROUND(OFFSET($P723,0,AQ$13),15-13*ORÇAMENTO!$AF$7)/$H723*OFFSET(ORÇAMENTO!$X$15,ROW(AQ723)-ROW(AQ$15),0),
ROUND(ROUND(OFFSET($P723,0,AQ$13),15-13*ORÇAMENTO!$AF$7)*OFFSET(ORÇAMENTO!$W$15,ROW(AQ723)-ROW(AQ$15),0),15-13*ORÇAMENTO!$AF$11)),0)</f>
        <v>0</v>
      </c>
      <c r="AR723" s="545">
        <f ca="1">IF(AND($D723="Serviço",AR$12&lt;&gt;0,$H723&gt;0,OR(AUTOEVENTO&lt;&gt;"manual",$M723&lt;&gt;1)),
IF(Import.TipoArredondamento&lt;&gt;"TransfereGOV",
ROUND(OFFSET($P723,0,AR$13),15-13*ORÇAMENTO!$AF$7)/$H723*OFFSET(ORÇAMENTO!$X$15,ROW(AR723)-ROW(AR$15),0),
ROUND(ROUND(OFFSET($P723,0,AR$13),15-13*ORÇAMENTO!$AF$7)*OFFSET(ORÇAMENTO!$W$15,ROW(AR723)-ROW(AR$15),0),15-13*ORÇAMENTO!$AF$11)),0)</f>
        <v>0</v>
      </c>
      <c r="AS723" s="546">
        <f ca="1">IF(AND($D723="Serviço",AS$12&lt;&gt;0,$H723&gt;0,OR(AUTOEVENTO&lt;&gt;"manual",$M723&lt;&gt;1)),
IF(Import.TipoArredondamento&lt;&gt;"TransfereGOV",
ROUND(OFFSET($P723,0,AS$13),15-13*ORÇAMENTO!$AF$7)/$H723*OFFSET(ORÇAMENTO!$X$15,ROW(AS723)-ROW(AS$15),0),
ROUND(ROUND(OFFSET($P723,0,AS$13),15-13*ORÇAMENTO!$AF$7)*OFFSET(ORÇAMENTO!$W$15,ROW(AS723)-ROW(AS$15),0),15-13*ORÇAMENTO!$AF$11)),0)</f>
        <v>0</v>
      </c>
      <c r="AT723" s="545">
        <f ca="1">IF(AND($D723="Serviço",AT$12&lt;&gt;0,$H723&gt;0,OR(AUTOEVENTO&lt;&gt;"manual",$M723&lt;&gt;1)),
IF(Import.TipoArredondamento&lt;&gt;"TransfereGOV",
ROUND(OFFSET($P723,0,AT$13),15-13*ORÇAMENTO!$AF$7)/$H723*OFFSET(ORÇAMENTO!$X$15,ROW(AT723)-ROW(AT$15),0),
ROUND(ROUND(OFFSET($P723,0,AT$13),15-13*ORÇAMENTO!$AF$7)*OFFSET(ORÇAMENTO!$W$15,ROW(AT723)-ROW(AT$15),0),15-13*ORÇAMENTO!$AF$11)),0)</f>
        <v>0</v>
      </c>
      <c r="AU723" s="545">
        <f ca="1">IF(AND($D723="Serviço",AU$12&lt;&gt;0,$H723&gt;0,OR(AUTOEVENTO&lt;&gt;"manual",$M723&lt;&gt;1)),
IF(Import.TipoArredondamento&lt;&gt;"TransfereGOV",
ROUND(OFFSET($P723,0,AU$13),15-13*ORÇAMENTO!$AF$7)/$H723*OFFSET(ORÇAMENTO!$X$15,ROW(AU723)-ROW(AU$15),0),
ROUND(ROUND(OFFSET($P723,0,AU$13),15-13*ORÇAMENTO!$AF$7)*OFFSET(ORÇAMENTO!$W$15,ROW(AU723)-ROW(AU$15),0),15-13*ORÇAMENTO!$AF$11)),0)</f>
        <v>0</v>
      </c>
      <c r="AV723" s="545">
        <f ca="1">IF(AND($D723="Serviço",AV$12&lt;&gt;0,$H723&gt;0,OR(AUTOEVENTO&lt;&gt;"manual",$M723&lt;&gt;1)),
IF(Import.TipoArredondamento&lt;&gt;"TransfereGOV",
ROUND(OFFSET($P723,0,AV$13),15-13*ORÇAMENTO!$AF$7)/$H723*OFFSET(ORÇAMENTO!$X$15,ROW(AV723)-ROW(AV$15),0),
ROUND(ROUND(OFFSET($P723,0,AV$13),15-13*ORÇAMENTO!$AF$7)*OFFSET(ORÇAMENTO!$W$15,ROW(AV723)-ROW(AV$15),0),15-13*ORÇAMENTO!$AF$11)),0)</f>
        <v>0</v>
      </c>
      <c r="AW723" s="545">
        <f ca="1">IF(AND($D723="Serviço",AW$12&lt;&gt;0,$H723&gt;0,OR(AUTOEVENTO&lt;&gt;"manual",$M723&lt;&gt;1)),
IF(Import.TipoArredondamento&lt;&gt;"TransfereGOV",
ROUND(OFFSET($P723,0,AW$13),15-13*ORÇAMENTO!$AF$7)/$H723*OFFSET(ORÇAMENTO!$X$15,ROW(AW723)-ROW(AW$15),0),
ROUND(ROUND(OFFSET($P723,0,AW$13),15-13*ORÇAMENTO!$AF$7)*OFFSET(ORÇAMENTO!$W$15,ROW(AW723)-ROW(AW$15),0),15-13*ORÇAMENTO!$AF$11)),0)</f>
        <v>0</v>
      </c>
      <c r="AX723" s="545">
        <f ca="1">IF(AND($D723="Serviço",AX$12&lt;&gt;0,$H723&gt;0,OR(AUTOEVENTO&lt;&gt;"manual",$M723&lt;&gt;1)),
IF(Import.TipoArredondamento&lt;&gt;"TransfereGOV",
ROUND(OFFSET($P723,0,AX$13),15-13*ORÇAMENTO!$AF$7)/$H723*OFFSET(ORÇAMENTO!$X$15,ROW(AX723)-ROW(AX$15),0),
ROUND(ROUND(OFFSET($P723,0,AX$13),15-13*ORÇAMENTO!$AF$7)*OFFSET(ORÇAMENTO!$W$15,ROW(AX723)-ROW(AX$15),0),15-13*ORÇAMENTO!$AF$11)),0)</f>
        <v>0</v>
      </c>
      <c r="AY723" s="545">
        <f ca="1">IF(AND($D723="Serviço",AY$12&lt;&gt;0,$H723&gt;0,OR(AUTOEVENTO&lt;&gt;"manual",$M723&lt;&gt;1)),
IF(Import.TipoArredondamento&lt;&gt;"TransfereGOV",
ROUND(OFFSET($P723,0,AY$13),15-13*ORÇAMENTO!$AF$7)/$H723*OFFSET(ORÇAMENTO!$X$15,ROW(AY723)-ROW(AY$15),0),
ROUND(ROUND(OFFSET($P723,0,AY$13),15-13*ORÇAMENTO!$AF$7)*OFFSET(ORÇAMENTO!$W$15,ROW(AY723)-ROW(AY$15),0),15-13*ORÇAMENTO!$AF$11)),0)</f>
        <v>0</v>
      </c>
      <c r="AZ723" s="545">
        <f ca="1">IF(AND($D723="Serviço",AZ$12&lt;&gt;0,$H723&gt;0,OR(AUTOEVENTO&lt;&gt;"manual",$M723&lt;&gt;1)),
IF(Import.TipoArredondamento&lt;&gt;"TransfereGOV",
ROUND(OFFSET($P723,0,AZ$13),15-13*ORÇAMENTO!$AF$7)/$H723*OFFSET(ORÇAMENTO!$X$15,ROW(AZ723)-ROW(AZ$15),0),
ROUND(ROUND(OFFSET($P723,0,AZ$13),15-13*ORÇAMENTO!$AF$7)*OFFSET(ORÇAMENTO!$W$15,ROW(AZ723)-ROW(AZ$15),0),15-13*ORÇAMENTO!$AF$11)),0)</f>
        <v>0</v>
      </c>
      <c r="BA723" s="546">
        <f ca="1">IF(AND($D723="Serviço",BA$12&lt;&gt;0,$H723&gt;0,OR(AUTOEVENTO&lt;&gt;"manual",$M723&lt;&gt;1)),
IF(Import.TipoArredondamento&lt;&gt;"TransfereGOV",
ROUND(OFFSET($P723,0,BA$13),15-13*ORÇAMENTO!$AF$7)/$H723*OFFSET(ORÇAMENTO!$X$15,ROW(BA723)-ROW(BA$15),0),
ROUND(ROUND(OFFSET($P723,0,BA$13),15-13*ORÇAMENTO!$AF$7)*OFFSET(ORÇAMENTO!$W$15,ROW(BA723)-ROW(BA$15),0),15-13*ORÇAMENTO!$AF$11)),0)</f>
        <v>0</v>
      </c>
      <c r="BC723" s="181">
        <f ca="1">IF($D723&lt;&gt;"Serviço",0,IF(AND(AUTOEVENTO="Manual",$M723=1),0,IF(OFFSET(CRONOPLE!$F$14,$M723,BC$13)="",10^12,OFFSET(CRONOPLE!$F$14,$M723,BC$13))))</f>
        <v>12</v>
      </c>
      <c r="BD723" s="181">
        <f ca="1">IF($D723&lt;&gt;"Serviço",0,IF(AND(AUTOEVENTO="Manual",$M723=1),0,IF(OFFSET(CRONOPLE!$F$14,$M723,BD$13)="",10^12,OFFSET(CRONOPLE!$F$14,$M723,BD$13))))</f>
        <v>1000000000000</v>
      </c>
      <c r="BE723" s="181">
        <f ca="1">IF($D723&lt;&gt;"Serviço",0,IF(AND(AUTOEVENTO="Manual",$M723=1),0,IF(OFFSET(CRONOPLE!$F$14,$M723,BE$13)="",10^12,OFFSET(CRONOPLE!$F$14,$M723,BE$13))))</f>
        <v>1000000000000</v>
      </c>
      <c r="BF723" s="181">
        <f ca="1">IF($D723&lt;&gt;"Serviço",0,IF(AND(AUTOEVENTO="Manual",$M723=1),0,IF(OFFSET(CRONOPLE!$F$14,$M723,BF$13)="",10^12,OFFSET(CRONOPLE!$F$14,$M723,BF$13))))</f>
        <v>1000000000000</v>
      </c>
      <c r="BG723" s="181">
        <f ca="1">IF($D723&lt;&gt;"Serviço",0,IF(AND(AUTOEVENTO="Manual",$M723=1),0,IF(OFFSET(CRONOPLE!$F$14,$M723,BG$13)="",10^12,OFFSET(CRONOPLE!$F$14,$M723,BG$13))))</f>
        <v>1000000000000</v>
      </c>
      <c r="BH723" s="181">
        <f ca="1">IF($D723&lt;&gt;"Serviço",0,IF(AND(AUTOEVENTO="Manual",$M723=1),0,IF(OFFSET(CRONOPLE!$F$14,$M723,BH$13)="",10^12,OFFSET(CRONOPLE!$F$14,$M723,BH$13))))</f>
        <v>1000000000000</v>
      </c>
      <c r="BI723" s="181">
        <f ca="1">IF($D723&lt;&gt;"Serviço",0,IF(AND(AUTOEVENTO="Manual",$M723=1),0,IF(OFFSET(CRONOPLE!$F$14,$M723,BI$13)="",10^12,OFFSET(CRONOPLE!$F$14,$M723,BI$13))))</f>
        <v>1000000000000</v>
      </c>
      <c r="BJ723" s="181">
        <f ca="1">IF($D723&lt;&gt;"Serviço",0,IF(AND(AUTOEVENTO="Manual",$M723=1),0,IF(OFFSET(CRONOPLE!$F$14,$M723,BJ$13)="",10^12,OFFSET(CRONOPLE!$F$14,$M723,BJ$13))))</f>
        <v>1000000000000</v>
      </c>
      <c r="BK723" s="181">
        <f ca="1">IF($D723&lt;&gt;"Serviço",0,IF(AND(AUTOEVENTO="Manual",$M723=1),0,IF(OFFSET(CRONOPLE!$F$14,$M723,BK$13)="",10^12,OFFSET(CRONOPLE!$F$14,$M723,BK$13))))</f>
        <v>1000000000000</v>
      </c>
      <c r="BL723" s="181">
        <f ca="1">IF($D723&lt;&gt;"Serviço",0,IF(AND(AUTOEVENTO="Manual",$M723=1),0,IF(OFFSET(CRONOPLE!$F$14,$M723,BL$13)="",10^12,OFFSET(CRONOPLE!$F$14,$M723,BL$13))))</f>
        <v>1000000000000</v>
      </c>
      <c r="BM723" s="181">
        <f ca="1">IF($D723&lt;&gt;"Serviço",0,IF(AND(AUTOEVENTO="Manual",$M723=1),0,IF(OFFSET(CRONOPLE!$F$14,$M723,BM$13)="",10^12,OFFSET(CRONOPLE!$F$14,$M723,BM$13))))</f>
        <v>1000000000000</v>
      </c>
      <c r="BN723" s="181">
        <f ca="1">IF($D723&lt;&gt;"Serviço",0,IF(AND(AUTOEVENTO="Manual",$M723=1),0,IF(OFFSET(CRONOPLE!$F$14,$M723,BN$13)="",10^12,OFFSET(CRONOPLE!$F$14,$M723,BN$13))))</f>
        <v>1000000000000</v>
      </c>
      <c r="BO723" s="181">
        <f ca="1">IF($D723&lt;&gt;"Serviço",0,IF(AND(AUTOEVENTO="Manual",$M723=1),0,IF(OFFSET(CRONOPLE!$F$14,$M723,BO$13)="",10^12,OFFSET(CRONOPLE!$F$14,$M723,BO$13))))</f>
        <v>1000000000000</v>
      </c>
      <c r="BP723" s="181">
        <f ca="1">IF($D723&lt;&gt;"Serviço",0,IF(AND(AUTOEVENTO="Manual",$M723=1),0,IF(OFFSET(CRONOPLE!$F$14,$M723,BP$13)="",10^12,OFFSET(CRONOPLE!$F$14,$M723,BP$13))))</f>
        <v>1000000000000</v>
      </c>
      <c r="BQ723" s="181">
        <f ca="1">IF($D723&lt;&gt;"Serviço",0,IF(AND(AUTOEVENTO="Manual",$M723=1),0,IF(OFFSET(CRONOPLE!$F$14,$M723,BQ$13)="",10^12,OFFSET(CRONOPLE!$F$14,$M723,BQ$13))))</f>
        <v>1000000000000</v>
      </c>
      <c r="BR723" s="181">
        <f ca="1">IF($D723&lt;&gt;"Serviço",0,IF(AND(AUTOEVENTO="Manual",$M723=1),0,IF(OFFSET(CRONOPLE!$F$14,$M723,BR$13)="",10^12,OFFSET(CRONOPLE!$F$14,$M723,BR$13))))</f>
        <v>1000000000000</v>
      </c>
      <c r="BS723" s="181">
        <f ca="1">IF($D723&lt;&gt;"Serviço",0,IF(AND(AUTOEVENTO="Manual",$M723=1),0,IF(OFFSET(CRONOPLE!$F$14,$M723,BS$13)="",10^12,OFFSET(CRONOPLE!$F$14,$M723,BS$13))))</f>
        <v>1000000000000</v>
      </c>
      <c r="BT723" s="181">
        <f ca="1">IF($D723&lt;&gt;"Serviço",0,IF(AND(AUTOEVENTO="Manual",$M723=1),0,IF(OFFSET(CRONOPLE!$F$14,$M723,BT$13)="",10^12,OFFSET(CRONOPLE!$F$14,$M723,BT$13))))</f>
        <v>1000000000000</v>
      </c>
      <c r="BV723" s="182">
        <f ca="1">IF($D723&lt;&gt;"Serviço",0,IF(OR(AND(AUTOEVENTO="Manual",$M723=1),$M723&gt;(ROW(PLE.lastrow)-ROW(PLE.firstrow))),0,IF(OFFSET(PLE!$G$14,$M723,BV$13)="",10^12,OFFSET(PLE!$G$14,$M723,BV$13))))</f>
        <v>1000000000000</v>
      </c>
      <c r="BW723" s="182">
        <f ca="1">IF($D723&lt;&gt;"Serviço",0,IF(OR(AND(AUTOEVENTO="Manual",$M723=1),$M723&gt;(ROW(PLE.lastrow)-ROW(PLE.firstrow))),0,IF(OFFSET(PLE!$G$14,$M723,BW$13)="",10^12,OFFSET(PLE!$G$14,$M723,BW$13))))</f>
        <v>1000000000000</v>
      </c>
      <c r="BX723" s="182">
        <f ca="1">IF($D723&lt;&gt;"Serviço",0,IF(OR(AND(AUTOEVENTO="Manual",$M723=1),$M723&gt;(ROW(PLE.lastrow)-ROW(PLE.firstrow))),0,IF(OFFSET(PLE!$G$14,$M723,BX$13)="",10^12,OFFSET(PLE!$G$14,$M723,BX$13))))</f>
        <v>1000000000000</v>
      </c>
      <c r="BY723" s="182">
        <f ca="1">IF($D723&lt;&gt;"Serviço",0,IF(OR(AND(AUTOEVENTO="Manual",$M723=1),$M723&gt;(ROW(PLE.lastrow)-ROW(PLE.firstrow))),0,IF(OFFSET(PLE!$G$14,$M723,BY$13)="",10^12,OFFSET(PLE!$G$14,$M723,BY$13))))</f>
        <v>1000000000000</v>
      </c>
      <c r="BZ723" s="182">
        <f ca="1">IF($D723&lt;&gt;"Serviço",0,IF(OR(AND(AUTOEVENTO="Manual",$M723=1),$M723&gt;(ROW(PLE.lastrow)-ROW(PLE.firstrow))),0,IF(OFFSET(PLE!$G$14,$M723,BZ$13)="",10^12,OFFSET(PLE!$G$14,$M723,BZ$13))))</f>
        <v>1000000000000</v>
      </c>
      <c r="CA723" s="182">
        <f ca="1">IF($D723&lt;&gt;"Serviço",0,IF(OR(AND(AUTOEVENTO="Manual",$M723=1),$M723&gt;(ROW(PLE.lastrow)-ROW(PLE.firstrow))),0,IF(OFFSET(PLE!$G$14,$M723,CA$13)="",10^12,OFFSET(PLE!$G$14,$M723,CA$13))))</f>
        <v>1000000000000</v>
      </c>
      <c r="CB723" s="182">
        <f ca="1">IF($D723&lt;&gt;"Serviço",0,IF(OR(AND(AUTOEVENTO="Manual",$M723=1),$M723&gt;(ROW(PLE.lastrow)-ROW(PLE.firstrow))),0,IF(OFFSET(PLE!$G$14,$M723,CB$13)="",10^12,OFFSET(PLE!$G$14,$M723,CB$13))))</f>
        <v>1000000000000</v>
      </c>
      <c r="CC723" s="182">
        <f ca="1">IF($D723&lt;&gt;"Serviço",0,IF(OR(AND(AUTOEVENTO="Manual",$M723=1),$M723&gt;(ROW(PLE.lastrow)-ROW(PLE.firstrow))),0,IF(OFFSET(PLE!$G$14,$M723,CC$13)="",10^12,OFFSET(PLE!$G$14,$M723,CC$13))))</f>
        <v>1000000000000</v>
      </c>
      <c r="CD723" s="182">
        <f ca="1">IF($D723&lt;&gt;"Serviço",0,IF(OR(AND(AUTOEVENTO="Manual",$M723=1),$M723&gt;(ROW(PLE.lastrow)-ROW(PLE.firstrow))),0,IF(OFFSET(PLE!$G$14,$M723,CD$13)="",10^12,OFFSET(PLE!$G$14,$M723,CD$13))))</f>
        <v>1000000000000</v>
      </c>
      <c r="CE723" s="182">
        <f ca="1">IF($D723&lt;&gt;"Serviço",0,IF(OR(AND(AUTOEVENTO="Manual",$M723=1),$M723&gt;(ROW(PLE.lastrow)-ROW(PLE.firstrow))),0,IF(OFFSET(PLE!$G$14,$M723,CE$13)="",10^12,OFFSET(PLE!$G$14,$M723,CE$13))))</f>
        <v>1000000000000</v>
      </c>
      <c r="CF723" s="182">
        <f ca="1">IF($D723&lt;&gt;"Serviço",0,IF(OR(AND(AUTOEVENTO="Manual",$M723=1),$M723&gt;(ROW(PLE.lastrow)-ROW(PLE.firstrow))),0,IF(OFFSET(PLE!$G$14,$M723,CF$13)="",10^12,OFFSET(PLE!$G$14,$M723,CF$13))))</f>
        <v>1000000000000</v>
      </c>
      <c r="CG723" s="182">
        <f ca="1">IF($D723&lt;&gt;"Serviço",0,IF(OR(AND(AUTOEVENTO="Manual",$M723=1),$M723&gt;(ROW(PLE.lastrow)-ROW(PLE.firstrow))),0,IF(OFFSET(PLE!$G$14,$M723,CG$13)="",10^12,OFFSET(PLE!$G$14,$M723,CG$13))))</f>
        <v>1000000000000</v>
      </c>
      <c r="CH723" s="182">
        <f ca="1">IF($D723&lt;&gt;"Serviço",0,IF(OR(AND(AUTOEVENTO="Manual",$M723=1),$M723&gt;(ROW(PLE.lastrow)-ROW(PLE.firstrow))),0,IF(OFFSET(PLE!$G$14,$M723,CH$13)="",10^12,OFFSET(PLE!$G$14,$M723,CH$13))))</f>
        <v>1000000000000</v>
      </c>
      <c r="CI723" s="182">
        <f ca="1">IF($D723&lt;&gt;"Serviço",0,IF(OR(AND(AUTOEVENTO="Manual",$M723=1),$M723&gt;(ROW(PLE.lastrow)-ROW(PLE.firstrow))),0,IF(OFFSET(PLE!$G$14,$M723,CI$13)="",10^12,OFFSET(PLE!$G$14,$M723,CI$13))))</f>
        <v>1000000000000</v>
      </c>
      <c r="CJ723" s="182">
        <f ca="1">IF($D723&lt;&gt;"Serviço",0,IF(OR(AND(AUTOEVENTO="Manual",$M723=1),$M723&gt;(ROW(PLE.lastrow)-ROW(PLE.firstrow))),0,IF(OFFSET(PLE!$G$14,$M723,CJ$13)="",10^12,OFFSET(PLE!$G$14,$M723,CJ$13))))</f>
        <v>1000000000000</v>
      </c>
      <c r="CK723" s="182">
        <f ca="1">IF($D723&lt;&gt;"Serviço",0,IF(OR(AND(AUTOEVENTO="Manual",$M723=1),$M723&gt;(ROW(PLE.lastrow)-ROW(PLE.firstrow))),0,IF(OFFSET(PLE!$G$14,$M723,CK$13)="",10^12,OFFSET(PLE!$G$14,$M723,CK$13))))</f>
        <v>1000000000000</v>
      </c>
      <c r="CL723" s="182">
        <f ca="1">IF($D723&lt;&gt;"Serviço",0,IF(OR(AND(AUTOEVENTO="Manual",$M723=1),$M723&gt;(ROW(PLE.lastrow)-ROW(PLE.firstrow))),0,IF(OFFSET(PLE!$G$14,$M723,CL$13)="",10^12,OFFSET(PLE!$G$14,$M723,CL$13))))</f>
        <v>1000000000000</v>
      </c>
      <c r="CM723" s="182">
        <f ca="1">IF($D723&lt;&gt;"Serviço",0,IF(OR(AND(AUTOEVENTO="Manual",$M723=1),$M723&gt;(ROW(PLE.lastrow)-ROW(PLE.firstrow))),0,IF(OFFSET(PLE!$G$14,$M723,CM$13)="",10^12,OFFSET(PLE!$G$14,$M723,CM$13))))</f>
        <v>1000000000000</v>
      </c>
    </row>
    <row r="724" spans="1:91" ht="12.75" x14ac:dyDescent="0.2">
      <c r="A724" s="7" t="str">
        <f t="shared" ca="1" si="20"/>
        <v>709.</v>
      </c>
      <c r="B724" s="7">
        <f ca="1">OFFSET(ORÇAMENTO!C$15,ROW(B724)-ROW(B$15),0)</f>
        <v>2</v>
      </c>
      <c r="C724" s="7" t="str">
        <f ca="1">OFFSET(ORÇAMENTO!L$15,ROW(C724)-ROW(C$15),0)</f>
        <v>F</v>
      </c>
      <c r="D724" s="118" t="str">
        <f ca="1">OFFSET(ORÇAMENTO!N$15,ROW(D724)-ROW(D$15),0)</f>
        <v>Nível 2</v>
      </c>
      <c r="E724" s="119" t="str">
        <f ca="1">OFFSET(ORÇAMENTO!O$15,ROW(E724)-ROW(E$15),0)</f>
        <v>1.81.</v>
      </c>
      <c r="F724" s="172" t="str">
        <f ca="1">OFFSET(ORÇAMENTO!R$15,ROW(F724)-ROW(F$15),0)</f>
        <v>SERVIÇOS FINAIS</v>
      </c>
      <c r="G724" s="173" t="str">
        <f ca="1">IF($D724&lt;&gt;"Serviço","",OFFSET(ORÇAMENTO!S$15,ROW(G724)-ROW(G$15),0))</f>
        <v/>
      </c>
      <c r="H724" s="124">
        <f ca="1">IF($D724&lt;&gt;"Serviço",0,IF(ACOMPANHAMENTO="BM",ROUND(OFFSET(ORÇAMENTO!AJ$15,ROW(H724)-ROW(H$15),0),15-13*ORÇAMENTO!$AF$7),SUMPRODUCT(($Q$12:$AI$12&lt;&gt;"")*ROUND($Q724:$AI724,15-13*ORÇAMENTO!$AF$7))))</f>
        <v>0</v>
      </c>
      <c r="I724" s="561"/>
      <c r="K724" s="174"/>
      <c r="L724" s="175" t="s">
        <v>255</v>
      </c>
      <c r="M724" s="176" t="str">
        <f ca="1">IF($D724&lt;&gt;"Serviço","",IF(AUTOEVENTO="manual",$A724,IF(ISERROR(MATCH($A724,$A$15:OFFSET($A724,-1,0),0)),MAX($M$15:OFFSET(M724,-1,0))+1,INDEX($M$15:OFFSET(M724,-1,0),MATCH($A724,$A$15:OFFSET($A724,-1,0),0)))))</f>
        <v/>
      </c>
      <c r="N724" s="177" t="str">
        <f ca="1">IF($D724&lt;&gt;"Serviço","",IF(AUTOEVENTO="Manual",IF($A724=0,"&lt;-- defina o número do agrupador",OFFSET(EVENTOS!$D$14,$A724,0)),OFFSET($F$15,$A724,0)))</f>
        <v/>
      </c>
      <c r="O724" s="178"/>
      <c r="Q724" s="178">
        <v>0</v>
      </c>
      <c r="R724" s="179"/>
      <c r="S724" s="179"/>
      <c r="T724" s="179"/>
      <c r="U724" s="179"/>
      <c r="V724" s="179"/>
      <c r="W724" s="179"/>
      <c r="X724" s="179"/>
      <c r="Y724" s="179"/>
      <c r="Z724" s="180"/>
      <c r="AA724" s="179"/>
      <c r="AB724" s="179"/>
      <c r="AC724" s="179"/>
      <c r="AD724" s="179"/>
      <c r="AE724" s="179"/>
      <c r="AF724" s="179"/>
      <c r="AG724" s="179"/>
      <c r="AH724" s="180"/>
      <c r="AJ724" s="544">
        <f ca="1">IF(AND($D724="Serviço",AJ$12&lt;&gt;0,$H724&gt;0,OR(AUTOEVENTO&lt;&gt;"manual",$M724&lt;&gt;1)),
IF(Import.TipoArredondamento&lt;&gt;"TransfereGOV",
ROUND(OFFSET($P724,0,AJ$13),15-13*ORÇAMENTO!$AF$7)/$H724*OFFSET(ORÇAMENTO!$X$15,ROW(AJ724)-ROW(AJ$15),0),
ROUND(ROUND(OFFSET($P724,0,AJ$13),15-13*ORÇAMENTO!$AF$7)*OFFSET(ORÇAMENTO!$W$15,ROW(AJ724)-ROW(AJ$15),0),15-13*ORÇAMENTO!$AF$11)),0)</f>
        <v>0</v>
      </c>
      <c r="AK724" s="545">
        <f ca="1">IF(AND($D724="Serviço",AK$12&lt;&gt;0,$H724&gt;0,OR(AUTOEVENTO&lt;&gt;"manual",$M724&lt;&gt;1)),
IF(Import.TipoArredondamento&lt;&gt;"TransfereGOV",
ROUND(OFFSET($P724,0,AK$13),15-13*ORÇAMENTO!$AF$7)/$H724*OFFSET(ORÇAMENTO!$X$15,ROW(AK724)-ROW(AK$15),0),
ROUND(ROUND(OFFSET($P724,0,AK$13),15-13*ORÇAMENTO!$AF$7)*OFFSET(ORÇAMENTO!$W$15,ROW(AK724)-ROW(AK$15),0),15-13*ORÇAMENTO!$AF$11)),0)</f>
        <v>0</v>
      </c>
      <c r="AL724" s="545">
        <f ca="1">IF(AND($D724="Serviço",AL$12&lt;&gt;0,$H724&gt;0,OR(AUTOEVENTO&lt;&gt;"manual",$M724&lt;&gt;1)),
IF(Import.TipoArredondamento&lt;&gt;"TransfereGOV",
ROUND(OFFSET($P724,0,AL$13),15-13*ORÇAMENTO!$AF$7)/$H724*OFFSET(ORÇAMENTO!$X$15,ROW(AL724)-ROW(AL$15),0),
ROUND(ROUND(OFFSET($P724,0,AL$13),15-13*ORÇAMENTO!$AF$7)*OFFSET(ORÇAMENTO!$W$15,ROW(AL724)-ROW(AL$15),0),15-13*ORÇAMENTO!$AF$11)),0)</f>
        <v>0</v>
      </c>
      <c r="AM724" s="545">
        <f ca="1">IF(AND($D724="Serviço",AM$12&lt;&gt;0,$H724&gt;0,OR(AUTOEVENTO&lt;&gt;"manual",$M724&lt;&gt;1)),
IF(Import.TipoArredondamento&lt;&gt;"TransfereGOV",
ROUND(OFFSET($P724,0,AM$13),15-13*ORÇAMENTO!$AF$7)/$H724*OFFSET(ORÇAMENTO!$X$15,ROW(AM724)-ROW(AM$15),0),
ROUND(ROUND(OFFSET($P724,0,AM$13),15-13*ORÇAMENTO!$AF$7)*OFFSET(ORÇAMENTO!$W$15,ROW(AM724)-ROW(AM$15),0),15-13*ORÇAMENTO!$AF$11)),0)</f>
        <v>0</v>
      </c>
      <c r="AN724" s="545">
        <f ca="1">IF(AND($D724="Serviço",AN$12&lt;&gt;0,$H724&gt;0,OR(AUTOEVENTO&lt;&gt;"manual",$M724&lt;&gt;1)),
IF(Import.TipoArredondamento&lt;&gt;"TransfereGOV",
ROUND(OFFSET($P724,0,AN$13),15-13*ORÇAMENTO!$AF$7)/$H724*OFFSET(ORÇAMENTO!$X$15,ROW(AN724)-ROW(AN$15),0),
ROUND(ROUND(OFFSET($P724,0,AN$13),15-13*ORÇAMENTO!$AF$7)*OFFSET(ORÇAMENTO!$W$15,ROW(AN724)-ROW(AN$15),0),15-13*ORÇAMENTO!$AF$11)),0)</f>
        <v>0</v>
      </c>
      <c r="AO724" s="545">
        <f ca="1">IF(AND($D724="Serviço",AO$12&lt;&gt;0,$H724&gt;0,OR(AUTOEVENTO&lt;&gt;"manual",$M724&lt;&gt;1)),
IF(Import.TipoArredondamento&lt;&gt;"TransfereGOV",
ROUND(OFFSET($P724,0,AO$13),15-13*ORÇAMENTO!$AF$7)/$H724*OFFSET(ORÇAMENTO!$X$15,ROW(AO724)-ROW(AO$15),0),
ROUND(ROUND(OFFSET($P724,0,AO$13),15-13*ORÇAMENTO!$AF$7)*OFFSET(ORÇAMENTO!$W$15,ROW(AO724)-ROW(AO$15),0),15-13*ORÇAMENTO!$AF$11)),0)</f>
        <v>0</v>
      </c>
      <c r="AP724" s="545">
        <f ca="1">IF(AND($D724="Serviço",AP$12&lt;&gt;0,$H724&gt;0,OR(AUTOEVENTO&lt;&gt;"manual",$M724&lt;&gt;1)),
IF(Import.TipoArredondamento&lt;&gt;"TransfereGOV",
ROUND(OFFSET($P724,0,AP$13),15-13*ORÇAMENTO!$AF$7)/$H724*OFFSET(ORÇAMENTO!$X$15,ROW(AP724)-ROW(AP$15),0),
ROUND(ROUND(OFFSET($P724,0,AP$13),15-13*ORÇAMENTO!$AF$7)*OFFSET(ORÇAMENTO!$W$15,ROW(AP724)-ROW(AP$15),0),15-13*ORÇAMENTO!$AF$11)),0)</f>
        <v>0</v>
      </c>
      <c r="AQ724" s="545">
        <f ca="1">IF(AND($D724="Serviço",AQ$12&lt;&gt;0,$H724&gt;0,OR(AUTOEVENTO&lt;&gt;"manual",$M724&lt;&gt;1)),
IF(Import.TipoArredondamento&lt;&gt;"TransfereGOV",
ROUND(OFFSET($P724,0,AQ$13),15-13*ORÇAMENTO!$AF$7)/$H724*OFFSET(ORÇAMENTO!$X$15,ROW(AQ724)-ROW(AQ$15),0),
ROUND(ROUND(OFFSET($P724,0,AQ$13),15-13*ORÇAMENTO!$AF$7)*OFFSET(ORÇAMENTO!$W$15,ROW(AQ724)-ROW(AQ$15),0),15-13*ORÇAMENTO!$AF$11)),0)</f>
        <v>0</v>
      </c>
      <c r="AR724" s="545">
        <f ca="1">IF(AND($D724="Serviço",AR$12&lt;&gt;0,$H724&gt;0,OR(AUTOEVENTO&lt;&gt;"manual",$M724&lt;&gt;1)),
IF(Import.TipoArredondamento&lt;&gt;"TransfereGOV",
ROUND(OFFSET($P724,0,AR$13),15-13*ORÇAMENTO!$AF$7)/$H724*OFFSET(ORÇAMENTO!$X$15,ROW(AR724)-ROW(AR$15),0),
ROUND(ROUND(OFFSET($P724,0,AR$13),15-13*ORÇAMENTO!$AF$7)*OFFSET(ORÇAMENTO!$W$15,ROW(AR724)-ROW(AR$15),0),15-13*ORÇAMENTO!$AF$11)),0)</f>
        <v>0</v>
      </c>
      <c r="AS724" s="546">
        <f ca="1">IF(AND($D724="Serviço",AS$12&lt;&gt;0,$H724&gt;0,OR(AUTOEVENTO&lt;&gt;"manual",$M724&lt;&gt;1)),
IF(Import.TipoArredondamento&lt;&gt;"TransfereGOV",
ROUND(OFFSET($P724,0,AS$13),15-13*ORÇAMENTO!$AF$7)/$H724*OFFSET(ORÇAMENTO!$X$15,ROW(AS724)-ROW(AS$15),0),
ROUND(ROUND(OFFSET($P724,0,AS$13),15-13*ORÇAMENTO!$AF$7)*OFFSET(ORÇAMENTO!$W$15,ROW(AS724)-ROW(AS$15),0),15-13*ORÇAMENTO!$AF$11)),0)</f>
        <v>0</v>
      </c>
      <c r="AT724" s="545">
        <f ca="1">IF(AND($D724="Serviço",AT$12&lt;&gt;0,$H724&gt;0,OR(AUTOEVENTO&lt;&gt;"manual",$M724&lt;&gt;1)),
IF(Import.TipoArredondamento&lt;&gt;"TransfereGOV",
ROUND(OFFSET($P724,0,AT$13),15-13*ORÇAMENTO!$AF$7)/$H724*OFFSET(ORÇAMENTO!$X$15,ROW(AT724)-ROW(AT$15),0),
ROUND(ROUND(OFFSET($P724,0,AT$13),15-13*ORÇAMENTO!$AF$7)*OFFSET(ORÇAMENTO!$W$15,ROW(AT724)-ROW(AT$15),0),15-13*ORÇAMENTO!$AF$11)),0)</f>
        <v>0</v>
      </c>
      <c r="AU724" s="545">
        <f ca="1">IF(AND($D724="Serviço",AU$12&lt;&gt;0,$H724&gt;0,OR(AUTOEVENTO&lt;&gt;"manual",$M724&lt;&gt;1)),
IF(Import.TipoArredondamento&lt;&gt;"TransfereGOV",
ROUND(OFFSET($P724,0,AU$13),15-13*ORÇAMENTO!$AF$7)/$H724*OFFSET(ORÇAMENTO!$X$15,ROW(AU724)-ROW(AU$15),0),
ROUND(ROUND(OFFSET($P724,0,AU$13),15-13*ORÇAMENTO!$AF$7)*OFFSET(ORÇAMENTO!$W$15,ROW(AU724)-ROW(AU$15),0),15-13*ORÇAMENTO!$AF$11)),0)</f>
        <v>0</v>
      </c>
      <c r="AV724" s="545">
        <f ca="1">IF(AND($D724="Serviço",AV$12&lt;&gt;0,$H724&gt;0,OR(AUTOEVENTO&lt;&gt;"manual",$M724&lt;&gt;1)),
IF(Import.TipoArredondamento&lt;&gt;"TransfereGOV",
ROUND(OFFSET($P724,0,AV$13),15-13*ORÇAMENTO!$AF$7)/$H724*OFFSET(ORÇAMENTO!$X$15,ROW(AV724)-ROW(AV$15),0),
ROUND(ROUND(OFFSET($P724,0,AV$13),15-13*ORÇAMENTO!$AF$7)*OFFSET(ORÇAMENTO!$W$15,ROW(AV724)-ROW(AV$15),0),15-13*ORÇAMENTO!$AF$11)),0)</f>
        <v>0</v>
      </c>
      <c r="AW724" s="545">
        <f ca="1">IF(AND($D724="Serviço",AW$12&lt;&gt;0,$H724&gt;0,OR(AUTOEVENTO&lt;&gt;"manual",$M724&lt;&gt;1)),
IF(Import.TipoArredondamento&lt;&gt;"TransfereGOV",
ROUND(OFFSET($P724,0,AW$13),15-13*ORÇAMENTO!$AF$7)/$H724*OFFSET(ORÇAMENTO!$X$15,ROW(AW724)-ROW(AW$15),0),
ROUND(ROUND(OFFSET($P724,0,AW$13),15-13*ORÇAMENTO!$AF$7)*OFFSET(ORÇAMENTO!$W$15,ROW(AW724)-ROW(AW$15),0),15-13*ORÇAMENTO!$AF$11)),0)</f>
        <v>0</v>
      </c>
      <c r="AX724" s="545">
        <f ca="1">IF(AND($D724="Serviço",AX$12&lt;&gt;0,$H724&gt;0,OR(AUTOEVENTO&lt;&gt;"manual",$M724&lt;&gt;1)),
IF(Import.TipoArredondamento&lt;&gt;"TransfereGOV",
ROUND(OFFSET($P724,0,AX$13),15-13*ORÇAMENTO!$AF$7)/$H724*OFFSET(ORÇAMENTO!$X$15,ROW(AX724)-ROW(AX$15),0),
ROUND(ROUND(OFFSET($P724,0,AX$13),15-13*ORÇAMENTO!$AF$7)*OFFSET(ORÇAMENTO!$W$15,ROW(AX724)-ROW(AX$15),0),15-13*ORÇAMENTO!$AF$11)),0)</f>
        <v>0</v>
      </c>
      <c r="AY724" s="545">
        <f ca="1">IF(AND($D724="Serviço",AY$12&lt;&gt;0,$H724&gt;0,OR(AUTOEVENTO&lt;&gt;"manual",$M724&lt;&gt;1)),
IF(Import.TipoArredondamento&lt;&gt;"TransfereGOV",
ROUND(OFFSET($P724,0,AY$13),15-13*ORÇAMENTO!$AF$7)/$H724*OFFSET(ORÇAMENTO!$X$15,ROW(AY724)-ROW(AY$15),0),
ROUND(ROUND(OFFSET($P724,0,AY$13),15-13*ORÇAMENTO!$AF$7)*OFFSET(ORÇAMENTO!$W$15,ROW(AY724)-ROW(AY$15),0),15-13*ORÇAMENTO!$AF$11)),0)</f>
        <v>0</v>
      </c>
      <c r="AZ724" s="545">
        <f ca="1">IF(AND($D724="Serviço",AZ$12&lt;&gt;0,$H724&gt;0,OR(AUTOEVENTO&lt;&gt;"manual",$M724&lt;&gt;1)),
IF(Import.TipoArredondamento&lt;&gt;"TransfereGOV",
ROUND(OFFSET($P724,0,AZ$13),15-13*ORÇAMENTO!$AF$7)/$H724*OFFSET(ORÇAMENTO!$X$15,ROW(AZ724)-ROW(AZ$15),0),
ROUND(ROUND(OFFSET($P724,0,AZ$13),15-13*ORÇAMENTO!$AF$7)*OFFSET(ORÇAMENTO!$W$15,ROW(AZ724)-ROW(AZ$15),0),15-13*ORÇAMENTO!$AF$11)),0)</f>
        <v>0</v>
      </c>
      <c r="BA724" s="546">
        <f ca="1">IF(AND($D724="Serviço",BA$12&lt;&gt;0,$H724&gt;0,OR(AUTOEVENTO&lt;&gt;"manual",$M724&lt;&gt;1)),
IF(Import.TipoArredondamento&lt;&gt;"TransfereGOV",
ROUND(OFFSET($P724,0,BA$13),15-13*ORÇAMENTO!$AF$7)/$H724*OFFSET(ORÇAMENTO!$X$15,ROW(BA724)-ROW(BA$15),0),
ROUND(ROUND(OFFSET($P724,0,BA$13),15-13*ORÇAMENTO!$AF$7)*OFFSET(ORÇAMENTO!$W$15,ROW(BA724)-ROW(BA$15),0),15-13*ORÇAMENTO!$AF$11)),0)</f>
        <v>0</v>
      </c>
      <c r="BC724" s="181">
        <f ca="1">IF($D724&lt;&gt;"Serviço",0,IF(AND(AUTOEVENTO="Manual",$M724=1),0,IF(OFFSET(CRONOPLE!$F$14,$M724,BC$13)="",10^12,OFFSET(CRONOPLE!$F$14,$M724,BC$13))))</f>
        <v>0</v>
      </c>
      <c r="BD724" s="181">
        <f ca="1">IF($D724&lt;&gt;"Serviço",0,IF(AND(AUTOEVENTO="Manual",$M724=1),0,IF(OFFSET(CRONOPLE!$F$14,$M724,BD$13)="",10^12,OFFSET(CRONOPLE!$F$14,$M724,BD$13))))</f>
        <v>0</v>
      </c>
      <c r="BE724" s="181">
        <f ca="1">IF($D724&lt;&gt;"Serviço",0,IF(AND(AUTOEVENTO="Manual",$M724=1),0,IF(OFFSET(CRONOPLE!$F$14,$M724,BE$13)="",10^12,OFFSET(CRONOPLE!$F$14,$M724,BE$13))))</f>
        <v>0</v>
      </c>
      <c r="BF724" s="181">
        <f ca="1">IF($D724&lt;&gt;"Serviço",0,IF(AND(AUTOEVENTO="Manual",$M724=1),0,IF(OFFSET(CRONOPLE!$F$14,$M724,BF$13)="",10^12,OFFSET(CRONOPLE!$F$14,$M724,BF$13))))</f>
        <v>0</v>
      </c>
      <c r="BG724" s="181">
        <f ca="1">IF($D724&lt;&gt;"Serviço",0,IF(AND(AUTOEVENTO="Manual",$M724=1),0,IF(OFFSET(CRONOPLE!$F$14,$M724,BG$13)="",10^12,OFFSET(CRONOPLE!$F$14,$M724,BG$13))))</f>
        <v>0</v>
      </c>
      <c r="BH724" s="181">
        <f ca="1">IF($D724&lt;&gt;"Serviço",0,IF(AND(AUTOEVENTO="Manual",$M724=1),0,IF(OFFSET(CRONOPLE!$F$14,$M724,BH$13)="",10^12,OFFSET(CRONOPLE!$F$14,$M724,BH$13))))</f>
        <v>0</v>
      </c>
      <c r="BI724" s="181">
        <f ca="1">IF($D724&lt;&gt;"Serviço",0,IF(AND(AUTOEVENTO="Manual",$M724=1),0,IF(OFFSET(CRONOPLE!$F$14,$M724,BI$13)="",10^12,OFFSET(CRONOPLE!$F$14,$M724,BI$13))))</f>
        <v>0</v>
      </c>
      <c r="BJ724" s="181">
        <f ca="1">IF($D724&lt;&gt;"Serviço",0,IF(AND(AUTOEVENTO="Manual",$M724=1),0,IF(OFFSET(CRONOPLE!$F$14,$M724,BJ$13)="",10^12,OFFSET(CRONOPLE!$F$14,$M724,BJ$13))))</f>
        <v>0</v>
      </c>
      <c r="BK724" s="181">
        <f ca="1">IF($D724&lt;&gt;"Serviço",0,IF(AND(AUTOEVENTO="Manual",$M724=1),0,IF(OFFSET(CRONOPLE!$F$14,$M724,BK$13)="",10^12,OFFSET(CRONOPLE!$F$14,$M724,BK$13))))</f>
        <v>0</v>
      </c>
      <c r="BL724" s="181">
        <f ca="1">IF($D724&lt;&gt;"Serviço",0,IF(AND(AUTOEVENTO="Manual",$M724=1),0,IF(OFFSET(CRONOPLE!$F$14,$M724,BL$13)="",10^12,OFFSET(CRONOPLE!$F$14,$M724,BL$13))))</f>
        <v>0</v>
      </c>
      <c r="BM724" s="181">
        <f ca="1">IF($D724&lt;&gt;"Serviço",0,IF(AND(AUTOEVENTO="Manual",$M724=1),0,IF(OFFSET(CRONOPLE!$F$14,$M724,BM$13)="",10^12,OFFSET(CRONOPLE!$F$14,$M724,BM$13))))</f>
        <v>0</v>
      </c>
      <c r="BN724" s="181">
        <f ca="1">IF($D724&lt;&gt;"Serviço",0,IF(AND(AUTOEVENTO="Manual",$M724=1),0,IF(OFFSET(CRONOPLE!$F$14,$M724,BN$13)="",10^12,OFFSET(CRONOPLE!$F$14,$M724,BN$13))))</f>
        <v>0</v>
      </c>
      <c r="BO724" s="181">
        <f ca="1">IF($D724&lt;&gt;"Serviço",0,IF(AND(AUTOEVENTO="Manual",$M724=1),0,IF(OFFSET(CRONOPLE!$F$14,$M724,BO$13)="",10^12,OFFSET(CRONOPLE!$F$14,$M724,BO$13))))</f>
        <v>0</v>
      </c>
      <c r="BP724" s="181">
        <f ca="1">IF($D724&lt;&gt;"Serviço",0,IF(AND(AUTOEVENTO="Manual",$M724=1),0,IF(OFFSET(CRONOPLE!$F$14,$M724,BP$13)="",10^12,OFFSET(CRONOPLE!$F$14,$M724,BP$13))))</f>
        <v>0</v>
      </c>
      <c r="BQ724" s="181">
        <f ca="1">IF($D724&lt;&gt;"Serviço",0,IF(AND(AUTOEVENTO="Manual",$M724=1),0,IF(OFFSET(CRONOPLE!$F$14,$M724,BQ$13)="",10^12,OFFSET(CRONOPLE!$F$14,$M724,BQ$13))))</f>
        <v>0</v>
      </c>
      <c r="BR724" s="181">
        <f ca="1">IF($D724&lt;&gt;"Serviço",0,IF(AND(AUTOEVENTO="Manual",$M724=1),0,IF(OFFSET(CRONOPLE!$F$14,$M724,BR$13)="",10^12,OFFSET(CRONOPLE!$F$14,$M724,BR$13))))</f>
        <v>0</v>
      </c>
      <c r="BS724" s="181">
        <f ca="1">IF($D724&lt;&gt;"Serviço",0,IF(AND(AUTOEVENTO="Manual",$M724=1),0,IF(OFFSET(CRONOPLE!$F$14,$M724,BS$13)="",10^12,OFFSET(CRONOPLE!$F$14,$M724,BS$13))))</f>
        <v>0</v>
      </c>
      <c r="BT724" s="181">
        <f ca="1">IF($D724&lt;&gt;"Serviço",0,IF(AND(AUTOEVENTO="Manual",$M724=1),0,IF(OFFSET(CRONOPLE!$F$14,$M724,BT$13)="",10^12,OFFSET(CRONOPLE!$F$14,$M724,BT$13))))</f>
        <v>0</v>
      </c>
      <c r="BV724" s="182">
        <f ca="1">IF($D724&lt;&gt;"Serviço",0,IF(OR(AND(AUTOEVENTO="Manual",$M724=1),$M724&gt;(ROW(PLE.lastrow)-ROW(PLE.firstrow))),0,IF(OFFSET(PLE!$G$14,$M724,BV$13)="",10^12,OFFSET(PLE!$G$14,$M724,BV$13))))</f>
        <v>0</v>
      </c>
      <c r="BW724" s="182">
        <f ca="1">IF($D724&lt;&gt;"Serviço",0,IF(OR(AND(AUTOEVENTO="Manual",$M724=1),$M724&gt;(ROW(PLE.lastrow)-ROW(PLE.firstrow))),0,IF(OFFSET(PLE!$G$14,$M724,BW$13)="",10^12,OFFSET(PLE!$G$14,$M724,BW$13))))</f>
        <v>0</v>
      </c>
      <c r="BX724" s="182">
        <f ca="1">IF($D724&lt;&gt;"Serviço",0,IF(OR(AND(AUTOEVENTO="Manual",$M724=1),$M724&gt;(ROW(PLE.lastrow)-ROW(PLE.firstrow))),0,IF(OFFSET(PLE!$G$14,$M724,BX$13)="",10^12,OFFSET(PLE!$G$14,$M724,BX$13))))</f>
        <v>0</v>
      </c>
      <c r="BY724" s="182">
        <f ca="1">IF($D724&lt;&gt;"Serviço",0,IF(OR(AND(AUTOEVENTO="Manual",$M724=1),$M724&gt;(ROW(PLE.lastrow)-ROW(PLE.firstrow))),0,IF(OFFSET(PLE!$G$14,$M724,BY$13)="",10^12,OFFSET(PLE!$G$14,$M724,BY$13))))</f>
        <v>0</v>
      </c>
      <c r="BZ724" s="182">
        <f ca="1">IF($D724&lt;&gt;"Serviço",0,IF(OR(AND(AUTOEVENTO="Manual",$M724=1),$M724&gt;(ROW(PLE.lastrow)-ROW(PLE.firstrow))),0,IF(OFFSET(PLE!$G$14,$M724,BZ$13)="",10^12,OFFSET(PLE!$G$14,$M724,BZ$13))))</f>
        <v>0</v>
      </c>
      <c r="CA724" s="182">
        <f ca="1">IF($D724&lt;&gt;"Serviço",0,IF(OR(AND(AUTOEVENTO="Manual",$M724=1),$M724&gt;(ROW(PLE.lastrow)-ROW(PLE.firstrow))),0,IF(OFFSET(PLE!$G$14,$M724,CA$13)="",10^12,OFFSET(PLE!$G$14,$M724,CA$13))))</f>
        <v>0</v>
      </c>
      <c r="CB724" s="182">
        <f ca="1">IF($D724&lt;&gt;"Serviço",0,IF(OR(AND(AUTOEVENTO="Manual",$M724=1),$M724&gt;(ROW(PLE.lastrow)-ROW(PLE.firstrow))),0,IF(OFFSET(PLE!$G$14,$M724,CB$13)="",10^12,OFFSET(PLE!$G$14,$M724,CB$13))))</f>
        <v>0</v>
      </c>
      <c r="CC724" s="182">
        <f ca="1">IF($D724&lt;&gt;"Serviço",0,IF(OR(AND(AUTOEVENTO="Manual",$M724=1),$M724&gt;(ROW(PLE.lastrow)-ROW(PLE.firstrow))),0,IF(OFFSET(PLE!$G$14,$M724,CC$13)="",10^12,OFFSET(PLE!$G$14,$M724,CC$13))))</f>
        <v>0</v>
      </c>
      <c r="CD724" s="182">
        <f ca="1">IF($D724&lt;&gt;"Serviço",0,IF(OR(AND(AUTOEVENTO="Manual",$M724=1),$M724&gt;(ROW(PLE.lastrow)-ROW(PLE.firstrow))),0,IF(OFFSET(PLE!$G$14,$M724,CD$13)="",10^12,OFFSET(PLE!$G$14,$M724,CD$13))))</f>
        <v>0</v>
      </c>
      <c r="CE724" s="182">
        <f ca="1">IF($D724&lt;&gt;"Serviço",0,IF(OR(AND(AUTOEVENTO="Manual",$M724=1),$M724&gt;(ROW(PLE.lastrow)-ROW(PLE.firstrow))),0,IF(OFFSET(PLE!$G$14,$M724,CE$13)="",10^12,OFFSET(PLE!$G$14,$M724,CE$13))))</f>
        <v>0</v>
      </c>
      <c r="CF724" s="182">
        <f ca="1">IF($D724&lt;&gt;"Serviço",0,IF(OR(AND(AUTOEVENTO="Manual",$M724=1),$M724&gt;(ROW(PLE.lastrow)-ROW(PLE.firstrow))),0,IF(OFFSET(PLE!$G$14,$M724,CF$13)="",10^12,OFFSET(PLE!$G$14,$M724,CF$13))))</f>
        <v>0</v>
      </c>
      <c r="CG724" s="182">
        <f ca="1">IF($D724&lt;&gt;"Serviço",0,IF(OR(AND(AUTOEVENTO="Manual",$M724=1),$M724&gt;(ROW(PLE.lastrow)-ROW(PLE.firstrow))),0,IF(OFFSET(PLE!$G$14,$M724,CG$13)="",10^12,OFFSET(PLE!$G$14,$M724,CG$13))))</f>
        <v>0</v>
      </c>
      <c r="CH724" s="182">
        <f ca="1">IF($D724&lt;&gt;"Serviço",0,IF(OR(AND(AUTOEVENTO="Manual",$M724=1),$M724&gt;(ROW(PLE.lastrow)-ROW(PLE.firstrow))),0,IF(OFFSET(PLE!$G$14,$M724,CH$13)="",10^12,OFFSET(PLE!$G$14,$M724,CH$13))))</f>
        <v>0</v>
      </c>
      <c r="CI724" s="182">
        <f ca="1">IF($D724&lt;&gt;"Serviço",0,IF(OR(AND(AUTOEVENTO="Manual",$M724=1),$M724&gt;(ROW(PLE.lastrow)-ROW(PLE.firstrow))),0,IF(OFFSET(PLE!$G$14,$M724,CI$13)="",10^12,OFFSET(PLE!$G$14,$M724,CI$13))))</f>
        <v>0</v>
      </c>
      <c r="CJ724" s="182">
        <f ca="1">IF($D724&lt;&gt;"Serviço",0,IF(OR(AND(AUTOEVENTO="Manual",$M724=1),$M724&gt;(ROW(PLE.lastrow)-ROW(PLE.firstrow))),0,IF(OFFSET(PLE!$G$14,$M724,CJ$13)="",10^12,OFFSET(PLE!$G$14,$M724,CJ$13))))</f>
        <v>0</v>
      </c>
      <c r="CK724" s="182">
        <f ca="1">IF($D724&lt;&gt;"Serviço",0,IF(OR(AND(AUTOEVENTO="Manual",$M724=1),$M724&gt;(ROW(PLE.lastrow)-ROW(PLE.firstrow))),0,IF(OFFSET(PLE!$G$14,$M724,CK$13)="",10^12,OFFSET(PLE!$G$14,$M724,CK$13))))</f>
        <v>0</v>
      </c>
      <c r="CL724" s="182">
        <f ca="1">IF($D724&lt;&gt;"Serviço",0,IF(OR(AND(AUTOEVENTO="Manual",$M724=1),$M724&gt;(ROW(PLE.lastrow)-ROW(PLE.firstrow))),0,IF(OFFSET(PLE!$G$14,$M724,CL$13)="",10^12,OFFSET(PLE!$G$14,$M724,CL$13))))</f>
        <v>0</v>
      </c>
      <c r="CM724" s="182">
        <f ca="1">IF($D724&lt;&gt;"Serviço",0,IF(OR(AND(AUTOEVENTO="Manual",$M724=1),$M724&gt;(ROW(PLE.lastrow)-ROW(PLE.firstrow))),0,IF(OFFSET(PLE!$G$14,$M724,CM$13)="",10^12,OFFSET(PLE!$G$14,$M724,CM$13))))</f>
        <v>0</v>
      </c>
    </row>
    <row r="725" spans="1:91" ht="25.5" x14ac:dyDescent="0.2">
      <c r="A725" s="7" t="str">
        <f t="shared" ca="1" si="20"/>
        <v>709</v>
      </c>
      <c r="B725" s="7" t="str">
        <f ca="1">OFFSET(ORÇAMENTO!C$15,ROW(B725)-ROW(B$15),0)</f>
        <v>S</v>
      </c>
      <c r="C725" s="7" t="str">
        <f ca="1">OFFSET(ORÇAMENTO!L$15,ROW(C725)-ROW(C$15),0)</f>
        <v/>
      </c>
      <c r="D725" s="118" t="str">
        <f ca="1">OFFSET(ORÇAMENTO!N$15,ROW(D725)-ROW(D$15),0)</f>
        <v>Serviço</v>
      </c>
      <c r="E725" s="119" t="str">
        <f ca="1">OFFSET(ORÇAMENTO!O$15,ROW(E725)-ROW(E$15),0)</f>
        <v>-</v>
      </c>
      <c r="F725" s="172" t="str">
        <f ca="1">OFFSET(ORÇAMENTO!R$15,ROW(F725)-ROW(F$15),0)</f>
        <v>(abra o arquivo 'Referência 06-2024.xlsm)</v>
      </c>
      <c r="G725" s="173" t="str">
        <f ca="1">IF($D725&lt;&gt;"Serviço","",OFFSET(ORÇAMENTO!S$15,ROW(G725)-ROW(G$15),0))</f>
        <v>-</v>
      </c>
      <c r="H725" s="124">
        <f ca="1">IF($D725&lt;&gt;"Serviço",0,IF(ACOMPANHAMENTO="BM",ROUND(OFFSET(ORÇAMENTO!AJ$15,ROW(H725)-ROW(H$15),0),15-13*ORÇAMENTO!$AF$7),SUMPRODUCT(($Q$12:$AI$12&lt;&gt;"")*ROUND($Q725:$AI725,15-13*ORÇAMENTO!$AF$7))))</f>
        <v>1545.99</v>
      </c>
      <c r="I725" s="561" t="s">
        <v>1107</v>
      </c>
      <c r="K725" s="174"/>
      <c r="L725" s="175" t="s">
        <v>255</v>
      </c>
      <c r="M725" s="176">
        <f ca="1">IF($D725&lt;&gt;"Serviço","",IF(AUTOEVENTO="manual",$A725,IF(ISERROR(MATCH($A725,$A$15:OFFSET($A725,-1,0),0)),MAX($M$15:OFFSET(M725,-1,0))+1,INDEX($M$15:OFFSET(M725,-1,0),MATCH($A725,$A$15:OFFSET($A725,-1,0),0)))))</f>
        <v>82</v>
      </c>
      <c r="N725" s="177" t="str">
        <f ca="1">IF($D725&lt;&gt;"Serviço","",IF(AUTOEVENTO="Manual",IF($A725=0,"&lt;-- defina o número do agrupador",OFFSET(EVENTOS!$D$14,$A725,0)),OFFSET($F$15,$A725,0)))</f>
        <v>SERVIÇOS FINAIS</v>
      </c>
      <c r="O725" s="178"/>
      <c r="Q725" s="178">
        <v>1545.99</v>
      </c>
      <c r="R725" s="179"/>
      <c r="S725" s="179"/>
      <c r="T725" s="179"/>
      <c r="U725" s="179"/>
      <c r="V725" s="179"/>
      <c r="W725" s="179"/>
      <c r="X725" s="179"/>
      <c r="Y725" s="179"/>
      <c r="Z725" s="180"/>
      <c r="AA725" s="179"/>
      <c r="AB725" s="179"/>
      <c r="AC725" s="179"/>
      <c r="AD725" s="179"/>
      <c r="AE725" s="179"/>
      <c r="AF725" s="179"/>
      <c r="AG725" s="179"/>
      <c r="AH725" s="180"/>
      <c r="AJ725" s="544">
        <f ca="1">IF(AND($D725="Serviço",AJ$12&lt;&gt;0,$H725&gt;0,OR(AUTOEVENTO&lt;&gt;"manual",$M725&lt;&gt;1)),
IF(Import.TipoArredondamento&lt;&gt;"TransfereGOV",
ROUND(OFFSET($P725,0,AJ$13),15-13*ORÇAMENTO!$AF$7)/$H725*OFFSET(ORÇAMENTO!$X$15,ROW(AJ725)-ROW(AJ$15),0),
ROUND(ROUND(OFFSET($P725,0,AJ$13),15-13*ORÇAMENTO!$AF$7)*OFFSET(ORÇAMENTO!$W$15,ROW(AJ725)-ROW(AJ$15),0),15-13*ORÇAMENTO!$AF$11)),0)</f>
        <v>0</v>
      </c>
      <c r="AK725" s="545">
        <f ca="1">IF(AND($D725="Serviço",AK$12&lt;&gt;0,$H725&gt;0,OR(AUTOEVENTO&lt;&gt;"manual",$M725&lt;&gt;1)),
IF(Import.TipoArredondamento&lt;&gt;"TransfereGOV",
ROUND(OFFSET($P725,0,AK$13),15-13*ORÇAMENTO!$AF$7)/$H725*OFFSET(ORÇAMENTO!$X$15,ROW(AK725)-ROW(AK$15),0),
ROUND(ROUND(OFFSET($P725,0,AK$13),15-13*ORÇAMENTO!$AF$7)*OFFSET(ORÇAMENTO!$W$15,ROW(AK725)-ROW(AK$15),0),15-13*ORÇAMENTO!$AF$11)),0)</f>
        <v>0</v>
      </c>
      <c r="AL725" s="545">
        <f ca="1">IF(AND($D725="Serviço",AL$12&lt;&gt;0,$H725&gt;0,OR(AUTOEVENTO&lt;&gt;"manual",$M725&lt;&gt;1)),
IF(Import.TipoArredondamento&lt;&gt;"TransfereGOV",
ROUND(OFFSET($P725,0,AL$13),15-13*ORÇAMENTO!$AF$7)/$H725*OFFSET(ORÇAMENTO!$X$15,ROW(AL725)-ROW(AL$15),0),
ROUND(ROUND(OFFSET($P725,0,AL$13),15-13*ORÇAMENTO!$AF$7)*OFFSET(ORÇAMENTO!$W$15,ROW(AL725)-ROW(AL$15),0),15-13*ORÇAMENTO!$AF$11)),0)</f>
        <v>0</v>
      </c>
      <c r="AM725" s="545">
        <f ca="1">IF(AND($D725="Serviço",AM$12&lt;&gt;0,$H725&gt;0,OR(AUTOEVENTO&lt;&gt;"manual",$M725&lt;&gt;1)),
IF(Import.TipoArredondamento&lt;&gt;"TransfereGOV",
ROUND(OFFSET($P725,0,AM$13),15-13*ORÇAMENTO!$AF$7)/$H725*OFFSET(ORÇAMENTO!$X$15,ROW(AM725)-ROW(AM$15),0),
ROUND(ROUND(OFFSET($P725,0,AM$13),15-13*ORÇAMENTO!$AF$7)*OFFSET(ORÇAMENTO!$W$15,ROW(AM725)-ROW(AM$15),0),15-13*ORÇAMENTO!$AF$11)),0)</f>
        <v>0</v>
      </c>
      <c r="AN725" s="545">
        <f ca="1">IF(AND($D725="Serviço",AN$12&lt;&gt;0,$H725&gt;0,OR(AUTOEVENTO&lt;&gt;"manual",$M725&lt;&gt;1)),
IF(Import.TipoArredondamento&lt;&gt;"TransfereGOV",
ROUND(OFFSET($P725,0,AN$13),15-13*ORÇAMENTO!$AF$7)/$H725*OFFSET(ORÇAMENTO!$X$15,ROW(AN725)-ROW(AN$15),0),
ROUND(ROUND(OFFSET($P725,0,AN$13),15-13*ORÇAMENTO!$AF$7)*OFFSET(ORÇAMENTO!$W$15,ROW(AN725)-ROW(AN$15),0),15-13*ORÇAMENTO!$AF$11)),0)</f>
        <v>0</v>
      </c>
      <c r="AO725" s="545">
        <f ca="1">IF(AND($D725="Serviço",AO$12&lt;&gt;0,$H725&gt;0,OR(AUTOEVENTO&lt;&gt;"manual",$M725&lt;&gt;1)),
IF(Import.TipoArredondamento&lt;&gt;"TransfereGOV",
ROUND(OFFSET($P725,0,AO$13),15-13*ORÇAMENTO!$AF$7)/$H725*OFFSET(ORÇAMENTO!$X$15,ROW(AO725)-ROW(AO$15),0),
ROUND(ROUND(OFFSET($P725,0,AO$13),15-13*ORÇAMENTO!$AF$7)*OFFSET(ORÇAMENTO!$W$15,ROW(AO725)-ROW(AO$15),0),15-13*ORÇAMENTO!$AF$11)),0)</f>
        <v>0</v>
      </c>
      <c r="AP725" s="545">
        <f ca="1">IF(AND($D725="Serviço",AP$12&lt;&gt;0,$H725&gt;0,OR(AUTOEVENTO&lt;&gt;"manual",$M725&lt;&gt;1)),
IF(Import.TipoArredondamento&lt;&gt;"TransfereGOV",
ROUND(OFFSET($P725,0,AP$13),15-13*ORÇAMENTO!$AF$7)/$H725*OFFSET(ORÇAMENTO!$X$15,ROW(AP725)-ROW(AP$15),0),
ROUND(ROUND(OFFSET($P725,0,AP$13),15-13*ORÇAMENTO!$AF$7)*OFFSET(ORÇAMENTO!$W$15,ROW(AP725)-ROW(AP$15),0),15-13*ORÇAMENTO!$AF$11)),0)</f>
        <v>0</v>
      </c>
      <c r="AQ725" s="545">
        <f ca="1">IF(AND($D725="Serviço",AQ$12&lt;&gt;0,$H725&gt;0,OR(AUTOEVENTO&lt;&gt;"manual",$M725&lt;&gt;1)),
IF(Import.TipoArredondamento&lt;&gt;"TransfereGOV",
ROUND(OFFSET($P725,0,AQ$13),15-13*ORÇAMENTO!$AF$7)/$H725*OFFSET(ORÇAMENTO!$X$15,ROW(AQ725)-ROW(AQ$15),0),
ROUND(ROUND(OFFSET($P725,0,AQ$13),15-13*ORÇAMENTO!$AF$7)*OFFSET(ORÇAMENTO!$W$15,ROW(AQ725)-ROW(AQ$15),0),15-13*ORÇAMENTO!$AF$11)),0)</f>
        <v>0</v>
      </c>
      <c r="AR725" s="545">
        <f ca="1">IF(AND($D725="Serviço",AR$12&lt;&gt;0,$H725&gt;0,OR(AUTOEVENTO&lt;&gt;"manual",$M725&lt;&gt;1)),
IF(Import.TipoArredondamento&lt;&gt;"TransfereGOV",
ROUND(OFFSET($P725,0,AR$13),15-13*ORÇAMENTO!$AF$7)/$H725*OFFSET(ORÇAMENTO!$X$15,ROW(AR725)-ROW(AR$15),0),
ROUND(ROUND(OFFSET($P725,0,AR$13),15-13*ORÇAMENTO!$AF$7)*OFFSET(ORÇAMENTO!$W$15,ROW(AR725)-ROW(AR$15),0),15-13*ORÇAMENTO!$AF$11)),0)</f>
        <v>0</v>
      </c>
      <c r="AS725" s="546">
        <f ca="1">IF(AND($D725="Serviço",AS$12&lt;&gt;0,$H725&gt;0,OR(AUTOEVENTO&lt;&gt;"manual",$M725&lt;&gt;1)),
IF(Import.TipoArredondamento&lt;&gt;"TransfereGOV",
ROUND(OFFSET($P725,0,AS$13),15-13*ORÇAMENTO!$AF$7)/$H725*OFFSET(ORÇAMENTO!$X$15,ROW(AS725)-ROW(AS$15),0),
ROUND(ROUND(OFFSET($P725,0,AS$13),15-13*ORÇAMENTO!$AF$7)*OFFSET(ORÇAMENTO!$W$15,ROW(AS725)-ROW(AS$15),0),15-13*ORÇAMENTO!$AF$11)),0)</f>
        <v>0</v>
      </c>
      <c r="AT725" s="545">
        <f ca="1">IF(AND($D725="Serviço",AT$12&lt;&gt;0,$H725&gt;0,OR(AUTOEVENTO&lt;&gt;"manual",$M725&lt;&gt;1)),
IF(Import.TipoArredondamento&lt;&gt;"TransfereGOV",
ROUND(OFFSET($P725,0,AT$13),15-13*ORÇAMENTO!$AF$7)/$H725*OFFSET(ORÇAMENTO!$X$15,ROW(AT725)-ROW(AT$15),0),
ROUND(ROUND(OFFSET($P725,0,AT$13),15-13*ORÇAMENTO!$AF$7)*OFFSET(ORÇAMENTO!$W$15,ROW(AT725)-ROW(AT$15),0),15-13*ORÇAMENTO!$AF$11)),0)</f>
        <v>0</v>
      </c>
      <c r="AU725" s="545">
        <f ca="1">IF(AND($D725="Serviço",AU$12&lt;&gt;0,$H725&gt;0,OR(AUTOEVENTO&lt;&gt;"manual",$M725&lt;&gt;1)),
IF(Import.TipoArredondamento&lt;&gt;"TransfereGOV",
ROUND(OFFSET($P725,0,AU$13),15-13*ORÇAMENTO!$AF$7)/$H725*OFFSET(ORÇAMENTO!$X$15,ROW(AU725)-ROW(AU$15),0),
ROUND(ROUND(OFFSET($P725,0,AU$13),15-13*ORÇAMENTO!$AF$7)*OFFSET(ORÇAMENTO!$W$15,ROW(AU725)-ROW(AU$15),0),15-13*ORÇAMENTO!$AF$11)),0)</f>
        <v>0</v>
      </c>
      <c r="AV725" s="545">
        <f ca="1">IF(AND($D725="Serviço",AV$12&lt;&gt;0,$H725&gt;0,OR(AUTOEVENTO&lt;&gt;"manual",$M725&lt;&gt;1)),
IF(Import.TipoArredondamento&lt;&gt;"TransfereGOV",
ROUND(OFFSET($P725,0,AV$13),15-13*ORÇAMENTO!$AF$7)/$H725*OFFSET(ORÇAMENTO!$X$15,ROW(AV725)-ROW(AV$15),0),
ROUND(ROUND(OFFSET($P725,0,AV$13),15-13*ORÇAMENTO!$AF$7)*OFFSET(ORÇAMENTO!$W$15,ROW(AV725)-ROW(AV$15),0),15-13*ORÇAMENTO!$AF$11)),0)</f>
        <v>0</v>
      </c>
      <c r="AW725" s="545">
        <f ca="1">IF(AND($D725="Serviço",AW$12&lt;&gt;0,$H725&gt;0,OR(AUTOEVENTO&lt;&gt;"manual",$M725&lt;&gt;1)),
IF(Import.TipoArredondamento&lt;&gt;"TransfereGOV",
ROUND(OFFSET($P725,0,AW$13),15-13*ORÇAMENTO!$AF$7)/$H725*OFFSET(ORÇAMENTO!$X$15,ROW(AW725)-ROW(AW$15),0),
ROUND(ROUND(OFFSET($P725,0,AW$13),15-13*ORÇAMENTO!$AF$7)*OFFSET(ORÇAMENTO!$W$15,ROW(AW725)-ROW(AW$15),0),15-13*ORÇAMENTO!$AF$11)),0)</f>
        <v>0</v>
      </c>
      <c r="AX725" s="545">
        <f ca="1">IF(AND($D725="Serviço",AX$12&lt;&gt;0,$H725&gt;0,OR(AUTOEVENTO&lt;&gt;"manual",$M725&lt;&gt;1)),
IF(Import.TipoArredondamento&lt;&gt;"TransfereGOV",
ROUND(OFFSET($P725,0,AX$13),15-13*ORÇAMENTO!$AF$7)/$H725*OFFSET(ORÇAMENTO!$X$15,ROW(AX725)-ROW(AX$15),0),
ROUND(ROUND(OFFSET($P725,0,AX$13),15-13*ORÇAMENTO!$AF$7)*OFFSET(ORÇAMENTO!$W$15,ROW(AX725)-ROW(AX$15),0),15-13*ORÇAMENTO!$AF$11)),0)</f>
        <v>0</v>
      </c>
      <c r="AY725" s="545">
        <f ca="1">IF(AND($D725="Serviço",AY$12&lt;&gt;0,$H725&gt;0,OR(AUTOEVENTO&lt;&gt;"manual",$M725&lt;&gt;1)),
IF(Import.TipoArredondamento&lt;&gt;"TransfereGOV",
ROUND(OFFSET($P725,0,AY$13),15-13*ORÇAMENTO!$AF$7)/$H725*OFFSET(ORÇAMENTO!$X$15,ROW(AY725)-ROW(AY$15),0),
ROUND(ROUND(OFFSET($P725,0,AY$13),15-13*ORÇAMENTO!$AF$7)*OFFSET(ORÇAMENTO!$W$15,ROW(AY725)-ROW(AY$15),0),15-13*ORÇAMENTO!$AF$11)),0)</f>
        <v>0</v>
      </c>
      <c r="AZ725" s="545">
        <f ca="1">IF(AND($D725="Serviço",AZ$12&lt;&gt;0,$H725&gt;0,OR(AUTOEVENTO&lt;&gt;"manual",$M725&lt;&gt;1)),
IF(Import.TipoArredondamento&lt;&gt;"TransfereGOV",
ROUND(OFFSET($P725,0,AZ$13),15-13*ORÇAMENTO!$AF$7)/$H725*OFFSET(ORÇAMENTO!$X$15,ROW(AZ725)-ROW(AZ$15),0),
ROUND(ROUND(OFFSET($P725,0,AZ$13),15-13*ORÇAMENTO!$AF$7)*OFFSET(ORÇAMENTO!$W$15,ROW(AZ725)-ROW(AZ$15),0),15-13*ORÇAMENTO!$AF$11)),0)</f>
        <v>0</v>
      </c>
      <c r="BA725" s="546">
        <f ca="1">IF(AND($D725="Serviço",BA$12&lt;&gt;0,$H725&gt;0,OR(AUTOEVENTO&lt;&gt;"manual",$M725&lt;&gt;1)),
IF(Import.TipoArredondamento&lt;&gt;"TransfereGOV",
ROUND(OFFSET($P725,0,BA$13),15-13*ORÇAMENTO!$AF$7)/$H725*OFFSET(ORÇAMENTO!$X$15,ROW(BA725)-ROW(BA$15),0),
ROUND(ROUND(OFFSET($P725,0,BA$13),15-13*ORÇAMENTO!$AF$7)*OFFSET(ORÇAMENTO!$W$15,ROW(BA725)-ROW(BA$15),0),15-13*ORÇAMENTO!$AF$11)),0)</f>
        <v>0</v>
      </c>
      <c r="BC725" s="181">
        <f ca="1">IF($D725&lt;&gt;"Serviço",0,IF(AND(AUTOEVENTO="Manual",$M725=1),0,IF(OFFSET(CRONOPLE!$F$14,$M725,BC$13)="",10^12,OFFSET(CRONOPLE!$F$14,$M725,BC$13))))</f>
        <v>12</v>
      </c>
      <c r="BD725" s="181">
        <f ca="1">IF($D725&lt;&gt;"Serviço",0,IF(AND(AUTOEVENTO="Manual",$M725=1),0,IF(OFFSET(CRONOPLE!$F$14,$M725,BD$13)="",10^12,OFFSET(CRONOPLE!$F$14,$M725,BD$13))))</f>
        <v>1000000000000</v>
      </c>
      <c r="BE725" s="181">
        <f ca="1">IF($D725&lt;&gt;"Serviço",0,IF(AND(AUTOEVENTO="Manual",$M725=1),0,IF(OFFSET(CRONOPLE!$F$14,$M725,BE$13)="",10^12,OFFSET(CRONOPLE!$F$14,$M725,BE$13))))</f>
        <v>1000000000000</v>
      </c>
      <c r="BF725" s="181">
        <f ca="1">IF($D725&lt;&gt;"Serviço",0,IF(AND(AUTOEVENTO="Manual",$M725=1),0,IF(OFFSET(CRONOPLE!$F$14,$M725,BF$13)="",10^12,OFFSET(CRONOPLE!$F$14,$M725,BF$13))))</f>
        <v>1000000000000</v>
      </c>
      <c r="BG725" s="181">
        <f ca="1">IF($D725&lt;&gt;"Serviço",0,IF(AND(AUTOEVENTO="Manual",$M725=1),0,IF(OFFSET(CRONOPLE!$F$14,$M725,BG$13)="",10^12,OFFSET(CRONOPLE!$F$14,$M725,BG$13))))</f>
        <v>1000000000000</v>
      </c>
      <c r="BH725" s="181">
        <f ca="1">IF($D725&lt;&gt;"Serviço",0,IF(AND(AUTOEVENTO="Manual",$M725=1),0,IF(OFFSET(CRONOPLE!$F$14,$M725,BH$13)="",10^12,OFFSET(CRONOPLE!$F$14,$M725,BH$13))))</f>
        <v>1000000000000</v>
      </c>
      <c r="BI725" s="181">
        <f ca="1">IF($D725&lt;&gt;"Serviço",0,IF(AND(AUTOEVENTO="Manual",$M725=1),0,IF(OFFSET(CRONOPLE!$F$14,$M725,BI$13)="",10^12,OFFSET(CRONOPLE!$F$14,$M725,BI$13))))</f>
        <v>1000000000000</v>
      </c>
      <c r="BJ725" s="181">
        <f ca="1">IF($D725&lt;&gt;"Serviço",0,IF(AND(AUTOEVENTO="Manual",$M725=1),0,IF(OFFSET(CRONOPLE!$F$14,$M725,BJ$13)="",10^12,OFFSET(CRONOPLE!$F$14,$M725,BJ$13))))</f>
        <v>1000000000000</v>
      </c>
      <c r="BK725" s="181">
        <f ca="1">IF($D725&lt;&gt;"Serviço",0,IF(AND(AUTOEVENTO="Manual",$M725=1),0,IF(OFFSET(CRONOPLE!$F$14,$M725,BK$13)="",10^12,OFFSET(CRONOPLE!$F$14,$M725,BK$13))))</f>
        <v>1000000000000</v>
      </c>
      <c r="BL725" s="181">
        <f ca="1">IF($D725&lt;&gt;"Serviço",0,IF(AND(AUTOEVENTO="Manual",$M725=1),0,IF(OFFSET(CRONOPLE!$F$14,$M725,BL$13)="",10^12,OFFSET(CRONOPLE!$F$14,$M725,BL$13))))</f>
        <v>1000000000000</v>
      </c>
      <c r="BM725" s="181">
        <f ca="1">IF($D725&lt;&gt;"Serviço",0,IF(AND(AUTOEVENTO="Manual",$M725=1),0,IF(OFFSET(CRONOPLE!$F$14,$M725,BM$13)="",10^12,OFFSET(CRONOPLE!$F$14,$M725,BM$13))))</f>
        <v>1000000000000</v>
      </c>
      <c r="BN725" s="181">
        <f ca="1">IF($D725&lt;&gt;"Serviço",0,IF(AND(AUTOEVENTO="Manual",$M725=1),0,IF(OFFSET(CRONOPLE!$F$14,$M725,BN$13)="",10^12,OFFSET(CRONOPLE!$F$14,$M725,BN$13))))</f>
        <v>1000000000000</v>
      </c>
      <c r="BO725" s="181">
        <f ca="1">IF($D725&lt;&gt;"Serviço",0,IF(AND(AUTOEVENTO="Manual",$M725=1),0,IF(OFFSET(CRONOPLE!$F$14,$M725,BO$13)="",10^12,OFFSET(CRONOPLE!$F$14,$M725,BO$13))))</f>
        <v>1000000000000</v>
      </c>
      <c r="BP725" s="181">
        <f ca="1">IF($D725&lt;&gt;"Serviço",0,IF(AND(AUTOEVENTO="Manual",$M725=1),0,IF(OFFSET(CRONOPLE!$F$14,$M725,BP$13)="",10^12,OFFSET(CRONOPLE!$F$14,$M725,BP$13))))</f>
        <v>1000000000000</v>
      </c>
      <c r="BQ725" s="181">
        <f ca="1">IF($D725&lt;&gt;"Serviço",0,IF(AND(AUTOEVENTO="Manual",$M725=1),0,IF(OFFSET(CRONOPLE!$F$14,$M725,BQ$13)="",10^12,OFFSET(CRONOPLE!$F$14,$M725,BQ$13))))</f>
        <v>1000000000000</v>
      </c>
      <c r="BR725" s="181">
        <f ca="1">IF($D725&lt;&gt;"Serviço",0,IF(AND(AUTOEVENTO="Manual",$M725=1),0,IF(OFFSET(CRONOPLE!$F$14,$M725,BR$13)="",10^12,OFFSET(CRONOPLE!$F$14,$M725,BR$13))))</f>
        <v>1000000000000</v>
      </c>
      <c r="BS725" s="181">
        <f ca="1">IF($D725&lt;&gt;"Serviço",0,IF(AND(AUTOEVENTO="Manual",$M725=1),0,IF(OFFSET(CRONOPLE!$F$14,$M725,BS$13)="",10^12,OFFSET(CRONOPLE!$F$14,$M725,BS$13))))</f>
        <v>1000000000000</v>
      </c>
      <c r="BT725" s="181">
        <f ca="1">IF($D725&lt;&gt;"Serviço",0,IF(AND(AUTOEVENTO="Manual",$M725=1),0,IF(OFFSET(CRONOPLE!$F$14,$M725,BT$13)="",10^12,OFFSET(CRONOPLE!$F$14,$M725,BT$13))))</f>
        <v>1000000000000</v>
      </c>
      <c r="BV725" s="182">
        <f ca="1">IF($D725&lt;&gt;"Serviço",0,IF(OR(AND(AUTOEVENTO="Manual",$M725=1),$M725&gt;(ROW(PLE.lastrow)-ROW(PLE.firstrow))),0,IF(OFFSET(PLE!$G$14,$M725,BV$13)="",10^12,OFFSET(PLE!$G$14,$M725,BV$13))))</f>
        <v>1000000000000</v>
      </c>
      <c r="BW725" s="182">
        <f ca="1">IF($D725&lt;&gt;"Serviço",0,IF(OR(AND(AUTOEVENTO="Manual",$M725=1),$M725&gt;(ROW(PLE.lastrow)-ROW(PLE.firstrow))),0,IF(OFFSET(PLE!$G$14,$M725,BW$13)="",10^12,OFFSET(PLE!$G$14,$M725,BW$13))))</f>
        <v>1000000000000</v>
      </c>
      <c r="BX725" s="182">
        <f ca="1">IF($D725&lt;&gt;"Serviço",0,IF(OR(AND(AUTOEVENTO="Manual",$M725=1),$M725&gt;(ROW(PLE.lastrow)-ROW(PLE.firstrow))),0,IF(OFFSET(PLE!$G$14,$M725,BX$13)="",10^12,OFFSET(PLE!$G$14,$M725,BX$13))))</f>
        <v>1000000000000</v>
      </c>
      <c r="BY725" s="182">
        <f ca="1">IF($D725&lt;&gt;"Serviço",0,IF(OR(AND(AUTOEVENTO="Manual",$M725=1),$M725&gt;(ROW(PLE.lastrow)-ROW(PLE.firstrow))),0,IF(OFFSET(PLE!$G$14,$M725,BY$13)="",10^12,OFFSET(PLE!$G$14,$M725,BY$13))))</f>
        <v>1000000000000</v>
      </c>
      <c r="BZ725" s="182">
        <f ca="1">IF($D725&lt;&gt;"Serviço",0,IF(OR(AND(AUTOEVENTO="Manual",$M725=1),$M725&gt;(ROW(PLE.lastrow)-ROW(PLE.firstrow))),0,IF(OFFSET(PLE!$G$14,$M725,BZ$13)="",10^12,OFFSET(PLE!$G$14,$M725,BZ$13))))</f>
        <v>1000000000000</v>
      </c>
      <c r="CA725" s="182">
        <f ca="1">IF($D725&lt;&gt;"Serviço",0,IF(OR(AND(AUTOEVENTO="Manual",$M725=1),$M725&gt;(ROW(PLE.lastrow)-ROW(PLE.firstrow))),0,IF(OFFSET(PLE!$G$14,$M725,CA$13)="",10^12,OFFSET(PLE!$G$14,$M725,CA$13))))</f>
        <v>1000000000000</v>
      </c>
      <c r="CB725" s="182">
        <f ca="1">IF($D725&lt;&gt;"Serviço",0,IF(OR(AND(AUTOEVENTO="Manual",$M725=1),$M725&gt;(ROW(PLE.lastrow)-ROW(PLE.firstrow))),0,IF(OFFSET(PLE!$G$14,$M725,CB$13)="",10^12,OFFSET(PLE!$G$14,$M725,CB$13))))</f>
        <v>1000000000000</v>
      </c>
      <c r="CC725" s="182">
        <f ca="1">IF($D725&lt;&gt;"Serviço",0,IF(OR(AND(AUTOEVENTO="Manual",$M725=1),$M725&gt;(ROW(PLE.lastrow)-ROW(PLE.firstrow))),0,IF(OFFSET(PLE!$G$14,$M725,CC$13)="",10^12,OFFSET(PLE!$G$14,$M725,CC$13))))</f>
        <v>1000000000000</v>
      </c>
      <c r="CD725" s="182">
        <f ca="1">IF($D725&lt;&gt;"Serviço",0,IF(OR(AND(AUTOEVENTO="Manual",$M725=1),$M725&gt;(ROW(PLE.lastrow)-ROW(PLE.firstrow))),0,IF(OFFSET(PLE!$G$14,$M725,CD$13)="",10^12,OFFSET(PLE!$G$14,$M725,CD$13))))</f>
        <v>1000000000000</v>
      </c>
      <c r="CE725" s="182">
        <f ca="1">IF($D725&lt;&gt;"Serviço",0,IF(OR(AND(AUTOEVENTO="Manual",$M725=1),$M725&gt;(ROW(PLE.lastrow)-ROW(PLE.firstrow))),0,IF(OFFSET(PLE!$G$14,$M725,CE$13)="",10^12,OFFSET(PLE!$G$14,$M725,CE$13))))</f>
        <v>1000000000000</v>
      </c>
      <c r="CF725" s="182">
        <f ca="1">IF($D725&lt;&gt;"Serviço",0,IF(OR(AND(AUTOEVENTO="Manual",$M725=1),$M725&gt;(ROW(PLE.lastrow)-ROW(PLE.firstrow))),0,IF(OFFSET(PLE!$G$14,$M725,CF$13)="",10^12,OFFSET(PLE!$G$14,$M725,CF$13))))</f>
        <v>1000000000000</v>
      </c>
      <c r="CG725" s="182">
        <f ca="1">IF($D725&lt;&gt;"Serviço",0,IF(OR(AND(AUTOEVENTO="Manual",$M725=1),$M725&gt;(ROW(PLE.lastrow)-ROW(PLE.firstrow))),0,IF(OFFSET(PLE!$G$14,$M725,CG$13)="",10^12,OFFSET(PLE!$G$14,$M725,CG$13))))</f>
        <v>1000000000000</v>
      </c>
      <c r="CH725" s="182">
        <f ca="1">IF($D725&lt;&gt;"Serviço",0,IF(OR(AND(AUTOEVENTO="Manual",$M725=1),$M725&gt;(ROW(PLE.lastrow)-ROW(PLE.firstrow))),0,IF(OFFSET(PLE!$G$14,$M725,CH$13)="",10^12,OFFSET(PLE!$G$14,$M725,CH$13))))</f>
        <v>1000000000000</v>
      </c>
      <c r="CI725" s="182">
        <f ca="1">IF($D725&lt;&gt;"Serviço",0,IF(OR(AND(AUTOEVENTO="Manual",$M725=1),$M725&gt;(ROW(PLE.lastrow)-ROW(PLE.firstrow))),0,IF(OFFSET(PLE!$G$14,$M725,CI$13)="",10^12,OFFSET(PLE!$G$14,$M725,CI$13))))</f>
        <v>1000000000000</v>
      </c>
      <c r="CJ725" s="182">
        <f ca="1">IF($D725&lt;&gt;"Serviço",0,IF(OR(AND(AUTOEVENTO="Manual",$M725=1),$M725&gt;(ROW(PLE.lastrow)-ROW(PLE.firstrow))),0,IF(OFFSET(PLE!$G$14,$M725,CJ$13)="",10^12,OFFSET(PLE!$G$14,$M725,CJ$13))))</f>
        <v>1000000000000</v>
      </c>
      <c r="CK725" s="182">
        <f ca="1">IF($D725&lt;&gt;"Serviço",0,IF(OR(AND(AUTOEVENTO="Manual",$M725=1),$M725&gt;(ROW(PLE.lastrow)-ROW(PLE.firstrow))),0,IF(OFFSET(PLE!$G$14,$M725,CK$13)="",10^12,OFFSET(PLE!$G$14,$M725,CK$13))))</f>
        <v>1000000000000</v>
      </c>
      <c r="CL725" s="182">
        <f ca="1">IF($D725&lt;&gt;"Serviço",0,IF(OR(AND(AUTOEVENTO="Manual",$M725=1),$M725&gt;(ROW(PLE.lastrow)-ROW(PLE.firstrow))),0,IF(OFFSET(PLE!$G$14,$M725,CL$13)="",10^12,OFFSET(PLE!$G$14,$M725,CL$13))))</f>
        <v>1000000000000</v>
      </c>
      <c r="CM725" s="182">
        <f ca="1">IF($D725&lt;&gt;"Serviço",0,IF(OR(AND(AUTOEVENTO="Manual",$M725=1),$M725&gt;(ROW(PLE.lastrow)-ROW(PLE.firstrow))),0,IF(OFFSET(PLE!$G$14,$M725,CM$13)="",10^12,OFFSET(PLE!$G$14,$M725,CM$13))))</f>
        <v>1000000000000</v>
      </c>
    </row>
    <row r="726" spans="1:91" ht="25.5" x14ac:dyDescent="0.2">
      <c r="A726" s="7" t="str">
        <f t="shared" ca="1" si="20"/>
        <v>709</v>
      </c>
      <c r="B726" s="7" t="str">
        <f ca="1">OFFSET(ORÇAMENTO!C$15,ROW(B726)-ROW(B$15),0)</f>
        <v>S</v>
      </c>
      <c r="C726" s="7" t="str">
        <f ca="1">OFFSET(ORÇAMENTO!L$15,ROW(C726)-ROW(C$15),0)</f>
        <v/>
      </c>
      <c r="D726" s="118" t="str">
        <f ca="1">OFFSET(ORÇAMENTO!N$15,ROW(D726)-ROW(D$15),0)</f>
        <v>Serviço</v>
      </c>
      <c r="E726" s="119" t="str">
        <f ca="1">OFFSET(ORÇAMENTO!O$15,ROW(E726)-ROW(E$15),0)</f>
        <v>-</v>
      </c>
      <c r="F726" s="172" t="str">
        <f ca="1">OFFSET(ORÇAMENTO!R$15,ROW(F726)-ROW(F$15),0)</f>
        <v>(abra o arquivo 'Referência 06-2024.xlsm)</v>
      </c>
      <c r="G726" s="173" t="str">
        <f ca="1">IF($D726&lt;&gt;"Serviço","",OFFSET(ORÇAMENTO!S$15,ROW(G726)-ROW(G$15),0))</f>
        <v>-</v>
      </c>
      <c r="H726" s="124">
        <f ca="1">IF($D726&lt;&gt;"Serviço",0,IF(ACOMPANHAMENTO="BM",ROUND(OFFSET(ORÇAMENTO!AJ$15,ROW(H726)-ROW(H$15),0),15-13*ORÇAMENTO!$AF$7),SUMPRODUCT(($Q$12:$AI$12&lt;&gt;"")*ROUND($Q726:$AI726,15-13*ORÇAMENTO!$AF$7))))</f>
        <v>6</v>
      </c>
      <c r="I726" s="561" t="s">
        <v>1107</v>
      </c>
      <c r="K726" s="174"/>
      <c r="L726" s="175" t="s">
        <v>255</v>
      </c>
      <c r="M726" s="176">
        <f ca="1">IF($D726&lt;&gt;"Serviço","",IF(AUTOEVENTO="manual",$A726,IF(ISERROR(MATCH($A726,$A$15:OFFSET($A726,-1,0),0)),MAX($M$15:OFFSET(M726,-1,0))+1,INDEX($M$15:OFFSET(M726,-1,0),MATCH($A726,$A$15:OFFSET($A726,-1,0),0)))))</f>
        <v>82</v>
      </c>
      <c r="N726" s="177" t="str">
        <f ca="1">IF($D726&lt;&gt;"Serviço","",IF(AUTOEVENTO="Manual",IF($A726=0,"&lt;-- defina o número do agrupador",OFFSET(EVENTOS!$D$14,$A726,0)),OFFSET($F$15,$A726,0)))</f>
        <v>SERVIÇOS FINAIS</v>
      </c>
      <c r="O726" s="178"/>
      <c r="Q726" s="178">
        <v>6</v>
      </c>
      <c r="R726" s="179"/>
      <c r="S726" s="179"/>
      <c r="T726" s="179"/>
      <c r="U726" s="179"/>
      <c r="V726" s="179"/>
      <c r="W726" s="179"/>
      <c r="X726" s="179"/>
      <c r="Y726" s="179"/>
      <c r="Z726" s="180"/>
      <c r="AA726" s="179"/>
      <c r="AB726" s="179"/>
      <c r="AC726" s="179"/>
      <c r="AD726" s="179"/>
      <c r="AE726" s="179"/>
      <c r="AF726" s="179"/>
      <c r="AG726" s="179"/>
      <c r="AH726" s="180"/>
      <c r="AJ726" s="544">
        <f ca="1">IF(AND($D726="Serviço",AJ$12&lt;&gt;0,$H726&gt;0,OR(AUTOEVENTO&lt;&gt;"manual",$M726&lt;&gt;1)),
IF(Import.TipoArredondamento&lt;&gt;"TransfereGOV",
ROUND(OFFSET($P726,0,AJ$13),15-13*ORÇAMENTO!$AF$7)/$H726*OFFSET(ORÇAMENTO!$X$15,ROW(AJ726)-ROW(AJ$15),0),
ROUND(ROUND(OFFSET($P726,0,AJ$13),15-13*ORÇAMENTO!$AF$7)*OFFSET(ORÇAMENTO!$W$15,ROW(AJ726)-ROW(AJ$15),0),15-13*ORÇAMENTO!$AF$11)),0)</f>
        <v>0</v>
      </c>
      <c r="AK726" s="545">
        <f ca="1">IF(AND($D726="Serviço",AK$12&lt;&gt;0,$H726&gt;0,OR(AUTOEVENTO&lt;&gt;"manual",$M726&lt;&gt;1)),
IF(Import.TipoArredondamento&lt;&gt;"TransfereGOV",
ROUND(OFFSET($P726,0,AK$13),15-13*ORÇAMENTO!$AF$7)/$H726*OFFSET(ORÇAMENTO!$X$15,ROW(AK726)-ROW(AK$15),0),
ROUND(ROUND(OFFSET($P726,0,AK$13),15-13*ORÇAMENTO!$AF$7)*OFFSET(ORÇAMENTO!$W$15,ROW(AK726)-ROW(AK$15),0),15-13*ORÇAMENTO!$AF$11)),0)</f>
        <v>0</v>
      </c>
      <c r="AL726" s="545">
        <f ca="1">IF(AND($D726="Serviço",AL$12&lt;&gt;0,$H726&gt;0,OR(AUTOEVENTO&lt;&gt;"manual",$M726&lt;&gt;1)),
IF(Import.TipoArredondamento&lt;&gt;"TransfereGOV",
ROUND(OFFSET($P726,0,AL$13),15-13*ORÇAMENTO!$AF$7)/$H726*OFFSET(ORÇAMENTO!$X$15,ROW(AL726)-ROW(AL$15),0),
ROUND(ROUND(OFFSET($P726,0,AL$13),15-13*ORÇAMENTO!$AF$7)*OFFSET(ORÇAMENTO!$W$15,ROW(AL726)-ROW(AL$15),0),15-13*ORÇAMENTO!$AF$11)),0)</f>
        <v>0</v>
      </c>
      <c r="AM726" s="545">
        <f ca="1">IF(AND($D726="Serviço",AM$12&lt;&gt;0,$H726&gt;0,OR(AUTOEVENTO&lt;&gt;"manual",$M726&lt;&gt;1)),
IF(Import.TipoArredondamento&lt;&gt;"TransfereGOV",
ROUND(OFFSET($P726,0,AM$13),15-13*ORÇAMENTO!$AF$7)/$H726*OFFSET(ORÇAMENTO!$X$15,ROW(AM726)-ROW(AM$15),0),
ROUND(ROUND(OFFSET($P726,0,AM$13),15-13*ORÇAMENTO!$AF$7)*OFFSET(ORÇAMENTO!$W$15,ROW(AM726)-ROW(AM$15),0),15-13*ORÇAMENTO!$AF$11)),0)</f>
        <v>0</v>
      </c>
      <c r="AN726" s="545">
        <f ca="1">IF(AND($D726="Serviço",AN$12&lt;&gt;0,$H726&gt;0,OR(AUTOEVENTO&lt;&gt;"manual",$M726&lt;&gt;1)),
IF(Import.TipoArredondamento&lt;&gt;"TransfereGOV",
ROUND(OFFSET($P726,0,AN$13),15-13*ORÇAMENTO!$AF$7)/$H726*OFFSET(ORÇAMENTO!$X$15,ROW(AN726)-ROW(AN$15),0),
ROUND(ROUND(OFFSET($P726,0,AN$13),15-13*ORÇAMENTO!$AF$7)*OFFSET(ORÇAMENTO!$W$15,ROW(AN726)-ROW(AN$15),0),15-13*ORÇAMENTO!$AF$11)),0)</f>
        <v>0</v>
      </c>
      <c r="AO726" s="545">
        <f ca="1">IF(AND($D726="Serviço",AO$12&lt;&gt;0,$H726&gt;0,OR(AUTOEVENTO&lt;&gt;"manual",$M726&lt;&gt;1)),
IF(Import.TipoArredondamento&lt;&gt;"TransfereGOV",
ROUND(OFFSET($P726,0,AO$13),15-13*ORÇAMENTO!$AF$7)/$H726*OFFSET(ORÇAMENTO!$X$15,ROW(AO726)-ROW(AO$15),0),
ROUND(ROUND(OFFSET($P726,0,AO$13),15-13*ORÇAMENTO!$AF$7)*OFFSET(ORÇAMENTO!$W$15,ROW(AO726)-ROW(AO$15),0),15-13*ORÇAMENTO!$AF$11)),0)</f>
        <v>0</v>
      </c>
      <c r="AP726" s="545">
        <f ca="1">IF(AND($D726="Serviço",AP$12&lt;&gt;0,$H726&gt;0,OR(AUTOEVENTO&lt;&gt;"manual",$M726&lt;&gt;1)),
IF(Import.TipoArredondamento&lt;&gt;"TransfereGOV",
ROUND(OFFSET($P726,0,AP$13),15-13*ORÇAMENTO!$AF$7)/$H726*OFFSET(ORÇAMENTO!$X$15,ROW(AP726)-ROW(AP$15),0),
ROUND(ROUND(OFFSET($P726,0,AP$13),15-13*ORÇAMENTO!$AF$7)*OFFSET(ORÇAMENTO!$W$15,ROW(AP726)-ROW(AP$15),0),15-13*ORÇAMENTO!$AF$11)),0)</f>
        <v>0</v>
      </c>
      <c r="AQ726" s="545">
        <f ca="1">IF(AND($D726="Serviço",AQ$12&lt;&gt;0,$H726&gt;0,OR(AUTOEVENTO&lt;&gt;"manual",$M726&lt;&gt;1)),
IF(Import.TipoArredondamento&lt;&gt;"TransfereGOV",
ROUND(OFFSET($P726,0,AQ$13),15-13*ORÇAMENTO!$AF$7)/$H726*OFFSET(ORÇAMENTO!$X$15,ROW(AQ726)-ROW(AQ$15),0),
ROUND(ROUND(OFFSET($P726,0,AQ$13),15-13*ORÇAMENTO!$AF$7)*OFFSET(ORÇAMENTO!$W$15,ROW(AQ726)-ROW(AQ$15),0),15-13*ORÇAMENTO!$AF$11)),0)</f>
        <v>0</v>
      </c>
      <c r="AR726" s="545">
        <f ca="1">IF(AND($D726="Serviço",AR$12&lt;&gt;0,$H726&gt;0,OR(AUTOEVENTO&lt;&gt;"manual",$M726&lt;&gt;1)),
IF(Import.TipoArredondamento&lt;&gt;"TransfereGOV",
ROUND(OFFSET($P726,0,AR$13),15-13*ORÇAMENTO!$AF$7)/$H726*OFFSET(ORÇAMENTO!$X$15,ROW(AR726)-ROW(AR$15),0),
ROUND(ROUND(OFFSET($P726,0,AR$13),15-13*ORÇAMENTO!$AF$7)*OFFSET(ORÇAMENTO!$W$15,ROW(AR726)-ROW(AR$15),0),15-13*ORÇAMENTO!$AF$11)),0)</f>
        <v>0</v>
      </c>
      <c r="AS726" s="546">
        <f ca="1">IF(AND($D726="Serviço",AS$12&lt;&gt;0,$H726&gt;0,OR(AUTOEVENTO&lt;&gt;"manual",$M726&lt;&gt;1)),
IF(Import.TipoArredondamento&lt;&gt;"TransfereGOV",
ROUND(OFFSET($P726,0,AS$13),15-13*ORÇAMENTO!$AF$7)/$H726*OFFSET(ORÇAMENTO!$X$15,ROW(AS726)-ROW(AS$15),0),
ROUND(ROUND(OFFSET($P726,0,AS$13),15-13*ORÇAMENTO!$AF$7)*OFFSET(ORÇAMENTO!$W$15,ROW(AS726)-ROW(AS$15),0),15-13*ORÇAMENTO!$AF$11)),0)</f>
        <v>0</v>
      </c>
      <c r="AT726" s="545">
        <f ca="1">IF(AND($D726="Serviço",AT$12&lt;&gt;0,$H726&gt;0,OR(AUTOEVENTO&lt;&gt;"manual",$M726&lt;&gt;1)),
IF(Import.TipoArredondamento&lt;&gt;"TransfereGOV",
ROUND(OFFSET($P726,0,AT$13),15-13*ORÇAMENTO!$AF$7)/$H726*OFFSET(ORÇAMENTO!$X$15,ROW(AT726)-ROW(AT$15),0),
ROUND(ROUND(OFFSET($P726,0,AT$13),15-13*ORÇAMENTO!$AF$7)*OFFSET(ORÇAMENTO!$W$15,ROW(AT726)-ROW(AT$15),0),15-13*ORÇAMENTO!$AF$11)),0)</f>
        <v>0</v>
      </c>
      <c r="AU726" s="545">
        <f ca="1">IF(AND($D726="Serviço",AU$12&lt;&gt;0,$H726&gt;0,OR(AUTOEVENTO&lt;&gt;"manual",$M726&lt;&gt;1)),
IF(Import.TipoArredondamento&lt;&gt;"TransfereGOV",
ROUND(OFFSET($P726,0,AU$13),15-13*ORÇAMENTO!$AF$7)/$H726*OFFSET(ORÇAMENTO!$X$15,ROW(AU726)-ROW(AU$15),0),
ROUND(ROUND(OFFSET($P726,0,AU$13),15-13*ORÇAMENTO!$AF$7)*OFFSET(ORÇAMENTO!$W$15,ROW(AU726)-ROW(AU$15),0),15-13*ORÇAMENTO!$AF$11)),0)</f>
        <v>0</v>
      </c>
      <c r="AV726" s="545">
        <f ca="1">IF(AND($D726="Serviço",AV$12&lt;&gt;0,$H726&gt;0,OR(AUTOEVENTO&lt;&gt;"manual",$M726&lt;&gt;1)),
IF(Import.TipoArredondamento&lt;&gt;"TransfereGOV",
ROUND(OFFSET($P726,0,AV$13),15-13*ORÇAMENTO!$AF$7)/$H726*OFFSET(ORÇAMENTO!$X$15,ROW(AV726)-ROW(AV$15),0),
ROUND(ROUND(OFFSET($P726,0,AV$13),15-13*ORÇAMENTO!$AF$7)*OFFSET(ORÇAMENTO!$W$15,ROW(AV726)-ROW(AV$15),0),15-13*ORÇAMENTO!$AF$11)),0)</f>
        <v>0</v>
      </c>
      <c r="AW726" s="545">
        <f ca="1">IF(AND($D726="Serviço",AW$12&lt;&gt;0,$H726&gt;0,OR(AUTOEVENTO&lt;&gt;"manual",$M726&lt;&gt;1)),
IF(Import.TipoArredondamento&lt;&gt;"TransfereGOV",
ROUND(OFFSET($P726,0,AW$13),15-13*ORÇAMENTO!$AF$7)/$H726*OFFSET(ORÇAMENTO!$X$15,ROW(AW726)-ROW(AW$15),0),
ROUND(ROUND(OFFSET($P726,0,AW$13),15-13*ORÇAMENTO!$AF$7)*OFFSET(ORÇAMENTO!$W$15,ROW(AW726)-ROW(AW$15),0),15-13*ORÇAMENTO!$AF$11)),0)</f>
        <v>0</v>
      </c>
      <c r="AX726" s="545">
        <f ca="1">IF(AND($D726="Serviço",AX$12&lt;&gt;0,$H726&gt;0,OR(AUTOEVENTO&lt;&gt;"manual",$M726&lt;&gt;1)),
IF(Import.TipoArredondamento&lt;&gt;"TransfereGOV",
ROUND(OFFSET($P726,0,AX$13),15-13*ORÇAMENTO!$AF$7)/$H726*OFFSET(ORÇAMENTO!$X$15,ROW(AX726)-ROW(AX$15),0),
ROUND(ROUND(OFFSET($P726,0,AX$13),15-13*ORÇAMENTO!$AF$7)*OFFSET(ORÇAMENTO!$W$15,ROW(AX726)-ROW(AX$15),0),15-13*ORÇAMENTO!$AF$11)),0)</f>
        <v>0</v>
      </c>
      <c r="AY726" s="545">
        <f ca="1">IF(AND($D726="Serviço",AY$12&lt;&gt;0,$H726&gt;0,OR(AUTOEVENTO&lt;&gt;"manual",$M726&lt;&gt;1)),
IF(Import.TipoArredondamento&lt;&gt;"TransfereGOV",
ROUND(OFFSET($P726,0,AY$13),15-13*ORÇAMENTO!$AF$7)/$H726*OFFSET(ORÇAMENTO!$X$15,ROW(AY726)-ROW(AY$15),0),
ROUND(ROUND(OFFSET($P726,0,AY$13),15-13*ORÇAMENTO!$AF$7)*OFFSET(ORÇAMENTO!$W$15,ROW(AY726)-ROW(AY$15),0),15-13*ORÇAMENTO!$AF$11)),0)</f>
        <v>0</v>
      </c>
      <c r="AZ726" s="545">
        <f ca="1">IF(AND($D726="Serviço",AZ$12&lt;&gt;0,$H726&gt;0,OR(AUTOEVENTO&lt;&gt;"manual",$M726&lt;&gt;1)),
IF(Import.TipoArredondamento&lt;&gt;"TransfereGOV",
ROUND(OFFSET($P726,0,AZ$13),15-13*ORÇAMENTO!$AF$7)/$H726*OFFSET(ORÇAMENTO!$X$15,ROW(AZ726)-ROW(AZ$15),0),
ROUND(ROUND(OFFSET($P726,0,AZ$13),15-13*ORÇAMENTO!$AF$7)*OFFSET(ORÇAMENTO!$W$15,ROW(AZ726)-ROW(AZ$15),0),15-13*ORÇAMENTO!$AF$11)),0)</f>
        <v>0</v>
      </c>
      <c r="BA726" s="546">
        <f ca="1">IF(AND($D726="Serviço",BA$12&lt;&gt;0,$H726&gt;0,OR(AUTOEVENTO&lt;&gt;"manual",$M726&lt;&gt;1)),
IF(Import.TipoArredondamento&lt;&gt;"TransfereGOV",
ROUND(OFFSET($P726,0,BA$13),15-13*ORÇAMENTO!$AF$7)/$H726*OFFSET(ORÇAMENTO!$X$15,ROW(BA726)-ROW(BA$15),0),
ROUND(ROUND(OFFSET($P726,0,BA$13),15-13*ORÇAMENTO!$AF$7)*OFFSET(ORÇAMENTO!$W$15,ROW(BA726)-ROW(BA$15),0),15-13*ORÇAMENTO!$AF$11)),0)</f>
        <v>0</v>
      </c>
      <c r="BC726" s="181">
        <f ca="1">IF($D726&lt;&gt;"Serviço",0,IF(AND(AUTOEVENTO="Manual",$M726=1),0,IF(OFFSET(CRONOPLE!$F$14,$M726,BC$13)="",10^12,OFFSET(CRONOPLE!$F$14,$M726,BC$13))))</f>
        <v>12</v>
      </c>
      <c r="BD726" s="181">
        <f ca="1">IF($D726&lt;&gt;"Serviço",0,IF(AND(AUTOEVENTO="Manual",$M726=1),0,IF(OFFSET(CRONOPLE!$F$14,$M726,BD$13)="",10^12,OFFSET(CRONOPLE!$F$14,$M726,BD$13))))</f>
        <v>1000000000000</v>
      </c>
      <c r="BE726" s="181">
        <f ca="1">IF($D726&lt;&gt;"Serviço",0,IF(AND(AUTOEVENTO="Manual",$M726=1),0,IF(OFFSET(CRONOPLE!$F$14,$M726,BE$13)="",10^12,OFFSET(CRONOPLE!$F$14,$M726,BE$13))))</f>
        <v>1000000000000</v>
      </c>
      <c r="BF726" s="181">
        <f ca="1">IF($D726&lt;&gt;"Serviço",0,IF(AND(AUTOEVENTO="Manual",$M726=1),0,IF(OFFSET(CRONOPLE!$F$14,$M726,BF$13)="",10^12,OFFSET(CRONOPLE!$F$14,$M726,BF$13))))</f>
        <v>1000000000000</v>
      </c>
      <c r="BG726" s="181">
        <f ca="1">IF($D726&lt;&gt;"Serviço",0,IF(AND(AUTOEVENTO="Manual",$M726=1),0,IF(OFFSET(CRONOPLE!$F$14,$M726,BG$13)="",10^12,OFFSET(CRONOPLE!$F$14,$M726,BG$13))))</f>
        <v>1000000000000</v>
      </c>
      <c r="BH726" s="181">
        <f ca="1">IF($D726&lt;&gt;"Serviço",0,IF(AND(AUTOEVENTO="Manual",$M726=1),0,IF(OFFSET(CRONOPLE!$F$14,$M726,BH$13)="",10^12,OFFSET(CRONOPLE!$F$14,$M726,BH$13))))</f>
        <v>1000000000000</v>
      </c>
      <c r="BI726" s="181">
        <f ca="1">IF($D726&lt;&gt;"Serviço",0,IF(AND(AUTOEVENTO="Manual",$M726=1),0,IF(OFFSET(CRONOPLE!$F$14,$M726,BI$13)="",10^12,OFFSET(CRONOPLE!$F$14,$M726,BI$13))))</f>
        <v>1000000000000</v>
      </c>
      <c r="BJ726" s="181">
        <f ca="1">IF($D726&lt;&gt;"Serviço",0,IF(AND(AUTOEVENTO="Manual",$M726=1),0,IF(OFFSET(CRONOPLE!$F$14,$M726,BJ$13)="",10^12,OFFSET(CRONOPLE!$F$14,$M726,BJ$13))))</f>
        <v>1000000000000</v>
      </c>
      <c r="BK726" s="181">
        <f ca="1">IF($D726&lt;&gt;"Serviço",0,IF(AND(AUTOEVENTO="Manual",$M726=1),0,IF(OFFSET(CRONOPLE!$F$14,$M726,BK$13)="",10^12,OFFSET(CRONOPLE!$F$14,$M726,BK$13))))</f>
        <v>1000000000000</v>
      </c>
      <c r="BL726" s="181">
        <f ca="1">IF($D726&lt;&gt;"Serviço",0,IF(AND(AUTOEVENTO="Manual",$M726=1),0,IF(OFFSET(CRONOPLE!$F$14,$M726,BL$13)="",10^12,OFFSET(CRONOPLE!$F$14,$M726,BL$13))))</f>
        <v>1000000000000</v>
      </c>
      <c r="BM726" s="181">
        <f ca="1">IF($D726&lt;&gt;"Serviço",0,IF(AND(AUTOEVENTO="Manual",$M726=1),0,IF(OFFSET(CRONOPLE!$F$14,$M726,BM$13)="",10^12,OFFSET(CRONOPLE!$F$14,$M726,BM$13))))</f>
        <v>1000000000000</v>
      </c>
      <c r="BN726" s="181">
        <f ca="1">IF($D726&lt;&gt;"Serviço",0,IF(AND(AUTOEVENTO="Manual",$M726=1),0,IF(OFFSET(CRONOPLE!$F$14,$M726,BN$13)="",10^12,OFFSET(CRONOPLE!$F$14,$M726,BN$13))))</f>
        <v>1000000000000</v>
      </c>
      <c r="BO726" s="181">
        <f ca="1">IF($D726&lt;&gt;"Serviço",0,IF(AND(AUTOEVENTO="Manual",$M726=1),0,IF(OFFSET(CRONOPLE!$F$14,$M726,BO$13)="",10^12,OFFSET(CRONOPLE!$F$14,$M726,BO$13))))</f>
        <v>1000000000000</v>
      </c>
      <c r="BP726" s="181">
        <f ca="1">IF($D726&lt;&gt;"Serviço",0,IF(AND(AUTOEVENTO="Manual",$M726=1),0,IF(OFFSET(CRONOPLE!$F$14,$M726,BP$13)="",10^12,OFFSET(CRONOPLE!$F$14,$M726,BP$13))))</f>
        <v>1000000000000</v>
      </c>
      <c r="BQ726" s="181">
        <f ca="1">IF($D726&lt;&gt;"Serviço",0,IF(AND(AUTOEVENTO="Manual",$M726=1),0,IF(OFFSET(CRONOPLE!$F$14,$M726,BQ$13)="",10^12,OFFSET(CRONOPLE!$F$14,$M726,BQ$13))))</f>
        <v>1000000000000</v>
      </c>
      <c r="BR726" s="181">
        <f ca="1">IF($D726&lt;&gt;"Serviço",0,IF(AND(AUTOEVENTO="Manual",$M726=1),0,IF(OFFSET(CRONOPLE!$F$14,$M726,BR$13)="",10^12,OFFSET(CRONOPLE!$F$14,$M726,BR$13))))</f>
        <v>1000000000000</v>
      </c>
      <c r="BS726" s="181">
        <f ca="1">IF($D726&lt;&gt;"Serviço",0,IF(AND(AUTOEVENTO="Manual",$M726=1),0,IF(OFFSET(CRONOPLE!$F$14,$M726,BS$13)="",10^12,OFFSET(CRONOPLE!$F$14,$M726,BS$13))))</f>
        <v>1000000000000</v>
      </c>
      <c r="BT726" s="181">
        <f ca="1">IF($D726&lt;&gt;"Serviço",0,IF(AND(AUTOEVENTO="Manual",$M726=1),0,IF(OFFSET(CRONOPLE!$F$14,$M726,BT$13)="",10^12,OFFSET(CRONOPLE!$F$14,$M726,BT$13))))</f>
        <v>1000000000000</v>
      </c>
      <c r="BV726" s="182">
        <f ca="1">IF($D726&lt;&gt;"Serviço",0,IF(OR(AND(AUTOEVENTO="Manual",$M726=1),$M726&gt;(ROW(PLE.lastrow)-ROW(PLE.firstrow))),0,IF(OFFSET(PLE!$G$14,$M726,BV$13)="",10^12,OFFSET(PLE!$G$14,$M726,BV$13))))</f>
        <v>1000000000000</v>
      </c>
      <c r="BW726" s="182">
        <f ca="1">IF($D726&lt;&gt;"Serviço",0,IF(OR(AND(AUTOEVENTO="Manual",$M726=1),$M726&gt;(ROW(PLE.lastrow)-ROW(PLE.firstrow))),0,IF(OFFSET(PLE!$G$14,$M726,BW$13)="",10^12,OFFSET(PLE!$G$14,$M726,BW$13))))</f>
        <v>1000000000000</v>
      </c>
      <c r="BX726" s="182">
        <f ca="1">IF($D726&lt;&gt;"Serviço",0,IF(OR(AND(AUTOEVENTO="Manual",$M726=1),$M726&gt;(ROW(PLE.lastrow)-ROW(PLE.firstrow))),0,IF(OFFSET(PLE!$G$14,$M726,BX$13)="",10^12,OFFSET(PLE!$G$14,$M726,BX$13))))</f>
        <v>1000000000000</v>
      </c>
      <c r="BY726" s="182">
        <f ca="1">IF($D726&lt;&gt;"Serviço",0,IF(OR(AND(AUTOEVENTO="Manual",$M726=1),$M726&gt;(ROW(PLE.lastrow)-ROW(PLE.firstrow))),0,IF(OFFSET(PLE!$G$14,$M726,BY$13)="",10^12,OFFSET(PLE!$G$14,$M726,BY$13))))</f>
        <v>1000000000000</v>
      </c>
      <c r="BZ726" s="182">
        <f ca="1">IF($D726&lt;&gt;"Serviço",0,IF(OR(AND(AUTOEVENTO="Manual",$M726=1),$M726&gt;(ROW(PLE.lastrow)-ROW(PLE.firstrow))),0,IF(OFFSET(PLE!$G$14,$M726,BZ$13)="",10^12,OFFSET(PLE!$G$14,$M726,BZ$13))))</f>
        <v>1000000000000</v>
      </c>
      <c r="CA726" s="182">
        <f ca="1">IF($D726&lt;&gt;"Serviço",0,IF(OR(AND(AUTOEVENTO="Manual",$M726=1),$M726&gt;(ROW(PLE.lastrow)-ROW(PLE.firstrow))),0,IF(OFFSET(PLE!$G$14,$M726,CA$13)="",10^12,OFFSET(PLE!$G$14,$M726,CA$13))))</f>
        <v>1000000000000</v>
      </c>
      <c r="CB726" s="182">
        <f ca="1">IF($D726&lt;&gt;"Serviço",0,IF(OR(AND(AUTOEVENTO="Manual",$M726=1),$M726&gt;(ROW(PLE.lastrow)-ROW(PLE.firstrow))),0,IF(OFFSET(PLE!$G$14,$M726,CB$13)="",10^12,OFFSET(PLE!$G$14,$M726,CB$13))))</f>
        <v>1000000000000</v>
      </c>
      <c r="CC726" s="182">
        <f ca="1">IF($D726&lt;&gt;"Serviço",0,IF(OR(AND(AUTOEVENTO="Manual",$M726=1),$M726&gt;(ROW(PLE.lastrow)-ROW(PLE.firstrow))),0,IF(OFFSET(PLE!$G$14,$M726,CC$13)="",10^12,OFFSET(PLE!$G$14,$M726,CC$13))))</f>
        <v>1000000000000</v>
      </c>
      <c r="CD726" s="182">
        <f ca="1">IF($D726&lt;&gt;"Serviço",0,IF(OR(AND(AUTOEVENTO="Manual",$M726=1),$M726&gt;(ROW(PLE.lastrow)-ROW(PLE.firstrow))),0,IF(OFFSET(PLE!$G$14,$M726,CD$13)="",10^12,OFFSET(PLE!$G$14,$M726,CD$13))))</f>
        <v>1000000000000</v>
      </c>
      <c r="CE726" s="182">
        <f ca="1">IF($D726&lt;&gt;"Serviço",0,IF(OR(AND(AUTOEVENTO="Manual",$M726=1),$M726&gt;(ROW(PLE.lastrow)-ROW(PLE.firstrow))),0,IF(OFFSET(PLE!$G$14,$M726,CE$13)="",10^12,OFFSET(PLE!$G$14,$M726,CE$13))))</f>
        <v>1000000000000</v>
      </c>
      <c r="CF726" s="182">
        <f ca="1">IF($D726&lt;&gt;"Serviço",0,IF(OR(AND(AUTOEVENTO="Manual",$M726=1),$M726&gt;(ROW(PLE.lastrow)-ROW(PLE.firstrow))),0,IF(OFFSET(PLE!$G$14,$M726,CF$13)="",10^12,OFFSET(PLE!$G$14,$M726,CF$13))))</f>
        <v>1000000000000</v>
      </c>
      <c r="CG726" s="182">
        <f ca="1">IF($D726&lt;&gt;"Serviço",0,IF(OR(AND(AUTOEVENTO="Manual",$M726=1),$M726&gt;(ROW(PLE.lastrow)-ROW(PLE.firstrow))),0,IF(OFFSET(PLE!$G$14,$M726,CG$13)="",10^12,OFFSET(PLE!$G$14,$M726,CG$13))))</f>
        <v>1000000000000</v>
      </c>
      <c r="CH726" s="182">
        <f ca="1">IF($D726&lt;&gt;"Serviço",0,IF(OR(AND(AUTOEVENTO="Manual",$M726=1),$M726&gt;(ROW(PLE.lastrow)-ROW(PLE.firstrow))),0,IF(OFFSET(PLE!$G$14,$M726,CH$13)="",10^12,OFFSET(PLE!$G$14,$M726,CH$13))))</f>
        <v>1000000000000</v>
      </c>
      <c r="CI726" s="182">
        <f ca="1">IF($D726&lt;&gt;"Serviço",0,IF(OR(AND(AUTOEVENTO="Manual",$M726=1),$M726&gt;(ROW(PLE.lastrow)-ROW(PLE.firstrow))),0,IF(OFFSET(PLE!$G$14,$M726,CI$13)="",10^12,OFFSET(PLE!$G$14,$M726,CI$13))))</f>
        <v>1000000000000</v>
      </c>
      <c r="CJ726" s="182">
        <f ca="1">IF($D726&lt;&gt;"Serviço",0,IF(OR(AND(AUTOEVENTO="Manual",$M726=1),$M726&gt;(ROW(PLE.lastrow)-ROW(PLE.firstrow))),0,IF(OFFSET(PLE!$G$14,$M726,CJ$13)="",10^12,OFFSET(PLE!$G$14,$M726,CJ$13))))</f>
        <v>1000000000000</v>
      </c>
      <c r="CK726" s="182">
        <f ca="1">IF($D726&lt;&gt;"Serviço",0,IF(OR(AND(AUTOEVENTO="Manual",$M726=1),$M726&gt;(ROW(PLE.lastrow)-ROW(PLE.firstrow))),0,IF(OFFSET(PLE!$G$14,$M726,CK$13)="",10^12,OFFSET(PLE!$G$14,$M726,CK$13))))</f>
        <v>1000000000000</v>
      </c>
      <c r="CL726" s="182">
        <f ca="1">IF($D726&lt;&gt;"Serviço",0,IF(OR(AND(AUTOEVENTO="Manual",$M726=1),$M726&gt;(ROW(PLE.lastrow)-ROW(PLE.firstrow))),0,IF(OFFSET(PLE!$G$14,$M726,CL$13)="",10^12,OFFSET(PLE!$G$14,$M726,CL$13))))</f>
        <v>1000000000000</v>
      </c>
      <c r="CM726" s="182">
        <f ca="1">IF($D726&lt;&gt;"Serviço",0,IF(OR(AND(AUTOEVENTO="Manual",$M726=1),$M726&gt;(ROW(PLE.lastrow)-ROW(PLE.firstrow))),0,IF(OFFSET(PLE!$G$14,$M726,CM$13)="",10^12,OFFSET(PLE!$G$14,$M726,CM$13))))</f>
        <v>1000000000000</v>
      </c>
    </row>
    <row r="727" spans="1:91" ht="5.0999999999999996" customHeight="1" x14ac:dyDescent="0.2">
      <c r="B727" s="7">
        <f ca="1">OFFSET(ORÇAMENTO!C$15,ROW(B727)-ROW(B$15),0)</f>
        <v>-1</v>
      </c>
      <c r="C727" s="7" t="str">
        <f ca="1">OFFSET(ORÇAMENTO!L$15,ROW(C727)-ROW(C$15),0)</f>
        <v>F</v>
      </c>
      <c r="D727" s="483" t="s">
        <v>194</v>
      </c>
      <c r="E727" s="484"/>
      <c r="F727" s="485"/>
      <c r="G727" s="485"/>
      <c r="H727" s="485"/>
      <c r="I727" s="486"/>
      <c r="K727" s="488"/>
      <c r="L727" s="175" t="s">
        <v>255</v>
      </c>
      <c r="M727" s="489"/>
      <c r="N727" s="487"/>
      <c r="O727" s="482"/>
      <c r="Q727" s="484"/>
      <c r="R727" s="485"/>
      <c r="S727" s="485"/>
      <c r="T727" s="485"/>
      <c r="U727" s="485"/>
      <c r="V727" s="485"/>
      <c r="W727" s="485"/>
      <c r="X727" s="485"/>
      <c r="Y727" s="485"/>
      <c r="Z727" s="486"/>
      <c r="AA727" s="485"/>
      <c r="AB727" s="485"/>
      <c r="AC727" s="485"/>
      <c r="AD727" s="485"/>
      <c r="AE727" s="485"/>
      <c r="AF727" s="485"/>
      <c r="AG727" s="485"/>
      <c r="AH727" s="486"/>
      <c r="AJ727" s="138"/>
      <c r="AK727" s="192"/>
      <c r="AL727" s="192"/>
      <c r="AM727" s="192"/>
      <c r="AN727" s="192"/>
      <c r="AO727" s="192"/>
      <c r="AP727" s="192"/>
      <c r="AQ727" s="192"/>
      <c r="AR727" s="192"/>
      <c r="AS727" s="139"/>
      <c r="AT727" s="192"/>
      <c r="AU727" s="192"/>
      <c r="AV727" s="192"/>
      <c r="AW727" s="192"/>
      <c r="AX727" s="192"/>
      <c r="AY727" s="192"/>
      <c r="AZ727" s="192"/>
      <c r="BA727" s="139"/>
      <c r="BC727" s="138"/>
      <c r="BD727" s="192"/>
      <c r="BE727" s="192"/>
      <c r="BF727" s="192"/>
      <c r="BG727" s="192"/>
      <c r="BH727" s="192"/>
      <c r="BI727" s="192"/>
      <c r="BJ727" s="192"/>
      <c r="BK727" s="192"/>
      <c r="BL727" s="139"/>
      <c r="BM727" s="192"/>
      <c r="BN727" s="192"/>
      <c r="BO727" s="192"/>
      <c r="BP727" s="192"/>
      <c r="BQ727" s="192"/>
      <c r="BR727" s="192"/>
      <c r="BS727" s="192"/>
      <c r="BT727" s="139"/>
      <c r="BV727" s="138"/>
      <c r="BW727" s="192"/>
      <c r="BX727" s="192"/>
      <c r="BY727" s="192"/>
      <c r="BZ727" s="192"/>
      <c r="CA727" s="192"/>
      <c r="CB727" s="192"/>
      <c r="CC727" s="192"/>
      <c r="CD727" s="192"/>
      <c r="CE727" s="139"/>
      <c r="CF727" s="192"/>
      <c r="CG727" s="192"/>
      <c r="CH727" s="192"/>
      <c r="CI727" s="192"/>
      <c r="CJ727" s="192"/>
      <c r="CK727" s="192"/>
      <c r="CL727" s="192"/>
      <c r="CM727" s="139"/>
    </row>
    <row r="728" spans="1:91" ht="12.75" customHeight="1" x14ac:dyDescent="0.2"/>
    <row r="729" spans="1:91" ht="12.75" customHeight="1" x14ac:dyDescent="0.2"/>
    <row r="730" spans="1:91" ht="12.75" customHeight="1" x14ac:dyDescent="0.2"/>
    <row r="731" spans="1:91" ht="15" customHeight="1" x14ac:dyDescent="0.2">
      <c r="F731" s="193" t="str">
        <f>Import.Município</f>
        <v>DOIS VIZINHOS - PR</v>
      </c>
      <c r="I731" s="553"/>
      <c r="J731" s="553"/>
      <c r="K731" s="553"/>
      <c r="L731" s="553"/>
      <c r="M731" s="554"/>
      <c r="N731" s="479"/>
      <c r="T731" s="145"/>
      <c r="U731" s="145"/>
      <c r="V731" s="194"/>
      <c r="W731" s="194"/>
      <c r="X731" s="194"/>
      <c r="Y731" s="194"/>
      <c r="AB731" s="145"/>
      <c r="AC731" s="145"/>
      <c r="AD731" s="194"/>
      <c r="AE731" s="194"/>
      <c r="AF731" s="194"/>
      <c r="AG731" s="194"/>
    </row>
    <row r="732" spans="1:91" ht="12.75" customHeight="1" x14ac:dyDescent="0.2">
      <c r="F732" s="10" t="s">
        <v>188</v>
      </c>
      <c r="I732" s="195" t="s">
        <v>190</v>
      </c>
      <c r="J732" s="195"/>
      <c r="K732" s="195"/>
      <c r="L732" s="195"/>
      <c r="T732" s="195" t="s">
        <v>190</v>
      </c>
      <c r="U732" s="195"/>
      <c r="AB732" s="195" t="s">
        <v>190</v>
      </c>
      <c r="AC732" s="195"/>
    </row>
    <row r="733" spans="1:91" ht="12.75" customHeight="1" x14ac:dyDescent="0.2">
      <c r="I733" s="447" t="str">
        <f t="array" aca="1" ref="I733:I735" ca="1">OFFSET(Import.RespOrçamento,0,-1) &amp; " " &amp; Import.RespOrçamento</f>
        <v xml:space="preserve">Nome: RAUL ZANELLA </v>
      </c>
      <c r="K733" s="80"/>
      <c r="L733" s="80"/>
      <c r="T733" s="447" t="str">
        <f t="array" aca="1" ref="T733:T735" ca="1">OFFSET(Import.RespOrçamento,0,-1) &amp; " " &amp; Import.RespOrçamento</f>
        <v xml:space="preserve">Nome: RAUL ZANELLA </v>
      </c>
      <c r="U733" s="79"/>
      <c r="AB733" s="447" t="str">
        <f t="array" aca="1" ref="AB733:AB735" ca="1">OFFSET(Import.RespOrçamento,0,-1) &amp; " " &amp; Import.RespOrçamento</f>
        <v xml:space="preserve">Nome: RAUL ZANELLA </v>
      </c>
      <c r="AC733" s="79"/>
    </row>
    <row r="734" spans="1:91" ht="12.75" customHeight="1" x14ac:dyDescent="0.2">
      <c r="F734" s="552">
        <f ca="1">DADOS!$F$25</f>
        <v>45663</v>
      </c>
      <c r="I734" s="447" t="str">
        <f ca="1"/>
        <v>CREA/CAU: CREA PR-136200/D</v>
      </c>
      <c r="K734" s="80"/>
      <c r="L734" s="80"/>
      <c r="T734" s="447" t="str">
        <f ca="1"/>
        <v>CREA/CAU: CREA PR-136200/D</v>
      </c>
      <c r="U734" s="79"/>
      <c r="AB734" s="447" t="str">
        <f ca="1"/>
        <v>CREA/CAU: CREA PR-136200/D</v>
      </c>
      <c r="AC734" s="79"/>
    </row>
    <row r="735" spans="1:91" ht="12.75" customHeight="1" x14ac:dyDescent="0.2">
      <c r="F735" s="146" t="s">
        <v>189</v>
      </c>
      <c r="I735" s="447" t="str">
        <f ca="1"/>
        <v xml:space="preserve">ART/RRT: </v>
      </c>
      <c r="K735" s="80"/>
      <c r="L735" s="80"/>
      <c r="T735" s="447" t="str">
        <f ca="1"/>
        <v xml:space="preserve">ART/RRT: </v>
      </c>
      <c r="U735" s="79"/>
      <c r="AB735" s="447" t="str">
        <f ca="1"/>
        <v xml:space="preserve">ART/RRT: </v>
      </c>
      <c r="AC735" s="79"/>
    </row>
    <row r="736" spans="1:91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299" spans="3:13" ht="12.75" customHeight="1" x14ac:dyDescent="0.2">
      <c r="C4299"/>
      <c r="M4299"/>
    </row>
    <row r="4300" spans="3:13" ht="12.75" customHeight="1" x14ac:dyDescent="0.2">
      <c r="C4300"/>
      <c r="M4300"/>
    </row>
    <row r="4301" spans="3:13" ht="12.75" customHeight="1" x14ac:dyDescent="0.2">
      <c r="C4301"/>
      <c r="M4301"/>
    </row>
    <row r="4302" spans="3:13" ht="12.75" customHeight="1" x14ac:dyDescent="0.2">
      <c r="C4302"/>
      <c r="M4302"/>
    </row>
    <row r="4303" spans="3:13" ht="12.75" customHeight="1" x14ac:dyDescent="0.2">
      <c r="C4303"/>
      <c r="M4303"/>
    </row>
    <row r="4304" spans="3:13" ht="12.75" customHeight="1" x14ac:dyDescent="0.2">
      <c r="C4304"/>
      <c r="M4304"/>
    </row>
    <row r="4305" spans="3:13" ht="12.75" customHeight="1" x14ac:dyDescent="0.2">
      <c r="C4305"/>
      <c r="M4305"/>
    </row>
    <row r="4306" spans="3:13" ht="12.75" customHeight="1" x14ac:dyDescent="0.2">
      <c r="C4306"/>
      <c r="M4306"/>
    </row>
    <row r="4307" spans="3:13" ht="12.75" customHeight="1" x14ac:dyDescent="0.2">
      <c r="C4307"/>
      <c r="M4307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4312" spans="3:13" ht="12.75" customHeight="1" x14ac:dyDescent="0.2">
      <c r="C4312"/>
      <c r="M4312"/>
    </row>
    <row r="4313" spans="3:13" ht="12.75" customHeight="1" x14ac:dyDescent="0.2">
      <c r="C4313"/>
      <c r="M4313"/>
    </row>
    <row r="4314" spans="3:13" ht="12.75" customHeight="1" x14ac:dyDescent="0.2">
      <c r="C4314"/>
      <c r="M4314"/>
    </row>
    <row r="4315" spans="3:13" ht="12.75" customHeight="1" x14ac:dyDescent="0.2">
      <c r="C4315"/>
      <c r="M4315"/>
    </row>
    <row r="4316" spans="3:13" ht="12.75" customHeight="1" x14ac:dyDescent="0.2">
      <c r="C4316"/>
      <c r="M4316"/>
    </row>
    <row r="4317" spans="3:13" ht="12.75" customHeight="1" x14ac:dyDescent="0.2">
      <c r="C4317"/>
      <c r="M4317"/>
    </row>
    <row r="4318" spans="3:13" ht="12.75" customHeight="1" x14ac:dyDescent="0.2">
      <c r="C4318"/>
      <c r="M4318"/>
    </row>
    <row r="4319" spans="3:13" ht="12.75" customHeight="1" x14ac:dyDescent="0.2">
      <c r="C4319"/>
      <c r="M4319"/>
    </row>
    <row r="4320" spans="3:13" ht="12.75" customHeight="1" x14ac:dyDescent="0.2">
      <c r="C4320"/>
      <c r="M4320"/>
    </row>
    <row r="4321" spans="3:13" ht="12.75" customHeight="1" x14ac:dyDescent="0.2">
      <c r="C4321"/>
      <c r="M4321"/>
    </row>
    <row r="4322" spans="3:13" ht="12.75" customHeight="1" x14ac:dyDescent="0.2">
      <c r="C4322"/>
      <c r="M4322"/>
    </row>
    <row r="4323" spans="3:13" ht="12.75" customHeight="1" x14ac:dyDescent="0.2">
      <c r="C4323"/>
      <c r="M4323"/>
    </row>
    <row r="4324" spans="3:13" ht="12.75" customHeight="1" x14ac:dyDescent="0.2">
      <c r="C4324"/>
      <c r="M4324"/>
    </row>
    <row r="4325" spans="3:13" ht="12.75" customHeight="1" x14ac:dyDescent="0.2">
      <c r="C4325"/>
      <c r="M4325"/>
    </row>
    <row r="4326" spans="3:13" ht="12.75" customHeight="1" x14ac:dyDescent="0.2">
      <c r="C4326"/>
      <c r="M4326"/>
    </row>
    <row r="4327" spans="3:13" ht="12.75" customHeight="1" x14ac:dyDescent="0.2">
      <c r="C4327"/>
      <c r="M4327"/>
    </row>
    <row r="4328" spans="3:13" ht="12.75" customHeight="1" x14ac:dyDescent="0.2">
      <c r="C4328"/>
      <c r="M4328"/>
    </row>
    <row r="4329" spans="3:13" ht="12.75" customHeight="1" x14ac:dyDescent="0.2">
      <c r="C4329"/>
      <c r="M4329"/>
    </row>
    <row r="4330" spans="3:13" ht="12.75" customHeight="1" x14ac:dyDescent="0.2">
      <c r="C4330"/>
      <c r="M4330"/>
    </row>
    <row r="4331" spans="3:13" ht="12.75" customHeight="1" x14ac:dyDescent="0.2">
      <c r="C4331"/>
      <c r="M4331"/>
    </row>
    <row r="4332" spans="3:13" ht="12.75" customHeight="1" x14ac:dyDescent="0.2">
      <c r="C4332"/>
      <c r="M4332"/>
    </row>
    <row r="4333" spans="3:13" ht="12.75" customHeight="1" x14ac:dyDescent="0.2">
      <c r="C4333"/>
      <c r="M4333"/>
    </row>
    <row r="4334" spans="3:13" ht="12.75" customHeight="1" x14ac:dyDescent="0.2">
      <c r="C4334"/>
      <c r="M4334"/>
    </row>
    <row r="4335" spans="3:13" ht="12.75" customHeight="1" x14ac:dyDescent="0.2">
      <c r="C4335"/>
      <c r="M4335"/>
    </row>
    <row r="4336" spans="3:13" ht="12.75" customHeight="1" x14ac:dyDescent="0.2">
      <c r="C4336"/>
      <c r="M4336"/>
    </row>
    <row r="4337" spans="3:13" ht="12.75" customHeight="1" x14ac:dyDescent="0.2">
      <c r="C4337"/>
      <c r="M4337"/>
    </row>
    <row r="4338" spans="3:13" ht="12.75" customHeight="1" x14ac:dyDescent="0.2">
      <c r="C4338"/>
      <c r="M4338"/>
    </row>
    <row r="4339" spans="3:13" ht="12.75" customHeight="1" x14ac:dyDescent="0.2">
      <c r="C4339"/>
      <c r="M4339"/>
    </row>
    <row r="4340" spans="3:13" ht="12.75" customHeight="1" x14ac:dyDescent="0.2">
      <c r="C4340"/>
      <c r="M4340"/>
    </row>
    <row r="4341" spans="3:13" ht="12.75" customHeight="1" x14ac:dyDescent="0.2">
      <c r="C4341"/>
      <c r="M4341"/>
    </row>
    <row r="4342" spans="3:13" ht="12.75" customHeight="1" x14ac:dyDescent="0.2">
      <c r="C4342"/>
      <c r="M4342"/>
    </row>
    <row r="4343" spans="3:13" ht="12.75" customHeight="1" x14ac:dyDescent="0.2">
      <c r="C4343"/>
      <c r="M4343"/>
    </row>
    <row r="4344" spans="3:13" ht="12.75" customHeight="1" x14ac:dyDescent="0.2">
      <c r="C4344"/>
      <c r="M4344"/>
    </row>
    <row r="4345" spans="3:13" ht="12.75" customHeight="1" x14ac:dyDescent="0.2">
      <c r="C4345"/>
      <c r="M4345"/>
    </row>
    <row r="4346" spans="3:13" ht="12.75" customHeight="1" x14ac:dyDescent="0.2">
      <c r="C4346"/>
      <c r="M4346"/>
    </row>
    <row r="4347" spans="3:13" ht="12.75" customHeight="1" x14ac:dyDescent="0.2">
      <c r="C4347"/>
      <c r="M4347"/>
    </row>
    <row r="4348" spans="3:13" ht="12.75" customHeight="1" x14ac:dyDescent="0.2">
      <c r="C4348"/>
      <c r="M4348"/>
    </row>
    <row r="4349" spans="3:13" ht="12.75" customHeight="1" x14ac:dyDescent="0.2">
      <c r="C4349"/>
      <c r="M4349"/>
    </row>
    <row r="4350" spans="3:13" ht="12.75" customHeight="1" x14ac:dyDescent="0.2">
      <c r="C4350"/>
      <c r="M4350"/>
    </row>
    <row r="4351" spans="3:13" ht="12.75" customHeight="1" x14ac:dyDescent="0.2">
      <c r="C4351"/>
      <c r="M4351"/>
    </row>
    <row r="4352" spans="3:13" ht="12.75" customHeight="1" x14ac:dyDescent="0.2">
      <c r="C4352"/>
      <c r="M4352"/>
    </row>
    <row r="4353" spans="3:13" ht="12.75" customHeight="1" x14ac:dyDescent="0.2">
      <c r="C4353"/>
      <c r="M4353"/>
    </row>
    <row r="4354" spans="3:13" ht="12.75" customHeight="1" x14ac:dyDescent="0.2">
      <c r="C4354"/>
      <c r="M4354"/>
    </row>
    <row r="4355" spans="3:13" ht="12.75" customHeight="1" x14ac:dyDescent="0.2">
      <c r="C4355"/>
      <c r="M4355"/>
    </row>
    <row r="4356" spans="3:13" ht="12.75" customHeight="1" x14ac:dyDescent="0.2">
      <c r="C4356"/>
      <c r="M4356"/>
    </row>
    <row r="4357" spans="3:13" ht="12.75" customHeight="1" x14ac:dyDescent="0.2">
      <c r="C4357"/>
      <c r="M4357"/>
    </row>
    <row r="4358" spans="3:13" ht="12.75" customHeight="1" x14ac:dyDescent="0.2">
      <c r="C4358"/>
      <c r="M4358"/>
    </row>
    <row r="4359" spans="3:13" ht="12.75" customHeight="1" x14ac:dyDescent="0.2">
      <c r="C4359"/>
      <c r="M4359"/>
    </row>
    <row r="4360" spans="3:13" ht="12.75" customHeight="1" x14ac:dyDescent="0.2">
      <c r="C4360"/>
      <c r="M4360"/>
    </row>
    <row r="4361" spans="3:13" ht="12.75" customHeight="1" x14ac:dyDescent="0.2">
      <c r="C4361"/>
      <c r="M4361"/>
    </row>
    <row r="4362" spans="3:13" ht="12.75" customHeight="1" x14ac:dyDescent="0.2">
      <c r="C4362"/>
      <c r="M4362"/>
    </row>
    <row r="4363" spans="3:13" ht="12.75" customHeight="1" x14ac:dyDescent="0.2">
      <c r="C4363"/>
      <c r="M4363"/>
    </row>
    <row r="4364" spans="3:13" ht="12.75" customHeight="1" x14ac:dyDescent="0.2">
      <c r="C4364"/>
      <c r="M4364"/>
    </row>
    <row r="4365" spans="3:13" ht="12.75" customHeight="1" x14ac:dyDescent="0.2">
      <c r="C4365"/>
      <c r="M4365"/>
    </row>
    <row r="4366" spans="3:13" ht="12.75" customHeight="1" x14ac:dyDescent="0.2">
      <c r="C4366"/>
      <c r="M4366"/>
    </row>
    <row r="4367" spans="3:13" ht="12.75" customHeight="1" x14ac:dyDescent="0.2">
      <c r="C4367"/>
      <c r="M4367"/>
    </row>
    <row r="4368" spans="3:13" ht="12.75" customHeight="1" x14ac:dyDescent="0.2">
      <c r="C4368"/>
      <c r="M4368"/>
    </row>
    <row r="4369" spans="3:13" ht="12.75" customHeight="1" x14ac:dyDescent="0.2">
      <c r="C4369"/>
      <c r="M4369"/>
    </row>
    <row r="4370" spans="3:13" ht="12.75" customHeight="1" x14ac:dyDescent="0.2">
      <c r="C4370"/>
      <c r="M4370"/>
    </row>
    <row r="4371" spans="3:13" ht="12.75" customHeight="1" x14ac:dyDescent="0.2">
      <c r="C4371"/>
      <c r="M4371"/>
    </row>
    <row r="4372" spans="3:13" ht="12.75" customHeight="1" x14ac:dyDescent="0.2">
      <c r="C4372"/>
      <c r="M4372"/>
    </row>
    <row r="4373" spans="3:13" ht="12.75" customHeight="1" x14ac:dyDescent="0.2">
      <c r="C4373"/>
      <c r="M4373"/>
    </row>
    <row r="4374" spans="3:13" ht="12.75" customHeight="1" x14ac:dyDescent="0.2">
      <c r="C4374"/>
      <c r="M4374"/>
    </row>
    <row r="4375" spans="3:13" ht="12.75" customHeight="1" x14ac:dyDescent="0.2">
      <c r="C4375"/>
      <c r="M4375"/>
    </row>
    <row r="4376" spans="3:13" ht="12.75" customHeight="1" x14ac:dyDescent="0.2">
      <c r="C4376"/>
      <c r="M4376"/>
    </row>
    <row r="4377" spans="3:13" ht="12.75" customHeight="1" x14ac:dyDescent="0.2">
      <c r="C4377"/>
      <c r="M4377"/>
    </row>
    <row r="4378" spans="3:13" ht="12.75" customHeight="1" x14ac:dyDescent="0.2">
      <c r="C4378"/>
      <c r="M4378"/>
    </row>
    <row r="4379" spans="3:13" ht="12.75" customHeight="1" x14ac:dyDescent="0.2">
      <c r="C4379"/>
      <c r="M4379"/>
    </row>
    <row r="4380" spans="3:13" ht="12.75" customHeight="1" x14ac:dyDescent="0.2">
      <c r="C4380"/>
      <c r="M4380"/>
    </row>
    <row r="4381" spans="3:13" ht="12.75" customHeight="1" x14ac:dyDescent="0.2">
      <c r="C4381"/>
      <c r="M4381"/>
    </row>
    <row r="4382" spans="3:13" ht="12.75" customHeight="1" x14ac:dyDescent="0.2">
      <c r="C4382"/>
      <c r="M4382"/>
    </row>
    <row r="4383" spans="3:13" ht="12.75" customHeight="1" x14ac:dyDescent="0.2">
      <c r="C4383"/>
      <c r="M4383"/>
    </row>
    <row r="4384" spans="3:13" ht="12.75" customHeight="1" x14ac:dyDescent="0.2">
      <c r="C4384"/>
      <c r="M4384"/>
    </row>
    <row r="4385" spans="3:13" ht="12.75" customHeight="1" x14ac:dyDescent="0.2">
      <c r="C4385"/>
      <c r="M4385"/>
    </row>
    <row r="4386" spans="3:13" ht="12.75" customHeight="1" x14ac:dyDescent="0.2">
      <c r="C4386"/>
      <c r="M4386"/>
    </row>
    <row r="4387" spans="3:13" ht="12.75" customHeight="1" x14ac:dyDescent="0.2">
      <c r="C4387"/>
      <c r="M4387"/>
    </row>
    <row r="4388" spans="3:13" ht="12.75" customHeight="1" x14ac:dyDescent="0.2">
      <c r="C4388"/>
      <c r="M4388"/>
    </row>
    <row r="4389" spans="3:13" ht="12.75" customHeight="1" x14ac:dyDescent="0.2">
      <c r="C4389"/>
      <c r="M4389"/>
    </row>
    <row r="4390" spans="3:13" ht="12.75" customHeight="1" x14ac:dyDescent="0.2">
      <c r="C4390"/>
      <c r="M4390"/>
    </row>
    <row r="4391" spans="3:13" ht="12.75" customHeight="1" x14ac:dyDescent="0.2">
      <c r="C4391"/>
      <c r="M4391"/>
    </row>
    <row r="4392" spans="3:13" ht="12.75" customHeight="1" x14ac:dyDescent="0.2">
      <c r="C4392"/>
      <c r="M4392"/>
    </row>
    <row r="4393" spans="3:13" ht="12.75" customHeight="1" x14ac:dyDescent="0.2">
      <c r="C4393"/>
      <c r="M4393"/>
    </row>
    <row r="4394" spans="3:13" ht="12.75" customHeight="1" x14ac:dyDescent="0.2">
      <c r="C4394"/>
      <c r="M4394"/>
    </row>
    <row r="4395" spans="3:13" ht="12.75" customHeight="1" x14ac:dyDescent="0.2">
      <c r="C4395"/>
      <c r="M4395"/>
    </row>
    <row r="4396" spans="3:13" ht="12.75" customHeight="1" x14ac:dyDescent="0.2">
      <c r="C4396"/>
      <c r="M4396"/>
    </row>
    <row r="4397" spans="3:13" ht="12.75" customHeight="1" x14ac:dyDescent="0.2">
      <c r="C4397"/>
      <c r="M4397"/>
    </row>
    <row r="4398" spans="3:13" ht="12.75" customHeight="1" x14ac:dyDescent="0.2">
      <c r="C4398"/>
      <c r="M4398"/>
    </row>
    <row r="4399" spans="3:13" ht="12.75" customHeight="1" x14ac:dyDescent="0.2">
      <c r="C4399"/>
      <c r="M4399"/>
    </row>
    <row r="4400" spans="3:13" ht="12.75" customHeight="1" x14ac:dyDescent="0.2">
      <c r="C4400"/>
      <c r="M4400"/>
    </row>
    <row r="4401" spans="3:13" ht="12.75" customHeight="1" x14ac:dyDescent="0.2">
      <c r="C4401"/>
      <c r="M4401"/>
    </row>
    <row r="4402" spans="3:13" ht="12.75" customHeight="1" x14ac:dyDescent="0.2">
      <c r="C4402"/>
      <c r="M4402"/>
    </row>
    <row r="4403" spans="3:13" ht="12.75" customHeight="1" x14ac:dyDescent="0.2">
      <c r="C4403"/>
      <c r="M4403"/>
    </row>
    <row r="4404" spans="3:13" ht="12.75" customHeight="1" x14ac:dyDescent="0.2">
      <c r="C4404"/>
      <c r="M4404"/>
    </row>
    <row r="4405" spans="3:13" ht="12.75" customHeight="1" x14ac:dyDescent="0.2">
      <c r="C4405"/>
      <c r="M4405"/>
    </row>
    <row r="4406" spans="3:13" ht="12.75" customHeight="1" x14ac:dyDescent="0.2">
      <c r="C4406"/>
      <c r="M4406"/>
    </row>
    <row r="4407" spans="3:13" ht="12.75" customHeight="1" x14ac:dyDescent="0.2">
      <c r="C4407"/>
      <c r="M4407"/>
    </row>
    <row r="4408" spans="3:13" ht="12.75" customHeight="1" x14ac:dyDescent="0.2">
      <c r="C4408"/>
      <c r="M4408"/>
    </row>
    <row r="4409" spans="3:13" ht="12.75" customHeight="1" x14ac:dyDescent="0.2">
      <c r="C4409"/>
      <c r="M4409"/>
    </row>
    <row r="4410" spans="3:13" ht="12.75" customHeight="1" x14ac:dyDescent="0.2">
      <c r="C4410"/>
      <c r="M4410"/>
    </row>
    <row r="4411" spans="3:13" ht="12.75" customHeight="1" x14ac:dyDescent="0.2">
      <c r="C4411"/>
      <c r="M4411"/>
    </row>
    <row r="4412" spans="3:13" ht="12.75" customHeight="1" x14ac:dyDescent="0.2">
      <c r="C4412"/>
      <c r="M4412"/>
    </row>
    <row r="4413" spans="3:13" ht="12.75" customHeight="1" x14ac:dyDescent="0.2">
      <c r="C4413"/>
      <c r="M4413"/>
    </row>
    <row r="4414" spans="3:13" ht="12.75" customHeight="1" x14ac:dyDescent="0.2">
      <c r="C4414"/>
      <c r="M4414"/>
    </row>
    <row r="4415" spans="3:13" ht="12.75" customHeight="1" x14ac:dyDescent="0.2">
      <c r="C4415"/>
      <c r="M4415"/>
    </row>
    <row r="4416" spans="3:13" ht="12.75" customHeight="1" x14ac:dyDescent="0.2">
      <c r="C4416"/>
      <c r="M4416"/>
    </row>
    <row r="4417" spans="3:13" ht="12.75" customHeight="1" x14ac:dyDescent="0.2">
      <c r="C4417"/>
      <c r="M4417"/>
    </row>
    <row r="4418" spans="3:13" ht="12.75" customHeight="1" x14ac:dyDescent="0.2">
      <c r="C4418"/>
      <c r="M4418"/>
    </row>
    <row r="4419" spans="3:13" ht="12.75" customHeight="1" x14ac:dyDescent="0.2">
      <c r="C4419"/>
      <c r="M4419"/>
    </row>
    <row r="4420" spans="3:13" ht="12.75" customHeight="1" x14ac:dyDescent="0.2">
      <c r="C4420"/>
      <c r="M4420"/>
    </row>
    <row r="4421" spans="3:13" ht="12.75" customHeight="1" x14ac:dyDescent="0.2">
      <c r="C4421"/>
      <c r="M4421"/>
    </row>
    <row r="4422" spans="3:13" ht="12.75" customHeight="1" x14ac:dyDescent="0.2">
      <c r="C4422"/>
      <c r="M4422"/>
    </row>
    <row r="4423" spans="3:13" ht="12.75" customHeight="1" x14ac:dyDescent="0.2">
      <c r="C4423"/>
      <c r="M4423"/>
    </row>
    <row r="4424" spans="3:13" ht="12.75" customHeight="1" x14ac:dyDescent="0.2">
      <c r="C4424"/>
      <c r="M4424"/>
    </row>
    <row r="4425" spans="3:13" ht="12.75" customHeight="1" x14ac:dyDescent="0.2">
      <c r="C4425"/>
      <c r="M4425"/>
    </row>
    <row r="4426" spans="3:13" ht="12.75" customHeight="1" x14ac:dyDescent="0.2">
      <c r="C4426"/>
      <c r="M4426"/>
    </row>
    <row r="4427" spans="3:13" ht="12.75" customHeight="1" x14ac:dyDescent="0.2">
      <c r="C4427"/>
      <c r="M4427"/>
    </row>
    <row r="4428" spans="3:13" ht="12.75" customHeight="1" x14ac:dyDescent="0.2">
      <c r="C4428"/>
      <c r="M4428"/>
    </row>
    <row r="4429" spans="3:13" ht="12.75" customHeight="1" x14ac:dyDescent="0.2">
      <c r="C4429"/>
      <c r="M4429"/>
    </row>
    <row r="4430" spans="3:13" ht="12.75" customHeight="1" x14ac:dyDescent="0.2">
      <c r="C4430"/>
      <c r="M4430"/>
    </row>
    <row r="4431" spans="3:13" ht="12.75" customHeight="1" x14ac:dyDescent="0.2">
      <c r="C4431"/>
      <c r="M4431"/>
    </row>
    <row r="4432" spans="3:13" ht="12.75" customHeight="1" x14ac:dyDescent="0.2">
      <c r="C4432"/>
      <c r="M4432"/>
    </row>
    <row r="4433" spans="3:13" ht="12.75" customHeight="1" x14ac:dyDescent="0.2">
      <c r="C4433"/>
      <c r="M4433"/>
    </row>
    <row r="4434" spans="3:13" ht="12.75" customHeight="1" x14ac:dyDescent="0.2">
      <c r="C4434"/>
      <c r="M4434"/>
    </row>
    <row r="4435" spans="3:13" ht="12.75" customHeight="1" x14ac:dyDescent="0.2">
      <c r="C4435"/>
      <c r="M4435"/>
    </row>
    <row r="4436" spans="3:13" ht="12.75" customHeight="1" x14ac:dyDescent="0.2">
      <c r="C4436"/>
      <c r="M4436"/>
    </row>
    <row r="4437" spans="3:13" ht="12.75" customHeight="1" x14ac:dyDescent="0.2">
      <c r="C4437"/>
      <c r="M4437"/>
    </row>
    <row r="4438" spans="3:13" ht="12.75" customHeight="1" x14ac:dyDescent="0.2">
      <c r="C4438"/>
      <c r="M4438"/>
    </row>
    <row r="4439" spans="3:13" ht="12.75" customHeight="1" x14ac:dyDescent="0.2">
      <c r="C4439"/>
      <c r="M4439"/>
    </row>
    <row r="4440" spans="3:13" ht="12.75" customHeight="1" x14ac:dyDescent="0.2">
      <c r="C4440"/>
      <c r="M4440"/>
    </row>
    <row r="4441" spans="3:13" ht="12.75" customHeight="1" x14ac:dyDescent="0.2">
      <c r="C4441"/>
      <c r="M4441"/>
    </row>
    <row r="4442" spans="3:13" ht="12.75" customHeight="1" x14ac:dyDescent="0.2">
      <c r="C4442"/>
      <c r="M4442"/>
    </row>
    <row r="4443" spans="3:13" ht="12.75" customHeight="1" x14ac:dyDescent="0.2">
      <c r="C4443"/>
      <c r="M4443"/>
    </row>
    <row r="4444" spans="3:13" ht="12.75" customHeight="1" x14ac:dyDescent="0.2">
      <c r="C4444"/>
      <c r="M4444"/>
    </row>
    <row r="4445" spans="3:13" ht="12.75" customHeight="1" x14ac:dyDescent="0.2">
      <c r="C4445"/>
      <c r="M4445"/>
    </row>
    <row r="4446" spans="3:13" ht="12.75" customHeight="1" x14ac:dyDescent="0.2">
      <c r="C4446"/>
      <c r="M4446"/>
    </row>
    <row r="4447" spans="3:13" ht="12.75" customHeight="1" x14ac:dyDescent="0.2">
      <c r="C4447"/>
      <c r="M4447"/>
    </row>
    <row r="4448" spans="3:13" ht="12.75" customHeight="1" x14ac:dyDescent="0.2">
      <c r="C4448"/>
      <c r="M4448"/>
    </row>
    <row r="4449" spans="3:13" ht="12.75" customHeight="1" x14ac:dyDescent="0.2">
      <c r="C4449"/>
      <c r="M4449"/>
    </row>
    <row r="4450" spans="3:13" ht="12.75" customHeight="1" x14ac:dyDescent="0.2">
      <c r="C4450"/>
      <c r="M4450"/>
    </row>
    <row r="4451" spans="3:13" ht="12.75" customHeight="1" x14ac:dyDescent="0.2">
      <c r="C4451"/>
      <c r="M4451"/>
    </row>
    <row r="4452" spans="3:13" ht="12.75" customHeight="1" x14ac:dyDescent="0.2">
      <c r="C4452"/>
      <c r="M4452"/>
    </row>
    <row r="4453" spans="3:13" ht="12.75" customHeight="1" x14ac:dyDescent="0.2">
      <c r="C4453"/>
      <c r="M4453"/>
    </row>
    <row r="4454" spans="3:13" ht="12.75" customHeight="1" x14ac:dyDescent="0.2">
      <c r="C4454"/>
      <c r="M4454"/>
    </row>
    <row r="4455" spans="3:13" ht="12.75" customHeight="1" x14ac:dyDescent="0.2">
      <c r="C4455"/>
      <c r="M4455"/>
    </row>
    <row r="4456" spans="3:13" ht="12.75" customHeight="1" x14ac:dyDescent="0.2">
      <c r="C4456"/>
      <c r="M4456"/>
    </row>
    <row r="4457" spans="3:13" ht="12.75" customHeight="1" x14ac:dyDescent="0.2">
      <c r="C4457"/>
      <c r="M4457"/>
    </row>
    <row r="4458" spans="3:13" ht="12.75" customHeight="1" x14ac:dyDescent="0.2">
      <c r="C4458"/>
      <c r="M4458"/>
    </row>
    <row r="4459" spans="3:13" ht="12.75" customHeight="1" x14ac:dyDescent="0.2">
      <c r="C4459"/>
      <c r="M4459"/>
    </row>
    <row r="4460" spans="3:13" ht="12.75" customHeight="1" x14ac:dyDescent="0.2">
      <c r="C4460"/>
      <c r="M4460"/>
    </row>
    <row r="4461" spans="3:13" ht="12.75" customHeight="1" x14ac:dyDescent="0.2">
      <c r="C4461"/>
      <c r="M4461"/>
    </row>
    <row r="4462" spans="3:13" ht="12.75" customHeight="1" x14ac:dyDescent="0.2">
      <c r="C4462"/>
      <c r="M4462"/>
    </row>
    <row r="4463" spans="3:13" ht="12.75" customHeight="1" x14ac:dyDescent="0.2">
      <c r="C4463"/>
      <c r="M4463"/>
    </row>
    <row r="4464" spans="3:13" ht="12.75" customHeight="1" x14ac:dyDescent="0.2">
      <c r="C4464"/>
      <c r="M4464"/>
    </row>
    <row r="4465" spans="3:13" ht="12.75" customHeight="1" x14ac:dyDescent="0.2">
      <c r="C4465"/>
      <c r="M4465"/>
    </row>
    <row r="4466" spans="3:13" ht="12.75" customHeight="1" x14ac:dyDescent="0.2">
      <c r="C4466"/>
      <c r="M4466"/>
    </row>
    <row r="4467" spans="3:13" ht="12.75" customHeight="1" x14ac:dyDescent="0.2">
      <c r="C4467"/>
      <c r="M4467"/>
    </row>
    <row r="4468" spans="3:13" ht="12.75" customHeight="1" x14ac:dyDescent="0.2">
      <c r="C4468"/>
      <c r="M4468"/>
    </row>
    <row r="4469" spans="3:13" ht="12.75" customHeight="1" x14ac:dyDescent="0.2">
      <c r="C4469"/>
      <c r="M4469"/>
    </row>
    <row r="4470" spans="3:13" ht="12.75" customHeight="1" x14ac:dyDescent="0.2">
      <c r="C4470"/>
      <c r="M4470"/>
    </row>
    <row r="4471" spans="3:13" ht="12.75" customHeight="1" x14ac:dyDescent="0.2">
      <c r="C4471"/>
      <c r="M4471"/>
    </row>
    <row r="4472" spans="3:13" ht="12.75" customHeight="1" x14ac:dyDescent="0.2">
      <c r="C4472"/>
      <c r="M4472"/>
    </row>
    <row r="4473" spans="3:13" ht="12.75" customHeight="1" x14ac:dyDescent="0.2">
      <c r="C4473"/>
      <c r="M4473"/>
    </row>
    <row r="4474" spans="3:13" ht="12.75" customHeight="1" x14ac:dyDescent="0.2">
      <c r="C4474"/>
      <c r="M4474"/>
    </row>
    <row r="4475" spans="3:13" ht="12.75" customHeight="1" x14ac:dyDescent="0.2">
      <c r="C4475"/>
      <c r="M4475"/>
    </row>
    <row r="4476" spans="3:13" ht="12.75" customHeight="1" x14ac:dyDescent="0.2">
      <c r="C4476"/>
      <c r="M4476"/>
    </row>
    <row r="4477" spans="3:13" ht="12.75" customHeight="1" x14ac:dyDescent="0.2">
      <c r="C4477"/>
      <c r="M4477"/>
    </row>
    <row r="4478" spans="3:13" ht="12.75" customHeight="1" x14ac:dyDescent="0.2">
      <c r="C4478"/>
      <c r="M4478"/>
    </row>
    <row r="4479" spans="3:13" ht="12.75" customHeight="1" x14ac:dyDescent="0.2">
      <c r="C4479"/>
      <c r="M4479"/>
    </row>
    <row r="4480" spans="3:13" ht="12.75" customHeight="1" x14ac:dyDescent="0.2">
      <c r="C4480"/>
      <c r="M4480"/>
    </row>
    <row r="4481" spans="3:13" ht="12.75" customHeight="1" x14ac:dyDescent="0.2">
      <c r="C4481"/>
      <c r="M4481"/>
    </row>
    <row r="4482" spans="3:13" ht="12.75" customHeight="1" x14ac:dyDescent="0.2">
      <c r="C4482"/>
      <c r="M4482"/>
    </row>
    <row r="4483" spans="3:13" ht="12.75" customHeight="1" x14ac:dyDescent="0.2">
      <c r="C4483"/>
      <c r="M4483"/>
    </row>
    <row r="4484" spans="3:13" ht="12.75" customHeight="1" x14ac:dyDescent="0.2">
      <c r="C4484"/>
      <c r="M4484"/>
    </row>
    <row r="4485" spans="3:13" ht="12.75" customHeight="1" x14ac:dyDescent="0.2">
      <c r="C4485"/>
      <c r="M4485"/>
    </row>
    <row r="4486" spans="3:13" ht="12.75" customHeight="1" x14ac:dyDescent="0.2">
      <c r="C4486"/>
      <c r="M4486"/>
    </row>
    <row r="4487" spans="3:13" ht="12.75" customHeight="1" x14ac:dyDescent="0.2">
      <c r="C4487"/>
      <c r="M4487"/>
    </row>
    <row r="4488" spans="3:13" ht="12.75" customHeight="1" x14ac:dyDescent="0.2">
      <c r="C4488"/>
      <c r="M4488"/>
    </row>
    <row r="4489" spans="3:13" ht="12.75" customHeight="1" x14ac:dyDescent="0.2">
      <c r="C4489"/>
      <c r="M4489"/>
    </row>
    <row r="4490" spans="3:13" ht="12.75" customHeight="1" x14ac:dyDescent="0.2">
      <c r="C4490"/>
      <c r="M4490"/>
    </row>
    <row r="4491" spans="3:13" ht="12.75" customHeight="1" x14ac:dyDescent="0.2">
      <c r="C4491"/>
      <c r="M4491"/>
    </row>
    <row r="4492" spans="3:13" ht="12.75" customHeight="1" x14ac:dyDescent="0.2">
      <c r="C4492"/>
      <c r="M4492"/>
    </row>
    <row r="4493" spans="3:13" ht="12.75" customHeight="1" x14ac:dyDescent="0.2">
      <c r="C4493"/>
      <c r="M4493"/>
    </row>
    <row r="4494" spans="3:13" ht="12.75" customHeight="1" x14ac:dyDescent="0.2">
      <c r="C4494"/>
      <c r="M4494"/>
    </row>
    <row r="4495" spans="3:13" ht="12.75" customHeight="1" x14ac:dyDescent="0.2">
      <c r="C4495"/>
      <c r="M4495"/>
    </row>
    <row r="4496" spans="3:13" ht="12.75" customHeight="1" x14ac:dyDescent="0.2">
      <c r="C4496"/>
      <c r="M4496"/>
    </row>
    <row r="4497" spans="3:13" ht="12.75" customHeight="1" x14ac:dyDescent="0.2">
      <c r="C4497"/>
      <c r="M4497"/>
    </row>
    <row r="4498" spans="3:13" ht="12.75" customHeight="1" x14ac:dyDescent="0.2">
      <c r="C4498"/>
      <c r="M4498"/>
    </row>
    <row r="4499" spans="3:13" ht="12.75" customHeight="1" x14ac:dyDescent="0.2">
      <c r="C4499"/>
      <c r="M4499"/>
    </row>
    <row r="4500" spans="3:13" ht="12.75" customHeight="1" x14ac:dyDescent="0.2">
      <c r="C4500"/>
      <c r="M4500"/>
    </row>
    <row r="4501" spans="3:13" ht="12.75" customHeight="1" x14ac:dyDescent="0.2">
      <c r="C4501"/>
      <c r="M4501"/>
    </row>
    <row r="4502" spans="3:13" ht="12.75" customHeight="1" x14ac:dyDescent="0.2">
      <c r="C4502"/>
      <c r="M4502"/>
    </row>
    <row r="4503" spans="3:13" ht="12.75" customHeight="1" x14ac:dyDescent="0.2">
      <c r="C4503"/>
      <c r="M4503"/>
    </row>
    <row r="4504" spans="3:13" ht="12.75" customHeight="1" x14ac:dyDescent="0.2">
      <c r="C4504"/>
      <c r="M4504"/>
    </row>
    <row r="4505" spans="3:13" ht="12.75" customHeight="1" x14ac:dyDescent="0.2">
      <c r="C4505"/>
      <c r="M4505"/>
    </row>
    <row r="4506" spans="3:13" ht="12.75" customHeight="1" x14ac:dyDescent="0.2">
      <c r="C4506"/>
      <c r="M4506"/>
    </row>
    <row r="4507" spans="3:13" ht="12.75" customHeight="1" x14ac:dyDescent="0.2">
      <c r="C4507"/>
      <c r="M4507"/>
    </row>
    <row r="4508" spans="3:13" ht="12.75" customHeight="1" x14ac:dyDescent="0.2">
      <c r="C4508"/>
      <c r="M4508"/>
    </row>
    <row r="4509" spans="3:13" ht="12.75" customHeight="1" x14ac:dyDescent="0.2">
      <c r="C4509"/>
      <c r="M4509"/>
    </row>
    <row r="4510" spans="3:13" ht="12.75" customHeight="1" x14ac:dyDescent="0.2">
      <c r="C4510"/>
      <c r="M4510"/>
    </row>
    <row r="4511" spans="3:13" ht="12.75" customHeight="1" x14ac:dyDescent="0.2">
      <c r="C4511"/>
      <c r="M4511"/>
    </row>
    <row r="4512" spans="3:13" ht="12.75" customHeight="1" x14ac:dyDescent="0.2">
      <c r="C4512"/>
      <c r="M4512"/>
    </row>
    <row r="4513" spans="3:13" ht="12.75" customHeight="1" x14ac:dyDescent="0.2">
      <c r="C4513"/>
      <c r="M4513"/>
    </row>
    <row r="4514" spans="3:13" ht="12.75" customHeight="1" x14ac:dyDescent="0.2">
      <c r="C4514"/>
      <c r="M4514"/>
    </row>
    <row r="4515" spans="3:13" ht="12.75" customHeight="1" x14ac:dyDescent="0.2">
      <c r="C4515"/>
      <c r="M4515"/>
    </row>
    <row r="4516" spans="3:13" ht="12.75" customHeight="1" x14ac:dyDescent="0.2">
      <c r="C4516"/>
      <c r="M4516"/>
    </row>
    <row r="4517" spans="3:13" ht="12.75" customHeight="1" x14ac:dyDescent="0.2">
      <c r="C4517"/>
      <c r="M4517"/>
    </row>
    <row r="4518" spans="3:13" ht="12.75" customHeight="1" x14ac:dyDescent="0.2">
      <c r="C4518"/>
      <c r="M4518"/>
    </row>
    <row r="4519" spans="3:13" ht="12.75" customHeight="1" x14ac:dyDescent="0.2">
      <c r="C4519"/>
      <c r="M4519"/>
    </row>
    <row r="4520" spans="3:13" ht="12.75" customHeight="1" x14ac:dyDescent="0.2">
      <c r="C4520"/>
      <c r="M4520"/>
    </row>
    <row r="4521" spans="3:13" ht="12.75" customHeight="1" x14ac:dyDescent="0.2">
      <c r="C4521"/>
      <c r="M4521"/>
    </row>
    <row r="4522" spans="3:13" ht="12.75" customHeight="1" x14ac:dyDescent="0.2">
      <c r="C4522"/>
      <c r="M4522"/>
    </row>
    <row r="4523" spans="3:13" ht="12.75" customHeight="1" x14ac:dyDescent="0.2">
      <c r="C4523"/>
      <c r="M4523"/>
    </row>
    <row r="4524" spans="3:13" ht="12.75" customHeight="1" x14ac:dyDescent="0.2">
      <c r="C4524"/>
      <c r="M4524"/>
    </row>
    <row r="4525" spans="3:13" ht="12.75" customHeight="1" x14ac:dyDescent="0.2">
      <c r="C4525"/>
      <c r="M4525"/>
    </row>
    <row r="4526" spans="3:13" ht="12.75" customHeight="1" x14ac:dyDescent="0.2">
      <c r="C4526"/>
      <c r="M4526"/>
    </row>
    <row r="4527" spans="3:13" ht="12.75" customHeight="1" x14ac:dyDescent="0.2">
      <c r="C4527"/>
      <c r="M4527"/>
    </row>
    <row r="4528" spans="3:13" ht="12.75" customHeight="1" x14ac:dyDescent="0.2">
      <c r="C4528"/>
      <c r="M4528"/>
    </row>
    <row r="4529" spans="3:13" ht="12.75" customHeight="1" x14ac:dyDescent="0.2">
      <c r="C4529"/>
      <c r="M4529"/>
    </row>
    <row r="4530" spans="3:13" ht="12.75" customHeight="1" x14ac:dyDescent="0.2">
      <c r="C4530"/>
      <c r="M4530"/>
    </row>
    <row r="4531" spans="3:13" ht="12.75" customHeight="1" x14ac:dyDescent="0.2">
      <c r="C4531"/>
      <c r="M4531"/>
    </row>
    <row r="4532" spans="3:13" ht="12.75" customHeight="1" x14ac:dyDescent="0.2">
      <c r="C4532"/>
      <c r="M4532"/>
    </row>
    <row r="4533" spans="3:13" ht="12.75" customHeight="1" x14ac:dyDescent="0.2">
      <c r="C4533"/>
      <c r="M4533"/>
    </row>
    <row r="4534" spans="3:13" ht="12.75" customHeight="1" x14ac:dyDescent="0.2">
      <c r="C4534"/>
      <c r="M4534"/>
    </row>
    <row r="4535" spans="3:13" ht="12.75" customHeight="1" x14ac:dyDescent="0.2">
      <c r="C4535"/>
      <c r="M4535"/>
    </row>
    <row r="4536" spans="3:13" ht="12.75" customHeight="1" x14ac:dyDescent="0.2">
      <c r="C4536"/>
      <c r="M4536"/>
    </row>
    <row r="4537" spans="3:13" ht="12.75" customHeight="1" x14ac:dyDescent="0.2">
      <c r="C4537"/>
      <c r="M4537"/>
    </row>
    <row r="4538" spans="3:13" ht="12.75" customHeight="1" x14ac:dyDescent="0.2">
      <c r="C4538"/>
      <c r="M4538"/>
    </row>
    <row r="4539" spans="3:13" ht="12.75" customHeight="1" x14ac:dyDescent="0.2">
      <c r="C4539"/>
      <c r="M4539"/>
    </row>
    <row r="4540" spans="3:13" ht="12.75" customHeight="1" x14ac:dyDescent="0.2">
      <c r="C4540"/>
      <c r="M4540"/>
    </row>
    <row r="4541" spans="3:13" ht="12.75" customHeight="1" x14ac:dyDescent="0.2">
      <c r="C4541"/>
      <c r="M4541"/>
    </row>
    <row r="4542" spans="3:13" ht="12.75" customHeight="1" x14ac:dyDescent="0.2">
      <c r="C4542"/>
      <c r="M4542"/>
    </row>
    <row r="4543" spans="3:13" ht="12.75" customHeight="1" x14ac:dyDescent="0.2">
      <c r="C4543"/>
      <c r="M4543"/>
    </row>
    <row r="4544" spans="3:13" ht="12.75" customHeight="1" x14ac:dyDescent="0.2">
      <c r="C4544"/>
      <c r="M4544"/>
    </row>
    <row r="4545" spans="3:13" ht="12.75" customHeight="1" x14ac:dyDescent="0.2">
      <c r="C4545"/>
      <c r="M4545"/>
    </row>
    <row r="4546" spans="3:13" ht="12.75" customHeight="1" x14ac:dyDescent="0.2">
      <c r="C4546"/>
      <c r="M4546"/>
    </row>
    <row r="4547" spans="3:13" ht="12.75" customHeight="1" x14ac:dyDescent="0.2">
      <c r="C4547"/>
      <c r="M4547"/>
    </row>
    <row r="4548" spans="3:13" ht="12.75" customHeight="1" x14ac:dyDescent="0.2">
      <c r="C4548"/>
      <c r="M4548"/>
    </row>
    <row r="4549" spans="3:13" ht="12.75" customHeight="1" x14ac:dyDescent="0.2">
      <c r="C4549"/>
      <c r="M4549"/>
    </row>
    <row r="4550" spans="3:13" ht="12.75" customHeight="1" x14ac:dyDescent="0.2">
      <c r="C4550"/>
      <c r="M4550"/>
    </row>
    <row r="4551" spans="3:13" ht="12.75" customHeight="1" x14ac:dyDescent="0.2">
      <c r="C4551"/>
      <c r="M4551"/>
    </row>
    <row r="4552" spans="3:13" ht="12.75" customHeight="1" x14ac:dyDescent="0.2">
      <c r="C4552"/>
      <c r="M4552"/>
    </row>
    <row r="4553" spans="3:13" ht="12.75" customHeight="1" x14ac:dyDescent="0.2">
      <c r="C4553"/>
      <c r="M4553"/>
    </row>
    <row r="4554" spans="3:13" ht="12.75" customHeight="1" x14ac:dyDescent="0.2">
      <c r="C4554"/>
      <c r="M4554"/>
    </row>
    <row r="4555" spans="3:13" ht="12.75" customHeight="1" x14ac:dyDescent="0.2">
      <c r="C4555"/>
      <c r="M4555"/>
    </row>
    <row r="4556" spans="3:13" ht="12.75" customHeight="1" x14ac:dyDescent="0.2">
      <c r="C4556"/>
      <c r="M4556"/>
    </row>
    <row r="4557" spans="3:13" ht="12.75" customHeight="1" x14ac:dyDescent="0.2">
      <c r="C4557"/>
      <c r="M4557"/>
    </row>
    <row r="4558" spans="3:13" ht="12.75" customHeight="1" x14ac:dyDescent="0.2">
      <c r="C4558"/>
      <c r="M4558"/>
    </row>
    <row r="4559" spans="3:13" ht="12.75" customHeight="1" x14ac:dyDescent="0.2">
      <c r="C4559"/>
      <c r="M4559"/>
    </row>
    <row r="4560" spans="3:13" ht="12.75" customHeight="1" x14ac:dyDescent="0.2">
      <c r="C4560"/>
      <c r="M4560"/>
    </row>
    <row r="4561" spans="3:13" ht="12.75" customHeight="1" x14ac:dyDescent="0.2">
      <c r="C4561"/>
      <c r="M4561"/>
    </row>
    <row r="4562" spans="3:13" ht="12.75" customHeight="1" x14ac:dyDescent="0.2">
      <c r="C4562"/>
      <c r="M4562"/>
    </row>
    <row r="4563" spans="3:13" ht="12.75" customHeight="1" x14ac:dyDescent="0.2">
      <c r="C4563"/>
      <c r="M4563"/>
    </row>
    <row r="4564" spans="3:13" ht="12.75" customHeight="1" x14ac:dyDescent="0.2">
      <c r="C4564"/>
      <c r="M4564"/>
    </row>
    <row r="4565" spans="3:13" ht="12.75" customHeight="1" x14ac:dyDescent="0.2">
      <c r="C4565"/>
      <c r="M4565"/>
    </row>
    <row r="4566" spans="3:13" ht="12.75" customHeight="1" x14ac:dyDescent="0.2">
      <c r="C4566"/>
      <c r="M4566"/>
    </row>
    <row r="4567" spans="3:13" ht="12.75" customHeight="1" x14ac:dyDescent="0.2">
      <c r="C4567"/>
      <c r="M4567"/>
    </row>
    <row r="4568" spans="3:13" ht="12.75" customHeight="1" x14ac:dyDescent="0.2">
      <c r="C4568"/>
      <c r="M4568"/>
    </row>
    <row r="4569" spans="3:13" ht="12.75" customHeight="1" x14ac:dyDescent="0.2">
      <c r="C4569"/>
      <c r="M4569"/>
    </row>
    <row r="4570" spans="3:13" ht="12.75" customHeight="1" x14ac:dyDescent="0.2">
      <c r="C4570"/>
      <c r="M4570"/>
    </row>
    <row r="4571" spans="3:13" ht="12.75" customHeight="1" x14ac:dyDescent="0.2">
      <c r="C4571"/>
      <c r="M4571"/>
    </row>
    <row r="4572" spans="3:13" ht="12.75" customHeight="1" x14ac:dyDescent="0.2">
      <c r="C4572"/>
      <c r="M4572"/>
    </row>
    <row r="4573" spans="3:13" ht="12.75" customHeight="1" x14ac:dyDescent="0.2">
      <c r="C4573"/>
      <c r="M4573"/>
    </row>
    <row r="4574" spans="3:13" ht="12.75" customHeight="1" x14ac:dyDescent="0.2">
      <c r="C4574"/>
      <c r="M4574"/>
    </row>
    <row r="4575" spans="3:13" ht="12.75" customHeight="1" x14ac:dyDescent="0.2">
      <c r="C4575"/>
      <c r="M4575"/>
    </row>
    <row r="4576" spans="3:13" ht="12.75" customHeight="1" x14ac:dyDescent="0.2">
      <c r="C4576"/>
      <c r="M4576"/>
    </row>
    <row r="4577" spans="3:13" ht="12.75" customHeight="1" x14ac:dyDescent="0.2">
      <c r="C4577"/>
      <c r="M4577"/>
    </row>
    <row r="4578" spans="3:13" ht="12.75" customHeight="1" x14ac:dyDescent="0.2">
      <c r="C4578"/>
      <c r="M4578"/>
    </row>
    <row r="4579" spans="3:13" ht="12.75" customHeight="1" x14ac:dyDescent="0.2">
      <c r="C4579"/>
      <c r="M4579"/>
    </row>
    <row r="4580" spans="3:13" ht="12.75" customHeight="1" x14ac:dyDescent="0.2">
      <c r="C4580"/>
      <c r="M4580"/>
    </row>
    <row r="4581" spans="3:13" ht="12.75" customHeight="1" x14ac:dyDescent="0.2">
      <c r="C4581"/>
      <c r="M4581"/>
    </row>
    <row r="4582" spans="3:13" ht="12.75" customHeight="1" x14ac:dyDescent="0.2">
      <c r="C4582"/>
      <c r="M4582"/>
    </row>
    <row r="4583" spans="3:13" ht="12.75" customHeight="1" x14ac:dyDescent="0.2">
      <c r="C4583"/>
      <c r="M4583"/>
    </row>
    <row r="4584" spans="3:13" ht="12.75" customHeight="1" x14ac:dyDescent="0.2">
      <c r="C4584"/>
      <c r="M4584"/>
    </row>
    <row r="4585" spans="3:13" ht="12.75" customHeight="1" x14ac:dyDescent="0.2">
      <c r="C4585"/>
      <c r="M4585"/>
    </row>
    <row r="4586" spans="3:13" ht="12.75" customHeight="1" x14ac:dyDescent="0.2">
      <c r="C4586"/>
      <c r="M4586"/>
    </row>
    <row r="4587" spans="3:13" ht="12.75" customHeight="1" x14ac:dyDescent="0.2">
      <c r="C4587"/>
      <c r="M4587"/>
    </row>
    <row r="4588" spans="3:13" ht="12.75" customHeight="1" x14ac:dyDescent="0.2">
      <c r="C4588"/>
      <c r="M4588"/>
    </row>
    <row r="4589" spans="3:13" ht="12.75" customHeight="1" x14ac:dyDescent="0.2">
      <c r="C4589"/>
      <c r="M4589"/>
    </row>
    <row r="4590" spans="3:13" ht="12.75" customHeight="1" x14ac:dyDescent="0.2">
      <c r="C4590"/>
      <c r="M4590"/>
    </row>
    <row r="4591" spans="3:13" ht="12.75" customHeight="1" x14ac:dyDescent="0.2">
      <c r="C4591"/>
      <c r="M4591"/>
    </row>
    <row r="4592" spans="3:13" ht="12.75" customHeight="1" x14ac:dyDescent="0.2">
      <c r="C4592"/>
      <c r="M4592"/>
    </row>
    <row r="4593" spans="3:13" ht="12.75" customHeight="1" x14ac:dyDescent="0.2">
      <c r="C4593"/>
      <c r="M4593"/>
    </row>
    <row r="4594" spans="3:13" ht="12.75" customHeight="1" x14ac:dyDescent="0.2">
      <c r="C4594"/>
      <c r="M4594"/>
    </row>
    <row r="4595" spans="3:13" ht="12.75" customHeight="1" x14ac:dyDescent="0.2">
      <c r="C4595"/>
      <c r="M4595"/>
    </row>
    <row r="4596" spans="3:13" ht="12.75" customHeight="1" x14ac:dyDescent="0.2">
      <c r="C4596"/>
      <c r="M4596"/>
    </row>
    <row r="4597" spans="3:13" ht="12.75" customHeight="1" x14ac:dyDescent="0.2">
      <c r="C4597"/>
      <c r="M4597"/>
    </row>
    <row r="4598" spans="3:13" ht="12.75" customHeight="1" x14ac:dyDescent="0.2">
      <c r="C4598"/>
      <c r="M4598"/>
    </row>
    <row r="4599" spans="3:13" ht="12.75" customHeight="1" x14ac:dyDescent="0.2">
      <c r="C4599"/>
      <c r="M4599"/>
    </row>
    <row r="4600" spans="3:13" ht="12.75" customHeight="1" x14ac:dyDescent="0.2">
      <c r="C4600"/>
      <c r="M4600"/>
    </row>
    <row r="4601" spans="3:13" ht="12.75" customHeight="1" x14ac:dyDescent="0.2">
      <c r="C4601"/>
      <c r="M4601"/>
    </row>
    <row r="4602" spans="3:13" ht="12.75" customHeight="1" x14ac:dyDescent="0.2">
      <c r="C4602"/>
      <c r="M4602"/>
    </row>
    <row r="4603" spans="3:13" ht="12.75" customHeight="1" x14ac:dyDescent="0.2">
      <c r="C4603"/>
      <c r="M4603"/>
    </row>
    <row r="4604" spans="3:13" ht="12.75" customHeight="1" x14ac:dyDescent="0.2">
      <c r="C4604"/>
      <c r="M4604"/>
    </row>
    <row r="4605" spans="3:13" ht="12.75" customHeight="1" x14ac:dyDescent="0.2">
      <c r="C4605"/>
      <c r="M4605"/>
    </row>
    <row r="4606" spans="3:13" ht="12.75" customHeight="1" x14ac:dyDescent="0.2">
      <c r="C4606"/>
      <c r="M4606"/>
    </row>
    <row r="4607" spans="3:13" ht="12.75" customHeight="1" x14ac:dyDescent="0.2">
      <c r="C4607"/>
      <c r="M4607"/>
    </row>
    <row r="4608" spans="3:13" ht="12.75" customHeight="1" x14ac:dyDescent="0.2">
      <c r="C4608"/>
      <c r="M4608"/>
    </row>
    <row r="4609" spans="3:13" ht="12.75" customHeight="1" x14ac:dyDescent="0.2">
      <c r="C4609"/>
      <c r="M4609"/>
    </row>
    <row r="4610" spans="3:13" ht="12.75" customHeight="1" x14ac:dyDescent="0.2">
      <c r="C4610"/>
      <c r="M4610"/>
    </row>
    <row r="4611" spans="3:13" ht="12.75" customHeight="1" x14ac:dyDescent="0.2">
      <c r="C4611"/>
      <c r="M4611"/>
    </row>
    <row r="4612" spans="3:13" ht="12.75" customHeight="1" x14ac:dyDescent="0.2">
      <c r="C4612"/>
      <c r="M4612"/>
    </row>
    <row r="4613" spans="3:13" ht="12.75" customHeight="1" x14ac:dyDescent="0.2">
      <c r="C4613"/>
      <c r="M4613"/>
    </row>
    <row r="4614" spans="3:13" ht="12.75" customHeight="1" x14ac:dyDescent="0.2">
      <c r="C4614"/>
      <c r="M4614"/>
    </row>
    <row r="4615" spans="3:13" ht="12.75" customHeight="1" x14ac:dyDescent="0.2">
      <c r="C4615"/>
      <c r="M4615"/>
    </row>
    <row r="4616" spans="3:13" ht="12.75" customHeight="1" x14ac:dyDescent="0.2">
      <c r="C4616"/>
      <c r="M4616"/>
    </row>
    <row r="4617" spans="3:13" ht="12.75" customHeight="1" x14ac:dyDescent="0.2">
      <c r="C4617"/>
      <c r="M4617"/>
    </row>
    <row r="4618" spans="3:13" ht="12.75" customHeight="1" x14ac:dyDescent="0.2">
      <c r="C4618"/>
      <c r="M4618"/>
    </row>
    <row r="4619" spans="3:13" ht="12.75" customHeight="1" x14ac:dyDescent="0.2">
      <c r="C4619"/>
      <c r="M4619"/>
    </row>
    <row r="4620" spans="3:13" ht="12.75" customHeight="1" x14ac:dyDescent="0.2">
      <c r="C4620"/>
      <c r="M4620"/>
    </row>
    <row r="4621" spans="3:13" ht="12.75" customHeight="1" x14ac:dyDescent="0.2">
      <c r="C4621"/>
      <c r="M4621"/>
    </row>
    <row r="4622" spans="3:13" ht="12.75" customHeight="1" x14ac:dyDescent="0.2">
      <c r="C4622"/>
      <c r="M4622"/>
    </row>
    <row r="4623" spans="3:13" ht="12.75" customHeight="1" x14ac:dyDescent="0.2">
      <c r="C4623"/>
      <c r="M4623"/>
    </row>
    <row r="4624" spans="3:13" ht="12.75" customHeight="1" x14ac:dyDescent="0.2">
      <c r="C4624"/>
      <c r="M4624"/>
    </row>
    <row r="4625" spans="3:13" ht="12.75" customHeight="1" x14ac:dyDescent="0.2">
      <c r="C4625"/>
      <c r="M4625"/>
    </row>
    <row r="4626" spans="3:13" ht="12.75" customHeight="1" x14ac:dyDescent="0.2">
      <c r="C4626"/>
      <c r="M4626"/>
    </row>
    <row r="4627" spans="3:13" ht="12.75" customHeight="1" x14ac:dyDescent="0.2">
      <c r="C4627"/>
      <c r="M4627"/>
    </row>
    <row r="4628" spans="3:13" ht="12.75" customHeight="1" x14ac:dyDescent="0.2">
      <c r="C4628"/>
      <c r="M4628"/>
    </row>
    <row r="4629" spans="3:13" ht="12.75" customHeight="1" x14ac:dyDescent="0.2">
      <c r="C4629"/>
      <c r="M4629"/>
    </row>
    <row r="4630" spans="3:13" ht="12.75" customHeight="1" x14ac:dyDescent="0.2">
      <c r="C4630"/>
      <c r="M4630"/>
    </row>
    <row r="4631" spans="3:13" ht="12.75" customHeight="1" x14ac:dyDescent="0.2">
      <c r="C4631"/>
      <c r="M4631"/>
    </row>
    <row r="4632" spans="3:13" ht="12.75" customHeight="1" x14ac:dyDescent="0.2">
      <c r="C4632"/>
      <c r="M4632"/>
    </row>
    <row r="4633" spans="3:13" ht="12.75" customHeight="1" x14ac:dyDescent="0.2">
      <c r="C4633"/>
      <c r="M4633"/>
    </row>
    <row r="4634" spans="3:13" ht="12.75" customHeight="1" x14ac:dyDescent="0.2">
      <c r="C4634"/>
      <c r="M4634"/>
    </row>
    <row r="4635" spans="3:13" ht="12.75" customHeight="1" x14ac:dyDescent="0.2">
      <c r="C4635"/>
      <c r="M4635"/>
    </row>
    <row r="4636" spans="3:13" ht="12.75" customHeight="1" x14ac:dyDescent="0.2">
      <c r="C4636"/>
      <c r="M4636"/>
    </row>
    <row r="4637" spans="3:13" ht="12.75" customHeight="1" x14ac:dyDescent="0.2">
      <c r="C4637"/>
      <c r="M4637"/>
    </row>
    <row r="4638" spans="3:13" ht="12.75" customHeight="1" x14ac:dyDescent="0.2">
      <c r="C4638"/>
      <c r="M4638"/>
    </row>
    <row r="4639" spans="3:13" ht="12.75" customHeight="1" x14ac:dyDescent="0.2">
      <c r="C4639"/>
      <c r="M4639"/>
    </row>
    <row r="4640" spans="3:13" ht="12.75" customHeight="1" x14ac:dyDescent="0.2">
      <c r="C4640"/>
      <c r="M4640"/>
    </row>
    <row r="4641" spans="3:13" ht="12.75" customHeight="1" x14ac:dyDescent="0.2">
      <c r="C4641"/>
      <c r="M4641"/>
    </row>
    <row r="4642" spans="3:13" ht="12.75" customHeight="1" x14ac:dyDescent="0.2">
      <c r="C4642"/>
      <c r="M4642"/>
    </row>
    <row r="4643" spans="3:13" ht="12.75" customHeight="1" x14ac:dyDescent="0.2">
      <c r="C4643"/>
      <c r="M4643"/>
    </row>
    <row r="4644" spans="3:13" ht="12.75" customHeight="1" x14ac:dyDescent="0.2">
      <c r="C4644"/>
      <c r="M4644"/>
    </row>
    <row r="4645" spans="3:13" ht="12.75" customHeight="1" x14ac:dyDescent="0.2">
      <c r="C4645"/>
      <c r="M4645"/>
    </row>
    <row r="4646" spans="3:13" ht="12.75" customHeight="1" x14ac:dyDescent="0.2">
      <c r="C4646"/>
      <c r="M4646"/>
    </row>
    <row r="4647" spans="3:13" ht="12.75" customHeight="1" x14ac:dyDescent="0.2">
      <c r="C4647"/>
      <c r="M4647"/>
    </row>
    <row r="4648" spans="3:13" ht="12.75" customHeight="1" x14ac:dyDescent="0.2">
      <c r="C4648"/>
      <c r="M4648"/>
    </row>
    <row r="4649" spans="3:13" ht="12.75" customHeight="1" x14ac:dyDescent="0.2">
      <c r="C4649"/>
      <c r="M4649"/>
    </row>
    <row r="4650" spans="3:13" ht="12.75" customHeight="1" x14ac:dyDescent="0.2">
      <c r="C4650"/>
      <c r="M4650"/>
    </row>
    <row r="4651" spans="3:13" ht="12.75" customHeight="1" x14ac:dyDescent="0.2">
      <c r="C4651"/>
      <c r="M4651"/>
    </row>
    <row r="4652" spans="3:13" ht="12.75" customHeight="1" x14ac:dyDescent="0.2">
      <c r="C4652"/>
      <c r="M4652"/>
    </row>
    <row r="4653" spans="3:13" ht="12.75" customHeight="1" x14ac:dyDescent="0.2">
      <c r="C4653"/>
      <c r="M4653"/>
    </row>
    <row r="4654" spans="3:13" ht="12.75" customHeight="1" x14ac:dyDescent="0.2">
      <c r="C4654"/>
      <c r="M4654"/>
    </row>
    <row r="4655" spans="3:13" ht="12.75" customHeight="1" x14ac:dyDescent="0.2">
      <c r="C4655"/>
      <c r="M4655"/>
    </row>
    <row r="4656" spans="3:13" ht="12.75" customHeight="1" x14ac:dyDescent="0.2">
      <c r="C4656"/>
      <c r="M4656"/>
    </row>
    <row r="4657" spans="3:13" ht="12.75" customHeight="1" x14ac:dyDescent="0.2">
      <c r="C4657"/>
      <c r="M4657"/>
    </row>
    <row r="4658" spans="3:13" ht="12.75" customHeight="1" x14ac:dyDescent="0.2">
      <c r="C4658"/>
      <c r="M4658"/>
    </row>
    <row r="4659" spans="3:13" ht="12.75" customHeight="1" x14ac:dyDescent="0.2">
      <c r="C4659"/>
      <c r="M4659"/>
    </row>
    <row r="4660" spans="3:13" ht="12.75" customHeight="1" x14ac:dyDescent="0.2">
      <c r="C4660"/>
      <c r="M4660"/>
    </row>
    <row r="4661" spans="3:13" ht="12.75" customHeight="1" x14ac:dyDescent="0.2">
      <c r="C4661"/>
      <c r="M4661"/>
    </row>
    <row r="4662" spans="3:13" ht="12.75" customHeight="1" x14ac:dyDescent="0.2">
      <c r="C4662"/>
      <c r="M4662"/>
    </row>
    <row r="4663" spans="3:13" ht="12.75" customHeight="1" x14ac:dyDescent="0.2">
      <c r="C4663"/>
      <c r="M4663"/>
    </row>
    <row r="4664" spans="3:13" ht="12.75" customHeight="1" x14ac:dyDescent="0.2">
      <c r="C4664"/>
      <c r="M4664"/>
    </row>
    <row r="4665" spans="3:13" ht="12.75" customHeight="1" x14ac:dyDescent="0.2">
      <c r="C4665"/>
      <c r="M4665"/>
    </row>
    <row r="4666" spans="3:13" ht="12.75" customHeight="1" x14ac:dyDescent="0.2">
      <c r="C4666"/>
      <c r="M4666"/>
    </row>
    <row r="4667" spans="3:13" ht="12.75" customHeight="1" x14ac:dyDescent="0.2">
      <c r="C4667"/>
      <c r="M4667"/>
    </row>
    <row r="4668" spans="3:13" ht="12.75" customHeight="1" x14ac:dyDescent="0.2">
      <c r="C4668"/>
      <c r="M4668"/>
    </row>
    <row r="4669" spans="3:13" ht="12.75" customHeight="1" x14ac:dyDescent="0.2">
      <c r="C4669"/>
      <c r="M4669"/>
    </row>
    <row r="4670" spans="3:13" ht="12.75" customHeight="1" x14ac:dyDescent="0.2">
      <c r="C4670"/>
      <c r="M4670"/>
    </row>
    <row r="4671" spans="3:13" ht="12.75" customHeight="1" x14ac:dyDescent="0.2">
      <c r="C4671"/>
      <c r="M4671"/>
    </row>
    <row r="4672" spans="3:13" ht="12.75" customHeight="1" x14ac:dyDescent="0.2">
      <c r="C4672"/>
      <c r="M4672"/>
    </row>
    <row r="4673" spans="3:13" ht="12.75" customHeight="1" x14ac:dyDescent="0.2">
      <c r="C4673"/>
      <c r="M4673"/>
    </row>
    <row r="4674" spans="3:13" ht="12.75" customHeight="1" x14ac:dyDescent="0.2">
      <c r="C4674"/>
      <c r="M4674"/>
    </row>
    <row r="4675" spans="3:13" ht="12.75" customHeight="1" x14ac:dyDescent="0.2">
      <c r="C4675"/>
      <c r="M4675"/>
    </row>
    <row r="4676" spans="3:13" ht="12.75" customHeight="1" x14ac:dyDescent="0.2">
      <c r="C4676"/>
      <c r="M4676"/>
    </row>
    <row r="4677" spans="3:13" ht="12.75" customHeight="1" x14ac:dyDescent="0.2">
      <c r="C4677"/>
      <c r="M4677"/>
    </row>
    <row r="4678" spans="3:13" ht="12.75" customHeight="1" x14ac:dyDescent="0.2">
      <c r="C4678"/>
      <c r="M4678"/>
    </row>
    <row r="4679" spans="3:13" ht="12.75" customHeight="1" x14ac:dyDescent="0.2">
      <c r="C4679"/>
      <c r="M4679"/>
    </row>
    <row r="4680" spans="3:13" ht="12.75" customHeight="1" x14ac:dyDescent="0.2">
      <c r="C4680"/>
      <c r="M4680"/>
    </row>
    <row r="4681" spans="3:13" ht="12.75" customHeight="1" x14ac:dyDescent="0.2">
      <c r="C4681"/>
      <c r="M4681"/>
    </row>
    <row r="4682" spans="3:13" ht="12.75" customHeight="1" x14ac:dyDescent="0.2">
      <c r="C4682"/>
      <c r="M4682"/>
    </row>
    <row r="4683" spans="3:13" ht="12.75" customHeight="1" x14ac:dyDescent="0.2">
      <c r="C4683"/>
      <c r="M4683"/>
    </row>
    <row r="4684" spans="3:13" ht="12.75" customHeight="1" x14ac:dyDescent="0.2">
      <c r="C4684"/>
      <c r="M4684"/>
    </row>
    <row r="4685" spans="3:13" ht="12.75" customHeight="1" x14ac:dyDescent="0.2">
      <c r="C4685"/>
      <c r="M4685"/>
    </row>
    <row r="4686" spans="3:13" ht="12.75" customHeight="1" x14ac:dyDescent="0.2">
      <c r="C4686"/>
      <c r="M4686"/>
    </row>
    <row r="4687" spans="3:13" ht="12.75" customHeight="1" x14ac:dyDescent="0.2">
      <c r="C4687"/>
      <c r="M4687"/>
    </row>
    <row r="4688" spans="3:13" ht="12.75" customHeight="1" x14ac:dyDescent="0.2">
      <c r="C4688"/>
      <c r="M4688"/>
    </row>
    <row r="4689" spans="3:13" ht="12.75" customHeight="1" x14ac:dyDescent="0.2">
      <c r="C4689"/>
      <c r="M4689"/>
    </row>
    <row r="4690" spans="3:13" ht="12.75" customHeight="1" x14ac:dyDescent="0.2">
      <c r="C4690"/>
      <c r="M4690"/>
    </row>
    <row r="4691" spans="3:13" ht="12.75" customHeight="1" x14ac:dyDescent="0.2">
      <c r="C4691"/>
      <c r="M4691"/>
    </row>
    <row r="4692" spans="3:13" ht="12.75" customHeight="1" x14ac:dyDescent="0.2">
      <c r="C4692"/>
      <c r="M4692"/>
    </row>
    <row r="4693" spans="3:13" ht="12.75" customHeight="1" x14ac:dyDescent="0.2">
      <c r="C4693"/>
      <c r="M4693"/>
    </row>
    <row r="4694" spans="3:13" ht="12.75" customHeight="1" x14ac:dyDescent="0.2">
      <c r="C4694"/>
      <c r="M4694"/>
    </row>
    <row r="4695" spans="3:13" ht="12.75" customHeight="1" x14ac:dyDescent="0.2">
      <c r="C4695"/>
      <c r="M4695"/>
    </row>
    <row r="4696" spans="3:13" ht="12.75" customHeight="1" x14ac:dyDescent="0.2">
      <c r="C4696"/>
      <c r="M4696"/>
    </row>
    <row r="4697" spans="3:13" ht="12.75" customHeight="1" x14ac:dyDescent="0.2">
      <c r="C4697"/>
      <c r="M4697"/>
    </row>
    <row r="4698" spans="3:13" ht="12.75" customHeight="1" x14ac:dyDescent="0.2">
      <c r="C4698"/>
      <c r="M4698"/>
    </row>
    <row r="4699" spans="3:13" ht="12.75" customHeight="1" x14ac:dyDescent="0.2">
      <c r="C4699"/>
      <c r="M4699"/>
    </row>
    <row r="4700" spans="3:13" ht="12.75" customHeight="1" x14ac:dyDescent="0.2">
      <c r="C4700"/>
      <c r="M4700"/>
    </row>
    <row r="4701" spans="3:13" ht="12.75" customHeight="1" x14ac:dyDescent="0.2">
      <c r="C4701"/>
      <c r="M4701"/>
    </row>
    <row r="4702" spans="3:13" ht="12.75" customHeight="1" x14ac:dyDescent="0.2">
      <c r="C4702"/>
      <c r="M4702"/>
    </row>
    <row r="4703" spans="3:13" ht="12.75" customHeight="1" x14ac:dyDescent="0.2">
      <c r="C4703"/>
      <c r="M4703"/>
    </row>
    <row r="4704" spans="3:13" ht="12.75" customHeight="1" x14ac:dyDescent="0.2">
      <c r="C4704"/>
      <c r="M4704"/>
    </row>
    <row r="4705" spans="3:13" ht="12.75" customHeight="1" x14ac:dyDescent="0.2">
      <c r="C4705"/>
      <c r="M4705"/>
    </row>
    <row r="4706" spans="3:13" ht="12.75" customHeight="1" x14ac:dyDescent="0.2">
      <c r="C4706"/>
      <c r="M4706"/>
    </row>
    <row r="4707" spans="3:13" ht="12.75" customHeight="1" x14ac:dyDescent="0.2">
      <c r="C4707"/>
      <c r="M4707"/>
    </row>
    <row r="4708" spans="3:13" ht="12.75" customHeight="1" x14ac:dyDescent="0.2">
      <c r="C4708"/>
      <c r="M4708"/>
    </row>
    <row r="4709" spans="3:13" ht="12.75" customHeight="1" x14ac:dyDescent="0.2">
      <c r="C4709"/>
      <c r="M4709"/>
    </row>
    <row r="4710" spans="3:13" ht="12.75" customHeight="1" x14ac:dyDescent="0.2">
      <c r="C4710"/>
      <c r="M4710"/>
    </row>
    <row r="4711" spans="3:13" ht="12.75" customHeight="1" x14ac:dyDescent="0.2">
      <c r="C4711"/>
      <c r="M4711"/>
    </row>
    <row r="4712" spans="3:13" ht="12.75" customHeight="1" x14ac:dyDescent="0.2">
      <c r="C4712"/>
      <c r="M4712"/>
    </row>
    <row r="4713" spans="3:13" ht="12.75" customHeight="1" x14ac:dyDescent="0.2">
      <c r="C4713"/>
      <c r="M4713"/>
    </row>
    <row r="4714" spans="3:13" ht="12.75" customHeight="1" x14ac:dyDescent="0.2">
      <c r="C4714"/>
      <c r="M4714"/>
    </row>
    <row r="4715" spans="3:13" ht="12.75" customHeight="1" x14ac:dyDescent="0.2">
      <c r="C4715"/>
      <c r="M4715"/>
    </row>
    <row r="4716" spans="3:13" ht="12.75" customHeight="1" x14ac:dyDescent="0.2">
      <c r="C4716"/>
      <c r="M4716"/>
    </row>
    <row r="4717" spans="3:13" ht="12.75" customHeight="1" x14ac:dyDescent="0.2">
      <c r="C4717"/>
      <c r="M4717"/>
    </row>
    <row r="4718" spans="3:13" ht="12.75" customHeight="1" x14ac:dyDescent="0.2">
      <c r="C4718"/>
      <c r="M4718"/>
    </row>
    <row r="4719" spans="3:13" ht="12.75" customHeight="1" x14ac:dyDescent="0.2">
      <c r="C4719"/>
      <c r="M4719"/>
    </row>
    <row r="4720" spans="3:13" ht="12.75" customHeight="1" x14ac:dyDescent="0.2">
      <c r="C4720"/>
      <c r="M4720"/>
    </row>
    <row r="4721" spans="3:13" ht="12.75" customHeight="1" x14ac:dyDescent="0.2">
      <c r="C4721"/>
      <c r="M4721"/>
    </row>
    <row r="4722" spans="3:13" ht="12.75" customHeight="1" x14ac:dyDescent="0.2">
      <c r="C4722"/>
      <c r="M4722"/>
    </row>
    <row r="4723" spans="3:13" ht="12.75" customHeight="1" x14ac:dyDescent="0.2">
      <c r="C4723"/>
      <c r="M4723"/>
    </row>
    <row r="4724" spans="3:13" ht="12.75" customHeight="1" x14ac:dyDescent="0.2">
      <c r="C4724"/>
      <c r="M4724"/>
    </row>
    <row r="4725" spans="3:13" ht="12.75" customHeight="1" x14ac:dyDescent="0.2">
      <c r="C4725"/>
      <c r="M4725"/>
    </row>
    <row r="4726" spans="3:13" ht="12.75" customHeight="1" x14ac:dyDescent="0.2">
      <c r="C4726"/>
      <c r="M4726"/>
    </row>
    <row r="4727" spans="3:13" ht="12.75" customHeight="1" x14ac:dyDescent="0.2">
      <c r="C4727"/>
      <c r="M4727"/>
    </row>
    <row r="4728" spans="3:13" ht="12.75" customHeight="1" x14ac:dyDescent="0.2">
      <c r="C4728"/>
      <c r="M4728"/>
    </row>
    <row r="4729" spans="3:13" ht="12.75" customHeight="1" x14ac:dyDescent="0.2">
      <c r="C4729"/>
      <c r="M4729"/>
    </row>
    <row r="4730" spans="3:13" ht="12.75" customHeight="1" x14ac:dyDescent="0.2">
      <c r="C4730"/>
      <c r="M4730"/>
    </row>
    <row r="4731" spans="3:13" ht="12.75" customHeight="1" x14ac:dyDescent="0.2">
      <c r="C4731"/>
      <c r="M4731"/>
    </row>
    <row r="4732" spans="3:13" ht="12.75" customHeight="1" x14ac:dyDescent="0.2">
      <c r="C4732"/>
      <c r="M4732"/>
    </row>
    <row r="4733" spans="3:13" ht="12.75" customHeight="1" x14ac:dyDescent="0.2">
      <c r="C4733"/>
      <c r="M4733"/>
    </row>
    <row r="4734" spans="3:13" ht="12.75" customHeight="1" x14ac:dyDescent="0.2">
      <c r="C4734"/>
      <c r="M4734"/>
    </row>
    <row r="4735" spans="3:13" ht="12.75" customHeight="1" x14ac:dyDescent="0.2">
      <c r="C4735"/>
      <c r="M4735"/>
    </row>
    <row r="4736" spans="3:13" ht="12.75" customHeight="1" x14ac:dyDescent="0.2">
      <c r="C4736"/>
      <c r="M4736"/>
    </row>
    <row r="4737" spans="3:13" ht="12.75" customHeight="1" x14ac:dyDescent="0.2">
      <c r="C4737"/>
      <c r="M4737"/>
    </row>
    <row r="4738" spans="3:13" ht="12.75" customHeight="1" x14ac:dyDescent="0.2">
      <c r="C4738"/>
      <c r="M4738"/>
    </row>
    <row r="4739" spans="3:13" ht="12.75" customHeight="1" x14ac:dyDescent="0.2">
      <c r="C4739"/>
      <c r="M4739"/>
    </row>
    <row r="4740" spans="3:13" ht="12.75" customHeight="1" x14ac:dyDescent="0.2">
      <c r="C4740"/>
      <c r="M4740"/>
    </row>
    <row r="4741" spans="3:13" ht="12.75" customHeight="1" x14ac:dyDescent="0.2">
      <c r="C4741"/>
      <c r="M4741"/>
    </row>
    <row r="4742" spans="3:13" ht="12.75" customHeight="1" x14ac:dyDescent="0.2">
      <c r="C4742"/>
      <c r="M4742"/>
    </row>
    <row r="4743" spans="3:13" ht="12.75" customHeight="1" x14ac:dyDescent="0.2">
      <c r="C4743"/>
      <c r="M4743"/>
    </row>
    <row r="4744" spans="3:13" ht="12.75" customHeight="1" x14ac:dyDescent="0.2">
      <c r="C4744"/>
      <c r="M4744"/>
    </row>
    <row r="4745" spans="3:13" ht="12.75" customHeight="1" x14ac:dyDescent="0.2">
      <c r="C4745"/>
      <c r="M4745"/>
    </row>
    <row r="4746" spans="3:13" ht="12.75" customHeight="1" x14ac:dyDescent="0.2">
      <c r="C4746"/>
      <c r="M4746"/>
    </row>
    <row r="4747" spans="3:13" ht="12.75" customHeight="1" x14ac:dyDescent="0.2">
      <c r="C4747"/>
      <c r="M4747"/>
    </row>
    <row r="4748" spans="3:13" ht="12.75" customHeight="1" x14ac:dyDescent="0.2">
      <c r="C4748"/>
      <c r="M4748"/>
    </row>
    <row r="4749" spans="3:13" ht="12.75" customHeight="1" x14ac:dyDescent="0.2">
      <c r="C4749"/>
      <c r="M4749"/>
    </row>
    <row r="4750" spans="3:13" ht="12.75" customHeight="1" x14ac:dyDescent="0.2">
      <c r="C4750"/>
      <c r="M4750"/>
    </row>
    <row r="4751" spans="3:13" ht="12.75" customHeight="1" x14ac:dyDescent="0.2">
      <c r="C4751"/>
      <c r="M4751"/>
    </row>
    <row r="4752" spans="3:13" ht="12.75" customHeight="1" x14ac:dyDescent="0.2">
      <c r="C4752"/>
      <c r="M4752"/>
    </row>
    <row r="4753" spans="3:13" ht="12.75" customHeight="1" x14ac:dyDescent="0.2">
      <c r="C4753"/>
      <c r="M4753"/>
    </row>
    <row r="4754" spans="3:13" ht="12.75" customHeight="1" x14ac:dyDescent="0.2">
      <c r="C4754"/>
      <c r="M4754"/>
    </row>
    <row r="4755" spans="3:13" ht="12.75" customHeight="1" x14ac:dyDescent="0.2">
      <c r="C4755"/>
      <c r="M4755"/>
    </row>
    <row r="4756" spans="3:13" ht="12.75" customHeight="1" x14ac:dyDescent="0.2">
      <c r="C4756"/>
      <c r="M4756"/>
    </row>
    <row r="4757" spans="3:13" ht="12.75" customHeight="1" x14ac:dyDescent="0.2">
      <c r="C4757"/>
      <c r="M4757"/>
    </row>
    <row r="4758" spans="3:13" ht="12.75" customHeight="1" x14ac:dyDescent="0.2">
      <c r="C4758"/>
      <c r="M4758"/>
    </row>
    <row r="4759" spans="3:13" ht="12.75" customHeight="1" x14ac:dyDescent="0.2">
      <c r="C4759"/>
      <c r="M4759"/>
    </row>
    <row r="4760" spans="3:13" ht="12.75" customHeight="1" x14ac:dyDescent="0.2">
      <c r="C4760"/>
      <c r="M4760"/>
    </row>
    <row r="4761" spans="3:13" ht="12.75" customHeight="1" x14ac:dyDescent="0.2">
      <c r="C4761"/>
      <c r="M4761"/>
    </row>
    <row r="4762" spans="3:13" ht="12.75" customHeight="1" x14ac:dyDescent="0.2">
      <c r="C4762"/>
      <c r="M4762"/>
    </row>
    <row r="4763" spans="3:13" ht="12.75" customHeight="1" x14ac:dyDescent="0.2">
      <c r="C4763"/>
      <c r="M4763"/>
    </row>
    <row r="4764" spans="3:13" ht="12.75" customHeight="1" x14ac:dyDescent="0.2">
      <c r="C4764"/>
      <c r="M4764"/>
    </row>
    <row r="4765" spans="3:13" ht="12.75" customHeight="1" x14ac:dyDescent="0.2">
      <c r="C4765"/>
      <c r="M4765"/>
    </row>
    <row r="4766" spans="3:13" ht="12.75" customHeight="1" x14ac:dyDescent="0.2">
      <c r="C4766"/>
      <c r="M4766"/>
    </row>
    <row r="4767" spans="3:13" ht="12.75" customHeight="1" x14ac:dyDescent="0.2">
      <c r="C4767"/>
      <c r="M4767"/>
    </row>
    <row r="4768" spans="3:13" ht="12.75" customHeight="1" x14ac:dyDescent="0.2">
      <c r="C4768"/>
      <c r="M4768"/>
    </row>
    <row r="4769" spans="3:13" ht="12.75" customHeight="1" x14ac:dyDescent="0.2">
      <c r="C4769"/>
      <c r="M4769"/>
    </row>
    <row r="4770" spans="3:13" ht="12.75" customHeight="1" x14ac:dyDescent="0.2">
      <c r="C4770"/>
      <c r="M4770"/>
    </row>
    <row r="4771" spans="3:13" ht="12.75" customHeight="1" x14ac:dyDescent="0.2">
      <c r="C4771"/>
      <c r="M4771"/>
    </row>
    <row r="4772" spans="3:13" ht="12.75" customHeight="1" x14ac:dyDescent="0.2">
      <c r="C4772"/>
      <c r="M4772"/>
    </row>
    <row r="4773" spans="3:13" ht="12.75" customHeight="1" x14ac:dyDescent="0.2">
      <c r="C4773"/>
      <c r="M4773"/>
    </row>
    <row r="4774" spans="3:13" ht="12.75" customHeight="1" x14ac:dyDescent="0.2">
      <c r="C4774"/>
      <c r="M4774"/>
    </row>
    <row r="4775" spans="3:13" ht="12.75" customHeight="1" x14ac:dyDescent="0.2">
      <c r="C4775"/>
      <c r="M4775"/>
    </row>
    <row r="4776" spans="3:13" ht="12.75" customHeight="1" x14ac:dyDescent="0.2">
      <c r="C4776"/>
      <c r="M4776"/>
    </row>
    <row r="4777" spans="3:13" ht="12.75" customHeight="1" x14ac:dyDescent="0.2">
      <c r="C4777"/>
      <c r="M4777"/>
    </row>
    <row r="4778" spans="3:13" ht="12.75" customHeight="1" x14ac:dyDescent="0.2">
      <c r="C4778"/>
      <c r="M4778"/>
    </row>
    <row r="4779" spans="3:13" ht="12.75" customHeight="1" x14ac:dyDescent="0.2">
      <c r="C4779"/>
      <c r="M4779"/>
    </row>
    <row r="4780" spans="3:13" ht="12.75" customHeight="1" x14ac:dyDescent="0.2">
      <c r="C4780"/>
      <c r="M4780"/>
    </row>
    <row r="4781" spans="3:13" ht="12.75" customHeight="1" x14ac:dyDescent="0.2">
      <c r="C4781"/>
      <c r="M4781"/>
    </row>
    <row r="4782" spans="3:13" ht="12.75" customHeight="1" x14ac:dyDescent="0.2">
      <c r="C4782"/>
      <c r="M4782"/>
    </row>
    <row r="4783" spans="3:13" ht="12.75" customHeight="1" x14ac:dyDescent="0.2">
      <c r="C4783"/>
      <c r="M4783"/>
    </row>
    <row r="4784" spans="3:13" ht="12.75" customHeight="1" x14ac:dyDescent="0.2">
      <c r="C4784"/>
      <c r="M4784"/>
    </row>
    <row r="4785" spans="3:13" ht="12.75" customHeight="1" x14ac:dyDescent="0.2">
      <c r="C4785"/>
      <c r="M4785"/>
    </row>
    <row r="4786" spans="3:13" ht="12.75" customHeight="1" x14ac:dyDescent="0.2">
      <c r="C4786"/>
      <c r="M4786"/>
    </row>
    <row r="4787" spans="3:13" ht="12.75" customHeight="1" x14ac:dyDescent="0.2">
      <c r="C4787"/>
      <c r="M4787"/>
    </row>
    <row r="4788" spans="3:13" ht="12.75" customHeight="1" x14ac:dyDescent="0.2">
      <c r="C4788"/>
      <c r="M4788"/>
    </row>
    <row r="4789" spans="3:13" ht="12.75" customHeight="1" x14ac:dyDescent="0.2">
      <c r="C4789"/>
      <c r="M4789"/>
    </row>
    <row r="4790" spans="3:13" ht="12.75" customHeight="1" x14ac:dyDescent="0.2">
      <c r="C4790"/>
      <c r="M4790"/>
    </row>
    <row r="4791" spans="3:13" ht="12.75" customHeight="1" x14ac:dyDescent="0.2">
      <c r="C4791"/>
      <c r="M4791"/>
    </row>
    <row r="4792" spans="3:13" ht="12.75" customHeight="1" x14ac:dyDescent="0.2">
      <c r="C4792"/>
      <c r="M4792"/>
    </row>
    <row r="4793" spans="3:13" ht="12.75" customHeight="1" x14ac:dyDescent="0.2">
      <c r="C4793"/>
      <c r="M4793"/>
    </row>
    <row r="4794" spans="3:13" ht="12.75" customHeight="1" x14ac:dyDescent="0.2">
      <c r="C4794"/>
      <c r="M4794"/>
    </row>
    <row r="4795" spans="3:13" ht="12.75" customHeight="1" x14ac:dyDescent="0.2">
      <c r="C4795"/>
      <c r="M4795"/>
    </row>
    <row r="4796" spans="3:13" ht="12.75" customHeight="1" x14ac:dyDescent="0.2">
      <c r="C4796"/>
      <c r="M4796"/>
    </row>
    <row r="4797" spans="3:13" ht="12.75" customHeight="1" x14ac:dyDescent="0.2">
      <c r="C4797"/>
      <c r="M4797"/>
    </row>
    <row r="4798" spans="3:13" ht="12.75" customHeight="1" x14ac:dyDescent="0.2">
      <c r="C4798"/>
      <c r="M4798"/>
    </row>
    <row r="4799" spans="3:13" ht="12.75" customHeight="1" x14ac:dyDescent="0.2">
      <c r="C4799"/>
      <c r="M4799"/>
    </row>
    <row r="4800" spans="3:13" ht="12.75" customHeight="1" x14ac:dyDescent="0.2">
      <c r="C4800"/>
      <c r="M4800"/>
    </row>
    <row r="4801" spans="3:13" ht="12.75" customHeight="1" x14ac:dyDescent="0.2">
      <c r="C4801"/>
      <c r="M4801"/>
    </row>
    <row r="4802" spans="3:13" ht="12.75" customHeight="1" x14ac:dyDescent="0.2">
      <c r="C4802"/>
      <c r="M4802"/>
    </row>
    <row r="4803" spans="3:13" ht="12.75" customHeight="1" x14ac:dyDescent="0.2">
      <c r="C4803"/>
      <c r="M4803"/>
    </row>
    <row r="4804" spans="3:13" ht="12.75" customHeight="1" x14ac:dyDescent="0.2">
      <c r="C4804"/>
      <c r="M4804"/>
    </row>
    <row r="4805" spans="3:13" ht="12.75" customHeight="1" x14ac:dyDescent="0.2">
      <c r="C4805"/>
      <c r="M4805"/>
    </row>
    <row r="4806" spans="3:13" ht="12.75" customHeight="1" x14ac:dyDescent="0.2">
      <c r="C4806"/>
      <c r="M4806"/>
    </row>
    <row r="4807" spans="3:13" ht="12.75" customHeight="1" x14ac:dyDescent="0.2">
      <c r="C4807"/>
      <c r="M4807"/>
    </row>
    <row r="4808" spans="3:13" ht="12.75" customHeight="1" x14ac:dyDescent="0.2">
      <c r="C4808"/>
      <c r="M4808"/>
    </row>
    <row r="4809" spans="3:13" ht="12.75" customHeight="1" x14ac:dyDescent="0.2">
      <c r="C4809"/>
      <c r="M4809"/>
    </row>
    <row r="4810" spans="3:13" ht="12.75" customHeight="1" x14ac:dyDescent="0.2">
      <c r="C4810"/>
      <c r="M4810"/>
    </row>
    <row r="4811" spans="3:13" ht="12.75" customHeight="1" x14ac:dyDescent="0.2">
      <c r="C4811"/>
      <c r="M4811"/>
    </row>
    <row r="4812" spans="3:13" ht="12.75" customHeight="1" x14ac:dyDescent="0.2">
      <c r="C4812"/>
      <c r="M4812"/>
    </row>
    <row r="4813" spans="3:13" ht="12.75" customHeight="1" x14ac:dyDescent="0.2">
      <c r="C4813"/>
      <c r="M4813"/>
    </row>
    <row r="4814" spans="3:13" ht="12.75" customHeight="1" x14ac:dyDescent="0.2">
      <c r="C4814"/>
      <c r="M4814"/>
    </row>
    <row r="4815" spans="3:13" ht="12.75" customHeight="1" x14ac:dyDescent="0.2">
      <c r="C4815"/>
      <c r="M4815"/>
    </row>
    <row r="4816" spans="3:13" ht="12.75" customHeight="1" x14ac:dyDescent="0.2">
      <c r="C4816"/>
      <c r="M4816"/>
    </row>
    <row r="4817" spans="3:13" ht="12.75" customHeight="1" x14ac:dyDescent="0.2">
      <c r="C4817"/>
      <c r="M4817"/>
    </row>
    <row r="4818" spans="3:13" ht="12.75" customHeight="1" x14ac:dyDescent="0.2">
      <c r="C4818"/>
      <c r="M4818"/>
    </row>
    <row r="4819" spans="3:13" ht="12.75" customHeight="1" x14ac:dyDescent="0.2">
      <c r="C4819"/>
      <c r="M4819"/>
    </row>
    <row r="4820" spans="3:13" ht="12.75" customHeight="1" x14ac:dyDescent="0.2">
      <c r="C4820"/>
      <c r="M4820"/>
    </row>
    <row r="4821" spans="3:13" ht="12.75" customHeight="1" x14ac:dyDescent="0.2">
      <c r="C4821"/>
      <c r="M4821"/>
    </row>
    <row r="4822" spans="3:13" ht="12.75" customHeight="1" x14ac:dyDescent="0.2">
      <c r="C4822"/>
      <c r="M4822"/>
    </row>
    <row r="4823" spans="3:13" ht="12.75" customHeight="1" x14ac:dyDescent="0.2">
      <c r="C4823"/>
      <c r="M4823"/>
    </row>
    <row r="4824" spans="3:13" ht="12.75" customHeight="1" x14ac:dyDescent="0.2">
      <c r="C4824"/>
      <c r="M4824"/>
    </row>
    <row r="4825" spans="3:13" ht="12.75" customHeight="1" x14ac:dyDescent="0.2">
      <c r="C4825"/>
      <c r="M4825"/>
    </row>
    <row r="4826" spans="3:13" ht="12.75" customHeight="1" x14ac:dyDescent="0.2">
      <c r="C4826"/>
      <c r="M4826"/>
    </row>
    <row r="4827" spans="3:13" ht="12.75" customHeight="1" x14ac:dyDescent="0.2">
      <c r="C4827"/>
      <c r="M4827"/>
    </row>
    <row r="4828" spans="3:13" ht="12.75" customHeight="1" x14ac:dyDescent="0.2">
      <c r="C4828"/>
      <c r="M4828"/>
    </row>
    <row r="4829" spans="3:13" ht="12.75" customHeight="1" x14ac:dyDescent="0.2">
      <c r="C4829"/>
      <c r="M4829"/>
    </row>
    <row r="4830" spans="3:13" ht="12.75" customHeight="1" x14ac:dyDescent="0.2">
      <c r="C4830"/>
      <c r="M4830"/>
    </row>
    <row r="4831" spans="3:13" ht="12.75" customHeight="1" x14ac:dyDescent="0.2">
      <c r="C4831"/>
      <c r="M4831"/>
    </row>
    <row r="4832" spans="3:13" ht="12.75" customHeight="1" x14ac:dyDescent="0.2">
      <c r="C4832"/>
      <c r="M4832"/>
    </row>
    <row r="4833" spans="3:13" ht="12.75" customHeight="1" x14ac:dyDescent="0.2">
      <c r="C4833"/>
      <c r="M4833"/>
    </row>
    <row r="4834" spans="3:13" ht="12.75" customHeight="1" x14ac:dyDescent="0.2">
      <c r="C4834"/>
      <c r="M4834"/>
    </row>
    <row r="4835" spans="3:13" ht="12.75" customHeight="1" x14ac:dyDescent="0.2">
      <c r="C4835"/>
      <c r="M4835"/>
    </row>
    <row r="4836" spans="3:13" ht="12.75" customHeight="1" x14ac:dyDescent="0.2">
      <c r="C4836"/>
      <c r="M4836"/>
    </row>
    <row r="4837" spans="3:13" ht="12.75" customHeight="1" x14ac:dyDescent="0.2">
      <c r="C4837"/>
      <c r="M4837"/>
    </row>
    <row r="4838" spans="3:13" ht="12.75" customHeight="1" x14ac:dyDescent="0.2">
      <c r="C4838"/>
      <c r="M4838"/>
    </row>
    <row r="4839" spans="3:13" ht="12.75" customHeight="1" x14ac:dyDescent="0.2">
      <c r="C4839"/>
      <c r="M4839"/>
    </row>
    <row r="4840" spans="3:13" ht="12.75" customHeight="1" x14ac:dyDescent="0.2">
      <c r="C4840"/>
      <c r="M4840"/>
    </row>
    <row r="4841" spans="3:13" ht="12.75" customHeight="1" x14ac:dyDescent="0.2">
      <c r="C4841"/>
      <c r="M4841"/>
    </row>
    <row r="4842" spans="3:13" ht="12.75" customHeight="1" x14ac:dyDescent="0.2">
      <c r="C4842"/>
      <c r="M4842"/>
    </row>
    <row r="4843" spans="3:13" ht="12.75" customHeight="1" x14ac:dyDescent="0.2">
      <c r="C4843"/>
      <c r="M4843"/>
    </row>
    <row r="4844" spans="3:13" ht="12.75" customHeight="1" x14ac:dyDescent="0.2">
      <c r="C4844"/>
      <c r="M4844"/>
    </row>
    <row r="4845" spans="3:13" ht="12.75" customHeight="1" x14ac:dyDescent="0.2">
      <c r="C4845"/>
      <c r="M4845"/>
    </row>
    <row r="4846" spans="3:13" ht="12.75" customHeight="1" x14ac:dyDescent="0.2">
      <c r="C4846"/>
      <c r="M4846"/>
    </row>
    <row r="4847" spans="3:13" ht="12.75" customHeight="1" x14ac:dyDescent="0.2">
      <c r="C4847"/>
      <c r="M4847"/>
    </row>
    <row r="4848" spans="3:13" ht="12.75" customHeight="1" x14ac:dyDescent="0.2">
      <c r="C4848"/>
      <c r="M4848"/>
    </row>
    <row r="4849" spans="3:13" ht="12.75" customHeight="1" x14ac:dyDescent="0.2">
      <c r="C4849"/>
      <c r="M4849"/>
    </row>
    <row r="4850" spans="3:13" ht="12.75" customHeight="1" x14ac:dyDescent="0.2">
      <c r="C4850"/>
      <c r="M4850"/>
    </row>
    <row r="4851" spans="3:13" ht="12.75" customHeight="1" x14ac:dyDescent="0.2">
      <c r="C4851"/>
      <c r="M4851"/>
    </row>
    <row r="4852" spans="3:13" ht="12.75" customHeight="1" x14ac:dyDescent="0.2">
      <c r="C4852"/>
      <c r="M4852"/>
    </row>
    <row r="4853" spans="3:13" ht="12.75" customHeight="1" x14ac:dyDescent="0.2">
      <c r="C4853"/>
      <c r="M4853"/>
    </row>
    <row r="4854" spans="3:13" ht="12.75" customHeight="1" x14ac:dyDescent="0.2">
      <c r="C4854"/>
      <c r="M4854"/>
    </row>
    <row r="4855" spans="3:13" ht="12.75" customHeight="1" x14ac:dyDescent="0.2">
      <c r="C4855"/>
      <c r="M4855"/>
    </row>
    <row r="4856" spans="3:13" ht="12.75" customHeight="1" x14ac:dyDescent="0.2">
      <c r="C4856"/>
      <c r="M4856"/>
    </row>
    <row r="4857" spans="3:13" ht="12.75" customHeight="1" x14ac:dyDescent="0.2">
      <c r="C4857"/>
      <c r="M4857"/>
    </row>
    <row r="4858" spans="3:13" ht="12.75" customHeight="1" x14ac:dyDescent="0.2">
      <c r="C4858"/>
      <c r="M4858"/>
    </row>
    <row r="4859" spans="3:13" ht="12.75" customHeight="1" x14ac:dyDescent="0.2">
      <c r="C4859"/>
      <c r="M4859"/>
    </row>
    <row r="4860" spans="3:13" ht="12.75" customHeight="1" x14ac:dyDescent="0.2">
      <c r="C4860"/>
      <c r="M4860"/>
    </row>
    <row r="4861" spans="3:13" ht="12.75" customHeight="1" x14ac:dyDescent="0.2">
      <c r="C4861"/>
      <c r="M4861"/>
    </row>
    <row r="4862" spans="3:13" ht="12.75" customHeight="1" x14ac:dyDescent="0.2">
      <c r="C4862"/>
      <c r="M4862"/>
    </row>
    <row r="4863" spans="3:13" ht="12.75" customHeight="1" x14ac:dyDescent="0.2">
      <c r="C4863"/>
      <c r="M4863"/>
    </row>
    <row r="4864" spans="3:13" ht="12.75" customHeight="1" x14ac:dyDescent="0.2">
      <c r="C4864"/>
      <c r="M4864"/>
    </row>
    <row r="4865" spans="3:13" ht="12.75" customHeight="1" x14ac:dyDescent="0.2">
      <c r="C4865"/>
      <c r="M4865"/>
    </row>
    <row r="4866" spans="3:13" ht="12.75" customHeight="1" x14ac:dyDescent="0.2">
      <c r="C4866"/>
      <c r="M4866"/>
    </row>
    <row r="4867" spans="3:13" ht="12.75" customHeight="1" x14ac:dyDescent="0.2">
      <c r="C4867"/>
      <c r="M4867"/>
    </row>
    <row r="4868" spans="3:13" ht="12.75" customHeight="1" x14ac:dyDescent="0.2">
      <c r="C4868"/>
      <c r="M4868"/>
    </row>
    <row r="4869" spans="3:13" ht="12.75" customHeight="1" x14ac:dyDescent="0.2">
      <c r="C4869"/>
      <c r="M4869"/>
    </row>
    <row r="4870" spans="3:13" ht="12.75" customHeight="1" x14ac:dyDescent="0.2">
      <c r="C4870"/>
      <c r="M4870"/>
    </row>
    <row r="4871" spans="3:13" ht="12.75" customHeight="1" x14ac:dyDescent="0.2">
      <c r="C4871"/>
      <c r="M4871"/>
    </row>
    <row r="4872" spans="3:13" ht="12.75" customHeight="1" x14ac:dyDescent="0.2">
      <c r="C4872"/>
      <c r="M4872"/>
    </row>
    <row r="4873" spans="3:13" ht="12.75" customHeight="1" x14ac:dyDescent="0.2">
      <c r="C4873"/>
      <c r="M4873"/>
    </row>
    <row r="4874" spans="3:13" ht="12.75" customHeight="1" x14ac:dyDescent="0.2">
      <c r="C4874"/>
      <c r="M4874"/>
    </row>
    <row r="4875" spans="3:13" ht="12.75" customHeight="1" x14ac:dyDescent="0.2">
      <c r="C4875"/>
      <c r="M4875"/>
    </row>
    <row r="4876" spans="3:13" ht="12.75" customHeight="1" x14ac:dyDescent="0.2">
      <c r="C4876"/>
      <c r="M4876"/>
    </row>
    <row r="4877" spans="3:13" ht="12.75" customHeight="1" x14ac:dyDescent="0.2">
      <c r="C4877"/>
      <c r="M4877"/>
    </row>
    <row r="4878" spans="3:13" ht="12.75" customHeight="1" x14ac:dyDescent="0.2">
      <c r="C4878"/>
      <c r="M4878"/>
    </row>
    <row r="4879" spans="3:13" ht="12.75" customHeight="1" x14ac:dyDescent="0.2">
      <c r="C4879"/>
      <c r="M4879"/>
    </row>
    <row r="4880" spans="3:13" ht="12.75" customHeight="1" x14ac:dyDescent="0.2">
      <c r="C4880"/>
      <c r="M4880"/>
    </row>
    <row r="4881" spans="3:13" ht="12.75" customHeight="1" x14ac:dyDescent="0.2">
      <c r="C4881"/>
      <c r="M4881"/>
    </row>
    <row r="4882" spans="3:13" ht="12.75" customHeight="1" x14ac:dyDescent="0.2">
      <c r="C4882"/>
      <c r="M4882"/>
    </row>
    <row r="4883" spans="3:13" ht="12.75" customHeight="1" x14ac:dyDescent="0.2">
      <c r="C4883"/>
      <c r="M4883"/>
    </row>
    <row r="4884" spans="3:13" ht="12.75" customHeight="1" x14ac:dyDescent="0.2">
      <c r="C4884"/>
      <c r="M4884"/>
    </row>
    <row r="4885" spans="3:13" ht="12.75" customHeight="1" x14ac:dyDescent="0.2">
      <c r="C4885"/>
      <c r="M4885"/>
    </row>
    <row r="4886" spans="3:13" ht="12.75" customHeight="1" x14ac:dyDescent="0.2">
      <c r="C4886"/>
      <c r="M4886"/>
    </row>
    <row r="4887" spans="3:13" ht="12.75" customHeight="1" x14ac:dyDescent="0.2">
      <c r="C4887"/>
      <c r="M4887"/>
    </row>
    <row r="4888" spans="3:13" ht="12.75" customHeight="1" x14ac:dyDescent="0.2">
      <c r="C4888"/>
      <c r="M4888"/>
    </row>
    <row r="4889" spans="3:13" ht="12.75" customHeight="1" x14ac:dyDescent="0.2">
      <c r="C4889"/>
      <c r="M4889"/>
    </row>
    <row r="4890" spans="3:13" ht="12.75" customHeight="1" x14ac:dyDescent="0.2">
      <c r="C4890"/>
      <c r="M4890"/>
    </row>
    <row r="4891" spans="3:13" ht="12.75" customHeight="1" x14ac:dyDescent="0.2">
      <c r="C4891"/>
      <c r="M4891"/>
    </row>
    <row r="4892" spans="3:13" ht="12.75" customHeight="1" x14ac:dyDescent="0.2">
      <c r="C4892"/>
      <c r="M4892"/>
    </row>
    <row r="4893" spans="3:13" ht="12.75" customHeight="1" x14ac:dyDescent="0.2">
      <c r="C4893"/>
      <c r="M4893"/>
    </row>
    <row r="4894" spans="3:13" ht="12.75" customHeight="1" x14ac:dyDescent="0.2">
      <c r="C4894"/>
      <c r="M4894"/>
    </row>
    <row r="4895" spans="3:13" ht="12.75" customHeight="1" x14ac:dyDescent="0.2">
      <c r="C4895"/>
      <c r="M4895"/>
    </row>
    <row r="4896" spans="3:13" ht="12.75" customHeight="1" x14ac:dyDescent="0.2">
      <c r="C4896"/>
      <c r="M4896"/>
    </row>
    <row r="4897" spans="3:13" ht="12.75" customHeight="1" x14ac:dyDescent="0.2">
      <c r="C4897"/>
      <c r="M4897"/>
    </row>
    <row r="4898" spans="3:13" ht="12.75" customHeight="1" x14ac:dyDescent="0.2">
      <c r="C4898"/>
      <c r="M4898"/>
    </row>
    <row r="4899" spans="3:13" ht="12.75" customHeight="1" x14ac:dyDescent="0.2">
      <c r="C4899"/>
      <c r="M4899"/>
    </row>
    <row r="4900" spans="3:13" ht="12.75" customHeight="1" x14ac:dyDescent="0.2">
      <c r="C4900"/>
      <c r="M4900"/>
    </row>
    <row r="4901" spans="3:13" ht="12.75" customHeight="1" x14ac:dyDescent="0.2">
      <c r="C4901"/>
      <c r="M4901"/>
    </row>
    <row r="4902" spans="3:13" ht="12.75" customHeight="1" x14ac:dyDescent="0.2">
      <c r="C4902"/>
      <c r="M4902"/>
    </row>
    <row r="4903" spans="3:13" ht="12.75" customHeight="1" x14ac:dyDescent="0.2">
      <c r="C4903"/>
      <c r="M4903"/>
    </row>
    <row r="4904" spans="3:13" ht="12.75" customHeight="1" x14ac:dyDescent="0.2">
      <c r="C4904"/>
      <c r="M4904"/>
    </row>
    <row r="4905" spans="3:13" ht="12.75" customHeight="1" x14ac:dyDescent="0.2">
      <c r="C4905"/>
      <c r="M4905"/>
    </row>
    <row r="4906" spans="3:13" ht="12.75" customHeight="1" x14ac:dyDescent="0.2">
      <c r="C4906"/>
      <c r="M4906"/>
    </row>
    <row r="4907" spans="3:13" ht="12.75" customHeight="1" x14ac:dyDescent="0.2">
      <c r="C4907"/>
      <c r="M4907"/>
    </row>
    <row r="4908" spans="3:13" ht="12.75" customHeight="1" x14ac:dyDescent="0.2">
      <c r="C4908"/>
      <c r="M4908"/>
    </row>
    <row r="4909" spans="3:13" ht="12.75" customHeight="1" x14ac:dyDescent="0.2">
      <c r="C4909"/>
      <c r="M4909"/>
    </row>
    <row r="4910" spans="3:13" ht="12.75" customHeight="1" x14ac:dyDescent="0.2">
      <c r="C4910"/>
      <c r="M4910"/>
    </row>
    <row r="4911" spans="3:13" ht="12.75" customHeight="1" x14ac:dyDescent="0.2">
      <c r="C4911"/>
      <c r="M4911"/>
    </row>
    <row r="4912" spans="3:13" ht="12.75" customHeight="1" x14ac:dyDescent="0.2">
      <c r="C4912"/>
      <c r="M4912"/>
    </row>
    <row r="4913" spans="3:13" ht="12.75" customHeight="1" x14ac:dyDescent="0.2">
      <c r="C4913"/>
      <c r="M4913"/>
    </row>
    <row r="4914" spans="3:13" ht="12.75" customHeight="1" x14ac:dyDescent="0.2">
      <c r="C4914"/>
      <c r="M4914"/>
    </row>
    <row r="4915" spans="3:13" ht="12.75" customHeight="1" x14ac:dyDescent="0.2">
      <c r="C4915"/>
      <c r="M4915"/>
    </row>
    <row r="4916" spans="3:13" ht="12.75" customHeight="1" x14ac:dyDescent="0.2">
      <c r="C4916"/>
      <c r="M4916"/>
    </row>
    <row r="4917" spans="3:13" ht="12.75" customHeight="1" x14ac:dyDescent="0.2">
      <c r="C4917"/>
      <c r="M4917"/>
    </row>
    <row r="4918" spans="3:13" ht="12.75" customHeight="1" x14ac:dyDescent="0.2">
      <c r="C4918"/>
      <c r="M4918"/>
    </row>
    <row r="4919" spans="3:13" ht="12.75" customHeight="1" x14ac:dyDescent="0.2">
      <c r="C4919"/>
      <c r="M4919"/>
    </row>
    <row r="4920" spans="3:13" ht="12.75" customHeight="1" x14ac:dyDescent="0.2">
      <c r="C4920"/>
      <c r="M4920"/>
    </row>
    <row r="4921" spans="3:13" ht="12.75" customHeight="1" x14ac:dyDescent="0.2">
      <c r="C4921"/>
      <c r="M4921"/>
    </row>
    <row r="4922" spans="3:13" ht="12.75" customHeight="1" x14ac:dyDescent="0.2">
      <c r="C4922"/>
      <c r="M4922"/>
    </row>
    <row r="4923" spans="3:13" ht="12.75" customHeight="1" x14ac:dyDescent="0.2">
      <c r="C4923"/>
      <c r="M4923"/>
    </row>
    <row r="4924" spans="3:13" ht="12.75" customHeight="1" x14ac:dyDescent="0.2">
      <c r="C4924"/>
      <c r="M4924"/>
    </row>
    <row r="4925" spans="3:13" ht="12.75" customHeight="1" x14ac:dyDescent="0.2">
      <c r="C4925"/>
      <c r="M4925"/>
    </row>
    <row r="4926" spans="3:13" ht="12.75" customHeight="1" x14ac:dyDescent="0.2">
      <c r="C4926"/>
      <c r="M4926"/>
    </row>
    <row r="4927" spans="3:13" ht="12.75" customHeight="1" x14ac:dyDescent="0.2">
      <c r="C4927"/>
      <c r="M4927"/>
    </row>
    <row r="4928" spans="3:13" ht="12.75" customHeight="1" x14ac:dyDescent="0.2">
      <c r="C4928"/>
      <c r="M4928"/>
    </row>
    <row r="4929" spans="3:13" ht="12.75" customHeight="1" x14ac:dyDescent="0.2">
      <c r="C4929"/>
      <c r="M4929"/>
    </row>
    <row r="4930" spans="3:13" ht="12.75" customHeight="1" x14ac:dyDescent="0.2">
      <c r="C4930"/>
      <c r="M4930"/>
    </row>
    <row r="4931" spans="3:13" ht="12.75" customHeight="1" x14ac:dyDescent="0.2">
      <c r="C4931"/>
      <c r="M4931"/>
    </row>
    <row r="4932" spans="3:13" ht="12.75" customHeight="1" x14ac:dyDescent="0.2">
      <c r="C4932"/>
      <c r="M4932"/>
    </row>
    <row r="4933" spans="3:13" ht="12.75" customHeight="1" x14ac:dyDescent="0.2">
      <c r="C4933"/>
      <c r="M4933"/>
    </row>
    <row r="4934" spans="3:13" ht="12.75" customHeight="1" x14ac:dyDescent="0.2">
      <c r="C4934"/>
      <c r="M4934"/>
    </row>
    <row r="4935" spans="3:13" ht="12.75" customHeight="1" x14ac:dyDescent="0.2">
      <c r="C4935"/>
      <c r="M4935"/>
    </row>
    <row r="4936" spans="3:13" ht="12.75" customHeight="1" x14ac:dyDescent="0.2">
      <c r="C4936"/>
      <c r="M4936"/>
    </row>
    <row r="4937" spans="3:13" ht="12.75" customHeight="1" x14ac:dyDescent="0.2">
      <c r="C4937"/>
      <c r="M4937"/>
    </row>
    <row r="4938" spans="3:13" ht="12.75" customHeight="1" x14ac:dyDescent="0.2">
      <c r="C4938"/>
      <c r="M4938"/>
    </row>
    <row r="4939" spans="3:13" ht="12.75" customHeight="1" x14ac:dyDescent="0.2">
      <c r="C4939"/>
      <c r="M4939"/>
    </row>
    <row r="4940" spans="3:13" ht="12.75" customHeight="1" x14ac:dyDescent="0.2">
      <c r="C4940"/>
      <c r="M4940"/>
    </row>
    <row r="4941" spans="3:13" ht="12.75" customHeight="1" x14ac:dyDescent="0.2">
      <c r="C4941"/>
      <c r="M4941"/>
    </row>
    <row r="4942" spans="3:13" ht="12.75" customHeight="1" x14ac:dyDescent="0.2">
      <c r="C4942"/>
      <c r="M4942"/>
    </row>
    <row r="4943" spans="3:13" ht="12.75" customHeight="1" x14ac:dyDescent="0.2">
      <c r="C4943"/>
      <c r="M4943"/>
    </row>
    <row r="4944" spans="3:13" ht="12.75" customHeight="1" x14ac:dyDescent="0.2">
      <c r="C4944"/>
      <c r="M4944"/>
    </row>
    <row r="4945" spans="3:13" ht="12.75" customHeight="1" x14ac:dyDescent="0.2">
      <c r="C4945"/>
      <c r="M4945"/>
    </row>
    <row r="4946" spans="3:13" ht="12.75" customHeight="1" x14ac:dyDescent="0.2">
      <c r="C4946"/>
      <c r="M4946"/>
    </row>
    <row r="4947" spans="3:13" ht="12.75" customHeight="1" x14ac:dyDescent="0.2">
      <c r="C4947"/>
      <c r="M4947"/>
    </row>
    <row r="4948" spans="3:13" ht="12.75" customHeight="1" x14ac:dyDescent="0.2">
      <c r="C4948"/>
      <c r="M4948"/>
    </row>
    <row r="4949" spans="3:13" ht="12.75" customHeight="1" x14ac:dyDescent="0.2">
      <c r="C4949"/>
      <c r="M4949"/>
    </row>
    <row r="4950" spans="3:13" ht="12.75" customHeight="1" x14ac:dyDescent="0.2">
      <c r="C4950"/>
      <c r="M4950"/>
    </row>
    <row r="4951" spans="3:13" ht="12.75" customHeight="1" x14ac:dyDescent="0.2">
      <c r="C4951"/>
      <c r="M4951"/>
    </row>
    <row r="4952" spans="3:13" ht="12.75" customHeight="1" x14ac:dyDescent="0.2">
      <c r="C4952"/>
      <c r="M4952"/>
    </row>
    <row r="4953" spans="3:13" ht="12.75" customHeight="1" x14ac:dyDescent="0.2">
      <c r="C4953"/>
      <c r="M4953"/>
    </row>
    <row r="4954" spans="3:13" ht="12.75" customHeight="1" x14ac:dyDescent="0.2">
      <c r="C4954"/>
      <c r="M4954"/>
    </row>
    <row r="4955" spans="3:13" ht="12.75" customHeight="1" x14ac:dyDescent="0.2">
      <c r="C4955"/>
      <c r="M4955"/>
    </row>
    <row r="4956" spans="3:13" ht="12.75" customHeight="1" x14ac:dyDescent="0.2">
      <c r="C4956"/>
      <c r="M4956"/>
    </row>
    <row r="4957" spans="3:13" ht="12.75" customHeight="1" x14ac:dyDescent="0.2">
      <c r="C4957"/>
      <c r="M4957"/>
    </row>
    <row r="4958" spans="3:13" ht="12.75" customHeight="1" x14ac:dyDescent="0.2">
      <c r="C4958"/>
      <c r="M4958"/>
    </row>
    <row r="4959" spans="3:13" ht="12.75" customHeight="1" x14ac:dyDescent="0.2">
      <c r="C4959"/>
      <c r="M4959"/>
    </row>
    <row r="4960" spans="3:13" ht="12.75" customHeight="1" x14ac:dyDescent="0.2">
      <c r="C4960"/>
      <c r="M4960"/>
    </row>
    <row r="4961" spans="3:13" ht="12.75" customHeight="1" x14ac:dyDescent="0.2">
      <c r="C4961"/>
      <c r="M4961"/>
    </row>
    <row r="4962" spans="3:13" ht="12.75" customHeight="1" x14ac:dyDescent="0.2">
      <c r="C4962"/>
      <c r="M4962"/>
    </row>
    <row r="4963" spans="3:13" ht="12.75" customHeight="1" x14ac:dyDescent="0.2">
      <c r="C4963"/>
      <c r="M4963"/>
    </row>
    <row r="4964" spans="3:13" ht="12.75" customHeight="1" x14ac:dyDescent="0.2">
      <c r="C4964"/>
      <c r="M4964"/>
    </row>
    <row r="4965" spans="3:13" ht="12.75" customHeight="1" x14ac:dyDescent="0.2">
      <c r="C4965"/>
      <c r="M4965"/>
    </row>
    <row r="4966" spans="3:13" ht="12.75" customHeight="1" x14ac:dyDescent="0.2">
      <c r="C4966"/>
      <c r="M4966"/>
    </row>
    <row r="4967" spans="3:13" ht="12.75" customHeight="1" x14ac:dyDescent="0.2">
      <c r="C4967"/>
      <c r="M4967"/>
    </row>
    <row r="4968" spans="3:13" ht="12.75" customHeight="1" x14ac:dyDescent="0.2">
      <c r="C4968"/>
      <c r="M4968"/>
    </row>
    <row r="4978" spans="3:13" ht="12.75" customHeight="1" x14ac:dyDescent="0.2">
      <c r="C4978"/>
      <c r="M4978"/>
    </row>
    <row r="4979" spans="3:13" ht="12.75" customHeight="1" x14ac:dyDescent="0.2">
      <c r="C4979"/>
      <c r="M4979"/>
    </row>
    <row r="4980" spans="3:13" ht="12.75" customHeight="1" x14ac:dyDescent="0.2">
      <c r="C4980"/>
      <c r="M4980"/>
    </row>
    <row r="4981" spans="3:13" ht="12.75" customHeight="1" x14ac:dyDescent="0.2">
      <c r="C4981"/>
      <c r="M4981"/>
    </row>
    <row r="61639" spans="3:13" ht="12.75" customHeight="1" x14ac:dyDescent="0.2">
      <c r="C61639"/>
      <c r="M61639"/>
    </row>
    <row r="61655" spans="3:13" ht="12.75" customHeight="1" x14ac:dyDescent="0.2">
      <c r="C61655"/>
      <c r="M61655"/>
    </row>
    <row r="61671" spans="3:13" ht="12.75" customHeight="1" x14ac:dyDescent="0.2">
      <c r="C61671"/>
      <c r="M61671"/>
    </row>
    <row r="61687" spans="3:13" ht="12.75" customHeight="1" x14ac:dyDescent="0.2">
      <c r="C61687"/>
      <c r="M61687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3" spans="3:13" ht="12.75" customHeight="1" x14ac:dyDescent="0.2">
      <c r="C61703"/>
      <c r="M6170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9" spans="3:13" ht="12.75" customHeight="1" x14ac:dyDescent="0.2">
      <c r="C61719"/>
      <c r="M6171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5" spans="3:13" ht="12.75" customHeight="1" x14ac:dyDescent="0.2">
      <c r="C61735"/>
      <c r="M6173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1" spans="3:13" ht="12.75" customHeight="1" x14ac:dyDescent="0.2">
      <c r="C61751"/>
      <c r="M6175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7" spans="3:13" ht="12.75" customHeight="1" x14ac:dyDescent="0.2">
      <c r="C61767"/>
      <c r="M6176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3" spans="3:13" ht="12.75" customHeight="1" x14ac:dyDescent="0.2">
      <c r="C61783"/>
      <c r="M6178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9" spans="3:13" ht="12.75" customHeight="1" x14ac:dyDescent="0.2">
      <c r="C61799"/>
      <c r="M6179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5" spans="3:13" ht="12.75" customHeight="1" x14ac:dyDescent="0.2">
      <c r="C61815"/>
      <c r="M6181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1" spans="3:13" ht="12.75" customHeight="1" x14ac:dyDescent="0.2">
      <c r="C61831"/>
      <c r="M61831"/>
    </row>
    <row r="61839" spans="3:13" ht="12.75" customHeight="1" x14ac:dyDescent="0.2">
      <c r="C61839"/>
      <c r="M61839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7" spans="3:13" ht="12.75" customHeight="1" x14ac:dyDescent="0.2">
      <c r="C61847"/>
      <c r="M61847"/>
    </row>
    <row r="61855" spans="3:13" ht="12.75" customHeight="1" x14ac:dyDescent="0.2">
      <c r="C61855"/>
      <c r="M61855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3" spans="3:13" ht="12.75" customHeight="1" x14ac:dyDescent="0.2">
      <c r="C61863"/>
      <c r="M61863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9" spans="3:13" ht="12.75" customHeight="1" x14ac:dyDescent="0.2">
      <c r="C61879"/>
      <c r="M61879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5" spans="3:13" ht="12.75" customHeight="1" x14ac:dyDescent="0.2">
      <c r="C61895"/>
      <c r="M61895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1" spans="3:13" ht="12.75" customHeight="1" x14ac:dyDescent="0.2">
      <c r="C61911"/>
      <c r="M61911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  <row r="65326" spans="3:13" ht="12.75" customHeight="1" x14ac:dyDescent="0.2">
      <c r="C65326"/>
      <c r="M65326"/>
    </row>
    <row r="65327" spans="3:13" ht="12.75" customHeight="1" x14ac:dyDescent="0.2">
      <c r="C65327"/>
      <c r="M65327"/>
    </row>
    <row r="65328" spans="3:13" ht="12.75" customHeight="1" x14ac:dyDescent="0.2">
      <c r="C65328"/>
      <c r="M65328"/>
    </row>
    <row r="65329" spans="3:13" ht="12.75" customHeight="1" x14ac:dyDescent="0.2">
      <c r="C65329"/>
      <c r="M65329"/>
    </row>
    <row r="65330" spans="3:13" ht="12.75" customHeight="1" x14ac:dyDescent="0.2">
      <c r="C65330"/>
      <c r="M65330"/>
    </row>
    <row r="65331" spans="3:13" ht="12.75" customHeight="1" x14ac:dyDescent="0.2">
      <c r="C65331"/>
      <c r="M65331"/>
    </row>
    <row r="65332" spans="3:13" ht="12.75" customHeight="1" x14ac:dyDescent="0.2">
      <c r="C65332"/>
      <c r="M65332"/>
    </row>
    <row r="65333" spans="3:13" ht="12.75" customHeight="1" x14ac:dyDescent="0.2">
      <c r="C65333"/>
      <c r="M65333"/>
    </row>
    <row r="65334" spans="3:13" ht="12.75" customHeight="1" x14ac:dyDescent="0.2">
      <c r="C65334"/>
      <c r="M65334"/>
    </row>
    <row r="65335" spans="3:13" ht="12.75" customHeight="1" x14ac:dyDescent="0.2">
      <c r="C65335"/>
      <c r="M65335"/>
    </row>
    <row r="65336" spans="3:13" ht="12.75" customHeight="1" x14ac:dyDescent="0.2">
      <c r="C65336"/>
      <c r="M65336"/>
    </row>
    <row r="65337" spans="3:13" ht="12.75" customHeight="1" x14ac:dyDescent="0.2">
      <c r="C65337"/>
      <c r="M65337"/>
    </row>
    <row r="65338" spans="3:13" ht="12.75" customHeight="1" x14ac:dyDescent="0.2">
      <c r="C65338"/>
      <c r="M65338"/>
    </row>
    <row r="65339" spans="3:13" ht="12.75" customHeight="1" x14ac:dyDescent="0.2">
      <c r="C65339"/>
      <c r="M65339"/>
    </row>
    <row r="65340" spans="3:13" ht="12.75" customHeight="1" x14ac:dyDescent="0.2">
      <c r="C65340"/>
      <c r="M65340"/>
    </row>
    <row r="65341" spans="3:13" ht="12.75" customHeight="1" x14ac:dyDescent="0.2">
      <c r="C65341"/>
      <c r="M65341"/>
    </row>
    <row r="65342" spans="3:13" ht="12.75" customHeight="1" x14ac:dyDescent="0.2">
      <c r="C65342"/>
      <c r="M65342"/>
    </row>
    <row r="65343" spans="3:13" ht="12.75" customHeight="1" x14ac:dyDescent="0.2">
      <c r="C65343"/>
      <c r="M65343"/>
    </row>
    <row r="65344" spans="3:13" ht="12.75" customHeight="1" x14ac:dyDescent="0.2">
      <c r="C65344"/>
      <c r="M65344"/>
    </row>
    <row r="65345" spans="3:13" ht="12.75" customHeight="1" x14ac:dyDescent="0.2">
      <c r="C65345"/>
      <c r="M65345"/>
    </row>
    <row r="65346" spans="3:13" ht="12.75" customHeight="1" x14ac:dyDescent="0.2">
      <c r="C65346"/>
      <c r="M65346"/>
    </row>
    <row r="65347" spans="3:13" ht="12.75" customHeight="1" x14ac:dyDescent="0.2">
      <c r="C65347"/>
      <c r="M65347"/>
    </row>
    <row r="65348" spans="3:13" ht="12.75" customHeight="1" x14ac:dyDescent="0.2">
      <c r="C65348"/>
      <c r="M65348"/>
    </row>
    <row r="65349" spans="3:13" ht="12.75" customHeight="1" x14ac:dyDescent="0.2">
      <c r="C65349"/>
      <c r="M65349"/>
    </row>
    <row r="65350" spans="3:13" ht="12.75" customHeight="1" x14ac:dyDescent="0.2">
      <c r="C65350"/>
      <c r="M65350"/>
    </row>
    <row r="65351" spans="3:13" ht="12.75" customHeight="1" x14ac:dyDescent="0.2">
      <c r="C65351"/>
      <c r="M65351"/>
    </row>
    <row r="65352" spans="3:13" ht="12.75" customHeight="1" x14ac:dyDescent="0.2">
      <c r="C65352"/>
      <c r="M65352"/>
    </row>
    <row r="65353" spans="3:13" ht="12.75" customHeight="1" x14ac:dyDescent="0.2">
      <c r="C65353"/>
      <c r="M65353"/>
    </row>
    <row r="65354" spans="3:13" ht="12.75" customHeight="1" x14ac:dyDescent="0.2">
      <c r="C65354"/>
      <c r="M65354"/>
    </row>
    <row r="65355" spans="3:13" ht="12.75" customHeight="1" x14ac:dyDescent="0.2">
      <c r="C65355"/>
      <c r="M65355"/>
    </row>
    <row r="65356" spans="3:13" ht="12.75" customHeight="1" x14ac:dyDescent="0.2">
      <c r="C65356"/>
      <c r="M65356"/>
    </row>
    <row r="65357" spans="3:13" ht="12.75" customHeight="1" x14ac:dyDescent="0.2">
      <c r="C65357"/>
      <c r="M65357"/>
    </row>
    <row r="65358" spans="3:13" ht="12.75" customHeight="1" x14ac:dyDescent="0.2">
      <c r="C65358"/>
      <c r="M65358"/>
    </row>
    <row r="65359" spans="3:13" ht="12.75" customHeight="1" x14ac:dyDescent="0.2">
      <c r="C65359"/>
      <c r="M65359"/>
    </row>
    <row r="65360" spans="3:13" ht="12.75" customHeight="1" x14ac:dyDescent="0.2">
      <c r="C65360"/>
      <c r="M65360"/>
    </row>
    <row r="65361" spans="3:13" ht="12.75" customHeight="1" x14ac:dyDescent="0.2">
      <c r="C65361"/>
      <c r="M65361"/>
    </row>
    <row r="65362" spans="3:13" ht="12.75" customHeight="1" x14ac:dyDescent="0.2">
      <c r="C65362"/>
      <c r="M65362"/>
    </row>
    <row r="65363" spans="3:13" ht="12.75" customHeight="1" x14ac:dyDescent="0.2">
      <c r="C65363"/>
      <c r="M65363"/>
    </row>
    <row r="65364" spans="3:13" ht="12.75" customHeight="1" x14ac:dyDescent="0.2">
      <c r="C65364"/>
      <c r="M65364"/>
    </row>
    <row r="65365" spans="3:13" ht="12.75" customHeight="1" x14ac:dyDescent="0.2">
      <c r="C65365"/>
      <c r="M65365"/>
    </row>
    <row r="65366" spans="3:13" ht="12.75" customHeight="1" x14ac:dyDescent="0.2">
      <c r="C65366"/>
      <c r="M65366"/>
    </row>
    <row r="65367" spans="3:13" ht="12.75" customHeight="1" x14ac:dyDescent="0.2">
      <c r="C65367"/>
      <c r="M65367"/>
    </row>
    <row r="65368" spans="3:13" ht="12.75" customHeight="1" x14ac:dyDescent="0.2">
      <c r="C65368"/>
      <c r="M65368"/>
    </row>
    <row r="65369" spans="3:13" ht="12.75" customHeight="1" x14ac:dyDescent="0.2">
      <c r="C65369"/>
      <c r="M65369"/>
    </row>
    <row r="65370" spans="3:13" ht="12.75" customHeight="1" x14ac:dyDescent="0.2">
      <c r="C65370"/>
      <c r="M65370"/>
    </row>
    <row r="65371" spans="3:13" ht="12.75" customHeight="1" x14ac:dyDescent="0.2">
      <c r="C65371"/>
      <c r="M65371"/>
    </row>
    <row r="65372" spans="3:13" ht="12.75" customHeight="1" x14ac:dyDescent="0.2">
      <c r="C65372"/>
      <c r="M65372"/>
    </row>
    <row r="65373" spans="3:13" ht="12.75" customHeight="1" x14ac:dyDescent="0.2">
      <c r="C65373"/>
      <c r="M65373"/>
    </row>
    <row r="65374" spans="3:13" ht="12.75" customHeight="1" x14ac:dyDescent="0.2">
      <c r="C65374"/>
      <c r="M65374"/>
    </row>
    <row r="65375" spans="3:13" ht="12.75" customHeight="1" x14ac:dyDescent="0.2">
      <c r="C65375"/>
      <c r="M65375"/>
    </row>
    <row r="65376" spans="3:13" ht="12.75" customHeight="1" x14ac:dyDescent="0.2">
      <c r="C65376"/>
      <c r="M65376"/>
    </row>
    <row r="65377" spans="3:13" ht="12.75" customHeight="1" x14ac:dyDescent="0.2">
      <c r="C65377"/>
      <c r="M65377"/>
    </row>
    <row r="65378" spans="3:13" ht="12.75" customHeight="1" x14ac:dyDescent="0.2">
      <c r="C65378"/>
      <c r="M65378"/>
    </row>
    <row r="65379" spans="3:13" ht="12.75" customHeight="1" x14ac:dyDescent="0.2">
      <c r="C65379"/>
      <c r="M65379"/>
    </row>
    <row r="65380" spans="3:13" ht="12.75" customHeight="1" x14ac:dyDescent="0.2">
      <c r="C65380"/>
      <c r="M65380"/>
    </row>
    <row r="65381" spans="3:13" ht="12.75" customHeight="1" x14ac:dyDescent="0.2">
      <c r="C65381"/>
      <c r="M65381"/>
    </row>
    <row r="65382" spans="3:13" ht="12.75" customHeight="1" x14ac:dyDescent="0.2">
      <c r="C65382"/>
      <c r="M65382"/>
    </row>
    <row r="65383" spans="3:13" ht="12.75" customHeight="1" x14ac:dyDescent="0.2">
      <c r="C65383"/>
      <c r="M65383"/>
    </row>
    <row r="65384" spans="3:13" ht="12.75" customHeight="1" x14ac:dyDescent="0.2">
      <c r="C65384"/>
      <c r="M65384"/>
    </row>
    <row r="65385" spans="3:13" ht="12.75" customHeight="1" x14ac:dyDescent="0.2">
      <c r="C65385"/>
      <c r="M65385"/>
    </row>
    <row r="65386" spans="3:13" ht="12.75" customHeight="1" x14ac:dyDescent="0.2">
      <c r="C65386"/>
      <c r="M65386"/>
    </row>
    <row r="65387" spans="3:13" ht="12.75" customHeight="1" x14ac:dyDescent="0.2">
      <c r="C65387"/>
      <c r="M65387"/>
    </row>
    <row r="65388" spans="3:13" ht="12.75" customHeight="1" x14ac:dyDescent="0.2">
      <c r="C65388"/>
      <c r="M65388"/>
    </row>
    <row r="65389" spans="3:13" ht="12.75" customHeight="1" x14ac:dyDescent="0.2">
      <c r="C65389"/>
      <c r="M65389"/>
    </row>
    <row r="65390" spans="3:13" ht="12.75" customHeight="1" x14ac:dyDescent="0.2">
      <c r="C65390"/>
      <c r="M65390"/>
    </row>
    <row r="65391" spans="3:13" ht="12.75" customHeight="1" x14ac:dyDescent="0.2">
      <c r="C65391"/>
      <c r="M65391"/>
    </row>
    <row r="65392" spans="3:13" ht="12.75" customHeight="1" x14ac:dyDescent="0.2">
      <c r="C65392"/>
      <c r="M65392"/>
    </row>
    <row r="65393" spans="3:13" ht="12.75" customHeight="1" x14ac:dyDescent="0.2">
      <c r="C65393"/>
      <c r="M65393"/>
    </row>
    <row r="65394" spans="3:13" ht="12.75" customHeight="1" x14ac:dyDescent="0.2">
      <c r="C65394"/>
      <c r="M65394"/>
    </row>
    <row r="65395" spans="3:13" ht="12.75" customHeight="1" x14ac:dyDescent="0.2">
      <c r="C65395"/>
      <c r="M65395"/>
    </row>
    <row r="65396" spans="3:13" ht="12.75" customHeight="1" x14ac:dyDescent="0.2">
      <c r="C65396"/>
      <c r="M65396"/>
    </row>
    <row r="65397" spans="3:13" ht="12.75" customHeight="1" x14ac:dyDescent="0.2">
      <c r="C65397"/>
      <c r="M65397"/>
    </row>
    <row r="65398" spans="3:13" ht="12.75" customHeight="1" x14ac:dyDescent="0.2">
      <c r="C65398"/>
      <c r="M65398"/>
    </row>
    <row r="65399" spans="3:13" ht="12.75" customHeight="1" x14ac:dyDescent="0.2">
      <c r="C65399"/>
      <c r="M65399"/>
    </row>
    <row r="65400" spans="3:13" ht="12.75" customHeight="1" x14ac:dyDescent="0.2">
      <c r="C65400"/>
      <c r="M65400"/>
    </row>
    <row r="65401" spans="3:13" ht="12.75" customHeight="1" x14ac:dyDescent="0.2">
      <c r="C65401"/>
      <c r="M65401"/>
    </row>
    <row r="65402" spans="3:13" ht="12.75" customHeight="1" x14ac:dyDescent="0.2">
      <c r="C65402"/>
      <c r="M65402"/>
    </row>
    <row r="65403" spans="3:13" ht="12.75" customHeight="1" x14ac:dyDescent="0.2">
      <c r="C65403"/>
      <c r="M65403"/>
    </row>
    <row r="65404" spans="3:13" ht="12.75" customHeight="1" x14ac:dyDescent="0.2">
      <c r="C65404"/>
      <c r="M65404"/>
    </row>
    <row r="65405" spans="3:13" ht="12.75" customHeight="1" x14ac:dyDescent="0.2">
      <c r="C65405"/>
      <c r="M65405"/>
    </row>
    <row r="65406" spans="3:13" ht="12.75" customHeight="1" x14ac:dyDescent="0.2">
      <c r="C65406"/>
      <c r="M65406"/>
    </row>
    <row r="65407" spans="3:13" ht="12.75" customHeight="1" x14ac:dyDescent="0.2">
      <c r="C65407"/>
      <c r="M65407"/>
    </row>
    <row r="65408" spans="3:13" ht="12.75" customHeight="1" x14ac:dyDescent="0.2">
      <c r="C65408"/>
      <c r="M65408"/>
    </row>
    <row r="65409" spans="3:13" ht="12.75" customHeight="1" x14ac:dyDescent="0.2">
      <c r="C65409"/>
      <c r="M65409"/>
    </row>
    <row r="65410" spans="3:13" ht="12.75" customHeight="1" x14ac:dyDescent="0.2">
      <c r="C65410"/>
      <c r="M65410"/>
    </row>
    <row r="65411" spans="3:13" ht="12.75" customHeight="1" x14ac:dyDescent="0.2">
      <c r="C65411"/>
      <c r="M65411"/>
    </row>
    <row r="65412" spans="3:13" ht="12.75" customHeight="1" x14ac:dyDescent="0.2">
      <c r="C65412"/>
      <c r="M65412"/>
    </row>
    <row r="65413" spans="3:13" ht="12.75" customHeight="1" x14ac:dyDescent="0.2">
      <c r="C65413"/>
      <c r="M65413"/>
    </row>
    <row r="65414" spans="3:13" ht="12.75" customHeight="1" x14ac:dyDescent="0.2">
      <c r="C65414"/>
      <c r="M65414"/>
    </row>
    <row r="65415" spans="3:13" ht="12.75" customHeight="1" x14ac:dyDescent="0.2">
      <c r="C65415"/>
      <c r="M65415"/>
    </row>
    <row r="65416" spans="3:13" ht="12.75" customHeight="1" x14ac:dyDescent="0.2">
      <c r="C65416"/>
      <c r="M65416"/>
    </row>
    <row r="65417" spans="3:13" ht="12.75" customHeight="1" x14ac:dyDescent="0.2">
      <c r="C65417"/>
      <c r="M65417"/>
    </row>
    <row r="65418" spans="3:13" ht="12.75" customHeight="1" x14ac:dyDescent="0.2">
      <c r="C65418"/>
      <c r="M65418"/>
    </row>
    <row r="65419" spans="3:13" ht="12.75" customHeight="1" x14ac:dyDescent="0.2">
      <c r="C65419"/>
      <c r="M65419"/>
    </row>
    <row r="65420" spans="3:13" ht="12.75" customHeight="1" x14ac:dyDescent="0.2">
      <c r="C65420"/>
      <c r="M65420"/>
    </row>
    <row r="65421" spans="3:13" ht="12.75" customHeight="1" x14ac:dyDescent="0.2">
      <c r="C65421"/>
      <c r="M65421"/>
    </row>
    <row r="65422" spans="3:13" ht="12.75" customHeight="1" x14ac:dyDescent="0.2">
      <c r="C65422"/>
      <c r="M65422"/>
    </row>
    <row r="65423" spans="3:13" ht="12.75" customHeight="1" x14ac:dyDescent="0.2">
      <c r="C65423"/>
      <c r="M65423"/>
    </row>
    <row r="65424" spans="3:13" ht="12.75" customHeight="1" x14ac:dyDescent="0.2">
      <c r="C65424"/>
      <c r="M65424"/>
    </row>
    <row r="65425" spans="3:13" ht="12.75" customHeight="1" x14ac:dyDescent="0.2">
      <c r="C65425"/>
      <c r="M65425"/>
    </row>
    <row r="65426" spans="3:13" ht="12.75" customHeight="1" x14ac:dyDescent="0.2">
      <c r="C65426"/>
      <c r="M65426"/>
    </row>
    <row r="65427" spans="3:13" ht="12.75" customHeight="1" x14ac:dyDescent="0.2">
      <c r="C65427"/>
      <c r="M65427"/>
    </row>
    <row r="65428" spans="3:13" ht="12.75" customHeight="1" x14ac:dyDescent="0.2">
      <c r="C65428"/>
      <c r="M65428"/>
    </row>
    <row r="65429" spans="3:13" ht="12.75" customHeight="1" x14ac:dyDescent="0.2">
      <c r="C65429"/>
      <c r="M65429"/>
    </row>
    <row r="65430" spans="3:13" ht="12.75" customHeight="1" x14ac:dyDescent="0.2">
      <c r="C65430"/>
      <c r="M65430"/>
    </row>
    <row r="65431" spans="3:13" ht="12.75" customHeight="1" x14ac:dyDescent="0.2">
      <c r="C65431"/>
      <c r="M65431"/>
    </row>
    <row r="65432" spans="3:13" ht="12.75" customHeight="1" x14ac:dyDescent="0.2">
      <c r="C65432"/>
      <c r="M65432"/>
    </row>
    <row r="65433" spans="3:13" ht="12.75" customHeight="1" x14ac:dyDescent="0.2">
      <c r="C65433"/>
      <c r="M65433"/>
    </row>
    <row r="65434" spans="3:13" ht="12.75" customHeight="1" x14ac:dyDescent="0.2">
      <c r="C65434"/>
      <c r="M65434"/>
    </row>
    <row r="65435" spans="3:13" ht="12.75" customHeight="1" x14ac:dyDescent="0.2">
      <c r="C65435"/>
      <c r="M65435"/>
    </row>
    <row r="65436" spans="3:13" ht="12.75" customHeight="1" x14ac:dyDescent="0.2">
      <c r="C65436"/>
      <c r="M65436"/>
    </row>
    <row r="65437" spans="3:13" ht="12.75" customHeight="1" x14ac:dyDescent="0.2">
      <c r="C65437"/>
      <c r="M65437"/>
    </row>
    <row r="65438" spans="3:13" ht="12.75" customHeight="1" x14ac:dyDescent="0.2">
      <c r="C65438"/>
      <c r="M65438"/>
    </row>
    <row r="65439" spans="3:13" ht="12.75" customHeight="1" x14ac:dyDescent="0.2">
      <c r="C65439"/>
      <c r="M65439"/>
    </row>
    <row r="65440" spans="3:13" ht="12.75" customHeight="1" x14ac:dyDescent="0.2">
      <c r="C65440"/>
      <c r="M65440"/>
    </row>
    <row r="65441" spans="3:13" ht="12.75" customHeight="1" x14ac:dyDescent="0.2">
      <c r="C65441"/>
      <c r="M65441"/>
    </row>
    <row r="65442" spans="3:13" ht="12.75" customHeight="1" x14ac:dyDescent="0.2">
      <c r="C65442"/>
      <c r="M65442"/>
    </row>
    <row r="65443" spans="3:13" ht="12.75" customHeight="1" x14ac:dyDescent="0.2">
      <c r="C65443"/>
      <c r="M65443"/>
    </row>
    <row r="65444" spans="3:13" ht="12.75" customHeight="1" x14ac:dyDescent="0.2">
      <c r="C65444"/>
      <c r="M65444"/>
    </row>
    <row r="65445" spans="3:13" ht="12.75" customHeight="1" x14ac:dyDescent="0.2">
      <c r="C65445"/>
      <c r="M65445"/>
    </row>
    <row r="65446" spans="3:13" ht="12.75" customHeight="1" x14ac:dyDescent="0.2">
      <c r="C65446"/>
      <c r="M65446"/>
    </row>
    <row r="65447" spans="3:13" ht="12.75" customHeight="1" x14ac:dyDescent="0.2">
      <c r="C65447"/>
      <c r="M65447"/>
    </row>
    <row r="65448" spans="3:13" ht="12.75" customHeight="1" x14ac:dyDescent="0.2">
      <c r="C65448"/>
      <c r="M65448"/>
    </row>
    <row r="65449" spans="3:13" ht="12.75" customHeight="1" x14ac:dyDescent="0.2">
      <c r="C65449"/>
      <c r="M65449"/>
    </row>
    <row r="65450" spans="3:13" ht="12.75" customHeight="1" x14ac:dyDescent="0.2">
      <c r="C65450"/>
      <c r="M65450"/>
    </row>
    <row r="65451" spans="3:13" ht="12.75" customHeight="1" x14ac:dyDescent="0.2">
      <c r="C65451"/>
      <c r="M65451"/>
    </row>
    <row r="65452" spans="3:13" ht="12.75" customHeight="1" x14ac:dyDescent="0.2">
      <c r="C65452"/>
      <c r="M65452"/>
    </row>
    <row r="65453" spans="3:13" ht="12.75" customHeight="1" x14ac:dyDescent="0.2">
      <c r="C65453"/>
      <c r="M65453"/>
    </row>
    <row r="65454" spans="3:13" ht="12.75" customHeight="1" x14ac:dyDescent="0.2">
      <c r="C65454"/>
      <c r="M65454"/>
    </row>
    <row r="65455" spans="3:13" ht="12.75" customHeight="1" x14ac:dyDescent="0.2">
      <c r="C65455"/>
      <c r="M65455"/>
    </row>
    <row r="65456" spans="3:13" ht="12.75" customHeight="1" x14ac:dyDescent="0.2">
      <c r="C65456"/>
      <c r="M65456"/>
    </row>
    <row r="65457" spans="3:13" ht="12.75" customHeight="1" x14ac:dyDescent="0.2">
      <c r="C65457"/>
      <c r="M65457"/>
    </row>
    <row r="65458" spans="3:13" ht="12.75" customHeight="1" x14ac:dyDescent="0.2">
      <c r="C65458"/>
      <c r="M65458"/>
    </row>
    <row r="65459" spans="3:13" ht="12.75" customHeight="1" x14ac:dyDescent="0.2">
      <c r="C65459"/>
      <c r="M65459"/>
    </row>
    <row r="65460" spans="3:13" ht="12.75" customHeight="1" x14ac:dyDescent="0.2">
      <c r="C65460"/>
      <c r="M65460"/>
    </row>
    <row r="65461" spans="3:13" ht="12.75" customHeight="1" x14ac:dyDescent="0.2">
      <c r="C65461"/>
      <c r="M65461"/>
    </row>
    <row r="65462" spans="3:13" ht="12.75" customHeight="1" x14ac:dyDescent="0.2">
      <c r="C65462"/>
      <c r="M65462"/>
    </row>
    <row r="65463" spans="3:13" ht="12.75" customHeight="1" x14ac:dyDescent="0.2">
      <c r="C65463"/>
      <c r="M65463"/>
    </row>
    <row r="65464" spans="3:13" ht="12.75" customHeight="1" x14ac:dyDescent="0.2">
      <c r="C65464"/>
      <c r="M65464"/>
    </row>
    <row r="65465" spans="3:13" ht="12.75" customHeight="1" x14ac:dyDescent="0.2">
      <c r="C65465"/>
      <c r="M65465"/>
    </row>
    <row r="65466" spans="3:13" ht="12.75" customHeight="1" x14ac:dyDescent="0.2">
      <c r="C65466"/>
      <c r="M65466"/>
    </row>
    <row r="65467" spans="3:13" ht="12.75" customHeight="1" x14ac:dyDescent="0.2">
      <c r="C65467"/>
      <c r="M65467"/>
    </row>
    <row r="65468" spans="3:13" ht="12.75" customHeight="1" x14ac:dyDescent="0.2">
      <c r="C65468"/>
      <c r="M65468"/>
    </row>
    <row r="65469" spans="3:13" ht="12.75" customHeight="1" x14ac:dyDescent="0.2">
      <c r="C65469"/>
      <c r="M65469"/>
    </row>
    <row r="65470" spans="3:13" ht="12.75" customHeight="1" x14ac:dyDescent="0.2">
      <c r="C65470"/>
      <c r="M65470"/>
    </row>
    <row r="65471" spans="3:13" ht="12.75" customHeight="1" x14ac:dyDescent="0.2">
      <c r="C65471"/>
      <c r="M65471"/>
    </row>
    <row r="65472" spans="3:13" ht="12.75" customHeight="1" x14ac:dyDescent="0.2">
      <c r="C65472"/>
      <c r="M65472"/>
    </row>
    <row r="65473" spans="3:13" ht="12.75" customHeight="1" x14ac:dyDescent="0.2">
      <c r="C65473"/>
      <c r="M65473"/>
    </row>
    <row r="65474" spans="3:13" ht="12.75" customHeight="1" x14ac:dyDescent="0.2">
      <c r="C65474"/>
      <c r="M65474"/>
    </row>
    <row r="65475" spans="3:13" ht="12.75" customHeight="1" x14ac:dyDescent="0.2">
      <c r="C65475"/>
      <c r="M65475"/>
    </row>
    <row r="65476" spans="3:13" ht="12.75" customHeight="1" x14ac:dyDescent="0.2">
      <c r="C65476"/>
      <c r="M65476"/>
    </row>
    <row r="65477" spans="3:13" ht="12.75" customHeight="1" x14ac:dyDescent="0.2">
      <c r="C65477"/>
      <c r="M65477"/>
    </row>
    <row r="65478" spans="3:13" ht="12.75" customHeight="1" x14ac:dyDescent="0.2">
      <c r="C65478"/>
      <c r="M65478"/>
    </row>
    <row r="65479" spans="3:13" ht="12.75" customHeight="1" x14ac:dyDescent="0.2">
      <c r="C65479"/>
      <c r="M65479"/>
    </row>
    <row r="65480" spans="3:13" ht="12.75" customHeight="1" x14ac:dyDescent="0.2">
      <c r="C65480"/>
      <c r="M65480"/>
    </row>
    <row r="65481" spans="3:13" ht="12.75" customHeight="1" x14ac:dyDescent="0.2">
      <c r="C65481"/>
      <c r="M65481"/>
    </row>
    <row r="65482" spans="3:13" ht="12.75" customHeight="1" x14ac:dyDescent="0.2">
      <c r="C65482"/>
      <c r="M65482"/>
    </row>
    <row r="65483" spans="3:13" ht="12.75" customHeight="1" x14ac:dyDescent="0.2">
      <c r="C65483"/>
      <c r="M65483"/>
    </row>
    <row r="65484" spans="3:13" ht="12.75" customHeight="1" x14ac:dyDescent="0.2">
      <c r="C65484"/>
      <c r="M65484"/>
    </row>
    <row r="65485" spans="3:13" ht="12.75" customHeight="1" x14ac:dyDescent="0.2">
      <c r="C65485"/>
      <c r="M65485"/>
    </row>
    <row r="65486" spans="3:13" ht="12.75" customHeight="1" x14ac:dyDescent="0.2">
      <c r="C65486"/>
      <c r="M65486"/>
    </row>
    <row r="65487" spans="3:13" ht="12.75" customHeight="1" x14ac:dyDescent="0.2">
      <c r="C65487"/>
      <c r="M65487"/>
    </row>
    <row r="65488" spans="3:13" ht="12.75" customHeight="1" x14ac:dyDescent="0.2">
      <c r="C65488"/>
      <c r="M65488"/>
    </row>
    <row r="65489" spans="3:13" ht="12.75" customHeight="1" x14ac:dyDescent="0.2">
      <c r="C65489"/>
      <c r="M65489"/>
    </row>
    <row r="65490" spans="3:13" ht="12.75" customHeight="1" x14ac:dyDescent="0.2">
      <c r="C65490"/>
      <c r="M65490"/>
    </row>
    <row r="65491" spans="3:13" ht="12.75" customHeight="1" x14ac:dyDescent="0.2">
      <c r="C65491"/>
      <c r="M65491"/>
    </row>
    <row r="65492" spans="3:13" ht="12.75" customHeight="1" x14ac:dyDescent="0.2">
      <c r="C65492"/>
      <c r="M65492"/>
    </row>
    <row r="65493" spans="3:13" ht="12.75" customHeight="1" x14ac:dyDescent="0.2">
      <c r="C65493"/>
      <c r="M65493"/>
    </row>
    <row r="65494" spans="3:13" ht="12.75" customHeight="1" x14ac:dyDescent="0.2">
      <c r="C65494"/>
      <c r="M65494"/>
    </row>
    <row r="65495" spans="3:13" ht="12.75" customHeight="1" x14ac:dyDescent="0.2">
      <c r="C65495"/>
      <c r="M65495"/>
    </row>
    <row r="65496" spans="3:13" ht="12.75" customHeight="1" x14ac:dyDescent="0.2">
      <c r="C65496"/>
      <c r="M65496"/>
    </row>
    <row r="65497" spans="3:13" ht="12.75" customHeight="1" x14ac:dyDescent="0.2">
      <c r="C65497"/>
      <c r="M65497"/>
    </row>
    <row r="65498" spans="3:13" ht="12.75" customHeight="1" x14ac:dyDescent="0.2">
      <c r="C65498"/>
      <c r="M65498"/>
    </row>
    <row r="65499" spans="3:13" ht="12.75" customHeight="1" x14ac:dyDescent="0.2">
      <c r="C65499"/>
      <c r="M65499"/>
    </row>
    <row r="65500" spans="3:13" ht="12.75" customHeight="1" x14ac:dyDescent="0.2">
      <c r="C65500"/>
      <c r="M65500"/>
    </row>
    <row r="65501" spans="3:13" ht="12.75" customHeight="1" x14ac:dyDescent="0.2">
      <c r="C65501"/>
      <c r="M65501"/>
    </row>
    <row r="65502" spans="3:13" ht="12.75" customHeight="1" x14ac:dyDescent="0.2">
      <c r="C65502"/>
      <c r="M65502"/>
    </row>
    <row r="65503" spans="3:13" ht="12.75" customHeight="1" x14ac:dyDescent="0.2">
      <c r="C65503"/>
      <c r="M65503"/>
    </row>
    <row r="65504" spans="3:13" ht="12.75" customHeight="1" x14ac:dyDescent="0.2">
      <c r="C65504"/>
      <c r="M65504"/>
    </row>
    <row r="65505" spans="3:13" ht="12.75" customHeight="1" x14ac:dyDescent="0.2">
      <c r="C65505"/>
      <c r="M65505"/>
    </row>
    <row r="65506" spans="3:13" ht="12.75" customHeight="1" x14ac:dyDescent="0.2">
      <c r="C65506"/>
      <c r="M65506"/>
    </row>
    <row r="65507" spans="3:13" ht="12.75" customHeight="1" x14ac:dyDescent="0.2">
      <c r="C65507"/>
      <c r="M65507"/>
    </row>
    <row r="65508" spans="3:13" ht="12.75" customHeight="1" x14ac:dyDescent="0.2">
      <c r="C65508"/>
      <c r="M65508"/>
    </row>
    <row r="65509" spans="3:13" ht="12.75" customHeight="1" x14ac:dyDescent="0.2">
      <c r="C65509"/>
      <c r="M65509"/>
    </row>
    <row r="65510" spans="3:13" ht="12.75" customHeight="1" x14ac:dyDescent="0.2">
      <c r="C65510"/>
      <c r="M65510"/>
    </row>
    <row r="65511" spans="3:13" ht="12.75" customHeight="1" x14ac:dyDescent="0.2">
      <c r="C65511"/>
      <c r="M65511"/>
    </row>
    <row r="65512" spans="3:13" ht="12.75" customHeight="1" x14ac:dyDescent="0.2">
      <c r="C65512"/>
      <c r="M65512"/>
    </row>
    <row r="65513" spans="3:13" ht="12.75" customHeight="1" x14ac:dyDescent="0.2">
      <c r="C65513"/>
      <c r="M65513"/>
    </row>
    <row r="65514" spans="3:13" ht="12.75" customHeight="1" x14ac:dyDescent="0.2">
      <c r="C65514"/>
      <c r="M65514"/>
    </row>
    <row r="65515" spans="3:13" ht="12.75" customHeight="1" x14ac:dyDescent="0.2">
      <c r="C65515"/>
      <c r="M65515"/>
    </row>
    <row r="65516" spans="3:13" ht="12.75" customHeight="1" x14ac:dyDescent="0.2">
      <c r="C65516"/>
      <c r="M65516"/>
    </row>
    <row r="65517" spans="3:13" ht="12.75" customHeight="1" x14ac:dyDescent="0.2">
      <c r="C65517"/>
      <c r="M65517"/>
    </row>
    <row r="65518" spans="3:13" ht="12.75" customHeight="1" x14ac:dyDescent="0.2">
      <c r="C65518"/>
      <c r="M65518"/>
    </row>
    <row r="65519" spans="3:13" ht="12.75" customHeight="1" x14ac:dyDescent="0.2">
      <c r="C65519"/>
      <c r="M65519"/>
    </row>
    <row r="65520" spans="3:13" ht="12.75" customHeight="1" x14ac:dyDescent="0.2">
      <c r="C65520"/>
      <c r="M65520"/>
    </row>
    <row r="65521" spans="3:13" ht="12.75" customHeight="1" x14ac:dyDescent="0.2">
      <c r="C65521"/>
      <c r="M65521"/>
    </row>
    <row r="65522" spans="3:13" ht="12.75" customHeight="1" x14ac:dyDescent="0.2">
      <c r="C65522"/>
      <c r="M65522"/>
    </row>
    <row r="65523" spans="3:13" ht="12.75" customHeight="1" x14ac:dyDescent="0.2">
      <c r="C65523"/>
      <c r="M65523"/>
    </row>
    <row r="65524" spans="3:13" ht="12.75" customHeight="1" x14ac:dyDescent="0.2">
      <c r="C65524"/>
      <c r="M65524"/>
    </row>
    <row r="65525" spans="3:13" ht="12.75" customHeight="1" x14ac:dyDescent="0.2">
      <c r="C65525"/>
      <c r="M65525"/>
    </row>
    <row r="65526" spans="3:13" ht="12.75" customHeight="1" x14ac:dyDescent="0.2">
      <c r="C65526"/>
      <c r="M65526"/>
    </row>
    <row r="65527" spans="3:13" ht="12.75" customHeight="1" x14ac:dyDescent="0.2">
      <c r="C65527"/>
      <c r="M65527"/>
    </row>
    <row r="65528" spans="3:13" ht="12.75" customHeight="1" x14ac:dyDescent="0.2">
      <c r="C65528"/>
      <c r="M65528"/>
    </row>
    <row r="65529" spans="3:13" ht="12.75" customHeight="1" x14ac:dyDescent="0.2">
      <c r="C65529"/>
      <c r="M65529"/>
    </row>
    <row r="65530" spans="3:13" ht="12.75" customHeight="1" x14ac:dyDescent="0.2">
      <c r="C65530"/>
      <c r="M65530"/>
    </row>
    <row r="65531" spans="3:13" ht="12.75" customHeight="1" x14ac:dyDescent="0.2">
      <c r="C65531"/>
      <c r="M65531"/>
    </row>
    <row r="65532" spans="3:13" ht="12.75" customHeight="1" x14ac:dyDescent="0.2">
      <c r="C65532"/>
      <c r="M65532"/>
    </row>
    <row r="65533" spans="3:13" ht="12.75" customHeight="1" x14ac:dyDescent="0.2">
      <c r="C65533"/>
      <c r="M65533"/>
    </row>
    <row r="65534" spans="3:13" ht="12.75" customHeight="1" x14ac:dyDescent="0.2">
      <c r="C65534"/>
      <c r="M65534"/>
    </row>
    <row r="65535" spans="3:13" ht="12.75" customHeight="1" x14ac:dyDescent="0.2">
      <c r="C65535"/>
      <c r="M65535"/>
    </row>
    <row r="65536" spans="3:13" ht="12.75" customHeight="1" x14ac:dyDescent="0.2">
      <c r="C65536"/>
      <c r="M65536"/>
    </row>
    <row r="65537" spans="3:13" ht="12.75" customHeight="1" x14ac:dyDescent="0.2">
      <c r="C65537"/>
      <c r="M65537"/>
    </row>
    <row r="65538" spans="3:13" ht="12.75" customHeight="1" x14ac:dyDescent="0.2">
      <c r="C65538"/>
      <c r="M65538"/>
    </row>
    <row r="65539" spans="3:13" ht="12.75" customHeight="1" x14ac:dyDescent="0.2">
      <c r="C65539"/>
      <c r="M65539"/>
    </row>
    <row r="65540" spans="3:13" ht="12.75" customHeight="1" x14ac:dyDescent="0.2">
      <c r="C65540"/>
      <c r="M65540"/>
    </row>
    <row r="65541" spans="3:13" ht="12.75" customHeight="1" x14ac:dyDescent="0.2">
      <c r="C65541"/>
      <c r="M65541"/>
    </row>
    <row r="65542" spans="3:13" ht="12.75" customHeight="1" x14ac:dyDescent="0.2">
      <c r="C65542"/>
      <c r="M65542"/>
    </row>
    <row r="65543" spans="3:13" ht="12.75" customHeight="1" x14ac:dyDescent="0.2">
      <c r="C65543"/>
      <c r="M65543"/>
    </row>
    <row r="65544" spans="3:13" ht="12.75" customHeight="1" x14ac:dyDescent="0.2">
      <c r="C65544"/>
      <c r="M65544"/>
    </row>
    <row r="65545" spans="3:13" ht="12.75" customHeight="1" x14ac:dyDescent="0.2">
      <c r="C65545"/>
      <c r="M65545"/>
    </row>
    <row r="65546" spans="3:13" ht="12.75" customHeight="1" x14ac:dyDescent="0.2">
      <c r="C65546"/>
      <c r="M65546"/>
    </row>
    <row r="65547" spans="3:13" ht="12.75" customHeight="1" x14ac:dyDescent="0.2">
      <c r="C65547"/>
      <c r="M65547"/>
    </row>
    <row r="65548" spans="3:13" ht="12.75" customHeight="1" x14ac:dyDescent="0.2">
      <c r="C65548"/>
      <c r="M65548"/>
    </row>
    <row r="65549" spans="3:13" ht="12.75" customHeight="1" x14ac:dyDescent="0.2">
      <c r="C65549"/>
      <c r="M65549"/>
    </row>
    <row r="65550" spans="3:13" ht="12.75" customHeight="1" x14ac:dyDescent="0.2">
      <c r="C65550"/>
      <c r="M65550"/>
    </row>
    <row r="65551" spans="3:13" ht="12.75" customHeight="1" x14ac:dyDescent="0.2">
      <c r="C65551"/>
      <c r="M65551"/>
    </row>
    <row r="65552" spans="3:13" ht="12.75" customHeight="1" x14ac:dyDescent="0.2">
      <c r="C65552"/>
      <c r="M65552"/>
    </row>
    <row r="65553" spans="3:13" ht="12.75" customHeight="1" x14ac:dyDescent="0.2">
      <c r="C65553"/>
      <c r="M65553"/>
    </row>
    <row r="65554" spans="3:13" ht="12.75" customHeight="1" x14ac:dyDescent="0.2">
      <c r="C65554"/>
      <c r="M65554"/>
    </row>
    <row r="65555" spans="3:13" ht="12.75" customHeight="1" x14ac:dyDescent="0.2">
      <c r="C65555"/>
      <c r="M65555"/>
    </row>
    <row r="65556" spans="3:13" ht="12.75" customHeight="1" x14ac:dyDescent="0.2">
      <c r="C65556"/>
      <c r="M65556"/>
    </row>
    <row r="65557" spans="3:13" ht="12.75" customHeight="1" x14ac:dyDescent="0.2">
      <c r="C65557"/>
      <c r="M65557"/>
    </row>
    <row r="65558" spans="3:13" ht="12.75" customHeight="1" x14ac:dyDescent="0.2">
      <c r="C65558"/>
      <c r="M65558"/>
    </row>
    <row r="65559" spans="3:13" ht="12.75" customHeight="1" x14ac:dyDescent="0.2">
      <c r="C65559"/>
      <c r="M65559"/>
    </row>
    <row r="65560" spans="3:13" ht="12.75" customHeight="1" x14ac:dyDescent="0.2">
      <c r="C65560"/>
      <c r="M65560"/>
    </row>
    <row r="65561" spans="3:13" ht="12.75" customHeight="1" x14ac:dyDescent="0.2">
      <c r="C65561"/>
      <c r="M65561"/>
    </row>
    <row r="65562" spans="3:13" ht="12.75" customHeight="1" x14ac:dyDescent="0.2">
      <c r="C65562"/>
      <c r="M65562"/>
    </row>
    <row r="65563" spans="3:13" ht="12.75" customHeight="1" x14ac:dyDescent="0.2">
      <c r="C65563"/>
      <c r="M65563"/>
    </row>
    <row r="65564" spans="3:13" ht="12.75" customHeight="1" x14ac:dyDescent="0.2">
      <c r="C65564"/>
      <c r="M65564"/>
    </row>
    <row r="65565" spans="3:13" ht="12.75" customHeight="1" x14ac:dyDescent="0.2">
      <c r="C65565"/>
      <c r="M65565"/>
    </row>
    <row r="65566" spans="3:13" ht="12.75" customHeight="1" x14ac:dyDescent="0.2">
      <c r="C65566"/>
      <c r="M65566"/>
    </row>
    <row r="65567" spans="3:13" ht="12.75" customHeight="1" x14ac:dyDescent="0.2">
      <c r="C65567"/>
      <c r="M65567"/>
    </row>
    <row r="65568" spans="3:13" ht="12.75" customHeight="1" x14ac:dyDescent="0.2">
      <c r="C65568"/>
      <c r="M65568"/>
    </row>
    <row r="65569" spans="3:13" ht="12.75" customHeight="1" x14ac:dyDescent="0.2">
      <c r="C65569"/>
      <c r="M65569"/>
    </row>
    <row r="65570" spans="3:13" ht="12.75" customHeight="1" x14ac:dyDescent="0.2">
      <c r="C65570"/>
      <c r="M65570"/>
    </row>
    <row r="65571" spans="3:13" ht="12.75" customHeight="1" x14ac:dyDescent="0.2">
      <c r="C65571"/>
      <c r="M65571"/>
    </row>
    <row r="65572" spans="3:13" ht="12.75" customHeight="1" x14ac:dyDescent="0.2">
      <c r="C65572"/>
      <c r="M65572"/>
    </row>
    <row r="65573" spans="3:13" ht="12.75" customHeight="1" x14ac:dyDescent="0.2">
      <c r="C65573"/>
      <c r="M65573"/>
    </row>
    <row r="65574" spans="3:13" ht="12.75" customHeight="1" x14ac:dyDescent="0.2">
      <c r="C65574"/>
      <c r="M65574"/>
    </row>
    <row r="65575" spans="3:13" ht="12.75" customHeight="1" x14ac:dyDescent="0.2">
      <c r="C65575"/>
      <c r="M65575"/>
    </row>
    <row r="65576" spans="3:13" ht="12.75" customHeight="1" x14ac:dyDescent="0.2">
      <c r="C65576"/>
      <c r="M65576"/>
    </row>
    <row r="65577" spans="3:13" ht="12.75" customHeight="1" x14ac:dyDescent="0.2">
      <c r="C65577"/>
      <c r="M65577"/>
    </row>
    <row r="65578" spans="3:13" ht="12.75" customHeight="1" x14ac:dyDescent="0.2">
      <c r="C65578"/>
      <c r="M65578"/>
    </row>
    <row r="65579" spans="3:13" ht="12.75" customHeight="1" x14ac:dyDescent="0.2">
      <c r="C65579"/>
      <c r="M65579"/>
    </row>
    <row r="65580" spans="3:13" ht="12.75" customHeight="1" x14ac:dyDescent="0.2">
      <c r="C65580"/>
      <c r="M65580"/>
    </row>
    <row r="65581" spans="3:13" ht="12.75" customHeight="1" x14ac:dyDescent="0.2">
      <c r="C65581"/>
      <c r="M65581"/>
    </row>
    <row r="65582" spans="3:13" ht="12.75" customHeight="1" x14ac:dyDescent="0.2">
      <c r="C65582"/>
      <c r="M65582"/>
    </row>
    <row r="65583" spans="3:13" ht="12.75" customHeight="1" x14ac:dyDescent="0.2">
      <c r="C65583"/>
      <c r="M65583"/>
    </row>
    <row r="65584" spans="3:13" ht="12.75" customHeight="1" x14ac:dyDescent="0.2">
      <c r="C65584"/>
      <c r="M65584"/>
    </row>
    <row r="65585" spans="3:13" ht="12.75" customHeight="1" x14ac:dyDescent="0.2">
      <c r="C65585"/>
      <c r="M65585"/>
    </row>
    <row r="65586" spans="3:13" ht="12.75" customHeight="1" x14ac:dyDescent="0.2">
      <c r="C65586"/>
      <c r="M65586"/>
    </row>
    <row r="65587" spans="3:13" ht="12.75" customHeight="1" x14ac:dyDescent="0.2">
      <c r="C65587"/>
      <c r="M65587"/>
    </row>
    <row r="65588" spans="3:13" ht="12.75" customHeight="1" x14ac:dyDescent="0.2">
      <c r="C65588"/>
      <c r="M65588"/>
    </row>
    <row r="65589" spans="3:13" ht="12.75" customHeight="1" x14ac:dyDescent="0.2">
      <c r="C65589"/>
      <c r="M65589"/>
    </row>
    <row r="65590" spans="3:13" ht="12.75" customHeight="1" x14ac:dyDescent="0.2">
      <c r="C65590"/>
      <c r="M65590"/>
    </row>
    <row r="65591" spans="3:13" ht="12.75" customHeight="1" x14ac:dyDescent="0.2">
      <c r="C65591"/>
      <c r="M65591"/>
    </row>
    <row r="65592" spans="3:13" ht="12.75" customHeight="1" x14ac:dyDescent="0.2">
      <c r="C65592"/>
      <c r="M65592"/>
    </row>
    <row r="65593" spans="3:13" ht="12.75" customHeight="1" x14ac:dyDescent="0.2">
      <c r="C65593"/>
      <c r="M65593"/>
    </row>
    <row r="65594" spans="3:13" ht="12.75" customHeight="1" x14ac:dyDescent="0.2">
      <c r="C65594"/>
      <c r="M65594"/>
    </row>
    <row r="65595" spans="3:13" ht="12.75" customHeight="1" x14ac:dyDescent="0.2">
      <c r="C65595"/>
      <c r="M65595"/>
    </row>
    <row r="65596" spans="3:13" ht="12.75" customHeight="1" x14ac:dyDescent="0.2">
      <c r="C65596"/>
      <c r="M65596"/>
    </row>
    <row r="65597" spans="3:13" ht="12.75" customHeight="1" x14ac:dyDescent="0.2">
      <c r="C65597"/>
      <c r="M65597"/>
    </row>
    <row r="65598" spans="3:13" ht="12.75" customHeight="1" x14ac:dyDescent="0.2">
      <c r="C65598"/>
      <c r="M65598"/>
    </row>
    <row r="65599" spans="3:13" ht="12.75" customHeight="1" x14ac:dyDescent="0.2">
      <c r="C65599"/>
      <c r="M65599"/>
    </row>
    <row r="65600" spans="3:13" ht="12.75" customHeight="1" x14ac:dyDescent="0.2">
      <c r="C65600"/>
      <c r="M65600"/>
    </row>
    <row r="65601" spans="3:13" ht="12.75" customHeight="1" x14ac:dyDescent="0.2">
      <c r="C65601"/>
      <c r="M65601"/>
    </row>
    <row r="65602" spans="3:13" ht="12.75" customHeight="1" x14ac:dyDescent="0.2">
      <c r="C65602"/>
      <c r="M65602"/>
    </row>
    <row r="65603" spans="3:13" ht="12.75" customHeight="1" x14ac:dyDescent="0.2">
      <c r="C65603"/>
      <c r="M65603"/>
    </row>
    <row r="65604" spans="3:13" ht="12.75" customHeight="1" x14ac:dyDescent="0.2">
      <c r="C65604"/>
      <c r="M65604"/>
    </row>
    <row r="65605" spans="3:13" ht="12.75" customHeight="1" x14ac:dyDescent="0.2">
      <c r="C65605"/>
      <c r="M65605"/>
    </row>
    <row r="65606" spans="3:13" ht="12.75" customHeight="1" x14ac:dyDescent="0.2">
      <c r="C65606"/>
      <c r="M65606"/>
    </row>
    <row r="65607" spans="3:13" ht="12.75" customHeight="1" x14ac:dyDescent="0.2">
      <c r="C65607"/>
      <c r="M65607"/>
    </row>
    <row r="65608" spans="3:13" ht="12.75" customHeight="1" x14ac:dyDescent="0.2">
      <c r="C65608"/>
      <c r="M65608"/>
    </row>
    <row r="65609" spans="3:13" ht="12.75" customHeight="1" x14ac:dyDescent="0.2">
      <c r="C65609"/>
      <c r="M65609"/>
    </row>
    <row r="65610" spans="3:13" ht="12.75" customHeight="1" x14ac:dyDescent="0.2">
      <c r="C65610"/>
      <c r="M65610"/>
    </row>
    <row r="65611" spans="3:13" ht="12.75" customHeight="1" x14ac:dyDescent="0.2">
      <c r="C65611"/>
      <c r="M65611"/>
    </row>
    <row r="65612" spans="3:13" ht="12.75" customHeight="1" x14ac:dyDescent="0.2">
      <c r="C65612"/>
      <c r="M65612"/>
    </row>
    <row r="65613" spans="3:13" ht="12.75" customHeight="1" x14ac:dyDescent="0.2">
      <c r="C65613"/>
      <c r="M65613"/>
    </row>
    <row r="65614" spans="3:13" ht="12.75" customHeight="1" x14ac:dyDescent="0.2">
      <c r="C65614"/>
      <c r="M65614"/>
    </row>
    <row r="65615" spans="3:13" ht="12.75" customHeight="1" x14ac:dyDescent="0.2">
      <c r="C65615"/>
      <c r="M65615"/>
    </row>
    <row r="65616" spans="3:13" ht="12.75" customHeight="1" x14ac:dyDescent="0.2">
      <c r="C65616"/>
      <c r="M65616"/>
    </row>
    <row r="65617" spans="3:13" ht="12.75" customHeight="1" x14ac:dyDescent="0.2">
      <c r="C65617"/>
      <c r="M65617"/>
    </row>
    <row r="65618" spans="3:13" ht="12.75" customHeight="1" x14ac:dyDescent="0.2">
      <c r="C65618"/>
      <c r="M65618"/>
    </row>
    <row r="65619" spans="3:13" ht="12.75" customHeight="1" x14ac:dyDescent="0.2">
      <c r="C65619"/>
      <c r="M65619"/>
    </row>
    <row r="65620" spans="3:13" ht="12.75" customHeight="1" x14ac:dyDescent="0.2">
      <c r="C65620"/>
      <c r="M65620"/>
    </row>
    <row r="65621" spans="3:13" ht="12.75" customHeight="1" x14ac:dyDescent="0.2">
      <c r="C65621"/>
      <c r="M65621"/>
    </row>
    <row r="65622" spans="3:13" ht="12.75" customHeight="1" x14ac:dyDescent="0.2">
      <c r="C65622"/>
      <c r="M65622"/>
    </row>
    <row r="65623" spans="3:13" ht="12.75" customHeight="1" x14ac:dyDescent="0.2">
      <c r="C65623"/>
      <c r="M65623"/>
    </row>
    <row r="65624" spans="3:13" ht="12.75" customHeight="1" x14ac:dyDescent="0.2">
      <c r="C65624"/>
      <c r="M65624"/>
    </row>
    <row r="65625" spans="3:13" ht="12.75" customHeight="1" x14ac:dyDescent="0.2">
      <c r="C65625"/>
      <c r="M65625"/>
    </row>
    <row r="65626" spans="3:13" ht="12.75" customHeight="1" x14ac:dyDescent="0.2">
      <c r="C65626"/>
      <c r="M65626"/>
    </row>
    <row r="65627" spans="3:13" ht="12.75" customHeight="1" x14ac:dyDescent="0.2">
      <c r="C65627"/>
      <c r="M65627"/>
    </row>
    <row r="65628" spans="3:13" ht="12.75" customHeight="1" x14ac:dyDescent="0.2">
      <c r="C65628"/>
      <c r="M65628"/>
    </row>
    <row r="65629" spans="3:13" ht="12.75" customHeight="1" x14ac:dyDescent="0.2">
      <c r="C65629"/>
      <c r="M65629"/>
    </row>
    <row r="65630" spans="3:13" ht="12.75" customHeight="1" x14ac:dyDescent="0.2">
      <c r="C65630"/>
      <c r="M65630"/>
    </row>
    <row r="65631" spans="3:13" ht="12.75" customHeight="1" x14ac:dyDescent="0.2">
      <c r="C65631"/>
      <c r="M65631"/>
    </row>
    <row r="65632" spans="3:13" ht="12.75" customHeight="1" x14ac:dyDescent="0.2">
      <c r="C65632"/>
      <c r="M65632"/>
    </row>
    <row r="65633" spans="3:13" ht="12.75" customHeight="1" x14ac:dyDescent="0.2">
      <c r="C65633"/>
      <c r="M65633"/>
    </row>
    <row r="65634" spans="3:13" ht="12.75" customHeight="1" x14ac:dyDescent="0.2">
      <c r="C65634"/>
      <c r="M65634"/>
    </row>
    <row r="65635" spans="3:13" ht="12.75" customHeight="1" x14ac:dyDescent="0.2">
      <c r="C65635"/>
      <c r="M65635"/>
    </row>
    <row r="65636" spans="3:13" ht="12.75" customHeight="1" x14ac:dyDescent="0.2">
      <c r="C65636"/>
      <c r="M65636"/>
    </row>
    <row r="65637" spans="3:13" ht="12.75" customHeight="1" x14ac:dyDescent="0.2">
      <c r="C65637"/>
      <c r="M65637"/>
    </row>
    <row r="65638" spans="3:13" ht="12.75" customHeight="1" x14ac:dyDescent="0.2">
      <c r="C65638"/>
      <c r="M65638"/>
    </row>
    <row r="65639" spans="3:13" ht="12.75" customHeight="1" x14ac:dyDescent="0.2">
      <c r="C65639"/>
      <c r="M65639"/>
    </row>
    <row r="65640" spans="3:13" ht="12.75" customHeight="1" x14ac:dyDescent="0.2">
      <c r="C65640"/>
      <c r="M65640"/>
    </row>
    <row r="65641" spans="3:13" ht="12.75" customHeight="1" x14ac:dyDescent="0.2">
      <c r="C65641"/>
      <c r="M65641"/>
    </row>
    <row r="65642" spans="3:13" ht="12.75" customHeight="1" x14ac:dyDescent="0.2">
      <c r="C65642"/>
      <c r="M65642"/>
    </row>
    <row r="65643" spans="3:13" ht="12.75" customHeight="1" x14ac:dyDescent="0.2">
      <c r="C65643"/>
      <c r="M65643"/>
    </row>
    <row r="65644" spans="3:13" ht="12.75" customHeight="1" x14ac:dyDescent="0.2">
      <c r="C65644"/>
      <c r="M65644"/>
    </row>
    <row r="65645" spans="3:13" ht="12.75" customHeight="1" x14ac:dyDescent="0.2">
      <c r="C65645"/>
      <c r="M65645"/>
    </row>
    <row r="65646" spans="3:13" ht="12.75" customHeight="1" x14ac:dyDescent="0.2">
      <c r="C65646"/>
      <c r="M65646"/>
    </row>
    <row r="65647" spans="3:13" ht="12.75" customHeight="1" x14ac:dyDescent="0.2">
      <c r="C65647"/>
      <c r="M65647"/>
    </row>
    <row r="65648" spans="3:13" ht="12.75" customHeight="1" x14ac:dyDescent="0.2">
      <c r="C65648"/>
      <c r="M65648"/>
    </row>
    <row r="65649" spans="3:13" ht="12.75" customHeight="1" x14ac:dyDescent="0.2">
      <c r="C65649"/>
      <c r="M65649"/>
    </row>
    <row r="65650" spans="3:13" ht="12.75" customHeight="1" x14ac:dyDescent="0.2">
      <c r="C65650"/>
      <c r="M65650"/>
    </row>
    <row r="65651" spans="3:13" ht="12.75" customHeight="1" x14ac:dyDescent="0.2">
      <c r="C65651"/>
      <c r="M65651"/>
    </row>
    <row r="65652" spans="3:13" ht="12.75" customHeight="1" x14ac:dyDescent="0.2">
      <c r="C65652"/>
      <c r="M65652"/>
    </row>
    <row r="65653" spans="3:13" ht="12.75" customHeight="1" x14ac:dyDescent="0.2">
      <c r="C65653"/>
      <c r="M65653"/>
    </row>
    <row r="65654" spans="3:13" ht="12.75" customHeight="1" x14ac:dyDescent="0.2">
      <c r="C65654"/>
      <c r="M65654"/>
    </row>
    <row r="65655" spans="3:13" ht="12.75" customHeight="1" x14ac:dyDescent="0.2">
      <c r="C65655"/>
      <c r="M65655"/>
    </row>
    <row r="65656" spans="3:13" ht="12.75" customHeight="1" x14ac:dyDescent="0.2">
      <c r="C65656"/>
      <c r="M65656"/>
    </row>
    <row r="65657" spans="3:13" ht="12.75" customHeight="1" x14ac:dyDescent="0.2">
      <c r="C65657"/>
      <c r="M65657"/>
    </row>
    <row r="65658" spans="3:13" ht="12.75" customHeight="1" x14ac:dyDescent="0.2">
      <c r="C65658"/>
      <c r="M65658"/>
    </row>
    <row r="65659" spans="3:13" ht="12.75" customHeight="1" x14ac:dyDescent="0.2">
      <c r="C65659"/>
      <c r="M65659"/>
    </row>
    <row r="65660" spans="3:13" ht="12.75" customHeight="1" x14ac:dyDescent="0.2">
      <c r="C65660"/>
      <c r="M65660"/>
    </row>
    <row r="65661" spans="3:13" ht="12.75" customHeight="1" x14ac:dyDescent="0.2">
      <c r="C65661"/>
      <c r="M65661"/>
    </row>
    <row r="65662" spans="3:13" ht="12.75" customHeight="1" x14ac:dyDescent="0.2">
      <c r="C65662"/>
      <c r="M65662"/>
    </row>
    <row r="65663" spans="3:13" ht="12.75" customHeight="1" x14ac:dyDescent="0.2">
      <c r="C65663"/>
      <c r="M65663"/>
    </row>
    <row r="65664" spans="3:13" ht="12.75" customHeight="1" x14ac:dyDescent="0.2">
      <c r="C65664"/>
      <c r="M65664"/>
    </row>
    <row r="65665" spans="3:13" ht="12.75" customHeight="1" x14ac:dyDescent="0.2">
      <c r="C65665"/>
      <c r="M65665"/>
    </row>
    <row r="65666" spans="3:13" ht="12.75" customHeight="1" x14ac:dyDescent="0.2">
      <c r="C65666"/>
      <c r="M65666"/>
    </row>
    <row r="65667" spans="3:13" ht="12.75" customHeight="1" x14ac:dyDescent="0.2">
      <c r="C65667"/>
      <c r="M65667"/>
    </row>
    <row r="65668" spans="3:13" ht="12.75" customHeight="1" x14ac:dyDescent="0.2">
      <c r="C65668"/>
      <c r="M65668"/>
    </row>
    <row r="65669" spans="3:13" ht="12.75" customHeight="1" x14ac:dyDescent="0.2">
      <c r="C65669"/>
      <c r="M65669"/>
    </row>
    <row r="65670" spans="3:13" ht="12.75" customHeight="1" x14ac:dyDescent="0.2">
      <c r="C65670"/>
      <c r="M65670"/>
    </row>
    <row r="65671" spans="3:13" ht="12.75" customHeight="1" x14ac:dyDescent="0.2">
      <c r="C65671"/>
      <c r="M65671"/>
    </row>
    <row r="65672" spans="3:13" ht="12.75" customHeight="1" x14ac:dyDescent="0.2">
      <c r="C65672"/>
      <c r="M65672"/>
    </row>
    <row r="65673" spans="3:13" ht="12.75" customHeight="1" x14ac:dyDescent="0.2">
      <c r="C65673"/>
      <c r="M65673"/>
    </row>
    <row r="65674" spans="3:13" ht="12.75" customHeight="1" x14ac:dyDescent="0.2">
      <c r="C65674"/>
      <c r="M65674"/>
    </row>
    <row r="65675" spans="3:13" ht="12.75" customHeight="1" x14ac:dyDescent="0.2">
      <c r="C65675"/>
      <c r="M65675"/>
    </row>
    <row r="65676" spans="3:13" ht="12.75" customHeight="1" x14ac:dyDescent="0.2">
      <c r="C65676"/>
      <c r="M65676"/>
    </row>
    <row r="65677" spans="3:13" ht="12.75" customHeight="1" x14ac:dyDescent="0.2">
      <c r="C65677"/>
      <c r="M65677"/>
    </row>
    <row r="65678" spans="3:13" ht="12.75" customHeight="1" x14ac:dyDescent="0.2">
      <c r="C65678"/>
      <c r="M65678"/>
    </row>
    <row r="65679" spans="3:13" ht="12.75" customHeight="1" x14ac:dyDescent="0.2">
      <c r="C65679"/>
      <c r="M65679"/>
    </row>
    <row r="65680" spans="3:13" ht="12.75" customHeight="1" x14ac:dyDescent="0.2">
      <c r="C65680"/>
      <c r="M65680"/>
    </row>
    <row r="65681" spans="3:13" ht="12.75" customHeight="1" x14ac:dyDescent="0.2">
      <c r="C65681"/>
      <c r="M65681"/>
    </row>
    <row r="65682" spans="3:13" ht="12.75" customHeight="1" x14ac:dyDescent="0.2">
      <c r="C65682"/>
      <c r="M65682"/>
    </row>
    <row r="65683" spans="3:13" ht="12.75" customHeight="1" x14ac:dyDescent="0.2">
      <c r="C65683"/>
      <c r="M65683"/>
    </row>
    <row r="65684" spans="3:13" ht="12.75" customHeight="1" x14ac:dyDescent="0.2">
      <c r="C65684"/>
      <c r="M65684"/>
    </row>
    <row r="65685" spans="3:13" ht="12.75" customHeight="1" x14ac:dyDescent="0.2">
      <c r="C65685"/>
      <c r="M65685"/>
    </row>
    <row r="65686" spans="3:13" ht="12.75" customHeight="1" x14ac:dyDescent="0.2">
      <c r="C65686"/>
      <c r="M65686"/>
    </row>
    <row r="65687" spans="3:13" ht="12.75" customHeight="1" x14ac:dyDescent="0.2">
      <c r="C65687"/>
      <c r="M65687"/>
    </row>
    <row r="65688" spans="3:13" ht="12.75" customHeight="1" x14ac:dyDescent="0.2">
      <c r="C65688"/>
      <c r="M65688"/>
    </row>
    <row r="65689" spans="3:13" ht="12.75" customHeight="1" x14ac:dyDescent="0.2">
      <c r="C65689"/>
      <c r="M65689"/>
    </row>
    <row r="65690" spans="3:13" ht="12.75" customHeight="1" x14ac:dyDescent="0.2">
      <c r="C65690"/>
      <c r="M65690"/>
    </row>
    <row r="65691" spans="3:13" ht="12.75" customHeight="1" x14ac:dyDescent="0.2">
      <c r="C65691"/>
      <c r="M65691"/>
    </row>
    <row r="65692" spans="3:13" ht="12.75" customHeight="1" x14ac:dyDescent="0.2">
      <c r="C65692"/>
      <c r="M65692"/>
    </row>
    <row r="65693" spans="3:13" ht="12.75" customHeight="1" x14ac:dyDescent="0.2">
      <c r="C65693"/>
      <c r="M65693"/>
    </row>
    <row r="65694" spans="3:13" ht="12.75" customHeight="1" x14ac:dyDescent="0.2">
      <c r="C65694"/>
      <c r="M65694"/>
    </row>
    <row r="65695" spans="3:13" ht="12.75" customHeight="1" x14ac:dyDescent="0.2">
      <c r="C65695"/>
      <c r="M65695"/>
    </row>
    <row r="65696" spans="3:13" ht="12.75" customHeight="1" x14ac:dyDescent="0.2">
      <c r="C65696"/>
      <c r="M65696"/>
    </row>
    <row r="65697" spans="3:13" ht="12.75" customHeight="1" x14ac:dyDescent="0.2">
      <c r="C65697"/>
      <c r="M65697"/>
    </row>
    <row r="65698" spans="3:13" ht="12.75" customHeight="1" x14ac:dyDescent="0.2">
      <c r="C65698"/>
      <c r="M65698"/>
    </row>
    <row r="65699" spans="3:13" ht="12.75" customHeight="1" x14ac:dyDescent="0.2">
      <c r="C65699"/>
      <c r="M65699"/>
    </row>
    <row r="65700" spans="3:13" ht="12.75" customHeight="1" x14ac:dyDescent="0.2">
      <c r="C65700"/>
      <c r="M65700"/>
    </row>
    <row r="65701" spans="3:13" ht="12.75" customHeight="1" x14ac:dyDescent="0.2">
      <c r="C65701"/>
      <c r="M65701"/>
    </row>
    <row r="65702" spans="3:13" ht="12.75" customHeight="1" x14ac:dyDescent="0.2">
      <c r="C65702"/>
      <c r="M65702"/>
    </row>
    <row r="65703" spans="3:13" ht="12.75" customHeight="1" x14ac:dyDescent="0.2">
      <c r="C65703"/>
      <c r="M65703"/>
    </row>
    <row r="65704" spans="3:13" ht="12.75" customHeight="1" x14ac:dyDescent="0.2">
      <c r="C65704"/>
      <c r="M65704"/>
    </row>
    <row r="65705" spans="3:13" ht="12.75" customHeight="1" x14ac:dyDescent="0.2">
      <c r="C65705"/>
      <c r="M65705"/>
    </row>
    <row r="65706" spans="3:13" ht="12.75" customHeight="1" x14ac:dyDescent="0.2">
      <c r="C65706"/>
      <c r="M65706"/>
    </row>
    <row r="65707" spans="3:13" ht="12.75" customHeight="1" x14ac:dyDescent="0.2">
      <c r="C65707"/>
      <c r="M65707"/>
    </row>
    <row r="65708" spans="3:13" ht="12.75" customHeight="1" x14ac:dyDescent="0.2">
      <c r="C65708"/>
      <c r="M65708"/>
    </row>
    <row r="65709" spans="3:13" ht="12.75" customHeight="1" x14ac:dyDescent="0.2">
      <c r="C65709"/>
      <c r="M65709"/>
    </row>
    <row r="65710" spans="3:13" ht="12.75" customHeight="1" x14ac:dyDescent="0.2">
      <c r="C65710"/>
      <c r="M65710"/>
    </row>
    <row r="65711" spans="3:13" ht="12.75" customHeight="1" x14ac:dyDescent="0.2">
      <c r="C65711"/>
      <c r="M65711"/>
    </row>
    <row r="65712" spans="3:13" ht="12.75" customHeight="1" x14ac:dyDescent="0.2">
      <c r="C65712"/>
      <c r="M65712"/>
    </row>
    <row r="65713" spans="3:13" ht="12.75" customHeight="1" x14ac:dyDescent="0.2">
      <c r="C65713"/>
      <c r="M65713"/>
    </row>
    <row r="65714" spans="3:13" ht="12.75" customHeight="1" x14ac:dyDescent="0.2">
      <c r="C65714"/>
      <c r="M65714"/>
    </row>
    <row r="65715" spans="3:13" ht="12.75" customHeight="1" x14ac:dyDescent="0.2">
      <c r="C65715"/>
      <c r="M65715"/>
    </row>
    <row r="65716" spans="3:13" ht="12.75" customHeight="1" x14ac:dyDescent="0.2">
      <c r="C65716"/>
      <c r="M65716"/>
    </row>
    <row r="65717" spans="3:13" ht="12.75" customHeight="1" x14ac:dyDescent="0.2">
      <c r="C65717"/>
      <c r="M65717"/>
    </row>
    <row r="65718" spans="3:13" ht="12.75" customHeight="1" x14ac:dyDescent="0.2">
      <c r="C65718"/>
      <c r="M65718"/>
    </row>
    <row r="65719" spans="3:13" ht="12.75" customHeight="1" x14ac:dyDescent="0.2">
      <c r="C65719"/>
      <c r="M65719"/>
    </row>
    <row r="65720" spans="3:13" ht="12.75" customHeight="1" x14ac:dyDescent="0.2">
      <c r="C65720"/>
      <c r="M65720"/>
    </row>
    <row r="65721" spans="3:13" ht="12.75" customHeight="1" x14ac:dyDescent="0.2">
      <c r="C65721"/>
      <c r="M65721"/>
    </row>
    <row r="65722" spans="3:13" ht="12.75" customHeight="1" x14ac:dyDescent="0.2">
      <c r="C65722"/>
      <c r="M65722"/>
    </row>
    <row r="65723" spans="3:13" ht="12.75" customHeight="1" x14ac:dyDescent="0.2">
      <c r="C65723"/>
      <c r="M65723"/>
    </row>
    <row r="65724" spans="3:13" ht="12.75" customHeight="1" x14ac:dyDescent="0.2">
      <c r="C65724"/>
      <c r="M65724"/>
    </row>
    <row r="65725" spans="3:13" ht="12.75" customHeight="1" x14ac:dyDescent="0.2">
      <c r="C65725"/>
      <c r="M65725"/>
    </row>
    <row r="65726" spans="3:13" ht="12.75" customHeight="1" x14ac:dyDescent="0.2">
      <c r="C65726"/>
      <c r="M65726"/>
    </row>
    <row r="65727" spans="3:13" ht="12.75" customHeight="1" x14ac:dyDescent="0.2">
      <c r="C65727"/>
      <c r="M65727"/>
    </row>
    <row r="65728" spans="3:13" ht="12.75" customHeight="1" x14ac:dyDescent="0.2">
      <c r="C65728"/>
      <c r="M65728"/>
    </row>
    <row r="65729" spans="3:13" ht="12.75" customHeight="1" x14ac:dyDescent="0.2">
      <c r="C65729"/>
      <c r="M65729"/>
    </row>
    <row r="65730" spans="3:13" ht="12.75" customHeight="1" x14ac:dyDescent="0.2">
      <c r="C65730"/>
      <c r="M65730"/>
    </row>
    <row r="65731" spans="3:13" ht="12.75" customHeight="1" x14ac:dyDescent="0.2">
      <c r="C65731"/>
      <c r="M65731"/>
    </row>
    <row r="65732" spans="3:13" ht="12.75" customHeight="1" x14ac:dyDescent="0.2">
      <c r="C65732"/>
      <c r="M65732"/>
    </row>
    <row r="65733" spans="3:13" ht="12.75" customHeight="1" x14ac:dyDescent="0.2">
      <c r="C65733"/>
      <c r="M65733"/>
    </row>
    <row r="65734" spans="3:13" ht="12.75" customHeight="1" x14ac:dyDescent="0.2">
      <c r="C65734"/>
      <c r="M65734"/>
    </row>
    <row r="65735" spans="3:13" ht="12.75" customHeight="1" x14ac:dyDescent="0.2">
      <c r="C65735"/>
      <c r="M65735"/>
    </row>
    <row r="65736" spans="3:13" ht="12.75" customHeight="1" x14ac:dyDescent="0.2">
      <c r="C65736"/>
      <c r="M65736"/>
    </row>
    <row r="65737" spans="3:13" ht="12.75" customHeight="1" x14ac:dyDescent="0.2">
      <c r="C65737"/>
      <c r="M65737"/>
    </row>
    <row r="65738" spans="3:13" ht="12.75" customHeight="1" x14ac:dyDescent="0.2">
      <c r="C65738"/>
      <c r="M65738"/>
    </row>
    <row r="65739" spans="3:13" ht="12.75" customHeight="1" x14ac:dyDescent="0.2">
      <c r="C65739"/>
      <c r="M65739"/>
    </row>
    <row r="65740" spans="3:13" ht="12.75" customHeight="1" x14ac:dyDescent="0.2">
      <c r="C65740"/>
      <c r="M65740"/>
    </row>
    <row r="65741" spans="3:13" ht="12.75" customHeight="1" x14ac:dyDescent="0.2">
      <c r="C65741"/>
      <c r="M65741"/>
    </row>
    <row r="65742" spans="3:13" ht="12.75" customHeight="1" x14ac:dyDescent="0.2">
      <c r="C65742"/>
      <c r="M65742"/>
    </row>
    <row r="65743" spans="3:13" ht="12.75" customHeight="1" x14ac:dyDescent="0.2">
      <c r="C65743"/>
      <c r="M65743"/>
    </row>
    <row r="65744" spans="3:13" ht="12.75" customHeight="1" x14ac:dyDescent="0.2">
      <c r="C65744"/>
      <c r="M65744"/>
    </row>
    <row r="65745" spans="3:13" ht="12.75" customHeight="1" x14ac:dyDescent="0.2">
      <c r="C65745"/>
      <c r="M65745"/>
    </row>
    <row r="65746" spans="3:13" ht="12.75" customHeight="1" x14ac:dyDescent="0.2">
      <c r="C65746"/>
      <c r="M65746"/>
    </row>
    <row r="65747" spans="3:13" ht="12.75" customHeight="1" x14ac:dyDescent="0.2">
      <c r="C65747"/>
      <c r="M65747"/>
    </row>
    <row r="65748" spans="3:13" ht="12.75" customHeight="1" x14ac:dyDescent="0.2">
      <c r="C65748"/>
      <c r="M65748"/>
    </row>
    <row r="65749" spans="3:13" ht="12.75" customHeight="1" x14ac:dyDescent="0.2">
      <c r="C65749"/>
      <c r="M65749"/>
    </row>
    <row r="65750" spans="3:13" ht="12.75" customHeight="1" x14ac:dyDescent="0.2">
      <c r="C65750"/>
      <c r="M65750"/>
    </row>
    <row r="65751" spans="3:13" ht="12.75" customHeight="1" x14ac:dyDescent="0.2">
      <c r="C65751"/>
      <c r="M65751"/>
    </row>
    <row r="65752" spans="3:13" ht="12.75" customHeight="1" x14ac:dyDescent="0.2">
      <c r="C65752"/>
      <c r="M65752"/>
    </row>
    <row r="65753" spans="3:13" ht="12.75" customHeight="1" x14ac:dyDescent="0.2">
      <c r="C65753"/>
      <c r="M65753"/>
    </row>
    <row r="65754" spans="3:13" ht="12.75" customHeight="1" x14ac:dyDescent="0.2">
      <c r="C65754"/>
      <c r="M65754"/>
    </row>
    <row r="65755" spans="3:13" ht="12.75" customHeight="1" x14ac:dyDescent="0.2">
      <c r="C65755"/>
      <c r="M65755"/>
    </row>
    <row r="65756" spans="3:13" ht="12.75" customHeight="1" x14ac:dyDescent="0.2">
      <c r="C65756"/>
      <c r="M65756"/>
    </row>
    <row r="65757" spans="3:13" ht="12.75" customHeight="1" x14ac:dyDescent="0.2">
      <c r="C65757"/>
      <c r="M65757"/>
    </row>
    <row r="65758" spans="3:13" ht="12.75" customHeight="1" x14ac:dyDescent="0.2">
      <c r="C65758"/>
      <c r="M65758"/>
    </row>
    <row r="65759" spans="3:13" ht="12.75" customHeight="1" x14ac:dyDescent="0.2">
      <c r="C65759"/>
      <c r="M65759"/>
    </row>
    <row r="65760" spans="3:13" ht="12.75" customHeight="1" x14ac:dyDescent="0.2">
      <c r="C65760"/>
      <c r="M65760"/>
    </row>
    <row r="65761" spans="3:13" ht="12.75" customHeight="1" x14ac:dyDescent="0.2">
      <c r="C65761"/>
      <c r="M65761"/>
    </row>
    <row r="65762" spans="3:13" ht="12.75" customHeight="1" x14ac:dyDescent="0.2">
      <c r="C65762"/>
      <c r="M65762"/>
    </row>
    <row r="65763" spans="3:13" ht="12.75" customHeight="1" x14ac:dyDescent="0.2">
      <c r="C65763"/>
      <c r="M65763"/>
    </row>
    <row r="65764" spans="3:13" ht="12.75" customHeight="1" x14ac:dyDescent="0.2">
      <c r="C65764"/>
      <c r="M65764"/>
    </row>
    <row r="65765" spans="3:13" ht="12.75" customHeight="1" x14ac:dyDescent="0.2">
      <c r="C65765"/>
      <c r="M65765"/>
    </row>
    <row r="65766" spans="3:13" ht="12.75" customHeight="1" x14ac:dyDescent="0.2">
      <c r="C65766"/>
      <c r="M65766"/>
    </row>
    <row r="65767" spans="3:13" ht="12.75" customHeight="1" x14ac:dyDescent="0.2">
      <c r="C65767"/>
      <c r="M65767"/>
    </row>
    <row r="65768" spans="3:13" ht="12.75" customHeight="1" x14ac:dyDescent="0.2">
      <c r="C65768"/>
      <c r="M65768"/>
    </row>
    <row r="65769" spans="3:13" ht="12.75" customHeight="1" x14ac:dyDescent="0.2">
      <c r="C65769"/>
      <c r="M65769"/>
    </row>
    <row r="65770" spans="3:13" ht="12.75" customHeight="1" x14ac:dyDescent="0.2">
      <c r="C65770"/>
      <c r="M65770"/>
    </row>
    <row r="65771" spans="3:13" ht="12.75" customHeight="1" x14ac:dyDescent="0.2">
      <c r="C65771"/>
      <c r="M65771"/>
    </row>
    <row r="65772" spans="3:13" ht="12.75" customHeight="1" x14ac:dyDescent="0.2">
      <c r="C65772"/>
      <c r="M65772"/>
    </row>
    <row r="65773" spans="3:13" ht="12.75" customHeight="1" x14ac:dyDescent="0.2">
      <c r="C65773"/>
      <c r="M65773"/>
    </row>
    <row r="65774" spans="3:13" ht="12.75" customHeight="1" x14ac:dyDescent="0.2">
      <c r="C65774"/>
      <c r="M65774"/>
    </row>
    <row r="65775" spans="3:13" ht="12.75" customHeight="1" x14ac:dyDescent="0.2">
      <c r="C65775"/>
      <c r="M65775"/>
    </row>
    <row r="65776" spans="3:13" ht="12.75" customHeight="1" x14ac:dyDescent="0.2">
      <c r="C65776"/>
      <c r="M65776"/>
    </row>
    <row r="65777" spans="3:13" ht="12.75" customHeight="1" x14ac:dyDescent="0.2">
      <c r="C65777"/>
      <c r="M65777"/>
    </row>
    <row r="65778" spans="3:13" ht="12.75" customHeight="1" x14ac:dyDescent="0.2">
      <c r="C65778"/>
      <c r="M65778"/>
    </row>
    <row r="65779" spans="3:13" ht="12.75" customHeight="1" x14ac:dyDescent="0.2">
      <c r="C65779"/>
      <c r="M65779"/>
    </row>
    <row r="65780" spans="3:13" ht="12.75" customHeight="1" x14ac:dyDescent="0.2">
      <c r="C65780"/>
      <c r="M65780"/>
    </row>
    <row r="65781" spans="3:13" ht="12.75" customHeight="1" x14ac:dyDescent="0.2">
      <c r="C65781"/>
      <c r="M65781"/>
    </row>
    <row r="65782" spans="3:13" ht="12.75" customHeight="1" x14ac:dyDescent="0.2">
      <c r="C65782"/>
      <c r="M65782"/>
    </row>
    <row r="65783" spans="3:13" ht="12.75" customHeight="1" x14ac:dyDescent="0.2">
      <c r="C65783"/>
      <c r="M65783"/>
    </row>
    <row r="65784" spans="3:13" ht="12.75" customHeight="1" x14ac:dyDescent="0.2">
      <c r="C65784"/>
      <c r="M65784"/>
    </row>
    <row r="65785" spans="3:13" ht="12.75" customHeight="1" x14ac:dyDescent="0.2">
      <c r="C65785"/>
      <c r="M65785"/>
    </row>
    <row r="65786" spans="3:13" ht="12.75" customHeight="1" x14ac:dyDescent="0.2">
      <c r="C65786"/>
      <c r="M65786"/>
    </row>
    <row r="65787" spans="3:13" ht="12.75" customHeight="1" x14ac:dyDescent="0.2">
      <c r="C65787"/>
      <c r="M65787"/>
    </row>
    <row r="65788" spans="3:13" ht="12.75" customHeight="1" x14ac:dyDescent="0.2">
      <c r="C65788"/>
      <c r="M65788"/>
    </row>
    <row r="65789" spans="3:13" ht="12.75" customHeight="1" x14ac:dyDescent="0.2">
      <c r="C65789"/>
      <c r="M65789"/>
    </row>
    <row r="65790" spans="3:13" ht="12.75" customHeight="1" x14ac:dyDescent="0.2">
      <c r="C65790"/>
      <c r="M65790"/>
    </row>
    <row r="65791" spans="3:13" ht="12.75" customHeight="1" x14ac:dyDescent="0.2">
      <c r="C65791"/>
      <c r="M65791"/>
    </row>
    <row r="65792" spans="3:13" ht="12.75" customHeight="1" x14ac:dyDescent="0.2">
      <c r="C65792"/>
      <c r="M65792"/>
    </row>
    <row r="65793" spans="3:13" ht="12.75" customHeight="1" x14ac:dyDescent="0.2">
      <c r="C65793"/>
      <c r="M65793"/>
    </row>
    <row r="65794" spans="3:13" ht="12.75" customHeight="1" x14ac:dyDescent="0.2">
      <c r="C65794"/>
      <c r="M65794"/>
    </row>
    <row r="65795" spans="3:13" ht="12.75" customHeight="1" x14ac:dyDescent="0.2">
      <c r="C65795"/>
      <c r="M65795"/>
    </row>
    <row r="65796" spans="3:13" ht="12.75" customHeight="1" x14ac:dyDescent="0.2">
      <c r="C65796"/>
      <c r="M65796"/>
    </row>
    <row r="65797" spans="3:13" ht="12.75" customHeight="1" x14ac:dyDescent="0.2">
      <c r="C65797"/>
      <c r="M65797"/>
    </row>
    <row r="65798" spans="3:13" ht="12.75" customHeight="1" x14ac:dyDescent="0.2">
      <c r="C65798"/>
      <c r="M65798"/>
    </row>
    <row r="65799" spans="3:13" ht="12.75" customHeight="1" x14ac:dyDescent="0.2">
      <c r="C65799"/>
      <c r="M65799"/>
    </row>
    <row r="65800" spans="3:13" ht="12.75" customHeight="1" x14ac:dyDescent="0.2">
      <c r="C65800"/>
      <c r="M65800"/>
    </row>
    <row r="65801" spans="3:13" ht="12.75" customHeight="1" x14ac:dyDescent="0.2">
      <c r="C65801"/>
      <c r="M65801"/>
    </row>
    <row r="65802" spans="3:13" ht="12.75" customHeight="1" x14ac:dyDescent="0.2">
      <c r="C65802"/>
      <c r="M65802"/>
    </row>
    <row r="65803" spans="3:13" ht="12.75" customHeight="1" x14ac:dyDescent="0.2">
      <c r="C65803"/>
      <c r="M65803"/>
    </row>
    <row r="65804" spans="3:13" ht="12.75" customHeight="1" x14ac:dyDescent="0.2">
      <c r="C65804"/>
      <c r="M65804"/>
    </row>
    <row r="65805" spans="3:13" ht="12.75" customHeight="1" x14ac:dyDescent="0.2">
      <c r="C65805"/>
      <c r="M65805"/>
    </row>
    <row r="65806" spans="3:13" ht="12.75" customHeight="1" x14ac:dyDescent="0.2">
      <c r="C65806"/>
      <c r="M65806"/>
    </row>
    <row r="65807" spans="3:13" ht="12.75" customHeight="1" x14ac:dyDescent="0.2">
      <c r="C65807"/>
      <c r="M65807"/>
    </row>
    <row r="65808" spans="3:13" ht="12.75" customHeight="1" x14ac:dyDescent="0.2">
      <c r="C65808"/>
      <c r="M65808"/>
    </row>
    <row r="65809" spans="3:13" ht="12.75" customHeight="1" x14ac:dyDescent="0.2">
      <c r="C65809"/>
      <c r="M65809"/>
    </row>
    <row r="65810" spans="3:13" ht="12.75" customHeight="1" x14ac:dyDescent="0.2">
      <c r="C65810"/>
      <c r="M65810"/>
    </row>
    <row r="65811" spans="3:13" ht="12.75" customHeight="1" x14ac:dyDescent="0.2">
      <c r="C65811"/>
      <c r="M65811"/>
    </row>
    <row r="65812" spans="3:13" ht="12.75" customHeight="1" x14ac:dyDescent="0.2">
      <c r="C65812"/>
      <c r="M65812"/>
    </row>
    <row r="65813" spans="3:13" ht="12.75" customHeight="1" x14ac:dyDescent="0.2">
      <c r="C65813"/>
      <c r="M65813"/>
    </row>
    <row r="65814" spans="3:13" ht="12.75" customHeight="1" x14ac:dyDescent="0.2">
      <c r="C65814"/>
      <c r="M65814"/>
    </row>
    <row r="65815" spans="3:13" ht="12.75" customHeight="1" x14ac:dyDescent="0.2">
      <c r="C65815"/>
      <c r="M65815"/>
    </row>
    <row r="65816" spans="3:13" ht="12.75" customHeight="1" x14ac:dyDescent="0.2">
      <c r="C65816"/>
      <c r="M65816"/>
    </row>
    <row r="65817" spans="3:13" ht="12.75" customHeight="1" x14ac:dyDescent="0.2">
      <c r="C65817"/>
      <c r="M65817"/>
    </row>
    <row r="65818" spans="3:13" ht="12.75" customHeight="1" x14ac:dyDescent="0.2">
      <c r="C65818"/>
      <c r="M65818"/>
    </row>
    <row r="65819" spans="3:13" ht="12.75" customHeight="1" x14ac:dyDescent="0.2">
      <c r="C65819"/>
      <c r="M65819"/>
    </row>
    <row r="65820" spans="3:13" ht="12.75" customHeight="1" x14ac:dyDescent="0.2">
      <c r="C65820"/>
      <c r="M65820"/>
    </row>
    <row r="65821" spans="3:13" ht="12.75" customHeight="1" x14ac:dyDescent="0.2">
      <c r="C65821"/>
      <c r="M65821"/>
    </row>
    <row r="65822" spans="3:13" ht="12.75" customHeight="1" x14ac:dyDescent="0.2">
      <c r="C65822"/>
      <c r="M65822"/>
    </row>
    <row r="65823" spans="3:13" ht="12.75" customHeight="1" x14ac:dyDescent="0.2">
      <c r="C65823"/>
      <c r="M65823"/>
    </row>
    <row r="65824" spans="3:13" ht="12.75" customHeight="1" x14ac:dyDescent="0.2">
      <c r="C65824"/>
      <c r="M65824"/>
    </row>
    <row r="65825" spans="3:13" ht="12.75" customHeight="1" x14ac:dyDescent="0.2">
      <c r="C65825"/>
      <c r="M65825"/>
    </row>
    <row r="65826" spans="3:13" ht="12.75" customHeight="1" x14ac:dyDescent="0.2">
      <c r="C65826"/>
      <c r="M65826"/>
    </row>
    <row r="65827" spans="3:13" ht="12.75" customHeight="1" x14ac:dyDescent="0.2">
      <c r="C65827"/>
      <c r="M65827"/>
    </row>
    <row r="65828" spans="3:13" ht="12.75" customHeight="1" x14ac:dyDescent="0.2">
      <c r="C65828"/>
      <c r="M65828"/>
    </row>
    <row r="65829" spans="3:13" ht="12.75" customHeight="1" x14ac:dyDescent="0.2">
      <c r="C65829"/>
      <c r="M65829"/>
    </row>
    <row r="65830" spans="3:13" ht="12.75" customHeight="1" x14ac:dyDescent="0.2">
      <c r="C65830"/>
      <c r="M65830"/>
    </row>
    <row r="65831" spans="3:13" ht="12.75" customHeight="1" x14ac:dyDescent="0.2">
      <c r="C65831"/>
      <c r="M65831"/>
    </row>
    <row r="65832" spans="3:13" ht="12.75" customHeight="1" x14ac:dyDescent="0.2">
      <c r="C65832"/>
      <c r="M65832"/>
    </row>
    <row r="65833" spans="3:13" ht="12.75" customHeight="1" x14ac:dyDescent="0.2">
      <c r="C65833"/>
      <c r="M65833"/>
    </row>
    <row r="65834" spans="3:13" ht="12.75" customHeight="1" x14ac:dyDescent="0.2">
      <c r="C65834"/>
      <c r="M65834"/>
    </row>
    <row r="65835" spans="3:13" ht="12.75" customHeight="1" x14ac:dyDescent="0.2">
      <c r="C65835"/>
      <c r="M65835"/>
    </row>
    <row r="65836" spans="3:13" ht="12.75" customHeight="1" x14ac:dyDescent="0.2">
      <c r="C65836"/>
      <c r="M65836"/>
    </row>
    <row r="65837" spans="3:13" ht="12.75" customHeight="1" x14ac:dyDescent="0.2">
      <c r="C65837"/>
      <c r="M65837"/>
    </row>
    <row r="65838" spans="3:13" ht="12.75" customHeight="1" x14ac:dyDescent="0.2">
      <c r="C65838"/>
      <c r="M65838"/>
    </row>
    <row r="65839" spans="3:13" ht="12.75" customHeight="1" x14ac:dyDescent="0.2">
      <c r="C65839"/>
      <c r="M65839"/>
    </row>
    <row r="65840" spans="3:13" ht="12.75" customHeight="1" x14ac:dyDescent="0.2">
      <c r="C65840"/>
      <c r="M65840"/>
    </row>
    <row r="65841" spans="3:13" ht="12.75" customHeight="1" x14ac:dyDescent="0.2">
      <c r="C65841"/>
      <c r="M65841"/>
    </row>
    <row r="65842" spans="3:13" ht="12.75" customHeight="1" x14ac:dyDescent="0.2">
      <c r="C65842"/>
      <c r="M65842"/>
    </row>
    <row r="65843" spans="3:13" ht="12.75" customHeight="1" x14ac:dyDescent="0.2">
      <c r="C65843"/>
      <c r="M65843"/>
    </row>
    <row r="65844" spans="3:13" ht="12.75" customHeight="1" x14ac:dyDescent="0.2">
      <c r="C65844"/>
      <c r="M65844"/>
    </row>
    <row r="65845" spans="3:13" ht="12.75" customHeight="1" x14ac:dyDescent="0.2">
      <c r="C65845"/>
      <c r="M65845"/>
    </row>
    <row r="65846" spans="3:13" ht="12.75" customHeight="1" x14ac:dyDescent="0.2">
      <c r="C65846"/>
      <c r="M65846"/>
    </row>
    <row r="65847" spans="3:13" ht="12.75" customHeight="1" x14ac:dyDescent="0.2">
      <c r="C65847"/>
      <c r="M65847"/>
    </row>
    <row r="65848" spans="3:13" ht="12.75" customHeight="1" x14ac:dyDescent="0.2">
      <c r="C65848"/>
      <c r="M65848"/>
    </row>
    <row r="65849" spans="3:13" ht="12.75" customHeight="1" x14ac:dyDescent="0.2">
      <c r="C65849"/>
      <c r="M65849"/>
    </row>
    <row r="65850" spans="3:13" ht="12.75" customHeight="1" x14ac:dyDescent="0.2">
      <c r="C65850"/>
      <c r="M65850"/>
    </row>
    <row r="65851" spans="3:13" ht="12.75" customHeight="1" x14ac:dyDescent="0.2">
      <c r="C65851"/>
      <c r="M65851"/>
    </row>
    <row r="65852" spans="3:13" ht="12.75" customHeight="1" x14ac:dyDescent="0.2">
      <c r="C65852"/>
      <c r="M65852"/>
    </row>
    <row r="65853" spans="3:13" ht="12.75" customHeight="1" x14ac:dyDescent="0.2">
      <c r="C65853"/>
      <c r="M65853"/>
    </row>
    <row r="65854" spans="3:13" ht="12.75" customHeight="1" x14ac:dyDescent="0.2">
      <c r="C65854"/>
      <c r="M65854"/>
    </row>
    <row r="65855" spans="3:13" ht="12.75" customHeight="1" x14ac:dyDescent="0.2">
      <c r="C65855"/>
      <c r="M65855"/>
    </row>
    <row r="65856" spans="3:13" ht="12.75" customHeight="1" x14ac:dyDescent="0.2">
      <c r="C65856"/>
      <c r="M65856"/>
    </row>
    <row r="65857" spans="3:13" ht="12.75" customHeight="1" x14ac:dyDescent="0.2">
      <c r="C65857"/>
      <c r="M65857"/>
    </row>
    <row r="65858" spans="3:13" ht="12.75" customHeight="1" x14ac:dyDescent="0.2">
      <c r="C65858"/>
      <c r="M65858"/>
    </row>
    <row r="65859" spans="3:13" ht="12.75" customHeight="1" x14ac:dyDescent="0.2">
      <c r="C65859"/>
      <c r="M65859"/>
    </row>
    <row r="65860" spans="3:13" ht="12.75" customHeight="1" x14ac:dyDescent="0.2">
      <c r="C65860"/>
      <c r="M65860"/>
    </row>
    <row r="65861" spans="3:13" ht="12.75" customHeight="1" x14ac:dyDescent="0.2">
      <c r="C65861"/>
      <c r="M65861"/>
    </row>
    <row r="65862" spans="3:13" ht="12.75" customHeight="1" x14ac:dyDescent="0.2">
      <c r="C65862"/>
      <c r="M65862"/>
    </row>
    <row r="65863" spans="3:13" ht="12.75" customHeight="1" x14ac:dyDescent="0.2">
      <c r="C65863"/>
      <c r="M65863"/>
    </row>
    <row r="65864" spans="3:13" ht="12.75" customHeight="1" x14ac:dyDescent="0.2">
      <c r="C65864"/>
      <c r="M65864"/>
    </row>
    <row r="65865" spans="3:13" ht="12.75" customHeight="1" x14ac:dyDescent="0.2">
      <c r="C65865"/>
      <c r="M65865"/>
    </row>
    <row r="65866" spans="3:13" ht="12.75" customHeight="1" x14ac:dyDescent="0.2">
      <c r="C65866"/>
      <c r="M65866"/>
    </row>
    <row r="65867" spans="3:13" ht="12.75" customHeight="1" x14ac:dyDescent="0.2">
      <c r="C65867"/>
      <c r="M65867"/>
    </row>
    <row r="65868" spans="3:13" ht="12.75" customHeight="1" x14ac:dyDescent="0.2">
      <c r="C65868"/>
      <c r="M65868"/>
    </row>
    <row r="65869" spans="3:13" ht="12.75" customHeight="1" x14ac:dyDescent="0.2">
      <c r="C65869"/>
      <c r="M65869"/>
    </row>
    <row r="65870" spans="3:13" ht="12.75" customHeight="1" x14ac:dyDescent="0.2">
      <c r="C65870"/>
      <c r="M65870"/>
    </row>
    <row r="65871" spans="3:13" ht="12.75" customHeight="1" x14ac:dyDescent="0.2">
      <c r="C65871"/>
      <c r="M65871"/>
    </row>
    <row r="65872" spans="3:13" ht="12.75" customHeight="1" x14ac:dyDescent="0.2">
      <c r="C65872"/>
      <c r="M65872"/>
    </row>
    <row r="65873" spans="3:13" ht="12.75" customHeight="1" x14ac:dyDescent="0.2">
      <c r="C65873"/>
      <c r="M65873"/>
    </row>
    <row r="65874" spans="3:13" ht="12.75" customHeight="1" x14ac:dyDescent="0.2">
      <c r="C65874"/>
      <c r="M65874"/>
    </row>
    <row r="65875" spans="3:13" ht="12.75" customHeight="1" x14ac:dyDescent="0.2">
      <c r="C65875"/>
      <c r="M65875"/>
    </row>
    <row r="65876" spans="3:13" ht="12.75" customHeight="1" x14ac:dyDescent="0.2">
      <c r="C65876"/>
      <c r="M65876"/>
    </row>
    <row r="65877" spans="3:13" ht="12.75" customHeight="1" x14ac:dyDescent="0.2">
      <c r="C65877"/>
      <c r="M65877"/>
    </row>
    <row r="65878" spans="3:13" ht="12.75" customHeight="1" x14ac:dyDescent="0.2">
      <c r="C65878"/>
      <c r="M65878"/>
    </row>
    <row r="65879" spans="3:13" ht="12.75" customHeight="1" x14ac:dyDescent="0.2">
      <c r="C65879"/>
      <c r="M65879"/>
    </row>
    <row r="65880" spans="3:13" ht="12.75" customHeight="1" x14ac:dyDescent="0.2">
      <c r="C65880"/>
      <c r="M65880"/>
    </row>
    <row r="65881" spans="3:13" ht="12.75" customHeight="1" x14ac:dyDescent="0.2">
      <c r="C65881"/>
      <c r="M65881"/>
    </row>
    <row r="65882" spans="3:13" ht="12.75" customHeight="1" x14ac:dyDescent="0.2">
      <c r="C65882"/>
      <c r="M65882"/>
    </row>
    <row r="65883" spans="3:13" ht="12.75" customHeight="1" x14ac:dyDescent="0.2">
      <c r="C65883"/>
      <c r="M65883"/>
    </row>
    <row r="65884" spans="3:13" ht="12.75" customHeight="1" x14ac:dyDescent="0.2">
      <c r="C65884"/>
      <c r="M65884"/>
    </row>
    <row r="65885" spans="3:13" ht="12.75" customHeight="1" x14ac:dyDescent="0.2">
      <c r="C65885"/>
      <c r="M65885"/>
    </row>
    <row r="65886" spans="3:13" ht="12.75" customHeight="1" x14ac:dyDescent="0.2">
      <c r="C65886"/>
      <c r="M65886"/>
    </row>
    <row r="65887" spans="3:13" ht="12.75" customHeight="1" x14ac:dyDescent="0.2">
      <c r="C65887"/>
      <c r="M65887"/>
    </row>
    <row r="65888" spans="3:13" ht="12.75" customHeight="1" x14ac:dyDescent="0.2">
      <c r="C65888"/>
      <c r="M65888"/>
    </row>
    <row r="65889" spans="3:13" ht="12.75" customHeight="1" x14ac:dyDescent="0.2">
      <c r="C65889"/>
      <c r="M65889"/>
    </row>
    <row r="65890" spans="3:13" ht="12.75" customHeight="1" x14ac:dyDescent="0.2">
      <c r="C65890"/>
      <c r="M65890"/>
    </row>
    <row r="65891" spans="3:13" ht="12.75" customHeight="1" x14ac:dyDescent="0.2">
      <c r="C65891"/>
      <c r="M65891"/>
    </row>
    <row r="65892" spans="3:13" ht="12.75" customHeight="1" x14ac:dyDescent="0.2">
      <c r="C65892"/>
      <c r="M65892"/>
    </row>
    <row r="65893" spans="3:13" ht="12.75" customHeight="1" x14ac:dyDescent="0.2">
      <c r="C65893"/>
      <c r="M65893"/>
    </row>
    <row r="65894" spans="3:13" ht="12.75" customHeight="1" x14ac:dyDescent="0.2">
      <c r="C65894"/>
      <c r="M65894"/>
    </row>
    <row r="65895" spans="3:13" ht="12.75" customHeight="1" x14ac:dyDescent="0.2">
      <c r="C65895"/>
      <c r="M65895"/>
    </row>
    <row r="65896" spans="3:13" ht="12.75" customHeight="1" x14ac:dyDescent="0.2">
      <c r="C65896"/>
      <c r="M65896"/>
    </row>
    <row r="65897" spans="3:13" ht="12.75" customHeight="1" x14ac:dyDescent="0.2">
      <c r="C65897"/>
      <c r="M65897"/>
    </row>
    <row r="65898" spans="3:13" ht="12.75" customHeight="1" x14ac:dyDescent="0.2">
      <c r="C65898"/>
      <c r="M65898"/>
    </row>
    <row r="65899" spans="3:13" ht="12.75" customHeight="1" x14ac:dyDescent="0.2">
      <c r="C65899"/>
      <c r="M65899"/>
    </row>
    <row r="65900" spans="3:13" ht="12.75" customHeight="1" x14ac:dyDescent="0.2">
      <c r="C65900"/>
      <c r="M65900"/>
    </row>
    <row r="65901" spans="3:13" ht="12.75" customHeight="1" x14ac:dyDescent="0.2">
      <c r="C65901"/>
      <c r="M65901"/>
    </row>
    <row r="65902" spans="3:13" ht="12.75" customHeight="1" x14ac:dyDescent="0.2">
      <c r="C65902"/>
      <c r="M65902"/>
    </row>
    <row r="65903" spans="3:13" ht="12.75" customHeight="1" x14ac:dyDescent="0.2">
      <c r="C65903"/>
      <c r="M65903"/>
    </row>
    <row r="65904" spans="3:13" ht="12.75" customHeight="1" x14ac:dyDescent="0.2">
      <c r="C65904"/>
      <c r="M65904"/>
    </row>
    <row r="65905" spans="3:13" ht="12.75" customHeight="1" x14ac:dyDescent="0.2">
      <c r="C65905"/>
      <c r="M65905"/>
    </row>
    <row r="65906" spans="3:13" ht="12.75" customHeight="1" x14ac:dyDescent="0.2">
      <c r="C65906"/>
      <c r="M65906"/>
    </row>
    <row r="65907" spans="3:13" ht="12.75" customHeight="1" x14ac:dyDescent="0.2">
      <c r="C65907"/>
      <c r="M65907"/>
    </row>
    <row r="65908" spans="3:13" ht="12.75" customHeight="1" x14ac:dyDescent="0.2">
      <c r="C65908"/>
      <c r="M65908"/>
    </row>
    <row r="65909" spans="3:13" ht="12.75" customHeight="1" x14ac:dyDescent="0.2">
      <c r="C65909"/>
      <c r="M65909"/>
    </row>
    <row r="65910" spans="3:13" ht="12.75" customHeight="1" x14ac:dyDescent="0.2">
      <c r="C65910"/>
      <c r="M65910"/>
    </row>
    <row r="65911" spans="3:13" ht="12.75" customHeight="1" x14ac:dyDescent="0.2">
      <c r="C65911"/>
      <c r="M65911"/>
    </row>
    <row r="65912" spans="3:13" ht="12.75" customHeight="1" x14ac:dyDescent="0.2">
      <c r="C65912"/>
      <c r="M65912"/>
    </row>
    <row r="65913" spans="3:13" ht="12.75" customHeight="1" x14ac:dyDescent="0.2">
      <c r="C65913"/>
      <c r="M65913"/>
    </row>
    <row r="65914" spans="3:13" ht="12.75" customHeight="1" x14ac:dyDescent="0.2">
      <c r="C65914"/>
      <c r="M65914"/>
    </row>
    <row r="65915" spans="3:13" ht="12.75" customHeight="1" x14ac:dyDescent="0.2">
      <c r="C65915"/>
      <c r="M65915"/>
    </row>
    <row r="65916" spans="3:13" ht="12.75" customHeight="1" x14ac:dyDescent="0.2">
      <c r="C65916"/>
      <c r="M65916"/>
    </row>
    <row r="65917" spans="3:13" ht="12.75" customHeight="1" x14ac:dyDescent="0.2">
      <c r="C65917"/>
      <c r="M65917"/>
    </row>
    <row r="65918" spans="3:13" ht="12.75" customHeight="1" x14ac:dyDescent="0.2">
      <c r="C65918"/>
      <c r="M65918"/>
    </row>
    <row r="65919" spans="3:13" ht="12.75" customHeight="1" x14ac:dyDescent="0.2">
      <c r="C65919"/>
      <c r="M65919"/>
    </row>
    <row r="65920" spans="3:13" ht="12.75" customHeight="1" x14ac:dyDescent="0.2">
      <c r="C65920"/>
      <c r="M65920"/>
    </row>
    <row r="65921" spans="3:13" ht="12.75" customHeight="1" x14ac:dyDescent="0.2">
      <c r="C65921"/>
      <c r="M65921"/>
    </row>
    <row r="65922" spans="3:13" ht="12.75" customHeight="1" x14ac:dyDescent="0.2">
      <c r="C65922"/>
      <c r="M65922"/>
    </row>
    <row r="65923" spans="3:13" ht="12.75" customHeight="1" x14ac:dyDescent="0.2">
      <c r="C65923"/>
      <c r="M65923"/>
    </row>
    <row r="65924" spans="3:13" ht="12.75" customHeight="1" x14ac:dyDescent="0.2">
      <c r="C65924"/>
      <c r="M65924"/>
    </row>
    <row r="65925" spans="3:13" ht="12.75" customHeight="1" x14ac:dyDescent="0.2">
      <c r="C65925"/>
      <c r="M65925"/>
    </row>
    <row r="65926" spans="3:13" ht="12.75" customHeight="1" x14ac:dyDescent="0.2">
      <c r="C65926"/>
      <c r="M65926"/>
    </row>
    <row r="65927" spans="3:13" ht="12.75" customHeight="1" x14ac:dyDescent="0.2">
      <c r="C65927"/>
      <c r="M65927"/>
    </row>
    <row r="65928" spans="3:13" ht="12.75" customHeight="1" x14ac:dyDescent="0.2">
      <c r="C65928"/>
      <c r="M65928"/>
    </row>
    <row r="65929" spans="3:13" ht="12.75" customHeight="1" x14ac:dyDescent="0.2">
      <c r="C65929"/>
      <c r="M65929"/>
    </row>
    <row r="65930" spans="3:13" ht="12.75" customHeight="1" x14ac:dyDescent="0.2">
      <c r="C65930"/>
      <c r="M65930"/>
    </row>
    <row r="65931" spans="3:13" ht="12.75" customHeight="1" x14ac:dyDescent="0.2">
      <c r="C65931"/>
      <c r="M65931"/>
    </row>
    <row r="65932" spans="3:13" ht="12.75" customHeight="1" x14ac:dyDescent="0.2">
      <c r="C65932"/>
      <c r="M65932"/>
    </row>
    <row r="65933" spans="3:13" ht="12.75" customHeight="1" x14ac:dyDescent="0.2">
      <c r="C65933"/>
      <c r="M65933"/>
    </row>
    <row r="65934" spans="3:13" ht="12.75" customHeight="1" x14ac:dyDescent="0.2">
      <c r="C65934"/>
      <c r="M65934"/>
    </row>
    <row r="65935" spans="3:13" ht="12.75" customHeight="1" x14ac:dyDescent="0.2">
      <c r="C65935"/>
      <c r="M65935"/>
    </row>
    <row r="65936" spans="3:13" ht="12.75" customHeight="1" x14ac:dyDescent="0.2">
      <c r="C65936"/>
      <c r="M65936"/>
    </row>
    <row r="65937" spans="3:13" ht="12.75" customHeight="1" x14ac:dyDescent="0.2">
      <c r="C65937"/>
      <c r="M65937"/>
    </row>
    <row r="65938" spans="3:13" ht="12.75" customHeight="1" x14ac:dyDescent="0.2">
      <c r="C65938"/>
      <c r="M65938"/>
    </row>
    <row r="65939" spans="3:13" ht="12.75" customHeight="1" x14ac:dyDescent="0.2">
      <c r="C65939"/>
      <c r="M65939"/>
    </row>
    <row r="65940" spans="3:13" ht="12.75" customHeight="1" x14ac:dyDescent="0.2">
      <c r="C65940"/>
      <c r="M65940"/>
    </row>
    <row r="65941" spans="3:13" ht="12.75" customHeight="1" x14ac:dyDescent="0.2">
      <c r="C65941"/>
      <c r="M65941"/>
    </row>
    <row r="65942" spans="3:13" ht="12.75" customHeight="1" x14ac:dyDescent="0.2">
      <c r="C65942"/>
      <c r="M65942"/>
    </row>
    <row r="65943" spans="3:13" ht="12.75" customHeight="1" x14ac:dyDescent="0.2">
      <c r="C65943"/>
      <c r="M65943"/>
    </row>
    <row r="65944" spans="3:13" ht="12.75" customHeight="1" x14ac:dyDescent="0.2">
      <c r="C65944"/>
      <c r="M65944"/>
    </row>
    <row r="65945" spans="3:13" ht="12.75" customHeight="1" x14ac:dyDescent="0.2">
      <c r="C65945"/>
      <c r="M65945"/>
    </row>
    <row r="65946" spans="3:13" ht="12.75" customHeight="1" x14ac:dyDescent="0.2">
      <c r="C65946"/>
      <c r="M65946"/>
    </row>
    <row r="65947" spans="3:13" ht="12.75" customHeight="1" x14ac:dyDescent="0.2">
      <c r="C65947"/>
      <c r="M65947"/>
    </row>
    <row r="65948" spans="3:13" ht="12.75" customHeight="1" x14ac:dyDescent="0.2">
      <c r="C65948"/>
      <c r="M65948"/>
    </row>
    <row r="65949" spans="3:13" ht="12.75" customHeight="1" x14ac:dyDescent="0.2">
      <c r="C65949"/>
      <c r="M65949"/>
    </row>
    <row r="65950" spans="3:13" ht="12.75" customHeight="1" x14ac:dyDescent="0.2">
      <c r="C65950"/>
      <c r="M65950"/>
    </row>
    <row r="65951" spans="3:13" ht="12.75" customHeight="1" x14ac:dyDescent="0.2">
      <c r="C65951"/>
      <c r="M65951"/>
    </row>
    <row r="65952" spans="3:13" ht="12.75" customHeight="1" x14ac:dyDescent="0.2">
      <c r="C65952"/>
      <c r="M65952"/>
    </row>
    <row r="65953" spans="3:13" ht="12.75" customHeight="1" x14ac:dyDescent="0.2">
      <c r="C65953"/>
      <c r="M65953"/>
    </row>
    <row r="65954" spans="3:13" ht="12.75" customHeight="1" x14ac:dyDescent="0.2">
      <c r="C65954"/>
      <c r="M65954"/>
    </row>
    <row r="65955" spans="3:13" ht="12.75" customHeight="1" x14ac:dyDescent="0.2">
      <c r="C65955"/>
      <c r="M65955"/>
    </row>
    <row r="65956" spans="3:13" ht="12.75" customHeight="1" x14ac:dyDescent="0.2">
      <c r="C65956"/>
      <c r="M65956"/>
    </row>
    <row r="65957" spans="3:13" ht="12.75" customHeight="1" x14ac:dyDescent="0.2">
      <c r="C65957"/>
      <c r="M65957"/>
    </row>
    <row r="65958" spans="3:13" ht="12.75" customHeight="1" x14ac:dyDescent="0.2">
      <c r="C65958"/>
      <c r="M65958"/>
    </row>
    <row r="65959" spans="3:13" ht="12.75" customHeight="1" x14ac:dyDescent="0.2">
      <c r="C65959"/>
      <c r="M65959"/>
    </row>
    <row r="65960" spans="3:13" ht="12.75" customHeight="1" x14ac:dyDescent="0.2">
      <c r="C65960"/>
      <c r="M65960"/>
    </row>
    <row r="65961" spans="3:13" ht="12.75" customHeight="1" x14ac:dyDescent="0.2">
      <c r="C65961"/>
      <c r="M65961"/>
    </row>
    <row r="65962" spans="3:13" ht="12.75" customHeight="1" x14ac:dyDescent="0.2">
      <c r="C65962"/>
      <c r="M65962"/>
    </row>
    <row r="65963" spans="3:13" ht="12.75" customHeight="1" x14ac:dyDescent="0.2">
      <c r="C65963"/>
      <c r="M65963"/>
    </row>
    <row r="65964" spans="3:13" ht="12.75" customHeight="1" x14ac:dyDescent="0.2">
      <c r="C65964"/>
      <c r="M65964"/>
    </row>
    <row r="65965" spans="3:13" ht="12.75" customHeight="1" x14ac:dyDescent="0.2">
      <c r="C65965"/>
      <c r="M65965"/>
    </row>
    <row r="65966" spans="3:13" ht="12.75" customHeight="1" x14ac:dyDescent="0.2">
      <c r="C65966"/>
      <c r="M65966"/>
    </row>
    <row r="65967" spans="3:13" ht="12.75" customHeight="1" x14ac:dyDescent="0.2">
      <c r="C65967"/>
      <c r="M65967"/>
    </row>
    <row r="65968" spans="3:13" ht="12.75" customHeight="1" x14ac:dyDescent="0.2">
      <c r="C65968"/>
      <c r="M65968"/>
    </row>
    <row r="65969" spans="3:13" ht="12.75" customHeight="1" x14ac:dyDescent="0.2">
      <c r="C65969"/>
      <c r="M65969"/>
    </row>
    <row r="65970" spans="3:13" ht="12.75" customHeight="1" x14ac:dyDescent="0.2">
      <c r="C65970"/>
      <c r="M65970"/>
    </row>
    <row r="65971" spans="3:13" ht="12.75" customHeight="1" x14ac:dyDescent="0.2">
      <c r="C65971"/>
      <c r="M65971"/>
    </row>
    <row r="65972" spans="3:13" ht="12.75" customHeight="1" x14ac:dyDescent="0.2">
      <c r="C65972"/>
      <c r="M65972"/>
    </row>
    <row r="65973" spans="3:13" ht="12.75" customHeight="1" x14ac:dyDescent="0.2">
      <c r="C65973"/>
      <c r="M65973"/>
    </row>
    <row r="65974" spans="3:13" ht="12.75" customHeight="1" x14ac:dyDescent="0.2">
      <c r="C65974"/>
      <c r="M65974"/>
    </row>
    <row r="65975" spans="3:13" ht="12.75" customHeight="1" x14ac:dyDescent="0.2">
      <c r="C65975"/>
      <c r="M65975"/>
    </row>
    <row r="65976" spans="3:13" ht="12.75" customHeight="1" x14ac:dyDescent="0.2">
      <c r="C65976"/>
      <c r="M65976"/>
    </row>
    <row r="65977" spans="3:13" ht="12.75" customHeight="1" x14ac:dyDescent="0.2">
      <c r="C65977"/>
      <c r="M65977"/>
    </row>
    <row r="65978" spans="3:13" ht="12.75" customHeight="1" x14ac:dyDescent="0.2">
      <c r="C65978"/>
      <c r="M65978"/>
    </row>
    <row r="65979" spans="3:13" ht="12.75" customHeight="1" x14ac:dyDescent="0.2">
      <c r="C65979"/>
      <c r="M65979"/>
    </row>
    <row r="65980" spans="3:13" ht="12.75" customHeight="1" x14ac:dyDescent="0.2">
      <c r="C65980"/>
      <c r="M65980"/>
    </row>
    <row r="65981" spans="3:13" ht="12.75" customHeight="1" x14ac:dyDescent="0.2">
      <c r="C65981"/>
      <c r="M65981"/>
    </row>
    <row r="65982" spans="3:13" ht="12.75" customHeight="1" x14ac:dyDescent="0.2">
      <c r="C65982"/>
      <c r="M65982"/>
    </row>
    <row r="65983" spans="3:13" ht="12.75" customHeight="1" x14ac:dyDescent="0.2">
      <c r="C65983"/>
      <c r="M65983"/>
    </row>
    <row r="65984" spans="3:13" ht="12.75" customHeight="1" x14ac:dyDescent="0.2">
      <c r="C65984"/>
      <c r="M65984"/>
    </row>
    <row r="65985" spans="3:13" ht="12.75" customHeight="1" x14ac:dyDescent="0.2">
      <c r="C65985"/>
      <c r="M65985"/>
    </row>
    <row r="65986" spans="3:13" ht="12.75" customHeight="1" x14ac:dyDescent="0.2">
      <c r="C65986"/>
      <c r="M65986"/>
    </row>
    <row r="65987" spans="3:13" ht="12.75" customHeight="1" x14ac:dyDescent="0.2">
      <c r="C65987"/>
      <c r="M65987"/>
    </row>
    <row r="65988" spans="3:13" ht="12.75" customHeight="1" x14ac:dyDescent="0.2">
      <c r="C65988"/>
      <c r="M65988"/>
    </row>
    <row r="65989" spans="3:13" ht="12.75" customHeight="1" x14ac:dyDescent="0.2">
      <c r="C65989"/>
      <c r="M65989"/>
    </row>
    <row r="65990" spans="3:13" ht="12.75" customHeight="1" x14ac:dyDescent="0.2">
      <c r="C65990"/>
      <c r="M65990"/>
    </row>
    <row r="65991" spans="3:13" ht="12.75" customHeight="1" x14ac:dyDescent="0.2">
      <c r="C65991"/>
      <c r="M65991"/>
    </row>
    <row r="65992" spans="3:13" ht="12.75" customHeight="1" x14ac:dyDescent="0.2">
      <c r="C65992"/>
      <c r="M65992"/>
    </row>
    <row r="65993" spans="3:13" ht="12.75" customHeight="1" x14ac:dyDescent="0.2">
      <c r="C65993"/>
      <c r="M65993"/>
    </row>
    <row r="65994" spans="3:13" ht="12.75" customHeight="1" x14ac:dyDescent="0.2">
      <c r="C65994"/>
      <c r="M65994"/>
    </row>
    <row r="65995" spans="3:13" ht="12.75" customHeight="1" x14ac:dyDescent="0.2">
      <c r="C65995"/>
      <c r="M65995"/>
    </row>
  </sheetData>
  <sheetProtection algorithmName="SHA-512" hashValue="BHs0DzAFA6Xtnj61i1rzQwKE3ulBrhFh7mlwcceEiZxekC/hfFqGhqnAoG+JrH+5aNz2hKX9BVDr9hikLo5/5w==" saltValue="aU/1tFt+bw+cOZpEgCt/wQ==" spinCount="100000" sheet="1" objects="1" scenarios="1" autoFilter="0"/>
  <autoFilter ref="C15:C727"/>
  <mergeCells count="21">
    <mergeCell ref="AG1:AH1"/>
    <mergeCell ref="AG2:AH2"/>
    <mergeCell ref="AA4:AB4"/>
    <mergeCell ref="AC4:AH4"/>
    <mergeCell ref="AA5:AB5"/>
    <mergeCell ref="AC5:AH5"/>
    <mergeCell ref="F1:H1"/>
    <mergeCell ref="Q1:R1"/>
    <mergeCell ref="Y1:Z1"/>
    <mergeCell ref="F2:H2"/>
    <mergeCell ref="Q2:R2"/>
    <mergeCell ref="Y2:Z2"/>
    <mergeCell ref="E15:H15"/>
    <mergeCell ref="E4:F4"/>
    <mergeCell ref="G4:H4"/>
    <mergeCell ref="S4:T4"/>
    <mergeCell ref="U4:Z4"/>
    <mergeCell ref="E5:F5"/>
    <mergeCell ref="G5:H5"/>
    <mergeCell ref="S5:T5"/>
    <mergeCell ref="U5:Z5"/>
  </mergeCells>
  <phoneticPr fontId="39" type="noConversion"/>
  <conditionalFormatting sqref="D14:I14 D149:I155 D212:I218 D283:I297 D346:I360 D363:I368 D397:I403 D429:I436 D504:I510 D522:I536 D542:I549 D560:I566 D656:I662 D705:I718 D165:I187 D197:I202 D221:I232 D235:I246 D300:I306 D316:I321 D414:I420 D468:I492 D579:I610 D613:I617 D665:I681 D688:I702 D721:I726 D16:I139">
    <cfRule type="expression" dxfId="880" priority="6160" stopIfTrue="1">
      <formula>$B14=1</formula>
    </cfRule>
    <cfRule type="expression" dxfId="879" priority="6161" stopIfTrue="1">
      <formula>OR($B14=0,$B14=2,$B14=3,$B14=4)</formula>
    </cfRule>
  </conditionalFormatting>
  <conditionalFormatting sqref="M149:N155 M212:N218 M283:N297 M346:N360 M363:N368 M397:N403 M429:N436 M504:N510 M522:N536 M542:N549 M560:N566 M656:N662 M705:N718 M165:N187 M197:N202 M221:N232 M235:N246 M300:N306 M316:N321 M414:N420 M468:N492 M579:N610 M613:N617 M665:N681 M688:N702 M721:N727 M12:N139">
    <cfRule type="expression" dxfId="878" priority="6162" stopIfTrue="1">
      <formula>ACOMPANHAMENTO="BM"</formula>
    </cfRule>
    <cfRule type="expression" dxfId="877" priority="6163" stopIfTrue="1">
      <formula>OR($B12=0,$B12=2,$B12=3,$B12=4)</formula>
    </cfRule>
    <cfRule type="expression" dxfId="876" priority="6164" stopIfTrue="1">
      <formula>$B12=1</formula>
    </cfRule>
  </conditionalFormatting>
  <conditionalFormatting sqref="K12:K727">
    <cfRule type="expression" dxfId="875" priority="6165" stopIfTrue="1">
      <formula>OR(ACOMPANHAMENTO="BM",$A$12&lt;&gt;"Manual")</formula>
    </cfRule>
    <cfRule type="expression" dxfId="874" priority="6166" stopIfTrue="1">
      <formula>$B12=1</formula>
    </cfRule>
    <cfRule type="expression" dxfId="873" priority="6167" stopIfTrue="1">
      <formula>OR($B12=2,$B12=3,$B12=4,$B12=0)</formula>
    </cfRule>
  </conditionalFormatting>
  <conditionalFormatting sqref="O12:AI727">
    <cfRule type="expression" dxfId="872" priority="6168" stopIfTrue="1">
      <formula>ACOMPANHAMENTO="BM"</formula>
    </cfRule>
    <cfRule type="expression" dxfId="871" priority="6169" stopIfTrue="1">
      <formula>AND(O$12&lt;&gt;".",OR($B12=0,$B12=2,$B12=3,$B12=4,AND(O$12="",$B12&lt;&gt;"Empty"),OFFSET(O$12,0,-1)=""))</formula>
    </cfRule>
    <cfRule type="expression" dxfId="870" priority="6170" stopIfTrue="1">
      <formula>AND($B12=1,O$12&lt;&gt;".")</formula>
    </cfRule>
  </conditionalFormatting>
  <conditionalFormatting sqref="D140:I148">
    <cfRule type="expression" dxfId="869" priority="957" stopIfTrue="1">
      <formula>$B140=1</formula>
    </cfRule>
    <cfRule type="expression" dxfId="868" priority="958" stopIfTrue="1">
      <formula>OR($B140=0,$B140=2,$B140=3,$B140=4)</formula>
    </cfRule>
  </conditionalFormatting>
  <conditionalFormatting sqref="M140:N148">
    <cfRule type="expression" dxfId="867" priority="959" stopIfTrue="1">
      <formula>ACOMPANHAMENTO="BM"</formula>
    </cfRule>
    <cfRule type="expression" dxfId="866" priority="960" stopIfTrue="1">
      <formula>OR($B140=0,$B140=2,$B140=3,$B140=4)</formula>
    </cfRule>
    <cfRule type="expression" dxfId="865" priority="961" stopIfTrue="1">
      <formula>$B140=1</formula>
    </cfRule>
  </conditionalFormatting>
  <conditionalFormatting sqref="D156:I164">
    <cfRule type="expression" dxfId="864" priority="935" stopIfTrue="1">
      <formula>$B156=1</formula>
    </cfRule>
    <cfRule type="expression" dxfId="863" priority="936" stopIfTrue="1">
      <formula>OR($B156=0,$B156=2,$B156=3,$B156=4)</formula>
    </cfRule>
  </conditionalFormatting>
  <conditionalFormatting sqref="M156:N164">
    <cfRule type="expression" dxfId="862" priority="937" stopIfTrue="1">
      <formula>ACOMPANHAMENTO="BM"</formula>
    </cfRule>
    <cfRule type="expression" dxfId="861" priority="938" stopIfTrue="1">
      <formula>OR($B156=0,$B156=2,$B156=3,$B156=4)</formula>
    </cfRule>
    <cfRule type="expression" dxfId="860" priority="939" stopIfTrue="1">
      <formula>$B156=1</formula>
    </cfRule>
  </conditionalFormatting>
  <conditionalFormatting sqref="D188:I196">
    <cfRule type="expression" dxfId="859" priority="891" stopIfTrue="1">
      <formula>$B188=1</formula>
    </cfRule>
    <cfRule type="expression" dxfId="858" priority="892" stopIfTrue="1">
      <formula>OR($B188=0,$B188=2,$B188=3,$B188=4)</formula>
    </cfRule>
  </conditionalFormatting>
  <conditionalFormatting sqref="M188:N196">
    <cfRule type="expression" dxfId="857" priority="893" stopIfTrue="1">
      <formula>ACOMPANHAMENTO="BM"</formula>
    </cfRule>
    <cfRule type="expression" dxfId="856" priority="894" stopIfTrue="1">
      <formula>OR($B188=0,$B188=2,$B188=3,$B188=4)</formula>
    </cfRule>
    <cfRule type="expression" dxfId="855" priority="895" stopIfTrue="1">
      <formula>$B188=1</formula>
    </cfRule>
  </conditionalFormatting>
  <conditionalFormatting sqref="D203:I211">
    <cfRule type="expression" dxfId="854" priority="869" stopIfTrue="1">
      <formula>$B203=1</formula>
    </cfRule>
    <cfRule type="expression" dxfId="853" priority="870" stopIfTrue="1">
      <formula>OR($B203=0,$B203=2,$B203=3,$B203=4)</formula>
    </cfRule>
  </conditionalFormatting>
  <conditionalFormatting sqref="M203:N211">
    <cfRule type="expression" dxfId="852" priority="871" stopIfTrue="1">
      <formula>ACOMPANHAMENTO="BM"</formula>
    </cfRule>
    <cfRule type="expression" dxfId="851" priority="872" stopIfTrue="1">
      <formula>OR($B203=0,$B203=2,$B203=3,$B203=4)</formula>
    </cfRule>
    <cfRule type="expression" dxfId="850" priority="873" stopIfTrue="1">
      <formula>$B203=1</formula>
    </cfRule>
  </conditionalFormatting>
  <conditionalFormatting sqref="D219:I220">
    <cfRule type="expression" dxfId="849" priority="847" stopIfTrue="1">
      <formula>$B219=1</formula>
    </cfRule>
    <cfRule type="expression" dxfId="848" priority="848" stopIfTrue="1">
      <formula>OR($B219=0,$B219=2,$B219=3,$B219=4)</formula>
    </cfRule>
  </conditionalFormatting>
  <conditionalFormatting sqref="M219:N220">
    <cfRule type="expression" dxfId="847" priority="849" stopIfTrue="1">
      <formula>ACOMPANHAMENTO="BM"</formula>
    </cfRule>
    <cfRule type="expression" dxfId="846" priority="850" stopIfTrue="1">
      <formula>OR($B219=0,$B219=2,$B219=3,$B219=4)</formula>
    </cfRule>
    <cfRule type="expression" dxfId="845" priority="851" stopIfTrue="1">
      <formula>$B219=1</formula>
    </cfRule>
  </conditionalFormatting>
  <conditionalFormatting sqref="D249:I257">
    <cfRule type="expression" dxfId="844" priority="836" stopIfTrue="1">
      <formula>$B249=1</formula>
    </cfRule>
    <cfRule type="expression" dxfId="843" priority="837" stopIfTrue="1">
      <formula>OR($B249=0,$B249=2,$B249=3,$B249=4)</formula>
    </cfRule>
  </conditionalFormatting>
  <conditionalFormatting sqref="M249:N257">
    <cfRule type="expression" dxfId="842" priority="838" stopIfTrue="1">
      <formula>ACOMPANHAMENTO="BM"</formula>
    </cfRule>
    <cfRule type="expression" dxfId="841" priority="839" stopIfTrue="1">
      <formula>OR($B249=0,$B249=2,$B249=3,$B249=4)</formula>
    </cfRule>
    <cfRule type="expression" dxfId="840" priority="840" stopIfTrue="1">
      <formula>$B249=1</formula>
    </cfRule>
  </conditionalFormatting>
  <conditionalFormatting sqref="D258:I263 D335:I335 D464:I465">
    <cfRule type="expression" dxfId="839" priority="825" stopIfTrue="1">
      <formula>$B258=1</formula>
    </cfRule>
    <cfRule type="expression" dxfId="838" priority="826" stopIfTrue="1">
      <formula>OR($B258=0,$B258=2,$B258=3,$B258=4)</formula>
    </cfRule>
  </conditionalFormatting>
  <conditionalFormatting sqref="M258:N263 M335:N335 M464:N465">
    <cfRule type="expression" dxfId="837" priority="827" stopIfTrue="1">
      <formula>ACOMPANHAMENTO="BM"</formula>
    </cfRule>
    <cfRule type="expression" dxfId="836" priority="828" stopIfTrue="1">
      <formula>OR($B258=0,$B258=2,$B258=3,$B258=4)</formula>
    </cfRule>
    <cfRule type="expression" dxfId="835" priority="829" stopIfTrue="1">
      <formula>$B258=1</formula>
    </cfRule>
  </conditionalFormatting>
  <conditionalFormatting sqref="D466:I467">
    <cfRule type="expression" dxfId="834" priority="814" stopIfTrue="1">
      <formula>$B466=1</formula>
    </cfRule>
    <cfRule type="expression" dxfId="833" priority="815" stopIfTrue="1">
      <formula>OR($B466=0,$B466=2,$B466=3,$B466=4)</formula>
    </cfRule>
  </conditionalFormatting>
  <conditionalFormatting sqref="M466:N467">
    <cfRule type="expression" dxfId="832" priority="816" stopIfTrue="1">
      <formula>ACOMPANHAMENTO="BM"</formula>
    </cfRule>
    <cfRule type="expression" dxfId="831" priority="817" stopIfTrue="1">
      <formula>OR($B466=0,$B466=2,$B466=3,$B466=4)</formula>
    </cfRule>
    <cfRule type="expression" dxfId="830" priority="818" stopIfTrue="1">
      <formula>$B466=1</formula>
    </cfRule>
  </conditionalFormatting>
  <conditionalFormatting sqref="D247:I248">
    <cfRule type="expression" dxfId="829" priority="781" stopIfTrue="1">
      <formula>$B247=1</formula>
    </cfRule>
    <cfRule type="expression" dxfId="828" priority="782" stopIfTrue="1">
      <formula>OR($B247=0,$B247=2,$B247=3,$B247=4)</formula>
    </cfRule>
  </conditionalFormatting>
  <conditionalFormatting sqref="M247:N248">
    <cfRule type="expression" dxfId="827" priority="783" stopIfTrue="1">
      <formula>ACOMPANHAMENTO="BM"</formula>
    </cfRule>
    <cfRule type="expression" dxfId="826" priority="784" stopIfTrue="1">
      <formula>OR($B247=0,$B247=2,$B247=3,$B247=4)</formula>
    </cfRule>
    <cfRule type="expression" dxfId="825" priority="785" stopIfTrue="1">
      <formula>$B247=1</formula>
    </cfRule>
  </conditionalFormatting>
  <conditionalFormatting sqref="D233:I234">
    <cfRule type="expression" dxfId="824" priority="748" stopIfTrue="1">
      <formula>$B233=1</formula>
    </cfRule>
    <cfRule type="expression" dxfId="823" priority="749" stopIfTrue="1">
      <formula>OR($B233=0,$B233=2,$B233=3,$B233=4)</formula>
    </cfRule>
  </conditionalFormatting>
  <conditionalFormatting sqref="M233:N234">
    <cfRule type="expression" dxfId="822" priority="750" stopIfTrue="1">
      <formula>ACOMPANHAMENTO="BM"</formula>
    </cfRule>
    <cfRule type="expression" dxfId="821" priority="751" stopIfTrue="1">
      <formula>OR($B233=0,$B233=2,$B233=3,$B233=4)</formula>
    </cfRule>
    <cfRule type="expression" dxfId="820" priority="752" stopIfTrue="1">
      <formula>$B233=1</formula>
    </cfRule>
  </conditionalFormatting>
  <conditionalFormatting sqref="D264:I272">
    <cfRule type="expression" dxfId="819" priority="737" stopIfTrue="1">
      <formula>$B264=1</formula>
    </cfRule>
    <cfRule type="expression" dxfId="818" priority="738" stopIfTrue="1">
      <formula>OR($B264=0,$B264=2,$B264=3,$B264=4)</formula>
    </cfRule>
  </conditionalFormatting>
  <conditionalFormatting sqref="M264:N272">
    <cfRule type="expression" dxfId="817" priority="739" stopIfTrue="1">
      <formula>ACOMPANHAMENTO="BM"</formula>
    </cfRule>
    <cfRule type="expression" dxfId="816" priority="740" stopIfTrue="1">
      <formula>OR($B264=0,$B264=2,$B264=3,$B264=4)</formula>
    </cfRule>
    <cfRule type="expression" dxfId="815" priority="741" stopIfTrue="1">
      <formula>$B264=1</formula>
    </cfRule>
  </conditionalFormatting>
  <conditionalFormatting sqref="D273:I281">
    <cfRule type="expression" dxfId="814" priority="726" stopIfTrue="1">
      <formula>$B273=1</formula>
    </cfRule>
    <cfRule type="expression" dxfId="813" priority="727" stopIfTrue="1">
      <formula>OR($B273=0,$B273=2,$B273=3,$B273=4)</formula>
    </cfRule>
  </conditionalFormatting>
  <conditionalFormatting sqref="M273:N281">
    <cfRule type="expression" dxfId="812" priority="728" stopIfTrue="1">
      <formula>ACOMPANHAMENTO="BM"</formula>
    </cfRule>
    <cfRule type="expression" dxfId="811" priority="729" stopIfTrue="1">
      <formula>OR($B273=0,$B273=2,$B273=3,$B273=4)</formula>
    </cfRule>
    <cfRule type="expression" dxfId="810" priority="730" stopIfTrue="1">
      <formula>$B273=1</formula>
    </cfRule>
  </conditionalFormatting>
  <conditionalFormatting sqref="D333:I334">
    <cfRule type="expression" dxfId="809" priority="715" stopIfTrue="1">
      <formula>$B333=1</formula>
    </cfRule>
    <cfRule type="expression" dxfId="808" priority="716" stopIfTrue="1">
      <formula>OR($B333=0,$B333=2,$B333=3,$B333=4)</formula>
    </cfRule>
  </conditionalFormatting>
  <conditionalFormatting sqref="M333:N334">
    <cfRule type="expression" dxfId="807" priority="717" stopIfTrue="1">
      <formula>ACOMPANHAMENTO="BM"</formula>
    </cfRule>
    <cfRule type="expression" dxfId="806" priority="718" stopIfTrue="1">
      <formula>OR($B333=0,$B333=2,$B333=3,$B333=4)</formula>
    </cfRule>
    <cfRule type="expression" dxfId="805" priority="719" stopIfTrue="1">
      <formula>$B333=1</formula>
    </cfRule>
  </conditionalFormatting>
  <conditionalFormatting sqref="D336:I344">
    <cfRule type="expression" dxfId="804" priority="704" stopIfTrue="1">
      <formula>$B336=1</formula>
    </cfRule>
    <cfRule type="expression" dxfId="803" priority="705" stopIfTrue="1">
      <formula>OR($B336=0,$B336=2,$B336=3,$B336=4)</formula>
    </cfRule>
  </conditionalFormatting>
  <conditionalFormatting sqref="M336:N344">
    <cfRule type="expression" dxfId="802" priority="706" stopIfTrue="1">
      <formula>ACOMPANHAMENTO="BM"</formula>
    </cfRule>
    <cfRule type="expression" dxfId="801" priority="707" stopIfTrue="1">
      <formula>OR($B336=0,$B336=2,$B336=3,$B336=4)</formula>
    </cfRule>
    <cfRule type="expression" dxfId="800" priority="708" stopIfTrue="1">
      <formula>$B336=1</formula>
    </cfRule>
  </conditionalFormatting>
  <conditionalFormatting sqref="D380:I384 D458:I461">
    <cfRule type="expression" dxfId="799" priority="693" stopIfTrue="1">
      <formula>$B380=1</formula>
    </cfRule>
    <cfRule type="expression" dxfId="798" priority="694" stopIfTrue="1">
      <formula>OR($B380=0,$B380=2,$B380=3,$B380=4)</formula>
    </cfRule>
  </conditionalFormatting>
  <conditionalFormatting sqref="M380:N384 M458:N461">
    <cfRule type="expression" dxfId="797" priority="695" stopIfTrue="1">
      <formula>ACOMPANHAMENTO="BM"</formula>
    </cfRule>
    <cfRule type="expression" dxfId="796" priority="696" stopIfTrue="1">
      <formula>OR($B380=0,$B380=2,$B380=3,$B380=4)</formula>
    </cfRule>
    <cfRule type="expression" dxfId="795" priority="697" stopIfTrue="1">
      <formula>$B380=1</formula>
    </cfRule>
  </conditionalFormatting>
  <conditionalFormatting sqref="D462:I463">
    <cfRule type="expression" dxfId="794" priority="682" stopIfTrue="1">
      <formula>$B462=1</formula>
    </cfRule>
    <cfRule type="expression" dxfId="793" priority="683" stopIfTrue="1">
      <formula>OR($B462=0,$B462=2,$B462=3,$B462=4)</formula>
    </cfRule>
  </conditionalFormatting>
  <conditionalFormatting sqref="M462:N463">
    <cfRule type="expression" dxfId="792" priority="684" stopIfTrue="1">
      <formula>ACOMPANHAMENTO="BM"</formula>
    </cfRule>
    <cfRule type="expression" dxfId="791" priority="685" stopIfTrue="1">
      <formula>OR($B462=0,$B462=2,$B462=3,$B462=4)</formula>
    </cfRule>
    <cfRule type="expression" dxfId="790" priority="686" stopIfTrue="1">
      <formula>$B462=1</formula>
    </cfRule>
  </conditionalFormatting>
  <conditionalFormatting sqref="D345:I345">
    <cfRule type="expression" dxfId="789" priority="671" stopIfTrue="1">
      <formula>$B345=1</formula>
    </cfRule>
    <cfRule type="expression" dxfId="788" priority="672" stopIfTrue="1">
      <formula>OR($B345=0,$B345=2,$B345=3,$B345=4)</formula>
    </cfRule>
  </conditionalFormatting>
  <conditionalFormatting sqref="M345:N345">
    <cfRule type="expression" dxfId="787" priority="673" stopIfTrue="1">
      <formula>ACOMPANHAMENTO="BM"</formula>
    </cfRule>
    <cfRule type="expression" dxfId="786" priority="674" stopIfTrue="1">
      <formula>OR($B345=0,$B345=2,$B345=3,$B345=4)</formula>
    </cfRule>
    <cfRule type="expression" dxfId="785" priority="675" stopIfTrue="1">
      <formula>$B345=1</formula>
    </cfRule>
  </conditionalFormatting>
  <conditionalFormatting sqref="D369:I377">
    <cfRule type="expression" dxfId="784" priority="660" stopIfTrue="1">
      <formula>$B369=1</formula>
    </cfRule>
    <cfRule type="expression" dxfId="783" priority="661" stopIfTrue="1">
      <formula>OR($B369=0,$B369=2,$B369=3,$B369=4)</formula>
    </cfRule>
  </conditionalFormatting>
  <conditionalFormatting sqref="M369:N377">
    <cfRule type="expression" dxfId="782" priority="662" stopIfTrue="1">
      <formula>ACOMPANHAMENTO="BM"</formula>
    </cfRule>
    <cfRule type="expression" dxfId="781" priority="663" stopIfTrue="1">
      <formula>OR($B369=0,$B369=2,$B369=3,$B369=4)</formula>
    </cfRule>
    <cfRule type="expression" dxfId="780" priority="664" stopIfTrue="1">
      <formula>$B369=1</formula>
    </cfRule>
  </conditionalFormatting>
  <conditionalFormatting sqref="D378:I379">
    <cfRule type="expression" dxfId="779" priority="649" stopIfTrue="1">
      <formula>$B378=1</formula>
    </cfRule>
    <cfRule type="expression" dxfId="778" priority="650" stopIfTrue="1">
      <formula>OR($B378=0,$B378=2,$B378=3,$B378=4)</formula>
    </cfRule>
  </conditionalFormatting>
  <conditionalFormatting sqref="M378:N379">
    <cfRule type="expression" dxfId="777" priority="651" stopIfTrue="1">
      <formula>ACOMPANHAMENTO="BM"</formula>
    </cfRule>
    <cfRule type="expression" dxfId="776" priority="652" stopIfTrue="1">
      <formula>OR($B378=0,$B378=2,$B378=3,$B378=4)</formula>
    </cfRule>
    <cfRule type="expression" dxfId="775" priority="653" stopIfTrue="1">
      <formula>$B378=1</formula>
    </cfRule>
  </conditionalFormatting>
  <conditionalFormatting sqref="D361:I362">
    <cfRule type="expression" dxfId="774" priority="616" stopIfTrue="1">
      <formula>$B361=1</formula>
    </cfRule>
    <cfRule type="expression" dxfId="773" priority="617" stopIfTrue="1">
      <formula>OR($B361=0,$B361=2,$B361=3,$B361=4)</formula>
    </cfRule>
  </conditionalFormatting>
  <conditionalFormatting sqref="M361:N362">
    <cfRule type="expression" dxfId="772" priority="618" stopIfTrue="1">
      <formula>ACOMPANHAMENTO="BM"</formula>
    </cfRule>
    <cfRule type="expression" dxfId="771" priority="619" stopIfTrue="1">
      <formula>OR($B361=0,$B361=2,$B361=3,$B361=4)</formula>
    </cfRule>
    <cfRule type="expression" dxfId="770" priority="620" stopIfTrue="1">
      <formula>$B361=1</formula>
    </cfRule>
  </conditionalFormatting>
  <conditionalFormatting sqref="D282:I282">
    <cfRule type="expression" dxfId="769" priority="605" stopIfTrue="1">
      <formula>$B282=1</formula>
    </cfRule>
    <cfRule type="expression" dxfId="768" priority="606" stopIfTrue="1">
      <formula>OR($B282=0,$B282=2,$B282=3,$B282=4)</formula>
    </cfRule>
  </conditionalFormatting>
  <conditionalFormatting sqref="M282:N282">
    <cfRule type="expression" dxfId="767" priority="607" stopIfTrue="1">
      <formula>ACOMPANHAMENTO="BM"</formula>
    </cfRule>
    <cfRule type="expression" dxfId="766" priority="608" stopIfTrue="1">
      <formula>OR($B282=0,$B282=2,$B282=3,$B282=4)</formula>
    </cfRule>
    <cfRule type="expression" dxfId="765" priority="609" stopIfTrue="1">
      <formula>$B282=1</formula>
    </cfRule>
  </conditionalFormatting>
  <conditionalFormatting sqref="D322:I330">
    <cfRule type="expression" dxfId="764" priority="594" stopIfTrue="1">
      <formula>$B322=1</formula>
    </cfRule>
    <cfRule type="expression" dxfId="763" priority="595" stopIfTrue="1">
      <formula>OR($B322=0,$B322=2,$B322=3,$B322=4)</formula>
    </cfRule>
  </conditionalFormatting>
  <conditionalFormatting sqref="M322:N330">
    <cfRule type="expression" dxfId="762" priority="596" stopIfTrue="1">
      <formula>ACOMPANHAMENTO="BM"</formula>
    </cfRule>
    <cfRule type="expression" dxfId="761" priority="597" stopIfTrue="1">
      <formula>OR($B322=0,$B322=2,$B322=3,$B322=4)</formula>
    </cfRule>
    <cfRule type="expression" dxfId="760" priority="598" stopIfTrue="1">
      <formula>$B322=1</formula>
    </cfRule>
  </conditionalFormatting>
  <conditionalFormatting sqref="D331:I332">
    <cfRule type="expression" dxfId="759" priority="583" stopIfTrue="1">
      <formula>$B331=1</formula>
    </cfRule>
    <cfRule type="expression" dxfId="758" priority="584" stopIfTrue="1">
      <formula>OR($B331=0,$B331=2,$B331=3,$B331=4)</formula>
    </cfRule>
  </conditionalFormatting>
  <conditionalFormatting sqref="M331:N332">
    <cfRule type="expression" dxfId="757" priority="585" stopIfTrue="1">
      <formula>ACOMPANHAMENTO="BM"</formula>
    </cfRule>
    <cfRule type="expression" dxfId="756" priority="586" stopIfTrue="1">
      <formula>OR($B331=0,$B331=2,$B331=3,$B331=4)</formula>
    </cfRule>
    <cfRule type="expression" dxfId="755" priority="587" stopIfTrue="1">
      <formula>$B331=1</formula>
    </cfRule>
  </conditionalFormatting>
  <conditionalFormatting sqref="D298:I299">
    <cfRule type="expression" dxfId="754" priority="550" stopIfTrue="1">
      <formula>$B298=1</formula>
    </cfRule>
    <cfRule type="expression" dxfId="753" priority="551" stopIfTrue="1">
      <formula>OR($B298=0,$B298=2,$B298=3,$B298=4)</formula>
    </cfRule>
  </conditionalFormatting>
  <conditionalFormatting sqref="M298:N299">
    <cfRule type="expression" dxfId="752" priority="552" stopIfTrue="1">
      <formula>ACOMPANHAMENTO="BM"</formula>
    </cfRule>
    <cfRule type="expression" dxfId="751" priority="553" stopIfTrue="1">
      <formula>OR($B298=0,$B298=2,$B298=3,$B298=4)</formula>
    </cfRule>
    <cfRule type="expression" dxfId="750" priority="554" stopIfTrue="1">
      <formula>$B298=1</formula>
    </cfRule>
  </conditionalFormatting>
  <conditionalFormatting sqref="D307:I315">
    <cfRule type="expression" dxfId="749" priority="528" stopIfTrue="1">
      <formula>$B307=1</formula>
    </cfRule>
    <cfRule type="expression" dxfId="748" priority="529" stopIfTrue="1">
      <formula>OR($B307=0,$B307=2,$B307=3,$B307=4)</formula>
    </cfRule>
  </conditionalFormatting>
  <conditionalFormatting sqref="M307:N315">
    <cfRule type="expression" dxfId="747" priority="530" stopIfTrue="1">
      <formula>ACOMPANHAMENTO="BM"</formula>
    </cfRule>
    <cfRule type="expression" dxfId="746" priority="531" stopIfTrue="1">
      <formula>OR($B307=0,$B307=2,$B307=3,$B307=4)</formula>
    </cfRule>
    <cfRule type="expression" dxfId="745" priority="532" stopIfTrue="1">
      <formula>$B307=1</formula>
    </cfRule>
  </conditionalFormatting>
  <conditionalFormatting sqref="D385:I385 D439:I446">
    <cfRule type="expression" dxfId="744" priority="506" stopIfTrue="1">
      <formula>$B385=1</formula>
    </cfRule>
    <cfRule type="expression" dxfId="743" priority="507" stopIfTrue="1">
      <formula>OR($B385=0,$B385=2,$B385=3,$B385=4)</formula>
    </cfRule>
  </conditionalFormatting>
  <conditionalFormatting sqref="M385:N385 M439:N446">
    <cfRule type="expression" dxfId="742" priority="508" stopIfTrue="1">
      <formula>ACOMPANHAMENTO="BM"</formula>
    </cfRule>
    <cfRule type="expression" dxfId="741" priority="509" stopIfTrue="1">
      <formula>OR($B385=0,$B385=2,$B385=3,$B385=4)</formula>
    </cfRule>
    <cfRule type="expression" dxfId="740" priority="510" stopIfTrue="1">
      <formula>$B385=1</formula>
    </cfRule>
  </conditionalFormatting>
  <conditionalFormatting sqref="D447:I455">
    <cfRule type="expression" dxfId="739" priority="495" stopIfTrue="1">
      <formula>$B447=1</formula>
    </cfRule>
    <cfRule type="expression" dxfId="738" priority="496" stopIfTrue="1">
      <formula>OR($B447=0,$B447=2,$B447=3,$B447=4)</formula>
    </cfRule>
  </conditionalFormatting>
  <conditionalFormatting sqref="M447:N455">
    <cfRule type="expression" dxfId="737" priority="497" stopIfTrue="1">
      <formula>ACOMPANHAMENTO="BM"</formula>
    </cfRule>
    <cfRule type="expression" dxfId="736" priority="498" stopIfTrue="1">
      <formula>OR($B447=0,$B447=2,$B447=3,$B447=4)</formula>
    </cfRule>
    <cfRule type="expression" dxfId="735" priority="499" stopIfTrue="1">
      <formula>$B447=1</formula>
    </cfRule>
  </conditionalFormatting>
  <conditionalFormatting sqref="D456:I457">
    <cfRule type="expression" dxfId="734" priority="484" stopIfTrue="1">
      <formula>$B456=1</formula>
    </cfRule>
    <cfRule type="expression" dxfId="733" priority="485" stopIfTrue="1">
      <formula>OR($B456=0,$B456=2,$B456=3,$B456=4)</formula>
    </cfRule>
  </conditionalFormatting>
  <conditionalFormatting sqref="M456:N457">
    <cfRule type="expression" dxfId="732" priority="486" stopIfTrue="1">
      <formula>ACOMPANHAMENTO="BM"</formula>
    </cfRule>
    <cfRule type="expression" dxfId="731" priority="487" stopIfTrue="1">
      <formula>OR($B456=0,$B456=2,$B456=3,$B456=4)</formula>
    </cfRule>
    <cfRule type="expression" dxfId="730" priority="488" stopIfTrue="1">
      <formula>$B456=1</formula>
    </cfRule>
  </conditionalFormatting>
  <conditionalFormatting sqref="D386:I386 D421:I428">
    <cfRule type="expression" dxfId="729" priority="473" stopIfTrue="1">
      <formula>$B386=1</formula>
    </cfRule>
    <cfRule type="expression" dxfId="728" priority="474" stopIfTrue="1">
      <formula>OR($B386=0,$B386=2,$B386=3,$B386=4)</formula>
    </cfRule>
  </conditionalFormatting>
  <conditionalFormatting sqref="M386:N386 M421:N428">
    <cfRule type="expression" dxfId="727" priority="475" stopIfTrue="1">
      <formula>ACOMPANHAMENTO="BM"</formula>
    </cfRule>
    <cfRule type="expression" dxfId="726" priority="476" stopIfTrue="1">
      <formula>OR($B386=0,$B386=2,$B386=3,$B386=4)</formula>
    </cfRule>
    <cfRule type="expression" dxfId="725" priority="477" stopIfTrue="1">
      <formula>$B386=1</formula>
    </cfRule>
  </conditionalFormatting>
  <conditionalFormatting sqref="D437:I438">
    <cfRule type="expression" dxfId="724" priority="451" stopIfTrue="1">
      <formula>$B437=1</formula>
    </cfRule>
    <cfRule type="expression" dxfId="723" priority="452" stopIfTrue="1">
      <formula>OR($B437=0,$B437=2,$B437=3,$B437=4)</formula>
    </cfRule>
  </conditionalFormatting>
  <conditionalFormatting sqref="M437:N438">
    <cfRule type="expression" dxfId="722" priority="453" stopIfTrue="1">
      <formula>ACOMPANHAMENTO="BM"</formula>
    </cfRule>
    <cfRule type="expression" dxfId="721" priority="454" stopIfTrue="1">
      <formula>OR($B437=0,$B437=2,$B437=3,$B437=4)</formula>
    </cfRule>
    <cfRule type="expression" dxfId="720" priority="455" stopIfTrue="1">
      <formula>$B437=1</formula>
    </cfRule>
  </conditionalFormatting>
  <conditionalFormatting sqref="D387:I387 D406:I413">
    <cfRule type="expression" dxfId="719" priority="440" stopIfTrue="1">
      <formula>$B387=1</formula>
    </cfRule>
    <cfRule type="expression" dxfId="718" priority="441" stopIfTrue="1">
      <formula>OR($B387=0,$B387=2,$B387=3,$B387=4)</formula>
    </cfRule>
  </conditionalFormatting>
  <conditionalFormatting sqref="M387:N387 M406:N413">
    <cfRule type="expression" dxfId="717" priority="442" stopIfTrue="1">
      <formula>ACOMPANHAMENTO="BM"</formula>
    </cfRule>
    <cfRule type="expression" dxfId="716" priority="443" stopIfTrue="1">
      <formula>OR($B387=0,$B387=2,$B387=3,$B387=4)</formula>
    </cfRule>
    <cfRule type="expression" dxfId="715" priority="444" stopIfTrue="1">
      <formula>$B387=1</formula>
    </cfRule>
  </conditionalFormatting>
  <conditionalFormatting sqref="D388:I396">
    <cfRule type="expression" dxfId="714" priority="407" stopIfTrue="1">
      <formula>$B388=1</formula>
    </cfRule>
    <cfRule type="expression" dxfId="713" priority="408" stopIfTrue="1">
      <formula>OR($B388=0,$B388=2,$B388=3,$B388=4)</formula>
    </cfRule>
  </conditionalFormatting>
  <conditionalFormatting sqref="M388:N396">
    <cfRule type="expression" dxfId="712" priority="409" stopIfTrue="1">
      <formula>ACOMPANHAMENTO="BM"</formula>
    </cfRule>
    <cfRule type="expression" dxfId="711" priority="410" stopIfTrue="1">
      <formula>OR($B388=0,$B388=2,$B388=3,$B388=4)</formula>
    </cfRule>
    <cfRule type="expression" dxfId="710" priority="411" stopIfTrue="1">
      <formula>$B388=1</formula>
    </cfRule>
  </conditionalFormatting>
  <conditionalFormatting sqref="D404:I405">
    <cfRule type="expression" dxfId="709" priority="385" stopIfTrue="1">
      <formula>$B404=1</formula>
    </cfRule>
    <cfRule type="expression" dxfId="708" priority="386" stopIfTrue="1">
      <formula>OR($B404=0,$B404=2,$B404=3,$B404=4)</formula>
    </cfRule>
  </conditionalFormatting>
  <conditionalFormatting sqref="M404:N405">
    <cfRule type="expression" dxfId="707" priority="387" stopIfTrue="1">
      <formula>ACOMPANHAMENTO="BM"</formula>
    </cfRule>
    <cfRule type="expression" dxfId="706" priority="388" stopIfTrue="1">
      <formula>OR($B404=0,$B404=2,$B404=3,$B404=4)</formula>
    </cfRule>
    <cfRule type="expression" dxfId="705" priority="389" stopIfTrue="1">
      <formula>$B404=1</formula>
    </cfRule>
  </conditionalFormatting>
  <conditionalFormatting sqref="D569:I569 D495:I495">
    <cfRule type="expression" dxfId="704" priority="377" stopIfTrue="1">
      <formula>$B495=1</formula>
    </cfRule>
    <cfRule type="expression" dxfId="703" priority="378" stopIfTrue="1">
      <formula>OR($B495=0,$B495=2,$B495=3,$B495=4)</formula>
    </cfRule>
  </conditionalFormatting>
  <conditionalFormatting sqref="M569:N569 M495:N495">
    <cfRule type="expression" dxfId="702" priority="379" stopIfTrue="1">
      <formula>ACOMPANHAMENTO="BM"</formula>
    </cfRule>
    <cfRule type="expression" dxfId="701" priority="380" stopIfTrue="1">
      <formula>OR($B495=0,$B495=2,$B495=3,$B495=4)</formula>
    </cfRule>
    <cfRule type="expression" dxfId="700" priority="381" stopIfTrue="1">
      <formula>$B495=1</formula>
    </cfRule>
  </conditionalFormatting>
  <conditionalFormatting sqref="D570:I575 D682:I684">
    <cfRule type="expression" dxfId="699" priority="369" stopIfTrue="1">
      <formula>$B570=1</formula>
    </cfRule>
    <cfRule type="expression" dxfId="698" priority="370" stopIfTrue="1">
      <formula>OR($B570=0,$B570=2,$B570=3,$B570=4)</formula>
    </cfRule>
  </conditionalFormatting>
  <conditionalFormatting sqref="M570:N575 M682:N684">
    <cfRule type="expression" dxfId="697" priority="371" stopIfTrue="1">
      <formula>ACOMPANHAMENTO="BM"</formula>
    </cfRule>
    <cfRule type="expression" dxfId="696" priority="372" stopIfTrue="1">
      <formula>OR($B570=0,$B570=2,$B570=3,$B570=4)</formula>
    </cfRule>
    <cfRule type="expression" dxfId="695" priority="373" stopIfTrue="1">
      <formula>$B570=1</formula>
    </cfRule>
  </conditionalFormatting>
  <conditionalFormatting sqref="D496:I496 D552:I559">
    <cfRule type="expression" dxfId="694" priority="353" stopIfTrue="1">
      <formula>$B496=1</formula>
    </cfRule>
    <cfRule type="expression" dxfId="693" priority="354" stopIfTrue="1">
      <formula>OR($B496=0,$B496=2,$B496=3,$B496=4)</formula>
    </cfRule>
  </conditionalFormatting>
  <conditionalFormatting sqref="M496:N496 M552:N559">
    <cfRule type="expression" dxfId="692" priority="355" stopIfTrue="1">
      <formula>ACOMPANHAMENTO="BM"</formula>
    </cfRule>
    <cfRule type="expression" dxfId="691" priority="356" stopIfTrue="1">
      <formula>OR($B496=0,$B496=2,$B496=3,$B496=4)</formula>
    </cfRule>
    <cfRule type="expression" dxfId="690" priority="357" stopIfTrue="1">
      <formula>$B496=1</formula>
    </cfRule>
  </conditionalFormatting>
  <conditionalFormatting sqref="D567:I568">
    <cfRule type="expression" dxfId="689" priority="337" stopIfTrue="1">
      <formula>$B567=1</formula>
    </cfRule>
    <cfRule type="expression" dxfId="688" priority="338" stopIfTrue="1">
      <formula>OR($B567=0,$B567=2,$B567=3,$B567=4)</formula>
    </cfRule>
  </conditionalFormatting>
  <conditionalFormatting sqref="M567:N568">
    <cfRule type="expression" dxfId="687" priority="339" stopIfTrue="1">
      <formula>ACOMPANHAMENTO="BM"</formula>
    </cfRule>
    <cfRule type="expression" dxfId="686" priority="340" stopIfTrue="1">
      <formula>OR($B567=0,$B567=2,$B567=3,$B567=4)</formula>
    </cfRule>
    <cfRule type="expression" dxfId="685" priority="341" stopIfTrue="1">
      <formula>$B567=1</formula>
    </cfRule>
  </conditionalFormatting>
  <conditionalFormatting sqref="D497:I502 D539:I541">
    <cfRule type="expression" dxfId="684" priority="329" stopIfTrue="1">
      <formula>$B497=1</formula>
    </cfRule>
    <cfRule type="expression" dxfId="683" priority="330" stopIfTrue="1">
      <formula>OR($B497=0,$B497=2,$B497=3,$B497=4)</formula>
    </cfRule>
  </conditionalFormatting>
  <conditionalFormatting sqref="M497:N502 M539:N541">
    <cfRule type="expression" dxfId="682" priority="331" stopIfTrue="1">
      <formula>ACOMPANHAMENTO="BM"</formula>
    </cfRule>
    <cfRule type="expression" dxfId="681" priority="332" stopIfTrue="1">
      <formula>OR($B497=0,$B497=2,$B497=3,$B497=4)</formula>
    </cfRule>
    <cfRule type="expression" dxfId="680" priority="333" stopIfTrue="1">
      <formula>$B497=1</formula>
    </cfRule>
  </conditionalFormatting>
  <conditionalFormatting sqref="D550:I551">
    <cfRule type="expression" dxfId="679" priority="313" stopIfTrue="1">
      <formula>$B550=1</formula>
    </cfRule>
    <cfRule type="expression" dxfId="678" priority="314" stopIfTrue="1">
      <formula>OR($B550=0,$B550=2,$B550=3,$B550=4)</formula>
    </cfRule>
  </conditionalFormatting>
  <conditionalFormatting sqref="M550:N551">
    <cfRule type="expression" dxfId="677" priority="315" stopIfTrue="1">
      <formula>ACOMPANHAMENTO="BM"</formula>
    </cfRule>
    <cfRule type="expression" dxfId="676" priority="316" stopIfTrue="1">
      <formula>OR($B550=0,$B550=2,$B550=3,$B550=4)</formula>
    </cfRule>
    <cfRule type="expression" dxfId="675" priority="317" stopIfTrue="1">
      <formula>$B550=1</formula>
    </cfRule>
  </conditionalFormatting>
  <conditionalFormatting sqref="D503:I503">
    <cfRule type="expression" dxfId="674" priority="305" stopIfTrue="1">
      <formula>$B503=1</formula>
    </cfRule>
    <cfRule type="expression" dxfId="673" priority="306" stopIfTrue="1">
      <formula>OR($B503=0,$B503=2,$B503=3,$B503=4)</formula>
    </cfRule>
  </conditionalFormatting>
  <conditionalFormatting sqref="M503:N503">
    <cfRule type="expression" dxfId="672" priority="307" stopIfTrue="1">
      <formula>ACOMPANHAMENTO="BM"</formula>
    </cfRule>
    <cfRule type="expression" dxfId="671" priority="308" stopIfTrue="1">
      <formula>OR($B503=0,$B503=2,$B503=3,$B503=4)</formula>
    </cfRule>
    <cfRule type="expression" dxfId="670" priority="309" stopIfTrue="1">
      <formula>$B503=1</formula>
    </cfRule>
  </conditionalFormatting>
  <conditionalFormatting sqref="D537:I538">
    <cfRule type="expression" dxfId="669" priority="289" stopIfTrue="1">
      <formula>$B537=1</formula>
    </cfRule>
    <cfRule type="expression" dxfId="668" priority="290" stopIfTrue="1">
      <formula>OR($B537=0,$B537=2,$B537=3,$B537=4)</formula>
    </cfRule>
  </conditionalFormatting>
  <conditionalFormatting sqref="M537:N538">
    <cfRule type="expression" dxfId="667" priority="291" stopIfTrue="1">
      <formula>ACOMPANHAMENTO="BM"</formula>
    </cfRule>
    <cfRule type="expression" dxfId="666" priority="292" stopIfTrue="1">
      <formula>OR($B537=0,$B537=2,$B537=3,$B537=4)</formula>
    </cfRule>
    <cfRule type="expression" dxfId="665" priority="293" stopIfTrue="1">
      <formula>$B537=1</formula>
    </cfRule>
  </conditionalFormatting>
  <conditionalFormatting sqref="D511:I519">
    <cfRule type="expression" dxfId="664" priority="273" stopIfTrue="1">
      <formula>$B511=1</formula>
    </cfRule>
    <cfRule type="expression" dxfId="663" priority="274" stopIfTrue="1">
      <formula>OR($B511=0,$B511=2,$B511=3,$B511=4)</formula>
    </cfRule>
  </conditionalFormatting>
  <conditionalFormatting sqref="M511:N519">
    <cfRule type="expression" dxfId="662" priority="275" stopIfTrue="1">
      <formula>ACOMPANHAMENTO="BM"</formula>
    </cfRule>
    <cfRule type="expression" dxfId="661" priority="276" stopIfTrue="1">
      <formula>OR($B511=0,$B511=2,$B511=3,$B511=4)</formula>
    </cfRule>
    <cfRule type="expression" dxfId="660" priority="277" stopIfTrue="1">
      <formula>$B511=1</formula>
    </cfRule>
  </conditionalFormatting>
  <conditionalFormatting sqref="D520:I521">
    <cfRule type="expression" dxfId="659" priority="265" stopIfTrue="1">
      <formula>$B520=1</formula>
    </cfRule>
    <cfRule type="expression" dxfId="658" priority="266" stopIfTrue="1">
      <formula>OR($B520=0,$B520=2,$B520=3,$B520=4)</formula>
    </cfRule>
  </conditionalFormatting>
  <conditionalFormatting sqref="M520:N521">
    <cfRule type="expression" dxfId="657" priority="267" stopIfTrue="1">
      <formula>ACOMPANHAMENTO="BM"</formula>
    </cfRule>
    <cfRule type="expression" dxfId="656" priority="268" stopIfTrue="1">
      <formula>OR($B520=0,$B520=2,$B520=3,$B520=4)</formula>
    </cfRule>
    <cfRule type="expression" dxfId="655" priority="269" stopIfTrue="1">
      <formula>$B520=1</formula>
    </cfRule>
  </conditionalFormatting>
  <conditionalFormatting sqref="D493:I494">
    <cfRule type="expression" dxfId="654" priority="241" stopIfTrue="1">
      <formula>$B493=1</formula>
    </cfRule>
    <cfRule type="expression" dxfId="653" priority="242" stopIfTrue="1">
      <formula>OR($B493=0,$B493=2,$B493=3,$B493=4)</formula>
    </cfRule>
  </conditionalFormatting>
  <conditionalFormatting sqref="M493:N494">
    <cfRule type="expression" dxfId="652" priority="243" stopIfTrue="1">
      <formula>ACOMPANHAMENTO="BM"</formula>
    </cfRule>
    <cfRule type="expression" dxfId="651" priority="244" stopIfTrue="1">
      <formula>OR($B493=0,$B493=2,$B493=3,$B493=4)</formula>
    </cfRule>
    <cfRule type="expression" dxfId="650" priority="245" stopIfTrue="1">
      <formula>$B493=1</formula>
    </cfRule>
  </conditionalFormatting>
  <conditionalFormatting sqref="D576:I576 D648:I655">
    <cfRule type="expression" dxfId="649" priority="209" stopIfTrue="1">
      <formula>$B576=1</formula>
    </cfRule>
    <cfRule type="expression" dxfId="648" priority="210" stopIfTrue="1">
      <formula>OR($B576=0,$B576=2,$B576=3,$B576=4)</formula>
    </cfRule>
  </conditionalFormatting>
  <conditionalFormatting sqref="M576:N576 M648:N655">
    <cfRule type="expression" dxfId="647" priority="211" stopIfTrue="1">
      <formula>ACOMPANHAMENTO="BM"</formula>
    </cfRule>
    <cfRule type="expression" dxfId="646" priority="212" stopIfTrue="1">
      <formula>OR($B576=0,$B576=2,$B576=3,$B576=4)</formula>
    </cfRule>
    <cfRule type="expression" dxfId="645" priority="213" stopIfTrue="1">
      <formula>$B576=1</formula>
    </cfRule>
  </conditionalFormatting>
  <conditionalFormatting sqref="D663:I664">
    <cfRule type="expression" dxfId="644" priority="193" stopIfTrue="1">
      <formula>$B663=1</formula>
    </cfRule>
    <cfRule type="expression" dxfId="643" priority="194" stopIfTrue="1">
      <formula>OR($B663=0,$B663=2,$B663=3,$B663=4)</formula>
    </cfRule>
  </conditionalFormatting>
  <conditionalFormatting sqref="M663:N664">
    <cfRule type="expression" dxfId="642" priority="195" stopIfTrue="1">
      <formula>ACOMPANHAMENTO="BM"</formula>
    </cfRule>
    <cfRule type="expression" dxfId="641" priority="196" stopIfTrue="1">
      <formula>OR($B663=0,$B663=2,$B663=3,$B663=4)</formula>
    </cfRule>
    <cfRule type="expression" dxfId="640" priority="197" stopIfTrue="1">
      <formula>$B663=1</formula>
    </cfRule>
  </conditionalFormatting>
  <conditionalFormatting sqref="D577:I577 D629:I636">
    <cfRule type="expression" dxfId="639" priority="185" stopIfTrue="1">
      <formula>$B577=1</formula>
    </cfRule>
    <cfRule type="expression" dxfId="638" priority="186" stopIfTrue="1">
      <formula>OR($B577=0,$B577=2,$B577=3,$B577=4)</formula>
    </cfRule>
  </conditionalFormatting>
  <conditionalFormatting sqref="M577:N577 M629:N636">
    <cfRule type="expression" dxfId="637" priority="187" stopIfTrue="1">
      <formula>ACOMPANHAMENTO="BM"</formula>
    </cfRule>
    <cfRule type="expression" dxfId="636" priority="188" stopIfTrue="1">
      <formula>OR($B577=0,$B577=2,$B577=3,$B577=4)</formula>
    </cfRule>
    <cfRule type="expression" dxfId="635" priority="189" stopIfTrue="1">
      <formula>$B577=1</formula>
    </cfRule>
  </conditionalFormatting>
  <conditionalFormatting sqref="D637:I645">
    <cfRule type="expression" dxfId="634" priority="177" stopIfTrue="1">
      <formula>$B637=1</formula>
    </cfRule>
    <cfRule type="expression" dxfId="633" priority="178" stopIfTrue="1">
      <formula>OR($B637=0,$B637=2,$B637=3,$B637=4)</formula>
    </cfRule>
  </conditionalFormatting>
  <conditionalFormatting sqref="M637:N645">
    <cfRule type="expression" dxfId="632" priority="179" stopIfTrue="1">
      <formula>ACOMPANHAMENTO="BM"</formula>
    </cfRule>
    <cfRule type="expression" dxfId="631" priority="180" stopIfTrue="1">
      <formula>OR($B637=0,$B637=2,$B637=3,$B637=4)</formula>
    </cfRule>
    <cfRule type="expression" dxfId="630" priority="181" stopIfTrue="1">
      <formula>$B637=1</formula>
    </cfRule>
  </conditionalFormatting>
  <conditionalFormatting sqref="D646:I647">
    <cfRule type="expression" dxfId="629" priority="169" stopIfTrue="1">
      <formula>$B646=1</formula>
    </cfRule>
    <cfRule type="expression" dxfId="628" priority="170" stopIfTrue="1">
      <formula>OR($B646=0,$B646=2,$B646=3,$B646=4)</formula>
    </cfRule>
  </conditionalFormatting>
  <conditionalFormatting sqref="M646:N647">
    <cfRule type="expression" dxfId="627" priority="171" stopIfTrue="1">
      <formula>ACOMPANHAMENTO="BM"</formula>
    </cfRule>
    <cfRule type="expression" dxfId="626" priority="172" stopIfTrue="1">
      <formula>OR($B646=0,$B646=2,$B646=3,$B646=4)</formula>
    </cfRule>
    <cfRule type="expression" dxfId="625" priority="173" stopIfTrue="1">
      <formula>$B646=1</formula>
    </cfRule>
  </conditionalFormatting>
  <conditionalFormatting sqref="D578:I578">
    <cfRule type="expression" dxfId="624" priority="161" stopIfTrue="1">
      <formula>$B578=1</formula>
    </cfRule>
    <cfRule type="expression" dxfId="623" priority="162" stopIfTrue="1">
      <formula>OR($B578=0,$B578=2,$B578=3,$B578=4)</formula>
    </cfRule>
  </conditionalFormatting>
  <conditionalFormatting sqref="M578:N578">
    <cfRule type="expression" dxfId="622" priority="163" stopIfTrue="1">
      <formula>ACOMPANHAMENTO="BM"</formula>
    </cfRule>
    <cfRule type="expression" dxfId="621" priority="164" stopIfTrue="1">
      <formula>OR($B578=0,$B578=2,$B578=3,$B578=4)</formula>
    </cfRule>
    <cfRule type="expression" dxfId="620" priority="165" stopIfTrue="1">
      <formula>$B578=1</formula>
    </cfRule>
  </conditionalFormatting>
  <conditionalFormatting sqref="D618:I626">
    <cfRule type="expression" dxfId="619" priority="153" stopIfTrue="1">
      <formula>$B618=1</formula>
    </cfRule>
    <cfRule type="expression" dxfId="618" priority="154" stopIfTrue="1">
      <formula>OR($B618=0,$B618=2,$B618=3,$B618=4)</formula>
    </cfRule>
  </conditionalFormatting>
  <conditionalFormatting sqref="M618:N626">
    <cfRule type="expression" dxfId="617" priority="155" stopIfTrue="1">
      <formula>ACOMPANHAMENTO="BM"</formula>
    </cfRule>
    <cfRule type="expression" dxfId="616" priority="156" stopIfTrue="1">
      <formula>OR($B618=0,$B618=2,$B618=3,$B618=4)</formula>
    </cfRule>
    <cfRule type="expression" dxfId="615" priority="157" stopIfTrue="1">
      <formula>$B618=1</formula>
    </cfRule>
  </conditionalFormatting>
  <conditionalFormatting sqref="D627:I628">
    <cfRule type="expression" dxfId="614" priority="145" stopIfTrue="1">
      <formula>$B627=1</formula>
    </cfRule>
    <cfRule type="expression" dxfId="613" priority="146" stopIfTrue="1">
      <formula>OR($B627=0,$B627=2,$B627=3,$B627=4)</formula>
    </cfRule>
  </conditionalFormatting>
  <conditionalFormatting sqref="M627:N628">
    <cfRule type="expression" dxfId="612" priority="147" stopIfTrue="1">
      <formula>ACOMPANHAMENTO="BM"</formula>
    </cfRule>
    <cfRule type="expression" dxfId="611" priority="148" stopIfTrue="1">
      <formula>OR($B627=0,$B627=2,$B627=3,$B627=4)</formula>
    </cfRule>
    <cfRule type="expression" dxfId="610" priority="149" stopIfTrue="1">
      <formula>$B627=1</formula>
    </cfRule>
  </conditionalFormatting>
  <conditionalFormatting sqref="D611:I612">
    <cfRule type="expression" dxfId="609" priority="121" stopIfTrue="1">
      <formula>$B611=1</formula>
    </cfRule>
    <cfRule type="expression" dxfId="608" priority="122" stopIfTrue="1">
      <formula>OR($B611=0,$B611=2,$B611=3,$B611=4)</formula>
    </cfRule>
  </conditionalFormatting>
  <conditionalFormatting sqref="M611:N612">
    <cfRule type="expression" dxfId="607" priority="123" stopIfTrue="1">
      <formula>ACOMPANHAMENTO="BM"</formula>
    </cfRule>
    <cfRule type="expression" dxfId="606" priority="124" stopIfTrue="1">
      <formula>OR($B611=0,$B611=2,$B611=3,$B611=4)</formula>
    </cfRule>
    <cfRule type="expression" dxfId="605" priority="125" stopIfTrue="1">
      <formula>$B611=1</formula>
    </cfRule>
  </conditionalFormatting>
  <conditionalFormatting sqref="D685:I685">
    <cfRule type="expression" dxfId="604" priority="89" stopIfTrue="1">
      <formula>$B685=1</formula>
    </cfRule>
    <cfRule type="expression" dxfId="603" priority="90" stopIfTrue="1">
      <formula>OR($B685=0,$B685=2,$B685=3,$B685=4)</formula>
    </cfRule>
  </conditionalFormatting>
  <conditionalFormatting sqref="M685:N685">
    <cfRule type="expression" dxfId="602" priority="91" stopIfTrue="1">
      <formula>ACOMPANHAMENTO="BM"</formula>
    </cfRule>
    <cfRule type="expression" dxfId="601" priority="92" stopIfTrue="1">
      <formula>OR($B685=0,$B685=2,$B685=3,$B685=4)</formula>
    </cfRule>
    <cfRule type="expression" dxfId="600" priority="93" stopIfTrue="1">
      <formula>$B685=1</formula>
    </cfRule>
  </conditionalFormatting>
  <conditionalFormatting sqref="D686:I686">
    <cfRule type="expression" dxfId="599" priority="65" stopIfTrue="1">
      <formula>$B686=1</formula>
    </cfRule>
    <cfRule type="expression" dxfId="598" priority="66" stopIfTrue="1">
      <formula>OR($B686=0,$B686=2,$B686=3,$B686=4)</formula>
    </cfRule>
  </conditionalFormatting>
  <conditionalFormatting sqref="M686:N686">
    <cfRule type="expression" dxfId="597" priority="67" stopIfTrue="1">
      <formula>ACOMPANHAMENTO="BM"</formula>
    </cfRule>
    <cfRule type="expression" dxfId="596" priority="68" stopIfTrue="1">
      <formula>OR($B686=0,$B686=2,$B686=3,$B686=4)</formula>
    </cfRule>
    <cfRule type="expression" dxfId="595" priority="69" stopIfTrue="1">
      <formula>$B686=1</formula>
    </cfRule>
  </conditionalFormatting>
  <conditionalFormatting sqref="D687:I687">
    <cfRule type="expression" dxfId="594" priority="41" stopIfTrue="1">
      <formula>$B687=1</formula>
    </cfRule>
    <cfRule type="expression" dxfId="593" priority="42" stopIfTrue="1">
      <formula>OR($B687=0,$B687=2,$B687=3,$B687=4)</formula>
    </cfRule>
  </conditionalFormatting>
  <conditionalFormatting sqref="M687:N687">
    <cfRule type="expression" dxfId="592" priority="43" stopIfTrue="1">
      <formula>ACOMPANHAMENTO="BM"</formula>
    </cfRule>
    <cfRule type="expression" dxfId="591" priority="44" stopIfTrue="1">
      <formula>OR($B687=0,$B687=2,$B687=3,$B687=4)</formula>
    </cfRule>
    <cfRule type="expression" dxfId="590" priority="45" stopIfTrue="1">
      <formula>$B687=1</formula>
    </cfRule>
  </conditionalFormatting>
  <conditionalFormatting sqref="D719:I720">
    <cfRule type="expression" dxfId="589" priority="25" stopIfTrue="1">
      <formula>$B719=1</formula>
    </cfRule>
    <cfRule type="expression" dxfId="588" priority="26" stopIfTrue="1">
      <formula>OR($B719=0,$B719=2,$B719=3,$B719=4)</formula>
    </cfRule>
  </conditionalFormatting>
  <conditionalFormatting sqref="M719:N720">
    <cfRule type="expression" dxfId="587" priority="27" stopIfTrue="1">
      <formula>ACOMPANHAMENTO="BM"</formula>
    </cfRule>
    <cfRule type="expression" dxfId="586" priority="28" stopIfTrue="1">
      <formula>OR($B719=0,$B719=2,$B719=3,$B719=4)</formula>
    </cfRule>
    <cfRule type="expression" dxfId="585" priority="29" stopIfTrue="1">
      <formula>$B719=1</formula>
    </cfRule>
  </conditionalFormatting>
  <conditionalFormatting sqref="D703:I704">
    <cfRule type="expression" dxfId="584" priority="1" stopIfTrue="1">
      <formula>$B703=1</formula>
    </cfRule>
    <cfRule type="expression" dxfId="583" priority="2" stopIfTrue="1">
      <formula>OR($B703=0,$B703=2,$B703=3,$B703=4)</formula>
    </cfRule>
  </conditionalFormatting>
  <conditionalFormatting sqref="M703:N704">
    <cfRule type="expression" dxfId="582" priority="3" stopIfTrue="1">
      <formula>ACOMPANHAMENTO="BM"</formula>
    </cfRule>
    <cfRule type="expression" dxfId="581" priority="4" stopIfTrue="1">
      <formula>OR($B703=0,$B703=2,$B703=3,$B703=4)</formula>
    </cfRule>
    <cfRule type="expression" dxfId="580" priority="5" stopIfTrue="1">
      <formula>$B703=1</formula>
    </cfRule>
  </conditionalFormatting>
  <dataValidations count="4">
    <dataValidation type="decimal" operator="greaterThan" allowBlank="1" showErrorMessage="1" error="Apenas números decimais maiores que zero." sqref="O14 Q14:AH14 O16:O726 Q16:AH726">
      <formula1>0</formula1>
      <formula2>0</formula2>
    </dataValidation>
    <dataValidation type="list" allowBlank="1" showErrorMessage="1" sqref="K14 K16:K726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726"/>
    <dataValidation allowBlank="1" showInputMessage="1" showErrorMessage="1" prompt="A frente de obra é uma porção física da obra. Exemplos: Única; Rua A; Rua B; Trecho 01; Trecho 02; 1º Andar; 2º Andar; Copa; Banheiro" sqref="Q12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35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>
    <pageSetUpPr fitToPage="1"/>
  </sheetPr>
  <dimension ref="B2:F97"/>
  <sheetViews>
    <sheetView showGridLines="0" zoomScale="90" zoomScaleNormal="90" workbookViewId="0">
      <pane ySplit="14" topLeftCell="A15" activePane="bottomLeft" state="frozen"/>
      <selection pane="bottomLeft" activeCell="K25" sqref="K25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1104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/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IF(AUTOEVENTO="Manual",ROUND(SUMPRODUCT((CÁLCULO!$M$15:$M$727=EVENTOS!$C14)*(OFFSET(CÁLCULO!$AI$15,0,1):OFFSET(CÁLCULO!$BB$727,0,-1))),2),0)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IF(AUTOEVENTO="Manual",ROUND(SUMIF(CÁLCULO!$M$15:$M$727,1,ORÇAMENTO!$X$15:$X$727),2),0)</f>
        <v>0</v>
      </c>
    </row>
    <row r="16" spans="2:6" x14ac:dyDescent="0.2">
      <c r="B16" t="str">
        <f t="shared" ref="B16:B79" ca="1" si="0">CONCATENATE(C16,".",D16)</f>
        <v xml:space="preserve">2.Serviços Preliminares </v>
      </c>
      <c r="C16" s="198">
        <f t="shared" ref="C16:C79" ca="1" si="1">OFFSET(C16,-1,0)+1</f>
        <v>2</v>
      </c>
      <c r="D16" s="627" t="s">
        <v>1020</v>
      </c>
      <c r="E16" s="627"/>
      <c r="F16" s="199">
        <f ca="1">IF(AUTOEVENTO="Manual",ROUND(SUMPRODUCT((CÁLCULO!$M$15:$M$727=EVENTOS!$C16)*(OFFSET(CÁLCULO!$AI$15,0,1):OFFSET(CÁLCULO!$BB$727,0,-1))),2),0)</f>
        <v>0</v>
      </c>
    </row>
    <row r="17" spans="2:6" x14ac:dyDescent="0.2">
      <c r="B17" t="str">
        <f t="shared" ca="1" si="0"/>
        <v>3.Movimentação de Terra Fundações</v>
      </c>
      <c r="C17" s="198">
        <f t="shared" ca="1" si="1"/>
        <v>3</v>
      </c>
      <c r="D17" s="627" t="s">
        <v>1024</v>
      </c>
      <c r="E17" s="627"/>
      <c r="F17" s="199">
        <f ca="1">IF(AUTOEVENTO="Manual",ROUND(SUMPRODUCT((CÁLCULO!$M$15:$M$727=EVENTOS!$C17)*(OFFSET(CÁLCULO!$AI$15,0,1):OFFSET(CÁLCULO!$BB$727,0,-1))),2),0)</f>
        <v>0</v>
      </c>
    </row>
    <row r="18" spans="2:6" x14ac:dyDescent="0.2">
      <c r="B18" t="str">
        <f t="shared" ca="1" si="0"/>
        <v xml:space="preserve">4.Fundaçoes </v>
      </c>
      <c r="C18" s="198">
        <f t="shared" ca="1" si="1"/>
        <v>4</v>
      </c>
      <c r="D18" s="627" t="s">
        <v>1025</v>
      </c>
      <c r="E18" s="627"/>
      <c r="F18" s="199">
        <f ca="1">IF(AUTOEVENTO="Manual",ROUND(SUMPRODUCT((CÁLCULO!$M$15:$M$727=EVENTOS!$C18)*(OFFSET(CÁLCULO!$AI$15,0,1):OFFSET(CÁLCULO!$BB$727,0,-1))),2),0)</f>
        <v>0</v>
      </c>
    </row>
    <row r="19" spans="2:6" x14ac:dyDescent="0.2">
      <c r="B19" t="str">
        <f t="shared" ca="1" si="0"/>
        <v xml:space="preserve">5.Supra Estrutura - Pilares </v>
      </c>
      <c r="C19" s="198">
        <f t="shared" ca="1" si="1"/>
        <v>5</v>
      </c>
      <c r="D19" s="627" t="s">
        <v>1029</v>
      </c>
      <c r="E19" s="627"/>
      <c r="F19" s="199">
        <f ca="1">IF(AUTOEVENTO="Manual",ROUND(SUMPRODUCT((CÁLCULO!$M$15:$M$727=EVENTOS!$C19)*(OFFSET(CÁLCULO!$AI$15,0,1):OFFSET(CÁLCULO!$BB$727,0,-1))),2),0)</f>
        <v>0</v>
      </c>
    </row>
    <row r="20" spans="2:6" x14ac:dyDescent="0.2">
      <c r="B20" t="str">
        <f t="shared" ca="1" si="0"/>
        <v xml:space="preserve">6.Supra Estrutura -  Vigas </v>
      </c>
      <c r="C20" s="198">
        <f t="shared" ca="1" si="1"/>
        <v>6</v>
      </c>
      <c r="D20" s="627" t="s">
        <v>1030</v>
      </c>
      <c r="E20" s="627"/>
      <c r="F20" s="199">
        <f ca="1">IF(AUTOEVENTO="Manual",ROUND(SUMPRODUCT((CÁLCULO!$M$15:$M$727=EVENTOS!$C20)*(OFFSET(CÁLCULO!$AI$15,0,1):OFFSET(CÁLCULO!$BB$727,0,-1))),2),0)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IF(AUTOEVENTO="Manual",ROUND(SUMPRODUCT((CÁLCULO!$M$15:$M$727=EVENTOS!$C21)*(OFFSET(CÁLCULO!$AI$15,0,1):OFFSET(CÁLCULO!$BB$727,0,-1))),2),0)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IF(AUTOEVENTO="Manual",ROUND(SUMPRODUCT((CÁLCULO!$M$15:$M$727=EVENTOS!$C22)*(OFFSET(CÁLCULO!$AI$15,0,1):OFFSET(CÁLCULO!$BB$727,0,-1))),2),0)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IF(AUTOEVENTO="Manual",ROUND(SUMPRODUCT((CÁLCULO!$M$15:$M$727=EVENTOS!$C23)*(OFFSET(CÁLCULO!$AI$15,0,1):OFFSET(CÁLCULO!$BB$727,0,-1))),2),0)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IF(AUTOEVENTO="Manual",ROUND(SUMPRODUCT((CÁLCULO!$M$15:$M$727=EVENTOS!$C24)*(OFFSET(CÁLCULO!$AI$15,0,1):OFFSET(CÁLCULO!$BB$727,0,-1))),2),0)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IF(AUTOEVENTO="Manual",ROUND(SUMPRODUCT((CÁLCULO!$M$15:$M$727=EVENTOS!$C25)*(OFFSET(CÁLCULO!$AI$15,0,1):OFFSET(CÁLCULO!$BB$727,0,-1))),2),0)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IF(AUTOEVENTO="Manual",ROUND(SUMPRODUCT((CÁLCULO!$M$15:$M$727=EVENTOS!$C26)*(OFFSET(CÁLCULO!$AI$15,0,1):OFFSET(CÁLCULO!$BB$727,0,-1))),2),0)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IF(AUTOEVENTO="Manual",ROUND(SUMPRODUCT((CÁLCULO!$M$15:$M$727=EVENTOS!$C27)*(OFFSET(CÁLCULO!$AI$15,0,1):OFFSET(CÁLCULO!$BB$727,0,-1))),2),0)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IF(AUTOEVENTO="Manual",ROUND(SUMPRODUCT((CÁLCULO!$M$15:$M$727=EVENTOS!$C28)*(OFFSET(CÁLCULO!$AI$15,0,1):OFFSET(CÁLCULO!$BB$727,0,-1))),2),0)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IF(AUTOEVENTO="Manual",ROUND(SUMPRODUCT((CÁLCULO!$M$15:$M$727=EVENTOS!$C29)*(OFFSET(CÁLCULO!$AI$15,0,1):OFFSET(CÁLCULO!$BB$727,0,-1))),2),0)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IF(AUTOEVENTO="Manual",ROUND(SUMPRODUCT((CÁLCULO!$M$15:$M$727=EVENTOS!$C30)*(OFFSET(CÁLCULO!$AI$15,0,1):OFFSET(CÁLCULO!$BB$727,0,-1))),2),0)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IF(AUTOEVENTO="Manual",ROUND(SUMPRODUCT((CÁLCULO!$M$15:$M$727=EVENTOS!$C31)*(OFFSET(CÁLCULO!$AI$15,0,1):OFFSET(CÁLCULO!$BB$727,0,-1))),2),0)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IF(AUTOEVENTO="Manual",ROUND(SUMPRODUCT((CÁLCULO!$M$15:$M$727=EVENTOS!$C32)*(OFFSET(CÁLCULO!$AI$15,0,1):OFFSET(CÁLCULO!$BB$727,0,-1))),2),0)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IF(AUTOEVENTO="Manual",ROUND(SUMPRODUCT((CÁLCULO!$M$15:$M$727=EVENTOS!$C33)*(OFFSET(CÁLCULO!$AI$15,0,1):OFFSET(CÁLCULO!$BB$727,0,-1))),2),0)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IF(AUTOEVENTO="Manual",ROUND(SUMPRODUCT((CÁLCULO!$M$15:$M$727=EVENTOS!$C34)*(OFFSET(CÁLCULO!$AI$15,0,1):OFFSET(CÁLCULO!$BB$727,0,-1))),2),0)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IF(AUTOEVENTO="Manual",ROUND(SUMPRODUCT((CÁLCULO!$M$15:$M$727=EVENTOS!$C35)*(OFFSET(CÁLCULO!$AI$15,0,1):OFFSET(CÁLCULO!$BB$727,0,-1))),2),0)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IF(AUTOEVENTO="Manual",ROUND(SUMPRODUCT((CÁLCULO!$M$15:$M$727=EVENTOS!$C36)*(OFFSET(CÁLCULO!$AI$15,0,1):OFFSET(CÁLCULO!$BB$727,0,-1))),2),0)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IF(AUTOEVENTO="Manual",ROUND(SUMPRODUCT((CÁLCULO!$M$15:$M$727=EVENTOS!$C37)*(OFFSET(CÁLCULO!$AI$15,0,1):OFFSET(CÁLCULO!$BB$727,0,-1))),2),0)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7"/>
      <c r="E38" s="627"/>
      <c r="F38" s="199">
        <f ca="1">IF(AUTOEVENTO="Manual",ROUND(SUMPRODUCT((CÁLCULO!$M$15:$M$727=EVENTOS!$C38)*(OFFSET(CÁLCULO!$AI$15,0,1):OFFSET(CÁLCULO!$BB$727,0,-1))),2),0)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7"/>
      <c r="E39" s="627"/>
      <c r="F39" s="199">
        <f ca="1">IF(AUTOEVENTO="Manual",ROUND(SUMPRODUCT((CÁLCULO!$M$15:$M$727=EVENTOS!$C39)*(OFFSET(CÁLCULO!$AI$15,0,1):OFFSET(CÁLCULO!$BB$727,0,-1))),2),0)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7"/>
      <c r="E40" s="627"/>
      <c r="F40" s="199">
        <f ca="1">IF(AUTOEVENTO="Manual",ROUND(SUMPRODUCT((CÁLCULO!$M$15:$M$727=EVENTOS!$C40)*(OFFSET(CÁLCULO!$AI$15,0,1):OFFSET(CÁLCULO!$BB$727,0,-1))),2),0)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7"/>
      <c r="E41" s="627"/>
      <c r="F41" s="199">
        <f ca="1">IF(AUTOEVENTO="Manual",ROUND(SUMPRODUCT((CÁLCULO!$M$15:$M$727=EVENTOS!$C41)*(OFFSET(CÁLCULO!$AI$15,0,1):OFFSET(CÁLCULO!$BB$727,0,-1))),2),0)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7"/>
      <c r="E42" s="627"/>
      <c r="F42" s="199">
        <f ca="1">IF(AUTOEVENTO="Manual",ROUND(SUMPRODUCT((CÁLCULO!$M$15:$M$727=EVENTOS!$C42)*(OFFSET(CÁLCULO!$AI$15,0,1):OFFSET(CÁLCULO!$BB$727,0,-1))),2),0)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7"/>
      <c r="E43" s="627"/>
      <c r="F43" s="199">
        <f ca="1">IF(AUTOEVENTO="Manual",ROUND(SUMPRODUCT((CÁLCULO!$M$15:$M$727=EVENTOS!$C43)*(OFFSET(CÁLCULO!$AI$15,0,1):OFFSET(CÁLCULO!$BB$727,0,-1))),2),0)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7"/>
      <c r="E44" s="627"/>
      <c r="F44" s="199">
        <f ca="1">IF(AUTOEVENTO="Manual",ROUND(SUMPRODUCT((CÁLCULO!$M$15:$M$727=EVENTOS!$C44)*(OFFSET(CÁLCULO!$AI$15,0,1):OFFSET(CÁLCULO!$BB$727,0,-1))),2),0)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7"/>
      <c r="E45" s="627"/>
      <c r="F45" s="199">
        <f ca="1">IF(AUTOEVENTO="Manual",ROUND(SUMPRODUCT((CÁLCULO!$M$15:$M$727=EVENTOS!$C45)*(OFFSET(CÁLCULO!$AI$15,0,1):OFFSET(CÁLCULO!$BB$727,0,-1))),2),0)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7"/>
      <c r="E46" s="627"/>
      <c r="F46" s="199">
        <f ca="1">IF(AUTOEVENTO="Manual",ROUND(SUMPRODUCT((CÁLCULO!$M$15:$M$727=EVENTOS!$C46)*(OFFSET(CÁLCULO!$AI$15,0,1):OFFSET(CÁLCULO!$BB$727,0,-1))),2),0)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7"/>
      <c r="E47" s="627"/>
      <c r="F47" s="199">
        <f ca="1">IF(AUTOEVENTO="Manual",ROUND(SUMPRODUCT((CÁLCULO!$M$15:$M$727=EVENTOS!$C47)*(OFFSET(CÁLCULO!$AI$15,0,1):OFFSET(CÁLCULO!$BB$727,0,-1))),2),0)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7"/>
      <c r="E48" s="627"/>
      <c r="F48" s="199">
        <f ca="1">IF(AUTOEVENTO="Manual",ROUND(SUMPRODUCT((CÁLCULO!$M$15:$M$727=EVENTOS!$C48)*(OFFSET(CÁLCULO!$AI$15,0,1):OFFSET(CÁLCULO!$BB$727,0,-1))),2),0)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7"/>
      <c r="E49" s="627"/>
      <c r="F49" s="199">
        <f ca="1">IF(AUTOEVENTO="Manual",ROUND(SUMPRODUCT((CÁLCULO!$M$15:$M$727=EVENTOS!$C49)*(OFFSET(CÁLCULO!$AI$15,0,1):OFFSET(CÁLCULO!$BB$727,0,-1))),2),0)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7"/>
      <c r="E50" s="627"/>
      <c r="F50" s="199">
        <f ca="1">IF(AUTOEVENTO="Manual",ROUND(SUMPRODUCT((CÁLCULO!$M$15:$M$727=EVENTOS!$C50)*(OFFSET(CÁLCULO!$AI$15,0,1):OFFSET(CÁLCULO!$BB$727,0,-1))),2),0)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7"/>
      <c r="E51" s="627"/>
      <c r="F51" s="199">
        <f ca="1">IF(AUTOEVENTO="Manual",ROUND(SUMPRODUCT((CÁLCULO!$M$15:$M$727=EVENTOS!$C51)*(OFFSET(CÁLCULO!$AI$15,0,1):OFFSET(CÁLCULO!$BB$727,0,-1))),2),0)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7"/>
      <c r="E52" s="627"/>
      <c r="F52" s="199">
        <f ca="1">IF(AUTOEVENTO="Manual",ROUND(SUMPRODUCT((CÁLCULO!$M$15:$M$727=EVENTOS!$C52)*(OFFSET(CÁLCULO!$AI$15,0,1):OFFSET(CÁLCULO!$BB$727,0,-1))),2),0)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7"/>
      <c r="E53" s="627"/>
      <c r="F53" s="199">
        <f ca="1">IF(AUTOEVENTO="Manual",ROUND(SUMPRODUCT((CÁLCULO!$M$15:$M$727=EVENTOS!$C53)*(OFFSET(CÁLCULO!$AI$15,0,1):OFFSET(CÁLCULO!$BB$727,0,-1))),2),0)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7"/>
      <c r="E54" s="627"/>
      <c r="F54" s="199">
        <f ca="1">IF(AUTOEVENTO="Manual",ROUND(SUMPRODUCT((CÁLCULO!$M$15:$M$727=EVENTOS!$C54)*(OFFSET(CÁLCULO!$AI$15,0,1):OFFSET(CÁLCULO!$BB$727,0,-1))),2),0)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7"/>
      <c r="E55" s="627"/>
      <c r="F55" s="199">
        <f ca="1">IF(AUTOEVENTO="Manual",ROUND(SUMPRODUCT((CÁLCULO!$M$15:$M$727=EVENTOS!$C55)*(OFFSET(CÁLCULO!$AI$15,0,1):OFFSET(CÁLCULO!$BB$727,0,-1))),2),0)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7"/>
      <c r="E56" s="627"/>
      <c r="F56" s="199">
        <f ca="1">IF(AUTOEVENTO="Manual",ROUND(SUMPRODUCT((CÁLCULO!$M$15:$M$727=EVENTOS!$C56)*(OFFSET(CÁLCULO!$AI$15,0,1):OFFSET(CÁLCULO!$BB$727,0,-1))),2),0)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7"/>
      <c r="E57" s="627"/>
      <c r="F57" s="199">
        <f ca="1">IF(AUTOEVENTO="Manual",ROUND(SUMPRODUCT((CÁLCULO!$M$15:$M$727=EVENTOS!$C57)*(OFFSET(CÁLCULO!$AI$15,0,1):OFFSET(CÁLCULO!$BB$727,0,-1))),2),0)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7"/>
      <c r="E58" s="627"/>
      <c r="F58" s="199">
        <f ca="1">IF(AUTOEVENTO="Manual",ROUND(SUMPRODUCT((CÁLCULO!$M$15:$M$727=EVENTOS!$C58)*(OFFSET(CÁLCULO!$AI$15,0,1):OFFSET(CÁLCULO!$BB$727,0,-1))),2),0)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7"/>
      <c r="E59" s="627"/>
      <c r="F59" s="199">
        <f ca="1">IF(AUTOEVENTO="Manual",ROUND(SUMPRODUCT((CÁLCULO!$M$15:$M$727=EVENTOS!$C59)*(OFFSET(CÁLCULO!$AI$15,0,1):OFFSET(CÁLCULO!$BB$727,0,-1))),2),0)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7"/>
      <c r="E60" s="627"/>
      <c r="F60" s="199">
        <f ca="1">IF(AUTOEVENTO="Manual",ROUND(SUMPRODUCT((CÁLCULO!$M$15:$M$727=EVENTOS!$C60)*(OFFSET(CÁLCULO!$AI$15,0,1):OFFSET(CÁLCULO!$BB$727,0,-1))),2),0)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7"/>
      <c r="E61" s="627"/>
      <c r="F61" s="199">
        <f ca="1">IF(AUTOEVENTO="Manual",ROUND(SUMPRODUCT((CÁLCULO!$M$15:$M$727=EVENTOS!$C61)*(OFFSET(CÁLCULO!$AI$15,0,1):OFFSET(CÁLCULO!$BB$727,0,-1))),2),0)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7"/>
      <c r="E62" s="627"/>
      <c r="F62" s="199">
        <f ca="1">IF(AUTOEVENTO="Manual",ROUND(SUMPRODUCT((CÁLCULO!$M$15:$M$727=EVENTOS!$C62)*(OFFSET(CÁLCULO!$AI$15,0,1):OFFSET(CÁLCULO!$BB$727,0,-1))),2),0)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7"/>
      <c r="E63" s="627"/>
      <c r="F63" s="199">
        <f ca="1">IF(AUTOEVENTO="Manual",ROUND(SUMPRODUCT((CÁLCULO!$M$15:$M$727=EVENTOS!$C63)*(OFFSET(CÁLCULO!$AI$15,0,1):OFFSET(CÁLCULO!$BB$727,0,-1))),2),0)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7"/>
      <c r="E64" s="627"/>
      <c r="F64" s="199">
        <f ca="1">IF(AUTOEVENTO="Manual",ROUND(SUMPRODUCT((CÁLCULO!$M$15:$M$727=EVENTOS!$C64)*(OFFSET(CÁLCULO!$AI$15,0,1):OFFSET(CÁLCULO!$BB$727,0,-1))),2),0)</f>
        <v>0</v>
      </c>
    </row>
    <row r="65" spans="2:6" x14ac:dyDescent="0.2">
      <c r="B65" t="str">
        <f t="shared" ca="1" si="0"/>
        <v>51.</v>
      </c>
      <c r="C65" s="198">
        <f t="shared" ca="1" si="1"/>
        <v>51</v>
      </c>
      <c r="D65" s="627"/>
      <c r="E65" s="627"/>
      <c r="F65" s="199">
        <f ca="1">IF(AUTOEVENTO="Manual",ROUND(SUMPRODUCT((CÁLCULO!$M$15:$M$727=EVENTOS!$C65)*(OFFSET(CÁLCULO!$AI$15,0,1):OFFSET(CÁLCULO!$BB$727,0,-1))),2),0)</f>
        <v>0</v>
      </c>
    </row>
    <row r="66" spans="2:6" x14ac:dyDescent="0.2">
      <c r="B66" t="str">
        <f t="shared" ca="1" si="0"/>
        <v>52.</v>
      </c>
      <c r="C66" s="198">
        <f t="shared" ca="1" si="1"/>
        <v>52</v>
      </c>
      <c r="D66" s="627"/>
      <c r="E66" s="627"/>
      <c r="F66" s="199">
        <f ca="1">IF(AUTOEVENTO="Manual",ROUND(SUMPRODUCT((CÁLCULO!$M$15:$M$727=EVENTOS!$C66)*(OFFSET(CÁLCULO!$AI$15,0,1):OFFSET(CÁLCULO!$BB$727,0,-1))),2),0)</f>
        <v>0</v>
      </c>
    </row>
    <row r="67" spans="2:6" x14ac:dyDescent="0.2">
      <c r="B67" t="str">
        <f t="shared" ca="1" si="0"/>
        <v>53.</v>
      </c>
      <c r="C67" s="198">
        <f t="shared" ca="1" si="1"/>
        <v>53</v>
      </c>
      <c r="D67" s="627"/>
      <c r="E67" s="627"/>
      <c r="F67" s="199">
        <f ca="1">IF(AUTOEVENTO="Manual",ROUND(SUMPRODUCT((CÁLCULO!$M$15:$M$727=EVENTOS!$C67)*(OFFSET(CÁLCULO!$AI$15,0,1):OFFSET(CÁLCULO!$BB$727,0,-1))),2),0)</f>
        <v>0</v>
      </c>
    </row>
    <row r="68" spans="2:6" x14ac:dyDescent="0.2">
      <c r="B68" t="str">
        <f t="shared" ca="1" si="0"/>
        <v>54.</v>
      </c>
      <c r="C68" s="198">
        <f t="shared" ca="1" si="1"/>
        <v>54</v>
      </c>
      <c r="D68" s="627"/>
      <c r="E68" s="627"/>
      <c r="F68" s="199">
        <f ca="1">IF(AUTOEVENTO="Manual",ROUND(SUMPRODUCT((CÁLCULO!$M$15:$M$727=EVENTOS!$C68)*(OFFSET(CÁLCULO!$AI$15,0,1):OFFSET(CÁLCULO!$BB$727,0,-1))),2),0)</f>
        <v>0</v>
      </c>
    </row>
    <row r="69" spans="2:6" x14ac:dyDescent="0.2">
      <c r="B69" t="str">
        <f t="shared" ca="1" si="0"/>
        <v>55.</v>
      </c>
      <c r="C69" s="198">
        <f t="shared" ca="1" si="1"/>
        <v>55</v>
      </c>
      <c r="D69" s="627"/>
      <c r="E69" s="627"/>
      <c r="F69" s="199">
        <f ca="1">IF(AUTOEVENTO="Manual",ROUND(SUMPRODUCT((CÁLCULO!$M$15:$M$727=EVENTOS!$C69)*(OFFSET(CÁLCULO!$AI$15,0,1):OFFSET(CÁLCULO!$BB$727,0,-1))),2),0)</f>
        <v>0</v>
      </c>
    </row>
    <row r="70" spans="2:6" x14ac:dyDescent="0.2">
      <c r="B70" t="str">
        <f t="shared" ca="1" si="0"/>
        <v>56.</v>
      </c>
      <c r="C70" s="198">
        <f t="shared" ca="1" si="1"/>
        <v>56</v>
      </c>
      <c r="D70" s="627"/>
      <c r="E70" s="627"/>
      <c r="F70" s="199">
        <f ca="1">IF(AUTOEVENTO="Manual",ROUND(SUMPRODUCT((CÁLCULO!$M$15:$M$727=EVENTOS!$C70)*(OFFSET(CÁLCULO!$AI$15,0,1):OFFSET(CÁLCULO!$BB$727,0,-1))),2),0)</f>
        <v>0</v>
      </c>
    </row>
    <row r="71" spans="2:6" x14ac:dyDescent="0.2">
      <c r="B71" t="str">
        <f t="shared" ca="1" si="0"/>
        <v>57.</v>
      </c>
      <c r="C71" s="198">
        <f t="shared" ca="1" si="1"/>
        <v>57</v>
      </c>
      <c r="D71" s="627"/>
      <c r="E71" s="627"/>
      <c r="F71" s="199">
        <f ca="1">IF(AUTOEVENTO="Manual",ROUND(SUMPRODUCT((CÁLCULO!$M$15:$M$727=EVENTOS!$C71)*(OFFSET(CÁLCULO!$AI$15,0,1):OFFSET(CÁLCULO!$BB$727,0,-1))),2),0)</f>
        <v>0</v>
      </c>
    </row>
    <row r="72" spans="2:6" x14ac:dyDescent="0.2">
      <c r="B72" t="str">
        <f t="shared" ca="1" si="0"/>
        <v>58.</v>
      </c>
      <c r="C72" s="198">
        <f t="shared" ca="1" si="1"/>
        <v>58</v>
      </c>
      <c r="D72" s="627"/>
      <c r="E72" s="627"/>
      <c r="F72" s="199">
        <f ca="1">IF(AUTOEVENTO="Manual",ROUND(SUMPRODUCT((CÁLCULO!$M$15:$M$727=EVENTOS!$C72)*(OFFSET(CÁLCULO!$AI$15,0,1):OFFSET(CÁLCULO!$BB$727,0,-1))),2),0)</f>
        <v>0</v>
      </c>
    </row>
    <row r="73" spans="2:6" x14ac:dyDescent="0.2">
      <c r="B73" t="str">
        <f t="shared" ca="1" si="0"/>
        <v>59.</v>
      </c>
      <c r="C73" s="198">
        <f t="shared" ca="1" si="1"/>
        <v>59</v>
      </c>
      <c r="D73" s="627"/>
      <c r="E73" s="627"/>
      <c r="F73" s="199">
        <f ca="1">IF(AUTOEVENTO="Manual",ROUND(SUMPRODUCT((CÁLCULO!$M$15:$M$727=EVENTOS!$C73)*(OFFSET(CÁLCULO!$AI$15,0,1):OFFSET(CÁLCULO!$BB$727,0,-1))),2),0)</f>
        <v>0</v>
      </c>
    </row>
    <row r="74" spans="2:6" x14ac:dyDescent="0.2">
      <c r="B74" t="str">
        <f t="shared" ca="1" si="0"/>
        <v>60.</v>
      </c>
      <c r="C74" s="198">
        <f t="shared" ca="1" si="1"/>
        <v>60</v>
      </c>
      <c r="D74" s="627"/>
      <c r="E74" s="627"/>
      <c r="F74" s="199">
        <f ca="1">IF(AUTOEVENTO="Manual",ROUND(SUMPRODUCT((CÁLCULO!$M$15:$M$727=EVENTOS!$C74)*(OFFSET(CÁLCULO!$AI$15,0,1):OFFSET(CÁLCULO!$BB$727,0,-1))),2),0)</f>
        <v>0</v>
      </c>
    </row>
    <row r="75" spans="2:6" x14ac:dyDescent="0.2">
      <c r="B75" t="str">
        <f t="shared" ca="1" si="0"/>
        <v>61.</v>
      </c>
      <c r="C75" s="198">
        <f t="shared" ca="1" si="1"/>
        <v>61</v>
      </c>
      <c r="D75" s="627"/>
      <c r="E75" s="627"/>
      <c r="F75" s="199">
        <f ca="1">IF(AUTOEVENTO="Manual",ROUND(SUMPRODUCT((CÁLCULO!$M$15:$M$727=EVENTOS!$C75)*(OFFSET(CÁLCULO!$AI$15,0,1):OFFSET(CÁLCULO!$BB$727,0,-1))),2),0)</f>
        <v>0</v>
      </c>
    </row>
    <row r="76" spans="2:6" x14ac:dyDescent="0.2">
      <c r="B76" t="str">
        <f t="shared" ca="1" si="0"/>
        <v>62.</v>
      </c>
      <c r="C76" s="198">
        <f t="shared" ca="1" si="1"/>
        <v>62</v>
      </c>
      <c r="D76" s="627"/>
      <c r="E76" s="627"/>
      <c r="F76" s="199">
        <f ca="1">IF(AUTOEVENTO="Manual",ROUND(SUMPRODUCT((CÁLCULO!$M$15:$M$727=EVENTOS!$C76)*(OFFSET(CÁLCULO!$AI$15,0,1):OFFSET(CÁLCULO!$BB$727,0,-1))),2),0)</f>
        <v>0</v>
      </c>
    </row>
    <row r="77" spans="2:6" x14ac:dyDescent="0.2">
      <c r="B77" t="str">
        <f t="shared" ca="1" si="0"/>
        <v>63.</v>
      </c>
      <c r="C77" s="198">
        <f t="shared" ca="1" si="1"/>
        <v>63</v>
      </c>
      <c r="D77" s="627"/>
      <c r="E77" s="627"/>
      <c r="F77" s="199">
        <f ca="1">IF(AUTOEVENTO="Manual",ROUND(SUMPRODUCT((CÁLCULO!$M$15:$M$727=EVENTOS!$C77)*(OFFSET(CÁLCULO!$AI$15,0,1):OFFSET(CÁLCULO!$BB$727,0,-1))),2),0)</f>
        <v>0</v>
      </c>
    </row>
    <row r="78" spans="2:6" x14ac:dyDescent="0.2">
      <c r="B78" t="str">
        <f t="shared" ca="1" si="0"/>
        <v>64.</v>
      </c>
      <c r="C78" s="198">
        <f t="shared" ca="1" si="1"/>
        <v>64</v>
      </c>
      <c r="D78" s="627"/>
      <c r="E78" s="627"/>
      <c r="F78" s="199">
        <f ca="1">IF(AUTOEVENTO="Manual",ROUND(SUMPRODUCT((CÁLCULO!$M$15:$M$727=EVENTOS!$C78)*(OFFSET(CÁLCULO!$AI$15,0,1):OFFSET(CÁLCULO!$BB$727,0,-1))),2),0)</f>
        <v>0</v>
      </c>
    </row>
    <row r="79" spans="2:6" x14ac:dyDescent="0.2">
      <c r="B79" t="str">
        <f t="shared" ca="1" si="0"/>
        <v>65.</v>
      </c>
      <c r="C79" s="198">
        <f t="shared" ca="1" si="1"/>
        <v>65</v>
      </c>
      <c r="D79" s="627"/>
      <c r="E79" s="627"/>
      <c r="F79" s="199">
        <f ca="1">IF(AUTOEVENTO="Manual",ROUND(SUMPRODUCT((CÁLCULO!$M$15:$M$727=EVENTOS!$C79)*(OFFSET(CÁLCULO!$AI$15,0,1):OFFSET(CÁLCULO!$BB$727,0,-1))),2),0)</f>
        <v>0</v>
      </c>
    </row>
    <row r="80" spans="2:6" x14ac:dyDescent="0.2">
      <c r="B80" t="str">
        <f t="shared" ref="B80:B96" ca="1" si="2">CONCATENATE(C80,".",D80)</f>
        <v>66.</v>
      </c>
      <c r="C80" s="198">
        <f t="shared" ref="C80:C96" ca="1" si="3">OFFSET(C80,-1,0)+1</f>
        <v>66</v>
      </c>
      <c r="D80" s="627"/>
      <c r="E80" s="627"/>
      <c r="F80" s="199">
        <f ca="1">IF(AUTOEVENTO="Manual",ROUND(SUMPRODUCT((CÁLCULO!$M$15:$M$727=EVENTOS!$C80)*(OFFSET(CÁLCULO!$AI$15,0,1):OFFSET(CÁLCULO!$BB$727,0,-1))),2),0)</f>
        <v>0</v>
      </c>
    </row>
    <row r="81" spans="2:6" x14ac:dyDescent="0.2">
      <c r="B81" t="str">
        <f t="shared" ca="1" si="2"/>
        <v>67.</v>
      </c>
      <c r="C81" s="198">
        <f t="shared" ca="1" si="3"/>
        <v>67</v>
      </c>
      <c r="D81" s="627"/>
      <c r="E81" s="627"/>
      <c r="F81" s="199">
        <f ca="1">IF(AUTOEVENTO="Manual",ROUND(SUMPRODUCT((CÁLCULO!$M$15:$M$727=EVENTOS!$C81)*(OFFSET(CÁLCULO!$AI$15,0,1):OFFSET(CÁLCULO!$BB$727,0,-1))),2),0)</f>
        <v>0</v>
      </c>
    </row>
    <row r="82" spans="2:6" x14ac:dyDescent="0.2">
      <c r="B82" t="str">
        <f t="shared" ca="1" si="2"/>
        <v>68.</v>
      </c>
      <c r="C82" s="198">
        <f t="shared" ca="1" si="3"/>
        <v>68</v>
      </c>
      <c r="D82" s="627"/>
      <c r="E82" s="627"/>
      <c r="F82" s="199">
        <f ca="1">IF(AUTOEVENTO="Manual",ROUND(SUMPRODUCT((CÁLCULO!$M$15:$M$727=EVENTOS!$C82)*(OFFSET(CÁLCULO!$AI$15,0,1):OFFSET(CÁLCULO!$BB$727,0,-1))),2),0)</f>
        <v>0</v>
      </c>
    </row>
    <row r="83" spans="2:6" x14ac:dyDescent="0.2">
      <c r="B83" t="str">
        <f t="shared" ca="1" si="2"/>
        <v>69.</v>
      </c>
      <c r="C83" s="198">
        <f t="shared" ca="1" si="3"/>
        <v>69</v>
      </c>
      <c r="D83" s="627"/>
      <c r="E83" s="627"/>
      <c r="F83" s="199">
        <f ca="1">IF(AUTOEVENTO="Manual",ROUND(SUMPRODUCT((CÁLCULO!$M$15:$M$727=EVENTOS!$C83)*(OFFSET(CÁLCULO!$AI$15,0,1):OFFSET(CÁLCULO!$BB$727,0,-1))),2),0)</f>
        <v>0</v>
      </c>
    </row>
    <row r="84" spans="2:6" x14ac:dyDescent="0.2">
      <c r="B84" t="str">
        <f t="shared" ca="1" si="2"/>
        <v>70.</v>
      </c>
      <c r="C84" s="198">
        <f t="shared" ca="1" si="3"/>
        <v>70</v>
      </c>
      <c r="D84" s="627"/>
      <c r="E84" s="627"/>
      <c r="F84" s="199">
        <f ca="1">IF(AUTOEVENTO="Manual",ROUND(SUMPRODUCT((CÁLCULO!$M$15:$M$727=EVENTOS!$C84)*(OFFSET(CÁLCULO!$AI$15,0,1):OFFSET(CÁLCULO!$BB$727,0,-1))),2),0)</f>
        <v>0</v>
      </c>
    </row>
    <row r="85" spans="2:6" x14ac:dyDescent="0.2">
      <c r="B85" t="str">
        <f t="shared" ca="1" si="2"/>
        <v>71.</v>
      </c>
      <c r="C85" s="198">
        <f t="shared" ca="1" si="3"/>
        <v>71</v>
      </c>
      <c r="D85" s="627"/>
      <c r="E85" s="627"/>
      <c r="F85" s="199">
        <f ca="1">IF(AUTOEVENTO="Manual",ROUND(SUMPRODUCT((CÁLCULO!$M$15:$M$727=EVENTOS!$C85)*(OFFSET(CÁLCULO!$AI$15,0,1):OFFSET(CÁLCULO!$BB$727,0,-1))),2),0)</f>
        <v>0</v>
      </c>
    </row>
    <row r="86" spans="2:6" x14ac:dyDescent="0.2">
      <c r="B86" t="str">
        <f t="shared" ca="1" si="2"/>
        <v>72.</v>
      </c>
      <c r="C86" s="198">
        <f t="shared" ca="1" si="3"/>
        <v>72</v>
      </c>
      <c r="D86" s="627"/>
      <c r="E86" s="627"/>
      <c r="F86" s="199">
        <f ca="1">IF(AUTOEVENTO="Manual",ROUND(SUMPRODUCT((CÁLCULO!$M$15:$M$727=EVENTOS!$C86)*(OFFSET(CÁLCULO!$AI$15,0,1):OFFSET(CÁLCULO!$BB$727,0,-1))),2),0)</f>
        <v>0</v>
      </c>
    </row>
    <row r="87" spans="2:6" x14ac:dyDescent="0.2">
      <c r="B87" t="str">
        <f t="shared" ca="1" si="2"/>
        <v>73.</v>
      </c>
      <c r="C87" s="198">
        <f t="shared" ca="1" si="3"/>
        <v>73</v>
      </c>
      <c r="D87" s="627"/>
      <c r="E87" s="627"/>
      <c r="F87" s="199">
        <f ca="1">IF(AUTOEVENTO="Manual",ROUND(SUMPRODUCT((CÁLCULO!$M$15:$M$727=EVENTOS!$C87)*(OFFSET(CÁLCULO!$AI$15,0,1):OFFSET(CÁLCULO!$BB$727,0,-1))),2),0)</f>
        <v>0</v>
      </c>
    </row>
    <row r="88" spans="2:6" x14ac:dyDescent="0.2">
      <c r="B88" t="str">
        <f t="shared" ca="1" si="2"/>
        <v>74.</v>
      </c>
      <c r="C88" s="198">
        <f t="shared" ca="1" si="3"/>
        <v>74</v>
      </c>
      <c r="D88" s="627"/>
      <c r="E88" s="627"/>
      <c r="F88" s="199">
        <f ca="1">IF(AUTOEVENTO="Manual",ROUND(SUMPRODUCT((CÁLCULO!$M$15:$M$727=EVENTOS!$C88)*(OFFSET(CÁLCULO!$AI$15,0,1):OFFSET(CÁLCULO!$BB$727,0,-1))),2),0)</f>
        <v>0</v>
      </c>
    </row>
    <row r="89" spans="2:6" x14ac:dyDescent="0.2">
      <c r="B89" t="str">
        <f t="shared" ca="1" si="2"/>
        <v>75.</v>
      </c>
      <c r="C89" s="198">
        <f t="shared" ca="1" si="3"/>
        <v>75</v>
      </c>
      <c r="D89" s="627"/>
      <c r="E89" s="627"/>
      <c r="F89" s="199">
        <f ca="1">IF(AUTOEVENTO="Manual",ROUND(SUMPRODUCT((CÁLCULO!$M$15:$M$727=EVENTOS!$C89)*(OFFSET(CÁLCULO!$AI$15,0,1):OFFSET(CÁLCULO!$BB$727,0,-1))),2),0)</f>
        <v>0</v>
      </c>
    </row>
    <row r="90" spans="2:6" x14ac:dyDescent="0.2">
      <c r="B90" t="str">
        <f t="shared" ca="1" si="2"/>
        <v>76.</v>
      </c>
      <c r="C90" s="198">
        <f t="shared" ca="1" si="3"/>
        <v>76</v>
      </c>
      <c r="D90" s="627"/>
      <c r="E90" s="627"/>
      <c r="F90" s="199">
        <f ca="1">IF(AUTOEVENTO="Manual",ROUND(SUMPRODUCT((CÁLCULO!$M$15:$M$727=EVENTOS!$C90)*(OFFSET(CÁLCULO!$AI$15,0,1):OFFSET(CÁLCULO!$BB$727,0,-1))),2),0)</f>
        <v>0</v>
      </c>
    </row>
    <row r="91" spans="2:6" x14ac:dyDescent="0.2">
      <c r="B91" t="str">
        <f t="shared" ca="1" si="2"/>
        <v>77.</v>
      </c>
      <c r="C91" s="198">
        <f t="shared" ca="1" si="3"/>
        <v>77</v>
      </c>
      <c r="D91" s="627"/>
      <c r="E91" s="627"/>
      <c r="F91" s="199">
        <f ca="1">IF(AUTOEVENTO="Manual",ROUND(SUMPRODUCT((CÁLCULO!$M$15:$M$727=EVENTOS!$C91)*(OFFSET(CÁLCULO!$AI$15,0,1):OFFSET(CÁLCULO!$BB$727,0,-1))),2),0)</f>
        <v>0</v>
      </c>
    </row>
    <row r="92" spans="2:6" x14ac:dyDescent="0.2">
      <c r="B92" t="str">
        <f t="shared" ca="1" si="2"/>
        <v>78.</v>
      </c>
      <c r="C92" s="198">
        <f t="shared" ca="1" si="3"/>
        <v>78</v>
      </c>
      <c r="D92" s="627"/>
      <c r="E92" s="627"/>
      <c r="F92" s="199">
        <f ca="1">IF(AUTOEVENTO="Manual",ROUND(SUMPRODUCT((CÁLCULO!$M$15:$M$727=EVENTOS!$C92)*(OFFSET(CÁLCULO!$AI$15,0,1):OFFSET(CÁLCULO!$BB$727,0,-1))),2),0)</f>
        <v>0</v>
      </c>
    </row>
    <row r="93" spans="2:6" x14ac:dyDescent="0.2">
      <c r="B93" t="str">
        <f t="shared" ca="1" si="2"/>
        <v>79.</v>
      </c>
      <c r="C93" s="198">
        <f t="shared" ca="1" si="3"/>
        <v>79</v>
      </c>
      <c r="D93" s="627"/>
      <c r="E93" s="627"/>
      <c r="F93" s="199">
        <f ca="1">IF(AUTOEVENTO="Manual",ROUND(SUMPRODUCT((CÁLCULO!$M$15:$M$727=EVENTOS!$C93)*(OFFSET(CÁLCULO!$AI$15,0,1):OFFSET(CÁLCULO!$BB$727,0,-1))),2),0)</f>
        <v>0</v>
      </c>
    </row>
    <row r="94" spans="2:6" x14ac:dyDescent="0.2">
      <c r="B94" t="str">
        <f t="shared" ca="1" si="2"/>
        <v>80.</v>
      </c>
      <c r="C94" s="198">
        <f t="shared" ca="1" si="3"/>
        <v>80</v>
      </c>
      <c r="D94" s="627"/>
      <c r="E94" s="627"/>
      <c r="F94" s="199">
        <f ca="1">IF(AUTOEVENTO="Manual",ROUND(SUMPRODUCT((CÁLCULO!$M$15:$M$727=EVENTOS!$C94)*(OFFSET(CÁLCULO!$AI$15,0,1):OFFSET(CÁLCULO!$BB$727,0,-1))),2),0)</f>
        <v>0</v>
      </c>
    </row>
    <row r="95" spans="2:6" x14ac:dyDescent="0.2">
      <c r="B95" t="str">
        <f t="shared" ca="1" si="2"/>
        <v>81.</v>
      </c>
      <c r="C95" s="198">
        <f t="shared" ca="1" si="3"/>
        <v>81</v>
      </c>
      <c r="D95" s="627"/>
      <c r="E95" s="627"/>
      <c r="F95" s="199">
        <f ca="1">IF(AUTOEVENTO="Manual",ROUND(SUMPRODUCT((CÁLCULO!$M$15:$M$727=EVENTOS!$C95)*(OFFSET(CÁLCULO!$AI$15,0,1):OFFSET(CÁLCULO!$BB$727,0,-1))),2),0)</f>
        <v>0</v>
      </c>
    </row>
    <row r="96" spans="2:6" x14ac:dyDescent="0.2">
      <c r="B96" t="str">
        <f t="shared" ca="1" si="2"/>
        <v>82.</v>
      </c>
      <c r="C96" s="198">
        <f t="shared" ca="1" si="3"/>
        <v>82</v>
      </c>
      <c r="D96" s="627"/>
      <c r="E96" s="627"/>
      <c r="F96" s="199">
        <f ca="1">IF(AUTOEVENTO="Manual",ROUND(SUMPRODUCT((CÁLCULO!$M$15:$M$727=EVENTOS!$C96)*(OFFSET(CÁLCULO!$AI$15,0,1):OFFSET(CÁLCULO!$BB$727,0,-1))),2),0)</f>
        <v>0</v>
      </c>
    </row>
    <row r="97" spans="3:6" ht="5.0999999999999996" customHeight="1" x14ac:dyDescent="0.2">
      <c r="C97" s="191"/>
      <c r="D97" s="202"/>
      <c r="E97" s="202"/>
      <c r="F97" s="203"/>
    </row>
  </sheetData>
  <sheetProtection algorithmName="SHA-512" hashValue="3CHRRrEoiarNWviJaH/N7UumMhHCZWgz8+WTd7UIQDI3rxMrnujD8OFFoKnCG//t62fvixRLKrl1QU4YQXGriQ==" saltValue="gobUzIbzl5W0qtyS71PRXQ==" spinCount="100000" sheet="1" objects="1" scenarios="1"/>
  <mergeCells count="86">
    <mergeCell ref="D95:E95"/>
    <mergeCell ref="D96:E96"/>
    <mergeCell ref="D90:E90"/>
    <mergeCell ref="D91:E91"/>
    <mergeCell ref="D92:E92"/>
    <mergeCell ref="D93:E93"/>
    <mergeCell ref="D94:E94"/>
    <mergeCell ref="D85:E85"/>
    <mergeCell ref="D86:E86"/>
    <mergeCell ref="D87:E87"/>
    <mergeCell ref="D88:E88"/>
    <mergeCell ref="D89:E89"/>
    <mergeCell ref="D80:E80"/>
    <mergeCell ref="D81:E81"/>
    <mergeCell ref="D82:E82"/>
    <mergeCell ref="D83:E83"/>
    <mergeCell ref="D84:E84"/>
    <mergeCell ref="D75:E75"/>
    <mergeCell ref="D76:E76"/>
    <mergeCell ref="D77:E77"/>
    <mergeCell ref="D78:E78"/>
    <mergeCell ref="D79:E79"/>
    <mergeCell ref="D70:E70"/>
    <mergeCell ref="D71:E71"/>
    <mergeCell ref="D72:E72"/>
    <mergeCell ref="D73:E73"/>
    <mergeCell ref="D74:E74"/>
    <mergeCell ref="D65:E65"/>
    <mergeCell ref="D66:E66"/>
    <mergeCell ref="D67:E67"/>
    <mergeCell ref="D68:E68"/>
    <mergeCell ref="D69:E69"/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26:E26"/>
    <mergeCell ref="D27:E27"/>
    <mergeCell ref="D30:E30"/>
    <mergeCell ref="D33:E33"/>
    <mergeCell ref="D21:E21"/>
    <mergeCell ref="D22:E22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</mergeCells>
  <phoneticPr fontId="39" type="noConversion"/>
  <conditionalFormatting sqref="C13:F15 C97:F97">
    <cfRule type="expression" dxfId="579" priority="116" stopIfTrue="1">
      <formula>OR(AUTOEVENTO&lt;&gt;"Manual",ACOMPANHAMENTO="BM")</formula>
    </cfRule>
  </conditionalFormatting>
  <conditionalFormatting sqref="C16:F24">
    <cfRule type="expression" dxfId="578" priority="10" stopIfTrue="1">
      <formula>OR(AUTOEVENTO&lt;&gt;"Manual",ACOMPANHAMENTO="BM")</formula>
    </cfRule>
  </conditionalFormatting>
  <conditionalFormatting sqref="C25:F33">
    <cfRule type="expression" dxfId="577" priority="9" stopIfTrue="1">
      <formula>OR(AUTOEVENTO&lt;&gt;"Manual",ACOMPANHAMENTO="BM")</formula>
    </cfRule>
  </conditionalFormatting>
  <conditionalFormatting sqref="C34:F42">
    <cfRule type="expression" dxfId="576" priority="8" stopIfTrue="1">
      <formula>OR(AUTOEVENTO&lt;&gt;"Manual",ACOMPANHAMENTO="BM")</formula>
    </cfRule>
  </conditionalFormatting>
  <conditionalFormatting sqref="C43:F51">
    <cfRule type="expression" dxfId="575" priority="7" stopIfTrue="1">
      <formula>OR(AUTOEVENTO&lt;&gt;"Manual",ACOMPANHAMENTO="BM")</formula>
    </cfRule>
  </conditionalFormatting>
  <conditionalFormatting sqref="C52:F60">
    <cfRule type="expression" dxfId="574" priority="6" stopIfTrue="1">
      <formula>OR(AUTOEVENTO&lt;&gt;"Manual",ACOMPANHAMENTO="BM")</formula>
    </cfRule>
  </conditionalFormatting>
  <conditionalFormatting sqref="C61:F64">
    <cfRule type="expression" dxfId="573" priority="5" stopIfTrue="1">
      <formula>OR(AUTOEVENTO&lt;&gt;"Manual",ACOMPANHAMENTO="BM")</formula>
    </cfRule>
  </conditionalFormatting>
  <conditionalFormatting sqref="C65:F73">
    <cfRule type="expression" dxfId="572" priority="4" stopIfTrue="1">
      <formula>OR(AUTOEVENTO&lt;&gt;"Manual",ACOMPANHAMENTO="BM")</formula>
    </cfRule>
  </conditionalFormatting>
  <conditionalFormatting sqref="C74:F82">
    <cfRule type="expression" dxfId="571" priority="3" stopIfTrue="1">
      <formula>OR(AUTOEVENTO&lt;&gt;"Manual",ACOMPANHAMENTO="BM")</formula>
    </cfRule>
  </conditionalFormatting>
  <conditionalFormatting sqref="C83:F91">
    <cfRule type="expression" dxfId="570" priority="2" stopIfTrue="1">
      <formula>OR(AUTOEVENTO&lt;&gt;"Manual",ACOMPANHAMENTO="BM")</formula>
    </cfRule>
  </conditionalFormatting>
  <conditionalFormatting sqref="C92:F96">
    <cfRule type="expression" dxfId="569" priority="1" stopIfTrue="1">
      <formula>OR(AUTOEVENTO&lt;&gt;"Manual",ACOMPANHAMENTO="BM")</formula>
    </cfRule>
  </conditionalFormatting>
  <dataValidations count="1">
    <dataValidation type="list" allowBlank="1" showErrorMessage="1" sqref="C6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 filterMode="1"/>
  <dimension ref="A1:AF276"/>
  <sheetViews>
    <sheetView showGridLines="0" zoomScale="110" zoomScaleNormal="110" zoomScaleSheetLayoutView="90" workbookViewId="0">
      <pane xSplit="19" ySplit="13" topLeftCell="T186" activePane="bottomRight" state="frozen"/>
      <selection activeCell="F4" sqref="F4"/>
      <selection pane="topRight" activeCell="T4" sqref="T4"/>
      <selection pane="bottomLeft" activeCell="F14" sqref="F14"/>
      <selection pane="bottomRight" activeCell="AA251" sqref="AA251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IF($E2=-1,0,IF(M$13&lt;=$L1,IF(ISERROR(MATCH(M$13,OFFSET($L1,1,0,ROW($L$260)-ROW($L1)-1),0)),ROW($L$260)-ROW($L1)-1,MATCH(M$13,OFFSET($L1,1,0,ROW($L$260)-ROW($L1)-1),0)-1),0))</f>
        <v>#REF!</v>
      </c>
      <c r="N1" s="212" t="e">
        <f ca="1">IF($E2=-1,0,IF(N$13&lt;=$L1,IF(ISERROR(MATCH(N$13,OFFSET($L1,1,0,ROW($L$260)-ROW($L1)-1),0)),ROW($L$260)-ROW($L1)-1,MATCH(N$13,OFFSET($L1,1,0,ROW($L$260)-ROW($L1)-1),0)-1),0))</f>
        <v>#REF!</v>
      </c>
      <c r="O1" s="212" t="e">
        <f ca="1">IF($E2=-1,0,IF(O$13&lt;=$L1,IF(ISERROR(MATCH(O$13,OFFSET($L1,1,0,ROW($L$260)-ROW($L1)-1),0)),ROW($L$260)-ROW($L1)-1,MATCH(O$13,OFFSET($L1,1,0,ROW($L$260)-ROW($L1)-1),0)-1),0))</f>
        <v>#REF!</v>
      </c>
      <c r="P1" s="212" t="e">
        <f ca="1">IF($E2=-1,0,IF(P$13&lt;=$L1,IF(ISERROR(MATCH(P$13,OFFSET($L1,1,0,ROW($L$260)-ROW($L1)-1),0)),ROW($L$260)-ROW($L1)-1,MATCH(P$13,OFFSET($L1,1,0,ROW($L$260)-ROW($L1)-1),0)-1),0))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BC$15:$BU$15,$E1,0,OFFSET(ORÇAMENTO!$D$15,CRONO!$E1,0))),"="&amp;CRONO!D$12,OFFSET(CÁLCULO!$AJ$15:$BB$15,$E1,0,OFFSET(ORÇAMENTO!$D$15,CRONO!$E1,0)))+IF(AND($E3&lt;&gt;"",$E3&lt;&gt;0),SUMIF(CÁLCULO!$BC$15:$BU$727,"="&amp;CRONO!D$12,CÁLCULO!$AJ$15:$BB$727)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BC$15:$BU$15,$E1,0,OFFSET(ORÇAMENTO!$D$15,CRONO!$E1,0))),"&lt;="&amp;CRONO!T$12,OFFSET(CÁLCULO!$AJ$15:$BB$15,$E1,0,OFFSET(ORÇAMENTO!$D$15,CRONO!$E1,0)))+IF(AND($E3&lt;&gt;"",$E3&lt;&gt;0),SUMIF(CÁLCULO!$BC$15:$BU$727,"&lt;="&amp;CRONO!T$12,CÁLCULO!$AJ$15:$BB$727)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BC$15:$BU$15,$E1,0,OFFSET(ORÇAMENTO!$D$15,CRONO!$E1,0))),"="&amp;CRONO!U$12,OFFSET(CÁLCULO!$AJ$15:$BB$15,$E1,0,OFFSET(ORÇAMENTO!$D$15,CRONO!$E1,0)))+IF(AND($E3&lt;&gt;"",$E3&lt;&gt;0),SUMIF(CÁLCULO!$BC$15:$BU$727,"="&amp;CRONO!U$12,CÁLCULO!$AJ$15:$BB$727)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BC$15:$BU$15,$E1,0,OFFSET(ORÇAMENTO!$D$15,CRONO!$E1,0))),"="&amp;CRONO!V$12,OFFSET(CÁLCULO!$AJ$15:$BB$15,$E1,0,OFFSET(ORÇAMENTO!$D$15,CRONO!$E1,0)))+IF(AND($E3&lt;&gt;"",$E3&lt;&gt;0),SUMIF(CÁLCULO!$BC$15:$BU$727,"="&amp;CRONO!V$12,CÁLCULO!$AJ$15:$BB$727)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BC$15:$BU$15,$E1,0,OFFSET(ORÇAMENTO!$D$15,CRONO!$E1,0))),"="&amp;CRONO!W$12,OFFSET(CÁLCULO!$AJ$15:$BB$15,$E1,0,OFFSET(ORÇAMENTO!$D$15,CRONO!$E1,0)))+IF(AND($E3&lt;&gt;"",$E3&lt;&gt;0),SUMIF(CÁLCULO!$BC$15:$BU$727,"="&amp;CRONO!W$12,CÁLCULO!$AJ$15:$BB$727)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BC$15:$BU$15,$E1,0,OFFSET(ORÇAMENTO!$D$15,CRONO!$E1,0))),"="&amp;CRONO!X$12,OFFSET(CÁLCULO!$AJ$15:$BB$15,$E1,0,OFFSET(ORÇAMENTO!$D$15,CRONO!$E1,0)))+IF(AND($E3&lt;&gt;"",$E3&lt;&gt;0),SUMIF(CÁLCULO!$BC$15:$BU$727,"="&amp;CRONO!X$12,CÁLCULO!$AJ$15:$BB$727)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BC$15:$BU$15,$E1,0,OFFSET(ORÇAMENTO!$D$15,CRONO!$E1,0))),"="&amp;CRONO!Y$12,OFFSET(CÁLCULO!$AJ$15:$BB$15,$E1,0,OFFSET(ORÇAMENTO!$D$15,CRONO!$E1,0)))+IF(AND($E3&lt;&gt;"",$E3&lt;&gt;0),SUMIF(CÁLCULO!$BC$15:$BU$727,"="&amp;CRONO!Y$12,CÁLCULO!$AJ$15:$BB$727)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BC$15:$BU$15,$E1,0,OFFSET(ORÇAMENTO!$D$15,CRONO!$E1,0))),"="&amp;CRONO!Z$12,OFFSET(CÁLCULO!$AJ$15:$BB$15,$E1,0,OFFSET(ORÇAMENTO!$D$15,CRONO!$E1,0)))+IF(AND($E3&lt;&gt;"",$E3&lt;&gt;0),SUMIF(CÁLCULO!$BC$15:$BU$727,"="&amp;CRONO!Z$12,CÁLCULO!$AJ$15:$BB$727)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BC$15:$BU$15,$E1,0,OFFSET(ORÇAMENTO!$D$15,CRONO!$E1,0))),"="&amp;CRONO!AA$12,OFFSET(CÁLCULO!$AJ$15:$BB$15,$E1,0,OFFSET(ORÇAMENTO!$D$15,CRONO!$E1,0)))+IF(AND($E3&lt;&gt;"",$E3&lt;&gt;0),SUMIF(CÁLCULO!$BC$15:$BU$727,"="&amp;CRONO!AA$12,CÁLCULO!$AJ$15:$BB$727)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BC$15:$BU$15,$E1,0,OFFSET(ORÇAMENTO!$D$15,CRONO!$E1,0))),"="&amp;CRONO!AB$12,OFFSET(CÁLCULO!$AJ$15:$BB$15,$E1,0,OFFSET(ORÇAMENTO!$D$15,CRONO!$E1,0)))+IF(AND($E3&lt;&gt;"",$E3&lt;&gt;0),SUMIF(CÁLCULO!$BC$15:$BU$727,"="&amp;CRONO!AB$12,CÁLCULO!$AJ$15:$BB$727)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BC$15:$BU$15,$E1,0,OFFSET(ORÇAMENTO!$D$15,CRONO!$E1,0))),"="&amp;CRONO!AC$12,OFFSET(CÁLCULO!$AJ$15:$BB$15,$E1,0,OFFSET(ORÇAMENTO!$D$15,CRONO!$E1,0)))+IF(AND($E3&lt;&gt;"",$E3&lt;&gt;0),SUMIF(CÁLCULO!$BC$15:$BU$727,"="&amp;CRONO!AC$12,CÁLCULO!$AJ$15:$BB$727)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BC$15:$BU$15,$E1,0,OFFSET(ORÇAMENTO!$D$15,CRONO!$E1,0))),"="&amp;CRONO!AD$12,OFFSET(CÁLCULO!$AJ$15:$BB$15,$E1,0,OFFSET(ORÇAMENTO!$D$15,CRONO!$E1,0)))+IF(AND($E3&lt;&gt;"",$E3&lt;&gt;0),SUMIF(CÁLCULO!$BC$15:$BU$727,"="&amp;CRONO!AD$12,CÁLCULO!$AJ$15:$BB$727)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BC$15:$BU$15,$E1,0,OFFSET(ORÇAMENTO!$D$15,CRONO!$E1,0))),"="&amp;CRONO!AE$12,OFFSET(CÁLCULO!$AJ$15:$BB$15,$E1,0,OFFSET(ORÇAMENTO!$D$15,CRONO!$E1,0)))+IF(AND($E3&lt;&gt;"",$E3&lt;&gt;0),SUMIF(CÁLCULO!$BC$15:$BU$727,"="&amp;CRONO!AE$12,CÁLCULO!$AJ$15:$BB$727)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 LICITADO</v>
      </c>
      <c r="AD4" s="604" t="s">
        <v>140</v>
      </c>
      <c r="AE4" s="604"/>
    </row>
    <row r="5" spans="1:32" ht="15" x14ac:dyDescent="0.2">
      <c r="R5" s="84" t="str">
        <f>import.recurso</f>
        <v>OGU</v>
      </c>
      <c r="AD5" s="605" t="s">
        <v>143</v>
      </c>
      <c r="AE5" s="605"/>
    </row>
    <row r="6" spans="1:32" ht="12.75" customHeight="1" x14ac:dyDescent="0.2"/>
    <row r="7" spans="1:32" ht="12.75" customHeight="1" x14ac:dyDescent="0.2">
      <c r="E7" s="230"/>
      <c r="G7" s="639" t="s">
        <v>271</v>
      </c>
      <c r="H7" s="231" t="s">
        <v>146</v>
      </c>
      <c r="I7" s="232"/>
      <c r="J7" s="233" t="s">
        <v>445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NOME DA EMPRESA</v>
      </c>
      <c r="AE7" s="236" t="str">
        <f>IF(TIPOORCAMENTO="Licitado","Nº CTEF","")</f>
        <v>Nº CTEF</v>
      </c>
    </row>
    <row r="8" spans="1:32" x14ac:dyDescent="0.2">
      <c r="D8" s="204"/>
      <c r="E8" s="116"/>
      <c r="F8" s="593" t="s">
        <v>209</v>
      </c>
      <c r="G8" s="639"/>
      <c r="H8" s="637" t="str">
        <f>Import.CR</f>
        <v>1095468-12</v>
      </c>
      <c r="I8" s="637"/>
      <c r="J8" s="237" t="str">
        <f>Import.TransfereGOV</f>
        <v>962693</v>
      </c>
      <c r="K8" s="636" t="str">
        <f>Import.Proponente</f>
        <v>PREFEITURA DE DOIS VIZINHOS - PR</v>
      </c>
      <c r="L8" s="636"/>
      <c r="M8" s="636"/>
      <c r="N8" s="636"/>
      <c r="O8" s="636"/>
      <c r="P8" s="636"/>
      <c r="Q8" s="636"/>
      <c r="R8" s="636"/>
      <c r="S8" s="636"/>
      <c r="T8" s="637" t="str">
        <f>Import.Apelido</f>
        <v>Construção do CMEI Cleovanize Totti</v>
      </c>
      <c r="U8" s="637"/>
      <c r="V8" s="637"/>
      <c r="W8" s="637"/>
      <c r="X8" s="637"/>
      <c r="Y8" s="633">
        <f>IF(TIPOORCAMENTO="Licitado",Import.empresa,Import.DescLote)</f>
        <v>0</v>
      </c>
      <c r="Z8" s="633"/>
      <c r="AA8" s="633"/>
      <c r="AB8" s="633"/>
      <c r="AC8" s="633"/>
      <c r="AD8" s="633"/>
      <c r="AE8" s="224">
        <f>IF(TIPOORCAMENTO="Licitado",Import.CTEF,"")</f>
        <v>0</v>
      </c>
    </row>
    <row r="9" spans="1:32" x14ac:dyDescent="0.2">
      <c r="E9" s="116"/>
      <c r="F9" s="593"/>
      <c r="G9" s="639"/>
    </row>
    <row r="10" spans="1:32" x14ac:dyDescent="0.2">
      <c r="E10" s="230"/>
      <c r="F10" s="593"/>
      <c r="G10" s="238">
        <v>3</v>
      </c>
      <c r="J10" s="638" t="str">
        <f ca="1">IF(MAX($A$13:$A$260)&lt;CRONO.LinhasNecessarias,"ERRO: NÚMERO DE LINHAS DO CRONOGRAMA INSUFICIENTE. CLIQUE EM ATUALIZAR LINHAS.",IF(AND(ACOMPANHAMENTO="PLE",ROUND(OFFSET($AF$270,0,-1),2)=0),"CRONOGRAMA DEVE SER PREENCHIDO POR EVENTOS",IF(ROUND(OFFSET($AF$270,0,-1),2)&lt;&gt;$Q$261,"ERRO: CRONOGRAMA NÃO FECHA 100%","")))</f>
        <v>CRONOGRAMA DEVE SER PREENCHIDO POR EVENTOS</v>
      </c>
      <c r="K10" s="638"/>
      <c r="L10" s="638"/>
      <c r="M10" s="638"/>
      <c r="N10" s="638"/>
      <c r="O10" s="638"/>
      <c r="P10" s="638"/>
      <c r="Q10" s="638"/>
      <c r="R10" s="638"/>
      <c r="S10" s="638"/>
    </row>
    <row r="11" spans="1:32" ht="12.75" customHeight="1" x14ac:dyDescent="0.2">
      <c r="F11" s="593"/>
      <c r="H11" s="239"/>
      <c r="I11" s="239"/>
      <c r="J11" s="638"/>
      <c r="K11" s="638"/>
      <c r="L11" s="638"/>
      <c r="M11" s="638"/>
      <c r="N11" s="638"/>
      <c r="O11" s="638"/>
      <c r="P11" s="638"/>
      <c r="Q11" s="638"/>
      <c r="R11" s="638"/>
      <c r="S11" s="638"/>
    </row>
    <row r="12" spans="1:32" ht="12.75" customHeight="1" x14ac:dyDescent="0.2">
      <c r="D12" s="240">
        <f ca="1">OFFSET(D12,0,-1)+1</f>
        <v>1</v>
      </c>
      <c r="F12" s="108" t="s">
        <v>217</v>
      </c>
      <c r="G12" s="641" t="s">
        <v>274</v>
      </c>
      <c r="H12" s="642" t="s">
        <v>231</v>
      </c>
      <c r="I12" s="643" t="s">
        <v>234</v>
      </c>
      <c r="J12" s="241"/>
      <c r="K12" s="241"/>
      <c r="L12" s="242"/>
      <c r="M12" s="242"/>
      <c r="N12" s="242"/>
      <c r="O12" s="242"/>
      <c r="P12" s="242"/>
      <c r="Q12" s="242"/>
      <c r="R12" s="634" t="s">
        <v>275</v>
      </c>
      <c r="S12" s="635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41"/>
      <c r="H13" s="642"/>
      <c r="I13" s="643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34"/>
      <c r="S13" s="635"/>
      <c r="T13" s="250">
        <v>45658</v>
      </c>
      <c r="U13" s="246">
        <f ca="1">OFFSET(U13,0,-1)+41-DAY(OFFSET(U13,0,-1)+40)</f>
        <v>45689</v>
      </c>
      <c r="V13" s="246">
        <f ca="1">OFFSET(V13,0,-1)+41-DAY(OFFSET(V13,0,-1)+40)</f>
        <v>45717</v>
      </c>
      <c r="W13" s="246">
        <f t="shared" ref="W13:AE13" ca="1" si="2">OFFSET(W13,0,-1)+41-DAY(OFFSET(W13,0,-1)+40)</f>
        <v>45748</v>
      </c>
      <c r="X13" s="246">
        <f t="shared" ca="1" si="2"/>
        <v>45778</v>
      </c>
      <c r="Y13" s="246">
        <f t="shared" ca="1" si="2"/>
        <v>45809</v>
      </c>
      <c r="Z13" s="246">
        <f t="shared" ca="1" si="2"/>
        <v>45839</v>
      </c>
      <c r="AA13" s="246">
        <f t="shared" ca="1" si="2"/>
        <v>45870</v>
      </c>
      <c r="AB13" s="246">
        <f t="shared" ca="1" si="2"/>
        <v>45901</v>
      </c>
      <c r="AC13" s="246">
        <f t="shared" ca="1" si="2"/>
        <v>45931</v>
      </c>
      <c r="AD13" s="246">
        <f t="shared" ca="1" si="2"/>
        <v>45962</v>
      </c>
      <c r="AE13" s="251">
        <f t="shared" ca="1" si="2"/>
        <v>45992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 t="e">
        <f ca="1">IF(AND($Q14=2,ACOMPANHAMENTO="BM"),D15,D16/$R14)</f>
        <v>#DIV/0!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/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 xml:space="preserve">CONSTRUÇÃO - CRECHE TIPO 01 -  FNDE 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IF($E15=-1,0,IF(M$13&lt;=$L14,IF(ISERROR(MATCH(M$13,OFFSET($L14,1,0,ROW($L$260)-ROW($L14)-1),0)),ROW($L$260)-ROW($L14)-1,MATCH(M$13,OFFSET($L14,1,0,ROW($L$260)-ROW($L14)-1),0)-1),0))</f>
        <v>245</v>
      </c>
      <c r="N14" s="212">
        <f ca="1">IF($E15=-1,0,IF(N$13&lt;=$L14,IF(ISERROR(MATCH(N$13,OFFSET($L14,1,0,ROW($L$260)-ROW($L14)-1),0)),ROW($L$260)-ROW($L14)-1,MATCH(N$13,OFFSET($L14,1,0,ROW($L$260)-ROW($L14)-1),0)-1),0))</f>
        <v>0</v>
      </c>
      <c r="O14" s="212">
        <f ca="1">IF($E15=-1,0,IF(O$13&lt;=$L14,IF(ISERROR(MATCH(O$13,OFFSET($L14,1,0,ROW($L$260)-ROW($L14)-1),0)),ROW($L$260)-ROW($L14)-1,MATCH(O$13,OFFSET($L14,1,0,ROW($L$260)-ROW($L14)-1),0)-1),0))</f>
        <v>0</v>
      </c>
      <c r="P14" s="212">
        <f ca="1">IF($E15=-1,0,IF(P$13&lt;=$L14,IF(ISERROR(MATCH(P$13,OFFSET($L14,1,0,ROW($L$260)-ROW($L14)-1),0)),ROW($L$260)-ROW($L14)-1,MATCH(P$13,OFFSET($L14,1,0,ROW($L$260)-ROW($L14)-1),0)-1),0))</f>
        <v>0</v>
      </c>
      <c r="Q14" s="212">
        <f t="shared" ref="Q14" ca="1" si="5">MIN(OFFSET(L14,0,1,,L14))</f>
        <v>245</v>
      </c>
      <c r="R14" s="213">
        <f ca="1">IF($E15=0,OFFSET(ORÇAMENTO!X$15,$E14,0),IF($E15&lt;&gt;-1,OFFSET(QCI!$O$13,$E15,0),""))</f>
        <v>0</v>
      </c>
      <c r="S14" s="214" t="s">
        <v>270</v>
      </c>
      <c r="T14" s="215" t="e">
        <f t="shared" ref="T14:AE14" ca="1" si="6">IF(AND($Q14=2,ACOMPANHAMENTO="BM"),T15,T16/$R14)</f>
        <v>#DIV/0!</v>
      </c>
      <c r="U14" s="207" t="e">
        <f t="shared" ca="1" si="6"/>
        <v>#DIV/0!</v>
      </c>
      <c r="V14" s="207" t="e">
        <f t="shared" ca="1" si="6"/>
        <v>#DIV/0!</v>
      </c>
      <c r="W14" s="207" t="e">
        <f t="shared" ca="1" si="6"/>
        <v>#DIV/0!</v>
      </c>
      <c r="X14" s="207" t="e">
        <f t="shared" ca="1" si="6"/>
        <v>#DIV/0!</v>
      </c>
      <c r="Y14" s="207" t="e">
        <f t="shared" ca="1" si="6"/>
        <v>#DIV/0!</v>
      </c>
      <c r="Z14" s="207" t="e">
        <f t="shared" ca="1" si="6"/>
        <v>#DIV/0!</v>
      </c>
      <c r="AA14" s="207" t="e">
        <f t="shared" ca="1" si="6"/>
        <v>#DIV/0!</v>
      </c>
      <c r="AB14" s="207" t="e">
        <f t="shared" ca="1" si="6"/>
        <v>#DIV/0!</v>
      </c>
      <c r="AC14" s="207" t="e">
        <f t="shared" ca="1" si="6"/>
        <v>#DIV/0!</v>
      </c>
      <c r="AD14" s="207" t="e">
        <f t="shared" ca="1" si="6"/>
        <v>#DIV/0!</v>
      </c>
      <c r="AE14" s="216" t="e">
        <f t="shared" ca="1" si="6"/>
        <v>#DIV/0!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/>
      </c>
      <c r="G15" s="217" t="str">
        <f ca="1">IF(OR(R14=0,R14=""),"vazia",IF(AND(OR(ACOMPANHAMENTO="PLE",$Q14&lt;&gt;2),$E15=0),"calculada","--&gt;"))</f>
        <v>vazia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BC$15:$BU$15,$E14,0,OFFSET(ORÇAMENTO!$D$15,CRONO!$E14,0))),"="&amp;CRONO!D$12,OFFSET(CÁLCULO!$AJ$15:$BB$15,$E14,0,OFFSET(ORÇAMENTO!$D$15,CRONO!$E14,0)))+IF(AND($E16&lt;&gt;"",$E16&lt;&gt;0),SUMIF(CÁLCULO!$BC$15:$BU$727,"="&amp;CRONO!D$12,CÁLCULO!$AJ$15:$BB$727)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BC$15:$BU$15,$E14,0,OFFSET(ORÇAMENTO!$D$15,CRONO!$E14,0))),"&lt;="&amp;CRONO!T$12,OFFSET(CÁLCULO!$AJ$15:$BB$15,$E14,0,OFFSET(ORÇAMENTO!$D$15,CRONO!$E14,0)))+IF(AND($E16&lt;&gt;"",$E16&lt;&gt;0),SUMIF(CÁLCULO!$BC$15:$BU$727,"&lt;="&amp;CRONO!T$12,CÁLCULO!$AJ$15:$BB$727)/(ORÇAMENTO!$X$15-CÁLCULO.TotalAdmLocal)*CRONO!$E16,0),T15*$R14),SUMIF(OFFSET($R16,1,0,$Q14-2),($L14+1)&amp;"$",OFFSET(T16,1,0,$Q14-2)))</f>
        <v>0</v>
      </c>
      <c r="U16" s="223">
        <f ca="1">IF($Q14=2,IF(AND(ACOMPANHAMENTO="PLE",ISNUMBER($E14)),SUMIF((OFFSET(CÁLCULO!$BC$15:$BU$15,$E14,0,OFFSET(ORÇAMENTO!$D$15,CRONO!$E14,0))),"="&amp;CRONO!U$12,OFFSET(CÁLCULO!$AJ$15:$BB$15,$E14,0,OFFSET(ORÇAMENTO!$D$15,CRONO!$E14,0)))+IF(AND($E16&lt;&gt;"",$E16&lt;&gt;0),SUMIF(CÁLCULO!$BC$15:$BU$727,"="&amp;CRONO!U$12,CÁLCULO!$AJ$15:$BB$727)/(ORÇAMENTO!$X$15-CÁLCULO.TotalAdmLocal)*CRONO!$E16,0),U15*$R14),SUMIF(OFFSET($R16,1,0,$Q14-2),($L14+1)&amp;"$",OFFSET(U16,1,0,$Q14-2)))</f>
        <v>0</v>
      </c>
      <c r="V16" s="223">
        <f ca="1">IF($Q14=2,IF(AND(ACOMPANHAMENTO="PLE",ISNUMBER($E14)),SUMIF((OFFSET(CÁLCULO!$BC$15:$BU$15,$E14,0,OFFSET(ORÇAMENTO!$D$15,CRONO!$E14,0))),"="&amp;CRONO!V$12,OFFSET(CÁLCULO!$AJ$15:$BB$15,$E14,0,OFFSET(ORÇAMENTO!$D$15,CRONO!$E14,0)))+IF(AND($E16&lt;&gt;"",$E16&lt;&gt;0),SUMIF(CÁLCULO!$BC$15:$BU$727,"="&amp;CRONO!V$12,CÁLCULO!$AJ$15:$BB$727)/(ORÇAMENTO!$X$15-CÁLCULO.TotalAdmLocal)*CRONO!$E16,0),V15*$R14),SUMIF(OFFSET($R16,1,0,$Q14-2),($L14+1)&amp;"$",OFFSET(V16,1,0,$Q14-2)))</f>
        <v>0</v>
      </c>
      <c r="W16" s="223">
        <f ca="1">IF($Q14=2,IF(AND(ACOMPANHAMENTO="PLE",ISNUMBER($E14)),SUMIF((OFFSET(CÁLCULO!$BC$15:$BU$15,$E14,0,OFFSET(ORÇAMENTO!$D$15,CRONO!$E14,0))),"="&amp;CRONO!W$12,OFFSET(CÁLCULO!$AJ$15:$BB$15,$E14,0,OFFSET(ORÇAMENTO!$D$15,CRONO!$E14,0)))+IF(AND($E16&lt;&gt;"",$E16&lt;&gt;0),SUMIF(CÁLCULO!$BC$15:$BU$727,"="&amp;CRONO!W$12,CÁLCULO!$AJ$15:$BB$727)/(ORÇAMENTO!$X$15-CÁLCULO.TotalAdmLocal)*CRONO!$E16,0),W15*$R14),SUMIF(OFFSET($R16,1,0,$Q14-2),($L14+1)&amp;"$",OFFSET(W16,1,0,$Q14-2)))</f>
        <v>0</v>
      </c>
      <c r="X16" s="223">
        <f ca="1">IF($Q14=2,IF(AND(ACOMPANHAMENTO="PLE",ISNUMBER($E14)),SUMIF((OFFSET(CÁLCULO!$BC$15:$BU$15,$E14,0,OFFSET(ORÇAMENTO!$D$15,CRONO!$E14,0))),"="&amp;CRONO!X$12,OFFSET(CÁLCULO!$AJ$15:$BB$15,$E14,0,OFFSET(ORÇAMENTO!$D$15,CRONO!$E14,0)))+IF(AND($E16&lt;&gt;"",$E16&lt;&gt;0),SUMIF(CÁLCULO!$BC$15:$BU$727,"="&amp;CRONO!X$12,CÁLCULO!$AJ$15:$BB$727)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BC$15:$BU$15,$E14,0,OFFSET(ORÇAMENTO!$D$15,CRONO!$E14,0))),"="&amp;CRONO!Y$12,OFFSET(CÁLCULO!$AJ$15:$BB$15,$E14,0,OFFSET(ORÇAMENTO!$D$15,CRONO!$E14,0)))+IF(AND($E16&lt;&gt;"",$E16&lt;&gt;0),SUMIF(CÁLCULO!$BC$15:$BU$727,"="&amp;CRONO!Y$12,CÁLCULO!$AJ$15:$BB$727)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BC$15:$BU$15,$E14,0,OFFSET(ORÇAMENTO!$D$15,CRONO!$E14,0))),"="&amp;CRONO!Z$12,OFFSET(CÁLCULO!$AJ$15:$BB$15,$E14,0,OFFSET(ORÇAMENTO!$D$15,CRONO!$E14,0)))+IF(AND($E16&lt;&gt;"",$E16&lt;&gt;0),SUMIF(CÁLCULO!$BC$15:$BU$727,"="&amp;CRONO!Z$12,CÁLCULO!$AJ$15:$BB$727)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BC$15:$BU$15,$E14,0,OFFSET(ORÇAMENTO!$D$15,CRONO!$E14,0))),"="&amp;CRONO!AA$12,OFFSET(CÁLCULO!$AJ$15:$BB$15,$E14,0,OFFSET(ORÇAMENTO!$D$15,CRONO!$E14,0)))+IF(AND($E16&lt;&gt;"",$E16&lt;&gt;0),SUMIF(CÁLCULO!$BC$15:$BU$727,"="&amp;CRONO!AA$12,CÁLCULO!$AJ$15:$BB$727)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BC$15:$BU$15,$E14,0,OFFSET(ORÇAMENTO!$D$15,CRONO!$E14,0))),"="&amp;CRONO!AB$12,OFFSET(CÁLCULO!$AJ$15:$BB$15,$E14,0,OFFSET(ORÇAMENTO!$D$15,CRONO!$E14,0)))+IF(AND($E16&lt;&gt;"",$E16&lt;&gt;0),SUMIF(CÁLCULO!$BC$15:$BU$727,"="&amp;CRONO!AB$12,CÁLCULO!$AJ$15:$BB$727)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BC$15:$BU$15,$E14,0,OFFSET(ORÇAMENTO!$D$15,CRONO!$E14,0))),"="&amp;CRONO!AC$12,OFFSET(CÁLCULO!$AJ$15:$BB$15,$E14,0,OFFSET(ORÇAMENTO!$D$15,CRONO!$E14,0)))+IF(AND($E16&lt;&gt;"",$E16&lt;&gt;0),SUMIF(CÁLCULO!$BC$15:$BU$727,"="&amp;CRONO!AC$12,CÁLCULO!$AJ$15:$BB$727)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BC$15:$BU$15,$E14,0,OFFSET(ORÇAMENTO!$D$15,CRONO!$E14,0))),"="&amp;CRONO!AD$12,OFFSET(CÁLCULO!$AJ$15:$BB$15,$E14,0,OFFSET(ORÇAMENTO!$D$15,CRONO!$E14,0)))+IF(AND($E16&lt;&gt;"",$E16&lt;&gt;0),SUMIF(CÁLCULO!$BC$15:$BU$727,"="&amp;CRONO!AD$12,CÁLCULO!$AJ$15:$BB$727)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BC$15:$BU$15,$E14,0,OFFSET(ORÇAMENTO!$D$15,CRONO!$E14,0))),"="&amp;CRONO!AE$12,OFFSET(CÁLCULO!$AJ$15:$BB$15,$E14,0,OFFSET(ORÇAMENTO!$D$15,CRONO!$E14,0)))+IF(AND($E16&lt;&gt;"",$E16&lt;&gt;0),SUMIF(CÁLCULO!$BC$15:$BU$727,"="&amp;CRONO!AE$12,CÁLCULO!$AJ$15:$BB$727)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</v>
      </c>
      <c r="C17" s="204">
        <f ca="1">IF($Q17&lt;&gt;2,0,IF($R17=0,1,IF(E18&gt;0,OFFSET(QCI!$N$13,SUBSTITUTE(E18,".",""),0),OFFSET(ORÇAMENTO!$AB$15,CRONO!$E17,0))/$R17))</f>
        <v>1</v>
      </c>
      <c r="D17" s="207" t="e">
        <f ca="1">IF(AND($Q17=2,ACOMPANHAMENTO="BM"),D18,D19/$R17)</f>
        <v>#DIV/0!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/>
      </c>
      <c r="G17" s="208" t="str">
        <f ca="1">IF(OR(R17=0,R17=""),"Linha",IF(AND(OR(ACOMPANHAMENTO="PLE",$Q17&lt;&gt;2),$E18=0),"Linha",1-SUM(T17:AF17)))</f>
        <v>Linha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>ADMINISTRAÇÃO CENTRAL (ADM)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IF($E18=-1,0,IF(M$13&lt;=$L17,IF(ISERROR(MATCH(M$13,OFFSET($L17,1,0,ROW($L$260)-ROW($L17)-1),0)),ROW($L$260)-ROW($L17)-1,MATCH(M$13,OFFSET($L17,1,0,ROW($L$260)-ROW($L17)-1),0)-1),0))</f>
        <v>242</v>
      </c>
      <c r="N17" s="212">
        <f ca="1">IF($E18=-1,0,IF(N$13&lt;=$L17,IF(ISERROR(MATCH(N$13,OFFSET($L17,1,0,ROW($L$260)-ROW($L17)-1),0)),ROW($L$260)-ROW($L17)-1,MATCH(N$13,OFFSET($L17,1,0,ROW($L$260)-ROW($L17)-1),0)-1),0))</f>
        <v>2</v>
      </c>
      <c r="O17" s="212">
        <f ca="1">IF($E18=-1,0,IF(O$13&lt;=$L17,IF(ISERROR(MATCH(O$13,OFFSET($L17,1,0,ROW($L$260)-ROW($L17)-1),0)),ROW($L$260)-ROW($L17)-1,MATCH(O$13,OFFSET($L17,1,0,ROW($L$260)-ROW($L17)-1),0)-1),0))</f>
        <v>0</v>
      </c>
      <c r="P17" s="212">
        <f ca="1">IF($E18=-1,0,IF(P$13&lt;=$L17,IF(ISERROR(MATCH(P$13,OFFSET($L17,1,0,ROW($L$260)-ROW($L17)-1),0)),ROW($L$260)-ROW($L17)-1,MATCH(P$13,OFFSET($L17,1,0,ROW($L$260)-ROW($L17)-1),0)-1),0))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0</v>
      </c>
      <c r="S17" s="214" t="s">
        <v>270</v>
      </c>
      <c r="T17" s="215" t="e">
        <f t="shared" ref="T17:AE17" ca="1" si="13">IF(AND($Q17=2,ACOMPANHAMENTO="BM"),T18,T19/$R17)</f>
        <v>#DIV/0!</v>
      </c>
      <c r="U17" s="207" t="e">
        <f t="shared" ca="1" si="13"/>
        <v>#DIV/0!</v>
      </c>
      <c r="V17" s="207" t="e">
        <f t="shared" ca="1" si="13"/>
        <v>#DIV/0!</v>
      </c>
      <c r="W17" s="207" t="e">
        <f t="shared" ca="1" si="13"/>
        <v>#DIV/0!</v>
      </c>
      <c r="X17" s="207" t="e">
        <f t="shared" ca="1" si="13"/>
        <v>#DIV/0!</v>
      </c>
      <c r="Y17" s="207" t="e">
        <f t="shared" ca="1" si="13"/>
        <v>#DIV/0!</v>
      </c>
      <c r="Z17" s="207" t="e">
        <f t="shared" ca="1" si="13"/>
        <v>#DIV/0!</v>
      </c>
      <c r="AA17" s="207" t="e">
        <f t="shared" ca="1" si="13"/>
        <v>#DIV/0!</v>
      </c>
      <c r="AB17" s="207" t="e">
        <f t="shared" ca="1" si="13"/>
        <v>#DIV/0!</v>
      </c>
      <c r="AC17" s="207" t="e">
        <f t="shared" ca="1" si="13"/>
        <v>#DIV/0!</v>
      </c>
      <c r="AD17" s="207" t="e">
        <f t="shared" ca="1" si="13"/>
        <v>#DIV/0!</v>
      </c>
      <c r="AE17" s="216" t="e">
        <f t="shared" ca="1" si="13"/>
        <v>#DIV/0!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/>
      </c>
      <c r="G18" s="217" t="str">
        <f ca="1">IF(OR(R17=0,R17=""),"vazia",IF(AND(OR(ACOMPANHAMENTO="PLE",$Q17&lt;&gt;2),$E18=0),"calculada","--&gt;"))</f>
        <v>vazia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/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BC$15:$BU$15,$E17,0,OFFSET(ORÇAMENTO!$D$15,CRONO!$E17,0))),"="&amp;CRONO!D$12,OFFSET(CÁLCULO!$AJ$15:$BB$15,$E17,0,OFFSET(ORÇAMENTO!$D$15,CRONO!$E17,0)))+IF(AND($E19&lt;&gt;"",$E19&lt;&gt;0),SUMIF(CÁLCULO!$BC$15:$BU$727,"="&amp;CRONO!D$12,CÁLCULO!$AJ$15:$BB$727)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BC$15:$BU$15,$E17,0,OFFSET(ORÇAMENTO!$D$15,CRONO!$E17,0))),"&lt;="&amp;CRONO!T$12,OFFSET(CÁLCULO!$AJ$15:$BB$15,$E17,0,OFFSET(ORÇAMENTO!$D$15,CRONO!$E17,0)))+IF(AND($E19&lt;&gt;"",$E19&lt;&gt;0),SUMIF(CÁLCULO!$BC$15:$BU$727,"&lt;="&amp;CRONO!T$12,CÁLCULO!$AJ$15:$BB$727)/(ORÇAMENTO!$X$15-CÁLCULO.TotalAdmLocal)*CRONO!$E19,0),T18*$R17),SUMIF(OFFSET($R19,1,0,$Q17-2),($L17+1)&amp;"$",OFFSET(T19,1,0,$Q17-2)))</f>
        <v>0</v>
      </c>
      <c r="U19" s="223">
        <f ca="1">IF($Q17=2,IF(AND(ACOMPANHAMENTO="PLE",ISNUMBER($E17)),SUMIF((OFFSET(CÁLCULO!$BC$15:$BU$15,$E17,0,OFFSET(ORÇAMENTO!$D$15,CRONO!$E17,0))),"="&amp;CRONO!U$12,OFFSET(CÁLCULO!$AJ$15:$BB$15,$E17,0,OFFSET(ORÇAMENTO!$D$15,CRONO!$E17,0)))+IF(AND($E19&lt;&gt;"",$E19&lt;&gt;0),SUMIF(CÁLCULO!$BC$15:$BU$727,"="&amp;CRONO!U$12,CÁLCULO!$AJ$15:$BB$727)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BC$15:$BU$15,$E17,0,OFFSET(ORÇAMENTO!$D$15,CRONO!$E17,0))),"="&amp;CRONO!V$12,OFFSET(CÁLCULO!$AJ$15:$BB$15,$E17,0,OFFSET(ORÇAMENTO!$D$15,CRONO!$E17,0)))+IF(AND($E19&lt;&gt;"",$E19&lt;&gt;0),SUMIF(CÁLCULO!$BC$15:$BU$727,"="&amp;CRONO!V$12,CÁLCULO!$AJ$15:$BB$727)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BC$15:$BU$15,$E17,0,OFFSET(ORÇAMENTO!$D$15,CRONO!$E17,0))),"="&amp;CRONO!W$12,OFFSET(CÁLCULO!$AJ$15:$BB$15,$E17,0,OFFSET(ORÇAMENTO!$D$15,CRONO!$E17,0)))+IF(AND($E19&lt;&gt;"",$E19&lt;&gt;0),SUMIF(CÁLCULO!$BC$15:$BU$727,"="&amp;CRONO!W$12,CÁLCULO!$AJ$15:$BB$727)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BC$15:$BU$15,$E17,0,OFFSET(ORÇAMENTO!$D$15,CRONO!$E17,0))),"="&amp;CRONO!X$12,OFFSET(CÁLCULO!$AJ$15:$BB$15,$E17,0,OFFSET(ORÇAMENTO!$D$15,CRONO!$E17,0)))+IF(AND($E19&lt;&gt;"",$E19&lt;&gt;0),SUMIF(CÁLCULO!$BC$15:$BU$727,"="&amp;CRONO!X$12,CÁLCULO!$AJ$15:$BB$727)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BC$15:$BU$15,$E17,0,OFFSET(ORÇAMENTO!$D$15,CRONO!$E17,0))),"="&amp;CRONO!Y$12,OFFSET(CÁLCULO!$AJ$15:$BB$15,$E17,0,OFFSET(ORÇAMENTO!$D$15,CRONO!$E17,0)))+IF(AND($E19&lt;&gt;"",$E19&lt;&gt;0),SUMIF(CÁLCULO!$BC$15:$BU$727,"="&amp;CRONO!Y$12,CÁLCULO!$AJ$15:$BB$727)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BC$15:$BU$15,$E17,0,OFFSET(ORÇAMENTO!$D$15,CRONO!$E17,0))),"="&amp;CRONO!Z$12,OFFSET(CÁLCULO!$AJ$15:$BB$15,$E17,0,OFFSET(ORÇAMENTO!$D$15,CRONO!$E17,0)))+IF(AND($E19&lt;&gt;"",$E19&lt;&gt;0),SUMIF(CÁLCULO!$BC$15:$BU$727,"="&amp;CRONO!Z$12,CÁLCULO!$AJ$15:$BB$727)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BC$15:$BU$15,$E17,0,OFFSET(ORÇAMENTO!$D$15,CRONO!$E17,0))),"="&amp;CRONO!AA$12,OFFSET(CÁLCULO!$AJ$15:$BB$15,$E17,0,OFFSET(ORÇAMENTO!$D$15,CRONO!$E17,0)))+IF(AND($E19&lt;&gt;"",$E19&lt;&gt;0),SUMIF(CÁLCULO!$BC$15:$BU$727,"="&amp;CRONO!AA$12,CÁLCULO!$AJ$15:$BB$727)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BC$15:$BU$15,$E17,0,OFFSET(ORÇAMENTO!$D$15,CRONO!$E17,0))),"="&amp;CRONO!AB$12,OFFSET(CÁLCULO!$AJ$15:$BB$15,$E17,0,OFFSET(ORÇAMENTO!$D$15,CRONO!$E17,0)))+IF(AND($E19&lt;&gt;"",$E19&lt;&gt;0),SUMIF(CÁLCULO!$BC$15:$BU$727,"="&amp;CRONO!AB$12,CÁLCULO!$AJ$15:$BB$727)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BC$15:$BU$15,$E17,0,OFFSET(ORÇAMENTO!$D$15,CRONO!$E17,0))),"="&amp;CRONO!AC$12,OFFSET(CÁLCULO!$AJ$15:$BB$15,$E17,0,OFFSET(ORÇAMENTO!$D$15,CRONO!$E17,0)))+IF(AND($E19&lt;&gt;"",$E19&lt;&gt;0),SUMIF(CÁLCULO!$BC$15:$BU$727,"="&amp;CRONO!AC$12,CÁLCULO!$AJ$15:$BB$727)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BC$15:$BU$15,$E17,0,OFFSET(ORÇAMENTO!$D$15,CRONO!$E17,0))),"="&amp;CRONO!AD$12,OFFSET(CÁLCULO!$AJ$15:$BB$15,$E17,0,OFFSET(ORÇAMENTO!$D$15,CRONO!$E17,0)))+IF(AND($E19&lt;&gt;"",$E19&lt;&gt;0),SUMIF(CÁLCULO!$BC$15:$BU$727,"="&amp;CRONO!AD$12,CÁLCULO!$AJ$15:$BB$727)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BC$15:$BU$15,$E17,0,OFFSET(ORÇAMENTO!$D$15,CRONO!$E17,0))),"="&amp;CRONO!AE$12,OFFSET(CÁLCULO!$AJ$15:$BB$15,$E17,0,OFFSET(ORÇAMENTO!$D$15,CRONO!$E17,0)))+IF(AND($E19&lt;&gt;"",$E19&lt;&gt;0),SUMIF(CÁLCULO!$BC$15:$BU$727,"="&amp;CRONO!AE$12,CÁLCULO!$AJ$15:$BB$727)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1</v>
      </c>
      <c r="C20" s="204">
        <f ca="1">IF($Q20&lt;&gt;2,0,IF($R20=0,1,IF(E21&gt;0,OFFSET(QCI!$N$13,SUBSTITUTE(E21,".",""),0),OFFSET(ORÇAMENTO!$AB$15,CRONO!$E20,0))/$R20))</f>
        <v>1</v>
      </c>
      <c r="D20" s="207" t="e">
        <f ca="1">IF(AND($Q20=2,ACOMPANHAMENTO="BM"),D21,D22/$R20)</f>
        <v>#DIV/0!</v>
      </c>
      <c r="E20" s="204">
        <f ca="1">IF(A20&lt;=ORÇAMENTO.MáximoListaCrono,MATCH(A20,ORÇAMENTO.ListaCrono,0),NA())</f>
        <v>4</v>
      </c>
      <c r="F20" s="204" t="str">
        <f t="shared" ref="F20" ca="1" si="18">IF(AND($E21&lt;&gt;-1,$R20&gt;0),"F","")</f>
        <v/>
      </c>
      <c r="G20" s="208" t="str">
        <f ca="1">IF(OR(R20=0,R20=""),"Linha",IF(AND(OR(ACOMPANHAMENTO="PLE",$Q20&lt;&gt;2),$E21=0),"Linha",1-SUM(T20:AF20)))</f>
        <v>Linha</v>
      </c>
      <c r="H20" s="209" t="str">
        <f ca="1">IF($E21=0,OFFSET(ORÇAMENTO!O$15,$E20,0),IF($E21&lt;&gt;-1,OFFSET(QCI!$D$13,$E21,0),""))</f>
        <v>1.2.</v>
      </c>
      <c r="I20" s="210" t="str">
        <f ca="1">IF($E21=0,OFFSET(ORÇAMENTO!R$15,$E20,0),IF($E21&lt;&gt;-1,OFFSET(QCI!$G$13,$E21,0),""))</f>
        <v>CANTEIRO DE OBRAS (CO)</v>
      </c>
      <c r="J20" s="210"/>
      <c r="K20" s="210"/>
      <c r="L20" s="211">
        <f ca="1">IF($E21=0,OFFSET(ORÇAMENTO!C$15,$E20,0),1)</f>
        <v>2</v>
      </c>
      <c r="M20" s="212">
        <f ca="1">IF($E21=-1,0,IF(M$13&lt;=$L20,IF(ISERROR(MATCH(M$13,OFFSET($L20,1,0,ROW($L$260)-ROW($L20)-1),0)),ROW($L$260)-ROW($L20)-1,MATCH(M$13,OFFSET($L20,1,0,ROW($L$260)-ROW($L20)-1),0)-1),0))</f>
        <v>239</v>
      </c>
      <c r="N20" s="212">
        <f ca="1">IF($E21=-1,0,IF(N$13&lt;=$L20,IF(ISERROR(MATCH(N$13,OFFSET($L20,1,0,ROW($L$260)-ROW($L20)-1),0)),ROW($L$260)-ROW($L20)-1,MATCH(N$13,OFFSET($L20,1,0,ROW($L$260)-ROW($L20)-1),0)-1),0))</f>
        <v>2</v>
      </c>
      <c r="O20" s="212">
        <f ca="1">IF($E21=-1,0,IF(O$13&lt;=$L20,IF(ISERROR(MATCH(O$13,OFFSET($L20,1,0,ROW($L$260)-ROW($L20)-1),0)),ROW($L$260)-ROW($L20)-1,MATCH(O$13,OFFSET($L20,1,0,ROW($L$260)-ROW($L20)-1),0)-1),0))</f>
        <v>0</v>
      </c>
      <c r="P20" s="212">
        <f ca="1">IF($E21=-1,0,IF(P$13&lt;=$L20,IF(ISERROR(MATCH(P$13,OFFSET($L20,1,0,ROW($L$260)-ROW($L20)-1),0)),ROW($L$260)-ROW($L20)-1,MATCH(P$13,OFFSET($L20,1,0,ROW($L$260)-ROW($L20)-1),0)-1),0))</f>
        <v>0</v>
      </c>
      <c r="Q20" s="212">
        <f t="shared" ref="Q20" ca="1" si="19">MIN(OFFSET(L20,0,1,,L20))</f>
        <v>2</v>
      </c>
      <c r="R20" s="213">
        <f ca="1">IF($E21=0,OFFSET(ORÇAMENTO!X$15,$E20,0),IF($E21&lt;&gt;-1,OFFSET(QCI!$O$13,$E21,0),""))</f>
        <v>0</v>
      </c>
      <c r="S20" s="214" t="s">
        <v>270</v>
      </c>
      <c r="T20" s="215" t="e">
        <f t="shared" ref="T20:AE20" ca="1" si="20">IF(AND($Q20=2,ACOMPANHAMENTO="BM"),T21,T22/$R20)</f>
        <v>#DIV/0!</v>
      </c>
      <c r="U20" s="207" t="e">
        <f t="shared" ca="1" si="20"/>
        <v>#DIV/0!</v>
      </c>
      <c r="V20" s="207" t="e">
        <f t="shared" ca="1" si="20"/>
        <v>#DIV/0!</v>
      </c>
      <c r="W20" s="207" t="e">
        <f t="shared" ca="1" si="20"/>
        <v>#DIV/0!</v>
      </c>
      <c r="X20" s="207" t="e">
        <f t="shared" ca="1" si="20"/>
        <v>#DIV/0!</v>
      </c>
      <c r="Y20" s="207" t="e">
        <f t="shared" ca="1" si="20"/>
        <v>#DIV/0!</v>
      </c>
      <c r="Z20" s="207" t="e">
        <f t="shared" ca="1" si="20"/>
        <v>#DIV/0!</v>
      </c>
      <c r="AA20" s="207" t="e">
        <f t="shared" ca="1" si="20"/>
        <v>#DIV/0!</v>
      </c>
      <c r="AB20" s="207" t="e">
        <f t="shared" ca="1" si="20"/>
        <v>#DIV/0!</v>
      </c>
      <c r="AC20" s="207" t="e">
        <f t="shared" ca="1" si="20"/>
        <v>#DIV/0!</v>
      </c>
      <c r="AD20" s="207" t="e">
        <f t="shared" ca="1" si="20"/>
        <v>#DIV/0!</v>
      </c>
      <c r="AE20" s="216" t="e">
        <f t="shared" ca="1" si="20"/>
        <v>#DIV/0!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/>
      </c>
      <c r="G21" s="217" t="str">
        <f ca="1">IF(OR(R20=0,R20=""),"vazia",IF(AND(OR(ACOMPANHAMENTO="PLE",$Q20&lt;&gt;2),$E21=0),"calculada","--&gt;"))</f>
        <v>vazia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/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BC$15:$BU$15,$E20,0,OFFSET(ORÇAMENTO!$D$15,CRONO!$E20,0))),"="&amp;CRONO!D$12,OFFSET(CÁLCULO!$AJ$15:$BB$15,$E20,0,OFFSET(ORÇAMENTO!$D$15,CRONO!$E20,0)))+IF(AND($E22&lt;&gt;"",$E22&lt;&gt;0),SUMIF(CÁLCULO!$BC$15:$BU$727,"="&amp;CRONO!D$12,CÁLCULO!$AJ$15:$BB$727)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2$</v>
      </c>
      <c r="S22" s="226"/>
      <c r="T22" s="227">
        <f ca="1">IF($Q20=2,IF(AND(ACOMPANHAMENTO="PLE",ISNUMBER($E20)),SUMIF((OFFSET(CÁLCULO!$BC$15:$BU$15,$E20,0,OFFSET(ORÇAMENTO!$D$15,CRONO!$E20,0))),"&lt;="&amp;CRONO!T$12,OFFSET(CÁLCULO!$AJ$15:$BB$15,$E20,0,OFFSET(ORÇAMENTO!$D$15,CRONO!$E20,0)))+IF(AND($E22&lt;&gt;"",$E22&lt;&gt;0),SUMIF(CÁLCULO!$BC$15:$BU$727,"&lt;="&amp;CRONO!T$12,CÁLCULO!$AJ$15:$BB$727)/(ORÇAMENTO!$X$15-CÁLCULO.TotalAdmLocal)*CRONO!$E22,0),T21*$R20),SUMIF(OFFSET($R22,1,0,$Q20-2),($L20+1)&amp;"$",OFFSET(T22,1,0,$Q20-2)))</f>
        <v>0</v>
      </c>
      <c r="U22" s="223">
        <f ca="1">IF($Q20=2,IF(AND(ACOMPANHAMENTO="PLE",ISNUMBER($E20)),SUMIF((OFFSET(CÁLCULO!$BC$15:$BU$15,$E20,0,OFFSET(ORÇAMENTO!$D$15,CRONO!$E20,0))),"="&amp;CRONO!U$12,OFFSET(CÁLCULO!$AJ$15:$BB$15,$E20,0,OFFSET(ORÇAMENTO!$D$15,CRONO!$E20,0)))+IF(AND($E22&lt;&gt;"",$E22&lt;&gt;0),SUMIF(CÁLCULO!$BC$15:$BU$727,"="&amp;CRONO!U$12,CÁLCULO!$AJ$15:$BB$727)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BC$15:$BU$15,$E20,0,OFFSET(ORÇAMENTO!$D$15,CRONO!$E20,0))),"="&amp;CRONO!V$12,OFFSET(CÁLCULO!$AJ$15:$BB$15,$E20,0,OFFSET(ORÇAMENTO!$D$15,CRONO!$E20,0)))+IF(AND($E22&lt;&gt;"",$E22&lt;&gt;0),SUMIF(CÁLCULO!$BC$15:$BU$727,"="&amp;CRONO!V$12,CÁLCULO!$AJ$15:$BB$727)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BC$15:$BU$15,$E20,0,OFFSET(ORÇAMENTO!$D$15,CRONO!$E20,0))),"="&amp;CRONO!W$12,OFFSET(CÁLCULO!$AJ$15:$BB$15,$E20,0,OFFSET(ORÇAMENTO!$D$15,CRONO!$E20,0)))+IF(AND($E22&lt;&gt;"",$E22&lt;&gt;0),SUMIF(CÁLCULO!$BC$15:$BU$727,"="&amp;CRONO!W$12,CÁLCULO!$AJ$15:$BB$727)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BC$15:$BU$15,$E20,0,OFFSET(ORÇAMENTO!$D$15,CRONO!$E20,0))),"="&amp;CRONO!X$12,OFFSET(CÁLCULO!$AJ$15:$BB$15,$E20,0,OFFSET(ORÇAMENTO!$D$15,CRONO!$E20,0)))+IF(AND($E22&lt;&gt;"",$E22&lt;&gt;0),SUMIF(CÁLCULO!$BC$15:$BU$727,"="&amp;CRONO!X$12,CÁLCULO!$AJ$15:$BB$727)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BC$15:$BU$15,$E20,0,OFFSET(ORÇAMENTO!$D$15,CRONO!$E20,0))),"="&amp;CRONO!Y$12,OFFSET(CÁLCULO!$AJ$15:$BB$15,$E20,0,OFFSET(ORÇAMENTO!$D$15,CRONO!$E20,0)))+IF(AND($E22&lt;&gt;"",$E22&lt;&gt;0),SUMIF(CÁLCULO!$BC$15:$BU$727,"="&amp;CRONO!Y$12,CÁLCULO!$AJ$15:$BB$727)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BC$15:$BU$15,$E20,0,OFFSET(ORÇAMENTO!$D$15,CRONO!$E20,0))),"="&amp;CRONO!Z$12,OFFSET(CÁLCULO!$AJ$15:$BB$15,$E20,0,OFFSET(ORÇAMENTO!$D$15,CRONO!$E20,0)))+IF(AND($E22&lt;&gt;"",$E22&lt;&gt;0),SUMIF(CÁLCULO!$BC$15:$BU$727,"="&amp;CRONO!Z$12,CÁLCULO!$AJ$15:$BB$727)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BC$15:$BU$15,$E20,0,OFFSET(ORÇAMENTO!$D$15,CRONO!$E20,0))),"="&amp;CRONO!AA$12,OFFSET(CÁLCULO!$AJ$15:$BB$15,$E20,0,OFFSET(ORÇAMENTO!$D$15,CRONO!$E20,0)))+IF(AND($E22&lt;&gt;"",$E22&lt;&gt;0),SUMIF(CÁLCULO!$BC$15:$BU$727,"="&amp;CRONO!AA$12,CÁLCULO!$AJ$15:$BB$727)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BC$15:$BU$15,$E20,0,OFFSET(ORÇAMENTO!$D$15,CRONO!$E20,0))),"="&amp;CRONO!AB$12,OFFSET(CÁLCULO!$AJ$15:$BB$15,$E20,0,OFFSET(ORÇAMENTO!$D$15,CRONO!$E20,0)))+IF(AND($E22&lt;&gt;"",$E22&lt;&gt;0),SUMIF(CÁLCULO!$BC$15:$BU$727,"="&amp;CRONO!AB$12,CÁLCULO!$AJ$15:$BB$727)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BC$15:$BU$15,$E20,0,OFFSET(ORÇAMENTO!$D$15,CRONO!$E20,0))),"="&amp;CRONO!AC$12,OFFSET(CÁLCULO!$AJ$15:$BB$15,$E20,0,OFFSET(ORÇAMENTO!$D$15,CRONO!$E20,0)))+IF(AND($E22&lt;&gt;"",$E22&lt;&gt;0),SUMIF(CÁLCULO!$BC$15:$BU$727,"="&amp;CRONO!AC$12,CÁLCULO!$AJ$15:$BB$727)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BC$15:$BU$15,$E20,0,OFFSET(ORÇAMENTO!$D$15,CRONO!$E20,0))),"="&amp;CRONO!AD$12,OFFSET(CÁLCULO!$AJ$15:$BB$15,$E20,0,OFFSET(ORÇAMENTO!$D$15,CRONO!$E20,0)))+IF(AND($E22&lt;&gt;"",$E22&lt;&gt;0),SUMIF(CÁLCULO!$BC$15:$BU$727,"="&amp;CRONO!AD$12,CÁLCULO!$AJ$15:$BB$727)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BC$15:$BU$15,$E20,0,OFFSET(ORÇAMENTO!$D$15,CRONO!$E20,0))),"="&amp;CRONO!AE$12,OFFSET(CÁLCULO!$AJ$15:$BB$15,$E20,0,OFFSET(ORÇAMENTO!$D$15,CRONO!$E20,0)))+IF(AND($E22&lt;&gt;"",$E22&lt;&gt;0),SUMIF(CÁLCULO!$BC$15:$BU$727,"="&amp;CRONO!AE$12,CÁLCULO!$AJ$15:$BB$727)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1</v>
      </c>
      <c r="C23" s="204">
        <f ca="1">IF($Q23&lt;&gt;2,0,IF($R23=0,1,IF(E24&gt;0,OFFSET(QCI!$N$13,SUBSTITUTE(E24,".",""),0),OFFSET(ORÇAMENTO!$AB$15,CRONO!$E23,0))/$R23))</f>
        <v>1</v>
      </c>
      <c r="D23" s="207" t="e">
        <f ca="1">IF(AND($Q23=2,ACOMPANHAMENTO="BM"),D24,D25/$R23)</f>
        <v>#DIV/0!</v>
      </c>
      <c r="E23" s="204">
        <f ca="1">IF(A23&lt;=ORÇAMENTO.MáximoListaCrono,MATCH(A23,ORÇAMENTO.ListaCrono,0),NA())</f>
        <v>8</v>
      </c>
      <c r="F23" s="204" t="str">
        <f t="shared" ref="F23" ca="1" si="25">IF(AND($E24&lt;&gt;-1,$R23&gt;0),"F","")</f>
        <v/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1.3.</v>
      </c>
      <c r="I23" s="210" t="str">
        <f ca="1">IF($E24=0,OFFSET(ORÇAMENTO!R$15,$E23,0),IF($E24&lt;&gt;-1,OFFSET(QCI!$G$13,$E24,0),""))</f>
        <v>SERVIÇOS PRELIMINARES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IF($E24=-1,0,IF(M$13&lt;=$L23,IF(ISERROR(MATCH(M$13,OFFSET($L23,1,0,ROW($L$260)-ROW($L23)-1),0)),ROW($L$260)-ROW($L23)-1,MATCH(M$13,OFFSET($L23,1,0,ROW($L$260)-ROW($L23)-1),0)-1),0))</f>
        <v>236</v>
      </c>
      <c r="N23" s="212">
        <f ca="1">IF($E24=-1,0,IF(N$13&lt;=$L23,IF(ISERROR(MATCH(N$13,OFFSET($L23,1,0,ROW($L$260)-ROW($L23)-1),0)),ROW($L$260)-ROW($L23)-1,MATCH(N$13,OFFSET($L23,1,0,ROW($L$260)-ROW($L23)-1),0)-1),0))</f>
        <v>2</v>
      </c>
      <c r="O23" s="212">
        <f ca="1">IF($E24=-1,0,IF(O$13&lt;=$L23,IF(ISERROR(MATCH(O$13,OFFSET($L23,1,0,ROW($L$260)-ROW($L23)-1),0)),ROW($L$260)-ROW($L23)-1,MATCH(O$13,OFFSET($L23,1,0,ROW($L$260)-ROW($L23)-1),0)-1),0))</f>
        <v>0</v>
      </c>
      <c r="P23" s="212">
        <f ca="1">IF($E24=-1,0,IF(P$13&lt;=$L23,IF(ISERROR(MATCH(P$13,OFFSET($L23,1,0,ROW($L$260)-ROW($L23)-1),0)),ROW($L$260)-ROW($L23)-1,MATCH(P$13,OFFSET($L23,1,0,ROW($L$260)-ROW($L23)-1),0)-1),0))</f>
        <v>0</v>
      </c>
      <c r="Q23" s="212">
        <f t="shared" ref="Q23" ca="1" si="26">MIN(OFFSET(L23,0,1,,L23))</f>
        <v>2</v>
      </c>
      <c r="R23" s="213">
        <f ca="1">IF($E24=0,OFFSET(ORÇAMENTO!X$15,$E23,0),IF($E24&lt;&gt;-1,OFFSET(QCI!$O$13,$E24,0),""))</f>
        <v>0</v>
      </c>
      <c r="S23" s="214" t="s">
        <v>270</v>
      </c>
      <c r="T23" s="215" t="e">
        <f t="shared" ref="T23:AE23" ca="1" si="27">IF(AND($Q23=2,ACOMPANHAMENTO="BM"),T24,T25/$R23)</f>
        <v>#DIV/0!</v>
      </c>
      <c r="U23" s="207" t="e">
        <f t="shared" ca="1" si="27"/>
        <v>#DIV/0!</v>
      </c>
      <c r="V23" s="207" t="e">
        <f t="shared" ca="1" si="27"/>
        <v>#DIV/0!</v>
      </c>
      <c r="W23" s="207" t="e">
        <f t="shared" ca="1" si="27"/>
        <v>#DIV/0!</v>
      </c>
      <c r="X23" s="207" t="e">
        <f t="shared" ca="1" si="27"/>
        <v>#DIV/0!</v>
      </c>
      <c r="Y23" s="207" t="e">
        <f t="shared" ca="1" si="27"/>
        <v>#DIV/0!</v>
      </c>
      <c r="Z23" s="207" t="e">
        <f t="shared" ca="1" si="27"/>
        <v>#DIV/0!</v>
      </c>
      <c r="AA23" s="207" t="e">
        <f t="shared" ca="1" si="27"/>
        <v>#DIV/0!</v>
      </c>
      <c r="AB23" s="207" t="e">
        <f t="shared" ca="1" si="27"/>
        <v>#DIV/0!</v>
      </c>
      <c r="AC23" s="207" t="e">
        <f t="shared" ca="1" si="27"/>
        <v>#DIV/0!</v>
      </c>
      <c r="AD23" s="207" t="e">
        <f t="shared" ca="1" si="27"/>
        <v>#DIV/0!</v>
      </c>
      <c r="AE23" s="216" t="e">
        <f t="shared" ca="1" si="27"/>
        <v>#DIV/0!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/>
      </c>
      <c r="G24" s="217" t="str">
        <f ca="1">IF(OR(R23=0,R23=""),"vazia",IF(AND(OR(ACOMPANHAMENTO="PLE",$Q23&lt;&gt;2),$E24=0),"calculada","--&gt;"))</f>
        <v>vazia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hidden="1" customHeight="1" x14ac:dyDescent="0.2">
      <c r="D25" s="223">
        <f ca="1">IF($Q23=2,IF(AND(ACOMPANHAMENTO="PLE",ISNUMBER($E23)),SUMIF((OFFSET(CÁLCULO!$BC$15:$BU$15,$E23,0,OFFSET(ORÇAMENTO!$D$15,CRONO!$E23,0))),"="&amp;CRONO!D$12,OFFSET(CÁLCULO!$AJ$15:$BB$15,$E23,0,OFFSET(ORÇAMENTO!$D$15,CRONO!$E23,0)))+IF(AND($E25&lt;&gt;"",$E25&lt;&gt;0),SUMIF(CÁLCULO!$BC$15:$BU$727,"="&amp;CRONO!D$12,CÁLCULO!$AJ$15:$BB$727)/(ORÇAMENTO!$X$15-CÁLCULO.TotalAdmLocal)*CRONO!$E25,0),D24*$R23),SUMIF(OFFSET($R25,1,0,$Q23-2),($L23+1)&amp;"$",OFFSET(D25,1,0,$Q23-2)))</f>
        <v>0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BC$15:$BU$15,$E23,0,OFFSET(ORÇAMENTO!$D$15,CRONO!$E23,0))),"&lt;="&amp;CRONO!T$12,OFFSET(CÁLCULO!$AJ$15:$BB$15,$E23,0,OFFSET(ORÇAMENTO!$D$15,CRONO!$E23,0)))+IF(AND($E25&lt;&gt;"",$E25&lt;&gt;0),SUMIF(CÁLCULO!$BC$15:$BU$727,"&lt;="&amp;CRONO!T$12,CÁLCULO!$AJ$15:$BB$727)/(ORÇAMENTO!$X$15-CÁLCULO.TotalAdmLocal)*CRONO!$E25,0),T24*$R23),SUMIF(OFFSET($R25,1,0,$Q23-2),($L23+1)&amp;"$",OFFSET(T25,1,0,$Q23-2)))</f>
        <v>0</v>
      </c>
      <c r="U25" s="223">
        <f ca="1">IF($Q23=2,IF(AND(ACOMPANHAMENTO="PLE",ISNUMBER($E23)),SUMIF((OFFSET(CÁLCULO!$BC$15:$BU$15,$E23,0,OFFSET(ORÇAMENTO!$D$15,CRONO!$E23,0))),"="&amp;CRONO!U$12,OFFSET(CÁLCULO!$AJ$15:$BB$15,$E23,0,OFFSET(ORÇAMENTO!$D$15,CRONO!$E23,0)))+IF(AND($E25&lt;&gt;"",$E25&lt;&gt;0),SUMIF(CÁLCULO!$BC$15:$BU$727,"="&amp;CRONO!U$12,CÁLCULO!$AJ$15:$BB$727)/(ORÇAMENTO!$X$15-CÁLCULO.TotalAdmLocal)*CRONO!$E25,0),U24*$R23),SUMIF(OFFSET($R25,1,0,$Q23-2),($L23+1)&amp;"$",OFFSET(U25,1,0,$Q23-2)))</f>
        <v>0</v>
      </c>
      <c r="V25" s="223">
        <f ca="1">IF($Q23=2,IF(AND(ACOMPANHAMENTO="PLE",ISNUMBER($E23)),SUMIF((OFFSET(CÁLCULO!$BC$15:$BU$15,$E23,0,OFFSET(ORÇAMENTO!$D$15,CRONO!$E23,0))),"="&amp;CRONO!V$12,OFFSET(CÁLCULO!$AJ$15:$BB$15,$E23,0,OFFSET(ORÇAMENTO!$D$15,CRONO!$E23,0)))+IF(AND($E25&lt;&gt;"",$E25&lt;&gt;0),SUMIF(CÁLCULO!$BC$15:$BU$727,"="&amp;CRONO!V$12,CÁLCULO!$AJ$15:$BB$727)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BC$15:$BU$15,$E23,0,OFFSET(ORÇAMENTO!$D$15,CRONO!$E23,0))),"="&amp;CRONO!W$12,OFFSET(CÁLCULO!$AJ$15:$BB$15,$E23,0,OFFSET(ORÇAMENTO!$D$15,CRONO!$E23,0)))+IF(AND($E25&lt;&gt;"",$E25&lt;&gt;0),SUMIF(CÁLCULO!$BC$15:$BU$727,"="&amp;CRONO!W$12,CÁLCULO!$AJ$15:$BB$727)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BC$15:$BU$15,$E23,0,OFFSET(ORÇAMENTO!$D$15,CRONO!$E23,0))),"="&amp;CRONO!X$12,OFFSET(CÁLCULO!$AJ$15:$BB$15,$E23,0,OFFSET(ORÇAMENTO!$D$15,CRONO!$E23,0)))+IF(AND($E25&lt;&gt;"",$E25&lt;&gt;0),SUMIF(CÁLCULO!$BC$15:$BU$727,"="&amp;CRONO!X$12,CÁLCULO!$AJ$15:$BB$727)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BC$15:$BU$15,$E23,0,OFFSET(ORÇAMENTO!$D$15,CRONO!$E23,0))),"="&amp;CRONO!Y$12,OFFSET(CÁLCULO!$AJ$15:$BB$15,$E23,0,OFFSET(ORÇAMENTO!$D$15,CRONO!$E23,0)))+IF(AND($E25&lt;&gt;"",$E25&lt;&gt;0),SUMIF(CÁLCULO!$BC$15:$BU$727,"="&amp;CRONO!Y$12,CÁLCULO!$AJ$15:$BB$727)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BC$15:$BU$15,$E23,0,OFFSET(ORÇAMENTO!$D$15,CRONO!$E23,0))),"="&amp;CRONO!Z$12,OFFSET(CÁLCULO!$AJ$15:$BB$15,$E23,0,OFFSET(ORÇAMENTO!$D$15,CRONO!$E23,0)))+IF(AND($E25&lt;&gt;"",$E25&lt;&gt;0),SUMIF(CÁLCULO!$BC$15:$BU$727,"="&amp;CRONO!Z$12,CÁLCULO!$AJ$15:$BB$727)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BC$15:$BU$15,$E23,0,OFFSET(ORÇAMENTO!$D$15,CRONO!$E23,0))),"="&amp;CRONO!AA$12,OFFSET(CÁLCULO!$AJ$15:$BB$15,$E23,0,OFFSET(ORÇAMENTO!$D$15,CRONO!$E23,0)))+IF(AND($E25&lt;&gt;"",$E25&lt;&gt;0),SUMIF(CÁLCULO!$BC$15:$BU$727,"="&amp;CRONO!AA$12,CÁLCULO!$AJ$15:$BB$727)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BC$15:$BU$15,$E23,0,OFFSET(ORÇAMENTO!$D$15,CRONO!$E23,0))),"="&amp;CRONO!AB$12,OFFSET(CÁLCULO!$AJ$15:$BB$15,$E23,0,OFFSET(ORÇAMENTO!$D$15,CRONO!$E23,0)))+IF(AND($E25&lt;&gt;"",$E25&lt;&gt;0),SUMIF(CÁLCULO!$BC$15:$BU$727,"="&amp;CRONO!AB$12,CÁLCULO!$AJ$15:$BB$727)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BC$15:$BU$15,$E23,0,OFFSET(ORÇAMENTO!$D$15,CRONO!$E23,0))),"="&amp;CRONO!AC$12,OFFSET(CÁLCULO!$AJ$15:$BB$15,$E23,0,OFFSET(ORÇAMENTO!$D$15,CRONO!$E23,0)))+IF(AND($E25&lt;&gt;"",$E25&lt;&gt;0),SUMIF(CÁLCULO!$BC$15:$BU$727,"="&amp;CRONO!AC$12,CÁLCULO!$AJ$15:$BB$727)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BC$15:$BU$15,$E23,0,OFFSET(ORÇAMENTO!$D$15,CRONO!$E23,0))),"="&amp;CRONO!AD$12,OFFSET(CÁLCULO!$AJ$15:$BB$15,$E23,0,OFFSET(ORÇAMENTO!$D$15,CRONO!$E23,0)))+IF(AND($E25&lt;&gt;"",$E25&lt;&gt;0),SUMIF(CÁLCULO!$BC$15:$BU$727,"="&amp;CRONO!AD$12,CÁLCULO!$AJ$15:$BB$727)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BC$15:$BU$15,$E23,0,OFFSET(ORÇAMENTO!$D$15,CRONO!$E23,0))),"="&amp;CRONO!AE$12,OFFSET(CÁLCULO!$AJ$15:$BB$15,$E23,0,OFFSET(ORÇAMENTO!$D$15,CRONO!$E23,0)))+IF(AND($E25&lt;&gt;"",$E25&lt;&gt;0),SUMIF(CÁLCULO!$BC$15:$BU$727,"="&amp;CRONO!AE$12,CÁLCULO!$AJ$15:$BB$727)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1</v>
      </c>
      <c r="C26" s="204">
        <f ca="1">IF($Q26&lt;&gt;2,0,IF($R26=0,1,IF(E27&gt;0,OFFSET(QCI!$N$13,SUBSTITUTE(E27,".",""),0),OFFSET(ORÇAMENTO!$AB$15,CRONO!$E26,0))/$R26))</f>
        <v>1</v>
      </c>
      <c r="D26" s="207" t="e">
        <f ca="1">IF(AND($Q26=2,ACOMPANHAMENTO="BM"),D27,D28/$R26)</f>
        <v>#DIV/0!</v>
      </c>
      <c r="E26" s="204">
        <f ca="1">IF(A26&lt;=ORÇAMENTO.MáximoListaCrono,MATCH(A26,ORÇAMENTO.ListaCrono,0),NA())</f>
        <v>14</v>
      </c>
      <c r="F26" s="204" t="str">
        <f t="shared" ref="F26" ca="1" si="32">IF(AND($E27&lt;&gt;-1,$R26&gt;0),"F","")</f>
        <v/>
      </c>
      <c r="G26" s="208" t="str">
        <f ca="1">IF(OR(R26=0,R26=""),"Linha",IF(AND(OR(ACOMPANHAMENTO="PLE",$Q26&lt;&gt;2),$E27=0),"Linha",1-SUM(T26:AF26)))</f>
        <v>Linha</v>
      </c>
      <c r="H26" s="209" t="str">
        <f ca="1">IF($E27=0,OFFSET(ORÇAMENTO!O$15,$E26,0),IF($E27&lt;&gt;-1,OFFSET(QCI!$D$13,$E27,0),""))</f>
        <v>1.4.</v>
      </c>
      <c r="I26" s="210" t="str">
        <f ca="1">IF($E27=0,OFFSET(ORÇAMENTO!R$15,$E26,0),IF($E27&lt;&gt;-1,OFFSET(QCI!$G$13,$E27,0),""))</f>
        <v>MOVIMENTO DE TERRA PARA FUNDAÇÕES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IF($E27=-1,0,IF(M$13&lt;=$L26,IF(ISERROR(MATCH(M$13,OFFSET($L26,1,0,ROW($L$260)-ROW($L26)-1),0)),ROW($L$260)-ROW($L26)-1,MATCH(M$13,OFFSET($L26,1,0,ROW($L$260)-ROW($L26)-1),0)-1),0))</f>
        <v>233</v>
      </c>
      <c r="N26" s="212">
        <f ca="1">IF($E27=-1,0,IF(N$13&lt;=$L26,IF(ISERROR(MATCH(N$13,OFFSET($L26,1,0,ROW($L$260)-ROW($L26)-1),0)),ROW($L$260)-ROW($L26)-1,MATCH(N$13,OFFSET($L26,1,0,ROW($L$260)-ROW($L26)-1),0)-1),0))</f>
        <v>2</v>
      </c>
      <c r="O26" s="212">
        <f ca="1">IF($E27=-1,0,IF(O$13&lt;=$L26,IF(ISERROR(MATCH(O$13,OFFSET($L26,1,0,ROW($L$260)-ROW($L26)-1),0)),ROW($L$260)-ROW($L26)-1,MATCH(O$13,OFFSET($L26,1,0,ROW($L$260)-ROW($L26)-1),0)-1),0))</f>
        <v>0</v>
      </c>
      <c r="P26" s="212">
        <f ca="1">IF($E27=-1,0,IF(P$13&lt;=$L26,IF(ISERROR(MATCH(P$13,OFFSET($L26,1,0,ROW($L$260)-ROW($L26)-1),0)),ROW($L$260)-ROW($L26)-1,MATCH(P$13,OFFSET($L26,1,0,ROW($L$260)-ROW($L26)-1),0)-1),0))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0</v>
      </c>
      <c r="S26" s="214" t="s">
        <v>270</v>
      </c>
      <c r="T26" s="215" t="e">
        <f t="shared" ref="T26:AE26" ca="1" si="34">IF(AND($Q26=2,ACOMPANHAMENTO="BM"),T27,T28/$R26)</f>
        <v>#DIV/0!</v>
      </c>
      <c r="U26" s="207" t="e">
        <f t="shared" ca="1" si="34"/>
        <v>#DIV/0!</v>
      </c>
      <c r="V26" s="207" t="e">
        <f t="shared" ca="1" si="34"/>
        <v>#DIV/0!</v>
      </c>
      <c r="W26" s="207" t="e">
        <f t="shared" ca="1" si="34"/>
        <v>#DIV/0!</v>
      </c>
      <c r="X26" s="207" t="e">
        <f t="shared" ca="1" si="34"/>
        <v>#DIV/0!</v>
      </c>
      <c r="Y26" s="207" t="e">
        <f t="shared" ca="1" si="34"/>
        <v>#DIV/0!</v>
      </c>
      <c r="Z26" s="207" t="e">
        <f t="shared" ca="1" si="34"/>
        <v>#DIV/0!</v>
      </c>
      <c r="AA26" s="207" t="e">
        <f t="shared" ca="1" si="34"/>
        <v>#DIV/0!</v>
      </c>
      <c r="AB26" s="207" t="e">
        <f t="shared" ca="1" si="34"/>
        <v>#DIV/0!</v>
      </c>
      <c r="AC26" s="207" t="e">
        <f t="shared" ca="1" si="34"/>
        <v>#DIV/0!</v>
      </c>
      <c r="AD26" s="207" t="e">
        <f t="shared" ca="1" si="34"/>
        <v>#DIV/0!</v>
      </c>
      <c r="AE26" s="216" t="e">
        <f t="shared" ca="1" si="34"/>
        <v>#DIV/0!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/>
      </c>
      <c r="G27" s="217" t="str">
        <f ca="1">IF(OR(R26=0,R26=""),"vazia",IF(AND(OR(ACOMPANHAMENTO="PLE",$Q26&lt;&gt;2),$E27=0),"calculada","--&gt;"))</f>
        <v>vazia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/>
      <c r="U27" s="569"/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hidden="1" customHeight="1" x14ac:dyDescent="0.2">
      <c r="D28" s="223">
        <f ca="1">IF($Q26=2,IF(AND(ACOMPANHAMENTO="PLE",ISNUMBER($E26)),SUMIF((OFFSET(CÁLCULO!$BC$15:$BU$15,$E26,0,OFFSET(ORÇAMENTO!$D$15,CRONO!$E26,0))),"="&amp;CRONO!D$12,OFFSET(CÁLCULO!$AJ$15:$BB$15,$E26,0,OFFSET(ORÇAMENTO!$D$15,CRONO!$E26,0)))+IF(AND($E28&lt;&gt;"",$E28&lt;&gt;0),SUMIF(CÁLCULO!$BC$15:$BU$727,"="&amp;CRONO!D$12,CÁLCULO!$AJ$15:$BB$727)/(ORÇAMENTO!$X$15-CÁLCULO.TotalAdmLocal)*CRONO!$E28,0),D27*$R26),SUMIF(OFFSET($R28,1,0,$Q26-2),($L26+1)&amp;"$",OFFSET(D28,1,0,$Q26-2)))</f>
        <v>0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BC$15:$BU$15,$E26,0,OFFSET(ORÇAMENTO!$D$15,CRONO!$E26,0))),"&lt;="&amp;CRONO!T$12,OFFSET(CÁLCULO!$AJ$15:$BB$15,$E26,0,OFFSET(ORÇAMENTO!$D$15,CRONO!$E26,0)))+IF(AND($E28&lt;&gt;"",$E28&lt;&gt;0),SUMIF(CÁLCULO!$BC$15:$BU$727,"&lt;="&amp;CRONO!T$12,CÁLCULO!$AJ$15:$BB$727)/(ORÇAMENTO!$X$15-CÁLCULO.TotalAdmLocal)*CRONO!$E28,0),T27*$R26),SUMIF(OFFSET($R28,1,0,$Q26-2),($L26+1)&amp;"$",OFFSET(T28,1,0,$Q26-2)))</f>
        <v>0</v>
      </c>
      <c r="U28" s="223">
        <f ca="1">IF($Q26=2,IF(AND(ACOMPANHAMENTO="PLE",ISNUMBER($E26)),SUMIF((OFFSET(CÁLCULO!$BC$15:$BU$15,$E26,0,OFFSET(ORÇAMENTO!$D$15,CRONO!$E26,0))),"="&amp;CRONO!U$12,OFFSET(CÁLCULO!$AJ$15:$BB$15,$E26,0,OFFSET(ORÇAMENTO!$D$15,CRONO!$E26,0)))+IF(AND($E28&lt;&gt;"",$E28&lt;&gt;0),SUMIF(CÁLCULO!$BC$15:$BU$727,"="&amp;CRONO!U$12,CÁLCULO!$AJ$15:$BB$727)/(ORÇAMENTO!$X$15-CÁLCULO.TotalAdmLocal)*CRONO!$E28,0),U27*$R26),SUMIF(OFFSET($R28,1,0,$Q26-2),($L26+1)&amp;"$",OFFSET(U28,1,0,$Q26-2)))</f>
        <v>0</v>
      </c>
      <c r="V28" s="223">
        <f ca="1">IF($Q26=2,IF(AND(ACOMPANHAMENTO="PLE",ISNUMBER($E26)),SUMIF((OFFSET(CÁLCULO!$BC$15:$BU$15,$E26,0,OFFSET(ORÇAMENTO!$D$15,CRONO!$E26,0))),"="&amp;CRONO!V$12,OFFSET(CÁLCULO!$AJ$15:$BB$15,$E26,0,OFFSET(ORÇAMENTO!$D$15,CRONO!$E26,0)))+IF(AND($E28&lt;&gt;"",$E28&lt;&gt;0),SUMIF(CÁLCULO!$BC$15:$BU$727,"="&amp;CRONO!V$12,CÁLCULO!$AJ$15:$BB$727)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BC$15:$BU$15,$E26,0,OFFSET(ORÇAMENTO!$D$15,CRONO!$E26,0))),"="&amp;CRONO!W$12,OFFSET(CÁLCULO!$AJ$15:$BB$15,$E26,0,OFFSET(ORÇAMENTO!$D$15,CRONO!$E26,0)))+IF(AND($E28&lt;&gt;"",$E28&lt;&gt;0),SUMIF(CÁLCULO!$BC$15:$BU$727,"="&amp;CRONO!W$12,CÁLCULO!$AJ$15:$BB$727)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BC$15:$BU$15,$E26,0,OFFSET(ORÇAMENTO!$D$15,CRONO!$E26,0))),"="&amp;CRONO!X$12,OFFSET(CÁLCULO!$AJ$15:$BB$15,$E26,0,OFFSET(ORÇAMENTO!$D$15,CRONO!$E26,0)))+IF(AND($E28&lt;&gt;"",$E28&lt;&gt;0),SUMIF(CÁLCULO!$BC$15:$BU$727,"="&amp;CRONO!X$12,CÁLCULO!$AJ$15:$BB$727)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BC$15:$BU$15,$E26,0,OFFSET(ORÇAMENTO!$D$15,CRONO!$E26,0))),"="&amp;CRONO!Y$12,OFFSET(CÁLCULO!$AJ$15:$BB$15,$E26,0,OFFSET(ORÇAMENTO!$D$15,CRONO!$E26,0)))+IF(AND($E28&lt;&gt;"",$E28&lt;&gt;0),SUMIF(CÁLCULO!$BC$15:$BU$727,"="&amp;CRONO!Y$12,CÁLCULO!$AJ$15:$BB$727)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BC$15:$BU$15,$E26,0,OFFSET(ORÇAMENTO!$D$15,CRONO!$E26,0))),"="&amp;CRONO!Z$12,OFFSET(CÁLCULO!$AJ$15:$BB$15,$E26,0,OFFSET(ORÇAMENTO!$D$15,CRONO!$E26,0)))+IF(AND($E28&lt;&gt;"",$E28&lt;&gt;0),SUMIF(CÁLCULO!$BC$15:$BU$727,"="&amp;CRONO!Z$12,CÁLCULO!$AJ$15:$BB$727)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BC$15:$BU$15,$E26,0,OFFSET(ORÇAMENTO!$D$15,CRONO!$E26,0))),"="&amp;CRONO!AA$12,OFFSET(CÁLCULO!$AJ$15:$BB$15,$E26,0,OFFSET(ORÇAMENTO!$D$15,CRONO!$E26,0)))+IF(AND($E28&lt;&gt;"",$E28&lt;&gt;0),SUMIF(CÁLCULO!$BC$15:$BU$727,"="&amp;CRONO!AA$12,CÁLCULO!$AJ$15:$BB$727)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BC$15:$BU$15,$E26,0,OFFSET(ORÇAMENTO!$D$15,CRONO!$E26,0))),"="&amp;CRONO!AB$12,OFFSET(CÁLCULO!$AJ$15:$BB$15,$E26,0,OFFSET(ORÇAMENTO!$D$15,CRONO!$E26,0)))+IF(AND($E28&lt;&gt;"",$E28&lt;&gt;0),SUMIF(CÁLCULO!$BC$15:$BU$727,"="&amp;CRONO!AB$12,CÁLCULO!$AJ$15:$BB$727)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BC$15:$BU$15,$E26,0,OFFSET(ORÇAMENTO!$D$15,CRONO!$E26,0))),"="&amp;CRONO!AC$12,OFFSET(CÁLCULO!$AJ$15:$BB$15,$E26,0,OFFSET(ORÇAMENTO!$D$15,CRONO!$E26,0)))+IF(AND($E28&lt;&gt;"",$E28&lt;&gt;0),SUMIF(CÁLCULO!$BC$15:$BU$727,"="&amp;CRONO!AC$12,CÁLCULO!$AJ$15:$BB$727)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BC$15:$BU$15,$E26,0,OFFSET(ORÇAMENTO!$D$15,CRONO!$E26,0))),"="&amp;CRONO!AD$12,OFFSET(CÁLCULO!$AJ$15:$BB$15,$E26,0,OFFSET(ORÇAMENTO!$D$15,CRONO!$E26,0)))+IF(AND($E28&lt;&gt;"",$E28&lt;&gt;0),SUMIF(CÁLCULO!$BC$15:$BU$727,"="&amp;CRONO!AD$12,CÁLCULO!$AJ$15:$BB$727)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BC$15:$BU$15,$E26,0,OFFSET(ORÇAMENTO!$D$15,CRONO!$E26,0))),"="&amp;CRONO!AE$12,OFFSET(CÁLCULO!$AJ$15:$BB$15,$E26,0,OFFSET(ORÇAMENTO!$D$15,CRONO!$E26,0)))+IF(AND($E28&lt;&gt;"",$E28&lt;&gt;0),SUMIF(CÁLCULO!$BC$15:$BU$727,"="&amp;CRONO!AE$12,CÁLCULO!$AJ$15:$BB$727)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</v>
      </c>
      <c r="C29" s="204">
        <f ca="1">IF($Q29&lt;&gt;2,0,IF($R29=0,1,IF(E30&gt;0,OFFSET(QCI!$N$13,SUBSTITUTE(E30,".",""),0),OFFSET(ORÇAMENTO!$AB$15,CRONO!$E29,0))/$R29))</f>
        <v>1</v>
      </c>
      <c r="D29" s="207" t="e">
        <f ca="1">IF(AND($Q29=2,ACOMPANHAMENTO="BM"),D30,D31/$R29)</f>
        <v>#DIV/0!</v>
      </c>
      <c r="E29" s="204">
        <f ca="1">IF(A29&lt;=ORÇAMENTO.MáximoListaCrono,MATCH(A29,ORÇAMENTO.ListaCrono,0),NA())</f>
        <v>22</v>
      </c>
      <c r="F29" s="204" t="str">
        <f t="shared" ref="F29" ca="1" si="39">IF(AND($E30&lt;&gt;-1,$R29&gt;0),"F","")</f>
        <v/>
      </c>
      <c r="G29" s="208" t="str">
        <f ca="1">IF(OR(R29=0,R29=""),"Linha",IF(AND(OR(ACOMPANHAMENTO="PLE",$Q29&lt;&gt;2),$E30=0),"Linha",1-SUM(T29:AF29)))</f>
        <v>Linha</v>
      </c>
      <c r="H29" s="209" t="str">
        <f ca="1">IF($E30=0,OFFSET(ORÇAMENTO!O$15,$E29,0),IF($E30&lt;&gt;-1,OFFSET(QCI!$D$13,$E30,0),""))</f>
        <v>1.5.</v>
      </c>
      <c r="I29" s="210" t="str">
        <f ca="1">IF($E30=0,OFFSET(ORÇAMENTO!R$15,$E29,0),IF($E30&lt;&gt;-1,OFFSET(QCI!$G$13,$E30,0),""))</f>
        <v>FUNDAÇÕES - CONCRETO ARMADO PARA TUBULÕES</v>
      </c>
      <c r="J29" s="210"/>
      <c r="K29" s="210"/>
      <c r="L29" s="211">
        <f ca="1">IF($E30=0,OFFSET(ORÇAMENTO!C$15,$E29,0),1)</f>
        <v>2</v>
      </c>
      <c r="M29" s="212">
        <f ca="1">IF($E30=-1,0,IF(M$13&lt;=$L29,IF(ISERROR(MATCH(M$13,OFFSET($L29,1,0,ROW($L$260)-ROW($L29)-1),0)),ROW($L$260)-ROW($L29)-1,MATCH(M$13,OFFSET($L29,1,0,ROW($L$260)-ROW($L29)-1),0)-1),0))</f>
        <v>230</v>
      </c>
      <c r="N29" s="212">
        <f ca="1">IF($E30=-1,0,IF(N$13&lt;=$L29,IF(ISERROR(MATCH(N$13,OFFSET($L29,1,0,ROW($L$260)-ROW($L29)-1),0)),ROW($L$260)-ROW($L29)-1,MATCH(N$13,OFFSET($L29,1,0,ROW($L$260)-ROW($L29)-1),0)-1),0))</f>
        <v>2</v>
      </c>
      <c r="O29" s="212">
        <f ca="1">IF($E30=-1,0,IF(O$13&lt;=$L29,IF(ISERROR(MATCH(O$13,OFFSET($L29,1,0,ROW($L$260)-ROW($L29)-1),0)),ROW($L$260)-ROW($L29)-1,MATCH(O$13,OFFSET($L29,1,0,ROW($L$260)-ROW($L29)-1),0)-1),0))</f>
        <v>0</v>
      </c>
      <c r="P29" s="212">
        <f ca="1">IF($E30=-1,0,IF(P$13&lt;=$L29,IF(ISERROR(MATCH(P$13,OFFSET($L29,1,0,ROW($L$260)-ROW($L29)-1),0)),ROW($L$260)-ROW($L29)-1,MATCH(P$13,OFFSET($L29,1,0,ROW($L$260)-ROW($L29)-1),0)-1),0))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0</v>
      </c>
      <c r="S29" s="214" t="s">
        <v>270</v>
      </c>
      <c r="T29" s="215" t="e">
        <f t="shared" ref="T29:AE29" ca="1" si="41">IF(AND($Q29=2,ACOMPANHAMENTO="BM"),T30,T31/$R29)</f>
        <v>#DIV/0!</v>
      </c>
      <c r="U29" s="207" t="e">
        <f t="shared" ca="1" si="41"/>
        <v>#DIV/0!</v>
      </c>
      <c r="V29" s="207" t="e">
        <f t="shared" ca="1" si="41"/>
        <v>#DIV/0!</v>
      </c>
      <c r="W29" s="207" t="e">
        <f t="shared" ca="1" si="41"/>
        <v>#DIV/0!</v>
      </c>
      <c r="X29" s="207" t="e">
        <f t="shared" ca="1" si="41"/>
        <v>#DIV/0!</v>
      </c>
      <c r="Y29" s="207" t="e">
        <f t="shared" ca="1" si="41"/>
        <v>#DIV/0!</v>
      </c>
      <c r="Z29" s="207" t="e">
        <f t="shared" ca="1" si="41"/>
        <v>#DIV/0!</v>
      </c>
      <c r="AA29" s="207" t="e">
        <f t="shared" ca="1" si="41"/>
        <v>#DIV/0!</v>
      </c>
      <c r="AB29" s="207" t="e">
        <f t="shared" ca="1" si="41"/>
        <v>#DIV/0!</v>
      </c>
      <c r="AC29" s="207" t="e">
        <f t="shared" ca="1" si="41"/>
        <v>#DIV/0!</v>
      </c>
      <c r="AD29" s="207" t="e">
        <f t="shared" ca="1" si="41"/>
        <v>#DIV/0!</v>
      </c>
      <c r="AE29" s="216" t="e">
        <f t="shared" ca="1" si="41"/>
        <v>#DIV/0!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0</v>
      </c>
      <c r="F30" s="204" t="str">
        <f t="shared" ref="F30" ca="1" si="42">IF(AND($E30&lt;&gt;-1,$R29&gt;0),"F","")</f>
        <v/>
      </c>
      <c r="G30" s="217" t="str">
        <f ca="1">IF(OR(R29=0,R29=""),"vazia",IF(AND(OR(ACOMPANHAMENTO="PLE",$Q29&lt;&gt;2),$E30=0),"calculada","--&gt;"))</f>
        <v>vazia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/>
      <c r="V30" s="569"/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hidden="1" customHeight="1" x14ac:dyDescent="0.2">
      <c r="D31" s="223">
        <f ca="1">IF($Q29=2,IF(AND(ACOMPANHAMENTO="PLE",ISNUMBER($E29)),SUMIF((OFFSET(CÁLCULO!$BC$15:$BU$15,$E29,0,OFFSET(ORÇAMENTO!$D$15,CRONO!$E29,0))),"="&amp;CRONO!D$12,OFFSET(CÁLCULO!$AJ$15:$BB$15,$E29,0,OFFSET(ORÇAMENTO!$D$15,CRONO!$E29,0)))+IF(AND($E31&lt;&gt;"",$E31&lt;&gt;0),SUMIF(CÁLCULO!$BC$15:$BU$727,"="&amp;CRONO!D$12,CÁLCULO!$AJ$15:$BB$727)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2$</v>
      </c>
      <c r="S31" s="226"/>
      <c r="T31" s="227">
        <f ca="1">IF($Q29=2,IF(AND(ACOMPANHAMENTO="PLE",ISNUMBER($E29)),SUMIF((OFFSET(CÁLCULO!$BC$15:$BU$15,$E29,0,OFFSET(ORÇAMENTO!$D$15,CRONO!$E29,0))),"&lt;="&amp;CRONO!T$12,OFFSET(CÁLCULO!$AJ$15:$BB$15,$E29,0,OFFSET(ORÇAMENTO!$D$15,CRONO!$E29,0)))+IF(AND($E31&lt;&gt;"",$E31&lt;&gt;0),SUMIF(CÁLCULO!$BC$15:$BU$727,"&lt;="&amp;CRONO!T$12,CÁLCULO!$AJ$15:$BB$727)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BC$15:$BU$15,$E29,0,OFFSET(ORÇAMENTO!$D$15,CRONO!$E29,0))),"="&amp;CRONO!U$12,OFFSET(CÁLCULO!$AJ$15:$BB$15,$E29,0,OFFSET(ORÇAMENTO!$D$15,CRONO!$E29,0)))+IF(AND($E31&lt;&gt;"",$E31&lt;&gt;0),SUMIF(CÁLCULO!$BC$15:$BU$727,"="&amp;CRONO!U$12,CÁLCULO!$AJ$15:$BB$727)/(ORÇAMENTO!$X$15-CÁLCULO.TotalAdmLocal)*CRONO!$E31,0),U30*$R29),SUMIF(OFFSET($R31,1,0,$Q29-2),($L29+1)&amp;"$",OFFSET(U31,1,0,$Q29-2)))</f>
        <v>0</v>
      </c>
      <c r="V31" s="223">
        <f ca="1">IF($Q29=2,IF(AND(ACOMPANHAMENTO="PLE",ISNUMBER($E29)),SUMIF((OFFSET(CÁLCULO!$BC$15:$BU$15,$E29,0,OFFSET(ORÇAMENTO!$D$15,CRONO!$E29,0))),"="&amp;CRONO!V$12,OFFSET(CÁLCULO!$AJ$15:$BB$15,$E29,0,OFFSET(ORÇAMENTO!$D$15,CRONO!$E29,0)))+IF(AND($E31&lt;&gt;"",$E31&lt;&gt;0),SUMIF(CÁLCULO!$BC$15:$BU$727,"="&amp;CRONO!V$12,CÁLCULO!$AJ$15:$BB$727)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BC$15:$BU$15,$E29,0,OFFSET(ORÇAMENTO!$D$15,CRONO!$E29,0))),"="&amp;CRONO!W$12,OFFSET(CÁLCULO!$AJ$15:$BB$15,$E29,0,OFFSET(ORÇAMENTO!$D$15,CRONO!$E29,0)))+IF(AND($E31&lt;&gt;"",$E31&lt;&gt;0),SUMIF(CÁLCULO!$BC$15:$BU$727,"="&amp;CRONO!W$12,CÁLCULO!$AJ$15:$BB$727)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BC$15:$BU$15,$E29,0,OFFSET(ORÇAMENTO!$D$15,CRONO!$E29,0))),"="&amp;CRONO!X$12,OFFSET(CÁLCULO!$AJ$15:$BB$15,$E29,0,OFFSET(ORÇAMENTO!$D$15,CRONO!$E29,0)))+IF(AND($E31&lt;&gt;"",$E31&lt;&gt;0),SUMIF(CÁLCULO!$BC$15:$BU$727,"="&amp;CRONO!X$12,CÁLCULO!$AJ$15:$BB$727)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BC$15:$BU$15,$E29,0,OFFSET(ORÇAMENTO!$D$15,CRONO!$E29,0))),"="&amp;CRONO!Y$12,OFFSET(CÁLCULO!$AJ$15:$BB$15,$E29,0,OFFSET(ORÇAMENTO!$D$15,CRONO!$E29,0)))+IF(AND($E31&lt;&gt;"",$E31&lt;&gt;0),SUMIF(CÁLCULO!$BC$15:$BU$727,"="&amp;CRONO!Y$12,CÁLCULO!$AJ$15:$BB$727)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BC$15:$BU$15,$E29,0,OFFSET(ORÇAMENTO!$D$15,CRONO!$E29,0))),"="&amp;CRONO!Z$12,OFFSET(CÁLCULO!$AJ$15:$BB$15,$E29,0,OFFSET(ORÇAMENTO!$D$15,CRONO!$E29,0)))+IF(AND($E31&lt;&gt;"",$E31&lt;&gt;0),SUMIF(CÁLCULO!$BC$15:$BU$727,"="&amp;CRONO!Z$12,CÁLCULO!$AJ$15:$BB$727)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BC$15:$BU$15,$E29,0,OFFSET(ORÇAMENTO!$D$15,CRONO!$E29,0))),"="&amp;CRONO!AA$12,OFFSET(CÁLCULO!$AJ$15:$BB$15,$E29,0,OFFSET(ORÇAMENTO!$D$15,CRONO!$E29,0)))+IF(AND($E31&lt;&gt;"",$E31&lt;&gt;0),SUMIF(CÁLCULO!$BC$15:$BU$727,"="&amp;CRONO!AA$12,CÁLCULO!$AJ$15:$BB$727)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BC$15:$BU$15,$E29,0,OFFSET(ORÇAMENTO!$D$15,CRONO!$E29,0))),"="&amp;CRONO!AB$12,OFFSET(CÁLCULO!$AJ$15:$BB$15,$E29,0,OFFSET(ORÇAMENTO!$D$15,CRONO!$E29,0)))+IF(AND($E31&lt;&gt;"",$E31&lt;&gt;0),SUMIF(CÁLCULO!$BC$15:$BU$727,"="&amp;CRONO!AB$12,CÁLCULO!$AJ$15:$BB$727)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BC$15:$BU$15,$E29,0,OFFSET(ORÇAMENTO!$D$15,CRONO!$E29,0))),"="&amp;CRONO!AC$12,OFFSET(CÁLCULO!$AJ$15:$BB$15,$E29,0,OFFSET(ORÇAMENTO!$D$15,CRONO!$E29,0)))+IF(AND($E31&lt;&gt;"",$E31&lt;&gt;0),SUMIF(CÁLCULO!$BC$15:$BU$727,"="&amp;CRONO!AC$12,CÁLCULO!$AJ$15:$BB$727)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BC$15:$BU$15,$E29,0,OFFSET(ORÇAMENTO!$D$15,CRONO!$E29,0))),"="&amp;CRONO!AD$12,OFFSET(CÁLCULO!$AJ$15:$BB$15,$E29,0,OFFSET(ORÇAMENTO!$D$15,CRONO!$E29,0)))+IF(AND($E31&lt;&gt;"",$E31&lt;&gt;0),SUMIF(CÁLCULO!$BC$15:$BU$727,"="&amp;CRONO!AD$12,CÁLCULO!$AJ$15:$BB$727)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BC$15:$BU$15,$E29,0,OFFSET(ORÇAMENTO!$D$15,CRONO!$E29,0))),"="&amp;CRONO!AE$12,OFFSET(CÁLCULO!$AJ$15:$BB$15,$E29,0,OFFSET(ORÇAMENTO!$D$15,CRONO!$E29,0)))+IF(AND($E31&lt;&gt;"",$E31&lt;&gt;0),SUMIF(CÁLCULO!$BC$15:$BU$727,"="&amp;CRONO!AE$12,CÁLCULO!$AJ$15:$BB$727)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1</v>
      </c>
      <c r="C32" s="204">
        <f ca="1">IF($Q32&lt;&gt;2,0,IF($R32=0,1,IF(E33&gt;0,OFFSET(QCI!$N$13,SUBSTITUTE(E33,".",""),0),OFFSET(ORÇAMENTO!$AB$15,CRONO!$E32,0))/$R32))</f>
        <v>1</v>
      </c>
      <c r="D32" s="207" t="e">
        <f ca="1">IF(AND($Q32=2,ACOMPANHAMENTO="BM"),D33,D34/$R32)</f>
        <v>#DIV/0!</v>
      </c>
      <c r="E32" s="204">
        <f ca="1">IF(A32&lt;=ORÇAMENTO.MáximoListaCrono,MATCH(A32,ORÇAMENTO.ListaCrono,0),NA())</f>
        <v>25</v>
      </c>
      <c r="F32" s="204" t="str">
        <f t="shared" ref="F32" ca="1" si="46">IF(AND($E33&lt;&gt;-1,$R32&gt;0),"F","")</f>
        <v/>
      </c>
      <c r="G32" s="208" t="str">
        <f ca="1">IF(OR(R32=0,R32=""),"Linha",IF(AND(OR(ACOMPANHAMENTO="PLE",$Q32&lt;&gt;2),$E33=0),"Linha",1-SUM(T32:AF32)))</f>
        <v>Linha</v>
      </c>
      <c r="H32" s="209" t="str">
        <f ca="1">IF($E33=0,OFFSET(ORÇAMENTO!O$15,$E32,0),IF($E33&lt;&gt;-1,OFFSET(QCI!$D$13,$E33,0),""))</f>
        <v>1.6.</v>
      </c>
      <c r="I32" s="210" t="str">
        <f ca="1">IF($E33=0,OFFSET(ORÇAMENTO!R$15,$E32,0),IF($E33&lt;&gt;-1,OFFSET(QCI!$G$13,$E33,0),""))</f>
        <v>FUNDAÇÕES - CONCRETO ARMADO PARA SAPATAS</v>
      </c>
      <c r="J32" s="210"/>
      <c r="K32" s="210"/>
      <c r="L32" s="211">
        <f ca="1">IF($E33=0,OFFSET(ORÇAMENTO!C$15,$E32,0),1)</f>
        <v>2</v>
      </c>
      <c r="M32" s="212">
        <f ca="1">IF($E33=-1,0,IF(M$13&lt;=$L32,IF(ISERROR(MATCH(M$13,OFFSET($L32,1,0,ROW($L$260)-ROW($L32)-1),0)),ROW($L$260)-ROW($L32)-1,MATCH(M$13,OFFSET($L32,1,0,ROW($L$260)-ROW($L32)-1),0)-1),0))</f>
        <v>227</v>
      </c>
      <c r="N32" s="212">
        <f ca="1">IF($E33=-1,0,IF(N$13&lt;=$L32,IF(ISERROR(MATCH(N$13,OFFSET($L32,1,0,ROW($L$260)-ROW($L32)-1),0)),ROW($L$260)-ROW($L32)-1,MATCH(N$13,OFFSET($L32,1,0,ROW($L$260)-ROW($L32)-1),0)-1),0))</f>
        <v>2</v>
      </c>
      <c r="O32" s="212">
        <f ca="1">IF($E33=-1,0,IF(O$13&lt;=$L32,IF(ISERROR(MATCH(O$13,OFFSET($L32,1,0,ROW($L$260)-ROW($L32)-1),0)),ROW($L$260)-ROW($L32)-1,MATCH(O$13,OFFSET($L32,1,0,ROW($L$260)-ROW($L32)-1),0)-1),0))</f>
        <v>0</v>
      </c>
      <c r="P32" s="212">
        <f ca="1">IF($E33=-1,0,IF(P$13&lt;=$L32,IF(ISERROR(MATCH(P$13,OFFSET($L32,1,0,ROW($L$260)-ROW($L32)-1),0)),ROW($L$260)-ROW($L32)-1,MATCH(P$13,OFFSET($L32,1,0,ROW($L$260)-ROW($L32)-1),0)-1),0))</f>
        <v>0</v>
      </c>
      <c r="Q32" s="212">
        <f t="shared" ref="Q32" ca="1" si="47">MIN(OFFSET(L32,0,1,,L32))</f>
        <v>2</v>
      </c>
      <c r="R32" s="213">
        <f ca="1">IF($E33=0,OFFSET(ORÇAMENTO!X$15,$E32,0),IF($E33&lt;&gt;-1,OFFSET(QCI!$O$13,$E33,0),""))</f>
        <v>0</v>
      </c>
      <c r="S32" s="214" t="s">
        <v>270</v>
      </c>
      <c r="T32" s="215" t="e">
        <f t="shared" ref="T32:AE32" ca="1" si="48">IF(AND($Q32=2,ACOMPANHAMENTO="BM"),T33,T34/$R32)</f>
        <v>#DIV/0!</v>
      </c>
      <c r="U32" s="207" t="e">
        <f t="shared" ca="1" si="48"/>
        <v>#DIV/0!</v>
      </c>
      <c r="V32" s="207" t="e">
        <f t="shared" ca="1" si="48"/>
        <v>#DIV/0!</v>
      </c>
      <c r="W32" s="207" t="e">
        <f t="shared" ca="1" si="48"/>
        <v>#DIV/0!</v>
      </c>
      <c r="X32" s="207" t="e">
        <f t="shared" ca="1" si="48"/>
        <v>#DIV/0!</v>
      </c>
      <c r="Y32" s="207" t="e">
        <f t="shared" ca="1" si="48"/>
        <v>#DIV/0!</v>
      </c>
      <c r="Z32" s="207" t="e">
        <f t="shared" ca="1" si="48"/>
        <v>#DIV/0!</v>
      </c>
      <c r="AA32" s="207" t="e">
        <f t="shared" ca="1" si="48"/>
        <v>#DIV/0!</v>
      </c>
      <c r="AB32" s="207" t="e">
        <f t="shared" ca="1" si="48"/>
        <v>#DIV/0!</v>
      </c>
      <c r="AC32" s="207" t="e">
        <f t="shared" ca="1" si="48"/>
        <v>#DIV/0!</v>
      </c>
      <c r="AD32" s="207" t="e">
        <f t="shared" ca="1" si="48"/>
        <v>#DIV/0!</v>
      </c>
      <c r="AE32" s="216" t="e">
        <f t="shared" ca="1" si="48"/>
        <v>#DIV/0!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0</v>
      </c>
      <c r="F33" s="204" t="str">
        <f t="shared" ref="F33" ca="1" si="49">IF(AND($E33&lt;&gt;-1,$R32&gt;0),"F","")</f>
        <v/>
      </c>
      <c r="G33" s="217" t="str">
        <f ca="1">IF(OR(R32=0,R32=""),"vazia",IF(AND(OR(ACOMPANHAMENTO="PLE",$Q32&lt;&gt;2),$E33=0),"calculada","--&gt;"))</f>
        <v>vazia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/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2" hidden="1" customHeight="1" x14ac:dyDescent="0.2">
      <c r="D34" s="223">
        <f ca="1">IF($Q32=2,IF(AND(ACOMPANHAMENTO="PLE",ISNUMBER($E32)),SUMIF((OFFSET(CÁLCULO!$BC$15:$BU$15,$E32,0,OFFSET(ORÇAMENTO!$D$15,CRONO!$E32,0))),"="&amp;CRONO!D$12,OFFSET(CÁLCULO!$AJ$15:$BB$15,$E32,0,OFFSET(ORÇAMENTO!$D$15,CRONO!$E32,0)))+IF(AND($E34&lt;&gt;"",$E34&lt;&gt;0),SUMIF(CÁLCULO!$BC$15:$BU$727,"="&amp;CRONO!D$12,CÁLCULO!$AJ$15:$BB$727)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2$</v>
      </c>
      <c r="S34" s="226"/>
      <c r="T34" s="227">
        <f ca="1">IF($Q32=2,IF(AND(ACOMPANHAMENTO="PLE",ISNUMBER($E32)),SUMIF((OFFSET(CÁLCULO!$BC$15:$BU$15,$E32,0,OFFSET(ORÇAMENTO!$D$15,CRONO!$E32,0))),"&lt;="&amp;CRONO!T$12,OFFSET(CÁLCULO!$AJ$15:$BB$15,$E32,0,OFFSET(ORÇAMENTO!$D$15,CRONO!$E32,0)))+IF(AND($E34&lt;&gt;"",$E34&lt;&gt;0),SUMIF(CÁLCULO!$BC$15:$BU$727,"&lt;="&amp;CRONO!T$12,CÁLCULO!$AJ$15:$BB$727)/(ORÇAMENTO!$X$15-CÁLCULO.TotalAdmLocal)*CRONO!$E34,0),T33*$R32),SUMIF(OFFSET($R34,1,0,$Q32-2),($L32+1)&amp;"$",OFFSET(T34,1,0,$Q32-2)))</f>
        <v>0</v>
      </c>
      <c r="U34" s="223">
        <f ca="1">IF($Q32=2,IF(AND(ACOMPANHAMENTO="PLE",ISNUMBER($E32)),SUMIF((OFFSET(CÁLCULO!$BC$15:$BU$15,$E32,0,OFFSET(ORÇAMENTO!$D$15,CRONO!$E32,0))),"="&amp;CRONO!U$12,OFFSET(CÁLCULO!$AJ$15:$BB$15,$E32,0,OFFSET(ORÇAMENTO!$D$15,CRONO!$E32,0)))+IF(AND($E34&lt;&gt;"",$E34&lt;&gt;0),SUMIF(CÁLCULO!$BC$15:$BU$727,"="&amp;CRONO!U$12,CÁLCULO!$AJ$15:$BB$727)/(ORÇAMENTO!$X$15-CÁLCULO.TotalAdmLocal)*CRONO!$E34,0),U33*$R32),SUMIF(OFFSET($R34,1,0,$Q32-2),($L32+1)&amp;"$",OFFSET(U34,1,0,$Q32-2)))</f>
        <v>0</v>
      </c>
      <c r="V34" s="223">
        <f ca="1">IF($Q32=2,IF(AND(ACOMPANHAMENTO="PLE",ISNUMBER($E32)),SUMIF((OFFSET(CÁLCULO!$BC$15:$BU$15,$E32,0,OFFSET(ORÇAMENTO!$D$15,CRONO!$E32,0))),"="&amp;CRONO!V$12,OFFSET(CÁLCULO!$AJ$15:$BB$15,$E32,0,OFFSET(ORÇAMENTO!$D$15,CRONO!$E32,0)))+IF(AND($E34&lt;&gt;"",$E34&lt;&gt;0),SUMIF(CÁLCULO!$BC$15:$BU$727,"="&amp;CRONO!V$12,CÁLCULO!$AJ$15:$BB$727)/(ORÇAMENTO!$X$15-CÁLCULO.TotalAdmLocal)*CRONO!$E34,0),V33*$R32),SUMIF(OFFSET($R34,1,0,$Q32-2),($L32+1)&amp;"$",OFFSET(V34,1,0,$Q32-2)))</f>
        <v>0</v>
      </c>
      <c r="W34" s="223">
        <f ca="1">IF($Q32=2,IF(AND(ACOMPANHAMENTO="PLE",ISNUMBER($E32)),SUMIF((OFFSET(CÁLCULO!$BC$15:$BU$15,$E32,0,OFFSET(ORÇAMENTO!$D$15,CRONO!$E32,0))),"="&amp;CRONO!W$12,OFFSET(CÁLCULO!$AJ$15:$BB$15,$E32,0,OFFSET(ORÇAMENTO!$D$15,CRONO!$E32,0)))+IF(AND($E34&lt;&gt;"",$E34&lt;&gt;0),SUMIF(CÁLCULO!$BC$15:$BU$727,"="&amp;CRONO!W$12,CÁLCULO!$AJ$15:$BB$727)/(ORÇAMENTO!$X$15-CÁLCULO.TotalAdmLocal)*CRONO!$E34,0),W33*$R32),SUMIF(OFFSET($R34,1,0,$Q32-2),($L32+1)&amp;"$",OFFSET(W34,1,0,$Q32-2)))</f>
        <v>0</v>
      </c>
      <c r="X34" s="223">
        <f ca="1">IF($Q32=2,IF(AND(ACOMPANHAMENTO="PLE",ISNUMBER($E32)),SUMIF((OFFSET(CÁLCULO!$BC$15:$BU$15,$E32,0,OFFSET(ORÇAMENTO!$D$15,CRONO!$E32,0))),"="&amp;CRONO!X$12,OFFSET(CÁLCULO!$AJ$15:$BB$15,$E32,0,OFFSET(ORÇAMENTO!$D$15,CRONO!$E32,0)))+IF(AND($E34&lt;&gt;"",$E34&lt;&gt;0),SUMIF(CÁLCULO!$BC$15:$BU$727,"="&amp;CRONO!X$12,CÁLCULO!$AJ$15:$BB$727)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BC$15:$BU$15,$E32,0,OFFSET(ORÇAMENTO!$D$15,CRONO!$E32,0))),"="&amp;CRONO!Y$12,OFFSET(CÁLCULO!$AJ$15:$BB$15,$E32,0,OFFSET(ORÇAMENTO!$D$15,CRONO!$E32,0)))+IF(AND($E34&lt;&gt;"",$E34&lt;&gt;0),SUMIF(CÁLCULO!$BC$15:$BU$727,"="&amp;CRONO!Y$12,CÁLCULO!$AJ$15:$BB$727)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BC$15:$BU$15,$E32,0,OFFSET(ORÇAMENTO!$D$15,CRONO!$E32,0))),"="&amp;CRONO!Z$12,OFFSET(CÁLCULO!$AJ$15:$BB$15,$E32,0,OFFSET(ORÇAMENTO!$D$15,CRONO!$E32,0)))+IF(AND($E34&lt;&gt;"",$E34&lt;&gt;0),SUMIF(CÁLCULO!$BC$15:$BU$727,"="&amp;CRONO!Z$12,CÁLCULO!$AJ$15:$BB$727)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BC$15:$BU$15,$E32,0,OFFSET(ORÇAMENTO!$D$15,CRONO!$E32,0))),"="&amp;CRONO!AA$12,OFFSET(CÁLCULO!$AJ$15:$BB$15,$E32,0,OFFSET(ORÇAMENTO!$D$15,CRONO!$E32,0)))+IF(AND($E34&lt;&gt;"",$E34&lt;&gt;0),SUMIF(CÁLCULO!$BC$15:$BU$727,"="&amp;CRONO!AA$12,CÁLCULO!$AJ$15:$BB$727)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BC$15:$BU$15,$E32,0,OFFSET(ORÇAMENTO!$D$15,CRONO!$E32,0))),"="&amp;CRONO!AB$12,OFFSET(CÁLCULO!$AJ$15:$BB$15,$E32,0,OFFSET(ORÇAMENTO!$D$15,CRONO!$E32,0)))+IF(AND($E34&lt;&gt;"",$E34&lt;&gt;0),SUMIF(CÁLCULO!$BC$15:$BU$727,"="&amp;CRONO!AB$12,CÁLCULO!$AJ$15:$BB$727)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BC$15:$BU$15,$E32,0,OFFSET(ORÇAMENTO!$D$15,CRONO!$E32,0))),"="&amp;CRONO!AC$12,OFFSET(CÁLCULO!$AJ$15:$BB$15,$E32,0,OFFSET(ORÇAMENTO!$D$15,CRONO!$E32,0)))+IF(AND($E34&lt;&gt;"",$E34&lt;&gt;0),SUMIF(CÁLCULO!$BC$15:$BU$727,"="&amp;CRONO!AC$12,CÁLCULO!$AJ$15:$BB$727)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BC$15:$BU$15,$E32,0,OFFSET(ORÇAMENTO!$D$15,CRONO!$E32,0))),"="&amp;CRONO!AD$12,OFFSET(CÁLCULO!$AJ$15:$BB$15,$E32,0,OFFSET(ORÇAMENTO!$D$15,CRONO!$E32,0)))+IF(AND($E34&lt;&gt;"",$E34&lt;&gt;0),SUMIF(CÁLCULO!$BC$15:$BU$727,"="&amp;CRONO!AD$12,CÁLCULO!$AJ$15:$BB$727)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BC$15:$BU$15,$E32,0,OFFSET(ORÇAMENTO!$D$15,CRONO!$E32,0))),"="&amp;CRONO!AE$12,OFFSET(CÁLCULO!$AJ$15:$BB$15,$E32,0,OFFSET(ORÇAMENTO!$D$15,CRONO!$E32,0)))+IF(AND($E34&lt;&gt;"",$E34&lt;&gt;0),SUMIF(CÁLCULO!$BC$15:$BU$727,"="&amp;CRONO!AE$12,CÁLCULO!$AJ$15:$BB$727)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1</v>
      </c>
      <c r="C35" s="204">
        <f ca="1">IF($Q35&lt;&gt;2,0,IF($R35=0,1,IF(E36&gt;0,OFFSET(QCI!$N$13,SUBSTITUTE(E36,".",""),0),OFFSET(ORÇAMENTO!$AB$15,CRONO!$E35,0))/$R35))</f>
        <v>1</v>
      </c>
      <c r="D35" s="207" t="e">
        <f ca="1">IF(AND($Q35=2,ACOMPANHAMENTO="BM"),D36,D37/$R35)</f>
        <v>#DIV/0!</v>
      </c>
      <c r="E35" s="204">
        <f ca="1">IF(A35&lt;=ORÇAMENTO.MáximoListaCrono,MATCH(A35,ORÇAMENTO.ListaCrono,0),NA())</f>
        <v>32</v>
      </c>
      <c r="F35" s="204" t="str">
        <f t="shared" ref="F35" ca="1" si="53">IF(AND($E36&lt;&gt;-1,$R35&gt;0),"F","")</f>
        <v/>
      </c>
      <c r="G35" s="208" t="str">
        <f ca="1">IF(OR(R35=0,R35=""),"Linha",IF(AND(OR(ACOMPANHAMENTO="PLE",$Q35&lt;&gt;2),$E36=0),"Linha",1-SUM(T35:AF35)))</f>
        <v>Linha</v>
      </c>
      <c r="H35" s="209" t="str">
        <f ca="1">IF($E36=0,OFFSET(ORÇAMENTO!O$15,$E35,0),IF($E36&lt;&gt;-1,OFFSET(QCI!$D$13,$E36,0),""))</f>
        <v>1.7.</v>
      </c>
      <c r="I35" s="210" t="str">
        <f ca="1">IF($E36=0,OFFSET(ORÇAMENTO!R$15,$E35,0),IF($E36&lt;&gt;-1,OFFSET(QCI!$G$13,$E36,0),""))</f>
        <v>FUNDAÇÕES - CONCRETO ARMADO PARA BLOCOS</v>
      </c>
      <c r="J35" s="210"/>
      <c r="K35" s="210"/>
      <c r="L35" s="211">
        <f ca="1">IF($E36=0,OFFSET(ORÇAMENTO!C$15,$E35,0),1)</f>
        <v>2</v>
      </c>
      <c r="M35" s="212">
        <f ca="1">IF($E36=-1,0,IF(M$13&lt;=$L35,IF(ISERROR(MATCH(M$13,OFFSET($L35,1,0,ROW($L$260)-ROW($L35)-1),0)),ROW($L$260)-ROW($L35)-1,MATCH(M$13,OFFSET($L35,1,0,ROW($L$260)-ROW($L35)-1),0)-1),0))</f>
        <v>224</v>
      </c>
      <c r="N35" s="212">
        <f ca="1">IF($E36=-1,0,IF(N$13&lt;=$L35,IF(ISERROR(MATCH(N$13,OFFSET($L35,1,0,ROW($L$260)-ROW($L35)-1),0)),ROW($L$260)-ROW($L35)-1,MATCH(N$13,OFFSET($L35,1,0,ROW($L$260)-ROW($L35)-1),0)-1),0))</f>
        <v>2</v>
      </c>
      <c r="O35" s="212">
        <f ca="1">IF($E36=-1,0,IF(O$13&lt;=$L35,IF(ISERROR(MATCH(O$13,OFFSET($L35,1,0,ROW($L$260)-ROW($L35)-1),0)),ROW($L$260)-ROW($L35)-1,MATCH(O$13,OFFSET($L35,1,0,ROW($L$260)-ROW($L35)-1),0)-1),0))</f>
        <v>0</v>
      </c>
      <c r="P35" s="212">
        <f ca="1">IF($E36=-1,0,IF(P$13&lt;=$L35,IF(ISERROR(MATCH(P$13,OFFSET($L35,1,0,ROW($L$260)-ROW($L35)-1),0)),ROW($L$260)-ROW($L35)-1,MATCH(P$13,OFFSET($L35,1,0,ROW($L$260)-ROW($L35)-1),0)-1),0))</f>
        <v>0</v>
      </c>
      <c r="Q35" s="212">
        <f t="shared" ref="Q35" ca="1" si="54">MIN(OFFSET(L35,0,1,,L35))</f>
        <v>2</v>
      </c>
      <c r="R35" s="213">
        <f ca="1">IF($E36=0,OFFSET(ORÇAMENTO!X$15,$E35,0),IF($E36&lt;&gt;-1,OFFSET(QCI!$O$13,$E36,0),""))</f>
        <v>0</v>
      </c>
      <c r="S35" s="214" t="s">
        <v>270</v>
      </c>
      <c r="T35" s="215" t="e">
        <f t="shared" ref="T35:AE35" ca="1" si="55">IF(AND($Q35=2,ACOMPANHAMENTO="BM"),T36,T37/$R35)</f>
        <v>#DIV/0!</v>
      </c>
      <c r="U35" s="207" t="e">
        <f t="shared" ca="1" si="55"/>
        <v>#DIV/0!</v>
      </c>
      <c r="V35" s="207" t="e">
        <f t="shared" ca="1" si="55"/>
        <v>#DIV/0!</v>
      </c>
      <c r="W35" s="207" t="e">
        <f t="shared" ca="1" si="55"/>
        <v>#DIV/0!</v>
      </c>
      <c r="X35" s="207" t="e">
        <f t="shared" ca="1" si="55"/>
        <v>#DIV/0!</v>
      </c>
      <c r="Y35" s="207" t="e">
        <f t="shared" ca="1" si="55"/>
        <v>#DIV/0!</v>
      </c>
      <c r="Z35" s="207" t="e">
        <f t="shared" ca="1" si="55"/>
        <v>#DIV/0!</v>
      </c>
      <c r="AA35" s="207" t="e">
        <f t="shared" ca="1" si="55"/>
        <v>#DIV/0!</v>
      </c>
      <c r="AB35" s="207" t="e">
        <f t="shared" ca="1" si="55"/>
        <v>#DIV/0!</v>
      </c>
      <c r="AC35" s="207" t="e">
        <f t="shared" ca="1" si="55"/>
        <v>#DIV/0!</v>
      </c>
      <c r="AD35" s="207" t="e">
        <f t="shared" ca="1" si="55"/>
        <v>#DIV/0!</v>
      </c>
      <c r="AE35" s="216" t="e">
        <f t="shared" ca="1" si="55"/>
        <v>#DIV/0!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0</v>
      </c>
      <c r="F36" s="204" t="str">
        <f t="shared" ref="F36" ca="1" si="56">IF(AND($E36&lt;&gt;-1,$R35&gt;0),"F","")</f>
        <v/>
      </c>
      <c r="G36" s="217" t="str">
        <f ca="1">IF(OR(R35=0,R35=""),"vazia",IF(AND(OR(ACOMPANHAMENTO="PLE",$Q35&lt;&gt;2),$E36=0),"calculada","--&gt;"))</f>
        <v>vazia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/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hidden="1" customHeight="1" x14ac:dyDescent="0.2">
      <c r="D37" s="223">
        <f ca="1">IF($Q35=2,IF(AND(ACOMPANHAMENTO="PLE",ISNUMBER($E35)),SUMIF((OFFSET(CÁLCULO!$BC$15:$BU$15,$E35,0,OFFSET(ORÇAMENTO!$D$15,CRONO!$E35,0))),"="&amp;CRONO!D$12,OFFSET(CÁLCULO!$AJ$15:$BB$15,$E35,0,OFFSET(ORÇAMENTO!$D$15,CRONO!$E35,0)))+IF(AND($E37&lt;&gt;"",$E37&lt;&gt;0),SUMIF(CÁLCULO!$BC$15:$BU$727,"="&amp;CRONO!D$12,CÁLCULO!$AJ$15:$BB$727)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2$</v>
      </c>
      <c r="S37" s="226"/>
      <c r="T37" s="227">
        <f ca="1">IF($Q35=2,IF(AND(ACOMPANHAMENTO="PLE",ISNUMBER($E35)),SUMIF((OFFSET(CÁLCULO!$BC$15:$BU$15,$E35,0,OFFSET(ORÇAMENTO!$D$15,CRONO!$E35,0))),"&lt;="&amp;CRONO!T$12,OFFSET(CÁLCULO!$AJ$15:$BB$15,$E35,0,OFFSET(ORÇAMENTO!$D$15,CRONO!$E35,0)))+IF(AND($E37&lt;&gt;"",$E37&lt;&gt;0),SUMIF(CÁLCULO!$BC$15:$BU$727,"&lt;="&amp;CRONO!T$12,CÁLCULO!$AJ$15:$BB$727)/(ORÇAMENTO!$X$15-CÁLCULO.TotalAdmLocal)*CRONO!$E37,0),T36*$R35),SUMIF(OFFSET($R37,1,0,$Q35-2),($L35+1)&amp;"$",OFFSET(T37,1,0,$Q35-2)))</f>
        <v>0</v>
      </c>
      <c r="U37" s="223">
        <f ca="1">IF($Q35=2,IF(AND(ACOMPANHAMENTO="PLE",ISNUMBER($E35)),SUMIF((OFFSET(CÁLCULO!$BC$15:$BU$15,$E35,0,OFFSET(ORÇAMENTO!$D$15,CRONO!$E35,0))),"="&amp;CRONO!U$12,OFFSET(CÁLCULO!$AJ$15:$BB$15,$E35,0,OFFSET(ORÇAMENTO!$D$15,CRONO!$E35,0)))+IF(AND($E37&lt;&gt;"",$E37&lt;&gt;0),SUMIF(CÁLCULO!$BC$15:$BU$727,"="&amp;CRONO!U$12,CÁLCULO!$AJ$15:$BB$727)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BC$15:$BU$15,$E35,0,OFFSET(ORÇAMENTO!$D$15,CRONO!$E35,0))),"="&amp;CRONO!V$12,OFFSET(CÁLCULO!$AJ$15:$BB$15,$E35,0,OFFSET(ORÇAMENTO!$D$15,CRONO!$E35,0)))+IF(AND($E37&lt;&gt;"",$E37&lt;&gt;0),SUMIF(CÁLCULO!$BC$15:$BU$727,"="&amp;CRONO!V$12,CÁLCULO!$AJ$15:$BB$727)/(ORÇAMENTO!$X$15-CÁLCULO.TotalAdmLocal)*CRONO!$E37,0),V36*$R35),SUMIF(OFFSET($R37,1,0,$Q35-2),($L35+1)&amp;"$",OFFSET(V37,1,0,$Q35-2)))</f>
        <v>0</v>
      </c>
      <c r="W37" s="223">
        <f ca="1">IF($Q35=2,IF(AND(ACOMPANHAMENTO="PLE",ISNUMBER($E35)),SUMIF((OFFSET(CÁLCULO!$BC$15:$BU$15,$E35,0,OFFSET(ORÇAMENTO!$D$15,CRONO!$E35,0))),"="&amp;CRONO!W$12,OFFSET(CÁLCULO!$AJ$15:$BB$15,$E35,0,OFFSET(ORÇAMENTO!$D$15,CRONO!$E35,0)))+IF(AND($E37&lt;&gt;"",$E37&lt;&gt;0),SUMIF(CÁLCULO!$BC$15:$BU$727,"="&amp;CRONO!W$12,CÁLCULO!$AJ$15:$BB$727)/(ORÇAMENTO!$X$15-CÁLCULO.TotalAdmLocal)*CRONO!$E37,0),W36*$R35),SUMIF(OFFSET($R37,1,0,$Q35-2),($L35+1)&amp;"$",OFFSET(W37,1,0,$Q35-2)))</f>
        <v>0</v>
      </c>
      <c r="X37" s="223">
        <f ca="1">IF($Q35=2,IF(AND(ACOMPANHAMENTO="PLE",ISNUMBER($E35)),SUMIF((OFFSET(CÁLCULO!$BC$15:$BU$15,$E35,0,OFFSET(ORÇAMENTO!$D$15,CRONO!$E35,0))),"="&amp;CRONO!X$12,OFFSET(CÁLCULO!$AJ$15:$BB$15,$E35,0,OFFSET(ORÇAMENTO!$D$15,CRONO!$E35,0)))+IF(AND($E37&lt;&gt;"",$E37&lt;&gt;0),SUMIF(CÁLCULO!$BC$15:$BU$727,"="&amp;CRONO!X$12,CÁLCULO!$AJ$15:$BB$727)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BC$15:$BU$15,$E35,0,OFFSET(ORÇAMENTO!$D$15,CRONO!$E35,0))),"="&amp;CRONO!Y$12,OFFSET(CÁLCULO!$AJ$15:$BB$15,$E35,0,OFFSET(ORÇAMENTO!$D$15,CRONO!$E35,0)))+IF(AND($E37&lt;&gt;"",$E37&lt;&gt;0),SUMIF(CÁLCULO!$BC$15:$BU$727,"="&amp;CRONO!Y$12,CÁLCULO!$AJ$15:$BB$727)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BC$15:$BU$15,$E35,0,OFFSET(ORÇAMENTO!$D$15,CRONO!$E35,0))),"="&amp;CRONO!Z$12,OFFSET(CÁLCULO!$AJ$15:$BB$15,$E35,0,OFFSET(ORÇAMENTO!$D$15,CRONO!$E35,0)))+IF(AND($E37&lt;&gt;"",$E37&lt;&gt;0),SUMIF(CÁLCULO!$BC$15:$BU$727,"="&amp;CRONO!Z$12,CÁLCULO!$AJ$15:$BB$727)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BC$15:$BU$15,$E35,0,OFFSET(ORÇAMENTO!$D$15,CRONO!$E35,0))),"="&amp;CRONO!AA$12,OFFSET(CÁLCULO!$AJ$15:$BB$15,$E35,0,OFFSET(ORÇAMENTO!$D$15,CRONO!$E35,0)))+IF(AND($E37&lt;&gt;"",$E37&lt;&gt;0),SUMIF(CÁLCULO!$BC$15:$BU$727,"="&amp;CRONO!AA$12,CÁLCULO!$AJ$15:$BB$727)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BC$15:$BU$15,$E35,0,OFFSET(ORÇAMENTO!$D$15,CRONO!$E35,0))),"="&amp;CRONO!AB$12,OFFSET(CÁLCULO!$AJ$15:$BB$15,$E35,0,OFFSET(ORÇAMENTO!$D$15,CRONO!$E35,0)))+IF(AND($E37&lt;&gt;"",$E37&lt;&gt;0),SUMIF(CÁLCULO!$BC$15:$BU$727,"="&amp;CRONO!AB$12,CÁLCULO!$AJ$15:$BB$727)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BC$15:$BU$15,$E35,0,OFFSET(ORÇAMENTO!$D$15,CRONO!$E35,0))),"="&amp;CRONO!AC$12,OFFSET(CÁLCULO!$AJ$15:$BB$15,$E35,0,OFFSET(ORÇAMENTO!$D$15,CRONO!$E35,0)))+IF(AND($E37&lt;&gt;"",$E37&lt;&gt;0),SUMIF(CÁLCULO!$BC$15:$BU$727,"="&amp;CRONO!AC$12,CÁLCULO!$AJ$15:$BB$727)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BC$15:$BU$15,$E35,0,OFFSET(ORÇAMENTO!$D$15,CRONO!$E35,0))),"="&amp;CRONO!AD$12,OFFSET(CÁLCULO!$AJ$15:$BB$15,$E35,0,OFFSET(ORÇAMENTO!$D$15,CRONO!$E35,0)))+IF(AND($E37&lt;&gt;"",$E37&lt;&gt;0),SUMIF(CÁLCULO!$BC$15:$BU$727,"="&amp;CRONO!AD$12,CÁLCULO!$AJ$15:$BB$727)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BC$15:$BU$15,$E35,0,OFFSET(ORÇAMENTO!$D$15,CRONO!$E35,0))),"="&amp;CRONO!AE$12,OFFSET(CÁLCULO!$AJ$15:$BB$15,$E35,0,OFFSET(ORÇAMENTO!$D$15,CRONO!$E35,0)))+IF(AND($E37&lt;&gt;"",$E37&lt;&gt;0),SUMIF(CÁLCULO!$BC$15:$BU$727,"="&amp;CRONO!AE$12,CÁLCULO!$AJ$15:$BB$727)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1</v>
      </c>
      <c r="C38" s="204">
        <f ca="1">IF($Q38&lt;&gt;2,0,IF($R38=0,1,IF(E39&gt;0,OFFSET(QCI!$N$13,SUBSTITUTE(E39,".",""),0),OFFSET(ORÇAMENTO!$AB$15,CRONO!$E38,0))/$R38))</f>
        <v>1</v>
      </c>
      <c r="D38" s="207" t="e">
        <f ca="1">IF(AND($Q38=2,ACOMPANHAMENTO="BM"),D39,D40/$R38)</f>
        <v>#DIV/0!</v>
      </c>
      <c r="E38" s="204">
        <f ca="1">IF(A38&lt;=ORÇAMENTO.MáximoListaCrono,MATCH(A38,ORÇAMENTO.ListaCrono,0),NA())</f>
        <v>42</v>
      </c>
      <c r="F38" s="204" t="str">
        <f t="shared" ref="F38" ca="1" si="60">IF(AND($E39&lt;&gt;-1,$R38&gt;0),"F","")</f>
        <v/>
      </c>
      <c r="G38" s="208" t="str">
        <f ca="1">IF(OR(R38=0,R38=""),"Linha",IF(AND(OR(ACOMPANHAMENTO="PLE",$Q38&lt;&gt;2),$E39=0),"Linha",1-SUM(T38:AF38)))</f>
        <v>Linha</v>
      </c>
      <c r="H38" s="209" t="str">
        <f ca="1">IF($E39=0,OFFSET(ORÇAMENTO!O$15,$E38,0),IF($E39&lt;&gt;-1,OFFSET(QCI!$D$13,$E39,0),""))</f>
        <v>1.8.</v>
      </c>
      <c r="I38" s="210" t="str">
        <f ca="1">IF($E39=0,OFFSET(ORÇAMENTO!R$15,$E38,0),IF($E39&lt;&gt;-1,OFFSET(QCI!$G$13,$E39,0),""))</f>
        <v>SUPERESTRUTURA - CONCRETO ARMADO PARA PILARES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IF($E39=-1,0,IF(M$13&lt;=$L38,IF(ISERROR(MATCH(M$13,OFFSET($L38,1,0,ROW($L$260)-ROW($L38)-1),0)),ROW($L$260)-ROW($L38)-1,MATCH(M$13,OFFSET($L38,1,0,ROW($L$260)-ROW($L38)-1),0)-1),0))</f>
        <v>221</v>
      </c>
      <c r="N38" s="212">
        <f ca="1">IF($E39=-1,0,IF(N$13&lt;=$L38,IF(ISERROR(MATCH(N$13,OFFSET($L38,1,0,ROW($L$260)-ROW($L38)-1),0)),ROW($L$260)-ROW($L38)-1,MATCH(N$13,OFFSET($L38,1,0,ROW($L$260)-ROW($L38)-1),0)-1),0))</f>
        <v>2</v>
      </c>
      <c r="O38" s="212">
        <f ca="1">IF($E39=-1,0,IF(O$13&lt;=$L38,IF(ISERROR(MATCH(O$13,OFFSET($L38,1,0,ROW($L$260)-ROW($L38)-1),0)),ROW($L$260)-ROW($L38)-1,MATCH(O$13,OFFSET($L38,1,0,ROW($L$260)-ROW($L38)-1),0)-1),0))</f>
        <v>0</v>
      </c>
      <c r="P38" s="212">
        <f ca="1">IF($E39=-1,0,IF(P$13&lt;=$L38,IF(ISERROR(MATCH(P$13,OFFSET($L38,1,0,ROW($L$260)-ROW($L38)-1),0)),ROW($L$260)-ROW($L38)-1,MATCH(P$13,OFFSET($L38,1,0,ROW($L$260)-ROW($L38)-1),0)-1),0))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0</v>
      </c>
      <c r="S38" s="214" t="s">
        <v>270</v>
      </c>
      <c r="T38" s="215" t="e">
        <f t="shared" ref="T38:AE38" ca="1" si="62">IF(AND($Q38=2,ACOMPANHAMENTO="BM"),T39,T40/$R38)</f>
        <v>#DIV/0!</v>
      </c>
      <c r="U38" s="207" t="e">
        <f t="shared" ca="1" si="62"/>
        <v>#DIV/0!</v>
      </c>
      <c r="V38" s="207" t="e">
        <f t="shared" ca="1" si="62"/>
        <v>#DIV/0!</v>
      </c>
      <c r="W38" s="207" t="e">
        <f t="shared" ca="1" si="62"/>
        <v>#DIV/0!</v>
      </c>
      <c r="X38" s="207" t="e">
        <f t="shared" ca="1" si="62"/>
        <v>#DIV/0!</v>
      </c>
      <c r="Y38" s="207" t="e">
        <f t="shared" ca="1" si="62"/>
        <v>#DIV/0!</v>
      </c>
      <c r="Z38" s="207" t="e">
        <f t="shared" ca="1" si="62"/>
        <v>#DIV/0!</v>
      </c>
      <c r="AA38" s="207" t="e">
        <f t="shared" ca="1" si="62"/>
        <v>#DIV/0!</v>
      </c>
      <c r="AB38" s="207" t="e">
        <f t="shared" ca="1" si="62"/>
        <v>#DIV/0!</v>
      </c>
      <c r="AC38" s="207" t="e">
        <f t="shared" ca="1" si="62"/>
        <v>#DIV/0!</v>
      </c>
      <c r="AD38" s="207" t="e">
        <f t="shared" ca="1" si="62"/>
        <v>#DIV/0!</v>
      </c>
      <c r="AE38" s="216" t="e">
        <f t="shared" ca="1" si="62"/>
        <v>#DIV/0!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0</v>
      </c>
      <c r="F39" s="204" t="str">
        <f t="shared" ref="F39" ca="1" si="63">IF(AND($E39&lt;&gt;-1,$R38&gt;0),"F","")</f>
        <v/>
      </c>
      <c r="G39" s="217" t="str">
        <f ca="1">IF(OR(R38=0,R38=""),"vazia",IF(AND(OR(ACOMPANHAMENTO="PLE",$Q38&lt;&gt;2),$E39=0),"calculada","--&gt;"))</f>
        <v>vazia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/>
      <c r="V39" s="569"/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hidden="1" customHeight="1" x14ac:dyDescent="0.2">
      <c r="D40" s="223">
        <f ca="1">IF($Q38=2,IF(AND(ACOMPANHAMENTO="PLE",ISNUMBER($E38)),SUMIF((OFFSET(CÁLCULO!$BC$15:$BU$15,$E38,0,OFFSET(ORÇAMENTO!$D$15,CRONO!$E38,0))),"="&amp;CRONO!D$12,OFFSET(CÁLCULO!$AJ$15:$BB$15,$E38,0,OFFSET(ORÇAMENTO!$D$15,CRONO!$E38,0)))+IF(AND($E40&lt;&gt;"",$E40&lt;&gt;0),SUMIF(CÁLCULO!$BC$15:$BU$727,"="&amp;CRONO!D$12,CÁLCULO!$AJ$15:$BB$727)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BC$15:$BU$15,$E38,0,OFFSET(ORÇAMENTO!$D$15,CRONO!$E38,0))),"&lt;="&amp;CRONO!T$12,OFFSET(CÁLCULO!$AJ$15:$BB$15,$E38,0,OFFSET(ORÇAMENTO!$D$15,CRONO!$E38,0)))+IF(AND($E40&lt;&gt;"",$E40&lt;&gt;0),SUMIF(CÁLCULO!$BC$15:$BU$727,"&lt;="&amp;CRONO!T$12,CÁLCULO!$AJ$15:$BB$727)/(ORÇAMENTO!$X$15-CÁLCULO.TotalAdmLocal)*CRONO!$E40,0),T39*$R38),SUMIF(OFFSET($R40,1,0,$Q38-2),($L38+1)&amp;"$",OFFSET(T40,1,0,$Q38-2)))</f>
        <v>0</v>
      </c>
      <c r="U40" s="223">
        <f ca="1">IF($Q38=2,IF(AND(ACOMPANHAMENTO="PLE",ISNUMBER($E38)),SUMIF((OFFSET(CÁLCULO!$BC$15:$BU$15,$E38,0,OFFSET(ORÇAMENTO!$D$15,CRONO!$E38,0))),"="&amp;CRONO!U$12,OFFSET(CÁLCULO!$AJ$15:$BB$15,$E38,0,OFFSET(ORÇAMENTO!$D$15,CRONO!$E38,0)))+IF(AND($E40&lt;&gt;"",$E40&lt;&gt;0),SUMIF(CÁLCULO!$BC$15:$BU$727,"="&amp;CRONO!U$12,CÁLCULO!$AJ$15:$BB$727)/(ORÇAMENTO!$X$15-CÁLCULO.TotalAdmLocal)*CRONO!$E40,0),U39*$R38),SUMIF(OFFSET($R40,1,0,$Q38-2),($L38+1)&amp;"$",OFFSET(U40,1,0,$Q38-2)))</f>
        <v>0</v>
      </c>
      <c r="V40" s="223">
        <f ca="1">IF($Q38=2,IF(AND(ACOMPANHAMENTO="PLE",ISNUMBER($E38)),SUMIF((OFFSET(CÁLCULO!$BC$15:$BU$15,$E38,0,OFFSET(ORÇAMENTO!$D$15,CRONO!$E38,0))),"="&amp;CRONO!V$12,OFFSET(CÁLCULO!$AJ$15:$BB$15,$E38,0,OFFSET(ORÇAMENTO!$D$15,CRONO!$E38,0)))+IF(AND($E40&lt;&gt;"",$E40&lt;&gt;0),SUMIF(CÁLCULO!$BC$15:$BU$727,"="&amp;CRONO!V$12,CÁLCULO!$AJ$15:$BB$727)/(ORÇAMENTO!$X$15-CÁLCULO.TotalAdmLocal)*CRONO!$E40,0),V39*$R38),SUMIF(OFFSET($R40,1,0,$Q38-2),($L38+1)&amp;"$",OFFSET(V40,1,0,$Q38-2)))</f>
        <v>0</v>
      </c>
      <c r="W40" s="223">
        <f ca="1">IF($Q38=2,IF(AND(ACOMPANHAMENTO="PLE",ISNUMBER($E38)),SUMIF((OFFSET(CÁLCULO!$BC$15:$BU$15,$E38,0,OFFSET(ORÇAMENTO!$D$15,CRONO!$E38,0))),"="&amp;CRONO!W$12,OFFSET(CÁLCULO!$AJ$15:$BB$15,$E38,0,OFFSET(ORÇAMENTO!$D$15,CRONO!$E38,0)))+IF(AND($E40&lt;&gt;"",$E40&lt;&gt;0),SUMIF(CÁLCULO!$BC$15:$BU$727,"="&amp;CRONO!W$12,CÁLCULO!$AJ$15:$BB$727)/(ORÇAMENTO!$X$15-CÁLCULO.TotalAdmLocal)*CRONO!$E40,0),W39*$R38),SUMIF(OFFSET($R40,1,0,$Q38-2),($L38+1)&amp;"$",OFFSET(W40,1,0,$Q38-2)))</f>
        <v>0</v>
      </c>
      <c r="X40" s="223">
        <f ca="1">IF($Q38=2,IF(AND(ACOMPANHAMENTO="PLE",ISNUMBER($E38)),SUMIF((OFFSET(CÁLCULO!$BC$15:$BU$15,$E38,0,OFFSET(ORÇAMENTO!$D$15,CRONO!$E38,0))),"="&amp;CRONO!X$12,OFFSET(CÁLCULO!$AJ$15:$BB$15,$E38,0,OFFSET(ORÇAMENTO!$D$15,CRONO!$E38,0)))+IF(AND($E40&lt;&gt;"",$E40&lt;&gt;0),SUMIF(CÁLCULO!$BC$15:$BU$727,"="&amp;CRONO!X$12,CÁLCULO!$AJ$15:$BB$727)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BC$15:$BU$15,$E38,0,OFFSET(ORÇAMENTO!$D$15,CRONO!$E38,0))),"="&amp;CRONO!Y$12,OFFSET(CÁLCULO!$AJ$15:$BB$15,$E38,0,OFFSET(ORÇAMENTO!$D$15,CRONO!$E38,0)))+IF(AND($E40&lt;&gt;"",$E40&lt;&gt;0),SUMIF(CÁLCULO!$BC$15:$BU$727,"="&amp;CRONO!Y$12,CÁLCULO!$AJ$15:$BB$727)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BC$15:$BU$15,$E38,0,OFFSET(ORÇAMENTO!$D$15,CRONO!$E38,0))),"="&amp;CRONO!Z$12,OFFSET(CÁLCULO!$AJ$15:$BB$15,$E38,0,OFFSET(ORÇAMENTO!$D$15,CRONO!$E38,0)))+IF(AND($E40&lt;&gt;"",$E40&lt;&gt;0),SUMIF(CÁLCULO!$BC$15:$BU$727,"="&amp;CRONO!Z$12,CÁLCULO!$AJ$15:$BB$727)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BC$15:$BU$15,$E38,0,OFFSET(ORÇAMENTO!$D$15,CRONO!$E38,0))),"="&amp;CRONO!AA$12,OFFSET(CÁLCULO!$AJ$15:$BB$15,$E38,0,OFFSET(ORÇAMENTO!$D$15,CRONO!$E38,0)))+IF(AND($E40&lt;&gt;"",$E40&lt;&gt;0),SUMIF(CÁLCULO!$BC$15:$BU$727,"="&amp;CRONO!AA$12,CÁLCULO!$AJ$15:$BB$727)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BC$15:$BU$15,$E38,0,OFFSET(ORÇAMENTO!$D$15,CRONO!$E38,0))),"="&amp;CRONO!AB$12,OFFSET(CÁLCULO!$AJ$15:$BB$15,$E38,0,OFFSET(ORÇAMENTO!$D$15,CRONO!$E38,0)))+IF(AND($E40&lt;&gt;"",$E40&lt;&gt;0),SUMIF(CÁLCULO!$BC$15:$BU$727,"="&amp;CRONO!AB$12,CÁLCULO!$AJ$15:$BB$727)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BC$15:$BU$15,$E38,0,OFFSET(ORÇAMENTO!$D$15,CRONO!$E38,0))),"="&amp;CRONO!AC$12,OFFSET(CÁLCULO!$AJ$15:$BB$15,$E38,0,OFFSET(ORÇAMENTO!$D$15,CRONO!$E38,0)))+IF(AND($E40&lt;&gt;"",$E40&lt;&gt;0),SUMIF(CÁLCULO!$BC$15:$BU$727,"="&amp;CRONO!AC$12,CÁLCULO!$AJ$15:$BB$727)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BC$15:$BU$15,$E38,0,OFFSET(ORÇAMENTO!$D$15,CRONO!$E38,0))),"="&amp;CRONO!AD$12,OFFSET(CÁLCULO!$AJ$15:$BB$15,$E38,0,OFFSET(ORÇAMENTO!$D$15,CRONO!$E38,0)))+IF(AND($E40&lt;&gt;"",$E40&lt;&gt;0),SUMIF(CÁLCULO!$BC$15:$BU$727,"="&amp;CRONO!AD$12,CÁLCULO!$AJ$15:$BB$727)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BC$15:$BU$15,$E38,0,OFFSET(ORÇAMENTO!$D$15,CRONO!$E38,0))),"="&amp;CRONO!AE$12,OFFSET(CÁLCULO!$AJ$15:$BB$15,$E38,0,OFFSET(ORÇAMENTO!$D$15,CRONO!$E38,0)))+IF(AND($E40&lt;&gt;"",$E40&lt;&gt;0),SUMIF(CÁLCULO!$BC$15:$BU$727,"="&amp;CRONO!AE$12,CÁLCULO!$AJ$15:$BB$727)/(ORÇAMENTO!$X$15-CÁLCULO.TotalAdmLocal)*CRONO!$E40,0),AE39*$R38),SUMIF(OFFSET($R40,1,0,$Q38-2),($L38+1)&amp;"$",OFFSET(AE40,1,0,$Q38-2)))</f>
        <v>0</v>
      </c>
    </row>
    <row r="41" spans="1:32" x14ac:dyDescent="0.2">
      <c r="A41" s="204">
        <f t="shared" ref="A41" ca="1" si="66">OFFSET(A41,-3,0)+1</f>
        <v>10</v>
      </c>
      <c r="B41" s="204">
        <f ca="1">IF($Q41&lt;&gt;2,0,IF($R41=0,1,IF(E42&gt;0,OFFSET(QCI!$M$13,SUBSTITUTE(E42,".",""),0),OFFSET(ORÇAMENTO!$AA$15,CRONO!$E41,0))/$R41))</f>
        <v>1</v>
      </c>
      <c r="C41" s="204">
        <f ca="1">IF($Q41&lt;&gt;2,0,IF($R41=0,1,IF(E42&gt;0,OFFSET(QCI!$N$13,SUBSTITUTE(E42,".",""),0),OFFSET(ORÇAMENTO!$AB$15,CRONO!$E41,0))/$R41))</f>
        <v>1</v>
      </c>
      <c r="D41" s="207" t="e">
        <f ca="1">IF(AND($Q41=2,ACOMPANHAMENTO="BM"),D42,D43/$R41)</f>
        <v>#DIV/0!</v>
      </c>
      <c r="E41" s="204">
        <f ca="1">IF(A41&lt;=ORÇAMENTO.MáximoListaCrono,MATCH(A41,ORÇAMENTO.ListaCrono,0),NA())</f>
        <v>48</v>
      </c>
      <c r="F41" s="204" t="str">
        <f t="shared" ref="F41" ca="1" si="67">IF(AND($E42&lt;&gt;-1,$R41&gt;0),"F","")</f>
        <v/>
      </c>
      <c r="G41" s="208" t="str">
        <f ca="1">IF(OR(R41=0,R41=""),"Linha",IF(AND(OR(ACOMPANHAMENTO="PLE",$Q41&lt;&gt;2),$E42=0),"Linha",1-SUM(T41:AF41)))</f>
        <v>Linha</v>
      </c>
      <c r="H41" s="209" t="str">
        <f ca="1">IF($E42=0,OFFSET(ORÇAMENTO!O$15,$E41,0),IF($E42&lt;&gt;-1,OFFSET(QCI!$D$13,$E42,0),""))</f>
        <v>1.9.</v>
      </c>
      <c r="I41" s="210" t="str">
        <f ca="1">IF($E42=0,OFFSET(ORÇAMENTO!R$15,$E41,0),IF($E42&lt;&gt;-1,OFFSET(QCI!$G$13,$E42,0),""))</f>
        <v>SUPERESTRUTURA - CONCRETO ARMADO PARA VIGAS INCLUINDO BALDRAME</v>
      </c>
      <c r="J41" s="210"/>
      <c r="K41" s="210"/>
      <c r="L41" s="211">
        <f ca="1">IF($E42=0,OFFSET(ORÇAMENTO!C$15,$E41,0),1)</f>
        <v>2</v>
      </c>
      <c r="M41" s="212">
        <f ca="1">IF($E42=-1,0,IF(M$13&lt;=$L41,IF(ISERROR(MATCH(M$13,OFFSET($L41,1,0,ROW($L$260)-ROW($L41)-1),0)),ROW($L$260)-ROW($L41)-1,MATCH(M$13,OFFSET($L41,1,0,ROW($L$260)-ROW($L41)-1),0)-1),0))</f>
        <v>218</v>
      </c>
      <c r="N41" s="212">
        <f ca="1">IF($E42=-1,0,IF(N$13&lt;=$L41,IF(ISERROR(MATCH(N$13,OFFSET($L41,1,0,ROW($L$260)-ROW($L41)-1),0)),ROW($L$260)-ROW($L41)-1,MATCH(N$13,OFFSET($L41,1,0,ROW($L$260)-ROW($L41)-1),0)-1),0))</f>
        <v>2</v>
      </c>
      <c r="O41" s="212">
        <f ca="1">IF($E42=-1,0,IF(O$13&lt;=$L41,IF(ISERROR(MATCH(O$13,OFFSET($L41,1,0,ROW($L$260)-ROW($L41)-1),0)),ROW($L$260)-ROW($L41)-1,MATCH(O$13,OFFSET($L41,1,0,ROW($L$260)-ROW($L41)-1),0)-1),0))</f>
        <v>0</v>
      </c>
      <c r="P41" s="212">
        <f ca="1">IF($E42=-1,0,IF(P$13&lt;=$L41,IF(ISERROR(MATCH(P$13,OFFSET($L41,1,0,ROW($L$260)-ROW($L41)-1),0)),ROW($L$260)-ROW($L41)-1,MATCH(P$13,OFFSET($L41,1,0,ROW($L$260)-ROW($L41)-1),0)-1),0))</f>
        <v>0</v>
      </c>
      <c r="Q41" s="212">
        <f t="shared" ref="Q41" ca="1" si="68">MIN(OFFSET(L41,0,1,,L41))</f>
        <v>2</v>
      </c>
      <c r="R41" s="213">
        <f ca="1">IF($E42=0,OFFSET(ORÇAMENTO!X$15,$E41,0),IF($E42&lt;&gt;-1,OFFSET(QCI!$O$13,$E42,0),""))</f>
        <v>0</v>
      </c>
      <c r="S41" s="214" t="s">
        <v>270</v>
      </c>
      <c r="T41" s="215" t="e">
        <f t="shared" ref="T41:AE41" ca="1" si="69">IF(AND($Q41=2,ACOMPANHAMENTO="BM"),T42,T43/$R41)</f>
        <v>#DIV/0!</v>
      </c>
      <c r="U41" s="207" t="e">
        <f t="shared" ca="1" si="69"/>
        <v>#DIV/0!</v>
      </c>
      <c r="V41" s="207" t="e">
        <f t="shared" ca="1" si="69"/>
        <v>#DIV/0!</v>
      </c>
      <c r="W41" s="207" t="e">
        <f t="shared" ca="1" si="69"/>
        <v>#DIV/0!</v>
      </c>
      <c r="X41" s="207" t="e">
        <f t="shared" ca="1" si="69"/>
        <v>#DIV/0!</v>
      </c>
      <c r="Y41" s="207" t="e">
        <f t="shared" ca="1" si="69"/>
        <v>#DIV/0!</v>
      </c>
      <c r="Z41" s="207" t="e">
        <f t="shared" ca="1" si="69"/>
        <v>#DIV/0!</v>
      </c>
      <c r="AA41" s="207" t="e">
        <f t="shared" ca="1" si="69"/>
        <v>#DIV/0!</v>
      </c>
      <c r="AB41" s="207" t="e">
        <f t="shared" ca="1" si="69"/>
        <v>#DIV/0!</v>
      </c>
      <c r="AC41" s="207" t="e">
        <f t="shared" ca="1" si="69"/>
        <v>#DIV/0!</v>
      </c>
      <c r="AD41" s="207" t="e">
        <f t="shared" ca="1" si="69"/>
        <v>#DIV/0!</v>
      </c>
      <c r="AE41" s="216" t="e">
        <f t="shared" ca="1" si="69"/>
        <v>#DIV/0!</v>
      </c>
    </row>
    <row r="42" spans="1:32" ht="12.75" customHeight="1" x14ac:dyDescent="0.2">
      <c r="D42" s="569"/>
      <c r="E42" s="204">
        <f ca="1">IF(ISERROR(E41),IF(1+COUNTIF($L$13:OFFSET(L41,-1,0),1)&lt;=MAX(QCI!$D$13:$D$24),1+COUNTIF($L$13:OFFSET(L41,-1,0),1),-1),0)</f>
        <v>0</v>
      </c>
      <c r="F42" s="204" t="str">
        <f t="shared" ref="F42" ca="1" si="70">IF(AND($E42&lt;&gt;-1,$R41&gt;0),"F","")</f>
        <v/>
      </c>
      <c r="G42" s="217" t="str">
        <f ca="1">IF(OR(R41=0,R41=""),"vazia",IF(AND(OR(ACOMPANHAMENTO="PLE",$Q41&lt;&gt;2),$E42=0),"calculada","--&gt;"))</f>
        <v>vazia</v>
      </c>
      <c r="H42" s="218"/>
      <c r="I42" s="219" t="str">
        <f t="shared" ref="I42" ca="1" si="71">IF(AND(G41&lt;&gt;0,ISNUMBER(G41)),"PREENCHA ESTA LINHA --&gt;","")</f>
        <v/>
      </c>
      <c r="J42" s="219"/>
      <c r="K42" s="219"/>
      <c r="L42" s="220"/>
      <c r="M42" s="220"/>
      <c r="N42" s="220"/>
      <c r="O42" s="220"/>
      <c r="P42" s="220"/>
      <c r="Q42" s="220"/>
      <c r="R42" s="221"/>
      <c r="S42" s="222"/>
      <c r="T42" s="570"/>
      <c r="U42" s="569"/>
      <c r="V42" s="569"/>
      <c r="W42" s="569"/>
      <c r="X42" s="569"/>
      <c r="Y42" s="569"/>
      <c r="Z42" s="569"/>
      <c r="AA42" s="569"/>
      <c r="AB42" s="569"/>
      <c r="AC42" s="569"/>
      <c r="AD42" s="569"/>
      <c r="AE42" s="571"/>
      <c r="AF42" s="533"/>
    </row>
    <row r="43" spans="1:32" ht="0.2" hidden="1" customHeight="1" x14ac:dyDescent="0.2">
      <c r="D43" s="223">
        <f ca="1">IF($Q41=2,IF(AND(ACOMPANHAMENTO="PLE",ISNUMBER($E41)),SUMIF((OFFSET(CÁLCULO!$BC$15:$BU$15,$E41,0,OFFSET(ORÇAMENTO!$D$15,CRONO!$E41,0))),"="&amp;CRONO!D$12,OFFSET(CÁLCULO!$AJ$15:$BB$15,$E41,0,OFFSET(ORÇAMENTO!$D$15,CRONO!$E41,0)))+IF(AND($E43&lt;&gt;"",$E43&lt;&gt;0),SUMIF(CÁLCULO!$BC$15:$BU$727,"="&amp;CRONO!D$12,CÁLCULO!$AJ$15:$BB$727)/(ORÇAMENTO!$X$15-CÁLCULO.TotalAdmLocal)*CRONO!$E43,0),D42*$R41),SUMIF(OFFSET($R43,1,0,$Q41-2),($L41+1)&amp;"$",OFFSET(D43,1,0,$Q41-2)))</f>
        <v>0</v>
      </c>
      <c r="E43" s="20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224"/>
      <c r="R43" s="225" t="str">
        <f t="shared" ref="R43" ca="1" si="72">L41&amp;"$"</f>
        <v>2$</v>
      </c>
      <c r="S43" s="226"/>
      <c r="T43" s="227">
        <f ca="1">IF($Q41=2,IF(AND(ACOMPANHAMENTO="PLE",ISNUMBER($E41)),SUMIF((OFFSET(CÁLCULO!$BC$15:$BU$15,$E41,0,OFFSET(ORÇAMENTO!$D$15,CRONO!$E41,0))),"&lt;="&amp;CRONO!T$12,OFFSET(CÁLCULO!$AJ$15:$BB$15,$E41,0,OFFSET(ORÇAMENTO!$D$15,CRONO!$E41,0)))+IF(AND($E43&lt;&gt;"",$E43&lt;&gt;0),SUMIF(CÁLCULO!$BC$15:$BU$727,"&lt;="&amp;CRONO!T$12,CÁLCULO!$AJ$15:$BB$727)/(ORÇAMENTO!$X$15-CÁLCULO.TotalAdmLocal)*CRONO!$E43,0),T42*$R41),SUMIF(OFFSET($R43,1,0,$Q41-2),($L41+1)&amp;"$",OFFSET(T43,1,0,$Q41-2)))</f>
        <v>0</v>
      </c>
      <c r="U43" s="223">
        <f ca="1">IF($Q41=2,IF(AND(ACOMPANHAMENTO="PLE",ISNUMBER($E41)),SUMIF((OFFSET(CÁLCULO!$BC$15:$BU$15,$E41,0,OFFSET(ORÇAMENTO!$D$15,CRONO!$E41,0))),"="&amp;CRONO!U$12,OFFSET(CÁLCULO!$AJ$15:$BB$15,$E41,0,OFFSET(ORÇAMENTO!$D$15,CRONO!$E41,0)))+IF(AND($E43&lt;&gt;"",$E43&lt;&gt;0),SUMIF(CÁLCULO!$BC$15:$BU$727,"="&amp;CRONO!U$12,CÁLCULO!$AJ$15:$BB$727)/(ORÇAMENTO!$X$15-CÁLCULO.TotalAdmLocal)*CRONO!$E43,0),U42*$R41),SUMIF(OFFSET($R43,1,0,$Q41-2),($L41+1)&amp;"$",OFFSET(U43,1,0,$Q41-2)))</f>
        <v>0</v>
      </c>
      <c r="V43" s="223">
        <f ca="1">IF($Q41=2,IF(AND(ACOMPANHAMENTO="PLE",ISNUMBER($E41)),SUMIF((OFFSET(CÁLCULO!$BC$15:$BU$15,$E41,0,OFFSET(ORÇAMENTO!$D$15,CRONO!$E41,0))),"="&amp;CRONO!V$12,OFFSET(CÁLCULO!$AJ$15:$BB$15,$E41,0,OFFSET(ORÇAMENTO!$D$15,CRONO!$E41,0)))+IF(AND($E43&lt;&gt;"",$E43&lt;&gt;0),SUMIF(CÁLCULO!$BC$15:$BU$727,"="&amp;CRONO!V$12,CÁLCULO!$AJ$15:$BB$727)/(ORÇAMENTO!$X$15-CÁLCULO.TotalAdmLocal)*CRONO!$E43,0),V42*$R41),SUMIF(OFFSET($R43,1,0,$Q41-2),($L41+1)&amp;"$",OFFSET(V43,1,0,$Q41-2)))</f>
        <v>0</v>
      </c>
      <c r="W43" s="223">
        <f ca="1">IF($Q41=2,IF(AND(ACOMPANHAMENTO="PLE",ISNUMBER($E41)),SUMIF((OFFSET(CÁLCULO!$BC$15:$BU$15,$E41,0,OFFSET(ORÇAMENTO!$D$15,CRONO!$E41,0))),"="&amp;CRONO!W$12,OFFSET(CÁLCULO!$AJ$15:$BB$15,$E41,0,OFFSET(ORÇAMENTO!$D$15,CRONO!$E41,0)))+IF(AND($E43&lt;&gt;"",$E43&lt;&gt;0),SUMIF(CÁLCULO!$BC$15:$BU$727,"="&amp;CRONO!W$12,CÁLCULO!$AJ$15:$BB$727)/(ORÇAMENTO!$X$15-CÁLCULO.TotalAdmLocal)*CRONO!$E43,0),W42*$R41),SUMIF(OFFSET($R43,1,0,$Q41-2),($L41+1)&amp;"$",OFFSET(W43,1,0,$Q41-2)))</f>
        <v>0</v>
      </c>
      <c r="X43" s="223">
        <f ca="1">IF($Q41=2,IF(AND(ACOMPANHAMENTO="PLE",ISNUMBER($E41)),SUMIF((OFFSET(CÁLCULO!$BC$15:$BU$15,$E41,0,OFFSET(ORÇAMENTO!$D$15,CRONO!$E41,0))),"="&amp;CRONO!X$12,OFFSET(CÁLCULO!$AJ$15:$BB$15,$E41,0,OFFSET(ORÇAMENTO!$D$15,CRONO!$E41,0)))+IF(AND($E43&lt;&gt;"",$E43&lt;&gt;0),SUMIF(CÁLCULO!$BC$15:$BU$727,"="&amp;CRONO!X$12,CÁLCULO!$AJ$15:$BB$727)/(ORÇAMENTO!$X$15-CÁLCULO.TotalAdmLocal)*CRONO!$E43,0),X42*$R41),SUMIF(OFFSET($R43,1,0,$Q41-2),($L41+1)&amp;"$",OFFSET(X43,1,0,$Q41-2)))</f>
        <v>0</v>
      </c>
      <c r="Y43" s="223">
        <f ca="1">IF($Q41=2,IF(AND(ACOMPANHAMENTO="PLE",ISNUMBER($E41)),SUMIF((OFFSET(CÁLCULO!$BC$15:$BU$15,$E41,0,OFFSET(ORÇAMENTO!$D$15,CRONO!$E41,0))),"="&amp;CRONO!Y$12,OFFSET(CÁLCULO!$AJ$15:$BB$15,$E41,0,OFFSET(ORÇAMENTO!$D$15,CRONO!$E41,0)))+IF(AND($E43&lt;&gt;"",$E43&lt;&gt;0),SUMIF(CÁLCULO!$BC$15:$BU$727,"="&amp;CRONO!Y$12,CÁLCULO!$AJ$15:$BB$727)/(ORÇAMENTO!$X$15-CÁLCULO.TotalAdmLocal)*CRONO!$E43,0),Y42*$R41),SUMIF(OFFSET($R43,1,0,$Q41-2),($L41+1)&amp;"$",OFFSET(Y43,1,0,$Q41-2)))</f>
        <v>0</v>
      </c>
      <c r="Z43" s="223">
        <f ca="1">IF($Q41=2,IF(AND(ACOMPANHAMENTO="PLE",ISNUMBER($E41)),SUMIF((OFFSET(CÁLCULO!$BC$15:$BU$15,$E41,0,OFFSET(ORÇAMENTO!$D$15,CRONO!$E41,0))),"="&amp;CRONO!Z$12,OFFSET(CÁLCULO!$AJ$15:$BB$15,$E41,0,OFFSET(ORÇAMENTO!$D$15,CRONO!$E41,0)))+IF(AND($E43&lt;&gt;"",$E43&lt;&gt;0),SUMIF(CÁLCULO!$BC$15:$BU$727,"="&amp;CRONO!Z$12,CÁLCULO!$AJ$15:$BB$727)/(ORÇAMENTO!$X$15-CÁLCULO.TotalAdmLocal)*CRONO!$E43,0),Z42*$R41),SUMIF(OFFSET($R43,1,0,$Q41-2),($L41+1)&amp;"$",OFFSET(Z43,1,0,$Q41-2)))</f>
        <v>0</v>
      </c>
      <c r="AA43" s="223">
        <f ca="1">IF($Q41=2,IF(AND(ACOMPANHAMENTO="PLE",ISNUMBER($E41)),SUMIF((OFFSET(CÁLCULO!$BC$15:$BU$15,$E41,0,OFFSET(ORÇAMENTO!$D$15,CRONO!$E41,0))),"="&amp;CRONO!AA$12,OFFSET(CÁLCULO!$AJ$15:$BB$15,$E41,0,OFFSET(ORÇAMENTO!$D$15,CRONO!$E41,0)))+IF(AND($E43&lt;&gt;"",$E43&lt;&gt;0),SUMIF(CÁLCULO!$BC$15:$BU$727,"="&amp;CRONO!AA$12,CÁLCULO!$AJ$15:$BB$727)/(ORÇAMENTO!$X$15-CÁLCULO.TotalAdmLocal)*CRONO!$E43,0),AA42*$R41),SUMIF(OFFSET($R43,1,0,$Q41-2),($L41+1)&amp;"$",OFFSET(AA43,1,0,$Q41-2)))</f>
        <v>0</v>
      </c>
      <c r="AB43" s="223">
        <f ca="1">IF($Q41=2,IF(AND(ACOMPANHAMENTO="PLE",ISNUMBER($E41)),SUMIF((OFFSET(CÁLCULO!$BC$15:$BU$15,$E41,0,OFFSET(ORÇAMENTO!$D$15,CRONO!$E41,0))),"="&amp;CRONO!AB$12,OFFSET(CÁLCULO!$AJ$15:$BB$15,$E41,0,OFFSET(ORÇAMENTO!$D$15,CRONO!$E41,0)))+IF(AND($E43&lt;&gt;"",$E43&lt;&gt;0),SUMIF(CÁLCULO!$BC$15:$BU$727,"="&amp;CRONO!AB$12,CÁLCULO!$AJ$15:$BB$727)/(ORÇAMENTO!$X$15-CÁLCULO.TotalAdmLocal)*CRONO!$E43,0),AB42*$R41),SUMIF(OFFSET($R43,1,0,$Q41-2),($L41+1)&amp;"$",OFFSET(AB43,1,0,$Q41-2)))</f>
        <v>0</v>
      </c>
      <c r="AC43" s="223">
        <f ca="1">IF($Q41=2,IF(AND(ACOMPANHAMENTO="PLE",ISNUMBER($E41)),SUMIF((OFFSET(CÁLCULO!$BC$15:$BU$15,$E41,0,OFFSET(ORÇAMENTO!$D$15,CRONO!$E41,0))),"="&amp;CRONO!AC$12,OFFSET(CÁLCULO!$AJ$15:$BB$15,$E41,0,OFFSET(ORÇAMENTO!$D$15,CRONO!$E41,0)))+IF(AND($E43&lt;&gt;"",$E43&lt;&gt;0),SUMIF(CÁLCULO!$BC$15:$BU$727,"="&amp;CRONO!AC$12,CÁLCULO!$AJ$15:$BB$727)/(ORÇAMENTO!$X$15-CÁLCULO.TotalAdmLocal)*CRONO!$E43,0),AC42*$R41),SUMIF(OFFSET($R43,1,0,$Q41-2),($L41+1)&amp;"$",OFFSET(AC43,1,0,$Q41-2)))</f>
        <v>0</v>
      </c>
      <c r="AD43" s="223">
        <f ca="1">IF($Q41=2,IF(AND(ACOMPANHAMENTO="PLE",ISNUMBER($E41)),SUMIF((OFFSET(CÁLCULO!$BC$15:$BU$15,$E41,0,OFFSET(ORÇAMENTO!$D$15,CRONO!$E41,0))),"="&amp;CRONO!AD$12,OFFSET(CÁLCULO!$AJ$15:$BB$15,$E41,0,OFFSET(ORÇAMENTO!$D$15,CRONO!$E41,0)))+IF(AND($E43&lt;&gt;"",$E43&lt;&gt;0),SUMIF(CÁLCULO!$BC$15:$BU$727,"="&amp;CRONO!AD$12,CÁLCULO!$AJ$15:$BB$727)/(ORÇAMENTO!$X$15-CÁLCULO.TotalAdmLocal)*CRONO!$E43,0),AD42*$R41),SUMIF(OFFSET($R43,1,0,$Q41-2),($L41+1)&amp;"$",OFFSET(AD43,1,0,$Q41-2)))</f>
        <v>0</v>
      </c>
      <c r="AE43" s="228">
        <f ca="1">IF($Q41=2,IF(AND(ACOMPANHAMENTO="PLE",ISNUMBER($E41)),SUMIF((OFFSET(CÁLCULO!$BC$15:$BU$15,$E41,0,OFFSET(ORÇAMENTO!$D$15,CRONO!$E41,0))),"="&amp;CRONO!AE$12,OFFSET(CÁLCULO!$AJ$15:$BB$15,$E41,0,OFFSET(ORÇAMENTO!$D$15,CRONO!$E41,0)))+IF(AND($E43&lt;&gt;"",$E43&lt;&gt;0),SUMIF(CÁLCULO!$BC$15:$BU$727,"="&amp;CRONO!AE$12,CÁLCULO!$AJ$15:$BB$727)/(ORÇAMENTO!$X$15-CÁLCULO.TotalAdmLocal)*CRONO!$E43,0),AE42*$R41),SUMIF(OFFSET($R43,1,0,$Q41-2),($L41+1)&amp;"$",OFFSET(AE43,1,0,$Q41-2)))</f>
        <v>0</v>
      </c>
    </row>
    <row r="44" spans="1:32" x14ac:dyDescent="0.2">
      <c r="A44" s="204">
        <f t="shared" ref="A44" ca="1" si="73">OFFSET(A44,-3,0)+1</f>
        <v>11</v>
      </c>
      <c r="B44" s="204">
        <f ca="1">IF($Q44&lt;&gt;2,0,IF($R44=0,1,IF(E45&gt;0,OFFSET(QCI!$M$13,SUBSTITUTE(E45,".",""),0),OFFSET(ORÇAMENTO!$AA$15,CRONO!$E44,0))/$R44))</f>
        <v>1</v>
      </c>
      <c r="C44" s="204">
        <f ca="1">IF($Q44&lt;&gt;2,0,IF($R44=0,1,IF(E45&gt;0,OFFSET(QCI!$N$13,SUBSTITUTE(E45,".",""),0),OFFSET(ORÇAMENTO!$AB$15,CRONO!$E44,0))/$R44))</f>
        <v>1</v>
      </c>
      <c r="D44" s="207" t="e">
        <f ca="1">IF(AND($Q44=2,ACOMPANHAMENTO="BM"),D45,D46/$R44)</f>
        <v>#DIV/0!</v>
      </c>
      <c r="E44" s="204">
        <f ca="1">IF(A44&lt;=ORÇAMENTO.MáximoListaCrono,MATCH(A44,ORÇAMENTO.ListaCrono,0),NA())</f>
        <v>59</v>
      </c>
      <c r="F44" s="204" t="str">
        <f t="shared" ref="F44" ca="1" si="74">IF(AND($E45&lt;&gt;-1,$R44&gt;0),"F","")</f>
        <v/>
      </c>
      <c r="G44" s="208" t="str">
        <f ca="1">IF(OR(R44=0,R44=""),"Linha",IF(AND(OR(ACOMPANHAMENTO="PLE",$Q44&lt;&gt;2),$E45=0),"Linha",1-SUM(T44:AF44)))</f>
        <v>Linha</v>
      </c>
      <c r="H44" s="209" t="str">
        <f ca="1">IF($E45=0,OFFSET(ORÇAMENTO!O$15,$E44,0),IF($E45&lt;&gt;-1,OFFSET(QCI!$D$13,$E45,0),""))</f>
        <v>1.10.</v>
      </c>
      <c r="I44" s="210" t="str">
        <f ca="1">IF($E45=0,OFFSET(ORÇAMENTO!R$15,$E44,0),IF($E45&lt;&gt;-1,OFFSET(QCI!$G$13,$E45,0),""))</f>
        <v>SUPERESTRUTURA - CONCRETO ARMADO PARA VERGAS</v>
      </c>
      <c r="J44" s="210"/>
      <c r="K44" s="210"/>
      <c r="L44" s="211">
        <f ca="1">IF($E45=0,OFFSET(ORÇAMENTO!C$15,$E44,0),1)</f>
        <v>2</v>
      </c>
      <c r="M44" s="212">
        <f ca="1">IF($E45=-1,0,IF(M$13&lt;=$L44,IF(ISERROR(MATCH(M$13,OFFSET($L44,1,0,ROW($L$260)-ROW($L44)-1),0)),ROW($L$260)-ROW($L44)-1,MATCH(M$13,OFFSET($L44,1,0,ROW($L$260)-ROW($L44)-1),0)-1),0))</f>
        <v>215</v>
      </c>
      <c r="N44" s="212">
        <f ca="1">IF($E45=-1,0,IF(N$13&lt;=$L44,IF(ISERROR(MATCH(N$13,OFFSET($L44,1,0,ROW($L$260)-ROW($L44)-1),0)),ROW($L$260)-ROW($L44)-1,MATCH(N$13,OFFSET($L44,1,0,ROW($L$260)-ROW($L44)-1),0)-1),0))</f>
        <v>2</v>
      </c>
      <c r="O44" s="212">
        <f ca="1">IF($E45=-1,0,IF(O$13&lt;=$L44,IF(ISERROR(MATCH(O$13,OFFSET($L44,1,0,ROW($L$260)-ROW($L44)-1),0)),ROW($L$260)-ROW($L44)-1,MATCH(O$13,OFFSET($L44,1,0,ROW($L$260)-ROW($L44)-1),0)-1),0))</f>
        <v>0</v>
      </c>
      <c r="P44" s="212">
        <f ca="1">IF($E45=-1,0,IF(P$13&lt;=$L44,IF(ISERROR(MATCH(P$13,OFFSET($L44,1,0,ROW($L$260)-ROW($L44)-1),0)),ROW($L$260)-ROW($L44)-1,MATCH(P$13,OFFSET($L44,1,0,ROW($L$260)-ROW($L44)-1),0)-1),0))</f>
        <v>0</v>
      </c>
      <c r="Q44" s="212">
        <f t="shared" ref="Q44" ca="1" si="75">MIN(OFFSET(L44,0,1,,L44))</f>
        <v>2</v>
      </c>
      <c r="R44" s="213">
        <f ca="1">IF($E45=0,OFFSET(ORÇAMENTO!X$15,$E44,0),IF($E45&lt;&gt;-1,OFFSET(QCI!$O$13,$E45,0),""))</f>
        <v>0</v>
      </c>
      <c r="S44" s="214" t="s">
        <v>270</v>
      </c>
      <c r="T44" s="215" t="e">
        <f t="shared" ref="T44:AE44" ca="1" si="76">IF(AND($Q44=2,ACOMPANHAMENTO="BM"),T45,T46/$R44)</f>
        <v>#DIV/0!</v>
      </c>
      <c r="U44" s="207" t="e">
        <f t="shared" ca="1" si="76"/>
        <v>#DIV/0!</v>
      </c>
      <c r="V44" s="207" t="e">
        <f t="shared" ca="1" si="76"/>
        <v>#DIV/0!</v>
      </c>
      <c r="W44" s="207" t="e">
        <f t="shared" ca="1" si="76"/>
        <v>#DIV/0!</v>
      </c>
      <c r="X44" s="207" t="e">
        <f t="shared" ca="1" si="76"/>
        <v>#DIV/0!</v>
      </c>
      <c r="Y44" s="207" t="e">
        <f t="shared" ca="1" si="76"/>
        <v>#DIV/0!</v>
      </c>
      <c r="Z44" s="207" t="e">
        <f t="shared" ca="1" si="76"/>
        <v>#DIV/0!</v>
      </c>
      <c r="AA44" s="207" t="e">
        <f t="shared" ca="1" si="76"/>
        <v>#DIV/0!</v>
      </c>
      <c r="AB44" s="207" t="e">
        <f t="shared" ca="1" si="76"/>
        <v>#DIV/0!</v>
      </c>
      <c r="AC44" s="207" t="e">
        <f t="shared" ca="1" si="76"/>
        <v>#DIV/0!</v>
      </c>
      <c r="AD44" s="207" t="e">
        <f t="shared" ca="1" si="76"/>
        <v>#DIV/0!</v>
      </c>
      <c r="AE44" s="216" t="e">
        <f t="shared" ca="1" si="76"/>
        <v>#DIV/0!</v>
      </c>
    </row>
    <row r="45" spans="1:32" ht="12.75" customHeight="1" x14ac:dyDescent="0.2">
      <c r="D45" s="569"/>
      <c r="E45" s="204">
        <f ca="1">IF(ISERROR(E44),IF(1+COUNTIF($L$13:OFFSET(L44,-1,0),1)&lt;=MAX(QCI!$D$13:$D$24),1+COUNTIF($L$13:OFFSET(L44,-1,0),1),-1),0)</f>
        <v>0</v>
      </c>
      <c r="F45" s="204" t="str">
        <f t="shared" ref="F45" ca="1" si="77">IF(AND($E45&lt;&gt;-1,$R44&gt;0),"F","")</f>
        <v/>
      </c>
      <c r="G45" s="217" t="str">
        <f ca="1">IF(OR(R44=0,R44=""),"vazia",IF(AND(OR(ACOMPANHAMENTO="PLE",$Q44&lt;&gt;2),$E45=0),"calculada","--&gt;"))</f>
        <v>vazia</v>
      </c>
      <c r="H45" s="218"/>
      <c r="I45" s="219" t="str">
        <f t="shared" ref="I45" ca="1" si="78">IF(AND(G44&lt;&gt;0,ISNUMBER(G44)),"PREENCHA ESTA LINHA --&gt;","")</f>
        <v/>
      </c>
      <c r="J45" s="219"/>
      <c r="K45" s="219"/>
      <c r="L45" s="220"/>
      <c r="M45" s="220"/>
      <c r="N45" s="220"/>
      <c r="O45" s="220"/>
      <c r="P45" s="220"/>
      <c r="Q45" s="220"/>
      <c r="R45" s="221"/>
      <c r="S45" s="222"/>
      <c r="T45" s="570"/>
      <c r="U45" s="569"/>
      <c r="V45" s="569"/>
      <c r="W45" s="569"/>
      <c r="X45" s="569"/>
      <c r="Y45" s="569"/>
      <c r="Z45" s="569"/>
      <c r="AA45" s="569"/>
      <c r="AB45" s="569"/>
      <c r="AC45" s="569"/>
      <c r="AD45" s="569"/>
      <c r="AE45" s="571"/>
      <c r="AF45" s="533"/>
    </row>
    <row r="46" spans="1:32" ht="0.2" hidden="1" customHeight="1" x14ac:dyDescent="0.2">
      <c r="D46" s="223">
        <f ca="1">IF($Q44=2,IF(AND(ACOMPANHAMENTO="PLE",ISNUMBER($E44)),SUMIF((OFFSET(CÁLCULO!$BC$15:$BU$15,$E44,0,OFFSET(ORÇAMENTO!$D$15,CRONO!$E44,0))),"="&amp;CRONO!D$12,OFFSET(CÁLCULO!$AJ$15:$BB$15,$E44,0,OFFSET(ORÇAMENTO!$D$15,CRONO!$E44,0)))+IF(AND($E46&lt;&gt;"",$E46&lt;&gt;0),SUMIF(CÁLCULO!$BC$15:$BU$727,"="&amp;CRONO!D$12,CÁLCULO!$AJ$15:$BB$727)/(ORÇAMENTO!$X$15-CÁLCULO.TotalAdmLocal)*CRONO!$E46,0),D45*$R44),SUMIF(OFFSET($R46,1,0,$Q44-2),($L44+1)&amp;"$",OFFSET(D46,1,0,$Q44-2)))</f>
        <v>0</v>
      </c>
      <c r="E46" s="20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224"/>
      <c r="R46" s="225" t="str">
        <f t="shared" ref="R46" ca="1" si="79">L44&amp;"$"</f>
        <v>2$</v>
      </c>
      <c r="S46" s="226"/>
      <c r="T46" s="227">
        <f ca="1">IF($Q44=2,IF(AND(ACOMPANHAMENTO="PLE",ISNUMBER($E44)),SUMIF((OFFSET(CÁLCULO!$BC$15:$BU$15,$E44,0,OFFSET(ORÇAMENTO!$D$15,CRONO!$E44,0))),"&lt;="&amp;CRONO!T$12,OFFSET(CÁLCULO!$AJ$15:$BB$15,$E44,0,OFFSET(ORÇAMENTO!$D$15,CRONO!$E44,0)))+IF(AND($E46&lt;&gt;"",$E46&lt;&gt;0),SUMIF(CÁLCULO!$BC$15:$BU$727,"&lt;="&amp;CRONO!T$12,CÁLCULO!$AJ$15:$BB$727)/(ORÇAMENTO!$X$15-CÁLCULO.TotalAdmLocal)*CRONO!$E46,0),T45*$R44),SUMIF(OFFSET($R46,1,0,$Q44-2),($L44+1)&amp;"$",OFFSET(T46,1,0,$Q44-2)))</f>
        <v>0</v>
      </c>
      <c r="U46" s="223">
        <f ca="1">IF($Q44=2,IF(AND(ACOMPANHAMENTO="PLE",ISNUMBER($E44)),SUMIF((OFFSET(CÁLCULO!$BC$15:$BU$15,$E44,0,OFFSET(ORÇAMENTO!$D$15,CRONO!$E44,0))),"="&amp;CRONO!U$12,OFFSET(CÁLCULO!$AJ$15:$BB$15,$E44,0,OFFSET(ORÇAMENTO!$D$15,CRONO!$E44,0)))+IF(AND($E46&lt;&gt;"",$E46&lt;&gt;0),SUMIF(CÁLCULO!$BC$15:$BU$727,"="&amp;CRONO!U$12,CÁLCULO!$AJ$15:$BB$727)/(ORÇAMENTO!$X$15-CÁLCULO.TotalAdmLocal)*CRONO!$E46,0),U45*$R44),SUMIF(OFFSET($R46,1,0,$Q44-2),($L44+1)&amp;"$",OFFSET(U46,1,0,$Q44-2)))</f>
        <v>0</v>
      </c>
      <c r="V46" s="223">
        <f ca="1">IF($Q44=2,IF(AND(ACOMPANHAMENTO="PLE",ISNUMBER($E44)),SUMIF((OFFSET(CÁLCULO!$BC$15:$BU$15,$E44,0,OFFSET(ORÇAMENTO!$D$15,CRONO!$E44,0))),"="&amp;CRONO!V$12,OFFSET(CÁLCULO!$AJ$15:$BB$15,$E44,0,OFFSET(ORÇAMENTO!$D$15,CRONO!$E44,0)))+IF(AND($E46&lt;&gt;"",$E46&lt;&gt;0),SUMIF(CÁLCULO!$BC$15:$BU$727,"="&amp;CRONO!V$12,CÁLCULO!$AJ$15:$BB$727)/(ORÇAMENTO!$X$15-CÁLCULO.TotalAdmLocal)*CRONO!$E46,0),V45*$R44),SUMIF(OFFSET($R46,1,0,$Q44-2),($L44+1)&amp;"$",OFFSET(V46,1,0,$Q44-2)))</f>
        <v>0</v>
      </c>
      <c r="W46" s="223">
        <f ca="1">IF($Q44=2,IF(AND(ACOMPANHAMENTO="PLE",ISNUMBER($E44)),SUMIF((OFFSET(CÁLCULO!$BC$15:$BU$15,$E44,0,OFFSET(ORÇAMENTO!$D$15,CRONO!$E44,0))),"="&amp;CRONO!W$12,OFFSET(CÁLCULO!$AJ$15:$BB$15,$E44,0,OFFSET(ORÇAMENTO!$D$15,CRONO!$E44,0)))+IF(AND($E46&lt;&gt;"",$E46&lt;&gt;0),SUMIF(CÁLCULO!$BC$15:$BU$727,"="&amp;CRONO!W$12,CÁLCULO!$AJ$15:$BB$727)/(ORÇAMENTO!$X$15-CÁLCULO.TotalAdmLocal)*CRONO!$E46,0),W45*$R44),SUMIF(OFFSET($R46,1,0,$Q44-2),($L44+1)&amp;"$",OFFSET(W46,1,0,$Q44-2)))</f>
        <v>0</v>
      </c>
      <c r="X46" s="223">
        <f ca="1">IF($Q44=2,IF(AND(ACOMPANHAMENTO="PLE",ISNUMBER($E44)),SUMIF((OFFSET(CÁLCULO!$BC$15:$BU$15,$E44,0,OFFSET(ORÇAMENTO!$D$15,CRONO!$E44,0))),"="&amp;CRONO!X$12,OFFSET(CÁLCULO!$AJ$15:$BB$15,$E44,0,OFFSET(ORÇAMENTO!$D$15,CRONO!$E44,0)))+IF(AND($E46&lt;&gt;"",$E46&lt;&gt;0),SUMIF(CÁLCULO!$BC$15:$BU$727,"="&amp;CRONO!X$12,CÁLCULO!$AJ$15:$BB$727)/(ORÇAMENTO!$X$15-CÁLCULO.TotalAdmLocal)*CRONO!$E46,0),X45*$R44),SUMIF(OFFSET($R46,1,0,$Q44-2),($L44+1)&amp;"$",OFFSET(X46,1,0,$Q44-2)))</f>
        <v>0</v>
      </c>
      <c r="Y46" s="223">
        <f ca="1">IF($Q44=2,IF(AND(ACOMPANHAMENTO="PLE",ISNUMBER($E44)),SUMIF((OFFSET(CÁLCULO!$BC$15:$BU$15,$E44,0,OFFSET(ORÇAMENTO!$D$15,CRONO!$E44,0))),"="&amp;CRONO!Y$12,OFFSET(CÁLCULO!$AJ$15:$BB$15,$E44,0,OFFSET(ORÇAMENTO!$D$15,CRONO!$E44,0)))+IF(AND($E46&lt;&gt;"",$E46&lt;&gt;0),SUMIF(CÁLCULO!$BC$15:$BU$727,"="&amp;CRONO!Y$12,CÁLCULO!$AJ$15:$BB$727)/(ORÇAMENTO!$X$15-CÁLCULO.TotalAdmLocal)*CRONO!$E46,0),Y45*$R44),SUMIF(OFFSET($R46,1,0,$Q44-2),($L44+1)&amp;"$",OFFSET(Y46,1,0,$Q44-2)))</f>
        <v>0</v>
      </c>
      <c r="Z46" s="223">
        <f ca="1">IF($Q44=2,IF(AND(ACOMPANHAMENTO="PLE",ISNUMBER($E44)),SUMIF((OFFSET(CÁLCULO!$BC$15:$BU$15,$E44,0,OFFSET(ORÇAMENTO!$D$15,CRONO!$E44,0))),"="&amp;CRONO!Z$12,OFFSET(CÁLCULO!$AJ$15:$BB$15,$E44,0,OFFSET(ORÇAMENTO!$D$15,CRONO!$E44,0)))+IF(AND($E46&lt;&gt;"",$E46&lt;&gt;0),SUMIF(CÁLCULO!$BC$15:$BU$727,"="&amp;CRONO!Z$12,CÁLCULO!$AJ$15:$BB$727)/(ORÇAMENTO!$X$15-CÁLCULO.TotalAdmLocal)*CRONO!$E46,0),Z45*$R44),SUMIF(OFFSET($R46,1,0,$Q44-2),($L44+1)&amp;"$",OFFSET(Z46,1,0,$Q44-2)))</f>
        <v>0</v>
      </c>
      <c r="AA46" s="223">
        <f ca="1">IF($Q44=2,IF(AND(ACOMPANHAMENTO="PLE",ISNUMBER($E44)),SUMIF((OFFSET(CÁLCULO!$BC$15:$BU$15,$E44,0,OFFSET(ORÇAMENTO!$D$15,CRONO!$E44,0))),"="&amp;CRONO!AA$12,OFFSET(CÁLCULO!$AJ$15:$BB$15,$E44,0,OFFSET(ORÇAMENTO!$D$15,CRONO!$E44,0)))+IF(AND($E46&lt;&gt;"",$E46&lt;&gt;0),SUMIF(CÁLCULO!$BC$15:$BU$727,"="&amp;CRONO!AA$12,CÁLCULO!$AJ$15:$BB$727)/(ORÇAMENTO!$X$15-CÁLCULO.TotalAdmLocal)*CRONO!$E46,0),AA45*$R44),SUMIF(OFFSET($R46,1,0,$Q44-2),($L44+1)&amp;"$",OFFSET(AA46,1,0,$Q44-2)))</f>
        <v>0</v>
      </c>
      <c r="AB46" s="223">
        <f ca="1">IF($Q44=2,IF(AND(ACOMPANHAMENTO="PLE",ISNUMBER($E44)),SUMIF((OFFSET(CÁLCULO!$BC$15:$BU$15,$E44,0,OFFSET(ORÇAMENTO!$D$15,CRONO!$E44,0))),"="&amp;CRONO!AB$12,OFFSET(CÁLCULO!$AJ$15:$BB$15,$E44,0,OFFSET(ORÇAMENTO!$D$15,CRONO!$E44,0)))+IF(AND($E46&lt;&gt;"",$E46&lt;&gt;0),SUMIF(CÁLCULO!$BC$15:$BU$727,"="&amp;CRONO!AB$12,CÁLCULO!$AJ$15:$BB$727)/(ORÇAMENTO!$X$15-CÁLCULO.TotalAdmLocal)*CRONO!$E46,0),AB45*$R44),SUMIF(OFFSET($R46,1,0,$Q44-2),($L44+1)&amp;"$",OFFSET(AB46,1,0,$Q44-2)))</f>
        <v>0</v>
      </c>
      <c r="AC46" s="223">
        <f ca="1">IF($Q44=2,IF(AND(ACOMPANHAMENTO="PLE",ISNUMBER($E44)),SUMIF((OFFSET(CÁLCULO!$BC$15:$BU$15,$E44,0,OFFSET(ORÇAMENTO!$D$15,CRONO!$E44,0))),"="&amp;CRONO!AC$12,OFFSET(CÁLCULO!$AJ$15:$BB$15,$E44,0,OFFSET(ORÇAMENTO!$D$15,CRONO!$E44,0)))+IF(AND($E46&lt;&gt;"",$E46&lt;&gt;0),SUMIF(CÁLCULO!$BC$15:$BU$727,"="&amp;CRONO!AC$12,CÁLCULO!$AJ$15:$BB$727)/(ORÇAMENTO!$X$15-CÁLCULO.TotalAdmLocal)*CRONO!$E46,0),AC45*$R44),SUMIF(OFFSET($R46,1,0,$Q44-2),($L44+1)&amp;"$",OFFSET(AC46,1,0,$Q44-2)))</f>
        <v>0</v>
      </c>
      <c r="AD46" s="223">
        <f ca="1">IF($Q44=2,IF(AND(ACOMPANHAMENTO="PLE",ISNUMBER($E44)),SUMIF((OFFSET(CÁLCULO!$BC$15:$BU$15,$E44,0,OFFSET(ORÇAMENTO!$D$15,CRONO!$E44,0))),"="&amp;CRONO!AD$12,OFFSET(CÁLCULO!$AJ$15:$BB$15,$E44,0,OFFSET(ORÇAMENTO!$D$15,CRONO!$E44,0)))+IF(AND($E46&lt;&gt;"",$E46&lt;&gt;0),SUMIF(CÁLCULO!$BC$15:$BU$727,"="&amp;CRONO!AD$12,CÁLCULO!$AJ$15:$BB$727)/(ORÇAMENTO!$X$15-CÁLCULO.TotalAdmLocal)*CRONO!$E46,0),AD45*$R44),SUMIF(OFFSET($R46,1,0,$Q44-2),($L44+1)&amp;"$",OFFSET(AD46,1,0,$Q44-2)))</f>
        <v>0</v>
      </c>
      <c r="AE46" s="228">
        <f ca="1">IF($Q44=2,IF(AND(ACOMPANHAMENTO="PLE",ISNUMBER($E44)),SUMIF((OFFSET(CÁLCULO!$BC$15:$BU$15,$E44,0,OFFSET(ORÇAMENTO!$D$15,CRONO!$E44,0))),"="&amp;CRONO!AE$12,OFFSET(CÁLCULO!$AJ$15:$BB$15,$E44,0,OFFSET(ORÇAMENTO!$D$15,CRONO!$E44,0)))+IF(AND($E46&lt;&gt;"",$E46&lt;&gt;0),SUMIF(CÁLCULO!$BC$15:$BU$727,"="&amp;CRONO!AE$12,CÁLCULO!$AJ$15:$BB$727)/(ORÇAMENTO!$X$15-CÁLCULO.TotalAdmLocal)*CRONO!$E46,0),AE45*$R44),SUMIF(OFFSET($R46,1,0,$Q44-2),($L44+1)&amp;"$",OFFSET(AE46,1,0,$Q44-2)))</f>
        <v>0</v>
      </c>
    </row>
    <row r="47" spans="1:32" x14ac:dyDescent="0.2">
      <c r="A47" s="204">
        <f t="shared" ref="A47" ca="1" si="80">OFFSET(A47,-3,0)+1</f>
        <v>12</v>
      </c>
      <c r="B47" s="204">
        <f ca="1">IF($Q47&lt;&gt;2,0,IF($R47=0,1,IF(E48&gt;0,OFFSET(QCI!$M$13,SUBSTITUTE(E48,".",""),0),OFFSET(ORÇAMENTO!$AA$15,CRONO!$E47,0))/$R47))</f>
        <v>1</v>
      </c>
      <c r="C47" s="204">
        <f ca="1">IF($Q47&lt;&gt;2,0,IF($R47=0,1,IF(E48&gt;0,OFFSET(QCI!$N$13,SUBSTITUTE(E48,".",""),0),OFFSET(ORÇAMENTO!$AB$15,CRONO!$E47,0))/$R47))</f>
        <v>1</v>
      </c>
      <c r="D47" s="207" t="e">
        <f ca="1">IF(AND($Q47=2,ACOMPANHAMENTO="BM"),D48,D49/$R47)</f>
        <v>#DIV/0!</v>
      </c>
      <c r="E47" s="204">
        <f ca="1">IF(A47&lt;=ORÇAMENTO.MáximoListaCrono,MATCH(A47,ORÇAMENTO.ListaCrono,0),NA())</f>
        <v>66</v>
      </c>
      <c r="F47" s="204" t="str">
        <f t="shared" ref="F47" ca="1" si="81">IF(AND($E48&lt;&gt;-1,$R47&gt;0),"F","")</f>
        <v/>
      </c>
      <c r="G47" s="208" t="str">
        <f ca="1">IF(OR(R47=0,R47=""),"Linha",IF(AND(OR(ACOMPANHAMENTO="PLE",$Q47&lt;&gt;2),$E48=0),"Linha",1-SUM(T47:AF47)))</f>
        <v>Linha</v>
      </c>
      <c r="H47" s="209" t="str">
        <f ca="1">IF($E48=0,OFFSET(ORÇAMENTO!O$15,$E47,0),IF($E48&lt;&gt;-1,OFFSET(QCI!$D$13,$E48,0),""))</f>
        <v>1.11.</v>
      </c>
      <c r="I47" s="210" t="str">
        <f ca="1">IF($E48=0,OFFSET(ORÇAMENTO!R$15,$E47,0),IF($E48&lt;&gt;-1,OFFSET(QCI!$G$13,$E48,0),""))</f>
        <v>SUPERESTRUTURA - CONCRETO ARMADO PARA LAJE</v>
      </c>
      <c r="J47" s="210"/>
      <c r="K47" s="210"/>
      <c r="L47" s="211">
        <f ca="1">IF($E48=0,OFFSET(ORÇAMENTO!C$15,$E47,0),1)</f>
        <v>2</v>
      </c>
      <c r="M47" s="212">
        <f ca="1">IF($E48=-1,0,IF(M$13&lt;=$L47,IF(ISERROR(MATCH(M$13,OFFSET($L47,1,0,ROW($L$260)-ROW($L47)-1),0)),ROW($L$260)-ROW($L47)-1,MATCH(M$13,OFFSET($L47,1,0,ROW($L$260)-ROW($L47)-1),0)-1),0))</f>
        <v>212</v>
      </c>
      <c r="N47" s="212">
        <f ca="1">IF($E48=-1,0,IF(N$13&lt;=$L47,IF(ISERROR(MATCH(N$13,OFFSET($L47,1,0,ROW($L$260)-ROW($L47)-1),0)),ROW($L$260)-ROW($L47)-1,MATCH(N$13,OFFSET($L47,1,0,ROW($L$260)-ROW($L47)-1),0)-1),0))</f>
        <v>2</v>
      </c>
      <c r="O47" s="212">
        <f ca="1">IF($E48=-1,0,IF(O$13&lt;=$L47,IF(ISERROR(MATCH(O$13,OFFSET($L47,1,0,ROW($L$260)-ROW($L47)-1),0)),ROW($L$260)-ROW($L47)-1,MATCH(O$13,OFFSET($L47,1,0,ROW($L$260)-ROW($L47)-1),0)-1),0))</f>
        <v>0</v>
      </c>
      <c r="P47" s="212">
        <f ca="1">IF($E48=-1,0,IF(P$13&lt;=$L47,IF(ISERROR(MATCH(P$13,OFFSET($L47,1,0,ROW($L$260)-ROW($L47)-1),0)),ROW($L$260)-ROW($L47)-1,MATCH(P$13,OFFSET($L47,1,0,ROW($L$260)-ROW($L47)-1),0)-1),0))</f>
        <v>0</v>
      </c>
      <c r="Q47" s="212">
        <f t="shared" ref="Q47" ca="1" si="82">MIN(OFFSET(L47,0,1,,L47))</f>
        <v>2</v>
      </c>
      <c r="R47" s="213">
        <f ca="1">IF($E48=0,OFFSET(ORÇAMENTO!X$15,$E47,0),IF($E48&lt;&gt;-1,OFFSET(QCI!$O$13,$E48,0),""))</f>
        <v>0</v>
      </c>
      <c r="S47" s="214" t="s">
        <v>270</v>
      </c>
      <c r="T47" s="215" t="e">
        <f t="shared" ref="T47:AE47" ca="1" si="83">IF(AND($Q47=2,ACOMPANHAMENTO="BM"),T48,T49/$R47)</f>
        <v>#DIV/0!</v>
      </c>
      <c r="U47" s="207" t="e">
        <f t="shared" ca="1" si="83"/>
        <v>#DIV/0!</v>
      </c>
      <c r="V47" s="207" t="e">
        <f t="shared" ca="1" si="83"/>
        <v>#DIV/0!</v>
      </c>
      <c r="W47" s="207" t="e">
        <f t="shared" ca="1" si="83"/>
        <v>#DIV/0!</v>
      </c>
      <c r="X47" s="207" t="e">
        <f t="shared" ca="1" si="83"/>
        <v>#DIV/0!</v>
      </c>
      <c r="Y47" s="207" t="e">
        <f t="shared" ca="1" si="83"/>
        <v>#DIV/0!</v>
      </c>
      <c r="Z47" s="207" t="e">
        <f t="shared" ca="1" si="83"/>
        <v>#DIV/0!</v>
      </c>
      <c r="AA47" s="207" t="e">
        <f t="shared" ca="1" si="83"/>
        <v>#DIV/0!</v>
      </c>
      <c r="AB47" s="207" t="e">
        <f t="shared" ca="1" si="83"/>
        <v>#DIV/0!</v>
      </c>
      <c r="AC47" s="207" t="e">
        <f t="shared" ca="1" si="83"/>
        <v>#DIV/0!</v>
      </c>
      <c r="AD47" s="207" t="e">
        <f t="shared" ca="1" si="83"/>
        <v>#DIV/0!</v>
      </c>
      <c r="AE47" s="216" t="e">
        <f t="shared" ca="1" si="83"/>
        <v>#DIV/0!</v>
      </c>
    </row>
    <row r="48" spans="1:32" ht="12.75" customHeight="1" x14ac:dyDescent="0.2">
      <c r="D48" s="569"/>
      <c r="E48" s="204">
        <f ca="1">IF(ISERROR(E47),IF(1+COUNTIF($L$13:OFFSET(L47,-1,0),1)&lt;=MAX(QCI!$D$13:$D$24),1+COUNTIF($L$13:OFFSET(L47,-1,0),1),-1),0)</f>
        <v>0</v>
      </c>
      <c r="F48" s="204" t="str">
        <f t="shared" ref="F48" ca="1" si="84">IF(AND($E48&lt;&gt;-1,$R47&gt;0),"F","")</f>
        <v/>
      </c>
      <c r="G48" s="217" t="str">
        <f ca="1">IF(OR(R47=0,R47=""),"vazia",IF(AND(OR(ACOMPANHAMENTO="PLE",$Q47&lt;&gt;2),$E48=0),"calculada","--&gt;"))</f>
        <v>vazia</v>
      </c>
      <c r="H48" s="218"/>
      <c r="I48" s="219" t="str">
        <f t="shared" ref="I48" ca="1" si="85">IF(AND(G47&lt;&gt;0,ISNUMBER(G47)),"PREENCHA ESTA LINHA --&gt;","")</f>
        <v/>
      </c>
      <c r="J48" s="219"/>
      <c r="K48" s="219"/>
      <c r="L48" s="220"/>
      <c r="M48" s="220"/>
      <c r="N48" s="220"/>
      <c r="O48" s="220"/>
      <c r="P48" s="220"/>
      <c r="Q48" s="220"/>
      <c r="R48" s="221"/>
      <c r="S48" s="222"/>
      <c r="T48" s="570"/>
      <c r="U48" s="569"/>
      <c r="V48" s="569"/>
      <c r="W48" s="569"/>
      <c r="X48" s="569"/>
      <c r="Y48" s="569"/>
      <c r="Z48" s="569"/>
      <c r="AA48" s="569"/>
      <c r="AB48" s="569"/>
      <c r="AC48" s="569"/>
      <c r="AD48" s="569"/>
      <c r="AE48" s="571"/>
      <c r="AF48" s="533"/>
    </row>
    <row r="49" spans="1:32" ht="0.2" hidden="1" customHeight="1" x14ac:dyDescent="0.2">
      <c r="D49" s="223">
        <f ca="1">IF($Q47=2,IF(AND(ACOMPANHAMENTO="PLE",ISNUMBER($E47)),SUMIF((OFFSET(CÁLCULO!$BC$15:$BU$15,$E47,0,OFFSET(ORÇAMENTO!$D$15,CRONO!$E47,0))),"="&amp;CRONO!D$12,OFFSET(CÁLCULO!$AJ$15:$BB$15,$E47,0,OFFSET(ORÇAMENTO!$D$15,CRONO!$E47,0)))+IF(AND($E49&lt;&gt;"",$E49&lt;&gt;0),SUMIF(CÁLCULO!$BC$15:$BU$727,"="&amp;CRONO!D$12,CÁLCULO!$AJ$15:$BB$727)/(ORÇAMENTO!$X$15-CÁLCULO.TotalAdmLocal)*CRONO!$E49,0),D48*$R47),SUMIF(OFFSET($R49,1,0,$Q47-2),($L47+1)&amp;"$",OFFSET(D49,1,0,$Q47-2)))</f>
        <v>0</v>
      </c>
      <c r="E49" s="204" t="str">
        <f ca="1">IF(OR($Q47&lt;&gt;2,AUTOEVENTO&lt;&gt;"manual",$E48&gt;0),"",SUMIF(OFFSET(CÁLCULO!$M$15,CRONO!$E47,0,OFFSET(ORÇAMENTO!$D$15,CRONO!$E47,0)),1,OFFSET(ORÇAMENTO!$X$15,CRONO!$E47,0,OFFSET(ORÇAMENTO!$D$15,CRONO!$E47,0))))</f>
        <v/>
      </c>
      <c r="G49" s="224"/>
      <c r="R49" s="225" t="str">
        <f t="shared" ref="R49" ca="1" si="86">L47&amp;"$"</f>
        <v>2$</v>
      </c>
      <c r="S49" s="226"/>
      <c r="T49" s="227">
        <f ca="1">IF($Q47=2,IF(AND(ACOMPANHAMENTO="PLE",ISNUMBER($E47)),SUMIF((OFFSET(CÁLCULO!$BC$15:$BU$15,$E47,0,OFFSET(ORÇAMENTO!$D$15,CRONO!$E47,0))),"&lt;="&amp;CRONO!T$12,OFFSET(CÁLCULO!$AJ$15:$BB$15,$E47,0,OFFSET(ORÇAMENTO!$D$15,CRONO!$E47,0)))+IF(AND($E49&lt;&gt;"",$E49&lt;&gt;0),SUMIF(CÁLCULO!$BC$15:$BU$727,"&lt;="&amp;CRONO!T$12,CÁLCULO!$AJ$15:$BB$727)/(ORÇAMENTO!$X$15-CÁLCULO.TotalAdmLocal)*CRONO!$E49,0),T48*$R47),SUMIF(OFFSET($R49,1,0,$Q47-2),($L47+1)&amp;"$",OFFSET(T49,1,0,$Q47-2)))</f>
        <v>0</v>
      </c>
      <c r="U49" s="223">
        <f ca="1">IF($Q47=2,IF(AND(ACOMPANHAMENTO="PLE",ISNUMBER($E47)),SUMIF((OFFSET(CÁLCULO!$BC$15:$BU$15,$E47,0,OFFSET(ORÇAMENTO!$D$15,CRONO!$E47,0))),"="&amp;CRONO!U$12,OFFSET(CÁLCULO!$AJ$15:$BB$15,$E47,0,OFFSET(ORÇAMENTO!$D$15,CRONO!$E47,0)))+IF(AND($E49&lt;&gt;"",$E49&lt;&gt;0),SUMIF(CÁLCULO!$BC$15:$BU$727,"="&amp;CRONO!U$12,CÁLCULO!$AJ$15:$BB$727)/(ORÇAMENTO!$X$15-CÁLCULO.TotalAdmLocal)*CRONO!$E49,0),U48*$R47),SUMIF(OFFSET($R49,1,0,$Q47-2),($L47+1)&amp;"$",OFFSET(U49,1,0,$Q47-2)))</f>
        <v>0</v>
      </c>
      <c r="V49" s="223">
        <f ca="1">IF($Q47=2,IF(AND(ACOMPANHAMENTO="PLE",ISNUMBER($E47)),SUMIF((OFFSET(CÁLCULO!$BC$15:$BU$15,$E47,0,OFFSET(ORÇAMENTO!$D$15,CRONO!$E47,0))),"="&amp;CRONO!V$12,OFFSET(CÁLCULO!$AJ$15:$BB$15,$E47,0,OFFSET(ORÇAMENTO!$D$15,CRONO!$E47,0)))+IF(AND($E49&lt;&gt;"",$E49&lt;&gt;0),SUMIF(CÁLCULO!$BC$15:$BU$727,"="&amp;CRONO!V$12,CÁLCULO!$AJ$15:$BB$727)/(ORÇAMENTO!$X$15-CÁLCULO.TotalAdmLocal)*CRONO!$E49,0),V48*$R47),SUMIF(OFFSET($R49,1,0,$Q47-2),($L47+1)&amp;"$",OFFSET(V49,1,0,$Q47-2)))</f>
        <v>0</v>
      </c>
      <c r="W49" s="223">
        <f ca="1">IF($Q47=2,IF(AND(ACOMPANHAMENTO="PLE",ISNUMBER($E47)),SUMIF((OFFSET(CÁLCULO!$BC$15:$BU$15,$E47,0,OFFSET(ORÇAMENTO!$D$15,CRONO!$E47,0))),"="&amp;CRONO!W$12,OFFSET(CÁLCULO!$AJ$15:$BB$15,$E47,0,OFFSET(ORÇAMENTO!$D$15,CRONO!$E47,0)))+IF(AND($E49&lt;&gt;"",$E49&lt;&gt;0),SUMIF(CÁLCULO!$BC$15:$BU$727,"="&amp;CRONO!W$12,CÁLCULO!$AJ$15:$BB$727)/(ORÇAMENTO!$X$15-CÁLCULO.TotalAdmLocal)*CRONO!$E49,0),W48*$R47),SUMIF(OFFSET($R49,1,0,$Q47-2),($L47+1)&amp;"$",OFFSET(W49,1,0,$Q47-2)))</f>
        <v>0</v>
      </c>
      <c r="X49" s="223">
        <f ca="1">IF($Q47=2,IF(AND(ACOMPANHAMENTO="PLE",ISNUMBER($E47)),SUMIF((OFFSET(CÁLCULO!$BC$15:$BU$15,$E47,0,OFFSET(ORÇAMENTO!$D$15,CRONO!$E47,0))),"="&amp;CRONO!X$12,OFFSET(CÁLCULO!$AJ$15:$BB$15,$E47,0,OFFSET(ORÇAMENTO!$D$15,CRONO!$E47,0)))+IF(AND($E49&lt;&gt;"",$E49&lt;&gt;0),SUMIF(CÁLCULO!$BC$15:$BU$727,"="&amp;CRONO!X$12,CÁLCULO!$AJ$15:$BB$727)/(ORÇAMENTO!$X$15-CÁLCULO.TotalAdmLocal)*CRONO!$E49,0),X48*$R47),SUMIF(OFFSET($R49,1,0,$Q47-2),($L47+1)&amp;"$",OFFSET(X49,1,0,$Q47-2)))</f>
        <v>0</v>
      </c>
      <c r="Y49" s="223">
        <f ca="1">IF($Q47=2,IF(AND(ACOMPANHAMENTO="PLE",ISNUMBER($E47)),SUMIF((OFFSET(CÁLCULO!$BC$15:$BU$15,$E47,0,OFFSET(ORÇAMENTO!$D$15,CRONO!$E47,0))),"="&amp;CRONO!Y$12,OFFSET(CÁLCULO!$AJ$15:$BB$15,$E47,0,OFFSET(ORÇAMENTO!$D$15,CRONO!$E47,0)))+IF(AND($E49&lt;&gt;"",$E49&lt;&gt;0),SUMIF(CÁLCULO!$BC$15:$BU$727,"="&amp;CRONO!Y$12,CÁLCULO!$AJ$15:$BB$727)/(ORÇAMENTO!$X$15-CÁLCULO.TotalAdmLocal)*CRONO!$E49,0),Y48*$R47),SUMIF(OFFSET($R49,1,0,$Q47-2),($L47+1)&amp;"$",OFFSET(Y49,1,0,$Q47-2)))</f>
        <v>0</v>
      </c>
      <c r="Z49" s="223">
        <f ca="1">IF($Q47=2,IF(AND(ACOMPANHAMENTO="PLE",ISNUMBER($E47)),SUMIF((OFFSET(CÁLCULO!$BC$15:$BU$15,$E47,0,OFFSET(ORÇAMENTO!$D$15,CRONO!$E47,0))),"="&amp;CRONO!Z$12,OFFSET(CÁLCULO!$AJ$15:$BB$15,$E47,0,OFFSET(ORÇAMENTO!$D$15,CRONO!$E47,0)))+IF(AND($E49&lt;&gt;"",$E49&lt;&gt;0),SUMIF(CÁLCULO!$BC$15:$BU$727,"="&amp;CRONO!Z$12,CÁLCULO!$AJ$15:$BB$727)/(ORÇAMENTO!$X$15-CÁLCULO.TotalAdmLocal)*CRONO!$E49,0),Z48*$R47),SUMIF(OFFSET($R49,1,0,$Q47-2),($L47+1)&amp;"$",OFFSET(Z49,1,0,$Q47-2)))</f>
        <v>0</v>
      </c>
      <c r="AA49" s="223">
        <f ca="1">IF($Q47=2,IF(AND(ACOMPANHAMENTO="PLE",ISNUMBER($E47)),SUMIF((OFFSET(CÁLCULO!$BC$15:$BU$15,$E47,0,OFFSET(ORÇAMENTO!$D$15,CRONO!$E47,0))),"="&amp;CRONO!AA$12,OFFSET(CÁLCULO!$AJ$15:$BB$15,$E47,0,OFFSET(ORÇAMENTO!$D$15,CRONO!$E47,0)))+IF(AND($E49&lt;&gt;"",$E49&lt;&gt;0),SUMIF(CÁLCULO!$BC$15:$BU$727,"="&amp;CRONO!AA$12,CÁLCULO!$AJ$15:$BB$727)/(ORÇAMENTO!$X$15-CÁLCULO.TotalAdmLocal)*CRONO!$E49,0),AA48*$R47),SUMIF(OFFSET($R49,1,0,$Q47-2),($L47+1)&amp;"$",OFFSET(AA49,1,0,$Q47-2)))</f>
        <v>0</v>
      </c>
      <c r="AB49" s="223">
        <f ca="1">IF($Q47=2,IF(AND(ACOMPANHAMENTO="PLE",ISNUMBER($E47)),SUMIF((OFFSET(CÁLCULO!$BC$15:$BU$15,$E47,0,OFFSET(ORÇAMENTO!$D$15,CRONO!$E47,0))),"="&amp;CRONO!AB$12,OFFSET(CÁLCULO!$AJ$15:$BB$15,$E47,0,OFFSET(ORÇAMENTO!$D$15,CRONO!$E47,0)))+IF(AND($E49&lt;&gt;"",$E49&lt;&gt;0),SUMIF(CÁLCULO!$BC$15:$BU$727,"="&amp;CRONO!AB$12,CÁLCULO!$AJ$15:$BB$727)/(ORÇAMENTO!$X$15-CÁLCULO.TotalAdmLocal)*CRONO!$E49,0),AB48*$R47),SUMIF(OFFSET($R49,1,0,$Q47-2),($L47+1)&amp;"$",OFFSET(AB49,1,0,$Q47-2)))</f>
        <v>0</v>
      </c>
      <c r="AC49" s="223">
        <f ca="1">IF($Q47=2,IF(AND(ACOMPANHAMENTO="PLE",ISNUMBER($E47)),SUMIF((OFFSET(CÁLCULO!$BC$15:$BU$15,$E47,0,OFFSET(ORÇAMENTO!$D$15,CRONO!$E47,0))),"="&amp;CRONO!AC$12,OFFSET(CÁLCULO!$AJ$15:$BB$15,$E47,0,OFFSET(ORÇAMENTO!$D$15,CRONO!$E47,0)))+IF(AND($E49&lt;&gt;"",$E49&lt;&gt;0),SUMIF(CÁLCULO!$BC$15:$BU$727,"="&amp;CRONO!AC$12,CÁLCULO!$AJ$15:$BB$727)/(ORÇAMENTO!$X$15-CÁLCULO.TotalAdmLocal)*CRONO!$E49,0),AC48*$R47),SUMIF(OFFSET($R49,1,0,$Q47-2),($L47+1)&amp;"$",OFFSET(AC49,1,0,$Q47-2)))</f>
        <v>0</v>
      </c>
      <c r="AD49" s="223">
        <f ca="1">IF($Q47=2,IF(AND(ACOMPANHAMENTO="PLE",ISNUMBER($E47)),SUMIF((OFFSET(CÁLCULO!$BC$15:$BU$15,$E47,0,OFFSET(ORÇAMENTO!$D$15,CRONO!$E47,0))),"="&amp;CRONO!AD$12,OFFSET(CÁLCULO!$AJ$15:$BB$15,$E47,0,OFFSET(ORÇAMENTO!$D$15,CRONO!$E47,0)))+IF(AND($E49&lt;&gt;"",$E49&lt;&gt;0),SUMIF(CÁLCULO!$BC$15:$BU$727,"="&amp;CRONO!AD$12,CÁLCULO!$AJ$15:$BB$727)/(ORÇAMENTO!$X$15-CÁLCULO.TotalAdmLocal)*CRONO!$E49,0),AD48*$R47),SUMIF(OFFSET($R49,1,0,$Q47-2),($L47+1)&amp;"$",OFFSET(AD49,1,0,$Q47-2)))</f>
        <v>0</v>
      </c>
      <c r="AE49" s="228">
        <f ca="1">IF($Q47=2,IF(AND(ACOMPANHAMENTO="PLE",ISNUMBER($E47)),SUMIF((OFFSET(CÁLCULO!$BC$15:$BU$15,$E47,0,OFFSET(ORÇAMENTO!$D$15,CRONO!$E47,0))),"="&amp;CRONO!AE$12,OFFSET(CÁLCULO!$AJ$15:$BB$15,$E47,0,OFFSET(ORÇAMENTO!$D$15,CRONO!$E47,0)))+IF(AND($E49&lt;&gt;"",$E49&lt;&gt;0),SUMIF(CÁLCULO!$BC$15:$BU$727,"="&amp;CRONO!AE$12,CÁLCULO!$AJ$15:$BB$727)/(ORÇAMENTO!$X$15-CÁLCULO.TotalAdmLocal)*CRONO!$E49,0),AE48*$R47),SUMIF(OFFSET($R49,1,0,$Q47-2),($L47+1)&amp;"$",OFFSET(AE49,1,0,$Q47-2)))</f>
        <v>0</v>
      </c>
    </row>
    <row r="50" spans="1:32" x14ac:dyDescent="0.2">
      <c r="A50" s="204">
        <f t="shared" ref="A50" ca="1" si="87">OFFSET(A50,-3,0)+1</f>
        <v>13</v>
      </c>
      <c r="B50" s="204">
        <f ca="1">IF($Q50&lt;&gt;2,0,IF($R50=0,1,IF(E51&gt;0,OFFSET(QCI!$M$13,SUBSTITUTE(E51,".",""),0),OFFSET(ORÇAMENTO!$AA$15,CRONO!$E50,0))/$R50))</f>
        <v>1</v>
      </c>
      <c r="C50" s="204">
        <f ca="1">IF($Q50&lt;&gt;2,0,IF($R50=0,1,IF(E51&gt;0,OFFSET(QCI!$N$13,SUBSTITUTE(E51,".",""),0),OFFSET(ORÇAMENTO!$AB$15,CRONO!$E50,0))/$R50))</f>
        <v>1</v>
      </c>
      <c r="D50" s="207" t="e">
        <f ca="1">IF(AND($Q50=2,ACOMPANHAMENTO="BM"),D51,D52/$R50)</f>
        <v>#DIV/0!</v>
      </c>
      <c r="E50" s="204">
        <f ca="1">IF(A50&lt;=ORÇAMENTO.MáximoListaCrono,MATCH(A50,ORÇAMENTO.ListaCrono,0),NA())</f>
        <v>74</v>
      </c>
      <c r="F50" s="204" t="str">
        <f t="shared" ref="F50" ca="1" si="88">IF(AND($E51&lt;&gt;-1,$R50&gt;0),"F","")</f>
        <v/>
      </c>
      <c r="G50" s="208" t="str">
        <f ca="1">IF(OR(R50=0,R50=""),"Linha",IF(AND(OR(ACOMPANHAMENTO="PLE",$Q50&lt;&gt;2),$E51=0),"Linha",1-SUM(T50:AF50)))</f>
        <v>Linha</v>
      </c>
      <c r="H50" s="209" t="str">
        <f ca="1">IF($E51=0,OFFSET(ORÇAMENTO!O$15,$E50,0),IF($E51&lt;&gt;-1,OFFSET(QCI!$D$13,$E51,0),""))</f>
        <v>1.12.</v>
      </c>
      <c r="I50" s="210" t="str">
        <f ca="1">IF($E51=0,OFFSET(ORÇAMENTO!R$15,$E50,0),IF($E51&lt;&gt;-1,OFFSET(QCI!$G$13,$E51,0),""))</f>
        <v>SUPERESTRUTURA - ESTRUTURA METÁLICA</v>
      </c>
      <c r="J50" s="210"/>
      <c r="K50" s="210"/>
      <c r="L50" s="211">
        <f ca="1">IF($E51=0,OFFSET(ORÇAMENTO!C$15,$E50,0),1)</f>
        <v>2</v>
      </c>
      <c r="M50" s="212">
        <f ca="1">IF($E51=-1,0,IF(M$13&lt;=$L50,IF(ISERROR(MATCH(M$13,OFFSET($L50,1,0,ROW($L$260)-ROW($L50)-1),0)),ROW($L$260)-ROW($L50)-1,MATCH(M$13,OFFSET($L50,1,0,ROW($L$260)-ROW($L50)-1),0)-1),0))</f>
        <v>209</v>
      </c>
      <c r="N50" s="212">
        <f ca="1">IF($E51=-1,0,IF(N$13&lt;=$L50,IF(ISERROR(MATCH(N$13,OFFSET($L50,1,0,ROW($L$260)-ROW($L50)-1),0)),ROW($L$260)-ROW($L50)-1,MATCH(N$13,OFFSET($L50,1,0,ROW($L$260)-ROW($L50)-1),0)-1),0))</f>
        <v>2</v>
      </c>
      <c r="O50" s="212">
        <f ca="1">IF($E51=-1,0,IF(O$13&lt;=$L50,IF(ISERROR(MATCH(O$13,OFFSET($L50,1,0,ROW($L$260)-ROW($L50)-1),0)),ROW($L$260)-ROW($L50)-1,MATCH(O$13,OFFSET($L50,1,0,ROW($L$260)-ROW($L50)-1),0)-1),0))</f>
        <v>0</v>
      </c>
      <c r="P50" s="212">
        <f ca="1">IF($E51=-1,0,IF(P$13&lt;=$L50,IF(ISERROR(MATCH(P$13,OFFSET($L50,1,0,ROW($L$260)-ROW($L50)-1),0)),ROW($L$260)-ROW($L50)-1,MATCH(P$13,OFFSET($L50,1,0,ROW($L$260)-ROW($L50)-1),0)-1),0))</f>
        <v>0</v>
      </c>
      <c r="Q50" s="212">
        <f t="shared" ref="Q50" ca="1" si="89">MIN(OFFSET(L50,0,1,,L50))</f>
        <v>2</v>
      </c>
      <c r="R50" s="213">
        <f ca="1">IF($E51=0,OFFSET(ORÇAMENTO!X$15,$E50,0),IF($E51&lt;&gt;-1,OFFSET(QCI!$O$13,$E51,0),""))</f>
        <v>0</v>
      </c>
      <c r="S50" s="214" t="s">
        <v>270</v>
      </c>
      <c r="T50" s="215" t="e">
        <f t="shared" ref="T50:AE50" ca="1" si="90">IF(AND($Q50=2,ACOMPANHAMENTO="BM"),T51,T52/$R50)</f>
        <v>#DIV/0!</v>
      </c>
      <c r="U50" s="207" t="e">
        <f t="shared" ca="1" si="90"/>
        <v>#DIV/0!</v>
      </c>
      <c r="V50" s="207" t="e">
        <f t="shared" ca="1" si="90"/>
        <v>#DIV/0!</v>
      </c>
      <c r="W50" s="207" t="e">
        <f t="shared" ca="1" si="90"/>
        <v>#DIV/0!</v>
      </c>
      <c r="X50" s="207" t="e">
        <f t="shared" ca="1" si="90"/>
        <v>#DIV/0!</v>
      </c>
      <c r="Y50" s="207" t="e">
        <f t="shared" ca="1" si="90"/>
        <v>#DIV/0!</v>
      </c>
      <c r="Z50" s="207" t="e">
        <f t="shared" ca="1" si="90"/>
        <v>#DIV/0!</v>
      </c>
      <c r="AA50" s="207" t="e">
        <f t="shared" ca="1" si="90"/>
        <v>#DIV/0!</v>
      </c>
      <c r="AB50" s="207" t="e">
        <f t="shared" ca="1" si="90"/>
        <v>#DIV/0!</v>
      </c>
      <c r="AC50" s="207" t="e">
        <f t="shared" ca="1" si="90"/>
        <v>#DIV/0!</v>
      </c>
      <c r="AD50" s="207" t="e">
        <f t="shared" ca="1" si="90"/>
        <v>#DIV/0!</v>
      </c>
      <c r="AE50" s="216" t="e">
        <f t="shared" ca="1" si="90"/>
        <v>#DIV/0!</v>
      </c>
    </row>
    <row r="51" spans="1:32" ht="12.75" customHeight="1" x14ac:dyDescent="0.2">
      <c r="D51" s="569"/>
      <c r="E51" s="204">
        <f ca="1">IF(ISERROR(E50),IF(1+COUNTIF($L$13:OFFSET(L50,-1,0),1)&lt;=MAX(QCI!$D$13:$D$24),1+COUNTIF($L$13:OFFSET(L50,-1,0),1),-1),0)</f>
        <v>0</v>
      </c>
      <c r="F51" s="204" t="str">
        <f t="shared" ref="F51" ca="1" si="91">IF(AND($E51&lt;&gt;-1,$R50&gt;0),"F","")</f>
        <v/>
      </c>
      <c r="G51" s="217" t="str">
        <f ca="1">IF(OR(R50=0,R50=""),"vazia",IF(AND(OR(ACOMPANHAMENTO="PLE",$Q50&lt;&gt;2),$E51=0),"calculada","--&gt;"))</f>
        <v>vazia</v>
      </c>
      <c r="H51" s="218"/>
      <c r="I51" s="219" t="str">
        <f t="shared" ref="I51" ca="1" si="92">IF(AND(G50&lt;&gt;0,ISNUMBER(G50)),"PREENCHA ESTA LINHA --&gt;","")</f>
        <v/>
      </c>
      <c r="J51" s="219"/>
      <c r="K51" s="219"/>
      <c r="L51" s="220"/>
      <c r="M51" s="220"/>
      <c r="N51" s="220"/>
      <c r="O51" s="220"/>
      <c r="P51" s="220"/>
      <c r="Q51" s="220"/>
      <c r="R51" s="221"/>
      <c r="S51" s="222"/>
      <c r="T51" s="570"/>
      <c r="U51" s="569"/>
      <c r="V51" s="569"/>
      <c r="W51" s="569"/>
      <c r="X51" s="569"/>
      <c r="Y51" s="569"/>
      <c r="Z51" s="569"/>
      <c r="AA51" s="569"/>
      <c r="AB51" s="569"/>
      <c r="AC51" s="569"/>
      <c r="AD51" s="569"/>
      <c r="AE51" s="571"/>
      <c r="AF51" s="533"/>
    </row>
    <row r="52" spans="1:32" ht="0.2" hidden="1" customHeight="1" x14ac:dyDescent="0.2">
      <c r="D52" s="223">
        <f ca="1">IF($Q50=2,IF(AND(ACOMPANHAMENTO="PLE",ISNUMBER($E50)),SUMIF((OFFSET(CÁLCULO!$BC$15:$BU$15,$E50,0,OFFSET(ORÇAMENTO!$D$15,CRONO!$E50,0))),"="&amp;CRONO!D$12,OFFSET(CÁLCULO!$AJ$15:$BB$15,$E50,0,OFFSET(ORÇAMENTO!$D$15,CRONO!$E50,0)))+IF(AND($E52&lt;&gt;"",$E52&lt;&gt;0),SUMIF(CÁLCULO!$BC$15:$BU$727,"="&amp;CRONO!D$12,CÁLCULO!$AJ$15:$BB$727)/(ORÇAMENTO!$X$15-CÁLCULO.TotalAdmLocal)*CRONO!$E52,0),D51*$R50),SUMIF(OFFSET($R52,1,0,$Q50-2),($L50+1)&amp;"$",OFFSET(D52,1,0,$Q50-2)))</f>
        <v>0</v>
      </c>
      <c r="E52" s="204" t="str">
        <f ca="1">IF(OR($Q50&lt;&gt;2,AUTOEVENTO&lt;&gt;"manual",$E51&gt;0),"",SUMIF(OFFSET(CÁLCULO!$M$15,CRONO!$E50,0,OFFSET(ORÇAMENTO!$D$15,CRONO!$E50,0)),1,OFFSET(ORÇAMENTO!$X$15,CRONO!$E50,0,OFFSET(ORÇAMENTO!$D$15,CRONO!$E50,0))))</f>
        <v/>
      </c>
      <c r="G52" s="224"/>
      <c r="R52" s="225" t="str">
        <f t="shared" ref="R52" ca="1" si="93">L50&amp;"$"</f>
        <v>2$</v>
      </c>
      <c r="S52" s="226"/>
      <c r="T52" s="227">
        <f ca="1">IF($Q50=2,IF(AND(ACOMPANHAMENTO="PLE",ISNUMBER($E50)),SUMIF((OFFSET(CÁLCULO!$BC$15:$BU$15,$E50,0,OFFSET(ORÇAMENTO!$D$15,CRONO!$E50,0))),"&lt;="&amp;CRONO!T$12,OFFSET(CÁLCULO!$AJ$15:$BB$15,$E50,0,OFFSET(ORÇAMENTO!$D$15,CRONO!$E50,0)))+IF(AND($E52&lt;&gt;"",$E52&lt;&gt;0),SUMIF(CÁLCULO!$BC$15:$BU$727,"&lt;="&amp;CRONO!T$12,CÁLCULO!$AJ$15:$BB$727)/(ORÇAMENTO!$X$15-CÁLCULO.TotalAdmLocal)*CRONO!$E52,0),T51*$R50),SUMIF(OFFSET($R52,1,0,$Q50-2),($L50+1)&amp;"$",OFFSET(T52,1,0,$Q50-2)))</f>
        <v>0</v>
      </c>
      <c r="U52" s="223">
        <f ca="1">IF($Q50=2,IF(AND(ACOMPANHAMENTO="PLE",ISNUMBER($E50)),SUMIF((OFFSET(CÁLCULO!$BC$15:$BU$15,$E50,0,OFFSET(ORÇAMENTO!$D$15,CRONO!$E50,0))),"="&amp;CRONO!U$12,OFFSET(CÁLCULO!$AJ$15:$BB$15,$E50,0,OFFSET(ORÇAMENTO!$D$15,CRONO!$E50,0)))+IF(AND($E52&lt;&gt;"",$E52&lt;&gt;0),SUMIF(CÁLCULO!$BC$15:$BU$727,"="&amp;CRONO!U$12,CÁLCULO!$AJ$15:$BB$727)/(ORÇAMENTO!$X$15-CÁLCULO.TotalAdmLocal)*CRONO!$E52,0),U51*$R50),SUMIF(OFFSET($R52,1,0,$Q50-2),($L50+1)&amp;"$",OFFSET(U52,1,0,$Q50-2)))</f>
        <v>0</v>
      </c>
      <c r="V52" s="223">
        <f ca="1">IF($Q50=2,IF(AND(ACOMPANHAMENTO="PLE",ISNUMBER($E50)),SUMIF((OFFSET(CÁLCULO!$BC$15:$BU$15,$E50,0,OFFSET(ORÇAMENTO!$D$15,CRONO!$E50,0))),"="&amp;CRONO!V$12,OFFSET(CÁLCULO!$AJ$15:$BB$15,$E50,0,OFFSET(ORÇAMENTO!$D$15,CRONO!$E50,0)))+IF(AND($E52&lt;&gt;"",$E52&lt;&gt;0),SUMIF(CÁLCULO!$BC$15:$BU$727,"="&amp;CRONO!V$12,CÁLCULO!$AJ$15:$BB$727)/(ORÇAMENTO!$X$15-CÁLCULO.TotalAdmLocal)*CRONO!$E52,0),V51*$R50),SUMIF(OFFSET($R52,1,0,$Q50-2),($L50+1)&amp;"$",OFFSET(V52,1,0,$Q50-2)))</f>
        <v>0</v>
      </c>
      <c r="W52" s="223">
        <f ca="1">IF($Q50=2,IF(AND(ACOMPANHAMENTO="PLE",ISNUMBER($E50)),SUMIF((OFFSET(CÁLCULO!$BC$15:$BU$15,$E50,0,OFFSET(ORÇAMENTO!$D$15,CRONO!$E50,0))),"="&amp;CRONO!W$12,OFFSET(CÁLCULO!$AJ$15:$BB$15,$E50,0,OFFSET(ORÇAMENTO!$D$15,CRONO!$E50,0)))+IF(AND($E52&lt;&gt;"",$E52&lt;&gt;0),SUMIF(CÁLCULO!$BC$15:$BU$727,"="&amp;CRONO!W$12,CÁLCULO!$AJ$15:$BB$727)/(ORÇAMENTO!$X$15-CÁLCULO.TotalAdmLocal)*CRONO!$E52,0),W51*$R50),SUMIF(OFFSET($R52,1,0,$Q50-2),($L50+1)&amp;"$",OFFSET(W52,1,0,$Q50-2)))</f>
        <v>0</v>
      </c>
      <c r="X52" s="223">
        <f ca="1">IF($Q50=2,IF(AND(ACOMPANHAMENTO="PLE",ISNUMBER($E50)),SUMIF((OFFSET(CÁLCULO!$BC$15:$BU$15,$E50,0,OFFSET(ORÇAMENTO!$D$15,CRONO!$E50,0))),"="&amp;CRONO!X$12,OFFSET(CÁLCULO!$AJ$15:$BB$15,$E50,0,OFFSET(ORÇAMENTO!$D$15,CRONO!$E50,0)))+IF(AND($E52&lt;&gt;"",$E52&lt;&gt;0),SUMIF(CÁLCULO!$BC$15:$BU$727,"="&amp;CRONO!X$12,CÁLCULO!$AJ$15:$BB$727)/(ORÇAMENTO!$X$15-CÁLCULO.TotalAdmLocal)*CRONO!$E52,0),X51*$R50),SUMIF(OFFSET($R52,1,0,$Q50-2),($L50+1)&amp;"$",OFFSET(X52,1,0,$Q50-2)))</f>
        <v>0</v>
      </c>
      <c r="Y52" s="223">
        <f ca="1">IF($Q50=2,IF(AND(ACOMPANHAMENTO="PLE",ISNUMBER($E50)),SUMIF((OFFSET(CÁLCULO!$BC$15:$BU$15,$E50,0,OFFSET(ORÇAMENTO!$D$15,CRONO!$E50,0))),"="&amp;CRONO!Y$12,OFFSET(CÁLCULO!$AJ$15:$BB$15,$E50,0,OFFSET(ORÇAMENTO!$D$15,CRONO!$E50,0)))+IF(AND($E52&lt;&gt;"",$E52&lt;&gt;0),SUMIF(CÁLCULO!$BC$15:$BU$727,"="&amp;CRONO!Y$12,CÁLCULO!$AJ$15:$BB$727)/(ORÇAMENTO!$X$15-CÁLCULO.TotalAdmLocal)*CRONO!$E52,0),Y51*$R50),SUMIF(OFFSET($R52,1,0,$Q50-2),($L50+1)&amp;"$",OFFSET(Y52,1,0,$Q50-2)))</f>
        <v>0</v>
      </c>
      <c r="Z52" s="223">
        <f ca="1">IF($Q50=2,IF(AND(ACOMPANHAMENTO="PLE",ISNUMBER($E50)),SUMIF((OFFSET(CÁLCULO!$BC$15:$BU$15,$E50,0,OFFSET(ORÇAMENTO!$D$15,CRONO!$E50,0))),"="&amp;CRONO!Z$12,OFFSET(CÁLCULO!$AJ$15:$BB$15,$E50,0,OFFSET(ORÇAMENTO!$D$15,CRONO!$E50,0)))+IF(AND($E52&lt;&gt;"",$E52&lt;&gt;0),SUMIF(CÁLCULO!$BC$15:$BU$727,"="&amp;CRONO!Z$12,CÁLCULO!$AJ$15:$BB$727)/(ORÇAMENTO!$X$15-CÁLCULO.TotalAdmLocal)*CRONO!$E52,0),Z51*$R50),SUMIF(OFFSET($R52,1,0,$Q50-2),($L50+1)&amp;"$",OFFSET(Z52,1,0,$Q50-2)))</f>
        <v>0</v>
      </c>
      <c r="AA52" s="223">
        <f ca="1">IF($Q50=2,IF(AND(ACOMPANHAMENTO="PLE",ISNUMBER($E50)),SUMIF((OFFSET(CÁLCULO!$BC$15:$BU$15,$E50,0,OFFSET(ORÇAMENTO!$D$15,CRONO!$E50,0))),"="&amp;CRONO!AA$12,OFFSET(CÁLCULO!$AJ$15:$BB$15,$E50,0,OFFSET(ORÇAMENTO!$D$15,CRONO!$E50,0)))+IF(AND($E52&lt;&gt;"",$E52&lt;&gt;0),SUMIF(CÁLCULO!$BC$15:$BU$727,"="&amp;CRONO!AA$12,CÁLCULO!$AJ$15:$BB$727)/(ORÇAMENTO!$X$15-CÁLCULO.TotalAdmLocal)*CRONO!$E52,0),AA51*$R50),SUMIF(OFFSET($R52,1,0,$Q50-2),($L50+1)&amp;"$",OFFSET(AA52,1,0,$Q50-2)))</f>
        <v>0</v>
      </c>
      <c r="AB52" s="223">
        <f ca="1">IF($Q50=2,IF(AND(ACOMPANHAMENTO="PLE",ISNUMBER($E50)),SUMIF((OFFSET(CÁLCULO!$BC$15:$BU$15,$E50,0,OFFSET(ORÇAMENTO!$D$15,CRONO!$E50,0))),"="&amp;CRONO!AB$12,OFFSET(CÁLCULO!$AJ$15:$BB$15,$E50,0,OFFSET(ORÇAMENTO!$D$15,CRONO!$E50,0)))+IF(AND($E52&lt;&gt;"",$E52&lt;&gt;0),SUMIF(CÁLCULO!$BC$15:$BU$727,"="&amp;CRONO!AB$12,CÁLCULO!$AJ$15:$BB$727)/(ORÇAMENTO!$X$15-CÁLCULO.TotalAdmLocal)*CRONO!$E52,0),AB51*$R50),SUMIF(OFFSET($R52,1,0,$Q50-2),($L50+1)&amp;"$",OFFSET(AB52,1,0,$Q50-2)))</f>
        <v>0</v>
      </c>
      <c r="AC52" s="223">
        <f ca="1">IF($Q50=2,IF(AND(ACOMPANHAMENTO="PLE",ISNUMBER($E50)),SUMIF((OFFSET(CÁLCULO!$BC$15:$BU$15,$E50,0,OFFSET(ORÇAMENTO!$D$15,CRONO!$E50,0))),"="&amp;CRONO!AC$12,OFFSET(CÁLCULO!$AJ$15:$BB$15,$E50,0,OFFSET(ORÇAMENTO!$D$15,CRONO!$E50,0)))+IF(AND($E52&lt;&gt;"",$E52&lt;&gt;0),SUMIF(CÁLCULO!$BC$15:$BU$727,"="&amp;CRONO!AC$12,CÁLCULO!$AJ$15:$BB$727)/(ORÇAMENTO!$X$15-CÁLCULO.TotalAdmLocal)*CRONO!$E52,0),AC51*$R50),SUMIF(OFFSET($R52,1,0,$Q50-2),($L50+1)&amp;"$",OFFSET(AC52,1,0,$Q50-2)))</f>
        <v>0</v>
      </c>
      <c r="AD52" s="223">
        <f ca="1">IF($Q50=2,IF(AND(ACOMPANHAMENTO="PLE",ISNUMBER($E50)),SUMIF((OFFSET(CÁLCULO!$BC$15:$BU$15,$E50,0,OFFSET(ORÇAMENTO!$D$15,CRONO!$E50,0))),"="&amp;CRONO!AD$12,OFFSET(CÁLCULO!$AJ$15:$BB$15,$E50,0,OFFSET(ORÇAMENTO!$D$15,CRONO!$E50,0)))+IF(AND($E52&lt;&gt;"",$E52&lt;&gt;0),SUMIF(CÁLCULO!$BC$15:$BU$727,"="&amp;CRONO!AD$12,CÁLCULO!$AJ$15:$BB$727)/(ORÇAMENTO!$X$15-CÁLCULO.TotalAdmLocal)*CRONO!$E52,0),AD51*$R50),SUMIF(OFFSET($R52,1,0,$Q50-2),($L50+1)&amp;"$",OFFSET(AD52,1,0,$Q50-2)))</f>
        <v>0</v>
      </c>
      <c r="AE52" s="228">
        <f ca="1">IF($Q50=2,IF(AND(ACOMPANHAMENTO="PLE",ISNUMBER($E50)),SUMIF((OFFSET(CÁLCULO!$BC$15:$BU$15,$E50,0,OFFSET(ORÇAMENTO!$D$15,CRONO!$E50,0))),"="&amp;CRONO!AE$12,OFFSET(CÁLCULO!$AJ$15:$BB$15,$E50,0,OFFSET(ORÇAMENTO!$D$15,CRONO!$E50,0)))+IF(AND($E52&lt;&gt;"",$E52&lt;&gt;0),SUMIF(CÁLCULO!$BC$15:$BU$727,"="&amp;CRONO!AE$12,CÁLCULO!$AJ$15:$BB$727)/(ORÇAMENTO!$X$15-CÁLCULO.TotalAdmLocal)*CRONO!$E52,0),AE51*$R50),SUMIF(OFFSET($R52,1,0,$Q50-2),($L50+1)&amp;"$",OFFSET(AE52,1,0,$Q50-2)))</f>
        <v>0</v>
      </c>
    </row>
    <row r="53" spans="1:32" x14ac:dyDescent="0.2">
      <c r="A53" s="204">
        <f t="shared" ref="A53" ca="1" si="94">OFFSET(A53,-3,0)+1</f>
        <v>14</v>
      </c>
      <c r="B53" s="204">
        <f ca="1">IF($Q53&lt;&gt;2,0,IF($R53=0,1,IF(E54&gt;0,OFFSET(QCI!$M$13,SUBSTITUTE(E54,".",""),0),OFFSET(ORÇAMENTO!$AA$15,CRONO!$E53,0))/$R53))</f>
        <v>1</v>
      </c>
      <c r="C53" s="204">
        <f ca="1">IF($Q53&lt;&gt;2,0,IF($R53=0,1,IF(E54&gt;0,OFFSET(QCI!$N$13,SUBSTITUTE(E54,".",""),0),OFFSET(ORÇAMENTO!$AB$15,CRONO!$E53,0))/$R53))</f>
        <v>1</v>
      </c>
      <c r="D53" s="207" t="e">
        <f ca="1">IF(AND($Q53=2,ACOMPANHAMENTO="BM"),D54,D55/$R53)</f>
        <v>#DIV/0!</v>
      </c>
      <c r="E53" s="204">
        <f ca="1">IF(A53&lt;=ORÇAMENTO.MáximoListaCrono,MATCH(A53,ORÇAMENTO.ListaCrono,0),NA())</f>
        <v>76</v>
      </c>
      <c r="F53" s="204" t="str">
        <f t="shared" ref="F53" ca="1" si="95">IF(AND($E54&lt;&gt;-1,$R53&gt;0),"F","")</f>
        <v/>
      </c>
      <c r="G53" s="208" t="str">
        <f ca="1">IF(OR(R53=0,R53=""),"Linha",IF(AND(OR(ACOMPANHAMENTO="PLE",$Q53&lt;&gt;2),$E54=0),"Linha",1-SUM(T53:AF53)))</f>
        <v>Linha</v>
      </c>
      <c r="H53" s="209" t="str">
        <f ca="1">IF($E54=0,OFFSET(ORÇAMENTO!O$15,$E53,0),IF($E54&lt;&gt;-1,OFFSET(QCI!$D$13,$E54,0),""))</f>
        <v>1.13.</v>
      </c>
      <c r="I53" s="210" t="str">
        <f ca="1">IF($E54=0,OFFSET(ORÇAMENTO!R$15,$E53,0),IF($E54&lt;&gt;-1,OFFSET(QCI!$G$13,$E54,0),""))</f>
        <v>PAVIMENTAÇÃO INTERNA - PISO DE CONCRETO 8 CM</v>
      </c>
      <c r="J53" s="210"/>
      <c r="K53" s="210"/>
      <c r="L53" s="211">
        <f ca="1">IF($E54=0,OFFSET(ORÇAMENTO!C$15,$E53,0),1)</f>
        <v>2</v>
      </c>
      <c r="M53" s="212">
        <f ca="1">IF($E54=-1,0,IF(M$13&lt;=$L53,IF(ISERROR(MATCH(M$13,OFFSET($L53,1,0,ROW($L$260)-ROW($L53)-1),0)),ROW($L$260)-ROW($L53)-1,MATCH(M$13,OFFSET($L53,1,0,ROW($L$260)-ROW($L53)-1),0)-1),0))</f>
        <v>206</v>
      </c>
      <c r="N53" s="212">
        <f ca="1">IF($E54=-1,0,IF(N$13&lt;=$L53,IF(ISERROR(MATCH(N$13,OFFSET($L53,1,0,ROW($L$260)-ROW($L53)-1),0)),ROW($L$260)-ROW($L53)-1,MATCH(N$13,OFFSET($L53,1,0,ROW($L$260)-ROW($L53)-1),0)-1),0))</f>
        <v>2</v>
      </c>
      <c r="O53" s="212">
        <f ca="1">IF($E54=-1,0,IF(O$13&lt;=$L53,IF(ISERROR(MATCH(O$13,OFFSET($L53,1,0,ROW($L$260)-ROW($L53)-1),0)),ROW($L$260)-ROW($L53)-1,MATCH(O$13,OFFSET($L53,1,0,ROW($L$260)-ROW($L53)-1),0)-1),0))</f>
        <v>0</v>
      </c>
      <c r="P53" s="212">
        <f ca="1">IF($E54=-1,0,IF(P$13&lt;=$L53,IF(ISERROR(MATCH(P$13,OFFSET($L53,1,0,ROW($L$260)-ROW($L53)-1),0)),ROW($L$260)-ROW($L53)-1,MATCH(P$13,OFFSET($L53,1,0,ROW($L$260)-ROW($L53)-1),0)-1),0))</f>
        <v>0</v>
      </c>
      <c r="Q53" s="212">
        <f t="shared" ref="Q53" ca="1" si="96">MIN(OFFSET(L53,0,1,,L53))</f>
        <v>2</v>
      </c>
      <c r="R53" s="213">
        <f ca="1">IF($E54=0,OFFSET(ORÇAMENTO!X$15,$E53,0),IF($E54&lt;&gt;-1,OFFSET(QCI!$O$13,$E54,0),""))</f>
        <v>0</v>
      </c>
      <c r="S53" s="214" t="s">
        <v>270</v>
      </c>
      <c r="T53" s="215" t="e">
        <f t="shared" ref="T53:AE53" ca="1" si="97">IF(AND($Q53=2,ACOMPANHAMENTO="BM"),T54,T55/$R53)</f>
        <v>#DIV/0!</v>
      </c>
      <c r="U53" s="207" t="e">
        <f t="shared" ca="1" si="97"/>
        <v>#DIV/0!</v>
      </c>
      <c r="V53" s="207" t="e">
        <f t="shared" ca="1" si="97"/>
        <v>#DIV/0!</v>
      </c>
      <c r="W53" s="207" t="e">
        <f t="shared" ca="1" si="97"/>
        <v>#DIV/0!</v>
      </c>
      <c r="X53" s="207" t="e">
        <f t="shared" ca="1" si="97"/>
        <v>#DIV/0!</v>
      </c>
      <c r="Y53" s="207" t="e">
        <f t="shared" ca="1" si="97"/>
        <v>#DIV/0!</v>
      </c>
      <c r="Z53" s="207" t="e">
        <f t="shared" ca="1" si="97"/>
        <v>#DIV/0!</v>
      </c>
      <c r="AA53" s="207" t="e">
        <f t="shared" ca="1" si="97"/>
        <v>#DIV/0!</v>
      </c>
      <c r="AB53" s="207" t="e">
        <f t="shared" ca="1" si="97"/>
        <v>#DIV/0!</v>
      </c>
      <c r="AC53" s="207" t="e">
        <f t="shared" ca="1" si="97"/>
        <v>#DIV/0!</v>
      </c>
      <c r="AD53" s="207" t="e">
        <f t="shared" ca="1" si="97"/>
        <v>#DIV/0!</v>
      </c>
      <c r="AE53" s="216" t="e">
        <f t="shared" ca="1" si="97"/>
        <v>#DIV/0!</v>
      </c>
    </row>
    <row r="54" spans="1:32" ht="12.75" customHeight="1" x14ac:dyDescent="0.2">
      <c r="D54" s="569"/>
      <c r="E54" s="204">
        <f ca="1">IF(ISERROR(E53),IF(1+COUNTIF($L$13:OFFSET(L53,-1,0),1)&lt;=MAX(QCI!$D$13:$D$24),1+COUNTIF($L$13:OFFSET(L53,-1,0),1),-1),0)</f>
        <v>0</v>
      </c>
      <c r="F54" s="204" t="str">
        <f t="shared" ref="F54" ca="1" si="98">IF(AND($E54&lt;&gt;-1,$R53&gt;0),"F","")</f>
        <v/>
      </c>
      <c r="G54" s="217" t="str">
        <f ca="1">IF(OR(R53=0,R53=""),"vazia",IF(AND(OR(ACOMPANHAMENTO="PLE",$Q53&lt;&gt;2),$E54=0),"calculada","--&gt;"))</f>
        <v>vazia</v>
      </c>
      <c r="H54" s="218"/>
      <c r="I54" s="219" t="str">
        <f t="shared" ref="I54" ca="1" si="99">IF(AND(G53&lt;&gt;0,ISNUMBER(G53)),"PREENCHA ESTA LINHA --&gt;","")</f>
        <v/>
      </c>
      <c r="J54" s="219"/>
      <c r="K54" s="219"/>
      <c r="L54" s="220"/>
      <c r="M54" s="220"/>
      <c r="N54" s="220"/>
      <c r="O54" s="220"/>
      <c r="P54" s="220"/>
      <c r="Q54" s="220"/>
      <c r="R54" s="221"/>
      <c r="S54" s="222"/>
      <c r="T54" s="570"/>
      <c r="U54" s="569"/>
      <c r="V54" s="569"/>
      <c r="W54" s="569"/>
      <c r="X54" s="569"/>
      <c r="Y54" s="569"/>
      <c r="Z54" s="569"/>
      <c r="AA54" s="569"/>
      <c r="AB54" s="569"/>
      <c r="AC54" s="569"/>
      <c r="AD54" s="569"/>
      <c r="AE54" s="571"/>
      <c r="AF54" s="533"/>
    </row>
    <row r="55" spans="1:32" ht="0.2" hidden="1" customHeight="1" x14ac:dyDescent="0.2">
      <c r="D55" s="223">
        <f ca="1">IF($Q53=2,IF(AND(ACOMPANHAMENTO="PLE",ISNUMBER($E53)),SUMIF((OFFSET(CÁLCULO!$BC$15:$BU$15,$E53,0,OFFSET(ORÇAMENTO!$D$15,CRONO!$E53,0))),"="&amp;CRONO!D$12,OFFSET(CÁLCULO!$AJ$15:$BB$15,$E53,0,OFFSET(ORÇAMENTO!$D$15,CRONO!$E53,0)))+IF(AND($E55&lt;&gt;"",$E55&lt;&gt;0),SUMIF(CÁLCULO!$BC$15:$BU$727,"="&amp;CRONO!D$12,CÁLCULO!$AJ$15:$BB$727)/(ORÇAMENTO!$X$15-CÁLCULO.TotalAdmLocal)*CRONO!$E55,0),D54*$R53),SUMIF(OFFSET($R55,1,0,$Q53-2),($L53+1)&amp;"$",OFFSET(D55,1,0,$Q53-2)))</f>
        <v>0</v>
      </c>
      <c r="E55" s="204" t="str">
        <f ca="1">IF(OR($Q53&lt;&gt;2,AUTOEVENTO&lt;&gt;"manual",$E54&gt;0),"",SUMIF(OFFSET(CÁLCULO!$M$15,CRONO!$E53,0,OFFSET(ORÇAMENTO!$D$15,CRONO!$E53,0)),1,OFFSET(ORÇAMENTO!$X$15,CRONO!$E53,0,OFFSET(ORÇAMENTO!$D$15,CRONO!$E53,0))))</f>
        <v/>
      </c>
      <c r="G55" s="224"/>
      <c r="R55" s="225" t="str">
        <f t="shared" ref="R55" ca="1" si="100">L53&amp;"$"</f>
        <v>2$</v>
      </c>
      <c r="S55" s="226"/>
      <c r="T55" s="227">
        <f ca="1">IF($Q53=2,IF(AND(ACOMPANHAMENTO="PLE",ISNUMBER($E53)),SUMIF((OFFSET(CÁLCULO!$BC$15:$BU$15,$E53,0,OFFSET(ORÇAMENTO!$D$15,CRONO!$E53,0))),"&lt;="&amp;CRONO!T$12,OFFSET(CÁLCULO!$AJ$15:$BB$15,$E53,0,OFFSET(ORÇAMENTO!$D$15,CRONO!$E53,0)))+IF(AND($E55&lt;&gt;"",$E55&lt;&gt;0),SUMIF(CÁLCULO!$BC$15:$BU$727,"&lt;="&amp;CRONO!T$12,CÁLCULO!$AJ$15:$BB$727)/(ORÇAMENTO!$X$15-CÁLCULO.TotalAdmLocal)*CRONO!$E55,0),T54*$R53),SUMIF(OFFSET($R55,1,0,$Q53-2),($L53+1)&amp;"$",OFFSET(T55,1,0,$Q53-2)))</f>
        <v>0</v>
      </c>
      <c r="U55" s="223">
        <f ca="1">IF($Q53=2,IF(AND(ACOMPANHAMENTO="PLE",ISNUMBER($E53)),SUMIF((OFFSET(CÁLCULO!$BC$15:$BU$15,$E53,0,OFFSET(ORÇAMENTO!$D$15,CRONO!$E53,0))),"="&amp;CRONO!U$12,OFFSET(CÁLCULO!$AJ$15:$BB$15,$E53,0,OFFSET(ORÇAMENTO!$D$15,CRONO!$E53,0)))+IF(AND($E55&lt;&gt;"",$E55&lt;&gt;0),SUMIF(CÁLCULO!$BC$15:$BU$727,"="&amp;CRONO!U$12,CÁLCULO!$AJ$15:$BB$727)/(ORÇAMENTO!$X$15-CÁLCULO.TotalAdmLocal)*CRONO!$E55,0),U54*$R53),SUMIF(OFFSET($R55,1,0,$Q53-2),($L53+1)&amp;"$",OFFSET(U55,1,0,$Q53-2)))</f>
        <v>0</v>
      </c>
      <c r="V55" s="223">
        <f ca="1">IF($Q53=2,IF(AND(ACOMPANHAMENTO="PLE",ISNUMBER($E53)),SUMIF((OFFSET(CÁLCULO!$BC$15:$BU$15,$E53,0,OFFSET(ORÇAMENTO!$D$15,CRONO!$E53,0))),"="&amp;CRONO!V$12,OFFSET(CÁLCULO!$AJ$15:$BB$15,$E53,0,OFFSET(ORÇAMENTO!$D$15,CRONO!$E53,0)))+IF(AND($E55&lt;&gt;"",$E55&lt;&gt;0),SUMIF(CÁLCULO!$BC$15:$BU$727,"="&amp;CRONO!V$12,CÁLCULO!$AJ$15:$BB$727)/(ORÇAMENTO!$X$15-CÁLCULO.TotalAdmLocal)*CRONO!$E55,0),V54*$R53),SUMIF(OFFSET($R55,1,0,$Q53-2),($L53+1)&amp;"$",OFFSET(V55,1,0,$Q53-2)))</f>
        <v>0</v>
      </c>
      <c r="W55" s="223">
        <f ca="1">IF($Q53=2,IF(AND(ACOMPANHAMENTO="PLE",ISNUMBER($E53)),SUMIF((OFFSET(CÁLCULO!$BC$15:$BU$15,$E53,0,OFFSET(ORÇAMENTO!$D$15,CRONO!$E53,0))),"="&amp;CRONO!W$12,OFFSET(CÁLCULO!$AJ$15:$BB$15,$E53,0,OFFSET(ORÇAMENTO!$D$15,CRONO!$E53,0)))+IF(AND($E55&lt;&gt;"",$E55&lt;&gt;0),SUMIF(CÁLCULO!$BC$15:$BU$727,"="&amp;CRONO!W$12,CÁLCULO!$AJ$15:$BB$727)/(ORÇAMENTO!$X$15-CÁLCULO.TotalAdmLocal)*CRONO!$E55,0),W54*$R53),SUMIF(OFFSET($R55,1,0,$Q53-2),($L53+1)&amp;"$",OFFSET(W55,1,0,$Q53-2)))</f>
        <v>0</v>
      </c>
      <c r="X55" s="223">
        <f ca="1">IF($Q53=2,IF(AND(ACOMPANHAMENTO="PLE",ISNUMBER($E53)),SUMIF((OFFSET(CÁLCULO!$BC$15:$BU$15,$E53,0,OFFSET(ORÇAMENTO!$D$15,CRONO!$E53,0))),"="&amp;CRONO!X$12,OFFSET(CÁLCULO!$AJ$15:$BB$15,$E53,0,OFFSET(ORÇAMENTO!$D$15,CRONO!$E53,0)))+IF(AND($E55&lt;&gt;"",$E55&lt;&gt;0),SUMIF(CÁLCULO!$BC$15:$BU$727,"="&amp;CRONO!X$12,CÁLCULO!$AJ$15:$BB$727)/(ORÇAMENTO!$X$15-CÁLCULO.TotalAdmLocal)*CRONO!$E55,0),X54*$R53),SUMIF(OFFSET($R55,1,0,$Q53-2),($L53+1)&amp;"$",OFFSET(X55,1,0,$Q53-2)))</f>
        <v>0</v>
      </c>
      <c r="Y55" s="223">
        <f ca="1">IF($Q53=2,IF(AND(ACOMPANHAMENTO="PLE",ISNUMBER($E53)),SUMIF((OFFSET(CÁLCULO!$BC$15:$BU$15,$E53,0,OFFSET(ORÇAMENTO!$D$15,CRONO!$E53,0))),"="&amp;CRONO!Y$12,OFFSET(CÁLCULO!$AJ$15:$BB$15,$E53,0,OFFSET(ORÇAMENTO!$D$15,CRONO!$E53,0)))+IF(AND($E55&lt;&gt;"",$E55&lt;&gt;0),SUMIF(CÁLCULO!$BC$15:$BU$727,"="&amp;CRONO!Y$12,CÁLCULO!$AJ$15:$BB$727)/(ORÇAMENTO!$X$15-CÁLCULO.TotalAdmLocal)*CRONO!$E55,0),Y54*$R53),SUMIF(OFFSET($R55,1,0,$Q53-2),($L53+1)&amp;"$",OFFSET(Y55,1,0,$Q53-2)))</f>
        <v>0</v>
      </c>
      <c r="Z55" s="223">
        <f ca="1">IF($Q53=2,IF(AND(ACOMPANHAMENTO="PLE",ISNUMBER($E53)),SUMIF((OFFSET(CÁLCULO!$BC$15:$BU$15,$E53,0,OFFSET(ORÇAMENTO!$D$15,CRONO!$E53,0))),"="&amp;CRONO!Z$12,OFFSET(CÁLCULO!$AJ$15:$BB$15,$E53,0,OFFSET(ORÇAMENTO!$D$15,CRONO!$E53,0)))+IF(AND($E55&lt;&gt;"",$E55&lt;&gt;0),SUMIF(CÁLCULO!$BC$15:$BU$727,"="&amp;CRONO!Z$12,CÁLCULO!$AJ$15:$BB$727)/(ORÇAMENTO!$X$15-CÁLCULO.TotalAdmLocal)*CRONO!$E55,0),Z54*$R53),SUMIF(OFFSET($R55,1,0,$Q53-2),($L53+1)&amp;"$",OFFSET(Z55,1,0,$Q53-2)))</f>
        <v>0</v>
      </c>
      <c r="AA55" s="223">
        <f ca="1">IF($Q53=2,IF(AND(ACOMPANHAMENTO="PLE",ISNUMBER($E53)),SUMIF((OFFSET(CÁLCULO!$BC$15:$BU$15,$E53,0,OFFSET(ORÇAMENTO!$D$15,CRONO!$E53,0))),"="&amp;CRONO!AA$12,OFFSET(CÁLCULO!$AJ$15:$BB$15,$E53,0,OFFSET(ORÇAMENTO!$D$15,CRONO!$E53,0)))+IF(AND($E55&lt;&gt;"",$E55&lt;&gt;0),SUMIF(CÁLCULO!$BC$15:$BU$727,"="&amp;CRONO!AA$12,CÁLCULO!$AJ$15:$BB$727)/(ORÇAMENTO!$X$15-CÁLCULO.TotalAdmLocal)*CRONO!$E55,0),AA54*$R53),SUMIF(OFFSET($R55,1,0,$Q53-2),($L53+1)&amp;"$",OFFSET(AA55,1,0,$Q53-2)))</f>
        <v>0</v>
      </c>
      <c r="AB55" s="223">
        <f ca="1">IF($Q53=2,IF(AND(ACOMPANHAMENTO="PLE",ISNUMBER($E53)),SUMIF((OFFSET(CÁLCULO!$BC$15:$BU$15,$E53,0,OFFSET(ORÇAMENTO!$D$15,CRONO!$E53,0))),"="&amp;CRONO!AB$12,OFFSET(CÁLCULO!$AJ$15:$BB$15,$E53,0,OFFSET(ORÇAMENTO!$D$15,CRONO!$E53,0)))+IF(AND($E55&lt;&gt;"",$E55&lt;&gt;0),SUMIF(CÁLCULO!$BC$15:$BU$727,"="&amp;CRONO!AB$12,CÁLCULO!$AJ$15:$BB$727)/(ORÇAMENTO!$X$15-CÁLCULO.TotalAdmLocal)*CRONO!$E55,0),AB54*$R53),SUMIF(OFFSET($R55,1,0,$Q53-2),($L53+1)&amp;"$",OFFSET(AB55,1,0,$Q53-2)))</f>
        <v>0</v>
      </c>
      <c r="AC55" s="223">
        <f ca="1">IF($Q53=2,IF(AND(ACOMPANHAMENTO="PLE",ISNUMBER($E53)),SUMIF((OFFSET(CÁLCULO!$BC$15:$BU$15,$E53,0,OFFSET(ORÇAMENTO!$D$15,CRONO!$E53,0))),"="&amp;CRONO!AC$12,OFFSET(CÁLCULO!$AJ$15:$BB$15,$E53,0,OFFSET(ORÇAMENTO!$D$15,CRONO!$E53,0)))+IF(AND($E55&lt;&gt;"",$E55&lt;&gt;0),SUMIF(CÁLCULO!$BC$15:$BU$727,"="&amp;CRONO!AC$12,CÁLCULO!$AJ$15:$BB$727)/(ORÇAMENTO!$X$15-CÁLCULO.TotalAdmLocal)*CRONO!$E55,0),AC54*$R53),SUMIF(OFFSET($R55,1,0,$Q53-2),($L53+1)&amp;"$",OFFSET(AC55,1,0,$Q53-2)))</f>
        <v>0</v>
      </c>
      <c r="AD55" s="223">
        <f ca="1">IF($Q53=2,IF(AND(ACOMPANHAMENTO="PLE",ISNUMBER($E53)),SUMIF((OFFSET(CÁLCULO!$BC$15:$BU$15,$E53,0,OFFSET(ORÇAMENTO!$D$15,CRONO!$E53,0))),"="&amp;CRONO!AD$12,OFFSET(CÁLCULO!$AJ$15:$BB$15,$E53,0,OFFSET(ORÇAMENTO!$D$15,CRONO!$E53,0)))+IF(AND($E55&lt;&gt;"",$E55&lt;&gt;0),SUMIF(CÁLCULO!$BC$15:$BU$727,"="&amp;CRONO!AD$12,CÁLCULO!$AJ$15:$BB$727)/(ORÇAMENTO!$X$15-CÁLCULO.TotalAdmLocal)*CRONO!$E55,0),AD54*$R53),SUMIF(OFFSET($R55,1,0,$Q53-2),($L53+1)&amp;"$",OFFSET(AD55,1,0,$Q53-2)))</f>
        <v>0</v>
      </c>
      <c r="AE55" s="228">
        <f ca="1">IF($Q53=2,IF(AND(ACOMPANHAMENTO="PLE",ISNUMBER($E53)),SUMIF((OFFSET(CÁLCULO!$BC$15:$BU$15,$E53,0,OFFSET(ORÇAMENTO!$D$15,CRONO!$E53,0))),"="&amp;CRONO!AE$12,OFFSET(CÁLCULO!$AJ$15:$BB$15,$E53,0,OFFSET(ORÇAMENTO!$D$15,CRONO!$E53,0)))+IF(AND($E55&lt;&gt;"",$E55&lt;&gt;0),SUMIF(CÁLCULO!$BC$15:$BU$727,"="&amp;CRONO!AE$12,CÁLCULO!$AJ$15:$BB$727)/(ORÇAMENTO!$X$15-CÁLCULO.TotalAdmLocal)*CRONO!$E55,0),AE54*$R53),SUMIF(OFFSET($R55,1,0,$Q53-2),($L53+1)&amp;"$",OFFSET(AE55,1,0,$Q53-2)))</f>
        <v>0</v>
      </c>
    </row>
    <row r="56" spans="1:32" x14ac:dyDescent="0.2">
      <c r="A56" s="204">
        <f t="shared" ref="A56" ca="1" si="101">OFFSET(A56,-3,0)+1</f>
        <v>15</v>
      </c>
      <c r="B56" s="204">
        <f ca="1">IF($Q56&lt;&gt;2,0,IF($R56=0,1,IF(E57&gt;0,OFFSET(QCI!$M$13,SUBSTITUTE(E57,".",""),0),OFFSET(ORÇAMENTO!$AA$15,CRONO!$E56,0))/$R56))</f>
        <v>1</v>
      </c>
      <c r="C56" s="204">
        <f ca="1">IF($Q56&lt;&gt;2,0,IF($R56=0,1,IF(E57&gt;0,OFFSET(QCI!$N$13,SUBSTITUTE(E57,".",""),0),OFFSET(ORÇAMENTO!$AB$15,CRONO!$E56,0))/$R56))</f>
        <v>1</v>
      </c>
      <c r="D56" s="207" t="e">
        <f ca="1">IF(AND($Q56=2,ACOMPANHAMENTO="BM"),D57,D58/$R56)</f>
        <v>#DIV/0!</v>
      </c>
      <c r="E56" s="204">
        <f ca="1">IF(A56&lt;=ORÇAMENTO.MáximoListaCrono,MATCH(A56,ORÇAMENTO.ListaCrono,0),NA())</f>
        <v>81</v>
      </c>
      <c r="F56" s="204" t="str">
        <f t="shared" ref="F56" ca="1" si="102">IF(AND($E57&lt;&gt;-1,$R56&gt;0),"F","")</f>
        <v/>
      </c>
      <c r="G56" s="208" t="str">
        <f ca="1">IF(OR(R56=0,R56=""),"Linha",IF(AND(OR(ACOMPANHAMENTO="PLE",$Q56&lt;&gt;2),$E57=0),"Linha",1-SUM(T56:AF56)))</f>
        <v>Linha</v>
      </c>
      <c r="H56" s="209" t="str">
        <f ca="1">IF($E57=0,OFFSET(ORÇAMENTO!O$15,$E56,0),IF($E57&lt;&gt;-1,OFFSET(QCI!$D$13,$E57,0),""))</f>
        <v>1.14.</v>
      </c>
      <c r="I56" s="210" t="str">
        <f ca="1">IF($E57=0,OFFSET(ORÇAMENTO!R$15,$E56,0),IF($E57&lt;&gt;-1,OFFSET(QCI!$G$13,$E57,0),""))</f>
        <v>PAVIMENTAÇÃO EXTERNA - CALÇADA DE PISO DE CONCRETO 7 CM</v>
      </c>
      <c r="J56" s="210"/>
      <c r="K56" s="210"/>
      <c r="L56" s="211">
        <f ca="1">IF($E57=0,OFFSET(ORÇAMENTO!C$15,$E56,0),1)</f>
        <v>2</v>
      </c>
      <c r="M56" s="212">
        <f ca="1">IF($E57=-1,0,IF(M$13&lt;=$L56,IF(ISERROR(MATCH(M$13,OFFSET($L56,1,0,ROW($L$260)-ROW($L56)-1),0)),ROW($L$260)-ROW($L56)-1,MATCH(M$13,OFFSET($L56,1,0,ROW($L$260)-ROW($L56)-1),0)-1),0))</f>
        <v>203</v>
      </c>
      <c r="N56" s="212">
        <f ca="1">IF($E57=-1,0,IF(N$13&lt;=$L56,IF(ISERROR(MATCH(N$13,OFFSET($L56,1,0,ROW($L$260)-ROW($L56)-1),0)),ROW($L$260)-ROW($L56)-1,MATCH(N$13,OFFSET($L56,1,0,ROW($L$260)-ROW($L56)-1),0)-1),0))</f>
        <v>2</v>
      </c>
      <c r="O56" s="212">
        <f ca="1">IF($E57=-1,0,IF(O$13&lt;=$L56,IF(ISERROR(MATCH(O$13,OFFSET($L56,1,0,ROW($L$260)-ROW($L56)-1),0)),ROW($L$260)-ROW($L56)-1,MATCH(O$13,OFFSET($L56,1,0,ROW($L$260)-ROW($L56)-1),0)-1),0))</f>
        <v>0</v>
      </c>
      <c r="P56" s="212">
        <f ca="1">IF($E57=-1,0,IF(P$13&lt;=$L56,IF(ISERROR(MATCH(P$13,OFFSET($L56,1,0,ROW($L$260)-ROW($L56)-1),0)),ROW($L$260)-ROW($L56)-1,MATCH(P$13,OFFSET($L56,1,0,ROW($L$260)-ROW($L56)-1),0)-1),0))</f>
        <v>0</v>
      </c>
      <c r="Q56" s="212">
        <f t="shared" ref="Q56" ca="1" si="103">MIN(OFFSET(L56,0,1,,L56))</f>
        <v>2</v>
      </c>
      <c r="R56" s="213">
        <f ca="1">IF($E57=0,OFFSET(ORÇAMENTO!X$15,$E56,0),IF($E57&lt;&gt;-1,OFFSET(QCI!$O$13,$E57,0),""))</f>
        <v>0</v>
      </c>
      <c r="S56" s="214" t="s">
        <v>270</v>
      </c>
      <c r="T56" s="215" t="e">
        <f t="shared" ref="T56:AE56" ca="1" si="104">IF(AND($Q56=2,ACOMPANHAMENTO="BM"),T57,T58/$R56)</f>
        <v>#DIV/0!</v>
      </c>
      <c r="U56" s="207" t="e">
        <f t="shared" ca="1" si="104"/>
        <v>#DIV/0!</v>
      </c>
      <c r="V56" s="207" t="e">
        <f t="shared" ca="1" si="104"/>
        <v>#DIV/0!</v>
      </c>
      <c r="W56" s="207" t="e">
        <f t="shared" ca="1" si="104"/>
        <v>#DIV/0!</v>
      </c>
      <c r="X56" s="207" t="e">
        <f t="shared" ca="1" si="104"/>
        <v>#DIV/0!</v>
      </c>
      <c r="Y56" s="207" t="e">
        <f t="shared" ca="1" si="104"/>
        <v>#DIV/0!</v>
      </c>
      <c r="Z56" s="207" t="e">
        <f t="shared" ca="1" si="104"/>
        <v>#DIV/0!</v>
      </c>
      <c r="AA56" s="207" t="e">
        <f t="shared" ca="1" si="104"/>
        <v>#DIV/0!</v>
      </c>
      <c r="AB56" s="207" t="e">
        <f t="shared" ca="1" si="104"/>
        <v>#DIV/0!</v>
      </c>
      <c r="AC56" s="207" t="e">
        <f t="shared" ca="1" si="104"/>
        <v>#DIV/0!</v>
      </c>
      <c r="AD56" s="207" t="e">
        <f t="shared" ca="1" si="104"/>
        <v>#DIV/0!</v>
      </c>
      <c r="AE56" s="216" t="e">
        <f t="shared" ca="1" si="104"/>
        <v>#DIV/0!</v>
      </c>
    </row>
    <row r="57" spans="1:32" ht="12.75" customHeight="1" x14ac:dyDescent="0.2">
      <c r="D57" s="569"/>
      <c r="E57" s="204">
        <f ca="1">IF(ISERROR(E56),IF(1+COUNTIF($L$13:OFFSET(L56,-1,0),1)&lt;=MAX(QCI!$D$13:$D$24),1+COUNTIF($L$13:OFFSET(L56,-1,0),1),-1),0)</f>
        <v>0</v>
      </c>
      <c r="F57" s="204" t="str">
        <f t="shared" ref="F57" ca="1" si="105">IF(AND($E57&lt;&gt;-1,$R56&gt;0),"F","")</f>
        <v/>
      </c>
      <c r="G57" s="217" t="str">
        <f ca="1">IF(OR(R56=0,R56=""),"vazia",IF(AND(OR(ACOMPANHAMENTO="PLE",$Q56&lt;&gt;2),$E57=0),"calculada","--&gt;"))</f>
        <v>vazia</v>
      </c>
      <c r="H57" s="218"/>
      <c r="I57" s="219" t="str">
        <f t="shared" ref="I57" ca="1" si="106">IF(AND(G56&lt;&gt;0,ISNUMBER(G56)),"PREENCHA ESTA LINHA --&gt;","")</f>
        <v/>
      </c>
      <c r="J57" s="219"/>
      <c r="K57" s="219"/>
      <c r="L57" s="220"/>
      <c r="M57" s="220"/>
      <c r="N57" s="220"/>
      <c r="O57" s="220"/>
      <c r="P57" s="220"/>
      <c r="Q57" s="220"/>
      <c r="R57" s="221"/>
      <c r="S57" s="222"/>
      <c r="T57" s="570"/>
      <c r="U57" s="569"/>
      <c r="V57" s="569"/>
      <c r="W57" s="569"/>
      <c r="X57" s="569"/>
      <c r="Y57" s="569"/>
      <c r="Z57" s="569"/>
      <c r="AA57" s="569"/>
      <c r="AB57" s="569"/>
      <c r="AC57" s="569"/>
      <c r="AD57" s="569"/>
      <c r="AE57" s="571"/>
      <c r="AF57" s="533"/>
    </row>
    <row r="58" spans="1:32" ht="0.2" hidden="1" customHeight="1" x14ac:dyDescent="0.2">
      <c r="D58" s="223">
        <f ca="1">IF($Q56=2,IF(AND(ACOMPANHAMENTO="PLE",ISNUMBER($E56)),SUMIF((OFFSET(CÁLCULO!$BC$15:$BU$15,$E56,0,OFFSET(ORÇAMENTO!$D$15,CRONO!$E56,0))),"="&amp;CRONO!D$12,OFFSET(CÁLCULO!$AJ$15:$BB$15,$E56,0,OFFSET(ORÇAMENTO!$D$15,CRONO!$E56,0)))+IF(AND($E58&lt;&gt;"",$E58&lt;&gt;0),SUMIF(CÁLCULO!$BC$15:$BU$727,"="&amp;CRONO!D$12,CÁLCULO!$AJ$15:$BB$727)/(ORÇAMENTO!$X$15-CÁLCULO.TotalAdmLocal)*CRONO!$E58,0),D57*$R56),SUMIF(OFFSET($R58,1,0,$Q56-2),($L56+1)&amp;"$",OFFSET(D58,1,0,$Q56-2)))</f>
        <v>0</v>
      </c>
      <c r="E58" s="204" t="str">
        <f ca="1">IF(OR($Q56&lt;&gt;2,AUTOEVENTO&lt;&gt;"manual",$E57&gt;0),"",SUMIF(OFFSET(CÁLCULO!$M$15,CRONO!$E56,0,OFFSET(ORÇAMENTO!$D$15,CRONO!$E56,0)),1,OFFSET(ORÇAMENTO!$X$15,CRONO!$E56,0,OFFSET(ORÇAMENTO!$D$15,CRONO!$E56,0))))</f>
        <v/>
      </c>
      <c r="G58" s="224"/>
      <c r="R58" s="225" t="str">
        <f t="shared" ref="R58" ca="1" si="107">L56&amp;"$"</f>
        <v>2$</v>
      </c>
      <c r="S58" s="226"/>
      <c r="T58" s="227">
        <f ca="1">IF($Q56=2,IF(AND(ACOMPANHAMENTO="PLE",ISNUMBER($E56)),SUMIF((OFFSET(CÁLCULO!$BC$15:$BU$15,$E56,0,OFFSET(ORÇAMENTO!$D$15,CRONO!$E56,0))),"&lt;="&amp;CRONO!T$12,OFFSET(CÁLCULO!$AJ$15:$BB$15,$E56,0,OFFSET(ORÇAMENTO!$D$15,CRONO!$E56,0)))+IF(AND($E58&lt;&gt;"",$E58&lt;&gt;0),SUMIF(CÁLCULO!$BC$15:$BU$727,"&lt;="&amp;CRONO!T$12,CÁLCULO!$AJ$15:$BB$727)/(ORÇAMENTO!$X$15-CÁLCULO.TotalAdmLocal)*CRONO!$E58,0),T57*$R56),SUMIF(OFFSET($R58,1,0,$Q56-2),($L56+1)&amp;"$",OFFSET(T58,1,0,$Q56-2)))</f>
        <v>0</v>
      </c>
      <c r="U58" s="223">
        <f ca="1">IF($Q56=2,IF(AND(ACOMPANHAMENTO="PLE",ISNUMBER($E56)),SUMIF((OFFSET(CÁLCULO!$BC$15:$BU$15,$E56,0,OFFSET(ORÇAMENTO!$D$15,CRONO!$E56,0))),"="&amp;CRONO!U$12,OFFSET(CÁLCULO!$AJ$15:$BB$15,$E56,0,OFFSET(ORÇAMENTO!$D$15,CRONO!$E56,0)))+IF(AND($E58&lt;&gt;"",$E58&lt;&gt;0),SUMIF(CÁLCULO!$BC$15:$BU$727,"="&amp;CRONO!U$12,CÁLCULO!$AJ$15:$BB$727)/(ORÇAMENTO!$X$15-CÁLCULO.TotalAdmLocal)*CRONO!$E58,0),U57*$R56),SUMIF(OFFSET($R58,1,0,$Q56-2),($L56+1)&amp;"$",OFFSET(U58,1,0,$Q56-2)))</f>
        <v>0</v>
      </c>
      <c r="V58" s="223">
        <f ca="1">IF($Q56=2,IF(AND(ACOMPANHAMENTO="PLE",ISNUMBER($E56)),SUMIF((OFFSET(CÁLCULO!$BC$15:$BU$15,$E56,0,OFFSET(ORÇAMENTO!$D$15,CRONO!$E56,0))),"="&amp;CRONO!V$12,OFFSET(CÁLCULO!$AJ$15:$BB$15,$E56,0,OFFSET(ORÇAMENTO!$D$15,CRONO!$E56,0)))+IF(AND($E58&lt;&gt;"",$E58&lt;&gt;0),SUMIF(CÁLCULO!$BC$15:$BU$727,"="&amp;CRONO!V$12,CÁLCULO!$AJ$15:$BB$727)/(ORÇAMENTO!$X$15-CÁLCULO.TotalAdmLocal)*CRONO!$E58,0),V57*$R56),SUMIF(OFFSET($R58,1,0,$Q56-2),($L56+1)&amp;"$",OFFSET(V58,1,0,$Q56-2)))</f>
        <v>0</v>
      </c>
      <c r="W58" s="223">
        <f ca="1">IF($Q56=2,IF(AND(ACOMPANHAMENTO="PLE",ISNUMBER($E56)),SUMIF((OFFSET(CÁLCULO!$BC$15:$BU$15,$E56,0,OFFSET(ORÇAMENTO!$D$15,CRONO!$E56,0))),"="&amp;CRONO!W$12,OFFSET(CÁLCULO!$AJ$15:$BB$15,$E56,0,OFFSET(ORÇAMENTO!$D$15,CRONO!$E56,0)))+IF(AND($E58&lt;&gt;"",$E58&lt;&gt;0),SUMIF(CÁLCULO!$BC$15:$BU$727,"="&amp;CRONO!W$12,CÁLCULO!$AJ$15:$BB$727)/(ORÇAMENTO!$X$15-CÁLCULO.TotalAdmLocal)*CRONO!$E58,0),W57*$R56),SUMIF(OFFSET($R58,1,0,$Q56-2),($L56+1)&amp;"$",OFFSET(W58,1,0,$Q56-2)))</f>
        <v>0</v>
      </c>
      <c r="X58" s="223">
        <f ca="1">IF($Q56=2,IF(AND(ACOMPANHAMENTO="PLE",ISNUMBER($E56)),SUMIF((OFFSET(CÁLCULO!$BC$15:$BU$15,$E56,0,OFFSET(ORÇAMENTO!$D$15,CRONO!$E56,0))),"="&amp;CRONO!X$12,OFFSET(CÁLCULO!$AJ$15:$BB$15,$E56,0,OFFSET(ORÇAMENTO!$D$15,CRONO!$E56,0)))+IF(AND($E58&lt;&gt;"",$E58&lt;&gt;0),SUMIF(CÁLCULO!$BC$15:$BU$727,"="&amp;CRONO!X$12,CÁLCULO!$AJ$15:$BB$727)/(ORÇAMENTO!$X$15-CÁLCULO.TotalAdmLocal)*CRONO!$E58,0),X57*$R56),SUMIF(OFFSET($R58,1,0,$Q56-2),($L56+1)&amp;"$",OFFSET(X58,1,0,$Q56-2)))</f>
        <v>0</v>
      </c>
      <c r="Y58" s="223">
        <f ca="1">IF($Q56=2,IF(AND(ACOMPANHAMENTO="PLE",ISNUMBER($E56)),SUMIF((OFFSET(CÁLCULO!$BC$15:$BU$15,$E56,0,OFFSET(ORÇAMENTO!$D$15,CRONO!$E56,0))),"="&amp;CRONO!Y$12,OFFSET(CÁLCULO!$AJ$15:$BB$15,$E56,0,OFFSET(ORÇAMENTO!$D$15,CRONO!$E56,0)))+IF(AND($E58&lt;&gt;"",$E58&lt;&gt;0),SUMIF(CÁLCULO!$BC$15:$BU$727,"="&amp;CRONO!Y$12,CÁLCULO!$AJ$15:$BB$727)/(ORÇAMENTO!$X$15-CÁLCULO.TotalAdmLocal)*CRONO!$E58,0),Y57*$R56),SUMIF(OFFSET($R58,1,0,$Q56-2),($L56+1)&amp;"$",OFFSET(Y58,1,0,$Q56-2)))</f>
        <v>0</v>
      </c>
      <c r="Z58" s="223">
        <f ca="1">IF($Q56=2,IF(AND(ACOMPANHAMENTO="PLE",ISNUMBER($E56)),SUMIF((OFFSET(CÁLCULO!$BC$15:$BU$15,$E56,0,OFFSET(ORÇAMENTO!$D$15,CRONO!$E56,0))),"="&amp;CRONO!Z$12,OFFSET(CÁLCULO!$AJ$15:$BB$15,$E56,0,OFFSET(ORÇAMENTO!$D$15,CRONO!$E56,0)))+IF(AND($E58&lt;&gt;"",$E58&lt;&gt;0),SUMIF(CÁLCULO!$BC$15:$BU$727,"="&amp;CRONO!Z$12,CÁLCULO!$AJ$15:$BB$727)/(ORÇAMENTO!$X$15-CÁLCULO.TotalAdmLocal)*CRONO!$E58,0),Z57*$R56),SUMIF(OFFSET($R58,1,0,$Q56-2),($L56+1)&amp;"$",OFFSET(Z58,1,0,$Q56-2)))</f>
        <v>0</v>
      </c>
      <c r="AA58" s="223">
        <f ca="1">IF($Q56=2,IF(AND(ACOMPANHAMENTO="PLE",ISNUMBER($E56)),SUMIF((OFFSET(CÁLCULO!$BC$15:$BU$15,$E56,0,OFFSET(ORÇAMENTO!$D$15,CRONO!$E56,0))),"="&amp;CRONO!AA$12,OFFSET(CÁLCULO!$AJ$15:$BB$15,$E56,0,OFFSET(ORÇAMENTO!$D$15,CRONO!$E56,0)))+IF(AND($E58&lt;&gt;"",$E58&lt;&gt;0),SUMIF(CÁLCULO!$BC$15:$BU$727,"="&amp;CRONO!AA$12,CÁLCULO!$AJ$15:$BB$727)/(ORÇAMENTO!$X$15-CÁLCULO.TotalAdmLocal)*CRONO!$E58,0),AA57*$R56),SUMIF(OFFSET($R58,1,0,$Q56-2),($L56+1)&amp;"$",OFFSET(AA58,1,0,$Q56-2)))</f>
        <v>0</v>
      </c>
      <c r="AB58" s="223">
        <f ca="1">IF($Q56=2,IF(AND(ACOMPANHAMENTO="PLE",ISNUMBER($E56)),SUMIF((OFFSET(CÁLCULO!$BC$15:$BU$15,$E56,0,OFFSET(ORÇAMENTO!$D$15,CRONO!$E56,0))),"="&amp;CRONO!AB$12,OFFSET(CÁLCULO!$AJ$15:$BB$15,$E56,0,OFFSET(ORÇAMENTO!$D$15,CRONO!$E56,0)))+IF(AND($E58&lt;&gt;"",$E58&lt;&gt;0),SUMIF(CÁLCULO!$BC$15:$BU$727,"="&amp;CRONO!AB$12,CÁLCULO!$AJ$15:$BB$727)/(ORÇAMENTO!$X$15-CÁLCULO.TotalAdmLocal)*CRONO!$E58,0),AB57*$R56),SUMIF(OFFSET($R58,1,0,$Q56-2),($L56+1)&amp;"$",OFFSET(AB58,1,0,$Q56-2)))</f>
        <v>0</v>
      </c>
      <c r="AC58" s="223">
        <f ca="1">IF($Q56=2,IF(AND(ACOMPANHAMENTO="PLE",ISNUMBER($E56)),SUMIF((OFFSET(CÁLCULO!$BC$15:$BU$15,$E56,0,OFFSET(ORÇAMENTO!$D$15,CRONO!$E56,0))),"="&amp;CRONO!AC$12,OFFSET(CÁLCULO!$AJ$15:$BB$15,$E56,0,OFFSET(ORÇAMENTO!$D$15,CRONO!$E56,0)))+IF(AND($E58&lt;&gt;"",$E58&lt;&gt;0),SUMIF(CÁLCULO!$BC$15:$BU$727,"="&amp;CRONO!AC$12,CÁLCULO!$AJ$15:$BB$727)/(ORÇAMENTO!$X$15-CÁLCULO.TotalAdmLocal)*CRONO!$E58,0),AC57*$R56),SUMIF(OFFSET($R58,1,0,$Q56-2),($L56+1)&amp;"$",OFFSET(AC58,1,0,$Q56-2)))</f>
        <v>0</v>
      </c>
      <c r="AD58" s="223">
        <f ca="1">IF($Q56=2,IF(AND(ACOMPANHAMENTO="PLE",ISNUMBER($E56)),SUMIF((OFFSET(CÁLCULO!$BC$15:$BU$15,$E56,0,OFFSET(ORÇAMENTO!$D$15,CRONO!$E56,0))),"="&amp;CRONO!AD$12,OFFSET(CÁLCULO!$AJ$15:$BB$15,$E56,0,OFFSET(ORÇAMENTO!$D$15,CRONO!$E56,0)))+IF(AND($E58&lt;&gt;"",$E58&lt;&gt;0),SUMIF(CÁLCULO!$BC$15:$BU$727,"="&amp;CRONO!AD$12,CÁLCULO!$AJ$15:$BB$727)/(ORÇAMENTO!$X$15-CÁLCULO.TotalAdmLocal)*CRONO!$E58,0),AD57*$R56),SUMIF(OFFSET($R58,1,0,$Q56-2),($L56+1)&amp;"$",OFFSET(AD58,1,0,$Q56-2)))</f>
        <v>0</v>
      </c>
      <c r="AE58" s="228">
        <f ca="1">IF($Q56=2,IF(AND(ACOMPANHAMENTO="PLE",ISNUMBER($E56)),SUMIF((OFFSET(CÁLCULO!$BC$15:$BU$15,$E56,0,OFFSET(ORÇAMENTO!$D$15,CRONO!$E56,0))),"="&amp;CRONO!AE$12,OFFSET(CÁLCULO!$AJ$15:$BB$15,$E56,0,OFFSET(ORÇAMENTO!$D$15,CRONO!$E56,0)))+IF(AND($E58&lt;&gt;"",$E58&lt;&gt;0),SUMIF(CÁLCULO!$BC$15:$BU$727,"="&amp;CRONO!AE$12,CÁLCULO!$AJ$15:$BB$727)/(ORÇAMENTO!$X$15-CÁLCULO.TotalAdmLocal)*CRONO!$E58,0),AE57*$R56),SUMIF(OFFSET($R58,1,0,$Q56-2),($L56+1)&amp;"$",OFFSET(AE58,1,0,$Q56-2)))</f>
        <v>0</v>
      </c>
    </row>
    <row r="59" spans="1:32" x14ac:dyDescent="0.2">
      <c r="A59" s="204">
        <f t="shared" ref="A59" ca="1" si="108">OFFSET(A59,-3,0)+1</f>
        <v>16</v>
      </c>
      <c r="B59" s="204">
        <f ca="1">IF($Q59&lt;&gt;2,0,IF($R59=0,1,IF(E60&gt;0,OFFSET(QCI!$M$13,SUBSTITUTE(E60,".",""),0),OFFSET(ORÇAMENTO!$AA$15,CRONO!$E59,0))/$R59))</f>
        <v>1</v>
      </c>
      <c r="C59" s="204">
        <f ca="1">IF($Q59&lt;&gt;2,0,IF($R59=0,1,IF(E60&gt;0,OFFSET(QCI!$N$13,SUBSTITUTE(E60,".",""),0),OFFSET(ORÇAMENTO!$AB$15,CRONO!$E59,0))/$R59))</f>
        <v>1</v>
      </c>
      <c r="D59" s="207" t="e">
        <f ca="1">IF(AND($Q59=2,ACOMPANHAMENTO="BM"),D60,D61/$R59)</f>
        <v>#DIV/0!</v>
      </c>
      <c r="E59" s="204">
        <f ca="1">IF(A59&lt;=ORÇAMENTO.MáximoListaCrono,MATCH(A59,ORÇAMENTO.ListaCrono,0),NA())</f>
        <v>86</v>
      </c>
      <c r="F59" s="204" t="str">
        <f t="shared" ref="F59" ca="1" si="109">IF(AND($E60&lt;&gt;-1,$R59&gt;0),"F","")</f>
        <v/>
      </c>
      <c r="G59" s="208" t="str">
        <f ca="1">IF(OR(R59=0,R59=""),"Linha",IF(AND(OR(ACOMPANHAMENTO="PLE",$Q59&lt;&gt;2),$E60=0),"Linha",1-SUM(T59:AF59)))</f>
        <v>Linha</v>
      </c>
      <c r="H59" s="209" t="str">
        <f ca="1">IF($E60=0,OFFSET(ORÇAMENTO!O$15,$E59,0),IF($E60&lt;&gt;-1,OFFSET(QCI!$D$13,$E60,0),""))</f>
        <v>1.15.</v>
      </c>
      <c r="I59" s="210" t="str">
        <f ca="1">IF($E60=0,OFFSET(ORÇAMENTO!R$15,$E59,0),IF($E60&lt;&gt;-1,OFFSET(QCI!$G$13,$E60,0),""))</f>
        <v>SISTEMA DE VEDAÇÃO VERTICAL - ELEMENTOS VAZADOS</v>
      </c>
      <c r="J59" s="210"/>
      <c r="K59" s="210"/>
      <c r="L59" s="211">
        <f ca="1">IF($E60=0,OFFSET(ORÇAMENTO!C$15,$E59,0),1)</f>
        <v>2</v>
      </c>
      <c r="M59" s="212">
        <f ca="1">IF($E60=-1,0,IF(M$13&lt;=$L59,IF(ISERROR(MATCH(M$13,OFFSET($L59,1,0,ROW($L$260)-ROW($L59)-1),0)),ROW($L$260)-ROW($L59)-1,MATCH(M$13,OFFSET($L59,1,0,ROW($L$260)-ROW($L59)-1),0)-1),0))</f>
        <v>200</v>
      </c>
      <c r="N59" s="212">
        <f ca="1">IF($E60=-1,0,IF(N$13&lt;=$L59,IF(ISERROR(MATCH(N$13,OFFSET($L59,1,0,ROW($L$260)-ROW($L59)-1),0)),ROW($L$260)-ROW($L59)-1,MATCH(N$13,OFFSET($L59,1,0,ROW($L$260)-ROW($L59)-1),0)-1),0))</f>
        <v>2</v>
      </c>
      <c r="O59" s="212">
        <f ca="1">IF($E60=-1,0,IF(O$13&lt;=$L59,IF(ISERROR(MATCH(O$13,OFFSET($L59,1,0,ROW($L$260)-ROW($L59)-1),0)),ROW($L$260)-ROW($L59)-1,MATCH(O$13,OFFSET($L59,1,0,ROW($L$260)-ROW($L59)-1),0)-1),0))</f>
        <v>0</v>
      </c>
      <c r="P59" s="212">
        <f ca="1">IF($E60=-1,0,IF(P$13&lt;=$L59,IF(ISERROR(MATCH(P$13,OFFSET($L59,1,0,ROW($L$260)-ROW($L59)-1),0)),ROW($L$260)-ROW($L59)-1,MATCH(P$13,OFFSET($L59,1,0,ROW($L$260)-ROW($L59)-1),0)-1),0))</f>
        <v>0</v>
      </c>
      <c r="Q59" s="212">
        <f t="shared" ref="Q59" ca="1" si="110">MIN(OFFSET(L59,0,1,,L59))</f>
        <v>2</v>
      </c>
      <c r="R59" s="213">
        <f ca="1">IF($E60=0,OFFSET(ORÇAMENTO!X$15,$E59,0),IF($E60&lt;&gt;-1,OFFSET(QCI!$O$13,$E60,0),""))</f>
        <v>0</v>
      </c>
      <c r="S59" s="214" t="s">
        <v>270</v>
      </c>
      <c r="T59" s="215" t="e">
        <f t="shared" ref="T59:AE59" ca="1" si="111">IF(AND($Q59=2,ACOMPANHAMENTO="BM"),T60,T61/$R59)</f>
        <v>#DIV/0!</v>
      </c>
      <c r="U59" s="207" t="e">
        <f t="shared" ca="1" si="111"/>
        <v>#DIV/0!</v>
      </c>
      <c r="V59" s="207" t="e">
        <f t="shared" ca="1" si="111"/>
        <v>#DIV/0!</v>
      </c>
      <c r="W59" s="207" t="e">
        <f t="shared" ca="1" si="111"/>
        <v>#DIV/0!</v>
      </c>
      <c r="X59" s="207" t="e">
        <f t="shared" ca="1" si="111"/>
        <v>#DIV/0!</v>
      </c>
      <c r="Y59" s="207" t="e">
        <f t="shared" ca="1" si="111"/>
        <v>#DIV/0!</v>
      </c>
      <c r="Z59" s="207" t="e">
        <f t="shared" ca="1" si="111"/>
        <v>#DIV/0!</v>
      </c>
      <c r="AA59" s="207" t="e">
        <f t="shared" ca="1" si="111"/>
        <v>#DIV/0!</v>
      </c>
      <c r="AB59" s="207" t="e">
        <f t="shared" ca="1" si="111"/>
        <v>#DIV/0!</v>
      </c>
      <c r="AC59" s="207" t="e">
        <f t="shared" ca="1" si="111"/>
        <v>#DIV/0!</v>
      </c>
      <c r="AD59" s="207" t="e">
        <f t="shared" ca="1" si="111"/>
        <v>#DIV/0!</v>
      </c>
      <c r="AE59" s="216" t="e">
        <f t="shared" ca="1" si="111"/>
        <v>#DIV/0!</v>
      </c>
    </row>
    <row r="60" spans="1:32" ht="12.75" customHeight="1" x14ac:dyDescent="0.2">
      <c r="D60" s="569"/>
      <c r="E60" s="204">
        <f ca="1">IF(ISERROR(E59),IF(1+COUNTIF($L$13:OFFSET(L59,-1,0),1)&lt;=MAX(QCI!$D$13:$D$24),1+COUNTIF($L$13:OFFSET(L59,-1,0),1),-1),0)</f>
        <v>0</v>
      </c>
      <c r="F60" s="204" t="str">
        <f t="shared" ref="F60" ca="1" si="112">IF(AND($E60&lt;&gt;-1,$R59&gt;0),"F","")</f>
        <v/>
      </c>
      <c r="G60" s="217" t="str">
        <f ca="1">IF(OR(R59=0,R59=""),"vazia",IF(AND(OR(ACOMPANHAMENTO="PLE",$Q59&lt;&gt;2),$E60=0),"calculada","--&gt;"))</f>
        <v>vazia</v>
      </c>
      <c r="H60" s="218"/>
      <c r="I60" s="219" t="str">
        <f t="shared" ref="I60" ca="1" si="113">IF(AND(G59&lt;&gt;0,ISNUMBER(G59)),"PREENCHA ESTA LINHA --&gt;","")</f>
        <v/>
      </c>
      <c r="J60" s="219"/>
      <c r="K60" s="219"/>
      <c r="L60" s="220"/>
      <c r="M60" s="220"/>
      <c r="N60" s="220"/>
      <c r="O60" s="220"/>
      <c r="P60" s="220"/>
      <c r="Q60" s="220"/>
      <c r="R60" s="221"/>
      <c r="S60" s="222"/>
      <c r="T60" s="570"/>
      <c r="U60" s="569"/>
      <c r="V60" s="569"/>
      <c r="W60" s="569"/>
      <c r="X60" s="569"/>
      <c r="Y60" s="569"/>
      <c r="Z60" s="569"/>
      <c r="AA60" s="569"/>
      <c r="AB60" s="569"/>
      <c r="AC60" s="569"/>
      <c r="AD60" s="569"/>
      <c r="AE60" s="571"/>
      <c r="AF60" s="533"/>
    </row>
    <row r="61" spans="1:32" ht="0.2" hidden="1" customHeight="1" x14ac:dyDescent="0.2">
      <c r="D61" s="223">
        <f ca="1">IF($Q59=2,IF(AND(ACOMPANHAMENTO="PLE",ISNUMBER($E59)),SUMIF((OFFSET(CÁLCULO!$BC$15:$BU$15,$E59,0,OFFSET(ORÇAMENTO!$D$15,CRONO!$E59,0))),"="&amp;CRONO!D$12,OFFSET(CÁLCULO!$AJ$15:$BB$15,$E59,0,OFFSET(ORÇAMENTO!$D$15,CRONO!$E59,0)))+IF(AND($E61&lt;&gt;"",$E61&lt;&gt;0),SUMIF(CÁLCULO!$BC$15:$BU$727,"="&amp;CRONO!D$12,CÁLCULO!$AJ$15:$BB$727)/(ORÇAMENTO!$X$15-CÁLCULO.TotalAdmLocal)*CRONO!$E61,0),D60*$R59),SUMIF(OFFSET($R61,1,0,$Q59-2),($L59+1)&amp;"$",OFFSET(D61,1,0,$Q59-2)))</f>
        <v>0</v>
      </c>
      <c r="E61" s="204" t="str">
        <f ca="1">IF(OR($Q59&lt;&gt;2,AUTOEVENTO&lt;&gt;"manual",$E60&gt;0),"",SUMIF(OFFSET(CÁLCULO!$M$15,CRONO!$E59,0,OFFSET(ORÇAMENTO!$D$15,CRONO!$E59,0)),1,OFFSET(ORÇAMENTO!$X$15,CRONO!$E59,0,OFFSET(ORÇAMENTO!$D$15,CRONO!$E59,0))))</f>
        <v/>
      </c>
      <c r="G61" s="224"/>
      <c r="R61" s="225" t="str">
        <f t="shared" ref="R61" ca="1" si="114">L59&amp;"$"</f>
        <v>2$</v>
      </c>
      <c r="S61" s="226"/>
      <c r="T61" s="227">
        <f ca="1">IF($Q59=2,IF(AND(ACOMPANHAMENTO="PLE",ISNUMBER($E59)),SUMIF((OFFSET(CÁLCULO!$BC$15:$BU$15,$E59,0,OFFSET(ORÇAMENTO!$D$15,CRONO!$E59,0))),"&lt;="&amp;CRONO!T$12,OFFSET(CÁLCULO!$AJ$15:$BB$15,$E59,0,OFFSET(ORÇAMENTO!$D$15,CRONO!$E59,0)))+IF(AND($E61&lt;&gt;"",$E61&lt;&gt;0),SUMIF(CÁLCULO!$BC$15:$BU$727,"&lt;="&amp;CRONO!T$12,CÁLCULO!$AJ$15:$BB$727)/(ORÇAMENTO!$X$15-CÁLCULO.TotalAdmLocal)*CRONO!$E61,0),T60*$R59),SUMIF(OFFSET($R61,1,0,$Q59-2),($L59+1)&amp;"$",OFFSET(T61,1,0,$Q59-2)))</f>
        <v>0</v>
      </c>
      <c r="U61" s="223">
        <f ca="1">IF($Q59=2,IF(AND(ACOMPANHAMENTO="PLE",ISNUMBER($E59)),SUMIF((OFFSET(CÁLCULO!$BC$15:$BU$15,$E59,0,OFFSET(ORÇAMENTO!$D$15,CRONO!$E59,0))),"="&amp;CRONO!U$12,OFFSET(CÁLCULO!$AJ$15:$BB$15,$E59,0,OFFSET(ORÇAMENTO!$D$15,CRONO!$E59,0)))+IF(AND($E61&lt;&gt;"",$E61&lt;&gt;0),SUMIF(CÁLCULO!$BC$15:$BU$727,"="&amp;CRONO!U$12,CÁLCULO!$AJ$15:$BB$727)/(ORÇAMENTO!$X$15-CÁLCULO.TotalAdmLocal)*CRONO!$E61,0),U60*$R59),SUMIF(OFFSET($R61,1,0,$Q59-2),($L59+1)&amp;"$",OFFSET(U61,1,0,$Q59-2)))</f>
        <v>0</v>
      </c>
      <c r="V61" s="223">
        <f ca="1">IF($Q59=2,IF(AND(ACOMPANHAMENTO="PLE",ISNUMBER($E59)),SUMIF((OFFSET(CÁLCULO!$BC$15:$BU$15,$E59,0,OFFSET(ORÇAMENTO!$D$15,CRONO!$E59,0))),"="&amp;CRONO!V$12,OFFSET(CÁLCULO!$AJ$15:$BB$15,$E59,0,OFFSET(ORÇAMENTO!$D$15,CRONO!$E59,0)))+IF(AND($E61&lt;&gt;"",$E61&lt;&gt;0),SUMIF(CÁLCULO!$BC$15:$BU$727,"="&amp;CRONO!V$12,CÁLCULO!$AJ$15:$BB$727)/(ORÇAMENTO!$X$15-CÁLCULO.TotalAdmLocal)*CRONO!$E61,0),V60*$R59),SUMIF(OFFSET($R61,1,0,$Q59-2),($L59+1)&amp;"$",OFFSET(V61,1,0,$Q59-2)))</f>
        <v>0</v>
      </c>
      <c r="W61" s="223">
        <f ca="1">IF($Q59=2,IF(AND(ACOMPANHAMENTO="PLE",ISNUMBER($E59)),SUMIF((OFFSET(CÁLCULO!$BC$15:$BU$15,$E59,0,OFFSET(ORÇAMENTO!$D$15,CRONO!$E59,0))),"="&amp;CRONO!W$12,OFFSET(CÁLCULO!$AJ$15:$BB$15,$E59,0,OFFSET(ORÇAMENTO!$D$15,CRONO!$E59,0)))+IF(AND($E61&lt;&gt;"",$E61&lt;&gt;0),SUMIF(CÁLCULO!$BC$15:$BU$727,"="&amp;CRONO!W$12,CÁLCULO!$AJ$15:$BB$727)/(ORÇAMENTO!$X$15-CÁLCULO.TotalAdmLocal)*CRONO!$E61,0),W60*$R59),SUMIF(OFFSET($R61,1,0,$Q59-2),($L59+1)&amp;"$",OFFSET(W61,1,0,$Q59-2)))</f>
        <v>0</v>
      </c>
      <c r="X61" s="223">
        <f ca="1">IF($Q59=2,IF(AND(ACOMPANHAMENTO="PLE",ISNUMBER($E59)),SUMIF((OFFSET(CÁLCULO!$BC$15:$BU$15,$E59,0,OFFSET(ORÇAMENTO!$D$15,CRONO!$E59,0))),"="&amp;CRONO!X$12,OFFSET(CÁLCULO!$AJ$15:$BB$15,$E59,0,OFFSET(ORÇAMENTO!$D$15,CRONO!$E59,0)))+IF(AND($E61&lt;&gt;"",$E61&lt;&gt;0),SUMIF(CÁLCULO!$BC$15:$BU$727,"="&amp;CRONO!X$12,CÁLCULO!$AJ$15:$BB$727)/(ORÇAMENTO!$X$15-CÁLCULO.TotalAdmLocal)*CRONO!$E61,0),X60*$R59),SUMIF(OFFSET($R61,1,0,$Q59-2),($L59+1)&amp;"$",OFFSET(X61,1,0,$Q59-2)))</f>
        <v>0</v>
      </c>
      <c r="Y61" s="223">
        <f ca="1">IF($Q59=2,IF(AND(ACOMPANHAMENTO="PLE",ISNUMBER($E59)),SUMIF((OFFSET(CÁLCULO!$BC$15:$BU$15,$E59,0,OFFSET(ORÇAMENTO!$D$15,CRONO!$E59,0))),"="&amp;CRONO!Y$12,OFFSET(CÁLCULO!$AJ$15:$BB$15,$E59,0,OFFSET(ORÇAMENTO!$D$15,CRONO!$E59,0)))+IF(AND($E61&lt;&gt;"",$E61&lt;&gt;0),SUMIF(CÁLCULO!$BC$15:$BU$727,"="&amp;CRONO!Y$12,CÁLCULO!$AJ$15:$BB$727)/(ORÇAMENTO!$X$15-CÁLCULO.TotalAdmLocal)*CRONO!$E61,0),Y60*$R59),SUMIF(OFFSET($R61,1,0,$Q59-2),($L59+1)&amp;"$",OFFSET(Y61,1,0,$Q59-2)))</f>
        <v>0</v>
      </c>
      <c r="Z61" s="223">
        <f ca="1">IF($Q59=2,IF(AND(ACOMPANHAMENTO="PLE",ISNUMBER($E59)),SUMIF((OFFSET(CÁLCULO!$BC$15:$BU$15,$E59,0,OFFSET(ORÇAMENTO!$D$15,CRONO!$E59,0))),"="&amp;CRONO!Z$12,OFFSET(CÁLCULO!$AJ$15:$BB$15,$E59,0,OFFSET(ORÇAMENTO!$D$15,CRONO!$E59,0)))+IF(AND($E61&lt;&gt;"",$E61&lt;&gt;0),SUMIF(CÁLCULO!$BC$15:$BU$727,"="&amp;CRONO!Z$12,CÁLCULO!$AJ$15:$BB$727)/(ORÇAMENTO!$X$15-CÁLCULO.TotalAdmLocal)*CRONO!$E61,0),Z60*$R59),SUMIF(OFFSET($R61,1,0,$Q59-2),($L59+1)&amp;"$",OFFSET(Z61,1,0,$Q59-2)))</f>
        <v>0</v>
      </c>
      <c r="AA61" s="223">
        <f ca="1">IF($Q59=2,IF(AND(ACOMPANHAMENTO="PLE",ISNUMBER($E59)),SUMIF((OFFSET(CÁLCULO!$BC$15:$BU$15,$E59,0,OFFSET(ORÇAMENTO!$D$15,CRONO!$E59,0))),"="&amp;CRONO!AA$12,OFFSET(CÁLCULO!$AJ$15:$BB$15,$E59,0,OFFSET(ORÇAMENTO!$D$15,CRONO!$E59,0)))+IF(AND($E61&lt;&gt;"",$E61&lt;&gt;0),SUMIF(CÁLCULO!$BC$15:$BU$727,"="&amp;CRONO!AA$12,CÁLCULO!$AJ$15:$BB$727)/(ORÇAMENTO!$X$15-CÁLCULO.TotalAdmLocal)*CRONO!$E61,0),AA60*$R59),SUMIF(OFFSET($R61,1,0,$Q59-2),($L59+1)&amp;"$",OFFSET(AA61,1,0,$Q59-2)))</f>
        <v>0</v>
      </c>
      <c r="AB61" s="223">
        <f ca="1">IF($Q59=2,IF(AND(ACOMPANHAMENTO="PLE",ISNUMBER($E59)),SUMIF((OFFSET(CÁLCULO!$BC$15:$BU$15,$E59,0,OFFSET(ORÇAMENTO!$D$15,CRONO!$E59,0))),"="&amp;CRONO!AB$12,OFFSET(CÁLCULO!$AJ$15:$BB$15,$E59,0,OFFSET(ORÇAMENTO!$D$15,CRONO!$E59,0)))+IF(AND($E61&lt;&gt;"",$E61&lt;&gt;0),SUMIF(CÁLCULO!$BC$15:$BU$727,"="&amp;CRONO!AB$12,CÁLCULO!$AJ$15:$BB$727)/(ORÇAMENTO!$X$15-CÁLCULO.TotalAdmLocal)*CRONO!$E61,0),AB60*$R59),SUMIF(OFFSET($R61,1,0,$Q59-2),($L59+1)&amp;"$",OFFSET(AB61,1,0,$Q59-2)))</f>
        <v>0</v>
      </c>
      <c r="AC61" s="223">
        <f ca="1">IF($Q59=2,IF(AND(ACOMPANHAMENTO="PLE",ISNUMBER($E59)),SUMIF((OFFSET(CÁLCULO!$BC$15:$BU$15,$E59,0,OFFSET(ORÇAMENTO!$D$15,CRONO!$E59,0))),"="&amp;CRONO!AC$12,OFFSET(CÁLCULO!$AJ$15:$BB$15,$E59,0,OFFSET(ORÇAMENTO!$D$15,CRONO!$E59,0)))+IF(AND($E61&lt;&gt;"",$E61&lt;&gt;0),SUMIF(CÁLCULO!$BC$15:$BU$727,"="&amp;CRONO!AC$12,CÁLCULO!$AJ$15:$BB$727)/(ORÇAMENTO!$X$15-CÁLCULO.TotalAdmLocal)*CRONO!$E61,0),AC60*$R59),SUMIF(OFFSET($R61,1,0,$Q59-2),($L59+1)&amp;"$",OFFSET(AC61,1,0,$Q59-2)))</f>
        <v>0</v>
      </c>
      <c r="AD61" s="223">
        <f ca="1">IF($Q59=2,IF(AND(ACOMPANHAMENTO="PLE",ISNUMBER($E59)),SUMIF((OFFSET(CÁLCULO!$BC$15:$BU$15,$E59,0,OFFSET(ORÇAMENTO!$D$15,CRONO!$E59,0))),"="&amp;CRONO!AD$12,OFFSET(CÁLCULO!$AJ$15:$BB$15,$E59,0,OFFSET(ORÇAMENTO!$D$15,CRONO!$E59,0)))+IF(AND($E61&lt;&gt;"",$E61&lt;&gt;0),SUMIF(CÁLCULO!$BC$15:$BU$727,"="&amp;CRONO!AD$12,CÁLCULO!$AJ$15:$BB$727)/(ORÇAMENTO!$X$15-CÁLCULO.TotalAdmLocal)*CRONO!$E61,0),AD60*$R59),SUMIF(OFFSET($R61,1,0,$Q59-2),($L59+1)&amp;"$",OFFSET(AD61,1,0,$Q59-2)))</f>
        <v>0</v>
      </c>
      <c r="AE61" s="228">
        <f ca="1">IF($Q59=2,IF(AND(ACOMPANHAMENTO="PLE",ISNUMBER($E59)),SUMIF((OFFSET(CÁLCULO!$BC$15:$BU$15,$E59,0,OFFSET(ORÇAMENTO!$D$15,CRONO!$E59,0))),"="&amp;CRONO!AE$12,OFFSET(CÁLCULO!$AJ$15:$BB$15,$E59,0,OFFSET(ORÇAMENTO!$D$15,CRONO!$E59,0)))+IF(AND($E61&lt;&gt;"",$E61&lt;&gt;0),SUMIF(CÁLCULO!$BC$15:$BU$727,"="&amp;CRONO!AE$12,CÁLCULO!$AJ$15:$BB$727)/(ORÇAMENTO!$X$15-CÁLCULO.TotalAdmLocal)*CRONO!$E61,0),AE60*$R59),SUMIF(OFFSET($R61,1,0,$Q59-2),($L59+1)&amp;"$",OFFSET(AE61,1,0,$Q59-2)))</f>
        <v>0</v>
      </c>
    </row>
    <row r="62" spans="1:32" x14ac:dyDescent="0.2">
      <c r="A62" s="204">
        <f t="shared" ref="A62" ca="1" si="115">OFFSET(A62,-3,0)+1</f>
        <v>17</v>
      </c>
      <c r="B62" s="204">
        <f ca="1">IF($Q62&lt;&gt;2,0,IF($R62=0,1,IF(E63&gt;0,OFFSET(QCI!$M$13,SUBSTITUTE(E63,".",""),0),OFFSET(ORÇAMENTO!$AA$15,CRONO!$E62,0))/$R62))</f>
        <v>1</v>
      </c>
      <c r="C62" s="204">
        <f ca="1">IF($Q62&lt;&gt;2,0,IF($R62=0,1,IF(E63&gt;0,OFFSET(QCI!$N$13,SUBSTITUTE(E63,".",""),0),OFFSET(ORÇAMENTO!$AB$15,CRONO!$E62,0))/$R62))</f>
        <v>1</v>
      </c>
      <c r="D62" s="207" t="e">
        <f ca="1">IF(AND($Q62=2,ACOMPANHAMENTO="BM"),D63,D64/$R62)</f>
        <v>#DIV/0!</v>
      </c>
      <c r="E62" s="204">
        <f ca="1">IF(A62&lt;=ORÇAMENTO.MáximoListaCrono,MATCH(A62,ORÇAMENTO.ListaCrono,0),NA())</f>
        <v>88</v>
      </c>
      <c r="F62" s="204" t="str">
        <f t="shared" ref="F62" ca="1" si="116">IF(AND($E63&lt;&gt;-1,$R62&gt;0),"F","")</f>
        <v/>
      </c>
      <c r="G62" s="208" t="str">
        <f ca="1">IF(OR(R62=0,R62=""),"Linha",IF(AND(OR(ACOMPANHAMENTO="PLE",$Q62&lt;&gt;2),$E63=0),"Linha",1-SUM(T62:AF62)))</f>
        <v>Linha</v>
      </c>
      <c r="H62" s="209" t="str">
        <f ca="1">IF($E63=0,OFFSET(ORÇAMENTO!O$15,$E62,0),IF($E63&lt;&gt;-1,OFFSET(QCI!$D$13,$E63,0),""))</f>
        <v>1.16.</v>
      </c>
      <c r="I62" s="210" t="str">
        <f ca="1">IF($E63=0,OFFSET(ORÇAMENTO!R$15,$E62,0),IF($E63&lt;&gt;-1,OFFSET(QCI!$G$13,$E63,0),""))</f>
        <v>SISTEMA DE VEDAÇÃO VERTICAL - ALVENARIA DE VEDAÇÃO</v>
      </c>
      <c r="J62" s="210"/>
      <c r="K62" s="210"/>
      <c r="L62" s="211">
        <f ca="1">IF($E63=0,OFFSET(ORÇAMENTO!C$15,$E62,0),1)</f>
        <v>2</v>
      </c>
      <c r="M62" s="212">
        <f ca="1">IF($E63=-1,0,IF(M$13&lt;=$L62,IF(ISERROR(MATCH(M$13,OFFSET($L62,1,0,ROW($L$260)-ROW($L62)-1),0)),ROW($L$260)-ROW($L62)-1,MATCH(M$13,OFFSET($L62,1,0,ROW($L$260)-ROW($L62)-1),0)-1),0))</f>
        <v>197</v>
      </c>
      <c r="N62" s="212">
        <f ca="1">IF($E63=-1,0,IF(N$13&lt;=$L62,IF(ISERROR(MATCH(N$13,OFFSET($L62,1,0,ROW($L$260)-ROW($L62)-1),0)),ROW($L$260)-ROW($L62)-1,MATCH(N$13,OFFSET($L62,1,0,ROW($L$260)-ROW($L62)-1),0)-1),0))</f>
        <v>2</v>
      </c>
      <c r="O62" s="212">
        <f ca="1">IF($E63=-1,0,IF(O$13&lt;=$L62,IF(ISERROR(MATCH(O$13,OFFSET($L62,1,0,ROW($L$260)-ROW($L62)-1),0)),ROW($L$260)-ROW($L62)-1,MATCH(O$13,OFFSET($L62,1,0,ROW($L$260)-ROW($L62)-1),0)-1),0))</f>
        <v>0</v>
      </c>
      <c r="P62" s="212">
        <f ca="1">IF($E63=-1,0,IF(P$13&lt;=$L62,IF(ISERROR(MATCH(P$13,OFFSET($L62,1,0,ROW($L$260)-ROW($L62)-1),0)),ROW($L$260)-ROW($L62)-1,MATCH(P$13,OFFSET($L62,1,0,ROW($L$260)-ROW($L62)-1),0)-1),0))</f>
        <v>0</v>
      </c>
      <c r="Q62" s="212">
        <f t="shared" ref="Q62" ca="1" si="117">MIN(OFFSET(L62,0,1,,L62))</f>
        <v>2</v>
      </c>
      <c r="R62" s="213">
        <f ca="1">IF($E63=0,OFFSET(ORÇAMENTO!X$15,$E62,0),IF($E63&lt;&gt;-1,OFFSET(QCI!$O$13,$E63,0),""))</f>
        <v>0</v>
      </c>
      <c r="S62" s="214" t="s">
        <v>270</v>
      </c>
      <c r="T62" s="215" t="e">
        <f t="shared" ref="T62:AE62" ca="1" si="118">IF(AND($Q62=2,ACOMPANHAMENTO="BM"),T63,T64/$R62)</f>
        <v>#DIV/0!</v>
      </c>
      <c r="U62" s="207" t="e">
        <f t="shared" ca="1" si="118"/>
        <v>#DIV/0!</v>
      </c>
      <c r="V62" s="207" t="e">
        <f t="shared" ca="1" si="118"/>
        <v>#DIV/0!</v>
      </c>
      <c r="W62" s="207" t="e">
        <f t="shared" ca="1" si="118"/>
        <v>#DIV/0!</v>
      </c>
      <c r="X62" s="207" t="e">
        <f t="shared" ca="1" si="118"/>
        <v>#DIV/0!</v>
      </c>
      <c r="Y62" s="207" t="e">
        <f t="shared" ca="1" si="118"/>
        <v>#DIV/0!</v>
      </c>
      <c r="Z62" s="207" t="e">
        <f t="shared" ca="1" si="118"/>
        <v>#DIV/0!</v>
      </c>
      <c r="AA62" s="207" t="e">
        <f t="shared" ca="1" si="118"/>
        <v>#DIV/0!</v>
      </c>
      <c r="AB62" s="207" t="e">
        <f t="shared" ca="1" si="118"/>
        <v>#DIV/0!</v>
      </c>
      <c r="AC62" s="207" t="e">
        <f t="shared" ca="1" si="118"/>
        <v>#DIV/0!</v>
      </c>
      <c r="AD62" s="207" t="e">
        <f t="shared" ca="1" si="118"/>
        <v>#DIV/0!</v>
      </c>
      <c r="AE62" s="216" t="e">
        <f t="shared" ca="1" si="118"/>
        <v>#DIV/0!</v>
      </c>
    </row>
    <row r="63" spans="1:32" ht="12.75" customHeight="1" x14ac:dyDescent="0.2">
      <c r="D63" s="569"/>
      <c r="E63" s="204">
        <f ca="1">IF(ISERROR(E62),IF(1+COUNTIF($L$13:OFFSET(L62,-1,0),1)&lt;=MAX(QCI!$D$13:$D$24),1+COUNTIF($L$13:OFFSET(L62,-1,0),1),-1),0)</f>
        <v>0</v>
      </c>
      <c r="F63" s="204" t="str">
        <f t="shared" ref="F63" ca="1" si="119">IF(AND($E63&lt;&gt;-1,$R62&gt;0),"F","")</f>
        <v/>
      </c>
      <c r="G63" s="217" t="str">
        <f ca="1">IF(OR(R62=0,R62=""),"vazia",IF(AND(OR(ACOMPANHAMENTO="PLE",$Q62&lt;&gt;2),$E63=0),"calculada","--&gt;"))</f>
        <v>vazia</v>
      </c>
      <c r="H63" s="218"/>
      <c r="I63" s="219" t="str">
        <f t="shared" ref="I63" ca="1" si="120">IF(AND(G62&lt;&gt;0,ISNUMBER(G62)),"PREENCHA ESTA LINHA --&gt;","")</f>
        <v/>
      </c>
      <c r="J63" s="219"/>
      <c r="K63" s="219"/>
      <c r="L63" s="220"/>
      <c r="M63" s="220"/>
      <c r="N63" s="220"/>
      <c r="O63" s="220"/>
      <c r="P63" s="220"/>
      <c r="Q63" s="220"/>
      <c r="R63" s="221"/>
      <c r="S63" s="222"/>
      <c r="T63" s="570"/>
      <c r="U63" s="569"/>
      <c r="V63" s="569"/>
      <c r="W63" s="569"/>
      <c r="X63" s="569"/>
      <c r="Y63" s="569"/>
      <c r="Z63" s="569"/>
      <c r="AA63" s="569"/>
      <c r="AB63" s="569"/>
      <c r="AC63" s="569"/>
      <c r="AD63" s="569"/>
      <c r="AE63" s="571"/>
      <c r="AF63" s="533"/>
    </row>
    <row r="64" spans="1:32" ht="0.2" hidden="1" customHeight="1" x14ac:dyDescent="0.2">
      <c r="D64" s="223">
        <f ca="1">IF($Q62=2,IF(AND(ACOMPANHAMENTO="PLE",ISNUMBER($E62)),SUMIF((OFFSET(CÁLCULO!$BC$15:$BU$15,$E62,0,OFFSET(ORÇAMENTO!$D$15,CRONO!$E62,0))),"="&amp;CRONO!D$12,OFFSET(CÁLCULO!$AJ$15:$BB$15,$E62,0,OFFSET(ORÇAMENTO!$D$15,CRONO!$E62,0)))+IF(AND($E64&lt;&gt;"",$E64&lt;&gt;0),SUMIF(CÁLCULO!$BC$15:$BU$727,"="&amp;CRONO!D$12,CÁLCULO!$AJ$15:$BB$727)/(ORÇAMENTO!$X$15-CÁLCULO.TotalAdmLocal)*CRONO!$E64,0),D63*$R62),SUMIF(OFFSET($R64,1,0,$Q62-2),($L62+1)&amp;"$",OFFSET(D64,1,0,$Q62-2)))</f>
        <v>0</v>
      </c>
      <c r="E64" s="204" t="str">
        <f ca="1">IF(OR($Q62&lt;&gt;2,AUTOEVENTO&lt;&gt;"manual",$E63&gt;0),"",SUMIF(OFFSET(CÁLCULO!$M$15,CRONO!$E62,0,OFFSET(ORÇAMENTO!$D$15,CRONO!$E62,0)),1,OFFSET(ORÇAMENTO!$X$15,CRONO!$E62,0,OFFSET(ORÇAMENTO!$D$15,CRONO!$E62,0))))</f>
        <v/>
      </c>
      <c r="G64" s="224"/>
      <c r="R64" s="225" t="str">
        <f t="shared" ref="R64" ca="1" si="121">L62&amp;"$"</f>
        <v>2$</v>
      </c>
      <c r="S64" s="226"/>
      <c r="T64" s="227">
        <f ca="1">IF($Q62=2,IF(AND(ACOMPANHAMENTO="PLE",ISNUMBER($E62)),SUMIF((OFFSET(CÁLCULO!$BC$15:$BU$15,$E62,0,OFFSET(ORÇAMENTO!$D$15,CRONO!$E62,0))),"&lt;="&amp;CRONO!T$12,OFFSET(CÁLCULO!$AJ$15:$BB$15,$E62,0,OFFSET(ORÇAMENTO!$D$15,CRONO!$E62,0)))+IF(AND($E64&lt;&gt;"",$E64&lt;&gt;0),SUMIF(CÁLCULO!$BC$15:$BU$727,"&lt;="&amp;CRONO!T$12,CÁLCULO!$AJ$15:$BB$727)/(ORÇAMENTO!$X$15-CÁLCULO.TotalAdmLocal)*CRONO!$E64,0),T63*$R62),SUMIF(OFFSET($R64,1,0,$Q62-2),($L62+1)&amp;"$",OFFSET(T64,1,0,$Q62-2)))</f>
        <v>0</v>
      </c>
      <c r="U64" s="223">
        <f ca="1">IF($Q62=2,IF(AND(ACOMPANHAMENTO="PLE",ISNUMBER($E62)),SUMIF((OFFSET(CÁLCULO!$BC$15:$BU$15,$E62,0,OFFSET(ORÇAMENTO!$D$15,CRONO!$E62,0))),"="&amp;CRONO!U$12,OFFSET(CÁLCULO!$AJ$15:$BB$15,$E62,0,OFFSET(ORÇAMENTO!$D$15,CRONO!$E62,0)))+IF(AND($E64&lt;&gt;"",$E64&lt;&gt;0),SUMIF(CÁLCULO!$BC$15:$BU$727,"="&amp;CRONO!U$12,CÁLCULO!$AJ$15:$BB$727)/(ORÇAMENTO!$X$15-CÁLCULO.TotalAdmLocal)*CRONO!$E64,0),U63*$R62),SUMIF(OFFSET($R64,1,0,$Q62-2),($L62+1)&amp;"$",OFFSET(U64,1,0,$Q62-2)))</f>
        <v>0</v>
      </c>
      <c r="V64" s="223">
        <f ca="1">IF($Q62=2,IF(AND(ACOMPANHAMENTO="PLE",ISNUMBER($E62)),SUMIF((OFFSET(CÁLCULO!$BC$15:$BU$15,$E62,0,OFFSET(ORÇAMENTO!$D$15,CRONO!$E62,0))),"="&amp;CRONO!V$12,OFFSET(CÁLCULO!$AJ$15:$BB$15,$E62,0,OFFSET(ORÇAMENTO!$D$15,CRONO!$E62,0)))+IF(AND($E64&lt;&gt;"",$E64&lt;&gt;0),SUMIF(CÁLCULO!$BC$15:$BU$727,"="&amp;CRONO!V$12,CÁLCULO!$AJ$15:$BB$727)/(ORÇAMENTO!$X$15-CÁLCULO.TotalAdmLocal)*CRONO!$E64,0),V63*$R62),SUMIF(OFFSET($R64,1,0,$Q62-2),($L62+1)&amp;"$",OFFSET(V64,1,0,$Q62-2)))</f>
        <v>0</v>
      </c>
      <c r="W64" s="223">
        <f ca="1">IF($Q62=2,IF(AND(ACOMPANHAMENTO="PLE",ISNUMBER($E62)),SUMIF((OFFSET(CÁLCULO!$BC$15:$BU$15,$E62,0,OFFSET(ORÇAMENTO!$D$15,CRONO!$E62,0))),"="&amp;CRONO!W$12,OFFSET(CÁLCULO!$AJ$15:$BB$15,$E62,0,OFFSET(ORÇAMENTO!$D$15,CRONO!$E62,0)))+IF(AND($E64&lt;&gt;"",$E64&lt;&gt;0),SUMIF(CÁLCULO!$BC$15:$BU$727,"="&amp;CRONO!W$12,CÁLCULO!$AJ$15:$BB$727)/(ORÇAMENTO!$X$15-CÁLCULO.TotalAdmLocal)*CRONO!$E64,0),W63*$R62),SUMIF(OFFSET($R64,1,0,$Q62-2),($L62+1)&amp;"$",OFFSET(W64,1,0,$Q62-2)))</f>
        <v>0</v>
      </c>
      <c r="X64" s="223">
        <f ca="1">IF($Q62=2,IF(AND(ACOMPANHAMENTO="PLE",ISNUMBER($E62)),SUMIF((OFFSET(CÁLCULO!$BC$15:$BU$15,$E62,0,OFFSET(ORÇAMENTO!$D$15,CRONO!$E62,0))),"="&amp;CRONO!X$12,OFFSET(CÁLCULO!$AJ$15:$BB$15,$E62,0,OFFSET(ORÇAMENTO!$D$15,CRONO!$E62,0)))+IF(AND($E64&lt;&gt;"",$E64&lt;&gt;0),SUMIF(CÁLCULO!$BC$15:$BU$727,"="&amp;CRONO!X$12,CÁLCULO!$AJ$15:$BB$727)/(ORÇAMENTO!$X$15-CÁLCULO.TotalAdmLocal)*CRONO!$E64,0),X63*$R62),SUMIF(OFFSET($R64,1,0,$Q62-2),($L62+1)&amp;"$",OFFSET(X64,1,0,$Q62-2)))</f>
        <v>0</v>
      </c>
      <c r="Y64" s="223">
        <f ca="1">IF($Q62=2,IF(AND(ACOMPANHAMENTO="PLE",ISNUMBER($E62)),SUMIF((OFFSET(CÁLCULO!$BC$15:$BU$15,$E62,0,OFFSET(ORÇAMENTO!$D$15,CRONO!$E62,0))),"="&amp;CRONO!Y$12,OFFSET(CÁLCULO!$AJ$15:$BB$15,$E62,0,OFFSET(ORÇAMENTO!$D$15,CRONO!$E62,0)))+IF(AND($E64&lt;&gt;"",$E64&lt;&gt;0),SUMIF(CÁLCULO!$BC$15:$BU$727,"="&amp;CRONO!Y$12,CÁLCULO!$AJ$15:$BB$727)/(ORÇAMENTO!$X$15-CÁLCULO.TotalAdmLocal)*CRONO!$E64,0),Y63*$R62),SUMIF(OFFSET($R64,1,0,$Q62-2),($L62+1)&amp;"$",OFFSET(Y64,1,0,$Q62-2)))</f>
        <v>0</v>
      </c>
      <c r="Z64" s="223">
        <f ca="1">IF($Q62=2,IF(AND(ACOMPANHAMENTO="PLE",ISNUMBER($E62)),SUMIF((OFFSET(CÁLCULO!$BC$15:$BU$15,$E62,0,OFFSET(ORÇAMENTO!$D$15,CRONO!$E62,0))),"="&amp;CRONO!Z$12,OFFSET(CÁLCULO!$AJ$15:$BB$15,$E62,0,OFFSET(ORÇAMENTO!$D$15,CRONO!$E62,0)))+IF(AND($E64&lt;&gt;"",$E64&lt;&gt;0),SUMIF(CÁLCULO!$BC$15:$BU$727,"="&amp;CRONO!Z$12,CÁLCULO!$AJ$15:$BB$727)/(ORÇAMENTO!$X$15-CÁLCULO.TotalAdmLocal)*CRONO!$E64,0),Z63*$R62),SUMIF(OFFSET($R64,1,0,$Q62-2),($L62+1)&amp;"$",OFFSET(Z64,1,0,$Q62-2)))</f>
        <v>0</v>
      </c>
      <c r="AA64" s="223">
        <f ca="1">IF($Q62=2,IF(AND(ACOMPANHAMENTO="PLE",ISNUMBER($E62)),SUMIF((OFFSET(CÁLCULO!$BC$15:$BU$15,$E62,0,OFFSET(ORÇAMENTO!$D$15,CRONO!$E62,0))),"="&amp;CRONO!AA$12,OFFSET(CÁLCULO!$AJ$15:$BB$15,$E62,0,OFFSET(ORÇAMENTO!$D$15,CRONO!$E62,0)))+IF(AND($E64&lt;&gt;"",$E64&lt;&gt;0),SUMIF(CÁLCULO!$BC$15:$BU$727,"="&amp;CRONO!AA$12,CÁLCULO!$AJ$15:$BB$727)/(ORÇAMENTO!$X$15-CÁLCULO.TotalAdmLocal)*CRONO!$E64,0),AA63*$R62),SUMIF(OFFSET($R64,1,0,$Q62-2),($L62+1)&amp;"$",OFFSET(AA64,1,0,$Q62-2)))</f>
        <v>0</v>
      </c>
      <c r="AB64" s="223">
        <f ca="1">IF($Q62=2,IF(AND(ACOMPANHAMENTO="PLE",ISNUMBER($E62)),SUMIF((OFFSET(CÁLCULO!$BC$15:$BU$15,$E62,0,OFFSET(ORÇAMENTO!$D$15,CRONO!$E62,0))),"="&amp;CRONO!AB$12,OFFSET(CÁLCULO!$AJ$15:$BB$15,$E62,0,OFFSET(ORÇAMENTO!$D$15,CRONO!$E62,0)))+IF(AND($E64&lt;&gt;"",$E64&lt;&gt;0),SUMIF(CÁLCULO!$BC$15:$BU$727,"="&amp;CRONO!AB$12,CÁLCULO!$AJ$15:$BB$727)/(ORÇAMENTO!$X$15-CÁLCULO.TotalAdmLocal)*CRONO!$E64,0),AB63*$R62),SUMIF(OFFSET($R64,1,0,$Q62-2),($L62+1)&amp;"$",OFFSET(AB64,1,0,$Q62-2)))</f>
        <v>0</v>
      </c>
      <c r="AC64" s="223">
        <f ca="1">IF($Q62=2,IF(AND(ACOMPANHAMENTO="PLE",ISNUMBER($E62)),SUMIF((OFFSET(CÁLCULO!$BC$15:$BU$15,$E62,0,OFFSET(ORÇAMENTO!$D$15,CRONO!$E62,0))),"="&amp;CRONO!AC$12,OFFSET(CÁLCULO!$AJ$15:$BB$15,$E62,0,OFFSET(ORÇAMENTO!$D$15,CRONO!$E62,0)))+IF(AND($E64&lt;&gt;"",$E64&lt;&gt;0),SUMIF(CÁLCULO!$BC$15:$BU$727,"="&amp;CRONO!AC$12,CÁLCULO!$AJ$15:$BB$727)/(ORÇAMENTO!$X$15-CÁLCULO.TotalAdmLocal)*CRONO!$E64,0),AC63*$R62),SUMIF(OFFSET($R64,1,0,$Q62-2),($L62+1)&amp;"$",OFFSET(AC64,1,0,$Q62-2)))</f>
        <v>0</v>
      </c>
      <c r="AD64" s="223">
        <f ca="1">IF($Q62=2,IF(AND(ACOMPANHAMENTO="PLE",ISNUMBER($E62)),SUMIF((OFFSET(CÁLCULO!$BC$15:$BU$15,$E62,0,OFFSET(ORÇAMENTO!$D$15,CRONO!$E62,0))),"="&amp;CRONO!AD$12,OFFSET(CÁLCULO!$AJ$15:$BB$15,$E62,0,OFFSET(ORÇAMENTO!$D$15,CRONO!$E62,0)))+IF(AND($E64&lt;&gt;"",$E64&lt;&gt;0),SUMIF(CÁLCULO!$BC$15:$BU$727,"="&amp;CRONO!AD$12,CÁLCULO!$AJ$15:$BB$727)/(ORÇAMENTO!$X$15-CÁLCULO.TotalAdmLocal)*CRONO!$E64,0),AD63*$R62),SUMIF(OFFSET($R64,1,0,$Q62-2),($L62+1)&amp;"$",OFFSET(AD64,1,0,$Q62-2)))</f>
        <v>0</v>
      </c>
      <c r="AE64" s="228">
        <f ca="1">IF($Q62=2,IF(AND(ACOMPANHAMENTO="PLE",ISNUMBER($E62)),SUMIF((OFFSET(CÁLCULO!$BC$15:$BU$15,$E62,0,OFFSET(ORÇAMENTO!$D$15,CRONO!$E62,0))),"="&amp;CRONO!AE$12,OFFSET(CÁLCULO!$AJ$15:$BB$15,$E62,0,OFFSET(ORÇAMENTO!$D$15,CRONO!$E62,0)))+IF(AND($E64&lt;&gt;"",$E64&lt;&gt;0),SUMIF(CÁLCULO!$BC$15:$BU$727,"="&amp;CRONO!AE$12,CÁLCULO!$AJ$15:$BB$727)/(ORÇAMENTO!$X$15-CÁLCULO.TotalAdmLocal)*CRONO!$E64,0),AE63*$R62),SUMIF(OFFSET($R64,1,0,$Q62-2),($L62+1)&amp;"$",OFFSET(AE64,1,0,$Q62-2)))</f>
        <v>0</v>
      </c>
    </row>
    <row r="65" spans="1:32" x14ac:dyDescent="0.2">
      <c r="A65" s="204">
        <f t="shared" ref="A65" ca="1" si="122">OFFSET(A65,-3,0)+1</f>
        <v>18</v>
      </c>
      <c r="B65" s="204">
        <f ca="1">IF($Q65&lt;&gt;2,0,IF($R65=0,1,IF(E66&gt;0,OFFSET(QCI!$M$13,SUBSTITUTE(E66,".",""),0),OFFSET(ORÇAMENTO!$AA$15,CRONO!$E65,0))/$R65))</f>
        <v>1</v>
      </c>
      <c r="C65" s="204">
        <f ca="1">IF($Q65&lt;&gt;2,0,IF($R65=0,1,IF(E66&gt;0,OFFSET(QCI!$N$13,SUBSTITUTE(E66,".",""),0),OFFSET(ORÇAMENTO!$AB$15,CRONO!$E65,0))/$R65))</f>
        <v>1</v>
      </c>
      <c r="D65" s="207" t="e">
        <f ca="1">IF(AND($Q65=2,ACOMPANHAMENTO="BM"),D66,D67/$R65)</f>
        <v>#DIV/0!</v>
      </c>
      <c r="E65" s="204">
        <f ca="1">IF(A65&lt;=ORÇAMENTO.MáximoListaCrono,MATCH(A65,ORÇAMENTO.ListaCrono,0),NA())</f>
        <v>95</v>
      </c>
      <c r="F65" s="204" t="str">
        <f t="shared" ref="F65" ca="1" si="123">IF(AND($E66&lt;&gt;-1,$R65&gt;0),"F","")</f>
        <v/>
      </c>
      <c r="G65" s="208" t="str">
        <f ca="1">IF(OR(R65=0,R65=""),"Linha",IF(AND(OR(ACOMPANHAMENTO="PLE",$Q65&lt;&gt;2),$E66=0),"Linha",1-SUM(T65:AF65)))</f>
        <v>Linha</v>
      </c>
      <c r="H65" s="209" t="str">
        <f ca="1">IF($E66=0,OFFSET(ORÇAMENTO!O$15,$E65,0),IF($E66&lt;&gt;-1,OFFSET(QCI!$D$13,$E66,0),""))</f>
        <v>1.17.</v>
      </c>
      <c r="I65" s="210" t="str">
        <f ca="1">IF($E66=0,OFFSET(ORÇAMENTO!R$15,$E65,0),IF($E66&lt;&gt;-1,OFFSET(QCI!$G$13,$E66,0),""))</f>
        <v>SISTEMA DE VEDAÇÃO VERTICAL - DIVISÓRIAS</v>
      </c>
      <c r="J65" s="210"/>
      <c r="K65" s="210"/>
      <c r="L65" s="211">
        <f ca="1">IF($E66=0,OFFSET(ORÇAMENTO!C$15,$E65,0),1)</f>
        <v>2</v>
      </c>
      <c r="M65" s="212">
        <f ca="1">IF($E66=-1,0,IF(M$13&lt;=$L65,IF(ISERROR(MATCH(M$13,OFFSET($L65,1,0,ROW($L$260)-ROW($L65)-1),0)),ROW($L$260)-ROW($L65)-1,MATCH(M$13,OFFSET($L65,1,0,ROW($L$260)-ROW($L65)-1),0)-1),0))</f>
        <v>194</v>
      </c>
      <c r="N65" s="212">
        <f ca="1">IF($E66=-1,0,IF(N$13&lt;=$L65,IF(ISERROR(MATCH(N$13,OFFSET($L65,1,0,ROW($L$260)-ROW($L65)-1),0)),ROW($L$260)-ROW($L65)-1,MATCH(N$13,OFFSET($L65,1,0,ROW($L$260)-ROW($L65)-1),0)-1),0))</f>
        <v>2</v>
      </c>
      <c r="O65" s="212">
        <f ca="1">IF($E66=-1,0,IF(O$13&lt;=$L65,IF(ISERROR(MATCH(O$13,OFFSET($L65,1,0,ROW($L$260)-ROW($L65)-1),0)),ROW($L$260)-ROW($L65)-1,MATCH(O$13,OFFSET($L65,1,0,ROW($L$260)-ROW($L65)-1),0)-1),0))</f>
        <v>0</v>
      </c>
      <c r="P65" s="212">
        <f ca="1">IF($E66=-1,0,IF(P$13&lt;=$L65,IF(ISERROR(MATCH(P$13,OFFSET($L65,1,0,ROW($L$260)-ROW($L65)-1),0)),ROW($L$260)-ROW($L65)-1,MATCH(P$13,OFFSET($L65,1,0,ROW($L$260)-ROW($L65)-1),0)-1),0))</f>
        <v>0</v>
      </c>
      <c r="Q65" s="212">
        <f t="shared" ref="Q65" ca="1" si="124">MIN(OFFSET(L65,0,1,,L65))</f>
        <v>2</v>
      </c>
      <c r="R65" s="213">
        <f ca="1">IF($E66=0,OFFSET(ORÇAMENTO!X$15,$E65,0),IF($E66&lt;&gt;-1,OFFSET(QCI!$O$13,$E66,0),""))</f>
        <v>0</v>
      </c>
      <c r="S65" s="214" t="s">
        <v>270</v>
      </c>
      <c r="T65" s="215" t="e">
        <f t="shared" ref="T65:AE65" ca="1" si="125">IF(AND($Q65=2,ACOMPANHAMENTO="BM"),T66,T67/$R65)</f>
        <v>#DIV/0!</v>
      </c>
      <c r="U65" s="207" t="e">
        <f t="shared" ca="1" si="125"/>
        <v>#DIV/0!</v>
      </c>
      <c r="V65" s="207" t="e">
        <f t="shared" ca="1" si="125"/>
        <v>#DIV/0!</v>
      </c>
      <c r="W65" s="207" t="e">
        <f t="shared" ca="1" si="125"/>
        <v>#DIV/0!</v>
      </c>
      <c r="X65" s="207" t="e">
        <f t="shared" ca="1" si="125"/>
        <v>#DIV/0!</v>
      </c>
      <c r="Y65" s="207" t="e">
        <f t="shared" ca="1" si="125"/>
        <v>#DIV/0!</v>
      </c>
      <c r="Z65" s="207" t="e">
        <f t="shared" ca="1" si="125"/>
        <v>#DIV/0!</v>
      </c>
      <c r="AA65" s="207" t="e">
        <f t="shared" ca="1" si="125"/>
        <v>#DIV/0!</v>
      </c>
      <c r="AB65" s="207" t="e">
        <f t="shared" ca="1" si="125"/>
        <v>#DIV/0!</v>
      </c>
      <c r="AC65" s="207" t="e">
        <f t="shared" ca="1" si="125"/>
        <v>#DIV/0!</v>
      </c>
      <c r="AD65" s="207" t="e">
        <f t="shared" ca="1" si="125"/>
        <v>#DIV/0!</v>
      </c>
      <c r="AE65" s="216" t="e">
        <f t="shared" ca="1" si="125"/>
        <v>#DIV/0!</v>
      </c>
    </row>
    <row r="66" spans="1:32" ht="12.75" customHeight="1" x14ac:dyDescent="0.2">
      <c r="D66" s="569"/>
      <c r="E66" s="204">
        <f ca="1">IF(ISERROR(E65),IF(1+COUNTIF($L$13:OFFSET(L65,-1,0),1)&lt;=MAX(QCI!$D$13:$D$24),1+COUNTIF($L$13:OFFSET(L65,-1,0),1),-1),0)</f>
        <v>0</v>
      </c>
      <c r="F66" s="204" t="str">
        <f t="shared" ref="F66" ca="1" si="126">IF(AND($E66&lt;&gt;-1,$R65&gt;0),"F","")</f>
        <v/>
      </c>
      <c r="G66" s="217" t="str">
        <f ca="1">IF(OR(R65=0,R65=""),"vazia",IF(AND(OR(ACOMPANHAMENTO="PLE",$Q65&lt;&gt;2),$E66=0),"calculada","--&gt;"))</f>
        <v>vazia</v>
      </c>
      <c r="H66" s="218"/>
      <c r="I66" s="219" t="str">
        <f t="shared" ref="I66" ca="1" si="127">IF(AND(G65&lt;&gt;0,ISNUMBER(G65)),"PREENCHA ESTA LINHA --&gt;","")</f>
        <v/>
      </c>
      <c r="J66" s="219"/>
      <c r="K66" s="219"/>
      <c r="L66" s="220"/>
      <c r="M66" s="220"/>
      <c r="N66" s="220"/>
      <c r="O66" s="220"/>
      <c r="P66" s="220"/>
      <c r="Q66" s="220"/>
      <c r="R66" s="221"/>
      <c r="S66" s="222"/>
      <c r="T66" s="570"/>
      <c r="U66" s="569"/>
      <c r="V66" s="569"/>
      <c r="W66" s="569"/>
      <c r="X66" s="569"/>
      <c r="Y66" s="569"/>
      <c r="Z66" s="569"/>
      <c r="AA66" s="569"/>
      <c r="AB66" s="569"/>
      <c r="AC66" s="569"/>
      <c r="AD66" s="569"/>
      <c r="AE66" s="571"/>
      <c r="AF66" s="533"/>
    </row>
    <row r="67" spans="1:32" ht="0.2" hidden="1" customHeight="1" x14ac:dyDescent="0.2">
      <c r="D67" s="223">
        <f ca="1">IF($Q65=2,IF(AND(ACOMPANHAMENTO="PLE",ISNUMBER($E65)),SUMIF((OFFSET(CÁLCULO!$BC$15:$BU$15,$E65,0,OFFSET(ORÇAMENTO!$D$15,CRONO!$E65,0))),"="&amp;CRONO!D$12,OFFSET(CÁLCULO!$AJ$15:$BB$15,$E65,0,OFFSET(ORÇAMENTO!$D$15,CRONO!$E65,0)))+IF(AND($E67&lt;&gt;"",$E67&lt;&gt;0),SUMIF(CÁLCULO!$BC$15:$BU$727,"="&amp;CRONO!D$12,CÁLCULO!$AJ$15:$BB$727)/(ORÇAMENTO!$X$15-CÁLCULO.TotalAdmLocal)*CRONO!$E67,0),D66*$R65),SUMIF(OFFSET($R67,1,0,$Q65-2),($L65+1)&amp;"$",OFFSET(D67,1,0,$Q65-2)))</f>
        <v>0</v>
      </c>
      <c r="E67" s="204" t="str">
        <f ca="1">IF(OR($Q65&lt;&gt;2,AUTOEVENTO&lt;&gt;"manual",$E66&gt;0),"",SUMIF(OFFSET(CÁLCULO!$M$15,CRONO!$E65,0,OFFSET(ORÇAMENTO!$D$15,CRONO!$E65,0)),1,OFFSET(ORÇAMENTO!$X$15,CRONO!$E65,0,OFFSET(ORÇAMENTO!$D$15,CRONO!$E65,0))))</f>
        <v/>
      </c>
      <c r="G67" s="224"/>
      <c r="R67" s="225" t="str">
        <f t="shared" ref="R67" ca="1" si="128">L65&amp;"$"</f>
        <v>2$</v>
      </c>
      <c r="S67" s="226"/>
      <c r="T67" s="227">
        <f ca="1">IF($Q65=2,IF(AND(ACOMPANHAMENTO="PLE",ISNUMBER($E65)),SUMIF((OFFSET(CÁLCULO!$BC$15:$BU$15,$E65,0,OFFSET(ORÇAMENTO!$D$15,CRONO!$E65,0))),"&lt;="&amp;CRONO!T$12,OFFSET(CÁLCULO!$AJ$15:$BB$15,$E65,0,OFFSET(ORÇAMENTO!$D$15,CRONO!$E65,0)))+IF(AND($E67&lt;&gt;"",$E67&lt;&gt;0),SUMIF(CÁLCULO!$BC$15:$BU$727,"&lt;="&amp;CRONO!T$12,CÁLCULO!$AJ$15:$BB$727)/(ORÇAMENTO!$X$15-CÁLCULO.TotalAdmLocal)*CRONO!$E67,0),T66*$R65),SUMIF(OFFSET($R67,1,0,$Q65-2),($L65+1)&amp;"$",OFFSET(T67,1,0,$Q65-2)))</f>
        <v>0</v>
      </c>
      <c r="U67" s="223">
        <f ca="1">IF($Q65=2,IF(AND(ACOMPANHAMENTO="PLE",ISNUMBER($E65)),SUMIF((OFFSET(CÁLCULO!$BC$15:$BU$15,$E65,0,OFFSET(ORÇAMENTO!$D$15,CRONO!$E65,0))),"="&amp;CRONO!U$12,OFFSET(CÁLCULO!$AJ$15:$BB$15,$E65,0,OFFSET(ORÇAMENTO!$D$15,CRONO!$E65,0)))+IF(AND($E67&lt;&gt;"",$E67&lt;&gt;0),SUMIF(CÁLCULO!$BC$15:$BU$727,"="&amp;CRONO!U$12,CÁLCULO!$AJ$15:$BB$727)/(ORÇAMENTO!$X$15-CÁLCULO.TotalAdmLocal)*CRONO!$E67,0),U66*$R65),SUMIF(OFFSET($R67,1,0,$Q65-2),($L65+1)&amp;"$",OFFSET(U67,1,0,$Q65-2)))</f>
        <v>0</v>
      </c>
      <c r="V67" s="223">
        <f ca="1">IF($Q65=2,IF(AND(ACOMPANHAMENTO="PLE",ISNUMBER($E65)),SUMIF((OFFSET(CÁLCULO!$BC$15:$BU$15,$E65,0,OFFSET(ORÇAMENTO!$D$15,CRONO!$E65,0))),"="&amp;CRONO!V$12,OFFSET(CÁLCULO!$AJ$15:$BB$15,$E65,0,OFFSET(ORÇAMENTO!$D$15,CRONO!$E65,0)))+IF(AND($E67&lt;&gt;"",$E67&lt;&gt;0),SUMIF(CÁLCULO!$BC$15:$BU$727,"="&amp;CRONO!V$12,CÁLCULO!$AJ$15:$BB$727)/(ORÇAMENTO!$X$15-CÁLCULO.TotalAdmLocal)*CRONO!$E67,0),V66*$R65),SUMIF(OFFSET($R67,1,0,$Q65-2),($L65+1)&amp;"$",OFFSET(V67,1,0,$Q65-2)))</f>
        <v>0</v>
      </c>
      <c r="W67" s="223">
        <f ca="1">IF($Q65=2,IF(AND(ACOMPANHAMENTO="PLE",ISNUMBER($E65)),SUMIF((OFFSET(CÁLCULO!$BC$15:$BU$15,$E65,0,OFFSET(ORÇAMENTO!$D$15,CRONO!$E65,0))),"="&amp;CRONO!W$12,OFFSET(CÁLCULO!$AJ$15:$BB$15,$E65,0,OFFSET(ORÇAMENTO!$D$15,CRONO!$E65,0)))+IF(AND($E67&lt;&gt;"",$E67&lt;&gt;0),SUMIF(CÁLCULO!$BC$15:$BU$727,"="&amp;CRONO!W$12,CÁLCULO!$AJ$15:$BB$727)/(ORÇAMENTO!$X$15-CÁLCULO.TotalAdmLocal)*CRONO!$E67,0),W66*$R65),SUMIF(OFFSET($R67,1,0,$Q65-2),($L65+1)&amp;"$",OFFSET(W67,1,0,$Q65-2)))</f>
        <v>0</v>
      </c>
      <c r="X67" s="223">
        <f ca="1">IF($Q65=2,IF(AND(ACOMPANHAMENTO="PLE",ISNUMBER($E65)),SUMIF((OFFSET(CÁLCULO!$BC$15:$BU$15,$E65,0,OFFSET(ORÇAMENTO!$D$15,CRONO!$E65,0))),"="&amp;CRONO!X$12,OFFSET(CÁLCULO!$AJ$15:$BB$15,$E65,0,OFFSET(ORÇAMENTO!$D$15,CRONO!$E65,0)))+IF(AND($E67&lt;&gt;"",$E67&lt;&gt;0),SUMIF(CÁLCULO!$BC$15:$BU$727,"="&amp;CRONO!X$12,CÁLCULO!$AJ$15:$BB$727)/(ORÇAMENTO!$X$15-CÁLCULO.TotalAdmLocal)*CRONO!$E67,0),X66*$R65),SUMIF(OFFSET($R67,1,0,$Q65-2),($L65+1)&amp;"$",OFFSET(X67,1,0,$Q65-2)))</f>
        <v>0</v>
      </c>
      <c r="Y67" s="223">
        <f ca="1">IF($Q65=2,IF(AND(ACOMPANHAMENTO="PLE",ISNUMBER($E65)),SUMIF((OFFSET(CÁLCULO!$BC$15:$BU$15,$E65,0,OFFSET(ORÇAMENTO!$D$15,CRONO!$E65,0))),"="&amp;CRONO!Y$12,OFFSET(CÁLCULO!$AJ$15:$BB$15,$E65,0,OFFSET(ORÇAMENTO!$D$15,CRONO!$E65,0)))+IF(AND($E67&lt;&gt;"",$E67&lt;&gt;0),SUMIF(CÁLCULO!$BC$15:$BU$727,"="&amp;CRONO!Y$12,CÁLCULO!$AJ$15:$BB$727)/(ORÇAMENTO!$X$15-CÁLCULO.TotalAdmLocal)*CRONO!$E67,0),Y66*$R65),SUMIF(OFFSET($R67,1,0,$Q65-2),($L65+1)&amp;"$",OFFSET(Y67,1,0,$Q65-2)))</f>
        <v>0</v>
      </c>
      <c r="Z67" s="223">
        <f ca="1">IF($Q65=2,IF(AND(ACOMPANHAMENTO="PLE",ISNUMBER($E65)),SUMIF((OFFSET(CÁLCULO!$BC$15:$BU$15,$E65,0,OFFSET(ORÇAMENTO!$D$15,CRONO!$E65,0))),"="&amp;CRONO!Z$12,OFFSET(CÁLCULO!$AJ$15:$BB$15,$E65,0,OFFSET(ORÇAMENTO!$D$15,CRONO!$E65,0)))+IF(AND($E67&lt;&gt;"",$E67&lt;&gt;0),SUMIF(CÁLCULO!$BC$15:$BU$727,"="&amp;CRONO!Z$12,CÁLCULO!$AJ$15:$BB$727)/(ORÇAMENTO!$X$15-CÁLCULO.TotalAdmLocal)*CRONO!$E67,0),Z66*$R65),SUMIF(OFFSET($R67,1,0,$Q65-2),($L65+1)&amp;"$",OFFSET(Z67,1,0,$Q65-2)))</f>
        <v>0</v>
      </c>
      <c r="AA67" s="223">
        <f ca="1">IF($Q65=2,IF(AND(ACOMPANHAMENTO="PLE",ISNUMBER($E65)),SUMIF((OFFSET(CÁLCULO!$BC$15:$BU$15,$E65,0,OFFSET(ORÇAMENTO!$D$15,CRONO!$E65,0))),"="&amp;CRONO!AA$12,OFFSET(CÁLCULO!$AJ$15:$BB$15,$E65,0,OFFSET(ORÇAMENTO!$D$15,CRONO!$E65,0)))+IF(AND($E67&lt;&gt;"",$E67&lt;&gt;0),SUMIF(CÁLCULO!$BC$15:$BU$727,"="&amp;CRONO!AA$12,CÁLCULO!$AJ$15:$BB$727)/(ORÇAMENTO!$X$15-CÁLCULO.TotalAdmLocal)*CRONO!$E67,0),AA66*$R65),SUMIF(OFFSET($R67,1,0,$Q65-2),($L65+1)&amp;"$",OFFSET(AA67,1,0,$Q65-2)))</f>
        <v>0</v>
      </c>
      <c r="AB67" s="223">
        <f ca="1">IF($Q65=2,IF(AND(ACOMPANHAMENTO="PLE",ISNUMBER($E65)),SUMIF((OFFSET(CÁLCULO!$BC$15:$BU$15,$E65,0,OFFSET(ORÇAMENTO!$D$15,CRONO!$E65,0))),"="&amp;CRONO!AB$12,OFFSET(CÁLCULO!$AJ$15:$BB$15,$E65,0,OFFSET(ORÇAMENTO!$D$15,CRONO!$E65,0)))+IF(AND($E67&lt;&gt;"",$E67&lt;&gt;0),SUMIF(CÁLCULO!$BC$15:$BU$727,"="&amp;CRONO!AB$12,CÁLCULO!$AJ$15:$BB$727)/(ORÇAMENTO!$X$15-CÁLCULO.TotalAdmLocal)*CRONO!$E67,0),AB66*$R65),SUMIF(OFFSET($R67,1,0,$Q65-2),($L65+1)&amp;"$",OFFSET(AB67,1,0,$Q65-2)))</f>
        <v>0</v>
      </c>
      <c r="AC67" s="223">
        <f ca="1">IF($Q65=2,IF(AND(ACOMPANHAMENTO="PLE",ISNUMBER($E65)),SUMIF((OFFSET(CÁLCULO!$BC$15:$BU$15,$E65,0,OFFSET(ORÇAMENTO!$D$15,CRONO!$E65,0))),"="&amp;CRONO!AC$12,OFFSET(CÁLCULO!$AJ$15:$BB$15,$E65,0,OFFSET(ORÇAMENTO!$D$15,CRONO!$E65,0)))+IF(AND($E67&lt;&gt;"",$E67&lt;&gt;0),SUMIF(CÁLCULO!$BC$15:$BU$727,"="&amp;CRONO!AC$12,CÁLCULO!$AJ$15:$BB$727)/(ORÇAMENTO!$X$15-CÁLCULO.TotalAdmLocal)*CRONO!$E67,0),AC66*$R65),SUMIF(OFFSET($R67,1,0,$Q65-2),($L65+1)&amp;"$",OFFSET(AC67,1,0,$Q65-2)))</f>
        <v>0</v>
      </c>
      <c r="AD67" s="223">
        <f ca="1">IF($Q65=2,IF(AND(ACOMPANHAMENTO="PLE",ISNUMBER($E65)),SUMIF((OFFSET(CÁLCULO!$BC$15:$BU$15,$E65,0,OFFSET(ORÇAMENTO!$D$15,CRONO!$E65,0))),"="&amp;CRONO!AD$12,OFFSET(CÁLCULO!$AJ$15:$BB$15,$E65,0,OFFSET(ORÇAMENTO!$D$15,CRONO!$E65,0)))+IF(AND($E67&lt;&gt;"",$E67&lt;&gt;0),SUMIF(CÁLCULO!$BC$15:$BU$727,"="&amp;CRONO!AD$12,CÁLCULO!$AJ$15:$BB$727)/(ORÇAMENTO!$X$15-CÁLCULO.TotalAdmLocal)*CRONO!$E67,0),AD66*$R65),SUMIF(OFFSET($R67,1,0,$Q65-2),($L65+1)&amp;"$",OFFSET(AD67,1,0,$Q65-2)))</f>
        <v>0</v>
      </c>
      <c r="AE67" s="228">
        <f ca="1">IF($Q65=2,IF(AND(ACOMPANHAMENTO="PLE",ISNUMBER($E65)),SUMIF((OFFSET(CÁLCULO!$BC$15:$BU$15,$E65,0,OFFSET(ORÇAMENTO!$D$15,CRONO!$E65,0))),"="&amp;CRONO!AE$12,OFFSET(CÁLCULO!$AJ$15:$BB$15,$E65,0,OFFSET(ORÇAMENTO!$D$15,CRONO!$E65,0)))+IF(AND($E67&lt;&gt;"",$E67&lt;&gt;0),SUMIF(CÁLCULO!$BC$15:$BU$727,"="&amp;CRONO!AE$12,CÁLCULO!$AJ$15:$BB$727)/(ORÇAMENTO!$X$15-CÁLCULO.TotalAdmLocal)*CRONO!$E67,0),AE66*$R65),SUMIF(OFFSET($R67,1,0,$Q65-2),($L65+1)&amp;"$",OFFSET(AE67,1,0,$Q65-2)))</f>
        <v>0</v>
      </c>
    </row>
    <row r="68" spans="1:32" x14ac:dyDescent="0.2">
      <c r="A68" s="204">
        <f t="shared" ref="A68" ca="1" si="129">OFFSET(A68,-3,0)+1</f>
        <v>19</v>
      </c>
      <c r="B68" s="204">
        <f ca="1">IF($Q68&lt;&gt;2,0,IF($R68=0,1,IF(E69&gt;0,OFFSET(QCI!$M$13,SUBSTITUTE(E69,".",""),0),OFFSET(ORÇAMENTO!$AA$15,CRONO!$E68,0))/$R68))</f>
        <v>1</v>
      </c>
      <c r="C68" s="204">
        <f ca="1">IF($Q68&lt;&gt;2,0,IF($R68=0,1,IF(E69&gt;0,OFFSET(QCI!$N$13,SUBSTITUTE(E69,".",""),0),OFFSET(ORÇAMENTO!$AB$15,CRONO!$E68,0))/$R68))</f>
        <v>1</v>
      </c>
      <c r="D68" s="207" t="e">
        <f ca="1">IF(AND($Q68=2,ACOMPANHAMENTO="BM"),D69,D70/$R68)</f>
        <v>#DIV/0!</v>
      </c>
      <c r="E68" s="204">
        <f ca="1">IF(A68&lt;=ORÇAMENTO.MáximoListaCrono,MATCH(A68,ORÇAMENTO.ListaCrono,0),NA())</f>
        <v>99</v>
      </c>
      <c r="F68" s="204" t="str">
        <f t="shared" ref="F68" ca="1" si="130">IF(AND($E69&lt;&gt;-1,$R68&gt;0),"F","")</f>
        <v/>
      </c>
      <c r="G68" s="208" t="str">
        <f ca="1">IF(OR(R68=0,R68=""),"Linha",IF(AND(OR(ACOMPANHAMENTO="PLE",$Q68&lt;&gt;2),$E69=0),"Linha",1-SUM(T68:AF68)))</f>
        <v>Linha</v>
      </c>
      <c r="H68" s="209" t="str">
        <f ca="1">IF($E69=0,OFFSET(ORÇAMENTO!O$15,$E68,0),IF($E69&lt;&gt;-1,OFFSET(QCI!$D$13,$E69,0),""))</f>
        <v>1.18.</v>
      </c>
      <c r="I68" s="210" t="str">
        <f ca="1">IF($E69=0,OFFSET(ORÇAMENTO!R$15,$E68,0),IF($E69&lt;&gt;-1,OFFSET(QCI!$G$13,$E69,0),""))</f>
        <v>ESQUADRIAS - PORTAS DE MADEIRA</v>
      </c>
      <c r="J68" s="210"/>
      <c r="K68" s="210"/>
      <c r="L68" s="211">
        <f ca="1">IF($E69=0,OFFSET(ORÇAMENTO!C$15,$E68,0),1)</f>
        <v>2</v>
      </c>
      <c r="M68" s="212">
        <f ca="1">IF($E69=-1,0,IF(M$13&lt;=$L68,IF(ISERROR(MATCH(M$13,OFFSET($L68,1,0,ROW($L$260)-ROW($L68)-1),0)),ROW($L$260)-ROW($L68)-1,MATCH(M$13,OFFSET($L68,1,0,ROW($L$260)-ROW($L68)-1),0)-1),0))</f>
        <v>191</v>
      </c>
      <c r="N68" s="212">
        <f ca="1">IF($E69=-1,0,IF(N$13&lt;=$L68,IF(ISERROR(MATCH(N$13,OFFSET($L68,1,0,ROW($L$260)-ROW($L68)-1),0)),ROW($L$260)-ROW($L68)-1,MATCH(N$13,OFFSET($L68,1,0,ROW($L$260)-ROW($L68)-1),0)-1),0))</f>
        <v>2</v>
      </c>
      <c r="O68" s="212">
        <f ca="1">IF($E69=-1,0,IF(O$13&lt;=$L68,IF(ISERROR(MATCH(O$13,OFFSET($L68,1,0,ROW($L$260)-ROW($L68)-1),0)),ROW($L$260)-ROW($L68)-1,MATCH(O$13,OFFSET($L68,1,0,ROW($L$260)-ROW($L68)-1),0)-1),0))</f>
        <v>0</v>
      </c>
      <c r="P68" s="212">
        <f ca="1">IF($E69=-1,0,IF(P$13&lt;=$L68,IF(ISERROR(MATCH(P$13,OFFSET($L68,1,0,ROW($L$260)-ROW($L68)-1),0)),ROW($L$260)-ROW($L68)-1,MATCH(P$13,OFFSET($L68,1,0,ROW($L$260)-ROW($L68)-1),0)-1),0))</f>
        <v>0</v>
      </c>
      <c r="Q68" s="212">
        <f t="shared" ref="Q68" ca="1" si="131">MIN(OFFSET(L68,0,1,,L68))</f>
        <v>2</v>
      </c>
      <c r="R68" s="213">
        <f ca="1">IF($E69=0,OFFSET(ORÇAMENTO!X$15,$E68,0),IF($E69&lt;&gt;-1,OFFSET(QCI!$O$13,$E69,0),""))</f>
        <v>0</v>
      </c>
      <c r="S68" s="214" t="s">
        <v>270</v>
      </c>
      <c r="T68" s="215" t="e">
        <f t="shared" ref="T68:AE68" ca="1" si="132">IF(AND($Q68=2,ACOMPANHAMENTO="BM"),T69,T70/$R68)</f>
        <v>#DIV/0!</v>
      </c>
      <c r="U68" s="207" t="e">
        <f t="shared" ca="1" si="132"/>
        <v>#DIV/0!</v>
      </c>
      <c r="V68" s="207" t="e">
        <f t="shared" ca="1" si="132"/>
        <v>#DIV/0!</v>
      </c>
      <c r="W68" s="207" t="e">
        <f t="shared" ca="1" si="132"/>
        <v>#DIV/0!</v>
      </c>
      <c r="X68" s="207" t="e">
        <f t="shared" ca="1" si="132"/>
        <v>#DIV/0!</v>
      </c>
      <c r="Y68" s="207" t="e">
        <f t="shared" ca="1" si="132"/>
        <v>#DIV/0!</v>
      </c>
      <c r="Z68" s="207" t="e">
        <f t="shared" ca="1" si="132"/>
        <v>#DIV/0!</v>
      </c>
      <c r="AA68" s="207" t="e">
        <f t="shared" ca="1" si="132"/>
        <v>#DIV/0!</v>
      </c>
      <c r="AB68" s="207" t="e">
        <f t="shared" ca="1" si="132"/>
        <v>#DIV/0!</v>
      </c>
      <c r="AC68" s="207" t="e">
        <f t="shared" ca="1" si="132"/>
        <v>#DIV/0!</v>
      </c>
      <c r="AD68" s="207" t="e">
        <f t="shared" ca="1" si="132"/>
        <v>#DIV/0!</v>
      </c>
      <c r="AE68" s="216" t="e">
        <f t="shared" ca="1" si="132"/>
        <v>#DIV/0!</v>
      </c>
    </row>
    <row r="69" spans="1:32" ht="12.75" customHeight="1" x14ac:dyDescent="0.2">
      <c r="D69" s="569"/>
      <c r="E69" s="204">
        <f ca="1">IF(ISERROR(E68),IF(1+COUNTIF($L$13:OFFSET(L68,-1,0),1)&lt;=MAX(QCI!$D$13:$D$24),1+COUNTIF($L$13:OFFSET(L68,-1,0),1),-1),0)</f>
        <v>0</v>
      </c>
      <c r="F69" s="204" t="str">
        <f t="shared" ref="F69" ca="1" si="133">IF(AND($E69&lt;&gt;-1,$R68&gt;0),"F","")</f>
        <v/>
      </c>
      <c r="G69" s="217" t="str">
        <f ca="1">IF(OR(R68=0,R68=""),"vazia",IF(AND(OR(ACOMPANHAMENTO="PLE",$Q68&lt;&gt;2),$E69=0),"calculada","--&gt;"))</f>
        <v>vazia</v>
      </c>
      <c r="H69" s="218"/>
      <c r="I69" s="219" t="str">
        <f t="shared" ref="I69" ca="1" si="134">IF(AND(G68&lt;&gt;0,ISNUMBER(G68)),"PREENCHA ESTA LINHA --&gt;","")</f>
        <v/>
      </c>
      <c r="J69" s="219"/>
      <c r="K69" s="219"/>
      <c r="L69" s="220"/>
      <c r="M69" s="220"/>
      <c r="N69" s="220"/>
      <c r="O69" s="220"/>
      <c r="P69" s="220"/>
      <c r="Q69" s="220"/>
      <c r="R69" s="221"/>
      <c r="S69" s="222"/>
      <c r="T69" s="570"/>
      <c r="U69" s="569"/>
      <c r="V69" s="569"/>
      <c r="W69" s="569"/>
      <c r="X69" s="569"/>
      <c r="Y69" s="569"/>
      <c r="Z69" s="569"/>
      <c r="AA69" s="569"/>
      <c r="AB69" s="569"/>
      <c r="AC69" s="569"/>
      <c r="AD69" s="569"/>
      <c r="AE69" s="571"/>
      <c r="AF69" s="533"/>
    </row>
    <row r="70" spans="1:32" ht="0.2" hidden="1" customHeight="1" x14ac:dyDescent="0.2">
      <c r="D70" s="223">
        <f ca="1">IF($Q68=2,IF(AND(ACOMPANHAMENTO="PLE",ISNUMBER($E68)),SUMIF((OFFSET(CÁLCULO!$BC$15:$BU$15,$E68,0,OFFSET(ORÇAMENTO!$D$15,CRONO!$E68,0))),"="&amp;CRONO!D$12,OFFSET(CÁLCULO!$AJ$15:$BB$15,$E68,0,OFFSET(ORÇAMENTO!$D$15,CRONO!$E68,0)))+IF(AND($E70&lt;&gt;"",$E70&lt;&gt;0),SUMIF(CÁLCULO!$BC$15:$BU$727,"="&amp;CRONO!D$12,CÁLCULO!$AJ$15:$BB$727)/(ORÇAMENTO!$X$15-CÁLCULO.TotalAdmLocal)*CRONO!$E70,0),D69*$R68),SUMIF(OFFSET($R70,1,0,$Q68-2),($L68+1)&amp;"$",OFFSET(D70,1,0,$Q68-2)))</f>
        <v>0</v>
      </c>
      <c r="E70" s="204" t="str">
        <f ca="1">IF(OR($Q68&lt;&gt;2,AUTOEVENTO&lt;&gt;"manual",$E69&gt;0),"",SUMIF(OFFSET(CÁLCULO!$M$15,CRONO!$E68,0,OFFSET(ORÇAMENTO!$D$15,CRONO!$E68,0)),1,OFFSET(ORÇAMENTO!$X$15,CRONO!$E68,0,OFFSET(ORÇAMENTO!$D$15,CRONO!$E68,0))))</f>
        <v/>
      </c>
      <c r="G70" s="224"/>
      <c r="R70" s="225" t="str">
        <f t="shared" ref="R70" ca="1" si="135">L68&amp;"$"</f>
        <v>2$</v>
      </c>
      <c r="S70" s="226"/>
      <c r="T70" s="227">
        <f ca="1">IF($Q68=2,IF(AND(ACOMPANHAMENTO="PLE",ISNUMBER($E68)),SUMIF((OFFSET(CÁLCULO!$BC$15:$BU$15,$E68,0,OFFSET(ORÇAMENTO!$D$15,CRONO!$E68,0))),"&lt;="&amp;CRONO!T$12,OFFSET(CÁLCULO!$AJ$15:$BB$15,$E68,0,OFFSET(ORÇAMENTO!$D$15,CRONO!$E68,0)))+IF(AND($E70&lt;&gt;"",$E70&lt;&gt;0),SUMIF(CÁLCULO!$BC$15:$BU$727,"&lt;="&amp;CRONO!T$12,CÁLCULO!$AJ$15:$BB$727)/(ORÇAMENTO!$X$15-CÁLCULO.TotalAdmLocal)*CRONO!$E70,0),T69*$R68),SUMIF(OFFSET($R70,1,0,$Q68-2),($L68+1)&amp;"$",OFFSET(T70,1,0,$Q68-2)))</f>
        <v>0</v>
      </c>
      <c r="U70" s="223">
        <f ca="1">IF($Q68=2,IF(AND(ACOMPANHAMENTO="PLE",ISNUMBER($E68)),SUMIF((OFFSET(CÁLCULO!$BC$15:$BU$15,$E68,0,OFFSET(ORÇAMENTO!$D$15,CRONO!$E68,0))),"="&amp;CRONO!U$12,OFFSET(CÁLCULO!$AJ$15:$BB$15,$E68,0,OFFSET(ORÇAMENTO!$D$15,CRONO!$E68,0)))+IF(AND($E70&lt;&gt;"",$E70&lt;&gt;0),SUMIF(CÁLCULO!$BC$15:$BU$727,"="&amp;CRONO!U$12,CÁLCULO!$AJ$15:$BB$727)/(ORÇAMENTO!$X$15-CÁLCULO.TotalAdmLocal)*CRONO!$E70,0),U69*$R68),SUMIF(OFFSET($R70,1,0,$Q68-2),($L68+1)&amp;"$",OFFSET(U70,1,0,$Q68-2)))</f>
        <v>0</v>
      </c>
      <c r="V70" s="223">
        <f ca="1">IF($Q68=2,IF(AND(ACOMPANHAMENTO="PLE",ISNUMBER($E68)),SUMIF((OFFSET(CÁLCULO!$BC$15:$BU$15,$E68,0,OFFSET(ORÇAMENTO!$D$15,CRONO!$E68,0))),"="&amp;CRONO!V$12,OFFSET(CÁLCULO!$AJ$15:$BB$15,$E68,0,OFFSET(ORÇAMENTO!$D$15,CRONO!$E68,0)))+IF(AND($E70&lt;&gt;"",$E70&lt;&gt;0),SUMIF(CÁLCULO!$BC$15:$BU$727,"="&amp;CRONO!V$12,CÁLCULO!$AJ$15:$BB$727)/(ORÇAMENTO!$X$15-CÁLCULO.TotalAdmLocal)*CRONO!$E70,0),V69*$R68),SUMIF(OFFSET($R70,1,0,$Q68-2),($L68+1)&amp;"$",OFFSET(V70,1,0,$Q68-2)))</f>
        <v>0</v>
      </c>
      <c r="W70" s="223">
        <f ca="1">IF($Q68=2,IF(AND(ACOMPANHAMENTO="PLE",ISNUMBER($E68)),SUMIF((OFFSET(CÁLCULO!$BC$15:$BU$15,$E68,0,OFFSET(ORÇAMENTO!$D$15,CRONO!$E68,0))),"="&amp;CRONO!W$12,OFFSET(CÁLCULO!$AJ$15:$BB$15,$E68,0,OFFSET(ORÇAMENTO!$D$15,CRONO!$E68,0)))+IF(AND($E70&lt;&gt;"",$E70&lt;&gt;0),SUMIF(CÁLCULO!$BC$15:$BU$727,"="&amp;CRONO!W$12,CÁLCULO!$AJ$15:$BB$727)/(ORÇAMENTO!$X$15-CÁLCULO.TotalAdmLocal)*CRONO!$E70,0),W69*$R68),SUMIF(OFFSET($R70,1,0,$Q68-2),($L68+1)&amp;"$",OFFSET(W70,1,0,$Q68-2)))</f>
        <v>0</v>
      </c>
      <c r="X70" s="223">
        <f ca="1">IF($Q68=2,IF(AND(ACOMPANHAMENTO="PLE",ISNUMBER($E68)),SUMIF((OFFSET(CÁLCULO!$BC$15:$BU$15,$E68,0,OFFSET(ORÇAMENTO!$D$15,CRONO!$E68,0))),"="&amp;CRONO!X$12,OFFSET(CÁLCULO!$AJ$15:$BB$15,$E68,0,OFFSET(ORÇAMENTO!$D$15,CRONO!$E68,0)))+IF(AND($E70&lt;&gt;"",$E70&lt;&gt;0),SUMIF(CÁLCULO!$BC$15:$BU$727,"="&amp;CRONO!X$12,CÁLCULO!$AJ$15:$BB$727)/(ORÇAMENTO!$X$15-CÁLCULO.TotalAdmLocal)*CRONO!$E70,0),X69*$R68),SUMIF(OFFSET($R70,1,0,$Q68-2),($L68+1)&amp;"$",OFFSET(X70,1,0,$Q68-2)))</f>
        <v>0</v>
      </c>
      <c r="Y70" s="223">
        <f ca="1">IF($Q68=2,IF(AND(ACOMPANHAMENTO="PLE",ISNUMBER($E68)),SUMIF((OFFSET(CÁLCULO!$BC$15:$BU$15,$E68,0,OFFSET(ORÇAMENTO!$D$15,CRONO!$E68,0))),"="&amp;CRONO!Y$12,OFFSET(CÁLCULO!$AJ$15:$BB$15,$E68,0,OFFSET(ORÇAMENTO!$D$15,CRONO!$E68,0)))+IF(AND($E70&lt;&gt;"",$E70&lt;&gt;0),SUMIF(CÁLCULO!$BC$15:$BU$727,"="&amp;CRONO!Y$12,CÁLCULO!$AJ$15:$BB$727)/(ORÇAMENTO!$X$15-CÁLCULO.TotalAdmLocal)*CRONO!$E70,0),Y69*$R68),SUMIF(OFFSET($R70,1,0,$Q68-2),($L68+1)&amp;"$",OFFSET(Y70,1,0,$Q68-2)))</f>
        <v>0</v>
      </c>
      <c r="Z70" s="223">
        <f ca="1">IF($Q68=2,IF(AND(ACOMPANHAMENTO="PLE",ISNUMBER($E68)),SUMIF((OFFSET(CÁLCULO!$BC$15:$BU$15,$E68,0,OFFSET(ORÇAMENTO!$D$15,CRONO!$E68,0))),"="&amp;CRONO!Z$12,OFFSET(CÁLCULO!$AJ$15:$BB$15,$E68,0,OFFSET(ORÇAMENTO!$D$15,CRONO!$E68,0)))+IF(AND($E70&lt;&gt;"",$E70&lt;&gt;0),SUMIF(CÁLCULO!$BC$15:$BU$727,"="&amp;CRONO!Z$12,CÁLCULO!$AJ$15:$BB$727)/(ORÇAMENTO!$X$15-CÁLCULO.TotalAdmLocal)*CRONO!$E70,0),Z69*$R68),SUMIF(OFFSET($R70,1,0,$Q68-2),($L68+1)&amp;"$",OFFSET(Z70,1,0,$Q68-2)))</f>
        <v>0</v>
      </c>
      <c r="AA70" s="223">
        <f ca="1">IF($Q68=2,IF(AND(ACOMPANHAMENTO="PLE",ISNUMBER($E68)),SUMIF((OFFSET(CÁLCULO!$BC$15:$BU$15,$E68,0,OFFSET(ORÇAMENTO!$D$15,CRONO!$E68,0))),"="&amp;CRONO!AA$12,OFFSET(CÁLCULO!$AJ$15:$BB$15,$E68,0,OFFSET(ORÇAMENTO!$D$15,CRONO!$E68,0)))+IF(AND($E70&lt;&gt;"",$E70&lt;&gt;0),SUMIF(CÁLCULO!$BC$15:$BU$727,"="&amp;CRONO!AA$12,CÁLCULO!$AJ$15:$BB$727)/(ORÇAMENTO!$X$15-CÁLCULO.TotalAdmLocal)*CRONO!$E70,0),AA69*$R68),SUMIF(OFFSET($R70,1,0,$Q68-2),($L68+1)&amp;"$",OFFSET(AA70,1,0,$Q68-2)))</f>
        <v>0</v>
      </c>
      <c r="AB70" s="223">
        <f ca="1">IF($Q68=2,IF(AND(ACOMPANHAMENTO="PLE",ISNUMBER($E68)),SUMIF((OFFSET(CÁLCULO!$BC$15:$BU$15,$E68,0,OFFSET(ORÇAMENTO!$D$15,CRONO!$E68,0))),"="&amp;CRONO!AB$12,OFFSET(CÁLCULO!$AJ$15:$BB$15,$E68,0,OFFSET(ORÇAMENTO!$D$15,CRONO!$E68,0)))+IF(AND($E70&lt;&gt;"",$E70&lt;&gt;0),SUMIF(CÁLCULO!$BC$15:$BU$727,"="&amp;CRONO!AB$12,CÁLCULO!$AJ$15:$BB$727)/(ORÇAMENTO!$X$15-CÁLCULO.TotalAdmLocal)*CRONO!$E70,0),AB69*$R68),SUMIF(OFFSET($R70,1,0,$Q68-2),($L68+1)&amp;"$",OFFSET(AB70,1,0,$Q68-2)))</f>
        <v>0</v>
      </c>
      <c r="AC70" s="223">
        <f ca="1">IF($Q68=2,IF(AND(ACOMPANHAMENTO="PLE",ISNUMBER($E68)),SUMIF((OFFSET(CÁLCULO!$BC$15:$BU$15,$E68,0,OFFSET(ORÇAMENTO!$D$15,CRONO!$E68,0))),"="&amp;CRONO!AC$12,OFFSET(CÁLCULO!$AJ$15:$BB$15,$E68,0,OFFSET(ORÇAMENTO!$D$15,CRONO!$E68,0)))+IF(AND($E70&lt;&gt;"",$E70&lt;&gt;0),SUMIF(CÁLCULO!$BC$15:$BU$727,"="&amp;CRONO!AC$12,CÁLCULO!$AJ$15:$BB$727)/(ORÇAMENTO!$X$15-CÁLCULO.TotalAdmLocal)*CRONO!$E70,0),AC69*$R68),SUMIF(OFFSET($R70,1,0,$Q68-2),($L68+1)&amp;"$",OFFSET(AC70,1,0,$Q68-2)))</f>
        <v>0</v>
      </c>
      <c r="AD70" s="223">
        <f ca="1">IF($Q68=2,IF(AND(ACOMPANHAMENTO="PLE",ISNUMBER($E68)),SUMIF((OFFSET(CÁLCULO!$BC$15:$BU$15,$E68,0,OFFSET(ORÇAMENTO!$D$15,CRONO!$E68,0))),"="&amp;CRONO!AD$12,OFFSET(CÁLCULO!$AJ$15:$BB$15,$E68,0,OFFSET(ORÇAMENTO!$D$15,CRONO!$E68,0)))+IF(AND($E70&lt;&gt;"",$E70&lt;&gt;0),SUMIF(CÁLCULO!$BC$15:$BU$727,"="&amp;CRONO!AD$12,CÁLCULO!$AJ$15:$BB$727)/(ORÇAMENTO!$X$15-CÁLCULO.TotalAdmLocal)*CRONO!$E70,0),AD69*$R68),SUMIF(OFFSET($R70,1,0,$Q68-2),($L68+1)&amp;"$",OFFSET(AD70,1,0,$Q68-2)))</f>
        <v>0</v>
      </c>
      <c r="AE70" s="228">
        <f ca="1">IF($Q68=2,IF(AND(ACOMPANHAMENTO="PLE",ISNUMBER($E68)),SUMIF((OFFSET(CÁLCULO!$BC$15:$BU$15,$E68,0,OFFSET(ORÇAMENTO!$D$15,CRONO!$E68,0))),"="&amp;CRONO!AE$12,OFFSET(CÁLCULO!$AJ$15:$BB$15,$E68,0,OFFSET(ORÇAMENTO!$D$15,CRONO!$E68,0)))+IF(AND($E70&lt;&gt;"",$E70&lt;&gt;0),SUMIF(CÁLCULO!$BC$15:$BU$727,"="&amp;CRONO!AE$12,CÁLCULO!$AJ$15:$BB$727)/(ORÇAMENTO!$X$15-CÁLCULO.TotalAdmLocal)*CRONO!$E70,0),AE69*$R68),SUMIF(OFFSET($R70,1,0,$Q68-2),($L68+1)&amp;"$",OFFSET(AE70,1,0,$Q68-2)))</f>
        <v>0</v>
      </c>
    </row>
    <row r="71" spans="1:32" x14ac:dyDescent="0.2">
      <c r="A71" s="204">
        <f t="shared" ref="A71" ca="1" si="136">OFFSET(A71,-3,0)+1</f>
        <v>20</v>
      </c>
      <c r="B71" s="204">
        <f ca="1">IF($Q71&lt;&gt;2,0,IF($R71=0,1,IF(E72&gt;0,OFFSET(QCI!$M$13,SUBSTITUTE(E72,".",""),0),OFFSET(ORÇAMENTO!$AA$15,CRONO!$E71,0))/$R71))</f>
        <v>1</v>
      </c>
      <c r="C71" s="204">
        <f ca="1">IF($Q71&lt;&gt;2,0,IF($R71=0,1,IF(E72&gt;0,OFFSET(QCI!$N$13,SUBSTITUTE(E72,".",""),0),OFFSET(ORÇAMENTO!$AB$15,CRONO!$E71,0))/$R71))</f>
        <v>1</v>
      </c>
      <c r="D71" s="207" t="e">
        <f ca="1">IF(AND($Q71=2,ACOMPANHAMENTO="BM"),D72,D73/$R71)</f>
        <v>#DIV/0!</v>
      </c>
      <c r="E71" s="204">
        <f ca="1">IF(A71&lt;=ORÇAMENTO.MáximoListaCrono,MATCH(A71,ORÇAMENTO.ListaCrono,0),NA())</f>
        <v>106</v>
      </c>
      <c r="F71" s="204" t="str">
        <f t="shared" ref="F71" ca="1" si="137">IF(AND($E72&lt;&gt;-1,$R71&gt;0),"F","")</f>
        <v/>
      </c>
      <c r="G71" s="208" t="str">
        <f ca="1">IF(OR(R71=0,R71=""),"Linha",IF(AND(OR(ACOMPANHAMENTO="PLE",$Q71&lt;&gt;2),$E72=0),"Linha",1-SUM(T71:AF71)))</f>
        <v>Linha</v>
      </c>
      <c r="H71" s="209" t="str">
        <f ca="1">IF($E72=0,OFFSET(ORÇAMENTO!O$15,$E71,0),IF($E72&lt;&gt;-1,OFFSET(QCI!$D$13,$E72,0),""))</f>
        <v>1.19.</v>
      </c>
      <c r="I71" s="210" t="str">
        <f ca="1">IF($E72=0,OFFSET(ORÇAMENTO!R$15,$E71,0),IF($E72&lt;&gt;-1,OFFSET(QCI!$G$13,$E72,0),""))</f>
        <v>ESQUADRIAS - FERRAGENS E ACESSÓRIOS</v>
      </c>
      <c r="J71" s="210"/>
      <c r="K71" s="210"/>
      <c r="L71" s="211">
        <f ca="1">IF($E72=0,OFFSET(ORÇAMENTO!C$15,$E71,0),1)</f>
        <v>2</v>
      </c>
      <c r="M71" s="212">
        <f ca="1">IF($E72=-1,0,IF(M$13&lt;=$L71,IF(ISERROR(MATCH(M$13,OFFSET($L71,1,0,ROW($L$260)-ROW($L71)-1),0)),ROW($L$260)-ROW($L71)-1,MATCH(M$13,OFFSET($L71,1,0,ROW($L$260)-ROW($L71)-1),0)-1),0))</f>
        <v>188</v>
      </c>
      <c r="N71" s="212">
        <f ca="1">IF($E72=-1,0,IF(N$13&lt;=$L71,IF(ISERROR(MATCH(N$13,OFFSET($L71,1,0,ROW($L$260)-ROW($L71)-1),0)),ROW($L$260)-ROW($L71)-1,MATCH(N$13,OFFSET($L71,1,0,ROW($L$260)-ROW($L71)-1),0)-1),0))</f>
        <v>2</v>
      </c>
      <c r="O71" s="212">
        <f ca="1">IF($E72=-1,0,IF(O$13&lt;=$L71,IF(ISERROR(MATCH(O$13,OFFSET($L71,1,0,ROW($L$260)-ROW($L71)-1),0)),ROW($L$260)-ROW($L71)-1,MATCH(O$13,OFFSET($L71,1,0,ROW($L$260)-ROW($L71)-1),0)-1),0))</f>
        <v>0</v>
      </c>
      <c r="P71" s="212">
        <f ca="1">IF($E72=-1,0,IF(P$13&lt;=$L71,IF(ISERROR(MATCH(P$13,OFFSET($L71,1,0,ROW($L$260)-ROW($L71)-1),0)),ROW($L$260)-ROW($L71)-1,MATCH(P$13,OFFSET($L71,1,0,ROW($L$260)-ROW($L71)-1),0)-1),0))</f>
        <v>0</v>
      </c>
      <c r="Q71" s="212">
        <f t="shared" ref="Q71" ca="1" si="138">MIN(OFFSET(L71,0,1,,L71))</f>
        <v>2</v>
      </c>
      <c r="R71" s="213">
        <f ca="1">IF($E72=0,OFFSET(ORÇAMENTO!X$15,$E71,0),IF($E72&lt;&gt;-1,OFFSET(QCI!$O$13,$E72,0),""))</f>
        <v>0</v>
      </c>
      <c r="S71" s="214" t="s">
        <v>270</v>
      </c>
      <c r="T71" s="215" t="e">
        <f t="shared" ref="T71:AE71" ca="1" si="139">IF(AND($Q71=2,ACOMPANHAMENTO="BM"),T72,T73/$R71)</f>
        <v>#DIV/0!</v>
      </c>
      <c r="U71" s="207" t="e">
        <f t="shared" ca="1" si="139"/>
        <v>#DIV/0!</v>
      </c>
      <c r="V71" s="207" t="e">
        <f t="shared" ca="1" si="139"/>
        <v>#DIV/0!</v>
      </c>
      <c r="W71" s="207" t="e">
        <f t="shared" ca="1" si="139"/>
        <v>#DIV/0!</v>
      </c>
      <c r="X71" s="207" t="e">
        <f t="shared" ca="1" si="139"/>
        <v>#DIV/0!</v>
      </c>
      <c r="Y71" s="207" t="e">
        <f t="shared" ca="1" si="139"/>
        <v>#DIV/0!</v>
      </c>
      <c r="Z71" s="207" t="e">
        <f t="shared" ca="1" si="139"/>
        <v>#DIV/0!</v>
      </c>
      <c r="AA71" s="207" t="e">
        <f t="shared" ca="1" si="139"/>
        <v>#DIV/0!</v>
      </c>
      <c r="AB71" s="207" t="e">
        <f t="shared" ca="1" si="139"/>
        <v>#DIV/0!</v>
      </c>
      <c r="AC71" s="207" t="e">
        <f t="shared" ca="1" si="139"/>
        <v>#DIV/0!</v>
      </c>
      <c r="AD71" s="207" t="e">
        <f t="shared" ca="1" si="139"/>
        <v>#DIV/0!</v>
      </c>
      <c r="AE71" s="216" t="e">
        <f t="shared" ca="1" si="139"/>
        <v>#DIV/0!</v>
      </c>
    </row>
    <row r="72" spans="1:32" ht="12.75" customHeight="1" x14ac:dyDescent="0.2">
      <c r="D72" s="569"/>
      <c r="E72" s="204">
        <f ca="1">IF(ISERROR(E71),IF(1+COUNTIF($L$13:OFFSET(L71,-1,0),1)&lt;=MAX(QCI!$D$13:$D$24),1+COUNTIF($L$13:OFFSET(L71,-1,0),1),-1),0)</f>
        <v>0</v>
      </c>
      <c r="F72" s="204" t="str">
        <f t="shared" ref="F72" ca="1" si="140">IF(AND($E72&lt;&gt;-1,$R71&gt;0),"F","")</f>
        <v/>
      </c>
      <c r="G72" s="217" t="str">
        <f ca="1">IF(OR(R71=0,R71=""),"vazia",IF(AND(OR(ACOMPANHAMENTO="PLE",$Q71&lt;&gt;2),$E72=0),"calculada","--&gt;"))</f>
        <v>vazia</v>
      </c>
      <c r="H72" s="218"/>
      <c r="I72" s="219" t="str">
        <f t="shared" ref="I72" ca="1" si="141">IF(AND(G71&lt;&gt;0,ISNUMBER(G71)),"PREENCHA ESTA LINHA --&gt;","")</f>
        <v/>
      </c>
      <c r="J72" s="219"/>
      <c r="K72" s="219"/>
      <c r="L72" s="220"/>
      <c r="M72" s="220"/>
      <c r="N72" s="220"/>
      <c r="O72" s="220"/>
      <c r="P72" s="220"/>
      <c r="Q72" s="220"/>
      <c r="R72" s="221"/>
      <c r="S72" s="222"/>
      <c r="T72" s="570"/>
      <c r="U72" s="569"/>
      <c r="V72" s="569"/>
      <c r="W72" s="569"/>
      <c r="X72" s="569"/>
      <c r="Y72" s="569"/>
      <c r="Z72" s="569"/>
      <c r="AA72" s="569"/>
      <c r="AB72" s="569"/>
      <c r="AC72" s="569"/>
      <c r="AD72" s="569"/>
      <c r="AE72" s="571"/>
      <c r="AF72" s="533"/>
    </row>
    <row r="73" spans="1:32" ht="0.2" hidden="1" customHeight="1" x14ac:dyDescent="0.2">
      <c r="D73" s="223">
        <f ca="1">IF($Q71=2,IF(AND(ACOMPANHAMENTO="PLE",ISNUMBER($E71)),SUMIF((OFFSET(CÁLCULO!$BC$15:$BU$15,$E71,0,OFFSET(ORÇAMENTO!$D$15,CRONO!$E71,0))),"="&amp;CRONO!D$12,OFFSET(CÁLCULO!$AJ$15:$BB$15,$E71,0,OFFSET(ORÇAMENTO!$D$15,CRONO!$E71,0)))+IF(AND($E73&lt;&gt;"",$E73&lt;&gt;0),SUMIF(CÁLCULO!$BC$15:$BU$727,"="&amp;CRONO!D$12,CÁLCULO!$AJ$15:$BB$727)/(ORÇAMENTO!$X$15-CÁLCULO.TotalAdmLocal)*CRONO!$E73,0),D72*$R71),SUMIF(OFFSET($R73,1,0,$Q71-2),($L71+1)&amp;"$",OFFSET(D73,1,0,$Q71-2)))</f>
        <v>0</v>
      </c>
      <c r="E73" s="204" t="str">
        <f ca="1">IF(OR($Q71&lt;&gt;2,AUTOEVENTO&lt;&gt;"manual",$E72&gt;0),"",SUMIF(OFFSET(CÁLCULO!$M$15,CRONO!$E71,0,OFFSET(ORÇAMENTO!$D$15,CRONO!$E71,0)),1,OFFSET(ORÇAMENTO!$X$15,CRONO!$E71,0,OFFSET(ORÇAMENTO!$D$15,CRONO!$E71,0))))</f>
        <v/>
      </c>
      <c r="G73" s="224"/>
      <c r="R73" s="225" t="str">
        <f t="shared" ref="R73" ca="1" si="142">L71&amp;"$"</f>
        <v>2$</v>
      </c>
      <c r="S73" s="226"/>
      <c r="T73" s="227">
        <f ca="1">IF($Q71=2,IF(AND(ACOMPANHAMENTO="PLE",ISNUMBER($E71)),SUMIF((OFFSET(CÁLCULO!$BC$15:$BU$15,$E71,0,OFFSET(ORÇAMENTO!$D$15,CRONO!$E71,0))),"&lt;="&amp;CRONO!T$12,OFFSET(CÁLCULO!$AJ$15:$BB$15,$E71,0,OFFSET(ORÇAMENTO!$D$15,CRONO!$E71,0)))+IF(AND($E73&lt;&gt;"",$E73&lt;&gt;0),SUMIF(CÁLCULO!$BC$15:$BU$727,"&lt;="&amp;CRONO!T$12,CÁLCULO!$AJ$15:$BB$727)/(ORÇAMENTO!$X$15-CÁLCULO.TotalAdmLocal)*CRONO!$E73,0),T72*$R71),SUMIF(OFFSET($R73,1,0,$Q71-2),($L71+1)&amp;"$",OFFSET(T73,1,0,$Q71-2)))</f>
        <v>0</v>
      </c>
      <c r="U73" s="223">
        <f ca="1">IF($Q71=2,IF(AND(ACOMPANHAMENTO="PLE",ISNUMBER($E71)),SUMIF((OFFSET(CÁLCULO!$BC$15:$BU$15,$E71,0,OFFSET(ORÇAMENTO!$D$15,CRONO!$E71,0))),"="&amp;CRONO!U$12,OFFSET(CÁLCULO!$AJ$15:$BB$15,$E71,0,OFFSET(ORÇAMENTO!$D$15,CRONO!$E71,0)))+IF(AND($E73&lt;&gt;"",$E73&lt;&gt;0),SUMIF(CÁLCULO!$BC$15:$BU$727,"="&amp;CRONO!U$12,CÁLCULO!$AJ$15:$BB$727)/(ORÇAMENTO!$X$15-CÁLCULO.TotalAdmLocal)*CRONO!$E73,0),U72*$R71),SUMIF(OFFSET($R73,1,0,$Q71-2),($L71+1)&amp;"$",OFFSET(U73,1,0,$Q71-2)))</f>
        <v>0</v>
      </c>
      <c r="V73" s="223">
        <f ca="1">IF($Q71=2,IF(AND(ACOMPANHAMENTO="PLE",ISNUMBER($E71)),SUMIF((OFFSET(CÁLCULO!$BC$15:$BU$15,$E71,0,OFFSET(ORÇAMENTO!$D$15,CRONO!$E71,0))),"="&amp;CRONO!V$12,OFFSET(CÁLCULO!$AJ$15:$BB$15,$E71,0,OFFSET(ORÇAMENTO!$D$15,CRONO!$E71,0)))+IF(AND($E73&lt;&gt;"",$E73&lt;&gt;0),SUMIF(CÁLCULO!$BC$15:$BU$727,"="&amp;CRONO!V$12,CÁLCULO!$AJ$15:$BB$727)/(ORÇAMENTO!$X$15-CÁLCULO.TotalAdmLocal)*CRONO!$E73,0),V72*$R71),SUMIF(OFFSET($R73,1,0,$Q71-2),($L71+1)&amp;"$",OFFSET(V73,1,0,$Q71-2)))</f>
        <v>0</v>
      </c>
      <c r="W73" s="223">
        <f ca="1">IF($Q71=2,IF(AND(ACOMPANHAMENTO="PLE",ISNUMBER($E71)),SUMIF((OFFSET(CÁLCULO!$BC$15:$BU$15,$E71,0,OFFSET(ORÇAMENTO!$D$15,CRONO!$E71,0))),"="&amp;CRONO!W$12,OFFSET(CÁLCULO!$AJ$15:$BB$15,$E71,0,OFFSET(ORÇAMENTO!$D$15,CRONO!$E71,0)))+IF(AND($E73&lt;&gt;"",$E73&lt;&gt;0),SUMIF(CÁLCULO!$BC$15:$BU$727,"="&amp;CRONO!W$12,CÁLCULO!$AJ$15:$BB$727)/(ORÇAMENTO!$X$15-CÁLCULO.TotalAdmLocal)*CRONO!$E73,0),W72*$R71),SUMIF(OFFSET($R73,1,0,$Q71-2),($L71+1)&amp;"$",OFFSET(W73,1,0,$Q71-2)))</f>
        <v>0</v>
      </c>
      <c r="X73" s="223">
        <f ca="1">IF($Q71=2,IF(AND(ACOMPANHAMENTO="PLE",ISNUMBER($E71)),SUMIF((OFFSET(CÁLCULO!$BC$15:$BU$15,$E71,0,OFFSET(ORÇAMENTO!$D$15,CRONO!$E71,0))),"="&amp;CRONO!X$12,OFFSET(CÁLCULO!$AJ$15:$BB$15,$E71,0,OFFSET(ORÇAMENTO!$D$15,CRONO!$E71,0)))+IF(AND($E73&lt;&gt;"",$E73&lt;&gt;0),SUMIF(CÁLCULO!$BC$15:$BU$727,"="&amp;CRONO!X$12,CÁLCULO!$AJ$15:$BB$727)/(ORÇAMENTO!$X$15-CÁLCULO.TotalAdmLocal)*CRONO!$E73,0),X72*$R71),SUMIF(OFFSET($R73,1,0,$Q71-2),($L71+1)&amp;"$",OFFSET(X73,1,0,$Q71-2)))</f>
        <v>0</v>
      </c>
      <c r="Y73" s="223">
        <f ca="1">IF($Q71=2,IF(AND(ACOMPANHAMENTO="PLE",ISNUMBER($E71)),SUMIF((OFFSET(CÁLCULO!$BC$15:$BU$15,$E71,0,OFFSET(ORÇAMENTO!$D$15,CRONO!$E71,0))),"="&amp;CRONO!Y$12,OFFSET(CÁLCULO!$AJ$15:$BB$15,$E71,0,OFFSET(ORÇAMENTO!$D$15,CRONO!$E71,0)))+IF(AND($E73&lt;&gt;"",$E73&lt;&gt;0),SUMIF(CÁLCULO!$BC$15:$BU$727,"="&amp;CRONO!Y$12,CÁLCULO!$AJ$15:$BB$727)/(ORÇAMENTO!$X$15-CÁLCULO.TotalAdmLocal)*CRONO!$E73,0),Y72*$R71),SUMIF(OFFSET($R73,1,0,$Q71-2),($L71+1)&amp;"$",OFFSET(Y73,1,0,$Q71-2)))</f>
        <v>0</v>
      </c>
      <c r="Z73" s="223">
        <f ca="1">IF($Q71=2,IF(AND(ACOMPANHAMENTO="PLE",ISNUMBER($E71)),SUMIF((OFFSET(CÁLCULO!$BC$15:$BU$15,$E71,0,OFFSET(ORÇAMENTO!$D$15,CRONO!$E71,0))),"="&amp;CRONO!Z$12,OFFSET(CÁLCULO!$AJ$15:$BB$15,$E71,0,OFFSET(ORÇAMENTO!$D$15,CRONO!$E71,0)))+IF(AND($E73&lt;&gt;"",$E73&lt;&gt;0),SUMIF(CÁLCULO!$BC$15:$BU$727,"="&amp;CRONO!Z$12,CÁLCULO!$AJ$15:$BB$727)/(ORÇAMENTO!$X$15-CÁLCULO.TotalAdmLocal)*CRONO!$E73,0),Z72*$R71),SUMIF(OFFSET($R73,1,0,$Q71-2),($L71+1)&amp;"$",OFFSET(Z73,1,0,$Q71-2)))</f>
        <v>0</v>
      </c>
      <c r="AA73" s="223">
        <f ca="1">IF($Q71=2,IF(AND(ACOMPANHAMENTO="PLE",ISNUMBER($E71)),SUMIF((OFFSET(CÁLCULO!$BC$15:$BU$15,$E71,0,OFFSET(ORÇAMENTO!$D$15,CRONO!$E71,0))),"="&amp;CRONO!AA$12,OFFSET(CÁLCULO!$AJ$15:$BB$15,$E71,0,OFFSET(ORÇAMENTO!$D$15,CRONO!$E71,0)))+IF(AND($E73&lt;&gt;"",$E73&lt;&gt;0),SUMIF(CÁLCULO!$BC$15:$BU$727,"="&amp;CRONO!AA$12,CÁLCULO!$AJ$15:$BB$727)/(ORÇAMENTO!$X$15-CÁLCULO.TotalAdmLocal)*CRONO!$E73,0),AA72*$R71),SUMIF(OFFSET($R73,1,0,$Q71-2),($L71+1)&amp;"$",OFFSET(AA73,1,0,$Q71-2)))</f>
        <v>0</v>
      </c>
      <c r="AB73" s="223">
        <f ca="1">IF($Q71=2,IF(AND(ACOMPANHAMENTO="PLE",ISNUMBER($E71)),SUMIF((OFFSET(CÁLCULO!$BC$15:$BU$15,$E71,0,OFFSET(ORÇAMENTO!$D$15,CRONO!$E71,0))),"="&amp;CRONO!AB$12,OFFSET(CÁLCULO!$AJ$15:$BB$15,$E71,0,OFFSET(ORÇAMENTO!$D$15,CRONO!$E71,0)))+IF(AND($E73&lt;&gt;"",$E73&lt;&gt;0),SUMIF(CÁLCULO!$BC$15:$BU$727,"="&amp;CRONO!AB$12,CÁLCULO!$AJ$15:$BB$727)/(ORÇAMENTO!$X$15-CÁLCULO.TotalAdmLocal)*CRONO!$E73,0),AB72*$R71),SUMIF(OFFSET($R73,1,0,$Q71-2),($L71+1)&amp;"$",OFFSET(AB73,1,0,$Q71-2)))</f>
        <v>0</v>
      </c>
      <c r="AC73" s="223">
        <f ca="1">IF($Q71=2,IF(AND(ACOMPANHAMENTO="PLE",ISNUMBER($E71)),SUMIF((OFFSET(CÁLCULO!$BC$15:$BU$15,$E71,0,OFFSET(ORÇAMENTO!$D$15,CRONO!$E71,0))),"="&amp;CRONO!AC$12,OFFSET(CÁLCULO!$AJ$15:$BB$15,$E71,0,OFFSET(ORÇAMENTO!$D$15,CRONO!$E71,0)))+IF(AND($E73&lt;&gt;"",$E73&lt;&gt;0),SUMIF(CÁLCULO!$BC$15:$BU$727,"="&amp;CRONO!AC$12,CÁLCULO!$AJ$15:$BB$727)/(ORÇAMENTO!$X$15-CÁLCULO.TotalAdmLocal)*CRONO!$E73,0),AC72*$R71),SUMIF(OFFSET($R73,1,0,$Q71-2),($L71+1)&amp;"$",OFFSET(AC73,1,0,$Q71-2)))</f>
        <v>0</v>
      </c>
      <c r="AD73" s="223">
        <f ca="1">IF($Q71=2,IF(AND(ACOMPANHAMENTO="PLE",ISNUMBER($E71)),SUMIF((OFFSET(CÁLCULO!$BC$15:$BU$15,$E71,0,OFFSET(ORÇAMENTO!$D$15,CRONO!$E71,0))),"="&amp;CRONO!AD$12,OFFSET(CÁLCULO!$AJ$15:$BB$15,$E71,0,OFFSET(ORÇAMENTO!$D$15,CRONO!$E71,0)))+IF(AND($E73&lt;&gt;"",$E73&lt;&gt;0),SUMIF(CÁLCULO!$BC$15:$BU$727,"="&amp;CRONO!AD$12,CÁLCULO!$AJ$15:$BB$727)/(ORÇAMENTO!$X$15-CÁLCULO.TotalAdmLocal)*CRONO!$E73,0),AD72*$R71),SUMIF(OFFSET($R73,1,0,$Q71-2),($L71+1)&amp;"$",OFFSET(AD73,1,0,$Q71-2)))</f>
        <v>0</v>
      </c>
      <c r="AE73" s="228">
        <f ca="1">IF($Q71=2,IF(AND(ACOMPANHAMENTO="PLE",ISNUMBER($E71)),SUMIF((OFFSET(CÁLCULO!$BC$15:$BU$15,$E71,0,OFFSET(ORÇAMENTO!$D$15,CRONO!$E71,0))),"="&amp;CRONO!AE$12,OFFSET(CÁLCULO!$AJ$15:$BB$15,$E71,0,OFFSET(ORÇAMENTO!$D$15,CRONO!$E71,0)))+IF(AND($E73&lt;&gt;"",$E73&lt;&gt;0),SUMIF(CÁLCULO!$BC$15:$BU$727,"="&amp;CRONO!AE$12,CÁLCULO!$AJ$15:$BB$727)/(ORÇAMENTO!$X$15-CÁLCULO.TotalAdmLocal)*CRONO!$E73,0),AE72*$R71),SUMIF(OFFSET($R73,1,0,$Q71-2),($L71+1)&amp;"$",OFFSET(AE73,1,0,$Q71-2)))</f>
        <v>0</v>
      </c>
    </row>
    <row r="74" spans="1:32" x14ac:dyDescent="0.2">
      <c r="A74" s="204">
        <f t="shared" ref="A74" ca="1" si="143">OFFSET(A74,-3,0)+1</f>
        <v>21</v>
      </c>
      <c r="B74" s="204">
        <f ca="1">IF($Q74&lt;&gt;2,0,IF($R74=0,1,IF(E75&gt;0,OFFSET(QCI!$M$13,SUBSTITUTE(E75,".",""),0),OFFSET(ORÇAMENTO!$AA$15,CRONO!$E74,0))/$R74))</f>
        <v>1</v>
      </c>
      <c r="C74" s="204">
        <f ca="1">IF($Q74&lt;&gt;2,0,IF($R74=0,1,IF(E75&gt;0,OFFSET(QCI!$N$13,SUBSTITUTE(E75,".",""),0),OFFSET(ORÇAMENTO!$AB$15,CRONO!$E74,0))/$R74))</f>
        <v>1</v>
      </c>
      <c r="D74" s="207" t="e">
        <f ca="1">IF(AND($Q74=2,ACOMPANHAMENTO="BM"),D75,D76/$R74)</f>
        <v>#DIV/0!</v>
      </c>
      <c r="E74" s="204">
        <f ca="1">IF(A74&lt;=ORÇAMENTO.MáximoListaCrono,MATCH(A74,ORÇAMENTO.ListaCrono,0),NA())</f>
        <v>111</v>
      </c>
      <c r="F74" s="204" t="str">
        <f t="shared" ref="F74" ca="1" si="144">IF(AND($E75&lt;&gt;-1,$R74&gt;0),"F","")</f>
        <v/>
      </c>
      <c r="G74" s="208" t="str">
        <f ca="1">IF(OR(R74=0,R74=""),"Linha",IF(AND(OR(ACOMPANHAMENTO="PLE",$Q74&lt;&gt;2),$E75=0),"Linha",1-SUM(T74:AF74)))</f>
        <v>Linha</v>
      </c>
      <c r="H74" s="209" t="str">
        <f ca="1">IF($E75=0,OFFSET(ORÇAMENTO!O$15,$E74,0),IF($E75&lt;&gt;-1,OFFSET(QCI!$D$13,$E75,0),""))</f>
        <v>1.20.</v>
      </c>
      <c r="I74" s="210" t="str">
        <f ca="1">IF($E75=0,OFFSET(ORÇAMENTO!R$15,$E74,0),IF($E75&lt;&gt;-1,OFFSET(QCI!$G$13,$E75,0),""))</f>
        <v>ESQUADRIAS - PORTAS EM ALUMÍNIO</v>
      </c>
      <c r="J74" s="210"/>
      <c r="K74" s="210"/>
      <c r="L74" s="211">
        <f ca="1">IF($E75=0,OFFSET(ORÇAMENTO!C$15,$E74,0),1)</f>
        <v>2</v>
      </c>
      <c r="M74" s="212">
        <f ca="1">IF($E75=-1,0,IF(M$13&lt;=$L74,IF(ISERROR(MATCH(M$13,OFFSET($L74,1,0,ROW($L$260)-ROW($L74)-1),0)),ROW($L$260)-ROW($L74)-1,MATCH(M$13,OFFSET($L74,1,0,ROW($L$260)-ROW($L74)-1),0)-1),0))</f>
        <v>185</v>
      </c>
      <c r="N74" s="212">
        <f ca="1">IF($E75=-1,0,IF(N$13&lt;=$L74,IF(ISERROR(MATCH(N$13,OFFSET($L74,1,0,ROW($L$260)-ROW($L74)-1),0)),ROW($L$260)-ROW($L74)-1,MATCH(N$13,OFFSET($L74,1,0,ROW($L$260)-ROW($L74)-1),0)-1),0))</f>
        <v>2</v>
      </c>
      <c r="O74" s="212">
        <f ca="1">IF($E75=-1,0,IF(O$13&lt;=$L74,IF(ISERROR(MATCH(O$13,OFFSET($L74,1,0,ROW($L$260)-ROW($L74)-1),0)),ROW($L$260)-ROW($L74)-1,MATCH(O$13,OFFSET($L74,1,0,ROW($L$260)-ROW($L74)-1),0)-1),0))</f>
        <v>0</v>
      </c>
      <c r="P74" s="212">
        <f ca="1">IF($E75=-1,0,IF(P$13&lt;=$L74,IF(ISERROR(MATCH(P$13,OFFSET($L74,1,0,ROW($L$260)-ROW($L74)-1),0)),ROW($L$260)-ROW($L74)-1,MATCH(P$13,OFFSET($L74,1,0,ROW($L$260)-ROW($L74)-1),0)-1),0))</f>
        <v>0</v>
      </c>
      <c r="Q74" s="212">
        <f t="shared" ref="Q74" ca="1" si="145">MIN(OFFSET(L74,0,1,,L74))</f>
        <v>2</v>
      </c>
      <c r="R74" s="213">
        <f ca="1">IF($E75=0,OFFSET(ORÇAMENTO!X$15,$E74,0),IF($E75&lt;&gt;-1,OFFSET(QCI!$O$13,$E75,0),""))</f>
        <v>0</v>
      </c>
      <c r="S74" s="214" t="s">
        <v>270</v>
      </c>
      <c r="T74" s="215" t="e">
        <f t="shared" ref="T74:AE74" ca="1" si="146">IF(AND($Q74=2,ACOMPANHAMENTO="BM"),T75,T76/$R74)</f>
        <v>#DIV/0!</v>
      </c>
      <c r="U74" s="207" t="e">
        <f t="shared" ca="1" si="146"/>
        <v>#DIV/0!</v>
      </c>
      <c r="V74" s="207" t="e">
        <f t="shared" ca="1" si="146"/>
        <v>#DIV/0!</v>
      </c>
      <c r="W74" s="207" t="e">
        <f t="shared" ca="1" si="146"/>
        <v>#DIV/0!</v>
      </c>
      <c r="X74" s="207" t="e">
        <f t="shared" ca="1" si="146"/>
        <v>#DIV/0!</v>
      </c>
      <c r="Y74" s="207" t="e">
        <f t="shared" ca="1" si="146"/>
        <v>#DIV/0!</v>
      </c>
      <c r="Z74" s="207" t="e">
        <f t="shared" ca="1" si="146"/>
        <v>#DIV/0!</v>
      </c>
      <c r="AA74" s="207" t="e">
        <f t="shared" ca="1" si="146"/>
        <v>#DIV/0!</v>
      </c>
      <c r="AB74" s="207" t="e">
        <f t="shared" ca="1" si="146"/>
        <v>#DIV/0!</v>
      </c>
      <c r="AC74" s="207" t="e">
        <f t="shared" ca="1" si="146"/>
        <v>#DIV/0!</v>
      </c>
      <c r="AD74" s="207" t="e">
        <f t="shared" ca="1" si="146"/>
        <v>#DIV/0!</v>
      </c>
      <c r="AE74" s="216" t="e">
        <f t="shared" ca="1" si="146"/>
        <v>#DIV/0!</v>
      </c>
    </row>
    <row r="75" spans="1:32" ht="12.75" customHeight="1" x14ac:dyDescent="0.2">
      <c r="D75" s="569"/>
      <c r="E75" s="204">
        <f ca="1">IF(ISERROR(E74),IF(1+COUNTIF($L$13:OFFSET(L74,-1,0),1)&lt;=MAX(QCI!$D$13:$D$24),1+COUNTIF($L$13:OFFSET(L74,-1,0),1),-1),0)</f>
        <v>0</v>
      </c>
      <c r="F75" s="204" t="str">
        <f t="shared" ref="F75" ca="1" si="147">IF(AND($E75&lt;&gt;-1,$R74&gt;0),"F","")</f>
        <v/>
      </c>
      <c r="G75" s="217" t="str">
        <f ca="1">IF(OR(R74=0,R74=""),"vazia",IF(AND(OR(ACOMPANHAMENTO="PLE",$Q74&lt;&gt;2),$E75=0),"calculada","--&gt;"))</f>
        <v>vazia</v>
      </c>
      <c r="H75" s="218"/>
      <c r="I75" s="219" t="str">
        <f t="shared" ref="I75" ca="1" si="148">IF(AND(G74&lt;&gt;0,ISNUMBER(G74)),"PREENCHA ESTA LINHA --&gt;","")</f>
        <v/>
      </c>
      <c r="J75" s="219"/>
      <c r="K75" s="219"/>
      <c r="L75" s="220"/>
      <c r="M75" s="220"/>
      <c r="N75" s="220"/>
      <c r="O75" s="220"/>
      <c r="P75" s="220"/>
      <c r="Q75" s="220"/>
      <c r="R75" s="221"/>
      <c r="S75" s="222"/>
      <c r="T75" s="570"/>
      <c r="U75" s="569"/>
      <c r="V75" s="569"/>
      <c r="W75" s="569"/>
      <c r="X75" s="569"/>
      <c r="Y75" s="569"/>
      <c r="Z75" s="569"/>
      <c r="AA75" s="569"/>
      <c r="AB75" s="569"/>
      <c r="AC75" s="569"/>
      <c r="AD75" s="569"/>
      <c r="AE75" s="571"/>
      <c r="AF75" s="533"/>
    </row>
    <row r="76" spans="1:32" ht="0.2" hidden="1" customHeight="1" x14ac:dyDescent="0.2">
      <c r="D76" s="223">
        <f ca="1">IF($Q74=2,IF(AND(ACOMPANHAMENTO="PLE",ISNUMBER($E74)),SUMIF((OFFSET(CÁLCULO!$BC$15:$BU$15,$E74,0,OFFSET(ORÇAMENTO!$D$15,CRONO!$E74,0))),"="&amp;CRONO!D$12,OFFSET(CÁLCULO!$AJ$15:$BB$15,$E74,0,OFFSET(ORÇAMENTO!$D$15,CRONO!$E74,0)))+IF(AND($E76&lt;&gt;"",$E76&lt;&gt;0),SUMIF(CÁLCULO!$BC$15:$BU$727,"="&amp;CRONO!D$12,CÁLCULO!$AJ$15:$BB$727)/(ORÇAMENTO!$X$15-CÁLCULO.TotalAdmLocal)*CRONO!$E76,0),D75*$R74),SUMIF(OFFSET($R76,1,0,$Q74-2),($L74+1)&amp;"$",OFFSET(D76,1,0,$Q74-2)))</f>
        <v>0</v>
      </c>
      <c r="E76" s="204" t="str">
        <f ca="1">IF(OR($Q74&lt;&gt;2,AUTOEVENTO&lt;&gt;"manual",$E75&gt;0),"",SUMIF(OFFSET(CÁLCULO!$M$15,CRONO!$E74,0,OFFSET(ORÇAMENTO!$D$15,CRONO!$E74,0)),1,OFFSET(ORÇAMENTO!$X$15,CRONO!$E74,0,OFFSET(ORÇAMENTO!$D$15,CRONO!$E74,0))))</f>
        <v/>
      </c>
      <c r="G76" s="224"/>
      <c r="R76" s="225" t="str">
        <f t="shared" ref="R76" ca="1" si="149">L74&amp;"$"</f>
        <v>2$</v>
      </c>
      <c r="S76" s="226"/>
      <c r="T76" s="227">
        <f ca="1">IF($Q74=2,IF(AND(ACOMPANHAMENTO="PLE",ISNUMBER($E74)),SUMIF((OFFSET(CÁLCULO!$BC$15:$BU$15,$E74,0,OFFSET(ORÇAMENTO!$D$15,CRONO!$E74,0))),"&lt;="&amp;CRONO!T$12,OFFSET(CÁLCULO!$AJ$15:$BB$15,$E74,0,OFFSET(ORÇAMENTO!$D$15,CRONO!$E74,0)))+IF(AND($E76&lt;&gt;"",$E76&lt;&gt;0),SUMIF(CÁLCULO!$BC$15:$BU$727,"&lt;="&amp;CRONO!T$12,CÁLCULO!$AJ$15:$BB$727)/(ORÇAMENTO!$X$15-CÁLCULO.TotalAdmLocal)*CRONO!$E76,0),T75*$R74),SUMIF(OFFSET($R76,1,0,$Q74-2),($L74+1)&amp;"$",OFFSET(T76,1,0,$Q74-2)))</f>
        <v>0</v>
      </c>
      <c r="U76" s="223">
        <f ca="1">IF($Q74=2,IF(AND(ACOMPANHAMENTO="PLE",ISNUMBER($E74)),SUMIF((OFFSET(CÁLCULO!$BC$15:$BU$15,$E74,0,OFFSET(ORÇAMENTO!$D$15,CRONO!$E74,0))),"="&amp;CRONO!U$12,OFFSET(CÁLCULO!$AJ$15:$BB$15,$E74,0,OFFSET(ORÇAMENTO!$D$15,CRONO!$E74,0)))+IF(AND($E76&lt;&gt;"",$E76&lt;&gt;0),SUMIF(CÁLCULO!$BC$15:$BU$727,"="&amp;CRONO!U$12,CÁLCULO!$AJ$15:$BB$727)/(ORÇAMENTO!$X$15-CÁLCULO.TotalAdmLocal)*CRONO!$E76,0),U75*$R74),SUMIF(OFFSET($R76,1,0,$Q74-2),($L74+1)&amp;"$",OFFSET(U76,1,0,$Q74-2)))</f>
        <v>0</v>
      </c>
      <c r="V76" s="223">
        <f ca="1">IF($Q74=2,IF(AND(ACOMPANHAMENTO="PLE",ISNUMBER($E74)),SUMIF((OFFSET(CÁLCULO!$BC$15:$BU$15,$E74,0,OFFSET(ORÇAMENTO!$D$15,CRONO!$E74,0))),"="&amp;CRONO!V$12,OFFSET(CÁLCULO!$AJ$15:$BB$15,$E74,0,OFFSET(ORÇAMENTO!$D$15,CRONO!$E74,0)))+IF(AND($E76&lt;&gt;"",$E76&lt;&gt;0),SUMIF(CÁLCULO!$BC$15:$BU$727,"="&amp;CRONO!V$12,CÁLCULO!$AJ$15:$BB$727)/(ORÇAMENTO!$X$15-CÁLCULO.TotalAdmLocal)*CRONO!$E76,0),V75*$R74),SUMIF(OFFSET($R76,1,0,$Q74-2),($L74+1)&amp;"$",OFFSET(V76,1,0,$Q74-2)))</f>
        <v>0</v>
      </c>
      <c r="W76" s="223">
        <f ca="1">IF($Q74=2,IF(AND(ACOMPANHAMENTO="PLE",ISNUMBER($E74)),SUMIF((OFFSET(CÁLCULO!$BC$15:$BU$15,$E74,0,OFFSET(ORÇAMENTO!$D$15,CRONO!$E74,0))),"="&amp;CRONO!W$12,OFFSET(CÁLCULO!$AJ$15:$BB$15,$E74,0,OFFSET(ORÇAMENTO!$D$15,CRONO!$E74,0)))+IF(AND($E76&lt;&gt;"",$E76&lt;&gt;0),SUMIF(CÁLCULO!$BC$15:$BU$727,"="&amp;CRONO!W$12,CÁLCULO!$AJ$15:$BB$727)/(ORÇAMENTO!$X$15-CÁLCULO.TotalAdmLocal)*CRONO!$E76,0),W75*$R74),SUMIF(OFFSET($R76,1,0,$Q74-2),($L74+1)&amp;"$",OFFSET(W76,1,0,$Q74-2)))</f>
        <v>0</v>
      </c>
      <c r="X76" s="223">
        <f ca="1">IF($Q74=2,IF(AND(ACOMPANHAMENTO="PLE",ISNUMBER($E74)),SUMIF((OFFSET(CÁLCULO!$BC$15:$BU$15,$E74,0,OFFSET(ORÇAMENTO!$D$15,CRONO!$E74,0))),"="&amp;CRONO!X$12,OFFSET(CÁLCULO!$AJ$15:$BB$15,$E74,0,OFFSET(ORÇAMENTO!$D$15,CRONO!$E74,0)))+IF(AND($E76&lt;&gt;"",$E76&lt;&gt;0),SUMIF(CÁLCULO!$BC$15:$BU$727,"="&amp;CRONO!X$12,CÁLCULO!$AJ$15:$BB$727)/(ORÇAMENTO!$X$15-CÁLCULO.TotalAdmLocal)*CRONO!$E76,0),X75*$R74),SUMIF(OFFSET($R76,1,0,$Q74-2),($L74+1)&amp;"$",OFFSET(X76,1,0,$Q74-2)))</f>
        <v>0</v>
      </c>
      <c r="Y76" s="223">
        <f ca="1">IF($Q74=2,IF(AND(ACOMPANHAMENTO="PLE",ISNUMBER($E74)),SUMIF((OFFSET(CÁLCULO!$BC$15:$BU$15,$E74,0,OFFSET(ORÇAMENTO!$D$15,CRONO!$E74,0))),"="&amp;CRONO!Y$12,OFFSET(CÁLCULO!$AJ$15:$BB$15,$E74,0,OFFSET(ORÇAMENTO!$D$15,CRONO!$E74,0)))+IF(AND($E76&lt;&gt;"",$E76&lt;&gt;0),SUMIF(CÁLCULO!$BC$15:$BU$727,"="&amp;CRONO!Y$12,CÁLCULO!$AJ$15:$BB$727)/(ORÇAMENTO!$X$15-CÁLCULO.TotalAdmLocal)*CRONO!$E76,0),Y75*$R74),SUMIF(OFFSET($R76,1,0,$Q74-2),($L74+1)&amp;"$",OFFSET(Y76,1,0,$Q74-2)))</f>
        <v>0</v>
      </c>
      <c r="Z76" s="223">
        <f ca="1">IF($Q74=2,IF(AND(ACOMPANHAMENTO="PLE",ISNUMBER($E74)),SUMIF((OFFSET(CÁLCULO!$BC$15:$BU$15,$E74,0,OFFSET(ORÇAMENTO!$D$15,CRONO!$E74,0))),"="&amp;CRONO!Z$12,OFFSET(CÁLCULO!$AJ$15:$BB$15,$E74,0,OFFSET(ORÇAMENTO!$D$15,CRONO!$E74,0)))+IF(AND($E76&lt;&gt;"",$E76&lt;&gt;0),SUMIF(CÁLCULO!$BC$15:$BU$727,"="&amp;CRONO!Z$12,CÁLCULO!$AJ$15:$BB$727)/(ORÇAMENTO!$X$15-CÁLCULO.TotalAdmLocal)*CRONO!$E76,0),Z75*$R74),SUMIF(OFFSET($R76,1,0,$Q74-2),($L74+1)&amp;"$",OFFSET(Z76,1,0,$Q74-2)))</f>
        <v>0</v>
      </c>
      <c r="AA76" s="223">
        <f ca="1">IF($Q74=2,IF(AND(ACOMPANHAMENTO="PLE",ISNUMBER($E74)),SUMIF((OFFSET(CÁLCULO!$BC$15:$BU$15,$E74,0,OFFSET(ORÇAMENTO!$D$15,CRONO!$E74,0))),"="&amp;CRONO!AA$12,OFFSET(CÁLCULO!$AJ$15:$BB$15,$E74,0,OFFSET(ORÇAMENTO!$D$15,CRONO!$E74,0)))+IF(AND($E76&lt;&gt;"",$E76&lt;&gt;0),SUMIF(CÁLCULO!$BC$15:$BU$727,"="&amp;CRONO!AA$12,CÁLCULO!$AJ$15:$BB$727)/(ORÇAMENTO!$X$15-CÁLCULO.TotalAdmLocal)*CRONO!$E76,0),AA75*$R74),SUMIF(OFFSET($R76,1,0,$Q74-2),($L74+1)&amp;"$",OFFSET(AA76,1,0,$Q74-2)))</f>
        <v>0</v>
      </c>
      <c r="AB76" s="223">
        <f ca="1">IF($Q74=2,IF(AND(ACOMPANHAMENTO="PLE",ISNUMBER($E74)),SUMIF((OFFSET(CÁLCULO!$BC$15:$BU$15,$E74,0,OFFSET(ORÇAMENTO!$D$15,CRONO!$E74,0))),"="&amp;CRONO!AB$12,OFFSET(CÁLCULO!$AJ$15:$BB$15,$E74,0,OFFSET(ORÇAMENTO!$D$15,CRONO!$E74,0)))+IF(AND($E76&lt;&gt;"",$E76&lt;&gt;0),SUMIF(CÁLCULO!$BC$15:$BU$727,"="&amp;CRONO!AB$12,CÁLCULO!$AJ$15:$BB$727)/(ORÇAMENTO!$X$15-CÁLCULO.TotalAdmLocal)*CRONO!$E76,0),AB75*$R74),SUMIF(OFFSET($R76,1,0,$Q74-2),($L74+1)&amp;"$",OFFSET(AB76,1,0,$Q74-2)))</f>
        <v>0</v>
      </c>
      <c r="AC76" s="223">
        <f ca="1">IF($Q74=2,IF(AND(ACOMPANHAMENTO="PLE",ISNUMBER($E74)),SUMIF((OFFSET(CÁLCULO!$BC$15:$BU$15,$E74,0,OFFSET(ORÇAMENTO!$D$15,CRONO!$E74,0))),"="&amp;CRONO!AC$12,OFFSET(CÁLCULO!$AJ$15:$BB$15,$E74,0,OFFSET(ORÇAMENTO!$D$15,CRONO!$E74,0)))+IF(AND($E76&lt;&gt;"",$E76&lt;&gt;0),SUMIF(CÁLCULO!$BC$15:$BU$727,"="&amp;CRONO!AC$12,CÁLCULO!$AJ$15:$BB$727)/(ORÇAMENTO!$X$15-CÁLCULO.TotalAdmLocal)*CRONO!$E76,0),AC75*$R74),SUMIF(OFFSET($R76,1,0,$Q74-2),($L74+1)&amp;"$",OFFSET(AC76,1,0,$Q74-2)))</f>
        <v>0</v>
      </c>
      <c r="AD76" s="223">
        <f ca="1">IF($Q74=2,IF(AND(ACOMPANHAMENTO="PLE",ISNUMBER($E74)),SUMIF((OFFSET(CÁLCULO!$BC$15:$BU$15,$E74,0,OFFSET(ORÇAMENTO!$D$15,CRONO!$E74,0))),"="&amp;CRONO!AD$12,OFFSET(CÁLCULO!$AJ$15:$BB$15,$E74,0,OFFSET(ORÇAMENTO!$D$15,CRONO!$E74,0)))+IF(AND($E76&lt;&gt;"",$E76&lt;&gt;0),SUMIF(CÁLCULO!$BC$15:$BU$727,"="&amp;CRONO!AD$12,CÁLCULO!$AJ$15:$BB$727)/(ORÇAMENTO!$X$15-CÁLCULO.TotalAdmLocal)*CRONO!$E76,0),AD75*$R74),SUMIF(OFFSET($R76,1,0,$Q74-2),($L74+1)&amp;"$",OFFSET(AD76,1,0,$Q74-2)))</f>
        <v>0</v>
      </c>
      <c r="AE76" s="228">
        <f ca="1">IF($Q74=2,IF(AND(ACOMPANHAMENTO="PLE",ISNUMBER($E74)),SUMIF((OFFSET(CÁLCULO!$BC$15:$BU$15,$E74,0,OFFSET(ORÇAMENTO!$D$15,CRONO!$E74,0))),"="&amp;CRONO!AE$12,OFFSET(CÁLCULO!$AJ$15:$BB$15,$E74,0,OFFSET(ORÇAMENTO!$D$15,CRONO!$E74,0)))+IF(AND($E76&lt;&gt;"",$E76&lt;&gt;0),SUMIF(CÁLCULO!$BC$15:$BU$727,"="&amp;CRONO!AE$12,CÁLCULO!$AJ$15:$BB$727)/(ORÇAMENTO!$X$15-CÁLCULO.TotalAdmLocal)*CRONO!$E76,0),AE75*$R74),SUMIF(OFFSET($R76,1,0,$Q74-2),($L74+1)&amp;"$",OFFSET(AE76,1,0,$Q74-2)))</f>
        <v>0</v>
      </c>
    </row>
    <row r="77" spans="1:32" x14ac:dyDescent="0.2">
      <c r="A77" s="204">
        <f t="shared" ref="A77" ca="1" si="150">OFFSET(A77,-3,0)+1</f>
        <v>22</v>
      </c>
      <c r="B77" s="204">
        <f ca="1">IF($Q77&lt;&gt;2,0,IF($R77=0,1,IF(E78&gt;0,OFFSET(QCI!$M$13,SUBSTITUTE(E78,".",""),0),OFFSET(ORÇAMENTO!$AA$15,CRONO!$E77,0))/$R77))</f>
        <v>1</v>
      </c>
      <c r="C77" s="204">
        <f ca="1">IF($Q77&lt;&gt;2,0,IF($R77=0,1,IF(E78&gt;0,OFFSET(QCI!$N$13,SUBSTITUTE(E78,".",""),0),OFFSET(ORÇAMENTO!$AB$15,CRONO!$E77,0))/$R77))</f>
        <v>1</v>
      </c>
      <c r="D77" s="207" t="e">
        <f ca="1">IF(AND($Q77=2,ACOMPANHAMENTO="BM"),D78,D79/$R77)</f>
        <v>#DIV/0!</v>
      </c>
      <c r="E77" s="204">
        <f ca="1">IF(A77&lt;=ORÇAMENTO.MáximoListaCrono,MATCH(A77,ORÇAMENTO.ListaCrono,0),NA())</f>
        <v>119</v>
      </c>
      <c r="F77" s="204" t="str">
        <f t="shared" ref="F77" ca="1" si="151">IF(AND($E78&lt;&gt;-1,$R77&gt;0),"F","")</f>
        <v/>
      </c>
      <c r="G77" s="208" t="str">
        <f ca="1">IF(OR(R77=0,R77=""),"Linha",IF(AND(OR(ACOMPANHAMENTO="PLE",$Q77&lt;&gt;2),$E78=0),"Linha",1-SUM(T77:AF77)))</f>
        <v>Linha</v>
      </c>
      <c r="H77" s="209" t="str">
        <f ca="1">IF($E78=0,OFFSET(ORÇAMENTO!O$15,$E77,0),IF($E78&lt;&gt;-1,OFFSET(QCI!$D$13,$E78,0),""))</f>
        <v>1.21.</v>
      </c>
      <c r="I77" s="210" t="str">
        <f ca="1">IF($E78=0,OFFSET(ORÇAMENTO!R$15,$E77,0),IF($E78&lt;&gt;-1,OFFSET(QCI!$G$13,$E78,0),""))</f>
        <v>ESQUADRIAS - JANELAS EM ALUMÍNIO</v>
      </c>
      <c r="J77" s="210"/>
      <c r="K77" s="210"/>
      <c r="L77" s="211">
        <f ca="1">IF($E78=0,OFFSET(ORÇAMENTO!C$15,$E77,0),1)</f>
        <v>2</v>
      </c>
      <c r="M77" s="212">
        <f ca="1">IF($E78=-1,0,IF(M$13&lt;=$L77,IF(ISERROR(MATCH(M$13,OFFSET($L77,1,0,ROW($L$260)-ROW($L77)-1),0)),ROW($L$260)-ROW($L77)-1,MATCH(M$13,OFFSET($L77,1,0,ROW($L$260)-ROW($L77)-1),0)-1),0))</f>
        <v>182</v>
      </c>
      <c r="N77" s="212">
        <f ca="1">IF($E78=-1,0,IF(N$13&lt;=$L77,IF(ISERROR(MATCH(N$13,OFFSET($L77,1,0,ROW($L$260)-ROW($L77)-1),0)),ROW($L$260)-ROW($L77)-1,MATCH(N$13,OFFSET($L77,1,0,ROW($L$260)-ROW($L77)-1),0)-1),0))</f>
        <v>2</v>
      </c>
      <c r="O77" s="212">
        <f ca="1">IF($E78=-1,0,IF(O$13&lt;=$L77,IF(ISERROR(MATCH(O$13,OFFSET($L77,1,0,ROW($L$260)-ROW($L77)-1),0)),ROW($L$260)-ROW($L77)-1,MATCH(O$13,OFFSET($L77,1,0,ROW($L$260)-ROW($L77)-1),0)-1),0))</f>
        <v>0</v>
      </c>
      <c r="P77" s="212">
        <f ca="1">IF($E78=-1,0,IF(P$13&lt;=$L77,IF(ISERROR(MATCH(P$13,OFFSET($L77,1,0,ROW($L$260)-ROW($L77)-1),0)),ROW($L$260)-ROW($L77)-1,MATCH(P$13,OFFSET($L77,1,0,ROW($L$260)-ROW($L77)-1),0)-1),0))</f>
        <v>0</v>
      </c>
      <c r="Q77" s="212">
        <f t="shared" ref="Q77" ca="1" si="152">MIN(OFFSET(L77,0,1,,L77))</f>
        <v>2</v>
      </c>
      <c r="R77" s="213">
        <f ca="1">IF($E78=0,OFFSET(ORÇAMENTO!X$15,$E77,0),IF($E78&lt;&gt;-1,OFFSET(QCI!$O$13,$E78,0),""))</f>
        <v>0</v>
      </c>
      <c r="S77" s="214" t="s">
        <v>270</v>
      </c>
      <c r="T77" s="215" t="e">
        <f t="shared" ref="T77:AE77" ca="1" si="153">IF(AND($Q77=2,ACOMPANHAMENTO="BM"),T78,T79/$R77)</f>
        <v>#DIV/0!</v>
      </c>
      <c r="U77" s="207" t="e">
        <f t="shared" ca="1" si="153"/>
        <v>#DIV/0!</v>
      </c>
      <c r="V77" s="207" t="e">
        <f t="shared" ca="1" si="153"/>
        <v>#DIV/0!</v>
      </c>
      <c r="W77" s="207" t="e">
        <f t="shared" ca="1" si="153"/>
        <v>#DIV/0!</v>
      </c>
      <c r="X77" s="207" t="e">
        <f t="shared" ca="1" si="153"/>
        <v>#DIV/0!</v>
      </c>
      <c r="Y77" s="207" t="e">
        <f t="shared" ca="1" si="153"/>
        <v>#DIV/0!</v>
      </c>
      <c r="Z77" s="207" t="e">
        <f t="shared" ca="1" si="153"/>
        <v>#DIV/0!</v>
      </c>
      <c r="AA77" s="207" t="e">
        <f t="shared" ca="1" si="153"/>
        <v>#DIV/0!</v>
      </c>
      <c r="AB77" s="207" t="e">
        <f t="shared" ca="1" si="153"/>
        <v>#DIV/0!</v>
      </c>
      <c r="AC77" s="207" t="e">
        <f t="shared" ca="1" si="153"/>
        <v>#DIV/0!</v>
      </c>
      <c r="AD77" s="207" t="e">
        <f t="shared" ca="1" si="153"/>
        <v>#DIV/0!</v>
      </c>
      <c r="AE77" s="216" t="e">
        <f t="shared" ca="1" si="153"/>
        <v>#DIV/0!</v>
      </c>
    </row>
    <row r="78" spans="1:32" ht="12.75" customHeight="1" x14ac:dyDescent="0.2">
      <c r="D78" s="569"/>
      <c r="E78" s="204">
        <f ca="1">IF(ISERROR(E77),IF(1+COUNTIF($L$13:OFFSET(L77,-1,0),1)&lt;=MAX(QCI!$D$13:$D$24),1+COUNTIF($L$13:OFFSET(L77,-1,0),1),-1),0)</f>
        <v>0</v>
      </c>
      <c r="F78" s="204" t="str">
        <f t="shared" ref="F78" ca="1" si="154">IF(AND($E78&lt;&gt;-1,$R77&gt;0),"F","")</f>
        <v/>
      </c>
      <c r="G78" s="217" t="str">
        <f ca="1">IF(OR(R77=0,R77=""),"vazia",IF(AND(OR(ACOMPANHAMENTO="PLE",$Q77&lt;&gt;2),$E78=0),"calculada","--&gt;"))</f>
        <v>vazia</v>
      </c>
      <c r="H78" s="218"/>
      <c r="I78" s="219" t="str">
        <f t="shared" ref="I78" ca="1" si="155">IF(AND(G77&lt;&gt;0,ISNUMBER(G77)),"PREENCHA ESTA LINHA --&gt;","")</f>
        <v/>
      </c>
      <c r="J78" s="219"/>
      <c r="K78" s="219"/>
      <c r="L78" s="220"/>
      <c r="M78" s="220"/>
      <c r="N78" s="220"/>
      <c r="O78" s="220"/>
      <c r="P78" s="220"/>
      <c r="Q78" s="220"/>
      <c r="R78" s="221"/>
      <c r="S78" s="222"/>
      <c r="T78" s="570"/>
      <c r="U78" s="569"/>
      <c r="V78" s="569"/>
      <c r="W78" s="569"/>
      <c r="X78" s="569"/>
      <c r="Y78" s="569"/>
      <c r="Z78" s="569"/>
      <c r="AA78" s="569"/>
      <c r="AB78" s="569"/>
      <c r="AC78" s="569"/>
      <c r="AD78" s="569"/>
      <c r="AE78" s="571"/>
      <c r="AF78" s="533"/>
    </row>
    <row r="79" spans="1:32" ht="0.2" hidden="1" customHeight="1" x14ac:dyDescent="0.2">
      <c r="D79" s="223">
        <f ca="1">IF($Q77=2,IF(AND(ACOMPANHAMENTO="PLE",ISNUMBER($E77)),SUMIF((OFFSET(CÁLCULO!$BC$15:$BU$15,$E77,0,OFFSET(ORÇAMENTO!$D$15,CRONO!$E77,0))),"="&amp;CRONO!D$12,OFFSET(CÁLCULO!$AJ$15:$BB$15,$E77,0,OFFSET(ORÇAMENTO!$D$15,CRONO!$E77,0)))+IF(AND($E79&lt;&gt;"",$E79&lt;&gt;0),SUMIF(CÁLCULO!$BC$15:$BU$727,"="&amp;CRONO!D$12,CÁLCULO!$AJ$15:$BB$727)/(ORÇAMENTO!$X$15-CÁLCULO.TotalAdmLocal)*CRONO!$E79,0),D78*$R77),SUMIF(OFFSET($R79,1,0,$Q77-2),($L77+1)&amp;"$",OFFSET(D79,1,0,$Q77-2)))</f>
        <v>0</v>
      </c>
      <c r="E79" s="204" t="str">
        <f ca="1">IF(OR($Q77&lt;&gt;2,AUTOEVENTO&lt;&gt;"manual",$E78&gt;0),"",SUMIF(OFFSET(CÁLCULO!$M$15,CRONO!$E77,0,OFFSET(ORÇAMENTO!$D$15,CRONO!$E77,0)),1,OFFSET(ORÇAMENTO!$X$15,CRONO!$E77,0,OFFSET(ORÇAMENTO!$D$15,CRONO!$E77,0))))</f>
        <v/>
      </c>
      <c r="G79" s="224"/>
      <c r="R79" s="225" t="str">
        <f t="shared" ref="R79" ca="1" si="156">L77&amp;"$"</f>
        <v>2$</v>
      </c>
      <c r="S79" s="226"/>
      <c r="T79" s="227">
        <f ca="1">IF($Q77=2,IF(AND(ACOMPANHAMENTO="PLE",ISNUMBER($E77)),SUMIF((OFFSET(CÁLCULO!$BC$15:$BU$15,$E77,0,OFFSET(ORÇAMENTO!$D$15,CRONO!$E77,0))),"&lt;="&amp;CRONO!T$12,OFFSET(CÁLCULO!$AJ$15:$BB$15,$E77,0,OFFSET(ORÇAMENTO!$D$15,CRONO!$E77,0)))+IF(AND($E79&lt;&gt;"",$E79&lt;&gt;0),SUMIF(CÁLCULO!$BC$15:$BU$727,"&lt;="&amp;CRONO!T$12,CÁLCULO!$AJ$15:$BB$727)/(ORÇAMENTO!$X$15-CÁLCULO.TotalAdmLocal)*CRONO!$E79,0),T78*$R77),SUMIF(OFFSET($R79,1,0,$Q77-2),($L77+1)&amp;"$",OFFSET(T79,1,0,$Q77-2)))</f>
        <v>0</v>
      </c>
      <c r="U79" s="223">
        <f ca="1">IF($Q77=2,IF(AND(ACOMPANHAMENTO="PLE",ISNUMBER($E77)),SUMIF((OFFSET(CÁLCULO!$BC$15:$BU$15,$E77,0,OFFSET(ORÇAMENTO!$D$15,CRONO!$E77,0))),"="&amp;CRONO!U$12,OFFSET(CÁLCULO!$AJ$15:$BB$15,$E77,0,OFFSET(ORÇAMENTO!$D$15,CRONO!$E77,0)))+IF(AND($E79&lt;&gt;"",$E79&lt;&gt;0),SUMIF(CÁLCULO!$BC$15:$BU$727,"="&amp;CRONO!U$12,CÁLCULO!$AJ$15:$BB$727)/(ORÇAMENTO!$X$15-CÁLCULO.TotalAdmLocal)*CRONO!$E79,0),U78*$R77),SUMIF(OFFSET($R79,1,0,$Q77-2),($L77+1)&amp;"$",OFFSET(U79,1,0,$Q77-2)))</f>
        <v>0</v>
      </c>
      <c r="V79" s="223">
        <f ca="1">IF($Q77=2,IF(AND(ACOMPANHAMENTO="PLE",ISNUMBER($E77)),SUMIF((OFFSET(CÁLCULO!$BC$15:$BU$15,$E77,0,OFFSET(ORÇAMENTO!$D$15,CRONO!$E77,0))),"="&amp;CRONO!V$12,OFFSET(CÁLCULO!$AJ$15:$BB$15,$E77,0,OFFSET(ORÇAMENTO!$D$15,CRONO!$E77,0)))+IF(AND($E79&lt;&gt;"",$E79&lt;&gt;0),SUMIF(CÁLCULO!$BC$15:$BU$727,"="&amp;CRONO!V$12,CÁLCULO!$AJ$15:$BB$727)/(ORÇAMENTO!$X$15-CÁLCULO.TotalAdmLocal)*CRONO!$E79,0),V78*$R77),SUMIF(OFFSET($R79,1,0,$Q77-2),($L77+1)&amp;"$",OFFSET(V79,1,0,$Q77-2)))</f>
        <v>0</v>
      </c>
      <c r="W79" s="223">
        <f ca="1">IF($Q77=2,IF(AND(ACOMPANHAMENTO="PLE",ISNUMBER($E77)),SUMIF((OFFSET(CÁLCULO!$BC$15:$BU$15,$E77,0,OFFSET(ORÇAMENTO!$D$15,CRONO!$E77,0))),"="&amp;CRONO!W$12,OFFSET(CÁLCULO!$AJ$15:$BB$15,$E77,0,OFFSET(ORÇAMENTO!$D$15,CRONO!$E77,0)))+IF(AND($E79&lt;&gt;"",$E79&lt;&gt;0),SUMIF(CÁLCULO!$BC$15:$BU$727,"="&amp;CRONO!W$12,CÁLCULO!$AJ$15:$BB$727)/(ORÇAMENTO!$X$15-CÁLCULO.TotalAdmLocal)*CRONO!$E79,0),W78*$R77),SUMIF(OFFSET($R79,1,0,$Q77-2),($L77+1)&amp;"$",OFFSET(W79,1,0,$Q77-2)))</f>
        <v>0</v>
      </c>
      <c r="X79" s="223">
        <f ca="1">IF($Q77=2,IF(AND(ACOMPANHAMENTO="PLE",ISNUMBER($E77)),SUMIF((OFFSET(CÁLCULO!$BC$15:$BU$15,$E77,0,OFFSET(ORÇAMENTO!$D$15,CRONO!$E77,0))),"="&amp;CRONO!X$12,OFFSET(CÁLCULO!$AJ$15:$BB$15,$E77,0,OFFSET(ORÇAMENTO!$D$15,CRONO!$E77,0)))+IF(AND($E79&lt;&gt;"",$E79&lt;&gt;0),SUMIF(CÁLCULO!$BC$15:$BU$727,"="&amp;CRONO!X$12,CÁLCULO!$AJ$15:$BB$727)/(ORÇAMENTO!$X$15-CÁLCULO.TotalAdmLocal)*CRONO!$E79,0),X78*$R77),SUMIF(OFFSET($R79,1,0,$Q77-2),($L77+1)&amp;"$",OFFSET(X79,1,0,$Q77-2)))</f>
        <v>0</v>
      </c>
      <c r="Y79" s="223">
        <f ca="1">IF($Q77=2,IF(AND(ACOMPANHAMENTO="PLE",ISNUMBER($E77)),SUMIF((OFFSET(CÁLCULO!$BC$15:$BU$15,$E77,0,OFFSET(ORÇAMENTO!$D$15,CRONO!$E77,0))),"="&amp;CRONO!Y$12,OFFSET(CÁLCULO!$AJ$15:$BB$15,$E77,0,OFFSET(ORÇAMENTO!$D$15,CRONO!$E77,0)))+IF(AND($E79&lt;&gt;"",$E79&lt;&gt;0),SUMIF(CÁLCULO!$BC$15:$BU$727,"="&amp;CRONO!Y$12,CÁLCULO!$AJ$15:$BB$727)/(ORÇAMENTO!$X$15-CÁLCULO.TotalAdmLocal)*CRONO!$E79,0),Y78*$R77),SUMIF(OFFSET($R79,1,0,$Q77-2),($L77+1)&amp;"$",OFFSET(Y79,1,0,$Q77-2)))</f>
        <v>0</v>
      </c>
      <c r="Z79" s="223">
        <f ca="1">IF($Q77=2,IF(AND(ACOMPANHAMENTO="PLE",ISNUMBER($E77)),SUMIF((OFFSET(CÁLCULO!$BC$15:$BU$15,$E77,0,OFFSET(ORÇAMENTO!$D$15,CRONO!$E77,0))),"="&amp;CRONO!Z$12,OFFSET(CÁLCULO!$AJ$15:$BB$15,$E77,0,OFFSET(ORÇAMENTO!$D$15,CRONO!$E77,0)))+IF(AND($E79&lt;&gt;"",$E79&lt;&gt;0),SUMIF(CÁLCULO!$BC$15:$BU$727,"="&amp;CRONO!Z$12,CÁLCULO!$AJ$15:$BB$727)/(ORÇAMENTO!$X$15-CÁLCULO.TotalAdmLocal)*CRONO!$E79,0),Z78*$R77),SUMIF(OFFSET($R79,1,0,$Q77-2),($L77+1)&amp;"$",OFFSET(Z79,1,0,$Q77-2)))</f>
        <v>0</v>
      </c>
      <c r="AA79" s="223">
        <f ca="1">IF($Q77=2,IF(AND(ACOMPANHAMENTO="PLE",ISNUMBER($E77)),SUMIF((OFFSET(CÁLCULO!$BC$15:$BU$15,$E77,0,OFFSET(ORÇAMENTO!$D$15,CRONO!$E77,0))),"="&amp;CRONO!AA$12,OFFSET(CÁLCULO!$AJ$15:$BB$15,$E77,0,OFFSET(ORÇAMENTO!$D$15,CRONO!$E77,0)))+IF(AND($E79&lt;&gt;"",$E79&lt;&gt;0),SUMIF(CÁLCULO!$BC$15:$BU$727,"="&amp;CRONO!AA$12,CÁLCULO!$AJ$15:$BB$727)/(ORÇAMENTO!$X$15-CÁLCULO.TotalAdmLocal)*CRONO!$E79,0),AA78*$R77),SUMIF(OFFSET($R79,1,0,$Q77-2),($L77+1)&amp;"$",OFFSET(AA79,1,0,$Q77-2)))</f>
        <v>0</v>
      </c>
      <c r="AB79" s="223">
        <f ca="1">IF($Q77=2,IF(AND(ACOMPANHAMENTO="PLE",ISNUMBER($E77)),SUMIF((OFFSET(CÁLCULO!$BC$15:$BU$15,$E77,0,OFFSET(ORÇAMENTO!$D$15,CRONO!$E77,0))),"="&amp;CRONO!AB$12,OFFSET(CÁLCULO!$AJ$15:$BB$15,$E77,0,OFFSET(ORÇAMENTO!$D$15,CRONO!$E77,0)))+IF(AND($E79&lt;&gt;"",$E79&lt;&gt;0),SUMIF(CÁLCULO!$BC$15:$BU$727,"="&amp;CRONO!AB$12,CÁLCULO!$AJ$15:$BB$727)/(ORÇAMENTO!$X$15-CÁLCULO.TotalAdmLocal)*CRONO!$E79,0),AB78*$R77),SUMIF(OFFSET($R79,1,0,$Q77-2),($L77+1)&amp;"$",OFFSET(AB79,1,0,$Q77-2)))</f>
        <v>0</v>
      </c>
      <c r="AC79" s="223">
        <f ca="1">IF($Q77=2,IF(AND(ACOMPANHAMENTO="PLE",ISNUMBER($E77)),SUMIF((OFFSET(CÁLCULO!$BC$15:$BU$15,$E77,0,OFFSET(ORÇAMENTO!$D$15,CRONO!$E77,0))),"="&amp;CRONO!AC$12,OFFSET(CÁLCULO!$AJ$15:$BB$15,$E77,0,OFFSET(ORÇAMENTO!$D$15,CRONO!$E77,0)))+IF(AND($E79&lt;&gt;"",$E79&lt;&gt;0),SUMIF(CÁLCULO!$BC$15:$BU$727,"="&amp;CRONO!AC$12,CÁLCULO!$AJ$15:$BB$727)/(ORÇAMENTO!$X$15-CÁLCULO.TotalAdmLocal)*CRONO!$E79,0),AC78*$R77),SUMIF(OFFSET($R79,1,0,$Q77-2),($L77+1)&amp;"$",OFFSET(AC79,1,0,$Q77-2)))</f>
        <v>0</v>
      </c>
      <c r="AD79" s="223">
        <f ca="1">IF($Q77=2,IF(AND(ACOMPANHAMENTO="PLE",ISNUMBER($E77)),SUMIF((OFFSET(CÁLCULO!$BC$15:$BU$15,$E77,0,OFFSET(ORÇAMENTO!$D$15,CRONO!$E77,0))),"="&amp;CRONO!AD$12,OFFSET(CÁLCULO!$AJ$15:$BB$15,$E77,0,OFFSET(ORÇAMENTO!$D$15,CRONO!$E77,0)))+IF(AND($E79&lt;&gt;"",$E79&lt;&gt;0),SUMIF(CÁLCULO!$BC$15:$BU$727,"="&amp;CRONO!AD$12,CÁLCULO!$AJ$15:$BB$727)/(ORÇAMENTO!$X$15-CÁLCULO.TotalAdmLocal)*CRONO!$E79,0),AD78*$R77),SUMIF(OFFSET($R79,1,0,$Q77-2),($L77+1)&amp;"$",OFFSET(AD79,1,0,$Q77-2)))</f>
        <v>0</v>
      </c>
      <c r="AE79" s="228">
        <f ca="1">IF($Q77=2,IF(AND(ACOMPANHAMENTO="PLE",ISNUMBER($E77)),SUMIF((OFFSET(CÁLCULO!$BC$15:$BU$15,$E77,0,OFFSET(ORÇAMENTO!$D$15,CRONO!$E77,0))),"="&amp;CRONO!AE$12,OFFSET(CÁLCULO!$AJ$15:$BB$15,$E77,0,OFFSET(ORÇAMENTO!$D$15,CRONO!$E77,0)))+IF(AND($E79&lt;&gt;"",$E79&lt;&gt;0),SUMIF(CÁLCULO!$BC$15:$BU$727,"="&amp;CRONO!AE$12,CÁLCULO!$AJ$15:$BB$727)/(ORÇAMENTO!$X$15-CÁLCULO.TotalAdmLocal)*CRONO!$E79,0),AE78*$R77),SUMIF(OFFSET($R79,1,0,$Q77-2),($L77+1)&amp;"$",OFFSET(AE79,1,0,$Q77-2)))</f>
        <v>0</v>
      </c>
    </row>
    <row r="80" spans="1:32" x14ac:dyDescent="0.2">
      <c r="A80" s="204">
        <f t="shared" ref="A80" ca="1" si="157">OFFSET(A80,-3,0)+1</f>
        <v>23</v>
      </c>
      <c r="B80" s="204">
        <f ca="1">IF($Q80&lt;&gt;2,0,IF($R80=0,1,IF(E81&gt;0,OFFSET(QCI!$M$13,SUBSTITUTE(E81,".",""),0),OFFSET(ORÇAMENTO!$AA$15,CRONO!$E80,0))/$R80))</f>
        <v>1</v>
      </c>
      <c r="C80" s="204">
        <f ca="1">IF($Q80&lt;&gt;2,0,IF($R80=0,1,IF(E81&gt;0,OFFSET(QCI!$N$13,SUBSTITUTE(E81,".",""),0),OFFSET(ORÇAMENTO!$AB$15,CRONO!$E80,0))/$R80))</f>
        <v>1</v>
      </c>
      <c r="D80" s="207" t="e">
        <f ca="1">IF(AND($Q80=2,ACOMPANHAMENTO="BM"),D81,D82/$R80)</f>
        <v>#DIV/0!</v>
      </c>
      <c r="E80" s="204">
        <f ca="1">IF(A80&lt;=ORÇAMENTO.MáximoListaCrono,MATCH(A80,ORÇAMENTO.ListaCrono,0),NA())</f>
        <v>137</v>
      </c>
      <c r="F80" s="204" t="str">
        <f t="shared" ref="F80" ca="1" si="158">IF(AND($E81&lt;&gt;-1,$R80&gt;0),"F","")</f>
        <v/>
      </c>
      <c r="G80" s="208" t="str">
        <f ca="1">IF(OR(R80=0,R80=""),"Linha",IF(AND(OR(ACOMPANHAMENTO="PLE",$Q80&lt;&gt;2),$E81=0),"Linha",1-SUM(T80:AF80)))</f>
        <v>Linha</v>
      </c>
      <c r="H80" s="209" t="str">
        <f ca="1">IF($E81=0,OFFSET(ORÇAMENTO!O$15,$E80,0),IF($E81&lt;&gt;-1,OFFSET(QCI!$D$13,$E81,0),""))</f>
        <v>1.22.</v>
      </c>
      <c r="I80" s="210" t="str">
        <f ca="1">IF($E81=0,OFFSET(ORÇAMENTO!R$15,$E80,0),IF($E81&lt;&gt;-1,OFFSET(QCI!$G$13,$E81,0),""))</f>
        <v>ESQUADRIAS - PORTAS DE VIDRO</v>
      </c>
      <c r="J80" s="210"/>
      <c r="K80" s="210"/>
      <c r="L80" s="211">
        <f ca="1">IF($E81=0,OFFSET(ORÇAMENTO!C$15,$E80,0),1)</f>
        <v>2</v>
      </c>
      <c r="M80" s="212">
        <f ca="1">IF($E81=-1,0,IF(M$13&lt;=$L80,IF(ISERROR(MATCH(M$13,OFFSET($L80,1,0,ROW($L$260)-ROW($L80)-1),0)),ROW($L$260)-ROW($L80)-1,MATCH(M$13,OFFSET($L80,1,0,ROW($L$260)-ROW($L80)-1),0)-1),0))</f>
        <v>179</v>
      </c>
      <c r="N80" s="212">
        <f ca="1">IF($E81=-1,0,IF(N$13&lt;=$L80,IF(ISERROR(MATCH(N$13,OFFSET($L80,1,0,ROW($L$260)-ROW($L80)-1),0)),ROW($L$260)-ROW($L80)-1,MATCH(N$13,OFFSET($L80,1,0,ROW($L$260)-ROW($L80)-1),0)-1),0))</f>
        <v>2</v>
      </c>
      <c r="O80" s="212">
        <f ca="1">IF($E81=-1,0,IF(O$13&lt;=$L80,IF(ISERROR(MATCH(O$13,OFFSET($L80,1,0,ROW($L$260)-ROW($L80)-1),0)),ROW($L$260)-ROW($L80)-1,MATCH(O$13,OFFSET($L80,1,0,ROW($L$260)-ROW($L80)-1),0)-1),0))</f>
        <v>0</v>
      </c>
      <c r="P80" s="212">
        <f ca="1">IF($E81=-1,0,IF(P$13&lt;=$L80,IF(ISERROR(MATCH(P$13,OFFSET($L80,1,0,ROW($L$260)-ROW($L80)-1),0)),ROW($L$260)-ROW($L80)-1,MATCH(P$13,OFFSET($L80,1,0,ROW($L$260)-ROW($L80)-1),0)-1),0))</f>
        <v>0</v>
      </c>
      <c r="Q80" s="212">
        <f t="shared" ref="Q80" ca="1" si="159">MIN(OFFSET(L80,0,1,,L80))</f>
        <v>2</v>
      </c>
      <c r="R80" s="213">
        <f ca="1">IF($E81=0,OFFSET(ORÇAMENTO!X$15,$E80,0),IF($E81&lt;&gt;-1,OFFSET(QCI!$O$13,$E81,0),""))</f>
        <v>0</v>
      </c>
      <c r="S80" s="214" t="s">
        <v>270</v>
      </c>
      <c r="T80" s="215" t="e">
        <f t="shared" ref="T80:AE80" ca="1" si="160">IF(AND($Q80=2,ACOMPANHAMENTO="BM"),T81,T82/$R80)</f>
        <v>#DIV/0!</v>
      </c>
      <c r="U80" s="207" t="e">
        <f t="shared" ca="1" si="160"/>
        <v>#DIV/0!</v>
      </c>
      <c r="V80" s="207" t="e">
        <f t="shared" ca="1" si="160"/>
        <v>#DIV/0!</v>
      </c>
      <c r="W80" s="207" t="e">
        <f t="shared" ca="1" si="160"/>
        <v>#DIV/0!</v>
      </c>
      <c r="X80" s="207" t="e">
        <f t="shared" ca="1" si="160"/>
        <v>#DIV/0!</v>
      </c>
      <c r="Y80" s="207" t="e">
        <f t="shared" ca="1" si="160"/>
        <v>#DIV/0!</v>
      </c>
      <c r="Z80" s="207" t="e">
        <f t="shared" ca="1" si="160"/>
        <v>#DIV/0!</v>
      </c>
      <c r="AA80" s="207" t="e">
        <f t="shared" ca="1" si="160"/>
        <v>#DIV/0!</v>
      </c>
      <c r="AB80" s="207" t="e">
        <f t="shared" ca="1" si="160"/>
        <v>#DIV/0!</v>
      </c>
      <c r="AC80" s="207" t="e">
        <f t="shared" ca="1" si="160"/>
        <v>#DIV/0!</v>
      </c>
      <c r="AD80" s="207" t="e">
        <f t="shared" ca="1" si="160"/>
        <v>#DIV/0!</v>
      </c>
      <c r="AE80" s="216" t="e">
        <f t="shared" ca="1" si="160"/>
        <v>#DIV/0!</v>
      </c>
    </row>
    <row r="81" spans="1:32" ht="12.75" customHeight="1" x14ac:dyDescent="0.2">
      <c r="D81" s="569"/>
      <c r="E81" s="204">
        <f ca="1">IF(ISERROR(E80),IF(1+COUNTIF($L$13:OFFSET(L80,-1,0),1)&lt;=MAX(QCI!$D$13:$D$24),1+COUNTIF($L$13:OFFSET(L80,-1,0),1),-1),0)</f>
        <v>0</v>
      </c>
      <c r="F81" s="204" t="str">
        <f t="shared" ref="F81" ca="1" si="161">IF(AND($E81&lt;&gt;-1,$R80&gt;0),"F","")</f>
        <v/>
      </c>
      <c r="G81" s="217" t="str">
        <f ca="1">IF(OR(R80=0,R80=""),"vazia",IF(AND(OR(ACOMPANHAMENTO="PLE",$Q80&lt;&gt;2),$E81=0),"calculada","--&gt;"))</f>
        <v>vazia</v>
      </c>
      <c r="H81" s="218"/>
      <c r="I81" s="219" t="str">
        <f t="shared" ref="I81" ca="1" si="162">IF(AND(G80&lt;&gt;0,ISNUMBER(G80)),"PREENCHA ESTA LINHA --&gt;","")</f>
        <v/>
      </c>
      <c r="J81" s="219"/>
      <c r="K81" s="219"/>
      <c r="L81" s="220"/>
      <c r="M81" s="220"/>
      <c r="N81" s="220"/>
      <c r="O81" s="220"/>
      <c r="P81" s="220"/>
      <c r="Q81" s="220"/>
      <c r="R81" s="221"/>
      <c r="S81" s="222"/>
      <c r="T81" s="570"/>
      <c r="U81" s="569"/>
      <c r="V81" s="569"/>
      <c r="W81" s="569"/>
      <c r="X81" s="569"/>
      <c r="Y81" s="569"/>
      <c r="Z81" s="569"/>
      <c r="AA81" s="569"/>
      <c r="AB81" s="569"/>
      <c r="AC81" s="569"/>
      <c r="AD81" s="569"/>
      <c r="AE81" s="571"/>
      <c r="AF81" s="533"/>
    </row>
    <row r="82" spans="1:32" ht="0.2" hidden="1" customHeight="1" x14ac:dyDescent="0.2">
      <c r="D82" s="223">
        <f ca="1">IF($Q80=2,IF(AND(ACOMPANHAMENTO="PLE",ISNUMBER($E80)),SUMIF((OFFSET(CÁLCULO!$BC$15:$BU$15,$E80,0,OFFSET(ORÇAMENTO!$D$15,CRONO!$E80,0))),"="&amp;CRONO!D$12,OFFSET(CÁLCULO!$AJ$15:$BB$15,$E80,0,OFFSET(ORÇAMENTO!$D$15,CRONO!$E80,0)))+IF(AND($E82&lt;&gt;"",$E82&lt;&gt;0),SUMIF(CÁLCULO!$BC$15:$BU$727,"="&amp;CRONO!D$12,CÁLCULO!$AJ$15:$BB$727)/(ORÇAMENTO!$X$15-CÁLCULO.TotalAdmLocal)*CRONO!$E82,0),D81*$R80),SUMIF(OFFSET($R82,1,0,$Q80-2),($L80+1)&amp;"$",OFFSET(D82,1,0,$Q80-2)))</f>
        <v>0</v>
      </c>
      <c r="E82" s="204" t="str">
        <f ca="1">IF(OR($Q80&lt;&gt;2,AUTOEVENTO&lt;&gt;"manual",$E81&gt;0),"",SUMIF(OFFSET(CÁLCULO!$M$15,CRONO!$E80,0,OFFSET(ORÇAMENTO!$D$15,CRONO!$E80,0)),1,OFFSET(ORÇAMENTO!$X$15,CRONO!$E80,0,OFFSET(ORÇAMENTO!$D$15,CRONO!$E80,0))))</f>
        <v/>
      </c>
      <c r="G82" s="224"/>
      <c r="R82" s="225" t="str">
        <f t="shared" ref="R82" ca="1" si="163">L80&amp;"$"</f>
        <v>2$</v>
      </c>
      <c r="S82" s="226"/>
      <c r="T82" s="227">
        <f ca="1">IF($Q80=2,IF(AND(ACOMPANHAMENTO="PLE",ISNUMBER($E80)),SUMIF((OFFSET(CÁLCULO!$BC$15:$BU$15,$E80,0,OFFSET(ORÇAMENTO!$D$15,CRONO!$E80,0))),"&lt;="&amp;CRONO!T$12,OFFSET(CÁLCULO!$AJ$15:$BB$15,$E80,0,OFFSET(ORÇAMENTO!$D$15,CRONO!$E80,0)))+IF(AND($E82&lt;&gt;"",$E82&lt;&gt;0),SUMIF(CÁLCULO!$BC$15:$BU$727,"&lt;="&amp;CRONO!T$12,CÁLCULO!$AJ$15:$BB$727)/(ORÇAMENTO!$X$15-CÁLCULO.TotalAdmLocal)*CRONO!$E82,0),T81*$R80),SUMIF(OFFSET($R82,1,0,$Q80-2),($L80+1)&amp;"$",OFFSET(T82,1,0,$Q80-2)))</f>
        <v>0</v>
      </c>
      <c r="U82" s="223">
        <f ca="1">IF($Q80=2,IF(AND(ACOMPANHAMENTO="PLE",ISNUMBER($E80)),SUMIF((OFFSET(CÁLCULO!$BC$15:$BU$15,$E80,0,OFFSET(ORÇAMENTO!$D$15,CRONO!$E80,0))),"="&amp;CRONO!U$12,OFFSET(CÁLCULO!$AJ$15:$BB$15,$E80,0,OFFSET(ORÇAMENTO!$D$15,CRONO!$E80,0)))+IF(AND($E82&lt;&gt;"",$E82&lt;&gt;0),SUMIF(CÁLCULO!$BC$15:$BU$727,"="&amp;CRONO!U$12,CÁLCULO!$AJ$15:$BB$727)/(ORÇAMENTO!$X$15-CÁLCULO.TotalAdmLocal)*CRONO!$E82,0),U81*$R80),SUMIF(OFFSET($R82,1,0,$Q80-2),($L80+1)&amp;"$",OFFSET(U82,1,0,$Q80-2)))</f>
        <v>0</v>
      </c>
      <c r="V82" s="223">
        <f ca="1">IF($Q80=2,IF(AND(ACOMPANHAMENTO="PLE",ISNUMBER($E80)),SUMIF((OFFSET(CÁLCULO!$BC$15:$BU$15,$E80,0,OFFSET(ORÇAMENTO!$D$15,CRONO!$E80,0))),"="&amp;CRONO!V$12,OFFSET(CÁLCULO!$AJ$15:$BB$15,$E80,0,OFFSET(ORÇAMENTO!$D$15,CRONO!$E80,0)))+IF(AND($E82&lt;&gt;"",$E82&lt;&gt;0),SUMIF(CÁLCULO!$BC$15:$BU$727,"="&amp;CRONO!V$12,CÁLCULO!$AJ$15:$BB$727)/(ORÇAMENTO!$X$15-CÁLCULO.TotalAdmLocal)*CRONO!$E82,0),V81*$R80),SUMIF(OFFSET($R82,1,0,$Q80-2),($L80+1)&amp;"$",OFFSET(V82,1,0,$Q80-2)))</f>
        <v>0</v>
      </c>
      <c r="W82" s="223">
        <f ca="1">IF($Q80=2,IF(AND(ACOMPANHAMENTO="PLE",ISNUMBER($E80)),SUMIF((OFFSET(CÁLCULO!$BC$15:$BU$15,$E80,0,OFFSET(ORÇAMENTO!$D$15,CRONO!$E80,0))),"="&amp;CRONO!W$12,OFFSET(CÁLCULO!$AJ$15:$BB$15,$E80,0,OFFSET(ORÇAMENTO!$D$15,CRONO!$E80,0)))+IF(AND($E82&lt;&gt;"",$E82&lt;&gt;0),SUMIF(CÁLCULO!$BC$15:$BU$727,"="&amp;CRONO!W$12,CÁLCULO!$AJ$15:$BB$727)/(ORÇAMENTO!$X$15-CÁLCULO.TotalAdmLocal)*CRONO!$E82,0),W81*$R80),SUMIF(OFFSET($R82,1,0,$Q80-2),($L80+1)&amp;"$",OFFSET(W82,1,0,$Q80-2)))</f>
        <v>0</v>
      </c>
      <c r="X82" s="223">
        <f ca="1">IF($Q80=2,IF(AND(ACOMPANHAMENTO="PLE",ISNUMBER($E80)),SUMIF((OFFSET(CÁLCULO!$BC$15:$BU$15,$E80,0,OFFSET(ORÇAMENTO!$D$15,CRONO!$E80,0))),"="&amp;CRONO!X$12,OFFSET(CÁLCULO!$AJ$15:$BB$15,$E80,0,OFFSET(ORÇAMENTO!$D$15,CRONO!$E80,0)))+IF(AND($E82&lt;&gt;"",$E82&lt;&gt;0),SUMIF(CÁLCULO!$BC$15:$BU$727,"="&amp;CRONO!X$12,CÁLCULO!$AJ$15:$BB$727)/(ORÇAMENTO!$X$15-CÁLCULO.TotalAdmLocal)*CRONO!$E82,0),X81*$R80),SUMIF(OFFSET($R82,1,0,$Q80-2),($L80+1)&amp;"$",OFFSET(X82,1,0,$Q80-2)))</f>
        <v>0</v>
      </c>
      <c r="Y82" s="223">
        <f ca="1">IF($Q80=2,IF(AND(ACOMPANHAMENTO="PLE",ISNUMBER($E80)),SUMIF((OFFSET(CÁLCULO!$BC$15:$BU$15,$E80,0,OFFSET(ORÇAMENTO!$D$15,CRONO!$E80,0))),"="&amp;CRONO!Y$12,OFFSET(CÁLCULO!$AJ$15:$BB$15,$E80,0,OFFSET(ORÇAMENTO!$D$15,CRONO!$E80,0)))+IF(AND($E82&lt;&gt;"",$E82&lt;&gt;0),SUMIF(CÁLCULO!$BC$15:$BU$727,"="&amp;CRONO!Y$12,CÁLCULO!$AJ$15:$BB$727)/(ORÇAMENTO!$X$15-CÁLCULO.TotalAdmLocal)*CRONO!$E82,0),Y81*$R80),SUMIF(OFFSET($R82,1,0,$Q80-2),($L80+1)&amp;"$",OFFSET(Y82,1,0,$Q80-2)))</f>
        <v>0</v>
      </c>
      <c r="Z82" s="223">
        <f ca="1">IF($Q80=2,IF(AND(ACOMPANHAMENTO="PLE",ISNUMBER($E80)),SUMIF((OFFSET(CÁLCULO!$BC$15:$BU$15,$E80,0,OFFSET(ORÇAMENTO!$D$15,CRONO!$E80,0))),"="&amp;CRONO!Z$12,OFFSET(CÁLCULO!$AJ$15:$BB$15,$E80,0,OFFSET(ORÇAMENTO!$D$15,CRONO!$E80,0)))+IF(AND($E82&lt;&gt;"",$E82&lt;&gt;0),SUMIF(CÁLCULO!$BC$15:$BU$727,"="&amp;CRONO!Z$12,CÁLCULO!$AJ$15:$BB$727)/(ORÇAMENTO!$X$15-CÁLCULO.TotalAdmLocal)*CRONO!$E82,0),Z81*$R80),SUMIF(OFFSET($R82,1,0,$Q80-2),($L80+1)&amp;"$",OFFSET(Z82,1,0,$Q80-2)))</f>
        <v>0</v>
      </c>
      <c r="AA82" s="223">
        <f ca="1">IF($Q80=2,IF(AND(ACOMPANHAMENTO="PLE",ISNUMBER($E80)),SUMIF((OFFSET(CÁLCULO!$BC$15:$BU$15,$E80,0,OFFSET(ORÇAMENTO!$D$15,CRONO!$E80,0))),"="&amp;CRONO!AA$12,OFFSET(CÁLCULO!$AJ$15:$BB$15,$E80,0,OFFSET(ORÇAMENTO!$D$15,CRONO!$E80,0)))+IF(AND($E82&lt;&gt;"",$E82&lt;&gt;0),SUMIF(CÁLCULO!$BC$15:$BU$727,"="&amp;CRONO!AA$12,CÁLCULO!$AJ$15:$BB$727)/(ORÇAMENTO!$X$15-CÁLCULO.TotalAdmLocal)*CRONO!$E82,0),AA81*$R80),SUMIF(OFFSET($R82,1,0,$Q80-2),($L80+1)&amp;"$",OFFSET(AA82,1,0,$Q80-2)))</f>
        <v>0</v>
      </c>
      <c r="AB82" s="223">
        <f ca="1">IF($Q80=2,IF(AND(ACOMPANHAMENTO="PLE",ISNUMBER($E80)),SUMIF((OFFSET(CÁLCULO!$BC$15:$BU$15,$E80,0,OFFSET(ORÇAMENTO!$D$15,CRONO!$E80,0))),"="&amp;CRONO!AB$12,OFFSET(CÁLCULO!$AJ$15:$BB$15,$E80,0,OFFSET(ORÇAMENTO!$D$15,CRONO!$E80,0)))+IF(AND($E82&lt;&gt;"",$E82&lt;&gt;0),SUMIF(CÁLCULO!$BC$15:$BU$727,"="&amp;CRONO!AB$12,CÁLCULO!$AJ$15:$BB$727)/(ORÇAMENTO!$X$15-CÁLCULO.TotalAdmLocal)*CRONO!$E82,0),AB81*$R80),SUMIF(OFFSET($R82,1,0,$Q80-2),($L80+1)&amp;"$",OFFSET(AB82,1,0,$Q80-2)))</f>
        <v>0</v>
      </c>
      <c r="AC82" s="223">
        <f ca="1">IF($Q80=2,IF(AND(ACOMPANHAMENTO="PLE",ISNUMBER($E80)),SUMIF((OFFSET(CÁLCULO!$BC$15:$BU$15,$E80,0,OFFSET(ORÇAMENTO!$D$15,CRONO!$E80,0))),"="&amp;CRONO!AC$12,OFFSET(CÁLCULO!$AJ$15:$BB$15,$E80,0,OFFSET(ORÇAMENTO!$D$15,CRONO!$E80,0)))+IF(AND($E82&lt;&gt;"",$E82&lt;&gt;0),SUMIF(CÁLCULO!$BC$15:$BU$727,"="&amp;CRONO!AC$12,CÁLCULO!$AJ$15:$BB$727)/(ORÇAMENTO!$X$15-CÁLCULO.TotalAdmLocal)*CRONO!$E82,0),AC81*$R80),SUMIF(OFFSET($R82,1,0,$Q80-2),($L80+1)&amp;"$",OFFSET(AC82,1,0,$Q80-2)))</f>
        <v>0</v>
      </c>
      <c r="AD82" s="223">
        <f ca="1">IF($Q80=2,IF(AND(ACOMPANHAMENTO="PLE",ISNUMBER($E80)),SUMIF((OFFSET(CÁLCULO!$BC$15:$BU$15,$E80,0,OFFSET(ORÇAMENTO!$D$15,CRONO!$E80,0))),"="&amp;CRONO!AD$12,OFFSET(CÁLCULO!$AJ$15:$BB$15,$E80,0,OFFSET(ORÇAMENTO!$D$15,CRONO!$E80,0)))+IF(AND($E82&lt;&gt;"",$E82&lt;&gt;0),SUMIF(CÁLCULO!$BC$15:$BU$727,"="&amp;CRONO!AD$12,CÁLCULO!$AJ$15:$BB$727)/(ORÇAMENTO!$X$15-CÁLCULO.TotalAdmLocal)*CRONO!$E82,0),AD81*$R80),SUMIF(OFFSET($R82,1,0,$Q80-2),($L80+1)&amp;"$",OFFSET(AD82,1,0,$Q80-2)))</f>
        <v>0</v>
      </c>
      <c r="AE82" s="228">
        <f ca="1">IF($Q80=2,IF(AND(ACOMPANHAMENTO="PLE",ISNUMBER($E80)),SUMIF((OFFSET(CÁLCULO!$BC$15:$BU$15,$E80,0,OFFSET(ORÇAMENTO!$D$15,CRONO!$E80,0))),"="&amp;CRONO!AE$12,OFFSET(CÁLCULO!$AJ$15:$BB$15,$E80,0,OFFSET(ORÇAMENTO!$D$15,CRONO!$E80,0)))+IF(AND($E82&lt;&gt;"",$E82&lt;&gt;0),SUMIF(CÁLCULO!$BC$15:$BU$727,"="&amp;CRONO!AE$12,CÁLCULO!$AJ$15:$BB$727)/(ORÇAMENTO!$X$15-CÁLCULO.TotalAdmLocal)*CRONO!$E82,0),AE81*$R80),SUMIF(OFFSET($R82,1,0,$Q80-2),($L80+1)&amp;"$",OFFSET(AE82,1,0,$Q80-2)))</f>
        <v>0</v>
      </c>
    </row>
    <row r="83" spans="1:32" x14ac:dyDescent="0.2">
      <c r="A83" s="204">
        <f t="shared" ref="A83" ca="1" si="164">OFFSET(A83,-3,0)+1</f>
        <v>24</v>
      </c>
      <c r="B83" s="204">
        <f ca="1">IF($Q83&lt;&gt;2,0,IF($R83=0,1,IF(E84&gt;0,OFFSET(QCI!$M$13,SUBSTITUTE(E84,".",""),0),OFFSET(ORÇAMENTO!$AA$15,CRONO!$E83,0))/$R83))</f>
        <v>1</v>
      </c>
      <c r="C83" s="204">
        <f ca="1">IF($Q83&lt;&gt;2,0,IF($R83=0,1,IF(E84&gt;0,OFFSET(QCI!$N$13,SUBSTITUTE(E84,".",""),0),OFFSET(ORÇAMENTO!$AB$15,CRONO!$E83,0))/$R83))</f>
        <v>1</v>
      </c>
      <c r="D83" s="207" t="e">
        <f ca="1">IF(AND($Q83=2,ACOMPANHAMENTO="BM"),D84,D85/$R83)</f>
        <v>#DIV/0!</v>
      </c>
      <c r="E83" s="204">
        <f ca="1">IF(A83&lt;=ORÇAMENTO.MáximoListaCrono,MATCH(A83,ORÇAMENTO.ListaCrono,0),NA())</f>
        <v>140</v>
      </c>
      <c r="F83" s="204" t="str">
        <f t="shared" ref="F83" ca="1" si="165">IF(AND($E84&lt;&gt;-1,$R83&gt;0),"F","")</f>
        <v/>
      </c>
      <c r="G83" s="208" t="str">
        <f ca="1">IF(OR(R83=0,R83=""),"Linha",IF(AND(OR(ACOMPANHAMENTO="PLE",$Q83&lt;&gt;2),$E84=0),"Linha",1-SUM(T83:AF83)))</f>
        <v>Linha</v>
      </c>
      <c r="H83" s="209" t="str">
        <f ca="1">IF($E84=0,OFFSET(ORÇAMENTO!O$15,$E83,0),IF($E84&lt;&gt;-1,OFFSET(QCI!$D$13,$E84,0),""))</f>
        <v>1.23.</v>
      </c>
      <c r="I83" s="210" t="str">
        <f ca="1">IF($E84=0,OFFSET(ORÇAMENTO!R$15,$E83,0),IF($E84&lt;&gt;-1,OFFSET(QCI!$G$13,$E84,0),""))</f>
        <v>ESQUADRIAS - GERAL</v>
      </c>
      <c r="J83" s="210"/>
      <c r="K83" s="210"/>
      <c r="L83" s="211">
        <f ca="1">IF($E84=0,OFFSET(ORÇAMENTO!C$15,$E83,0),1)</f>
        <v>2</v>
      </c>
      <c r="M83" s="212">
        <f ca="1">IF($E84=-1,0,IF(M$13&lt;=$L83,IF(ISERROR(MATCH(M$13,OFFSET($L83,1,0,ROW($L$260)-ROW($L83)-1),0)),ROW($L$260)-ROW($L83)-1,MATCH(M$13,OFFSET($L83,1,0,ROW($L$260)-ROW($L83)-1),0)-1),0))</f>
        <v>176</v>
      </c>
      <c r="N83" s="212">
        <f ca="1">IF($E84=-1,0,IF(N$13&lt;=$L83,IF(ISERROR(MATCH(N$13,OFFSET($L83,1,0,ROW($L$260)-ROW($L83)-1),0)),ROW($L$260)-ROW($L83)-1,MATCH(N$13,OFFSET($L83,1,0,ROW($L$260)-ROW($L83)-1),0)-1),0))</f>
        <v>2</v>
      </c>
      <c r="O83" s="212">
        <f ca="1">IF($E84=-1,0,IF(O$13&lt;=$L83,IF(ISERROR(MATCH(O$13,OFFSET($L83,1,0,ROW($L$260)-ROW($L83)-1),0)),ROW($L$260)-ROW($L83)-1,MATCH(O$13,OFFSET($L83,1,0,ROW($L$260)-ROW($L83)-1),0)-1),0))</f>
        <v>0</v>
      </c>
      <c r="P83" s="212">
        <f ca="1">IF($E84=-1,0,IF(P$13&lt;=$L83,IF(ISERROR(MATCH(P$13,OFFSET($L83,1,0,ROW($L$260)-ROW($L83)-1),0)),ROW($L$260)-ROW($L83)-1,MATCH(P$13,OFFSET($L83,1,0,ROW($L$260)-ROW($L83)-1),0)-1),0))</f>
        <v>0</v>
      </c>
      <c r="Q83" s="212">
        <f t="shared" ref="Q83" ca="1" si="166">MIN(OFFSET(L83,0,1,,L83))</f>
        <v>2</v>
      </c>
      <c r="R83" s="213">
        <f ca="1">IF($E84=0,OFFSET(ORÇAMENTO!X$15,$E83,0),IF($E84&lt;&gt;-1,OFFSET(QCI!$O$13,$E84,0),""))</f>
        <v>0</v>
      </c>
      <c r="S83" s="214" t="s">
        <v>270</v>
      </c>
      <c r="T83" s="215" t="e">
        <f t="shared" ref="T83:AE83" ca="1" si="167">IF(AND($Q83=2,ACOMPANHAMENTO="BM"),T84,T85/$R83)</f>
        <v>#DIV/0!</v>
      </c>
      <c r="U83" s="207" t="e">
        <f t="shared" ca="1" si="167"/>
        <v>#DIV/0!</v>
      </c>
      <c r="V83" s="207" t="e">
        <f t="shared" ca="1" si="167"/>
        <v>#DIV/0!</v>
      </c>
      <c r="W83" s="207" t="e">
        <f t="shared" ca="1" si="167"/>
        <v>#DIV/0!</v>
      </c>
      <c r="X83" s="207" t="e">
        <f t="shared" ca="1" si="167"/>
        <v>#DIV/0!</v>
      </c>
      <c r="Y83" s="207" t="e">
        <f t="shared" ca="1" si="167"/>
        <v>#DIV/0!</v>
      </c>
      <c r="Z83" s="207" t="e">
        <f t="shared" ca="1" si="167"/>
        <v>#DIV/0!</v>
      </c>
      <c r="AA83" s="207" t="e">
        <f t="shared" ca="1" si="167"/>
        <v>#DIV/0!</v>
      </c>
      <c r="AB83" s="207" t="e">
        <f t="shared" ca="1" si="167"/>
        <v>#DIV/0!</v>
      </c>
      <c r="AC83" s="207" t="e">
        <f t="shared" ca="1" si="167"/>
        <v>#DIV/0!</v>
      </c>
      <c r="AD83" s="207" t="e">
        <f t="shared" ca="1" si="167"/>
        <v>#DIV/0!</v>
      </c>
      <c r="AE83" s="216" t="e">
        <f t="shared" ca="1" si="167"/>
        <v>#DIV/0!</v>
      </c>
    </row>
    <row r="84" spans="1:32" ht="12.75" customHeight="1" x14ac:dyDescent="0.2">
      <c r="D84" s="569"/>
      <c r="E84" s="204">
        <f ca="1">IF(ISERROR(E83),IF(1+COUNTIF($L$13:OFFSET(L83,-1,0),1)&lt;=MAX(QCI!$D$13:$D$24),1+COUNTIF($L$13:OFFSET(L83,-1,0),1),-1),0)</f>
        <v>0</v>
      </c>
      <c r="F84" s="204" t="str">
        <f t="shared" ref="F84" ca="1" si="168">IF(AND($E84&lt;&gt;-1,$R83&gt;0),"F","")</f>
        <v/>
      </c>
      <c r="G84" s="217" t="str">
        <f ca="1">IF(OR(R83=0,R83=""),"vazia",IF(AND(OR(ACOMPANHAMENTO="PLE",$Q83&lt;&gt;2),$E84=0),"calculada","--&gt;"))</f>
        <v>vazia</v>
      </c>
      <c r="H84" s="218"/>
      <c r="I84" s="219" t="str">
        <f t="shared" ref="I84" ca="1" si="169">IF(AND(G83&lt;&gt;0,ISNUMBER(G83)),"PREENCHA ESTA LINHA --&gt;","")</f>
        <v/>
      </c>
      <c r="J84" s="219"/>
      <c r="K84" s="219"/>
      <c r="L84" s="220"/>
      <c r="M84" s="220"/>
      <c r="N84" s="220"/>
      <c r="O84" s="220"/>
      <c r="P84" s="220"/>
      <c r="Q84" s="220"/>
      <c r="R84" s="221"/>
      <c r="S84" s="222"/>
      <c r="T84" s="570"/>
      <c r="U84" s="569"/>
      <c r="V84" s="569"/>
      <c r="W84" s="569"/>
      <c r="X84" s="569"/>
      <c r="Y84" s="569"/>
      <c r="Z84" s="569"/>
      <c r="AA84" s="569"/>
      <c r="AB84" s="569"/>
      <c r="AC84" s="569"/>
      <c r="AD84" s="569"/>
      <c r="AE84" s="571"/>
      <c r="AF84" s="533"/>
    </row>
    <row r="85" spans="1:32" ht="0.2" hidden="1" customHeight="1" x14ac:dyDescent="0.2">
      <c r="D85" s="223">
        <f ca="1">IF($Q83=2,IF(AND(ACOMPANHAMENTO="PLE",ISNUMBER($E83)),SUMIF((OFFSET(CÁLCULO!$BC$15:$BU$15,$E83,0,OFFSET(ORÇAMENTO!$D$15,CRONO!$E83,0))),"="&amp;CRONO!D$12,OFFSET(CÁLCULO!$AJ$15:$BB$15,$E83,0,OFFSET(ORÇAMENTO!$D$15,CRONO!$E83,0)))+IF(AND($E85&lt;&gt;"",$E85&lt;&gt;0),SUMIF(CÁLCULO!$BC$15:$BU$727,"="&amp;CRONO!D$12,CÁLCULO!$AJ$15:$BB$727)/(ORÇAMENTO!$X$15-CÁLCULO.TotalAdmLocal)*CRONO!$E85,0),D84*$R83),SUMIF(OFFSET($R85,1,0,$Q83-2),($L83+1)&amp;"$",OFFSET(D85,1,0,$Q83-2)))</f>
        <v>0</v>
      </c>
      <c r="E85" s="204" t="str">
        <f ca="1">IF(OR($Q83&lt;&gt;2,AUTOEVENTO&lt;&gt;"manual",$E84&gt;0),"",SUMIF(OFFSET(CÁLCULO!$M$15,CRONO!$E83,0,OFFSET(ORÇAMENTO!$D$15,CRONO!$E83,0)),1,OFFSET(ORÇAMENTO!$X$15,CRONO!$E83,0,OFFSET(ORÇAMENTO!$D$15,CRONO!$E83,0))))</f>
        <v/>
      </c>
      <c r="G85" s="224"/>
      <c r="R85" s="225" t="str">
        <f t="shared" ref="R85" ca="1" si="170">L83&amp;"$"</f>
        <v>2$</v>
      </c>
      <c r="S85" s="226"/>
      <c r="T85" s="227">
        <f ca="1">IF($Q83=2,IF(AND(ACOMPANHAMENTO="PLE",ISNUMBER($E83)),SUMIF((OFFSET(CÁLCULO!$BC$15:$BU$15,$E83,0,OFFSET(ORÇAMENTO!$D$15,CRONO!$E83,0))),"&lt;="&amp;CRONO!T$12,OFFSET(CÁLCULO!$AJ$15:$BB$15,$E83,0,OFFSET(ORÇAMENTO!$D$15,CRONO!$E83,0)))+IF(AND($E85&lt;&gt;"",$E85&lt;&gt;0),SUMIF(CÁLCULO!$BC$15:$BU$727,"&lt;="&amp;CRONO!T$12,CÁLCULO!$AJ$15:$BB$727)/(ORÇAMENTO!$X$15-CÁLCULO.TotalAdmLocal)*CRONO!$E85,0),T84*$R83),SUMIF(OFFSET($R85,1,0,$Q83-2),($L83+1)&amp;"$",OFFSET(T85,1,0,$Q83-2)))</f>
        <v>0</v>
      </c>
      <c r="U85" s="223">
        <f ca="1">IF($Q83=2,IF(AND(ACOMPANHAMENTO="PLE",ISNUMBER($E83)),SUMIF((OFFSET(CÁLCULO!$BC$15:$BU$15,$E83,0,OFFSET(ORÇAMENTO!$D$15,CRONO!$E83,0))),"="&amp;CRONO!U$12,OFFSET(CÁLCULO!$AJ$15:$BB$15,$E83,0,OFFSET(ORÇAMENTO!$D$15,CRONO!$E83,0)))+IF(AND($E85&lt;&gt;"",$E85&lt;&gt;0),SUMIF(CÁLCULO!$BC$15:$BU$727,"="&amp;CRONO!U$12,CÁLCULO!$AJ$15:$BB$727)/(ORÇAMENTO!$X$15-CÁLCULO.TotalAdmLocal)*CRONO!$E85,0),U84*$R83),SUMIF(OFFSET($R85,1,0,$Q83-2),($L83+1)&amp;"$",OFFSET(U85,1,0,$Q83-2)))</f>
        <v>0</v>
      </c>
      <c r="V85" s="223">
        <f ca="1">IF($Q83=2,IF(AND(ACOMPANHAMENTO="PLE",ISNUMBER($E83)),SUMIF((OFFSET(CÁLCULO!$BC$15:$BU$15,$E83,0,OFFSET(ORÇAMENTO!$D$15,CRONO!$E83,0))),"="&amp;CRONO!V$12,OFFSET(CÁLCULO!$AJ$15:$BB$15,$E83,0,OFFSET(ORÇAMENTO!$D$15,CRONO!$E83,0)))+IF(AND($E85&lt;&gt;"",$E85&lt;&gt;0),SUMIF(CÁLCULO!$BC$15:$BU$727,"="&amp;CRONO!V$12,CÁLCULO!$AJ$15:$BB$727)/(ORÇAMENTO!$X$15-CÁLCULO.TotalAdmLocal)*CRONO!$E85,0),V84*$R83),SUMIF(OFFSET($R85,1,0,$Q83-2),($L83+1)&amp;"$",OFFSET(V85,1,0,$Q83-2)))</f>
        <v>0</v>
      </c>
      <c r="W85" s="223">
        <f ca="1">IF($Q83=2,IF(AND(ACOMPANHAMENTO="PLE",ISNUMBER($E83)),SUMIF((OFFSET(CÁLCULO!$BC$15:$BU$15,$E83,0,OFFSET(ORÇAMENTO!$D$15,CRONO!$E83,0))),"="&amp;CRONO!W$12,OFFSET(CÁLCULO!$AJ$15:$BB$15,$E83,0,OFFSET(ORÇAMENTO!$D$15,CRONO!$E83,0)))+IF(AND($E85&lt;&gt;"",$E85&lt;&gt;0),SUMIF(CÁLCULO!$BC$15:$BU$727,"="&amp;CRONO!W$12,CÁLCULO!$AJ$15:$BB$727)/(ORÇAMENTO!$X$15-CÁLCULO.TotalAdmLocal)*CRONO!$E85,0),W84*$R83),SUMIF(OFFSET($R85,1,0,$Q83-2),($L83+1)&amp;"$",OFFSET(W85,1,0,$Q83-2)))</f>
        <v>0</v>
      </c>
      <c r="X85" s="223">
        <f ca="1">IF($Q83=2,IF(AND(ACOMPANHAMENTO="PLE",ISNUMBER($E83)),SUMIF((OFFSET(CÁLCULO!$BC$15:$BU$15,$E83,0,OFFSET(ORÇAMENTO!$D$15,CRONO!$E83,0))),"="&amp;CRONO!X$12,OFFSET(CÁLCULO!$AJ$15:$BB$15,$E83,0,OFFSET(ORÇAMENTO!$D$15,CRONO!$E83,0)))+IF(AND($E85&lt;&gt;"",$E85&lt;&gt;0),SUMIF(CÁLCULO!$BC$15:$BU$727,"="&amp;CRONO!X$12,CÁLCULO!$AJ$15:$BB$727)/(ORÇAMENTO!$X$15-CÁLCULO.TotalAdmLocal)*CRONO!$E85,0),X84*$R83),SUMIF(OFFSET($R85,1,0,$Q83-2),($L83+1)&amp;"$",OFFSET(X85,1,0,$Q83-2)))</f>
        <v>0</v>
      </c>
      <c r="Y85" s="223">
        <f ca="1">IF($Q83=2,IF(AND(ACOMPANHAMENTO="PLE",ISNUMBER($E83)),SUMIF((OFFSET(CÁLCULO!$BC$15:$BU$15,$E83,0,OFFSET(ORÇAMENTO!$D$15,CRONO!$E83,0))),"="&amp;CRONO!Y$12,OFFSET(CÁLCULO!$AJ$15:$BB$15,$E83,0,OFFSET(ORÇAMENTO!$D$15,CRONO!$E83,0)))+IF(AND($E85&lt;&gt;"",$E85&lt;&gt;0),SUMIF(CÁLCULO!$BC$15:$BU$727,"="&amp;CRONO!Y$12,CÁLCULO!$AJ$15:$BB$727)/(ORÇAMENTO!$X$15-CÁLCULO.TotalAdmLocal)*CRONO!$E85,0),Y84*$R83),SUMIF(OFFSET($R85,1,0,$Q83-2),($L83+1)&amp;"$",OFFSET(Y85,1,0,$Q83-2)))</f>
        <v>0</v>
      </c>
      <c r="Z85" s="223">
        <f ca="1">IF($Q83=2,IF(AND(ACOMPANHAMENTO="PLE",ISNUMBER($E83)),SUMIF((OFFSET(CÁLCULO!$BC$15:$BU$15,$E83,0,OFFSET(ORÇAMENTO!$D$15,CRONO!$E83,0))),"="&amp;CRONO!Z$12,OFFSET(CÁLCULO!$AJ$15:$BB$15,$E83,0,OFFSET(ORÇAMENTO!$D$15,CRONO!$E83,0)))+IF(AND($E85&lt;&gt;"",$E85&lt;&gt;0),SUMIF(CÁLCULO!$BC$15:$BU$727,"="&amp;CRONO!Z$12,CÁLCULO!$AJ$15:$BB$727)/(ORÇAMENTO!$X$15-CÁLCULO.TotalAdmLocal)*CRONO!$E85,0),Z84*$R83),SUMIF(OFFSET($R85,1,0,$Q83-2),($L83+1)&amp;"$",OFFSET(Z85,1,0,$Q83-2)))</f>
        <v>0</v>
      </c>
      <c r="AA85" s="223">
        <f ca="1">IF($Q83=2,IF(AND(ACOMPANHAMENTO="PLE",ISNUMBER($E83)),SUMIF((OFFSET(CÁLCULO!$BC$15:$BU$15,$E83,0,OFFSET(ORÇAMENTO!$D$15,CRONO!$E83,0))),"="&amp;CRONO!AA$12,OFFSET(CÁLCULO!$AJ$15:$BB$15,$E83,0,OFFSET(ORÇAMENTO!$D$15,CRONO!$E83,0)))+IF(AND($E85&lt;&gt;"",$E85&lt;&gt;0),SUMIF(CÁLCULO!$BC$15:$BU$727,"="&amp;CRONO!AA$12,CÁLCULO!$AJ$15:$BB$727)/(ORÇAMENTO!$X$15-CÁLCULO.TotalAdmLocal)*CRONO!$E85,0),AA84*$R83),SUMIF(OFFSET($R85,1,0,$Q83-2),($L83+1)&amp;"$",OFFSET(AA85,1,0,$Q83-2)))</f>
        <v>0</v>
      </c>
      <c r="AB85" s="223">
        <f ca="1">IF($Q83=2,IF(AND(ACOMPANHAMENTO="PLE",ISNUMBER($E83)),SUMIF((OFFSET(CÁLCULO!$BC$15:$BU$15,$E83,0,OFFSET(ORÇAMENTO!$D$15,CRONO!$E83,0))),"="&amp;CRONO!AB$12,OFFSET(CÁLCULO!$AJ$15:$BB$15,$E83,0,OFFSET(ORÇAMENTO!$D$15,CRONO!$E83,0)))+IF(AND($E85&lt;&gt;"",$E85&lt;&gt;0),SUMIF(CÁLCULO!$BC$15:$BU$727,"="&amp;CRONO!AB$12,CÁLCULO!$AJ$15:$BB$727)/(ORÇAMENTO!$X$15-CÁLCULO.TotalAdmLocal)*CRONO!$E85,0),AB84*$R83),SUMIF(OFFSET($R85,1,0,$Q83-2),($L83+1)&amp;"$",OFFSET(AB85,1,0,$Q83-2)))</f>
        <v>0</v>
      </c>
      <c r="AC85" s="223">
        <f ca="1">IF($Q83=2,IF(AND(ACOMPANHAMENTO="PLE",ISNUMBER($E83)),SUMIF((OFFSET(CÁLCULO!$BC$15:$BU$15,$E83,0,OFFSET(ORÇAMENTO!$D$15,CRONO!$E83,0))),"="&amp;CRONO!AC$12,OFFSET(CÁLCULO!$AJ$15:$BB$15,$E83,0,OFFSET(ORÇAMENTO!$D$15,CRONO!$E83,0)))+IF(AND($E85&lt;&gt;"",$E85&lt;&gt;0),SUMIF(CÁLCULO!$BC$15:$BU$727,"="&amp;CRONO!AC$12,CÁLCULO!$AJ$15:$BB$727)/(ORÇAMENTO!$X$15-CÁLCULO.TotalAdmLocal)*CRONO!$E85,0),AC84*$R83),SUMIF(OFFSET($R85,1,0,$Q83-2),($L83+1)&amp;"$",OFFSET(AC85,1,0,$Q83-2)))</f>
        <v>0</v>
      </c>
      <c r="AD85" s="223">
        <f ca="1">IF($Q83=2,IF(AND(ACOMPANHAMENTO="PLE",ISNUMBER($E83)),SUMIF((OFFSET(CÁLCULO!$BC$15:$BU$15,$E83,0,OFFSET(ORÇAMENTO!$D$15,CRONO!$E83,0))),"="&amp;CRONO!AD$12,OFFSET(CÁLCULO!$AJ$15:$BB$15,$E83,0,OFFSET(ORÇAMENTO!$D$15,CRONO!$E83,0)))+IF(AND($E85&lt;&gt;"",$E85&lt;&gt;0),SUMIF(CÁLCULO!$BC$15:$BU$727,"="&amp;CRONO!AD$12,CÁLCULO!$AJ$15:$BB$727)/(ORÇAMENTO!$X$15-CÁLCULO.TotalAdmLocal)*CRONO!$E85,0),AD84*$R83),SUMIF(OFFSET($R85,1,0,$Q83-2),($L83+1)&amp;"$",OFFSET(AD85,1,0,$Q83-2)))</f>
        <v>0</v>
      </c>
      <c r="AE85" s="228">
        <f ca="1">IF($Q83=2,IF(AND(ACOMPANHAMENTO="PLE",ISNUMBER($E83)),SUMIF((OFFSET(CÁLCULO!$BC$15:$BU$15,$E83,0,OFFSET(ORÇAMENTO!$D$15,CRONO!$E83,0))),"="&amp;CRONO!AE$12,OFFSET(CÁLCULO!$AJ$15:$BB$15,$E83,0,OFFSET(ORÇAMENTO!$D$15,CRONO!$E83,0)))+IF(AND($E85&lt;&gt;"",$E85&lt;&gt;0),SUMIF(CÁLCULO!$BC$15:$BU$727,"="&amp;CRONO!AE$12,CÁLCULO!$AJ$15:$BB$727)/(ORÇAMENTO!$X$15-CÁLCULO.TotalAdmLocal)*CRONO!$E85,0),AE84*$R83),SUMIF(OFFSET($R85,1,0,$Q83-2),($L83+1)&amp;"$",OFFSET(AE85,1,0,$Q83-2)))</f>
        <v>0</v>
      </c>
    </row>
    <row r="86" spans="1:32" x14ac:dyDescent="0.2">
      <c r="A86" s="204">
        <f t="shared" ref="A86" ca="1" si="171">OFFSET(A86,-3,0)+1</f>
        <v>25</v>
      </c>
      <c r="B86" s="204">
        <f ca="1">IF($Q86&lt;&gt;2,0,IF($R86=0,1,IF(E87&gt;0,OFFSET(QCI!$M$13,SUBSTITUTE(E87,".",""),0),OFFSET(ORÇAMENTO!$AA$15,CRONO!$E86,0))/$R86))</f>
        <v>1</v>
      </c>
      <c r="C86" s="204">
        <f ca="1">IF($Q86&lt;&gt;2,0,IF($R86=0,1,IF(E87&gt;0,OFFSET(QCI!$N$13,SUBSTITUTE(E87,".",""),0),OFFSET(ORÇAMENTO!$AB$15,CRONO!$E86,0))/$R86))</f>
        <v>1</v>
      </c>
      <c r="D86" s="207" t="e">
        <f ca="1">IF(AND($Q86=2,ACOMPANHAMENTO="BM"),D87,D88/$R86)</f>
        <v>#DIV/0!</v>
      </c>
      <c r="E86" s="204">
        <f ca="1">IF(A86&lt;=ORÇAMENTO.MáximoListaCrono,MATCH(A86,ORÇAMENTO.ListaCrono,0),NA())</f>
        <v>154</v>
      </c>
      <c r="F86" s="204" t="str">
        <f t="shared" ref="F86" ca="1" si="172">IF(AND($E87&lt;&gt;-1,$R86&gt;0),"F","")</f>
        <v/>
      </c>
      <c r="G86" s="208" t="str">
        <f ca="1">IF(OR(R86=0,R86=""),"Linha",IF(AND(OR(ACOMPANHAMENTO="PLE",$Q86&lt;&gt;2),$E87=0),"Linha",1-SUM(T86:AF86)))</f>
        <v>Linha</v>
      </c>
      <c r="H86" s="209" t="str">
        <f ca="1">IF($E87=0,OFFSET(ORÇAMENTO!O$15,$E86,0),IF($E87&lt;&gt;-1,OFFSET(QCI!$D$13,$E87,0),""))</f>
        <v>1.24.</v>
      </c>
      <c r="I86" s="210" t="str">
        <f ca="1">IF($E87=0,OFFSET(ORÇAMENTO!R$15,$E86,0),IF($E87&lt;&gt;-1,OFFSET(QCI!$G$13,$E87,0),""))</f>
        <v>SISTEMAS DE COBERTURA</v>
      </c>
      <c r="J86" s="210"/>
      <c r="K86" s="210"/>
      <c r="L86" s="211">
        <f ca="1">IF($E87=0,OFFSET(ORÇAMENTO!C$15,$E86,0),1)</f>
        <v>2</v>
      </c>
      <c r="M86" s="212">
        <f ca="1">IF($E87=-1,0,IF(M$13&lt;=$L86,IF(ISERROR(MATCH(M$13,OFFSET($L86,1,0,ROW($L$260)-ROW($L86)-1),0)),ROW($L$260)-ROW($L86)-1,MATCH(M$13,OFFSET($L86,1,0,ROW($L$260)-ROW($L86)-1),0)-1),0))</f>
        <v>173</v>
      </c>
      <c r="N86" s="212">
        <f ca="1">IF($E87=-1,0,IF(N$13&lt;=$L86,IF(ISERROR(MATCH(N$13,OFFSET($L86,1,0,ROW($L$260)-ROW($L86)-1),0)),ROW($L$260)-ROW($L86)-1,MATCH(N$13,OFFSET($L86,1,0,ROW($L$260)-ROW($L86)-1),0)-1),0))</f>
        <v>2</v>
      </c>
      <c r="O86" s="212">
        <f ca="1">IF($E87=-1,0,IF(O$13&lt;=$L86,IF(ISERROR(MATCH(O$13,OFFSET($L86,1,0,ROW($L$260)-ROW($L86)-1),0)),ROW($L$260)-ROW($L86)-1,MATCH(O$13,OFFSET($L86,1,0,ROW($L$260)-ROW($L86)-1),0)-1),0))</f>
        <v>0</v>
      </c>
      <c r="P86" s="212">
        <f ca="1">IF($E87=-1,0,IF(P$13&lt;=$L86,IF(ISERROR(MATCH(P$13,OFFSET($L86,1,0,ROW($L$260)-ROW($L86)-1),0)),ROW($L$260)-ROW($L86)-1,MATCH(P$13,OFFSET($L86,1,0,ROW($L$260)-ROW($L86)-1),0)-1),0))</f>
        <v>0</v>
      </c>
      <c r="Q86" s="212">
        <f t="shared" ref="Q86" ca="1" si="173">MIN(OFFSET(L86,0,1,,L86))</f>
        <v>2</v>
      </c>
      <c r="R86" s="213">
        <f ca="1">IF($E87=0,OFFSET(ORÇAMENTO!X$15,$E86,0),IF($E87&lt;&gt;-1,OFFSET(QCI!$O$13,$E87,0),""))</f>
        <v>0</v>
      </c>
      <c r="S86" s="214" t="s">
        <v>270</v>
      </c>
      <c r="T86" s="215" t="e">
        <f t="shared" ref="T86:AE86" ca="1" si="174">IF(AND($Q86=2,ACOMPANHAMENTO="BM"),T87,T88/$R86)</f>
        <v>#DIV/0!</v>
      </c>
      <c r="U86" s="207" t="e">
        <f t="shared" ca="1" si="174"/>
        <v>#DIV/0!</v>
      </c>
      <c r="V86" s="207" t="e">
        <f t="shared" ca="1" si="174"/>
        <v>#DIV/0!</v>
      </c>
      <c r="W86" s="207" t="e">
        <f t="shared" ca="1" si="174"/>
        <v>#DIV/0!</v>
      </c>
      <c r="X86" s="207" t="e">
        <f t="shared" ca="1" si="174"/>
        <v>#DIV/0!</v>
      </c>
      <c r="Y86" s="207" t="e">
        <f t="shared" ca="1" si="174"/>
        <v>#DIV/0!</v>
      </c>
      <c r="Z86" s="207" t="e">
        <f t="shared" ca="1" si="174"/>
        <v>#DIV/0!</v>
      </c>
      <c r="AA86" s="207" t="e">
        <f t="shared" ca="1" si="174"/>
        <v>#DIV/0!</v>
      </c>
      <c r="AB86" s="207" t="e">
        <f t="shared" ca="1" si="174"/>
        <v>#DIV/0!</v>
      </c>
      <c r="AC86" s="207" t="e">
        <f t="shared" ca="1" si="174"/>
        <v>#DIV/0!</v>
      </c>
      <c r="AD86" s="207" t="e">
        <f t="shared" ca="1" si="174"/>
        <v>#DIV/0!</v>
      </c>
      <c r="AE86" s="216" t="e">
        <f t="shared" ca="1" si="174"/>
        <v>#DIV/0!</v>
      </c>
    </row>
    <row r="87" spans="1:32" ht="12.75" customHeight="1" x14ac:dyDescent="0.2">
      <c r="D87" s="569"/>
      <c r="E87" s="204">
        <f ca="1">IF(ISERROR(E86),IF(1+COUNTIF($L$13:OFFSET(L86,-1,0),1)&lt;=MAX(QCI!$D$13:$D$24),1+COUNTIF($L$13:OFFSET(L86,-1,0),1),-1),0)</f>
        <v>0</v>
      </c>
      <c r="F87" s="204" t="str">
        <f t="shared" ref="F87" ca="1" si="175">IF(AND($E87&lt;&gt;-1,$R86&gt;0),"F","")</f>
        <v/>
      </c>
      <c r="G87" s="217" t="str">
        <f ca="1">IF(OR(R86=0,R86=""),"vazia",IF(AND(OR(ACOMPANHAMENTO="PLE",$Q86&lt;&gt;2),$E87=0),"calculada","--&gt;"))</f>
        <v>vazia</v>
      </c>
      <c r="H87" s="218"/>
      <c r="I87" s="219" t="str">
        <f t="shared" ref="I87" ca="1" si="176">IF(AND(G86&lt;&gt;0,ISNUMBER(G86)),"PREENCHA ESTA LINHA --&gt;","")</f>
        <v/>
      </c>
      <c r="J87" s="219"/>
      <c r="K87" s="219"/>
      <c r="L87" s="220"/>
      <c r="M87" s="220"/>
      <c r="N87" s="220"/>
      <c r="O87" s="220"/>
      <c r="P87" s="220"/>
      <c r="Q87" s="220"/>
      <c r="R87" s="221"/>
      <c r="S87" s="222"/>
      <c r="T87" s="570"/>
      <c r="U87" s="569"/>
      <c r="V87" s="569"/>
      <c r="W87" s="569"/>
      <c r="X87" s="569"/>
      <c r="Y87" s="569"/>
      <c r="Z87" s="569"/>
      <c r="AA87" s="569"/>
      <c r="AB87" s="569"/>
      <c r="AC87" s="569"/>
      <c r="AD87" s="569"/>
      <c r="AE87" s="571"/>
      <c r="AF87" s="533"/>
    </row>
    <row r="88" spans="1:32" ht="0.2" hidden="1" customHeight="1" x14ac:dyDescent="0.2">
      <c r="D88" s="223">
        <f ca="1">IF($Q86=2,IF(AND(ACOMPANHAMENTO="PLE",ISNUMBER($E86)),SUMIF((OFFSET(CÁLCULO!$BC$15:$BU$15,$E86,0,OFFSET(ORÇAMENTO!$D$15,CRONO!$E86,0))),"="&amp;CRONO!D$12,OFFSET(CÁLCULO!$AJ$15:$BB$15,$E86,0,OFFSET(ORÇAMENTO!$D$15,CRONO!$E86,0)))+IF(AND($E88&lt;&gt;"",$E88&lt;&gt;0),SUMIF(CÁLCULO!$BC$15:$BU$727,"="&amp;CRONO!D$12,CÁLCULO!$AJ$15:$BB$727)/(ORÇAMENTO!$X$15-CÁLCULO.TotalAdmLocal)*CRONO!$E88,0),D87*$R86),SUMIF(OFFSET($R88,1,0,$Q86-2),($L86+1)&amp;"$",OFFSET(D88,1,0,$Q86-2)))</f>
        <v>0</v>
      </c>
      <c r="E88" s="204" t="str">
        <f ca="1">IF(OR($Q86&lt;&gt;2,AUTOEVENTO&lt;&gt;"manual",$E87&gt;0),"",SUMIF(OFFSET(CÁLCULO!$M$15,CRONO!$E86,0,OFFSET(ORÇAMENTO!$D$15,CRONO!$E86,0)),1,OFFSET(ORÇAMENTO!$X$15,CRONO!$E86,0,OFFSET(ORÇAMENTO!$D$15,CRONO!$E86,0))))</f>
        <v/>
      </c>
      <c r="G88" s="224"/>
      <c r="R88" s="225" t="str">
        <f t="shared" ref="R88" ca="1" si="177">L86&amp;"$"</f>
        <v>2$</v>
      </c>
      <c r="S88" s="226"/>
      <c r="T88" s="227">
        <f ca="1">IF($Q86=2,IF(AND(ACOMPANHAMENTO="PLE",ISNUMBER($E86)),SUMIF((OFFSET(CÁLCULO!$BC$15:$BU$15,$E86,0,OFFSET(ORÇAMENTO!$D$15,CRONO!$E86,0))),"&lt;="&amp;CRONO!T$12,OFFSET(CÁLCULO!$AJ$15:$BB$15,$E86,0,OFFSET(ORÇAMENTO!$D$15,CRONO!$E86,0)))+IF(AND($E88&lt;&gt;"",$E88&lt;&gt;0),SUMIF(CÁLCULO!$BC$15:$BU$727,"&lt;="&amp;CRONO!T$12,CÁLCULO!$AJ$15:$BB$727)/(ORÇAMENTO!$X$15-CÁLCULO.TotalAdmLocal)*CRONO!$E88,0),T87*$R86),SUMIF(OFFSET($R88,1,0,$Q86-2),($L86+1)&amp;"$",OFFSET(T88,1,0,$Q86-2)))</f>
        <v>0</v>
      </c>
      <c r="U88" s="223">
        <f ca="1">IF($Q86=2,IF(AND(ACOMPANHAMENTO="PLE",ISNUMBER($E86)),SUMIF((OFFSET(CÁLCULO!$BC$15:$BU$15,$E86,0,OFFSET(ORÇAMENTO!$D$15,CRONO!$E86,0))),"="&amp;CRONO!U$12,OFFSET(CÁLCULO!$AJ$15:$BB$15,$E86,0,OFFSET(ORÇAMENTO!$D$15,CRONO!$E86,0)))+IF(AND($E88&lt;&gt;"",$E88&lt;&gt;0),SUMIF(CÁLCULO!$BC$15:$BU$727,"="&amp;CRONO!U$12,CÁLCULO!$AJ$15:$BB$727)/(ORÇAMENTO!$X$15-CÁLCULO.TotalAdmLocal)*CRONO!$E88,0),U87*$R86),SUMIF(OFFSET($R88,1,0,$Q86-2),($L86+1)&amp;"$",OFFSET(U88,1,0,$Q86-2)))</f>
        <v>0</v>
      </c>
      <c r="V88" s="223">
        <f ca="1">IF($Q86=2,IF(AND(ACOMPANHAMENTO="PLE",ISNUMBER($E86)),SUMIF((OFFSET(CÁLCULO!$BC$15:$BU$15,$E86,0,OFFSET(ORÇAMENTO!$D$15,CRONO!$E86,0))),"="&amp;CRONO!V$12,OFFSET(CÁLCULO!$AJ$15:$BB$15,$E86,0,OFFSET(ORÇAMENTO!$D$15,CRONO!$E86,0)))+IF(AND($E88&lt;&gt;"",$E88&lt;&gt;0),SUMIF(CÁLCULO!$BC$15:$BU$727,"="&amp;CRONO!V$12,CÁLCULO!$AJ$15:$BB$727)/(ORÇAMENTO!$X$15-CÁLCULO.TotalAdmLocal)*CRONO!$E88,0),V87*$R86),SUMIF(OFFSET($R88,1,0,$Q86-2),($L86+1)&amp;"$",OFFSET(V88,1,0,$Q86-2)))</f>
        <v>0</v>
      </c>
      <c r="W88" s="223">
        <f ca="1">IF($Q86=2,IF(AND(ACOMPANHAMENTO="PLE",ISNUMBER($E86)),SUMIF((OFFSET(CÁLCULO!$BC$15:$BU$15,$E86,0,OFFSET(ORÇAMENTO!$D$15,CRONO!$E86,0))),"="&amp;CRONO!W$12,OFFSET(CÁLCULO!$AJ$15:$BB$15,$E86,0,OFFSET(ORÇAMENTO!$D$15,CRONO!$E86,0)))+IF(AND($E88&lt;&gt;"",$E88&lt;&gt;0),SUMIF(CÁLCULO!$BC$15:$BU$727,"="&amp;CRONO!W$12,CÁLCULO!$AJ$15:$BB$727)/(ORÇAMENTO!$X$15-CÁLCULO.TotalAdmLocal)*CRONO!$E88,0),W87*$R86),SUMIF(OFFSET($R88,1,0,$Q86-2),($L86+1)&amp;"$",OFFSET(W88,1,0,$Q86-2)))</f>
        <v>0</v>
      </c>
      <c r="X88" s="223">
        <f ca="1">IF($Q86=2,IF(AND(ACOMPANHAMENTO="PLE",ISNUMBER($E86)),SUMIF((OFFSET(CÁLCULO!$BC$15:$BU$15,$E86,0,OFFSET(ORÇAMENTO!$D$15,CRONO!$E86,0))),"="&amp;CRONO!X$12,OFFSET(CÁLCULO!$AJ$15:$BB$15,$E86,0,OFFSET(ORÇAMENTO!$D$15,CRONO!$E86,0)))+IF(AND($E88&lt;&gt;"",$E88&lt;&gt;0),SUMIF(CÁLCULO!$BC$15:$BU$727,"="&amp;CRONO!X$12,CÁLCULO!$AJ$15:$BB$727)/(ORÇAMENTO!$X$15-CÁLCULO.TotalAdmLocal)*CRONO!$E88,0),X87*$R86),SUMIF(OFFSET($R88,1,0,$Q86-2),($L86+1)&amp;"$",OFFSET(X88,1,0,$Q86-2)))</f>
        <v>0</v>
      </c>
      <c r="Y88" s="223">
        <f ca="1">IF($Q86=2,IF(AND(ACOMPANHAMENTO="PLE",ISNUMBER($E86)),SUMIF((OFFSET(CÁLCULO!$BC$15:$BU$15,$E86,0,OFFSET(ORÇAMENTO!$D$15,CRONO!$E86,0))),"="&amp;CRONO!Y$12,OFFSET(CÁLCULO!$AJ$15:$BB$15,$E86,0,OFFSET(ORÇAMENTO!$D$15,CRONO!$E86,0)))+IF(AND($E88&lt;&gt;"",$E88&lt;&gt;0),SUMIF(CÁLCULO!$BC$15:$BU$727,"="&amp;CRONO!Y$12,CÁLCULO!$AJ$15:$BB$727)/(ORÇAMENTO!$X$15-CÁLCULO.TotalAdmLocal)*CRONO!$E88,0),Y87*$R86),SUMIF(OFFSET($R88,1,0,$Q86-2),($L86+1)&amp;"$",OFFSET(Y88,1,0,$Q86-2)))</f>
        <v>0</v>
      </c>
      <c r="Z88" s="223">
        <f ca="1">IF($Q86=2,IF(AND(ACOMPANHAMENTO="PLE",ISNUMBER($E86)),SUMIF((OFFSET(CÁLCULO!$BC$15:$BU$15,$E86,0,OFFSET(ORÇAMENTO!$D$15,CRONO!$E86,0))),"="&amp;CRONO!Z$12,OFFSET(CÁLCULO!$AJ$15:$BB$15,$E86,0,OFFSET(ORÇAMENTO!$D$15,CRONO!$E86,0)))+IF(AND($E88&lt;&gt;"",$E88&lt;&gt;0),SUMIF(CÁLCULO!$BC$15:$BU$727,"="&amp;CRONO!Z$12,CÁLCULO!$AJ$15:$BB$727)/(ORÇAMENTO!$X$15-CÁLCULO.TotalAdmLocal)*CRONO!$E88,0),Z87*$R86),SUMIF(OFFSET($R88,1,0,$Q86-2),($L86+1)&amp;"$",OFFSET(Z88,1,0,$Q86-2)))</f>
        <v>0</v>
      </c>
      <c r="AA88" s="223">
        <f ca="1">IF($Q86=2,IF(AND(ACOMPANHAMENTO="PLE",ISNUMBER($E86)),SUMIF((OFFSET(CÁLCULO!$BC$15:$BU$15,$E86,0,OFFSET(ORÇAMENTO!$D$15,CRONO!$E86,0))),"="&amp;CRONO!AA$12,OFFSET(CÁLCULO!$AJ$15:$BB$15,$E86,0,OFFSET(ORÇAMENTO!$D$15,CRONO!$E86,0)))+IF(AND($E88&lt;&gt;"",$E88&lt;&gt;0),SUMIF(CÁLCULO!$BC$15:$BU$727,"="&amp;CRONO!AA$12,CÁLCULO!$AJ$15:$BB$727)/(ORÇAMENTO!$X$15-CÁLCULO.TotalAdmLocal)*CRONO!$E88,0),AA87*$R86),SUMIF(OFFSET($R88,1,0,$Q86-2),($L86+1)&amp;"$",OFFSET(AA88,1,0,$Q86-2)))</f>
        <v>0</v>
      </c>
      <c r="AB88" s="223">
        <f ca="1">IF($Q86=2,IF(AND(ACOMPANHAMENTO="PLE",ISNUMBER($E86)),SUMIF((OFFSET(CÁLCULO!$BC$15:$BU$15,$E86,0,OFFSET(ORÇAMENTO!$D$15,CRONO!$E86,0))),"="&amp;CRONO!AB$12,OFFSET(CÁLCULO!$AJ$15:$BB$15,$E86,0,OFFSET(ORÇAMENTO!$D$15,CRONO!$E86,0)))+IF(AND($E88&lt;&gt;"",$E88&lt;&gt;0),SUMIF(CÁLCULO!$BC$15:$BU$727,"="&amp;CRONO!AB$12,CÁLCULO!$AJ$15:$BB$727)/(ORÇAMENTO!$X$15-CÁLCULO.TotalAdmLocal)*CRONO!$E88,0),AB87*$R86),SUMIF(OFFSET($R88,1,0,$Q86-2),($L86+1)&amp;"$",OFFSET(AB88,1,0,$Q86-2)))</f>
        <v>0</v>
      </c>
      <c r="AC88" s="223">
        <f ca="1">IF($Q86=2,IF(AND(ACOMPANHAMENTO="PLE",ISNUMBER($E86)),SUMIF((OFFSET(CÁLCULO!$BC$15:$BU$15,$E86,0,OFFSET(ORÇAMENTO!$D$15,CRONO!$E86,0))),"="&amp;CRONO!AC$12,OFFSET(CÁLCULO!$AJ$15:$BB$15,$E86,0,OFFSET(ORÇAMENTO!$D$15,CRONO!$E86,0)))+IF(AND($E88&lt;&gt;"",$E88&lt;&gt;0),SUMIF(CÁLCULO!$BC$15:$BU$727,"="&amp;CRONO!AC$12,CÁLCULO!$AJ$15:$BB$727)/(ORÇAMENTO!$X$15-CÁLCULO.TotalAdmLocal)*CRONO!$E88,0),AC87*$R86),SUMIF(OFFSET($R88,1,0,$Q86-2),($L86+1)&amp;"$",OFFSET(AC88,1,0,$Q86-2)))</f>
        <v>0</v>
      </c>
      <c r="AD88" s="223">
        <f ca="1">IF($Q86=2,IF(AND(ACOMPANHAMENTO="PLE",ISNUMBER($E86)),SUMIF((OFFSET(CÁLCULO!$BC$15:$BU$15,$E86,0,OFFSET(ORÇAMENTO!$D$15,CRONO!$E86,0))),"="&amp;CRONO!AD$12,OFFSET(CÁLCULO!$AJ$15:$BB$15,$E86,0,OFFSET(ORÇAMENTO!$D$15,CRONO!$E86,0)))+IF(AND($E88&lt;&gt;"",$E88&lt;&gt;0),SUMIF(CÁLCULO!$BC$15:$BU$727,"="&amp;CRONO!AD$12,CÁLCULO!$AJ$15:$BB$727)/(ORÇAMENTO!$X$15-CÁLCULO.TotalAdmLocal)*CRONO!$E88,0),AD87*$R86),SUMIF(OFFSET($R88,1,0,$Q86-2),($L86+1)&amp;"$",OFFSET(AD88,1,0,$Q86-2)))</f>
        <v>0</v>
      </c>
      <c r="AE88" s="228">
        <f ca="1">IF($Q86=2,IF(AND(ACOMPANHAMENTO="PLE",ISNUMBER($E86)),SUMIF((OFFSET(CÁLCULO!$BC$15:$BU$15,$E86,0,OFFSET(ORÇAMENTO!$D$15,CRONO!$E86,0))),"="&amp;CRONO!AE$12,OFFSET(CÁLCULO!$AJ$15:$BB$15,$E86,0,OFFSET(ORÇAMENTO!$D$15,CRONO!$E86,0)))+IF(AND($E88&lt;&gt;"",$E88&lt;&gt;0),SUMIF(CÁLCULO!$BC$15:$BU$727,"="&amp;CRONO!AE$12,CÁLCULO!$AJ$15:$BB$727)/(ORÇAMENTO!$X$15-CÁLCULO.TotalAdmLocal)*CRONO!$E88,0),AE87*$R86),SUMIF(OFFSET($R88,1,0,$Q86-2),($L86+1)&amp;"$",OFFSET(AE88,1,0,$Q86-2)))</f>
        <v>0</v>
      </c>
    </row>
    <row r="89" spans="1:32" x14ac:dyDescent="0.2">
      <c r="A89" s="204">
        <f t="shared" ref="A89" ca="1" si="178">OFFSET(A89,-3,0)+1</f>
        <v>26</v>
      </c>
      <c r="B89" s="204">
        <f ca="1">IF($Q89&lt;&gt;2,0,IF($R89=0,1,IF(E90&gt;0,OFFSET(QCI!$M$13,SUBSTITUTE(E90,".",""),0),OFFSET(ORÇAMENTO!$AA$15,CRONO!$E89,0))/$R89))</f>
        <v>1</v>
      </c>
      <c r="C89" s="204">
        <f ca="1">IF($Q89&lt;&gt;2,0,IF($R89=0,1,IF(E90&gt;0,OFFSET(QCI!$N$13,SUBSTITUTE(E90,".",""),0),OFFSET(ORÇAMENTO!$AB$15,CRONO!$E89,0))/$R89))</f>
        <v>1</v>
      </c>
      <c r="D89" s="207" t="e">
        <f ca="1">IF(AND($Q89=2,ACOMPANHAMENTO="BM"),D90,D91/$R89)</f>
        <v>#DIV/0!</v>
      </c>
      <c r="E89" s="204">
        <f ca="1">IF(A89&lt;=ORÇAMENTO.MáximoListaCrono,MATCH(A89,ORÇAMENTO.ListaCrono,0),NA())</f>
        <v>161</v>
      </c>
      <c r="F89" s="204" t="str">
        <f t="shared" ref="F89" ca="1" si="179">IF(AND($E90&lt;&gt;-1,$R89&gt;0),"F","")</f>
        <v/>
      </c>
      <c r="G89" s="208" t="str">
        <f ca="1">IF(OR(R89=0,R89=""),"Linha",IF(AND(OR(ACOMPANHAMENTO="PLE",$Q89&lt;&gt;2),$E90=0),"Linha",1-SUM(T89:AF89)))</f>
        <v>Linha</v>
      </c>
      <c r="H89" s="209" t="str">
        <f ca="1">IF($E90=0,OFFSET(ORÇAMENTO!O$15,$E89,0),IF($E90&lt;&gt;-1,OFFSET(QCI!$D$13,$E90,0),""))</f>
        <v>1.25.</v>
      </c>
      <c r="I89" s="210" t="str">
        <f ca="1">IF($E90=0,OFFSET(ORÇAMENTO!R$15,$E89,0),IF($E90&lt;&gt;-1,OFFSET(QCI!$G$13,$E90,0),""))</f>
        <v>IMPERMEABILIZAÇÃO</v>
      </c>
      <c r="J89" s="210"/>
      <c r="K89" s="210"/>
      <c r="L89" s="211">
        <f ca="1">IF($E90=0,OFFSET(ORÇAMENTO!C$15,$E89,0),1)</f>
        <v>2</v>
      </c>
      <c r="M89" s="212">
        <f ca="1">IF($E90=-1,0,IF(M$13&lt;=$L89,IF(ISERROR(MATCH(M$13,OFFSET($L89,1,0,ROW($L$260)-ROW($L89)-1),0)),ROW($L$260)-ROW($L89)-1,MATCH(M$13,OFFSET($L89,1,0,ROW($L$260)-ROW($L89)-1),0)-1),0))</f>
        <v>170</v>
      </c>
      <c r="N89" s="212">
        <f ca="1">IF($E90=-1,0,IF(N$13&lt;=$L89,IF(ISERROR(MATCH(N$13,OFFSET($L89,1,0,ROW($L$260)-ROW($L89)-1),0)),ROW($L$260)-ROW($L89)-1,MATCH(N$13,OFFSET($L89,1,0,ROW($L$260)-ROW($L89)-1),0)-1),0))</f>
        <v>2</v>
      </c>
      <c r="O89" s="212">
        <f ca="1">IF($E90=-1,0,IF(O$13&lt;=$L89,IF(ISERROR(MATCH(O$13,OFFSET($L89,1,0,ROW($L$260)-ROW($L89)-1),0)),ROW($L$260)-ROW($L89)-1,MATCH(O$13,OFFSET($L89,1,0,ROW($L$260)-ROW($L89)-1),0)-1),0))</f>
        <v>0</v>
      </c>
      <c r="P89" s="212">
        <f ca="1">IF($E90=-1,0,IF(P$13&lt;=$L89,IF(ISERROR(MATCH(P$13,OFFSET($L89,1,0,ROW($L$260)-ROW($L89)-1),0)),ROW($L$260)-ROW($L89)-1,MATCH(P$13,OFFSET($L89,1,0,ROW($L$260)-ROW($L89)-1),0)-1),0))</f>
        <v>0</v>
      </c>
      <c r="Q89" s="212">
        <f t="shared" ref="Q89" ca="1" si="180">MIN(OFFSET(L89,0,1,,L89))</f>
        <v>2</v>
      </c>
      <c r="R89" s="213">
        <f ca="1">IF($E90=0,OFFSET(ORÇAMENTO!X$15,$E89,0),IF($E90&lt;&gt;-1,OFFSET(QCI!$O$13,$E90,0),""))</f>
        <v>0</v>
      </c>
      <c r="S89" s="214" t="s">
        <v>270</v>
      </c>
      <c r="T89" s="215" t="e">
        <f t="shared" ref="T89:AE89" ca="1" si="181">IF(AND($Q89=2,ACOMPANHAMENTO="BM"),T90,T91/$R89)</f>
        <v>#DIV/0!</v>
      </c>
      <c r="U89" s="207" t="e">
        <f t="shared" ca="1" si="181"/>
        <v>#DIV/0!</v>
      </c>
      <c r="V89" s="207" t="e">
        <f t="shared" ca="1" si="181"/>
        <v>#DIV/0!</v>
      </c>
      <c r="W89" s="207" t="e">
        <f t="shared" ca="1" si="181"/>
        <v>#DIV/0!</v>
      </c>
      <c r="X89" s="207" t="e">
        <f t="shared" ca="1" si="181"/>
        <v>#DIV/0!</v>
      </c>
      <c r="Y89" s="207" t="e">
        <f t="shared" ca="1" si="181"/>
        <v>#DIV/0!</v>
      </c>
      <c r="Z89" s="207" t="e">
        <f t="shared" ca="1" si="181"/>
        <v>#DIV/0!</v>
      </c>
      <c r="AA89" s="207" t="e">
        <f t="shared" ca="1" si="181"/>
        <v>#DIV/0!</v>
      </c>
      <c r="AB89" s="207" t="e">
        <f t="shared" ca="1" si="181"/>
        <v>#DIV/0!</v>
      </c>
      <c r="AC89" s="207" t="e">
        <f t="shared" ca="1" si="181"/>
        <v>#DIV/0!</v>
      </c>
      <c r="AD89" s="207" t="e">
        <f t="shared" ca="1" si="181"/>
        <v>#DIV/0!</v>
      </c>
      <c r="AE89" s="216" t="e">
        <f t="shared" ca="1" si="181"/>
        <v>#DIV/0!</v>
      </c>
    </row>
    <row r="90" spans="1:32" ht="12.75" customHeight="1" x14ac:dyDescent="0.2">
      <c r="D90" s="569"/>
      <c r="E90" s="204">
        <f ca="1">IF(ISERROR(E89),IF(1+COUNTIF($L$13:OFFSET(L89,-1,0),1)&lt;=MAX(QCI!$D$13:$D$24),1+COUNTIF($L$13:OFFSET(L89,-1,0),1),-1),0)</f>
        <v>0</v>
      </c>
      <c r="F90" s="204" t="str">
        <f t="shared" ref="F90" ca="1" si="182">IF(AND($E90&lt;&gt;-1,$R89&gt;0),"F","")</f>
        <v/>
      </c>
      <c r="G90" s="217" t="str">
        <f ca="1">IF(OR(R89=0,R89=""),"vazia",IF(AND(OR(ACOMPANHAMENTO="PLE",$Q89&lt;&gt;2),$E90=0),"calculada","--&gt;"))</f>
        <v>vazia</v>
      </c>
      <c r="H90" s="218"/>
      <c r="I90" s="219" t="str">
        <f t="shared" ref="I90" ca="1" si="183">IF(AND(G89&lt;&gt;0,ISNUMBER(G89)),"PREENCHA ESTA LINHA --&gt;","")</f>
        <v/>
      </c>
      <c r="J90" s="219"/>
      <c r="K90" s="219"/>
      <c r="L90" s="220"/>
      <c r="M90" s="220"/>
      <c r="N90" s="220"/>
      <c r="O90" s="220"/>
      <c r="P90" s="220"/>
      <c r="Q90" s="220"/>
      <c r="R90" s="221"/>
      <c r="S90" s="222"/>
      <c r="T90" s="570"/>
      <c r="U90" s="569"/>
      <c r="V90" s="569"/>
      <c r="W90" s="569"/>
      <c r="X90" s="569"/>
      <c r="Y90" s="569"/>
      <c r="Z90" s="569"/>
      <c r="AA90" s="569"/>
      <c r="AB90" s="569"/>
      <c r="AC90" s="569"/>
      <c r="AD90" s="569"/>
      <c r="AE90" s="571"/>
      <c r="AF90" s="533"/>
    </row>
    <row r="91" spans="1:32" ht="0.2" hidden="1" customHeight="1" x14ac:dyDescent="0.2">
      <c r="D91" s="223">
        <f ca="1">IF($Q89=2,IF(AND(ACOMPANHAMENTO="PLE",ISNUMBER($E89)),SUMIF((OFFSET(CÁLCULO!$BC$15:$BU$15,$E89,0,OFFSET(ORÇAMENTO!$D$15,CRONO!$E89,0))),"="&amp;CRONO!D$12,OFFSET(CÁLCULO!$AJ$15:$BB$15,$E89,0,OFFSET(ORÇAMENTO!$D$15,CRONO!$E89,0)))+IF(AND($E91&lt;&gt;"",$E91&lt;&gt;0),SUMIF(CÁLCULO!$BC$15:$BU$727,"="&amp;CRONO!D$12,CÁLCULO!$AJ$15:$BB$727)/(ORÇAMENTO!$X$15-CÁLCULO.TotalAdmLocal)*CRONO!$E91,0),D90*$R89),SUMIF(OFFSET($R91,1,0,$Q89-2),($L89+1)&amp;"$",OFFSET(D91,1,0,$Q89-2)))</f>
        <v>0</v>
      </c>
      <c r="E91" s="204" t="str">
        <f ca="1">IF(OR($Q89&lt;&gt;2,AUTOEVENTO&lt;&gt;"manual",$E90&gt;0),"",SUMIF(OFFSET(CÁLCULO!$M$15,CRONO!$E89,0,OFFSET(ORÇAMENTO!$D$15,CRONO!$E89,0)),1,OFFSET(ORÇAMENTO!$X$15,CRONO!$E89,0,OFFSET(ORÇAMENTO!$D$15,CRONO!$E89,0))))</f>
        <v/>
      </c>
      <c r="G91" s="224"/>
      <c r="R91" s="225" t="str">
        <f t="shared" ref="R91" ca="1" si="184">L89&amp;"$"</f>
        <v>2$</v>
      </c>
      <c r="S91" s="226"/>
      <c r="T91" s="227">
        <f ca="1">IF($Q89=2,IF(AND(ACOMPANHAMENTO="PLE",ISNUMBER($E89)),SUMIF((OFFSET(CÁLCULO!$BC$15:$BU$15,$E89,0,OFFSET(ORÇAMENTO!$D$15,CRONO!$E89,0))),"&lt;="&amp;CRONO!T$12,OFFSET(CÁLCULO!$AJ$15:$BB$15,$E89,0,OFFSET(ORÇAMENTO!$D$15,CRONO!$E89,0)))+IF(AND($E91&lt;&gt;"",$E91&lt;&gt;0),SUMIF(CÁLCULO!$BC$15:$BU$727,"&lt;="&amp;CRONO!T$12,CÁLCULO!$AJ$15:$BB$727)/(ORÇAMENTO!$X$15-CÁLCULO.TotalAdmLocal)*CRONO!$E91,0),T90*$R89),SUMIF(OFFSET($R91,1,0,$Q89-2),($L89+1)&amp;"$",OFFSET(T91,1,0,$Q89-2)))</f>
        <v>0</v>
      </c>
      <c r="U91" s="223">
        <f ca="1">IF($Q89=2,IF(AND(ACOMPANHAMENTO="PLE",ISNUMBER($E89)),SUMIF((OFFSET(CÁLCULO!$BC$15:$BU$15,$E89,0,OFFSET(ORÇAMENTO!$D$15,CRONO!$E89,0))),"="&amp;CRONO!U$12,OFFSET(CÁLCULO!$AJ$15:$BB$15,$E89,0,OFFSET(ORÇAMENTO!$D$15,CRONO!$E89,0)))+IF(AND($E91&lt;&gt;"",$E91&lt;&gt;0),SUMIF(CÁLCULO!$BC$15:$BU$727,"="&amp;CRONO!U$12,CÁLCULO!$AJ$15:$BB$727)/(ORÇAMENTO!$X$15-CÁLCULO.TotalAdmLocal)*CRONO!$E91,0),U90*$R89),SUMIF(OFFSET($R91,1,0,$Q89-2),($L89+1)&amp;"$",OFFSET(U91,1,0,$Q89-2)))</f>
        <v>0</v>
      </c>
      <c r="V91" s="223">
        <f ca="1">IF($Q89=2,IF(AND(ACOMPANHAMENTO="PLE",ISNUMBER($E89)),SUMIF((OFFSET(CÁLCULO!$BC$15:$BU$15,$E89,0,OFFSET(ORÇAMENTO!$D$15,CRONO!$E89,0))),"="&amp;CRONO!V$12,OFFSET(CÁLCULO!$AJ$15:$BB$15,$E89,0,OFFSET(ORÇAMENTO!$D$15,CRONO!$E89,0)))+IF(AND($E91&lt;&gt;"",$E91&lt;&gt;0),SUMIF(CÁLCULO!$BC$15:$BU$727,"="&amp;CRONO!V$12,CÁLCULO!$AJ$15:$BB$727)/(ORÇAMENTO!$X$15-CÁLCULO.TotalAdmLocal)*CRONO!$E91,0),V90*$R89),SUMIF(OFFSET($R91,1,0,$Q89-2),($L89+1)&amp;"$",OFFSET(V91,1,0,$Q89-2)))</f>
        <v>0</v>
      </c>
      <c r="W91" s="223">
        <f ca="1">IF($Q89=2,IF(AND(ACOMPANHAMENTO="PLE",ISNUMBER($E89)),SUMIF((OFFSET(CÁLCULO!$BC$15:$BU$15,$E89,0,OFFSET(ORÇAMENTO!$D$15,CRONO!$E89,0))),"="&amp;CRONO!W$12,OFFSET(CÁLCULO!$AJ$15:$BB$15,$E89,0,OFFSET(ORÇAMENTO!$D$15,CRONO!$E89,0)))+IF(AND($E91&lt;&gt;"",$E91&lt;&gt;0),SUMIF(CÁLCULO!$BC$15:$BU$727,"="&amp;CRONO!W$12,CÁLCULO!$AJ$15:$BB$727)/(ORÇAMENTO!$X$15-CÁLCULO.TotalAdmLocal)*CRONO!$E91,0),W90*$R89),SUMIF(OFFSET($R91,1,0,$Q89-2),($L89+1)&amp;"$",OFFSET(W91,1,0,$Q89-2)))</f>
        <v>0</v>
      </c>
      <c r="X91" s="223">
        <f ca="1">IF($Q89=2,IF(AND(ACOMPANHAMENTO="PLE",ISNUMBER($E89)),SUMIF((OFFSET(CÁLCULO!$BC$15:$BU$15,$E89,0,OFFSET(ORÇAMENTO!$D$15,CRONO!$E89,0))),"="&amp;CRONO!X$12,OFFSET(CÁLCULO!$AJ$15:$BB$15,$E89,0,OFFSET(ORÇAMENTO!$D$15,CRONO!$E89,0)))+IF(AND($E91&lt;&gt;"",$E91&lt;&gt;0),SUMIF(CÁLCULO!$BC$15:$BU$727,"="&amp;CRONO!X$12,CÁLCULO!$AJ$15:$BB$727)/(ORÇAMENTO!$X$15-CÁLCULO.TotalAdmLocal)*CRONO!$E91,0),X90*$R89),SUMIF(OFFSET($R91,1,0,$Q89-2),($L89+1)&amp;"$",OFFSET(X91,1,0,$Q89-2)))</f>
        <v>0</v>
      </c>
      <c r="Y91" s="223">
        <f ca="1">IF($Q89=2,IF(AND(ACOMPANHAMENTO="PLE",ISNUMBER($E89)),SUMIF((OFFSET(CÁLCULO!$BC$15:$BU$15,$E89,0,OFFSET(ORÇAMENTO!$D$15,CRONO!$E89,0))),"="&amp;CRONO!Y$12,OFFSET(CÁLCULO!$AJ$15:$BB$15,$E89,0,OFFSET(ORÇAMENTO!$D$15,CRONO!$E89,0)))+IF(AND($E91&lt;&gt;"",$E91&lt;&gt;0),SUMIF(CÁLCULO!$BC$15:$BU$727,"="&amp;CRONO!Y$12,CÁLCULO!$AJ$15:$BB$727)/(ORÇAMENTO!$X$15-CÁLCULO.TotalAdmLocal)*CRONO!$E91,0),Y90*$R89),SUMIF(OFFSET($R91,1,0,$Q89-2),($L89+1)&amp;"$",OFFSET(Y91,1,0,$Q89-2)))</f>
        <v>0</v>
      </c>
      <c r="Z91" s="223">
        <f ca="1">IF($Q89=2,IF(AND(ACOMPANHAMENTO="PLE",ISNUMBER($E89)),SUMIF((OFFSET(CÁLCULO!$BC$15:$BU$15,$E89,0,OFFSET(ORÇAMENTO!$D$15,CRONO!$E89,0))),"="&amp;CRONO!Z$12,OFFSET(CÁLCULO!$AJ$15:$BB$15,$E89,0,OFFSET(ORÇAMENTO!$D$15,CRONO!$E89,0)))+IF(AND($E91&lt;&gt;"",$E91&lt;&gt;0),SUMIF(CÁLCULO!$BC$15:$BU$727,"="&amp;CRONO!Z$12,CÁLCULO!$AJ$15:$BB$727)/(ORÇAMENTO!$X$15-CÁLCULO.TotalAdmLocal)*CRONO!$E91,0),Z90*$R89),SUMIF(OFFSET($R91,1,0,$Q89-2),($L89+1)&amp;"$",OFFSET(Z91,1,0,$Q89-2)))</f>
        <v>0</v>
      </c>
      <c r="AA91" s="223">
        <f ca="1">IF($Q89=2,IF(AND(ACOMPANHAMENTO="PLE",ISNUMBER($E89)),SUMIF((OFFSET(CÁLCULO!$BC$15:$BU$15,$E89,0,OFFSET(ORÇAMENTO!$D$15,CRONO!$E89,0))),"="&amp;CRONO!AA$12,OFFSET(CÁLCULO!$AJ$15:$BB$15,$E89,0,OFFSET(ORÇAMENTO!$D$15,CRONO!$E89,0)))+IF(AND($E91&lt;&gt;"",$E91&lt;&gt;0),SUMIF(CÁLCULO!$BC$15:$BU$727,"="&amp;CRONO!AA$12,CÁLCULO!$AJ$15:$BB$727)/(ORÇAMENTO!$X$15-CÁLCULO.TotalAdmLocal)*CRONO!$E91,0),AA90*$R89),SUMIF(OFFSET($R91,1,0,$Q89-2),($L89+1)&amp;"$",OFFSET(AA91,1,0,$Q89-2)))</f>
        <v>0</v>
      </c>
      <c r="AB91" s="223">
        <f ca="1">IF($Q89=2,IF(AND(ACOMPANHAMENTO="PLE",ISNUMBER($E89)),SUMIF((OFFSET(CÁLCULO!$BC$15:$BU$15,$E89,0,OFFSET(ORÇAMENTO!$D$15,CRONO!$E89,0))),"="&amp;CRONO!AB$12,OFFSET(CÁLCULO!$AJ$15:$BB$15,$E89,0,OFFSET(ORÇAMENTO!$D$15,CRONO!$E89,0)))+IF(AND($E91&lt;&gt;"",$E91&lt;&gt;0),SUMIF(CÁLCULO!$BC$15:$BU$727,"="&amp;CRONO!AB$12,CÁLCULO!$AJ$15:$BB$727)/(ORÇAMENTO!$X$15-CÁLCULO.TotalAdmLocal)*CRONO!$E91,0),AB90*$R89),SUMIF(OFFSET($R91,1,0,$Q89-2),($L89+1)&amp;"$",OFFSET(AB91,1,0,$Q89-2)))</f>
        <v>0</v>
      </c>
      <c r="AC91" s="223">
        <f ca="1">IF($Q89=2,IF(AND(ACOMPANHAMENTO="PLE",ISNUMBER($E89)),SUMIF((OFFSET(CÁLCULO!$BC$15:$BU$15,$E89,0,OFFSET(ORÇAMENTO!$D$15,CRONO!$E89,0))),"="&amp;CRONO!AC$12,OFFSET(CÁLCULO!$AJ$15:$BB$15,$E89,0,OFFSET(ORÇAMENTO!$D$15,CRONO!$E89,0)))+IF(AND($E91&lt;&gt;"",$E91&lt;&gt;0),SUMIF(CÁLCULO!$BC$15:$BU$727,"="&amp;CRONO!AC$12,CÁLCULO!$AJ$15:$BB$727)/(ORÇAMENTO!$X$15-CÁLCULO.TotalAdmLocal)*CRONO!$E91,0),AC90*$R89),SUMIF(OFFSET($R91,1,0,$Q89-2),($L89+1)&amp;"$",OFFSET(AC91,1,0,$Q89-2)))</f>
        <v>0</v>
      </c>
      <c r="AD91" s="223">
        <f ca="1">IF($Q89=2,IF(AND(ACOMPANHAMENTO="PLE",ISNUMBER($E89)),SUMIF((OFFSET(CÁLCULO!$BC$15:$BU$15,$E89,0,OFFSET(ORÇAMENTO!$D$15,CRONO!$E89,0))),"="&amp;CRONO!AD$12,OFFSET(CÁLCULO!$AJ$15:$BB$15,$E89,0,OFFSET(ORÇAMENTO!$D$15,CRONO!$E89,0)))+IF(AND($E91&lt;&gt;"",$E91&lt;&gt;0),SUMIF(CÁLCULO!$BC$15:$BU$727,"="&amp;CRONO!AD$12,CÁLCULO!$AJ$15:$BB$727)/(ORÇAMENTO!$X$15-CÁLCULO.TotalAdmLocal)*CRONO!$E91,0),AD90*$R89),SUMIF(OFFSET($R91,1,0,$Q89-2),($L89+1)&amp;"$",OFFSET(AD91,1,0,$Q89-2)))</f>
        <v>0</v>
      </c>
      <c r="AE91" s="228">
        <f ca="1">IF($Q89=2,IF(AND(ACOMPANHAMENTO="PLE",ISNUMBER($E89)),SUMIF((OFFSET(CÁLCULO!$BC$15:$BU$15,$E89,0,OFFSET(ORÇAMENTO!$D$15,CRONO!$E89,0))),"="&amp;CRONO!AE$12,OFFSET(CÁLCULO!$AJ$15:$BB$15,$E89,0,OFFSET(ORÇAMENTO!$D$15,CRONO!$E89,0)))+IF(AND($E91&lt;&gt;"",$E91&lt;&gt;0),SUMIF(CÁLCULO!$BC$15:$BU$727,"="&amp;CRONO!AE$12,CÁLCULO!$AJ$15:$BB$727)/(ORÇAMENTO!$X$15-CÁLCULO.TotalAdmLocal)*CRONO!$E91,0),AE90*$R89),SUMIF(OFFSET($R91,1,0,$Q89-2),($L89+1)&amp;"$",OFFSET(AE91,1,0,$Q89-2)))</f>
        <v>0</v>
      </c>
    </row>
    <row r="92" spans="1:32" x14ac:dyDescent="0.2">
      <c r="A92" s="204">
        <f t="shared" ref="A92" ca="1" si="185">OFFSET(A92,-3,0)+1</f>
        <v>27</v>
      </c>
      <c r="B92" s="204">
        <f ca="1">IF($Q92&lt;&gt;2,0,IF($R92=0,1,IF(E93&gt;0,OFFSET(QCI!$M$13,SUBSTITUTE(E93,".",""),0),OFFSET(ORÇAMENTO!$AA$15,CRONO!$E92,0))/$R92))</f>
        <v>1</v>
      </c>
      <c r="C92" s="204">
        <f ca="1">IF($Q92&lt;&gt;2,0,IF($R92=0,1,IF(E93&gt;0,OFFSET(QCI!$N$13,SUBSTITUTE(E93,".",""),0),OFFSET(ORÇAMENTO!$AB$15,CRONO!$E92,0))/$R92))</f>
        <v>1</v>
      </c>
      <c r="D92" s="207" t="e">
        <f ca="1">IF(AND($Q92=2,ACOMPANHAMENTO="BM"),D93,D94/$R92)</f>
        <v>#DIV/0!</v>
      </c>
      <c r="E92" s="204">
        <f ca="1">IF(A92&lt;=ORÇAMENTO.MáximoListaCrono,MATCH(A92,ORÇAMENTO.ListaCrono,0),NA())</f>
        <v>169</v>
      </c>
      <c r="F92" s="204" t="str">
        <f t="shared" ref="F92" ca="1" si="186">IF(AND($E93&lt;&gt;-1,$R92&gt;0),"F","")</f>
        <v/>
      </c>
      <c r="G92" s="208" t="str">
        <f ca="1">IF(OR(R92=0,R92=""),"Linha",IF(AND(OR(ACOMPANHAMENTO="PLE",$Q92&lt;&gt;2),$E93=0),"Linha",1-SUM(T92:AF92)))</f>
        <v>Linha</v>
      </c>
      <c r="H92" s="209" t="str">
        <f ca="1">IF($E93=0,OFFSET(ORÇAMENTO!O$15,$E92,0),IF($E93&lt;&gt;-1,OFFSET(QCI!$D$13,$E93,0),""))</f>
        <v>1.26.</v>
      </c>
      <c r="I92" s="210" t="str">
        <f ca="1">IF($E93=0,OFFSET(ORÇAMENTO!R$15,$E92,0),IF($E93&lt;&gt;-1,OFFSET(QCI!$G$13,$E93,0),""))</f>
        <v>REVESTIMENTOS INTERNO E EXTERNO - EDIFICAÇÃO</v>
      </c>
      <c r="J92" s="210"/>
      <c r="K92" s="210"/>
      <c r="L92" s="211">
        <f ca="1">IF($E93=0,OFFSET(ORÇAMENTO!C$15,$E92,0),1)</f>
        <v>2</v>
      </c>
      <c r="M92" s="212">
        <f ca="1">IF($E93=-1,0,IF(M$13&lt;=$L92,IF(ISERROR(MATCH(M$13,OFFSET($L92,1,0,ROW($L$260)-ROW($L92)-1),0)),ROW($L$260)-ROW($L92)-1,MATCH(M$13,OFFSET($L92,1,0,ROW($L$260)-ROW($L92)-1),0)-1),0))</f>
        <v>167</v>
      </c>
      <c r="N92" s="212">
        <f ca="1">IF($E93=-1,0,IF(N$13&lt;=$L92,IF(ISERROR(MATCH(N$13,OFFSET($L92,1,0,ROW($L$260)-ROW($L92)-1),0)),ROW($L$260)-ROW($L92)-1,MATCH(N$13,OFFSET($L92,1,0,ROW($L$260)-ROW($L92)-1),0)-1),0))</f>
        <v>2</v>
      </c>
      <c r="O92" s="212">
        <f ca="1">IF($E93=-1,0,IF(O$13&lt;=$L92,IF(ISERROR(MATCH(O$13,OFFSET($L92,1,0,ROW($L$260)-ROW($L92)-1),0)),ROW($L$260)-ROW($L92)-1,MATCH(O$13,OFFSET($L92,1,0,ROW($L$260)-ROW($L92)-1),0)-1),0))</f>
        <v>0</v>
      </c>
      <c r="P92" s="212">
        <f ca="1">IF($E93=-1,0,IF(P$13&lt;=$L92,IF(ISERROR(MATCH(P$13,OFFSET($L92,1,0,ROW($L$260)-ROW($L92)-1),0)),ROW($L$260)-ROW($L92)-1,MATCH(P$13,OFFSET($L92,1,0,ROW($L$260)-ROW($L92)-1),0)-1),0))</f>
        <v>0</v>
      </c>
      <c r="Q92" s="212">
        <f t="shared" ref="Q92" ca="1" si="187">MIN(OFFSET(L92,0,1,,L92))</f>
        <v>2</v>
      </c>
      <c r="R92" s="213">
        <f ca="1">IF($E93=0,OFFSET(ORÇAMENTO!X$15,$E92,0),IF($E93&lt;&gt;-1,OFFSET(QCI!$O$13,$E93,0),""))</f>
        <v>0</v>
      </c>
      <c r="S92" s="214" t="s">
        <v>270</v>
      </c>
      <c r="T92" s="215" t="e">
        <f t="shared" ref="T92:AE92" ca="1" si="188">IF(AND($Q92=2,ACOMPANHAMENTO="BM"),T93,T94/$R92)</f>
        <v>#DIV/0!</v>
      </c>
      <c r="U92" s="207" t="e">
        <f t="shared" ca="1" si="188"/>
        <v>#DIV/0!</v>
      </c>
      <c r="V92" s="207" t="e">
        <f t="shared" ca="1" si="188"/>
        <v>#DIV/0!</v>
      </c>
      <c r="W92" s="207" t="e">
        <f t="shared" ca="1" si="188"/>
        <v>#DIV/0!</v>
      </c>
      <c r="X92" s="207" t="e">
        <f t="shared" ca="1" si="188"/>
        <v>#DIV/0!</v>
      </c>
      <c r="Y92" s="207" t="e">
        <f t="shared" ca="1" si="188"/>
        <v>#DIV/0!</v>
      </c>
      <c r="Z92" s="207" t="e">
        <f t="shared" ca="1" si="188"/>
        <v>#DIV/0!</v>
      </c>
      <c r="AA92" s="207" t="e">
        <f t="shared" ca="1" si="188"/>
        <v>#DIV/0!</v>
      </c>
      <c r="AB92" s="207" t="e">
        <f t="shared" ca="1" si="188"/>
        <v>#DIV/0!</v>
      </c>
      <c r="AC92" s="207" t="e">
        <f t="shared" ca="1" si="188"/>
        <v>#DIV/0!</v>
      </c>
      <c r="AD92" s="207" t="e">
        <f t="shared" ca="1" si="188"/>
        <v>#DIV/0!</v>
      </c>
      <c r="AE92" s="216" t="e">
        <f t="shared" ca="1" si="188"/>
        <v>#DIV/0!</v>
      </c>
    </row>
    <row r="93" spans="1:32" ht="12.75" customHeight="1" x14ac:dyDescent="0.2">
      <c r="D93" s="569"/>
      <c r="E93" s="204">
        <f ca="1">IF(ISERROR(E92),IF(1+COUNTIF($L$13:OFFSET(L92,-1,0),1)&lt;=MAX(QCI!$D$13:$D$24),1+COUNTIF($L$13:OFFSET(L92,-1,0),1),-1),0)</f>
        <v>0</v>
      </c>
      <c r="F93" s="204" t="str">
        <f t="shared" ref="F93" ca="1" si="189">IF(AND($E93&lt;&gt;-1,$R92&gt;0),"F","")</f>
        <v/>
      </c>
      <c r="G93" s="217" t="str">
        <f ca="1">IF(OR(R92=0,R92=""),"vazia",IF(AND(OR(ACOMPANHAMENTO="PLE",$Q92&lt;&gt;2),$E93=0),"calculada","--&gt;"))</f>
        <v>vazia</v>
      </c>
      <c r="H93" s="218"/>
      <c r="I93" s="219" t="str">
        <f t="shared" ref="I93" ca="1" si="190">IF(AND(G92&lt;&gt;0,ISNUMBER(G92)),"PREENCHA ESTA LINHA --&gt;","")</f>
        <v/>
      </c>
      <c r="J93" s="219"/>
      <c r="K93" s="219"/>
      <c r="L93" s="220"/>
      <c r="M93" s="220"/>
      <c r="N93" s="220"/>
      <c r="O93" s="220"/>
      <c r="P93" s="220"/>
      <c r="Q93" s="220"/>
      <c r="R93" s="221"/>
      <c r="S93" s="222"/>
      <c r="T93" s="570"/>
      <c r="U93" s="569"/>
      <c r="V93" s="569"/>
      <c r="W93" s="569"/>
      <c r="X93" s="569"/>
      <c r="Y93" s="569"/>
      <c r="Z93" s="569"/>
      <c r="AA93" s="569"/>
      <c r="AB93" s="569"/>
      <c r="AC93" s="569"/>
      <c r="AD93" s="569"/>
      <c r="AE93" s="571"/>
      <c r="AF93" s="533"/>
    </row>
    <row r="94" spans="1:32" ht="0.2" hidden="1" customHeight="1" x14ac:dyDescent="0.2">
      <c r="D94" s="223">
        <f ca="1">IF($Q92=2,IF(AND(ACOMPANHAMENTO="PLE",ISNUMBER($E92)),SUMIF((OFFSET(CÁLCULO!$BC$15:$BU$15,$E92,0,OFFSET(ORÇAMENTO!$D$15,CRONO!$E92,0))),"="&amp;CRONO!D$12,OFFSET(CÁLCULO!$AJ$15:$BB$15,$E92,0,OFFSET(ORÇAMENTO!$D$15,CRONO!$E92,0)))+IF(AND($E94&lt;&gt;"",$E94&lt;&gt;0),SUMIF(CÁLCULO!$BC$15:$BU$727,"="&amp;CRONO!D$12,CÁLCULO!$AJ$15:$BB$727)/(ORÇAMENTO!$X$15-CÁLCULO.TotalAdmLocal)*CRONO!$E94,0),D93*$R92),SUMIF(OFFSET($R94,1,0,$Q92-2),($L92+1)&amp;"$",OFFSET(D94,1,0,$Q92-2)))</f>
        <v>0</v>
      </c>
      <c r="E94" s="204" t="str">
        <f ca="1">IF(OR($Q92&lt;&gt;2,AUTOEVENTO&lt;&gt;"manual",$E93&gt;0),"",SUMIF(OFFSET(CÁLCULO!$M$15,CRONO!$E92,0,OFFSET(ORÇAMENTO!$D$15,CRONO!$E92,0)),1,OFFSET(ORÇAMENTO!$X$15,CRONO!$E92,0,OFFSET(ORÇAMENTO!$D$15,CRONO!$E92,0))))</f>
        <v/>
      </c>
      <c r="G94" s="224"/>
      <c r="R94" s="225" t="str">
        <f t="shared" ref="R94" ca="1" si="191">L92&amp;"$"</f>
        <v>2$</v>
      </c>
      <c r="S94" s="226"/>
      <c r="T94" s="227">
        <f ca="1">IF($Q92=2,IF(AND(ACOMPANHAMENTO="PLE",ISNUMBER($E92)),SUMIF((OFFSET(CÁLCULO!$BC$15:$BU$15,$E92,0,OFFSET(ORÇAMENTO!$D$15,CRONO!$E92,0))),"&lt;="&amp;CRONO!T$12,OFFSET(CÁLCULO!$AJ$15:$BB$15,$E92,0,OFFSET(ORÇAMENTO!$D$15,CRONO!$E92,0)))+IF(AND($E94&lt;&gt;"",$E94&lt;&gt;0),SUMIF(CÁLCULO!$BC$15:$BU$727,"&lt;="&amp;CRONO!T$12,CÁLCULO!$AJ$15:$BB$727)/(ORÇAMENTO!$X$15-CÁLCULO.TotalAdmLocal)*CRONO!$E94,0),T93*$R92),SUMIF(OFFSET($R94,1,0,$Q92-2),($L92+1)&amp;"$",OFFSET(T94,1,0,$Q92-2)))</f>
        <v>0</v>
      </c>
      <c r="U94" s="223">
        <f ca="1">IF($Q92=2,IF(AND(ACOMPANHAMENTO="PLE",ISNUMBER($E92)),SUMIF((OFFSET(CÁLCULO!$BC$15:$BU$15,$E92,0,OFFSET(ORÇAMENTO!$D$15,CRONO!$E92,0))),"="&amp;CRONO!U$12,OFFSET(CÁLCULO!$AJ$15:$BB$15,$E92,0,OFFSET(ORÇAMENTO!$D$15,CRONO!$E92,0)))+IF(AND($E94&lt;&gt;"",$E94&lt;&gt;0),SUMIF(CÁLCULO!$BC$15:$BU$727,"="&amp;CRONO!U$12,CÁLCULO!$AJ$15:$BB$727)/(ORÇAMENTO!$X$15-CÁLCULO.TotalAdmLocal)*CRONO!$E94,0),U93*$R92),SUMIF(OFFSET($R94,1,0,$Q92-2),($L92+1)&amp;"$",OFFSET(U94,1,0,$Q92-2)))</f>
        <v>0</v>
      </c>
      <c r="V94" s="223">
        <f ca="1">IF($Q92=2,IF(AND(ACOMPANHAMENTO="PLE",ISNUMBER($E92)),SUMIF((OFFSET(CÁLCULO!$BC$15:$BU$15,$E92,0,OFFSET(ORÇAMENTO!$D$15,CRONO!$E92,0))),"="&amp;CRONO!V$12,OFFSET(CÁLCULO!$AJ$15:$BB$15,$E92,0,OFFSET(ORÇAMENTO!$D$15,CRONO!$E92,0)))+IF(AND($E94&lt;&gt;"",$E94&lt;&gt;0),SUMIF(CÁLCULO!$BC$15:$BU$727,"="&amp;CRONO!V$12,CÁLCULO!$AJ$15:$BB$727)/(ORÇAMENTO!$X$15-CÁLCULO.TotalAdmLocal)*CRONO!$E94,0),V93*$R92),SUMIF(OFFSET($R94,1,0,$Q92-2),($L92+1)&amp;"$",OFFSET(V94,1,0,$Q92-2)))</f>
        <v>0</v>
      </c>
      <c r="W94" s="223">
        <f ca="1">IF($Q92=2,IF(AND(ACOMPANHAMENTO="PLE",ISNUMBER($E92)),SUMIF((OFFSET(CÁLCULO!$BC$15:$BU$15,$E92,0,OFFSET(ORÇAMENTO!$D$15,CRONO!$E92,0))),"="&amp;CRONO!W$12,OFFSET(CÁLCULO!$AJ$15:$BB$15,$E92,0,OFFSET(ORÇAMENTO!$D$15,CRONO!$E92,0)))+IF(AND($E94&lt;&gt;"",$E94&lt;&gt;0),SUMIF(CÁLCULO!$BC$15:$BU$727,"="&amp;CRONO!W$12,CÁLCULO!$AJ$15:$BB$727)/(ORÇAMENTO!$X$15-CÁLCULO.TotalAdmLocal)*CRONO!$E94,0),W93*$R92),SUMIF(OFFSET($R94,1,0,$Q92-2),($L92+1)&amp;"$",OFFSET(W94,1,0,$Q92-2)))</f>
        <v>0</v>
      </c>
      <c r="X94" s="223">
        <f ca="1">IF($Q92=2,IF(AND(ACOMPANHAMENTO="PLE",ISNUMBER($E92)),SUMIF((OFFSET(CÁLCULO!$BC$15:$BU$15,$E92,0,OFFSET(ORÇAMENTO!$D$15,CRONO!$E92,0))),"="&amp;CRONO!X$12,OFFSET(CÁLCULO!$AJ$15:$BB$15,$E92,0,OFFSET(ORÇAMENTO!$D$15,CRONO!$E92,0)))+IF(AND($E94&lt;&gt;"",$E94&lt;&gt;0),SUMIF(CÁLCULO!$BC$15:$BU$727,"="&amp;CRONO!X$12,CÁLCULO!$AJ$15:$BB$727)/(ORÇAMENTO!$X$15-CÁLCULO.TotalAdmLocal)*CRONO!$E94,0),X93*$R92),SUMIF(OFFSET($R94,1,0,$Q92-2),($L92+1)&amp;"$",OFFSET(X94,1,0,$Q92-2)))</f>
        <v>0</v>
      </c>
      <c r="Y94" s="223">
        <f ca="1">IF($Q92=2,IF(AND(ACOMPANHAMENTO="PLE",ISNUMBER($E92)),SUMIF((OFFSET(CÁLCULO!$BC$15:$BU$15,$E92,0,OFFSET(ORÇAMENTO!$D$15,CRONO!$E92,0))),"="&amp;CRONO!Y$12,OFFSET(CÁLCULO!$AJ$15:$BB$15,$E92,0,OFFSET(ORÇAMENTO!$D$15,CRONO!$E92,0)))+IF(AND($E94&lt;&gt;"",$E94&lt;&gt;0),SUMIF(CÁLCULO!$BC$15:$BU$727,"="&amp;CRONO!Y$12,CÁLCULO!$AJ$15:$BB$727)/(ORÇAMENTO!$X$15-CÁLCULO.TotalAdmLocal)*CRONO!$E94,0),Y93*$R92),SUMIF(OFFSET($R94,1,0,$Q92-2),($L92+1)&amp;"$",OFFSET(Y94,1,0,$Q92-2)))</f>
        <v>0</v>
      </c>
      <c r="Z94" s="223">
        <f ca="1">IF($Q92=2,IF(AND(ACOMPANHAMENTO="PLE",ISNUMBER($E92)),SUMIF((OFFSET(CÁLCULO!$BC$15:$BU$15,$E92,0,OFFSET(ORÇAMENTO!$D$15,CRONO!$E92,0))),"="&amp;CRONO!Z$12,OFFSET(CÁLCULO!$AJ$15:$BB$15,$E92,0,OFFSET(ORÇAMENTO!$D$15,CRONO!$E92,0)))+IF(AND($E94&lt;&gt;"",$E94&lt;&gt;0),SUMIF(CÁLCULO!$BC$15:$BU$727,"="&amp;CRONO!Z$12,CÁLCULO!$AJ$15:$BB$727)/(ORÇAMENTO!$X$15-CÁLCULO.TotalAdmLocal)*CRONO!$E94,0),Z93*$R92),SUMIF(OFFSET($R94,1,0,$Q92-2),($L92+1)&amp;"$",OFFSET(Z94,1,0,$Q92-2)))</f>
        <v>0</v>
      </c>
      <c r="AA94" s="223">
        <f ca="1">IF($Q92=2,IF(AND(ACOMPANHAMENTO="PLE",ISNUMBER($E92)),SUMIF((OFFSET(CÁLCULO!$BC$15:$BU$15,$E92,0,OFFSET(ORÇAMENTO!$D$15,CRONO!$E92,0))),"="&amp;CRONO!AA$12,OFFSET(CÁLCULO!$AJ$15:$BB$15,$E92,0,OFFSET(ORÇAMENTO!$D$15,CRONO!$E92,0)))+IF(AND($E94&lt;&gt;"",$E94&lt;&gt;0),SUMIF(CÁLCULO!$BC$15:$BU$727,"="&amp;CRONO!AA$12,CÁLCULO!$AJ$15:$BB$727)/(ORÇAMENTO!$X$15-CÁLCULO.TotalAdmLocal)*CRONO!$E94,0),AA93*$R92),SUMIF(OFFSET($R94,1,0,$Q92-2),($L92+1)&amp;"$",OFFSET(AA94,1,0,$Q92-2)))</f>
        <v>0</v>
      </c>
      <c r="AB94" s="223">
        <f ca="1">IF($Q92=2,IF(AND(ACOMPANHAMENTO="PLE",ISNUMBER($E92)),SUMIF((OFFSET(CÁLCULO!$BC$15:$BU$15,$E92,0,OFFSET(ORÇAMENTO!$D$15,CRONO!$E92,0))),"="&amp;CRONO!AB$12,OFFSET(CÁLCULO!$AJ$15:$BB$15,$E92,0,OFFSET(ORÇAMENTO!$D$15,CRONO!$E92,0)))+IF(AND($E94&lt;&gt;"",$E94&lt;&gt;0),SUMIF(CÁLCULO!$BC$15:$BU$727,"="&amp;CRONO!AB$12,CÁLCULO!$AJ$15:$BB$727)/(ORÇAMENTO!$X$15-CÁLCULO.TotalAdmLocal)*CRONO!$E94,0),AB93*$R92),SUMIF(OFFSET($R94,1,0,$Q92-2),($L92+1)&amp;"$",OFFSET(AB94,1,0,$Q92-2)))</f>
        <v>0</v>
      </c>
      <c r="AC94" s="223">
        <f ca="1">IF($Q92=2,IF(AND(ACOMPANHAMENTO="PLE",ISNUMBER($E92)),SUMIF((OFFSET(CÁLCULO!$BC$15:$BU$15,$E92,0,OFFSET(ORÇAMENTO!$D$15,CRONO!$E92,0))),"="&amp;CRONO!AC$12,OFFSET(CÁLCULO!$AJ$15:$BB$15,$E92,0,OFFSET(ORÇAMENTO!$D$15,CRONO!$E92,0)))+IF(AND($E94&lt;&gt;"",$E94&lt;&gt;0),SUMIF(CÁLCULO!$BC$15:$BU$727,"="&amp;CRONO!AC$12,CÁLCULO!$AJ$15:$BB$727)/(ORÇAMENTO!$X$15-CÁLCULO.TotalAdmLocal)*CRONO!$E94,0),AC93*$R92),SUMIF(OFFSET($R94,1,0,$Q92-2),($L92+1)&amp;"$",OFFSET(AC94,1,0,$Q92-2)))</f>
        <v>0</v>
      </c>
      <c r="AD94" s="223">
        <f ca="1">IF($Q92=2,IF(AND(ACOMPANHAMENTO="PLE",ISNUMBER($E92)),SUMIF((OFFSET(CÁLCULO!$BC$15:$BU$15,$E92,0,OFFSET(ORÇAMENTO!$D$15,CRONO!$E92,0))),"="&amp;CRONO!AD$12,OFFSET(CÁLCULO!$AJ$15:$BB$15,$E92,0,OFFSET(ORÇAMENTO!$D$15,CRONO!$E92,0)))+IF(AND($E94&lt;&gt;"",$E94&lt;&gt;0),SUMIF(CÁLCULO!$BC$15:$BU$727,"="&amp;CRONO!AD$12,CÁLCULO!$AJ$15:$BB$727)/(ORÇAMENTO!$X$15-CÁLCULO.TotalAdmLocal)*CRONO!$E94,0),AD93*$R92),SUMIF(OFFSET($R94,1,0,$Q92-2),($L92+1)&amp;"$",OFFSET(AD94,1,0,$Q92-2)))</f>
        <v>0</v>
      </c>
      <c r="AE94" s="228">
        <f ca="1">IF($Q92=2,IF(AND(ACOMPANHAMENTO="PLE",ISNUMBER($E92)),SUMIF((OFFSET(CÁLCULO!$BC$15:$BU$15,$E92,0,OFFSET(ORÇAMENTO!$D$15,CRONO!$E92,0))),"="&amp;CRONO!AE$12,OFFSET(CÁLCULO!$AJ$15:$BB$15,$E92,0,OFFSET(ORÇAMENTO!$D$15,CRONO!$E92,0)))+IF(AND($E94&lt;&gt;"",$E94&lt;&gt;0),SUMIF(CÁLCULO!$BC$15:$BU$727,"="&amp;CRONO!AE$12,CÁLCULO!$AJ$15:$BB$727)/(ORÇAMENTO!$X$15-CÁLCULO.TotalAdmLocal)*CRONO!$E94,0),AE93*$R92),SUMIF(OFFSET($R94,1,0,$Q92-2),($L92+1)&amp;"$",OFFSET(AE94,1,0,$Q92-2)))</f>
        <v>0</v>
      </c>
    </row>
    <row r="95" spans="1:32" x14ac:dyDescent="0.2">
      <c r="A95" s="204">
        <f t="shared" ref="A95" ca="1" si="192">OFFSET(A95,-3,0)+1</f>
        <v>28</v>
      </c>
      <c r="B95" s="204">
        <f ca="1">IF($Q95&lt;&gt;2,0,IF($R95=0,1,IF(E96&gt;0,OFFSET(QCI!$M$13,SUBSTITUTE(E96,".",""),0),OFFSET(ORÇAMENTO!$AA$15,CRONO!$E95,0))/$R95))</f>
        <v>1</v>
      </c>
      <c r="C95" s="204">
        <f ca="1">IF($Q95&lt;&gt;2,0,IF($R95=0,1,IF(E96&gt;0,OFFSET(QCI!$N$13,SUBSTITUTE(E96,".",""),0),OFFSET(ORÇAMENTO!$AB$15,CRONO!$E95,0))/$R95))</f>
        <v>1</v>
      </c>
      <c r="D95" s="207" t="e">
        <f ca="1">IF(AND($Q95=2,ACOMPANHAMENTO="BM"),D96,D97/$R95)</f>
        <v>#DIV/0!</v>
      </c>
      <c r="E95" s="204">
        <f ca="1">IF(A95&lt;=ORÇAMENTO.MáximoListaCrono,MATCH(A95,ORÇAMENTO.ListaCrono,0),NA())</f>
        <v>184</v>
      </c>
      <c r="F95" s="204" t="str">
        <f t="shared" ref="F95" ca="1" si="193">IF(AND($E96&lt;&gt;-1,$R95&gt;0),"F","")</f>
        <v/>
      </c>
      <c r="G95" s="208" t="str">
        <f ca="1">IF(OR(R95=0,R95=""),"Linha",IF(AND(OR(ACOMPANHAMENTO="PLE",$Q95&lt;&gt;2),$E96=0),"Linha",1-SUM(T95:AF95)))</f>
        <v>Linha</v>
      </c>
      <c r="H95" s="209" t="str">
        <f ca="1">IF($E96=0,OFFSET(ORÇAMENTO!O$15,$E95,0),IF($E96&lt;&gt;-1,OFFSET(QCI!$D$13,$E96,0),""))</f>
        <v>1.27.</v>
      </c>
      <c r="I95" s="210" t="str">
        <f ca="1">IF($E96=0,OFFSET(ORÇAMENTO!R$15,$E95,0),IF($E96&lt;&gt;-1,OFFSET(QCI!$G$13,$E96,0),""))</f>
        <v>SISTEMAS DE PISOS - PAVIMENTAÇÃO INTERNA</v>
      </c>
      <c r="J95" s="210"/>
      <c r="K95" s="210"/>
      <c r="L95" s="211">
        <f ca="1">IF($E96=0,OFFSET(ORÇAMENTO!C$15,$E95,0),1)</f>
        <v>2</v>
      </c>
      <c r="M95" s="212">
        <f ca="1">IF($E96=-1,0,IF(M$13&lt;=$L95,IF(ISERROR(MATCH(M$13,OFFSET($L95,1,0,ROW($L$260)-ROW($L95)-1),0)),ROW($L$260)-ROW($L95)-1,MATCH(M$13,OFFSET($L95,1,0,ROW($L$260)-ROW($L95)-1),0)-1),0))</f>
        <v>164</v>
      </c>
      <c r="N95" s="212">
        <f ca="1">IF($E96=-1,0,IF(N$13&lt;=$L95,IF(ISERROR(MATCH(N$13,OFFSET($L95,1,0,ROW($L$260)-ROW($L95)-1),0)),ROW($L$260)-ROW($L95)-1,MATCH(N$13,OFFSET($L95,1,0,ROW($L$260)-ROW($L95)-1),0)-1),0))</f>
        <v>2</v>
      </c>
      <c r="O95" s="212">
        <f ca="1">IF($E96=-1,0,IF(O$13&lt;=$L95,IF(ISERROR(MATCH(O$13,OFFSET($L95,1,0,ROW($L$260)-ROW($L95)-1),0)),ROW($L$260)-ROW($L95)-1,MATCH(O$13,OFFSET($L95,1,0,ROW($L$260)-ROW($L95)-1),0)-1),0))</f>
        <v>0</v>
      </c>
      <c r="P95" s="212">
        <f ca="1">IF($E96=-1,0,IF(P$13&lt;=$L95,IF(ISERROR(MATCH(P$13,OFFSET($L95,1,0,ROW($L$260)-ROW($L95)-1),0)),ROW($L$260)-ROW($L95)-1,MATCH(P$13,OFFSET($L95,1,0,ROW($L$260)-ROW($L95)-1),0)-1),0))</f>
        <v>0</v>
      </c>
      <c r="Q95" s="212">
        <f t="shared" ref="Q95" ca="1" si="194">MIN(OFFSET(L95,0,1,,L95))</f>
        <v>2</v>
      </c>
      <c r="R95" s="213">
        <f ca="1">IF($E96=0,OFFSET(ORÇAMENTO!X$15,$E95,0),IF($E96&lt;&gt;-1,OFFSET(QCI!$O$13,$E96,0),""))</f>
        <v>0</v>
      </c>
      <c r="S95" s="214" t="s">
        <v>270</v>
      </c>
      <c r="T95" s="215" t="e">
        <f t="shared" ref="T95:AE95" ca="1" si="195">IF(AND($Q95=2,ACOMPANHAMENTO="BM"),T96,T97/$R95)</f>
        <v>#DIV/0!</v>
      </c>
      <c r="U95" s="207" t="e">
        <f t="shared" ca="1" si="195"/>
        <v>#DIV/0!</v>
      </c>
      <c r="V95" s="207" t="e">
        <f t="shared" ca="1" si="195"/>
        <v>#DIV/0!</v>
      </c>
      <c r="W95" s="207" t="e">
        <f t="shared" ca="1" si="195"/>
        <v>#DIV/0!</v>
      </c>
      <c r="X95" s="207" t="e">
        <f t="shared" ca="1" si="195"/>
        <v>#DIV/0!</v>
      </c>
      <c r="Y95" s="207" t="e">
        <f t="shared" ca="1" si="195"/>
        <v>#DIV/0!</v>
      </c>
      <c r="Z95" s="207" t="e">
        <f t="shared" ca="1" si="195"/>
        <v>#DIV/0!</v>
      </c>
      <c r="AA95" s="207" t="e">
        <f t="shared" ca="1" si="195"/>
        <v>#DIV/0!</v>
      </c>
      <c r="AB95" s="207" t="e">
        <f t="shared" ca="1" si="195"/>
        <v>#DIV/0!</v>
      </c>
      <c r="AC95" s="207" t="e">
        <f t="shared" ca="1" si="195"/>
        <v>#DIV/0!</v>
      </c>
      <c r="AD95" s="207" t="e">
        <f t="shared" ca="1" si="195"/>
        <v>#DIV/0!</v>
      </c>
      <c r="AE95" s="216" t="e">
        <f t="shared" ca="1" si="195"/>
        <v>#DIV/0!</v>
      </c>
    </row>
    <row r="96" spans="1:32" ht="12.75" customHeight="1" x14ac:dyDescent="0.2">
      <c r="D96" s="569"/>
      <c r="E96" s="204">
        <f ca="1">IF(ISERROR(E95),IF(1+COUNTIF($L$13:OFFSET(L95,-1,0),1)&lt;=MAX(QCI!$D$13:$D$24),1+COUNTIF($L$13:OFFSET(L95,-1,0),1),-1),0)</f>
        <v>0</v>
      </c>
      <c r="F96" s="204" t="str">
        <f t="shared" ref="F96" ca="1" si="196">IF(AND($E96&lt;&gt;-1,$R95&gt;0),"F","")</f>
        <v/>
      </c>
      <c r="G96" s="217" t="str">
        <f ca="1">IF(OR(R95=0,R95=""),"vazia",IF(AND(OR(ACOMPANHAMENTO="PLE",$Q95&lt;&gt;2),$E96=0),"calculada","--&gt;"))</f>
        <v>vazia</v>
      </c>
      <c r="H96" s="218"/>
      <c r="I96" s="219" t="str">
        <f t="shared" ref="I96" ca="1" si="197">IF(AND(G95&lt;&gt;0,ISNUMBER(G95)),"PREENCHA ESTA LINHA --&gt;","")</f>
        <v/>
      </c>
      <c r="J96" s="219"/>
      <c r="K96" s="219"/>
      <c r="L96" s="220"/>
      <c r="M96" s="220"/>
      <c r="N96" s="220"/>
      <c r="O96" s="220"/>
      <c r="P96" s="220"/>
      <c r="Q96" s="220"/>
      <c r="R96" s="221"/>
      <c r="S96" s="222"/>
      <c r="T96" s="570"/>
      <c r="U96" s="569"/>
      <c r="V96" s="569"/>
      <c r="W96" s="569"/>
      <c r="X96" s="569"/>
      <c r="Y96" s="569"/>
      <c r="Z96" s="569"/>
      <c r="AA96" s="569"/>
      <c r="AB96" s="569"/>
      <c r="AC96" s="569"/>
      <c r="AD96" s="569"/>
      <c r="AE96" s="571"/>
      <c r="AF96" s="533"/>
    </row>
    <row r="97" spans="1:32" ht="0.2" hidden="1" customHeight="1" x14ac:dyDescent="0.2">
      <c r="D97" s="223">
        <f ca="1">IF($Q95=2,IF(AND(ACOMPANHAMENTO="PLE",ISNUMBER($E95)),SUMIF((OFFSET(CÁLCULO!$BC$15:$BU$15,$E95,0,OFFSET(ORÇAMENTO!$D$15,CRONO!$E95,0))),"="&amp;CRONO!D$12,OFFSET(CÁLCULO!$AJ$15:$BB$15,$E95,0,OFFSET(ORÇAMENTO!$D$15,CRONO!$E95,0)))+IF(AND($E97&lt;&gt;"",$E97&lt;&gt;0),SUMIF(CÁLCULO!$BC$15:$BU$727,"="&amp;CRONO!D$12,CÁLCULO!$AJ$15:$BB$727)/(ORÇAMENTO!$X$15-CÁLCULO.TotalAdmLocal)*CRONO!$E97,0),D96*$R95),SUMIF(OFFSET($R97,1,0,$Q95-2),($L95+1)&amp;"$",OFFSET(D97,1,0,$Q95-2)))</f>
        <v>0</v>
      </c>
      <c r="E97" s="204" t="str">
        <f ca="1">IF(OR($Q95&lt;&gt;2,AUTOEVENTO&lt;&gt;"manual",$E96&gt;0),"",SUMIF(OFFSET(CÁLCULO!$M$15,CRONO!$E95,0,OFFSET(ORÇAMENTO!$D$15,CRONO!$E95,0)),1,OFFSET(ORÇAMENTO!$X$15,CRONO!$E95,0,OFFSET(ORÇAMENTO!$D$15,CRONO!$E95,0))))</f>
        <v/>
      </c>
      <c r="G97" s="224"/>
      <c r="R97" s="225" t="str">
        <f t="shared" ref="R97" ca="1" si="198">L95&amp;"$"</f>
        <v>2$</v>
      </c>
      <c r="S97" s="226"/>
      <c r="T97" s="227">
        <f ca="1">IF($Q95=2,IF(AND(ACOMPANHAMENTO="PLE",ISNUMBER($E95)),SUMIF((OFFSET(CÁLCULO!$BC$15:$BU$15,$E95,0,OFFSET(ORÇAMENTO!$D$15,CRONO!$E95,0))),"&lt;="&amp;CRONO!T$12,OFFSET(CÁLCULO!$AJ$15:$BB$15,$E95,0,OFFSET(ORÇAMENTO!$D$15,CRONO!$E95,0)))+IF(AND($E97&lt;&gt;"",$E97&lt;&gt;0),SUMIF(CÁLCULO!$BC$15:$BU$727,"&lt;="&amp;CRONO!T$12,CÁLCULO!$AJ$15:$BB$727)/(ORÇAMENTO!$X$15-CÁLCULO.TotalAdmLocal)*CRONO!$E97,0),T96*$R95),SUMIF(OFFSET($R97,1,0,$Q95-2),($L95+1)&amp;"$",OFFSET(T97,1,0,$Q95-2)))</f>
        <v>0</v>
      </c>
      <c r="U97" s="223">
        <f ca="1">IF($Q95=2,IF(AND(ACOMPANHAMENTO="PLE",ISNUMBER($E95)),SUMIF((OFFSET(CÁLCULO!$BC$15:$BU$15,$E95,0,OFFSET(ORÇAMENTO!$D$15,CRONO!$E95,0))),"="&amp;CRONO!U$12,OFFSET(CÁLCULO!$AJ$15:$BB$15,$E95,0,OFFSET(ORÇAMENTO!$D$15,CRONO!$E95,0)))+IF(AND($E97&lt;&gt;"",$E97&lt;&gt;0),SUMIF(CÁLCULO!$BC$15:$BU$727,"="&amp;CRONO!U$12,CÁLCULO!$AJ$15:$BB$727)/(ORÇAMENTO!$X$15-CÁLCULO.TotalAdmLocal)*CRONO!$E97,0),U96*$R95),SUMIF(OFFSET($R97,1,0,$Q95-2),($L95+1)&amp;"$",OFFSET(U97,1,0,$Q95-2)))</f>
        <v>0</v>
      </c>
      <c r="V97" s="223">
        <f ca="1">IF($Q95=2,IF(AND(ACOMPANHAMENTO="PLE",ISNUMBER($E95)),SUMIF((OFFSET(CÁLCULO!$BC$15:$BU$15,$E95,0,OFFSET(ORÇAMENTO!$D$15,CRONO!$E95,0))),"="&amp;CRONO!V$12,OFFSET(CÁLCULO!$AJ$15:$BB$15,$E95,0,OFFSET(ORÇAMENTO!$D$15,CRONO!$E95,0)))+IF(AND($E97&lt;&gt;"",$E97&lt;&gt;0),SUMIF(CÁLCULO!$BC$15:$BU$727,"="&amp;CRONO!V$12,CÁLCULO!$AJ$15:$BB$727)/(ORÇAMENTO!$X$15-CÁLCULO.TotalAdmLocal)*CRONO!$E97,0),V96*$R95),SUMIF(OFFSET($R97,1,0,$Q95-2),($L95+1)&amp;"$",OFFSET(V97,1,0,$Q95-2)))</f>
        <v>0</v>
      </c>
      <c r="W97" s="223">
        <f ca="1">IF($Q95=2,IF(AND(ACOMPANHAMENTO="PLE",ISNUMBER($E95)),SUMIF((OFFSET(CÁLCULO!$BC$15:$BU$15,$E95,0,OFFSET(ORÇAMENTO!$D$15,CRONO!$E95,0))),"="&amp;CRONO!W$12,OFFSET(CÁLCULO!$AJ$15:$BB$15,$E95,0,OFFSET(ORÇAMENTO!$D$15,CRONO!$E95,0)))+IF(AND($E97&lt;&gt;"",$E97&lt;&gt;0),SUMIF(CÁLCULO!$BC$15:$BU$727,"="&amp;CRONO!W$12,CÁLCULO!$AJ$15:$BB$727)/(ORÇAMENTO!$X$15-CÁLCULO.TotalAdmLocal)*CRONO!$E97,0),W96*$R95),SUMIF(OFFSET($R97,1,0,$Q95-2),($L95+1)&amp;"$",OFFSET(W97,1,0,$Q95-2)))</f>
        <v>0</v>
      </c>
      <c r="X97" s="223">
        <f ca="1">IF($Q95=2,IF(AND(ACOMPANHAMENTO="PLE",ISNUMBER($E95)),SUMIF((OFFSET(CÁLCULO!$BC$15:$BU$15,$E95,0,OFFSET(ORÇAMENTO!$D$15,CRONO!$E95,0))),"="&amp;CRONO!X$12,OFFSET(CÁLCULO!$AJ$15:$BB$15,$E95,0,OFFSET(ORÇAMENTO!$D$15,CRONO!$E95,0)))+IF(AND($E97&lt;&gt;"",$E97&lt;&gt;0),SUMIF(CÁLCULO!$BC$15:$BU$727,"="&amp;CRONO!X$12,CÁLCULO!$AJ$15:$BB$727)/(ORÇAMENTO!$X$15-CÁLCULO.TotalAdmLocal)*CRONO!$E97,0),X96*$R95),SUMIF(OFFSET($R97,1,0,$Q95-2),($L95+1)&amp;"$",OFFSET(X97,1,0,$Q95-2)))</f>
        <v>0</v>
      </c>
      <c r="Y97" s="223">
        <f ca="1">IF($Q95=2,IF(AND(ACOMPANHAMENTO="PLE",ISNUMBER($E95)),SUMIF((OFFSET(CÁLCULO!$BC$15:$BU$15,$E95,0,OFFSET(ORÇAMENTO!$D$15,CRONO!$E95,0))),"="&amp;CRONO!Y$12,OFFSET(CÁLCULO!$AJ$15:$BB$15,$E95,0,OFFSET(ORÇAMENTO!$D$15,CRONO!$E95,0)))+IF(AND($E97&lt;&gt;"",$E97&lt;&gt;0),SUMIF(CÁLCULO!$BC$15:$BU$727,"="&amp;CRONO!Y$12,CÁLCULO!$AJ$15:$BB$727)/(ORÇAMENTO!$X$15-CÁLCULO.TotalAdmLocal)*CRONO!$E97,0),Y96*$R95),SUMIF(OFFSET($R97,1,0,$Q95-2),($L95+1)&amp;"$",OFFSET(Y97,1,0,$Q95-2)))</f>
        <v>0</v>
      </c>
      <c r="Z97" s="223">
        <f ca="1">IF($Q95=2,IF(AND(ACOMPANHAMENTO="PLE",ISNUMBER($E95)),SUMIF((OFFSET(CÁLCULO!$BC$15:$BU$15,$E95,0,OFFSET(ORÇAMENTO!$D$15,CRONO!$E95,0))),"="&amp;CRONO!Z$12,OFFSET(CÁLCULO!$AJ$15:$BB$15,$E95,0,OFFSET(ORÇAMENTO!$D$15,CRONO!$E95,0)))+IF(AND($E97&lt;&gt;"",$E97&lt;&gt;0),SUMIF(CÁLCULO!$BC$15:$BU$727,"="&amp;CRONO!Z$12,CÁLCULO!$AJ$15:$BB$727)/(ORÇAMENTO!$X$15-CÁLCULO.TotalAdmLocal)*CRONO!$E97,0),Z96*$R95),SUMIF(OFFSET($R97,1,0,$Q95-2),($L95+1)&amp;"$",OFFSET(Z97,1,0,$Q95-2)))</f>
        <v>0</v>
      </c>
      <c r="AA97" s="223">
        <f ca="1">IF($Q95=2,IF(AND(ACOMPANHAMENTO="PLE",ISNUMBER($E95)),SUMIF((OFFSET(CÁLCULO!$BC$15:$BU$15,$E95,0,OFFSET(ORÇAMENTO!$D$15,CRONO!$E95,0))),"="&amp;CRONO!AA$12,OFFSET(CÁLCULO!$AJ$15:$BB$15,$E95,0,OFFSET(ORÇAMENTO!$D$15,CRONO!$E95,0)))+IF(AND($E97&lt;&gt;"",$E97&lt;&gt;0),SUMIF(CÁLCULO!$BC$15:$BU$727,"="&amp;CRONO!AA$12,CÁLCULO!$AJ$15:$BB$727)/(ORÇAMENTO!$X$15-CÁLCULO.TotalAdmLocal)*CRONO!$E97,0),AA96*$R95),SUMIF(OFFSET($R97,1,0,$Q95-2),($L95+1)&amp;"$",OFFSET(AA97,1,0,$Q95-2)))</f>
        <v>0</v>
      </c>
      <c r="AB97" s="223">
        <f ca="1">IF($Q95=2,IF(AND(ACOMPANHAMENTO="PLE",ISNUMBER($E95)),SUMIF((OFFSET(CÁLCULO!$BC$15:$BU$15,$E95,0,OFFSET(ORÇAMENTO!$D$15,CRONO!$E95,0))),"="&amp;CRONO!AB$12,OFFSET(CÁLCULO!$AJ$15:$BB$15,$E95,0,OFFSET(ORÇAMENTO!$D$15,CRONO!$E95,0)))+IF(AND($E97&lt;&gt;"",$E97&lt;&gt;0),SUMIF(CÁLCULO!$BC$15:$BU$727,"="&amp;CRONO!AB$12,CÁLCULO!$AJ$15:$BB$727)/(ORÇAMENTO!$X$15-CÁLCULO.TotalAdmLocal)*CRONO!$E97,0),AB96*$R95),SUMIF(OFFSET($R97,1,0,$Q95-2),($L95+1)&amp;"$",OFFSET(AB97,1,0,$Q95-2)))</f>
        <v>0</v>
      </c>
      <c r="AC97" s="223">
        <f ca="1">IF($Q95=2,IF(AND(ACOMPANHAMENTO="PLE",ISNUMBER($E95)),SUMIF((OFFSET(CÁLCULO!$BC$15:$BU$15,$E95,0,OFFSET(ORÇAMENTO!$D$15,CRONO!$E95,0))),"="&amp;CRONO!AC$12,OFFSET(CÁLCULO!$AJ$15:$BB$15,$E95,0,OFFSET(ORÇAMENTO!$D$15,CRONO!$E95,0)))+IF(AND($E97&lt;&gt;"",$E97&lt;&gt;0),SUMIF(CÁLCULO!$BC$15:$BU$727,"="&amp;CRONO!AC$12,CÁLCULO!$AJ$15:$BB$727)/(ORÇAMENTO!$X$15-CÁLCULO.TotalAdmLocal)*CRONO!$E97,0),AC96*$R95),SUMIF(OFFSET($R97,1,0,$Q95-2),($L95+1)&amp;"$",OFFSET(AC97,1,0,$Q95-2)))</f>
        <v>0</v>
      </c>
      <c r="AD97" s="223">
        <f ca="1">IF($Q95=2,IF(AND(ACOMPANHAMENTO="PLE",ISNUMBER($E95)),SUMIF((OFFSET(CÁLCULO!$BC$15:$BU$15,$E95,0,OFFSET(ORÇAMENTO!$D$15,CRONO!$E95,0))),"="&amp;CRONO!AD$12,OFFSET(CÁLCULO!$AJ$15:$BB$15,$E95,0,OFFSET(ORÇAMENTO!$D$15,CRONO!$E95,0)))+IF(AND($E97&lt;&gt;"",$E97&lt;&gt;0),SUMIF(CÁLCULO!$BC$15:$BU$727,"="&amp;CRONO!AD$12,CÁLCULO!$AJ$15:$BB$727)/(ORÇAMENTO!$X$15-CÁLCULO.TotalAdmLocal)*CRONO!$E97,0),AD96*$R95),SUMIF(OFFSET($R97,1,0,$Q95-2),($L95+1)&amp;"$",OFFSET(AD97,1,0,$Q95-2)))</f>
        <v>0</v>
      </c>
      <c r="AE97" s="228">
        <f ca="1">IF($Q95=2,IF(AND(ACOMPANHAMENTO="PLE",ISNUMBER($E95)),SUMIF((OFFSET(CÁLCULO!$BC$15:$BU$15,$E95,0,OFFSET(ORÇAMENTO!$D$15,CRONO!$E95,0))),"="&amp;CRONO!AE$12,OFFSET(CÁLCULO!$AJ$15:$BB$15,$E95,0,OFFSET(ORÇAMENTO!$D$15,CRONO!$E95,0)))+IF(AND($E97&lt;&gt;"",$E97&lt;&gt;0),SUMIF(CÁLCULO!$BC$15:$BU$727,"="&amp;CRONO!AE$12,CÁLCULO!$AJ$15:$BB$727)/(ORÇAMENTO!$X$15-CÁLCULO.TotalAdmLocal)*CRONO!$E97,0),AE96*$R95),SUMIF(OFFSET($R97,1,0,$Q95-2),($L95+1)&amp;"$",OFFSET(AE97,1,0,$Q95-2)))</f>
        <v>0</v>
      </c>
    </row>
    <row r="98" spans="1:32" x14ac:dyDescent="0.2">
      <c r="A98" s="204">
        <f t="shared" ref="A98" ca="1" si="199">OFFSET(A98,-3,0)+1</f>
        <v>29</v>
      </c>
      <c r="B98" s="204">
        <f ca="1">IF($Q98&lt;&gt;2,0,IF($R98=0,1,IF(E99&gt;0,OFFSET(QCI!$M$13,SUBSTITUTE(E99,".",""),0),OFFSET(ORÇAMENTO!$AA$15,CRONO!$E98,0))/$R98))</f>
        <v>1</v>
      </c>
      <c r="C98" s="204">
        <f ca="1">IF($Q98&lt;&gt;2,0,IF($R98=0,1,IF(E99&gt;0,OFFSET(QCI!$N$13,SUBSTITUTE(E99,".",""),0),OFFSET(ORÇAMENTO!$AB$15,CRONO!$E98,0))/$R98))</f>
        <v>1</v>
      </c>
      <c r="D98" s="207" t="e">
        <f ca="1">IF(AND($Q98=2,ACOMPANHAMENTO="BM"),D99,D100/$R98)</f>
        <v>#DIV/0!</v>
      </c>
      <c r="E98" s="204">
        <f ca="1">IF(A98&lt;=ORÇAMENTO.MáximoListaCrono,MATCH(A98,ORÇAMENTO.ListaCrono,0),NA())</f>
        <v>197</v>
      </c>
      <c r="F98" s="204" t="str">
        <f t="shared" ref="F98" ca="1" si="200">IF(AND($E99&lt;&gt;-1,$R98&gt;0),"F","")</f>
        <v/>
      </c>
      <c r="G98" s="208" t="str">
        <f ca="1">IF(OR(R98=0,R98=""),"Linha",IF(AND(OR(ACOMPANHAMENTO="PLE",$Q98&lt;&gt;2),$E99=0),"Linha",1-SUM(T98:AF98)))</f>
        <v>Linha</v>
      </c>
      <c r="H98" s="209" t="str">
        <f ca="1">IF($E99=0,OFFSET(ORÇAMENTO!O$15,$E98,0),IF($E99&lt;&gt;-1,OFFSET(QCI!$D$13,$E99,0),""))</f>
        <v>1.28.</v>
      </c>
      <c r="I98" s="210" t="str">
        <f ca="1">IF($E99=0,OFFSET(ORÇAMENTO!R$15,$E98,0),IF($E99&lt;&gt;-1,OFFSET(QCI!$G$13,$E99,0),""))</f>
        <v>SISTEMAS DE PISOS - PAVIMENTAÇÃO EXTERNA</v>
      </c>
      <c r="J98" s="210"/>
      <c r="K98" s="210"/>
      <c r="L98" s="211">
        <f ca="1">IF($E99=0,OFFSET(ORÇAMENTO!C$15,$E98,0),1)</f>
        <v>2</v>
      </c>
      <c r="M98" s="212">
        <f ca="1">IF($E99=-1,0,IF(M$13&lt;=$L98,IF(ISERROR(MATCH(M$13,OFFSET($L98,1,0,ROW($L$260)-ROW($L98)-1),0)),ROW($L$260)-ROW($L98)-1,MATCH(M$13,OFFSET($L98,1,0,ROW($L$260)-ROW($L98)-1),0)-1),0))</f>
        <v>161</v>
      </c>
      <c r="N98" s="212">
        <f ca="1">IF($E99=-1,0,IF(N$13&lt;=$L98,IF(ISERROR(MATCH(N$13,OFFSET($L98,1,0,ROW($L$260)-ROW($L98)-1),0)),ROW($L$260)-ROW($L98)-1,MATCH(N$13,OFFSET($L98,1,0,ROW($L$260)-ROW($L98)-1),0)-1),0))</f>
        <v>2</v>
      </c>
      <c r="O98" s="212">
        <f ca="1">IF($E99=-1,0,IF(O$13&lt;=$L98,IF(ISERROR(MATCH(O$13,OFFSET($L98,1,0,ROW($L$260)-ROW($L98)-1),0)),ROW($L$260)-ROW($L98)-1,MATCH(O$13,OFFSET($L98,1,0,ROW($L$260)-ROW($L98)-1),0)-1),0))</f>
        <v>0</v>
      </c>
      <c r="P98" s="212">
        <f ca="1">IF($E99=-1,0,IF(P$13&lt;=$L98,IF(ISERROR(MATCH(P$13,OFFSET($L98,1,0,ROW($L$260)-ROW($L98)-1),0)),ROW($L$260)-ROW($L98)-1,MATCH(P$13,OFFSET($L98,1,0,ROW($L$260)-ROW($L98)-1),0)-1),0))</f>
        <v>0</v>
      </c>
      <c r="Q98" s="212">
        <f t="shared" ref="Q98" ca="1" si="201">MIN(OFFSET(L98,0,1,,L98))</f>
        <v>2</v>
      </c>
      <c r="R98" s="213">
        <f ca="1">IF($E99=0,OFFSET(ORÇAMENTO!X$15,$E98,0),IF($E99&lt;&gt;-1,OFFSET(QCI!$O$13,$E99,0),""))</f>
        <v>0</v>
      </c>
      <c r="S98" s="214" t="s">
        <v>270</v>
      </c>
      <c r="T98" s="215" t="e">
        <f t="shared" ref="T98:AE98" ca="1" si="202">IF(AND($Q98=2,ACOMPANHAMENTO="BM"),T99,T100/$R98)</f>
        <v>#DIV/0!</v>
      </c>
      <c r="U98" s="207" t="e">
        <f t="shared" ca="1" si="202"/>
        <v>#DIV/0!</v>
      </c>
      <c r="V98" s="207" t="e">
        <f t="shared" ca="1" si="202"/>
        <v>#DIV/0!</v>
      </c>
      <c r="W98" s="207" t="e">
        <f t="shared" ca="1" si="202"/>
        <v>#DIV/0!</v>
      </c>
      <c r="X98" s="207" t="e">
        <f t="shared" ca="1" si="202"/>
        <v>#DIV/0!</v>
      </c>
      <c r="Y98" s="207" t="e">
        <f t="shared" ca="1" si="202"/>
        <v>#DIV/0!</v>
      </c>
      <c r="Z98" s="207" t="e">
        <f t="shared" ca="1" si="202"/>
        <v>#DIV/0!</v>
      </c>
      <c r="AA98" s="207" t="e">
        <f t="shared" ca="1" si="202"/>
        <v>#DIV/0!</v>
      </c>
      <c r="AB98" s="207" t="e">
        <f t="shared" ca="1" si="202"/>
        <v>#DIV/0!</v>
      </c>
      <c r="AC98" s="207" t="e">
        <f t="shared" ca="1" si="202"/>
        <v>#DIV/0!</v>
      </c>
      <c r="AD98" s="207" t="e">
        <f t="shared" ca="1" si="202"/>
        <v>#DIV/0!</v>
      </c>
      <c r="AE98" s="216" t="e">
        <f t="shared" ca="1" si="202"/>
        <v>#DIV/0!</v>
      </c>
    </row>
    <row r="99" spans="1:32" ht="12.75" customHeight="1" x14ac:dyDescent="0.2">
      <c r="D99" s="569"/>
      <c r="E99" s="204">
        <f ca="1">IF(ISERROR(E98),IF(1+COUNTIF($L$13:OFFSET(L98,-1,0),1)&lt;=MAX(QCI!$D$13:$D$24),1+COUNTIF($L$13:OFFSET(L98,-1,0),1),-1),0)</f>
        <v>0</v>
      </c>
      <c r="F99" s="204" t="str">
        <f t="shared" ref="F99" ca="1" si="203">IF(AND($E99&lt;&gt;-1,$R98&gt;0),"F","")</f>
        <v/>
      </c>
      <c r="G99" s="217" t="str">
        <f ca="1">IF(OR(R98=0,R98=""),"vazia",IF(AND(OR(ACOMPANHAMENTO="PLE",$Q98&lt;&gt;2),$E99=0),"calculada","--&gt;"))</f>
        <v>vazia</v>
      </c>
      <c r="H99" s="218"/>
      <c r="I99" s="219" t="str">
        <f t="shared" ref="I99" ca="1" si="204">IF(AND(G98&lt;&gt;0,ISNUMBER(G98)),"PREENCHA ESTA LINHA --&gt;","")</f>
        <v/>
      </c>
      <c r="J99" s="219"/>
      <c r="K99" s="219"/>
      <c r="L99" s="220"/>
      <c r="M99" s="220"/>
      <c r="N99" s="220"/>
      <c r="O99" s="220"/>
      <c r="P99" s="220"/>
      <c r="Q99" s="220"/>
      <c r="R99" s="221"/>
      <c r="S99" s="222"/>
      <c r="T99" s="570"/>
      <c r="U99" s="569"/>
      <c r="V99" s="569"/>
      <c r="W99" s="569"/>
      <c r="X99" s="569"/>
      <c r="Y99" s="569"/>
      <c r="Z99" s="569"/>
      <c r="AA99" s="569"/>
      <c r="AB99" s="569"/>
      <c r="AC99" s="569"/>
      <c r="AD99" s="569"/>
      <c r="AE99" s="571"/>
      <c r="AF99" s="533"/>
    </row>
    <row r="100" spans="1:32" ht="0.2" hidden="1" customHeight="1" x14ac:dyDescent="0.2">
      <c r="D100" s="223">
        <f ca="1">IF($Q98=2,IF(AND(ACOMPANHAMENTO="PLE",ISNUMBER($E98)),SUMIF((OFFSET(CÁLCULO!$BC$15:$BU$15,$E98,0,OFFSET(ORÇAMENTO!$D$15,CRONO!$E98,0))),"="&amp;CRONO!D$12,OFFSET(CÁLCULO!$AJ$15:$BB$15,$E98,0,OFFSET(ORÇAMENTO!$D$15,CRONO!$E98,0)))+IF(AND($E100&lt;&gt;"",$E100&lt;&gt;0),SUMIF(CÁLCULO!$BC$15:$BU$727,"="&amp;CRONO!D$12,CÁLCULO!$AJ$15:$BB$727)/(ORÇAMENTO!$X$15-CÁLCULO.TotalAdmLocal)*CRONO!$E100,0),D99*$R98),SUMIF(OFFSET($R100,1,0,$Q98-2),($L98+1)&amp;"$",OFFSET(D100,1,0,$Q98-2)))</f>
        <v>0</v>
      </c>
      <c r="E100" s="204" t="str">
        <f ca="1">IF(OR($Q98&lt;&gt;2,AUTOEVENTO&lt;&gt;"manual",$E99&gt;0),"",SUMIF(OFFSET(CÁLCULO!$M$15,CRONO!$E98,0,OFFSET(ORÇAMENTO!$D$15,CRONO!$E98,0)),1,OFFSET(ORÇAMENTO!$X$15,CRONO!$E98,0,OFFSET(ORÇAMENTO!$D$15,CRONO!$E98,0))))</f>
        <v/>
      </c>
      <c r="G100" s="224"/>
      <c r="R100" s="225" t="str">
        <f t="shared" ref="R100" ca="1" si="205">L98&amp;"$"</f>
        <v>2$</v>
      </c>
      <c r="S100" s="226"/>
      <c r="T100" s="227">
        <f ca="1">IF($Q98=2,IF(AND(ACOMPANHAMENTO="PLE",ISNUMBER($E98)),SUMIF((OFFSET(CÁLCULO!$BC$15:$BU$15,$E98,0,OFFSET(ORÇAMENTO!$D$15,CRONO!$E98,0))),"&lt;="&amp;CRONO!T$12,OFFSET(CÁLCULO!$AJ$15:$BB$15,$E98,0,OFFSET(ORÇAMENTO!$D$15,CRONO!$E98,0)))+IF(AND($E100&lt;&gt;"",$E100&lt;&gt;0),SUMIF(CÁLCULO!$BC$15:$BU$727,"&lt;="&amp;CRONO!T$12,CÁLCULO!$AJ$15:$BB$727)/(ORÇAMENTO!$X$15-CÁLCULO.TotalAdmLocal)*CRONO!$E100,0),T99*$R98),SUMIF(OFFSET($R100,1,0,$Q98-2),($L98+1)&amp;"$",OFFSET(T100,1,0,$Q98-2)))</f>
        <v>0</v>
      </c>
      <c r="U100" s="223">
        <f ca="1">IF($Q98=2,IF(AND(ACOMPANHAMENTO="PLE",ISNUMBER($E98)),SUMIF((OFFSET(CÁLCULO!$BC$15:$BU$15,$E98,0,OFFSET(ORÇAMENTO!$D$15,CRONO!$E98,0))),"="&amp;CRONO!U$12,OFFSET(CÁLCULO!$AJ$15:$BB$15,$E98,0,OFFSET(ORÇAMENTO!$D$15,CRONO!$E98,0)))+IF(AND($E100&lt;&gt;"",$E100&lt;&gt;0),SUMIF(CÁLCULO!$BC$15:$BU$727,"="&amp;CRONO!U$12,CÁLCULO!$AJ$15:$BB$727)/(ORÇAMENTO!$X$15-CÁLCULO.TotalAdmLocal)*CRONO!$E100,0),U99*$R98),SUMIF(OFFSET($R100,1,0,$Q98-2),($L98+1)&amp;"$",OFFSET(U100,1,0,$Q98-2)))</f>
        <v>0</v>
      </c>
      <c r="V100" s="223">
        <f ca="1">IF($Q98=2,IF(AND(ACOMPANHAMENTO="PLE",ISNUMBER($E98)),SUMIF((OFFSET(CÁLCULO!$BC$15:$BU$15,$E98,0,OFFSET(ORÇAMENTO!$D$15,CRONO!$E98,0))),"="&amp;CRONO!V$12,OFFSET(CÁLCULO!$AJ$15:$BB$15,$E98,0,OFFSET(ORÇAMENTO!$D$15,CRONO!$E98,0)))+IF(AND($E100&lt;&gt;"",$E100&lt;&gt;0),SUMIF(CÁLCULO!$BC$15:$BU$727,"="&amp;CRONO!V$12,CÁLCULO!$AJ$15:$BB$727)/(ORÇAMENTO!$X$15-CÁLCULO.TotalAdmLocal)*CRONO!$E100,0),V99*$R98),SUMIF(OFFSET($R100,1,0,$Q98-2),($L98+1)&amp;"$",OFFSET(V100,1,0,$Q98-2)))</f>
        <v>0</v>
      </c>
      <c r="W100" s="223">
        <f ca="1">IF($Q98=2,IF(AND(ACOMPANHAMENTO="PLE",ISNUMBER($E98)),SUMIF((OFFSET(CÁLCULO!$BC$15:$BU$15,$E98,0,OFFSET(ORÇAMENTO!$D$15,CRONO!$E98,0))),"="&amp;CRONO!W$12,OFFSET(CÁLCULO!$AJ$15:$BB$15,$E98,0,OFFSET(ORÇAMENTO!$D$15,CRONO!$E98,0)))+IF(AND($E100&lt;&gt;"",$E100&lt;&gt;0),SUMIF(CÁLCULO!$BC$15:$BU$727,"="&amp;CRONO!W$12,CÁLCULO!$AJ$15:$BB$727)/(ORÇAMENTO!$X$15-CÁLCULO.TotalAdmLocal)*CRONO!$E100,0),W99*$R98),SUMIF(OFFSET($R100,1,0,$Q98-2),($L98+1)&amp;"$",OFFSET(W100,1,0,$Q98-2)))</f>
        <v>0</v>
      </c>
      <c r="X100" s="223">
        <f ca="1">IF($Q98=2,IF(AND(ACOMPANHAMENTO="PLE",ISNUMBER($E98)),SUMIF((OFFSET(CÁLCULO!$BC$15:$BU$15,$E98,0,OFFSET(ORÇAMENTO!$D$15,CRONO!$E98,0))),"="&amp;CRONO!X$12,OFFSET(CÁLCULO!$AJ$15:$BB$15,$E98,0,OFFSET(ORÇAMENTO!$D$15,CRONO!$E98,0)))+IF(AND($E100&lt;&gt;"",$E100&lt;&gt;0),SUMIF(CÁLCULO!$BC$15:$BU$727,"="&amp;CRONO!X$12,CÁLCULO!$AJ$15:$BB$727)/(ORÇAMENTO!$X$15-CÁLCULO.TotalAdmLocal)*CRONO!$E100,0),X99*$R98),SUMIF(OFFSET($R100,1,0,$Q98-2),($L98+1)&amp;"$",OFFSET(X100,1,0,$Q98-2)))</f>
        <v>0</v>
      </c>
      <c r="Y100" s="223">
        <f ca="1">IF($Q98=2,IF(AND(ACOMPANHAMENTO="PLE",ISNUMBER($E98)),SUMIF((OFFSET(CÁLCULO!$BC$15:$BU$15,$E98,0,OFFSET(ORÇAMENTO!$D$15,CRONO!$E98,0))),"="&amp;CRONO!Y$12,OFFSET(CÁLCULO!$AJ$15:$BB$15,$E98,0,OFFSET(ORÇAMENTO!$D$15,CRONO!$E98,0)))+IF(AND($E100&lt;&gt;"",$E100&lt;&gt;0),SUMIF(CÁLCULO!$BC$15:$BU$727,"="&amp;CRONO!Y$12,CÁLCULO!$AJ$15:$BB$727)/(ORÇAMENTO!$X$15-CÁLCULO.TotalAdmLocal)*CRONO!$E100,0),Y99*$R98),SUMIF(OFFSET($R100,1,0,$Q98-2),($L98+1)&amp;"$",OFFSET(Y100,1,0,$Q98-2)))</f>
        <v>0</v>
      </c>
      <c r="Z100" s="223">
        <f ca="1">IF($Q98=2,IF(AND(ACOMPANHAMENTO="PLE",ISNUMBER($E98)),SUMIF((OFFSET(CÁLCULO!$BC$15:$BU$15,$E98,0,OFFSET(ORÇAMENTO!$D$15,CRONO!$E98,0))),"="&amp;CRONO!Z$12,OFFSET(CÁLCULO!$AJ$15:$BB$15,$E98,0,OFFSET(ORÇAMENTO!$D$15,CRONO!$E98,0)))+IF(AND($E100&lt;&gt;"",$E100&lt;&gt;0),SUMIF(CÁLCULO!$BC$15:$BU$727,"="&amp;CRONO!Z$12,CÁLCULO!$AJ$15:$BB$727)/(ORÇAMENTO!$X$15-CÁLCULO.TotalAdmLocal)*CRONO!$E100,0),Z99*$R98),SUMIF(OFFSET($R100,1,0,$Q98-2),($L98+1)&amp;"$",OFFSET(Z100,1,0,$Q98-2)))</f>
        <v>0</v>
      </c>
      <c r="AA100" s="223">
        <f ca="1">IF($Q98=2,IF(AND(ACOMPANHAMENTO="PLE",ISNUMBER($E98)),SUMIF((OFFSET(CÁLCULO!$BC$15:$BU$15,$E98,0,OFFSET(ORÇAMENTO!$D$15,CRONO!$E98,0))),"="&amp;CRONO!AA$12,OFFSET(CÁLCULO!$AJ$15:$BB$15,$E98,0,OFFSET(ORÇAMENTO!$D$15,CRONO!$E98,0)))+IF(AND($E100&lt;&gt;"",$E100&lt;&gt;0),SUMIF(CÁLCULO!$BC$15:$BU$727,"="&amp;CRONO!AA$12,CÁLCULO!$AJ$15:$BB$727)/(ORÇAMENTO!$X$15-CÁLCULO.TotalAdmLocal)*CRONO!$E100,0),AA99*$R98),SUMIF(OFFSET($R100,1,0,$Q98-2),($L98+1)&amp;"$",OFFSET(AA100,1,0,$Q98-2)))</f>
        <v>0</v>
      </c>
      <c r="AB100" s="223">
        <f ca="1">IF($Q98=2,IF(AND(ACOMPANHAMENTO="PLE",ISNUMBER($E98)),SUMIF((OFFSET(CÁLCULO!$BC$15:$BU$15,$E98,0,OFFSET(ORÇAMENTO!$D$15,CRONO!$E98,0))),"="&amp;CRONO!AB$12,OFFSET(CÁLCULO!$AJ$15:$BB$15,$E98,0,OFFSET(ORÇAMENTO!$D$15,CRONO!$E98,0)))+IF(AND($E100&lt;&gt;"",$E100&lt;&gt;0),SUMIF(CÁLCULO!$BC$15:$BU$727,"="&amp;CRONO!AB$12,CÁLCULO!$AJ$15:$BB$727)/(ORÇAMENTO!$X$15-CÁLCULO.TotalAdmLocal)*CRONO!$E100,0),AB99*$R98),SUMIF(OFFSET($R100,1,0,$Q98-2),($L98+1)&amp;"$",OFFSET(AB100,1,0,$Q98-2)))</f>
        <v>0</v>
      </c>
      <c r="AC100" s="223">
        <f ca="1">IF($Q98=2,IF(AND(ACOMPANHAMENTO="PLE",ISNUMBER($E98)),SUMIF((OFFSET(CÁLCULO!$BC$15:$BU$15,$E98,0,OFFSET(ORÇAMENTO!$D$15,CRONO!$E98,0))),"="&amp;CRONO!AC$12,OFFSET(CÁLCULO!$AJ$15:$BB$15,$E98,0,OFFSET(ORÇAMENTO!$D$15,CRONO!$E98,0)))+IF(AND($E100&lt;&gt;"",$E100&lt;&gt;0),SUMIF(CÁLCULO!$BC$15:$BU$727,"="&amp;CRONO!AC$12,CÁLCULO!$AJ$15:$BB$727)/(ORÇAMENTO!$X$15-CÁLCULO.TotalAdmLocal)*CRONO!$E100,0),AC99*$R98),SUMIF(OFFSET($R100,1,0,$Q98-2),($L98+1)&amp;"$",OFFSET(AC100,1,0,$Q98-2)))</f>
        <v>0</v>
      </c>
      <c r="AD100" s="223">
        <f ca="1">IF($Q98=2,IF(AND(ACOMPANHAMENTO="PLE",ISNUMBER($E98)),SUMIF((OFFSET(CÁLCULO!$BC$15:$BU$15,$E98,0,OFFSET(ORÇAMENTO!$D$15,CRONO!$E98,0))),"="&amp;CRONO!AD$12,OFFSET(CÁLCULO!$AJ$15:$BB$15,$E98,0,OFFSET(ORÇAMENTO!$D$15,CRONO!$E98,0)))+IF(AND($E100&lt;&gt;"",$E100&lt;&gt;0),SUMIF(CÁLCULO!$BC$15:$BU$727,"="&amp;CRONO!AD$12,CÁLCULO!$AJ$15:$BB$727)/(ORÇAMENTO!$X$15-CÁLCULO.TotalAdmLocal)*CRONO!$E100,0),AD99*$R98),SUMIF(OFFSET($R100,1,0,$Q98-2),($L98+1)&amp;"$",OFFSET(AD100,1,0,$Q98-2)))</f>
        <v>0</v>
      </c>
      <c r="AE100" s="228">
        <f ca="1">IF($Q98=2,IF(AND(ACOMPANHAMENTO="PLE",ISNUMBER($E98)),SUMIF((OFFSET(CÁLCULO!$BC$15:$BU$15,$E98,0,OFFSET(ORÇAMENTO!$D$15,CRONO!$E98,0))),"="&amp;CRONO!AE$12,OFFSET(CÁLCULO!$AJ$15:$BB$15,$E98,0,OFFSET(ORÇAMENTO!$D$15,CRONO!$E98,0)))+IF(AND($E100&lt;&gt;"",$E100&lt;&gt;0),SUMIF(CÁLCULO!$BC$15:$BU$727,"="&amp;CRONO!AE$12,CÁLCULO!$AJ$15:$BB$727)/(ORÇAMENTO!$X$15-CÁLCULO.TotalAdmLocal)*CRONO!$E100,0),AE99*$R98),SUMIF(OFFSET($R100,1,0,$Q98-2),($L98+1)&amp;"$",OFFSET(AE100,1,0,$Q98-2)))</f>
        <v>0</v>
      </c>
    </row>
    <row r="101" spans="1:32" x14ac:dyDescent="0.2">
      <c r="A101" s="204">
        <f t="shared" ref="A101" ca="1" si="206">OFFSET(A101,-3,0)+1</f>
        <v>30</v>
      </c>
      <c r="B101" s="204">
        <f ca="1">IF($Q101&lt;&gt;2,0,IF($R101=0,1,IF(E102&gt;0,OFFSET(QCI!$M$13,SUBSTITUTE(E102,".",""),0),OFFSET(ORÇAMENTO!$AA$15,CRONO!$E101,0))/$R101))</f>
        <v>1</v>
      </c>
      <c r="C101" s="204">
        <f ca="1">IF($Q101&lt;&gt;2,0,IF($R101=0,1,IF(E102&gt;0,OFFSET(QCI!$N$13,SUBSTITUTE(E102,".",""),0),OFFSET(ORÇAMENTO!$AB$15,CRONO!$E101,0))/$R101))</f>
        <v>1</v>
      </c>
      <c r="D101" s="207" t="e">
        <f ca="1">IF(AND($Q101=2,ACOMPANHAMENTO="BM"),D102,D103/$R101)</f>
        <v>#DIV/0!</v>
      </c>
      <c r="E101" s="204">
        <f ca="1">IF(A101&lt;=ORÇAMENTO.MáximoListaCrono,MATCH(A101,ORÇAMENTO.ListaCrono,0),NA())</f>
        <v>206</v>
      </c>
      <c r="F101" s="204" t="str">
        <f t="shared" ref="F101" ca="1" si="207">IF(AND($E102&lt;&gt;-1,$R101&gt;0),"F","")</f>
        <v/>
      </c>
      <c r="G101" s="208" t="str">
        <f ca="1">IF(OR(R101=0,R101=""),"Linha",IF(AND(OR(ACOMPANHAMENTO="PLE",$Q101&lt;&gt;2),$E102=0),"Linha",1-SUM(T101:AF101)))</f>
        <v>Linha</v>
      </c>
      <c r="H101" s="209" t="str">
        <f ca="1">IF($E102=0,OFFSET(ORÇAMENTO!O$15,$E101,0),IF($E102&lt;&gt;-1,OFFSET(QCI!$D$13,$E102,0),""))</f>
        <v>1.29.</v>
      </c>
      <c r="I101" s="210" t="str">
        <f ca="1">IF($E102=0,OFFSET(ORÇAMENTO!R$15,$E101,0),IF($E102&lt;&gt;-1,OFFSET(QCI!$G$13,$E102,0),""))</f>
        <v>PINTURAS E ACABAMENTOS - PAREDES</v>
      </c>
      <c r="J101" s="210"/>
      <c r="K101" s="210"/>
      <c r="L101" s="211">
        <f ca="1">IF($E102=0,OFFSET(ORÇAMENTO!C$15,$E101,0),1)</f>
        <v>2</v>
      </c>
      <c r="M101" s="212">
        <f ca="1">IF($E102=-1,0,IF(M$13&lt;=$L101,IF(ISERROR(MATCH(M$13,OFFSET($L101,1,0,ROW($L$260)-ROW($L101)-1),0)),ROW($L$260)-ROW($L101)-1,MATCH(M$13,OFFSET($L101,1,0,ROW($L$260)-ROW($L101)-1),0)-1),0))</f>
        <v>158</v>
      </c>
      <c r="N101" s="212">
        <f ca="1">IF($E102=-1,0,IF(N$13&lt;=$L101,IF(ISERROR(MATCH(N$13,OFFSET($L101,1,0,ROW($L$260)-ROW($L101)-1),0)),ROW($L$260)-ROW($L101)-1,MATCH(N$13,OFFSET($L101,1,0,ROW($L$260)-ROW($L101)-1),0)-1),0))</f>
        <v>2</v>
      </c>
      <c r="O101" s="212">
        <f ca="1">IF($E102=-1,0,IF(O$13&lt;=$L101,IF(ISERROR(MATCH(O$13,OFFSET($L101,1,0,ROW($L$260)-ROW($L101)-1),0)),ROW($L$260)-ROW($L101)-1,MATCH(O$13,OFFSET($L101,1,0,ROW($L$260)-ROW($L101)-1),0)-1),0))</f>
        <v>0</v>
      </c>
      <c r="P101" s="212">
        <f ca="1">IF($E102=-1,0,IF(P$13&lt;=$L101,IF(ISERROR(MATCH(P$13,OFFSET($L101,1,0,ROW($L$260)-ROW($L101)-1),0)),ROW($L$260)-ROW($L101)-1,MATCH(P$13,OFFSET($L101,1,0,ROW($L$260)-ROW($L101)-1),0)-1),0))</f>
        <v>0</v>
      </c>
      <c r="Q101" s="212">
        <f t="shared" ref="Q101" ca="1" si="208">MIN(OFFSET(L101,0,1,,L101))</f>
        <v>2</v>
      </c>
      <c r="R101" s="213">
        <f ca="1">IF($E102=0,OFFSET(ORÇAMENTO!X$15,$E101,0),IF($E102&lt;&gt;-1,OFFSET(QCI!$O$13,$E102,0),""))</f>
        <v>0</v>
      </c>
      <c r="S101" s="214" t="s">
        <v>270</v>
      </c>
      <c r="T101" s="215" t="e">
        <f t="shared" ref="T101:AE101" ca="1" si="209">IF(AND($Q101=2,ACOMPANHAMENTO="BM"),T102,T103/$R101)</f>
        <v>#DIV/0!</v>
      </c>
      <c r="U101" s="207" t="e">
        <f t="shared" ca="1" si="209"/>
        <v>#DIV/0!</v>
      </c>
      <c r="V101" s="207" t="e">
        <f t="shared" ca="1" si="209"/>
        <v>#DIV/0!</v>
      </c>
      <c r="W101" s="207" t="e">
        <f t="shared" ca="1" si="209"/>
        <v>#DIV/0!</v>
      </c>
      <c r="X101" s="207" t="e">
        <f t="shared" ca="1" si="209"/>
        <v>#DIV/0!</v>
      </c>
      <c r="Y101" s="207" t="e">
        <f t="shared" ca="1" si="209"/>
        <v>#DIV/0!</v>
      </c>
      <c r="Z101" s="207" t="e">
        <f t="shared" ca="1" si="209"/>
        <v>#DIV/0!</v>
      </c>
      <c r="AA101" s="207" t="e">
        <f t="shared" ca="1" si="209"/>
        <v>#DIV/0!</v>
      </c>
      <c r="AB101" s="207" t="e">
        <f t="shared" ca="1" si="209"/>
        <v>#DIV/0!</v>
      </c>
      <c r="AC101" s="207" t="e">
        <f t="shared" ca="1" si="209"/>
        <v>#DIV/0!</v>
      </c>
      <c r="AD101" s="207" t="e">
        <f t="shared" ca="1" si="209"/>
        <v>#DIV/0!</v>
      </c>
      <c r="AE101" s="216" t="e">
        <f t="shared" ca="1" si="209"/>
        <v>#DIV/0!</v>
      </c>
    </row>
    <row r="102" spans="1:32" ht="12.75" customHeight="1" x14ac:dyDescent="0.2">
      <c r="D102" s="569"/>
      <c r="E102" s="204">
        <f ca="1">IF(ISERROR(E101),IF(1+COUNTIF($L$13:OFFSET(L101,-1,0),1)&lt;=MAX(QCI!$D$13:$D$24),1+COUNTIF($L$13:OFFSET(L101,-1,0),1),-1),0)</f>
        <v>0</v>
      </c>
      <c r="F102" s="204" t="str">
        <f t="shared" ref="F102" ca="1" si="210">IF(AND($E102&lt;&gt;-1,$R101&gt;0),"F","")</f>
        <v/>
      </c>
      <c r="G102" s="217" t="str">
        <f ca="1">IF(OR(R101=0,R101=""),"vazia",IF(AND(OR(ACOMPANHAMENTO="PLE",$Q101&lt;&gt;2),$E102=0),"calculada","--&gt;"))</f>
        <v>vazia</v>
      </c>
      <c r="H102" s="218"/>
      <c r="I102" s="219" t="str">
        <f t="shared" ref="I102" ca="1" si="211">IF(AND(G101&lt;&gt;0,ISNUMBER(G101)),"PREENCHA ESTA LINHA --&gt;","")</f>
        <v/>
      </c>
      <c r="J102" s="219"/>
      <c r="K102" s="219"/>
      <c r="L102" s="220"/>
      <c r="M102" s="220"/>
      <c r="N102" s="220"/>
      <c r="O102" s="220"/>
      <c r="P102" s="220"/>
      <c r="Q102" s="220"/>
      <c r="R102" s="221"/>
      <c r="S102" s="222"/>
      <c r="T102" s="570"/>
      <c r="U102" s="569"/>
      <c r="V102" s="569"/>
      <c r="W102" s="569"/>
      <c r="X102" s="569"/>
      <c r="Y102" s="569"/>
      <c r="Z102" s="569"/>
      <c r="AA102" s="569"/>
      <c r="AB102" s="569"/>
      <c r="AC102" s="569"/>
      <c r="AD102" s="569"/>
      <c r="AE102" s="571"/>
      <c r="AF102" s="533"/>
    </row>
    <row r="103" spans="1:32" ht="0.2" hidden="1" customHeight="1" x14ac:dyDescent="0.2">
      <c r="D103" s="223">
        <f ca="1">IF($Q101=2,IF(AND(ACOMPANHAMENTO="PLE",ISNUMBER($E101)),SUMIF((OFFSET(CÁLCULO!$BC$15:$BU$15,$E101,0,OFFSET(ORÇAMENTO!$D$15,CRONO!$E101,0))),"="&amp;CRONO!D$12,OFFSET(CÁLCULO!$AJ$15:$BB$15,$E101,0,OFFSET(ORÇAMENTO!$D$15,CRONO!$E101,0)))+IF(AND($E103&lt;&gt;"",$E103&lt;&gt;0),SUMIF(CÁLCULO!$BC$15:$BU$727,"="&amp;CRONO!D$12,CÁLCULO!$AJ$15:$BB$727)/(ORÇAMENTO!$X$15-CÁLCULO.TotalAdmLocal)*CRONO!$E103,0),D102*$R101),SUMIF(OFFSET($R103,1,0,$Q101-2),($L101+1)&amp;"$",OFFSET(D103,1,0,$Q101-2)))</f>
        <v>0</v>
      </c>
      <c r="E103" s="204" t="str">
        <f ca="1">IF(OR($Q101&lt;&gt;2,AUTOEVENTO&lt;&gt;"manual",$E102&gt;0),"",SUMIF(OFFSET(CÁLCULO!$M$15,CRONO!$E101,0,OFFSET(ORÇAMENTO!$D$15,CRONO!$E101,0)),1,OFFSET(ORÇAMENTO!$X$15,CRONO!$E101,0,OFFSET(ORÇAMENTO!$D$15,CRONO!$E101,0))))</f>
        <v/>
      </c>
      <c r="G103" s="224"/>
      <c r="R103" s="225" t="str">
        <f t="shared" ref="R103" ca="1" si="212">L101&amp;"$"</f>
        <v>2$</v>
      </c>
      <c r="S103" s="226"/>
      <c r="T103" s="227">
        <f ca="1">IF($Q101=2,IF(AND(ACOMPANHAMENTO="PLE",ISNUMBER($E101)),SUMIF((OFFSET(CÁLCULO!$BC$15:$BU$15,$E101,0,OFFSET(ORÇAMENTO!$D$15,CRONO!$E101,0))),"&lt;="&amp;CRONO!T$12,OFFSET(CÁLCULO!$AJ$15:$BB$15,$E101,0,OFFSET(ORÇAMENTO!$D$15,CRONO!$E101,0)))+IF(AND($E103&lt;&gt;"",$E103&lt;&gt;0),SUMIF(CÁLCULO!$BC$15:$BU$727,"&lt;="&amp;CRONO!T$12,CÁLCULO!$AJ$15:$BB$727)/(ORÇAMENTO!$X$15-CÁLCULO.TotalAdmLocal)*CRONO!$E103,0),T102*$R101),SUMIF(OFFSET($R103,1,0,$Q101-2),($L101+1)&amp;"$",OFFSET(T103,1,0,$Q101-2)))</f>
        <v>0</v>
      </c>
      <c r="U103" s="223">
        <f ca="1">IF($Q101=2,IF(AND(ACOMPANHAMENTO="PLE",ISNUMBER($E101)),SUMIF((OFFSET(CÁLCULO!$BC$15:$BU$15,$E101,0,OFFSET(ORÇAMENTO!$D$15,CRONO!$E101,0))),"="&amp;CRONO!U$12,OFFSET(CÁLCULO!$AJ$15:$BB$15,$E101,0,OFFSET(ORÇAMENTO!$D$15,CRONO!$E101,0)))+IF(AND($E103&lt;&gt;"",$E103&lt;&gt;0),SUMIF(CÁLCULO!$BC$15:$BU$727,"="&amp;CRONO!U$12,CÁLCULO!$AJ$15:$BB$727)/(ORÇAMENTO!$X$15-CÁLCULO.TotalAdmLocal)*CRONO!$E103,0),U102*$R101),SUMIF(OFFSET($R103,1,0,$Q101-2),($L101+1)&amp;"$",OFFSET(U103,1,0,$Q101-2)))</f>
        <v>0</v>
      </c>
      <c r="V103" s="223">
        <f ca="1">IF($Q101=2,IF(AND(ACOMPANHAMENTO="PLE",ISNUMBER($E101)),SUMIF((OFFSET(CÁLCULO!$BC$15:$BU$15,$E101,0,OFFSET(ORÇAMENTO!$D$15,CRONO!$E101,0))),"="&amp;CRONO!V$12,OFFSET(CÁLCULO!$AJ$15:$BB$15,$E101,0,OFFSET(ORÇAMENTO!$D$15,CRONO!$E101,0)))+IF(AND($E103&lt;&gt;"",$E103&lt;&gt;0),SUMIF(CÁLCULO!$BC$15:$BU$727,"="&amp;CRONO!V$12,CÁLCULO!$AJ$15:$BB$727)/(ORÇAMENTO!$X$15-CÁLCULO.TotalAdmLocal)*CRONO!$E103,0),V102*$R101),SUMIF(OFFSET($R103,1,0,$Q101-2),($L101+1)&amp;"$",OFFSET(V103,1,0,$Q101-2)))</f>
        <v>0</v>
      </c>
      <c r="W103" s="223">
        <f ca="1">IF($Q101=2,IF(AND(ACOMPANHAMENTO="PLE",ISNUMBER($E101)),SUMIF((OFFSET(CÁLCULO!$BC$15:$BU$15,$E101,0,OFFSET(ORÇAMENTO!$D$15,CRONO!$E101,0))),"="&amp;CRONO!W$12,OFFSET(CÁLCULO!$AJ$15:$BB$15,$E101,0,OFFSET(ORÇAMENTO!$D$15,CRONO!$E101,0)))+IF(AND($E103&lt;&gt;"",$E103&lt;&gt;0),SUMIF(CÁLCULO!$BC$15:$BU$727,"="&amp;CRONO!W$12,CÁLCULO!$AJ$15:$BB$727)/(ORÇAMENTO!$X$15-CÁLCULO.TotalAdmLocal)*CRONO!$E103,0),W102*$R101),SUMIF(OFFSET($R103,1,0,$Q101-2),($L101+1)&amp;"$",OFFSET(W103,1,0,$Q101-2)))</f>
        <v>0</v>
      </c>
      <c r="X103" s="223">
        <f ca="1">IF($Q101=2,IF(AND(ACOMPANHAMENTO="PLE",ISNUMBER($E101)),SUMIF((OFFSET(CÁLCULO!$BC$15:$BU$15,$E101,0,OFFSET(ORÇAMENTO!$D$15,CRONO!$E101,0))),"="&amp;CRONO!X$12,OFFSET(CÁLCULO!$AJ$15:$BB$15,$E101,0,OFFSET(ORÇAMENTO!$D$15,CRONO!$E101,0)))+IF(AND($E103&lt;&gt;"",$E103&lt;&gt;0),SUMIF(CÁLCULO!$BC$15:$BU$727,"="&amp;CRONO!X$12,CÁLCULO!$AJ$15:$BB$727)/(ORÇAMENTO!$X$15-CÁLCULO.TotalAdmLocal)*CRONO!$E103,0),X102*$R101),SUMIF(OFFSET($R103,1,0,$Q101-2),($L101+1)&amp;"$",OFFSET(X103,1,0,$Q101-2)))</f>
        <v>0</v>
      </c>
      <c r="Y103" s="223">
        <f ca="1">IF($Q101=2,IF(AND(ACOMPANHAMENTO="PLE",ISNUMBER($E101)),SUMIF((OFFSET(CÁLCULO!$BC$15:$BU$15,$E101,0,OFFSET(ORÇAMENTO!$D$15,CRONO!$E101,0))),"="&amp;CRONO!Y$12,OFFSET(CÁLCULO!$AJ$15:$BB$15,$E101,0,OFFSET(ORÇAMENTO!$D$15,CRONO!$E101,0)))+IF(AND($E103&lt;&gt;"",$E103&lt;&gt;0),SUMIF(CÁLCULO!$BC$15:$BU$727,"="&amp;CRONO!Y$12,CÁLCULO!$AJ$15:$BB$727)/(ORÇAMENTO!$X$15-CÁLCULO.TotalAdmLocal)*CRONO!$E103,0),Y102*$R101),SUMIF(OFFSET($R103,1,0,$Q101-2),($L101+1)&amp;"$",OFFSET(Y103,1,0,$Q101-2)))</f>
        <v>0</v>
      </c>
      <c r="Z103" s="223">
        <f ca="1">IF($Q101=2,IF(AND(ACOMPANHAMENTO="PLE",ISNUMBER($E101)),SUMIF((OFFSET(CÁLCULO!$BC$15:$BU$15,$E101,0,OFFSET(ORÇAMENTO!$D$15,CRONO!$E101,0))),"="&amp;CRONO!Z$12,OFFSET(CÁLCULO!$AJ$15:$BB$15,$E101,0,OFFSET(ORÇAMENTO!$D$15,CRONO!$E101,0)))+IF(AND($E103&lt;&gt;"",$E103&lt;&gt;0),SUMIF(CÁLCULO!$BC$15:$BU$727,"="&amp;CRONO!Z$12,CÁLCULO!$AJ$15:$BB$727)/(ORÇAMENTO!$X$15-CÁLCULO.TotalAdmLocal)*CRONO!$E103,0),Z102*$R101),SUMIF(OFFSET($R103,1,0,$Q101-2),($L101+1)&amp;"$",OFFSET(Z103,1,0,$Q101-2)))</f>
        <v>0</v>
      </c>
      <c r="AA103" s="223">
        <f ca="1">IF($Q101=2,IF(AND(ACOMPANHAMENTO="PLE",ISNUMBER($E101)),SUMIF((OFFSET(CÁLCULO!$BC$15:$BU$15,$E101,0,OFFSET(ORÇAMENTO!$D$15,CRONO!$E101,0))),"="&amp;CRONO!AA$12,OFFSET(CÁLCULO!$AJ$15:$BB$15,$E101,0,OFFSET(ORÇAMENTO!$D$15,CRONO!$E101,0)))+IF(AND($E103&lt;&gt;"",$E103&lt;&gt;0),SUMIF(CÁLCULO!$BC$15:$BU$727,"="&amp;CRONO!AA$12,CÁLCULO!$AJ$15:$BB$727)/(ORÇAMENTO!$X$15-CÁLCULO.TotalAdmLocal)*CRONO!$E103,0),AA102*$R101),SUMIF(OFFSET($R103,1,0,$Q101-2),($L101+1)&amp;"$",OFFSET(AA103,1,0,$Q101-2)))</f>
        <v>0</v>
      </c>
      <c r="AB103" s="223">
        <f ca="1">IF($Q101=2,IF(AND(ACOMPANHAMENTO="PLE",ISNUMBER($E101)),SUMIF((OFFSET(CÁLCULO!$BC$15:$BU$15,$E101,0,OFFSET(ORÇAMENTO!$D$15,CRONO!$E101,0))),"="&amp;CRONO!AB$12,OFFSET(CÁLCULO!$AJ$15:$BB$15,$E101,0,OFFSET(ORÇAMENTO!$D$15,CRONO!$E101,0)))+IF(AND($E103&lt;&gt;"",$E103&lt;&gt;0),SUMIF(CÁLCULO!$BC$15:$BU$727,"="&amp;CRONO!AB$12,CÁLCULO!$AJ$15:$BB$727)/(ORÇAMENTO!$X$15-CÁLCULO.TotalAdmLocal)*CRONO!$E103,0),AB102*$R101),SUMIF(OFFSET($R103,1,0,$Q101-2),($L101+1)&amp;"$",OFFSET(AB103,1,0,$Q101-2)))</f>
        <v>0</v>
      </c>
      <c r="AC103" s="223">
        <f ca="1">IF($Q101=2,IF(AND(ACOMPANHAMENTO="PLE",ISNUMBER($E101)),SUMIF((OFFSET(CÁLCULO!$BC$15:$BU$15,$E101,0,OFFSET(ORÇAMENTO!$D$15,CRONO!$E101,0))),"="&amp;CRONO!AC$12,OFFSET(CÁLCULO!$AJ$15:$BB$15,$E101,0,OFFSET(ORÇAMENTO!$D$15,CRONO!$E101,0)))+IF(AND($E103&lt;&gt;"",$E103&lt;&gt;0),SUMIF(CÁLCULO!$BC$15:$BU$727,"="&amp;CRONO!AC$12,CÁLCULO!$AJ$15:$BB$727)/(ORÇAMENTO!$X$15-CÁLCULO.TotalAdmLocal)*CRONO!$E103,0),AC102*$R101),SUMIF(OFFSET($R103,1,0,$Q101-2),($L101+1)&amp;"$",OFFSET(AC103,1,0,$Q101-2)))</f>
        <v>0</v>
      </c>
      <c r="AD103" s="223">
        <f ca="1">IF($Q101=2,IF(AND(ACOMPANHAMENTO="PLE",ISNUMBER($E101)),SUMIF((OFFSET(CÁLCULO!$BC$15:$BU$15,$E101,0,OFFSET(ORÇAMENTO!$D$15,CRONO!$E101,0))),"="&amp;CRONO!AD$12,OFFSET(CÁLCULO!$AJ$15:$BB$15,$E101,0,OFFSET(ORÇAMENTO!$D$15,CRONO!$E101,0)))+IF(AND($E103&lt;&gt;"",$E103&lt;&gt;0),SUMIF(CÁLCULO!$BC$15:$BU$727,"="&amp;CRONO!AD$12,CÁLCULO!$AJ$15:$BB$727)/(ORÇAMENTO!$X$15-CÁLCULO.TotalAdmLocal)*CRONO!$E103,0),AD102*$R101),SUMIF(OFFSET($R103,1,0,$Q101-2),($L101+1)&amp;"$",OFFSET(AD103,1,0,$Q101-2)))</f>
        <v>0</v>
      </c>
      <c r="AE103" s="228">
        <f ca="1">IF($Q101=2,IF(AND(ACOMPANHAMENTO="PLE",ISNUMBER($E101)),SUMIF((OFFSET(CÁLCULO!$BC$15:$BU$15,$E101,0,OFFSET(ORÇAMENTO!$D$15,CRONO!$E101,0))),"="&amp;CRONO!AE$12,OFFSET(CÁLCULO!$AJ$15:$BB$15,$E101,0,OFFSET(ORÇAMENTO!$D$15,CRONO!$E101,0)))+IF(AND($E103&lt;&gt;"",$E103&lt;&gt;0),SUMIF(CÁLCULO!$BC$15:$BU$727,"="&amp;CRONO!AE$12,CÁLCULO!$AJ$15:$BB$727)/(ORÇAMENTO!$X$15-CÁLCULO.TotalAdmLocal)*CRONO!$E103,0),AE102*$R101),SUMIF(OFFSET($R103,1,0,$Q101-2),($L101+1)&amp;"$",OFFSET(AE103,1,0,$Q101-2)))</f>
        <v>0</v>
      </c>
    </row>
    <row r="104" spans="1:32" x14ac:dyDescent="0.2">
      <c r="A104" s="204">
        <f t="shared" ref="A104" ca="1" si="213">OFFSET(A104,-3,0)+1</f>
        <v>31</v>
      </c>
      <c r="B104" s="204">
        <f ca="1">IF($Q104&lt;&gt;2,0,IF($R104=0,1,IF(E105&gt;0,OFFSET(QCI!$M$13,SUBSTITUTE(E105,".",""),0),OFFSET(ORÇAMENTO!$AA$15,CRONO!$E104,0))/$R104))</f>
        <v>1</v>
      </c>
      <c r="C104" s="204">
        <f ca="1">IF($Q104&lt;&gt;2,0,IF($R104=0,1,IF(E105&gt;0,OFFSET(QCI!$N$13,SUBSTITUTE(E105,".",""),0),OFFSET(ORÇAMENTO!$AB$15,CRONO!$E104,0))/$R104))</f>
        <v>1</v>
      </c>
      <c r="D104" s="207" t="e">
        <f ca="1">IF(AND($Q104=2,ACOMPANHAMENTO="BM"),D105,D106/$R104)</f>
        <v>#DIV/0!</v>
      </c>
      <c r="E104" s="204">
        <f ca="1">IF(A104&lt;=ORÇAMENTO.MáximoListaCrono,MATCH(A104,ORÇAMENTO.ListaCrono,0),NA())</f>
        <v>215</v>
      </c>
      <c r="F104" s="204" t="str">
        <f t="shared" ref="F104" ca="1" si="214">IF(AND($E105&lt;&gt;-1,$R104&gt;0),"F","")</f>
        <v/>
      </c>
      <c r="G104" s="208" t="str">
        <f ca="1">IF(OR(R104=0,R104=""),"Linha",IF(AND(OR(ACOMPANHAMENTO="PLE",$Q104&lt;&gt;2),$E105=0),"Linha",1-SUM(T104:AF104)))</f>
        <v>Linha</v>
      </c>
      <c r="H104" s="209" t="str">
        <f ca="1">IF($E105=0,OFFSET(ORÇAMENTO!O$15,$E104,0),IF($E105&lt;&gt;-1,OFFSET(QCI!$D$13,$E105,0),""))</f>
        <v>1.30.</v>
      </c>
      <c r="I104" s="210" t="str">
        <f ca="1">IF($E105=0,OFFSET(ORÇAMENTO!R$15,$E104,0),IF($E105&lt;&gt;-1,OFFSET(QCI!$G$13,$E105,0),""))</f>
        <v>PINTURAS E ACABAMENTOS - FORROS</v>
      </c>
      <c r="J104" s="210"/>
      <c r="K104" s="210"/>
      <c r="L104" s="211">
        <f ca="1">IF($E105=0,OFFSET(ORÇAMENTO!C$15,$E104,0),1)</f>
        <v>2</v>
      </c>
      <c r="M104" s="212">
        <f ca="1">IF($E105=-1,0,IF(M$13&lt;=$L104,IF(ISERROR(MATCH(M$13,OFFSET($L104,1,0,ROW($L$260)-ROW($L104)-1),0)),ROW($L$260)-ROW($L104)-1,MATCH(M$13,OFFSET($L104,1,0,ROW($L$260)-ROW($L104)-1),0)-1),0))</f>
        <v>155</v>
      </c>
      <c r="N104" s="212">
        <f ca="1">IF($E105=-1,0,IF(N$13&lt;=$L104,IF(ISERROR(MATCH(N$13,OFFSET($L104,1,0,ROW($L$260)-ROW($L104)-1),0)),ROW($L$260)-ROW($L104)-1,MATCH(N$13,OFFSET($L104,1,0,ROW($L$260)-ROW($L104)-1),0)-1),0))</f>
        <v>2</v>
      </c>
      <c r="O104" s="212">
        <f ca="1">IF($E105=-1,0,IF(O$13&lt;=$L104,IF(ISERROR(MATCH(O$13,OFFSET($L104,1,0,ROW($L$260)-ROW($L104)-1),0)),ROW($L$260)-ROW($L104)-1,MATCH(O$13,OFFSET($L104,1,0,ROW($L$260)-ROW($L104)-1),0)-1),0))</f>
        <v>0</v>
      </c>
      <c r="P104" s="212">
        <f ca="1">IF($E105=-1,0,IF(P$13&lt;=$L104,IF(ISERROR(MATCH(P$13,OFFSET($L104,1,0,ROW($L$260)-ROW($L104)-1),0)),ROW($L$260)-ROW($L104)-1,MATCH(P$13,OFFSET($L104,1,0,ROW($L$260)-ROW($L104)-1),0)-1),0))</f>
        <v>0</v>
      </c>
      <c r="Q104" s="212">
        <f t="shared" ref="Q104" ca="1" si="215">MIN(OFFSET(L104,0,1,,L104))</f>
        <v>2</v>
      </c>
      <c r="R104" s="213">
        <f ca="1">IF($E105=0,OFFSET(ORÇAMENTO!X$15,$E104,0),IF($E105&lt;&gt;-1,OFFSET(QCI!$O$13,$E105,0),""))</f>
        <v>0</v>
      </c>
      <c r="S104" s="214" t="s">
        <v>270</v>
      </c>
      <c r="T104" s="215" t="e">
        <f t="shared" ref="T104:AE104" ca="1" si="216">IF(AND($Q104=2,ACOMPANHAMENTO="BM"),T105,T106/$R104)</f>
        <v>#DIV/0!</v>
      </c>
      <c r="U104" s="207" t="e">
        <f t="shared" ca="1" si="216"/>
        <v>#DIV/0!</v>
      </c>
      <c r="V104" s="207" t="e">
        <f t="shared" ca="1" si="216"/>
        <v>#DIV/0!</v>
      </c>
      <c r="W104" s="207" t="e">
        <f t="shared" ca="1" si="216"/>
        <v>#DIV/0!</v>
      </c>
      <c r="X104" s="207" t="e">
        <f t="shared" ca="1" si="216"/>
        <v>#DIV/0!</v>
      </c>
      <c r="Y104" s="207" t="e">
        <f t="shared" ca="1" si="216"/>
        <v>#DIV/0!</v>
      </c>
      <c r="Z104" s="207" t="e">
        <f t="shared" ca="1" si="216"/>
        <v>#DIV/0!</v>
      </c>
      <c r="AA104" s="207" t="e">
        <f t="shared" ca="1" si="216"/>
        <v>#DIV/0!</v>
      </c>
      <c r="AB104" s="207" t="e">
        <f t="shared" ca="1" si="216"/>
        <v>#DIV/0!</v>
      </c>
      <c r="AC104" s="207" t="e">
        <f t="shared" ca="1" si="216"/>
        <v>#DIV/0!</v>
      </c>
      <c r="AD104" s="207" t="e">
        <f t="shared" ca="1" si="216"/>
        <v>#DIV/0!</v>
      </c>
      <c r="AE104" s="216" t="e">
        <f t="shared" ca="1" si="216"/>
        <v>#DIV/0!</v>
      </c>
    </row>
    <row r="105" spans="1:32" ht="12.75" customHeight="1" x14ac:dyDescent="0.2">
      <c r="D105" s="569"/>
      <c r="E105" s="204">
        <f ca="1">IF(ISERROR(E104),IF(1+COUNTIF($L$13:OFFSET(L104,-1,0),1)&lt;=MAX(QCI!$D$13:$D$24),1+COUNTIF($L$13:OFFSET(L104,-1,0),1),-1),0)</f>
        <v>0</v>
      </c>
      <c r="F105" s="204" t="str">
        <f t="shared" ref="F105" ca="1" si="217">IF(AND($E105&lt;&gt;-1,$R104&gt;0),"F","")</f>
        <v/>
      </c>
      <c r="G105" s="217" t="str">
        <f ca="1">IF(OR(R104=0,R104=""),"vazia",IF(AND(OR(ACOMPANHAMENTO="PLE",$Q104&lt;&gt;2),$E105=0),"calculada","--&gt;"))</f>
        <v>vazia</v>
      </c>
      <c r="H105" s="218"/>
      <c r="I105" s="219" t="str">
        <f t="shared" ref="I105" ca="1" si="218">IF(AND(G104&lt;&gt;0,ISNUMBER(G104)),"PREENCHA ESTA LINHA --&gt;","")</f>
        <v/>
      </c>
      <c r="J105" s="219"/>
      <c r="K105" s="219"/>
      <c r="L105" s="220"/>
      <c r="M105" s="220"/>
      <c r="N105" s="220"/>
      <c r="O105" s="220"/>
      <c r="P105" s="220"/>
      <c r="Q105" s="220"/>
      <c r="R105" s="221"/>
      <c r="S105" s="222"/>
      <c r="T105" s="570"/>
      <c r="U105" s="569"/>
      <c r="V105" s="569"/>
      <c r="W105" s="569"/>
      <c r="X105" s="569"/>
      <c r="Y105" s="569"/>
      <c r="Z105" s="569"/>
      <c r="AA105" s="569"/>
      <c r="AB105" s="569"/>
      <c r="AC105" s="569"/>
      <c r="AD105" s="569"/>
      <c r="AE105" s="571"/>
      <c r="AF105" s="533"/>
    </row>
    <row r="106" spans="1:32" ht="0.2" hidden="1" customHeight="1" x14ac:dyDescent="0.2">
      <c r="D106" s="223">
        <f ca="1">IF($Q104=2,IF(AND(ACOMPANHAMENTO="PLE",ISNUMBER($E104)),SUMIF((OFFSET(CÁLCULO!$BC$15:$BU$15,$E104,0,OFFSET(ORÇAMENTO!$D$15,CRONO!$E104,0))),"="&amp;CRONO!D$12,OFFSET(CÁLCULO!$AJ$15:$BB$15,$E104,0,OFFSET(ORÇAMENTO!$D$15,CRONO!$E104,0)))+IF(AND($E106&lt;&gt;"",$E106&lt;&gt;0),SUMIF(CÁLCULO!$BC$15:$BU$727,"="&amp;CRONO!D$12,CÁLCULO!$AJ$15:$BB$727)/(ORÇAMENTO!$X$15-CÁLCULO.TotalAdmLocal)*CRONO!$E106,0),D105*$R104),SUMIF(OFFSET($R106,1,0,$Q104-2),($L104+1)&amp;"$",OFFSET(D106,1,0,$Q104-2)))</f>
        <v>0</v>
      </c>
      <c r="E106" s="204" t="str">
        <f ca="1">IF(OR($Q104&lt;&gt;2,AUTOEVENTO&lt;&gt;"manual",$E105&gt;0),"",SUMIF(OFFSET(CÁLCULO!$M$15,CRONO!$E104,0,OFFSET(ORÇAMENTO!$D$15,CRONO!$E104,0)),1,OFFSET(ORÇAMENTO!$X$15,CRONO!$E104,0,OFFSET(ORÇAMENTO!$D$15,CRONO!$E104,0))))</f>
        <v/>
      </c>
      <c r="G106" s="224"/>
      <c r="R106" s="225" t="str">
        <f t="shared" ref="R106" ca="1" si="219">L104&amp;"$"</f>
        <v>2$</v>
      </c>
      <c r="S106" s="226"/>
      <c r="T106" s="227">
        <f ca="1">IF($Q104=2,IF(AND(ACOMPANHAMENTO="PLE",ISNUMBER($E104)),SUMIF((OFFSET(CÁLCULO!$BC$15:$BU$15,$E104,0,OFFSET(ORÇAMENTO!$D$15,CRONO!$E104,0))),"&lt;="&amp;CRONO!T$12,OFFSET(CÁLCULO!$AJ$15:$BB$15,$E104,0,OFFSET(ORÇAMENTO!$D$15,CRONO!$E104,0)))+IF(AND($E106&lt;&gt;"",$E106&lt;&gt;0),SUMIF(CÁLCULO!$BC$15:$BU$727,"&lt;="&amp;CRONO!T$12,CÁLCULO!$AJ$15:$BB$727)/(ORÇAMENTO!$X$15-CÁLCULO.TotalAdmLocal)*CRONO!$E106,0),T105*$R104),SUMIF(OFFSET($R106,1,0,$Q104-2),($L104+1)&amp;"$",OFFSET(T106,1,0,$Q104-2)))</f>
        <v>0</v>
      </c>
      <c r="U106" s="223">
        <f ca="1">IF($Q104=2,IF(AND(ACOMPANHAMENTO="PLE",ISNUMBER($E104)),SUMIF((OFFSET(CÁLCULO!$BC$15:$BU$15,$E104,0,OFFSET(ORÇAMENTO!$D$15,CRONO!$E104,0))),"="&amp;CRONO!U$12,OFFSET(CÁLCULO!$AJ$15:$BB$15,$E104,0,OFFSET(ORÇAMENTO!$D$15,CRONO!$E104,0)))+IF(AND($E106&lt;&gt;"",$E106&lt;&gt;0),SUMIF(CÁLCULO!$BC$15:$BU$727,"="&amp;CRONO!U$12,CÁLCULO!$AJ$15:$BB$727)/(ORÇAMENTO!$X$15-CÁLCULO.TotalAdmLocal)*CRONO!$E106,0),U105*$R104),SUMIF(OFFSET($R106,1,0,$Q104-2),($L104+1)&amp;"$",OFFSET(U106,1,0,$Q104-2)))</f>
        <v>0</v>
      </c>
      <c r="V106" s="223">
        <f ca="1">IF($Q104=2,IF(AND(ACOMPANHAMENTO="PLE",ISNUMBER($E104)),SUMIF((OFFSET(CÁLCULO!$BC$15:$BU$15,$E104,0,OFFSET(ORÇAMENTO!$D$15,CRONO!$E104,0))),"="&amp;CRONO!V$12,OFFSET(CÁLCULO!$AJ$15:$BB$15,$E104,0,OFFSET(ORÇAMENTO!$D$15,CRONO!$E104,0)))+IF(AND($E106&lt;&gt;"",$E106&lt;&gt;0),SUMIF(CÁLCULO!$BC$15:$BU$727,"="&amp;CRONO!V$12,CÁLCULO!$AJ$15:$BB$727)/(ORÇAMENTO!$X$15-CÁLCULO.TotalAdmLocal)*CRONO!$E106,0),V105*$R104),SUMIF(OFFSET($R106,1,0,$Q104-2),($L104+1)&amp;"$",OFFSET(V106,1,0,$Q104-2)))</f>
        <v>0</v>
      </c>
      <c r="W106" s="223">
        <f ca="1">IF($Q104=2,IF(AND(ACOMPANHAMENTO="PLE",ISNUMBER($E104)),SUMIF((OFFSET(CÁLCULO!$BC$15:$BU$15,$E104,0,OFFSET(ORÇAMENTO!$D$15,CRONO!$E104,0))),"="&amp;CRONO!W$12,OFFSET(CÁLCULO!$AJ$15:$BB$15,$E104,0,OFFSET(ORÇAMENTO!$D$15,CRONO!$E104,0)))+IF(AND($E106&lt;&gt;"",$E106&lt;&gt;0),SUMIF(CÁLCULO!$BC$15:$BU$727,"="&amp;CRONO!W$12,CÁLCULO!$AJ$15:$BB$727)/(ORÇAMENTO!$X$15-CÁLCULO.TotalAdmLocal)*CRONO!$E106,0),W105*$R104),SUMIF(OFFSET($R106,1,0,$Q104-2),($L104+1)&amp;"$",OFFSET(W106,1,0,$Q104-2)))</f>
        <v>0</v>
      </c>
      <c r="X106" s="223">
        <f ca="1">IF($Q104=2,IF(AND(ACOMPANHAMENTO="PLE",ISNUMBER($E104)),SUMIF((OFFSET(CÁLCULO!$BC$15:$BU$15,$E104,0,OFFSET(ORÇAMENTO!$D$15,CRONO!$E104,0))),"="&amp;CRONO!X$12,OFFSET(CÁLCULO!$AJ$15:$BB$15,$E104,0,OFFSET(ORÇAMENTO!$D$15,CRONO!$E104,0)))+IF(AND($E106&lt;&gt;"",$E106&lt;&gt;0),SUMIF(CÁLCULO!$BC$15:$BU$727,"="&amp;CRONO!X$12,CÁLCULO!$AJ$15:$BB$727)/(ORÇAMENTO!$X$15-CÁLCULO.TotalAdmLocal)*CRONO!$E106,0),X105*$R104),SUMIF(OFFSET($R106,1,0,$Q104-2),($L104+1)&amp;"$",OFFSET(X106,1,0,$Q104-2)))</f>
        <v>0</v>
      </c>
      <c r="Y106" s="223">
        <f ca="1">IF($Q104=2,IF(AND(ACOMPANHAMENTO="PLE",ISNUMBER($E104)),SUMIF((OFFSET(CÁLCULO!$BC$15:$BU$15,$E104,0,OFFSET(ORÇAMENTO!$D$15,CRONO!$E104,0))),"="&amp;CRONO!Y$12,OFFSET(CÁLCULO!$AJ$15:$BB$15,$E104,0,OFFSET(ORÇAMENTO!$D$15,CRONO!$E104,0)))+IF(AND($E106&lt;&gt;"",$E106&lt;&gt;0),SUMIF(CÁLCULO!$BC$15:$BU$727,"="&amp;CRONO!Y$12,CÁLCULO!$AJ$15:$BB$727)/(ORÇAMENTO!$X$15-CÁLCULO.TotalAdmLocal)*CRONO!$E106,0),Y105*$R104),SUMIF(OFFSET($R106,1,0,$Q104-2),($L104+1)&amp;"$",OFFSET(Y106,1,0,$Q104-2)))</f>
        <v>0</v>
      </c>
      <c r="Z106" s="223">
        <f ca="1">IF($Q104=2,IF(AND(ACOMPANHAMENTO="PLE",ISNUMBER($E104)),SUMIF((OFFSET(CÁLCULO!$BC$15:$BU$15,$E104,0,OFFSET(ORÇAMENTO!$D$15,CRONO!$E104,0))),"="&amp;CRONO!Z$12,OFFSET(CÁLCULO!$AJ$15:$BB$15,$E104,0,OFFSET(ORÇAMENTO!$D$15,CRONO!$E104,0)))+IF(AND($E106&lt;&gt;"",$E106&lt;&gt;0),SUMIF(CÁLCULO!$BC$15:$BU$727,"="&amp;CRONO!Z$12,CÁLCULO!$AJ$15:$BB$727)/(ORÇAMENTO!$X$15-CÁLCULO.TotalAdmLocal)*CRONO!$E106,0),Z105*$R104),SUMIF(OFFSET($R106,1,0,$Q104-2),($L104+1)&amp;"$",OFFSET(Z106,1,0,$Q104-2)))</f>
        <v>0</v>
      </c>
      <c r="AA106" s="223">
        <f ca="1">IF($Q104=2,IF(AND(ACOMPANHAMENTO="PLE",ISNUMBER($E104)),SUMIF((OFFSET(CÁLCULO!$BC$15:$BU$15,$E104,0,OFFSET(ORÇAMENTO!$D$15,CRONO!$E104,0))),"="&amp;CRONO!AA$12,OFFSET(CÁLCULO!$AJ$15:$BB$15,$E104,0,OFFSET(ORÇAMENTO!$D$15,CRONO!$E104,0)))+IF(AND($E106&lt;&gt;"",$E106&lt;&gt;0),SUMIF(CÁLCULO!$BC$15:$BU$727,"="&amp;CRONO!AA$12,CÁLCULO!$AJ$15:$BB$727)/(ORÇAMENTO!$X$15-CÁLCULO.TotalAdmLocal)*CRONO!$E106,0),AA105*$R104),SUMIF(OFFSET($R106,1,0,$Q104-2),($L104+1)&amp;"$",OFFSET(AA106,1,0,$Q104-2)))</f>
        <v>0</v>
      </c>
      <c r="AB106" s="223">
        <f ca="1">IF($Q104=2,IF(AND(ACOMPANHAMENTO="PLE",ISNUMBER($E104)),SUMIF((OFFSET(CÁLCULO!$BC$15:$BU$15,$E104,0,OFFSET(ORÇAMENTO!$D$15,CRONO!$E104,0))),"="&amp;CRONO!AB$12,OFFSET(CÁLCULO!$AJ$15:$BB$15,$E104,0,OFFSET(ORÇAMENTO!$D$15,CRONO!$E104,0)))+IF(AND($E106&lt;&gt;"",$E106&lt;&gt;0),SUMIF(CÁLCULO!$BC$15:$BU$727,"="&amp;CRONO!AB$12,CÁLCULO!$AJ$15:$BB$727)/(ORÇAMENTO!$X$15-CÁLCULO.TotalAdmLocal)*CRONO!$E106,0),AB105*$R104),SUMIF(OFFSET($R106,1,0,$Q104-2),($L104+1)&amp;"$",OFFSET(AB106,1,0,$Q104-2)))</f>
        <v>0</v>
      </c>
      <c r="AC106" s="223">
        <f ca="1">IF($Q104=2,IF(AND(ACOMPANHAMENTO="PLE",ISNUMBER($E104)),SUMIF((OFFSET(CÁLCULO!$BC$15:$BU$15,$E104,0,OFFSET(ORÇAMENTO!$D$15,CRONO!$E104,0))),"="&amp;CRONO!AC$12,OFFSET(CÁLCULO!$AJ$15:$BB$15,$E104,0,OFFSET(ORÇAMENTO!$D$15,CRONO!$E104,0)))+IF(AND($E106&lt;&gt;"",$E106&lt;&gt;0),SUMIF(CÁLCULO!$BC$15:$BU$727,"="&amp;CRONO!AC$12,CÁLCULO!$AJ$15:$BB$727)/(ORÇAMENTO!$X$15-CÁLCULO.TotalAdmLocal)*CRONO!$E106,0),AC105*$R104),SUMIF(OFFSET($R106,1,0,$Q104-2),($L104+1)&amp;"$",OFFSET(AC106,1,0,$Q104-2)))</f>
        <v>0</v>
      </c>
      <c r="AD106" s="223">
        <f ca="1">IF($Q104=2,IF(AND(ACOMPANHAMENTO="PLE",ISNUMBER($E104)),SUMIF((OFFSET(CÁLCULO!$BC$15:$BU$15,$E104,0,OFFSET(ORÇAMENTO!$D$15,CRONO!$E104,0))),"="&amp;CRONO!AD$12,OFFSET(CÁLCULO!$AJ$15:$BB$15,$E104,0,OFFSET(ORÇAMENTO!$D$15,CRONO!$E104,0)))+IF(AND($E106&lt;&gt;"",$E106&lt;&gt;0),SUMIF(CÁLCULO!$BC$15:$BU$727,"="&amp;CRONO!AD$12,CÁLCULO!$AJ$15:$BB$727)/(ORÇAMENTO!$X$15-CÁLCULO.TotalAdmLocal)*CRONO!$E106,0),AD105*$R104),SUMIF(OFFSET($R106,1,0,$Q104-2),($L104+1)&amp;"$",OFFSET(AD106,1,0,$Q104-2)))</f>
        <v>0</v>
      </c>
      <c r="AE106" s="228">
        <f ca="1">IF($Q104=2,IF(AND(ACOMPANHAMENTO="PLE",ISNUMBER($E104)),SUMIF((OFFSET(CÁLCULO!$BC$15:$BU$15,$E104,0,OFFSET(ORÇAMENTO!$D$15,CRONO!$E104,0))),"="&amp;CRONO!AE$12,OFFSET(CÁLCULO!$AJ$15:$BB$15,$E104,0,OFFSET(ORÇAMENTO!$D$15,CRONO!$E104,0)))+IF(AND($E106&lt;&gt;"",$E106&lt;&gt;0),SUMIF(CÁLCULO!$BC$15:$BU$727,"="&amp;CRONO!AE$12,CÁLCULO!$AJ$15:$BB$727)/(ORÇAMENTO!$X$15-CÁLCULO.TotalAdmLocal)*CRONO!$E106,0),AE105*$R104),SUMIF(OFFSET($R106,1,0,$Q104-2),($L104+1)&amp;"$",OFFSET(AE106,1,0,$Q104-2)))</f>
        <v>0</v>
      </c>
    </row>
    <row r="107" spans="1:32" x14ac:dyDescent="0.2">
      <c r="A107" s="204">
        <f t="shared" ref="A107" ca="1" si="220">OFFSET(A107,-3,0)+1</f>
        <v>32</v>
      </c>
      <c r="B107" s="204">
        <f ca="1">IF($Q107&lt;&gt;2,0,IF($R107=0,1,IF(E108&gt;0,OFFSET(QCI!$M$13,SUBSTITUTE(E108,".",""),0),OFFSET(ORÇAMENTO!$AA$15,CRONO!$E107,0))/$R107))</f>
        <v>1</v>
      </c>
      <c r="C107" s="204">
        <f ca="1">IF($Q107&lt;&gt;2,0,IF($R107=0,1,IF(E108&gt;0,OFFSET(QCI!$N$13,SUBSTITUTE(E108,".",""),0),OFFSET(ORÇAMENTO!$AB$15,CRONO!$E107,0))/$R107))</f>
        <v>1</v>
      </c>
      <c r="D107" s="207" t="e">
        <f ca="1">IF(AND($Q107=2,ACOMPANHAMENTO="BM"),D108,D109/$R107)</f>
        <v>#DIV/0!</v>
      </c>
      <c r="E107" s="204">
        <f ca="1">IF(A107&lt;=ORÇAMENTO.MáximoListaCrono,MATCH(A107,ORÇAMENTO.ListaCrono,0),NA())</f>
        <v>218</v>
      </c>
      <c r="F107" s="204" t="str">
        <f t="shared" ref="F107" ca="1" si="221">IF(AND($E108&lt;&gt;-1,$R107&gt;0),"F","")</f>
        <v/>
      </c>
      <c r="G107" s="208" t="str">
        <f ca="1">IF(OR(R107=0,R107=""),"Linha",IF(AND(OR(ACOMPANHAMENTO="PLE",$Q107&lt;&gt;2),$E108=0),"Linha",1-SUM(T107:AF107)))</f>
        <v>Linha</v>
      </c>
      <c r="H107" s="209" t="str">
        <f ca="1">IF($E108=0,OFFSET(ORÇAMENTO!O$15,$E107,0),IF($E108&lt;&gt;-1,OFFSET(QCI!$D$13,$E108,0),""))</f>
        <v>1.31.</v>
      </c>
      <c r="I107" s="210" t="str">
        <f ca="1">IF($E108=0,OFFSET(ORÇAMENTO!R$15,$E107,0),IF($E108&lt;&gt;-1,OFFSET(QCI!$G$13,$E108,0),""))</f>
        <v>PINTURAS E ACABAMENTOS - PISO ESTACIONAMENTO</v>
      </c>
      <c r="J107" s="210"/>
      <c r="K107" s="210"/>
      <c r="L107" s="211">
        <f ca="1">IF($E108=0,OFFSET(ORÇAMENTO!C$15,$E107,0),1)</f>
        <v>2</v>
      </c>
      <c r="M107" s="212">
        <f ca="1">IF($E108=-1,0,IF(M$13&lt;=$L107,IF(ISERROR(MATCH(M$13,OFFSET($L107,1,0,ROW($L$260)-ROW($L107)-1),0)),ROW($L$260)-ROW($L107)-1,MATCH(M$13,OFFSET($L107,1,0,ROW($L$260)-ROW($L107)-1),0)-1),0))</f>
        <v>152</v>
      </c>
      <c r="N107" s="212">
        <f ca="1">IF($E108=-1,0,IF(N$13&lt;=$L107,IF(ISERROR(MATCH(N$13,OFFSET($L107,1,0,ROW($L$260)-ROW($L107)-1),0)),ROW($L$260)-ROW($L107)-1,MATCH(N$13,OFFSET($L107,1,0,ROW($L$260)-ROW($L107)-1),0)-1),0))</f>
        <v>2</v>
      </c>
      <c r="O107" s="212">
        <f ca="1">IF($E108=-1,0,IF(O$13&lt;=$L107,IF(ISERROR(MATCH(O$13,OFFSET($L107,1,0,ROW($L$260)-ROW($L107)-1),0)),ROW($L$260)-ROW($L107)-1,MATCH(O$13,OFFSET($L107,1,0,ROW($L$260)-ROW($L107)-1),0)-1),0))</f>
        <v>0</v>
      </c>
      <c r="P107" s="212">
        <f ca="1">IF($E108=-1,0,IF(P$13&lt;=$L107,IF(ISERROR(MATCH(P$13,OFFSET($L107,1,0,ROW($L$260)-ROW($L107)-1),0)),ROW($L$260)-ROW($L107)-1,MATCH(P$13,OFFSET($L107,1,0,ROW($L$260)-ROW($L107)-1),0)-1),0))</f>
        <v>0</v>
      </c>
      <c r="Q107" s="212">
        <f t="shared" ref="Q107" ca="1" si="222">MIN(OFFSET(L107,0,1,,L107))</f>
        <v>2</v>
      </c>
      <c r="R107" s="213">
        <f ca="1">IF($E108=0,OFFSET(ORÇAMENTO!X$15,$E107,0),IF($E108&lt;&gt;-1,OFFSET(QCI!$O$13,$E108,0),""))</f>
        <v>0</v>
      </c>
      <c r="S107" s="214" t="s">
        <v>270</v>
      </c>
      <c r="T107" s="215" t="e">
        <f t="shared" ref="T107:AE107" ca="1" si="223">IF(AND($Q107=2,ACOMPANHAMENTO="BM"),T108,T109/$R107)</f>
        <v>#DIV/0!</v>
      </c>
      <c r="U107" s="207" t="e">
        <f t="shared" ca="1" si="223"/>
        <v>#DIV/0!</v>
      </c>
      <c r="V107" s="207" t="e">
        <f t="shared" ca="1" si="223"/>
        <v>#DIV/0!</v>
      </c>
      <c r="W107" s="207" t="e">
        <f t="shared" ca="1" si="223"/>
        <v>#DIV/0!</v>
      </c>
      <c r="X107" s="207" t="e">
        <f t="shared" ca="1" si="223"/>
        <v>#DIV/0!</v>
      </c>
      <c r="Y107" s="207" t="e">
        <f t="shared" ca="1" si="223"/>
        <v>#DIV/0!</v>
      </c>
      <c r="Z107" s="207" t="e">
        <f t="shared" ca="1" si="223"/>
        <v>#DIV/0!</v>
      </c>
      <c r="AA107" s="207" t="e">
        <f t="shared" ca="1" si="223"/>
        <v>#DIV/0!</v>
      </c>
      <c r="AB107" s="207" t="e">
        <f t="shared" ca="1" si="223"/>
        <v>#DIV/0!</v>
      </c>
      <c r="AC107" s="207" t="e">
        <f t="shared" ca="1" si="223"/>
        <v>#DIV/0!</v>
      </c>
      <c r="AD107" s="207" t="e">
        <f t="shared" ca="1" si="223"/>
        <v>#DIV/0!</v>
      </c>
      <c r="AE107" s="216" t="e">
        <f t="shared" ca="1" si="223"/>
        <v>#DIV/0!</v>
      </c>
    </row>
    <row r="108" spans="1:32" ht="12.75" customHeight="1" x14ac:dyDescent="0.2">
      <c r="D108" s="569"/>
      <c r="E108" s="204">
        <f ca="1">IF(ISERROR(E107),IF(1+COUNTIF($L$13:OFFSET(L107,-1,0),1)&lt;=MAX(QCI!$D$13:$D$24),1+COUNTIF($L$13:OFFSET(L107,-1,0),1),-1),0)</f>
        <v>0</v>
      </c>
      <c r="F108" s="204" t="str">
        <f t="shared" ref="F108" ca="1" si="224">IF(AND($E108&lt;&gt;-1,$R107&gt;0),"F","")</f>
        <v/>
      </c>
      <c r="G108" s="217" t="str">
        <f ca="1">IF(OR(R107=0,R107=""),"vazia",IF(AND(OR(ACOMPANHAMENTO="PLE",$Q107&lt;&gt;2),$E108=0),"calculada","--&gt;"))</f>
        <v>vazia</v>
      </c>
      <c r="H108" s="218"/>
      <c r="I108" s="219" t="str">
        <f t="shared" ref="I108" ca="1" si="225">IF(AND(G107&lt;&gt;0,ISNUMBER(G107)),"PREENCHA ESTA LINHA --&gt;","")</f>
        <v/>
      </c>
      <c r="J108" s="219"/>
      <c r="K108" s="219"/>
      <c r="L108" s="220"/>
      <c r="M108" s="220"/>
      <c r="N108" s="220"/>
      <c r="O108" s="220"/>
      <c r="P108" s="220"/>
      <c r="Q108" s="220"/>
      <c r="R108" s="221"/>
      <c r="S108" s="222"/>
      <c r="T108" s="570"/>
      <c r="U108" s="569"/>
      <c r="V108" s="569"/>
      <c r="W108" s="569"/>
      <c r="X108" s="569"/>
      <c r="Y108" s="569"/>
      <c r="Z108" s="569"/>
      <c r="AA108" s="569"/>
      <c r="AB108" s="569"/>
      <c r="AC108" s="569"/>
      <c r="AD108" s="569"/>
      <c r="AE108" s="571"/>
      <c r="AF108" s="533"/>
    </row>
    <row r="109" spans="1:32" ht="0.2" hidden="1" customHeight="1" x14ac:dyDescent="0.2">
      <c r="D109" s="223">
        <f ca="1">IF($Q107=2,IF(AND(ACOMPANHAMENTO="PLE",ISNUMBER($E107)),SUMIF((OFFSET(CÁLCULO!$BC$15:$BU$15,$E107,0,OFFSET(ORÇAMENTO!$D$15,CRONO!$E107,0))),"="&amp;CRONO!D$12,OFFSET(CÁLCULO!$AJ$15:$BB$15,$E107,0,OFFSET(ORÇAMENTO!$D$15,CRONO!$E107,0)))+IF(AND($E109&lt;&gt;"",$E109&lt;&gt;0),SUMIF(CÁLCULO!$BC$15:$BU$727,"="&amp;CRONO!D$12,CÁLCULO!$AJ$15:$BB$727)/(ORÇAMENTO!$X$15-CÁLCULO.TotalAdmLocal)*CRONO!$E109,0),D108*$R107),SUMIF(OFFSET($R109,1,0,$Q107-2),($L107+1)&amp;"$",OFFSET(D109,1,0,$Q107-2)))</f>
        <v>0</v>
      </c>
      <c r="E109" s="204" t="str">
        <f ca="1">IF(OR($Q107&lt;&gt;2,AUTOEVENTO&lt;&gt;"manual",$E108&gt;0),"",SUMIF(OFFSET(CÁLCULO!$M$15,CRONO!$E107,0,OFFSET(ORÇAMENTO!$D$15,CRONO!$E107,0)),1,OFFSET(ORÇAMENTO!$X$15,CRONO!$E107,0,OFFSET(ORÇAMENTO!$D$15,CRONO!$E107,0))))</f>
        <v/>
      </c>
      <c r="G109" s="224"/>
      <c r="R109" s="225" t="str">
        <f t="shared" ref="R109" ca="1" si="226">L107&amp;"$"</f>
        <v>2$</v>
      </c>
      <c r="S109" s="226"/>
      <c r="T109" s="227">
        <f ca="1">IF($Q107=2,IF(AND(ACOMPANHAMENTO="PLE",ISNUMBER($E107)),SUMIF((OFFSET(CÁLCULO!$BC$15:$BU$15,$E107,0,OFFSET(ORÇAMENTO!$D$15,CRONO!$E107,0))),"&lt;="&amp;CRONO!T$12,OFFSET(CÁLCULO!$AJ$15:$BB$15,$E107,0,OFFSET(ORÇAMENTO!$D$15,CRONO!$E107,0)))+IF(AND($E109&lt;&gt;"",$E109&lt;&gt;0),SUMIF(CÁLCULO!$BC$15:$BU$727,"&lt;="&amp;CRONO!T$12,CÁLCULO!$AJ$15:$BB$727)/(ORÇAMENTO!$X$15-CÁLCULO.TotalAdmLocal)*CRONO!$E109,0),T108*$R107),SUMIF(OFFSET($R109,1,0,$Q107-2),($L107+1)&amp;"$",OFFSET(T109,1,0,$Q107-2)))</f>
        <v>0</v>
      </c>
      <c r="U109" s="223">
        <f ca="1">IF($Q107=2,IF(AND(ACOMPANHAMENTO="PLE",ISNUMBER($E107)),SUMIF((OFFSET(CÁLCULO!$BC$15:$BU$15,$E107,0,OFFSET(ORÇAMENTO!$D$15,CRONO!$E107,0))),"="&amp;CRONO!U$12,OFFSET(CÁLCULO!$AJ$15:$BB$15,$E107,0,OFFSET(ORÇAMENTO!$D$15,CRONO!$E107,0)))+IF(AND($E109&lt;&gt;"",$E109&lt;&gt;0),SUMIF(CÁLCULO!$BC$15:$BU$727,"="&amp;CRONO!U$12,CÁLCULO!$AJ$15:$BB$727)/(ORÇAMENTO!$X$15-CÁLCULO.TotalAdmLocal)*CRONO!$E109,0),U108*$R107),SUMIF(OFFSET($R109,1,0,$Q107-2),($L107+1)&amp;"$",OFFSET(U109,1,0,$Q107-2)))</f>
        <v>0</v>
      </c>
      <c r="V109" s="223">
        <f ca="1">IF($Q107=2,IF(AND(ACOMPANHAMENTO="PLE",ISNUMBER($E107)),SUMIF((OFFSET(CÁLCULO!$BC$15:$BU$15,$E107,0,OFFSET(ORÇAMENTO!$D$15,CRONO!$E107,0))),"="&amp;CRONO!V$12,OFFSET(CÁLCULO!$AJ$15:$BB$15,$E107,0,OFFSET(ORÇAMENTO!$D$15,CRONO!$E107,0)))+IF(AND($E109&lt;&gt;"",$E109&lt;&gt;0),SUMIF(CÁLCULO!$BC$15:$BU$727,"="&amp;CRONO!V$12,CÁLCULO!$AJ$15:$BB$727)/(ORÇAMENTO!$X$15-CÁLCULO.TotalAdmLocal)*CRONO!$E109,0),V108*$R107),SUMIF(OFFSET($R109,1,0,$Q107-2),($L107+1)&amp;"$",OFFSET(V109,1,0,$Q107-2)))</f>
        <v>0</v>
      </c>
      <c r="W109" s="223">
        <f ca="1">IF($Q107=2,IF(AND(ACOMPANHAMENTO="PLE",ISNUMBER($E107)),SUMIF((OFFSET(CÁLCULO!$BC$15:$BU$15,$E107,0,OFFSET(ORÇAMENTO!$D$15,CRONO!$E107,0))),"="&amp;CRONO!W$12,OFFSET(CÁLCULO!$AJ$15:$BB$15,$E107,0,OFFSET(ORÇAMENTO!$D$15,CRONO!$E107,0)))+IF(AND($E109&lt;&gt;"",$E109&lt;&gt;0),SUMIF(CÁLCULO!$BC$15:$BU$727,"="&amp;CRONO!W$12,CÁLCULO!$AJ$15:$BB$727)/(ORÇAMENTO!$X$15-CÁLCULO.TotalAdmLocal)*CRONO!$E109,0),W108*$R107),SUMIF(OFFSET($R109,1,0,$Q107-2),($L107+1)&amp;"$",OFFSET(W109,1,0,$Q107-2)))</f>
        <v>0</v>
      </c>
      <c r="X109" s="223">
        <f ca="1">IF($Q107=2,IF(AND(ACOMPANHAMENTO="PLE",ISNUMBER($E107)),SUMIF((OFFSET(CÁLCULO!$BC$15:$BU$15,$E107,0,OFFSET(ORÇAMENTO!$D$15,CRONO!$E107,0))),"="&amp;CRONO!X$12,OFFSET(CÁLCULO!$AJ$15:$BB$15,$E107,0,OFFSET(ORÇAMENTO!$D$15,CRONO!$E107,0)))+IF(AND($E109&lt;&gt;"",$E109&lt;&gt;0),SUMIF(CÁLCULO!$BC$15:$BU$727,"="&amp;CRONO!X$12,CÁLCULO!$AJ$15:$BB$727)/(ORÇAMENTO!$X$15-CÁLCULO.TotalAdmLocal)*CRONO!$E109,0),X108*$R107),SUMIF(OFFSET($R109,1,0,$Q107-2),($L107+1)&amp;"$",OFFSET(X109,1,0,$Q107-2)))</f>
        <v>0</v>
      </c>
      <c r="Y109" s="223">
        <f ca="1">IF($Q107=2,IF(AND(ACOMPANHAMENTO="PLE",ISNUMBER($E107)),SUMIF((OFFSET(CÁLCULO!$BC$15:$BU$15,$E107,0,OFFSET(ORÇAMENTO!$D$15,CRONO!$E107,0))),"="&amp;CRONO!Y$12,OFFSET(CÁLCULO!$AJ$15:$BB$15,$E107,0,OFFSET(ORÇAMENTO!$D$15,CRONO!$E107,0)))+IF(AND($E109&lt;&gt;"",$E109&lt;&gt;0),SUMIF(CÁLCULO!$BC$15:$BU$727,"="&amp;CRONO!Y$12,CÁLCULO!$AJ$15:$BB$727)/(ORÇAMENTO!$X$15-CÁLCULO.TotalAdmLocal)*CRONO!$E109,0),Y108*$R107),SUMIF(OFFSET($R109,1,0,$Q107-2),($L107+1)&amp;"$",OFFSET(Y109,1,0,$Q107-2)))</f>
        <v>0</v>
      </c>
      <c r="Z109" s="223">
        <f ca="1">IF($Q107=2,IF(AND(ACOMPANHAMENTO="PLE",ISNUMBER($E107)),SUMIF((OFFSET(CÁLCULO!$BC$15:$BU$15,$E107,0,OFFSET(ORÇAMENTO!$D$15,CRONO!$E107,0))),"="&amp;CRONO!Z$12,OFFSET(CÁLCULO!$AJ$15:$BB$15,$E107,0,OFFSET(ORÇAMENTO!$D$15,CRONO!$E107,0)))+IF(AND($E109&lt;&gt;"",$E109&lt;&gt;0),SUMIF(CÁLCULO!$BC$15:$BU$727,"="&amp;CRONO!Z$12,CÁLCULO!$AJ$15:$BB$727)/(ORÇAMENTO!$X$15-CÁLCULO.TotalAdmLocal)*CRONO!$E109,0),Z108*$R107),SUMIF(OFFSET($R109,1,0,$Q107-2),($L107+1)&amp;"$",OFFSET(Z109,1,0,$Q107-2)))</f>
        <v>0</v>
      </c>
      <c r="AA109" s="223">
        <f ca="1">IF($Q107=2,IF(AND(ACOMPANHAMENTO="PLE",ISNUMBER($E107)),SUMIF((OFFSET(CÁLCULO!$BC$15:$BU$15,$E107,0,OFFSET(ORÇAMENTO!$D$15,CRONO!$E107,0))),"="&amp;CRONO!AA$12,OFFSET(CÁLCULO!$AJ$15:$BB$15,$E107,0,OFFSET(ORÇAMENTO!$D$15,CRONO!$E107,0)))+IF(AND($E109&lt;&gt;"",$E109&lt;&gt;0),SUMIF(CÁLCULO!$BC$15:$BU$727,"="&amp;CRONO!AA$12,CÁLCULO!$AJ$15:$BB$727)/(ORÇAMENTO!$X$15-CÁLCULO.TotalAdmLocal)*CRONO!$E109,0),AA108*$R107),SUMIF(OFFSET($R109,1,0,$Q107-2),($L107+1)&amp;"$",OFFSET(AA109,1,0,$Q107-2)))</f>
        <v>0</v>
      </c>
      <c r="AB109" s="223">
        <f ca="1">IF($Q107=2,IF(AND(ACOMPANHAMENTO="PLE",ISNUMBER($E107)),SUMIF((OFFSET(CÁLCULO!$BC$15:$BU$15,$E107,0,OFFSET(ORÇAMENTO!$D$15,CRONO!$E107,0))),"="&amp;CRONO!AB$12,OFFSET(CÁLCULO!$AJ$15:$BB$15,$E107,0,OFFSET(ORÇAMENTO!$D$15,CRONO!$E107,0)))+IF(AND($E109&lt;&gt;"",$E109&lt;&gt;0),SUMIF(CÁLCULO!$BC$15:$BU$727,"="&amp;CRONO!AB$12,CÁLCULO!$AJ$15:$BB$727)/(ORÇAMENTO!$X$15-CÁLCULO.TotalAdmLocal)*CRONO!$E109,0),AB108*$R107),SUMIF(OFFSET($R109,1,0,$Q107-2),($L107+1)&amp;"$",OFFSET(AB109,1,0,$Q107-2)))</f>
        <v>0</v>
      </c>
      <c r="AC109" s="223">
        <f ca="1">IF($Q107=2,IF(AND(ACOMPANHAMENTO="PLE",ISNUMBER($E107)),SUMIF((OFFSET(CÁLCULO!$BC$15:$BU$15,$E107,0,OFFSET(ORÇAMENTO!$D$15,CRONO!$E107,0))),"="&amp;CRONO!AC$12,OFFSET(CÁLCULO!$AJ$15:$BB$15,$E107,0,OFFSET(ORÇAMENTO!$D$15,CRONO!$E107,0)))+IF(AND($E109&lt;&gt;"",$E109&lt;&gt;0),SUMIF(CÁLCULO!$BC$15:$BU$727,"="&amp;CRONO!AC$12,CÁLCULO!$AJ$15:$BB$727)/(ORÇAMENTO!$X$15-CÁLCULO.TotalAdmLocal)*CRONO!$E109,0),AC108*$R107),SUMIF(OFFSET($R109,1,0,$Q107-2),($L107+1)&amp;"$",OFFSET(AC109,1,0,$Q107-2)))</f>
        <v>0</v>
      </c>
      <c r="AD109" s="223">
        <f ca="1">IF($Q107=2,IF(AND(ACOMPANHAMENTO="PLE",ISNUMBER($E107)),SUMIF((OFFSET(CÁLCULO!$BC$15:$BU$15,$E107,0,OFFSET(ORÇAMENTO!$D$15,CRONO!$E107,0))),"="&amp;CRONO!AD$12,OFFSET(CÁLCULO!$AJ$15:$BB$15,$E107,0,OFFSET(ORÇAMENTO!$D$15,CRONO!$E107,0)))+IF(AND($E109&lt;&gt;"",$E109&lt;&gt;0),SUMIF(CÁLCULO!$BC$15:$BU$727,"="&amp;CRONO!AD$12,CÁLCULO!$AJ$15:$BB$727)/(ORÇAMENTO!$X$15-CÁLCULO.TotalAdmLocal)*CRONO!$E109,0),AD108*$R107),SUMIF(OFFSET($R109,1,0,$Q107-2),($L107+1)&amp;"$",OFFSET(AD109,1,0,$Q107-2)))</f>
        <v>0</v>
      </c>
      <c r="AE109" s="228">
        <f ca="1">IF($Q107=2,IF(AND(ACOMPANHAMENTO="PLE",ISNUMBER($E107)),SUMIF((OFFSET(CÁLCULO!$BC$15:$BU$15,$E107,0,OFFSET(ORÇAMENTO!$D$15,CRONO!$E107,0))),"="&amp;CRONO!AE$12,OFFSET(CÁLCULO!$AJ$15:$BB$15,$E107,0,OFFSET(ORÇAMENTO!$D$15,CRONO!$E107,0)))+IF(AND($E109&lt;&gt;"",$E109&lt;&gt;0),SUMIF(CÁLCULO!$BC$15:$BU$727,"="&amp;CRONO!AE$12,CÁLCULO!$AJ$15:$BB$727)/(ORÇAMENTO!$X$15-CÁLCULO.TotalAdmLocal)*CRONO!$E109,0),AE108*$R107),SUMIF(OFFSET($R109,1,0,$Q107-2),($L107+1)&amp;"$",OFFSET(AE109,1,0,$Q107-2)))</f>
        <v>0</v>
      </c>
    </row>
    <row r="110" spans="1:32" x14ac:dyDescent="0.2">
      <c r="A110" s="204">
        <f t="shared" ref="A110" ca="1" si="227">OFFSET(A110,-3,0)+1</f>
        <v>33</v>
      </c>
      <c r="B110" s="204">
        <f ca="1">IF($Q110&lt;&gt;2,0,IF($R110=0,1,IF(E111&gt;0,OFFSET(QCI!$M$13,SUBSTITUTE(E111,".",""),0),OFFSET(ORÇAMENTO!$AA$15,CRONO!$E110,0))/$R110))</f>
        <v>1</v>
      </c>
      <c r="C110" s="204">
        <f ca="1">IF($Q110&lt;&gt;2,0,IF($R110=0,1,IF(E111&gt;0,OFFSET(QCI!$N$13,SUBSTITUTE(E111,".",""),0),OFFSET(ORÇAMENTO!$AB$15,CRONO!$E110,0))/$R110))</f>
        <v>1</v>
      </c>
      <c r="D110" s="207" t="e">
        <f ca="1">IF(AND($Q110=2,ACOMPANHAMENTO="BM"),D111,D112/$R110)</f>
        <v>#DIV/0!</v>
      </c>
      <c r="E110" s="204">
        <f ca="1">IF(A110&lt;=ORÇAMENTO.MáximoListaCrono,MATCH(A110,ORÇAMENTO.ListaCrono,0),NA())</f>
        <v>222</v>
      </c>
      <c r="F110" s="204" t="str">
        <f t="shared" ref="F110" ca="1" si="228">IF(AND($E111&lt;&gt;-1,$R110&gt;0),"F","")</f>
        <v/>
      </c>
      <c r="G110" s="208" t="str">
        <f ca="1">IF(OR(R110=0,R110=""),"Linha",IF(AND(OR(ACOMPANHAMENTO="PLE",$Q110&lt;&gt;2),$E111=0),"Linha",1-SUM(T110:AF110)))</f>
        <v>Linha</v>
      </c>
      <c r="H110" s="209" t="str">
        <f ca="1">IF($E111=0,OFFSET(ORÇAMENTO!O$15,$E110,0),IF($E111&lt;&gt;-1,OFFSET(QCI!$D$13,$E111,0),""))</f>
        <v>1.32.</v>
      </c>
      <c r="I110" s="210" t="str">
        <f ca="1">IF($E111=0,OFFSET(ORÇAMENTO!R$15,$E110,0),IF($E111&lt;&gt;-1,OFFSET(QCI!$G$13,$E111,0),""))</f>
        <v>PINTURAS E ACABAMENTOS - PISO PLAYGROUND</v>
      </c>
      <c r="J110" s="210"/>
      <c r="K110" s="210"/>
      <c r="L110" s="211">
        <f ca="1">IF($E111=0,OFFSET(ORÇAMENTO!C$15,$E110,0),1)</f>
        <v>2</v>
      </c>
      <c r="M110" s="212">
        <f ca="1">IF($E111=-1,0,IF(M$13&lt;=$L110,IF(ISERROR(MATCH(M$13,OFFSET($L110,1,0,ROW($L$260)-ROW($L110)-1),0)),ROW($L$260)-ROW($L110)-1,MATCH(M$13,OFFSET($L110,1,0,ROW($L$260)-ROW($L110)-1),0)-1),0))</f>
        <v>149</v>
      </c>
      <c r="N110" s="212">
        <f ca="1">IF($E111=-1,0,IF(N$13&lt;=$L110,IF(ISERROR(MATCH(N$13,OFFSET($L110,1,0,ROW($L$260)-ROW($L110)-1),0)),ROW($L$260)-ROW($L110)-1,MATCH(N$13,OFFSET($L110,1,0,ROW($L$260)-ROW($L110)-1),0)-1),0))</f>
        <v>2</v>
      </c>
      <c r="O110" s="212">
        <f ca="1">IF($E111=-1,0,IF(O$13&lt;=$L110,IF(ISERROR(MATCH(O$13,OFFSET($L110,1,0,ROW($L$260)-ROW($L110)-1),0)),ROW($L$260)-ROW($L110)-1,MATCH(O$13,OFFSET($L110,1,0,ROW($L$260)-ROW($L110)-1),0)-1),0))</f>
        <v>0</v>
      </c>
      <c r="P110" s="212">
        <f ca="1">IF($E111=-1,0,IF(P$13&lt;=$L110,IF(ISERROR(MATCH(P$13,OFFSET($L110,1,0,ROW($L$260)-ROW($L110)-1),0)),ROW($L$260)-ROW($L110)-1,MATCH(P$13,OFFSET($L110,1,0,ROW($L$260)-ROW($L110)-1),0)-1),0))</f>
        <v>0</v>
      </c>
      <c r="Q110" s="212">
        <f t="shared" ref="Q110" ca="1" si="229">MIN(OFFSET(L110,0,1,,L110))</f>
        <v>2</v>
      </c>
      <c r="R110" s="213">
        <f ca="1">IF($E111=0,OFFSET(ORÇAMENTO!X$15,$E110,0),IF($E111&lt;&gt;-1,OFFSET(QCI!$O$13,$E111,0),""))</f>
        <v>0</v>
      </c>
      <c r="S110" s="214" t="s">
        <v>270</v>
      </c>
      <c r="T110" s="215" t="e">
        <f t="shared" ref="T110:AE110" ca="1" si="230">IF(AND($Q110=2,ACOMPANHAMENTO="BM"),T111,T112/$R110)</f>
        <v>#DIV/0!</v>
      </c>
      <c r="U110" s="207" t="e">
        <f t="shared" ca="1" si="230"/>
        <v>#DIV/0!</v>
      </c>
      <c r="V110" s="207" t="e">
        <f t="shared" ca="1" si="230"/>
        <v>#DIV/0!</v>
      </c>
      <c r="W110" s="207" t="e">
        <f t="shared" ca="1" si="230"/>
        <v>#DIV/0!</v>
      </c>
      <c r="X110" s="207" t="e">
        <f t="shared" ca="1" si="230"/>
        <v>#DIV/0!</v>
      </c>
      <c r="Y110" s="207" t="e">
        <f t="shared" ca="1" si="230"/>
        <v>#DIV/0!</v>
      </c>
      <c r="Z110" s="207" t="e">
        <f t="shared" ca="1" si="230"/>
        <v>#DIV/0!</v>
      </c>
      <c r="AA110" s="207" t="e">
        <f t="shared" ca="1" si="230"/>
        <v>#DIV/0!</v>
      </c>
      <c r="AB110" s="207" t="e">
        <f t="shared" ca="1" si="230"/>
        <v>#DIV/0!</v>
      </c>
      <c r="AC110" s="207" t="e">
        <f t="shared" ca="1" si="230"/>
        <v>#DIV/0!</v>
      </c>
      <c r="AD110" s="207" t="e">
        <f t="shared" ca="1" si="230"/>
        <v>#DIV/0!</v>
      </c>
      <c r="AE110" s="216" t="e">
        <f t="shared" ca="1" si="230"/>
        <v>#DIV/0!</v>
      </c>
    </row>
    <row r="111" spans="1:32" ht="12.75" customHeight="1" x14ac:dyDescent="0.2">
      <c r="D111" s="569"/>
      <c r="E111" s="204">
        <f ca="1">IF(ISERROR(E110),IF(1+COUNTIF($L$13:OFFSET(L110,-1,0),1)&lt;=MAX(QCI!$D$13:$D$24),1+COUNTIF($L$13:OFFSET(L110,-1,0),1),-1),0)</f>
        <v>0</v>
      </c>
      <c r="F111" s="204" t="str">
        <f t="shared" ref="F111" ca="1" si="231">IF(AND($E111&lt;&gt;-1,$R110&gt;0),"F","")</f>
        <v/>
      </c>
      <c r="G111" s="217" t="str">
        <f ca="1">IF(OR(R110=0,R110=""),"vazia",IF(AND(OR(ACOMPANHAMENTO="PLE",$Q110&lt;&gt;2),$E111=0),"calculada","--&gt;"))</f>
        <v>vazia</v>
      </c>
      <c r="H111" s="218"/>
      <c r="I111" s="219" t="str">
        <f t="shared" ref="I111" ca="1" si="232">IF(AND(G110&lt;&gt;0,ISNUMBER(G110)),"PREENCHA ESTA LINHA --&gt;","")</f>
        <v/>
      </c>
      <c r="J111" s="219"/>
      <c r="K111" s="219"/>
      <c r="L111" s="220"/>
      <c r="M111" s="220"/>
      <c r="N111" s="220"/>
      <c r="O111" s="220"/>
      <c r="P111" s="220"/>
      <c r="Q111" s="220"/>
      <c r="R111" s="221"/>
      <c r="S111" s="222"/>
      <c r="T111" s="570"/>
      <c r="U111" s="569"/>
      <c r="V111" s="569"/>
      <c r="W111" s="569"/>
      <c r="X111" s="569"/>
      <c r="Y111" s="569"/>
      <c r="Z111" s="569"/>
      <c r="AA111" s="569"/>
      <c r="AB111" s="569"/>
      <c r="AC111" s="569"/>
      <c r="AD111" s="569"/>
      <c r="AE111" s="571"/>
      <c r="AF111" s="533"/>
    </row>
    <row r="112" spans="1:32" ht="0.2" hidden="1" customHeight="1" x14ac:dyDescent="0.2">
      <c r="D112" s="223">
        <f ca="1">IF($Q110=2,IF(AND(ACOMPANHAMENTO="PLE",ISNUMBER($E110)),SUMIF((OFFSET(CÁLCULO!$BC$15:$BU$15,$E110,0,OFFSET(ORÇAMENTO!$D$15,CRONO!$E110,0))),"="&amp;CRONO!D$12,OFFSET(CÁLCULO!$AJ$15:$BB$15,$E110,0,OFFSET(ORÇAMENTO!$D$15,CRONO!$E110,0)))+IF(AND($E112&lt;&gt;"",$E112&lt;&gt;0),SUMIF(CÁLCULO!$BC$15:$BU$727,"="&amp;CRONO!D$12,CÁLCULO!$AJ$15:$BB$727)/(ORÇAMENTO!$X$15-CÁLCULO.TotalAdmLocal)*CRONO!$E112,0),D111*$R110),SUMIF(OFFSET($R112,1,0,$Q110-2),($L110+1)&amp;"$",OFFSET(D112,1,0,$Q110-2)))</f>
        <v>0</v>
      </c>
      <c r="E112" s="204" t="str">
        <f ca="1">IF(OR($Q110&lt;&gt;2,AUTOEVENTO&lt;&gt;"manual",$E111&gt;0),"",SUMIF(OFFSET(CÁLCULO!$M$15,CRONO!$E110,0,OFFSET(ORÇAMENTO!$D$15,CRONO!$E110,0)),1,OFFSET(ORÇAMENTO!$X$15,CRONO!$E110,0,OFFSET(ORÇAMENTO!$D$15,CRONO!$E110,0))))</f>
        <v/>
      </c>
      <c r="G112" s="224"/>
      <c r="R112" s="225" t="str">
        <f t="shared" ref="R112" ca="1" si="233">L110&amp;"$"</f>
        <v>2$</v>
      </c>
      <c r="S112" s="226"/>
      <c r="T112" s="227">
        <f ca="1">IF($Q110=2,IF(AND(ACOMPANHAMENTO="PLE",ISNUMBER($E110)),SUMIF((OFFSET(CÁLCULO!$BC$15:$BU$15,$E110,0,OFFSET(ORÇAMENTO!$D$15,CRONO!$E110,0))),"&lt;="&amp;CRONO!T$12,OFFSET(CÁLCULO!$AJ$15:$BB$15,$E110,0,OFFSET(ORÇAMENTO!$D$15,CRONO!$E110,0)))+IF(AND($E112&lt;&gt;"",$E112&lt;&gt;0),SUMIF(CÁLCULO!$BC$15:$BU$727,"&lt;="&amp;CRONO!T$12,CÁLCULO!$AJ$15:$BB$727)/(ORÇAMENTO!$X$15-CÁLCULO.TotalAdmLocal)*CRONO!$E112,0),T111*$R110),SUMIF(OFFSET($R112,1,0,$Q110-2),($L110+1)&amp;"$",OFFSET(T112,1,0,$Q110-2)))</f>
        <v>0</v>
      </c>
      <c r="U112" s="223">
        <f ca="1">IF($Q110=2,IF(AND(ACOMPANHAMENTO="PLE",ISNUMBER($E110)),SUMIF((OFFSET(CÁLCULO!$BC$15:$BU$15,$E110,0,OFFSET(ORÇAMENTO!$D$15,CRONO!$E110,0))),"="&amp;CRONO!U$12,OFFSET(CÁLCULO!$AJ$15:$BB$15,$E110,0,OFFSET(ORÇAMENTO!$D$15,CRONO!$E110,0)))+IF(AND($E112&lt;&gt;"",$E112&lt;&gt;0),SUMIF(CÁLCULO!$BC$15:$BU$727,"="&amp;CRONO!U$12,CÁLCULO!$AJ$15:$BB$727)/(ORÇAMENTO!$X$15-CÁLCULO.TotalAdmLocal)*CRONO!$E112,0),U111*$R110),SUMIF(OFFSET($R112,1,0,$Q110-2),($L110+1)&amp;"$",OFFSET(U112,1,0,$Q110-2)))</f>
        <v>0</v>
      </c>
      <c r="V112" s="223">
        <f ca="1">IF($Q110=2,IF(AND(ACOMPANHAMENTO="PLE",ISNUMBER($E110)),SUMIF((OFFSET(CÁLCULO!$BC$15:$BU$15,$E110,0,OFFSET(ORÇAMENTO!$D$15,CRONO!$E110,0))),"="&amp;CRONO!V$12,OFFSET(CÁLCULO!$AJ$15:$BB$15,$E110,0,OFFSET(ORÇAMENTO!$D$15,CRONO!$E110,0)))+IF(AND($E112&lt;&gt;"",$E112&lt;&gt;0),SUMIF(CÁLCULO!$BC$15:$BU$727,"="&amp;CRONO!V$12,CÁLCULO!$AJ$15:$BB$727)/(ORÇAMENTO!$X$15-CÁLCULO.TotalAdmLocal)*CRONO!$E112,0),V111*$R110),SUMIF(OFFSET($R112,1,0,$Q110-2),($L110+1)&amp;"$",OFFSET(V112,1,0,$Q110-2)))</f>
        <v>0</v>
      </c>
      <c r="W112" s="223">
        <f ca="1">IF($Q110=2,IF(AND(ACOMPANHAMENTO="PLE",ISNUMBER($E110)),SUMIF((OFFSET(CÁLCULO!$BC$15:$BU$15,$E110,0,OFFSET(ORÇAMENTO!$D$15,CRONO!$E110,0))),"="&amp;CRONO!W$12,OFFSET(CÁLCULO!$AJ$15:$BB$15,$E110,0,OFFSET(ORÇAMENTO!$D$15,CRONO!$E110,0)))+IF(AND($E112&lt;&gt;"",$E112&lt;&gt;0),SUMIF(CÁLCULO!$BC$15:$BU$727,"="&amp;CRONO!W$12,CÁLCULO!$AJ$15:$BB$727)/(ORÇAMENTO!$X$15-CÁLCULO.TotalAdmLocal)*CRONO!$E112,0),W111*$R110),SUMIF(OFFSET($R112,1,0,$Q110-2),($L110+1)&amp;"$",OFFSET(W112,1,0,$Q110-2)))</f>
        <v>0</v>
      </c>
      <c r="X112" s="223">
        <f ca="1">IF($Q110=2,IF(AND(ACOMPANHAMENTO="PLE",ISNUMBER($E110)),SUMIF((OFFSET(CÁLCULO!$BC$15:$BU$15,$E110,0,OFFSET(ORÇAMENTO!$D$15,CRONO!$E110,0))),"="&amp;CRONO!X$12,OFFSET(CÁLCULO!$AJ$15:$BB$15,$E110,0,OFFSET(ORÇAMENTO!$D$15,CRONO!$E110,0)))+IF(AND($E112&lt;&gt;"",$E112&lt;&gt;0),SUMIF(CÁLCULO!$BC$15:$BU$727,"="&amp;CRONO!X$12,CÁLCULO!$AJ$15:$BB$727)/(ORÇAMENTO!$X$15-CÁLCULO.TotalAdmLocal)*CRONO!$E112,0),X111*$R110),SUMIF(OFFSET($R112,1,0,$Q110-2),($L110+1)&amp;"$",OFFSET(X112,1,0,$Q110-2)))</f>
        <v>0</v>
      </c>
      <c r="Y112" s="223">
        <f ca="1">IF($Q110=2,IF(AND(ACOMPANHAMENTO="PLE",ISNUMBER($E110)),SUMIF((OFFSET(CÁLCULO!$BC$15:$BU$15,$E110,0,OFFSET(ORÇAMENTO!$D$15,CRONO!$E110,0))),"="&amp;CRONO!Y$12,OFFSET(CÁLCULO!$AJ$15:$BB$15,$E110,0,OFFSET(ORÇAMENTO!$D$15,CRONO!$E110,0)))+IF(AND($E112&lt;&gt;"",$E112&lt;&gt;0),SUMIF(CÁLCULO!$BC$15:$BU$727,"="&amp;CRONO!Y$12,CÁLCULO!$AJ$15:$BB$727)/(ORÇAMENTO!$X$15-CÁLCULO.TotalAdmLocal)*CRONO!$E112,0),Y111*$R110),SUMIF(OFFSET($R112,1,0,$Q110-2),($L110+1)&amp;"$",OFFSET(Y112,1,0,$Q110-2)))</f>
        <v>0</v>
      </c>
      <c r="Z112" s="223">
        <f ca="1">IF($Q110=2,IF(AND(ACOMPANHAMENTO="PLE",ISNUMBER($E110)),SUMIF((OFFSET(CÁLCULO!$BC$15:$BU$15,$E110,0,OFFSET(ORÇAMENTO!$D$15,CRONO!$E110,0))),"="&amp;CRONO!Z$12,OFFSET(CÁLCULO!$AJ$15:$BB$15,$E110,0,OFFSET(ORÇAMENTO!$D$15,CRONO!$E110,0)))+IF(AND($E112&lt;&gt;"",$E112&lt;&gt;0),SUMIF(CÁLCULO!$BC$15:$BU$727,"="&amp;CRONO!Z$12,CÁLCULO!$AJ$15:$BB$727)/(ORÇAMENTO!$X$15-CÁLCULO.TotalAdmLocal)*CRONO!$E112,0),Z111*$R110),SUMIF(OFFSET($R112,1,0,$Q110-2),($L110+1)&amp;"$",OFFSET(Z112,1,0,$Q110-2)))</f>
        <v>0</v>
      </c>
      <c r="AA112" s="223">
        <f ca="1">IF($Q110=2,IF(AND(ACOMPANHAMENTO="PLE",ISNUMBER($E110)),SUMIF((OFFSET(CÁLCULO!$BC$15:$BU$15,$E110,0,OFFSET(ORÇAMENTO!$D$15,CRONO!$E110,0))),"="&amp;CRONO!AA$12,OFFSET(CÁLCULO!$AJ$15:$BB$15,$E110,0,OFFSET(ORÇAMENTO!$D$15,CRONO!$E110,0)))+IF(AND($E112&lt;&gt;"",$E112&lt;&gt;0),SUMIF(CÁLCULO!$BC$15:$BU$727,"="&amp;CRONO!AA$12,CÁLCULO!$AJ$15:$BB$727)/(ORÇAMENTO!$X$15-CÁLCULO.TotalAdmLocal)*CRONO!$E112,0),AA111*$R110),SUMIF(OFFSET($R112,1,0,$Q110-2),($L110+1)&amp;"$",OFFSET(AA112,1,0,$Q110-2)))</f>
        <v>0</v>
      </c>
      <c r="AB112" s="223">
        <f ca="1">IF($Q110=2,IF(AND(ACOMPANHAMENTO="PLE",ISNUMBER($E110)),SUMIF((OFFSET(CÁLCULO!$BC$15:$BU$15,$E110,0,OFFSET(ORÇAMENTO!$D$15,CRONO!$E110,0))),"="&amp;CRONO!AB$12,OFFSET(CÁLCULO!$AJ$15:$BB$15,$E110,0,OFFSET(ORÇAMENTO!$D$15,CRONO!$E110,0)))+IF(AND($E112&lt;&gt;"",$E112&lt;&gt;0),SUMIF(CÁLCULO!$BC$15:$BU$727,"="&amp;CRONO!AB$12,CÁLCULO!$AJ$15:$BB$727)/(ORÇAMENTO!$X$15-CÁLCULO.TotalAdmLocal)*CRONO!$E112,0),AB111*$R110),SUMIF(OFFSET($R112,1,0,$Q110-2),($L110+1)&amp;"$",OFFSET(AB112,1,0,$Q110-2)))</f>
        <v>0</v>
      </c>
      <c r="AC112" s="223">
        <f ca="1">IF($Q110=2,IF(AND(ACOMPANHAMENTO="PLE",ISNUMBER($E110)),SUMIF((OFFSET(CÁLCULO!$BC$15:$BU$15,$E110,0,OFFSET(ORÇAMENTO!$D$15,CRONO!$E110,0))),"="&amp;CRONO!AC$12,OFFSET(CÁLCULO!$AJ$15:$BB$15,$E110,0,OFFSET(ORÇAMENTO!$D$15,CRONO!$E110,0)))+IF(AND($E112&lt;&gt;"",$E112&lt;&gt;0),SUMIF(CÁLCULO!$BC$15:$BU$727,"="&amp;CRONO!AC$12,CÁLCULO!$AJ$15:$BB$727)/(ORÇAMENTO!$X$15-CÁLCULO.TotalAdmLocal)*CRONO!$E112,0),AC111*$R110),SUMIF(OFFSET($R112,1,0,$Q110-2),($L110+1)&amp;"$",OFFSET(AC112,1,0,$Q110-2)))</f>
        <v>0</v>
      </c>
      <c r="AD112" s="223">
        <f ca="1">IF($Q110=2,IF(AND(ACOMPANHAMENTO="PLE",ISNUMBER($E110)),SUMIF((OFFSET(CÁLCULO!$BC$15:$BU$15,$E110,0,OFFSET(ORÇAMENTO!$D$15,CRONO!$E110,0))),"="&amp;CRONO!AD$12,OFFSET(CÁLCULO!$AJ$15:$BB$15,$E110,0,OFFSET(ORÇAMENTO!$D$15,CRONO!$E110,0)))+IF(AND($E112&lt;&gt;"",$E112&lt;&gt;0),SUMIF(CÁLCULO!$BC$15:$BU$727,"="&amp;CRONO!AD$12,CÁLCULO!$AJ$15:$BB$727)/(ORÇAMENTO!$X$15-CÁLCULO.TotalAdmLocal)*CRONO!$E112,0),AD111*$R110),SUMIF(OFFSET($R112,1,0,$Q110-2),($L110+1)&amp;"$",OFFSET(AD112,1,0,$Q110-2)))</f>
        <v>0</v>
      </c>
      <c r="AE112" s="228">
        <f ca="1">IF($Q110=2,IF(AND(ACOMPANHAMENTO="PLE",ISNUMBER($E110)),SUMIF((OFFSET(CÁLCULO!$BC$15:$BU$15,$E110,0,OFFSET(ORÇAMENTO!$D$15,CRONO!$E110,0))),"="&amp;CRONO!AE$12,OFFSET(CÁLCULO!$AJ$15:$BB$15,$E110,0,OFFSET(ORÇAMENTO!$D$15,CRONO!$E110,0)))+IF(AND($E112&lt;&gt;"",$E112&lt;&gt;0),SUMIF(CÁLCULO!$BC$15:$BU$727,"="&amp;CRONO!AE$12,CÁLCULO!$AJ$15:$BB$727)/(ORÇAMENTO!$X$15-CÁLCULO.TotalAdmLocal)*CRONO!$E112,0),AE111*$R110),SUMIF(OFFSET($R112,1,0,$Q110-2),($L110+1)&amp;"$",OFFSET(AE112,1,0,$Q110-2)))</f>
        <v>0</v>
      </c>
    </row>
    <row r="113" spans="1:32" x14ac:dyDescent="0.2">
      <c r="A113" s="204">
        <f t="shared" ref="A113" ca="1" si="234">OFFSET(A113,-3,0)+1</f>
        <v>34</v>
      </c>
      <c r="B113" s="204">
        <f ca="1">IF($Q113&lt;&gt;2,0,IF($R113=0,1,IF(E114&gt;0,OFFSET(QCI!$M$13,SUBSTITUTE(E114,".",""),0),OFFSET(ORÇAMENTO!$AA$15,CRONO!$E113,0))/$R113))</f>
        <v>1</v>
      </c>
      <c r="C113" s="204">
        <f ca="1">IF($Q113&lt;&gt;2,0,IF($R113=0,1,IF(E114&gt;0,OFFSET(QCI!$N$13,SUBSTITUTE(E114,".",""),0),OFFSET(ORÇAMENTO!$AB$15,CRONO!$E113,0))/$R113))</f>
        <v>1</v>
      </c>
      <c r="D113" s="207" t="e">
        <f ca="1">IF(AND($Q113=2,ACOMPANHAMENTO="BM"),D114,D115/$R113)</f>
        <v>#DIV/0!</v>
      </c>
      <c r="E113" s="204">
        <f ca="1">IF(A113&lt;=ORÇAMENTO.MáximoListaCrono,MATCH(A113,ORÇAMENTO.ListaCrono,0),NA())</f>
        <v>230</v>
      </c>
      <c r="F113" s="204" t="str">
        <f t="shared" ref="F113" ca="1" si="235">IF(AND($E114&lt;&gt;-1,$R113&gt;0),"F","")</f>
        <v/>
      </c>
      <c r="G113" s="208" t="str">
        <f ca="1">IF(OR(R113=0,R113=""),"Linha",IF(AND(OR(ACOMPANHAMENTO="PLE",$Q113&lt;&gt;2),$E114=0),"Linha",1-SUM(T113:AF113)))</f>
        <v>Linha</v>
      </c>
      <c r="H113" s="209" t="str">
        <f ca="1">IF($E114=0,OFFSET(ORÇAMENTO!O$15,$E113,0),IF($E114&lt;&gt;-1,OFFSET(QCI!$D$13,$E114,0),""))</f>
        <v>1.33.</v>
      </c>
      <c r="I113" s="210" t="str">
        <f ca="1">IF($E114=0,OFFSET(ORÇAMENTO!R$15,$E113,0),IF($E114&lt;&gt;-1,OFFSET(QCI!$G$13,$E114,0),""))</f>
        <v>PINTURAS E ACABAMENTOS - ESTRUTURA METÁLICA</v>
      </c>
      <c r="J113" s="210"/>
      <c r="K113" s="210"/>
      <c r="L113" s="211">
        <f ca="1">IF($E114=0,OFFSET(ORÇAMENTO!C$15,$E113,0),1)</f>
        <v>2</v>
      </c>
      <c r="M113" s="212">
        <f ca="1">IF($E114=-1,0,IF(M$13&lt;=$L113,IF(ISERROR(MATCH(M$13,OFFSET($L113,1,0,ROW($L$260)-ROW($L113)-1),0)),ROW($L$260)-ROW($L113)-1,MATCH(M$13,OFFSET($L113,1,0,ROW($L$260)-ROW($L113)-1),0)-1),0))</f>
        <v>146</v>
      </c>
      <c r="N113" s="212">
        <f ca="1">IF($E114=-1,0,IF(N$13&lt;=$L113,IF(ISERROR(MATCH(N$13,OFFSET($L113,1,0,ROW($L$260)-ROW($L113)-1),0)),ROW($L$260)-ROW($L113)-1,MATCH(N$13,OFFSET($L113,1,0,ROW($L$260)-ROW($L113)-1),0)-1),0))</f>
        <v>2</v>
      </c>
      <c r="O113" s="212">
        <f ca="1">IF($E114=-1,0,IF(O$13&lt;=$L113,IF(ISERROR(MATCH(O$13,OFFSET($L113,1,0,ROW($L$260)-ROW($L113)-1),0)),ROW($L$260)-ROW($L113)-1,MATCH(O$13,OFFSET($L113,1,0,ROW($L$260)-ROW($L113)-1),0)-1),0))</f>
        <v>0</v>
      </c>
      <c r="P113" s="212">
        <f ca="1">IF($E114=-1,0,IF(P$13&lt;=$L113,IF(ISERROR(MATCH(P$13,OFFSET($L113,1,0,ROW($L$260)-ROW($L113)-1),0)),ROW($L$260)-ROW($L113)-1,MATCH(P$13,OFFSET($L113,1,0,ROW($L$260)-ROW($L113)-1),0)-1),0))</f>
        <v>0</v>
      </c>
      <c r="Q113" s="212">
        <f t="shared" ref="Q113" ca="1" si="236">MIN(OFFSET(L113,0,1,,L113))</f>
        <v>2</v>
      </c>
      <c r="R113" s="213">
        <f ca="1">IF($E114=0,OFFSET(ORÇAMENTO!X$15,$E113,0),IF($E114&lt;&gt;-1,OFFSET(QCI!$O$13,$E114,0),""))</f>
        <v>0</v>
      </c>
      <c r="S113" s="214" t="s">
        <v>270</v>
      </c>
      <c r="T113" s="215" t="e">
        <f t="shared" ref="T113:AE113" ca="1" si="237">IF(AND($Q113=2,ACOMPANHAMENTO="BM"),T114,T115/$R113)</f>
        <v>#DIV/0!</v>
      </c>
      <c r="U113" s="207" t="e">
        <f t="shared" ca="1" si="237"/>
        <v>#DIV/0!</v>
      </c>
      <c r="V113" s="207" t="e">
        <f t="shared" ca="1" si="237"/>
        <v>#DIV/0!</v>
      </c>
      <c r="W113" s="207" t="e">
        <f t="shared" ca="1" si="237"/>
        <v>#DIV/0!</v>
      </c>
      <c r="X113" s="207" t="e">
        <f t="shared" ca="1" si="237"/>
        <v>#DIV/0!</v>
      </c>
      <c r="Y113" s="207" t="e">
        <f t="shared" ca="1" si="237"/>
        <v>#DIV/0!</v>
      </c>
      <c r="Z113" s="207" t="e">
        <f t="shared" ca="1" si="237"/>
        <v>#DIV/0!</v>
      </c>
      <c r="AA113" s="207" t="e">
        <f t="shared" ca="1" si="237"/>
        <v>#DIV/0!</v>
      </c>
      <c r="AB113" s="207" t="e">
        <f t="shared" ca="1" si="237"/>
        <v>#DIV/0!</v>
      </c>
      <c r="AC113" s="207" t="e">
        <f t="shared" ca="1" si="237"/>
        <v>#DIV/0!</v>
      </c>
      <c r="AD113" s="207" t="e">
        <f t="shared" ca="1" si="237"/>
        <v>#DIV/0!</v>
      </c>
      <c r="AE113" s="216" t="e">
        <f t="shared" ca="1" si="237"/>
        <v>#DIV/0!</v>
      </c>
    </row>
    <row r="114" spans="1:32" ht="12.75" customHeight="1" x14ac:dyDescent="0.2">
      <c r="D114" s="569"/>
      <c r="E114" s="204">
        <f ca="1">IF(ISERROR(E113),IF(1+COUNTIF($L$13:OFFSET(L113,-1,0),1)&lt;=MAX(QCI!$D$13:$D$24),1+COUNTIF($L$13:OFFSET(L113,-1,0),1),-1),0)</f>
        <v>0</v>
      </c>
      <c r="F114" s="204" t="str">
        <f t="shared" ref="F114" ca="1" si="238">IF(AND($E114&lt;&gt;-1,$R113&gt;0),"F","")</f>
        <v/>
      </c>
      <c r="G114" s="217" t="str">
        <f ca="1">IF(OR(R113=0,R113=""),"vazia",IF(AND(OR(ACOMPANHAMENTO="PLE",$Q113&lt;&gt;2),$E114=0),"calculada","--&gt;"))</f>
        <v>vazia</v>
      </c>
      <c r="H114" s="218"/>
      <c r="I114" s="219" t="str">
        <f t="shared" ref="I114" ca="1" si="239">IF(AND(G113&lt;&gt;0,ISNUMBER(G113)),"PREENCHA ESTA LINHA --&gt;","")</f>
        <v/>
      </c>
      <c r="J114" s="219"/>
      <c r="K114" s="219"/>
      <c r="L114" s="220"/>
      <c r="M114" s="220"/>
      <c r="N114" s="220"/>
      <c r="O114" s="220"/>
      <c r="P114" s="220"/>
      <c r="Q114" s="220"/>
      <c r="R114" s="221"/>
      <c r="S114" s="222"/>
      <c r="T114" s="570"/>
      <c r="U114" s="569"/>
      <c r="V114" s="569"/>
      <c r="W114" s="569"/>
      <c r="X114" s="569"/>
      <c r="Y114" s="569"/>
      <c r="Z114" s="569"/>
      <c r="AA114" s="569"/>
      <c r="AB114" s="569"/>
      <c r="AC114" s="569"/>
      <c r="AD114" s="569"/>
      <c r="AE114" s="571"/>
      <c r="AF114" s="533"/>
    </row>
    <row r="115" spans="1:32" ht="0.2" hidden="1" customHeight="1" x14ac:dyDescent="0.2">
      <c r="D115" s="223">
        <f ca="1">IF($Q113=2,IF(AND(ACOMPANHAMENTO="PLE",ISNUMBER($E113)),SUMIF((OFFSET(CÁLCULO!$BC$15:$BU$15,$E113,0,OFFSET(ORÇAMENTO!$D$15,CRONO!$E113,0))),"="&amp;CRONO!D$12,OFFSET(CÁLCULO!$AJ$15:$BB$15,$E113,0,OFFSET(ORÇAMENTO!$D$15,CRONO!$E113,0)))+IF(AND($E115&lt;&gt;"",$E115&lt;&gt;0),SUMIF(CÁLCULO!$BC$15:$BU$727,"="&amp;CRONO!D$12,CÁLCULO!$AJ$15:$BB$727)/(ORÇAMENTO!$X$15-CÁLCULO.TotalAdmLocal)*CRONO!$E115,0),D114*$R113),SUMIF(OFFSET($R115,1,0,$Q113-2),($L113+1)&amp;"$",OFFSET(D115,1,0,$Q113-2)))</f>
        <v>0</v>
      </c>
      <c r="E115" s="204" t="str">
        <f ca="1">IF(OR($Q113&lt;&gt;2,AUTOEVENTO&lt;&gt;"manual",$E114&gt;0),"",SUMIF(OFFSET(CÁLCULO!$M$15,CRONO!$E113,0,OFFSET(ORÇAMENTO!$D$15,CRONO!$E113,0)),1,OFFSET(ORÇAMENTO!$X$15,CRONO!$E113,0,OFFSET(ORÇAMENTO!$D$15,CRONO!$E113,0))))</f>
        <v/>
      </c>
      <c r="G115" s="224"/>
      <c r="R115" s="225" t="str">
        <f t="shared" ref="R115" ca="1" si="240">L113&amp;"$"</f>
        <v>2$</v>
      </c>
      <c r="S115" s="226"/>
      <c r="T115" s="227">
        <f ca="1">IF($Q113=2,IF(AND(ACOMPANHAMENTO="PLE",ISNUMBER($E113)),SUMIF((OFFSET(CÁLCULO!$BC$15:$BU$15,$E113,0,OFFSET(ORÇAMENTO!$D$15,CRONO!$E113,0))),"&lt;="&amp;CRONO!T$12,OFFSET(CÁLCULO!$AJ$15:$BB$15,$E113,0,OFFSET(ORÇAMENTO!$D$15,CRONO!$E113,0)))+IF(AND($E115&lt;&gt;"",$E115&lt;&gt;0),SUMIF(CÁLCULO!$BC$15:$BU$727,"&lt;="&amp;CRONO!T$12,CÁLCULO!$AJ$15:$BB$727)/(ORÇAMENTO!$X$15-CÁLCULO.TotalAdmLocal)*CRONO!$E115,0),T114*$R113),SUMIF(OFFSET($R115,1,0,$Q113-2),($L113+1)&amp;"$",OFFSET(T115,1,0,$Q113-2)))</f>
        <v>0</v>
      </c>
      <c r="U115" s="223">
        <f ca="1">IF($Q113=2,IF(AND(ACOMPANHAMENTO="PLE",ISNUMBER($E113)),SUMIF((OFFSET(CÁLCULO!$BC$15:$BU$15,$E113,0,OFFSET(ORÇAMENTO!$D$15,CRONO!$E113,0))),"="&amp;CRONO!U$12,OFFSET(CÁLCULO!$AJ$15:$BB$15,$E113,0,OFFSET(ORÇAMENTO!$D$15,CRONO!$E113,0)))+IF(AND($E115&lt;&gt;"",$E115&lt;&gt;0),SUMIF(CÁLCULO!$BC$15:$BU$727,"="&amp;CRONO!U$12,CÁLCULO!$AJ$15:$BB$727)/(ORÇAMENTO!$X$15-CÁLCULO.TotalAdmLocal)*CRONO!$E115,0),U114*$R113),SUMIF(OFFSET($R115,1,0,$Q113-2),($L113+1)&amp;"$",OFFSET(U115,1,0,$Q113-2)))</f>
        <v>0</v>
      </c>
      <c r="V115" s="223">
        <f ca="1">IF($Q113=2,IF(AND(ACOMPANHAMENTO="PLE",ISNUMBER($E113)),SUMIF((OFFSET(CÁLCULO!$BC$15:$BU$15,$E113,0,OFFSET(ORÇAMENTO!$D$15,CRONO!$E113,0))),"="&amp;CRONO!V$12,OFFSET(CÁLCULO!$AJ$15:$BB$15,$E113,0,OFFSET(ORÇAMENTO!$D$15,CRONO!$E113,0)))+IF(AND($E115&lt;&gt;"",$E115&lt;&gt;0),SUMIF(CÁLCULO!$BC$15:$BU$727,"="&amp;CRONO!V$12,CÁLCULO!$AJ$15:$BB$727)/(ORÇAMENTO!$X$15-CÁLCULO.TotalAdmLocal)*CRONO!$E115,0),V114*$R113),SUMIF(OFFSET($R115,1,0,$Q113-2),($L113+1)&amp;"$",OFFSET(V115,1,0,$Q113-2)))</f>
        <v>0</v>
      </c>
      <c r="W115" s="223">
        <f ca="1">IF($Q113=2,IF(AND(ACOMPANHAMENTO="PLE",ISNUMBER($E113)),SUMIF((OFFSET(CÁLCULO!$BC$15:$BU$15,$E113,0,OFFSET(ORÇAMENTO!$D$15,CRONO!$E113,0))),"="&amp;CRONO!W$12,OFFSET(CÁLCULO!$AJ$15:$BB$15,$E113,0,OFFSET(ORÇAMENTO!$D$15,CRONO!$E113,0)))+IF(AND($E115&lt;&gt;"",$E115&lt;&gt;0),SUMIF(CÁLCULO!$BC$15:$BU$727,"="&amp;CRONO!W$12,CÁLCULO!$AJ$15:$BB$727)/(ORÇAMENTO!$X$15-CÁLCULO.TotalAdmLocal)*CRONO!$E115,0),W114*$R113),SUMIF(OFFSET($R115,1,0,$Q113-2),($L113+1)&amp;"$",OFFSET(W115,1,0,$Q113-2)))</f>
        <v>0</v>
      </c>
      <c r="X115" s="223">
        <f ca="1">IF($Q113=2,IF(AND(ACOMPANHAMENTO="PLE",ISNUMBER($E113)),SUMIF((OFFSET(CÁLCULO!$BC$15:$BU$15,$E113,0,OFFSET(ORÇAMENTO!$D$15,CRONO!$E113,0))),"="&amp;CRONO!X$12,OFFSET(CÁLCULO!$AJ$15:$BB$15,$E113,0,OFFSET(ORÇAMENTO!$D$15,CRONO!$E113,0)))+IF(AND($E115&lt;&gt;"",$E115&lt;&gt;0),SUMIF(CÁLCULO!$BC$15:$BU$727,"="&amp;CRONO!X$12,CÁLCULO!$AJ$15:$BB$727)/(ORÇAMENTO!$X$15-CÁLCULO.TotalAdmLocal)*CRONO!$E115,0),X114*$R113),SUMIF(OFFSET($R115,1,0,$Q113-2),($L113+1)&amp;"$",OFFSET(X115,1,0,$Q113-2)))</f>
        <v>0</v>
      </c>
      <c r="Y115" s="223">
        <f ca="1">IF($Q113=2,IF(AND(ACOMPANHAMENTO="PLE",ISNUMBER($E113)),SUMIF((OFFSET(CÁLCULO!$BC$15:$BU$15,$E113,0,OFFSET(ORÇAMENTO!$D$15,CRONO!$E113,0))),"="&amp;CRONO!Y$12,OFFSET(CÁLCULO!$AJ$15:$BB$15,$E113,0,OFFSET(ORÇAMENTO!$D$15,CRONO!$E113,0)))+IF(AND($E115&lt;&gt;"",$E115&lt;&gt;0),SUMIF(CÁLCULO!$BC$15:$BU$727,"="&amp;CRONO!Y$12,CÁLCULO!$AJ$15:$BB$727)/(ORÇAMENTO!$X$15-CÁLCULO.TotalAdmLocal)*CRONO!$E115,0),Y114*$R113),SUMIF(OFFSET($R115,1,0,$Q113-2),($L113+1)&amp;"$",OFFSET(Y115,1,0,$Q113-2)))</f>
        <v>0</v>
      </c>
      <c r="Z115" s="223">
        <f ca="1">IF($Q113=2,IF(AND(ACOMPANHAMENTO="PLE",ISNUMBER($E113)),SUMIF((OFFSET(CÁLCULO!$BC$15:$BU$15,$E113,0,OFFSET(ORÇAMENTO!$D$15,CRONO!$E113,0))),"="&amp;CRONO!Z$12,OFFSET(CÁLCULO!$AJ$15:$BB$15,$E113,0,OFFSET(ORÇAMENTO!$D$15,CRONO!$E113,0)))+IF(AND($E115&lt;&gt;"",$E115&lt;&gt;0),SUMIF(CÁLCULO!$BC$15:$BU$727,"="&amp;CRONO!Z$12,CÁLCULO!$AJ$15:$BB$727)/(ORÇAMENTO!$X$15-CÁLCULO.TotalAdmLocal)*CRONO!$E115,0),Z114*$R113),SUMIF(OFFSET($R115,1,0,$Q113-2),($L113+1)&amp;"$",OFFSET(Z115,1,0,$Q113-2)))</f>
        <v>0</v>
      </c>
      <c r="AA115" s="223">
        <f ca="1">IF($Q113=2,IF(AND(ACOMPANHAMENTO="PLE",ISNUMBER($E113)),SUMIF((OFFSET(CÁLCULO!$BC$15:$BU$15,$E113,0,OFFSET(ORÇAMENTO!$D$15,CRONO!$E113,0))),"="&amp;CRONO!AA$12,OFFSET(CÁLCULO!$AJ$15:$BB$15,$E113,0,OFFSET(ORÇAMENTO!$D$15,CRONO!$E113,0)))+IF(AND($E115&lt;&gt;"",$E115&lt;&gt;0),SUMIF(CÁLCULO!$BC$15:$BU$727,"="&amp;CRONO!AA$12,CÁLCULO!$AJ$15:$BB$727)/(ORÇAMENTO!$X$15-CÁLCULO.TotalAdmLocal)*CRONO!$E115,0),AA114*$R113),SUMIF(OFFSET($R115,1,0,$Q113-2),($L113+1)&amp;"$",OFFSET(AA115,1,0,$Q113-2)))</f>
        <v>0</v>
      </c>
      <c r="AB115" s="223">
        <f ca="1">IF($Q113=2,IF(AND(ACOMPANHAMENTO="PLE",ISNUMBER($E113)),SUMIF((OFFSET(CÁLCULO!$BC$15:$BU$15,$E113,0,OFFSET(ORÇAMENTO!$D$15,CRONO!$E113,0))),"="&amp;CRONO!AB$12,OFFSET(CÁLCULO!$AJ$15:$BB$15,$E113,0,OFFSET(ORÇAMENTO!$D$15,CRONO!$E113,0)))+IF(AND($E115&lt;&gt;"",$E115&lt;&gt;0),SUMIF(CÁLCULO!$BC$15:$BU$727,"="&amp;CRONO!AB$12,CÁLCULO!$AJ$15:$BB$727)/(ORÇAMENTO!$X$15-CÁLCULO.TotalAdmLocal)*CRONO!$E115,0),AB114*$R113),SUMIF(OFFSET($R115,1,0,$Q113-2),($L113+1)&amp;"$",OFFSET(AB115,1,0,$Q113-2)))</f>
        <v>0</v>
      </c>
      <c r="AC115" s="223">
        <f ca="1">IF($Q113=2,IF(AND(ACOMPANHAMENTO="PLE",ISNUMBER($E113)),SUMIF((OFFSET(CÁLCULO!$BC$15:$BU$15,$E113,0,OFFSET(ORÇAMENTO!$D$15,CRONO!$E113,0))),"="&amp;CRONO!AC$12,OFFSET(CÁLCULO!$AJ$15:$BB$15,$E113,0,OFFSET(ORÇAMENTO!$D$15,CRONO!$E113,0)))+IF(AND($E115&lt;&gt;"",$E115&lt;&gt;0),SUMIF(CÁLCULO!$BC$15:$BU$727,"="&amp;CRONO!AC$12,CÁLCULO!$AJ$15:$BB$727)/(ORÇAMENTO!$X$15-CÁLCULO.TotalAdmLocal)*CRONO!$E115,0),AC114*$R113),SUMIF(OFFSET($R115,1,0,$Q113-2),($L113+1)&amp;"$",OFFSET(AC115,1,0,$Q113-2)))</f>
        <v>0</v>
      </c>
      <c r="AD115" s="223">
        <f ca="1">IF($Q113=2,IF(AND(ACOMPANHAMENTO="PLE",ISNUMBER($E113)),SUMIF((OFFSET(CÁLCULO!$BC$15:$BU$15,$E113,0,OFFSET(ORÇAMENTO!$D$15,CRONO!$E113,0))),"="&amp;CRONO!AD$12,OFFSET(CÁLCULO!$AJ$15:$BB$15,$E113,0,OFFSET(ORÇAMENTO!$D$15,CRONO!$E113,0)))+IF(AND($E115&lt;&gt;"",$E115&lt;&gt;0),SUMIF(CÁLCULO!$BC$15:$BU$727,"="&amp;CRONO!AD$12,CÁLCULO!$AJ$15:$BB$727)/(ORÇAMENTO!$X$15-CÁLCULO.TotalAdmLocal)*CRONO!$E115,0),AD114*$R113),SUMIF(OFFSET($R115,1,0,$Q113-2),($L113+1)&amp;"$",OFFSET(AD115,1,0,$Q113-2)))</f>
        <v>0</v>
      </c>
      <c r="AE115" s="228">
        <f ca="1">IF($Q113=2,IF(AND(ACOMPANHAMENTO="PLE",ISNUMBER($E113)),SUMIF((OFFSET(CÁLCULO!$BC$15:$BU$15,$E113,0,OFFSET(ORÇAMENTO!$D$15,CRONO!$E113,0))),"="&amp;CRONO!AE$12,OFFSET(CÁLCULO!$AJ$15:$BB$15,$E113,0,OFFSET(ORÇAMENTO!$D$15,CRONO!$E113,0)))+IF(AND($E115&lt;&gt;"",$E115&lt;&gt;0),SUMIF(CÁLCULO!$BC$15:$BU$727,"="&amp;CRONO!AE$12,CÁLCULO!$AJ$15:$BB$727)/(ORÇAMENTO!$X$15-CÁLCULO.TotalAdmLocal)*CRONO!$E115,0),AE114*$R113),SUMIF(OFFSET($R115,1,0,$Q113-2),($L113+1)&amp;"$",OFFSET(AE115,1,0,$Q113-2)))</f>
        <v>0</v>
      </c>
    </row>
    <row r="116" spans="1:32" x14ac:dyDescent="0.2">
      <c r="A116" s="204">
        <f t="shared" ref="A116" ca="1" si="241">OFFSET(A116,-3,0)+1</f>
        <v>35</v>
      </c>
      <c r="B116" s="204">
        <f ca="1">IF($Q116&lt;&gt;2,0,IF($R116=0,1,IF(E117&gt;0,OFFSET(QCI!$M$13,SUBSTITUTE(E117,".",""),0),OFFSET(ORÇAMENTO!$AA$15,CRONO!$E116,0))/$R116))</f>
        <v>1</v>
      </c>
      <c r="C116" s="204">
        <f ca="1">IF($Q116&lt;&gt;2,0,IF($R116=0,1,IF(E117&gt;0,OFFSET(QCI!$N$13,SUBSTITUTE(E117,".",""),0),OFFSET(ORÇAMENTO!$AB$15,CRONO!$E116,0))/$R116))</f>
        <v>1</v>
      </c>
      <c r="D116" s="207" t="e">
        <f ca="1">IF(AND($Q116=2,ACOMPANHAMENTO="BM"),D117,D118/$R116)</f>
        <v>#DIV/0!</v>
      </c>
      <c r="E116" s="204">
        <f ca="1">IF(A116&lt;=ORÇAMENTO.MáximoListaCrono,MATCH(A116,ORÇAMENTO.ListaCrono,0),NA())</f>
        <v>232</v>
      </c>
      <c r="F116" s="204" t="str">
        <f t="shared" ref="F116" ca="1" si="242">IF(AND($E117&lt;&gt;-1,$R116&gt;0),"F","")</f>
        <v/>
      </c>
      <c r="G116" s="208" t="str">
        <f ca="1">IF(OR(R116=0,R116=""),"Linha",IF(AND(OR(ACOMPANHAMENTO="PLE",$Q116&lt;&gt;2),$E117=0),"Linha",1-SUM(T116:AF116)))</f>
        <v>Linha</v>
      </c>
      <c r="H116" s="209" t="str">
        <f ca="1">IF($E117=0,OFFSET(ORÇAMENTO!O$15,$E116,0),IF($E117&lt;&gt;-1,OFFSET(QCI!$D$13,$E117,0),""))</f>
        <v>1.34.</v>
      </c>
      <c r="I116" s="210" t="str">
        <f ca="1">IF($E117=0,OFFSET(ORÇAMENTO!R$15,$E116,0),IF($E117&lt;&gt;-1,OFFSET(QCI!$G$13,$E117,0),""))</f>
        <v>INSTALAÇÃO HIDRÁULICA - TUBULAÇÕES E CONEXÕES DE PVC RÍGIDO</v>
      </c>
      <c r="J116" s="210"/>
      <c r="K116" s="210"/>
      <c r="L116" s="211">
        <f ca="1">IF($E117=0,OFFSET(ORÇAMENTO!C$15,$E116,0),1)</f>
        <v>2</v>
      </c>
      <c r="M116" s="212">
        <f ca="1">IF($E117=-1,0,IF(M$13&lt;=$L116,IF(ISERROR(MATCH(M$13,OFFSET($L116,1,0,ROW($L$260)-ROW($L116)-1),0)),ROW($L$260)-ROW($L116)-1,MATCH(M$13,OFFSET($L116,1,0,ROW($L$260)-ROW($L116)-1),0)-1),0))</f>
        <v>143</v>
      </c>
      <c r="N116" s="212">
        <f ca="1">IF($E117=-1,0,IF(N$13&lt;=$L116,IF(ISERROR(MATCH(N$13,OFFSET($L116,1,0,ROW($L$260)-ROW($L116)-1),0)),ROW($L$260)-ROW($L116)-1,MATCH(N$13,OFFSET($L116,1,0,ROW($L$260)-ROW($L116)-1),0)-1),0))</f>
        <v>2</v>
      </c>
      <c r="O116" s="212">
        <f ca="1">IF($E117=-1,0,IF(O$13&lt;=$L116,IF(ISERROR(MATCH(O$13,OFFSET($L116,1,0,ROW($L$260)-ROW($L116)-1),0)),ROW($L$260)-ROW($L116)-1,MATCH(O$13,OFFSET($L116,1,0,ROW($L$260)-ROW($L116)-1),0)-1),0))</f>
        <v>0</v>
      </c>
      <c r="P116" s="212">
        <f ca="1">IF($E117=-1,0,IF(P$13&lt;=$L116,IF(ISERROR(MATCH(P$13,OFFSET($L116,1,0,ROW($L$260)-ROW($L116)-1),0)),ROW($L$260)-ROW($L116)-1,MATCH(P$13,OFFSET($L116,1,0,ROW($L$260)-ROW($L116)-1),0)-1),0))</f>
        <v>0</v>
      </c>
      <c r="Q116" s="212">
        <f t="shared" ref="Q116" ca="1" si="243">MIN(OFFSET(L116,0,1,,L116))</f>
        <v>2</v>
      </c>
      <c r="R116" s="213">
        <f ca="1">IF($E117=0,OFFSET(ORÇAMENTO!X$15,$E116,0),IF($E117&lt;&gt;-1,OFFSET(QCI!$O$13,$E117,0),""))</f>
        <v>0</v>
      </c>
      <c r="S116" s="214" t="s">
        <v>270</v>
      </c>
      <c r="T116" s="215" t="e">
        <f t="shared" ref="T116:AE116" ca="1" si="244">IF(AND($Q116=2,ACOMPANHAMENTO="BM"),T117,T118/$R116)</f>
        <v>#DIV/0!</v>
      </c>
      <c r="U116" s="207" t="e">
        <f t="shared" ca="1" si="244"/>
        <v>#DIV/0!</v>
      </c>
      <c r="V116" s="207" t="e">
        <f t="shared" ca="1" si="244"/>
        <v>#DIV/0!</v>
      </c>
      <c r="W116" s="207" t="e">
        <f t="shared" ca="1" si="244"/>
        <v>#DIV/0!</v>
      </c>
      <c r="X116" s="207" t="e">
        <f t="shared" ca="1" si="244"/>
        <v>#DIV/0!</v>
      </c>
      <c r="Y116" s="207" t="e">
        <f t="shared" ca="1" si="244"/>
        <v>#DIV/0!</v>
      </c>
      <c r="Z116" s="207" t="e">
        <f t="shared" ca="1" si="244"/>
        <v>#DIV/0!</v>
      </c>
      <c r="AA116" s="207" t="e">
        <f t="shared" ca="1" si="244"/>
        <v>#DIV/0!</v>
      </c>
      <c r="AB116" s="207" t="e">
        <f t="shared" ca="1" si="244"/>
        <v>#DIV/0!</v>
      </c>
      <c r="AC116" s="207" t="e">
        <f t="shared" ca="1" si="244"/>
        <v>#DIV/0!</v>
      </c>
      <c r="AD116" s="207" t="e">
        <f t="shared" ca="1" si="244"/>
        <v>#DIV/0!</v>
      </c>
      <c r="AE116" s="216" t="e">
        <f t="shared" ca="1" si="244"/>
        <v>#DIV/0!</v>
      </c>
    </row>
    <row r="117" spans="1:32" ht="12.75" customHeight="1" x14ac:dyDescent="0.2">
      <c r="D117" s="569"/>
      <c r="E117" s="204">
        <f ca="1">IF(ISERROR(E116),IF(1+COUNTIF($L$13:OFFSET(L116,-1,0),1)&lt;=MAX(QCI!$D$13:$D$24),1+COUNTIF($L$13:OFFSET(L116,-1,0),1),-1),0)</f>
        <v>0</v>
      </c>
      <c r="F117" s="204" t="str">
        <f t="shared" ref="F117" ca="1" si="245">IF(AND($E117&lt;&gt;-1,$R116&gt;0),"F","")</f>
        <v/>
      </c>
      <c r="G117" s="217" t="str">
        <f ca="1">IF(OR(R116=0,R116=""),"vazia",IF(AND(OR(ACOMPANHAMENTO="PLE",$Q116&lt;&gt;2),$E117=0),"calculada","--&gt;"))</f>
        <v>vazia</v>
      </c>
      <c r="H117" s="218"/>
      <c r="I117" s="219" t="str">
        <f t="shared" ref="I117" ca="1" si="246">IF(AND(G116&lt;&gt;0,ISNUMBER(G116)),"PREENCHA ESTA LINHA --&gt;","")</f>
        <v/>
      </c>
      <c r="J117" s="219"/>
      <c r="K117" s="219"/>
      <c r="L117" s="220"/>
      <c r="M117" s="220"/>
      <c r="N117" s="220"/>
      <c r="O117" s="220"/>
      <c r="P117" s="220"/>
      <c r="Q117" s="220"/>
      <c r="R117" s="221"/>
      <c r="S117" s="222"/>
      <c r="T117" s="570"/>
      <c r="U117" s="569"/>
      <c r="V117" s="569"/>
      <c r="W117" s="569"/>
      <c r="X117" s="569"/>
      <c r="Y117" s="569"/>
      <c r="Z117" s="569"/>
      <c r="AA117" s="569"/>
      <c r="AB117" s="569"/>
      <c r="AC117" s="569"/>
      <c r="AD117" s="569"/>
      <c r="AE117" s="571"/>
      <c r="AF117" s="533"/>
    </row>
    <row r="118" spans="1:32" ht="0.2" hidden="1" customHeight="1" x14ac:dyDescent="0.2">
      <c r="D118" s="223">
        <f ca="1">IF($Q116=2,IF(AND(ACOMPANHAMENTO="PLE",ISNUMBER($E116)),SUMIF((OFFSET(CÁLCULO!$BC$15:$BU$15,$E116,0,OFFSET(ORÇAMENTO!$D$15,CRONO!$E116,0))),"="&amp;CRONO!D$12,OFFSET(CÁLCULO!$AJ$15:$BB$15,$E116,0,OFFSET(ORÇAMENTO!$D$15,CRONO!$E116,0)))+IF(AND($E118&lt;&gt;"",$E118&lt;&gt;0),SUMIF(CÁLCULO!$BC$15:$BU$727,"="&amp;CRONO!D$12,CÁLCULO!$AJ$15:$BB$727)/(ORÇAMENTO!$X$15-CÁLCULO.TotalAdmLocal)*CRONO!$E118,0),D117*$R116),SUMIF(OFFSET($R118,1,0,$Q116-2),($L116+1)&amp;"$",OFFSET(D118,1,0,$Q116-2)))</f>
        <v>0</v>
      </c>
      <c r="E118" s="204" t="str">
        <f ca="1">IF(OR($Q116&lt;&gt;2,AUTOEVENTO&lt;&gt;"manual",$E117&gt;0),"",SUMIF(OFFSET(CÁLCULO!$M$15,CRONO!$E116,0,OFFSET(ORÇAMENTO!$D$15,CRONO!$E116,0)),1,OFFSET(ORÇAMENTO!$X$15,CRONO!$E116,0,OFFSET(ORÇAMENTO!$D$15,CRONO!$E116,0))))</f>
        <v/>
      </c>
      <c r="G118" s="224"/>
      <c r="R118" s="225" t="str">
        <f t="shared" ref="R118" ca="1" si="247">L116&amp;"$"</f>
        <v>2$</v>
      </c>
      <c r="S118" s="226"/>
      <c r="T118" s="227">
        <f ca="1">IF($Q116=2,IF(AND(ACOMPANHAMENTO="PLE",ISNUMBER($E116)),SUMIF((OFFSET(CÁLCULO!$BC$15:$BU$15,$E116,0,OFFSET(ORÇAMENTO!$D$15,CRONO!$E116,0))),"&lt;="&amp;CRONO!T$12,OFFSET(CÁLCULO!$AJ$15:$BB$15,$E116,0,OFFSET(ORÇAMENTO!$D$15,CRONO!$E116,0)))+IF(AND($E118&lt;&gt;"",$E118&lt;&gt;0),SUMIF(CÁLCULO!$BC$15:$BU$727,"&lt;="&amp;CRONO!T$12,CÁLCULO!$AJ$15:$BB$727)/(ORÇAMENTO!$X$15-CÁLCULO.TotalAdmLocal)*CRONO!$E118,0),T117*$R116),SUMIF(OFFSET($R118,1,0,$Q116-2),($L116+1)&amp;"$",OFFSET(T118,1,0,$Q116-2)))</f>
        <v>0</v>
      </c>
      <c r="U118" s="223">
        <f ca="1">IF($Q116=2,IF(AND(ACOMPANHAMENTO="PLE",ISNUMBER($E116)),SUMIF((OFFSET(CÁLCULO!$BC$15:$BU$15,$E116,0,OFFSET(ORÇAMENTO!$D$15,CRONO!$E116,0))),"="&amp;CRONO!U$12,OFFSET(CÁLCULO!$AJ$15:$BB$15,$E116,0,OFFSET(ORÇAMENTO!$D$15,CRONO!$E116,0)))+IF(AND($E118&lt;&gt;"",$E118&lt;&gt;0),SUMIF(CÁLCULO!$BC$15:$BU$727,"="&amp;CRONO!U$12,CÁLCULO!$AJ$15:$BB$727)/(ORÇAMENTO!$X$15-CÁLCULO.TotalAdmLocal)*CRONO!$E118,0),U117*$R116),SUMIF(OFFSET($R118,1,0,$Q116-2),($L116+1)&amp;"$",OFFSET(U118,1,0,$Q116-2)))</f>
        <v>0</v>
      </c>
      <c r="V118" s="223">
        <f ca="1">IF($Q116=2,IF(AND(ACOMPANHAMENTO="PLE",ISNUMBER($E116)),SUMIF((OFFSET(CÁLCULO!$BC$15:$BU$15,$E116,0,OFFSET(ORÇAMENTO!$D$15,CRONO!$E116,0))),"="&amp;CRONO!V$12,OFFSET(CÁLCULO!$AJ$15:$BB$15,$E116,0,OFFSET(ORÇAMENTO!$D$15,CRONO!$E116,0)))+IF(AND($E118&lt;&gt;"",$E118&lt;&gt;0),SUMIF(CÁLCULO!$BC$15:$BU$727,"="&amp;CRONO!V$12,CÁLCULO!$AJ$15:$BB$727)/(ORÇAMENTO!$X$15-CÁLCULO.TotalAdmLocal)*CRONO!$E118,0),V117*$R116),SUMIF(OFFSET($R118,1,0,$Q116-2),($L116+1)&amp;"$",OFFSET(V118,1,0,$Q116-2)))</f>
        <v>0</v>
      </c>
      <c r="W118" s="223">
        <f ca="1">IF($Q116=2,IF(AND(ACOMPANHAMENTO="PLE",ISNUMBER($E116)),SUMIF((OFFSET(CÁLCULO!$BC$15:$BU$15,$E116,0,OFFSET(ORÇAMENTO!$D$15,CRONO!$E116,0))),"="&amp;CRONO!W$12,OFFSET(CÁLCULO!$AJ$15:$BB$15,$E116,0,OFFSET(ORÇAMENTO!$D$15,CRONO!$E116,0)))+IF(AND($E118&lt;&gt;"",$E118&lt;&gt;0),SUMIF(CÁLCULO!$BC$15:$BU$727,"="&amp;CRONO!W$12,CÁLCULO!$AJ$15:$BB$727)/(ORÇAMENTO!$X$15-CÁLCULO.TotalAdmLocal)*CRONO!$E118,0),W117*$R116),SUMIF(OFFSET($R118,1,0,$Q116-2),($L116+1)&amp;"$",OFFSET(W118,1,0,$Q116-2)))</f>
        <v>0</v>
      </c>
      <c r="X118" s="223">
        <f ca="1">IF($Q116=2,IF(AND(ACOMPANHAMENTO="PLE",ISNUMBER($E116)),SUMIF((OFFSET(CÁLCULO!$BC$15:$BU$15,$E116,0,OFFSET(ORÇAMENTO!$D$15,CRONO!$E116,0))),"="&amp;CRONO!X$12,OFFSET(CÁLCULO!$AJ$15:$BB$15,$E116,0,OFFSET(ORÇAMENTO!$D$15,CRONO!$E116,0)))+IF(AND($E118&lt;&gt;"",$E118&lt;&gt;0),SUMIF(CÁLCULO!$BC$15:$BU$727,"="&amp;CRONO!X$12,CÁLCULO!$AJ$15:$BB$727)/(ORÇAMENTO!$X$15-CÁLCULO.TotalAdmLocal)*CRONO!$E118,0),X117*$R116),SUMIF(OFFSET($R118,1,0,$Q116-2),($L116+1)&amp;"$",OFFSET(X118,1,0,$Q116-2)))</f>
        <v>0</v>
      </c>
      <c r="Y118" s="223">
        <f ca="1">IF($Q116=2,IF(AND(ACOMPANHAMENTO="PLE",ISNUMBER($E116)),SUMIF((OFFSET(CÁLCULO!$BC$15:$BU$15,$E116,0,OFFSET(ORÇAMENTO!$D$15,CRONO!$E116,0))),"="&amp;CRONO!Y$12,OFFSET(CÁLCULO!$AJ$15:$BB$15,$E116,0,OFFSET(ORÇAMENTO!$D$15,CRONO!$E116,0)))+IF(AND($E118&lt;&gt;"",$E118&lt;&gt;0),SUMIF(CÁLCULO!$BC$15:$BU$727,"="&amp;CRONO!Y$12,CÁLCULO!$AJ$15:$BB$727)/(ORÇAMENTO!$X$15-CÁLCULO.TotalAdmLocal)*CRONO!$E118,0),Y117*$R116),SUMIF(OFFSET($R118,1,0,$Q116-2),($L116+1)&amp;"$",OFFSET(Y118,1,0,$Q116-2)))</f>
        <v>0</v>
      </c>
      <c r="Z118" s="223">
        <f ca="1">IF($Q116=2,IF(AND(ACOMPANHAMENTO="PLE",ISNUMBER($E116)),SUMIF((OFFSET(CÁLCULO!$BC$15:$BU$15,$E116,0,OFFSET(ORÇAMENTO!$D$15,CRONO!$E116,0))),"="&amp;CRONO!Z$12,OFFSET(CÁLCULO!$AJ$15:$BB$15,$E116,0,OFFSET(ORÇAMENTO!$D$15,CRONO!$E116,0)))+IF(AND($E118&lt;&gt;"",$E118&lt;&gt;0),SUMIF(CÁLCULO!$BC$15:$BU$727,"="&amp;CRONO!Z$12,CÁLCULO!$AJ$15:$BB$727)/(ORÇAMENTO!$X$15-CÁLCULO.TotalAdmLocal)*CRONO!$E118,0),Z117*$R116),SUMIF(OFFSET($R118,1,0,$Q116-2),($L116+1)&amp;"$",OFFSET(Z118,1,0,$Q116-2)))</f>
        <v>0</v>
      </c>
      <c r="AA118" s="223">
        <f ca="1">IF($Q116=2,IF(AND(ACOMPANHAMENTO="PLE",ISNUMBER($E116)),SUMIF((OFFSET(CÁLCULO!$BC$15:$BU$15,$E116,0,OFFSET(ORÇAMENTO!$D$15,CRONO!$E116,0))),"="&amp;CRONO!AA$12,OFFSET(CÁLCULO!$AJ$15:$BB$15,$E116,0,OFFSET(ORÇAMENTO!$D$15,CRONO!$E116,0)))+IF(AND($E118&lt;&gt;"",$E118&lt;&gt;0),SUMIF(CÁLCULO!$BC$15:$BU$727,"="&amp;CRONO!AA$12,CÁLCULO!$AJ$15:$BB$727)/(ORÇAMENTO!$X$15-CÁLCULO.TotalAdmLocal)*CRONO!$E118,0),AA117*$R116),SUMIF(OFFSET($R118,1,0,$Q116-2),($L116+1)&amp;"$",OFFSET(AA118,1,0,$Q116-2)))</f>
        <v>0</v>
      </c>
      <c r="AB118" s="223">
        <f ca="1">IF($Q116=2,IF(AND(ACOMPANHAMENTO="PLE",ISNUMBER($E116)),SUMIF((OFFSET(CÁLCULO!$BC$15:$BU$15,$E116,0,OFFSET(ORÇAMENTO!$D$15,CRONO!$E116,0))),"="&amp;CRONO!AB$12,OFFSET(CÁLCULO!$AJ$15:$BB$15,$E116,0,OFFSET(ORÇAMENTO!$D$15,CRONO!$E116,0)))+IF(AND($E118&lt;&gt;"",$E118&lt;&gt;0),SUMIF(CÁLCULO!$BC$15:$BU$727,"="&amp;CRONO!AB$12,CÁLCULO!$AJ$15:$BB$727)/(ORÇAMENTO!$X$15-CÁLCULO.TotalAdmLocal)*CRONO!$E118,0),AB117*$R116),SUMIF(OFFSET($R118,1,0,$Q116-2),($L116+1)&amp;"$",OFFSET(AB118,1,0,$Q116-2)))</f>
        <v>0</v>
      </c>
      <c r="AC118" s="223">
        <f ca="1">IF($Q116=2,IF(AND(ACOMPANHAMENTO="PLE",ISNUMBER($E116)),SUMIF((OFFSET(CÁLCULO!$BC$15:$BU$15,$E116,0,OFFSET(ORÇAMENTO!$D$15,CRONO!$E116,0))),"="&amp;CRONO!AC$12,OFFSET(CÁLCULO!$AJ$15:$BB$15,$E116,0,OFFSET(ORÇAMENTO!$D$15,CRONO!$E116,0)))+IF(AND($E118&lt;&gt;"",$E118&lt;&gt;0),SUMIF(CÁLCULO!$BC$15:$BU$727,"="&amp;CRONO!AC$12,CÁLCULO!$AJ$15:$BB$727)/(ORÇAMENTO!$X$15-CÁLCULO.TotalAdmLocal)*CRONO!$E118,0),AC117*$R116),SUMIF(OFFSET($R118,1,0,$Q116-2),($L116+1)&amp;"$",OFFSET(AC118,1,0,$Q116-2)))</f>
        <v>0</v>
      </c>
      <c r="AD118" s="223">
        <f ca="1">IF($Q116=2,IF(AND(ACOMPANHAMENTO="PLE",ISNUMBER($E116)),SUMIF((OFFSET(CÁLCULO!$BC$15:$BU$15,$E116,0,OFFSET(ORÇAMENTO!$D$15,CRONO!$E116,0))),"="&amp;CRONO!AD$12,OFFSET(CÁLCULO!$AJ$15:$BB$15,$E116,0,OFFSET(ORÇAMENTO!$D$15,CRONO!$E116,0)))+IF(AND($E118&lt;&gt;"",$E118&lt;&gt;0),SUMIF(CÁLCULO!$BC$15:$BU$727,"="&amp;CRONO!AD$12,CÁLCULO!$AJ$15:$BB$727)/(ORÇAMENTO!$X$15-CÁLCULO.TotalAdmLocal)*CRONO!$E118,0),AD117*$R116),SUMIF(OFFSET($R118,1,0,$Q116-2),($L116+1)&amp;"$",OFFSET(AD118,1,0,$Q116-2)))</f>
        <v>0</v>
      </c>
      <c r="AE118" s="228">
        <f ca="1">IF($Q116=2,IF(AND(ACOMPANHAMENTO="PLE",ISNUMBER($E116)),SUMIF((OFFSET(CÁLCULO!$BC$15:$BU$15,$E116,0,OFFSET(ORÇAMENTO!$D$15,CRONO!$E116,0))),"="&amp;CRONO!AE$12,OFFSET(CÁLCULO!$AJ$15:$BB$15,$E116,0,OFFSET(ORÇAMENTO!$D$15,CRONO!$E116,0)))+IF(AND($E118&lt;&gt;"",$E118&lt;&gt;0),SUMIF(CÁLCULO!$BC$15:$BU$727,"="&amp;CRONO!AE$12,CÁLCULO!$AJ$15:$BB$727)/(ORÇAMENTO!$X$15-CÁLCULO.TotalAdmLocal)*CRONO!$E118,0),AE117*$R116),SUMIF(OFFSET($R118,1,0,$Q116-2),($L116+1)&amp;"$",OFFSET(AE118,1,0,$Q116-2)))</f>
        <v>0</v>
      </c>
    </row>
    <row r="119" spans="1:32" x14ac:dyDescent="0.2">
      <c r="A119" s="204">
        <f t="shared" ref="A119" ca="1" si="248">OFFSET(A119,-3,0)+1</f>
        <v>36</v>
      </c>
      <c r="B119" s="204">
        <f ca="1">IF($Q119&lt;&gt;2,0,IF($R119=0,1,IF(E120&gt;0,OFFSET(QCI!$M$13,SUBSTITUTE(E120,".",""),0),OFFSET(ORÇAMENTO!$AA$15,CRONO!$E119,0))/$R119))</f>
        <v>1</v>
      </c>
      <c r="C119" s="204">
        <f ca="1">IF($Q119&lt;&gt;2,0,IF($R119=0,1,IF(E120&gt;0,OFFSET(QCI!$N$13,SUBSTITUTE(E120,".",""),0),OFFSET(ORÇAMENTO!$AB$15,CRONO!$E119,0))/$R119))</f>
        <v>1</v>
      </c>
      <c r="D119" s="207" t="e">
        <f ca="1">IF(AND($Q119=2,ACOMPANHAMENTO="BM"),D120,D121/$R119)</f>
        <v>#DIV/0!</v>
      </c>
      <c r="E119" s="204">
        <f ca="1">IF(A119&lt;=ORÇAMENTO.MáximoListaCrono,MATCH(A119,ORÇAMENTO.ListaCrono,0),NA())</f>
        <v>270</v>
      </c>
      <c r="F119" s="204" t="str">
        <f t="shared" ref="F119" ca="1" si="249">IF(AND($E120&lt;&gt;-1,$R119&gt;0),"F","")</f>
        <v/>
      </c>
      <c r="G119" s="208" t="str">
        <f ca="1">IF(OR(R119=0,R119=""),"Linha",IF(AND(OR(ACOMPANHAMENTO="PLE",$Q119&lt;&gt;2),$E120=0),"Linha",1-SUM(T119:AF119)))</f>
        <v>Linha</v>
      </c>
      <c r="H119" s="209" t="str">
        <f ca="1">IF($E120=0,OFFSET(ORÇAMENTO!O$15,$E119,0),IF($E120&lt;&gt;-1,OFFSET(QCI!$D$13,$E120,0),""))</f>
        <v>1.35.</v>
      </c>
      <c r="I119" s="210" t="str">
        <f ca="1">IF($E120=0,OFFSET(ORÇAMENTO!R$15,$E119,0),IF($E120&lt;&gt;-1,OFFSET(QCI!$G$13,$E120,0),""))</f>
        <v>INSTALAÇÃO HIDRÁULICA - TUBULAÇÕES E CONEXÕES DE METAL</v>
      </c>
      <c r="J119" s="210"/>
      <c r="K119" s="210"/>
      <c r="L119" s="211">
        <f ca="1">IF($E120=0,OFFSET(ORÇAMENTO!C$15,$E119,0),1)</f>
        <v>2</v>
      </c>
      <c r="M119" s="212">
        <f ca="1">IF($E120=-1,0,IF(M$13&lt;=$L119,IF(ISERROR(MATCH(M$13,OFFSET($L119,1,0,ROW($L$260)-ROW($L119)-1),0)),ROW($L$260)-ROW($L119)-1,MATCH(M$13,OFFSET($L119,1,0,ROW($L$260)-ROW($L119)-1),0)-1),0))</f>
        <v>140</v>
      </c>
      <c r="N119" s="212">
        <f ca="1">IF($E120=-1,0,IF(N$13&lt;=$L119,IF(ISERROR(MATCH(N$13,OFFSET($L119,1,0,ROW($L$260)-ROW($L119)-1),0)),ROW($L$260)-ROW($L119)-1,MATCH(N$13,OFFSET($L119,1,0,ROW($L$260)-ROW($L119)-1),0)-1),0))</f>
        <v>2</v>
      </c>
      <c r="O119" s="212">
        <f ca="1">IF($E120=-1,0,IF(O$13&lt;=$L119,IF(ISERROR(MATCH(O$13,OFFSET($L119,1,0,ROW($L$260)-ROW($L119)-1),0)),ROW($L$260)-ROW($L119)-1,MATCH(O$13,OFFSET($L119,1,0,ROW($L$260)-ROW($L119)-1),0)-1),0))</f>
        <v>0</v>
      </c>
      <c r="P119" s="212">
        <f ca="1">IF($E120=-1,0,IF(P$13&lt;=$L119,IF(ISERROR(MATCH(P$13,OFFSET($L119,1,0,ROW($L$260)-ROW($L119)-1),0)),ROW($L$260)-ROW($L119)-1,MATCH(P$13,OFFSET($L119,1,0,ROW($L$260)-ROW($L119)-1),0)-1),0))</f>
        <v>0</v>
      </c>
      <c r="Q119" s="212">
        <f t="shared" ref="Q119" ca="1" si="250">MIN(OFFSET(L119,0,1,,L119))</f>
        <v>2</v>
      </c>
      <c r="R119" s="213">
        <f ca="1">IF($E120=0,OFFSET(ORÇAMENTO!X$15,$E119,0),IF($E120&lt;&gt;-1,OFFSET(QCI!$O$13,$E120,0),""))</f>
        <v>0</v>
      </c>
      <c r="S119" s="214" t="s">
        <v>270</v>
      </c>
      <c r="T119" s="215" t="e">
        <f t="shared" ref="T119:AE119" ca="1" si="251">IF(AND($Q119=2,ACOMPANHAMENTO="BM"),T120,T121/$R119)</f>
        <v>#DIV/0!</v>
      </c>
      <c r="U119" s="207" t="e">
        <f t="shared" ca="1" si="251"/>
        <v>#DIV/0!</v>
      </c>
      <c r="V119" s="207" t="e">
        <f t="shared" ca="1" si="251"/>
        <v>#DIV/0!</v>
      </c>
      <c r="W119" s="207" t="e">
        <f t="shared" ca="1" si="251"/>
        <v>#DIV/0!</v>
      </c>
      <c r="X119" s="207" t="e">
        <f t="shared" ca="1" si="251"/>
        <v>#DIV/0!</v>
      </c>
      <c r="Y119" s="207" t="e">
        <f t="shared" ca="1" si="251"/>
        <v>#DIV/0!</v>
      </c>
      <c r="Z119" s="207" t="e">
        <f t="shared" ca="1" si="251"/>
        <v>#DIV/0!</v>
      </c>
      <c r="AA119" s="207" t="e">
        <f t="shared" ca="1" si="251"/>
        <v>#DIV/0!</v>
      </c>
      <c r="AB119" s="207" t="e">
        <f t="shared" ca="1" si="251"/>
        <v>#DIV/0!</v>
      </c>
      <c r="AC119" s="207" t="e">
        <f t="shared" ca="1" si="251"/>
        <v>#DIV/0!</v>
      </c>
      <c r="AD119" s="207" t="e">
        <f t="shared" ca="1" si="251"/>
        <v>#DIV/0!</v>
      </c>
      <c r="AE119" s="216" t="e">
        <f t="shared" ca="1" si="251"/>
        <v>#DIV/0!</v>
      </c>
    </row>
    <row r="120" spans="1:32" ht="12.75" customHeight="1" x14ac:dyDescent="0.2">
      <c r="D120" s="569"/>
      <c r="E120" s="204">
        <f ca="1">IF(ISERROR(E119),IF(1+COUNTIF($L$13:OFFSET(L119,-1,0),1)&lt;=MAX(QCI!$D$13:$D$24),1+COUNTIF($L$13:OFFSET(L119,-1,0),1),-1),0)</f>
        <v>0</v>
      </c>
      <c r="F120" s="204" t="str">
        <f t="shared" ref="F120" ca="1" si="252">IF(AND($E120&lt;&gt;-1,$R119&gt;0),"F","")</f>
        <v/>
      </c>
      <c r="G120" s="217" t="str">
        <f ca="1">IF(OR(R119=0,R119=""),"vazia",IF(AND(OR(ACOMPANHAMENTO="PLE",$Q119&lt;&gt;2),$E120=0),"calculada","--&gt;"))</f>
        <v>vazia</v>
      </c>
      <c r="H120" s="218"/>
      <c r="I120" s="219" t="str">
        <f t="shared" ref="I120" ca="1" si="253">IF(AND(G119&lt;&gt;0,ISNUMBER(G119)),"PREENCHA ESTA LINHA --&gt;","")</f>
        <v/>
      </c>
      <c r="J120" s="219"/>
      <c r="K120" s="219"/>
      <c r="L120" s="220"/>
      <c r="M120" s="220"/>
      <c r="N120" s="220"/>
      <c r="O120" s="220"/>
      <c r="P120" s="220"/>
      <c r="Q120" s="220"/>
      <c r="R120" s="221"/>
      <c r="S120" s="222"/>
      <c r="T120" s="570"/>
      <c r="U120" s="569"/>
      <c r="V120" s="569"/>
      <c r="W120" s="569"/>
      <c r="X120" s="569"/>
      <c r="Y120" s="569"/>
      <c r="Z120" s="569"/>
      <c r="AA120" s="569"/>
      <c r="AB120" s="569"/>
      <c r="AC120" s="569"/>
      <c r="AD120" s="569"/>
      <c r="AE120" s="571"/>
      <c r="AF120" s="533"/>
    </row>
    <row r="121" spans="1:32" ht="0.2" hidden="1" customHeight="1" x14ac:dyDescent="0.2">
      <c r="D121" s="223">
        <f ca="1">IF($Q119=2,IF(AND(ACOMPANHAMENTO="PLE",ISNUMBER($E119)),SUMIF((OFFSET(CÁLCULO!$BC$15:$BU$15,$E119,0,OFFSET(ORÇAMENTO!$D$15,CRONO!$E119,0))),"="&amp;CRONO!D$12,OFFSET(CÁLCULO!$AJ$15:$BB$15,$E119,0,OFFSET(ORÇAMENTO!$D$15,CRONO!$E119,0)))+IF(AND($E121&lt;&gt;"",$E121&lt;&gt;0),SUMIF(CÁLCULO!$BC$15:$BU$727,"="&amp;CRONO!D$12,CÁLCULO!$AJ$15:$BB$727)/(ORÇAMENTO!$X$15-CÁLCULO.TotalAdmLocal)*CRONO!$E121,0),D120*$R119),SUMIF(OFFSET($R121,1,0,$Q119-2),($L119+1)&amp;"$",OFFSET(D121,1,0,$Q119-2)))</f>
        <v>0</v>
      </c>
      <c r="E121" s="204" t="str">
        <f ca="1">IF(OR($Q119&lt;&gt;2,AUTOEVENTO&lt;&gt;"manual",$E120&gt;0),"",SUMIF(OFFSET(CÁLCULO!$M$15,CRONO!$E119,0,OFFSET(ORÇAMENTO!$D$15,CRONO!$E119,0)),1,OFFSET(ORÇAMENTO!$X$15,CRONO!$E119,0,OFFSET(ORÇAMENTO!$D$15,CRONO!$E119,0))))</f>
        <v/>
      </c>
      <c r="G121" s="224"/>
      <c r="R121" s="225" t="str">
        <f t="shared" ref="R121" ca="1" si="254">L119&amp;"$"</f>
        <v>2$</v>
      </c>
      <c r="S121" s="226"/>
      <c r="T121" s="227">
        <f ca="1">IF($Q119=2,IF(AND(ACOMPANHAMENTO="PLE",ISNUMBER($E119)),SUMIF((OFFSET(CÁLCULO!$BC$15:$BU$15,$E119,0,OFFSET(ORÇAMENTO!$D$15,CRONO!$E119,0))),"&lt;="&amp;CRONO!T$12,OFFSET(CÁLCULO!$AJ$15:$BB$15,$E119,0,OFFSET(ORÇAMENTO!$D$15,CRONO!$E119,0)))+IF(AND($E121&lt;&gt;"",$E121&lt;&gt;0),SUMIF(CÁLCULO!$BC$15:$BU$727,"&lt;="&amp;CRONO!T$12,CÁLCULO!$AJ$15:$BB$727)/(ORÇAMENTO!$X$15-CÁLCULO.TotalAdmLocal)*CRONO!$E121,0),T120*$R119),SUMIF(OFFSET($R121,1,0,$Q119-2),($L119+1)&amp;"$",OFFSET(T121,1,0,$Q119-2)))</f>
        <v>0</v>
      </c>
      <c r="U121" s="223">
        <f ca="1">IF($Q119=2,IF(AND(ACOMPANHAMENTO="PLE",ISNUMBER($E119)),SUMIF((OFFSET(CÁLCULO!$BC$15:$BU$15,$E119,0,OFFSET(ORÇAMENTO!$D$15,CRONO!$E119,0))),"="&amp;CRONO!U$12,OFFSET(CÁLCULO!$AJ$15:$BB$15,$E119,0,OFFSET(ORÇAMENTO!$D$15,CRONO!$E119,0)))+IF(AND($E121&lt;&gt;"",$E121&lt;&gt;0),SUMIF(CÁLCULO!$BC$15:$BU$727,"="&amp;CRONO!U$12,CÁLCULO!$AJ$15:$BB$727)/(ORÇAMENTO!$X$15-CÁLCULO.TotalAdmLocal)*CRONO!$E121,0),U120*$R119),SUMIF(OFFSET($R121,1,0,$Q119-2),($L119+1)&amp;"$",OFFSET(U121,1,0,$Q119-2)))</f>
        <v>0</v>
      </c>
      <c r="V121" s="223">
        <f ca="1">IF($Q119=2,IF(AND(ACOMPANHAMENTO="PLE",ISNUMBER($E119)),SUMIF((OFFSET(CÁLCULO!$BC$15:$BU$15,$E119,0,OFFSET(ORÇAMENTO!$D$15,CRONO!$E119,0))),"="&amp;CRONO!V$12,OFFSET(CÁLCULO!$AJ$15:$BB$15,$E119,0,OFFSET(ORÇAMENTO!$D$15,CRONO!$E119,0)))+IF(AND($E121&lt;&gt;"",$E121&lt;&gt;0),SUMIF(CÁLCULO!$BC$15:$BU$727,"="&amp;CRONO!V$12,CÁLCULO!$AJ$15:$BB$727)/(ORÇAMENTO!$X$15-CÁLCULO.TotalAdmLocal)*CRONO!$E121,0),V120*$R119),SUMIF(OFFSET($R121,1,0,$Q119-2),($L119+1)&amp;"$",OFFSET(V121,1,0,$Q119-2)))</f>
        <v>0</v>
      </c>
      <c r="W121" s="223">
        <f ca="1">IF($Q119=2,IF(AND(ACOMPANHAMENTO="PLE",ISNUMBER($E119)),SUMIF((OFFSET(CÁLCULO!$BC$15:$BU$15,$E119,0,OFFSET(ORÇAMENTO!$D$15,CRONO!$E119,0))),"="&amp;CRONO!W$12,OFFSET(CÁLCULO!$AJ$15:$BB$15,$E119,0,OFFSET(ORÇAMENTO!$D$15,CRONO!$E119,0)))+IF(AND($E121&lt;&gt;"",$E121&lt;&gt;0),SUMIF(CÁLCULO!$BC$15:$BU$727,"="&amp;CRONO!W$12,CÁLCULO!$AJ$15:$BB$727)/(ORÇAMENTO!$X$15-CÁLCULO.TotalAdmLocal)*CRONO!$E121,0),W120*$R119),SUMIF(OFFSET($R121,1,0,$Q119-2),($L119+1)&amp;"$",OFFSET(W121,1,0,$Q119-2)))</f>
        <v>0</v>
      </c>
      <c r="X121" s="223">
        <f ca="1">IF($Q119=2,IF(AND(ACOMPANHAMENTO="PLE",ISNUMBER($E119)),SUMIF((OFFSET(CÁLCULO!$BC$15:$BU$15,$E119,0,OFFSET(ORÇAMENTO!$D$15,CRONO!$E119,0))),"="&amp;CRONO!X$12,OFFSET(CÁLCULO!$AJ$15:$BB$15,$E119,0,OFFSET(ORÇAMENTO!$D$15,CRONO!$E119,0)))+IF(AND($E121&lt;&gt;"",$E121&lt;&gt;0),SUMIF(CÁLCULO!$BC$15:$BU$727,"="&amp;CRONO!X$12,CÁLCULO!$AJ$15:$BB$727)/(ORÇAMENTO!$X$15-CÁLCULO.TotalAdmLocal)*CRONO!$E121,0),X120*$R119),SUMIF(OFFSET($R121,1,0,$Q119-2),($L119+1)&amp;"$",OFFSET(X121,1,0,$Q119-2)))</f>
        <v>0</v>
      </c>
      <c r="Y121" s="223">
        <f ca="1">IF($Q119=2,IF(AND(ACOMPANHAMENTO="PLE",ISNUMBER($E119)),SUMIF((OFFSET(CÁLCULO!$BC$15:$BU$15,$E119,0,OFFSET(ORÇAMENTO!$D$15,CRONO!$E119,0))),"="&amp;CRONO!Y$12,OFFSET(CÁLCULO!$AJ$15:$BB$15,$E119,0,OFFSET(ORÇAMENTO!$D$15,CRONO!$E119,0)))+IF(AND($E121&lt;&gt;"",$E121&lt;&gt;0),SUMIF(CÁLCULO!$BC$15:$BU$727,"="&amp;CRONO!Y$12,CÁLCULO!$AJ$15:$BB$727)/(ORÇAMENTO!$X$15-CÁLCULO.TotalAdmLocal)*CRONO!$E121,0),Y120*$R119),SUMIF(OFFSET($R121,1,0,$Q119-2),($L119+1)&amp;"$",OFFSET(Y121,1,0,$Q119-2)))</f>
        <v>0</v>
      </c>
      <c r="Z121" s="223">
        <f ca="1">IF($Q119=2,IF(AND(ACOMPANHAMENTO="PLE",ISNUMBER($E119)),SUMIF((OFFSET(CÁLCULO!$BC$15:$BU$15,$E119,0,OFFSET(ORÇAMENTO!$D$15,CRONO!$E119,0))),"="&amp;CRONO!Z$12,OFFSET(CÁLCULO!$AJ$15:$BB$15,$E119,0,OFFSET(ORÇAMENTO!$D$15,CRONO!$E119,0)))+IF(AND($E121&lt;&gt;"",$E121&lt;&gt;0),SUMIF(CÁLCULO!$BC$15:$BU$727,"="&amp;CRONO!Z$12,CÁLCULO!$AJ$15:$BB$727)/(ORÇAMENTO!$X$15-CÁLCULO.TotalAdmLocal)*CRONO!$E121,0),Z120*$R119),SUMIF(OFFSET($R121,1,0,$Q119-2),($L119+1)&amp;"$",OFFSET(Z121,1,0,$Q119-2)))</f>
        <v>0</v>
      </c>
      <c r="AA121" s="223">
        <f ca="1">IF($Q119=2,IF(AND(ACOMPANHAMENTO="PLE",ISNUMBER($E119)),SUMIF((OFFSET(CÁLCULO!$BC$15:$BU$15,$E119,0,OFFSET(ORÇAMENTO!$D$15,CRONO!$E119,0))),"="&amp;CRONO!AA$12,OFFSET(CÁLCULO!$AJ$15:$BB$15,$E119,0,OFFSET(ORÇAMENTO!$D$15,CRONO!$E119,0)))+IF(AND($E121&lt;&gt;"",$E121&lt;&gt;0),SUMIF(CÁLCULO!$BC$15:$BU$727,"="&amp;CRONO!AA$12,CÁLCULO!$AJ$15:$BB$727)/(ORÇAMENTO!$X$15-CÁLCULO.TotalAdmLocal)*CRONO!$E121,0),AA120*$R119),SUMIF(OFFSET($R121,1,0,$Q119-2),($L119+1)&amp;"$",OFFSET(AA121,1,0,$Q119-2)))</f>
        <v>0</v>
      </c>
      <c r="AB121" s="223">
        <f ca="1">IF($Q119=2,IF(AND(ACOMPANHAMENTO="PLE",ISNUMBER($E119)),SUMIF((OFFSET(CÁLCULO!$BC$15:$BU$15,$E119,0,OFFSET(ORÇAMENTO!$D$15,CRONO!$E119,0))),"="&amp;CRONO!AB$12,OFFSET(CÁLCULO!$AJ$15:$BB$15,$E119,0,OFFSET(ORÇAMENTO!$D$15,CRONO!$E119,0)))+IF(AND($E121&lt;&gt;"",$E121&lt;&gt;0),SUMIF(CÁLCULO!$BC$15:$BU$727,"="&amp;CRONO!AB$12,CÁLCULO!$AJ$15:$BB$727)/(ORÇAMENTO!$X$15-CÁLCULO.TotalAdmLocal)*CRONO!$E121,0),AB120*$R119),SUMIF(OFFSET($R121,1,0,$Q119-2),($L119+1)&amp;"$",OFFSET(AB121,1,0,$Q119-2)))</f>
        <v>0</v>
      </c>
      <c r="AC121" s="223">
        <f ca="1">IF($Q119=2,IF(AND(ACOMPANHAMENTO="PLE",ISNUMBER($E119)),SUMIF((OFFSET(CÁLCULO!$BC$15:$BU$15,$E119,0,OFFSET(ORÇAMENTO!$D$15,CRONO!$E119,0))),"="&amp;CRONO!AC$12,OFFSET(CÁLCULO!$AJ$15:$BB$15,$E119,0,OFFSET(ORÇAMENTO!$D$15,CRONO!$E119,0)))+IF(AND($E121&lt;&gt;"",$E121&lt;&gt;0),SUMIF(CÁLCULO!$BC$15:$BU$727,"="&amp;CRONO!AC$12,CÁLCULO!$AJ$15:$BB$727)/(ORÇAMENTO!$X$15-CÁLCULO.TotalAdmLocal)*CRONO!$E121,0),AC120*$R119),SUMIF(OFFSET($R121,1,0,$Q119-2),($L119+1)&amp;"$",OFFSET(AC121,1,0,$Q119-2)))</f>
        <v>0</v>
      </c>
      <c r="AD121" s="223">
        <f ca="1">IF($Q119=2,IF(AND(ACOMPANHAMENTO="PLE",ISNUMBER($E119)),SUMIF((OFFSET(CÁLCULO!$BC$15:$BU$15,$E119,0,OFFSET(ORÇAMENTO!$D$15,CRONO!$E119,0))),"="&amp;CRONO!AD$12,OFFSET(CÁLCULO!$AJ$15:$BB$15,$E119,0,OFFSET(ORÇAMENTO!$D$15,CRONO!$E119,0)))+IF(AND($E121&lt;&gt;"",$E121&lt;&gt;0),SUMIF(CÁLCULO!$BC$15:$BU$727,"="&amp;CRONO!AD$12,CÁLCULO!$AJ$15:$BB$727)/(ORÇAMENTO!$X$15-CÁLCULO.TotalAdmLocal)*CRONO!$E121,0),AD120*$R119),SUMIF(OFFSET($R121,1,0,$Q119-2),($L119+1)&amp;"$",OFFSET(AD121,1,0,$Q119-2)))</f>
        <v>0</v>
      </c>
      <c r="AE121" s="228">
        <f ca="1">IF($Q119=2,IF(AND(ACOMPANHAMENTO="PLE",ISNUMBER($E119)),SUMIF((OFFSET(CÁLCULO!$BC$15:$BU$15,$E119,0,OFFSET(ORÇAMENTO!$D$15,CRONO!$E119,0))),"="&amp;CRONO!AE$12,OFFSET(CÁLCULO!$AJ$15:$BB$15,$E119,0,OFFSET(ORÇAMENTO!$D$15,CRONO!$E119,0)))+IF(AND($E121&lt;&gt;"",$E121&lt;&gt;0),SUMIF(CÁLCULO!$BC$15:$BU$727,"="&amp;CRONO!AE$12,CÁLCULO!$AJ$15:$BB$727)/(ORÇAMENTO!$X$15-CÁLCULO.TotalAdmLocal)*CRONO!$E121,0),AE120*$R119),SUMIF(OFFSET($R121,1,0,$Q119-2),($L119+1)&amp;"$",OFFSET(AE121,1,0,$Q119-2)))</f>
        <v>0</v>
      </c>
    </row>
    <row r="122" spans="1:32" x14ac:dyDescent="0.2">
      <c r="A122" s="204">
        <f t="shared" ref="A122" ca="1" si="255">OFFSET(A122,-3,0)+1</f>
        <v>37</v>
      </c>
      <c r="B122" s="204">
        <f ca="1">IF($Q122&lt;&gt;2,0,IF($R122=0,1,IF(E123&gt;0,OFFSET(QCI!$M$13,SUBSTITUTE(E123,".",""),0),OFFSET(ORÇAMENTO!$AA$15,CRONO!$E122,0))/$R122))</f>
        <v>1</v>
      </c>
      <c r="C122" s="204">
        <f ca="1">IF($Q122&lt;&gt;2,0,IF($R122=0,1,IF(E123&gt;0,OFFSET(QCI!$N$13,SUBSTITUTE(E123,".",""),0),OFFSET(ORÇAMENTO!$AB$15,CRONO!$E122,0))/$R122))</f>
        <v>1</v>
      </c>
      <c r="D122" s="207" t="e">
        <f ca="1">IF(AND($Q122=2,ACOMPANHAMENTO="BM"),D123,D124/$R122)</f>
        <v>#DIV/0!</v>
      </c>
      <c r="E122" s="204">
        <f ca="1">IF(A122&lt;=ORÇAMENTO.MáximoListaCrono,MATCH(A122,ORÇAMENTO.ListaCrono,0),NA())</f>
        <v>278</v>
      </c>
      <c r="F122" s="204" t="str">
        <f t="shared" ref="F122" ca="1" si="256">IF(AND($E123&lt;&gt;-1,$R122&gt;0),"F","")</f>
        <v/>
      </c>
      <c r="G122" s="208" t="str">
        <f ca="1">IF(OR(R122=0,R122=""),"Linha",IF(AND(OR(ACOMPANHAMENTO="PLE",$Q122&lt;&gt;2),$E123=0),"Linha",1-SUM(T122:AF122)))</f>
        <v>Linha</v>
      </c>
      <c r="H122" s="209" t="str">
        <f ca="1">IF($E123=0,OFFSET(ORÇAMENTO!O$15,$E122,0),IF($E123&lt;&gt;-1,OFFSET(QCI!$D$13,$E123,0),""))</f>
        <v>1.36.</v>
      </c>
      <c r="I122" s="210" t="str">
        <f ca="1">IF($E123=0,OFFSET(ORÇAMENTO!R$15,$E122,0),IF($E123&lt;&gt;-1,OFFSET(QCI!$G$13,$E123,0),""))</f>
        <v>INSTALAÇÃO HIDRÁULICA - RESERVATÓRIO 30.000 L</v>
      </c>
      <c r="J122" s="210"/>
      <c r="K122" s="210"/>
      <c r="L122" s="211">
        <f ca="1">IF($E123=0,OFFSET(ORÇAMENTO!C$15,$E122,0),1)</f>
        <v>2</v>
      </c>
      <c r="M122" s="212">
        <f ca="1">IF($E123=-1,0,IF(M$13&lt;=$L122,IF(ISERROR(MATCH(M$13,OFFSET($L122,1,0,ROW($L$260)-ROW($L122)-1),0)),ROW($L$260)-ROW($L122)-1,MATCH(M$13,OFFSET($L122,1,0,ROW($L$260)-ROW($L122)-1),0)-1),0))</f>
        <v>137</v>
      </c>
      <c r="N122" s="212">
        <f ca="1">IF($E123=-1,0,IF(N$13&lt;=$L122,IF(ISERROR(MATCH(N$13,OFFSET($L122,1,0,ROW($L$260)-ROW($L122)-1),0)),ROW($L$260)-ROW($L122)-1,MATCH(N$13,OFFSET($L122,1,0,ROW($L$260)-ROW($L122)-1),0)-1),0))</f>
        <v>2</v>
      </c>
      <c r="O122" s="212">
        <f ca="1">IF($E123=-1,0,IF(O$13&lt;=$L122,IF(ISERROR(MATCH(O$13,OFFSET($L122,1,0,ROW($L$260)-ROW($L122)-1),0)),ROW($L$260)-ROW($L122)-1,MATCH(O$13,OFFSET($L122,1,0,ROW($L$260)-ROW($L122)-1),0)-1),0))</f>
        <v>0</v>
      </c>
      <c r="P122" s="212">
        <f ca="1">IF($E123=-1,0,IF(P$13&lt;=$L122,IF(ISERROR(MATCH(P$13,OFFSET($L122,1,0,ROW($L$260)-ROW($L122)-1),0)),ROW($L$260)-ROW($L122)-1,MATCH(P$13,OFFSET($L122,1,0,ROW($L$260)-ROW($L122)-1),0)-1),0))</f>
        <v>0</v>
      </c>
      <c r="Q122" s="212">
        <f t="shared" ref="Q122" ca="1" si="257">MIN(OFFSET(L122,0,1,,L122))</f>
        <v>2</v>
      </c>
      <c r="R122" s="213">
        <f ca="1">IF($E123=0,OFFSET(ORÇAMENTO!X$15,$E122,0),IF($E123&lt;&gt;-1,OFFSET(QCI!$O$13,$E123,0),""))</f>
        <v>0</v>
      </c>
      <c r="S122" s="214" t="s">
        <v>270</v>
      </c>
      <c r="T122" s="215" t="e">
        <f t="shared" ref="T122:AE122" ca="1" si="258">IF(AND($Q122=2,ACOMPANHAMENTO="BM"),T123,T124/$R122)</f>
        <v>#DIV/0!</v>
      </c>
      <c r="U122" s="207" t="e">
        <f t="shared" ca="1" si="258"/>
        <v>#DIV/0!</v>
      </c>
      <c r="V122" s="207" t="e">
        <f t="shared" ca="1" si="258"/>
        <v>#DIV/0!</v>
      </c>
      <c r="W122" s="207" t="e">
        <f t="shared" ca="1" si="258"/>
        <v>#DIV/0!</v>
      </c>
      <c r="X122" s="207" t="e">
        <f t="shared" ca="1" si="258"/>
        <v>#DIV/0!</v>
      </c>
      <c r="Y122" s="207" t="e">
        <f t="shared" ca="1" si="258"/>
        <v>#DIV/0!</v>
      </c>
      <c r="Z122" s="207" t="e">
        <f t="shared" ca="1" si="258"/>
        <v>#DIV/0!</v>
      </c>
      <c r="AA122" s="207" t="e">
        <f t="shared" ca="1" si="258"/>
        <v>#DIV/0!</v>
      </c>
      <c r="AB122" s="207" t="e">
        <f t="shared" ca="1" si="258"/>
        <v>#DIV/0!</v>
      </c>
      <c r="AC122" s="207" t="e">
        <f t="shared" ca="1" si="258"/>
        <v>#DIV/0!</v>
      </c>
      <c r="AD122" s="207" t="e">
        <f t="shared" ca="1" si="258"/>
        <v>#DIV/0!</v>
      </c>
      <c r="AE122" s="216" t="e">
        <f t="shared" ca="1" si="258"/>
        <v>#DIV/0!</v>
      </c>
    </row>
    <row r="123" spans="1:32" ht="12.75" customHeight="1" x14ac:dyDescent="0.2">
      <c r="D123" s="569"/>
      <c r="E123" s="204">
        <f ca="1">IF(ISERROR(E122),IF(1+COUNTIF($L$13:OFFSET(L122,-1,0),1)&lt;=MAX(QCI!$D$13:$D$24),1+COUNTIF($L$13:OFFSET(L122,-1,0),1),-1),0)</f>
        <v>0</v>
      </c>
      <c r="F123" s="204" t="str">
        <f t="shared" ref="F123" ca="1" si="259">IF(AND($E123&lt;&gt;-1,$R122&gt;0),"F","")</f>
        <v/>
      </c>
      <c r="G123" s="217" t="str">
        <f ca="1">IF(OR(R122=0,R122=""),"vazia",IF(AND(OR(ACOMPANHAMENTO="PLE",$Q122&lt;&gt;2),$E123=0),"calculada","--&gt;"))</f>
        <v>vazia</v>
      </c>
      <c r="H123" s="218"/>
      <c r="I123" s="219" t="str">
        <f t="shared" ref="I123" ca="1" si="260">IF(AND(G122&lt;&gt;0,ISNUMBER(G122)),"PREENCHA ESTA LINHA --&gt;","")</f>
        <v/>
      </c>
      <c r="J123" s="219"/>
      <c r="K123" s="219"/>
      <c r="L123" s="220"/>
      <c r="M123" s="220"/>
      <c r="N123" s="220"/>
      <c r="O123" s="220"/>
      <c r="P123" s="220"/>
      <c r="Q123" s="220"/>
      <c r="R123" s="221"/>
      <c r="S123" s="222"/>
      <c r="T123" s="570"/>
      <c r="U123" s="569"/>
      <c r="V123" s="569"/>
      <c r="W123" s="569"/>
      <c r="X123" s="569"/>
      <c r="Y123" s="569"/>
      <c r="Z123" s="569"/>
      <c r="AA123" s="569"/>
      <c r="AB123" s="569"/>
      <c r="AC123" s="569"/>
      <c r="AD123" s="569"/>
      <c r="AE123" s="571"/>
      <c r="AF123" s="533"/>
    </row>
    <row r="124" spans="1:32" ht="0.2" hidden="1" customHeight="1" x14ac:dyDescent="0.2">
      <c r="D124" s="223">
        <f ca="1">IF($Q122=2,IF(AND(ACOMPANHAMENTO="PLE",ISNUMBER($E122)),SUMIF((OFFSET(CÁLCULO!$BC$15:$BU$15,$E122,0,OFFSET(ORÇAMENTO!$D$15,CRONO!$E122,0))),"="&amp;CRONO!D$12,OFFSET(CÁLCULO!$AJ$15:$BB$15,$E122,0,OFFSET(ORÇAMENTO!$D$15,CRONO!$E122,0)))+IF(AND($E124&lt;&gt;"",$E124&lt;&gt;0),SUMIF(CÁLCULO!$BC$15:$BU$727,"="&amp;CRONO!D$12,CÁLCULO!$AJ$15:$BB$727)/(ORÇAMENTO!$X$15-CÁLCULO.TotalAdmLocal)*CRONO!$E124,0),D123*$R122),SUMIF(OFFSET($R124,1,0,$Q122-2),($L122+1)&amp;"$",OFFSET(D124,1,0,$Q122-2)))</f>
        <v>0</v>
      </c>
      <c r="E124" s="204" t="str">
        <f ca="1">IF(OR($Q122&lt;&gt;2,AUTOEVENTO&lt;&gt;"manual",$E123&gt;0),"",SUMIF(OFFSET(CÁLCULO!$M$15,CRONO!$E122,0,OFFSET(ORÇAMENTO!$D$15,CRONO!$E122,0)),1,OFFSET(ORÇAMENTO!$X$15,CRONO!$E122,0,OFFSET(ORÇAMENTO!$D$15,CRONO!$E122,0))))</f>
        <v/>
      </c>
      <c r="G124" s="224"/>
      <c r="R124" s="225" t="str">
        <f t="shared" ref="R124" ca="1" si="261">L122&amp;"$"</f>
        <v>2$</v>
      </c>
      <c r="S124" s="226"/>
      <c r="T124" s="227">
        <f ca="1">IF($Q122=2,IF(AND(ACOMPANHAMENTO="PLE",ISNUMBER($E122)),SUMIF((OFFSET(CÁLCULO!$BC$15:$BU$15,$E122,0,OFFSET(ORÇAMENTO!$D$15,CRONO!$E122,0))),"&lt;="&amp;CRONO!T$12,OFFSET(CÁLCULO!$AJ$15:$BB$15,$E122,0,OFFSET(ORÇAMENTO!$D$15,CRONO!$E122,0)))+IF(AND($E124&lt;&gt;"",$E124&lt;&gt;0),SUMIF(CÁLCULO!$BC$15:$BU$727,"&lt;="&amp;CRONO!T$12,CÁLCULO!$AJ$15:$BB$727)/(ORÇAMENTO!$X$15-CÁLCULO.TotalAdmLocal)*CRONO!$E124,0),T123*$R122),SUMIF(OFFSET($R124,1,0,$Q122-2),($L122+1)&amp;"$",OFFSET(T124,1,0,$Q122-2)))</f>
        <v>0</v>
      </c>
      <c r="U124" s="223">
        <f ca="1">IF($Q122=2,IF(AND(ACOMPANHAMENTO="PLE",ISNUMBER($E122)),SUMIF((OFFSET(CÁLCULO!$BC$15:$BU$15,$E122,0,OFFSET(ORÇAMENTO!$D$15,CRONO!$E122,0))),"="&amp;CRONO!U$12,OFFSET(CÁLCULO!$AJ$15:$BB$15,$E122,0,OFFSET(ORÇAMENTO!$D$15,CRONO!$E122,0)))+IF(AND($E124&lt;&gt;"",$E124&lt;&gt;0),SUMIF(CÁLCULO!$BC$15:$BU$727,"="&amp;CRONO!U$12,CÁLCULO!$AJ$15:$BB$727)/(ORÇAMENTO!$X$15-CÁLCULO.TotalAdmLocal)*CRONO!$E124,0),U123*$R122),SUMIF(OFFSET($R124,1,0,$Q122-2),($L122+1)&amp;"$",OFFSET(U124,1,0,$Q122-2)))</f>
        <v>0</v>
      </c>
      <c r="V124" s="223">
        <f ca="1">IF($Q122=2,IF(AND(ACOMPANHAMENTO="PLE",ISNUMBER($E122)),SUMIF((OFFSET(CÁLCULO!$BC$15:$BU$15,$E122,0,OFFSET(ORÇAMENTO!$D$15,CRONO!$E122,0))),"="&amp;CRONO!V$12,OFFSET(CÁLCULO!$AJ$15:$BB$15,$E122,0,OFFSET(ORÇAMENTO!$D$15,CRONO!$E122,0)))+IF(AND($E124&lt;&gt;"",$E124&lt;&gt;0),SUMIF(CÁLCULO!$BC$15:$BU$727,"="&amp;CRONO!V$12,CÁLCULO!$AJ$15:$BB$727)/(ORÇAMENTO!$X$15-CÁLCULO.TotalAdmLocal)*CRONO!$E124,0),V123*$R122),SUMIF(OFFSET($R124,1,0,$Q122-2),($L122+1)&amp;"$",OFFSET(V124,1,0,$Q122-2)))</f>
        <v>0</v>
      </c>
      <c r="W124" s="223">
        <f ca="1">IF($Q122=2,IF(AND(ACOMPANHAMENTO="PLE",ISNUMBER($E122)),SUMIF((OFFSET(CÁLCULO!$BC$15:$BU$15,$E122,0,OFFSET(ORÇAMENTO!$D$15,CRONO!$E122,0))),"="&amp;CRONO!W$12,OFFSET(CÁLCULO!$AJ$15:$BB$15,$E122,0,OFFSET(ORÇAMENTO!$D$15,CRONO!$E122,0)))+IF(AND($E124&lt;&gt;"",$E124&lt;&gt;0),SUMIF(CÁLCULO!$BC$15:$BU$727,"="&amp;CRONO!W$12,CÁLCULO!$AJ$15:$BB$727)/(ORÇAMENTO!$X$15-CÁLCULO.TotalAdmLocal)*CRONO!$E124,0),W123*$R122),SUMIF(OFFSET($R124,1,0,$Q122-2),($L122+1)&amp;"$",OFFSET(W124,1,0,$Q122-2)))</f>
        <v>0</v>
      </c>
      <c r="X124" s="223">
        <f ca="1">IF($Q122=2,IF(AND(ACOMPANHAMENTO="PLE",ISNUMBER($E122)),SUMIF((OFFSET(CÁLCULO!$BC$15:$BU$15,$E122,0,OFFSET(ORÇAMENTO!$D$15,CRONO!$E122,0))),"="&amp;CRONO!X$12,OFFSET(CÁLCULO!$AJ$15:$BB$15,$E122,0,OFFSET(ORÇAMENTO!$D$15,CRONO!$E122,0)))+IF(AND($E124&lt;&gt;"",$E124&lt;&gt;0),SUMIF(CÁLCULO!$BC$15:$BU$727,"="&amp;CRONO!X$12,CÁLCULO!$AJ$15:$BB$727)/(ORÇAMENTO!$X$15-CÁLCULO.TotalAdmLocal)*CRONO!$E124,0),X123*$R122),SUMIF(OFFSET($R124,1,0,$Q122-2),($L122+1)&amp;"$",OFFSET(X124,1,0,$Q122-2)))</f>
        <v>0</v>
      </c>
      <c r="Y124" s="223">
        <f ca="1">IF($Q122=2,IF(AND(ACOMPANHAMENTO="PLE",ISNUMBER($E122)),SUMIF((OFFSET(CÁLCULO!$BC$15:$BU$15,$E122,0,OFFSET(ORÇAMENTO!$D$15,CRONO!$E122,0))),"="&amp;CRONO!Y$12,OFFSET(CÁLCULO!$AJ$15:$BB$15,$E122,0,OFFSET(ORÇAMENTO!$D$15,CRONO!$E122,0)))+IF(AND($E124&lt;&gt;"",$E124&lt;&gt;0),SUMIF(CÁLCULO!$BC$15:$BU$727,"="&amp;CRONO!Y$12,CÁLCULO!$AJ$15:$BB$727)/(ORÇAMENTO!$X$15-CÁLCULO.TotalAdmLocal)*CRONO!$E124,0),Y123*$R122),SUMIF(OFFSET($R124,1,0,$Q122-2),($L122+1)&amp;"$",OFFSET(Y124,1,0,$Q122-2)))</f>
        <v>0</v>
      </c>
      <c r="Z124" s="223">
        <f ca="1">IF($Q122=2,IF(AND(ACOMPANHAMENTO="PLE",ISNUMBER($E122)),SUMIF((OFFSET(CÁLCULO!$BC$15:$BU$15,$E122,0,OFFSET(ORÇAMENTO!$D$15,CRONO!$E122,0))),"="&amp;CRONO!Z$12,OFFSET(CÁLCULO!$AJ$15:$BB$15,$E122,0,OFFSET(ORÇAMENTO!$D$15,CRONO!$E122,0)))+IF(AND($E124&lt;&gt;"",$E124&lt;&gt;0),SUMIF(CÁLCULO!$BC$15:$BU$727,"="&amp;CRONO!Z$12,CÁLCULO!$AJ$15:$BB$727)/(ORÇAMENTO!$X$15-CÁLCULO.TotalAdmLocal)*CRONO!$E124,0),Z123*$R122),SUMIF(OFFSET($R124,1,0,$Q122-2),($L122+1)&amp;"$",OFFSET(Z124,1,0,$Q122-2)))</f>
        <v>0</v>
      </c>
      <c r="AA124" s="223">
        <f ca="1">IF($Q122=2,IF(AND(ACOMPANHAMENTO="PLE",ISNUMBER($E122)),SUMIF((OFFSET(CÁLCULO!$BC$15:$BU$15,$E122,0,OFFSET(ORÇAMENTO!$D$15,CRONO!$E122,0))),"="&amp;CRONO!AA$12,OFFSET(CÁLCULO!$AJ$15:$BB$15,$E122,0,OFFSET(ORÇAMENTO!$D$15,CRONO!$E122,0)))+IF(AND($E124&lt;&gt;"",$E124&lt;&gt;0),SUMIF(CÁLCULO!$BC$15:$BU$727,"="&amp;CRONO!AA$12,CÁLCULO!$AJ$15:$BB$727)/(ORÇAMENTO!$X$15-CÁLCULO.TotalAdmLocal)*CRONO!$E124,0),AA123*$R122),SUMIF(OFFSET($R124,1,0,$Q122-2),($L122+1)&amp;"$",OFFSET(AA124,1,0,$Q122-2)))</f>
        <v>0</v>
      </c>
      <c r="AB124" s="223">
        <f ca="1">IF($Q122=2,IF(AND(ACOMPANHAMENTO="PLE",ISNUMBER($E122)),SUMIF((OFFSET(CÁLCULO!$BC$15:$BU$15,$E122,0,OFFSET(ORÇAMENTO!$D$15,CRONO!$E122,0))),"="&amp;CRONO!AB$12,OFFSET(CÁLCULO!$AJ$15:$BB$15,$E122,0,OFFSET(ORÇAMENTO!$D$15,CRONO!$E122,0)))+IF(AND($E124&lt;&gt;"",$E124&lt;&gt;0),SUMIF(CÁLCULO!$BC$15:$BU$727,"="&amp;CRONO!AB$12,CÁLCULO!$AJ$15:$BB$727)/(ORÇAMENTO!$X$15-CÁLCULO.TotalAdmLocal)*CRONO!$E124,0),AB123*$R122),SUMIF(OFFSET($R124,1,0,$Q122-2),($L122+1)&amp;"$",OFFSET(AB124,1,0,$Q122-2)))</f>
        <v>0</v>
      </c>
      <c r="AC124" s="223">
        <f ca="1">IF($Q122=2,IF(AND(ACOMPANHAMENTO="PLE",ISNUMBER($E122)),SUMIF((OFFSET(CÁLCULO!$BC$15:$BU$15,$E122,0,OFFSET(ORÇAMENTO!$D$15,CRONO!$E122,0))),"="&amp;CRONO!AC$12,OFFSET(CÁLCULO!$AJ$15:$BB$15,$E122,0,OFFSET(ORÇAMENTO!$D$15,CRONO!$E122,0)))+IF(AND($E124&lt;&gt;"",$E124&lt;&gt;0),SUMIF(CÁLCULO!$BC$15:$BU$727,"="&amp;CRONO!AC$12,CÁLCULO!$AJ$15:$BB$727)/(ORÇAMENTO!$X$15-CÁLCULO.TotalAdmLocal)*CRONO!$E124,0),AC123*$R122),SUMIF(OFFSET($R124,1,0,$Q122-2),($L122+1)&amp;"$",OFFSET(AC124,1,0,$Q122-2)))</f>
        <v>0</v>
      </c>
      <c r="AD124" s="223">
        <f ca="1">IF($Q122=2,IF(AND(ACOMPANHAMENTO="PLE",ISNUMBER($E122)),SUMIF((OFFSET(CÁLCULO!$BC$15:$BU$15,$E122,0,OFFSET(ORÇAMENTO!$D$15,CRONO!$E122,0))),"="&amp;CRONO!AD$12,OFFSET(CÁLCULO!$AJ$15:$BB$15,$E122,0,OFFSET(ORÇAMENTO!$D$15,CRONO!$E122,0)))+IF(AND($E124&lt;&gt;"",$E124&lt;&gt;0),SUMIF(CÁLCULO!$BC$15:$BU$727,"="&amp;CRONO!AD$12,CÁLCULO!$AJ$15:$BB$727)/(ORÇAMENTO!$X$15-CÁLCULO.TotalAdmLocal)*CRONO!$E124,0),AD123*$R122),SUMIF(OFFSET($R124,1,0,$Q122-2),($L122+1)&amp;"$",OFFSET(AD124,1,0,$Q122-2)))</f>
        <v>0</v>
      </c>
      <c r="AE124" s="228">
        <f ca="1">IF($Q122=2,IF(AND(ACOMPANHAMENTO="PLE",ISNUMBER($E122)),SUMIF((OFFSET(CÁLCULO!$BC$15:$BU$15,$E122,0,OFFSET(ORÇAMENTO!$D$15,CRONO!$E122,0))),"="&amp;CRONO!AE$12,OFFSET(CÁLCULO!$AJ$15:$BB$15,$E122,0,OFFSET(ORÇAMENTO!$D$15,CRONO!$E122,0)))+IF(AND($E124&lt;&gt;"",$E124&lt;&gt;0),SUMIF(CÁLCULO!$BC$15:$BU$727,"="&amp;CRONO!AE$12,CÁLCULO!$AJ$15:$BB$727)/(ORÇAMENTO!$X$15-CÁLCULO.TotalAdmLocal)*CRONO!$E124,0),AE123*$R122),SUMIF(OFFSET($R124,1,0,$Q122-2),($L122+1)&amp;"$",OFFSET(AE124,1,0,$Q122-2)))</f>
        <v>0</v>
      </c>
    </row>
    <row r="125" spans="1:32" x14ac:dyDescent="0.2">
      <c r="A125" s="204">
        <f t="shared" ref="A125" ca="1" si="262">OFFSET(A125,-3,0)+1</f>
        <v>38</v>
      </c>
      <c r="B125" s="204">
        <f ca="1">IF($Q125&lt;&gt;2,0,IF($R125=0,1,IF(E126&gt;0,OFFSET(QCI!$M$13,SUBSTITUTE(E126,".",""),0),OFFSET(ORÇAMENTO!$AA$15,CRONO!$E125,0))/$R125))</f>
        <v>1</v>
      </c>
      <c r="C125" s="204">
        <f ca="1">IF($Q125&lt;&gt;2,0,IF($R125=0,1,IF(E126&gt;0,OFFSET(QCI!$N$13,SUBSTITUTE(E126,".",""),0),OFFSET(ORÇAMENTO!$AB$15,CRONO!$E125,0))/$R125))</f>
        <v>1</v>
      </c>
      <c r="D125" s="207" t="e">
        <f ca="1">IF(AND($Q125=2,ACOMPANHAMENTO="BM"),D126,D127/$R125)</f>
        <v>#DIV/0!</v>
      </c>
      <c r="E125" s="204">
        <f ca="1">IF(A125&lt;=ORÇAMENTO.MáximoListaCrono,MATCH(A125,ORÇAMENTO.ListaCrono,0),NA())</f>
        <v>280</v>
      </c>
      <c r="F125" s="204" t="str">
        <f t="shared" ref="F125" ca="1" si="263">IF(AND($E126&lt;&gt;-1,$R125&gt;0),"F","")</f>
        <v/>
      </c>
      <c r="G125" s="208" t="str">
        <f ca="1">IF(OR(R125=0,R125=""),"Linha",IF(AND(OR(ACOMPANHAMENTO="PLE",$Q125&lt;&gt;2),$E126=0),"Linha",1-SUM(T125:AF125)))</f>
        <v>Linha</v>
      </c>
      <c r="H125" s="209" t="str">
        <f ca="1">IF($E126=0,OFFSET(ORÇAMENTO!O$15,$E125,0),IF($E126&lt;&gt;-1,OFFSET(QCI!$D$13,$E126,0),""))</f>
        <v>1.37.</v>
      </c>
      <c r="I125" s="210" t="str">
        <f ca="1">IF($E126=0,OFFSET(ORÇAMENTO!R$15,$E125,0),IF($E126&lt;&gt;-1,OFFSET(QCI!$G$13,$E126,0),""))</f>
        <v>INSTALAÇÃO HIDRÁULICA - SISTEMA DE REUSO DE ÁGUA</v>
      </c>
      <c r="J125" s="210"/>
      <c r="K125" s="210"/>
      <c r="L125" s="211">
        <f ca="1">IF($E126=0,OFFSET(ORÇAMENTO!C$15,$E125,0),1)</f>
        <v>2</v>
      </c>
      <c r="M125" s="212">
        <f ca="1">IF($E126=-1,0,IF(M$13&lt;=$L125,IF(ISERROR(MATCH(M$13,OFFSET($L125,1,0,ROW($L$260)-ROW($L125)-1),0)),ROW($L$260)-ROW($L125)-1,MATCH(M$13,OFFSET($L125,1,0,ROW($L$260)-ROW($L125)-1),0)-1),0))</f>
        <v>134</v>
      </c>
      <c r="N125" s="212">
        <f ca="1">IF($E126=-1,0,IF(N$13&lt;=$L125,IF(ISERROR(MATCH(N$13,OFFSET($L125,1,0,ROW($L$260)-ROW($L125)-1),0)),ROW($L$260)-ROW($L125)-1,MATCH(N$13,OFFSET($L125,1,0,ROW($L$260)-ROW($L125)-1),0)-1),0))</f>
        <v>2</v>
      </c>
      <c r="O125" s="212">
        <f ca="1">IF($E126=-1,0,IF(O$13&lt;=$L125,IF(ISERROR(MATCH(O$13,OFFSET($L125,1,0,ROW($L$260)-ROW($L125)-1),0)),ROW($L$260)-ROW($L125)-1,MATCH(O$13,OFFSET($L125,1,0,ROW($L$260)-ROW($L125)-1),0)-1),0))</f>
        <v>0</v>
      </c>
      <c r="P125" s="212">
        <f ca="1">IF($E126=-1,0,IF(P$13&lt;=$L125,IF(ISERROR(MATCH(P$13,OFFSET($L125,1,0,ROW($L$260)-ROW($L125)-1),0)),ROW($L$260)-ROW($L125)-1,MATCH(P$13,OFFSET($L125,1,0,ROW($L$260)-ROW($L125)-1),0)-1),0))</f>
        <v>0</v>
      </c>
      <c r="Q125" s="212">
        <f t="shared" ref="Q125" ca="1" si="264">MIN(OFFSET(L125,0,1,,L125))</f>
        <v>2</v>
      </c>
      <c r="R125" s="213">
        <f ca="1">IF($E126=0,OFFSET(ORÇAMENTO!X$15,$E125,0),IF($E126&lt;&gt;-1,OFFSET(QCI!$O$13,$E126,0),""))</f>
        <v>0</v>
      </c>
      <c r="S125" s="214" t="s">
        <v>270</v>
      </c>
      <c r="T125" s="215" t="e">
        <f t="shared" ref="T125:AE125" ca="1" si="265">IF(AND($Q125=2,ACOMPANHAMENTO="BM"),T126,T127/$R125)</f>
        <v>#DIV/0!</v>
      </c>
      <c r="U125" s="207" t="e">
        <f t="shared" ca="1" si="265"/>
        <v>#DIV/0!</v>
      </c>
      <c r="V125" s="207" t="e">
        <f t="shared" ca="1" si="265"/>
        <v>#DIV/0!</v>
      </c>
      <c r="W125" s="207" t="e">
        <f t="shared" ca="1" si="265"/>
        <v>#DIV/0!</v>
      </c>
      <c r="X125" s="207" t="e">
        <f t="shared" ca="1" si="265"/>
        <v>#DIV/0!</v>
      </c>
      <c r="Y125" s="207" t="e">
        <f t="shared" ca="1" si="265"/>
        <v>#DIV/0!</v>
      </c>
      <c r="Z125" s="207" t="e">
        <f t="shared" ca="1" si="265"/>
        <v>#DIV/0!</v>
      </c>
      <c r="AA125" s="207" t="e">
        <f t="shared" ca="1" si="265"/>
        <v>#DIV/0!</v>
      </c>
      <c r="AB125" s="207" t="e">
        <f t="shared" ca="1" si="265"/>
        <v>#DIV/0!</v>
      </c>
      <c r="AC125" s="207" t="e">
        <f t="shared" ca="1" si="265"/>
        <v>#DIV/0!</v>
      </c>
      <c r="AD125" s="207" t="e">
        <f t="shared" ca="1" si="265"/>
        <v>#DIV/0!</v>
      </c>
      <c r="AE125" s="216" t="e">
        <f t="shared" ca="1" si="265"/>
        <v>#DIV/0!</v>
      </c>
    </row>
    <row r="126" spans="1:32" ht="12.75" customHeight="1" x14ac:dyDescent="0.2">
      <c r="D126" s="569"/>
      <c r="E126" s="204">
        <f ca="1">IF(ISERROR(E125),IF(1+COUNTIF($L$13:OFFSET(L125,-1,0),1)&lt;=MAX(QCI!$D$13:$D$24),1+COUNTIF($L$13:OFFSET(L125,-1,0),1),-1),0)</f>
        <v>0</v>
      </c>
      <c r="F126" s="204" t="str">
        <f t="shared" ref="F126" ca="1" si="266">IF(AND($E126&lt;&gt;-1,$R125&gt;0),"F","")</f>
        <v/>
      </c>
      <c r="G126" s="217" t="str">
        <f ca="1">IF(OR(R125=0,R125=""),"vazia",IF(AND(OR(ACOMPANHAMENTO="PLE",$Q125&lt;&gt;2),$E126=0),"calculada","--&gt;"))</f>
        <v>vazia</v>
      </c>
      <c r="H126" s="218"/>
      <c r="I126" s="219" t="str">
        <f t="shared" ref="I126" ca="1" si="267">IF(AND(G125&lt;&gt;0,ISNUMBER(G125)),"PREENCHA ESTA LINHA --&gt;","")</f>
        <v/>
      </c>
      <c r="J126" s="219"/>
      <c r="K126" s="219"/>
      <c r="L126" s="220"/>
      <c r="M126" s="220"/>
      <c r="N126" s="220"/>
      <c r="O126" s="220"/>
      <c r="P126" s="220"/>
      <c r="Q126" s="220"/>
      <c r="R126" s="221"/>
      <c r="S126" s="222"/>
      <c r="T126" s="570"/>
      <c r="U126" s="569"/>
      <c r="V126" s="569"/>
      <c r="W126" s="569"/>
      <c r="X126" s="569"/>
      <c r="Y126" s="569"/>
      <c r="Z126" s="569"/>
      <c r="AA126" s="569"/>
      <c r="AB126" s="569"/>
      <c r="AC126" s="569"/>
      <c r="AD126" s="569"/>
      <c r="AE126" s="571"/>
      <c r="AF126" s="533"/>
    </row>
    <row r="127" spans="1:32" ht="0.2" hidden="1" customHeight="1" x14ac:dyDescent="0.2">
      <c r="D127" s="223">
        <f ca="1">IF($Q125=2,IF(AND(ACOMPANHAMENTO="PLE",ISNUMBER($E125)),SUMIF((OFFSET(CÁLCULO!$BC$15:$BU$15,$E125,0,OFFSET(ORÇAMENTO!$D$15,CRONO!$E125,0))),"="&amp;CRONO!D$12,OFFSET(CÁLCULO!$AJ$15:$BB$15,$E125,0,OFFSET(ORÇAMENTO!$D$15,CRONO!$E125,0)))+IF(AND($E127&lt;&gt;"",$E127&lt;&gt;0),SUMIF(CÁLCULO!$BC$15:$BU$727,"="&amp;CRONO!D$12,CÁLCULO!$AJ$15:$BB$727)/(ORÇAMENTO!$X$15-CÁLCULO.TotalAdmLocal)*CRONO!$E127,0),D126*$R125),SUMIF(OFFSET($R127,1,0,$Q125-2),($L125+1)&amp;"$",OFFSET(D127,1,0,$Q125-2)))</f>
        <v>0</v>
      </c>
      <c r="E127" s="204" t="str">
        <f ca="1">IF(OR($Q125&lt;&gt;2,AUTOEVENTO&lt;&gt;"manual",$E126&gt;0),"",SUMIF(OFFSET(CÁLCULO!$M$15,CRONO!$E125,0,OFFSET(ORÇAMENTO!$D$15,CRONO!$E125,0)),1,OFFSET(ORÇAMENTO!$X$15,CRONO!$E125,0,OFFSET(ORÇAMENTO!$D$15,CRONO!$E125,0))))</f>
        <v/>
      </c>
      <c r="G127" s="224"/>
      <c r="R127" s="225" t="str">
        <f t="shared" ref="R127" ca="1" si="268">L125&amp;"$"</f>
        <v>2$</v>
      </c>
      <c r="S127" s="226"/>
      <c r="T127" s="227">
        <f ca="1">IF($Q125=2,IF(AND(ACOMPANHAMENTO="PLE",ISNUMBER($E125)),SUMIF((OFFSET(CÁLCULO!$BC$15:$BU$15,$E125,0,OFFSET(ORÇAMENTO!$D$15,CRONO!$E125,0))),"&lt;="&amp;CRONO!T$12,OFFSET(CÁLCULO!$AJ$15:$BB$15,$E125,0,OFFSET(ORÇAMENTO!$D$15,CRONO!$E125,0)))+IF(AND($E127&lt;&gt;"",$E127&lt;&gt;0),SUMIF(CÁLCULO!$BC$15:$BU$727,"&lt;="&amp;CRONO!T$12,CÁLCULO!$AJ$15:$BB$727)/(ORÇAMENTO!$X$15-CÁLCULO.TotalAdmLocal)*CRONO!$E127,0),T126*$R125),SUMIF(OFFSET($R127,1,0,$Q125-2),($L125+1)&amp;"$",OFFSET(T127,1,0,$Q125-2)))</f>
        <v>0</v>
      </c>
      <c r="U127" s="223">
        <f ca="1">IF($Q125=2,IF(AND(ACOMPANHAMENTO="PLE",ISNUMBER($E125)),SUMIF((OFFSET(CÁLCULO!$BC$15:$BU$15,$E125,0,OFFSET(ORÇAMENTO!$D$15,CRONO!$E125,0))),"="&amp;CRONO!U$12,OFFSET(CÁLCULO!$AJ$15:$BB$15,$E125,0,OFFSET(ORÇAMENTO!$D$15,CRONO!$E125,0)))+IF(AND($E127&lt;&gt;"",$E127&lt;&gt;0),SUMIF(CÁLCULO!$BC$15:$BU$727,"="&amp;CRONO!U$12,CÁLCULO!$AJ$15:$BB$727)/(ORÇAMENTO!$X$15-CÁLCULO.TotalAdmLocal)*CRONO!$E127,0),U126*$R125),SUMIF(OFFSET($R127,1,0,$Q125-2),($L125+1)&amp;"$",OFFSET(U127,1,0,$Q125-2)))</f>
        <v>0</v>
      </c>
      <c r="V127" s="223">
        <f ca="1">IF($Q125=2,IF(AND(ACOMPANHAMENTO="PLE",ISNUMBER($E125)),SUMIF((OFFSET(CÁLCULO!$BC$15:$BU$15,$E125,0,OFFSET(ORÇAMENTO!$D$15,CRONO!$E125,0))),"="&amp;CRONO!V$12,OFFSET(CÁLCULO!$AJ$15:$BB$15,$E125,0,OFFSET(ORÇAMENTO!$D$15,CRONO!$E125,0)))+IF(AND($E127&lt;&gt;"",$E127&lt;&gt;0),SUMIF(CÁLCULO!$BC$15:$BU$727,"="&amp;CRONO!V$12,CÁLCULO!$AJ$15:$BB$727)/(ORÇAMENTO!$X$15-CÁLCULO.TotalAdmLocal)*CRONO!$E127,0),V126*$R125),SUMIF(OFFSET($R127,1,0,$Q125-2),($L125+1)&amp;"$",OFFSET(V127,1,0,$Q125-2)))</f>
        <v>0</v>
      </c>
      <c r="W127" s="223">
        <f ca="1">IF($Q125=2,IF(AND(ACOMPANHAMENTO="PLE",ISNUMBER($E125)),SUMIF((OFFSET(CÁLCULO!$BC$15:$BU$15,$E125,0,OFFSET(ORÇAMENTO!$D$15,CRONO!$E125,0))),"="&amp;CRONO!W$12,OFFSET(CÁLCULO!$AJ$15:$BB$15,$E125,0,OFFSET(ORÇAMENTO!$D$15,CRONO!$E125,0)))+IF(AND($E127&lt;&gt;"",$E127&lt;&gt;0),SUMIF(CÁLCULO!$BC$15:$BU$727,"="&amp;CRONO!W$12,CÁLCULO!$AJ$15:$BB$727)/(ORÇAMENTO!$X$15-CÁLCULO.TotalAdmLocal)*CRONO!$E127,0),W126*$R125),SUMIF(OFFSET($R127,1,0,$Q125-2),($L125+1)&amp;"$",OFFSET(W127,1,0,$Q125-2)))</f>
        <v>0</v>
      </c>
      <c r="X127" s="223">
        <f ca="1">IF($Q125=2,IF(AND(ACOMPANHAMENTO="PLE",ISNUMBER($E125)),SUMIF((OFFSET(CÁLCULO!$BC$15:$BU$15,$E125,0,OFFSET(ORÇAMENTO!$D$15,CRONO!$E125,0))),"="&amp;CRONO!X$12,OFFSET(CÁLCULO!$AJ$15:$BB$15,$E125,0,OFFSET(ORÇAMENTO!$D$15,CRONO!$E125,0)))+IF(AND($E127&lt;&gt;"",$E127&lt;&gt;0),SUMIF(CÁLCULO!$BC$15:$BU$727,"="&amp;CRONO!X$12,CÁLCULO!$AJ$15:$BB$727)/(ORÇAMENTO!$X$15-CÁLCULO.TotalAdmLocal)*CRONO!$E127,0),X126*$R125),SUMIF(OFFSET($R127,1,0,$Q125-2),($L125+1)&amp;"$",OFFSET(X127,1,0,$Q125-2)))</f>
        <v>0</v>
      </c>
      <c r="Y127" s="223">
        <f ca="1">IF($Q125=2,IF(AND(ACOMPANHAMENTO="PLE",ISNUMBER($E125)),SUMIF((OFFSET(CÁLCULO!$BC$15:$BU$15,$E125,0,OFFSET(ORÇAMENTO!$D$15,CRONO!$E125,0))),"="&amp;CRONO!Y$12,OFFSET(CÁLCULO!$AJ$15:$BB$15,$E125,0,OFFSET(ORÇAMENTO!$D$15,CRONO!$E125,0)))+IF(AND($E127&lt;&gt;"",$E127&lt;&gt;0),SUMIF(CÁLCULO!$BC$15:$BU$727,"="&amp;CRONO!Y$12,CÁLCULO!$AJ$15:$BB$727)/(ORÇAMENTO!$X$15-CÁLCULO.TotalAdmLocal)*CRONO!$E127,0),Y126*$R125),SUMIF(OFFSET($R127,1,0,$Q125-2),($L125+1)&amp;"$",OFFSET(Y127,1,0,$Q125-2)))</f>
        <v>0</v>
      </c>
      <c r="Z127" s="223">
        <f ca="1">IF($Q125=2,IF(AND(ACOMPANHAMENTO="PLE",ISNUMBER($E125)),SUMIF((OFFSET(CÁLCULO!$BC$15:$BU$15,$E125,0,OFFSET(ORÇAMENTO!$D$15,CRONO!$E125,0))),"="&amp;CRONO!Z$12,OFFSET(CÁLCULO!$AJ$15:$BB$15,$E125,0,OFFSET(ORÇAMENTO!$D$15,CRONO!$E125,0)))+IF(AND($E127&lt;&gt;"",$E127&lt;&gt;0),SUMIF(CÁLCULO!$BC$15:$BU$727,"="&amp;CRONO!Z$12,CÁLCULO!$AJ$15:$BB$727)/(ORÇAMENTO!$X$15-CÁLCULO.TotalAdmLocal)*CRONO!$E127,0),Z126*$R125),SUMIF(OFFSET($R127,1,0,$Q125-2),($L125+1)&amp;"$",OFFSET(Z127,1,0,$Q125-2)))</f>
        <v>0</v>
      </c>
      <c r="AA127" s="223">
        <f ca="1">IF($Q125=2,IF(AND(ACOMPANHAMENTO="PLE",ISNUMBER($E125)),SUMIF((OFFSET(CÁLCULO!$BC$15:$BU$15,$E125,0,OFFSET(ORÇAMENTO!$D$15,CRONO!$E125,0))),"="&amp;CRONO!AA$12,OFFSET(CÁLCULO!$AJ$15:$BB$15,$E125,0,OFFSET(ORÇAMENTO!$D$15,CRONO!$E125,0)))+IF(AND($E127&lt;&gt;"",$E127&lt;&gt;0),SUMIF(CÁLCULO!$BC$15:$BU$727,"="&amp;CRONO!AA$12,CÁLCULO!$AJ$15:$BB$727)/(ORÇAMENTO!$X$15-CÁLCULO.TotalAdmLocal)*CRONO!$E127,0),AA126*$R125),SUMIF(OFFSET($R127,1,0,$Q125-2),($L125+1)&amp;"$",OFFSET(AA127,1,0,$Q125-2)))</f>
        <v>0</v>
      </c>
      <c r="AB127" s="223">
        <f ca="1">IF($Q125=2,IF(AND(ACOMPANHAMENTO="PLE",ISNUMBER($E125)),SUMIF((OFFSET(CÁLCULO!$BC$15:$BU$15,$E125,0,OFFSET(ORÇAMENTO!$D$15,CRONO!$E125,0))),"="&amp;CRONO!AB$12,OFFSET(CÁLCULO!$AJ$15:$BB$15,$E125,0,OFFSET(ORÇAMENTO!$D$15,CRONO!$E125,0)))+IF(AND($E127&lt;&gt;"",$E127&lt;&gt;0),SUMIF(CÁLCULO!$BC$15:$BU$727,"="&amp;CRONO!AB$12,CÁLCULO!$AJ$15:$BB$727)/(ORÇAMENTO!$X$15-CÁLCULO.TotalAdmLocal)*CRONO!$E127,0),AB126*$R125),SUMIF(OFFSET($R127,1,0,$Q125-2),($L125+1)&amp;"$",OFFSET(AB127,1,0,$Q125-2)))</f>
        <v>0</v>
      </c>
      <c r="AC127" s="223">
        <f ca="1">IF($Q125=2,IF(AND(ACOMPANHAMENTO="PLE",ISNUMBER($E125)),SUMIF((OFFSET(CÁLCULO!$BC$15:$BU$15,$E125,0,OFFSET(ORÇAMENTO!$D$15,CRONO!$E125,0))),"="&amp;CRONO!AC$12,OFFSET(CÁLCULO!$AJ$15:$BB$15,$E125,0,OFFSET(ORÇAMENTO!$D$15,CRONO!$E125,0)))+IF(AND($E127&lt;&gt;"",$E127&lt;&gt;0),SUMIF(CÁLCULO!$BC$15:$BU$727,"="&amp;CRONO!AC$12,CÁLCULO!$AJ$15:$BB$727)/(ORÇAMENTO!$X$15-CÁLCULO.TotalAdmLocal)*CRONO!$E127,0),AC126*$R125),SUMIF(OFFSET($R127,1,0,$Q125-2),($L125+1)&amp;"$",OFFSET(AC127,1,0,$Q125-2)))</f>
        <v>0</v>
      </c>
      <c r="AD127" s="223">
        <f ca="1">IF($Q125=2,IF(AND(ACOMPANHAMENTO="PLE",ISNUMBER($E125)),SUMIF((OFFSET(CÁLCULO!$BC$15:$BU$15,$E125,0,OFFSET(ORÇAMENTO!$D$15,CRONO!$E125,0))),"="&amp;CRONO!AD$12,OFFSET(CÁLCULO!$AJ$15:$BB$15,$E125,0,OFFSET(ORÇAMENTO!$D$15,CRONO!$E125,0)))+IF(AND($E127&lt;&gt;"",$E127&lt;&gt;0),SUMIF(CÁLCULO!$BC$15:$BU$727,"="&amp;CRONO!AD$12,CÁLCULO!$AJ$15:$BB$727)/(ORÇAMENTO!$X$15-CÁLCULO.TotalAdmLocal)*CRONO!$E127,0),AD126*$R125),SUMIF(OFFSET($R127,1,0,$Q125-2),($L125+1)&amp;"$",OFFSET(AD127,1,0,$Q125-2)))</f>
        <v>0</v>
      </c>
      <c r="AE127" s="228">
        <f ca="1">IF($Q125=2,IF(AND(ACOMPANHAMENTO="PLE",ISNUMBER($E125)),SUMIF((OFFSET(CÁLCULO!$BC$15:$BU$15,$E125,0,OFFSET(ORÇAMENTO!$D$15,CRONO!$E125,0))),"="&amp;CRONO!AE$12,OFFSET(CÁLCULO!$AJ$15:$BB$15,$E125,0,OFFSET(ORÇAMENTO!$D$15,CRONO!$E125,0)))+IF(AND($E127&lt;&gt;"",$E127&lt;&gt;0),SUMIF(CÁLCULO!$BC$15:$BU$727,"="&amp;CRONO!AE$12,CÁLCULO!$AJ$15:$BB$727)/(ORÇAMENTO!$X$15-CÁLCULO.TotalAdmLocal)*CRONO!$E127,0),AE126*$R125),SUMIF(OFFSET($R127,1,0,$Q125-2),($L125+1)&amp;"$",OFFSET(AE127,1,0,$Q125-2)))</f>
        <v>0</v>
      </c>
    </row>
    <row r="128" spans="1:32" x14ac:dyDescent="0.2">
      <c r="A128" s="204">
        <f t="shared" ref="A128" ca="1" si="269">OFFSET(A128,-3,0)+1</f>
        <v>39</v>
      </c>
      <c r="B128" s="204">
        <f ca="1">IF($Q128&lt;&gt;2,0,IF($R128=0,1,IF(E129&gt;0,OFFSET(QCI!$M$13,SUBSTITUTE(E129,".",""),0),OFFSET(ORÇAMENTO!$AA$15,CRONO!$E128,0))/$R128))</f>
        <v>1</v>
      </c>
      <c r="C128" s="204">
        <f ca="1">IF($Q128&lt;&gt;2,0,IF($R128=0,1,IF(E129&gt;0,OFFSET(QCI!$N$13,SUBSTITUTE(E129,".",""),0),OFFSET(ORÇAMENTO!$AB$15,CRONO!$E128,0))/$R128))</f>
        <v>1</v>
      </c>
      <c r="D128" s="207" t="e">
        <f ca="1">IF(AND($Q128=2,ACOMPANHAMENTO="BM"),D129,D130/$R128)</f>
        <v>#DIV/0!</v>
      </c>
      <c r="E128" s="204">
        <f ca="1">IF(A128&lt;=ORÇAMENTO.MáximoListaCrono,MATCH(A128,ORÇAMENTO.ListaCrono,0),NA())</f>
        <v>285</v>
      </c>
      <c r="F128" s="204" t="str">
        <f t="shared" ref="F128" ca="1" si="270">IF(AND($E129&lt;&gt;-1,$R128&gt;0),"F","")</f>
        <v/>
      </c>
      <c r="G128" s="208" t="str">
        <f ca="1">IF(OR(R128=0,R128=""),"Linha",IF(AND(OR(ACOMPANHAMENTO="PLE",$Q128&lt;&gt;2),$E129=0),"Linha",1-SUM(T128:AF128)))</f>
        <v>Linha</v>
      </c>
      <c r="H128" s="209" t="str">
        <f ca="1">IF($E129=0,OFFSET(ORÇAMENTO!O$15,$E128,0),IF($E129&lt;&gt;-1,OFFSET(QCI!$D$13,$E129,0),""))</f>
        <v>1.38.</v>
      </c>
      <c r="I128" s="210" t="str">
        <f ca="1">IF($E129=0,OFFSET(ORÇAMENTO!R$15,$E128,0),IF($E129&lt;&gt;-1,OFFSET(QCI!$G$13,$E129,0),""))</f>
        <v>DRENAGEM DE ÁGUAS PLUVIAIS - TUBULAÇÕES E CONEXÕES DE PVC</v>
      </c>
      <c r="J128" s="210"/>
      <c r="K128" s="210"/>
      <c r="L128" s="211">
        <f ca="1">IF($E129=0,OFFSET(ORÇAMENTO!C$15,$E128,0),1)</f>
        <v>2</v>
      </c>
      <c r="M128" s="212">
        <f ca="1">IF($E129=-1,0,IF(M$13&lt;=$L128,IF(ISERROR(MATCH(M$13,OFFSET($L128,1,0,ROW($L$260)-ROW($L128)-1),0)),ROW($L$260)-ROW($L128)-1,MATCH(M$13,OFFSET($L128,1,0,ROW($L$260)-ROW($L128)-1),0)-1),0))</f>
        <v>131</v>
      </c>
      <c r="N128" s="212">
        <f ca="1">IF($E129=-1,0,IF(N$13&lt;=$L128,IF(ISERROR(MATCH(N$13,OFFSET($L128,1,0,ROW($L$260)-ROW($L128)-1),0)),ROW($L$260)-ROW($L128)-1,MATCH(N$13,OFFSET($L128,1,0,ROW($L$260)-ROW($L128)-1),0)-1),0))</f>
        <v>2</v>
      </c>
      <c r="O128" s="212">
        <f ca="1">IF($E129=-1,0,IF(O$13&lt;=$L128,IF(ISERROR(MATCH(O$13,OFFSET($L128,1,0,ROW($L$260)-ROW($L128)-1),0)),ROW($L$260)-ROW($L128)-1,MATCH(O$13,OFFSET($L128,1,0,ROW($L$260)-ROW($L128)-1),0)-1),0))</f>
        <v>0</v>
      </c>
      <c r="P128" s="212">
        <f ca="1">IF($E129=-1,0,IF(P$13&lt;=$L128,IF(ISERROR(MATCH(P$13,OFFSET($L128,1,0,ROW($L$260)-ROW($L128)-1),0)),ROW($L$260)-ROW($L128)-1,MATCH(P$13,OFFSET($L128,1,0,ROW($L$260)-ROW($L128)-1),0)-1),0))</f>
        <v>0</v>
      </c>
      <c r="Q128" s="212">
        <f t="shared" ref="Q128" ca="1" si="271">MIN(OFFSET(L128,0,1,,L128))</f>
        <v>2</v>
      </c>
      <c r="R128" s="213">
        <f ca="1">IF($E129=0,OFFSET(ORÇAMENTO!X$15,$E128,0),IF($E129&lt;&gt;-1,OFFSET(QCI!$O$13,$E129,0),""))</f>
        <v>0</v>
      </c>
      <c r="S128" s="214" t="s">
        <v>270</v>
      </c>
      <c r="T128" s="215" t="e">
        <f t="shared" ref="T128:AE128" ca="1" si="272">IF(AND($Q128=2,ACOMPANHAMENTO="BM"),T129,T130/$R128)</f>
        <v>#DIV/0!</v>
      </c>
      <c r="U128" s="207" t="e">
        <f t="shared" ca="1" si="272"/>
        <v>#DIV/0!</v>
      </c>
      <c r="V128" s="207" t="e">
        <f t="shared" ca="1" si="272"/>
        <v>#DIV/0!</v>
      </c>
      <c r="W128" s="207" t="e">
        <f t="shared" ca="1" si="272"/>
        <v>#DIV/0!</v>
      </c>
      <c r="X128" s="207" t="e">
        <f t="shared" ca="1" si="272"/>
        <v>#DIV/0!</v>
      </c>
      <c r="Y128" s="207" t="e">
        <f t="shared" ca="1" si="272"/>
        <v>#DIV/0!</v>
      </c>
      <c r="Z128" s="207" t="e">
        <f t="shared" ca="1" si="272"/>
        <v>#DIV/0!</v>
      </c>
      <c r="AA128" s="207" t="e">
        <f t="shared" ca="1" si="272"/>
        <v>#DIV/0!</v>
      </c>
      <c r="AB128" s="207" t="e">
        <f t="shared" ca="1" si="272"/>
        <v>#DIV/0!</v>
      </c>
      <c r="AC128" s="207" t="e">
        <f t="shared" ca="1" si="272"/>
        <v>#DIV/0!</v>
      </c>
      <c r="AD128" s="207" t="e">
        <f t="shared" ca="1" si="272"/>
        <v>#DIV/0!</v>
      </c>
      <c r="AE128" s="216" t="e">
        <f t="shared" ca="1" si="272"/>
        <v>#DIV/0!</v>
      </c>
    </row>
    <row r="129" spans="1:32" ht="12.75" customHeight="1" x14ac:dyDescent="0.2">
      <c r="D129" s="569"/>
      <c r="E129" s="204">
        <f ca="1">IF(ISERROR(E128),IF(1+COUNTIF($L$13:OFFSET(L128,-1,0),1)&lt;=MAX(QCI!$D$13:$D$24),1+COUNTIF($L$13:OFFSET(L128,-1,0),1),-1),0)</f>
        <v>0</v>
      </c>
      <c r="F129" s="204" t="str">
        <f t="shared" ref="F129" ca="1" si="273">IF(AND($E129&lt;&gt;-1,$R128&gt;0),"F","")</f>
        <v/>
      </c>
      <c r="G129" s="217" t="str">
        <f ca="1">IF(OR(R128=0,R128=""),"vazia",IF(AND(OR(ACOMPANHAMENTO="PLE",$Q128&lt;&gt;2),$E129=0),"calculada","--&gt;"))</f>
        <v>vazia</v>
      </c>
      <c r="H129" s="218"/>
      <c r="I129" s="219" t="str">
        <f t="shared" ref="I129" ca="1" si="274">IF(AND(G128&lt;&gt;0,ISNUMBER(G128)),"PREENCHA ESTA LINHA --&gt;","")</f>
        <v/>
      </c>
      <c r="J129" s="219"/>
      <c r="K129" s="219"/>
      <c r="L129" s="220"/>
      <c r="M129" s="220"/>
      <c r="N129" s="220"/>
      <c r="O129" s="220"/>
      <c r="P129" s="220"/>
      <c r="Q129" s="220"/>
      <c r="R129" s="221"/>
      <c r="S129" s="222"/>
      <c r="T129" s="570"/>
      <c r="U129" s="569"/>
      <c r="V129" s="569"/>
      <c r="W129" s="569"/>
      <c r="X129" s="569"/>
      <c r="Y129" s="569"/>
      <c r="Z129" s="569"/>
      <c r="AA129" s="569"/>
      <c r="AB129" s="569"/>
      <c r="AC129" s="569"/>
      <c r="AD129" s="569"/>
      <c r="AE129" s="571"/>
      <c r="AF129" s="533"/>
    </row>
    <row r="130" spans="1:32" ht="0.2" hidden="1" customHeight="1" x14ac:dyDescent="0.2">
      <c r="D130" s="223">
        <f ca="1">IF($Q128=2,IF(AND(ACOMPANHAMENTO="PLE",ISNUMBER($E128)),SUMIF((OFFSET(CÁLCULO!$BC$15:$BU$15,$E128,0,OFFSET(ORÇAMENTO!$D$15,CRONO!$E128,0))),"="&amp;CRONO!D$12,OFFSET(CÁLCULO!$AJ$15:$BB$15,$E128,0,OFFSET(ORÇAMENTO!$D$15,CRONO!$E128,0)))+IF(AND($E130&lt;&gt;"",$E130&lt;&gt;0),SUMIF(CÁLCULO!$BC$15:$BU$727,"="&amp;CRONO!D$12,CÁLCULO!$AJ$15:$BB$727)/(ORÇAMENTO!$X$15-CÁLCULO.TotalAdmLocal)*CRONO!$E130,0),D129*$R128),SUMIF(OFFSET($R130,1,0,$Q128-2),($L128+1)&amp;"$",OFFSET(D130,1,0,$Q128-2)))</f>
        <v>0</v>
      </c>
      <c r="E130" s="204" t="str">
        <f ca="1">IF(OR($Q128&lt;&gt;2,AUTOEVENTO&lt;&gt;"manual",$E129&gt;0),"",SUMIF(OFFSET(CÁLCULO!$M$15,CRONO!$E128,0,OFFSET(ORÇAMENTO!$D$15,CRONO!$E128,0)),1,OFFSET(ORÇAMENTO!$X$15,CRONO!$E128,0,OFFSET(ORÇAMENTO!$D$15,CRONO!$E128,0))))</f>
        <v/>
      </c>
      <c r="G130" s="224"/>
      <c r="R130" s="225" t="str">
        <f t="shared" ref="R130" ca="1" si="275">L128&amp;"$"</f>
        <v>2$</v>
      </c>
      <c r="S130" s="226"/>
      <c r="T130" s="227">
        <f ca="1">IF($Q128=2,IF(AND(ACOMPANHAMENTO="PLE",ISNUMBER($E128)),SUMIF((OFFSET(CÁLCULO!$BC$15:$BU$15,$E128,0,OFFSET(ORÇAMENTO!$D$15,CRONO!$E128,0))),"&lt;="&amp;CRONO!T$12,OFFSET(CÁLCULO!$AJ$15:$BB$15,$E128,0,OFFSET(ORÇAMENTO!$D$15,CRONO!$E128,0)))+IF(AND($E130&lt;&gt;"",$E130&lt;&gt;0),SUMIF(CÁLCULO!$BC$15:$BU$727,"&lt;="&amp;CRONO!T$12,CÁLCULO!$AJ$15:$BB$727)/(ORÇAMENTO!$X$15-CÁLCULO.TotalAdmLocal)*CRONO!$E130,0),T129*$R128),SUMIF(OFFSET($R130,1,0,$Q128-2),($L128+1)&amp;"$",OFFSET(T130,1,0,$Q128-2)))</f>
        <v>0</v>
      </c>
      <c r="U130" s="223">
        <f ca="1">IF($Q128=2,IF(AND(ACOMPANHAMENTO="PLE",ISNUMBER($E128)),SUMIF((OFFSET(CÁLCULO!$BC$15:$BU$15,$E128,0,OFFSET(ORÇAMENTO!$D$15,CRONO!$E128,0))),"="&amp;CRONO!U$12,OFFSET(CÁLCULO!$AJ$15:$BB$15,$E128,0,OFFSET(ORÇAMENTO!$D$15,CRONO!$E128,0)))+IF(AND($E130&lt;&gt;"",$E130&lt;&gt;0),SUMIF(CÁLCULO!$BC$15:$BU$727,"="&amp;CRONO!U$12,CÁLCULO!$AJ$15:$BB$727)/(ORÇAMENTO!$X$15-CÁLCULO.TotalAdmLocal)*CRONO!$E130,0),U129*$R128),SUMIF(OFFSET($R130,1,0,$Q128-2),($L128+1)&amp;"$",OFFSET(U130,1,0,$Q128-2)))</f>
        <v>0</v>
      </c>
      <c r="V130" s="223">
        <f ca="1">IF($Q128=2,IF(AND(ACOMPANHAMENTO="PLE",ISNUMBER($E128)),SUMIF((OFFSET(CÁLCULO!$BC$15:$BU$15,$E128,0,OFFSET(ORÇAMENTO!$D$15,CRONO!$E128,0))),"="&amp;CRONO!V$12,OFFSET(CÁLCULO!$AJ$15:$BB$15,$E128,0,OFFSET(ORÇAMENTO!$D$15,CRONO!$E128,0)))+IF(AND($E130&lt;&gt;"",$E130&lt;&gt;0),SUMIF(CÁLCULO!$BC$15:$BU$727,"="&amp;CRONO!V$12,CÁLCULO!$AJ$15:$BB$727)/(ORÇAMENTO!$X$15-CÁLCULO.TotalAdmLocal)*CRONO!$E130,0),V129*$R128),SUMIF(OFFSET($R130,1,0,$Q128-2),($L128+1)&amp;"$",OFFSET(V130,1,0,$Q128-2)))</f>
        <v>0</v>
      </c>
      <c r="W130" s="223">
        <f ca="1">IF($Q128=2,IF(AND(ACOMPANHAMENTO="PLE",ISNUMBER($E128)),SUMIF((OFFSET(CÁLCULO!$BC$15:$BU$15,$E128,0,OFFSET(ORÇAMENTO!$D$15,CRONO!$E128,0))),"="&amp;CRONO!W$12,OFFSET(CÁLCULO!$AJ$15:$BB$15,$E128,0,OFFSET(ORÇAMENTO!$D$15,CRONO!$E128,0)))+IF(AND($E130&lt;&gt;"",$E130&lt;&gt;0),SUMIF(CÁLCULO!$BC$15:$BU$727,"="&amp;CRONO!W$12,CÁLCULO!$AJ$15:$BB$727)/(ORÇAMENTO!$X$15-CÁLCULO.TotalAdmLocal)*CRONO!$E130,0),W129*$R128),SUMIF(OFFSET($R130,1,0,$Q128-2),($L128+1)&amp;"$",OFFSET(W130,1,0,$Q128-2)))</f>
        <v>0</v>
      </c>
      <c r="X130" s="223">
        <f ca="1">IF($Q128=2,IF(AND(ACOMPANHAMENTO="PLE",ISNUMBER($E128)),SUMIF((OFFSET(CÁLCULO!$BC$15:$BU$15,$E128,0,OFFSET(ORÇAMENTO!$D$15,CRONO!$E128,0))),"="&amp;CRONO!X$12,OFFSET(CÁLCULO!$AJ$15:$BB$15,$E128,0,OFFSET(ORÇAMENTO!$D$15,CRONO!$E128,0)))+IF(AND($E130&lt;&gt;"",$E130&lt;&gt;0),SUMIF(CÁLCULO!$BC$15:$BU$727,"="&amp;CRONO!X$12,CÁLCULO!$AJ$15:$BB$727)/(ORÇAMENTO!$X$15-CÁLCULO.TotalAdmLocal)*CRONO!$E130,0),X129*$R128),SUMIF(OFFSET($R130,1,0,$Q128-2),($L128+1)&amp;"$",OFFSET(X130,1,0,$Q128-2)))</f>
        <v>0</v>
      </c>
      <c r="Y130" s="223">
        <f ca="1">IF($Q128=2,IF(AND(ACOMPANHAMENTO="PLE",ISNUMBER($E128)),SUMIF((OFFSET(CÁLCULO!$BC$15:$BU$15,$E128,0,OFFSET(ORÇAMENTO!$D$15,CRONO!$E128,0))),"="&amp;CRONO!Y$12,OFFSET(CÁLCULO!$AJ$15:$BB$15,$E128,0,OFFSET(ORÇAMENTO!$D$15,CRONO!$E128,0)))+IF(AND($E130&lt;&gt;"",$E130&lt;&gt;0),SUMIF(CÁLCULO!$BC$15:$BU$727,"="&amp;CRONO!Y$12,CÁLCULO!$AJ$15:$BB$727)/(ORÇAMENTO!$X$15-CÁLCULO.TotalAdmLocal)*CRONO!$E130,0),Y129*$R128),SUMIF(OFFSET($R130,1,0,$Q128-2),($L128+1)&amp;"$",OFFSET(Y130,1,0,$Q128-2)))</f>
        <v>0</v>
      </c>
      <c r="Z130" s="223">
        <f ca="1">IF($Q128=2,IF(AND(ACOMPANHAMENTO="PLE",ISNUMBER($E128)),SUMIF((OFFSET(CÁLCULO!$BC$15:$BU$15,$E128,0,OFFSET(ORÇAMENTO!$D$15,CRONO!$E128,0))),"="&amp;CRONO!Z$12,OFFSET(CÁLCULO!$AJ$15:$BB$15,$E128,0,OFFSET(ORÇAMENTO!$D$15,CRONO!$E128,0)))+IF(AND($E130&lt;&gt;"",$E130&lt;&gt;0),SUMIF(CÁLCULO!$BC$15:$BU$727,"="&amp;CRONO!Z$12,CÁLCULO!$AJ$15:$BB$727)/(ORÇAMENTO!$X$15-CÁLCULO.TotalAdmLocal)*CRONO!$E130,0),Z129*$R128),SUMIF(OFFSET($R130,1,0,$Q128-2),($L128+1)&amp;"$",OFFSET(Z130,1,0,$Q128-2)))</f>
        <v>0</v>
      </c>
      <c r="AA130" s="223">
        <f ca="1">IF($Q128=2,IF(AND(ACOMPANHAMENTO="PLE",ISNUMBER($E128)),SUMIF((OFFSET(CÁLCULO!$BC$15:$BU$15,$E128,0,OFFSET(ORÇAMENTO!$D$15,CRONO!$E128,0))),"="&amp;CRONO!AA$12,OFFSET(CÁLCULO!$AJ$15:$BB$15,$E128,0,OFFSET(ORÇAMENTO!$D$15,CRONO!$E128,0)))+IF(AND($E130&lt;&gt;"",$E130&lt;&gt;0),SUMIF(CÁLCULO!$BC$15:$BU$727,"="&amp;CRONO!AA$12,CÁLCULO!$AJ$15:$BB$727)/(ORÇAMENTO!$X$15-CÁLCULO.TotalAdmLocal)*CRONO!$E130,0),AA129*$R128),SUMIF(OFFSET($R130,1,0,$Q128-2),($L128+1)&amp;"$",OFFSET(AA130,1,0,$Q128-2)))</f>
        <v>0</v>
      </c>
      <c r="AB130" s="223">
        <f ca="1">IF($Q128=2,IF(AND(ACOMPANHAMENTO="PLE",ISNUMBER($E128)),SUMIF((OFFSET(CÁLCULO!$BC$15:$BU$15,$E128,0,OFFSET(ORÇAMENTO!$D$15,CRONO!$E128,0))),"="&amp;CRONO!AB$12,OFFSET(CÁLCULO!$AJ$15:$BB$15,$E128,0,OFFSET(ORÇAMENTO!$D$15,CRONO!$E128,0)))+IF(AND($E130&lt;&gt;"",$E130&lt;&gt;0),SUMIF(CÁLCULO!$BC$15:$BU$727,"="&amp;CRONO!AB$12,CÁLCULO!$AJ$15:$BB$727)/(ORÇAMENTO!$X$15-CÁLCULO.TotalAdmLocal)*CRONO!$E130,0),AB129*$R128),SUMIF(OFFSET($R130,1,0,$Q128-2),($L128+1)&amp;"$",OFFSET(AB130,1,0,$Q128-2)))</f>
        <v>0</v>
      </c>
      <c r="AC130" s="223">
        <f ca="1">IF($Q128=2,IF(AND(ACOMPANHAMENTO="PLE",ISNUMBER($E128)),SUMIF((OFFSET(CÁLCULO!$BC$15:$BU$15,$E128,0,OFFSET(ORÇAMENTO!$D$15,CRONO!$E128,0))),"="&amp;CRONO!AC$12,OFFSET(CÁLCULO!$AJ$15:$BB$15,$E128,0,OFFSET(ORÇAMENTO!$D$15,CRONO!$E128,0)))+IF(AND($E130&lt;&gt;"",$E130&lt;&gt;0),SUMIF(CÁLCULO!$BC$15:$BU$727,"="&amp;CRONO!AC$12,CÁLCULO!$AJ$15:$BB$727)/(ORÇAMENTO!$X$15-CÁLCULO.TotalAdmLocal)*CRONO!$E130,0),AC129*$R128),SUMIF(OFFSET($R130,1,0,$Q128-2),($L128+1)&amp;"$",OFFSET(AC130,1,0,$Q128-2)))</f>
        <v>0</v>
      </c>
      <c r="AD130" s="223">
        <f ca="1">IF($Q128=2,IF(AND(ACOMPANHAMENTO="PLE",ISNUMBER($E128)),SUMIF((OFFSET(CÁLCULO!$BC$15:$BU$15,$E128,0,OFFSET(ORÇAMENTO!$D$15,CRONO!$E128,0))),"="&amp;CRONO!AD$12,OFFSET(CÁLCULO!$AJ$15:$BB$15,$E128,0,OFFSET(ORÇAMENTO!$D$15,CRONO!$E128,0)))+IF(AND($E130&lt;&gt;"",$E130&lt;&gt;0),SUMIF(CÁLCULO!$BC$15:$BU$727,"="&amp;CRONO!AD$12,CÁLCULO!$AJ$15:$BB$727)/(ORÇAMENTO!$X$15-CÁLCULO.TotalAdmLocal)*CRONO!$E130,0),AD129*$R128),SUMIF(OFFSET($R130,1,0,$Q128-2),($L128+1)&amp;"$",OFFSET(AD130,1,0,$Q128-2)))</f>
        <v>0</v>
      </c>
      <c r="AE130" s="228">
        <f ca="1">IF($Q128=2,IF(AND(ACOMPANHAMENTO="PLE",ISNUMBER($E128)),SUMIF((OFFSET(CÁLCULO!$BC$15:$BU$15,$E128,0,OFFSET(ORÇAMENTO!$D$15,CRONO!$E128,0))),"="&amp;CRONO!AE$12,OFFSET(CÁLCULO!$AJ$15:$BB$15,$E128,0,OFFSET(ORÇAMENTO!$D$15,CRONO!$E128,0)))+IF(AND($E130&lt;&gt;"",$E130&lt;&gt;0),SUMIF(CÁLCULO!$BC$15:$BU$727,"="&amp;CRONO!AE$12,CÁLCULO!$AJ$15:$BB$727)/(ORÇAMENTO!$X$15-CÁLCULO.TotalAdmLocal)*CRONO!$E130,0),AE129*$R128),SUMIF(OFFSET($R130,1,0,$Q128-2),($L128+1)&amp;"$",OFFSET(AE130,1,0,$Q128-2)))</f>
        <v>0</v>
      </c>
    </row>
    <row r="131" spans="1:32" x14ac:dyDescent="0.2">
      <c r="A131" s="204">
        <f t="shared" ref="A131" ca="1" si="276">OFFSET(A131,-3,0)+1</f>
        <v>40</v>
      </c>
      <c r="B131" s="204">
        <f ca="1">IF($Q131&lt;&gt;2,0,IF($R131=0,1,IF(E132&gt;0,OFFSET(QCI!$M$13,SUBSTITUTE(E132,".",""),0),OFFSET(ORÇAMENTO!$AA$15,CRONO!$E131,0))/$R131))</f>
        <v>1</v>
      </c>
      <c r="C131" s="204">
        <f ca="1">IF($Q131&lt;&gt;2,0,IF($R131=0,1,IF(E132&gt;0,OFFSET(QCI!$N$13,SUBSTITUTE(E132,".",""),0),OFFSET(ORÇAMENTO!$AB$15,CRONO!$E131,0))/$R131))</f>
        <v>1</v>
      </c>
      <c r="D131" s="207" t="e">
        <f ca="1">IF(AND($Q131=2,ACOMPANHAMENTO="BM"),D132,D133/$R131)</f>
        <v>#DIV/0!</v>
      </c>
      <c r="E131" s="204">
        <f ca="1">IF(A131&lt;=ORÇAMENTO.MáximoListaCrono,MATCH(A131,ORÇAMENTO.ListaCrono,0),NA())</f>
        <v>301</v>
      </c>
      <c r="F131" s="204" t="str">
        <f t="shared" ref="F131" ca="1" si="277">IF(AND($E132&lt;&gt;-1,$R131&gt;0),"F","")</f>
        <v/>
      </c>
      <c r="G131" s="208" t="str">
        <f ca="1">IF(OR(R131=0,R131=""),"Linha",IF(AND(OR(ACOMPANHAMENTO="PLE",$Q131&lt;&gt;2),$E132=0),"Linha",1-SUM(T131:AF131)))</f>
        <v>Linha</v>
      </c>
      <c r="H131" s="209" t="str">
        <f ca="1">IF($E132=0,OFFSET(ORÇAMENTO!O$15,$E131,0),IF($E132&lt;&gt;-1,OFFSET(QCI!$D$13,$E132,0),""))</f>
        <v>1.39.</v>
      </c>
      <c r="I131" s="210" t="str">
        <f ca="1">IF($E132=0,OFFSET(ORÇAMENTO!R$15,$E131,0),IF($E132&lt;&gt;-1,OFFSET(QCI!$G$13,$E132,0),""))</f>
        <v>DRENAGEM DE ÁGUAS PLUVIAIS - ACESSÓRIOS</v>
      </c>
      <c r="J131" s="210"/>
      <c r="K131" s="210"/>
      <c r="L131" s="211">
        <f ca="1">IF($E132=0,OFFSET(ORÇAMENTO!C$15,$E131,0),1)</f>
        <v>2</v>
      </c>
      <c r="M131" s="212">
        <f ca="1">IF($E132=-1,0,IF(M$13&lt;=$L131,IF(ISERROR(MATCH(M$13,OFFSET($L131,1,0,ROW($L$260)-ROW($L131)-1),0)),ROW($L$260)-ROW($L131)-1,MATCH(M$13,OFFSET($L131,1,0,ROW($L$260)-ROW($L131)-1),0)-1),0))</f>
        <v>128</v>
      </c>
      <c r="N131" s="212">
        <f ca="1">IF($E132=-1,0,IF(N$13&lt;=$L131,IF(ISERROR(MATCH(N$13,OFFSET($L131,1,0,ROW($L$260)-ROW($L131)-1),0)),ROW($L$260)-ROW($L131)-1,MATCH(N$13,OFFSET($L131,1,0,ROW($L$260)-ROW($L131)-1),0)-1),0))</f>
        <v>2</v>
      </c>
      <c r="O131" s="212">
        <f ca="1">IF($E132=-1,0,IF(O$13&lt;=$L131,IF(ISERROR(MATCH(O$13,OFFSET($L131,1,0,ROW($L$260)-ROW($L131)-1),0)),ROW($L$260)-ROW($L131)-1,MATCH(O$13,OFFSET($L131,1,0,ROW($L$260)-ROW($L131)-1),0)-1),0))</f>
        <v>0</v>
      </c>
      <c r="P131" s="212">
        <f ca="1">IF($E132=-1,0,IF(P$13&lt;=$L131,IF(ISERROR(MATCH(P$13,OFFSET($L131,1,0,ROW($L$260)-ROW($L131)-1),0)),ROW($L$260)-ROW($L131)-1,MATCH(P$13,OFFSET($L131,1,0,ROW($L$260)-ROW($L131)-1),0)-1),0))</f>
        <v>0</v>
      </c>
      <c r="Q131" s="212">
        <f t="shared" ref="Q131" ca="1" si="278">MIN(OFFSET(L131,0,1,,L131))</f>
        <v>2</v>
      </c>
      <c r="R131" s="213">
        <f ca="1">IF($E132=0,OFFSET(ORÇAMENTO!X$15,$E131,0),IF($E132&lt;&gt;-1,OFFSET(QCI!$O$13,$E132,0),""))</f>
        <v>0</v>
      </c>
      <c r="S131" s="214" t="s">
        <v>270</v>
      </c>
      <c r="T131" s="215" t="e">
        <f t="shared" ref="T131:AE131" ca="1" si="279">IF(AND($Q131=2,ACOMPANHAMENTO="BM"),T132,T133/$R131)</f>
        <v>#DIV/0!</v>
      </c>
      <c r="U131" s="207" t="e">
        <f t="shared" ca="1" si="279"/>
        <v>#DIV/0!</v>
      </c>
      <c r="V131" s="207" t="e">
        <f t="shared" ca="1" si="279"/>
        <v>#DIV/0!</v>
      </c>
      <c r="W131" s="207" t="e">
        <f t="shared" ca="1" si="279"/>
        <v>#DIV/0!</v>
      </c>
      <c r="X131" s="207" t="e">
        <f t="shared" ca="1" si="279"/>
        <v>#DIV/0!</v>
      </c>
      <c r="Y131" s="207" t="e">
        <f t="shared" ca="1" si="279"/>
        <v>#DIV/0!</v>
      </c>
      <c r="Z131" s="207" t="e">
        <f t="shared" ca="1" si="279"/>
        <v>#DIV/0!</v>
      </c>
      <c r="AA131" s="207" t="e">
        <f t="shared" ca="1" si="279"/>
        <v>#DIV/0!</v>
      </c>
      <c r="AB131" s="207" t="e">
        <f t="shared" ca="1" si="279"/>
        <v>#DIV/0!</v>
      </c>
      <c r="AC131" s="207" t="e">
        <f t="shared" ca="1" si="279"/>
        <v>#DIV/0!</v>
      </c>
      <c r="AD131" s="207" t="e">
        <f t="shared" ca="1" si="279"/>
        <v>#DIV/0!</v>
      </c>
      <c r="AE131" s="216" t="e">
        <f t="shared" ca="1" si="279"/>
        <v>#DIV/0!</v>
      </c>
    </row>
    <row r="132" spans="1:32" ht="12.75" customHeight="1" x14ac:dyDescent="0.2">
      <c r="D132" s="569"/>
      <c r="E132" s="204">
        <f ca="1">IF(ISERROR(E131),IF(1+COUNTIF($L$13:OFFSET(L131,-1,0),1)&lt;=MAX(QCI!$D$13:$D$24),1+COUNTIF($L$13:OFFSET(L131,-1,0),1),-1),0)</f>
        <v>0</v>
      </c>
      <c r="F132" s="204" t="str">
        <f t="shared" ref="F132" ca="1" si="280">IF(AND($E132&lt;&gt;-1,$R131&gt;0),"F","")</f>
        <v/>
      </c>
      <c r="G132" s="217" t="str">
        <f ca="1">IF(OR(R131=0,R131=""),"vazia",IF(AND(OR(ACOMPANHAMENTO="PLE",$Q131&lt;&gt;2),$E132=0),"calculada","--&gt;"))</f>
        <v>vazia</v>
      </c>
      <c r="H132" s="218"/>
      <c r="I132" s="219" t="str">
        <f t="shared" ref="I132" ca="1" si="281">IF(AND(G131&lt;&gt;0,ISNUMBER(G131)),"PREENCHA ESTA LINHA --&gt;","")</f>
        <v/>
      </c>
      <c r="J132" s="219"/>
      <c r="K132" s="219"/>
      <c r="L132" s="220"/>
      <c r="M132" s="220"/>
      <c r="N132" s="220"/>
      <c r="O132" s="220"/>
      <c r="P132" s="220"/>
      <c r="Q132" s="220"/>
      <c r="R132" s="221"/>
      <c r="S132" s="222"/>
      <c r="T132" s="570"/>
      <c r="U132" s="569"/>
      <c r="V132" s="569"/>
      <c r="W132" s="569"/>
      <c r="X132" s="569"/>
      <c r="Y132" s="569"/>
      <c r="Z132" s="569"/>
      <c r="AA132" s="569"/>
      <c r="AB132" s="569"/>
      <c r="AC132" s="569"/>
      <c r="AD132" s="569"/>
      <c r="AE132" s="571"/>
      <c r="AF132" s="533"/>
    </row>
    <row r="133" spans="1:32" ht="0.2" hidden="1" customHeight="1" x14ac:dyDescent="0.2">
      <c r="D133" s="223">
        <f ca="1">IF($Q131=2,IF(AND(ACOMPANHAMENTO="PLE",ISNUMBER($E131)),SUMIF((OFFSET(CÁLCULO!$BC$15:$BU$15,$E131,0,OFFSET(ORÇAMENTO!$D$15,CRONO!$E131,0))),"="&amp;CRONO!D$12,OFFSET(CÁLCULO!$AJ$15:$BB$15,$E131,0,OFFSET(ORÇAMENTO!$D$15,CRONO!$E131,0)))+IF(AND($E133&lt;&gt;"",$E133&lt;&gt;0),SUMIF(CÁLCULO!$BC$15:$BU$727,"="&amp;CRONO!D$12,CÁLCULO!$AJ$15:$BB$727)/(ORÇAMENTO!$X$15-CÁLCULO.TotalAdmLocal)*CRONO!$E133,0),D132*$R131),SUMIF(OFFSET($R133,1,0,$Q131-2),($L131+1)&amp;"$",OFFSET(D133,1,0,$Q131-2)))</f>
        <v>0</v>
      </c>
      <c r="E133" s="204" t="str">
        <f ca="1">IF(OR($Q131&lt;&gt;2,AUTOEVENTO&lt;&gt;"manual",$E132&gt;0),"",SUMIF(OFFSET(CÁLCULO!$M$15,CRONO!$E131,0,OFFSET(ORÇAMENTO!$D$15,CRONO!$E131,0)),1,OFFSET(ORÇAMENTO!$X$15,CRONO!$E131,0,OFFSET(ORÇAMENTO!$D$15,CRONO!$E131,0))))</f>
        <v/>
      </c>
      <c r="G133" s="224"/>
      <c r="R133" s="225" t="str">
        <f t="shared" ref="R133" ca="1" si="282">L131&amp;"$"</f>
        <v>2$</v>
      </c>
      <c r="S133" s="226"/>
      <c r="T133" s="227">
        <f ca="1">IF($Q131=2,IF(AND(ACOMPANHAMENTO="PLE",ISNUMBER($E131)),SUMIF((OFFSET(CÁLCULO!$BC$15:$BU$15,$E131,0,OFFSET(ORÇAMENTO!$D$15,CRONO!$E131,0))),"&lt;="&amp;CRONO!T$12,OFFSET(CÁLCULO!$AJ$15:$BB$15,$E131,0,OFFSET(ORÇAMENTO!$D$15,CRONO!$E131,0)))+IF(AND($E133&lt;&gt;"",$E133&lt;&gt;0),SUMIF(CÁLCULO!$BC$15:$BU$727,"&lt;="&amp;CRONO!T$12,CÁLCULO!$AJ$15:$BB$727)/(ORÇAMENTO!$X$15-CÁLCULO.TotalAdmLocal)*CRONO!$E133,0),T132*$R131),SUMIF(OFFSET($R133,1,0,$Q131-2),($L131+1)&amp;"$",OFFSET(T133,1,0,$Q131-2)))</f>
        <v>0</v>
      </c>
      <c r="U133" s="223">
        <f ca="1">IF($Q131=2,IF(AND(ACOMPANHAMENTO="PLE",ISNUMBER($E131)),SUMIF((OFFSET(CÁLCULO!$BC$15:$BU$15,$E131,0,OFFSET(ORÇAMENTO!$D$15,CRONO!$E131,0))),"="&amp;CRONO!U$12,OFFSET(CÁLCULO!$AJ$15:$BB$15,$E131,0,OFFSET(ORÇAMENTO!$D$15,CRONO!$E131,0)))+IF(AND($E133&lt;&gt;"",$E133&lt;&gt;0),SUMIF(CÁLCULO!$BC$15:$BU$727,"="&amp;CRONO!U$12,CÁLCULO!$AJ$15:$BB$727)/(ORÇAMENTO!$X$15-CÁLCULO.TotalAdmLocal)*CRONO!$E133,0),U132*$R131),SUMIF(OFFSET($R133,1,0,$Q131-2),($L131+1)&amp;"$",OFFSET(U133,1,0,$Q131-2)))</f>
        <v>0</v>
      </c>
      <c r="V133" s="223">
        <f ca="1">IF($Q131=2,IF(AND(ACOMPANHAMENTO="PLE",ISNUMBER($E131)),SUMIF((OFFSET(CÁLCULO!$BC$15:$BU$15,$E131,0,OFFSET(ORÇAMENTO!$D$15,CRONO!$E131,0))),"="&amp;CRONO!V$12,OFFSET(CÁLCULO!$AJ$15:$BB$15,$E131,0,OFFSET(ORÇAMENTO!$D$15,CRONO!$E131,0)))+IF(AND($E133&lt;&gt;"",$E133&lt;&gt;0),SUMIF(CÁLCULO!$BC$15:$BU$727,"="&amp;CRONO!V$12,CÁLCULO!$AJ$15:$BB$727)/(ORÇAMENTO!$X$15-CÁLCULO.TotalAdmLocal)*CRONO!$E133,0),V132*$R131),SUMIF(OFFSET($R133,1,0,$Q131-2),($L131+1)&amp;"$",OFFSET(V133,1,0,$Q131-2)))</f>
        <v>0</v>
      </c>
      <c r="W133" s="223">
        <f ca="1">IF($Q131=2,IF(AND(ACOMPANHAMENTO="PLE",ISNUMBER($E131)),SUMIF((OFFSET(CÁLCULO!$BC$15:$BU$15,$E131,0,OFFSET(ORÇAMENTO!$D$15,CRONO!$E131,0))),"="&amp;CRONO!W$12,OFFSET(CÁLCULO!$AJ$15:$BB$15,$E131,0,OFFSET(ORÇAMENTO!$D$15,CRONO!$E131,0)))+IF(AND($E133&lt;&gt;"",$E133&lt;&gt;0),SUMIF(CÁLCULO!$BC$15:$BU$727,"="&amp;CRONO!W$12,CÁLCULO!$AJ$15:$BB$727)/(ORÇAMENTO!$X$15-CÁLCULO.TotalAdmLocal)*CRONO!$E133,0),W132*$R131),SUMIF(OFFSET($R133,1,0,$Q131-2),($L131+1)&amp;"$",OFFSET(W133,1,0,$Q131-2)))</f>
        <v>0</v>
      </c>
      <c r="X133" s="223">
        <f ca="1">IF($Q131=2,IF(AND(ACOMPANHAMENTO="PLE",ISNUMBER($E131)),SUMIF((OFFSET(CÁLCULO!$BC$15:$BU$15,$E131,0,OFFSET(ORÇAMENTO!$D$15,CRONO!$E131,0))),"="&amp;CRONO!X$12,OFFSET(CÁLCULO!$AJ$15:$BB$15,$E131,0,OFFSET(ORÇAMENTO!$D$15,CRONO!$E131,0)))+IF(AND($E133&lt;&gt;"",$E133&lt;&gt;0),SUMIF(CÁLCULO!$BC$15:$BU$727,"="&amp;CRONO!X$12,CÁLCULO!$AJ$15:$BB$727)/(ORÇAMENTO!$X$15-CÁLCULO.TotalAdmLocal)*CRONO!$E133,0),X132*$R131),SUMIF(OFFSET($R133,1,0,$Q131-2),($L131+1)&amp;"$",OFFSET(X133,1,0,$Q131-2)))</f>
        <v>0</v>
      </c>
      <c r="Y133" s="223">
        <f ca="1">IF($Q131=2,IF(AND(ACOMPANHAMENTO="PLE",ISNUMBER($E131)),SUMIF((OFFSET(CÁLCULO!$BC$15:$BU$15,$E131,0,OFFSET(ORÇAMENTO!$D$15,CRONO!$E131,0))),"="&amp;CRONO!Y$12,OFFSET(CÁLCULO!$AJ$15:$BB$15,$E131,0,OFFSET(ORÇAMENTO!$D$15,CRONO!$E131,0)))+IF(AND($E133&lt;&gt;"",$E133&lt;&gt;0),SUMIF(CÁLCULO!$BC$15:$BU$727,"="&amp;CRONO!Y$12,CÁLCULO!$AJ$15:$BB$727)/(ORÇAMENTO!$X$15-CÁLCULO.TotalAdmLocal)*CRONO!$E133,0),Y132*$R131),SUMIF(OFFSET($R133,1,0,$Q131-2),($L131+1)&amp;"$",OFFSET(Y133,1,0,$Q131-2)))</f>
        <v>0</v>
      </c>
      <c r="Z133" s="223">
        <f ca="1">IF($Q131=2,IF(AND(ACOMPANHAMENTO="PLE",ISNUMBER($E131)),SUMIF((OFFSET(CÁLCULO!$BC$15:$BU$15,$E131,0,OFFSET(ORÇAMENTO!$D$15,CRONO!$E131,0))),"="&amp;CRONO!Z$12,OFFSET(CÁLCULO!$AJ$15:$BB$15,$E131,0,OFFSET(ORÇAMENTO!$D$15,CRONO!$E131,0)))+IF(AND($E133&lt;&gt;"",$E133&lt;&gt;0),SUMIF(CÁLCULO!$BC$15:$BU$727,"="&amp;CRONO!Z$12,CÁLCULO!$AJ$15:$BB$727)/(ORÇAMENTO!$X$15-CÁLCULO.TotalAdmLocal)*CRONO!$E133,0),Z132*$R131),SUMIF(OFFSET($R133,1,0,$Q131-2),($L131+1)&amp;"$",OFFSET(Z133,1,0,$Q131-2)))</f>
        <v>0</v>
      </c>
      <c r="AA133" s="223">
        <f ca="1">IF($Q131=2,IF(AND(ACOMPANHAMENTO="PLE",ISNUMBER($E131)),SUMIF((OFFSET(CÁLCULO!$BC$15:$BU$15,$E131,0,OFFSET(ORÇAMENTO!$D$15,CRONO!$E131,0))),"="&amp;CRONO!AA$12,OFFSET(CÁLCULO!$AJ$15:$BB$15,$E131,0,OFFSET(ORÇAMENTO!$D$15,CRONO!$E131,0)))+IF(AND($E133&lt;&gt;"",$E133&lt;&gt;0),SUMIF(CÁLCULO!$BC$15:$BU$727,"="&amp;CRONO!AA$12,CÁLCULO!$AJ$15:$BB$727)/(ORÇAMENTO!$X$15-CÁLCULO.TotalAdmLocal)*CRONO!$E133,0),AA132*$R131),SUMIF(OFFSET($R133,1,0,$Q131-2),($L131+1)&amp;"$",OFFSET(AA133,1,0,$Q131-2)))</f>
        <v>0</v>
      </c>
      <c r="AB133" s="223">
        <f ca="1">IF($Q131=2,IF(AND(ACOMPANHAMENTO="PLE",ISNUMBER($E131)),SUMIF((OFFSET(CÁLCULO!$BC$15:$BU$15,$E131,0,OFFSET(ORÇAMENTO!$D$15,CRONO!$E131,0))),"="&amp;CRONO!AB$12,OFFSET(CÁLCULO!$AJ$15:$BB$15,$E131,0,OFFSET(ORÇAMENTO!$D$15,CRONO!$E131,0)))+IF(AND($E133&lt;&gt;"",$E133&lt;&gt;0),SUMIF(CÁLCULO!$BC$15:$BU$727,"="&amp;CRONO!AB$12,CÁLCULO!$AJ$15:$BB$727)/(ORÇAMENTO!$X$15-CÁLCULO.TotalAdmLocal)*CRONO!$E133,0),AB132*$R131),SUMIF(OFFSET($R133,1,0,$Q131-2),($L131+1)&amp;"$",OFFSET(AB133,1,0,$Q131-2)))</f>
        <v>0</v>
      </c>
      <c r="AC133" s="223">
        <f ca="1">IF($Q131=2,IF(AND(ACOMPANHAMENTO="PLE",ISNUMBER($E131)),SUMIF((OFFSET(CÁLCULO!$BC$15:$BU$15,$E131,0,OFFSET(ORÇAMENTO!$D$15,CRONO!$E131,0))),"="&amp;CRONO!AC$12,OFFSET(CÁLCULO!$AJ$15:$BB$15,$E131,0,OFFSET(ORÇAMENTO!$D$15,CRONO!$E131,0)))+IF(AND($E133&lt;&gt;"",$E133&lt;&gt;0),SUMIF(CÁLCULO!$BC$15:$BU$727,"="&amp;CRONO!AC$12,CÁLCULO!$AJ$15:$BB$727)/(ORÇAMENTO!$X$15-CÁLCULO.TotalAdmLocal)*CRONO!$E133,0),AC132*$R131),SUMIF(OFFSET($R133,1,0,$Q131-2),($L131+1)&amp;"$",OFFSET(AC133,1,0,$Q131-2)))</f>
        <v>0</v>
      </c>
      <c r="AD133" s="223">
        <f ca="1">IF($Q131=2,IF(AND(ACOMPANHAMENTO="PLE",ISNUMBER($E131)),SUMIF((OFFSET(CÁLCULO!$BC$15:$BU$15,$E131,0,OFFSET(ORÇAMENTO!$D$15,CRONO!$E131,0))),"="&amp;CRONO!AD$12,OFFSET(CÁLCULO!$AJ$15:$BB$15,$E131,0,OFFSET(ORÇAMENTO!$D$15,CRONO!$E131,0)))+IF(AND($E133&lt;&gt;"",$E133&lt;&gt;0),SUMIF(CÁLCULO!$BC$15:$BU$727,"="&amp;CRONO!AD$12,CÁLCULO!$AJ$15:$BB$727)/(ORÇAMENTO!$X$15-CÁLCULO.TotalAdmLocal)*CRONO!$E133,0),AD132*$R131),SUMIF(OFFSET($R133,1,0,$Q131-2),($L131+1)&amp;"$",OFFSET(AD133,1,0,$Q131-2)))</f>
        <v>0</v>
      </c>
      <c r="AE133" s="228">
        <f ca="1">IF($Q131=2,IF(AND(ACOMPANHAMENTO="PLE",ISNUMBER($E131)),SUMIF((OFFSET(CÁLCULO!$BC$15:$BU$15,$E131,0,OFFSET(ORÇAMENTO!$D$15,CRONO!$E131,0))),"="&amp;CRONO!AE$12,OFFSET(CÁLCULO!$AJ$15:$BB$15,$E131,0,OFFSET(ORÇAMENTO!$D$15,CRONO!$E131,0)))+IF(AND($E133&lt;&gt;"",$E133&lt;&gt;0),SUMIF(CÁLCULO!$BC$15:$BU$727,"="&amp;CRONO!AE$12,CÁLCULO!$AJ$15:$BB$727)/(ORÇAMENTO!$X$15-CÁLCULO.TotalAdmLocal)*CRONO!$E133,0),AE132*$R131),SUMIF(OFFSET($R133,1,0,$Q131-2),($L131+1)&amp;"$",OFFSET(AE133,1,0,$Q131-2)))</f>
        <v>0</v>
      </c>
    </row>
    <row r="134" spans="1:32" x14ac:dyDescent="0.2">
      <c r="A134" s="204">
        <f t="shared" ref="A134" ca="1" si="283">OFFSET(A134,-3,0)+1</f>
        <v>41</v>
      </c>
      <c r="B134" s="204">
        <f ca="1">IF($Q134&lt;&gt;2,0,IF($R134=0,1,IF(E135&gt;0,OFFSET(QCI!$M$13,SUBSTITUTE(E135,".",""),0),OFFSET(ORÇAMENTO!$AA$15,CRONO!$E134,0))/$R134))</f>
        <v>1</v>
      </c>
      <c r="C134" s="204">
        <f ca="1">IF($Q134&lt;&gt;2,0,IF($R134=0,1,IF(E135&gt;0,OFFSET(QCI!$N$13,SUBSTITUTE(E135,".",""),0),OFFSET(ORÇAMENTO!$AB$15,CRONO!$E134,0))/$R134))</f>
        <v>1</v>
      </c>
      <c r="D134" s="207" t="e">
        <f ca="1">IF(AND($Q134=2,ACOMPANHAMENTO="BM"),D135,D136/$R134)</f>
        <v>#DIV/0!</v>
      </c>
      <c r="E134" s="204">
        <f ca="1">IF(A134&lt;=ORÇAMENTO.MáximoListaCrono,MATCH(A134,ORÇAMENTO.ListaCrono,0),NA())</f>
        <v>304</v>
      </c>
      <c r="F134" s="204" t="str">
        <f t="shared" ref="F134" ca="1" si="284">IF(AND($E135&lt;&gt;-1,$R134&gt;0),"F","")</f>
        <v/>
      </c>
      <c r="G134" s="208" t="str">
        <f ca="1">IF(OR(R134=0,R134=""),"Linha",IF(AND(OR(ACOMPANHAMENTO="PLE",$Q134&lt;&gt;2),$E135=0),"Linha",1-SUM(T134:AF134)))</f>
        <v>Linha</v>
      </c>
      <c r="H134" s="209" t="str">
        <f ca="1">IF($E135=0,OFFSET(ORÇAMENTO!O$15,$E134,0),IF($E135&lt;&gt;-1,OFFSET(QCI!$D$13,$E135,0),""))</f>
        <v>1.40.</v>
      </c>
      <c r="I134" s="210" t="str">
        <f ca="1">IF($E135=0,OFFSET(ORÇAMENTO!R$15,$E134,0),IF($E135&lt;&gt;-1,OFFSET(QCI!$G$13,$E135,0),""))</f>
        <v>INSTALAÇÃO SANITÁRIA - TUBULAÇÕES E CONEXÕES</v>
      </c>
      <c r="J134" s="210"/>
      <c r="K134" s="210"/>
      <c r="L134" s="211">
        <f ca="1">IF($E135=0,OFFSET(ORÇAMENTO!C$15,$E134,0),1)</f>
        <v>2</v>
      </c>
      <c r="M134" s="212">
        <f ca="1">IF($E135=-1,0,IF(M$13&lt;=$L134,IF(ISERROR(MATCH(M$13,OFFSET($L134,1,0,ROW($L$260)-ROW($L134)-1),0)),ROW($L$260)-ROW($L134)-1,MATCH(M$13,OFFSET($L134,1,0,ROW($L$260)-ROW($L134)-1),0)-1),0))</f>
        <v>125</v>
      </c>
      <c r="N134" s="212">
        <f ca="1">IF($E135=-1,0,IF(N$13&lt;=$L134,IF(ISERROR(MATCH(N$13,OFFSET($L134,1,0,ROW($L$260)-ROW($L134)-1),0)),ROW($L$260)-ROW($L134)-1,MATCH(N$13,OFFSET($L134,1,0,ROW($L$260)-ROW($L134)-1),0)-1),0))</f>
        <v>2</v>
      </c>
      <c r="O134" s="212">
        <f ca="1">IF($E135=-1,0,IF(O$13&lt;=$L134,IF(ISERROR(MATCH(O$13,OFFSET($L134,1,0,ROW($L$260)-ROW($L134)-1),0)),ROW($L$260)-ROW($L134)-1,MATCH(O$13,OFFSET($L134,1,0,ROW($L$260)-ROW($L134)-1),0)-1),0))</f>
        <v>0</v>
      </c>
      <c r="P134" s="212">
        <f ca="1">IF($E135=-1,0,IF(P$13&lt;=$L134,IF(ISERROR(MATCH(P$13,OFFSET($L134,1,0,ROW($L$260)-ROW($L134)-1),0)),ROW($L$260)-ROW($L134)-1,MATCH(P$13,OFFSET($L134,1,0,ROW($L$260)-ROW($L134)-1),0)-1),0))</f>
        <v>0</v>
      </c>
      <c r="Q134" s="212">
        <f t="shared" ref="Q134" ca="1" si="285">MIN(OFFSET(L134,0,1,,L134))</f>
        <v>2</v>
      </c>
      <c r="R134" s="213">
        <f ca="1">IF($E135=0,OFFSET(ORÇAMENTO!X$15,$E134,0),IF($E135&lt;&gt;-1,OFFSET(QCI!$O$13,$E135,0),""))</f>
        <v>0</v>
      </c>
      <c r="S134" s="214" t="s">
        <v>270</v>
      </c>
      <c r="T134" s="215" t="e">
        <f t="shared" ref="T134:AE134" ca="1" si="286">IF(AND($Q134=2,ACOMPANHAMENTO="BM"),T135,T136/$R134)</f>
        <v>#DIV/0!</v>
      </c>
      <c r="U134" s="207" t="e">
        <f t="shared" ca="1" si="286"/>
        <v>#DIV/0!</v>
      </c>
      <c r="V134" s="207" t="e">
        <f t="shared" ca="1" si="286"/>
        <v>#DIV/0!</v>
      </c>
      <c r="W134" s="207" t="e">
        <f t="shared" ca="1" si="286"/>
        <v>#DIV/0!</v>
      </c>
      <c r="X134" s="207" t="e">
        <f t="shared" ca="1" si="286"/>
        <v>#DIV/0!</v>
      </c>
      <c r="Y134" s="207" t="e">
        <f t="shared" ca="1" si="286"/>
        <v>#DIV/0!</v>
      </c>
      <c r="Z134" s="207" t="e">
        <f t="shared" ca="1" si="286"/>
        <v>#DIV/0!</v>
      </c>
      <c r="AA134" s="207" t="e">
        <f t="shared" ca="1" si="286"/>
        <v>#DIV/0!</v>
      </c>
      <c r="AB134" s="207" t="e">
        <f t="shared" ca="1" si="286"/>
        <v>#DIV/0!</v>
      </c>
      <c r="AC134" s="207" t="e">
        <f t="shared" ca="1" si="286"/>
        <v>#DIV/0!</v>
      </c>
      <c r="AD134" s="207" t="e">
        <f t="shared" ca="1" si="286"/>
        <v>#DIV/0!</v>
      </c>
      <c r="AE134" s="216" t="e">
        <f t="shared" ca="1" si="286"/>
        <v>#DIV/0!</v>
      </c>
    </row>
    <row r="135" spans="1:32" ht="12.75" customHeight="1" x14ac:dyDescent="0.2">
      <c r="D135" s="569"/>
      <c r="E135" s="204">
        <f ca="1">IF(ISERROR(E134),IF(1+COUNTIF($L$13:OFFSET(L134,-1,0),1)&lt;=MAX(QCI!$D$13:$D$24),1+COUNTIF($L$13:OFFSET(L134,-1,0),1),-1),0)</f>
        <v>0</v>
      </c>
      <c r="F135" s="204" t="str">
        <f t="shared" ref="F135" ca="1" si="287">IF(AND($E135&lt;&gt;-1,$R134&gt;0),"F","")</f>
        <v/>
      </c>
      <c r="G135" s="217" t="str">
        <f ca="1">IF(OR(R134=0,R134=""),"vazia",IF(AND(OR(ACOMPANHAMENTO="PLE",$Q134&lt;&gt;2),$E135=0),"calculada","--&gt;"))</f>
        <v>vazia</v>
      </c>
      <c r="H135" s="218"/>
      <c r="I135" s="219" t="str">
        <f t="shared" ref="I135" ca="1" si="288">IF(AND(G134&lt;&gt;0,ISNUMBER(G134)),"PREENCHA ESTA LINHA --&gt;","")</f>
        <v/>
      </c>
      <c r="J135" s="219"/>
      <c r="K135" s="219"/>
      <c r="L135" s="220"/>
      <c r="M135" s="220"/>
      <c r="N135" s="220"/>
      <c r="O135" s="220"/>
      <c r="P135" s="220"/>
      <c r="Q135" s="220"/>
      <c r="R135" s="221"/>
      <c r="S135" s="222"/>
      <c r="T135" s="570"/>
      <c r="U135" s="569"/>
      <c r="V135" s="569"/>
      <c r="W135" s="569"/>
      <c r="X135" s="569"/>
      <c r="Y135" s="569"/>
      <c r="Z135" s="569"/>
      <c r="AA135" s="569"/>
      <c r="AB135" s="569"/>
      <c r="AC135" s="569"/>
      <c r="AD135" s="569"/>
      <c r="AE135" s="571"/>
      <c r="AF135" s="533"/>
    </row>
    <row r="136" spans="1:32" ht="0.2" hidden="1" customHeight="1" x14ac:dyDescent="0.2">
      <c r="D136" s="223">
        <f ca="1">IF($Q134=2,IF(AND(ACOMPANHAMENTO="PLE",ISNUMBER($E134)),SUMIF((OFFSET(CÁLCULO!$BC$15:$BU$15,$E134,0,OFFSET(ORÇAMENTO!$D$15,CRONO!$E134,0))),"="&amp;CRONO!D$12,OFFSET(CÁLCULO!$AJ$15:$BB$15,$E134,0,OFFSET(ORÇAMENTO!$D$15,CRONO!$E134,0)))+IF(AND($E136&lt;&gt;"",$E136&lt;&gt;0),SUMIF(CÁLCULO!$BC$15:$BU$727,"="&amp;CRONO!D$12,CÁLCULO!$AJ$15:$BB$727)/(ORÇAMENTO!$X$15-CÁLCULO.TotalAdmLocal)*CRONO!$E136,0),D135*$R134),SUMIF(OFFSET($R136,1,0,$Q134-2),($L134+1)&amp;"$",OFFSET(D136,1,0,$Q134-2)))</f>
        <v>0</v>
      </c>
      <c r="E136" s="204" t="str">
        <f ca="1">IF(OR($Q134&lt;&gt;2,AUTOEVENTO&lt;&gt;"manual",$E135&gt;0),"",SUMIF(OFFSET(CÁLCULO!$M$15,CRONO!$E134,0,OFFSET(ORÇAMENTO!$D$15,CRONO!$E134,0)),1,OFFSET(ORÇAMENTO!$X$15,CRONO!$E134,0,OFFSET(ORÇAMENTO!$D$15,CRONO!$E134,0))))</f>
        <v/>
      </c>
      <c r="G136" s="224"/>
      <c r="R136" s="225" t="str">
        <f t="shared" ref="R136" ca="1" si="289">L134&amp;"$"</f>
        <v>2$</v>
      </c>
      <c r="S136" s="226"/>
      <c r="T136" s="227">
        <f ca="1">IF($Q134=2,IF(AND(ACOMPANHAMENTO="PLE",ISNUMBER($E134)),SUMIF((OFFSET(CÁLCULO!$BC$15:$BU$15,$E134,0,OFFSET(ORÇAMENTO!$D$15,CRONO!$E134,0))),"&lt;="&amp;CRONO!T$12,OFFSET(CÁLCULO!$AJ$15:$BB$15,$E134,0,OFFSET(ORÇAMENTO!$D$15,CRONO!$E134,0)))+IF(AND($E136&lt;&gt;"",$E136&lt;&gt;0),SUMIF(CÁLCULO!$BC$15:$BU$727,"&lt;="&amp;CRONO!T$12,CÁLCULO!$AJ$15:$BB$727)/(ORÇAMENTO!$X$15-CÁLCULO.TotalAdmLocal)*CRONO!$E136,0),T135*$R134),SUMIF(OFFSET($R136,1,0,$Q134-2),($L134+1)&amp;"$",OFFSET(T136,1,0,$Q134-2)))</f>
        <v>0</v>
      </c>
      <c r="U136" s="223">
        <f ca="1">IF($Q134=2,IF(AND(ACOMPANHAMENTO="PLE",ISNUMBER($E134)),SUMIF((OFFSET(CÁLCULO!$BC$15:$BU$15,$E134,0,OFFSET(ORÇAMENTO!$D$15,CRONO!$E134,0))),"="&amp;CRONO!U$12,OFFSET(CÁLCULO!$AJ$15:$BB$15,$E134,0,OFFSET(ORÇAMENTO!$D$15,CRONO!$E134,0)))+IF(AND($E136&lt;&gt;"",$E136&lt;&gt;0),SUMIF(CÁLCULO!$BC$15:$BU$727,"="&amp;CRONO!U$12,CÁLCULO!$AJ$15:$BB$727)/(ORÇAMENTO!$X$15-CÁLCULO.TotalAdmLocal)*CRONO!$E136,0),U135*$R134),SUMIF(OFFSET($R136,1,0,$Q134-2),($L134+1)&amp;"$",OFFSET(U136,1,0,$Q134-2)))</f>
        <v>0</v>
      </c>
      <c r="V136" s="223">
        <f ca="1">IF($Q134=2,IF(AND(ACOMPANHAMENTO="PLE",ISNUMBER($E134)),SUMIF((OFFSET(CÁLCULO!$BC$15:$BU$15,$E134,0,OFFSET(ORÇAMENTO!$D$15,CRONO!$E134,0))),"="&amp;CRONO!V$12,OFFSET(CÁLCULO!$AJ$15:$BB$15,$E134,0,OFFSET(ORÇAMENTO!$D$15,CRONO!$E134,0)))+IF(AND($E136&lt;&gt;"",$E136&lt;&gt;0),SUMIF(CÁLCULO!$BC$15:$BU$727,"="&amp;CRONO!V$12,CÁLCULO!$AJ$15:$BB$727)/(ORÇAMENTO!$X$15-CÁLCULO.TotalAdmLocal)*CRONO!$E136,0),V135*$R134),SUMIF(OFFSET($R136,1,0,$Q134-2),($L134+1)&amp;"$",OFFSET(V136,1,0,$Q134-2)))</f>
        <v>0</v>
      </c>
      <c r="W136" s="223">
        <f ca="1">IF($Q134=2,IF(AND(ACOMPANHAMENTO="PLE",ISNUMBER($E134)),SUMIF((OFFSET(CÁLCULO!$BC$15:$BU$15,$E134,0,OFFSET(ORÇAMENTO!$D$15,CRONO!$E134,0))),"="&amp;CRONO!W$12,OFFSET(CÁLCULO!$AJ$15:$BB$15,$E134,0,OFFSET(ORÇAMENTO!$D$15,CRONO!$E134,0)))+IF(AND($E136&lt;&gt;"",$E136&lt;&gt;0),SUMIF(CÁLCULO!$BC$15:$BU$727,"="&amp;CRONO!W$12,CÁLCULO!$AJ$15:$BB$727)/(ORÇAMENTO!$X$15-CÁLCULO.TotalAdmLocal)*CRONO!$E136,0),W135*$R134),SUMIF(OFFSET($R136,1,0,$Q134-2),($L134+1)&amp;"$",OFFSET(W136,1,0,$Q134-2)))</f>
        <v>0</v>
      </c>
      <c r="X136" s="223">
        <f ca="1">IF($Q134=2,IF(AND(ACOMPANHAMENTO="PLE",ISNUMBER($E134)),SUMIF((OFFSET(CÁLCULO!$BC$15:$BU$15,$E134,0,OFFSET(ORÇAMENTO!$D$15,CRONO!$E134,0))),"="&amp;CRONO!X$12,OFFSET(CÁLCULO!$AJ$15:$BB$15,$E134,0,OFFSET(ORÇAMENTO!$D$15,CRONO!$E134,0)))+IF(AND($E136&lt;&gt;"",$E136&lt;&gt;0),SUMIF(CÁLCULO!$BC$15:$BU$727,"="&amp;CRONO!X$12,CÁLCULO!$AJ$15:$BB$727)/(ORÇAMENTO!$X$15-CÁLCULO.TotalAdmLocal)*CRONO!$E136,0),X135*$R134),SUMIF(OFFSET($R136,1,0,$Q134-2),($L134+1)&amp;"$",OFFSET(X136,1,0,$Q134-2)))</f>
        <v>0</v>
      </c>
      <c r="Y136" s="223">
        <f ca="1">IF($Q134=2,IF(AND(ACOMPANHAMENTO="PLE",ISNUMBER($E134)),SUMIF((OFFSET(CÁLCULO!$BC$15:$BU$15,$E134,0,OFFSET(ORÇAMENTO!$D$15,CRONO!$E134,0))),"="&amp;CRONO!Y$12,OFFSET(CÁLCULO!$AJ$15:$BB$15,$E134,0,OFFSET(ORÇAMENTO!$D$15,CRONO!$E134,0)))+IF(AND($E136&lt;&gt;"",$E136&lt;&gt;0),SUMIF(CÁLCULO!$BC$15:$BU$727,"="&amp;CRONO!Y$12,CÁLCULO!$AJ$15:$BB$727)/(ORÇAMENTO!$X$15-CÁLCULO.TotalAdmLocal)*CRONO!$E136,0),Y135*$R134),SUMIF(OFFSET($R136,1,0,$Q134-2),($L134+1)&amp;"$",OFFSET(Y136,1,0,$Q134-2)))</f>
        <v>0</v>
      </c>
      <c r="Z136" s="223">
        <f ca="1">IF($Q134=2,IF(AND(ACOMPANHAMENTO="PLE",ISNUMBER($E134)),SUMIF((OFFSET(CÁLCULO!$BC$15:$BU$15,$E134,0,OFFSET(ORÇAMENTO!$D$15,CRONO!$E134,0))),"="&amp;CRONO!Z$12,OFFSET(CÁLCULO!$AJ$15:$BB$15,$E134,0,OFFSET(ORÇAMENTO!$D$15,CRONO!$E134,0)))+IF(AND($E136&lt;&gt;"",$E136&lt;&gt;0),SUMIF(CÁLCULO!$BC$15:$BU$727,"="&amp;CRONO!Z$12,CÁLCULO!$AJ$15:$BB$727)/(ORÇAMENTO!$X$15-CÁLCULO.TotalAdmLocal)*CRONO!$E136,0),Z135*$R134),SUMIF(OFFSET($R136,1,0,$Q134-2),($L134+1)&amp;"$",OFFSET(Z136,1,0,$Q134-2)))</f>
        <v>0</v>
      </c>
      <c r="AA136" s="223">
        <f ca="1">IF($Q134=2,IF(AND(ACOMPANHAMENTO="PLE",ISNUMBER($E134)),SUMIF((OFFSET(CÁLCULO!$BC$15:$BU$15,$E134,0,OFFSET(ORÇAMENTO!$D$15,CRONO!$E134,0))),"="&amp;CRONO!AA$12,OFFSET(CÁLCULO!$AJ$15:$BB$15,$E134,0,OFFSET(ORÇAMENTO!$D$15,CRONO!$E134,0)))+IF(AND($E136&lt;&gt;"",$E136&lt;&gt;0),SUMIF(CÁLCULO!$BC$15:$BU$727,"="&amp;CRONO!AA$12,CÁLCULO!$AJ$15:$BB$727)/(ORÇAMENTO!$X$15-CÁLCULO.TotalAdmLocal)*CRONO!$E136,0),AA135*$R134),SUMIF(OFFSET($R136,1,0,$Q134-2),($L134+1)&amp;"$",OFFSET(AA136,1,0,$Q134-2)))</f>
        <v>0</v>
      </c>
      <c r="AB136" s="223">
        <f ca="1">IF($Q134=2,IF(AND(ACOMPANHAMENTO="PLE",ISNUMBER($E134)),SUMIF((OFFSET(CÁLCULO!$BC$15:$BU$15,$E134,0,OFFSET(ORÇAMENTO!$D$15,CRONO!$E134,0))),"="&amp;CRONO!AB$12,OFFSET(CÁLCULO!$AJ$15:$BB$15,$E134,0,OFFSET(ORÇAMENTO!$D$15,CRONO!$E134,0)))+IF(AND($E136&lt;&gt;"",$E136&lt;&gt;0),SUMIF(CÁLCULO!$BC$15:$BU$727,"="&amp;CRONO!AB$12,CÁLCULO!$AJ$15:$BB$727)/(ORÇAMENTO!$X$15-CÁLCULO.TotalAdmLocal)*CRONO!$E136,0),AB135*$R134),SUMIF(OFFSET($R136,1,0,$Q134-2),($L134+1)&amp;"$",OFFSET(AB136,1,0,$Q134-2)))</f>
        <v>0</v>
      </c>
      <c r="AC136" s="223">
        <f ca="1">IF($Q134=2,IF(AND(ACOMPANHAMENTO="PLE",ISNUMBER($E134)),SUMIF((OFFSET(CÁLCULO!$BC$15:$BU$15,$E134,0,OFFSET(ORÇAMENTO!$D$15,CRONO!$E134,0))),"="&amp;CRONO!AC$12,OFFSET(CÁLCULO!$AJ$15:$BB$15,$E134,0,OFFSET(ORÇAMENTO!$D$15,CRONO!$E134,0)))+IF(AND($E136&lt;&gt;"",$E136&lt;&gt;0),SUMIF(CÁLCULO!$BC$15:$BU$727,"="&amp;CRONO!AC$12,CÁLCULO!$AJ$15:$BB$727)/(ORÇAMENTO!$X$15-CÁLCULO.TotalAdmLocal)*CRONO!$E136,0),AC135*$R134),SUMIF(OFFSET($R136,1,0,$Q134-2),($L134+1)&amp;"$",OFFSET(AC136,1,0,$Q134-2)))</f>
        <v>0</v>
      </c>
      <c r="AD136" s="223">
        <f ca="1">IF($Q134=2,IF(AND(ACOMPANHAMENTO="PLE",ISNUMBER($E134)),SUMIF((OFFSET(CÁLCULO!$BC$15:$BU$15,$E134,0,OFFSET(ORÇAMENTO!$D$15,CRONO!$E134,0))),"="&amp;CRONO!AD$12,OFFSET(CÁLCULO!$AJ$15:$BB$15,$E134,0,OFFSET(ORÇAMENTO!$D$15,CRONO!$E134,0)))+IF(AND($E136&lt;&gt;"",$E136&lt;&gt;0),SUMIF(CÁLCULO!$BC$15:$BU$727,"="&amp;CRONO!AD$12,CÁLCULO!$AJ$15:$BB$727)/(ORÇAMENTO!$X$15-CÁLCULO.TotalAdmLocal)*CRONO!$E136,0),AD135*$R134),SUMIF(OFFSET($R136,1,0,$Q134-2),($L134+1)&amp;"$",OFFSET(AD136,1,0,$Q134-2)))</f>
        <v>0</v>
      </c>
      <c r="AE136" s="228">
        <f ca="1">IF($Q134=2,IF(AND(ACOMPANHAMENTO="PLE",ISNUMBER($E134)),SUMIF((OFFSET(CÁLCULO!$BC$15:$BU$15,$E134,0,OFFSET(ORÇAMENTO!$D$15,CRONO!$E134,0))),"="&amp;CRONO!AE$12,OFFSET(CÁLCULO!$AJ$15:$BB$15,$E134,0,OFFSET(ORÇAMENTO!$D$15,CRONO!$E134,0)))+IF(AND($E136&lt;&gt;"",$E136&lt;&gt;0),SUMIF(CÁLCULO!$BC$15:$BU$727,"="&amp;CRONO!AE$12,CÁLCULO!$AJ$15:$BB$727)/(ORÇAMENTO!$X$15-CÁLCULO.TotalAdmLocal)*CRONO!$E136,0),AE135*$R134),SUMIF(OFFSET($R136,1,0,$Q134-2),($L134+1)&amp;"$",OFFSET(AE136,1,0,$Q134-2)))</f>
        <v>0</v>
      </c>
    </row>
    <row r="137" spans="1:32" x14ac:dyDescent="0.2">
      <c r="A137" s="204">
        <f t="shared" ref="A137" ca="1" si="290">OFFSET(A137,-3,0)+1</f>
        <v>42</v>
      </c>
      <c r="B137" s="204">
        <f ca="1">IF($Q137&lt;&gt;2,0,IF($R137=0,1,IF(E138&gt;0,OFFSET(QCI!$M$13,SUBSTITUTE(E138,".",""),0),OFFSET(ORÇAMENTO!$AA$15,CRONO!$E137,0))/$R137))</f>
        <v>1</v>
      </c>
      <c r="C137" s="204">
        <f ca="1">IF($Q137&lt;&gt;2,0,IF($R137=0,1,IF(E138&gt;0,OFFSET(QCI!$N$13,SUBSTITUTE(E138,".",""),0),OFFSET(ORÇAMENTO!$AB$15,CRONO!$E137,0))/$R137))</f>
        <v>1</v>
      </c>
      <c r="D137" s="207" t="e">
        <f ca="1">IF(AND($Q137=2,ACOMPANHAMENTO="BM"),D138,D139/$R137)</f>
        <v>#DIV/0!</v>
      </c>
      <c r="E137" s="204">
        <f ca="1">IF(A137&lt;=ORÇAMENTO.MáximoListaCrono,MATCH(A137,ORÇAMENTO.ListaCrono,0),NA())</f>
        <v>334</v>
      </c>
      <c r="F137" s="204" t="str">
        <f t="shared" ref="F137" ca="1" si="291">IF(AND($E138&lt;&gt;-1,$R137&gt;0),"F","")</f>
        <v/>
      </c>
      <c r="G137" s="208" t="str">
        <f ca="1">IF(OR(R137=0,R137=""),"Linha",IF(AND(OR(ACOMPANHAMENTO="PLE",$Q137&lt;&gt;2),$E138=0),"Linha",1-SUM(T137:AF137)))</f>
        <v>Linha</v>
      </c>
      <c r="H137" s="209" t="str">
        <f ca="1">IF($E138=0,OFFSET(ORÇAMENTO!O$15,$E137,0),IF($E138&lt;&gt;-1,OFFSET(QCI!$D$13,$E138,0),""))</f>
        <v>1.41.</v>
      </c>
      <c r="I137" s="210" t="str">
        <f ca="1">IF($E138=0,OFFSET(ORÇAMENTO!R$15,$E137,0),IF($E138&lt;&gt;-1,OFFSET(QCI!$G$13,$E138,0),""))</f>
        <v>INSTALAÇÃO SANITÁRIA - UNIDADE DE TRATAMENTO</v>
      </c>
      <c r="J137" s="210"/>
      <c r="K137" s="210"/>
      <c r="L137" s="211">
        <f ca="1">IF($E138=0,OFFSET(ORÇAMENTO!C$15,$E137,0),1)</f>
        <v>2</v>
      </c>
      <c r="M137" s="212">
        <f ca="1">IF($E138=-1,0,IF(M$13&lt;=$L137,IF(ISERROR(MATCH(M$13,OFFSET($L137,1,0,ROW($L$260)-ROW($L137)-1),0)),ROW($L$260)-ROW($L137)-1,MATCH(M$13,OFFSET($L137,1,0,ROW($L$260)-ROW($L137)-1),0)-1),0))</f>
        <v>122</v>
      </c>
      <c r="N137" s="212">
        <f ca="1">IF($E138=-1,0,IF(N$13&lt;=$L137,IF(ISERROR(MATCH(N$13,OFFSET($L137,1,0,ROW($L$260)-ROW($L137)-1),0)),ROW($L$260)-ROW($L137)-1,MATCH(N$13,OFFSET($L137,1,0,ROW($L$260)-ROW($L137)-1),0)-1),0))</f>
        <v>2</v>
      </c>
      <c r="O137" s="212">
        <f ca="1">IF($E138=-1,0,IF(O$13&lt;=$L137,IF(ISERROR(MATCH(O$13,OFFSET($L137,1,0,ROW($L$260)-ROW($L137)-1),0)),ROW($L$260)-ROW($L137)-1,MATCH(O$13,OFFSET($L137,1,0,ROW($L$260)-ROW($L137)-1),0)-1),0))</f>
        <v>0</v>
      </c>
      <c r="P137" s="212">
        <f ca="1">IF($E138=-1,0,IF(P$13&lt;=$L137,IF(ISERROR(MATCH(P$13,OFFSET($L137,1,0,ROW($L$260)-ROW($L137)-1),0)),ROW($L$260)-ROW($L137)-1,MATCH(P$13,OFFSET($L137,1,0,ROW($L$260)-ROW($L137)-1),0)-1),0))</f>
        <v>0</v>
      </c>
      <c r="Q137" s="212">
        <f t="shared" ref="Q137" ca="1" si="292">MIN(OFFSET(L137,0,1,,L137))</f>
        <v>2</v>
      </c>
      <c r="R137" s="213">
        <f ca="1">IF($E138=0,OFFSET(ORÇAMENTO!X$15,$E137,0),IF($E138&lt;&gt;-1,OFFSET(QCI!$O$13,$E138,0),""))</f>
        <v>0</v>
      </c>
      <c r="S137" s="214" t="s">
        <v>270</v>
      </c>
      <c r="T137" s="215" t="e">
        <f t="shared" ref="T137:AE137" ca="1" si="293">IF(AND($Q137=2,ACOMPANHAMENTO="BM"),T138,T139/$R137)</f>
        <v>#DIV/0!</v>
      </c>
      <c r="U137" s="207" t="e">
        <f t="shared" ca="1" si="293"/>
        <v>#DIV/0!</v>
      </c>
      <c r="V137" s="207" t="e">
        <f t="shared" ca="1" si="293"/>
        <v>#DIV/0!</v>
      </c>
      <c r="W137" s="207" t="e">
        <f t="shared" ca="1" si="293"/>
        <v>#DIV/0!</v>
      </c>
      <c r="X137" s="207" t="e">
        <f t="shared" ca="1" si="293"/>
        <v>#DIV/0!</v>
      </c>
      <c r="Y137" s="207" t="e">
        <f t="shared" ca="1" si="293"/>
        <v>#DIV/0!</v>
      </c>
      <c r="Z137" s="207" t="e">
        <f t="shared" ca="1" si="293"/>
        <v>#DIV/0!</v>
      </c>
      <c r="AA137" s="207" t="e">
        <f t="shared" ca="1" si="293"/>
        <v>#DIV/0!</v>
      </c>
      <c r="AB137" s="207" t="e">
        <f t="shared" ca="1" si="293"/>
        <v>#DIV/0!</v>
      </c>
      <c r="AC137" s="207" t="e">
        <f t="shared" ca="1" si="293"/>
        <v>#DIV/0!</v>
      </c>
      <c r="AD137" s="207" t="e">
        <f t="shared" ca="1" si="293"/>
        <v>#DIV/0!</v>
      </c>
      <c r="AE137" s="216" t="e">
        <f t="shared" ca="1" si="293"/>
        <v>#DIV/0!</v>
      </c>
    </row>
    <row r="138" spans="1:32" ht="12.75" customHeight="1" x14ac:dyDescent="0.2">
      <c r="D138" s="569"/>
      <c r="E138" s="204">
        <f ca="1">IF(ISERROR(E137),IF(1+COUNTIF($L$13:OFFSET(L137,-1,0),1)&lt;=MAX(QCI!$D$13:$D$24),1+COUNTIF($L$13:OFFSET(L137,-1,0),1),-1),0)</f>
        <v>0</v>
      </c>
      <c r="F138" s="204" t="str">
        <f t="shared" ref="F138" ca="1" si="294">IF(AND($E138&lt;&gt;-1,$R137&gt;0),"F","")</f>
        <v/>
      </c>
      <c r="G138" s="217" t="str">
        <f ca="1">IF(OR(R137=0,R137=""),"vazia",IF(AND(OR(ACOMPANHAMENTO="PLE",$Q137&lt;&gt;2),$E138=0),"calculada","--&gt;"))</f>
        <v>vazia</v>
      </c>
      <c r="H138" s="218"/>
      <c r="I138" s="219" t="str">
        <f t="shared" ref="I138" ca="1" si="295">IF(AND(G137&lt;&gt;0,ISNUMBER(G137)),"PREENCHA ESTA LINHA --&gt;","")</f>
        <v/>
      </c>
      <c r="J138" s="219"/>
      <c r="K138" s="219"/>
      <c r="L138" s="220"/>
      <c r="M138" s="220"/>
      <c r="N138" s="220"/>
      <c r="O138" s="220"/>
      <c r="P138" s="220"/>
      <c r="Q138" s="220"/>
      <c r="R138" s="221"/>
      <c r="S138" s="222"/>
      <c r="T138" s="570"/>
      <c r="U138" s="569"/>
      <c r="V138" s="569"/>
      <c r="W138" s="569"/>
      <c r="X138" s="569"/>
      <c r="Y138" s="569"/>
      <c r="Z138" s="569"/>
      <c r="AA138" s="569"/>
      <c r="AB138" s="569"/>
      <c r="AC138" s="569"/>
      <c r="AD138" s="569"/>
      <c r="AE138" s="571"/>
      <c r="AF138" s="533"/>
    </row>
    <row r="139" spans="1:32" ht="0.2" hidden="1" customHeight="1" x14ac:dyDescent="0.2">
      <c r="D139" s="223">
        <f ca="1">IF($Q137=2,IF(AND(ACOMPANHAMENTO="PLE",ISNUMBER($E137)),SUMIF((OFFSET(CÁLCULO!$BC$15:$BU$15,$E137,0,OFFSET(ORÇAMENTO!$D$15,CRONO!$E137,0))),"="&amp;CRONO!D$12,OFFSET(CÁLCULO!$AJ$15:$BB$15,$E137,0,OFFSET(ORÇAMENTO!$D$15,CRONO!$E137,0)))+IF(AND($E139&lt;&gt;"",$E139&lt;&gt;0),SUMIF(CÁLCULO!$BC$15:$BU$727,"="&amp;CRONO!D$12,CÁLCULO!$AJ$15:$BB$727)/(ORÇAMENTO!$X$15-CÁLCULO.TotalAdmLocal)*CRONO!$E139,0),D138*$R137),SUMIF(OFFSET($R139,1,0,$Q137-2),($L137+1)&amp;"$",OFFSET(D139,1,0,$Q137-2)))</f>
        <v>0</v>
      </c>
      <c r="E139" s="204" t="str">
        <f ca="1">IF(OR($Q137&lt;&gt;2,AUTOEVENTO&lt;&gt;"manual",$E138&gt;0),"",SUMIF(OFFSET(CÁLCULO!$M$15,CRONO!$E137,0,OFFSET(ORÇAMENTO!$D$15,CRONO!$E137,0)),1,OFFSET(ORÇAMENTO!$X$15,CRONO!$E137,0,OFFSET(ORÇAMENTO!$D$15,CRONO!$E137,0))))</f>
        <v/>
      </c>
      <c r="G139" s="224"/>
      <c r="R139" s="225" t="str">
        <f t="shared" ref="R139" ca="1" si="296">L137&amp;"$"</f>
        <v>2$</v>
      </c>
      <c r="S139" s="226"/>
      <c r="T139" s="227">
        <f ca="1">IF($Q137=2,IF(AND(ACOMPANHAMENTO="PLE",ISNUMBER($E137)),SUMIF((OFFSET(CÁLCULO!$BC$15:$BU$15,$E137,0,OFFSET(ORÇAMENTO!$D$15,CRONO!$E137,0))),"&lt;="&amp;CRONO!T$12,OFFSET(CÁLCULO!$AJ$15:$BB$15,$E137,0,OFFSET(ORÇAMENTO!$D$15,CRONO!$E137,0)))+IF(AND($E139&lt;&gt;"",$E139&lt;&gt;0),SUMIF(CÁLCULO!$BC$15:$BU$727,"&lt;="&amp;CRONO!T$12,CÁLCULO!$AJ$15:$BB$727)/(ORÇAMENTO!$X$15-CÁLCULO.TotalAdmLocal)*CRONO!$E139,0),T138*$R137),SUMIF(OFFSET($R139,1,0,$Q137-2),($L137+1)&amp;"$",OFFSET(T139,1,0,$Q137-2)))</f>
        <v>0</v>
      </c>
      <c r="U139" s="223">
        <f ca="1">IF($Q137=2,IF(AND(ACOMPANHAMENTO="PLE",ISNUMBER($E137)),SUMIF((OFFSET(CÁLCULO!$BC$15:$BU$15,$E137,0,OFFSET(ORÇAMENTO!$D$15,CRONO!$E137,0))),"="&amp;CRONO!U$12,OFFSET(CÁLCULO!$AJ$15:$BB$15,$E137,0,OFFSET(ORÇAMENTO!$D$15,CRONO!$E137,0)))+IF(AND($E139&lt;&gt;"",$E139&lt;&gt;0),SUMIF(CÁLCULO!$BC$15:$BU$727,"="&amp;CRONO!U$12,CÁLCULO!$AJ$15:$BB$727)/(ORÇAMENTO!$X$15-CÁLCULO.TotalAdmLocal)*CRONO!$E139,0),U138*$R137),SUMIF(OFFSET($R139,1,0,$Q137-2),($L137+1)&amp;"$",OFFSET(U139,1,0,$Q137-2)))</f>
        <v>0</v>
      </c>
      <c r="V139" s="223">
        <f ca="1">IF($Q137=2,IF(AND(ACOMPANHAMENTO="PLE",ISNUMBER($E137)),SUMIF((OFFSET(CÁLCULO!$BC$15:$BU$15,$E137,0,OFFSET(ORÇAMENTO!$D$15,CRONO!$E137,0))),"="&amp;CRONO!V$12,OFFSET(CÁLCULO!$AJ$15:$BB$15,$E137,0,OFFSET(ORÇAMENTO!$D$15,CRONO!$E137,0)))+IF(AND($E139&lt;&gt;"",$E139&lt;&gt;0),SUMIF(CÁLCULO!$BC$15:$BU$727,"="&amp;CRONO!V$12,CÁLCULO!$AJ$15:$BB$727)/(ORÇAMENTO!$X$15-CÁLCULO.TotalAdmLocal)*CRONO!$E139,0),V138*$R137),SUMIF(OFFSET($R139,1,0,$Q137-2),($L137+1)&amp;"$",OFFSET(V139,1,0,$Q137-2)))</f>
        <v>0</v>
      </c>
      <c r="W139" s="223">
        <f ca="1">IF($Q137=2,IF(AND(ACOMPANHAMENTO="PLE",ISNUMBER($E137)),SUMIF((OFFSET(CÁLCULO!$BC$15:$BU$15,$E137,0,OFFSET(ORÇAMENTO!$D$15,CRONO!$E137,0))),"="&amp;CRONO!W$12,OFFSET(CÁLCULO!$AJ$15:$BB$15,$E137,0,OFFSET(ORÇAMENTO!$D$15,CRONO!$E137,0)))+IF(AND($E139&lt;&gt;"",$E139&lt;&gt;0),SUMIF(CÁLCULO!$BC$15:$BU$727,"="&amp;CRONO!W$12,CÁLCULO!$AJ$15:$BB$727)/(ORÇAMENTO!$X$15-CÁLCULO.TotalAdmLocal)*CRONO!$E139,0),W138*$R137),SUMIF(OFFSET($R139,1,0,$Q137-2),($L137+1)&amp;"$",OFFSET(W139,1,0,$Q137-2)))</f>
        <v>0</v>
      </c>
      <c r="X139" s="223">
        <f ca="1">IF($Q137=2,IF(AND(ACOMPANHAMENTO="PLE",ISNUMBER($E137)),SUMIF((OFFSET(CÁLCULO!$BC$15:$BU$15,$E137,0,OFFSET(ORÇAMENTO!$D$15,CRONO!$E137,0))),"="&amp;CRONO!X$12,OFFSET(CÁLCULO!$AJ$15:$BB$15,$E137,0,OFFSET(ORÇAMENTO!$D$15,CRONO!$E137,0)))+IF(AND($E139&lt;&gt;"",$E139&lt;&gt;0),SUMIF(CÁLCULO!$BC$15:$BU$727,"="&amp;CRONO!X$12,CÁLCULO!$AJ$15:$BB$727)/(ORÇAMENTO!$X$15-CÁLCULO.TotalAdmLocal)*CRONO!$E139,0),X138*$R137),SUMIF(OFFSET($R139,1,0,$Q137-2),($L137+1)&amp;"$",OFFSET(X139,1,0,$Q137-2)))</f>
        <v>0</v>
      </c>
      <c r="Y139" s="223">
        <f ca="1">IF($Q137=2,IF(AND(ACOMPANHAMENTO="PLE",ISNUMBER($E137)),SUMIF((OFFSET(CÁLCULO!$BC$15:$BU$15,$E137,0,OFFSET(ORÇAMENTO!$D$15,CRONO!$E137,0))),"="&amp;CRONO!Y$12,OFFSET(CÁLCULO!$AJ$15:$BB$15,$E137,0,OFFSET(ORÇAMENTO!$D$15,CRONO!$E137,0)))+IF(AND($E139&lt;&gt;"",$E139&lt;&gt;0),SUMIF(CÁLCULO!$BC$15:$BU$727,"="&amp;CRONO!Y$12,CÁLCULO!$AJ$15:$BB$727)/(ORÇAMENTO!$X$15-CÁLCULO.TotalAdmLocal)*CRONO!$E139,0),Y138*$R137),SUMIF(OFFSET($R139,1,0,$Q137-2),($L137+1)&amp;"$",OFFSET(Y139,1,0,$Q137-2)))</f>
        <v>0</v>
      </c>
      <c r="Z139" s="223">
        <f ca="1">IF($Q137=2,IF(AND(ACOMPANHAMENTO="PLE",ISNUMBER($E137)),SUMIF((OFFSET(CÁLCULO!$BC$15:$BU$15,$E137,0,OFFSET(ORÇAMENTO!$D$15,CRONO!$E137,0))),"="&amp;CRONO!Z$12,OFFSET(CÁLCULO!$AJ$15:$BB$15,$E137,0,OFFSET(ORÇAMENTO!$D$15,CRONO!$E137,0)))+IF(AND($E139&lt;&gt;"",$E139&lt;&gt;0),SUMIF(CÁLCULO!$BC$15:$BU$727,"="&amp;CRONO!Z$12,CÁLCULO!$AJ$15:$BB$727)/(ORÇAMENTO!$X$15-CÁLCULO.TotalAdmLocal)*CRONO!$E139,0),Z138*$R137),SUMIF(OFFSET($R139,1,0,$Q137-2),($L137+1)&amp;"$",OFFSET(Z139,1,0,$Q137-2)))</f>
        <v>0</v>
      </c>
      <c r="AA139" s="223">
        <f ca="1">IF($Q137=2,IF(AND(ACOMPANHAMENTO="PLE",ISNUMBER($E137)),SUMIF((OFFSET(CÁLCULO!$BC$15:$BU$15,$E137,0,OFFSET(ORÇAMENTO!$D$15,CRONO!$E137,0))),"="&amp;CRONO!AA$12,OFFSET(CÁLCULO!$AJ$15:$BB$15,$E137,0,OFFSET(ORÇAMENTO!$D$15,CRONO!$E137,0)))+IF(AND($E139&lt;&gt;"",$E139&lt;&gt;0),SUMIF(CÁLCULO!$BC$15:$BU$727,"="&amp;CRONO!AA$12,CÁLCULO!$AJ$15:$BB$727)/(ORÇAMENTO!$X$15-CÁLCULO.TotalAdmLocal)*CRONO!$E139,0),AA138*$R137),SUMIF(OFFSET($R139,1,0,$Q137-2),($L137+1)&amp;"$",OFFSET(AA139,1,0,$Q137-2)))</f>
        <v>0</v>
      </c>
      <c r="AB139" s="223">
        <f ca="1">IF($Q137=2,IF(AND(ACOMPANHAMENTO="PLE",ISNUMBER($E137)),SUMIF((OFFSET(CÁLCULO!$BC$15:$BU$15,$E137,0,OFFSET(ORÇAMENTO!$D$15,CRONO!$E137,0))),"="&amp;CRONO!AB$12,OFFSET(CÁLCULO!$AJ$15:$BB$15,$E137,0,OFFSET(ORÇAMENTO!$D$15,CRONO!$E137,0)))+IF(AND($E139&lt;&gt;"",$E139&lt;&gt;0),SUMIF(CÁLCULO!$BC$15:$BU$727,"="&amp;CRONO!AB$12,CÁLCULO!$AJ$15:$BB$727)/(ORÇAMENTO!$X$15-CÁLCULO.TotalAdmLocal)*CRONO!$E139,0),AB138*$R137),SUMIF(OFFSET($R139,1,0,$Q137-2),($L137+1)&amp;"$",OFFSET(AB139,1,0,$Q137-2)))</f>
        <v>0</v>
      </c>
      <c r="AC139" s="223">
        <f ca="1">IF($Q137=2,IF(AND(ACOMPANHAMENTO="PLE",ISNUMBER($E137)),SUMIF((OFFSET(CÁLCULO!$BC$15:$BU$15,$E137,0,OFFSET(ORÇAMENTO!$D$15,CRONO!$E137,0))),"="&amp;CRONO!AC$12,OFFSET(CÁLCULO!$AJ$15:$BB$15,$E137,0,OFFSET(ORÇAMENTO!$D$15,CRONO!$E137,0)))+IF(AND($E139&lt;&gt;"",$E139&lt;&gt;0),SUMIF(CÁLCULO!$BC$15:$BU$727,"="&amp;CRONO!AC$12,CÁLCULO!$AJ$15:$BB$727)/(ORÇAMENTO!$X$15-CÁLCULO.TotalAdmLocal)*CRONO!$E139,0),AC138*$R137),SUMIF(OFFSET($R139,1,0,$Q137-2),($L137+1)&amp;"$",OFFSET(AC139,1,0,$Q137-2)))</f>
        <v>0</v>
      </c>
      <c r="AD139" s="223">
        <f ca="1">IF($Q137=2,IF(AND(ACOMPANHAMENTO="PLE",ISNUMBER($E137)),SUMIF((OFFSET(CÁLCULO!$BC$15:$BU$15,$E137,0,OFFSET(ORÇAMENTO!$D$15,CRONO!$E137,0))),"="&amp;CRONO!AD$12,OFFSET(CÁLCULO!$AJ$15:$BB$15,$E137,0,OFFSET(ORÇAMENTO!$D$15,CRONO!$E137,0)))+IF(AND($E139&lt;&gt;"",$E139&lt;&gt;0),SUMIF(CÁLCULO!$BC$15:$BU$727,"="&amp;CRONO!AD$12,CÁLCULO!$AJ$15:$BB$727)/(ORÇAMENTO!$X$15-CÁLCULO.TotalAdmLocal)*CRONO!$E139,0),AD138*$R137),SUMIF(OFFSET($R139,1,0,$Q137-2),($L137+1)&amp;"$",OFFSET(AD139,1,0,$Q137-2)))</f>
        <v>0</v>
      </c>
      <c r="AE139" s="228">
        <f ca="1">IF($Q137=2,IF(AND(ACOMPANHAMENTO="PLE",ISNUMBER($E137)),SUMIF((OFFSET(CÁLCULO!$BC$15:$BU$15,$E137,0,OFFSET(ORÇAMENTO!$D$15,CRONO!$E137,0))),"="&amp;CRONO!AE$12,OFFSET(CÁLCULO!$AJ$15:$BB$15,$E137,0,OFFSET(ORÇAMENTO!$D$15,CRONO!$E137,0)))+IF(AND($E139&lt;&gt;"",$E139&lt;&gt;0),SUMIF(CÁLCULO!$BC$15:$BU$727,"="&amp;CRONO!AE$12,CÁLCULO!$AJ$15:$BB$727)/(ORÇAMENTO!$X$15-CÁLCULO.TotalAdmLocal)*CRONO!$E139,0),AE138*$R137),SUMIF(OFFSET($R139,1,0,$Q137-2),($L137+1)&amp;"$",OFFSET(AE139,1,0,$Q137-2)))</f>
        <v>0</v>
      </c>
    </row>
    <row r="140" spans="1:32" x14ac:dyDescent="0.2">
      <c r="A140" s="204">
        <f t="shared" ref="A140" ca="1" si="297">OFFSET(A140,-3,0)+1</f>
        <v>43</v>
      </c>
      <c r="B140" s="204">
        <f ca="1">IF($Q140&lt;&gt;2,0,IF($R140=0,1,IF(E141&gt;0,OFFSET(QCI!$M$13,SUBSTITUTE(E141,".",""),0),OFFSET(ORÇAMENTO!$AA$15,CRONO!$E140,0))/$R140))</f>
        <v>1</v>
      </c>
      <c r="C140" s="204">
        <f ca="1">IF($Q140&lt;&gt;2,0,IF($R140=0,1,IF(E141&gt;0,OFFSET(QCI!$N$13,SUBSTITUTE(E141,".",""),0),OFFSET(ORÇAMENTO!$AB$15,CRONO!$E140,0))/$R140))</f>
        <v>1</v>
      </c>
      <c r="D140" s="207" t="e">
        <f ca="1">IF(AND($Q140=2,ACOMPANHAMENTO="BM"),D141,D142/$R140)</f>
        <v>#DIV/0!</v>
      </c>
      <c r="E140" s="204">
        <f ca="1">IF(A140&lt;=ORÇAMENTO.MáximoListaCrono,MATCH(A140,ORÇAMENTO.ListaCrono,0),NA())</f>
        <v>338</v>
      </c>
      <c r="F140" s="204" t="str">
        <f t="shared" ref="F140" ca="1" si="298">IF(AND($E141&lt;&gt;-1,$R140&gt;0),"F","")</f>
        <v/>
      </c>
      <c r="G140" s="208" t="str">
        <f ca="1">IF(OR(R140=0,R140=""),"Linha",IF(AND(OR(ACOMPANHAMENTO="PLE",$Q140&lt;&gt;2),$E141=0),"Linha",1-SUM(T140:AF140)))</f>
        <v>Linha</v>
      </c>
      <c r="H140" s="209" t="str">
        <f ca="1">IF($E141=0,OFFSET(ORÇAMENTO!O$15,$E140,0),IF($E141&lt;&gt;-1,OFFSET(QCI!$D$13,$E141,0),""))</f>
        <v>1.42.</v>
      </c>
      <c r="I140" s="210" t="str">
        <f ca="1">IF($E141=0,OFFSET(ORÇAMENTO!R$15,$E140,0),IF($E141&lt;&gt;-1,OFFSET(QCI!$G$13,$E141,0),""))</f>
        <v>INSTALAÇÃO SANITÁRIA - VENTILAÇÃO</v>
      </c>
      <c r="J140" s="210"/>
      <c r="K140" s="210"/>
      <c r="L140" s="211">
        <f ca="1">IF($E141=0,OFFSET(ORÇAMENTO!C$15,$E140,0),1)</f>
        <v>2</v>
      </c>
      <c r="M140" s="212">
        <f ca="1">IF($E141=-1,0,IF(M$13&lt;=$L140,IF(ISERROR(MATCH(M$13,OFFSET($L140,1,0,ROW($L$260)-ROW($L140)-1),0)),ROW($L$260)-ROW($L140)-1,MATCH(M$13,OFFSET($L140,1,0,ROW($L$260)-ROW($L140)-1),0)-1),0))</f>
        <v>119</v>
      </c>
      <c r="N140" s="212">
        <f ca="1">IF($E141=-1,0,IF(N$13&lt;=$L140,IF(ISERROR(MATCH(N$13,OFFSET($L140,1,0,ROW($L$260)-ROW($L140)-1),0)),ROW($L$260)-ROW($L140)-1,MATCH(N$13,OFFSET($L140,1,0,ROW($L$260)-ROW($L140)-1),0)-1),0))</f>
        <v>2</v>
      </c>
      <c r="O140" s="212">
        <f ca="1">IF($E141=-1,0,IF(O$13&lt;=$L140,IF(ISERROR(MATCH(O$13,OFFSET($L140,1,0,ROW($L$260)-ROW($L140)-1),0)),ROW($L$260)-ROW($L140)-1,MATCH(O$13,OFFSET($L140,1,0,ROW($L$260)-ROW($L140)-1),0)-1),0))</f>
        <v>0</v>
      </c>
      <c r="P140" s="212">
        <f ca="1">IF($E141=-1,0,IF(P$13&lt;=$L140,IF(ISERROR(MATCH(P$13,OFFSET($L140,1,0,ROW($L$260)-ROW($L140)-1),0)),ROW($L$260)-ROW($L140)-1,MATCH(P$13,OFFSET($L140,1,0,ROW($L$260)-ROW($L140)-1),0)-1),0))</f>
        <v>0</v>
      </c>
      <c r="Q140" s="212">
        <f t="shared" ref="Q140" ca="1" si="299">MIN(OFFSET(L140,0,1,,L140))</f>
        <v>2</v>
      </c>
      <c r="R140" s="213">
        <f ca="1">IF($E141=0,OFFSET(ORÇAMENTO!X$15,$E140,0),IF($E141&lt;&gt;-1,OFFSET(QCI!$O$13,$E141,0),""))</f>
        <v>0</v>
      </c>
      <c r="S140" s="214" t="s">
        <v>270</v>
      </c>
      <c r="T140" s="215" t="e">
        <f t="shared" ref="T140:AE140" ca="1" si="300">IF(AND($Q140=2,ACOMPANHAMENTO="BM"),T141,T142/$R140)</f>
        <v>#DIV/0!</v>
      </c>
      <c r="U140" s="207" t="e">
        <f t="shared" ca="1" si="300"/>
        <v>#DIV/0!</v>
      </c>
      <c r="V140" s="207" t="e">
        <f t="shared" ca="1" si="300"/>
        <v>#DIV/0!</v>
      </c>
      <c r="W140" s="207" t="e">
        <f t="shared" ca="1" si="300"/>
        <v>#DIV/0!</v>
      </c>
      <c r="X140" s="207" t="e">
        <f t="shared" ca="1" si="300"/>
        <v>#DIV/0!</v>
      </c>
      <c r="Y140" s="207" t="e">
        <f t="shared" ca="1" si="300"/>
        <v>#DIV/0!</v>
      </c>
      <c r="Z140" s="207" t="e">
        <f t="shared" ca="1" si="300"/>
        <v>#DIV/0!</v>
      </c>
      <c r="AA140" s="207" t="e">
        <f t="shared" ca="1" si="300"/>
        <v>#DIV/0!</v>
      </c>
      <c r="AB140" s="207" t="e">
        <f t="shared" ca="1" si="300"/>
        <v>#DIV/0!</v>
      </c>
      <c r="AC140" s="207" t="e">
        <f t="shared" ca="1" si="300"/>
        <v>#DIV/0!</v>
      </c>
      <c r="AD140" s="207" t="e">
        <f t="shared" ca="1" si="300"/>
        <v>#DIV/0!</v>
      </c>
      <c r="AE140" s="216" t="e">
        <f t="shared" ca="1" si="300"/>
        <v>#DIV/0!</v>
      </c>
    </row>
    <row r="141" spans="1:32" ht="12.75" customHeight="1" x14ac:dyDescent="0.2">
      <c r="D141" s="569"/>
      <c r="E141" s="204">
        <f ca="1">IF(ISERROR(E140),IF(1+COUNTIF($L$13:OFFSET(L140,-1,0),1)&lt;=MAX(QCI!$D$13:$D$24),1+COUNTIF($L$13:OFFSET(L140,-1,0),1),-1),0)</f>
        <v>0</v>
      </c>
      <c r="F141" s="204" t="str">
        <f t="shared" ref="F141" ca="1" si="301">IF(AND($E141&lt;&gt;-1,$R140&gt;0),"F","")</f>
        <v/>
      </c>
      <c r="G141" s="217" t="str">
        <f ca="1">IF(OR(R140=0,R140=""),"vazia",IF(AND(OR(ACOMPANHAMENTO="PLE",$Q140&lt;&gt;2),$E141=0),"calculada","--&gt;"))</f>
        <v>vazia</v>
      </c>
      <c r="H141" s="218"/>
      <c r="I141" s="219" t="str">
        <f t="shared" ref="I141" ca="1" si="302">IF(AND(G140&lt;&gt;0,ISNUMBER(G140)),"PREENCHA ESTA LINHA --&gt;","")</f>
        <v/>
      </c>
      <c r="J141" s="219"/>
      <c r="K141" s="219"/>
      <c r="L141" s="220"/>
      <c r="M141" s="220"/>
      <c r="N141" s="220"/>
      <c r="O141" s="220"/>
      <c r="P141" s="220"/>
      <c r="Q141" s="220"/>
      <c r="R141" s="221"/>
      <c r="S141" s="222"/>
      <c r="T141" s="570"/>
      <c r="U141" s="569"/>
      <c r="V141" s="569"/>
      <c r="W141" s="569"/>
      <c r="X141" s="569"/>
      <c r="Y141" s="569"/>
      <c r="Z141" s="569"/>
      <c r="AA141" s="569"/>
      <c r="AB141" s="569"/>
      <c r="AC141" s="569"/>
      <c r="AD141" s="569"/>
      <c r="AE141" s="571"/>
      <c r="AF141" s="533"/>
    </row>
    <row r="142" spans="1:32" ht="0.2" hidden="1" customHeight="1" x14ac:dyDescent="0.2">
      <c r="D142" s="223">
        <f ca="1">IF($Q140=2,IF(AND(ACOMPANHAMENTO="PLE",ISNUMBER($E140)),SUMIF((OFFSET(CÁLCULO!$BC$15:$BU$15,$E140,0,OFFSET(ORÇAMENTO!$D$15,CRONO!$E140,0))),"="&amp;CRONO!D$12,OFFSET(CÁLCULO!$AJ$15:$BB$15,$E140,0,OFFSET(ORÇAMENTO!$D$15,CRONO!$E140,0)))+IF(AND($E142&lt;&gt;"",$E142&lt;&gt;0),SUMIF(CÁLCULO!$BC$15:$BU$727,"="&amp;CRONO!D$12,CÁLCULO!$AJ$15:$BB$727)/(ORÇAMENTO!$X$15-CÁLCULO.TotalAdmLocal)*CRONO!$E142,0),D141*$R140),SUMIF(OFFSET($R142,1,0,$Q140-2),($L140+1)&amp;"$",OFFSET(D142,1,0,$Q140-2)))</f>
        <v>0</v>
      </c>
      <c r="E142" s="204" t="str">
        <f ca="1">IF(OR($Q140&lt;&gt;2,AUTOEVENTO&lt;&gt;"manual",$E141&gt;0),"",SUMIF(OFFSET(CÁLCULO!$M$15,CRONO!$E140,0,OFFSET(ORÇAMENTO!$D$15,CRONO!$E140,0)),1,OFFSET(ORÇAMENTO!$X$15,CRONO!$E140,0,OFFSET(ORÇAMENTO!$D$15,CRONO!$E140,0))))</f>
        <v/>
      </c>
      <c r="G142" s="224"/>
      <c r="R142" s="225" t="str">
        <f t="shared" ref="R142" ca="1" si="303">L140&amp;"$"</f>
        <v>2$</v>
      </c>
      <c r="S142" s="226"/>
      <c r="T142" s="227">
        <f ca="1">IF($Q140=2,IF(AND(ACOMPANHAMENTO="PLE",ISNUMBER($E140)),SUMIF((OFFSET(CÁLCULO!$BC$15:$BU$15,$E140,0,OFFSET(ORÇAMENTO!$D$15,CRONO!$E140,0))),"&lt;="&amp;CRONO!T$12,OFFSET(CÁLCULO!$AJ$15:$BB$15,$E140,0,OFFSET(ORÇAMENTO!$D$15,CRONO!$E140,0)))+IF(AND($E142&lt;&gt;"",$E142&lt;&gt;0),SUMIF(CÁLCULO!$BC$15:$BU$727,"&lt;="&amp;CRONO!T$12,CÁLCULO!$AJ$15:$BB$727)/(ORÇAMENTO!$X$15-CÁLCULO.TotalAdmLocal)*CRONO!$E142,0),T141*$R140),SUMIF(OFFSET($R142,1,0,$Q140-2),($L140+1)&amp;"$",OFFSET(T142,1,0,$Q140-2)))</f>
        <v>0</v>
      </c>
      <c r="U142" s="223">
        <f ca="1">IF($Q140=2,IF(AND(ACOMPANHAMENTO="PLE",ISNUMBER($E140)),SUMIF((OFFSET(CÁLCULO!$BC$15:$BU$15,$E140,0,OFFSET(ORÇAMENTO!$D$15,CRONO!$E140,0))),"="&amp;CRONO!U$12,OFFSET(CÁLCULO!$AJ$15:$BB$15,$E140,0,OFFSET(ORÇAMENTO!$D$15,CRONO!$E140,0)))+IF(AND($E142&lt;&gt;"",$E142&lt;&gt;0),SUMIF(CÁLCULO!$BC$15:$BU$727,"="&amp;CRONO!U$12,CÁLCULO!$AJ$15:$BB$727)/(ORÇAMENTO!$X$15-CÁLCULO.TotalAdmLocal)*CRONO!$E142,0),U141*$R140),SUMIF(OFFSET($R142,1,0,$Q140-2),($L140+1)&amp;"$",OFFSET(U142,1,0,$Q140-2)))</f>
        <v>0</v>
      </c>
      <c r="V142" s="223">
        <f ca="1">IF($Q140=2,IF(AND(ACOMPANHAMENTO="PLE",ISNUMBER($E140)),SUMIF((OFFSET(CÁLCULO!$BC$15:$BU$15,$E140,0,OFFSET(ORÇAMENTO!$D$15,CRONO!$E140,0))),"="&amp;CRONO!V$12,OFFSET(CÁLCULO!$AJ$15:$BB$15,$E140,0,OFFSET(ORÇAMENTO!$D$15,CRONO!$E140,0)))+IF(AND($E142&lt;&gt;"",$E142&lt;&gt;0),SUMIF(CÁLCULO!$BC$15:$BU$727,"="&amp;CRONO!V$12,CÁLCULO!$AJ$15:$BB$727)/(ORÇAMENTO!$X$15-CÁLCULO.TotalAdmLocal)*CRONO!$E142,0),V141*$R140),SUMIF(OFFSET($R142,1,0,$Q140-2),($L140+1)&amp;"$",OFFSET(V142,1,0,$Q140-2)))</f>
        <v>0</v>
      </c>
      <c r="W142" s="223">
        <f ca="1">IF($Q140=2,IF(AND(ACOMPANHAMENTO="PLE",ISNUMBER($E140)),SUMIF((OFFSET(CÁLCULO!$BC$15:$BU$15,$E140,0,OFFSET(ORÇAMENTO!$D$15,CRONO!$E140,0))),"="&amp;CRONO!W$12,OFFSET(CÁLCULO!$AJ$15:$BB$15,$E140,0,OFFSET(ORÇAMENTO!$D$15,CRONO!$E140,0)))+IF(AND($E142&lt;&gt;"",$E142&lt;&gt;0),SUMIF(CÁLCULO!$BC$15:$BU$727,"="&amp;CRONO!W$12,CÁLCULO!$AJ$15:$BB$727)/(ORÇAMENTO!$X$15-CÁLCULO.TotalAdmLocal)*CRONO!$E142,0),W141*$R140),SUMIF(OFFSET($R142,1,0,$Q140-2),($L140+1)&amp;"$",OFFSET(W142,1,0,$Q140-2)))</f>
        <v>0</v>
      </c>
      <c r="X142" s="223">
        <f ca="1">IF($Q140=2,IF(AND(ACOMPANHAMENTO="PLE",ISNUMBER($E140)),SUMIF((OFFSET(CÁLCULO!$BC$15:$BU$15,$E140,0,OFFSET(ORÇAMENTO!$D$15,CRONO!$E140,0))),"="&amp;CRONO!X$12,OFFSET(CÁLCULO!$AJ$15:$BB$15,$E140,0,OFFSET(ORÇAMENTO!$D$15,CRONO!$E140,0)))+IF(AND($E142&lt;&gt;"",$E142&lt;&gt;0),SUMIF(CÁLCULO!$BC$15:$BU$727,"="&amp;CRONO!X$12,CÁLCULO!$AJ$15:$BB$727)/(ORÇAMENTO!$X$15-CÁLCULO.TotalAdmLocal)*CRONO!$E142,0),X141*$R140),SUMIF(OFFSET($R142,1,0,$Q140-2),($L140+1)&amp;"$",OFFSET(X142,1,0,$Q140-2)))</f>
        <v>0</v>
      </c>
      <c r="Y142" s="223">
        <f ca="1">IF($Q140=2,IF(AND(ACOMPANHAMENTO="PLE",ISNUMBER($E140)),SUMIF((OFFSET(CÁLCULO!$BC$15:$BU$15,$E140,0,OFFSET(ORÇAMENTO!$D$15,CRONO!$E140,0))),"="&amp;CRONO!Y$12,OFFSET(CÁLCULO!$AJ$15:$BB$15,$E140,0,OFFSET(ORÇAMENTO!$D$15,CRONO!$E140,0)))+IF(AND($E142&lt;&gt;"",$E142&lt;&gt;0),SUMIF(CÁLCULO!$BC$15:$BU$727,"="&amp;CRONO!Y$12,CÁLCULO!$AJ$15:$BB$727)/(ORÇAMENTO!$X$15-CÁLCULO.TotalAdmLocal)*CRONO!$E142,0),Y141*$R140),SUMIF(OFFSET($R142,1,0,$Q140-2),($L140+1)&amp;"$",OFFSET(Y142,1,0,$Q140-2)))</f>
        <v>0</v>
      </c>
      <c r="Z142" s="223">
        <f ca="1">IF($Q140=2,IF(AND(ACOMPANHAMENTO="PLE",ISNUMBER($E140)),SUMIF((OFFSET(CÁLCULO!$BC$15:$BU$15,$E140,0,OFFSET(ORÇAMENTO!$D$15,CRONO!$E140,0))),"="&amp;CRONO!Z$12,OFFSET(CÁLCULO!$AJ$15:$BB$15,$E140,0,OFFSET(ORÇAMENTO!$D$15,CRONO!$E140,0)))+IF(AND($E142&lt;&gt;"",$E142&lt;&gt;0),SUMIF(CÁLCULO!$BC$15:$BU$727,"="&amp;CRONO!Z$12,CÁLCULO!$AJ$15:$BB$727)/(ORÇAMENTO!$X$15-CÁLCULO.TotalAdmLocal)*CRONO!$E142,0),Z141*$R140),SUMIF(OFFSET($R142,1,0,$Q140-2),($L140+1)&amp;"$",OFFSET(Z142,1,0,$Q140-2)))</f>
        <v>0</v>
      </c>
      <c r="AA142" s="223">
        <f ca="1">IF($Q140=2,IF(AND(ACOMPANHAMENTO="PLE",ISNUMBER($E140)),SUMIF((OFFSET(CÁLCULO!$BC$15:$BU$15,$E140,0,OFFSET(ORÇAMENTO!$D$15,CRONO!$E140,0))),"="&amp;CRONO!AA$12,OFFSET(CÁLCULO!$AJ$15:$BB$15,$E140,0,OFFSET(ORÇAMENTO!$D$15,CRONO!$E140,0)))+IF(AND($E142&lt;&gt;"",$E142&lt;&gt;0),SUMIF(CÁLCULO!$BC$15:$BU$727,"="&amp;CRONO!AA$12,CÁLCULO!$AJ$15:$BB$727)/(ORÇAMENTO!$X$15-CÁLCULO.TotalAdmLocal)*CRONO!$E142,0),AA141*$R140),SUMIF(OFFSET($R142,1,0,$Q140-2),($L140+1)&amp;"$",OFFSET(AA142,1,0,$Q140-2)))</f>
        <v>0</v>
      </c>
      <c r="AB142" s="223">
        <f ca="1">IF($Q140=2,IF(AND(ACOMPANHAMENTO="PLE",ISNUMBER($E140)),SUMIF((OFFSET(CÁLCULO!$BC$15:$BU$15,$E140,0,OFFSET(ORÇAMENTO!$D$15,CRONO!$E140,0))),"="&amp;CRONO!AB$12,OFFSET(CÁLCULO!$AJ$15:$BB$15,$E140,0,OFFSET(ORÇAMENTO!$D$15,CRONO!$E140,0)))+IF(AND($E142&lt;&gt;"",$E142&lt;&gt;0),SUMIF(CÁLCULO!$BC$15:$BU$727,"="&amp;CRONO!AB$12,CÁLCULO!$AJ$15:$BB$727)/(ORÇAMENTO!$X$15-CÁLCULO.TotalAdmLocal)*CRONO!$E142,0),AB141*$R140),SUMIF(OFFSET($R142,1,0,$Q140-2),($L140+1)&amp;"$",OFFSET(AB142,1,0,$Q140-2)))</f>
        <v>0</v>
      </c>
      <c r="AC142" s="223">
        <f ca="1">IF($Q140=2,IF(AND(ACOMPANHAMENTO="PLE",ISNUMBER($E140)),SUMIF((OFFSET(CÁLCULO!$BC$15:$BU$15,$E140,0,OFFSET(ORÇAMENTO!$D$15,CRONO!$E140,0))),"="&amp;CRONO!AC$12,OFFSET(CÁLCULO!$AJ$15:$BB$15,$E140,0,OFFSET(ORÇAMENTO!$D$15,CRONO!$E140,0)))+IF(AND($E142&lt;&gt;"",$E142&lt;&gt;0),SUMIF(CÁLCULO!$BC$15:$BU$727,"="&amp;CRONO!AC$12,CÁLCULO!$AJ$15:$BB$727)/(ORÇAMENTO!$X$15-CÁLCULO.TotalAdmLocal)*CRONO!$E142,0),AC141*$R140),SUMIF(OFFSET($R142,1,0,$Q140-2),($L140+1)&amp;"$",OFFSET(AC142,1,0,$Q140-2)))</f>
        <v>0</v>
      </c>
      <c r="AD142" s="223">
        <f ca="1">IF($Q140=2,IF(AND(ACOMPANHAMENTO="PLE",ISNUMBER($E140)),SUMIF((OFFSET(CÁLCULO!$BC$15:$BU$15,$E140,0,OFFSET(ORÇAMENTO!$D$15,CRONO!$E140,0))),"="&amp;CRONO!AD$12,OFFSET(CÁLCULO!$AJ$15:$BB$15,$E140,0,OFFSET(ORÇAMENTO!$D$15,CRONO!$E140,0)))+IF(AND($E142&lt;&gt;"",$E142&lt;&gt;0),SUMIF(CÁLCULO!$BC$15:$BU$727,"="&amp;CRONO!AD$12,CÁLCULO!$AJ$15:$BB$727)/(ORÇAMENTO!$X$15-CÁLCULO.TotalAdmLocal)*CRONO!$E142,0),AD141*$R140),SUMIF(OFFSET($R142,1,0,$Q140-2),($L140+1)&amp;"$",OFFSET(AD142,1,0,$Q140-2)))</f>
        <v>0</v>
      </c>
      <c r="AE142" s="228">
        <f ca="1">IF($Q140=2,IF(AND(ACOMPANHAMENTO="PLE",ISNUMBER($E140)),SUMIF((OFFSET(CÁLCULO!$BC$15:$BU$15,$E140,0,OFFSET(ORÇAMENTO!$D$15,CRONO!$E140,0))),"="&amp;CRONO!AE$12,OFFSET(CÁLCULO!$AJ$15:$BB$15,$E140,0,OFFSET(ORÇAMENTO!$D$15,CRONO!$E140,0)))+IF(AND($E142&lt;&gt;"",$E142&lt;&gt;0),SUMIF(CÁLCULO!$BC$15:$BU$727,"="&amp;CRONO!AE$12,CÁLCULO!$AJ$15:$BB$727)/(ORÇAMENTO!$X$15-CÁLCULO.TotalAdmLocal)*CRONO!$E142,0),AE141*$R140),SUMIF(OFFSET($R142,1,0,$Q140-2),($L140+1)&amp;"$",OFFSET(AE142,1,0,$Q140-2)))</f>
        <v>0</v>
      </c>
    </row>
    <row r="143" spans="1:32" x14ac:dyDescent="0.2">
      <c r="A143" s="204">
        <f t="shared" ref="A143" ca="1" si="304">OFFSET(A143,-3,0)+1</f>
        <v>44</v>
      </c>
      <c r="B143" s="204">
        <f ca="1">IF($Q143&lt;&gt;2,0,IF($R143=0,1,IF(E144&gt;0,OFFSET(QCI!$M$13,SUBSTITUTE(E144,".",""),0),OFFSET(ORÇAMENTO!$AA$15,CRONO!$E143,0))/$R143))</f>
        <v>1</v>
      </c>
      <c r="C143" s="204">
        <f ca="1">IF($Q143&lt;&gt;2,0,IF($R143=0,1,IF(E144&gt;0,OFFSET(QCI!$N$13,SUBSTITUTE(E144,".",""),0),OFFSET(ORÇAMENTO!$AB$15,CRONO!$E143,0))/$R143))</f>
        <v>1</v>
      </c>
      <c r="D143" s="207" t="e">
        <f ca="1">IF(AND($Q143=2,ACOMPANHAMENTO="BM"),D144,D145/$R143)</f>
        <v>#DIV/0!</v>
      </c>
      <c r="E143" s="204">
        <f ca="1">IF(A143&lt;=ORÇAMENTO.MáximoListaCrono,MATCH(A143,ORÇAMENTO.ListaCrono,0),NA())</f>
        <v>350</v>
      </c>
      <c r="F143" s="204" t="str">
        <f t="shared" ref="F143" ca="1" si="305">IF(AND($E144&lt;&gt;-1,$R143&gt;0),"F","")</f>
        <v/>
      </c>
      <c r="G143" s="208" t="str">
        <f ca="1">IF(OR(R143=0,R143=""),"Linha",IF(AND(OR(ACOMPANHAMENTO="PLE",$Q143&lt;&gt;2),$E144=0),"Linha",1-SUM(T143:AF143)))</f>
        <v>Linha</v>
      </c>
      <c r="H143" s="209" t="str">
        <f ca="1">IF($E144=0,OFFSET(ORÇAMENTO!O$15,$E143,0),IF($E144&lt;&gt;-1,OFFSET(QCI!$D$13,$E144,0),""))</f>
        <v>1.43.</v>
      </c>
      <c r="I143" s="210" t="str">
        <f ca="1">IF($E144=0,OFFSET(ORÇAMENTO!R$15,$E143,0),IF($E144&lt;&gt;-1,OFFSET(QCI!$G$13,$E144,0),""))</f>
        <v>LOUÇAS, ACESSÓRIOS E METAIS</v>
      </c>
      <c r="J143" s="210"/>
      <c r="K143" s="210"/>
      <c r="L143" s="211">
        <f ca="1">IF($E144=0,OFFSET(ORÇAMENTO!C$15,$E143,0),1)</f>
        <v>2</v>
      </c>
      <c r="M143" s="212">
        <f ca="1">IF($E144=-1,0,IF(M$13&lt;=$L143,IF(ISERROR(MATCH(M$13,OFFSET($L143,1,0,ROW($L$260)-ROW($L143)-1),0)),ROW($L$260)-ROW($L143)-1,MATCH(M$13,OFFSET($L143,1,0,ROW($L$260)-ROW($L143)-1),0)-1),0))</f>
        <v>116</v>
      </c>
      <c r="N143" s="212">
        <f ca="1">IF($E144=-1,0,IF(N$13&lt;=$L143,IF(ISERROR(MATCH(N$13,OFFSET($L143,1,0,ROW($L$260)-ROW($L143)-1),0)),ROW($L$260)-ROW($L143)-1,MATCH(N$13,OFFSET($L143,1,0,ROW($L$260)-ROW($L143)-1),0)-1),0))</f>
        <v>2</v>
      </c>
      <c r="O143" s="212">
        <f ca="1">IF($E144=-1,0,IF(O$13&lt;=$L143,IF(ISERROR(MATCH(O$13,OFFSET($L143,1,0,ROW($L$260)-ROW($L143)-1),0)),ROW($L$260)-ROW($L143)-1,MATCH(O$13,OFFSET($L143,1,0,ROW($L$260)-ROW($L143)-1),0)-1),0))</f>
        <v>0</v>
      </c>
      <c r="P143" s="212">
        <f ca="1">IF($E144=-1,0,IF(P$13&lt;=$L143,IF(ISERROR(MATCH(P$13,OFFSET($L143,1,0,ROW($L$260)-ROW($L143)-1),0)),ROW($L$260)-ROW($L143)-1,MATCH(P$13,OFFSET($L143,1,0,ROW($L$260)-ROW($L143)-1),0)-1),0))</f>
        <v>0</v>
      </c>
      <c r="Q143" s="212">
        <f t="shared" ref="Q143" ca="1" si="306">MIN(OFFSET(L143,0,1,,L143))</f>
        <v>2</v>
      </c>
      <c r="R143" s="213">
        <f ca="1">IF($E144=0,OFFSET(ORÇAMENTO!X$15,$E143,0),IF($E144&lt;&gt;-1,OFFSET(QCI!$O$13,$E144,0),""))</f>
        <v>0</v>
      </c>
      <c r="S143" s="214" t="s">
        <v>270</v>
      </c>
      <c r="T143" s="215" t="e">
        <f t="shared" ref="T143:AE143" ca="1" si="307">IF(AND($Q143=2,ACOMPANHAMENTO="BM"),T144,T145/$R143)</f>
        <v>#DIV/0!</v>
      </c>
      <c r="U143" s="207" t="e">
        <f t="shared" ca="1" si="307"/>
        <v>#DIV/0!</v>
      </c>
      <c r="V143" s="207" t="e">
        <f t="shared" ca="1" si="307"/>
        <v>#DIV/0!</v>
      </c>
      <c r="W143" s="207" t="e">
        <f t="shared" ca="1" si="307"/>
        <v>#DIV/0!</v>
      </c>
      <c r="X143" s="207" t="e">
        <f t="shared" ca="1" si="307"/>
        <v>#DIV/0!</v>
      </c>
      <c r="Y143" s="207" t="e">
        <f t="shared" ca="1" si="307"/>
        <v>#DIV/0!</v>
      </c>
      <c r="Z143" s="207" t="e">
        <f t="shared" ca="1" si="307"/>
        <v>#DIV/0!</v>
      </c>
      <c r="AA143" s="207" t="e">
        <f t="shared" ca="1" si="307"/>
        <v>#DIV/0!</v>
      </c>
      <c r="AB143" s="207" t="e">
        <f t="shared" ca="1" si="307"/>
        <v>#DIV/0!</v>
      </c>
      <c r="AC143" s="207" t="e">
        <f t="shared" ca="1" si="307"/>
        <v>#DIV/0!</v>
      </c>
      <c r="AD143" s="207" t="e">
        <f t="shared" ca="1" si="307"/>
        <v>#DIV/0!</v>
      </c>
      <c r="AE143" s="216" t="e">
        <f t="shared" ca="1" si="307"/>
        <v>#DIV/0!</v>
      </c>
    </row>
    <row r="144" spans="1:32" ht="12.75" customHeight="1" x14ac:dyDescent="0.2">
      <c r="D144" s="569"/>
      <c r="E144" s="204">
        <f ca="1">IF(ISERROR(E143),IF(1+COUNTIF($L$13:OFFSET(L143,-1,0),1)&lt;=MAX(QCI!$D$13:$D$24),1+COUNTIF($L$13:OFFSET(L143,-1,0),1),-1),0)</f>
        <v>0</v>
      </c>
      <c r="F144" s="204" t="str">
        <f t="shared" ref="F144" ca="1" si="308">IF(AND($E144&lt;&gt;-1,$R143&gt;0),"F","")</f>
        <v/>
      </c>
      <c r="G144" s="217" t="str">
        <f ca="1">IF(OR(R143=0,R143=""),"vazia",IF(AND(OR(ACOMPANHAMENTO="PLE",$Q143&lt;&gt;2),$E144=0),"calculada","--&gt;"))</f>
        <v>vazia</v>
      </c>
      <c r="H144" s="218"/>
      <c r="I144" s="219" t="str">
        <f t="shared" ref="I144" ca="1" si="309">IF(AND(G143&lt;&gt;0,ISNUMBER(G143)),"PREENCHA ESTA LINHA --&gt;","")</f>
        <v/>
      </c>
      <c r="J144" s="219"/>
      <c r="K144" s="219"/>
      <c r="L144" s="220"/>
      <c r="M144" s="220"/>
      <c r="N144" s="220"/>
      <c r="O144" s="220"/>
      <c r="P144" s="220"/>
      <c r="Q144" s="220"/>
      <c r="R144" s="221"/>
      <c r="S144" s="222"/>
      <c r="T144" s="570"/>
      <c r="U144" s="569"/>
      <c r="V144" s="569"/>
      <c r="W144" s="569"/>
      <c r="X144" s="569"/>
      <c r="Y144" s="569"/>
      <c r="Z144" s="569"/>
      <c r="AA144" s="569"/>
      <c r="AB144" s="569"/>
      <c r="AC144" s="569"/>
      <c r="AD144" s="569"/>
      <c r="AE144" s="571"/>
      <c r="AF144" s="533"/>
    </row>
    <row r="145" spans="1:32" ht="0.2" hidden="1" customHeight="1" x14ac:dyDescent="0.2">
      <c r="D145" s="223">
        <f ca="1">IF($Q143=2,IF(AND(ACOMPANHAMENTO="PLE",ISNUMBER($E143)),SUMIF((OFFSET(CÁLCULO!$BC$15:$BU$15,$E143,0,OFFSET(ORÇAMENTO!$D$15,CRONO!$E143,0))),"="&amp;CRONO!D$12,OFFSET(CÁLCULO!$AJ$15:$BB$15,$E143,0,OFFSET(ORÇAMENTO!$D$15,CRONO!$E143,0)))+IF(AND($E145&lt;&gt;"",$E145&lt;&gt;0),SUMIF(CÁLCULO!$BC$15:$BU$727,"="&amp;CRONO!D$12,CÁLCULO!$AJ$15:$BB$727)/(ORÇAMENTO!$X$15-CÁLCULO.TotalAdmLocal)*CRONO!$E145,0),D144*$R143),SUMIF(OFFSET($R145,1,0,$Q143-2),($L143+1)&amp;"$",OFFSET(D145,1,0,$Q143-2)))</f>
        <v>0</v>
      </c>
      <c r="E145" s="204" t="str">
        <f ca="1">IF(OR($Q143&lt;&gt;2,AUTOEVENTO&lt;&gt;"manual",$E144&gt;0),"",SUMIF(OFFSET(CÁLCULO!$M$15,CRONO!$E143,0,OFFSET(ORÇAMENTO!$D$15,CRONO!$E143,0)),1,OFFSET(ORÇAMENTO!$X$15,CRONO!$E143,0,OFFSET(ORÇAMENTO!$D$15,CRONO!$E143,0))))</f>
        <v/>
      </c>
      <c r="G145" s="224"/>
      <c r="R145" s="225" t="str">
        <f t="shared" ref="R145" ca="1" si="310">L143&amp;"$"</f>
        <v>2$</v>
      </c>
      <c r="S145" s="226"/>
      <c r="T145" s="227">
        <f ca="1">IF($Q143=2,IF(AND(ACOMPANHAMENTO="PLE",ISNUMBER($E143)),SUMIF((OFFSET(CÁLCULO!$BC$15:$BU$15,$E143,0,OFFSET(ORÇAMENTO!$D$15,CRONO!$E143,0))),"&lt;="&amp;CRONO!T$12,OFFSET(CÁLCULO!$AJ$15:$BB$15,$E143,0,OFFSET(ORÇAMENTO!$D$15,CRONO!$E143,0)))+IF(AND($E145&lt;&gt;"",$E145&lt;&gt;0),SUMIF(CÁLCULO!$BC$15:$BU$727,"&lt;="&amp;CRONO!T$12,CÁLCULO!$AJ$15:$BB$727)/(ORÇAMENTO!$X$15-CÁLCULO.TotalAdmLocal)*CRONO!$E145,0),T144*$R143),SUMIF(OFFSET($R145,1,0,$Q143-2),($L143+1)&amp;"$",OFFSET(T145,1,0,$Q143-2)))</f>
        <v>0</v>
      </c>
      <c r="U145" s="223">
        <f ca="1">IF($Q143=2,IF(AND(ACOMPANHAMENTO="PLE",ISNUMBER($E143)),SUMIF((OFFSET(CÁLCULO!$BC$15:$BU$15,$E143,0,OFFSET(ORÇAMENTO!$D$15,CRONO!$E143,0))),"="&amp;CRONO!U$12,OFFSET(CÁLCULO!$AJ$15:$BB$15,$E143,0,OFFSET(ORÇAMENTO!$D$15,CRONO!$E143,0)))+IF(AND($E145&lt;&gt;"",$E145&lt;&gt;0),SUMIF(CÁLCULO!$BC$15:$BU$727,"="&amp;CRONO!U$12,CÁLCULO!$AJ$15:$BB$727)/(ORÇAMENTO!$X$15-CÁLCULO.TotalAdmLocal)*CRONO!$E145,0),U144*$R143),SUMIF(OFFSET($R145,1,0,$Q143-2),($L143+1)&amp;"$",OFFSET(U145,1,0,$Q143-2)))</f>
        <v>0</v>
      </c>
      <c r="V145" s="223">
        <f ca="1">IF($Q143=2,IF(AND(ACOMPANHAMENTO="PLE",ISNUMBER($E143)),SUMIF((OFFSET(CÁLCULO!$BC$15:$BU$15,$E143,0,OFFSET(ORÇAMENTO!$D$15,CRONO!$E143,0))),"="&amp;CRONO!V$12,OFFSET(CÁLCULO!$AJ$15:$BB$15,$E143,0,OFFSET(ORÇAMENTO!$D$15,CRONO!$E143,0)))+IF(AND($E145&lt;&gt;"",$E145&lt;&gt;0),SUMIF(CÁLCULO!$BC$15:$BU$727,"="&amp;CRONO!V$12,CÁLCULO!$AJ$15:$BB$727)/(ORÇAMENTO!$X$15-CÁLCULO.TotalAdmLocal)*CRONO!$E145,0),V144*$R143),SUMIF(OFFSET($R145,1,0,$Q143-2),($L143+1)&amp;"$",OFFSET(V145,1,0,$Q143-2)))</f>
        <v>0</v>
      </c>
      <c r="W145" s="223">
        <f ca="1">IF($Q143=2,IF(AND(ACOMPANHAMENTO="PLE",ISNUMBER($E143)),SUMIF((OFFSET(CÁLCULO!$BC$15:$BU$15,$E143,0,OFFSET(ORÇAMENTO!$D$15,CRONO!$E143,0))),"="&amp;CRONO!W$12,OFFSET(CÁLCULO!$AJ$15:$BB$15,$E143,0,OFFSET(ORÇAMENTO!$D$15,CRONO!$E143,0)))+IF(AND($E145&lt;&gt;"",$E145&lt;&gt;0),SUMIF(CÁLCULO!$BC$15:$BU$727,"="&amp;CRONO!W$12,CÁLCULO!$AJ$15:$BB$727)/(ORÇAMENTO!$X$15-CÁLCULO.TotalAdmLocal)*CRONO!$E145,0),W144*$R143),SUMIF(OFFSET($R145,1,0,$Q143-2),($L143+1)&amp;"$",OFFSET(W145,1,0,$Q143-2)))</f>
        <v>0</v>
      </c>
      <c r="X145" s="223">
        <f ca="1">IF($Q143=2,IF(AND(ACOMPANHAMENTO="PLE",ISNUMBER($E143)),SUMIF((OFFSET(CÁLCULO!$BC$15:$BU$15,$E143,0,OFFSET(ORÇAMENTO!$D$15,CRONO!$E143,0))),"="&amp;CRONO!X$12,OFFSET(CÁLCULO!$AJ$15:$BB$15,$E143,0,OFFSET(ORÇAMENTO!$D$15,CRONO!$E143,0)))+IF(AND($E145&lt;&gt;"",$E145&lt;&gt;0),SUMIF(CÁLCULO!$BC$15:$BU$727,"="&amp;CRONO!X$12,CÁLCULO!$AJ$15:$BB$727)/(ORÇAMENTO!$X$15-CÁLCULO.TotalAdmLocal)*CRONO!$E145,0),X144*$R143),SUMIF(OFFSET($R145,1,0,$Q143-2),($L143+1)&amp;"$",OFFSET(X145,1,0,$Q143-2)))</f>
        <v>0</v>
      </c>
      <c r="Y145" s="223">
        <f ca="1">IF($Q143=2,IF(AND(ACOMPANHAMENTO="PLE",ISNUMBER($E143)),SUMIF((OFFSET(CÁLCULO!$BC$15:$BU$15,$E143,0,OFFSET(ORÇAMENTO!$D$15,CRONO!$E143,0))),"="&amp;CRONO!Y$12,OFFSET(CÁLCULO!$AJ$15:$BB$15,$E143,0,OFFSET(ORÇAMENTO!$D$15,CRONO!$E143,0)))+IF(AND($E145&lt;&gt;"",$E145&lt;&gt;0),SUMIF(CÁLCULO!$BC$15:$BU$727,"="&amp;CRONO!Y$12,CÁLCULO!$AJ$15:$BB$727)/(ORÇAMENTO!$X$15-CÁLCULO.TotalAdmLocal)*CRONO!$E145,0),Y144*$R143),SUMIF(OFFSET($R145,1,0,$Q143-2),($L143+1)&amp;"$",OFFSET(Y145,1,0,$Q143-2)))</f>
        <v>0</v>
      </c>
      <c r="Z145" s="223">
        <f ca="1">IF($Q143=2,IF(AND(ACOMPANHAMENTO="PLE",ISNUMBER($E143)),SUMIF((OFFSET(CÁLCULO!$BC$15:$BU$15,$E143,0,OFFSET(ORÇAMENTO!$D$15,CRONO!$E143,0))),"="&amp;CRONO!Z$12,OFFSET(CÁLCULO!$AJ$15:$BB$15,$E143,0,OFFSET(ORÇAMENTO!$D$15,CRONO!$E143,0)))+IF(AND($E145&lt;&gt;"",$E145&lt;&gt;0),SUMIF(CÁLCULO!$BC$15:$BU$727,"="&amp;CRONO!Z$12,CÁLCULO!$AJ$15:$BB$727)/(ORÇAMENTO!$X$15-CÁLCULO.TotalAdmLocal)*CRONO!$E145,0),Z144*$R143),SUMIF(OFFSET($R145,1,0,$Q143-2),($L143+1)&amp;"$",OFFSET(Z145,1,0,$Q143-2)))</f>
        <v>0</v>
      </c>
      <c r="AA145" s="223">
        <f ca="1">IF($Q143=2,IF(AND(ACOMPANHAMENTO="PLE",ISNUMBER($E143)),SUMIF((OFFSET(CÁLCULO!$BC$15:$BU$15,$E143,0,OFFSET(ORÇAMENTO!$D$15,CRONO!$E143,0))),"="&amp;CRONO!AA$12,OFFSET(CÁLCULO!$AJ$15:$BB$15,$E143,0,OFFSET(ORÇAMENTO!$D$15,CRONO!$E143,0)))+IF(AND($E145&lt;&gt;"",$E145&lt;&gt;0),SUMIF(CÁLCULO!$BC$15:$BU$727,"="&amp;CRONO!AA$12,CÁLCULO!$AJ$15:$BB$727)/(ORÇAMENTO!$X$15-CÁLCULO.TotalAdmLocal)*CRONO!$E145,0),AA144*$R143),SUMIF(OFFSET($R145,1,0,$Q143-2),($L143+1)&amp;"$",OFFSET(AA145,1,0,$Q143-2)))</f>
        <v>0</v>
      </c>
      <c r="AB145" s="223">
        <f ca="1">IF($Q143=2,IF(AND(ACOMPANHAMENTO="PLE",ISNUMBER($E143)),SUMIF((OFFSET(CÁLCULO!$BC$15:$BU$15,$E143,0,OFFSET(ORÇAMENTO!$D$15,CRONO!$E143,0))),"="&amp;CRONO!AB$12,OFFSET(CÁLCULO!$AJ$15:$BB$15,$E143,0,OFFSET(ORÇAMENTO!$D$15,CRONO!$E143,0)))+IF(AND($E145&lt;&gt;"",$E145&lt;&gt;0),SUMIF(CÁLCULO!$BC$15:$BU$727,"="&amp;CRONO!AB$12,CÁLCULO!$AJ$15:$BB$727)/(ORÇAMENTO!$X$15-CÁLCULO.TotalAdmLocal)*CRONO!$E145,0),AB144*$R143),SUMIF(OFFSET($R145,1,0,$Q143-2),($L143+1)&amp;"$",OFFSET(AB145,1,0,$Q143-2)))</f>
        <v>0</v>
      </c>
      <c r="AC145" s="223">
        <f ca="1">IF($Q143=2,IF(AND(ACOMPANHAMENTO="PLE",ISNUMBER($E143)),SUMIF((OFFSET(CÁLCULO!$BC$15:$BU$15,$E143,0,OFFSET(ORÇAMENTO!$D$15,CRONO!$E143,0))),"="&amp;CRONO!AC$12,OFFSET(CÁLCULO!$AJ$15:$BB$15,$E143,0,OFFSET(ORÇAMENTO!$D$15,CRONO!$E143,0)))+IF(AND($E145&lt;&gt;"",$E145&lt;&gt;0),SUMIF(CÁLCULO!$BC$15:$BU$727,"="&amp;CRONO!AC$12,CÁLCULO!$AJ$15:$BB$727)/(ORÇAMENTO!$X$15-CÁLCULO.TotalAdmLocal)*CRONO!$E145,0),AC144*$R143),SUMIF(OFFSET($R145,1,0,$Q143-2),($L143+1)&amp;"$",OFFSET(AC145,1,0,$Q143-2)))</f>
        <v>0</v>
      </c>
      <c r="AD145" s="223">
        <f ca="1">IF($Q143=2,IF(AND(ACOMPANHAMENTO="PLE",ISNUMBER($E143)),SUMIF((OFFSET(CÁLCULO!$BC$15:$BU$15,$E143,0,OFFSET(ORÇAMENTO!$D$15,CRONO!$E143,0))),"="&amp;CRONO!AD$12,OFFSET(CÁLCULO!$AJ$15:$BB$15,$E143,0,OFFSET(ORÇAMENTO!$D$15,CRONO!$E143,0)))+IF(AND($E145&lt;&gt;"",$E145&lt;&gt;0),SUMIF(CÁLCULO!$BC$15:$BU$727,"="&amp;CRONO!AD$12,CÁLCULO!$AJ$15:$BB$727)/(ORÇAMENTO!$X$15-CÁLCULO.TotalAdmLocal)*CRONO!$E145,0),AD144*$R143),SUMIF(OFFSET($R145,1,0,$Q143-2),($L143+1)&amp;"$",OFFSET(AD145,1,0,$Q143-2)))</f>
        <v>0</v>
      </c>
      <c r="AE145" s="228">
        <f ca="1">IF($Q143=2,IF(AND(ACOMPANHAMENTO="PLE",ISNUMBER($E143)),SUMIF((OFFSET(CÁLCULO!$BC$15:$BU$15,$E143,0,OFFSET(ORÇAMENTO!$D$15,CRONO!$E143,0))),"="&amp;CRONO!AE$12,OFFSET(CÁLCULO!$AJ$15:$BB$15,$E143,0,OFFSET(ORÇAMENTO!$D$15,CRONO!$E143,0)))+IF(AND($E145&lt;&gt;"",$E145&lt;&gt;0),SUMIF(CÁLCULO!$BC$15:$BU$727,"="&amp;CRONO!AE$12,CÁLCULO!$AJ$15:$BB$727)/(ORÇAMENTO!$X$15-CÁLCULO.TotalAdmLocal)*CRONO!$E145,0),AE144*$R143),SUMIF(OFFSET($R145,1,0,$Q143-2),($L143+1)&amp;"$",OFFSET(AE145,1,0,$Q143-2)))</f>
        <v>0</v>
      </c>
    </row>
    <row r="146" spans="1:32" x14ac:dyDescent="0.2">
      <c r="A146" s="204">
        <f t="shared" ref="A146" ca="1" si="311">OFFSET(A146,-3,0)+1</f>
        <v>45</v>
      </c>
      <c r="B146" s="204">
        <f ca="1">IF($Q146&lt;&gt;2,0,IF($R146=0,1,IF(E147&gt;0,OFFSET(QCI!$M$13,SUBSTITUTE(E147,".",""),0),OFFSET(ORÇAMENTO!$AA$15,CRONO!$E146,0))/$R146))</f>
        <v>1</v>
      </c>
      <c r="C146" s="204">
        <f ca="1">IF($Q146&lt;&gt;2,0,IF($R146=0,1,IF(E147&gt;0,OFFSET(QCI!$N$13,SUBSTITUTE(E147,".",""),0),OFFSET(ORÇAMENTO!$AB$15,CRONO!$E146,0))/$R146))</f>
        <v>1</v>
      </c>
      <c r="D146" s="207" t="e">
        <f ca="1">IF(AND($Q146=2,ACOMPANHAMENTO="BM"),D147,D148/$R146)</f>
        <v>#DIV/0!</v>
      </c>
      <c r="E146" s="204">
        <f ca="1">IF(A146&lt;=ORÇAMENTO.MáximoListaCrono,MATCH(A146,ORÇAMENTO.ListaCrono,0),NA())</f>
        <v>387</v>
      </c>
      <c r="F146" s="204" t="str">
        <f t="shared" ref="F146" ca="1" si="312">IF(AND($E147&lt;&gt;-1,$R146&gt;0),"F","")</f>
        <v/>
      </c>
      <c r="G146" s="208" t="str">
        <f ca="1">IF(OR(R146=0,R146=""),"Linha",IF(AND(OR(ACOMPANHAMENTO="PLE",$Q146&lt;&gt;2),$E147=0),"Linha",1-SUM(T146:AF146)))</f>
        <v>Linha</v>
      </c>
      <c r="H146" s="209" t="str">
        <f ca="1">IF($E147=0,OFFSET(ORÇAMENTO!O$15,$E146,0),IF($E147&lt;&gt;-1,OFFSET(QCI!$D$13,$E147,0),""))</f>
        <v>1.44.</v>
      </c>
      <c r="I146" s="210" t="str">
        <f ca="1">IF($E147=0,OFFSET(ORÇAMENTO!R$15,$E146,0),IF($E147&lt;&gt;-1,OFFSET(QCI!$G$13,$E147,0),""))</f>
        <v>INSTALAÇÃO DE GÁS COMBUSTÍVEL</v>
      </c>
      <c r="J146" s="210"/>
      <c r="K146" s="210"/>
      <c r="L146" s="211">
        <f ca="1">IF($E147=0,OFFSET(ORÇAMENTO!C$15,$E146,0),1)</f>
        <v>2</v>
      </c>
      <c r="M146" s="212">
        <f ca="1">IF($E147=-1,0,IF(M$13&lt;=$L146,IF(ISERROR(MATCH(M$13,OFFSET($L146,1,0,ROW($L$260)-ROW($L146)-1),0)),ROW($L$260)-ROW($L146)-1,MATCH(M$13,OFFSET($L146,1,0,ROW($L$260)-ROW($L146)-1),0)-1),0))</f>
        <v>113</v>
      </c>
      <c r="N146" s="212">
        <f ca="1">IF($E147=-1,0,IF(N$13&lt;=$L146,IF(ISERROR(MATCH(N$13,OFFSET($L146,1,0,ROW($L$260)-ROW($L146)-1),0)),ROW($L$260)-ROW($L146)-1,MATCH(N$13,OFFSET($L146,1,0,ROW($L$260)-ROW($L146)-1),0)-1),0))</f>
        <v>2</v>
      </c>
      <c r="O146" s="212">
        <f ca="1">IF($E147=-1,0,IF(O$13&lt;=$L146,IF(ISERROR(MATCH(O$13,OFFSET($L146,1,0,ROW($L$260)-ROW($L146)-1),0)),ROW($L$260)-ROW($L146)-1,MATCH(O$13,OFFSET($L146,1,0,ROW($L$260)-ROW($L146)-1),0)-1),0))</f>
        <v>0</v>
      </c>
      <c r="P146" s="212">
        <f ca="1">IF($E147=-1,0,IF(P$13&lt;=$L146,IF(ISERROR(MATCH(P$13,OFFSET($L146,1,0,ROW($L$260)-ROW($L146)-1),0)),ROW($L$260)-ROW($L146)-1,MATCH(P$13,OFFSET($L146,1,0,ROW($L$260)-ROW($L146)-1),0)-1),0))</f>
        <v>0</v>
      </c>
      <c r="Q146" s="212">
        <f t="shared" ref="Q146" ca="1" si="313">MIN(OFFSET(L146,0,1,,L146))</f>
        <v>2</v>
      </c>
      <c r="R146" s="213">
        <f ca="1">IF($E147=0,OFFSET(ORÇAMENTO!X$15,$E146,0),IF($E147&lt;&gt;-1,OFFSET(QCI!$O$13,$E147,0),""))</f>
        <v>0</v>
      </c>
      <c r="S146" s="214" t="s">
        <v>270</v>
      </c>
      <c r="T146" s="215" t="e">
        <f t="shared" ref="T146:AE146" ca="1" si="314">IF(AND($Q146=2,ACOMPANHAMENTO="BM"),T147,T148/$R146)</f>
        <v>#DIV/0!</v>
      </c>
      <c r="U146" s="207" t="e">
        <f t="shared" ca="1" si="314"/>
        <v>#DIV/0!</v>
      </c>
      <c r="V146" s="207" t="e">
        <f t="shared" ca="1" si="314"/>
        <v>#DIV/0!</v>
      </c>
      <c r="W146" s="207" t="e">
        <f t="shared" ca="1" si="314"/>
        <v>#DIV/0!</v>
      </c>
      <c r="X146" s="207" t="e">
        <f t="shared" ca="1" si="314"/>
        <v>#DIV/0!</v>
      </c>
      <c r="Y146" s="207" t="e">
        <f t="shared" ca="1" si="314"/>
        <v>#DIV/0!</v>
      </c>
      <c r="Z146" s="207" t="e">
        <f t="shared" ca="1" si="314"/>
        <v>#DIV/0!</v>
      </c>
      <c r="AA146" s="207" t="e">
        <f t="shared" ca="1" si="314"/>
        <v>#DIV/0!</v>
      </c>
      <c r="AB146" s="207" t="e">
        <f t="shared" ca="1" si="314"/>
        <v>#DIV/0!</v>
      </c>
      <c r="AC146" s="207" t="e">
        <f t="shared" ca="1" si="314"/>
        <v>#DIV/0!</v>
      </c>
      <c r="AD146" s="207" t="e">
        <f t="shared" ca="1" si="314"/>
        <v>#DIV/0!</v>
      </c>
      <c r="AE146" s="216" t="e">
        <f t="shared" ca="1" si="314"/>
        <v>#DIV/0!</v>
      </c>
    </row>
    <row r="147" spans="1:32" ht="12.75" customHeight="1" x14ac:dyDescent="0.2">
      <c r="D147" s="569"/>
      <c r="E147" s="204">
        <f ca="1">IF(ISERROR(E146),IF(1+COUNTIF($L$13:OFFSET(L146,-1,0),1)&lt;=MAX(QCI!$D$13:$D$24),1+COUNTIF($L$13:OFFSET(L146,-1,0),1),-1),0)</f>
        <v>0</v>
      </c>
      <c r="F147" s="204" t="str">
        <f t="shared" ref="F147" ca="1" si="315">IF(AND($E147&lt;&gt;-1,$R146&gt;0),"F","")</f>
        <v/>
      </c>
      <c r="G147" s="217" t="str">
        <f ca="1">IF(OR(R146=0,R146=""),"vazia",IF(AND(OR(ACOMPANHAMENTO="PLE",$Q146&lt;&gt;2),$E147=0),"calculada","--&gt;"))</f>
        <v>vazia</v>
      </c>
      <c r="H147" s="218"/>
      <c r="I147" s="219" t="str">
        <f t="shared" ref="I147" ca="1" si="316">IF(AND(G146&lt;&gt;0,ISNUMBER(G146)),"PREENCHA ESTA LINHA --&gt;","")</f>
        <v/>
      </c>
      <c r="J147" s="219"/>
      <c r="K147" s="219"/>
      <c r="L147" s="220"/>
      <c r="M147" s="220"/>
      <c r="N147" s="220"/>
      <c r="O147" s="220"/>
      <c r="P147" s="220"/>
      <c r="Q147" s="220"/>
      <c r="R147" s="221"/>
      <c r="S147" s="222"/>
      <c r="T147" s="570"/>
      <c r="U147" s="569"/>
      <c r="V147" s="569"/>
      <c r="W147" s="569"/>
      <c r="X147" s="569"/>
      <c r="Y147" s="569"/>
      <c r="Z147" s="569"/>
      <c r="AA147" s="569"/>
      <c r="AB147" s="569"/>
      <c r="AC147" s="569"/>
      <c r="AD147" s="569"/>
      <c r="AE147" s="571"/>
      <c r="AF147" s="533"/>
    </row>
    <row r="148" spans="1:32" ht="0.2" hidden="1" customHeight="1" x14ac:dyDescent="0.2">
      <c r="D148" s="223">
        <f ca="1">IF($Q146=2,IF(AND(ACOMPANHAMENTO="PLE",ISNUMBER($E146)),SUMIF((OFFSET(CÁLCULO!$BC$15:$BU$15,$E146,0,OFFSET(ORÇAMENTO!$D$15,CRONO!$E146,0))),"="&amp;CRONO!D$12,OFFSET(CÁLCULO!$AJ$15:$BB$15,$E146,0,OFFSET(ORÇAMENTO!$D$15,CRONO!$E146,0)))+IF(AND($E148&lt;&gt;"",$E148&lt;&gt;0),SUMIF(CÁLCULO!$BC$15:$BU$727,"="&amp;CRONO!D$12,CÁLCULO!$AJ$15:$BB$727)/(ORÇAMENTO!$X$15-CÁLCULO.TotalAdmLocal)*CRONO!$E148,0),D147*$R146),SUMIF(OFFSET($R148,1,0,$Q146-2),($L146+1)&amp;"$",OFFSET(D148,1,0,$Q146-2)))</f>
        <v>0</v>
      </c>
      <c r="E148" s="204" t="str">
        <f ca="1">IF(OR($Q146&lt;&gt;2,AUTOEVENTO&lt;&gt;"manual",$E147&gt;0),"",SUMIF(OFFSET(CÁLCULO!$M$15,CRONO!$E146,0,OFFSET(ORÇAMENTO!$D$15,CRONO!$E146,0)),1,OFFSET(ORÇAMENTO!$X$15,CRONO!$E146,0,OFFSET(ORÇAMENTO!$D$15,CRONO!$E146,0))))</f>
        <v/>
      </c>
      <c r="G148" s="224"/>
      <c r="R148" s="225" t="str">
        <f t="shared" ref="R148" ca="1" si="317">L146&amp;"$"</f>
        <v>2$</v>
      </c>
      <c r="S148" s="226"/>
      <c r="T148" s="227">
        <f ca="1">IF($Q146=2,IF(AND(ACOMPANHAMENTO="PLE",ISNUMBER($E146)),SUMIF((OFFSET(CÁLCULO!$BC$15:$BU$15,$E146,0,OFFSET(ORÇAMENTO!$D$15,CRONO!$E146,0))),"&lt;="&amp;CRONO!T$12,OFFSET(CÁLCULO!$AJ$15:$BB$15,$E146,0,OFFSET(ORÇAMENTO!$D$15,CRONO!$E146,0)))+IF(AND($E148&lt;&gt;"",$E148&lt;&gt;0),SUMIF(CÁLCULO!$BC$15:$BU$727,"&lt;="&amp;CRONO!T$12,CÁLCULO!$AJ$15:$BB$727)/(ORÇAMENTO!$X$15-CÁLCULO.TotalAdmLocal)*CRONO!$E148,0),T147*$R146),SUMIF(OFFSET($R148,1,0,$Q146-2),($L146+1)&amp;"$",OFFSET(T148,1,0,$Q146-2)))</f>
        <v>0</v>
      </c>
      <c r="U148" s="223">
        <f ca="1">IF($Q146=2,IF(AND(ACOMPANHAMENTO="PLE",ISNUMBER($E146)),SUMIF((OFFSET(CÁLCULO!$BC$15:$BU$15,$E146,0,OFFSET(ORÇAMENTO!$D$15,CRONO!$E146,0))),"="&amp;CRONO!U$12,OFFSET(CÁLCULO!$AJ$15:$BB$15,$E146,0,OFFSET(ORÇAMENTO!$D$15,CRONO!$E146,0)))+IF(AND($E148&lt;&gt;"",$E148&lt;&gt;0),SUMIF(CÁLCULO!$BC$15:$BU$727,"="&amp;CRONO!U$12,CÁLCULO!$AJ$15:$BB$727)/(ORÇAMENTO!$X$15-CÁLCULO.TotalAdmLocal)*CRONO!$E148,0),U147*$R146),SUMIF(OFFSET($R148,1,0,$Q146-2),($L146+1)&amp;"$",OFFSET(U148,1,0,$Q146-2)))</f>
        <v>0</v>
      </c>
      <c r="V148" s="223">
        <f ca="1">IF($Q146=2,IF(AND(ACOMPANHAMENTO="PLE",ISNUMBER($E146)),SUMIF((OFFSET(CÁLCULO!$BC$15:$BU$15,$E146,0,OFFSET(ORÇAMENTO!$D$15,CRONO!$E146,0))),"="&amp;CRONO!V$12,OFFSET(CÁLCULO!$AJ$15:$BB$15,$E146,0,OFFSET(ORÇAMENTO!$D$15,CRONO!$E146,0)))+IF(AND($E148&lt;&gt;"",$E148&lt;&gt;0),SUMIF(CÁLCULO!$BC$15:$BU$727,"="&amp;CRONO!V$12,CÁLCULO!$AJ$15:$BB$727)/(ORÇAMENTO!$X$15-CÁLCULO.TotalAdmLocal)*CRONO!$E148,0),V147*$R146),SUMIF(OFFSET($R148,1,0,$Q146-2),($L146+1)&amp;"$",OFFSET(V148,1,0,$Q146-2)))</f>
        <v>0</v>
      </c>
      <c r="W148" s="223">
        <f ca="1">IF($Q146=2,IF(AND(ACOMPANHAMENTO="PLE",ISNUMBER($E146)),SUMIF((OFFSET(CÁLCULO!$BC$15:$BU$15,$E146,0,OFFSET(ORÇAMENTO!$D$15,CRONO!$E146,0))),"="&amp;CRONO!W$12,OFFSET(CÁLCULO!$AJ$15:$BB$15,$E146,0,OFFSET(ORÇAMENTO!$D$15,CRONO!$E146,0)))+IF(AND($E148&lt;&gt;"",$E148&lt;&gt;0),SUMIF(CÁLCULO!$BC$15:$BU$727,"="&amp;CRONO!W$12,CÁLCULO!$AJ$15:$BB$727)/(ORÇAMENTO!$X$15-CÁLCULO.TotalAdmLocal)*CRONO!$E148,0),W147*$R146),SUMIF(OFFSET($R148,1,0,$Q146-2),($L146+1)&amp;"$",OFFSET(W148,1,0,$Q146-2)))</f>
        <v>0</v>
      </c>
      <c r="X148" s="223">
        <f ca="1">IF($Q146=2,IF(AND(ACOMPANHAMENTO="PLE",ISNUMBER($E146)),SUMIF((OFFSET(CÁLCULO!$BC$15:$BU$15,$E146,0,OFFSET(ORÇAMENTO!$D$15,CRONO!$E146,0))),"="&amp;CRONO!X$12,OFFSET(CÁLCULO!$AJ$15:$BB$15,$E146,0,OFFSET(ORÇAMENTO!$D$15,CRONO!$E146,0)))+IF(AND($E148&lt;&gt;"",$E148&lt;&gt;0),SUMIF(CÁLCULO!$BC$15:$BU$727,"="&amp;CRONO!X$12,CÁLCULO!$AJ$15:$BB$727)/(ORÇAMENTO!$X$15-CÁLCULO.TotalAdmLocal)*CRONO!$E148,0),X147*$R146),SUMIF(OFFSET($R148,1,0,$Q146-2),($L146+1)&amp;"$",OFFSET(X148,1,0,$Q146-2)))</f>
        <v>0</v>
      </c>
      <c r="Y148" s="223">
        <f ca="1">IF($Q146=2,IF(AND(ACOMPANHAMENTO="PLE",ISNUMBER($E146)),SUMIF((OFFSET(CÁLCULO!$BC$15:$BU$15,$E146,0,OFFSET(ORÇAMENTO!$D$15,CRONO!$E146,0))),"="&amp;CRONO!Y$12,OFFSET(CÁLCULO!$AJ$15:$BB$15,$E146,0,OFFSET(ORÇAMENTO!$D$15,CRONO!$E146,0)))+IF(AND($E148&lt;&gt;"",$E148&lt;&gt;0),SUMIF(CÁLCULO!$BC$15:$BU$727,"="&amp;CRONO!Y$12,CÁLCULO!$AJ$15:$BB$727)/(ORÇAMENTO!$X$15-CÁLCULO.TotalAdmLocal)*CRONO!$E148,0),Y147*$R146),SUMIF(OFFSET($R148,1,0,$Q146-2),($L146+1)&amp;"$",OFFSET(Y148,1,0,$Q146-2)))</f>
        <v>0</v>
      </c>
      <c r="Z148" s="223">
        <f ca="1">IF($Q146=2,IF(AND(ACOMPANHAMENTO="PLE",ISNUMBER($E146)),SUMIF((OFFSET(CÁLCULO!$BC$15:$BU$15,$E146,0,OFFSET(ORÇAMENTO!$D$15,CRONO!$E146,0))),"="&amp;CRONO!Z$12,OFFSET(CÁLCULO!$AJ$15:$BB$15,$E146,0,OFFSET(ORÇAMENTO!$D$15,CRONO!$E146,0)))+IF(AND($E148&lt;&gt;"",$E148&lt;&gt;0),SUMIF(CÁLCULO!$BC$15:$BU$727,"="&amp;CRONO!Z$12,CÁLCULO!$AJ$15:$BB$727)/(ORÇAMENTO!$X$15-CÁLCULO.TotalAdmLocal)*CRONO!$E148,0),Z147*$R146),SUMIF(OFFSET($R148,1,0,$Q146-2),($L146+1)&amp;"$",OFFSET(Z148,1,0,$Q146-2)))</f>
        <v>0</v>
      </c>
      <c r="AA148" s="223">
        <f ca="1">IF($Q146=2,IF(AND(ACOMPANHAMENTO="PLE",ISNUMBER($E146)),SUMIF((OFFSET(CÁLCULO!$BC$15:$BU$15,$E146,0,OFFSET(ORÇAMENTO!$D$15,CRONO!$E146,0))),"="&amp;CRONO!AA$12,OFFSET(CÁLCULO!$AJ$15:$BB$15,$E146,0,OFFSET(ORÇAMENTO!$D$15,CRONO!$E146,0)))+IF(AND($E148&lt;&gt;"",$E148&lt;&gt;0),SUMIF(CÁLCULO!$BC$15:$BU$727,"="&amp;CRONO!AA$12,CÁLCULO!$AJ$15:$BB$727)/(ORÇAMENTO!$X$15-CÁLCULO.TotalAdmLocal)*CRONO!$E148,0),AA147*$R146),SUMIF(OFFSET($R148,1,0,$Q146-2),($L146+1)&amp;"$",OFFSET(AA148,1,0,$Q146-2)))</f>
        <v>0</v>
      </c>
      <c r="AB148" s="223">
        <f ca="1">IF($Q146=2,IF(AND(ACOMPANHAMENTO="PLE",ISNUMBER($E146)),SUMIF((OFFSET(CÁLCULO!$BC$15:$BU$15,$E146,0,OFFSET(ORÇAMENTO!$D$15,CRONO!$E146,0))),"="&amp;CRONO!AB$12,OFFSET(CÁLCULO!$AJ$15:$BB$15,$E146,0,OFFSET(ORÇAMENTO!$D$15,CRONO!$E146,0)))+IF(AND($E148&lt;&gt;"",$E148&lt;&gt;0),SUMIF(CÁLCULO!$BC$15:$BU$727,"="&amp;CRONO!AB$12,CÁLCULO!$AJ$15:$BB$727)/(ORÇAMENTO!$X$15-CÁLCULO.TotalAdmLocal)*CRONO!$E148,0),AB147*$R146),SUMIF(OFFSET($R148,1,0,$Q146-2),($L146+1)&amp;"$",OFFSET(AB148,1,0,$Q146-2)))</f>
        <v>0</v>
      </c>
      <c r="AC148" s="223">
        <f ca="1">IF($Q146=2,IF(AND(ACOMPANHAMENTO="PLE",ISNUMBER($E146)),SUMIF((OFFSET(CÁLCULO!$BC$15:$BU$15,$E146,0,OFFSET(ORÇAMENTO!$D$15,CRONO!$E146,0))),"="&amp;CRONO!AC$12,OFFSET(CÁLCULO!$AJ$15:$BB$15,$E146,0,OFFSET(ORÇAMENTO!$D$15,CRONO!$E146,0)))+IF(AND($E148&lt;&gt;"",$E148&lt;&gt;0),SUMIF(CÁLCULO!$BC$15:$BU$727,"="&amp;CRONO!AC$12,CÁLCULO!$AJ$15:$BB$727)/(ORÇAMENTO!$X$15-CÁLCULO.TotalAdmLocal)*CRONO!$E148,0),AC147*$R146),SUMIF(OFFSET($R148,1,0,$Q146-2),($L146+1)&amp;"$",OFFSET(AC148,1,0,$Q146-2)))</f>
        <v>0</v>
      </c>
      <c r="AD148" s="223">
        <f ca="1">IF($Q146=2,IF(AND(ACOMPANHAMENTO="PLE",ISNUMBER($E146)),SUMIF((OFFSET(CÁLCULO!$BC$15:$BU$15,$E146,0,OFFSET(ORÇAMENTO!$D$15,CRONO!$E146,0))),"="&amp;CRONO!AD$12,OFFSET(CÁLCULO!$AJ$15:$BB$15,$E146,0,OFFSET(ORÇAMENTO!$D$15,CRONO!$E146,0)))+IF(AND($E148&lt;&gt;"",$E148&lt;&gt;0),SUMIF(CÁLCULO!$BC$15:$BU$727,"="&amp;CRONO!AD$12,CÁLCULO!$AJ$15:$BB$727)/(ORÇAMENTO!$X$15-CÁLCULO.TotalAdmLocal)*CRONO!$E148,0),AD147*$R146),SUMIF(OFFSET($R148,1,0,$Q146-2),($L146+1)&amp;"$",OFFSET(AD148,1,0,$Q146-2)))</f>
        <v>0</v>
      </c>
      <c r="AE148" s="228">
        <f ca="1">IF($Q146=2,IF(AND(ACOMPANHAMENTO="PLE",ISNUMBER($E146)),SUMIF((OFFSET(CÁLCULO!$BC$15:$BU$15,$E146,0,OFFSET(ORÇAMENTO!$D$15,CRONO!$E146,0))),"="&amp;CRONO!AE$12,OFFSET(CÁLCULO!$AJ$15:$BB$15,$E146,0,OFFSET(ORÇAMENTO!$D$15,CRONO!$E146,0)))+IF(AND($E148&lt;&gt;"",$E148&lt;&gt;0),SUMIF(CÁLCULO!$BC$15:$BU$727,"="&amp;CRONO!AE$12,CÁLCULO!$AJ$15:$BB$727)/(ORÇAMENTO!$X$15-CÁLCULO.TotalAdmLocal)*CRONO!$E148,0),AE147*$R146),SUMIF(OFFSET($R148,1,0,$Q146-2),($L146+1)&amp;"$",OFFSET(AE148,1,0,$Q146-2)))</f>
        <v>0</v>
      </c>
    </row>
    <row r="149" spans="1:32" x14ac:dyDescent="0.2">
      <c r="A149" s="204">
        <f t="shared" ref="A149" ca="1" si="318">OFFSET(A149,-3,0)+1</f>
        <v>46</v>
      </c>
      <c r="B149" s="204">
        <f ca="1">IF($Q149&lt;&gt;2,0,IF($R149=0,1,IF(E150&gt;0,OFFSET(QCI!$M$13,SUBSTITUTE(E150,".",""),0),OFFSET(ORÇAMENTO!$AA$15,CRONO!$E149,0))/$R149))</f>
        <v>1</v>
      </c>
      <c r="C149" s="204">
        <f ca="1">IF($Q149&lt;&gt;2,0,IF($R149=0,1,IF(E150&gt;0,OFFSET(QCI!$N$13,SUBSTITUTE(E150,".",""),0),OFFSET(ORÇAMENTO!$AB$15,CRONO!$E149,0))/$R149))</f>
        <v>1</v>
      </c>
      <c r="D149" s="207" t="e">
        <f ca="1">IF(AND($Q149=2,ACOMPANHAMENTO="BM"),D150,D151/$R149)</f>
        <v>#DIV/0!</v>
      </c>
      <c r="E149" s="204">
        <f ca="1">IF(A149&lt;=ORÇAMENTO.MáximoListaCrono,MATCH(A149,ORÇAMENTO.ListaCrono,0),NA())</f>
        <v>400</v>
      </c>
      <c r="F149" s="204" t="str">
        <f t="shared" ref="F149" ca="1" si="319">IF(AND($E150&lt;&gt;-1,$R149&gt;0),"F","")</f>
        <v/>
      </c>
      <c r="G149" s="208" t="str">
        <f ca="1">IF(OR(R149=0,R149=""),"Linha",IF(AND(OR(ACOMPANHAMENTO="PLE",$Q149&lt;&gt;2),$E150=0),"Linha",1-SUM(T149:AF149)))</f>
        <v>Linha</v>
      </c>
      <c r="H149" s="209" t="str">
        <f ca="1">IF($E150=0,OFFSET(ORÇAMENTO!O$15,$E149,0),IF($E150&lt;&gt;-1,OFFSET(QCI!$D$13,$E150,0),""))</f>
        <v>1.45.</v>
      </c>
      <c r="I149" s="210" t="str">
        <f ca="1">IF($E150=0,OFFSET(ORÇAMENTO!R$15,$E149,0),IF($E150&lt;&gt;-1,OFFSET(QCI!$G$13,$E150,0),""))</f>
        <v>SISTEMA DE PROTEÇÃO CONTRA INCÊNDIO - EXTINTORES</v>
      </c>
      <c r="J149" s="210"/>
      <c r="K149" s="210"/>
      <c r="L149" s="211">
        <f ca="1">IF($E150=0,OFFSET(ORÇAMENTO!C$15,$E149,0),1)</f>
        <v>2</v>
      </c>
      <c r="M149" s="212">
        <f ca="1">IF($E150=-1,0,IF(M$13&lt;=$L149,IF(ISERROR(MATCH(M$13,OFFSET($L149,1,0,ROW($L$260)-ROW($L149)-1),0)),ROW($L$260)-ROW($L149)-1,MATCH(M$13,OFFSET($L149,1,0,ROW($L$260)-ROW($L149)-1),0)-1),0))</f>
        <v>110</v>
      </c>
      <c r="N149" s="212">
        <f ca="1">IF($E150=-1,0,IF(N$13&lt;=$L149,IF(ISERROR(MATCH(N$13,OFFSET($L149,1,0,ROW($L$260)-ROW($L149)-1),0)),ROW($L$260)-ROW($L149)-1,MATCH(N$13,OFFSET($L149,1,0,ROW($L$260)-ROW($L149)-1),0)-1),0))</f>
        <v>2</v>
      </c>
      <c r="O149" s="212">
        <f ca="1">IF($E150=-1,0,IF(O$13&lt;=$L149,IF(ISERROR(MATCH(O$13,OFFSET($L149,1,0,ROW($L$260)-ROW($L149)-1),0)),ROW($L$260)-ROW($L149)-1,MATCH(O$13,OFFSET($L149,1,0,ROW($L$260)-ROW($L149)-1),0)-1),0))</f>
        <v>0</v>
      </c>
      <c r="P149" s="212">
        <f ca="1">IF($E150=-1,0,IF(P$13&lt;=$L149,IF(ISERROR(MATCH(P$13,OFFSET($L149,1,0,ROW($L$260)-ROW($L149)-1),0)),ROW($L$260)-ROW($L149)-1,MATCH(P$13,OFFSET($L149,1,0,ROW($L$260)-ROW($L149)-1),0)-1),0))</f>
        <v>0</v>
      </c>
      <c r="Q149" s="212">
        <f t="shared" ref="Q149" ca="1" si="320">MIN(OFFSET(L149,0,1,,L149))</f>
        <v>2</v>
      </c>
      <c r="R149" s="213">
        <f ca="1">IF($E150=0,OFFSET(ORÇAMENTO!X$15,$E149,0),IF($E150&lt;&gt;-1,OFFSET(QCI!$O$13,$E150,0),""))</f>
        <v>0</v>
      </c>
      <c r="S149" s="214" t="s">
        <v>270</v>
      </c>
      <c r="T149" s="215" t="e">
        <f t="shared" ref="T149:AE149" ca="1" si="321">IF(AND($Q149=2,ACOMPANHAMENTO="BM"),T150,T151/$R149)</f>
        <v>#DIV/0!</v>
      </c>
      <c r="U149" s="207" t="e">
        <f t="shared" ca="1" si="321"/>
        <v>#DIV/0!</v>
      </c>
      <c r="V149" s="207" t="e">
        <f t="shared" ca="1" si="321"/>
        <v>#DIV/0!</v>
      </c>
      <c r="W149" s="207" t="e">
        <f t="shared" ca="1" si="321"/>
        <v>#DIV/0!</v>
      </c>
      <c r="X149" s="207" t="e">
        <f t="shared" ca="1" si="321"/>
        <v>#DIV/0!</v>
      </c>
      <c r="Y149" s="207" t="e">
        <f t="shared" ca="1" si="321"/>
        <v>#DIV/0!</v>
      </c>
      <c r="Z149" s="207" t="e">
        <f t="shared" ca="1" si="321"/>
        <v>#DIV/0!</v>
      </c>
      <c r="AA149" s="207" t="e">
        <f t="shared" ca="1" si="321"/>
        <v>#DIV/0!</v>
      </c>
      <c r="AB149" s="207" t="e">
        <f t="shared" ca="1" si="321"/>
        <v>#DIV/0!</v>
      </c>
      <c r="AC149" s="207" t="e">
        <f t="shared" ca="1" si="321"/>
        <v>#DIV/0!</v>
      </c>
      <c r="AD149" s="207" t="e">
        <f t="shared" ca="1" si="321"/>
        <v>#DIV/0!</v>
      </c>
      <c r="AE149" s="216" t="e">
        <f t="shared" ca="1" si="321"/>
        <v>#DIV/0!</v>
      </c>
    </row>
    <row r="150" spans="1:32" ht="12.75" customHeight="1" x14ac:dyDescent="0.2">
      <c r="D150" s="569"/>
      <c r="E150" s="204">
        <f ca="1">IF(ISERROR(E149),IF(1+COUNTIF($L$13:OFFSET(L149,-1,0),1)&lt;=MAX(QCI!$D$13:$D$24),1+COUNTIF($L$13:OFFSET(L149,-1,0),1),-1),0)</f>
        <v>0</v>
      </c>
      <c r="F150" s="204" t="str">
        <f t="shared" ref="F150" ca="1" si="322">IF(AND($E150&lt;&gt;-1,$R149&gt;0),"F","")</f>
        <v/>
      </c>
      <c r="G150" s="217" t="str">
        <f ca="1">IF(OR(R149=0,R149=""),"vazia",IF(AND(OR(ACOMPANHAMENTO="PLE",$Q149&lt;&gt;2),$E150=0),"calculada","--&gt;"))</f>
        <v>vazia</v>
      </c>
      <c r="H150" s="218"/>
      <c r="I150" s="219" t="str">
        <f t="shared" ref="I150" ca="1" si="323">IF(AND(G149&lt;&gt;0,ISNUMBER(G149)),"PREENCHA ESTA LINHA --&gt;","")</f>
        <v/>
      </c>
      <c r="J150" s="219"/>
      <c r="K150" s="219"/>
      <c r="L150" s="220"/>
      <c r="M150" s="220"/>
      <c r="N150" s="220"/>
      <c r="O150" s="220"/>
      <c r="P150" s="220"/>
      <c r="Q150" s="220"/>
      <c r="R150" s="221"/>
      <c r="S150" s="222"/>
      <c r="T150" s="570"/>
      <c r="U150" s="569"/>
      <c r="V150" s="569"/>
      <c r="W150" s="569"/>
      <c r="X150" s="569"/>
      <c r="Y150" s="569"/>
      <c r="Z150" s="569"/>
      <c r="AA150" s="569"/>
      <c r="AB150" s="569"/>
      <c r="AC150" s="569"/>
      <c r="AD150" s="569"/>
      <c r="AE150" s="571"/>
      <c r="AF150" s="533"/>
    </row>
    <row r="151" spans="1:32" ht="0.2" hidden="1" customHeight="1" x14ac:dyDescent="0.2">
      <c r="D151" s="223">
        <f ca="1">IF($Q149=2,IF(AND(ACOMPANHAMENTO="PLE",ISNUMBER($E149)),SUMIF((OFFSET(CÁLCULO!$BC$15:$BU$15,$E149,0,OFFSET(ORÇAMENTO!$D$15,CRONO!$E149,0))),"="&amp;CRONO!D$12,OFFSET(CÁLCULO!$AJ$15:$BB$15,$E149,0,OFFSET(ORÇAMENTO!$D$15,CRONO!$E149,0)))+IF(AND($E151&lt;&gt;"",$E151&lt;&gt;0),SUMIF(CÁLCULO!$BC$15:$BU$727,"="&amp;CRONO!D$12,CÁLCULO!$AJ$15:$BB$727)/(ORÇAMENTO!$X$15-CÁLCULO.TotalAdmLocal)*CRONO!$E151,0),D150*$R149),SUMIF(OFFSET($R151,1,0,$Q149-2),($L149+1)&amp;"$",OFFSET(D151,1,0,$Q149-2)))</f>
        <v>0</v>
      </c>
      <c r="E151" s="204" t="str">
        <f ca="1">IF(OR($Q149&lt;&gt;2,AUTOEVENTO&lt;&gt;"manual",$E150&gt;0),"",SUMIF(OFFSET(CÁLCULO!$M$15,CRONO!$E149,0,OFFSET(ORÇAMENTO!$D$15,CRONO!$E149,0)),1,OFFSET(ORÇAMENTO!$X$15,CRONO!$E149,0,OFFSET(ORÇAMENTO!$D$15,CRONO!$E149,0))))</f>
        <v/>
      </c>
      <c r="G151" s="224"/>
      <c r="R151" s="225" t="str">
        <f t="shared" ref="R151" ca="1" si="324">L149&amp;"$"</f>
        <v>2$</v>
      </c>
      <c r="S151" s="226"/>
      <c r="T151" s="227">
        <f ca="1">IF($Q149=2,IF(AND(ACOMPANHAMENTO="PLE",ISNUMBER($E149)),SUMIF((OFFSET(CÁLCULO!$BC$15:$BU$15,$E149,0,OFFSET(ORÇAMENTO!$D$15,CRONO!$E149,0))),"&lt;="&amp;CRONO!T$12,OFFSET(CÁLCULO!$AJ$15:$BB$15,$E149,0,OFFSET(ORÇAMENTO!$D$15,CRONO!$E149,0)))+IF(AND($E151&lt;&gt;"",$E151&lt;&gt;0),SUMIF(CÁLCULO!$BC$15:$BU$727,"&lt;="&amp;CRONO!T$12,CÁLCULO!$AJ$15:$BB$727)/(ORÇAMENTO!$X$15-CÁLCULO.TotalAdmLocal)*CRONO!$E151,0),T150*$R149),SUMIF(OFFSET($R151,1,0,$Q149-2),($L149+1)&amp;"$",OFFSET(T151,1,0,$Q149-2)))</f>
        <v>0</v>
      </c>
      <c r="U151" s="223">
        <f ca="1">IF($Q149=2,IF(AND(ACOMPANHAMENTO="PLE",ISNUMBER($E149)),SUMIF((OFFSET(CÁLCULO!$BC$15:$BU$15,$E149,0,OFFSET(ORÇAMENTO!$D$15,CRONO!$E149,0))),"="&amp;CRONO!U$12,OFFSET(CÁLCULO!$AJ$15:$BB$15,$E149,0,OFFSET(ORÇAMENTO!$D$15,CRONO!$E149,0)))+IF(AND($E151&lt;&gt;"",$E151&lt;&gt;0),SUMIF(CÁLCULO!$BC$15:$BU$727,"="&amp;CRONO!U$12,CÁLCULO!$AJ$15:$BB$727)/(ORÇAMENTO!$X$15-CÁLCULO.TotalAdmLocal)*CRONO!$E151,0),U150*$R149),SUMIF(OFFSET($R151,1,0,$Q149-2),($L149+1)&amp;"$",OFFSET(U151,1,0,$Q149-2)))</f>
        <v>0</v>
      </c>
      <c r="V151" s="223">
        <f ca="1">IF($Q149=2,IF(AND(ACOMPANHAMENTO="PLE",ISNUMBER($E149)),SUMIF((OFFSET(CÁLCULO!$BC$15:$BU$15,$E149,0,OFFSET(ORÇAMENTO!$D$15,CRONO!$E149,0))),"="&amp;CRONO!V$12,OFFSET(CÁLCULO!$AJ$15:$BB$15,$E149,0,OFFSET(ORÇAMENTO!$D$15,CRONO!$E149,0)))+IF(AND($E151&lt;&gt;"",$E151&lt;&gt;0),SUMIF(CÁLCULO!$BC$15:$BU$727,"="&amp;CRONO!V$12,CÁLCULO!$AJ$15:$BB$727)/(ORÇAMENTO!$X$15-CÁLCULO.TotalAdmLocal)*CRONO!$E151,0),V150*$R149),SUMIF(OFFSET($R151,1,0,$Q149-2),($L149+1)&amp;"$",OFFSET(V151,1,0,$Q149-2)))</f>
        <v>0</v>
      </c>
      <c r="W151" s="223">
        <f ca="1">IF($Q149=2,IF(AND(ACOMPANHAMENTO="PLE",ISNUMBER($E149)),SUMIF((OFFSET(CÁLCULO!$BC$15:$BU$15,$E149,0,OFFSET(ORÇAMENTO!$D$15,CRONO!$E149,0))),"="&amp;CRONO!W$12,OFFSET(CÁLCULO!$AJ$15:$BB$15,$E149,0,OFFSET(ORÇAMENTO!$D$15,CRONO!$E149,0)))+IF(AND($E151&lt;&gt;"",$E151&lt;&gt;0),SUMIF(CÁLCULO!$BC$15:$BU$727,"="&amp;CRONO!W$12,CÁLCULO!$AJ$15:$BB$727)/(ORÇAMENTO!$X$15-CÁLCULO.TotalAdmLocal)*CRONO!$E151,0),W150*$R149),SUMIF(OFFSET($R151,1,0,$Q149-2),($L149+1)&amp;"$",OFFSET(W151,1,0,$Q149-2)))</f>
        <v>0</v>
      </c>
      <c r="X151" s="223">
        <f ca="1">IF($Q149=2,IF(AND(ACOMPANHAMENTO="PLE",ISNUMBER($E149)),SUMIF((OFFSET(CÁLCULO!$BC$15:$BU$15,$E149,0,OFFSET(ORÇAMENTO!$D$15,CRONO!$E149,0))),"="&amp;CRONO!X$12,OFFSET(CÁLCULO!$AJ$15:$BB$15,$E149,0,OFFSET(ORÇAMENTO!$D$15,CRONO!$E149,0)))+IF(AND($E151&lt;&gt;"",$E151&lt;&gt;0),SUMIF(CÁLCULO!$BC$15:$BU$727,"="&amp;CRONO!X$12,CÁLCULO!$AJ$15:$BB$727)/(ORÇAMENTO!$X$15-CÁLCULO.TotalAdmLocal)*CRONO!$E151,0),X150*$R149),SUMIF(OFFSET($R151,1,0,$Q149-2),($L149+1)&amp;"$",OFFSET(X151,1,0,$Q149-2)))</f>
        <v>0</v>
      </c>
      <c r="Y151" s="223">
        <f ca="1">IF($Q149=2,IF(AND(ACOMPANHAMENTO="PLE",ISNUMBER($E149)),SUMIF((OFFSET(CÁLCULO!$BC$15:$BU$15,$E149,0,OFFSET(ORÇAMENTO!$D$15,CRONO!$E149,0))),"="&amp;CRONO!Y$12,OFFSET(CÁLCULO!$AJ$15:$BB$15,$E149,0,OFFSET(ORÇAMENTO!$D$15,CRONO!$E149,0)))+IF(AND($E151&lt;&gt;"",$E151&lt;&gt;0),SUMIF(CÁLCULO!$BC$15:$BU$727,"="&amp;CRONO!Y$12,CÁLCULO!$AJ$15:$BB$727)/(ORÇAMENTO!$X$15-CÁLCULO.TotalAdmLocal)*CRONO!$E151,0),Y150*$R149),SUMIF(OFFSET($R151,1,0,$Q149-2),($L149+1)&amp;"$",OFFSET(Y151,1,0,$Q149-2)))</f>
        <v>0</v>
      </c>
      <c r="Z151" s="223">
        <f ca="1">IF($Q149=2,IF(AND(ACOMPANHAMENTO="PLE",ISNUMBER($E149)),SUMIF((OFFSET(CÁLCULO!$BC$15:$BU$15,$E149,0,OFFSET(ORÇAMENTO!$D$15,CRONO!$E149,0))),"="&amp;CRONO!Z$12,OFFSET(CÁLCULO!$AJ$15:$BB$15,$E149,0,OFFSET(ORÇAMENTO!$D$15,CRONO!$E149,0)))+IF(AND($E151&lt;&gt;"",$E151&lt;&gt;0),SUMIF(CÁLCULO!$BC$15:$BU$727,"="&amp;CRONO!Z$12,CÁLCULO!$AJ$15:$BB$727)/(ORÇAMENTO!$X$15-CÁLCULO.TotalAdmLocal)*CRONO!$E151,0),Z150*$R149),SUMIF(OFFSET($R151,1,0,$Q149-2),($L149+1)&amp;"$",OFFSET(Z151,1,0,$Q149-2)))</f>
        <v>0</v>
      </c>
      <c r="AA151" s="223">
        <f ca="1">IF($Q149=2,IF(AND(ACOMPANHAMENTO="PLE",ISNUMBER($E149)),SUMIF((OFFSET(CÁLCULO!$BC$15:$BU$15,$E149,0,OFFSET(ORÇAMENTO!$D$15,CRONO!$E149,0))),"="&amp;CRONO!AA$12,OFFSET(CÁLCULO!$AJ$15:$BB$15,$E149,0,OFFSET(ORÇAMENTO!$D$15,CRONO!$E149,0)))+IF(AND($E151&lt;&gt;"",$E151&lt;&gt;0),SUMIF(CÁLCULO!$BC$15:$BU$727,"="&amp;CRONO!AA$12,CÁLCULO!$AJ$15:$BB$727)/(ORÇAMENTO!$X$15-CÁLCULO.TotalAdmLocal)*CRONO!$E151,0),AA150*$R149),SUMIF(OFFSET($R151,1,0,$Q149-2),($L149+1)&amp;"$",OFFSET(AA151,1,0,$Q149-2)))</f>
        <v>0</v>
      </c>
      <c r="AB151" s="223">
        <f ca="1">IF($Q149=2,IF(AND(ACOMPANHAMENTO="PLE",ISNUMBER($E149)),SUMIF((OFFSET(CÁLCULO!$BC$15:$BU$15,$E149,0,OFFSET(ORÇAMENTO!$D$15,CRONO!$E149,0))),"="&amp;CRONO!AB$12,OFFSET(CÁLCULO!$AJ$15:$BB$15,$E149,0,OFFSET(ORÇAMENTO!$D$15,CRONO!$E149,0)))+IF(AND($E151&lt;&gt;"",$E151&lt;&gt;0),SUMIF(CÁLCULO!$BC$15:$BU$727,"="&amp;CRONO!AB$12,CÁLCULO!$AJ$15:$BB$727)/(ORÇAMENTO!$X$15-CÁLCULO.TotalAdmLocal)*CRONO!$E151,0),AB150*$R149),SUMIF(OFFSET($R151,1,0,$Q149-2),($L149+1)&amp;"$",OFFSET(AB151,1,0,$Q149-2)))</f>
        <v>0</v>
      </c>
      <c r="AC151" s="223">
        <f ca="1">IF($Q149=2,IF(AND(ACOMPANHAMENTO="PLE",ISNUMBER($E149)),SUMIF((OFFSET(CÁLCULO!$BC$15:$BU$15,$E149,0,OFFSET(ORÇAMENTO!$D$15,CRONO!$E149,0))),"="&amp;CRONO!AC$12,OFFSET(CÁLCULO!$AJ$15:$BB$15,$E149,0,OFFSET(ORÇAMENTO!$D$15,CRONO!$E149,0)))+IF(AND($E151&lt;&gt;"",$E151&lt;&gt;0),SUMIF(CÁLCULO!$BC$15:$BU$727,"="&amp;CRONO!AC$12,CÁLCULO!$AJ$15:$BB$727)/(ORÇAMENTO!$X$15-CÁLCULO.TotalAdmLocal)*CRONO!$E151,0),AC150*$R149),SUMIF(OFFSET($R151,1,0,$Q149-2),($L149+1)&amp;"$",OFFSET(AC151,1,0,$Q149-2)))</f>
        <v>0</v>
      </c>
      <c r="AD151" s="223">
        <f ca="1">IF($Q149=2,IF(AND(ACOMPANHAMENTO="PLE",ISNUMBER($E149)),SUMIF((OFFSET(CÁLCULO!$BC$15:$BU$15,$E149,0,OFFSET(ORÇAMENTO!$D$15,CRONO!$E149,0))),"="&amp;CRONO!AD$12,OFFSET(CÁLCULO!$AJ$15:$BB$15,$E149,0,OFFSET(ORÇAMENTO!$D$15,CRONO!$E149,0)))+IF(AND($E151&lt;&gt;"",$E151&lt;&gt;0),SUMIF(CÁLCULO!$BC$15:$BU$727,"="&amp;CRONO!AD$12,CÁLCULO!$AJ$15:$BB$727)/(ORÇAMENTO!$X$15-CÁLCULO.TotalAdmLocal)*CRONO!$E151,0),AD150*$R149),SUMIF(OFFSET($R151,1,0,$Q149-2),($L149+1)&amp;"$",OFFSET(AD151,1,0,$Q149-2)))</f>
        <v>0</v>
      </c>
      <c r="AE151" s="228">
        <f ca="1">IF($Q149=2,IF(AND(ACOMPANHAMENTO="PLE",ISNUMBER($E149)),SUMIF((OFFSET(CÁLCULO!$BC$15:$BU$15,$E149,0,OFFSET(ORÇAMENTO!$D$15,CRONO!$E149,0))),"="&amp;CRONO!AE$12,OFFSET(CÁLCULO!$AJ$15:$BB$15,$E149,0,OFFSET(ORÇAMENTO!$D$15,CRONO!$E149,0)))+IF(AND($E151&lt;&gt;"",$E151&lt;&gt;0),SUMIF(CÁLCULO!$BC$15:$BU$727,"="&amp;CRONO!AE$12,CÁLCULO!$AJ$15:$BB$727)/(ORÇAMENTO!$X$15-CÁLCULO.TotalAdmLocal)*CRONO!$E151,0),AE150*$R149),SUMIF(OFFSET($R151,1,0,$Q149-2),($L149+1)&amp;"$",OFFSET(AE151,1,0,$Q149-2)))</f>
        <v>0</v>
      </c>
    </row>
    <row r="152" spans="1:32" x14ac:dyDescent="0.2">
      <c r="A152" s="204">
        <f t="shared" ref="A152" ca="1" si="325">OFFSET(A152,-3,0)+1</f>
        <v>47</v>
      </c>
      <c r="B152" s="204">
        <f ca="1">IF($Q152&lt;&gt;2,0,IF($R152=0,1,IF(E153&gt;0,OFFSET(QCI!$M$13,SUBSTITUTE(E153,".",""),0),OFFSET(ORÇAMENTO!$AA$15,CRONO!$E152,0))/$R152))</f>
        <v>1</v>
      </c>
      <c r="C152" s="204">
        <f ca="1">IF($Q152&lt;&gt;2,0,IF($R152=0,1,IF(E153&gt;0,OFFSET(QCI!$N$13,SUBSTITUTE(E153,".",""),0),OFFSET(ORÇAMENTO!$AB$15,CRONO!$E152,0))/$R152))</f>
        <v>1</v>
      </c>
      <c r="D152" s="207" t="e">
        <f ca="1">IF(AND($Q152=2,ACOMPANHAMENTO="BM"),D153,D154/$R152)</f>
        <v>#DIV/0!</v>
      </c>
      <c r="E152" s="204">
        <f ca="1">IF(A152&lt;=ORÇAMENTO.MáximoListaCrono,MATCH(A152,ORÇAMENTO.ListaCrono,0),NA())</f>
        <v>403</v>
      </c>
      <c r="F152" s="204" t="str">
        <f t="shared" ref="F152" ca="1" si="326">IF(AND($E153&lt;&gt;-1,$R152&gt;0),"F","")</f>
        <v/>
      </c>
      <c r="G152" s="208" t="str">
        <f ca="1">IF(OR(R152=0,R152=""),"Linha",IF(AND(OR(ACOMPANHAMENTO="PLE",$Q152&lt;&gt;2),$E153=0),"Linha",1-SUM(T152:AF152)))</f>
        <v>Linha</v>
      </c>
      <c r="H152" s="209" t="str">
        <f ca="1">IF($E153=0,OFFSET(ORÇAMENTO!O$15,$E152,0),IF($E153&lt;&gt;-1,OFFSET(QCI!$D$13,$E153,0),""))</f>
        <v>1.46.</v>
      </c>
      <c r="I152" s="210" t="str">
        <f ca="1">IF($E153=0,OFFSET(ORÇAMENTO!R$15,$E152,0),IF($E153&lt;&gt;-1,OFFSET(QCI!$G$13,$E153,0),""))</f>
        <v>SISTEMA DE PROTEÇÃO CONTRA INCÊNDIO - HIDRANTES</v>
      </c>
      <c r="J152" s="210"/>
      <c r="K152" s="210"/>
      <c r="L152" s="211">
        <f ca="1">IF($E153=0,OFFSET(ORÇAMENTO!C$15,$E152,0),1)</f>
        <v>2</v>
      </c>
      <c r="M152" s="212">
        <f ca="1">IF($E153=-1,0,IF(M$13&lt;=$L152,IF(ISERROR(MATCH(M$13,OFFSET($L152,1,0,ROW($L$260)-ROW($L152)-1),0)),ROW($L$260)-ROW($L152)-1,MATCH(M$13,OFFSET($L152,1,0,ROW($L$260)-ROW($L152)-1),0)-1),0))</f>
        <v>107</v>
      </c>
      <c r="N152" s="212">
        <f ca="1">IF($E153=-1,0,IF(N$13&lt;=$L152,IF(ISERROR(MATCH(N$13,OFFSET($L152,1,0,ROW($L$260)-ROW($L152)-1),0)),ROW($L$260)-ROW($L152)-1,MATCH(N$13,OFFSET($L152,1,0,ROW($L$260)-ROW($L152)-1),0)-1),0))</f>
        <v>2</v>
      </c>
      <c r="O152" s="212">
        <f ca="1">IF($E153=-1,0,IF(O$13&lt;=$L152,IF(ISERROR(MATCH(O$13,OFFSET($L152,1,0,ROW($L$260)-ROW($L152)-1),0)),ROW($L$260)-ROW($L152)-1,MATCH(O$13,OFFSET($L152,1,0,ROW($L$260)-ROW($L152)-1),0)-1),0))</f>
        <v>0</v>
      </c>
      <c r="P152" s="212">
        <f ca="1">IF($E153=-1,0,IF(P$13&lt;=$L152,IF(ISERROR(MATCH(P$13,OFFSET($L152,1,0,ROW($L$260)-ROW($L152)-1),0)),ROW($L$260)-ROW($L152)-1,MATCH(P$13,OFFSET($L152,1,0,ROW($L$260)-ROW($L152)-1),0)-1),0))</f>
        <v>0</v>
      </c>
      <c r="Q152" s="212">
        <f t="shared" ref="Q152" ca="1" si="327">MIN(OFFSET(L152,0,1,,L152))</f>
        <v>2</v>
      </c>
      <c r="R152" s="213">
        <f ca="1">IF($E153=0,OFFSET(ORÇAMENTO!X$15,$E152,0),IF($E153&lt;&gt;-1,OFFSET(QCI!$O$13,$E153,0),""))</f>
        <v>0</v>
      </c>
      <c r="S152" s="214" t="s">
        <v>270</v>
      </c>
      <c r="T152" s="215" t="e">
        <f t="shared" ref="T152:AE152" ca="1" si="328">IF(AND($Q152=2,ACOMPANHAMENTO="BM"),T153,T154/$R152)</f>
        <v>#DIV/0!</v>
      </c>
      <c r="U152" s="207" t="e">
        <f t="shared" ca="1" si="328"/>
        <v>#DIV/0!</v>
      </c>
      <c r="V152" s="207" t="e">
        <f t="shared" ca="1" si="328"/>
        <v>#DIV/0!</v>
      </c>
      <c r="W152" s="207" t="e">
        <f t="shared" ca="1" si="328"/>
        <v>#DIV/0!</v>
      </c>
      <c r="X152" s="207" t="e">
        <f t="shared" ca="1" si="328"/>
        <v>#DIV/0!</v>
      </c>
      <c r="Y152" s="207" t="e">
        <f t="shared" ca="1" si="328"/>
        <v>#DIV/0!</v>
      </c>
      <c r="Z152" s="207" t="e">
        <f t="shared" ca="1" si="328"/>
        <v>#DIV/0!</v>
      </c>
      <c r="AA152" s="207" t="e">
        <f t="shared" ca="1" si="328"/>
        <v>#DIV/0!</v>
      </c>
      <c r="AB152" s="207" t="e">
        <f t="shared" ca="1" si="328"/>
        <v>#DIV/0!</v>
      </c>
      <c r="AC152" s="207" t="e">
        <f t="shared" ca="1" si="328"/>
        <v>#DIV/0!</v>
      </c>
      <c r="AD152" s="207" t="e">
        <f t="shared" ca="1" si="328"/>
        <v>#DIV/0!</v>
      </c>
      <c r="AE152" s="216" t="e">
        <f t="shared" ca="1" si="328"/>
        <v>#DIV/0!</v>
      </c>
    </row>
    <row r="153" spans="1:32" ht="12.75" customHeight="1" x14ac:dyDescent="0.2">
      <c r="D153" s="569"/>
      <c r="E153" s="204">
        <f ca="1">IF(ISERROR(E152),IF(1+COUNTIF($L$13:OFFSET(L152,-1,0),1)&lt;=MAX(QCI!$D$13:$D$24),1+COUNTIF($L$13:OFFSET(L152,-1,0),1),-1),0)</f>
        <v>0</v>
      </c>
      <c r="F153" s="204" t="str">
        <f t="shared" ref="F153" ca="1" si="329">IF(AND($E153&lt;&gt;-1,$R152&gt;0),"F","")</f>
        <v/>
      </c>
      <c r="G153" s="217" t="str">
        <f ca="1">IF(OR(R152=0,R152=""),"vazia",IF(AND(OR(ACOMPANHAMENTO="PLE",$Q152&lt;&gt;2),$E153=0),"calculada","--&gt;"))</f>
        <v>vazia</v>
      </c>
      <c r="H153" s="218"/>
      <c r="I153" s="219" t="str">
        <f t="shared" ref="I153" ca="1" si="330">IF(AND(G152&lt;&gt;0,ISNUMBER(G152)),"PREENCHA ESTA LINHA --&gt;","")</f>
        <v/>
      </c>
      <c r="J153" s="219"/>
      <c r="K153" s="219"/>
      <c r="L153" s="220"/>
      <c r="M153" s="220"/>
      <c r="N153" s="220"/>
      <c r="O153" s="220"/>
      <c r="P153" s="220"/>
      <c r="Q153" s="220"/>
      <c r="R153" s="221"/>
      <c r="S153" s="222"/>
      <c r="T153" s="570"/>
      <c r="U153" s="569"/>
      <c r="V153" s="569"/>
      <c r="W153" s="569"/>
      <c r="X153" s="569"/>
      <c r="Y153" s="569"/>
      <c r="Z153" s="569"/>
      <c r="AA153" s="569"/>
      <c r="AB153" s="569"/>
      <c r="AC153" s="569"/>
      <c r="AD153" s="569"/>
      <c r="AE153" s="571"/>
      <c r="AF153" s="533"/>
    </row>
    <row r="154" spans="1:32" ht="0.2" hidden="1" customHeight="1" x14ac:dyDescent="0.2">
      <c r="D154" s="223">
        <f ca="1">IF($Q152=2,IF(AND(ACOMPANHAMENTO="PLE",ISNUMBER($E152)),SUMIF((OFFSET(CÁLCULO!$BC$15:$BU$15,$E152,0,OFFSET(ORÇAMENTO!$D$15,CRONO!$E152,0))),"="&amp;CRONO!D$12,OFFSET(CÁLCULO!$AJ$15:$BB$15,$E152,0,OFFSET(ORÇAMENTO!$D$15,CRONO!$E152,0)))+IF(AND($E154&lt;&gt;"",$E154&lt;&gt;0),SUMIF(CÁLCULO!$BC$15:$BU$727,"="&amp;CRONO!D$12,CÁLCULO!$AJ$15:$BB$727)/(ORÇAMENTO!$X$15-CÁLCULO.TotalAdmLocal)*CRONO!$E154,0),D153*$R152),SUMIF(OFFSET($R154,1,0,$Q152-2),($L152+1)&amp;"$",OFFSET(D154,1,0,$Q152-2)))</f>
        <v>0</v>
      </c>
      <c r="E154" s="204" t="str">
        <f ca="1">IF(OR($Q152&lt;&gt;2,AUTOEVENTO&lt;&gt;"manual",$E153&gt;0),"",SUMIF(OFFSET(CÁLCULO!$M$15,CRONO!$E152,0,OFFSET(ORÇAMENTO!$D$15,CRONO!$E152,0)),1,OFFSET(ORÇAMENTO!$X$15,CRONO!$E152,0,OFFSET(ORÇAMENTO!$D$15,CRONO!$E152,0))))</f>
        <v/>
      </c>
      <c r="G154" s="224"/>
      <c r="R154" s="225" t="str">
        <f t="shared" ref="R154" ca="1" si="331">L152&amp;"$"</f>
        <v>2$</v>
      </c>
      <c r="S154" s="226"/>
      <c r="T154" s="227">
        <f ca="1">IF($Q152=2,IF(AND(ACOMPANHAMENTO="PLE",ISNUMBER($E152)),SUMIF((OFFSET(CÁLCULO!$BC$15:$BU$15,$E152,0,OFFSET(ORÇAMENTO!$D$15,CRONO!$E152,0))),"&lt;="&amp;CRONO!T$12,OFFSET(CÁLCULO!$AJ$15:$BB$15,$E152,0,OFFSET(ORÇAMENTO!$D$15,CRONO!$E152,0)))+IF(AND($E154&lt;&gt;"",$E154&lt;&gt;0),SUMIF(CÁLCULO!$BC$15:$BU$727,"&lt;="&amp;CRONO!T$12,CÁLCULO!$AJ$15:$BB$727)/(ORÇAMENTO!$X$15-CÁLCULO.TotalAdmLocal)*CRONO!$E154,0),T153*$R152),SUMIF(OFFSET($R154,1,0,$Q152-2),($L152+1)&amp;"$",OFFSET(T154,1,0,$Q152-2)))</f>
        <v>0</v>
      </c>
      <c r="U154" s="223">
        <f ca="1">IF($Q152=2,IF(AND(ACOMPANHAMENTO="PLE",ISNUMBER($E152)),SUMIF((OFFSET(CÁLCULO!$BC$15:$BU$15,$E152,0,OFFSET(ORÇAMENTO!$D$15,CRONO!$E152,0))),"="&amp;CRONO!U$12,OFFSET(CÁLCULO!$AJ$15:$BB$15,$E152,0,OFFSET(ORÇAMENTO!$D$15,CRONO!$E152,0)))+IF(AND($E154&lt;&gt;"",$E154&lt;&gt;0),SUMIF(CÁLCULO!$BC$15:$BU$727,"="&amp;CRONO!U$12,CÁLCULO!$AJ$15:$BB$727)/(ORÇAMENTO!$X$15-CÁLCULO.TotalAdmLocal)*CRONO!$E154,0),U153*$R152),SUMIF(OFFSET($R154,1,0,$Q152-2),($L152+1)&amp;"$",OFFSET(U154,1,0,$Q152-2)))</f>
        <v>0</v>
      </c>
      <c r="V154" s="223">
        <f ca="1">IF($Q152=2,IF(AND(ACOMPANHAMENTO="PLE",ISNUMBER($E152)),SUMIF((OFFSET(CÁLCULO!$BC$15:$BU$15,$E152,0,OFFSET(ORÇAMENTO!$D$15,CRONO!$E152,0))),"="&amp;CRONO!V$12,OFFSET(CÁLCULO!$AJ$15:$BB$15,$E152,0,OFFSET(ORÇAMENTO!$D$15,CRONO!$E152,0)))+IF(AND($E154&lt;&gt;"",$E154&lt;&gt;0),SUMIF(CÁLCULO!$BC$15:$BU$727,"="&amp;CRONO!V$12,CÁLCULO!$AJ$15:$BB$727)/(ORÇAMENTO!$X$15-CÁLCULO.TotalAdmLocal)*CRONO!$E154,0),V153*$R152),SUMIF(OFFSET($R154,1,0,$Q152-2),($L152+1)&amp;"$",OFFSET(V154,1,0,$Q152-2)))</f>
        <v>0</v>
      </c>
      <c r="W154" s="223">
        <f ca="1">IF($Q152=2,IF(AND(ACOMPANHAMENTO="PLE",ISNUMBER($E152)),SUMIF((OFFSET(CÁLCULO!$BC$15:$BU$15,$E152,0,OFFSET(ORÇAMENTO!$D$15,CRONO!$E152,0))),"="&amp;CRONO!W$12,OFFSET(CÁLCULO!$AJ$15:$BB$15,$E152,0,OFFSET(ORÇAMENTO!$D$15,CRONO!$E152,0)))+IF(AND($E154&lt;&gt;"",$E154&lt;&gt;0),SUMIF(CÁLCULO!$BC$15:$BU$727,"="&amp;CRONO!W$12,CÁLCULO!$AJ$15:$BB$727)/(ORÇAMENTO!$X$15-CÁLCULO.TotalAdmLocal)*CRONO!$E154,0),W153*$R152),SUMIF(OFFSET($R154,1,0,$Q152-2),($L152+1)&amp;"$",OFFSET(W154,1,0,$Q152-2)))</f>
        <v>0</v>
      </c>
      <c r="X154" s="223">
        <f ca="1">IF($Q152=2,IF(AND(ACOMPANHAMENTO="PLE",ISNUMBER($E152)),SUMIF((OFFSET(CÁLCULO!$BC$15:$BU$15,$E152,0,OFFSET(ORÇAMENTO!$D$15,CRONO!$E152,0))),"="&amp;CRONO!X$12,OFFSET(CÁLCULO!$AJ$15:$BB$15,$E152,0,OFFSET(ORÇAMENTO!$D$15,CRONO!$E152,0)))+IF(AND($E154&lt;&gt;"",$E154&lt;&gt;0),SUMIF(CÁLCULO!$BC$15:$BU$727,"="&amp;CRONO!X$12,CÁLCULO!$AJ$15:$BB$727)/(ORÇAMENTO!$X$15-CÁLCULO.TotalAdmLocal)*CRONO!$E154,0),X153*$R152),SUMIF(OFFSET($R154,1,0,$Q152-2),($L152+1)&amp;"$",OFFSET(X154,1,0,$Q152-2)))</f>
        <v>0</v>
      </c>
      <c r="Y154" s="223">
        <f ca="1">IF($Q152=2,IF(AND(ACOMPANHAMENTO="PLE",ISNUMBER($E152)),SUMIF((OFFSET(CÁLCULO!$BC$15:$BU$15,$E152,0,OFFSET(ORÇAMENTO!$D$15,CRONO!$E152,0))),"="&amp;CRONO!Y$12,OFFSET(CÁLCULO!$AJ$15:$BB$15,$E152,0,OFFSET(ORÇAMENTO!$D$15,CRONO!$E152,0)))+IF(AND($E154&lt;&gt;"",$E154&lt;&gt;0),SUMIF(CÁLCULO!$BC$15:$BU$727,"="&amp;CRONO!Y$12,CÁLCULO!$AJ$15:$BB$727)/(ORÇAMENTO!$X$15-CÁLCULO.TotalAdmLocal)*CRONO!$E154,0),Y153*$R152),SUMIF(OFFSET($R154,1,0,$Q152-2),($L152+1)&amp;"$",OFFSET(Y154,1,0,$Q152-2)))</f>
        <v>0</v>
      </c>
      <c r="Z154" s="223">
        <f ca="1">IF($Q152=2,IF(AND(ACOMPANHAMENTO="PLE",ISNUMBER($E152)),SUMIF((OFFSET(CÁLCULO!$BC$15:$BU$15,$E152,0,OFFSET(ORÇAMENTO!$D$15,CRONO!$E152,0))),"="&amp;CRONO!Z$12,OFFSET(CÁLCULO!$AJ$15:$BB$15,$E152,0,OFFSET(ORÇAMENTO!$D$15,CRONO!$E152,0)))+IF(AND($E154&lt;&gt;"",$E154&lt;&gt;0),SUMIF(CÁLCULO!$BC$15:$BU$727,"="&amp;CRONO!Z$12,CÁLCULO!$AJ$15:$BB$727)/(ORÇAMENTO!$X$15-CÁLCULO.TotalAdmLocal)*CRONO!$E154,0),Z153*$R152),SUMIF(OFFSET($R154,1,0,$Q152-2),($L152+1)&amp;"$",OFFSET(Z154,1,0,$Q152-2)))</f>
        <v>0</v>
      </c>
      <c r="AA154" s="223">
        <f ca="1">IF($Q152=2,IF(AND(ACOMPANHAMENTO="PLE",ISNUMBER($E152)),SUMIF((OFFSET(CÁLCULO!$BC$15:$BU$15,$E152,0,OFFSET(ORÇAMENTO!$D$15,CRONO!$E152,0))),"="&amp;CRONO!AA$12,OFFSET(CÁLCULO!$AJ$15:$BB$15,$E152,0,OFFSET(ORÇAMENTO!$D$15,CRONO!$E152,0)))+IF(AND($E154&lt;&gt;"",$E154&lt;&gt;0),SUMIF(CÁLCULO!$BC$15:$BU$727,"="&amp;CRONO!AA$12,CÁLCULO!$AJ$15:$BB$727)/(ORÇAMENTO!$X$15-CÁLCULO.TotalAdmLocal)*CRONO!$E154,0),AA153*$R152),SUMIF(OFFSET($R154,1,0,$Q152-2),($L152+1)&amp;"$",OFFSET(AA154,1,0,$Q152-2)))</f>
        <v>0</v>
      </c>
      <c r="AB154" s="223">
        <f ca="1">IF($Q152=2,IF(AND(ACOMPANHAMENTO="PLE",ISNUMBER($E152)),SUMIF((OFFSET(CÁLCULO!$BC$15:$BU$15,$E152,0,OFFSET(ORÇAMENTO!$D$15,CRONO!$E152,0))),"="&amp;CRONO!AB$12,OFFSET(CÁLCULO!$AJ$15:$BB$15,$E152,0,OFFSET(ORÇAMENTO!$D$15,CRONO!$E152,0)))+IF(AND($E154&lt;&gt;"",$E154&lt;&gt;0),SUMIF(CÁLCULO!$BC$15:$BU$727,"="&amp;CRONO!AB$12,CÁLCULO!$AJ$15:$BB$727)/(ORÇAMENTO!$X$15-CÁLCULO.TotalAdmLocal)*CRONO!$E154,0),AB153*$R152),SUMIF(OFFSET($R154,1,0,$Q152-2),($L152+1)&amp;"$",OFFSET(AB154,1,0,$Q152-2)))</f>
        <v>0</v>
      </c>
      <c r="AC154" s="223">
        <f ca="1">IF($Q152=2,IF(AND(ACOMPANHAMENTO="PLE",ISNUMBER($E152)),SUMIF((OFFSET(CÁLCULO!$BC$15:$BU$15,$E152,0,OFFSET(ORÇAMENTO!$D$15,CRONO!$E152,0))),"="&amp;CRONO!AC$12,OFFSET(CÁLCULO!$AJ$15:$BB$15,$E152,0,OFFSET(ORÇAMENTO!$D$15,CRONO!$E152,0)))+IF(AND($E154&lt;&gt;"",$E154&lt;&gt;0),SUMIF(CÁLCULO!$BC$15:$BU$727,"="&amp;CRONO!AC$12,CÁLCULO!$AJ$15:$BB$727)/(ORÇAMENTO!$X$15-CÁLCULO.TotalAdmLocal)*CRONO!$E154,0),AC153*$R152),SUMIF(OFFSET($R154,1,0,$Q152-2),($L152+1)&amp;"$",OFFSET(AC154,1,0,$Q152-2)))</f>
        <v>0</v>
      </c>
      <c r="AD154" s="223">
        <f ca="1">IF($Q152=2,IF(AND(ACOMPANHAMENTO="PLE",ISNUMBER($E152)),SUMIF((OFFSET(CÁLCULO!$BC$15:$BU$15,$E152,0,OFFSET(ORÇAMENTO!$D$15,CRONO!$E152,0))),"="&amp;CRONO!AD$12,OFFSET(CÁLCULO!$AJ$15:$BB$15,$E152,0,OFFSET(ORÇAMENTO!$D$15,CRONO!$E152,0)))+IF(AND($E154&lt;&gt;"",$E154&lt;&gt;0),SUMIF(CÁLCULO!$BC$15:$BU$727,"="&amp;CRONO!AD$12,CÁLCULO!$AJ$15:$BB$727)/(ORÇAMENTO!$X$15-CÁLCULO.TotalAdmLocal)*CRONO!$E154,0),AD153*$R152),SUMIF(OFFSET($R154,1,0,$Q152-2),($L152+1)&amp;"$",OFFSET(AD154,1,0,$Q152-2)))</f>
        <v>0</v>
      </c>
      <c r="AE154" s="228">
        <f ca="1">IF($Q152=2,IF(AND(ACOMPANHAMENTO="PLE",ISNUMBER($E152)),SUMIF((OFFSET(CÁLCULO!$BC$15:$BU$15,$E152,0,OFFSET(ORÇAMENTO!$D$15,CRONO!$E152,0))),"="&amp;CRONO!AE$12,OFFSET(CÁLCULO!$AJ$15:$BB$15,$E152,0,OFFSET(ORÇAMENTO!$D$15,CRONO!$E152,0)))+IF(AND($E154&lt;&gt;"",$E154&lt;&gt;0),SUMIF(CÁLCULO!$BC$15:$BU$727,"="&amp;CRONO!AE$12,CÁLCULO!$AJ$15:$BB$727)/(ORÇAMENTO!$X$15-CÁLCULO.TotalAdmLocal)*CRONO!$E154,0),AE153*$R152),SUMIF(OFFSET($R154,1,0,$Q152-2),($L152+1)&amp;"$",OFFSET(AE154,1,0,$Q152-2)))</f>
        <v>0</v>
      </c>
    </row>
    <row r="155" spans="1:32" x14ac:dyDescent="0.2">
      <c r="A155" s="204">
        <f t="shared" ref="A155" ca="1" si="332">OFFSET(A155,-3,0)+1</f>
        <v>48</v>
      </c>
      <c r="B155" s="204">
        <f ca="1">IF($Q155&lt;&gt;2,0,IF($R155=0,1,IF(E156&gt;0,OFFSET(QCI!$M$13,SUBSTITUTE(E156,".",""),0),OFFSET(ORÇAMENTO!$AA$15,CRONO!$E155,0))/$R155))</f>
        <v>1</v>
      </c>
      <c r="C155" s="204">
        <f ca="1">IF($Q155&lt;&gt;2,0,IF($R155=0,1,IF(E156&gt;0,OFFSET(QCI!$N$13,SUBSTITUTE(E156,".",""),0),OFFSET(ORÇAMENTO!$AB$15,CRONO!$E155,0))/$R155))</f>
        <v>1</v>
      </c>
      <c r="D155" s="207" t="e">
        <f ca="1">IF(AND($Q155=2,ACOMPANHAMENTO="BM"),D156,D157/$R155)</f>
        <v>#DIV/0!</v>
      </c>
      <c r="E155" s="204">
        <f ca="1">IF(A155&lt;=ORÇAMENTO.MáximoListaCrono,MATCH(A155,ORÇAMENTO.ListaCrono,0),NA())</f>
        <v>406</v>
      </c>
      <c r="F155" s="204" t="str">
        <f t="shared" ref="F155" ca="1" si="333">IF(AND($E156&lt;&gt;-1,$R155&gt;0),"F","")</f>
        <v/>
      </c>
      <c r="G155" s="208" t="str">
        <f ca="1">IF(OR(R155=0,R155=""),"Linha",IF(AND(OR(ACOMPANHAMENTO="PLE",$Q155&lt;&gt;2),$E156=0),"Linha",1-SUM(T155:AF155)))</f>
        <v>Linha</v>
      </c>
      <c r="H155" s="209" t="str">
        <f ca="1">IF($E156=0,OFFSET(ORÇAMENTO!O$15,$E155,0),IF($E156&lt;&gt;-1,OFFSET(QCI!$D$13,$E156,0),""))</f>
        <v>1.47.</v>
      </c>
      <c r="I155" s="210" t="str">
        <f ca="1">IF($E156=0,OFFSET(ORÇAMENTO!R$15,$E155,0),IF($E156&lt;&gt;-1,OFFSET(QCI!$G$13,$E156,0),""))</f>
        <v>SISTEMA DE PROTEÇÃO CONTRA INCÊNDIO - ACESSÓRIOS</v>
      </c>
      <c r="J155" s="210"/>
      <c r="K155" s="210"/>
      <c r="L155" s="211">
        <f ca="1">IF($E156=0,OFFSET(ORÇAMENTO!C$15,$E155,0),1)</f>
        <v>2</v>
      </c>
      <c r="M155" s="212">
        <f ca="1">IF($E156=-1,0,IF(M$13&lt;=$L155,IF(ISERROR(MATCH(M$13,OFFSET($L155,1,0,ROW($L$260)-ROW($L155)-1),0)),ROW($L$260)-ROW($L155)-1,MATCH(M$13,OFFSET($L155,1,0,ROW($L$260)-ROW($L155)-1),0)-1),0))</f>
        <v>104</v>
      </c>
      <c r="N155" s="212">
        <f ca="1">IF($E156=-1,0,IF(N$13&lt;=$L155,IF(ISERROR(MATCH(N$13,OFFSET($L155,1,0,ROW($L$260)-ROW($L155)-1),0)),ROW($L$260)-ROW($L155)-1,MATCH(N$13,OFFSET($L155,1,0,ROW($L$260)-ROW($L155)-1),0)-1),0))</f>
        <v>2</v>
      </c>
      <c r="O155" s="212">
        <f ca="1">IF($E156=-1,0,IF(O$13&lt;=$L155,IF(ISERROR(MATCH(O$13,OFFSET($L155,1,0,ROW($L$260)-ROW($L155)-1),0)),ROW($L$260)-ROW($L155)-1,MATCH(O$13,OFFSET($L155,1,0,ROW($L$260)-ROW($L155)-1),0)-1),0))</f>
        <v>0</v>
      </c>
      <c r="P155" s="212">
        <f ca="1">IF($E156=-1,0,IF(P$13&lt;=$L155,IF(ISERROR(MATCH(P$13,OFFSET($L155,1,0,ROW($L$260)-ROW($L155)-1),0)),ROW($L$260)-ROW($L155)-1,MATCH(P$13,OFFSET($L155,1,0,ROW($L$260)-ROW($L155)-1),0)-1),0))</f>
        <v>0</v>
      </c>
      <c r="Q155" s="212">
        <f t="shared" ref="Q155" ca="1" si="334">MIN(OFFSET(L155,0,1,,L155))</f>
        <v>2</v>
      </c>
      <c r="R155" s="213">
        <f ca="1">IF($E156=0,OFFSET(ORÇAMENTO!X$15,$E155,0),IF($E156&lt;&gt;-1,OFFSET(QCI!$O$13,$E156,0),""))</f>
        <v>0</v>
      </c>
      <c r="S155" s="214" t="s">
        <v>270</v>
      </c>
      <c r="T155" s="215" t="e">
        <f t="shared" ref="T155:AE155" ca="1" si="335">IF(AND($Q155=2,ACOMPANHAMENTO="BM"),T156,T157/$R155)</f>
        <v>#DIV/0!</v>
      </c>
      <c r="U155" s="207" t="e">
        <f t="shared" ca="1" si="335"/>
        <v>#DIV/0!</v>
      </c>
      <c r="V155" s="207" t="e">
        <f t="shared" ca="1" si="335"/>
        <v>#DIV/0!</v>
      </c>
      <c r="W155" s="207" t="e">
        <f t="shared" ca="1" si="335"/>
        <v>#DIV/0!</v>
      </c>
      <c r="X155" s="207" t="e">
        <f t="shared" ca="1" si="335"/>
        <v>#DIV/0!</v>
      </c>
      <c r="Y155" s="207" t="e">
        <f t="shared" ca="1" si="335"/>
        <v>#DIV/0!</v>
      </c>
      <c r="Z155" s="207" t="e">
        <f t="shared" ca="1" si="335"/>
        <v>#DIV/0!</v>
      </c>
      <c r="AA155" s="207" t="e">
        <f t="shared" ca="1" si="335"/>
        <v>#DIV/0!</v>
      </c>
      <c r="AB155" s="207" t="e">
        <f t="shared" ca="1" si="335"/>
        <v>#DIV/0!</v>
      </c>
      <c r="AC155" s="207" t="e">
        <f t="shared" ca="1" si="335"/>
        <v>#DIV/0!</v>
      </c>
      <c r="AD155" s="207" t="e">
        <f t="shared" ca="1" si="335"/>
        <v>#DIV/0!</v>
      </c>
      <c r="AE155" s="216" t="e">
        <f t="shared" ca="1" si="335"/>
        <v>#DIV/0!</v>
      </c>
    </row>
    <row r="156" spans="1:32" ht="12.75" customHeight="1" x14ac:dyDescent="0.2">
      <c r="D156" s="569"/>
      <c r="E156" s="204">
        <f ca="1">IF(ISERROR(E155),IF(1+COUNTIF($L$13:OFFSET(L155,-1,0),1)&lt;=MAX(QCI!$D$13:$D$24),1+COUNTIF($L$13:OFFSET(L155,-1,0),1),-1),0)</f>
        <v>0</v>
      </c>
      <c r="F156" s="204" t="str">
        <f t="shared" ref="F156" ca="1" si="336">IF(AND($E156&lt;&gt;-1,$R155&gt;0),"F","")</f>
        <v/>
      </c>
      <c r="G156" s="217" t="str">
        <f ca="1">IF(OR(R155=0,R155=""),"vazia",IF(AND(OR(ACOMPANHAMENTO="PLE",$Q155&lt;&gt;2),$E156=0),"calculada","--&gt;"))</f>
        <v>vazia</v>
      </c>
      <c r="H156" s="218"/>
      <c r="I156" s="219" t="str">
        <f t="shared" ref="I156" ca="1" si="337">IF(AND(G155&lt;&gt;0,ISNUMBER(G155)),"PREENCHA ESTA LINHA --&gt;","")</f>
        <v/>
      </c>
      <c r="J156" s="219"/>
      <c r="K156" s="219"/>
      <c r="L156" s="220"/>
      <c r="M156" s="220"/>
      <c r="N156" s="220"/>
      <c r="O156" s="220"/>
      <c r="P156" s="220"/>
      <c r="Q156" s="220"/>
      <c r="R156" s="221"/>
      <c r="S156" s="222"/>
      <c r="T156" s="570"/>
      <c r="U156" s="569"/>
      <c r="V156" s="569"/>
      <c r="W156" s="569"/>
      <c r="X156" s="569"/>
      <c r="Y156" s="569"/>
      <c r="Z156" s="569"/>
      <c r="AA156" s="569"/>
      <c r="AB156" s="569"/>
      <c r="AC156" s="569"/>
      <c r="AD156" s="569"/>
      <c r="AE156" s="571"/>
      <c r="AF156" s="533"/>
    </row>
    <row r="157" spans="1:32" ht="0.2" hidden="1" customHeight="1" x14ac:dyDescent="0.2">
      <c r="D157" s="223">
        <f ca="1">IF($Q155=2,IF(AND(ACOMPANHAMENTO="PLE",ISNUMBER($E155)),SUMIF((OFFSET(CÁLCULO!$BC$15:$BU$15,$E155,0,OFFSET(ORÇAMENTO!$D$15,CRONO!$E155,0))),"="&amp;CRONO!D$12,OFFSET(CÁLCULO!$AJ$15:$BB$15,$E155,0,OFFSET(ORÇAMENTO!$D$15,CRONO!$E155,0)))+IF(AND($E157&lt;&gt;"",$E157&lt;&gt;0),SUMIF(CÁLCULO!$BC$15:$BU$727,"="&amp;CRONO!D$12,CÁLCULO!$AJ$15:$BB$727)/(ORÇAMENTO!$X$15-CÁLCULO.TotalAdmLocal)*CRONO!$E157,0),D156*$R155),SUMIF(OFFSET($R157,1,0,$Q155-2),($L155+1)&amp;"$",OFFSET(D157,1,0,$Q155-2)))</f>
        <v>0</v>
      </c>
      <c r="E157" s="204" t="str">
        <f ca="1">IF(OR($Q155&lt;&gt;2,AUTOEVENTO&lt;&gt;"manual",$E156&gt;0),"",SUMIF(OFFSET(CÁLCULO!$M$15,CRONO!$E155,0,OFFSET(ORÇAMENTO!$D$15,CRONO!$E155,0)),1,OFFSET(ORÇAMENTO!$X$15,CRONO!$E155,0,OFFSET(ORÇAMENTO!$D$15,CRONO!$E155,0))))</f>
        <v/>
      </c>
      <c r="G157" s="224"/>
      <c r="R157" s="225" t="str">
        <f t="shared" ref="R157" ca="1" si="338">L155&amp;"$"</f>
        <v>2$</v>
      </c>
      <c r="S157" s="226"/>
      <c r="T157" s="227">
        <f ca="1">IF($Q155=2,IF(AND(ACOMPANHAMENTO="PLE",ISNUMBER($E155)),SUMIF((OFFSET(CÁLCULO!$BC$15:$BU$15,$E155,0,OFFSET(ORÇAMENTO!$D$15,CRONO!$E155,0))),"&lt;="&amp;CRONO!T$12,OFFSET(CÁLCULO!$AJ$15:$BB$15,$E155,0,OFFSET(ORÇAMENTO!$D$15,CRONO!$E155,0)))+IF(AND($E157&lt;&gt;"",$E157&lt;&gt;0),SUMIF(CÁLCULO!$BC$15:$BU$727,"&lt;="&amp;CRONO!T$12,CÁLCULO!$AJ$15:$BB$727)/(ORÇAMENTO!$X$15-CÁLCULO.TotalAdmLocal)*CRONO!$E157,0),T156*$R155),SUMIF(OFFSET($R157,1,0,$Q155-2),($L155+1)&amp;"$",OFFSET(T157,1,0,$Q155-2)))</f>
        <v>0</v>
      </c>
      <c r="U157" s="223">
        <f ca="1">IF($Q155=2,IF(AND(ACOMPANHAMENTO="PLE",ISNUMBER($E155)),SUMIF((OFFSET(CÁLCULO!$BC$15:$BU$15,$E155,0,OFFSET(ORÇAMENTO!$D$15,CRONO!$E155,0))),"="&amp;CRONO!U$12,OFFSET(CÁLCULO!$AJ$15:$BB$15,$E155,0,OFFSET(ORÇAMENTO!$D$15,CRONO!$E155,0)))+IF(AND($E157&lt;&gt;"",$E157&lt;&gt;0),SUMIF(CÁLCULO!$BC$15:$BU$727,"="&amp;CRONO!U$12,CÁLCULO!$AJ$15:$BB$727)/(ORÇAMENTO!$X$15-CÁLCULO.TotalAdmLocal)*CRONO!$E157,0),U156*$R155),SUMIF(OFFSET($R157,1,0,$Q155-2),($L155+1)&amp;"$",OFFSET(U157,1,0,$Q155-2)))</f>
        <v>0</v>
      </c>
      <c r="V157" s="223">
        <f ca="1">IF($Q155=2,IF(AND(ACOMPANHAMENTO="PLE",ISNUMBER($E155)),SUMIF((OFFSET(CÁLCULO!$BC$15:$BU$15,$E155,0,OFFSET(ORÇAMENTO!$D$15,CRONO!$E155,0))),"="&amp;CRONO!V$12,OFFSET(CÁLCULO!$AJ$15:$BB$15,$E155,0,OFFSET(ORÇAMENTO!$D$15,CRONO!$E155,0)))+IF(AND($E157&lt;&gt;"",$E157&lt;&gt;0),SUMIF(CÁLCULO!$BC$15:$BU$727,"="&amp;CRONO!V$12,CÁLCULO!$AJ$15:$BB$727)/(ORÇAMENTO!$X$15-CÁLCULO.TotalAdmLocal)*CRONO!$E157,0),V156*$R155),SUMIF(OFFSET($R157,1,0,$Q155-2),($L155+1)&amp;"$",OFFSET(V157,1,0,$Q155-2)))</f>
        <v>0</v>
      </c>
      <c r="W157" s="223">
        <f ca="1">IF($Q155=2,IF(AND(ACOMPANHAMENTO="PLE",ISNUMBER($E155)),SUMIF((OFFSET(CÁLCULO!$BC$15:$BU$15,$E155,0,OFFSET(ORÇAMENTO!$D$15,CRONO!$E155,0))),"="&amp;CRONO!W$12,OFFSET(CÁLCULO!$AJ$15:$BB$15,$E155,0,OFFSET(ORÇAMENTO!$D$15,CRONO!$E155,0)))+IF(AND($E157&lt;&gt;"",$E157&lt;&gt;0),SUMIF(CÁLCULO!$BC$15:$BU$727,"="&amp;CRONO!W$12,CÁLCULO!$AJ$15:$BB$727)/(ORÇAMENTO!$X$15-CÁLCULO.TotalAdmLocal)*CRONO!$E157,0),W156*$R155),SUMIF(OFFSET($R157,1,0,$Q155-2),($L155+1)&amp;"$",OFFSET(W157,1,0,$Q155-2)))</f>
        <v>0</v>
      </c>
      <c r="X157" s="223">
        <f ca="1">IF($Q155=2,IF(AND(ACOMPANHAMENTO="PLE",ISNUMBER($E155)),SUMIF((OFFSET(CÁLCULO!$BC$15:$BU$15,$E155,0,OFFSET(ORÇAMENTO!$D$15,CRONO!$E155,0))),"="&amp;CRONO!X$12,OFFSET(CÁLCULO!$AJ$15:$BB$15,$E155,0,OFFSET(ORÇAMENTO!$D$15,CRONO!$E155,0)))+IF(AND($E157&lt;&gt;"",$E157&lt;&gt;0),SUMIF(CÁLCULO!$BC$15:$BU$727,"="&amp;CRONO!X$12,CÁLCULO!$AJ$15:$BB$727)/(ORÇAMENTO!$X$15-CÁLCULO.TotalAdmLocal)*CRONO!$E157,0),X156*$R155),SUMIF(OFFSET($R157,1,0,$Q155-2),($L155+1)&amp;"$",OFFSET(X157,1,0,$Q155-2)))</f>
        <v>0</v>
      </c>
      <c r="Y157" s="223">
        <f ca="1">IF($Q155=2,IF(AND(ACOMPANHAMENTO="PLE",ISNUMBER($E155)),SUMIF((OFFSET(CÁLCULO!$BC$15:$BU$15,$E155,0,OFFSET(ORÇAMENTO!$D$15,CRONO!$E155,0))),"="&amp;CRONO!Y$12,OFFSET(CÁLCULO!$AJ$15:$BB$15,$E155,0,OFFSET(ORÇAMENTO!$D$15,CRONO!$E155,0)))+IF(AND($E157&lt;&gt;"",$E157&lt;&gt;0),SUMIF(CÁLCULO!$BC$15:$BU$727,"="&amp;CRONO!Y$12,CÁLCULO!$AJ$15:$BB$727)/(ORÇAMENTO!$X$15-CÁLCULO.TotalAdmLocal)*CRONO!$E157,0),Y156*$R155),SUMIF(OFFSET($R157,1,0,$Q155-2),($L155+1)&amp;"$",OFFSET(Y157,1,0,$Q155-2)))</f>
        <v>0</v>
      </c>
      <c r="Z157" s="223">
        <f ca="1">IF($Q155=2,IF(AND(ACOMPANHAMENTO="PLE",ISNUMBER($E155)),SUMIF((OFFSET(CÁLCULO!$BC$15:$BU$15,$E155,0,OFFSET(ORÇAMENTO!$D$15,CRONO!$E155,0))),"="&amp;CRONO!Z$12,OFFSET(CÁLCULO!$AJ$15:$BB$15,$E155,0,OFFSET(ORÇAMENTO!$D$15,CRONO!$E155,0)))+IF(AND($E157&lt;&gt;"",$E157&lt;&gt;0),SUMIF(CÁLCULO!$BC$15:$BU$727,"="&amp;CRONO!Z$12,CÁLCULO!$AJ$15:$BB$727)/(ORÇAMENTO!$X$15-CÁLCULO.TotalAdmLocal)*CRONO!$E157,0),Z156*$R155),SUMIF(OFFSET($R157,1,0,$Q155-2),($L155+1)&amp;"$",OFFSET(Z157,1,0,$Q155-2)))</f>
        <v>0</v>
      </c>
      <c r="AA157" s="223">
        <f ca="1">IF($Q155=2,IF(AND(ACOMPANHAMENTO="PLE",ISNUMBER($E155)),SUMIF((OFFSET(CÁLCULO!$BC$15:$BU$15,$E155,0,OFFSET(ORÇAMENTO!$D$15,CRONO!$E155,0))),"="&amp;CRONO!AA$12,OFFSET(CÁLCULO!$AJ$15:$BB$15,$E155,0,OFFSET(ORÇAMENTO!$D$15,CRONO!$E155,0)))+IF(AND($E157&lt;&gt;"",$E157&lt;&gt;0),SUMIF(CÁLCULO!$BC$15:$BU$727,"="&amp;CRONO!AA$12,CÁLCULO!$AJ$15:$BB$727)/(ORÇAMENTO!$X$15-CÁLCULO.TotalAdmLocal)*CRONO!$E157,0),AA156*$R155),SUMIF(OFFSET($R157,1,0,$Q155-2),($L155+1)&amp;"$",OFFSET(AA157,1,0,$Q155-2)))</f>
        <v>0</v>
      </c>
      <c r="AB157" s="223">
        <f ca="1">IF($Q155=2,IF(AND(ACOMPANHAMENTO="PLE",ISNUMBER($E155)),SUMIF((OFFSET(CÁLCULO!$BC$15:$BU$15,$E155,0,OFFSET(ORÇAMENTO!$D$15,CRONO!$E155,0))),"="&amp;CRONO!AB$12,OFFSET(CÁLCULO!$AJ$15:$BB$15,$E155,0,OFFSET(ORÇAMENTO!$D$15,CRONO!$E155,0)))+IF(AND($E157&lt;&gt;"",$E157&lt;&gt;0),SUMIF(CÁLCULO!$BC$15:$BU$727,"="&amp;CRONO!AB$12,CÁLCULO!$AJ$15:$BB$727)/(ORÇAMENTO!$X$15-CÁLCULO.TotalAdmLocal)*CRONO!$E157,0),AB156*$R155),SUMIF(OFFSET($R157,1,0,$Q155-2),($L155+1)&amp;"$",OFFSET(AB157,1,0,$Q155-2)))</f>
        <v>0</v>
      </c>
      <c r="AC157" s="223">
        <f ca="1">IF($Q155=2,IF(AND(ACOMPANHAMENTO="PLE",ISNUMBER($E155)),SUMIF((OFFSET(CÁLCULO!$BC$15:$BU$15,$E155,0,OFFSET(ORÇAMENTO!$D$15,CRONO!$E155,0))),"="&amp;CRONO!AC$12,OFFSET(CÁLCULO!$AJ$15:$BB$15,$E155,0,OFFSET(ORÇAMENTO!$D$15,CRONO!$E155,0)))+IF(AND($E157&lt;&gt;"",$E157&lt;&gt;0),SUMIF(CÁLCULO!$BC$15:$BU$727,"="&amp;CRONO!AC$12,CÁLCULO!$AJ$15:$BB$727)/(ORÇAMENTO!$X$15-CÁLCULO.TotalAdmLocal)*CRONO!$E157,0),AC156*$R155),SUMIF(OFFSET($R157,1,0,$Q155-2),($L155+1)&amp;"$",OFFSET(AC157,1,0,$Q155-2)))</f>
        <v>0</v>
      </c>
      <c r="AD157" s="223">
        <f ca="1">IF($Q155=2,IF(AND(ACOMPANHAMENTO="PLE",ISNUMBER($E155)),SUMIF((OFFSET(CÁLCULO!$BC$15:$BU$15,$E155,0,OFFSET(ORÇAMENTO!$D$15,CRONO!$E155,0))),"="&amp;CRONO!AD$12,OFFSET(CÁLCULO!$AJ$15:$BB$15,$E155,0,OFFSET(ORÇAMENTO!$D$15,CRONO!$E155,0)))+IF(AND($E157&lt;&gt;"",$E157&lt;&gt;0),SUMIF(CÁLCULO!$BC$15:$BU$727,"="&amp;CRONO!AD$12,CÁLCULO!$AJ$15:$BB$727)/(ORÇAMENTO!$X$15-CÁLCULO.TotalAdmLocal)*CRONO!$E157,0),AD156*$R155),SUMIF(OFFSET($R157,1,0,$Q155-2),($L155+1)&amp;"$",OFFSET(AD157,1,0,$Q155-2)))</f>
        <v>0</v>
      </c>
      <c r="AE157" s="228">
        <f ca="1">IF($Q155=2,IF(AND(ACOMPANHAMENTO="PLE",ISNUMBER($E155)),SUMIF((OFFSET(CÁLCULO!$BC$15:$BU$15,$E155,0,OFFSET(ORÇAMENTO!$D$15,CRONO!$E155,0))),"="&amp;CRONO!AE$12,OFFSET(CÁLCULO!$AJ$15:$BB$15,$E155,0,OFFSET(ORÇAMENTO!$D$15,CRONO!$E155,0)))+IF(AND($E157&lt;&gt;"",$E157&lt;&gt;0),SUMIF(CÁLCULO!$BC$15:$BU$727,"="&amp;CRONO!AE$12,CÁLCULO!$AJ$15:$BB$727)/(ORÇAMENTO!$X$15-CÁLCULO.TotalAdmLocal)*CRONO!$E157,0),AE156*$R155),SUMIF(OFFSET($R157,1,0,$Q155-2),($L155+1)&amp;"$",OFFSET(AE157,1,0,$Q155-2)))</f>
        <v>0</v>
      </c>
    </row>
    <row r="158" spans="1:32" x14ac:dyDescent="0.2">
      <c r="A158" s="204">
        <f t="shared" ref="A158" ca="1" si="339">OFFSET(A158,-3,0)+1</f>
        <v>49</v>
      </c>
      <c r="B158" s="204">
        <f ca="1">IF($Q158&lt;&gt;2,0,IF($R158=0,1,IF(E159&gt;0,OFFSET(QCI!$M$13,SUBSTITUTE(E159,".",""),0),OFFSET(ORÇAMENTO!$AA$15,CRONO!$E158,0))/$R158))</f>
        <v>1</v>
      </c>
      <c r="C158" s="204">
        <f ca="1">IF($Q158&lt;&gt;2,0,IF($R158=0,1,IF(E159&gt;0,OFFSET(QCI!$N$13,SUBSTITUTE(E159,".",""),0),OFFSET(ORÇAMENTO!$AB$15,CRONO!$E158,0))/$R158))</f>
        <v>1</v>
      </c>
      <c r="D158" s="207" t="e">
        <f ca="1">IF(AND($Q158=2,ACOMPANHAMENTO="BM"),D159,D160/$R158)</f>
        <v>#DIV/0!</v>
      </c>
      <c r="E158" s="204">
        <f ca="1">IF(A158&lt;=ORÇAMENTO.MáximoListaCrono,MATCH(A158,ORÇAMENTO.ListaCrono,0),NA())</f>
        <v>421</v>
      </c>
      <c r="F158" s="204" t="str">
        <f t="shared" ref="F158" ca="1" si="340">IF(AND($E159&lt;&gt;-1,$R158&gt;0),"F","")</f>
        <v/>
      </c>
      <c r="G158" s="208" t="str">
        <f ca="1">IF(OR(R158=0,R158=""),"Linha",IF(AND(OR(ACOMPANHAMENTO="PLE",$Q158&lt;&gt;2),$E159=0),"Linha",1-SUM(T158:AF158)))</f>
        <v>Linha</v>
      </c>
      <c r="H158" s="209" t="str">
        <f ca="1">IF($E159=0,OFFSET(ORÇAMENTO!O$15,$E158,0),IF($E159&lt;&gt;-1,OFFSET(QCI!$D$13,$E159,0),""))</f>
        <v>1.48.</v>
      </c>
      <c r="I158" s="210" t="str">
        <f ca="1">IF($E159=0,OFFSET(ORÇAMENTO!R$15,$E158,0),IF($E159&lt;&gt;-1,OFFSET(QCI!$G$13,$E159,0),""))</f>
        <v>SISTEMA DE PROTEÇÃO CONTRA INCÊNDIO - TUBULAÇÕES E CONEXÕES</v>
      </c>
      <c r="J158" s="210"/>
      <c r="K158" s="210"/>
      <c r="L158" s="211">
        <f ca="1">IF($E159=0,OFFSET(ORÇAMENTO!C$15,$E158,0),1)</f>
        <v>2</v>
      </c>
      <c r="M158" s="212">
        <f ca="1">IF($E159=-1,0,IF(M$13&lt;=$L158,IF(ISERROR(MATCH(M$13,OFFSET($L158,1,0,ROW($L$260)-ROW($L158)-1),0)),ROW($L$260)-ROW($L158)-1,MATCH(M$13,OFFSET($L158,1,0,ROW($L$260)-ROW($L158)-1),0)-1),0))</f>
        <v>101</v>
      </c>
      <c r="N158" s="212">
        <f ca="1">IF($E159=-1,0,IF(N$13&lt;=$L158,IF(ISERROR(MATCH(N$13,OFFSET($L158,1,0,ROW($L$260)-ROW($L158)-1),0)),ROW($L$260)-ROW($L158)-1,MATCH(N$13,OFFSET($L158,1,0,ROW($L$260)-ROW($L158)-1),0)-1),0))</f>
        <v>2</v>
      </c>
      <c r="O158" s="212">
        <f ca="1">IF($E159=-1,0,IF(O$13&lt;=$L158,IF(ISERROR(MATCH(O$13,OFFSET($L158,1,0,ROW($L$260)-ROW($L158)-1),0)),ROW($L$260)-ROW($L158)-1,MATCH(O$13,OFFSET($L158,1,0,ROW($L$260)-ROW($L158)-1),0)-1),0))</f>
        <v>0</v>
      </c>
      <c r="P158" s="212">
        <f ca="1">IF($E159=-1,0,IF(P$13&lt;=$L158,IF(ISERROR(MATCH(P$13,OFFSET($L158,1,0,ROW($L$260)-ROW($L158)-1),0)),ROW($L$260)-ROW($L158)-1,MATCH(P$13,OFFSET($L158,1,0,ROW($L$260)-ROW($L158)-1),0)-1),0))</f>
        <v>0</v>
      </c>
      <c r="Q158" s="212">
        <f t="shared" ref="Q158" ca="1" si="341">MIN(OFFSET(L158,0,1,,L158))</f>
        <v>2</v>
      </c>
      <c r="R158" s="213">
        <f ca="1">IF($E159=0,OFFSET(ORÇAMENTO!X$15,$E158,0),IF($E159&lt;&gt;-1,OFFSET(QCI!$O$13,$E159,0),""))</f>
        <v>0</v>
      </c>
      <c r="S158" s="214" t="s">
        <v>270</v>
      </c>
      <c r="T158" s="215" t="e">
        <f t="shared" ref="T158:AE158" ca="1" si="342">IF(AND($Q158=2,ACOMPANHAMENTO="BM"),T159,T160/$R158)</f>
        <v>#DIV/0!</v>
      </c>
      <c r="U158" s="207" t="e">
        <f t="shared" ca="1" si="342"/>
        <v>#DIV/0!</v>
      </c>
      <c r="V158" s="207" t="e">
        <f t="shared" ca="1" si="342"/>
        <v>#DIV/0!</v>
      </c>
      <c r="W158" s="207" t="e">
        <f t="shared" ca="1" si="342"/>
        <v>#DIV/0!</v>
      </c>
      <c r="X158" s="207" t="e">
        <f t="shared" ca="1" si="342"/>
        <v>#DIV/0!</v>
      </c>
      <c r="Y158" s="207" t="e">
        <f t="shared" ca="1" si="342"/>
        <v>#DIV/0!</v>
      </c>
      <c r="Z158" s="207" t="e">
        <f t="shared" ca="1" si="342"/>
        <v>#DIV/0!</v>
      </c>
      <c r="AA158" s="207" t="e">
        <f t="shared" ca="1" si="342"/>
        <v>#DIV/0!</v>
      </c>
      <c r="AB158" s="207" t="e">
        <f t="shared" ca="1" si="342"/>
        <v>#DIV/0!</v>
      </c>
      <c r="AC158" s="207" t="e">
        <f t="shared" ca="1" si="342"/>
        <v>#DIV/0!</v>
      </c>
      <c r="AD158" s="207" t="e">
        <f t="shared" ca="1" si="342"/>
        <v>#DIV/0!</v>
      </c>
      <c r="AE158" s="216" t="e">
        <f t="shared" ca="1" si="342"/>
        <v>#DIV/0!</v>
      </c>
    </row>
    <row r="159" spans="1:32" ht="12.75" customHeight="1" x14ac:dyDescent="0.2">
      <c r="D159" s="569"/>
      <c r="E159" s="204">
        <f ca="1">IF(ISERROR(E158),IF(1+COUNTIF($L$13:OFFSET(L158,-1,0),1)&lt;=MAX(QCI!$D$13:$D$24),1+COUNTIF($L$13:OFFSET(L158,-1,0),1),-1),0)</f>
        <v>0</v>
      </c>
      <c r="F159" s="204" t="str">
        <f t="shared" ref="F159" ca="1" si="343">IF(AND($E159&lt;&gt;-1,$R158&gt;0),"F","")</f>
        <v/>
      </c>
      <c r="G159" s="217" t="str">
        <f ca="1">IF(OR(R158=0,R158=""),"vazia",IF(AND(OR(ACOMPANHAMENTO="PLE",$Q158&lt;&gt;2),$E159=0),"calculada","--&gt;"))</f>
        <v>vazia</v>
      </c>
      <c r="H159" s="218"/>
      <c r="I159" s="219" t="str">
        <f t="shared" ref="I159" ca="1" si="344">IF(AND(G158&lt;&gt;0,ISNUMBER(G158)),"PREENCHA ESTA LINHA --&gt;","")</f>
        <v/>
      </c>
      <c r="J159" s="219"/>
      <c r="K159" s="219"/>
      <c r="L159" s="220"/>
      <c r="M159" s="220"/>
      <c r="N159" s="220"/>
      <c r="O159" s="220"/>
      <c r="P159" s="220"/>
      <c r="Q159" s="220"/>
      <c r="R159" s="221"/>
      <c r="S159" s="222"/>
      <c r="T159" s="570"/>
      <c r="U159" s="569"/>
      <c r="V159" s="569"/>
      <c r="W159" s="569"/>
      <c r="X159" s="569"/>
      <c r="Y159" s="569"/>
      <c r="Z159" s="569"/>
      <c r="AA159" s="569"/>
      <c r="AB159" s="569"/>
      <c r="AC159" s="569"/>
      <c r="AD159" s="569"/>
      <c r="AE159" s="571"/>
      <c r="AF159" s="533"/>
    </row>
    <row r="160" spans="1:32" ht="0.2" hidden="1" customHeight="1" x14ac:dyDescent="0.2">
      <c r="D160" s="223">
        <f ca="1">IF($Q158=2,IF(AND(ACOMPANHAMENTO="PLE",ISNUMBER($E158)),SUMIF((OFFSET(CÁLCULO!$BC$15:$BU$15,$E158,0,OFFSET(ORÇAMENTO!$D$15,CRONO!$E158,0))),"="&amp;CRONO!D$12,OFFSET(CÁLCULO!$AJ$15:$BB$15,$E158,0,OFFSET(ORÇAMENTO!$D$15,CRONO!$E158,0)))+IF(AND($E160&lt;&gt;"",$E160&lt;&gt;0),SUMIF(CÁLCULO!$BC$15:$BU$727,"="&amp;CRONO!D$12,CÁLCULO!$AJ$15:$BB$727)/(ORÇAMENTO!$X$15-CÁLCULO.TotalAdmLocal)*CRONO!$E160,0),D159*$R158),SUMIF(OFFSET($R160,1,0,$Q158-2),($L158+1)&amp;"$",OFFSET(D160,1,0,$Q158-2)))</f>
        <v>0</v>
      </c>
      <c r="E160" s="204" t="str">
        <f ca="1">IF(OR($Q158&lt;&gt;2,AUTOEVENTO&lt;&gt;"manual",$E159&gt;0),"",SUMIF(OFFSET(CÁLCULO!$M$15,CRONO!$E158,0,OFFSET(ORÇAMENTO!$D$15,CRONO!$E158,0)),1,OFFSET(ORÇAMENTO!$X$15,CRONO!$E158,0,OFFSET(ORÇAMENTO!$D$15,CRONO!$E158,0))))</f>
        <v/>
      </c>
      <c r="G160" s="224"/>
      <c r="R160" s="225" t="str">
        <f t="shared" ref="R160" ca="1" si="345">L158&amp;"$"</f>
        <v>2$</v>
      </c>
      <c r="S160" s="226"/>
      <c r="T160" s="227">
        <f ca="1">IF($Q158=2,IF(AND(ACOMPANHAMENTO="PLE",ISNUMBER($E158)),SUMIF((OFFSET(CÁLCULO!$BC$15:$BU$15,$E158,0,OFFSET(ORÇAMENTO!$D$15,CRONO!$E158,0))),"&lt;="&amp;CRONO!T$12,OFFSET(CÁLCULO!$AJ$15:$BB$15,$E158,0,OFFSET(ORÇAMENTO!$D$15,CRONO!$E158,0)))+IF(AND($E160&lt;&gt;"",$E160&lt;&gt;0),SUMIF(CÁLCULO!$BC$15:$BU$727,"&lt;="&amp;CRONO!T$12,CÁLCULO!$AJ$15:$BB$727)/(ORÇAMENTO!$X$15-CÁLCULO.TotalAdmLocal)*CRONO!$E160,0),T159*$R158),SUMIF(OFFSET($R160,1,0,$Q158-2),($L158+1)&amp;"$",OFFSET(T160,1,0,$Q158-2)))</f>
        <v>0</v>
      </c>
      <c r="U160" s="223">
        <f ca="1">IF($Q158=2,IF(AND(ACOMPANHAMENTO="PLE",ISNUMBER($E158)),SUMIF((OFFSET(CÁLCULO!$BC$15:$BU$15,$E158,0,OFFSET(ORÇAMENTO!$D$15,CRONO!$E158,0))),"="&amp;CRONO!U$12,OFFSET(CÁLCULO!$AJ$15:$BB$15,$E158,0,OFFSET(ORÇAMENTO!$D$15,CRONO!$E158,0)))+IF(AND($E160&lt;&gt;"",$E160&lt;&gt;0),SUMIF(CÁLCULO!$BC$15:$BU$727,"="&amp;CRONO!U$12,CÁLCULO!$AJ$15:$BB$727)/(ORÇAMENTO!$X$15-CÁLCULO.TotalAdmLocal)*CRONO!$E160,0),U159*$R158),SUMIF(OFFSET($R160,1,0,$Q158-2),($L158+1)&amp;"$",OFFSET(U160,1,0,$Q158-2)))</f>
        <v>0</v>
      </c>
      <c r="V160" s="223">
        <f ca="1">IF($Q158=2,IF(AND(ACOMPANHAMENTO="PLE",ISNUMBER($E158)),SUMIF((OFFSET(CÁLCULO!$BC$15:$BU$15,$E158,0,OFFSET(ORÇAMENTO!$D$15,CRONO!$E158,0))),"="&amp;CRONO!V$12,OFFSET(CÁLCULO!$AJ$15:$BB$15,$E158,0,OFFSET(ORÇAMENTO!$D$15,CRONO!$E158,0)))+IF(AND($E160&lt;&gt;"",$E160&lt;&gt;0),SUMIF(CÁLCULO!$BC$15:$BU$727,"="&amp;CRONO!V$12,CÁLCULO!$AJ$15:$BB$727)/(ORÇAMENTO!$X$15-CÁLCULO.TotalAdmLocal)*CRONO!$E160,0),V159*$R158),SUMIF(OFFSET($R160,1,0,$Q158-2),($L158+1)&amp;"$",OFFSET(V160,1,0,$Q158-2)))</f>
        <v>0</v>
      </c>
      <c r="W160" s="223">
        <f ca="1">IF($Q158=2,IF(AND(ACOMPANHAMENTO="PLE",ISNUMBER($E158)),SUMIF((OFFSET(CÁLCULO!$BC$15:$BU$15,$E158,0,OFFSET(ORÇAMENTO!$D$15,CRONO!$E158,0))),"="&amp;CRONO!W$12,OFFSET(CÁLCULO!$AJ$15:$BB$15,$E158,0,OFFSET(ORÇAMENTO!$D$15,CRONO!$E158,0)))+IF(AND($E160&lt;&gt;"",$E160&lt;&gt;0),SUMIF(CÁLCULO!$BC$15:$BU$727,"="&amp;CRONO!W$12,CÁLCULO!$AJ$15:$BB$727)/(ORÇAMENTO!$X$15-CÁLCULO.TotalAdmLocal)*CRONO!$E160,0),W159*$R158),SUMIF(OFFSET($R160,1,0,$Q158-2),($L158+1)&amp;"$",OFFSET(W160,1,0,$Q158-2)))</f>
        <v>0</v>
      </c>
      <c r="X160" s="223">
        <f ca="1">IF($Q158=2,IF(AND(ACOMPANHAMENTO="PLE",ISNUMBER($E158)),SUMIF((OFFSET(CÁLCULO!$BC$15:$BU$15,$E158,0,OFFSET(ORÇAMENTO!$D$15,CRONO!$E158,0))),"="&amp;CRONO!X$12,OFFSET(CÁLCULO!$AJ$15:$BB$15,$E158,0,OFFSET(ORÇAMENTO!$D$15,CRONO!$E158,0)))+IF(AND($E160&lt;&gt;"",$E160&lt;&gt;0),SUMIF(CÁLCULO!$BC$15:$BU$727,"="&amp;CRONO!X$12,CÁLCULO!$AJ$15:$BB$727)/(ORÇAMENTO!$X$15-CÁLCULO.TotalAdmLocal)*CRONO!$E160,0),X159*$R158),SUMIF(OFFSET($R160,1,0,$Q158-2),($L158+1)&amp;"$",OFFSET(X160,1,0,$Q158-2)))</f>
        <v>0</v>
      </c>
      <c r="Y160" s="223">
        <f ca="1">IF($Q158=2,IF(AND(ACOMPANHAMENTO="PLE",ISNUMBER($E158)),SUMIF((OFFSET(CÁLCULO!$BC$15:$BU$15,$E158,0,OFFSET(ORÇAMENTO!$D$15,CRONO!$E158,0))),"="&amp;CRONO!Y$12,OFFSET(CÁLCULO!$AJ$15:$BB$15,$E158,0,OFFSET(ORÇAMENTO!$D$15,CRONO!$E158,0)))+IF(AND($E160&lt;&gt;"",$E160&lt;&gt;0),SUMIF(CÁLCULO!$BC$15:$BU$727,"="&amp;CRONO!Y$12,CÁLCULO!$AJ$15:$BB$727)/(ORÇAMENTO!$X$15-CÁLCULO.TotalAdmLocal)*CRONO!$E160,0),Y159*$R158),SUMIF(OFFSET($R160,1,0,$Q158-2),($L158+1)&amp;"$",OFFSET(Y160,1,0,$Q158-2)))</f>
        <v>0</v>
      </c>
      <c r="Z160" s="223">
        <f ca="1">IF($Q158=2,IF(AND(ACOMPANHAMENTO="PLE",ISNUMBER($E158)),SUMIF((OFFSET(CÁLCULO!$BC$15:$BU$15,$E158,0,OFFSET(ORÇAMENTO!$D$15,CRONO!$E158,0))),"="&amp;CRONO!Z$12,OFFSET(CÁLCULO!$AJ$15:$BB$15,$E158,0,OFFSET(ORÇAMENTO!$D$15,CRONO!$E158,0)))+IF(AND($E160&lt;&gt;"",$E160&lt;&gt;0),SUMIF(CÁLCULO!$BC$15:$BU$727,"="&amp;CRONO!Z$12,CÁLCULO!$AJ$15:$BB$727)/(ORÇAMENTO!$X$15-CÁLCULO.TotalAdmLocal)*CRONO!$E160,0),Z159*$R158),SUMIF(OFFSET($R160,1,0,$Q158-2),($L158+1)&amp;"$",OFFSET(Z160,1,0,$Q158-2)))</f>
        <v>0</v>
      </c>
      <c r="AA160" s="223">
        <f ca="1">IF($Q158=2,IF(AND(ACOMPANHAMENTO="PLE",ISNUMBER($E158)),SUMIF((OFFSET(CÁLCULO!$BC$15:$BU$15,$E158,0,OFFSET(ORÇAMENTO!$D$15,CRONO!$E158,0))),"="&amp;CRONO!AA$12,OFFSET(CÁLCULO!$AJ$15:$BB$15,$E158,0,OFFSET(ORÇAMENTO!$D$15,CRONO!$E158,0)))+IF(AND($E160&lt;&gt;"",$E160&lt;&gt;0),SUMIF(CÁLCULO!$BC$15:$BU$727,"="&amp;CRONO!AA$12,CÁLCULO!$AJ$15:$BB$727)/(ORÇAMENTO!$X$15-CÁLCULO.TotalAdmLocal)*CRONO!$E160,0),AA159*$R158),SUMIF(OFFSET($R160,1,0,$Q158-2),($L158+1)&amp;"$",OFFSET(AA160,1,0,$Q158-2)))</f>
        <v>0</v>
      </c>
      <c r="AB160" s="223">
        <f ca="1">IF($Q158=2,IF(AND(ACOMPANHAMENTO="PLE",ISNUMBER($E158)),SUMIF((OFFSET(CÁLCULO!$BC$15:$BU$15,$E158,0,OFFSET(ORÇAMENTO!$D$15,CRONO!$E158,0))),"="&amp;CRONO!AB$12,OFFSET(CÁLCULO!$AJ$15:$BB$15,$E158,0,OFFSET(ORÇAMENTO!$D$15,CRONO!$E158,0)))+IF(AND($E160&lt;&gt;"",$E160&lt;&gt;0),SUMIF(CÁLCULO!$BC$15:$BU$727,"="&amp;CRONO!AB$12,CÁLCULO!$AJ$15:$BB$727)/(ORÇAMENTO!$X$15-CÁLCULO.TotalAdmLocal)*CRONO!$E160,0),AB159*$R158),SUMIF(OFFSET($R160,1,0,$Q158-2),($L158+1)&amp;"$",OFFSET(AB160,1,0,$Q158-2)))</f>
        <v>0</v>
      </c>
      <c r="AC160" s="223">
        <f ca="1">IF($Q158=2,IF(AND(ACOMPANHAMENTO="PLE",ISNUMBER($E158)),SUMIF((OFFSET(CÁLCULO!$BC$15:$BU$15,$E158,0,OFFSET(ORÇAMENTO!$D$15,CRONO!$E158,0))),"="&amp;CRONO!AC$12,OFFSET(CÁLCULO!$AJ$15:$BB$15,$E158,0,OFFSET(ORÇAMENTO!$D$15,CRONO!$E158,0)))+IF(AND($E160&lt;&gt;"",$E160&lt;&gt;0),SUMIF(CÁLCULO!$BC$15:$BU$727,"="&amp;CRONO!AC$12,CÁLCULO!$AJ$15:$BB$727)/(ORÇAMENTO!$X$15-CÁLCULO.TotalAdmLocal)*CRONO!$E160,0),AC159*$R158),SUMIF(OFFSET($R160,1,0,$Q158-2),($L158+1)&amp;"$",OFFSET(AC160,1,0,$Q158-2)))</f>
        <v>0</v>
      </c>
      <c r="AD160" s="223">
        <f ca="1">IF($Q158=2,IF(AND(ACOMPANHAMENTO="PLE",ISNUMBER($E158)),SUMIF((OFFSET(CÁLCULO!$BC$15:$BU$15,$E158,0,OFFSET(ORÇAMENTO!$D$15,CRONO!$E158,0))),"="&amp;CRONO!AD$12,OFFSET(CÁLCULO!$AJ$15:$BB$15,$E158,0,OFFSET(ORÇAMENTO!$D$15,CRONO!$E158,0)))+IF(AND($E160&lt;&gt;"",$E160&lt;&gt;0),SUMIF(CÁLCULO!$BC$15:$BU$727,"="&amp;CRONO!AD$12,CÁLCULO!$AJ$15:$BB$727)/(ORÇAMENTO!$X$15-CÁLCULO.TotalAdmLocal)*CRONO!$E160,0),AD159*$R158),SUMIF(OFFSET($R160,1,0,$Q158-2),($L158+1)&amp;"$",OFFSET(AD160,1,0,$Q158-2)))</f>
        <v>0</v>
      </c>
      <c r="AE160" s="228">
        <f ca="1">IF($Q158=2,IF(AND(ACOMPANHAMENTO="PLE",ISNUMBER($E158)),SUMIF((OFFSET(CÁLCULO!$BC$15:$BU$15,$E158,0,OFFSET(ORÇAMENTO!$D$15,CRONO!$E158,0))),"="&amp;CRONO!AE$12,OFFSET(CÁLCULO!$AJ$15:$BB$15,$E158,0,OFFSET(ORÇAMENTO!$D$15,CRONO!$E158,0)))+IF(AND($E160&lt;&gt;"",$E160&lt;&gt;0),SUMIF(CÁLCULO!$BC$15:$BU$727,"="&amp;CRONO!AE$12,CÁLCULO!$AJ$15:$BB$727)/(ORÇAMENTO!$X$15-CÁLCULO.TotalAdmLocal)*CRONO!$E160,0),AE159*$R158),SUMIF(OFFSET($R160,1,0,$Q158-2),($L158+1)&amp;"$",OFFSET(AE160,1,0,$Q158-2)))</f>
        <v>0</v>
      </c>
    </row>
    <row r="161" spans="1:32" x14ac:dyDescent="0.2">
      <c r="A161" s="204">
        <f t="shared" ref="A161" ca="1" si="346">OFFSET(A161,-3,0)+1</f>
        <v>50</v>
      </c>
      <c r="B161" s="204">
        <f ca="1">IF($Q161&lt;&gt;2,0,IF($R161=0,1,IF(E162&gt;0,OFFSET(QCI!$M$13,SUBSTITUTE(E162,".",""),0),OFFSET(ORÇAMENTO!$AA$15,CRONO!$E161,0))/$R161))</f>
        <v>1</v>
      </c>
      <c r="C161" s="204">
        <f ca="1">IF($Q161&lt;&gt;2,0,IF($R161=0,1,IF(E162&gt;0,OFFSET(QCI!$N$13,SUBSTITUTE(E162,".",""),0),OFFSET(ORÇAMENTO!$AB$15,CRONO!$E161,0))/$R161))</f>
        <v>1</v>
      </c>
      <c r="D161" s="207" t="e">
        <f ca="1">IF(AND($Q161=2,ACOMPANHAMENTO="BM"),D162,D163/$R161)</f>
        <v>#DIV/0!</v>
      </c>
      <c r="E161" s="204">
        <f ca="1">IF(A161&lt;=ORÇAMENTO.MáximoListaCrono,MATCH(A161,ORÇAMENTO.ListaCrono,0),NA())</f>
        <v>457</v>
      </c>
      <c r="F161" s="204" t="str">
        <f t="shared" ref="F161" ca="1" si="347">IF(AND($E162&lt;&gt;-1,$R161&gt;0),"F","")</f>
        <v/>
      </c>
      <c r="G161" s="208" t="str">
        <f ca="1">IF(OR(R161=0,R161=""),"Linha",IF(AND(OR(ACOMPANHAMENTO="PLE",$Q161&lt;&gt;2),$E162=0),"Linha",1-SUM(T161:AF161)))</f>
        <v>Linha</v>
      </c>
      <c r="H161" s="209" t="str">
        <f ca="1">IF($E162=0,OFFSET(ORÇAMENTO!O$15,$E161,0),IF($E162&lt;&gt;-1,OFFSET(QCI!$D$13,$E162,0),""))</f>
        <v>1.49.</v>
      </c>
      <c r="I161" s="210" t="str">
        <f ca="1">IF($E162=0,OFFSET(ORÇAMENTO!R$15,$E161,0),IF($E162&lt;&gt;-1,OFFSET(QCI!$G$13,$E162,0),""))</f>
        <v>SISTEMA DE PROTEÇÃO CONTRA INCÊNDIO - SINALIZAÇÕES</v>
      </c>
      <c r="J161" s="210"/>
      <c r="K161" s="210"/>
      <c r="L161" s="211">
        <f ca="1">IF($E162=0,OFFSET(ORÇAMENTO!C$15,$E161,0),1)</f>
        <v>2</v>
      </c>
      <c r="M161" s="212">
        <f ca="1">IF($E162=-1,0,IF(M$13&lt;=$L161,IF(ISERROR(MATCH(M$13,OFFSET($L161,1,0,ROW($L$260)-ROW($L161)-1),0)),ROW($L$260)-ROW($L161)-1,MATCH(M$13,OFFSET($L161,1,0,ROW($L$260)-ROW($L161)-1),0)-1),0))</f>
        <v>98</v>
      </c>
      <c r="N161" s="212">
        <f ca="1">IF($E162=-1,0,IF(N$13&lt;=$L161,IF(ISERROR(MATCH(N$13,OFFSET($L161,1,0,ROW($L$260)-ROW($L161)-1),0)),ROW($L$260)-ROW($L161)-1,MATCH(N$13,OFFSET($L161,1,0,ROW($L$260)-ROW($L161)-1),0)-1),0))</f>
        <v>2</v>
      </c>
      <c r="O161" s="212">
        <f ca="1">IF($E162=-1,0,IF(O$13&lt;=$L161,IF(ISERROR(MATCH(O$13,OFFSET($L161,1,0,ROW($L$260)-ROW($L161)-1),0)),ROW($L$260)-ROW($L161)-1,MATCH(O$13,OFFSET($L161,1,0,ROW($L$260)-ROW($L161)-1),0)-1),0))</f>
        <v>0</v>
      </c>
      <c r="P161" s="212">
        <f ca="1">IF($E162=-1,0,IF(P$13&lt;=$L161,IF(ISERROR(MATCH(P$13,OFFSET($L161,1,0,ROW($L$260)-ROW($L161)-1),0)),ROW($L$260)-ROW($L161)-1,MATCH(P$13,OFFSET($L161,1,0,ROW($L$260)-ROW($L161)-1),0)-1),0))</f>
        <v>0</v>
      </c>
      <c r="Q161" s="212">
        <f t="shared" ref="Q161" ca="1" si="348">MIN(OFFSET(L161,0,1,,L161))</f>
        <v>2</v>
      </c>
      <c r="R161" s="213">
        <f ca="1">IF($E162=0,OFFSET(ORÇAMENTO!X$15,$E161,0),IF($E162&lt;&gt;-1,OFFSET(QCI!$O$13,$E162,0),""))</f>
        <v>0</v>
      </c>
      <c r="S161" s="214" t="s">
        <v>270</v>
      </c>
      <c r="T161" s="215" t="e">
        <f t="shared" ref="T161:AE161" ca="1" si="349">IF(AND($Q161=2,ACOMPANHAMENTO="BM"),T162,T163/$R161)</f>
        <v>#DIV/0!</v>
      </c>
      <c r="U161" s="207" t="e">
        <f t="shared" ca="1" si="349"/>
        <v>#DIV/0!</v>
      </c>
      <c r="V161" s="207" t="e">
        <f t="shared" ca="1" si="349"/>
        <v>#DIV/0!</v>
      </c>
      <c r="W161" s="207" t="e">
        <f t="shared" ca="1" si="349"/>
        <v>#DIV/0!</v>
      </c>
      <c r="X161" s="207" t="e">
        <f t="shared" ca="1" si="349"/>
        <v>#DIV/0!</v>
      </c>
      <c r="Y161" s="207" t="e">
        <f t="shared" ca="1" si="349"/>
        <v>#DIV/0!</v>
      </c>
      <c r="Z161" s="207" t="e">
        <f t="shared" ca="1" si="349"/>
        <v>#DIV/0!</v>
      </c>
      <c r="AA161" s="207" t="e">
        <f t="shared" ca="1" si="349"/>
        <v>#DIV/0!</v>
      </c>
      <c r="AB161" s="207" t="e">
        <f t="shared" ca="1" si="349"/>
        <v>#DIV/0!</v>
      </c>
      <c r="AC161" s="207" t="e">
        <f t="shared" ca="1" si="349"/>
        <v>#DIV/0!</v>
      </c>
      <c r="AD161" s="207" t="e">
        <f t="shared" ca="1" si="349"/>
        <v>#DIV/0!</v>
      </c>
      <c r="AE161" s="216" t="e">
        <f t="shared" ca="1" si="349"/>
        <v>#DIV/0!</v>
      </c>
    </row>
    <row r="162" spans="1:32" ht="12.75" customHeight="1" x14ac:dyDescent="0.2">
      <c r="D162" s="569"/>
      <c r="E162" s="204">
        <f ca="1">IF(ISERROR(E161),IF(1+COUNTIF($L$13:OFFSET(L161,-1,0),1)&lt;=MAX(QCI!$D$13:$D$24),1+COUNTIF($L$13:OFFSET(L161,-1,0),1),-1),0)</f>
        <v>0</v>
      </c>
      <c r="F162" s="204" t="str">
        <f t="shared" ref="F162" ca="1" si="350">IF(AND($E162&lt;&gt;-1,$R161&gt;0),"F","")</f>
        <v/>
      </c>
      <c r="G162" s="217" t="str">
        <f ca="1">IF(OR(R161=0,R161=""),"vazia",IF(AND(OR(ACOMPANHAMENTO="PLE",$Q161&lt;&gt;2),$E162=0),"calculada","--&gt;"))</f>
        <v>vazia</v>
      </c>
      <c r="H162" s="218"/>
      <c r="I162" s="219" t="str">
        <f t="shared" ref="I162" ca="1" si="351">IF(AND(G161&lt;&gt;0,ISNUMBER(G161)),"PREENCHA ESTA LINHA --&gt;","")</f>
        <v/>
      </c>
      <c r="J162" s="219"/>
      <c r="K162" s="219"/>
      <c r="L162" s="220"/>
      <c r="M162" s="220"/>
      <c r="N162" s="220"/>
      <c r="O162" s="220"/>
      <c r="P162" s="220"/>
      <c r="Q162" s="220"/>
      <c r="R162" s="221"/>
      <c r="S162" s="222"/>
      <c r="T162" s="570"/>
      <c r="U162" s="569"/>
      <c r="V162" s="569"/>
      <c r="W162" s="569"/>
      <c r="X162" s="569"/>
      <c r="Y162" s="569"/>
      <c r="Z162" s="569"/>
      <c r="AA162" s="569"/>
      <c r="AB162" s="569"/>
      <c r="AC162" s="569"/>
      <c r="AD162" s="569"/>
      <c r="AE162" s="571"/>
      <c r="AF162" s="533"/>
    </row>
    <row r="163" spans="1:32" ht="0.2" hidden="1" customHeight="1" x14ac:dyDescent="0.2">
      <c r="D163" s="223">
        <f ca="1">IF($Q161=2,IF(AND(ACOMPANHAMENTO="PLE",ISNUMBER($E161)),SUMIF((OFFSET(CÁLCULO!$BC$15:$BU$15,$E161,0,OFFSET(ORÇAMENTO!$D$15,CRONO!$E161,0))),"="&amp;CRONO!D$12,OFFSET(CÁLCULO!$AJ$15:$BB$15,$E161,0,OFFSET(ORÇAMENTO!$D$15,CRONO!$E161,0)))+IF(AND($E163&lt;&gt;"",$E163&lt;&gt;0),SUMIF(CÁLCULO!$BC$15:$BU$727,"="&amp;CRONO!D$12,CÁLCULO!$AJ$15:$BB$727)/(ORÇAMENTO!$X$15-CÁLCULO.TotalAdmLocal)*CRONO!$E163,0),D162*$R161),SUMIF(OFFSET($R163,1,0,$Q161-2),($L161+1)&amp;"$",OFFSET(D163,1,0,$Q161-2)))</f>
        <v>0</v>
      </c>
      <c r="E163" s="204" t="str">
        <f ca="1">IF(OR($Q161&lt;&gt;2,AUTOEVENTO&lt;&gt;"manual",$E162&gt;0),"",SUMIF(OFFSET(CÁLCULO!$M$15,CRONO!$E161,0,OFFSET(ORÇAMENTO!$D$15,CRONO!$E161,0)),1,OFFSET(ORÇAMENTO!$X$15,CRONO!$E161,0,OFFSET(ORÇAMENTO!$D$15,CRONO!$E161,0))))</f>
        <v/>
      </c>
      <c r="G163" s="224"/>
      <c r="R163" s="225" t="str">
        <f t="shared" ref="R163" ca="1" si="352">L161&amp;"$"</f>
        <v>2$</v>
      </c>
      <c r="S163" s="226"/>
      <c r="T163" s="227">
        <f ca="1">IF($Q161=2,IF(AND(ACOMPANHAMENTO="PLE",ISNUMBER($E161)),SUMIF((OFFSET(CÁLCULO!$BC$15:$BU$15,$E161,0,OFFSET(ORÇAMENTO!$D$15,CRONO!$E161,0))),"&lt;="&amp;CRONO!T$12,OFFSET(CÁLCULO!$AJ$15:$BB$15,$E161,0,OFFSET(ORÇAMENTO!$D$15,CRONO!$E161,0)))+IF(AND($E163&lt;&gt;"",$E163&lt;&gt;0),SUMIF(CÁLCULO!$BC$15:$BU$727,"&lt;="&amp;CRONO!T$12,CÁLCULO!$AJ$15:$BB$727)/(ORÇAMENTO!$X$15-CÁLCULO.TotalAdmLocal)*CRONO!$E163,0),T162*$R161),SUMIF(OFFSET($R163,1,0,$Q161-2),($L161+1)&amp;"$",OFFSET(T163,1,0,$Q161-2)))</f>
        <v>0</v>
      </c>
      <c r="U163" s="223">
        <f ca="1">IF($Q161=2,IF(AND(ACOMPANHAMENTO="PLE",ISNUMBER($E161)),SUMIF((OFFSET(CÁLCULO!$BC$15:$BU$15,$E161,0,OFFSET(ORÇAMENTO!$D$15,CRONO!$E161,0))),"="&amp;CRONO!U$12,OFFSET(CÁLCULO!$AJ$15:$BB$15,$E161,0,OFFSET(ORÇAMENTO!$D$15,CRONO!$E161,0)))+IF(AND($E163&lt;&gt;"",$E163&lt;&gt;0),SUMIF(CÁLCULO!$BC$15:$BU$727,"="&amp;CRONO!U$12,CÁLCULO!$AJ$15:$BB$727)/(ORÇAMENTO!$X$15-CÁLCULO.TotalAdmLocal)*CRONO!$E163,0),U162*$R161),SUMIF(OFFSET($R163,1,0,$Q161-2),($L161+1)&amp;"$",OFFSET(U163,1,0,$Q161-2)))</f>
        <v>0</v>
      </c>
      <c r="V163" s="223">
        <f ca="1">IF($Q161=2,IF(AND(ACOMPANHAMENTO="PLE",ISNUMBER($E161)),SUMIF((OFFSET(CÁLCULO!$BC$15:$BU$15,$E161,0,OFFSET(ORÇAMENTO!$D$15,CRONO!$E161,0))),"="&amp;CRONO!V$12,OFFSET(CÁLCULO!$AJ$15:$BB$15,$E161,0,OFFSET(ORÇAMENTO!$D$15,CRONO!$E161,0)))+IF(AND($E163&lt;&gt;"",$E163&lt;&gt;0),SUMIF(CÁLCULO!$BC$15:$BU$727,"="&amp;CRONO!V$12,CÁLCULO!$AJ$15:$BB$727)/(ORÇAMENTO!$X$15-CÁLCULO.TotalAdmLocal)*CRONO!$E163,0),V162*$R161),SUMIF(OFFSET($R163,1,0,$Q161-2),($L161+1)&amp;"$",OFFSET(V163,1,0,$Q161-2)))</f>
        <v>0</v>
      </c>
      <c r="W163" s="223">
        <f ca="1">IF($Q161=2,IF(AND(ACOMPANHAMENTO="PLE",ISNUMBER($E161)),SUMIF((OFFSET(CÁLCULO!$BC$15:$BU$15,$E161,0,OFFSET(ORÇAMENTO!$D$15,CRONO!$E161,0))),"="&amp;CRONO!W$12,OFFSET(CÁLCULO!$AJ$15:$BB$15,$E161,0,OFFSET(ORÇAMENTO!$D$15,CRONO!$E161,0)))+IF(AND($E163&lt;&gt;"",$E163&lt;&gt;0),SUMIF(CÁLCULO!$BC$15:$BU$727,"="&amp;CRONO!W$12,CÁLCULO!$AJ$15:$BB$727)/(ORÇAMENTO!$X$15-CÁLCULO.TotalAdmLocal)*CRONO!$E163,0),W162*$R161),SUMIF(OFFSET($R163,1,0,$Q161-2),($L161+1)&amp;"$",OFFSET(W163,1,0,$Q161-2)))</f>
        <v>0</v>
      </c>
      <c r="X163" s="223">
        <f ca="1">IF($Q161=2,IF(AND(ACOMPANHAMENTO="PLE",ISNUMBER($E161)),SUMIF((OFFSET(CÁLCULO!$BC$15:$BU$15,$E161,0,OFFSET(ORÇAMENTO!$D$15,CRONO!$E161,0))),"="&amp;CRONO!X$12,OFFSET(CÁLCULO!$AJ$15:$BB$15,$E161,0,OFFSET(ORÇAMENTO!$D$15,CRONO!$E161,0)))+IF(AND($E163&lt;&gt;"",$E163&lt;&gt;0),SUMIF(CÁLCULO!$BC$15:$BU$727,"="&amp;CRONO!X$12,CÁLCULO!$AJ$15:$BB$727)/(ORÇAMENTO!$X$15-CÁLCULO.TotalAdmLocal)*CRONO!$E163,0),X162*$R161),SUMIF(OFFSET($R163,1,0,$Q161-2),($L161+1)&amp;"$",OFFSET(X163,1,0,$Q161-2)))</f>
        <v>0</v>
      </c>
      <c r="Y163" s="223">
        <f ca="1">IF($Q161=2,IF(AND(ACOMPANHAMENTO="PLE",ISNUMBER($E161)),SUMIF((OFFSET(CÁLCULO!$BC$15:$BU$15,$E161,0,OFFSET(ORÇAMENTO!$D$15,CRONO!$E161,0))),"="&amp;CRONO!Y$12,OFFSET(CÁLCULO!$AJ$15:$BB$15,$E161,0,OFFSET(ORÇAMENTO!$D$15,CRONO!$E161,0)))+IF(AND($E163&lt;&gt;"",$E163&lt;&gt;0),SUMIF(CÁLCULO!$BC$15:$BU$727,"="&amp;CRONO!Y$12,CÁLCULO!$AJ$15:$BB$727)/(ORÇAMENTO!$X$15-CÁLCULO.TotalAdmLocal)*CRONO!$E163,0),Y162*$R161),SUMIF(OFFSET($R163,1,0,$Q161-2),($L161+1)&amp;"$",OFFSET(Y163,1,0,$Q161-2)))</f>
        <v>0</v>
      </c>
      <c r="Z163" s="223">
        <f ca="1">IF($Q161=2,IF(AND(ACOMPANHAMENTO="PLE",ISNUMBER($E161)),SUMIF((OFFSET(CÁLCULO!$BC$15:$BU$15,$E161,0,OFFSET(ORÇAMENTO!$D$15,CRONO!$E161,0))),"="&amp;CRONO!Z$12,OFFSET(CÁLCULO!$AJ$15:$BB$15,$E161,0,OFFSET(ORÇAMENTO!$D$15,CRONO!$E161,0)))+IF(AND($E163&lt;&gt;"",$E163&lt;&gt;0),SUMIF(CÁLCULO!$BC$15:$BU$727,"="&amp;CRONO!Z$12,CÁLCULO!$AJ$15:$BB$727)/(ORÇAMENTO!$X$15-CÁLCULO.TotalAdmLocal)*CRONO!$E163,0),Z162*$R161),SUMIF(OFFSET($R163,1,0,$Q161-2),($L161+1)&amp;"$",OFFSET(Z163,1,0,$Q161-2)))</f>
        <v>0</v>
      </c>
      <c r="AA163" s="223">
        <f ca="1">IF($Q161=2,IF(AND(ACOMPANHAMENTO="PLE",ISNUMBER($E161)),SUMIF((OFFSET(CÁLCULO!$BC$15:$BU$15,$E161,0,OFFSET(ORÇAMENTO!$D$15,CRONO!$E161,0))),"="&amp;CRONO!AA$12,OFFSET(CÁLCULO!$AJ$15:$BB$15,$E161,0,OFFSET(ORÇAMENTO!$D$15,CRONO!$E161,0)))+IF(AND($E163&lt;&gt;"",$E163&lt;&gt;0),SUMIF(CÁLCULO!$BC$15:$BU$727,"="&amp;CRONO!AA$12,CÁLCULO!$AJ$15:$BB$727)/(ORÇAMENTO!$X$15-CÁLCULO.TotalAdmLocal)*CRONO!$E163,0),AA162*$R161),SUMIF(OFFSET($R163,1,0,$Q161-2),($L161+1)&amp;"$",OFFSET(AA163,1,0,$Q161-2)))</f>
        <v>0</v>
      </c>
      <c r="AB163" s="223">
        <f ca="1">IF($Q161=2,IF(AND(ACOMPANHAMENTO="PLE",ISNUMBER($E161)),SUMIF((OFFSET(CÁLCULO!$BC$15:$BU$15,$E161,0,OFFSET(ORÇAMENTO!$D$15,CRONO!$E161,0))),"="&amp;CRONO!AB$12,OFFSET(CÁLCULO!$AJ$15:$BB$15,$E161,0,OFFSET(ORÇAMENTO!$D$15,CRONO!$E161,0)))+IF(AND($E163&lt;&gt;"",$E163&lt;&gt;0),SUMIF(CÁLCULO!$BC$15:$BU$727,"="&amp;CRONO!AB$12,CÁLCULO!$AJ$15:$BB$727)/(ORÇAMENTO!$X$15-CÁLCULO.TotalAdmLocal)*CRONO!$E163,0),AB162*$R161),SUMIF(OFFSET($R163,1,0,$Q161-2),($L161+1)&amp;"$",OFFSET(AB163,1,0,$Q161-2)))</f>
        <v>0</v>
      </c>
      <c r="AC163" s="223">
        <f ca="1">IF($Q161=2,IF(AND(ACOMPANHAMENTO="PLE",ISNUMBER($E161)),SUMIF((OFFSET(CÁLCULO!$BC$15:$BU$15,$E161,0,OFFSET(ORÇAMENTO!$D$15,CRONO!$E161,0))),"="&amp;CRONO!AC$12,OFFSET(CÁLCULO!$AJ$15:$BB$15,$E161,0,OFFSET(ORÇAMENTO!$D$15,CRONO!$E161,0)))+IF(AND($E163&lt;&gt;"",$E163&lt;&gt;0),SUMIF(CÁLCULO!$BC$15:$BU$727,"="&amp;CRONO!AC$12,CÁLCULO!$AJ$15:$BB$727)/(ORÇAMENTO!$X$15-CÁLCULO.TotalAdmLocal)*CRONO!$E163,0),AC162*$R161),SUMIF(OFFSET($R163,1,0,$Q161-2),($L161+1)&amp;"$",OFFSET(AC163,1,0,$Q161-2)))</f>
        <v>0</v>
      </c>
      <c r="AD163" s="223">
        <f ca="1">IF($Q161=2,IF(AND(ACOMPANHAMENTO="PLE",ISNUMBER($E161)),SUMIF((OFFSET(CÁLCULO!$BC$15:$BU$15,$E161,0,OFFSET(ORÇAMENTO!$D$15,CRONO!$E161,0))),"="&amp;CRONO!AD$12,OFFSET(CÁLCULO!$AJ$15:$BB$15,$E161,0,OFFSET(ORÇAMENTO!$D$15,CRONO!$E161,0)))+IF(AND($E163&lt;&gt;"",$E163&lt;&gt;0),SUMIF(CÁLCULO!$BC$15:$BU$727,"="&amp;CRONO!AD$12,CÁLCULO!$AJ$15:$BB$727)/(ORÇAMENTO!$X$15-CÁLCULO.TotalAdmLocal)*CRONO!$E163,0),AD162*$R161),SUMIF(OFFSET($R163,1,0,$Q161-2),($L161+1)&amp;"$",OFFSET(AD163,1,0,$Q161-2)))</f>
        <v>0</v>
      </c>
      <c r="AE163" s="228">
        <f ca="1">IF($Q161=2,IF(AND(ACOMPANHAMENTO="PLE",ISNUMBER($E161)),SUMIF((OFFSET(CÁLCULO!$BC$15:$BU$15,$E161,0,OFFSET(ORÇAMENTO!$D$15,CRONO!$E161,0))),"="&amp;CRONO!AE$12,OFFSET(CÁLCULO!$AJ$15:$BB$15,$E161,0,OFFSET(ORÇAMENTO!$D$15,CRONO!$E161,0)))+IF(AND($E163&lt;&gt;"",$E163&lt;&gt;0),SUMIF(CÁLCULO!$BC$15:$BU$727,"="&amp;CRONO!AE$12,CÁLCULO!$AJ$15:$BB$727)/(ORÇAMENTO!$X$15-CÁLCULO.TotalAdmLocal)*CRONO!$E163,0),AE162*$R161),SUMIF(OFFSET($R163,1,0,$Q161-2),($L161+1)&amp;"$",OFFSET(AE163,1,0,$Q161-2)))</f>
        <v>0</v>
      </c>
    </row>
    <row r="164" spans="1:32" x14ac:dyDescent="0.2">
      <c r="A164" s="204">
        <f t="shared" ref="A164" ca="1" si="353">OFFSET(A164,-3,0)+1</f>
        <v>51</v>
      </c>
      <c r="B164" s="204">
        <f ca="1">IF($Q164&lt;&gt;2,0,IF($R164=0,1,IF(E165&gt;0,OFFSET(QCI!$M$13,SUBSTITUTE(E165,".",""),0),OFFSET(ORÇAMENTO!$AA$15,CRONO!$E164,0))/$R164))</f>
        <v>1</v>
      </c>
      <c r="C164" s="204">
        <f ca="1">IF($Q164&lt;&gt;2,0,IF($R164=0,1,IF(E165&gt;0,OFFSET(QCI!$N$13,SUBSTITUTE(E165,".",""),0),OFFSET(ORÇAMENTO!$AB$15,CRONO!$E164,0))/$R164))</f>
        <v>1</v>
      </c>
      <c r="D164" s="207" t="e">
        <f ca="1">IF(AND($Q164=2,ACOMPANHAMENTO="BM"),D165,D166/$R164)</f>
        <v>#DIV/0!</v>
      </c>
      <c r="E164" s="204">
        <f ca="1">IF(A164&lt;=ORÇAMENTO.MáximoListaCrono,MATCH(A164,ORÇAMENTO.ListaCrono,0),NA())</f>
        <v>461</v>
      </c>
      <c r="F164" s="204" t="str">
        <f t="shared" ref="F164" ca="1" si="354">IF(AND($E165&lt;&gt;-1,$R164&gt;0),"F","")</f>
        <v/>
      </c>
      <c r="G164" s="208" t="str">
        <f ca="1">IF(OR(R164=0,R164=""),"Linha",IF(AND(OR(ACOMPANHAMENTO="PLE",$Q164&lt;&gt;2),$E165=0),"Linha",1-SUM(T164:AF164)))</f>
        <v>Linha</v>
      </c>
      <c r="H164" s="209" t="str">
        <f ca="1">IF($E165=0,OFFSET(ORÇAMENTO!O$15,$E164,0),IF($E165&lt;&gt;-1,OFFSET(QCI!$D$13,$E165,0),""))</f>
        <v>1.50.</v>
      </c>
      <c r="I164" s="210" t="str">
        <f ca="1">IF($E165=0,OFFSET(ORÇAMENTO!R$15,$E164,0),IF($E165&lt;&gt;-1,OFFSET(QCI!$G$13,$E165,0),""))</f>
        <v>INSTALAÇÃO ELÉTRICA 110V - ACESSÓRIOS PERFILADOS PERFURADOS</v>
      </c>
      <c r="J164" s="210"/>
      <c r="K164" s="210"/>
      <c r="L164" s="211">
        <f ca="1">IF($E165=0,OFFSET(ORÇAMENTO!C$15,$E164,0),1)</f>
        <v>2</v>
      </c>
      <c r="M164" s="212">
        <f ca="1">IF($E165=-1,0,IF(M$13&lt;=$L164,IF(ISERROR(MATCH(M$13,OFFSET($L164,1,0,ROW($L$260)-ROW($L164)-1),0)),ROW($L$260)-ROW($L164)-1,MATCH(M$13,OFFSET($L164,1,0,ROW($L$260)-ROW($L164)-1),0)-1),0))</f>
        <v>95</v>
      </c>
      <c r="N164" s="212">
        <f ca="1">IF($E165=-1,0,IF(N$13&lt;=$L164,IF(ISERROR(MATCH(N$13,OFFSET($L164,1,0,ROW($L$260)-ROW($L164)-1),0)),ROW($L$260)-ROW($L164)-1,MATCH(N$13,OFFSET($L164,1,0,ROW($L$260)-ROW($L164)-1),0)-1),0))</f>
        <v>2</v>
      </c>
      <c r="O164" s="212">
        <f ca="1">IF($E165=-1,0,IF(O$13&lt;=$L164,IF(ISERROR(MATCH(O$13,OFFSET($L164,1,0,ROW($L$260)-ROW($L164)-1),0)),ROW($L$260)-ROW($L164)-1,MATCH(O$13,OFFSET($L164,1,0,ROW($L$260)-ROW($L164)-1),0)-1),0))</f>
        <v>0</v>
      </c>
      <c r="P164" s="212">
        <f ca="1">IF($E165=-1,0,IF(P$13&lt;=$L164,IF(ISERROR(MATCH(P$13,OFFSET($L164,1,0,ROW($L$260)-ROW($L164)-1),0)),ROW($L$260)-ROW($L164)-1,MATCH(P$13,OFFSET($L164,1,0,ROW($L$260)-ROW($L164)-1),0)-1),0))</f>
        <v>0</v>
      </c>
      <c r="Q164" s="212">
        <f t="shared" ref="Q164" ca="1" si="355">MIN(OFFSET(L164,0,1,,L164))</f>
        <v>2</v>
      </c>
      <c r="R164" s="213">
        <f ca="1">IF($E165=0,OFFSET(ORÇAMENTO!X$15,$E164,0),IF($E165&lt;&gt;-1,OFFSET(QCI!$O$13,$E165,0),""))</f>
        <v>0</v>
      </c>
      <c r="S164" s="214" t="s">
        <v>270</v>
      </c>
      <c r="T164" s="215" t="e">
        <f t="shared" ref="T164:AE164" ca="1" si="356">IF(AND($Q164=2,ACOMPANHAMENTO="BM"),T165,T166/$R164)</f>
        <v>#DIV/0!</v>
      </c>
      <c r="U164" s="207" t="e">
        <f t="shared" ca="1" si="356"/>
        <v>#DIV/0!</v>
      </c>
      <c r="V164" s="207" t="e">
        <f t="shared" ca="1" si="356"/>
        <v>#DIV/0!</v>
      </c>
      <c r="W164" s="207" t="e">
        <f t="shared" ca="1" si="356"/>
        <v>#DIV/0!</v>
      </c>
      <c r="X164" s="207" t="e">
        <f t="shared" ca="1" si="356"/>
        <v>#DIV/0!</v>
      </c>
      <c r="Y164" s="207" t="e">
        <f t="shared" ca="1" si="356"/>
        <v>#DIV/0!</v>
      </c>
      <c r="Z164" s="207" t="e">
        <f t="shared" ca="1" si="356"/>
        <v>#DIV/0!</v>
      </c>
      <c r="AA164" s="207" t="e">
        <f t="shared" ca="1" si="356"/>
        <v>#DIV/0!</v>
      </c>
      <c r="AB164" s="207" t="e">
        <f t="shared" ca="1" si="356"/>
        <v>#DIV/0!</v>
      </c>
      <c r="AC164" s="207" t="e">
        <f t="shared" ca="1" si="356"/>
        <v>#DIV/0!</v>
      </c>
      <c r="AD164" s="207" t="e">
        <f t="shared" ca="1" si="356"/>
        <v>#DIV/0!</v>
      </c>
      <c r="AE164" s="216" t="e">
        <f t="shared" ca="1" si="356"/>
        <v>#DIV/0!</v>
      </c>
    </row>
    <row r="165" spans="1:32" ht="12.75" customHeight="1" x14ac:dyDescent="0.2">
      <c r="D165" s="569"/>
      <c r="E165" s="204">
        <f ca="1">IF(ISERROR(E164),IF(1+COUNTIF($L$13:OFFSET(L164,-1,0),1)&lt;=MAX(QCI!$D$13:$D$24),1+COUNTIF($L$13:OFFSET(L164,-1,0),1),-1),0)</f>
        <v>0</v>
      </c>
      <c r="F165" s="204" t="str">
        <f t="shared" ref="F165" ca="1" si="357">IF(AND($E165&lt;&gt;-1,$R164&gt;0),"F","")</f>
        <v/>
      </c>
      <c r="G165" s="217" t="str">
        <f ca="1">IF(OR(R164=0,R164=""),"vazia",IF(AND(OR(ACOMPANHAMENTO="PLE",$Q164&lt;&gt;2),$E165=0),"calculada","--&gt;"))</f>
        <v>vazia</v>
      </c>
      <c r="H165" s="218"/>
      <c r="I165" s="219" t="str">
        <f t="shared" ref="I165" ca="1" si="358">IF(AND(G164&lt;&gt;0,ISNUMBER(G164)),"PREENCHA ESTA LINHA --&gt;","")</f>
        <v/>
      </c>
      <c r="J165" s="219"/>
      <c r="K165" s="219"/>
      <c r="L165" s="220"/>
      <c r="M165" s="220"/>
      <c r="N165" s="220"/>
      <c r="O165" s="220"/>
      <c r="P165" s="220"/>
      <c r="Q165" s="220"/>
      <c r="R165" s="221"/>
      <c r="S165" s="222"/>
      <c r="T165" s="570"/>
      <c r="U165" s="569"/>
      <c r="V165" s="569"/>
      <c r="W165" s="569"/>
      <c r="X165" s="569"/>
      <c r="Y165" s="569"/>
      <c r="Z165" s="569"/>
      <c r="AA165" s="569"/>
      <c r="AB165" s="569"/>
      <c r="AC165" s="569"/>
      <c r="AD165" s="569"/>
      <c r="AE165" s="571"/>
      <c r="AF165" s="533"/>
    </row>
    <row r="166" spans="1:32" ht="0.2" hidden="1" customHeight="1" x14ac:dyDescent="0.2">
      <c r="D166" s="223">
        <f ca="1">IF($Q164=2,IF(AND(ACOMPANHAMENTO="PLE",ISNUMBER($E164)),SUMIF((OFFSET(CÁLCULO!$BC$15:$BU$15,$E164,0,OFFSET(ORÇAMENTO!$D$15,CRONO!$E164,0))),"="&amp;CRONO!D$12,OFFSET(CÁLCULO!$AJ$15:$BB$15,$E164,0,OFFSET(ORÇAMENTO!$D$15,CRONO!$E164,0)))+IF(AND($E166&lt;&gt;"",$E166&lt;&gt;0),SUMIF(CÁLCULO!$BC$15:$BU$727,"="&amp;CRONO!D$12,CÁLCULO!$AJ$15:$BB$727)/(ORÇAMENTO!$X$15-CÁLCULO.TotalAdmLocal)*CRONO!$E166,0),D165*$R164),SUMIF(OFFSET($R166,1,0,$Q164-2),($L164+1)&amp;"$",OFFSET(D166,1,0,$Q164-2)))</f>
        <v>0</v>
      </c>
      <c r="E166" s="204" t="str">
        <f ca="1">IF(OR($Q164&lt;&gt;2,AUTOEVENTO&lt;&gt;"manual",$E165&gt;0),"",SUMIF(OFFSET(CÁLCULO!$M$15,CRONO!$E164,0,OFFSET(ORÇAMENTO!$D$15,CRONO!$E164,0)),1,OFFSET(ORÇAMENTO!$X$15,CRONO!$E164,0,OFFSET(ORÇAMENTO!$D$15,CRONO!$E164,0))))</f>
        <v/>
      </c>
      <c r="G166" s="224"/>
      <c r="R166" s="225" t="str">
        <f t="shared" ref="R166" ca="1" si="359">L164&amp;"$"</f>
        <v>2$</v>
      </c>
      <c r="S166" s="226"/>
      <c r="T166" s="227">
        <f ca="1">IF($Q164=2,IF(AND(ACOMPANHAMENTO="PLE",ISNUMBER($E164)),SUMIF((OFFSET(CÁLCULO!$BC$15:$BU$15,$E164,0,OFFSET(ORÇAMENTO!$D$15,CRONO!$E164,0))),"&lt;="&amp;CRONO!T$12,OFFSET(CÁLCULO!$AJ$15:$BB$15,$E164,0,OFFSET(ORÇAMENTO!$D$15,CRONO!$E164,0)))+IF(AND($E166&lt;&gt;"",$E166&lt;&gt;0),SUMIF(CÁLCULO!$BC$15:$BU$727,"&lt;="&amp;CRONO!T$12,CÁLCULO!$AJ$15:$BB$727)/(ORÇAMENTO!$X$15-CÁLCULO.TotalAdmLocal)*CRONO!$E166,0),T165*$R164),SUMIF(OFFSET($R166,1,0,$Q164-2),($L164+1)&amp;"$",OFFSET(T166,1,0,$Q164-2)))</f>
        <v>0</v>
      </c>
      <c r="U166" s="223">
        <f ca="1">IF($Q164=2,IF(AND(ACOMPANHAMENTO="PLE",ISNUMBER($E164)),SUMIF((OFFSET(CÁLCULO!$BC$15:$BU$15,$E164,0,OFFSET(ORÇAMENTO!$D$15,CRONO!$E164,0))),"="&amp;CRONO!U$12,OFFSET(CÁLCULO!$AJ$15:$BB$15,$E164,0,OFFSET(ORÇAMENTO!$D$15,CRONO!$E164,0)))+IF(AND($E166&lt;&gt;"",$E166&lt;&gt;0),SUMIF(CÁLCULO!$BC$15:$BU$727,"="&amp;CRONO!U$12,CÁLCULO!$AJ$15:$BB$727)/(ORÇAMENTO!$X$15-CÁLCULO.TotalAdmLocal)*CRONO!$E166,0),U165*$R164),SUMIF(OFFSET($R166,1,0,$Q164-2),($L164+1)&amp;"$",OFFSET(U166,1,0,$Q164-2)))</f>
        <v>0</v>
      </c>
      <c r="V166" s="223">
        <f ca="1">IF($Q164=2,IF(AND(ACOMPANHAMENTO="PLE",ISNUMBER($E164)),SUMIF((OFFSET(CÁLCULO!$BC$15:$BU$15,$E164,0,OFFSET(ORÇAMENTO!$D$15,CRONO!$E164,0))),"="&amp;CRONO!V$12,OFFSET(CÁLCULO!$AJ$15:$BB$15,$E164,0,OFFSET(ORÇAMENTO!$D$15,CRONO!$E164,0)))+IF(AND($E166&lt;&gt;"",$E166&lt;&gt;0),SUMIF(CÁLCULO!$BC$15:$BU$727,"="&amp;CRONO!V$12,CÁLCULO!$AJ$15:$BB$727)/(ORÇAMENTO!$X$15-CÁLCULO.TotalAdmLocal)*CRONO!$E166,0),V165*$R164),SUMIF(OFFSET($R166,1,0,$Q164-2),($L164+1)&amp;"$",OFFSET(V166,1,0,$Q164-2)))</f>
        <v>0</v>
      </c>
      <c r="W166" s="223">
        <f ca="1">IF($Q164=2,IF(AND(ACOMPANHAMENTO="PLE",ISNUMBER($E164)),SUMIF((OFFSET(CÁLCULO!$BC$15:$BU$15,$E164,0,OFFSET(ORÇAMENTO!$D$15,CRONO!$E164,0))),"="&amp;CRONO!W$12,OFFSET(CÁLCULO!$AJ$15:$BB$15,$E164,0,OFFSET(ORÇAMENTO!$D$15,CRONO!$E164,0)))+IF(AND($E166&lt;&gt;"",$E166&lt;&gt;0),SUMIF(CÁLCULO!$BC$15:$BU$727,"="&amp;CRONO!W$12,CÁLCULO!$AJ$15:$BB$727)/(ORÇAMENTO!$X$15-CÁLCULO.TotalAdmLocal)*CRONO!$E166,0),W165*$R164),SUMIF(OFFSET($R166,1,0,$Q164-2),($L164+1)&amp;"$",OFFSET(W166,1,0,$Q164-2)))</f>
        <v>0</v>
      </c>
      <c r="X166" s="223">
        <f ca="1">IF($Q164=2,IF(AND(ACOMPANHAMENTO="PLE",ISNUMBER($E164)),SUMIF((OFFSET(CÁLCULO!$BC$15:$BU$15,$E164,0,OFFSET(ORÇAMENTO!$D$15,CRONO!$E164,0))),"="&amp;CRONO!X$12,OFFSET(CÁLCULO!$AJ$15:$BB$15,$E164,0,OFFSET(ORÇAMENTO!$D$15,CRONO!$E164,0)))+IF(AND($E166&lt;&gt;"",$E166&lt;&gt;0),SUMIF(CÁLCULO!$BC$15:$BU$727,"="&amp;CRONO!X$12,CÁLCULO!$AJ$15:$BB$727)/(ORÇAMENTO!$X$15-CÁLCULO.TotalAdmLocal)*CRONO!$E166,0),X165*$R164),SUMIF(OFFSET($R166,1,0,$Q164-2),($L164+1)&amp;"$",OFFSET(X166,1,0,$Q164-2)))</f>
        <v>0</v>
      </c>
      <c r="Y166" s="223">
        <f ca="1">IF($Q164=2,IF(AND(ACOMPANHAMENTO="PLE",ISNUMBER($E164)),SUMIF((OFFSET(CÁLCULO!$BC$15:$BU$15,$E164,0,OFFSET(ORÇAMENTO!$D$15,CRONO!$E164,0))),"="&amp;CRONO!Y$12,OFFSET(CÁLCULO!$AJ$15:$BB$15,$E164,0,OFFSET(ORÇAMENTO!$D$15,CRONO!$E164,0)))+IF(AND($E166&lt;&gt;"",$E166&lt;&gt;0),SUMIF(CÁLCULO!$BC$15:$BU$727,"="&amp;CRONO!Y$12,CÁLCULO!$AJ$15:$BB$727)/(ORÇAMENTO!$X$15-CÁLCULO.TotalAdmLocal)*CRONO!$E166,0),Y165*$R164),SUMIF(OFFSET($R166,1,0,$Q164-2),($L164+1)&amp;"$",OFFSET(Y166,1,0,$Q164-2)))</f>
        <v>0</v>
      </c>
      <c r="Z166" s="223">
        <f ca="1">IF($Q164=2,IF(AND(ACOMPANHAMENTO="PLE",ISNUMBER($E164)),SUMIF((OFFSET(CÁLCULO!$BC$15:$BU$15,$E164,0,OFFSET(ORÇAMENTO!$D$15,CRONO!$E164,0))),"="&amp;CRONO!Z$12,OFFSET(CÁLCULO!$AJ$15:$BB$15,$E164,0,OFFSET(ORÇAMENTO!$D$15,CRONO!$E164,0)))+IF(AND($E166&lt;&gt;"",$E166&lt;&gt;0),SUMIF(CÁLCULO!$BC$15:$BU$727,"="&amp;CRONO!Z$12,CÁLCULO!$AJ$15:$BB$727)/(ORÇAMENTO!$X$15-CÁLCULO.TotalAdmLocal)*CRONO!$E166,0),Z165*$R164),SUMIF(OFFSET($R166,1,0,$Q164-2),($L164+1)&amp;"$",OFFSET(Z166,1,0,$Q164-2)))</f>
        <v>0</v>
      </c>
      <c r="AA166" s="223">
        <f ca="1">IF($Q164=2,IF(AND(ACOMPANHAMENTO="PLE",ISNUMBER($E164)),SUMIF((OFFSET(CÁLCULO!$BC$15:$BU$15,$E164,0,OFFSET(ORÇAMENTO!$D$15,CRONO!$E164,0))),"="&amp;CRONO!AA$12,OFFSET(CÁLCULO!$AJ$15:$BB$15,$E164,0,OFFSET(ORÇAMENTO!$D$15,CRONO!$E164,0)))+IF(AND($E166&lt;&gt;"",$E166&lt;&gt;0),SUMIF(CÁLCULO!$BC$15:$BU$727,"="&amp;CRONO!AA$12,CÁLCULO!$AJ$15:$BB$727)/(ORÇAMENTO!$X$15-CÁLCULO.TotalAdmLocal)*CRONO!$E166,0),AA165*$R164),SUMIF(OFFSET($R166,1,0,$Q164-2),($L164+1)&amp;"$",OFFSET(AA166,1,0,$Q164-2)))</f>
        <v>0</v>
      </c>
      <c r="AB166" s="223">
        <f ca="1">IF($Q164=2,IF(AND(ACOMPANHAMENTO="PLE",ISNUMBER($E164)),SUMIF((OFFSET(CÁLCULO!$BC$15:$BU$15,$E164,0,OFFSET(ORÇAMENTO!$D$15,CRONO!$E164,0))),"="&amp;CRONO!AB$12,OFFSET(CÁLCULO!$AJ$15:$BB$15,$E164,0,OFFSET(ORÇAMENTO!$D$15,CRONO!$E164,0)))+IF(AND($E166&lt;&gt;"",$E166&lt;&gt;0),SUMIF(CÁLCULO!$BC$15:$BU$727,"="&amp;CRONO!AB$12,CÁLCULO!$AJ$15:$BB$727)/(ORÇAMENTO!$X$15-CÁLCULO.TotalAdmLocal)*CRONO!$E166,0),AB165*$R164),SUMIF(OFFSET($R166,1,0,$Q164-2),($L164+1)&amp;"$",OFFSET(AB166,1,0,$Q164-2)))</f>
        <v>0</v>
      </c>
      <c r="AC166" s="223">
        <f ca="1">IF($Q164=2,IF(AND(ACOMPANHAMENTO="PLE",ISNUMBER($E164)),SUMIF((OFFSET(CÁLCULO!$BC$15:$BU$15,$E164,0,OFFSET(ORÇAMENTO!$D$15,CRONO!$E164,0))),"="&amp;CRONO!AC$12,OFFSET(CÁLCULO!$AJ$15:$BB$15,$E164,0,OFFSET(ORÇAMENTO!$D$15,CRONO!$E164,0)))+IF(AND($E166&lt;&gt;"",$E166&lt;&gt;0),SUMIF(CÁLCULO!$BC$15:$BU$727,"="&amp;CRONO!AC$12,CÁLCULO!$AJ$15:$BB$727)/(ORÇAMENTO!$X$15-CÁLCULO.TotalAdmLocal)*CRONO!$E166,0),AC165*$R164),SUMIF(OFFSET($R166,1,0,$Q164-2),($L164+1)&amp;"$",OFFSET(AC166,1,0,$Q164-2)))</f>
        <v>0</v>
      </c>
      <c r="AD166" s="223">
        <f ca="1">IF($Q164=2,IF(AND(ACOMPANHAMENTO="PLE",ISNUMBER($E164)),SUMIF((OFFSET(CÁLCULO!$BC$15:$BU$15,$E164,0,OFFSET(ORÇAMENTO!$D$15,CRONO!$E164,0))),"="&amp;CRONO!AD$12,OFFSET(CÁLCULO!$AJ$15:$BB$15,$E164,0,OFFSET(ORÇAMENTO!$D$15,CRONO!$E164,0)))+IF(AND($E166&lt;&gt;"",$E166&lt;&gt;0),SUMIF(CÁLCULO!$BC$15:$BU$727,"="&amp;CRONO!AD$12,CÁLCULO!$AJ$15:$BB$727)/(ORÇAMENTO!$X$15-CÁLCULO.TotalAdmLocal)*CRONO!$E166,0),AD165*$R164),SUMIF(OFFSET($R166,1,0,$Q164-2),($L164+1)&amp;"$",OFFSET(AD166,1,0,$Q164-2)))</f>
        <v>0</v>
      </c>
      <c r="AE166" s="228">
        <f ca="1">IF($Q164=2,IF(AND(ACOMPANHAMENTO="PLE",ISNUMBER($E164)),SUMIF((OFFSET(CÁLCULO!$BC$15:$BU$15,$E164,0,OFFSET(ORÇAMENTO!$D$15,CRONO!$E164,0))),"="&amp;CRONO!AE$12,OFFSET(CÁLCULO!$AJ$15:$BB$15,$E164,0,OFFSET(ORÇAMENTO!$D$15,CRONO!$E164,0)))+IF(AND($E166&lt;&gt;"",$E166&lt;&gt;0),SUMIF(CÁLCULO!$BC$15:$BU$727,"="&amp;CRONO!AE$12,CÁLCULO!$AJ$15:$BB$727)/(ORÇAMENTO!$X$15-CÁLCULO.TotalAdmLocal)*CRONO!$E166,0),AE165*$R164),SUMIF(OFFSET($R166,1,0,$Q164-2),($L164+1)&amp;"$",OFFSET(AE166,1,0,$Q164-2)))</f>
        <v>0</v>
      </c>
    </row>
    <row r="167" spans="1:32" x14ac:dyDescent="0.2">
      <c r="A167" s="204">
        <f t="shared" ref="A167" ca="1" si="360">OFFSET(A167,-3,0)+1</f>
        <v>52</v>
      </c>
      <c r="B167" s="204">
        <f ca="1">IF($Q167&lt;&gt;2,0,IF($R167=0,1,IF(E168&gt;0,OFFSET(QCI!$M$13,SUBSTITUTE(E168,".",""),0),OFFSET(ORÇAMENTO!$AA$15,CRONO!$E167,0))/$R167))</f>
        <v>1</v>
      </c>
      <c r="C167" s="204">
        <f ca="1">IF($Q167&lt;&gt;2,0,IF($R167=0,1,IF(E168&gt;0,OFFSET(QCI!$N$13,SUBSTITUTE(E168,".",""),0),OFFSET(ORÇAMENTO!$AB$15,CRONO!$E167,0))/$R167))</f>
        <v>1</v>
      </c>
      <c r="D167" s="207" t="e">
        <f ca="1">IF(AND($Q167=2,ACOMPANHAMENTO="BM"),D168,D169/$R167)</f>
        <v>#DIV/0!</v>
      </c>
      <c r="E167" s="204">
        <f ca="1">IF(A167&lt;=ORÇAMENTO.MáximoListaCrono,MATCH(A167,ORÇAMENTO.ListaCrono,0),NA())</f>
        <v>464</v>
      </c>
      <c r="F167" s="204" t="str">
        <f t="shared" ref="F167" ca="1" si="361">IF(AND($E168&lt;&gt;-1,$R167&gt;0),"F","")</f>
        <v/>
      </c>
      <c r="G167" s="208" t="str">
        <f ca="1">IF(OR(R167=0,R167=""),"Linha",IF(AND(OR(ACOMPANHAMENTO="PLE",$Q167&lt;&gt;2),$E168=0),"Linha",1-SUM(T167:AF167)))</f>
        <v>Linha</v>
      </c>
      <c r="H167" s="209" t="str">
        <f ca="1">IF($E168=0,OFFSET(ORÇAMENTO!O$15,$E167,0),IF($E168&lt;&gt;-1,OFFSET(QCI!$D$13,$E168,0),""))</f>
        <v>1.51.</v>
      </c>
      <c r="I167" s="210" t="str">
        <f ca="1">IF($E168=0,OFFSET(ORÇAMENTO!R$15,$E167,0),IF($E168&lt;&gt;-1,OFFSET(QCI!$G$13,$E168,0),""))</f>
        <v>INSTALAÇÃO ELÉTRICA 110V - ACESSÓRIOS PARA ELETRODUTOS</v>
      </c>
      <c r="J167" s="210"/>
      <c r="K167" s="210"/>
      <c r="L167" s="211">
        <f ca="1">IF($E168=0,OFFSET(ORÇAMENTO!C$15,$E167,0),1)</f>
        <v>2</v>
      </c>
      <c r="M167" s="212">
        <f ca="1">IF($E168=-1,0,IF(M$13&lt;=$L167,IF(ISERROR(MATCH(M$13,OFFSET($L167,1,0,ROW($L$260)-ROW($L167)-1),0)),ROW($L$260)-ROW($L167)-1,MATCH(M$13,OFFSET($L167,1,0,ROW($L$260)-ROW($L167)-1),0)-1),0))</f>
        <v>92</v>
      </c>
      <c r="N167" s="212">
        <f ca="1">IF($E168=-1,0,IF(N$13&lt;=$L167,IF(ISERROR(MATCH(N$13,OFFSET($L167,1,0,ROW($L$260)-ROW($L167)-1),0)),ROW($L$260)-ROW($L167)-1,MATCH(N$13,OFFSET($L167,1,0,ROW($L$260)-ROW($L167)-1),0)-1),0))</f>
        <v>2</v>
      </c>
      <c r="O167" s="212">
        <f ca="1">IF($E168=-1,0,IF(O$13&lt;=$L167,IF(ISERROR(MATCH(O$13,OFFSET($L167,1,0,ROW($L$260)-ROW($L167)-1),0)),ROW($L$260)-ROW($L167)-1,MATCH(O$13,OFFSET($L167,1,0,ROW($L$260)-ROW($L167)-1),0)-1),0))</f>
        <v>0</v>
      </c>
      <c r="P167" s="212">
        <f ca="1">IF($E168=-1,0,IF(P$13&lt;=$L167,IF(ISERROR(MATCH(P$13,OFFSET($L167,1,0,ROW($L$260)-ROW($L167)-1),0)),ROW($L$260)-ROW($L167)-1,MATCH(P$13,OFFSET($L167,1,0,ROW($L$260)-ROW($L167)-1),0)-1),0))</f>
        <v>0</v>
      </c>
      <c r="Q167" s="212">
        <f t="shared" ref="Q167" ca="1" si="362">MIN(OFFSET(L167,0,1,,L167))</f>
        <v>2</v>
      </c>
      <c r="R167" s="213">
        <f ca="1">IF($E168=0,OFFSET(ORÇAMENTO!X$15,$E167,0),IF($E168&lt;&gt;-1,OFFSET(QCI!$O$13,$E168,0),""))</f>
        <v>0</v>
      </c>
      <c r="S167" s="214" t="s">
        <v>270</v>
      </c>
      <c r="T167" s="215" t="e">
        <f t="shared" ref="T167:AE167" ca="1" si="363">IF(AND($Q167=2,ACOMPANHAMENTO="BM"),T168,T169/$R167)</f>
        <v>#DIV/0!</v>
      </c>
      <c r="U167" s="207" t="e">
        <f t="shared" ca="1" si="363"/>
        <v>#DIV/0!</v>
      </c>
      <c r="V167" s="207" t="e">
        <f t="shared" ca="1" si="363"/>
        <v>#DIV/0!</v>
      </c>
      <c r="W167" s="207" t="e">
        <f t="shared" ca="1" si="363"/>
        <v>#DIV/0!</v>
      </c>
      <c r="X167" s="207" t="e">
        <f t="shared" ca="1" si="363"/>
        <v>#DIV/0!</v>
      </c>
      <c r="Y167" s="207" t="e">
        <f t="shared" ca="1" si="363"/>
        <v>#DIV/0!</v>
      </c>
      <c r="Z167" s="207" t="e">
        <f t="shared" ca="1" si="363"/>
        <v>#DIV/0!</v>
      </c>
      <c r="AA167" s="207" t="e">
        <f t="shared" ca="1" si="363"/>
        <v>#DIV/0!</v>
      </c>
      <c r="AB167" s="207" t="e">
        <f t="shared" ca="1" si="363"/>
        <v>#DIV/0!</v>
      </c>
      <c r="AC167" s="207" t="e">
        <f t="shared" ca="1" si="363"/>
        <v>#DIV/0!</v>
      </c>
      <c r="AD167" s="207" t="e">
        <f t="shared" ca="1" si="363"/>
        <v>#DIV/0!</v>
      </c>
      <c r="AE167" s="216" t="e">
        <f t="shared" ca="1" si="363"/>
        <v>#DIV/0!</v>
      </c>
    </row>
    <row r="168" spans="1:32" ht="12.75" customHeight="1" x14ac:dyDescent="0.2">
      <c r="D168" s="569"/>
      <c r="E168" s="204">
        <f ca="1">IF(ISERROR(E167),IF(1+COUNTIF($L$13:OFFSET(L167,-1,0),1)&lt;=MAX(QCI!$D$13:$D$24),1+COUNTIF($L$13:OFFSET(L167,-1,0),1),-1),0)</f>
        <v>0</v>
      </c>
      <c r="F168" s="204" t="str">
        <f t="shared" ref="F168" ca="1" si="364">IF(AND($E168&lt;&gt;-1,$R167&gt;0),"F","")</f>
        <v/>
      </c>
      <c r="G168" s="217" t="str">
        <f ca="1">IF(OR(R167=0,R167=""),"vazia",IF(AND(OR(ACOMPANHAMENTO="PLE",$Q167&lt;&gt;2),$E168=0),"calculada","--&gt;"))</f>
        <v>vazia</v>
      </c>
      <c r="H168" s="218"/>
      <c r="I168" s="219" t="str">
        <f t="shared" ref="I168" ca="1" si="365">IF(AND(G167&lt;&gt;0,ISNUMBER(G167)),"PREENCHA ESTA LINHA --&gt;","")</f>
        <v/>
      </c>
      <c r="J168" s="219"/>
      <c r="K168" s="219"/>
      <c r="L168" s="220"/>
      <c r="M168" s="220"/>
      <c r="N168" s="220"/>
      <c r="O168" s="220"/>
      <c r="P168" s="220"/>
      <c r="Q168" s="220"/>
      <c r="R168" s="221"/>
      <c r="S168" s="222"/>
      <c r="T168" s="570"/>
      <c r="U168" s="569"/>
      <c r="V168" s="569"/>
      <c r="W168" s="569"/>
      <c r="X168" s="569"/>
      <c r="Y168" s="569"/>
      <c r="Z168" s="569"/>
      <c r="AA168" s="569"/>
      <c r="AB168" s="569"/>
      <c r="AC168" s="569"/>
      <c r="AD168" s="569"/>
      <c r="AE168" s="571"/>
      <c r="AF168" s="533"/>
    </row>
    <row r="169" spans="1:32" ht="0.2" hidden="1" customHeight="1" x14ac:dyDescent="0.2">
      <c r="D169" s="223">
        <f ca="1">IF($Q167=2,IF(AND(ACOMPANHAMENTO="PLE",ISNUMBER($E167)),SUMIF((OFFSET(CÁLCULO!$BC$15:$BU$15,$E167,0,OFFSET(ORÇAMENTO!$D$15,CRONO!$E167,0))),"="&amp;CRONO!D$12,OFFSET(CÁLCULO!$AJ$15:$BB$15,$E167,0,OFFSET(ORÇAMENTO!$D$15,CRONO!$E167,0)))+IF(AND($E169&lt;&gt;"",$E169&lt;&gt;0),SUMIF(CÁLCULO!$BC$15:$BU$727,"="&amp;CRONO!D$12,CÁLCULO!$AJ$15:$BB$727)/(ORÇAMENTO!$X$15-CÁLCULO.TotalAdmLocal)*CRONO!$E169,0),D168*$R167),SUMIF(OFFSET($R169,1,0,$Q167-2),($L167+1)&amp;"$",OFFSET(D169,1,0,$Q167-2)))</f>
        <v>0</v>
      </c>
      <c r="E169" s="204" t="str">
        <f ca="1">IF(OR($Q167&lt;&gt;2,AUTOEVENTO&lt;&gt;"manual",$E168&gt;0),"",SUMIF(OFFSET(CÁLCULO!$M$15,CRONO!$E167,0,OFFSET(ORÇAMENTO!$D$15,CRONO!$E167,0)),1,OFFSET(ORÇAMENTO!$X$15,CRONO!$E167,0,OFFSET(ORÇAMENTO!$D$15,CRONO!$E167,0))))</f>
        <v/>
      </c>
      <c r="G169" s="224"/>
      <c r="R169" s="225" t="str">
        <f t="shared" ref="R169" ca="1" si="366">L167&amp;"$"</f>
        <v>2$</v>
      </c>
      <c r="S169" s="226"/>
      <c r="T169" s="227">
        <f ca="1">IF($Q167=2,IF(AND(ACOMPANHAMENTO="PLE",ISNUMBER($E167)),SUMIF((OFFSET(CÁLCULO!$BC$15:$BU$15,$E167,0,OFFSET(ORÇAMENTO!$D$15,CRONO!$E167,0))),"&lt;="&amp;CRONO!T$12,OFFSET(CÁLCULO!$AJ$15:$BB$15,$E167,0,OFFSET(ORÇAMENTO!$D$15,CRONO!$E167,0)))+IF(AND($E169&lt;&gt;"",$E169&lt;&gt;0),SUMIF(CÁLCULO!$BC$15:$BU$727,"&lt;="&amp;CRONO!T$12,CÁLCULO!$AJ$15:$BB$727)/(ORÇAMENTO!$X$15-CÁLCULO.TotalAdmLocal)*CRONO!$E169,0),T168*$R167),SUMIF(OFFSET($R169,1,0,$Q167-2),($L167+1)&amp;"$",OFFSET(T169,1,0,$Q167-2)))</f>
        <v>0</v>
      </c>
      <c r="U169" s="223">
        <f ca="1">IF($Q167=2,IF(AND(ACOMPANHAMENTO="PLE",ISNUMBER($E167)),SUMIF((OFFSET(CÁLCULO!$BC$15:$BU$15,$E167,0,OFFSET(ORÇAMENTO!$D$15,CRONO!$E167,0))),"="&amp;CRONO!U$12,OFFSET(CÁLCULO!$AJ$15:$BB$15,$E167,0,OFFSET(ORÇAMENTO!$D$15,CRONO!$E167,0)))+IF(AND($E169&lt;&gt;"",$E169&lt;&gt;0),SUMIF(CÁLCULO!$BC$15:$BU$727,"="&amp;CRONO!U$12,CÁLCULO!$AJ$15:$BB$727)/(ORÇAMENTO!$X$15-CÁLCULO.TotalAdmLocal)*CRONO!$E169,0),U168*$R167),SUMIF(OFFSET($R169,1,0,$Q167-2),($L167+1)&amp;"$",OFFSET(U169,1,0,$Q167-2)))</f>
        <v>0</v>
      </c>
      <c r="V169" s="223">
        <f ca="1">IF($Q167=2,IF(AND(ACOMPANHAMENTO="PLE",ISNUMBER($E167)),SUMIF((OFFSET(CÁLCULO!$BC$15:$BU$15,$E167,0,OFFSET(ORÇAMENTO!$D$15,CRONO!$E167,0))),"="&amp;CRONO!V$12,OFFSET(CÁLCULO!$AJ$15:$BB$15,$E167,0,OFFSET(ORÇAMENTO!$D$15,CRONO!$E167,0)))+IF(AND($E169&lt;&gt;"",$E169&lt;&gt;0),SUMIF(CÁLCULO!$BC$15:$BU$727,"="&amp;CRONO!V$12,CÁLCULO!$AJ$15:$BB$727)/(ORÇAMENTO!$X$15-CÁLCULO.TotalAdmLocal)*CRONO!$E169,0),V168*$R167),SUMIF(OFFSET($R169,1,0,$Q167-2),($L167+1)&amp;"$",OFFSET(V169,1,0,$Q167-2)))</f>
        <v>0</v>
      </c>
      <c r="W169" s="223">
        <f ca="1">IF($Q167=2,IF(AND(ACOMPANHAMENTO="PLE",ISNUMBER($E167)),SUMIF((OFFSET(CÁLCULO!$BC$15:$BU$15,$E167,0,OFFSET(ORÇAMENTO!$D$15,CRONO!$E167,0))),"="&amp;CRONO!W$12,OFFSET(CÁLCULO!$AJ$15:$BB$15,$E167,0,OFFSET(ORÇAMENTO!$D$15,CRONO!$E167,0)))+IF(AND($E169&lt;&gt;"",$E169&lt;&gt;0),SUMIF(CÁLCULO!$BC$15:$BU$727,"="&amp;CRONO!W$12,CÁLCULO!$AJ$15:$BB$727)/(ORÇAMENTO!$X$15-CÁLCULO.TotalAdmLocal)*CRONO!$E169,0),W168*$R167),SUMIF(OFFSET($R169,1,0,$Q167-2),($L167+1)&amp;"$",OFFSET(W169,1,0,$Q167-2)))</f>
        <v>0</v>
      </c>
      <c r="X169" s="223">
        <f ca="1">IF($Q167=2,IF(AND(ACOMPANHAMENTO="PLE",ISNUMBER($E167)),SUMIF((OFFSET(CÁLCULO!$BC$15:$BU$15,$E167,0,OFFSET(ORÇAMENTO!$D$15,CRONO!$E167,0))),"="&amp;CRONO!X$12,OFFSET(CÁLCULO!$AJ$15:$BB$15,$E167,0,OFFSET(ORÇAMENTO!$D$15,CRONO!$E167,0)))+IF(AND($E169&lt;&gt;"",$E169&lt;&gt;0),SUMIF(CÁLCULO!$BC$15:$BU$727,"="&amp;CRONO!X$12,CÁLCULO!$AJ$15:$BB$727)/(ORÇAMENTO!$X$15-CÁLCULO.TotalAdmLocal)*CRONO!$E169,0),X168*$R167),SUMIF(OFFSET($R169,1,0,$Q167-2),($L167+1)&amp;"$",OFFSET(X169,1,0,$Q167-2)))</f>
        <v>0</v>
      </c>
      <c r="Y169" s="223">
        <f ca="1">IF($Q167=2,IF(AND(ACOMPANHAMENTO="PLE",ISNUMBER($E167)),SUMIF((OFFSET(CÁLCULO!$BC$15:$BU$15,$E167,0,OFFSET(ORÇAMENTO!$D$15,CRONO!$E167,0))),"="&amp;CRONO!Y$12,OFFSET(CÁLCULO!$AJ$15:$BB$15,$E167,0,OFFSET(ORÇAMENTO!$D$15,CRONO!$E167,0)))+IF(AND($E169&lt;&gt;"",$E169&lt;&gt;0),SUMIF(CÁLCULO!$BC$15:$BU$727,"="&amp;CRONO!Y$12,CÁLCULO!$AJ$15:$BB$727)/(ORÇAMENTO!$X$15-CÁLCULO.TotalAdmLocal)*CRONO!$E169,0),Y168*$R167),SUMIF(OFFSET($R169,1,0,$Q167-2),($L167+1)&amp;"$",OFFSET(Y169,1,0,$Q167-2)))</f>
        <v>0</v>
      </c>
      <c r="Z169" s="223">
        <f ca="1">IF($Q167=2,IF(AND(ACOMPANHAMENTO="PLE",ISNUMBER($E167)),SUMIF((OFFSET(CÁLCULO!$BC$15:$BU$15,$E167,0,OFFSET(ORÇAMENTO!$D$15,CRONO!$E167,0))),"="&amp;CRONO!Z$12,OFFSET(CÁLCULO!$AJ$15:$BB$15,$E167,0,OFFSET(ORÇAMENTO!$D$15,CRONO!$E167,0)))+IF(AND($E169&lt;&gt;"",$E169&lt;&gt;0),SUMIF(CÁLCULO!$BC$15:$BU$727,"="&amp;CRONO!Z$12,CÁLCULO!$AJ$15:$BB$727)/(ORÇAMENTO!$X$15-CÁLCULO.TotalAdmLocal)*CRONO!$E169,0),Z168*$R167),SUMIF(OFFSET($R169,1,0,$Q167-2),($L167+1)&amp;"$",OFFSET(Z169,1,0,$Q167-2)))</f>
        <v>0</v>
      </c>
      <c r="AA169" s="223">
        <f ca="1">IF($Q167=2,IF(AND(ACOMPANHAMENTO="PLE",ISNUMBER($E167)),SUMIF((OFFSET(CÁLCULO!$BC$15:$BU$15,$E167,0,OFFSET(ORÇAMENTO!$D$15,CRONO!$E167,0))),"="&amp;CRONO!AA$12,OFFSET(CÁLCULO!$AJ$15:$BB$15,$E167,0,OFFSET(ORÇAMENTO!$D$15,CRONO!$E167,0)))+IF(AND($E169&lt;&gt;"",$E169&lt;&gt;0),SUMIF(CÁLCULO!$BC$15:$BU$727,"="&amp;CRONO!AA$12,CÁLCULO!$AJ$15:$BB$727)/(ORÇAMENTO!$X$15-CÁLCULO.TotalAdmLocal)*CRONO!$E169,0),AA168*$R167),SUMIF(OFFSET($R169,1,0,$Q167-2),($L167+1)&amp;"$",OFFSET(AA169,1,0,$Q167-2)))</f>
        <v>0</v>
      </c>
      <c r="AB169" s="223">
        <f ca="1">IF($Q167=2,IF(AND(ACOMPANHAMENTO="PLE",ISNUMBER($E167)),SUMIF((OFFSET(CÁLCULO!$BC$15:$BU$15,$E167,0,OFFSET(ORÇAMENTO!$D$15,CRONO!$E167,0))),"="&amp;CRONO!AB$12,OFFSET(CÁLCULO!$AJ$15:$BB$15,$E167,0,OFFSET(ORÇAMENTO!$D$15,CRONO!$E167,0)))+IF(AND($E169&lt;&gt;"",$E169&lt;&gt;0),SUMIF(CÁLCULO!$BC$15:$BU$727,"="&amp;CRONO!AB$12,CÁLCULO!$AJ$15:$BB$727)/(ORÇAMENTO!$X$15-CÁLCULO.TotalAdmLocal)*CRONO!$E169,0),AB168*$R167),SUMIF(OFFSET($R169,1,0,$Q167-2),($L167+1)&amp;"$",OFFSET(AB169,1,0,$Q167-2)))</f>
        <v>0</v>
      </c>
      <c r="AC169" s="223">
        <f ca="1">IF($Q167=2,IF(AND(ACOMPANHAMENTO="PLE",ISNUMBER($E167)),SUMIF((OFFSET(CÁLCULO!$BC$15:$BU$15,$E167,0,OFFSET(ORÇAMENTO!$D$15,CRONO!$E167,0))),"="&amp;CRONO!AC$12,OFFSET(CÁLCULO!$AJ$15:$BB$15,$E167,0,OFFSET(ORÇAMENTO!$D$15,CRONO!$E167,0)))+IF(AND($E169&lt;&gt;"",$E169&lt;&gt;0),SUMIF(CÁLCULO!$BC$15:$BU$727,"="&amp;CRONO!AC$12,CÁLCULO!$AJ$15:$BB$727)/(ORÇAMENTO!$X$15-CÁLCULO.TotalAdmLocal)*CRONO!$E169,0),AC168*$R167),SUMIF(OFFSET($R169,1,0,$Q167-2),($L167+1)&amp;"$",OFFSET(AC169,1,0,$Q167-2)))</f>
        <v>0</v>
      </c>
      <c r="AD169" s="223">
        <f ca="1">IF($Q167=2,IF(AND(ACOMPANHAMENTO="PLE",ISNUMBER($E167)),SUMIF((OFFSET(CÁLCULO!$BC$15:$BU$15,$E167,0,OFFSET(ORÇAMENTO!$D$15,CRONO!$E167,0))),"="&amp;CRONO!AD$12,OFFSET(CÁLCULO!$AJ$15:$BB$15,$E167,0,OFFSET(ORÇAMENTO!$D$15,CRONO!$E167,0)))+IF(AND($E169&lt;&gt;"",$E169&lt;&gt;0),SUMIF(CÁLCULO!$BC$15:$BU$727,"="&amp;CRONO!AD$12,CÁLCULO!$AJ$15:$BB$727)/(ORÇAMENTO!$X$15-CÁLCULO.TotalAdmLocal)*CRONO!$E169,0),AD168*$R167),SUMIF(OFFSET($R169,1,0,$Q167-2),($L167+1)&amp;"$",OFFSET(AD169,1,0,$Q167-2)))</f>
        <v>0</v>
      </c>
      <c r="AE169" s="228">
        <f ca="1">IF($Q167=2,IF(AND(ACOMPANHAMENTO="PLE",ISNUMBER($E167)),SUMIF((OFFSET(CÁLCULO!$BC$15:$BU$15,$E167,0,OFFSET(ORÇAMENTO!$D$15,CRONO!$E167,0))),"="&amp;CRONO!AE$12,OFFSET(CÁLCULO!$AJ$15:$BB$15,$E167,0,OFFSET(ORÇAMENTO!$D$15,CRONO!$E167,0)))+IF(AND($E169&lt;&gt;"",$E169&lt;&gt;0),SUMIF(CÁLCULO!$BC$15:$BU$727,"="&amp;CRONO!AE$12,CÁLCULO!$AJ$15:$BB$727)/(ORÇAMENTO!$X$15-CÁLCULO.TotalAdmLocal)*CRONO!$E169,0),AE168*$R167),SUMIF(OFFSET($R169,1,0,$Q167-2),($L167+1)&amp;"$",OFFSET(AE169,1,0,$Q167-2)))</f>
        <v>0</v>
      </c>
    </row>
    <row r="170" spans="1:32" x14ac:dyDescent="0.2">
      <c r="A170" s="204">
        <f t="shared" ref="A170" ca="1" si="367">OFFSET(A170,-3,0)+1</f>
        <v>53</v>
      </c>
      <c r="B170" s="204">
        <f ca="1">IF($Q170&lt;&gt;2,0,IF($R170=0,1,IF(E171&gt;0,OFFSET(QCI!$M$13,SUBSTITUTE(E171,".",""),0),OFFSET(ORÇAMENTO!$AA$15,CRONO!$E170,0))/$R170))</f>
        <v>1</v>
      </c>
      <c r="C170" s="204">
        <f ca="1">IF($Q170&lt;&gt;2,0,IF($R170=0,1,IF(E171&gt;0,OFFSET(QCI!$N$13,SUBSTITUTE(E171,".",""),0),OFFSET(ORÇAMENTO!$AB$15,CRONO!$E170,0))/$R170))</f>
        <v>1</v>
      </c>
      <c r="D170" s="207" t="e">
        <f ca="1">IF(AND($Q170=2,ACOMPANHAMENTO="BM"),D171,D172/$R170)</f>
        <v>#DIV/0!</v>
      </c>
      <c r="E170" s="204">
        <f ca="1">IF(A170&lt;=ORÇAMENTO.MáximoListaCrono,MATCH(A170,ORÇAMENTO.ListaCrono,0),NA())</f>
        <v>475</v>
      </c>
      <c r="F170" s="204" t="str">
        <f t="shared" ref="F170" ca="1" si="368">IF(AND($E171&lt;&gt;-1,$R170&gt;0),"F","")</f>
        <v/>
      </c>
      <c r="G170" s="208" t="str">
        <f ca="1">IF(OR(R170=0,R170=""),"Linha",IF(AND(OR(ACOMPANHAMENTO="PLE",$Q170&lt;&gt;2),$E171=0),"Linha",1-SUM(T170:AF170)))</f>
        <v>Linha</v>
      </c>
      <c r="H170" s="209" t="str">
        <f ca="1">IF($E171=0,OFFSET(ORÇAMENTO!O$15,$E170,0),IF($E171&lt;&gt;-1,OFFSET(QCI!$D$13,$E171,0),""))</f>
        <v>1.52.</v>
      </c>
      <c r="I170" s="210" t="str">
        <f ca="1">IF($E171=0,OFFSET(ORÇAMENTO!R$15,$E170,0),IF($E171&lt;&gt;-1,OFFSET(QCI!$G$13,$E171,0),""))</f>
        <v>INSTALAÇÃO ELÉTRICA 110V - ACESSÓRIOS EM GERAL</v>
      </c>
      <c r="J170" s="210"/>
      <c r="K170" s="210"/>
      <c r="L170" s="211">
        <f ca="1">IF($E171=0,OFFSET(ORÇAMENTO!C$15,$E170,0),1)</f>
        <v>2</v>
      </c>
      <c r="M170" s="212">
        <f ca="1">IF($E171=-1,0,IF(M$13&lt;=$L170,IF(ISERROR(MATCH(M$13,OFFSET($L170,1,0,ROW($L$260)-ROW($L170)-1),0)),ROW($L$260)-ROW($L170)-1,MATCH(M$13,OFFSET($L170,1,0,ROW($L$260)-ROW($L170)-1),0)-1),0))</f>
        <v>89</v>
      </c>
      <c r="N170" s="212">
        <f ca="1">IF($E171=-1,0,IF(N$13&lt;=$L170,IF(ISERROR(MATCH(N$13,OFFSET($L170,1,0,ROW($L$260)-ROW($L170)-1),0)),ROW($L$260)-ROW($L170)-1,MATCH(N$13,OFFSET($L170,1,0,ROW($L$260)-ROW($L170)-1),0)-1),0))</f>
        <v>2</v>
      </c>
      <c r="O170" s="212">
        <f ca="1">IF($E171=-1,0,IF(O$13&lt;=$L170,IF(ISERROR(MATCH(O$13,OFFSET($L170,1,0,ROW($L$260)-ROW($L170)-1),0)),ROW($L$260)-ROW($L170)-1,MATCH(O$13,OFFSET($L170,1,0,ROW($L$260)-ROW($L170)-1),0)-1),0))</f>
        <v>0</v>
      </c>
      <c r="P170" s="212">
        <f ca="1">IF($E171=-1,0,IF(P$13&lt;=$L170,IF(ISERROR(MATCH(P$13,OFFSET($L170,1,0,ROW($L$260)-ROW($L170)-1),0)),ROW($L$260)-ROW($L170)-1,MATCH(P$13,OFFSET($L170,1,0,ROW($L$260)-ROW($L170)-1),0)-1),0))</f>
        <v>0</v>
      </c>
      <c r="Q170" s="212">
        <f t="shared" ref="Q170" ca="1" si="369">MIN(OFFSET(L170,0,1,,L170))</f>
        <v>2</v>
      </c>
      <c r="R170" s="213">
        <f ca="1">IF($E171=0,OFFSET(ORÇAMENTO!X$15,$E170,0),IF($E171&lt;&gt;-1,OFFSET(QCI!$O$13,$E171,0),""))</f>
        <v>0</v>
      </c>
      <c r="S170" s="214" t="s">
        <v>270</v>
      </c>
      <c r="T170" s="215" t="e">
        <f t="shared" ref="T170:AE170" ca="1" si="370">IF(AND($Q170=2,ACOMPANHAMENTO="BM"),T171,T172/$R170)</f>
        <v>#DIV/0!</v>
      </c>
      <c r="U170" s="207" t="e">
        <f t="shared" ca="1" si="370"/>
        <v>#DIV/0!</v>
      </c>
      <c r="V170" s="207" t="e">
        <f t="shared" ca="1" si="370"/>
        <v>#DIV/0!</v>
      </c>
      <c r="W170" s="207" t="e">
        <f t="shared" ca="1" si="370"/>
        <v>#DIV/0!</v>
      </c>
      <c r="X170" s="207" t="e">
        <f t="shared" ca="1" si="370"/>
        <v>#DIV/0!</v>
      </c>
      <c r="Y170" s="207" t="e">
        <f t="shared" ca="1" si="370"/>
        <v>#DIV/0!</v>
      </c>
      <c r="Z170" s="207" t="e">
        <f t="shared" ca="1" si="370"/>
        <v>#DIV/0!</v>
      </c>
      <c r="AA170" s="207" t="e">
        <f t="shared" ca="1" si="370"/>
        <v>#DIV/0!</v>
      </c>
      <c r="AB170" s="207" t="e">
        <f t="shared" ca="1" si="370"/>
        <v>#DIV/0!</v>
      </c>
      <c r="AC170" s="207" t="e">
        <f t="shared" ca="1" si="370"/>
        <v>#DIV/0!</v>
      </c>
      <c r="AD170" s="207" t="e">
        <f t="shared" ca="1" si="370"/>
        <v>#DIV/0!</v>
      </c>
      <c r="AE170" s="216" t="e">
        <f t="shared" ca="1" si="370"/>
        <v>#DIV/0!</v>
      </c>
    </row>
    <row r="171" spans="1:32" ht="12.75" customHeight="1" x14ac:dyDescent="0.2">
      <c r="D171" s="569"/>
      <c r="E171" s="204">
        <f ca="1">IF(ISERROR(E170),IF(1+COUNTIF($L$13:OFFSET(L170,-1,0),1)&lt;=MAX(QCI!$D$13:$D$24),1+COUNTIF($L$13:OFFSET(L170,-1,0),1),-1),0)</f>
        <v>0</v>
      </c>
      <c r="F171" s="204" t="str">
        <f t="shared" ref="F171" ca="1" si="371">IF(AND($E171&lt;&gt;-1,$R170&gt;0),"F","")</f>
        <v/>
      </c>
      <c r="G171" s="217" t="str">
        <f ca="1">IF(OR(R170=0,R170=""),"vazia",IF(AND(OR(ACOMPANHAMENTO="PLE",$Q170&lt;&gt;2),$E171=0),"calculada","--&gt;"))</f>
        <v>vazia</v>
      </c>
      <c r="H171" s="218"/>
      <c r="I171" s="219" t="str">
        <f t="shared" ref="I171" ca="1" si="372">IF(AND(G170&lt;&gt;0,ISNUMBER(G170)),"PREENCHA ESTA LINHA --&gt;","")</f>
        <v/>
      </c>
      <c r="J171" s="219"/>
      <c r="K171" s="219"/>
      <c r="L171" s="220"/>
      <c r="M171" s="220"/>
      <c r="N171" s="220"/>
      <c r="O171" s="220"/>
      <c r="P171" s="220"/>
      <c r="Q171" s="220"/>
      <c r="R171" s="221"/>
      <c r="S171" s="222"/>
      <c r="T171" s="570"/>
      <c r="U171" s="569"/>
      <c r="V171" s="569"/>
      <c r="W171" s="569"/>
      <c r="X171" s="569"/>
      <c r="Y171" s="569"/>
      <c r="Z171" s="569"/>
      <c r="AA171" s="569"/>
      <c r="AB171" s="569"/>
      <c r="AC171" s="569"/>
      <c r="AD171" s="569"/>
      <c r="AE171" s="571"/>
      <c r="AF171" s="533"/>
    </row>
    <row r="172" spans="1:32" ht="0.2" hidden="1" customHeight="1" x14ac:dyDescent="0.2">
      <c r="D172" s="223">
        <f ca="1">IF($Q170=2,IF(AND(ACOMPANHAMENTO="PLE",ISNUMBER($E170)),SUMIF((OFFSET(CÁLCULO!$BC$15:$BU$15,$E170,0,OFFSET(ORÇAMENTO!$D$15,CRONO!$E170,0))),"="&amp;CRONO!D$12,OFFSET(CÁLCULO!$AJ$15:$BB$15,$E170,0,OFFSET(ORÇAMENTO!$D$15,CRONO!$E170,0)))+IF(AND($E172&lt;&gt;"",$E172&lt;&gt;0),SUMIF(CÁLCULO!$BC$15:$BU$727,"="&amp;CRONO!D$12,CÁLCULO!$AJ$15:$BB$727)/(ORÇAMENTO!$X$15-CÁLCULO.TotalAdmLocal)*CRONO!$E172,0),D171*$R170),SUMIF(OFFSET($R172,1,0,$Q170-2),($L170+1)&amp;"$",OFFSET(D172,1,0,$Q170-2)))</f>
        <v>0</v>
      </c>
      <c r="E172" s="204" t="str">
        <f ca="1">IF(OR($Q170&lt;&gt;2,AUTOEVENTO&lt;&gt;"manual",$E171&gt;0),"",SUMIF(OFFSET(CÁLCULO!$M$15,CRONO!$E170,0,OFFSET(ORÇAMENTO!$D$15,CRONO!$E170,0)),1,OFFSET(ORÇAMENTO!$X$15,CRONO!$E170,0,OFFSET(ORÇAMENTO!$D$15,CRONO!$E170,0))))</f>
        <v/>
      </c>
      <c r="G172" s="224"/>
      <c r="R172" s="225" t="str">
        <f t="shared" ref="R172" ca="1" si="373">L170&amp;"$"</f>
        <v>2$</v>
      </c>
      <c r="S172" s="226"/>
      <c r="T172" s="227">
        <f ca="1">IF($Q170=2,IF(AND(ACOMPANHAMENTO="PLE",ISNUMBER($E170)),SUMIF((OFFSET(CÁLCULO!$BC$15:$BU$15,$E170,0,OFFSET(ORÇAMENTO!$D$15,CRONO!$E170,0))),"&lt;="&amp;CRONO!T$12,OFFSET(CÁLCULO!$AJ$15:$BB$15,$E170,0,OFFSET(ORÇAMENTO!$D$15,CRONO!$E170,0)))+IF(AND($E172&lt;&gt;"",$E172&lt;&gt;0),SUMIF(CÁLCULO!$BC$15:$BU$727,"&lt;="&amp;CRONO!T$12,CÁLCULO!$AJ$15:$BB$727)/(ORÇAMENTO!$X$15-CÁLCULO.TotalAdmLocal)*CRONO!$E172,0),T171*$R170),SUMIF(OFFSET($R172,1,0,$Q170-2),($L170+1)&amp;"$",OFFSET(T172,1,0,$Q170-2)))</f>
        <v>0</v>
      </c>
      <c r="U172" s="223">
        <f ca="1">IF($Q170=2,IF(AND(ACOMPANHAMENTO="PLE",ISNUMBER($E170)),SUMIF((OFFSET(CÁLCULO!$BC$15:$BU$15,$E170,0,OFFSET(ORÇAMENTO!$D$15,CRONO!$E170,0))),"="&amp;CRONO!U$12,OFFSET(CÁLCULO!$AJ$15:$BB$15,$E170,0,OFFSET(ORÇAMENTO!$D$15,CRONO!$E170,0)))+IF(AND($E172&lt;&gt;"",$E172&lt;&gt;0),SUMIF(CÁLCULO!$BC$15:$BU$727,"="&amp;CRONO!U$12,CÁLCULO!$AJ$15:$BB$727)/(ORÇAMENTO!$X$15-CÁLCULO.TotalAdmLocal)*CRONO!$E172,0),U171*$R170),SUMIF(OFFSET($R172,1,0,$Q170-2),($L170+1)&amp;"$",OFFSET(U172,1,0,$Q170-2)))</f>
        <v>0</v>
      </c>
      <c r="V172" s="223">
        <f ca="1">IF($Q170=2,IF(AND(ACOMPANHAMENTO="PLE",ISNUMBER($E170)),SUMIF((OFFSET(CÁLCULO!$BC$15:$BU$15,$E170,0,OFFSET(ORÇAMENTO!$D$15,CRONO!$E170,0))),"="&amp;CRONO!V$12,OFFSET(CÁLCULO!$AJ$15:$BB$15,$E170,0,OFFSET(ORÇAMENTO!$D$15,CRONO!$E170,0)))+IF(AND($E172&lt;&gt;"",$E172&lt;&gt;0),SUMIF(CÁLCULO!$BC$15:$BU$727,"="&amp;CRONO!V$12,CÁLCULO!$AJ$15:$BB$727)/(ORÇAMENTO!$X$15-CÁLCULO.TotalAdmLocal)*CRONO!$E172,0),V171*$R170),SUMIF(OFFSET($R172,1,0,$Q170-2),($L170+1)&amp;"$",OFFSET(V172,1,0,$Q170-2)))</f>
        <v>0</v>
      </c>
      <c r="W172" s="223">
        <f ca="1">IF($Q170=2,IF(AND(ACOMPANHAMENTO="PLE",ISNUMBER($E170)),SUMIF((OFFSET(CÁLCULO!$BC$15:$BU$15,$E170,0,OFFSET(ORÇAMENTO!$D$15,CRONO!$E170,0))),"="&amp;CRONO!W$12,OFFSET(CÁLCULO!$AJ$15:$BB$15,$E170,0,OFFSET(ORÇAMENTO!$D$15,CRONO!$E170,0)))+IF(AND($E172&lt;&gt;"",$E172&lt;&gt;0),SUMIF(CÁLCULO!$BC$15:$BU$727,"="&amp;CRONO!W$12,CÁLCULO!$AJ$15:$BB$727)/(ORÇAMENTO!$X$15-CÁLCULO.TotalAdmLocal)*CRONO!$E172,0),W171*$R170),SUMIF(OFFSET($R172,1,0,$Q170-2),($L170+1)&amp;"$",OFFSET(W172,1,0,$Q170-2)))</f>
        <v>0</v>
      </c>
      <c r="X172" s="223">
        <f ca="1">IF($Q170=2,IF(AND(ACOMPANHAMENTO="PLE",ISNUMBER($E170)),SUMIF((OFFSET(CÁLCULO!$BC$15:$BU$15,$E170,0,OFFSET(ORÇAMENTO!$D$15,CRONO!$E170,0))),"="&amp;CRONO!X$12,OFFSET(CÁLCULO!$AJ$15:$BB$15,$E170,0,OFFSET(ORÇAMENTO!$D$15,CRONO!$E170,0)))+IF(AND($E172&lt;&gt;"",$E172&lt;&gt;0),SUMIF(CÁLCULO!$BC$15:$BU$727,"="&amp;CRONO!X$12,CÁLCULO!$AJ$15:$BB$727)/(ORÇAMENTO!$X$15-CÁLCULO.TotalAdmLocal)*CRONO!$E172,0),X171*$R170),SUMIF(OFFSET($R172,1,0,$Q170-2),($L170+1)&amp;"$",OFFSET(X172,1,0,$Q170-2)))</f>
        <v>0</v>
      </c>
      <c r="Y172" s="223">
        <f ca="1">IF($Q170=2,IF(AND(ACOMPANHAMENTO="PLE",ISNUMBER($E170)),SUMIF((OFFSET(CÁLCULO!$BC$15:$BU$15,$E170,0,OFFSET(ORÇAMENTO!$D$15,CRONO!$E170,0))),"="&amp;CRONO!Y$12,OFFSET(CÁLCULO!$AJ$15:$BB$15,$E170,0,OFFSET(ORÇAMENTO!$D$15,CRONO!$E170,0)))+IF(AND($E172&lt;&gt;"",$E172&lt;&gt;0),SUMIF(CÁLCULO!$BC$15:$BU$727,"="&amp;CRONO!Y$12,CÁLCULO!$AJ$15:$BB$727)/(ORÇAMENTO!$X$15-CÁLCULO.TotalAdmLocal)*CRONO!$E172,0),Y171*$R170),SUMIF(OFFSET($R172,1,0,$Q170-2),($L170+1)&amp;"$",OFFSET(Y172,1,0,$Q170-2)))</f>
        <v>0</v>
      </c>
      <c r="Z172" s="223">
        <f ca="1">IF($Q170=2,IF(AND(ACOMPANHAMENTO="PLE",ISNUMBER($E170)),SUMIF((OFFSET(CÁLCULO!$BC$15:$BU$15,$E170,0,OFFSET(ORÇAMENTO!$D$15,CRONO!$E170,0))),"="&amp;CRONO!Z$12,OFFSET(CÁLCULO!$AJ$15:$BB$15,$E170,0,OFFSET(ORÇAMENTO!$D$15,CRONO!$E170,0)))+IF(AND($E172&lt;&gt;"",$E172&lt;&gt;0),SUMIF(CÁLCULO!$BC$15:$BU$727,"="&amp;CRONO!Z$12,CÁLCULO!$AJ$15:$BB$727)/(ORÇAMENTO!$X$15-CÁLCULO.TotalAdmLocal)*CRONO!$E172,0),Z171*$R170),SUMIF(OFFSET($R172,1,0,$Q170-2),($L170+1)&amp;"$",OFFSET(Z172,1,0,$Q170-2)))</f>
        <v>0</v>
      </c>
      <c r="AA172" s="223">
        <f ca="1">IF($Q170=2,IF(AND(ACOMPANHAMENTO="PLE",ISNUMBER($E170)),SUMIF((OFFSET(CÁLCULO!$BC$15:$BU$15,$E170,0,OFFSET(ORÇAMENTO!$D$15,CRONO!$E170,0))),"="&amp;CRONO!AA$12,OFFSET(CÁLCULO!$AJ$15:$BB$15,$E170,0,OFFSET(ORÇAMENTO!$D$15,CRONO!$E170,0)))+IF(AND($E172&lt;&gt;"",$E172&lt;&gt;0),SUMIF(CÁLCULO!$BC$15:$BU$727,"="&amp;CRONO!AA$12,CÁLCULO!$AJ$15:$BB$727)/(ORÇAMENTO!$X$15-CÁLCULO.TotalAdmLocal)*CRONO!$E172,0),AA171*$R170),SUMIF(OFFSET($R172,1,0,$Q170-2),($L170+1)&amp;"$",OFFSET(AA172,1,0,$Q170-2)))</f>
        <v>0</v>
      </c>
      <c r="AB172" s="223">
        <f ca="1">IF($Q170=2,IF(AND(ACOMPANHAMENTO="PLE",ISNUMBER($E170)),SUMIF((OFFSET(CÁLCULO!$BC$15:$BU$15,$E170,0,OFFSET(ORÇAMENTO!$D$15,CRONO!$E170,0))),"="&amp;CRONO!AB$12,OFFSET(CÁLCULO!$AJ$15:$BB$15,$E170,0,OFFSET(ORÇAMENTO!$D$15,CRONO!$E170,0)))+IF(AND($E172&lt;&gt;"",$E172&lt;&gt;0),SUMIF(CÁLCULO!$BC$15:$BU$727,"="&amp;CRONO!AB$12,CÁLCULO!$AJ$15:$BB$727)/(ORÇAMENTO!$X$15-CÁLCULO.TotalAdmLocal)*CRONO!$E172,0),AB171*$R170),SUMIF(OFFSET($R172,1,0,$Q170-2),($L170+1)&amp;"$",OFFSET(AB172,1,0,$Q170-2)))</f>
        <v>0</v>
      </c>
      <c r="AC172" s="223">
        <f ca="1">IF($Q170=2,IF(AND(ACOMPANHAMENTO="PLE",ISNUMBER($E170)),SUMIF((OFFSET(CÁLCULO!$BC$15:$BU$15,$E170,0,OFFSET(ORÇAMENTO!$D$15,CRONO!$E170,0))),"="&amp;CRONO!AC$12,OFFSET(CÁLCULO!$AJ$15:$BB$15,$E170,0,OFFSET(ORÇAMENTO!$D$15,CRONO!$E170,0)))+IF(AND($E172&lt;&gt;"",$E172&lt;&gt;0),SUMIF(CÁLCULO!$BC$15:$BU$727,"="&amp;CRONO!AC$12,CÁLCULO!$AJ$15:$BB$727)/(ORÇAMENTO!$X$15-CÁLCULO.TotalAdmLocal)*CRONO!$E172,0),AC171*$R170),SUMIF(OFFSET($R172,1,0,$Q170-2),($L170+1)&amp;"$",OFFSET(AC172,1,0,$Q170-2)))</f>
        <v>0</v>
      </c>
      <c r="AD172" s="223">
        <f ca="1">IF($Q170=2,IF(AND(ACOMPANHAMENTO="PLE",ISNUMBER($E170)),SUMIF((OFFSET(CÁLCULO!$BC$15:$BU$15,$E170,0,OFFSET(ORÇAMENTO!$D$15,CRONO!$E170,0))),"="&amp;CRONO!AD$12,OFFSET(CÁLCULO!$AJ$15:$BB$15,$E170,0,OFFSET(ORÇAMENTO!$D$15,CRONO!$E170,0)))+IF(AND($E172&lt;&gt;"",$E172&lt;&gt;0),SUMIF(CÁLCULO!$BC$15:$BU$727,"="&amp;CRONO!AD$12,CÁLCULO!$AJ$15:$BB$727)/(ORÇAMENTO!$X$15-CÁLCULO.TotalAdmLocal)*CRONO!$E172,0),AD171*$R170),SUMIF(OFFSET($R172,1,0,$Q170-2),($L170+1)&amp;"$",OFFSET(AD172,1,0,$Q170-2)))</f>
        <v>0</v>
      </c>
      <c r="AE172" s="228">
        <f ca="1">IF($Q170=2,IF(AND(ACOMPANHAMENTO="PLE",ISNUMBER($E170)),SUMIF((OFFSET(CÁLCULO!$BC$15:$BU$15,$E170,0,OFFSET(ORÇAMENTO!$D$15,CRONO!$E170,0))),"="&amp;CRONO!AE$12,OFFSET(CÁLCULO!$AJ$15:$BB$15,$E170,0,OFFSET(ORÇAMENTO!$D$15,CRONO!$E170,0)))+IF(AND($E172&lt;&gt;"",$E172&lt;&gt;0),SUMIF(CÁLCULO!$BC$15:$BU$727,"="&amp;CRONO!AE$12,CÁLCULO!$AJ$15:$BB$727)/(ORÇAMENTO!$X$15-CÁLCULO.TotalAdmLocal)*CRONO!$E172,0),AE171*$R170),SUMIF(OFFSET($R172,1,0,$Q170-2),($L170+1)&amp;"$",OFFSET(AE172,1,0,$Q170-2)))</f>
        <v>0</v>
      </c>
    </row>
    <row r="173" spans="1:32" x14ac:dyDescent="0.2">
      <c r="A173" s="204">
        <f t="shared" ref="A173" ca="1" si="374">OFFSET(A173,-3,0)+1</f>
        <v>54</v>
      </c>
      <c r="B173" s="204">
        <f ca="1">IF($Q173&lt;&gt;2,0,IF($R173=0,1,IF(E174&gt;0,OFFSET(QCI!$M$13,SUBSTITUTE(E174,".",""),0),OFFSET(ORÇAMENTO!$AA$15,CRONO!$E173,0))/$R173))</f>
        <v>1</v>
      </c>
      <c r="C173" s="204">
        <f ca="1">IF($Q173&lt;&gt;2,0,IF($R173=0,1,IF(E174&gt;0,OFFSET(QCI!$N$13,SUBSTITUTE(E174,".",""),0),OFFSET(ORÇAMENTO!$AB$15,CRONO!$E173,0))/$R173))</f>
        <v>1</v>
      </c>
      <c r="D173" s="207" t="e">
        <f ca="1">IF(AND($Q173=2,ACOMPANHAMENTO="BM"),D174,D175/$R173)</f>
        <v>#DIV/0!</v>
      </c>
      <c r="E173" s="204">
        <f ca="1">IF(A173&lt;=ORÇAMENTO.MáximoListaCrono,MATCH(A173,ORÇAMENTO.ListaCrono,0),NA())</f>
        <v>493</v>
      </c>
      <c r="F173" s="204" t="str">
        <f t="shared" ref="F173" ca="1" si="375">IF(AND($E174&lt;&gt;-1,$R173&gt;0),"F","")</f>
        <v/>
      </c>
      <c r="G173" s="208" t="str">
        <f ca="1">IF(OR(R173=0,R173=""),"Linha",IF(AND(OR(ACOMPANHAMENTO="PLE",$Q173&lt;&gt;2),$E174=0),"Linha",1-SUM(T173:AF173)))</f>
        <v>Linha</v>
      </c>
      <c r="H173" s="209" t="str">
        <f ca="1">IF($E174=0,OFFSET(ORÇAMENTO!O$15,$E173,0),IF($E174&lt;&gt;-1,OFFSET(QCI!$D$13,$E174,0),""))</f>
        <v>1.53.</v>
      </c>
      <c r="I173" s="210" t="str">
        <f ca="1">IF($E174=0,OFFSET(ORÇAMENTO!R$15,$E173,0),IF($E174&lt;&gt;-1,OFFSET(QCI!$G$13,$E174,0),""))</f>
        <v>INSTALAÇÃO ELÉTRICA 110V - CABOS</v>
      </c>
      <c r="J173" s="210"/>
      <c r="K173" s="210"/>
      <c r="L173" s="211">
        <f ca="1">IF($E174=0,OFFSET(ORÇAMENTO!C$15,$E173,0),1)</f>
        <v>2</v>
      </c>
      <c r="M173" s="212">
        <f ca="1">IF($E174=-1,0,IF(M$13&lt;=$L173,IF(ISERROR(MATCH(M$13,OFFSET($L173,1,0,ROW($L$260)-ROW($L173)-1),0)),ROW($L$260)-ROW($L173)-1,MATCH(M$13,OFFSET($L173,1,0,ROW($L$260)-ROW($L173)-1),0)-1),0))</f>
        <v>86</v>
      </c>
      <c r="N173" s="212">
        <f ca="1">IF($E174=-1,0,IF(N$13&lt;=$L173,IF(ISERROR(MATCH(N$13,OFFSET($L173,1,0,ROW($L$260)-ROW($L173)-1),0)),ROW($L$260)-ROW($L173)-1,MATCH(N$13,OFFSET($L173,1,0,ROW($L$260)-ROW($L173)-1),0)-1),0))</f>
        <v>2</v>
      </c>
      <c r="O173" s="212">
        <f ca="1">IF($E174=-1,0,IF(O$13&lt;=$L173,IF(ISERROR(MATCH(O$13,OFFSET($L173,1,0,ROW($L$260)-ROW($L173)-1),0)),ROW($L$260)-ROW($L173)-1,MATCH(O$13,OFFSET($L173,1,0,ROW($L$260)-ROW($L173)-1),0)-1),0))</f>
        <v>0</v>
      </c>
      <c r="P173" s="212">
        <f ca="1">IF($E174=-1,0,IF(P$13&lt;=$L173,IF(ISERROR(MATCH(P$13,OFFSET($L173,1,0,ROW($L$260)-ROW($L173)-1),0)),ROW($L$260)-ROW($L173)-1,MATCH(P$13,OFFSET($L173,1,0,ROW($L$260)-ROW($L173)-1),0)-1),0))</f>
        <v>0</v>
      </c>
      <c r="Q173" s="212">
        <f t="shared" ref="Q173" ca="1" si="376">MIN(OFFSET(L173,0,1,,L173))</f>
        <v>2</v>
      </c>
      <c r="R173" s="213">
        <f ca="1">IF($E174=0,OFFSET(ORÇAMENTO!X$15,$E173,0),IF($E174&lt;&gt;-1,OFFSET(QCI!$O$13,$E174,0),""))</f>
        <v>0</v>
      </c>
      <c r="S173" s="214" t="s">
        <v>270</v>
      </c>
      <c r="T173" s="215" t="e">
        <f t="shared" ref="T173:AE173" ca="1" si="377">IF(AND($Q173=2,ACOMPANHAMENTO="BM"),T174,T175/$R173)</f>
        <v>#DIV/0!</v>
      </c>
      <c r="U173" s="207" t="e">
        <f t="shared" ca="1" si="377"/>
        <v>#DIV/0!</v>
      </c>
      <c r="V173" s="207" t="e">
        <f t="shared" ca="1" si="377"/>
        <v>#DIV/0!</v>
      </c>
      <c r="W173" s="207" t="e">
        <f t="shared" ca="1" si="377"/>
        <v>#DIV/0!</v>
      </c>
      <c r="X173" s="207" t="e">
        <f t="shared" ca="1" si="377"/>
        <v>#DIV/0!</v>
      </c>
      <c r="Y173" s="207" t="e">
        <f t="shared" ca="1" si="377"/>
        <v>#DIV/0!</v>
      </c>
      <c r="Z173" s="207" t="e">
        <f t="shared" ca="1" si="377"/>
        <v>#DIV/0!</v>
      </c>
      <c r="AA173" s="207" t="e">
        <f t="shared" ca="1" si="377"/>
        <v>#DIV/0!</v>
      </c>
      <c r="AB173" s="207" t="e">
        <f t="shared" ca="1" si="377"/>
        <v>#DIV/0!</v>
      </c>
      <c r="AC173" s="207" t="e">
        <f t="shared" ca="1" si="377"/>
        <v>#DIV/0!</v>
      </c>
      <c r="AD173" s="207" t="e">
        <f t="shared" ca="1" si="377"/>
        <v>#DIV/0!</v>
      </c>
      <c r="AE173" s="216" t="e">
        <f t="shared" ca="1" si="377"/>
        <v>#DIV/0!</v>
      </c>
    </row>
    <row r="174" spans="1:32" ht="12.75" customHeight="1" x14ac:dyDescent="0.2">
      <c r="D174" s="569"/>
      <c r="E174" s="204">
        <f ca="1">IF(ISERROR(E173),IF(1+COUNTIF($L$13:OFFSET(L173,-1,0),1)&lt;=MAX(QCI!$D$13:$D$24),1+COUNTIF($L$13:OFFSET(L173,-1,0),1),-1),0)</f>
        <v>0</v>
      </c>
      <c r="F174" s="204" t="str">
        <f t="shared" ref="F174" ca="1" si="378">IF(AND($E174&lt;&gt;-1,$R173&gt;0),"F","")</f>
        <v/>
      </c>
      <c r="G174" s="217" t="str">
        <f ca="1">IF(OR(R173=0,R173=""),"vazia",IF(AND(OR(ACOMPANHAMENTO="PLE",$Q173&lt;&gt;2),$E174=0),"calculada","--&gt;"))</f>
        <v>vazia</v>
      </c>
      <c r="H174" s="218"/>
      <c r="I174" s="219" t="str">
        <f t="shared" ref="I174" ca="1" si="379">IF(AND(G173&lt;&gt;0,ISNUMBER(G173)),"PREENCHA ESTA LINHA --&gt;","")</f>
        <v/>
      </c>
      <c r="J174" s="219"/>
      <c r="K174" s="219"/>
      <c r="L174" s="220"/>
      <c r="M174" s="220"/>
      <c r="N174" s="220"/>
      <c r="O174" s="220"/>
      <c r="P174" s="220"/>
      <c r="Q174" s="220"/>
      <c r="R174" s="221"/>
      <c r="S174" s="222"/>
      <c r="T174" s="570"/>
      <c r="U174" s="569"/>
      <c r="V174" s="569"/>
      <c r="W174" s="569"/>
      <c r="X174" s="569"/>
      <c r="Y174" s="569"/>
      <c r="Z174" s="569"/>
      <c r="AA174" s="569"/>
      <c r="AB174" s="569"/>
      <c r="AC174" s="569"/>
      <c r="AD174" s="569"/>
      <c r="AE174" s="571"/>
      <c r="AF174" s="533"/>
    </row>
    <row r="175" spans="1:32" ht="0.2" hidden="1" customHeight="1" x14ac:dyDescent="0.2">
      <c r="D175" s="223">
        <f ca="1">IF($Q173=2,IF(AND(ACOMPANHAMENTO="PLE",ISNUMBER($E173)),SUMIF((OFFSET(CÁLCULO!$BC$15:$BU$15,$E173,0,OFFSET(ORÇAMENTO!$D$15,CRONO!$E173,0))),"="&amp;CRONO!D$12,OFFSET(CÁLCULO!$AJ$15:$BB$15,$E173,0,OFFSET(ORÇAMENTO!$D$15,CRONO!$E173,0)))+IF(AND($E175&lt;&gt;"",$E175&lt;&gt;0),SUMIF(CÁLCULO!$BC$15:$BU$727,"="&amp;CRONO!D$12,CÁLCULO!$AJ$15:$BB$727)/(ORÇAMENTO!$X$15-CÁLCULO.TotalAdmLocal)*CRONO!$E175,0),D174*$R173),SUMIF(OFFSET($R175,1,0,$Q173-2),($L173+1)&amp;"$",OFFSET(D175,1,0,$Q173-2)))</f>
        <v>0</v>
      </c>
      <c r="E175" s="204" t="str">
        <f ca="1">IF(OR($Q173&lt;&gt;2,AUTOEVENTO&lt;&gt;"manual",$E174&gt;0),"",SUMIF(OFFSET(CÁLCULO!$M$15,CRONO!$E173,0,OFFSET(ORÇAMENTO!$D$15,CRONO!$E173,0)),1,OFFSET(ORÇAMENTO!$X$15,CRONO!$E173,0,OFFSET(ORÇAMENTO!$D$15,CRONO!$E173,0))))</f>
        <v/>
      </c>
      <c r="G175" s="224"/>
      <c r="R175" s="225" t="str">
        <f t="shared" ref="R175" ca="1" si="380">L173&amp;"$"</f>
        <v>2$</v>
      </c>
      <c r="S175" s="226"/>
      <c r="T175" s="227">
        <f ca="1">IF($Q173=2,IF(AND(ACOMPANHAMENTO="PLE",ISNUMBER($E173)),SUMIF((OFFSET(CÁLCULO!$BC$15:$BU$15,$E173,0,OFFSET(ORÇAMENTO!$D$15,CRONO!$E173,0))),"&lt;="&amp;CRONO!T$12,OFFSET(CÁLCULO!$AJ$15:$BB$15,$E173,0,OFFSET(ORÇAMENTO!$D$15,CRONO!$E173,0)))+IF(AND($E175&lt;&gt;"",$E175&lt;&gt;0),SUMIF(CÁLCULO!$BC$15:$BU$727,"&lt;="&amp;CRONO!T$12,CÁLCULO!$AJ$15:$BB$727)/(ORÇAMENTO!$X$15-CÁLCULO.TotalAdmLocal)*CRONO!$E175,0),T174*$R173),SUMIF(OFFSET($R175,1,0,$Q173-2),($L173+1)&amp;"$",OFFSET(T175,1,0,$Q173-2)))</f>
        <v>0</v>
      </c>
      <c r="U175" s="223">
        <f ca="1">IF($Q173=2,IF(AND(ACOMPANHAMENTO="PLE",ISNUMBER($E173)),SUMIF((OFFSET(CÁLCULO!$BC$15:$BU$15,$E173,0,OFFSET(ORÇAMENTO!$D$15,CRONO!$E173,0))),"="&amp;CRONO!U$12,OFFSET(CÁLCULO!$AJ$15:$BB$15,$E173,0,OFFSET(ORÇAMENTO!$D$15,CRONO!$E173,0)))+IF(AND($E175&lt;&gt;"",$E175&lt;&gt;0),SUMIF(CÁLCULO!$BC$15:$BU$727,"="&amp;CRONO!U$12,CÁLCULO!$AJ$15:$BB$727)/(ORÇAMENTO!$X$15-CÁLCULO.TotalAdmLocal)*CRONO!$E175,0),U174*$R173),SUMIF(OFFSET($R175,1,0,$Q173-2),($L173+1)&amp;"$",OFFSET(U175,1,0,$Q173-2)))</f>
        <v>0</v>
      </c>
      <c r="V175" s="223">
        <f ca="1">IF($Q173=2,IF(AND(ACOMPANHAMENTO="PLE",ISNUMBER($E173)),SUMIF((OFFSET(CÁLCULO!$BC$15:$BU$15,$E173,0,OFFSET(ORÇAMENTO!$D$15,CRONO!$E173,0))),"="&amp;CRONO!V$12,OFFSET(CÁLCULO!$AJ$15:$BB$15,$E173,0,OFFSET(ORÇAMENTO!$D$15,CRONO!$E173,0)))+IF(AND($E175&lt;&gt;"",$E175&lt;&gt;0),SUMIF(CÁLCULO!$BC$15:$BU$727,"="&amp;CRONO!V$12,CÁLCULO!$AJ$15:$BB$727)/(ORÇAMENTO!$X$15-CÁLCULO.TotalAdmLocal)*CRONO!$E175,0),V174*$R173),SUMIF(OFFSET($R175,1,0,$Q173-2),($L173+1)&amp;"$",OFFSET(V175,1,0,$Q173-2)))</f>
        <v>0</v>
      </c>
      <c r="W175" s="223">
        <f ca="1">IF($Q173=2,IF(AND(ACOMPANHAMENTO="PLE",ISNUMBER($E173)),SUMIF((OFFSET(CÁLCULO!$BC$15:$BU$15,$E173,0,OFFSET(ORÇAMENTO!$D$15,CRONO!$E173,0))),"="&amp;CRONO!W$12,OFFSET(CÁLCULO!$AJ$15:$BB$15,$E173,0,OFFSET(ORÇAMENTO!$D$15,CRONO!$E173,0)))+IF(AND($E175&lt;&gt;"",$E175&lt;&gt;0),SUMIF(CÁLCULO!$BC$15:$BU$727,"="&amp;CRONO!W$12,CÁLCULO!$AJ$15:$BB$727)/(ORÇAMENTO!$X$15-CÁLCULO.TotalAdmLocal)*CRONO!$E175,0),W174*$R173),SUMIF(OFFSET($R175,1,0,$Q173-2),($L173+1)&amp;"$",OFFSET(W175,1,0,$Q173-2)))</f>
        <v>0</v>
      </c>
      <c r="X175" s="223">
        <f ca="1">IF($Q173=2,IF(AND(ACOMPANHAMENTO="PLE",ISNUMBER($E173)),SUMIF((OFFSET(CÁLCULO!$BC$15:$BU$15,$E173,0,OFFSET(ORÇAMENTO!$D$15,CRONO!$E173,0))),"="&amp;CRONO!X$12,OFFSET(CÁLCULO!$AJ$15:$BB$15,$E173,0,OFFSET(ORÇAMENTO!$D$15,CRONO!$E173,0)))+IF(AND($E175&lt;&gt;"",$E175&lt;&gt;0),SUMIF(CÁLCULO!$BC$15:$BU$727,"="&amp;CRONO!X$12,CÁLCULO!$AJ$15:$BB$727)/(ORÇAMENTO!$X$15-CÁLCULO.TotalAdmLocal)*CRONO!$E175,0),X174*$R173),SUMIF(OFFSET($R175,1,0,$Q173-2),($L173+1)&amp;"$",OFFSET(X175,1,0,$Q173-2)))</f>
        <v>0</v>
      </c>
      <c r="Y175" s="223">
        <f ca="1">IF($Q173=2,IF(AND(ACOMPANHAMENTO="PLE",ISNUMBER($E173)),SUMIF((OFFSET(CÁLCULO!$BC$15:$BU$15,$E173,0,OFFSET(ORÇAMENTO!$D$15,CRONO!$E173,0))),"="&amp;CRONO!Y$12,OFFSET(CÁLCULO!$AJ$15:$BB$15,$E173,0,OFFSET(ORÇAMENTO!$D$15,CRONO!$E173,0)))+IF(AND($E175&lt;&gt;"",$E175&lt;&gt;0),SUMIF(CÁLCULO!$BC$15:$BU$727,"="&amp;CRONO!Y$12,CÁLCULO!$AJ$15:$BB$727)/(ORÇAMENTO!$X$15-CÁLCULO.TotalAdmLocal)*CRONO!$E175,0),Y174*$R173),SUMIF(OFFSET($R175,1,0,$Q173-2),($L173+1)&amp;"$",OFFSET(Y175,1,0,$Q173-2)))</f>
        <v>0</v>
      </c>
      <c r="Z175" s="223">
        <f ca="1">IF($Q173=2,IF(AND(ACOMPANHAMENTO="PLE",ISNUMBER($E173)),SUMIF((OFFSET(CÁLCULO!$BC$15:$BU$15,$E173,0,OFFSET(ORÇAMENTO!$D$15,CRONO!$E173,0))),"="&amp;CRONO!Z$12,OFFSET(CÁLCULO!$AJ$15:$BB$15,$E173,0,OFFSET(ORÇAMENTO!$D$15,CRONO!$E173,0)))+IF(AND($E175&lt;&gt;"",$E175&lt;&gt;0),SUMIF(CÁLCULO!$BC$15:$BU$727,"="&amp;CRONO!Z$12,CÁLCULO!$AJ$15:$BB$727)/(ORÇAMENTO!$X$15-CÁLCULO.TotalAdmLocal)*CRONO!$E175,0),Z174*$R173),SUMIF(OFFSET($R175,1,0,$Q173-2),($L173+1)&amp;"$",OFFSET(Z175,1,0,$Q173-2)))</f>
        <v>0</v>
      </c>
      <c r="AA175" s="223">
        <f ca="1">IF($Q173=2,IF(AND(ACOMPANHAMENTO="PLE",ISNUMBER($E173)),SUMIF((OFFSET(CÁLCULO!$BC$15:$BU$15,$E173,0,OFFSET(ORÇAMENTO!$D$15,CRONO!$E173,0))),"="&amp;CRONO!AA$12,OFFSET(CÁLCULO!$AJ$15:$BB$15,$E173,0,OFFSET(ORÇAMENTO!$D$15,CRONO!$E173,0)))+IF(AND($E175&lt;&gt;"",$E175&lt;&gt;0),SUMIF(CÁLCULO!$BC$15:$BU$727,"="&amp;CRONO!AA$12,CÁLCULO!$AJ$15:$BB$727)/(ORÇAMENTO!$X$15-CÁLCULO.TotalAdmLocal)*CRONO!$E175,0),AA174*$R173),SUMIF(OFFSET($R175,1,0,$Q173-2),($L173+1)&amp;"$",OFFSET(AA175,1,0,$Q173-2)))</f>
        <v>0</v>
      </c>
      <c r="AB175" s="223">
        <f ca="1">IF($Q173=2,IF(AND(ACOMPANHAMENTO="PLE",ISNUMBER($E173)),SUMIF((OFFSET(CÁLCULO!$BC$15:$BU$15,$E173,0,OFFSET(ORÇAMENTO!$D$15,CRONO!$E173,0))),"="&amp;CRONO!AB$12,OFFSET(CÁLCULO!$AJ$15:$BB$15,$E173,0,OFFSET(ORÇAMENTO!$D$15,CRONO!$E173,0)))+IF(AND($E175&lt;&gt;"",$E175&lt;&gt;0),SUMIF(CÁLCULO!$BC$15:$BU$727,"="&amp;CRONO!AB$12,CÁLCULO!$AJ$15:$BB$727)/(ORÇAMENTO!$X$15-CÁLCULO.TotalAdmLocal)*CRONO!$E175,0),AB174*$R173),SUMIF(OFFSET($R175,1,0,$Q173-2),($L173+1)&amp;"$",OFFSET(AB175,1,0,$Q173-2)))</f>
        <v>0</v>
      </c>
      <c r="AC175" s="223">
        <f ca="1">IF($Q173=2,IF(AND(ACOMPANHAMENTO="PLE",ISNUMBER($E173)),SUMIF((OFFSET(CÁLCULO!$BC$15:$BU$15,$E173,0,OFFSET(ORÇAMENTO!$D$15,CRONO!$E173,0))),"="&amp;CRONO!AC$12,OFFSET(CÁLCULO!$AJ$15:$BB$15,$E173,0,OFFSET(ORÇAMENTO!$D$15,CRONO!$E173,0)))+IF(AND($E175&lt;&gt;"",$E175&lt;&gt;0),SUMIF(CÁLCULO!$BC$15:$BU$727,"="&amp;CRONO!AC$12,CÁLCULO!$AJ$15:$BB$727)/(ORÇAMENTO!$X$15-CÁLCULO.TotalAdmLocal)*CRONO!$E175,0),AC174*$R173),SUMIF(OFFSET($R175,1,0,$Q173-2),($L173+1)&amp;"$",OFFSET(AC175,1,0,$Q173-2)))</f>
        <v>0</v>
      </c>
      <c r="AD175" s="223">
        <f ca="1">IF($Q173=2,IF(AND(ACOMPANHAMENTO="PLE",ISNUMBER($E173)),SUMIF((OFFSET(CÁLCULO!$BC$15:$BU$15,$E173,0,OFFSET(ORÇAMENTO!$D$15,CRONO!$E173,0))),"="&amp;CRONO!AD$12,OFFSET(CÁLCULO!$AJ$15:$BB$15,$E173,0,OFFSET(ORÇAMENTO!$D$15,CRONO!$E173,0)))+IF(AND($E175&lt;&gt;"",$E175&lt;&gt;0),SUMIF(CÁLCULO!$BC$15:$BU$727,"="&amp;CRONO!AD$12,CÁLCULO!$AJ$15:$BB$727)/(ORÇAMENTO!$X$15-CÁLCULO.TotalAdmLocal)*CRONO!$E175,0),AD174*$R173),SUMIF(OFFSET($R175,1,0,$Q173-2),($L173+1)&amp;"$",OFFSET(AD175,1,0,$Q173-2)))</f>
        <v>0</v>
      </c>
      <c r="AE175" s="228">
        <f ca="1">IF($Q173=2,IF(AND(ACOMPANHAMENTO="PLE",ISNUMBER($E173)),SUMIF((OFFSET(CÁLCULO!$BC$15:$BU$15,$E173,0,OFFSET(ORÇAMENTO!$D$15,CRONO!$E173,0))),"="&amp;CRONO!AE$12,OFFSET(CÁLCULO!$AJ$15:$BB$15,$E173,0,OFFSET(ORÇAMENTO!$D$15,CRONO!$E173,0)))+IF(AND($E175&lt;&gt;"",$E175&lt;&gt;0),SUMIF(CÁLCULO!$BC$15:$BU$727,"="&amp;CRONO!AE$12,CÁLCULO!$AJ$15:$BB$727)/(ORÇAMENTO!$X$15-CÁLCULO.TotalAdmLocal)*CRONO!$E175,0),AE174*$R173),SUMIF(OFFSET($R175,1,0,$Q173-2),($L173+1)&amp;"$",OFFSET(AE175,1,0,$Q173-2)))</f>
        <v>0</v>
      </c>
    </row>
    <row r="176" spans="1:32" x14ac:dyDescent="0.2">
      <c r="A176" s="204">
        <f t="shared" ref="A176" ca="1" si="381">OFFSET(A176,-3,0)+1</f>
        <v>55</v>
      </c>
      <c r="B176" s="204">
        <f ca="1">IF($Q176&lt;&gt;2,0,IF($R176=0,1,IF(E177&gt;0,OFFSET(QCI!$M$13,SUBSTITUTE(E177,".",""),0),OFFSET(ORÇAMENTO!$AA$15,CRONO!$E176,0))/$R176))</f>
        <v>1</v>
      </c>
      <c r="C176" s="204">
        <f ca="1">IF($Q176&lt;&gt;2,0,IF($R176=0,1,IF(E177&gt;0,OFFSET(QCI!$N$13,SUBSTITUTE(E177,".",""),0),OFFSET(ORÇAMENTO!$AB$15,CRONO!$E176,0))/$R176))</f>
        <v>1</v>
      </c>
      <c r="D176" s="207" t="e">
        <f ca="1">IF(AND($Q176=2,ACOMPANHAMENTO="BM"),D177,D178/$R176)</f>
        <v>#DIV/0!</v>
      </c>
      <c r="E176" s="204">
        <f ca="1">IF(A176&lt;=ORÇAMENTO.MáximoListaCrono,MATCH(A176,ORÇAMENTO.ListaCrono,0),NA())</f>
        <v>511</v>
      </c>
      <c r="F176" s="204" t="str">
        <f t="shared" ref="F176" ca="1" si="382">IF(AND($E177&lt;&gt;-1,$R176&gt;0),"F","")</f>
        <v/>
      </c>
      <c r="G176" s="208" t="str">
        <f ca="1">IF(OR(R176=0,R176=""),"Linha",IF(AND(OR(ACOMPANHAMENTO="PLE",$Q176&lt;&gt;2),$E177=0),"Linha",1-SUM(T176:AF176)))</f>
        <v>Linha</v>
      </c>
      <c r="H176" s="209" t="str">
        <f ca="1">IF($E177=0,OFFSET(ORÇAMENTO!O$15,$E176,0),IF($E177&lt;&gt;-1,OFFSET(QCI!$D$13,$E177,0),""))</f>
        <v>1.54.</v>
      </c>
      <c r="I176" s="210" t="str">
        <f ca="1">IF($E177=0,OFFSET(ORÇAMENTO!R$15,$E176,0),IF($E177&lt;&gt;-1,OFFSET(QCI!$G$13,$E177,0),""))</f>
        <v>INSTALAÇÃO ELÉTRICA 110V - CAIXAS DE PASSAGEM</v>
      </c>
      <c r="J176" s="210"/>
      <c r="K176" s="210"/>
      <c r="L176" s="211">
        <f ca="1">IF($E177=0,OFFSET(ORÇAMENTO!C$15,$E176,0),1)</f>
        <v>2</v>
      </c>
      <c r="M176" s="212">
        <f ca="1">IF($E177=-1,0,IF(M$13&lt;=$L176,IF(ISERROR(MATCH(M$13,OFFSET($L176,1,0,ROW($L$260)-ROW($L176)-1),0)),ROW($L$260)-ROW($L176)-1,MATCH(M$13,OFFSET($L176,1,0,ROW($L$260)-ROW($L176)-1),0)-1),0))</f>
        <v>83</v>
      </c>
      <c r="N176" s="212">
        <f ca="1">IF($E177=-1,0,IF(N$13&lt;=$L176,IF(ISERROR(MATCH(N$13,OFFSET($L176,1,0,ROW($L$260)-ROW($L176)-1),0)),ROW($L$260)-ROW($L176)-1,MATCH(N$13,OFFSET($L176,1,0,ROW($L$260)-ROW($L176)-1),0)-1),0))</f>
        <v>2</v>
      </c>
      <c r="O176" s="212">
        <f ca="1">IF($E177=-1,0,IF(O$13&lt;=$L176,IF(ISERROR(MATCH(O$13,OFFSET($L176,1,0,ROW($L$260)-ROW($L176)-1),0)),ROW($L$260)-ROW($L176)-1,MATCH(O$13,OFFSET($L176,1,0,ROW($L$260)-ROW($L176)-1),0)-1),0))</f>
        <v>0</v>
      </c>
      <c r="P176" s="212">
        <f ca="1">IF($E177=-1,0,IF(P$13&lt;=$L176,IF(ISERROR(MATCH(P$13,OFFSET($L176,1,0,ROW($L$260)-ROW($L176)-1),0)),ROW($L$260)-ROW($L176)-1,MATCH(P$13,OFFSET($L176,1,0,ROW($L$260)-ROW($L176)-1),0)-1),0))</f>
        <v>0</v>
      </c>
      <c r="Q176" s="212">
        <f t="shared" ref="Q176" ca="1" si="383">MIN(OFFSET(L176,0,1,,L176))</f>
        <v>2</v>
      </c>
      <c r="R176" s="213">
        <f ca="1">IF($E177=0,OFFSET(ORÇAMENTO!X$15,$E176,0),IF($E177&lt;&gt;-1,OFFSET(QCI!$O$13,$E177,0),""))</f>
        <v>0</v>
      </c>
      <c r="S176" s="214" t="s">
        <v>270</v>
      </c>
      <c r="T176" s="215" t="e">
        <f t="shared" ref="T176:AE176" ca="1" si="384">IF(AND($Q176=2,ACOMPANHAMENTO="BM"),T177,T178/$R176)</f>
        <v>#DIV/0!</v>
      </c>
      <c r="U176" s="207" t="e">
        <f t="shared" ca="1" si="384"/>
        <v>#DIV/0!</v>
      </c>
      <c r="V176" s="207" t="e">
        <f t="shared" ca="1" si="384"/>
        <v>#DIV/0!</v>
      </c>
      <c r="W176" s="207" t="e">
        <f t="shared" ca="1" si="384"/>
        <v>#DIV/0!</v>
      </c>
      <c r="X176" s="207" t="e">
        <f t="shared" ca="1" si="384"/>
        <v>#DIV/0!</v>
      </c>
      <c r="Y176" s="207" t="e">
        <f t="shared" ca="1" si="384"/>
        <v>#DIV/0!</v>
      </c>
      <c r="Z176" s="207" t="e">
        <f t="shared" ca="1" si="384"/>
        <v>#DIV/0!</v>
      </c>
      <c r="AA176" s="207" t="e">
        <f t="shared" ca="1" si="384"/>
        <v>#DIV/0!</v>
      </c>
      <c r="AB176" s="207" t="e">
        <f t="shared" ca="1" si="384"/>
        <v>#DIV/0!</v>
      </c>
      <c r="AC176" s="207" t="e">
        <f t="shared" ca="1" si="384"/>
        <v>#DIV/0!</v>
      </c>
      <c r="AD176" s="207" t="e">
        <f t="shared" ca="1" si="384"/>
        <v>#DIV/0!</v>
      </c>
      <c r="AE176" s="216" t="e">
        <f t="shared" ca="1" si="384"/>
        <v>#DIV/0!</v>
      </c>
    </row>
    <row r="177" spans="1:32" ht="12.75" customHeight="1" x14ac:dyDescent="0.2">
      <c r="D177" s="569"/>
      <c r="E177" s="204">
        <f ca="1">IF(ISERROR(E176),IF(1+COUNTIF($L$13:OFFSET(L176,-1,0),1)&lt;=MAX(QCI!$D$13:$D$24),1+COUNTIF($L$13:OFFSET(L176,-1,0),1),-1),0)</f>
        <v>0</v>
      </c>
      <c r="F177" s="204" t="str">
        <f t="shared" ref="F177" ca="1" si="385">IF(AND($E177&lt;&gt;-1,$R176&gt;0),"F","")</f>
        <v/>
      </c>
      <c r="G177" s="217" t="str">
        <f ca="1">IF(OR(R176=0,R176=""),"vazia",IF(AND(OR(ACOMPANHAMENTO="PLE",$Q176&lt;&gt;2),$E177=0),"calculada","--&gt;"))</f>
        <v>vazia</v>
      </c>
      <c r="H177" s="218"/>
      <c r="I177" s="219" t="str">
        <f t="shared" ref="I177" ca="1" si="386">IF(AND(G176&lt;&gt;0,ISNUMBER(G176)),"PREENCHA ESTA LINHA --&gt;","")</f>
        <v/>
      </c>
      <c r="J177" s="219"/>
      <c r="K177" s="219"/>
      <c r="L177" s="220"/>
      <c r="M177" s="220"/>
      <c r="N177" s="220"/>
      <c r="O177" s="220"/>
      <c r="P177" s="220"/>
      <c r="Q177" s="220"/>
      <c r="R177" s="221"/>
      <c r="S177" s="222"/>
      <c r="T177" s="570"/>
      <c r="U177" s="569"/>
      <c r="V177" s="569"/>
      <c r="W177" s="569"/>
      <c r="X177" s="569"/>
      <c r="Y177" s="569"/>
      <c r="Z177" s="569"/>
      <c r="AA177" s="569"/>
      <c r="AB177" s="569"/>
      <c r="AC177" s="569"/>
      <c r="AD177" s="569"/>
      <c r="AE177" s="571"/>
      <c r="AF177" s="533"/>
    </row>
    <row r="178" spans="1:32" ht="0.2" hidden="1" customHeight="1" x14ac:dyDescent="0.2">
      <c r="D178" s="223">
        <f ca="1">IF($Q176=2,IF(AND(ACOMPANHAMENTO="PLE",ISNUMBER($E176)),SUMIF((OFFSET(CÁLCULO!$BC$15:$BU$15,$E176,0,OFFSET(ORÇAMENTO!$D$15,CRONO!$E176,0))),"="&amp;CRONO!D$12,OFFSET(CÁLCULO!$AJ$15:$BB$15,$E176,0,OFFSET(ORÇAMENTO!$D$15,CRONO!$E176,0)))+IF(AND($E178&lt;&gt;"",$E178&lt;&gt;0),SUMIF(CÁLCULO!$BC$15:$BU$727,"="&amp;CRONO!D$12,CÁLCULO!$AJ$15:$BB$727)/(ORÇAMENTO!$X$15-CÁLCULO.TotalAdmLocal)*CRONO!$E178,0),D177*$R176),SUMIF(OFFSET($R178,1,0,$Q176-2),($L176+1)&amp;"$",OFFSET(D178,1,0,$Q176-2)))</f>
        <v>0</v>
      </c>
      <c r="E178" s="204" t="str">
        <f ca="1">IF(OR($Q176&lt;&gt;2,AUTOEVENTO&lt;&gt;"manual",$E177&gt;0),"",SUMIF(OFFSET(CÁLCULO!$M$15,CRONO!$E176,0,OFFSET(ORÇAMENTO!$D$15,CRONO!$E176,0)),1,OFFSET(ORÇAMENTO!$X$15,CRONO!$E176,0,OFFSET(ORÇAMENTO!$D$15,CRONO!$E176,0))))</f>
        <v/>
      </c>
      <c r="G178" s="224"/>
      <c r="R178" s="225" t="str">
        <f t="shared" ref="R178" ca="1" si="387">L176&amp;"$"</f>
        <v>2$</v>
      </c>
      <c r="S178" s="226"/>
      <c r="T178" s="227">
        <f ca="1">IF($Q176=2,IF(AND(ACOMPANHAMENTO="PLE",ISNUMBER($E176)),SUMIF((OFFSET(CÁLCULO!$BC$15:$BU$15,$E176,0,OFFSET(ORÇAMENTO!$D$15,CRONO!$E176,0))),"&lt;="&amp;CRONO!T$12,OFFSET(CÁLCULO!$AJ$15:$BB$15,$E176,0,OFFSET(ORÇAMENTO!$D$15,CRONO!$E176,0)))+IF(AND($E178&lt;&gt;"",$E178&lt;&gt;0),SUMIF(CÁLCULO!$BC$15:$BU$727,"&lt;="&amp;CRONO!T$12,CÁLCULO!$AJ$15:$BB$727)/(ORÇAMENTO!$X$15-CÁLCULO.TotalAdmLocal)*CRONO!$E178,0),T177*$R176),SUMIF(OFFSET($R178,1,0,$Q176-2),($L176+1)&amp;"$",OFFSET(T178,1,0,$Q176-2)))</f>
        <v>0</v>
      </c>
      <c r="U178" s="223">
        <f ca="1">IF($Q176=2,IF(AND(ACOMPANHAMENTO="PLE",ISNUMBER($E176)),SUMIF((OFFSET(CÁLCULO!$BC$15:$BU$15,$E176,0,OFFSET(ORÇAMENTO!$D$15,CRONO!$E176,0))),"="&amp;CRONO!U$12,OFFSET(CÁLCULO!$AJ$15:$BB$15,$E176,0,OFFSET(ORÇAMENTO!$D$15,CRONO!$E176,0)))+IF(AND($E178&lt;&gt;"",$E178&lt;&gt;0),SUMIF(CÁLCULO!$BC$15:$BU$727,"="&amp;CRONO!U$12,CÁLCULO!$AJ$15:$BB$727)/(ORÇAMENTO!$X$15-CÁLCULO.TotalAdmLocal)*CRONO!$E178,0),U177*$R176),SUMIF(OFFSET($R178,1,0,$Q176-2),($L176+1)&amp;"$",OFFSET(U178,1,0,$Q176-2)))</f>
        <v>0</v>
      </c>
      <c r="V178" s="223">
        <f ca="1">IF($Q176=2,IF(AND(ACOMPANHAMENTO="PLE",ISNUMBER($E176)),SUMIF((OFFSET(CÁLCULO!$BC$15:$BU$15,$E176,0,OFFSET(ORÇAMENTO!$D$15,CRONO!$E176,0))),"="&amp;CRONO!V$12,OFFSET(CÁLCULO!$AJ$15:$BB$15,$E176,0,OFFSET(ORÇAMENTO!$D$15,CRONO!$E176,0)))+IF(AND($E178&lt;&gt;"",$E178&lt;&gt;0),SUMIF(CÁLCULO!$BC$15:$BU$727,"="&amp;CRONO!V$12,CÁLCULO!$AJ$15:$BB$727)/(ORÇAMENTO!$X$15-CÁLCULO.TotalAdmLocal)*CRONO!$E178,0),V177*$R176),SUMIF(OFFSET($R178,1,0,$Q176-2),($L176+1)&amp;"$",OFFSET(V178,1,0,$Q176-2)))</f>
        <v>0</v>
      </c>
      <c r="W178" s="223">
        <f ca="1">IF($Q176=2,IF(AND(ACOMPANHAMENTO="PLE",ISNUMBER($E176)),SUMIF((OFFSET(CÁLCULO!$BC$15:$BU$15,$E176,0,OFFSET(ORÇAMENTO!$D$15,CRONO!$E176,0))),"="&amp;CRONO!W$12,OFFSET(CÁLCULO!$AJ$15:$BB$15,$E176,0,OFFSET(ORÇAMENTO!$D$15,CRONO!$E176,0)))+IF(AND($E178&lt;&gt;"",$E178&lt;&gt;0),SUMIF(CÁLCULO!$BC$15:$BU$727,"="&amp;CRONO!W$12,CÁLCULO!$AJ$15:$BB$727)/(ORÇAMENTO!$X$15-CÁLCULO.TotalAdmLocal)*CRONO!$E178,0),W177*$R176),SUMIF(OFFSET($R178,1,0,$Q176-2),($L176+1)&amp;"$",OFFSET(W178,1,0,$Q176-2)))</f>
        <v>0</v>
      </c>
      <c r="X178" s="223">
        <f ca="1">IF($Q176=2,IF(AND(ACOMPANHAMENTO="PLE",ISNUMBER($E176)),SUMIF((OFFSET(CÁLCULO!$BC$15:$BU$15,$E176,0,OFFSET(ORÇAMENTO!$D$15,CRONO!$E176,0))),"="&amp;CRONO!X$12,OFFSET(CÁLCULO!$AJ$15:$BB$15,$E176,0,OFFSET(ORÇAMENTO!$D$15,CRONO!$E176,0)))+IF(AND($E178&lt;&gt;"",$E178&lt;&gt;0),SUMIF(CÁLCULO!$BC$15:$BU$727,"="&amp;CRONO!X$12,CÁLCULO!$AJ$15:$BB$727)/(ORÇAMENTO!$X$15-CÁLCULO.TotalAdmLocal)*CRONO!$E178,0),X177*$R176),SUMIF(OFFSET($R178,1,0,$Q176-2),($L176+1)&amp;"$",OFFSET(X178,1,0,$Q176-2)))</f>
        <v>0</v>
      </c>
      <c r="Y178" s="223">
        <f ca="1">IF($Q176=2,IF(AND(ACOMPANHAMENTO="PLE",ISNUMBER($E176)),SUMIF((OFFSET(CÁLCULO!$BC$15:$BU$15,$E176,0,OFFSET(ORÇAMENTO!$D$15,CRONO!$E176,0))),"="&amp;CRONO!Y$12,OFFSET(CÁLCULO!$AJ$15:$BB$15,$E176,0,OFFSET(ORÇAMENTO!$D$15,CRONO!$E176,0)))+IF(AND($E178&lt;&gt;"",$E178&lt;&gt;0),SUMIF(CÁLCULO!$BC$15:$BU$727,"="&amp;CRONO!Y$12,CÁLCULO!$AJ$15:$BB$727)/(ORÇAMENTO!$X$15-CÁLCULO.TotalAdmLocal)*CRONO!$E178,0),Y177*$R176),SUMIF(OFFSET($R178,1,0,$Q176-2),($L176+1)&amp;"$",OFFSET(Y178,1,0,$Q176-2)))</f>
        <v>0</v>
      </c>
      <c r="Z178" s="223">
        <f ca="1">IF($Q176=2,IF(AND(ACOMPANHAMENTO="PLE",ISNUMBER($E176)),SUMIF((OFFSET(CÁLCULO!$BC$15:$BU$15,$E176,0,OFFSET(ORÇAMENTO!$D$15,CRONO!$E176,0))),"="&amp;CRONO!Z$12,OFFSET(CÁLCULO!$AJ$15:$BB$15,$E176,0,OFFSET(ORÇAMENTO!$D$15,CRONO!$E176,0)))+IF(AND($E178&lt;&gt;"",$E178&lt;&gt;0),SUMIF(CÁLCULO!$BC$15:$BU$727,"="&amp;CRONO!Z$12,CÁLCULO!$AJ$15:$BB$727)/(ORÇAMENTO!$X$15-CÁLCULO.TotalAdmLocal)*CRONO!$E178,0),Z177*$R176),SUMIF(OFFSET($R178,1,0,$Q176-2),($L176+1)&amp;"$",OFFSET(Z178,1,0,$Q176-2)))</f>
        <v>0</v>
      </c>
      <c r="AA178" s="223">
        <f ca="1">IF($Q176=2,IF(AND(ACOMPANHAMENTO="PLE",ISNUMBER($E176)),SUMIF((OFFSET(CÁLCULO!$BC$15:$BU$15,$E176,0,OFFSET(ORÇAMENTO!$D$15,CRONO!$E176,0))),"="&amp;CRONO!AA$12,OFFSET(CÁLCULO!$AJ$15:$BB$15,$E176,0,OFFSET(ORÇAMENTO!$D$15,CRONO!$E176,0)))+IF(AND($E178&lt;&gt;"",$E178&lt;&gt;0),SUMIF(CÁLCULO!$BC$15:$BU$727,"="&amp;CRONO!AA$12,CÁLCULO!$AJ$15:$BB$727)/(ORÇAMENTO!$X$15-CÁLCULO.TotalAdmLocal)*CRONO!$E178,0),AA177*$R176),SUMIF(OFFSET($R178,1,0,$Q176-2),($L176+1)&amp;"$",OFFSET(AA178,1,0,$Q176-2)))</f>
        <v>0</v>
      </c>
      <c r="AB178" s="223">
        <f ca="1">IF($Q176=2,IF(AND(ACOMPANHAMENTO="PLE",ISNUMBER($E176)),SUMIF((OFFSET(CÁLCULO!$BC$15:$BU$15,$E176,0,OFFSET(ORÇAMENTO!$D$15,CRONO!$E176,0))),"="&amp;CRONO!AB$12,OFFSET(CÁLCULO!$AJ$15:$BB$15,$E176,0,OFFSET(ORÇAMENTO!$D$15,CRONO!$E176,0)))+IF(AND($E178&lt;&gt;"",$E178&lt;&gt;0),SUMIF(CÁLCULO!$BC$15:$BU$727,"="&amp;CRONO!AB$12,CÁLCULO!$AJ$15:$BB$727)/(ORÇAMENTO!$X$15-CÁLCULO.TotalAdmLocal)*CRONO!$E178,0),AB177*$R176),SUMIF(OFFSET($R178,1,0,$Q176-2),($L176+1)&amp;"$",OFFSET(AB178,1,0,$Q176-2)))</f>
        <v>0</v>
      </c>
      <c r="AC178" s="223">
        <f ca="1">IF($Q176=2,IF(AND(ACOMPANHAMENTO="PLE",ISNUMBER($E176)),SUMIF((OFFSET(CÁLCULO!$BC$15:$BU$15,$E176,0,OFFSET(ORÇAMENTO!$D$15,CRONO!$E176,0))),"="&amp;CRONO!AC$12,OFFSET(CÁLCULO!$AJ$15:$BB$15,$E176,0,OFFSET(ORÇAMENTO!$D$15,CRONO!$E176,0)))+IF(AND($E178&lt;&gt;"",$E178&lt;&gt;0),SUMIF(CÁLCULO!$BC$15:$BU$727,"="&amp;CRONO!AC$12,CÁLCULO!$AJ$15:$BB$727)/(ORÇAMENTO!$X$15-CÁLCULO.TotalAdmLocal)*CRONO!$E178,0),AC177*$R176),SUMIF(OFFSET($R178,1,0,$Q176-2),($L176+1)&amp;"$",OFFSET(AC178,1,0,$Q176-2)))</f>
        <v>0</v>
      </c>
      <c r="AD178" s="223">
        <f ca="1">IF($Q176=2,IF(AND(ACOMPANHAMENTO="PLE",ISNUMBER($E176)),SUMIF((OFFSET(CÁLCULO!$BC$15:$BU$15,$E176,0,OFFSET(ORÇAMENTO!$D$15,CRONO!$E176,0))),"="&amp;CRONO!AD$12,OFFSET(CÁLCULO!$AJ$15:$BB$15,$E176,0,OFFSET(ORÇAMENTO!$D$15,CRONO!$E176,0)))+IF(AND($E178&lt;&gt;"",$E178&lt;&gt;0),SUMIF(CÁLCULO!$BC$15:$BU$727,"="&amp;CRONO!AD$12,CÁLCULO!$AJ$15:$BB$727)/(ORÇAMENTO!$X$15-CÁLCULO.TotalAdmLocal)*CRONO!$E178,0),AD177*$R176),SUMIF(OFFSET($R178,1,0,$Q176-2),($L176+1)&amp;"$",OFFSET(AD178,1,0,$Q176-2)))</f>
        <v>0</v>
      </c>
      <c r="AE178" s="228">
        <f ca="1">IF($Q176=2,IF(AND(ACOMPANHAMENTO="PLE",ISNUMBER($E176)),SUMIF((OFFSET(CÁLCULO!$BC$15:$BU$15,$E176,0,OFFSET(ORÇAMENTO!$D$15,CRONO!$E176,0))),"="&amp;CRONO!AE$12,OFFSET(CÁLCULO!$AJ$15:$BB$15,$E176,0,OFFSET(ORÇAMENTO!$D$15,CRONO!$E176,0)))+IF(AND($E178&lt;&gt;"",$E178&lt;&gt;0),SUMIF(CÁLCULO!$BC$15:$BU$727,"="&amp;CRONO!AE$12,CÁLCULO!$AJ$15:$BB$727)/(ORÇAMENTO!$X$15-CÁLCULO.TotalAdmLocal)*CRONO!$E178,0),AE177*$R176),SUMIF(OFFSET($R178,1,0,$Q176-2),($L176+1)&amp;"$",OFFSET(AE178,1,0,$Q176-2)))</f>
        <v>0</v>
      </c>
    </row>
    <row r="179" spans="1:32" x14ac:dyDescent="0.2">
      <c r="A179" s="204">
        <f t="shared" ref="A179" ca="1" si="388">OFFSET(A179,-3,0)+1</f>
        <v>56</v>
      </c>
      <c r="B179" s="204">
        <f ca="1">IF($Q179&lt;&gt;2,0,IF($R179=0,1,IF(E180&gt;0,OFFSET(QCI!$M$13,SUBSTITUTE(E180,".",""),0),OFFSET(ORÇAMENTO!$AA$15,CRONO!$E179,0))/$R179))</f>
        <v>1</v>
      </c>
      <c r="C179" s="204">
        <f ca="1">IF($Q179&lt;&gt;2,0,IF($R179=0,1,IF(E180&gt;0,OFFSET(QCI!$N$13,SUBSTITUTE(E180,".",""),0),OFFSET(ORÇAMENTO!$AB$15,CRONO!$E179,0))/$R179))</f>
        <v>1</v>
      </c>
      <c r="D179" s="207" t="e">
        <f ca="1">IF(AND($Q179=2,ACOMPANHAMENTO="BM"),D180,D181/$R179)</f>
        <v>#DIV/0!</v>
      </c>
      <c r="E179" s="204">
        <f ca="1">IF(A179&lt;=ORÇAMENTO.MáximoListaCrono,MATCH(A179,ORÇAMENTO.ListaCrono,0),NA())</f>
        <v>515</v>
      </c>
      <c r="F179" s="204" t="str">
        <f t="shared" ref="F179" ca="1" si="389">IF(AND($E180&lt;&gt;-1,$R179&gt;0),"F","")</f>
        <v/>
      </c>
      <c r="G179" s="208" t="str">
        <f ca="1">IF(OR(R179=0,R179=""),"Linha",IF(AND(OR(ACOMPANHAMENTO="PLE",$Q179&lt;&gt;2),$E180=0),"Linha",1-SUM(T179:AF179)))</f>
        <v>Linha</v>
      </c>
      <c r="H179" s="209" t="str">
        <f ca="1">IF($E180=0,OFFSET(ORÇAMENTO!O$15,$E179,0),IF($E180&lt;&gt;-1,OFFSET(QCI!$D$13,$E180,0),""))</f>
        <v>1.55.</v>
      </c>
      <c r="I179" s="210" t="str">
        <f ca="1">IF($E180=0,OFFSET(ORÇAMENTO!R$15,$E179,0),IF($E180&lt;&gt;-1,OFFSET(QCI!$G$13,$E180,0),""))</f>
        <v>INSTALAÇÃO ELÉTRICA 110V - DISPOSITIVOS ELÉTRICOS</v>
      </c>
      <c r="J179" s="210"/>
      <c r="K179" s="210"/>
      <c r="L179" s="211">
        <f ca="1">IF($E180=0,OFFSET(ORÇAMENTO!C$15,$E179,0),1)</f>
        <v>2</v>
      </c>
      <c r="M179" s="212">
        <f ca="1">IF($E180=-1,0,IF(M$13&lt;=$L179,IF(ISERROR(MATCH(M$13,OFFSET($L179,1,0,ROW($L$260)-ROW($L179)-1),0)),ROW($L$260)-ROW($L179)-1,MATCH(M$13,OFFSET($L179,1,0,ROW($L$260)-ROW($L179)-1),0)-1),0))</f>
        <v>80</v>
      </c>
      <c r="N179" s="212">
        <f ca="1">IF($E180=-1,0,IF(N$13&lt;=$L179,IF(ISERROR(MATCH(N$13,OFFSET($L179,1,0,ROW($L$260)-ROW($L179)-1),0)),ROW($L$260)-ROW($L179)-1,MATCH(N$13,OFFSET($L179,1,0,ROW($L$260)-ROW($L179)-1),0)-1),0))</f>
        <v>2</v>
      </c>
      <c r="O179" s="212">
        <f ca="1">IF($E180=-1,0,IF(O$13&lt;=$L179,IF(ISERROR(MATCH(O$13,OFFSET($L179,1,0,ROW($L$260)-ROW($L179)-1),0)),ROW($L$260)-ROW($L179)-1,MATCH(O$13,OFFSET($L179,1,0,ROW($L$260)-ROW($L179)-1),0)-1),0))</f>
        <v>0</v>
      </c>
      <c r="P179" s="212">
        <f ca="1">IF($E180=-1,0,IF(P$13&lt;=$L179,IF(ISERROR(MATCH(P$13,OFFSET($L179,1,0,ROW($L$260)-ROW($L179)-1),0)),ROW($L$260)-ROW($L179)-1,MATCH(P$13,OFFSET($L179,1,0,ROW($L$260)-ROW($L179)-1),0)-1),0))</f>
        <v>0</v>
      </c>
      <c r="Q179" s="212">
        <f t="shared" ref="Q179" ca="1" si="390">MIN(OFFSET(L179,0,1,,L179))</f>
        <v>2</v>
      </c>
      <c r="R179" s="213">
        <f ca="1">IF($E180=0,OFFSET(ORÇAMENTO!X$15,$E179,0),IF($E180&lt;&gt;-1,OFFSET(QCI!$O$13,$E180,0),""))</f>
        <v>0</v>
      </c>
      <c r="S179" s="214" t="s">
        <v>270</v>
      </c>
      <c r="T179" s="215" t="e">
        <f t="shared" ref="T179:AE179" ca="1" si="391">IF(AND($Q179=2,ACOMPANHAMENTO="BM"),T180,T181/$R179)</f>
        <v>#DIV/0!</v>
      </c>
      <c r="U179" s="207" t="e">
        <f t="shared" ca="1" si="391"/>
        <v>#DIV/0!</v>
      </c>
      <c r="V179" s="207" t="e">
        <f t="shared" ca="1" si="391"/>
        <v>#DIV/0!</v>
      </c>
      <c r="W179" s="207" t="e">
        <f t="shared" ca="1" si="391"/>
        <v>#DIV/0!</v>
      </c>
      <c r="X179" s="207" t="e">
        <f t="shared" ca="1" si="391"/>
        <v>#DIV/0!</v>
      </c>
      <c r="Y179" s="207" t="e">
        <f t="shared" ca="1" si="391"/>
        <v>#DIV/0!</v>
      </c>
      <c r="Z179" s="207" t="e">
        <f t="shared" ca="1" si="391"/>
        <v>#DIV/0!</v>
      </c>
      <c r="AA179" s="207" t="e">
        <f t="shared" ca="1" si="391"/>
        <v>#DIV/0!</v>
      </c>
      <c r="AB179" s="207" t="e">
        <f t="shared" ca="1" si="391"/>
        <v>#DIV/0!</v>
      </c>
      <c r="AC179" s="207" t="e">
        <f t="shared" ca="1" si="391"/>
        <v>#DIV/0!</v>
      </c>
      <c r="AD179" s="207" t="e">
        <f t="shared" ca="1" si="391"/>
        <v>#DIV/0!</v>
      </c>
      <c r="AE179" s="216" t="e">
        <f t="shared" ca="1" si="391"/>
        <v>#DIV/0!</v>
      </c>
    </row>
    <row r="180" spans="1:32" ht="12.75" customHeight="1" x14ac:dyDescent="0.2">
      <c r="D180" s="569"/>
      <c r="E180" s="204">
        <f ca="1">IF(ISERROR(E179),IF(1+COUNTIF($L$13:OFFSET(L179,-1,0),1)&lt;=MAX(QCI!$D$13:$D$24),1+COUNTIF($L$13:OFFSET(L179,-1,0),1),-1),0)</f>
        <v>0</v>
      </c>
      <c r="F180" s="204" t="str">
        <f t="shared" ref="F180" ca="1" si="392">IF(AND($E180&lt;&gt;-1,$R179&gt;0),"F","")</f>
        <v/>
      </c>
      <c r="G180" s="217" t="str">
        <f ca="1">IF(OR(R179=0,R179=""),"vazia",IF(AND(OR(ACOMPANHAMENTO="PLE",$Q179&lt;&gt;2),$E180=0),"calculada","--&gt;"))</f>
        <v>vazia</v>
      </c>
      <c r="H180" s="218"/>
      <c r="I180" s="219" t="str">
        <f t="shared" ref="I180" ca="1" si="393">IF(AND(G179&lt;&gt;0,ISNUMBER(G179)),"PREENCHA ESTA LINHA --&gt;","")</f>
        <v/>
      </c>
      <c r="J180" s="219"/>
      <c r="K180" s="219"/>
      <c r="L180" s="220"/>
      <c r="M180" s="220"/>
      <c r="N180" s="220"/>
      <c r="O180" s="220"/>
      <c r="P180" s="220"/>
      <c r="Q180" s="220"/>
      <c r="R180" s="221"/>
      <c r="S180" s="222"/>
      <c r="T180" s="570"/>
      <c r="U180" s="569"/>
      <c r="V180" s="569"/>
      <c r="W180" s="569"/>
      <c r="X180" s="569"/>
      <c r="Y180" s="569"/>
      <c r="Z180" s="569"/>
      <c r="AA180" s="569"/>
      <c r="AB180" s="569"/>
      <c r="AC180" s="569"/>
      <c r="AD180" s="569"/>
      <c r="AE180" s="571"/>
      <c r="AF180" s="533"/>
    </row>
    <row r="181" spans="1:32" ht="0.2" hidden="1" customHeight="1" x14ac:dyDescent="0.2">
      <c r="D181" s="223">
        <f ca="1">IF($Q179=2,IF(AND(ACOMPANHAMENTO="PLE",ISNUMBER($E179)),SUMIF((OFFSET(CÁLCULO!$BC$15:$BU$15,$E179,0,OFFSET(ORÇAMENTO!$D$15,CRONO!$E179,0))),"="&amp;CRONO!D$12,OFFSET(CÁLCULO!$AJ$15:$BB$15,$E179,0,OFFSET(ORÇAMENTO!$D$15,CRONO!$E179,0)))+IF(AND($E181&lt;&gt;"",$E181&lt;&gt;0),SUMIF(CÁLCULO!$BC$15:$BU$727,"="&amp;CRONO!D$12,CÁLCULO!$AJ$15:$BB$727)/(ORÇAMENTO!$X$15-CÁLCULO.TotalAdmLocal)*CRONO!$E181,0),D180*$R179),SUMIF(OFFSET($R181,1,0,$Q179-2),($L179+1)&amp;"$",OFFSET(D181,1,0,$Q179-2)))</f>
        <v>0</v>
      </c>
      <c r="E181" s="204" t="str">
        <f ca="1">IF(OR($Q179&lt;&gt;2,AUTOEVENTO&lt;&gt;"manual",$E180&gt;0),"",SUMIF(OFFSET(CÁLCULO!$M$15,CRONO!$E179,0,OFFSET(ORÇAMENTO!$D$15,CRONO!$E179,0)),1,OFFSET(ORÇAMENTO!$X$15,CRONO!$E179,0,OFFSET(ORÇAMENTO!$D$15,CRONO!$E179,0))))</f>
        <v/>
      </c>
      <c r="G181" s="224"/>
      <c r="R181" s="225" t="str">
        <f t="shared" ref="R181" ca="1" si="394">L179&amp;"$"</f>
        <v>2$</v>
      </c>
      <c r="S181" s="226"/>
      <c r="T181" s="227">
        <f ca="1">IF($Q179=2,IF(AND(ACOMPANHAMENTO="PLE",ISNUMBER($E179)),SUMIF((OFFSET(CÁLCULO!$BC$15:$BU$15,$E179,0,OFFSET(ORÇAMENTO!$D$15,CRONO!$E179,0))),"&lt;="&amp;CRONO!T$12,OFFSET(CÁLCULO!$AJ$15:$BB$15,$E179,0,OFFSET(ORÇAMENTO!$D$15,CRONO!$E179,0)))+IF(AND($E181&lt;&gt;"",$E181&lt;&gt;0),SUMIF(CÁLCULO!$BC$15:$BU$727,"&lt;="&amp;CRONO!T$12,CÁLCULO!$AJ$15:$BB$727)/(ORÇAMENTO!$X$15-CÁLCULO.TotalAdmLocal)*CRONO!$E181,0),T180*$R179),SUMIF(OFFSET($R181,1,0,$Q179-2),($L179+1)&amp;"$",OFFSET(T181,1,0,$Q179-2)))</f>
        <v>0</v>
      </c>
      <c r="U181" s="223">
        <f ca="1">IF($Q179=2,IF(AND(ACOMPANHAMENTO="PLE",ISNUMBER($E179)),SUMIF((OFFSET(CÁLCULO!$BC$15:$BU$15,$E179,0,OFFSET(ORÇAMENTO!$D$15,CRONO!$E179,0))),"="&amp;CRONO!U$12,OFFSET(CÁLCULO!$AJ$15:$BB$15,$E179,0,OFFSET(ORÇAMENTO!$D$15,CRONO!$E179,0)))+IF(AND($E181&lt;&gt;"",$E181&lt;&gt;0),SUMIF(CÁLCULO!$BC$15:$BU$727,"="&amp;CRONO!U$12,CÁLCULO!$AJ$15:$BB$727)/(ORÇAMENTO!$X$15-CÁLCULO.TotalAdmLocal)*CRONO!$E181,0),U180*$R179),SUMIF(OFFSET($R181,1,0,$Q179-2),($L179+1)&amp;"$",OFFSET(U181,1,0,$Q179-2)))</f>
        <v>0</v>
      </c>
      <c r="V181" s="223">
        <f ca="1">IF($Q179=2,IF(AND(ACOMPANHAMENTO="PLE",ISNUMBER($E179)),SUMIF((OFFSET(CÁLCULO!$BC$15:$BU$15,$E179,0,OFFSET(ORÇAMENTO!$D$15,CRONO!$E179,0))),"="&amp;CRONO!V$12,OFFSET(CÁLCULO!$AJ$15:$BB$15,$E179,0,OFFSET(ORÇAMENTO!$D$15,CRONO!$E179,0)))+IF(AND($E181&lt;&gt;"",$E181&lt;&gt;0),SUMIF(CÁLCULO!$BC$15:$BU$727,"="&amp;CRONO!V$12,CÁLCULO!$AJ$15:$BB$727)/(ORÇAMENTO!$X$15-CÁLCULO.TotalAdmLocal)*CRONO!$E181,0),V180*$R179),SUMIF(OFFSET($R181,1,0,$Q179-2),($L179+1)&amp;"$",OFFSET(V181,1,0,$Q179-2)))</f>
        <v>0</v>
      </c>
      <c r="W181" s="223">
        <f ca="1">IF($Q179=2,IF(AND(ACOMPANHAMENTO="PLE",ISNUMBER($E179)),SUMIF((OFFSET(CÁLCULO!$BC$15:$BU$15,$E179,0,OFFSET(ORÇAMENTO!$D$15,CRONO!$E179,0))),"="&amp;CRONO!W$12,OFFSET(CÁLCULO!$AJ$15:$BB$15,$E179,0,OFFSET(ORÇAMENTO!$D$15,CRONO!$E179,0)))+IF(AND($E181&lt;&gt;"",$E181&lt;&gt;0),SUMIF(CÁLCULO!$BC$15:$BU$727,"="&amp;CRONO!W$12,CÁLCULO!$AJ$15:$BB$727)/(ORÇAMENTO!$X$15-CÁLCULO.TotalAdmLocal)*CRONO!$E181,0),W180*$R179),SUMIF(OFFSET($R181,1,0,$Q179-2),($L179+1)&amp;"$",OFFSET(W181,1,0,$Q179-2)))</f>
        <v>0</v>
      </c>
      <c r="X181" s="223">
        <f ca="1">IF($Q179=2,IF(AND(ACOMPANHAMENTO="PLE",ISNUMBER($E179)),SUMIF((OFFSET(CÁLCULO!$BC$15:$BU$15,$E179,0,OFFSET(ORÇAMENTO!$D$15,CRONO!$E179,0))),"="&amp;CRONO!X$12,OFFSET(CÁLCULO!$AJ$15:$BB$15,$E179,0,OFFSET(ORÇAMENTO!$D$15,CRONO!$E179,0)))+IF(AND($E181&lt;&gt;"",$E181&lt;&gt;0),SUMIF(CÁLCULO!$BC$15:$BU$727,"="&amp;CRONO!X$12,CÁLCULO!$AJ$15:$BB$727)/(ORÇAMENTO!$X$15-CÁLCULO.TotalAdmLocal)*CRONO!$E181,0),X180*$R179),SUMIF(OFFSET($R181,1,0,$Q179-2),($L179+1)&amp;"$",OFFSET(X181,1,0,$Q179-2)))</f>
        <v>0</v>
      </c>
      <c r="Y181" s="223">
        <f ca="1">IF($Q179=2,IF(AND(ACOMPANHAMENTO="PLE",ISNUMBER($E179)),SUMIF((OFFSET(CÁLCULO!$BC$15:$BU$15,$E179,0,OFFSET(ORÇAMENTO!$D$15,CRONO!$E179,0))),"="&amp;CRONO!Y$12,OFFSET(CÁLCULO!$AJ$15:$BB$15,$E179,0,OFFSET(ORÇAMENTO!$D$15,CRONO!$E179,0)))+IF(AND($E181&lt;&gt;"",$E181&lt;&gt;0),SUMIF(CÁLCULO!$BC$15:$BU$727,"="&amp;CRONO!Y$12,CÁLCULO!$AJ$15:$BB$727)/(ORÇAMENTO!$X$15-CÁLCULO.TotalAdmLocal)*CRONO!$E181,0),Y180*$R179),SUMIF(OFFSET($R181,1,0,$Q179-2),($L179+1)&amp;"$",OFFSET(Y181,1,0,$Q179-2)))</f>
        <v>0</v>
      </c>
      <c r="Z181" s="223">
        <f ca="1">IF($Q179=2,IF(AND(ACOMPANHAMENTO="PLE",ISNUMBER($E179)),SUMIF((OFFSET(CÁLCULO!$BC$15:$BU$15,$E179,0,OFFSET(ORÇAMENTO!$D$15,CRONO!$E179,0))),"="&amp;CRONO!Z$12,OFFSET(CÁLCULO!$AJ$15:$BB$15,$E179,0,OFFSET(ORÇAMENTO!$D$15,CRONO!$E179,0)))+IF(AND($E181&lt;&gt;"",$E181&lt;&gt;0),SUMIF(CÁLCULO!$BC$15:$BU$727,"="&amp;CRONO!Z$12,CÁLCULO!$AJ$15:$BB$727)/(ORÇAMENTO!$X$15-CÁLCULO.TotalAdmLocal)*CRONO!$E181,0),Z180*$R179),SUMIF(OFFSET($R181,1,0,$Q179-2),($L179+1)&amp;"$",OFFSET(Z181,1,0,$Q179-2)))</f>
        <v>0</v>
      </c>
      <c r="AA181" s="223">
        <f ca="1">IF($Q179=2,IF(AND(ACOMPANHAMENTO="PLE",ISNUMBER($E179)),SUMIF((OFFSET(CÁLCULO!$BC$15:$BU$15,$E179,0,OFFSET(ORÇAMENTO!$D$15,CRONO!$E179,0))),"="&amp;CRONO!AA$12,OFFSET(CÁLCULO!$AJ$15:$BB$15,$E179,0,OFFSET(ORÇAMENTO!$D$15,CRONO!$E179,0)))+IF(AND($E181&lt;&gt;"",$E181&lt;&gt;0),SUMIF(CÁLCULO!$BC$15:$BU$727,"="&amp;CRONO!AA$12,CÁLCULO!$AJ$15:$BB$727)/(ORÇAMENTO!$X$15-CÁLCULO.TotalAdmLocal)*CRONO!$E181,0),AA180*$R179),SUMIF(OFFSET($R181,1,0,$Q179-2),($L179+1)&amp;"$",OFFSET(AA181,1,0,$Q179-2)))</f>
        <v>0</v>
      </c>
      <c r="AB181" s="223">
        <f ca="1">IF($Q179=2,IF(AND(ACOMPANHAMENTO="PLE",ISNUMBER($E179)),SUMIF((OFFSET(CÁLCULO!$BC$15:$BU$15,$E179,0,OFFSET(ORÇAMENTO!$D$15,CRONO!$E179,0))),"="&amp;CRONO!AB$12,OFFSET(CÁLCULO!$AJ$15:$BB$15,$E179,0,OFFSET(ORÇAMENTO!$D$15,CRONO!$E179,0)))+IF(AND($E181&lt;&gt;"",$E181&lt;&gt;0),SUMIF(CÁLCULO!$BC$15:$BU$727,"="&amp;CRONO!AB$12,CÁLCULO!$AJ$15:$BB$727)/(ORÇAMENTO!$X$15-CÁLCULO.TotalAdmLocal)*CRONO!$E181,0),AB180*$R179),SUMIF(OFFSET($R181,1,0,$Q179-2),($L179+1)&amp;"$",OFFSET(AB181,1,0,$Q179-2)))</f>
        <v>0</v>
      </c>
      <c r="AC181" s="223">
        <f ca="1">IF($Q179=2,IF(AND(ACOMPANHAMENTO="PLE",ISNUMBER($E179)),SUMIF((OFFSET(CÁLCULO!$BC$15:$BU$15,$E179,0,OFFSET(ORÇAMENTO!$D$15,CRONO!$E179,0))),"="&amp;CRONO!AC$12,OFFSET(CÁLCULO!$AJ$15:$BB$15,$E179,0,OFFSET(ORÇAMENTO!$D$15,CRONO!$E179,0)))+IF(AND($E181&lt;&gt;"",$E181&lt;&gt;0),SUMIF(CÁLCULO!$BC$15:$BU$727,"="&amp;CRONO!AC$12,CÁLCULO!$AJ$15:$BB$727)/(ORÇAMENTO!$X$15-CÁLCULO.TotalAdmLocal)*CRONO!$E181,0),AC180*$R179),SUMIF(OFFSET($R181,1,0,$Q179-2),($L179+1)&amp;"$",OFFSET(AC181,1,0,$Q179-2)))</f>
        <v>0</v>
      </c>
      <c r="AD181" s="223">
        <f ca="1">IF($Q179=2,IF(AND(ACOMPANHAMENTO="PLE",ISNUMBER($E179)),SUMIF((OFFSET(CÁLCULO!$BC$15:$BU$15,$E179,0,OFFSET(ORÇAMENTO!$D$15,CRONO!$E179,0))),"="&amp;CRONO!AD$12,OFFSET(CÁLCULO!$AJ$15:$BB$15,$E179,0,OFFSET(ORÇAMENTO!$D$15,CRONO!$E179,0)))+IF(AND($E181&lt;&gt;"",$E181&lt;&gt;0),SUMIF(CÁLCULO!$BC$15:$BU$727,"="&amp;CRONO!AD$12,CÁLCULO!$AJ$15:$BB$727)/(ORÇAMENTO!$X$15-CÁLCULO.TotalAdmLocal)*CRONO!$E181,0),AD180*$R179),SUMIF(OFFSET($R181,1,0,$Q179-2),($L179+1)&amp;"$",OFFSET(AD181,1,0,$Q179-2)))</f>
        <v>0</v>
      </c>
      <c r="AE181" s="228">
        <f ca="1">IF($Q179=2,IF(AND(ACOMPANHAMENTO="PLE",ISNUMBER($E179)),SUMIF((OFFSET(CÁLCULO!$BC$15:$BU$15,$E179,0,OFFSET(ORÇAMENTO!$D$15,CRONO!$E179,0))),"="&amp;CRONO!AE$12,OFFSET(CÁLCULO!$AJ$15:$BB$15,$E179,0,OFFSET(ORÇAMENTO!$D$15,CRONO!$E179,0)))+IF(AND($E181&lt;&gt;"",$E181&lt;&gt;0),SUMIF(CÁLCULO!$BC$15:$BU$727,"="&amp;CRONO!AE$12,CÁLCULO!$AJ$15:$BB$727)/(ORÇAMENTO!$X$15-CÁLCULO.TotalAdmLocal)*CRONO!$E181,0),AE180*$R179),SUMIF(OFFSET($R181,1,0,$Q179-2),($L179+1)&amp;"$",OFFSET(AE181,1,0,$Q179-2)))</f>
        <v>0</v>
      </c>
    </row>
    <row r="182" spans="1:32" x14ac:dyDescent="0.2">
      <c r="A182" s="204">
        <f t="shared" ref="A182" ca="1" si="395">OFFSET(A182,-3,0)+1</f>
        <v>57</v>
      </c>
      <c r="B182" s="204">
        <f ca="1">IF($Q182&lt;&gt;2,0,IF($R182=0,1,IF(E183&gt;0,OFFSET(QCI!$M$13,SUBSTITUTE(E183,".",""),0),OFFSET(ORÇAMENTO!$AA$15,CRONO!$E182,0))/$R182))</f>
        <v>1</v>
      </c>
      <c r="C182" s="204">
        <f ca="1">IF($Q182&lt;&gt;2,0,IF($R182=0,1,IF(E183&gt;0,OFFSET(QCI!$N$13,SUBSTITUTE(E183,".",""),0),OFFSET(ORÇAMENTO!$AB$15,CRONO!$E182,0))/$R182))</f>
        <v>1</v>
      </c>
      <c r="D182" s="207" t="e">
        <f ca="1">IF(AND($Q182=2,ACOMPANHAMENTO="BM"),D183,D184/$R182)</f>
        <v>#DIV/0!</v>
      </c>
      <c r="E182" s="204">
        <f ca="1">IF(A182&lt;=ORÇAMENTO.MáximoListaCrono,MATCH(A182,ORÇAMENTO.ListaCrono,0),NA())</f>
        <v>528</v>
      </c>
      <c r="F182" s="204" t="str">
        <f t="shared" ref="F182" ca="1" si="396">IF(AND($E183&lt;&gt;-1,$R182&gt;0),"F","")</f>
        <v/>
      </c>
      <c r="G182" s="208" t="str">
        <f ca="1">IF(OR(R182=0,R182=""),"Linha",IF(AND(OR(ACOMPANHAMENTO="PLE",$Q182&lt;&gt;2),$E183=0),"Linha",1-SUM(T182:AF182)))</f>
        <v>Linha</v>
      </c>
      <c r="H182" s="209" t="str">
        <f ca="1">IF($E183=0,OFFSET(ORÇAMENTO!O$15,$E182,0),IF($E183&lt;&gt;-1,OFFSET(QCI!$D$13,$E183,0),""))</f>
        <v>1.56.</v>
      </c>
      <c r="I182" s="210" t="str">
        <f ca="1">IF($E183=0,OFFSET(ORÇAMENTO!R$15,$E182,0),IF($E183&lt;&gt;-1,OFFSET(QCI!$G$13,$E183,0),""))</f>
        <v>INSTALAÇÃO ELÉTRICA 110V - DISPOSITIVOS DE PROTEÇÃO</v>
      </c>
      <c r="J182" s="210"/>
      <c r="K182" s="210"/>
      <c r="L182" s="211">
        <f ca="1">IF($E183=0,OFFSET(ORÇAMENTO!C$15,$E182,0),1)</f>
        <v>2</v>
      </c>
      <c r="M182" s="212">
        <f ca="1">IF($E183=-1,0,IF(M$13&lt;=$L182,IF(ISERROR(MATCH(M$13,OFFSET($L182,1,0,ROW($L$260)-ROW($L182)-1),0)),ROW($L$260)-ROW($L182)-1,MATCH(M$13,OFFSET($L182,1,0,ROW($L$260)-ROW($L182)-1),0)-1),0))</f>
        <v>77</v>
      </c>
      <c r="N182" s="212">
        <f ca="1">IF($E183=-1,0,IF(N$13&lt;=$L182,IF(ISERROR(MATCH(N$13,OFFSET($L182,1,0,ROW($L$260)-ROW($L182)-1),0)),ROW($L$260)-ROW($L182)-1,MATCH(N$13,OFFSET($L182,1,0,ROW($L$260)-ROW($L182)-1),0)-1),0))</f>
        <v>2</v>
      </c>
      <c r="O182" s="212">
        <f ca="1">IF($E183=-1,0,IF(O$13&lt;=$L182,IF(ISERROR(MATCH(O$13,OFFSET($L182,1,0,ROW($L$260)-ROW($L182)-1),0)),ROW($L$260)-ROW($L182)-1,MATCH(O$13,OFFSET($L182,1,0,ROW($L$260)-ROW($L182)-1),0)-1),0))</f>
        <v>0</v>
      </c>
      <c r="P182" s="212">
        <f ca="1">IF($E183=-1,0,IF(P$13&lt;=$L182,IF(ISERROR(MATCH(P$13,OFFSET($L182,1,0,ROW($L$260)-ROW($L182)-1),0)),ROW($L$260)-ROW($L182)-1,MATCH(P$13,OFFSET($L182,1,0,ROW($L$260)-ROW($L182)-1),0)-1),0))</f>
        <v>0</v>
      </c>
      <c r="Q182" s="212">
        <f t="shared" ref="Q182" ca="1" si="397">MIN(OFFSET(L182,0,1,,L182))</f>
        <v>2</v>
      </c>
      <c r="R182" s="213">
        <f ca="1">IF($E183=0,OFFSET(ORÇAMENTO!X$15,$E182,0),IF($E183&lt;&gt;-1,OFFSET(QCI!$O$13,$E183,0),""))</f>
        <v>0</v>
      </c>
      <c r="S182" s="214" t="s">
        <v>270</v>
      </c>
      <c r="T182" s="215" t="e">
        <f t="shared" ref="T182:AE182" ca="1" si="398">IF(AND($Q182=2,ACOMPANHAMENTO="BM"),T183,T184/$R182)</f>
        <v>#DIV/0!</v>
      </c>
      <c r="U182" s="207" t="e">
        <f t="shared" ca="1" si="398"/>
        <v>#DIV/0!</v>
      </c>
      <c r="V182" s="207" t="e">
        <f t="shared" ca="1" si="398"/>
        <v>#DIV/0!</v>
      </c>
      <c r="W182" s="207" t="e">
        <f t="shared" ca="1" si="398"/>
        <v>#DIV/0!</v>
      </c>
      <c r="X182" s="207" t="e">
        <f t="shared" ca="1" si="398"/>
        <v>#DIV/0!</v>
      </c>
      <c r="Y182" s="207" t="e">
        <f t="shared" ca="1" si="398"/>
        <v>#DIV/0!</v>
      </c>
      <c r="Z182" s="207" t="e">
        <f t="shared" ca="1" si="398"/>
        <v>#DIV/0!</v>
      </c>
      <c r="AA182" s="207" t="e">
        <f t="shared" ca="1" si="398"/>
        <v>#DIV/0!</v>
      </c>
      <c r="AB182" s="207" t="e">
        <f t="shared" ca="1" si="398"/>
        <v>#DIV/0!</v>
      </c>
      <c r="AC182" s="207" t="e">
        <f t="shared" ca="1" si="398"/>
        <v>#DIV/0!</v>
      </c>
      <c r="AD182" s="207" t="e">
        <f t="shared" ca="1" si="398"/>
        <v>#DIV/0!</v>
      </c>
      <c r="AE182" s="216" t="e">
        <f t="shared" ca="1" si="398"/>
        <v>#DIV/0!</v>
      </c>
    </row>
    <row r="183" spans="1:32" ht="12.75" customHeight="1" x14ac:dyDescent="0.2">
      <c r="D183" s="569"/>
      <c r="E183" s="204">
        <f ca="1">IF(ISERROR(E182),IF(1+COUNTIF($L$13:OFFSET(L182,-1,0),1)&lt;=MAX(QCI!$D$13:$D$24),1+COUNTIF($L$13:OFFSET(L182,-1,0),1),-1),0)</f>
        <v>0</v>
      </c>
      <c r="F183" s="204" t="str">
        <f t="shared" ref="F183" ca="1" si="399">IF(AND($E183&lt;&gt;-1,$R182&gt;0),"F","")</f>
        <v/>
      </c>
      <c r="G183" s="217" t="str">
        <f ca="1">IF(OR(R182=0,R182=""),"vazia",IF(AND(OR(ACOMPANHAMENTO="PLE",$Q182&lt;&gt;2),$E183=0),"calculada","--&gt;"))</f>
        <v>vazia</v>
      </c>
      <c r="H183" s="218"/>
      <c r="I183" s="219" t="str">
        <f t="shared" ref="I183" ca="1" si="400">IF(AND(G182&lt;&gt;0,ISNUMBER(G182)),"PREENCHA ESTA LINHA --&gt;","")</f>
        <v/>
      </c>
      <c r="J183" s="219"/>
      <c r="K183" s="219"/>
      <c r="L183" s="220"/>
      <c r="M183" s="220"/>
      <c r="N183" s="220"/>
      <c r="O183" s="220"/>
      <c r="P183" s="220"/>
      <c r="Q183" s="220"/>
      <c r="R183" s="221"/>
      <c r="S183" s="222"/>
      <c r="T183" s="570"/>
      <c r="U183" s="569"/>
      <c r="V183" s="569"/>
      <c r="W183" s="569"/>
      <c r="X183" s="569"/>
      <c r="Y183" s="569"/>
      <c r="Z183" s="569"/>
      <c r="AA183" s="569"/>
      <c r="AB183" s="569"/>
      <c r="AC183" s="569"/>
      <c r="AD183" s="569"/>
      <c r="AE183" s="571"/>
      <c r="AF183" s="533"/>
    </row>
    <row r="184" spans="1:32" ht="0.2" hidden="1" customHeight="1" x14ac:dyDescent="0.2">
      <c r="D184" s="223">
        <f ca="1">IF($Q182=2,IF(AND(ACOMPANHAMENTO="PLE",ISNUMBER($E182)),SUMIF((OFFSET(CÁLCULO!$BC$15:$BU$15,$E182,0,OFFSET(ORÇAMENTO!$D$15,CRONO!$E182,0))),"="&amp;CRONO!D$12,OFFSET(CÁLCULO!$AJ$15:$BB$15,$E182,0,OFFSET(ORÇAMENTO!$D$15,CRONO!$E182,0)))+IF(AND($E184&lt;&gt;"",$E184&lt;&gt;0),SUMIF(CÁLCULO!$BC$15:$BU$727,"="&amp;CRONO!D$12,CÁLCULO!$AJ$15:$BB$727)/(ORÇAMENTO!$X$15-CÁLCULO.TotalAdmLocal)*CRONO!$E184,0),D183*$R182),SUMIF(OFFSET($R184,1,0,$Q182-2),($L182+1)&amp;"$",OFFSET(D184,1,0,$Q182-2)))</f>
        <v>0</v>
      </c>
      <c r="E184" s="204" t="str">
        <f ca="1">IF(OR($Q182&lt;&gt;2,AUTOEVENTO&lt;&gt;"manual",$E183&gt;0),"",SUMIF(OFFSET(CÁLCULO!$M$15,CRONO!$E182,0,OFFSET(ORÇAMENTO!$D$15,CRONO!$E182,0)),1,OFFSET(ORÇAMENTO!$X$15,CRONO!$E182,0,OFFSET(ORÇAMENTO!$D$15,CRONO!$E182,0))))</f>
        <v/>
      </c>
      <c r="G184" s="224"/>
      <c r="R184" s="225" t="str">
        <f t="shared" ref="R184" ca="1" si="401">L182&amp;"$"</f>
        <v>2$</v>
      </c>
      <c r="S184" s="226"/>
      <c r="T184" s="227">
        <f ca="1">IF($Q182=2,IF(AND(ACOMPANHAMENTO="PLE",ISNUMBER($E182)),SUMIF((OFFSET(CÁLCULO!$BC$15:$BU$15,$E182,0,OFFSET(ORÇAMENTO!$D$15,CRONO!$E182,0))),"&lt;="&amp;CRONO!T$12,OFFSET(CÁLCULO!$AJ$15:$BB$15,$E182,0,OFFSET(ORÇAMENTO!$D$15,CRONO!$E182,0)))+IF(AND($E184&lt;&gt;"",$E184&lt;&gt;0),SUMIF(CÁLCULO!$BC$15:$BU$727,"&lt;="&amp;CRONO!T$12,CÁLCULO!$AJ$15:$BB$727)/(ORÇAMENTO!$X$15-CÁLCULO.TotalAdmLocal)*CRONO!$E184,0),T183*$R182),SUMIF(OFFSET($R184,1,0,$Q182-2),($L182+1)&amp;"$",OFFSET(T184,1,0,$Q182-2)))</f>
        <v>0</v>
      </c>
      <c r="U184" s="223">
        <f ca="1">IF($Q182=2,IF(AND(ACOMPANHAMENTO="PLE",ISNUMBER($E182)),SUMIF((OFFSET(CÁLCULO!$BC$15:$BU$15,$E182,0,OFFSET(ORÇAMENTO!$D$15,CRONO!$E182,0))),"="&amp;CRONO!U$12,OFFSET(CÁLCULO!$AJ$15:$BB$15,$E182,0,OFFSET(ORÇAMENTO!$D$15,CRONO!$E182,0)))+IF(AND($E184&lt;&gt;"",$E184&lt;&gt;0),SUMIF(CÁLCULO!$BC$15:$BU$727,"="&amp;CRONO!U$12,CÁLCULO!$AJ$15:$BB$727)/(ORÇAMENTO!$X$15-CÁLCULO.TotalAdmLocal)*CRONO!$E184,0),U183*$R182),SUMIF(OFFSET($R184,1,0,$Q182-2),($L182+1)&amp;"$",OFFSET(U184,1,0,$Q182-2)))</f>
        <v>0</v>
      </c>
      <c r="V184" s="223">
        <f ca="1">IF($Q182=2,IF(AND(ACOMPANHAMENTO="PLE",ISNUMBER($E182)),SUMIF((OFFSET(CÁLCULO!$BC$15:$BU$15,$E182,0,OFFSET(ORÇAMENTO!$D$15,CRONO!$E182,0))),"="&amp;CRONO!V$12,OFFSET(CÁLCULO!$AJ$15:$BB$15,$E182,0,OFFSET(ORÇAMENTO!$D$15,CRONO!$E182,0)))+IF(AND($E184&lt;&gt;"",$E184&lt;&gt;0),SUMIF(CÁLCULO!$BC$15:$BU$727,"="&amp;CRONO!V$12,CÁLCULO!$AJ$15:$BB$727)/(ORÇAMENTO!$X$15-CÁLCULO.TotalAdmLocal)*CRONO!$E184,0),V183*$R182),SUMIF(OFFSET($R184,1,0,$Q182-2),($L182+1)&amp;"$",OFFSET(V184,1,0,$Q182-2)))</f>
        <v>0</v>
      </c>
      <c r="W184" s="223">
        <f ca="1">IF($Q182=2,IF(AND(ACOMPANHAMENTO="PLE",ISNUMBER($E182)),SUMIF((OFFSET(CÁLCULO!$BC$15:$BU$15,$E182,0,OFFSET(ORÇAMENTO!$D$15,CRONO!$E182,0))),"="&amp;CRONO!W$12,OFFSET(CÁLCULO!$AJ$15:$BB$15,$E182,0,OFFSET(ORÇAMENTO!$D$15,CRONO!$E182,0)))+IF(AND($E184&lt;&gt;"",$E184&lt;&gt;0),SUMIF(CÁLCULO!$BC$15:$BU$727,"="&amp;CRONO!W$12,CÁLCULO!$AJ$15:$BB$727)/(ORÇAMENTO!$X$15-CÁLCULO.TotalAdmLocal)*CRONO!$E184,0),W183*$R182),SUMIF(OFFSET($R184,1,0,$Q182-2),($L182+1)&amp;"$",OFFSET(W184,1,0,$Q182-2)))</f>
        <v>0</v>
      </c>
      <c r="X184" s="223">
        <f ca="1">IF($Q182=2,IF(AND(ACOMPANHAMENTO="PLE",ISNUMBER($E182)),SUMIF((OFFSET(CÁLCULO!$BC$15:$BU$15,$E182,0,OFFSET(ORÇAMENTO!$D$15,CRONO!$E182,0))),"="&amp;CRONO!X$12,OFFSET(CÁLCULO!$AJ$15:$BB$15,$E182,0,OFFSET(ORÇAMENTO!$D$15,CRONO!$E182,0)))+IF(AND($E184&lt;&gt;"",$E184&lt;&gt;0),SUMIF(CÁLCULO!$BC$15:$BU$727,"="&amp;CRONO!X$12,CÁLCULO!$AJ$15:$BB$727)/(ORÇAMENTO!$X$15-CÁLCULO.TotalAdmLocal)*CRONO!$E184,0),X183*$R182),SUMIF(OFFSET($R184,1,0,$Q182-2),($L182+1)&amp;"$",OFFSET(X184,1,0,$Q182-2)))</f>
        <v>0</v>
      </c>
      <c r="Y184" s="223">
        <f ca="1">IF($Q182=2,IF(AND(ACOMPANHAMENTO="PLE",ISNUMBER($E182)),SUMIF((OFFSET(CÁLCULO!$BC$15:$BU$15,$E182,0,OFFSET(ORÇAMENTO!$D$15,CRONO!$E182,0))),"="&amp;CRONO!Y$12,OFFSET(CÁLCULO!$AJ$15:$BB$15,$E182,0,OFFSET(ORÇAMENTO!$D$15,CRONO!$E182,0)))+IF(AND($E184&lt;&gt;"",$E184&lt;&gt;0),SUMIF(CÁLCULO!$BC$15:$BU$727,"="&amp;CRONO!Y$12,CÁLCULO!$AJ$15:$BB$727)/(ORÇAMENTO!$X$15-CÁLCULO.TotalAdmLocal)*CRONO!$E184,0),Y183*$R182),SUMIF(OFFSET($R184,1,0,$Q182-2),($L182+1)&amp;"$",OFFSET(Y184,1,0,$Q182-2)))</f>
        <v>0</v>
      </c>
      <c r="Z184" s="223">
        <f ca="1">IF($Q182=2,IF(AND(ACOMPANHAMENTO="PLE",ISNUMBER($E182)),SUMIF((OFFSET(CÁLCULO!$BC$15:$BU$15,$E182,0,OFFSET(ORÇAMENTO!$D$15,CRONO!$E182,0))),"="&amp;CRONO!Z$12,OFFSET(CÁLCULO!$AJ$15:$BB$15,$E182,0,OFFSET(ORÇAMENTO!$D$15,CRONO!$E182,0)))+IF(AND($E184&lt;&gt;"",$E184&lt;&gt;0),SUMIF(CÁLCULO!$BC$15:$BU$727,"="&amp;CRONO!Z$12,CÁLCULO!$AJ$15:$BB$727)/(ORÇAMENTO!$X$15-CÁLCULO.TotalAdmLocal)*CRONO!$E184,0),Z183*$R182),SUMIF(OFFSET($R184,1,0,$Q182-2),($L182+1)&amp;"$",OFFSET(Z184,1,0,$Q182-2)))</f>
        <v>0</v>
      </c>
      <c r="AA184" s="223">
        <f ca="1">IF($Q182=2,IF(AND(ACOMPANHAMENTO="PLE",ISNUMBER($E182)),SUMIF((OFFSET(CÁLCULO!$BC$15:$BU$15,$E182,0,OFFSET(ORÇAMENTO!$D$15,CRONO!$E182,0))),"="&amp;CRONO!AA$12,OFFSET(CÁLCULO!$AJ$15:$BB$15,$E182,0,OFFSET(ORÇAMENTO!$D$15,CRONO!$E182,0)))+IF(AND($E184&lt;&gt;"",$E184&lt;&gt;0),SUMIF(CÁLCULO!$BC$15:$BU$727,"="&amp;CRONO!AA$12,CÁLCULO!$AJ$15:$BB$727)/(ORÇAMENTO!$X$15-CÁLCULO.TotalAdmLocal)*CRONO!$E184,0),AA183*$R182),SUMIF(OFFSET($R184,1,0,$Q182-2),($L182+1)&amp;"$",OFFSET(AA184,1,0,$Q182-2)))</f>
        <v>0</v>
      </c>
      <c r="AB184" s="223">
        <f ca="1">IF($Q182=2,IF(AND(ACOMPANHAMENTO="PLE",ISNUMBER($E182)),SUMIF((OFFSET(CÁLCULO!$BC$15:$BU$15,$E182,0,OFFSET(ORÇAMENTO!$D$15,CRONO!$E182,0))),"="&amp;CRONO!AB$12,OFFSET(CÁLCULO!$AJ$15:$BB$15,$E182,0,OFFSET(ORÇAMENTO!$D$15,CRONO!$E182,0)))+IF(AND($E184&lt;&gt;"",$E184&lt;&gt;0),SUMIF(CÁLCULO!$BC$15:$BU$727,"="&amp;CRONO!AB$12,CÁLCULO!$AJ$15:$BB$727)/(ORÇAMENTO!$X$15-CÁLCULO.TotalAdmLocal)*CRONO!$E184,0),AB183*$R182),SUMIF(OFFSET($R184,1,0,$Q182-2),($L182+1)&amp;"$",OFFSET(AB184,1,0,$Q182-2)))</f>
        <v>0</v>
      </c>
      <c r="AC184" s="223">
        <f ca="1">IF($Q182=2,IF(AND(ACOMPANHAMENTO="PLE",ISNUMBER($E182)),SUMIF((OFFSET(CÁLCULO!$BC$15:$BU$15,$E182,0,OFFSET(ORÇAMENTO!$D$15,CRONO!$E182,0))),"="&amp;CRONO!AC$12,OFFSET(CÁLCULO!$AJ$15:$BB$15,$E182,0,OFFSET(ORÇAMENTO!$D$15,CRONO!$E182,0)))+IF(AND($E184&lt;&gt;"",$E184&lt;&gt;0),SUMIF(CÁLCULO!$BC$15:$BU$727,"="&amp;CRONO!AC$12,CÁLCULO!$AJ$15:$BB$727)/(ORÇAMENTO!$X$15-CÁLCULO.TotalAdmLocal)*CRONO!$E184,0),AC183*$R182),SUMIF(OFFSET($R184,1,0,$Q182-2),($L182+1)&amp;"$",OFFSET(AC184,1,0,$Q182-2)))</f>
        <v>0</v>
      </c>
      <c r="AD184" s="223">
        <f ca="1">IF($Q182=2,IF(AND(ACOMPANHAMENTO="PLE",ISNUMBER($E182)),SUMIF((OFFSET(CÁLCULO!$BC$15:$BU$15,$E182,0,OFFSET(ORÇAMENTO!$D$15,CRONO!$E182,0))),"="&amp;CRONO!AD$12,OFFSET(CÁLCULO!$AJ$15:$BB$15,$E182,0,OFFSET(ORÇAMENTO!$D$15,CRONO!$E182,0)))+IF(AND($E184&lt;&gt;"",$E184&lt;&gt;0),SUMIF(CÁLCULO!$BC$15:$BU$727,"="&amp;CRONO!AD$12,CÁLCULO!$AJ$15:$BB$727)/(ORÇAMENTO!$X$15-CÁLCULO.TotalAdmLocal)*CRONO!$E184,0),AD183*$R182),SUMIF(OFFSET($R184,1,0,$Q182-2),($L182+1)&amp;"$",OFFSET(AD184,1,0,$Q182-2)))</f>
        <v>0</v>
      </c>
      <c r="AE184" s="228">
        <f ca="1">IF($Q182=2,IF(AND(ACOMPANHAMENTO="PLE",ISNUMBER($E182)),SUMIF((OFFSET(CÁLCULO!$BC$15:$BU$15,$E182,0,OFFSET(ORÇAMENTO!$D$15,CRONO!$E182,0))),"="&amp;CRONO!AE$12,OFFSET(CÁLCULO!$AJ$15:$BB$15,$E182,0,OFFSET(ORÇAMENTO!$D$15,CRONO!$E182,0)))+IF(AND($E184&lt;&gt;"",$E184&lt;&gt;0),SUMIF(CÁLCULO!$BC$15:$BU$727,"="&amp;CRONO!AE$12,CÁLCULO!$AJ$15:$BB$727)/(ORÇAMENTO!$X$15-CÁLCULO.TotalAdmLocal)*CRONO!$E184,0),AE183*$R182),SUMIF(OFFSET($R184,1,0,$Q182-2),($L182+1)&amp;"$",OFFSET(AE184,1,0,$Q182-2)))</f>
        <v>0</v>
      </c>
    </row>
    <row r="185" spans="1:32" x14ac:dyDescent="0.2">
      <c r="A185" s="204">
        <f t="shared" ref="A185" ca="1" si="402">OFFSET(A185,-3,0)+1</f>
        <v>58</v>
      </c>
      <c r="B185" s="204">
        <f ca="1">IF($Q185&lt;&gt;2,0,IF($R185=0,1,IF(E186&gt;0,OFFSET(QCI!$M$13,SUBSTITUTE(E186,".",""),0),OFFSET(ORÇAMENTO!$AA$15,CRONO!$E185,0))/$R185))</f>
        <v>1</v>
      </c>
      <c r="C185" s="204">
        <f ca="1">IF($Q185&lt;&gt;2,0,IF($R185=0,1,IF(E186&gt;0,OFFSET(QCI!$N$13,SUBSTITUTE(E186,".",""),0),OFFSET(ORÇAMENTO!$AB$15,CRONO!$E185,0))/$R185))</f>
        <v>1</v>
      </c>
      <c r="D185" s="207" t="e">
        <f ca="1">IF(AND($Q185=2,ACOMPANHAMENTO="BM"),D186,D187/$R185)</f>
        <v>#DIV/0!</v>
      </c>
      <c r="E185" s="204">
        <f ca="1">IF(A185&lt;=ORÇAMENTO.MáximoListaCrono,MATCH(A185,ORÇAMENTO.ListaCrono,0),NA())</f>
        <v>552</v>
      </c>
      <c r="F185" s="204" t="str">
        <f t="shared" ref="F185" ca="1" si="403">IF(AND($E186&lt;&gt;-1,$R185&gt;0),"F","")</f>
        <v/>
      </c>
      <c r="G185" s="208" t="str">
        <f ca="1">IF(OR(R185=0,R185=""),"Linha",IF(AND(OR(ACOMPANHAMENTO="PLE",$Q185&lt;&gt;2),$E186=0),"Linha",1-SUM(T185:AF185)))</f>
        <v>Linha</v>
      </c>
      <c r="H185" s="209" t="str">
        <f ca="1">IF($E186=0,OFFSET(ORÇAMENTO!O$15,$E185,0),IF($E186&lt;&gt;-1,OFFSET(QCI!$D$13,$E186,0),""))</f>
        <v>1.57.</v>
      </c>
      <c r="I185" s="210" t="str">
        <f ca="1">IF($E186=0,OFFSET(ORÇAMENTO!R$15,$E185,0),IF($E186&lt;&gt;-1,OFFSET(QCI!$G$13,$E186,0),""))</f>
        <v>INSTALAÇÃO ELÉTRICA 110V - ELETROCALHAS</v>
      </c>
      <c r="J185" s="210"/>
      <c r="K185" s="210"/>
      <c r="L185" s="211">
        <f ca="1">IF($E186=0,OFFSET(ORÇAMENTO!C$15,$E185,0),1)</f>
        <v>2</v>
      </c>
      <c r="M185" s="212">
        <f ca="1">IF($E186=-1,0,IF(M$13&lt;=$L185,IF(ISERROR(MATCH(M$13,OFFSET($L185,1,0,ROW($L$260)-ROW($L185)-1),0)),ROW($L$260)-ROW($L185)-1,MATCH(M$13,OFFSET($L185,1,0,ROW($L$260)-ROW($L185)-1),0)-1),0))</f>
        <v>74</v>
      </c>
      <c r="N185" s="212">
        <f ca="1">IF($E186=-1,0,IF(N$13&lt;=$L185,IF(ISERROR(MATCH(N$13,OFFSET($L185,1,0,ROW($L$260)-ROW($L185)-1),0)),ROW($L$260)-ROW($L185)-1,MATCH(N$13,OFFSET($L185,1,0,ROW($L$260)-ROW($L185)-1),0)-1),0))</f>
        <v>2</v>
      </c>
      <c r="O185" s="212">
        <f ca="1">IF($E186=-1,0,IF(O$13&lt;=$L185,IF(ISERROR(MATCH(O$13,OFFSET($L185,1,0,ROW($L$260)-ROW($L185)-1),0)),ROW($L$260)-ROW($L185)-1,MATCH(O$13,OFFSET($L185,1,0,ROW($L$260)-ROW($L185)-1),0)-1),0))</f>
        <v>0</v>
      </c>
      <c r="P185" s="212">
        <f ca="1">IF($E186=-1,0,IF(P$13&lt;=$L185,IF(ISERROR(MATCH(P$13,OFFSET($L185,1,0,ROW($L$260)-ROW($L185)-1),0)),ROW($L$260)-ROW($L185)-1,MATCH(P$13,OFFSET($L185,1,0,ROW($L$260)-ROW($L185)-1),0)-1),0))</f>
        <v>0</v>
      </c>
      <c r="Q185" s="212">
        <f t="shared" ref="Q185" ca="1" si="404">MIN(OFFSET(L185,0,1,,L185))</f>
        <v>2</v>
      </c>
      <c r="R185" s="213">
        <f ca="1">IF($E186=0,OFFSET(ORÇAMENTO!X$15,$E185,0),IF($E186&lt;&gt;-1,OFFSET(QCI!$O$13,$E186,0),""))</f>
        <v>0</v>
      </c>
      <c r="S185" s="214" t="s">
        <v>270</v>
      </c>
      <c r="T185" s="215" t="e">
        <f t="shared" ref="T185:AE185" ca="1" si="405">IF(AND($Q185=2,ACOMPANHAMENTO="BM"),T186,T187/$R185)</f>
        <v>#DIV/0!</v>
      </c>
      <c r="U185" s="207" t="e">
        <f t="shared" ca="1" si="405"/>
        <v>#DIV/0!</v>
      </c>
      <c r="V185" s="207" t="e">
        <f t="shared" ca="1" si="405"/>
        <v>#DIV/0!</v>
      </c>
      <c r="W185" s="207" t="e">
        <f t="shared" ca="1" si="405"/>
        <v>#DIV/0!</v>
      </c>
      <c r="X185" s="207" t="e">
        <f t="shared" ca="1" si="405"/>
        <v>#DIV/0!</v>
      </c>
      <c r="Y185" s="207" t="e">
        <f t="shared" ca="1" si="405"/>
        <v>#DIV/0!</v>
      </c>
      <c r="Z185" s="207" t="e">
        <f t="shared" ca="1" si="405"/>
        <v>#DIV/0!</v>
      </c>
      <c r="AA185" s="207" t="e">
        <f t="shared" ca="1" si="405"/>
        <v>#DIV/0!</v>
      </c>
      <c r="AB185" s="207" t="e">
        <f t="shared" ca="1" si="405"/>
        <v>#DIV/0!</v>
      </c>
      <c r="AC185" s="207" t="e">
        <f t="shared" ca="1" si="405"/>
        <v>#DIV/0!</v>
      </c>
      <c r="AD185" s="207" t="e">
        <f t="shared" ca="1" si="405"/>
        <v>#DIV/0!</v>
      </c>
      <c r="AE185" s="216" t="e">
        <f t="shared" ca="1" si="405"/>
        <v>#DIV/0!</v>
      </c>
    </row>
    <row r="186" spans="1:32" ht="12.75" customHeight="1" x14ac:dyDescent="0.2">
      <c r="D186" s="569"/>
      <c r="E186" s="204">
        <f ca="1">IF(ISERROR(E185),IF(1+COUNTIF($L$13:OFFSET(L185,-1,0),1)&lt;=MAX(QCI!$D$13:$D$24),1+COUNTIF($L$13:OFFSET(L185,-1,0),1),-1),0)</f>
        <v>0</v>
      </c>
      <c r="F186" s="204" t="str">
        <f t="shared" ref="F186" ca="1" si="406">IF(AND($E186&lt;&gt;-1,$R185&gt;0),"F","")</f>
        <v/>
      </c>
      <c r="G186" s="217" t="str">
        <f ca="1">IF(OR(R185=0,R185=""),"vazia",IF(AND(OR(ACOMPANHAMENTO="PLE",$Q185&lt;&gt;2),$E186=0),"calculada","--&gt;"))</f>
        <v>vazia</v>
      </c>
      <c r="H186" s="218"/>
      <c r="I186" s="219" t="str">
        <f t="shared" ref="I186" ca="1" si="407">IF(AND(G185&lt;&gt;0,ISNUMBER(G185)),"PREENCHA ESTA LINHA --&gt;","")</f>
        <v/>
      </c>
      <c r="J186" s="219"/>
      <c r="K186" s="219"/>
      <c r="L186" s="220"/>
      <c r="M186" s="220"/>
      <c r="N186" s="220"/>
      <c r="O186" s="220"/>
      <c r="P186" s="220"/>
      <c r="Q186" s="220"/>
      <c r="R186" s="221"/>
      <c r="S186" s="222"/>
      <c r="T186" s="570"/>
      <c r="U186" s="569"/>
      <c r="V186" s="569"/>
      <c r="W186" s="569"/>
      <c r="X186" s="569"/>
      <c r="Y186" s="569"/>
      <c r="Z186" s="569"/>
      <c r="AA186" s="569"/>
      <c r="AB186" s="569"/>
      <c r="AC186" s="569"/>
      <c r="AD186" s="569"/>
      <c r="AE186" s="571"/>
      <c r="AF186" s="533"/>
    </row>
    <row r="187" spans="1:32" ht="0.2" hidden="1" customHeight="1" x14ac:dyDescent="0.2">
      <c r="D187" s="223">
        <f ca="1">IF($Q185=2,IF(AND(ACOMPANHAMENTO="PLE",ISNUMBER($E185)),SUMIF((OFFSET(CÁLCULO!$BC$15:$BU$15,$E185,0,OFFSET(ORÇAMENTO!$D$15,CRONO!$E185,0))),"="&amp;CRONO!D$12,OFFSET(CÁLCULO!$AJ$15:$BB$15,$E185,0,OFFSET(ORÇAMENTO!$D$15,CRONO!$E185,0)))+IF(AND($E187&lt;&gt;"",$E187&lt;&gt;0),SUMIF(CÁLCULO!$BC$15:$BU$727,"="&amp;CRONO!D$12,CÁLCULO!$AJ$15:$BB$727)/(ORÇAMENTO!$X$15-CÁLCULO.TotalAdmLocal)*CRONO!$E187,0),D186*$R185),SUMIF(OFFSET($R187,1,0,$Q185-2),($L185+1)&amp;"$",OFFSET(D187,1,0,$Q185-2)))</f>
        <v>0</v>
      </c>
      <c r="E187" s="204" t="str">
        <f ca="1">IF(OR($Q185&lt;&gt;2,AUTOEVENTO&lt;&gt;"manual",$E186&gt;0),"",SUMIF(OFFSET(CÁLCULO!$M$15,CRONO!$E185,0,OFFSET(ORÇAMENTO!$D$15,CRONO!$E185,0)),1,OFFSET(ORÇAMENTO!$X$15,CRONO!$E185,0,OFFSET(ORÇAMENTO!$D$15,CRONO!$E185,0))))</f>
        <v/>
      </c>
      <c r="G187" s="224"/>
      <c r="R187" s="225" t="str">
        <f t="shared" ref="R187" ca="1" si="408">L185&amp;"$"</f>
        <v>2$</v>
      </c>
      <c r="S187" s="226"/>
      <c r="T187" s="227">
        <f ca="1">IF($Q185=2,IF(AND(ACOMPANHAMENTO="PLE",ISNUMBER($E185)),SUMIF((OFFSET(CÁLCULO!$BC$15:$BU$15,$E185,0,OFFSET(ORÇAMENTO!$D$15,CRONO!$E185,0))),"&lt;="&amp;CRONO!T$12,OFFSET(CÁLCULO!$AJ$15:$BB$15,$E185,0,OFFSET(ORÇAMENTO!$D$15,CRONO!$E185,0)))+IF(AND($E187&lt;&gt;"",$E187&lt;&gt;0),SUMIF(CÁLCULO!$BC$15:$BU$727,"&lt;="&amp;CRONO!T$12,CÁLCULO!$AJ$15:$BB$727)/(ORÇAMENTO!$X$15-CÁLCULO.TotalAdmLocal)*CRONO!$E187,0),T186*$R185),SUMIF(OFFSET($R187,1,0,$Q185-2),($L185+1)&amp;"$",OFFSET(T187,1,0,$Q185-2)))</f>
        <v>0</v>
      </c>
      <c r="U187" s="223">
        <f ca="1">IF($Q185=2,IF(AND(ACOMPANHAMENTO="PLE",ISNUMBER($E185)),SUMIF((OFFSET(CÁLCULO!$BC$15:$BU$15,$E185,0,OFFSET(ORÇAMENTO!$D$15,CRONO!$E185,0))),"="&amp;CRONO!U$12,OFFSET(CÁLCULO!$AJ$15:$BB$15,$E185,0,OFFSET(ORÇAMENTO!$D$15,CRONO!$E185,0)))+IF(AND($E187&lt;&gt;"",$E187&lt;&gt;0),SUMIF(CÁLCULO!$BC$15:$BU$727,"="&amp;CRONO!U$12,CÁLCULO!$AJ$15:$BB$727)/(ORÇAMENTO!$X$15-CÁLCULO.TotalAdmLocal)*CRONO!$E187,0),U186*$R185),SUMIF(OFFSET($R187,1,0,$Q185-2),($L185+1)&amp;"$",OFFSET(U187,1,0,$Q185-2)))</f>
        <v>0</v>
      </c>
      <c r="V187" s="223">
        <f ca="1">IF($Q185=2,IF(AND(ACOMPANHAMENTO="PLE",ISNUMBER($E185)),SUMIF((OFFSET(CÁLCULO!$BC$15:$BU$15,$E185,0,OFFSET(ORÇAMENTO!$D$15,CRONO!$E185,0))),"="&amp;CRONO!V$12,OFFSET(CÁLCULO!$AJ$15:$BB$15,$E185,0,OFFSET(ORÇAMENTO!$D$15,CRONO!$E185,0)))+IF(AND($E187&lt;&gt;"",$E187&lt;&gt;0),SUMIF(CÁLCULO!$BC$15:$BU$727,"="&amp;CRONO!V$12,CÁLCULO!$AJ$15:$BB$727)/(ORÇAMENTO!$X$15-CÁLCULO.TotalAdmLocal)*CRONO!$E187,0),V186*$R185),SUMIF(OFFSET($R187,1,0,$Q185-2),($L185+1)&amp;"$",OFFSET(V187,1,0,$Q185-2)))</f>
        <v>0</v>
      </c>
      <c r="W187" s="223">
        <f ca="1">IF($Q185=2,IF(AND(ACOMPANHAMENTO="PLE",ISNUMBER($E185)),SUMIF((OFFSET(CÁLCULO!$BC$15:$BU$15,$E185,0,OFFSET(ORÇAMENTO!$D$15,CRONO!$E185,0))),"="&amp;CRONO!W$12,OFFSET(CÁLCULO!$AJ$15:$BB$15,$E185,0,OFFSET(ORÇAMENTO!$D$15,CRONO!$E185,0)))+IF(AND($E187&lt;&gt;"",$E187&lt;&gt;0),SUMIF(CÁLCULO!$BC$15:$BU$727,"="&amp;CRONO!W$12,CÁLCULO!$AJ$15:$BB$727)/(ORÇAMENTO!$X$15-CÁLCULO.TotalAdmLocal)*CRONO!$E187,0),W186*$R185),SUMIF(OFFSET($R187,1,0,$Q185-2),($L185+1)&amp;"$",OFFSET(W187,1,0,$Q185-2)))</f>
        <v>0</v>
      </c>
      <c r="X187" s="223">
        <f ca="1">IF($Q185=2,IF(AND(ACOMPANHAMENTO="PLE",ISNUMBER($E185)),SUMIF((OFFSET(CÁLCULO!$BC$15:$BU$15,$E185,0,OFFSET(ORÇAMENTO!$D$15,CRONO!$E185,0))),"="&amp;CRONO!X$12,OFFSET(CÁLCULO!$AJ$15:$BB$15,$E185,0,OFFSET(ORÇAMENTO!$D$15,CRONO!$E185,0)))+IF(AND($E187&lt;&gt;"",$E187&lt;&gt;0),SUMIF(CÁLCULO!$BC$15:$BU$727,"="&amp;CRONO!X$12,CÁLCULO!$AJ$15:$BB$727)/(ORÇAMENTO!$X$15-CÁLCULO.TotalAdmLocal)*CRONO!$E187,0),X186*$R185),SUMIF(OFFSET($R187,1,0,$Q185-2),($L185+1)&amp;"$",OFFSET(X187,1,0,$Q185-2)))</f>
        <v>0</v>
      </c>
      <c r="Y187" s="223">
        <f ca="1">IF($Q185=2,IF(AND(ACOMPANHAMENTO="PLE",ISNUMBER($E185)),SUMIF((OFFSET(CÁLCULO!$BC$15:$BU$15,$E185,0,OFFSET(ORÇAMENTO!$D$15,CRONO!$E185,0))),"="&amp;CRONO!Y$12,OFFSET(CÁLCULO!$AJ$15:$BB$15,$E185,0,OFFSET(ORÇAMENTO!$D$15,CRONO!$E185,0)))+IF(AND($E187&lt;&gt;"",$E187&lt;&gt;0),SUMIF(CÁLCULO!$BC$15:$BU$727,"="&amp;CRONO!Y$12,CÁLCULO!$AJ$15:$BB$727)/(ORÇAMENTO!$X$15-CÁLCULO.TotalAdmLocal)*CRONO!$E187,0),Y186*$R185),SUMIF(OFFSET($R187,1,0,$Q185-2),($L185+1)&amp;"$",OFFSET(Y187,1,0,$Q185-2)))</f>
        <v>0</v>
      </c>
      <c r="Z187" s="223">
        <f ca="1">IF($Q185=2,IF(AND(ACOMPANHAMENTO="PLE",ISNUMBER($E185)),SUMIF((OFFSET(CÁLCULO!$BC$15:$BU$15,$E185,0,OFFSET(ORÇAMENTO!$D$15,CRONO!$E185,0))),"="&amp;CRONO!Z$12,OFFSET(CÁLCULO!$AJ$15:$BB$15,$E185,0,OFFSET(ORÇAMENTO!$D$15,CRONO!$E185,0)))+IF(AND($E187&lt;&gt;"",$E187&lt;&gt;0),SUMIF(CÁLCULO!$BC$15:$BU$727,"="&amp;CRONO!Z$12,CÁLCULO!$AJ$15:$BB$727)/(ORÇAMENTO!$X$15-CÁLCULO.TotalAdmLocal)*CRONO!$E187,0),Z186*$R185),SUMIF(OFFSET($R187,1,0,$Q185-2),($L185+1)&amp;"$",OFFSET(Z187,1,0,$Q185-2)))</f>
        <v>0</v>
      </c>
      <c r="AA187" s="223">
        <f ca="1">IF($Q185=2,IF(AND(ACOMPANHAMENTO="PLE",ISNUMBER($E185)),SUMIF((OFFSET(CÁLCULO!$BC$15:$BU$15,$E185,0,OFFSET(ORÇAMENTO!$D$15,CRONO!$E185,0))),"="&amp;CRONO!AA$12,OFFSET(CÁLCULO!$AJ$15:$BB$15,$E185,0,OFFSET(ORÇAMENTO!$D$15,CRONO!$E185,0)))+IF(AND($E187&lt;&gt;"",$E187&lt;&gt;0),SUMIF(CÁLCULO!$BC$15:$BU$727,"="&amp;CRONO!AA$12,CÁLCULO!$AJ$15:$BB$727)/(ORÇAMENTO!$X$15-CÁLCULO.TotalAdmLocal)*CRONO!$E187,0),AA186*$R185),SUMIF(OFFSET($R187,1,0,$Q185-2),($L185+1)&amp;"$",OFFSET(AA187,1,0,$Q185-2)))</f>
        <v>0</v>
      </c>
      <c r="AB187" s="223">
        <f ca="1">IF($Q185=2,IF(AND(ACOMPANHAMENTO="PLE",ISNUMBER($E185)),SUMIF((OFFSET(CÁLCULO!$BC$15:$BU$15,$E185,0,OFFSET(ORÇAMENTO!$D$15,CRONO!$E185,0))),"="&amp;CRONO!AB$12,OFFSET(CÁLCULO!$AJ$15:$BB$15,$E185,0,OFFSET(ORÇAMENTO!$D$15,CRONO!$E185,0)))+IF(AND($E187&lt;&gt;"",$E187&lt;&gt;0),SUMIF(CÁLCULO!$BC$15:$BU$727,"="&amp;CRONO!AB$12,CÁLCULO!$AJ$15:$BB$727)/(ORÇAMENTO!$X$15-CÁLCULO.TotalAdmLocal)*CRONO!$E187,0),AB186*$R185),SUMIF(OFFSET($R187,1,0,$Q185-2),($L185+1)&amp;"$",OFFSET(AB187,1,0,$Q185-2)))</f>
        <v>0</v>
      </c>
      <c r="AC187" s="223">
        <f ca="1">IF($Q185=2,IF(AND(ACOMPANHAMENTO="PLE",ISNUMBER($E185)),SUMIF((OFFSET(CÁLCULO!$BC$15:$BU$15,$E185,0,OFFSET(ORÇAMENTO!$D$15,CRONO!$E185,0))),"="&amp;CRONO!AC$12,OFFSET(CÁLCULO!$AJ$15:$BB$15,$E185,0,OFFSET(ORÇAMENTO!$D$15,CRONO!$E185,0)))+IF(AND($E187&lt;&gt;"",$E187&lt;&gt;0),SUMIF(CÁLCULO!$BC$15:$BU$727,"="&amp;CRONO!AC$12,CÁLCULO!$AJ$15:$BB$727)/(ORÇAMENTO!$X$15-CÁLCULO.TotalAdmLocal)*CRONO!$E187,0),AC186*$R185),SUMIF(OFFSET($R187,1,0,$Q185-2),($L185+1)&amp;"$",OFFSET(AC187,1,0,$Q185-2)))</f>
        <v>0</v>
      </c>
      <c r="AD187" s="223">
        <f ca="1">IF($Q185=2,IF(AND(ACOMPANHAMENTO="PLE",ISNUMBER($E185)),SUMIF((OFFSET(CÁLCULO!$BC$15:$BU$15,$E185,0,OFFSET(ORÇAMENTO!$D$15,CRONO!$E185,0))),"="&amp;CRONO!AD$12,OFFSET(CÁLCULO!$AJ$15:$BB$15,$E185,0,OFFSET(ORÇAMENTO!$D$15,CRONO!$E185,0)))+IF(AND($E187&lt;&gt;"",$E187&lt;&gt;0),SUMIF(CÁLCULO!$BC$15:$BU$727,"="&amp;CRONO!AD$12,CÁLCULO!$AJ$15:$BB$727)/(ORÇAMENTO!$X$15-CÁLCULO.TotalAdmLocal)*CRONO!$E187,0),AD186*$R185),SUMIF(OFFSET($R187,1,0,$Q185-2),($L185+1)&amp;"$",OFFSET(AD187,1,0,$Q185-2)))</f>
        <v>0</v>
      </c>
      <c r="AE187" s="228">
        <f ca="1">IF($Q185=2,IF(AND(ACOMPANHAMENTO="PLE",ISNUMBER($E185)),SUMIF((OFFSET(CÁLCULO!$BC$15:$BU$15,$E185,0,OFFSET(ORÇAMENTO!$D$15,CRONO!$E185,0))),"="&amp;CRONO!AE$12,OFFSET(CÁLCULO!$AJ$15:$BB$15,$E185,0,OFFSET(ORÇAMENTO!$D$15,CRONO!$E185,0)))+IF(AND($E187&lt;&gt;"",$E187&lt;&gt;0),SUMIF(CÁLCULO!$BC$15:$BU$727,"="&amp;CRONO!AE$12,CÁLCULO!$AJ$15:$BB$727)/(ORÇAMENTO!$X$15-CÁLCULO.TotalAdmLocal)*CRONO!$E187,0),AE186*$R185),SUMIF(OFFSET($R187,1,0,$Q185-2),($L185+1)&amp;"$",OFFSET(AE187,1,0,$Q185-2)))</f>
        <v>0</v>
      </c>
    </row>
    <row r="188" spans="1:32" x14ac:dyDescent="0.2">
      <c r="A188" s="204">
        <f t="shared" ref="A188" ca="1" si="409">OFFSET(A188,-3,0)+1</f>
        <v>59</v>
      </c>
      <c r="B188" s="204">
        <f ca="1">IF($Q188&lt;&gt;2,0,IF($R188=0,1,IF(E189&gt;0,OFFSET(QCI!$M$13,SUBSTITUTE(E189,".",""),0),OFFSET(ORÇAMENTO!$AA$15,CRONO!$E188,0))/$R188))</f>
        <v>1</v>
      </c>
      <c r="C188" s="204">
        <f ca="1">IF($Q188&lt;&gt;2,0,IF($R188=0,1,IF(E189&gt;0,OFFSET(QCI!$N$13,SUBSTITUTE(E189,".",""),0),OFFSET(ORÇAMENTO!$AB$15,CRONO!$E188,0))/$R188))</f>
        <v>1</v>
      </c>
      <c r="D188" s="207" t="e">
        <f ca="1">IF(AND($Q188=2,ACOMPANHAMENTO="BM"),D189,D190/$R188)</f>
        <v>#DIV/0!</v>
      </c>
      <c r="E188" s="204">
        <f ca="1">IF(A188&lt;=ORÇAMENTO.MáximoListaCrono,MATCH(A188,ORÇAMENTO.ListaCrono,0),NA())</f>
        <v>565</v>
      </c>
      <c r="F188" s="204" t="str">
        <f t="shared" ref="F188" ca="1" si="410">IF(AND($E189&lt;&gt;-1,$R188&gt;0),"F","")</f>
        <v/>
      </c>
      <c r="G188" s="208" t="str">
        <f ca="1">IF(OR(R188=0,R188=""),"Linha",IF(AND(OR(ACOMPANHAMENTO="PLE",$Q188&lt;&gt;2),$E189=0),"Linha",1-SUM(T188:AF188)))</f>
        <v>Linha</v>
      </c>
      <c r="H188" s="209" t="str">
        <f ca="1">IF($E189=0,OFFSET(ORÇAMENTO!O$15,$E188,0),IF($E189&lt;&gt;-1,OFFSET(QCI!$D$13,$E189,0),""))</f>
        <v>1.58.</v>
      </c>
      <c r="I188" s="210" t="str">
        <f ca="1">IF($E189=0,OFFSET(ORÇAMENTO!R$15,$E188,0),IF($E189&lt;&gt;-1,OFFSET(QCI!$G$13,$E189,0),""))</f>
        <v>INSTALAÇÃO ELÉTRICA 110V - ELETRODUTOS</v>
      </c>
      <c r="J188" s="210"/>
      <c r="K188" s="210"/>
      <c r="L188" s="211">
        <f ca="1">IF($E189=0,OFFSET(ORÇAMENTO!C$15,$E188,0),1)</f>
        <v>2</v>
      </c>
      <c r="M188" s="212">
        <f ca="1">IF($E189=-1,0,IF(M$13&lt;=$L188,IF(ISERROR(MATCH(M$13,OFFSET($L188,1,0,ROW($L$260)-ROW($L188)-1),0)),ROW($L$260)-ROW($L188)-1,MATCH(M$13,OFFSET($L188,1,0,ROW($L$260)-ROW($L188)-1),0)-1),0))</f>
        <v>71</v>
      </c>
      <c r="N188" s="212">
        <f ca="1">IF($E189=-1,0,IF(N$13&lt;=$L188,IF(ISERROR(MATCH(N$13,OFFSET($L188,1,0,ROW($L$260)-ROW($L188)-1),0)),ROW($L$260)-ROW($L188)-1,MATCH(N$13,OFFSET($L188,1,0,ROW($L$260)-ROW($L188)-1),0)-1),0))</f>
        <v>2</v>
      </c>
      <c r="O188" s="212">
        <f ca="1">IF($E189=-1,0,IF(O$13&lt;=$L188,IF(ISERROR(MATCH(O$13,OFFSET($L188,1,0,ROW($L$260)-ROW($L188)-1),0)),ROW($L$260)-ROW($L188)-1,MATCH(O$13,OFFSET($L188,1,0,ROW($L$260)-ROW($L188)-1),0)-1),0))</f>
        <v>0</v>
      </c>
      <c r="P188" s="212">
        <f ca="1">IF($E189=-1,0,IF(P$13&lt;=$L188,IF(ISERROR(MATCH(P$13,OFFSET($L188,1,0,ROW($L$260)-ROW($L188)-1),0)),ROW($L$260)-ROW($L188)-1,MATCH(P$13,OFFSET($L188,1,0,ROW($L$260)-ROW($L188)-1),0)-1),0))</f>
        <v>0</v>
      </c>
      <c r="Q188" s="212">
        <f t="shared" ref="Q188" ca="1" si="411">MIN(OFFSET(L188,0,1,,L188))</f>
        <v>2</v>
      </c>
      <c r="R188" s="213">
        <f ca="1">IF($E189=0,OFFSET(ORÇAMENTO!X$15,$E188,0),IF($E189&lt;&gt;-1,OFFSET(QCI!$O$13,$E189,0),""))</f>
        <v>0</v>
      </c>
      <c r="S188" s="214" t="s">
        <v>270</v>
      </c>
      <c r="T188" s="215" t="e">
        <f t="shared" ref="T188:AE188" ca="1" si="412">IF(AND($Q188=2,ACOMPANHAMENTO="BM"),T189,T190/$R188)</f>
        <v>#DIV/0!</v>
      </c>
      <c r="U188" s="207" t="e">
        <f t="shared" ca="1" si="412"/>
        <v>#DIV/0!</v>
      </c>
      <c r="V188" s="207" t="e">
        <f t="shared" ca="1" si="412"/>
        <v>#DIV/0!</v>
      </c>
      <c r="W188" s="207" t="e">
        <f t="shared" ca="1" si="412"/>
        <v>#DIV/0!</v>
      </c>
      <c r="X188" s="207" t="e">
        <f t="shared" ca="1" si="412"/>
        <v>#DIV/0!</v>
      </c>
      <c r="Y188" s="207" t="e">
        <f t="shared" ca="1" si="412"/>
        <v>#DIV/0!</v>
      </c>
      <c r="Z188" s="207" t="e">
        <f t="shared" ca="1" si="412"/>
        <v>#DIV/0!</v>
      </c>
      <c r="AA188" s="207" t="e">
        <f t="shared" ca="1" si="412"/>
        <v>#DIV/0!</v>
      </c>
      <c r="AB188" s="207" t="e">
        <f t="shared" ca="1" si="412"/>
        <v>#DIV/0!</v>
      </c>
      <c r="AC188" s="207" t="e">
        <f t="shared" ca="1" si="412"/>
        <v>#DIV/0!</v>
      </c>
      <c r="AD188" s="207" t="e">
        <f t="shared" ca="1" si="412"/>
        <v>#DIV/0!</v>
      </c>
      <c r="AE188" s="216" t="e">
        <f t="shared" ca="1" si="412"/>
        <v>#DIV/0!</v>
      </c>
    </row>
    <row r="189" spans="1:32" ht="12.75" customHeight="1" x14ac:dyDescent="0.2">
      <c r="D189" s="569"/>
      <c r="E189" s="204">
        <f ca="1">IF(ISERROR(E188),IF(1+COUNTIF($L$13:OFFSET(L188,-1,0),1)&lt;=MAX(QCI!$D$13:$D$24),1+COUNTIF($L$13:OFFSET(L188,-1,0),1),-1),0)</f>
        <v>0</v>
      </c>
      <c r="F189" s="204" t="str">
        <f t="shared" ref="F189" ca="1" si="413">IF(AND($E189&lt;&gt;-1,$R188&gt;0),"F","")</f>
        <v/>
      </c>
      <c r="G189" s="217" t="str">
        <f ca="1">IF(OR(R188=0,R188=""),"vazia",IF(AND(OR(ACOMPANHAMENTO="PLE",$Q188&lt;&gt;2),$E189=0),"calculada","--&gt;"))</f>
        <v>vazia</v>
      </c>
      <c r="H189" s="218"/>
      <c r="I189" s="219" t="str">
        <f t="shared" ref="I189" ca="1" si="414">IF(AND(G188&lt;&gt;0,ISNUMBER(G188)),"PREENCHA ESTA LINHA --&gt;","")</f>
        <v/>
      </c>
      <c r="J189" s="219"/>
      <c r="K189" s="219"/>
      <c r="L189" s="220"/>
      <c r="M189" s="220"/>
      <c r="N189" s="220"/>
      <c r="O189" s="220"/>
      <c r="P189" s="220"/>
      <c r="Q189" s="220"/>
      <c r="R189" s="221"/>
      <c r="S189" s="222"/>
      <c r="T189" s="570"/>
      <c r="U189" s="569"/>
      <c r="V189" s="569"/>
      <c r="W189" s="569"/>
      <c r="X189" s="569"/>
      <c r="Y189" s="569"/>
      <c r="Z189" s="569"/>
      <c r="AA189" s="569"/>
      <c r="AB189" s="569"/>
      <c r="AC189" s="569"/>
      <c r="AD189" s="569"/>
      <c r="AE189" s="571"/>
      <c r="AF189" s="533"/>
    </row>
    <row r="190" spans="1:32" ht="0.2" hidden="1" customHeight="1" x14ac:dyDescent="0.2">
      <c r="D190" s="223">
        <f ca="1">IF($Q188=2,IF(AND(ACOMPANHAMENTO="PLE",ISNUMBER($E188)),SUMIF((OFFSET(CÁLCULO!$BC$15:$BU$15,$E188,0,OFFSET(ORÇAMENTO!$D$15,CRONO!$E188,0))),"="&amp;CRONO!D$12,OFFSET(CÁLCULO!$AJ$15:$BB$15,$E188,0,OFFSET(ORÇAMENTO!$D$15,CRONO!$E188,0)))+IF(AND($E190&lt;&gt;"",$E190&lt;&gt;0),SUMIF(CÁLCULO!$BC$15:$BU$727,"="&amp;CRONO!D$12,CÁLCULO!$AJ$15:$BB$727)/(ORÇAMENTO!$X$15-CÁLCULO.TotalAdmLocal)*CRONO!$E190,0),D189*$R188),SUMIF(OFFSET($R190,1,0,$Q188-2),($L188+1)&amp;"$",OFFSET(D190,1,0,$Q188-2)))</f>
        <v>0</v>
      </c>
      <c r="E190" s="204" t="str">
        <f ca="1">IF(OR($Q188&lt;&gt;2,AUTOEVENTO&lt;&gt;"manual",$E189&gt;0),"",SUMIF(OFFSET(CÁLCULO!$M$15,CRONO!$E188,0,OFFSET(ORÇAMENTO!$D$15,CRONO!$E188,0)),1,OFFSET(ORÇAMENTO!$X$15,CRONO!$E188,0,OFFSET(ORÇAMENTO!$D$15,CRONO!$E188,0))))</f>
        <v/>
      </c>
      <c r="G190" s="224"/>
      <c r="R190" s="225" t="str">
        <f t="shared" ref="R190" ca="1" si="415">L188&amp;"$"</f>
        <v>2$</v>
      </c>
      <c r="S190" s="226"/>
      <c r="T190" s="227">
        <f ca="1">IF($Q188=2,IF(AND(ACOMPANHAMENTO="PLE",ISNUMBER($E188)),SUMIF((OFFSET(CÁLCULO!$BC$15:$BU$15,$E188,0,OFFSET(ORÇAMENTO!$D$15,CRONO!$E188,0))),"&lt;="&amp;CRONO!T$12,OFFSET(CÁLCULO!$AJ$15:$BB$15,$E188,0,OFFSET(ORÇAMENTO!$D$15,CRONO!$E188,0)))+IF(AND($E190&lt;&gt;"",$E190&lt;&gt;0),SUMIF(CÁLCULO!$BC$15:$BU$727,"&lt;="&amp;CRONO!T$12,CÁLCULO!$AJ$15:$BB$727)/(ORÇAMENTO!$X$15-CÁLCULO.TotalAdmLocal)*CRONO!$E190,0),T189*$R188),SUMIF(OFFSET($R190,1,0,$Q188-2),($L188+1)&amp;"$",OFFSET(T190,1,0,$Q188-2)))</f>
        <v>0</v>
      </c>
      <c r="U190" s="223">
        <f ca="1">IF($Q188=2,IF(AND(ACOMPANHAMENTO="PLE",ISNUMBER($E188)),SUMIF((OFFSET(CÁLCULO!$BC$15:$BU$15,$E188,0,OFFSET(ORÇAMENTO!$D$15,CRONO!$E188,0))),"="&amp;CRONO!U$12,OFFSET(CÁLCULO!$AJ$15:$BB$15,$E188,0,OFFSET(ORÇAMENTO!$D$15,CRONO!$E188,0)))+IF(AND($E190&lt;&gt;"",$E190&lt;&gt;0),SUMIF(CÁLCULO!$BC$15:$BU$727,"="&amp;CRONO!U$12,CÁLCULO!$AJ$15:$BB$727)/(ORÇAMENTO!$X$15-CÁLCULO.TotalAdmLocal)*CRONO!$E190,0),U189*$R188),SUMIF(OFFSET($R190,1,0,$Q188-2),($L188+1)&amp;"$",OFFSET(U190,1,0,$Q188-2)))</f>
        <v>0</v>
      </c>
      <c r="V190" s="223">
        <f ca="1">IF($Q188=2,IF(AND(ACOMPANHAMENTO="PLE",ISNUMBER($E188)),SUMIF((OFFSET(CÁLCULO!$BC$15:$BU$15,$E188,0,OFFSET(ORÇAMENTO!$D$15,CRONO!$E188,0))),"="&amp;CRONO!V$12,OFFSET(CÁLCULO!$AJ$15:$BB$15,$E188,0,OFFSET(ORÇAMENTO!$D$15,CRONO!$E188,0)))+IF(AND($E190&lt;&gt;"",$E190&lt;&gt;0),SUMIF(CÁLCULO!$BC$15:$BU$727,"="&amp;CRONO!V$12,CÁLCULO!$AJ$15:$BB$727)/(ORÇAMENTO!$X$15-CÁLCULO.TotalAdmLocal)*CRONO!$E190,0),V189*$R188),SUMIF(OFFSET($R190,1,0,$Q188-2),($L188+1)&amp;"$",OFFSET(V190,1,0,$Q188-2)))</f>
        <v>0</v>
      </c>
      <c r="W190" s="223">
        <f ca="1">IF($Q188=2,IF(AND(ACOMPANHAMENTO="PLE",ISNUMBER($E188)),SUMIF((OFFSET(CÁLCULO!$BC$15:$BU$15,$E188,0,OFFSET(ORÇAMENTO!$D$15,CRONO!$E188,0))),"="&amp;CRONO!W$12,OFFSET(CÁLCULO!$AJ$15:$BB$15,$E188,0,OFFSET(ORÇAMENTO!$D$15,CRONO!$E188,0)))+IF(AND($E190&lt;&gt;"",$E190&lt;&gt;0),SUMIF(CÁLCULO!$BC$15:$BU$727,"="&amp;CRONO!W$12,CÁLCULO!$AJ$15:$BB$727)/(ORÇAMENTO!$X$15-CÁLCULO.TotalAdmLocal)*CRONO!$E190,0),W189*$R188),SUMIF(OFFSET($R190,1,0,$Q188-2),($L188+1)&amp;"$",OFFSET(W190,1,0,$Q188-2)))</f>
        <v>0</v>
      </c>
      <c r="X190" s="223">
        <f ca="1">IF($Q188=2,IF(AND(ACOMPANHAMENTO="PLE",ISNUMBER($E188)),SUMIF((OFFSET(CÁLCULO!$BC$15:$BU$15,$E188,0,OFFSET(ORÇAMENTO!$D$15,CRONO!$E188,0))),"="&amp;CRONO!X$12,OFFSET(CÁLCULO!$AJ$15:$BB$15,$E188,0,OFFSET(ORÇAMENTO!$D$15,CRONO!$E188,0)))+IF(AND($E190&lt;&gt;"",$E190&lt;&gt;0),SUMIF(CÁLCULO!$BC$15:$BU$727,"="&amp;CRONO!X$12,CÁLCULO!$AJ$15:$BB$727)/(ORÇAMENTO!$X$15-CÁLCULO.TotalAdmLocal)*CRONO!$E190,0),X189*$R188),SUMIF(OFFSET($R190,1,0,$Q188-2),($L188+1)&amp;"$",OFFSET(X190,1,0,$Q188-2)))</f>
        <v>0</v>
      </c>
      <c r="Y190" s="223">
        <f ca="1">IF($Q188=2,IF(AND(ACOMPANHAMENTO="PLE",ISNUMBER($E188)),SUMIF((OFFSET(CÁLCULO!$BC$15:$BU$15,$E188,0,OFFSET(ORÇAMENTO!$D$15,CRONO!$E188,0))),"="&amp;CRONO!Y$12,OFFSET(CÁLCULO!$AJ$15:$BB$15,$E188,0,OFFSET(ORÇAMENTO!$D$15,CRONO!$E188,0)))+IF(AND($E190&lt;&gt;"",$E190&lt;&gt;0),SUMIF(CÁLCULO!$BC$15:$BU$727,"="&amp;CRONO!Y$12,CÁLCULO!$AJ$15:$BB$727)/(ORÇAMENTO!$X$15-CÁLCULO.TotalAdmLocal)*CRONO!$E190,0),Y189*$R188),SUMIF(OFFSET($R190,1,0,$Q188-2),($L188+1)&amp;"$",OFFSET(Y190,1,0,$Q188-2)))</f>
        <v>0</v>
      </c>
      <c r="Z190" s="223">
        <f ca="1">IF($Q188=2,IF(AND(ACOMPANHAMENTO="PLE",ISNUMBER($E188)),SUMIF((OFFSET(CÁLCULO!$BC$15:$BU$15,$E188,0,OFFSET(ORÇAMENTO!$D$15,CRONO!$E188,0))),"="&amp;CRONO!Z$12,OFFSET(CÁLCULO!$AJ$15:$BB$15,$E188,0,OFFSET(ORÇAMENTO!$D$15,CRONO!$E188,0)))+IF(AND($E190&lt;&gt;"",$E190&lt;&gt;0),SUMIF(CÁLCULO!$BC$15:$BU$727,"="&amp;CRONO!Z$12,CÁLCULO!$AJ$15:$BB$727)/(ORÇAMENTO!$X$15-CÁLCULO.TotalAdmLocal)*CRONO!$E190,0),Z189*$R188),SUMIF(OFFSET($R190,1,0,$Q188-2),($L188+1)&amp;"$",OFFSET(Z190,1,0,$Q188-2)))</f>
        <v>0</v>
      </c>
      <c r="AA190" s="223">
        <f ca="1">IF($Q188=2,IF(AND(ACOMPANHAMENTO="PLE",ISNUMBER($E188)),SUMIF((OFFSET(CÁLCULO!$BC$15:$BU$15,$E188,0,OFFSET(ORÇAMENTO!$D$15,CRONO!$E188,0))),"="&amp;CRONO!AA$12,OFFSET(CÁLCULO!$AJ$15:$BB$15,$E188,0,OFFSET(ORÇAMENTO!$D$15,CRONO!$E188,0)))+IF(AND($E190&lt;&gt;"",$E190&lt;&gt;0),SUMIF(CÁLCULO!$BC$15:$BU$727,"="&amp;CRONO!AA$12,CÁLCULO!$AJ$15:$BB$727)/(ORÇAMENTO!$X$15-CÁLCULO.TotalAdmLocal)*CRONO!$E190,0),AA189*$R188),SUMIF(OFFSET($R190,1,0,$Q188-2),($L188+1)&amp;"$",OFFSET(AA190,1,0,$Q188-2)))</f>
        <v>0</v>
      </c>
      <c r="AB190" s="223">
        <f ca="1">IF($Q188=2,IF(AND(ACOMPANHAMENTO="PLE",ISNUMBER($E188)),SUMIF((OFFSET(CÁLCULO!$BC$15:$BU$15,$E188,0,OFFSET(ORÇAMENTO!$D$15,CRONO!$E188,0))),"="&amp;CRONO!AB$12,OFFSET(CÁLCULO!$AJ$15:$BB$15,$E188,0,OFFSET(ORÇAMENTO!$D$15,CRONO!$E188,0)))+IF(AND($E190&lt;&gt;"",$E190&lt;&gt;0),SUMIF(CÁLCULO!$BC$15:$BU$727,"="&amp;CRONO!AB$12,CÁLCULO!$AJ$15:$BB$727)/(ORÇAMENTO!$X$15-CÁLCULO.TotalAdmLocal)*CRONO!$E190,0),AB189*$R188),SUMIF(OFFSET($R190,1,0,$Q188-2),($L188+1)&amp;"$",OFFSET(AB190,1,0,$Q188-2)))</f>
        <v>0</v>
      </c>
      <c r="AC190" s="223">
        <f ca="1">IF($Q188=2,IF(AND(ACOMPANHAMENTO="PLE",ISNUMBER($E188)),SUMIF((OFFSET(CÁLCULO!$BC$15:$BU$15,$E188,0,OFFSET(ORÇAMENTO!$D$15,CRONO!$E188,0))),"="&amp;CRONO!AC$12,OFFSET(CÁLCULO!$AJ$15:$BB$15,$E188,0,OFFSET(ORÇAMENTO!$D$15,CRONO!$E188,0)))+IF(AND($E190&lt;&gt;"",$E190&lt;&gt;0),SUMIF(CÁLCULO!$BC$15:$BU$727,"="&amp;CRONO!AC$12,CÁLCULO!$AJ$15:$BB$727)/(ORÇAMENTO!$X$15-CÁLCULO.TotalAdmLocal)*CRONO!$E190,0),AC189*$R188),SUMIF(OFFSET($R190,1,0,$Q188-2),($L188+1)&amp;"$",OFFSET(AC190,1,0,$Q188-2)))</f>
        <v>0</v>
      </c>
      <c r="AD190" s="223">
        <f ca="1">IF($Q188=2,IF(AND(ACOMPANHAMENTO="PLE",ISNUMBER($E188)),SUMIF((OFFSET(CÁLCULO!$BC$15:$BU$15,$E188,0,OFFSET(ORÇAMENTO!$D$15,CRONO!$E188,0))),"="&amp;CRONO!AD$12,OFFSET(CÁLCULO!$AJ$15:$BB$15,$E188,0,OFFSET(ORÇAMENTO!$D$15,CRONO!$E188,0)))+IF(AND($E190&lt;&gt;"",$E190&lt;&gt;0),SUMIF(CÁLCULO!$BC$15:$BU$727,"="&amp;CRONO!AD$12,CÁLCULO!$AJ$15:$BB$727)/(ORÇAMENTO!$X$15-CÁLCULO.TotalAdmLocal)*CRONO!$E190,0),AD189*$R188),SUMIF(OFFSET($R190,1,0,$Q188-2),($L188+1)&amp;"$",OFFSET(AD190,1,0,$Q188-2)))</f>
        <v>0</v>
      </c>
      <c r="AE190" s="228">
        <f ca="1">IF($Q188=2,IF(AND(ACOMPANHAMENTO="PLE",ISNUMBER($E188)),SUMIF((OFFSET(CÁLCULO!$BC$15:$BU$15,$E188,0,OFFSET(ORÇAMENTO!$D$15,CRONO!$E188,0))),"="&amp;CRONO!AE$12,OFFSET(CÁLCULO!$AJ$15:$BB$15,$E188,0,OFFSET(ORÇAMENTO!$D$15,CRONO!$E188,0)))+IF(AND($E190&lt;&gt;"",$E190&lt;&gt;0),SUMIF(CÁLCULO!$BC$15:$BU$727,"="&amp;CRONO!AE$12,CÁLCULO!$AJ$15:$BB$727)/(ORÇAMENTO!$X$15-CÁLCULO.TotalAdmLocal)*CRONO!$E190,0),AE189*$R188),SUMIF(OFFSET($R190,1,0,$Q188-2),($L188+1)&amp;"$",OFFSET(AE190,1,0,$Q188-2)))</f>
        <v>0</v>
      </c>
    </row>
    <row r="191" spans="1:32" x14ac:dyDescent="0.2">
      <c r="A191" s="204">
        <f t="shared" ref="A191" ca="1" si="416">OFFSET(A191,-3,0)+1</f>
        <v>60</v>
      </c>
      <c r="B191" s="204">
        <f ca="1">IF($Q191&lt;&gt;2,0,IF($R191=0,1,IF(E192&gt;0,OFFSET(QCI!$M$13,SUBSTITUTE(E192,".",""),0),OFFSET(ORÇAMENTO!$AA$15,CRONO!$E191,0))/$R191))</f>
        <v>1</v>
      </c>
      <c r="C191" s="204">
        <f ca="1">IF($Q191&lt;&gt;2,0,IF($R191=0,1,IF(E192&gt;0,OFFSET(QCI!$N$13,SUBSTITUTE(E192,".",""),0),OFFSET(ORÇAMENTO!$AB$15,CRONO!$E191,0))/$R191))</f>
        <v>1</v>
      </c>
      <c r="D191" s="207" t="e">
        <f ca="1">IF(AND($Q191=2,ACOMPANHAMENTO="BM"),D192,D193/$R191)</f>
        <v>#DIV/0!</v>
      </c>
      <c r="E191" s="204">
        <f ca="1">IF(A191&lt;=ORÇAMENTO.MáximoListaCrono,MATCH(A191,ORÇAMENTO.ListaCrono,0),NA())</f>
        <v>576</v>
      </c>
      <c r="F191" s="204" t="str">
        <f t="shared" ref="F191" ca="1" si="417">IF(AND($E192&lt;&gt;-1,$R191&gt;0),"F","")</f>
        <v/>
      </c>
      <c r="G191" s="208" t="str">
        <f ca="1">IF(OR(R191=0,R191=""),"Linha",IF(AND(OR(ACOMPANHAMENTO="PLE",$Q191&lt;&gt;2),$E192=0),"Linha",1-SUM(T191:AF191)))</f>
        <v>Linha</v>
      </c>
      <c r="H191" s="209" t="str">
        <f ca="1">IF($E192=0,OFFSET(ORÇAMENTO!O$15,$E191,0),IF($E192&lt;&gt;-1,OFFSET(QCI!$D$13,$E192,0),""))</f>
        <v>1.59.</v>
      </c>
      <c r="I191" s="210" t="str">
        <f ca="1">IF($E192=0,OFFSET(ORÇAMENTO!R$15,$E191,0),IF($E192&lt;&gt;-1,OFFSET(QCI!$G$13,$E192,0),""))</f>
        <v>INSTALAÇÃO ELÉTRICA 110V - PERFILADOS</v>
      </c>
      <c r="J191" s="210"/>
      <c r="K191" s="210"/>
      <c r="L191" s="211">
        <f ca="1">IF($E192=0,OFFSET(ORÇAMENTO!C$15,$E191,0),1)</f>
        <v>2</v>
      </c>
      <c r="M191" s="212">
        <f ca="1">IF($E192=-1,0,IF(M$13&lt;=$L191,IF(ISERROR(MATCH(M$13,OFFSET($L191,1,0,ROW($L$260)-ROW($L191)-1),0)),ROW($L$260)-ROW($L191)-1,MATCH(M$13,OFFSET($L191,1,0,ROW($L$260)-ROW($L191)-1),0)-1),0))</f>
        <v>68</v>
      </c>
      <c r="N191" s="212">
        <f ca="1">IF($E192=-1,0,IF(N$13&lt;=$L191,IF(ISERROR(MATCH(N$13,OFFSET($L191,1,0,ROW($L$260)-ROW($L191)-1),0)),ROW($L$260)-ROW($L191)-1,MATCH(N$13,OFFSET($L191,1,0,ROW($L$260)-ROW($L191)-1),0)-1),0))</f>
        <v>2</v>
      </c>
      <c r="O191" s="212">
        <f ca="1">IF($E192=-1,0,IF(O$13&lt;=$L191,IF(ISERROR(MATCH(O$13,OFFSET($L191,1,0,ROW($L$260)-ROW($L191)-1),0)),ROW($L$260)-ROW($L191)-1,MATCH(O$13,OFFSET($L191,1,0,ROW($L$260)-ROW($L191)-1),0)-1),0))</f>
        <v>0</v>
      </c>
      <c r="P191" s="212">
        <f ca="1">IF($E192=-1,0,IF(P$13&lt;=$L191,IF(ISERROR(MATCH(P$13,OFFSET($L191,1,0,ROW($L$260)-ROW($L191)-1),0)),ROW($L$260)-ROW($L191)-1,MATCH(P$13,OFFSET($L191,1,0,ROW($L$260)-ROW($L191)-1),0)-1),0))</f>
        <v>0</v>
      </c>
      <c r="Q191" s="212">
        <f t="shared" ref="Q191" ca="1" si="418">MIN(OFFSET(L191,0,1,,L191))</f>
        <v>2</v>
      </c>
      <c r="R191" s="213">
        <f ca="1">IF($E192=0,OFFSET(ORÇAMENTO!X$15,$E191,0),IF($E192&lt;&gt;-1,OFFSET(QCI!$O$13,$E192,0),""))</f>
        <v>0</v>
      </c>
      <c r="S191" s="214" t="s">
        <v>270</v>
      </c>
      <c r="T191" s="215" t="e">
        <f t="shared" ref="T191:AE191" ca="1" si="419">IF(AND($Q191=2,ACOMPANHAMENTO="BM"),T192,T193/$R191)</f>
        <v>#DIV/0!</v>
      </c>
      <c r="U191" s="207" t="e">
        <f t="shared" ca="1" si="419"/>
        <v>#DIV/0!</v>
      </c>
      <c r="V191" s="207" t="e">
        <f t="shared" ca="1" si="419"/>
        <v>#DIV/0!</v>
      </c>
      <c r="W191" s="207" t="e">
        <f t="shared" ca="1" si="419"/>
        <v>#DIV/0!</v>
      </c>
      <c r="X191" s="207" t="e">
        <f t="shared" ca="1" si="419"/>
        <v>#DIV/0!</v>
      </c>
      <c r="Y191" s="207" t="e">
        <f t="shared" ca="1" si="419"/>
        <v>#DIV/0!</v>
      </c>
      <c r="Z191" s="207" t="e">
        <f t="shared" ca="1" si="419"/>
        <v>#DIV/0!</v>
      </c>
      <c r="AA191" s="207" t="e">
        <f t="shared" ca="1" si="419"/>
        <v>#DIV/0!</v>
      </c>
      <c r="AB191" s="207" t="e">
        <f t="shared" ca="1" si="419"/>
        <v>#DIV/0!</v>
      </c>
      <c r="AC191" s="207" t="e">
        <f t="shared" ca="1" si="419"/>
        <v>#DIV/0!</v>
      </c>
      <c r="AD191" s="207" t="e">
        <f t="shared" ca="1" si="419"/>
        <v>#DIV/0!</v>
      </c>
      <c r="AE191" s="216" t="e">
        <f t="shared" ca="1" si="419"/>
        <v>#DIV/0!</v>
      </c>
    </row>
    <row r="192" spans="1:32" ht="12.75" customHeight="1" x14ac:dyDescent="0.2">
      <c r="D192" s="569"/>
      <c r="E192" s="204">
        <f ca="1">IF(ISERROR(E191),IF(1+COUNTIF($L$13:OFFSET(L191,-1,0),1)&lt;=MAX(QCI!$D$13:$D$24),1+COUNTIF($L$13:OFFSET(L191,-1,0),1),-1),0)</f>
        <v>0</v>
      </c>
      <c r="F192" s="204" t="str">
        <f t="shared" ref="F192" ca="1" si="420">IF(AND($E192&lt;&gt;-1,$R191&gt;0),"F","")</f>
        <v/>
      </c>
      <c r="G192" s="217" t="str">
        <f ca="1">IF(OR(R191=0,R191=""),"vazia",IF(AND(OR(ACOMPANHAMENTO="PLE",$Q191&lt;&gt;2),$E192=0),"calculada","--&gt;"))</f>
        <v>vazia</v>
      </c>
      <c r="H192" s="218"/>
      <c r="I192" s="219" t="str">
        <f t="shared" ref="I192" ca="1" si="421">IF(AND(G191&lt;&gt;0,ISNUMBER(G191)),"PREENCHA ESTA LINHA --&gt;","")</f>
        <v/>
      </c>
      <c r="J192" s="219"/>
      <c r="K192" s="219"/>
      <c r="L192" s="220"/>
      <c r="M192" s="220"/>
      <c r="N192" s="220"/>
      <c r="O192" s="220"/>
      <c r="P192" s="220"/>
      <c r="Q192" s="220"/>
      <c r="R192" s="221"/>
      <c r="S192" s="222"/>
      <c r="T192" s="570"/>
      <c r="U192" s="569"/>
      <c r="V192" s="569"/>
      <c r="W192" s="569"/>
      <c r="X192" s="569"/>
      <c r="Y192" s="569"/>
      <c r="Z192" s="569"/>
      <c r="AA192" s="569"/>
      <c r="AB192" s="569"/>
      <c r="AC192" s="569"/>
      <c r="AD192" s="569"/>
      <c r="AE192" s="571"/>
      <c r="AF192" s="533"/>
    </row>
    <row r="193" spans="1:32" ht="0.2" hidden="1" customHeight="1" x14ac:dyDescent="0.2">
      <c r="D193" s="223">
        <f ca="1">IF($Q191=2,IF(AND(ACOMPANHAMENTO="PLE",ISNUMBER($E191)),SUMIF((OFFSET(CÁLCULO!$BC$15:$BU$15,$E191,0,OFFSET(ORÇAMENTO!$D$15,CRONO!$E191,0))),"="&amp;CRONO!D$12,OFFSET(CÁLCULO!$AJ$15:$BB$15,$E191,0,OFFSET(ORÇAMENTO!$D$15,CRONO!$E191,0)))+IF(AND($E193&lt;&gt;"",$E193&lt;&gt;0),SUMIF(CÁLCULO!$BC$15:$BU$727,"="&amp;CRONO!D$12,CÁLCULO!$AJ$15:$BB$727)/(ORÇAMENTO!$X$15-CÁLCULO.TotalAdmLocal)*CRONO!$E193,0),D192*$R191),SUMIF(OFFSET($R193,1,0,$Q191-2),($L191+1)&amp;"$",OFFSET(D193,1,0,$Q191-2)))</f>
        <v>0</v>
      </c>
      <c r="E193" s="204" t="str">
        <f ca="1">IF(OR($Q191&lt;&gt;2,AUTOEVENTO&lt;&gt;"manual",$E192&gt;0),"",SUMIF(OFFSET(CÁLCULO!$M$15,CRONO!$E191,0,OFFSET(ORÇAMENTO!$D$15,CRONO!$E191,0)),1,OFFSET(ORÇAMENTO!$X$15,CRONO!$E191,0,OFFSET(ORÇAMENTO!$D$15,CRONO!$E191,0))))</f>
        <v/>
      </c>
      <c r="G193" s="224"/>
      <c r="R193" s="225" t="str">
        <f t="shared" ref="R193" ca="1" si="422">L191&amp;"$"</f>
        <v>2$</v>
      </c>
      <c r="S193" s="226"/>
      <c r="T193" s="227">
        <f ca="1">IF($Q191=2,IF(AND(ACOMPANHAMENTO="PLE",ISNUMBER($E191)),SUMIF((OFFSET(CÁLCULO!$BC$15:$BU$15,$E191,0,OFFSET(ORÇAMENTO!$D$15,CRONO!$E191,0))),"&lt;="&amp;CRONO!T$12,OFFSET(CÁLCULO!$AJ$15:$BB$15,$E191,0,OFFSET(ORÇAMENTO!$D$15,CRONO!$E191,0)))+IF(AND($E193&lt;&gt;"",$E193&lt;&gt;0),SUMIF(CÁLCULO!$BC$15:$BU$727,"&lt;="&amp;CRONO!T$12,CÁLCULO!$AJ$15:$BB$727)/(ORÇAMENTO!$X$15-CÁLCULO.TotalAdmLocal)*CRONO!$E193,0),T192*$R191),SUMIF(OFFSET($R193,1,0,$Q191-2),($L191+1)&amp;"$",OFFSET(T193,1,0,$Q191-2)))</f>
        <v>0</v>
      </c>
      <c r="U193" s="223">
        <f ca="1">IF($Q191=2,IF(AND(ACOMPANHAMENTO="PLE",ISNUMBER($E191)),SUMIF((OFFSET(CÁLCULO!$BC$15:$BU$15,$E191,0,OFFSET(ORÇAMENTO!$D$15,CRONO!$E191,0))),"="&amp;CRONO!U$12,OFFSET(CÁLCULO!$AJ$15:$BB$15,$E191,0,OFFSET(ORÇAMENTO!$D$15,CRONO!$E191,0)))+IF(AND($E193&lt;&gt;"",$E193&lt;&gt;0),SUMIF(CÁLCULO!$BC$15:$BU$727,"="&amp;CRONO!U$12,CÁLCULO!$AJ$15:$BB$727)/(ORÇAMENTO!$X$15-CÁLCULO.TotalAdmLocal)*CRONO!$E193,0),U192*$R191),SUMIF(OFFSET($R193,1,0,$Q191-2),($L191+1)&amp;"$",OFFSET(U193,1,0,$Q191-2)))</f>
        <v>0</v>
      </c>
      <c r="V193" s="223">
        <f ca="1">IF($Q191=2,IF(AND(ACOMPANHAMENTO="PLE",ISNUMBER($E191)),SUMIF((OFFSET(CÁLCULO!$BC$15:$BU$15,$E191,0,OFFSET(ORÇAMENTO!$D$15,CRONO!$E191,0))),"="&amp;CRONO!V$12,OFFSET(CÁLCULO!$AJ$15:$BB$15,$E191,0,OFFSET(ORÇAMENTO!$D$15,CRONO!$E191,0)))+IF(AND($E193&lt;&gt;"",$E193&lt;&gt;0),SUMIF(CÁLCULO!$BC$15:$BU$727,"="&amp;CRONO!V$12,CÁLCULO!$AJ$15:$BB$727)/(ORÇAMENTO!$X$15-CÁLCULO.TotalAdmLocal)*CRONO!$E193,0),V192*$R191),SUMIF(OFFSET($R193,1,0,$Q191-2),($L191+1)&amp;"$",OFFSET(V193,1,0,$Q191-2)))</f>
        <v>0</v>
      </c>
      <c r="W193" s="223">
        <f ca="1">IF($Q191=2,IF(AND(ACOMPANHAMENTO="PLE",ISNUMBER($E191)),SUMIF((OFFSET(CÁLCULO!$BC$15:$BU$15,$E191,0,OFFSET(ORÇAMENTO!$D$15,CRONO!$E191,0))),"="&amp;CRONO!W$12,OFFSET(CÁLCULO!$AJ$15:$BB$15,$E191,0,OFFSET(ORÇAMENTO!$D$15,CRONO!$E191,0)))+IF(AND($E193&lt;&gt;"",$E193&lt;&gt;0),SUMIF(CÁLCULO!$BC$15:$BU$727,"="&amp;CRONO!W$12,CÁLCULO!$AJ$15:$BB$727)/(ORÇAMENTO!$X$15-CÁLCULO.TotalAdmLocal)*CRONO!$E193,0),W192*$R191),SUMIF(OFFSET($R193,1,0,$Q191-2),($L191+1)&amp;"$",OFFSET(W193,1,0,$Q191-2)))</f>
        <v>0</v>
      </c>
      <c r="X193" s="223">
        <f ca="1">IF($Q191=2,IF(AND(ACOMPANHAMENTO="PLE",ISNUMBER($E191)),SUMIF((OFFSET(CÁLCULO!$BC$15:$BU$15,$E191,0,OFFSET(ORÇAMENTO!$D$15,CRONO!$E191,0))),"="&amp;CRONO!X$12,OFFSET(CÁLCULO!$AJ$15:$BB$15,$E191,0,OFFSET(ORÇAMENTO!$D$15,CRONO!$E191,0)))+IF(AND($E193&lt;&gt;"",$E193&lt;&gt;0),SUMIF(CÁLCULO!$BC$15:$BU$727,"="&amp;CRONO!X$12,CÁLCULO!$AJ$15:$BB$727)/(ORÇAMENTO!$X$15-CÁLCULO.TotalAdmLocal)*CRONO!$E193,0),X192*$R191),SUMIF(OFFSET($R193,1,0,$Q191-2),($L191+1)&amp;"$",OFFSET(X193,1,0,$Q191-2)))</f>
        <v>0</v>
      </c>
      <c r="Y193" s="223">
        <f ca="1">IF($Q191=2,IF(AND(ACOMPANHAMENTO="PLE",ISNUMBER($E191)),SUMIF((OFFSET(CÁLCULO!$BC$15:$BU$15,$E191,0,OFFSET(ORÇAMENTO!$D$15,CRONO!$E191,0))),"="&amp;CRONO!Y$12,OFFSET(CÁLCULO!$AJ$15:$BB$15,$E191,0,OFFSET(ORÇAMENTO!$D$15,CRONO!$E191,0)))+IF(AND($E193&lt;&gt;"",$E193&lt;&gt;0),SUMIF(CÁLCULO!$BC$15:$BU$727,"="&amp;CRONO!Y$12,CÁLCULO!$AJ$15:$BB$727)/(ORÇAMENTO!$X$15-CÁLCULO.TotalAdmLocal)*CRONO!$E193,0),Y192*$R191),SUMIF(OFFSET($R193,1,0,$Q191-2),($L191+1)&amp;"$",OFFSET(Y193,1,0,$Q191-2)))</f>
        <v>0</v>
      </c>
      <c r="Z193" s="223">
        <f ca="1">IF($Q191=2,IF(AND(ACOMPANHAMENTO="PLE",ISNUMBER($E191)),SUMIF((OFFSET(CÁLCULO!$BC$15:$BU$15,$E191,0,OFFSET(ORÇAMENTO!$D$15,CRONO!$E191,0))),"="&amp;CRONO!Z$12,OFFSET(CÁLCULO!$AJ$15:$BB$15,$E191,0,OFFSET(ORÇAMENTO!$D$15,CRONO!$E191,0)))+IF(AND($E193&lt;&gt;"",$E193&lt;&gt;0),SUMIF(CÁLCULO!$BC$15:$BU$727,"="&amp;CRONO!Z$12,CÁLCULO!$AJ$15:$BB$727)/(ORÇAMENTO!$X$15-CÁLCULO.TotalAdmLocal)*CRONO!$E193,0),Z192*$R191),SUMIF(OFFSET($R193,1,0,$Q191-2),($L191+1)&amp;"$",OFFSET(Z193,1,0,$Q191-2)))</f>
        <v>0</v>
      </c>
      <c r="AA193" s="223">
        <f ca="1">IF($Q191=2,IF(AND(ACOMPANHAMENTO="PLE",ISNUMBER($E191)),SUMIF((OFFSET(CÁLCULO!$BC$15:$BU$15,$E191,0,OFFSET(ORÇAMENTO!$D$15,CRONO!$E191,0))),"="&amp;CRONO!AA$12,OFFSET(CÁLCULO!$AJ$15:$BB$15,$E191,0,OFFSET(ORÇAMENTO!$D$15,CRONO!$E191,0)))+IF(AND($E193&lt;&gt;"",$E193&lt;&gt;0),SUMIF(CÁLCULO!$BC$15:$BU$727,"="&amp;CRONO!AA$12,CÁLCULO!$AJ$15:$BB$727)/(ORÇAMENTO!$X$15-CÁLCULO.TotalAdmLocal)*CRONO!$E193,0),AA192*$R191),SUMIF(OFFSET($R193,1,0,$Q191-2),($L191+1)&amp;"$",OFFSET(AA193,1,0,$Q191-2)))</f>
        <v>0</v>
      </c>
      <c r="AB193" s="223">
        <f ca="1">IF($Q191=2,IF(AND(ACOMPANHAMENTO="PLE",ISNUMBER($E191)),SUMIF((OFFSET(CÁLCULO!$BC$15:$BU$15,$E191,0,OFFSET(ORÇAMENTO!$D$15,CRONO!$E191,0))),"="&amp;CRONO!AB$12,OFFSET(CÁLCULO!$AJ$15:$BB$15,$E191,0,OFFSET(ORÇAMENTO!$D$15,CRONO!$E191,0)))+IF(AND($E193&lt;&gt;"",$E193&lt;&gt;0),SUMIF(CÁLCULO!$BC$15:$BU$727,"="&amp;CRONO!AB$12,CÁLCULO!$AJ$15:$BB$727)/(ORÇAMENTO!$X$15-CÁLCULO.TotalAdmLocal)*CRONO!$E193,0),AB192*$R191),SUMIF(OFFSET($R193,1,0,$Q191-2),($L191+1)&amp;"$",OFFSET(AB193,1,0,$Q191-2)))</f>
        <v>0</v>
      </c>
      <c r="AC193" s="223">
        <f ca="1">IF($Q191=2,IF(AND(ACOMPANHAMENTO="PLE",ISNUMBER($E191)),SUMIF((OFFSET(CÁLCULO!$BC$15:$BU$15,$E191,0,OFFSET(ORÇAMENTO!$D$15,CRONO!$E191,0))),"="&amp;CRONO!AC$12,OFFSET(CÁLCULO!$AJ$15:$BB$15,$E191,0,OFFSET(ORÇAMENTO!$D$15,CRONO!$E191,0)))+IF(AND($E193&lt;&gt;"",$E193&lt;&gt;0),SUMIF(CÁLCULO!$BC$15:$BU$727,"="&amp;CRONO!AC$12,CÁLCULO!$AJ$15:$BB$727)/(ORÇAMENTO!$X$15-CÁLCULO.TotalAdmLocal)*CRONO!$E193,0),AC192*$R191),SUMIF(OFFSET($R193,1,0,$Q191-2),($L191+1)&amp;"$",OFFSET(AC193,1,0,$Q191-2)))</f>
        <v>0</v>
      </c>
      <c r="AD193" s="223">
        <f ca="1">IF($Q191=2,IF(AND(ACOMPANHAMENTO="PLE",ISNUMBER($E191)),SUMIF((OFFSET(CÁLCULO!$BC$15:$BU$15,$E191,0,OFFSET(ORÇAMENTO!$D$15,CRONO!$E191,0))),"="&amp;CRONO!AD$12,OFFSET(CÁLCULO!$AJ$15:$BB$15,$E191,0,OFFSET(ORÇAMENTO!$D$15,CRONO!$E191,0)))+IF(AND($E193&lt;&gt;"",$E193&lt;&gt;0),SUMIF(CÁLCULO!$BC$15:$BU$727,"="&amp;CRONO!AD$12,CÁLCULO!$AJ$15:$BB$727)/(ORÇAMENTO!$X$15-CÁLCULO.TotalAdmLocal)*CRONO!$E193,0),AD192*$R191),SUMIF(OFFSET($R193,1,0,$Q191-2),($L191+1)&amp;"$",OFFSET(AD193,1,0,$Q191-2)))</f>
        <v>0</v>
      </c>
      <c r="AE193" s="228">
        <f ca="1">IF($Q191=2,IF(AND(ACOMPANHAMENTO="PLE",ISNUMBER($E191)),SUMIF((OFFSET(CÁLCULO!$BC$15:$BU$15,$E191,0,OFFSET(ORÇAMENTO!$D$15,CRONO!$E191,0))),"="&amp;CRONO!AE$12,OFFSET(CÁLCULO!$AJ$15:$BB$15,$E191,0,OFFSET(ORÇAMENTO!$D$15,CRONO!$E191,0)))+IF(AND($E193&lt;&gt;"",$E193&lt;&gt;0),SUMIF(CÁLCULO!$BC$15:$BU$727,"="&amp;CRONO!AE$12,CÁLCULO!$AJ$15:$BB$727)/(ORÇAMENTO!$X$15-CÁLCULO.TotalAdmLocal)*CRONO!$E193,0),AE192*$R191),SUMIF(OFFSET($R193,1,0,$Q191-2),($L191+1)&amp;"$",OFFSET(AE193,1,0,$Q191-2)))</f>
        <v>0</v>
      </c>
    </row>
    <row r="194" spans="1:32" x14ac:dyDescent="0.2">
      <c r="A194" s="204">
        <f t="shared" ref="A194" ca="1" si="423">OFFSET(A194,-3,0)+1</f>
        <v>61</v>
      </c>
      <c r="B194" s="204">
        <f ca="1">IF($Q194&lt;&gt;2,0,IF($R194=0,1,IF(E195&gt;0,OFFSET(QCI!$M$13,SUBSTITUTE(E195,".",""),0),OFFSET(ORÇAMENTO!$AA$15,CRONO!$E194,0))/$R194))</f>
        <v>1</v>
      </c>
      <c r="C194" s="204">
        <f ca="1">IF($Q194&lt;&gt;2,0,IF($R194=0,1,IF(E195&gt;0,OFFSET(QCI!$N$13,SUBSTITUTE(E195,".",""),0),OFFSET(ORÇAMENTO!$AB$15,CRONO!$E194,0))/$R194))</f>
        <v>1</v>
      </c>
      <c r="D194" s="207" t="e">
        <f ca="1">IF(AND($Q194=2,ACOMPANHAMENTO="BM"),D195,D196/$R194)</f>
        <v>#DIV/0!</v>
      </c>
      <c r="E194" s="204">
        <f ca="1">IF(A194&lt;=ORÇAMENTO.MáximoListaCrono,MATCH(A194,ORÇAMENTO.ListaCrono,0),NA())</f>
        <v>580</v>
      </c>
      <c r="F194" s="204" t="str">
        <f t="shared" ref="F194" ca="1" si="424">IF(AND($E195&lt;&gt;-1,$R194&gt;0),"F","")</f>
        <v/>
      </c>
      <c r="G194" s="208" t="str">
        <f ca="1">IF(OR(R194=0,R194=""),"Linha",IF(AND(OR(ACOMPANHAMENTO="PLE",$Q194&lt;&gt;2),$E195=0),"Linha",1-SUM(T194:AF194)))</f>
        <v>Linha</v>
      </c>
      <c r="H194" s="209" t="str">
        <f ca="1">IF($E195=0,OFFSET(ORÇAMENTO!O$15,$E194,0),IF($E195&lt;&gt;-1,OFFSET(QCI!$D$13,$E195,0),""))</f>
        <v>1.60.</v>
      </c>
      <c r="I194" s="210" t="str">
        <f ca="1">IF($E195=0,OFFSET(ORÇAMENTO!R$15,$E194,0),IF($E195&lt;&gt;-1,OFFSET(QCI!$G$13,$E195,0),""))</f>
        <v>INSTALAÇÃO ELÉTRICA 110V - ILUMINAÇÃO</v>
      </c>
      <c r="J194" s="210"/>
      <c r="K194" s="210"/>
      <c r="L194" s="211">
        <f ca="1">IF($E195=0,OFFSET(ORÇAMENTO!C$15,$E194,0),1)</f>
        <v>2</v>
      </c>
      <c r="M194" s="212">
        <f ca="1">IF($E195=-1,0,IF(M$13&lt;=$L194,IF(ISERROR(MATCH(M$13,OFFSET($L194,1,0,ROW($L$260)-ROW($L194)-1),0)),ROW($L$260)-ROW($L194)-1,MATCH(M$13,OFFSET($L194,1,0,ROW($L$260)-ROW($L194)-1),0)-1),0))</f>
        <v>65</v>
      </c>
      <c r="N194" s="212">
        <f ca="1">IF($E195=-1,0,IF(N$13&lt;=$L194,IF(ISERROR(MATCH(N$13,OFFSET($L194,1,0,ROW($L$260)-ROW($L194)-1),0)),ROW($L$260)-ROW($L194)-1,MATCH(N$13,OFFSET($L194,1,0,ROW($L$260)-ROW($L194)-1),0)-1),0))</f>
        <v>2</v>
      </c>
      <c r="O194" s="212">
        <f ca="1">IF($E195=-1,0,IF(O$13&lt;=$L194,IF(ISERROR(MATCH(O$13,OFFSET($L194,1,0,ROW($L$260)-ROW($L194)-1),0)),ROW($L$260)-ROW($L194)-1,MATCH(O$13,OFFSET($L194,1,0,ROW($L$260)-ROW($L194)-1),0)-1),0))</f>
        <v>0</v>
      </c>
      <c r="P194" s="212">
        <f ca="1">IF($E195=-1,0,IF(P$13&lt;=$L194,IF(ISERROR(MATCH(P$13,OFFSET($L194,1,0,ROW($L$260)-ROW($L194)-1),0)),ROW($L$260)-ROW($L194)-1,MATCH(P$13,OFFSET($L194,1,0,ROW($L$260)-ROW($L194)-1),0)-1),0))</f>
        <v>0</v>
      </c>
      <c r="Q194" s="212">
        <f t="shared" ref="Q194" ca="1" si="425">MIN(OFFSET(L194,0,1,,L194))</f>
        <v>2</v>
      </c>
      <c r="R194" s="213">
        <f ca="1">IF($E195=0,OFFSET(ORÇAMENTO!X$15,$E194,0),IF($E195&lt;&gt;-1,OFFSET(QCI!$O$13,$E195,0),""))</f>
        <v>0</v>
      </c>
      <c r="S194" s="214" t="s">
        <v>270</v>
      </c>
      <c r="T194" s="215" t="e">
        <f t="shared" ref="T194:AE194" ca="1" si="426">IF(AND($Q194=2,ACOMPANHAMENTO="BM"),T195,T196/$R194)</f>
        <v>#DIV/0!</v>
      </c>
      <c r="U194" s="207" t="e">
        <f t="shared" ca="1" si="426"/>
        <v>#DIV/0!</v>
      </c>
      <c r="V194" s="207" t="e">
        <f t="shared" ca="1" si="426"/>
        <v>#DIV/0!</v>
      </c>
      <c r="W194" s="207" t="e">
        <f t="shared" ca="1" si="426"/>
        <v>#DIV/0!</v>
      </c>
      <c r="X194" s="207" t="e">
        <f t="shared" ca="1" si="426"/>
        <v>#DIV/0!</v>
      </c>
      <c r="Y194" s="207" t="e">
        <f t="shared" ca="1" si="426"/>
        <v>#DIV/0!</v>
      </c>
      <c r="Z194" s="207" t="e">
        <f t="shared" ca="1" si="426"/>
        <v>#DIV/0!</v>
      </c>
      <c r="AA194" s="207" t="e">
        <f t="shared" ca="1" si="426"/>
        <v>#DIV/0!</v>
      </c>
      <c r="AB194" s="207" t="e">
        <f t="shared" ca="1" si="426"/>
        <v>#DIV/0!</v>
      </c>
      <c r="AC194" s="207" t="e">
        <f t="shared" ca="1" si="426"/>
        <v>#DIV/0!</v>
      </c>
      <c r="AD194" s="207" t="e">
        <f t="shared" ca="1" si="426"/>
        <v>#DIV/0!</v>
      </c>
      <c r="AE194" s="216" t="e">
        <f t="shared" ca="1" si="426"/>
        <v>#DIV/0!</v>
      </c>
    </row>
    <row r="195" spans="1:32" ht="12.75" customHeight="1" x14ac:dyDescent="0.2">
      <c r="D195" s="569"/>
      <c r="E195" s="204">
        <f ca="1">IF(ISERROR(E194),IF(1+COUNTIF($L$13:OFFSET(L194,-1,0),1)&lt;=MAX(QCI!$D$13:$D$24),1+COUNTIF($L$13:OFFSET(L194,-1,0),1),-1),0)</f>
        <v>0</v>
      </c>
      <c r="F195" s="204" t="str">
        <f t="shared" ref="F195" ca="1" si="427">IF(AND($E195&lt;&gt;-1,$R194&gt;0),"F","")</f>
        <v/>
      </c>
      <c r="G195" s="217" t="str">
        <f ca="1">IF(OR(R194=0,R194=""),"vazia",IF(AND(OR(ACOMPANHAMENTO="PLE",$Q194&lt;&gt;2),$E195=0),"calculada","--&gt;"))</f>
        <v>vazia</v>
      </c>
      <c r="H195" s="218"/>
      <c r="I195" s="219" t="str">
        <f t="shared" ref="I195" ca="1" si="428">IF(AND(G194&lt;&gt;0,ISNUMBER(G194)),"PREENCHA ESTA LINHA --&gt;","")</f>
        <v/>
      </c>
      <c r="J195" s="219"/>
      <c r="K195" s="219"/>
      <c r="L195" s="220"/>
      <c r="M195" s="220"/>
      <c r="N195" s="220"/>
      <c r="O195" s="220"/>
      <c r="P195" s="220"/>
      <c r="Q195" s="220"/>
      <c r="R195" s="221"/>
      <c r="S195" s="222"/>
      <c r="T195" s="570"/>
      <c r="U195" s="569"/>
      <c r="V195" s="569"/>
      <c r="W195" s="569"/>
      <c r="X195" s="569"/>
      <c r="Y195" s="569"/>
      <c r="Z195" s="569"/>
      <c r="AA195" s="569"/>
      <c r="AB195" s="569"/>
      <c r="AC195" s="569"/>
      <c r="AD195" s="569"/>
      <c r="AE195" s="571"/>
      <c r="AF195" s="533"/>
    </row>
    <row r="196" spans="1:32" ht="0.2" hidden="1" customHeight="1" x14ac:dyDescent="0.2">
      <c r="D196" s="223">
        <f ca="1">IF($Q194=2,IF(AND(ACOMPANHAMENTO="PLE",ISNUMBER($E194)),SUMIF((OFFSET(CÁLCULO!$BC$15:$BU$15,$E194,0,OFFSET(ORÇAMENTO!$D$15,CRONO!$E194,0))),"="&amp;CRONO!D$12,OFFSET(CÁLCULO!$AJ$15:$BB$15,$E194,0,OFFSET(ORÇAMENTO!$D$15,CRONO!$E194,0)))+IF(AND($E196&lt;&gt;"",$E196&lt;&gt;0),SUMIF(CÁLCULO!$BC$15:$BU$727,"="&amp;CRONO!D$12,CÁLCULO!$AJ$15:$BB$727)/(ORÇAMENTO!$X$15-CÁLCULO.TotalAdmLocal)*CRONO!$E196,0),D195*$R194),SUMIF(OFFSET($R196,1,0,$Q194-2),($L194+1)&amp;"$",OFFSET(D196,1,0,$Q194-2)))</f>
        <v>0</v>
      </c>
      <c r="E196" s="204" t="str">
        <f ca="1">IF(OR($Q194&lt;&gt;2,AUTOEVENTO&lt;&gt;"manual",$E195&gt;0),"",SUMIF(OFFSET(CÁLCULO!$M$15,CRONO!$E194,0,OFFSET(ORÇAMENTO!$D$15,CRONO!$E194,0)),1,OFFSET(ORÇAMENTO!$X$15,CRONO!$E194,0,OFFSET(ORÇAMENTO!$D$15,CRONO!$E194,0))))</f>
        <v/>
      </c>
      <c r="G196" s="224"/>
      <c r="R196" s="225" t="str">
        <f t="shared" ref="R196" ca="1" si="429">L194&amp;"$"</f>
        <v>2$</v>
      </c>
      <c r="S196" s="226"/>
      <c r="T196" s="227">
        <f ca="1">IF($Q194=2,IF(AND(ACOMPANHAMENTO="PLE",ISNUMBER($E194)),SUMIF((OFFSET(CÁLCULO!$BC$15:$BU$15,$E194,0,OFFSET(ORÇAMENTO!$D$15,CRONO!$E194,0))),"&lt;="&amp;CRONO!T$12,OFFSET(CÁLCULO!$AJ$15:$BB$15,$E194,0,OFFSET(ORÇAMENTO!$D$15,CRONO!$E194,0)))+IF(AND($E196&lt;&gt;"",$E196&lt;&gt;0),SUMIF(CÁLCULO!$BC$15:$BU$727,"&lt;="&amp;CRONO!T$12,CÁLCULO!$AJ$15:$BB$727)/(ORÇAMENTO!$X$15-CÁLCULO.TotalAdmLocal)*CRONO!$E196,0),T195*$R194),SUMIF(OFFSET($R196,1,0,$Q194-2),($L194+1)&amp;"$",OFFSET(T196,1,0,$Q194-2)))</f>
        <v>0</v>
      </c>
      <c r="U196" s="223">
        <f ca="1">IF($Q194=2,IF(AND(ACOMPANHAMENTO="PLE",ISNUMBER($E194)),SUMIF((OFFSET(CÁLCULO!$BC$15:$BU$15,$E194,0,OFFSET(ORÇAMENTO!$D$15,CRONO!$E194,0))),"="&amp;CRONO!U$12,OFFSET(CÁLCULO!$AJ$15:$BB$15,$E194,0,OFFSET(ORÇAMENTO!$D$15,CRONO!$E194,0)))+IF(AND($E196&lt;&gt;"",$E196&lt;&gt;0),SUMIF(CÁLCULO!$BC$15:$BU$727,"="&amp;CRONO!U$12,CÁLCULO!$AJ$15:$BB$727)/(ORÇAMENTO!$X$15-CÁLCULO.TotalAdmLocal)*CRONO!$E196,0),U195*$R194),SUMIF(OFFSET($R196,1,0,$Q194-2),($L194+1)&amp;"$",OFFSET(U196,1,0,$Q194-2)))</f>
        <v>0</v>
      </c>
      <c r="V196" s="223">
        <f ca="1">IF($Q194=2,IF(AND(ACOMPANHAMENTO="PLE",ISNUMBER($E194)),SUMIF((OFFSET(CÁLCULO!$BC$15:$BU$15,$E194,0,OFFSET(ORÇAMENTO!$D$15,CRONO!$E194,0))),"="&amp;CRONO!V$12,OFFSET(CÁLCULO!$AJ$15:$BB$15,$E194,0,OFFSET(ORÇAMENTO!$D$15,CRONO!$E194,0)))+IF(AND($E196&lt;&gt;"",$E196&lt;&gt;0),SUMIF(CÁLCULO!$BC$15:$BU$727,"="&amp;CRONO!V$12,CÁLCULO!$AJ$15:$BB$727)/(ORÇAMENTO!$X$15-CÁLCULO.TotalAdmLocal)*CRONO!$E196,0),V195*$R194),SUMIF(OFFSET($R196,1,0,$Q194-2),($L194+1)&amp;"$",OFFSET(V196,1,0,$Q194-2)))</f>
        <v>0</v>
      </c>
      <c r="W196" s="223">
        <f ca="1">IF($Q194=2,IF(AND(ACOMPANHAMENTO="PLE",ISNUMBER($E194)),SUMIF((OFFSET(CÁLCULO!$BC$15:$BU$15,$E194,0,OFFSET(ORÇAMENTO!$D$15,CRONO!$E194,0))),"="&amp;CRONO!W$12,OFFSET(CÁLCULO!$AJ$15:$BB$15,$E194,0,OFFSET(ORÇAMENTO!$D$15,CRONO!$E194,0)))+IF(AND($E196&lt;&gt;"",$E196&lt;&gt;0),SUMIF(CÁLCULO!$BC$15:$BU$727,"="&amp;CRONO!W$12,CÁLCULO!$AJ$15:$BB$727)/(ORÇAMENTO!$X$15-CÁLCULO.TotalAdmLocal)*CRONO!$E196,0),W195*$R194),SUMIF(OFFSET($R196,1,0,$Q194-2),($L194+1)&amp;"$",OFFSET(W196,1,0,$Q194-2)))</f>
        <v>0</v>
      </c>
      <c r="X196" s="223">
        <f ca="1">IF($Q194=2,IF(AND(ACOMPANHAMENTO="PLE",ISNUMBER($E194)),SUMIF((OFFSET(CÁLCULO!$BC$15:$BU$15,$E194,0,OFFSET(ORÇAMENTO!$D$15,CRONO!$E194,0))),"="&amp;CRONO!X$12,OFFSET(CÁLCULO!$AJ$15:$BB$15,$E194,0,OFFSET(ORÇAMENTO!$D$15,CRONO!$E194,0)))+IF(AND($E196&lt;&gt;"",$E196&lt;&gt;0),SUMIF(CÁLCULO!$BC$15:$BU$727,"="&amp;CRONO!X$12,CÁLCULO!$AJ$15:$BB$727)/(ORÇAMENTO!$X$15-CÁLCULO.TotalAdmLocal)*CRONO!$E196,0),X195*$R194),SUMIF(OFFSET($R196,1,0,$Q194-2),($L194+1)&amp;"$",OFFSET(X196,1,0,$Q194-2)))</f>
        <v>0</v>
      </c>
      <c r="Y196" s="223">
        <f ca="1">IF($Q194=2,IF(AND(ACOMPANHAMENTO="PLE",ISNUMBER($E194)),SUMIF((OFFSET(CÁLCULO!$BC$15:$BU$15,$E194,0,OFFSET(ORÇAMENTO!$D$15,CRONO!$E194,0))),"="&amp;CRONO!Y$12,OFFSET(CÁLCULO!$AJ$15:$BB$15,$E194,0,OFFSET(ORÇAMENTO!$D$15,CRONO!$E194,0)))+IF(AND($E196&lt;&gt;"",$E196&lt;&gt;0),SUMIF(CÁLCULO!$BC$15:$BU$727,"="&amp;CRONO!Y$12,CÁLCULO!$AJ$15:$BB$727)/(ORÇAMENTO!$X$15-CÁLCULO.TotalAdmLocal)*CRONO!$E196,0),Y195*$R194),SUMIF(OFFSET($R196,1,0,$Q194-2),($L194+1)&amp;"$",OFFSET(Y196,1,0,$Q194-2)))</f>
        <v>0</v>
      </c>
      <c r="Z196" s="223">
        <f ca="1">IF($Q194=2,IF(AND(ACOMPANHAMENTO="PLE",ISNUMBER($E194)),SUMIF((OFFSET(CÁLCULO!$BC$15:$BU$15,$E194,0,OFFSET(ORÇAMENTO!$D$15,CRONO!$E194,0))),"="&amp;CRONO!Z$12,OFFSET(CÁLCULO!$AJ$15:$BB$15,$E194,0,OFFSET(ORÇAMENTO!$D$15,CRONO!$E194,0)))+IF(AND($E196&lt;&gt;"",$E196&lt;&gt;0),SUMIF(CÁLCULO!$BC$15:$BU$727,"="&amp;CRONO!Z$12,CÁLCULO!$AJ$15:$BB$727)/(ORÇAMENTO!$X$15-CÁLCULO.TotalAdmLocal)*CRONO!$E196,0),Z195*$R194),SUMIF(OFFSET($R196,1,0,$Q194-2),($L194+1)&amp;"$",OFFSET(Z196,1,0,$Q194-2)))</f>
        <v>0</v>
      </c>
      <c r="AA196" s="223">
        <f ca="1">IF($Q194=2,IF(AND(ACOMPANHAMENTO="PLE",ISNUMBER($E194)),SUMIF((OFFSET(CÁLCULO!$BC$15:$BU$15,$E194,0,OFFSET(ORÇAMENTO!$D$15,CRONO!$E194,0))),"="&amp;CRONO!AA$12,OFFSET(CÁLCULO!$AJ$15:$BB$15,$E194,0,OFFSET(ORÇAMENTO!$D$15,CRONO!$E194,0)))+IF(AND($E196&lt;&gt;"",$E196&lt;&gt;0),SUMIF(CÁLCULO!$BC$15:$BU$727,"="&amp;CRONO!AA$12,CÁLCULO!$AJ$15:$BB$727)/(ORÇAMENTO!$X$15-CÁLCULO.TotalAdmLocal)*CRONO!$E196,0),AA195*$R194),SUMIF(OFFSET($R196,1,0,$Q194-2),($L194+1)&amp;"$",OFFSET(AA196,1,0,$Q194-2)))</f>
        <v>0</v>
      </c>
      <c r="AB196" s="223">
        <f ca="1">IF($Q194=2,IF(AND(ACOMPANHAMENTO="PLE",ISNUMBER($E194)),SUMIF((OFFSET(CÁLCULO!$BC$15:$BU$15,$E194,0,OFFSET(ORÇAMENTO!$D$15,CRONO!$E194,0))),"="&amp;CRONO!AB$12,OFFSET(CÁLCULO!$AJ$15:$BB$15,$E194,0,OFFSET(ORÇAMENTO!$D$15,CRONO!$E194,0)))+IF(AND($E196&lt;&gt;"",$E196&lt;&gt;0),SUMIF(CÁLCULO!$BC$15:$BU$727,"="&amp;CRONO!AB$12,CÁLCULO!$AJ$15:$BB$727)/(ORÇAMENTO!$X$15-CÁLCULO.TotalAdmLocal)*CRONO!$E196,0),AB195*$R194),SUMIF(OFFSET($R196,1,0,$Q194-2),($L194+1)&amp;"$",OFFSET(AB196,1,0,$Q194-2)))</f>
        <v>0</v>
      </c>
      <c r="AC196" s="223">
        <f ca="1">IF($Q194=2,IF(AND(ACOMPANHAMENTO="PLE",ISNUMBER($E194)),SUMIF((OFFSET(CÁLCULO!$BC$15:$BU$15,$E194,0,OFFSET(ORÇAMENTO!$D$15,CRONO!$E194,0))),"="&amp;CRONO!AC$12,OFFSET(CÁLCULO!$AJ$15:$BB$15,$E194,0,OFFSET(ORÇAMENTO!$D$15,CRONO!$E194,0)))+IF(AND($E196&lt;&gt;"",$E196&lt;&gt;0),SUMIF(CÁLCULO!$BC$15:$BU$727,"="&amp;CRONO!AC$12,CÁLCULO!$AJ$15:$BB$727)/(ORÇAMENTO!$X$15-CÁLCULO.TotalAdmLocal)*CRONO!$E196,0),AC195*$R194),SUMIF(OFFSET($R196,1,0,$Q194-2),($L194+1)&amp;"$",OFFSET(AC196,1,0,$Q194-2)))</f>
        <v>0</v>
      </c>
      <c r="AD196" s="223">
        <f ca="1">IF($Q194=2,IF(AND(ACOMPANHAMENTO="PLE",ISNUMBER($E194)),SUMIF((OFFSET(CÁLCULO!$BC$15:$BU$15,$E194,0,OFFSET(ORÇAMENTO!$D$15,CRONO!$E194,0))),"="&amp;CRONO!AD$12,OFFSET(CÁLCULO!$AJ$15:$BB$15,$E194,0,OFFSET(ORÇAMENTO!$D$15,CRONO!$E194,0)))+IF(AND($E196&lt;&gt;"",$E196&lt;&gt;0),SUMIF(CÁLCULO!$BC$15:$BU$727,"="&amp;CRONO!AD$12,CÁLCULO!$AJ$15:$BB$727)/(ORÇAMENTO!$X$15-CÁLCULO.TotalAdmLocal)*CRONO!$E196,0),AD195*$R194),SUMIF(OFFSET($R196,1,0,$Q194-2),($L194+1)&amp;"$",OFFSET(AD196,1,0,$Q194-2)))</f>
        <v>0</v>
      </c>
      <c r="AE196" s="228">
        <f ca="1">IF($Q194=2,IF(AND(ACOMPANHAMENTO="PLE",ISNUMBER($E194)),SUMIF((OFFSET(CÁLCULO!$BC$15:$BU$15,$E194,0,OFFSET(ORÇAMENTO!$D$15,CRONO!$E194,0))),"="&amp;CRONO!AE$12,OFFSET(CÁLCULO!$AJ$15:$BB$15,$E194,0,OFFSET(ORÇAMENTO!$D$15,CRONO!$E194,0)))+IF(AND($E196&lt;&gt;"",$E196&lt;&gt;0),SUMIF(CÁLCULO!$BC$15:$BU$727,"="&amp;CRONO!AE$12,CÁLCULO!$AJ$15:$BB$727)/(ORÇAMENTO!$X$15-CÁLCULO.TotalAdmLocal)*CRONO!$E196,0),AE195*$R194),SUMIF(OFFSET($R196,1,0,$Q194-2),($L194+1)&amp;"$",OFFSET(AE196,1,0,$Q194-2)))</f>
        <v>0</v>
      </c>
    </row>
    <row r="197" spans="1:32" x14ac:dyDescent="0.2">
      <c r="A197" s="204">
        <f t="shared" ref="A197" ca="1" si="430">OFFSET(A197,-3,0)+1</f>
        <v>62</v>
      </c>
      <c r="B197" s="204">
        <f ca="1">IF($Q197&lt;&gt;2,0,IF($R197=0,1,IF(E198&gt;0,OFFSET(QCI!$M$13,SUBSTITUTE(E198,".",""),0),OFFSET(ORÇAMENTO!$AA$15,CRONO!$E197,0))/$R197))</f>
        <v>1</v>
      </c>
      <c r="C197" s="204">
        <f ca="1">IF($Q197&lt;&gt;2,0,IF($R197=0,1,IF(E198&gt;0,OFFSET(QCI!$N$13,SUBSTITUTE(E198,".",""),0),OFFSET(ORÇAMENTO!$AB$15,CRONO!$E197,0))/$R197))</f>
        <v>1</v>
      </c>
      <c r="D197" s="207" t="e">
        <f ca="1">IF(AND($Q197=2,ACOMPANHAMENTO="BM"),D198,D199/$R197)</f>
        <v>#DIV/0!</v>
      </c>
      <c r="E197" s="204">
        <f ca="1">IF(A197&lt;=ORÇAMENTO.MáximoListaCrono,MATCH(A197,ORÇAMENTO.ListaCrono,0),NA())</f>
        <v>589</v>
      </c>
      <c r="F197" s="204" t="str">
        <f t="shared" ref="F197" ca="1" si="431">IF(AND($E198&lt;&gt;-1,$R197&gt;0),"F","")</f>
        <v/>
      </c>
      <c r="G197" s="208" t="str">
        <f ca="1">IF(OR(R197=0,R197=""),"Linha",IF(AND(OR(ACOMPANHAMENTO="PLE",$Q197&lt;&gt;2),$E198=0),"Linha",1-SUM(T197:AF197)))</f>
        <v>Linha</v>
      </c>
      <c r="H197" s="209" t="str">
        <f ca="1">IF($E198=0,OFFSET(ORÇAMENTO!O$15,$E197,0),IF($E198&lt;&gt;-1,OFFSET(QCI!$D$13,$E198,0),""))</f>
        <v>1.61.</v>
      </c>
      <c r="I197" s="210" t="str">
        <f ca="1">IF($E198=0,OFFSET(ORÇAMENTO!R$15,$E197,0),IF($E198&lt;&gt;-1,OFFSET(QCI!$G$13,$E198,0),""))</f>
        <v>INSTALAÇÃO ELÉTRICA 110V - QUADROS</v>
      </c>
      <c r="J197" s="210"/>
      <c r="K197" s="210"/>
      <c r="L197" s="211">
        <f ca="1">IF($E198=0,OFFSET(ORÇAMENTO!C$15,$E197,0),1)</f>
        <v>2</v>
      </c>
      <c r="M197" s="212">
        <f ca="1">IF($E198=-1,0,IF(M$13&lt;=$L197,IF(ISERROR(MATCH(M$13,OFFSET($L197,1,0,ROW($L$260)-ROW($L197)-1),0)),ROW($L$260)-ROW($L197)-1,MATCH(M$13,OFFSET($L197,1,0,ROW($L$260)-ROW($L197)-1),0)-1),0))</f>
        <v>62</v>
      </c>
      <c r="N197" s="212">
        <f ca="1">IF($E198=-1,0,IF(N$13&lt;=$L197,IF(ISERROR(MATCH(N$13,OFFSET($L197,1,0,ROW($L$260)-ROW($L197)-1),0)),ROW($L$260)-ROW($L197)-1,MATCH(N$13,OFFSET($L197,1,0,ROW($L$260)-ROW($L197)-1),0)-1),0))</f>
        <v>2</v>
      </c>
      <c r="O197" s="212">
        <f ca="1">IF($E198=-1,0,IF(O$13&lt;=$L197,IF(ISERROR(MATCH(O$13,OFFSET($L197,1,0,ROW($L$260)-ROW($L197)-1),0)),ROW($L$260)-ROW($L197)-1,MATCH(O$13,OFFSET($L197,1,0,ROW($L$260)-ROW($L197)-1),0)-1),0))</f>
        <v>0</v>
      </c>
      <c r="P197" s="212">
        <f ca="1">IF($E198=-1,0,IF(P$13&lt;=$L197,IF(ISERROR(MATCH(P$13,OFFSET($L197,1,0,ROW($L$260)-ROW($L197)-1),0)),ROW($L$260)-ROW($L197)-1,MATCH(P$13,OFFSET($L197,1,0,ROW($L$260)-ROW($L197)-1),0)-1),0))</f>
        <v>0</v>
      </c>
      <c r="Q197" s="212">
        <f t="shared" ref="Q197" ca="1" si="432">MIN(OFFSET(L197,0,1,,L197))</f>
        <v>2</v>
      </c>
      <c r="R197" s="213">
        <f ca="1">IF($E198=0,OFFSET(ORÇAMENTO!X$15,$E197,0),IF($E198&lt;&gt;-1,OFFSET(QCI!$O$13,$E198,0),""))</f>
        <v>0</v>
      </c>
      <c r="S197" s="214" t="s">
        <v>270</v>
      </c>
      <c r="T197" s="215" t="e">
        <f t="shared" ref="T197:AE197" ca="1" si="433">IF(AND($Q197=2,ACOMPANHAMENTO="BM"),T198,T199/$R197)</f>
        <v>#DIV/0!</v>
      </c>
      <c r="U197" s="207" t="e">
        <f t="shared" ca="1" si="433"/>
        <v>#DIV/0!</v>
      </c>
      <c r="V197" s="207" t="e">
        <f t="shared" ca="1" si="433"/>
        <v>#DIV/0!</v>
      </c>
      <c r="W197" s="207" t="e">
        <f t="shared" ca="1" si="433"/>
        <v>#DIV/0!</v>
      </c>
      <c r="X197" s="207" t="e">
        <f t="shared" ca="1" si="433"/>
        <v>#DIV/0!</v>
      </c>
      <c r="Y197" s="207" t="e">
        <f t="shared" ca="1" si="433"/>
        <v>#DIV/0!</v>
      </c>
      <c r="Z197" s="207" t="e">
        <f t="shared" ca="1" si="433"/>
        <v>#DIV/0!</v>
      </c>
      <c r="AA197" s="207" t="e">
        <f t="shared" ca="1" si="433"/>
        <v>#DIV/0!</v>
      </c>
      <c r="AB197" s="207" t="e">
        <f t="shared" ca="1" si="433"/>
        <v>#DIV/0!</v>
      </c>
      <c r="AC197" s="207" t="e">
        <f t="shared" ca="1" si="433"/>
        <v>#DIV/0!</v>
      </c>
      <c r="AD197" s="207" t="e">
        <f t="shared" ca="1" si="433"/>
        <v>#DIV/0!</v>
      </c>
      <c r="AE197" s="216" t="e">
        <f t="shared" ca="1" si="433"/>
        <v>#DIV/0!</v>
      </c>
    </row>
    <row r="198" spans="1:32" ht="12.75" customHeight="1" x14ac:dyDescent="0.2">
      <c r="D198" s="569"/>
      <c r="E198" s="204">
        <f ca="1">IF(ISERROR(E197),IF(1+COUNTIF($L$13:OFFSET(L197,-1,0),1)&lt;=MAX(QCI!$D$13:$D$24),1+COUNTIF($L$13:OFFSET(L197,-1,0),1),-1),0)</f>
        <v>0</v>
      </c>
      <c r="F198" s="204" t="str">
        <f t="shared" ref="F198" ca="1" si="434">IF(AND($E198&lt;&gt;-1,$R197&gt;0),"F","")</f>
        <v/>
      </c>
      <c r="G198" s="217" t="str">
        <f ca="1">IF(OR(R197=0,R197=""),"vazia",IF(AND(OR(ACOMPANHAMENTO="PLE",$Q197&lt;&gt;2),$E198=0),"calculada","--&gt;"))</f>
        <v>vazia</v>
      </c>
      <c r="H198" s="218"/>
      <c r="I198" s="219" t="str">
        <f t="shared" ref="I198" ca="1" si="435">IF(AND(G197&lt;&gt;0,ISNUMBER(G197)),"PREENCHA ESTA LINHA --&gt;","")</f>
        <v/>
      </c>
      <c r="J198" s="219"/>
      <c r="K198" s="219"/>
      <c r="L198" s="220"/>
      <c r="M198" s="220"/>
      <c r="N198" s="220"/>
      <c r="O198" s="220"/>
      <c r="P198" s="220"/>
      <c r="Q198" s="220"/>
      <c r="R198" s="221"/>
      <c r="S198" s="222"/>
      <c r="T198" s="570"/>
      <c r="U198" s="569"/>
      <c r="V198" s="569"/>
      <c r="W198" s="569"/>
      <c r="X198" s="569"/>
      <c r="Y198" s="569"/>
      <c r="Z198" s="569"/>
      <c r="AA198" s="569"/>
      <c r="AB198" s="569"/>
      <c r="AC198" s="569"/>
      <c r="AD198" s="569"/>
      <c r="AE198" s="571"/>
      <c r="AF198" s="533"/>
    </row>
    <row r="199" spans="1:32" ht="0.2" hidden="1" customHeight="1" x14ac:dyDescent="0.2">
      <c r="D199" s="223">
        <f ca="1">IF($Q197=2,IF(AND(ACOMPANHAMENTO="PLE",ISNUMBER($E197)),SUMIF((OFFSET(CÁLCULO!$BC$15:$BU$15,$E197,0,OFFSET(ORÇAMENTO!$D$15,CRONO!$E197,0))),"="&amp;CRONO!D$12,OFFSET(CÁLCULO!$AJ$15:$BB$15,$E197,0,OFFSET(ORÇAMENTO!$D$15,CRONO!$E197,0)))+IF(AND($E199&lt;&gt;"",$E199&lt;&gt;0),SUMIF(CÁLCULO!$BC$15:$BU$727,"="&amp;CRONO!D$12,CÁLCULO!$AJ$15:$BB$727)/(ORÇAMENTO!$X$15-CÁLCULO.TotalAdmLocal)*CRONO!$E199,0),D198*$R197),SUMIF(OFFSET($R199,1,0,$Q197-2),($L197+1)&amp;"$",OFFSET(D199,1,0,$Q197-2)))</f>
        <v>0</v>
      </c>
      <c r="E199" s="204" t="str">
        <f ca="1">IF(OR($Q197&lt;&gt;2,AUTOEVENTO&lt;&gt;"manual",$E198&gt;0),"",SUMIF(OFFSET(CÁLCULO!$M$15,CRONO!$E197,0,OFFSET(ORÇAMENTO!$D$15,CRONO!$E197,0)),1,OFFSET(ORÇAMENTO!$X$15,CRONO!$E197,0,OFFSET(ORÇAMENTO!$D$15,CRONO!$E197,0))))</f>
        <v/>
      </c>
      <c r="G199" s="224"/>
      <c r="R199" s="225" t="str">
        <f t="shared" ref="R199" ca="1" si="436">L197&amp;"$"</f>
        <v>2$</v>
      </c>
      <c r="S199" s="226"/>
      <c r="T199" s="227">
        <f ca="1">IF($Q197=2,IF(AND(ACOMPANHAMENTO="PLE",ISNUMBER($E197)),SUMIF((OFFSET(CÁLCULO!$BC$15:$BU$15,$E197,0,OFFSET(ORÇAMENTO!$D$15,CRONO!$E197,0))),"&lt;="&amp;CRONO!T$12,OFFSET(CÁLCULO!$AJ$15:$BB$15,$E197,0,OFFSET(ORÇAMENTO!$D$15,CRONO!$E197,0)))+IF(AND($E199&lt;&gt;"",$E199&lt;&gt;0),SUMIF(CÁLCULO!$BC$15:$BU$727,"&lt;="&amp;CRONO!T$12,CÁLCULO!$AJ$15:$BB$727)/(ORÇAMENTO!$X$15-CÁLCULO.TotalAdmLocal)*CRONO!$E199,0),T198*$R197),SUMIF(OFFSET($R199,1,0,$Q197-2),($L197+1)&amp;"$",OFFSET(T199,1,0,$Q197-2)))</f>
        <v>0</v>
      </c>
      <c r="U199" s="223">
        <f ca="1">IF($Q197=2,IF(AND(ACOMPANHAMENTO="PLE",ISNUMBER($E197)),SUMIF((OFFSET(CÁLCULO!$BC$15:$BU$15,$E197,0,OFFSET(ORÇAMENTO!$D$15,CRONO!$E197,0))),"="&amp;CRONO!U$12,OFFSET(CÁLCULO!$AJ$15:$BB$15,$E197,0,OFFSET(ORÇAMENTO!$D$15,CRONO!$E197,0)))+IF(AND($E199&lt;&gt;"",$E199&lt;&gt;0),SUMIF(CÁLCULO!$BC$15:$BU$727,"="&amp;CRONO!U$12,CÁLCULO!$AJ$15:$BB$727)/(ORÇAMENTO!$X$15-CÁLCULO.TotalAdmLocal)*CRONO!$E199,0),U198*$R197),SUMIF(OFFSET($R199,1,0,$Q197-2),($L197+1)&amp;"$",OFFSET(U199,1,0,$Q197-2)))</f>
        <v>0</v>
      </c>
      <c r="V199" s="223">
        <f ca="1">IF($Q197=2,IF(AND(ACOMPANHAMENTO="PLE",ISNUMBER($E197)),SUMIF((OFFSET(CÁLCULO!$BC$15:$BU$15,$E197,0,OFFSET(ORÇAMENTO!$D$15,CRONO!$E197,0))),"="&amp;CRONO!V$12,OFFSET(CÁLCULO!$AJ$15:$BB$15,$E197,0,OFFSET(ORÇAMENTO!$D$15,CRONO!$E197,0)))+IF(AND($E199&lt;&gt;"",$E199&lt;&gt;0),SUMIF(CÁLCULO!$BC$15:$BU$727,"="&amp;CRONO!V$12,CÁLCULO!$AJ$15:$BB$727)/(ORÇAMENTO!$X$15-CÁLCULO.TotalAdmLocal)*CRONO!$E199,0),V198*$R197),SUMIF(OFFSET($R199,1,0,$Q197-2),($L197+1)&amp;"$",OFFSET(V199,1,0,$Q197-2)))</f>
        <v>0</v>
      </c>
      <c r="W199" s="223">
        <f ca="1">IF($Q197=2,IF(AND(ACOMPANHAMENTO="PLE",ISNUMBER($E197)),SUMIF((OFFSET(CÁLCULO!$BC$15:$BU$15,$E197,0,OFFSET(ORÇAMENTO!$D$15,CRONO!$E197,0))),"="&amp;CRONO!W$12,OFFSET(CÁLCULO!$AJ$15:$BB$15,$E197,0,OFFSET(ORÇAMENTO!$D$15,CRONO!$E197,0)))+IF(AND($E199&lt;&gt;"",$E199&lt;&gt;0),SUMIF(CÁLCULO!$BC$15:$BU$727,"="&amp;CRONO!W$12,CÁLCULO!$AJ$15:$BB$727)/(ORÇAMENTO!$X$15-CÁLCULO.TotalAdmLocal)*CRONO!$E199,0),W198*$R197),SUMIF(OFFSET($R199,1,0,$Q197-2),($L197+1)&amp;"$",OFFSET(W199,1,0,$Q197-2)))</f>
        <v>0</v>
      </c>
      <c r="X199" s="223">
        <f ca="1">IF($Q197=2,IF(AND(ACOMPANHAMENTO="PLE",ISNUMBER($E197)),SUMIF((OFFSET(CÁLCULO!$BC$15:$BU$15,$E197,0,OFFSET(ORÇAMENTO!$D$15,CRONO!$E197,0))),"="&amp;CRONO!X$12,OFFSET(CÁLCULO!$AJ$15:$BB$15,$E197,0,OFFSET(ORÇAMENTO!$D$15,CRONO!$E197,0)))+IF(AND($E199&lt;&gt;"",$E199&lt;&gt;0),SUMIF(CÁLCULO!$BC$15:$BU$727,"="&amp;CRONO!X$12,CÁLCULO!$AJ$15:$BB$727)/(ORÇAMENTO!$X$15-CÁLCULO.TotalAdmLocal)*CRONO!$E199,0),X198*$R197),SUMIF(OFFSET($R199,1,0,$Q197-2),($L197+1)&amp;"$",OFFSET(X199,1,0,$Q197-2)))</f>
        <v>0</v>
      </c>
      <c r="Y199" s="223">
        <f ca="1">IF($Q197=2,IF(AND(ACOMPANHAMENTO="PLE",ISNUMBER($E197)),SUMIF((OFFSET(CÁLCULO!$BC$15:$BU$15,$E197,0,OFFSET(ORÇAMENTO!$D$15,CRONO!$E197,0))),"="&amp;CRONO!Y$12,OFFSET(CÁLCULO!$AJ$15:$BB$15,$E197,0,OFFSET(ORÇAMENTO!$D$15,CRONO!$E197,0)))+IF(AND($E199&lt;&gt;"",$E199&lt;&gt;0),SUMIF(CÁLCULO!$BC$15:$BU$727,"="&amp;CRONO!Y$12,CÁLCULO!$AJ$15:$BB$727)/(ORÇAMENTO!$X$15-CÁLCULO.TotalAdmLocal)*CRONO!$E199,0),Y198*$R197),SUMIF(OFFSET($R199,1,0,$Q197-2),($L197+1)&amp;"$",OFFSET(Y199,1,0,$Q197-2)))</f>
        <v>0</v>
      </c>
      <c r="Z199" s="223">
        <f ca="1">IF($Q197=2,IF(AND(ACOMPANHAMENTO="PLE",ISNUMBER($E197)),SUMIF((OFFSET(CÁLCULO!$BC$15:$BU$15,$E197,0,OFFSET(ORÇAMENTO!$D$15,CRONO!$E197,0))),"="&amp;CRONO!Z$12,OFFSET(CÁLCULO!$AJ$15:$BB$15,$E197,0,OFFSET(ORÇAMENTO!$D$15,CRONO!$E197,0)))+IF(AND($E199&lt;&gt;"",$E199&lt;&gt;0),SUMIF(CÁLCULO!$BC$15:$BU$727,"="&amp;CRONO!Z$12,CÁLCULO!$AJ$15:$BB$727)/(ORÇAMENTO!$X$15-CÁLCULO.TotalAdmLocal)*CRONO!$E199,0),Z198*$R197),SUMIF(OFFSET($R199,1,0,$Q197-2),($L197+1)&amp;"$",OFFSET(Z199,1,0,$Q197-2)))</f>
        <v>0</v>
      </c>
      <c r="AA199" s="223">
        <f ca="1">IF($Q197=2,IF(AND(ACOMPANHAMENTO="PLE",ISNUMBER($E197)),SUMIF((OFFSET(CÁLCULO!$BC$15:$BU$15,$E197,0,OFFSET(ORÇAMENTO!$D$15,CRONO!$E197,0))),"="&amp;CRONO!AA$12,OFFSET(CÁLCULO!$AJ$15:$BB$15,$E197,0,OFFSET(ORÇAMENTO!$D$15,CRONO!$E197,0)))+IF(AND($E199&lt;&gt;"",$E199&lt;&gt;0),SUMIF(CÁLCULO!$BC$15:$BU$727,"="&amp;CRONO!AA$12,CÁLCULO!$AJ$15:$BB$727)/(ORÇAMENTO!$X$15-CÁLCULO.TotalAdmLocal)*CRONO!$E199,0),AA198*$R197),SUMIF(OFFSET($R199,1,0,$Q197-2),($L197+1)&amp;"$",OFFSET(AA199,1,0,$Q197-2)))</f>
        <v>0</v>
      </c>
      <c r="AB199" s="223">
        <f ca="1">IF($Q197=2,IF(AND(ACOMPANHAMENTO="PLE",ISNUMBER($E197)),SUMIF((OFFSET(CÁLCULO!$BC$15:$BU$15,$E197,0,OFFSET(ORÇAMENTO!$D$15,CRONO!$E197,0))),"="&amp;CRONO!AB$12,OFFSET(CÁLCULO!$AJ$15:$BB$15,$E197,0,OFFSET(ORÇAMENTO!$D$15,CRONO!$E197,0)))+IF(AND($E199&lt;&gt;"",$E199&lt;&gt;0),SUMIF(CÁLCULO!$BC$15:$BU$727,"="&amp;CRONO!AB$12,CÁLCULO!$AJ$15:$BB$727)/(ORÇAMENTO!$X$15-CÁLCULO.TotalAdmLocal)*CRONO!$E199,0),AB198*$R197),SUMIF(OFFSET($R199,1,0,$Q197-2),($L197+1)&amp;"$",OFFSET(AB199,1,0,$Q197-2)))</f>
        <v>0</v>
      </c>
      <c r="AC199" s="223">
        <f ca="1">IF($Q197=2,IF(AND(ACOMPANHAMENTO="PLE",ISNUMBER($E197)),SUMIF((OFFSET(CÁLCULO!$BC$15:$BU$15,$E197,0,OFFSET(ORÇAMENTO!$D$15,CRONO!$E197,0))),"="&amp;CRONO!AC$12,OFFSET(CÁLCULO!$AJ$15:$BB$15,$E197,0,OFFSET(ORÇAMENTO!$D$15,CRONO!$E197,0)))+IF(AND($E199&lt;&gt;"",$E199&lt;&gt;0),SUMIF(CÁLCULO!$BC$15:$BU$727,"="&amp;CRONO!AC$12,CÁLCULO!$AJ$15:$BB$727)/(ORÇAMENTO!$X$15-CÁLCULO.TotalAdmLocal)*CRONO!$E199,0),AC198*$R197),SUMIF(OFFSET($R199,1,0,$Q197-2),($L197+1)&amp;"$",OFFSET(AC199,1,0,$Q197-2)))</f>
        <v>0</v>
      </c>
      <c r="AD199" s="223">
        <f ca="1">IF($Q197=2,IF(AND(ACOMPANHAMENTO="PLE",ISNUMBER($E197)),SUMIF((OFFSET(CÁLCULO!$BC$15:$BU$15,$E197,0,OFFSET(ORÇAMENTO!$D$15,CRONO!$E197,0))),"="&amp;CRONO!AD$12,OFFSET(CÁLCULO!$AJ$15:$BB$15,$E197,0,OFFSET(ORÇAMENTO!$D$15,CRONO!$E197,0)))+IF(AND($E199&lt;&gt;"",$E199&lt;&gt;0),SUMIF(CÁLCULO!$BC$15:$BU$727,"="&amp;CRONO!AD$12,CÁLCULO!$AJ$15:$BB$727)/(ORÇAMENTO!$X$15-CÁLCULO.TotalAdmLocal)*CRONO!$E199,0),AD198*$R197),SUMIF(OFFSET($R199,1,0,$Q197-2),($L197+1)&amp;"$",OFFSET(AD199,1,0,$Q197-2)))</f>
        <v>0</v>
      </c>
      <c r="AE199" s="228">
        <f ca="1">IF($Q197=2,IF(AND(ACOMPANHAMENTO="PLE",ISNUMBER($E197)),SUMIF((OFFSET(CÁLCULO!$BC$15:$BU$15,$E197,0,OFFSET(ORÇAMENTO!$D$15,CRONO!$E197,0))),"="&amp;CRONO!AE$12,OFFSET(CÁLCULO!$AJ$15:$BB$15,$E197,0,OFFSET(ORÇAMENTO!$D$15,CRONO!$E197,0)))+IF(AND($E199&lt;&gt;"",$E199&lt;&gt;0),SUMIF(CÁLCULO!$BC$15:$BU$727,"="&amp;CRONO!AE$12,CÁLCULO!$AJ$15:$BB$727)/(ORÇAMENTO!$X$15-CÁLCULO.TotalAdmLocal)*CRONO!$E199,0),AE198*$R197),SUMIF(OFFSET($R199,1,0,$Q197-2),($L197+1)&amp;"$",OFFSET(AE199,1,0,$Q197-2)))</f>
        <v>0</v>
      </c>
    </row>
    <row r="200" spans="1:32" x14ac:dyDescent="0.2">
      <c r="A200" s="204">
        <f t="shared" ref="A200" ca="1" si="437">OFFSET(A200,-3,0)+1</f>
        <v>63</v>
      </c>
      <c r="B200" s="204">
        <f ca="1">IF($Q200&lt;&gt;2,0,IF($R200=0,1,IF(E201&gt;0,OFFSET(QCI!$M$13,SUBSTITUTE(E201,".",""),0),OFFSET(ORÇAMENTO!$AA$15,CRONO!$E200,0))/$R200))</f>
        <v>1</v>
      </c>
      <c r="C200" s="204">
        <f ca="1">IF($Q200&lt;&gt;2,0,IF($R200=0,1,IF(E201&gt;0,OFFSET(QCI!$N$13,SUBSTITUTE(E201,".",""),0),OFFSET(ORÇAMENTO!$AB$15,CRONO!$E200,0))/$R200))</f>
        <v>1</v>
      </c>
      <c r="D200" s="207" t="e">
        <f ca="1">IF(AND($Q200=2,ACOMPANHAMENTO="BM"),D201,D202/$R200)</f>
        <v>#DIV/0!</v>
      </c>
      <c r="E200" s="204">
        <f ca="1">IF(A200&lt;=ORÇAMENTO.MáximoListaCrono,MATCH(A200,ORÇAMENTO.ListaCrono,0),NA())</f>
        <v>592</v>
      </c>
      <c r="F200" s="204" t="str">
        <f t="shared" ref="F200" ca="1" si="438">IF(AND($E201&lt;&gt;-1,$R200&gt;0),"F","")</f>
        <v/>
      </c>
      <c r="G200" s="208" t="str">
        <f ca="1">IF(OR(R200=0,R200=""),"Linha",IF(AND(OR(ACOMPANHAMENTO="PLE",$Q200&lt;&gt;2),$E201=0),"Linha",1-SUM(T200:AF200)))</f>
        <v>Linha</v>
      </c>
      <c r="H200" s="209" t="str">
        <f ca="1">IF($E201=0,OFFSET(ORÇAMENTO!O$15,$E200,0),IF($E201&lt;&gt;-1,OFFSET(QCI!$D$13,$E201,0),""))</f>
        <v>1.62.</v>
      </c>
      <c r="I200" s="210" t="str">
        <f ca="1">IF($E201=0,OFFSET(ORÇAMENTO!R$15,$E200,0),IF($E201&lt;&gt;-1,OFFSET(QCI!$G$13,$E201,0),""))</f>
        <v>INSTALAÇÕES DE CLIMATIZAÇÃO - DUTOS</v>
      </c>
      <c r="J200" s="210"/>
      <c r="K200" s="210"/>
      <c r="L200" s="211">
        <f ca="1">IF($E201=0,OFFSET(ORÇAMENTO!C$15,$E200,0),1)</f>
        <v>2</v>
      </c>
      <c r="M200" s="212">
        <f ca="1">IF($E201=-1,0,IF(M$13&lt;=$L200,IF(ISERROR(MATCH(M$13,OFFSET($L200,1,0,ROW($L$260)-ROW($L200)-1),0)),ROW($L$260)-ROW($L200)-1,MATCH(M$13,OFFSET($L200,1,0,ROW($L$260)-ROW($L200)-1),0)-1),0))</f>
        <v>59</v>
      </c>
      <c r="N200" s="212">
        <f ca="1">IF($E201=-1,0,IF(N$13&lt;=$L200,IF(ISERROR(MATCH(N$13,OFFSET($L200,1,0,ROW($L$260)-ROW($L200)-1),0)),ROW($L$260)-ROW($L200)-1,MATCH(N$13,OFFSET($L200,1,0,ROW($L$260)-ROW($L200)-1),0)-1),0))</f>
        <v>2</v>
      </c>
      <c r="O200" s="212">
        <f ca="1">IF($E201=-1,0,IF(O$13&lt;=$L200,IF(ISERROR(MATCH(O$13,OFFSET($L200,1,0,ROW($L$260)-ROW($L200)-1),0)),ROW($L$260)-ROW($L200)-1,MATCH(O$13,OFFSET($L200,1,0,ROW($L$260)-ROW($L200)-1),0)-1),0))</f>
        <v>0</v>
      </c>
      <c r="P200" s="212">
        <f ca="1">IF($E201=-1,0,IF(P$13&lt;=$L200,IF(ISERROR(MATCH(P$13,OFFSET($L200,1,0,ROW($L$260)-ROW($L200)-1),0)),ROW($L$260)-ROW($L200)-1,MATCH(P$13,OFFSET($L200,1,0,ROW($L$260)-ROW($L200)-1),0)-1),0))</f>
        <v>0</v>
      </c>
      <c r="Q200" s="212">
        <f t="shared" ref="Q200" ca="1" si="439">MIN(OFFSET(L200,0,1,,L200))</f>
        <v>2</v>
      </c>
      <c r="R200" s="213">
        <f ca="1">IF($E201=0,OFFSET(ORÇAMENTO!X$15,$E200,0),IF($E201&lt;&gt;-1,OFFSET(QCI!$O$13,$E201,0),""))</f>
        <v>0</v>
      </c>
      <c r="S200" s="214" t="s">
        <v>270</v>
      </c>
      <c r="T200" s="215" t="e">
        <f t="shared" ref="T200:AE200" ca="1" si="440">IF(AND($Q200=2,ACOMPANHAMENTO="BM"),T201,T202/$R200)</f>
        <v>#DIV/0!</v>
      </c>
      <c r="U200" s="207" t="e">
        <f t="shared" ca="1" si="440"/>
        <v>#DIV/0!</v>
      </c>
      <c r="V200" s="207" t="e">
        <f t="shared" ca="1" si="440"/>
        <v>#DIV/0!</v>
      </c>
      <c r="W200" s="207" t="e">
        <f t="shared" ca="1" si="440"/>
        <v>#DIV/0!</v>
      </c>
      <c r="X200" s="207" t="e">
        <f t="shared" ca="1" si="440"/>
        <v>#DIV/0!</v>
      </c>
      <c r="Y200" s="207" t="e">
        <f t="shared" ca="1" si="440"/>
        <v>#DIV/0!</v>
      </c>
      <c r="Z200" s="207" t="e">
        <f t="shared" ca="1" si="440"/>
        <v>#DIV/0!</v>
      </c>
      <c r="AA200" s="207" t="e">
        <f t="shared" ca="1" si="440"/>
        <v>#DIV/0!</v>
      </c>
      <c r="AB200" s="207" t="e">
        <f t="shared" ca="1" si="440"/>
        <v>#DIV/0!</v>
      </c>
      <c r="AC200" s="207" t="e">
        <f t="shared" ca="1" si="440"/>
        <v>#DIV/0!</v>
      </c>
      <c r="AD200" s="207" t="e">
        <f t="shared" ca="1" si="440"/>
        <v>#DIV/0!</v>
      </c>
      <c r="AE200" s="216" t="e">
        <f t="shared" ca="1" si="440"/>
        <v>#DIV/0!</v>
      </c>
    </row>
    <row r="201" spans="1:32" ht="12.75" customHeight="1" x14ac:dyDescent="0.2">
      <c r="D201" s="569"/>
      <c r="E201" s="204">
        <f ca="1">IF(ISERROR(E200),IF(1+COUNTIF($L$13:OFFSET(L200,-1,0),1)&lt;=MAX(QCI!$D$13:$D$24),1+COUNTIF($L$13:OFFSET(L200,-1,0),1),-1),0)</f>
        <v>0</v>
      </c>
      <c r="F201" s="204" t="str">
        <f t="shared" ref="F201" ca="1" si="441">IF(AND($E201&lt;&gt;-1,$R200&gt;0),"F","")</f>
        <v/>
      </c>
      <c r="G201" s="217" t="str">
        <f ca="1">IF(OR(R200=0,R200=""),"vazia",IF(AND(OR(ACOMPANHAMENTO="PLE",$Q200&lt;&gt;2),$E201=0),"calculada","--&gt;"))</f>
        <v>vazia</v>
      </c>
      <c r="H201" s="218"/>
      <c r="I201" s="219" t="str">
        <f t="shared" ref="I201" ca="1" si="442">IF(AND(G200&lt;&gt;0,ISNUMBER(G200)),"PREENCHA ESTA LINHA --&gt;","")</f>
        <v/>
      </c>
      <c r="J201" s="219"/>
      <c r="K201" s="219"/>
      <c r="L201" s="220"/>
      <c r="M201" s="220"/>
      <c r="N201" s="220"/>
      <c r="O201" s="220"/>
      <c r="P201" s="220"/>
      <c r="Q201" s="220"/>
      <c r="R201" s="221"/>
      <c r="S201" s="222"/>
      <c r="T201" s="570"/>
      <c r="U201" s="569"/>
      <c r="V201" s="569"/>
      <c r="W201" s="569"/>
      <c r="X201" s="569"/>
      <c r="Y201" s="569"/>
      <c r="Z201" s="569"/>
      <c r="AA201" s="569"/>
      <c r="AB201" s="569"/>
      <c r="AC201" s="569"/>
      <c r="AD201" s="569"/>
      <c r="AE201" s="571"/>
      <c r="AF201" s="533"/>
    </row>
    <row r="202" spans="1:32" ht="0.2" hidden="1" customHeight="1" x14ac:dyDescent="0.2">
      <c r="D202" s="223">
        <f ca="1">IF($Q200=2,IF(AND(ACOMPANHAMENTO="PLE",ISNUMBER($E200)),SUMIF((OFFSET(CÁLCULO!$BC$15:$BU$15,$E200,0,OFFSET(ORÇAMENTO!$D$15,CRONO!$E200,0))),"="&amp;CRONO!D$12,OFFSET(CÁLCULO!$AJ$15:$BB$15,$E200,0,OFFSET(ORÇAMENTO!$D$15,CRONO!$E200,0)))+IF(AND($E202&lt;&gt;"",$E202&lt;&gt;0),SUMIF(CÁLCULO!$BC$15:$BU$727,"="&amp;CRONO!D$12,CÁLCULO!$AJ$15:$BB$727)/(ORÇAMENTO!$X$15-CÁLCULO.TotalAdmLocal)*CRONO!$E202,0),D201*$R200),SUMIF(OFFSET($R202,1,0,$Q200-2),($L200+1)&amp;"$",OFFSET(D202,1,0,$Q200-2)))</f>
        <v>0</v>
      </c>
      <c r="E202" s="204" t="str">
        <f ca="1">IF(OR($Q200&lt;&gt;2,AUTOEVENTO&lt;&gt;"manual",$E201&gt;0),"",SUMIF(OFFSET(CÁLCULO!$M$15,CRONO!$E200,0,OFFSET(ORÇAMENTO!$D$15,CRONO!$E200,0)),1,OFFSET(ORÇAMENTO!$X$15,CRONO!$E200,0,OFFSET(ORÇAMENTO!$D$15,CRONO!$E200,0))))</f>
        <v/>
      </c>
      <c r="G202" s="224"/>
      <c r="R202" s="225" t="str">
        <f t="shared" ref="R202" ca="1" si="443">L200&amp;"$"</f>
        <v>2$</v>
      </c>
      <c r="S202" s="226"/>
      <c r="T202" s="227">
        <f ca="1">IF($Q200=2,IF(AND(ACOMPANHAMENTO="PLE",ISNUMBER($E200)),SUMIF((OFFSET(CÁLCULO!$BC$15:$BU$15,$E200,0,OFFSET(ORÇAMENTO!$D$15,CRONO!$E200,0))),"&lt;="&amp;CRONO!T$12,OFFSET(CÁLCULO!$AJ$15:$BB$15,$E200,0,OFFSET(ORÇAMENTO!$D$15,CRONO!$E200,0)))+IF(AND($E202&lt;&gt;"",$E202&lt;&gt;0),SUMIF(CÁLCULO!$BC$15:$BU$727,"&lt;="&amp;CRONO!T$12,CÁLCULO!$AJ$15:$BB$727)/(ORÇAMENTO!$X$15-CÁLCULO.TotalAdmLocal)*CRONO!$E202,0),T201*$R200),SUMIF(OFFSET($R202,1,0,$Q200-2),($L200+1)&amp;"$",OFFSET(T202,1,0,$Q200-2)))</f>
        <v>0</v>
      </c>
      <c r="U202" s="223">
        <f ca="1">IF($Q200=2,IF(AND(ACOMPANHAMENTO="PLE",ISNUMBER($E200)),SUMIF((OFFSET(CÁLCULO!$BC$15:$BU$15,$E200,0,OFFSET(ORÇAMENTO!$D$15,CRONO!$E200,0))),"="&amp;CRONO!U$12,OFFSET(CÁLCULO!$AJ$15:$BB$15,$E200,0,OFFSET(ORÇAMENTO!$D$15,CRONO!$E200,0)))+IF(AND($E202&lt;&gt;"",$E202&lt;&gt;0),SUMIF(CÁLCULO!$BC$15:$BU$727,"="&amp;CRONO!U$12,CÁLCULO!$AJ$15:$BB$727)/(ORÇAMENTO!$X$15-CÁLCULO.TotalAdmLocal)*CRONO!$E202,0),U201*$R200),SUMIF(OFFSET($R202,1,0,$Q200-2),($L200+1)&amp;"$",OFFSET(U202,1,0,$Q200-2)))</f>
        <v>0</v>
      </c>
      <c r="V202" s="223">
        <f ca="1">IF($Q200=2,IF(AND(ACOMPANHAMENTO="PLE",ISNUMBER($E200)),SUMIF((OFFSET(CÁLCULO!$BC$15:$BU$15,$E200,0,OFFSET(ORÇAMENTO!$D$15,CRONO!$E200,0))),"="&amp;CRONO!V$12,OFFSET(CÁLCULO!$AJ$15:$BB$15,$E200,0,OFFSET(ORÇAMENTO!$D$15,CRONO!$E200,0)))+IF(AND($E202&lt;&gt;"",$E202&lt;&gt;0),SUMIF(CÁLCULO!$BC$15:$BU$727,"="&amp;CRONO!V$12,CÁLCULO!$AJ$15:$BB$727)/(ORÇAMENTO!$X$15-CÁLCULO.TotalAdmLocal)*CRONO!$E202,0),V201*$R200),SUMIF(OFFSET($R202,1,0,$Q200-2),($L200+1)&amp;"$",OFFSET(V202,1,0,$Q200-2)))</f>
        <v>0</v>
      </c>
      <c r="W202" s="223">
        <f ca="1">IF($Q200=2,IF(AND(ACOMPANHAMENTO="PLE",ISNUMBER($E200)),SUMIF((OFFSET(CÁLCULO!$BC$15:$BU$15,$E200,0,OFFSET(ORÇAMENTO!$D$15,CRONO!$E200,0))),"="&amp;CRONO!W$12,OFFSET(CÁLCULO!$AJ$15:$BB$15,$E200,0,OFFSET(ORÇAMENTO!$D$15,CRONO!$E200,0)))+IF(AND($E202&lt;&gt;"",$E202&lt;&gt;0),SUMIF(CÁLCULO!$BC$15:$BU$727,"="&amp;CRONO!W$12,CÁLCULO!$AJ$15:$BB$727)/(ORÇAMENTO!$X$15-CÁLCULO.TotalAdmLocal)*CRONO!$E202,0),W201*$R200),SUMIF(OFFSET($R202,1,0,$Q200-2),($L200+1)&amp;"$",OFFSET(W202,1,0,$Q200-2)))</f>
        <v>0</v>
      </c>
      <c r="X202" s="223">
        <f ca="1">IF($Q200=2,IF(AND(ACOMPANHAMENTO="PLE",ISNUMBER($E200)),SUMIF((OFFSET(CÁLCULO!$BC$15:$BU$15,$E200,0,OFFSET(ORÇAMENTO!$D$15,CRONO!$E200,0))),"="&amp;CRONO!X$12,OFFSET(CÁLCULO!$AJ$15:$BB$15,$E200,0,OFFSET(ORÇAMENTO!$D$15,CRONO!$E200,0)))+IF(AND($E202&lt;&gt;"",$E202&lt;&gt;0),SUMIF(CÁLCULO!$BC$15:$BU$727,"="&amp;CRONO!X$12,CÁLCULO!$AJ$15:$BB$727)/(ORÇAMENTO!$X$15-CÁLCULO.TotalAdmLocal)*CRONO!$E202,0),X201*$R200),SUMIF(OFFSET($R202,1,0,$Q200-2),($L200+1)&amp;"$",OFFSET(X202,1,0,$Q200-2)))</f>
        <v>0</v>
      </c>
      <c r="Y202" s="223">
        <f ca="1">IF($Q200=2,IF(AND(ACOMPANHAMENTO="PLE",ISNUMBER($E200)),SUMIF((OFFSET(CÁLCULO!$BC$15:$BU$15,$E200,0,OFFSET(ORÇAMENTO!$D$15,CRONO!$E200,0))),"="&amp;CRONO!Y$12,OFFSET(CÁLCULO!$AJ$15:$BB$15,$E200,0,OFFSET(ORÇAMENTO!$D$15,CRONO!$E200,0)))+IF(AND($E202&lt;&gt;"",$E202&lt;&gt;0),SUMIF(CÁLCULO!$BC$15:$BU$727,"="&amp;CRONO!Y$12,CÁLCULO!$AJ$15:$BB$727)/(ORÇAMENTO!$X$15-CÁLCULO.TotalAdmLocal)*CRONO!$E202,0),Y201*$R200),SUMIF(OFFSET($R202,1,0,$Q200-2),($L200+1)&amp;"$",OFFSET(Y202,1,0,$Q200-2)))</f>
        <v>0</v>
      </c>
      <c r="Z202" s="223">
        <f ca="1">IF($Q200=2,IF(AND(ACOMPANHAMENTO="PLE",ISNUMBER($E200)),SUMIF((OFFSET(CÁLCULO!$BC$15:$BU$15,$E200,0,OFFSET(ORÇAMENTO!$D$15,CRONO!$E200,0))),"="&amp;CRONO!Z$12,OFFSET(CÁLCULO!$AJ$15:$BB$15,$E200,0,OFFSET(ORÇAMENTO!$D$15,CRONO!$E200,0)))+IF(AND($E202&lt;&gt;"",$E202&lt;&gt;0),SUMIF(CÁLCULO!$BC$15:$BU$727,"="&amp;CRONO!Z$12,CÁLCULO!$AJ$15:$BB$727)/(ORÇAMENTO!$X$15-CÁLCULO.TotalAdmLocal)*CRONO!$E202,0),Z201*$R200),SUMIF(OFFSET($R202,1,0,$Q200-2),($L200+1)&amp;"$",OFFSET(Z202,1,0,$Q200-2)))</f>
        <v>0</v>
      </c>
      <c r="AA202" s="223">
        <f ca="1">IF($Q200=2,IF(AND(ACOMPANHAMENTO="PLE",ISNUMBER($E200)),SUMIF((OFFSET(CÁLCULO!$BC$15:$BU$15,$E200,0,OFFSET(ORÇAMENTO!$D$15,CRONO!$E200,0))),"="&amp;CRONO!AA$12,OFFSET(CÁLCULO!$AJ$15:$BB$15,$E200,0,OFFSET(ORÇAMENTO!$D$15,CRONO!$E200,0)))+IF(AND($E202&lt;&gt;"",$E202&lt;&gt;0),SUMIF(CÁLCULO!$BC$15:$BU$727,"="&amp;CRONO!AA$12,CÁLCULO!$AJ$15:$BB$727)/(ORÇAMENTO!$X$15-CÁLCULO.TotalAdmLocal)*CRONO!$E202,0),AA201*$R200),SUMIF(OFFSET($R202,1,0,$Q200-2),($L200+1)&amp;"$",OFFSET(AA202,1,0,$Q200-2)))</f>
        <v>0</v>
      </c>
      <c r="AB202" s="223">
        <f ca="1">IF($Q200=2,IF(AND(ACOMPANHAMENTO="PLE",ISNUMBER($E200)),SUMIF((OFFSET(CÁLCULO!$BC$15:$BU$15,$E200,0,OFFSET(ORÇAMENTO!$D$15,CRONO!$E200,0))),"="&amp;CRONO!AB$12,OFFSET(CÁLCULO!$AJ$15:$BB$15,$E200,0,OFFSET(ORÇAMENTO!$D$15,CRONO!$E200,0)))+IF(AND($E202&lt;&gt;"",$E202&lt;&gt;0),SUMIF(CÁLCULO!$BC$15:$BU$727,"="&amp;CRONO!AB$12,CÁLCULO!$AJ$15:$BB$727)/(ORÇAMENTO!$X$15-CÁLCULO.TotalAdmLocal)*CRONO!$E202,0),AB201*$R200),SUMIF(OFFSET($R202,1,0,$Q200-2),($L200+1)&amp;"$",OFFSET(AB202,1,0,$Q200-2)))</f>
        <v>0</v>
      </c>
      <c r="AC202" s="223">
        <f ca="1">IF($Q200=2,IF(AND(ACOMPANHAMENTO="PLE",ISNUMBER($E200)),SUMIF((OFFSET(CÁLCULO!$BC$15:$BU$15,$E200,0,OFFSET(ORÇAMENTO!$D$15,CRONO!$E200,0))),"="&amp;CRONO!AC$12,OFFSET(CÁLCULO!$AJ$15:$BB$15,$E200,0,OFFSET(ORÇAMENTO!$D$15,CRONO!$E200,0)))+IF(AND($E202&lt;&gt;"",$E202&lt;&gt;0),SUMIF(CÁLCULO!$BC$15:$BU$727,"="&amp;CRONO!AC$12,CÁLCULO!$AJ$15:$BB$727)/(ORÇAMENTO!$X$15-CÁLCULO.TotalAdmLocal)*CRONO!$E202,0),AC201*$R200),SUMIF(OFFSET($R202,1,0,$Q200-2),($L200+1)&amp;"$",OFFSET(AC202,1,0,$Q200-2)))</f>
        <v>0</v>
      </c>
      <c r="AD202" s="223">
        <f ca="1">IF($Q200=2,IF(AND(ACOMPANHAMENTO="PLE",ISNUMBER($E200)),SUMIF((OFFSET(CÁLCULO!$BC$15:$BU$15,$E200,0,OFFSET(ORÇAMENTO!$D$15,CRONO!$E200,0))),"="&amp;CRONO!AD$12,OFFSET(CÁLCULO!$AJ$15:$BB$15,$E200,0,OFFSET(ORÇAMENTO!$D$15,CRONO!$E200,0)))+IF(AND($E202&lt;&gt;"",$E202&lt;&gt;0),SUMIF(CÁLCULO!$BC$15:$BU$727,"="&amp;CRONO!AD$12,CÁLCULO!$AJ$15:$BB$727)/(ORÇAMENTO!$X$15-CÁLCULO.TotalAdmLocal)*CRONO!$E202,0),AD201*$R200),SUMIF(OFFSET($R202,1,0,$Q200-2),($L200+1)&amp;"$",OFFSET(AD202,1,0,$Q200-2)))</f>
        <v>0</v>
      </c>
      <c r="AE202" s="228">
        <f ca="1">IF($Q200=2,IF(AND(ACOMPANHAMENTO="PLE",ISNUMBER($E200)),SUMIF((OFFSET(CÁLCULO!$BC$15:$BU$15,$E200,0,OFFSET(ORÇAMENTO!$D$15,CRONO!$E200,0))),"="&amp;CRONO!AE$12,OFFSET(CÁLCULO!$AJ$15:$BB$15,$E200,0,OFFSET(ORÇAMENTO!$D$15,CRONO!$E200,0)))+IF(AND($E202&lt;&gt;"",$E202&lt;&gt;0),SUMIF(CÁLCULO!$BC$15:$BU$727,"="&amp;CRONO!AE$12,CÁLCULO!$AJ$15:$BB$727)/(ORÇAMENTO!$X$15-CÁLCULO.TotalAdmLocal)*CRONO!$E202,0),AE201*$R200),SUMIF(OFFSET($R202,1,0,$Q200-2),($L200+1)&amp;"$",OFFSET(AE202,1,0,$Q200-2)))</f>
        <v>0</v>
      </c>
    </row>
    <row r="203" spans="1:32" x14ac:dyDescent="0.2">
      <c r="A203" s="204">
        <f t="shared" ref="A203" ca="1" si="444">OFFSET(A203,-3,0)+1</f>
        <v>64</v>
      </c>
      <c r="B203" s="204">
        <f ca="1">IF($Q203&lt;&gt;2,0,IF($R203=0,1,IF(E204&gt;0,OFFSET(QCI!$M$13,SUBSTITUTE(E204,".",""),0),OFFSET(ORÇAMENTO!$AA$15,CRONO!$E203,0))/$R203))</f>
        <v>1</v>
      </c>
      <c r="C203" s="204">
        <f ca="1">IF($Q203&lt;&gt;2,0,IF($R203=0,1,IF(E204&gt;0,OFFSET(QCI!$N$13,SUBSTITUTE(E204,".",""),0),OFFSET(ORÇAMENTO!$AB$15,CRONO!$E203,0))/$R203))</f>
        <v>1</v>
      </c>
      <c r="D203" s="207" t="e">
        <f ca="1">IF(AND($Q203=2,ACOMPANHAMENTO="BM"),D204,D205/$R203)</f>
        <v>#DIV/0!</v>
      </c>
      <c r="E203" s="204">
        <f ca="1">IF(A203&lt;=ORÇAMENTO.MáximoListaCrono,MATCH(A203,ORÇAMENTO.ListaCrono,0),NA())</f>
        <v>598</v>
      </c>
      <c r="F203" s="204" t="str">
        <f t="shared" ref="F203" ca="1" si="445">IF(AND($E204&lt;&gt;-1,$R203&gt;0),"F","")</f>
        <v/>
      </c>
      <c r="G203" s="208" t="str">
        <f ca="1">IF(OR(R203=0,R203=""),"Linha",IF(AND(OR(ACOMPANHAMENTO="PLE",$Q203&lt;&gt;2),$E204=0),"Linha",1-SUM(T203:AF203)))</f>
        <v>Linha</v>
      </c>
      <c r="H203" s="209" t="str">
        <f ca="1">IF($E204=0,OFFSET(ORÇAMENTO!O$15,$E203,0),IF($E204&lt;&gt;-1,OFFSET(QCI!$D$13,$E204,0),""))</f>
        <v>1.63.</v>
      </c>
      <c r="I203" s="210" t="str">
        <f ca="1">IF($E204=0,OFFSET(ORÇAMENTO!R$15,$E203,0),IF($E204&lt;&gt;-1,OFFSET(QCI!$G$13,$E204,0),""))</f>
        <v>INSTALAÇÕES DE CLIMATIZAÇÃO - DRENO</v>
      </c>
      <c r="J203" s="210"/>
      <c r="K203" s="210"/>
      <c r="L203" s="211">
        <f ca="1">IF($E204=0,OFFSET(ORÇAMENTO!C$15,$E203,0),1)</f>
        <v>2</v>
      </c>
      <c r="M203" s="212">
        <f ca="1">IF($E204=-1,0,IF(M$13&lt;=$L203,IF(ISERROR(MATCH(M$13,OFFSET($L203,1,0,ROW($L$260)-ROW($L203)-1),0)),ROW($L$260)-ROW($L203)-1,MATCH(M$13,OFFSET($L203,1,0,ROW($L$260)-ROW($L203)-1),0)-1),0))</f>
        <v>56</v>
      </c>
      <c r="N203" s="212">
        <f ca="1">IF($E204=-1,0,IF(N$13&lt;=$L203,IF(ISERROR(MATCH(N$13,OFFSET($L203,1,0,ROW($L$260)-ROW($L203)-1),0)),ROW($L$260)-ROW($L203)-1,MATCH(N$13,OFFSET($L203,1,0,ROW($L$260)-ROW($L203)-1),0)-1),0))</f>
        <v>2</v>
      </c>
      <c r="O203" s="212">
        <f ca="1">IF($E204=-1,0,IF(O$13&lt;=$L203,IF(ISERROR(MATCH(O$13,OFFSET($L203,1,0,ROW($L$260)-ROW($L203)-1),0)),ROW($L$260)-ROW($L203)-1,MATCH(O$13,OFFSET($L203,1,0,ROW($L$260)-ROW($L203)-1),0)-1),0))</f>
        <v>0</v>
      </c>
      <c r="P203" s="212">
        <f ca="1">IF($E204=-1,0,IF(P$13&lt;=$L203,IF(ISERROR(MATCH(P$13,OFFSET($L203,1,0,ROW($L$260)-ROW($L203)-1),0)),ROW($L$260)-ROW($L203)-1,MATCH(P$13,OFFSET($L203,1,0,ROW($L$260)-ROW($L203)-1),0)-1),0))</f>
        <v>0</v>
      </c>
      <c r="Q203" s="212">
        <f t="shared" ref="Q203" ca="1" si="446">MIN(OFFSET(L203,0,1,,L203))</f>
        <v>2</v>
      </c>
      <c r="R203" s="213">
        <f ca="1">IF($E204=0,OFFSET(ORÇAMENTO!X$15,$E203,0),IF($E204&lt;&gt;-1,OFFSET(QCI!$O$13,$E204,0),""))</f>
        <v>0</v>
      </c>
      <c r="S203" s="214" t="s">
        <v>270</v>
      </c>
      <c r="T203" s="215" t="e">
        <f t="shared" ref="T203:AE203" ca="1" si="447">IF(AND($Q203=2,ACOMPANHAMENTO="BM"),T204,T205/$R203)</f>
        <v>#DIV/0!</v>
      </c>
      <c r="U203" s="207" t="e">
        <f t="shared" ca="1" si="447"/>
        <v>#DIV/0!</v>
      </c>
      <c r="V203" s="207" t="e">
        <f t="shared" ca="1" si="447"/>
        <v>#DIV/0!</v>
      </c>
      <c r="W203" s="207" t="e">
        <f t="shared" ca="1" si="447"/>
        <v>#DIV/0!</v>
      </c>
      <c r="X203" s="207" t="e">
        <f t="shared" ca="1" si="447"/>
        <v>#DIV/0!</v>
      </c>
      <c r="Y203" s="207" t="e">
        <f t="shared" ca="1" si="447"/>
        <v>#DIV/0!</v>
      </c>
      <c r="Z203" s="207" t="e">
        <f t="shared" ca="1" si="447"/>
        <v>#DIV/0!</v>
      </c>
      <c r="AA203" s="207" t="e">
        <f t="shared" ca="1" si="447"/>
        <v>#DIV/0!</v>
      </c>
      <c r="AB203" s="207" t="e">
        <f t="shared" ca="1" si="447"/>
        <v>#DIV/0!</v>
      </c>
      <c r="AC203" s="207" t="e">
        <f t="shared" ca="1" si="447"/>
        <v>#DIV/0!</v>
      </c>
      <c r="AD203" s="207" t="e">
        <f t="shared" ca="1" si="447"/>
        <v>#DIV/0!</v>
      </c>
      <c r="AE203" s="216" t="e">
        <f t="shared" ca="1" si="447"/>
        <v>#DIV/0!</v>
      </c>
    </row>
    <row r="204" spans="1:32" ht="12.75" customHeight="1" x14ac:dyDescent="0.2">
      <c r="D204" s="569"/>
      <c r="E204" s="204">
        <f ca="1">IF(ISERROR(E203),IF(1+COUNTIF($L$13:OFFSET(L203,-1,0),1)&lt;=MAX(QCI!$D$13:$D$24),1+COUNTIF($L$13:OFFSET(L203,-1,0),1),-1),0)</f>
        <v>0</v>
      </c>
      <c r="F204" s="204" t="str">
        <f t="shared" ref="F204" ca="1" si="448">IF(AND($E204&lt;&gt;-1,$R203&gt;0),"F","")</f>
        <v/>
      </c>
      <c r="G204" s="217" t="str">
        <f ca="1">IF(OR(R203=0,R203=""),"vazia",IF(AND(OR(ACOMPANHAMENTO="PLE",$Q203&lt;&gt;2),$E204=0),"calculada","--&gt;"))</f>
        <v>vazia</v>
      </c>
      <c r="H204" s="218"/>
      <c r="I204" s="219" t="str">
        <f t="shared" ref="I204" ca="1" si="449">IF(AND(G203&lt;&gt;0,ISNUMBER(G203)),"PREENCHA ESTA LINHA --&gt;","")</f>
        <v/>
      </c>
      <c r="J204" s="219"/>
      <c r="K204" s="219"/>
      <c r="L204" s="220"/>
      <c r="M204" s="220"/>
      <c r="N204" s="220"/>
      <c r="O204" s="220"/>
      <c r="P204" s="220"/>
      <c r="Q204" s="220"/>
      <c r="R204" s="221"/>
      <c r="S204" s="222"/>
      <c r="T204" s="570"/>
      <c r="U204" s="569"/>
      <c r="V204" s="569"/>
      <c r="W204" s="569"/>
      <c r="X204" s="569"/>
      <c r="Y204" s="569"/>
      <c r="Z204" s="569"/>
      <c r="AA204" s="569"/>
      <c r="AB204" s="569"/>
      <c r="AC204" s="569"/>
      <c r="AD204" s="569"/>
      <c r="AE204" s="571"/>
      <c r="AF204" s="533"/>
    </row>
    <row r="205" spans="1:32" ht="0.2" hidden="1" customHeight="1" x14ac:dyDescent="0.2">
      <c r="D205" s="223">
        <f ca="1">IF($Q203=2,IF(AND(ACOMPANHAMENTO="PLE",ISNUMBER($E203)),SUMIF((OFFSET(CÁLCULO!$BC$15:$BU$15,$E203,0,OFFSET(ORÇAMENTO!$D$15,CRONO!$E203,0))),"="&amp;CRONO!D$12,OFFSET(CÁLCULO!$AJ$15:$BB$15,$E203,0,OFFSET(ORÇAMENTO!$D$15,CRONO!$E203,0)))+IF(AND($E205&lt;&gt;"",$E205&lt;&gt;0),SUMIF(CÁLCULO!$BC$15:$BU$727,"="&amp;CRONO!D$12,CÁLCULO!$AJ$15:$BB$727)/(ORÇAMENTO!$X$15-CÁLCULO.TotalAdmLocal)*CRONO!$E205,0),D204*$R203),SUMIF(OFFSET($R205,1,0,$Q203-2),($L203+1)&amp;"$",OFFSET(D205,1,0,$Q203-2)))</f>
        <v>0</v>
      </c>
      <c r="E205" s="204" t="str">
        <f ca="1">IF(OR($Q203&lt;&gt;2,AUTOEVENTO&lt;&gt;"manual",$E204&gt;0),"",SUMIF(OFFSET(CÁLCULO!$M$15,CRONO!$E203,0,OFFSET(ORÇAMENTO!$D$15,CRONO!$E203,0)),1,OFFSET(ORÇAMENTO!$X$15,CRONO!$E203,0,OFFSET(ORÇAMENTO!$D$15,CRONO!$E203,0))))</f>
        <v/>
      </c>
      <c r="G205" s="224"/>
      <c r="R205" s="225" t="str">
        <f t="shared" ref="R205" ca="1" si="450">L203&amp;"$"</f>
        <v>2$</v>
      </c>
      <c r="S205" s="226"/>
      <c r="T205" s="227">
        <f ca="1">IF($Q203=2,IF(AND(ACOMPANHAMENTO="PLE",ISNUMBER($E203)),SUMIF((OFFSET(CÁLCULO!$BC$15:$BU$15,$E203,0,OFFSET(ORÇAMENTO!$D$15,CRONO!$E203,0))),"&lt;="&amp;CRONO!T$12,OFFSET(CÁLCULO!$AJ$15:$BB$15,$E203,0,OFFSET(ORÇAMENTO!$D$15,CRONO!$E203,0)))+IF(AND($E205&lt;&gt;"",$E205&lt;&gt;0),SUMIF(CÁLCULO!$BC$15:$BU$727,"&lt;="&amp;CRONO!T$12,CÁLCULO!$AJ$15:$BB$727)/(ORÇAMENTO!$X$15-CÁLCULO.TotalAdmLocal)*CRONO!$E205,0),T204*$R203),SUMIF(OFFSET($R205,1,0,$Q203-2),($L203+1)&amp;"$",OFFSET(T205,1,0,$Q203-2)))</f>
        <v>0</v>
      </c>
      <c r="U205" s="223">
        <f ca="1">IF($Q203=2,IF(AND(ACOMPANHAMENTO="PLE",ISNUMBER($E203)),SUMIF((OFFSET(CÁLCULO!$BC$15:$BU$15,$E203,0,OFFSET(ORÇAMENTO!$D$15,CRONO!$E203,0))),"="&amp;CRONO!U$12,OFFSET(CÁLCULO!$AJ$15:$BB$15,$E203,0,OFFSET(ORÇAMENTO!$D$15,CRONO!$E203,0)))+IF(AND($E205&lt;&gt;"",$E205&lt;&gt;0),SUMIF(CÁLCULO!$BC$15:$BU$727,"="&amp;CRONO!U$12,CÁLCULO!$AJ$15:$BB$727)/(ORÇAMENTO!$X$15-CÁLCULO.TotalAdmLocal)*CRONO!$E205,0),U204*$R203),SUMIF(OFFSET($R205,1,0,$Q203-2),($L203+1)&amp;"$",OFFSET(U205,1,0,$Q203-2)))</f>
        <v>0</v>
      </c>
      <c r="V205" s="223">
        <f ca="1">IF($Q203=2,IF(AND(ACOMPANHAMENTO="PLE",ISNUMBER($E203)),SUMIF((OFFSET(CÁLCULO!$BC$15:$BU$15,$E203,0,OFFSET(ORÇAMENTO!$D$15,CRONO!$E203,0))),"="&amp;CRONO!V$12,OFFSET(CÁLCULO!$AJ$15:$BB$15,$E203,0,OFFSET(ORÇAMENTO!$D$15,CRONO!$E203,0)))+IF(AND($E205&lt;&gt;"",$E205&lt;&gt;0),SUMIF(CÁLCULO!$BC$15:$BU$727,"="&amp;CRONO!V$12,CÁLCULO!$AJ$15:$BB$727)/(ORÇAMENTO!$X$15-CÁLCULO.TotalAdmLocal)*CRONO!$E205,0),V204*$R203),SUMIF(OFFSET($R205,1,0,$Q203-2),($L203+1)&amp;"$",OFFSET(V205,1,0,$Q203-2)))</f>
        <v>0</v>
      </c>
      <c r="W205" s="223">
        <f ca="1">IF($Q203=2,IF(AND(ACOMPANHAMENTO="PLE",ISNUMBER($E203)),SUMIF((OFFSET(CÁLCULO!$BC$15:$BU$15,$E203,0,OFFSET(ORÇAMENTO!$D$15,CRONO!$E203,0))),"="&amp;CRONO!W$12,OFFSET(CÁLCULO!$AJ$15:$BB$15,$E203,0,OFFSET(ORÇAMENTO!$D$15,CRONO!$E203,0)))+IF(AND($E205&lt;&gt;"",$E205&lt;&gt;0),SUMIF(CÁLCULO!$BC$15:$BU$727,"="&amp;CRONO!W$12,CÁLCULO!$AJ$15:$BB$727)/(ORÇAMENTO!$X$15-CÁLCULO.TotalAdmLocal)*CRONO!$E205,0),W204*$R203),SUMIF(OFFSET($R205,1,0,$Q203-2),($L203+1)&amp;"$",OFFSET(W205,1,0,$Q203-2)))</f>
        <v>0</v>
      </c>
      <c r="X205" s="223">
        <f ca="1">IF($Q203=2,IF(AND(ACOMPANHAMENTO="PLE",ISNUMBER($E203)),SUMIF((OFFSET(CÁLCULO!$BC$15:$BU$15,$E203,0,OFFSET(ORÇAMENTO!$D$15,CRONO!$E203,0))),"="&amp;CRONO!X$12,OFFSET(CÁLCULO!$AJ$15:$BB$15,$E203,0,OFFSET(ORÇAMENTO!$D$15,CRONO!$E203,0)))+IF(AND($E205&lt;&gt;"",$E205&lt;&gt;0),SUMIF(CÁLCULO!$BC$15:$BU$727,"="&amp;CRONO!X$12,CÁLCULO!$AJ$15:$BB$727)/(ORÇAMENTO!$X$15-CÁLCULO.TotalAdmLocal)*CRONO!$E205,0),X204*$R203),SUMIF(OFFSET($R205,1,0,$Q203-2),($L203+1)&amp;"$",OFFSET(X205,1,0,$Q203-2)))</f>
        <v>0</v>
      </c>
      <c r="Y205" s="223">
        <f ca="1">IF($Q203=2,IF(AND(ACOMPANHAMENTO="PLE",ISNUMBER($E203)),SUMIF((OFFSET(CÁLCULO!$BC$15:$BU$15,$E203,0,OFFSET(ORÇAMENTO!$D$15,CRONO!$E203,0))),"="&amp;CRONO!Y$12,OFFSET(CÁLCULO!$AJ$15:$BB$15,$E203,0,OFFSET(ORÇAMENTO!$D$15,CRONO!$E203,0)))+IF(AND($E205&lt;&gt;"",$E205&lt;&gt;0),SUMIF(CÁLCULO!$BC$15:$BU$727,"="&amp;CRONO!Y$12,CÁLCULO!$AJ$15:$BB$727)/(ORÇAMENTO!$X$15-CÁLCULO.TotalAdmLocal)*CRONO!$E205,0),Y204*$R203),SUMIF(OFFSET($R205,1,0,$Q203-2),($L203+1)&amp;"$",OFFSET(Y205,1,0,$Q203-2)))</f>
        <v>0</v>
      </c>
      <c r="Z205" s="223">
        <f ca="1">IF($Q203=2,IF(AND(ACOMPANHAMENTO="PLE",ISNUMBER($E203)),SUMIF((OFFSET(CÁLCULO!$BC$15:$BU$15,$E203,0,OFFSET(ORÇAMENTO!$D$15,CRONO!$E203,0))),"="&amp;CRONO!Z$12,OFFSET(CÁLCULO!$AJ$15:$BB$15,$E203,0,OFFSET(ORÇAMENTO!$D$15,CRONO!$E203,0)))+IF(AND($E205&lt;&gt;"",$E205&lt;&gt;0),SUMIF(CÁLCULO!$BC$15:$BU$727,"="&amp;CRONO!Z$12,CÁLCULO!$AJ$15:$BB$727)/(ORÇAMENTO!$X$15-CÁLCULO.TotalAdmLocal)*CRONO!$E205,0),Z204*$R203),SUMIF(OFFSET($R205,1,0,$Q203-2),($L203+1)&amp;"$",OFFSET(Z205,1,0,$Q203-2)))</f>
        <v>0</v>
      </c>
      <c r="AA205" s="223">
        <f ca="1">IF($Q203=2,IF(AND(ACOMPANHAMENTO="PLE",ISNUMBER($E203)),SUMIF((OFFSET(CÁLCULO!$BC$15:$BU$15,$E203,0,OFFSET(ORÇAMENTO!$D$15,CRONO!$E203,0))),"="&amp;CRONO!AA$12,OFFSET(CÁLCULO!$AJ$15:$BB$15,$E203,0,OFFSET(ORÇAMENTO!$D$15,CRONO!$E203,0)))+IF(AND($E205&lt;&gt;"",$E205&lt;&gt;0),SUMIF(CÁLCULO!$BC$15:$BU$727,"="&amp;CRONO!AA$12,CÁLCULO!$AJ$15:$BB$727)/(ORÇAMENTO!$X$15-CÁLCULO.TotalAdmLocal)*CRONO!$E205,0),AA204*$R203),SUMIF(OFFSET($R205,1,0,$Q203-2),($L203+1)&amp;"$",OFFSET(AA205,1,0,$Q203-2)))</f>
        <v>0</v>
      </c>
      <c r="AB205" s="223">
        <f ca="1">IF($Q203=2,IF(AND(ACOMPANHAMENTO="PLE",ISNUMBER($E203)),SUMIF((OFFSET(CÁLCULO!$BC$15:$BU$15,$E203,0,OFFSET(ORÇAMENTO!$D$15,CRONO!$E203,0))),"="&amp;CRONO!AB$12,OFFSET(CÁLCULO!$AJ$15:$BB$15,$E203,0,OFFSET(ORÇAMENTO!$D$15,CRONO!$E203,0)))+IF(AND($E205&lt;&gt;"",$E205&lt;&gt;0),SUMIF(CÁLCULO!$BC$15:$BU$727,"="&amp;CRONO!AB$12,CÁLCULO!$AJ$15:$BB$727)/(ORÇAMENTO!$X$15-CÁLCULO.TotalAdmLocal)*CRONO!$E205,0),AB204*$R203),SUMIF(OFFSET($R205,1,0,$Q203-2),($L203+1)&amp;"$",OFFSET(AB205,1,0,$Q203-2)))</f>
        <v>0</v>
      </c>
      <c r="AC205" s="223">
        <f ca="1">IF($Q203=2,IF(AND(ACOMPANHAMENTO="PLE",ISNUMBER($E203)),SUMIF((OFFSET(CÁLCULO!$BC$15:$BU$15,$E203,0,OFFSET(ORÇAMENTO!$D$15,CRONO!$E203,0))),"="&amp;CRONO!AC$12,OFFSET(CÁLCULO!$AJ$15:$BB$15,$E203,0,OFFSET(ORÇAMENTO!$D$15,CRONO!$E203,0)))+IF(AND($E205&lt;&gt;"",$E205&lt;&gt;0),SUMIF(CÁLCULO!$BC$15:$BU$727,"="&amp;CRONO!AC$12,CÁLCULO!$AJ$15:$BB$727)/(ORÇAMENTO!$X$15-CÁLCULO.TotalAdmLocal)*CRONO!$E205,0),AC204*$R203),SUMIF(OFFSET($R205,1,0,$Q203-2),($L203+1)&amp;"$",OFFSET(AC205,1,0,$Q203-2)))</f>
        <v>0</v>
      </c>
      <c r="AD205" s="223">
        <f ca="1">IF($Q203=2,IF(AND(ACOMPANHAMENTO="PLE",ISNUMBER($E203)),SUMIF((OFFSET(CÁLCULO!$BC$15:$BU$15,$E203,0,OFFSET(ORÇAMENTO!$D$15,CRONO!$E203,0))),"="&amp;CRONO!AD$12,OFFSET(CÁLCULO!$AJ$15:$BB$15,$E203,0,OFFSET(ORÇAMENTO!$D$15,CRONO!$E203,0)))+IF(AND($E205&lt;&gt;"",$E205&lt;&gt;0),SUMIF(CÁLCULO!$BC$15:$BU$727,"="&amp;CRONO!AD$12,CÁLCULO!$AJ$15:$BB$727)/(ORÇAMENTO!$X$15-CÁLCULO.TotalAdmLocal)*CRONO!$E205,0),AD204*$R203),SUMIF(OFFSET($R205,1,0,$Q203-2),($L203+1)&amp;"$",OFFSET(AD205,1,0,$Q203-2)))</f>
        <v>0</v>
      </c>
      <c r="AE205" s="228">
        <f ca="1">IF($Q203=2,IF(AND(ACOMPANHAMENTO="PLE",ISNUMBER($E203)),SUMIF((OFFSET(CÁLCULO!$BC$15:$BU$15,$E203,0,OFFSET(ORÇAMENTO!$D$15,CRONO!$E203,0))),"="&amp;CRONO!AE$12,OFFSET(CÁLCULO!$AJ$15:$BB$15,$E203,0,OFFSET(ORÇAMENTO!$D$15,CRONO!$E203,0)))+IF(AND($E205&lt;&gt;"",$E205&lt;&gt;0),SUMIF(CÁLCULO!$BC$15:$BU$727,"="&amp;CRONO!AE$12,CÁLCULO!$AJ$15:$BB$727)/(ORÇAMENTO!$X$15-CÁLCULO.TotalAdmLocal)*CRONO!$E205,0),AE204*$R203),SUMIF(OFFSET($R205,1,0,$Q203-2),($L203+1)&amp;"$",OFFSET(AE205,1,0,$Q203-2)))</f>
        <v>0</v>
      </c>
    </row>
    <row r="206" spans="1:32" x14ac:dyDescent="0.2">
      <c r="A206" s="204">
        <f t="shared" ref="A206" ca="1" si="451">OFFSET(A206,-3,0)+1</f>
        <v>65</v>
      </c>
      <c r="B206" s="204">
        <f ca="1">IF($Q206&lt;&gt;2,0,IF($R206=0,1,IF(E207&gt;0,OFFSET(QCI!$M$13,SUBSTITUTE(E207,".",""),0),OFFSET(ORÇAMENTO!$AA$15,CRONO!$E206,0))/$R206))</f>
        <v>1</v>
      </c>
      <c r="C206" s="204">
        <f ca="1">IF($Q206&lt;&gt;2,0,IF($R206=0,1,IF(E207&gt;0,OFFSET(QCI!$N$13,SUBSTITUTE(E207,".",""),0),OFFSET(ORÇAMENTO!$AB$15,CRONO!$E206,0))/$R206))</f>
        <v>1</v>
      </c>
      <c r="D206" s="207" t="e">
        <f ca="1">IF(AND($Q206=2,ACOMPANHAMENTO="BM"),D207,D208/$R206)</f>
        <v>#DIV/0!</v>
      </c>
      <c r="E206" s="204">
        <f ca="1">IF(A206&lt;=ORÇAMENTO.MáximoListaCrono,MATCH(A206,ORÇAMENTO.ListaCrono,0),NA())</f>
        <v>603</v>
      </c>
      <c r="F206" s="204" t="str">
        <f t="shared" ref="F206" ca="1" si="452">IF(AND($E207&lt;&gt;-1,$R206&gt;0),"F","")</f>
        <v/>
      </c>
      <c r="G206" s="208" t="str">
        <f ca="1">IF(OR(R206=0,R206=""),"Linha",IF(AND(OR(ACOMPANHAMENTO="PLE",$Q206&lt;&gt;2),$E207=0),"Linha",1-SUM(T206:AF206)))</f>
        <v>Linha</v>
      </c>
      <c r="H206" s="209" t="str">
        <f ca="1">IF($E207=0,OFFSET(ORÇAMENTO!O$15,$E206,0),IF($E207&lt;&gt;-1,OFFSET(QCI!$D$13,$E207,0),""))</f>
        <v>1.64.</v>
      </c>
      <c r="I206" s="210" t="str">
        <f ca="1">IF($E207=0,OFFSET(ORÇAMENTO!R$15,$E206,0),IF($E207&lt;&gt;-1,OFFSET(QCI!$G$13,$E207,0),""))</f>
        <v>INSTALAÇÕES DE CABEAMENTO ESTRUTURADO - ACESSÓRIOS DE CABEAMENTO</v>
      </c>
      <c r="J206" s="210"/>
      <c r="K206" s="210"/>
      <c r="L206" s="211">
        <f ca="1">IF($E207=0,OFFSET(ORÇAMENTO!C$15,$E206,0),1)</f>
        <v>2</v>
      </c>
      <c r="M206" s="212">
        <f ca="1">IF($E207=-1,0,IF(M$13&lt;=$L206,IF(ISERROR(MATCH(M$13,OFFSET($L206,1,0,ROW($L$260)-ROW($L206)-1),0)),ROW($L$260)-ROW($L206)-1,MATCH(M$13,OFFSET($L206,1,0,ROW($L$260)-ROW($L206)-1),0)-1),0))</f>
        <v>53</v>
      </c>
      <c r="N206" s="212">
        <f ca="1">IF($E207=-1,0,IF(N$13&lt;=$L206,IF(ISERROR(MATCH(N$13,OFFSET($L206,1,0,ROW($L$260)-ROW($L206)-1),0)),ROW($L$260)-ROW($L206)-1,MATCH(N$13,OFFSET($L206,1,0,ROW($L$260)-ROW($L206)-1),0)-1),0))</f>
        <v>2</v>
      </c>
      <c r="O206" s="212">
        <f ca="1">IF($E207=-1,0,IF(O$13&lt;=$L206,IF(ISERROR(MATCH(O$13,OFFSET($L206,1,0,ROW($L$260)-ROW($L206)-1),0)),ROW($L$260)-ROW($L206)-1,MATCH(O$13,OFFSET($L206,1,0,ROW($L$260)-ROW($L206)-1),0)-1),0))</f>
        <v>0</v>
      </c>
      <c r="P206" s="212">
        <f ca="1">IF($E207=-1,0,IF(P$13&lt;=$L206,IF(ISERROR(MATCH(P$13,OFFSET($L206,1,0,ROW($L$260)-ROW($L206)-1),0)),ROW($L$260)-ROW($L206)-1,MATCH(P$13,OFFSET($L206,1,0,ROW($L$260)-ROW($L206)-1),0)-1),0))</f>
        <v>0</v>
      </c>
      <c r="Q206" s="212">
        <f t="shared" ref="Q206" ca="1" si="453">MIN(OFFSET(L206,0,1,,L206))</f>
        <v>2</v>
      </c>
      <c r="R206" s="213">
        <f ca="1">IF($E207=0,OFFSET(ORÇAMENTO!X$15,$E206,0),IF($E207&lt;&gt;-1,OFFSET(QCI!$O$13,$E207,0),""))</f>
        <v>0</v>
      </c>
      <c r="S206" s="214" t="s">
        <v>270</v>
      </c>
      <c r="T206" s="215" t="e">
        <f t="shared" ref="T206:AE206" ca="1" si="454">IF(AND($Q206=2,ACOMPANHAMENTO="BM"),T207,T208/$R206)</f>
        <v>#DIV/0!</v>
      </c>
      <c r="U206" s="207" t="e">
        <f t="shared" ca="1" si="454"/>
        <v>#DIV/0!</v>
      </c>
      <c r="V206" s="207" t="e">
        <f t="shared" ca="1" si="454"/>
        <v>#DIV/0!</v>
      </c>
      <c r="W206" s="207" t="e">
        <f t="shared" ca="1" si="454"/>
        <v>#DIV/0!</v>
      </c>
      <c r="X206" s="207" t="e">
        <f t="shared" ca="1" si="454"/>
        <v>#DIV/0!</v>
      </c>
      <c r="Y206" s="207" t="e">
        <f t="shared" ca="1" si="454"/>
        <v>#DIV/0!</v>
      </c>
      <c r="Z206" s="207" t="e">
        <f t="shared" ca="1" si="454"/>
        <v>#DIV/0!</v>
      </c>
      <c r="AA206" s="207" t="e">
        <f t="shared" ca="1" si="454"/>
        <v>#DIV/0!</v>
      </c>
      <c r="AB206" s="207" t="e">
        <f t="shared" ca="1" si="454"/>
        <v>#DIV/0!</v>
      </c>
      <c r="AC206" s="207" t="e">
        <f t="shared" ca="1" si="454"/>
        <v>#DIV/0!</v>
      </c>
      <c r="AD206" s="207" t="e">
        <f t="shared" ca="1" si="454"/>
        <v>#DIV/0!</v>
      </c>
      <c r="AE206" s="216" t="e">
        <f t="shared" ca="1" si="454"/>
        <v>#DIV/0!</v>
      </c>
    </row>
    <row r="207" spans="1:32" ht="12.75" customHeight="1" x14ac:dyDescent="0.2">
      <c r="D207" s="569"/>
      <c r="E207" s="204">
        <f ca="1">IF(ISERROR(E206),IF(1+COUNTIF($L$13:OFFSET(L206,-1,0),1)&lt;=MAX(QCI!$D$13:$D$24),1+COUNTIF($L$13:OFFSET(L206,-1,0),1),-1),0)</f>
        <v>0</v>
      </c>
      <c r="F207" s="204" t="str">
        <f t="shared" ref="F207" ca="1" si="455">IF(AND($E207&lt;&gt;-1,$R206&gt;0),"F","")</f>
        <v/>
      </c>
      <c r="G207" s="217" t="str">
        <f ca="1">IF(OR(R206=0,R206=""),"vazia",IF(AND(OR(ACOMPANHAMENTO="PLE",$Q206&lt;&gt;2),$E207=0),"calculada","--&gt;"))</f>
        <v>vazia</v>
      </c>
      <c r="H207" s="218"/>
      <c r="I207" s="219" t="str">
        <f t="shared" ref="I207" ca="1" si="456">IF(AND(G206&lt;&gt;0,ISNUMBER(G206)),"PREENCHA ESTA LINHA --&gt;","")</f>
        <v/>
      </c>
      <c r="J207" s="219"/>
      <c r="K207" s="219"/>
      <c r="L207" s="220"/>
      <c r="M207" s="220"/>
      <c r="N207" s="220"/>
      <c r="O207" s="220"/>
      <c r="P207" s="220"/>
      <c r="Q207" s="220"/>
      <c r="R207" s="221"/>
      <c r="S207" s="222"/>
      <c r="T207" s="570"/>
      <c r="U207" s="569"/>
      <c r="V207" s="569"/>
      <c r="W207" s="569"/>
      <c r="X207" s="569"/>
      <c r="Y207" s="569"/>
      <c r="Z207" s="569"/>
      <c r="AA207" s="569"/>
      <c r="AB207" s="569"/>
      <c r="AC207" s="569"/>
      <c r="AD207" s="569"/>
      <c r="AE207" s="571"/>
      <c r="AF207" s="533"/>
    </row>
    <row r="208" spans="1:32" ht="0.2" hidden="1" customHeight="1" x14ac:dyDescent="0.2">
      <c r="D208" s="223">
        <f ca="1">IF($Q206=2,IF(AND(ACOMPANHAMENTO="PLE",ISNUMBER($E206)),SUMIF((OFFSET(CÁLCULO!$BC$15:$BU$15,$E206,0,OFFSET(ORÇAMENTO!$D$15,CRONO!$E206,0))),"="&amp;CRONO!D$12,OFFSET(CÁLCULO!$AJ$15:$BB$15,$E206,0,OFFSET(ORÇAMENTO!$D$15,CRONO!$E206,0)))+IF(AND($E208&lt;&gt;"",$E208&lt;&gt;0),SUMIF(CÁLCULO!$BC$15:$BU$727,"="&amp;CRONO!D$12,CÁLCULO!$AJ$15:$BB$727)/(ORÇAMENTO!$X$15-CÁLCULO.TotalAdmLocal)*CRONO!$E208,0),D207*$R206),SUMIF(OFFSET($R208,1,0,$Q206-2),($L206+1)&amp;"$",OFFSET(D208,1,0,$Q206-2)))</f>
        <v>0</v>
      </c>
      <c r="E208" s="204" t="str">
        <f ca="1">IF(OR($Q206&lt;&gt;2,AUTOEVENTO&lt;&gt;"manual",$E207&gt;0),"",SUMIF(OFFSET(CÁLCULO!$M$15,CRONO!$E206,0,OFFSET(ORÇAMENTO!$D$15,CRONO!$E206,0)),1,OFFSET(ORÇAMENTO!$X$15,CRONO!$E206,0,OFFSET(ORÇAMENTO!$D$15,CRONO!$E206,0))))</f>
        <v/>
      </c>
      <c r="G208" s="224"/>
      <c r="R208" s="225" t="str">
        <f t="shared" ref="R208" ca="1" si="457">L206&amp;"$"</f>
        <v>2$</v>
      </c>
      <c r="S208" s="226"/>
      <c r="T208" s="227">
        <f ca="1">IF($Q206=2,IF(AND(ACOMPANHAMENTO="PLE",ISNUMBER($E206)),SUMIF((OFFSET(CÁLCULO!$BC$15:$BU$15,$E206,0,OFFSET(ORÇAMENTO!$D$15,CRONO!$E206,0))),"&lt;="&amp;CRONO!T$12,OFFSET(CÁLCULO!$AJ$15:$BB$15,$E206,0,OFFSET(ORÇAMENTO!$D$15,CRONO!$E206,0)))+IF(AND($E208&lt;&gt;"",$E208&lt;&gt;0),SUMIF(CÁLCULO!$BC$15:$BU$727,"&lt;="&amp;CRONO!T$12,CÁLCULO!$AJ$15:$BB$727)/(ORÇAMENTO!$X$15-CÁLCULO.TotalAdmLocal)*CRONO!$E208,0),T207*$R206),SUMIF(OFFSET($R208,1,0,$Q206-2),($L206+1)&amp;"$",OFFSET(T208,1,0,$Q206-2)))</f>
        <v>0</v>
      </c>
      <c r="U208" s="223">
        <f ca="1">IF($Q206=2,IF(AND(ACOMPANHAMENTO="PLE",ISNUMBER($E206)),SUMIF((OFFSET(CÁLCULO!$BC$15:$BU$15,$E206,0,OFFSET(ORÇAMENTO!$D$15,CRONO!$E206,0))),"="&amp;CRONO!U$12,OFFSET(CÁLCULO!$AJ$15:$BB$15,$E206,0,OFFSET(ORÇAMENTO!$D$15,CRONO!$E206,0)))+IF(AND($E208&lt;&gt;"",$E208&lt;&gt;0),SUMIF(CÁLCULO!$BC$15:$BU$727,"="&amp;CRONO!U$12,CÁLCULO!$AJ$15:$BB$727)/(ORÇAMENTO!$X$15-CÁLCULO.TotalAdmLocal)*CRONO!$E208,0),U207*$R206),SUMIF(OFFSET($R208,1,0,$Q206-2),($L206+1)&amp;"$",OFFSET(U208,1,0,$Q206-2)))</f>
        <v>0</v>
      </c>
      <c r="V208" s="223">
        <f ca="1">IF($Q206=2,IF(AND(ACOMPANHAMENTO="PLE",ISNUMBER($E206)),SUMIF((OFFSET(CÁLCULO!$BC$15:$BU$15,$E206,0,OFFSET(ORÇAMENTO!$D$15,CRONO!$E206,0))),"="&amp;CRONO!V$12,OFFSET(CÁLCULO!$AJ$15:$BB$15,$E206,0,OFFSET(ORÇAMENTO!$D$15,CRONO!$E206,0)))+IF(AND($E208&lt;&gt;"",$E208&lt;&gt;0),SUMIF(CÁLCULO!$BC$15:$BU$727,"="&amp;CRONO!V$12,CÁLCULO!$AJ$15:$BB$727)/(ORÇAMENTO!$X$15-CÁLCULO.TotalAdmLocal)*CRONO!$E208,0),V207*$R206),SUMIF(OFFSET($R208,1,0,$Q206-2),($L206+1)&amp;"$",OFFSET(V208,1,0,$Q206-2)))</f>
        <v>0</v>
      </c>
      <c r="W208" s="223">
        <f ca="1">IF($Q206=2,IF(AND(ACOMPANHAMENTO="PLE",ISNUMBER($E206)),SUMIF((OFFSET(CÁLCULO!$BC$15:$BU$15,$E206,0,OFFSET(ORÇAMENTO!$D$15,CRONO!$E206,0))),"="&amp;CRONO!W$12,OFFSET(CÁLCULO!$AJ$15:$BB$15,$E206,0,OFFSET(ORÇAMENTO!$D$15,CRONO!$E206,0)))+IF(AND($E208&lt;&gt;"",$E208&lt;&gt;0),SUMIF(CÁLCULO!$BC$15:$BU$727,"="&amp;CRONO!W$12,CÁLCULO!$AJ$15:$BB$727)/(ORÇAMENTO!$X$15-CÁLCULO.TotalAdmLocal)*CRONO!$E208,0),W207*$R206),SUMIF(OFFSET($R208,1,0,$Q206-2),($L206+1)&amp;"$",OFFSET(W208,1,0,$Q206-2)))</f>
        <v>0</v>
      </c>
      <c r="X208" s="223">
        <f ca="1">IF($Q206=2,IF(AND(ACOMPANHAMENTO="PLE",ISNUMBER($E206)),SUMIF((OFFSET(CÁLCULO!$BC$15:$BU$15,$E206,0,OFFSET(ORÇAMENTO!$D$15,CRONO!$E206,0))),"="&amp;CRONO!X$12,OFFSET(CÁLCULO!$AJ$15:$BB$15,$E206,0,OFFSET(ORÇAMENTO!$D$15,CRONO!$E206,0)))+IF(AND($E208&lt;&gt;"",$E208&lt;&gt;0),SUMIF(CÁLCULO!$BC$15:$BU$727,"="&amp;CRONO!X$12,CÁLCULO!$AJ$15:$BB$727)/(ORÇAMENTO!$X$15-CÁLCULO.TotalAdmLocal)*CRONO!$E208,0),X207*$R206),SUMIF(OFFSET($R208,1,0,$Q206-2),($L206+1)&amp;"$",OFFSET(X208,1,0,$Q206-2)))</f>
        <v>0</v>
      </c>
      <c r="Y208" s="223">
        <f ca="1">IF($Q206=2,IF(AND(ACOMPANHAMENTO="PLE",ISNUMBER($E206)),SUMIF((OFFSET(CÁLCULO!$BC$15:$BU$15,$E206,0,OFFSET(ORÇAMENTO!$D$15,CRONO!$E206,0))),"="&amp;CRONO!Y$12,OFFSET(CÁLCULO!$AJ$15:$BB$15,$E206,0,OFFSET(ORÇAMENTO!$D$15,CRONO!$E206,0)))+IF(AND($E208&lt;&gt;"",$E208&lt;&gt;0),SUMIF(CÁLCULO!$BC$15:$BU$727,"="&amp;CRONO!Y$12,CÁLCULO!$AJ$15:$BB$727)/(ORÇAMENTO!$X$15-CÁLCULO.TotalAdmLocal)*CRONO!$E208,0),Y207*$R206),SUMIF(OFFSET($R208,1,0,$Q206-2),($L206+1)&amp;"$",OFFSET(Y208,1,0,$Q206-2)))</f>
        <v>0</v>
      </c>
      <c r="Z208" s="223">
        <f ca="1">IF($Q206=2,IF(AND(ACOMPANHAMENTO="PLE",ISNUMBER($E206)),SUMIF((OFFSET(CÁLCULO!$BC$15:$BU$15,$E206,0,OFFSET(ORÇAMENTO!$D$15,CRONO!$E206,0))),"="&amp;CRONO!Z$12,OFFSET(CÁLCULO!$AJ$15:$BB$15,$E206,0,OFFSET(ORÇAMENTO!$D$15,CRONO!$E206,0)))+IF(AND($E208&lt;&gt;"",$E208&lt;&gt;0),SUMIF(CÁLCULO!$BC$15:$BU$727,"="&amp;CRONO!Z$12,CÁLCULO!$AJ$15:$BB$727)/(ORÇAMENTO!$X$15-CÁLCULO.TotalAdmLocal)*CRONO!$E208,0),Z207*$R206),SUMIF(OFFSET($R208,1,0,$Q206-2),($L206+1)&amp;"$",OFFSET(Z208,1,0,$Q206-2)))</f>
        <v>0</v>
      </c>
      <c r="AA208" s="223">
        <f ca="1">IF($Q206=2,IF(AND(ACOMPANHAMENTO="PLE",ISNUMBER($E206)),SUMIF((OFFSET(CÁLCULO!$BC$15:$BU$15,$E206,0,OFFSET(ORÇAMENTO!$D$15,CRONO!$E206,0))),"="&amp;CRONO!AA$12,OFFSET(CÁLCULO!$AJ$15:$BB$15,$E206,0,OFFSET(ORÇAMENTO!$D$15,CRONO!$E206,0)))+IF(AND($E208&lt;&gt;"",$E208&lt;&gt;0),SUMIF(CÁLCULO!$BC$15:$BU$727,"="&amp;CRONO!AA$12,CÁLCULO!$AJ$15:$BB$727)/(ORÇAMENTO!$X$15-CÁLCULO.TotalAdmLocal)*CRONO!$E208,0),AA207*$R206),SUMIF(OFFSET($R208,1,0,$Q206-2),($L206+1)&amp;"$",OFFSET(AA208,1,0,$Q206-2)))</f>
        <v>0</v>
      </c>
      <c r="AB208" s="223">
        <f ca="1">IF($Q206=2,IF(AND(ACOMPANHAMENTO="PLE",ISNUMBER($E206)),SUMIF((OFFSET(CÁLCULO!$BC$15:$BU$15,$E206,0,OFFSET(ORÇAMENTO!$D$15,CRONO!$E206,0))),"="&amp;CRONO!AB$12,OFFSET(CÁLCULO!$AJ$15:$BB$15,$E206,0,OFFSET(ORÇAMENTO!$D$15,CRONO!$E206,0)))+IF(AND($E208&lt;&gt;"",$E208&lt;&gt;0),SUMIF(CÁLCULO!$BC$15:$BU$727,"="&amp;CRONO!AB$12,CÁLCULO!$AJ$15:$BB$727)/(ORÇAMENTO!$X$15-CÁLCULO.TotalAdmLocal)*CRONO!$E208,0),AB207*$R206),SUMIF(OFFSET($R208,1,0,$Q206-2),($L206+1)&amp;"$",OFFSET(AB208,1,0,$Q206-2)))</f>
        <v>0</v>
      </c>
      <c r="AC208" s="223">
        <f ca="1">IF($Q206=2,IF(AND(ACOMPANHAMENTO="PLE",ISNUMBER($E206)),SUMIF((OFFSET(CÁLCULO!$BC$15:$BU$15,$E206,0,OFFSET(ORÇAMENTO!$D$15,CRONO!$E206,0))),"="&amp;CRONO!AC$12,OFFSET(CÁLCULO!$AJ$15:$BB$15,$E206,0,OFFSET(ORÇAMENTO!$D$15,CRONO!$E206,0)))+IF(AND($E208&lt;&gt;"",$E208&lt;&gt;0),SUMIF(CÁLCULO!$BC$15:$BU$727,"="&amp;CRONO!AC$12,CÁLCULO!$AJ$15:$BB$727)/(ORÇAMENTO!$X$15-CÁLCULO.TotalAdmLocal)*CRONO!$E208,0),AC207*$R206),SUMIF(OFFSET($R208,1,0,$Q206-2),($L206+1)&amp;"$",OFFSET(AC208,1,0,$Q206-2)))</f>
        <v>0</v>
      </c>
      <c r="AD208" s="223">
        <f ca="1">IF($Q206=2,IF(AND(ACOMPANHAMENTO="PLE",ISNUMBER($E206)),SUMIF((OFFSET(CÁLCULO!$BC$15:$BU$15,$E206,0,OFFSET(ORÇAMENTO!$D$15,CRONO!$E206,0))),"="&amp;CRONO!AD$12,OFFSET(CÁLCULO!$AJ$15:$BB$15,$E206,0,OFFSET(ORÇAMENTO!$D$15,CRONO!$E206,0)))+IF(AND($E208&lt;&gt;"",$E208&lt;&gt;0),SUMIF(CÁLCULO!$BC$15:$BU$727,"="&amp;CRONO!AD$12,CÁLCULO!$AJ$15:$BB$727)/(ORÇAMENTO!$X$15-CÁLCULO.TotalAdmLocal)*CRONO!$E208,0),AD207*$R206),SUMIF(OFFSET($R208,1,0,$Q206-2),($L206+1)&amp;"$",OFFSET(AD208,1,0,$Q206-2)))</f>
        <v>0</v>
      </c>
      <c r="AE208" s="228">
        <f ca="1">IF($Q206=2,IF(AND(ACOMPANHAMENTO="PLE",ISNUMBER($E206)),SUMIF((OFFSET(CÁLCULO!$BC$15:$BU$15,$E206,0,OFFSET(ORÇAMENTO!$D$15,CRONO!$E206,0))),"="&amp;CRONO!AE$12,OFFSET(CÁLCULO!$AJ$15:$BB$15,$E206,0,OFFSET(ORÇAMENTO!$D$15,CRONO!$E206,0)))+IF(AND($E208&lt;&gt;"",$E208&lt;&gt;0),SUMIF(CÁLCULO!$BC$15:$BU$727,"="&amp;CRONO!AE$12,CÁLCULO!$AJ$15:$BB$727)/(ORÇAMENTO!$X$15-CÁLCULO.TotalAdmLocal)*CRONO!$E208,0),AE207*$R206),SUMIF(OFFSET($R208,1,0,$Q206-2),($L206+1)&amp;"$",OFFSET(AE208,1,0,$Q206-2)))</f>
        <v>0</v>
      </c>
    </row>
    <row r="209" spans="1:32" x14ac:dyDescent="0.2">
      <c r="A209" s="204">
        <f t="shared" ref="A209" ca="1" si="458">OFFSET(A209,-3,0)+1</f>
        <v>66</v>
      </c>
      <c r="B209" s="204">
        <f ca="1">IF($Q209&lt;&gt;2,0,IF($R209=0,1,IF(E210&gt;0,OFFSET(QCI!$M$13,SUBSTITUTE(E210,".",""),0),OFFSET(ORÇAMENTO!$AA$15,CRONO!$E209,0))/$R209))</f>
        <v>1</v>
      </c>
      <c r="C209" s="204">
        <f ca="1">IF($Q209&lt;&gt;2,0,IF($R209=0,1,IF(E210&gt;0,OFFSET(QCI!$N$13,SUBSTITUTE(E210,".",""),0),OFFSET(ORÇAMENTO!$AB$15,CRONO!$E209,0))/$R209))</f>
        <v>1</v>
      </c>
      <c r="D209" s="207" t="e">
        <f ca="1">IF(AND($Q209=2,ACOMPANHAMENTO="BM"),D210,D211/$R209)</f>
        <v>#DIV/0!</v>
      </c>
      <c r="E209" s="204">
        <f ca="1">IF(A209&lt;=ORÇAMENTO.MáximoListaCrono,MATCH(A209,ORÇAMENTO.ListaCrono,0),NA())</f>
        <v>613</v>
      </c>
      <c r="F209" s="204" t="str">
        <f t="shared" ref="F209" ca="1" si="459">IF(AND($E210&lt;&gt;-1,$R209&gt;0),"F","")</f>
        <v/>
      </c>
      <c r="G209" s="208" t="str">
        <f ca="1">IF(OR(R209=0,R209=""),"Linha",IF(AND(OR(ACOMPANHAMENTO="PLE",$Q209&lt;&gt;2),$E210=0),"Linha",1-SUM(T209:AF209)))</f>
        <v>Linha</v>
      </c>
      <c r="H209" s="209" t="str">
        <f ca="1">IF($E210=0,OFFSET(ORÇAMENTO!O$15,$E209,0),IF($E210&lt;&gt;-1,OFFSET(QCI!$D$13,$E210,0),""))</f>
        <v>1.65.</v>
      </c>
      <c r="I209" s="210" t="str">
        <f ca="1">IF($E210=0,OFFSET(ORÇAMENTO!R$15,$E209,0),IF($E210&lt;&gt;-1,OFFSET(QCI!$G$13,$E210,0),""))</f>
        <v>INSTALAÇÕES DE CABEAMENTO ESTRUTURADO - ACESSÓRIOS</v>
      </c>
      <c r="J209" s="210"/>
      <c r="K209" s="210"/>
      <c r="L209" s="211">
        <f ca="1">IF($E210=0,OFFSET(ORÇAMENTO!C$15,$E209,0),1)</f>
        <v>2</v>
      </c>
      <c r="M209" s="212">
        <f ca="1">IF($E210=-1,0,IF(M$13&lt;=$L209,IF(ISERROR(MATCH(M$13,OFFSET($L209,1,0,ROW($L$260)-ROW($L209)-1),0)),ROW($L$260)-ROW($L209)-1,MATCH(M$13,OFFSET($L209,1,0,ROW($L$260)-ROW($L209)-1),0)-1),0))</f>
        <v>50</v>
      </c>
      <c r="N209" s="212">
        <f ca="1">IF($E210=-1,0,IF(N$13&lt;=$L209,IF(ISERROR(MATCH(N$13,OFFSET($L209,1,0,ROW($L$260)-ROW($L209)-1),0)),ROW($L$260)-ROW($L209)-1,MATCH(N$13,OFFSET($L209,1,0,ROW($L$260)-ROW($L209)-1),0)-1),0))</f>
        <v>2</v>
      </c>
      <c r="O209" s="212">
        <f ca="1">IF($E210=-1,0,IF(O$13&lt;=$L209,IF(ISERROR(MATCH(O$13,OFFSET($L209,1,0,ROW($L$260)-ROW($L209)-1),0)),ROW($L$260)-ROW($L209)-1,MATCH(O$13,OFFSET($L209,1,0,ROW($L$260)-ROW($L209)-1),0)-1),0))</f>
        <v>0</v>
      </c>
      <c r="P209" s="212">
        <f ca="1">IF($E210=-1,0,IF(P$13&lt;=$L209,IF(ISERROR(MATCH(P$13,OFFSET($L209,1,0,ROW($L$260)-ROW($L209)-1),0)),ROW($L$260)-ROW($L209)-1,MATCH(P$13,OFFSET($L209,1,0,ROW($L$260)-ROW($L209)-1),0)-1),0))</f>
        <v>0</v>
      </c>
      <c r="Q209" s="212">
        <f t="shared" ref="Q209" ca="1" si="460">MIN(OFFSET(L209,0,1,,L209))</f>
        <v>2</v>
      </c>
      <c r="R209" s="213">
        <f ca="1">IF($E210=0,OFFSET(ORÇAMENTO!X$15,$E209,0),IF($E210&lt;&gt;-1,OFFSET(QCI!$O$13,$E210,0),""))</f>
        <v>0</v>
      </c>
      <c r="S209" s="214" t="s">
        <v>270</v>
      </c>
      <c r="T209" s="215" t="e">
        <f t="shared" ref="T209:AE209" ca="1" si="461">IF(AND($Q209=2,ACOMPANHAMENTO="BM"),T210,T211/$R209)</f>
        <v>#DIV/0!</v>
      </c>
      <c r="U209" s="207" t="e">
        <f t="shared" ca="1" si="461"/>
        <v>#DIV/0!</v>
      </c>
      <c r="V209" s="207" t="e">
        <f t="shared" ca="1" si="461"/>
        <v>#DIV/0!</v>
      </c>
      <c r="W209" s="207" t="e">
        <f t="shared" ca="1" si="461"/>
        <v>#DIV/0!</v>
      </c>
      <c r="X209" s="207" t="e">
        <f t="shared" ca="1" si="461"/>
        <v>#DIV/0!</v>
      </c>
      <c r="Y209" s="207" t="e">
        <f t="shared" ca="1" si="461"/>
        <v>#DIV/0!</v>
      </c>
      <c r="Z209" s="207" t="e">
        <f t="shared" ca="1" si="461"/>
        <v>#DIV/0!</v>
      </c>
      <c r="AA209" s="207" t="e">
        <f t="shared" ca="1" si="461"/>
        <v>#DIV/0!</v>
      </c>
      <c r="AB209" s="207" t="e">
        <f t="shared" ca="1" si="461"/>
        <v>#DIV/0!</v>
      </c>
      <c r="AC209" s="207" t="e">
        <f t="shared" ca="1" si="461"/>
        <v>#DIV/0!</v>
      </c>
      <c r="AD209" s="207" t="e">
        <f t="shared" ca="1" si="461"/>
        <v>#DIV/0!</v>
      </c>
      <c r="AE209" s="216" t="e">
        <f t="shared" ca="1" si="461"/>
        <v>#DIV/0!</v>
      </c>
    </row>
    <row r="210" spans="1:32" ht="12.75" customHeight="1" x14ac:dyDescent="0.2">
      <c r="D210" s="569"/>
      <c r="E210" s="204">
        <f ca="1">IF(ISERROR(E209),IF(1+COUNTIF($L$13:OFFSET(L209,-1,0),1)&lt;=MAX(QCI!$D$13:$D$24),1+COUNTIF($L$13:OFFSET(L209,-1,0),1),-1),0)</f>
        <v>0</v>
      </c>
      <c r="F210" s="204" t="str">
        <f t="shared" ref="F210" ca="1" si="462">IF(AND($E210&lt;&gt;-1,$R209&gt;0),"F","")</f>
        <v/>
      </c>
      <c r="G210" s="217" t="str">
        <f ca="1">IF(OR(R209=0,R209=""),"vazia",IF(AND(OR(ACOMPANHAMENTO="PLE",$Q209&lt;&gt;2),$E210=0),"calculada","--&gt;"))</f>
        <v>vazia</v>
      </c>
      <c r="H210" s="218"/>
      <c r="I210" s="219" t="str">
        <f t="shared" ref="I210" ca="1" si="463">IF(AND(G209&lt;&gt;0,ISNUMBER(G209)),"PREENCHA ESTA LINHA --&gt;","")</f>
        <v/>
      </c>
      <c r="J210" s="219"/>
      <c r="K210" s="219"/>
      <c r="L210" s="220"/>
      <c r="M210" s="220"/>
      <c r="N210" s="220"/>
      <c r="O210" s="220"/>
      <c r="P210" s="220"/>
      <c r="Q210" s="220"/>
      <c r="R210" s="221"/>
      <c r="S210" s="222"/>
      <c r="T210" s="570"/>
      <c r="U210" s="569"/>
      <c r="V210" s="569"/>
      <c r="W210" s="569"/>
      <c r="X210" s="569"/>
      <c r="Y210" s="569"/>
      <c r="Z210" s="569"/>
      <c r="AA210" s="569"/>
      <c r="AB210" s="569"/>
      <c r="AC210" s="569"/>
      <c r="AD210" s="569"/>
      <c r="AE210" s="571"/>
      <c r="AF210" s="533"/>
    </row>
    <row r="211" spans="1:32" ht="0.2" hidden="1" customHeight="1" x14ac:dyDescent="0.2">
      <c r="D211" s="223">
        <f ca="1">IF($Q209=2,IF(AND(ACOMPANHAMENTO="PLE",ISNUMBER($E209)),SUMIF((OFFSET(CÁLCULO!$BC$15:$BU$15,$E209,0,OFFSET(ORÇAMENTO!$D$15,CRONO!$E209,0))),"="&amp;CRONO!D$12,OFFSET(CÁLCULO!$AJ$15:$BB$15,$E209,0,OFFSET(ORÇAMENTO!$D$15,CRONO!$E209,0)))+IF(AND($E211&lt;&gt;"",$E211&lt;&gt;0),SUMIF(CÁLCULO!$BC$15:$BU$727,"="&amp;CRONO!D$12,CÁLCULO!$AJ$15:$BB$727)/(ORÇAMENTO!$X$15-CÁLCULO.TotalAdmLocal)*CRONO!$E211,0),D210*$R209),SUMIF(OFFSET($R211,1,0,$Q209-2),($L209+1)&amp;"$",OFFSET(D211,1,0,$Q209-2)))</f>
        <v>0</v>
      </c>
      <c r="E211" s="204" t="str">
        <f ca="1">IF(OR($Q209&lt;&gt;2,AUTOEVENTO&lt;&gt;"manual",$E210&gt;0),"",SUMIF(OFFSET(CÁLCULO!$M$15,CRONO!$E209,0,OFFSET(ORÇAMENTO!$D$15,CRONO!$E209,0)),1,OFFSET(ORÇAMENTO!$X$15,CRONO!$E209,0,OFFSET(ORÇAMENTO!$D$15,CRONO!$E209,0))))</f>
        <v/>
      </c>
      <c r="G211" s="224"/>
      <c r="R211" s="225" t="str">
        <f t="shared" ref="R211" ca="1" si="464">L209&amp;"$"</f>
        <v>2$</v>
      </c>
      <c r="S211" s="226"/>
      <c r="T211" s="227">
        <f ca="1">IF($Q209=2,IF(AND(ACOMPANHAMENTO="PLE",ISNUMBER($E209)),SUMIF((OFFSET(CÁLCULO!$BC$15:$BU$15,$E209,0,OFFSET(ORÇAMENTO!$D$15,CRONO!$E209,0))),"&lt;="&amp;CRONO!T$12,OFFSET(CÁLCULO!$AJ$15:$BB$15,$E209,0,OFFSET(ORÇAMENTO!$D$15,CRONO!$E209,0)))+IF(AND($E211&lt;&gt;"",$E211&lt;&gt;0),SUMIF(CÁLCULO!$BC$15:$BU$727,"&lt;="&amp;CRONO!T$12,CÁLCULO!$AJ$15:$BB$727)/(ORÇAMENTO!$X$15-CÁLCULO.TotalAdmLocal)*CRONO!$E211,0),T210*$R209),SUMIF(OFFSET($R211,1,0,$Q209-2),($L209+1)&amp;"$",OFFSET(T211,1,0,$Q209-2)))</f>
        <v>0</v>
      </c>
      <c r="U211" s="223">
        <f ca="1">IF($Q209=2,IF(AND(ACOMPANHAMENTO="PLE",ISNUMBER($E209)),SUMIF((OFFSET(CÁLCULO!$BC$15:$BU$15,$E209,0,OFFSET(ORÇAMENTO!$D$15,CRONO!$E209,0))),"="&amp;CRONO!U$12,OFFSET(CÁLCULO!$AJ$15:$BB$15,$E209,0,OFFSET(ORÇAMENTO!$D$15,CRONO!$E209,0)))+IF(AND($E211&lt;&gt;"",$E211&lt;&gt;0),SUMIF(CÁLCULO!$BC$15:$BU$727,"="&amp;CRONO!U$12,CÁLCULO!$AJ$15:$BB$727)/(ORÇAMENTO!$X$15-CÁLCULO.TotalAdmLocal)*CRONO!$E211,0),U210*$R209),SUMIF(OFFSET($R211,1,0,$Q209-2),($L209+1)&amp;"$",OFFSET(U211,1,0,$Q209-2)))</f>
        <v>0</v>
      </c>
      <c r="V211" s="223">
        <f ca="1">IF($Q209=2,IF(AND(ACOMPANHAMENTO="PLE",ISNUMBER($E209)),SUMIF((OFFSET(CÁLCULO!$BC$15:$BU$15,$E209,0,OFFSET(ORÇAMENTO!$D$15,CRONO!$E209,0))),"="&amp;CRONO!V$12,OFFSET(CÁLCULO!$AJ$15:$BB$15,$E209,0,OFFSET(ORÇAMENTO!$D$15,CRONO!$E209,0)))+IF(AND($E211&lt;&gt;"",$E211&lt;&gt;0),SUMIF(CÁLCULO!$BC$15:$BU$727,"="&amp;CRONO!V$12,CÁLCULO!$AJ$15:$BB$727)/(ORÇAMENTO!$X$15-CÁLCULO.TotalAdmLocal)*CRONO!$E211,0),V210*$R209),SUMIF(OFFSET($R211,1,0,$Q209-2),($L209+1)&amp;"$",OFFSET(V211,1,0,$Q209-2)))</f>
        <v>0</v>
      </c>
      <c r="W211" s="223">
        <f ca="1">IF($Q209=2,IF(AND(ACOMPANHAMENTO="PLE",ISNUMBER($E209)),SUMIF((OFFSET(CÁLCULO!$BC$15:$BU$15,$E209,0,OFFSET(ORÇAMENTO!$D$15,CRONO!$E209,0))),"="&amp;CRONO!W$12,OFFSET(CÁLCULO!$AJ$15:$BB$15,$E209,0,OFFSET(ORÇAMENTO!$D$15,CRONO!$E209,0)))+IF(AND($E211&lt;&gt;"",$E211&lt;&gt;0),SUMIF(CÁLCULO!$BC$15:$BU$727,"="&amp;CRONO!W$12,CÁLCULO!$AJ$15:$BB$727)/(ORÇAMENTO!$X$15-CÁLCULO.TotalAdmLocal)*CRONO!$E211,0),W210*$R209),SUMIF(OFFSET($R211,1,0,$Q209-2),($L209+1)&amp;"$",OFFSET(W211,1,0,$Q209-2)))</f>
        <v>0</v>
      </c>
      <c r="X211" s="223">
        <f ca="1">IF($Q209=2,IF(AND(ACOMPANHAMENTO="PLE",ISNUMBER($E209)),SUMIF((OFFSET(CÁLCULO!$BC$15:$BU$15,$E209,0,OFFSET(ORÇAMENTO!$D$15,CRONO!$E209,0))),"="&amp;CRONO!X$12,OFFSET(CÁLCULO!$AJ$15:$BB$15,$E209,0,OFFSET(ORÇAMENTO!$D$15,CRONO!$E209,0)))+IF(AND($E211&lt;&gt;"",$E211&lt;&gt;0),SUMIF(CÁLCULO!$BC$15:$BU$727,"="&amp;CRONO!X$12,CÁLCULO!$AJ$15:$BB$727)/(ORÇAMENTO!$X$15-CÁLCULO.TotalAdmLocal)*CRONO!$E211,0),X210*$R209),SUMIF(OFFSET($R211,1,0,$Q209-2),($L209+1)&amp;"$",OFFSET(X211,1,0,$Q209-2)))</f>
        <v>0</v>
      </c>
      <c r="Y211" s="223">
        <f ca="1">IF($Q209=2,IF(AND(ACOMPANHAMENTO="PLE",ISNUMBER($E209)),SUMIF((OFFSET(CÁLCULO!$BC$15:$BU$15,$E209,0,OFFSET(ORÇAMENTO!$D$15,CRONO!$E209,0))),"="&amp;CRONO!Y$12,OFFSET(CÁLCULO!$AJ$15:$BB$15,$E209,0,OFFSET(ORÇAMENTO!$D$15,CRONO!$E209,0)))+IF(AND($E211&lt;&gt;"",$E211&lt;&gt;0),SUMIF(CÁLCULO!$BC$15:$BU$727,"="&amp;CRONO!Y$12,CÁLCULO!$AJ$15:$BB$727)/(ORÇAMENTO!$X$15-CÁLCULO.TotalAdmLocal)*CRONO!$E211,0),Y210*$R209),SUMIF(OFFSET($R211,1,0,$Q209-2),($L209+1)&amp;"$",OFFSET(Y211,1,0,$Q209-2)))</f>
        <v>0</v>
      </c>
      <c r="Z211" s="223">
        <f ca="1">IF($Q209=2,IF(AND(ACOMPANHAMENTO="PLE",ISNUMBER($E209)),SUMIF((OFFSET(CÁLCULO!$BC$15:$BU$15,$E209,0,OFFSET(ORÇAMENTO!$D$15,CRONO!$E209,0))),"="&amp;CRONO!Z$12,OFFSET(CÁLCULO!$AJ$15:$BB$15,$E209,0,OFFSET(ORÇAMENTO!$D$15,CRONO!$E209,0)))+IF(AND($E211&lt;&gt;"",$E211&lt;&gt;0),SUMIF(CÁLCULO!$BC$15:$BU$727,"="&amp;CRONO!Z$12,CÁLCULO!$AJ$15:$BB$727)/(ORÇAMENTO!$X$15-CÁLCULO.TotalAdmLocal)*CRONO!$E211,0),Z210*$R209),SUMIF(OFFSET($R211,1,0,$Q209-2),($L209+1)&amp;"$",OFFSET(Z211,1,0,$Q209-2)))</f>
        <v>0</v>
      </c>
      <c r="AA211" s="223">
        <f ca="1">IF($Q209=2,IF(AND(ACOMPANHAMENTO="PLE",ISNUMBER($E209)),SUMIF((OFFSET(CÁLCULO!$BC$15:$BU$15,$E209,0,OFFSET(ORÇAMENTO!$D$15,CRONO!$E209,0))),"="&amp;CRONO!AA$12,OFFSET(CÁLCULO!$AJ$15:$BB$15,$E209,0,OFFSET(ORÇAMENTO!$D$15,CRONO!$E209,0)))+IF(AND($E211&lt;&gt;"",$E211&lt;&gt;0),SUMIF(CÁLCULO!$BC$15:$BU$727,"="&amp;CRONO!AA$12,CÁLCULO!$AJ$15:$BB$727)/(ORÇAMENTO!$X$15-CÁLCULO.TotalAdmLocal)*CRONO!$E211,0),AA210*$R209),SUMIF(OFFSET($R211,1,0,$Q209-2),($L209+1)&amp;"$",OFFSET(AA211,1,0,$Q209-2)))</f>
        <v>0</v>
      </c>
      <c r="AB211" s="223">
        <f ca="1">IF($Q209=2,IF(AND(ACOMPANHAMENTO="PLE",ISNUMBER($E209)),SUMIF((OFFSET(CÁLCULO!$BC$15:$BU$15,$E209,0,OFFSET(ORÇAMENTO!$D$15,CRONO!$E209,0))),"="&amp;CRONO!AB$12,OFFSET(CÁLCULO!$AJ$15:$BB$15,$E209,0,OFFSET(ORÇAMENTO!$D$15,CRONO!$E209,0)))+IF(AND($E211&lt;&gt;"",$E211&lt;&gt;0),SUMIF(CÁLCULO!$BC$15:$BU$727,"="&amp;CRONO!AB$12,CÁLCULO!$AJ$15:$BB$727)/(ORÇAMENTO!$X$15-CÁLCULO.TotalAdmLocal)*CRONO!$E211,0),AB210*$R209),SUMIF(OFFSET($R211,1,0,$Q209-2),($L209+1)&amp;"$",OFFSET(AB211,1,0,$Q209-2)))</f>
        <v>0</v>
      </c>
      <c r="AC211" s="223">
        <f ca="1">IF($Q209=2,IF(AND(ACOMPANHAMENTO="PLE",ISNUMBER($E209)),SUMIF((OFFSET(CÁLCULO!$BC$15:$BU$15,$E209,0,OFFSET(ORÇAMENTO!$D$15,CRONO!$E209,0))),"="&amp;CRONO!AC$12,OFFSET(CÁLCULO!$AJ$15:$BB$15,$E209,0,OFFSET(ORÇAMENTO!$D$15,CRONO!$E209,0)))+IF(AND($E211&lt;&gt;"",$E211&lt;&gt;0),SUMIF(CÁLCULO!$BC$15:$BU$727,"="&amp;CRONO!AC$12,CÁLCULO!$AJ$15:$BB$727)/(ORÇAMENTO!$X$15-CÁLCULO.TotalAdmLocal)*CRONO!$E211,0),AC210*$R209),SUMIF(OFFSET($R211,1,0,$Q209-2),($L209+1)&amp;"$",OFFSET(AC211,1,0,$Q209-2)))</f>
        <v>0</v>
      </c>
      <c r="AD211" s="223">
        <f ca="1">IF($Q209=2,IF(AND(ACOMPANHAMENTO="PLE",ISNUMBER($E209)),SUMIF((OFFSET(CÁLCULO!$BC$15:$BU$15,$E209,0,OFFSET(ORÇAMENTO!$D$15,CRONO!$E209,0))),"="&amp;CRONO!AD$12,OFFSET(CÁLCULO!$AJ$15:$BB$15,$E209,0,OFFSET(ORÇAMENTO!$D$15,CRONO!$E209,0)))+IF(AND($E211&lt;&gt;"",$E211&lt;&gt;0),SUMIF(CÁLCULO!$BC$15:$BU$727,"="&amp;CRONO!AD$12,CÁLCULO!$AJ$15:$BB$727)/(ORÇAMENTO!$X$15-CÁLCULO.TotalAdmLocal)*CRONO!$E211,0),AD210*$R209),SUMIF(OFFSET($R211,1,0,$Q209-2),($L209+1)&amp;"$",OFFSET(AD211,1,0,$Q209-2)))</f>
        <v>0</v>
      </c>
      <c r="AE211" s="228">
        <f ca="1">IF($Q209=2,IF(AND(ACOMPANHAMENTO="PLE",ISNUMBER($E209)),SUMIF((OFFSET(CÁLCULO!$BC$15:$BU$15,$E209,0,OFFSET(ORÇAMENTO!$D$15,CRONO!$E209,0))),"="&amp;CRONO!AE$12,OFFSET(CÁLCULO!$AJ$15:$BB$15,$E209,0,OFFSET(ORÇAMENTO!$D$15,CRONO!$E209,0)))+IF(AND($E211&lt;&gt;"",$E211&lt;&gt;0),SUMIF(CÁLCULO!$BC$15:$BU$727,"="&amp;CRONO!AE$12,CÁLCULO!$AJ$15:$BB$727)/(ORÇAMENTO!$X$15-CÁLCULO.TotalAdmLocal)*CRONO!$E211,0),AE210*$R209),SUMIF(OFFSET($R211,1,0,$Q209-2),($L209+1)&amp;"$",OFFSET(AE211,1,0,$Q209-2)))</f>
        <v>0</v>
      </c>
    </row>
    <row r="212" spans="1:32" x14ac:dyDescent="0.2">
      <c r="A212" s="204">
        <f t="shared" ref="A212" ca="1" si="465">OFFSET(A212,-3,0)+1</f>
        <v>67</v>
      </c>
      <c r="B212" s="204">
        <f ca="1">IF($Q212&lt;&gt;2,0,IF($R212=0,1,IF(E213&gt;0,OFFSET(QCI!$M$13,SUBSTITUTE(E213,".",""),0),OFFSET(ORÇAMENTO!$AA$15,CRONO!$E212,0))/$R212))</f>
        <v>1</v>
      </c>
      <c r="C212" s="204">
        <f ca="1">IF($Q212&lt;&gt;2,0,IF($R212=0,1,IF(E213&gt;0,OFFSET(QCI!$N$13,SUBSTITUTE(E213,".",""),0),OFFSET(ORÇAMENTO!$AB$15,CRONO!$E212,0))/$R212))</f>
        <v>1</v>
      </c>
      <c r="D212" s="207" t="e">
        <f ca="1">IF(AND($Q212=2,ACOMPANHAMENTO="BM"),D213,D214/$R212)</f>
        <v>#DIV/0!</v>
      </c>
      <c r="E212" s="204">
        <f ca="1">IF(A212&lt;=ORÇAMENTO.MáximoListaCrono,MATCH(A212,ORÇAMENTO.ListaCrono,0),NA())</f>
        <v>621</v>
      </c>
      <c r="F212" s="204" t="str">
        <f t="shared" ref="F212" ca="1" si="466">IF(AND($E213&lt;&gt;-1,$R212&gt;0),"F","")</f>
        <v/>
      </c>
      <c r="G212" s="208" t="str">
        <f ca="1">IF(OR(R212=0,R212=""),"Linha",IF(AND(OR(ACOMPANHAMENTO="PLE",$Q212&lt;&gt;2),$E213=0),"Linha",1-SUM(T212:AF212)))</f>
        <v>Linha</v>
      </c>
      <c r="H212" s="209" t="str">
        <f ca="1">IF($E213=0,OFFSET(ORÇAMENTO!O$15,$E212,0),IF($E213&lt;&gt;-1,OFFSET(QCI!$D$13,$E213,0),""))</f>
        <v>1.66.</v>
      </c>
      <c r="I212" s="210" t="str">
        <f ca="1">IF($E213=0,OFFSET(ORÇAMENTO!R$15,$E212,0),IF($E213&lt;&gt;-1,OFFSET(QCI!$G$13,$E213,0),""))</f>
        <v>INSTALAÇÕES DE CABEAMENTO ESTRUTURADO - CAIXAS E QUADROS</v>
      </c>
      <c r="J212" s="210"/>
      <c r="K212" s="210"/>
      <c r="L212" s="211">
        <f ca="1">IF($E213=0,OFFSET(ORÇAMENTO!C$15,$E212,0),1)</f>
        <v>2</v>
      </c>
      <c r="M212" s="212">
        <f ca="1">IF($E213=-1,0,IF(M$13&lt;=$L212,IF(ISERROR(MATCH(M$13,OFFSET($L212,1,0,ROW($L$260)-ROW($L212)-1),0)),ROW($L$260)-ROW($L212)-1,MATCH(M$13,OFFSET($L212,1,0,ROW($L$260)-ROW($L212)-1),0)-1),0))</f>
        <v>47</v>
      </c>
      <c r="N212" s="212">
        <f ca="1">IF($E213=-1,0,IF(N$13&lt;=$L212,IF(ISERROR(MATCH(N$13,OFFSET($L212,1,0,ROW($L$260)-ROW($L212)-1),0)),ROW($L$260)-ROW($L212)-1,MATCH(N$13,OFFSET($L212,1,0,ROW($L$260)-ROW($L212)-1),0)-1),0))</f>
        <v>2</v>
      </c>
      <c r="O212" s="212">
        <f ca="1">IF($E213=-1,0,IF(O$13&lt;=$L212,IF(ISERROR(MATCH(O$13,OFFSET($L212,1,0,ROW($L$260)-ROW($L212)-1),0)),ROW($L$260)-ROW($L212)-1,MATCH(O$13,OFFSET($L212,1,0,ROW($L$260)-ROW($L212)-1),0)-1),0))</f>
        <v>0</v>
      </c>
      <c r="P212" s="212">
        <f ca="1">IF($E213=-1,0,IF(P$13&lt;=$L212,IF(ISERROR(MATCH(P$13,OFFSET($L212,1,0,ROW($L$260)-ROW($L212)-1),0)),ROW($L$260)-ROW($L212)-1,MATCH(P$13,OFFSET($L212,1,0,ROW($L$260)-ROW($L212)-1),0)-1),0))</f>
        <v>0</v>
      </c>
      <c r="Q212" s="212">
        <f t="shared" ref="Q212" ca="1" si="467">MIN(OFFSET(L212,0,1,,L212))</f>
        <v>2</v>
      </c>
      <c r="R212" s="213">
        <f ca="1">IF($E213=0,OFFSET(ORÇAMENTO!X$15,$E212,0),IF($E213&lt;&gt;-1,OFFSET(QCI!$O$13,$E213,0),""))</f>
        <v>0</v>
      </c>
      <c r="S212" s="214" t="s">
        <v>270</v>
      </c>
      <c r="T212" s="215" t="e">
        <f t="shared" ref="T212:AE212" ca="1" si="468">IF(AND($Q212=2,ACOMPANHAMENTO="BM"),T213,T214/$R212)</f>
        <v>#DIV/0!</v>
      </c>
      <c r="U212" s="207" t="e">
        <f t="shared" ca="1" si="468"/>
        <v>#DIV/0!</v>
      </c>
      <c r="V212" s="207" t="e">
        <f t="shared" ca="1" si="468"/>
        <v>#DIV/0!</v>
      </c>
      <c r="W212" s="207" t="e">
        <f t="shared" ca="1" si="468"/>
        <v>#DIV/0!</v>
      </c>
      <c r="X212" s="207" t="e">
        <f t="shared" ca="1" si="468"/>
        <v>#DIV/0!</v>
      </c>
      <c r="Y212" s="207" t="e">
        <f t="shared" ca="1" si="468"/>
        <v>#DIV/0!</v>
      </c>
      <c r="Z212" s="207" t="e">
        <f t="shared" ca="1" si="468"/>
        <v>#DIV/0!</v>
      </c>
      <c r="AA212" s="207" t="e">
        <f t="shared" ca="1" si="468"/>
        <v>#DIV/0!</v>
      </c>
      <c r="AB212" s="207" t="e">
        <f t="shared" ca="1" si="468"/>
        <v>#DIV/0!</v>
      </c>
      <c r="AC212" s="207" t="e">
        <f t="shared" ca="1" si="468"/>
        <v>#DIV/0!</v>
      </c>
      <c r="AD212" s="207" t="e">
        <f t="shared" ca="1" si="468"/>
        <v>#DIV/0!</v>
      </c>
      <c r="AE212" s="216" t="e">
        <f t="shared" ca="1" si="468"/>
        <v>#DIV/0!</v>
      </c>
    </row>
    <row r="213" spans="1:32" ht="12.75" customHeight="1" x14ac:dyDescent="0.2">
      <c r="D213" s="569"/>
      <c r="E213" s="204">
        <f ca="1">IF(ISERROR(E212),IF(1+COUNTIF($L$13:OFFSET(L212,-1,0),1)&lt;=MAX(QCI!$D$13:$D$24),1+COUNTIF($L$13:OFFSET(L212,-1,0),1),-1),0)</f>
        <v>0</v>
      </c>
      <c r="F213" s="204" t="str">
        <f t="shared" ref="F213" ca="1" si="469">IF(AND($E213&lt;&gt;-1,$R212&gt;0),"F","")</f>
        <v/>
      </c>
      <c r="G213" s="217" t="str">
        <f ca="1">IF(OR(R212=0,R212=""),"vazia",IF(AND(OR(ACOMPANHAMENTO="PLE",$Q212&lt;&gt;2),$E213=0),"calculada","--&gt;"))</f>
        <v>vazia</v>
      </c>
      <c r="H213" s="218"/>
      <c r="I213" s="219" t="str">
        <f t="shared" ref="I213" ca="1" si="470">IF(AND(G212&lt;&gt;0,ISNUMBER(G212)),"PREENCHA ESTA LINHA --&gt;","")</f>
        <v/>
      </c>
      <c r="J213" s="219"/>
      <c r="K213" s="219"/>
      <c r="L213" s="220"/>
      <c r="M213" s="220"/>
      <c r="N213" s="220"/>
      <c r="O213" s="220"/>
      <c r="P213" s="220"/>
      <c r="Q213" s="220"/>
      <c r="R213" s="221"/>
      <c r="S213" s="222"/>
      <c r="T213" s="570"/>
      <c r="U213" s="569"/>
      <c r="V213" s="569"/>
      <c r="W213" s="569"/>
      <c r="X213" s="569"/>
      <c r="Y213" s="569"/>
      <c r="Z213" s="569"/>
      <c r="AA213" s="569"/>
      <c r="AB213" s="569"/>
      <c r="AC213" s="569"/>
      <c r="AD213" s="569"/>
      <c r="AE213" s="571"/>
      <c r="AF213" s="533"/>
    </row>
    <row r="214" spans="1:32" ht="0.2" hidden="1" customHeight="1" x14ac:dyDescent="0.2">
      <c r="D214" s="223">
        <f ca="1">IF($Q212=2,IF(AND(ACOMPANHAMENTO="PLE",ISNUMBER($E212)),SUMIF((OFFSET(CÁLCULO!$BC$15:$BU$15,$E212,0,OFFSET(ORÇAMENTO!$D$15,CRONO!$E212,0))),"="&amp;CRONO!D$12,OFFSET(CÁLCULO!$AJ$15:$BB$15,$E212,0,OFFSET(ORÇAMENTO!$D$15,CRONO!$E212,0)))+IF(AND($E214&lt;&gt;"",$E214&lt;&gt;0),SUMIF(CÁLCULO!$BC$15:$BU$727,"="&amp;CRONO!D$12,CÁLCULO!$AJ$15:$BB$727)/(ORÇAMENTO!$X$15-CÁLCULO.TotalAdmLocal)*CRONO!$E214,0),D213*$R212),SUMIF(OFFSET($R214,1,0,$Q212-2),($L212+1)&amp;"$",OFFSET(D214,1,0,$Q212-2)))</f>
        <v>0</v>
      </c>
      <c r="E214" s="204" t="str">
        <f ca="1">IF(OR($Q212&lt;&gt;2,AUTOEVENTO&lt;&gt;"manual",$E213&gt;0),"",SUMIF(OFFSET(CÁLCULO!$M$15,CRONO!$E212,0,OFFSET(ORÇAMENTO!$D$15,CRONO!$E212,0)),1,OFFSET(ORÇAMENTO!$X$15,CRONO!$E212,0,OFFSET(ORÇAMENTO!$D$15,CRONO!$E212,0))))</f>
        <v/>
      </c>
      <c r="G214" s="224"/>
      <c r="R214" s="225" t="str">
        <f t="shared" ref="R214" ca="1" si="471">L212&amp;"$"</f>
        <v>2$</v>
      </c>
      <c r="S214" s="226"/>
      <c r="T214" s="227">
        <f ca="1">IF($Q212=2,IF(AND(ACOMPANHAMENTO="PLE",ISNUMBER($E212)),SUMIF((OFFSET(CÁLCULO!$BC$15:$BU$15,$E212,0,OFFSET(ORÇAMENTO!$D$15,CRONO!$E212,0))),"&lt;="&amp;CRONO!T$12,OFFSET(CÁLCULO!$AJ$15:$BB$15,$E212,0,OFFSET(ORÇAMENTO!$D$15,CRONO!$E212,0)))+IF(AND($E214&lt;&gt;"",$E214&lt;&gt;0),SUMIF(CÁLCULO!$BC$15:$BU$727,"&lt;="&amp;CRONO!T$12,CÁLCULO!$AJ$15:$BB$727)/(ORÇAMENTO!$X$15-CÁLCULO.TotalAdmLocal)*CRONO!$E214,0),T213*$R212),SUMIF(OFFSET($R214,1,0,$Q212-2),($L212+1)&amp;"$",OFFSET(T214,1,0,$Q212-2)))</f>
        <v>0</v>
      </c>
      <c r="U214" s="223">
        <f ca="1">IF($Q212=2,IF(AND(ACOMPANHAMENTO="PLE",ISNUMBER($E212)),SUMIF((OFFSET(CÁLCULO!$BC$15:$BU$15,$E212,0,OFFSET(ORÇAMENTO!$D$15,CRONO!$E212,0))),"="&amp;CRONO!U$12,OFFSET(CÁLCULO!$AJ$15:$BB$15,$E212,0,OFFSET(ORÇAMENTO!$D$15,CRONO!$E212,0)))+IF(AND($E214&lt;&gt;"",$E214&lt;&gt;0),SUMIF(CÁLCULO!$BC$15:$BU$727,"="&amp;CRONO!U$12,CÁLCULO!$AJ$15:$BB$727)/(ORÇAMENTO!$X$15-CÁLCULO.TotalAdmLocal)*CRONO!$E214,0),U213*$R212),SUMIF(OFFSET($R214,1,0,$Q212-2),($L212+1)&amp;"$",OFFSET(U214,1,0,$Q212-2)))</f>
        <v>0</v>
      </c>
      <c r="V214" s="223">
        <f ca="1">IF($Q212=2,IF(AND(ACOMPANHAMENTO="PLE",ISNUMBER($E212)),SUMIF((OFFSET(CÁLCULO!$BC$15:$BU$15,$E212,0,OFFSET(ORÇAMENTO!$D$15,CRONO!$E212,0))),"="&amp;CRONO!V$12,OFFSET(CÁLCULO!$AJ$15:$BB$15,$E212,0,OFFSET(ORÇAMENTO!$D$15,CRONO!$E212,0)))+IF(AND($E214&lt;&gt;"",$E214&lt;&gt;0),SUMIF(CÁLCULO!$BC$15:$BU$727,"="&amp;CRONO!V$12,CÁLCULO!$AJ$15:$BB$727)/(ORÇAMENTO!$X$15-CÁLCULO.TotalAdmLocal)*CRONO!$E214,0),V213*$R212),SUMIF(OFFSET($R214,1,0,$Q212-2),($L212+1)&amp;"$",OFFSET(V214,1,0,$Q212-2)))</f>
        <v>0</v>
      </c>
      <c r="W214" s="223">
        <f ca="1">IF($Q212=2,IF(AND(ACOMPANHAMENTO="PLE",ISNUMBER($E212)),SUMIF((OFFSET(CÁLCULO!$BC$15:$BU$15,$E212,0,OFFSET(ORÇAMENTO!$D$15,CRONO!$E212,0))),"="&amp;CRONO!W$12,OFFSET(CÁLCULO!$AJ$15:$BB$15,$E212,0,OFFSET(ORÇAMENTO!$D$15,CRONO!$E212,0)))+IF(AND($E214&lt;&gt;"",$E214&lt;&gt;0),SUMIF(CÁLCULO!$BC$15:$BU$727,"="&amp;CRONO!W$12,CÁLCULO!$AJ$15:$BB$727)/(ORÇAMENTO!$X$15-CÁLCULO.TotalAdmLocal)*CRONO!$E214,0),W213*$R212),SUMIF(OFFSET($R214,1,0,$Q212-2),($L212+1)&amp;"$",OFFSET(W214,1,0,$Q212-2)))</f>
        <v>0</v>
      </c>
      <c r="X214" s="223">
        <f ca="1">IF($Q212=2,IF(AND(ACOMPANHAMENTO="PLE",ISNUMBER($E212)),SUMIF((OFFSET(CÁLCULO!$BC$15:$BU$15,$E212,0,OFFSET(ORÇAMENTO!$D$15,CRONO!$E212,0))),"="&amp;CRONO!X$12,OFFSET(CÁLCULO!$AJ$15:$BB$15,$E212,0,OFFSET(ORÇAMENTO!$D$15,CRONO!$E212,0)))+IF(AND($E214&lt;&gt;"",$E214&lt;&gt;0),SUMIF(CÁLCULO!$BC$15:$BU$727,"="&amp;CRONO!X$12,CÁLCULO!$AJ$15:$BB$727)/(ORÇAMENTO!$X$15-CÁLCULO.TotalAdmLocal)*CRONO!$E214,0),X213*$R212),SUMIF(OFFSET($R214,1,0,$Q212-2),($L212+1)&amp;"$",OFFSET(X214,1,0,$Q212-2)))</f>
        <v>0</v>
      </c>
      <c r="Y214" s="223">
        <f ca="1">IF($Q212=2,IF(AND(ACOMPANHAMENTO="PLE",ISNUMBER($E212)),SUMIF((OFFSET(CÁLCULO!$BC$15:$BU$15,$E212,0,OFFSET(ORÇAMENTO!$D$15,CRONO!$E212,0))),"="&amp;CRONO!Y$12,OFFSET(CÁLCULO!$AJ$15:$BB$15,$E212,0,OFFSET(ORÇAMENTO!$D$15,CRONO!$E212,0)))+IF(AND($E214&lt;&gt;"",$E214&lt;&gt;0),SUMIF(CÁLCULO!$BC$15:$BU$727,"="&amp;CRONO!Y$12,CÁLCULO!$AJ$15:$BB$727)/(ORÇAMENTO!$X$15-CÁLCULO.TotalAdmLocal)*CRONO!$E214,0),Y213*$R212),SUMIF(OFFSET($R214,1,0,$Q212-2),($L212+1)&amp;"$",OFFSET(Y214,1,0,$Q212-2)))</f>
        <v>0</v>
      </c>
      <c r="Z214" s="223">
        <f ca="1">IF($Q212=2,IF(AND(ACOMPANHAMENTO="PLE",ISNUMBER($E212)),SUMIF((OFFSET(CÁLCULO!$BC$15:$BU$15,$E212,0,OFFSET(ORÇAMENTO!$D$15,CRONO!$E212,0))),"="&amp;CRONO!Z$12,OFFSET(CÁLCULO!$AJ$15:$BB$15,$E212,0,OFFSET(ORÇAMENTO!$D$15,CRONO!$E212,0)))+IF(AND($E214&lt;&gt;"",$E214&lt;&gt;0),SUMIF(CÁLCULO!$BC$15:$BU$727,"="&amp;CRONO!Z$12,CÁLCULO!$AJ$15:$BB$727)/(ORÇAMENTO!$X$15-CÁLCULO.TotalAdmLocal)*CRONO!$E214,0),Z213*$R212),SUMIF(OFFSET($R214,1,0,$Q212-2),($L212+1)&amp;"$",OFFSET(Z214,1,0,$Q212-2)))</f>
        <v>0</v>
      </c>
      <c r="AA214" s="223">
        <f ca="1">IF($Q212=2,IF(AND(ACOMPANHAMENTO="PLE",ISNUMBER($E212)),SUMIF((OFFSET(CÁLCULO!$BC$15:$BU$15,$E212,0,OFFSET(ORÇAMENTO!$D$15,CRONO!$E212,0))),"="&amp;CRONO!AA$12,OFFSET(CÁLCULO!$AJ$15:$BB$15,$E212,0,OFFSET(ORÇAMENTO!$D$15,CRONO!$E212,0)))+IF(AND($E214&lt;&gt;"",$E214&lt;&gt;0),SUMIF(CÁLCULO!$BC$15:$BU$727,"="&amp;CRONO!AA$12,CÁLCULO!$AJ$15:$BB$727)/(ORÇAMENTO!$X$15-CÁLCULO.TotalAdmLocal)*CRONO!$E214,0),AA213*$R212),SUMIF(OFFSET($R214,1,0,$Q212-2),($L212+1)&amp;"$",OFFSET(AA214,1,0,$Q212-2)))</f>
        <v>0</v>
      </c>
      <c r="AB214" s="223">
        <f ca="1">IF($Q212=2,IF(AND(ACOMPANHAMENTO="PLE",ISNUMBER($E212)),SUMIF((OFFSET(CÁLCULO!$BC$15:$BU$15,$E212,0,OFFSET(ORÇAMENTO!$D$15,CRONO!$E212,0))),"="&amp;CRONO!AB$12,OFFSET(CÁLCULO!$AJ$15:$BB$15,$E212,0,OFFSET(ORÇAMENTO!$D$15,CRONO!$E212,0)))+IF(AND($E214&lt;&gt;"",$E214&lt;&gt;0),SUMIF(CÁLCULO!$BC$15:$BU$727,"="&amp;CRONO!AB$12,CÁLCULO!$AJ$15:$BB$727)/(ORÇAMENTO!$X$15-CÁLCULO.TotalAdmLocal)*CRONO!$E214,0),AB213*$R212),SUMIF(OFFSET($R214,1,0,$Q212-2),($L212+1)&amp;"$",OFFSET(AB214,1,0,$Q212-2)))</f>
        <v>0</v>
      </c>
      <c r="AC214" s="223">
        <f ca="1">IF($Q212=2,IF(AND(ACOMPANHAMENTO="PLE",ISNUMBER($E212)),SUMIF((OFFSET(CÁLCULO!$BC$15:$BU$15,$E212,0,OFFSET(ORÇAMENTO!$D$15,CRONO!$E212,0))),"="&amp;CRONO!AC$12,OFFSET(CÁLCULO!$AJ$15:$BB$15,$E212,0,OFFSET(ORÇAMENTO!$D$15,CRONO!$E212,0)))+IF(AND($E214&lt;&gt;"",$E214&lt;&gt;0),SUMIF(CÁLCULO!$BC$15:$BU$727,"="&amp;CRONO!AC$12,CÁLCULO!$AJ$15:$BB$727)/(ORÇAMENTO!$X$15-CÁLCULO.TotalAdmLocal)*CRONO!$E214,0),AC213*$R212),SUMIF(OFFSET($R214,1,0,$Q212-2),($L212+1)&amp;"$",OFFSET(AC214,1,0,$Q212-2)))</f>
        <v>0</v>
      </c>
      <c r="AD214" s="223">
        <f ca="1">IF($Q212=2,IF(AND(ACOMPANHAMENTO="PLE",ISNUMBER($E212)),SUMIF((OFFSET(CÁLCULO!$BC$15:$BU$15,$E212,0,OFFSET(ORÇAMENTO!$D$15,CRONO!$E212,0))),"="&amp;CRONO!AD$12,OFFSET(CÁLCULO!$AJ$15:$BB$15,$E212,0,OFFSET(ORÇAMENTO!$D$15,CRONO!$E212,0)))+IF(AND($E214&lt;&gt;"",$E214&lt;&gt;0),SUMIF(CÁLCULO!$BC$15:$BU$727,"="&amp;CRONO!AD$12,CÁLCULO!$AJ$15:$BB$727)/(ORÇAMENTO!$X$15-CÁLCULO.TotalAdmLocal)*CRONO!$E214,0),AD213*$R212),SUMIF(OFFSET($R214,1,0,$Q212-2),($L212+1)&amp;"$",OFFSET(AD214,1,0,$Q212-2)))</f>
        <v>0</v>
      </c>
      <c r="AE214" s="228">
        <f ca="1">IF($Q212=2,IF(AND(ACOMPANHAMENTO="PLE",ISNUMBER($E212)),SUMIF((OFFSET(CÁLCULO!$BC$15:$BU$15,$E212,0,OFFSET(ORÇAMENTO!$D$15,CRONO!$E212,0))),"="&amp;CRONO!AE$12,OFFSET(CÁLCULO!$AJ$15:$BB$15,$E212,0,OFFSET(ORÇAMENTO!$D$15,CRONO!$E212,0)))+IF(AND($E214&lt;&gt;"",$E214&lt;&gt;0),SUMIF(CÁLCULO!$BC$15:$BU$727,"="&amp;CRONO!AE$12,CÁLCULO!$AJ$15:$BB$727)/(ORÇAMENTO!$X$15-CÁLCULO.TotalAdmLocal)*CRONO!$E214,0),AE213*$R212),SUMIF(OFFSET($R214,1,0,$Q212-2),($L212+1)&amp;"$",OFFSET(AE214,1,0,$Q212-2)))</f>
        <v>0</v>
      </c>
    </row>
    <row r="215" spans="1:32" x14ac:dyDescent="0.2">
      <c r="A215" s="204">
        <f t="shared" ref="A215" ca="1" si="472">OFFSET(A215,-3,0)+1</f>
        <v>68</v>
      </c>
      <c r="B215" s="204">
        <f ca="1">IF($Q215&lt;&gt;2,0,IF($R215=0,1,IF(E216&gt;0,OFFSET(QCI!$M$13,SUBSTITUTE(E216,".",""),0),OFFSET(ORÇAMENTO!$AA$15,CRONO!$E215,0))/$R215))</f>
        <v>1</v>
      </c>
      <c r="C215" s="204">
        <f ca="1">IF($Q215&lt;&gt;2,0,IF($R215=0,1,IF(E216&gt;0,OFFSET(QCI!$N$13,SUBSTITUTE(E216,".",""),0),OFFSET(ORÇAMENTO!$AB$15,CRONO!$E215,0))/$R215))</f>
        <v>1</v>
      </c>
      <c r="D215" s="207" t="e">
        <f ca="1">IF(AND($Q215=2,ACOMPANHAMENTO="BM"),D216,D217/$R215)</f>
        <v>#DIV/0!</v>
      </c>
      <c r="E215" s="204">
        <f ca="1">IF(A215&lt;=ORÇAMENTO.MáximoListaCrono,MATCH(A215,ORÇAMENTO.ListaCrono,0),NA())</f>
        <v>625</v>
      </c>
      <c r="F215" s="204" t="str">
        <f t="shared" ref="F215" ca="1" si="473">IF(AND($E216&lt;&gt;-1,$R215&gt;0),"F","")</f>
        <v/>
      </c>
      <c r="G215" s="208" t="str">
        <f ca="1">IF(OR(R215=0,R215=""),"Linha",IF(AND(OR(ACOMPANHAMENTO="PLE",$Q215&lt;&gt;2),$E216=0),"Linha",1-SUM(T215:AF215)))</f>
        <v>Linha</v>
      </c>
      <c r="H215" s="209" t="str">
        <f ca="1">IF($E216=0,OFFSET(ORÇAMENTO!O$15,$E215,0),IF($E216&lt;&gt;-1,OFFSET(QCI!$D$13,$E216,0),""))</f>
        <v>1.67.</v>
      </c>
      <c r="I215" s="210" t="str">
        <f ca="1">IF($E216=0,OFFSET(ORÇAMENTO!R$15,$E215,0),IF($E216&lt;&gt;-1,OFFSET(QCI!$G$13,$E216,0),""))</f>
        <v>INSTALAÇÕES DE CABEAMENTO ESTRUTURADO - DISPOSITIVOS</v>
      </c>
      <c r="J215" s="210"/>
      <c r="K215" s="210"/>
      <c r="L215" s="211">
        <f ca="1">IF($E216=0,OFFSET(ORÇAMENTO!C$15,$E215,0),1)</f>
        <v>2</v>
      </c>
      <c r="M215" s="212">
        <f ca="1">IF($E216=-1,0,IF(M$13&lt;=$L215,IF(ISERROR(MATCH(M$13,OFFSET($L215,1,0,ROW($L$260)-ROW($L215)-1),0)),ROW($L$260)-ROW($L215)-1,MATCH(M$13,OFFSET($L215,1,0,ROW($L$260)-ROW($L215)-1),0)-1),0))</f>
        <v>44</v>
      </c>
      <c r="N215" s="212">
        <f ca="1">IF($E216=-1,0,IF(N$13&lt;=$L215,IF(ISERROR(MATCH(N$13,OFFSET($L215,1,0,ROW($L$260)-ROW($L215)-1),0)),ROW($L$260)-ROW($L215)-1,MATCH(N$13,OFFSET($L215,1,0,ROW($L$260)-ROW($L215)-1),0)-1),0))</f>
        <v>2</v>
      </c>
      <c r="O215" s="212">
        <f ca="1">IF($E216=-1,0,IF(O$13&lt;=$L215,IF(ISERROR(MATCH(O$13,OFFSET($L215,1,0,ROW($L$260)-ROW($L215)-1),0)),ROW($L$260)-ROW($L215)-1,MATCH(O$13,OFFSET($L215,1,0,ROW($L$260)-ROW($L215)-1),0)-1),0))</f>
        <v>0</v>
      </c>
      <c r="P215" s="212">
        <f ca="1">IF($E216=-1,0,IF(P$13&lt;=$L215,IF(ISERROR(MATCH(P$13,OFFSET($L215,1,0,ROW($L$260)-ROW($L215)-1),0)),ROW($L$260)-ROW($L215)-1,MATCH(P$13,OFFSET($L215,1,0,ROW($L$260)-ROW($L215)-1),0)-1),0))</f>
        <v>0</v>
      </c>
      <c r="Q215" s="212">
        <f t="shared" ref="Q215" ca="1" si="474">MIN(OFFSET(L215,0,1,,L215))</f>
        <v>2</v>
      </c>
      <c r="R215" s="213">
        <f ca="1">IF($E216=0,OFFSET(ORÇAMENTO!X$15,$E215,0),IF($E216&lt;&gt;-1,OFFSET(QCI!$O$13,$E216,0),""))</f>
        <v>0</v>
      </c>
      <c r="S215" s="214" t="s">
        <v>270</v>
      </c>
      <c r="T215" s="215" t="e">
        <f t="shared" ref="T215:AE215" ca="1" si="475">IF(AND($Q215=2,ACOMPANHAMENTO="BM"),T216,T217/$R215)</f>
        <v>#DIV/0!</v>
      </c>
      <c r="U215" s="207" t="e">
        <f t="shared" ca="1" si="475"/>
        <v>#DIV/0!</v>
      </c>
      <c r="V215" s="207" t="e">
        <f t="shared" ca="1" si="475"/>
        <v>#DIV/0!</v>
      </c>
      <c r="W215" s="207" t="e">
        <f t="shared" ca="1" si="475"/>
        <v>#DIV/0!</v>
      </c>
      <c r="X215" s="207" t="e">
        <f t="shared" ca="1" si="475"/>
        <v>#DIV/0!</v>
      </c>
      <c r="Y215" s="207" t="e">
        <f t="shared" ca="1" si="475"/>
        <v>#DIV/0!</v>
      </c>
      <c r="Z215" s="207" t="e">
        <f t="shared" ca="1" si="475"/>
        <v>#DIV/0!</v>
      </c>
      <c r="AA215" s="207" t="e">
        <f t="shared" ca="1" si="475"/>
        <v>#DIV/0!</v>
      </c>
      <c r="AB215" s="207" t="e">
        <f t="shared" ca="1" si="475"/>
        <v>#DIV/0!</v>
      </c>
      <c r="AC215" s="207" t="e">
        <f t="shared" ca="1" si="475"/>
        <v>#DIV/0!</v>
      </c>
      <c r="AD215" s="207" t="e">
        <f t="shared" ca="1" si="475"/>
        <v>#DIV/0!</v>
      </c>
      <c r="AE215" s="216" t="e">
        <f t="shared" ca="1" si="475"/>
        <v>#DIV/0!</v>
      </c>
    </row>
    <row r="216" spans="1:32" ht="12.75" customHeight="1" x14ac:dyDescent="0.2">
      <c r="D216" s="569"/>
      <c r="E216" s="204">
        <f ca="1">IF(ISERROR(E215),IF(1+COUNTIF($L$13:OFFSET(L215,-1,0),1)&lt;=MAX(QCI!$D$13:$D$24),1+COUNTIF($L$13:OFFSET(L215,-1,0),1),-1),0)</f>
        <v>0</v>
      </c>
      <c r="F216" s="204" t="str">
        <f t="shared" ref="F216" ca="1" si="476">IF(AND($E216&lt;&gt;-1,$R215&gt;0),"F","")</f>
        <v/>
      </c>
      <c r="G216" s="217" t="str">
        <f ca="1">IF(OR(R215=0,R215=""),"vazia",IF(AND(OR(ACOMPANHAMENTO="PLE",$Q215&lt;&gt;2),$E216=0),"calculada","--&gt;"))</f>
        <v>vazia</v>
      </c>
      <c r="H216" s="218"/>
      <c r="I216" s="219" t="str">
        <f t="shared" ref="I216" ca="1" si="477">IF(AND(G215&lt;&gt;0,ISNUMBER(G215)),"PREENCHA ESTA LINHA --&gt;","")</f>
        <v/>
      </c>
      <c r="J216" s="219"/>
      <c r="K216" s="219"/>
      <c r="L216" s="220"/>
      <c r="M216" s="220"/>
      <c r="N216" s="220"/>
      <c r="O216" s="220"/>
      <c r="P216" s="220"/>
      <c r="Q216" s="220"/>
      <c r="R216" s="221"/>
      <c r="S216" s="222"/>
      <c r="T216" s="570"/>
      <c r="U216" s="569"/>
      <c r="V216" s="569"/>
      <c r="W216" s="569"/>
      <c r="X216" s="569"/>
      <c r="Y216" s="569"/>
      <c r="Z216" s="569"/>
      <c r="AA216" s="569"/>
      <c r="AB216" s="569"/>
      <c r="AC216" s="569"/>
      <c r="AD216" s="569"/>
      <c r="AE216" s="571"/>
      <c r="AF216" s="533"/>
    </row>
    <row r="217" spans="1:32" ht="0.2" hidden="1" customHeight="1" x14ac:dyDescent="0.2">
      <c r="D217" s="223">
        <f ca="1">IF($Q215=2,IF(AND(ACOMPANHAMENTO="PLE",ISNUMBER($E215)),SUMIF((OFFSET(CÁLCULO!$BC$15:$BU$15,$E215,0,OFFSET(ORÇAMENTO!$D$15,CRONO!$E215,0))),"="&amp;CRONO!D$12,OFFSET(CÁLCULO!$AJ$15:$BB$15,$E215,0,OFFSET(ORÇAMENTO!$D$15,CRONO!$E215,0)))+IF(AND($E217&lt;&gt;"",$E217&lt;&gt;0),SUMIF(CÁLCULO!$BC$15:$BU$727,"="&amp;CRONO!D$12,CÁLCULO!$AJ$15:$BB$727)/(ORÇAMENTO!$X$15-CÁLCULO.TotalAdmLocal)*CRONO!$E217,0),D216*$R215),SUMIF(OFFSET($R217,1,0,$Q215-2),($L215+1)&amp;"$",OFFSET(D217,1,0,$Q215-2)))</f>
        <v>0</v>
      </c>
      <c r="E217" s="204" t="str">
        <f ca="1">IF(OR($Q215&lt;&gt;2,AUTOEVENTO&lt;&gt;"manual",$E216&gt;0),"",SUMIF(OFFSET(CÁLCULO!$M$15,CRONO!$E215,0,OFFSET(ORÇAMENTO!$D$15,CRONO!$E215,0)),1,OFFSET(ORÇAMENTO!$X$15,CRONO!$E215,0,OFFSET(ORÇAMENTO!$D$15,CRONO!$E215,0))))</f>
        <v/>
      </c>
      <c r="G217" s="224"/>
      <c r="R217" s="225" t="str">
        <f t="shared" ref="R217" ca="1" si="478">L215&amp;"$"</f>
        <v>2$</v>
      </c>
      <c r="S217" s="226"/>
      <c r="T217" s="227">
        <f ca="1">IF($Q215=2,IF(AND(ACOMPANHAMENTO="PLE",ISNUMBER($E215)),SUMIF((OFFSET(CÁLCULO!$BC$15:$BU$15,$E215,0,OFFSET(ORÇAMENTO!$D$15,CRONO!$E215,0))),"&lt;="&amp;CRONO!T$12,OFFSET(CÁLCULO!$AJ$15:$BB$15,$E215,0,OFFSET(ORÇAMENTO!$D$15,CRONO!$E215,0)))+IF(AND($E217&lt;&gt;"",$E217&lt;&gt;0),SUMIF(CÁLCULO!$BC$15:$BU$727,"&lt;="&amp;CRONO!T$12,CÁLCULO!$AJ$15:$BB$727)/(ORÇAMENTO!$X$15-CÁLCULO.TotalAdmLocal)*CRONO!$E217,0),T216*$R215),SUMIF(OFFSET($R217,1,0,$Q215-2),($L215+1)&amp;"$",OFFSET(T217,1,0,$Q215-2)))</f>
        <v>0</v>
      </c>
      <c r="U217" s="223">
        <f ca="1">IF($Q215=2,IF(AND(ACOMPANHAMENTO="PLE",ISNUMBER($E215)),SUMIF((OFFSET(CÁLCULO!$BC$15:$BU$15,$E215,0,OFFSET(ORÇAMENTO!$D$15,CRONO!$E215,0))),"="&amp;CRONO!U$12,OFFSET(CÁLCULO!$AJ$15:$BB$15,$E215,0,OFFSET(ORÇAMENTO!$D$15,CRONO!$E215,0)))+IF(AND($E217&lt;&gt;"",$E217&lt;&gt;0),SUMIF(CÁLCULO!$BC$15:$BU$727,"="&amp;CRONO!U$12,CÁLCULO!$AJ$15:$BB$727)/(ORÇAMENTO!$X$15-CÁLCULO.TotalAdmLocal)*CRONO!$E217,0),U216*$R215),SUMIF(OFFSET($R217,1,0,$Q215-2),($L215+1)&amp;"$",OFFSET(U217,1,0,$Q215-2)))</f>
        <v>0</v>
      </c>
      <c r="V217" s="223">
        <f ca="1">IF($Q215=2,IF(AND(ACOMPANHAMENTO="PLE",ISNUMBER($E215)),SUMIF((OFFSET(CÁLCULO!$BC$15:$BU$15,$E215,0,OFFSET(ORÇAMENTO!$D$15,CRONO!$E215,0))),"="&amp;CRONO!V$12,OFFSET(CÁLCULO!$AJ$15:$BB$15,$E215,0,OFFSET(ORÇAMENTO!$D$15,CRONO!$E215,0)))+IF(AND($E217&lt;&gt;"",$E217&lt;&gt;0),SUMIF(CÁLCULO!$BC$15:$BU$727,"="&amp;CRONO!V$12,CÁLCULO!$AJ$15:$BB$727)/(ORÇAMENTO!$X$15-CÁLCULO.TotalAdmLocal)*CRONO!$E217,0),V216*$R215),SUMIF(OFFSET($R217,1,0,$Q215-2),($L215+1)&amp;"$",OFFSET(V217,1,0,$Q215-2)))</f>
        <v>0</v>
      </c>
      <c r="W217" s="223">
        <f ca="1">IF($Q215=2,IF(AND(ACOMPANHAMENTO="PLE",ISNUMBER($E215)),SUMIF((OFFSET(CÁLCULO!$BC$15:$BU$15,$E215,0,OFFSET(ORÇAMENTO!$D$15,CRONO!$E215,0))),"="&amp;CRONO!W$12,OFFSET(CÁLCULO!$AJ$15:$BB$15,$E215,0,OFFSET(ORÇAMENTO!$D$15,CRONO!$E215,0)))+IF(AND($E217&lt;&gt;"",$E217&lt;&gt;0),SUMIF(CÁLCULO!$BC$15:$BU$727,"="&amp;CRONO!W$12,CÁLCULO!$AJ$15:$BB$727)/(ORÇAMENTO!$X$15-CÁLCULO.TotalAdmLocal)*CRONO!$E217,0),W216*$R215),SUMIF(OFFSET($R217,1,0,$Q215-2),($L215+1)&amp;"$",OFFSET(W217,1,0,$Q215-2)))</f>
        <v>0</v>
      </c>
      <c r="X217" s="223">
        <f ca="1">IF($Q215=2,IF(AND(ACOMPANHAMENTO="PLE",ISNUMBER($E215)),SUMIF((OFFSET(CÁLCULO!$BC$15:$BU$15,$E215,0,OFFSET(ORÇAMENTO!$D$15,CRONO!$E215,0))),"="&amp;CRONO!X$12,OFFSET(CÁLCULO!$AJ$15:$BB$15,$E215,0,OFFSET(ORÇAMENTO!$D$15,CRONO!$E215,0)))+IF(AND($E217&lt;&gt;"",$E217&lt;&gt;0),SUMIF(CÁLCULO!$BC$15:$BU$727,"="&amp;CRONO!X$12,CÁLCULO!$AJ$15:$BB$727)/(ORÇAMENTO!$X$15-CÁLCULO.TotalAdmLocal)*CRONO!$E217,0),X216*$R215),SUMIF(OFFSET($R217,1,0,$Q215-2),($L215+1)&amp;"$",OFFSET(X217,1,0,$Q215-2)))</f>
        <v>0</v>
      </c>
      <c r="Y217" s="223">
        <f ca="1">IF($Q215=2,IF(AND(ACOMPANHAMENTO="PLE",ISNUMBER($E215)),SUMIF((OFFSET(CÁLCULO!$BC$15:$BU$15,$E215,0,OFFSET(ORÇAMENTO!$D$15,CRONO!$E215,0))),"="&amp;CRONO!Y$12,OFFSET(CÁLCULO!$AJ$15:$BB$15,$E215,0,OFFSET(ORÇAMENTO!$D$15,CRONO!$E215,0)))+IF(AND($E217&lt;&gt;"",$E217&lt;&gt;0),SUMIF(CÁLCULO!$BC$15:$BU$727,"="&amp;CRONO!Y$12,CÁLCULO!$AJ$15:$BB$727)/(ORÇAMENTO!$X$15-CÁLCULO.TotalAdmLocal)*CRONO!$E217,0),Y216*$R215),SUMIF(OFFSET($R217,1,0,$Q215-2),($L215+1)&amp;"$",OFFSET(Y217,1,0,$Q215-2)))</f>
        <v>0</v>
      </c>
      <c r="Z217" s="223">
        <f ca="1">IF($Q215=2,IF(AND(ACOMPANHAMENTO="PLE",ISNUMBER($E215)),SUMIF((OFFSET(CÁLCULO!$BC$15:$BU$15,$E215,0,OFFSET(ORÇAMENTO!$D$15,CRONO!$E215,0))),"="&amp;CRONO!Z$12,OFFSET(CÁLCULO!$AJ$15:$BB$15,$E215,0,OFFSET(ORÇAMENTO!$D$15,CRONO!$E215,0)))+IF(AND($E217&lt;&gt;"",$E217&lt;&gt;0),SUMIF(CÁLCULO!$BC$15:$BU$727,"="&amp;CRONO!Z$12,CÁLCULO!$AJ$15:$BB$727)/(ORÇAMENTO!$X$15-CÁLCULO.TotalAdmLocal)*CRONO!$E217,0),Z216*$R215),SUMIF(OFFSET($R217,1,0,$Q215-2),($L215+1)&amp;"$",OFFSET(Z217,1,0,$Q215-2)))</f>
        <v>0</v>
      </c>
      <c r="AA217" s="223">
        <f ca="1">IF($Q215=2,IF(AND(ACOMPANHAMENTO="PLE",ISNUMBER($E215)),SUMIF((OFFSET(CÁLCULO!$BC$15:$BU$15,$E215,0,OFFSET(ORÇAMENTO!$D$15,CRONO!$E215,0))),"="&amp;CRONO!AA$12,OFFSET(CÁLCULO!$AJ$15:$BB$15,$E215,0,OFFSET(ORÇAMENTO!$D$15,CRONO!$E215,0)))+IF(AND($E217&lt;&gt;"",$E217&lt;&gt;0),SUMIF(CÁLCULO!$BC$15:$BU$727,"="&amp;CRONO!AA$12,CÁLCULO!$AJ$15:$BB$727)/(ORÇAMENTO!$X$15-CÁLCULO.TotalAdmLocal)*CRONO!$E217,0),AA216*$R215),SUMIF(OFFSET($R217,1,0,$Q215-2),($L215+1)&amp;"$",OFFSET(AA217,1,0,$Q215-2)))</f>
        <v>0</v>
      </c>
      <c r="AB217" s="223">
        <f ca="1">IF($Q215=2,IF(AND(ACOMPANHAMENTO="PLE",ISNUMBER($E215)),SUMIF((OFFSET(CÁLCULO!$BC$15:$BU$15,$E215,0,OFFSET(ORÇAMENTO!$D$15,CRONO!$E215,0))),"="&amp;CRONO!AB$12,OFFSET(CÁLCULO!$AJ$15:$BB$15,$E215,0,OFFSET(ORÇAMENTO!$D$15,CRONO!$E215,0)))+IF(AND($E217&lt;&gt;"",$E217&lt;&gt;0),SUMIF(CÁLCULO!$BC$15:$BU$727,"="&amp;CRONO!AB$12,CÁLCULO!$AJ$15:$BB$727)/(ORÇAMENTO!$X$15-CÁLCULO.TotalAdmLocal)*CRONO!$E217,0),AB216*$R215),SUMIF(OFFSET($R217,1,0,$Q215-2),($L215+1)&amp;"$",OFFSET(AB217,1,0,$Q215-2)))</f>
        <v>0</v>
      </c>
      <c r="AC217" s="223">
        <f ca="1">IF($Q215=2,IF(AND(ACOMPANHAMENTO="PLE",ISNUMBER($E215)),SUMIF((OFFSET(CÁLCULO!$BC$15:$BU$15,$E215,0,OFFSET(ORÇAMENTO!$D$15,CRONO!$E215,0))),"="&amp;CRONO!AC$12,OFFSET(CÁLCULO!$AJ$15:$BB$15,$E215,0,OFFSET(ORÇAMENTO!$D$15,CRONO!$E215,0)))+IF(AND($E217&lt;&gt;"",$E217&lt;&gt;0),SUMIF(CÁLCULO!$BC$15:$BU$727,"="&amp;CRONO!AC$12,CÁLCULO!$AJ$15:$BB$727)/(ORÇAMENTO!$X$15-CÁLCULO.TotalAdmLocal)*CRONO!$E217,0),AC216*$R215),SUMIF(OFFSET($R217,1,0,$Q215-2),($L215+1)&amp;"$",OFFSET(AC217,1,0,$Q215-2)))</f>
        <v>0</v>
      </c>
      <c r="AD217" s="223">
        <f ca="1">IF($Q215=2,IF(AND(ACOMPANHAMENTO="PLE",ISNUMBER($E215)),SUMIF((OFFSET(CÁLCULO!$BC$15:$BU$15,$E215,0,OFFSET(ORÇAMENTO!$D$15,CRONO!$E215,0))),"="&amp;CRONO!AD$12,OFFSET(CÁLCULO!$AJ$15:$BB$15,$E215,0,OFFSET(ORÇAMENTO!$D$15,CRONO!$E215,0)))+IF(AND($E217&lt;&gt;"",$E217&lt;&gt;0),SUMIF(CÁLCULO!$BC$15:$BU$727,"="&amp;CRONO!AD$12,CÁLCULO!$AJ$15:$BB$727)/(ORÇAMENTO!$X$15-CÁLCULO.TotalAdmLocal)*CRONO!$E217,0),AD216*$R215),SUMIF(OFFSET($R217,1,0,$Q215-2),($L215+1)&amp;"$",OFFSET(AD217,1,0,$Q215-2)))</f>
        <v>0</v>
      </c>
      <c r="AE217" s="228">
        <f ca="1">IF($Q215=2,IF(AND(ACOMPANHAMENTO="PLE",ISNUMBER($E215)),SUMIF((OFFSET(CÁLCULO!$BC$15:$BU$15,$E215,0,OFFSET(ORÇAMENTO!$D$15,CRONO!$E215,0))),"="&amp;CRONO!AE$12,OFFSET(CÁLCULO!$AJ$15:$BB$15,$E215,0,OFFSET(ORÇAMENTO!$D$15,CRONO!$E215,0)))+IF(AND($E217&lt;&gt;"",$E217&lt;&gt;0),SUMIF(CÁLCULO!$BC$15:$BU$727,"="&amp;CRONO!AE$12,CÁLCULO!$AJ$15:$BB$727)/(ORÇAMENTO!$X$15-CÁLCULO.TotalAdmLocal)*CRONO!$E217,0),AE216*$R215),SUMIF(OFFSET($R217,1,0,$Q215-2),($L215+1)&amp;"$",OFFSET(AE217,1,0,$Q215-2)))</f>
        <v>0</v>
      </c>
    </row>
    <row r="218" spans="1:32" x14ac:dyDescent="0.2">
      <c r="A218" s="204">
        <f t="shared" ref="A218" ca="1" si="479">OFFSET(A218,-3,0)+1</f>
        <v>69</v>
      </c>
      <c r="B218" s="204">
        <f ca="1">IF($Q218&lt;&gt;2,0,IF($R218=0,1,IF(E219&gt;0,OFFSET(QCI!$M$13,SUBSTITUTE(E219,".",""),0),OFFSET(ORÇAMENTO!$AA$15,CRONO!$E218,0))/$R218))</f>
        <v>1</v>
      </c>
      <c r="C218" s="204">
        <f ca="1">IF($Q218&lt;&gt;2,0,IF($R218=0,1,IF(E219&gt;0,OFFSET(QCI!$N$13,SUBSTITUTE(E219,".",""),0),OFFSET(ORÇAMENTO!$AB$15,CRONO!$E218,0))/$R218))</f>
        <v>1</v>
      </c>
      <c r="D218" s="207" t="e">
        <f ca="1">IF(AND($Q218=2,ACOMPANHAMENTO="BM"),D219,D220/$R218)</f>
        <v>#DIV/0!</v>
      </c>
      <c r="E218" s="204">
        <f ca="1">IF(A218&lt;=ORÇAMENTO.MáximoListaCrono,MATCH(A218,ORÇAMENTO.ListaCrono,0),NA())</f>
        <v>628</v>
      </c>
      <c r="F218" s="204" t="str">
        <f t="shared" ref="F218" ca="1" si="480">IF(AND($E219&lt;&gt;-1,$R218&gt;0),"F","")</f>
        <v/>
      </c>
      <c r="G218" s="208" t="str">
        <f ca="1">IF(OR(R218=0,R218=""),"Linha",IF(AND(OR(ACOMPANHAMENTO="PLE",$Q218&lt;&gt;2),$E219=0),"Linha",1-SUM(T218:AF218)))</f>
        <v>Linha</v>
      </c>
      <c r="H218" s="209" t="str">
        <f ca="1">IF($E219=0,OFFSET(ORÇAMENTO!O$15,$E218,0),IF($E219&lt;&gt;-1,OFFSET(QCI!$D$13,$E219,0),""))</f>
        <v>1.68.</v>
      </c>
      <c r="I218" s="210" t="str">
        <f ca="1">IF($E219=0,OFFSET(ORÇAMENTO!R$15,$E218,0),IF($E219&lt;&gt;-1,OFFSET(QCI!$G$13,$E219,0),""))</f>
        <v>INSTALAÇÕES DE CABEAMENTO ESTRUTURADO - ELETROCALHA E ELETRODUTOS</v>
      </c>
      <c r="J218" s="210"/>
      <c r="K218" s="210"/>
      <c r="L218" s="211">
        <f ca="1">IF($E219=0,OFFSET(ORÇAMENTO!C$15,$E218,0),1)</f>
        <v>2</v>
      </c>
      <c r="M218" s="212">
        <f ca="1">IF($E219=-1,0,IF(M$13&lt;=$L218,IF(ISERROR(MATCH(M$13,OFFSET($L218,1,0,ROW($L$260)-ROW($L218)-1),0)),ROW($L$260)-ROW($L218)-1,MATCH(M$13,OFFSET($L218,1,0,ROW($L$260)-ROW($L218)-1),0)-1),0))</f>
        <v>41</v>
      </c>
      <c r="N218" s="212">
        <f ca="1">IF($E219=-1,0,IF(N$13&lt;=$L218,IF(ISERROR(MATCH(N$13,OFFSET($L218,1,0,ROW($L$260)-ROW($L218)-1),0)),ROW($L$260)-ROW($L218)-1,MATCH(N$13,OFFSET($L218,1,0,ROW($L$260)-ROW($L218)-1),0)-1),0))</f>
        <v>2</v>
      </c>
      <c r="O218" s="212">
        <f ca="1">IF($E219=-1,0,IF(O$13&lt;=$L218,IF(ISERROR(MATCH(O$13,OFFSET($L218,1,0,ROW($L$260)-ROW($L218)-1),0)),ROW($L$260)-ROW($L218)-1,MATCH(O$13,OFFSET($L218,1,0,ROW($L$260)-ROW($L218)-1),0)-1),0))</f>
        <v>0</v>
      </c>
      <c r="P218" s="212">
        <f ca="1">IF($E219=-1,0,IF(P$13&lt;=$L218,IF(ISERROR(MATCH(P$13,OFFSET($L218,1,0,ROW($L$260)-ROW($L218)-1),0)),ROW($L$260)-ROW($L218)-1,MATCH(P$13,OFFSET($L218,1,0,ROW($L$260)-ROW($L218)-1),0)-1),0))</f>
        <v>0</v>
      </c>
      <c r="Q218" s="212">
        <f t="shared" ref="Q218" ca="1" si="481">MIN(OFFSET(L218,0,1,,L218))</f>
        <v>2</v>
      </c>
      <c r="R218" s="213">
        <f ca="1">IF($E219=0,OFFSET(ORÇAMENTO!X$15,$E218,0),IF($E219&lt;&gt;-1,OFFSET(QCI!$O$13,$E219,0),""))</f>
        <v>0</v>
      </c>
      <c r="S218" s="214" t="s">
        <v>270</v>
      </c>
      <c r="T218" s="215" t="e">
        <f t="shared" ref="T218:AE218" ca="1" si="482">IF(AND($Q218=2,ACOMPANHAMENTO="BM"),T219,T220/$R218)</f>
        <v>#DIV/0!</v>
      </c>
      <c r="U218" s="207" t="e">
        <f t="shared" ca="1" si="482"/>
        <v>#DIV/0!</v>
      </c>
      <c r="V218" s="207" t="e">
        <f t="shared" ca="1" si="482"/>
        <v>#DIV/0!</v>
      </c>
      <c r="W218" s="207" t="e">
        <f t="shared" ca="1" si="482"/>
        <v>#DIV/0!</v>
      </c>
      <c r="X218" s="207" t="e">
        <f t="shared" ca="1" si="482"/>
        <v>#DIV/0!</v>
      </c>
      <c r="Y218" s="207" t="e">
        <f t="shared" ca="1" si="482"/>
        <v>#DIV/0!</v>
      </c>
      <c r="Z218" s="207" t="e">
        <f t="shared" ca="1" si="482"/>
        <v>#DIV/0!</v>
      </c>
      <c r="AA218" s="207" t="e">
        <f t="shared" ca="1" si="482"/>
        <v>#DIV/0!</v>
      </c>
      <c r="AB218" s="207" t="e">
        <f t="shared" ca="1" si="482"/>
        <v>#DIV/0!</v>
      </c>
      <c r="AC218" s="207" t="e">
        <f t="shared" ca="1" si="482"/>
        <v>#DIV/0!</v>
      </c>
      <c r="AD218" s="207" t="e">
        <f t="shared" ca="1" si="482"/>
        <v>#DIV/0!</v>
      </c>
      <c r="AE218" s="216" t="e">
        <f t="shared" ca="1" si="482"/>
        <v>#DIV/0!</v>
      </c>
    </row>
    <row r="219" spans="1:32" ht="12.75" customHeight="1" x14ac:dyDescent="0.2">
      <c r="D219" s="569"/>
      <c r="E219" s="204">
        <f ca="1">IF(ISERROR(E218),IF(1+COUNTIF($L$13:OFFSET(L218,-1,0),1)&lt;=MAX(QCI!$D$13:$D$24),1+COUNTIF($L$13:OFFSET(L218,-1,0),1),-1),0)</f>
        <v>0</v>
      </c>
      <c r="F219" s="204" t="str">
        <f t="shared" ref="F219" ca="1" si="483">IF(AND($E219&lt;&gt;-1,$R218&gt;0),"F","")</f>
        <v/>
      </c>
      <c r="G219" s="217" t="str">
        <f ca="1">IF(OR(R218=0,R218=""),"vazia",IF(AND(OR(ACOMPANHAMENTO="PLE",$Q218&lt;&gt;2),$E219=0),"calculada","--&gt;"))</f>
        <v>vazia</v>
      </c>
      <c r="H219" s="218"/>
      <c r="I219" s="219" t="str">
        <f t="shared" ref="I219" ca="1" si="484">IF(AND(G218&lt;&gt;0,ISNUMBER(G218)),"PREENCHA ESTA LINHA --&gt;","")</f>
        <v/>
      </c>
      <c r="J219" s="219"/>
      <c r="K219" s="219"/>
      <c r="L219" s="220"/>
      <c r="M219" s="220"/>
      <c r="N219" s="220"/>
      <c r="O219" s="220"/>
      <c r="P219" s="220"/>
      <c r="Q219" s="220"/>
      <c r="R219" s="221"/>
      <c r="S219" s="222"/>
      <c r="T219" s="570"/>
      <c r="U219" s="569"/>
      <c r="V219" s="569"/>
      <c r="W219" s="569"/>
      <c r="X219" s="569"/>
      <c r="Y219" s="569"/>
      <c r="Z219" s="569"/>
      <c r="AA219" s="569"/>
      <c r="AB219" s="569"/>
      <c r="AC219" s="569"/>
      <c r="AD219" s="569"/>
      <c r="AE219" s="571"/>
      <c r="AF219" s="533"/>
    </row>
    <row r="220" spans="1:32" ht="0.2" hidden="1" customHeight="1" x14ac:dyDescent="0.2">
      <c r="D220" s="223">
        <f ca="1">IF($Q218=2,IF(AND(ACOMPANHAMENTO="PLE",ISNUMBER($E218)),SUMIF((OFFSET(CÁLCULO!$BC$15:$BU$15,$E218,0,OFFSET(ORÇAMENTO!$D$15,CRONO!$E218,0))),"="&amp;CRONO!D$12,OFFSET(CÁLCULO!$AJ$15:$BB$15,$E218,0,OFFSET(ORÇAMENTO!$D$15,CRONO!$E218,0)))+IF(AND($E220&lt;&gt;"",$E220&lt;&gt;0),SUMIF(CÁLCULO!$BC$15:$BU$727,"="&amp;CRONO!D$12,CÁLCULO!$AJ$15:$BB$727)/(ORÇAMENTO!$X$15-CÁLCULO.TotalAdmLocal)*CRONO!$E220,0),D219*$R218),SUMIF(OFFSET($R220,1,0,$Q218-2),($L218+1)&amp;"$",OFFSET(D220,1,0,$Q218-2)))</f>
        <v>0</v>
      </c>
      <c r="E220" s="204" t="str">
        <f ca="1">IF(OR($Q218&lt;&gt;2,AUTOEVENTO&lt;&gt;"manual",$E219&gt;0),"",SUMIF(OFFSET(CÁLCULO!$M$15,CRONO!$E218,0,OFFSET(ORÇAMENTO!$D$15,CRONO!$E218,0)),1,OFFSET(ORÇAMENTO!$X$15,CRONO!$E218,0,OFFSET(ORÇAMENTO!$D$15,CRONO!$E218,0))))</f>
        <v/>
      </c>
      <c r="G220" s="224"/>
      <c r="R220" s="225" t="str">
        <f t="shared" ref="R220" ca="1" si="485">L218&amp;"$"</f>
        <v>2$</v>
      </c>
      <c r="S220" s="226"/>
      <c r="T220" s="227">
        <f ca="1">IF($Q218=2,IF(AND(ACOMPANHAMENTO="PLE",ISNUMBER($E218)),SUMIF((OFFSET(CÁLCULO!$BC$15:$BU$15,$E218,0,OFFSET(ORÇAMENTO!$D$15,CRONO!$E218,0))),"&lt;="&amp;CRONO!T$12,OFFSET(CÁLCULO!$AJ$15:$BB$15,$E218,0,OFFSET(ORÇAMENTO!$D$15,CRONO!$E218,0)))+IF(AND($E220&lt;&gt;"",$E220&lt;&gt;0),SUMIF(CÁLCULO!$BC$15:$BU$727,"&lt;="&amp;CRONO!T$12,CÁLCULO!$AJ$15:$BB$727)/(ORÇAMENTO!$X$15-CÁLCULO.TotalAdmLocal)*CRONO!$E220,0),T219*$R218),SUMIF(OFFSET($R220,1,0,$Q218-2),($L218+1)&amp;"$",OFFSET(T220,1,0,$Q218-2)))</f>
        <v>0</v>
      </c>
      <c r="U220" s="223">
        <f ca="1">IF($Q218=2,IF(AND(ACOMPANHAMENTO="PLE",ISNUMBER($E218)),SUMIF((OFFSET(CÁLCULO!$BC$15:$BU$15,$E218,0,OFFSET(ORÇAMENTO!$D$15,CRONO!$E218,0))),"="&amp;CRONO!U$12,OFFSET(CÁLCULO!$AJ$15:$BB$15,$E218,0,OFFSET(ORÇAMENTO!$D$15,CRONO!$E218,0)))+IF(AND($E220&lt;&gt;"",$E220&lt;&gt;0),SUMIF(CÁLCULO!$BC$15:$BU$727,"="&amp;CRONO!U$12,CÁLCULO!$AJ$15:$BB$727)/(ORÇAMENTO!$X$15-CÁLCULO.TotalAdmLocal)*CRONO!$E220,0),U219*$R218),SUMIF(OFFSET($R220,1,0,$Q218-2),($L218+1)&amp;"$",OFFSET(U220,1,0,$Q218-2)))</f>
        <v>0</v>
      </c>
      <c r="V220" s="223">
        <f ca="1">IF($Q218=2,IF(AND(ACOMPANHAMENTO="PLE",ISNUMBER($E218)),SUMIF((OFFSET(CÁLCULO!$BC$15:$BU$15,$E218,0,OFFSET(ORÇAMENTO!$D$15,CRONO!$E218,0))),"="&amp;CRONO!V$12,OFFSET(CÁLCULO!$AJ$15:$BB$15,$E218,0,OFFSET(ORÇAMENTO!$D$15,CRONO!$E218,0)))+IF(AND($E220&lt;&gt;"",$E220&lt;&gt;0),SUMIF(CÁLCULO!$BC$15:$BU$727,"="&amp;CRONO!V$12,CÁLCULO!$AJ$15:$BB$727)/(ORÇAMENTO!$X$15-CÁLCULO.TotalAdmLocal)*CRONO!$E220,0),V219*$R218),SUMIF(OFFSET($R220,1,0,$Q218-2),($L218+1)&amp;"$",OFFSET(V220,1,0,$Q218-2)))</f>
        <v>0</v>
      </c>
      <c r="W220" s="223">
        <f ca="1">IF($Q218=2,IF(AND(ACOMPANHAMENTO="PLE",ISNUMBER($E218)),SUMIF((OFFSET(CÁLCULO!$BC$15:$BU$15,$E218,0,OFFSET(ORÇAMENTO!$D$15,CRONO!$E218,0))),"="&amp;CRONO!W$12,OFFSET(CÁLCULO!$AJ$15:$BB$15,$E218,0,OFFSET(ORÇAMENTO!$D$15,CRONO!$E218,0)))+IF(AND($E220&lt;&gt;"",$E220&lt;&gt;0),SUMIF(CÁLCULO!$BC$15:$BU$727,"="&amp;CRONO!W$12,CÁLCULO!$AJ$15:$BB$727)/(ORÇAMENTO!$X$15-CÁLCULO.TotalAdmLocal)*CRONO!$E220,0),W219*$R218),SUMIF(OFFSET($R220,1,0,$Q218-2),($L218+1)&amp;"$",OFFSET(W220,1,0,$Q218-2)))</f>
        <v>0</v>
      </c>
      <c r="X220" s="223">
        <f ca="1">IF($Q218=2,IF(AND(ACOMPANHAMENTO="PLE",ISNUMBER($E218)),SUMIF((OFFSET(CÁLCULO!$BC$15:$BU$15,$E218,0,OFFSET(ORÇAMENTO!$D$15,CRONO!$E218,0))),"="&amp;CRONO!X$12,OFFSET(CÁLCULO!$AJ$15:$BB$15,$E218,0,OFFSET(ORÇAMENTO!$D$15,CRONO!$E218,0)))+IF(AND($E220&lt;&gt;"",$E220&lt;&gt;0),SUMIF(CÁLCULO!$BC$15:$BU$727,"="&amp;CRONO!X$12,CÁLCULO!$AJ$15:$BB$727)/(ORÇAMENTO!$X$15-CÁLCULO.TotalAdmLocal)*CRONO!$E220,0),X219*$R218),SUMIF(OFFSET($R220,1,0,$Q218-2),($L218+1)&amp;"$",OFFSET(X220,1,0,$Q218-2)))</f>
        <v>0</v>
      </c>
      <c r="Y220" s="223">
        <f ca="1">IF($Q218=2,IF(AND(ACOMPANHAMENTO="PLE",ISNUMBER($E218)),SUMIF((OFFSET(CÁLCULO!$BC$15:$BU$15,$E218,0,OFFSET(ORÇAMENTO!$D$15,CRONO!$E218,0))),"="&amp;CRONO!Y$12,OFFSET(CÁLCULO!$AJ$15:$BB$15,$E218,0,OFFSET(ORÇAMENTO!$D$15,CRONO!$E218,0)))+IF(AND($E220&lt;&gt;"",$E220&lt;&gt;0),SUMIF(CÁLCULO!$BC$15:$BU$727,"="&amp;CRONO!Y$12,CÁLCULO!$AJ$15:$BB$727)/(ORÇAMENTO!$X$15-CÁLCULO.TotalAdmLocal)*CRONO!$E220,0),Y219*$R218),SUMIF(OFFSET($R220,1,0,$Q218-2),($L218+1)&amp;"$",OFFSET(Y220,1,0,$Q218-2)))</f>
        <v>0</v>
      </c>
      <c r="Z220" s="223">
        <f ca="1">IF($Q218=2,IF(AND(ACOMPANHAMENTO="PLE",ISNUMBER($E218)),SUMIF((OFFSET(CÁLCULO!$BC$15:$BU$15,$E218,0,OFFSET(ORÇAMENTO!$D$15,CRONO!$E218,0))),"="&amp;CRONO!Z$12,OFFSET(CÁLCULO!$AJ$15:$BB$15,$E218,0,OFFSET(ORÇAMENTO!$D$15,CRONO!$E218,0)))+IF(AND($E220&lt;&gt;"",$E220&lt;&gt;0),SUMIF(CÁLCULO!$BC$15:$BU$727,"="&amp;CRONO!Z$12,CÁLCULO!$AJ$15:$BB$727)/(ORÇAMENTO!$X$15-CÁLCULO.TotalAdmLocal)*CRONO!$E220,0),Z219*$R218),SUMIF(OFFSET($R220,1,0,$Q218-2),($L218+1)&amp;"$",OFFSET(Z220,1,0,$Q218-2)))</f>
        <v>0</v>
      </c>
      <c r="AA220" s="223">
        <f ca="1">IF($Q218=2,IF(AND(ACOMPANHAMENTO="PLE",ISNUMBER($E218)),SUMIF((OFFSET(CÁLCULO!$BC$15:$BU$15,$E218,0,OFFSET(ORÇAMENTO!$D$15,CRONO!$E218,0))),"="&amp;CRONO!AA$12,OFFSET(CÁLCULO!$AJ$15:$BB$15,$E218,0,OFFSET(ORÇAMENTO!$D$15,CRONO!$E218,0)))+IF(AND($E220&lt;&gt;"",$E220&lt;&gt;0),SUMIF(CÁLCULO!$BC$15:$BU$727,"="&amp;CRONO!AA$12,CÁLCULO!$AJ$15:$BB$727)/(ORÇAMENTO!$X$15-CÁLCULO.TotalAdmLocal)*CRONO!$E220,0),AA219*$R218),SUMIF(OFFSET($R220,1,0,$Q218-2),($L218+1)&amp;"$",OFFSET(AA220,1,0,$Q218-2)))</f>
        <v>0</v>
      </c>
      <c r="AB220" s="223">
        <f ca="1">IF($Q218=2,IF(AND(ACOMPANHAMENTO="PLE",ISNUMBER($E218)),SUMIF((OFFSET(CÁLCULO!$BC$15:$BU$15,$E218,0,OFFSET(ORÇAMENTO!$D$15,CRONO!$E218,0))),"="&amp;CRONO!AB$12,OFFSET(CÁLCULO!$AJ$15:$BB$15,$E218,0,OFFSET(ORÇAMENTO!$D$15,CRONO!$E218,0)))+IF(AND($E220&lt;&gt;"",$E220&lt;&gt;0),SUMIF(CÁLCULO!$BC$15:$BU$727,"="&amp;CRONO!AB$12,CÁLCULO!$AJ$15:$BB$727)/(ORÇAMENTO!$X$15-CÁLCULO.TotalAdmLocal)*CRONO!$E220,0),AB219*$R218),SUMIF(OFFSET($R220,1,0,$Q218-2),($L218+1)&amp;"$",OFFSET(AB220,1,0,$Q218-2)))</f>
        <v>0</v>
      </c>
      <c r="AC220" s="223">
        <f ca="1">IF($Q218=2,IF(AND(ACOMPANHAMENTO="PLE",ISNUMBER($E218)),SUMIF((OFFSET(CÁLCULO!$BC$15:$BU$15,$E218,0,OFFSET(ORÇAMENTO!$D$15,CRONO!$E218,0))),"="&amp;CRONO!AC$12,OFFSET(CÁLCULO!$AJ$15:$BB$15,$E218,0,OFFSET(ORÇAMENTO!$D$15,CRONO!$E218,0)))+IF(AND($E220&lt;&gt;"",$E220&lt;&gt;0),SUMIF(CÁLCULO!$BC$15:$BU$727,"="&amp;CRONO!AC$12,CÁLCULO!$AJ$15:$BB$727)/(ORÇAMENTO!$X$15-CÁLCULO.TotalAdmLocal)*CRONO!$E220,0),AC219*$R218),SUMIF(OFFSET($R220,1,0,$Q218-2),($L218+1)&amp;"$",OFFSET(AC220,1,0,$Q218-2)))</f>
        <v>0</v>
      </c>
      <c r="AD220" s="223">
        <f ca="1">IF($Q218=2,IF(AND(ACOMPANHAMENTO="PLE",ISNUMBER($E218)),SUMIF((OFFSET(CÁLCULO!$BC$15:$BU$15,$E218,0,OFFSET(ORÇAMENTO!$D$15,CRONO!$E218,0))),"="&amp;CRONO!AD$12,OFFSET(CÁLCULO!$AJ$15:$BB$15,$E218,0,OFFSET(ORÇAMENTO!$D$15,CRONO!$E218,0)))+IF(AND($E220&lt;&gt;"",$E220&lt;&gt;0),SUMIF(CÁLCULO!$BC$15:$BU$727,"="&amp;CRONO!AD$12,CÁLCULO!$AJ$15:$BB$727)/(ORÇAMENTO!$X$15-CÁLCULO.TotalAdmLocal)*CRONO!$E220,0),AD219*$R218),SUMIF(OFFSET($R220,1,0,$Q218-2),($L218+1)&amp;"$",OFFSET(AD220,1,0,$Q218-2)))</f>
        <v>0</v>
      </c>
      <c r="AE220" s="228">
        <f ca="1">IF($Q218=2,IF(AND(ACOMPANHAMENTO="PLE",ISNUMBER($E218)),SUMIF((OFFSET(CÁLCULO!$BC$15:$BU$15,$E218,0,OFFSET(ORÇAMENTO!$D$15,CRONO!$E218,0))),"="&amp;CRONO!AE$12,OFFSET(CÁLCULO!$AJ$15:$BB$15,$E218,0,OFFSET(ORÇAMENTO!$D$15,CRONO!$E218,0)))+IF(AND($E220&lt;&gt;"",$E220&lt;&gt;0),SUMIF(CÁLCULO!$BC$15:$BU$727,"="&amp;CRONO!AE$12,CÁLCULO!$AJ$15:$BB$727)/(ORÇAMENTO!$X$15-CÁLCULO.TotalAdmLocal)*CRONO!$E220,0),AE219*$R218),SUMIF(OFFSET($R220,1,0,$Q218-2),($L218+1)&amp;"$",OFFSET(AE220,1,0,$Q218-2)))</f>
        <v>0</v>
      </c>
    </row>
    <row r="221" spans="1:32" x14ac:dyDescent="0.2">
      <c r="A221" s="204">
        <f t="shared" ref="A221" ca="1" si="486">OFFSET(A221,-3,0)+1</f>
        <v>70</v>
      </c>
      <c r="B221" s="204">
        <f ca="1">IF($Q221&lt;&gt;2,0,IF($R221=0,1,IF(E222&gt;0,OFFSET(QCI!$M$13,SUBSTITUTE(E222,".",""),0),OFFSET(ORÇAMENTO!$AA$15,CRONO!$E221,0))/$R221))</f>
        <v>1</v>
      </c>
      <c r="C221" s="204">
        <f ca="1">IF($Q221&lt;&gt;2,0,IF($R221=0,1,IF(E222&gt;0,OFFSET(QCI!$N$13,SUBSTITUTE(E222,".",""),0),OFFSET(ORÇAMENTO!$AB$15,CRONO!$E221,0))/$R221))</f>
        <v>1</v>
      </c>
      <c r="D221" s="207" t="e">
        <f ca="1">IF(AND($Q221=2,ACOMPANHAMENTO="BM"),D222,D223/$R221)</f>
        <v>#DIV/0!</v>
      </c>
      <c r="E221" s="204">
        <f ca="1">IF(A221&lt;=ORÇAMENTO.MáximoListaCrono,MATCH(A221,ORÇAMENTO.ListaCrono,0),NA())</f>
        <v>639</v>
      </c>
      <c r="F221" s="204" t="str">
        <f t="shared" ref="F221" ca="1" si="487">IF(AND($E222&lt;&gt;-1,$R221&gt;0),"F","")</f>
        <v/>
      </c>
      <c r="G221" s="208" t="str">
        <f ca="1">IF(OR(R221=0,R221=""),"Linha",IF(AND(OR(ACOMPANHAMENTO="PLE",$Q221&lt;&gt;2),$E222=0),"Linha",1-SUM(T221:AF221)))</f>
        <v>Linha</v>
      </c>
      <c r="H221" s="209" t="str">
        <f ca="1">IF($E222=0,OFFSET(ORÇAMENTO!O$15,$E221,0),IF($E222&lt;&gt;-1,OFFSET(QCI!$D$13,$E222,0),""))</f>
        <v>1.69.</v>
      </c>
      <c r="I221" s="210" t="str">
        <f ca="1">IF($E222=0,OFFSET(ORÇAMENTO!R$15,$E221,0),IF($E222&lt;&gt;-1,OFFSET(QCI!$G$13,$E222,0),""))</f>
        <v>INSTALAÇÕES DE CABEAMENTO ESTRUTURADO - CABEAMENTO</v>
      </c>
      <c r="J221" s="210"/>
      <c r="K221" s="210"/>
      <c r="L221" s="211">
        <f ca="1">IF($E222=0,OFFSET(ORÇAMENTO!C$15,$E221,0),1)</f>
        <v>2</v>
      </c>
      <c r="M221" s="212">
        <f ca="1">IF($E222=-1,0,IF(M$13&lt;=$L221,IF(ISERROR(MATCH(M$13,OFFSET($L221,1,0,ROW($L$260)-ROW($L221)-1),0)),ROW($L$260)-ROW($L221)-1,MATCH(M$13,OFFSET($L221,1,0,ROW($L$260)-ROW($L221)-1),0)-1),0))</f>
        <v>38</v>
      </c>
      <c r="N221" s="212">
        <f ca="1">IF($E222=-1,0,IF(N$13&lt;=$L221,IF(ISERROR(MATCH(N$13,OFFSET($L221,1,0,ROW($L$260)-ROW($L221)-1),0)),ROW($L$260)-ROW($L221)-1,MATCH(N$13,OFFSET($L221,1,0,ROW($L$260)-ROW($L221)-1),0)-1),0))</f>
        <v>2</v>
      </c>
      <c r="O221" s="212">
        <f ca="1">IF($E222=-1,0,IF(O$13&lt;=$L221,IF(ISERROR(MATCH(O$13,OFFSET($L221,1,0,ROW($L$260)-ROW($L221)-1),0)),ROW($L$260)-ROW($L221)-1,MATCH(O$13,OFFSET($L221,1,0,ROW($L$260)-ROW($L221)-1),0)-1),0))</f>
        <v>0</v>
      </c>
      <c r="P221" s="212">
        <f ca="1">IF($E222=-1,0,IF(P$13&lt;=$L221,IF(ISERROR(MATCH(P$13,OFFSET($L221,1,0,ROW($L$260)-ROW($L221)-1),0)),ROW($L$260)-ROW($L221)-1,MATCH(P$13,OFFSET($L221,1,0,ROW($L$260)-ROW($L221)-1),0)-1),0))</f>
        <v>0</v>
      </c>
      <c r="Q221" s="212">
        <f t="shared" ref="Q221" ca="1" si="488">MIN(OFFSET(L221,0,1,,L221))</f>
        <v>2</v>
      </c>
      <c r="R221" s="213">
        <f ca="1">IF($E222=0,OFFSET(ORÇAMENTO!X$15,$E221,0),IF($E222&lt;&gt;-1,OFFSET(QCI!$O$13,$E222,0),""))</f>
        <v>0</v>
      </c>
      <c r="S221" s="214" t="s">
        <v>270</v>
      </c>
      <c r="T221" s="215" t="e">
        <f t="shared" ref="T221:AE221" ca="1" si="489">IF(AND($Q221=2,ACOMPANHAMENTO="BM"),T222,T223/$R221)</f>
        <v>#DIV/0!</v>
      </c>
      <c r="U221" s="207" t="e">
        <f t="shared" ca="1" si="489"/>
        <v>#DIV/0!</v>
      </c>
      <c r="V221" s="207" t="e">
        <f t="shared" ca="1" si="489"/>
        <v>#DIV/0!</v>
      </c>
      <c r="W221" s="207" t="e">
        <f t="shared" ca="1" si="489"/>
        <v>#DIV/0!</v>
      </c>
      <c r="X221" s="207" t="e">
        <f t="shared" ca="1" si="489"/>
        <v>#DIV/0!</v>
      </c>
      <c r="Y221" s="207" t="e">
        <f t="shared" ca="1" si="489"/>
        <v>#DIV/0!</v>
      </c>
      <c r="Z221" s="207" t="e">
        <f t="shared" ca="1" si="489"/>
        <v>#DIV/0!</v>
      </c>
      <c r="AA221" s="207" t="e">
        <f t="shared" ca="1" si="489"/>
        <v>#DIV/0!</v>
      </c>
      <c r="AB221" s="207" t="e">
        <f t="shared" ca="1" si="489"/>
        <v>#DIV/0!</v>
      </c>
      <c r="AC221" s="207" t="e">
        <f t="shared" ca="1" si="489"/>
        <v>#DIV/0!</v>
      </c>
      <c r="AD221" s="207" t="e">
        <f t="shared" ca="1" si="489"/>
        <v>#DIV/0!</v>
      </c>
      <c r="AE221" s="216" t="e">
        <f t="shared" ca="1" si="489"/>
        <v>#DIV/0!</v>
      </c>
    </row>
    <row r="222" spans="1:32" ht="12.75" customHeight="1" x14ac:dyDescent="0.2">
      <c r="D222" s="569"/>
      <c r="E222" s="204">
        <f ca="1">IF(ISERROR(E221),IF(1+COUNTIF($L$13:OFFSET(L221,-1,0),1)&lt;=MAX(QCI!$D$13:$D$24),1+COUNTIF($L$13:OFFSET(L221,-1,0),1),-1),0)</f>
        <v>0</v>
      </c>
      <c r="F222" s="204" t="str">
        <f t="shared" ref="F222" ca="1" si="490">IF(AND($E222&lt;&gt;-1,$R221&gt;0),"F","")</f>
        <v/>
      </c>
      <c r="G222" s="217" t="str">
        <f ca="1">IF(OR(R221=0,R221=""),"vazia",IF(AND(OR(ACOMPANHAMENTO="PLE",$Q221&lt;&gt;2),$E222=0),"calculada","--&gt;"))</f>
        <v>vazia</v>
      </c>
      <c r="H222" s="218"/>
      <c r="I222" s="219" t="str">
        <f t="shared" ref="I222" ca="1" si="491">IF(AND(G221&lt;&gt;0,ISNUMBER(G221)),"PREENCHA ESTA LINHA --&gt;","")</f>
        <v/>
      </c>
      <c r="J222" s="219"/>
      <c r="K222" s="219"/>
      <c r="L222" s="220"/>
      <c r="M222" s="220"/>
      <c r="N222" s="220"/>
      <c r="O222" s="220"/>
      <c r="P222" s="220"/>
      <c r="Q222" s="220"/>
      <c r="R222" s="221"/>
      <c r="S222" s="222"/>
      <c r="T222" s="570"/>
      <c r="U222" s="569"/>
      <c r="V222" s="569"/>
      <c r="W222" s="569"/>
      <c r="X222" s="569"/>
      <c r="Y222" s="569"/>
      <c r="Z222" s="569"/>
      <c r="AA222" s="569"/>
      <c r="AB222" s="569"/>
      <c r="AC222" s="569"/>
      <c r="AD222" s="569"/>
      <c r="AE222" s="571"/>
      <c r="AF222" s="533"/>
    </row>
    <row r="223" spans="1:32" ht="0.2" hidden="1" customHeight="1" x14ac:dyDescent="0.2">
      <c r="D223" s="223">
        <f ca="1">IF($Q221=2,IF(AND(ACOMPANHAMENTO="PLE",ISNUMBER($E221)),SUMIF((OFFSET(CÁLCULO!$BC$15:$BU$15,$E221,0,OFFSET(ORÇAMENTO!$D$15,CRONO!$E221,0))),"="&amp;CRONO!D$12,OFFSET(CÁLCULO!$AJ$15:$BB$15,$E221,0,OFFSET(ORÇAMENTO!$D$15,CRONO!$E221,0)))+IF(AND($E223&lt;&gt;"",$E223&lt;&gt;0),SUMIF(CÁLCULO!$BC$15:$BU$727,"="&amp;CRONO!D$12,CÁLCULO!$AJ$15:$BB$727)/(ORÇAMENTO!$X$15-CÁLCULO.TotalAdmLocal)*CRONO!$E223,0),D222*$R221),SUMIF(OFFSET($R223,1,0,$Q221-2),($L221+1)&amp;"$",OFFSET(D223,1,0,$Q221-2)))</f>
        <v>0</v>
      </c>
      <c r="E223" s="204" t="str">
        <f ca="1">IF(OR($Q221&lt;&gt;2,AUTOEVENTO&lt;&gt;"manual",$E222&gt;0),"",SUMIF(OFFSET(CÁLCULO!$M$15,CRONO!$E221,0,OFFSET(ORÇAMENTO!$D$15,CRONO!$E221,0)),1,OFFSET(ORÇAMENTO!$X$15,CRONO!$E221,0,OFFSET(ORÇAMENTO!$D$15,CRONO!$E221,0))))</f>
        <v/>
      </c>
      <c r="G223" s="224"/>
      <c r="R223" s="225" t="str">
        <f t="shared" ref="R223" ca="1" si="492">L221&amp;"$"</f>
        <v>2$</v>
      </c>
      <c r="S223" s="226"/>
      <c r="T223" s="227">
        <f ca="1">IF($Q221=2,IF(AND(ACOMPANHAMENTO="PLE",ISNUMBER($E221)),SUMIF((OFFSET(CÁLCULO!$BC$15:$BU$15,$E221,0,OFFSET(ORÇAMENTO!$D$15,CRONO!$E221,0))),"&lt;="&amp;CRONO!T$12,OFFSET(CÁLCULO!$AJ$15:$BB$15,$E221,0,OFFSET(ORÇAMENTO!$D$15,CRONO!$E221,0)))+IF(AND($E223&lt;&gt;"",$E223&lt;&gt;0),SUMIF(CÁLCULO!$BC$15:$BU$727,"&lt;="&amp;CRONO!T$12,CÁLCULO!$AJ$15:$BB$727)/(ORÇAMENTO!$X$15-CÁLCULO.TotalAdmLocal)*CRONO!$E223,0),T222*$R221),SUMIF(OFFSET($R223,1,0,$Q221-2),($L221+1)&amp;"$",OFFSET(T223,1,0,$Q221-2)))</f>
        <v>0</v>
      </c>
      <c r="U223" s="223">
        <f ca="1">IF($Q221=2,IF(AND(ACOMPANHAMENTO="PLE",ISNUMBER($E221)),SUMIF((OFFSET(CÁLCULO!$BC$15:$BU$15,$E221,0,OFFSET(ORÇAMENTO!$D$15,CRONO!$E221,0))),"="&amp;CRONO!U$12,OFFSET(CÁLCULO!$AJ$15:$BB$15,$E221,0,OFFSET(ORÇAMENTO!$D$15,CRONO!$E221,0)))+IF(AND($E223&lt;&gt;"",$E223&lt;&gt;0),SUMIF(CÁLCULO!$BC$15:$BU$727,"="&amp;CRONO!U$12,CÁLCULO!$AJ$15:$BB$727)/(ORÇAMENTO!$X$15-CÁLCULO.TotalAdmLocal)*CRONO!$E223,0),U222*$R221),SUMIF(OFFSET($R223,1,0,$Q221-2),($L221+1)&amp;"$",OFFSET(U223,1,0,$Q221-2)))</f>
        <v>0</v>
      </c>
      <c r="V223" s="223">
        <f ca="1">IF($Q221=2,IF(AND(ACOMPANHAMENTO="PLE",ISNUMBER($E221)),SUMIF((OFFSET(CÁLCULO!$BC$15:$BU$15,$E221,0,OFFSET(ORÇAMENTO!$D$15,CRONO!$E221,0))),"="&amp;CRONO!V$12,OFFSET(CÁLCULO!$AJ$15:$BB$15,$E221,0,OFFSET(ORÇAMENTO!$D$15,CRONO!$E221,0)))+IF(AND($E223&lt;&gt;"",$E223&lt;&gt;0),SUMIF(CÁLCULO!$BC$15:$BU$727,"="&amp;CRONO!V$12,CÁLCULO!$AJ$15:$BB$727)/(ORÇAMENTO!$X$15-CÁLCULO.TotalAdmLocal)*CRONO!$E223,0),V222*$R221),SUMIF(OFFSET($R223,1,0,$Q221-2),($L221+1)&amp;"$",OFFSET(V223,1,0,$Q221-2)))</f>
        <v>0</v>
      </c>
      <c r="W223" s="223">
        <f ca="1">IF($Q221=2,IF(AND(ACOMPANHAMENTO="PLE",ISNUMBER($E221)),SUMIF((OFFSET(CÁLCULO!$BC$15:$BU$15,$E221,0,OFFSET(ORÇAMENTO!$D$15,CRONO!$E221,0))),"="&amp;CRONO!W$12,OFFSET(CÁLCULO!$AJ$15:$BB$15,$E221,0,OFFSET(ORÇAMENTO!$D$15,CRONO!$E221,0)))+IF(AND($E223&lt;&gt;"",$E223&lt;&gt;0),SUMIF(CÁLCULO!$BC$15:$BU$727,"="&amp;CRONO!W$12,CÁLCULO!$AJ$15:$BB$727)/(ORÇAMENTO!$X$15-CÁLCULO.TotalAdmLocal)*CRONO!$E223,0),W222*$R221),SUMIF(OFFSET($R223,1,0,$Q221-2),($L221+1)&amp;"$",OFFSET(W223,1,0,$Q221-2)))</f>
        <v>0</v>
      </c>
      <c r="X223" s="223">
        <f ca="1">IF($Q221=2,IF(AND(ACOMPANHAMENTO="PLE",ISNUMBER($E221)),SUMIF((OFFSET(CÁLCULO!$BC$15:$BU$15,$E221,0,OFFSET(ORÇAMENTO!$D$15,CRONO!$E221,0))),"="&amp;CRONO!X$12,OFFSET(CÁLCULO!$AJ$15:$BB$15,$E221,0,OFFSET(ORÇAMENTO!$D$15,CRONO!$E221,0)))+IF(AND($E223&lt;&gt;"",$E223&lt;&gt;0),SUMIF(CÁLCULO!$BC$15:$BU$727,"="&amp;CRONO!X$12,CÁLCULO!$AJ$15:$BB$727)/(ORÇAMENTO!$X$15-CÁLCULO.TotalAdmLocal)*CRONO!$E223,0),X222*$R221),SUMIF(OFFSET($R223,1,0,$Q221-2),($L221+1)&amp;"$",OFFSET(X223,1,0,$Q221-2)))</f>
        <v>0</v>
      </c>
      <c r="Y223" s="223">
        <f ca="1">IF($Q221=2,IF(AND(ACOMPANHAMENTO="PLE",ISNUMBER($E221)),SUMIF((OFFSET(CÁLCULO!$BC$15:$BU$15,$E221,0,OFFSET(ORÇAMENTO!$D$15,CRONO!$E221,0))),"="&amp;CRONO!Y$12,OFFSET(CÁLCULO!$AJ$15:$BB$15,$E221,0,OFFSET(ORÇAMENTO!$D$15,CRONO!$E221,0)))+IF(AND($E223&lt;&gt;"",$E223&lt;&gt;0),SUMIF(CÁLCULO!$BC$15:$BU$727,"="&amp;CRONO!Y$12,CÁLCULO!$AJ$15:$BB$727)/(ORÇAMENTO!$X$15-CÁLCULO.TotalAdmLocal)*CRONO!$E223,0),Y222*$R221),SUMIF(OFFSET($R223,1,0,$Q221-2),($L221+1)&amp;"$",OFFSET(Y223,1,0,$Q221-2)))</f>
        <v>0</v>
      </c>
      <c r="Z223" s="223">
        <f ca="1">IF($Q221=2,IF(AND(ACOMPANHAMENTO="PLE",ISNUMBER($E221)),SUMIF((OFFSET(CÁLCULO!$BC$15:$BU$15,$E221,0,OFFSET(ORÇAMENTO!$D$15,CRONO!$E221,0))),"="&amp;CRONO!Z$12,OFFSET(CÁLCULO!$AJ$15:$BB$15,$E221,0,OFFSET(ORÇAMENTO!$D$15,CRONO!$E221,0)))+IF(AND($E223&lt;&gt;"",$E223&lt;&gt;0),SUMIF(CÁLCULO!$BC$15:$BU$727,"="&amp;CRONO!Z$12,CÁLCULO!$AJ$15:$BB$727)/(ORÇAMENTO!$X$15-CÁLCULO.TotalAdmLocal)*CRONO!$E223,0),Z222*$R221),SUMIF(OFFSET($R223,1,0,$Q221-2),($L221+1)&amp;"$",OFFSET(Z223,1,0,$Q221-2)))</f>
        <v>0</v>
      </c>
      <c r="AA223" s="223">
        <f ca="1">IF($Q221=2,IF(AND(ACOMPANHAMENTO="PLE",ISNUMBER($E221)),SUMIF((OFFSET(CÁLCULO!$BC$15:$BU$15,$E221,0,OFFSET(ORÇAMENTO!$D$15,CRONO!$E221,0))),"="&amp;CRONO!AA$12,OFFSET(CÁLCULO!$AJ$15:$BB$15,$E221,0,OFFSET(ORÇAMENTO!$D$15,CRONO!$E221,0)))+IF(AND($E223&lt;&gt;"",$E223&lt;&gt;0),SUMIF(CÁLCULO!$BC$15:$BU$727,"="&amp;CRONO!AA$12,CÁLCULO!$AJ$15:$BB$727)/(ORÇAMENTO!$X$15-CÁLCULO.TotalAdmLocal)*CRONO!$E223,0),AA222*$R221),SUMIF(OFFSET($R223,1,0,$Q221-2),($L221+1)&amp;"$",OFFSET(AA223,1,0,$Q221-2)))</f>
        <v>0</v>
      </c>
      <c r="AB223" s="223">
        <f ca="1">IF($Q221=2,IF(AND(ACOMPANHAMENTO="PLE",ISNUMBER($E221)),SUMIF((OFFSET(CÁLCULO!$BC$15:$BU$15,$E221,0,OFFSET(ORÇAMENTO!$D$15,CRONO!$E221,0))),"="&amp;CRONO!AB$12,OFFSET(CÁLCULO!$AJ$15:$BB$15,$E221,0,OFFSET(ORÇAMENTO!$D$15,CRONO!$E221,0)))+IF(AND($E223&lt;&gt;"",$E223&lt;&gt;0),SUMIF(CÁLCULO!$BC$15:$BU$727,"="&amp;CRONO!AB$12,CÁLCULO!$AJ$15:$BB$727)/(ORÇAMENTO!$X$15-CÁLCULO.TotalAdmLocal)*CRONO!$E223,0),AB222*$R221),SUMIF(OFFSET($R223,1,0,$Q221-2),($L221+1)&amp;"$",OFFSET(AB223,1,0,$Q221-2)))</f>
        <v>0</v>
      </c>
      <c r="AC223" s="223">
        <f ca="1">IF($Q221=2,IF(AND(ACOMPANHAMENTO="PLE",ISNUMBER($E221)),SUMIF((OFFSET(CÁLCULO!$BC$15:$BU$15,$E221,0,OFFSET(ORÇAMENTO!$D$15,CRONO!$E221,0))),"="&amp;CRONO!AC$12,OFFSET(CÁLCULO!$AJ$15:$BB$15,$E221,0,OFFSET(ORÇAMENTO!$D$15,CRONO!$E221,0)))+IF(AND($E223&lt;&gt;"",$E223&lt;&gt;0),SUMIF(CÁLCULO!$BC$15:$BU$727,"="&amp;CRONO!AC$12,CÁLCULO!$AJ$15:$BB$727)/(ORÇAMENTO!$X$15-CÁLCULO.TotalAdmLocal)*CRONO!$E223,0),AC222*$R221),SUMIF(OFFSET($R223,1,0,$Q221-2),($L221+1)&amp;"$",OFFSET(AC223,1,0,$Q221-2)))</f>
        <v>0</v>
      </c>
      <c r="AD223" s="223">
        <f ca="1">IF($Q221=2,IF(AND(ACOMPANHAMENTO="PLE",ISNUMBER($E221)),SUMIF((OFFSET(CÁLCULO!$BC$15:$BU$15,$E221,0,OFFSET(ORÇAMENTO!$D$15,CRONO!$E221,0))),"="&amp;CRONO!AD$12,OFFSET(CÁLCULO!$AJ$15:$BB$15,$E221,0,OFFSET(ORÇAMENTO!$D$15,CRONO!$E221,0)))+IF(AND($E223&lt;&gt;"",$E223&lt;&gt;0),SUMIF(CÁLCULO!$BC$15:$BU$727,"="&amp;CRONO!AD$12,CÁLCULO!$AJ$15:$BB$727)/(ORÇAMENTO!$X$15-CÁLCULO.TotalAdmLocal)*CRONO!$E223,0),AD222*$R221),SUMIF(OFFSET($R223,1,0,$Q221-2),($L221+1)&amp;"$",OFFSET(AD223,1,0,$Q221-2)))</f>
        <v>0</v>
      </c>
      <c r="AE223" s="228">
        <f ca="1">IF($Q221=2,IF(AND(ACOMPANHAMENTO="PLE",ISNUMBER($E221)),SUMIF((OFFSET(CÁLCULO!$BC$15:$BU$15,$E221,0,OFFSET(ORÇAMENTO!$D$15,CRONO!$E221,0))),"="&amp;CRONO!AE$12,OFFSET(CÁLCULO!$AJ$15:$BB$15,$E221,0,OFFSET(ORÇAMENTO!$D$15,CRONO!$E221,0)))+IF(AND($E223&lt;&gt;"",$E223&lt;&gt;0),SUMIF(CÁLCULO!$BC$15:$BU$727,"="&amp;CRONO!AE$12,CÁLCULO!$AJ$15:$BB$727)/(ORÇAMENTO!$X$15-CÁLCULO.TotalAdmLocal)*CRONO!$E223,0),AE222*$R221),SUMIF(OFFSET($R223,1,0,$Q221-2),($L221+1)&amp;"$",OFFSET(AE223,1,0,$Q221-2)))</f>
        <v>0</v>
      </c>
    </row>
    <row r="224" spans="1:32" x14ac:dyDescent="0.2">
      <c r="A224" s="204">
        <f t="shared" ref="A224" ca="1" si="493">OFFSET(A224,-3,0)+1</f>
        <v>71</v>
      </c>
      <c r="B224" s="204">
        <f ca="1">IF($Q224&lt;&gt;2,0,IF($R224=0,1,IF(E225&gt;0,OFFSET(QCI!$M$13,SUBSTITUTE(E225,".",""),0),OFFSET(ORÇAMENTO!$AA$15,CRONO!$E224,0))/$R224))</f>
        <v>1</v>
      </c>
      <c r="C224" s="204">
        <f ca="1">IF($Q224&lt;&gt;2,0,IF($R224=0,1,IF(E225&gt;0,OFFSET(QCI!$N$13,SUBSTITUTE(E225,".",""),0),OFFSET(ORÇAMENTO!$AB$15,CRONO!$E224,0))/$R224))</f>
        <v>1</v>
      </c>
      <c r="D224" s="207" t="e">
        <f ca="1">IF(AND($Q224=2,ACOMPANHAMENTO="BM"),D225,D226/$R224)</f>
        <v>#DIV/0!</v>
      </c>
      <c r="E224" s="204">
        <f ca="1">IF(A224&lt;=ORÇAMENTO.MáximoListaCrono,MATCH(A224,ORÇAMENTO.ListaCrono,0),NA())</f>
        <v>641</v>
      </c>
      <c r="F224" s="204" t="str">
        <f t="shared" ref="F224" ca="1" si="494">IF(AND($E225&lt;&gt;-1,$R224&gt;0),"F","")</f>
        <v/>
      </c>
      <c r="G224" s="208" t="str">
        <f ca="1">IF(OR(R224=0,R224=""),"Linha",IF(AND(OR(ACOMPANHAMENTO="PLE",$Q224&lt;&gt;2),$E225=0),"Linha",1-SUM(T224:AF224)))</f>
        <v>Linha</v>
      </c>
      <c r="H224" s="209" t="str">
        <f ca="1">IF($E225=0,OFFSET(ORÇAMENTO!O$15,$E224,0),IF($E225&lt;&gt;-1,OFFSET(QCI!$D$13,$E225,0),""))</f>
        <v>1.70.</v>
      </c>
      <c r="I224" s="210" t="str">
        <f ca="1">IF($E225=0,OFFSET(ORÇAMENTO!R$15,$E224,0),IF($E225&lt;&gt;-1,OFFSET(QCI!$G$13,$E225,0),""))</f>
        <v>SISTEMA DE EXAUSTÃO MECÂNICA</v>
      </c>
      <c r="J224" s="210"/>
      <c r="K224" s="210"/>
      <c r="L224" s="211">
        <f ca="1">IF($E225=0,OFFSET(ORÇAMENTO!C$15,$E224,0),1)</f>
        <v>2</v>
      </c>
      <c r="M224" s="212">
        <f ca="1">IF($E225=-1,0,IF(M$13&lt;=$L224,IF(ISERROR(MATCH(M$13,OFFSET($L224,1,0,ROW($L$260)-ROW($L224)-1),0)),ROW($L$260)-ROW($L224)-1,MATCH(M$13,OFFSET($L224,1,0,ROW($L$260)-ROW($L224)-1),0)-1),0))</f>
        <v>35</v>
      </c>
      <c r="N224" s="212">
        <f ca="1">IF($E225=-1,0,IF(N$13&lt;=$L224,IF(ISERROR(MATCH(N$13,OFFSET($L224,1,0,ROW($L$260)-ROW($L224)-1),0)),ROW($L$260)-ROW($L224)-1,MATCH(N$13,OFFSET($L224,1,0,ROW($L$260)-ROW($L224)-1),0)-1),0))</f>
        <v>2</v>
      </c>
      <c r="O224" s="212">
        <f ca="1">IF($E225=-1,0,IF(O$13&lt;=$L224,IF(ISERROR(MATCH(O$13,OFFSET($L224,1,0,ROW($L$260)-ROW($L224)-1),0)),ROW($L$260)-ROW($L224)-1,MATCH(O$13,OFFSET($L224,1,0,ROW($L$260)-ROW($L224)-1),0)-1),0))</f>
        <v>0</v>
      </c>
      <c r="P224" s="212">
        <f ca="1">IF($E225=-1,0,IF(P$13&lt;=$L224,IF(ISERROR(MATCH(P$13,OFFSET($L224,1,0,ROW($L$260)-ROW($L224)-1),0)),ROW($L$260)-ROW($L224)-1,MATCH(P$13,OFFSET($L224,1,0,ROW($L$260)-ROW($L224)-1),0)-1),0))</f>
        <v>0</v>
      </c>
      <c r="Q224" s="212">
        <f t="shared" ref="Q224" ca="1" si="495">MIN(OFFSET(L224,0,1,,L224))</f>
        <v>2</v>
      </c>
      <c r="R224" s="213">
        <f ca="1">IF($E225=0,OFFSET(ORÇAMENTO!X$15,$E224,0),IF($E225&lt;&gt;-1,OFFSET(QCI!$O$13,$E225,0),""))</f>
        <v>0</v>
      </c>
      <c r="S224" s="214" t="s">
        <v>270</v>
      </c>
      <c r="T224" s="215" t="e">
        <f t="shared" ref="T224:AE224" ca="1" si="496">IF(AND($Q224=2,ACOMPANHAMENTO="BM"),T225,T226/$R224)</f>
        <v>#DIV/0!</v>
      </c>
      <c r="U224" s="207" t="e">
        <f t="shared" ca="1" si="496"/>
        <v>#DIV/0!</v>
      </c>
      <c r="V224" s="207" t="e">
        <f t="shared" ca="1" si="496"/>
        <v>#DIV/0!</v>
      </c>
      <c r="W224" s="207" t="e">
        <f t="shared" ca="1" si="496"/>
        <v>#DIV/0!</v>
      </c>
      <c r="X224" s="207" t="e">
        <f t="shared" ca="1" si="496"/>
        <v>#DIV/0!</v>
      </c>
      <c r="Y224" s="207" t="e">
        <f t="shared" ca="1" si="496"/>
        <v>#DIV/0!</v>
      </c>
      <c r="Z224" s="207" t="e">
        <f t="shared" ca="1" si="496"/>
        <v>#DIV/0!</v>
      </c>
      <c r="AA224" s="207" t="e">
        <f t="shared" ca="1" si="496"/>
        <v>#DIV/0!</v>
      </c>
      <c r="AB224" s="207" t="e">
        <f t="shared" ca="1" si="496"/>
        <v>#DIV/0!</v>
      </c>
      <c r="AC224" s="207" t="e">
        <f t="shared" ca="1" si="496"/>
        <v>#DIV/0!</v>
      </c>
      <c r="AD224" s="207" t="e">
        <f t="shared" ca="1" si="496"/>
        <v>#DIV/0!</v>
      </c>
      <c r="AE224" s="216" t="e">
        <f t="shared" ca="1" si="496"/>
        <v>#DIV/0!</v>
      </c>
    </row>
    <row r="225" spans="1:32" ht="12.75" customHeight="1" x14ac:dyDescent="0.2">
      <c r="D225" s="569"/>
      <c r="E225" s="204">
        <f ca="1">IF(ISERROR(E224),IF(1+COUNTIF($L$13:OFFSET(L224,-1,0),1)&lt;=MAX(QCI!$D$13:$D$24),1+COUNTIF($L$13:OFFSET(L224,-1,0),1),-1),0)</f>
        <v>0</v>
      </c>
      <c r="F225" s="204" t="str">
        <f t="shared" ref="F225" ca="1" si="497">IF(AND($E225&lt;&gt;-1,$R224&gt;0),"F","")</f>
        <v/>
      </c>
      <c r="G225" s="217" t="str">
        <f ca="1">IF(OR(R224=0,R224=""),"vazia",IF(AND(OR(ACOMPANHAMENTO="PLE",$Q224&lt;&gt;2),$E225=0),"calculada","--&gt;"))</f>
        <v>vazia</v>
      </c>
      <c r="H225" s="218"/>
      <c r="I225" s="219" t="str">
        <f t="shared" ref="I225" ca="1" si="498">IF(AND(G224&lt;&gt;0,ISNUMBER(G224)),"PREENCHA ESTA LINHA --&gt;","")</f>
        <v/>
      </c>
      <c r="J225" s="219"/>
      <c r="K225" s="219"/>
      <c r="L225" s="220"/>
      <c r="M225" s="220"/>
      <c r="N225" s="220"/>
      <c r="O225" s="220"/>
      <c r="P225" s="220"/>
      <c r="Q225" s="220"/>
      <c r="R225" s="221"/>
      <c r="S225" s="222"/>
      <c r="T225" s="570"/>
      <c r="U225" s="569"/>
      <c r="V225" s="569"/>
      <c r="W225" s="569"/>
      <c r="X225" s="569"/>
      <c r="Y225" s="569"/>
      <c r="Z225" s="569"/>
      <c r="AA225" s="569"/>
      <c r="AB225" s="569"/>
      <c r="AC225" s="569"/>
      <c r="AD225" s="569"/>
      <c r="AE225" s="571"/>
      <c r="AF225" s="533"/>
    </row>
    <row r="226" spans="1:32" ht="0.2" hidden="1" customHeight="1" x14ac:dyDescent="0.2">
      <c r="D226" s="223">
        <f ca="1">IF($Q224=2,IF(AND(ACOMPANHAMENTO="PLE",ISNUMBER($E224)),SUMIF((OFFSET(CÁLCULO!$BC$15:$BU$15,$E224,0,OFFSET(ORÇAMENTO!$D$15,CRONO!$E224,0))),"="&amp;CRONO!D$12,OFFSET(CÁLCULO!$AJ$15:$BB$15,$E224,0,OFFSET(ORÇAMENTO!$D$15,CRONO!$E224,0)))+IF(AND($E226&lt;&gt;"",$E226&lt;&gt;0),SUMIF(CÁLCULO!$BC$15:$BU$727,"="&amp;CRONO!D$12,CÁLCULO!$AJ$15:$BB$727)/(ORÇAMENTO!$X$15-CÁLCULO.TotalAdmLocal)*CRONO!$E226,0),D225*$R224),SUMIF(OFFSET($R226,1,0,$Q224-2),($L224+1)&amp;"$",OFFSET(D226,1,0,$Q224-2)))</f>
        <v>0</v>
      </c>
      <c r="E226" s="204" t="str">
        <f ca="1">IF(OR($Q224&lt;&gt;2,AUTOEVENTO&lt;&gt;"manual",$E225&gt;0),"",SUMIF(OFFSET(CÁLCULO!$M$15,CRONO!$E224,0,OFFSET(ORÇAMENTO!$D$15,CRONO!$E224,0)),1,OFFSET(ORÇAMENTO!$X$15,CRONO!$E224,0,OFFSET(ORÇAMENTO!$D$15,CRONO!$E224,0))))</f>
        <v/>
      </c>
      <c r="G226" s="224"/>
      <c r="R226" s="225" t="str">
        <f t="shared" ref="R226" ca="1" si="499">L224&amp;"$"</f>
        <v>2$</v>
      </c>
      <c r="S226" s="226"/>
      <c r="T226" s="227">
        <f ca="1">IF($Q224=2,IF(AND(ACOMPANHAMENTO="PLE",ISNUMBER($E224)),SUMIF((OFFSET(CÁLCULO!$BC$15:$BU$15,$E224,0,OFFSET(ORÇAMENTO!$D$15,CRONO!$E224,0))),"&lt;="&amp;CRONO!T$12,OFFSET(CÁLCULO!$AJ$15:$BB$15,$E224,0,OFFSET(ORÇAMENTO!$D$15,CRONO!$E224,0)))+IF(AND($E226&lt;&gt;"",$E226&lt;&gt;0),SUMIF(CÁLCULO!$BC$15:$BU$727,"&lt;="&amp;CRONO!T$12,CÁLCULO!$AJ$15:$BB$727)/(ORÇAMENTO!$X$15-CÁLCULO.TotalAdmLocal)*CRONO!$E226,0),T225*$R224),SUMIF(OFFSET($R226,1,0,$Q224-2),($L224+1)&amp;"$",OFFSET(T226,1,0,$Q224-2)))</f>
        <v>0</v>
      </c>
      <c r="U226" s="223">
        <f ca="1">IF($Q224=2,IF(AND(ACOMPANHAMENTO="PLE",ISNUMBER($E224)),SUMIF((OFFSET(CÁLCULO!$BC$15:$BU$15,$E224,0,OFFSET(ORÇAMENTO!$D$15,CRONO!$E224,0))),"="&amp;CRONO!U$12,OFFSET(CÁLCULO!$AJ$15:$BB$15,$E224,0,OFFSET(ORÇAMENTO!$D$15,CRONO!$E224,0)))+IF(AND($E226&lt;&gt;"",$E226&lt;&gt;0),SUMIF(CÁLCULO!$BC$15:$BU$727,"="&amp;CRONO!U$12,CÁLCULO!$AJ$15:$BB$727)/(ORÇAMENTO!$X$15-CÁLCULO.TotalAdmLocal)*CRONO!$E226,0),U225*$R224),SUMIF(OFFSET($R226,1,0,$Q224-2),($L224+1)&amp;"$",OFFSET(U226,1,0,$Q224-2)))</f>
        <v>0</v>
      </c>
      <c r="V226" s="223">
        <f ca="1">IF($Q224=2,IF(AND(ACOMPANHAMENTO="PLE",ISNUMBER($E224)),SUMIF((OFFSET(CÁLCULO!$BC$15:$BU$15,$E224,0,OFFSET(ORÇAMENTO!$D$15,CRONO!$E224,0))),"="&amp;CRONO!V$12,OFFSET(CÁLCULO!$AJ$15:$BB$15,$E224,0,OFFSET(ORÇAMENTO!$D$15,CRONO!$E224,0)))+IF(AND($E226&lt;&gt;"",$E226&lt;&gt;0),SUMIF(CÁLCULO!$BC$15:$BU$727,"="&amp;CRONO!V$12,CÁLCULO!$AJ$15:$BB$727)/(ORÇAMENTO!$X$15-CÁLCULO.TotalAdmLocal)*CRONO!$E226,0),V225*$R224),SUMIF(OFFSET($R226,1,0,$Q224-2),($L224+1)&amp;"$",OFFSET(V226,1,0,$Q224-2)))</f>
        <v>0</v>
      </c>
      <c r="W226" s="223">
        <f ca="1">IF($Q224=2,IF(AND(ACOMPANHAMENTO="PLE",ISNUMBER($E224)),SUMIF((OFFSET(CÁLCULO!$BC$15:$BU$15,$E224,0,OFFSET(ORÇAMENTO!$D$15,CRONO!$E224,0))),"="&amp;CRONO!W$12,OFFSET(CÁLCULO!$AJ$15:$BB$15,$E224,0,OFFSET(ORÇAMENTO!$D$15,CRONO!$E224,0)))+IF(AND($E226&lt;&gt;"",$E226&lt;&gt;0),SUMIF(CÁLCULO!$BC$15:$BU$727,"="&amp;CRONO!W$12,CÁLCULO!$AJ$15:$BB$727)/(ORÇAMENTO!$X$15-CÁLCULO.TotalAdmLocal)*CRONO!$E226,0),W225*$R224),SUMIF(OFFSET($R226,1,0,$Q224-2),($L224+1)&amp;"$",OFFSET(W226,1,0,$Q224-2)))</f>
        <v>0</v>
      </c>
      <c r="X226" s="223">
        <f ca="1">IF($Q224=2,IF(AND(ACOMPANHAMENTO="PLE",ISNUMBER($E224)),SUMIF((OFFSET(CÁLCULO!$BC$15:$BU$15,$E224,0,OFFSET(ORÇAMENTO!$D$15,CRONO!$E224,0))),"="&amp;CRONO!X$12,OFFSET(CÁLCULO!$AJ$15:$BB$15,$E224,0,OFFSET(ORÇAMENTO!$D$15,CRONO!$E224,0)))+IF(AND($E226&lt;&gt;"",$E226&lt;&gt;0),SUMIF(CÁLCULO!$BC$15:$BU$727,"="&amp;CRONO!X$12,CÁLCULO!$AJ$15:$BB$727)/(ORÇAMENTO!$X$15-CÁLCULO.TotalAdmLocal)*CRONO!$E226,0),X225*$R224),SUMIF(OFFSET($R226,1,0,$Q224-2),($L224+1)&amp;"$",OFFSET(X226,1,0,$Q224-2)))</f>
        <v>0</v>
      </c>
      <c r="Y226" s="223">
        <f ca="1">IF($Q224=2,IF(AND(ACOMPANHAMENTO="PLE",ISNUMBER($E224)),SUMIF((OFFSET(CÁLCULO!$BC$15:$BU$15,$E224,0,OFFSET(ORÇAMENTO!$D$15,CRONO!$E224,0))),"="&amp;CRONO!Y$12,OFFSET(CÁLCULO!$AJ$15:$BB$15,$E224,0,OFFSET(ORÇAMENTO!$D$15,CRONO!$E224,0)))+IF(AND($E226&lt;&gt;"",$E226&lt;&gt;0),SUMIF(CÁLCULO!$BC$15:$BU$727,"="&amp;CRONO!Y$12,CÁLCULO!$AJ$15:$BB$727)/(ORÇAMENTO!$X$15-CÁLCULO.TotalAdmLocal)*CRONO!$E226,0),Y225*$R224),SUMIF(OFFSET($R226,1,0,$Q224-2),($L224+1)&amp;"$",OFFSET(Y226,1,0,$Q224-2)))</f>
        <v>0</v>
      </c>
      <c r="Z226" s="223">
        <f ca="1">IF($Q224=2,IF(AND(ACOMPANHAMENTO="PLE",ISNUMBER($E224)),SUMIF((OFFSET(CÁLCULO!$BC$15:$BU$15,$E224,0,OFFSET(ORÇAMENTO!$D$15,CRONO!$E224,0))),"="&amp;CRONO!Z$12,OFFSET(CÁLCULO!$AJ$15:$BB$15,$E224,0,OFFSET(ORÇAMENTO!$D$15,CRONO!$E224,0)))+IF(AND($E226&lt;&gt;"",$E226&lt;&gt;0),SUMIF(CÁLCULO!$BC$15:$BU$727,"="&amp;CRONO!Z$12,CÁLCULO!$AJ$15:$BB$727)/(ORÇAMENTO!$X$15-CÁLCULO.TotalAdmLocal)*CRONO!$E226,0),Z225*$R224),SUMIF(OFFSET($R226,1,0,$Q224-2),($L224+1)&amp;"$",OFFSET(Z226,1,0,$Q224-2)))</f>
        <v>0</v>
      </c>
      <c r="AA226" s="223">
        <f ca="1">IF($Q224=2,IF(AND(ACOMPANHAMENTO="PLE",ISNUMBER($E224)),SUMIF((OFFSET(CÁLCULO!$BC$15:$BU$15,$E224,0,OFFSET(ORÇAMENTO!$D$15,CRONO!$E224,0))),"="&amp;CRONO!AA$12,OFFSET(CÁLCULO!$AJ$15:$BB$15,$E224,0,OFFSET(ORÇAMENTO!$D$15,CRONO!$E224,0)))+IF(AND($E226&lt;&gt;"",$E226&lt;&gt;0),SUMIF(CÁLCULO!$BC$15:$BU$727,"="&amp;CRONO!AA$12,CÁLCULO!$AJ$15:$BB$727)/(ORÇAMENTO!$X$15-CÁLCULO.TotalAdmLocal)*CRONO!$E226,0),AA225*$R224),SUMIF(OFFSET($R226,1,0,$Q224-2),($L224+1)&amp;"$",OFFSET(AA226,1,0,$Q224-2)))</f>
        <v>0</v>
      </c>
      <c r="AB226" s="223">
        <f ca="1">IF($Q224=2,IF(AND(ACOMPANHAMENTO="PLE",ISNUMBER($E224)),SUMIF((OFFSET(CÁLCULO!$BC$15:$BU$15,$E224,0,OFFSET(ORÇAMENTO!$D$15,CRONO!$E224,0))),"="&amp;CRONO!AB$12,OFFSET(CÁLCULO!$AJ$15:$BB$15,$E224,0,OFFSET(ORÇAMENTO!$D$15,CRONO!$E224,0)))+IF(AND($E226&lt;&gt;"",$E226&lt;&gt;0),SUMIF(CÁLCULO!$BC$15:$BU$727,"="&amp;CRONO!AB$12,CÁLCULO!$AJ$15:$BB$727)/(ORÇAMENTO!$X$15-CÁLCULO.TotalAdmLocal)*CRONO!$E226,0),AB225*$R224),SUMIF(OFFSET($R226,1,0,$Q224-2),($L224+1)&amp;"$",OFFSET(AB226,1,0,$Q224-2)))</f>
        <v>0</v>
      </c>
      <c r="AC226" s="223">
        <f ca="1">IF($Q224=2,IF(AND(ACOMPANHAMENTO="PLE",ISNUMBER($E224)),SUMIF((OFFSET(CÁLCULO!$BC$15:$BU$15,$E224,0,OFFSET(ORÇAMENTO!$D$15,CRONO!$E224,0))),"="&amp;CRONO!AC$12,OFFSET(CÁLCULO!$AJ$15:$BB$15,$E224,0,OFFSET(ORÇAMENTO!$D$15,CRONO!$E224,0)))+IF(AND($E226&lt;&gt;"",$E226&lt;&gt;0),SUMIF(CÁLCULO!$BC$15:$BU$727,"="&amp;CRONO!AC$12,CÁLCULO!$AJ$15:$BB$727)/(ORÇAMENTO!$X$15-CÁLCULO.TotalAdmLocal)*CRONO!$E226,0),AC225*$R224),SUMIF(OFFSET($R226,1,0,$Q224-2),($L224+1)&amp;"$",OFFSET(AC226,1,0,$Q224-2)))</f>
        <v>0</v>
      </c>
      <c r="AD226" s="223">
        <f ca="1">IF($Q224=2,IF(AND(ACOMPANHAMENTO="PLE",ISNUMBER($E224)),SUMIF((OFFSET(CÁLCULO!$BC$15:$BU$15,$E224,0,OFFSET(ORÇAMENTO!$D$15,CRONO!$E224,0))),"="&amp;CRONO!AD$12,OFFSET(CÁLCULO!$AJ$15:$BB$15,$E224,0,OFFSET(ORÇAMENTO!$D$15,CRONO!$E224,0)))+IF(AND($E226&lt;&gt;"",$E226&lt;&gt;0),SUMIF(CÁLCULO!$BC$15:$BU$727,"="&amp;CRONO!AD$12,CÁLCULO!$AJ$15:$BB$727)/(ORÇAMENTO!$X$15-CÁLCULO.TotalAdmLocal)*CRONO!$E226,0),AD225*$R224),SUMIF(OFFSET($R226,1,0,$Q224-2),($L224+1)&amp;"$",OFFSET(AD226,1,0,$Q224-2)))</f>
        <v>0</v>
      </c>
      <c r="AE226" s="228">
        <f ca="1">IF($Q224=2,IF(AND(ACOMPANHAMENTO="PLE",ISNUMBER($E224)),SUMIF((OFFSET(CÁLCULO!$BC$15:$BU$15,$E224,0,OFFSET(ORÇAMENTO!$D$15,CRONO!$E224,0))),"="&amp;CRONO!AE$12,OFFSET(CÁLCULO!$AJ$15:$BB$15,$E224,0,OFFSET(ORÇAMENTO!$D$15,CRONO!$E224,0)))+IF(AND($E226&lt;&gt;"",$E226&lt;&gt;0),SUMIF(CÁLCULO!$BC$15:$BU$727,"="&amp;CRONO!AE$12,CÁLCULO!$AJ$15:$BB$727)/(ORÇAMENTO!$X$15-CÁLCULO.TotalAdmLocal)*CRONO!$E226,0),AE225*$R224),SUMIF(OFFSET($R226,1,0,$Q224-2),($L224+1)&amp;"$",OFFSET(AE226,1,0,$Q224-2)))</f>
        <v>0</v>
      </c>
    </row>
    <row r="227" spans="1:32" x14ac:dyDescent="0.2">
      <c r="A227" s="204">
        <f t="shared" ref="A227" ca="1" si="500">OFFSET(A227,-3,0)+1</f>
        <v>72</v>
      </c>
      <c r="B227" s="204">
        <f ca="1">IF($Q227&lt;&gt;2,0,IF($R227=0,1,IF(E228&gt;0,OFFSET(QCI!$M$13,SUBSTITUTE(E228,".",""),0),OFFSET(ORÇAMENTO!$AA$15,CRONO!$E227,0))/$R227))</f>
        <v>1</v>
      </c>
      <c r="C227" s="204">
        <f ca="1">IF($Q227&lt;&gt;2,0,IF($R227=0,1,IF(E228&gt;0,OFFSET(QCI!$N$13,SUBSTITUTE(E228,".",""),0),OFFSET(ORÇAMENTO!$AB$15,CRONO!$E227,0))/$R227))</f>
        <v>1</v>
      </c>
      <c r="D227" s="207" t="e">
        <f ca="1">IF(AND($Q227=2,ACOMPANHAMENTO="BM"),D228,D229/$R227)</f>
        <v>#DIV/0!</v>
      </c>
      <c r="E227" s="204">
        <f ca="1">IF(A227&lt;=ORÇAMENTO.MáximoListaCrono,MATCH(A227,ORÇAMENTO.ListaCrono,0),NA())</f>
        <v>645</v>
      </c>
      <c r="F227" s="204" t="str">
        <f t="shared" ref="F227" ca="1" si="501">IF(AND($E228&lt;&gt;-1,$R227&gt;0),"F","")</f>
        <v/>
      </c>
      <c r="G227" s="208" t="str">
        <f ca="1">IF(OR(R227=0,R227=""),"Linha",IF(AND(OR(ACOMPANHAMENTO="PLE",$Q227&lt;&gt;2),$E228=0),"Linha",1-SUM(T227:AF227)))</f>
        <v>Linha</v>
      </c>
      <c r="H227" s="209" t="str">
        <f ca="1">IF($E228=0,OFFSET(ORÇAMENTO!O$15,$E227,0),IF($E228&lt;&gt;-1,OFFSET(QCI!$D$13,$E228,0),""))</f>
        <v>1.71.</v>
      </c>
      <c r="I227" s="210" t="str">
        <f ca="1">IF($E228=0,OFFSET(ORÇAMENTO!R$15,$E227,0),IF($E228&lt;&gt;-1,OFFSET(QCI!$G$13,$E228,0),""))</f>
        <v>SISTEMA DE PROTEÇÃO CONTRA DESCARGAS ATMOSFÉRICAS (SPDA)</v>
      </c>
      <c r="J227" s="210"/>
      <c r="K227" s="210"/>
      <c r="L227" s="211">
        <f ca="1">IF($E228=0,OFFSET(ORÇAMENTO!C$15,$E227,0),1)</f>
        <v>2</v>
      </c>
      <c r="M227" s="212">
        <f ca="1">IF($E228=-1,0,IF(M$13&lt;=$L227,IF(ISERROR(MATCH(M$13,OFFSET($L227,1,0,ROW($L$260)-ROW($L227)-1),0)),ROW($L$260)-ROW($L227)-1,MATCH(M$13,OFFSET($L227,1,0,ROW($L$260)-ROW($L227)-1),0)-1),0))</f>
        <v>32</v>
      </c>
      <c r="N227" s="212">
        <f ca="1">IF($E228=-1,0,IF(N$13&lt;=$L227,IF(ISERROR(MATCH(N$13,OFFSET($L227,1,0,ROW($L$260)-ROW($L227)-1),0)),ROW($L$260)-ROW($L227)-1,MATCH(N$13,OFFSET($L227,1,0,ROW($L$260)-ROW($L227)-1),0)-1),0))</f>
        <v>2</v>
      </c>
      <c r="O227" s="212">
        <f ca="1">IF($E228=-1,0,IF(O$13&lt;=$L227,IF(ISERROR(MATCH(O$13,OFFSET($L227,1,0,ROW($L$260)-ROW($L227)-1),0)),ROW($L$260)-ROW($L227)-1,MATCH(O$13,OFFSET($L227,1,0,ROW($L$260)-ROW($L227)-1),0)-1),0))</f>
        <v>0</v>
      </c>
      <c r="P227" s="212">
        <f ca="1">IF($E228=-1,0,IF(P$13&lt;=$L227,IF(ISERROR(MATCH(P$13,OFFSET($L227,1,0,ROW($L$260)-ROW($L227)-1),0)),ROW($L$260)-ROW($L227)-1,MATCH(P$13,OFFSET($L227,1,0,ROW($L$260)-ROW($L227)-1),0)-1),0))</f>
        <v>0</v>
      </c>
      <c r="Q227" s="212">
        <f t="shared" ref="Q227" ca="1" si="502">MIN(OFFSET(L227,0,1,,L227))</f>
        <v>2</v>
      </c>
      <c r="R227" s="213">
        <f ca="1">IF($E228=0,OFFSET(ORÇAMENTO!X$15,$E227,0),IF($E228&lt;&gt;-1,OFFSET(QCI!$O$13,$E228,0),""))</f>
        <v>0</v>
      </c>
      <c r="S227" s="214" t="s">
        <v>270</v>
      </c>
      <c r="T227" s="215" t="e">
        <f t="shared" ref="T227:AE227" ca="1" si="503">IF(AND($Q227=2,ACOMPANHAMENTO="BM"),T228,T229/$R227)</f>
        <v>#DIV/0!</v>
      </c>
      <c r="U227" s="207" t="e">
        <f t="shared" ca="1" si="503"/>
        <v>#DIV/0!</v>
      </c>
      <c r="V227" s="207" t="e">
        <f t="shared" ca="1" si="503"/>
        <v>#DIV/0!</v>
      </c>
      <c r="W227" s="207" t="e">
        <f t="shared" ca="1" si="503"/>
        <v>#DIV/0!</v>
      </c>
      <c r="X227" s="207" t="e">
        <f t="shared" ca="1" si="503"/>
        <v>#DIV/0!</v>
      </c>
      <c r="Y227" s="207" t="e">
        <f t="shared" ca="1" si="503"/>
        <v>#DIV/0!</v>
      </c>
      <c r="Z227" s="207" t="e">
        <f t="shared" ca="1" si="503"/>
        <v>#DIV/0!</v>
      </c>
      <c r="AA227" s="207" t="e">
        <f t="shared" ca="1" si="503"/>
        <v>#DIV/0!</v>
      </c>
      <c r="AB227" s="207" t="e">
        <f t="shared" ca="1" si="503"/>
        <v>#DIV/0!</v>
      </c>
      <c r="AC227" s="207" t="e">
        <f t="shared" ca="1" si="503"/>
        <v>#DIV/0!</v>
      </c>
      <c r="AD227" s="207" t="e">
        <f t="shared" ca="1" si="503"/>
        <v>#DIV/0!</v>
      </c>
      <c r="AE227" s="216" t="e">
        <f t="shared" ca="1" si="503"/>
        <v>#DIV/0!</v>
      </c>
    </row>
    <row r="228" spans="1:32" ht="12.75" customHeight="1" x14ac:dyDescent="0.2">
      <c r="D228" s="569"/>
      <c r="E228" s="204">
        <f ca="1">IF(ISERROR(E227),IF(1+COUNTIF($L$13:OFFSET(L227,-1,0),1)&lt;=MAX(QCI!$D$13:$D$24),1+COUNTIF($L$13:OFFSET(L227,-1,0),1),-1),0)</f>
        <v>0</v>
      </c>
      <c r="F228" s="204" t="str">
        <f t="shared" ref="F228" ca="1" si="504">IF(AND($E228&lt;&gt;-1,$R227&gt;0),"F","")</f>
        <v/>
      </c>
      <c r="G228" s="217" t="str">
        <f ca="1">IF(OR(R227=0,R227=""),"vazia",IF(AND(OR(ACOMPANHAMENTO="PLE",$Q227&lt;&gt;2),$E228=0),"calculada","--&gt;"))</f>
        <v>vazia</v>
      </c>
      <c r="H228" s="218"/>
      <c r="I228" s="219" t="str">
        <f t="shared" ref="I228" ca="1" si="505">IF(AND(G227&lt;&gt;0,ISNUMBER(G227)),"PREENCHA ESTA LINHA --&gt;","")</f>
        <v/>
      </c>
      <c r="J228" s="219"/>
      <c r="K228" s="219"/>
      <c r="L228" s="220"/>
      <c r="M228" s="220"/>
      <c r="N228" s="220"/>
      <c r="O228" s="220"/>
      <c r="P228" s="220"/>
      <c r="Q228" s="220"/>
      <c r="R228" s="221"/>
      <c r="S228" s="222"/>
      <c r="T228" s="570"/>
      <c r="U228" s="569"/>
      <c r="V228" s="569"/>
      <c r="W228" s="569"/>
      <c r="X228" s="569"/>
      <c r="Y228" s="569"/>
      <c r="Z228" s="569"/>
      <c r="AA228" s="569"/>
      <c r="AB228" s="569"/>
      <c r="AC228" s="569"/>
      <c r="AD228" s="569"/>
      <c r="AE228" s="571"/>
      <c r="AF228" s="533"/>
    </row>
    <row r="229" spans="1:32" ht="0.2" hidden="1" customHeight="1" x14ac:dyDescent="0.2">
      <c r="D229" s="223">
        <f ca="1">IF($Q227=2,IF(AND(ACOMPANHAMENTO="PLE",ISNUMBER($E227)),SUMIF((OFFSET(CÁLCULO!$BC$15:$BU$15,$E227,0,OFFSET(ORÇAMENTO!$D$15,CRONO!$E227,0))),"="&amp;CRONO!D$12,OFFSET(CÁLCULO!$AJ$15:$BB$15,$E227,0,OFFSET(ORÇAMENTO!$D$15,CRONO!$E227,0)))+IF(AND($E229&lt;&gt;"",$E229&lt;&gt;0),SUMIF(CÁLCULO!$BC$15:$BU$727,"="&amp;CRONO!D$12,CÁLCULO!$AJ$15:$BB$727)/(ORÇAMENTO!$X$15-CÁLCULO.TotalAdmLocal)*CRONO!$E229,0),D228*$R227),SUMIF(OFFSET($R229,1,0,$Q227-2),($L227+1)&amp;"$",OFFSET(D229,1,0,$Q227-2)))</f>
        <v>0</v>
      </c>
      <c r="E229" s="204" t="str">
        <f ca="1">IF(OR($Q227&lt;&gt;2,AUTOEVENTO&lt;&gt;"manual",$E228&gt;0),"",SUMIF(OFFSET(CÁLCULO!$M$15,CRONO!$E227,0,OFFSET(ORÇAMENTO!$D$15,CRONO!$E227,0)),1,OFFSET(ORÇAMENTO!$X$15,CRONO!$E227,0,OFFSET(ORÇAMENTO!$D$15,CRONO!$E227,0))))</f>
        <v/>
      </c>
      <c r="G229" s="224"/>
      <c r="R229" s="225" t="str">
        <f t="shared" ref="R229" ca="1" si="506">L227&amp;"$"</f>
        <v>2$</v>
      </c>
      <c r="S229" s="226"/>
      <c r="T229" s="227">
        <f ca="1">IF($Q227=2,IF(AND(ACOMPANHAMENTO="PLE",ISNUMBER($E227)),SUMIF((OFFSET(CÁLCULO!$BC$15:$BU$15,$E227,0,OFFSET(ORÇAMENTO!$D$15,CRONO!$E227,0))),"&lt;="&amp;CRONO!T$12,OFFSET(CÁLCULO!$AJ$15:$BB$15,$E227,0,OFFSET(ORÇAMENTO!$D$15,CRONO!$E227,0)))+IF(AND($E229&lt;&gt;"",$E229&lt;&gt;0),SUMIF(CÁLCULO!$BC$15:$BU$727,"&lt;="&amp;CRONO!T$12,CÁLCULO!$AJ$15:$BB$727)/(ORÇAMENTO!$X$15-CÁLCULO.TotalAdmLocal)*CRONO!$E229,0),T228*$R227),SUMIF(OFFSET($R229,1,0,$Q227-2),($L227+1)&amp;"$",OFFSET(T229,1,0,$Q227-2)))</f>
        <v>0</v>
      </c>
      <c r="U229" s="223">
        <f ca="1">IF($Q227=2,IF(AND(ACOMPANHAMENTO="PLE",ISNUMBER($E227)),SUMIF((OFFSET(CÁLCULO!$BC$15:$BU$15,$E227,0,OFFSET(ORÇAMENTO!$D$15,CRONO!$E227,0))),"="&amp;CRONO!U$12,OFFSET(CÁLCULO!$AJ$15:$BB$15,$E227,0,OFFSET(ORÇAMENTO!$D$15,CRONO!$E227,0)))+IF(AND($E229&lt;&gt;"",$E229&lt;&gt;0),SUMIF(CÁLCULO!$BC$15:$BU$727,"="&amp;CRONO!U$12,CÁLCULO!$AJ$15:$BB$727)/(ORÇAMENTO!$X$15-CÁLCULO.TotalAdmLocal)*CRONO!$E229,0),U228*$R227),SUMIF(OFFSET($R229,1,0,$Q227-2),($L227+1)&amp;"$",OFFSET(U229,1,0,$Q227-2)))</f>
        <v>0</v>
      </c>
      <c r="V229" s="223">
        <f ca="1">IF($Q227=2,IF(AND(ACOMPANHAMENTO="PLE",ISNUMBER($E227)),SUMIF((OFFSET(CÁLCULO!$BC$15:$BU$15,$E227,0,OFFSET(ORÇAMENTO!$D$15,CRONO!$E227,0))),"="&amp;CRONO!V$12,OFFSET(CÁLCULO!$AJ$15:$BB$15,$E227,0,OFFSET(ORÇAMENTO!$D$15,CRONO!$E227,0)))+IF(AND($E229&lt;&gt;"",$E229&lt;&gt;0),SUMIF(CÁLCULO!$BC$15:$BU$727,"="&amp;CRONO!V$12,CÁLCULO!$AJ$15:$BB$727)/(ORÇAMENTO!$X$15-CÁLCULO.TotalAdmLocal)*CRONO!$E229,0),V228*$R227),SUMIF(OFFSET($R229,1,0,$Q227-2),($L227+1)&amp;"$",OFFSET(V229,1,0,$Q227-2)))</f>
        <v>0</v>
      </c>
      <c r="W229" s="223">
        <f ca="1">IF($Q227=2,IF(AND(ACOMPANHAMENTO="PLE",ISNUMBER($E227)),SUMIF((OFFSET(CÁLCULO!$BC$15:$BU$15,$E227,0,OFFSET(ORÇAMENTO!$D$15,CRONO!$E227,0))),"="&amp;CRONO!W$12,OFFSET(CÁLCULO!$AJ$15:$BB$15,$E227,0,OFFSET(ORÇAMENTO!$D$15,CRONO!$E227,0)))+IF(AND($E229&lt;&gt;"",$E229&lt;&gt;0),SUMIF(CÁLCULO!$BC$15:$BU$727,"="&amp;CRONO!W$12,CÁLCULO!$AJ$15:$BB$727)/(ORÇAMENTO!$X$15-CÁLCULO.TotalAdmLocal)*CRONO!$E229,0),W228*$R227),SUMIF(OFFSET($R229,1,0,$Q227-2),($L227+1)&amp;"$",OFFSET(W229,1,0,$Q227-2)))</f>
        <v>0</v>
      </c>
      <c r="X229" s="223">
        <f ca="1">IF($Q227=2,IF(AND(ACOMPANHAMENTO="PLE",ISNUMBER($E227)),SUMIF((OFFSET(CÁLCULO!$BC$15:$BU$15,$E227,0,OFFSET(ORÇAMENTO!$D$15,CRONO!$E227,0))),"="&amp;CRONO!X$12,OFFSET(CÁLCULO!$AJ$15:$BB$15,$E227,0,OFFSET(ORÇAMENTO!$D$15,CRONO!$E227,0)))+IF(AND($E229&lt;&gt;"",$E229&lt;&gt;0),SUMIF(CÁLCULO!$BC$15:$BU$727,"="&amp;CRONO!X$12,CÁLCULO!$AJ$15:$BB$727)/(ORÇAMENTO!$X$15-CÁLCULO.TotalAdmLocal)*CRONO!$E229,0),X228*$R227),SUMIF(OFFSET($R229,1,0,$Q227-2),($L227+1)&amp;"$",OFFSET(X229,1,0,$Q227-2)))</f>
        <v>0</v>
      </c>
      <c r="Y229" s="223">
        <f ca="1">IF($Q227=2,IF(AND(ACOMPANHAMENTO="PLE",ISNUMBER($E227)),SUMIF((OFFSET(CÁLCULO!$BC$15:$BU$15,$E227,0,OFFSET(ORÇAMENTO!$D$15,CRONO!$E227,0))),"="&amp;CRONO!Y$12,OFFSET(CÁLCULO!$AJ$15:$BB$15,$E227,0,OFFSET(ORÇAMENTO!$D$15,CRONO!$E227,0)))+IF(AND($E229&lt;&gt;"",$E229&lt;&gt;0),SUMIF(CÁLCULO!$BC$15:$BU$727,"="&amp;CRONO!Y$12,CÁLCULO!$AJ$15:$BB$727)/(ORÇAMENTO!$X$15-CÁLCULO.TotalAdmLocal)*CRONO!$E229,0),Y228*$R227),SUMIF(OFFSET($R229,1,0,$Q227-2),($L227+1)&amp;"$",OFFSET(Y229,1,0,$Q227-2)))</f>
        <v>0</v>
      </c>
      <c r="Z229" s="223">
        <f ca="1">IF($Q227=2,IF(AND(ACOMPANHAMENTO="PLE",ISNUMBER($E227)),SUMIF((OFFSET(CÁLCULO!$BC$15:$BU$15,$E227,0,OFFSET(ORÇAMENTO!$D$15,CRONO!$E227,0))),"="&amp;CRONO!Z$12,OFFSET(CÁLCULO!$AJ$15:$BB$15,$E227,0,OFFSET(ORÇAMENTO!$D$15,CRONO!$E227,0)))+IF(AND($E229&lt;&gt;"",$E229&lt;&gt;0),SUMIF(CÁLCULO!$BC$15:$BU$727,"="&amp;CRONO!Z$12,CÁLCULO!$AJ$15:$BB$727)/(ORÇAMENTO!$X$15-CÁLCULO.TotalAdmLocal)*CRONO!$E229,0),Z228*$R227),SUMIF(OFFSET($R229,1,0,$Q227-2),($L227+1)&amp;"$",OFFSET(Z229,1,0,$Q227-2)))</f>
        <v>0</v>
      </c>
      <c r="AA229" s="223">
        <f ca="1">IF($Q227=2,IF(AND(ACOMPANHAMENTO="PLE",ISNUMBER($E227)),SUMIF((OFFSET(CÁLCULO!$BC$15:$BU$15,$E227,0,OFFSET(ORÇAMENTO!$D$15,CRONO!$E227,0))),"="&amp;CRONO!AA$12,OFFSET(CÁLCULO!$AJ$15:$BB$15,$E227,0,OFFSET(ORÇAMENTO!$D$15,CRONO!$E227,0)))+IF(AND($E229&lt;&gt;"",$E229&lt;&gt;0),SUMIF(CÁLCULO!$BC$15:$BU$727,"="&amp;CRONO!AA$12,CÁLCULO!$AJ$15:$BB$727)/(ORÇAMENTO!$X$15-CÁLCULO.TotalAdmLocal)*CRONO!$E229,0),AA228*$R227),SUMIF(OFFSET($R229,1,0,$Q227-2),($L227+1)&amp;"$",OFFSET(AA229,1,0,$Q227-2)))</f>
        <v>0</v>
      </c>
      <c r="AB229" s="223">
        <f ca="1">IF($Q227=2,IF(AND(ACOMPANHAMENTO="PLE",ISNUMBER($E227)),SUMIF((OFFSET(CÁLCULO!$BC$15:$BU$15,$E227,0,OFFSET(ORÇAMENTO!$D$15,CRONO!$E227,0))),"="&amp;CRONO!AB$12,OFFSET(CÁLCULO!$AJ$15:$BB$15,$E227,0,OFFSET(ORÇAMENTO!$D$15,CRONO!$E227,0)))+IF(AND($E229&lt;&gt;"",$E229&lt;&gt;0),SUMIF(CÁLCULO!$BC$15:$BU$727,"="&amp;CRONO!AB$12,CÁLCULO!$AJ$15:$BB$727)/(ORÇAMENTO!$X$15-CÁLCULO.TotalAdmLocal)*CRONO!$E229,0),AB228*$R227),SUMIF(OFFSET($R229,1,0,$Q227-2),($L227+1)&amp;"$",OFFSET(AB229,1,0,$Q227-2)))</f>
        <v>0</v>
      </c>
      <c r="AC229" s="223">
        <f ca="1">IF($Q227=2,IF(AND(ACOMPANHAMENTO="PLE",ISNUMBER($E227)),SUMIF((OFFSET(CÁLCULO!$BC$15:$BU$15,$E227,0,OFFSET(ORÇAMENTO!$D$15,CRONO!$E227,0))),"="&amp;CRONO!AC$12,OFFSET(CÁLCULO!$AJ$15:$BB$15,$E227,0,OFFSET(ORÇAMENTO!$D$15,CRONO!$E227,0)))+IF(AND($E229&lt;&gt;"",$E229&lt;&gt;0),SUMIF(CÁLCULO!$BC$15:$BU$727,"="&amp;CRONO!AC$12,CÁLCULO!$AJ$15:$BB$727)/(ORÇAMENTO!$X$15-CÁLCULO.TotalAdmLocal)*CRONO!$E229,0),AC228*$R227),SUMIF(OFFSET($R229,1,0,$Q227-2),($L227+1)&amp;"$",OFFSET(AC229,1,0,$Q227-2)))</f>
        <v>0</v>
      </c>
      <c r="AD229" s="223">
        <f ca="1">IF($Q227=2,IF(AND(ACOMPANHAMENTO="PLE",ISNUMBER($E227)),SUMIF((OFFSET(CÁLCULO!$BC$15:$BU$15,$E227,0,OFFSET(ORÇAMENTO!$D$15,CRONO!$E227,0))),"="&amp;CRONO!AD$12,OFFSET(CÁLCULO!$AJ$15:$BB$15,$E227,0,OFFSET(ORÇAMENTO!$D$15,CRONO!$E227,0)))+IF(AND($E229&lt;&gt;"",$E229&lt;&gt;0),SUMIF(CÁLCULO!$BC$15:$BU$727,"="&amp;CRONO!AD$12,CÁLCULO!$AJ$15:$BB$727)/(ORÇAMENTO!$X$15-CÁLCULO.TotalAdmLocal)*CRONO!$E229,0),AD228*$R227),SUMIF(OFFSET($R229,1,0,$Q227-2),($L227+1)&amp;"$",OFFSET(AD229,1,0,$Q227-2)))</f>
        <v>0</v>
      </c>
      <c r="AE229" s="228">
        <f ca="1">IF($Q227=2,IF(AND(ACOMPANHAMENTO="PLE",ISNUMBER($E227)),SUMIF((OFFSET(CÁLCULO!$BC$15:$BU$15,$E227,0,OFFSET(ORÇAMENTO!$D$15,CRONO!$E227,0))),"="&amp;CRONO!AE$12,OFFSET(CÁLCULO!$AJ$15:$BB$15,$E227,0,OFFSET(ORÇAMENTO!$D$15,CRONO!$E227,0)))+IF(AND($E229&lt;&gt;"",$E229&lt;&gt;0),SUMIF(CÁLCULO!$BC$15:$BU$727,"="&amp;CRONO!AE$12,CÁLCULO!$AJ$15:$BB$727)/(ORÇAMENTO!$X$15-CÁLCULO.TotalAdmLocal)*CRONO!$E229,0),AE228*$R227),SUMIF(OFFSET($R229,1,0,$Q227-2),($L227+1)&amp;"$",OFFSET(AE229,1,0,$Q227-2)))</f>
        <v>0</v>
      </c>
    </row>
    <row r="230" spans="1:32" x14ac:dyDescent="0.2">
      <c r="A230" s="204">
        <f t="shared" ref="A230" ca="1" si="507">OFFSET(A230,-3,0)+1</f>
        <v>73</v>
      </c>
      <c r="B230" s="204">
        <f ca="1">IF($Q230&lt;&gt;2,0,IF($R230=0,1,IF(E231&gt;0,OFFSET(QCI!$M$13,SUBSTITUTE(E231,".",""),0),OFFSET(ORÇAMENTO!$AA$15,CRONO!$E230,0))/$R230))</f>
        <v>1</v>
      </c>
      <c r="C230" s="204">
        <f ca="1">IF($Q230&lt;&gt;2,0,IF($R230=0,1,IF(E231&gt;0,OFFSET(QCI!$N$13,SUBSTITUTE(E231,".",""),0),OFFSET(ORÇAMENTO!$AB$15,CRONO!$E230,0))/$R230))</f>
        <v>1</v>
      </c>
      <c r="D230" s="207" t="e">
        <f ca="1">IF(AND($Q230=2,ACOMPANHAMENTO="BM"),D231,D232/$R230)</f>
        <v>#DIV/0!</v>
      </c>
      <c r="E230" s="204">
        <f ca="1">IF(A230&lt;=ORÇAMENTO.MáximoListaCrono,MATCH(A230,ORÇAMENTO.ListaCrono,0),NA())</f>
        <v>653</v>
      </c>
      <c r="F230" s="204" t="str">
        <f t="shared" ref="F230" ca="1" si="508">IF(AND($E231&lt;&gt;-1,$R230&gt;0),"F","")</f>
        <v/>
      </c>
      <c r="G230" s="208" t="str">
        <f ca="1">IF(OR(R230=0,R230=""),"Linha",IF(AND(OR(ACOMPANHAMENTO="PLE",$Q230&lt;&gt;2),$E231=0),"Linha",1-SUM(T230:AF230)))</f>
        <v>Linha</v>
      </c>
      <c r="H230" s="209" t="str">
        <f ca="1">IF($E231=0,OFFSET(ORÇAMENTO!O$15,$E230,0),IF($E231&lt;&gt;-1,OFFSET(QCI!$D$13,$E231,0),""))</f>
        <v>1.72.</v>
      </c>
      <c r="I230" s="210" t="str">
        <f ca="1">IF($E231=0,OFFSET(ORÇAMENTO!R$15,$E230,0),IF($E231&lt;&gt;-1,OFFSET(QCI!$G$13,$E231,0),""))</f>
        <v>SERVIÇOS COMPLEMENTARES</v>
      </c>
      <c r="J230" s="210"/>
      <c r="K230" s="210"/>
      <c r="L230" s="211">
        <f ca="1">IF($E231=0,OFFSET(ORÇAMENTO!C$15,$E230,0),1)</f>
        <v>2</v>
      </c>
      <c r="M230" s="212">
        <f ca="1">IF($E231=-1,0,IF(M$13&lt;=$L230,IF(ISERROR(MATCH(M$13,OFFSET($L230,1,0,ROW($L$260)-ROW($L230)-1),0)),ROW($L$260)-ROW($L230)-1,MATCH(M$13,OFFSET($L230,1,0,ROW($L$260)-ROW($L230)-1),0)-1),0))</f>
        <v>29</v>
      </c>
      <c r="N230" s="212">
        <f ca="1">IF($E231=-1,0,IF(N$13&lt;=$L230,IF(ISERROR(MATCH(N$13,OFFSET($L230,1,0,ROW($L$260)-ROW($L230)-1),0)),ROW($L$260)-ROW($L230)-1,MATCH(N$13,OFFSET($L230,1,0,ROW($L$260)-ROW($L230)-1),0)-1),0))</f>
        <v>2</v>
      </c>
      <c r="O230" s="212">
        <f ca="1">IF($E231=-1,0,IF(O$13&lt;=$L230,IF(ISERROR(MATCH(O$13,OFFSET($L230,1,0,ROW($L$260)-ROW($L230)-1),0)),ROW($L$260)-ROW($L230)-1,MATCH(O$13,OFFSET($L230,1,0,ROW($L$260)-ROW($L230)-1),0)-1),0))</f>
        <v>0</v>
      </c>
      <c r="P230" s="212">
        <f ca="1">IF($E231=-1,0,IF(P$13&lt;=$L230,IF(ISERROR(MATCH(P$13,OFFSET($L230,1,0,ROW($L$260)-ROW($L230)-1),0)),ROW($L$260)-ROW($L230)-1,MATCH(P$13,OFFSET($L230,1,0,ROW($L$260)-ROW($L230)-1),0)-1),0))</f>
        <v>0</v>
      </c>
      <c r="Q230" s="212">
        <f t="shared" ref="Q230" ca="1" si="509">MIN(OFFSET(L230,0,1,,L230))</f>
        <v>2</v>
      </c>
      <c r="R230" s="213">
        <f ca="1">IF($E231=0,OFFSET(ORÇAMENTO!X$15,$E230,0),IF($E231&lt;&gt;-1,OFFSET(QCI!$O$13,$E231,0),""))</f>
        <v>0</v>
      </c>
      <c r="S230" s="214" t="s">
        <v>270</v>
      </c>
      <c r="T230" s="215" t="e">
        <f t="shared" ref="T230:AE230" ca="1" si="510">IF(AND($Q230=2,ACOMPANHAMENTO="BM"),T231,T232/$R230)</f>
        <v>#DIV/0!</v>
      </c>
      <c r="U230" s="207" t="e">
        <f t="shared" ca="1" si="510"/>
        <v>#DIV/0!</v>
      </c>
      <c r="V230" s="207" t="e">
        <f t="shared" ca="1" si="510"/>
        <v>#DIV/0!</v>
      </c>
      <c r="W230" s="207" t="e">
        <f t="shared" ca="1" si="510"/>
        <v>#DIV/0!</v>
      </c>
      <c r="X230" s="207" t="e">
        <f t="shared" ca="1" si="510"/>
        <v>#DIV/0!</v>
      </c>
      <c r="Y230" s="207" t="e">
        <f t="shared" ca="1" si="510"/>
        <v>#DIV/0!</v>
      </c>
      <c r="Z230" s="207" t="e">
        <f t="shared" ca="1" si="510"/>
        <v>#DIV/0!</v>
      </c>
      <c r="AA230" s="207" t="e">
        <f t="shared" ca="1" si="510"/>
        <v>#DIV/0!</v>
      </c>
      <c r="AB230" s="207" t="e">
        <f t="shared" ca="1" si="510"/>
        <v>#DIV/0!</v>
      </c>
      <c r="AC230" s="207" t="e">
        <f t="shared" ca="1" si="510"/>
        <v>#DIV/0!</v>
      </c>
      <c r="AD230" s="207" t="e">
        <f t="shared" ca="1" si="510"/>
        <v>#DIV/0!</v>
      </c>
      <c r="AE230" s="216" t="e">
        <f t="shared" ca="1" si="510"/>
        <v>#DIV/0!</v>
      </c>
    </row>
    <row r="231" spans="1:32" ht="12.75" customHeight="1" x14ac:dyDescent="0.2">
      <c r="D231" s="569"/>
      <c r="E231" s="204">
        <f ca="1">IF(ISERROR(E230),IF(1+COUNTIF($L$13:OFFSET(L230,-1,0),1)&lt;=MAX(QCI!$D$13:$D$24),1+COUNTIF($L$13:OFFSET(L230,-1,0),1),-1),0)</f>
        <v>0</v>
      </c>
      <c r="F231" s="204" t="str">
        <f t="shared" ref="F231" ca="1" si="511">IF(AND($E231&lt;&gt;-1,$R230&gt;0),"F","")</f>
        <v/>
      </c>
      <c r="G231" s="217" t="str">
        <f ca="1">IF(OR(R230=0,R230=""),"vazia",IF(AND(OR(ACOMPANHAMENTO="PLE",$Q230&lt;&gt;2),$E231=0),"calculada","--&gt;"))</f>
        <v>vazia</v>
      </c>
      <c r="H231" s="218"/>
      <c r="I231" s="219" t="str">
        <f t="shared" ref="I231" ca="1" si="512">IF(AND(G230&lt;&gt;0,ISNUMBER(G230)),"PREENCHA ESTA LINHA --&gt;","")</f>
        <v/>
      </c>
      <c r="J231" s="219"/>
      <c r="K231" s="219"/>
      <c r="L231" s="220"/>
      <c r="M231" s="220"/>
      <c r="N231" s="220"/>
      <c r="O231" s="220"/>
      <c r="P231" s="220"/>
      <c r="Q231" s="220"/>
      <c r="R231" s="221"/>
      <c r="S231" s="222"/>
      <c r="T231" s="570"/>
      <c r="U231" s="569"/>
      <c r="V231" s="569"/>
      <c r="W231" s="569"/>
      <c r="X231" s="569"/>
      <c r="Y231" s="569"/>
      <c r="Z231" s="569"/>
      <c r="AA231" s="569"/>
      <c r="AB231" s="569"/>
      <c r="AC231" s="569"/>
      <c r="AD231" s="569"/>
      <c r="AE231" s="571"/>
      <c r="AF231" s="533"/>
    </row>
    <row r="232" spans="1:32" ht="0.2" hidden="1" customHeight="1" x14ac:dyDescent="0.2">
      <c r="D232" s="223">
        <f ca="1">IF($Q230=2,IF(AND(ACOMPANHAMENTO="PLE",ISNUMBER($E230)),SUMIF((OFFSET(CÁLCULO!$BC$15:$BU$15,$E230,0,OFFSET(ORÇAMENTO!$D$15,CRONO!$E230,0))),"="&amp;CRONO!D$12,OFFSET(CÁLCULO!$AJ$15:$BB$15,$E230,0,OFFSET(ORÇAMENTO!$D$15,CRONO!$E230,0)))+IF(AND($E232&lt;&gt;"",$E232&lt;&gt;0),SUMIF(CÁLCULO!$BC$15:$BU$727,"="&amp;CRONO!D$12,CÁLCULO!$AJ$15:$BB$727)/(ORÇAMENTO!$X$15-CÁLCULO.TotalAdmLocal)*CRONO!$E232,0),D231*$R230),SUMIF(OFFSET($R232,1,0,$Q230-2),($L230+1)&amp;"$",OFFSET(D232,1,0,$Q230-2)))</f>
        <v>0</v>
      </c>
      <c r="E232" s="204" t="str">
        <f ca="1">IF(OR($Q230&lt;&gt;2,AUTOEVENTO&lt;&gt;"manual",$E231&gt;0),"",SUMIF(OFFSET(CÁLCULO!$M$15,CRONO!$E230,0,OFFSET(ORÇAMENTO!$D$15,CRONO!$E230,0)),1,OFFSET(ORÇAMENTO!$X$15,CRONO!$E230,0,OFFSET(ORÇAMENTO!$D$15,CRONO!$E230,0))))</f>
        <v/>
      </c>
      <c r="G232" s="224"/>
      <c r="R232" s="225" t="str">
        <f t="shared" ref="R232" ca="1" si="513">L230&amp;"$"</f>
        <v>2$</v>
      </c>
      <c r="S232" s="226"/>
      <c r="T232" s="227">
        <f ca="1">IF($Q230=2,IF(AND(ACOMPANHAMENTO="PLE",ISNUMBER($E230)),SUMIF((OFFSET(CÁLCULO!$BC$15:$BU$15,$E230,0,OFFSET(ORÇAMENTO!$D$15,CRONO!$E230,0))),"&lt;="&amp;CRONO!T$12,OFFSET(CÁLCULO!$AJ$15:$BB$15,$E230,0,OFFSET(ORÇAMENTO!$D$15,CRONO!$E230,0)))+IF(AND($E232&lt;&gt;"",$E232&lt;&gt;0),SUMIF(CÁLCULO!$BC$15:$BU$727,"&lt;="&amp;CRONO!T$12,CÁLCULO!$AJ$15:$BB$727)/(ORÇAMENTO!$X$15-CÁLCULO.TotalAdmLocal)*CRONO!$E232,0),T231*$R230),SUMIF(OFFSET($R232,1,0,$Q230-2),($L230+1)&amp;"$",OFFSET(T232,1,0,$Q230-2)))</f>
        <v>0</v>
      </c>
      <c r="U232" s="223">
        <f ca="1">IF($Q230=2,IF(AND(ACOMPANHAMENTO="PLE",ISNUMBER($E230)),SUMIF((OFFSET(CÁLCULO!$BC$15:$BU$15,$E230,0,OFFSET(ORÇAMENTO!$D$15,CRONO!$E230,0))),"="&amp;CRONO!U$12,OFFSET(CÁLCULO!$AJ$15:$BB$15,$E230,0,OFFSET(ORÇAMENTO!$D$15,CRONO!$E230,0)))+IF(AND($E232&lt;&gt;"",$E232&lt;&gt;0),SUMIF(CÁLCULO!$BC$15:$BU$727,"="&amp;CRONO!U$12,CÁLCULO!$AJ$15:$BB$727)/(ORÇAMENTO!$X$15-CÁLCULO.TotalAdmLocal)*CRONO!$E232,0),U231*$R230),SUMIF(OFFSET($R232,1,0,$Q230-2),($L230+1)&amp;"$",OFFSET(U232,1,0,$Q230-2)))</f>
        <v>0</v>
      </c>
      <c r="V232" s="223">
        <f ca="1">IF($Q230=2,IF(AND(ACOMPANHAMENTO="PLE",ISNUMBER($E230)),SUMIF((OFFSET(CÁLCULO!$BC$15:$BU$15,$E230,0,OFFSET(ORÇAMENTO!$D$15,CRONO!$E230,0))),"="&amp;CRONO!V$12,OFFSET(CÁLCULO!$AJ$15:$BB$15,$E230,0,OFFSET(ORÇAMENTO!$D$15,CRONO!$E230,0)))+IF(AND($E232&lt;&gt;"",$E232&lt;&gt;0),SUMIF(CÁLCULO!$BC$15:$BU$727,"="&amp;CRONO!V$12,CÁLCULO!$AJ$15:$BB$727)/(ORÇAMENTO!$X$15-CÁLCULO.TotalAdmLocal)*CRONO!$E232,0),V231*$R230),SUMIF(OFFSET($R232,1,0,$Q230-2),($L230+1)&amp;"$",OFFSET(V232,1,0,$Q230-2)))</f>
        <v>0</v>
      </c>
      <c r="W232" s="223">
        <f ca="1">IF($Q230=2,IF(AND(ACOMPANHAMENTO="PLE",ISNUMBER($E230)),SUMIF((OFFSET(CÁLCULO!$BC$15:$BU$15,$E230,0,OFFSET(ORÇAMENTO!$D$15,CRONO!$E230,0))),"="&amp;CRONO!W$12,OFFSET(CÁLCULO!$AJ$15:$BB$15,$E230,0,OFFSET(ORÇAMENTO!$D$15,CRONO!$E230,0)))+IF(AND($E232&lt;&gt;"",$E232&lt;&gt;0),SUMIF(CÁLCULO!$BC$15:$BU$727,"="&amp;CRONO!W$12,CÁLCULO!$AJ$15:$BB$727)/(ORÇAMENTO!$X$15-CÁLCULO.TotalAdmLocal)*CRONO!$E232,0),W231*$R230),SUMIF(OFFSET($R232,1,0,$Q230-2),($L230+1)&amp;"$",OFFSET(W232,1,0,$Q230-2)))</f>
        <v>0</v>
      </c>
      <c r="X232" s="223">
        <f ca="1">IF($Q230=2,IF(AND(ACOMPANHAMENTO="PLE",ISNUMBER($E230)),SUMIF((OFFSET(CÁLCULO!$BC$15:$BU$15,$E230,0,OFFSET(ORÇAMENTO!$D$15,CRONO!$E230,0))),"="&amp;CRONO!X$12,OFFSET(CÁLCULO!$AJ$15:$BB$15,$E230,0,OFFSET(ORÇAMENTO!$D$15,CRONO!$E230,0)))+IF(AND($E232&lt;&gt;"",$E232&lt;&gt;0),SUMIF(CÁLCULO!$BC$15:$BU$727,"="&amp;CRONO!X$12,CÁLCULO!$AJ$15:$BB$727)/(ORÇAMENTO!$X$15-CÁLCULO.TotalAdmLocal)*CRONO!$E232,0),X231*$R230),SUMIF(OFFSET($R232,1,0,$Q230-2),($L230+1)&amp;"$",OFFSET(X232,1,0,$Q230-2)))</f>
        <v>0</v>
      </c>
      <c r="Y232" s="223">
        <f ca="1">IF($Q230=2,IF(AND(ACOMPANHAMENTO="PLE",ISNUMBER($E230)),SUMIF((OFFSET(CÁLCULO!$BC$15:$BU$15,$E230,0,OFFSET(ORÇAMENTO!$D$15,CRONO!$E230,0))),"="&amp;CRONO!Y$12,OFFSET(CÁLCULO!$AJ$15:$BB$15,$E230,0,OFFSET(ORÇAMENTO!$D$15,CRONO!$E230,0)))+IF(AND($E232&lt;&gt;"",$E232&lt;&gt;0),SUMIF(CÁLCULO!$BC$15:$BU$727,"="&amp;CRONO!Y$12,CÁLCULO!$AJ$15:$BB$727)/(ORÇAMENTO!$X$15-CÁLCULO.TotalAdmLocal)*CRONO!$E232,0),Y231*$R230),SUMIF(OFFSET($R232,1,0,$Q230-2),($L230+1)&amp;"$",OFFSET(Y232,1,0,$Q230-2)))</f>
        <v>0</v>
      </c>
      <c r="Z232" s="223">
        <f ca="1">IF($Q230=2,IF(AND(ACOMPANHAMENTO="PLE",ISNUMBER($E230)),SUMIF((OFFSET(CÁLCULO!$BC$15:$BU$15,$E230,0,OFFSET(ORÇAMENTO!$D$15,CRONO!$E230,0))),"="&amp;CRONO!Z$12,OFFSET(CÁLCULO!$AJ$15:$BB$15,$E230,0,OFFSET(ORÇAMENTO!$D$15,CRONO!$E230,0)))+IF(AND($E232&lt;&gt;"",$E232&lt;&gt;0),SUMIF(CÁLCULO!$BC$15:$BU$727,"="&amp;CRONO!Z$12,CÁLCULO!$AJ$15:$BB$727)/(ORÇAMENTO!$X$15-CÁLCULO.TotalAdmLocal)*CRONO!$E232,0),Z231*$R230),SUMIF(OFFSET($R232,1,0,$Q230-2),($L230+1)&amp;"$",OFFSET(Z232,1,0,$Q230-2)))</f>
        <v>0</v>
      </c>
      <c r="AA232" s="223">
        <f ca="1">IF($Q230=2,IF(AND(ACOMPANHAMENTO="PLE",ISNUMBER($E230)),SUMIF((OFFSET(CÁLCULO!$BC$15:$BU$15,$E230,0,OFFSET(ORÇAMENTO!$D$15,CRONO!$E230,0))),"="&amp;CRONO!AA$12,OFFSET(CÁLCULO!$AJ$15:$BB$15,$E230,0,OFFSET(ORÇAMENTO!$D$15,CRONO!$E230,0)))+IF(AND($E232&lt;&gt;"",$E232&lt;&gt;0),SUMIF(CÁLCULO!$BC$15:$BU$727,"="&amp;CRONO!AA$12,CÁLCULO!$AJ$15:$BB$727)/(ORÇAMENTO!$X$15-CÁLCULO.TotalAdmLocal)*CRONO!$E232,0),AA231*$R230),SUMIF(OFFSET($R232,1,0,$Q230-2),($L230+1)&amp;"$",OFFSET(AA232,1,0,$Q230-2)))</f>
        <v>0</v>
      </c>
      <c r="AB232" s="223">
        <f ca="1">IF($Q230=2,IF(AND(ACOMPANHAMENTO="PLE",ISNUMBER($E230)),SUMIF((OFFSET(CÁLCULO!$BC$15:$BU$15,$E230,0,OFFSET(ORÇAMENTO!$D$15,CRONO!$E230,0))),"="&amp;CRONO!AB$12,OFFSET(CÁLCULO!$AJ$15:$BB$15,$E230,0,OFFSET(ORÇAMENTO!$D$15,CRONO!$E230,0)))+IF(AND($E232&lt;&gt;"",$E232&lt;&gt;0),SUMIF(CÁLCULO!$BC$15:$BU$727,"="&amp;CRONO!AB$12,CÁLCULO!$AJ$15:$BB$727)/(ORÇAMENTO!$X$15-CÁLCULO.TotalAdmLocal)*CRONO!$E232,0),AB231*$R230),SUMIF(OFFSET($R232,1,0,$Q230-2),($L230+1)&amp;"$",OFFSET(AB232,1,0,$Q230-2)))</f>
        <v>0</v>
      </c>
      <c r="AC232" s="223">
        <f ca="1">IF($Q230=2,IF(AND(ACOMPANHAMENTO="PLE",ISNUMBER($E230)),SUMIF((OFFSET(CÁLCULO!$BC$15:$BU$15,$E230,0,OFFSET(ORÇAMENTO!$D$15,CRONO!$E230,0))),"="&amp;CRONO!AC$12,OFFSET(CÁLCULO!$AJ$15:$BB$15,$E230,0,OFFSET(ORÇAMENTO!$D$15,CRONO!$E230,0)))+IF(AND($E232&lt;&gt;"",$E232&lt;&gt;0),SUMIF(CÁLCULO!$BC$15:$BU$727,"="&amp;CRONO!AC$12,CÁLCULO!$AJ$15:$BB$727)/(ORÇAMENTO!$X$15-CÁLCULO.TotalAdmLocal)*CRONO!$E232,0),AC231*$R230),SUMIF(OFFSET($R232,1,0,$Q230-2),($L230+1)&amp;"$",OFFSET(AC232,1,0,$Q230-2)))</f>
        <v>0</v>
      </c>
      <c r="AD232" s="223">
        <f ca="1">IF($Q230=2,IF(AND(ACOMPANHAMENTO="PLE",ISNUMBER($E230)),SUMIF((OFFSET(CÁLCULO!$BC$15:$BU$15,$E230,0,OFFSET(ORÇAMENTO!$D$15,CRONO!$E230,0))),"="&amp;CRONO!AD$12,OFFSET(CÁLCULO!$AJ$15:$BB$15,$E230,0,OFFSET(ORÇAMENTO!$D$15,CRONO!$E230,0)))+IF(AND($E232&lt;&gt;"",$E232&lt;&gt;0),SUMIF(CÁLCULO!$BC$15:$BU$727,"="&amp;CRONO!AD$12,CÁLCULO!$AJ$15:$BB$727)/(ORÇAMENTO!$X$15-CÁLCULO.TotalAdmLocal)*CRONO!$E232,0),AD231*$R230),SUMIF(OFFSET($R232,1,0,$Q230-2),($L230+1)&amp;"$",OFFSET(AD232,1,0,$Q230-2)))</f>
        <v>0</v>
      </c>
      <c r="AE232" s="228">
        <f ca="1">IF($Q230=2,IF(AND(ACOMPANHAMENTO="PLE",ISNUMBER($E230)),SUMIF((OFFSET(CÁLCULO!$BC$15:$BU$15,$E230,0,OFFSET(ORÇAMENTO!$D$15,CRONO!$E230,0))),"="&amp;CRONO!AE$12,OFFSET(CÁLCULO!$AJ$15:$BB$15,$E230,0,OFFSET(ORÇAMENTO!$D$15,CRONO!$E230,0)))+IF(AND($E232&lt;&gt;"",$E232&lt;&gt;0),SUMIF(CÁLCULO!$BC$15:$BU$727,"="&amp;CRONO!AE$12,CÁLCULO!$AJ$15:$BB$727)/(ORÇAMENTO!$X$15-CÁLCULO.TotalAdmLocal)*CRONO!$E232,0),AE231*$R230),SUMIF(OFFSET($R232,1,0,$Q230-2),($L230+1)&amp;"$",OFFSET(AE232,1,0,$Q230-2)))</f>
        <v>0</v>
      </c>
    </row>
    <row r="233" spans="1:32" x14ac:dyDescent="0.2">
      <c r="A233" s="204">
        <f t="shared" ref="A233" ca="1" si="514">OFFSET(A233,-3,0)+1</f>
        <v>74</v>
      </c>
      <c r="B233" s="204">
        <f ca="1">IF($Q233&lt;&gt;2,0,IF($R233=0,1,IF(E234&gt;0,OFFSET(QCI!$M$13,SUBSTITUTE(E234,".",""),0),OFFSET(ORÇAMENTO!$AA$15,CRONO!$E233,0))/$R233))</f>
        <v>1</v>
      </c>
      <c r="C233" s="204">
        <f ca="1">IF($Q233&lt;&gt;2,0,IF($R233=0,1,IF(E234&gt;0,OFFSET(QCI!$N$13,SUBSTITUTE(E234,".",""),0),OFFSET(ORÇAMENTO!$AB$15,CRONO!$E233,0))/$R233))</f>
        <v>1</v>
      </c>
      <c r="D233" s="207" t="e">
        <f ca="1">IF(AND($Q233=2,ACOMPANHAMENTO="BM"),D234,D235/$R233)</f>
        <v>#DIV/0!</v>
      </c>
      <c r="E233" s="204">
        <f ca="1">IF(A233&lt;=ORÇAMENTO.MáximoListaCrono,MATCH(A233,ORÇAMENTO.ListaCrono,0),NA())</f>
        <v>667</v>
      </c>
      <c r="F233" s="204" t="str">
        <f t="shared" ref="F233" ca="1" si="515">IF(AND($E234&lt;&gt;-1,$R233&gt;0),"F","")</f>
        <v/>
      </c>
      <c r="G233" s="208" t="str">
        <f ca="1">IF(OR(R233=0,R233=""),"Linha",IF(AND(OR(ACOMPANHAMENTO="PLE",$Q233&lt;&gt;2),$E234=0),"Linha",1-SUM(T233:AF233)))</f>
        <v>Linha</v>
      </c>
      <c r="H233" s="209" t="str">
        <f ca="1">IF($E234=0,OFFSET(ORÇAMENTO!O$15,$E233,0),IF($E234&lt;&gt;-1,OFFSET(QCI!$D$13,$E234,0),""))</f>
        <v>1.73.</v>
      </c>
      <c r="I233" s="210" t="str">
        <f ca="1">IF($E234=0,OFFSET(ORÇAMENTO!R$15,$E233,0),IF($E234&lt;&gt;-1,OFFSET(QCI!$G$13,$E234,0),""))</f>
        <v>MURO DE FECHAMENTO - MOVIMENTO DE TERRA PARA FUNDAÇÕES</v>
      </c>
      <c r="J233" s="210"/>
      <c r="K233" s="210"/>
      <c r="L233" s="211">
        <f ca="1">IF($E234=0,OFFSET(ORÇAMENTO!C$15,$E233,0),1)</f>
        <v>2</v>
      </c>
      <c r="M233" s="212">
        <f ca="1">IF($E234=-1,0,IF(M$13&lt;=$L233,IF(ISERROR(MATCH(M$13,OFFSET($L233,1,0,ROW($L$260)-ROW($L233)-1),0)),ROW($L$260)-ROW($L233)-1,MATCH(M$13,OFFSET($L233,1,0,ROW($L$260)-ROW($L233)-1),0)-1),0))</f>
        <v>26</v>
      </c>
      <c r="N233" s="212">
        <f ca="1">IF($E234=-1,0,IF(N$13&lt;=$L233,IF(ISERROR(MATCH(N$13,OFFSET($L233,1,0,ROW($L$260)-ROW($L233)-1),0)),ROW($L$260)-ROW($L233)-1,MATCH(N$13,OFFSET($L233,1,0,ROW($L$260)-ROW($L233)-1),0)-1),0))</f>
        <v>2</v>
      </c>
      <c r="O233" s="212">
        <f ca="1">IF($E234=-1,0,IF(O$13&lt;=$L233,IF(ISERROR(MATCH(O$13,OFFSET($L233,1,0,ROW($L$260)-ROW($L233)-1),0)),ROW($L$260)-ROW($L233)-1,MATCH(O$13,OFFSET($L233,1,0,ROW($L$260)-ROW($L233)-1),0)-1),0))</f>
        <v>0</v>
      </c>
      <c r="P233" s="212">
        <f ca="1">IF($E234=-1,0,IF(P$13&lt;=$L233,IF(ISERROR(MATCH(P$13,OFFSET($L233,1,0,ROW($L$260)-ROW($L233)-1),0)),ROW($L$260)-ROW($L233)-1,MATCH(P$13,OFFSET($L233,1,0,ROW($L$260)-ROW($L233)-1),0)-1),0))</f>
        <v>0</v>
      </c>
      <c r="Q233" s="212">
        <f t="shared" ref="Q233" ca="1" si="516">MIN(OFFSET(L233,0,1,,L233))</f>
        <v>2</v>
      </c>
      <c r="R233" s="213">
        <f ca="1">IF($E234=0,OFFSET(ORÇAMENTO!X$15,$E233,0),IF($E234&lt;&gt;-1,OFFSET(QCI!$O$13,$E234,0),""))</f>
        <v>0</v>
      </c>
      <c r="S233" s="214" t="s">
        <v>270</v>
      </c>
      <c r="T233" s="215" t="e">
        <f t="shared" ref="T233:AE233" ca="1" si="517">IF(AND($Q233=2,ACOMPANHAMENTO="BM"),T234,T235/$R233)</f>
        <v>#DIV/0!</v>
      </c>
      <c r="U233" s="207" t="e">
        <f t="shared" ca="1" si="517"/>
        <v>#DIV/0!</v>
      </c>
      <c r="V233" s="207" t="e">
        <f t="shared" ca="1" si="517"/>
        <v>#DIV/0!</v>
      </c>
      <c r="W233" s="207" t="e">
        <f t="shared" ca="1" si="517"/>
        <v>#DIV/0!</v>
      </c>
      <c r="X233" s="207" t="e">
        <f t="shared" ca="1" si="517"/>
        <v>#DIV/0!</v>
      </c>
      <c r="Y233" s="207" t="e">
        <f t="shared" ca="1" si="517"/>
        <v>#DIV/0!</v>
      </c>
      <c r="Z233" s="207" t="e">
        <f t="shared" ca="1" si="517"/>
        <v>#DIV/0!</v>
      </c>
      <c r="AA233" s="207" t="e">
        <f t="shared" ca="1" si="517"/>
        <v>#DIV/0!</v>
      </c>
      <c r="AB233" s="207" t="e">
        <f t="shared" ca="1" si="517"/>
        <v>#DIV/0!</v>
      </c>
      <c r="AC233" s="207" t="e">
        <f t="shared" ca="1" si="517"/>
        <v>#DIV/0!</v>
      </c>
      <c r="AD233" s="207" t="e">
        <f t="shared" ca="1" si="517"/>
        <v>#DIV/0!</v>
      </c>
      <c r="AE233" s="216" t="e">
        <f t="shared" ca="1" si="517"/>
        <v>#DIV/0!</v>
      </c>
    </row>
    <row r="234" spans="1:32" ht="12.75" customHeight="1" x14ac:dyDescent="0.2">
      <c r="D234" s="569"/>
      <c r="E234" s="204">
        <f ca="1">IF(ISERROR(E233),IF(1+COUNTIF($L$13:OFFSET(L233,-1,0),1)&lt;=MAX(QCI!$D$13:$D$24),1+COUNTIF($L$13:OFFSET(L233,-1,0),1),-1),0)</f>
        <v>0</v>
      </c>
      <c r="F234" s="204" t="str">
        <f t="shared" ref="F234" ca="1" si="518">IF(AND($E234&lt;&gt;-1,$R233&gt;0),"F","")</f>
        <v/>
      </c>
      <c r="G234" s="217" t="str">
        <f ca="1">IF(OR(R233=0,R233=""),"vazia",IF(AND(OR(ACOMPANHAMENTO="PLE",$Q233&lt;&gt;2),$E234=0),"calculada","--&gt;"))</f>
        <v>vazia</v>
      </c>
      <c r="H234" s="218"/>
      <c r="I234" s="219" t="str">
        <f t="shared" ref="I234" ca="1" si="519">IF(AND(G233&lt;&gt;0,ISNUMBER(G233)),"PREENCHA ESTA LINHA --&gt;","")</f>
        <v/>
      </c>
      <c r="J234" s="219"/>
      <c r="K234" s="219"/>
      <c r="L234" s="220"/>
      <c r="M234" s="220"/>
      <c r="N234" s="220"/>
      <c r="O234" s="220"/>
      <c r="P234" s="220"/>
      <c r="Q234" s="220"/>
      <c r="R234" s="221"/>
      <c r="S234" s="222"/>
      <c r="T234" s="570"/>
      <c r="U234" s="569"/>
      <c r="V234" s="569"/>
      <c r="W234" s="569"/>
      <c r="X234" s="569"/>
      <c r="Y234" s="569"/>
      <c r="Z234" s="569"/>
      <c r="AA234" s="569"/>
      <c r="AB234" s="569"/>
      <c r="AC234" s="569"/>
      <c r="AD234" s="569"/>
      <c r="AE234" s="571"/>
      <c r="AF234" s="533"/>
    </row>
    <row r="235" spans="1:32" ht="0.2" hidden="1" customHeight="1" x14ac:dyDescent="0.2">
      <c r="D235" s="223">
        <f ca="1">IF($Q233=2,IF(AND(ACOMPANHAMENTO="PLE",ISNUMBER($E233)),SUMIF((OFFSET(CÁLCULO!$BC$15:$BU$15,$E233,0,OFFSET(ORÇAMENTO!$D$15,CRONO!$E233,0))),"="&amp;CRONO!D$12,OFFSET(CÁLCULO!$AJ$15:$BB$15,$E233,0,OFFSET(ORÇAMENTO!$D$15,CRONO!$E233,0)))+IF(AND($E235&lt;&gt;"",$E235&lt;&gt;0),SUMIF(CÁLCULO!$BC$15:$BU$727,"="&amp;CRONO!D$12,CÁLCULO!$AJ$15:$BB$727)/(ORÇAMENTO!$X$15-CÁLCULO.TotalAdmLocal)*CRONO!$E235,0),D234*$R233),SUMIF(OFFSET($R235,1,0,$Q233-2),($L233+1)&amp;"$",OFFSET(D235,1,0,$Q233-2)))</f>
        <v>0</v>
      </c>
      <c r="E235" s="204" t="str">
        <f ca="1">IF(OR($Q233&lt;&gt;2,AUTOEVENTO&lt;&gt;"manual",$E234&gt;0),"",SUMIF(OFFSET(CÁLCULO!$M$15,CRONO!$E233,0,OFFSET(ORÇAMENTO!$D$15,CRONO!$E233,0)),1,OFFSET(ORÇAMENTO!$X$15,CRONO!$E233,0,OFFSET(ORÇAMENTO!$D$15,CRONO!$E233,0))))</f>
        <v/>
      </c>
      <c r="G235" s="224"/>
      <c r="R235" s="225" t="str">
        <f t="shared" ref="R235" ca="1" si="520">L233&amp;"$"</f>
        <v>2$</v>
      </c>
      <c r="S235" s="226"/>
      <c r="T235" s="227">
        <f ca="1">IF($Q233=2,IF(AND(ACOMPANHAMENTO="PLE",ISNUMBER($E233)),SUMIF((OFFSET(CÁLCULO!$BC$15:$BU$15,$E233,0,OFFSET(ORÇAMENTO!$D$15,CRONO!$E233,0))),"&lt;="&amp;CRONO!T$12,OFFSET(CÁLCULO!$AJ$15:$BB$15,$E233,0,OFFSET(ORÇAMENTO!$D$15,CRONO!$E233,0)))+IF(AND($E235&lt;&gt;"",$E235&lt;&gt;0),SUMIF(CÁLCULO!$BC$15:$BU$727,"&lt;="&amp;CRONO!T$12,CÁLCULO!$AJ$15:$BB$727)/(ORÇAMENTO!$X$15-CÁLCULO.TotalAdmLocal)*CRONO!$E235,0),T234*$R233),SUMIF(OFFSET($R235,1,0,$Q233-2),($L233+1)&amp;"$",OFFSET(T235,1,0,$Q233-2)))</f>
        <v>0</v>
      </c>
      <c r="U235" s="223">
        <f ca="1">IF($Q233=2,IF(AND(ACOMPANHAMENTO="PLE",ISNUMBER($E233)),SUMIF((OFFSET(CÁLCULO!$BC$15:$BU$15,$E233,0,OFFSET(ORÇAMENTO!$D$15,CRONO!$E233,0))),"="&amp;CRONO!U$12,OFFSET(CÁLCULO!$AJ$15:$BB$15,$E233,0,OFFSET(ORÇAMENTO!$D$15,CRONO!$E233,0)))+IF(AND($E235&lt;&gt;"",$E235&lt;&gt;0),SUMIF(CÁLCULO!$BC$15:$BU$727,"="&amp;CRONO!U$12,CÁLCULO!$AJ$15:$BB$727)/(ORÇAMENTO!$X$15-CÁLCULO.TotalAdmLocal)*CRONO!$E235,0),U234*$R233),SUMIF(OFFSET($R235,1,0,$Q233-2),($L233+1)&amp;"$",OFFSET(U235,1,0,$Q233-2)))</f>
        <v>0</v>
      </c>
      <c r="V235" s="223">
        <f ca="1">IF($Q233=2,IF(AND(ACOMPANHAMENTO="PLE",ISNUMBER($E233)),SUMIF((OFFSET(CÁLCULO!$BC$15:$BU$15,$E233,0,OFFSET(ORÇAMENTO!$D$15,CRONO!$E233,0))),"="&amp;CRONO!V$12,OFFSET(CÁLCULO!$AJ$15:$BB$15,$E233,0,OFFSET(ORÇAMENTO!$D$15,CRONO!$E233,0)))+IF(AND($E235&lt;&gt;"",$E235&lt;&gt;0),SUMIF(CÁLCULO!$BC$15:$BU$727,"="&amp;CRONO!V$12,CÁLCULO!$AJ$15:$BB$727)/(ORÇAMENTO!$X$15-CÁLCULO.TotalAdmLocal)*CRONO!$E235,0),V234*$R233),SUMIF(OFFSET($R235,1,0,$Q233-2),($L233+1)&amp;"$",OFFSET(V235,1,0,$Q233-2)))</f>
        <v>0</v>
      </c>
      <c r="W235" s="223">
        <f ca="1">IF($Q233=2,IF(AND(ACOMPANHAMENTO="PLE",ISNUMBER($E233)),SUMIF((OFFSET(CÁLCULO!$BC$15:$BU$15,$E233,0,OFFSET(ORÇAMENTO!$D$15,CRONO!$E233,0))),"="&amp;CRONO!W$12,OFFSET(CÁLCULO!$AJ$15:$BB$15,$E233,0,OFFSET(ORÇAMENTO!$D$15,CRONO!$E233,0)))+IF(AND($E235&lt;&gt;"",$E235&lt;&gt;0),SUMIF(CÁLCULO!$BC$15:$BU$727,"="&amp;CRONO!W$12,CÁLCULO!$AJ$15:$BB$727)/(ORÇAMENTO!$X$15-CÁLCULO.TotalAdmLocal)*CRONO!$E235,0),W234*$R233),SUMIF(OFFSET($R235,1,0,$Q233-2),($L233+1)&amp;"$",OFFSET(W235,1,0,$Q233-2)))</f>
        <v>0</v>
      </c>
      <c r="X235" s="223">
        <f ca="1">IF($Q233=2,IF(AND(ACOMPANHAMENTO="PLE",ISNUMBER($E233)),SUMIF((OFFSET(CÁLCULO!$BC$15:$BU$15,$E233,0,OFFSET(ORÇAMENTO!$D$15,CRONO!$E233,0))),"="&amp;CRONO!X$12,OFFSET(CÁLCULO!$AJ$15:$BB$15,$E233,0,OFFSET(ORÇAMENTO!$D$15,CRONO!$E233,0)))+IF(AND($E235&lt;&gt;"",$E235&lt;&gt;0),SUMIF(CÁLCULO!$BC$15:$BU$727,"="&amp;CRONO!X$12,CÁLCULO!$AJ$15:$BB$727)/(ORÇAMENTO!$X$15-CÁLCULO.TotalAdmLocal)*CRONO!$E235,0),X234*$R233),SUMIF(OFFSET($R235,1,0,$Q233-2),($L233+1)&amp;"$",OFFSET(X235,1,0,$Q233-2)))</f>
        <v>0</v>
      </c>
      <c r="Y235" s="223">
        <f ca="1">IF($Q233=2,IF(AND(ACOMPANHAMENTO="PLE",ISNUMBER($E233)),SUMIF((OFFSET(CÁLCULO!$BC$15:$BU$15,$E233,0,OFFSET(ORÇAMENTO!$D$15,CRONO!$E233,0))),"="&amp;CRONO!Y$12,OFFSET(CÁLCULO!$AJ$15:$BB$15,$E233,0,OFFSET(ORÇAMENTO!$D$15,CRONO!$E233,0)))+IF(AND($E235&lt;&gt;"",$E235&lt;&gt;0),SUMIF(CÁLCULO!$BC$15:$BU$727,"="&amp;CRONO!Y$12,CÁLCULO!$AJ$15:$BB$727)/(ORÇAMENTO!$X$15-CÁLCULO.TotalAdmLocal)*CRONO!$E235,0),Y234*$R233),SUMIF(OFFSET($R235,1,0,$Q233-2),($L233+1)&amp;"$",OFFSET(Y235,1,0,$Q233-2)))</f>
        <v>0</v>
      </c>
      <c r="Z235" s="223">
        <f ca="1">IF($Q233=2,IF(AND(ACOMPANHAMENTO="PLE",ISNUMBER($E233)),SUMIF((OFFSET(CÁLCULO!$BC$15:$BU$15,$E233,0,OFFSET(ORÇAMENTO!$D$15,CRONO!$E233,0))),"="&amp;CRONO!Z$12,OFFSET(CÁLCULO!$AJ$15:$BB$15,$E233,0,OFFSET(ORÇAMENTO!$D$15,CRONO!$E233,0)))+IF(AND($E235&lt;&gt;"",$E235&lt;&gt;0),SUMIF(CÁLCULO!$BC$15:$BU$727,"="&amp;CRONO!Z$12,CÁLCULO!$AJ$15:$BB$727)/(ORÇAMENTO!$X$15-CÁLCULO.TotalAdmLocal)*CRONO!$E235,0),Z234*$R233),SUMIF(OFFSET($R235,1,0,$Q233-2),($L233+1)&amp;"$",OFFSET(Z235,1,0,$Q233-2)))</f>
        <v>0</v>
      </c>
      <c r="AA235" s="223">
        <f ca="1">IF($Q233=2,IF(AND(ACOMPANHAMENTO="PLE",ISNUMBER($E233)),SUMIF((OFFSET(CÁLCULO!$BC$15:$BU$15,$E233,0,OFFSET(ORÇAMENTO!$D$15,CRONO!$E233,0))),"="&amp;CRONO!AA$12,OFFSET(CÁLCULO!$AJ$15:$BB$15,$E233,0,OFFSET(ORÇAMENTO!$D$15,CRONO!$E233,0)))+IF(AND($E235&lt;&gt;"",$E235&lt;&gt;0),SUMIF(CÁLCULO!$BC$15:$BU$727,"="&amp;CRONO!AA$12,CÁLCULO!$AJ$15:$BB$727)/(ORÇAMENTO!$X$15-CÁLCULO.TotalAdmLocal)*CRONO!$E235,0),AA234*$R233),SUMIF(OFFSET($R235,1,0,$Q233-2),($L233+1)&amp;"$",OFFSET(AA235,1,0,$Q233-2)))</f>
        <v>0</v>
      </c>
      <c r="AB235" s="223">
        <f ca="1">IF($Q233=2,IF(AND(ACOMPANHAMENTO="PLE",ISNUMBER($E233)),SUMIF((OFFSET(CÁLCULO!$BC$15:$BU$15,$E233,0,OFFSET(ORÇAMENTO!$D$15,CRONO!$E233,0))),"="&amp;CRONO!AB$12,OFFSET(CÁLCULO!$AJ$15:$BB$15,$E233,0,OFFSET(ORÇAMENTO!$D$15,CRONO!$E233,0)))+IF(AND($E235&lt;&gt;"",$E235&lt;&gt;0),SUMIF(CÁLCULO!$BC$15:$BU$727,"="&amp;CRONO!AB$12,CÁLCULO!$AJ$15:$BB$727)/(ORÇAMENTO!$X$15-CÁLCULO.TotalAdmLocal)*CRONO!$E235,0),AB234*$R233),SUMIF(OFFSET($R235,1,0,$Q233-2),($L233+1)&amp;"$",OFFSET(AB235,1,0,$Q233-2)))</f>
        <v>0</v>
      </c>
      <c r="AC235" s="223">
        <f ca="1">IF($Q233=2,IF(AND(ACOMPANHAMENTO="PLE",ISNUMBER($E233)),SUMIF((OFFSET(CÁLCULO!$BC$15:$BU$15,$E233,0,OFFSET(ORÇAMENTO!$D$15,CRONO!$E233,0))),"="&amp;CRONO!AC$12,OFFSET(CÁLCULO!$AJ$15:$BB$15,$E233,0,OFFSET(ORÇAMENTO!$D$15,CRONO!$E233,0)))+IF(AND($E235&lt;&gt;"",$E235&lt;&gt;0),SUMIF(CÁLCULO!$BC$15:$BU$727,"="&amp;CRONO!AC$12,CÁLCULO!$AJ$15:$BB$727)/(ORÇAMENTO!$X$15-CÁLCULO.TotalAdmLocal)*CRONO!$E235,0),AC234*$R233),SUMIF(OFFSET($R235,1,0,$Q233-2),($L233+1)&amp;"$",OFFSET(AC235,1,0,$Q233-2)))</f>
        <v>0</v>
      </c>
      <c r="AD235" s="223">
        <f ca="1">IF($Q233=2,IF(AND(ACOMPANHAMENTO="PLE",ISNUMBER($E233)),SUMIF((OFFSET(CÁLCULO!$BC$15:$BU$15,$E233,0,OFFSET(ORÇAMENTO!$D$15,CRONO!$E233,0))),"="&amp;CRONO!AD$12,OFFSET(CÁLCULO!$AJ$15:$BB$15,$E233,0,OFFSET(ORÇAMENTO!$D$15,CRONO!$E233,0)))+IF(AND($E235&lt;&gt;"",$E235&lt;&gt;0),SUMIF(CÁLCULO!$BC$15:$BU$727,"="&amp;CRONO!AD$12,CÁLCULO!$AJ$15:$BB$727)/(ORÇAMENTO!$X$15-CÁLCULO.TotalAdmLocal)*CRONO!$E235,0),AD234*$R233),SUMIF(OFFSET($R235,1,0,$Q233-2),($L233+1)&amp;"$",OFFSET(AD235,1,0,$Q233-2)))</f>
        <v>0</v>
      </c>
      <c r="AE235" s="228">
        <f ca="1">IF($Q233=2,IF(AND(ACOMPANHAMENTO="PLE",ISNUMBER($E233)),SUMIF((OFFSET(CÁLCULO!$BC$15:$BU$15,$E233,0,OFFSET(ORÇAMENTO!$D$15,CRONO!$E233,0))),"="&amp;CRONO!AE$12,OFFSET(CÁLCULO!$AJ$15:$BB$15,$E233,0,OFFSET(ORÇAMENTO!$D$15,CRONO!$E233,0)))+IF(AND($E235&lt;&gt;"",$E235&lt;&gt;0),SUMIF(CÁLCULO!$BC$15:$BU$727,"="&amp;CRONO!AE$12,CÁLCULO!$AJ$15:$BB$727)/(ORÇAMENTO!$X$15-CÁLCULO.TotalAdmLocal)*CRONO!$E235,0),AE234*$R233),SUMIF(OFFSET($R235,1,0,$Q233-2),($L233+1)&amp;"$",OFFSET(AE235,1,0,$Q233-2)))</f>
        <v>0</v>
      </c>
    </row>
    <row r="236" spans="1:32" x14ac:dyDescent="0.2">
      <c r="A236" s="204">
        <f t="shared" ref="A236" ca="1" si="521">OFFSET(A236,-3,0)+1</f>
        <v>75</v>
      </c>
      <c r="B236" s="204">
        <f ca="1">IF($Q236&lt;&gt;2,0,IF($R236=0,1,IF(E237&gt;0,OFFSET(QCI!$M$13,SUBSTITUTE(E237,".",""),0),OFFSET(ORÇAMENTO!$AA$15,CRONO!$E236,0))/$R236))</f>
        <v>1</v>
      </c>
      <c r="C236" s="204">
        <f ca="1">IF($Q236&lt;&gt;2,0,IF($R236=0,1,IF(E237&gt;0,OFFSET(QCI!$N$13,SUBSTITUTE(E237,".",""),0),OFFSET(ORÇAMENTO!$AB$15,CRONO!$E236,0))/$R236))</f>
        <v>1</v>
      </c>
      <c r="D236" s="207" t="e">
        <f ca="1">IF(AND($Q236=2,ACOMPANHAMENTO="BM"),D237,D238/$R236)</f>
        <v>#DIV/0!</v>
      </c>
      <c r="E236" s="204">
        <f ca="1">IF(A236&lt;=ORÇAMENTO.MáximoListaCrono,MATCH(A236,ORÇAMENTO.ListaCrono,0),NA())</f>
        <v>671</v>
      </c>
      <c r="F236" s="204" t="str">
        <f t="shared" ref="F236" ca="1" si="522">IF(AND($E237&lt;&gt;-1,$R236&gt;0),"F","")</f>
        <v/>
      </c>
      <c r="G236" s="208" t="str">
        <f ca="1">IF(OR(R236=0,R236=""),"Linha",IF(AND(OR(ACOMPANHAMENTO="PLE",$Q236&lt;&gt;2),$E237=0),"Linha",1-SUM(T236:AF236)))</f>
        <v>Linha</v>
      </c>
      <c r="H236" s="209" t="str">
        <f ca="1">IF($E237=0,OFFSET(ORÇAMENTO!O$15,$E236,0),IF($E237&lt;&gt;-1,OFFSET(QCI!$D$13,$E237,0),""))</f>
        <v>1.74.</v>
      </c>
      <c r="I236" s="210" t="str">
        <f ca="1">IF($E237=0,OFFSET(ORÇAMENTO!R$15,$E236,0),IF($E237&lt;&gt;-1,OFFSET(QCI!$G$13,$E237,0),""))</f>
        <v>MURO DE FECHAMENTO - CONCRETO ARMADO PARA SAPATAS E BLOCOS</v>
      </c>
      <c r="J236" s="210"/>
      <c r="K236" s="210"/>
      <c r="L236" s="211">
        <f ca="1">IF($E237=0,OFFSET(ORÇAMENTO!C$15,$E236,0),1)</f>
        <v>2</v>
      </c>
      <c r="M236" s="212">
        <f ca="1">IF($E237=-1,0,IF(M$13&lt;=$L236,IF(ISERROR(MATCH(M$13,OFFSET($L236,1,0,ROW($L$260)-ROW($L236)-1),0)),ROW($L$260)-ROW($L236)-1,MATCH(M$13,OFFSET($L236,1,0,ROW($L$260)-ROW($L236)-1),0)-1),0))</f>
        <v>23</v>
      </c>
      <c r="N236" s="212">
        <f ca="1">IF($E237=-1,0,IF(N$13&lt;=$L236,IF(ISERROR(MATCH(N$13,OFFSET($L236,1,0,ROW($L$260)-ROW($L236)-1),0)),ROW($L$260)-ROW($L236)-1,MATCH(N$13,OFFSET($L236,1,0,ROW($L$260)-ROW($L236)-1),0)-1),0))</f>
        <v>2</v>
      </c>
      <c r="O236" s="212">
        <f ca="1">IF($E237=-1,0,IF(O$13&lt;=$L236,IF(ISERROR(MATCH(O$13,OFFSET($L236,1,0,ROW($L$260)-ROW($L236)-1),0)),ROW($L$260)-ROW($L236)-1,MATCH(O$13,OFFSET($L236,1,0,ROW($L$260)-ROW($L236)-1),0)-1),0))</f>
        <v>0</v>
      </c>
      <c r="P236" s="212">
        <f ca="1">IF($E237=-1,0,IF(P$13&lt;=$L236,IF(ISERROR(MATCH(P$13,OFFSET($L236,1,0,ROW($L$260)-ROW($L236)-1),0)),ROW($L$260)-ROW($L236)-1,MATCH(P$13,OFFSET($L236,1,0,ROW($L$260)-ROW($L236)-1),0)-1),0))</f>
        <v>0</v>
      </c>
      <c r="Q236" s="212">
        <f t="shared" ref="Q236" ca="1" si="523">MIN(OFFSET(L236,0,1,,L236))</f>
        <v>2</v>
      </c>
      <c r="R236" s="213">
        <f ca="1">IF($E237=0,OFFSET(ORÇAMENTO!X$15,$E236,0),IF($E237&lt;&gt;-1,OFFSET(QCI!$O$13,$E237,0),""))</f>
        <v>0</v>
      </c>
      <c r="S236" s="214" t="s">
        <v>270</v>
      </c>
      <c r="T236" s="215" t="e">
        <f t="shared" ref="T236:AE236" ca="1" si="524">IF(AND($Q236=2,ACOMPANHAMENTO="BM"),T237,T238/$R236)</f>
        <v>#DIV/0!</v>
      </c>
      <c r="U236" s="207" t="e">
        <f t="shared" ca="1" si="524"/>
        <v>#DIV/0!</v>
      </c>
      <c r="V236" s="207" t="e">
        <f t="shared" ca="1" si="524"/>
        <v>#DIV/0!</v>
      </c>
      <c r="W236" s="207" t="e">
        <f t="shared" ca="1" si="524"/>
        <v>#DIV/0!</v>
      </c>
      <c r="X236" s="207" t="e">
        <f t="shared" ca="1" si="524"/>
        <v>#DIV/0!</v>
      </c>
      <c r="Y236" s="207" t="e">
        <f t="shared" ca="1" si="524"/>
        <v>#DIV/0!</v>
      </c>
      <c r="Z236" s="207" t="e">
        <f t="shared" ca="1" si="524"/>
        <v>#DIV/0!</v>
      </c>
      <c r="AA236" s="207" t="e">
        <f t="shared" ca="1" si="524"/>
        <v>#DIV/0!</v>
      </c>
      <c r="AB236" s="207" t="e">
        <f t="shared" ca="1" si="524"/>
        <v>#DIV/0!</v>
      </c>
      <c r="AC236" s="207" t="e">
        <f t="shared" ca="1" si="524"/>
        <v>#DIV/0!</v>
      </c>
      <c r="AD236" s="207" t="e">
        <f t="shared" ca="1" si="524"/>
        <v>#DIV/0!</v>
      </c>
      <c r="AE236" s="216" t="e">
        <f t="shared" ca="1" si="524"/>
        <v>#DIV/0!</v>
      </c>
    </row>
    <row r="237" spans="1:32" ht="12.75" customHeight="1" x14ac:dyDescent="0.2">
      <c r="D237" s="569"/>
      <c r="E237" s="204">
        <f ca="1">IF(ISERROR(E236),IF(1+COUNTIF($L$13:OFFSET(L236,-1,0),1)&lt;=MAX(QCI!$D$13:$D$24),1+COUNTIF($L$13:OFFSET(L236,-1,0),1),-1),0)</f>
        <v>0</v>
      </c>
      <c r="F237" s="204" t="str">
        <f t="shared" ref="F237" ca="1" si="525">IF(AND($E237&lt;&gt;-1,$R236&gt;0),"F","")</f>
        <v/>
      </c>
      <c r="G237" s="217" t="str">
        <f ca="1">IF(OR(R236=0,R236=""),"vazia",IF(AND(OR(ACOMPANHAMENTO="PLE",$Q236&lt;&gt;2),$E237=0),"calculada","--&gt;"))</f>
        <v>vazia</v>
      </c>
      <c r="H237" s="218"/>
      <c r="I237" s="219" t="str">
        <f t="shared" ref="I237" ca="1" si="526">IF(AND(G236&lt;&gt;0,ISNUMBER(G236)),"PREENCHA ESTA LINHA --&gt;","")</f>
        <v/>
      </c>
      <c r="J237" s="219"/>
      <c r="K237" s="219"/>
      <c r="L237" s="220"/>
      <c r="M237" s="220"/>
      <c r="N237" s="220"/>
      <c r="O237" s="220"/>
      <c r="P237" s="220"/>
      <c r="Q237" s="220"/>
      <c r="R237" s="221"/>
      <c r="S237" s="222"/>
      <c r="T237" s="570"/>
      <c r="U237" s="569"/>
      <c r="V237" s="569"/>
      <c r="W237" s="569"/>
      <c r="X237" s="569"/>
      <c r="Y237" s="569"/>
      <c r="Z237" s="569"/>
      <c r="AA237" s="569"/>
      <c r="AB237" s="569"/>
      <c r="AC237" s="569"/>
      <c r="AD237" s="569"/>
      <c r="AE237" s="571"/>
      <c r="AF237" s="533"/>
    </row>
    <row r="238" spans="1:32" ht="0.2" hidden="1" customHeight="1" x14ac:dyDescent="0.2">
      <c r="D238" s="223">
        <f ca="1">IF($Q236=2,IF(AND(ACOMPANHAMENTO="PLE",ISNUMBER($E236)),SUMIF((OFFSET(CÁLCULO!$BC$15:$BU$15,$E236,0,OFFSET(ORÇAMENTO!$D$15,CRONO!$E236,0))),"="&amp;CRONO!D$12,OFFSET(CÁLCULO!$AJ$15:$BB$15,$E236,0,OFFSET(ORÇAMENTO!$D$15,CRONO!$E236,0)))+IF(AND($E238&lt;&gt;"",$E238&lt;&gt;0),SUMIF(CÁLCULO!$BC$15:$BU$727,"="&amp;CRONO!D$12,CÁLCULO!$AJ$15:$BB$727)/(ORÇAMENTO!$X$15-CÁLCULO.TotalAdmLocal)*CRONO!$E238,0),D237*$R236),SUMIF(OFFSET($R238,1,0,$Q236-2),($L236+1)&amp;"$",OFFSET(D238,1,0,$Q236-2)))</f>
        <v>0</v>
      </c>
      <c r="E238" s="204" t="str">
        <f ca="1">IF(OR($Q236&lt;&gt;2,AUTOEVENTO&lt;&gt;"manual",$E237&gt;0),"",SUMIF(OFFSET(CÁLCULO!$M$15,CRONO!$E236,0,OFFSET(ORÇAMENTO!$D$15,CRONO!$E236,0)),1,OFFSET(ORÇAMENTO!$X$15,CRONO!$E236,0,OFFSET(ORÇAMENTO!$D$15,CRONO!$E236,0))))</f>
        <v/>
      </c>
      <c r="G238" s="224"/>
      <c r="R238" s="225" t="str">
        <f t="shared" ref="R238" ca="1" si="527">L236&amp;"$"</f>
        <v>2$</v>
      </c>
      <c r="S238" s="226"/>
      <c r="T238" s="227">
        <f ca="1">IF($Q236=2,IF(AND(ACOMPANHAMENTO="PLE",ISNUMBER($E236)),SUMIF((OFFSET(CÁLCULO!$BC$15:$BU$15,$E236,0,OFFSET(ORÇAMENTO!$D$15,CRONO!$E236,0))),"&lt;="&amp;CRONO!T$12,OFFSET(CÁLCULO!$AJ$15:$BB$15,$E236,0,OFFSET(ORÇAMENTO!$D$15,CRONO!$E236,0)))+IF(AND($E238&lt;&gt;"",$E238&lt;&gt;0),SUMIF(CÁLCULO!$BC$15:$BU$727,"&lt;="&amp;CRONO!T$12,CÁLCULO!$AJ$15:$BB$727)/(ORÇAMENTO!$X$15-CÁLCULO.TotalAdmLocal)*CRONO!$E238,0),T237*$R236),SUMIF(OFFSET($R238,1,0,$Q236-2),($L236+1)&amp;"$",OFFSET(T238,1,0,$Q236-2)))</f>
        <v>0</v>
      </c>
      <c r="U238" s="223">
        <f ca="1">IF($Q236=2,IF(AND(ACOMPANHAMENTO="PLE",ISNUMBER($E236)),SUMIF((OFFSET(CÁLCULO!$BC$15:$BU$15,$E236,0,OFFSET(ORÇAMENTO!$D$15,CRONO!$E236,0))),"="&amp;CRONO!U$12,OFFSET(CÁLCULO!$AJ$15:$BB$15,$E236,0,OFFSET(ORÇAMENTO!$D$15,CRONO!$E236,0)))+IF(AND($E238&lt;&gt;"",$E238&lt;&gt;0),SUMIF(CÁLCULO!$BC$15:$BU$727,"="&amp;CRONO!U$12,CÁLCULO!$AJ$15:$BB$727)/(ORÇAMENTO!$X$15-CÁLCULO.TotalAdmLocal)*CRONO!$E238,0),U237*$R236),SUMIF(OFFSET($R238,1,0,$Q236-2),($L236+1)&amp;"$",OFFSET(U238,1,0,$Q236-2)))</f>
        <v>0</v>
      </c>
      <c r="V238" s="223">
        <f ca="1">IF($Q236=2,IF(AND(ACOMPANHAMENTO="PLE",ISNUMBER($E236)),SUMIF((OFFSET(CÁLCULO!$BC$15:$BU$15,$E236,0,OFFSET(ORÇAMENTO!$D$15,CRONO!$E236,0))),"="&amp;CRONO!V$12,OFFSET(CÁLCULO!$AJ$15:$BB$15,$E236,0,OFFSET(ORÇAMENTO!$D$15,CRONO!$E236,0)))+IF(AND($E238&lt;&gt;"",$E238&lt;&gt;0),SUMIF(CÁLCULO!$BC$15:$BU$727,"="&amp;CRONO!V$12,CÁLCULO!$AJ$15:$BB$727)/(ORÇAMENTO!$X$15-CÁLCULO.TotalAdmLocal)*CRONO!$E238,0),V237*$R236),SUMIF(OFFSET($R238,1,0,$Q236-2),($L236+1)&amp;"$",OFFSET(V238,1,0,$Q236-2)))</f>
        <v>0</v>
      </c>
      <c r="W238" s="223">
        <f ca="1">IF($Q236=2,IF(AND(ACOMPANHAMENTO="PLE",ISNUMBER($E236)),SUMIF((OFFSET(CÁLCULO!$BC$15:$BU$15,$E236,0,OFFSET(ORÇAMENTO!$D$15,CRONO!$E236,0))),"="&amp;CRONO!W$12,OFFSET(CÁLCULO!$AJ$15:$BB$15,$E236,0,OFFSET(ORÇAMENTO!$D$15,CRONO!$E236,0)))+IF(AND($E238&lt;&gt;"",$E238&lt;&gt;0),SUMIF(CÁLCULO!$BC$15:$BU$727,"="&amp;CRONO!W$12,CÁLCULO!$AJ$15:$BB$727)/(ORÇAMENTO!$X$15-CÁLCULO.TotalAdmLocal)*CRONO!$E238,0),W237*$R236),SUMIF(OFFSET($R238,1,0,$Q236-2),($L236+1)&amp;"$",OFFSET(W238,1,0,$Q236-2)))</f>
        <v>0</v>
      </c>
      <c r="X238" s="223">
        <f ca="1">IF($Q236=2,IF(AND(ACOMPANHAMENTO="PLE",ISNUMBER($E236)),SUMIF((OFFSET(CÁLCULO!$BC$15:$BU$15,$E236,0,OFFSET(ORÇAMENTO!$D$15,CRONO!$E236,0))),"="&amp;CRONO!X$12,OFFSET(CÁLCULO!$AJ$15:$BB$15,$E236,0,OFFSET(ORÇAMENTO!$D$15,CRONO!$E236,0)))+IF(AND($E238&lt;&gt;"",$E238&lt;&gt;0),SUMIF(CÁLCULO!$BC$15:$BU$727,"="&amp;CRONO!X$12,CÁLCULO!$AJ$15:$BB$727)/(ORÇAMENTO!$X$15-CÁLCULO.TotalAdmLocal)*CRONO!$E238,0),X237*$R236),SUMIF(OFFSET($R238,1,0,$Q236-2),($L236+1)&amp;"$",OFFSET(X238,1,0,$Q236-2)))</f>
        <v>0</v>
      </c>
      <c r="Y238" s="223">
        <f ca="1">IF($Q236=2,IF(AND(ACOMPANHAMENTO="PLE",ISNUMBER($E236)),SUMIF((OFFSET(CÁLCULO!$BC$15:$BU$15,$E236,0,OFFSET(ORÇAMENTO!$D$15,CRONO!$E236,0))),"="&amp;CRONO!Y$12,OFFSET(CÁLCULO!$AJ$15:$BB$15,$E236,0,OFFSET(ORÇAMENTO!$D$15,CRONO!$E236,0)))+IF(AND($E238&lt;&gt;"",$E238&lt;&gt;0),SUMIF(CÁLCULO!$BC$15:$BU$727,"="&amp;CRONO!Y$12,CÁLCULO!$AJ$15:$BB$727)/(ORÇAMENTO!$X$15-CÁLCULO.TotalAdmLocal)*CRONO!$E238,0),Y237*$R236),SUMIF(OFFSET($R238,1,0,$Q236-2),($L236+1)&amp;"$",OFFSET(Y238,1,0,$Q236-2)))</f>
        <v>0</v>
      </c>
      <c r="Z238" s="223">
        <f ca="1">IF($Q236=2,IF(AND(ACOMPANHAMENTO="PLE",ISNUMBER($E236)),SUMIF((OFFSET(CÁLCULO!$BC$15:$BU$15,$E236,0,OFFSET(ORÇAMENTO!$D$15,CRONO!$E236,0))),"="&amp;CRONO!Z$12,OFFSET(CÁLCULO!$AJ$15:$BB$15,$E236,0,OFFSET(ORÇAMENTO!$D$15,CRONO!$E236,0)))+IF(AND($E238&lt;&gt;"",$E238&lt;&gt;0),SUMIF(CÁLCULO!$BC$15:$BU$727,"="&amp;CRONO!Z$12,CÁLCULO!$AJ$15:$BB$727)/(ORÇAMENTO!$X$15-CÁLCULO.TotalAdmLocal)*CRONO!$E238,0),Z237*$R236),SUMIF(OFFSET($R238,1,0,$Q236-2),($L236+1)&amp;"$",OFFSET(Z238,1,0,$Q236-2)))</f>
        <v>0</v>
      </c>
      <c r="AA238" s="223">
        <f ca="1">IF($Q236=2,IF(AND(ACOMPANHAMENTO="PLE",ISNUMBER($E236)),SUMIF((OFFSET(CÁLCULO!$BC$15:$BU$15,$E236,0,OFFSET(ORÇAMENTO!$D$15,CRONO!$E236,0))),"="&amp;CRONO!AA$12,OFFSET(CÁLCULO!$AJ$15:$BB$15,$E236,0,OFFSET(ORÇAMENTO!$D$15,CRONO!$E236,0)))+IF(AND($E238&lt;&gt;"",$E238&lt;&gt;0),SUMIF(CÁLCULO!$BC$15:$BU$727,"="&amp;CRONO!AA$12,CÁLCULO!$AJ$15:$BB$727)/(ORÇAMENTO!$X$15-CÁLCULO.TotalAdmLocal)*CRONO!$E238,0),AA237*$R236),SUMIF(OFFSET($R238,1,0,$Q236-2),($L236+1)&amp;"$",OFFSET(AA238,1,0,$Q236-2)))</f>
        <v>0</v>
      </c>
      <c r="AB238" s="223">
        <f ca="1">IF($Q236=2,IF(AND(ACOMPANHAMENTO="PLE",ISNUMBER($E236)),SUMIF((OFFSET(CÁLCULO!$BC$15:$BU$15,$E236,0,OFFSET(ORÇAMENTO!$D$15,CRONO!$E236,0))),"="&amp;CRONO!AB$12,OFFSET(CÁLCULO!$AJ$15:$BB$15,$E236,0,OFFSET(ORÇAMENTO!$D$15,CRONO!$E236,0)))+IF(AND($E238&lt;&gt;"",$E238&lt;&gt;0),SUMIF(CÁLCULO!$BC$15:$BU$727,"="&amp;CRONO!AB$12,CÁLCULO!$AJ$15:$BB$727)/(ORÇAMENTO!$X$15-CÁLCULO.TotalAdmLocal)*CRONO!$E238,0),AB237*$R236),SUMIF(OFFSET($R238,1,0,$Q236-2),($L236+1)&amp;"$",OFFSET(AB238,1,0,$Q236-2)))</f>
        <v>0</v>
      </c>
      <c r="AC238" s="223">
        <f ca="1">IF($Q236=2,IF(AND(ACOMPANHAMENTO="PLE",ISNUMBER($E236)),SUMIF((OFFSET(CÁLCULO!$BC$15:$BU$15,$E236,0,OFFSET(ORÇAMENTO!$D$15,CRONO!$E236,0))),"="&amp;CRONO!AC$12,OFFSET(CÁLCULO!$AJ$15:$BB$15,$E236,0,OFFSET(ORÇAMENTO!$D$15,CRONO!$E236,0)))+IF(AND($E238&lt;&gt;"",$E238&lt;&gt;0),SUMIF(CÁLCULO!$BC$15:$BU$727,"="&amp;CRONO!AC$12,CÁLCULO!$AJ$15:$BB$727)/(ORÇAMENTO!$X$15-CÁLCULO.TotalAdmLocal)*CRONO!$E238,0),AC237*$R236),SUMIF(OFFSET($R238,1,0,$Q236-2),($L236+1)&amp;"$",OFFSET(AC238,1,0,$Q236-2)))</f>
        <v>0</v>
      </c>
      <c r="AD238" s="223">
        <f ca="1">IF($Q236=2,IF(AND(ACOMPANHAMENTO="PLE",ISNUMBER($E236)),SUMIF((OFFSET(CÁLCULO!$BC$15:$BU$15,$E236,0,OFFSET(ORÇAMENTO!$D$15,CRONO!$E236,0))),"="&amp;CRONO!AD$12,OFFSET(CÁLCULO!$AJ$15:$BB$15,$E236,0,OFFSET(ORÇAMENTO!$D$15,CRONO!$E236,0)))+IF(AND($E238&lt;&gt;"",$E238&lt;&gt;0),SUMIF(CÁLCULO!$BC$15:$BU$727,"="&amp;CRONO!AD$12,CÁLCULO!$AJ$15:$BB$727)/(ORÇAMENTO!$X$15-CÁLCULO.TotalAdmLocal)*CRONO!$E238,0),AD237*$R236),SUMIF(OFFSET($R238,1,0,$Q236-2),($L236+1)&amp;"$",OFFSET(AD238,1,0,$Q236-2)))</f>
        <v>0</v>
      </c>
      <c r="AE238" s="228">
        <f ca="1">IF($Q236=2,IF(AND(ACOMPANHAMENTO="PLE",ISNUMBER($E236)),SUMIF((OFFSET(CÁLCULO!$BC$15:$BU$15,$E236,0,OFFSET(ORÇAMENTO!$D$15,CRONO!$E236,0))),"="&amp;CRONO!AE$12,OFFSET(CÁLCULO!$AJ$15:$BB$15,$E236,0,OFFSET(ORÇAMENTO!$D$15,CRONO!$E236,0)))+IF(AND($E238&lt;&gt;"",$E238&lt;&gt;0),SUMIF(CÁLCULO!$BC$15:$BU$727,"="&amp;CRONO!AE$12,CÁLCULO!$AJ$15:$BB$727)/(ORÇAMENTO!$X$15-CÁLCULO.TotalAdmLocal)*CRONO!$E238,0),AE237*$R236),SUMIF(OFFSET($R238,1,0,$Q236-2),($L236+1)&amp;"$",OFFSET(AE238,1,0,$Q236-2)))</f>
        <v>0</v>
      </c>
    </row>
    <row r="239" spans="1:32" x14ac:dyDescent="0.2">
      <c r="A239" s="204">
        <f t="shared" ref="A239" ca="1" si="528">OFFSET(A239,-3,0)+1</f>
        <v>76</v>
      </c>
      <c r="B239" s="204">
        <f ca="1">IF($Q239&lt;&gt;2,0,IF($R239=0,1,IF(E240&gt;0,OFFSET(QCI!$M$13,SUBSTITUTE(E240,".",""),0),OFFSET(ORÇAMENTO!$AA$15,CRONO!$E239,0))/$R239))</f>
        <v>1</v>
      </c>
      <c r="C239" s="204">
        <f ca="1">IF($Q239&lt;&gt;2,0,IF($R239=0,1,IF(E240&gt;0,OFFSET(QCI!$N$13,SUBSTITUTE(E240,".",""),0),OFFSET(ORÇAMENTO!$AB$15,CRONO!$E239,0))/$R239))</f>
        <v>1</v>
      </c>
      <c r="D239" s="207" t="e">
        <f ca="1">IF(AND($Q239=2,ACOMPANHAMENTO="BM"),D240,D241/$R239)</f>
        <v>#DIV/0!</v>
      </c>
      <c r="E239" s="204">
        <f ca="1">IF(A239&lt;=ORÇAMENTO.MáximoListaCrono,MATCH(A239,ORÇAMENTO.ListaCrono,0),NA())</f>
        <v>680</v>
      </c>
      <c r="F239" s="204" t="str">
        <f t="shared" ref="F239" ca="1" si="529">IF(AND($E240&lt;&gt;-1,$R239&gt;0),"F","")</f>
        <v/>
      </c>
      <c r="G239" s="208" t="str">
        <f ca="1">IF(OR(R239=0,R239=""),"Linha",IF(AND(OR(ACOMPANHAMENTO="PLE",$Q239&lt;&gt;2),$E240=0),"Linha",1-SUM(T239:AF239)))</f>
        <v>Linha</v>
      </c>
      <c r="H239" s="209" t="str">
        <f ca="1">IF($E240=0,OFFSET(ORÇAMENTO!O$15,$E239,0),IF($E240&lt;&gt;-1,OFFSET(QCI!$D$13,$E240,0),""))</f>
        <v>1.75.</v>
      </c>
      <c r="I239" s="210" t="str">
        <f ca="1">IF($E240=0,OFFSET(ORÇAMENTO!R$15,$E239,0),IF($E240&lt;&gt;-1,OFFSET(QCI!$G$13,$E240,0),""))</f>
        <v>MURO DE FECHAMENTO - CONCRETO ARMADO PARA PILARES</v>
      </c>
      <c r="J239" s="210"/>
      <c r="K239" s="210"/>
      <c r="L239" s="211">
        <f ca="1">IF($E240=0,OFFSET(ORÇAMENTO!C$15,$E239,0),1)</f>
        <v>2</v>
      </c>
      <c r="M239" s="212">
        <f ca="1">IF($E240=-1,0,IF(M$13&lt;=$L239,IF(ISERROR(MATCH(M$13,OFFSET($L239,1,0,ROW($L$260)-ROW($L239)-1),0)),ROW($L$260)-ROW($L239)-1,MATCH(M$13,OFFSET($L239,1,0,ROW($L$260)-ROW($L239)-1),0)-1),0))</f>
        <v>20</v>
      </c>
      <c r="N239" s="212">
        <f ca="1">IF($E240=-1,0,IF(N$13&lt;=$L239,IF(ISERROR(MATCH(N$13,OFFSET($L239,1,0,ROW($L$260)-ROW($L239)-1),0)),ROW($L$260)-ROW($L239)-1,MATCH(N$13,OFFSET($L239,1,0,ROW($L$260)-ROW($L239)-1),0)-1),0))</f>
        <v>2</v>
      </c>
      <c r="O239" s="212">
        <f ca="1">IF($E240=-1,0,IF(O$13&lt;=$L239,IF(ISERROR(MATCH(O$13,OFFSET($L239,1,0,ROW($L$260)-ROW($L239)-1),0)),ROW($L$260)-ROW($L239)-1,MATCH(O$13,OFFSET($L239,1,0,ROW($L$260)-ROW($L239)-1),0)-1),0))</f>
        <v>0</v>
      </c>
      <c r="P239" s="212">
        <f ca="1">IF($E240=-1,0,IF(P$13&lt;=$L239,IF(ISERROR(MATCH(P$13,OFFSET($L239,1,0,ROW($L$260)-ROW($L239)-1),0)),ROW($L$260)-ROW($L239)-1,MATCH(P$13,OFFSET($L239,1,0,ROW($L$260)-ROW($L239)-1),0)-1),0))</f>
        <v>0</v>
      </c>
      <c r="Q239" s="212">
        <f t="shared" ref="Q239" ca="1" si="530">MIN(OFFSET(L239,0,1,,L239))</f>
        <v>2</v>
      </c>
      <c r="R239" s="213">
        <f ca="1">IF($E240=0,OFFSET(ORÇAMENTO!X$15,$E239,0),IF($E240&lt;&gt;-1,OFFSET(QCI!$O$13,$E240,0),""))</f>
        <v>0</v>
      </c>
      <c r="S239" s="214" t="s">
        <v>270</v>
      </c>
      <c r="T239" s="215" t="e">
        <f t="shared" ref="T239:AE239" ca="1" si="531">IF(AND($Q239=2,ACOMPANHAMENTO="BM"),T240,T241/$R239)</f>
        <v>#DIV/0!</v>
      </c>
      <c r="U239" s="207" t="e">
        <f t="shared" ca="1" si="531"/>
        <v>#DIV/0!</v>
      </c>
      <c r="V239" s="207" t="e">
        <f t="shared" ca="1" si="531"/>
        <v>#DIV/0!</v>
      </c>
      <c r="W239" s="207" t="e">
        <f t="shared" ca="1" si="531"/>
        <v>#DIV/0!</v>
      </c>
      <c r="X239" s="207" t="e">
        <f t="shared" ca="1" si="531"/>
        <v>#DIV/0!</v>
      </c>
      <c r="Y239" s="207" t="e">
        <f t="shared" ca="1" si="531"/>
        <v>#DIV/0!</v>
      </c>
      <c r="Z239" s="207" t="e">
        <f t="shared" ca="1" si="531"/>
        <v>#DIV/0!</v>
      </c>
      <c r="AA239" s="207" t="e">
        <f t="shared" ca="1" si="531"/>
        <v>#DIV/0!</v>
      </c>
      <c r="AB239" s="207" t="e">
        <f t="shared" ca="1" si="531"/>
        <v>#DIV/0!</v>
      </c>
      <c r="AC239" s="207" t="e">
        <f t="shared" ca="1" si="531"/>
        <v>#DIV/0!</v>
      </c>
      <c r="AD239" s="207" t="e">
        <f t="shared" ca="1" si="531"/>
        <v>#DIV/0!</v>
      </c>
      <c r="AE239" s="216" t="e">
        <f t="shared" ca="1" si="531"/>
        <v>#DIV/0!</v>
      </c>
    </row>
    <row r="240" spans="1:32" ht="12.75" customHeight="1" x14ac:dyDescent="0.2">
      <c r="D240" s="569"/>
      <c r="E240" s="204">
        <f ca="1">IF(ISERROR(E239),IF(1+COUNTIF($L$13:OFFSET(L239,-1,0),1)&lt;=MAX(QCI!$D$13:$D$24),1+COUNTIF($L$13:OFFSET(L239,-1,0),1),-1),0)</f>
        <v>0</v>
      </c>
      <c r="F240" s="204" t="str">
        <f t="shared" ref="F240" ca="1" si="532">IF(AND($E240&lt;&gt;-1,$R239&gt;0),"F","")</f>
        <v/>
      </c>
      <c r="G240" s="217" t="str">
        <f ca="1">IF(OR(R239=0,R239=""),"vazia",IF(AND(OR(ACOMPANHAMENTO="PLE",$Q239&lt;&gt;2),$E240=0),"calculada","--&gt;"))</f>
        <v>vazia</v>
      </c>
      <c r="H240" s="218"/>
      <c r="I240" s="219" t="str">
        <f t="shared" ref="I240" ca="1" si="533">IF(AND(G239&lt;&gt;0,ISNUMBER(G239)),"PREENCHA ESTA LINHA --&gt;","")</f>
        <v/>
      </c>
      <c r="J240" s="219"/>
      <c r="K240" s="219"/>
      <c r="L240" s="220"/>
      <c r="M240" s="220"/>
      <c r="N240" s="220"/>
      <c r="O240" s="220"/>
      <c r="P240" s="220"/>
      <c r="Q240" s="220"/>
      <c r="R240" s="221"/>
      <c r="S240" s="222"/>
      <c r="T240" s="570"/>
      <c r="U240" s="569"/>
      <c r="V240" s="569"/>
      <c r="W240" s="569"/>
      <c r="X240" s="569"/>
      <c r="Y240" s="569"/>
      <c r="Z240" s="569"/>
      <c r="AA240" s="569"/>
      <c r="AB240" s="569"/>
      <c r="AC240" s="569"/>
      <c r="AD240" s="569"/>
      <c r="AE240" s="571"/>
      <c r="AF240" s="533"/>
    </row>
    <row r="241" spans="1:32" ht="0.2" hidden="1" customHeight="1" x14ac:dyDescent="0.2">
      <c r="D241" s="223">
        <f ca="1">IF($Q239=2,IF(AND(ACOMPANHAMENTO="PLE",ISNUMBER($E239)),SUMIF((OFFSET(CÁLCULO!$BC$15:$BU$15,$E239,0,OFFSET(ORÇAMENTO!$D$15,CRONO!$E239,0))),"="&amp;CRONO!D$12,OFFSET(CÁLCULO!$AJ$15:$BB$15,$E239,0,OFFSET(ORÇAMENTO!$D$15,CRONO!$E239,0)))+IF(AND($E241&lt;&gt;"",$E241&lt;&gt;0),SUMIF(CÁLCULO!$BC$15:$BU$727,"="&amp;CRONO!D$12,CÁLCULO!$AJ$15:$BB$727)/(ORÇAMENTO!$X$15-CÁLCULO.TotalAdmLocal)*CRONO!$E241,0),D240*$R239),SUMIF(OFFSET($R241,1,0,$Q239-2),($L239+1)&amp;"$",OFFSET(D241,1,0,$Q239-2)))</f>
        <v>0</v>
      </c>
      <c r="E241" s="204" t="str">
        <f ca="1">IF(OR($Q239&lt;&gt;2,AUTOEVENTO&lt;&gt;"manual",$E240&gt;0),"",SUMIF(OFFSET(CÁLCULO!$M$15,CRONO!$E239,0,OFFSET(ORÇAMENTO!$D$15,CRONO!$E239,0)),1,OFFSET(ORÇAMENTO!$X$15,CRONO!$E239,0,OFFSET(ORÇAMENTO!$D$15,CRONO!$E239,0))))</f>
        <v/>
      </c>
      <c r="G241" s="224"/>
      <c r="R241" s="225" t="str">
        <f t="shared" ref="R241" ca="1" si="534">L239&amp;"$"</f>
        <v>2$</v>
      </c>
      <c r="S241" s="226"/>
      <c r="T241" s="227">
        <f ca="1">IF($Q239=2,IF(AND(ACOMPANHAMENTO="PLE",ISNUMBER($E239)),SUMIF((OFFSET(CÁLCULO!$BC$15:$BU$15,$E239,0,OFFSET(ORÇAMENTO!$D$15,CRONO!$E239,0))),"&lt;="&amp;CRONO!T$12,OFFSET(CÁLCULO!$AJ$15:$BB$15,$E239,0,OFFSET(ORÇAMENTO!$D$15,CRONO!$E239,0)))+IF(AND($E241&lt;&gt;"",$E241&lt;&gt;0),SUMIF(CÁLCULO!$BC$15:$BU$727,"&lt;="&amp;CRONO!T$12,CÁLCULO!$AJ$15:$BB$727)/(ORÇAMENTO!$X$15-CÁLCULO.TotalAdmLocal)*CRONO!$E241,0),T240*$R239),SUMIF(OFFSET($R241,1,0,$Q239-2),($L239+1)&amp;"$",OFFSET(T241,1,0,$Q239-2)))</f>
        <v>0</v>
      </c>
      <c r="U241" s="223">
        <f ca="1">IF($Q239=2,IF(AND(ACOMPANHAMENTO="PLE",ISNUMBER($E239)),SUMIF((OFFSET(CÁLCULO!$BC$15:$BU$15,$E239,0,OFFSET(ORÇAMENTO!$D$15,CRONO!$E239,0))),"="&amp;CRONO!U$12,OFFSET(CÁLCULO!$AJ$15:$BB$15,$E239,0,OFFSET(ORÇAMENTO!$D$15,CRONO!$E239,0)))+IF(AND($E241&lt;&gt;"",$E241&lt;&gt;0),SUMIF(CÁLCULO!$BC$15:$BU$727,"="&amp;CRONO!U$12,CÁLCULO!$AJ$15:$BB$727)/(ORÇAMENTO!$X$15-CÁLCULO.TotalAdmLocal)*CRONO!$E241,0),U240*$R239),SUMIF(OFFSET($R241,1,0,$Q239-2),($L239+1)&amp;"$",OFFSET(U241,1,0,$Q239-2)))</f>
        <v>0</v>
      </c>
      <c r="V241" s="223">
        <f ca="1">IF($Q239=2,IF(AND(ACOMPANHAMENTO="PLE",ISNUMBER($E239)),SUMIF((OFFSET(CÁLCULO!$BC$15:$BU$15,$E239,0,OFFSET(ORÇAMENTO!$D$15,CRONO!$E239,0))),"="&amp;CRONO!V$12,OFFSET(CÁLCULO!$AJ$15:$BB$15,$E239,0,OFFSET(ORÇAMENTO!$D$15,CRONO!$E239,0)))+IF(AND($E241&lt;&gt;"",$E241&lt;&gt;0),SUMIF(CÁLCULO!$BC$15:$BU$727,"="&amp;CRONO!V$12,CÁLCULO!$AJ$15:$BB$727)/(ORÇAMENTO!$X$15-CÁLCULO.TotalAdmLocal)*CRONO!$E241,0),V240*$R239),SUMIF(OFFSET($R241,1,0,$Q239-2),($L239+1)&amp;"$",OFFSET(V241,1,0,$Q239-2)))</f>
        <v>0</v>
      </c>
      <c r="W241" s="223">
        <f ca="1">IF($Q239=2,IF(AND(ACOMPANHAMENTO="PLE",ISNUMBER($E239)),SUMIF((OFFSET(CÁLCULO!$BC$15:$BU$15,$E239,0,OFFSET(ORÇAMENTO!$D$15,CRONO!$E239,0))),"="&amp;CRONO!W$12,OFFSET(CÁLCULO!$AJ$15:$BB$15,$E239,0,OFFSET(ORÇAMENTO!$D$15,CRONO!$E239,0)))+IF(AND($E241&lt;&gt;"",$E241&lt;&gt;0),SUMIF(CÁLCULO!$BC$15:$BU$727,"="&amp;CRONO!W$12,CÁLCULO!$AJ$15:$BB$727)/(ORÇAMENTO!$X$15-CÁLCULO.TotalAdmLocal)*CRONO!$E241,0),W240*$R239),SUMIF(OFFSET($R241,1,0,$Q239-2),($L239+1)&amp;"$",OFFSET(W241,1,0,$Q239-2)))</f>
        <v>0</v>
      </c>
      <c r="X241" s="223">
        <f ca="1">IF($Q239=2,IF(AND(ACOMPANHAMENTO="PLE",ISNUMBER($E239)),SUMIF((OFFSET(CÁLCULO!$BC$15:$BU$15,$E239,0,OFFSET(ORÇAMENTO!$D$15,CRONO!$E239,0))),"="&amp;CRONO!X$12,OFFSET(CÁLCULO!$AJ$15:$BB$15,$E239,0,OFFSET(ORÇAMENTO!$D$15,CRONO!$E239,0)))+IF(AND($E241&lt;&gt;"",$E241&lt;&gt;0),SUMIF(CÁLCULO!$BC$15:$BU$727,"="&amp;CRONO!X$12,CÁLCULO!$AJ$15:$BB$727)/(ORÇAMENTO!$X$15-CÁLCULO.TotalAdmLocal)*CRONO!$E241,0),X240*$R239),SUMIF(OFFSET($R241,1,0,$Q239-2),($L239+1)&amp;"$",OFFSET(X241,1,0,$Q239-2)))</f>
        <v>0</v>
      </c>
      <c r="Y241" s="223">
        <f ca="1">IF($Q239=2,IF(AND(ACOMPANHAMENTO="PLE",ISNUMBER($E239)),SUMIF((OFFSET(CÁLCULO!$BC$15:$BU$15,$E239,0,OFFSET(ORÇAMENTO!$D$15,CRONO!$E239,0))),"="&amp;CRONO!Y$12,OFFSET(CÁLCULO!$AJ$15:$BB$15,$E239,0,OFFSET(ORÇAMENTO!$D$15,CRONO!$E239,0)))+IF(AND($E241&lt;&gt;"",$E241&lt;&gt;0),SUMIF(CÁLCULO!$BC$15:$BU$727,"="&amp;CRONO!Y$12,CÁLCULO!$AJ$15:$BB$727)/(ORÇAMENTO!$X$15-CÁLCULO.TotalAdmLocal)*CRONO!$E241,0),Y240*$R239),SUMIF(OFFSET($R241,1,0,$Q239-2),($L239+1)&amp;"$",OFFSET(Y241,1,0,$Q239-2)))</f>
        <v>0</v>
      </c>
      <c r="Z241" s="223">
        <f ca="1">IF($Q239=2,IF(AND(ACOMPANHAMENTO="PLE",ISNUMBER($E239)),SUMIF((OFFSET(CÁLCULO!$BC$15:$BU$15,$E239,0,OFFSET(ORÇAMENTO!$D$15,CRONO!$E239,0))),"="&amp;CRONO!Z$12,OFFSET(CÁLCULO!$AJ$15:$BB$15,$E239,0,OFFSET(ORÇAMENTO!$D$15,CRONO!$E239,0)))+IF(AND($E241&lt;&gt;"",$E241&lt;&gt;0),SUMIF(CÁLCULO!$BC$15:$BU$727,"="&amp;CRONO!Z$12,CÁLCULO!$AJ$15:$BB$727)/(ORÇAMENTO!$X$15-CÁLCULO.TotalAdmLocal)*CRONO!$E241,0),Z240*$R239),SUMIF(OFFSET($R241,1,0,$Q239-2),($L239+1)&amp;"$",OFFSET(Z241,1,0,$Q239-2)))</f>
        <v>0</v>
      </c>
      <c r="AA241" s="223">
        <f ca="1">IF($Q239=2,IF(AND(ACOMPANHAMENTO="PLE",ISNUMBER($E239)),SUMIF((OFFSET(CÁLCULO!$BC$15:$BU$15,$E239,0,OFFSET(ORÇAMENTO!$D$15,CRONO!$E239,0))),"="&amp;CRONO!AA$12,OFFSET(CÁLCULO!$AJ$15:$BB$15,$E239,0,OFFSET(ORÇAMENTO!$D$15,CRONO!$E239,0)))+IF(AND($E241&lt;&gt;"",$E241&lt;&gt;0),SUMIF(CÁLCULO!$BC$15:$BU$727,"="&amp;CRONO!AA$12,CÁLCULO!$AJ$15:$BB$727)/(ORÇAMENTO!$X$15-CÁLCULO.TotalAdmLocal)*CRONO!$E241,0),AA240*$R239),SUMIF(OFFSET($R241,1,0,$Q239-2),($L239+1)&amp;"$",OFFSET(AA241,1,0,$Q239-2)))</f>
        <v>0</v>
      </c>
      <c r="AB241" s="223">
        <f ca="1">IF($Q239=2,IF(AND(ACOMPANHAMENTO="PLE",ISNUMBER($E239)),SUMIF((OFFSET(CÁLCULO!$BC$15:$BU$15,$E239,0,OFFSET(ORÇAMENTO!$D$15,CRONO!$E239,0))),"="&amp;CRONO!AB$12,OFFSET(CÁLCULO!$AJ$15:$BB$15,$E239,0,OFFSET(ORÇAMENTO!$D$15,CRONO!$E239,0)))+IF(AND($E241&lt;&gt;"",$E241&lt;&gt;0),SUMIF(CÁLCULO!$BC$15:$BU$727,"="&amp;CRONO!AB$12,CÁLCULO!$AJ$15:$BB$727)/(ORÇAMENTO!$X$15-CÁLCULO.TotalAdmLocal)*CRONO!$E241,0),AB240*$R239),SUMIF(OFFSET($R241,1,0,$Q239-2),($L239+1)&amp;"$",OFFSET(AB241,1,0,$Q239-2)))</f>
        <v>0</v>
      </c>
      <c r="AC241" s="223">
        <f ca="1">IF($Q239=2,IF(AND(ACOMPANHAMENTO="PLE",ISNUMBER($E239)),SUMIF((OFFSET(CÁLCULO!$BC$15:$BU$15,$E239,0,OFFSET(ORÇAMENTO!$D$15,CRONO!$E239,0))),"="&amp;CRONO!AC$12,OFFSET(CÁLCULO!$AJ$15:$BB$15,$E239,0,OFFSET(ORÇAMENTO!$D$15,CRONO!$E239,0)))+IF(AND($E241&lt;&gt;"",$E241&lt;&gt;0),SUMIF(CÁLCULO!$BC$15:$BU$727,"="&amp;CRONO!AC$12,CÁLCULO!$AJ$15:$BB$727)/(ORÇAMENTO!$X$15-CÁLCULO.TotalAdmLocal)*CRONO!$E241,0),AC240*$R239),SUMIF(OFFSET($R241,1,0,$Q239-2),($L239+1)&amp;"$",OFFSET(AC241,1,0,$Q239-2)))</f>
        <v>0</v>
      </c>
      <c r="AD241" s="223">
        <f ca="1">IF($Q239=2,IF(AND(ACOMPANHAMENTO="PLE",ISNUMBER($E239)),SUMIF((OFFSET(CÁLCULO!$BC$15:$BU$15,$E239,0,OFFSET(ORÇAMENTO!$D$15,CRONO!$E239,0))),"="&amp;CRONO!AD$12,OFFSET(CÁLCULO!$AJ$15:$BB$15,$E239,0,OFFSET(ORÇAMENTO!$D$15,CRONO!$E239,0)))+IF(AND($E241&lt;&gt;"",$E241&lt;&gt;0),SUMIF(CÁLCULO!$BC$15:$BU$727,"="&amp;CRONO!AD$12,CÁLCULO!$AJ$15:$BB$727)/(ORÇAMENTO!$X$15-CÁLCULO.TotalAdmLocal)*CRONO!$E241,0),AD240*$R239),SUMIF(OFFSET($R241,1,0,$Q239-2),($L239+1)&amp;"$",OFFSET(AD241,1,0,$Q239-2)))</f>
        <v>0</v>
      </c>
      <c r="AE241" s="228">
        <f ca="1">IF($Q239=2,IF(AND(ACOMPANHAMENTO="PLE",ISNUMBER($E239)),SUMIF((OFFSET(CÁLCULO!$BC$15:$BU$15,$E239,0,OFFSET(ORÇAMENTO!$D$15,CRONO!$E239,0))),"="&amp;CRONO!AE$12,OFFSET(CÁLCULO!$AJ$15:$BB$15,$E239,0,OFFSET(ORÇAMENTO!$D$15,CRONO!$E239,0)))+IF(AND($E241&lt;&gt;"",$E241&lt;&gt;0),SUMIF(CÁLCULO!$BC$15:$BU$727,"="&amp;CRONO!AE$12,CÁLCULO!$AJ$15:$BB$727)/(ORÇAMENTO!$X$15-CÁLCULO.TotalAdmLocal)*CRONO!$E241,0),AE240*$R239),SUMIF(OFFSET($R241,1,0,$Q239-2),($L239+1)&amp;"$",OFFSET(AE241,1,0,$Q239-2)))</f>
        <v>0</v>
      </c>
    </row>
    <row r="242" spans="1:32" x14ac:dyDescent="0.2">
      <c r="A242" s="204">
        <f t="shared" ref="A242" ca="1" si="535">OFFSET(A242,-3,0)+1</f>
        <v>77</v>
      </c>
      <c r="B242" s="204">
        <f ca="1">IF($Q242&lt;&gt;2,0,IF($R242=0,1,IF(E243&gt;0,OFFSET(QCI!$M$13,SUBSTITUTE(E243,".",""),0),OFFSET(ORÇAMENTO!$AA$15,CRONO!$E242,0))/$R242))</f>
        <v>1</v>
      </c>
      <c r="C242" s="204">
        <f ca="1">IF($Q242&lt;&gt;2,0,IF($R242=0,1,IF(E243&gt;0,OFFSET(QCI!$N$13,SUBSTITUTE(E243,".",""),0),OFFSET(ORÇAMENTO!$AB$15,CRONO!$E242,0))/$R242))</f>
        <v>1</v>
      </c>
      <c r="D242" s="207" t="e">
        <f ca="1">IF(AND($Q242=2,ACOMPANHAMENTO="BM"),D243,D244/$R242)</f>
        <v>#DIV/0!</v>
      </c>
      <c r="E242" s="204">
        <f ca="1">IF(A242&lt;=ORÇAMENTO.MáximoListaCrono,MATCH(A242,ORÇAMENTO.ListaCrono,0),NA())</f>
        <v>686</v>
      </c>
      <c r="F242" s="204" t="str">
        <f t="shared" ref="F242" ca="1" si="536">IF(AND($E243&lt;&gt;-1,$R242&gt;0),"F","")</f>
        <v/>
      </c>
      <c r="G242" s="208" t="str">
        <f ca="1">IF(OR(R242=0,R242=""),"Linha",IF(AND(OR(ACOMPANHAMENTO="PLE",$Q242&lt;&gt;2),$E243=0),"Linha",1-SUM(T242:AF242)))</f>
        <v>Linha</v>
      </c>
      <c r="H242" s="209" t="str">
        <f ca="1">IF($E243=0,OFFSET(ORÇAMENTO!O$15,$E242,0),IF($E243&lt;&gt;-1,OFFSET(QCI!$D$13,$E243,0),""))</f>
        <v>1.76.</v>
      </c>
      <c r="I242" s="210" t="str">
        <f ca="1">IF($E243=0,OFFSET(ORÇAMENTO!R$15,$E242,0),IF($E243&lt;&gt;-1,OFFSET(QCI!$G$13,$E243,0),""))</f>
        <v>MURO DE FECHAMENTO - CONCRETO ARMADO PARA VIGAS INCLUINDO BALDRAME</v>
      </c>
      <c r="J242" s="210"/>
      <c r="K242" s="210"/>
      <c r="L242" s="211">
        <f ca="1">IF($E243=0,OFFSET(ORÇAMENTO!C$15,$E242,0),1)</f>
        <v>2</v>
      </c>
      <c r="M242" s="212">
        <f ca="1">IF($E243=-1,0,IF(M$13&lt;=$L242,IF(ISERROR(MATCH(M$13,OFFSET($L242,1,0,ROW($L$260)-ROW($L242)-1),0)),ROW($L$260)-ROW($L242)-1,MATCH(M$13,OFFSET($L242,1,0,ROW($L$260)-ROW($L242)-1),0)-1),0))</f>
        <v>17</v>
      </c>
      <c r="N242" s="212">
        <f ca="1">IF($E243=-1,0,IF(N$13&lt;=$L242,IF(ISERROR(MATCH(N$13,OFFSET($L242,1,0,ROW($L$260)-ROW($L242)-1),0)),ROW($L$260)-ROW($L242)-1,MATCH(N$13,OFFSET($L242,1,0,ROW($L$260)-ROW($L242)-1),0)-1),0))</f>
        <v>2</v>
      </c>
      <c r="O242" s="212">
        <f ca="1">IF($E243=-1,0,IF(O$13&lt;=$L242,IF(ISERROR(MATCH(O$13,OFFSET($L242,1,0,ROW($L$260)-ROW($L242)-1),0)),ROW($L$260)-ROW($L242)-1,MATCH(O$13,OFFSET($L242,1,0,ROW($L$260)-ROW($L242)-1),0)-1),0))</f>
        <v>0</v>
      </c>
      <c r="P242" s="212">
        <f ca="1">IF($E243=-1,0,IF(P$13&lt;=$L242,IF(ISERROR(MATCH(P$13,OFFSET($L242,1,0,ROW($L$260)-ROW($L242)-1),0)),ROW($L$260)-ROW($L242)-1,MATCH(P$13,OFFSET($L242,1,0,ROW($L$260)-ROW($L242)-1),0)-1),0))</f>
        <v>0</v>
      </c>
      <c r="Q242" s="212">
        <f t="shared" ref="Q242" ca="1" si="537">MIN(OFFSET(L242,0,1,,L242))</f>
        <v>2</v>
      </c>
      <c r="R242" s="213">
        <f ca="1">IF($E243=0,OFFSET(ORÇAMENTO!X$15,$E242,0),IF($E243&lt;&gt;-1,OFFSET(QCI!$O$13,$E243,0),""))</f>
        <v>0</v>
      </c>
      <c r="S242" s="214" t="s">
        <v>270</v>
      </c>
      <c r="T242" s="215" t="e">
        <f t="shared" ref="T242:AE242" ca="1" si="538">IF(AND($Q242=2,ACOMPANHAMENTO="BM"),T243,T244/$R242)</f>
        <v>#DIV/0!</v>
      </c>
      <c r="U242" s="207" t="e">
        <f t="shared" ca="1" si="538"/>
        <v>#DIV/0!</v>
      </c>
      <c r="V242" s="207" t="e">
        <f t="shared" ca="1" si="538"/>
        <v>#DIV/0!</v>
      </c>
      <c r="W242" s="207" t="e">
        <f t="shared" ca="1" si="538"/>
        <v>#DIV/0!</v>
      </c>
      <c r="X242" s="207" t="e">
        <f t="shared" ca="1" si="538"/>
        <v>#DIV/0!</v>
      </c>
      <c r="Y242" s="207" t="e">
        <f t="shared" ca="1" si="538"/>
        <v>#DIV/0!</v>
      </c>
      <c r="Z242" s="207" t="e">
        <f t="shared" ca="1" si="538"/>
        <v>#DIV/0!</v>
      </c>
      <c r="AA242" s="207" t="e">
        <f t="shared" ca="1" si="538"/>
        <v>#DIV/0!</v>
      </c>
      <c r="AB242" s="207" t="e">
        <f t="shared" ca="1" si="538"/>
        <v>#DIV/0!</v>
      </c>
      <c r="AC242" s="207" t="e">
        <f t="shared" ca="1" si="538"/>
        <v>#DIV/0!</v>
      </c>
      <c r="AD242" s="207" t="e">
        <f t="shared" ca="1" si="538"/>
        <v>#DIV/0!</v>
      </c>
      <c r="AE242" s="216" t="e">
        <f t="shared" ca="1" si="538"/>
        <v>#DIV/0!</v>
      </c>
    </row>
    <row r="243" spans="1:32" ht="12.75" customHeight="1" x14ac:dyDescent="0.2">
      <c r="D243" s="569"/>
      <c r="E243" s="204">
        <f ca="1">IF(ISERROR(E242),IF(1+COUNTIF($L$13:OFFSET(L242,-1,0),1)&lt;=MAX(QCI!$D$13:$D$24),1+COUNTIF($L$13:OFFSET(L242,-1,0),1),-1),0)</f>
        <v>0</v>
      </c>
      <c r="F243" s="204" t="str">
        <f t="shared" ref="F243" ca="1" si="539">IF(AND($E243&lt;&gt;-1,$R242&gt;0),"F","")</f>
        <v/>
      </c>
      <c r="G243" s="217" t="str">
        <f ca="1">IF(OR(R242=0,R242=""),"vazia",IF(AND(OR(ACOMPANHAMENTO="PLE",$Q242&lt;&gt;2),$E243=0),"calculada","--&gt;"))</f>
        <v>vazia</v>
      </c>
      <c r="H243" s="218"/>
      <c r="I243" s="219" t="str">
        <f t="shared" ref="I243" ca="1" si="540">IF(AND(G242&lt;&gt;0,ISNUMBER(G242)),"PREENCHA ESTA LINHA --&gt;","")</f>
        <v/>
      </c>
      <c r="J243" s="219"/>
      <c r="K243" s="219"/>
      <c r="L243" s="220"/>
      <c r="M243" s="220"/>
      <c r="N243" s="220"/>
      <c r="O243" s="220"/>
      <c r="P243" s="220"/>
      <c r="Q243" s="220"/>
      <c r="R243" s="221"/>
      <c r="S243" s="222"/>
      <c r="T243" s="570"/>
      <c r="U243" s="569"/>
      <c r="V243" s="569"/>
      <c r="W243" s="569"/>
      <c r="X243" s="569"/>
      <c r="Y243" s="569"/>
      <c r="Z243" s="569"/>
      <c r="AA243" s="569"/>
      <c r="AB243" s="569"/>
      <c r="AC243" s="569"/>
      <c r="AD243" s="569"/>
      <c r="AE243" s="571"/>
      <c r="AF243" s="533"/>
    </row>
    <row r="244" spans="1:32" ht="0.2" hidden="1" customHeight="1" x14ac:dyDescent="0.2">
      <c r="D244" s="223">
        <f ca="1">IF($Q242=2,IF(AND(ACOMPANHAMENTO="PLE",ISNUMBER($E242)),SUMIF((OFFSET(CÁLCULO!$BC$15:$BU$15,$E242,0,OFFSET(ORÇAMENTO!$D$15,CRONO!$E242,0))),"="&amp;CRONO!D$12,OFFSET(CÁLCULO!$AJ$15:$BB$15,$E242,0,OFFSET(ORÇAMENTO!$D$15,CRONO!$E242,0)))+IF(AND($E244&lt;&gt;"",$E244&lt;&gt;0),SUMIF(CÁLCULO!$BC$15:$BU$727,"="&amp;CRONO!D$12,CÁLCULO!$AJ$15:$BB$727)/(ORÇAMENTO!$X$15-CÁLCULO.TotalAdmLocal)*CRONO!$E244,0),D243*$R242),SUMIF(OFFSET($R244,1,0,$Q242-2),($L242+1)&amp;"$",OFFSET(D244,1,0,$Q242-2)))</f>
        <v>0</v>
      </c>
      <c r="E244" s="204" t="str">
        <f ca="1">IF(OR($Q242&lt;&gt;2,AUTOEVENTO&lt;&gt;"manual",$E243&gt;0),"",SUMIF(OFFSET(CÁLCULO!$M$15,CRONO!$E242,0,OFFSET(ORÇAMENTO!$D$15,CRONO!$E242,0)),1,OFFSET(ORÇAMENTO!$X$15,CRONO!$E242,0,OFFSET(ORÇAMENTO!$D$15,CRONO!$E242,0))))</f>
        <v/>
      </c>
      <c r="G244" s="224"/>
      <c r="R244" s="225" t="str">
        <f t="shared" ref="R244" ca="1" si="541">L242&amp;"$"</f>
        <v>2$</v>
      </c>
      <c r="S244" s="226"/>
      <c r="T244" s="227">
        <f ca="1">IF($Q242=2,IF(AND(ACOMPANHAMENTO="PLE",ISNUMBER($E242)),SUMIF((OFFSET(CÁLCULO!$BC$15:$BU$15,$E242,0,OFFSET(ORÇAMENTO!$D$15,CRONO!$E242,0))),"&lt;="&amp;CRONO!T$12,OFFSET(CÁLCULO!$AJ$15:$BB$15,$E242,0,OFFSET(ORÇAMENTO!$D$15,CRONO!$E242,0)))+IF(AND($E244&lt;&gt;"",$E244&lt;&gt;0),SUMIF(CÁLCULO!$BC$15:$BU$727,"&lt;="&amp;CRONO!T$12,CÁLCULO!$AJ$15:$BB$727)/(ORÇAMENTO!$X$15-CÁLCULO.TotalAdmLocal)*CRONO!$E244,0),T243*$R242),SUMIF(OFFSET($R244,1,0,$Q242-2),($L242+1)&amp;"$",OFFSET(T244,1,0,$Q242-2)))</f>
        <v>0</v>
      </c>
      <c r="U244" s="223">
        <f ca="1">IF($Q242=2,IF(AND(ACOMPANHAMENTO="PLE",ISNUMBER($E242)),SUMIF((OFFSET(CÁLCULO!$BC$15:$BU$15,$E242,0,OFFSET(ORÇAMENTO!$D$15,CRONO!$E242,0))),"="&amp;CRONO!U$12,OFFSET(CÁLCULO!$AJ$15:$BB$15,$E242,0,OFFSET(ORÇAMENTO!$D$15,CRONO!$E242,0)))+IF(AND($E244&lt;&gt;"",$E244&lt;&gt;0),SUMIF(CÁLCULO!$BC$15:$BU$727,"="&amp;CRONO!U$12,CÁLCULO!$AJ$15:$BB$727)/(ORÇAMENTO!$X$15-CÁLCULO.TotalAdmLocal)*CRONO!$E244,0),U243*$R242),SUMIF(OFFSET($R244,1,0,$Q242-2),($L242+1)&amp;"$",OFFSET(U244,1,0,$Q242-2)))</f>
        <v>0</v>
      </c>
      <c r="V244" s="223">
        <f ca="1">IF($Q242=2,IF(AND(ACOMPANHAMENTO="PLE",ISNUMBER($E242)),SUMIF((OFFSET(CÁLCULO!$BC$15:$BU$15,$E242,0,OFFSET(ORÇAMENTO!$D$15,CRONO!$E242,0))),"="&amp;CRONO!V$12,OFFSET(CÁLCULO!$AJ$15:$BB$15,$E242,0,OFFSET(ORÇAMENTO!$D$15,CRONO!$E242,0)))+IF(AND($E244&lt;&gt;"",$E244&lt;&gt;0),SUMIF(CÁLCULO!$BC$15:$BU$727,"="&amp;CRONO!V$12,CÁLCULO!$AJ$15:$BB$727)/(ORÇAMENTO!$X$15-CÁLCULO.TotalAdmLocal)*CRONO!$E244,0),V243*$R242),SUMIF(OFFSET($R244,1,0,$Q242-2),($L242+1)&amp;"$",OFFSET(V244,1,0,$Q242-2)))</f>
        <v>0</v>
      </c>
      <c r="W244" s="223">
        <f ca="1">IF($Q242=2,IF(AND(ACOMPANHAMENTO="PLE",ISNUMBER($E242)),SUMIF((OFFSET(CÁLCULO!$BC$15:$BU$15,$E242,0,OFFSET(ORÇAMENTO!$D$15,CRONO!$E242,0))),"="&amp;CRONO!W$12,OFFSET(CÁLCULO!$AJ$15:$BB$15,$E242,0,OFFSET(ORÇAMENTO!$D$15,CRONO!$E242,0)))+IF(AND($E244&lt;&gt;"",$E244&lt;&gt;0),SUMIF(CÁLCULO!$BC$15:$BU$727,"="&amp;CRONO!W$12,CÁLCULO!$AJ$15:$BB$727)/(ORÇAMENTO!$X$15-CÁLCULO.TotalAdmLocal)*CRONO!$E244,0),W243*$R242),SUMIF(OFFSET($R244,1,0,$Q242-2),($L242+1)&amp;"$",OFFSET(W244,1,0,$Q242-2)))</f>
        <v>0</v>
      </c>
      <c r="X244" s="223">
        <f ca="1">IF($Q242=2,IF(AND(ACOMPANHAMENTO="PLE",ISNUMBER($E242)),SUMIF((OFFSET(CÁLCULO!$BC$15:$BU$15,$E242,0,OFFSET(ORÇAMENTO!$D$15,CRONO!$E242,0))),"="&amp;CRONO!X$12,OFFSET(CÁLCULO!$AJ$15:$BB$15,$E242,0,OFFSET(ORÇAMENTO!$D$15,CRONO!$E242,0)))+IF(AND($E244&lt;&gt;"",$E244&lt;&gt;0),SUMIF(CÁLCULO!$BC$15:$BU$727,"="&amp;CRONO!X$12,CÁLCULO!$AJ$15:$BB$727)/(ORÇAMENTO!$X$15-CÁLCULO.TotalAdmLocal)*CRONO!$E244,0),X243*$R242),SUMIF(OFFSET($R244,1,0,$Q242-2),($L242+1)&amp;"$",OFFSET(X244,1,0,$Q242-2)))</f>
        <v>0</v>
      </c>
      <c r="Y244" s="223">
        <f ca="1">IF($Q242=2,IF(AND(ACOMPANHAMENTO="PLE",ISNUMBER($E242)),SUMIF((OFFSET(CÁLCULO!$BC$15:$BU$15,$E242,0,OFFSET(ORÇAMENTO!$D$15,CRONO!$E242,0))),"="&amp;CRONO!Y$12,OFFSET(CÁLCULO!$AJ$15:$BB$15,$E242,0,OFFSET(ORÇAMENTO!$D$15,CRONO!$E242,0)))+IF(AND($E244&lt;&gt;"",$E244&lt;&gt;0),SUMIF(CÁLCULO!$BC$15:$BU$727,"="&amp;CRONO!Y$12,CÁLCULO!$AJ$15:$BB$727)/(ORÇAMENTO!$X$15-CÁLCULO.TotalAdmLocal)*CRONO!$E244,0),Y243*$R242),SUMIF(OFFSET($R244,1,0,$Q242-2),($L242+1)&amp;"$",OFFSET(Y244,1,0,$Q242-2)))</f>
        <v>0</v>
      </c>
      <c r="Z244" s="223">
        <f ca="1">IF($Q242=2,IF(AND(ACOMPANHAMENTO="PLE",ISNUMBER($E242)),SUMIF((OFFSET(CÁLCULO!$BC$15:$BU$15,$E242,0,OFFSET(ORÇAMENTO!$D$15,CRONO!$E242,0))),"="&amp;CRONO!Z$12,OFFSET(CÁLCULO!$AJ$15:$BB$15,$E242,0,OFFSET(ORÇAMENTO!$D$15,CRONO!$E242,0)))+IF(AND($E244&lt;&gt;"",$E244&lt;&gt;0),SUMIF(CÁLCULO!$BC$15:$BU$727,"="&amp;CRONO!Z$12,CÁLCULO!$AJ$15:$BB$727)/(ORÇAMENTO!$X$15-CÁLCULO.TotalAdmLocal)*CRONO!$E244,0),Z243*$R242),SUMIF(OFFSET($R244,1,0,$Q242-2),($L242+1)&amp;"$",OFFSET(Z244,1,0,$Q242-2)))</f>
        <v>0</v>
      </c>
      <c r="AA244" s="223">
        <f ca="1">IF($Q242=2,IF(AND(ACOMPANHAMENTO="PLE",ISNUMBER($E242)),SUMIF((OFFSET(CÁLCULO!$BC$15:$BU$15,$E242,0,OFFSET(ORÇAMENTO!$D$15,CRONO!$E242,0))),"="&amp;CRONO!AA$12,OFFSET(CÁLCULO!$AJ$15:$BB$15,$E242,0,OFFSET(ORÇAMENTO!$D$15,CRONO!$E242,0)))+IF(AND($E244&lt;&gt;"",$E244&lt;&gt;0),SUMIF(CÁLCULO!$BC$15:$BU$727,"="&amp;CRONO!AA$12,CÁLCULO!$AJ$15:$BB$727)/(ORÇAMENTO!$X$15-CÁLCULO.TotalAdmLocal)*CRONO!$E244,0),AA243*$R242),SUMIF(OFFSET($R244,1,0,$Q242-2),($L242+1)&amp;"$",OFFSET(AA244,1,0,$Q242-2)))</f>
        <v>0</v>
      </c>
      <c r="AB244" s="223">
        <f ca="1">IF($Q242=2,IF(AND(ACOMPANHAMENTO="PLE",ISNUMBER($E242)),SUMIF((OFFSET(CÁLCULO!$BC$15:$BU$15,$E242,0,OFFSET(ORÇAMENTO!$D$15,CRONO!$E242,0))),"="&amp;CRONO!AB$12,OFFSET(CÁLCULO!$AJ$15:$BB$15,$E242,0,OFFSET(ORÇAMENTO!$D$15,CRONO!$E242,0)))+IF(AND($E244&lt;&gt;"",$E244&lt;&gt;0),SUMIF(CÁLCULO!$BC$15:$BU$727,"="&amp;CRONO!AB$12,CÁLCULO!$AJ$15:$BB$727)/(ORÇAMENTO!$X$15-CÁLCULO.TotalAdmLocal)*CRONO!$E244,0),AB243*$R242),SUMIF(OFFSET($R244,1,0,$Q242-2),($L242+1)&amp;"$",OFFSET(AB244,1,0,$Q242-2)))</f>
        <v>0</v>
      </c>
      <c r="AC244" s="223">
        <f ca="1">IF($Q242=2,IF(AND(ACOMPANHAMENTO="PLE",ISNUMBER($E242)),SUMIF((OFFSET(CÁLCULO!$BC$15:$BU$15,$E242,0,OFFSET(ORÇAMENTO!$D$15,CRONO!$E242,0))),"="&amp;CRONO!AC$12,OFFSET(CÁLCULO!$AJ$15:$BB$15,$E242,0,OFFSET(ORÇAMENTO!$D$15,CRONO!$E242,0)))+IF(AND($E244&lt;&gt;"",$E244&lt;&gt;0),SUMIF(CÁLCULO!$BC$15:$BU$727,"="&amp;CRONO!AC$12,CÁLCULO!$AJ$15:$BB$727)/(ORÇAMENTO!$X$15-CÁLCULO.TotalAdmLocal)*CRONO!$E244,0),AC243*$R242),SUMIF(OFFSET($R244,1,0,$Q242-2),($L242+1)&amp;"$",OFFSET(AC244,1,0,$Q242-2)))</f>
        <v>0</v>
      </c>
      <c r="AD244" s="223">
        <f ca="1">IF($Q242=2,IF(AND(ACOMPANHAMENTO="PLE",ISNUMBER($E242)),SUMIF((OFFSET(CÁLCULO!$BC$15:$BU$15,$E242,0,OFFSET(ORÇAMENTO!$D$15,CRONO!$E242,0))),"="&amp;CRONO!AD$12,OFFSET(CÁLCULO!$AJ$15:$BB$15,$E242,0,OFFSET(ORÇAMENTO!$D$15,CRONO!$E242,0)))+IF(AND($E244&lt;&gt;"",$E244&lt;&gt;0),SUMIF(CÁLCULO!$BC$15:$BU$727,"="&amp;CRONO!AD$12,CÁLCULO!$AJ$15:$BB$727)/(ORÇAMENTO!$X$15-CÁLCULO.TotalAdmLocal)*CRONO!$E244,0),AD243*$R242),SUMIF(OFFSET($R244,1,0,$Q242-2),($L242+1)&amp;"$",OFFSET(AD244,1,0,$Q242-2)))</f>
        <v>0</v>
      </c>
      <c r="AE244" s="228">
        <f ca="1">IF($Q242=2,IF(AND(ACOMPANHAMENTO="PLE",ISNUMBER($E242)),SUMIF((OFFSET(CÁLCULO!$BC$15:$BU$15,$E242,0,OFFSET(ORÇAMENTO!$D$15,CRONO!$E242,0))),"="&amp;CRONO!AE$12,OFFSET(CÁLCULO!$AJ$15:$BB$15,$E242,0,OFFSET(ORÇAMENTO!$D$15,CRONO!$E242,0)))+IF(AND($E244&lt;&gt;"",$E244&lt;&gt;0),SUMIF(CÁLCULO!$BC$15:$BU$727,"="&amp;CRONO!AE$12,CÁLCULO!$AJ$15:$BB$727)/(ORÇAMENTO!$X$15-CÁLCULO.TotalAdmLocal)*CRONO!$E244,0),AE243*$R242),SUMIF(OFFSET($R244,1,0,$Q242-2),($L242+1)&amp;"$",OFFSET(AE244,1,0,$Q242-2)))</f>
        <v>0</v>
      </c>
    </row>
    <row r="245" spans="1:32" x14ac:dyDescent="0.2">
      <c r="A245" s="204">
        <f t="shared" ref="A245" ca="1" si="542">OFFSET(A245,-3,0)+1</f>
        <v>78</v>
      </c>
      <c r="B245" s="204">
        <f ca="1">IF($Q245&lt;&gt;2,0,IF($R245=0,1,IF(E246&gt;0,OFFSET(QCI!$M$13,SUBSTITUTE(E246,".",""),0),OFFSET(ORÇAMENTO!$AA$15,CRONO!$E245,0))/$R245))</f>
        <v>1</v>
      </c>
      <c r="C245" s="204">
        <f ca="1">IF($Q245&lt;&gt;2,0,IF($R245=0,1,IF(E246&gt;0,OFFSET(QCI!$N$13,SUBSTITUTE(E246,".",""),0),OFFSET(ORÇAMENTO!$AB$15,CRONO!$E245,0))/$R245))</f>
        <v>1</v>
      </c>
      <c r="D245" s="207" t="e">
        <f ca="1">IF(AND($Q245=2,ACOMPANHAMENTO="BM"),D246,D247/$R245)</f>
        <v>#DIV/0!</v>
      </c>
      <c r="E245" s="204">
        <f ca="1">IF(A245&lt;=ORÇAMENTO.MáximoListaCrono,MATCH(A245,ORÇAMENTO.ListaCrono,0),NA())</f>
        <v>695</v>
      </c>
      <c r="F245" s="204" t="str">
        <f t="shared" ref="F245" ca="1" si="543">IF(AND($E246&lt;&gt;-1,$R245&gt;0),"F","")</f>
        <v/>
      </c>
      <c r="G245" s="208" t="str">
        <f ca="1">IF(OR(R245=0,R245=""),"Linha",IF(AND(OR(ACOMPANHAMENTO="PLE",$Q245&lt;&gt;2),$E246=0),"Linha",1-SUM(T245:AF245)))</f>
        <v>Linha</v>
      </c>
      <c r="H245" s="209" t="str">
        <f ca="1">IF($E246=0,OFFSET(ORÇAMENTO!O$15,$E245,0),IF($E246&lt;&gt;-1,OFFSET(QCI!$D$13,$E246,0),""))</f>
        <v>1.77.</v>
      </c>
      <c r="I245" s="210" t="str">
        <f ca="1">IF($E246=0,OFFSET(ORÇAMENTO!R$15,$E245,0),IF($E246&lt;&gt;-1,OFFSET(QCI!$G$13,$E246,0),""))</f>
        <v>MURO DE FECHAMENTO - IMPERMEABILIZAÇÃO</v>
      </c>
      <c r="J245" s="210"/>
      <c r="K245" s="210"/>
      <c r="L245" s="211">
        <f ca="1">IF($E246=0,OFFSET(ORÇAMENTO!C$15,$E245,0),1)</f>
        <v>2</v>
      </c>
      <c r="M245" s="212">
        <f ca="1">IF($E246=-1,0,IF(M$13&lt;=$L245,IF(ISERROR(MATCH(M$13,OFFSET($L245,1,0,ROW($L$260)-ROW($L245)-1),0)),ROW($L$260)-ROW($L245)-1,MATCH(M$13,OFFSET($L245,1,0,ROW($L$260)-ROW($L245)-1),0)-1),0))</f>
        <v>14</v>
      </c>
      <c r="N245" s="212">
        <f ca="1">IF($E246=-1,0,IF(N$13&lt;=$L245,IF(ISERROR(MATCH(N$13,OFFSET($L245,1,0,ROW($L$260)-ROW($L245)-1),0)),ROW($L$260)-ROW($L245)-1,MATCH(N$13,OFFSET($L245,1,0,ROW($L$260)-ROW($L245)-1),0)-1),0))</f>
        <v>2</v>
      </c>
      <c r="O245" s="212">
        <f ca="1">IF($E246=-1,0,IF(O$13&lt;=$L245,IF(ISERROR(MATCH(O$13,OFFSET($L245,1,0,ROW($L$260)-ROW($L245)-1),0)),ROW($L$260)-ROW($L245)-1,MATCH(O$13,OFFSET($L245,1,0,ROW($L$260)-ROW($L245)-1),0)-1),0))</f>
        <v>0</v>
      </c>
      <c r="P245" s="212">
        <f ca="1">IF($E246=-1,0,IF(P$13&lt;=$L245,IF(ISERROR(MATCH(P$13,OFFSET($L245,1,0,ROW($L$260)-ROW($L245)-1),0)),ROW($L$260)-ROW($L245)-1,MATCH(P$13,OFFSET($L245,1,0,ROW($L$260)-ROW($L245)-1),0)-1),0))</f>
        <v>0</v>
      </c>
      <c r="Q245" s="212">
        <f t="shared" ref="Q245" ca="1" si="544">MIN(OFFSET(L245,0,1,,L245))</f>
        <v>2</v>
      </c>
      <c r="R245" s="213">
        <f ca="1">IF($E246=0,OFFSET(ORÇAMENTO!X$15,$E245,0),IF($E246&lt;&gt;-1,OFFSET(QCI!$O$13,$E246,0),""))</f>
        <v>0</v>
      </c>
      <c r="S245" s="214" t="s">
        <v>270</v>
      </c>
      <c r="T245" s="215" t="e">
        <f t="shared" ref="T245:AE245" ca="1" si="545">IF(AND($Q245=2,ACOMPANHAMENTO="BM"),T246,T247/$R245)</f>
        <v>#DIV/0!</v>
      </c>
      <c r="U245" s="207" t="e">
        <f t="shared" ca="1" si="545"/>
        <v>#DIV/0!</v>
      </c>
      <c r="V245" s="207" t="e">
        <f t="shared" ca="1" si="545"/>
        <v>#DIV/0!</v>
      </c>
      <c r="W245" s="207" t="e">
        <f t="shared" ca="1" si="545"/>
        <v>#DIV/0!</v>
      </c>
      <c r="X245" s="207" t="e">
        <f t="shared" ca="1" si="545"/>
        <v>#DIV/0!</v>
      </c>
      <c r="Y245" s="207" t="e">
        <f t="shared" ca="1" si="545"/>
        <v>#DIV/0!</v>
      </c>
      <c r="Z245" s="207" t="e">
        <f t="shared" ca="1" si="545"/>
        <v>#DIV/0!</v>
      </c>
      <c r="AA245" s="207" t="e">
        <f t="shared" ca="1" si="545"/>
        <v>#DIV/0!</v>
      </c>
      <c r="AB245" s="207" t="e">
        <f t="shared" ca="1" si="545"/>
        <v>#DIV/0!</v>
      </c>
      <c r="AC245" s="207" t="e">
        <f t="shared" ca="1" si="545"/>
        <v>#DIV/0!</v>
      </c>
      <c r="AD245" s="207" t="e">
        <f t="shared" ca="1" si="545"/>
        <v>#DIV/0!</v>
      </c>
      <c r="AE245" s="216" t="e">
        <f t="shared" ca="1" si="545"/>
        <v>#DIV/0!</v>
      </c>
    </row>
    <row r="246" spans="1:32" ht="12.75" customHeight="1" x14ac:dyDescent="0.2">
      <c r="D246" s="569"/>
      <c r="E246" s="204">
        <f ca="1">IF(ISERROR(E245),IF(1+COUNTIF($L$13:OFFSET(L245,-1,0),1)&lt;=MAX(QCI!$D$13:$D$24),1+COUNTIF($L$13:OFFSET(L245,-1,0),1),-1),0)</f>
        <v>0</v>
      </c>
      <c r="F246" s="204" t="str">
        <f t="shared" ref="F246" ca="1" si="546">IF(AND($E246&lt;&gt;-1,$R245&gt;0),"F","")</f>
        <v/>
      </c>
      <c r="G246" s="217" t="str">
        <f ca="1">IF(OR(R245=0,R245=""),"vazia",IF(AND(OR(ACOMPANHAMENTO="PLE",$Q245&lt;&gt;2),$E246=0),"calculada","--&gt;"))</f>
        <v>vazia</v>
      </c>
      <c r="H246" s="218"/>
      <c r="I246" s="219" t="str">
        <f t="shared" ref="I246" ca="1" si="547">IF(AND(G245&lt;&gt;0,ISNUMBER(G245)),"PREENCHA ESTA LINHA --&gt;","")</f>
        <v/>
      </c>
      <c r="J246" s="219"/>
      <c r="K246" s="219"/>
      <c r="L246" s="220"/>
      <c r="M246" s="220"/>
      <c r="N246" s="220"/>
      <c r="O246" s="220"/>
      <c r="P246" s="220"/>
      <c r="Q246" s="220"/>
      <c r="R246" s="221"/>
      <c r="S246" s="222"/>
      <c r="T246" s="570"/>
      <c r="U246" s="569"/>
      <c r="V246" s="569"/>
      <c r="W246" s="569"/>
      <c r="X246" s="569"/>
      <c r="Y246" s="569"/>
      <c r="Z246" s="569"/>
      <c r="AA246" s="569"/>
      <c r="AB246" s="569"/>
      <c r="AC246" s="569"/>
      <c r="AD246" s="569"/>
      <c r="AE246" s="571"/>
      <c r="AF246" s="533"/>
    </row>
    <row r="247" spans="1:32" ht="0.2" hidden="1" customHeight="1" x14ac:dyDescent="0.2">
      <c r="D247" s="223">
        <f ca="1">IF($Q245=2,IF(AND(ACOMPANHAMENTO="PLE",ISNUMBER($E245)),SUMIF((OFFSET(CÁLCULO!$BC$15:$BU$15,$E245,0,OFFSET(ORÇAMENTO!$D$15,CRONO!$E245,0))),"="&amp;CRONO!D$12,OFFSET(CÁLCULO!$AJ$15:$BB$15,$E245,0,OFFSET(ORÇAMENTO!$D$15,CRONO!$E245,0)))+IF(AND($E247&lt;&gt;"",$E247&lt;&gt;0),SUMIF(CÁLCULO!$BC$15:$BU$727,"="&amp;CRONO!D$12,CÁLCULO!$AJ$15:$BB$727)/(ORÇAMENTO!$X$15-CÁLCULO.TotalAdmLocal)*CRONO!$E247,0),D246*$R245),SUMIF(OFFSET($R247,1,0,$Q245-2),($L245+1)&amp;"$",OFFSET(D247,1,0,$Q245-2)))</f>
        <v>0</v>
      </c>
      <c r="E247" s="204" t="str">
        <f ca="1">IF(OR($Q245&lt;&gt;2,AUTOEVENTO&lt;&gt;"manual",$E246&gt;0),"",SUMIF(OFFSET(CÁLCULO!$M$15,CRONO!$E245,0,OFFSET(ORÇAMENTO!$D$15,CRONO!$E245,0)),1,OFFSET(ORÇAMENTO!$X$15,CRONO!$E245,0,OFFSET(ORÇAMENTO!$D$15,CRONO!$E245,0))))</f>
        <v/>
      </c>
      <c r="G247" s="224"/>
      <c r="R247" s="225" t="str">
        <f t="shared" ref="R247" ca="1" si="548">L245&amp;"$"</f>
        <v>2$</v>
      </c>
      <c r="S247" s="226"/>
      <c r="T247" s="227">
        <f ca="1">IF($Q245=2,IF(AND(ACOMPANHAMENTO="PLE",ISNUMBER($E245)),SUMIF((OFFSET(CÁLCULO!$BC$15:$BU$15,$E245,0,OFFSET(ORÇAMENTO!$D$15,CRONO!$E245,0))),"&lt;="&amp;CRONO!T$12,OFFSET(CÁLCULO!$AJ$15:$BB$15,$E245,0,OFFSET(ORÇAMENTO!$D$15,CRONO!$E245,0)))+IF(AND($E247&lt;&gt;"",$E247&lt;&gt;0),SUMIF(CÁLCULO!$BC$15:$BU$727,"&lt;="&amp;CRONO!T$12,CÁLCULO!$AJ$15:$BB$727)/(ORÇAMENTO!$X$15-CÁLCULO.TotalAdmLocal)*CRONO!$E247,0),T246*$R245),SUMIF(OFFSET($R247,1,0,$Q245-2),($L245+1)&amp;"$",OFFSET(T247,1,0,$Q245-2)))</f>
        <v>0</v>
      </c>
      <c r="U247" s="223">
        <f ca="1">IF($Q245=2,IF(AND(ACOMPANHAMENTO="PLE",ISNUMBER($E245)),SUMIF((OFFSET(CÁLCULO!$BC$15:$BU$15,$E245,0,OFFSET(ORÇAMENTO!$D$15,CRONO!$E245,0))),"="&amp;CRONO!U$12,OFFSET(CÁLCULO!$AJ$15:$BB$15,$E245,0,OFFSET(ORÇAMENTO!$D$15,CRONO!$E245,0)))+IF(AND($E247&lt;&gt;"",$E247&lt;&gt;0),SUMIF(CÁLCULO!$BC$15:$BU$727,"="&amp;CRONO!U$12,CÁLCULO!$AJ$15:$BB$727)/(ORÇAMENTO!$X$15-CÁLCULO.TotalAdmLocal)*CRONO!$E247,0),U246*$R245),SUMIF(OFFSET($R247,1,0,$Q245-2),($L245+1)&amp;"$",OFFSET(U247,1,0,$Q245-2)))</f>
        <v>0</v>
      </c>
      <c r="V247" s="223">
        <f ca="1">IF($Q245=2,IF(AND(ACOMPANHAMENTO="PLE",ISNUMBER($E245)),SUMIF((OFFSET(CÁLCULO!$BC$15:$BU$15,$E245,0,OFFSET(ORÇAMENTO!$D$15,CRONO!$E245,0))),"="&amp;CRONO!V$12,OFFSET(CÁLCULO!$AJ$15:$BB$15,$E245,0,OFFSET(ORÇAMENTO!$D$15,CRONO!$E245,0)))+IF(AND($E247&lt;&gt;"",$E247&lt;&gt;0),SUMIF(CÁLCULO!$BC$15:$BU$727,"="&amp;CRONO!V$12,CÁLCULO!$AJ$15:$BB$727)/(ORÇAMENTO!$X$15-CÁLCULO.TotalAdmLocal)*CRONO!$E247,0),V246*$R245),SUMIF(OFFSET($R247,1,0,$Q245-2),($L245+1)&amp;"$",OFFSET(V247,1,0,$Q245-2)))</f>
        <v>0</v>
      </c>
      <c r="W247" s="223">
        <f ca="1">IF($Q245=2,IF(AND(ACOMPANHAMENTO="PLE",ISNUMBER($E245)),SUMIF((OFFSET(CÁLCULO!$BC$15:$BU$15,$E245,0,OFFSET(ORÇAMENTO!$D$15,CRONO!$E245,0))),"="&amp;CRONO!W$12,OFFSET(CÁLCULO!$AJ$15:$BB$15,$E245,0,OFFSET(ORÇAMENTO!$D$15,CRONO!$E245,0)))+IF(AND($E247&lt;&gt;"",$E247&lt;&gt;0),SUMIF(CÁLCULO!$BC$15:$BU$727,"="&amp;CRONO!W$12,CÁLCULO!$AJ$15:$BB$727)/(ORÇAMENTO!$X$15-CÁLCULO.TotalAdmLocal)*CRONO!$E247,0),W246*$R245),SUMIF(OFFSET($R247,1,0,$Q245-2),($L245+1)&amp;"$",OFFSET(W247,1,0,$Q245-2)))</f>
        <v>0</v>
      </c>
      <c r="X247" s="223">
        <f ca="1">IF($Q245=2,IF(AND(ACOMPANHAMENTO="PLE",ISNUMBER($E245)),SUMIF((OFFSET(CÁLCULO!$BC$15:$BU$15,$E245,0,OFFSET(ORÇAMENTO!$D$15,CRONO!$E245,0))),"="&amp;CRONO!X$12,OFFSET(CÁLCULO!$AJ$15:$BB$15,$E245,0,OFFSET(ORÇAMENTO!$D$15,CRONO!$E245,0)))+IF(AND($E247&lt;&gt;"",$E247&lt;&gt;0),SUMIF(CÁLCULO!$BC$15:$BU$727,"="&amp;CRONO!X$12,CÁLCULO!$AJ$15:$BB$727)/(ORÇAMENTO!$X$15-CÁLCULO.TotalAdmLocal)*CRONO!$E247,0),X246*$R245),SUMIF(OFFSET($R247,1,0,$Q245-2),($L245+1)&amp;"$",OFFSET(X247,1,0,$Q245-2)))</f>
        <v>0</v>
      </c>
      <c r="Y247" s="223">
        <f ca="1">IF($Q245=2,IF(AND(ACOMPANHAMENTO="PLE",ISNUMBER($E245)),SUMIF((OFFSET(CÁLCULO!$BC$15:$BU$15,$E245,0,OFFSET(ORÇAMENTO!$D$15,CRONO!$E245,0))),"="&amp;CRONO!Y$12,OFFSET(CÁLCULO!$AJ$15:$BB$15,$E245,0,OFFSET(ORÇAMENTO!$D$15,CRONO!$E245,0)))+IF(AND($E247&lt;&gt;"",$E247&lt;&gt;0),SUMIF(CÁLCULO!$BC$15:$BU$727,"="&amp;CRONO!Y$12,CÁLCULO!$AJ$15:$BB$727)/(ORÇAMENTO!$X$15-CÁLCULO.TotalAdmLocal)*CRONO!$E247,0),Y246*$R245),SUMIF(OFFSET($R247,1,0,$Q245-2),($L245+1)&amp;"$",OFFSET(Y247,1,0,$Q245-2)))</f>
        <v>0</v>
      </c>
      <c r="Z247" s="223">
        <f ca="1">IF($Q245=2,IF(AND(ACOMPANHAMENTO="PLE",ISNUMBER($E245)),SUMIF((OFFSET(CÁLCULO!$BC$15:$BU$15,$E245,0,OFFSET(ORÇAMENTO!$D$15,CRONO!$E245,0))),"="&amp;CRONO!Z$12,OFFSET(CÁLCULO!$AJ$15:$BB$15,$E245,0,OFFSET(ORÇAMENTO!$D$15,CRONO!$E245,0)))+IF(AND($E247&lt;&gt;"",$E247&lt;&gt;0),SUMIF(CÁLCULO!$BC$15:$BU$727,"="&amp;CRONO!Z$12,CÁLCULO!$AJ$15:$BB$727)/(ORÇAMENTO!$X$15-CÁLCULO.TotalAdmLocal)*CRONO!$E247,0),Z246*$R245),SUMIF(OFFSET($R247,1,0,$Q245-2),($L245+1)&amp;"$",OFFSET(Z247,1,0,$Q245-2)))</f>
        <v>0</v>
      </c>
      <c r="AA247" s="223">
        <f ca="1">IF($Q245=2,IF(AND(ACOMPANHAMENTO="PLE",ISNUMBER($E245)),SUMIF((OFFSET(CÁLCULO!$BC$15:$BU$15,$E245,0,OFFSET(ORÇAMENTO!$D$15,CRONO!$E245,0))),"="&amp;CRONO!AA$12,OFFSET(CÁLCULO!$AJ$15:$BB$15,$E245,0,OFFSET(ORÇAMENTO!$D$15,CRONO!$E245,0)))+IF(AND($E247&lt;&gt;"",$E247&lt;&gt;0),SUMIF(CÁLCULO!$BC$15:$BU$727,"="&amp;CRONO!AA$12,CÁLCULO!$AJ$15:$BB$727)/(ORÇAMENTO!$X$15-CÁLCULO.TotalAdmLocal)*CRONO!$E247,0),AA246*$R245),SUMIF(OFFSET($R247,1,0,$Q245-2),($L245+1)&amp;"$",OFFSET(AA247,1,0,$Q245-2)))</f>
        <v>0</v>
      </c>
      <c r="AB247" s="223">
        <f ca="1">IF($Q245=2,IF(AND(ACOMPANHAMENTO="PLE",ISNUMBER($E245)),SUMIF((OFFSET(CÁLCULO!$BC$15:$BU$15,$E245,0,OFFSET(ORÇAMENTO!$D$15,CRONO!$E245,0))),"="&amp;CRONO!AB$12,OFFSET(CÁLCULO!$AJ$15:$BB$15,$E245,0,OFFSET(ORÇAMENTO!$D$15,CRONO!$E245,0)))+IF(AND($E247&lt;&gt;"",$E247&lt;&gt;0),SUMIF(CÁLCULO!$BC$15:$BU$727,"="&amp;CRONO!AB$12,CÁLCULO!$AJ$15:$BB$727)/(ORÇAMENTO!$X$15-CÁLCULO.TotalAdmLocal)*CRONO!$E247,0),AB246*$R245),SUMIF(OFFSET($R247,1,0,$Q245-2),($L245+1)&amp;"$",OFFSET(AB247,1,0,$Q245-2)))</f>
        <v>0</v>
      </c>
      <c r="AC247" s="223">
        <f ca="1">IF($Q245=2,IF(AND(ACOMPANHAMENTO="PLE",ISNUMBER($E245)),SUMIF((OFFSET(CÁLCULO!$BC$15:$BU$15,$E245,0,OFFSET(ORÇAMENTO!$D$15,CRONO!$E245,0))),"="&amp;CRONO!AC$12,OFFSET(CÁLCULO!$AJ$15:$BB$15,$E245,0,OFFSET(ORÇAMENTO!$D$15,CRONO!$E245,0)))+IF(AND($E247&lt;&gt;"",$E247&lt;&gt;0),SUMIF(CÁLCULO!$BC$15:$BU$727,"="&amp;CRONO!AC$12,CÁLCULO!$AJ$15:$BB$727)/(ORÇAMENTO!$X$15-CÁLCULO.TotalAdmLocal)*CRONO!$E247,0),AC246*$R245),SUMIF(OFFSET($R247,1,0,$Q245-2),($L245+1)&amp;"$",OFFSET(AC247,1,0,$Q245-2)))</f>
        <v>0</v>
      </c>
      <c r="AD247" s="223">
        <f ca="1">IF($Q245=2,IF(AND(ACOMPANHAMENTO="PLE",ISNUMBER($E245)),SUMIF((OFFSET(CÁLCULO!$BC$15:$BU$15,$E245,0,OFFSET(ORÇAMENTO!$D$15,CRONO!$E245,0))),"="&amp;CRONO!AD$12,OFFSET(CÁLCULO!$AJ$15:$BB$15,$E245,0,OFFSET(ORÇAMENTO!$D$15,CRONO!$E245,0)))+IF(AND($E247&lt;&gt;"",$E247&lt;&gt;0),SUMIF(CÁLCULO!$BC$15:$BU$727,"="&amp;CRONO!AD$12,CÁLCULO!$AJ$15:$BB$727)/(ORÇAMENTO!$X$15-CÁLCULO.TotalAdmLocal)*CRONO!$E247,0),AD246*$R245),SUMIF(OFFSET($R247,1,0,$Q245-2),($L245+1)&amp;"$",OFFSET(AD247,1,0,$Q245-2)))</f>
        <v>0</v>
      </c>
      <c r="AE247" s="228">
        <f ca="1">IF($Q245=2,IF(AND(ACOMPANHAMENTO="PLE",ISNUMBER($E245)),SUMIF((OFFSET(CÁLCULO!$BC$15:$BU$15,$E245,0,OFFSET(ORÇAMENTO!$D$15,CRONO!$E245,0))),"="&amp;CRONO!AE$12,OFFSET(CÁLCULO!$AJ$15:$BB$15,$E245,0,OFFSET(ORÇAMENTO!$D$15,CRONO!$E245,0)))+IF(AND($E247&lt;&gt;"",$E247&lt;&gt;0),SUMIF(CÁLCULO!$BC$15:$BU$727,"="&amp;CRONO!AE$12,CÁLCULO!$AJ$15:$BB$727)/(ORÇAMENTO!$X$15-CÁLCULO.TotalAdmLocal)*CRONO!$E247,0),AE246*$R245),SUMIF(OFFSET($R247,1,0,$Q245-2),($L245+1)&amp;"$",OFFSET(AE247,1,0,$Q245-2)))</f>
        <v>0</v>
      </c>
    </row>
    <row r="248" spans="1:32" x14ac:dyDescent="0.2">
      <c r="A248" s="204">
        <f t="shared" ref="A248" ca="1" si="549">OFFSET(A248,-3,0)+1</f>
        <v>79</v>
      </c>
      <c r="B248" s="204">
        <f ca="1">IF($Q248&lt;&gt;2,0,IF($R248=0,1,IF(E249&gt;0,OFFSET(QCI!$M$13,SUBSTITUTE(E249,".",""),0),OFFSET(ORÇAMENTO!$AA$15,CRONO!$E248,0))/$R248))</f>
        <v>1</v>
      </c>
      <c r="C248" s="204">
        <f ca="1">IF($Q248&lt;&gt;2,0,IF($R248=0,1,IF(E249&gt;0,OFFSET(QCI!$N$13,SUBSTITUTE(E249,".",""),0),OFFSET(ORÇAMENTO!$AB$15,CRONO!$E248,0))/$R248))</f>
        <v>1</v>
      </c>
      <c r="D248" s="207" t="e">
        <f ca="1">IF(AND($Q248=2,ACOMPANHAMENTO="BM"),D249,D250/$R248)</f>
        <v>#DIV/0!</v>
      </c>
      <c r="E248" s="204">
        <f ca="1">IF(A248&lt;=ORÇAMENTO.MáximoListaCrono,MATCH(A248,ORÇAMENTO.ListaCrono,0),NA())</f>
        <v>697</v>
      </c>
      <c r="F248" s="204" t="str">
        <f t="shared" ref="F248" ca="1" si="550">IF(AND($E249&lt;&gt;-1,$R248&gt;0),"F","")</f>
        <v/>
      </c>
      <c r="G248" s="208" t="str">
        <f ca="1">IF(OR(R248=0,R248=""),"Linha",IF(AND(OR(ACOMPANHAMENTO="PLE",$Q248&lt;&gt;2),$E249=0),"Linha",1-SUM(T248:AF248)))</f>
        <v>Linha</v>
      </c>
      <c r="H248" s="209" t="str">
        <f ca="1">IF($E249=0,OFFSET(ORÇAMENTO!O$15,$E248,0),IF($E249&lt;&gt;-1,OFFSET(QCI!$D$13,$E249,0),""))</f>
        <v>1.78.</v>
      </c>
      <c r="I248" s="210" t="str">
        <f ca="1">IF($E249=0,OFFSET(ORÇAMENTO!R$15,$E248,0),IF($E249&lt;&gt;-1,OFFSET(QCI!$G$13,$E249,0),""))</f>
        <v>MURO DE FECHAMENTO - ALVENARIA DE VEDAÇÃO</v>
      </c>
      <c r="J248" s="210"/>
      <c r="K248" s="210"/>
      <c r="L248" s="211">
        <f ca="1">IF($E249=0,OFFSET(ORÇAMENTO!C$15,$E248,0),1)</f>
        <v>2</v>
      </c>
      <c r="M248" s="212">
        <f ca="1">IF($E249=-1,0,IF(M$13&lt;=$L248,IF(ISERROR(MATCH(M$13,OFFSET($L248,1,0,ROW($L$260)-ROW($L248)-1),0)),ROW($L$260)-ROW($L248)-1,MATCH(M$13,OFFSET($L248,1,0,ROW($L$260)-ROW($L248)-1),0)-1),0))</f>
        <v>11</v>
      </c>
      <c r="N248" s="212">
        <f ca="1">IF($E249=-1,0,IF(N$13&lt;=$L248,IF(ISERROR(MATCH(N$13,OFFSET($L248,1,0,ROW($L$260)-ROW($L248)-1),0)),ROW($L$260)-ROW($L248)-1,MATCH(N$13,OFFSET($L248,1,0,ROW($L$260)-ROW($L248)-1),0)-1),0))</f>
        <v>2</v>
      </c>
      <c r="O248" s="212">
        <f ca="1">IF($E249=-1,0,IF(O$13&lt;=$L248,IF(ISERROR(MATCH(O$13,OFFSET($L248,1,0,ROW($L$260)-ROW($L248)-1),0)),ROW($L$260)-ROW($L248)-1,MATCH(O$13,OFFSET($L248,1,0,ROW($L$260)-ROW($L248)-1),0)-1),0))</f>
        <v>0</v>
      </c>
      <c r="P248" s="212">
        <f ca="1">IF($E249=-1,0,IF(P$13&lt;=$L248,IF(ISERROR(MATCH(P$13,OFFSET($L248,1,0,ROW($L$260)-ROW($L248)-1),0)),ROW($L$260)-ROW($L248)-1,MATCH(P$13,OFFSET($L248,1,0,ROW($L$260)-ROW($L248)-1),0)-1),0))</f>
        <v>0</v>
      </c>
      <c r="Q248" s="212">
        <f t="shared" ref="Q248" ca="1" si="551">MIN(OFFSET(L248,0,1,,L248))</f>
        <v>2</v>
      </c>
      <c r="R248" s="213">
        <f ca="1">IF($E249=0,OFFSET(ORÇAMENTO!X$15,$E248,0),IF($E249&lt;&gt;-1,OFFSET(QCI!$O$13,$E249,0),""))</f>
        <v>0</v>
      </c>
      <c r="S248" s="214" t="s">
        <v>270</v>
      </c>
      <c r="T248" s="215" t="e">
        <f t="shared" ref="T248:AE248" ca="1" si="552">IF(AND($Q248=2,ACOMPANHAMENTO="BM"),T249,T250/$R248)</f>
        <v>#DIV/0!</v>
      </c>
      <c r="U248" s="207" t="e">
        <f t="shared" ca="1" si="552"/>
        <v>#DIV/0!</v>
      </c>
      <c r="V248" s="207" t="e">
        <f t="shared" ca="1" si="552"/>
        <v>#DIV/0!</v>
      </c>
      <c r="W248" s="207" t="e">
        <f t="shared" ca="1" si="552"/>
        <v>#DIV/0!</v>
      </c>
      <c r="X248" s="207" t="e">
        <f t="shared" ca="1" si="552"/>
        <v>#DIV/0!</v>
      </c>
      <c r="Y248" s="207" t="e">
        <f t="shared" ca="1" si="552"/>
        <v>#DIV/0!</v>
      </c>
      <c r="Z248" s="207" t="e">
        <f t="shared" ca="1" si="552"/>
        <v>#DIV/0!</v>
      </c>
      <c r="AA248" s="207" t="e">
        <f t="shared" ca="1" si="552"/>
        <v>#DIV/0!</v>
      </c>
      <c r="AB248" s="207" t="e">
        <f t="shared" ca="1" si="552"/>
        <v>#DIV/0!</v>
      </c>
      <c r="AC248" s="207" t="e">
        <f t="shared" ca="1" si="552"/>
        <v>#DIV/0!</v>
      </c>
      <c r="AD248" s="207" t="e">
        <f t="shared" ca="1" si="552"/>
        <v>#DIV/0!</v>
      </c>
      <c r="AE248" s="216" t="e">
        <f t="shared" ca="1" si="552"/>
        <v>#DIV/0!</v>
      </c>
    </row>
    <row r="249" spans="1:32" ht="12.75" customHeight="1" x14ac:dyDescent="0.2">
      <c r="D249" s="569"/>
      <c r="E249" s="204">
        <f ca="1">IF(ISERROR(E248),IF(1+COUNTIF($L$13:OFFSET(L248,-1,0),1)&lt;=MAX(QCI!$D$13:$D$24),1+COUNTIF($L$13:OFFSET(L248,-1,0),1),-1),0)</f>
        <v>0</v>
      </c>
      <c r="F249" s="204" t="str">
        <f t="shared" ref="F249" ca="1" si="553">IF(AND($E249&lt;&gt;-1,$R248&gt;0),"F","")</f>
        <v/>
      </c>
      <c r="G249" s="217" t="str">
        <f ca="1">IF(OR(R248=0,R248=""),"vazia",IF(AND(OR(ACOMPANHAMENTO="PLE",$Q248&lt;&gt;2),$E249=0),"calculada","--&gt;"))</f>
        <v>vazia</v>
      </c>
      <c r="H249" s="218"/>
      <c r="I249" s="219" t="str">
        <f t="shared" ref="I249" ca="1" si="554">IF(AND(G248&lt;&gt;0,ISNUMBER(G248)),"PREENCHA ESTA LINHA --&gt;","")</f>
        <v/>
      </c>
      <c r="J249" s="219"/>
      <c r="K249" s="219"/>
      <c r="L249" s="220"/>
      <c r="M249" s="220"/>
      <c r="N249" s="220"/>
      <c r="O249" s="220"/>
      <c r="P249" s="220"/>
      <c r="Q249" s="220"/>
      <c r="R249" s="221"/>
      <c r="S249" s="222"/>
      <c r="T249" s="570"/>
      <c r="U249" s="569"/>
      <c r="V249" s="569"/>
      <c r="W249" s="569"/>
      <c r="X249" s="569"/>
      <c r="Y249" s="569"/>
      <c r="Z249" s="569"/>
      <c r="AA249" s="569"/>
      <c r="AB249" s="569"/>
      <c r="AC249" s="569"/>
      <c r="AD249" s="569"/>
      <c r="AE249" s="571"/>
      <c r="AF249" s="533"/>
    </row>
    <row r="250" spans="1:32" ht="0.2" hidden="1" customHeight="1" x14ac:dyDescent="0.2">
      <c r="D250" s="223">
        <f ca="1">IF($Q248=2,IF(AND(ACOMPANHAMENTO="PLE",ISNUMBER($E248)),SUMIF((OFFSET(CÁLCULO!$BC$15:$BU$15,$E248,0,OFFSET(ORÇAMENTO!$D$15,CRONO!$E248,0))),"="&amp;CRONO!D$12,OFFSET(CÁLCULO!$AJ$15:$BB$15,$E248,0,OFFSET(ORÇAMENTO!$D$15,CRONO!$E248,0)))+IF(AND($E250&lt;&gt;"",$E250&lt;&gt;0),SUMIF(CÁLCULO!$BC$15:$BU$727,"="&amp;CRONO!D$12,CÁLCULO!$AJ$15:$BB$727)/(ORÇAMENTO!$X$15-CÁLCULO.TotalAdmLocal)*CRONO!$E250,0),D249*$R248),SUMIF(OFFSET($R250,1,0,$Q248-2),($L248+1)&amp;"$",OFFSET(D250,1,0,$Q248-2)))</f>
        <v>0</v>
      </c>
      <c r="E250" s="204" t="str">
        <f ca="1">IF(OR($Q248&lt;&gt;2,AUTOEVENTO&lt;&gt;"manual",$E249&gt;0),"",SUMIF(OFFSET(CÁLCULO!$M$15,CRONO!$E248,0,OFFSET(ORÇAMENTO!$D$15,CRONO!$E248,0)),1,OFFSET(ORÇAMENTO!$X$15,CRONO!$E248,0,OFFSET(ORÇAMENTO!$D$15,CRONO!$E248,0))))</f>
        <v/>
      </c>
      <c r="G250" s="224"/>
      <c r="R250" s="225" t="str">
        <f t="shared" ref="R250" ca="1" si="555">L248&amp;"$"</f>
        <v>2$</v>
      </c>
      <c r="S250" s="226"/>
      <c r="T250" s="227">
        <f ca="1">IF($Q248=2,IF(AND(ACOMPANHAMENTO="PLE",ISNUMBER($E248)),SUMIF((OFFSET(CÁLCULO!$BC$15:$BU$15,$E248,0,OFFSET(ORÇAMENTO!$D$15,CRONO!$E248,0))),"&lt;="&amp;CRONO!T$12,OFFSET(CÁLCULO!$AJ$15:$BB$15,$E248,0,OFFSET(ORÇAMENTO!$D$15,CRONO!$E248,0)))+IF(AND($E250&lt;&gt;"",$E250&lt;&gt;0),SUMIF(CÁLCULO!$BC$15:$BU$727,"&lt;="&amp;CRONO!T$12,CÁLCULO!$AJ$15:$BB$727)/(ORÇAMENTO!$X$15-CÁLCULO.TotalAdmLocal)*CRONO!$E250,0),T249*$R248),SUMIF(OFFSET($R250,1,0,$Q248-2),($L248+1)&amp;"$",OFFSET(T250,1,0,$Q248-2)))</f>
        <v>0</v>
      </c>
      <c r="U250" s="223">
        <f ca="1">IF($Q248=2,IF(AND(ACOMPANHAMENTO="PLE",ISNUMBER($E248)),SUMIF((OFFSET(CÁLCULO!$BC$15:$BU$15,$E248,0,OFFSET(ORÇAMENTO!$D$15,CRONO!$E248,0))),"="&amp;CRONO!U$12,OFFSET(CÁLCULO!$AJ$15:$BB$15,$E248,0,OFFSET(ORÇAMENTO!$D$15,CRONO!$E248,0)))+IF(AND($E250&lt;&gt;"",$E250&lt;&gt;0),SUMIF(CÁLCULO!$BC$15:$BU$727,"="&amp;CRONO!U$12,CÁLCULO!$AJ$15:$BB$727)/(ORÇAMENTO!$X$15-CÁLCULO.TotalAdmLocal)*CRONO!$E250,0),U249*$R248),SUMIF(OFFSET($R250,1,0,$Q248-2),($L248+1)&amp;"$",OFFSET(U250,1,0,$Q248-2)))</f>
        <v>0</v>
      </c>
      <c r="V250" s="223">
        <f ca="1">IF($Q248=2,IF(AND(ACOMPANHAMENTO="PLE",ISNUMBER($E248)),SUMIF((OFFSET(CÁLCULO!$BC$15:$BU$15,$E248,0,OFFSET(ORÇAMENTO!$D$15,CRONO!$E248,0))),"="&amp;CRONO!V$12,OFFSET(CÁLCULO!$AJ$15:$BB$15,$E248,0,OFFSET(ORÇAMENTO!$D$15,CRONO!$E248,0)))+IF(AND($E250&lt;&gt;"",$E250&lt;&gt;0),SUMIF(CÁLCULO!$BC$15:$BU$727,"="&amp;CRONO!V$12,CÁLCULO!$AJ$15:$BB$727)/(ORÇAMENTO!$X$15-CÁLCULO.TotalAdmLocal)*CRONO!$E250,0),V249*$R248),SUMIF(OFFSET($R250,1,0,$Q248-2),($L248+1)&amp;"$",OFFSET(V250,1,0,$Q248-2)))</f>
        <v>0</v>
      </c>
      <c r="W250" s="223">
        <f ca="1">IF($Q248=2,IF(AND(ACOMPANHAMENTO="PLE",ISNUMBER($E248)),SUMIF((OFFSET(CÁLCULO!$BC$15:$BU$15,$E248,0,OFFSET(ORÇAMENTO!$D$15,CRONO!$E248,0))),"="&amp;CRONO!W$12,OFFSET(CÁLCULO!$AJ$15:$BB$15,$E248,0,OFFSET(ORÇAMENTO!$D$15,CRONO!$E248,0)))+IF(AND($E250&lt;&gt;"",$E250&lt;&gt;0),SUMIF(CÁLCULO!$BC$15:$BU$727,"="&amp;CRONO!W$12,CÁLCULO!$AJ$15:$BB$727)/(ORÇAMENTO!$X$15-CÁLCULO.TotalAdmLocal)*CRONO!$E250,0),W249*$R248),SUMIF(OFFSET($R250,1,0,$Q248-2),($L248+1)&amp;"$",OFFSET(W250,1,0,$Q248-2)))</f>
        <v>0</v>
      </c>
      <c r="X250" s="223">
        <f ca="1">IF($Q248=2,IF(AND(ACOMPANHAMENTO="PLE",ISNUMBER($E248)),SUMIF((OFFSET(CÁLCULO!$BC$15:$BU$15,$E248,0,OFFSET(ORÇAMENTO!$D$15,CRONO!$E248,0))),"="&amp;CRONO!X$12,OFFSET(CÁLCULO!$AJ$15:$BB$15,$E248,0,OFFSET(ORÇAMENTO!$D$15,CRONO!$E248,0)))+IF(AND($E250&lt;&gt;"",$E250&lt;&gt;0),SUMIF(CÁLCULO!$BC$15:$BU$727,"="&amp;CRONO!X$12,CÁLCULO!$AJ$15:$BB$727)/(ORÇAMENTO!$X$15-CÁLCULO.TotalAdmLocal)*CRONO!$E250,0),X249*$R248),SUMIF(OFFSET($R250,1,0,$Q248-2),($L248+1)&amp;"$",OFFSET(X250,1,0,$Q248-2)))</f>
        <v>0</v>
      </c>
      <c r="Y250" s="223">
        <f ca="1">IF($Q248=2,IF(AND(ACOMPANHAMENTO="PLE",ISNUMBER($E248)),SUMIF((OFFSET(CÁLCULO!$BC$15:$BU$15,$E248,0,OFFSET(ORÇAMENTO!$D$15,CRONO!$E248,0))),"="&amp;CRONO!Y$12,OFFSET(CÁLCULO!$AJ$15:$BB$15,$E248,0,OFFSET(ORÇAMENTO!$D$15,CRONO!$E248,0)))+IF(AND($E250&lt;&gt;"",$E250&lt;&gt;0),SUMIF(CÁLCULO!$BC$15:$BU$727,"="&amp;CRONO!Y$12,CÁLCULO!$AJ$15:$BB$727)/(ORÇAMENTO!$X$15-CÁLCULO.TotalAdmLocal)*CRONO!$E250,0),Y249*$R248),SUMIF(OFFSET($R250,1,0,$Q248-2),($L248+1)&amp;"$",OFFSET(Y250,1,0,$Q248-2)))</f>
        <v>0</v>
      </c>
      <c r="Z250" s="223">
        <f ca="1">IF($Q248=2,IF(AND(ACOMPANHAMENTO="PLE",ISNUMBER($E248)),SUMIF((OFFSET(CÁLCULO!$BC$15:$BU$15,$E248,0,OFFSET(ORÇAMENTO!$D$15,CRONO!$E248,0))),"="&amp;CRONO!Z$12,OFFSET(CÁLCULO!$AJ$15:$BB$15,$E248,0,OFFSET(ORÇAMENTO!$D$15,CRONO!$E248,0)))+IF(AND($E250&lt;&gt;"",$E250&lt;&gt;0),SUMIF(CÁLCULO!$BC$15:$BU$727,"="&amp;CRONO!Z$12,CÁLCULO!$AJ$15:$BB$727)/(ORÇAMENTO!$X$15-CÁLCULO.TotalAdmLocal)*CRONO!$E250,0),Z249*$R248),SUMIF(OFFSET($R250,1,0,$Q248-2),($L248+1)&amp;"$",OFFSET(Z250,1,0,$Q248-2)))</f>
        <v>0</v>
      </c>
      <c r="AA250" s="223">
        <f ca="1">IF($Q248=2,IF(AND(ACOMPANHAMENTO="PLE",ISNUMBER($E248)),SUMIF((OFFSET(CÁLCULO!$BC$15:$BU$15,$E248,0,OFFSET(ORÇAMENTO!$D$15,CRONO!$E248,0))),"="&amp;CRONO!AA$12,OFFSET(CÁLCULO!$AJ$15:$BB$15,$E248,0,OFFSET(ORÇAMENTO!$D$15,CRONO!$E248,0)))+IF(AND($E250&lt;&gt;"",$E250&lt;&gt;0),SUMIF(CÁLCULO!$BC$15:$BU$727,"="&amp;CRONO!AA$12,CÁLCULO!$AJ$15:$BB$727)/(ORÇAMENTO!$X$15-CÁLCULO.TotalAdmLocal)*CRONO!$E250,0),AA249*$R248),SUMIF(OFFSET($R250,1,0,$Q248-2),($L248+1)&amp;"$",OFFSET(AA250,1,0,$Q248-2)))</f>
        <v>0</v>
      </c>
      <c r="AB250" s="223">
        <f ca="1">IF($Q248=2,IF(AND(ACOMPANHAMENTO="PLE",ISNUMBER($E248)),SUMIF((OFFSET(CÁLCULO!$BC$15:$BU$15,$E248,0,OFFSET(ORÇAMENTO!$D$15,CRONO!$E248,0))),"="&amp;CRONO!AB$12,OFFSET(CÁLCULO!$AJ$15:$BB$15,$E248,0,OFFSET(ORÇAMENTO!$D$15,CRONO!$E248,0)))+IF(AND($E250&lt;&gt;"",$E250&lt;&gt;0),SUMIF(CÁLCULO!$BC$15:$BU$727,"="&amp;CRONO!AB$12,CÁLCULO!$AJ$15:$BB$727)/(ORÇAMENTO!$X$15-CÁLCULO.TotalAdmLocal)*CRONO!$E250,0),AB249*$R248),SUMIF(OFFSET($R250,1,0,$Q248-2),($L248+1)&amp;"$",OFFSET(AB250,1,0,$Q248-2)))</f>
        <v>0</v>
      </c>
      <c r="AC250" s="223">
        <f ca="1">IF($Q248=2,IF(AND(ACOMPANHAMENTO="PLE",ISNUMBER($E248)),SUMIF((OFFSET(CÁLCULO!$BC$15:$BU$15,$E248,0,OFFSET(ORÇAMENTO!$D$15,CRONO!$E248,0))),"="&amp;CRONO!AC$12,OFFSET(CÁLCULO!$AJ$15:$BB$15,$E248,0,OFFSET(ORÇAMENTO!$D$15,CRONO!$E248,0)))+IF(AND($E250&lt;&gt;"",$E250&lt;&gt;0),SUMIF(CÁLCULO!$BC$15:$BU$727,"="&amp;CRONO!AC$12,CÁLCULO!$AJ$15:$BB$727)/(ORÇAMENTO!$X$15-CÁLCULO.TotalAdmLocal)*CRONO!$E250,0),AC249*$R248),SUMIF(OFFSET($R250,1,0,$Q248-2),($L248+1)&amp;"$",OFFSET(AC250,1,0,$Q248-2)))</f>
        <v>0</v>
      </c>
      <c r="AD250" s="223">
        <f ca="1">IF($Q248=2,IF(AND(ACOMPANHAMENTO="PLE",ISNUMBER($E248)),SUMIF((OFFSET(CÁLCULO!$BC$15:$BU$15,$E248,0,OFFSET(ORÇAMENTO!$D$15,CRONO!$E248,0))),"="&amp;CRONO!AD$12,OFFSET(CÁLCULO!$AJ$15:$BB$15,$E248,0,OFFSET(ORÇAMENTO!$D$15,CRONO!$E248,0)))+IF(AND($E250&lt;&gt;"",$E250&lt;&gt;0),SUMIF(CÁLCULO!$BC$15:$BU$727,"="&amp;CRONO!AD$12,CÁLCULO!$AJ$15:$BB$727)/(ORÇAMENTO!$X$15-CÁLCULO.TotalAdmLocal)*CRONO!$E250,0),AD249*$R248),SUMIF(OFFSET($R250,1,0,$Q248-2),($L248+1)&amp;"$",OFFSET(AD250,1,0,$Q248-2)))</f>
        <v>0</v>
      </c>
      <c r="AE250" s="228">
        <f ca="1">IF($Q248=2,IF(AND(ACOMPANHAMENTO="PLE",ISNUMBER($E248)),SUMIF((OFFSET(CÁLCULO!$BC$15:$BU$15,$E248,0,OFFSET(ORÇAMENTO!$D$15,CRONO!$E248,0))),"="&amp;CRONO!AE$12,OFFSET(CÁLCULO!$AJ$15:$BB$15,$E248,0,OFFSET(ORÇAMENTO!$D$15,CRONO!$E248,0)))+IF(AND($E250&lt;&gt;"",$E250&lt;&gt;0),SUMIF(CÁLCULO!$BC$15:$BU$727,"="&amp;CRONO!AE$12,CÁLCULO!$AJ$15:$BB$727)/(ORÇAMENTO!$X$15-CÁLCULO.TotalAdmLocal)*CRONO!$E250,0),AE249*$R248),SUMIF(OFFSET($R250,1,0,$Q248-2),($L248+1)&amp;"$",OFFSET(AE250,1,0,$Q248-2)))</f>
        <v>0</v>
      </c>
    </row>
    <row r="251" spans="1:32" x14ac:dyDescent="0.2">
      <c r="A251" s="204">
        <f t="shared" ref="A251" ca="1" si="556">OFFSET(A251,-3,0)+1</f>
        <v>80</v>
      </c>
      <c r="B251" s="204">
        <f ca="1">IF($Q251&lt;&gt;2,0,IF($R251=0,1,IF(E252&gt;0,OFFSET(QCI!$M$13,SUBSTITUTE(E252,".",""),0),OFFSET(ORÇAMENTO!$AA$15,CRONO!$E251,0))/$R251))</f>
        <v>1</v>
      </c>
      <c r="C251" s="204">
        <f ca="1">IF($Q251&lt;&gt;2,0,IF($R251=0,1,IF(E252&gt;0,OFFSET(QCI!$N$13,SUBSTITUTE(E252,".",""),0),OFFSET(ORÇAMENTO!$AB$15,CRONO!$E251,0))/$R251))</f>
        <v>1</v>
      </c>
      <c r="D251" s="207" t="e">
        <f ca="1">IF(AND($Q251=2,ACOMPANHAMENTO="BM"),D252,D253/$R251)</f>
        <v>#DIV/0!</v>
      </c>
      <c r="E251" s="204">
        <f ca="1">IF(A251&lt;=ORÇAMENTO.MáximoListaCrono,MATCH(A251,ORÇAMENTO.ListaCrono,0),NA())</f>
        <v>700</v>
      </c>
      <c r="F251" s="204" t="str">
        <f t="shared" ref="F251" ca="1" si="557">IF(AND($E252&lt;&gt;-1,$R251&gt;0),"F","")</f>
        <v/>
      </c>
      <c r="G251" s="208" t="str">
        <f ca="1">IF(OR(R251=0,R251=""),"Linha",IF(AND(OR(ACOMPANHAMENTO="PLE",$Q251&lt;&gt;2),$E252=0),"Linha",1-SUM(T251:AF251)))</f>
        <v>Linha</v>
      </c>
      <c r="H251" s="209" t="str">
        <f ca="1">IF($E252=0,OFFSET(ORÇAMENTO!O$15,$E251,0),IF($E252&lt;&gt;-1,OFFSET(QCI!$D$13,$E252,0),""))</f>
        <v>1.79.</v>
      </c>
      <c r="I251" s="210" t="str">
        <f ca="1">IF($E252=0,OFFSET(ORÇAMENTO!R$15,$E251,0),IF($E252&lt;&gt;-1,OFFSET(QCI!$G$13,$E252,0),""))</f>
        <v>MURO DE FECHAMENTO - REVESTIMENTO</v>
      </c>
      <c r="J251" s="210"/>
      <c r="K251" s="210"/>
      <c r="L251" s="211">
        <f ca="1">IF($E252=0,OFFSET(ORÇAMENTO!C$15,$E251,0),1)</f>
        <v>2</v>
      </c>
      <c r="M251" s="212">
        <f ca="1">IF($E252=-1,0,IF(M$13&lt;=$L251,IF(ISERROR(MATCH(M$13,OFFSET($L251,1,0,ROW($L$260)-ROW($L251)-1),0)),ROW($L$260)-ROW($L251)-1,MATCH(M$13,OFFSET($L251,1,0,ROW($L$260)-ROW($L251)-1),0)-1),0))</f>
        <v>8</v>
      </c>
      <c r="N251" s="212">
        <f ca="1">IF($E252=-1,0,IF(N$13&lt;=$L251,IF(ISERROR(MATCH(N$13,OFFSET($L251,1,0,ROW($L$260)-ROW($L251)-1),0)),ROW($L$260)-ROW($L251)-1,MATCH(N$13,OFFSET($L251,1,0,ROW($L$260)-ROW($L251)-1),0)-1),0))</f>
        <v>2</v>
      </c>
      <c r="O251" s="212">
        <f ca="1">IF($E252=-1,0,IF(O$13&lt;=$L251,IF(ISERROR(MATCH(O$13,OFFSET($L251,1,0,ROW($L$260)-ROW($L251)-1),0)),ROW($L$260)-ROW($L251)-1,MATCH(O$13,OFFSET($L251,1,0,ROW($L$260)-ROW($L251)-1),0)-1),0))</f>
        <v>0</v>
      </c>
      <c r="P251" s="212">
        <f ca="1">IF($E252=-1,0,IF(P$13&lt;=$L251,IF(ISERROR(MATCH(P$13,OFFSET($L251,1,0,ROW($L$260)-ROW($L251)-1),0)),ROW($L$260)-ROW($L251)-1,MATCH(P$13,OFFSET($L251,1,0,ROW($L$260)-ROW($L251)-1),0)-1),0))</f>
        <v>0</v>
      </c>
      <c r="Q251" s="212">
        <f t="shared" ref="Q251" ca="1" si="558">MIN(OFFSET(L251,0,1,,L251))</f>
        <v>2</v>
      </c>
      <c r="R251" s="213">
        <f ca="1">IF($E252=0,OFFSET(ORÇAMENTO!X$15,$E251,0),IF($E252&lt;&gt;-1,OFFSET(QCI!$O$13,$E252,0),""))</f>
        <v>0</v>
      </c>
      <c r="S251" s="214" t="s">
        <v>270</v>
      </c>
      <c r="T251" s="215" t="e">
        <f t="shared" ref="T251:AE251" ca="1" si="559">IF(AND($Q251=2,ACOMPANHAMENTO="BM"),T252,T253/$R251)</f>
        <v>#DIV/0!</v>
      </c>
      <c r="U251" s="207" t="e">
        <f t="shared" ca="1" si="559"/>
        <v>#DIV/0!</v>
      </c>
      <c r="V251" s="207" t="e">
        <f t="shared" ca="1" si="559"/>
        <v>#DIV/0!</v>
      </c>
      <c r="W251" s="207" t="e">
        <f t="shared" ca="1" si="559"/>
        <v>#DIV/0!</v>
      </c>
      <c r="X251" s="207" t="e">
        <f t="shared" ca="1" si="559"/>
        <v>#DIV/0!</v>
      </c>
      <c r="Y251" s="207" t="e">
        <f t="shared" ca="1" si="559"/>
        <v>#DIV/0!</v>
      </c>
      <c r="Z251" s="207" t="e">
        <f t="shared" ca="1" si="559"/>
        <v>#DIV/0!</v>
      </c>
      <c r="AA251" s="207" t="e">
        <f t="shared" ca="1" si="559"/>
        <v>#DIV/0!</v>
      </c>
      <c r="AB251" s="207" t="e">
        <f t="shared" ca="1" si="559"/>
        <v>#DIV/0!</v>
      </c>
      <c r="AC251" s="207" t="e">
        <f t="shared" ca="1" si="559"/>
        <v>#DIV/0!</v>
      </c>
      <c r="AD251" s="207" t="e">
        <f t="shared" ca="1" si="559"/>
        <v>#DIV/0!</v>
      </c>
      <c r="AE251" s="216" t="e">
        <f t="shared" ca="1" si="559"/>
        <v>#DIV/0!</v>
      </c>
    </row>
    <row r="252" spans="1:32" ht="12.75" customHeight="1" x14ac:dyDescent="0.2">
      <c r="D252" s="569"/>
      <c r="E252" s="204">
        <f ca="1">IF(ISERROR(E251),IF(1+COUNTIF($L$13:OFFSET(L251,-1,0),1)&lt;=MAX(QCI!$D$13:$D$24),1+COUNTIF($L$13:OFFSET(L251,-1,0),1),-1),0)</f>
        <v>0</v>
      </c>
      <c r="F252" s="204" t="str">
        <f t="shared" ref="F252" ca="1" si="560">IF(AND($E252&lt;&gt;-1,$R251&gt;0),"F","")</f>
        <v/>
      </c>
      <c r="G252" s="217" t="str">
        <f ca="1">IF(OR(R251=0,R251=""),"vazia",IF(AND(OR(ACOMPANHAMENTO="PLE",$Q251&lt;&gt;2),$E252=0),"calculada","--&gt;"))</f>
        <v>vazia</v>
      </c>
      <c r="H252" s="218"/>
      <c r="I252" s="219" t="str">
        <f t="shared" ref="I252" ca="1" si="561">IF(AND(G251&lt;&gt;0,ISNUMBER(G251)),"PREENCHA ESTA LINHA --&gt;","")</f>
        <v/>
      </c>
      <c r="J252" s="219"/>
      <c r="K252" s="219"/>
      <c r="L252" s="220"/>
      <c r="M252" s="220"/>
      <c r="N252" s="220"/>
      <c r="O252" s="220"/>
      <c r="P252" s="220"/>
      <c r="Q252" s="220"/>
      <c r="R252" s="221"/>
      <c r="S252" s="222"/>
      <c r="T252" s="570"/>
      <c r="U252" s="569"/>
      <c r="V252" s="569"/>
      <c r="W252" s="569"/>
      <c r="X252" s="569"/>
      <c r="Y252" s="569"/>
      <c r="Z252" s="569"/>
      <c r="AA252" s="569"/>
      <c r="AB252" s="569"/>
      <c r="AC252" s="569"/>
      <c r="AD252" s="569"/>
      <c r="AE252" s="571"/>
      <c r="AF252" s="533"/>
    </row>
    <row r="253" spans="1:32" ht="0.2" hidden="1" customHeight="1" x14ac:dyDescent="0.2">
      <c r="D253" s="223">
        <f ca="1">IF($Q251=2,IF(AND(ACOMPANHAMENTO="PLE",ISNUMBER($E251)),SUMIF((OFFSET(CÁLCULO!$BC$15:$BU$15,$E251,0,OFFSET(ORÇAMENTO!$D$15,CRONO!$E251,0))),"="&amp;CRONO!D$12,OFFSET(CÁLCULO!$AJ$15:$BB$15,$E251,0,OFFSET(ORÇAMENTO!$D$15,CRONO!$E251,0)))+IF(AND($E253&lt;&gt;"",$E253&lt;&gt;0),SUMIF(CÁLCULO!$BC$15:$BU$727,"="&amp;CRONO!D$12,CÁLCULO!$AJ$15:$BB$727)/(ORÇAMENTO!$X$15-CÁLCULO.TotalAdmLocal)*CRONO!$E253,0),D252*$R251),SUMIF(OFFSET($R253,1,0,$Q251-2),($L251+1)&amp;"$",OFFSET(D253,1,0,$Q251-2)))</f>
        <v>0</v>
      </c>
      <c r="E253" s="204" t="str">
        <f ca="1">IF(OR($Q251&lt;&gt;2,AUTOEVENTO&lt;&gt;"manual",$E252&gt;0),"",SUMIF(OFFSET(CÁLCULO!$M$15,CRONO!$E251,0,OFFSET(ORÇAMENTO!$D$15,CRONO!$E251,0)),1,OFFSET(ORÇAMENTO!$X$15,CRONO!$E251,0,OFFSET(ORÇAMENTO!$D$15,CRONO!$E251,0))))</f>
        <v/>
      </c>
      <c r="G253" s="224"/>
      <c r="R253" s="225" t="str">
        <f t="shared" ref="R253" ca="1" si="562">L251&amp;"$"</f>
        <v>2$</v>
      </c>
      <c r="S253" s="226"/>
      <c r="T253" s="227">
        <f ca="1">IF($Q251=2,IF(AND(ACOMPANHAMENTO="PLE",ISNUMBER($E251)),SUMIF((OFFSET(CÁLCULO!$BC$15:$BU$15,$E251,0,OFFSET(ORÇAMENTO!$D$15,CRONO!$E251,0))),"&lt;="&amp;CRONO!T$12,OFFSET(CÁLCULO!$AJ$15:$BB$15,$E251,0,OFFSET(ORÇAMENTO!$D$15,CRONO!$E251,0)))+IF(AND($E253&lt;&gt;"",$E253&lt;&gt;0),SUMIF(CÁLCULO!$BC$15:$BU$727,"&lt;="&amp;CRONO!T$12,CÁLCULO!$AJ$15:$BB$727)/(ORÇAMENTO!$X$15-CÁLCULO.TotalAdmLocal)*CRONO!$E253,0),T252*$R251),SUMIF(OFFSET($R253,1,0,$Q251-2),($L251+1)&amp;"$",OFFSET(T253,1,0,$Q251-2)))</f>
        <v>0</v>
      </c>
      <c r="U253" s="223">
        <f ca="1">IF($Q251=2,IF(AND(ACOMPANHAMENTO="PLE",ISNUMBER($E251)),SUMIF((OFFSET(CÁLCULO!$BC$15:$BU$15,$E251,0,OFFSET(ORÇAMENTO!$D$15,CRONO!$E251,0))),"="&amp;CRONO!U$12,OFFSET(CÁLCULO!$AJ$15:$BB$15,$E251,0,OFFSET(ORÇAMENTO!$D$15,CRONO!$E251,0)))+IF(AND($E253&lt;&gt;"",$E253&lt;&gt;0),SUMIF(CÁLCULO!$BC$15:$BU$727,"="&amp;CRONO!U$12,CÁLCULO!$AJ$15:$BB$727)/(ORÇAMENTO!$X$15-CÁLCULO.TotalAdmLocal)*CRONO!$E253,0),U252*$R251),SUMIF(OFFSET($R253,1,0,$Q251-2),($L251+1)&amp;"$",OFFSET(U253,1,0,$Q251-2)))</f>
        <v>0</v>
      </c>
      <c r="V253" s="223">
        <f ca="1">IF($Q251=2,IF(AND(ACOMPANHAMENTO="PLE",ISNUMBER($E251)),SUMIF((OFFSET(CÁLCULO!$BC$15:$BU$15,$E251,0,OFFSET(ORÇAMENTO!$D$15,CRONO!$E251,0))),"="&amp;CRONO!V$12,OFFSET(CÁLCULO!$AJ$15:$BB$15,$E251,0,OFFSET(ORÇAMENTO!$D$15,CRONO!$E251,0)))+IF(AND($E253&lt;&gt;"",$E253&lt;&gt;0),SUMIF(CÁLCULO!$BC$15:$BU$727,"="&amp;CRONO!V$12,CÁLCULO!$AJ$15:$BB$727)/(ORÇAMENTO!$X$15-CÁLCULO.TotalAdmLocal)*CRONO!$E253,0),V252*$R251),SUMIF(OFFSET($R253,1,0,$Q251-2),($L251+1)&amp;"$",OFFSET(V253,1,0,$Q251-2)))</f>
        <v>0</v>
      </c>
      <c r="W253" s="223">
        <f ca="1">IF($Q251=2,IF(AND(ACOMPANHAMENTO="PLE",ISNUMBER($E251)),SUMIF((OFFSET(CÁLCULO!$BC$15:$BU$15,$E251,0,OFFSET(ORÇAMENTO!$D$15,CRONO!$E251,0))),"="&amp;CRONO!W$12,OFFSET(CÁLCULO!$AJ$15:$BB$15,$E251,0,OFFSET(ORÇAMENTO!$D$15,CRONO!$E251,0)))+IF(AND($E253&lt;&gt;"",$E253&lt;&gt;0),SUMIF(CÁLCULO!$BC$15:$BU$727,"="&amp;CRONO!W$12,CÁLCULO!$AJ$15:$BB$727)/(ORÇAMENTO!$X$15-CÁLCULO.TotalAdmLocal)*CRONO!$E253,0),W252*$R251),SUMIF(OFFSET($R253,1,0,$Q251-2),($L251+1)&amp;"$",OFFSET(W253,1,0,$Q251-2)))</f>
        <v>0</v>
      </c>
      <c r="X253" s="223">
        <f ca="1">IF($Q251=2,IF(AND(ACOMPANHAMENTO="PLE",ISNUMBER($E251)),SUMIF((OFFSET(CÁLCULO!$BC$15:$BU$15,$E251,0,OFFSET(ORÇAMENTO!$D$15,CRONO!$E251,0))),"="&amp;CRONO!X$12,OFFSET(CÁLCULO!$AJ$15:$BB$15,$E251,0,OFFSET(ORÇAMENTO!$D$15,CRONO!$E251,0)))+IF(AND($E253&lt;&gt;"",$E253&lt;&gt;0),SUMIF(CÁLCULO!$BC$15:$BU$727,"="&amp;CRONO!X$12,CÁLCULO!$AJ$15:$BB$727)/(ORÇAMENTO!$X$15-CÁLCULO.TotalAdmLocal)*CRONO!$E253,0),X252*$R251),SUMIF(OFFSET($R253,1,0,$Q251-2),($L251+1)&amp;"$",OFFSET(X253,1,0,$Q251-2)))</f>
        <v>0</v>
      </c>
      <c r="Y253" s="223">
        <f ca="1">IF($Q251=2,IF(AND(ACOMPANHAMENTO="PLE",ISNUMBER($E251)),SUMIF((OFFSET(CÁLCULO!$BC$15:$BU$15,$E251,0,OFFSET(ORÇAMENTO!$D$15,CRONO!$E251,0))),"="&amp;CRONO!Y$12,OFFSET(CÁLCULO!$AJ$15:$BB$15,$E251,0,OFFSET(ORÇAMENTO!$D$15,CRONO!$E251,0)))+IF(AND($E253&lt;&gt;"",$E253&lt;&gt;0),SUMIF(CÁLCULO!$BC$15:$BU$727,"="&amp;CRONO!Y$12,CÁLCULO!$AJ$15:$BB$727)/(ORÇAMENTO!$X$15-CÁLCULO.TotalAdmLocal)*CRONO!$E253,0),Y252*$R251),SUMIF(OFFSET($R253,1,0,$Q251-2),($L251+1)&amp;"$",OFFSET(Y253,1,0,$Q251-2)))</f>
        <v>0</v>
      </c>
      <c r="Z253" s="223">
        <f ca="1">IF($Q251=2,IF(AND(ACOMPANHAMENTO="PLE",ISNUMBER($E251)),SUMIF((OFFSET(CÁLCULO!$BC$15:$BU$15,$E251,0,OFFSET(ORÇAMENTO!$D$15,CRONO!$E251,0))),"="&amp;CRONO!Z$12,OFFSET(CÁLCULO!$AJ$15:$BB$15,$E251,0,OFFSET(ORÇAMENTO!$D$15,CRONO!$E251,0)))+IF(AND($E253&lt;&gt;"",$E253&lt;&gt;0),SUMIF(CÁLCULO!$BC$15:$BU$727,"="&amp;CRONO!Z$12,CÁLCULO!$AJ$15:$BB$727)/(ORÇAMENTO!$X$15-CÁLCULO.TotalAdmLocal)*CRONO!$E253,0),Z252*$R251),SUMIF(OFFSET($R253,1,0,$Q251-2),($L251+1)&amp;"$",OFFSET(Z253,1,0,$Q251-2)))</f>
        <v>0</v>
      </c>
      <c r="AA253" s="223">
        <f ca="1">IF($Q251=2,IF(AND(ACOMPANHAMENTO="PLE",ISNUMBER($E251)),SUMIF((OFFSET(CÁLCULO!$BC$15:$BU$15,$E251,0,OFFSET(ORÇAMENTO!$D$15,CRONO!$E251,0))),"="&amp;CRONO!AA$12,OFFSET(CÁLCULO!$AJ$15:$BB$15,$E251,0,OFFSET(ORÇAMENTO!$D$15,CRONO!$E251,0)))+IF(AND($E253&lt;&gt;"",$E253&lt;&gt;0),SUMIF(CÁLCULO!$BC$15:$BU$727,"="&amp;CRONO!AA$12,CÁLCULO!$AJ$15:$BB$727)/(ORÇAMENTO!$X$15-CÁLCULO.TotalAdmLocal)*CRONO!$E253,0),AA252*$R251),SUMIF(OFFSET($R253,1,0,$Q251-2),($L251+1)&amp;"$",OFFSET(AA253,1,0,$Q251-2)))</f>
        <v>0</v>
      </c>
      <c r="AB253" s="223">
        <f ca="1">IF($Q251=2,IF(AND(ACOMPANHAMENTO="PLE",ISNUMBER($E251)),SUMIF((OFFSET(CÁLCULO!$BC$15:$BU$15,$E251,0,OFFSET(ORÇAMENTO!$D$15,CRONO!$E251,0))),"="&amp;CRONO!AB$12,OFFSET(CÁLCULO!$AJ$15:$BB$15,$E251,0,OFFSET(ORÇAMENTO!$D$15,CRONO!$E251,0)))+IF(AND($E253&lt;&gt;"",$E253&lt;&gt;0),SUMIF(CÁLCULO!$BC$15:$BU$727,"="&amp;CRONO!AB$12,CÁLCULO!$AJ$15:$BB$727)/(ORÇAMENTO!$X$15-CÁLCULO.TotalAdmLocal)*CRONO!$E253,0),AB252*$R251),SUMIF(OFFSET($R253,1,0,$Q251-2),($L251+1)&amp;"$",OFFSET(AB253,1,0,$Q251-2)))</f>
        <v>0</v>
      </c>
      <c r="AC253" s="223">
        <f ca="1">IF($Q251=2,IF(AND(ACOMPANHAMENTO="PLE",ISNUMBER($E251)),SUMIF((OFFSET(CÁLCULO!$BC$15:$BU$15,$E251,0,OFFSET(ORÇAMENTO!$D$15,CRONO!$E251,0))),"="&amp;CRONO!AC$12,OFFSET(CÁLCULO!$AJ$15:$BB$15,$E251,0,OFFSET(ORÇAMENTO!$D$15,CRONO!$E251,0)))+IF(AND($E253&lt;&gt;"",$E253&lt;&gt;0),SUMIF(CÁLCULO!$BC$15:$BU$727,"="&amp;CRONO!AC$12,CÁLCULO!$AJ$15:$BB$727)/(ORÇAMENTO!$X$15-CÁLCULO.TotalAdmLocal)*CRONO!$E253,0),AC252*$R251),SUMIF(OFFSET($R253,1,0,$Q251-2),($L251+1)&amp;"$",OFFSET(AC253,1,0,$Q251-2)))</f>
        <v>0</v>
      </c>
      <c r="AD253" s="223">
        <f ca="1">IF($Q251=2,IF(AND(ACOMPANHAMENTO="PLE",ISNUMBER($E251)),SUMIF((OFFSET(CÁLCULO!$BC$15:$BU$15,$E251,0,OFFSET(ORÇAMENTO!$D$15,CRONO!$E251,0))),"="&amp;CRONO!AD$12,OFFSET(CÁLCULO!$AJ$15:$BB$15,$E251,0,OFFSET(ORÇAMENTO!$D$15,CRONO!$E251,0)))+IF(AND($E253&lt;&gt;"",$E253&lt;&gt;0),SUMIF(CÁLCULO!$BC$15:$BU$727,"="&amp;CRONO!AD$12,CÁLCULO!$AJ$15:$BB$727)/(ORÇAMENTO!$X$15-CÁLCULO.TotalAdmLocal)*CRONO!$E253,0),AD252*$R251),SUMIF(OFFSET($R253,1,0,$Q251-2),($L251+1)&amp;"$",OFFSET(AD253,1,0,$Q251-2)))</f>
        <v>0</v>
      </c>
      <c r="AE253" s="228">
        <f ca="1">IF($Q251=2,IF(AND(ACOMPANHAMENTO="PLE",ISNUMBER($E251)),SUMIF((OFFSET(CÁLCULO!$BC$15:$BU$15,$E251,0,OFFSET(ORÇAMENTO!$D$15,CRONO!$E251,0))),"="&amp;CRONO!AE$12,OFFSET(CÁLCULO!$AJ$15:$BB$15,$E251,0,OFFSET(ORÇAMENTO!$D$15,CRONO!$E251,0)))+IF(AND($E253&lt;&gt;"",$E253&lt;&gt;0),SUMIF(CÁLCULO!$BC$15:$BU$727,"="&amp;CRONO!AE$12,CÁLCULO!$AJ$15:$BB$727)/(ORÇAMENTO!$X$15-CÁLCULO.TotalAdmLocal)*CRONO!$E253,0),AE252*$R251),SUMIF(OFFSET($R253,1,0,$Q251-2),($L251+1)&amp;"$",OFFSET(AE253,1,0,$Q251-2)))</f>
        <v>0</v>
      </c>
    </row>
    <row r="254" spans="1:32" x14ac:dyDescent="0.2">
      <c r="A254" s="204">
        <f t="shared" ref="A254" ca="1" si="563">OFFSET(A254,-3,0)+1</f>
        <v>81</v>
      </c>
      <c r="B254" s="204">
        <f ca="1">IF($Q254&lt;&gt;2,0,IF($R254=0,1,IF(E255&gt;0,OFFSET(QCI!$M$13,SUBSTITUTE(E255,".",""),0),OFFSET(ORÇAMENTO!$AA$15,CRONO!$E254,0))/$R254))</f>
        <v>1</v>
      </c>
      <c r="C254" s="204">
        <f ca="1">IF($Q254&lt;&gt;2,0,IF($R254=0,1,IF(E255&gt;0,OFFSET(QCI!$N$13,SUBSTITUTE(E255,".",""),0),OFFSET(ORÇAMENTO!$AB$15,CRONO!$E254,0))/$R254))</f>
        <v>1</v>
      </c>
      <c r="D254" s="207" t="e">
        <f ca="1">IF(AND($Q254=2,ACOMPANHAMENTO="BM"),D255,D256/$R254)</f>
        <v>#DIV/0!</v>
      </c>
      <c r="E254" s="204">
        <f ca="1">IF(A254&lt;=ORÇAMENTO.MáximoListaCrono,MATCH(A254,ORÇAMENTO.ListaCrono,0),NA())</f>
        <v>706</v>
      </c>
      <c r="F254" s="204" t="str">
        <f t="shared" ref="F254" ca="1" si="564">IF(AND($E255&lt;&gt;-1,$R254&gt;0),"F","")</f>
        <v/>
      </c>
      <c r="G254" s="208" t="str">
        <f ca="1">IF(OR(R254=0,R254=""),"Linha",IF(AND(OR(ACOMPANHAMENTO="PLE",$Q254&lt;&gt;2),$E255=0),"Linha",1-SUM(T254:AF254)))</f>
        <v>Linha</v>
      </c>
      <c r="H254" s="209" t="str">
        <f ca="1">IF($E255=0,OFFSET(ORÇAMENTO!O$15,$E254,0),IF($E255&lt;&gt;-1,OFFSET(QCI!$D$13,$E255,0),""))</f>
        <v>1.80.</v>
      </c>
      <c r="I254" s="210" t="str">
        <f ca="1">IF($E255=0,OFFSET(ORÇAMENTO!R$15,$E254,0),IF($E255&lt;&gt;-1,OFFSET(QCI!$G$13,$E255,0),""))</f>
        <v>MURO DE FECHAMENTO - PINTURA</v>
      </c>
      <c r="J254" s="210"/>
      <c r="K254" s="210"/>
      <c r="L254" s="211">
        <f ca="1">IF($E255=0,OFFSET(ORÇAMENTO!C$15,$E254,0),1)</f>
        <v>2</v>
      </c>
      <c r="M254" s="212">
        <f ca="1">IF($E255=-1,0,IF(M$13&lt;=$L254,IF(ISERROR(MATCH(M$13,OFFSET($L254,1,0,ROW($L$260)-ROW($L254)-1),0)),ROW($L$260)-ROW($L254)-1,MATCH(M$13,OFFSET($L254,1,0,ROW($L$260)-ROW($L254)-1),0)-1),0))</f>
        <v>5</v>
      </c>
      <c r="N254" s="212">
        <f ca="1">IF($E255=-1,0,IF(N$13&lt;=$L254,IF(ISERROR(MATCH(N$13,OFFSET($L254,1,0,ROW($L$260)-ROW($L254)-1),0)),ROW($L$260)-ROW($L254)-1,MATCH(N$13,OFFSET($L254,1,0,ROW($L$260)-ROW($L254)-1),0)-1),0))</f>
        <v>2</v>
      </c>
      <c r="O254" s="212">
        <f ca="1">IF($E255=-1,0,IF(O$13&lt;=$L254,IF(ISERROR(MATCH(O$13,OFFSET($L254,1,0,ROW($L$260)-ROW($L254)-1),0)),ROW($L$260)-ROW($L254)-1,MATCH(O$13,OFFSET($L254,1,0,ROW($L$260)-ROW($L254)-1),0)-1),0))</f>
        <v>0</v>
      </c>
      <c r="P254" s="212">
        <f ca="1">IF($E255=-1,0,IF(P$13&lt;=$L254,IF(ISERROR(MATCH(P$13,OFFSET($L254,1,0,ROW($L$260)-ROW($L254)-1),0)),ROW($L$260)-ROW($L254)-1,MATCH(P$13,OFFSET($L254,1,0,ROW($L$260)-ROW($L254)-1),0)-1),0))</f>
        <v>0</v>
      </c>
      <c r="Q254" s="212">
        <f t="shared" ref="Q254" ca="1" si="565">MIN(OFFSET(L254,0,1,,L254))</f>
        <v>2</v>
      </c>
      <c r="R254" s="213">
        <f ca="1">IF($E255=0,OFFSET(ORÇAMENTO!X$15,$E254,0),IF($E255&lt;&gt;-1,OFFSET(QCI!$O$13,$E255,0),""))</f>
        <v>0</v>
      </c>
      <c r="S254" s="214" t="s">
        <v>270</v>
      </c>
      <c r="T254" s="215" t="e">
        <f t="shared" ref="T254:AE254" ca="1" si="566">IF(AND($Q254=2,ACOMPANHAMENTO="BM"),T255,T256/$R254)</f>
        <v>#DIV/0!</v>
      </c>
      <c r="U254" s="207" t="e">
        <f t="shared" ca="1" si="566"/>
        <v>#DIV/0!</v>
      </c>
      <c r="V254" s="207" t="e">
        <f t="shared" ca="1" si="566"/>
        <v>#DIV/0!</v>
      </c>
      <c r="W254" s="207" t="e">
        <f t="shared" ca="1" si="566"/>
        <v>#DIV/0!</v>
      </c>
      <c r="X254" s="207" t="e">
        <f t="shared" ca="1" si="566"/>
        <v>#DIV/0!</v>
      </c>
      <c r="Y254" s="207" t="e">
        <f t="shared" ca="1" si="566"/>
        <v>#DIV/0!</v>
      </c>
      <c r="Z254" s="207" t="e">
        <f t="shared" ca="1" si="566"/>
        <v>#DIV/0!</v>
      </c>
      <c r="AA254" s="207" t="e">
        <f t="shared" ca="1" si="566"/>
        <v>#DIV/0!</v>
      </c>
      <c r="AB254" s="207" t="e">
        <f t="shared" ca="1" si="566"/>
        <v>#DIV/0!</v>
      </c>
      <c r="AC254" s="207" t="e">
        <f t="shared" ca="1" si="566"/>
        <v>#DIV/0!</v>
      </c>
      <c r="AD254" s="207" t="e">
        <f t="shared" ca="1" si="566"/>
        <v>#DIV/0!</v>
      </c>
      <c r="AE254" s="216" t="e">
        <f t="shared" ca="1" si="566"/>
        <v>#DIV/0!</v>
      </c>
    </row>
    <row r="255" spans="1:32" ht="12.75" customHeight="1" x14ac:dyDescent="0.2">
      <c r="D255" s="569"/>
      <c r="E255" s="204">
        <f ca="1">IF(ISERROR(E254),IF(1+COUNTIF($L$13:OFFSET(L254,-1,0),1)&lt;=MAX(QCI!$D$13:$D$24),1+COUNTIF($L$13:OFFSET(L254,-1,0),1),-1),0)</f>
        <v>0</v>
      </c>
      <c r="F255" s="204" t="str">
        <f t="shared" ref="F255" ca="1" si="567">IF(AND($E255&lt;&gt;-1,$R254&gt;0),"F","")</f>
        <v/>
      </c>
      <c r="G255" s="217" t="str">
        <f ca="1">IF(OR(R254=0,R254=""),"vazia",IF(AND(OR(ACOMPANHAMENTO="PLE",$Q254&lt;&gt;2),$E255=0),"calculada","--&gt;"))</f>
        <v>vazia</v>
      </c>
      <c r="H255" s="218"/>
      <c r="I255" s="219" t="str">
        <f t="shared" ref="I255" ca="1" si="568">IF(AND(G254&lt;&gt;0,ISNUMBER(G254)),"PREENCHA ESTA LINHA --&gt;","")</f>
        <v/>
      </c>
      <c r="J255" s="219"/>
      <c r="K255" s="219"/>
      <c r="L255" s="220"/>
      <c r="M255" s="220"/>
      <c r="N255" s="220"/>
      <c r="O255" s="220"/>
      <c r="P255" s="220"/>
      <c r="Q255" s="220"/>
      <c r="R255" s="221"/>
      <c r="S255" s="222"/>
      <c r="T255" s="570"/>
      <c r="U255" s="569"/>
      <c r="V255" s="569"/>
      <c r="W255" s="569"/>
      <c r="X255" s="569"/>
      <c r="Y255" s="569"/>
      <c r="Z255" s="569"/>
      <c r="AA255" s="569"/>
      <c r="AB255" s="569"/>
      <c r="AC255" s="569"/>
      <c r="AD255" s="569"/>
      <c r="AE255" s="571"/>
      <c r="AF255" s="533"/>
    </row>
    <row r="256" spans="1:32" ht="0.2" hidden="1" customHeight="1" x14ac:dyDescent="0.2">
      <c r="D256" s="223">
        <f ca="1">IF($Q254=2,IF(AND(ACOMPANHAMENTO="PLE",ISNUMBER($E254)),SUMIF((OFFSET(CÁLCULO!$BC$15:$BU$15,$E254,0,OFFSET(ORÇAMENTO!$D$15,CRONO!$E254,0))),"="&amp;CRONO!D$12,OFFSET(CÁLCULO!$AJ$15:$BB$15,$E254,0,OFFSET(ORÇAMENTO!$D$15,CRONO!$E254,0)))+IF(AND($E256&lt;&gt;"",$E256&lt;&gt;0),SUMIF(CÁLCULO!$BC$15:$BU$727,"="&amp;CRONO!D$12,CÁLCULO!$AJ$15:$BB$727)/(ORÇAMENTO!$X$15-CÁLCULO.TotalAdmLocal)*CRONO!$E256,0),D255*$R254),SUMIF(OFFSET($R256,1,0,$Q254-2),($L254+1)&amp;"$",OFFSET(D256,1,0,$Q254-2)))</f>
        <v>0</v>
      </c>
      <c r="E256" s="204" t="str">
        <f ca="1">IF(OR($Q254&lt;&gt;2,AUTOEVENTO&lt;&gt;"manual",$E255&gt;0),"",SUMIF(OFFSET(CÁLCULO!$M$15,CRONO!$E254,0,OFFSET(ORÇAMENTO!$D$15,CRONO!$E254,0)),1,OFFSET(ORÇAMENTO!$X$15,CRONO!$E254,0,OFFSET(ORÇAMENTO!$D$15,CRONO!$E254,0))))</f>
        <v/>
      </c>
      <c r="G256" s="224"/>
      <c r="R256" s="225" t="str">
        <f t="shared" ref="R256" ca="1" si="569">L254&amp;"$"</f>
        <v>2$</v>
      </c>
      <c r="S256" s="226"/>
      <c r="T256" s="227">
        <f ca="1">IF($Q254=2,IF(AND(ACOMPANHAMENTO="PLE",ISNUMBER($E254)),SUMIF((OFFSET(CÁLCULO!$BC$15:$BU$15,$E254,0,OFFSET(ORÇAMENTO!$D$15,CRONO!$E254,0))),"&lt;="&amp;CRONO!T$12,OFFSET(CÁLCULO!$AJ$15:$BB$15,$E254,0,OFFSET(ORÇAMENTO!$D$15,CRONO!$E254,0)))+IF(AND($E256&lt;&gt;"",$E256&lt;&gt;0),SUMIF(CÁLCULO!$BC$15:$BU$727,"&lt;="&amp;CRONO!T$12,CÁLCULO!$AJ$15:$BB$727)/(ORÇAMENTO!$X$15-CÁLCULO.TotalAdmLocal)*CRONO!$E256,0),T255*$R254),SUMIF(OFFSET($R256,1,0,$Q254-2),($L254+1)&amp;"$",OFFSET(T256,1,0,$Q254-2)))</f>
        <v>0</v>
      </c>
      <c r="U256" s="223">
        <f ca="1">IF($Q254=2,IF(AND(ACOMPANHAMENTO="PLE",ISNUMBER($E254)),SUMIF((OFFSET(CÁLCULO!$BC$15:$BU$15,$E254,0,OFFSET(ORÇAMENTO!$D$15,CRONO!$E254,0))),"="&amp;CRONO!U$12,OFFSET(CÁLCULO!$AJ$15:$BB$15,$E254,0,OFFSET(ORÇAMENTO!$D$15,CRONO!$E254,0)))+IF(AND($E256&lt;&gt;"",$E256&lt;&gt;0),SUMIF(CÁLCULO!$BC$15:$BU$727,"="&amp;CRONO!U$12,CÁLCULO!$AJ$15:$BB$727)/(ORÇAMENTO!$X$15-CÁLCULO.TotalAdmLocal)*CRONO!$E256,0),U255*$R254),SUMIF(OFFSET($R256,1,0,$Q254-2),($L254+1)&amp;"$",OFFSET(U256,1,0,$Q254-2)))</f>
        <v>0</v>
      </c>
      <c r="V256" s="223">
        <f ca="1">IF($Q254=2,IF(AND(ACOMPANHAMENTO="PLE",ISNUMBER($E254)),SUMIF((OFFSET(CÁLCULO!$BC$15:$BU$15,$E254,0,OFFSET(ORÇAMENTO!$D$15,CRONO!$E254,0))),"="&amp;CRONO!V$12,OFFSET(CÁLCULO!$AJ$15:$BB$15,$E254,0,OFFSET(ORÇAMENTO!$D$15,CRONO!$E254,0)))+IF(AND($E256&lt;&gt;"",$E256&lt;&gt;0),SUMIF(CÁLCULO!$BC$15:$BU$727,"="&amp;CRONO!V$12,CÁLCULO!$AJ$15:$BB$727)/(ORÇAMENTO!$X$15-CÁLCULO.TotalAdmLocal)*CRONO!$E256,0),V255*$R254),SUMIF(OFFSET($R256,1,0,$Q254-2),($L254+1)&amp;"$",OFFSET(V256,1,0,$Q254-2)))</f>
        <v>0</v>
      </c>
      <c r="W256" s="223">
        <f ca="1">IF($Q254=2,IF(AND(ACOMPANHAMENTO="PLE",ISNUMBER($E254)),SUMIF((OFFSET(CÁLCULO!$BC$15:$BU$15,$E254,0,OFFSET(ORÇAMENTO!$D$15,CRONO!$E254,0))),"="&amp;CRONO!W$12,OFFSET(CÁLCULO!$AJ$15:$BB$15,$E254,0,OFFSET(ORÇAMENTO!$D$15,CRONO!$E254,0)))+IF(AND($E256&lt;&gt;"",$E256&lt;&gt;0),SUMIF(CÁLCULO!$BC$15:$BU$727,"="&amp;CRONO!W$12,CÁLCULO!$AJ$15:$BB$727)/(ORÇAMENTO!$X$15-CÁLCULO.TotalAdmLocal)*CRONO!$E256,0),W255*$R254),SUMIF(OFFSET($R256,1,0,$Q254-2),($L254+1)&amp;"$",OFFSET(W256,1,0,$Q254-2)))</f>
        <v>0</v>
      </c>
      <c r="X256" s="223">
        <f ca="1">IF($Q254=2,IF(AND(ACOMPANHAMENTO="PLE",ISNUMBER($E254)),SUMIF((OFFSET(CÁLCULO!$BC$15:$BU$15,$E254,0,OFFSET(ORÇAMENTO!$D$15,CRONO!$E254,0))),"="&amp;CRONO!X$12,OFFSET(CÁLCULO!$AJ$15:$BB$15,$E254,0,OFFSET(ORÇAMENTO!$D$15,CRONO!$E254,0)))+IF(AND($E256&lt;&gt;"",$E256&lt;&gt;0),SUMIF(CÁLCULO!$BC$15:$BU$727,"="&amp;CRONO!X$12,CÁLCULO!$AJ$15:$BB$727)/(ORÇAMENTO!$X$15-CÁLCULO.TotalAdmLocal)*CRONO!$E256,0),X255*$R254),SUMIF(OFFSET($R256,1,0,$Q254-2),($L254+1)&amp;"$",OFFSET(X256,1,0,$Q254-2)))</f>
        <v>0</v>
      </c>
      <c r="Y256" s="223">
        <f ca="1">IF($Q254=2,IF(AND(ACOMPANHAMENTO="PLE",ISNUMBER($E254)),SUMIF((OFFSET(CÁLCULO!$BC$15:$BU$15,$E254,0,OFFSET(ORÇAMENTO!$D$15,CRONO!$E254,0))),"="&amp;CRONO!Y$12,OFFSET(CÁLCULO!$AJ$15:$BB$15,$E254,0,OFFSET(ORÇAMENTO!$D$15,CRONO!$E254,0)))+IF(AND($E256&lt;&gt;"",$E256&lt;&gt;0),SUMIF(CÁLCULO!$BC$15:$BU$727,"="&amp;CRONO!Y$12,CÁLCULO!$AJ$15:$BB$727)/(ORÇAMENTO!$X$15-CÁLCULO.TotalAdmLocal)*CRONO!$E256,0),Y255*$R254),SUMIF(OFFSET($R256,1,0,$Q254-2),($L254+1)&amp;"$",OFFSET(Y256,1,0,$Q254-2)))</f>
        <v>0</v>
      </c>
      <c r="Z256" s="223">
        <f ca="1">IF($Q254=2,IF(AND(ACOMPANHAMENTO="PLE",ISNUMBER($E254)),SUMIF((OFFSET(CÁLCULO!$BC$15:$BU$15,$E254,0,OFFSET(ORÇAMENTO!$D$15,CRONO!$E254,0))),"="&amp;CRONO!Z$12,OFFSET(CÁLCULO!$AJ$15:$BB$15,$E254,0,OFFSET(ORÇAMENTO!$D$15,CRONO!$E254,0)))+IF(AND($E256&lt;&gt;"",$E256&lt;&gt;0),SUMIF(CÁLCULO!$BC$15:$BU$727,"="&amp;CRONO!Z$12,CÁLCULO!$AJ$15:$BB$727)/(ORÇAMENTO!$X$15-CÁLCULO.TotalAdmLocal)*CRONO!$E256,0),Z255*$R254),SUMIF(OFFSET($R256,1,0,$Q254-2),($L254+1)&amp;"$",OFFSET(Z256,1,0,$Q254-2)))</f>
        <v>0</v>
      </c>
      <c r="AA256" s="223">
        <f ca="1">IF($Q254=2,IF(AND(ACOMPANHAMENTO="PLE",ISNUMBER($E254)),SUMIF((OFFSET(CÁLCULO!$BC$15:$BU$15,$E254,0,OFFSET(ORÇAMENTO!$D$15,CRONO!$E254,0))),"="&amp;CRONO!AA$12,OFFSET(CÁLCULO!$AJ$15:$BB$15,$E254,0,OFFSET(ORÇAMENTO!$D$15,CRONO!$E254,0)))+IF(AND($E256&lt;&gt;"",$E256&lt;&gt;0),SUMIF(CÁLCULO!$BC$15:$BU$727,"="&amp;CRONO!AA$12,CÁLCULO!$AJ$15:$BB$727)/(ORÇAMENTO!$X$15-CÁLCULO.TotalAdmLocal)*CRONO!$E256,0),AA255*$R254),SUMIF(OFFSET($R256,1,0,$Q254-2),($L254+1)&amp;"$",OFFSET(AA256,1,0,$Q254-2)))</f>
        <v>0</v>
      </c>
      <c r="AB256" s="223">
        <f ca="1">IF($Q254=2,IF(AND(ACOMPANHAMENTO="PLE",ISNUMBER($E254)),SUMIF((OFFSET(CÁLCULO!$BC$15:$BU$15,$E254,0,OFFSET(ORÇAMENTO!$D$15,CRONO!$E254,0))),"="&amp;CRONO!AB$12,OFFSET(CÁLCULO!$AJ$15:$BB$15,$E254,0,OFFSET(ORÇAMENTO!$D$15,CRONO!$E254,0)))+IF(AND($E256&lt;&gt;"",$E256&lt;&gt;0),SUMIF(CÁLCULO!$BC$15:$BU$727,"="&amp;CRONO!AB$12,CÁLCULO!$AJ$15:$BB$727)/(ORÇAMENTO!$X$15-CÁLCULO.TotalAdmLocal)*CRONO!$E256,0),AB255*$R254),SUMIF(OFFSET($R256,1,0,$Q254-2),($L254+1)&amp;"$",OFFSET(AB256,1,0,$Q254-2)))</f>
        <v>0</v>
      </c>
      <c r="AC256" s="223">
        <f ca="1">IF($Q254=2,IF(AND(ACOMPANHAMENTO="PLE",ISNUMBER($E254)),SUMIF((OFFSET(CÁLCULO!$BC$15:$BU$15,$E254,0,OFFSET(ORÇAMENTO!$D$15,CRONO!$E254,0))),"="&amp;CRONO!AC$12,OFFSET(CÁLCULO!$AJ$15:$BB$15,$E254,0,OFFSET(ORÇAMENTO!$D$15,CRONO!$E254,0)))+IF(AND($E256&lt;&gt;"",$E256&lt;&gt;0),SUMIF(CÁLCULO!$BC$15:$BU$727,"="&amp;CRONO!AC$12,CÁLCULO!$AJ$15:$BB$727)/(ORÇAMENTO!$X$15-CÁLCULO.TotalAdmLocal)*CRONO!$E256,0),AC255*$R254),SUMIF(OFFSET($R256,1,0,$Q254-2),($L254+1)&amp;"$",OFFSET(AC256,1,0,$Q254-2)))</f>
        <v>0</v>
      </c>
      <c r="AD256" s="223">
        <f ca="1">IF($Q254=2,IF(AND(ACOMPANHAMENTO="PLE",ISNUMBER($E254)),SUMIF((OFFSET(CÁLCULO!$BC$15:$BU$15,$E254,0,OFFSET(ORÇAMENTO!$D$15,CRONO!$E254,0))),"="&amp;CRONO!AD$12,OFFSET(CÁLCULO!$AJ$15:$BB$15,$E254,0,OFFSET(ORÇAMENTO!$D$15,CRONO!$E254,0)))+IF(AND($E256&lt;&gt;"",$E256&lt;&gt;0),SUMIF(CÁLCULO!$BC$15:$BU$727,"="&amp;CRONO!AD$12,CÁLCULO!$AJ$15:$BB$727)/(ORÇAMENTO!$X$15-CÁLCULO.TotalAdmLocal)*CRONO!$E256,0),AD255*$R254),SUMIF(OFFSET($R256,1,0,$Q254-2),($L254+1)&amp;"$",OFFSET(AD256,1,0,$Q254-2)))</f>
        <v>0</v>
      </c>
      <c r="AE256" s="228">
        <f ca="1">IF($Q254=2,IF(AND(ACOMPANHAMENTO="PLE",ISNUMBER($E254)),SUMIF((OFFSET(CÁLCULO!$BC$15:$BU$15,$E254,0,OFFSET(ORÇAMENTO!$D$15,CRONO!$E254,0))),"="&amp;CRONO!AE$12,OFFSET(CÁLCULO!$AJ$15:$BB$15,$E254,0,OFFSET(ORÇAMENTO!$D$15,CRONO!$E254,0)))+IF(AND($E256&lt;&gt;"",$E256&lt;&gt;0),SUMIF(CÁLCULO!$BC$15:$BU$727,"="&amp;CRONO!AE$12,CÁLCULO!$AJ$15:$BB$727)/(ORÇAMENTO!$X$15-CÁLCULO.TotalAdmLocal)*CRONO!$E256,0),AE255*$R254),SUMIF(OFFSET($R256,1,0,$Q254-2),($L254+1)&amp;"$",OFFSET(AE256,1,0,$Q254-2)))</f>
        <v>0</v>
      </c>
    </row>
    <row r="257" spans="1:32" x14ac:dyDescent="0.2">
      <c r="A257" s="204">
        <f t="shared" ref="A257" ca="1" si="570">OFFSET(A257,-3,0)+1</f>
        <v>82</v>
      </c>
      <c r="B257" s="204">
        <f ca="1">IF($Q257&lt;&gt;2,0,IF($R257=0,1,IF(E258&gt;0,OFFSET(QCI!$M$13,SUBSTITUTE(E258,".",""),0),OFFSET(ORÇAMENTO!$AA$15,CRONO!$E257,0))/$R257))</f>
        <v>1</v>
      </c>
      <c r="C257" s="204">
        <f ca="1">IF($Q257&lt;&gt;2,0,IF($R257=0,1,IF(E258&gt;0,OFFSET(QCI!$N$13,SUBSTITUTE(E258,".",""),0),OFFSET(ORÇAMENTO!$AB$15,CRONO!$E257,0))/$R257))</f>
        <v>1</v>
      </c>
      <c r="D257" s="207" t="e">
        <f ca="1">IF(AND($Q257=2,ACOMPANHAMENTO="BM"),D258,D259/$R257)</f>
        <v>#DIV/0!</v>
      </c>
      <c r="E257" s="204">
        <f ca="1">IF(A257&lt;=ORÇAMENTO.MáximoListaCrono,MATCH(A257,ORÇAMENTO.ListaCrono,0),NA())</f>
        <v>709</v>
      </c>
      <c r="F257" s="204" t="str">
        <f t="shared" ref="F257" ca="1" si="571">IF(AND($E258&lt;&gt;-1,$R257&gt;0),"F","")</f>
        <v/>
      </c>
      <c r="G257" s="208" t="str">
        <f ca="1">IF(OR(R257=0,R257=""),"Linha",IF(AND(OR(ACOMPANHAMENTO="PLE",$Q257&lt;&gt;2),$E258=0),"Linha",1-SUM(T257:AF257)))</f>
        <v>Linha</v>
      </c>
      <c r="H257" s="209" t="str">
        <f ca="1">IF($E258=0,OFFSET(ORÇAMENTO!O$15,$E257,0),IF($E258&lt;&gt;-1,OFFSET(QCI!$D$13,$E258,0),""))</f>
        <v>1.81.</v>
      </c>
      <c r="I257" s="210" t="str">
        <f ca="1">IF($E258=0,OFFSET(ORÇAMENTO!R$15,$E257,0),IF($E258&lt;&gt;-1,OFFSET(QCI!$G$13,$E258,0),""))</f>
        <v>SERVIÇOS FINAIS</v>
      </c>
      <c r="J257" s="210"/>
      <c r="K257" s="210"/>
      <c r="L257" s="211">
        <f ca="1">IF($E258=0,OFFSET(ORÇAMENTO!C$15,$E257,0),1)</f>
        <v>2</v>
      </c>
      <c r="M257" s="212">
        <f ca="1">IF($E258=-1,0,IF(M$13&lt;=$L257,IF(ISERROR(MATCH(M$13,OFFSET($L257,1,0,ROW($L$260)-ROW($L257)-1),0)),ROW($L$260)-ROW($L257)-1,MATCH(M$13,OFFSET($L257,1,0,ROW($L$260)-ROW($L257)-1),0)-1),0))</f>
        <v>2</v>
      </c>
      <c r="N257" s="212">
        <f ca="1">IF($E258=-1,0,IF(N$13&lt;=$L257,IF(ISERROR(MATCH(N$13,OFFSET($L257,1,0,ROW($L$260)-ROW($L257)-1),0)),ROW($L$260)-ROW($L257)-1,MATCH(N$13,OFFSET($L257,1,0,ROW($L$260)-ROW($L257)-1),0)-1),0))</f>
        <v>2</v>
      </c>
      <c r="O257" s="212">
        <f ca="1">IF($E258=-1,0,IF(O$13&lt;=$L257,IF(ISERROR(MATCH(O$13,OFFSET($L257,1,0,ROW($L$260)-ROW($L257)-1),0)),ROW($L$260)-ROW($L257)-1,MATCH(O$13,OFFSET($L257,1,0,ROW($L$260)-ROW($L257)-1),0)-1),0))</f>
        <v>0</v>
      </c>
      <c r="P257" s="212">
        <f ca="1">IF($E258=-1,0,IF(P$13&lt;=$L257,IF(ISERROR(MATCH(P$13,OFFSET($L257,1,0,ROW($L$260)-ROW($L257)-1),0)),ROW($L$260)-ROW($L257)-1,MATCH(P$13,OFFSET($L257,1,0,ROW($L$260)-ROW($L257)-1),0)-1),0))</f>
        <v>0</v>
      </c>
      <c r="Q257" s="212">
        <f t="shared" ref="Q257" ca="1" si="572">MIN(OFFSET(L257,0,1,,L257))</f>
        <v>2</v>
      </c>
      <c r="R257" s="213">
        <f ca="1">IF($E258=0,OFFSET(ORÇAMENTO!X$15,$E257,0),IF($E258&lt;&gt;-1,OFFSET(QCI!$O$13,$E258,0),""))</f>
        <v>0</v>
      </c>
      <c r="S257" s="214" t="s">
        <v>270</v>
      </c>
      <c r="T257" s="215" t="e">
        <f t="shared" ref="T257:AE257" ca="1" si="573">IF(AND($Q257=2,ACOMPANHAMENTO="BM"),T258,T259/$R257)</f>
        <v>#DIV/0!</v>
      </c>
      <c r="U257" s="207" t="e">
        <f t="shared" ca="1" si="573"/>
        <v>#DIV/0!</v>
      </c>
      <c r="V257" s="207" t="e">
        <f t="shared" ca="1" si="573"/>
        <v>#DIV/0!</v>
      </c>
      <c r="W257" s="207" t="e">
        <f t="shared" ca="1" si="573"/>
        <v>#DIV/0!</v>
      </c>
      <c r="X257" s="207" t="e">
        <f t="shared" ca="1" si="573"/>
        <v>#DIV/0!</v>
      </c>
      <c r="Y257" s="207" t="e">
        <f t="shared" ca="1" si="573"/>
        <v>#DIV/0!</v>
      </c>
      <c r="Z257" s="207" t="e">
        <f t="shared" ca="1" si="573"/>
        <v>#DIV/0!</v>
      </c>
      <c r="AA257" s="207" t="e">
        <f t="shared" ca="1" si="573"/>
        <v>#DIV/0!</v>
      </c>
      <c r="AB257" s="207" t="e">
        <f t="shared" ca="1" si="573"/>
        <v>#DIV/0!</v>
      </c>
      <c r="AC257" s="207" t="e">
        <f t="shared" ca="1" si="573"/>
        <v>#DIV/0!</v>
      </c>
      <c r="AD257" s="207" t="e">
        <f t="shared" ca="1" si="573"/>
        <v>#DIV/0!</v>
      </c>
      <c r="AE257" s="216" t="e">
        <f t="shared" ca="1" si="573"/>
        <v>#DIV/0!</v>
      </c>
    </row>
    <row r="258" spans="1:32" ht="12.75" customHeight="1" x14ac:dyDescent="0.2">
      <c r="D258" s="569"/>
      <c r="E258" s="204">
        <f ca="1">IF(ISERROR(E257),IF(1+COUNTIF($L$13:OFFSET(L257,-1,0),1)&lt;=MAX(QCI!$D$13:$D$24),1+COUNTIF($L$13:OFFSET(L257,-1,0),1),-1),0)</f>
        <v>0</v>
      </c>
      <c r="F258" s="204" t="str">
        <f t="shared" ref="F258" ca="1" si="574">IF(AND($E258&lt;&gt;-1,$R257&gt;0),"F","")</f>
        <v/>
      </c>
      <c r="G258" s="217" t="str">
        <f ca="1">IF(OR(R257=0,R257=""),"vazia",IF(AND(OR(ACOMPANHAMENTO="PLE",$Q257&lt;&gt;2),$E258=0),"calculada","--&gt;"))</f>
        <v>vazia</v>
      </c>
      <c r="H258" s="218"/>
      <c r="I258" s="219" t="str">
        <f t="shared" ref="I258" ca="1" si="575">IF(AND(G257&lt;&gt;0,ISNUMBER(G257)),"PREENCHA ESTA LINHA --&gt;","")</f>
        <v/>
      </c>
      <c r="J258" s="219"/>
      <c r="K258" s="219"/>
      <c r="L258" s="220"/>
      <c r="M258" s="220"/>
      <c r="N258" s="220"/>
      <c r="O258" s="220"/>
      <c r="P258" s="220"/>
      <c r="Q258" s="220"/>
      <c r="R258" s="221"/>
      <c r="S258" s="222"/>
      <c r="T258" s="570"/>
      <c r="U258" s="569"/>
      <c r="V258" s="569"/>
      <c r="W258" s="569"/>
      <c r="X258" s="569"/>
      <c r="Y258" s="569"/>
      <c r="Z258" s="569"/>
      <c r="AA258" s="569"/>
      <c r="AB258" s="569"/>
      <c r="AC258" s="569"/>
      <c r="AD258" s="569"/>
      <c r="AE258" s="571"/>
      <c r="AF258" s="533"/>
    </row>
    <row r="259" spans="1:32" ht="0.2" hidden="1" customHeight="1" x14ac:dyDescent="0.2">
      <c r="D259" s="223">
        <f ca="1">IF($Q257=2,IF(AND(ACOMPANHAMENTO="PLE",ISNUMBER($E257)),SUMIF((OFFSET(CÁLCULO!$BC$15:$BU$15,$E257,0,OFFSET(ORÇAMENTO!$D$15,CRONO!$E257,0))),"="&amp;CRONO!D$12,OFFSET(CÁLCULO!$AJ$15:$BB$15,$E257,0,OFFSET(ORÇAMENTO!$D$15,CRONO!$E257,0)))+IF(AND($E259&lt;&gt;"",$E259&lt;&gt;0),SUMIF(CÁLCULO!$BC$15:$BU$727,"="&amp;CRONO!D$12,CÁLCULO!$AJ$15:$BB$727)/(ORÇAMENTO!$X$15-CÁLCULO.TotalAdmLocal)*CRONO!$E259,0),D258*$R257),SUMIF(OFFSET($R259,1,0,$Q257-2),($L257+1)&amp;"$",OFFSET(D259,1,0,$Q257-2)))</f>
        <v>0</v>
      </c>
      <c r="E259" s="204" t="str">
        <f ca="1">IF(OR($Q257&lt;&gt;2,AUTOEVENTO&lt;&gt;"manual",$E258&gt;0),"",SUMIF(OFFSET(CÁLCULO!$M$15,CRONO!$E257,0,OFFSET(ORÇAMENTO!$D$15,CRONO!$E257,0)),1,OFFSET(ORÇAMENTO!$X$15,CRONO!$E257,0,OFFSET(ORÇAMENTO!$D$15,CRONO!$E257,0))))</f>
        <v/>
      </c>
      <c r="G259" s="224"/>
      <c r="R259" s="225" t="str">
        <f t="shared" ref="R259" ca="1" si="576">L257&amp;"$"</f>
        <v>2$</v>
      </c>
      <c r="S259" s="226"/>
      <c r="T259" s="227">
        <f ca="1">IF($Q257=2,IF(AND(ACOMPANHAMENTO="PLE",ISNUMBER($E257)),SUMIF((OFFSET(CÁLCULO!$BC$15:$BU$15,$E257,0,OFFSET(ORÇAMENTO!$D$15,CRONO!$E257,0))),"&lt;="&amp;CRONO!T$12,OFFSET(CÁLCULO!$AJ$15:$BB$15,$E257,0,OFFSET(ORÇAMENTO!$D$15,CRONO!$E257,0)))+IF(AND($E259&lt;&gt;"",$E259&lt;&gt;0),SUMIF(CÁLCULO!$BC$15:$BU$727,"&lt;="&amp;CRONO!T$12,CÁLCULO!$AJ$15:$BB$727)/(ORÇAMENTO!$X$15-CÁLCULO.TotalAdmLocal)*CRONO!$E259,0),T258*$R257),SUMIF(OFFSET($R259,1,0,$Q257-2),($L257+1)&amp;"$",OFFSET(T259,1,0,$Q257-2)))</f>
        <v>0</v>
      </c>
      <c r="U259" s="223">
        <f ca="1">IF($Q257=2,IF(AND(ACOMPANHAMENTO="PLE",ISNUMBER($E257)),SUMIF((OFFSET(CÁLCULO!$BC$15:$BU$15,$E257,0,OFFSET(ORÇAMENTO!$D$15,CRONO!$E257,0))),"="&amp;CRONO!U$12,OFFSET(CÁLCULO!$AJ$15:$BB$15,$E257,0,OFFSET(ORÇAMENTO!$D$15,CRONO!$E257,0)))+IF(AND($E259&lt;&gt;"",$E259&lt;&gt;0),SUMIF(CÁLCULO!$BC$15:$BU$727,"="&amp;CRONO!U$12,CÁLCULO!$AJ$15:$BB$727)/(ORÇAMENTO!$X$15-CÁLCULO.TotalAdmLocal)*CRONO!$E259,0),U258*$R257),SUMIF(OFFSET($R259,1,0,$Q257-2),($L257+1)&amp;"$",OFFSET(U259,1,0,$Q257-2)))</f>
        <v>0</v>
      </c>
      <c r="V259" s="223">
        <f ca="1">IF($Q257=2,IF(AND(ACOMPANHAMENTO="PLE",ISNUMBER($E257)),SUMIF((OFFSET(CÁLCULO!$BC$15:$BU$15,$E257,0,OFFSET(ORÇAMENTO!$D$15,CRONO!$E257,0))),"="&amp;CRONO!V$12,OFFSET(CÁLCULO!$AJ$15:$BB$15,$E257,0,OFFSET(ORÇAMENTO!$D$15,CRONO!$E257,0)))+IF(AND($E259&lt;&gt;"",$E259&lt;&gt;0),SUMIF(CÁLCULO!$BC$15:$BU$727,"="&amp;CRONO!V$12,CÁLCULO!$AJ$15:$BB$727)/(ORÇAMENTO!$X$15-CÁLCULO.TotalAdmLocal)*CRONO!$E259,0),V258*$R257),SUMIF(OFFSET($R259,1,0,$Q257-2),($L257+1)&amp;"$",OFFSET(V259,1,0,$Q257-2)))</f>
        <v>0</v>
      </c>
      <c r="W259" s="223">
        <f ca="1">IF($Q257=2,IF(AND(ACOMPANHAMENTO="PLE",ISNUMBER($E257)),SUMIF((OFFSET(CÁLCULO!$BC$15:$BU$15,$E257,0,OFFSET(ORÇAMENTO!$D$15,CRONO!$E257,0))),"="&amp;CRONO!W$12,OFFSET(CÁLCULO!$AJ$15:$BB$15,$E257,0,OFFSET(ORÇAMENTO!$D$15,CRONO!$E257,0)))+IF(AND($E259&lt;&gt;"",$E259&lt;&gt;0),SUMIF(CÁLCULO!$BC$15:$BU$727,"="&amp;CRONO!W$12,CÁLCULO!$AJ$15:$BB$727)/(ORÇAMENTO!$X$15-CÁLCULO.TotalAdmLocal)*CRONO!$E259,0),W258*$R257),SUMIF(OFFSET($R259,1,0,$Q257-2),($L257+1)&amp;"$",OFFSET(W259,1,0,$Q257-2)))</f>
        <v>0</v>
      </c>
      <c r="X259" s="223">
        <f ca="1">IF($Q257=2,IF(AND(ACOMPANHAMENTO="PLE",ISNUMBER($E257)),SUMIF((OFFSET(CÁLCULO!$BC$15:$BU$15,$E257,0,OFFSET(ORÇAMENTO!$D$15,CRONO!$E257,0))),"="&amp;CRONO!X$12,OFFSET(CÁLCULO!$AJ$15:$BB$15,$E257,0,OFFSET(ORÇAMENTO!$D$15,CRONO!$E257,0)))+IF(AND($E259&lt;&gt;"",$E259&lt;&gt;0),SUMIF(CÁLCULO!$BC$15:$BU$727,"="&amp;CRONO!X$12,CÁLCULO!$AJ$15:$BB$727)/(ORÇAMENTO!$X$15-CÁLCULO.TotalAdmLocal)*CRONO!$E259,0),X258*$R257),SUMIF(OFFSET($R259,1,0,$Q257-2),($L257+1)&amp;"$",OFFSET(X259,1,0,$Q257-2)))</f>
        <v>0</v>
      </c>
      <c r="Y259" s="223">
        <f ca="1">IF($Q257=2,IF(AND(ACOMPANHAMENTO="PLE",ISNUMBER($E257)),SUMIF((OFFSET(CÁLCULO!$BC$15:$BU$15,$E257,0,OFFSET(ORÇAMENTO!$D$15,CRONO!$E257,0))),"="&amp;CRONO!Y$12,OFFSET(CÁLCULO!$AJ$15:$BB$15,$E257,0,OFFSET(ORÇAMENTO!$D$15,CRONO!$E257,0)))+IF(AND($E259&lt;&gt;"",$E259&lt;&gt;0),SUMIF(CÁLCULO!$BC$15:$BU$727,"="&amp;CRONO!Y$12,CÁLCULO!$AJ$15:$BB$727)/(ORÇAMENTO!$X$15-CÁLCULO.TotalAdmLocal)*CRONO!$E259,0),Y258*$R257),SUMIF(OFFSET($R259,1,0,$Q257-2),($L257+1)&amp;"$",OFFSET(Y259,1,0,$Q257-2)))</f>
        <v>0</v>
      </c>
      <c r="Z259" s="223">
        <f ca="1">IF($Q257=2,IF(AND(ACOMPANHAMENTO="PLE",ISNUMBER($E257)),SUMIF((OFFSET(CÁLCULO!$BC$15:$BU$15,$E257,0,OFFSET(ORÇAMENTO!$D$15,CRONO!$E257,0))),"="&amp;CRONO!Z$12,OFFSET(CÁLCULO!$AJ$15:$BB$15,$E257,0,OFFSET(ORÇAMENTO!$D$15,CRONO!$E257,0)))+IF(AND($E259&lt;&gt;"",$E259&lt;&gt;0),SUMIF(CÁLCULO!$BC$15:$BU$727,"="&amp;CRONO!Z$12,CÁLCULO!$AJ$15:$BB$727)/(ORÇAMENTO!$X$15-CÁLCULO.TotalAdmLocal)*CRONO!$E259,0),Z258*$R257),SUMIF(OFFSET($R259,1,0,$Q257-2),($L257+1)&amp;"$",OFFSET(Z259,1,0,$Q257-2)))</f>
        <v>0</v>
      </c>
      <c r="AA259" s="223">
        <f ca="1">IF($Q257=2,IF(AND(ACOMPANHAMENTO="PLE",ISNUMBER($E257)),SUMIF((OFFSET(CÁLCULO!$BC$15:$BU$15,$E257,0,OFFSET(ORÇAMENTO!$D$15,CRONO!$E257,0))),"="&amp;CRONO!AA$12,OFFSET(CÁLCULO!$AJ$15:$BB$15,$E257,0,OFFSET(ORÇAMENTO!$D$15,CRONO!$E257,0)))+IF(AND($E259&lt;&gt;"",$E259&lt;&gt;0),SUMIF(CÁLCULO!$BC$15:$BU$727,"="&amp;CRONO!AA$12,CÁLCULO!$AJ$15:$BB$727)/(ORÇAMENTO!$X$15-CÁLCULO.TotalAdmLocal)*CRONO!$E259,0),AA258*$R257),SUMIF(OFFSET($R259,1,0,$Q257-2),($L257+1)&amp;"$",OFFSET(AA259,1,0,$Q257-2)))</f>
        <v>0</v>
      </c>
      <c r="AB259" s="223">
        <f ca="1">IF($Q257=2,IF(AND(ACOMPANHAMENTO="PLE",ISNUMBER($E257)),SUMIF((OFFSET(CÁLCULO!$BC$15:$BU$15,$E257,0,OFFSET(ORÇAMENTO!$D$15,CRONO!$E257,0))),"="&amp;CRONO!AB$12,OFFSET(CÁLCULO!$AJ$15:$BB$15,$E257,0,OFFSET(ORÇAMENTO!$D$15,CRONO!$E257,0)))+IF(AND($E259&lt;&gt;"",$E259&lt;&gt;0),SUMIF(CÁLCULO!$BC$15:$BU$727,"="&amp;CRONO!AB$12,CÁLCULO!$AJ$15:$BB$727)/(ORÇAMENTO!$X$15-CÁLCULO.TotalAdmLocal)*CRONO!$E259,0),AB258*$R257),SUMIF(OFFSET($R259,1,0,$Q257-2),($L257+1)&amp;"$",OFFSET(AB259,1,0,$Q257-2)))</f>
        <v>0</v>
      </c>
      <c r="AC259" s="223">
        <f ca="1">IF($Q257=2,IF(AND(ACOMPANHAMENTO="PLE",ISNUMBER($E257)),SUMIF((OFFSET(CÁLCULO!$BC$15:$BU$15,$E257,0,OFFSET(ORÇAMENTO!$D$15,CRONO!$E257,0))),"="&amp;CRONO!AC$12,OFFSET(CÁLCULO!$AJ$15:$BB$15,$E257,0,OFFSET(ORÇAMENTO!$D$15,CRONO!$E257,0)))+IF(AND($E259&lt;&gt;"",$E259&lt;&gt;0),SUMIF(CÁLCULO!$BC$15:$BU$727,"="&amp;CRONO!AC$12,CÁLCULO!$AJ$15:$BB$727)/(ORÇAMENTO!$X$15-CÁLCULO.TotalAdmLocal)*CRONO!$E259,0),AC258*$R257),SUMIF(OFFSET($R259,1,0,$Q257-2),($L257+1)&amp;"$",OFFSET(AC259,1,0,$Q257-2)))</f>
        <v>0</v>
      </c>
      <c r="AD259" s="223">
        <f ca="1">IF($Q257=2,IF(AND(ACOMPANHAMENTO="PLE",ISNUMBER($E257)),SUMIF((OFFSET(CÁLCULO!$BC$15:$BU$15,$E257,0,OFFSET(ORÇAMENTO!$D$15,CRONO!$E257,0))),"="&amp;CRONO!AD$12,OFFSET(CÁLCULO!$AJ$15:$BB$15,$E257,0,OFFSET(ORÇAMENTO!$D$15,CRONO!$E257,0)))+IF(AND($E259&lt;&gt;"",$E259&lt;&gt;0),SUMIF(CÁLCULO!$BC$15:$BU$727,"="&amp;CRONO!AD$12,CÁLCULO!$AJ$15:$BB$727)/(ORÇAMENTO!$X$15-CÁLCULO.TotalAdmLocal)*CRONO!$E259,0),AD258*$R257),SUMIF(OFFSET($R259,1,0,$Q257-2),($L257+1)&amp;"$",OFFSET(AD259,1,0,$Q257-2)))</f>
        <v>0</v>
      </c>
      <c r="AE259" s="228">
        <f ca="1">IF($Q257=2,IF(AND(ACOMPANHAMENTO="PLE",ISNUMBER($E257)),SUMIF((OFFSET(CÁLCULO!$BC$15:$BU$15,$E257,0,OFFSET(ORÇAMENTO!$D$15,CRONO!$E257,0))),"="&amp;CRONO!AE$12,OFFSET(CÁLCULO!$AJ$15:$BB$15,$E257,0,OFFSET(ORÇAMENTO!$D$15,CRONO!$E257,0)))+IF(AND($E259&lt;&gt;"",$E259&lt;&gt;0),SUMIF(CÁLCULO!$BC$15:$BU$727,"="&amp;CRONO!AE$12,CÁLCULO!$AJ$15:$BB$727)/(ORÇAMENTO!$X$15-CÁLCULO.TotalAdmLocal)*CRONO!$E259,0),AE258*$R257),SUMIF(OFFSET($R259,1,0,$Q257-2),($L257+1)&amp;"$",OFFSET(AE259,1,0,$Q257-2)))</f>
        <v>0</v>
      </c>
    </row>
    <row r="260" spans="1:32" ht="5.0999999999999996" customHeight="1" x14ac:dyDescent="0.2">
      <c r="D260" s="502"/>
      <c r="F260" s="204" t="s">
        <v>246</v>
      </c>
      <c r="G260" s="504"/>
      <c r="H260" s="505"/>
      <c r="I260" s="506"/>
      <c r="J260" s="506"/>
      <c r="K260" s="506"/>
      <c r="L260" s="507" t="s">
        <v>281</v>
      </c>
      <c r="M260" s="507"/>
      <c r="N260" s="507"/>
      <c r="O260" s="507"/>
      <c r="P260" s="507"/>
      <c r="Q260" s="507"/>
      <c r="R260" s="508"/>
      <c r="S260" s="508"/>
      <c r="T260" s="506"/>
      <c r="U260" s="506"/>
      <c r="V260" s="506"/>
      <c r="W260" s="506"/>
      <c r="X260" s="506"/>
      <c r="Y260" s="506"/>
      <c r="Z260" s="506"/>
      <c r="AA260" s="506"/>
      <c r="AB260" s="506"/>
      <c r="AC260" s="506"/>
      <c r="AD260" s="506"/>
      <c r="AE260" s="509"/>
      <c r="AF260" s="503"/>
    </row>
    <row r="261" spans="1:32" ht="12.75" customHeight="1" x14ac:dyDescent="0.2">
      <c r="D261" s="252" t="e">
        <f ca="1">D265/$Q$261</f>
        <v>#DIV/0!</v>
      </c>
      <c r="F261" s="204" t="s">
        <v>246</v>
      </c>
      <c r="H261" s="640" t="str">
        <f ca="1">"Total:    R$ "&amp;TEXT(Q261,"#.##0,00")</f>
        <v>Total:    R$ 0,00</v>
      </c>
      <c r="I261" s="640"/>
      <c r="J261" s="640"/>
      <c r="K261" s="253"/>
      <c r="Q261" s="254">
        <f ca="1">SUMIF(L12:L260,1,R12:R260)</f>
        <v>0</v>
      </c>
      <c r="R261" s="255"/>
      <c r="S261" s="256" t="s">
        <v>282</v>
      </c>
      <c r="T261" s="257" t="e">
        <f t="shared" ref="T261:AE261" ca="1" si="577">ROUND(T265,2)/$Q$261</f>
        <v>#DIV/0!</v>
      </c>
      <c r="U261" s="258" t="e">
        <f t="shared" ca="1" si="577"/>
        <v>#DIV/0!</v>
      </c>
      <c r="V261" s="258" t="e">
        <f t="shared" ca="1" si="577"/>
        <v>#DIV/0!</v>
      </c>
      <c r="W261" s="258" t="e">
        <f t="shared" ca="1" si="577"/>
        <v>#DIV/0!</v>
      </c>
      <c r="X261" s="258" t="e">
        <f t="shared" ca="1" si="577"/>
        <v>#DIV/0!</v>
      </c>
      <c r="Y261" s="258" t="e">
        <f t="shared" ca="1" si="577"/>
        <v>#DIV/0!</v>
      </c>
      <c r="Z261" s="258" t="e">
        <f t="shared" ca="1" si="577"/>
        <v>#DIV/0!</v>
      </c>
      <c r="AA261" s="258" t="e">
        <f t="shared" ca="1" si="577"/>
        <v>#DIV/0!</v>
      </c>
      <c r="AB261" s="258" t="e">
        <f t="shared" ca="1" si="577"/>
        <v>#DIV/0!</v>
      </c>
      <c r="AC261" s="258" t="e">
        <f t="shared" ca="1" si="577"/>
        <v>#DIV/0!</v>
      </c>
      <c r="AD261" s="258" t="e">
        <f t="shared" ca="1" si="577"/>
        <v>#DIV/0!</v>
      </c>
      <c r="AE261" s="259" t="e">
        <f t="shared" ca="1" si="577"/>
        <v>#DIV/0!</v>
      </c>
    </row>
    <row r="262" spans="1:32" ht="15" customHeight="1" x14ac:dyDescent="0.2">
      <c r="D262" s="260">
        <f ca="1">ROUND(D267,2)-ROUND(C267,2)</f>
        <v>0</v>
      </c>
      <c r="F262" s="204" t="s">
        <v>246</v>
      </c>
      <c r="H262" s="640"/>
      <c r="I262" s="640"/>
      <c r="J262" s="640"/>
      <c r="K262" s="261"/>
      <c r="Q262" s="254"/>
      <c r="R262" s="262"/>
      <c r="S262" s="263" t="str">
        <f>IF(import.recurso="FGTS","Financiamento:","Repasse:")</f>
        <v>Repasse:</v>
      </c>
      <c r="T262" s="264">
        <f ca="1">ROUND(T267,2)</f>
        <v>0</v>
      </c>
      <c r="U262" s="260">
        <f t="shared" ref="U262:AE262" ca="1" si="578">ROUND(U267,2)-ROUND(T267,2)</f>
        <v>0</v>
      </c>
      <c r="V262" s="260">
        <f t="shared" ca="1" si="578"/>
        <v>0</v>
      </c>
      <c r="W262" s="260">
        <f t="shared" ca="1" si="578"/>
        <v>0</v>
      </c>
      <c r="X262" s="260">
        <f t="shared" ca="1" si="578"/>
        <v>0</v>
      </c>
      <c r="Y262" s="260">
        <f t="shared" ca="1" si="578"/>
        <v>0</v>
      </c>
      <c r="Z262" s="260">
        <f t="shared" ca="1" si="578"/>
        <v>0</v>
      </c>
      <c r="AA262" s="260">
        <f t="shared" ca="1" si="578"/>
        <v>0</v>
      </c>
      <c r="AB262" s="260">
        <f t="shared" ca="1" si="578"/>
        <v>0</v>
      </c>
      <c r="AC262" s="260">
        <f t="shared" ca="1" si="578"/>
        <v>0</v>
      </c>
      <c r="AD262" s="260">
        <f t="shared" ca="1" si="578"/>
        <v>0</v>
      </c>
      <c r="AE262" s="265">
        <f t="shared" ca="1" si="578"/>
        <v>0</v>
      </c>
    </row>
    <row r="263" spans="1:32" ht="12.75" customHeight="1" x14ac:dyDescent="0.2">
      <c r="D263" s="260">
        <f ca="1">ROUND(D268,2)-ROUND(C268,2)</f>
        <v>0</v>
      </c>
      <c r="F263" s="204" t="s">
        <v>246</v>
      </c>
      <c r="H263" s="266"/>
      <c r="K263" s="267" t="s">
        <v>283</v>
      </c>
      <c r="Q263" s="254"/>
      <c r="R263" s="268"/>
      <c r="S263" s="269" t="s">
        <v>284</v>
      </c>
      <c r="T263" s="270">
        <f ca="1">ROUND(T268,2)</f>
        <v>0</v>
      </c>
      <c r="U263" s="271">
        <f t="shared" ref="U263:AE263" ca="1" si="579">ROUND(U268,2)-ROUND(T268,2)</f>
        <v>0</v>
      </c>
      <c r="V263" s="271">
        <f t="shared" ca="1" si="579"/>
        <v>0</v>
      </c>
      <c r="W263" s="271">
        <f t="shared" ca="1" si="579"/>
        <v>0</v>
      </c>
      <c r="X263" s="271">
        <f t="shared" ca="1" si="579"/>
        <v>0</v>
      </c>
      <c r="Y263" s="271">
        <f t="shared" ca="1" si="579"/>
        <v>0</v>
      </c>
      <c r="Z263" s="271">
        <f t="shared" ca="1" si="579"/>
        <v>0</v>
      </c>
      <c r="AA263" s="271">
        <f t="shared" ca="1" si="579"/>
        <v>0</v>
      </c>
      <c r="AB263" s="271">
        <f t="shared" ca="1" si="579"/>
        <v>0</v>
      </c>
      <c r="AC263" s="271">
        <f t="shared" ca="1" si="579"/>
        <v>0</v>
      </c>
      <c r="AD263" s="271">
        <f t="shared" ca="1" si="579"/>
        <v>0</v>
      </c>
      <c r="AE263" s="272">
        <f t="shared" ca="1" si="579"/>
        <v>0</v>
      </c>
    </row>
    <row r="264" spans="1:32" x14ac:dyDescent="0.2">
      <c r="D264" s="273">
        <f ca="1">ROUND(D269,2)-ROUND(C269,2)</f>
        <v>0</v>
      </c>
      <c r="F264" s="204" t="s">
        <v>246</v>
      </c>
      <c r="H264" s="266"/>
      <c r="K264" s="267"/>
      <c r="Q264" s="254"/>
      <c r="R264" s="274"/>
      <c r="S264" s="275" t="s">
        <v>285</v>
      </c>
      <c r="T264" s="276">
        <f ca="1">ROUND(T269,2)</f>
        <v>0</v>
      </c>
      <c r="U264" s="273">
        <f t="shared" ref="U264:AE264" ca="1" si="580">ROUND(U269,2)-ROUND(T269,2)</f>
        <v>0</v>
      </c>
      <c r="V264" s="273">
        <f t="shared" ca="1" si="580"/>
        <v>0</v>
      </c>
      <c r="W264" s="273">
        <f t="shared" ca="1" si="580"/>
        <v>0</v>
      </c>
      <c r="X264" s="273">
        <f t="shared" ca="1" si="580"/>
        <v>0</v>
      </c>
      <c r="Y264" s="273">
        <f t="shared" ca="1" si="580"/>
        <v>0</v>
      </c>
      <c r="Z264" s="273">
        <f t="shared" ca="1" si="580"/>
        <v>0</v>
      </c>
      <c r="AA264" s="273">
        <f t="shared" ca="1" si="580"/>
        <v>0</v>
      </c>
      <c r="AB264" s="273">
        <f t="shared" ca="1" si="580"/>
        <v>0</v>
      </c>
      <c r="AC264" s="273">
        <f t="shared" ca="1" si="580"/>
        <v>0</v>
      </c>
      <c r="AD264" s="273">
        <f t="shared" ca="1" si="580"/>
        <v>0</v>
      </c>
      <c r="AE264" s="277">
        <f t="shared" ca="1" si="580"/>
        <v>0</v>
      </c>
    </row>
    <row r="265" spans="1:32" x14ac:dyDescent="0.2">
      <c r="D265" s="278">
        <f ca="1">ROUND(D270,2)-ROUND(C270,2)</f>
        <v>0</v>
      </c>
      <c r="F265" s="204" t="s">
        <v>246</v>
      </c>
      <c r="K265" s="279"/>
      <c r="R265" s="280"/>
      <c r="S265" s="281" t="s">
        <v>286</v>
      </c>
      <c r="T265" s="282">
        <f ca="1">ROUND(T270,2)</f>
        <v>0</v>
      </c>
      <c r="U265" s="283">
        <f t="shared" ref="U265:AE265" ca="1" si="581">ROUND(U270,2)-ROUND(T270,2)</f>
        <v>0</v>
      </c>
      <c r="V265" s="283">
        <f t="shared" ca="1" si="581"/>
        <v>0</v>
      </c>
      <c r="W265" s="283">
        <f t="shared" ca="1" si="581"/>
        <v>0</v>
      </c>
      <c r="X265" s="283">
        <f t="shared" ca="1" si="581"/>
        <v>0</v>
      </c>
      <c r="Y265" s="283">
        <f t="shared" ca="1" si="581"/>
        <v>0</v>
      </c>
      <c r="Z265" s="283">
        <f t="shared" ca="1" si="581"/>
        <v>0</v>
      </c>
      <c r="AA265" s="283">
        <f t="shared" ca="1" si="581"/>
        <v>0</v>
      </c>
      <c r="AB265" s="283">
        <f t="shared" ca="1" si="581"/>
        <v>0</v>
      </c>
      <c r="AC265" s="283">
        <f t="shared" ca="1" si="581"/>
        <v>0</v>
      </c>
      <c r="AD265" s="283">
        <f t="shared" ca="1" si="581"/>
        <v>0</v>
      </c>
      <c r="AE265" s="284">
        <f t="shared" ca="1" si="581"/>
        <v>0</v>
      </c>
    </row>
    <row r="266" spans="1:32" x14ac:dyDescent="0.2">
      <c r="D266" s="252" t="e">
        <f ca="1">D270/$Q$261</f>
        <v>#DIV/0!</v>
      </c>
      <c r="F266" s="204" t="s">
        <v>246</v>
      </c>
      <c r="K266" s="253"/>
      <c r="R266" s="255"/>
      <c r="S266" s="256" t="s">
        <v>282</v>
      </c>
      <c r="T266" s="257" t="e">
        <f ca="1">ROUND(T270,2)/$Q$261</f>
        <v>#DIV/0!</v>
      </c>
      <c r="U266" s="258" t="e">
        <f t="shared" ref="U266:AE266" ca="1" si="582">ROUND(U270,2)/$Q$261</f>
        <v>#DIV/0!</v>
      </c>
      <c r="V266" s="258" t="e">
        <f t="shared" ca="1" si="582"/>
        <v>#DIV/0!</v>
      </c>
      <c r="W266" s="258" t="e">
        <f t="shared" ca="1" si="582"/>
        <v>#DIV/0!</v>
      </c>
      <c r="X266" s="258" t="e">
        <f t="shared" ca="1" si="582"/>
        <v>#DIV/0!</v>
      </c>
      <c r="Y266" s="258" t="e">
        <f t="shared" ca="1" si="582"/>
        <v>#DIV/0!</v>
      </c>
      <c r="Z266" s="258" t="e">
        <f t="shared" ca="1" si="582"/>
        <v>#DIV/0!</v>
      </c>
      <c r="AA266" s="258" t="e">
        <f t="shared" ca="1" si="582"/>
        <v>#DIV/0!</v>
      </c>
      <c r="AB266" s="258" t="e">
        <f t="shared" ca="1" si="582"/>
        <v>#DIV/0!</v>
      </c>
      <c r="AC266" s="258" t="e">
        <f t="shared" ca="1" si="582"/>
        <v>#DIV/0!</v>
      </c>
      <c r="AD266" s="258" t="e">
        <f t="shared" ca="1" si="582"/>
        <v>#DIV/0!</v>
      </c>
      <c r="AE266" s="259" t="e">
        <f t="shared" ca="1" si="582"/>
        <v>#DIV/0!</v>
      </c>
    </row>
    <row r="267" spans="1:32" x14ac:dyDescent="0.2">
      <c r="D267" s="260">
        <f ca="1">ROUND(D270-D269-D268,2)</f>
        <v>0</v>
      </c>
      <c r="F267" s="204" t="s">
        <v>246</v>
      </c>
      <c r="K267" s="261"/>
      <c r="R267" s="262"/>
      <c r="S267" s="263" t="str">
        <f>IF(import.recurso="FGTS","Financiamento:","Repasse:")</f>
        <v>Repasse:</v>
      </c>
      <c r="T267" s="264">
        <f ca="1">ROUND(T270-T269-T268,2)</f>
        <v>0</v>
      </c>
      <c r="U267" s="260">
        <f t="shared" ref="U267:AE267" ca="1" si="583">ROUND(U270-U269-U268,2)</f>
        <v>0</v>
      </c>
      <c r="V267" s="260">
        <f t="shared" ca="1" si="583"/>
        <v>0</v>
      </c>
      <c r="W267" s="260">
        <f t="shared" ca="1" si="583"/>
        <v>0</v>
      </c>
      <c r="X267" s="260">
        <f t="shared" ca="1" si="583"/>
        <v>0</v>
      </c>
      <c r="Y267" s="260">
        <f t="shared" ca="1" si="583"/>
        <v>0</v>
      </c>
      <c r="Z267" s="260">
        <f t="shared" ca="1" si="583"/>
        <v>0</v>
      </c>
      <c r="AA267" s="260">
        <f t="shared" ca="1" si="583"/>
        <v>0</v>
      </c>
      <c r="AB267" s="260">
        <f t="shared" ca="1" si="583"/>
        <v>0</v>
      </c>
      <c r="AC267" s="260">
        <f t="shared" ca="1" si="583"/>
        <v>0</v>
      </c>
      <c r="AD267" s="260">
        <f t="shared" ca="1" si="583"/>
        <v>0</v>
      </c>
      <c r="AE267" s="265">
        <f t="shared" ca="1" si="583"/>
        <v>0</v>
      </c>
      <c r="AF267" s="205">
        <f ca="1">AE267+SUMPRODUCT((OFFSET($B$13,1,0):OFFSET($B$260,-3,0))*IF(ISNUMBER(OFFSET(AF$11,5,0):OFFSET(AF$260,-1,0)),OFFSET(AF$11,5,0):OFFSET(AF$260,-1,0),0))</f>
        <v>0</v>
      </c>
    </row>
    <row r="268" spans="1:32" x14ac:dyDescent="0.2">
      <c r="D268" s="260">
        <f t="array" aca="1" ref="D268" ca="1">C268+SUM((OFFSET($B$13,1,0):OFFSET($B$260,-3,0))*IF(ISNUMBER(OFFSET(D$11,5,0):OFFSET(D$260,-1,0)),OFFSET(D$11,5,0):OFFSET(D$260,-1,0),0))</f>
        <v>0</v>
      </c>
      <c r="F268" s="204" t="s">
        <v>246</v>
      </c>
      <c r="K268" s="267" t="s">
        <v>287</v>
      </c>
      <c r="R268" s="268"/>
      <c r="S268" s="269" t="s">
        <v>284</v>
      </c>
      <c r="T268" s="270">
        <f t="array" aca="1" ref="T268" ca="1">SUM((OFFSET($B$13,1,0):OFFSET($B$260,-3,0))*IF(ISNUMBER(OFFSET(T$11,5,0):OFFSET(T$260,-1,0)),OFFSET(T$11,5,0):OFFSET(T$260,-1,0),0))</f>
        <v>0</v>
      </c>
      <c r="U268" s="271">
        <f t="array" aca="1" ref="U268" ca="1">T268+SUM((OFFSET($B$13,1,0):OFFSET($B$260,-3,0))*IF(ISNUMBER(OFFSET(U$11,5,0):OFFSET(U$260,-1,0)),OFFSET(U$11,5,0):OFFSET(U$260,-1,0),0))</f>
        <v>0</v>
      </c>
      <c r="V268" s="271">
        <f t="array" aca="1" ref="V268" ca="1">U268+SUM((OFFSET($B$13,1,0):OFFSET($B$260,-3,0))*IF(ISNUMBER(OFFSET(V$11,5,0):OFFSET(V$260,-1,0)),OFFSET(V$11,5,0):OFFSET(V$260,-1,0),0))</f>
        <v>0</v>
      </c>
      <c r="W268" s="271">
        <f t="array" aca="1" ref="W268" ca="1">V268+SUM((OFFSET($B$13,1,0):OFFSET($B$260,-3,0))*IF(ISNUMBER(OFFSET(W$11,5,0):OFFSET(W$260,-1,0)),OFFSET(W$11,5,0):OFFSET(W$260,-1,0),0))</f>
        <v>0</v>
      </c>
      <c r="X268" s="271">
        <f t="array" aca="1" ref="X268" ca="1">W268+SUM((OFFSET($B$13,1,0):OFFSET($B$260,-3,0))*IF(ISNUMBER(OFFSET(X$11,5,0):OFFSET(X$260,-1,0)),OFFSET(X$11,5,0):OFFSET(X$260,-1,0),0))</f>
        <v>0</v>
      </c>
      <c r="Y268" s="271">
        <f t="array" aca="1" ref="Y268" ca="1">X268+SUM((OFFSET($B$13,1,0):OFFSET($B$260,-3,0))*IF(ISNUMBER(OFFSET(Y$11,5,0):OFFSET(Y$260,-1,0)),OFFSET(Y$11,5,0):OFFSET(Y$260,-1,0),0))</f>
        <v>0</v>
      </c>
      <c r="Z268" s="271">
        <f t="array" aca="1" ref="Z268" ca="1">Y268+SUM((OFFSET($B$13,1,0):OFFSET($B$260,-3,0))*IF(ISNUMBER(OFFSET(Z$11,5,0):OFFSET(Z$260,-1,0)),OFFSET(Z$11,5,0):OFFSET(Z$260,-1,0),0))</f>
        <v>0</v>
      </c>
      <c r="AA268" s="271">
        <f t="array" aca="1" ref="AA268" ca="1">Z268+SUM((OFFSET($B$13,1,0):OFFSET($B$260,-3,0))*IF(ISNUMBER(OFFSET(AA$11,5,0):OFFSET(AA$260,-1,0)),OFFSET(AA$11,5,0):OFFSET(AA$260,-1,0),0))</f>
        <v>0</v>
      </c>
      <c r="AB268" s="271">
        <f t="array" aca="1" ref="AB268" ca="1">AA268+SUM((OFFSET($B$13,1,0):OFFSET($B$260,-3,0))*IF(ISNUMBER(OFFSET(AB$11,5,0):OFFSET(AB$260,-1,0)),OFFSET(AB$11,5,0):OFFSET(AB$260,-1,0),0))</f>
        <v>0</v>
      </c>
      <c r="AC268" s="271">
        <f t="array" aca="1" ref="AC268" ca="1">AB268+SUM((OFFSET($B$13,1,0):OFFSET($B$260,-3,0))*IF(ISNUMBER(OFFSET(AC$11,5,0):OFFSET(AC$260,-1,0)),OFFSET(AC$11,5,0):OFFSET(AC$260,-1,0),0))</f>
        <v>0</v>
      </c>
      <c r="AD268" s="271">
        <f t="array" aca="1" ref="AD268" ca="1">AC268+SUM((OFFSET($B$13,1,0):OFFSET($B$260,-3,0))*IF(ISNUMBER(OFFSET(AD$11,5,0):OFFSET(AD$260,-1,0)),OFFSET(AD$11,5,0):OFFSET(AD$260,-1,0),0))</f>
        <v>0</v>
      </c>
      <c r="AE268" s="272">
        <f t="array" aca="1" ref="AE268" ca="1">AD268+SUM((OFFSET($B$13,1,0):OFFSET($B$260,-3,0))*IF(ISNUMBER(OFFSET(AE$11,5,0):OFFSET(AE$260,-1,0)),OFFSET(AE$11,5,0):OFFSET(AE$260,-1,0),0))</f>
        <v>0</v>
      </c>
      <c r="AF268" s="205">
        <f ca="1">AE268+SUMPRODUCT((OFFSET($C$13,1,0):OFFSET($C$260,-3,0))*IF(ISNUMBER(OFFSET(AF$11,5,0):OFFSET(AF$260,-1,0)),OFFSET(AF$11,5,0):OFFSET(AF$260,-1,0),0))</f>
        <v>0</v>
      </c>
    </row>
    <row r="269" spans="1:32" x14ac:dyDescent="0.2">
      <c r="D269" s="273">
        <f t="array" aca="1" ref="D269" ca="1">C269+SUM((OFFSET($C$13,1,0):OFFSET($C$260,-3,0))*IF(ISNUMBER(OFFSET(D$11,5,0):OFFSET(D$260,-1,0)),OFFSET(D$11,5,0):OFFSET(D$260,-1,0),0))</f>
        <v>0</v>
      </c>
      <c r="F269" s="204" t="s">
        <v>246</v>
      </c>
      <c r="K269" s="267"/>
      <c r="R269" s="274"/>
      <c r="S269" s="275" t="s">
        <v>285</v>
      </c>
      <c r="T269" s="276">
        <f t="array" aca="1" ref="T269" ca="1">SUM((OFFSET($C$13,1,0):OFFSET($C$260,-3,0))*IF(ISNUMBER(OFFSET(T$11,5,0):OFFSET(T$260,-1,0)),OFFSET(T$11,5,0):OFFSET(T$260,-1,0),0))</f>
        <v>0</v>
      </c>
      <c r="U269" s="273">
        <f t="array" aca="1" ref="U269" ca="1">T269+SUM((OFFSET($C$13,1,0):OFFSET($C$260,-3,0))*IF(ISNUMBER(OFFSET(U$11,5,0):OFFSET(U$260,-1,0)),OFFSET(U$11,5,0):OFFSET(U$260,-1,0),0))</f>
        <v>0</v>
      </c>
      <c r="V269" s="273">
        <f t="array" aca="1" ref="V269" ca="1">U269+SUM((OFFSET($C$13,1,0):OFFSET($C$260,-3,0))*IF(ISNUMBER(OFFSET(V$11,5,0):OFFSET(V$260,-1,0)),OFFSET(V$11,5,0):OFFSET(V$260,-1,0),0))</f>
        <v>0</v>
      </c>
      <c r="W269" s="273">
        <f t="array" aca="1" ref="W269" ca="1">V269+SUM((OFFSET($C$13,1,0):OFFSET($C$260,-3,0))*IF(ISNUMBER(OFFSET(W$11,5,0):OFFSET(W$260,-1,0)),OFFSET(W$11,5,0):OFFSET(W$260,-1,0),0))</f>
        <v>0</v>
      </c>
      <c r="X269" s="273">
        <f t="array" aca="1" ref="X269" ca="1">W269+SUM((OFFSET($C$13,1,0):OFFSET($C$260,-3,0))*IF(ISNUMBER(OFFSET(X$11,5,0):OFFSET(X$260,-1,0)),OFFSET(X$11,5,0):OFFSET(X$260,-1,0),0))</f>
        <v>0</v>
      </c>
      <c r="Y269" s="273">
        <f t="array" aca="1" ref="Y269" ca="1">X269+SUM((OFFSET($C$13,1,0):OFFSET($C$260,-3,0))*IF(ISNUMBER(OFFSET(Y$11,5,0):OFFSET(Y$260,-1,0)),OFFSET(Y$11,5,0):OFFSET(Y$260,-1,0),0))</f>
        <v>0</v>
      </c>
      <c r="Z269" s="273">
        <f t="array" aca="1" ref="Z269" ca="1">Y269+SUM((OFFSET($C$13,1,0):OFFSET($C$260,-3,0))*IF(ISNUMBER(OFFSET(Z$11,5,0):OFFSET(Z$260,-1,0)),OFFSET(Z$11,5,0):OFFSET(Z$260,-1,0),0))</f>
        <v>0</v>
      </c>
      <c r="AA269" s="273">
        <f t="array" aca="1" ref="AA269" ca="1">Z269+SUM((OFFSET($C$13,1,0):OFFSET($C$260,-3,0))*IF(ISNUMBER(OFFSET(AA$11,5,0):OFFSET(AA$260,-1,0)),OFFSET(AA$11,5,0):OFFSET(AA$260,-1,0),0))</f>
        <v>0</v>
      </c>
      <c r="AB269" s="273">
        <f t="array" aca="1" ref="AB269" ca="1">AA269+SUM((OFFSET($C$13,1,0):OFFSET($C$260,-3,0))*IF(ISNUMBER(OFFSET(AB$11,5,0):OFFSET(AB$260,-1,0)),OFFSET(AB$11,5,0):OFFSET(AB$260,-1,0),0))</f>
        <v>0</v>
      </c>
      <c r="AC269" s="273">
        <f t="array" aca="1" ref="AC269" ca="1">AB269+SUM((OFFSET($C$13,1,0):OFFSET($C$260,-3,0))*IF(ISNUMBER(OFFSET(AC$11,5,0):OFFSET(AC$260,-1,0)),OFFSET(AC$11,5,0):OFFSET(AC$260,-1,0),0))</f>
        <v>0</v>
      </c>
      <c r="AD269" s="273">
        <f t="array" aca="1" ref="AD269" ca="1">AC269+SUM((OFFSET($C$13,1,0):OFFSET($C$260,-3,0))*IF(ISNUMBER(OFFSET(AD$11,5,0):OFFSET(AD$260,-1,0)),OFFSET(AD$11,5,0):OFFSET(AD$260,-1,0),0))</f>
        <v>0</v>
      </c>
      <c r="AE269" s="277">
        <f t="array" aca="1" ref="AE269" ca="1">AD269+SUM((OFFSET($C$13,1,0):OFFSET($C$260,-3,0))*IF(ISNUMBER(OFFSET(AE$11,5,0):OFFSET(AE$260,-1,0)),OFFSET(AE$11,5,0):OFFSET(AE$260,-1,0),0))</f>
        <v>0</v>
      </c>
      <c r="AF269" s="205">
        <f ca="1">ROUND(AF270-AF267-AF268,2)</f>
        <v>0</v>
      </c>
    </row>
    <row r="270" spans="1:32" x14ac:dyDescent="0.2">
      <c r="D270" s="278">
        <f ca="1">C270+SUMIF($R$12:$R$260,"1$",D12:D260)</f>
        <v>0</v>
      </c>
      <c r="F270" s="204" t="s">
        <v>246</v>
      </c>
      <c r="K270" s="279"/>
      <c r="R270" s="280"/>
      <c r="S270" s="281" t="s">
        <v>286</v>
      </c>
      <c r="T270" s="282">
        <f ca="1">SUMIF($R$12:$R$260,"1$",T12:T260)</f>
        <v>0</v>
      </c>
      <c r="U270" s="283">
        <f t="shared" ref="U270:AF270" ca="1" si="584">T270+SUMIF($R$12:$R$260,"1$",U12:U260)</f>
        <v>0</v>
      </c>
      <c r="V270" s="283">
        <f t="shared" ca="1" si="584"/>
        <v>0</v>
      </c>
      <c r="W270" s="283">
        <f t="shared" ca="1" si="584"/>
        <v>0</v>
      </c>
      <c r="X270" s="283">
        <f t="shared" ca="1" si="584"/>
        <v>0</v>
      </c>
      <c r="Y270" s="283">
        <f t="shared" ca="1" si="584"/>
        <v>0</v>
      </c>
      <c r="Z270" s="283">
        <f t="shared" ca="1" si="584"/>
        <v>0</v>
      </c>
      <c r="AA270" s="283">
        <f t="shared" ca="1" si="584"/>
        <v>0</v>
      </c>
      <c r="AB270" s="283">
        <f t="shared" ca="1" si="584"/>
        <v>0</v>
      </c>
      <c r="AC270" s="283">
        <f t="shared" ca="1" si="584"/>
        <v>0</v>
      </c>
      <c r="AD270" s="283">
        <f t="shared" ca="1" si="584"/>
        <v>0</v>
      </c>
      <c r="AE270" s="284">
        <f t="shared" ca="1" si="584"/>
        <v>0</v>
      </c>
      <c r="AF270" s="205">
        <f t="shared" ca="1" si="584"/>
        <v>0</v>
      </c>
    </row>
    <row r="271" spans="1:32" x14ac:dyDescent="0.2">
      <c r="F271" s="204" t="s">
        <v>246</v>
      </c>
    </row>
    <row r="272" spans="1:32" ht="32.25" customHeight="1" x14ac:dyDescent="0.2">
      <c r="F272" s="204" t="s">
        <v>246</v>
      </c>
      <c r="H272" s="622" t="str">
        <f>Import.Município</f>
        <v>DOIS VIZINHOS - PR</v>
      </c>
      <c r="I272" s="622"/>
      <c r="J272" s="622"/>
      <c r="K272" s="622"/>
      <c r="L272" s="622"/>
      <c r="M272" s="622"/>
      <c r="N272" s="622"/>
      <c r="O272" s="622"/>
      <c r="P272" s="622"/>
      <c r="Q272" s="622"/>
      <c r="R272" s="622"/>
      <c r="Z272" s="553"/>
      <c r="AA272" s="553"/>
      <c r="AB272" s="553"/>
      <c r="AC272" s="553"/>
      <c r="AD272" s="555"/>
      <c r="AE272" s="555"/>
    </row>
    <row r="273" spans="6:31" x14ac:dyDescent="0.2">
      <c r="F273" s="204" t="s">
        <v>246</v>
      </c>
      <c r="H273" s="10" t="s">
        <v>188</v>
      </c>
      <c r="I273"/>
      <c r="J273"/>
      <c r="K273"/>
      <c r="Z273" s="195" t="s">
        <v>190</v>
      </c>
      <c r="AA273" s="195"/>
      <c r="AB273" s="195"/>
      <c r="AC273" s="195"/>
      <c r="AD273" s="204"/>
      <c r="AE273" s="204"/>
    </row>
    <row r="274" spans="6:31" x14ac:dyDescent="0.2">
      <c r="F274" s="204" t="s">
        <v>246</v>
      </c>
      <c r="H274"/>
      <c r="I274"/>
      <c r="J274"/>
      <c r="K274"/>
      <c r="Z274" s="447" t="str">
        <f t="array" aca="1" ref="Z274:Z276" ca="1">OFFSET(Import.RespOrçamento,0,-1) &amp; " " &amp; Import.RespOrçamento</f>
        <v xml:space="preserve">Nome: RAUL ZANELLA </v>
      </c>
      <c r="AB274"/>
      <c r="AC274" s="80"/>
      <c r="AD274" s="204"/>
      <c r="AE274" s="204"/>
    </row>
    <row r="275" spans="6:31" x14ac:dyDescent="0.2">
      <c r="F275" s="204" t="s">
        <v>246</v>
      </c>
      <c r="H275" s="632">
        <f ca="1">DADOS!$F$25</f>
        <v>45663</v>
      </c>
      <c r="I275" s="632"/>
      <c r="J275" s="632"/>
      <c r="K275" s="194"/>
      <c r="L275" s="285"/>
      <c r="M275" s="285"/>
      <c r="N275" s="285"/>
      <c r="O275" s="285"/>
      <c r="P275" s="285"/>
      <c r="Q275" s="285"/>
      <c r="R275" s="286"/>
      <c r="Z275" s="447" t="str">
        <f ca="1"/>
        <v>CREA/CAU: CREA PR-136200/D</v>
      </c>
      <c r="AB275" s="80"/>
      <c r="AC275" s="80"/>
      <c r="AD275" s="204"/>
      <c r="AE275" s="204"/>
    </row>
    <row r="276" spans="6:31" x14ac:dyDescent="0.2">
      <c r="F276" s="204" t="s">
        <v>246</v>
      </c>
      <c r="H276" s="10" t="s">
        <v>189</v>
      </c>
      <c r="I276"/>
      <c r="J276"/>
      <c r="K276"/>
      <c r="Z276" s="447" t="str">
        <f ca="1"/>
        <v xml:space="preserve">ART/RRT: </v>
      </c>
      <c r="AB276" s="80"/>
      <c r="AC276" s="80"/>
      <c r="AD276" s="204"/>
      <c r="AE276" s="204"/>
    </row>
  </sheetData>
  <sheetProtection algorithmName="SHA-512" hashValue="ZIhXGv605fPSxZ30yEhGtrEXGDmUB9j72ZB4wtlkNsg0AB1Gg9UnbsR1rTZEG7vYeAMgaTKlVrvZZU941vDrwQ==" saltValue="nDbQmQnttaq3hYvdm/Nv8Q==" spinCount="100000" sheet="1" objects="1" scenarios="1" autoFilter="0"/>
  <autoFilter ref="F13:F276">
    <filterColumn colId="0">
      <filters>
        <filter val="F"/>
      </filters>
    </filterColumn>
  </autoFilter>
  <mergeCells count="17">
    <mergeCell ref="F8:F11"/>
    <mergeCell ref="H8:I8"/>
    <mergeCell ref="G7:G9"/>
    <mergeCell ref="H261:J262"/>
    <mergeCell ref="G12:G13"/>
    <mergeCell ref="H12:H13"/>
    <mergeCell ref="I12:I13"/>
    <mergeCell ref="H275:J275"/>
    <mergeCell ref="AD4:AE4"/>
    <mergeCell ref="AD5:AE5"/>
    <mergeCell ref="Y8:AD8"/>
    <mergeCell ref="R12:R13"/>
    <mergeCell ref="S12:S13"/>
    <mergeCell ref="K8:S8"/>
    <mergeCell ref="T8:X8"/>
    <mergeCell ref="J10:S11"/>
    <mergeCell ref="H272:R272"/>
  </mergeCells>
  <phoneticPr fontId="39" type="noConversion"/>
  <conditionalFormatting sqref="T12:T13">
    <cfRule type="expression" dxfId="568" priority="2081" stopIfTrue="1">
      <formula>NOT(ISNUMBER(S$12))</formula>
    </cfRule>
  </conditionalFormatting>
  <conditionalFormatting sqref="D2 T2:AF2">
    <cfRule type="expression" dxfId="567" priority="2082" stopIfTrue="1">
      <formula>AND(ISNUMBER($G1),$G1&lt;&gt;0)</formula>
    </cfRule>
  </conditionalFormatting>
  <conditionalFormatting sqref="H2:R2">
    <cfRule type="expression" dxfId="566" priority="2083" stopIfTrue="1">
      <formula>$L1=2</formula>
    </cfRule>
    <cfRule type="expression" dxfId="565" priority="2084" stopIfTrue="1">
      <formula>AND($L1=1,$R1&lt;&gt;"")</formula>
    </cfRule>
  </conditionalFormatting>
  <conditionalFormatting sqref="H1:R1">
    <cfRule type="expression" dxfId="564" priority="2085" stopIfTrue="1">
      <formula>$L1=2</formula>
    </cfRule>
    <cfRule type="expression" dxfId="563" priority="2086" stopIfTrue="1">
      <formula>AND($L1=1,$R1&lt;&gt;"")</formula>
    </cfRule>
  </conditionalFormatting>
  <conditionalFormatting sqref="D261:D265 T262:AE262 T264:AE264">
    <cfRule type="expression" dxfId="562" priority="2087" stopIfTrue="1">
      <formula>D$261=0</formula>
    </cfRule>
  </conditionalFormatting>
  <conditionalFormatting sqref="D266:D270">
    <cfRule type="expression" dxfId="561" priority="2088" stopIfTrue="1">
      <formula>C$266=1</formula>
    </cfRule>
  </conditionalFormatting>
  <conditionalFormatting sqref="U266:AE266 U268:AE268 U270:AE270">
    <cfRule type="expression" dxfId="560" priority="2089" stopIfTrue="1">
      <formula>OFFSET(U$266,0,-1)&gt;=1</formula>
    </cfRule>
  </conditionalFormatting>
  <conditionalFormatting sqref="U267:AE267 U269:AE269">
    <cfRule type="expression" dxfId="559" priority="2090" stopIfTrue="1">
      <formula>OFFSET(U$266,0,-1)&gt;=1</formula>
    </cfRule>
  </conditionalFormatting>
  <conditionalFormatting sqref="T261:AE261 T263:AE263 T265:AE265">
    <cfRule type="expression" dxfId="558" priority="2091" stopIfTrue="1">
      <formula>T$261=0</formula>
    </cfRule>
  </conditionalFormatting>
  <conditionalFormatting sqref="AE7:AE8">
    <cfRule type="expression" dxfId="557" priority="2092" stopIfTrue="1">
      <formula>OR(TIPOORCAMENTO&lt;&gt;"Licitado",QCI.ExisteManual)</formula>
    </cfRule>
  </conditionalFormatting>
  <conditionalFormatting sqref="D1 T1:AE1">
    <cfRule type="expression" dxfId="556" priority="2093" stopIfTrue="1">
      <formula>D1&lt;&gt;0</formula>
    </cfRule>
  </conditionalFormatting>
  <conditionalFormatting sqref="Y7:AD8">
    <cfRule type="expression" dxfId="555" priority="2080" stopIfTrue="1">
      <formula>QCI.ExisteManual</formula>
    </cfRule>
  </conditionalFormatting>
  <conditionalFormatting sqref="D15 D18 D21 T15:AF15 T18:AF18 T21:AF21">
    <cfRule type="expression" dxfId="554" priority="241" stopIfTrue="1">
      <formula>AND(ISNUMBER($G14),$G14&lt;&gt;0)</formula>
    </cfRule>
  </conditionalFormatting>
  <conditionalFormatting sqref="H15:R15 H18:R18 H21:R21">
    <cfRule type="expression" dxfId="553" priority="242" stopIfTrue="1">
      <formula>$L14=2</formula>
    </cfRule>
    <cfRule type="expression" dxfId="552" priority="243" stopIfTrue="1">
      <formula>AND($L14=1,$R14&lt;&gt;"")</formula>
    </cfRule>
  </conditionalFormatting>
  <conditionalFormatting sqref="H14:R14 H17:R17 H20:R20">
    <cfRule type="expression" dxfId="551" priority="244" stopIfTrue="1">
      <formula>$L14=2</formula>
    </cfRule>
    <cfRule type="expression" dxfId="550" priority="245" stopIfTrue="1">
      <formula>AND($L14=1,$R14&lt;&gt;"")</formula>
    </cfRule>
  </conditionalFormatting>
  <conditionalFormatting sqref="D14 D17 D20 T14:AE14 T17:AE17 T20:AE20">
    <cfRule type="expression" dxfId="549" priority="246" stopIfTrue="1">
      <formula>D14&lt;&gt;0</formula>
    </cfRule>
  </conditionalFormatting>
  <conditionalFormatting sqref="D24 D27 D30 T24:AF24 T27:AF27 T30:AF30">
    <cfRule type="expression" dxfId="548" priority="235" stopIfTrue="1">
      <formula>AND(ISNUMBER($G23),$G23&lt;&gt;0)</formula>
    </cfRule>
  </conditionalFormatting>
  <conditionalFormatting sqref="H24:R24 H27:R27 H30:R30">
    <cfRule type="expression" dxfId="547" priority="236" stopIfTrue="1">
      <formula>$L23=2</formula>
    </cfRule>
    <cfRule type="expression" dxfId="546" priority="237" stopIfTrue="1">
      <formula>AND($L23=1,$R23&lt;&gt;"")</formula>
    </cfRule>
  </conditionalFormatting>
  <conditionalFormatting sqref="H23:R23 H26:R26 H29:R29">
    <cfRule type="expression" dxfId="545" priority="238" stopIfTrue="1">
      <formula>$L23=2</formula>
    </cfRule>
    <cfRule type="expression" dxfId="544" priority="239" stopIfTrue="1">
      <formula>AND($L23=1,$R23&lt;&gt;"")</formula>
    </cfRule>
  </conditionalFormatting>
  <conditionalFormatting sqref="D23 D26 D29 T23:AE23 T26:AE26 T29:AE29">
    <cfRule type="expression" dxfId="543" priority="240" stopIfTrue="1">
      <formula>D23&lt;&gt;0</formula>
    </cfRule>
  </conditionalFormatting>
  <conditionalFormatting sqref="D33 D36 D39 T33:AF33 T36:AF36 T39:AF39">
    <cfRule type="expression" dxfId="542" priority="229" stopIfTrue="1">
      <formula>AND(ISNUMBER($G32),$G32&lt;&gt;0)</formula>
    </cfRule>
  </conditionalFormatting>
  <conditionalFormatting sqref="H33:R33 H36:R36 H39:R39">
    <cfRule type="expression" dxfId="541" priority="230" stopIfTrue="1">
      <formula>$L32=2</formula>
    </cfRule>
    <cfRule type="expression" dxfId="540" priority="231" stopIfTrue="1">
      <formula>AND($L32=1,$R32&lt;&gt;"")</formula>
    </cfRule>
  </conditionalFormatting>
  <conditionalFormatting sqref="H32:R32 H35:R35 H38:R38">
    <cfRule type="expression" dxfId="539" priority="232" stopIfTrue="1">
      <formula>$L32=2</formula>
    </cfRule>
    <cfRule type="expression" dxfId="538" priority="233" stopIfTrue="1">
      <formula>AND($L32=1,$R32&lt;&gt;"")</formula>
    </cfRule>
  </conditionalFormatting>
  <conditionalFormatting sqref="D32 D35 D38 T32:AE32 T35:AE35 T38:AE38">
    <cfRule type="expression" dxfId="537" priority="234" stopIfTrue="1">
      <formula>D32&lt;&gt;0</formula>
    </cfRule>
  </conditionalFormatting>
  <conditionalFormatting sqref="D42 D45 D48 T42:AF42 T45:AF45 T48:AF48">
    <cfRule type="expression" dxfId="536" priority="223" stopIfTrue="1">
      <formula>AND(ISNUMBER($G41),$G41&lt;&gt;0)</formula>
    </cfRule>
  </conditionalFormatting>
  <conditionalFormatting sqref="H42:R42 H45:R45 H48:R48">
    <cfRule type="expression" dxfId="535" priority="224" stopIfTrue="1">
      <formula>$L41=2</formula>
    </cfRule>
    <cfRule type="expression" dxfId="534" priority="225" stopIfTrue="1">
      <formula>AND($L41=1,$R41&lt;&gt;"")</formula>
    </cfRule>
  </conditionalFormatting>
  <conditionalFormatting sqref="H41:R41 H44:R44 H47:R47">
    <cfRule type="expression" dxfId="533" priority="226" stopIfTrue="1">
      <formula>$L41=2</formula>
    </cfRule>
    <cfRule type="expression" dxfId="532" priority="227" stopIfTrue="1">
      <formula>AND($L41=1,$R41&lt;&gt;"")</formula>
    </cfRule>
  </conditionalFormatting>
  <conditionalFormatting sqref="D41 D44 D47 T41:AE41 T44:AE44 T47:AE47">
    <cfRule type="expression" dxfId="531" priority="228" stopIfTrue="1">
      <formula>D41&lt;&gt;0</formula>
    </cfRule>
  </conditionalFormatting>
  <conditionalFormatting sqref="D51 D54 D57 T51:AF51 T54:AF54 T57:AF57">
    <cfRule type="expression" dxfId="530" priority="217" stopIfTrue="1">
      <formula>AND(ISNUMBER($G50),$G50&lt;&gt;0)</formula>
    </cfRule>
  </conditionalFormatting>
  <conditionalFormatting sqref="H51:R51 H54:R54 H57:R57">
    <cfRule type="expression" dxfId="529" priority="218" stopIfTrue="1">
      <formula>$L50=2</formula>
    </cfRule>
    <cfRule type="expression" dxfId="528" priority="219" stopIfTrue="1">
      <formula>AND($L50=1,$R50&lt;&gt;"")</formula>
    </cfRule>
  </conditionalFormatting>
  <conditionalFormatting sqref="H50:R50 H53:R53 H56:R56">
    <cfRule type="expression" dxfId="527" priority="220" stopIfTrue="1">
      <formula>$L50=2</formula>
    </cfRule>
    <cfRule type="expression" dxfId="526" priority="221" stopIfTrue="1">
      <formula>AND($L50=1,$R50&lt;&gt;"")</formula>
    </cfRule>
  </conditionalFormatting>
  <conditionalFormatting sqref="D50 D53 D56 T50:AE50 T53:AE53 T56:AE56">
    <cfRule type="expression" dxfId="525" priority="222" stopIfTrue="1">
      <formula>D50&lt;&gt;0</formula>
    </cfRule>
  </conditionalFormatting>
  <conditionalFormatting sqref="D60 D63 D66 T60:AF60 T63:AF63 T66:AF66">
    <cfRule type="expression" dxfId="524" priority="211" stopIfTrue="1">
      <formula>AND(ISNUMBER($G59),$G59&lt;&gt;0)</formula>
    </cfRule>
  </conditionalFormatting>
  <conditionalFormatting sqref="H60:R60 H63:R63 H66:R66">
    <cfRule type="expression" dxfId="523" priority="212" stopIfTrue="1">
      <formula>$L59=2</formula>
    </cfRule>
    <cfRule type="expression" dxfId="522" priority="213" stopIfTrue="1">
      <formula>AND($L59=1,$R59&lt;&gt;"")</formula>
    </cfRule>
  </conditionalFormatting>
  <conditionalFormatting sqref="H59:R59 H62:R62 H65:R65">
    <cfRule type="expression" dxfId="521" priority="214" stopIfTrue="1">
      <formula>$L59=2</formula>
    </cfRule>
    <cfRule type="expression" dxfId="520" priority="215" stopIfTrue="1">
      <formula>AND($L59=1,$R59&lt;&gt;"")</formula>
    </cfRule>
  </conditionalFormatting>
  <conditionalFormatting sqref="D59 D62 D65 T59:AE59 T62:AE62 T65:AE65">
    <cfRule type="expression" dxfId="519" priority="216" stopIfTrue="1">
      <formula>D59&lt;&gt;0</formula>
    </cfRule>
  </conditionalFormatting>
  <conditionalFormatting sqref="D69 D72 D75 T69:AF69 T72:AF72 T75:AF75">
    <cfRule type="expression" dxfId="518" priority="205" stopIfTrue="1">
      <formula>AND(ISNUMBER($G68),$G68&lt;&gt;0)</formula>
    </cfRule>
  </conditionalFormatting>
  <conditionalFormatting sqref="H69:R69 H72:R72 H75:R75">
    <cfRule type="expression" dxfId="517" priority="206" stopIfTrue="1">
      <formula>$L68=2</formula>
    </cfRule>
    <cfRule type="expression" dxfId="516" priority="207" stopIfTrue="1">
      <formula>AND($L68=1,$R68&lt;&gt;"")</formula>
    </cfRule>
  </conditionalFormatting>
  <conditionalFormatting sqref="H68:R68 H71:R71 H74:R74">
    <cfRule type="expression" dxfId="515" priority="208" stopIfTrue="1">
      <formula>$L68=2</formula>
    </cfRule>
    <cfRule type="expression" dxfId="514" priority="209" stopIfTrue="1">
      <formula>AND($L68=1,$R68&lt;&gt;"")</formula>
    </cfRule>
  </conditionalFormatting>
  <conditionalFormatting sqref="D68 D71 D74 T68:AE68 T71:AE71 T74:AE74">
    <cfRule type="expression" dxfId="513" priority="210" stopIfTrue="1">
      <formula>D68&lt;&gt;0</formula>
    </cfRule>
  </conditionalFormatting>
  <conditionalFormatting sqref="D78 D81 D84 T78:AF78 T81:AF81 T84:AF84">
    <cfRule type="expression" dxfId="512" priority="199" stopIfTrue="1">
      <formula>AND(ISNUMBER($G77),$G77&lt;&gt;0)</formula>
    </cfRule>
  </conditionalFormatting>
  <conditionalFormatting sqref="H78:R78 H81:R81 H84:R84">
    <cfRule type="expression" dxfId="511" priority="200" stopIfTrue="1">
      <formula>$L77=2</formula>
    </cfRule>
    <cfRule type="expression" dxfId="510" priority="201" stopIfTrue="1">
      <formula>AND($L77=1,$R77&lt;&gt;"")</formula>
    </cfRule>
  </conditionalFormatting>
  <conditionalFormatting sqref="H77:R77 H80:R80 H83:R83">
    <cfRule type="expression" dxfId="509" priority="202" stopIfTrue="1">
      <formula>$L77=2</formula>
    </cfRule>
    <cfRule type="expression" dxfId="508" priority="203" stopIfTrue="1">
      <formula>AND($L77=1,$R77&lt;&gt;"")</formula>
    </cfRule>
  </conditionalFormatting>
  <conditionalFormatting sqref="D77 D80 D83 T77:AE77 T80:AE80 T83:AE83">
    <cfRule type="expression" dxfId="507" priority="204" stopIfTrue="1">
      <formula>D77&lt;&gt;0</formula>
    </cfRule>
  </conditionalFormatting>
  <conditionalFormatting sqref="D87 D90 T87:AF87 T90:AF90">
    <cfRule type="expression" dxfId="506" priority="193" stopIfTrue="1">
      <formula>AND(ISNUMBER($G86),$G86&lt;&gt;0)</formula>
    </cfRule>
  </conditionalFormatting>
  <conditionalFormatting sqref="H87:R87 H90:R90">
    <cfRule type="expression" dxfId="505" priority="194" stopIfTrue="1">
      <formula>$L86=2</formula>
    </cfRule>
    <cfRule type="expression" dxfId="504" priority="195" stopIfTrue="1">
      <formula>AND($L86=1,$R86&lt;&gt;"")</formula>
    </cfRule>
  </conditionalFormatting>
  <conditionalFormatting sqref="H86:R86 H89:R89">
    <cfRule type="expression" dxfId="503" priority="196" stopIfTrue="1">
      <formula>$L86=2</formula>
    </cfRule>
    <cfRule type="expression" dxfId="502" priority="197" stopIfTrue="1">
      <formula>AND($L86=1,$R86&lt;&gt;"")</formula>
    </cfRule>
  </conditionalFormatting>
  <conditionalFormatting sqref="D86 D89 T86:AE86 T89:AE89">
    <cfRule type="expression" dxfId="501" priority="198" stopIfTrue="1">
      <formula>D86&lt;&gt;0</formula>
    </cfRule>
  </conditionalFormatting>
  <conditionalFormatting sqref="D93 D96 D99 T93:AF93 T96:AF96 T99:AF99">
    <cfRule type="expression" dxfId="500" priority="139" stopIfTrue="1">
      <formula>AND(ISNUMBER($G92),$G92&lt;&gt;0)</formula>
    </cfRule>
  </conditionalFormatting>
  <conditionalFormatting sqref="H93:R93 H96:R96 H99:R99">
    <cfRule type="expression" dxfId="499" priority="140" stopIfTrue="1">
      <formula>$L92=2</formula>
    </cfRule>
    <cfRule type="expression" dxfId="498" priority="141" stopIfTrue="1">
      <formula>AND($L92=1,$R92&lt;&gt;"")</formula>
    </cfRule>
  </conditionalFormatting>
  <conditionalFormatting sqref="H92:R92 H95:R95 H98:R98">
    <cfRule type="expression" dxfId="497" priority="142" stopIfTrue="1">
      <formula>$L92=2</formula>
    </cfRule>
    <cfRule type="expression" dxfId="496" priority="143" stopIfTrue="1">
      <formula>AND($L92=1,$R92&lt;&gt;"")</formula>
    </cfRule>
  </conditionalFormatting>
  <conditionalFormatting sqref="D92 D95 D98 T92:AE92 T95:AE95 T98:AE98">
    <cfRule type="expression" dxfId="495" priority="144" stopIfTrue="1">
      <formula>D92&lt;&gt;0</formula>
    </cfRule>
  </conditionalFormatting>
  <conditionalFormatting sqref="D102 D105 D108 T102:AF102 T105:AF105 T108:AF108">
    <cfRule type="expression" dxfId="494" priority="133" stopIfTrue="1">
      <formula>AND(ISNUMBER($G101),$G101&lt;&gt;0)</formula>
    </cfRule>
  </conditionalFormatting>
  <conditionalFormatting sqref="H102:R102 H105:R105 H108:R108">
    <cfRule type="expression" dxfId="493" priority="134" stopIfTrue="1">
      <formula>$L101=2</formula>
    </cfRule>
    <cfRule type="expression" dxfId="492" priority="135" stopIfTrue="1">
      <formula>AND($L101=1,$R101&lt;&gt;"")</formula>
    </cfRule>
  </conditionalFormatting>
  <conditionalFormatting sqref="H101:R101 H104:R104 H107:R107">
    <cfRule type="expression" dxfId="491" priority="136" stopIfTrue="1">
      <formula>$L101=2</formula>
    </cfRule>
    <cfRule type="expression" dxfId="490" priority="137" stopIfTrue="1">
      <formula>AND($L101=1,$R101&lt;&gt;"")</formula>
    </cfRule>
  </conditionalFormatting>
  <conditionalFormatting sqref="D101 D104 D107 T101:AE101 T104:AE104 T107:AE107">
    <cfRule type="expression" dxfId="489" priority="138" stopIfTrue="1">
      <formula>D101&lt;&gt;0</formula>
    </cfRule>
  </conditionalFormatting>
  <conditionalFormatting sqref="D111 D114 D117 T111:AF111 T114:AF114 T117:AF117">
    <cfRule type="expression" dxfId="488" priority="127" stopIfTrue="1">
      <formula>AND(ISNUMBER($G110),$G110&lt;&gt;0)</formula>
    </cfRule>
  </conditionalFormatting>
  <conditionalFormatting sqref="H111:R111 H114:R114 H117:R117">
    <cfRule type="expression" dxfId="487" priority="128" stopIfTrue="1">
      <formula>$L110=2</formula>
    </cfRule>
    <cfRule type="expression" dxfId="486" priority="129" stopIfTrue="1">
      <formula>AND($L110=1,$R110&lt;&gt;"")</formula>
    </cfRule>
  </conditionalFormatting>
  <conditionalFormatting sqref="H110:R110 H113:R113 H116:R116">
    <cfRule type="expression" dxfId="485" priority="130" stopIfTrue="1">
      <formula>$L110=2</formula>
    </cfRule>
    <cfRule type="expression" dxfId="484" priority="131" stopIfTrue="1">
      <formula>AND($L110=1,$R110&lt;&gt;"")</formula>
    </cfRule>
  </conditionalFormatting>
  <conditionalFormatting sqref="D110 D113 D116 T110:AE110 T113:AE113 T116:AE116">
    <cfRule type="expression" dxfId="483" priority="132" stopIfTrue="1">
      <formula>D110&lt;&gt;0</formula>
    </cfRule>
  </conditionalFormatting>
  <conditionalFormatting sqref="D120 D123 D126 T120:AF120 T123:AF123 T126:AF126">
    <cfRule type="expression" dxfId="482" priority="121" stopIfTrue="1">
      <formula>AND(ISNUMBER($G119),$G119&lt;&gt;0)</formula>
    </cfRule>
  </conditionalFormatting>
  <conditionalFormatting sqref="H120:R120 H123:R123 H126:R126">
    <cfRule type="expression" dxfId="481" priority="122" stopIfTrue="1">
      <formula>$L119=2</formula>
    </cfRule>
    <cfRule type="expression" dxfId="480" priority="123" stopIfTrue="1">
      <formula>AND($L119=1,$R119&lt;&gt;"")</formula>
    </cfRule>
  </conditionalFormatting>
  <conditionalFormatting sqref="H119:R119 H122:R122 H125:R125">
    <cfRule type="expression" dxfId="479" priority="124" stopIfTrue="1">
      <formula>$L119=2</formula>
    </cfRule>
    <cfRule type="expression" dxfId="478" priority="125" stopIfTrue="1">
      <formula>AND($L119=1,$R119&lt;&gt;"")</formula>
    </cfRule>
  </conditionalFormatting>
  <conditionalFormatting sqref="D119 D122 D125 T119:AE119 T122:AE122 T125:AE125">
    <cfRule type="expression" dxfId="477" priority="126" stopIfTrue="1">
      <formula>D119&lt;&gt;0</formula>
    </cfRule>
  </conditionalFormatting>
  <conditionalFormatting sqref="D129 D132 D135 T129:AF129 T132:AF132 T135:AF135">
    <cfRule type="expression" dxfId="476" priority="115" stopIfTrue="1">
      <formula>AND(ISNUMBER($G128),$G128&lt;&gt;0)</formula>
    </cfRule>
  </conditionalFormatting>
  <conditionalFormatting sqref="H129:R129 H132:R132 H135:R135">
    <cfRule type="expression" dxfId="475" priority="116" stopIfTrue="1">
      <formula>$L128=2</formula>
    </cfRule>
    <cfRule type="expression" dxfId="474" priority="117" stopIfTrue="1">
      <formula>AND($L128=1,$R128&lt;&gt;"")</formula>
    </cfRule>
  </conditionalFormatting>
  <conditionalFormatting sqref="H128:R128 H131:R131 H134:R134">
    <cfRule type="expression" dxfId="473" priority="118" stopIfTrue="1">
      <formula>$L128=2</formula>
    </cfRule>
    <cfRule type="expression" dxfId="472" priority="119" stopIfTrue="1">
      <formula>AND($L128=1,$R128&lt;&gt;"")</formula>
    </cfRule>
  </conditionalFormatting>
  <conditionalFormatting sqref="D128 D131 D134 T128:AE128 T131:AE131 T134:AE134">
    <cfRule type="expression" dxfId="471" priority="120" stopIfTrue="1">
      <formula>D128&lt;&gt;0</formula>
    </cfRule>
  </conditionalFormatting>
  <conditionalFormatting sqref="D138 D141 D144 T138:AF138 T141:AF141 T144:AF144">
    <cfRule type="expression" dxfId="470" priority="109" stopIfTrue="1">
      <formula>AND(ISNUMBER($G137),$G137&lt;&gt;0)</formula>
    </cfRule>
  </conditionalFormatting>
  <conditionalFormatting sqref="H138:R138 H141:R141 H144:R144">
    <cfRule type="expression" dxfId="469" priority="110" stopIfTrue="1">
      <formula>$L137=2</formula>
    </cfRule>
    <cfRule type="expression" dxfId="468" priority="111" stopIfTrue="1">
      <formula>AND($L137=1,$R137&lt;&gt;"")</formula>
    </cfRule>
  </conditionalFormatting>
  <conditionalFormatting sqref="H137:R137 H140:R140 H143:R143">
    <cfRule type="expression" dxfId="467" priority="112" stopIfTrue="1">
      <formula>$L137=2</formula>
    </cfRule>
    <cfRule type="expression" dxfId="466" priority="113" stopIfTrue="1">
      <formula>AND($L137=1,$R137&lt;&gt;"")</formula>
    </cfRule>
  </conditionalFormatting>
  <conditionalFormatting sqref="D137 D140 D143 T137:AE137 T140:AE140 T143:AE143">
    <cfRule type="expression" dxfId="465" priority="114" stopIfTrue="1">
      <formula>D137&lt;&gt;0</formula>
    </cfRule>
  </conditionalFormatting>
  <conditionalFormatting sqref="D147 D150 D153 T147:AF147 T150:AF150 T153:AF153">
    <cfRule type="expression" dxfId="464" priority="103" stopIfTrue="1">
      <formula>AND(ISNUMBER($G146),$G146&lt;&gt;0)</formula>
    </cfRule>
  </conditionalFormatting>
  <conditionalFormatting sqref="H147:R147 H150:R150 H153:R153">
    <cfRule type="expression" dxfId="463" priority="104" stopIfTrue="1">
      <formula>$L146=2</formula>
    </cfRule>
    <cfRule type="expression" dxfId="462" priority="105" stopIfTrue="1">
      <formula>AND($L146=1,$R146&lt;&gt;"")</formula>
    </cfRule>
  </conditionalFormatting>
  <conditionalFormatting sqref="H146:R146 H149:R149 H152:R152">
    <cfRule type="expression" dxfId="461" priority="106" stopIfTrue="1">
      <formula>$L146=2</formula>
    </cfRule>
    <cfRule type="expression" dxfId="460" priority="107" stopIfTrue="1">
      <formula>AND($L146=1,$R146&lt;&gt;"")</formula>
    </cfRule>
  </conditionalFormatting>
  <conditionalFormatting sqref="D146 D149 D152 T146:AE146 T149:AE149 T152:AE152">
    <cfRule type="expression" dxfId="459" priority="108" stopIfTrue="1">
      <formula>D146&lt;&gt;0</formula>
    </cfRule>
  </conditionalFormatting>
  <conditionalFormatting sqref="D156 D159 D162 T156:AF156 T159:AF159 T162:AF162">
    <cfRule type="expression" dxfId="458" priority="97" stopIfTrue="1">
      <formula>AND(ISNUMBER($G155),$G155&lt;&gt;0)</formula>
    </cfRule>
  </conditionalFormatting>
  <conditionalFormatting sqref="H156:R156 H159:R159 H162:R162">
    <cfRule type="expression" dxfId="457" priority="98" stopIfTrue="1">
      <formula>$L155=2</formula>
    </cfRule>
    <cfRule type="expression" dxfId="456" priority="99" stopIfTrue="1">
      <formula>AND($L155=1,$R155&lt;&gt;"")</formula>
    </cfRule>
  </conditionalFormatting>
  <conditionalFormatting sqref="H155:R155 H158:R158 H161:R161">
    <cfRule type="expression" dxfId="455" priority="100" stopIfTrue="1">
      <formula>$L155=2</formula>
    </cfRule>
    <cfRule type="expression" dxfId="454" priority="101" stopIfTrue="1">
      <formula>AND($L155=1,$R155&lt;&gt;"")</formula>
    </cfRule>
  </conditionalFormatting>
  <conditionalFormatting sqref="D155 D158 D161 T155:AE155 T158:AE158 T161:AE161">
    <cfRule type="expression" dxfId="453" priority="102" stopIfTrue="1">
      <formula>D155&lt;&gt;0</formula>
    </cfRule>
  </conditionalFormatting>
  <conditionalFormatting sqref="D165 D168 D171 T165:AF165 T168:AF168 T171:AF171">
    <cfRule type="expression" dxfId="452" priority="91" stopIfTrue="1">
      <formula>AND(ISNUMBER($G164),$G164&lt;&gt;0)</formula>
    </cfRule>
  </conditionalFormatting>
  <conditionalFormatting sqref="H165:R165 H168:R168 H171:R171">
    <cfRule type="expression" dxfId="451" priority="92" stopIfTrue="1">
      <formula>$L164=2</formula>
    </cfRule>
    <cfRule type="expression" dxfId="450" priority="93" stopIfTrue="1">
      <formula>AND($L164=1,$R164&lt;&gt;"")</formula>
    </cfRule>
  </conditionalFormatting>
  <conditionalFormatting sqref="H164:R164 H167:R167 H170:R170">
    <cfRule type="expression" dxfId="449" priority="94" stopIfTrue="1">
      <formula>$L164=2</formula>
    </cfRule>
    <cfRule type="expression" dxfId="448" priority="95" stopIfTrue="1">
      <formula>AND($L164=1,$R164&lt;&gt;"")</formula>
    </cfRule>
  </conditionalFormatting>
  <conditionalFormatting sqref="D164 D167 D170 T164:AE164 T167:AE167 T170:AE170">
    <cfRule type="expression" dxfId="447" priority="96" stopIfTrue="1">
      <formula>D164&lt;&gt;0</formula>
    </cfRule>
  </conditionalFormatting>
  <conditionalFormatting sqref="D174 D177 D180 T174:AF174 T177:AF177 T180:AF180">
    <cfRule type="expression" dxfId="446" priority="85" stopIfTrue="1">
      <formula>AND(ISNUMBER($G173),$G173&lt;&gt;0)</formula>
    </cfRule>
  </conditionalFormatting>
  <conditionalFormatting sqref="H174:R174 H177:R177 H180:R180">
    <cfRule type="expression" dxfId="445" priority="86" stopIfTrue="1">
      <formula>$L173=2</formula>
    </cfRule>
    <cfRule type="expression" dxfId="444" priority="87" stopIfTrue="1">
      <formula>AND($L173=1,$R173&lt;&gt;"")</formula>
    </cfRule>
  </conditionalFormatting>
  <conditionalFormatting sqref="H173:R173 H176:R176 H179:R179">
    <cfRule type="expression" dxfId="443" priority="88" stopIfTrue="1">
      <formula>$L173=2</formula>
    </cfRule>
    <cfRule type="expression" dxfId="442" priority="89" stopIfTrue="1">
      <formula>AND($L173=1,$R173&lt;&gt;"")</formula>
    </cfRule>
  </conditionalFormatting>
  <conditionalFormatting sqref="D173 D176 D179 T173:AE173 T176:AE176 T179:AE179">
    <cfRule type="expression" dxfId="441" priority="90" stopIfTrue="1">
      <formula>D173&lt;&gt;0</formula>
    </cfRule>
  </conditionalFormatting>
  <conditionalFormatting sqref="D183 D186 D189 T183:AF183 T186:AF186 T189:AF189">
    <cfRule type="expression" dxfId="440" priority="79" stopIfTrue="1">
      <formula>AND(ISNUMBER($G182),$G182&lt;&gt;0)</formula>
    </cfRule>
  </conditionalFormatting>
  <conditionalFormatting sqref="H183:R183 H186:R186 H189:R189">
    <cfRule type="expression" dxfId="439" priority="80" stopIfTrue="1">
      <formula>$L182=2</formula>
    </cfRule>
    <cfRule type="expression" dxfId="438" priority="81" stopIfTrue="1">
      <formula>AND($L182=1,$R182&lt;&gt;"")</formula>
    </cfRule>
  </conditionalFormatting>
  <conditionalFormatting sqref="H182:R182 H185:R185 H188:R188">
    <cfRule type="expression" dxfId="437" priority="82" stopIfTrue="1">
      <formula>$L182=2</formula>
    </cfRule>
    <cfRule type="expression" dxfId="436" priority="83" stopIfTrue="1">
      <formula>AND($L182=1,$R182&lt;&gt;"")</formula>
    </cfRule>
  </conditionalFormatting>
  <conditionalFormatting sqref="D182 D185 D188 T182:AE182 T185:AE185 T188:AE188">
    <cfRule type="expression" dxfId="435" priority="84" stopIfTrue="1">
      <formula>D182&lt;&gt;0</formula>
    </cfRule>
  </conditionalFormatting>
  <conditionalFormatting sqref="D192 D195 D198 T192:AF192 T195:AF195 T198:AF198">
    <cfRule type="expression" dxfId="434" priority="73" stopIfTrue="1">
      <formula>AND(ISNUMBER($G191),$G191&lt;&gt;0)</formula>
    </cfRule>
  </conditionalFormatting>
  <conditionalFormatting sqref="H192:R192 H195:R195 H198:R198">
    <cfRule type="expression" dxfId="433" priority="74" stopIfTrue="1">
      <formula>$L191=2</formula>
    </cfRule>
    <cfRule type="expression" dxfId="432" priority="75" stopIfTrue="1">
      <formula>AND($L191=1,$R191&lt;&gt;"")</formula>
    </cfRule>
  </conditionalFormatting>
  <conditionalFormatting sqref="H191:R191 H194:R194 H197:R197">
    <cfRule type="expression" dxfId="431" priority="76" stopIfTrue="1">
      <formula>$L191=2</formula>
    </cfRule>
    <cfRule type="expression" dxfId="430" priority="77" stopIfTrue="1">
      <formula>AND($L191=1,$R191&lt;&gt;"")</formula>
    </cfRule>
  </conditionalFormatting>
  <conditionalFormatting sqref="D191 D194 D197 T191:AE191 T194:AE194 T197:AE197">
    <cfRule type="expression" dxfId="429" priority="78" stopIfTrue="1">
      <formula>D191&lt;&gt;0</formula>
    </cfRule>
  </conditionalFormatting>
  <conditionalFormatting sqref="D201 D204 D207 T201:AF201 T204:AF204 T207:AF207">
    <cfRule type="expression" dxfId="428" priority="67" stopIfTrue="1">
      <formula>AND(ISNUMBER($G200),$G200&lt;&gt;0)</formula>
    </cfRule>
  </conditionalFormatting>
  <conditionalFormatting sqref="H201:R201 H204:R204 H207:R207">
    <cfRule type="expression" dxfId="427" priority="68" stopIfTrue="1">
      <formula>$L200=2</formula>
    </cfRule>
    <cfRule type="expression" dxfId="426" priority="69" stopIfTrue="1">
      <formula>AND($L200=1,$R200&lt;&gt;"")</formula>
    </cfRule>
  </conditionalFormatting>
  <conditionalFormatting sqref="H200:R200 H203:R203 H206:R206">
    <cfRule type="expression" dxfId="425" priority="70" stopIfTrue="1">
      <formula>$L200=2</formula>
    </cfRule>
    <cfRule type="expression" dxfId="424" priority="71" stopIfTrue="1">
      <formula>AND($L200=1,$R200&lt;&gt;"")</formula>
    </cfRule>
  </conditionalFormatting>
  <conditionalFormatting sqref="D200 D203 D206 T200:AE200 T203:AE203 T206:AE206">
    <cfRule type="expression" dxfId="423" priority="72" stopIfTrue="1">
      <formula>D200&lt;&gt;0</formula>
    </cfRule>
  </conditionalFormatting>
  <conditionalFormatting sqref="D210 D213 D216 T210:AF210 T213:AF213 T216:AF216">
    <cfRule type="expression" dxfId="422" priority="61" stopIfTrue="1">
      <formula>AND(ISNUMBER($G209),$G209&lt;&gt;0)</formula>
    </cfRule>
  </conditionalFormatting>
  <conditionalFormatting sqref="H210:R210 H213:R213 H216:R216">
    <cfRule type="expression" dxfId="421" priority="62" stopIfTrue="1">
      <formula>$L209=2</formula>
    </cfRule>
    <cfRule type="expression" dxfId="420" priority="63" stopIfTrue="1">
      <formula>AND($L209=1,$R209&lt;&gt;"")</formula>
    </cfRule>
  </conditionalFormatting>
  <conditionalFormatting sqref="H209:R209 H212:R212 H215:R215">
    <cfRule type="expression" dxfId="419" priority="64" stopIfTrue="1">
      <formula>$L209=2</formula>
    </cfRule>
    <cfRule type="expression" dxfId="418" priority="65" stopIfTrue="1">
      <formula>AND($L209=1,$R209&lt;&gt;"")</formula>
    </cfRule>
  </conditionalFormatting>
  <conditionalFormatting sqref="D209 D212 D215 T209:AE209 T212:AE212 T215:AE215">
    <cfRule type="expression" dxfId="417" priority="66" stopIfTrue="1">
      <formula>D209&lt;&gt;0</formula>
    </cfRule>
  </conditionalFormatting>
  <conditionalFormatting sqref="D219 D222 D225 T219:AF219 T222:AF222 T225:AF225">
    <cfRule type="expression" dxfId="416" priority="55" stopIfTrue="1">
      <formula>AND(ISNUMBER($G218),$G218&lt;&gt;0)</formula>
    </cfRule>
  </conditionalFormatting>
  <conditionalFormatting sqref="H219:R219 H222:R222 H225:R225">
    <cfRule type="expression" dxfId="415" priority="56" stopIfTrue="1">
      <formula>$L218=2</formula>
    </cfRule>
    <cfRule type="expression" dxfId="414" priority="57" stopIfTrue="1">
      <formula>AND($L218=1,$R218&lt;&gt;"")</formula>
    </cfRule>
  </conditionalFormatting>
  <conditionalFormatting sqref="H218:R218 H221:R221 H224:R224">
    <cfRule type="expression" dxfId="413" priority="58" stopIfTrue="1">
      <formula>$L218=2</formula>
    </cfRule>
    <cfRule type="expression" dxfId="412" priority="59" stopIfTrue="1">
      <formula>AND($L218=1,$R218&lt;&gt;"")</formula>
    </cfRule>
  </conditionalFormatting>
  <conditionalFormatting sqref="D218 D221 D224 T218:AE218 T221:AE221 T224:AE224">
    <cfRule type="expression" dxfId="411" priority="60" stopIfTrue="1">
      <formula>D218&lt;&gt;0</formula>
    </cfRule>
  </conditionalFormatting>
  <conditionalFormatting sqref="D228 D231 D234 T228:AF228 T231:AF231 T234:AF234">
    <cfRule type="expression" dxfId="410" priority="49" stopIfTrue="1">
      <formula>AND(ISNUMBER($G227),$G227&lt;&gt;0)</formula>
    </cfRule>
  </conditionalFormatting>
  <conditionalFormatting sqref="H228:R228 H231:R231 H234:R234">
    <cfRule type="expression" dxfId="409" priority="50" stopIfTrue="1">
      <formula>$L227=2</formula>
    </cfRule>
    <cfRule type="expression" dxfId="408" priority="51" stopIfTrue="1">
      <formula>AND($L227=1,$R227&lt;&gt;"")</formula>
    </cfRule>
  </conditionalFormatting>
  <conditionalFormatting sqref="H227:R227 H230:R230 H233:R233">
    <cfRule type="expression" dxfId="407" priority="52" stopIfTrue="1">
      <formula>$L227=2</formula>
    </cfRule>
    <cfRule type="expression" dxfId="406" priority="53" stopIfTrue="1">
      <formula>AND($L227=1,$R227&lt;&gt;"")</formula>
    </cfRule>
  </conditionalFormatting>
  <conditionalFormatting sqref="D227 D230 D233 T227:AE227 T230:AE230 T233:AE233">
    <cfRule type="expression" dxfId="405" priority="54" stopIfTrue="1">
      <formula>D227&lt;&gt;0</formula>
    </cfRule>
  </conditionalFormatting>
  <conditionalFormatting sqref="D237 D240 D243 T237:AF237 T240:AF240 T243:AF243">
    <cfRule type="expression" dxfId="404" priority="43" stopIfTrue="1">
      <formula>AND(ISNUMBER($G236),$G236&lt;&gt;0)</formula>
    </cfRule>
  </conditionalFormatting>
  <conditionalFormatting sqref="H237:R237 H240:R240 H243:R243">
    <cfRule type="expression" dxfId="403" priority="44" stopIfTrue="1">
      <formula>$L236=2</formula>
    </cfRule>
    <cfRule type="expression" dxfId="402" priority="45" stopIfTrue="1">
      <formula>AND($L236=1,$R236&lt;&gt;"")</formula>
    </cfRule>
  </conditionalFormatting>
  <conditionalFormatting sqref="H236:R236 H239:R239 H242:R242">
    <cfRule type="expression" dxfId="401" priority="46" stopIfTrue="1">
      <formula>$L236=2</formula>
    </cfRule>
    <cfRule type="expression" dxfId="400" priority="47" stopIfTrue="1">
      <formula>AND($L236=1,$R236&lt;&gt;"")</formula>
    </cfRule>
  </conditionalFormatting>
  <conditionalFormatting sqref="D236 D239 D242 T236:AE236 T239:AE239 T242:AE242">
    <cfRule type="expression" dxfId="399" priority="48" stopIfTrue="1">
      <formula>D236&lt;&gt;0</formula>
    </cfRule>
  </conditionalFormatting>
  <conditionalFormatting sqref="D246 D249 D252 T246:AF246 T249:AF249 T252:AF252">
    <cfRule type="expression" dxfId="398" priority="37" stopIfTrue="1">
      <formula>AND(ISNUMBER($G245),$G245&lt;&gt;0)</formula>
    </cfRule>
  </conditionalFormatting>
  <conditionalFormatting sqref="H246:R246 H249:R249 H252:R252">
    <cfRule type="expression" dxfId="397" priority="38" stopIfTrue="1">
      <formula>$L245=2</formula>
    </cfRule>
    <cfRule type="expression" dxfId="396" priority="39" stopIfTrue="1">
      <formula>AND($L245=1,$R245&lt;&gt;"")</formula>
    </cfRule>
  </conditionalFormatting>
  <conditionalFormatting sqref="H245:R245 H248:R248 H251:R251">
    <cfRule type="expression" dxfId="395" priority="40" stopIfTrue="1">
      <formula>$L245=2</formula>
    </cfRule>
    <cfRule type="expression" dxfId="394" priority="41" stopIfTrue="1">
      <formula>AND($L245=1,$R245&lt;&gt;"")</formula>
    </cfRule>
  </conditionalFormatting>
  <conditionalFormatting sqref="D245 D248 D251 T245:AE245 T248:AE248 T251:AE251">
    <cfRule type="expression" dxfId="393" priority="42" stopIfTrue="1">
      <formula>D245&lt;&gt;0</formula>
    </cfRule>
  </conditionalFormatting>
  <conditionalFormatting sqref="D255 D258 T255:AF255 T258:AF258">
    <cfRule type="expression" dxfId="392" priority="31" stopIfTrue="1">
      <formula>AND(ISNUMBER($G254),$G254&lt;&gt;0)</formula>
    </cfRule>
  </conditionalFormatting>
  <conditionalFormatting sqref="H255:R255 H258:R258">
    <cfRule type="expression" dxfId="391" priority="32" stopIfTrue="1">
      <formula>$L254=2</formula>
    </cfRule>
    <cfRule type="expression" dxfId="390" priority="33" stopIfTrue="1">
      <formula>AND($L254=1,$R254&lt;&gt;"")</formula>
    </cfRule>
  </conditionalFormatting>
  <conditionalFormatting sqref="H254:R254 H257:R257">
    <cfRule type="expression" dxfId="389" priority="34" stopIfTrue="1">
      <formula>$L254=2</formula>
    </cfRule>
    <cfRule type="expression" dxfId="388" priority="35" stopIfTrue="1">
      <formula>AND($L254=1,$R254&lt;&gt;"")</formula>
    </cfRule>
  </conditionalFormatting>
  <conditionalFormatting sqref="D254 D257 T254:AE254 T257:AE257">
    <cfRule type="expression" dxfId="387" priority="36" stopIfTrue="1">
      <formula>D254&lt;&gt;0</formula>
    </cfRule>
  </conditionalFormatting>
  <dataValidations count="5">
    <dataValidation type="list" allowBlank="1" showErrorMessage="1" sqref="G10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D35 D38 T32:AE32 T35:AE35 T38:AE38 D41 D44 D47 T41:AE41 T44:AE44 T47:AE47 D50 D53 D56 T50:AE50 T53:AE53 T56:AE56 D59 D62 D65 T59:AE59 T62:AE62 T65:AE65 D68 D71 D74 T68:AE68 T71:AE71 T74:AE74 D77 D80 D83 T77:AE77 T80:AE80 T83:AE83 D86 D89 T86:AE86 T89:AE89 D92 D95 D98 T92:AE92 T95:AE95 T98:AE98 D101 D104 D107 T101:AE101 T104:AE104 T107:AE107 D110 D113 D116 T110:AE110 T113:AE113 T116:AE116 D119 D122 D125 T119:AE119 T122:AE122 T125:AE125 D128 D131 D134 T128:AE128 T131:AE131 T134:AE134 D137 D140 D143 T137:AE137 T140:AE140 T143:AE143 D146 D149 D152 T146:AE146 T149:AE149 T152:AE152 D155 D158 D161 T155:AE155 T158:AE158 T161:AE161 D164 D167 D170 T164:AE164 T167:AE167 T170:AE170 D173 D176 D179 T173:AE173 T176:AE176 T179:AE179 D182 D185 D188 T182:AE182 T185:AE185 T188:AE188 D191 D194 D197 T191:AE191 T194:AE194 T197:AE197 D200 D203 D206 T200:AE200 T203:AE203 T206:AE206 D209 D212 D215 T209:AE209 T212:AE212 T215:AE215 D218 D221 D224 T218:AE218 T221:AE221 T224:AE224 D227 D230 D233 T227:AE227 T230:AE230 T233:AE233 D236 D239 D242 T236:AE236 T239:AE239 T242:AE242 D245 D248 D251 T245:AE245 T248:AE248 T251:AE251 D254 D257 T254:AE254 T257:AE257"/>
    <dataValidation type="whole" operator="greaterThan" allowBlank="1" showErrorMessage="1" sqref="T12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D36 D39 T33:AF33 T36:AF36 T39:AF39 D42 D45 D48 T42:AF42 T45:AF45 T48:AF48 D51 D54 D57 T51:AF51 T54:AF54 T57:AF57 D60 D63 D66 T60:AF60 T63:AF63 T66:AF66 D69 D72 D75 T69:AF69 T72:AF72 T75:AF75 D78 D81 D84 T78:AF78 T81:AF81 T84:AF84 D87 D90 T87:AF87 T90:AF90 D93 D96 D99 T93:AF93 T96:AF96 T99:AF99 D102 D105 D108 T102:AF102 T105:AF105 T108:AF108 D111 D114 D117 T111:AF111 T114:AF114 T117:AF117 D120 D123 D126 T120:AF120 T123:AF123 T126:AF126 D129 D132 D135 T129:AF129 T132:AF132 T135:AF135 D138 D141 D144 T138:AF138 T141:AF141 T144:AF144 D147 D150 D153 T147:AF147 T150:AF150 T153:AF153 D156 D159 D162 T156:AF156 T159:AF159 T162:AF162 D165 D168 D171 T165:AF165 T168:AF168 T171:AF171 D174 D177 D180 T174:AF174 T177:AF177 T180:AF180 D183 D186 D189 T183:AF183 T186:AF186 T189:AF189 D192 D195 D198 T192:AF192 T195:AF195 T198:AF198 D201 D204 D207 T201:AF201 T204:AF204 T207:AF207 D210 D213 D216 T210:AF210 T213:AF213 T216:AF216 D219 D222 D225 T219:AF219 T222:AF222 T225:AF225 D228 D231 D234 T228:AF228 T231:AF231 T234:AF234 D237 D240 D243 T237:AF237 T240:AF240 T243:AF243 D246 D249 D252 T246:AF246 T249:AF249 T252:AF252 D255 D258 T255:AF255 T258:AF258">
      <formula1>0</formula1>
      <formula2>CRONO.MaxParc</formula2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pageSetUpPr fitToPage="1"/>
  </sheetPr>
  <dimension ref="A1:AE97"/>
  <sheetViews>
    <sheetView showGridLines="0" zoomScale="90" zoomScaleNormal="90" workbookViewId="0">
      <pane xSplit="3" ySplit="13" topLeftCell="D17" activePane="bottomRight" state="frozen"/>
      <selection activeCell="A3" sqref="A3"/>
      <selection pane="topRight" activeCell="D3" sqref="D3"/>
      <selection pane="bottomLeft" activeCell="A13" sqref="A13"/>
      <selection pane="bottomRight" activeCell="G40" sqref="G40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IF(AUTOEVENTO="Manual",IF(OFFSET(EVENTOS!$F$14,CRONOPLE!$B1,0)&gt;0,"F",""),IF(CRONOPLE!B1&lt;=MAX(CÁLCULO!$M$15:$M$727),"F",""))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IF(AUTOEVENTO="Manual",IF($B1&lt;&gt;1,OFFSET(EVENTOS!$D$14,$B1,0),0),IF(B1&lt;=MAX(CÁLCULO!$M$15:$M$727),VLOOKUP($B1,CÁLCULO!$M$15:$N$727,2,FALSE),0))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CRONO",IF(MAX($B$14:$B$97)&lt;MAX(CÁLCULO!$M$15:$M$727),"ERRO: NÚMERO DE EVENTOS INSUFICIENTE, CLIQUE EM ATUALIZAR LINHAS",IF(ROUND(OFFSET(CRONO!$AF$270,0,-1),2)&lt;&gt;CRONO!$Q$261,"ERRO: CRONOGRAMA NÃO FECHA 100%","")))</f>
        <v/>
      </c>
    </row>
    <row r="11" spans="1:31" ht="65.25" customHeight="1" x14ac:dyDescent="0.2">
      <c r="A11" s="291"/>
      <c r="C11" s="292"/>
      <c r="E11" s="293" t="str">
        <f ca="1">IF(E$12&gt;CÁLCULO.NúmeroDeFrentes,"",OFFSET(CÁLCULO!$P$12,0,E$12))</f>
        <v>CRECHE  tipo I - de Doiz Vizinhos</v>
      </c>
      <c r="G11" s="293" t="str">
        <f ca="1">IF(G$12&gt;CÁLCULO.NúmeroDeFrentes,"",OFFSET(CÁLCULO!$P$12,0,G$12))</f>
        <v>CRECHE  tipo I - de Doiz Vizinhos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>
        <f ca="1">IF(R$12&gt;CÁLCULO.NúmeroDeFrentes,"",OFFSET(CÁLCULO!$P$12,0,R$12))</f>
        <v>0</v>
      </c>
      <c r="S11" s="293">
        <f ca="1">IF(S$12&gt;CÁLCULO.NúmeroDeFrentes,"",OFFSET(CÁLCULO!$P$12,0,S$12))</f>
        <v>0</v>
      </c>
      <c r="T11" s="293">
        <f ca="1">IF(T$12&gt;CÁLCULO.NúmeroDeFrentes,"",OFFSET(CÁLCULO!$P$12,0,T$12))</f>
        <v>0</v>
      </c>
      <c r="U11" s="293">
        <f ca="1">IF(U$12&gt;CÁLCULO.NúmeroDeFrentes,"",OFFSET(CÁLCULO!$P$12,0,U$12))</f>
        <v>0</v>
      </c>
      <c r="V11" s="293">
        <f ca="1">IF(V$12&gt;CÁLCULO.NúmeroDeFrentes,"",OFFSET(CÁLCULO!$P$12,0,V$12))</f>
        <v>0</v>
      </c>
      <c r="W11" s="293">
        <f ca="1">IF(W$12&gt;CÁLCULO.NúmeroDeFrentes,"",OFFSET(CÁLCULO!$P$12,0,W$12))</f>
        <v>0</v>
      </c>
      <c r="X11" s="293">
        <f ca="1">IF(X$12&gt;CÁLCULO.NúmeroDeFrentes,"",OFFSET(CÁLCULO!$P$12,0,X$12))</f>
        <v>0</v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IF(AUTOEVENTO="Manual",IF(OFFSET(EVENTOS!$F$14,CRONOPLE!$B16,0)&gt;0,"F",""),IF(CRONOPLE!B16&lt;=MAX(CÁLCULO!$M$15:$M$727),"F",""))</f>
        <v>F</v>
      </c>
      <c r="B16" s="287">
        <f t="shared" ref="B16:B79" ca="1" si="1">OFFSET(B16,-1,0)+1</f>
        <v>2</v>
      </c>
      <c r="C16" s="288" t="str">
        <f ca="1">IF(AUTOEVENTO="Manual",IF($B16&lt;&gt;1,OFFSET(EVENTOS!$D$14,$B16,0),0),IF(B16&lt;=MAX(CÁLCULO!$M$15:$M$727),VLOOKUP($B16,CÁLCULO!$M$15:$N$727,2,FALSE),0))</f>
        <v>ADMINISTRAÇÃO CENTRAL (ADM)</v>
      </c>
      <c r="E16" s="289"/>
      <c r="G16" s="289">
        <v>1</v>
      </c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IF(AUTOEVENTO="Manual",IF(OFFSET(EVENTOS!$F$14,CRONOPLE!$B17,0)&gt;0,"F",""),IF(CRONOPLE!B17&lt;=MAX(CÁLCULO!$M$15:$M$727),"F",""))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IF(AUTOEVENTO="Manual",IF($B17&lt;&gt;1,OFFSET(EVENTOS!$D$14,$B17,0),0),IF(B17&lt;=MAX(CÁLCULO!$M$15:$M$727),VLOOKUP($B17,CÁLCULO!$M$15:$N$727,2,FALSE),0))</f>
        <v>CANTEIRO DE OBRAS (CO)</v>
      </c>
      <c r="E17" s="289"/>
      <c r="G17" s="289">
        <v>1</v>
      </c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IF(AUTOEVENTO="Manual",IF(OFFSET(EVENTOS!$F$14,CRONOPLE!$B18,0)&gt;0,"F",""),IF(CRONOPLE!B18&lt;=MAX(CÁLCULO!$M$15:$M$727),"F",""))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IF(AUTOEVENTO="Manual",IF($B18&lt;&gt;1,OFFSET(EVENTOS!$D$14,$B18,0),0),IF(B18&lt;=MAX(CÁLCULO!$M$15:$M$727),VLOOKUP($B18,CÁLCULO!$M$15:$N$727,2,FALSE),0))</f>
        <v>SERVIÇOS PRELIMINARES</v>
      </c>
      <c r="E18" s="289"/>
      <c r="G18" s="289">
        <v>2</v>
      </c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IF(AUTOEVENTO="Manual",IF(OFFSET(EVENTOS!$F$14,CRONOPLE!$B19,0)&gt;0,"F",""),IF(CRONOPLE!B19&lt;=MAX(CÁLCULO!$M$15:$M$727),"F",""))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IF(AUTOEVENTO="Manual",IF($B19&lt;&gt;1,OFFSET(EVENTOS!$D$14,$B19,0),0),IF(B19&lt;=MAX(CÁLCULO!$M$15:$M$727),VLOOKUP($B19,CÁLCULO!$M$15:$N$727,2,FALSE),0))</f>
        <v>MOVIMENTO DE TERRA PARA FUNDAÇÕES</v>
      </c>
      <c r="E19" s="289"/>
      <c r="G19" s="289">
        <v>2</v>
      </c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IF(AUTOEVENTO="Manual",IF(OFFSET(EVENTOS!$F$14,CRONOPLE!$B20,0)&gt;0,"F",""),IF(CRONOPLE!B20&lt;=MAX(CÁLCULO!$M$15:$M$727),"F",""))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IF(AUTOEVENTO="Manual",IF($B20&lt;&gt;1,OFFSET(EVENTOS!$D$14,$B20,0),0),IF(B20&lt;=MAX(CÁLCULO!$M$15:$M$727),VLOOKUP($B20,CÁLCULO!$M$15:$N$727,2,FALSE),0))</f>
        <v>FUNDAÇÕES - CONCRETO ARMADO PARA TUBULÕES</v>
      </c>
      <c r="E20" s="289"/>
      <c r="G20" s="289">
        <v>2</v>
      </c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IF(AUTOEVENTO="Manual",IF(OFFSET(EVENTOS!$F$14,CRONOPLE!$B21,0)&gt;0,"F",""),IF(CRONOPLE!B21&lt;=MAX(CÁLCULO!$M$15:$M$727),"F",""))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IF(AUTOEVENTO="Manual",IF($B21&lt;&gt;1,OFFSET(EVENTOS!$D$14,$B21,0),0),IF(B21&lt;=MAX(CÁLCULO!$M$15:$M$727),VLOOKUP($B21,CÁLCULO!$M$15:$N$727,2,FALSE),0))</f>
        <v>FUNDAÇÕES - CONCRETO ARMADO PARA SAPATAS</v>
      </c>
      <c r="E21" s="289"/>
      <c r="G21" s="289">
        <v>2</v>
      </c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IF(AUTOEVENTO="Manual",IF(OFFSET(EVENTOS!$F$14,CRONOPLE!$B22,0)&gt;0,"F",""),IF(CRONOPLE!B22&lt;=MAX(CÁLCULO!$M$15:$M$727),"F",""))</f>
        <v>F</v>
      </c>
      <c r="B22" s="287">
        <f t="shared" ca="1" si="1"/>
        <v>8</v>
      </c>
      <c r="C22" s="288" t="str">
        <f ca="1">IF(AUTOEVENTO="Manual",IF($B22&lt;&gt;1,OFFSET(EVENTOS!$D$14,$B22,0),0),IF(B22&lt;=MAX(CÁLCULO!$M$15:$M$727),VLOOKUP($B22,CÁLCULO!$M$15:$N$727,2,FALSE),0))</f>
        <v>FUNDAÇÕES - CONCRETO ARMADO PARA BLOCOS</v>
      </c>
      <c r="E22" s="289"/>
      <c r="G22" s="289">
        <v>2</v>
      </c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IF(AUTOEVENTO="Manual",IF(OFFSET(EVENTOS!$F$14,CRONOPLE!$B23,0)&gt;0,"F",""),IF(CRONOPLE!B23&lt;=MAX(CÁLCULO!$M$15:$M$727),"F",""))</f>
        <v>F</v>
      </c>
      <c r="B23" s="287">
        <f t="shared" ca="1" si="1"/>
        <v>9</v>
      </c>
      <c r="C23" s="288" t="str">
        <f ca="1">IF(AUTOEVENTO="Manual",IF($B23&lt;&gt;1,OFFSET(EVENTOS!$D$14,$B23,0),0),IF(B23&lt;=MAX(CÁLCULO!$M$15:$M$727),VLOOKUP($B23,CÁLCULO!$M$15:$N$727,2,FALSE),0))</f>
        <v>SUPERESTRUTURA - CONCRETO ARMADO PARA PILARES</v>
      </c>
      <c r="E23" s="289"/>
      <c r="G23" s="289">
        <v>3</v>
      </c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IF(AUTOEVENTO="Manual",IF(OFFSET(EVENTOS!$F$14,CRONOPLE!$B24,0)&gt;0,"F",""),IF(CRONOPLE!B24&lt;=MAX(CÁLCULO!$M$15:$M$727),"F",""))</f>
        <v>F</v>
      </c>
      <c r="B24" s="287">
        <f t="shared" ca="1" si="1"/>
        <v>10</v>
      </c>
      <c r="C24" s="288" t="str">
        <f ca="1">IF(AUTOEVENTO="Manual",IF($B24&lt;&gt;1,OFFSET(EVENTOS!$D$14,$B24,0),0),IF(B24&lt;=MAX(CÁLCULO!$M$15:$M$727),VLOOKUP($B24,CÁLCULO!$M$15:$N$727,2,FALSE),0))</f>
        <v>SUPERESTRUTURA - CONCRETO ARMADO PARA VIGAS INCLUINDO BALDRAME</v>
      </c>
      <c r="E24" s="289"/>
      <c r="G24" s="289">
        <v>3</v>
      </c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IF(AUTOEVENTO="Manual",IF(OFFSET(EVENTOS!$F$14,CRONOPLE!$B25,0)&gt;0,"F",""),IF(CRONOPLE!B25&lt;=MAX(CÁLCULO!$M$15:$M$727),"F",""))</f>
        <v>F</v>
      </c>
      <c r="B25" s="287">
        <f t="shared" ca="1" si="1"/>
        <v>11</v>
      </c>
      <c r="C25" s="288" t="str">
        <f ca="1">IF(AUTOEVENTO="Manual",IF($B25&lt;&gt;1,OFFSET(EVENTOS!$D$14,$B25,0),0),IF(B25&lt;=MAX(CÁLCULO!$M$15:$M$727),VLOOKUP($B25,CÁLCULO!$M$15:$N$727,2,FALSE),0))</f>
        <v>SUPERESTRUTURA - CONCRETO ARMADO PARA VERGAS</v>
      </c>
      <c r="E25" s="289"/>
      <c r="G25" s="289">
        <v>3</v>
      </c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IF(AUTOEVENTO="Manual",IF(OFFSET(EVENTOS!$F$14,CRONOPLE!$B26,0)&gt;0,"F",""),IF(CRONOPLE!B26&lt;=MAX(CÁLCULO!$M$15:$M$727),"F",""))</f>
        <v>F</v>
      </c>
      <c r="B26" s="287">
        <f t="shared" ca="1" si="1"/>
        <v>12</v>
      </c>
      <c r="C26" s="288" t="str">
        <f ca="1">IF(AUTOEVENTO="Manual",IF($B26&lt;&gt;1,OFFSET(EVENTOS!$D$14,$B26,0),0),IF(B26&lt;=MAX(CÁLCULO!$M$15:$M$727),VLOOKUP($B26,CÁLCULO!$M$15:$N$727,2,FALSE),0))</f>
        <v>SUPERESTRUTURA - CONCRETO ARMADO PARA LAJE</v>
      </c>
      <c r="E26" s="289"/>
      <c r="G26" s="289">
        <v>4</v>
      </c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IF(AUTOEVENTO="Manual",IF(OFFSET(EVENTOS!$F$14,CRONOPLE!$B27,0)&gt;0,"F",""),IF(CRONOPLE!B27&lt;=MAX(CÁLCULO!$M$15:$M$727),"F",""))</f>
        <v>F</v>
      </c>
      <c r="B27" s="287">
        <f t="shared" ca="1" si="1"/>
        <v>13</v>
      </c>
      <c r="C27" s="288" t="str">
        <f ca="1">IF(AUTOEVENTO="Manual",IF($B27&lt;&gt;1,OFFSET(EVENTOS!$D$14,$B27,0),0),IF(B27&lt;=MAX(CÁLCULO!$M$15:$M$727),VLOOKUP($B27,CÁLCULO!$M$15:$N$727,2,FALSE),0))</f>
        <v>SUPERESTRUTURA - ESTRUTURA METÁLICA</v>
      </c>
      <c r="E27" s="289"/>
      <c r="G27" s="289">
        <v>4</v>
      </c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IF(AUTOEVENTO="Manual",IF(OFFSET(EVENTOS!$F$14,CRONOPLE!$B28,0)&gt;0,"F",""),IF(CRONOPLE!B28&lt;=MAX(CÁLCULO!$M$15:$M$727),"F",""))</f>
        <v>F</v>
      </c>
      <c r="B28" s="287">
        <f t="shared" ca="1" si="1"/>
        <v>14</v>
      </c>
      <c r="C28" s="288" t="str">
        <f ca="1">IF(AUTOEVENTO="Manual",IF($B28&lt;&gt;1,OFFSET(EVENTOS!$D$14,$B28,0),0),IF(B28&lt;=MAX(CÁLCULO!$M$15:$M$727),VLOOKUP($B28,CÁLCULO!$M$15:$N$727,2,FALSE),0))</f>
        <v>PAVIMENTAÇÃO INTERNA - PISO DE CONCRETO 8 CM</v>
      </c>
      <c r="E28" s="289"/>
      <c r="G28" s="289">
        <v>4</v>
      </c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IF(AUTOEVENTO="Manual",IF(OFFSET(EVENTOS!$F$14,CRONOPLE!$B29,0)&gt;0,"F",""),IF(CRONOPLE!B29&lt;=MAX(CÁLCULO!$M$15:$M$727),"F",""))</f>
        <v>F</v>
      </c>
      <c r="B29" s="287">
        <f t="shared" ca="1" si="1"/>
        <v>15</v>
      </c>
      <c r="C29" s="288" t="str">
        <f ca="1">IF(AUTOEVENTO="Manual",IF($B29&lt;&gt;1,OFFSET(EVENTOS!$D$14,$B29,0),0),IF(B29&lt;=MAX(CÁLCULO!$M$15:$M$727),VLOOKUP($B29,CÁLCULO!$M$15:$N$727,2,FALSE),0))</f>
        <v>PAVIMENTAÇÃO EXTERNA - CALÇADA DE PISO DE CONCRETO 7 CM</v>
      </c>
      <c r="E29" s="289"/>
      <c r="G29" s="289">
        <v>4</v>
      </c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IF(AUTOEVENTO="Manual",IF(OFFSET(EVENTOS!$F$14,CRONOPLE!$B30,0)&gt;0,"F",""),IF(CRONOPLE!B30&lt;=MAX(CÁLCULO!$M$15:$M$727),"F",""))</f>
        <v>F</v>
      </c>
      <c r="B30" s="287">
        <f t="shared" ca="1" si="1"/>
        <v>16</v>
      </c>
      <c r="C30" s="288" t="str">
        <f ca="1">IF(AUTOEVENTO="Manual",IF($B30&lt;&gt;1,OFFSET(EVENTOS!$D$14,$B30,0),0),IF(B30&lt;=MAX(CÁLCULO!$M$15:$M$727),VLOOKUP($B30,CÁLCULO!$M$15:$N$727,2,FALSE),0))</f>
        <v>SISTEMA DE VEDAÇÃO VERTICAL - ELEMENTOS VAZADOS</v>
      </c>
      <c r="E30" s="289"/>
      <c r="G30" s="289">
        <v>4</v>
      </c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IF(AUTOEVENTO="Manual",IF(OFFSET(EVENTOS!$F$14,CRONOPLE!$B31,0)&gt;0,"F",""),IF(CRONOPLE!B31&lt;=MAX(CÁLCULO!$M$15:$M$727),"F",""))</f>
        <v>F</v>
      </c>
      <c r="B31" s="287">
        <f t="shared" ca="1" si="1"/>
        <v>17</v>
      </c>
      <c r="C31" s="288" t="str">
        <f ca="1">IF(AUTOEVENTO="Manual",IF($B31&lt;&gt;1,OFFSET(EVENTOS!$D$14,$B31,0),0),IF(B31&lt;=MAX(CÁLCULO!$M$15:$M$727),VLOOKUP($B31,CÁLCULO!$M$15:$N$727,2,FALSE),0))</f>
        <v>SISTEMA DE VEDAÇÃO VERTICAL - ALVENARIA DE VEDAÇÃO</v>
      </c>
      <c r="E31" s="289"/>
      <c r="G31" s="289">
        <v>4</v>
      </c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IF(AUTOEVENTO="Manual",IF(OFFSET(EVENTOS!$F$14,CRONOPLE!$B32,0)&gt;0,"F",""),IF(CRONOPLE!B32&lt;=MAX(CÁLCULO!$M$15:$M$727),"F",""))</f>
        <v>F</v>
      </c>
      <c r="B32" s="287">
        <f t="shared" ca="1" si="1"/>
        <v>18</v>
      </c>
      <c r="C32" s="288" t="str">
        <f ca="1">IF(AUTOEVENTO="Manual",IF($B32&lt;&gt;1,OFFSET(EVENTOS!$D$14,$B32,0),0),IF(B32&lt;=MAX(CÁLCULO!$M$15:$M$727),VLOOKUP($B32,CÁLCULO!$M$15:$N$727,2,FALSE),0))</f>
        <v>SISTEMA DE VEDAÇÃO VERTICAL - DIVISÓRIAS</v>
      </c>
      <c r="E32" s="289"/>
      <c r="G32" s="289">
        <v>5</v>
      </c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IF(AUTOEVENTO="Manual",IF(OFFSET(EVENTOS!$F$14,CRONOPLE!$B33,0)&gt;0,"F",""),IF(CRONOPLE!B33&lt;=MAX(CÁLCULO!$M$15:$M$727),"F",""))</f>
        <v>F</v>
      </c>
      <c r="B33" s="287">
        <f t="shared" ca="1" si="1"/>
        <v>19</v>
      </c>
      <c r="C33" s="288" t="str">
        <f ca="1">IF(AUTOEVENTO="Manual",IF($B33&lt;&gt;1,OFFSET(EVENTOS!$D$14,$B33,0),0),IF(B33&lt;=MAX(CÁLCULO!$M$15:$M$727),VLOOKUP($B33,CÁLCULO!$M$15:$N$727,2,FALSE),0))</f>
        <v>ESQUADRIAS - PORTAS DE MADEIRA</v>
      </c>
      <c r="E33" s="289"/>
      <c r="G33" s="289">
        <v>5</v>
      </c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IF(AUTOEVENTO="Manual",IF(OFFSET(EVENTOS!$F$14,CRONOPLE!$B34,0)&gt;0,"F",""),IF(CRONOPLE!B34&lt;=MAX(CÁLCULO!$M$15:$M$727),"F",""))</f>
        <v>F</v>
      </c>
      <c r="B34" s="287">
        <f t="shared" ca="1" si="1"/>
        <v>20</v>
      </c>
      <c r="C34" s="288" t="str">
        <f ca="1">IF(AUTOEVENTO="Manual",IF($B34&lt;&gt;1,OFFSET(EVENTOS!$D$14,$B34,0),0),IF(B34&lt;=MAX(CÁLCULO!$M$15:$M$727),VLOOKUP($B34,CÁLCULO!$M$15:$N$727,2,FALSE),0))</f>
        <v>ESQUADRIAS - FERRAGENS E ACESSÓRIOS</v>
      </c>
      <c r="E34" s="289"/>
      <c r="G34" s="289">
        <v>5</v>
      </c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IF(AUTOEVENTO="Manual",IF(OFFSET(EVENTOS!$F$14,CRONOPLE!$B35,0)&gt;0,"F",""),IF(CRONOPLE!B35&lt;=MAX(CÁLCULO!$M$15:$M$727),"F",""))</f>
        <v>F</v>
      </c>
      <c r="B35" s="287">
        <f t="shared" ca="1" si="1"/>
        <v>21</v>
      </c>
      <c r="C35" s="288" t="str">
        <f ca="1">IF(AUTOEVENTO="Manual",IF($B35&lt;&gt;1,OFFSET(EVENTOS!$D$14,$B35,0),0),IF(B35&lt;=MAX(CÁLCULO!$M$15:$M$727),VLOOKUP($B35,CÁLCULO!$M$15:$N$727,2,FALSE),0))</f>
        <v>ESQUADRIAS - PORTAS EM ALUMÍNIO</v>
      </c>
      <c r="E35" s="289"/>
      <c r="G35" s="289">
        <v>5</v>
      </c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IF(AUTOEVENTO="Manual",IF(OFFSET(EVENTOS!$F$14,CRONOPLE!$B36,0)&gt;0,"F",""),IF(CRONOPLE!B36&lt;=MAX(CÁLCULO!$M$15:$M$727),"F",""))</f>
        <v>F</v>
      </c>
      <c r="B36" s="287">
        <f t="shared" ca="1" si="1"/>
        <v>22</v>
      </c>
      <c r="C36" s="288" t="str">
        <f ca="1">IF(AUTOEVENTO="Manual",IF($B36&lt;&gt;1,OFFSET(EVENTOS!$D$14,$B36,0),0),IF(B36&lt;=MAX(CÁLCULO!$M$15:$M$727),VLOOKUP($B36,CÁLCULO!$M$15:$N$727,2,FALSE),0))</f>
        <v>ESQUADRIAS - JANELAS EM ALUMÍNIO</v>
      </c>
      <c r="E36" s="289"/>
      <c r="G36" s="289">
        <v>5</v>
      </c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IF(AUTOEVENTO="Manual",IF(OFFSET(EVENTOS!$F$14,CRONOPLE!$B37,0)&gt;0,"F",""),IF(CRONOPLE!B37&lt;=MAX(CÁLCULO!$M$15:$M$727),"F",""))</f>
        <v>F</v>
      </c>
      <c r="B37" s="287">
        <f t="shared" ca="1" si="1"/>
        <v>23</v>
      </c>
      <c r="C37" s="288" t="str">
        <f ca="1">IF(AUTOEVENTO="Manual",IF($B37&lt;&gt;1,OFFSET(EVENTOS!$D$14,$B37,0),0),IF(B37&lt;=MAX(CÁLCULO!$M$15:$M$727),VLOOKUP($B37,CÁLCULO!$M$15:$N$727,2,FALSE),0))</f>
        <v>ESQUADRIAS - PORTAS DE VIDRO</v>
      </c>
      <c r="E37" s="289"/>
      <c r="G37" s="289">
        <v>5</v>
      </c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IF(AUTOEVENTO="Manual",IF(OFFSET(EVENTOS!$F$14,CRONOPLE!$B38,0)&gt;0,"F",""),IF(CRONOPLE!B38&lt;=MAX(CÁLCULO!$M$15:$M$727),"F",""))</f>
        <v>F</v>
      </c>
      <c r="B38" s="287">
        <f t="shared" ca="1" si="1"/>
        <v>24</v>
      </c>
      <c r="C38" s="288" t="str">
        <f ca="1">IF(AUTOEVENTO="Manual",IF($B38&lt;&gt;1,OFFSET(EVENTOS!$D$14,$B38,0),0),IF(B38&lt;=MAX(CÁLCULO!$M$15:$M$727),VLOOKUP($B38,CÁLCULO!$M$15:$N$727,2,FALSE),0))</f>
        <v>ESQUADRIAS - GERAL</v>
      </c>
      <c r="E38" s="289"/>
      <c r="G38" s="289">
        <v>6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IF(AUTOEVENTO="Manual",IF(OFFSET(EVENTOS!$F$14,CRONOPLE!$B39,0)&gt;0,"F",""),IF(CRONOPLE!B39&lt;=MAX(CÁLCULO!$M$15:$M$727),"F",""))</f>
        <v>F</v>
      </c>
      <c r="B39" s="287">
        <f t="shared" ca="1" si="1"/>
        <v>25</v>
      </c>
      <c r="C39" s="288" t="str">
        <f ca="1">IF(AUTOEVENTO="Manual",IF($B39&lt;&gt;1,OFFSET(EVENTOS!$D$14,$B39,0),0),IF(B39&lt;=MAX(CÁLCULO!$M$15:$M$727),VLOOKUP($B39,CÁLCULO!$M$15:$N$727,2,FALSE),0))</f>
        <v>SISTEMAS DE COBERTURA</v>
      </c>
      <c r="E39" s="289"/>
      <c r="G39" s="289">
        <v>6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IF(AUTOEVENTO="Manual",IF(OFFSET(EVENTOS!$F$14,CRONOPLE!$B40,0)&gt;0,"F",""),IF(CRONOPLE!B40&lt;=MAX(CÁLCULO!$M$15:$M$727),"F",""))</f>
        <v>F</v>
      </c>
      <c r="B40" s="287">
        <f t="shared" ca="1" si="1"/>
        <v>26</v>
      </c>
      <c r="C40" s="288" t="str">
        <f ca="1">IF(AUTOEVENTO="Manual",IF($B40&lt;&gt;1,OFFSET(EVENTOS!$D$14,$B40,0),0),IF(B40&lt;=MAX(CÁLCULO!$M$15:$M$727),VLOOKUP($B40,CÁLCULO!$M$15:$N$727,2,FALSE),0))</f>
        <v>IMPERMEABILIZAÇÃO</v>
      </c>
      <c r="E40" s="289"/>
      <c r="G40" s="289">
        <v>7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IF(AUTOEVENTO="Manual",IF(OFFSET(EVENTOS!$F$14,CRONOPLE!$B41,0)&gt;0,"F",""),IF(CRONOPLE!B41&lt;=MAX(CÁLCULO!$M$15:$M$727),"F",""))</f>
        <v>F</v>
      </c>
      <c r="B41" s="287">
        <f t="shared" ca="1" si="1"/>
        <v>27</v>
      </c>
      <c r="C41" s="288" t="str">
        <f ca="1">IF(AUTOEVENTO="Manual",IF($B41&lt;&gt;1,OFFSET(EVENTOS!$D$14,$B41,0),0),IF(B41&lt;=MAX(CÁLCULO!$M$15:$M$727),VLOOKUP($B41,CÁLCULO!$M$15:$N$727,2,FALSE),0))</f>
        <v>REVESTIMENTOS INTERNO E EXTERNO - EDIFICAÇÃO</v>
      </c>
      <c r="E41" s="289"/>
      <c r="G41" s="289">
        <v>7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IF(AUTOEVENTO="Manual",IF(OFFSET(EVENTOS!$F$14,CRONOPLE!$B42,0)&gt;0,"F",""),IF(CRONOPLE!B42&lt;=MAX(CÁLCULO!$M$15:$M$727),"F",""))</f>
        <v>F</v>
      </c>
      <c r="B42" s="287">
        <f t="shared" ca="1" si="1"/>
        <v>28</v>
      </c>
      <c r="C42" s="288" t="str">
        <f ca="1">IF(AUTOEVENTO="Manual",IF($B42&lt;&gt;1,OFFSET(EVENTOS!$D$14,$B42,0),0),IF(B42&lt;=MAX(CÁLCULO!$M$15:$M$727),VLOOKUP($B42,CÁLCULO!$M$15:$N$727,2,FALSE),0))</f>
        <v>SISTEMAS DE PISOS - PAVIMENTAÇÃO INTERNA</v>
      </c>
      <c r="E42" s="289"/>
      <c r="G42" s="289">
        <v>8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IF(AUTOEVENTO="Manual",IF(OFFSET(EVENTOS!$F$14,CRONOPLE!$B43,0)&gt;0,"F",""),IF(CRONOPLE!B43&lt;=MAX(CÁLCULO!$M$15:$M$727),"F",""))</f>
        <v>F</v>
      </c>
      <c r="B43" s="287">
        <f t="shared" ca="1" si="1"/>
        <v>29</v>
      </c>
      <c r="C43" s="288" t="str">
        <f ca="1">IF(AUTOEVENTO="Manual",IF($B43&lt;&gt;1,OFFSET(EVENTOS!$D$14,$B43,0),0),IF(B43&lt;=MAX(CÁLCULO!$M$15:$M$727),VLOOKUP($B43,CÁLCULO!$M$15:$N$727,2,FALSE),0))</f>
        <v>SISTEMAS DE PISOS - PAVIMENTAÇÃO EXTERNA</v>
      </c>
      <c r="E43" s="289"/>
      <c r="G43" s="289">
        <v>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IF(AUTOEVENTO="Manual",IF(OFFSET(EVENTOS!$F$14,CRONOPLE!$B44,0)&gt;0,"F",""),IF(CRONOPLE!B44&lt;=MAX(CÁLCULO!$M$15:$M$727),"F",""))</f>
        <v>F</v>
      </c>
      <c r="B44" s="287">
        <f t="shared" ca="1" si="1"/>
        <v>30</v>
      </c>
      <c r="C44" s="288" t="str">
        <f ca="1">IF(AUTOEVENTO="Manual",IF($B44&lt;&gt;1,OFFSET(EVENTOS!$D$14,$B44,0),0),IF(B44&lt;=MAX(CÁLCULO!$M$15:$M$727),VLOOKUP($B44,CÁLCULO!$M$15:$N$727,2,FALSE),0))</f>
        <v>PINTURAS E ACABAMENTOS - PAREDES</v>
      </c>
      <c r="E44" s="289"/>
      <c r="G44" s="289">
        <v>9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IF(AUTOEVENTO="Manual",IF(OFFSET(EVENTOS!$F$14,CRONOPLE!$B45,0)&gt;0,"F",""),IF(CRONOPLE!B45&lt;=MAX(CÁLCULO!$M$15:$M$727),"F",""))</f>
        <v>F</v>
      </c>
      <c r="B45" s="287">
        <f t="shared" ca="1" si="1"/>
        <v>31</v>
      </c>
      <c r="C45" s="288" t="str">
        <f ca="1">IF(AUTOEVENTO="Manual",IF($B45&lt;&gt;1,OFFSET(EVENTOS!$D$14,$B45,0),0),IF(B45&lt;=MAX(CÁLCULO!$M$15:$M$727),VLOOKUP($B45,CÁLCULO!$M$15:$N$727,2,FALSE),0))</f>
        <v>PINTURAS E ACABAMENTOS - FORROS</v>
      </c>
      <c r="E45" s="289"/>
      <c r="G45" s="289">
        <v>9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IF(AUTOEVENTO="Manual",IF(OFFSET(EVENTOS!$F$14,CRONOPLE!$B46,0)&gt;0,"F",""),IF(CRONOPLE!B46&lt;=MAX(CÁLCULO!$M$15:$M$727),"F",""))</f>
        <v>F</v>
      </c>
      <c r="B46" s="287">
        <f t="shared" ca="1" si="1"/>
        <v>32</v>
      </c>
      <c r="C46" s="288" t="str">
        <f ca="1">IF(AUTOEVENTO="Manual",IF($B46&lt;&gt;1,OFFSET(EVENTOS!$D$14,$B46,0),0),IF(B46&lt;=MAX(CÁLCULO!$M$15:$M$727),VLOOKUP($B46,CÁLCULO!$M$15:$N$727,2,FALSE),0))</f>
        <v>PINTURAS E ACABAMENTOS - PISO ESTACIONAMENTO</v>
      </c>
      <c r="E46" s="289"/>
      <c r="G46" s="289">
        <v>9</v>
      </c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IF(AUTOEVENTO="Manual",IF(OFFSET(EVENTOS!$F$14,CRONOPLE!$B47,0)&gt;0,"F",""),IF(CRONOPLE!B47&lt;=MAX(CÁLCULO!$M$15:$M$727),"F",""))</f>
        <v>F</v>
      </c>
      <c r="B47" s="287">
        <f t="shared" ca="1" si="1"/>
        <v>33</v>
      </c>
      <c r="C47" s="288" t="str">
        <f ca="1">IF(AUTOEVENTO="Manual",IF($B47&lt;&gt;1,OFFSET(EVENTOS!$D$14,$B47,0),0),IF(B47&lt;=MAX(CÁLCULO!$M$15:$M$727),VLOOKUP($B47,CÁLCULO!$M$15:$N$727,2,FALSE),0))</f>
        <v>PINTURAS E ACABAMENTOS - PISO PLAYGROUND</v>
      </c>
      <c r="E47" s="289"/>
      <c r="G47" s="289">
        <v>9</v>
      </c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IF(AUTOEVENTO="Manual",IF(OFFSET(EVENTOS!$F$14,CRONOPLE!$B48,0)&gt;0,"F",""),IF(CRONOPLE!B48&lt;=MAX(CÁLCULO!$M$15:$M$727),"F",""))</f>
        <v>F</v>
      </c>
      <c r="B48" s="287">
        <f t="shared" ca="1" si="1"/>
        <v>34</v>
      </c>
      <c r="C48" s="288" t="str">
        <f ca="1">IF(AUTOEVENTO="Manual",IF($B48&lt;&gt;1,OFFSET(EVENTOS!$D$14,$B48,0),0),IF(B48&lt;=MAX(CÁLCULO!$M$15:$M$727),VLOOKUP($B48,CÁLCULO!$M$15:$N$727,2,FALSE),0))</f>
        <v>PINTURAS E ACABAMENTOS - ESTRUTURA METÁLICA</v>
      </c>
      <c r="E48" s="289"/>
      <c r="G48" s="289">
        <v>9</v>
      </c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IF(AUTOEVENTO="Manual",IF(OFFSET(EVENTOS!$F$14,CRONOPLE!$B49,0)&gt;0,"F",""),IF(CRONOPLE!B49&lt;=MAX(CÁLCULO!$M$15:$M$727),"F",""))</f>
        <v>F</v>
      </c>
      <c r="B49" s="287">
        <f t="shared" ca="1" si="1"/>
        <v>35</v>
      </c>
      <c r="C49" s="288" t="str">
        <f ca="1">IF(AUTOEVENTO="Manual",IF($B49&lt;&gt;1,OFFSET(EVENTOS!$D$14,$B49,0),0),IF(B49&lt;=MAX(CÁLCULO!$M$15:$M$727),VLOOKUP($B49,CÁLCULO!$M$15:$N$727,2,FALSE),0))</f>
        <v>INSTALAÇÃO HIDRÁULICA - TUBULAÇÕES E CONEXÕES DE PVC RÍGIDO</v>
      </c>
      <c r="E49" s="289"/>
      <c r="G49" s="289">
        <v>9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IF(AUTOEVENTO="Manual",IF(OFFSET(EVENTOS!$F$14,CRONOPLE!$B50,0)&gt;0,"F",""),IF(CRONOPLE!B50&lt;=MAX(CÁLCULO!$M$15:$M$727),"F",""))</f>
        <v>F</v>
      </c>
      <c r="B50" s="287">
        <f t="shared" ca="1" si="1"/>
        <v>36</v>
      </c>
      <c r="C50" s="288" t="str">
        <f ca="1">IF(AUTOEVENTO="Manual",IF($B50&lt;&gt;1,OFFSET(EVENTOS!$D$14,$B50,0),0),IF(B50&lt;=MAX(CÁLCULO!$M$15:$M$727),VLOOKUP($B50,CÁLCULO!$M$15:$N$727,2,FALSE),0))</f>
        <v>INSTALAÇÃO HIDRÁULICA - TUBULAÇÕES E CONEXÕES DE METAL</v>
      </c>
      <c r="E50" s="289"/>
      <c r="G50" s="289">
        <v>9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IF(AUTOEVENTO="Manual",IF(OFFSET(EVENTOS!$F$14,CRONOPLE!$B51,0)&gt;0,"F",""),IF(CRONOPLE!B51&lt;=MAX(CÁLCULO!$M$15:$M$727),"F",""))</f>
        <v>F</v>
      </c>
      <c r="B51" s="287">
        <f t="shared" ca="1" si="1"/>
        <v>37</v>
      </c>
      <c r="C51" s="288" t="str">
        <f ca="1">IF(AUTOEVENTO="Manual",IF($B51&lt;&gt;1,OFFSET(EVENTOS!$D$14,$B51,0),0),IF(B51&lt;=MAX(CÁLCULO!$M$15:$M$727),VLOOKUP($B51,CÁLCULO!$M$15:$N$727,2,FALSE),0))</f>
        <v>INSTALAÇÃO HIDRÁULICA - RESERVATÓRIO 30.000 L</v>
      </c>
      <c r="E51" s="289"/>
      <c r="G51" s="289">
        <v>9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IF(AUTOEVENTO="Manual",IF(OFFSET(EVENTOS!$F$14,CRONOPLE!$B52,0)&gt;0,"F",""),IF(CRONOPLE!B52&lt;=MAX(CÁLCULO!$M$15:$M$727),"F",""))</f>
        <v>F</v>
      </c>
      <c r="B52" s="287">
        <f t="shared" ca="1" si="1"/>
        <v>38</v>
      </c>
      <c r="C52" s="288" t="str">
        <f ca="1">IF(AUTOEVENTO="Manual",IF($B52&lt;&gt;1,OFFSET(EVENTOS!$D$14,$B52,0),0),IF(B52&lt;=MAX(CÁLCULO!$M$15:$M$727),VLOOKUP($B52,CÁLCULO!$M$15:$N$727,2,FALSE),0))</f>
        <v>INSTALAÇÃO HIDRÁULICA - SISTEMA DE REUSO DE ÁGUA</v>
      </c>
      <c r="E52" s="289"/>
      <c r="G52" s="289">
        <v>9</v>
      </c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IF(AUTOEVENTO="Manual",IF(OFFSET(EVENTOS!$F$14,CRONOPLE!$B53,0)&gt;0,"F",""),IF(CRONOPLE!B53&lt;=MAX(CÁLCULO!$M$15:$M$727),"F",""))</f>
        <v>F</v>
      </c>
      <c r="B53" s="287">
        <f t="shared" ca="1" si="1"/>
        <v>39</v>
      </c>
      <c r="C53" s="288" t="str">
        <f ca="1">IF(AUTOEVENTO="Manual",IF($B53&lt;&gt;1,OFFSET(EVENTOS!$D$14,$B53,0),0),IF(B53&lt;=MAX(CÁLCULO!$M$15:$M$727),VLOOKUP($B53,CÁLCULO!$M$15:$N$727,2,FALSE),0))</f>
        <v>DRENAGEM DE ÁGUAS PLUVIAIS - TUBULAÇÕES E CONEXÕES DE PVC</v>
      </c>
      <c r="E53" s="289"/>
      <c r="G53" s="289">
        <v>9</v>
      </c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IF(AUTOEVENTO="Manual",IF(OFFSET(EVENTOS!$F$14,CRONOPLE!$B54,0)&gt;0,"F",""),IF(CRONOPLE!B54&lt;=MAX(CÁLCULO!$M$15:$M$727),"F",""))</f>
        <v>F</v>
      </c>
      <c r="B54" s="287">
        <f t="shared" ca="1" si="1"/>
        <v>40</v>
      </c>
      <c r="C54" s="288" t="str">
        <f ca="1">IF(AUTOEVENTO="Manual",IF($B54&lt;&gt;1,OFFSET(EVENTOS!$D$14,$B54,0),0),IF(B54&lt;=MAX(CÁLCULO!$M$15:$M$727),VLOOKUP($B54,CÁLCULO!$M$15:$N$727,2,FALSE),0))</f>
        <v>DRENAGEM DE ÁGUAS PLUVIAIS - ACESSÓRIOS</v>
      </c>
      <c r="E54" s="289"/>
      <c r="G54" s="289">
        <v>9</v>
      </c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IF(AUTOEVENTO="Manual",IF(OFFSET(EVENTOS!$F$14,CRONOPLE!$B55,0)&gt;0,"F",""),IF(CRONOPLE!B55&lt;=MAX(CÁLCULO!$M$15:$M$727),"F",""))</f>
        <v>F</v>
      </c>
      <c r="B55" s="287">
        <f t="shared" ca="1" si="1"/>
        <v>41</v>
      </c>
      <c r="C55" s="288" t="str">
        <f ca="1">IF(AUTOEVENTO="Manual",IF($B55&lt;&gt;1,OFFSET(EVENTOS!$D$14,$B55,0),0),IF(B55&lt;=MAX(CÁLCULO!$M$15:$M$727),VLOOKUP($B55,CÁLCULO!$M$15:$N$727,2,FALSE),0))</f>
        <v>INSTALAÇÃO SANITÁRIA - TUBULAÇÕES E CONEXÕES</v>
      </c>
      <c r="E55" s="289"/>
      <c r="G55" s="289">
        <v>9</v>
      </c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IF(AUTOEVENTO="Manual",IF(OFFSET(EVENTOS!$F$14,CRONOPLE!$B56,0)&gt;0,"F",""),IF(CRONOPLE!B56&lt;=MAX(CÁLCULO!$M$15:$M$727),"F",""))</f>
        <v>F</v>
      </c>
      <c r="B56" s="287">
        <f t="shared" ca="1" si="1"/>
        <v>42</v>
      </c>
      <c r="C56" s="288" t="str">
        <f ca="1">IF(AUTOEVENTO="Manual",IF($B56&lt;&gt;1,OFFSET(EVENTOS!$D$14,$B56,0),0),IF(B56&lt;=MAX(CÁLCULO!$M$15:$M$727),VLOOKUP($B56,CÁLCULO!$M$15:$N$727,2,FALSE),0))</f>
        <v>INSTALAÇÃO SANITÁRIA - UNIDADE DE TRATAMENTO</v>
      </c>
      <c r="E56" s="289"/>
      <c r="G56" s="289">
        <v>10</v>
      </c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IF(AUTOEVENTO="Manual",IF(OFFSET(EVENTOS!$F$14,CRONOPLE!$B57,0)&gt;0,"F",""),IF(CRONOPLE!B57&lt;=MAX(CÁLCULO!$M$15:$M$727),"F",""))</f>
        <v>F</v>
      </c>
      <c r="B57" s="287">
        <f t="shared" ca="1" si="1"/>
        <v>43</v>
      </c>
      <c r="C57" s="288" t="str">
        <f ca="1">IF(AUTOEVENTO="Manual",IF($B57&lt;&gt;1,OFFSET(EVENTOS!$D$14,$B57,0),0),IF(B57&lt;=MAX(CÁLCULO!$M$15:$M$727),VLOOKUP($B57,CÁLCULO!$M$15:$N$727,2,FALSE),0))</f>
        <v>INSTALAÇÃO SANITÁRIA - VENTILAÇÃO</v>
      </c>
      <c r="E57" s="289"/>
      <c r="G57" s="289">
        <v>10</v>
      </c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IF(AUTOEVENTO="Manual",IF(OFFSET(EVENTOS!$F$14,CRONOPLE!$B58,0)&gt;0,"F",""),IF(CRONOPLE!B58&lt;=MAX(CÁLCULO!$M$15:$M$727),"F",""))</f>
        <v>F</v>
      </c>
      <c r="B58" s="287">
        <f t="shared" ca="1" si="1"/>
        <v>44</v>
      </c>
      <c r="C58" s="288" t="str">
        <f ca="1">IF(AUTOEVENTO="Manual",IF($B58&lt;&gt;1,OFFSET(EVENTOS!$D$14,$B58,0),0),IF(B58&lt;=MAX(CÁLCULO!$M$15:$M$727),VLOOKUP($B58,CÁLCULO!$M$15:$N$727,2,FALSE),0))</f>
        <v>LOUÇAS, ACESSÓRIOS E METAIS</v>
      </c>
      <c r="E58" s="289"/>
      <c r="G58" s="289">
        <v>10</v>
      </c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IF(AUTOEVENTO="Manual",IF(OFFSET(EVENTOS!$F$14,CRONOPLE!$B59,0)&gt;0,"F",""),IF(CRONOPLE!B59&lt;=MAX(CÁLCULO!$M$15:$M$727),"F",""))</f>
        <v>F</v>
      </c>
      <c r="B59" s="287">
        <f t="shared" ca="1" si="1"/>
        <v>45</v>
      </c>
      <c r="C59" s="288" t="str">
        <f ca="1">IF(AUTOEVENTO="Manual",IF($B59&lt;&gt;1,OFFSET(EVENTOS!$D$14,$B59,0),0),IF(B59&lt;=MAX(CÁLCULO!$M$15:$M$727),VLOOKUP($B59,CÁLCULO!$M$15:$N$727,2,FALSE),0))</f>
        <v>INSTALAÇÃO DE GÁS COMBUSTÍVEL</v>
      </c>
      <c r="E59" s="289"/>
      <c r="G59" s="289">
        <v>10</v>
      </c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IF(AUTOEVENTO="Manual",IF(OFFSET(EVENTOS!$F$14,CRONOPLE!$B60,0)&gt;0,"F",""),IF(CRONOPLE!B60&lt;=MAX(CÁLCULO!$M$15:$M$727),"F",""))</f>
        <v>F</v>
      </c>
      <c r="B60" s="287">
        <f t="shared" ca="1" si="1"/>
        <v>46</v>
      </c>
      <c r="C60" s="288" t="str">
        <f ca="1">IF(AUTOEVENTO="Manual",IF($B60&lt;&gt;1,OFFSET(EVENTOS!$D$14,$B60,0),0),IF(B60&lt;=MAX(CÁLCULO!$M$15:$M$727),VLOOKUP($B60,CÁLCULO!$M$15:$N$727,2,FALSE),0))</f>
        <v>SISTEMA DE PROTEÇÃO CONTRA INCÊNDIO - EXTINTORES</v>
      </c>
      <c r="E60" s="289"/>
      <c r="G60" s="289">
        <v>10</v>
      </c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IF(AUTOEVENTO="Manual",IF(OFFSET(EVENTOS!$F$14,CRONOPLE!$B61,0)&gt;0,"F",""),IF(CRONOPLE!B61&lt;=MAX(CÁLCULO!$M$15:$M$727),"F",""))</f>
        <v>F</v>
      </c>
      <c r="B61" s="287">
        <f t="shared" ca="1" si="1"/>
        <v>47</v>
      </c>
      <c r="C61" s="288" t="str">
        <f ca="1">IF(AUTOEVENTO="Manual",IF($B61&lt;&gt;1,OFFSET(EVENTOS!$D$14,$B61,0),0),IF(B61&lt;=MAX(CÁLCULO!$M$15:$M$727),VLOOKUP($B61,CÁLCULO!$M$15:$N$727,2,FALSE),0))</f>
        <v>SISTEMA DE PROTEÇÃO CONTRA INCÊNDIO - HIDRANTES</v>
      </c>
      <c r="E61" s="289"/>
      <c r="G61" s="289">
        <v>10</v>
      </c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IF(AUTOEVENTO="Manual",IF(OFFSET(EVENTOS!$F$14,CRONOPLE!$B62,0)&gt;0,"F",""),IF(CRONOPLE!B62&lt;=MAX(CÁLCULO!$M$15:$M$727),"F",""))</f>
        <v>F</v>
      </c>
      <c r="B62" s="287">
        <f t="shared" ca="1" si="1"/>
        <v>48</v>
      </c>
      <c r="C62" s="288" t="str">
        <f ca="1">IF(AUTOEVENTO="Manual",IF($B62&lt;&gt;1,OFFSET(EVENTOS!$D$14,$B62,0),0),IF(B62&lt;=MAX(CÁLCULO!$M$15:$M$727),VLOOKUP($B62,CÁLCULO!$M$15:$N$727,2,FALSE),0))</f>
        <v>SISTEMA DE PROTEÇÃO CONTRA INCÊNDIO - ACESSÓRIOS</v>
      </c>
      <c r="E62" s="289"/>
      <c r="G62" s="289">
        <v>10</v>
      </c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IF(AUTOEVENTO="Manual",IF(OFFSET(EVENTOS!$F$14,CRONOPLE!$B63,0)&gt;0,"F",""),IF(CRONOPLE!B63&lt;=MAX(CÁLCULO!$M$15:$M$727),"F",""))</f>
        <v>F</v>
      </c>
      <c r="B63" s="287">
        <f t="shared" ca="1" si="1"/>
        <v>49</v>
      </c>
      <c r="C63" s="288" t="str">
        <f ca="1">IF(AUTOEVENTO="Manual",IF($B63&lt;&gt;1,OFFSET(EVENTOS!$D$14,$B63,0),0),IF(B63&lt;=MAX(CÁLCULO!$M$15:$M$727),VLOOKUP($B63,CÁLCULO!$M$15:$N$727,2,FALSE),0))</f>
        <v>SISTEMA DE PROTEÇÃO CONTRA INCÊNDIO - TUBULAÇÕES E CONEXÕES</v>
      </c>
      <c r="E63" s="289"/>
      <c r="G63" s="289">
        <v>10</v>
      </c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IF(AUTOEVENTO="Manual",IF(OFFSET(EVENTOS!$F$14,CRONOPLE!$B64,0)&gt;0,"F",""),IF(CRONOPLE!B64&lt;=MAX(CÁLCULO!$M$15:$M$727),"F",""))</f>
        <v>F</v>
      </c>
      <c r="B64" s="287">
        <f t="shared" ca="1" si="1"/>
        <v>50</v>
      </c>
      <c r="C64" s="288" t="str">
        <f ca="1">IF(AUTOEVENTO="Manual",IF($B64&lt;&gt;1,OFFSET(EVENTOS!$D$14,$B64,0),0),IF(B64&lt;=MAX(CÁLCULO!$M$15:$M$727),VLOOKUP($B64,CÁLCULO!$M$15:$N$727,2,FALSE),0))</f>
        <v>SISTEMA DE PROTEÇÃO CONTRA INCÊNDIO - SINALIZAÇÕES</v>
      </c>
      <c r="E64" s="289"/>
      <c r="G64" s="289">
        <v>10</v>
      </c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1:31" x14ac:dyDescent="0.2">
      <c r="A65" s="7" t="str">
        <f ca="1">IF(AUTOEVENTO="Manual",IF(OFFSET(EVENTOS!$F$14,CRONOPLE!$B65,0)&gt;0,"F",""),IF(CRONOPLE!B65&lt;=MAX(CÁLCULO!$M$15:$M$727),"F",""))</f>
        <v>F</v>
      </c>
      <c r="B65" s="287">
        <f t="shared" ca="1" si="1"/>
        <v>51</v>
      </c>
      <c r="C65" s="288" t="str">
        <f ca="1">IF(AUTOEVENTO="Manual",IF($B65&lt;&gt;1,OFFSET(EVENTOS!$D$14,$B65,0),0),IF(B65&lt;=MAX(CÁLCULO!$M$15:$M$727),VLOOKUP($B65,CÁLCULO!$M$15:$N$727,2,FALSE),0))</f>
        <v>INSTALAÇÃO ELÉTRICA 110V - ACESSÓRIOS PERFILADOS PERFURADOS</v>
      </c>
      <c r="E65" s="289"/>
      <c r="G65" s="289">
        <v>10</v>
      </c>
      <c r="H65" s="289"/>
      <c r="I65" s="289"/>
      <c r="J65" s="289"/>
      <c r="K65" s="289"/>
      <c r="L65" s="289"/>
      <c r="M65" s="289"/>
      <c r="N65" s="289"/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</row>
    <row r="66" spans="1:31" x14ac:dyDescent="0.2">
      <c r="A66" s="7" t="str">
        <f ca="1">IF(AUTOEVENTO="Manual",IF(OFFSET(EVENTOS!$F$14,CRONOPLE!$B66,0)&gt;0,"F",""),IF(CRONOPLE!B66&lt;=MAX(CÁLCULO!$M$15:$M$727),"F",""))</f>
        <v>F</v>
      </c>
      <c r="B66" s="287">
        <f t="shared" ca="1" si="1"/>
        <v>52</v>
      </c>
      <c r="C66" s="288" t="str">
        <f ca="1">IF(AUTOEVENTO="Manual",IF($B66&lt;&gt;1,OFFSET(EVENTOS!$D$14,$B66,0),0),IF(B66&lt;=MAX(CÁLCULO!$M$15:$M$727),VLOOKUP($B66,CÁLCULO!$M$15:$N$727,2,FALSE),0))</f>
        <v>INSTALAÇÃO ELÉTRICA 110V - ACESSÓRIOS PARA ELETRODUTOS</v>
      </c>
      <c r="E66" s="289"/>
      <c r="G66" s="289">
        <v>10</v>
      </c>
      <c r="H66" s="289"/>
      <c r="I66" s="289"/>
      <c r="J66" s="289"/>
      <c r="K66" s="289"/>
      <c r="L66" s="289"/>
      <c r="M66" s="289"/>
      <c r="N66" s="289"/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89"/>
    </row>
    <row r="67" spans="1:31" x14ac:dyDescent="0.2">
      <c r="A67" s="7" t="str">
        <f ca="1">IF(AUTOEVENTO="Manual",IF(OFFSET(EVENTOS!$F$14,CRONOPLE!$B67,0)&gt;0,"F",""),IF(CRONOPLE!B67&lt;=MAX(CÁLCULO!$M$15:$M$727),"F",""))</f>
        <v>F</v>
      </c>
      <c r="B67" s="287">
        <f t="shared" ca="1" si="1"/>
        <v>53</v>
      </c>
      <c r="C67" s="288" t="str">
        <f ca="1">IF(AUTOEVENTO="Manual",IF($B67&lt;&gt;1,OFFSET(EVENTOS!$D$14,$B67,0),0),IF(B67&lt;=MAX(CÁLCULO!$M$15:$M$727),VLOOKUP($B67,CÁLCULO!$M$15:$N$727,2,FALSE),0))</f>
        <v>INSTALAÇÃO ELÉTRICA 110V - ACESSÓRIOS EM GERAL</v>
      </c>
      <c r="E67" s="289"/>
      <c r="G67" s="289">
        <v>10</v>
      </c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D67" s="289"/>
      <c r="AE67" s="289"/>
    </row>
    <row r="68" spans="1:31" x14ac:dyDescent="0.2">
      <c r="A68" s="7" t="str">
        <f ca="1">IF(AUTOEVENTO="Manual",IF(OFFSET(EVENTOS!$F$14,CRONOPLE!$B68,0)&gt;0,"F",""),IF(CRONOPLE!B68&lt;=MAX(CÁLCULO!$M$15:$M$727),"F",""))</f>
        <v>F</v>
      </c>
      <c r="B68" s="287">
        <f t="shared" ca="1" si="1"/>
        <v>54</v>
      </c>
      <c r="C68" s="288" t="str">
        <f ca="1">IF(AUTOEVENTO="Manual",IF($B68&lt;&gt;1,OFFSET(EVENTOS!$D$14,$B68,0),0),IF(B68&lt;=MAX(CÁLCULO!$M$15:$M$727),VLOOKUP($B68,CÁLCULO!$M$15:$N$727,2,FALSE),0))</f>
        <v>INSTALAÇÃO ELÉTRICA 110V - CABOS</v>
      </c>
      <c r="E68" s="289"/>
      <c r="G68" s="289">
        <v>10</v>
      </c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</row>
    <row r="69" spans="1:31" x14ac:dyDescent="0.2">
      <c r="A69" s="7" t="str">
        <f ca="1">IF(AUTOEVENTO="Manual",IF(OFFSET(EVENTOS!$F$14,CRONOPLE!$B69,0)&gt;0,"F",""),IF(CRONOPLE!B69&lt;=MAX(CÁLCULO!$M$15:$M$727),"F",""))</f>
        <v>F</v>
      </c>
      <c r="B69" s="287">
        <f t="shared" ca="1" si="1"/>
        <v>55</v>
      </c>
      <c r="C69" s="288" t="str">
        <f ca="1">IF(AUTOEVENTO="Manual",IF($B69&lt;&gt;1,OFFSET(EVENTOS!$D$14,$B69,0),0),IF(B69&lt;=MAX(CÁLCULO!$M$15:$M$727),VLOOKUP($B69,CÁLCULO!$M$15:$N$727,2,FALSE),0))</f>
        <v>INSTALAÇÃO ELÉTRICA 110V - CAIXAS DE PASSAGEM</v>
      </c>
      <c r="E69" s="289"/>
      <c r="G69" s="289">
        <v>10</v>
      </c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89"/>
      <c r="S69" s="289"/>
      <c r="T69" s="289"/>
      <c r="U69" s="289"/>
      <c r="V69" s="289"/>
      <c r="W69" s="289"/>
      <c r="X69" s="289"/>
      <c r="Y69" s="289"/>
      <c r="Z69" s="289"/>
      <c r="AA69" s="289"/>
      <c r="AB69" s="289"/>
      <c r="AC69" s="289"/>
      <c r="AD69" s="289"/>
      <c r="AE69" s="289"/>
    </row>
    <row r="70" spans="1:31" x14ac:dyDescent="0.2">
      <c r="A70" s="7" t="str">
        <f ca="1">IF(AUTOEVENTO="Manual",IF(OFFSET(EVENTOS!$F$14,CRONOPLE!$B70,0)&gt;0,"F",""),IF(CRONOPLE!B70&lt;=MAX(CÁLCULO!$M$15:$M$727),"F",""))</f>
        <v>F</v>
      </c>
      <c r="B70" s="287">
        <f t="shared" ca="1" si="1"/>
        <v>56</v>
      </c>
      <c r="C70" s="288" t="str">
        <f ca="1">IF(AUTOEVENTO="Manual",IF($B70&lt;&gt;1,OFFSET(EVENTOS!$D$14,$B70,0),0),IF(B70&lt;=MAX(CÁLCULO!$M$15:$M$727),VLOOKUP($B70,CÁLCULO!$M$15:$N$727,2,FALSE),0))</f>
        <v>INSTALAÇÃO ELÉTRICA 110V - DISPOSITIVOS ELÉTRICOS</v>
      </c>
      <c r="E70" s="289"/>
      <c r="G70" s="289">
        <v>10</v>
      </c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</row>
    <row r="71" spans="1:31" x14ac:dyDescent="0.2">
      <c r="A71" s="7" t="str">
        <f ca="1">IF(AUTOEVENTO="Manual",IF(OFFSET(EVENTOS!$F$14,CRONOPLE!$B71,0)&gt;0,"F",""),IF(CRONOPLE!B71&lt;=MAX(CÁLCULO!$M$15:$M$727),"F",""))</f>
        <v>F</v>
      </c>
      <c r="B71" s="287">
        <f t="shared" ca="1" si="1"/>
        <v>57</v>
      </c>
      <c r="C71" s="288" t="str">
        <f ca="1">IF(AUTOEVENTO="Manual",IF($B71&lt;&gt;1,OFFSET(EVENTOS!$D$14,$B71,0),0),IF(B71&lt;=MAX(CÁLCULO!$M$15:$M$727),VLOOKUP($B71,CÁLCULO!$M$15:$N$727,2,FALSE),0))</f>
        <v>INSTALAÇÃO ELÉTRICA 110V - DISPOSITIVOS DE PROTEÇÃO</v>
      </c>
      <c r="E71" s="289"/>
      <c r="G71" s="289">
        <v>10</v>
      </c>
      <c r="H71" s="289"/>
      <c r="I71" s="289"/>
      <c r="J71" s="289"/>
      <c r="K71" s="289"/>
      <c r="L71" s="289"/>
      <c r="M71" s="289"/>
      <c r="N71" s="289"/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</row>
    <row r="72" spans="1:31" x14ac:dyDescent="0.2">
      <c r="A72" s="7" t="str">
        <f ca="1">IF(AUTOEVENTO="Manual",IF(OFFSET(EVENTOS!$F$14,CRONOPLE!$B72,0)&gt;0,"F",""),IF(CRONOPLE!B72&lt;=MAX(CÁLCULO!$M$15:$M$727),"F",""))</f>
        <v>F</v>
      </c>
      <c r="B72" s="287">
        <f t="shared" ca="1" si="1"/>
        <v>58</v>
      </c>
      <c r="C72" s="288" t="str">
        <f ca="1">IF(AUTOEVENTO="Manual",IF($B72&lt;&gt;1,OFFSET(EVENTOS!$D$14,$B72,0),0),IF(B72&lt;=MAX(CÁLCULO!$M$15:$M$727),VLOOKUP($B72,CÁLCULO!$M$15:$N$727,2,FALSE),0))</f>
        <v>INSTALAÇÃO ELÉTRICA 110V - ELETROCALHAS</v>
      </c>
      <c r="E72" s="289"/>
      <c r="G72" s="289">
        <v>10</v>
      </c>
      <c r="H72" s="289"/>
      <c r="I72" s="289"/>
      <c r="J72" s="289"/>
      <c r="K72" s="289"/>
      <c r="L72" s="289"/>
      <c r="M72" s="289"/>
      <c r="N72" s="289"/>
      <c r="O72" s="289"/>
      <c r="P72" s="289"/>
      <c r="Q72" s="289"/>
      <c r="R72" s="289"/>
      <c r="S72" s="289"/>
      <c r="T72" s="289"/>
      <c r="U72" s="289"/>
      <c r="V72" s="289"/>
      <c r="W72" s="289"/>
      <c r="X72" s="289"/>
      <c r="Y72" s="289"/>
      <c r="Z72" s="289"/>
      <c r="AA72" s="289"/>
      <c r="AB72" s="289"/>
      <c r="AC72" s="289"/>
      <c r="AD72" s="289"/>
      <c r="AE72" s="289"/>
    </row>
    <row r="73" spans="1:31" x14ac:dyDescent="0.2">
      <c r="A73" s="7" t="str">
        <f ca="1">IF(AUTOEVENTO="Manual",IF(OFFSET(EVENTOS!$F$14,CRONOPLE!$B73,0)&gt;0,"F",""),IF(CRONOPLE!B73&lt;=MAX(CÁLCULO!$M$15:$M$727),"F",""))</f>
        <v>F</v>
      </c>
      <c r="B73" s="287">
        <f t="shared" ca="1" si="1"/>
        <v>59</v>
      </c>
      <c r="C73" s="288" t="str">
        <f ca="1">IF(AUTOEVENTO="Manual",IF($B73&lt;&gt;1,OFFSET(EVENTOS!$D$14,$B73,0),0),IF(B73&lt;=MAX(CÁLCULO!$M$15:$M$727),VLOOKUP($B73,CÁLCULO!$M$15:$N$727,2,FALSE),0))</f>
        <v>INSTALAÇÃO ELÉTRICA 110V - ELETRODUTOS</v>
      </c>
      <c r="E73" s="289"/>
      <c r="G73" s="289">
        <v>11</v>
      </c>
      <c r="H73" s="289"/>
      <c r="I73" s="289"/>
      <c r="J73" s="289"/>
      <c r="K73" s="289"/>
      <c r="L73" s="289"/>
      <c r="M73" s="289"/>
      <c r="N73" s="289"/>
      <c r="O73" s="289"/>
      <c r="P73" s="289"/>
      <c r="Q73" s="289"/>
      <c r="R73" s="289"/>
      <c r="S73" s="289"/>
      <c r="T73" s="289"/>
      <c r="U73" s="289"/>
      <c r="V73" s="289"/>
      <c r="W73" s="289"/>
      <c r="X73" s="289"/>
      <c r="Y73" s="289"/>
      <c r="Z73" s="289"/>
      <c r="AA73" s="289"/>
      <c r="AB73" s="289"/>
      <c r="AC73" s="289"/>
      <c r="AD73" s="289"/>
      <c r="AE73" s="289"/>
    </row>
    <row r="74" spans="1:31" x14ac:dyDescent="0.2">
      <c r="A74" s="7" t="str">
        <f ca="1">IF(AUTOEVENTO="Manual",IF(OFFSET(EVENTOS!$F$14,CRONOPLE!$B74,0)&gt;0,"F",""),IF(CRONOPLE!B74&lt;=MAX(CÁLCULO!$M$15:$M$727),"F",""))</f>
        <v>F</v>
      </c>
      <c r="B74" s="287">
        <f t="shared" ca="1" si="1"/>
        <v>60</v>
      </c>
      <c r="C74" s="288" t="str">
        <f ca="1">IF(AUTOEVENTO="Manual",IF($B74&lt;&gt;1,OFFSET(EVENTOS!$D$14,$B74,0),0),IF(B74&lt;=MAX(CÁLCULO!$M$15:$M$727),VLOOKUP($B74,CÁLCULO!$M$15:$N$727,2,FALSE),0))</f>
        <v>INSTALAÇÃO ELÉTRICA 110V - PERFILADOS</v>
      </c>
      <c r="E74" s="289"/>
      <c r="G74" s="289">
        <v>11</v>
      </c>
      <c r="H74" s="289"/>
      <c r="I74" s="289"/>
      <c r="J74" s="289"/>
      <c r="K74" s="289"/>
      <c r="L74" s="289"/>
      <c r="M74" s="289"/>
      <c r="N74" s="289"/>
      <c r="O74" s="289"/>
      <c r="P74" s="289"/>
      <c r="Q74" s="289"/>
      <c r="R74" s="289"/>
      <c r="S74" s="289"/>
      <c r="T74" s="289"/>
      <c r="U74" s="289"/>
      <c r="V74" s="289"/>
      <c r="W74" s="289"/>
      <c r="X74" s="289"/>
      <c r="Y74" s="289"/>
      <c r="Z74" s="289"/>
      <c r="AA74" s="289"/>
      <c r="AB74" s="289"/>
      <c r="AC74" s="289"/>
      <c r="AD74" s="289"/>
      <c r="AE74" s="289"/>
    </row>
    <row r="75" spans="1:31" x14ac:dyDescent="0.2">
      <c r="A75" s="7" t="str">
        <f ca="1">IF(AUTOEVENTO="Manual",IF(OFFSET(EVENTOS!$F$14,CRONOPLE!$B75,0)&gt;0,"F",""),IF(CRONOPLE!B75&lt;=MAX(CÁLCULO!$M$15:$M$727),"F",""))</f>
        <v>F</v>
      </c>
      <c r="B75" s="287">
        <f t="shared" ca="1" si="1"/>
        <v>61</v>
      </c>
      <c r="C75" s="288" t="str">
        <f ca="1">IF(AUTOEVENTO="Manual",IF($B75&lt;&gt;1,OFFSET(EVENTOS!$D$14,$B75,0),0),IF(B75&lt;=MAX(CÁLCULO!$M$15:$M$727),VLOOKUP($B75,CÁLCULO!$M$15:$N$727,2,FALSE),0))</f>
        <v>INSTALAÇÃO ELÉTRICA 110V - ILUMINAÇÃO</v>
      </c>
      <c r="E75" s="289"/>
      <c r="G75" s="289">
        <v>11</v>
      </c>
      <c r="H75" s="289"/>
      <c r="I75" s="289"/>
      <c r="J75" s="289"/>
      <c r="K75" s="289"/>
      <c r="L75" s="289"/>
      <c r="M75" s="289"/>
      <c r="N75" s="289"/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289"/>
      <c r="AA75" s="289"/>
      <c r="AB75" s="289"/>
      <c r="AC75" s="289"/>
      <c r="AD75" s="289"/>
      <c r="AE75" s="289"/>
    </row>
    <row r="76" spans="1:31" x14ac:dyDescent="0.2">
      <c r="A76" s="7" t="str">
        <f ca="1">IF(AUTOEVENTO="Manual",IF(OFFSET(EVENTOS!$F$14,CRONOPLE!$B76,0)&gt;0,"F",""),IF(CRONOPLE!B76&lt;=MAX(CÁLCULO!$M$15:$M$727),"F",""))</f>
        <v>F</v>
      </c>
      <c r="B76" s="287">
        <f t="shared" ca="1" si="1"/>
        <v>62</v>
      </c>
      <c r="C76" s="288" t="str">
        <f ca="1">IF(AUTOEVENTO="Manual",IF($B76&lt;&gt;1,OFFSET(EVENTOS!$D$14,$B76,0),0),IF(B76&lt;=MAX(CÁLCULO!$M$15:$M$727),VLOOKUP($B76,CÁLCULO!$M$15:$N$727,2,FALSE),0))</f>
        <v>INSTALAÇÃO ELÉTRICA 110V - QUADROS</v>
      </c>
      <c r="E76" s="289"/>
      <c r="G76" s="289">
        <v>11</v>
      </c>
      <c r="H76" s="289"/>
      <c r="I76" s="289"/>
      <c r="J76" s="289"/>
      <c r="K76" s="289"/>
      <c r="L76" s="289"/>
      <c r="M76" s="289"/>
      <c r="N76" s="289"/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89"/>
      <c r="AD76" s="289"/>
      <c r="AE76" s="289"/>
    </row>
    <row r="77" spans="1:31" x14ac:dyDescent="0.2">
      <c r="A77" s="7" t="str">
        <f ca="1">IF(AUTOEVENTO="Manual",IF(OFFSET(EVENTOS!$F$14,CRONOPLE!$B77,0)&gt;0,"F",""),IF(CRONOPLE!B77&lt;=MAX(CÁLCULO!$M$15:$M$727),"F",""))</f>
        <v>F</v>
      </c>
      <c r="B77" s="287">
        <f t="shared" ca="1" si="1"/>
        <v>63</v>
      </c>
      <c r="C77" s="288" t="str">
        <f ca="1">IF(AUTOEVENTO="Manual",IF($B77&lt;&gt;1,OFFSET(EVENTOS!$D$14,$B77,0),0),IF(B77&lt;=MAX(CÁLCULO!$M$15:$M$727),VLOOKUP($B77,CÁLCULO!$M$15:$N$727,2,FALSE),0))</f>
        <v>INSTALAÇÕES DE CLIMATIZAÇÃO - DUTOS</v>
      </c>
      <c r="E77" s="289"/>
      <c r="G77" s="289">
        <v>11</v>
      </c>
      <c r="H77" s="289"/>
      <c r="I77" s="289"/>
      <c r="J77" s="289"/>
      <c r="K77" s="289"/>
      <c r="L77" s="289"/>
      <c r="M77" s="289"/>
      <c r="N77" s="289"/>
      <c r="O77" s="289"/>
      <c r="P77" s="289"/>
      <c r="Q77" s="289"/>
      <c r="R77" s="289"/>
      <c r="S77" s="289"/>
      <c r="T77" s="289"/>
      <c r="U77" s="289"/>
      <c r="V77" s="289"/>
      <c r="W77" s="289"/>
      <c r="X77" s="289"/>
      <c r="Y77" s="289"/>
      <c r="Z77" s="289"/>
      <c r="AA77" s="289"/>
      <c r="AB77" s="289"/>
      <c r="AC77" s="289"/>
      <c r="AD77" s="289"/>
      <c r="AE77" s="289"/>
    </row>
    <row r="78" spans="1:31" x14ac:dyDescent="0.2">
      <c r="A78" s="7" t="str">
        <f ca="1">IF(AUTOEVENTO="Manual",IF(OFFSET(EVENTOS!$F$14,CRONOPLE!$B78,0)&gt;0,"F",""),IF(CRONOPLE!B78&lt;=MAX(CÁLCULO!$M$15:$M$727),"F",""))</f>
        <v>F</v>
      </c>
      <c r="B78" s="287">
        <f t="shared" ca="1" si="1"/>
        <v>64</v>
      </c>
      <c r="C78" s="288" t="str">
        <f ca="1">IF(AUTOEVENTO="Manual",IF($B78&lt;&gt;1,OFFSET(EVENTOS!$D$14,$B78,0),0),IF(B78&lt;=MAX(CÁLCULO!$M$15:$M$727),VLOOKUP($B78,CÁLCULO!$M$15:$N$727,2,FALSE),0))</f>
        <v>INSTALAÇÕES DE CLIMATIZAÇÃO - DRENO</v>
      </c>
      <c r="E78" s="289"/>
      <c r="G78" s="289">
        <v>11</v>
      </c>
      <c r="H78" s="289"/>
      <c r="I78" s="289"/>
      <c r="J78" s="289"/>
      <c r="K78" s="289"/>
      <c r="L78" s="289"/>
      <c r="M78" s="289"/>
      <c r="N78" s="289"/>
      <c r="O78" s="289"/>
      <c r="P78" s="289"/>
      <c r="Q78" s="289"/>
      <c r="R78" s="289"/>
      <c r="S78" s="289"/>
      <c r="T78" s="289"/>
      <c r="U78" s="289"/>
      <c r="V78" s="289"/>
      <c r="W78" s="289"/>
      <c r="X78" s="289"/>
      <c r="Y78" s="289"/>
      <c r="Z78" s="289"/>
      <c r="AA78" s="289"/>
      <c r="AB78" s="289"/>
      <c r="AC78" s="289"/>
      <c r="AD78" s="289"/>
      <c r="AE78" s="289"/>
    </row>
    <row r="79" spans="1:31" x14ac:dyDescent="0.2">
      <c r="A79" s="7" t="str">
        <f ca="1">IF(AUTOEVENTO="Manual",IF(OFFSET(EVENTOS!$F$14,CRONOPLE!$B79,0)&gt;0,"F",""),IF(CRONOPLE!B79&lt;=MAX(CÁLCULO!$M$15:$M$727),"F",""))</f>
        <v>F</v>
      </c>
      <c r="B79" s="287">
        <f t="shared" ca="1" si="1"/>
        <v>65</v>
      </c>
      <c r="C79" s="288" t="str">
        <f ca="1">IF(AUTOEVENTO="Manual",IF($B79&lt;&gt;1,OFFSET(EVENTOS!$D$14,$B79,0),0),IF(B79&lt;=MAX(CÁLCULO!$M$15:$M$727),VLOOKUP($B79,CÁLCULO!$M$15:$N$727,2,FALSE),0))</f>
        <v>INSTALAÇÕES DE CABEAMENTO ESTRUTURADO - ACESSÓRIOS DE CABEAMENTO</v>
      </c>
      <c r="E79" s="289"/>
      <c r="G79" s="289">
        <v>11</v>
      </c>
      <c r="H79" s="289"/>
      <c r="I79" s="289"/>
      <c r="J79" s="289"/>
      <c r="K79" s="289"/>
      <c r="L79" s="289"/>
      <c r="M79" s="289"/>
      <c r="N79" s="289"/>
      <c r="O79" s="289"/>
      <c r="P79" s="289"/>
      <c r="Q79" s="289"/>
      <c r="R79" s="289"/>
      <c r="S79" s="289"/>
      <c r="T79" s="289"/>
      <c r="U79" s="289"/>
      <c r="V79" s="289"/>
      <c r="W79" s="289"/>
      <c r="X79" s="289"/>
      <c r="Y79" s="289"/>
      <c r="Z79" s="289"/>
      <c r="AA79" s="289"/>
      <c r="AB79" s="289"/>
      <c r="AC79" s="289"/>
      <c r="AD79" s="289"/>
      <c r="AE79" s="289"/>
    </row>
    <row r="80" spans="1:31" x14ac:dyDescent="0.2">
      <c r="A80" s="7" t="str">
        <f ca="1">IF(AUTOEVENTO="Manual",IF(OFFSET(EVENTOS!$F$14,CRONOPLE!$B80,0)&gt;0,"F",""),IF(CRONOPLE!B80&lt;=MAX(CÁLCULO!$M$15:$M$727),"F",""))</f>
        <v>F</v>
      </c>
      <c r="B80" s="287">
        <f t="shared" ref="B80:B96" ca="1" si="2">OFFSET(B80,-1,0)+1</f>
        <v>66</v>
      </c>
      <c r="C80" s="288" t="str">
        <f ca="1">IF(AUTOEVENTO="Manual",IF($B80&lt;&gt;1,OFFSET(EVENTOS!$D$14,$B80,0),0),IF(B80&lt;=MAX(CÁLCULO!$M$15:$M$727),VLOOKUP($B80,CÁLCULO!$M$15:$N$727,2,FALSE),0))</f>
        <v>INSTALAÇÕES DE CABEAMENTO ESTRUTURADO - ACESSÓRIOS</v>
      </c>
      <c r="E80" s="289"/>
      <c r="G80" s="289">
        <v>11</v>
      </c>
      <c r="H80" s="289"/>
      <c r="I80" s="289"/>
      <c r="J80" s="289"/>
      <c r="K80" s="289"/>
      <c r="L80" s="289"/>
      <c r="M80" s="289"/>
      <c r="N80" s="289"/>
      <c r="O80" s="289"/>
      <c r="P80" s="289"/>
      <c r="Q80" s="289"/>
      <c r="R80" s="289"/>
      <c r="S80" s="289"/>
      <c r="T80" s="289"/>
      <c r="U80" s="289"/>
      <c r="V80" s="289"/>
      <c r="W80" s="289"/>
      <c r="X80" s="289"/>
      <c r="Y80" s="289"/>
      <c r="Z80" s="289"/>
      <c r="AA80" s="289"/>
      <c r="AB80" s="289"/>
      <c r="AC80" s="289"/>
      <c r="AD80" s="289"/>
      <c r="AE80" s="289"/>
    </row>
    <row r="81" spans="1:31" x14ac:dyDescent="0.2">
      <c r="A81" s="7" t="str">
        <f ca="1">IF(AUTOEVENTO="Manual",IF(OFFSET(EVENTOS!$F$14,CRONOPLE!$B81,0)&gt;0,"F",""),IF(CRONOPLE!B81&lt;=MAX(CÁLCULO!$M$15:$M$727),"F",""))</f>
        <v>F</v>
      </c>
      <c r="B81" s="287">
        <f t="shared" ca="1" si="2"/>
        <v>67</v>
      </c>
      <c r="C81" s="288" t="str">
        <f ca="1">IF(AUTOEVENTO="Manual",IF($B81&lt;&gt;1,OFFSET(EVENTOS!$D$14,$B81,0),0),IF(B81&lt;=MAX(CÁLCULO!$M$15:$M$727),VLOOKUP($B81,CÁLCULO!$M$15:$N$727,2,FALSE),0))</f>
        <v>INSTALAÇÕES DE CABEAMENTO ESTRUTURADO - CAIXAS E QUADROS</v>
      </c>
      <c r="E81" s="289"/>
      <c r="G81" s="289">
        <v>11</v>
      </c>
      <c r="H81" s="289"/>
      <c r="I81" s="289"/>
      <c r="J81" s="289"/>
      <c r="K81" s="289"/>
      <c r="L81" s="289"/>
      <c r="M81" s="289"/>
      <c r="N81" s="289"/>
      <c r="O81" s="289"/>
      <c r="P81" s="289"/>
      <c r="Q81" s="289"/>
      <c r="R81" s="289"/>
      <c r="S81" s="289"/>
      <c r="T81" s="289"/>
      <c r="U81" s="289"/>
      <c r="V81" s="289"/>
      <c r="W81" s="289"/>
      <c r="X81" s="289"/>
      <c r="Y81" s="289"/>
      <c r="Z81" s="289"/>
      <c r="AA81" s="289"/>
      <c r="AB81" s="289"/>
      <c r="AC81" s="289"/>
      <c r="AD81" s="289"/>
      <c r="AE81" s="289"/>
    </row>
    <row r="82" spans="1:31" x14ac:dyDescent="0.2">
      <c r="A82" s="7" t="str">
        <f ca="1">IF(AUTOEVENTO="Manual",IF(OFFSET(EVENTOS!$F$14,CRONOPLE!$B82,0)&gt;0,"F",""),IF(CRONOPLE!B82&lt;=MAX(CÁLCULO!$M$15:$M$727),"F",""))</f>
        <v>F</v>
      </c>
      <c r="B82" s="287">
        <f t="shared" ca="1" si="2"/>
        <v>68</v>
      </c>
      <c r="C82" s="288" t="str">
        <f ca="1">IF(AUTOEVENTO="Manual",IF($B82&lt;&gt;1,OFFSET(EVENTOS!$D$14,$B82,0),0),IF(B82&lt;=MAX(CÁLCULO!$M$15:$M$727),VLOOKUP($B82,CÁLCULO!$M$15:$N$727,2,FALSE),0))</f>
        <v>INSTALAÇÕES DE CABEAMENTO ESTRUTURADO - DISPOSITIVOS</v>
      </c>
      <c r="E82" s="289"/>
      <c r="G82" s="289">
        <v>11</v>
      </c>
      <c r="H82" s="289"/>
      <c r="I82" s="289"/>
      <c r="J82" s="289"/>
      <c r="K82" s="289"/>
      <c r="L82" s="289"/>
      <c r="M82" s="289"/>
      <c r="N82" s="289"/>
      <c r="O82" s="289"/>
      <c r="P82" s="289"/>
      <c r="Q82" s="289"/>
      <c r="R82" s="289"/>
      <c r="S82" s="289"/>
      <c r="T82" s="289"/>
      <c r="U82" s="289"/>
      <c r="V82" s="289"/>
      <c r="W82" s="289"/>
      <c r="X82" s="289"/>
      <c r="Y82" s="289"/>
      <c r="Z82" s="289"/>
      <c r="AA82" s="289"/>
      <c r="AB82" s="289"/>
      <c r="AC82" s="289"/>
      <c r="AD82" s="289"/>
      <c r="AE82" s="289"/>
    </row>
    <row r="83" spans="1:31" x14ac:dyDescent="0.2">
      <c r="A83" s="7" t="str">
        <f ca="1">IF(AUTOEVENTO="Manual",IF(OFFSET(EVENTOS!$F$14,CRONOPLE!$B83,0)&gt;0,"F",""),IF(CRONOPLE!B83&lt;=MAX(CÁLCULO!$M$15:$M$727),"F",""))</f>
        <v>F</v>
      </c>
      <c r="B83" s="287">
        <f t="shared" ca="1" si="2"/>
        <v>69</v>
      </c>
      <c r="C83" s="288" t="str">
        <f ca="1">IF(AUTOEVENTO="Manual",IF($B83&lt;&gt;1,OFFSET(EVENTOS!$D$14,$B83,0),0),IF(B83&lt;=MAX(CÁLCULO!$M$15:$M$727),VLOOKUP($B83,CÁLCULO!$M$15:$N$727,2,FALSE),0))</f>
        <v>INSTALAÇÕES DE CABEAMENTO ESTRUTURADO - ELETROCALHA E ELETRODUTOS</v>
      </c>
      <c r="E83" s="289"/>
      <c r="G83" s="289">
        <v>11</v>
      </c>
      <c r="H83" s="289"/>
      <c r="I83" s="289"/>
      <c r="J83" s="289"/>
      <c r="K83" s="289"/>
      <c r="L83" s="289"/>
      <c r="M83" s="289"/>
      <c r="N83" s="289"/>
      <c r="O83" s="289"/>
      <c r="P83" s="289"/>
      <c r="Q83" s="289"/>
      <c r="R83" s="289"/>
      <c r="S83" s="289"/>
      <c r="T83" s="289"/>
      <c r="U83" s="289"/>
      <c r="V83" s="289"/>
      <c r="W83" s="289"/>
      <c r="X83" s="289"/>
      <c r="Y83" s="289"/>
      <c r="Z83" s="289"/>
      <c r="AA83" s="289"/>
      <c r="AB83" s="289"/>
      <c r="AC83" s="289"/>
      <c r="AD83" s="289"/>
      <c r="AE83" s="289"/>
    </row>
    <row r="84" spans="1:31" x14ac:dyDescent="0.2">
      <c r="A84" s="7" t="str">
        <f ca="1">IF(AUTOEVENTO="Manual",IF(OFFSET(EVENTOS!$F$14,CRONOPLE!$B84,0)&gt;0,"F",""),IF(CRONOPLE!B84&lt;=MAX(CÁLCULO!$M$15:$M$727),"F",""))</f>
        <v>F</v>
      </c>
      <c r="B84" s="287">
        <f t="shared" ca="1" si="2"/>
        <v>70</v>
      </c>
      <c r="C84" s="288" t="str">
        <f ca="1">IF(AUTOEVENTO="Manual",IF($B84&lt;&gt;1,OFFSET(EVENTOS!$D$14,$B84,0),0),IF(B84&lt;=MAX(CÁLCULO!$M$15:$M$727),VLOOKUP($B84,CÁLCULO!$M$15:$N$727,2,FALSE),0))</f>
        <v>INSTALAÇÕES DE CABEAMENTO ESTRUTURADO - CABEAMENTO</v>
      </c>
      <c r="E84" s="289"/>
      <c r="G84" s="289">
        <v>11</v>
      </c>
      <c r="H84" s="289"/>
      <c r="I84" s="289"/>
      <c r="J84" s="289"/>
      <c r="K84" s="289"/>
      <c r="L84" s="289"/>
      <c r="M84" s="289"/>
      <c r="N84" s="289"/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289"/>
      <c r="AE84" s="289"/>
    </row>
    <row r="85" spans="1:31" x14ac:dyDescent="0.2">
      <c r="A85" s="7" t="str">
        <f ca="1">IF(AUTOEVENTO="Manual",IF(OFFSET(EVENTOS!$F$14,CRONOPLE!$B85,0)&gt;0,"F",""),IF(CRONOPLE!B85&lt;=MAX(CÁLCULO!$M$15:$M$727),"F",""))</f>
        <v>F</v>
      </c>
      <c r="B85" s="287">
        <f t="shared" ca="1" si="2"/>
        <v>71</v>
      </c>
      <c r="C85" s="288" t="str">
        <f ca="1">IF(AUTOEVENTO="Manual",IF($B85&lt;&gt;1,OFFSET(EVENTOS!$D$14,$B85,0),0),IF(B85&lt;=MAX(CÁLCULO!$M$15:$M$727),VLOOKUP($B85,CÁLCULO!$M$15:$N$727,2,FALSE),0))</f>
        <v>SISTEMA DE EXAUSTÃO MECÂNICA</v>
      </c>
      <c r="E85" s="289"/>
      <c r="G85" s="289">
        <v>11</v>
      </c>
      <c r="H85" s="289"/>
      <c r="I85" s="289"/>
      <c r="J85" s="289"/>
      <c r="K85" s="289"/>
      <c r="L85" s="289"/>
      <c r="M85" s="289"/>
      <c r="N85" s="289"/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</row>
    <row r="86" spans="1:31" x14ac:dyDescent="0.2">
      <c r="A86" s="7" t="str">
        <f ca="1">IF(AUTOEVENTO="Manual",IF(OFFSET(EVENTOS!$F$14,CRONOPLE!$B86,0)&gt;0,"F",""),IF(CRONOPLE!B86&lt;=MAX(CÁLCULO!$M$15:$M$727),"F",""))</f>
        <v>F</v>
      </c>
      <c r="B86" s="287">
        <f t="shared" ca="1" si="2"/>
        <v>72</v>
      </c>
      <c r="C86" s="288" t="str">
        <f ca="1">IF(AUTOEVENTO="Manual",IF($B86&lt;&gt;1,OFFSET(EVENTOS!$D$14,$B86,0),0),IF(B86&lt;=MAX(CÁLCULO!$M$15:$M$727),VLOOKUP($B86,CÁLCULO!$M$15:$N$727,2,FALSE),0))</f>
        <v>SISTEMA DE PROTEÇÃO CONTRA DESCARGAS ATMOSFÉRICAS (SPDA)</v>
      </c>
      <c r="E86" s="289"/>
      <c r="G86" s="289">
        <v>11</v>
      </c>
      <c r="H86" s="289"/>
      <c r="I86" s="289"/>
      <c r="J86" s="289"/>
      <c r="K86" s="289"/>
      <c r="L86" s="289"/>
      <c r="M86" s="289"/>
      <c r="N86" s="289"/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</row>
    <row r="87" spans="1:31" x14ac:dyDescent="0.2">
      <c r="A87" s="7" t="str">
        <f ca="1">IF(AUTOEVENTO="Manual",IF(OFFSET(EVENTOS!$F$14,CRONOPLE!$B87,0)&gt;0,"F",""),IF(CRONOPLE!B87&lt;=MAX(CÁLCULO!$M$15:$M$727),"F",""))</f>
        <v>F</v>
      </c>
      <c r="B87" s="287">
        <f t="shared" ca="1" si="2"/>
        <v>73</v>
      </c>
      <c r="C87" s="288" t="str">
        <f ca="1">IF(AUTOEVENTO="Manual",IF($B87&lt;&gt;1,OFFSET(EVENTOS!$D$14,$B87,0),0),IF(B87&lt;=MAX(CÁLCULO!$M$15:$M$727),VLOOKUP($B87,CÁLCULO!$M$15:$N$727,2,FALSE),0))</f>
        <v>SERVIÇOS COMPLEMENTARES</v>
      </c>
      <c r="E87" s="289"/>
      <c r="G87" s="289">
        <v>11</v>
      </c>
      <c r="H87" s="289"/>
      <c r="I87" s="289"/>
      <c r="J87" s="289"/>
      <c r="K87" s="289"/>
      <c r="L87" s="289"/>
      <c r="M87" s="289"/>
      <c r="N87" s="289"/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</row>
    <row r="88" spans="1:31" x14ac:dyDescent="0.2">
      <c r="A88" s="7" t="str">
        <f ca="1">IF(AUTOEVENTO="Manual",IF(OFFSET(EVENTOS!$F$14,CRONOPLE!$B88,0)&gt;0,"F",""),IF(CRONOPLE!B88&lt;=MAX(CÁLCULO!$M$15:$M$727),"F",""))</f>
        <v>F</v>
      </c>
      <c r="B88" s="287">
        <f t="shared" ca="1" si="2"/>
        <v>74</v>
      </c>
      <c r="C88" s="288" t="str">
        <f ca="1">IF(AUTOEVENTO="Manual",IF($B88&lt;&gt;1,OFFSET(EVENTOS!$D$14,$B88,0),0),IF(B88&lt;=MAX(CÁLCULO!$M$15:$M$727),VLOOKUP($B88,CÁLCULO!$M$15:$N$727,2,FALSE),0))</f>
        <v>MURO DE FECHAMENTO - MOVIMENTO DE TERRA PARA FUNDAÇÕES</v>
      </c>
      <c r="E88" s="289"/>
      <c r="G88" s="289">
        <v>12</v>
      </c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</row>
    <row r="89" spans="1:31" x14ac:dyDescent="0.2">
      <c r="A89" s="7" t="str">
        <f ca="1">IF(AUTOEVENTO="Manual",IF(OFFSET(EVENTOS!$F$14,CRONOPLE!$B89,0)&gt;0,"F",""),IF(CRONOPLE!B89&lt;=MAX(CÁLCULO!$M$15:$M$727),"F",""))</f>
        <v>F</v>
      </c>
      <c r="B89" s="287">
        <f t="shared" ca="1" si="2"/>
        <v>75</v>
      </c>
      <c r="C89" s="288" t="str">
        <f ca="1">IF(AUTOEVENTO="Manual",IF($B89&lt;&gt;1,OFFSET(EVENTOS!$D$14,$B89,0),0),IF(B89&lt;=MAX(CÁLCULO!$M$15:$M$727),VLOOKUP($B89,CÁLCULO!$M$15:$N$727,2,FALSE),0))</f>
        <v>MURO DE FECHAMENTO - CONCRETO ARMADO PARA SAPATAS E BLOCOS</v>
      </c>
      <c r="E89" s="289"/>
      <c r="G89" s="289">
        <v>12</v>
      </c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</row>
    <row r="90" spans="1:31" x14ac:dyDescent="0.2">
      <c r="A90" s="7" t="str">
        <f ca="1">IF(AUTOEVENTO="Manual",IF(OFFSET(EVENTOS!$F$14,CRONOPLE!$B90,0)&gt;0,"F",""),IF(CRONOPLE!B90&lt;=MAX(CÁLCULO!$M$15:$M$727),"F",""))</f>
        <v>F</v>
      </c>
      <c r="B90" s="287">
        <f t="shared" ca="1" si="2"/>
        <v>76</v>
      </c>
      <c r="C90" s="288" t="str">
        <f ca="1">IF(AUTOEVENTO="Manual",IF($B90&lt;&gt;1,OFFSET(EVENTOS!$D$14,$B90,0),0),IF(B90&lt;=MAX(CÁLCULO!$M$15:$M$727),VLOOKUP($B90,CÁLCULO!$M$15:$N$727,2,FALSE),0))</f>
        <v>MURO DE FECHAMENTO - CONCRETO ARMADO PARA PILARES</v>
      </c>
      <c r="E90" s="289"/>
      <c r="G90" s="289">
        <v>12</v>
      </c>
      <c r="H90" s="289"/>
      <c r="I90" s="289"/>
      <c r="J90" s="289"/>
      <c r="K90" s="289"/>
      <c r="L90" s="289"/>
      <c r="M90" s="289"/>
      <c r="N90" s="289"/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289"/>
      <c r="AE90" s="289"/>
    </row>
    <row r="91" spans="1:31" x14ac:dyDescent="0.2">
      <c r="A91" s="7" t="str">
        <f ca="1">IF(AUTOEVENTO="Manual",IF(OFFSET(EVENTOS!$F$14,CRONOPLE!$B91,0)&gt;0,"F",""),IF(CRONOPLE!B91&lt;=MAX(CÁLCULO!$M$15:$M$727),"F",""))</f>
        <v>F</v>
      </c>
      <c r="B91" s="287">
        <f t="shared" ca="1" si="2"/>
        <v>77</v>
      </c>
      <c r="C91" s="288" t="str">
        <f ca="1">IF(AUTOEVENTO="Manual",IF($B91&lt;&gt;1,OFFSET(EVENTOS!$D$14,$B91,0),0),IF(B91&lt;=MAX(CÁLCULO!$M$15:$M$727),VLOOKUP($B91,CÁLCULO!$M$15:$N$727,2,FALSE),0))</f>
        <v>MURO DE FECHAMENTO - CONCRETO ARMADO PARA VIGAS INCLUINDO BALDRAME</v>
      </c>
      <c r="E91" s="289"/>
      <c r="G91" s="289">
        <v>12</v>
      </c>
      <c r="H91" s="289"/>
      <c r="I91" s="289"/>
      <c r="J91" s="289"/>
      <c r="K91" s="289"/>
      <c r="L91" s="289"/>
      <c r="M91" s="289"/>
      <c r="N91" s="289"/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289"/>
      <c r="AE91" s="289"/>
    </row>
    <row r="92" spans="1:31" x14ac:dyDescent="0.2">
      <c r="A92" s="7" t="str">
        <f ca="1">IF(AUTOEVENTO="Manual",IF(OFFSET(EVENTOS!$F$14,CRONOPLE!$B92,0)&gt;0,"F",""),IF(CRONOPLE!B92&lt;=MAX(CÁLCULO!$M$15:$M$727),"F",""))</f>
        <v>F</v>
      </c>
      <c r="B92" s="287">
        <f t="shared" ca="1" si="2"/>
        <v>78</v>
      </c>
      <c r="C92" s="288" t="str">
        <f ca="1">IF(AUTOEVENTO="Manual",IF($B92&lt;&gt;1,OFFSET(EVENTOS!$D$14,$B92,0),0),IF(B92&lt;=MAX(CÁLCULO!$M$15:$M$727),VLOOKUP($B92,CÁLCULO!$M$15:$N$727,2,FALSE),0))</f>
        <v>MURO DE FECHAMENTO - IMPERMEABILIZAÇÃO</v>
      </c>
      <c r="E92" s="289"/>
      <c r="G92" s="289">
        <v>12</v>
      </c>
      <c r="H92" s="289"/>
      <c r="I92" s="289"/>
      <c r="J92" s="289"/>
      <c r="K92" s="289"/>
      <c r="L92" s="289"/>
      <c r="M92" s="289"/>
      <c r="N92" s="289"/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</row>
    <row r="93" spans="1:31" x14ac:dyDescent="0.2">
      <c r="A93" s="7" t="str">
        <f ca="1">IF(AUTOEVENTO="Manual",IF(OFFSET(EVENTOS!$F$14,CRONOPLE!$B93,0)&gt;0,"F",""),IF(CRONOPLE!B93&lt;=MAX(CÁLCULO!$M$15:$M$727),"F",""))</f>
        <v>F</v>
      </c>
      <c r="B93" s="287">
        <f t="shared" ca="1" si="2"/>
        <v>79</v>
      </c>
      <c r="C93" s="288" t="str">
        <f ca="1">IF(AUTOEVENTO="Manual",IF($B93&lt;&gt;1,OFFSET(EVENTOS!$D$14,$B93,0),0),IF(B93&lt;=MAX(CÁLCULO!$M$15:$M$727),VLOOKUP($B93,CÁLCULO!$M$15:$N$727,2,FALSE),0))</f>
        <v>MURO DE FECHAMENTO - ALVENARIA DE VEDAÇÃO</v>
      </c>
      <c r="E93" s="289"/>
      <c r="G93" s="289">
        <v>12</v>
      </c>
      <c r="H93" s="289"/>
      <c r="I93" s="289"/>
      <c r="J93" s="289"/>
      <c r="K93" s="289"/>
      <c r="L93" s="289"/>
      <c r="M93" s="289"/>
      <c r="N93" s="289"/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289"/>
      <c r="AE93" s="289"/>
    </row>
    <row r="94" spans="1:31" x14ac:dyDescent="0.2">
      <c r="A94" s="7" t="str">
        <f ca="1">IF(AUTOEVENTO="Manual",IF(OFFSET(EVENTOS!$F$14,CRONOPLE!$B94,0)&gt;0,"F",""),IF(CRONOPLE!B94&lt;=MAX(CÁLCULO!$M$15:$M$727),"F",""))</f>
        <v>F</v>
      </c>
      <c r="B94" s="287">
        <f t="shared" ca="1" si="2"/>
        <v>80</v>
      </c>
      <c r="C94" s="288" t="str">
        <f ca="1">IF(AUTOEVENTO="Manual",IF($B94&lt;&gt;1,OFFSET(EVENTOS!$D$14,$B94,0),0),IF(B94&lt;=MAX(CÁLCULO!$M$15:$M$727),VLOOKUP($B94,CÁLCULO!$M$15:$N$727,2,FALSE),0))</f>
        <v>MURO DE FECHAMENTO - REVESTIMENTO</v>
      </c>
      <c r="E94" s="289"/>
      <c r="G94" s="289">
        <v>12</v>
      </c>
      <c r="H94" s="289"/>
      <c r="I94" s="289"/>
      <c r="J94" s="289"/>
      <c r="K94" s="289"/>
      <c r="L94" s="289"/>
      <c r="M94" s="289"/>
      <c r="N94" s="289"/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289"/>
      <c r="AE94" s="289"/>
    </row>
    <row r="95" spans="1:31" x14ac:dyDescent="0.2">
      <c r="A95" s="7" t="str">
        <f ca="1">IF(AUTOEVENTO="Manual",IF(OFFSET(EVENTOS!$F$14,CRONOPLE!$B95,0)&gt;0,"F",""),IF(CRONOPLE!B95&lt;=MAX(CÁLCULO!$M$15:$M$727),"F",""))</f>
        <v>F</v>
      </c>
      <c r="B95" s="287">
        <f t="shared" ca="1" si="2"/>
        <v>81</v>
      </c>
      <c r="C95" s="288" t="str">
        <f ca="1">IF(AUTOEVENTO="Manual",IF($B95&lt;&gt;1,OFFSET(EVENTOS!$D$14,$B95,0),0),IF(B95&lt;=MAX(CÁLCULO!$M$15:$M$727),VLOOKUP($B95,CÁLCULO!$M$15:$N$727,2,FALSE),0))</f>
        <v>MURO DE FECHAMENTO - PINTURA</v>
      </c>
      <c r="E95" s="289"/>
      <c r="G95" s="289">
        <v>12</v>
      </c>
      <c r="H95" s="289"/>
      <c r="I95" s="289"/>
      <c r="J95" s="289"/>
      <c r="K95" s="289"/>
      <c r="L95" s="289"/>
      <c r="M95" s="289"/>
      <c r="N95" s="289"/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</row>
    <row r="96" spans="1:31" x14ac:dyDescent="0.2">
      <c r="A96" s="7" t="str">
        <f ca="1">IF(AUTOEVENTO="Manual",IF(OFFSET(EVENTOS!$F$14,CRONOPLE!$B96,0)&gt;0,"F",""),IF(CRONOPLE!B96&lt;=MAX(CÁLCULO!$M$15:$M$727),"F",""))</f>
        <v>F</v>
      </c>
      <c r="B96" s="287">
        <f t="shared" ca="1" si="2"/>
        <v>82</v>
      </c>
      <c r="C96" s="288" t="str">
        <f ca="1">IF(AUTOEVENTO="Manual",IF($B96&lt;&gt;1,OFFSET(EVENTOS!$D$14,$B96,0),0),IF(B96&lt;=MAX(CÁLCULO!$M$15:$M$727),VLOOKUP($B96,CÁLCULO!$M$15:$N$727,2,FALSE),0))</f>
        <v>SERVIÇOS FINAIS</v>
      </c>
      <c r="E96" s="289"/>
      <c r="G96" s="289">
        <v>12</v>
      </c>
      <c r="H96" s="289"/>
      <c r="I96" s="289"/>
      <c r="J96" s="289"/>
      <c r="K96" s="289"/>
      <c r="L96" s="289"/>
      <c r="M96" s="289"/>
      <c r="N96" s="289"/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</row>
    <row r="97" spans="2:31" ht="5.0999999999999996" customHeight="1" x14ac:dyDescent="0.2">
      <c r="B97" s="510"/>
      <c r="C97" s="511"/>
      <c r="E97" s="303"/>
      <c r="F97" s="303"/>
      <c r="G97" s="510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1"/>
    </row>
  </sheetData>
  <sheetProtection algorithmName="SHA-512" hashValue="apySQPyDp4zwUJsJ1OoAMuVsqlvP+Rx3z7Xr1ucxPqB4KTEsW7XLhVHc7gouxng7THTUzl0Leiy13uW4eqLPMA==" saltValue="iOaQqrx3SQkdHqeDTC9sHw==" spinCount="100000" sheet="1" objects="1" scenarios="1" autoFilter="0"/>
  <mergeCells count="2">
    <mergeCell ref="B12:B13"/>
    <mergeCell ref="C12:C13"/>
  </mergeCells>
  <phoneticPr fontId="39" type="noConversion"/>
  <conditionalFormatting sqref="E1 G1:AE1">
    <cfRule type="expression" dxfId="386" priority="113" stopIfTrue="1">
      <formula>IF(OR(E$12&gt;CÁLCULO.NúmeroDeFrentes,ACOMPANHAMENTO="BM"),TRUE,CRONOPLE.ValorDoEvento=0)</formula>
    </cfRule>
  </conditionalFormatting>
  <conditionalFormatting sqref="E16:E24 G16:AE24">
    <cfRule type="expression" dxfId="385" priority="10" stopIfTrue="1">
      <formula>IF(OR(E$12&gt;CÁLCULO.NúmeroDeFrentes,ACOMPANHAMENTO="BM"),TRUE,CRONOPLE.ValorDoEvento=0)</formula>
    </cfRule>
  </conditionalFormatting>
  <conditionalFormatting sqref="E25:E33 G25:AE33">
    <cfRule type="expression" dxfId="384" priority="9" stopIfTrue="1">
      <formula>IF(OR(E$12&gt;CÁLCULO.NúmeroDeFrentes,ACOMPANHAMENTO="BM"),TRUE,CRONOPLE.ValorDoEvento=0)</formula>
    </cfRule>
  </conditionalFormatting>
  <conditionalFormatting sqref="E34:E42 G34:AE42">
    <cfRule type="expression" dxfId="383" priority="8" stopIfTrue="1">
      <formula>IF(OR(E$12&gt;CÁLCULO.NúmeroDeFrentes,ACOMPANHAMENTO="BM"),TRUE,CRONOPLE.ValorDoEvento=0)</formula>
    </cfRule>
  </conditionalFormatting>
  <conditionalFormatting sqref="E43:E51 G43:AE51">
    <cfRule type="expression" dxfId="382" priority="7" stopIfTrue="1">
      <formula>IF(OR(E$12&gt;CÁLCULO.NúmeroDeFrentes,ACOMPANHAMENTO="BM"),TRUE,CRONOPLE.ValorDoEvento=0)</formula>
    </cfRule>
  </conditionalFormatting>
  <conditionalFormatting sqref="E52:E60 G52:AE60">
    <cfRule type="expression" dxfId="381" priority="6" stopIfTrue="1">
      <formula>IF(OR(E$12&gt;CÁLCULO.NúmeroDeFrentes,ACOMPANHAMENTO="BM"),TRUE,CRONOPLE.ValorDoEvento=0)</formula>
    </cfRule>
  </conditionalFormatting>
  <conditionalFormatting sqref="E61:E64 G61:AE64">
    <cfRule type="expression" dxfId="380" priority="5" stopIfTrue="1">
      <formula>IF(OR(E$12&gt;CÁLCULO.NúmeroDeFrentes,ACOMPANHAMENTO="BM"),TRUE,CRONOPLE.ValorDoEvento=0)</formula>
    </cfRule>
  </conditionalFormatting>
  <conditionalFormatting sqref="E65:E73 G65:AE73">
    <cfRule type="expression" dxfId="379" priority="4" stopIfTrue="1">
      <formula>IF(OR(E$12&gt;CÁLCULO.NúmeroDeFrentes,ACOMPANHAMENTO="BM"),TRUE,CRONOPLE.ValorDoEvento=0)</formula>
    </cfRule>
  </conditionalFormatting>
  <conditionalFormatting sqref="E74:E82 G74:AE82">
    <cfRule type="expression" dxfId="378" priority="3" stopIfTrue="1">
      <formula>IF(OR(E$12&gt;CÁLCULO.NúmeroDeFrentes,ACOMPANHAMENTO="BM"),TRUE,CRONOPLE.ValorDoEvento=0)</formula>
    </cfRule>
  </conditionalFormatting>
  <conditionalFormatting sqref="E83:E91 G83:AE91">
    <cfRule type="expression" dxfId="377" priority="2" stopIfTrue="1">
      <formula>IF(OR(E$12&gt;CÁLCULO.NúmeroDeFrentes,ACOMPANHAMENTO="BM"),TRUE,CRONOPLE.ValorDoEvento=0)</formula>
    </cfRule>
  </conditionalFormatting>
  <conditionalFormatting sqref="E92:E96 G92:AE96">
    <cfRule type="expression" dxfId="376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96 E16:E96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/>
  <dimension ref="A1:AG112"/>
  <sheetViews>
    <sheetView showGridLines="0" zoomScale="90" zoomScaleNormal="90" zoomScaleSheetLayoutView="100" workbookViewId="0">
      <pane xSplit="4" ySplit="13" topLeftCell="E47" activePane="bottomRight" state="frozen"/>
      <selection pane="topRight" activeCell="E1" sqref="E1"/>
      <selection pane="bottomLeft" activeCell="A13" sqref="A13"/>
      <selection pane="bottomRight" activeCell="H16" sqref="H16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IF(AUTOEVENTO="Manual",IF(OFFSET(EVENTOS!$F$14,PLE!$B1,0)&gt;0,"F",""),IF(PLE!B1&lt;=MAX(CÁLCULO!$M$15:$M$727),"F",""))</f>
        <v>#REF!</v>
      </c>
      <c r="B1" s="287" t="e">
        <f ca="1">OFFSET(B1,-1,0)+1</f>
        <v>#REF!</v>
      </c>
      <c r="C1" s="649" t="e">
        <f ca="1">IF(AUTOEVENTO="Manual",IF($B1&lt;&gt;1,OFFSET(EVENTOS!$D$14,$B1,0),0),IF(B1&lt;=MAX(CÁLCULO!$M$15:$M$727),VLOOKUP($B1,CÁLCULO!$M$15:$N$727,2,FALSE),0))</f>
        <v>#REF!</v>
      </c>
      <c r="D1" s="649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604" t="s">
        <v>140</v>
      </c>
      <c r="AE3" s="604"/>
      <c r="AF3" s="604"/>
    </row>
    <row r="4" spans="1:33" ht="15.75" x14ac:dyDescent="0.2">
      <c r="B4" s="83"/>
      <c r="C4" s="83"/>
      <c r="H4" s="84" t="str">
        <f>import.recurso</f>
        <v>OGU</v>
      </c>
      <c r="AD4" s="605" t="s">
        <v>143</v>
      </c>
      <c r="AE4" s="605"/>
      <c r="AF4" s="605"/>
    </row>
    <row r="6" spans="1:33" x14ac:dyDescent="0.2">
      <c r="B6" s="231" t="s">
        <v>146</v>
      </c>
      <c r="C6" s="304"/>
      <c r="D6" s="233" t="s">
        <v>441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NOME DA EMPRESA</v>
      </c>
      <c r="W6" s="205"/>
      <c r="X6" s="205"/>
      <c r="Y6" s="205"/>
      <c r="AD6" s="4"/>
      <c r="AE6" s="662" t="str">
        <f>IF(TIPOORCAMENTO="Licitado","Nº CTEF","")</f>
        <v>Nº CTEF</v>
      </c>
      <c r="AF6" s="662"/>
    </row>
    <row r="7" spans="1:33" x14ac:dyDescent="0.2">
      <c r="B7" s="637" t="str">
        <f>Import.CR</f>
        <v>1095468-12</v>
      </c>
      <c r="C7" s="637"/>
      <c r="D7" s="237" t="str">
        <f>Import.TransfereGOV</f>
        <v>962693</v>
      </c>
      <c r="E7" s="43"/>
      <c r="H7" s="636" t="str">
        <f>Import.Proponente</f>
        <v>PREFEITURA DE DOIS VIZINHOS - PR</v>
      </c>
      <c r="I7" s="636"/>
      <c r="J7" s="636"/>
      <c r="K7" s="636"/>
      <c r="L7" s="636"/>
      <c r="M7" s="636"/>
      <c r="N7" s="636"/>
      <c r="O7" s="637" t="str">
        <f>Import.Apelido</f>
        <v>Construção do CMEI Cleovanize Totti</v>
      </c>
      <c r="P7" s="637"/>
      <c r="Q7" s="637"/>
      <c r="R7" s="637"/>
      <c r="S7" s="637"/>
      <c r="T7" s="637"/>
      <c r="U7" s="637"/>
      <c r="V7" s="637">
        <f>IF(TIPOORCAMENTO="Licitado",Import.empresa,Import.DescLote)</f>
        <v>0</v>
      </c>
      <c r="W7" s="637"/>
      <c r="X7" s="637"/>
      <c r="Y7" s="637"/>
      <c r="Z7" s="637"/>
      <c r="AA7" s="637"/>
      <c r="AB7" s="637"/>
      <c r="AC7" s="637"/>
      <c r="AD7" s="637"/>
      <c r="AE7" s="666">
        <f>IF(TIPOORCAMENTO="Licitado",Import.CTEF,"")</f>
        <v>0</v>
      </c>
      <c r="AF7" s="666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64">
        <v>1</v>
      </c>
      <c r="K9" s="664"/>
      <c r="M9" s="308" t="s">
        <v>283</v>
      </c>
      <c r="N9" s="665" t="str">
        <f ca="1">TEXT(IF(PLE.Medicao=1,Import.DataInicioObra,OFFSET($H$100,0,1+(PLE.Medicao-$I$101)*2-2)+1),"dd/mm/aaaa")&amp;" a "&amp;TEXT(OFFSET($H$100,0,1+(PLE.Medicao-$I$101)*2),"dd/mm/aaaa")</f>
        <v>00/01/1900 a 00/01/1900</v>
      </c>
      <c r="O9" s="665"/>
      <c r="P9" s="665"/>
      <c r="Q9" s="665"/>
      <c r="R9" s="665"/>
      <c r="S9" s="665"/>
      <c r="T9" s="665"/>
      <c r="U9" s="309"/>
      <c r="X9" s="308" t="s">
        <v>295</v>
      </c>
      <c r="Y9" s="667" t="e">
        <f ca="1">OFFSET($I$101,1+8*(ROUNDUP(($J$9-0)/((COLUMN($AG$14)-COLUMN($G$14)-1)/25*12),0)-1),ROUNDDOWN((($J$9-0)-OFFSET($I$101,8*(ROUNDUP(($J$9-0)/((COLUMN($AG$14)-COLUMN($G$14)-1)/25*12),0)-1),0))*(2+1/12),0))</f>
        <v>#DIV/0!</v>
      </c>
      <c r="Z9" s="667"/>
      <c r="AD9" s="308" t="s">
        <v>296</v>
      </c>
      <c r="AE9" s="667" t="e">
        <f ca="1">OFFSET($I$101,3+8*(ROUNDUP(($J$9-0)/((COLUMN($AG$14)-COLUMN($G$14)-1)/25*12),0)-1),ROUNDDOWN((($J$9-0)-OFFSET($I$101,8*(ROUNDUP(($J$9-0)/((COLUMN($AG$14)-COLUMN($G$14)-1)/25*12),0)-1),0))*(2+1/12),0))</f>
        <v>#DIV/0!</v>
      </c>
      <c r="AF9" s="667"/>
    </row>
    <row r="11" spans="1:33" ht="65.25" customHeight="1" x14ac:dyDescent="0.2">
      <c r="A11" s="291" t="s">
        <v>290</v>
      </c>
      <c r="C11" s="663" t="str">
        <f>IF(TIPOORCAMENTO="proposto","ALTERE O TIPO DE ORÇAMENTO NA ABA 'MENU' PARA LICITADO.",IF(ACOMPANHAMENTO="BM","FOI SELECIONADO NA ABA 'MENU' O ACOMPANHAMENTO POR BM.",""))</f>
        <v/>
      </c>
      <c r="D11" s="663"/>
      <c r="F11" s="293" t="str">
        <f ca="1">IF(F$12&gt;CÁLCULO.NúmeroDeFrentes,"",OFFSET(CÁLCULO!$P$12,0,F$12))</f>
        <v>CRECHE  tipo I - de Doiz Vizinhos</v>
      </c>
      <c r="H11" s="293" t="str">
        <f ca="1">IF(H$12&gt;CÁLCULO.NúmeroDeFrentes,"",OFFSET(CÁLCULO!$P$12,0,H$12))</f>
        <v>CRECHE  tipo I - de Doiz Vizinhos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>
        <f ca="1">IF(R$12&gt;CÁLCULO.NúmeroDeFrentes,"",OFFSET(CÁLCULO!$P$12,0,R$12))</f>
        <v>0</v>
      </c>
      <c r="S11" s="293">
        <f ca="1">IF(S$12&gt;CÁLCULO.NúmeroDeFrentes,"",OFFSET(CÁLCULO!$P$12,0,S$12))</f>
        <v>0</v>
      </c>
      <c r="T11" s="293">
        <f ca="1">IF(T$12&gt;CÁLCULO.NúmeroDeFrentes,"",OFFSET(CÁLCULO!$P$12,0,T$12))</f>
        <v>0</v>
      </c>
      <c r="U11" s="293">
        <f ca="1">IF(U$12&gt;CÁLCULO.NúmeroDeFrentes,"",OFFSET(CÁLCULO!$P$12,0,U$12))</f>
        <v>0</v>
      </c>
      <c r="V11" s="293">
        <f ca="1">IF(V$12&gt;CÁLCULO.NúmeroDeFrentes,"",OFFSET(CÁLCULO!$P$12,0,V$12))</f>
        <v>0</v>
      </c>
      <c r="W11" s="293">
        <f ca="1">IF(W$12&gt;CÁLCULO.NúmeroDeFrentes,"",OFFSET(CÁLCULO!$P$12,0,W$12))</f>
        <v>0</v>
      </c>
      <c r="X11" s="293">
        <f ca="1">IF(X$12&gt;CÁLCULO.NúmeroDeFrentes,"",OFFSET(CÁLCULO!$P$12,0,X$12))</f>
        <v>0</v>
      </c>
      <c r="Y11" s="293">
        <f ca="1">IF(Y$12&gt;CÁLCULO.NúmeroDeFrentes,"",OFFSET(CÁLCULO!$P$12,0,Y$12))</f>
        <v>0</v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61" t="s">
        <v>269</v>
      </c>
      <c r="D15" s="661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IF(AUTOEVENTO="Manual",IF(OFFSET(EVENTOS!$F$14,PLE!$B16,0)&gt;0,"F",""),IF(PLE!B16&lt;=MAX(CÁLCULO!$M$15:$M$727),"F",""))</f>
        <v>F</v>
      </c>
      <c r="B16" s="287">
        <f t="shared" ref="B16:B79" ca="1" si="1">OFFSET(B16,-1,0)+1</f>
        <v>2</v>
      </c>
      <c r="C16" s="649" t="str">
        <f ca="1">IF(AUTOEVENTO="Manual",IF($B16&lt;&gt;1,OFFSET(EVENTOS!$D$14,$B16,0),0),IF(B16&lt;=MAX(CÁLCULO!$M$15:$M$727),VLOOKUP($B16,CÁLCULO!$M$15:$N$727,2,FALSE),0))</f>
        <v>ADMINISTRAÇÃO CENTRAL (ADM)</v>
      </c>
      <c r="D16" s="649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IF(AUTOEVENTO="Manual",IF(OFFSET(EVENTOS!$F$14,PLE!$B17,0)&gt;0,"F",""),IF(PLE!B17&lt;=MAX(CÁLCULO!$M$15:$M$727),"F",""))</f>
        <v>F</v>
      </c>
      <c r="B17" s="287">
        <f t="shared" ca="1" si="1"/>
        <v>3</v>
      </c>
      <c r="C17" s="649" t="str">
        <f ca="1">IF(AUTOEVENTO="Manual",IF($B17&lt;&gt;1,OFFSET(EVENTOS!$D$14,$B17,0),0),IF(B17&lt;=MAX(CÁLCULO!$M$15:$M$727),VLOOKUP($B17,CÁLCULO!$M$15:$N$727,2,FALSE),0))</f>
        <v>CANTEIRO DE OBRAS (CO)</v>
      </c>
      <c r="D17" s="649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IF(AUTOEVENTO="Manual",IF(OFFSET(EVENTOS!$F$14,PLE!$B18,0)&gt;0,"F",""),IF(PLE!B18&lt;=MAX(CÁLCULO!$M$15:$M$727),"F",""))</f>
        <v>F</v>
      </c>
      <c r="B18" s="287">
        <f t="shared" ca="1" si="1"/>
        <v>4</v>
      </c>
      <c r="C18" s="649" t="str">
        <f ca="1">IF(AUTOEVENTO="Manual",IF($B18&lt;&gt;1,OFFSET(EVENTOS!$D$14,$B18,0),0),IF(B18&lt;=MAX(CÁLCULO!$M$15:$M$727),VLOOKUP($B18,CÁLCULO!$M$15:$N$727,2,FALSE),0))</f>
        <v>SERVIÇOS PRELIMINARES</v>
      </c>
      <c r="D18" s="649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IF(AUTOEVENTO="Manual",IF(OFFSET(EVENTOS!$F$14,PLE!$B19,0)&gt;0,"F",""),IF(PLE!B19&lt;=MAX(CÁLCULO!$M$15:$M$727),"F",""))</f>
        <v>F</v>
      </c>
      <c r="B19" s="287">
        <f t="shared" ca="1" si="1"/>
        <v>5</v>
      </c>
      <c r="C19" s="649" t="str">
        <f ca="1">IF(AUTOEVENTO="Manual",IF($B19&lt;&gt;1,OFFSET(EVENTOS!$D$14,$B19,0),0),IF(B19&lt;=MAX(CÁLCULO!$M$15:$M$727),VLOOKUP($B19,CÁLCULO!$M$15:$N$727,2,FALSE),0))</f>
        <v>MOVIMENTO DE TERRA PARA FUNDAÇÕES</v>
      </c>
      <c r="D19" s="649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IF(AUTOEVENTO="Manual",IF(OFFSET(EVENTOS!$F$14,PLE!$B20,0)&gt;0,"F",""),IF(PLE!B20&lt;=MAX(CÁLCULO!$M$15:$M$727),"F",""))</f>
        <v>F</v>
      </c>
      <c r="B20" s="287">
        <f t="shared" ca="1" si="1"/>
        <v>6</v>
      </c>
      <c r="C20" s="649" t="str">
        <f ca="1">IF(AUTOEVENTO="Manual",IF($B20&lt;&gt;1,OFFSET(EVENTOS!$D$14,$B20,0),0),IF(B20&lt;=MAX(CÁLCULO!$M$15:$M$727),VLOOKUP($B20,CÁLCULO!$M$15:$N$727,2,FALSE),0))</f>
        <v>FUNDAÇÕES - CONCRETO ARMADO PARA TUBULÕES</v>
      </c>
      <c r="D20" s="649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IF(AUTOEVENTO="Manual",IF(OFFSET(EVENTOS!$F$14,PLE!$B21,0)&gt;0,"F",""),IF(PLE!B21&lt;=MAX(CÁLCULO!$M$15:$M$727),"F",""))</f>
        <v>F</v>
      </c>
      <c r="B21" s="287">
        <f t="shared" ca="1" si="1"/>
        <v>7</v>
      </c>
      <c r="C21" s="649" t="str">
        <f ca="1">IF(AUTOEVENTO="Manual",IF($B21&lt;&gt;1,OFFSET(EVENTOS!$D$14,$B21,0),0),IF(B21&lt;=MAX(CÁLCULO!$M$15:$M$727),VLOOKUP($B21,CÁLCULO!$M$15:$N$727,2,FALSE),0))</f>
        <v>FUNDAÇÕES - CONCRETO ARMADO PARA SAPATAS</v>
      </c>
      <c r="D21" s="649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IF(AUTOEVENTO="Manual",IF(OFFSET(EVENTOS!$F$14,PLE!$B22,0)&gt;0,"F",""),IF(PLE!B22&lt;=MAX(CÁLCULO!$M$15:$M$727),"F",""))</f>
        <v>F</v>
      </c>
      <c r="B22" s="287">
        <f t="shared" ca="1" si="1"/>
        <v>8</v>
      </c>
      <c r="C22" s="649" t="str">
        <f ca="1">IF(AUTOEVENTO="Manual",IF($B22&lt;&gt;1,OFFSET(EVENTOS!$D$14,$B22,0),0),IF(B22&lt;=MAX(CÁLCULO!$M$15:$M$727),VLOOKUP($B22,CÁLCULO!$M$15:$N$727,2,FALSE),0))</f>
        <v>FUNDAÇÕES - CONCRETO ARMADO PARA BLOCOS</v>
      </c>
      <c r="D22" s="649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IF(AUTOEVENTO="Manual",IF(OFFSET(EVENTOS!$F$14,PLE!$B23,0)&gt;0,"F",""),IF(PLE!B23&lt;=MAX(CÁLCULO!$M$15:$M$727),"F",""))</f>
        <v>F</v>
      </c>
      <c r="B23" s="287">
        <f t="shared" ca="1" si="1"/>
        <v>9</v>
      </c>
      <c r="C23" s="649" t="str">
        <f ca="1">IF(AUTOEVENTO="Manual",IF($B23&lt;&gt;1,OFFSET(EVENTOS!$D$14,$B23,0),0),IF(B23&lt;=MAX(CÁLCULO!$M$15:$M$727),VLOOKUP($B23,CÁLCULO!$M$15:$N$727,2,FALSE),0))</f>
        <v>SUPERESTRUTURA - CONCRETO ARMADO PARA PILARES</v>
      </c>
      <c r="D23" s="649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IF(AUTOEVENTO="Manual",IF(OFFSET(EVENTOS!$F$14,PLE!$B24,0)&gt;0,"F",""),IF(PLE!B24&lt;=MAX(CÁLCULO!$M$15:$M$727),"F",""))</f>
        <v>F</v>
      </c>
      <c r="B24" s="287">
        <f t="shared" ca="1" si="1"/>
        <v>10</v>
      </c>
      <c r="C24" s="649" t="str">
        <f ca="1">IF(AUTOEVENTO="Manual",IF($B24&lt;&gt;1,OFFSET(EVENTOS!$D$14,$B24,0),0),IF(B24&lt;=MAX(CÁLCULO!$M$15:$M$727),VLOOKUP($B24,CÁLCULO!$M$15:$N$727,2,FALSE),0))</f>
        <v>SUPERESTRUTURA - CONCRETO ARMADO PARA VIGAS INCLUINDO BALDRAME</v>
      </c>
      <c r="D24" s="649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IF(AUTOEVENTO="Manual",IF(OFFSET(EVENTOS!$F$14,PLE!$B25,0)&gt;0,"F",""),IF(PLE!B25&lt;=MAX(CÁLCULO!$M$15:$M$727),"F",""))</f>
        <v>F</v>
      </c>
      <c r="B25" s="287">
        <f t="shared" ca="1" si="1"/>
        <v>11</v>
      </c>
      <c r="C25" s="649" t="str">
        <f ca="1">IF(AUTOEVENTO="Manual",IF($B25&lt;&gt;1,OFFSET(EVENTOS!$D$14,$B25,0),0),IF(B25&lt;=MAX(CÁLCULO!$M$15:$M$727),VLOOKUP($B25,CÁLCULO!$M$15:$N$727,2,FALSE),0))</f>
        <v>SUPERESTRUTURA - CONCRETO ARMADO PARA VERGAS</v>
      </c>
      <c r="D25" s="649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IF(AUTOEVENTO="Manual",IF(OFFSET(EVENTOS!$F$14,PLE!$B26,0)&gt;0,"F",""),IF(PLE!B26&lt;=MAX(CÁLCULO!$M$15:$M$727),"F",""))</f>
        <v>F</v>
      </c>
      <c r="B26" s="287">
        <f t="shared" ca="1" si="1"/>
        <v>12</v>
      </c>
      <c r="C26" s="649" t="str">
        <f ca="1">IF(AUTOEVENTO="Manual",IF($B26&lt;&gt;1,OFFSET(EVENTOS!$D$14,$B26,0),0),IF(B26&lt;=MAX(CÁLCULO!$M$15:$M$727),VLOOKUP($B26,CÁLCULO!$M$15:$N$727,2,FALSE),0))</f>
        <v>SUPERESTRUTURA - CONCRETO ARMADO PARA LAJE</v>
      </c>
      <c r="D26" s="649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IF(AUTOEVENTO="Manual",IF(OFFSET(EVENTOS!$F$14,PLE!$B27,0)&gt;0,"F",""),IF(PLE!B27&lt;=MAX(CÁLCULO!$M$15:$M$727),"F",""))</f>
        <v>F</v>
      </c>
      <c r="B27" s="287">
        <f t="shared" ca="1" si="1"/>
        <v>13</v>
      </c>
      <c r="C27" s="649" t="str">
        <f ca="1">IF(AUTOEVENTO="Manual",IF($B27&lt;&gt;1,OFFSET(EVENTOS!$D$14,$B27,0),0),IF(B27&lt;=MAX(CÁLCULO!$M$15:$M$727),VLOOKUP($B27,CÁLCULO!$M$15:$N$727,2,FALSE),0))</f>
        <v>SUPERESTRUTURA - ESTRUTURA METÁLICA</v>
      </c>
      <c r="D27" s="649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IF(AUTOEVENTO="Manual",IF(OFFSET(EVENTOS!$F$14,PLE!$B28,0)&gt;0,"F",""),IF(PLE!B28&lt;=MAX(CÁLCULO!$M$15:$M$727),"F",""))</f>
        <v>F</v>
      </c>
      <c r="B28" s="287">
        <f t="shared" ca="1" si="1"/>
        <v>14</v>
      </c>
      <c r="C28" s="649" t="str">
        <f ca="1">IF(AUTOEVENTO="Manual",IF($B28&lt;&gt;1,OFFSET(EVENTOS!$D$14,$B28,0),0),IF(B28&lt;=MAX(CÁLCULO!$M$15:$M$727),VLOOKUP($B28,CÁLCULO!$M$15:$N$727,2,FALSE),0))</f>
        <v>PAVIMENTAÇÃO INTERNA - PISO DE CONCRETO 8 CM</v>
      </c>
      <c r="D28" s="649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IF(AUTOEVENTO="Manual",IF(OFFSET(EVENTOS!$F$14,PLE!$B29,0)&gt;0,"F",""),IF(PLE!B29&lt;=MAX(CÁLCULO!$M$15:$M$727),"F",""))</f>
        <v>F</v>
      </c>
      <c r="B29" s="287">
        <f t="shared" ca="1" si="1"/>
        <v>15</v>
      </c>
      <c r="C29" s="649" t="str">
        <f ca="1">IF(AUTOEVENTO="Manual",IF($B29&lt;&gt;1,OFFSET(EVENTOS!$D$14,$B29,0),0),IF(B29&lt;=MAX(CÁLCULO!$M$15:$M$727),VLOOKUP($B29,CÁLCULO!$M$15:$N$727,2,FALSE),0))</f>
        <v>PAVIMENTAÇÃO EXTERNA - CALÇADA DE PISO DE CONCRETO 7 CM</v>
      </c>
      <c r="D29" s="649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IF(AUTOEVENTO="Manual",IF(OFFSET(EVENTOS!$F$14,PLE!$B30,0)&gt;0,"F",""),IF(PLE!B30&lt;=MAX(CÁLCULO!$M$15:$M$727),"F",""))</f>
        <v>F</v>
      </c>
      <c r="B30" s="287">
        <f t="shared" ca="1" si="1"/>
        <v>16</v>
      </c>
      <c r="C30" s="649" t="str">
        <f ca="1">IF(AUTOEVENTO="Manual",IF($B30&lt;&gt;1,OFFSET(EVENTOS!$D$14,$B30,0),0),IF(B30&lt;=MAX(CÁLCULO!$M$15:$M$727),VLOOKUP($B30,CÁLCULO!$M$15:$N$727,2,FALSE),0))</f>
        <v>SISTEMA DE VEDAÇÃO VERTICAL - ELEMENTOS VAZADOS</v>
      </c>
      <c r="D30" s="649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IF(AUTOEVENTO="Manual",IF(OFFSET(EVENTOS!$F$14,PLE!$B31,0)&gt;0,"F",""),IF(PLE!B31&lt;=MAX(CÁLCULO!$M$15:$M$727),"F",""))</f>
        <v>F</v>
      </c>
      <c r="B31" s="287">
        <f t="shared" ca="1" si="1"/>
        <v>17</v>
      </c>
      <c r="C31" s="649" t="str">
        <f ca="1">IF(AUTOEVENTO="Manual",IF($B31&lt;&gt;1,OFFSET(EVENTOS!$D$14,$B31,0),0),IF(B31&lt;=MAX(CÁLCULO!$M$15:$M$727),VLOOKUP($B31,CÁLCULO!$M$15:$N$727,2,FALSE),0))</f>
        <v>SISTEMA DE VEDAÇÃO VERTICAL - ALVENARIA DE VEDAÇÃO</v>
      </c>
      <c r="D31" s="649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IF(AUTOEVENTO="Manual",IF(OFFSET(EVENTOS!$F$14,PLE!$B32,0)&gt;0,"F",""),IF(PLE!B32&lt;=MAX(CÁLCULO!$M$15:$M$727),"F",""))</f>
        <v>F</v>
      </c>
      <c r="B32" s="287">
        <f t="shared" ca="1" si="1"/>
        <v>18</v>
      </c>
      <c r="C32" s="649" t="str">
        <f ca="1">IF(AUTOEVENTO="Manual",IF($B32&lt;&gt;1,OFFSET(EVENTOS!$D$14,$B32,0),0),IF(B32&lt;=MAX(CÁLCULO!$M$15:$M$727),VLOOKUP($B32,CÁLCULO!$M$15:$N$727,2,FALSE),0))</f>
        <v>SISTEMA DE VEDAÇÃO VERTICAL - DIVISÓRIAS</v>
      </c>
      <c r="D32" s="649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IF(AUTOEVENTO="Manual",IF(OFFSET(EVENTOS!$F$14,PLE!$B33,0)&gt;0,"F",""),IF(PLE!B33&lt;=MAX(CÁLCULO!$M$15:$M$727),"F",""))</f>
        <v>F</v>
      </c>
      <c r="B33" s="287">
        <f t="shared" ca="1" si="1"/>
        <v>19</v>
      </c>
      <c r="C33" s="649" t="str">
        <f ca="1">IF(AUTOEVENTO="Manual",IF($B33&lt;&gt;1,OFFSET(EVENTOS!$D$14,$B33,0),0),IF(B33&lt;=MAX(CÁLCULO!$M$15:$M$727),VLOOKUP($B33,CÁLCULO!$M$15:$N$727,2,FALSE),0))</f>
        <v>ESQUADRIAS - PORTAS DE MADEIRA</v>
      </c>
      <c r="D33" s="649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IF(AUTOEVENTO="Manual",IF(OFFSET(EVENTOS!$F$14,PLE!$B34,0)&gt;0,"F",""),IF(PLE!B34&lt;=MAX(CÁLCULO!$M$15:$M$727),"F",""))</f>
        <v>F</v>
      </c>
      <c r="B34" s="287">
        <f t="shared" ca="1" si="1"/>
        <v>20</v>
      </c>
      <c r="C34" s="649" t="str">
        <f ca="1">IF(AUTOEVENTO="Manual",IF($B34&lt;&gt;1,OFFSET(EVENTOS!$D$14,$B34,0),0),IF(B34&lt;=MAX(CÁLCULO!$M$15:$M$727),VLOOKUP($B34,CÁLCULO!$M$15:$N$727,2,FALSE),0))</f>
        <v>ESQUADRIAS - FERRAGENS E ACESSÓRIOS</v>
      </c>
      <c r="D34" s="649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IF(AUTOEVENTO="Manual",IF(OFFSET(EVENTOS!$F$14,PLE!$B35,0)&gt;0,"F",""),IF(PLE!B35&lt;=MAX(CÁLCULO!$M$15:$M$727),"F",""))</f>
        <v>F</v>
      </c>
      <c r="B35" s="287">
        <f t="shared" ca="1" si="1"/>
        <v>21</v>
      </c>
      <c r="C35" s="649" t="str">
        <f ca="1">IF(AUTOEVENTO="Manual",IF($B35&lt;&gt;1,OFFSET(EVENTOS!$D$14,$B35,0),0),IF(B35&lt;=MAX(CÁLCULO!$M$15:$M$727),VLOOKUP($B35,CÁLCULO!$M$15:$N$727,2,FALSE),0))</f>
        <v>ESQUADRIAS - PORTAS EM ALUMÍNIO</v>
      </c>
      <c r="D35" s="649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IF(AUTOEVENTO="Manual",IF(OFFSET(EVENTOS!$F$14,PLE!$B36,0)&gt;0,"F",""),IF(PLE!B36&lt;=MAX(CÁLCULO!$M$15:$M$727),"F",""))</f>
        <v>F</v>
      </c>
      <c r="B36" s="287">
        <f t="shared" ca="1" si="1"/>
        <v>22</v>
      </c>
      <c r="C36" s="649" t="str">
        <f ca="1">IF(AUTOEVENTO="Manual",IF($B36&lt;&gt;1,OFFSET(EVENTOS!$D$14,$B36,0),0),IF(B36&lt;=MAX(CÁLCULO!$M$15:$M$727),VLOOKUP($B36,CÁLCULO!$M$15:$N$727,2,FALSE),0))</f>
        <v>ESQUADRIAS - JANELAS EM ALUMÍNIO</v>
      </c>
      <c r="D36" s="649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IF(AUTOEVENTO="Manual",IF(OFFSET(EVENTOS!$F$14,PLE!$B37,0)&gt;0,"F",""),IF(PLE!B37&lt;=MAX(CÁLCULO!$M$15:$M$727),"F",""))</f>
        <v>F</v>
      </c>
      <c r="B37" s="287">
        <f t="shared" ca="1" si="1"/>
        <v>23</v>
      </c>
      <c r="C37" s="649" t="str">
        <f ca="1">IF(AUTOEVENTO="Manual",IF($B37&lt;&gt;1,OFFSET(EVENTOS!$D$14,$B37,0),0),IF(B37&lt;=MAX(CÁLCULO!$M$15:$M$727),VLOOKUP($B37,CÁLCULO!$M$15:$N$727,2,FALSE),0))</f>
        <v>ESQUADRIAS - PORTAS DE VIDRO</v>
      </c>
      <c r="D37" s="649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IF(AUTOEVENTO="Manual",IF(OFFSET(EVENTOS!$F$14,PLE!$B38,0)&gt;0,"F",""),IF(PLE!B38&lt;=MAX(CÁLCULO!$M$15:$M$727),"F",""))</f>
        <v>F</v>
      </c>
      <c r="B38" s="287">
        <f t="shared" ca="1" si="1"/>
        <v>24</v>
      </c>
      <c r="C38" s="649" t="str">
        <f ca="1">IF(AUTOEVENTO="Manual",IF($B38&lt;&gt;1,OFFSET(EVENTOS!$D$14,$B38,0),0),IF(B38&lt;=MAX(CÁLCULO!$M$15:$M$727),VLOOKUP($B38,CÁLCULO!$M$15:$N$727,2,FALSE),0))</f>
        <v>ESQUADRIAS - GERAL</v>
      </c>
      <c r="D38" s="649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IF(AUTOEVENTO="Manual",IF(OFFSET(EVENTOS!$F$14,PLE!$B39,0)&gt;0,"F",""),IF(PLE!B39&lt;=MAX(CÁLCULO!$M$15:$M$727),"F",""))</f>
        <v>F</v>
      </c>
      <c r="B39" s="287">
        <f t="shared" ca="1" si="1"/>
        <v>25</v>
      </c>
      <c r="C39" s="649" t="str">
        <f ca="1">IF(AUTOEVENTO="Manual",IF($B39&lt;&gt;1,OFFSET(EVENTOS!$D$14,$B39,0),0),IF(B39&lt;=MAX(CÁLCULO!$M$15:$M$727),VLOOKUP($B39,CÁLCULO!$M$15:$N$727,2,FALSE),0))</f>
        <v>SISTEMAS DE COBERTURA</v>
      </c>
      <c r="D39" s="649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IF(AUTOEVENTO="Manual",IF(OFFSET(EVENTOS!$F$14,PLE!$B40,0)&gt;0,"F",""),IF(PLE!B40&lt;=MAX(CÁLCULO!$M$15:$M$727),"F",""))</f>
        <v>F</v>
      </c>
      <c r="B40" s="287">
        <f t="shared" ca="1" si="1"/>
        <v>26</v>
      </c>
      <c r="C40" s="649" t="str">
        <f ca="1">IF(AUTOEVENTO="Manual",IF($B40&lt;&gt;1,OFFSET(EVENTOS!$D$14,$B40,0),0),IF(B40&lt;=MAX(CÁLCULO!$M$15:$M$727),VLOOKUP($B40,CÁLCULO!$M$15:$N$727,2,FALSE),0))</f>
        <v>IMPERMEABILIZAÇÃO</v>
      </c>
      <c r="D40" s="649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IF(AUTOEVENTO="Manual",IF(OFFSET(EVENTOS!$F$14,PLE!$B41,0)&gt;0,"F",""),IF(PLE!B41&lt;=MAX(CÁLCULO!$M$15:$M$727),"F",""))</f>
        <v>F</v>
      </c>
      <c r="B41" s="287">
        <f t="shared" ca="1" si="1"/>
        <v>27</v>
      </c>
      <c r="C41" s="649" t="str">
        <f ca="1">IF(AUTOEVENTO="Manual",IF($B41&lt;&gt;1,OFFSET(EVENTOS!$D$14,$B41,0),0),IF(B41&lt;=MAX(CÁLCULO!$M$15:$M$727),VLOOKUP($B41,CÁLCULO!$M$15:$N$727,2,FALSE),0))</f>
        <v>REVESTIMENTOS INTERNO E EXTERNO - EDIFICAÇÃO</v>
      </c>
      <c r="D41" s="649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IF(AUTOEVENTO="Manual",IF(OFFSET(EVENTOS!$F$14,PLE!$B42,0)&gt;0,"F",""),IF(PLE!B42&lt;=MAX(CÁLCULO!$M$15:$M$727),"F",""))</f>
        <v>F</v>
      </c>
      <c r="B42" s="287">
        <f t="shared" ca="1" si="1"/>
        <v>28</v>
      </c>
      <c r="C42" s="649" t="str">
        <f ca="1">IF(AUTOEVENTO="Manual",IF($B42&lt;&gt;1,OFFSET(EVENTOS!$D$14,$B42,0),0),IF(B42&lt;=MAX(CÁLCULO!$M$15:$M$727),VLOOKUP($B42,CÁLCULO!$M$15:$N$727,2,FALSE),0))</f>
        <v>SISTEMAS DE PISOS - PAVIMENTAÇÃO INTERNA</v>
      </c>
      <c r="D42" s="649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IF(AUTOEVENTO="Manual",IF(OFFSET(EVENTOS!$F$14,PLE!$B43,0)&gt;0,"F",""),IF(PLE!B43&lt;=MAX(CÁLCULO!$M$15:$M$727),"F",""))</f>
        <v>F</v>
      </c>
      <c r="B43" s="287">
        <f t="shared" ca="1" si="1"/>
        <v>29</v>
      </c>
      <c r="C43" s="649" t="str">
        <f ca="1">IF(AUTOEVENTO="Manual",IF($B43&lt;&gt;1,OFFSET(EVENTOS!$D$14,$B43,0),0),IF(B43&lt;=MAX(CÁLCULO!$M$15:$M$727),VLOOKUP($B43,CÁLCULO!$M$15:$N$727,2,FALSE),0))</f>
        <v>SISTEMAS DE PISOS - PAVIMENTAÇÃO EXTERNA</v>
      </c>
      <c r="D43" s="649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IF(AUTOEVENTO="Manual",IF(OFFSET(EVENTOS!$F$14,PLE!$B44,0)&gt;0,"F",""),IF(PLE!B44&lt;=MAX(CÁLCULO!$M$15:$M$727),"F",""))</f>
        <v>F</v>
      </c>
      <c r="B44" s="287">
        <f t="shared" ca="1" si="1"/>
        <v>30</v>
      </c>
      <c r="C44" s="649" t="str">
        <f ca="1">IF(AUTOEVENTO="Manual",IF($B44&lt;&gt;1,OFFSET(EVENTOS!$D$14,$B44,0),0),IF(B44&lt;=MAX(CÁLCULO!$M$15:$M$727),VLOOKUP($B44,CÁLCULO!$M$15:$N$727,2,FALSE),0))</f>
        <v>PINTURAS E ACABAMENTOS - PAREDES</v>
      </c>
      <c r="D44" s="649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IF(AUTOEVENTO="Manual",IF(OFFSET(EVENTOS!$F$14,PLE!$B45,0)&gt;0,"F",""),IF(PLE!B45&lt;=MAX(CÁLCULO!$M$15:$M$727),"F",""))</f>
        <v>F</v>
      </c>
      <c r="B45" s="287">
        <f t="shared" ca="1" si="1"/>
        <v>31</v>
      </c>
      <c r="C45" s="649" t="str">
        <f ca="1">IF(AUTOEVENTO="Manual",IF($B45&lt;&gt;1,OFFSET(EVENTOS!$D$14,$B45,0),0),IF(B45&lt;=MAX(CÁLCULO!$M$15:$M$727),VLOOKUP($B45,CÁLCULO!$M$15:$N$727,2,FALSE),0))</f>
        <v>PINTURAS E ACABAMENTOS - FORROS</v>
      </c>
      <c r="D45" s="649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IF(AUTOEVENTO="Manual",IF(OFFSET(EVENTOS!$F$14,PLE!$B46,0)&gt;0,"F",""),IF(PLE!B46&lt;=MAX(CÁLCULO!$M$15:$M$727),"F",""))</f>
        <v>F</v>
      </c>
      <c r="B46" s="287">
        <f t="shared" ca="1" si="1"/>
        <v>32</v>
      </c>
      <c r="C46" s="649" t="str">
        <f ca="1">IF(AUTOEVENTO="Manual",IF($B46&lt;&gt;1,OFFSET(EVENTOS!$D$14,$B46,0),0),IF(B46&lt;=MAX(CÁLCULO!$M$15:$M$727),VLOOKUP($B46,CÁLCULO!$M$15:$N$727,2,FALSE),0))</f>
        <v>PINTURAS E ACABAMENTOS - PISO ESTACIONAMENTO</v>
      </c>
      <c r="D46" s="649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IF(AUTOEVENTO="Manual",IF(OFFSET(EVENTOS!$F$14,PLE!$B47,0)&gt;0,"F",""),IF(PLE!B47&lt;=MAX(CÁLCULO!$M$15:$M$727),"F",""))</f>
        <v>F</v>
      </c>
      <c r="B47" s="287">
        <f t="shared" ca="1" si="1"/>
        <v>33</v>
      </c>
      <c r="C47" s="649" t="str">
        <f ca="1">IF(AUTOEVENTO="Manual",IF($B47&lt;&gt;1,OFFSET(EVENTOS!$D$14,$B47,0),0),IF(B47&lt;=MAX(CÁLCULO!$M$15:$M$727),VLOOKUP($B47,CÁLCULO!$M$15:$N$727,2,FALSE),0))</f>
        <v>PINTURAS E ACABAMENTOS - PISO PLAYGROUND</v>
      </c>
      <c r="D47" s="649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IF(AUTOEVENTO="Manual",IF(OFFSET(EVENTOS!$F$14,PLE!$B48,0)&gt;0,"F",""),IF(PLE!B48&lt;=MAX(CÁLCULO!$M$15:$M$727),"F",""))</f>
        <v>F</v>
      </c>
      <c r="B48" s="287">
        <f t="shared" ca="1" si="1"/>
        <v>34</v>
      </c>
      <c r="C48" s="649" t="str">
        <f ca="1">IF(AUTOEVENTO="Manual",IF($B48&lt;&gt;1,OFFSET(EVENTOS!$D$14,$B48,0),0),IF(B48&lt;=MAX(CÁLCULO!$M$15:$M$727),VLOOKUP($B48,CÁLCULO!$M$15:$N$727,2,FALSE),0))</f>
        <v>PINTURAS E ACABAMENTOS - ESTRUTURA METÁLICA</v>
      </c>
      <c r="D48" s="649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IF(AUTOEVENTO="Manual",IF(OFFSET(EVENTOS!$F$14,PLE!$B49,0)&gt;0,"F",""),IF(PLE!B49&lt;=MAX(CÁLCULO!$M$15:$M$727),"F",""))</f>
        <v>F</v>
      </c>
      <c r="B49" s="287">
        <f t="shared" ca="1" si="1"/>
        <v>35</v>
      </c>
      <c r="C49" s="649" t="str">
        <f ca="1">IF(AUTOEVENTO="Manual",IF($B49&lt;&gt;1,OFFSET(EVENTOS!$D$14,$B49,0),0),IF(B49&lt;=MAX(CÁLCULO!$M$15:$M$727),VLOOKUP($B49,CÁLCULO!$M$15:$N$727,2,FALSE),0))</f>
        <v>INSTALAÇÃO HIDRÁULICA - TUBULAÇÕES E CONEXÕES DE PVC RÍGIDO</v>
      </c>
      <c r="D49" s="649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IF(AUTOEVENTO="Manual",IF(OFFSET(EVENTOS!$F$14,PLE!$B50,0)&gt;0,"F",""),IF(PLE!B50&lt;=MAX(CÁLCULO!$M$15:$M$727),"F",""))</f>
        <v>F</v>
      </c>
      <c r="B50" s="287">
        <f t="shared" ca="1" si="1"/>
        <v>36</v>
      </c>
      <c r="C50" s="649" t="str">
        <f ca="1">IF(AUTOEVENTO="Manual",IF($B50&lt;&gt;1,OFFSET(EVENTOS!$D$14,$B50,0),0),IF(B50&lt;=MAX(CÁLCULO!$M$15:$M$727),VLOOKUP($B50,CÁLCULO!$M$15:$N$727,2,FALSE),0))</f>
        <v>INSTALAÇÃO HIDRÁULICA - TUBULAÇÕES E CONEXÕES DE METAL</v>
      </c>
      <c r="D50" s="649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IF(AUTOEVENTO="Manual",IF(OFFSET(EVENTOS!$F$14,PLE!$B51,0)&gt;0,"F",""),IF(PLE!B51&lt;=MAX(CÁLCULO!$M$15:$M$727),"F",""))</f>
        <v>F</v>
      </c>
      <c r="B51" s="287">
        <f t="shared" ca="1" si="1"/>
        <v>37</v>
      </c>
      <c r="C51" s="649" t="str">
        <f ca="1">IF(AUTOEVENTO="Manual",IF($B51&lt;&gt;1,OFFSET(EVENTOS!$D$14,$B51,0),0),IF(B51&lt;=MAX(CÁLCULO!$M$15:$M$727),VLOOKUP($B51,CÁLCULO!$M$15:$N$727,2,FALSE),0))</f>
        <v>INSTALAÇÃO HIDRÁULICA - RESERVATÓRIO 30.000 L</v>
      </c>
      <c r="D51" s="649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IF(AUTOEVENTO="Manual",IF(OFFSET(EVENTOS!$F$14,PLE!$B52,0)&gt;0,"F",""),IF(PLE!B52&lt;=MAX(CÁLCULO!$M$15:$M$727),"F",""))</f>
        <v>F</v>
      </c>
      <c r="B52" s="287">
        <f t="shared" ca="1" si="1"/>
        <v>38</v>
      </c>
      <c r="C52" s="649" t="str">
        <f ca="1">IF(AUTOEVENTO="Manual",IF($B52&lt;&gt;1,OFFSET(EVENTOS!$D$14,$B52,0),0),IF(B52&lt;=MAX(CÁLCULO!$M$15:$M$727),VLOOKUP($B52,CÁLCULO!$M$15:$N$727,2,FALSE),0))</f>
        <v>INSTALAÇÃO HIDRÁULICA - SISTEMA DE REUSO DE ÁGUA</v>
      </c>
      <c r="D52" s="649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IF(AUTOEVENTO="Manual",IF(OFFSET(EVENTOS!$F$14,PLE!$B53,0)&gt;0,"F",""),IF(PLE!B53&lt;=MAX(CÁLCULO!$M$15:$M$727),"F",""))</f>
        <v>F</v>
      </c>
      <c r="B53" s="287">
        <f t="shared" ca="1" si="1"/>
        <v>39</v>
      </c>
      <c r="C53" s="649" t="str">
        <f ca="1">IF(AUTOEVENTO="Manual",IF($B53&lt;&gt;1,OFFSET(EVENTOS!$D$14,$B53,0),0),IF(B53&lt;=MAX(CÁLCULO!$M$15:$M$727),VLOOKUP($B53,CÁLCULO!$M$15:$N$727,2,FALSE),0))</f>
        <v>DRENAGEM DE ÁGUAS PLUVIAIS - TUBULAÇÕES E CONEXÕES DE PVC</v>
      </c>
      <c r="D53" s="649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IF(AUTOEVENTO="Manual",IF(OFFSET(EVENTOS!$F$14,PLE!$B54,0)&gt;0,"F",""),IF(PLE!B54&lt;=MAX(CÁLCULO!$M$15:$M$727),"F",""))</f>
        <v>F</v>
      </c>
      <c r="B54" s="287">
        <f t="shared" ca="1" si="1"/>
        <v>40</v>
      </c>
      <c r="C54" s="649" t="str">
        <f ca="1">IF(AUTOEVENTO="Manual",IF($B54&lt;&gt;1,OFFSET(EVENTOS!$D$14,$B54,0),0),IF(B54&lt;=MAX(CÁLCULO!$M$15:$M$727),VLOOKUP($B54,CÁLCULO!$M$15:$N$727,2,FALSE),0))</f>
        <v>DRENAGEM DE ÁGUAS PLUVIAIS - ACESSÓRIOS</v>
      </c>
      <c r="D54" s="649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IF(AUTOEVENTO="Manual",IF(OFFSET(EVENTOS!$F$14,PLE!$B55,0)&gt;0,"F",""),IF(PLE!B55&lt;=MAX(CÁLCULO!$M$15:$M$727),"F",""))</f>
        <v>F</v>
      </c>
      <c r="B55" s="287">
        <f t="shared" ca="1" si="1"/>
        <v>41</v>
      </c>
      <c r="C55" s="649" t="str">
        <f ca="1">IF(AUTOEVENTO="Manual",IF($B55&lt;&gt;1,OFFSET(EVENTOS!$D$14,$B55,0),0),IF(B55&lt;=MAX(CÁLCULO!$M$15:$M$727),VLOOKUP($B55,CÁLCULO!$M$15:$N$727,2,FALSE),0))</f>
        <v>INSTALAÇÃO SANITÁRIA - TUBULAÇÕES E CONEXÕES</v>
      </c>
      <c r="D55" s="649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IF(AUTOEVENTO="Manual",IF(OFFSET(EVENTOS!$F$14,PLE!$B56,0)&gt;0,"F",""),IF(PLE!B56&lt;=MAX(CÁLCULO!$M$15:$M$727),"F",""))</f>
        <v>F</v>
      </c>
      <c r="B56" s="287">
        <f t="shared" ca="1" si="1"/>
        <v>42</v>
      </c>
      <c r="C56" s="649" t="str">
        <f ca="1">IF(AUTOEVENTO="Manual",IF($B56&lt;&gt;1,OFFSET(EVENTOS!$D$14,$B56,0),0),IF(B56&lt;=MAX(CÁLCULO!$M$15:$M$727),VLOOKUP($B56,CÁLCULO!$M$15:$N$727,2,FALSE),0))</f>
        <v>INSTALAÇÃO SANITÁRIA - UNIDADE DE TRATAMENTO</v>
      </c>
      <c r="D56" s="649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IF(AUTOEVENTO="Manual",IF(OFFSET(EVENTOS!$F$14,PLE!$B57,0)&gt;0,"F",""),IF(PLE!B57&lt;=MAX(CÁLCULO!$M$15:$M$727),"F",""))</f>
        <v>F</v>
      </c>
      <c r="B57" s="287">
        <f t="shared" ca="1" si="1"/>
        <v>43</v>
      </c>
      <c r="C57" s="649" t="str">
        <f ca="1">IF(AUTOEVENTO="Manual",IF($B57&lt;&gt;1,OFFSET(EVENTOS!$D$14,$B57,0),0),IF(B57&lt;=MAX(CÁLCULO!$M$15:$M$727),VLOOKUP($B57,CÁLCULO!$M$15:$N$727,2,FALSE),0))</f>
        <v>INSTALAÇÃO SANITÁRIA - VENTILAÇÃO</v>
      </c>
      <c r="D57" s="649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IF(AUTOEVENTO="Manual",IF(OFFSET(EVENTOS!$F$14,PLE!$B58,0)&gt;0,"F",""),IF(PLE!B58&lt;=MAX(CÁLCULO!$M$15:$M$727),"F",""))</f>
        <v>F</v>
      </c>
      <c r="B58" s="287">
        <f t="shared" ca="1" si="1"/>
        <v>44</v>
      </c>
      <c r="C58" s="649" t="str">
        <f ca="1">IF(AUTOEVENTO="Manual",IF($B58&lt;&gt;1,OFFSET(EVENTOS!$D$14,$B58,0),0),IF(B58&lt;=MAX(CÁLCULO!$M$15:$M$727),VLOOKUP($B58,CÁLCULO!$M$15:$N$727,2,FALSE),0))</f>
        <v>LOUÇAS, ACESSÓRIOS E METAIS</v>
      </c>
      <c r="D58" s="649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IF(AUTOEVENTO="Manual",IF(OFFSET(EVENTOS!$F$14,PLE!$B59,0)&gt;0,"F",""),IF(PLE!B59&lt;=MAX(CÁLCULO!$M$15:$M$727),"F",""))</f>
        <v>F</v>
      </c>
      <c r="B59" s="287">
        <f t="shared" ca="1" si="1"/>
        <v>45</v>
      </c>
      <c r="C59" s="649" t="str">
        <f ca="1">IF(AUTOEVENTO="Manual",IF($B59&lt;&gt;1,OFFSET(EVENTOS!$D$14,$B59,0),0),IF(B59&lt;=MAX(CÁLCULO!$M$15:$M$727),VLOOKUP($B59,CÁLCULO!$M$15:$N$727,2,FALSE),0))</f>
        <v>INSTALAÇÃO DE GÁS COMBUSTÍVEL</v>
      </c>
      <c r="D59" s="649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IF(AUTOEVENTO="Manual",IF(OFFSET(EVENTOS!$F$14,PLE!$B60,0)&gt;0,"F",""),IF(PLE!B60&lt;=MAX(CÁLCULO!$M$15:$M$727),"F",""))</f>
        <v>F</v>
      </c>
      <c r="B60" s="287">
        <f t="shared" ca="1" si="1"/>
        <v>46</v>
      </c>
      <c r="C60" s="649" t="str">
        <f ca="1">IF(AUTOEVENTO="Manual",IF($B60&lt;&gt;1,OFFSET(EVENTOS!$D$14,$B60,0),0),IF(B60&lt;=MAX(CÁLCULO!$M$15:$M$727),VLOOKUP($B60,CÁLCULO!$M$15:$N$727,2,FALSE),0))</f>
        <v>SISTEMA DE PROTEÇÃO CONTRA INCÊNDIO - EXTINTORES</v>
      </c>
      <c r="D60" s="649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IF(AUTOEVENTO="Manual",IF(OFFSET(EVENTOS!$F$14,PLE!$B61,0)&gt;0,"F",""),IF(PLE!B61&lt;=MAX(CÁLCULO!$M$15:$M$727),"F",""))</f>
        <v>F</v>
      </c>
      <c r="B61" s="287">
        <f t="shared" ca="1" si="1"/>
        <v>47</v>
      </c>
      <c r="C61" s="649" t="str">
        <f ca="1">IF(AUTOEVENTO="Manual",IF($B61&lt;&gt;1,OFFSET(EVENTOS!$D$14,$B61,0),0),IF(B61&lt;=MAX(CÁLCULO!$M$15:$M$727),VLOOKUP($B61,CÁLCULO!$M$15:$N$727,2,FALSE),0))</f>
        <v>SISTEMA DE PROTEÇÃO CONTRA INCÊNDIO - HIDRANTES</v>
      </c>
      <c r="D61" s="649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IF(AUTOEVENTO="Manual",IF(OFFSET(EVENTOS!$F$14,PLE!$B62,0)&gt;0,"F",""),IF(PLE!B62&lt;=MAX(CÁLCULO!$M$15:$M$727),"F",""))</f>
        <v>F</v>
      </c>
      <c r="B62" s="287">
        <f t="shared" ca="1" si="1"/>
        <v>48</v>
      </c>
      <c r="C62" s="649" t="str">
        <f ca="1">IF(AUTOEVENTO="Manual",IF($B62&lt;&gt;1,OFFSET(EVENTOS!$D$14,$B62,0),0),IF(B62&lt;=MAX(CÁLCULO!$M$15:$M$727),VLOOKUP($B62,CÁLCULO!$M$15:$N$727,2,FALSE),0))</f>
        <v>SISTEMA DE PROTEÇÃO CONTRA INCÊNDIO - ACESSÓRIOS</v>
      </c>
      <c r="D62" s="649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IF(AUTOEVENTO="Manual",IF(OFFSET(EVENTOS!$F$14,PLE!$B63,0)&gt;0,"F",""),IF(PLE!B63&lt;=MAX(CÁLCULO!$M$15:$M$727),"F",""))</f>
        <v>F</v>
      </c>
      <c r="B63" s="287">
        <f t="shared" ca="1" si="1"/>
        <v>49</v>
      </c>
      <c r="C63" s="649" t="str">
        <f ca="1">IF(AUTOEVENTO="Manual",IF($B63&lt;&gt;1,OFFSET(EVENTOS!$D$14,$B63,0),0),IF(B63&lt;=MAX(CÁLCULO!$M$15:$M$727),VLOOKUP($B63,CÁLCULO!$M$15:$N$727,2,FALSE),0))</f>
        <v>SISTEMA DE PROTEÇÃO CONTRA INCÊNDIO - TUBULAÇÕES E CONEXÕES</v>
      </c>
      <c r="D63" s="649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IF(AUTOEVENTO="Manual",IF(OFFSET(EVENTOS!$F$14,PLE!$B64,0)&gt;0,"F",""),IF(PLE!B64&lt;=MAX(CÁLCULO!$M$15:$M$727),"F",""))</f>
        <v>F</v>
      </c>
      <c r="B64" s="287">
        <f t="shared" ca="1" si="1"/>
        <v>50</v>
      </c>
      <c r="C64" s="649" t="str">
        <f ca="1">IF(AUTOEVENTO="Manual",IF($B64&lt;&gt;1,OFFSET(EVENTOS!$D$14,$B64,0),0),IF(B64&lt;=MAX(CÁLCULO!$M$15:$M$727),VLOOKUP($B64,CÁLCULO!$M$15:$N$727,2,FALSE),0))</f>
        <v>SISTEMA DE PROTEÇÃO CONTRA INCÊNDIO - SINALIZAÇÕES</v>
      </c>
      <c r="D64" s="649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x14ac:dyDescent="0.2">
      <c r="A65" s="7" t="str">
        <f ca="1">IF(AUTOEVENTO="Manual",IF(OFFSET(EVENTOS!$F$14,PLE!$B65,0)&gt;0,"F",""),IF(PLE!B65&lt;=MAX(CÁLCULO!$M$15:$M$727),"F",""))</f>
        <v>F</v>
      </c>
      <c r="B65" s="287">
        <f t="shared" ca="1" si="1"/>
        <v>51</v>
      </c>
      <c r="C65" s="649" t="str">
        <f ca="1">IF(AUTOEVENTO="Manual",IF($B65&lt;&gt;1,OFFSET(EVENTOS!$D$14,$B65,0),0),IF(B65&lt;=MAX(CÁLCULO!$M$15:$M$727),VLOOKUP($B65,CÁLCULO!$M$15:$N$727,2,FALSE),0))</f>
        <v>INSTALAÇÃO ELÉTRICA 110V - ACESSÓRIOS PERFILADOS PERFURADOS</v>
      </c>
      <c r="D65" s="649"/>
      <c r="F65" s="289"/>
      <c r="H65" s="289"/>
      <c r="I65" s="289"/>
      <c r="J65" s="289"/>
      <c r="K65" s="289"/>
      <c r="L65" s="289"/>
      <c r="M65" s="289"/>
      <c r="N65" s="289"/>
      <c r="O65" s="289"/>
      <c r="P65" s="289"/>
      <c r="Q65" s="289"/>
      <c r="R65" s="289"/>
      <c r="S65" s="289"/>
      <c r="T65" s="289"/>
      <c r="U65" s="289"/>
      <c r="V65" s="289"/>
      <c r="W65" s="289"/>
      <c r="X65" s="289"/>
      <c r="Y65" s="289"/>
      <c r="Z65" s="289"/>
      <c r="AA65" s="289"/>
      <c r="AB65" s="289"/>
      <c r="AC65" s="289"/>
      <c r="AD65" s="289"/>
      <c r="AE65" s="289"/>
      <c r="AF65" s="289"/>
    </row>
    <row r="66" spans="1:32" x14ac:dyDescent="0.2">
      <c r="A66" s="7" t="str">
        <f ca="1">IF(AUTOEVENTO="Manual",IF(OFFSET(EVENTOS!$F$14,PLE!$B66,0)&gt;0,"F",""),IF(PLE!B66&lt;=MAX(CÁLCULO!$M$15:$M$727),"F",""))</f>
        <v>F</v>
      </c>
      <c r="B66" s="287">
        <f t="shared" ca="1" si="1"/>
        <v>52</v>
      </c>
      <c r="C66" s="649" t="str">
        <f ca="1">IF(AUTOEVENTO="Manual",IF($B66&lt;&gt;1,OFFSET(EVENTOS!$D$14,$B66,0),0),IF(B66&lt;=MAX(CÁLCULO!$M$15:$M$727),VLOOKUP($B66,CÁLCULO!$M$15:$N$727,2,FALSE),0))</f>
        <v>INSTALAÇÃO ELÉTRICA 110V - ACESSÓRIOS PARA ELETRODUTOS</v>
      </c>
      <c r="D66" s="649"/>
      <c r="F66" s="289"/>
      <c r="H66" s="289"/>
      <c r="I66" s="289"/>
      <c r="J66" s="289"/>
      <c r="K66" s="289"/>
      <c r="L66" s="289"/>
      <c r="M66" s="289"/>
      <c r="N66" s="289"/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89"/>
      <c r="AD66" s="289"/>
      <c r="AE66" s="289"/>
      <c r="AF66" s="289"/>
    </row>
    <row r="67" spans="1:32" x14ac:dyDescent="0.2">
      <c r="A67" s="7" t="str">
        <f ca="1">IF(AUTOEVENTO="Manual",IF(OFFSET(EVENTOS!$F$14,PLE!$B67,0)&gt;0,"F",""),IF(PLE!B67&lt;=MAX(CÁLCULO!$M$15:$M$727),"F",""))</f>
        <v>F</v>
      </c>
      <c r="B67" s="287">
        <f t="shared" ca="1" si="1"/>
        <v>53</v>
      </c>
      <c r="C67" s="649" t="str">
        <f ca="1">IF(AUTOEVENTO="Manual",IF($B67&lt;&gt;1,OFFSET(EVENTOS!$D$14,$B67,0),0),IF(B67&lt;=MAX(CÁLCULO!$M$15:$M$727),VLOOKUP($B67,CÁLCULO!$M$15:$N$727,2,FALSE),0))</f>
        <v>INSTALAÇÃO ELÉTRICA 110V - ACESSÓRIOS EM GERAL</v>
      </c>
      <c r="D67" s="649"/>
      <c r="F67" s="289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89"/>
      <c r="S67" s="289"/>
      <c r="T67" s="289"/>
      <c r="U67" s="289"/>
      <c r="V67" s="289"/>
      <c r="W67" s="289"/>
      <c r="X67" s="289"/>
      <c r="Y67" s="289"/>
      <c r="Z67" s="289"/>
      <c r="AA67" s="289"/>
      <c r="AB67" s="289"/>
      <c r="AC67" s="289"/>
      <c r="AD67" s="289"/>
      <c r="AE67" s="289"/>
      <c r="AF67" s="289"/>
    </row>
    <row r="68" spans="1:32" x14ac:dyDescent="0.2">
      <c r="A68" s="7" t="str">
        <f ca="1">IF(AUTOEVENTO="Manual",IF(OFFSET(EVENTOS!$F$14,PLE!$B68,0)&gt;0,"F",""),IF(PLE!B68&lt;=MAX(CÁLCULO!$M$15:$M$727),"F",""))</f>
        <v>F</v>
      </c>
      <c r="B68" s="287">
        <f t="shared" ca="1" si="1"/>
        <v>54</v>
      </c>
      <c r="C68" s="649" t="str">
        <f ca="1">IF(AUTOEVENTO="Manual",IF($B68&lt;&gt;1,OFFSET(EVENTOS!$D$14,$B68,0),0),IF(B68&lt;=MAX(CÁLCULO!$M$15:$M$727),VLOOKUP($B68,CÁLCULO!$M$15:$N$727,2,FALSE),0))</f>
        <v>INSTALAÇÃO ELÉTRICA 110V - CABOS</v>
      </c>
      <c r="D68" s="649"/>
      <c r="F68" s="289"/>
      <c r="H68" s="289"/>
      <c r="I68" s="289"/>
      <c r="J68" s="289"/>
      <c r="K68" s="289"/>
      <c r="L68" s="289"/>
      <c r="M68" s="289"/>
      <c r="N68" s="289"/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  <c r="AF68" s="289"/>
    </row>
    <row r="69" spans="1:32" x14ac:dyDescent="0.2">
      <c r="A69" s="7" t="str">
        <f ca="1">IF(AUTOEVENTO="Manual",IF(OFFSET(EVENTOS!$F$14,PLE!$B69,0)&gt;0,"F",""),IF(PLE!B69&lt;=MAX(CÁLCULO!$M$15:$M$727),"F",""))</f>
        <v>F</v>
      </c>
      <c r="B69" s="287">
        <f t="shared" ca="1" si="1"/>
        <v>55</v>
      </c>
      <c r="C69" s="649" t="str">
        <f ca="1">IF(AUTOEVENTO="Manual",IF($B69&lt;&gt;1,OFFSET(EVENTOS!$D$14,$B69,0),0),IF(B69&lt;=MAX(CÁLCULO!$M$15:$M$727),VLOOKUP($B69,CÁLCULO!$M$15:$N$727,2,FALSE),0))</f>
        <v>INSTALAÇÃO ELÉTRICA 110V - CAIXAS DE PASSAGEM</v>
      </c>
      <c r="D69" s="649"/>
      <c r="F69" s="289"/>
      <c r="H69" s="289"/>
      <c r="I69" s="289"/>
      <c r="J69" s="289"/>
      <c r="K69" s="289"/>
      <c r="L69" s="289"/>
      <c r="M69" s="289"/>
      <c r="N69" s="289"/>
      <c r="O69" s="289"/>
      <c r="P69" s="289"/>
      <c r="Q69" s="289"/>
      <c r="R69" s="289"/>
      <c r="S69" s="289"/>
      <c r="T69" s="289"/>
      <c r="U69" s="289"/>
      <c r="V69" s="289"/>
      <c r="W69" s="289"/>
      <c r="X69" s="289"/>
      <c r="Y69" s="289"/>
      <c r="Z69" s="289"/>
      <c r="AA69" s="289"/>
      <c r="AB69" s="289"/>
      <c r="AC69" s="289"/>
      <c r="AD69" s="289"/>
      <c r="AE69" s="289"/>
      <c r="AF69" s="289"/>
    </row>
    <row r="70" spans="1:32" x14ac:dyDescent="0.2">
      <c r="A70" s="7" t="str">
        <f ca="1">IF(AUTOEVENTO="Manual",IF(OFFSET(EVENTOS!$F$14,PLE!$B70,0)&gt;0,"F",""),IF(PLE!B70&lt;=MAX(CÁLCULO!$M$15:$M$727),"F",""))</f>
        <v>F</v>
      </c>
      <c r="B70" s="287">
        <f t="shared" ca="1" si="1"/>
        <v>56</v>
      </c>
      <c r="C70" s="649" t="str">
        <f ca="1">IF(AUTOEVENTO="Manual",IF($B70&lt;&gt;1,OFFSET(EVENTOS!$D$14,$B70,0),0),IF(B70&lt;=MAX(CÁLCULO!$M$15:$M$727),VLOOKUP($B70,CÁLCULO!$M$15:$N$727,2,FALSE),0))</f>
        <v>INSTALAÇÃO ELÉTRICA 110V - DISPOSITIVOS ELÉTRICOS</v>
      </c>
      <c r="D70" s="649"/>
      <c r="F70" s="289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289"/>
      <c r="AE70" s="289"/>
      <c r="AF70" s="289"/>
    </row>
    <row r="71" spans="1:32" x14ac:dyDescent="0.2">
      <c r="A71" s="7" t="str">
        <f ca="1">IF(AUTOEVENTO="Manual",IF(OFFSET(EVENTOS!$F$14,PLE!$B71,0)&gt;0,"F",""),IF(PLE!B71&lt;=MAX(CÁLCULO!$M$15:$M$727),"F",""))</f>
        <v>F</v>
      </c>
      <c r="B71" s="287">
        <f t="shared" ca="1" si="1"/>
        <v>57</v>
      </c>
      <c r="C71" s="649" t="str">
        <f ca="1">IF(AUTOEVENTO="Manual",IF($B71&lt;&gt;1,OFFSET(EVENTOS!$D$14,$B71,0),0),IF(B71&lt;=MAX(CÁLCULO!$M$15:$M$727),VLOOKUP($B71,CÁLCULO!$M$15:$N$727,2,FALSE),0))</f>
        <v>INSTALAÇÃO ELÉTRICA 110V - DISPOSITIVOS DE PROTEÇÃO</v>
      </c>
      <c r="D71" s="649"/>
      <c r="F71" s="289"/>
      <c r="H71" s="289"/>
      <c r="I71" s="289"/>
      <c r="J71" s="289"/>
      <c r="K71" s="289"/>
      <c r="L71" s="289"/>
      <c r="M71" s="289"/>
      <c r="N71" s="289"/>
      <c r="O71" s="289"/>
      <c r="P71" s="289"/>
      <c r="Q71" s="289"/>
      <c r="R71" s="289"/>
      <c r="S71" s="289"/>
      <c r="T71" s="289"/>
      <c r="U71" s="289"/>
      <c r="V71" s="289"/>
      <c r="W71" s="289"/>
      <c r="X71" s="289"/>
      <c r="Y71" s="289"/>
      <c r="Z71" s="289"/>
      <c r="AA71" s="289"/>
      <c r="AB71" s="289"/>
      <c r="AC71" s="289"/>
      <c r="AD71" s="289"/>
      <c r="AE71" s="289"/>
      <c r="AF71" s="289"/>
    </row>
    <row r="72" spans="1:32" x14ac:dyDescent="0.2">
      <c r="A72" s="7" t="str">
        <f ca="1">IF(AUTOEVENTO="Manual",IF(OFFSET(EVENTOS!$F$14,PLE!$B72,0)&gt;0,"F",""),IF(PLE!B72&lt;=MAX(CÁLCULO!$M$15:$M$727),"F",""))</f>
        <v>F</v>
      </c>
      <c r="B72" s="287">
        <f t="shared" ca="1" si="1"/>
        <v>58</v>
      </c>
      <c r="C72" s="649" t="str">
        <f ca="1">IF(AUTOEVENTO="Manual",IF($B72&lt;&gt;1,OFFSET(EVENTOS!$D$14,$B72,0),0),IF(B72&lt;=MAX(CÁLCULO!$M$15:$M$727),VLOOKUP($B72,CÁLCULO!$M$15:$N$727,2,FALSE),0))</f>
        <v>INSTALAÇÃO ELÉTRICA 110V - ELETROCALHAS</v>
      </c>
      <c r="D72" s="649"/>
      <c r="F72" s="289"/>
      <c r="H72" s="289"/>
      <c r="I72" s="289"/>
      <c r="J72" s="289"/>
      <c r="K72" s="289"/>
      <c r="L72" s="289"/>
      <c r="M72" s="289"/>
      <c r="N72" s="289"/>
      <c r="O72" s="289"/>
      <c r="P72" s="289"/>
      <c r="Q72" s="289"/>
      <c r="R72" s="289"/>
      <c r="S72" s="289"/>
      <c r="T72" s="289"/>
      <c r="U72" s="289"/>
      <c r="V72" s="289"/>
      <c r="W72" s="289"/>
      <c r="X72" s="289"/>
      <c r="Y72" s="289"/>
      <c r="Z72" s="289"/>
      <c r="AA72" s="289"/>
      <c r="AB72" s="289"/>
      <c r="AC72" s="289"/>
      <c r="AD72" s="289"/>
      <c r="AE72" s="289"/>
      <c r="AF72" s="289"/>
    </row>
    <row r="73" spans="1:32" x14ac:dyDescent="0.2">
      <c r="A73" s="7" t="str">
        <f ca="1">IF(AUTOEVENTO="Manual",IF(OFFSET(EVENTOS!$F$14,PLE!$B73,0)&gt;0,"F",""),IF(PLE!B73&lt;=MAX(CÁLCULO!$M$15:$M$727),"F",""))</f>
        <v>F</v>
      </c>
      <c r="B73" s="287">
        <f t="shared" ca="1" si="1"/>
        <v>59</v>
      </c>
      <c r="C73" s="649" t="str">
        <f ca="1">IF(AUTOEVENTO="Manual",IF($B73&lt;&gt;1,OFFSET(EVENTOS!$D$14,$B73,0),0),IF(B73&lt;=MAX(CÁLCULO!$M$15:$M$727),VLOOKUP($B73,CÁLCULO!$M$15:$N$727,2,FALSE),0))</f>
        <v>INSTALAÇÃO ELÉTRICA 110V - ELETRODUTOS</v>
      </c>
      <c r="D73" s="649"/>
      <c r="F73" s="289"/>
      <c r="H73" s="289"/>
      <c r="I73" s="289"/>
      <c r="J73" s="289"/>
      <c r="K73" s="289"/>
      <c r="L73" s="289"/>
      <c r="M73" s="289"/>
      <c r="N73" s="289"/>
      <c r="O73" s="289"/>
      <c r="P73" s="289"/>
      <c r="Q73" s="289"/>
      <c r="R73" s="289"/>
      <c r="S73" s="289"/>
      <c r="T73" s="289"/>
      <c r="U73" s="289"/>
      <c r="V73" s="289"/>
      <c r="W73" s="289"/>
      <c r="X73" s="289"/>
      <c r="Y73" s="289"/>
      <c r="Z73" s="289"/>
      <c r="AA73" s="289"/>
      <c r="AB73" s="289"/>
      <c r="AC73" s="289"/>
      <c r="AD73" s="289"/>
      <c r="AE73" s="289"/>
      <c r="AF73" s="289"/>
    </row>
    <row r="74" spans="1:32" x14ac:dyDescent="0.2">
      <c r="A74" s="7" t="str">
        <f ca="1">IF(AUTOEVENTO="Manual",IF(OFFSET(EVENTOS!$F$14,PLE!$B74,0)&gt;0,"F",""),IF(PLE!B74&lt;=MAX(CÁLCULO!$M$15:$M$727),"F",""))</f>
        <v>F</v>
      </c>
      <c r="B74" s="287">
        <f t="shared" ca="1" si="1"/>
        <v>60</v>
      </c>
      <c r="C74" s="649" t="str">
        <f ca="1">IF(AUTOEVENTO="Manual",IF($B74&lt;&gt;1,OFFSET(EVENTOS!$D$14,$B74,0),0),IF(B74&lt;=MAX(CÁLCULO!$M$15:$M$727),VLOOKUP($B74,CÁLCULO!$M$15:$N$727,2,FALSE),0))</f>
        <v>INSTALAÇÃO ELÉTRICA 110V - PERFILADOS</v>
      </c>
      <c r="D74" s="649"/>
      <c r="F74" s="289"/>
      <c r="H74" s="289"/>
      <c r="I74" s="289"/>
      <c r="J74" s="289"/>
      <c r="K74" s="289"/>
      <c r="L74" s="289"/>
      <c r="M74" s="289"/>
      <c r="N74" s="289"/>
      <c r="O74" s="289"/>
      <c r="P74" s="289"/>
      <c r="Q74" s="289"/>
      <c r="R74" s="289"/>
      <c r="S74" s="289"/>
      <c r="T74" s="289"/>
      <c r="U74" s="289"/>
      <c r="V74" s="289"/>
      <c r="W74" s="289"/>
      <c r="X74" s="289"/>
      <c r="Y74" s="289"/>
      <c r="Z74" s="289"/>
      <c r="AA74" s="289"/>
      <c r="AB74" s="289"/>
      <c r="AC74" s="289"/>
      <c r="AD74" s="289"/>
      <c r="AE74" s="289"/>
      <c r="AF74" s="289"/>
    </row>
    <row r="75" spans="1:32" x14ac:dyDescent="0.2">
      <c r="A75" s="7" t="str">
        <f ca="1">IF(AUTOEVENTO="Manual",IF(OFFSET(EVENTOS!$F$14,PLE!$B75,0)&gt;0,"F",""),IF(PLE!B75&lt;=MAX(CÁLCULO!$M$15:$M$727),"F",""))</f>
        <v>F</v>
      </c>
      <c r="B75" s="287">
        <f t="shared" ca="1" si="1"/>
        <v>61</v>
      </c>
      <c r="C75" s="649" t="str">
        <f ca="1">IF(AUTOEVENTO="Manual",IF($B75&lt;&gt;1,OFFSET(EVENTOS!$D$14,$B75,0),0),IF(B75&lt;=MAX(CÁLCULO!$M$15:$M$727),VLOOKUP($B75,CÁLCULO!$M$15:$N$727,2,FALSE),0))</f>
        <v>INSTALAÇÃO ELÉTRICA 110V - ILUMINAÇÃO</v>
      </c>
      <c r="D75" s="649"/>
      <c r="F75" s="289"/>
      <c r="H75" s="289"/>
      <c r="I75" s="289"/>
      <c r="J75" s="289"/>
      <c r="K75" s="289"/>
      <c r="L75" s="289"/>
      <c r="M75" s="289"/>
      <c r="N75" s="289"/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289"/>
      <c r="AA75" s="289"/>
      <c r="AB75" s="289"/>
      <c r="AC75" s="289"/>
      <c r="AD75" s="289"/>
      <c r="AE75" s="289"/>
      <c r="AF75" s="289"/>
    </row>
    <row r="76" spans="1:32" x14ac:dyDescent="0.2">
      <c r="A76" s="7" t="str">
        <f ca="1">IF(AUTOEVENTO="Manual",IF(OFFSET(EVENTOS!$F$14,PLE!$B76,0)&gt;0,"F",""),IF(PLE!B76&lt;=MAX(CÁLCULO!$M$15:$M$727),"F",""))</f>
        <v>F</v>
      </c>
      <c r="B76" s="287">
        <f t="shared" ca="1" si="1"/>
        <v>62</v>
      </c>
      <c r="C76" s="649" t="str">
        <f ca="1">IF(AUTOEVENTO="Manual",IF($B76&lt;&gt;1,OFFSET(EVENTOS!$D$14,$B76,0),0),IF(B76&lt;=MAX(CÁLCULO!$M$15:$M$727),VLOOKUP($B76,CÁLCULO!$M$15:$N$727,2,FALSE),0))</f>
        <v>INSTALAÇÃO ELÉTRICA 110V - QUADROS</v>
      </c>
      <c r="D76" s="649"/>
      <c r="F76" s="289"/>
      <c r="H76" s="289"/>
      <c r="I76" s="289"/>
      <c r="J76" s="289"/>
      <c r="K76" s="289"/>
      <c r="L76" s="289"/>
      <c r="M76" s="289"/>
      <c r="N76" s="289"/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89"/>
      <c r="AD76" s="289"/>
      <c r="AE76" s="289"/>
      <c r="AF76" s="289"/>
    </row>
    <row r="77" spans="1:32" x14ac:dyDescent="0.2">
      <c r="A77" s="7" t="str">
        <f ca="1">IF(AUTOEVENTO="Manual",IF(OFFSET(EVENTOS!$F$14,PLE!$B77,0)&gt;0,"F",""),IF(PLE!B77&lt;=MAX(CÁLCULO!$M$15:$M$727),"F",""))</f>
        <v>F</v>
      </c>
      <c r="B77" s="287">
        <f t="shared" ca="1" si="1"/>
        <v>63</v>
      </c>
      <c r="C77" s="649" t="str">
        <f ca="1">IF(AUTOEVENTO="Manual",IF($B77&lt;&gt;1,OFFSET(EVENTOS!$D$14,$B77,0),0),IF(B77&lt;=MAX(CÁLCULO!$M$15:$M$727),VLOOKUP($B77,CÁLCULO!$M$15:$N$727,2,FALSE),0))</f>
        <v>INSTALAÇÕES DE CLIMATIZAÇÃO - DUTOS</v>
      </c>
      <c r="D77" s="649"/>
      <c r="F77" s="289"/>
      <c r="H77" s="289"/>
      <c r="I77" s="289"/>
      <c r="J77" s="289"/>
      <c r="K77" s="289"/>
      <c r="L77" s="289"/>
      <c r="M77" s="289"/>
      <c r="N77" s="289"/>
      <c r="O77" s="289"/>
      <c r="P77" s="289"/>
      <c r="Q77" s="289"/>
      <c r="R77" s="289"/>
      <c r="S77" s="289"/>
      <c r="T77" s="289"/>
      <c r="U77" s="289"/>
      <c r="V77" s="289"/>
      <c r="W77" s="289"/>
      <c r="X77" s="289"/>
      <c r="Y77" s="289"/>
      <c r="Z77" s="289"/>
      <c r="AA77" s="289"/>
      <c r="AB77" s="289"/>
      <c r="AC77" s="289"/>
      <c r="AD77" s="289"/>
      <c r="AE77" s="289"/>
      <c r="AF77" s="289"/>
    </row>
    <row r="78" spans="1:32" x14ac:dyDescent="0.2">
      <c r="A78" s="7" t="str">
        <f ca="1">IF(AUTOEVENTO="Manual",IF(OFFSET(EVENTOS!$F$14,PLE!$B78,0)&gt;0,"F",""),IF(PLE!B78&lt;=MAX(CÁLCULO!$M$15:$M$727),"F",""))</f>
        <v>F</v>
      </c>
      <c r="B78" s="287">
        <f t="shared" ca="1" si="1"/>
        <v>64</v>
      </c>
      <c r="C78" s="649" t="str">
        <f ca="1">IF(AUTOEVENTO="Manual",IF($B78&lt;&gt;1,OFFSET(EVENTOS!$D$14,$B78,0),0),IF(B78&lt;=MAX(CÁLCULO!$M$15:$M$727),VLOOKUP($B78,CÁLCULO!$M$15:$N$727,2,FALSE),0))</f>
        <v>INSTALAÇÕES DE CLIMATIZAÇÃO - DRENO</v>
      </c>
      <c r="D78" s="649"/>
      <c r="F78" s="289"/>
      <c r="H78" s="289"/>
      <c r="I78" s="289"/>
      <c r="J78" s="289"/>
      <c r="K78" s="289"/>
      <c r="L78" s="289"/>
      <c r="M78" s="289"/>
      <c r="N78" s="289"/>
      <c r="O78" s="289"/>
      <c r="P78" s="289"/>
      <c r="Q78" s="289"/>
      <c r="R78" s="289"/>
      <c r="S78" s="289"/>
      <c r="T78" s="289"/>
      <c r="U78" s="289"/>
      <c r="V78" s="289"/>
      <c r="W78" s="289"/>
      <c r="X78" s="289"/>
      <c r="Y78" s="289"/>
      <c r="Z78" s="289"/>
      <c r="AA78" s="289"/>
      <c r="AB78" s="289"/>
      <c r="AC78" s="289"/>
      <c r="AD78" s="289"/>
      <c r="AE78" s="289"/>
      <c r="AF78" s="289"/>
    </row>
    <row r="79" spans="1:32" x14ac:dyDescent="0.2">
      <c r="A79" s="7" t="str">
        <f ca="1">IF(AUTOEVENTO="Manual",IF(OFFSET(EVENTOS!$F$14,PLE!$B79,0)&gt;0,"F",""),IF(PLE!B79&lt;=MAX(CÁLCULO!$M$15:$M$727),"F",""))</f>
        <v>F</v>
      </c>
      <c r="B79" s="287">
        <f t="shared" ca="1" si="1"/>
        <v>65</v>
      </c>
      <c r="C79" s="649" t="str">
        <f ca="1">IF(AUTOEVENTO="Manual",IF($B79&lt;&gt;1,OFFSET(EVENTOS!$D$14,$B79,0),0),IF(B79&lt;=MAX(CÁLCULO!$M$15:$M$727),VLOOKUP($B79,CÁLCULO!$M$15:$N$727,2,FALSE),0))</f>
        <v>INSTALAÇÕES DE CABEAMENTO ESTRUTURADO - ACESSÓRIOS DE CABEAMENTO</v>
      </c>
      <c r="D79" s="649"/>
      <c r="F79" s="289"/>
      <c r="H79" s="289"/>
      <c r="I79" s="289"/>
      <c r="J79" s="289"/>
      <c r="K79" s="289"/>
      <c r="L79" s="289"/>
      <c r="M79" s="289"/>
      <c r="N79" s="289"/>
      <c r="O79" s="289"/>
      <c r="P79" s="289"/>
      <c r="Q79" s="289"/>
      <c r="R79" s="289"/>
      <c r="S79" s="289"/>
      <c r="T79" s="289"/>
      <c r="U79" s="289"/>
      <c r="V79" s="289"/>
      <c r="W79" s="289"/>
      <c r="X79" s="289"/>
      <c r="Y79" s="289"/>
      <c r="Z79" s="289"/>
      <c r="AA79" s="289"/>
      <c r="AB79" s="289"/>
      <c r="AC79" s="289"/>
      <c r="AD79" s="289"/>
      <c r="AE79" s="289"/>
      <c r="AF79" s="289"/>
    </row>
    <row r="80" spans="1:32" x14ac:dyDescent="0.2">
      <c r="A80" s="7" t="str">
        <f ca="1">IF(AUTOEVENTO="Manual",IF(OFFSET(EVENTOS!$F$14,PLE!$B80,0)&gt;0,"F",""),IF(PLE!B80&lt;=MAX(CÁLCULO!$M$15:$M$727),"F",""))</f>
        <v>F</v>
      </c>
      <c r="B80" s="287">
        <f t="shared" ref="B80:B96" ca="1" si="2">OFFSET(B80,-1,0)+1</f>
        <v>66</v>
      </c>
      <c r="C80" s="649" t="str">
        <f ca="1">IF(AUTOEVENTO="Manual",IF($B80&lt;&gt;1,OFFSET(EVENTOS!$D$14,$B80,0),0),IF(B80&lt;=MAX(CÁLCULO!$M$15:$M$727),VLOOKUP($B80,CÁLCULO!$M$15:$N$727,2,FALSE),0))</f>
        <v>INSTALAÇÕES DE CABEAMENTO ESTRUTURADO - ACESSÓRIOS</v>
      </c>
      <c r="D80" s="649"/>
      <c r="F80" s="289"/>
      <c r="H80" s="289"/>
      <c r="I80" s="289"/>
      <c r="J80" s="289"/>
      <c r="K80" s="289"/>
      <c r="L80" s="289"/>
      <c r="M80" s="289"/>
      <c r="N80" s="289"/>
      <c r="O80" s="289"/>
      <c r="P80" s="289"/>
      <c r="Q80" s="289"/>
      <c r="R80" s="289"/>
      <c r="S80" s="289"/>
      <c r="T80" s="289"/>
      <c r="U80" s="289"/>
      <c r="V80" s="289"/>
      <c r="W80" s="289"/>
      <c r="X80" s="289"/>
      <c r="Y80" s="289"/>
      <c r="Z80" s="289"/>
      <c r="AA80" s="289"/>
      <c r="AB80" s="289"/>
      <c r="AC80" s="289"/>
      <c r="AD80" s="289"/>
      <c r="AE80" s="289"/>
      <c r="AF80" s="289"/>
    </row>
    <row r="81" spans="1:32" x14ac:dyDescent="0.2">
      <c r="A81" s="7" t="str">
        <f ca="1">IF(AUTOEVENTO="Manual",IF(OFFSET(EVENTOS!$F$14,PLE!$B81,0)&gt;0,"F",""),IF(PLE!B81&lt;=MAX(CÁLCULO!$M$15:$M$727),"F",""))</f>
        <v>F</v>
      </c>
      <c r="B81" s="287">
        <f t="shared" ca="1" si="2"/>
        <v>67</v>
      </c>
      <c r="C81" s="649" t="str">
        <f ca="1">IF(AUTOEVENTO="Manual",IF($B81&lt;&gt;1,OFFSET(EVENTOS!$D$14,$B81,0),0),IF(B81&lt;=MAX(CÁLCULO!$M$15:$M$727),VLOOKUP($B81,CÁLCULO!$M$15:$N$727,2,FALSE),0))</f>
        <v>INSTALAÇÕES DE CABEAMENTO ESTRUTURADO - CAIXAS E QUADROS</v>
      </c>
      <c r="D81" s="649"/>
      <c r="F81" s="289"/>
      <c r="H81" s="289"/>
      <c r="I81" s="289"/>
      <c r="J81" s="289"/>
      <c r="K81" s="289"/>
      <c r="L81" s="289"/>
      <c r="M81" s="289"/>
      <c r="N81" s="289"/>
      <c r="O81" s="289"/>
      <c r="P81" s="289"/>
      <c r="Q81" s="289"/>
      <c r="R81" s="289"/>
      <c r="S81" s="289"/>
      <c r="T81" s="289"/>
      <c r="U81" s="289"/>
      <c r="V81" s="289"/>
      <c r="W81" s="289"/>
      <c r="X81" s="289"/>
      <c r="Y81" s="289"/>
      <c r="Z81" s="289"/>
      <c r="AA81" s="289"/>
      <c r="AB81" s="289"/>
      <c r="AC81" s="289"/>
      <c r="AD81" s="289"/>
      <c r="AE81" s="289"/>
      <c r="AF81" s="289"/>
    </row>
    <row r="82" spans="1:32" x14ac:dyDescent="0.2">
      <c r="A82" s="7" t="str">
        <f ca="1">IF(AUTOEVENTO="Manual",IF(OFFSET(EVENTOS!$F$14,PLE!$B82,0)&gt;0,"F",""),IF(PLE!B82&lt;=MAX(CÁLCULO!$M$15:$M$727),"F",""))</f>
        <v>F</v>
      </c>
      <c r="B82" s="287">
        <f t="shared" ca="1" si="2"/>
        <v>68</v>
      </c>
      <c r="C82" s="649" t="str">
        <f ca="1">IF(AUTOEVENTO="Manual",IF($B82&lt;&gt;1,OFFSET(EVENTOS!$D$14,$B82,0),0),IF(B82&lt;=MAX(CÁLCULO!$M$15:$M$727),VLOOKUP($B82,CÁLCULO!$M$15:$N$727,2,FALSE),0))</f>
        <v>INSTALAÇÕES DE CABEAMENTO ESTRUTURADO - DISPOSITIVOS</v>
      </c>
      <c r="D82" s="649"/>
      <c r="F82" s="289"/>
      <c r="H82" s="289"/>
      <c r="I82" s="289"/>
      <c r="J82" s="289"/>
      <c r="K82" s="289"/>
      <c r="L82" s="289"/>
      <c r="M82" s="289"/>
      <c r="N82" s="289"/>
      <c r="O82" s="289"/>
      <c r="P82" s="289"/>
      <c r="Q82" s="289"/>
      <c r="R82" s="289"/>
      <c r="S82" s="289"/>
      <c r="T82" s="289"/>
      <c r="U82" s="289"/>
      <c r="V82" s="289"/>
      <c r="W82" s="289"/>
      <c r="X82" s="289"/>
      <c r="Y82" s="289"/>
      <c r="Z82" s="289"/>
      <c r="AA82" s="289"/>
      <c r="AB82" s="289"/>
      <c r="AC82" s="289"/>
      <c r="AD82" s="289"/>
      <c r="AE82" s="289"/>
      <c r="AF82" s="289"/>
    </row>
    <row r="83" spans="1:32" x14ac:dyDescent="0.2">
      <c r="A83" s="7" t="str">
        <f ca="1">IF(AUTOEVENTO="Manual",IF(OFFSET(EVENTOS!$F$14,PLE!$B83,0)&gt;0,"F",""),IF(PLE!B83&lt;=MAX(CÁLCULO!$M$15:$M$727),"F",""))</f>
        <v>F</v>
      </c>
      <c r="B83" s="287">
        <f t="shared" ca="1" si="2"/>
        <v>69</v>
      </c>
      <c r="C83" s="649" t="str">
        <f ca="1">IF(AUTOEVENTO="Manual",IF($B83&lt;&gt;1,OFFSET(EVENTOS!$D$14,$B83,0),0),IF(B83&lt;=MAX(CÁLCULO!$M$15:$M$727),VLOOKUP($B83,CÁLCULO!$M$15:$N$727,2,FALSE),0))</f>
        <v>INSTALAÇÕES DE CABEAMENTO ESTRUTURADO - ELETROCALHA E ELETRODUTOS</v>
      </c>
      <c r="D83" s="649"/>
      <c r="F83" s="289"/>
      <c r="H83" s="289"/>
      <c r="I83" s="289"/>
      <c r="J83" s="289"/>
      <c r="K83" s="289"/>
      <c r="L83" s="289"/>
      <c r="M83" s="289"/>
      <c r="N83" s="289"/>
      <c r="O83" s="289"/>
      <c r="P83" s="289"/>
      <c r="Q83" s="289"/>
      <c r="R83" s="289"/>
      <c r="S83" s="289"/>
      <c r="T83" s="289"/>
      <c r="U83" s="289"/>
      <c r="V83" s="289"/>
      <c r="W83" s="289"/>
      <c r="X83" s="289"/>
      <c r="Y83" s="289"/>
      <c r="Z83" s="289"/>
      <c r="AA83" s="289"/>
      <c r="AB83" s="289"/>
      <c r="AC83" s="289"/>
      <c r="AD83" s="289"/>
      <c r="AE83" s="289"/>
      <c r="AF83" s="289"/>
    </row>
    <row r="84" spans="1:32" x14ac:dyDescent="0.2">
      <c r="A84" s="7" t="str">
        <f ca="1">IF(AUTOEVENTO="Manual",IF(OFFSET(EVENTOS!$F$14,PLE!$B84,0)&gt;0,"F",""),IF(PLE!B84&lt;=MAX(CÁLCULO!$M$15:$M$727),"F",""))</f>
        <v>F</v>
      </c>
      <c r="B84" s="287">
        <f t="shared" ca="1" si="2"/>
        <v>70</v>
      </c>
      <c r="C84" s="649" t="str">
        <f ca="1">IF(AUTOEVENTO="Manual",IF($B84&lt;&gt;1,OFFSET(EVENTOS!$D$14,$B84,0),0),IF(B84&lt;=MAX(CÁLCULO!$M$15:$M$727),VLOOKUP($B84,CÁLCULO!$M$15:$N$727,2,FALSE),0))</f>
        <v>INSTALAÇÕES DE CABEAMENTO ESTRUTURADO - CABEAMENTO</v>
      </c>
      <c r="D84" s="649"/>
      <c r="F84" s="289"/>
      <c r="H84" s="289"/>
      <c r="I84" s="289"/>
      <c r="J84" s="289"/>
      <c r="K84" s="289"/>
      <c r="L84" s="289"/>
      <c r="M84" s="289"/>
      <c r="N84" s="289"/>
      <c r="O84" s="289"/>
      <c r="P84" s="289"/>
      <c r="Q84" s="289"/>
      <c r="R84" s="289"/>
      <c r="S84" s="289"/>
      <c r="T84" s="289"/>
      <c r="U84" s="289"/>
      <c r="V84" s="289"/>
      <c r="W84" s="289"/>
      <c r="X84" s="289"/>
      <c r="Y84" s="289"/>
      <c r="Z84" s="289"/>
      <c r="AA84" s="289"/>
      <c r="AB84" s="289"/>
      <c r="AC84" s="289"/>
      <c r="AD84" s="289"/>
      <c r="AE84" s="289"/>
      <c r="AF84" s="289"/>
    </row>
    <row r="85" spans="1:32" x14ac:dyDescent="0.2">
      <c r="A85" s="7" t="str">
        <f ca="1">IF(AUTOEVENTO="Manual",IF(OFFSET(EVENTOS!$F$14,PLE!$B85,0)&gt;0,"F",""),IF(PLE!B85&lt;=MAX(CÁLCULO!$M$15:$M$727),"F",""))</f>
        <v>F</v>
      </c>
      <c r="B85" s="287">
        <f t="shared" ca="1" si="2"/>
        <v>71</v>
      </c>
      <c r="C85" s="649" t="str">
        <f ca="1">IF(AUTOEVENTO="Manual",IF($B85&lt;&gt;1,OFFSET(EVENTOS!$D$14,$B85,0),0),IF(B85&lt;=MAX(CÁLCULO!$M$15:$M$727),VLOOKUP($B85,CÁLCULO!$M$15:$N$727,2,FALSE),0))</f>
        <v>SISTEMA DE EXAUSTÃO MECÂNICA</v>
      </c>
      <c r="D85" s="649"/>
      <c r="F85" s="289"/>
      <c r="H85" s="289"/>
      <c r="I85" s="289"/>
      <c r="J85" s="289"/>
      <c r="K85" s="289"/>
      <c r="L85" s="289"/>
      <c r="M85" s="289"/>
      <c r="N85" s="289"/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89"/>
      <c r="AD85" s="289"/>
      <c r="AE85" s="289"/>
      <c r="AF85" s="289"/>
    </row>
    <row r="86" spans="1:32" x14ac:dyDescent="0.2">
      <c r="A86" s="7" t="str">
        <f ca="1">IF(AUTOEVENTO="Manual",IF(OFFSET(EVENTOS!$F$14,PLE!$B86,0)&gt;0,"F",""),IF(PLE!B86&lt;=MAX(CÁLCULO!$M$15:$M$727),"F",""))</f>
        <v>F</v>
      </c>
      <c r="B86" s="287">
        <f t="shared" ca="1" si="2"/>
        <v>72</v>
      </c>
      <c r="C86" s="649" t="str">
        <f ca="1">IF(AUTOEVENTO="Manual",IF($B86&lt;&gt;1,OFFSET(EVENTOS!$D$14,$B86,0),0),IF(B86&lt;=MAX(CÁLCULO!$M$15:$M$727),VLOOKUP($B86,CÁLCULO!$M$15:$N$727,2,FALSE),0))</f>
        <v>SISTEMA DE PROTEÇÃO CONTRA DESCARGAS ATMOSFÉRICAS (SPDA)</v>
      </c>
      <c r="D86" s="649"/>
      <c r="F86" s="289"/>
      <c r="H86" s="289"/>
      <c r="I86" s="289"/>
      <c r="J86" s="289"/>
      <c r="K86" s="289"/>
      <c r="L86" s="289"/>
      <c r="M86" s="289"/>
      <c r="N86" s="289"/>
      <c r="O86" s="289"/>
      <c r="P86" s="289"/>
      <c r="Q86" s="289"/>
      <c r="R86" s="289"/>
      <c r="S86" s="289"/>
      <c r="T86" s="289"/>
      <c r="U86" s="289"/>
      <c r="V86" s="289"/>
      <c r="W86" s="289"/>
      <c r="X86" s="289"/>
      <c r="Y86" s="289"/>
      <c r="Z86" s="289"/>
      <c r="AA86" s="289"/>
      <c r="AB86" s="289"/>
      <c r="AC86" s="289"/>
      <c r="AD86" s="289"/>
      <c r="AE86" s="289"/>
      <c r="AF86" s="289"/>
    </row>
    <row r="87" spans="1:32" x14ac:dyDescent="0.2">
      <c r="A87" s="7" t="str">
        <f ca="1">IF(AUTOEVENTO="Manual",IF(OFFSET(EVENTOS!$F$14,PLE!$B87,0)&gt;0,"F",""),IF(PLE!B87&lt;=MAX(CÁLCULO!$M$15:$M$727),"F",""))</f>
        <v>F</v>
      </c>
      <c r="B87" s="287">
        <f t="shared" ca="1" si="2"/>
        <v>73</v>
      </c>
      <c r="C87" s="649" t="str">
        <f ca="1">IF(AUTOEVENTO="Manual",IF($B87&lt;&gt;1,OFFSET(EVENTOS!$D$14,$B87,0),0),IF(B87&lt;=MAX(CÁLCULO!$M$15:$M$727),VLOOKUP($B87,CÁLCULO!$M$15:$N$727,2,FALSE),0))</f>
        <v>SERVIÇOS COMPLEMENTARES</v>
      </c>
      <c r="D87" s="649"/>
      <c r="F87" s="289"/>
      <c r="H87" s="289"/>
      <c r="I87" s="289"/>
      <c r="J87" s="289"/>
      <c r="K87" s="289"/>
      <c r="L87" s="289"/>
      <c r="M87" s="289"/>
      <c r="N87" s="289"/>
      <c r="O87" s="289"/>
      <c r="P87" s="289"/>
      <c r="Q87" s="289"/>
      <c r="R87" s="289"/>
      <c r="S87" s="289"/>
      <c r="T87" s="289"/>
      <c r="U87" s="289"/>
      <c r="V87" s="289"/>
      <c r="W87" s="289"/>
      <c r="X87" s="289"/>
      <c r="Y87" s="289"/>
      <c r="Z87" s="289"/>
      <c r="AA87" s="289"/>
      <c r="AB87" s="289"/>
      <c r="AC87" s="289"/>
      <c r="AD87" s="289"/>
      <c r="AE87" s="289"/>
      <c r="AF87" s="289"/>
    </row>
    <row r="88" spans="1:32" x14ac:dyDescent="0.2">
      <c r="A88" s="7" t="str">
        <f ca="1">IF(AUTOEVENTO="Manual",IF(OFFSET(EVENTOS!$F$14,PLE!$B88,0)&gt;0,"F",""),IF(PLE!B88&lt;=MAX(CÁLCULO!$M$15:$M$727),"F",""))</f>
        <v>F</v>
      </c>
      <c r="B88" s="287">
        <f t="shared" ca="1" si="2"/>
        <v>74</v>
      </c>
      <c r="C88" s="649" t="str">
        <f ca="1">IF(AUTOEVENTO="Manual",IF($B88&lt;&gt;1,OFFSET(EVENTOS!$D$14,$B88,0),0),IF(B88&lt;=MAX(CÁLCULO!$M$15:$M$727),VLOOKUP($B88,CÁLCULO!$M$15:$N$727,2,FALSE),0))</f>
        <v>MURO DE FECHAMENTO - MOVIMENTO DE TERRA PARA FUNDAÇÕES</v>
      </c>
      <c r="D88" s="649"/>
      <c r="F88" s="289"/>
      <c r="H88" s="289"/>
      <c r="I88" s="289"/>
      <c r="J88" s="289"/>
      <c r="K88" s="289"/>
      <c r="L88" s="289"/>
      <c r="M88" s="289"/>
      <c r="N88" s="289"/>
      <c r="O88" s="289"/>
      <c r="P88" s="289"/>
      <c r="Q88" s="289"/>
      <c r="R88" s="289"/>
      <c r="S88" s="289"/>
      <c r="T88" s="289"/>
      <c r="U88" s="289"/>
      <c r="V88" s="289"/>
      <c r="W88" s="289"/>
      <c r="X88" s="289"/>
      <c r="Y88" s="289"/>
      <c r="Z88" s="289"/>
      <c r="AA88" s="289"/>
      <c r="AB88" s="289"/>
      <c r="AC88" s="289"/>
      <c r="AD88" s="289"/>
      <c r="AE88" s="289"/>
      <c r="AF88" s="289"/>
    </row>
    <row r="89" spans="1:32" x14ac:dyDescent="0.2">
      <c r="A89" s="7" t="str">
        <f ca="1">IF(AUTOEVENTO="Manual",IF(OFFSET(EVENTOS!$F$14,PLE!$B89,0)&gt;0,"F",""),IF(PLE!B89&lt;=MAX(CÁLCULO!$M$15:$M$727),"F",""))</f>
        <v>F</v>
      </c>
      <c r="B89" s="287">
        <f t="shared" ca="1" si="2"/>
        <v>75</v>
      </c>
      <c r="C89" s="649" t="str">
        <f ca="1">IF(AUTOEVENTO="Manual",IF($B89&lt;&gt;1,OFFSET(EVENTOS!$D$14,$B89,0),0),IF(B89&lt;=MAX(CÁLCULO!$M$15:$M$727),VLOOKUP($B89,CÁLCULO!$M$15:$N$727,2,FALSE),0))</f>
        <v>MURO DE FECHAMENTO - CONCRETO ARMADO PARA SAPATAS E BLOCOS</v>
      </c>
      <c r="D89" s="649"/>
      <c r="F89" s="289"/>
      <c r="H89" s="289"/>
      <c r="I89" s="289"/>
      <c r="J89" s="289"/>
      <c r="K89" s="289"/>
      <c r="L89" s="289"/>
      <c r="M89" s="289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89"/>
      <c r="AD89" s="289"/>
      <c r="AE89" s="289"/>
      <c r="AF89" s="289"/>
    </row>
    <row r="90" spans="1:32" x14ac:dyDescent="0.2">
      <c r="A90" s="7" t="str">
        <f ca="1">IF(AUTOEVENTO="Manual",IF(OFFSET(EVENTOS!$F$14,PLE!$B90,0)&gt;0,"F",""),IF(PLE!B90&lt;=MAX(CÁLCULO!$M$15:$M$727),"F",""))</f>
        <v>F</v>
      </c>
      <c r="B90" s="287">
        <f t="shared" ca="1" si="2"/>
        <v>76</v>
      </c>
      <c r="C90" s="649" t="str">
        <f ca="1">IF(AUTOEVENTO="Manual",IF($B90&lt;&gt;1,OFFSET(EVENTOS!$D$14,$B90,0),0),IF(B90&lt;=MAX(CÁLCULO!$M$15:$M$727),VLOOKUP($B90,CÁLCULO!$M$15:$N$727,2,FALSE),0))</f>
        <v>MURO DE FECHAMENTO - CONCRETO ARMADO PARA PILARES</v>
      </c>
      <c r="D90" s="649"/>
      <c r="F90" s="289"/>
      <c r="H90" s="289"/>
      <c r="I90" s="289"/>
      <c r="J90" s="289"/>
      <c r="K90" s="289"/>
      <c r="L90" s="289"/>
      <c r="M90" s="289"/>
      <c r="N90" s="289"/>
      <c r="O90" s="289"/>
      <c r="P90" s="289"/>
      <c r="Q90" s="289"/>
      <c r="R90" s="289"/>
      <c r="S90" s="289"/>
      <c r="T90" s="289"/>
      <c r="U90" s="289"/>
      <c r="V90" s="289"/>
      <c r="W90" s="289"/>
      <c r="X90" s="289"/>
      <c r="Y90" s="289"/>
      <c r="Z90" s="289"/>
      <c r="AA90" s="289"/>
      <c r="AB90" s="289"/>
      <c r="AC90" s="289"/>
      <c r="AD90" s="289"/>
      <c r="AE90" s="289"/>
      <c r="AF90" s="289"/>
    </row>
    <row r="91" spans="1:32" x14ac:dyDescent="0.2">
      <c r="A91" s="7" t="str">
        <f ca="1">IF(AUTOEVENTO="Manual",IF(OFFSET(EVENTOS!$F$14,PLE!$B91,0)&gt;0,"F",""),IF(PLE!B91&lt;=MAX(CÁLCULO!$M$15:$M$727),"F",""))</f>
        <v>F</v>
      </c>
      <c r="B91" s="287">
        <f t="shared" ca="1" si="2"/>
        <v>77</v>
      </c>
      <c r="C91" s="649" t="str">
        <f ca="1">IF(AUTOEVENTO="Manual",IF($B91&lt;&gt;1,OFFSET(EVENTOS!$D$14,$B91,0),0),IF(B91&lt;=MAX(CÁLCULO!$M$15:$M$727),VLOOKUP($B91,CÁLCULO!$M$15:$N$727,2,FALSE),0))</f>
        <v>MURO DE FECHAMENTO - CONCRETO ARMADO PARA VIGAS INCLUINDO BALDRAME</v>
      </c>
      <c r="D91" s="649"/>
      <c r="F91" s="289"/>
      <c r="H91" s="289"/>
      <c r="I91" s="289"/>
      <c r="J91" s="289"/>
      <c r="K91" s="289"/>
      <c r="L91" s="289"/>
      <c r="M91" s="289"/>
      <c r="N91" s="289"/>
      <c r="O91" s="289"/>
      <c r="P91" s="289"/>
      <c r="Q91" s="289"/>
      <c r="R91" s="289"/>
      <c r="S91" s="289"/>
      <c r="T91" s="289"/>
      <c r="U91" s="289"/>
      <c r="V91" s="289"/>
      <c r="W91" s="289"/>
      <c r="X91" s="289"/>
      <c r="Y91" s="289"/>
      <c r="Z91" s="289"/>
      <c r="AA91" s="289"/>
      <c r="AB91" s="289"/>
      <c r="AC91" s="289"/>
      <c r="AD91" s="289"/>
      <c r="AE91" s="289"/>
      <c r="AF91" s="289"/>
    </row>
    <row r="92" spans="1:32" x14ac:dyDescent="0.2">
      <c r="A92" s="7" t="str">
        <f ca="1">IF(AUTOEVENTO="Manual",IF(OFFSET(EVENTOS!$F$14,PLE!$B92,0)&gt;0,"F",""),IF(PLE!B92&lt;=MAX(CÁLCULO!$M$15:$M$727),"F",""))</f>
        <v>F</v>
      </c>
      <c r="B92" s="287">
        <f t="shared" ca="1" si="2"/>
        <v>78</v>
      </c>
      <c r="C92" s="649" t="str">
        <f ca="1">IF(AUTOEVENTO="Manual",IF($B92&lt;&gt;1,OFFSET(EVENTOS!$D$14,$B92,0),0),IF(B92&lt;=MAX(CÁLCULO!$M$15:$M$727),VLOOKUP($B92,CÁLCULO!$M$15:$N$727,2,FALSE),0))</f>
        <v>MURO DE FECHAMENTO - IMPERMEABILIZAÇÃO</v>
      </c>
      <c r="D92" s="649"/>
      <c r="F92" s="289"/>
      <c r="H92" s="289"/>
      <c r="I92" s="289"/>
      <c r="J92" s="289"/>
      <c r="K92" s="289"/>
      <c r="L92" s="289"/>
      <c r="M92" s="289"/>
      <c r="N92" s="289"/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</row>
    <row r="93" spans="1:32" x14ac:dyDescent="0.2">
      <c r="A93" s="7" t="str">
        <f ca="1">IF(AUTOEVENTO="Manual",IF(OFFSET(EVENTOS!$F$14,PLE!$B93,0)&gt;0,"F",""),IF(PLE!B93&lt;=MAX(CÁLCULO!$M$15:$M$727),"F",""))</f>
        <v>F</v>
      </c>
      <c r="B93" s="287">
        <f t="shared" ca="1" si="2"/>
        <v>79</v>
      </c>
      <c r="C93" s="649" t="str">
        <f ca="1">IF(AUTOEVENTO="Manual",IF($B93&lt;&gt;1,OFFSET(EVENTOS!$D$14,$B93,0),0),IF(B93&lt;=MAX(CÁLCULO!$M$15:$M$727),VLOOKUP($B93,CÁLCULO!$M$15:$N$727,2,FALSE),0))</f>
        <v>MURO DE FECHAMENTO - ALVENARIA DE VEDAÇÃO</v>
      </c>
      <c r="D93" s="649"/>
      <c r="F93" s="289"/>
      <c r="H93" s="289"/>
      <c r="I93" s="289"/>
      <c r="J93" s="289"/>
      <c r="K93" s="289"/>
      <c r="L93" s="289"/>
      <c r="M93" s="289"/>
      <c r="N93" s="289"/>
      <c r="O93" s="289"/>
      <c r="P93" s="289"/>
      <c r="Q93" s="289"/>
      <c r="R93" s="289"/>
      <c r="S93" s="289"/>
      <c r="T93" s="289"/>
      <c r="U93" s="289"/>
      <c r="V93" s="289"/>
      <c r="W93" s="289"/>
      <c r="X93" s="289"/>
      <c r="Y93" s="289"/>
      <c r="Z93" s="289"/>
      <c r="AA93" s="289"/>
      <c r="AB93" s="289"/>
      <c r="AC93" s="289"/>
      <c r="AD93" s="289"/>
      <c r="AE93" s="289"/>
      <c r="AF93" s="289"/>
    </row>
    <row r="94" spans="1:32" x14ac:dyDescent="0.2">
      <c r="A94" s="7" t="str">
        <f ca="1">IF(AUTOEVENTO="Manual",IF(OFFSET(EVENTOS!$F$14,PLE!$B94,0)&gt;0,"F",""),IF(PLE!B94&lt;=MAX(CÁLCULO!$M$15:$M$727),"F",""))</f>
        <v>F</v>
      </c>
      <c r="B94" s="287">
        <f t="shared" ca="1" si="2"/>
        <v>80</v>
      </c>
      <c r="C94" s="649" t="str">
        <f ca="1">IF(AUTOEVENTO="Manual",IF($B94&lt;&gt;1,OFFSET(EVENTOS!$D$14,$B94,0),0),IF(B94&lt;=MAX(CÁLCULO!$M$15:$M$727),VLOOKUP($B94,CÁLCULO!$M$15:$N$727,2,FALSE),0))</f>
        <v>MURO DE FECHAMENTO - REVESTIMENTO</v>
      </c>
      <c r="D94" s="649"/>
      <c r="F94" s="289"/>
      <c r="H94" s="289"/>
      <c r="I94" s="289"/>
      <c r="J94" s="289"/>
      <c r="K94" s="289"/>
      <c r="L94" s="289"/>
      <c r="M94" s="289"/>
      <c r="N94" s="289"/>
      <c r="O94" s="289"/>
      <c r="P94" s="289"/>
      <c r="Q94" s="289"/>
      <c r="R94" s="289"/>
      <c r="S94" s="289"/>
      <c r="T94" s="289"/>
      <c r="U94" s="289"/>
      <c r="V94" s="289"/>
      <c r="W94" s="289"/>
      <c r="X94" s="289"/>
      <c r="Y94" s="289"/>
      <c r="Z94" s="289"/>
      <c r="AA94" s="289"/>
      <c r="AB94" s="289"/>
      <c r="AC94" s="289"/>
      <c r="AD94" s="289"/>
      <c r="AE94" s="289"/>
      <c r="AF94" s="289"/>
    </row>
    <row r="95" spans="1:32" x14ac:dyDescent="0.2">
      <c r="A95" s="7" t="str">
        <f ca="1">IF(AUTOEVENTO="Manual",IF(OFFSET(EVENTOS!$F$14,PLE!$B95,0)&gt;0,"F",""),IF(PLE!B95&lt;=MAX(CÁLCULO!$M$15:$M$727),"F",""))</f>
        <v>F</v>
      </c>
      <c r="B95" s="287">
        <f t="shared" ca="1" si="2"/>
        <v>81</v>
      </c>
      <c r="C95" s="649" t="str">
        <f ca="1">IF(AUTOEVENTO="Manual",IF($B95&lt;&gt;1,OFFSET(EVENTOS!$D$14,$B95,0),0),IF(B95&lt;=MAX(CÁLCULO!$M$15:$M$727),VLOOKUP($B95,CÁLCULO!$M$15:$N$727,2,FALSE),0))</f>
        <v>MURO DE FECHAMENTO - PINTURA</v>
      </c>
      <c r="D95" s="649"/>
      <c r="F95" s="289"/>
      <c r="H95" s="289"/>
      <c r="I95" s="289"/>
      <c r="J95" s="289"/>
      <c r="K95" s="289"/>
      <c r="L95" s="289"/>
      <c r="M95" s="289"/>
      <c r="N95" s="289"/>
      <c r="O95" s="289"/>
      <c r="P95" s="289"/>
      <c r="Q95" s="289"/>
      <c r="R95" s="289"/>
      <c r="S95" s="289"/>
      <c r="T95" s="289"/>
      <c r="U95" s="289"/>
      <c r="V95" s="289"/>
      <c r="W95" s="289"/>
      <c r="X95" s="289"/>
      <c r="Y95" s="289"/>
      <c r="Z95" s="289"/>
      <c r="AA95" s="289"/>
      <c r="AB95" s="289"/>
      <c r="AC95" s="289"/>
      <c r="AD95" s="289"/>
      <c r="AE95" s="289"/>
      <c r="AF95" s="289"/>
    </row>
    <row r="96" spans="1:32" x14ac:dyDescent="0.2">
      <c r="A96" s="7" t="str">
        <f ca="1">IF(AUTOEVENTO="Manual",IF(OFFSET(EVENTOS!$F$14,PLE!$B96,0)&gt;0,"F",""),IF(PLE!B96&lt;=MAX(CÁLCULO!$M$15:$M$727),"F",""))</f>
        <v>F</v>
      </c>
      <c r="B96" s="287">
        <f t="shared" ca="1" si="2"/>
        <v>82</v>
      </c>
      <c r="C96" s="649" t="str">
        <f ca="1">IF(AUTOEVENTO="Manual",IF($B96&lt;&gt;1,OFFSET(EVENTOS!$D$14,$B96,0),0),IF(B96&lt;=MAX(CÁLCULO!$M$15:$M$727),VLOOKUP($B96,CÁLCULO!$M$15:$N$727,2,FALSE),0))</f>
        <v>SERVIÇOS FINAIS</v>
      </c>
      <c r="D96" s="649"/>
      <c r="F96" s="289"/>
      <c r="H96" s="289"/>
      <c r="I96" s="289"/>
      <c r="J96" s="289"/>
      <c r="K96" s="289"/>
      <c r="L96" s="289"/>
      <c r="M96" s="289"/>
      <c r="N96" s="289"/>
      <c r="O96" s="289"/>
      <c r="P96" s="289"/>
      <c r="Q96" s="289"/>
      <c r="R96" s="289"/>
      <c r="S96" s="289"/>
      <c r="T96" s="289"/>
      <c r="U96" s="289"/>
      <c r="V96" s="289"/>
      <c r="W96" s="289"/>
      <c r="X96" s="289"/>
      <c r="Y96" s="289"/>
      <c r="Z96" s="289"/>
      <c r="AA96" s="289"/>
      <c r="AB96" s="289"/>
      <c r="AC96" s="289"/>
      <c r="AD96" s="289"/>
      <c r="AE96" s="289"/>
      <c r="AF96" s="289"/>
    </row>
    <row r="97" spans="1:32" ht="4.5" customHeight="1" x14ac:dyDescent="0.2">
      <c r="A97" s="7" t="s">
        <v>246</v>
      </c>
      <c r="B97" s="484"/>
      <c r="C97" s="485"/>
      <c r="D97" s="486"/>
      <c r="F97" s="138"/>
      <c r="H97" s="484"/>
      <c r="I97" s="485"/>
      <c r="J97" s="485"/>
      <c r="K97" s="485"/>
      <c r="L97" s="485"/>
      <c r="M97" s="485"/>
      <c r="N97" s="485"/>
      <c r="O97" s="485"/>
      <c r="P97" s="485"/>
      <c r="Q97" s="485"/>
      <c r="R97" s="485"/>
      <c r="S97" s="485"/>
      <c r="T97" s="485"/>
      <c r="U97" s="485"/>
      <c r="V97" s="485"/>
      <c r="W97" s="485"/>
      <c r="X97" s="485"/>
      <c r="Y97" s="485"/>
      <c r="Z97" s="485"/>
      <c r="AA97" s="485"/>
      <c r="AB97" s="485"/>
      <c r="AC97" s="485"/>
      <c r="AD97" s="485"/>
      <c r="AE97" s="485"/>
      <c r="AF97" s="486"/>
    </row>
    <row r="98" spans="1:32" x14ac:dyDescent="0.2">
      <c r="A98" s="7" t="s">
        <v>246</v>
      </c>
    </row>
    <row r="99" spans="1:32" x14ac:dyDescent="0.2">
      <c r="A99" s="7" t="s">
        <v>246</v>
      </c>
      <c r="I99" s="660" t="s">
        <v>298</v>
      </c>
      <c r="J99" s="660"/>
      <c r="K99" s="660"/>
      <c r="L99" s="660"/>
      <c r="M99" s="660"/>
      <c r="N99" s="660"/>
      <c r="O99" s="660"/>
      <c r="P99" s="660"/>
      <c r="Q99" s="660"/>
      <c r="R99" s="660"/>
      <c r="S99" s="660"/>
      <c r="T99" s="660"/>
      <c r="U99" s="660"/>
      <c r="V99" s="660"/>
      <c r="W99" s="660"/>
      <c r="X99" s="660"/>
      <c r="Y99" s="660"/>
      <c r="Z99" s="660"/>
      <c r="AA99" s="660"/>
      <c r="AB99" s="660"/>
      <c r="AC99" s="660"/>
      <c r="AD99" s="660"/>
      <c r="AE99" s="660"/>
      <c r="AF99" s="660"/>
    </row>
    <row r="100" spans="1:32" x14ac:dyDescent="0.2">
      <c r="A100" s="7" t="s">
        <v>246</v>
      </c>
      <c r="I100" s="647"/>
      <c r="J100" s="648"/>
      <c r="K100" s="648"/>
      <c r="L100" s="648"/>
      <c r="M100" s="648"/>
      <c r="N100" s="648"/>
      <c r="O100" s="648"/>
      <c r="P100" s="648"/>
      <c r="Q100" s="648"/>
      <c r="R100" s="648"/>
      <c r="S100" s="648"/>
      <c r="T100" s="648"/>
      <c r="U100" s="648"/>
      <c r="V100" s="648"/>
      <c r="W100" s="648"/>
      <c r="X100" s="648"/>
      <c r="Y100" s="648"/>
      <c r="Z100" s="648"/>
      <c r="AA100" s="648"/>
      <c r="AB100" s="648"/>
      <c r="AC100" s="648"/>
      <c r="AD100" s="648"/>
      <c r="AE100" s="648"/>
      <c r="AF100" s="659"/>
    </row>
    <row r="101" spans="1:32" x14ac:dyDescent="0.2">
      <c r="A101" s="7" t="s">
        <v>246</v>
      </c>
      <c r="D101" s="310" t="s">
        <v>299</v>
      </c>
      <c r="I101" s="645">
        <f>IF(PLE.Medicao&lt;=12,1,TRUNC((PLE.Medicao - 2)/11,0) * 11 + 1)</f>
        <v>1</v>
      </c>
      <c r="J101" s="645"/>
      <c r="K101" s="645">
        <f>I101+1</f>
        <v>2</v>
      </c>
      <c r="L101" s="645"/>
      <c r="M101" s="645">
        <f>K101+1</f>
        <v>3</v>
      </c>
      <c r="N101" s="645"/>
      <c r="O101" s="645">
        <f>M101+1</f>
        <v>4</v>
      </c>
      <c r="P101" s="645"/>
      <c r="Q101" s="645">
        <f>O101+1</f>
        <v>5</v>
      </c>
      <c r="R101" s="645"/>
      <c r="S101" s="645">
        <f>Q101+1</f>
        <v>6</v>
      </c>
      <c r="T101" s="645"/>
      <c r="U101" s="645">
        <f>S101+1</f>
        <v>7</v>
      </c>
      <c r="V101" s="645"/>
      <c r="W101" s="645">
        <f>U101+1</f>
        <v>8</v>
      </c>
      <c r="X101" s="645"/>
      <c r="Y101" s="645">
        <f>W101+1</f>
        <v>9</v>
      </c>
      <c r="Z101" s="645"/>
      <c r="AA101" s="645">
        <f>Y101+1</f>
        <v>10</v>
      </c>
      <c r="AB101" s="645"/>
      <c r="AC101" s="645">
        <f>AA101+1</f>
        <v>11</v>
      </c>
      <c r="AD101" s="645"/>
      <c r="AE101" s="645">
        <f>AC101+1</f>
        <v>12</v>
      </c>
      <c r="AF101" s="645"/>
    </row>
    <row r="102" spans="1:32" x14ac:dyDescent="0.2">
      <c r="A102" s="7" t="s">
        <v>246</v>
      </c>
      <c r="D102" s="650" t="s">
        <v>283</v>
      </c>
      <c r="H102" s="311" t="s">
        <v>300</v>
      </c>
      <c r="I102" s="646" t="e">
        <f ca="1">ROUND(I103,2)/ORÇAMENTO!$X$15</f>
        <v>#DIV/0!</v>
      </c>
      <c r="J102" s="646"/>
      <c r="K102" s="653" t="e">
        <f ca="1">ROUND(K103,2)/ORÇAMENTO!$X$15</f>
        <v>#DIV/0!</v>
      </c>
      <c r="L102" s="653"/>
      <c r="M102" s="654" t="e">
        <f ca="1">ROUND(M103,2)/ORÇAMENTO!$X$15</f>
        <v>#DIV/0!</v>
      </c>
      <c r="N102" s="654"/>
      <c r="O102" s="653" t="e">
        <f ca="1">ROUND(O103,2)/ORÇAMENTO!$X$15</f>
        <v>#DIV/0!</v>
      </c>
      <c r="P102" s="653"/>
      <c r="Q102" s="654" t="e">
        <f ca="1">ROUND(Q103,2)/ORÇAMENTO!$X$15</f>
        <v>#DIV/0!</v>
      </c>
      <c r="R102" s="654"/>
      <c r="S102" s="653" t="e">
        <f ca="1">ROUND(S103,2)/ORÇAMENTO!$X$15</f>
        <v>#DIV/0!</v>
      </c>
      <c r="T102" s="653"/>
      <c r="U102" s="654" t="e">
        <f ca="1">ROUND(U103,2)/ORÇAMENTO!$X$15</f>
        <v>#DIV/0!</v>
      </c>
      <c r="V102" s="654"/>
      <c r="W102" s="653" t="e">
        <f ca="1">ROUND(W103,2)/ORÇAMENTO!$X$15</f>
        <v>#DIV/0!</v>
      </c>
      <c r="X102" s="653"/>
      <c r="Y102" s="654" t="e">
        <f ca="1">ROUND(Y103,2)/ORÇAMENTO!$X$15</f>
        <v>#DIV/0!</v>
      </c>
      <c r="Z102" s="654"/>
      <c r="AA102" s="653" t="e">
        <f ca="1">ROUND(AA103,2)/ORÇAMENTO!$X$15</f>
        <v>#DIV/0!</v>
      </c>
      <c r="AB102" s="653"/>
      <c r="AC102" s="654" t="e">
        <f ca="1">ROUND(AC103,2)/ORÇAMENTO!$X$15</f>
        <v>#DIV/0!</v>
      </c>
      <c r="AD102" s="654"/>
      <c r="AE102" s="653" t="e">
        <f ca="1">ROUND(AE103,2)/ORÇAMENTO!$X$15</f>
        <v>#DIV/0!</v>
      </c>
      <c r="AF102" s="653"/>
    </row>
    <row r="103" spans="1:32" x14ac:dyDescent="0.2">
      <c r="A103" s="7" t="s">
        <v>246</v>
      </c>
      <c r="D103" s="650"/>
      <c r="H103" s="12" t="s">
        <v>301</v>
      </c>
      <c r="I103" s="652" t="e">
        <f ca="1">IF(I101=1,I105,ROUND(I105,2)-ROUND(SUMIF(CÁLCULO!$BV$15:$CN$727,"&lt;="&amp;PLE!I101-1,CÁLCULO!$AJ$15:$BB$727)*(1+CÁLCULO.TotalAdmLocal/(ORÇAMENTO!$X$15-CÁLCULO.TotalAdmLocal)),2))</f>
        <v>#DIV/0!</v>
      </c>
      <c r="J103" s="652"/>
      <c r="K103" s="652" t="e">
        <f ca="1">ROUND(K105,2)-ROUND(I105,2)</f>
        <v>#DIV/0!</v>
      </c>
      <c r="L103" s="652"/>
      <c r="M103" s="651" t="e">
        <f ca="1">ROUND(M105,2)-ROUND(K105,2)</f>
        <v>#DIV/0!</v>
      </c>
      <c r="N103" s="651"/>
      <c r="O103" s="652" t="e">
        <f ca="1">ROUND(O105,2)-ROUND(M105,2)</f>
        <v>#DIV/0!</v>
      </c>
      <c r="P103" s="652"/>
      <c r="Q103" s="651" t="e">
        <f ca="1">ROUND(Q105,2)-ROUND(O105,2)</f>
        <v>#DIV/0!</v>
      </c>
      <c r="R103" s="651"/>
      <c r="S103" s="652" t="e">
        <f ca="1">ROUND(S105,2)-ROUND(Q105,2)</f>
        <v>#DIV/0!</v>
      </c>
      <c r="T103" s="652"/>
      <c r="U103" s="651" t="e">
        <f ca="1">ROUND(U105,2)-ROUND(S105,2)</f>
        <v>#DIV/0!</v>
      </c>
      <c r="V103" s="651"/>
      <c r="W103" s="652" t="e">
        <f ca="1">ROUND(W105,2)-ROUND(U105,2)</f>
        <v>#DIV/0!</v>
      </c>
      <c r="X103" s="652"/>
      <c r="Y103" s="651" t="e">
        <f ca="1">ROUND(Y105,2)-ROUND(W105,2)</f>
        <v>#DIV/0!</v>
      </c>
      <c r="Z103" s="651"/>
      <c r="AA103" s="652" t="e">
        <f ca="1">ROUND(AA105,2)-ROUND(Y105,2)</f>
        <v>#DIV/0!</v>
      </c>
      <c r="AB103" s="652"/>
      <c r="AC103" s="651" t="e">
        <f ca="1">ROUND(AC105,2)-ROUND(AA105,2)</f>
        <v>#DIV/0!</v>
      </c>
      <c r="AD103" s="651"/>
      <c r="AE103" s="652" t="e">
        <f ca="1">ROUND(AE105,2)-ROUND(AC105,2)</f>
        <v>#DIV/0!</v>
      </c>
      <c r="AF103" s="652"/>
    </row>
    <row r="104" spans="1:32" x14ac:dyDescent="0.2">
      <c r="A104" s="7" t="s">
        <v>246</v>
      </c>
      <c r="D104" s="650" t="s">
        <v>287</v>
      </c>
      <c r="H104" s="311" t="s">
        <v>300</v>
      </c>
      <c r="I104" s="657" t="e">
        <f ca="1">ROUND(I105,2)/ORÇAMENTO!$X$15</f>
        <v>#DIV/0!</v>
      </c>
      <c r="J104" s="657"/>
      <c r="K104" s="655" t="e">
        <f ca="1">ROUND(K105,2)/ORÇAMENTO!$X$15</f>
        <v>#DIV/0!</v>
      </c>
      <c r="L104" s="655"/>
      <c r="M104" s="656" t="e">
        <f ca="1">ROUND(M105,2)/ORÇAMENTO!$X$15</f>
        <v>#DIV/0!</v>
      </c>
      <c r="N104" s="656"/>
      <c r="O104" s="655" t="e">
        <f ca="1">ROUND(O105,2)/ORÇAMENTO!$X$15</f>
        <v>#DIV/0!</v>
      </c>
      <c r="P104" s="655"/>
      <c r="Q104" s="656" t="e">
        <f ca="1">ROUND(Q105,2)/ORÇAMENTO!$X$15</f>
        <v>#DIV/0!</v>
      </c>
      <c r="R104" s="656"/>
      <c r="S104" s="655" t="e">
        <f ca="1">ROUND(S105,2)/ORÇAMENTO!$X$15</f>
        <v>#DIV/0!</v>
      </c>
      <c r="T104" s="655"/>
      <c r="U104" s="656" t="e">
        <f ca="1">ROUND(U105,2)/ORÇAMENTO!$X$15</f>
        <v>#DIV/0!</v>
      </c>
      <c r="V104" s="656"/>
      <c r="W104" s="655" t="e">
        <f ca="1">ROUND(W105,2)/ORÇAMENTO!$X$15</f>
        <v>#DIV/0!</v>
      </c>
      <c r="X104" s="655"/>
      <c r="Y104" s="656" t="e">
        <f ca="1">ROUND(Y105,2)/ORÇAMENTO!$X$15</f>
        <v>#DIV/0!</v>
      </c>
      <c r="Z104" s="656"/>
      <c r="AA104" s="655" t="e">
        <f ca="1">ROUND(AA105,2)/ORÇAMENTO!$X$15</f>
        <v>#DIV/0!</v>
      </c>
      <c r="AB104" s="655"/>
      <c r="AC104" s="656" t="e">
        <f ca="1">ROUND(AC105,2)/ORÇAMENTO!$X$15</f>
        <v>#DIV/0!</v>
      </c>
      <c r="AD104" s="656"/>
      <c r="AE104" s="655" t="e">
        <f ca="1">ROUND(AE105,2)/ORÇAMENTO!$X$15</f>
        <v>#DIV/0!</v>
      </c>
      <c r="AF104" s="655"/>
    </row>
    <row r="105" spans="1:32" x14ac:dyDescent="0.2">
      <c r="A105" s="7" t="s">
        <v>246</v>
      </c>
      <c r="D105" s="650"/>
      <c r="H105" s="12" t="s">
        <v>301</v>
      </c>
      <c r="I105" s="658" t="e">
        <f ca="1">SUMIF(CÁLCULO!$BV$15:$CN$727,"&lt;="&amp;PLE!I101,CÁLCULO!$AJ$15:$BB$727)*(1+CÁLCULO.TotalAdmLocal/(ORÇAMENTO!$X$15-CÁLCULO.TotalAdmLocal))</f>
        <v>#DIV/0!</v>
      </c>
      <c r="J105" s="658"/>
      <c r="K105" s="652" t="e">
        <f ca="1">SUMIF(CÁLCULO!$BV$15:$CN$727,"&lt;="&amp;PLE!K101,CÁLCULO!$AJ$15:$BB$727)*(1+CÁLCULO.TotalAdmLocal/(ORÇAMENTO!$X$15-CÁLCULO.TotalAdmLocal))</f>
        <v>#DIV/0!</v>
      </c>
      <c r="L105" s="652"/>
      <c r="M105" s="651" t="e">
        <f ca="1">SUMIF(CÁLCULO!$BV$15:$CN$727,"&lt;="&amp;PLE!M101,CÁLCULO!$AJ$15:$BB$727)*(1+CÁLCULO.TotalAdmLocal/(ORÇAMENTO!$X$15-CÁLCULO.TotalAdmLocal))</f>
        <v>#DIV/0!</v>
      </c>
      <c r="N105" s="651"/>
      <c r="O105" s="652" t="e">
        <f ca="1">SUMIF(CÁLCULO!$BV$15:$CN$727,"&lt;="&amp;PLE!O101,CÁLCULO!$AJ$15:$BB$727)*(1+CÁLCULO.TotalAdmLocal/(ORÇAMENTO!$X$15-CÁLCULO.TotalAdmLocal))</f>
        <v>#DIV/0!</v>
      </c>
      <c r="P105" s="652"/>
      <c r="Q105" s="651" t="e">
        <f ca="1">SUMIF(CÁLCULO!$BV$15:$CN$727,"&lt;="&amp;PLE!Q101,CÁLCULO!$AJ$15:$BB$727)*(1+CÁLCULO.TotalAdmLocal/(ORÇAMENTO!$X$15-CÁLCULO.TotalAdmLocal))</f>
        <v>#DIV/0!</v>
      </c>
      <c r="R105" s="651"/>
      <c r="S105" s="652" t="e">
        <f ca="1">SUMIF(CÁLCULO!$BV$15:$CN$727,"&lt;="&amp;PLE!S101,CÁLCULO!$AJ$15:$BB$727)*(1+CÁLCULO.TotalAdmLocal/(ORÇAMENTO!$X$15-CÁLCULO.TotalAdmLocal))</f>
        <v>#DIV/0!</v>
      </c>
      <c r="T105" s="652"/>
      <c r="U105" s="651" t="e">
        <f ca="1">SUMIF(CÁLCULO!$BV$15:$CN$727,"&lt;="&amp;PLE!U101,CÁLCULO!$AJ$15:$BB$727)*(1+CÁLCULO.TotalAdmLocal/(ORÇAMENTO!$X$15-CÁLCULO.TotalAdmLocal))</f>
        <v>#DIV/0!</v>
      </c>
      <c r="V105" s="651"/>
      <c r="W105" s="652" t="e">
        <f ca="1">SUMIF(CÁLCULO!$BV$15:$CN$727,"&lt;="&amp;PLE!W101,CÁLCULO!$AJ$15:$BB$727)*(1+CÁLCULO.TotalAdmLocal/(ORÇAMENTO!$X$15-CÁLCULO.TotalAdmLocal))</f>
        <v>#DIV/0!</v>
      </c>
      <c r="X105" s="652"/>
      <c r="Y105" s="651" t="e">
        <f ca="1">SUMIF(CÁLCULO!$BV$15:$CN$727,"&lt;="&amp;PLE!Y101,CÁLCULO!$AJ$15:$BB$727)*(1+CÁLCULO.TotalAdmLocal/(ORÇAMENTO!$X$15-CÁLCULO.TotalAdmLocal))</f>
        <v>#DIV/0!</v>
      </c>
      <c r="Z105" s="651"/>
      <c r="AA105" s="652" t="e">
        <f ca="1">SUMIF(CÁLCULO!$BV$15:$CN$727,"&lt;="&amp;PLE!AA101,CÁLCULO!$AJ$15:$BB$727)*(1+CÁLCULO.TotalAdmLocal/(ORÇAMENTO!$X$15-CÁLCULO.TotalAdmLocal))</f>
        <v>#DIV/0!</v>
      </c>
      <c r="AB105" s="652"/>
      <c r="AC105" s="651" t="e">
        <f ca="1">SUMIF(CÁLCULO!$BV$15:$CN$727,"&lt;="&amp;PLE!AC101,CÁLCULO!$AJ$15:$BB$727)*(1+CÁLCULO.TotalAdmLocal/(ORÇAMENTO!$X$15-CÁLCULO.TotalAdmLocal))</f>
        <v>#DIV/0!</v>
      </c>
      <c r="AD105" s="651"/>
      <c r="AE105" s="652" t="e">
        <f ca="1">SUMIF(CÁLCULO!$BV$15:$CN$727,"&lt;="&amp;PLE!AE101,CÁLCULO!$AJ$15:$BB$727)*(1+CÁLCULO.TotalAdmLocal/(ORÇAMENTO!$X$15-CÁLCULO.TotalAdmLocal))</f>
        <v>#DIV/0!</v>
      </c>
      <c r="AF105" s="652"/>
    </row>
    <row r="106" spans="1:32" ht="20.25" customHeight="1" x14ac:dyDescent="0.2">
      <c r="A106" s="7" t="s">
        <v>246</v>
      </c>
    </row>
    <row r="107" spans="1:32" ht="15" x14ac:dyDescent="0.2">
      <c r="A107" s="7" t="s">
        <v>246</v>
      </c>
      <c r="B107" s="622" t="str">
        <f>Import.Município</f>
        <v>DOIS VIZINHOS - PR</v>
      </c>
      <c r="C107" s="622"/>
      <c r="D107" s="622"/>
      <c r="U107" s="145"/>
      <c r="V107" s="145"/>
      <c r="W107" s="145"/>
      <c r="X107" s="145"/>
      <c r="Y107" s="194"/>
      <c r="Z107" s="194"/>
      <c r="AA107" s="194"/>
      <c r="AB107" s="194"/>
      <c r="AC107" s="194"/>
      <c r="AD107" s="194"/>
    </row>
    <row r="108" spans="1:32" x14ac:dyDescent="0.2">
      <c r="A108" s="7" t="s">
        <v>246</v>
      </c>
      <c r="B108" s="10" t="s">
        <v>188</v>
      </c>
      <c r="U108" s="195" t="s">
        <v>302</v>
      </c>
    </row>
    <row r="109" spans="1:32" x14ac:dyDescent="0.2">
      <c r="A109" s="7" t="s">
        <v>246</v>
      </c>
      <c r="I109" s="80"/>
      <c r="U109" s="78" t="s">
        <v>108</v>
      </c>
      <c r="W109" s="312">
        <f t="array" ref="W109:W112">Import.RespFiscalização</f>
        <v>0</v>
      </c>
    </row>
    <row r="110" spans="1:32" x14ac:dyDescent="0.2">
      <c r="A110" s="7" t="s">
        <v>246</v>
      </c>
      <c r="B110" s="617">
        <f ca="1">DADOS!$F$48</f>
        <v>45663</v>
      </c>
      <c r="C110" s="617"/>
      <c r="D110" s="617"/>
      <c r="I110" s="80"/>
      <c r="U110" s="78" t="s">
        <v>127</v>
      </c>
      <c r="W110" s="312">
        <v>0</v>
      </c>
    </row>
    <row r="111" spans="1:32" x14ac:dyDescent="0.2">
      <c r="A111" s="7" t="s">
        <v>246</v>
      </c>
      <c r="B111" s="146" t="s">
        <v>189</v>
      </c>
      <c r="C111" s="1"/>
      <c r="D111" s="1"/>
      <c r="I111" s="80"/>
      <c r="U111" s="78" t="s">
        <v>109</v>
      </c>
      <c r="W111" s="312">
        <v>0</v>
      </c>
    </row>
    <row r="112" spans="1:32" x14ac:dyDescent="0.2">
      <c r="U112" s="78" t="s">
        <v>110</v>
      </c>
      <c r="W112" s="13">
        <v>0</v>
      </c>
    </row>
  </sheetData>
  <sheetProtection algorithmName="SHA-512" hashValue="fljF8UQ9AlTb8gv7mT2DDXBuHtHc2Qb8/oSc8SiBEZly6pk0AFeyvmzVC8ieoSFj0zhl6feOjKw/xXL+huWhHg==" saltValue="6zt0VFCog1ygirhvxlRcVg==" spinCount="100000" sheet="1" objects="1" scenarios="1" autoFilter="0"/>
  <autoFilter ref="A13:A111"/>
  <mergeCells count="175"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4:D24"/>
    <mergeCell ref="C34:D34"/>
    <mergeCell ref="I99:AF99"/>
    <mergeCell ref="B12:B13"/>
    <mergeCell ref="O100:P100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AC102:AD102"/>
    <mergeCell ref="AE102:AF102"/>
    <mergeCell ref="AA100:AB100"/>
    <mergeCell ref="Y100:Z100"/>
    <mergeCell ref="AE101:AF101"/>
    <mergeCell ref="AC101:AD101"/>
    <mergeCell ref="AA101:AB101"/>
    <mergeCell ref="U101:V101"/>
    <mergeCell ref="Q101:R101"/>
    <mergeCell ref="S101:T101"/>
    <mergeCell ref="U100:V100"/>
    <mergeCell ref="AE100:AF100"/>
    <mergeCell ref="AC100:AD100"/>
    <mergeCell ref="W100:X100"/>
    <mergeCell ref="Y101:Z101"/>
    <mergeCell ref="Q100:R100"/>
    <mergeCell ref="S100:T100"/>
    <mergeCell ref="K105:L105"/>
    <mergeCell ref="K104:L104"/>
    <mergeCell ref="I104:J104"/>
    <mergeCell ref="K103:L103"/>
    <mergeCell ref="I103:J103"/>
    <mergeCell ref="O105:P105"/>
    <mergeCell ref="S104:T104"/>
    <mergeCell ref="B110:D110"/>
    <mergeCell ref="B107:D107"/>
    <mergeCell ref="D104:D105"/>
    <mergeCell ref="M104:N104"/>
    <mergeCell ref="M105:N105"/>
    <mergeCell ref="I105:J105"/>
    <mergeCell ref="O104:P104"/>
    <mergeCell ref="AE103:AF103"/>
    <mergeCell ref="AE105:AF105"/>
    <mergeCell ref="Q105:R105"/>
    <mergeCell ref="Y105:Z105"/>
    <mergeCell ref="AA105:AB105"/>
    <mergeCell ref="O103:P103"/>
    <mergeCell ref="Q103:R103"/>
    <mergeCell ref="AE104:AF104"/>
    <mergeCell ref="Q104:R104"/>
    <mergeCell ref="W103:X103"/>
    <mergeCell ref="S105:T105"/>
    <mergeCell ref="Y103:Z103"/>
    <mergeCell ref="U103:V103"/>
    <mergeCell ref="W105:X105"/>
    <mergeCell ref="W104:X104"/>
    <mergeCell ref="U104:V104"/>
    <mergeCell ref="Y104:Z104"/>
    <mergeCell ref="U105:V105"/>
    <mergeCell ref="AC105:AD105"/>
    <mergeCell ref="AC103:AD103"/>
    <mergeCell ref="AC104:AD104"/>
    <mergeCell ref="AA104:AB104"/>
    <mergeCell ref="K101:L101"/>
    <mergeCell ref="M101:N101"/>
    <mergeCell ref="O101:P101"/>
    <mergeCell ref="W101:X101"/>
    <mergeCell ref="M103:N103"/>
    <mergeCell ref="AA103:AB103"/>
    <mergeCell ref="S103:T103"/>
    <mergeCell ref="O102:P102"/>
    <mergeCell ref="K100:L100"/>
    <mergeCell ref="K102:L102"/>
    <mergeCell ref="AA102:AB102"/>
    <mergeCell ref="M102:N102"/>
    <mergeCell ref="Y102:Z102"/>
    <mergeCell ref="W102:X102"/>
    <mergeCell ref="U102:V102"/>
    <mergeCell ref="Q102:R102"/>
    <mergeCell ref="S102:T102"/>
    <mergeCell ref="M100:N100"/>
    <mergeCell ref="I101:J101"/>
    <mergeCell ref="I102:J102"/>
    <mergeCell ref="I100:J100"/>
    <mergeCell ref="C31:D31"/>
    <mergeCell ref="C32:D32"/>
    <mergeCell ref="C30:D30"/>
    <mergeCell ref="C33:D33"/>
    <mergeCell ref="C50:D50"/>
    <mergeCell ref="C51:D51"/>
    <mergeCell ref="D102:D103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  <mergeCell ref="C65:D65"/>
    <mergeCell ref="C66:D66"/>
    <mergeCell ref="C67:D67"/>
    <mergeCell ref="C68:D68"/>
    <mergeCell ref="C69:D69"/>
  </mergeCells>
  <phoneticPr fontId="39" type="noConversion"/>
  <conditionalFormatting sqref="F1:F2">
    <cfRule type="expression" dxfId="375" priority="455" stopIfTrue="1">
      <formula>IF(OR(ACOMPANHAMENTO="BM",F$12&gt;CÁLCULO.NúmeroDeFrentes),TRUE,PLE.ValorDoEvento=0)</formula>
    </cfRule>
    <cfRule type="cellIs" dxfId="374" priority="456" stopIfTrue="1" operator="equal">
      <formula>$J$9</formula>
    </cfRule>
  </conditionalFormatting>
  <conditionalFormatting sqref="I102:AF102">
    <cfRule type="expression" dxfId="373" priority="457" stopIfTrue="1">
      <formula>I101=$J$9</formula>
    </cfRule>
  </conditionalFormatting>
  <conditionalFormatting sqref="I103:AF103">
    <cfRule type="expression" dxfId="372" priority="458" stopIfTrue="1">
      <formula>I101=$J$9</formula>
    </cfRule>
  </conditionalFormatting>
  <conditionalFormatting sqref="I104:AF104">
    <cfRule type="expression" dxfId="371" priority="459" stopIfTrue="1">
      <formula>I101=$J$9</formula>
    </cfRule>
  </conditionalFormatting>
  <conditionalFormatting sqref="I105:AF105">
    <cfRule type="expression" dxfId="370" priority="460" stopIfTrue="1">
      <formula>I101=$J$9</formula>
    </cfRule>
  </conditionalFormatting>
  <conditionalFormatting sqref="I101:J101">
    <cfRule type="cellIs" dxfId="369" priority="454" stopIfTrue="1" operator="notEqual">
      <formula>1</formula>
    </cfRule>
  </conditionalFormatting>
  <conditionalFormatting sqref="H1:AF1">
    <cfRule type="expression" dxfId="368" priority="472" stopIfTrue="1">
      <formula>IF(OR(ACOMPANHAMENTO="BM",TIPOORCAMENTO="Proposto",H$12&gt;CÁLCULO.NúmeroDeFrentes),TRUE,PLE.ValorDoEvento=0)</formula>
    </cfRule>
    <cfRule type="cellIs" dxfId="367" priority="473" stopIfTrue="1" operator="equal">
      <formula>$J$9</formula>
    </cfRule>
  </conditionalFormatting>
  <conditionalFormatting sqref="AE6:AE7">
    <cfRule type="expression" dxfId="366" priority="461" stopIfTrue="1">
      <formula>TIPOORCAMENTO&lt;&gt;"Licitado"</formula>
    </cfRule>
  </conditionalFormatting>
  <conditionalFormatting sqref="N9:T9">
    <cfRule type="expression" dxfId="365" priority="462" stopIfTrue="1">
      <formula>COLUMN(N9)&gt;COLUMN($AF$12)</formula>
    </cfRule>
    <cfRule type="expression" dxfId="364" priority="463" stopIfTrue="1">
      <formula>$N$9="DIGITE A DATA DA MEDIÇÃO"</formula>
    </cfRule>
  </conditionalFormatting>
  <conditionalFormatting sqref="I9:M9 U9:AF9">
    <cfRule type="expression" dxfId="363" priority="464" stopIfTrue="1">
      <formula>COLUMN(I9)&gt;COLUMN($AF$12)</formula>
    </cfRule>
  </conditionalFormatting>
  <conditionalFormatting sqref="F16:F24">
    <cfRule type="expression" dxfId="362" priority="37" stopIfTrue="1">
      <formula>IF(OR(ACOMPANHAMENTO="BM",F$12&gt;CÁLCULO.NúmeroDeFrentes),TRUE,PLE.ValorDoEvento=0)</formula>
    </cfRule>
    <cfRule type="cellIs" dxfId="361" priority="38" stopIfTrue="1" operator="equal">
      <formula>$J$9</formula>
    </cfRule>
  </conditionalFormatting>
  <conditionalFormatting sqref="H16:AF24">
    <cfRule type="expression" dxfId="360" priority="39" stopIfTrue="1">
      <formula>IF(OR(ACOMPANHAMENTO="BM",TIPOORCAMENTO="Proposto",H$12&gt;CÁLCULO.NúmeroDeFrentes),TRUE,PLE.ValorDoEvento=0)</formula>
    </cfRule>
    <cfRule type="cellIs" dxfId="359" priority="40" stopIfTrue="1" operator="equal">
      <formula>$J$9</formula>
    </cfRule>
  </conditionalFormatting>
  <conditionalFormatting sqref="F25:F33">
    <cfRule type="expression" dxfId="358" priority="33" stopIfTrue="1">
      <formula>IF(OR(ACOMPANHAMENTO="BM",F$12&gt;CÁLCULO.NúmeroDeFrentes),TRUE,PLE.ValorDoEvento=0)</formula>
    </cfRule>
    <cfRule type="cellIs" dxfId="357" priority="34" stopIfTrue="1" operator="equal">
      <formula>$J$9</formula>
    </cfRule>
  </conditionalFormatting>
  <conditionalFormatting sqref="H25:AF33">
    <cfRule type="expression" dxfId="356" priority="35" stopIfTrue="1">
      <formula>IF(OR(ACOMPANHAMENTO="BM",TIPOORCAMENTO="Proposto",H$12&gt;CÁLCULO.NúmeroDeFrentes),TRUE,PLE.ValorDoEvento=0)</formula>
    </cfRule>
    <cfRule type="cellIs" dxfId="355" priority="36" stopIfTrue="1" operator="equal">
      <formula>$J$9</formula>
    </cfRule>
  </conditionalFormatting>
  <conditionalFormatting sqref="F34:F42">
    <cfRule type="expression" dxfId="354" priority="29" stopIfTrue="1">
      <formula>IF(OR(ACOMPANHAMENTO="BM",F$12&gt;CÁLCULO.NúmeroDeFrentes),TRUE,PLE.ValorDoEvento=0)</formula>
    </cfRule>
    <cfRule type="cellIs" dxfId="353" priority="30" stopIfTrue="1" operator="equal">
      <formula>$J$9</formula>
    </cfRule>
  </conditionalFormatting>
  <conditionalFormatting sqref="H34:AF42">
    <cfRule type="expression" dxfId="352" priority="31" stopIfTrue="1">
      <formula>IF(OR(ACOMPANHAMENTO="BM",TIPOORCAMENTO="Proposto",H$12&gt;CÁLCULO.NúmeroDeFrentes),TRUE,PLE.ValorDoEvento=0)</formula>
    </cfRule>
    <cfRule type="cellIs" dxfId="351" priority="32" stopIfTrue="1" operator="equal">
      <formula>$J$9</formula>
    </cfRule>
  </conditionalFormatting>
  <conditionalFormatting sqref="F43:F51">
    <cfRule type="expression" dxfId="350" priority="25" stopIfTrue="1">
      <formula>IF(OR(ACOMPANHAMENTO="BM",F$12&gt;CÁLCULO.NúmeroDeFrentes),TRUE,PLE.ValorDoEvento=0)</formula>
    </cfRule>
    <cfRule type="cellIs" dxfId="349" priority="26" stopIfTrue="1" operator="equal">
      <formula>$J$9</formula>
    </cfRule>
  </conditionalFormatting>
  <conditionalFormatting sqref="H43:AF51">
    <cfRule type="expression" dxfId="348" priority="27" stopIfTrue="1">
      <formula>IF(OR(ACOMPANHAMENTO="BM",TIPOORCAMENTO="Proposto",H$12&gt;CÁLCULO.NúmeroDeFrentes),TRUE,PLE.ValorDoEvento=0)</formula>
    </cfRule>
    <cfRule type="cellIs" dxfId="347" priority="28" stopIfTrue="1" operator="equal">
      <formula>$J$9</formula>
    </cfRule>
  </conditionalFormatting>
  <conditionalFormatting sqref="F52:F60">
    <cfRule type="expression" dxfId="346" priority="21" stopIfTrue="1">
      <formula>IF(OR(ACOMPANHAMENTO="BM",F$12&gt;CÁLCULO.NúmeroDeFrentes),TRUE,PLE.ValorDoEvento=0)</formula>
    </cfRule>
    <cfRule type="cellIs" dxfId="345" priority="22" stopIfTrue="1" operator="equal">
      <formula>$J$9</formula>
    </cfRule>
  </conditionalFormatting>
  <conditionalFormatting sqref="H52:AF60">
    <cfRule type="expression" dxfId="344" priority="23" stopIfTrue="1">
      <formula>IF(OR(ACOMPANHAMENTO="BM",TIPOORCAMENTO="Proposto",H$12&gt;CÁLCULO.NúmeroDeFrentes),TRUE,PLE.ValorDoEvento=0)</formula>
    </cfRule>
    <cfRule type="cellIs" dxfId="343" priority="24" stopIfTrue="1" operator="equal">
      <formula>$J$9</formula>
    </cfRule>
  </conditionalFormatting>
  <conditionalFormatting sqref="F61:F64">
    <cfRule type="expression" dxfId="342" priority="17" stopIfTrue="1">
      <formula>IF(OR(ACOMPANHAMENTO="BM",F$12&gt;CÁLCULO.NúmeroDeFrentes),TRUE,PLE.ValorDoEvento=0)</formula>
    </cfRule>
    <cfRule type="cellIs" dxfId="341" priority="18" stopIfTrue="1" operator="equal">
      <formula>$J$9</formula>
    </cfRule>
  </conditionalFormatting>
  <conditionalFormatting sqref="H61:AF64">
    <cfRule type="expression" dxfId="340" priority="19" stopIfTrue="1">
      <formula>IF(OR(ACOMPANHAMENTO="BM",TIPOORCAMENTO="Proposto",H$12&gt;CÁLCULO.NúmeroDeFrentes),TRUE,PLE.ValorDoEvento=0)</formula>
    </cfRule>
    <cfRule type="cellIs" dxfId="339" priority="20" stopIfTrue="1" operator="equal">
      <formula>$J$9</formula>
    </cfRule>
  </conditionalFormatting>
  <conditionalFormatting sqref="F65:F73">
    <cfRule type="expression" dxfId="338" priority="13" stopIfTrue="1">
      <formula>IF(OR(ACOMPANHAMENTO="BM",F$12&gt;CÁLCULO.NúmeroDeFrentes),TRUE,PLE.ValorDoEvento=0)</formula>
    </cfRule>
    <cfRule type="cellIs" dxfId="337" priority="14" stopIfTrue="1" operator="equal">
      <formula>$J$9</formula>
    </cfRule>
  </conditionalFormatting>
  <conditionalFormatting sqref="H65:AF73">
    <cfRule type="expression" dxfId="336" priority="15" stopIfTrue="1">
      <formula>IF(OR(ACOMPANHAMENTO="BM",TIPOORCAMENTO="Proposto",H$12&gt;CÁLCULO.NúmeroDeFrentes),TRUE,PLE.ValorDoEvento=0)</formula>
    </cfRule>
    <cfRule type="cellIs" dxfId="335" priority="16" stopIfTrue="1" operator="equal">
      <formula>$J$9</formula>
    </cfRule>
  </conditionalFormatting>
  <conditionalFormatting sqref="F74:F82">
    <cfRule type="expression" dxfId="334" priority="9" stopIfTrue="1">
      <formula>IF(OR(ACOMPANHAMENTO="BM",F$12&gt;CÁLCULO.NúmeroDeFrentes),TRUE,PLE.ValorDoEvento=0)</formula>
    </cfRule>
    <cfRule type="cellIs" dxfId="333" priority="10" stopIfTrue="1" operator="equal">
      <formula>$J$9</formula>
    </cfRule>
  </conditionalFormatting>
  <conditionalFormatting sqref="H74:AF82">
    <cfRule type="expression" dxfId="332" priority="11" stopIfTrue="1">
      <formula>IF(OR(ACOMPANHAMENTO="BM",TIPOORCAMENTO="Proposto",H$12&gt;CÁLCULO.NúmeroDeFrentes),TRUE,PLE.ValorDoEvento=0)</formula>
    </cfRule>
    <cfRule type="cellIs" dxfId="331" priority="12" stopIfTrue="1" operator="equal">
      <formula>$J$9</formula>
    </cfRule>
  </conditionalFormatting>
  <conditionalFormatting sqref="F83:F91">
    <cfRule type="expression" dxfId="330" priority="5" stopIfTrue="1">
      <formula>IF(OR(ACOMPANHAMENTO="BM",F$12&gt;CÁLCULO.NúmeroDeFrentes),TRUE,PLE.ValorDoEvento=0)</formula>
    </cfRule>
    <cfRule type="cellIs" dxfId="329" priority="6" stopIfTrue="1" operator="equal">
      <formula>$J$9</formula>
    </cfRule>
  </conditionalFormatting>
  <conditionalFormatting sqref="H83:AF91">
    <cfRule type="expression" dxfId="328" priority="7" stopIfTrue="1">
      <formula>IF(OR(ACOMPANHAMENTO="BM",TIPOORCAMENTO="Proposto",H$12&gt;CÁLCULO.NúmeroDeFrentes),TRUE,PLE.ValorDoEvento=0)</formula>
    </cfRule>
    <cfRule type="cellIs" dxfId="327" priority="8" stopIfTrue="1" operator="equal">
      <formula>$J$9</formula>
    </cfRule>
  </conditionalFormatting>
  <conditionalFormatting sqref="F92:F96">
    <cfRule type="expression" dxfId="326" priority="1" stopIfTrue="1">
      <formula>IF(OR(ACOMPANHAMENTO="BM",F$12&gt;CÁLCULO.NúmeroDeFrentes),TRUE,PLE.ValorDoEvento=0)</formula>
    </cfRule>
    <cfRule type="cellIs" dxfId="325" priority="2" stopIfTrue="1" operator="equal">
      <formula>$J$9</formula>
    </cfRule>
  </conditionalFormatting>
  <conditionalFormatting sqref="H92:AF96">
    <cfRule type="expression" dxfId="324" priority="3" stopIfTrue="1">
      <formula>IF(OR(ACOMPANHAMENTO="BM",TIPOORCAMENTO="Proposto",H$12&gt;CÁLCULO.NúmeroDeFrentes),TRUE,PLE.ValorDoEvento=0)</formula>
    </cfRule>
    <cfRule type="cellIs" dxfId="323" priority="4" stopIfTrue="1" operator="equal">
      <formula>$J$9</formula>
    </cfRule>
  </conditionalFormatting>
  <dataValidations count="3">
    <dataValidation type="whole" operator="greaterThan" allowBlank="1" showErrorMessage="1" sqref="F1:F4 I3:AC4 J9:K9 F16:F96">
      <formula1>0</formula1>
      <formula2>0</formula2>
    </dataValidation>
    <dataValidation allowBlank="1" showInputMessage="1" showErrorMessage="1" prompt="Digite a data de medição abaixo dos eventos." sqref="N9:T9">
      <formula1>0</formula1>
      <formula2>0</formula2>
    </dataValidation>
    <dataValidation type="whole" operator="equal" allowBlank="1" showErrorMessage="1" errorTitle="Errp de entrada" error="Preencha somente com o número da medição atual." sqref="H1:AF1 H16:AF96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L19" sqref="L19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600" t="s">
        <v>146</v>
      </c>
      <c r="E3" s="600"/>
      <c r="F3" s="89" t="s">
        <v>441</v>
      </c>
      <c r="G3" s="600" t="s">
        <v>147</v>
      </c>
      <c r="H3" s="600"/>
      <c r="I3" s="600"/>
      <c r="J3" s="673" t="s">
        <v>306</v>
      </c>
      <c r="K3" s="673"/>
      <c r="L3" s="673"/>
      <c r="M3" s="674" t="s">
        <v>307</v>
      </c>
      <c r="N3" s="674"/>
      <c r="O3" s="674"/>
      <c r="Z3" s="104">
        <f ca="1">MAX(Z7:AB7)</f>
        <v>0.01</v>
      </c>
      <c r="AA3" s="314">
        <f ca="1">IF(OR($O$24=ORÇAMENTO.SumINVMANUAL+QCI.SumINVMANUAL,$O$24=0),0,MIN(MAX(0,($Z$3*$O$24-ORÇAMENTO.SumCPMANUAL-QCI.SumCPMANUAL)/($O$24-ORÇAMENTO.SumINVMANUAL-QCI.SumINVMANUAL)),1))</f>
        <v>0</v>
      </c>
      <c r="AB3" s="94"/>
    </row>
    <row r="4" spans="1:31" x14ac:dyDescent="0.2">
      <c r="D4" s="603" t="str">
        <f>Import.CR</f>
        <v>1095468-12</v>
      </c>
      <c r="E4" s="603"/>
      <c r="F4" s="57" t="str">
        <f>Import.TransfereGOV</f>
        <v>962693</v>
      </c>
      <c r="G4" s="603" t="str">
        <f>Import.Proponente</f>
        <v>PREFEITURA DE DOIS VIZINHOS - PR</v>
      </c>
      <c r="H4" s="603"/>
      <c r="I4" s="603"/>
      <c r="J4" s="675" t="str">
        <f>Import.Município</f>
        <v>DOIS VIZINHOS - PR</v>
      </c>
      <c r="K4" s="675"/>
      <c r="L4" s="675"/>
      <c r="M4" s="674"/>
      <c r="N4" s="674"/>
      <c r="O4" s="674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600" t="s">
        <v>202</v>
      </c>
      <c r="E6" s="600"/>
      <c r="F6" s="600"/>
      <c r="G6" s="600"/>
      <c r="H6" s="600"/>
      <c r="I6" s="600"/>
      <c r="J6" s="600"/>
      <c r="K6" s="600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593" t="s">
        <v>209</v>
      </c>
      <c r="D7" s="603" t="str">
        <f>Import.Apelido</f>
        <v>Construção do CMEI Cleovanize Totti</v>
      </c>
      <c r="E7" s="603"/>
      <c r="F7" s="603"/>
      <c r="G7" s="603"/>
      <c r="H7" s="603"/>
      <c r="I7" s="603"/>
      <c r="J7" s="603"/>
      <c r="K7" s="603"/>
      <c r="L7" s="316" t="str">
        <f>import.recurso</f>
        <v>OGU</v>
      </c>
      <c r="M7" s="317">
        <f>Import.Repasse</f>
        <v>5945400.9800000004</v>
      </c>
      <c r="N7" s="317">
        <f>Import.Contrapartida</f>
        <v>60054.559999999998</v>
      </c>
      <c r="O7" s="317">
        <f>M7+N7</f>
        <v>6005455.54</v>
      </c>
      <c r="Z7" s="104">
        <f>ROUND(Import.CPMinPerc,4)</f>
        <v>0.01</v>
      </c>
      <c r="AA7" s="104">
        <f ca="1">IF($O$24=0,0,Import.CPMinAbsoluta/$O$24)</f>
        <v>0</v>
      </c>
      <c r="AB7" s="104">
        <f ca="1">IF($O$24=0,0,($O$24-$AB$24-Import.Repasse)/($O$24))</f>
        <v>0</v>
      </c>
    </row>
    <row r="8" spans="1:31" x14ac:dyDescent="0.2">
      <c r="C8" s="593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593"/>
      <c r="G9" s="67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$727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671"/>
      <c r="I9" s="671"/>
      <c r="J9" s="671"/>
      <c r="K9" s="672" t="s">
        <v>313</v>
      </c>
      <c r="L9" s="319" t="str">
        <f>$L$13</f>
        <v>Repasse (R$)</v>
      </c>
      <c r="M9" s="319" t="s">
        <v>238</v>
      </c>
      <c r="AD9" s="669"/>
      <c r="AE9" s="669"/>
    </row>
    <row r="10" spans="1:31" ht="12.75" customHeight="1" x14ac:dyDescent="0.2">
      <c r="A10" s="668" t="s">
        <v>314</v>
      </c>
      <c r="C10" s="593"/>
      <c r="G10" s="671"/>
      <c r="H10" s="671"/>
      <c r="I10" s="671"/>
      <c r="J10" s="671"/>
      <c r="K10" s="672"/>
      <c r="L10" s="320">
        <f ca="1">Import.Repasse-L24</f>
        <v>5945400.9800000004</v>
      </c>
      <c r="M10" s="321">
        <f ca="1">Import.Contrapartida-M24</f>
        <v>60054.559999999998</v>
      </c>
      <c r="Z10" s="613" t="s">
        <v>216</v>
      </c>
      <c r="AA10" s="613"/>
      <c r="AB10" s="613"/>
      <c r="AD10" s="669" t="s">
        <v>315</v>
      </c>
      <c r="AE10" s="669"/>
    </row>
    <row r="11" spans="1:31" ht="20.100000000000001" customHeight="1" x14ac:dyDescent="0.2">
      <c r="A11" s="668"/>
      <c r="C11" s="593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IF(NOT(ISBLANK(QCI.DescManual)),IF(QCI.Divisao="Calculado","Manual","SemiAuto"),IF(ISERROR(MATCH($A12,ORÇAMENTO!$E$15:$E$727,0)),"Branco","Automático"))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IF(OR($B12="Manual",$B12="SemiAuto"),QCI.DescManual,IF($B12="Automático",INDEX(ORÇAMENTO!$R$15:$R$727,MATCH($A12,ORÇAMENTO!$E$15:$E$727,0)),""))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IF($B12="Branco",0,IF(OR($B12="Manual",$B12="SemiAuto"),QCI.InvManual,INDEX(ORÇAMENTO!X$15:X$727,MATCH($A12,ORÇAMENTO!$E$15:$E$727,0))))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IF($B12="Branco",0,IF($B12="Manual",QCI.CPManual,IF($B12="SemiAuto",ROUND(QCI!$AA$3*QCI.InvManual,2),INDEX(ORÇAMENTO!$AA$15:$AA$727,MATCH($A12,ORÇAMENTO!$E$15:$E$727,0)))))</f>
        <v>0</v>
      </c>
      <c r="AB12">
        <f ca="1">IF($B12="Branco",0,IF($B12="Manual",QCI.OutrosManual,IF($B12="SemiAuto",0,INDEX(ORÇAMENTO!$AB$15:$AB$727,MATCH($A12,ORÇAMENTO!$E$15:$E$727,0)))))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ht="25.5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IF(NOT(ISBLANK(QCI.DescManual)),IF(QCI.Divisao="Calculado","Manual","SemiAuto"),IF(ISERROR(MATCH($A14,ORÇAMENTO!$E$15:$E$727,0)),"Branco","Automático"))</f>
        <v>Automático</v>
      </c>
      <c r="C14" t="str">
        <f t="shared" ref="C14:C22" ca="1" si="1">IF(O14&gt;0,"F","")</f>
        <v/>
      </c>
      <c r="D14" s="322">
        <f t="shared" ref="D14:D22" si="2">ROW()-ROW($D$13)</f>
        <v>1</v>
      </c>
      <c r="E14" s="120" t="s">
        <v>9</v>
      </c>
      <c r="F14" s="120" t="s">
        <v>450</v>
      </c>
      <c r="G14" s="172" t="str">
        <f ca="1">IF(OR($B14="Manual",$B14="SemiAuto"),QCI.DescManual,IF($B14="Automático",INDEX(ORÇAMENTO!$R$15:$R$727,MATCH($A14,ORÇAMENTO!$E$15:$E$727,0)),""))</f>
        <v xml:space="preserve">CONSTRUÇÃO - CRECHE TIPO 01 -  FNDE </v>
      </c>
      <c r="H14" s="120" t="s">
        <v>1031</v>
      </c>
      <c r="I14" s="557">
        <v>1</v>
      </c>
      <c r="J14" s="323" t="e">
        <f ca="1">IF(AND(ISBLANK(E14),ISBLANK(F14)),"",VLOOKUP($F14,OFFSET(DADOS!$A$2,1,MATCH(QCI!$E14,DADOS!$2:$2,0)-1,100,50),2,FALSE))</f>
        <v>#N/A</v>
      </c>
      <c r="K14" s="556">
        <f ca="1">IF(OR($B14="Manual",$B14="SemiAuto"),QCI.LoteManual,IF($B14="Automático",IF(TIPOORCAMENTO="Licitado",Import.CTEF,"LOTE 1"),""))</f>
        <v>0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0</v>
      </c>
      <c r="N14" s="326">
        <f t="shared" ref="N14:N22" ca="1" si="5">ROUND($AB14,2)</f>
        <v>0</v>
      </c>
      <c r="O14" s="327">
        <f ca="1">IF($B14="Branco",0,IF(OR($B14="Manual",$B14="SemiAuto"),QCI.InvManual,INDEX(ORÇAMENTO!X$15:X$727,MATCH($A14,ORÇAMENTO!$E$15:$E$727,0))))</f>
        <v>0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0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IF($B14="Branco",0,IF($B14="Manual",QCI.CPManual,IF($B14="SemiAuto",ROUND(QCI!$AA$3*QCI.InvManual,2),INDEX(ORÇAMENTO!$AA$15:$AA$727,MATCH($A14,ORÇAMENTO!$E$15:$E$727,0)))))</f>
        <v>0</v>
      </c>
      <c r="AB14">
        <f ca="1">IF($B14="Branco",0,IF($B14="Manual",QCI.OutrosManual,IF($B14="SemiAuto",0,INDEX(ORÇAMENTO!$AB$15:$AB$727,MATCH($A14,ORÇAMENTO!$E$15:$E$727,0)))))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IF(NOT(ISBLANK(QCI.DescManual)),IF(QCI.Divisao="Calculado","Manual","SemiAuto"),IF(ISERROR(MATCH($A15,ORÇAMENTO!$E$15:$E$727,0)),"Branco","Automático"))</f>
        <v>Branco</v>
      </c>
      <c r="C15" t="str">
        <f t="shared" ca="1" si="1"/>
        <v/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IF(OR($B15="Manual",$B15="SemiAuto"),QCI.DescManual,IF($B15="Automático",INDEX(ORÇAMENTO!$R$15:$R$727,MATCH($A15,ORÇAMENTO!$E$15:$E$727,0)),""))</f>
        <v/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/>
      </c>
      <c r="L15" s="324">
        <f t="shared" ca="1" si="3"/>
        <v>0</v>
      </c>
      <c r="M15" s="325">
        <f t="shared" ca="1" si="4"/>
        <v>0</v>
      </c>
      <c r="N15" s="326">
        <f t="shared" ca="1" si="5"/>
        <v>0</v>
      </c>
      <c r="O15" s="327">
        <f ca="1">IF($B15="Branco",0,IF(OR($B15="Manual",$B15="SemiAuto"),QCI.InvManual,INDEX(ORÇAMENTO!X$15:X$727,MATCH($A15,ORÇAMENTO!$E$15:$E$727,0))))</f>
        <v>0</v>
      </c>
      <c r="P15" s="532"/>
      <c r="R15" s="558"/>
      <c r="T15" s="559"/>
      <c r="U15" s="329"/>
      <c r="V15" s="560" t="s">
        <v>317</v>
      </c>
      <c r="W15" s="330">
        <f t="shared" ca="1" si="6"/>
        <v>0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IF($B15="Branco",0,IF($B15="Manual",QCI.CPManual,IF($B15="SemiAuto",ROUND(QCI!$AA$3*QCI.InvManual,2),INDEX(ORÇAMENTO!$AA$15:$AA$727,MATCH($A15,ORÇAMENTO!$E$15:$E$727,0)))))</f>
        <v>0</v>
      </c>
      <c r="AB15">
        <f ca="1">IF($B15="Branco",0,IF($B15="Manual",QCI.OutrosManual,IF($B15="SemiAuto",0,INDEX(ORÇAMENTO!$AB$15:$AB$727,MATCH($A15,ORÇAMENTO!$E$15:$E$727,0)))))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IF(NOT(ISBLANK(QCI.DescManual)),IF(QCI.Divisao="Calculado","Manual","SemiAuto"),IF(ISERROR(MATCH($A16,ORÇAMENTO!$E$15:$E$727,0)),"Branco","Automático"))</f>
        <v>Branco</v>
      </c>
      <c r="C16" t="str">
        <f t="shared" ca="1" si="1"/>
        <v/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IF(OR($B16="Manual",$B16="SemiAuto"),QCI.DescManual,IF($B16="Automático",INDEX(ORÇAMENTO!$R$15:$R$727,MATCH($A16,ORÇAMENTO!$E$15:$E$727,0)),""))</f>
        <v/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/>
      </c>
      <c r="L16" s="324">
        <f t="shared" ca="1" si="3"/>
        <v>0</v>
      </c>
      <c r="M16" s="325">
        <f t="shared" ca="1" si="4"/>
        <v>0</v>
      </c>
      <c r="N16" s="326">
        <f t="shared" ca="1" si="5"/>
        <v>0</v>
      </c>
      <c r="O16" s="327">
        <f ca="1">IF($B16="Branco",0,IF(OR($B16="Manual",$B16="SemiAuto"),QCI.InvManual,INDEX(ORÇAMENTO!X$15:X$727,MATCH($A16,ORÇAMENTO!$E$15:$E$727,0))))</f>
        <v>0</v>
      </c>
      <c r="P16" s="532"/>
      <c r="R16" s="558"/>
      <c r="T16" s="559"/>
      <c r="U16" s="329"/>
      <c r="V16" s="560" t="s">
        <v>317</v>
      </c>
      <c r="W16" s="330">
        <f t="shared" ca="1" si="6"/>
        <v>0</v>
      </c>
      <c r="X16" s="331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IF($B16="Branco",0,IF($B16="Manual",QCI.CPManual,IF($B16="SemiAuto",ROUND(QCI!$AA$3*QCI.InvManual,2),INDEX(ORÇAMENTO!$AA$15:$AA$727,MATCH($A16,ORÇAMENTO!$E$15:$E$727,0)))))</f>
        <v>0</v>
      </c>
      <c r="AB16">
        <f ca="1">IF($B16="Branco",0,IF($B16="Manual",QCI.OutrosManual,IF($B16="SemiAuto",0,INDEX(ORÇAMENTO!$AB$15:$AB$727,MATCH($A16,ORÇAMENTO!$E$15:$E$727,0)))))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IF(NOT(ISBLANK(QCI.DescManual)),IF(QCI.Divisao="Calculado","Manual","SemiAuto"),IF(ISERROR(MATCH($A17,ORÇAMENTO!$E$15:$E$727,0)),"Branco","Automático"))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IF(OR($B17="Manual",$B17="SemiAuto"),QCI.DescManual,IF($B17="Automático",INDEX(ORÇAMENTO!$R$15:$R$727,MATCH($A17,ORÇAMENTO!$E$15:$E$727,0)),""))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IF($B17="Branco",0,IF(OR($B17="Manual",$B17="SemiAuto"),QCI.InvManual,INDEX(ORÇAMENTO!X$15:X$727,MATCH($A17,ORÇAMENTO!$E$15:$E$727,0))))</f>
        <v>0</v>
      </c>
      <c r="P17" s="532"/>
      <c r="R17" s="558"/>
      <c r="T17" s="559"/>
      <c r="U17" s="329"/>
      <c r="V17" s="560" t="s">
        <v>317</v>
      </c>
      <c r="W17" s="330">
        <f t="shared" ca="1" si="6"/>
        <v>0</v>
      </c>
      <c r="X17" s="331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IF($B17="Branco",0,IF($B17="Manual",QCI.CPManual,IF($B17="SemiAuto",ROUND(QCI!$AA$3*QCI.InvManual,2),INDEX(ORÇAMENTO!$AA$15:$AA$727,MATCH($A17,ORÇAMENTO!$E$15:$E$727,0)))))</f>
        <v>0</v>
      </c>
      <c r="AB17">
        <f ca="1">IF($B17="Branco",0,IF($B17="Manual",QCI.OutrosManual,IF($B17="SemiAuto",0,INDEX(ORÇAMENTO!$AB$15:$AB$727,MATCH($A17,ORÇAMENTO!$E$15:$E$727,0)))))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IF(NOT(ISBLANK(QCI.DescManual)),IF(QCI.Divisao="Calculado","Manual","SemiAuto"),IF(ISERROR(MATCH($A18,ORÇAMENTO!$E$15:$E$727,0)),"Branco","Automático"))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IF(OR($B18="Manual",$B18="SemiAuto"),QCI.DescManual,IF($B18="Automático",INDEX(ORÇAMENTO!$R$15:$R$727,MATCH($A18,ORÇAMENTO!$E$15:$E$727,0)),""))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IF($B18="Branco",0,IF(OR($B18="Manual",$B18="SemiAuto"),QCI.InvManual,INDEX(ORÇAMENTO!X$15:X$727,MATCH($A18,ORÇAMENTO!$E$15:$E$727,0))))</f>
        <v>0</v>
      </c>
      <c r="P18" s="532"/>
      <c r="R18" s="558"/>
      <c r="T18" s="559"/>
      <c r="U18" s="329"/>
      <c r="V18" s="560" t="s">
        <v>317</v>
      </c>
      <c r="W18" s="330">
        <f t="shared" ca="1" si="6"/>
        <v>0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IF($B18="Branco",0,IF($B18="Manual",QCI.CPManual,IF($B18="SemiAuto",ROUND(QCI!$AA$3*QCI.InvManual,2),INDEX(ORÇAMENTO!$AA$15:$AA$727,MATCH($A18,ORÇAMENTO!$E$15:$E$727,0)))))</f>
        <v>0</v>
      </c>
      <c r="AB18">
        <f ca="1">IF($B18="Branco",0,IF($B18="Manual",QCI.OutrosManual,IF($B18="SemiAuto",0,INDEX(ORÇAMENTO!$AB$15:$AB$727,MATCH($A18,ORÇAMENTO!$E$15:$E$727,0)))))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IF(NOT(ISBLANK(QCI.DescManual)),IF(QCI.Divisao="Calculado","Manual","SemiAuto"),IF(ISERROR(MATCH($A19,ORÇAMENTO!$E$15:$E$727,0)),"Branco","Automático"))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IF(OR($B19="Manual",$B19="SemiAuto"),QCI.DescManual,IF($B19="Automático",INDEX(ORÇAMENTO!$R$15:$R$727,MATCH($A19,ORÇAMENTO!$E$15:$E$727,0)),""))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IF($B19="Branco",0,IF(OR($B19="Manual",$B19="SemiAuto"),QCI.InvManual,INDEX(ORÇAMENTO!X$15:X$727,MATCH($A19,ORÇAMENTO!$E$15:$E$727,0))))</f>
        <v>0</v>
      </c>
      <c r="P19" s="532"/>
      <c r="R19" s="558"/>
      <c r="T19" s="559"/>
      <c r="U19" s="329"/>
      <c r="V19" s="560" t="s">
        <v>317</v>
      </c>
      <c r="W19" s="330">
        <f t="shared" ca="1" si="6"/>
        <v>0</v>
      </c>
      <c r="X19" s="331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IF($B19="Branco",0,IF($B19="Manual",QCI.CPManual,IF($B19="SemiAuto",ROUND(QCI!$AA$3*QCI.InvManual,2),INDEX(ORÇAMENTO!$AA$15:$AA$727,MATCH($A19,ORÇAMENTO!$E$15:$E$727,0)))))</f>
        <v>0</v>
      </c>
      <c r="AB19">
        <f ca="1">IF($B19="Branco",0,IF($B19="Manual",QCI.OutrosManual,IF($B19="SemiAuto",0,INDEX(ORÇAMENTO!$AB$15:$AB$727,MATCH($A19,ORÇAMENTO!$E$15:$E$727,0)))))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IF(NOT(ISBLANK(QCI.DescManual)),IF(QCI.Divisao="Calculado","Manual","SemiAuto"),IF(ISERROR(MATCH($A20,ORÇAMENTO!$E$15:$E$727,0)),"Branco","Automático"))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IF(OR($B20="Manual",$B20="SemiAuto"),QCI.DescManual,IF($B20="Automático",INDEX(ORÇAMENTO!$R$15:$R$727,MATCH($A20,ORÇAMENTO!$E$15:$E$727,0)),""))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IF($B20="Branco",0,IF(OR($B20="Manual",$B20="SemiAuto"),QCI.InvManual,INDEX(ORÇAMENTO!X$15:X$727,MATCH($A20,ORÇAMENTO!$E$15:$E$727,0))))</f>
        <v>0</v>
      </c>
      <c r="P20" s="532"/>
      <c r="R20" s="558"/>
      <c r="T20" s="559"/>
      <c r="U20" s="329"/>
      <c r="V20" s="560" t="s">
        <v>317</v>
      </c>
      <c r="W20" s="330">
        <f t="shared" ca="1" si="6"/>
        <v>0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IF($B20="Branco",0,IF($B20="Manual",QCI.CPManual,IF($B20="SemiAuto",ROUND(QCI!$AA$3*QCI.InvManual,2),INDEX(ORÇAMENTO!$AA$15:$AA$727,MATCH($A20,ORÇAMENTO!$E$15:$E$727,0)))))</f>
        <v>0</v>
      </c>
      <c r="AB20">
        <f ca="1">IF($B20="Branco",0,IF($B20="Manual",QCI.OutrosManual,IF($B20="SemiAuto",0,INDEX(ORÇAMENTO!$AB$15:$AB$727,MATCH($A20,ORÇAMENTO!$E$15:$E$727,0)))))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IF(NOT(ISBLANK(QCI.DescManual)),IF(QCI.Divisao="Calculado","Manual","SemiAuto"),IF(ISERROR(MATCH($A21,ORÇAMENTO!$E$15:$E$727,0)),"Branco","Automático"))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IF(OR($B21="Manual",$B21="SemiAuto"),QCI.DescManual,IF($B21="Automático",INDEX(ORÇAMENTO!$R$15:$R$727,MATCH($A21,ORÇAMENTO!$E$15:$E$727,0)),""))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IF($B21="Branco",0,IF(OR($B21="Manual",$B21="SemiAuto"),QCI.InvManual,INDEX(ORÇAMENTO!X$15:X$727,MATCH($A21,ORÇAMENTO!$E$15:$E$727,0))))</f>
        <v>0</v>
      </c>
      <c r="P21" s="532"/>
      <c r="R21" s="558"/>
      <c r="T21" s="559"/>
      <c r="U21" s="329"/>
      <c r="V21" s="560" t="s">
        <v>317</v>
      </c>
      <c r="W21" s="330">
        <f t="shared" ca="1" si="6"/>
        <v>0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IF($B21="Branco",0,IF($B21="Manual",QCI.CPManual,IF($B21="SemiAuto",ROUND(QCI!$AA$3*QCI.InvManual,2),INDEX(ORÇAMENTO!$AA$15:$AA$727,MATCH($A21,ORÇAMENTO!$E$15:$E$727,0)))))</f>
        <v>0</v>
      </c>
      <c r="AB21">
        <f ca="1">IF($B21="Branco",0,IF($B21="Manual",QCI.OutrosManual,IF($B21="SemiAuto",0,INDEX(ORÇAMENTO!$AB$15:$AB$727,MATCH($A21,ORÇAMENTO!$E$15:$E$727,0)))))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IF(NOT(ISBLANK(QCI.DescManual)),IF(QCI.Divisao="Calculado","Manual","SemiAuto"),IF(ISERROR(MATCH($A22,ORÇAMENTO!$E$15:$E$727,0)),"Branco","Automático"))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IF(OR($B22="Manual",$B22="SemiAuto"),QCI.DescManual,IF($B22="Automático",INDEX(ORÇAMENTO!$R$15:$R$727,MATCH($A22,ORÇAMENTO!$E$15:$E$727,0)),""))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IF($B22="Branco",0,IF(OR($B22="Manual",$B22="SemiAuto"),QCI.InvManual,INDEX(ORÇAMENTO!X$15:X$727,MATCH($A22,ORÇAMENTO!$E$15:$E$727,0))))</f>
        <v>0</v>
      </c>
      <c r="P22" s="532"/>
      <c r="R22" s="558"/>
      <c r="T22" s="559"/>
      <c r="U22" s="329"/>
      <c r="V22" s="560" t="s">
        <v>317</v>
      </c>
      <c r="W22" s="330">
        <f t="shared" ca="1" si="6"/>
        <v>0</v>
      </c>
      <c r="X22" s="331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IF($B22="Branco",0,IF($B22="Manual",QCI.CPManual,IF($B22="SemiAuto",ROUND(QCI!$AA$3*QCI.InvManual,2),INDEX(ORÇAMENTO!$AA$15:$AA$727,MATCH($A22,ORÇAMENTO!$E$15:$E$727,0)))))</f>
        <v>0</v>
      </c>
      <c r="AB22">
        <f ca="1">IF($B22="Branco",0,IF($B22="Manual",QCI.OutrosManual,IF($B22="SemiAuto",0,INDEX(ORÇAMENTO!$AB$15:$AB$727,MATCH($A22,ORÇAMENTO!$E$15:$E$727,0)))))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IF(NOT(ISBLANK(QCI.DescManual)),IF(QCI.Divisao="Calculado","Manual","SemiAuto"),IF(ISERROR(MATCH($A23,ORÇAMENTO!$E$15:$E$727,0)),"Branco","Automático"))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IF(OR($B23="Manual",$B23="SemiAuto"),QCI.DescManual,IF($B23="Automático",INDEX(ORÇAMENTO!$R$15:$R$727,MATCH($A23,ORÇAMENTO!$E$15:$E$727,0)),""))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IF($B23="Branco",0,IF(OR($B23="Manual",$B23="SemiAuto"),QCI.InvManual,INDEX(ORÇAMENTO!X$15:X$727,MATCH($A23,ORÇAMENTO!$E$15:$E$727,0))))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IF($B23="Branco",0,IF($B23="Manual",QCI.CPManual,IF($B23="SemiAuto",ROUND(QCI!$AA$3*QCI.InvManual,2),INDEX(ORÇAMENTO!$AA$15:$AA$727,MATCH($A23,ORÇAMENTO!$E$15:$E$727,0)))))</f>
        <v>0</v>
      </c>
      <c r="AB23">
        <f ca="1">IF($B23="Branco",0,IF($B23="Manual",QCI.OutrosManual,IF($B23="SemiAuto",0,INDEX(ORÇAMENTO!$AB$15:$AB$727,MATCH($A23,ORÇAMENTO!$E$15:$E$727,0)))))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0" t="s">
        <v>328</v>
      </c>
      <c r="L24" s="341">
        <f ca="1">SUM(L13:OFFSET(L24,-1,0))</f>
        <v>0</v>
      </c>
      <c r="M24" s="342">
        <f ca="1">SUM(M13:OFFSET(M24,-1,0))</f>
        <v>0</v>
      </c>
      <c r="N24" s="343">
        <f ca="1">SUM(N13:OFFSET(N24,-1,0))</f>
        <v>0</v>
      </c>
      <c r="O24" s="344">
        <f ca="1">SUM(O13:OFFSET(O24,-1,0))</f>
        <v>0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0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0"/>
      <c r="L25" s="353">
        <f ca="1">IF(ISERROR(L24/$O24),0,ROUND(L24/$O24,4))</f>
        <v>0</v>
      </c>
      <c r="M25" s="354">
        <f ca="1">IF(ISERROR(M24/$O24),0,ROUND(M24/$O24,4))</f>
        <v>0</v>
      </c>
      <c r="N25" s="355">
        <f ca="1">IF(ISERROR(N24/$O24),0,ROUND(N24/$O24,4))</f>
        <v>0</v>
      </c>
      <c r="O25" s="356">
        <f ca="1">IF(ISERROR(O24/$O24),0,ROUND(O24/$O24,4))</f>
        <v>0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20"/>
      <c r="E28" s="620"/>
      <c r="F28" s="620"/>
      <c r="G28" s="620"/>
      <c r="H28" s="620"/>
      <c r="I28" s="620"/>
      <c r="J28" s="620"/>
      <c r="K28" s="620"/>
      <c r="L28" s="620"/>
      <c r="M28" s="620"/>
      <c r="N28" s="620"/>
      <c r="O28" s="620"/>
    </row>
    <row r="29" spans="1:31" ht="12.75" customHeight="1" x14ac:dyDescent="0.2">
      <c r="D29" s="620"/>
      <c r="E29" s="620"/>
      <c r="F29" s="620"/>
      <c r="G29" s="620"/>
      <c r="H29" s="620"/>
      <c r="I29" s="620"/>
      <c r="J29" s="620"/>
      <c r="K29" s="620"/>
      <c r="L29" s="620"/>
      <c r="M29" s="620"/>
      <c r="N29" s="620"/>
      <c r="O29" s="620"/>
    </row>
    <row r="30" spans="1:31" ht="12.75" customHeight="1" x14ac:dyDescent="0.2">
      <c r="D30" s="620"/>
      <c r="E30" s="620"/>
      <c r="F30" s="620"/>
      <c r="G30" s="620"/>
      <c r="H30" s="620"/>
      <c r="I30" s="620"/>
      <c r="J30" s="620"/>
      <c r="K30" s="620"/>
      <c r="L30" s="620"/>
      <c r="M30" s="620"/>
      <c r="N30" s="620"/>
      <c r="O30" s="620"/>
    </row>
    <row r="33" spans="4:12" ht="15" x14ac:dyDescent="0.2">
      <c r="D33" s="622" t="str">
        <f>Import.Município</f>
        <v>DOIS VIZINHOS - PR</v>
      </c>
      <c r="E33" s="622"/>
      <c r="F33" s="622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LUIS CARLOS TURATTO</v>
      </c>
    </row>
    <row r="36" spans="4:12" x14ac:dyDescent="0.2">
      <c r="D36" s="617">
        <f ca="1">DADOS!$F$25</f>
        <v>45663</v>
      </c>
      <c r="E36" s="617"/>
      <c r="F36" s="617"/>
      <c r="I36" s="78" t="str">
        <f>"Cargo:"  &amp; " " &amp; DADOS!F29</f>
        <v>Cargo: PREFEITO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/>
  <mergeCells count="20">
    <mergeCell ref="D3:E3"/>
    <mergeCell ref="G3:I3"/>
    <mergeCell ref="J3:L3"/>
    <mergeCell ref="M3:O4"/>
    <mergeCell ref="D4:E4"/>
    <mergeCell ref="G4:I4"/>
    <mergeCell ref="J4:L4"/>
    <mergeCell ref="AD10:AE10"/>
    <mergeCell ref="K24:K25"/>
    <mergeCell ref="C7:C11"/>
    <mergeCell ref="G9:J10"/>
    <mergeCell ref="K9:K10"/>
    <mergeCell ref="AD9:AE9"/>
    <mergeCell ref="D7:K7"/>
    <mergeCell ref="D6:K6"/>
    <mergeCell ref="A10:A11"/>
    <mergeCell ref="Z10:AB10"/>
    <mergeCell ref="D36:F36"/>
    <mergeCell ref="D28:O30"/>
    <mergeCell ref="D33:F33"/>
  </mergeCells>
  <phoneticPr fontId="39" type="noConversion"/>
  <conditionalFormatting sqref="T12:V12">
    <cfRule type="expression" dxfId="322" priority="157" stopIfTrue="1">
      <formula>OR($B12="Automático",$B12="Branco")</formula>
    </cfRule>
  </conditionalFormatting>
  <conditionalFormatting sqref="L12">
    <cfRule type="expression" dxfId="321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320" priority="159" stopIfTrue="1">
      <formula>OR($B12="Automático",$B12="Branco",$V12&lt;&gt;"Calculado")</formula>
    </cfRule>
  </conditionalFormatting>
  <conditionalFormatting sqref="M25">
    <cfRule type="expression" dxfId="319" priority="161" stopIfTrue="1">
      <formula>AND($G$9&lt;&gt;"",OR($M$25&lt;Import.CPMinPerc,$M$25&gt;Import.CPMaxPerc))</formula>
    </cfRule>
  </conditionalFormatting>
  <conditionalFormatting sqref="M24">
    <cfRule type="expression" dxfId="318" priority="162" stopIfTrue="1">
      <formula>AND($G$9&lt;&gt;"",$M$24&lt;Import.CPMinAbsoluta)</formula>
    </cfRule>
  </conditionalFormatting>
  <conditionalFormatting sqref="L10:M10">
    <cfRule type="cellIs" dxfId="317" priority="163" stopIfTrue="1" operator="lessThan">
      <formula>0</formula>
    </cfRule>
  </conditionalFormatting>
  <conditionalFormatting sqref="G12">
    <cfRule type="cellIs" dxfId="316" priority="164" stopIfTrue="1" operator="equal">
      <formula>"(digite a descrição aqui)"</formula>
    </cfRule>
  </conditionalFormatting>
  <conditionalFormatting sqref="T14:V22">
    <cfRule type="expression" dxfId="315" priority="5" stopIfTrue="1">
      <formula>OR($B14="Automático",$B14="Branco")</formula>
    </cfRule>
  </conditionalFormatting>
  <conditionalFormatting sqref="L14:L22">
    <cfRule type="expression" dxfId="31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313" priority="7" stopIfTrue="1">
      <formula>OR($B14="Automático",$B14="Branco",$V14&lt;&gt;"Calculado")</formula>
    </cfRule>
  </conditionalFormatting>
  <conditionalFormatting sqref="G14:G22">
    <cfRule type="cellIs" dxfId="312" priority="8" stopIfTrue="1" operator="equal">
      <formula>"(digite a descrição aqui)"</formula>
    </cfRule>
  </conditionalFormatting>
  <conditionalFormatting sqref="T23:V23">
    <cfRule type="expression" dxfId="311" priority="1" stopIfTrue="1">
      <formula>OR($B23="Automático",$B23="Branco")</formula>
    </cfRule>
  </conditionalFormatting>
  <conditionalFormatting sqref="L23">
    <cfRule type="expression" dxfId="31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309" priority="3" stopIfTrue="1">
      <formula>OR($B23="Automático",$B23="Branco",$V23&lt;&gt;"Calculado")</formula>
    </cfRule>
  </conditionalFormatting>
  <conditionalFormatting sqref="G23">
    <cfRule type="cellIs" dxfId="30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>
      <formula1>0</formula1>
      <formula2>0</formula2>
    </dataValidation>
    <dataValidation type="list" allowBlank="1" sqref="E12 E14:E23">
      <formula1>QCI.ItemInvestimento</formula1>
      <formula2>0</formula2>
    </dataValidation>
    <dataValidation type="list" allowBlank="1" sqref="F12 F14:F23">
      <formula1>QCI.SubItemInvestimento</formula1>
      <formula2>0</formula2>
    </dataValidation>
    <dataValidation type="list" allowBlank="1" sqref="H12 H14:H23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>
      <formula1>0</formula1>
      <formula2>0</formula2>
    </dataValidation>
    <dataValidation type="list" allowBlank="1" showErrorMessage="1" sqref="V12 V14:V23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>
      <formula1>0</formula1>
      <formula2>QCI.MaxOUManual</formula2>
    </dataValidation>
    <dataValidation allowBlank="1" showInputMessage="1" showErrorMessage="1" prompt="Preencha somente se a meta não fizer parte do Orçamento desta Plan. Mult." sqref="R12 R14:R23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3">
    <pageSetUpPr fitToPage="1"/>
  </sheetPr>
  <dimension ref="A1:AO742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121" sqref="A121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EMPREITADA POR PREÇO GLOBAL - OGU</v>
      </c>
      <c r="O2" s="12" t="s">
        <v>143</v>
      </c>
    </row>
    <row r="3" spans="1:41" x14ac:dyDescent="0.2">
      <c r="A3" s="688" t="b">
        <v>0</v>
      </c>
      <c r="B3" s="688"/>
      <c r="E3" s="87"/>
    </row>
    <row r="4" spans="1:41" x14ac:dyDescent="0.2">
      <c r="D4" s="600" t="s">
        <v>147</v>
      </c>
      <c r="E4" s="600"/>
      <c r="F4" s="611" t="s">
        <v>146</v>
      </c>
      <c r="G4" s="611"/>
      <c r="H4" s="611"/>
      <c r="I4" s="151" t="s">
        <v>441</v>
      </c>
      <c r="J4" s="600" t="s">
        <v>202</v>
      </c>
      <c r="K4" s="600"/>
      <c r="L4" s="600"/>
      <c r="M4" s="600"/>
      <c r="N4" s="600"/>
      <c r="O4" s="153" t="s">
        <v>332</v>
      </c>
    </row>
    <row r="5" spans="1:41" ht="12.75" customHeight="1" x14ac:dyDescent="0.2">
      <c r="A5" t="s">
        <v>333</v>
      </c>
      <c r="D5" s="603" t="str">
        <f>Import.Proponente</f>
        <v>PREFEITURA DE DOIS VIZINHOS - PR</v>
      </c>
      <c r="E5" s="603"/>
      <c r="F5" s="616" t="str">
        <f>Import.CR</f>
        <v>1095468-12</v>
      </c>
      <c r="G5" s="616"/>
      <c r="H5" s="616"/>
      <c r="I5" s="367" t="str">
        <f>Import.TransfereGOV</f>
        <v>962693</v>
      </c>
      <c r="J5" s="603" t="str">
        <f>Import.Apelido</f>
        <v>Construção do CMEI Cleovanize Totti</v>
      </c>
      <c r="K5" s="603"/>
      <c r="L5" s="603"/>
      <c r="M5" s="603"/>
      <c r="N5" s="603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Global</v>
      </c>
      <c r="D7" s="89" t="s">
        <v>335</v>
      </c>
      <c r="E7" s="89" t="s">
        <v>336</v>
      </c>
      <c r="F7" s="600" t="s">
        <v>337</v>
      </c>
      <c r="G7" s="600"/>
      <c r="H7" s="600"/>
      <c r="I7" s="600" t="str">
        <f>IF(TIPOORCAMENTO="Licitado","REGIME DE EXECUÇÃO","MUNICÍPIO / UF")</f>
        <v>REGIME DE EXECUÇÃO</v>
      </c>
      <c r="J7" s="600"/>
      <c r="K7" s="600"/>
      <c r="L7" s="600"/>
      <c r="M7" s="600" t="s">
        <v>338</v>
      </c>
      <c r="N7" s="600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593" t="s">
        <v>209</v>
      </c>
      <c r="D8" s="371">
        <f>Import.CTEF</f>
        <v>0</v>
      </c>
      <c r="E8" s="57">
        <f>Import.empresa</f>
        <v>0</v>
      </c>
      <c r="F8" s="603">
        <f>Import.CNPJ</f>
        <v>0</v>
      </c>
      <c r="G8" s="603"/>
      <c r="H8" s="603"/>
      <c r="I8" s="603" t="str">
        <f ca="1">IF(TIPOORCAMENTO="Licitado",Import.RegimeExecução,Import.Município)</f>
        <v>EMPREITADA POR PREÇO GLOBAL</v>
      </c>
      <c r="J8" s="603"/>
      <c r="K8" s="603"/>
      <c r="L8" s="603"/>
      <c r="M8" s="603" t="str">
        <f ca="1">TEXT(IF(BM.medicao=1,Import.DataInicioObra,OFFSET($AB$12,0,BM.medicao-1-$AB$13)+1),"dd/mm/aaaa")&amp;" a "&amp;TEXT(OFFSET($AB$12,0,BM.medicao-$AB$13),"dd/mm/aaaa")</f>
        <v>00/01/1900 a 00/01/1900</v>
      </c>
      <c r="N8" s="603"/>
      <c r="O8" s="490">
        <v>1</v>
      </c>
    </row>
    <row r="9" spans="1:41" ht="12.75" customHeight="1" x14ac:dyDescent="0.2">
      <c r="A9" s="531" t="b">
        <v>1</v>
      </c>
      <c r="B9" s="43"/>
      <c r="C9" s="593"/>
    </row>
    <row r="10" spans="1:41" x14ac:dyDescent="0.2">
      <c r="C10" s="593"/>
      <c r="E10" s="686" t="str">
        <f>IF(ACOMPANHAMENTO="PLE","Foi selecionado na aba 'MENU' o acompanhamento por PLE.",IF(TIPOORCAMENTO="Proposto","Altere na aba 'MENU' o tipo de orçamento para 'Licitado'.",""))</f>
        <v>Foi selecionado na aba 'MENU' o acompanhamento por PLE.</v>
      </c>
      <c r="F10" s="686"/>
      <c r="G10" s="686"/>
      <c r="H10" s="686"/>
      <c r="I10" s="686"/>
      <c r="N10" s="687" t="str">
        <f ca="1">"Realizado Acumulado: "&amp;TEXT(ROUND($O$15/($I$15+10^-12),4),"0,00%")</f>
        <v>Realizado Acumulado: 0,00%</v>
      </c>
      <c r="O10" s="687"/>
    </row>
    <row r="11" spans="1:41" ht="15" customHeight="1" x14ac:dyDescent="0.25">
      <c r="C11" s="593"/>
      <c r="E11" s="686"/>
      <c r="F11" s="686"/>
      <c r="G11" s="686"/>
      <c r="H11" s="686"/>
      <c r="I11" s="686"/>
      <c r="N11" s="687"/>
      <c r="O11" s="687"/>
      <c r="T11" s="685" t="s">
        <v>341</v>
      </c>
      <c r="U11" s="685"/>
      <c r="Z11" s="4"/>
      <c r="AB11" s="660" t="s">
        <v>342</v>
      </c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</row>
    <row r="12" spans="1:41" ht="15" customHeight="1" x14ac:dyDescent="0.25">
      <c r="C12" s="593"/>
      <c r="E12" s="85" t="s">
        <v>343</v>
      </c>
      <c r="J12" s="605" t="str">
        <f ca="1">"Evolução Física "&amp;CHOOSE(MATCH(RegimeExecucao,{"Unitário","Global"},0),"(Qtde.)","(%)")</f>
        <v>Evolução Física (%)</v>
      </c>
      <c r="K12" s="605"/>
      <c r="L12" s="605"/>
      <c r="M12" s="605" t="s">
        <v>344</v>
      </c>
      <c r="N12" s="605"/>
      <c r="O12" s="605"/>
      <c r="Q12" s="605" t="str">
        <f ca="1">"Aferido (CAIXA) "&amp;CHOOSE(MATCH(RegimeExecucao,{"Unitário","Global"},0),"(Qtde.)","(%)")</f>
        <v>Aferido (CAIXA) (%)</v>
      </c>
      <c r="R12" s="605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/>
      </c>
      <c r="W13" s="337" t="str">
        <f ca="1">CHOOSE(MATCH(RegimeExecucao,{"Unitário","Global"},0),"Quant. Glosada (unid)","Percentual Glosado (%)")</f>
        <v>Percentual Glosado (%)</v>
      </c>
      <c r="X13" s="337" t="str">
        <f ca="1">CHOOSE(MATCH(RegimeExecucao,{"Unitário","Global"},0),"Preço Unitário (R$)","Valor Total do Item (R$)")</f>
        <v>Valor Total do Item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(abra o arquivo 'Referência 06-2024.xlsm)</v>
      </c>
      <c r="F14" s="173" t="str">
        <f ca="1">IF(RegimeExecucao="Global","",ORÇAMENTO.Unidade)</f>
        <v/>
      </c>
      <c r="G14" s="124" t="str">
        <f ca="1">IF(RegimeExecucao="Global","",ORÇAMENTO!T14)</f>
        <v/>
      </c>
      <c r="H14" s="124" t="str">
        <f ca="1">IF(RegimeExecucao="Global","",ORÇAMENTO!W14)</f>
        <v/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4" t="str">
        <f>"Objeto do CTEF: "&amp;Import.DescLote</f>
        <v>Objeto do CTEF: Construção do CMEI Cleovanize Totti Vitoria (FNDE – Creche tipo 1)</v>
      </c>
      <c r="E15" s="684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IF(OR(ACOMPANHAMENTO="PLE",TIPOORCAMENTO="Proposto"),0,SUMIF(OFFSET($A15,1,0):$A$727,"S",OFFSET(M15,1,0):M$727))</f>
        <v>0</v>
      </c>
      <c r="N15" s="386">
        <f ca="1">O15-M15</f>
        <v>0</v>
      </c>
      <c r="O15" s="386">
        <f ca="1">IF(OR(ACOMPANHAMENTO="PLE",TIPOORCAMENTO="Proposto"),0,SUMIF(OFFSET($A15,1,0):$A$727,"S",OFFSET(O15,1,0):O$727))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0" t="str">
        <f ca="1">"Preencher abaixo com a "&amp;CHOOSE(MATCH(RegimeExecucao,{"Unitário","Global"},0),"QUANTIDADE","PORCENTAGEM")&amp;" executada no PERÍODO"</f>
        <v>Preencher abaixo com a PORCENTAGEM executada no PERÍODO</v>
      </c>
      <c r="AC15" s="680"/>
      <c r="AD15" s="680"/>
      <c r="AE15" s="680"/>
      <c r="AF15" s="680"/>
      <c r="AG15" s="680"/>
      <c r="AH15" s="680"/>
      <c r="AI15" s="680"/>
      <c r="AJ15" s="680"/>
      <c r="AK15" s="680"/>
      <c r="AL15" s="680"/>
      <c r="AM15" s="680"/>
    </row>
    <row r="16" spans="1:41" x14ac:dyDescent="0.2">
      <c r="A16">
        <f ca="1">ORÇAMENTO!C16</f>
        <v>1</v>
      </c>
      <c r="B16">
        <f ca="1">ORÇAMENTO!D16</f>
        <v>711</v>
      </c>
      <c r="C16" s="116" t="str">
        <f t="shared" ref="C16:C69" ca="1" si="1">IF(OR($I16&gt;0,$A16=1,$A16=2,$A16=3,$A16=4),"F","")</f>
        <v>F</v>
      </c>
      <c r="D16" s="119" t="str">
        <f ca="1">ORÇAMENTO!O16</f>
        <v>1.</v>
      </c>
      <c r="E16" s="172" t="str">
        <f t="shared" ref="E16:E69" si="2">ORÇAMENTO.Descricao</f>
        <v xml:space="preserve">CONSTRUÇÃO - CRECHE TIPO 01 -  FNDE </v>
      </c>
      <c r="F16" s="173" t="str">
        <f ca="1">IF(RegimeExecucao="Global","",ORÇAMENTO.Unidade)</f>
        <v/>
      </c>
      <c r="G16" s="124" t="str">
        <f ca="1">IF(RegimeExecucao="Global","",ORÇAMENTO!T16)</f>
        <v/>
      </c>
      <c r="H16" s="124" t="str">
        <f ca="1">IF(RegimeExecucao="Global","",ORÇAMENTO!W16)</f>
        <v/>
      </c>
      <c r="I16" s="127">
        <f ca="1">ORÇAMENTO!X16</f>
        <v>0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69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69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69" ca="1" si="5">IF($W16&gt;0,$D16,"")</f>
        <v/>
      </c>
      <c r="U16" s="172" t="str">
        <f t="shared" ref="U16:U69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69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x14ac:dyDescent="0.2">
      <c r="A17">
        <f ca="1">ORÇAMENTO!C17</f>
        <v>2</v>
      </c>
      <c r="B17">
        <f ca="1">ORÇAMENTO!D17</f>
        <v>2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>ADMINISTRAÇÃO CENTRAL (ADM)</v>
      </c>
      <c r="F17" s="173" t="str">
        <f ca="1">IF(RegimeExecucao="Global","",ORÇAMENTO.Unidade)</f>
        <v/>
      </c>
      <c r="G17" s="124" t="str">
        <f ca="1">IF(RegimeExecucao="Global","",ORÇAMENTO!T17)</f>
        <v/>
      </c>
      <c r="H17" s="124" t="str">
        <f ca="1">IF(RegimeExecucao="Global","",ORÇAMENTO!W17)</f>
        <v/>
      </c>
      <c r="I17" s="127">
        <f ca="1">ORÇAMENTO!X17</f>
        <v>0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/>
      </c>
      <c r="D18" s="119" t="str">
        <f ca="1">ORÇAMENTO!O18</f>
        <v>-</v>
      </c>
      <c r="E18" s="172" t="str">
        <f t="shared" ca="1" si="2"/>
        <v>(abra o arquivo 'Referência 06-2024.xlsm)</v>
      </c>
      <c r="F18" s="173" t="str">
        <f ca="1">IF(RegimeExecucao="Global","",ORÇAMENTO.Unidade)</f>
        <v/>
      </c>
      <c r="G18" s="124" t="str">
        <f ca="1">IF(RegimeExecucao="Global","",ORÇAMENTO!T18)</f>
        <v/>
      </c>
      <c r="H18" s="124" t="str">
        <f ca="1">IF(RegimeExecucao="Global","",ORÇAMENTO!W18)</f>
        <v/>
      </c>
      <c r="I18" s="127">
        <f ca="1">ORÇAMENTO!X18</f>
        <v>0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>
        <f ca="1">ORÇAMENTO!C19</f>
        <v>2</v>
      </c>
      <c r="B19">
        <f ca="1">ORÇAMENTO!D19</f>
        <v>4</v>
      </c>
      <c r="C19" s="116" t="str">
        <f t="shared" ca="1" si="1"/>
        <v>F</v>
      </c>
      <c r="D19" s="119" t="str">
        <f ca="1">ORÇAMENTO!O19</f>
        <v>1.2.</v>
      </c>
      <c r="E19" s="172" t="str">
        <f t="shared" si="2"/>
        <v>CANTEIRO DE OBRAS (CO)</v>
      </c>
      <c r="F19" s="173" t="str">
        <f ca="1">IF(RegimeExecucao="Global","",ORÇAMENTO.Unidade)</f>
        <v/>
      </c>
      <c r="G19" s="124" t="str">
        <f ca="1">IF(RegimeExecucao="Global","",ORÇAMENTO!T19)</f>
        <v/>
      </c>
      <c r="H19" s="124" t="str">
        <f ca="1">IF(RegimeExecucao="Global","",ORÇAMENTO!W19)</f>
        <v/>
      </c>
      <c r="I19" s="127">
        <f ca="1">ORÇAMENTO!X19</f>
        <v>0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38.25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/>
      </c>
      <c r="D20" s="119" t="str">
        <f ca="1">ORÇAMENTO!O20</f>
        <v>-</v>
      </c>
      <c r="E20" s="172" t="str">
        <f t="shared" ca="1" si="2"/>
        <v>(abra o arquivo 'Referência 06-2024.xlsm)</v>
      </c>
      <c r="F20" s="173" t="str">
        <f ca="1">IF(RegimeExecucao="Global","",ORÇAMENTO.Unidade)</f>
        <v/>
      </c>
      <c r="G20" s="124" t="str">
        <f ca="1">IF(RegimeExecucao="Global","",ORÇAMENTO!T20)</f>
        <v/>
      </c>
      <c r="H20" s="124" t="str">
        <f ca="1">IF(RegimeExecucao="Global","",ORÇAMENTO!W20)</f>
        <v/>
      </c>
      <c r="I20" s="127">
        <f ca="1">ORÇAMENTO!X20</f>
        <v>0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38.25" x14ac:dyDescent="0.2">
      <c r="A21" t="str">
        <f ca="1">ORÇAMENTO!C21</f>
        <v>S</v>
      </c>
      <c r="B21">
        <f ca="1">ORÇAMENTO!D21</f>
        <v>0</v>
      </c>
      <c r="C21" s="116" t="str">
        <f t="shared" ca="1" si="1"/>
        <v/>
      </c>
      <c r="D21" s="119" t="str">
        <f ca="1">ORÇAMENTO!O21</f>
        <v>-</v>
      </c>
      <c r="E21" s="172" t="str">
        <f t="shared" ca="1" si="2"/>
        <v>(abra o arquivo 'Referência 06-2024.xlsm)</v>
      </c>
      <c r="F21" s="173" t="str">
        <f ca="1">IF(RegimeExecucao="Global","",ORÇAMENTO.Unidade)</f>
        <v/>
      </c>
      <c r="G21" s="124" t="str">
        <f ca="1">IF(RegimeExecucao="Global","",ORÇAMENTO!T21)</f>
        <v/>
      </c>
      <c r="H21" s="124" t="str">
        <f ca="1">IF(RegimeExecucao="Global","",ORÇAMENTO!W21)</f>
        <v/>
      </c>
      <c r="I21" s="127">
        <f ca="1">ORÇAMENTO!X21</f>
        <v>0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ca="1" si="3"/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ca="1" si="4"/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ca="1" si="5"/>
        <v/>
      </c>
      <c r="U21" s="172" t="str">
        <f t="shared" ca="1" si="6"/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ca="1" si="7"/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38.25" x14ac:dyDescent="0.2">
      <c r="A22" t="str">
        <f ca="1">ORÇAMENTO!C22</f>
        <v>S</v>
      </c>
      <c r="B22">
        <f ca="1">ORÇAMENTO!D22</f>
        <v>0</v>
      </c>
      <c r="C22" s="116" t="str">
        <f t="shared" ca="1" si="1"/>
        <v/>
      </c>
      <c r="D22" s="119" t="str">
        <f ca="1">ORÇAMENTO!O22</f>
        <v>-</v>
      </c>
      <c r="E22" s="172" t="str">
        <f t="shared" ca="1" si="2"/>
        <v>(abra o arquivo 'Referência 06-2024.xlsm)</v>
      </c>
      <c r="F22" s="173" t="str">
        <f ca="1">IF(RegimeExecucao="Global","",ORÇAMENTO.Unidade)</f>
        <v/>
      </c>
      <c r="G22" s="124" t="str">
        <f ca="1">IF(RegimeExecucao="Global","",ORÇAMENTO!T22)</f>
        <v/>
      </c>
      <c r="H22" s="124" t="str">
        <f ca="1">IF(RegimeExecucao="Global","",ORÇAMENTO!W22)</f>
        <v/>
      </c>
      <c r="I22" s="127">
        <f ca="1">ORÇAMENTO!X22</f>
        <v>0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x14ac:dyDescent="0.2">
      <c r="A23">
        <f ca="1">ORÇAMENTO!C23</f>
        <v>2</v>
      </c>
      <c r="B23">
        <f ca="1">ORÇAMENTO!D23</f>
        <v>6</v>
      </c>
      <c r="C23" s="116" t="str">
        <f t="shared" ca="1" si="1"/>
        <v>F</v>
      </c>
      <c r="D23" s="119" t="str">
        <f ca="1">ORÇAMENTO!O23</f>
        <v>1.3.</v>
      </c>
      <c r="E23" s="172" t="str">
        <f t="shared" si="2"/>
        <v>SERVIÇOS PRELIMINARES</v>
      </c>
      <c r="F23" s="173" t="str">
        <f ca="1">IF(RegimeExecucao="Global","",ORÇAMENTO.Unidade)</f>
        <v/>
      </c>
      <c r="G23" s="124" t="str">
        <f ca="1">IF(RegimeExecucao="Global","",ORÇAMENTO!T23)</f>
        <v/>
      </c>
      <c r="H23" s="124" t="str">
        <f ca="1">IF(RegimeExecucao="Global","",ORÇAMENTO!W23)</f>
        <v/>
      </c>
      <c r="I23" s="127">
        <f ca="1">ORÇAMENTO!X23</f>
        <v>0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ht="25.5" x14ac:dyDescent="0.2">
      <c r="A24" t="str">
        <f ca="1">ORÇAMENTO!C24</f>
        <v>S</v>
      </c>
      <c r="B24">
        <f ca="1">ORÇAMENTO!D24</f>
        <v>0</v>
      </c>
      <c r="C24" s="116" t="str">
        <f t="shared" ca="1" si="1"/>
        <v/>
      </c>
      <c r="D24" s="119" t="str">
        <f ca="1">ORÇAMENTO!O24</f>
        <v>-</v>
      </c>
      <c r="E24" s="172" t="str">
        <f t="shared" ca="1" si="2"/>
        <v>(abra o arquivo 'Referência 06-2024.xlsm)</v>
      </c>
      <c r="F24" s="173" t="str">
        <f ca="1">IF(RegimeExecucao="Global","",ORÇAMENTO.Unidade)</f>
        <v/>
      </c>
      <c r="G24" s="124" t="str">
        <f ca="1">IF(RegimeExecucao="Global","",ORÇAMENTO!T24)</f>
        <v/>
      </c>
      <c r="H24" s="124" t="str">
        <f ca="1">IF(RegimeExecucao="Global","",ORÇAMENTO!W24)</f>
        <v/>
      </c>
      <c r="I24" s="127">
        <f ca="1">ORÇAMENTO!X24</f>
        <v>0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x14ac:dyDescent="0.2">
      <c r="A25" t="str">
        <f ca="1">ORÇAMENTO!C25</f>
        <v>S</v>
      </c>
      <c r="B25">
        <f ca="1">ORÇAMENTO!D25</f>
        <v>0</v>
      </c>
      <c r="C25" s="116" t="str">
        <f t="shared" ca="1" si="1"/>
        <v/>
      </c>
      <c r="D25" s="119" t="str">
        <f ca="1">ORÇAMENTO!O25</f>
        <v>-</v>
      </c>
      <c r="E25" s="172" t="str">
        <f t="shared" ca="1" si="2"/>
        <v>(abra o arquivo 'Referência 06-2024.xlsm)</v>
      </c>
      <c r="F25" s="173" t="str">
        <f ca="1">IF(RegimeExecucao="Global","",ORÇAMENTO.Unidade)</f>
        <v/>
      </c>
      <c r="G25" s="124" t="str">
        <f ca="1">IF(RegimeExecucao="Global","",ORÇAMENTO!T25)</f>
        <v/>
      </c>
      <c r="H25" s="124" t="str">
        <f ca="1">IF(RegimeExecucao="Global","",ORÇAMENTO!W25)</f>
        <v/>
      </c>
      <c r="I25" s="127">
        <f ca="1">ORÇAMENTO!X25</f>
        <v>0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ht="38.25" x14ac:dyDescent="0.2">
      <c r="A26" t="str">
        <f ca="1">ORÇAMENTO!C26</f>
        <v>S</v>
      </c>
      <c r="B26">
        <f ca="1">ORÇAMENTO!D26</f>
        <v>0</v>
      </c>
      <c r="C26" s="116" t="str">
        <f t="shared" ca="1" si="1"/>
        <v/>
      </c>
      <c r="D26" s="119" t="str">
        <f ca="1">ORÇAMENTO!O26</f>
        <v>-</v>
      </c>
      <c r="E26" s="172" t="str">
        <f t="shared" ca="1" si="2"/>
        <v>(abra o arquivo 'Referência 06-2024.xlsm)</v>
      </c>
      <c r="F26" s="173" t="str">
        <f ca="1">IF(RegimeExecucao="Global","",ORÇAMENTO.Unidade)</f>
        <v/>
      </c>
      <c r="G26" s="124" t="str">
        <f ca="1">IF(RegimeExecucao="Global","",ORÇAMENTO!T26)</f>
        <v/>
      </c>
      <c r="H26" s="124" t="str">
        <f ca="1">IF(RegimeExecucao="Global","",ORÇAMENTO!W26)</f>
        <v/>
      </c>
      <c r="I26" s="127">
        <f ca="1">ORÇAMENTO!X26</f>
        <v>0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x14ac:dyDescent="0.2">
      <c r="A27" t="str">
        <f ca="1">ORÇAMENTO!C27</f>
        <v>S</v>
      </c>
      <c r="B27">
        <f ca="1">ORÇAMENTO!D27</f>
        <v>0</v>
      </c>
      <c r="C27" s="116" t="str">
        <f t="shared" ca="1" si="1"/>
        <v/>
      </c>
      <c r="D27" s="119" t="str">
        <f ca="1">ORÇAMENTO!O27</f>
        <v>-</v>
      </c>
      <c r="E27" s="172" t="str">
        <f t="shared" ca="1" si="2"/>
        <v>(abra o arquivo 'Referência 06-2024.xlsm)</v>
      </c>
      <c r="F27" s="173" t="str">
        <f ca="1">IF(RegimeExecucao="Global","",ORÇAMENTO.Unidade)</f>
        <v/>
      </c>
      <c r="G27" s="124" t="str">
        <f ca="1">IF(RegimeExecucao="Global","",ORÇAMENTO!T27)</f>
        <v/>
      </c>
      <c r="H27" s="124" t="str">
        <f ca="1">IF(RegimeExecucao="Global","",ORÇAMENTO!W27)</f>
        <v/>
      </c>
      <c r="I27" s="127">
        <f ca="1">ORÇAMENTO!X27</f>
        <v>0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38.25" x14ac:dyDescent="0.2">
      <c r="A28" t="str">
        <f ca="1">ORÇAMENTO!C28</f>
        <v>S</v>
      </c>
      <c r="B28">
        <f ca="1">ORÇAMENTO!D28</f>
        <v>0</v>
      </c>
      <c r="C28" s="116" t="str">
        <f t="shared" ca="1" si="1"/>
        <v/>
      </c>
      <c r="D28" s="119" t="str">
        <f ca="1">ORÇAMENTO!O28</f>
        <v>-</v>
      </c>
      <c r="E28" s="172" t="str">
        <f t="shared" ca="1" si="2"/>
        <v>(abra o arquivo 'Referência 06-2024.xlsm)</v>
      </c>
      <c r="F28" s="173" t="str">
        <f ca="1">IF(RegimeExecucao="Global","",ORÇAMENTO.Unidade)</f>
        <v/>
      </c>
      <c r="G28" s="124" t="str">
        <f ca="1">IF(RegimeExecucao="Global","",ORÇAMENTO!T28)</f>
        <v/>
      </c>
      <c r="H28" s="124" t="str">
        <f ca="1">IF(RegimeExecucao="Global","",ORÇAMENTO!W28)</f>
        <v/>
      </c>
      <c r="I28" s="127">
        <f ca="1">ORÇAMENTO!X28</f>
        <v>0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t="shared" ca="1" si="3"/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t="shared" ca="1" si="4"/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t="shared" ca="1" si="5"/>
        <v/>
      </c>
      <c r="U28" s="172" t="str">
        <f t="shared" ca="1" si="6"/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t="shared" ca="1" si="7"/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x14ac:dyDescent="0.2">
      <c r="A29">
        <f ca="1">ORÇAMENTO!C29</f>
        <v>2</v>
      </c>
      <c r="B29">
        <f ca="1">ORÇAMENTO!D29</f>
        <v>8</v>
      </c>
      <c r="C29" s="116" t="str">
        <f t="shared" ca="1" si="1"/>
        <v>F</v>
      </c>
      <c r="D29" s="119" t="str">
        <f ca="1">ORÇAMENTO!O29</f>
        <v>1.4.</v>
      </c>
      <c r="E29" s="172" t="str">
        <f t="shared" si="2"/>
        <v>MOVIMENTO DE TERRA PARA FUNDAÇÕES</v>
      </c>
      <c r="F29" s="173" t="str">
        <f ca="1">IF(RegimeExecucao="Global","",ORÇAMENTO.Unidade)</f>
        <v/>
      </c>
      <c r="G29" s="124" t="str">
        <f ca="1">IF(RegimeExecucao="Global","",ORÇAMENTO!T29)</f>
        <v/>
      </c>
      <c r="H29" s="124" t="str">
        <f ca="1">IF(RegimeExecucao="Global","",ORÇAMENTO!W29)</f>
        <v/>
      </c>
      <c r="I29" s="127">
        <f ca="1">ORÇAMENTO!X29</f>
        <v>0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38.25" x14ac:dyDescent="0.2">
      <c r="A30" t="str">
        <f ca="1">ORÇAMENTO!C30</f>
        <v>S</v>
      </c>
      <c r="B30">
        <f ca="1">ORÇAMENTO!D30</f>
        <v>0</v>
      </c>
      <c r="C30" s="116" t="str">
        <f t="shared" ca="1" si="1"/>
        <v/>
      </c>
      <c r="D30" s="119" t="str">
        <f ca="1">ORÇAMENTO!O30</f>
        <v>-</v>
      </c>
      <c r="E30" s="172" t="str">
        <f t="shared" ca="1" si="2"/>
        <v>(abra o arquivo 'Referência 06-2024.xlsm)</v>
      </c>
      <c r="F30" s="173" t="str">
        <f ca="1">IF(RegimeExecucao="Global","",ORÇAMENTO.Unidade)</f>
        <v/>
      </c>
      <c r="G30" s="124" t="str">
        <f ca="1">IF(RegimeExecucao="Global","",ORÇAMENTO!T30)</f>
        <v/>
      </c>
      <c r="H30" s="124" t="str">
        <f ca="1">IF(RegimeExecucao="Global","",ORÇAMENTO!W30)</f>
        <v/>
      </c>
      <c r="I30" s="127">
        <f ca="1">ORÇAMENTO!X30</f>
        <v>0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t="shared" ca="1" si="3"/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t="shared" ca="1" si="4"/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t="shared" ca="1" si="5"/>
        <v/>
      </c>
      <c r="U30" s="172" t="str">
        <f t="shared" ca="1" si="6"/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t="shared" ca="1" si="7"/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51" x14ac:dyDescent="0.2">
      <c r="A31" t="str">
        <f ca="1">ORÇAMENTO!C31</f>
        <v>S</v>
      </c>
      <c r="B31">
        <f ca="1">ORÇAMENTO!D31</f>
        <v>0</v>
      </c>
      <c r="C31" s="116" t="str">
        <f t="shared" ca="1" si="1"/>
        <v/>
      </c>
      <c r="D31" s="119" t="str">
        <f ca="1">ORÇAMENTO!O31</f>
        <v>-</v>
      </c>
      <c r="E31" s="172" t="str">
        <f t="shared" ca="1" si="2"/>
        <v>(abra o arquivo 'Referência 06-2024.xlsm)</v>
      </c>
      <c r="F31" s="173" t="str">
        <f ca="1">IF(RegimeExecucao="Global","",ORÇAMENTO.Unidade)</f>
        <v/>
      </c>
      <c r="G31" s="124" t="str">
        <f ca="1">IF(RegimeExecucao="Global","",ORÇAMENTO!T31)</f>
        <v/>
      </c>
      <c r="H31" s="124" t="str">
        <f ca="1">IF(RegimeExecucao="Global","",ORÇAMENTO!W31)</f>
        <v/>
      </c>
      <c r="I31" s="127">
        <f ca="1">ORÇAMENTO!X31</f>
        <v>0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38.25" x14ac:dyDescent="0.2">
      <c r="A32" t="str">
        <f ca="1">ORÇAMENTO!C32</f>
        <v>S</v>
      </c>
      <c r="B32">
        <f ca="1">ORÇAMENTO!D32</f>
        <v>0</v>
      </c>
      <c r="C32" s="116" t="str">
        <f t="shared" ca="1" si="1"/>
        <v/>
      </c>
      <c r="D32" s="119" t="str">
        <f ca="1">ORÇAMENTO!O32</f>
        <v>-</v>
      </c>
      <c r="E32" s="172" t="str">
        <f t="shared" ca="1" si="2"/>
        <v>(abra o arquivo 'Referência 06-2024.xlsm)</v>
      </c>
      <c r="F32" s="173" t="str">
        <f ca="1">IF(RegimeExecucao="Global","",ORÇAMENTO.Unidade)</f>
        <v/>
      </c>
      <c r="G32" s="124" t="str">
        <f ca="1">IF(RegimeExecucao="Global","",ORÇAMENTO!T32)</f>
        <v/>
      </c>
      <c r="H32" s="124" t="str">
        <f ca="1">IF(RegimeExecucao="Global","",ORÇAMENTO!W32)</f>
        <v/>
      </c>
      <c r="I32" s="127">
        <f ca="1">ORÇAMENTO!X32</f>
        <v>0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38.25" x14ac:dyDescent="0.2">
      <c r="A33" t="str">
        <f ca="1">ORÇAMENTO!C33</f>
        <v>S</v>
      </c>
      <c r="B33">
        <f ca="1">ORÇAMENTO!D33</f>
        <v>0</v>
      </c>
      <c r="C33" s="116" t="str">
        <f t="shared" ca="1" si="1"/>
        <v/>
      </c>
      <c r="D33" s="119" t="str">
        <f ca="1">ORÇAMENTO!O33</f>
        <v>-</v>
      </c>
      <c r="E33" s="172" t="str">
        <f t="shared" ca="1" si="2"/>
        <v>(abra o arquivo 'Referência 06-2024.xlsm)</v>
      </c>
      <c r="F33" s="173" t="str">
        <f ca="1">IF(RegimeExecucao="Global","",ORÇAMENTO.Unidade)</f>
        <v/>
      </c>
      <c r="G33" s="124" t="str">
        <f ca="1">IF(RegimeExecucao="Global","",ORÇAMENTO!T33)</f>
        <v/>
      </c>
      <c r="H33" s="124" t="str">
        <f ca="1">IF(RegimeExecucao="Global","",ORÇAMENTO!W33)</f>
        <v/>
      </c>
      <c r="I33" s="127">
        <f ca="1">ORÇAMENTO!X33</f>
        <v>0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t="shared" ca="1" si="3"/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t="shared" ca="1" si="4"/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t="shared" ca="1" si="5"/>
        <v/>
      </c>
      <c r="U33" s="172" t="str">
        <f t="shared" ca="1" si="6"/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t="shared" ca="1" si="7"/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25.5" x14ac:dyDescent="0.2">
      <c r="A34" t="str">
        <f ca="1">ORÇAMENTO!C34</f>
        <v>S</v>
      </c>
      <c r="B34">
        <f ca="1">ORÇAMENTO!D34</f>
        <v>0</v>
      </c>
      <c r="C34" s="116" t="str">
        <f t="shared" ca="1" si="1"/>
        <v/>
      </c>
      <c r="D34" s="119" t="str">
        <f ca="1">ORÇAMENTO!O34</f>
        <v>-</v>
      </c>
      <c r="E34" s="172" t="str">
        <f t="shared" ca="1" si="2"/>
        <v>(abra o arquivo 'Referência 06-2024.xlsm)</v>
      </c>
      <c r="F34" s="173" t="str">
        <f ca="1">IF(RegimeExecucao="Global","",ORÇAMENTO.Unidade)</f>
        <v/>
      </c>
      <c r="G34" s="124" t="str">
        <f ca="1">IF(RegimeExecucao="Global","",ORÇAMENTO!T34)</f>
        <v/>
      </c>
      <c r="H34" s="124" t="str">
        <f ca="1">IF(RegimeExecucao="Global","",ORÇAMENTO!W34)</f>
        <v/>
      </c>
      <c r="I34" s="127">
        <f ca="1">ORÇAMENTO!X34</f>
        <v>0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63.75" x14ac:dyDescent="0.2">
      <c r="A35" t="str">
        <f ca="1">ORÇAMENTO!C35</f>
        <v>S</v>
      </c>
      <c r="B35">
        <f ca="1">ORÇAMENTO!D35</f>
        <v>0</v>
      </c>
      <c r="C35" s="116" t="str">
        <f t="shared" ca="1" si="1"/>
        <v/>
      </c>
      <c r="D35" s="119" t="str">
        <f ca="1">ORÇAMENTO!O35</f>
        <v>-</v>
      </c>
      <c r="E35" s="172" t="str">
        <f t="shared" ca="1" si="2"/>
        <v>(abra o arquivo 'Referência 06-2024.xlsm)</v>
      </c>
      <c r="F35" s="173" t="str">
        <f ca="1">IF(RegimeExecucao="Global","",ORÇAMENTO.Unidade)</f>
        <v/>
      </c>
      <c r="G35" s="124" t="str">
        <f ca="1">IF(RegimeExecucao="Global","",ORÇAMENTO!T35)</f>
        <v/>
      </c>
      <c r="H35" s="124" t="str">
        <f ca="1">IF(RegimeExecucao="Global","",ORÇAMENTO!W35)</f>
        <v/>
      </c>
      <c r="I35" s="127">
        <f ca="1">ORÇAMENTO!X35</f>
        <v>0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t="shared" ca="1" si="3"/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t="shared" ca="1" si="4"/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t="shared" ca="1" si="5"/>
        <v/>
      </c>
      <c r="U35" s="172" t="str">
        <f t="shared" ca="1" si="6"/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t="shared" ca="1" si="7"/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51" x14ac:dyDescent="0.2">
      <c r="A36" t="str">
        <f ca="1">ORÇAMENTO!C36</f>
        <v>S</v>
      </c>
      <c r="B36">
        <f ca="1">ORÇAMENTO!D36</f>
        <v>0</v>
      </c>
      <c r="C36" s="116" t="str">
        <f t="shared" ca="1" si="1"/>
        <v/>
      </c>
      <c r="D36" s="119" t="str">
        <f ca="1">ORÇAMENTO!O36</f>
        <v>-</v>
      </c>
      <c r="E36" s="172" t="str">
        <f t="shared" ca="1" si="2"/>
        <v>(abra o arquivo 'Referência 06-2024.xlsm)</v>
      </c>
      <c r="F36" s="173" t="str">
        <f ca="1">IF(RegimeExecucao="Global","",ORÇAMENTO.Unidade)</f>
        <v/>
      </c>
      <c r="G36" s="124" t="str">
        <f ca="1">IF(RegimeExecucao="Global","",ORÇAMENTO!T36)</f>
        <v/>
      </c>
      <c r="H36" s="124" t="str">
        <f ca="1">IF(RegimeExecucao="Global","",ORÇAMENTO!W36)</f>
        <v/>
      </c>
      <c r="I36" s="127">
        <f ca="1">ORÇAMENTO!X36</f>
        <v>0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t="shared" ca="1" si="3"/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t="shared" ca="1" si="4"/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t="shared" ca="1" si="5"/>
        <v/>
      </c>
      <c r="U36" s="172" t="str">
        <f t="shared" ca="1" si="6"/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t="shared" ca="1" si="7"/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x14ac:dyDescent="0.2">
      <c r="A37">
        <f ca="1">ORÇAMENTO!C37</f>
        <v>2</v>
      </c>
      <c r="B37">
        <f ca="1">ORÇAMENTO!D37</f>
        <v>3</v>
      </c>
      <c r="C37" s="116" t="str">
        <f t="shared" ca="1" si="1"/>
        <v>F</v>
      </c>
      <c r="D37" s="119" t="str">
        <f ca="1">ORÇAMENTO!O37</f>
        <v>1.5.</v>
      </c>
      <c r="E37" s="172" t="str">
        <f t="shared" si="2"/>
        <v>FUNDAÇÕES - CONCRETO ARMADO PARA TUBULÕES</v>
      </c>
      <c r="F37" s="173" t="str">
        <f ca="1">IF(RegimeExecucao="Global","",ORÇAMENTO.Unidade)</f>
        <v/>
      </c>
      <c r="G37" s="124" t="str">
        <f ca="1">IF(RegimeExecucao="Global","",ORÇAMENTO!T37)</f>
        <v/>
      </c>
      <c r="H37" s="124" t="str">
        <f ca="1">IF(RegimeExecucao="Global","",ORÇAMENTO!W37)</f>
        <v/>
      </c>
      <c r="I37" s="127">
        <f ca="1">ORÇAMENTO!X37</f>
        <v>0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t="shared" ca="1" si="3"/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t="shared" ca="1" si="4"/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t="shared" ca="1" si="5"/>
        <v/>
      </c>
      <c r="U37" s="172" t="str">
        <f t="shared" ca="1" si="6"/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t="shared" ca="1" si="7"/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38.25" x14ac:dyDescent="0.2">
      <c r="A38" t="str">
        <f ca="1">ORÇAMENTO!C38</f>
        <v>S</v>
      </c>
      <c r="B38">
        <f ca="1">ORÇAMENTO!D38</f>
        <v>0</v>
      </c>
      <c r="C38" s="116" t="str">
        <f t="shared" ca="1" si="1"/>
        <v/>
      </c>
      <c r="D38" s="119" t="str">
        <f ca="1">ORÇAMENTO!O38</f>
        <v>-</v>
      </c>
      <c r="E38" s="172" t="str">
        <f t="shared" ca="1" si="2"/>
        <v>(abra o arquivo 'Referência 06-2024.xlsm)</v>
      </c>
      <c r="F38" s="173" t="str">
        <f ca="1">IF(RegimeExecucao="Global","",ORÇAMENTO.Unidade)</f>
        <v/>
      </c>
      <c r="G38" s="124" t="str">
        <f ca="1">IF(RegimeExecucao="Global","",ORÇAMENTO!T38)</f>
        <v/>
      </c>
      <c r="H38" s="124" t="str">
        <f ca="1">IF(RegimeExecucao="Global","",ORÇAMENTO!W38)</f>
        <v/>
      </c>
      <c r="I38" s="127">
        <f ca="1">ORÇAMENTO!X38</f>
        <v>0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t="shared" ca="1" si="3"/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t="shared" ca="1" si="4"/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t="shared" ca="1" si="5"/>
        <v/>
      </c>
      <c r="U38" s="172" t="str">
        <f t="shared" ca="1" si="6"/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t="shared" ca="1" si="7"/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38.25" x14ac:dyDescent="0.2">
      <c r="A39" t="str">
        <f ca="1">ORÇAMENTO!C39</f>
        <v>S</v>
      </c>
      <c r="B39">
        <f ca="1">ORÇAMENTO!D39</f>
        <v>0</v>
      </c>
      <c r="C39" s="116" t="str">
        <f t="shared" ca="1" si="1"/>
        <v/>
      </c>
      <c r="D39" s="119" t="str">
        <f ca="1">ORÇAMENTO!O39</f>
        <v>-</v>
      </c>
      <c r="E39" s="172" t="str">
        <f t="shared" ca="1" si="2"/>
        <v>(abra o arquivo 'Referência 06-2024.xlsm)</v>
      </c>
      <c r="F39" s="173" t="str">
        <f ca="1">IF(RegimeExecucao="Global","",ORÇAMENTO.Unidade)</f>
        <v/>
      </c>
      <c r="G39" s="124" t="str">
        <f ca="1">IF(RegimeExecucao="Global","",ORÇAMENTO!T39)</f>
        <v/>
      </c>
      <c r="H39" s="124" t="str">
        <f ca="1">IF(RegimeExecucao="Global","",ORÇAMENTO!W39)</f>
        <v/>
      </c>
      <c r="I39" s="127">
        <f ca="1">ORÇAMENTO!X39</f>
        <v>0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t="shared" ca="1" si="3"/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t="shared" ca="1" si="4"/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t="shared" ca="1" si="5"/>
        <v/>
      </c>
      <c r="U39" s="172" t="str">
        <f t="shared" ca="1" si="6"/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t="shared" ca="1" si="7"/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x14ac:dyDescent="0.2">
      <c r="A40">
        <f ca="1">ORÇAMENTO!C40</f>
        <v>2</v>
      </c>
      <c r="B40">
        <f ca="1">ORÇAMENTO!D40</f>
        <v>7</v>
      </c>
      <c r="C40" s="116" t="str">
        <f t="shared" ca="1" si="1"/>
        <v>F</v>
      </c>
      <c r="D40" s="119" t="str">
        <f ca="1">ORÇAMENTO!O40</f>
        <v>1.6.</v>
      </c>
      <c r="E40" s="172" t="str">
        <f t="shared" si="2"/>
        <v>FUNDAÇÕES - CONCRETO ARMADO PARA SAPATAS</v>
      </c>
      <c r="F40" s="173" t="str">
        <f ca="1">IF(RegimeExecucao="Global","",ORÇAMENTO.Unidade)</f>
        <v/>
      </c>
      <c r="G40" s="124" t="str">
        <f ca="1">IF(RegimeExecucao="Global","",ORÇAMENTO!T40)</f>
        <v/>
      </c>
      <c r="H40" s="124" t="str">
        <f ca="1">IF(RegimeExecucao="Global","",ORÇAMENTO!W40)</f>
        <v/>
      </c>
      <c r="I40" s="127">
        <f ca="1">ORÇAMENTO!X40</f>
        <v>0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t="shared" ca="1" si="3"/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t="shared" ca="1" si="4"/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t="shared" ca="1" si="5"/>
        <v/>
      </c>
      <c r="U40" s="172" t="str">
        <f t="shared" ca="1" si="6"/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t="shared" ca="1" si="7"/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ht="25.5" x14ac:dyDescent="0.2">
      <c r="A41" t="str">
        <f ca="1">ORÇAMENTO!C41</f>
        <v>S</v>
      </c>
      <c r="B41">
        <f ca="1">ORÇAMENTO!D41</f>
        <v>0</v>
      </c>
      <c r="C41" s="116" t="str">
        <f t="shared" ca="1" si="1"/>
        <v/>
      </c>
      <c r="D41" s="119" t="str">
        <f ca="1">ORÇAMENTO!O41</f>
        <v>-</v>
      </c>
      <c r="E41" s="172" t="str">
        <f t="shared" ca="1" si="2"/>
        <v>(abra o arquivo 'Referência 06-2024.xlsm)</v>
      </c>
      <c r="F41" s="173" t="str">
        <f ca="1">IF(RegimeExecucao="Global","",ORÇAMENTO.Unidade)</f>
        <v/>
      </c>
      <c r="G41" s="124" t="str">
        <f ca="1">IF(RegimeExecucao="Global","",ORÇAMENTO!T41)</f>
        <v/>
      </c>
      <c r="H41" s="124" t="str">
        <f ca="1">IF(RegimeExecucao="Global","",ORÇAMENTO!W41)</f>
        <v/>
      </c>
      <c r="I41" s="127">
        <f ca="1">ORÇAMENTO!X41</f>
        <v>0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t="shared" ca="1" si="3"/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t="shared" ca="1" si="4"/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t="shared" ca="1" si="5"/>
        <v/>
      </c>
      <c r="U41" s="172" t="str">
        <f t="shared" ca="1" si="6"/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t="shared" ca="1" si="7"/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25.5" x14ac:dyDescent="0.2">
      <c r="A42" t="str">
        <f ca="1">ORÇAMENTO!C42</f>
        <v>S</v>
      </c>
      <c r="B42">
        <f ca="1">ORÇAMENTO!D42</f>
        <v>0</v>
      </c>
      <c r="C42" s="116" t="str">
        <f t="shared" ca="1" si="1"/>
        <v/>
      </c>
      <c r="D42" s="119" t="str">
        <f ca="1">ORÇAMENTO!O42</f>
        <v>-</v>
      </c>
      <c r="E42" s="172" t="str">
        <f t="shared" ca="1" si="2"/>
        <v>(abra o arquivo 'Referência 06-2024.xlsm)</v>
      </c>
      <c r="F42" s="173" t="str">
        <f ca="1">IF(RegimeExecucao="Global","",ORÇAMENTO.Unidade)</f>
        <v/>
      </c>
      <c r="G42" s="124" t="str">
        <f ca="1">IF(RegimeExecucao="Global","",ORÇAMENTO!T42)</f>
        <v/>
      </c>
      <c r="H42" s="124" t="str">
        <f ca="1">IF(RegimeExecucao="Global","",ORÇAMENTO!W42)</f>
        <v/>
      </c>
      <c r="I42" s="127">
        <f ca="1">ORÇAMENTO!X42</f>
        <v>0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t="shared" ca="1" si="3"/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t="shared" ca="1" si="4"/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t="shared" ca="1" si="5"/>
        <v/>
      </c>
      <c r="U42" s="172" t="str">
        <f t="shared" ca="1" si="6"/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t="shared" ca="1" si="7"/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38.25" x14ac:dyDescent="0.2">
      <c r="A43" t="str">
        <f ca="1">ORÇAMENTO!C43</f>
        <v>S</v>
      </c>
      <c r="B43">
        <f ca="1">ORÇAMENTO!D43</f>
        <v>0</v>
      </c>
      <c r="C43" s="116" t="str">
        <f t="shared" ca="1" si="1"/>
        <v/>
      </c>
      <c r="D43" s="119" t="str">
        <f ca="1">ORÇAMENTO!O43</f>
        <v>-</v>
      </c>
      <c r="E43" s="172" t="str">
        <f t="shared" ca="1" si="2"/>
        <v>(abra o arquivo 'Referência 06-2024.xlsm)</v>
      </c>
      <c r="F43" s="173" t="str">
        <f ca="1">IF(RegimeExecucao="Global","",ORÇAMENTO.Unidade)</f>
        <v/>
      </c>
      <c r="G43" s="124" t="str">
        <f ca="1">IF(RegimeExecucao="Global","",ORÇAMENTO!T43)</f>
        <v/>
      </c>
      <c r="H43" s="124" t="str">
        <f ca="1">IF(RegimeExecucao="Global","",ORÇAMENTO!W43)</f>
        <v/>
      </c>
      <c r="I43" s="127">
        <f ca="1">ORÇAMENTO!X43</f>
        <v>0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ht="25.5" x14ac:dyDescent="0.2">
      <c r="A44" t="str">
        <f ca="1">ORÇAMENTO!C44</f>
        <v>S</v>
      </c>
      <c r="B44">
        <f ca="1">ORÇAMENTO!D44</f>
        <v>0</v>
      </c>
      <c r="C44" s="116" t="str">
        <f t="shared" ca="1" si="1"/>
        <v/>
      </c>
      <c r="D44" s="119" t="str">
        <f ca="1">ORÇAMENTO!O44</f>
        <v>-</v>
      </c>
      <c r="E44" s="172" t="str">
        <f t="shared" ca="1" si="2"/>
        <v>(abra o arquivo 'Referência 06-2024.xlsm)</v>
      </c>
      <c r="F44" s="173" t="str">
        <f ca="1">IF(RegimeExecucao="Global","",ORÇAMENTO.Unidade)</f>
        <v/>
      </c>
      <c r="G44" s="124" t="str">
        <f ca="1">IF(RegimeExecucao="Global","",ORÇAMENTO!T44)</f>
        <v/>
      </c>
      <c r="H44" s="124" t="str">
        <f ca="1">IF(RegimeExecucao="Global","",ORÇAMENTO!W44)</f>
        <v/>
      </c>
      <c r="I44" s="127">
        <f ca="1">ORÇAMENTO!X44</f>
        <v>0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t="shared" ca="1" si="3"/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t="shared" ca="1" si="4"/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t="shared" ca="1" si="5"/>
        <v/>
      </c>
      <c r="U44" s="172" t="str">
        <f t="shared" ca="1" si="6"/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t="shared" ca="1" si="7"/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38.25" x14ac:dyDescent="0.2">
      <c r="A45" t="str">
        <f ca="1">ORÇAMENTO!C45</f>
        <v>S</v>
      </c>
      <c r="B45">
        <f ca="1">ORÇAMENTO!D45</f>
        <v>0</v>
      </c>
      <c r="C45" s="116" t="str">
        <f t="shared" ca="1" si="1"/>
        <v/>
      </c>
      <c r="D45" s="119" t="str">
        <f ca="1">ORÇAMENTO!O45</f>
        <v>-</v>
      </c>
      <c r="E45" s="172" t="str">
        <f t="shared" ca="1" si="2"/>
        <v>(abra o arquivo 'Referência 06-2024.xlsm)</v>
      </c>
      <c r="F45" s="173" t="str">
        <f ca="1">IF(RegimeExecucao="Global","",ORÇAMENTO.Unidade)</f>
        <v/>
      </c>
      <c r="G45" s="124" t="str">
        <f ca="1">IF(RegimeExecucao="Global","",ORÇAMENTO!T45)</f>
        <v/>
      </c>
      <c r="H45" s="124" t="str">
        <f ca="1">IF(RegimeExecucao="Global","",ORÇAMENTO!W45)</f>
        <v/>
      </c>
      <c r="I45" s="127">
        <f ca="1">ORÇAMENTO!X45</f>
        <v>0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38.25" x14ac:dyDescent="0.2">
      <c r="A46" t="str">
        <f ca="1">ORÇAMENTO!C46</f>
        <v>S</v>
      </c>
      <c r="B46">
        <f ca="1">ORÇAMENTO!D46</f>
        <v>0</v>
      </c>
      <c r="C46" s="116" t="str">
        <f t="shared" ca="1" si="1"/>
        <v/>
      </c>
      <c r="D46" s="119" t="str">
        <f ca="1">ORÇAMENTO!O46</f>
        <v>-</v>
      </c>
      <c r="E46" s="172" t="str">
        <f t="shared" ca="1" si="2"/>
        <v>(abra o arquivo 'Referência 06-2024.xlsm)</v>
      </c>
      <c r="F46" s="173" t="str">
        <f ca="1">IF(RegimeExecucao="Global","",ORÇAMENTO.Unidade)</f>
        <v/>
      </c>
      <c r="G46" s="124" t="str">
        <f ca="1">IF(RegimeExecucao="Global","",ORÇAMENTO!T46)</f>
        <v/>
      </c>
      <c r="H46" s="124" t="str">
        <f ca="1">IF(RegimeExecucao="Global","",ORÇAMENTO!W46)</f>
        <v/>
      </c>
      <c r="I46" s="127">
        <f ca="1">ORÇAMENTO!X46</f>
        <v>0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x14ac:dyDescent="0.2">
      <c r="A47">
        <f ca="1">ORÇAMENTO!C47</f>
        <v>2</v>
      </c>
      <c r="B47">
        <f ca="1">ORÇAMENTO!D47</f>
        <v>10</v>
      </c>
      <c r="C47" s="116" t="str">
        <f t="shared" ca="1" si="1"/>
        <v>F</v>
      </c>
      <c r="D47" s="119" t="str">
        <f ca="1">ORÇAMENTO!O47</f>
        <v>1.7.</v>
      </c>
      <c r="E47" s="172" t="str">
        <f t="shared" si="2"/>
        <v>FUNDAÇÕES - CONCRETO ARMADO PARA BLOCOS</v>
      </c>
      <c r="F47" s="173" t="str">
        <f ca="1">IF(RegimeExecucao="Global","",ORÇAMENTO.Unidade)</f>
        <v/>
      </c>
      <c r="G47" s="124" t="str">
        <f ca="1">IF(RegimeExecucao="Global","",ORÇAMENTO!T47)</f>
        <v/>
      </c>
      <c r="H47" s="124" t="str">
        <f ca="1">IF(RegimeExecucao="Global","",ORÇAMENTO!W47)</f>
        <v/>
      </c>
      <c r="I47" s="127">
        <f ca="1">ORÇAMENTO!X47</f>
        <v>0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ht="25.5" x14ac:dyDescent="0.2">
      <c r="A48" t="str">
        <f ca="1">ORÇAMENTO!C48</f>
        <v>S</v>
      </c>
      <c r="B48">
        <f ca="1">ORÇAMENTO!D48</f>
        <v>0</v>
      </c>
      <c r="C48" s="116" t="str">
        <f t="shared" ca="1" si="1"/>
        <v/>
      </c>
      <c r="D48" s="119" t="str">
        <f ca="1">ORÇAMENTO!O48</f>
        <v>-</v>
      </c>
      <c r="E48" s="172" t="str">
        <f t="shared" ca="1" si="2"/>
        <v>(abra o arquivo 'Referência 06-2024.xlsm)</v>
      </c>
      <c r="F48" s="173" t="str">
        <f ca="1">IF(RegimeExecucao="Global","",ORÇAMENTO.Unidade)</f>
        <v/>
      </c>
      <c r="G48" s="124" t="str">
        <f ca="1">IF(RegimeExecucao="Global","",ORÇAMENTO!T48)</f>
        <v/>
      </c>
      <c r="H48" s="124" t="str">
        <f ca="1">IF(RegimeExecucao="Global","",ORÇAMENTO!W48)</f>
        <v/>
      </c>
      <c r="I48" s="127">
        <f ca="1">ORÇAMENTO!X48</f>
        <v>0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t="shared" ca="1" si="3"/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t="shared" ca="1" si="4"/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t="shared" ca="1" si="5"/>
        <v/>
      </c>
      <c r="U48" s="172" t="str">
        <f t="shared" ca="1" si="6"/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t="shared" ca="1" si="7"/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ht="38.25" x14ac:dyDescent="0.2">
      <c r="A49" t="str">
        <f ca="1">ORÇAMENTO!C49</f>
        <v>S</v>
      </c>
      <c r="B49">
        <f ca="1">ORÇAMENTO!D49</f>
        <v>0</v>
      </c>
      <c r="C49" s="116" t="str">
        <f t="shared" ca="1" si="1"/>
        <v/>
      </c>
      <c r="D49" s="119" t="str">
        <f ca="1">ORÇAMENTO!O49</f>
        <v>-</v>
      </c>
      <c r="E49" s="172" t="str">
        <f t="shared" ca="1" si="2"/>
        <v>(abra o arquivo 'Referência 06-2024.xlsm)</v>
      </c>
      <c r="F49" s="173" t="str">
        <f ca="1">IF(RegimeExecucao="Global","",ORÇAMENTO.Unidade)</f>
        <v/>
      </c>
      <c r="G49" s="124" t="str">
        <f ca="1">IF(RegimeExecucao="Global","",ORÇAMENTO!T49)</f>
        <v/>
      </c>
      <c r="H49" s="124" t="str">
        <f ca="1">IF(RegimeExecucao="Global","",ORÇAMENTO!W49)</f>
        <v/>
      </c>
      <c r="I49" s="127">
        <f ca="1">ORÇAMENTO!X49</f>
        <v>0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ht="38.25" x14ac:dyDescent="0.2">
      <c r="A50" t="str">
        <f ca="1">ORÇAMENTO!C50</f>
        <v>S</v>
      </c>
      <c r="B50">
        <f ca="1">ORÇAMENTO!D50</f>
        <v>0</v>
      </c>
      <c r="C50" s="116" t="str">
        <f t="shared" ca="1" si="1"/>
        <v/>
      </c>
      <c r="D50" s="119" t="str">
        <f ca="1">ORÇAMENTO!O50</f>
        <v>-</v>
      </c>
      <c r="E50" s="172" t="str">
        <f t="shared" ca="1" si="2"/>
        <v>(abra o arquivo 'Referência 06-2024.xlsm)</v>
      </c>
      <c r="F50" s="173" t="str">
        <f ca="1">IF(RegimeExecucao="Global","",ORÇAMENTO.Unidade)</f>
        <v/>
      </c>
      <c r="G50" s="124" t="str">
        <f ca="1">IF(RegimeExecucao="Global","",ORÇAMENTO!T50)</f>
        <v/>
      </c>
      <c r="H50" s="124" t="str">
        <f ca="1">IF(RegimeExecucao="Global","",ORÇAMENTO!W50)</f>
        <v/>
      </c>
      <c r="I50" s="127">
        <f ca="1">ORÇAMENTO!X50</f>
        <v>0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t="shared" ca="1" si="3"/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t="shared" ca="1" si="4"/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t="shared" ca="1" si="5"/>
        <v/>
      </c>
      <c r="U50" s="172" t="str">
        <f t="shared" ca="1" si="6"/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t="shared" ca="1" si="7"/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ht="25.5" x14ac:dyDescent="0.2">
      <c r="A51" t="str">
        <f ca="1">ORÇAMENTO!C51</f>
        <v>S</v>
      </c>
      <c r="B51">
        <f ca="1">ORÇAMENTO!D51</f>
        <v>0</v>
      </c>
      <c r="C51" s="116" t="str">
        <f t="shared" ca="1" si="1"/>
        <v/>
      </c>
      <c r="D51" s="119" t="str">
        <f ca="1">ORÇAMENTO!O51</f>
        <v>-</v>
      </c>
      <c r="E51" s="172" t="str">
        <f t="shared" ca="1" si="2"/>
        <v>(abra o arquivo 'Referência 06-2024.xlsm)</v>
      </c>
      <c r="F51" s="173" t="str">
        <f ca="1">IF(RegimeExecucao="Global","",ORÇAMENTO.Unidade)</f>
        <v/>
      </c>
      <c r="G51" s="124" t="str">
        <f ca="1">IF(RegimeExecucao="Global","",ORÇAMENTO!T51)</f>
        <v/>
      </c>
      <c r="H51" s="124" t="str">
        <f ca="1">IF(RegimeExecucao="Global","",ORÇAMENTO!W51)</f>
        <v/>
      </c>
      <c r="I51" s="127">
        <f ca="1">ORÇAMENTO!X51</f>
        <v>0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ca="1" si="3"/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ca="1" si="4"/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ca="1" si="5"/>
        <v/>
      </c>
      <c r="U51" s="172" t="str">
        <f t="shared" ca="1" si="6"/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ca="1" si="7"/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25.5" x14ac:dyDescent="0.2">
      <c r="A52" t="str">
        <f ca="1">ORÇAMENTO!C52</f>
        <v>S</v>
      </c>
      <c r="B52">
        <f ca="1">ORÇAMENTO!D52</f>
        <v>0</v>
      </c>
      <c r="C52" s="116" t="str">
        <f t="shared" ca="1" si="1"/>
        <v/>
      </c>
      <c r="D52" s="119" t="str">
        <f ca="1">ORÇAMENTO!O52</f>
        <v>-</v>
      </c>
      <c r="E52" s="172" t="str">
        <f t="shared" ca="1" si="2"/>
        <v>(abra o arquivo 'Referência 06-2024.xlsm)</v>
      </c>
      <c r="F52" s="173" t="str">
        <f ca="1">IF(RegimeExecucao="Global","",ORÇAMENTO.Unidade)</f>
        <v/>
      </c>
      <c r="G52" s="124" t="str">
        <f ca="1">IF(RegimeExecucao="Global","",ORÇAMENTO!T52)</f>
        <v/>
      </c>
      <c r="H52" s="124" t="str">
        <f ca="1">IF(RegimeExecucao="Global","",ORÇAMENTO!W52)</f>
        <v/>
      </c>
      <c r="I52" s="127">
        <f ca="1">ORÇAMENTO!X52</f>
        <v>0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3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4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5"/>
        <v/>
      </c>
      <c r="U52" s="172" t="str">
        <f t="shared" ca="1" si="6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7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25.5" x14ac:dyDescent="0.2">
      <c r="A53" t="str">
        <f ca="1">ORÇAMENTO!C53</f>
        <v>S</v>
      </c>
      <c r="B53">
        <f ca="1">ORÇAMENTO!D53</f>
        <v>0</v>
      </c>
      <c r="C53" s="116" t="str">
        <f t="shared" ca="1" si="1"/>
        <v/>
      </c>
      <c r="D53" s="119" t="str">
        <f ca="1">ORÇAMENTO!O53</f>
        <v>-</v>
      </c>
      <c r="E53" s="172" t="str">
        <f t="shared" ca="1" si="2"/>
        <v>(abra o arquivo 'Referência 06-2024.xlsm)</v>
      </c>
      <c r="F53" s="173" t="str">
        <f ca="1">IF(RegimeExecucao="Global","",ORÇAMENTO.Unidade)</f>
        <v/>
      </c>
      <c r="G53" s="124" t="str">
        <f ca="1">IF(RegimeExecucao="Global","",ORÇAMENTO!T53)</f>
        <v/>
      </c>
      <c r="H53" s="124" t="str">
        <f ca="1">IF(RegimeExecucao="Global","",ORÇAMENTO!W53)</f>
        <v/>
      </c>
      <c r="I53" s="127">
        <f ca="1">ORÇAMENTO!X53</f>
        <v>0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t="shared" ca="1" si="3"/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t="shared" ca="1" si="4"/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t="shared" ca="1" si="5"/>
        <v/>
      </c>
      <c r="U53" s="172" t="str">
        <f t="shared" ca="1" si="6"/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t="shared" ca="1" si="7"/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38.25" x14ac:dyDescent="0.2">
      <c r="A54" t="str">
        <f ca="1">ORÇAMENTO!C54</f>
        <v>S</v>
      </c>
      <c r="B54">
        <f ca="1">ORÇAMENTO!D54</f>
        <v>0</v>
      </c>
      <c r="C54" s="116" t="str">
        <f t="shared" ca="1" si="1"/>
        <v/>
      </c>
      <c r="D54" s="119" t="str">
        <f ca="1">ORÇAMENTO!O54</f>
        <v>-</v>
      </c>
      <c r="E54" s="172" t="str">
        <f t="shared" ca="1" si="2"/>
        <v>(abra o arquivo 'Referência 06-2024.xlsm)</v>
      </c>
      <c r="F54" s="173" t="str">
        <f ca="1">IF(RegimeExecucao="Global","",ORÇAMENTO.Unidade)</f>
        <v/>
      </c>
      <c r="G54" s="124" t="str">
        <f ca="1">IF(RegimeExecucao="Global","",ORÇAMENTO!T54)</f>
        <v/>
      </c>
      <c r="H54" s="124" t="str">
        <f ca="1">IF(RegimeExecucao="Global","",ORÇAMENTO!W54)</f>
        <v/>
      </c>
      <c r="I54" s="127">
        <f ca="1">ORÇAMENTO!X54</f>
        <v>0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t="shared" ca="1" si="3"/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t="shared" ca="1" si="4"/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t="shared" ca="1" si="5"/>
        <v/>
      </c>
      <c r="U54" s="172" t="str">
        <f t="shared" ca="1" si="6"/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t="shared" ca="1" si="7"/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38.25" x14ac:dyDescent="0.2">
      <c r="A55" t="str">
        <f ca="1">ORÇAMENTO!C55</f>
        <v>S</v>
      </c>
      <c r="B55">
        <f ca="1">ORÇAMENTO!D55</f>
        <v>0</v>
      </c>
      <c r="C55" s="116" t="str">
        <f t="shared" ca="1" si="1"/>
        <v/>
      </c>
      <c r="D55" s="119" t="str">
        <f ca="1">ORÇAMENTO!O55</f>
        <v>-</v>
      </c>
      <c r="E55" s="172" t="str">
        <f t="shared" ca="1" si="2"/>
        <v>(abra o arquivo 'Referência 06-2024.xlsm)</v>
      </c>
      <c r="F55" s="173" t="str">
        <f ca="1">IF(RegimeExecucao="Global","",ORÇAMENTO.Unidade)</f>
        <v/>
      </c>
      <c r="G55" s="124" t="str">
        <f ca="1">IF(RegimeExecucao="Global","",ORÇAMENTO!T55)</f>
        <v/>
      </c>
      <c r="H55" s="124" t="str">
        <f ca="1">IF(RegimeExecucao="Global","",ORÇAMENTO!W55)</f>
        <v/>
      </c>
      <c r="I55" s="127">
        <f ca="1">ORÇAMENTO!X55</f>
        <v>0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ca="1" si="3"/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ca="1" si="4"/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ca="1" si="5"/>
        <v/>
      </c>
      <c r="U55" s="172" t="str">
        <f t="shared" ca="1" si="6"/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ca="1" si="7"/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25.5" x14ac:dyDescent="0.2">
      <c r="A56" t="str">
        <f ca="1">ORÇAMENTO!C56</f>
        <v>S</v>
      </c>
      <c r="B56">
        <f ca="1">ORÇAMENTO!D56</f>
        <v>0</v>
      </c>
      <c r="C56" s="116" t="str">
        <f t="shared" ca="1" si="1"/>
        <v/>
      </c>
      <c r="D56" s="119" t="str">
        <f ca="1">ORÇAMENTO!O56</f>
        <v>-</v>
      </c>
      <c r="E56" s="172" t="str">
        <f t="shared" ca="1" si="2"/>
        <v>(abra o arquivo 'Referência 06-2024.xlsm)</v>
      </c>
      <c r="F56" s="173" t="str">
        <f ca="1">IF(RegimeExecucao="Global","",ORÇAMENTO.Unidade)</f>
        <v/>
      </c>
      <c r="G56" s="124" t="str">
        <f ca="1">IF(RegimeExecucao="Global","",ORÇAMENTO!T56)</f>
        <v/>
      </c>
      <c r="H56" s="124" t="str">
        <f ca="1">IF(RegimeExecucao="Global","",ORÇAMENTO!W56)</f>
        <v/>
      </c>
      <c r="I56" s="127">
        <f ca="1">ORÇAMENTO!X56</f>
        <v>0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3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4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5"/>
        <v/>
      </c>
      <c r="U56" s="172" t="str">
        <f t="shared" ca="1" si="6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7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x14ac:dyDescent="0.2">
      <c r="A57">
        <f ca="1">ORÇAMENTO!C57</f>
        <v>2</v>
      </c>
      <c r="B57">
        <f ca="1">ORÇAMENTO!D57</f>
        <v>6</v>
      </c>
      <c r="C57" s="116" t="str">
        <f t="shared" ca="1" si="1"/>
        <v>F</v>
      </c>
      <c r="D57" s="119" t="str">
        <f ca="1">ORÇAMENTO!O57</f>
        <v>1.8.</v>
      </c>
      <c r="E57" s="172" t="str">
        <f t="shared" si="2"/>
        <v>SUPERESTRUTURA - CONCRETO ARMADO PARA PILARES</v>
      </c>
      <c r="F57" s="173" t="str">
        <f ca="1">IF(RegimeExecucao="Global","",ORÇAMENTO.Unidade)</f>
        <v/>
      </c>
      <c r="G57" s="124" t="str">
        <f ca="1">IF(RegimeExecucao="Global","",ORÇAMENTO!T57)</f>
        <v/>
      </c>
      <c r="H57" s="124" t="str">
        <f ca="1">IF(RegimeExecucao="Global","",ORÇAMENTO!W57)</f>
        <v/>
      </c>
      <c r="I57" s="127">
        <f ca="1">ORÇAMENTO!X57</f>
        <v>0</v>
      </c>
      <c r="J57" s="378">
        <f ca="1">IF($A57="S",IF(CAIXA.Modo,BM.AFAnterior,BM.MEDAnterior),IF(AND(RegimeExecucao="Global",$I57&gt;0,COUNTIF($AB$13:$AM$13,BM.medicao-1)&gt;0),M57/$I57*100,0))</f>
        <v>0</v>
      </c>
      <c r="K57" s="124">
        <f t="shared" ca="1" si="3"/>
        <v>0</v>
      </c>
      <c r="L57" s="379">
        <f ca="1">IF($A57="S",IF(CAIXA.Modo,BM.AFAcumulado,BM.MEDAcumulado),IF(AND(RegimeExecucao="Global",$I57&gt;0,COUNTIF($AB$13:$AM$13,BM.medicao)&gt;0),O57/$I57*100,0))</f>
        <v>0</v>
      </c>
      <c r="M57" s="380">
        <f ca="1">IF($A57="S",VTOTALBM,IF($A57=0,0,ROUND(SomaAgrupBM,15-13*ORÇAMENTO!$AF$11)))</f>
        <v>0</v>
      </c>
      <c r="N57" s="381">
        <f t="shared" ca="1" si="4"/>
        <v>0</v>
      </c>
      <c r="O57" s="127">
        <f ca="1">IF($A57="S",VTOTALBM,IF($A57=0,0,ROUND(SomaAgrupBM,15-13*ORÇAMENTO!$AF$11)))</f>
        <v>0</v>
      </c>
      <c r="Q57" s="382"/>
      <c r="R57" s="383"/>
      <c r="T57" s="119" t="str">
        <f t="shared" ca="1" si="5"/>
        <v/>
      </c>
      <c r="U57" s="172" t="str">
        <f t="shared" ca="1" si="6"/>
        <v/>
      </c>
      <c r="V57" s="173" t="str">
        <f ca="1">IF(AND($W57&gt;0,RegimeExecucao="Unitário"),$F57,"")</f>
        <v/>
      </c>
      <c r="W57" s="547">
        <f ca="1">IF($Y57&gt;0,CHOOSE(MATCH(RegimeExecucao,{"Unitário","Global"},0),IF($A57="S",$Y57/$X57,""),($Y57/$X57)*100),0)</f>
        <v>0</v>
      </c>
      <c r="X57" s="384" t="str">
        <f ca="1">IF($Y57&gt;0,CHOOSE(MATCH(RegimeExecucao,{"Unitário","Global"},0),IF($A57="S",ROUND($H57,ORÇAMENTO!$AF$10),""),ROUND($I57,ORÇAMENTO!$AF$11)),"")</f>
        <v/>
      </c>
      <c r="Y57" s="384">
        <f t="shared" ca="1" si="7"/>
        <v>0</v>
      </c>
      <c r="Z57" s="572"/>
      <c r="AB57" s="382"/>
      <c r="AC57" s="516"/>
      <c r="AD57" s="516"/>
      <c r="AE57" s="516"/>
      <c r="AF57" s="516"/>
      <c r="AG57" s="516"/>
      <c r="AH57" s="516"/>
      <c r="AI57" s="516"/>
      <c r="AJ57" s="516"/>
      <c r="AK57" s="516"/>
      <c r="AL57" s="516"/>
      <c r="AM57" s="383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 ht="51" x14ac:dyDescent="0.2">
      <c r="A58" t="str">
        <f ca="1">ORÇAMENTO!C58</f>
        <v>S</v>
      </c>
      <c r="B58">
        <f ca="1">ORÇAMENTO!D58</f>
        <v>0</v>
      </c>
      <c r="C58" s="116" t="str">
        <f t="shared" ca="1" si="1"/>
        <v/>
      </c>
      <c r="D58" s="119" t="str">
        <f ca="1">ORÇAMENTO!O58</f>
        <v>-</v>
      </c>
      <c r="E58" s="172" t="str">
        <f t="shared" ca="1" si="2"/>
        <v>(abra o arquivo 'Referência 06-2024.xlsm)</v>
      </c>
      <c r="F58" s="173" t="str">
        <f ca="1">IF(RegimeExecucao="Global","",ORÇAMENTO.Unidade)</f>
        <v/>
      </c>
      <c r="G58" s="124" t="str">
        <f ca="1">IF(RegimeExecucao="Global","",ORÇAMENTO!T58)</f>
        <v/>
      </c>
      <c r="H58" s="124" t="str">
        <f ca="1">IF(RegimeExecucao="Global","",ORÇAMENTO!W58)</f>
        <v/>
      </c>
      <c r="I58" s="127">
        <f ca="1">ORÇAMENTO!X58</f>
        <v>0</v>
      </c>
      <c r="J58" s="378">
        <f ca="1">IF($A58="S",IF(CAIXA.Modo,BM.AFAnterior,BM.MEDAnterior),IF(AND(RegimeExecucao="Global",$I58&gt;0,COUNTIF($AB$13:$AM$13,BM.medicao-1)&gt;0),M58/$I58*100,0))</f>
        <v>0</v>
      </c>
      <c r="K58" s="124">
        <f t="shared" ca="1" si="3"/>
        <v>0</v>
      </c>
      <c r="L58" s="379">
        <f ca="1">IF($A58="S",IF(CAIXA.Modo,BM.AFAcumulado,BM.MEDAcumulado),IF(AND(RegimeExecucao="Global",$I58&gt;0,COUNTIF($AB$13:$AM$13,BM.medicao)&gt;0),O58/$I58*100,0))</f>
        <v>0</v>
      </c>
      <c r="M58" s="380">
        <f ca="1">IF($A58="S",VTOTALBM,IF($A58=0,0,ROUND(SomaAgrupBM,15-13*ORÇAMENTO!$AF$11)))</f>
        <v>0</v>
      </c>
      <c r="N58" s="381">
        <f t="shared" ca="1" si="4"/>
        <v>0</v>
      </c>
      <c r="O58" s="127">
        <f ca="1">IF($A58="S",VTOTALBM,IF($A58=0,0,ROUND(SomaAgrupBM,15-13*ORÇAMENTO!$AF$11)))</f>
        <v>0</v>
      </c>
      <c r="Q58" s="382"/>
      <c r="R58" s="383"/>
      <c r="T58" s="119" t="str">
        <f t="shared" ca="1" si="5"/>
        <v/>
      </c>
      <c r="U58" s="172" t="str">
        <f t="shared" ca="1" si="6"/>
        <v/>
      </c>
      <c r="V58" s="173" t="str">
        <f ca="1">IF(AND($W58&gt;0,RegimeExecucao="Unitário"),$F58,"")</f>
        <v/>
      </c>
      <c r="W58" s="547">
        <f ca="1">IF($Y58&gt;0,CHOOSE(MATCH(RegimeExecucao,{"Unitário","Global"},0),IF($A58="S",$Y58/$X58,""),($Y58/$X58)*100),0)</f>
        <v>0</v>
      </c>
      <c r="X58" s="384" t="str">
        <f ca="1">IF($Y58&gt;0,CHOOSE(MATCH(RegimeExecucao,{"Unitário","Global"},0),IF($A58="S",ROUND($H58,ORÇAMENTO!$AF$10),""),ROUND($I58,ORÇAMENTO!$AF$11)),"")</f>
        <v/>
      </c>
      <c r="Y58" s="384">
        <f t="shared" ca="1" si="7"/>
        <v>0</v>
      </c>
      <c r="Z58" s="572"/>
      <c r="AB58" s="382"/>
      <c r="AC58" s="516"/>
      <c r="AD58" s="516"/>
      <c r="AE58" s="516"/>
      <c r="AF58" s="516"/>
      <c r="AG58" s="516"/>
      <c r="AH58" s="516"/>
      <c r="AI58" s="516"/>
      <c r="AJ58" s="516"/>
      <c r="AK58" s="516"/>
      <c r="AL58" s="516"/>
      <c r="AM58" s="383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 ht="38.25" x14ac:dyDescent="0.2">
      <c r="A59" t="str">
        <f ca="1">ORÇAMENTO!C59</f>
        <v>S</v>
      </c>
      <c r="B59">
        <f ca="1">ORÇAMENTO!D59</f>
        <v>0</v>
      </c>
      <c r="C59" s="116" t="str">
        <f t="shared" ca="1" si="1"/>
        <v/>
      </c>
      <c r="D59" s="119" t="str">
        <f ca="1">ORÇAMENTO!O59</f>
        <v>-</v>
      </c>
      <c r="E59" s="172" t="str">
        <f t="shared" ca="1" si="2"/>
        <v>(abra o arquivo 'Referência 06-2024.xlsm)</v>
      </c>
      <c r="F59" s="173" t="str">
        <f ca="1">IF(RegimeExecucao="Global","",ORÇAMENTO.Unidade)</f>
        <v/>
      </c>
      <c r="G59" s="124" t="str">
        <f ca="1">IF(RegimeExecucao="Global","",ORÇAMENTO!T59)</f>
        <v/>
      </c>
      <c r="H59" s="124" t="str">
        <f ca="1">IF(RegimeExecucao="Global","",ORÇAMENTO!W59)</f>
        <v/>
      </c>
      <c r="I59" s="127">
        <f ca="1">ORÇAMENTO!X59</f>
        <v>0</v>
      </c>
      <c r="J59" s="378">
        <f ca="1">IF($A59="S",IF(CAIXA.Modo,BM.AFAnterior,BM.MEDAnterior),IF(AND(RegimeExecucao="Global",$I59&gt;0,COUNTIF($AB$13:$AM$13,BM.medicao-1)&gt;0),M59/$I59*100,0))</f>
        <v>0</v>
      </c>
      <c r="K59" s="124">
        <f t="shared" ca="1" si="3"/>
        <v>0</v>
      </c>
      <c r="L59" s="379">
        <f ca="1">IF($A59="S",IF(CAIXA.Modo,BM.AFAcumulado,BM.MEDAcumulado),IF(AND(RegimeExecucao="Global",$I59&gt;0,COUNTIF($AB$13:$AM$13,BM.medicao)&gt;0),O59/$I59*100,0))</f>
        <v>0</v>
      </c>
      <c r="M59" s="380">
        <f ca="1">IF($A59="S",VTOTALBM,IF($A59=0,0,ROUND(SomaAgrupBM,15-13*ORÇAMENTO!$AF$11)))</f>
        <v>0</v>
      </c>
      <c r="N59" s="381">
        <f t="shared" ca="1" si="4"/>
        <v>0</v>
      </c>
      <c r="O59" s="127">
        <f ca="1">IF($A59="S",VTOTALBM,IF($A59=0,0,ROUND(SomaAgrupBM,15-13*ORÇAMENTO!$AF$11)))</f>
        <v>0</v>
      </c>
      <c r="Q59" s="382"/>
      <c r="R59" s="383"/>
      <c r="T59" s="119" t="str">
        <f t="shared" ca="1" si="5"/>
        <v/>
      </c>
      <c r="U59" s="172" t="str">
        <f t="shared" ca="1" si="6"/>
        <v/>
      </c>
      <c r="V59" s="173" t="str">
        <f ca="1">IF(AND($W59&gt;0,RegimeExecucao="Unitário"),$F59,"")</f>
        <v/>
      </c>
      <c r="W59" s="547">
        <f ca="1">IF($Y59&gt;0,CHOOSE(MATCH(RegimeExecucao,{"Unitário","Global"},0),IF($A59="S",$Y59/$X59,""),($Y59/$X59)*100),0)</f>
        <v>0</v>
      </c>
      <c r="X59" s="384" t="str">
        <f ca="1">IF($Y59&gt;0,CHOOSE(MATCH(RegimeExecucao,{"Unitário","Global"},0),IF($A59="S",ROUND($H59,ORÇAMENTO!$AF$10),""),ROUND($I59,ORÇAMENTO!$AF$11)),"")</f>
        <v/>
      </c>
      <c r="Y59" s="384">
        <f t="shared" ca="1" si="7"/>
        <v>0</v>
      </c>
      <c r="Z59" s="572"/>
      <c r="AB59" s="382"/>
      <c r="AC59" s="516"/>
      <c r="AD59" s="516"/>
      <c r="AE59" s="516"/>
      <c r="AF59" s="516"/>
      <c r="AG59" s="516"/>
      <c r="AH59" s="516"/>
      <c r="AI59" s="516"/>
      <c r="AJ59" s="516"/>
      <c r="AK59" s="516"/>
      <c r="AL59" s="516"/>
      <c r="AM59" s="383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 ht="38.25" x14ac:dyDescent="0.2">
      <c r="A60" t="str">
        <f ca="1">ORÇAMENTO!C60</f>
        <v>S</v>
      </c>
      <c r="B60">
        <f ca="1">ORÇAMENTO!D60</f>
        <v>0</v>
      </c>
      <c r="C60" s="116" t="str">
        <f t="shared" ca="1" si="1"/>
        <v/>
      </c>
      <c r="D60" s="119" t="str">
        <f ca="1">ORÇAMENTO!O60</f>
        <v>-</v>
      </c>
      <c r="E60" s="172" t="str">
        <f t="shared" ca="1" si="2"/>
        <v>(abra o arquivo 'Referência 06-2024.xlsm)</v>
      </c>
      <c r="F60" s="173" t="str">
        <f ca="1">IF(RegimeExecucao="Global","",ORÇAMENTO.Unidade)</f>
        <v/>
      </c>
      <c r="G60" s="124" t="str">
        <f ca="1">IF(RegimeExecucao="Global","",ORÇAMENTO!T60)</f>
        <v/>
      </c>
      <c r="H60" s="124" t="str">
        <f ca="1">IF(RegimeExecucao="Global","",ORÇAMENTO!W60)</f>
        <v/>
      </c>
      <c r="I60" s="127">
        <f ca="1">ORÇAMENTO!X60</f>
        <v>0</v>
      </c>
      <c r="J60" s="378">
        <f ca="1">IF($A60="S",IF(CAIXA.Modo,BM.AFAnterior,BM.MEDAnterior),IF(AND(RegimeExecucao="Global",$I60&gt;0,COUNTIF($AB$13:$AM$13,BM.medicao-1)&gt;0),M60/$I60*100,0))</f>
        <v>0</v>
      </c>
      <c r="K60" s="124">
        <f t="shared" ca="1" si="3"/>
        <v>0</v>
      </c>
      <c r="L60" s="379">
        <f ca="1">IF($A60="S",IF(CAIXA.Modo,BM.AFAcumulado,BM.MEDAcumulado),IF(AND(RegimeExecucao="Global",$I60&gt;0,COUNTIF($AB$13:$AM$13,BM.medicao)&gt;0),O60/$I60*100,0))</f>
        <v>0</v>
      </c>
      <c r="M60" s="380">
        <f ca="1">IF($A60="S",VTOTALBM,IF($A60=0,0,ROUND(SomaAgrupBM,15-13*ORÇAMENTO!$AF$11)))</f>
        <v>0</v>
      </c>
      <c r="N60" s="381">
        <f t="shared" ca="1" si="4"/>
        <v>0</v>
      </c>
      <c r="O60" s="127">
        <f ca="1">IF($A60="S",VTOTALBM,IF($A60=0,0,ROUND(SomaAgrupBM,15-13*ORÇAMENTO!$AF$11)))</f>
        <v>0</v>
      </c>
      <c r="Q60" s="382"/>
      <c r="R60" s="383"/>
      <c r="T60" s="119" t="str">
        <f t="shared" ca="1" si="5"/>
        <v/>
      </c>
      <c r="U60" s="172" t="str">
        <f t="shared" ca="1" si="6"/>
        <v/>
      </c>
      <c r="V60" s="173" t="str">
        <f ca="1">IF(AND($W60&gt;0,RegimeExecucao="Unitário"),$F60,"")</f>
        <v/>
      </c>
      <c r="W60" s="547">
        <f ca="1">IF($Y60&gt;0,CHOOSE(MATCH(RegimeExecucao,{"Unitário","Global"},0),IF($A60="S",$Y60/$X60,""),($Y60/$X60)*100),0)</f>
        <v>0</v>
      </c>
      <c r="X60" s="384" t="str">
        <f ca="1">IF($Y60&gt;0,CHOOSE(MATCH(RegimeExecucao,{"Unitário","Global"},0),IF($A60="S",ROUND($H60,ORÇAMENTO!$AF$10),""),ROUND($I60,ORÇAMENTO!$AF$11)),"")</f>
        <v/>
      </c>
      <c r="Y60" s="384">
        <f t="shared" ca="1" si="7"/>
        <v>0</v>
      </c>
      <c r="Z60" s="572"/>
      <c r="AB60" s="382"/>
      <c r="AC60" s="516"/>
      <c r="AD60" s="516"/>
      <c r="AE60" s="516"/>
      <c r="AF60" s="516"/>
      <c r="AG60" s="516"/>
      <c r="AH60" s="516"/>
      <c r="AI60" s="516"/>
      <c r="AJ60" s="516"/>
      <c r="AK60" s="516"/>
      <c r="AL60" s="516"/>
      <c r="AM60" s="383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 ht="38.25" x14ac:dyDescent="0.2">
      <c r="A61" t="str">
        <f ca="1">ORÇAMENTO!C61</f>
        <v>S</v>
      </c>
      <c r="B61">
        <f ca="1">ORÇAMENTO!D61</f>
        <v>0</v>
      </c>
      <c r="C61" s="116" t="str">
        <f t="shared" ca="1" si="1"/>
        <v/>
      </c>
      <c r="D61" s="119" t="str">
        <f ca="1">ORÇAMENTO!O61</f>
        <v>-</v>
      </c>
      <c r="E61" s="172" t="str">
        <f t="shared" ca="1" si="2"/>
        <v>(abra o arquivo 'Referência 06-2024.xlsm)</v>
      </c>
      <c r="F61" s="173" t="str">
        <f ca="1">IF(RegimeExecucao="Global","",ORÇAMENTO.Unidade)</f>
        <v/>
      </c>
      <c r="G61" s="124" t="str">
        <f ca="1">IF(RegimeExecucao="Global","",ORÇAMENTO!T61)</f>
        <v/>
      </c>
      <c r="H61" s="124" t="str">
        <f ca="1">IF(RegimeExecucao="Global","",ORÇAMENTO!W61)</f>
        <v/>
      </c>
      <c r="I61" s="127">
        <f ca="1">ORÇAMENTO!X61</f>
        <v>0</v>
      </c>
      <c r="J61" s="378">
        <f ca="1">IF($A61="S",IF(CAIXA.Modo,BM.AFAnterior,BM.MEDAnterior),IF(AND(RegimeExecucao="Global",$I61&gt;0,COUNTIF($AB$13:$AM$13,BM.medicao-1)&gt;0),M61/$I61*100,0))</f>
        <v>0</v>
      </c>
      <c r="K61" s="124">
        <f t="shared" ca="1" si="3"/>
        <v>0</v>
      </c>
      <c r="L61" s="379">
        <f ca="1">IF($A61="S",IF(CAIXA.Modo,BM.AFAcumulado,BM.MEDAcumulado),IF(AND(RegimeExecucao="Global",$I61&gt;0,COUNTIF($AB$13:$AM$13,BM.medicao)&gt;0),O61/$I61*100,0))</f>
        <v>0</v>
      </c>
      <c r="M61" s="380">
        <f ca="1">IF($A61="S",VTOTALBM,IF($A61=0,0,ROUND(SomaAgrupBM,15-13*ORÇAMENTO!$AF$11)))</f>
        <v>0</v>
      </c>
      <c r="N61" s="381">
        <f t="shared" ca="1" si="4"/>
        <v>0</v>
      </c>
      <c r="O61" s="127">
        <f ca="1">IF($A61="S",VTOTALBM,IF($A61=0,0,ROUND(SomaAgrupBM,15-13*ORÇAMENTO!$AF$11)))</f>
        <v>0</v>
      </c>
      <c r="Q61" s="382"/>
      <c r="R61" s="383"/>
      <c r="T61" s="119" t="str">
        <f t="shared" ca="1" si="5"/>
        <v/>
      </c>
      <c r="U61" s="172" t="str">
        <f t="shared" ca="1" si="6"/>
        <v/>
      </c>
      <c r="V61" s="173" t="str">
        <f ca="1">IF(AND($W61&gt;0,RegimeExecucao="Unitário"),$F61,"")</f>
        <v/>
      </c>
      <c r="W61" s="547">
        <f ca="1">IF($Y61&gt;0,CHOOSE(MATCH(RegimeExecucao,{"Unitário","Global"},0),IF($A61="S",$Y61/$X61,""),($Y61/$X61)*100),0)</f>
        <v>0</v>
      </c>
      <c r="X61" s="384" t="str">
        <f ca="1">IF($Y61&gt;0,CHOOSE(MATCH(RegimeExecucao,{"Unitário","Global"},0),IF($A61="S",ROUND($H61,ORÇAMENTO!$AF$10),""),ROUND($I61,ORÇAMENTO!$AF$11)),"")</f>
        <v/>
      </c>
      <c r="Y61" s="384">
        <f t="shared" ca="1" si="7"/>
        <v>0</v>
      </c>
      <c r="Z61" s="572"/>
      <c r="AB61" s="382"/>
      <c r="AC61" s="516"/>
      <c r="AD61" s="516"/>
      <c r="AE61" s="516"/>
      <c r="AF61" s="516"/>
      <c r="AG61" s="516"/>
      <c r="AH61" s="516"/>
      <c r="AI61" s="516"/>
      <c r="AJ61" s="516"/>
      <c r="AK61" s="516"/>
      <c r="AL61" s="516"/>
      <c r="AM61" s="383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 ht="25.5" x14ac:dyDescent="0.2">
      <c r="A62" t="str">
        <f ca="1">ORÇAMENTO!C62</f>
        <v>S</v>
      </c>
      <c r="B62">
        <f ca="1">ORÇAMENTO!D62</f>
        <v>0</v>
      </c>
      <c r="C62" s="116" t="str">
        <f t="shared" ca="1" si="1"/>
        <v/>
      </c>
      <c r="D62" s="119" t="str">
        <f ca="1">ORÇAMENTO!O62</f>
        <v>-</v>
      </c>
      <c r="E62" s="172" t="str">
        <f t="shared" ca="1" si="2"/>
        <v>(abra o arquivo 'Referência 06-2024.xlsm)</v>
      </c>
      <c r="F62" s="173" t="str">
        <f ca="1">IF(RegimeExecucao="Global","",ORÇAMENTO.Unidade)</f>
        <v/>
      </c>
      <c r="G62" s="124" t="str">
        <f ca="1">IF(RegimeExecucao="Global","",ORÇAMENTO!T62)</f>
        <v/>
      </c>
      <c r="H62" s="124" t="str">
        <f ca="1">IF(RegimeExecucao="Global","",ORÇAMENTO!W62)</f>
        <v/>
      </c>
      <c r="I62" s="127">
        <f ca="1">ORÇAMENTO!X62</f>
        <v>0</v>
      </c>
      <c r="J62" s="378">
        <f ca="1">IF($A62="S",IF(CAIXA.Modo,BM.AFAnterior,BM.MEDAnterior),IF(AND(RegimeExecucao="Global",$I62&gt;0,COUNTIF($AB$13:$AM$13,BM.medicao-1)&gt;0),M62/$I62*100,0))</f>
        <v>0</v>
      </c>
      <c r="K62" s="124">
        <f t="shared" ca="1" si="3"/>
        <v>0</v>
      </c>
      <c r="L62" s="379">
        <f ca="1">IF($A62="S",IF(CAIXA.Modo,BM.AFAcumulado,BM.MEDAcumulado),IF(AND(RegimeExecucao="Global",$I62&gt;0,COUNTIF($AB$13:$AM$13,BM.medicao)&gt;0),O62/$I62*100,0))</f>
        <v>0</v>
      </c>
      <c r="M62" s="380">
        <f ca="1">IF($A62="S",VTOTALBM,IF($A62=0,0,ROUND(SomaAgrupBM,15-13*ORÇAMENTO!$AF$11)))</f>
        <v>0</v>
      </c>
      <c r="N62" s="381">
        <f t="shared" ca="1" si="4"/>
        <v>0</v>
      </c>
      <c r="O62" s="127">
        <f ca="1">IF($A62="S",VTOTALBM,IF($A62=0,0,ROUND(SomaAgrupBM,15-13*ORÇAMENTO!$AF$11)))</f>
        <v>0</v>
      </c>
      <c r="Q62" s="382"/>
      <c r="R62" s="383"/>
      <c r="T62" s="119" t="str">
        <f t="shared" ca="1" si="5"/>
        <v/>
      </c>
      <c r="U62" s="172" t="str">
        <f t="shared" ca="1" si="6"/>
        <v/>
      </c>
      <c r="V62" s="173" t="str">
        <f ca="1">IF(AND($W62&gt;0,RegimeExecucao="Unitário"),$F62,"")</f>
        <v/>
      </c>
      <c r="W62" s="547">
        <f ca="1">IF($Y62&gt;0,CHOOSE(MATCH(RegimeExecucao,{"Unitário","Global"},0),IF($A62="S",$Y62/$X62,""),($Y62/$X62)*100),0)</f>
        <v>0</v>
      </c>
      <c r="X62" s="384" t="str">
        <f ca="1">IF($Y62&gt;0,CHOOSE(MATCH(RegimeExecucao,{"Unitário","Global"},0),IF($A62="S",ROUND($H62,ORÇAMENTO!$AF$10),""),ROUND($I62,ORÇAMENTO!$AF$11)),"")</f>
        <v/>
      </c>
      <c r="Y62" s="384">
        <f t="shared" ca="1" si="7"/>
        <v>0</v>
      </c>
      <c r="Z62" s="572"/>
      <c r="AB62" s="382"/>
      <c r="AC62" s="516"/>
      <c r="AD62" s="516"/>
      <c r="AE62" s="516"/>
      <c r="AF62" s="516"/>
      <c r="AG62" s="516"/>
      <c r="AH62" s="516"/>
      <c r="AI62" s="516"/>
      <c r="AJ62" s="516"/>
      <c r="AK62" s="516"/>
      <c r="AL62" s="516"/>
      <c r="AM62" s="383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 ht="25.5" x14ac:dyDescent="0.2">
      <c r="A63">
        <f ca="1">ORÇAMENTO!C63</f>
        <v>2</v>
      </c>
      <c r="B63">
        <f ca="1">ORÇAMENTO!D63</f>
        <v>11</v>
      </c>
      <c r="C63" s="116" t="str">
        <f t="shared" ca="1" si="1"/>
        <v>F</v>
      </c>
      <c r="D63" s="119" t="str">
        <f ca="1">ORÇAMENTO!O63</f>
        <v>1.9.</v>
      </c>
      <c r="E63" s="172" t="str">
        <f t="shared" si="2"/>
        <v>SUPERESTRUTURA - CONCRETO ARMADO PARA VIGAS INCLUINDO BALDRAME</v>
      </c>
      <c r="F63" s="173" t="str">
        <f ca="1">IF(RegimeExecucao="Global","",ORÇAMENTO.Unidade)</f>
        <v/>
      </c>
      <c r="G63" s="124" t="str">
        <f ca="1">IF(RegimeExecucao="Global","",ORÇAMENTO!T63)</f>
        <v/>
      </c>
      <c r="H63" s="124" t="str">
        <f ca="1">IF(RegimeExecucao="Global","",ORÇAMENTO!W63)</f>
        <v/>
      </c>
      <c r="I63" s="127">
        <f ca="1">ORÇAMENTO!X63</f>
        <v>0</v>
      </c>
      <c r="J63" s="378">
        <f ca="1">IF($A63="S",IF(CAIXA.Modo,BM.AFAnterior,BM.MEDAnterior),IF(AND(RegimeExecucao="Global",$I63&gt;0,COUNTIF($AB$13:$AM$13,BM.medicao-1)&gt;0),M63/$I63*100,0))</f>
        <v>0</v>
      </c>
      <c r="K63" s="124">
        <f t="shared" ca="1" si="3"/>
        <v>0</v>
      </c>
      <c r="L63" s="379">
        <f ca="1">IF($A63="S",IF(CAIXA.Modo,BM.AFAcumulado,BM.MEDAcumulado),IF(AND(RegimeExecucao="Global",$I63&gt;0,COUNTIF($AB$13:$AM$13,BM.medicao)&gt;0),O63/$I63*100,0))</f>
        <v>0</v>
      </c>
      <c r="M63" s="380">
        <f ca="1">IF($A63="S",VTOTALBM,IF($A63=0,0,ROUND(SomaAgrupBM,15-13*ORÇAMENTO!$AF$11)))</f>
        <v>0</v>
      </c>
      <c r="N63" s="381">
        <f t="shared" ca="1" si="4"/>
        <v>0</v>
      </c>
      <c r="O63" s="127">
        <f ca="1">IF($A63="S",VTOTALBM,IF($A63=0,0,ROUND(SomaAgrupBM,15-13*ORÇAMENTO!$AF$11)))</f>
        <v>0</v>
      </c>
      <c r="Q63" s="382"/>
      <c r="R63" s="383"/>
      <c r="T63" s="119" t="str">
        <f t="shared" ca="1" si="5"/>
        <v/>
      </c>
      <c r="U63" s="172" t="str">
        <f t="shared" ca="1" si="6"/>
        <v/>
      </c>
      <c r="V63" s="173" t="str">
        <f ca="1">IF(AND($W63&gt;0,RegimeExecucao="Unitário"),$F63,"")</f>
        <v/>
      </c>
      <c r="W63" s="547">
        <f ca="1">IF($Y63&gt;0,CHOOSE(MATCH(RegimeExecucao,{"Unitário","Global"},0),IF($A63="S",$Y63/$X63,""),($Y63/$X63)*100),0)</f>
        <v>0</v>
      </c>
      <c r="X63" s="384" t="str">
        <f ca="1">IF($Y63&gt;0,CHOOSE(MATCH(RegimeExecucao,{"Unitário","Global"},0),IF($A63="S",ROUND($H63,ORÇAMENTO!$AF$10),""),ROUND($I63,ORÇAMENTO!$AF$11)),"")</f>
        <v/>
      </c>
      <c r="Y63" s="384">
        <f t="shared" ca="1" si="7"/>
        <v>0</v>
      </c>
      <c r="Z63" s="572"/>
      <c r="AB63" s="382"/>
      <c r="AC63" s="516"/>
      <c r="AD63" s="516"/>
      <c r="AE63" s="516"/>
      <c r="AF63" s="516"/>
      <c r="AG63" s="516"/>
      <c r="AH63" s="516"/>
      <c r="AI63" s="516"/>
      <c r="AJ63" s="516"/>
      <c r="AK63" s="516"/>
      <c r="AL63" s="516"/>
      <c r="AM63" s="383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 ht="25.5" x14ac:dyDescent="0.2">
      <c r="A64" t="str">
        <f ca="1">ORÇAMENTO!C64</f>
        <v>S</v>
      </c>
      <c r="B64">
        <f ca="1">ORÇAMENTO!D64</f>
        <v>0</v>
      </c>
      <c r="C64" s="116" t="str">
        <f t="shared" ca="1" si="1"/>
        <v/>
      </c>
      <c r="D64" s="119" t="str">
        <f ca="1">ORÇAMENTO!O64</f>
        <v>-</v>
      </c>
      <c r="E64" s="172" t="str">
        <f t="shared" ca="1" si="2"/>
        <v>(abra o arquivo 'Referência 06-2024.xlsm)</v>
      </c>
      <c r="F64" s="173" t="str">
        <f ca="1">IF(RegimeExecucao="Global","",ORÇAMENTO.Unidade)</f>
        <v/>
      </c>
      <c r="G64" s="124" t="str">
        <f ca="1">IF(RegimeExecucao="Global","",ORÇAMENTO!T64)</f>
        <v/>
      </c>
      <c r="H64" s="124" t="str">
        <f ca="1">IF(RegimeExecucao="Global","",ORÇAMENTO!W64)</f>
        <v/>
      </c>
      <c r="I64" s="127">
        <f ca="1">ORÇAMENTO!X64</f>
        <v>0</v>
      </c>
      <c r="J64" s="378">
        <f ca="1">IF($A64="S",IF(CAIXA.Modo,BM.AFAnterior,BM.MEDAnterior),IF(AND(RegimeExecucao="Global",$I64&gt;0,COUNTIF($AB$13:$AM$13,BM.medicao-1)&gt;0),M64/$I64*100,0))</f>
        <v>0</v>
      </c>
      <c r="K64" s="124">
        <f t="shared" ca="1" si="3"/>
        <v>0</v>
      </c>
      <c r="L64" s="379">
        <f ca="1">IF($A64="S",IF(CAIXA.Modo,BM.AFAcumulado,BM.MEDAcumulado),IF(AND(RegimeExecucao="Global",$I64&gt;0,COUNTIF($AB$13:$AM$13,BM.medicao)&gt;0),O64/$I64*100,0))</f>
        <v>0</v>
      </c>
      <c r="M64" s="380">
        <f ca="1">IF($A64="S",VTOTALBM,IF($A64=0,0,ROUND(SomaAgrupBM,15-13*ORÇAMENTO!$AF$11)))</f>
        <v>0</v>
      </c>
      <c r="N64" s="381">
        <f t="shared" ca="1" si="4"/>
        <v>0</v>
      </c>
      <c r="O64" s="127">
        <f ca="1">IF($A64="S",VTOTALBM,IF($A64=0,0,ROUND(SomaAgrupBM,15-13*ORÇAMENTO!$AF$11)))</f>
        <v>0</v>
      </c>
      <c r="Q64" s="382"/>
      <c r="R64" s="383"/>
      <c r="T64" s="119" t="str">
        <f t="shared" ca="1" si="5"/>
        <v/>
      </c>
      <c r="U64" s="172" t="str">
        <f t="shared" ca="1" si="6"/>
        <v/>
      </c>
      <c r="V64" s="173" t="str">
        <f ca="1">IF(AND($W64&gt;0,RegimeExecucao="Unitário"),$F64,"")</f>
        <v/>
      </c>
      <c r="W64" s="547">
        <f ca="1">IF($Y64&gt;0,CHOOSE(MATCH(RegimeExecucao,{"Unitário","Global"},0),IF($A64="S",$Y64/$X64,""),($Y64/$X64)*100),0)</f>
        <v>0</v>
      </c>
      <c r="X64" s="384" t="str">
        <f ca="1">IF($Y64&gt;0,CHOOSE(MATCH(RegimeExecucao,{"Unitário","Global"},0),IF($A64="S",ROUND($H64,ORÇAMENTO!$AF$10),""),ROUND($I64,ORÇAMENTO!$AF$11)),"")</f>
        <v/>
      </c>
      <c r="Y64" s="384">
        <f t="shared" ca="1" si="7"/>
        <v>0</v>
      </c>
      <c r="Z64" s="572"/>
      <c r="AB64" s="382"/>
      <c r="AC64" s="516"/>
      <c r="AD64" s="516"/>
      <c r="AE64" s="516"/>
      <c r="AF64" s="516"/>
      <c r="AG64" s="516"/>
      <c r="AH64" s="516"/>
      <c r="AI64" s="516"/>
      <c r="AJ64" s="516"/>
      <c r="AK64" s="516"/>
      <c r="AL64" s="516"/>
      <c r="AM64" s="383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 ht="51" x14ac:dyDescent="0.2">
      <c r="A65" t="str">
        <f ca="1">ORÇAMENTO!C65</f>
        <v>S</v>
      </c>
      <c r="B65">
        <f ca="1">ORÇAMENTO!D65</f>
        <v>0</v>
      </c>
      <c r="C65" s="116" t="str">
        <f t="shared" ca="1" si="1"/>
        <v/>
      </c>
      <c r="D65" s="119" t="str">
        <f ca="1">ORÇAMENTO!O65</f>
        <v>-</v>
      </c>
      <c r="E65" s="172" t="str">
        <f t="shared" ca="1" si="2"/>
        <v>(abra o arquivo 'Referência 06-2024.xlsm)</v>
      </c>
      <c r="F65" s="173" t="str">
        <f ca="1">IF(RegimeExecucao="Global","",ORÇAMENTO.Unidade)</f>
        <v/>
      </c>
      <c r="G65" s="124" t="str">
        <f ca="1">IF(RegimeExecucao="Global","",ORÇAMENTO!T65)</f>
        <v/>
      </c>
      <c r="H65" s="124" t="str">
        <f ca="1">IF(RegimeExecucao="Global","",ORÇAMENTO!W65)</f>
        <v/>
      </c>
      <c r="I65" s="127">
        <f ca="1">ORÇAMENTO!X65</f>
        <v>0</v>
      </c>
      <c r="J65" s="378">
        <f ca="1">IF($A65="S",IF(CAIXA.Modo,BM.AFAnterior,BM.MEDAnterior),IF(AND(RegimeExecucao="Global",$I65&gt;0,COUNTIF($AB$13:$AM$13,BM.medicao-1)&gt;0),M65/$I65*100,0))</f>
        <v>0</v>
      </c>
      <c r="K65" s="124">
        <f t="shared" ca="1" si="3"/>
        <v>0</v>
      </c>
      <c r="L65" s="379">
        <f ca="1">IF($A65="S",IF(CAIXA.Modo,BM.AFAcumulado,BM.MEDAcumulado),IF(AND(RegimeExecucao="Global",$I65&gt;0,COUNTIF($AB$13:$AM$13,BM.medicao)&gt;0),O65/$I65*100,0))</f>
        <v>0</v>
      </c>
      <c r="M65" s="380">
        <f ca="1">IF($A65="S",VTOTALBM,IF($A65=0,0,ROUND(SomaAgrupBM,15-13*ORÇAMENTO!$AF$11)))</f>
        <v>0</v>
      </c>
      <c r="N65" s="381">
        <f t="shared" ca="1" si="4"/>
        <v>0</v>
      </c>
      <c r="O65" s="127">
        <f ca="1">IF($A65="S",VTOTALBM,IF($A65=0,0,ROUND(SomaAgrupBM,15-13*ORÇAMENTO!$AF$11)))</f>
        <v>0</v>
      </c>
      <c r="Q65" s="382"/>
      <c r="R65" s="383"/>
      <c r="T65" s="119" t="str">
        <f t="shared" ca="1" si="5"/>
        <v/>
      </c>
      <c r="U65" s="172" t="str">
        <f t="shared" ca="1" si="6"/>
        <v/>
      </c>
      <c r="V65" s="173" t="str">
        <f ca="1">IF(AND($W65&gt;0,RegimeExecucao="Unitário"),$F65,"")</f>
        <v/>
      </c>
      <c r="W65" s="547">
        <f ca="1">IF($Y65&gt;0,CHOOSE(MATCH(RegimeExecucao,{"Unitário","Global"},0),IF($A65="S",$Y65/$X65,""),($Y65/$X65)*100),0)</f>
        <v>0</v>
      </c>
      <c r="X65" s="384" t="str">
        <f ca="1">IF($Y65&gt;0,CHOOSE(MATCH(RegimeExecucao,{"Unitário","Global"},0),IF($A65="S",ROUND($H65,ORÇAMENTO!$AF$10),""),ROUND($I65,ORÇAMENTO!$AF$11)),"")</f>
        <v/>
      </c>
      <c r="Y65" s="384">
        <f t="shared" ca="1" si="7"/>
        <v>0</v>
      </c>
      <c r="Z65" s="572"/>
      <c r="AB65" s="382"/>
      <c r="AC65" s="516"/>
      <c r="AD65" s="516"/>
      <c r="AE65" s="516"/>
      <c r="AF65" s="516"/>
      <c r="AG65" s="516"/>
      <c r="AH65" s="516"/>
      <c r="AI65" s="516"/>
      <c r="AJ65" s="516"/>
      <c r="AK65" s="516"/>
      <c r="AL65" s="516"/>
      <c r="AM65" s="383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 ht="38.25" x14ac:dyDescent="0.2">
      <c r="A66" t="str">
        <f ca="1">ORÇAMENTO!C66</f>
        <v>S</v>
      </c>
      <c r="B66">
        <f ca="1">ORÇAMENTO!D66</f>
        <v>0</v>
      </c>
      <c r="C66" s="116" t="str">
        <f t="shared" ca="1" si="1"/>
        <v/>
      </c>
      <c r="D66" s="119" t="str">
        <f ca="1">ORÇAMENTO!O66</f>
        <v>-</v>
      </c>
      <c r="E66" s="172" t="str">
        <f t="shared" ca="1" si="2"/>
        <v>(abra o arquivo 'Referência 06-2024.xlsm)</v>
      </c>
      <c r="F66" s="173" t="str">
        <f ca="1">IF(RegimeExecucao="Global","",ORÇAMENTO.Unidade)</f>
        <v/>
      </c>
      <c r="G66" s="124" t="str">
        <f ca="1">IF(RegimeExecucao="Global","",ORÇAMENTO!T66)</f>
        <v/>
      </c>
      <c r="H66" s="124" t="str">
        <f ca="1">IF(RegimeExecucao="Global","",ORÇAMENTO!W66)</f>
        <v/>
      </c>
      <c r="I66" s="127">
        <f ca="1">ORÇAMENTO!X66</f>
        <v>0</v>
      </c>
      <c r="J66" s="378">
        <f ca="1">IF($A66="S",IF(CAIXA.Modo,BM.AFAnterior,BM.MEDAnterior),IF(AND(RegimeExecucao="Global",$I66&gt;0,COUNTIF($AB$13:$AM$13,BM.medicao-1)&gt;0),M66/$I66*100,0))</f>
        <v>0</v>
      </c>
      <c r="K66" s="124">
        <f t="shared" ca="1" si="3"/>
        <v>0</v>
      </c>
      <c r="L66" s="379">
        <f ca="1">IF($A66="S",IF(CAIXA.Modo,BM.AFAcumulado,BM.MEDAcumulado),IF(AND(RegimeExecucao="Global",$I66&gt;0,COUNTIF($AB$13:$AM$13,BM.medicao)&gt;0),O66/$I66*100,0))</f>
        <v>0</v>
      </c>
      <c r="M66" s="380">
        <f ca="1">IF($A66="S",VTOTALBM,IF($A66=0,0,ROUND(SomaAgrupBM,15-13*ORÇAMENTO!$AF$11)))</f>
        <v>0</v>
      </c>
      <c r="N66" s="381">
        <f t="shared" ca="1" si="4"/>
        <v>0</v>
      </c>
      <c r="O66" s="127">
        <f ca="1">IF($A66="S",VTOTALBM,IF($A66=0,0,ROUND(SomaAgrupBM,15-13*ORÇAMENTO!$AF$11)))</f>
        <v>0</v>
      </c>
      <c r="Q66" s="382"/>
      <c r="R66" s="383"/>
      <c r="T66" s="119" t="str">
        <f t="shared" ca="1" si="5"/>
        <v/>
      </c>
      <c r="U66" s="172" t="str">
        <f t="shared" ca="1" si="6"/>
        <v/>
      </c>
      <c r="V66" s="173" t="str">
        <f ca="1">IF(AND($W66&gt;0,RegimeExecucao="Unitário"),$F66,"")</f>
        <v/>
      </c>
      <c r="W66" s="547">
        <f ca="1">IF($Y66&gt;0,CHOOSE(MATCH(RegimeExecucao,{"Unitário","Global"},0),IF($A66="S",$Y66/$X66,""),($Y66/$X66)*100),0)</f>
        <v>0</v>
      </c>
      <c r="X66" s="384" t="str">
        <f ca="1">IF($Y66&gt;0,CHOOSE(MATCH(RegimeExecucao,{"Unitário","Global"},0),IF($A66="S",ROUND($H66,ORÇAMENTO!$AF$10),""),ROUND($I66,ORÇAMENTO!$AF$11)),"")</f>
        <v/>
      </c>
      <c r="Y66" s="384">
        <f t="shared" ca="1" si="7"/>
        <v>0</v>
      </c>
      <c r="Z66" s="572"/>
      <c r="AB66" s="382"/>
      <c r="AC66" s="516"/>
      <c r="AD66" s="516"/>
      <c r="AE66" s="516"/>
      <c r="AF66" s="516"/>
      <c r="AG66" s="516"/>
      <c r="AH66" s="516"/>
      <c r="AI66" s="516"/>
      <c r="AJ66" s="516"/>
      <c r="AK66" s="516"/>
      <c r="AL66" s="516"/>
      <c r="AM66" s="383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 ht="38.25" x14ac:dyDescent="0.2">
      <c r="A67" t="str">
        <f ca="1">ORÇAMENTO!C67</f>
        <v>S</v>
      </c>
      <c r="B67">
        <f ca="1">ORÇAMENTO!D67</f>
        <v>0</v>
      </c>
      <c r="C67" s="116" t="str">
        <f t="shared" ca="1" si="1"/>
        <v/>
      </c>
      <c r="D67" s="119" t="str">
        <f ca="1">ORÇAMENTO!O67</f>
        <v>-</v>
      </c>
      <c r="E67" s="172" t="str">
        <f t="shared" ca="1" si="2"/>
        <v>(abra o arquivo 'Referência 06-2024.xlsm)</v>
      </c>
      <c r="F67" s="173" t="str">
        <f ca="1">IF(RegimeExecucao="Global","",ORÇAMENTO.Unidade)</f>
        <v/>
      </c>
      <c r="G67" s="124" t="str">
        <f ca="1">IF(RegimeExecucao="Global","",ORÇAMENTO!T67)</f>
        <v/>
      </c>
      <c r="H67" s="124" t="str">
        <f ca="1">IF(RegimeExecucao="Global","",ORÇAMENTO!W67)</f>
        <v/>
      </c>
      <c r="I67" s="127">
        <f ca="1">ORÇAMENTO!X67</f>
        <v>0</v>
      </c>
      <c r="J67" s="378">
        <f ca="1">IF($A67="S",IF(CAIXA.Modo,BM.AFAnterior,BM.MEDAnterior),IF(AND(RegimeExecucao="Global",$I67&gt;0,COUNTIF($AB$13:$AM$13,BM.medicao-1)&gt;0),M67/$I67*100,0))</f>
        <v>0</v>
      </c>
      <c r="K67" s="124">
        <f t="shared" ca="1" si="3"/>
        <v>0</v>
      </c>
      <c r="L67" s="379">
        <f ca="1">IF($A67="S",IF(CAIXA.Modo,BM.AFAcumulado,BM.MEDAcumulado),IF(AND(RegimeExecucao="Global",$I67&gt;0,COUNTIF($AB$13:$AM$13,BM.medicao)&gt;0),O67/$I67*100,0))</f>
        <v>0</v>
      </c>
      <c r="M67" s="380">
        <f ca="1">IF($A67="S",VTOTALBM,IF($A67=0,0,ROUND(SomaAgrupBM,15-13*ORÇAMENTO!$AF$11)))</f>
        <v>0</v>
      </c>
      <c r="N67" s="381">
        <f t="shared" ca="1" si="4"/>
        <v>0</v>
      </c>
      <c r="O67" s="127">
        <f ca="1">IF($A67="S",VTOTALBM,IF($A67=0,0,ROUND(SomaAgrupBM,15-13*ORÇAMENTO!$AF$11)))</f>
        <v>0</v>
      </c>
      <c r="Q67" s="382"/>
      <c r="R67" s="383"/>
      <c r="T67" s="119" t="str">
        <f t="shared" ca="1" si="5"/>
        <v/>
      </c>
      <c r="U67" s="172" t="str">
        <f t="shared" ca="1" si="6"/>
        <v/>
      </c>
      <c r="V67" s="173" t="str">
        <f ca="1">IF(AND($W67&gt;0,RegimeExecucao="Unitário"),$F67,"")</f>
        <v/>
      </c>
      <c r="W67" s="547">
        <f ca="1">IF($Y67&gt;0,CHOOSE(MATCH(RegimeExecucao,{"Unitário","Global"},0),IF($A67="S",$Y67/$X67,""),($Y67/$X67)*100),0)</f>
        <v>0</v>
      </c>
      <c r="X67" s="384" t="str">
        <f ca="1">IF($Y67&gt;0,CHOOSE(MATCH(RegimeExecucao,{"Unitário","Global"},0),IF($A67="S",ROUND($H67,ORÇAMENTO!$AF$10),""),ROUND($I67,ORÇAMENTO!$AF$11)),"")</f>
        <v/>
      </c>
      <c r="Y67" s="384">
        <f t="shared" ca="1" si="7"/>
        <v>0</v>
      </c>
      <c r="Z67" s="572"/>
      <c r="AB67" s="382"/>
      <c r="AC67" s="516"/>
      <c r="AD67" s="516"/>
      <c r="AE67" s="516"/>
      <c r="AF67" s="516"/>
      <c r="AG67" s="516"/>
      <c r="AH67" s="516"/>
      <c r="AI67" s="516"/>
      <c r="AJ67" s="516"/>
      <c r="AK67" s="516"/>
      <c r="AL67" s="516"/>
      <c r="AM67" s="383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 ht="38.25" x14ac:dyDescent="0.2">
      <c r="A68" t="str">
        <f ca="1">ORÇAMENTO!C68</f>
        <v>S</v>
      </c>
      <c r="B68">
        <f ca="1">ORÇAMENTO!D68</f>
        <v>0</v>
      </c>
      <c r="C68" s="116" t="str">
        <f t="shared" ca="1" si="1"/>
        <v/>
      </c>
      <c r="D68" s="119" t="str">
        <f ca="1">ORÇAMENTO!O68</f>
        <v>-</v>
      </c>
      <c r="E68" s="172" t="str">
        <f t="shared" ca="1" si="2"/>
        <v>(abra o arquivo 'Referência 06-2024.xlsm)</v>
      </c>
      <c r="F68" s="173" t="str">
        <f ca="1">IF(RegimeExecucao="Global","",ORÇAMENTO.Unidade)</f>
        <v/>
      </c>
      <c r="G68" s="124" t="str">
        <f ca="1">IF(RegimeExecucao="Global","",ORÇAMENTO!T68)</f>
        <v/>
      </c>
      <c r="H68" s="124" t="str">
        <f ca="1">IF(RegimeExecucao="Global","",ORÇAMENTO!W68)</f>
        <v/>
      </c>
      <c r="I68" s="127">
        <f ca="1">ORÇAMENTO!X68</f>
        <v>0</v>
      </c>
      <c r="J68" s="378">
        <f ca="1">IF($A68="S",IF(CAIXA.Modo,BM.AFAnterior,BM.MEDAnterior),IF(AND(RegimeExecucao="Global",$I68&gt;0,COUNTIF($AB$13:$AM$13,BM.medicao-1)&gt;0),M68/$I68*100,0))</f>
        <v>0</v>
      </c>
      <c r="K68" s="124">
        <f t="shared" ca="1" si="3"/>
        <v>0</v>
      </c>
      <c r="L68" s="379">
        <f ca="1">IF($A68="S",IF(CAIXA.Modo,BM.AFAcumulado,BM.MEDAcumulado),IF(AND(RegimeExecucao="Global",$I68&gt;0,COUNTIF($AB$13:$AM$13,BM.medicao)&gt;0),O68/$I68*100,0))</f>
        <v>0</v>
      </c>
      <c r="M68" s="380">
        <f ca="1">IF($A68="S",VTOTALBM,IF($A68=0,0,ROUND(SomaAgrupBM,15-13*ORÇAMENTO!$AF$11)))</f>
        <v>0</v>
      </c>
      <c r="N68" s="381">
        <f t="shared" ca="1" si="4"/>
        <v>0</v>
      </c>
      <c r="O68" s="127">
        <f ca="1">IF($A68="S",VTOTALBM,IF($A68=0,0,ROUND(SomaAgrupBM,15-13*ORÇAMENTO!$AF$11)))</f>
        <v>0</v>
      </c>
      <c r="Q68" s="382"/>
      <c r="R68" s="383"/>
      <c r="T68" s="119" t="str">
        <f t="shared" ca="1" si="5"/>
        <v/>
      </c>
      <c r="U68" s="172" t="str">
        <f t="shared" ca="1" si="6"/>
        <v/>
      </c>
      <c r="V68" s="173" t="str">
        <f ca="1">IF(AND($W68&gt;0,RegimeExecucao="Unitário"),$F68,"")</f>
        <v/>
      </c>
      <c r="W68" s="547">
        <f ca="1">IF($Y68&gt;0,CHOOSE(MATCH(RegimeExecucao,{"Unitário","Global"},0),IF($A68="S",$Y68/$X68,""),($Y68/$X68)*100),0)</f>
        <v>0</v>
      </c>
      <c r="X68" s="384" t="str">
        <f ca="1">IF($Y68&gt;0,CHOOSE(MATCH(RegimeExecucao,{"Unitário","Global"},0),IF($A68="S",ROUND($H68,ORÇAMENTO!$AF$10),""),ROUND($I68,ORÇAMENTO!$AF$11)),"")</f>
        <v/>
      </c>
      <c r="Y68" s="384">
        <f t="shared" ca="1" si="7"/>
        <v>0</v>
      </c>
      <c r="Z68" s="572"/>
      <c r="AB68" s="382"/>
      <c r="AC68" s="516"/>
      <c r="AD68" s="516"/>
      <c r="AE68" s="516"/>
      <c r="AF68" s="516"/>
      <c r="AG68" s="516"/>
      <c r="AH68" s="516"/>
      <c r="AI68" s="516"/>
      <c r="AJ68" s="516"/>
      <c r="AK68" s="516"/>
      <c r="AL68" s="516"/>
      <c r="AM68" s="383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spans="1:41" ht="38.25" x14ac:dyDescent="0.2">
      <c r="A69" t="str">
        <f ca="1">ORÇAMENTO!C69</f>
        <v>S</v>
      </c>
      <c r="B69">
        <f ca="1">ORÇAMENTO!D69</f>
        <v>0</v>
      </c>
      <c r="C69" s="116" t="str">
        <f t="shared" ca="1" si="1"/>
        <v/>
      </c>
      <c r="D69" s="119" t="str">
        <f ca="1">ORÇAMENTO!O69</f>
        <v>-</v>
      </c>
      <c r="E69" s="172" t="str">
        <f t="shared" ca="1" si="2"/>
        <v>(abra o arquivo 'Referência 06-2024.xlsm)</v>
      </c>
      <c r="F69" s="173" t="str">
        <f ca="1">IF(RegimeExecucao="Global","",ORÇAMENTO.Unidade)</f>
        <v/>
      </c>
      <c r="G69" s="124" t="str">
        <f ca="1">IF(RegimeExecucao="Global","",ORÇAMENTO!T69)</f>
        <v/>
      </c>
      <c r="H69" s="124" t="str">
        <f ca="1">IF(RegimeExecucao="Global","",ORÇAMENTO!W69)</f>
        <v/>
      </c>
      <c r="I69" s="127">
        <f ca="1">ORÇAMENTO!X69</f>
        <v>0</v>
      </c>
      <c r="J69" s="378">
        <f ca="1">IF($A69="S",IF(CAIXA.Modo,BM.AFAnterior,BM.MEDAnterior),IF(AND(RegimeExecucao="Global",$I69&gt;0,COUNTIF($AB$13:$AM$13,BM.medicao-1)&gt;0),M69/$I69*100,0))</f>
        <v>0</v>
      </c>
      <c r="K69" s="124">
        <f t="shared" ca="1" si="3"/>
        <v>0</v>
      </c>
      <c r="L69" s="379">
        <f ca="1">IF($A69="S",IF(CAIXA.Modo,BM.AFAcumulado,BM.MEDAcumulado),IF(AND(RegimeExecucao="Global",$I69&gt;0,COUNTIF($AB$13:$AM$13,BM.medicao)&gt;0),O69/$I69*100,0))</f>
        <v>0</v>
      </c>
      <c r="M69" s="380">
        <f ca="1">IF($A69="S",VTOTALBM,IF($A69=0,0,ROUND(SomaAgrupBM,15-13*ORÇAMENTO!$AF$11)))</f>
        <v>0</v>
      </c>
      <c r="N69" s="381">
        <f t="shared" ca="1" si="4"/>
        <v>0</v>
      </c>
      <c r="O69" s="127">
        <f ca="1">IF($A69="S",VTOTALBM,IF($A69=0,0,ROUND(SomaAgrupBM,15-13*ORÇAMENTO!$AF$11)))</f>
        <v>0</v>
      </c>
      <c r="Q69" s="382"/>
      <c r="R69" s="383"/>
      <c r="T69" s="119" t="str">
        <f t="shared" ca="1" si="5"/>
        <v/>
      </c>
      <c r="U69" s="172" t="str">
        <f t="shared" ca="1" si="6"/>
        <v/>
      </c>
      <c r="V69" s="173" t="str">
        <f ca="1">IF(AND($W69&gt;0,RegimeExecucao="Unitário"),$F69,"")</f>
        <v/>
      </c>
      <c r="W69" s="547">
        <f ca="1">IF($Y69&gt;0,CHOOSE(MATCH(RegimeExecucao,{"Unitário","Global"},0),IF($A69="S",$Y69/$X69,""),($Y69/$X69)*100),0)</f>
        <v>0</v>
      </c>
      <c r="X69" s="384" t="str">
        <f ca="1">IF($Y69&gt;0,CHOOSE(MATCH(RegimeExecucao,{"Unitário","Global"},0),IF($A69="S",ROUND($H69,ORÇAMENTO!$AF$10),""),ROUND($I69,ORÇAMENTO!$AF$11)),"")</f>
        <v/>
      </c>
      <c r="Y69" s="384">
        <f t="shared" ca="1" si="7"/>
        <v>0</v>
      </c>
      <c r="Z69" s="572"/>
      <c r="AB69" s="382"/>
      <c r="AC69" s="516"/>
      <c r="AD69" s="516"/>
      <c r="AE69" s="516"/>
      <c r="AF69" s="516"/>
      <c r="AG69" s="516"/>
      <c r="AH69" s="516"/>
      <c r="AI69" s="516"/>
      <c r="AJ69" s="516"/>
      <c r="AK69" s="516"/>
      <c r="AL69" s="516"/>
      <c r="AM69" s="383"/>
      <c r="AO69">
        <f ca="1">IF($A69="S",IF(BM!$I69=0,0,CHOOSE(MATCH(RegimeExecucao,{"Global","Unitário"},0),ROUND(ROUND(BM.MEDAcumulado,15-13*BM!$A$9)/100*BM!$I69,15-13*ORÇAMENTO!$AF$11),ROUND(ROUND(BM.MEDAcumulado,15-13*BM!$A$9)*ROUND(BM!$H69,15-13*ORÇAMENTO!$AF$10),15-13*ORÇAMENTO!$AF$11))),IF($A69=0,0,ROUND(SomaAgrupBM,15-13*ORÇAMENTO!$AF$11)))</f>
        <v>0</v>
      </c>
    </row>
    <row r="70" spans="1:41" ht="38.25" x14ac:dyDescent="0.2">
      <c r="A70" t="str">
        <f ca="1">ORÇAMENTO!C70</f>
        <v>S</v>
      </c>
      <c r="B70">
        <f ca="1">ORÇAMENTO!D70</f>
        <v>0</v>
      </c>
      <c r="C70" s="116" t="str">
        <f t="shared" ref="C70:C117" ca="1" si="8">IF(OR($I70&gt;0,$A70=1,$A70=2,$A70=3,$A70=4),"F","")</f>
        <v/>
      </c>
      <c r="D70" s="119" t="str">
        <f ca="1">ORÇAMENTO!O70</f>
        <v>-</v>
      </c>
      <c r="E70" s="172" t="str">
        <f t="shared" ref="E70:E117" ca="1" si="9">ORÇAMENTO.Descricao</f>
        <v>(abra o arquivo 'Referência 06-2024.xlsm)</v>
      </c>
      <c r="F70" s="173" t="str">
        <f ca="1">IF(RegimeExecucao="Global","",ORÇAMENTO.Unidade)</f>
        <v/>
      </c>
      <c r="G70" s="124" t="str">
        <f ca="1">IF(RegimeExecucao="Global","",ORÇAMENTO!T70)</f>
        <v/>
      </c>
      <c r="H70" s="124" t="str">
        <f ca="1">IF(RegimeExecucao="Global","",ORÇAMENTO!W70)</f>
        <v/>
      </c>
      <c r="I70" s="127">
        <f ca="1">ORÇAMENTO!X70</f>
        <v>0</v>
      </c>
      <c r="J70" s="378">
        <f ca="1">IF($A70="S",IF(CAIXA.Modo,BM.AFAnterior,BM.MEDAnterior),IF(AND(RegimeExecucao="Global",$I70&gt;0,COUNTIF($AB$13:$AM$13,BM.medicao-1)&gt;0),M70/$I70*100,0))</f>
        <v>0</v>
      </c>
      <c r="K70" s="124">
        <f t="shared" ref="K70:K117" ca="1" si="10">L70-J70</f>
        <v>0</v>
      </c>
      <c r="L70" s="379">
        <f ca="1">IF($A70="S",IF(CAIXA.Modo,BM.AFAcumulado,BM.MEDAcumulado),IF(AND(RegimeExecucao="Global",$I70&gt;0,COUNTIF($AB$13:$AM$13,BM.medicao)&gt;0),O70/$I70*100,0))</f>
        <v>0</v>
      </c>
      <c r="M70" s="380">
        <f ca="1">IF($A70="S",VTOTALBM,IF($A70=0,0,ROUND(SomaAgrupBM,15-13*ORÇAMENTO!$AF$11)))</f>
        <v>0</v>
      </c>
      <c r="N70" s="381">
        <f t="shared" ref="N70:N117" ca="1" si="11">O70-M70</f>
        <v>0</v>
      </c>
      <c r="O70" s="127">
        <f ca="1">IF($A70="S",VTOTALBM,IF($A70=0,0,ROUND(SomaAgrupBM,15-13*ORÇAMENTO!$AF$11)))</f>
        <v>0</v>
      </c>
      <c r="Q70" s="382"/>
      <c r="R70" s="383"/>
      <c r="T70" s="119" t="str">
        <f t="shared" ref="T70:T117" ca="1" si="12">IF($W70&gt;0,$D70,"")</f>
        <v/>
      </c>
      <c r="U70" s="172" t="str">
        <f t="shared" ref="U70:U117" ca="1" si="13">IF($W70&gt;0,$E70,"")</f>
        <v/>
      </c>
      <c r="V70" s="173" t="str">
        <f ca="1">IF(AND($W70&gt;0,RegimeExecucao="Unitário"),$F70,"")</f>
        <v/>
      </c>
      <c r="W70" s="547">
        <f ca="1">IF($Y70&gt;0,CHOOSE(MATCH(RegimeExecucao,{"Unitário","Global"},0),IF($A70="S",$Y70/$X70,""),($Y70/$X70)*100),0)</f>
        <v>0</v>
      </c>
      <c r="X70" s="384" t="str">
        <f ca="1">IF($Y70&gt;0,CHOOSE(MATCH(RegimeExecucao,{"Unitário","Global"},0),IF($A70="S",ROUND($H70,ORÇAMENTO!$AF$10),""),ROUND($I70,ORÇAMENTO!$AF$11)),"")</f>
        <v/>
      </c>
      <c r="Y70" s="384">
        <f t="shared" ref="Y70:Y117" ca="1" si="14">AO70-O70</f>
        <v>0</v>
      </c>
      <c r="Z70" s="572"/>
      <c r="AB70" s="382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383"/>
      <c r="AO70">
        <f ca="1">IF($A70="S",IF(BM!$I70=0,0,CHOOSE(MATCH(RegimeExecucao,{"Global","Unitário"},0),ROUND(ROUND(BM.MEDAcumulado,15-13*BM!$A$9)/100*BM!$I70,15-13*ORÇAMENTO!$AF$11),ROUND(ROUND(BM.MEDAcumulado,15-13*BM!$A$9)*ROUND(BM!$H70,15-13*ORÇAMENTO!$AF$10),15-13*ORÇAMENTO!$AF$11))),IF($A70=0,0,ROUND(SomaAgrupBM,15-13*ORÇAMENTO!$AF$11)))</f>
        <v>0</v>
      </c>
    </row>
    <row r="71" spans="1:41" ht="38.25" x14ac:dyDescent="0.2">
      <c r="A71" t="str">
        <f ca="1">ORÇAMENTO!C71</f>
        <v>S</v>
      </c>
      <c r="B71">
        <f ca="1">ORÇAMENTO!D71</f>
        <v>0</v>
      </c>
      <c r="C71" s="116" t="str">
        <f t="shared" ca="1" si="8"/>
        <v/>
      </c>
      <c r="D71" s="119" t="str">
        <f ca="1">ORÇAMENTO!O71</f>
        <v>-</v>
      </c>
      <c r="E71" s="172" t="str">
        <f t="shared" ca="1" si="9"/>
        <v>(abra o arquivo 'Referência 06-2024.xlsm)</v>
      </c>
      <c r="F71" s="173" t="str">
        <f ca="1">IF(RegimeExecucao="Global","",ORÇAMENTO.Unidade)</f>
        <v/>
      </c>
      <c r="G71" s="124" t="str">
        <f ca="1">IF(RegimeExecucao="Global","",ORÇAMENTO!T71)</f>
        <v/>
      </c>
      <c r="H71" s="124" t="str">
        <f ca="1">IF(RegimeExecucao="Global","",ORÇAMENTO!W71)</f>
        <v/>
      </c>
      <c r="I71" s="127">
        <f ca="1">ORÇAMENTO!X71</f>
        <v>0</v>
      </c>
      <c r="J71" s="378">
        <f ca="1">IF($A71="S",IF(CAIXA.Modo,BM.AFAnterior,BM.MEDAnterior),IF(AND(RegimeExecucao="Global",$I71&gt;0,COUNTIF($AB$13:$AM$13,BM.medicao-1)&gt;0),M71/$I71*100,0))</f>
        <v>0</v>
      </c>
      <c r="K71" s="124">
        <f t="shared" ca="1" si="10"/>
        <v>0</v>
      </c>
      <c r="L71" s="379">
        <f ca="1">IF($A71="S",IF(CAIXA.Modo,BM.AFAcumulado,BM.MEDAcumulado),IF(AND(RegimeExecucao="Global",$I71&gt;0,COUNTIF($AB$13:$AM$13,BM.medicao)&gt;0),O71/$I71*100,0))</f>
        <v>0</v>
      </c>
      <c r="M71" s="380">
        <f ca="1">IF($A71="S",VTOTALBM,IF($A71=0,0,ROUND(SomaAgrupBM,15-13*ORÇAMENTO!$AF$11)))</f>
        <v>0</v>
      </c>
      <c r="N71" s="381">
        <f t="shared" ca="1" si="11"/>
        <v>0</v>
      </c>
      <c r="O71" s="127">
        <f ca="1">IF($A71="S",VTOTALBM,IF($A71=0,0,ROUND(SomaAgrupBM,15-13*ORÇAMENTO!$AF$11)))</f>
        <v>0</v>
      </c>
      <c r="Q71" s="382"/>
      <c r="R71" s="383"/>
      <c r="T71" s="119" t="str">
        <f t="shared" ca="1" si="12"/>
        <v/>
      </c>
      <c r="U71" s="172" t="str">
        <f t="shared" ca="1" si="13"/>
        <v/>
      </c>
      <c r="V71" s="173" t="str">
        <f ca="1">IF(AND($W71&gt;0,RegimeExecucao="Unitário"),$F71,"")</f>
        <v/>
      </c>
      <c r="W71" s="547">
        <f ca="1">IF($Y71&gt;0,CHOOSE(MATCH(RegimeExecucao,{"Unitário","Global"},0),IF($A71="S",$Y71/$X71,""),($Y71/$X71)*100),0)</f>
        <v>0</v>
      </c>
      <c r="X71" s="384" t="str">
        <f ca="1">IF($Y71&gt;0,CHOOSE(MATCH(RegimeExecucao,{"Unitário","Global"},0),IF($A71="S",ROUND($H71,ORÇAMENTO!$AF$10),""),ROUND($I71,ORÇAMENTO!$AF$11)),"")</f>
        <v/>
      </c>
      <c r="Y71" s="384">
        <f t="shared" ca="1" si="14"/>
        <v>0</v>
      </c>
      <c r="Z71" s="572"/>
      <c r="AB71" s="382"/>
      <c r="AC71" s="516"/>
      <c r="AD71" s="516"/>
      <c r="AE71" s="516"/>
      <c r="AF71" s="516"/>
      <c r="AG71" s="516"/>
      <c r="AH71" s="516"/>
      <c r="AI71" s="516"/>
      <c r="AJ71" s="516"/>
      <c r="AK71" s="516"/>
      <c r="AL71" s="516"/>
      <c r="AM71" s="383"/>
      <c r="AO71">
        <f ca="1">IF($A71="S",IF(BM!$I71=0,0,CHOOSE(MATCH(RegimeExecucao,{"Global","Unitário"},0),ROUND(ROUND(BM.MEDAcumulado,15-13*BM!$A$9)/100*BM!$I71,15-13*ORÇAMENTO!$AF$11),ROUND(ROUND(BM.MEDAcumulado,15-13*BM!$A$9)*ROUND(BM!$H71,15-13*ORÇAMENTO!$AF$10),15-13*ORÇAMENTO!$AF$11))),IF($A71=0,0,ROUND(SomaAgrupBM,15-13*ORÇAMENTO!$AF$11)))</f>
        <v>0</v>
      </c>
    </row>
    <row r="72" spans="1:41" ht="38.25" x14ac:dyDescent="0.2">
      <c r="A72" t="str">
        <f ca="1">ORÇAMENTO!C72</f>
        <v>S</v>
      </c>
      <c r="B72">
        <f ca="1">ORÇAMENTO!D72</f>
        <v>0</v>
      </c>
      <c r="C72" s="116" t="str">
        <f t="shared" ca="1" si="8"/>
        <v/>
      </c>
      <c r="D72" s="119" t="str">
        <f ca="1">ORÇAMENTO!O72</f>
        <v>-</v>
      </c>
      <c r="E72" s="172" t="str">
        <f t="shared" ca="1" si="9"/>
        <v>(abra o arquivo 'Referência 06-2024.xlsm)</v>
      </c>
      <c r="F72" s="173" t="str">
        <f ca="1">IF(RegimeExecucao="Global","",ORÇAMENTO.Unidade)</f>
        <v/>
      </c>
      <c r="G72" s="124" t="str">
        <f ca="1">IF(RegimeExecucao="Global","",ORÇAMENTO!T72)</f>
        <v/>
      </c>
      <c r="H72" s="124" t="str">
        <f ca="1">IF(RegimeExecucao="Global","",ORÇAMENTO!W72)</f>
        <v/>
      </c>
      <c r="I72" s="127">
        <f ca="1">ORÇAMENTO!X72</f>
        <v>0</v>
      </c>
      <c r="J72" s="378">
        <f ca="1">IF($A72="S",IF(CAIXA.Modo,BM.AFAnterior,BM.MEDAnterior),IF(AND(RegimeExecucao="Global",$I72&gt;0,COUNTIF($AB$13:$AM$13,BM.medicao-1)&gt;0),M72/$I72*100,0))</f>
        <v>0</v>
      </c>
      <c r="K72" s="124">
        <f t="shared" ca="1" si="10"/>
        <v>0</v>
      </c>
      <c r="L72" s="379">
        <f ca="1">IF($A72="S",IF(CAIXA.Modo,BM.AFAcumulado,BM.MEDAcumulado),IF(AND(RegimeExecucao="Global",$I72&gt;0,COUNTIF($AB$13:$AM$13,BM.medicao)&gt;0),O72/$I72*100,0))</f>
        <v>0</v>
      </c>
      <c r="M72" s="380">
        <f ca="1">IF($A72="S",VTOTALBM,IF($A72=0,0,ROUND(SomaAgrupBM,15-13*ORÇAMENTO!$AF$11)))</f>
        <v>0</v>
      </c>
      <c r="N72" s="381">
        <f t="shared" ca="1" si="11"/>
        <v>0</v>
      </c>
      <c r="O72" s="127">
        <f ca="1">IF($A72="S",VTOTALBM,IF($A72=0,0,ROUND(SomaAgrupBM,15-13*ORÇAMENTO!$AF$11)))</f>
        <v>0</v>
      </c>
      <c r="Q72" s="382"/>
      <c r="R72" s="383"/>
      <c r="T72" s="119" t="str">
        <f t="shared" ca="1" si="12"/>
        <v/>
      </c>
      <c r="U72" s="172" t="str">
        <f t="shared" ca="1" si="13"/>
        <v/>
      </c>
      <c r="V72" s="173" t="str">
        <f ca="1">IF(AND($W72&gt;0,RegimeExecucao="Unitário"),$F72,"")</f>
        <v/>
      </c>
      <c r="W72" s="547">
        <f ca="1">IF($Y72&gt;0,CHOOSE(MATCH(RegimeExecucao,{"Unitário","Global"},0),IF($A72="S",$Y72/$X72,""),($Y72/$X72)*100),0)</f>
        <v>0</v>
      </c>
      <c r="X72" s="384" t="str">
        <f ca="1">IF($Y72&gt;0,CHOOSE(MATCH(RegimeExecucao,{"Unitário","Global"},0),IF($A72="S",ROUND($H72,ORÇAMENTO!$AF$10),""),ROUND($I72,ORÇAMENTO!$AF$11)),"")</f>
        <v/>
      </c>
      <c r="Y72" s="384">
        <f t="shared" ca="1" si="14"/>
        <v>0</v>
      </c>
      <c r="Z72" s="572"/>
      <c r="AB72" s="382"/>
      <c r="AC72" s="516"/>
      <c r="AD72" s="516"/>
      <c r="AE72" s="516"/>
      <c r="AF72" s="516"/>
      <c r="AG72" s="516"/>
      <c r="AH72" s="516"/>
      <c r="AI72" s="516"/>
      <c r="AJ72" s="516"/>
      <c r="AK72" s="516"/>
      <c r="AL72" s="516"/>
      <c r="AM72" s="383"/>
      <c r="AO72">
        <f ca="1">IF($A72="S",IF(BM!$I72=0,0,CHOOSE(MATCH(RegimeExecucao,{"Global","Unitário"},0),ROUND(ROUND(BM.MEDAcumulado,15-13*BM!$A$9)/100*BM!$I72,15-13*ORÇAMENTO!$AF$11),ROUND(ROUND(BM.MEDAcumulado,15-13*BM!$A$9)*ROUND(BM!$H72,15-13*ORÇAMENTO!$AF$10),15-13*ORÇAMENTO!$AF$11))),IF($A72=0,0,ROUND(SomaAgrupBM,15-13*ORÇAMENTO!$AF$11)))</f>
        <v>0</v>
      </c>
    </row>
    <row r="73" spans="1:41" ht="38.25" x14ac:dyDescent="0.2">
      <c r="A73" t="str">
        <f ca="1">ORÇAMENTO!C73</f>
        <v>S</v>
      </c>
      <c r="B73">
        <f ca="1">ORÇAMENTO!D73</f>
        <v>0</v>
      </c>
      <c r="C73" s="116" t="str">
        <f t="shared" ca="1" si="8"/>
        <v/>
      </c>
      <c r="D73" s="119" t="str">
        <f ca="1">ORÇAMENTO!O73</f>
        <v>-</v>
      </c>
      <c r="E73" s="172" t="str">
        <f t="shared" ca="1" si="9"/>
        <v>(abra o arquivo 'Referência 06-2024.xlsm)</v>
      </c>
      <c r="F73" s="173" t="str">
        <f ca="1">IF(RegimeExecucao="Global","",ORÇAMENTO.Unidade)</f>
        <v/>
      </c>
      <c r="G73" s="124" t="str">
        <f ca="1">IF(RegimeExecucao="Global","",ORÇAMENTO!T73)</f>
        <v/>
      </c>
      <c r="H73" s="124" t="str">
        <f ca="1">IF(RegimeExecucao="Global","",ORÇAMENTO!W73)</f>
        <v/>
      </c>
      <c r="I73" s="127">
        <f ca="1">ORÇAMENTO!X73</f>
        <v>0</v>
      </c>
      <c r="J73" s="378">
        <f ca="1">IF($A73="S",IF(CAIXA.Modo,BM.AFAnterior,BM.MEDAnterior),IF(AND(RegimeExecucao="Global",$I73&gt;0,COUNTIF($AB$13:$AM$13,BM.medicao-1)&gt;0),M73/$I73*100,0))</f>
        <v>0</v>
      </c>
      <c r="K73" s="124">
        <f t="shared" ca="1" si="10"/>
        <v>0</v>
      </c>
      <c r="L73" s="379">
        <f ca="1">IF($A73="S",IF(CAIXA.Modo,BM.AFAcumulado,BM.MEDAcumulado),IF(AND(RegimeExecucao="Global",$I73&gt;0,COUNTIF($AB$13:$AM$13,BM.medicao)&gt;0),O73/$I73*100,0))</f>
        <v>0</v>
      </c>
      <c r="M73" s="380">
        <f ca="1">IF($A73="S",VTOTALBM,IF($A73=0,0,ROUND(SomaAgrupBM,15-13*ORÇAMENTO!$AF$11)))</f>
        <v>0</v>
      </c>
      <c r="N73" s="381">
        <f t="shared" ca="1" si="11"/>
        <v>0</v>
      </c>
      <c r="O73" s="127">
        <f ca="1">IF($A73="S",VTOTALBM,IF($A73=0,0,ROUND(SomaAgrupBM,15-13*ORÇAMENTO!$AF$11)))</f>
        <v>0</v>
      </c>
      <c r="Q73" s="382"/>
      <c r="R73" s="383"/>
      <c r="T73" s="119" t="str">
        <f t="shared" ca="1" si="12"/>
        <v/>
      </c>
      <c r="U73" s="172" t="str">
        <f t="shared" ca="1" si="13"/>
        <v/>
      </c>
      <c r="V73" s="173" t="str">
        <f ca="1">IF(AND($W73&gt;0,RegimeExecucao="Unitário"),$F73,"")</f>
        <v/>
      </c>
      <c r="W73" s="547">
        <f ca="1">IF($Y73&gt;0,CHOOSE(MATCH(RegimeExecucao,{"Unitário","Global"},0),IF($A73="S",$Y73/$X73,""),($Y73/$X73)*100),0)</f>
        <v>0</v>
      </c>
      <c r="X73" s="384" t="str">
        <f ca="1">IF($Y73&gt;0,CHOOSE(MATCH(RegimeExecucao,{"Unitário","Global"},0),IF($A73="S",ROUND($H73,ORÇAMENTO!$AF$10),""),ROUND($I73,ORÇAMENTO!$AF$11)),"")</f>
        <v/>
      </c>
      <c r="Y73" s="384">
        <f t="shared" ca="1" si="14"/>
        <v>0</v>
      </c>
      <c r="Z73" s="572"/>
      <c r="AB73" s="382"/>
      <c r="AC73" s="516"/>
      <c r="AD73" s="516"/>
      <c r="AE73" s="516"/>
      <c r="AF73" s="516"/>
      <c r="AG73" s="516"/>
      <c r="AH73" s="516"/>
      <c r="AI73" s="516"/>
      <c r="AJ73" s="516"/>
      <c r="AK73" s="516"/>
      <c r="AL73" s="516"/>
      <c r="AM73" s="383"/>
      <c r="AO73">
        <f ca="1">IF($A73="S",IF(BM!$I73=0,0,CHOOSE(MATCH(RegimeExecucao,{"Global","Unitário"},0),ROUND(ROUND(BM.MEDAcumulado,15-13*BM!$A$9)/100*BM!$I73,15-13*ORÇAMENTO!$AF$11),ROUND(ROUND(BM.MEDAcumulado,15-13*BM!$A$9)*ROUND(BM!$H73,15-13*ORÇAMENTO!$AF$10),15-13*ORÇAMENTO!$AF$11))),IF($A73=0,0,ROUND(SomaAgrupBM,15-13*ORÇAMENTO!$AF$11)))</f>
        <v>0</v>
      </c>
    </row>
    <row r="74" spans="1:41" x14ac:dyDescent="0.2">
      <c r="A74">
        <f ca="1">ORÇAMENTO!C74</f>
        <v>2</v>
      </c>
      <c r="B74">
        <f ca="1">ORÇAMENTO!D74</f>
        <v>7</v>
      </c>
      <c r="C74" s="116" t="str">
        <f t="shared" ca="1" si="8"/>
        <v>F</v>
      </c>
      <c r="D74" s="119" t="str">
        <f ca="1">ORÇAMENTO!O74</f>
        <v>1.10.</v>
      </c>
      <c r="E74" s="172" t="str">
        <f t="shared" si="9"/>
        <v>SUPERESTRUTURA - CONCRETO ARMADO PARA VERGAS</v>
      </c>
      <c r="F74" s="173" t="str">
        <f ca="1">IF(RegimeExecucao="Global","",ORÇAMENTO.Unidade)</f>
        <v/>
      </c>
      <c r="G74" s="124" t="str">
        <f ca="1">IF(RegimeExecucao="Global","",ORÇAMENTO!T74)</f>
        <v/>
      </c>
      <c r="H74" s="124" t="str">
        <f ca="1">IF(RegimeExecucao="Global","",ORÇAMENTO!W74)</f>
        <v/>
      </c>
      <c r="I74" s="127">
        <f ca="1">ORÇAMENTO!X74</f>
        <v>0</v>
      </c>
      <c r="J74" s="378">
        <f ca="1">IF($A74="S",IF(CAIXA.Modo,BM.AFAnterior,BM.MEDAnterior),IF(AND(RegimeExecucao="Global",$I74&gt;0,COUNTIF($AB$13:$AM$13,BM.medicao-1)&gt;0),M74/$I74*100,0))</f>
        <v>0</v>
      </c>
      <c r="K74" s="124">
        <f t="shared" ca="1" si="10"/>
        <v>0</v>
      </c>
      <c r="L74" s="379">
        <f ca="1">IF($A74="S",IF(CAIXA.Modo,BM.AFAcumulado,BM.MEDAcumulado),IF(AND(RegimeExecucao="Global",$I74&gt;0,COUNTIF($AB$13:$AM$13,BM.medicao)&gt;0),O74/$I74*100,0))</f>
        <v>0</v>
      </c>
      <c r="M74" s="380">
        <f ca="1">IF($A74="S",VTOTALBM,IF($A74=0,0,ROUND(SomaAgrupBM,15-13*ORÇAMENTO!$AF$11)))</f>
        <v>0</v>
      </c>
      <c r="N74" s="381">
        <f t="shared" ca="1" si="11"/>
        <v>0</v>
      </c>
      <c r="O74" s="127">
        <f ca="1">IF($A74="S",VTOTALBM,IF($A74=0,0,ROUND(SomaAgrupBM,15-13*ORÇAMENTO!$AF$11)))</f>
        <v>0</v>
      </c>
      <c r="Q74" s="382"/>
      <c r="R74" s="383"/>
      <c r="T74" s="119" t="str">
        <f t="shared" ca="1" si="12"/>
        <v/>
      </c>
      <c r="U74" s="172" t="str">
        <f t="shared" ca="1" si="13"/>
        <v/>
      </c>
      <c r="V74" s="173" t="str">
        <f ca="1">IF(AND($W74&gt;0,RegimeExecucao="Unitário"),$F74,"")</f>
        <v/>
      </c>
      <c r="W74" s="547">
        <f ca="1">IF($Y74&gt;0,CHOOSE(MATCH(RegimeExecucao,{"Unitário","Global"},0),IF($A74="S",$Y74/$X74,""),($Y74/$X74)*100),0)</f>
        <v>0</v>
      </c>
      <c r="X74" s="384" t="str">
        <f ca="1">IF($Y74&gt;0,CHOOSE(MATCH(RegimeExecucao,{"Unitário","Global"},0),IF($A74="S",ROUND($H74,ORÇAMENTO!$AF$10),""),ROUND($I74,ORÇAMENTO!$AF$11)),"")</f>
        <v/>
      </c>
      <c r="Y74" s="384">
        <f t="shared" ca="1" si="14"/>
        <v>0</v>
      </c>
      <c r="Z74" s="572"/>
      <c r="AB74" s="382"/>
      <c r="AC74" s="516"/>
      <c r="AD74" s="516"/>
      <c r="AE74" s="516"/>
      <c r="AF74" s="516"/>
      <c r="AG74" s="516"/>
      <c r="AH74" s="516"/>
      <c r="AI74" s="516"/>
      <c r="AJ74" s="516"/>
      <c r="AK74" s="516"/>
      <c r="AL74" s="516"/>
      <c r="AM74" s="383"/>
      <c r="AO74">
        <f ca="1">IF($A74="S",IF(BM!$I74=0,0,CHOOSE(MATCH(RegimeExecucao,{"Global","Unitário"},0),ROUND(ROUND(BM.MEDAcumulado,15-13*BM!$A$9)/100*BM!$I74,15-13*ORÇAMENTO!$AF$11),ROUND(ROUND(BM.MEDAcumulado,15-13*BM!$A$9)*ROUND(BM!$H74,15-13*ORÇAMENTO!$AF$10),15-13*ORÇAMENTO!$AF$11))),IF($A74=0,0,ROUND(SomaAgrupBM,15-13*ORÇAMENTO!$AF$11)))</f>
        <v>0</v>
      </c>
    </row>
    <row r="75" spans="1:41" ht="25.5" x14ac:dyDescent="0.2">
      <c r="A75" t="str">
        <f ca="1">ORÇAMENTO!C75</f>
        <v>S</v>
      </c>
      <c r="B75">
        <f ca="1">ORÇAMENTO!D75</f>
        <v>0</v>
      </c>
      <c r="C75" s="116" t="str">
        <f t="shared" ca="1" si="8"/>
        <v/>
      </c>
      <c r="D75" s="119" t="str">
        <f ca="1">ORÇAMENTO!O75</f>
        <v>-</v>
      </c>
      <c r="E75" s="172" t="str">
        <f t="shared" ca="1" si="9"/>
        <v>(abra o arquivo 'Referência 06-2024.xlsm)</v>
      </c>
      <c r="F75" s="173" t="str">
        <f ca="1">IF(RegimeExecucao="Global","",ORÇAMENTO.Unidade)</f>
        <v/>
      </c>
      <c r="G75" s="124" t="str">
        <f ca="1">IF(RegimeExecucao="Global","",ORÇAMENTO!T75)</f>
        <v/>
      </c>
      <c r="H75" s="124" t="str">
        <f ca="1">IF(RegimeExecucao="Global","",ORÇAMENTO!W75)</f>
        <v/>
      </c>
      <c r="I75" s="127">
        <f ca="1">ORÇAMENTO!X75</f>
        <v>0</v>
      </c>
      <c r="J75" s="378">
        <f ca="1">IF($A75="S",IF(CAIXA.Modo,BM.AFAnterior,BM.MEDAnterior),IF(AND(RegimeExecucao="Global",$I75&gt;0,COUNTIF($AB$13:$AM$13,BM.medicao-1)&gt;0),M75/$I75*100,0))</f>
        <v>0</v>
      </c>
      <c r="K75" s="124">
        <f t="shared" ca="1" si="10"/>
        <v>0</v>
      </c>
      <c r="L75" s="379">
        <f ca="1">IF($A75="S",IF(CAIXA.Modo,BM.AFAcumulado,BM.MEDAcumulado),IF(AND(RegimeExecucao="Global",$I75&gt;0,COUNTIF($AB$13:$AM$13,BM.medicao)&gt;0),O75/$I75*100,0))</f>
        <v>0</v>
      </c>
      <c r="M75" s="380">
        <f ca="1">IF($A75="S",VTOTALBM,IF($A75=0,0,ROUND(SomaAgrupBM,15-13*ORÇAMENTO!$AF$11)))</f>
        <v>0</v>
      </c>
      <c r="N75" s="381">
        <f t="shared" ca="1" si="11"/>
        <v>0</v>
      </c>
      <c r="O75" s="127">
        <f ca="1">IF($A75="S",VTOTALBM,IF($A75=0,0,ROUND(SomaAgrupBM,15-13*ORÇAMENTO!$AF$11)))</f>
        <v>0</v>
      </c>
      <c r="Q75" s="382"/>
      <c r="R75" s="383"/>
      <c r="T75" s="119" t="str">
        <f t="shared" ca="1" si="12"/>
        <v/>
      </c>
      <c r="U75" s="172" t="str">
        <f t="shared" ca="1" si="13"/>
        <v/>
      </c>
      <c r="V75" s="173" t="str">
        <f ca="1">IF(AND($W75&gt;0,RegimeExecucao="Unitário"),$F75,"")</f>
        <v/>
      </c>
      <c r="W75" s="547">
        <f ca="1">IF($Y75&gt;0,CHOOSE(MATCH(RegimeExecucao,{"Unitário","Global"},0),IF($A75="S",$Y75/$X75,""),($Y75/$X75)*100),0)</f>
        <v>0</v>
      </c>
      <c r="X75" s="384" t="str">
        <f ca="1">IF($Y75&gt;0,CHOOSE(MATCH(RegimeExecucao,{"Unitário","Global"},0),IF($A75="S",ROUND($H75,ORÇAMENTO!$AF$10),""),ROUND($I75,ORÇAMENTO!$AF$11)),"")</f>
        <v/>
      </c>
      <c r="Y75" s="384">
        <f t="shared" ca="1" si="14"/>
        <v>0</v>
      </c>
      <c r="Z75" s="572"/>
      <c r="AB75" s="382"/>
      <c r="AC75" s="516"/>
      <c r="AD75" s="516"/>
      <c r="AE75" s="516"/>
      <c r="AF75" s="516"/>
      <c r="AG75" s="516"/>
      <c r="AH75" s="516"/>
      <c r="AI75" s="516"/>
      <c r="AJ75" s="516"/>
      <c r="AK75" s="516"/>
      <c r="AL75" s="516"/>
      <c r="AM75" s="383"/>
      <c r="AO75">
        <f ca="1">IF($A75="S",IF(BM!$I75=0,0,CHOOSE(MATCH(RegimeExecucao,{"Global","Unitário"},0),ROUND(ROUND(BM.MEDAcumulado,15-13*BM!$A$9)/100*BM!$I75,15-13*ORÇAMENTO!$AF$11),ROUND(ROUND(BM.MEDAcumulado,15-13*BM!$A$9)*ROUND(BM!$H75,15-13*ORÇAMENTO!$AF$10),15-13*ORÇAMENTO!$AF$11))),IF($A75=0,0,ROUND(SomaAgrupBM,15-13*ORÇAMENTO!$AF$11)))</f>
        <v>0</v>
      </c>
    </row>
    <row r="76" spans="1:41" ht="25.5" x14ac:dyDescent="0.2">
      <c r="A76" t="str">
        <f ca="1">ORÇAMENTO!C76</f>
        <v>S</v>
      </c>
      <c r="B76">
        <f ca="1">ORÇAMENTO!D76</f>
        <v>0</v>
      </c>
      <c r="C76" s="116" t="str">
        <f t="shared" ca="1" si="8"/>
        <v/>
      </c>
      <c r="D76" s="119" t="str">
        <f ca="1">ORÇAMENTO!O76</f>
        <v>-</v>
      </c>
      <c r="E76" s="172" t="str">
        <f t="shared" ca="1" si="9"/>
        <v>(abra o arquivo 'Referência 06-2024.xlsm)</v>
      </c>
      <c r="F76" s="173" t="str">
        <f ca="1">IF(RegimeExecucao="Global","",ORÇAMENTO.Unidade)</f>
        <v/>
      </c>
      <c r="G76" s="124" t="str">
        <f ca="1">IF(RegimeExecucao="Global","",ORÇAMENTO!T76)</f>
        <v/>
      </c>
      <c r="H76" s="124" t="str">
        <f ca="1">IF(RegimeExecucao="Global","",ORÇAMENTO!W76)</f>
        <v/>
      </c>
      <c r="I76" s="127">
        <f ca="1">ORÇAMENTO!X76</f>
        <v>0</v>
      </c>
      <c r="J76" s="378">
        <f ca="1">IF($A76="S",IF(CAIXA.Modo,BM.AFAnterior,BM.MEDAnterior),IF(AND(RegimeExecucao="Global",$I76&gt;0,COUNTIF($AB$13:$AM$13,BM.medicao-1)&gt;0),M76/$I76*100,0))</f>
        <v>0</v>
      </c>
      <c r="K76" s="124">
        <f t="shared" ca="1" si="10"/>
        <v>0</v>
      </c>
      <c r="L76" s="379">
        <f ca="1">IF($A76="S",IF(CAIXA.Modo,BM.AFAcumulado,BM.MEDAcumulado),IF(AND(RegimeExecucao="Global",$I76&gt;0,COUNTIF($AB$13:$AM$13,BM.medicao)&gt;0),O76/$I76*100,0))</f>
        <v>0</v>
      </c>
      <c r="M76" s="380">
        <f ca="1">IF($A76="S",VTOTALBM,IF($A76=0,0,ROUND(SomaAgrupBM,15-13*ORÇAMENTO!$AF$11)))</f>
        <v>0</v>
      </c>
      <c r="N76" s="381">
        <f t="shared" ca="1" si="11"/>
        <v>0</v>
      </c>
      <c r="O76" s="127">
        <f ca="1">IF($A76="S",VTOTALBM,IF($A76=0,0,ROUND(SomaAgrupBM,15-13*ORÇAMENTO!$AF$11)))</f>
        <v>0</v>
      </c>
      <c r="Q76" s="382"/>
      <c r="R76" s="383"/>
      <c r="T76" s="119" t="str">
        <f t="shared" ca="1" si="12"/>
        <v/>
      </c>
      <c r="U76" s="172" t="str">
        <f t="shared" ca="1" si="13"/>
        <v/>
      </c>
      <c r="V76" s="173" t="str">
        <f ca="1">IF(AND($W76&gt;0,RegimeExecucao="Unitário"),$F76,"")</f>
        <v/>
      </c>
      <c r="W76" s="547">
        <f ca="1">IF($Y76&gt;0,CHOOSE(MATCH(RegimeExecucao,{"Unitário","Global"},0),IF($A76="S",$Y76/$X76,""),($Y76/$X76)*100),0)</f>
        <v>0</v>
      </c>
      <c r="X76" s="384" t="str">
        <f ca="1">IF($Y76&gt;0,CHOOSE(MATCH(RegimeExecucao,{"Unitário","Global"},0),IF($A76="S",ROUND($H76,ORÇAMENTO!$AF$10),""),ROUND($I76,ORÇAMENTO!$AF$11)),"")</f>
        <v/>
      </c>
      <c r="Y76" s="384">
        <f t="shared" ca="1" si="14"/>
        <v>0</v>
      </c>
      <c r="Z76" s="572"/>
      <c r="AB76" s="382"/>
      <c r="AC76" s="516"/>
      <c r="AD76" s="516"/>
      <c r="AE76" s="516"/>
      <c r="AF76" s="516"/>
      <c r="AG76" s="516"/>
      <c r="AH76" s="516"/>
      <c r="AI76" s="516"/>
      <c r="AJ76" s="516"/>
      <c r="AK76" s="516"/>
      <c r="AL76" s="516"/>
      <c r="AM76" s="383"/>
      <c r="AO76">
        <f ca="1">IF($A76="S",IF(BM!$I76=0,0,CHOOSE(MATCH(RegimeExecucao,{"Global","Unitário"},0),ROUND(ROUND(BM.MEDAcumulado,15-13*BM!$A$9)/100*BM!$I76,15-13*ORÇAMENTO!$AF$11),ROUND(ROUND(BM.MEDAcumulado,15-13*BM!$A$9)*ROUND(BM!$H76,15-13*ORÇAMENTO!$AF$10),15-13*ORÇAMENTO!$AF$11))),IF($A76=0,0,ROUND(SomaAgrupBM,15-13*ORÇAMENTO!$AF$11)))</f>
        <v>0</v>
      </c>
    </row>
    <row r="77" spans="1:41" ht="25.5" x14ac:dyDescent="0.2">
      <c r="A77" t="str">
        <f ca="1">ORÇAMENTO!C77</f>
        <v>S</v>
      </c>
      <c r="B77">
        <f ca="1">ORÇAMENTO!D77</f>
        <v>0</v>
      </c>
      <c r="C77" s="116" t="str">
        <f t="shared" ca="1" si="8"/>
        <v/>
      </c>
      <c r="D77" s="119" t="str">
        <f ca="1">ORÇAMENTO!O77</f>
        <v>-</v>
      </c>
      <c r="E77" s="172" t="str">
        <f t="shared" ca="1" si="9"/>
        <v>(abra o arquivo 'Referência 06-2024.xlsm)</v>
      </c>
      <c r="F77" s="173" t="str">
        <f ca="1">IF(RegimeExecucao="Global","",ORÇAMENTO.Unidade)</f>
        <v/>
      </c>
      <c r="G77" s="124" t="str">
        <f ca="1">IF(RegimeExecucao="Global","",ORÇAMENTO!T77)</f>
        <v/>
      </c>
      <c r="H77" s="124" t="str">
        <f ca="1">IF(RegimeExecucao="Global","",ORÇAMENTO!W77)</f>
        <v/>
      </c>
      <c r="I77" s="127">
        <f ca="1">ORÇAMENTO!X77</f>
        <v>0</v>
      </c>
      <c r="J77" s="378">
        <f ca="1">IF($A77="S",IF(CAIXA.Modo,BM.AFAnterior,BM.MEDAnterior),IF(AND(RegimeExecucao="Global",$I77&gt;0,COUNTIF($AB$13:$AM$13,BM.medicao-1)&gt;0),M77/$I77*100,0))</f>
        <v>0</v>
      </c>
      <c r="K77" s="124">
        <f t="shared" ca="1" si="10"/>
        <v>0</v>
      </c>
      <c r="L77" s="379">
        <f ca="1">IF($A77="S",IF(CAIXA.Modo,BM.AFAcumulado,BM.MEDAcumulado),IF(AND(RegimeExecucao="Global",$I77&gt;0,COUNTIF($AB$13:$AM$13,BM.medicao)&gt;0),O77/$I77*100,0))</f>
        <v>0</v>
      </c>
      <c r="M77" s="380">
        <f ca="1">IF($A77="S",VTOTALBM,IF($A77=0,0,ROUND(SomaAgrupBM,15-13*ORÇAMENTO!$AF$11)))</f>
        <v>0</v>
      </c>
      <c r="N77" s="381">
        <f t="shared" ca="1" si="11"/>
        <v>0</v>
      </c>
      <c r="O77" s="127">
        <f ca="1">IF($A77="S",VTOTALBM,IF($A77=0,0,ROUND(SomaAgrupBM,15-13*ORÇAMENTO!$AF$11)))</f>
        <v>0</v>
      </c>
      <c r="Q77" s="382"/>
      <c r="R77" s="383"/>
      <c r="T77" s="119" t="str">
        <f t="shared" ca="1" si="12"/>
        <v/>
      </c>
      <c r="U77" s="172" t="str">
        <f t="shared" ca="1" si="13"/>
        <v/>
      </c>
      <c r="V77" s="173" t="str">
        <f ca="1">IF(AND($W77&gt;0,RegimeExecucao="Unitário"),$F77,"")</f>
        <v/>
      </c>
      <c r="W77" s="547">
        <f ca="1">IF($Y77&gt;0,CHOOSE(MATCH(RegimeExecucao,{"Unitário","Global"},0),IF($A77="S",$Y77/$X77,""),($Y77/$X77)*100),0)</f>
        <v>0</v>
      </c>
      <c r="X77" s="384" t="str">
        <f ca="1">IF($Y77&gt;0,CHOOSE(MATCH(RegimeExecucao,{"Unitário","Global"},0),IF($A77="S",ROUND($H77,ORÇAMENTO!$AF$10),""),ROUND($I77,ORÇAMENTO!$AF$11)),"")</f>
        <v/>
      </c>
      <c r="Y77" s="384">
        <f t="shared" ca="1" si="14"/>
        <v>0</v>
      </c>
      <c r="Z77" s="572"/>
      <c r="AB77" s="382"/>
      <c r="AC77" s="516"/>
      <c r="AD77" s="516"/>
      <c r="AE77" s="516"/>
      <c r="AF77" s="516"/>
      <c r="AG77" s="516"/>
      <c r="AH77" s="516"/>
      <c r="AI77" s="516"/>
      <c r="AJ77" s="516"/>
      <c r="AK77" s="516"/>
      <c r="AL77" s="516"/>
      <c r="AM77" s="383"/>
      <c r="AO77">
        <f ca="1">IF($A77="S",IF(BM!$I77=0,0,CHOOSE(MATCH(RegimeExecucao,{"Global","Unitário"},0),ROUND(ROUND(BM.MEDAcumulado,15-13*BM!$A$9)/100*BM!$I77,15-13*ORÇAMENTO!$AF$11),ROUND(ROUND(BM.MEDAcumulado,15-13*BM!$A$9)*ROUND(BM!$H77,15-13*ORÇAMENTO!$AF$10),15-13*ORÇAMENTO!$AF$11))),IF($A77=0,0,ROUND(SomaAgrupBM,15-13*ORÇAMENTO!$AF$11)))</f>
        <v>0</v>
      </c>
    </row>
    <row r="78" spans="1:41" ht="25.5" x14ac:dyDescent="0.2">
      <c r="A78" t="str">
        <f ca="1">ORÇAMENTO!C78</f>
        <v>S</v>
      </c>
      <c r="B78">
        <f ca="1">ORÇAMENTO!D78</f>
        <v>0</v>
      </c>
      <c r="C78" s="116" t="str">
        <f t="shared" ca="1" si="8"/>
        <v/>
      </c>
      <c r="D78" s="119" t="str">
        <f ca="1">ORÇAMENTO!O78</f>
        <v>-</v>
      </c>
      <c r="E78" s="172" t="str">
        <f t="shared" ca="1" si="9"/>
        <v>(abra o arquivo 'Referência 06-2024.xlsm)</v>
      </c>
      <c r="F78" s="173" t="str">
        <f ca="1">IF(RegimeExecucao="Global","",ORÇAMENTO.Unidade)</f>
        <v/>
      </c>
      <c r="G78" s="124" t="str">
        <f ca="1">IF(RegimeExecucao="Global","",ORÇAMENTO!T78)</f>
        <v/>
      </c>
      <c r="H78" s="124" t="str">
        <f ca="1">IF(RegimeExecucao="Global","",ORÇAMENTO!W78)</f>
        <v/>
      </c>
      <c r="I78" s="127">
        <f ca="1">ORÇAMENTO!X78</f>
        <v>0</v>
      </c>
      <c r="J78" s="378">
        <f ca="1">IF($A78="S",IF(CAIXA.Modo,BM.AFAnterior,BM.MEDAnterior),IF(AND(RegimeExecucao="Global",$I78&gt;0,COUNTIF($AB$13:$AM$13,BM.medicao-1)&gt;0),M78/$I78*100,0))</f>
        <v>0</v>
      </c>
      <c r="K78" s="124">
        <f t="shared" ca="1" si="10"/>
        <v>0</v>
      </c>
      <c r="L78" s="379">
        <f ca="1">IF($A78="S",IF(CAIXA.Modo,BM.AFAcumulado,BM.MEDAcumulado),IF(AND(RegimeExecucao="Global",$I78&gt;0,COUNTIF($AB$13:$AM$13,BM.medicao)&gt;0),O78/$I78*100,0))</f>
        <v>0</v>
      </c>
      <c r="M78" s="380">
        <f ca="1">IF($A78="S",VTOTALBM,IF($A78=0,0,ROUND(SomaAgrupBM,15-13*ORÇAMENTO!$AF$11)))</f>
        <v>0</v>
      </c>
      <c r="N78" s="381">
        <f t="shared" ca="1" si="11"/>
        <v>0</v>
      </c>
      <c r="O78" s="127">
        <f ca="1">IF($A78="S",VTOTALBM,IF($A78=0,0,ROUND(SomaAgrupBM,15-13*ORÇAMENTO!$AF$11)))</f>
        <v>0</v>
      </c>
      <c r="Q78" s="382"/>
      <c r="R78" s="383"/>
      <c r="T78" s="119" t="str">
        <f t="shared" ca="1" si="12"/>
        <v/>
      </c>
      <c r="U78" s="172" t="str">
        <f t="shared" ca="1" si="13"/>
        <v/>
      </c>
      <c r="V78" s="173" t="str">
        <f ca="1">IF(AND($W78&gt;0,RegimeExecucao="Unitário"),$F78,"")</f>
        <v/>
      </c>
      <c r="W78" s="547">
        <f ca="1">IF($Y78&gt;0,CHOOSE(MATCH(RegimeExecucao,{"Unitário","Global"},0),IF($A78="S",$Y78/$X78,""),($Y78/$X78)*100),0)</f>
        <v>0</v>
      </c>
      <c r="X78" s="384" t="str">
        <f ca="1">IF($Y78&gt;0,CHOOSE(MATCH(RegimeExecucao,{"Unitário","Global"},0),IF($A78="S",ROUND($H78,ORÇAMENTO!$AF$10),""),ROUND($I78,ORÇAMENTO!$AF$11)),"")</f>
        <v/>
      </c>
      <c r="Y78" s="384">
        <f t="shared" ca="1" si="14"/>
        <v>0</v>
      </c>
      <c r="Z78" s="572"/>
      <c r="AB78" s="382"/>
      <c r="AC78" s="516"/>
      <c r="AD78" s="516"/>
      <c r="AE78" s="516"/>
      <c r="AF78" s="516"/>
      <c r="AG78" s="516"/>
      <c r="AH78" s="516"/>
      <c r="AI78" s="516"/>
      <c r="AJ78" s="516"/>
      <c r="AK78" s="516"/>
      <c r="AL78" s="516"/>
      <c r="AM78" s="383"/>
      <c r="AO78">
        <f ca="1">IF($A78="S",IF(BM!$I78=0,0,CHOOSE(MATCH(RegimeExecucao,{"Global","Unitário"},0),ROUND(ROUND(BM.MEDAcumulado,15-13*BM!$A$9)/100*BM!$I78,15-13*ORÇAMENTO!$AF$11),ROUND(ROUND(BM.MEDAcumulado,15-13*BM!$A$9)*ROUND(BM!$H78,15-13*ORÇAMENTO!$AF$10),15-13*ORÇAMENTO!$AF$11))),IF($A78=0,0,ROUND(SomaAgrupBM,15-13*ORÇAMENTO!$AF$11)))</f>
        <v>0</v>
      </c>
    </row>
    <row r="79" spans="1:41" ht="25.5" x14ac:dyDescent="0.2">
      <c r="A79" t="str">
        <f ca="1">ORÇAMENTO!C79</f>
        <v>S</v>
      </c>
      <c r="B79">
        <f ca="1">ORÇAMENTO!D79</f>
        <v>0</v>
      </c>
      <c r="C79" s="116" t="str">
        <f t="shared" ca="1" si="8"/>
        <v/>
      </c>
      <c r="D79" s="119" t="str">
        <f ca="1">ORÇAMENTO!O79</f>
        <v>-</v>
      </c>
      <c r="E79" s="172" t="str">
        <f t="shared" ca="1" si="9"/>
        <v>(abra o arquivo 'Referência 06-2024.xlsm)</v>
      </c>
      <c r="F79" s="173" t="str">
        <f ca="1">IF(RegimeExecucao="Global","",ORÇAMENTO.Unidade)</f>
        <v/>
      </c>
      <c r="G79" s="124" t="str">
        <f ca="1">IF(RegimeExecucao="Global","",ORÇAMENTO!T79)</f>
        <v/>
      </c>
      <c r="H79" s="124" t="str">
        <f ca="1">IF(RegimeExecucao="Global","",ORÇAMENTO!W79)</f>
        <v/>
      </c>
      <c r="I79" s="127">
        <f ca="1">ORÇAMENTO!X79</f>
        <v>0</v>
      </c>
      <c r="J79" s="378">
        <f ca="1">IF($A79="S",IF(CAIXA.Modo,BM.AFAnterior,BM.MEDAnterior),IF(AND(RegimeExecucao="Global",$I79&gt;0,COUNTIF($AB$13:$AM$13,BM.medicao-1)&gt;0),M79/$I79*100,0))</f>
        <v>0</v>
      </c>
      <c r="K79" s="124">
        <f t="shared" ca="1" si="10"/>
        <v>0</v>
      </c>
      <c r="L79" s="379">
        <f ca="1">IF($A79="S",IF(CAIXA.Modo,BM.AFAcumulado,BM.MEDAcumulado),IF(AND(RegimeExecucao="Global",$I79&gt;0,COUNTIF($AB$13:$AM$13,BM.medicao)&gt;0),O79/$I79*100,0))</f>
        <v>0</v>
      </c>
      <c r="M79" s="380">
        <f ca="1">IF($A79="S",VTOTALBM,IF($A79=0,0,ROUND(SomaAgrupBM,15-13*ORÇAMENTO!$AF$11)))</f>
        <v>0</v>
      </c>
      <c r="N79" s="381">
        <f t="shared" ca="1" si="11"/>
        <v>0</v>
      </c>
      <c r="O79" s="127">
        <f ca="1">IF($A79="S",VTOTALBM,IF($A79=0,0,ROUND(SomaAgrupBM,15-13*ORÇAMENTO!$AF$11)))</f>
        <v>0</v>
      </c>
      <c r="Q79" s="382"/>
      <c r="R79" s="383"/>
      <c r="T79" s="119" t="str">
        <f t="shared" ca="1" si="12"/>
        <v/>
      </c>
      <c r="U79" s="172" t="str">
        <f t="shared" ca="1" si="13"/>
        <v/>
      </c>
      <c r="V79" s="173" t="str">
        <f ca="1">IF(AND($W79&gt;0,RegimeExecucao="Unitário"),$F79,"")</f>
        <v/>
      </c>
      <c r="W79" s="547">
        <f ca="1">IF($Y79&gt;0,CHOOSE(MATCH(RegimeExecucao,{"Unitário","Global"},0),IF($A79="S",$Y79/$X79,""),($Y79/$X79)*100),0)</f>
        <v>0</v>
      </c>
      <c r="X79" s="384" t="str">
        <f ca="1">IF($Y79&gt;0,CHOOSE(MATCH(RegimeExecucao,{"Unitário","Global"},0),IF($A79="S",ROUND($H79,ORÇAMENTO!$AF$10),""),ROUND($I79,ORÇAMENTO!$AF$11)),"")</f>
        <v/>
      </c>
      <c r="Y79" s="384">
        <f t="shared" ca="1" si="14"/>
        <v>0</v>
      </c>
      <c r="Z79" s="572"/>
      <c r="AB79" s="382"/>
      <c r="AC79" s="516"/>
      <c r="AD79" s="516"/>
      <c r="AE79" s="516"/>
      <c r="AF79" s="516"/>
      <c r="AG79" s="516"/>
      <c r="AH79" s="516"/>
      <c r="AI79" s="516"/>
      <c r="AJ79" s="516"/>
      <c r="AK79" s="516"/>
      <c r="AL79" s="516"/>
      <c r="AM79" s="383"/>
      <c r="AO79">
        <f ca="1">IF($A79="S",IF(BM!$I79=0,0,CHOOSE(MATCH(RegimeExecucao,{"Global","Unitário"},0),ROUND(ROUND(BM.MEDAcumulado,15-13*BM!$A$9)/100*BM!$I79,15-13*ORÇAMENTO!$AF$11),ROUND(ROUND(BM.MEDAcumulado,15-13*BM!$A$9)*ROUND(BM!$H79,15-13*ORÇAMENTO!$AF$10),15-13*ORÇAMENTO!$AF$11))),IF($A79=0,0,ROUND(SomaAgrupBM,15-13*ORÇAMENTO!$AF$11)))</f>
        <v>0</v>
      </c>
    </row>
    <row r="80" spans="1:41" x14ac:dyDescent="0.2">
      <c r="A80" t="str">
        <f ca="1">ORÇAMENTO!C80</f>
        <v>S</v>
      </c>
      <c r="B80">
        <f ca="1">ORÇAMENTO!D80</f>
        <v>0</v>
      </c>
      <c r="C80" s="116" t="str">
        <f t="shared" ca="1" si="8"/>
        <v/>
      </c>
      <c r="D80" s="119" t="str">
        <f ca="1">ORÇAMENTO!O80</f>
        <v>-</v>
      </c>
      <c r="E80" s="172" t="str">
        <f t="shared" ca="1" si="9"/>
        <v>(abra o arquivo 'Referência 06-2024.xlsm)</v>
      </c>
      <c r="F80" s="173" t="str">
        <f ca="1">IF(RegimeExecucao="Global","",ORÇAMENTO.Unidade)</f>
        <v/>
      </c>
      <c r="G80" s="124" t="str">
        <f ca="1">IF(RegimeExecucao="Global","",ORÇAMENTO!T80)</f>
        <v/>
      </c>
      <c r="H80" s="124" t="str">
        <f ca="1">IF(RegimeExecucao="Global","",ORÇAMENTO!W80)</f>
        <v/>
      </c>
      <c r="I80" s="127">
        <f ca="1">ORÇAMENTO!X80</f>
        <v>0</v>
      </c>
      <c r="J80" s="378">
        <f ca="1">IF($A80="S",IF(CAIXA.Modo,BM.AFAnterior,BM.MEDAnterior),IF(AND(RegimeExecucao="Global",$I80&gt;0,COUNTIF($AB$13:$AM$13,BM.medicao-1)&gt;0),M80/$I80*100,0))</f>
        <v>0</v>
      </c>
      <c r="K80" s="124">
        <f t="shared" ca="1" si="10"/>
        <v>0</v>
      </c>
      <c r="L80" s="379">
        <f ca="1">IF($A80="S",IF(CAIXA.Modo,BM.AFAcumulado,BM.MEDAcumulado),IF(AND(RegimeExecucao="Global",$I80&gt;0,COUNTIF($AB$13:$AM$13,BM.medicao)&gt;0),O80/$I80*100,0))</f>
        <v>0</v>
      </c>
      <c r="M80" s="380">
        <f ca="1">IF($A80="S",VTOTALBM,IF($A80=0,0,ROUND(SomaAgrupBM,15-13*ORÇAMENTO!$AF$11)))</f>
        <v>0</v>
      </c>
      <c r="N80" s="381">
        <f t="shared" ca="1" si="11"/>
        <v>0</v>
      </c>
      <c r="O80" s="127">
        <f ca="1">IF($A80="S",VTOTALBM,IF($A80=0,0,ROUND(SomaAgrupBM,15-13*ORÇAMENTO!$AF$11)))</f>
        <v>0</v>
      </c>
      <c r="Q80" s="382"/>
      <c r="R80" s="383"/>
      <c r="T80" s="119" t="str">
        <f t="shared" ca="1" si="12"/>
        <v/>
      </c>
      <c r="U80" s="172" t="str">
        <f t="shared" ca="1" si="13"/>
        <v/>
      </c>
      <c r="V80" s="173" t="str">
        <f ca="1">IF(AND($W80&gt;0,RegimeExecucao="Unitário"),$F80,"")</f>
        <v/>
      </c>
      <c r="W80" s="547">
        <f ca="1">IF($Y80&gt;0,CHOOSE(MATCH(RegimeExecucao,{"Unitário","Global"},0),IF($A80="S",$Y80/$X80,""),($Y80/$X80)*100),0)</f>
        <v>0</v>
      </c>
      <c r="X80" s="384" t="str">
        <f ca="1">IF($Y80&gt;0,CHOOSE(MATCH(RegimeExecucao,{"Unitário","Global"},0),IF($A80="S",ROUND($H80,ORÇAMENTO!$AF$10),""),ROUND($I80,ORÇAMENTO!$AF$11)),"")</f>
        <v/>
      </c>
      <c r="Y80" s="384">
        <f t="shared" ca="1" si="14"/>
        <v>0</v>
      </c>
      <c r="Z80" s="572"/>
      <c r="AB80" s="382"/>
      <c r="AC80" s="516"/>
      <c r="AD80" s="516"/>
      <c r="AE80" s="516"/>
      <c r="AF80" s="516"/>
      <c r="AG80" s="516"/>
      <c r="AH80" s="516"/>
      <c r="AI80" s="516"/>
      <c r="AJ80" s="516"/>
      <c r="AK80" s="516"/>
      <c r="AL80" s="516"/>
      <c r="AM80" s="383"/>
      <c r="AO80">
        <f ca="1">IF($A80="S",IF(BM!$I80=0,0,CHOOSE(MATCH(RegimeExecucao,{"Global","Unitário"},0),ROUND(ROUND(BM.MEDAcumulado,15-13*BM!$A$9)/100*BM!$I80,15-13*ORÇAMENTO!$AF$11),ROUND(ROUND(BM.MEDAcumulado,15-13*BM!$A$9)*ROUND(BM!$H80,15-13*ORÇAMENTO!$AF$10),15-13*ORÇAMENTO!$AF$11))),IF($A80=0,0,ROUND(SomaAgrupBM,15-13*ORÇAMENTO!$AF$11)))</f>
        <v>0</v>
      </c>
    </row>
    <row r="81" spans="1:41" x14ac:dyDescent="0.2">
      <c r="A81">
        <f ca="1">ORÇAMENTO!C81</f>
        <v>2</v>
      </c>
      <c r="B81">
        <f ca="1">ORÇAMENTO!D81</f>
        <v>8</v>
      </c>
      <c r="C81" s="116" t="str">
        <f t="shared" ca="1" si="8"/>
        <v>F</v>
      </c>
      <c r="D81" s="119" t="str">
        <f ca="1">ORÇAMENTO!O81</f>
        <v>1.11.</v>
      </c>
      <c r="E81" s="172" t="str">
        <f t="shared" si="9"/>
        <v>SUPERESTRUTURA - CONCRETO ARMADO PARA LAJE</v>
      </c>
      <c r="F81" s="173" t="str">
        <f ca="1">IF(RegimeExecucao="Global","",ORÇAMENTO.Unidade)</f>
        <v/>
      </c>
      <c r="G81" s="124" t="str">
        <f ca="1">IF(RegimeExecucao="Global","",ORÇAMENTO!T81)</f>
        <v/>
      </c>
      <c r="H81" s="124" t="str">
        <f ca="1">IF(RegimeExecucao="Global","",ORÇAMENTO!W81)</f>
        <v/>
      </c>
      <c r="I81" s="127">
        <f ca="1">ORÇAMENTO!X81</f>
        <v>0</v>
      </c>
      <c r="J81" s="378">
        <f ca="1">IF($A81="S",IF(CAIXA.Modo,BM.AFAnterior,BM.MEDAnterior),IF(AND(RegimeExecucao="Global",$I81&gt;0,COUNTIF($AB$13:$AM$13,BM.medicao-1)&gt;0),M81/$I81*100,0))</f>
        <v>0</v>
      </c>
      <c r="K81" s="124">
        <f t="shared" ca="1" si="10"/>
        <v>0</v>
      </c>
      <c r="L81" s="379">
        <f ca="1">IF($A81="S",IF(CAIXA.Modo,BM.AFAcumulado,BM.MEDAcumulado),IF(AND(RegimeExecucao="Global",$I81&gt;0,COUNTIF($AB$13:$AM$13,BM.medicao)&gt;0),O81/$I81*100,0))</f>
        <v>0</v>
      </c>
      <c r="M81" s="380">
        <f ca="1">IF($A81="S",VTOTALBM,IF($A81=0,0,ROUND(SomaAgrupBM,15-13*ORÇAMENTO!$AF$11)))</f>
        <v>0</v>
      </c>
      <c r="N81" s="381">
        <f t="shared" ca="1" si="11"/>
        <v>0</v>
      </c>
      <c r="O81" s="127">
        <f ca="1">IF($A81="S",VTOTALBM,IF($A81=0,0,ROUND(SomaAgrupBM,15-13*ORÇAMENTO!$AF$11)))</f>
        <v>0</v>
      </c>
      <c r="Q81" s="382"/>
      <c r="R81" s="383"/>
      <c r="T81" s="119" t="str">
        <f t="shared" ca="1" si="12"/>
        <v/>
      </c>
      <c r="U81" s="172" t="str">
        <f t="shared" ca="1" si="13"/>
        <v/>
      </c>
      <c r="V81" s="173" t="str">
        <f ca="1">IF(AND($W81&gt;0,RegimeExecucao="Unitário"),$F81,"")</f>
        <v/>
      </c>
      <c r="W81" s="547">
        <f ca="1">IF($Y81&gt;0,CHOOSE(MATCH(RegimeExecucao,{"Unitário","Global"},0),IF($A81="S",$Y81/$X81,""),($Y81/$X81)*100),0)</f>
        <v>0</v>
      </c>
      <c r="X81" s="384" t="str">
        <f ca="1">IF($Y81&gt;0,CHOOSE(MATCH(RegimeExecucao,{"Unitário","Global"},0),IF($A81="S",ROUND($H81,ORÇAMENTO!$AF$10),""),ROUND($I81,ORÇAMENTO!$AF$11)),"")</f>
        <v/>
      </c>
      <c r="Y81" s="384">
        <f t="shared" ca="1" si="14"/>
        <v>0</v>
      </c>
      <c r="Z81" s="572"/>
      <c r="AB81" s="382"/>
      <c r="AC81" s="516"/>
      <c r="AD81" s="516"/>
      <c r="AE81" s="516"/>
      <c r="AF81" s="516"/>
      <c r="AG81" s="516"/>
      <c r="AH81" s="516"/>
      <c r="AI81" s="516"/>
      <c r="AJ81" s="516"/>
      <c r="AK81" s="516"/>
      <c r="AL81" s="516"/>
      <c r="AM81" s="383"/>
      <c r="AO81">
        <f ca="1">IF($A81="S",IF(BM!$I81=0,0,CHOOSE(MATCH(RegimeExecucao,{"Global","Unitário"},0),ROUND(ROUND(BM.MEDAcumulado,15-13*BM!$A$9)/100*BM!$I81,15-13*ORÇAMENTO!$AF$11),ROUND(ROUND(BM.MEDAcumulado,15-13*BM!$A$9)*ROUND(BM!$H81,15-13*ORÇAMENTO!$AF$10),15-13*ORÇAMENTO!$AF$11))),IF($A81=0,0,ROUND(SomaAgrupBM,15-13*ORÇAMENTO!$AF$11)))</f>
        <v>0</v>
      </c>
    </row>
    <row r="82" spans="1:41" ht="38.25" x14ac:dyDescent="0.2">
      <c r="A82" t="str">
        <f ca="1">ORÇAMENTO!C82</f>
        <v>S</v>
      </c>
      <c r="B82">
        <f ca="1">ORÇAMENTO!D82</f>
        <v>0</v>
      </c>
      <c r="C82" s="116" t="str">
        <f t="shared" ca="1" si="8"/>
        <v/>
      </c>
      <c r="D82" s="119" t="str">
        <f ca="1">ORÇAMENTO!O82</f>
        <v>-</v>
      </c>
      <c r="E82" s="172" t="str">
        <f t="shared" ca="1" si="9"/>
        <v>(abra o arquivo 'Referência 06-2024.xlsm)</v>
      </c>
      <c r="F82" s="173" t="str">
        <f ca="1">IF(RegimeExecucao="Global","",ORÇAMENTO.Unidade)</f>
        <v/>
      </c>
      <c r="G82" s="124" t="str">
        <f ca="1">IF(RegimeExecucao="Global","",ORÇAMENTO!T82)</f>
        <v/>
      </c>
      <c r="H82" s="124" t="str">
        <f ca="1">IF(RegimeExecucao="Global","",ORÇAMENTO!W82)</f>
        <v/>
      </c>
      <c r="I82" s="127">
        <f ca="1">ORÇAMENTO!X82</f>
        <v>0</v>
      </c>
      <c r="J82" s="378">
        <f ca="1">IF($A82="S",IF(CAIXA.Modo,BM.AFAnterior,BM.MEDAnterior),IF(AND(RegimeExecucao="Global",$I82&gt;0,COUNTIF($AB$13:$AM$13,BM.medicao-1)&gt;0),M82/$I82*100,0))</f>
        <v>0</v>
      </c>
      <c r="K82" s="124">
        <f t="shared" ca="1" si="10"/>
        <v>0</v>
      </c>
      <c r="L82" s="379">
        <f ca="1">IF($A82="S",IF(CAIXA.Modo,BM.AFAcumulado,BM.MEDAcumulado),IF(AND(RegimeExecucao="Global",$I82&gt;0,COUNTIF($AB$13:$AM$13,BM.medicao)&gt;0),O82/$I82*100,0))</f>
        <v>0</v>
      </c>
      <c r="M82" s="380">
        <f ca="1">IF($A82="S",VTOTALBM,IF($A82=0,0,ROUND(SomaAgrupBM,15-13*ORÇAMENTO!$AF$11)))</f>
        <v>0</v>
      </c>
      <c r="N82" s="381">
        <f t="shared" ca="1" si="11"/>
        <v>0</v>
      </c>
      <c r="O82" s="127">
        <f ca="1">IF($A82="S",VTOTALBM,IF($A82=0,0,ROUND(SomaAgrupBM,15-13*ORÇAMENTO!$AF$11)))</f>
        <v>0</v>
      </c>
      <c r="Q82" s="382"/>
      <c r="R82" s="383"/>
      <c r="T82" s="119" t="str">
        <f t="shared" ca="1" si="12"/>
        <v/>
      </c>
      <c r="U82" s="172" t="str">
        <f t="shared" ca="1" si="13"/>
        <v/>
      </c>
      <c r="V82" s="173" t="str">
        <f ca="1">IF(AND($W82&gt;0,RegimeExecucao="Unitário"),$F82,"")</f>
        <v/>
      </c>
      <c r="W82" s="547">
        <f ca="1">IF($Y82&gt;0,CHOOSE(MATCH(RegimeExecucao,{"Unitário","Global"},0),IF($A82="S",$Y82/$X82,""),($Y82/$X82)*100),0)</f>
        <v>0</v>
      </c>
      <c r="X82" s="384" t="str">
        <f ca="1">IF($Y82&gt;0,CHOOSE(MATCH(RegimeExecucao,{"Unitário","Global"},0),IF($A82="S",ROUND($H82,ORÇAMENTO!$AF$10),""),ROUND($I82,ORÇAMENTO!$AF$11)),"")</f>
        <v/>
      </c>
      <c r="Y82" s="384">
        <f t="shared" ca="1" si="14"/>
        <v>0</v>
      </c>
      <c r="Z82" s="572"/>
      <c r="AB82" s="382"/>
      <c r="AC82" s="516"/>
      <c r="AD82" s="516"/>
      <c r="AE82" s="516"/>
      <c r="AF82" s="516"/>
      <c r="AG82" s="516"/>
      <c r="AH82" s="516"/>
      <c r="AI82" s="516"/>
      <c r="AJ82" s="516"/>
      <c r="AK82" s="516"/>
      <c r="AL82" s="516"/>
      <c r="AM82" s="383"/>
      <c r="AO82">
        <f ca="1">IF($A82="S",IF(BM!$I82=0,0,CHOOSE(MATCH(RegimeExecucao,{"Global","Unitário"},0),ROUND(ROUND(BM.MEDAcumulado,15-13*BM!$A$9)/100*BM!$I82,15-13*ORÇAMENTO!$AF$11),ROUND(ROUND(BM.MEDAcumulado,15-13*BM!$A$9)*ROUND(BM!$H82,15-13*ORÇAMENTO!$AF$10),15-13*ORÇAMENTO!$AF$11))),IF($A82=0,0,ROUND(SomaAgrupBM,15-13*ORÇAMENTO!$AF$11)))</f>
        <v>0</v>
      </c>
    </row>
    <row r="83" spans="1:41" ht="38.25" x14ac:dyDescent="0.2">
      <c r="A83" t="str">
        <f ca="1">ORÇAMENTO!C83</f>
        <v>S</v>
      </c>
      <c r="B83">
        <f ca="1">ORÇAMENTO!D83</f>
        <v>0</v>
      </c>
      <c r="C83" s="116" t="str">
        <f t="shared" ca="1" si="8"/>
        <v/>
      </c>
      <c r="D83" s="119" t="str">
        <f ca="1">ORÇAMENTO!O83</f>
        <v>-</v>
      </c>
      <c r="E83" s="172" t="str">
        <f t="shared" ca="1" si="9"/>
        <v>(abra o arquivo 'Referência 06-2024.xlsm)</v>
      </c>
      <c r="F83" s="173" t="str">
        <f ca="1">IF(RegimeExecucao="Global","",ORÇAMENTO.Unidade)</f>
        <v/>
      </c>
      <c r="G83" s="124" t="str">
        <f ca="1">IF(RegimeExecucao="Global","",ORÇAMENTO!T83)</f>
        <v/>
      </c>
      <c r="H83" s="124" t="str">
        <f ca="1">IF(RegimeExecucao="Global","",ORÇAMENTO!W83)</f>
        <v/>
      </c>
      <c r="I83" s="127">
        <f ca="1">ORÇAMENTO!X83</f>
        <v>0</v>
      </c>
      <c r="J83" s="378">
        <f ca="1">IF($A83="S",IF(CAIXA.Modo,BM.AFAnterior,BM.MEDAnterior),IF(AND(RegimeExecucao="Global",$I83&gt;0,COUNTIF($AB$13:$AM$13,BM.medicao-1)&gt;0),M83/$I83*100,0))</f>
        <v>0</v>
      </c>
      <c r="K83" s="124">
        <f t="shared" ca="1" si="10"/>
        <v>0</v>
      </c>
      <c r="L83" s="379">
        <f ca="1">IF($A83="S",IF(CAIXA.Modo,BM.AFAcumulado,BM.MEDAcumulado),IF(AND(RegimeExecucao="Global",$I83&gt;0,COUNTIF($AB$13:$AM$13,BM.medicao)&gt;0),O83/$I83*100,0))</f>
        <v>0</v>
      </c>
      <c r="M83" s="380">
        <f ca="1">IF($A83="S",VTOTALBM,IF($A83=0,0,ROUND(SomaAgrupBM,15-13*ORÇAMENTO!$AF$11)))</f>
        <v>0</v>
      </c>
      <c r="N83" s="381">
        <f t="shared" ca="1" si="11"/>
        <v>0</v>
      </c>
      <c r="O83" s="127">
        <f ca="1">IF($A83="S",VTOTALBM,IF($A83=0,0,ROUND(SomaAgrupBM,15-13*ORÇAMENTO!$AF$11)))</f>
        <v>0</v>
      </c>
      <c r="Q83" s="382"/>
      <c r="R83" s="383"/>
      <c r="T83" s="119" t="str">
        <f t="shared" ca="1" si="12"/>
        <v/>
      </c>
      <c r="U83" s="172" t="str">
        <f t="shared" ca="1" si="13"/>
        <v/>
      </c>
      <c r="V83" s="173" t="str">
        <f ca="1">IF(AND($W83&gt;0,RegimeExecucao="Unitário"),$F83,"")</f>
        <v/>
      </c>
      <c r="W83" s="547">
        <f ca="1">IF($Y83&gt;0,CHOOSE(MATCH(RegimeExecucao,{"Unitário","Global"},0),IF($A83="S",$Y83/$X83,""),($Y83/$X83)*100),0)</f>
        <v>0</v>
      </c>
      <c r="X83" s="384" t="str">
        <f ca="1">IF($Y83&gt;0,CHOOSE(MATCH(RegimeExecucao,{"Unitário","Global"},0),IF($A83="S",ROUND($H83,ORÇAMENTO!$AF$10),""),ROUND($I83,ORÇAMENTO!$AF$11)),"")</f>
        <v/>
      </c>
      <c r="Y83" s="384">
        <f t="shared" ca="1" si="14"/>
        <v>0</v>
      </c>
      <c r="Z83" s="572"/>
      <c r="AB83" s="382"/>
      <c r="AC83" s="516"/>
      <c r="AD83" s="516"/>
      <c r="AE83" s="516"/>
      <c r="AF83" s="516"/>
      <c r="AG83" s="516"/>
      <c r="AH83" s="516"/>
      <c r="AI83" s="516"/>
      <c r="AJ83" s="516"/>
      <c r="AK83" s="516"/>
      <c r="AL83" s="516"/>
      <c r="AM83" s="383"/>
      <c r="AO83">
        <f ca="1">IF($A83="S",IF(BM!$I83=0,0,CHOOSE(MATCH(RegimeExecucao,{"Global","Unitário"},0),ROUND(ROUND(BM.MEDAcumulado,15-13*BM!$A$9)/100*BM!$I83,15-13*ORÇAMENTO!$AF$11),ROUND(ROUND(BM.MEDAcumulado,15-13*BM!$A$9)*ROUND(BM!$H83,15-13*ORÇAMENTO!$AF$10),15-13*ORÇAMENTO!$AF$11))),IF($A83=0,0,ROUND(SomaAgrupBM,15-13*ORÇAMENTO!$AF$11)))</f>
        <v>0</v>
      </c>
    </row>
    <row r="84" spans="1:41" ht="38.25" x14ac:dyDescent="0.2">
      <c r="A84" t="str">
        <f ca="1">ORÇAMENTO!C84</f>
        <v>S</v>
      </c>
      <c r="B84">
        <f ca="1">ORÇAMENTO!D84</f>
        <v>0</v>
      </c>
      <c r="C84" s="116" t="str">
        <f t="shared" ca="1" si="8"/>
        <v/>
      </c>
      <c r="D84" s="119" t="str">
        <f ca="1">ORÇAMENTO!O84</f>
        <v>-</v>
      </c>
      <c r="E84" s="172" t="str">
        <f t="shared" ca="1" si="9"/>
        <v>(abra o arquivo 'Referência 06-2024.xlsm)</v>
      </c>
      <c r="F84" s="173" t="str">
        <f ca="1">IF(RegimeExecucao="Global","",ORÇAMENTO.Unidade)</f>
        <v/>
      </c>
      <c r="G84" s="124" t="str">
        <f ca="1">IF(RegimeExecucao="Global","",ORÇAMENTO!T84)</f>
        <v/>
      </c>
      <c r="H84" s="124" t="str">
        <f ca="1">IF(RegimeExecucao="Global","",ORÇAMENTO!W84)</f>
        <v/>
      </c>
      <c r="I84" s="127">
        <f ca="1">ORÇAMENTO!X84</f>
        <v>0</v>
      </c>
      <c r="J84" s="378">
        <f ca="1">IF($A84="S",IF(CAIXA.Modo,BM.AFAnterior,BM.MEDAnterior),IF(AND(RegimeExecucao="Global",$I84&gt;0,COUNTIF($AB$13:$AM$13,BM.medicao-1)&gt;0),M84/$I84*100,0))</f>
        <v>0</v>
      </c>
      <c r="K84" s="124">
        <f t="shared" ca="1" si="10"/>
        <v>0</v>
      </c>
      <c r="L84" s="379">
        <f ca="1">IF($A84="S",IF(CAIXA.Modo,BM.AFAcumulado,BM.MEDAcumulado),IF(AND(RegimeExecucao="Global",$I84&gt;0,COUNTIF($AB$13:$AM$13,BM.medicao)&gt;0),O84/$I84*100,0))</f>
        <v>0</v>
      </c>
      <c r="M84" s="380">
        <f ca="1">IF($A84="S",VTOTALBM,IF($A84=0,0,ROUND(SomaAgrupBM,15-13*ORÇAMENTO!$AF$11)))</f>
        <v>0</v>
      </c>
      <c r="N84" s="381">
        <f t="shared" ca="1" si="11"/>
        <v>0</v>
      </c>
      <c r="O84" s="127">
        <f ca="1">IF($A84="S",VTOTALBM,IF($A84=0,0,ROUND(SomaAgrupBM,15-13*ORÇAMENTO!$AF$11)))</f>
        <v>0</v>
      </c>
      <c r="Q84" s="382"/>
      <c r="R84" s="383"/>
      <c r="T84" s="119" t="str">
        <f t="shared" ca="1" si="12"/>
        <v/>
      </c>
      <c r="U84" s="172" t="str">
        <f t="shared" ca="1" si="13"/>
        <v/>
      </c>
      <c r="V84" s="173" t="str">
        <f ca="1">IF(AND($W84&gt;0,RegimeExecucao="Unitário"),$F84,"")</f>
        <v/>
      </c>
      <c r="W84" s="547">
        <f ca="1">IF($Y84&gt;0,CHOOSE(MATCH(RegimeExecucao,{"Unitário","Global"},0),IF($A84="S",$Y84/$X84,""),($Y84/$X84)*100),0)</f>
        <v>0</v>
      </c>
      <c r="X84" s="384" t="str">
        <f ca="1">IF($Y84&gt;0,CHOOSE(MATCH(RegimeExecucao,{"Unitário","Global"},0),IF($A84="S",ROUND($H84,ORÇAMENTO!$AF$10),""),ROUND($I84,ORÇAMENTO!$AF$11)),"")</f>
        <v/>
      </c>
      <c r="Y84" s="384">
        <f t="shared" ca="1" si="14"/>
        <v>0</v>
      </c>
      <c r="Z84" s="572"/>
      <c r="AB84" s="382"/>
      <c r="AC84" s="516"/>
      <c r="AD84" s="516"/>
      <c r="AE84" s="516"/>
      <c r="AF84" s="516"/>
      <c r="AG84" s="516"/>
      <c r="AH84" s="516"/>
      <c r="AI84" s="516"/>
      <c r="AJ84" s="516"/>
      <c r="AK84" s="516"/>
      <c r="AL84" s="516"/>
      <c r="AM84" s="383"/>
      <c r="AO84">
        <f ca="1">IF($A84="S",IF(BM!$I84=0,0,CHOOSE(MATCH(RegimeExecucao,{"Global","Unitário"},0),ROUND(ROUND(BM.MEDAcumulado,15-13*BM!$A$9)/100*BM!$I84,15-13*ORÇAMENTO!$AF$11),ROUND(ROUND(BM.MEDAcumulado,15-13*BM!$A$9)*ROUND(BM!$H84,15-13*ORÇAMENTO!$AF$10),15-13*ORÇAMENTO!$AF$11))),IF($A84=0,0,ROUND(SomaAgrupBM,15-13*ORÇAMENTO!$AF$11)))</f>
        <v>0</v>
      </c>
    </row>
    <row r="85" spans="1:41" ht="38.25" x14ac:dyDescent="0.2">
      <c r="A85" t="str">
        <f ca="1">ORÇAMENTO!C85</f>
        <v>S</v>
      </c>
      <c r="B85">
        <f ca="1">ORÇAMENTO!D85</f>
        <v>0</v>
      </c>
      <c r="C85" s="116" t="str">
        <f t="shared" ca="1" si="8"/>
        <v/>
      </c>
      <c r="D85" s="119" t="str">
        <f ca="1">ORÇAMENTO!O85</f>
        <v>-</v>
      </c>
      <c r="E85" s="172" t="str">
        <f t="shared" ca="1" si="9"/>
        <v>(abra o arquivo 'Referência 06-2024.xlsm)</v>
      </c>
      <c r="F85" s="173" t="str">
        <f ca="1">IF(RegimeExecucao="Global","",ORÇAMENTO.Unidade)</f>
        <v/>
      </c>
      <c r="G85" s="124" t="str">
        <f ca="1">IF(RegimeExecucao="Global","",ORÇAMENTO!T85)</f>
        <v/>
      </c>
      <c r="H85" s="124" t="str">
        <f ca="1">IF(RegimeExecucao="Global","",ORÇAMENTO!W85)</f>
        <v/>
      </c>
      <c r="I85" s="127">
        <f ca="1">ORÇAMENTO!X85</f>
        <v>0</v>
      </c>
      <c r="J85" s="378">
        <f ca="1">IF($A85="S",IF(CAIXA.Modo,BM.AFAnterior,BM.MEDAnterior),IF(AND(RegimeExecucao="Global",$I85&gt;0,COUNTIF($AB$13:$AM$13,BM.medicao-1)&gt;0),M85/$I85*100,0))</f>
        <v>0</v>
      </c>
      <c r="K85" s="124">
        <f t="shared" ca="1" si="10"/>
        <v>0</v>
      </c>
      <c r="L85" s="379">
        <f ca="1">IF($A85="S",IF(CAIXA.Modo,BM.AFAcumulado,BM.MEDAcumulado),IF(AND(RegimeExecucao="Global",$I85&gt;0,COUNTIF($AB$13:$AM$13,BM.medicao)&gt;0),O85/$I85*100,0))</f>
        <v>0</v>
      </c>
      <c r="M85" s="380">
        <f ca="1">IF($A85="S",VTOTALBM,IF($A85=0,0,ROUND(SomaAgrupBM,15-13*ORÇAMENTO!$AF$11)))</f>
        <v>0</v>
      </c>
      <c r="N85" s="381">
        <f t="shared" ca="1" si="11"/>
        <v>0</v>
      </c>
      <c r="O85" s="127">
        <f ca="1">IF($A85="S",VTOTALBM,IF($A85=0,0,ROUND(SomaAgrupBM,15-13*ORÇAMENTO!$AF$11)))</f>
        <v>0</v>
      </c>
      <c r="Q85" s="382"/>
      <c r="R85" s="383"/>
      <c r="T85" s="119" t="str">
        <f t="shared" ca="1" si="12"/>
        <v/>
      </c>
      <c r="U85" s="172" t="str">
        <f t="shared" ca="1" si="13"/>
        <v/>
      </c>
      <c r="V85" s="173" t="str">
        <f ca="1">IF(AND($W85&gt;0,RegimeExecucao="Unitário"),$F85,"")</f>
        <v/>
      </c>
      <c r="W85" s="547">
        <f ca="1">IF($Y85&gt;0,CHOOSE(MATCH(RegimeExecucao,{"Unitário","Global"},0),IF($A85="S",$Y85/$X85,""),($Y85/$X85)*100),0)</f>
        <v>0</v>
      </c>
      <c r="X85" s="384" t="str">
        <f ca="1">IF($Y85&gt;0,CHOOSE(MATCH(RegimeExecucao,{"Unitário","Global"},0),IF($A85="S",ROUND($H85,ORÇAMENTO!$AF$10),""),ROUND($I85,ORÇAMENTO!$AF$11)),"")</f>
        <v/>
      </c>
      <c r="Y85" s="384">
        <f t="shared" ca="1" si="14"/>
        <v>0</v>
      </c>
      <c r="Z85" s="572"/>
      <c r="AB85" s="382"/>
      <c r="AC85" s="516"/>
      <c r="AD85" s="516"/>
      <c r="AE85" s="516"/>
      <c r="AF85" s="516"/>
      <c r="AG85" s="516"/>
      <c r="AH85" s="516"/>
      <c r="AI85" s="516"/>
      <c r="AJ85" s="516"/>
      <c r="AK85" s="516"/>
      <c r="AL85" s="516"/>
      <c r="AM85" s="383"/>
      <c r="AO85">
        <f ca="1">IF($A85="S",IF(BM!$I85=0,0,CHOOSE(MATCH(RegimeExecucao,{"Global","Unitário"},0),ROUND(ROUND(BM.MEDAcumulado,15-13*BM!$A$9)/100*BM!$I85,15-13*ORÇAMENTO!$AF$11),ROUND(ROUND(BM.MEDAcumulado,15-13*BM!$A$9)*ROUND(BM!$H85,15-13*ORÇAMENTO!$AF$10),15-13*ORÇAMENTO!$AF$11))),IF($A85=0,0,ROUND(SomaAgrupBM,15-13*ORÇAMENTO!$AF$11)))</f>
        <v>0</v>
      </c>
    </row>
    <row r="86" spans="1:41" ht="38.25" x14ac:dyDescent="0.2">
      <c r="A86" t="str">
        <f ca="1">ORÇAMENTO!C86</f>
        <v>S</v>
      </c>
      <c r="B86">
        <f ca="1">ORÇAMENTO!D86</f>
        <v>0</v>
      </c>
      <c r="C86" s="116" t="str">
        <f t="shared" ca="1" si="8"/>
        <v/>
      </c>
      <c r="D86" s="119" t="str">
        <f ca="1">ORÇAMENTO!O86</f>
        <v>-</v>
      </c>
      <c r="E86" s="172" t="str">
        <f t="shared" ca="1" si="9"/>
        <v>(abra o arquivo 'Referência 06-2024.xlsm)</v>
      </c>
      <c r="F86" s="173" t="str">
        <f ca="1">IF(RegimeExecucao="Global","",ORÇAMENTO.Unidade)</f>
        <v/>
      </c>
      <c r="G86" s="124" t="str">
        <f ca="1">IF(RegimeExecucao="Global","",ORÇAMENTO!T86)</f>
        <v/>
      </c>
      <c r="H86" s="124" t="str">
        <f ca="1">IF(RegimeExecucao="Global","",ORÇAMENTO!W86)</f>
        <v/>
      </c>
      <c r="I86" s="127">
        <f ca="1">ORÇAMENTO!X86</f>
        <v>0</v>
      </c>
      <c r="J86" s="378">
        <f ca="1">IF($A86="S",IF(CAIXA.Modo,BM.AFAnterior,BM.MEDAnterior),IF(AND(RegimeExecucao="Global",$I86&gt;0,COUNTIF($AB$13:$AM$13,BM.medicao-1)&gt;0),M86/$I86*100,0))</f>
        <v>0</v>
      </c>
      <c r="K86" s="124">
        <f t="shared" ca="1" si="10"/>
        <v>0</v>
      </c>
      <c r="L86" s="379">
        <f ca="1">IF($A86="S",IF(CAIXA.Modo,BM.AFAcumulado,BM.MEDAcumulado),IF(AND(RegimeExecucao="Global",$I86&gt;0,COUNTIF($AB$13:$AM$13,BM.medicao)&gt;0),O86/$I86*100,0))</f>
        <v>0</v>
      </c>
      <c r="M86" s="380">
        <f ca="1">IF($A86="S",VTOTALBM,IF($A86=0,0,ROUND(SomaAgrupBM,15-13*ORÇAMENTO!$AF$11)))</f>
        <v>0</v>
      </c>
      <c r="N86" s="381">
        <f t="shared" ca="1" si="11"/>
        <v>0</v>
      </c>
      <c r="O86" s="127">
        <f ca="1">IF($A86="S",VTOTALBM,IF($A86=0,0,ROUND(SomaAgrupBM,15-13*ORÇAMENTO!$AF$11)))</f>
        <v>0</v>
      </c>
      <c r="Q86" s="382"/>
      <c r="R86" s="383"/>
      <c r="T86" s="119" t="str">
        <f t="shared" ca="1" si="12"/>
        <v/>
      </c>
      <c r="U86" s="172" t="str">
        <f t="shared" ca="1" si="13"/>
        <v/>
      </c>
      <c r="V86" s="173" t="str">
        <f ca="1">IF(AND($W86&gt;0,RegimeExecucao="Unitário"),$F86,"")</f>
        <v/>
      </c>
      <c r="W86" s="547">
        <f ca="1">IF($Y86&gt;0,CHOOSE(MATCH(RegimeExecucao,{"Unitário","Global"},0),IF($A86="S",$Y86/$X86,""),($Y86/$X86)*100),0)</f>
        <v>0</v>
      </c>
      <c r="X86" s="384" t="str">
        <f ca="1">IF($Y86&gt;0,CHOOSE(MATCH(RegimeExecucao,{"Unitário","Global"},0),IF($A86="S",ROUND($H86,ORÇAMENTO!$AF$10),""),ROUND($I86,ORÇAMENTO!$AF$11)),"")</f>
        <v/>
      </c>
      <c r="Y86" s="384">
        <f t="shared" ca="1" si="14"/>
        <v>0</v>
      </c>
      <c r="Z86" s="572"/>
      <c r="AB86" s="382"/>
      <c r="AC86" s="516"/>
      <c r="AD86" s="516"/>
      <c r="AE86" s="516"/>
      <c r="AF86" s="516"/>
      <c r="AG86" s="516"/>
      <c r="AH86" s="516"/>
      <c r="AI86" s="516"/>
      <c r="AJ86" s="516"/>
      <c r="AK86" s="516"/>
      <c r="AL86" s="516"/>
      <c r="AM86" s="383"/>
      <c r="AO86">
        <f ca="1">IF($A86="S",IF(BM!$I86=0,0,CHOOSE(MATCH(RegimeExecucao,{"Global","Unitário"},0),ROUND(ROUND(BM.MEDAcumulado,15-13*BM!$A$9)/100*BM!$I86,15-13*ORÇAMENTO!$AF$11),ROUND(ROUND(BM.MEDAcumulado,15-13*BM!$A$9)*ROUND(BM!$H86,15-13*ORÇAMENTO!$AF$10),15-13*ORÇAMENTO!$AF$11))),IF($A86=0,0,ROUND(SomaAgrupBM,15-13*ORÇAMENTO!$AF$11)))</f>
        <v>0</v>
      </c>
    </row>
    <row r="87" spans="1:41" ht="38.25" x14ac:dyDescent="0.2">
      <c r="A87" t="str">
        <f ca="1">ORÇAMENTO!C87</f>
        <v>S</v>
      </c>
      <c r="B87">
        <f ca="1">ORÇAMENTO!D87</f>
        <v>0</v>
      </c>
      <c r="C87" s="116" t="str">
        <f t="shared" ca="1" si="8"/>
        <v/>
      </c>
      <c r="D87" s="119" t="str">
        <f ca="1">ORÇAMENTO!O87</f>
        <v>-</v>
      </c>
      <c r="E87" s="172" t="str">
        <f t="shared" ca="1" si="9"/>
        <v>(abra o arquivo 'Referência 06-2024.xlsm)</v>
      </c>
      <c r="F87" s="173" t="str">
        <f ca="1">IF(RegimeExecucao="Global","",ORÇAMENTO.Unidade)</f>
        <v/>
      </c>
      <c r="G87" s="124" t="str">
        <f ca="1">IF(RegimeExecucao="Global","",ORÇAMENTO!T87)</f>
        <v/>
      </c>
      <c r="H87" s="124" t="str">
        <f ca="1">IF(RegimeExecucao="Global","",ORÇAMENTO!W87)</f>
        <v/>
      </c>
      <c r="I87" s="127">
        <f ca="1">ORÇAMENTO!X87</f>
        <v>0</v>
      </c>
      <c r="J87" s="378">
        <f ca="1">IF($A87="S",IF(CAIXA.Modo,BM.AFAnterior,BM.MEDAnterior),IF(AND(RegimeExecucao="Global",$I87&gt;0,COUNTIF($AB$13:$AM$13,BM.medicao-1)&gt;0),M87/$I87*100,0))</f>
        <v>0</v>
      </c>
      <c r="K87" s="124">
        <f t="shared" ca="1" si="10"/>
        <v>0</v>
      </c>
      <c r="L87" s="379">
        <f ca="1">IF($A87="S",IF(CAIXA.Modo,BM.AFAcumulado,BM.MEDAcumulado),IF(AND(RegimeExecucao="Global",$I87&gt;0,COUNTIF($AB$13:$AM$13,BM.medicao)&gt;0),O87/$I87*100,0))</f>
        <v>0</v>
      </c>
      <c r="M87" s="380">
        <f ca="1">IF($A87="S",VTOTALBM,IF($A87=0,0,ROUND(SomaAgrupBM,15-13*ORÇAMENTO!$AF$11)))</f>
        <v>0</v>
      </c>
      <c r="N87" s="381">
        <f t="shared" ca="1" si="11"/>
        <v>0</v>
      </c>
      <c r="O87" s="127">
        <f ca="1">IF($A87="S",VTOTALBM,IF($A87=0,0,ROUND(SomaAgrupBM,15-13*ORÇAMENTO!$AF$11)))</f>
        <v>0</v>
      </c>
      <c r="Q87" s="382"/>
      <c r="R87" s="383"/>
      <c r="T87" s="119" t="str">
        <f t="shared" ca="1" si="12"/>
        <v/>
      </c>
      <c r="U87" s="172" t="str">
        <f t="shared" ca="1" si="13"/>
        <v/>
      </c>
      <c r="V87" s="173" t="str">
        <f ca="1">IF(AND($W87&gt;0,RegimeExecucao="Unitário"),$F87,"")</f>
        <v/>
      </c>
      <c r="W87" s="547">
        <f ca="1">IF($Y87&gt;0,CHOOSE(MATCH(RegimeExecucao,{"Unitário","Global"},0),IF($A87="S",$Y87/$X87,""),($Y87/$X87)*100),0)</f>
        <v>0</v>
      </c>
      <c r="X87" s="384" t="str">
        <f ca="1">IF($Y87&gt;0,CHOOSE(MATCH(RegimeExecucao,{"Unitário","Global"},0),IF($A87="S",ROUND($H87,ORÇAMENTO!$AF$10),""),ROUND($I87,ORÇAMENTO!$AF$11)),"")</f>
        <v/>
      </c>
      <c r="Y87" s="384">
        <f t="shared" ca="1" si="14"/>
        <v>0</v>
      </c>
      <c r="Z87" s="572"/>
      <c r="AB87" s="382"/>
      <c r="AC87" s="516"/>
      <c r="AD87" s="516"/>
      <c r="AE87" s="516"/>
      <c r="AF87" s="516"/>
      <c r="AG87" s="516"/>
      <c r="AH87" s="516"/>
      <c r="AI87" s="516"/>
      <c r="AJ87" s="516"/>
      <c r="AK87" s="516"/>
      <c r="AL87" s="516"/>
      <c r="AM87" s="383"/>
      <c r="AO87">
        <f ca="1">IF($A87="S",IF(BM!$I87=0,0,CHOOSE(MATCH(RegimeExecucao,{"Global","Unitário"},0),ROUND(ROUND(BM.MEDAcumulado,15-13*BM!$A$9)/100*BM!$I87,15-13*ORÇAMENTO!$AF$11),ROUND(ROUND(BM.MEDAcumulado,15-13*BM!$A$9)*ROUND(BM!$H87,15-13*ORÇAMENTO!$AF$10),15-13*ORÇAMENTO!$AF$11))),IF($A87=0,0,ROUND(SomaAgrupBM,15-13*ORÇAMENTO!$AF$11)))</f>
        <v>0</v>
      </c>
    </row>
    <row r="88" spans="1:41" ht="38.25" x14ac:dyDescent="0.2">
      <c r="A88" t="str">
        <f ca="1">ORÇAMENTO!C88</f>
        <v>S</v>
      </c>
      <c r="B88">
        <f ca="1">ORÇAMENTO!D88</f>
        <v>0</v>
      </c>
      <c r="C88" s="116" t="str">
        <f t="shared" ca="1" si="8"/>
        <v/>
      </c>
      <c r="D88" s="119" t="str">
        <f ca="1">ORÇAMENTO!O88</f>
        <v>-</v>
      </c>
      <c r="E88" s="172" t="str">
        <f t="shared" ca="1" si="9"/>
        <v>(abra o arquivo 'Referência 06-2024.xlsm)</v>
      </c>
      <c r="F88" s="173" t="str">
        <f ca="1">IF(RegimeExecucao="Global","",ORÇAMENTO.Unidade)</f>
        <v/>
      </c>
      <c r="G88" s="124" t="str">
        <f ca="1">IF(RegimeExecucao="Global","",ORÇAMENTO!T88)</f>
        <v/>
      </c>
      <c r="H88" s="124" t="str">
        <f ca="1">IF(RegimeExecucao="Global","",ORÇAMENTO!W88)</f>
        <v/>
      </c>
      <c r="I88" s="127">
        <f ca="1">ORÇAMENTO!X88</f>
        <v>0</v>
      </c>
      <c r="J88" s="378">
        <f ca="1">IF($A88="S",IF(CAIXA.Modo,BM.AFAnterior,BM.MEDAnterior),IF(AND(RegimeExecucao="Global",$I88&gt;0,COUNTIF($AB$13:$AM$13,BM.medicao-1)&gt;0),M88/$I88*100,0))</f>
        <v>0</v>
      </c>
      <c r="K88" s="124">
        <f t="shared" ca="1" si="10"/>
        <v>0</v>
      </c>
      <c r="L88" s="379">
        <f ca="1">IF($A88="S",IF(CAIXA.Modo,BM.AFAcumulado,BM.MEDAcumulado),IF(AND(RegimeExecucao="Global",$I88&gt;0,COUNTIF($AB$13:$AM$13,BM.medicao)&gt;0),O88/$I88*100,0))</f>
        <v>0</v>
      </c>
      <c r="M88" s="380">
        <f ca="1">IF($A88="S",VTOTALBM,IF($A88=0,0,ROUND(SomaAgrupBM,15-13*ORÇAMENTO!$AF$11)))</f>
        <v>0</v>
      </c>
      <c r="N88" s="381">
        <f t="shared" ca="1" si="11"/>
        <v>0</v>
      </c>
      <c r="O88" s="127">
        <f ca="1">IF($A88="S",VTOTALBM,IF($A88=0,0,ROUND(SomaAgrupBM,15-13*ORÇAMENTO!$AF$11)))</f>
        <v>0</v>
      </c>
      <c r="Q88" s="382"/>
      <c r="R88" s="383"/>
      <c r="T88" s="119" t="str">
        <f t="shared" ca="1" si="12"/>
        <v/>
      </c>
      <c r="U88" s="172" t="str">
        <f t="shared" ca="1" si="13"/>
        <v/>
      </c>
      <c r="V88" s="173" t="str">
        <f ca="1">IF(AND($W88&gt;0,RegimeExecucao="Unitário"),$F88,"")</f>
        <v/>
      </c>
      <c r="W88" s="547">
        <f ca="1">IF($Y88&gt;0,CHOOSE(MATCH(RegimeExecucao,{"Unitário","Global"},0),IF($A88="S",$Y88/$X88,""),($Y88/$X88)*100),0)</f>
        <v>0</v>
      </c>
      <c r="X88" s="384" t="str">
        <f ca="1">IF($Y88&gt;0,CHOOSE(MATCH(RegimeExecucao,{"Unitário","Global"},0),IF($A88="S",ROUND($H88,ORÇAMENTO!$AF$10),""),ROUND($I88,ORÇAMENTO!$AF$11)),"")</f>
        <v/>
      </c>
      <c r="Y88" s="384">
        <f t="shared" ca="1" si="14"/>
        <v>0</v>
      </c>
      <c r="Z88" s="572"/>
      <c r="AB88" s="382"/>
      <c r="AC88" s="516"/>
      <c r="AD88" s="516"/>
      <c r="AE88" s="516"/>
      <c r="AF88" s="516"/>
      <c r="AG88" s="516"/>
      <c r="AH88" s="516"/>
      <c r="AI88" s="516"/>
      <c r="AJ88" s="516"/>
      <c r="AK88" s="516"/>
      <c r="AL88" s="516"/>
      <c r="AM88" s="383"/>
      <c r="AO88">
        <f ca="1">IF($A88="S",IF(BM!$I88=0,0,CHOOSE(MATCH(RegimeExecucao,{"Global","Unitário"},0),ROUND(ROUND(BM.MEDAcumulado,15-13*BM!$A$9)/100*BM!$I88,15-13*ORÇAMENTO!$AF$11),ROUND(ROUND(BM.MEDAcumulado,15-13*BM!$A$9)*ROUND(BM!$H88,15-13*ORÇAMENTO!$AF$10),15-13*ORÇAMENTO!$AF$11))),IF($A88=0,0,ROUND(SomaAgrupBM,15-13*ORÇAMENTO!$AF$11)))</f>
        <v>0</v>
      </c>
    </row>
    <row r="89" spans="1:41" x14ac:dyDescent="0.2">
      <c r="A89">
        <f ca="1">ORÇAMENTO!C89</f>
        <v>2</v>
      </c>
      <c r="B89">
        <f ca="1">ORÇAMENTO!D89</f>
        <v>2</v>
      </c>
      <c r="C89" s="116" t="str">
        <f t="shared" ca="1" si="8"/>
        <v>F</v>
      </c>
      <c r="D89" s="119" t="str">
        <f ca="1">ORÇAMENTO!O89</f>
        <v>1.12.</v>
      </c>
      <c r="E89" s="172" t="str">
        <f t="shared" si="9"/>
        <v>SUPERESTRUTURA - ESTRUTURA METÁLICA</v>
      </c>
      <c r="F89" s="173" t="str">
        <f ca="1">IF(RegimeExecucao="Global","",ORÇAMENTO.Unidade)</f>
        <v/>
      </c>
      <c r="G89" s="124" t="str">
        <f ca="1">IF(RegimeExecucao="Global","",ORÇAMENTO!T89)</f>
        <v/>
      </c>
      <c r="H89" s="124" t="str">
        <f ca="1">IF(RegimeExecucao="Global","",ORÇAMENTO!W89)</f>
        <v/>
      </c>
      <c r="I89" s="127">
        <f ca="1">ORÇAMENTO!X89</f>
        <v>0</v>
      </c>
      <c r="J89" s="378">
        <f ca="1">IF($A89="S",IF(CAIXA.Modo,BM.AFAnterior,BM.MEDAnterior),IF(AND(RegimeExecucao="Global",$I89&gt;0,COUNTIF($AB$13:$AM$13,BM.medicao-1)&gt;0),M89/$I89*100,0))</f>
        <v>0</v>
      </c>
      <c r="K89" s="124">
        <f t="shared" ca="1" si="10"/>
        <v>0</v>
      </c>
      <c r="L89" s="379">
        <f ca="1">IF($A89="S",IF(CAIXA.Modo,BM.AFAcumulado,BM.MEDAcumulado),IF(AND(RegimeExecucao="Global",$I89&gt;0,COUNTIF($AB$13:$AM$13,BM.medicao)&gt;0),O89/$I89*100,0))</f>
        <v>0</v>
      </c>
      <c r="M89" s="380">
        <f ca="1">IF($A89="S",VTOTALBM,IF($A89=0,0,ROUND(SomaAgrupBM,15-13*ORÇAMENTO!$AF$11)))</f>
        <v>0</v>
      </c>
      <c r="N89" s="381">
        <f t="shared" ca="1" si="11"/>
        <v>0</v>
      </c>
      <c r="O89" s="127">
        <f ca="1">IF($A89="S",VTOTALBM,IF($A89=0,0,ROUND(SomaAgrupBM,15-13*ORÇAMENTO!$AF$11)))</f>
        <v>0</v>
      </c>
      <c r="Q89" s="382"/>
      <c r="R89" s="383"/>
      <c r="T89" s="119" t="str">
        <f t="shared" ca="1" si="12"/>
        <v/>
      </c>
      <c r="U89" s="172" t="str">
        <f t="shared" ca="1" si="13"/>
        <v/>
      </c>
      <c r="V89" s="173" t="str">
        <f ca="1">IF(AND($W89&gt;0,RegimeExecucao="Unitário"),$F89,"")</f>
        <v/>
      </c>
      <c r="W89" s="547">
        <f ca="1">IF($Y89&gt;0,CHOOSE(MATCH(RegimeExecucao,{"Unitário","Global"},0),IF($A89="S",$Y89/$X89,""),($Y89/$X89)*100),0)</f>
        <v>0</v>
      </c>
      <c r="X89" s="384" t="str">
        <f ca="1">IF($Y89&gt;0,CHOOSE(MATCH(RegimeExecucao,{"Unitário","Global"},0),IF($A89="S",ROUND($H89,ORÇAMENTO!$AF$10),""),ROUND($I89,ORÇAMENTO!$AF$11)),"")</f>
        <v/>
      </c>
      <c r="Y89" s="384">
        <f t="shared" ca="1" si="14"/>
        <v>0</v>
      </c>
      <c r="Z89" s="572"/>
      <c r="AB89" s="382"/>
      <c r="AC89" s="516"/>
      <c r="AD89" s="516"/>
      <c r="AE89" s="516"/>
      <c r="AF89" s="516"/>
      <c r="AG89" s="516"/>
      <c r="AH89" s="516"/>
      <c r="AI89" s="516"/>
      <c r="AJ89" s="516"/>
      <c r="AK89" s="516"/>
      <c r="AL89" s="516"/>
      <c r="AM89" s="383"/>
      <c r="AO89">
        <f ca="1">IF($A89="S",IF(BM!$I89=0,0,CHOOSE(MATCH(RegimeExecucao,{"Global","Unitário"},0),ROUND(ROUND(BM.MEDAcumulado,15-13*BM!$A$9)/100*BM!$I89,15-13*ORÇAMENTO!$AF$11),ROUND(ROUND(BM.MEDAcumulado,15-13*BM!$A$9)*ROUND(BM!$H89,15-13*ORÇAMENTO!$AF$10),15-13*ORÇAMENTO!$AF$11))),IF($A89=0,0,ROUND(SomaAgrupBM,15-13*ORÇAMENTO!$AF$11)))</f>
        <v>0</v>
      </c>
    </row>
    <row r="90" spans="1:41" ht="51" x14ac:dyDescent="0.2">
      <c r="A90" t="str">
        <f ca="1">ORÇAMENTO!C90</f>
        <v>S</v>
      </c>
      <c r="B90">
        <f ca="1">ORÇAMENTO!D90</f>
        <v>0</v>
      </c>
      <c r="C90" s="116" t="str">
        <f t="shared" ca="1" si="8"/>
        <v/>
      </c>
      <c r="D90" s="119" t="str">
        <f ca="1">ORÇAMENTO!O90</f>
        <v>-</v>
      </c>
      <c r="E90" s="172" t="str">
        <f t="shared" ca="1" si="9"/>
        <v>(abra o arquivo 'Referência 06-2024.xlsm)</v>
      </c>
      <c r="F90" s="173" t="str">
        <f ca="1">IF(RegimeExecucao="Global","",ORÇAMENTO.Unidade)</f>
        <v/>
      </c>
      <c r="G90" s="124" t="str">
        <f ca="1">IF(RegimeExecucao="Global","",ORÇAMENTO!T90)</f>
        <v/>
      </c>
      <c r="H90" s="124" t="str">
        <f ca="1">IF(RegimeExecucao="Global","",ORÇAMENTO!W90)</f>
        <v/>
      </c>
      <c r="I90" s="127">
        <f ca="1">ORÇAMENTO!X90</f>
        <v>0</v>
      </c>
      <c r="J90" s="378">
        <f ca="1">IF($A90="S",IF(CAIXA.Modo,BM.AFAnterior,BM.MEDAnterior),IF(AND(RegimeExecucao="Global",$I90&gt;0,COUNTIF($AB$13:$AM$13,BM.medicao-1)&gt;0),M90/$I90*100,0))</f>
        <v>0</v>
      </c>
      <c r="K90" s="124">
        <f t="shared" ca="1" si="10"/>
        <v>0</v>
      </c>
      <c r="L90" s="379">
        <f ca="1">IF($A90="S",IF(CAIXA.Modo,BM.AFAcumulado,BM.MEDAcumulado),IF(AND(RegimeExecucao="Global",$I90&gt;0,COUNTIF($AB$13:$AM$13,BM.medicao)&gt;0),O90/$I90*100,0))</f>
        <v>0</v>
      </c>
      <c r="M90" s="380">
        <f ca="1">IF($A90="S",VTOTALBM,IF($A90=0,0,ROUND(SomaAgrupBM,15-13*ORÇAMENTO!$AF$11)))</f>
        <v>0</v>
      </c>
      <c r="N90" s="381">
        <f t="shared" ca="1" si="11"/>
        <v>0</v>
      </c>
      <c r="O90" s="127">
        <f ca="1">IF($A90="S",VTOTALBM,IF($A90=0,0,ROUND(SomaAgrupBM,15-13*ORÇAMENTO!$AF$11)))</f>
        <v>0</v>
      </c>
      <c r="Q90" s="382"/>
      <c r="R90" s="383"/>
      <c r="T90" s="119" t="str">
        <f t="shared" ca="1" si="12"/>
        <v/>
      </c>
      <c r="U90" s="172" t="str">
        <f t="shared" ca="1" si="13"/>
        <v/>
      </c>
      <c r="V90" s="173" t="str">
        <f ca="1">IF(AND($W90&gt;0,RegimeExecucao="Unitário"),$F90,"")</f>
        <v/>
      </c>
      <c r="W90" s="547">
        <f ca="1">IF($Y90&gt;0,CHOOSE(MATCH(RegimeExecucao,{"Unitário","Global"},0),IF($A90="S",$Y90/$X90,""),($Y90/$X90)*100),0)</f>
        <v>0</v>
      </c>
      <c r="X90" s="384" t="str">
        <f ca="1">IF($Y90&gt;0,CHOOSE(MATCH(RegimeExecucao,{"Unitário","Global"},0),IF($A90="S",ROUND($H90,ORÇAMENTO!$AF$10),""),ROUND($I90,ORÇAMENTO!$AF$11)),"")</f>
        <v/>
      </c>
      <c r="Y90" s="384">
        <f t="shared" ca="1" si="14"/>
        <v>0</v>
      </c>
      <c r="Z90" s="572"/>
      <c r="AB90" s="382"/>
      <c r="AC90" s="516"/>
      <c r="AD90" s="516"/>
      <c r="AE90" s="516"/>
      <c r="AF90" s="516"/>
      <c r="AG90" s="516"/>
      <c r="AH90" s="516"/>
      <c r="AI90" s="516"/>
      <c r="AJ90" s="516"/>
      <c r="AK90" s="516"/>
      <c r="AL90" s="516"/>
      <c r="AM90" s="383"/>
      <c r="AO90">
        <f ca="1">IF($A90="S",IF(BM!$I90=0,0,CHOOSE(MATCH(RegimeExecucao,{"Global","Unitário"},0),ROUND(ROUND(BM.MEDAcumulado,15-13*BM!$A$9)/100*BM!$I90,15-13*ORÇAMENTO!$AF$11),ROUND(ROUND(BM.MEDAcumulado,15-13*BM!$A$9)*ROUND(BM!$H90,15-13*ORÇAMENTO!$AF$10),15-13*ORÇAMENTO!$AF$11))),IF($A90=0,0,ROUND(SomaAgrupBM,15-13*ORÇAMENTO!$AF$11)))</f>
        <v>0</v>
      </c>
    </row>
    <row r="91" spans="1:41" x14ac:dyDescent="0.2">
      <c r="A91">
        <f ca="1">ORÇAMENTO!C91</f>
        <v>2</v>
      </c>
      <c r="B91">
        <f ca="1">ORÇAMENTO!D91</f>
        <v>5</v>
      </c>
      <c r="C91" s="116" t="str">
        <f t="shared" ca="1" si="8"/>
        <v>F</v>
      </c>
      <c r="D91" s="119" t="str">
        <f ca="1">ORÇAMENTO!O91</f>
        <v>1.13.</v>
      </c>
      <c r="E91" s="172" t="str">
        <f t="shared" si="9"/>
        <v>PAVIMENTAÇÃO INTERNA - PISO DE CONCRETO 8 CM</v>
      </c>
      <c r="F91" s="173" t="str">
        <f ca="1">IF(RegimeExecucao="Global","",ORÇAMENTO.Unidade)</f>
        <v/>
      </c>
      <c r="G91" s="124" t="str">
        <f ca="1">IF(RegimeExecucao="Global","",ORÇAMENTO!T91)</f>
        <v/>
      </c>
      <c r="H91" s="124" t="str">
        <f ca="1">IF(RegimeExecucao="Global","",ORÇAMENTO!W91)</f>
        <v/>
      </c>
      <c r="I91" s="127">
        <f ca="1">ORÇAMENTO!X91</f>
        <v>0</v>
      </c>
      <c r="J91" s="378">
        <f ca="1">IF($A91="S",IF(CAIXA.Modo,BM.AFAnterior,BM.MEDAnterior),IF(AND(RegimeExecucao="Global",$I91&gt;0,COUNTIF($AB$13:$AM$13,BM.medicao-1)&gt;0),M91/$I91*100,0))</f>
        <v>0</v>
      </c>
      <c r="K91" s="124">
        <f t="shared" ca="1" si="10"/>
        <v>0</v>
      </c>
      <c r="L91" s="379">
        <f ca="1">IF($A91="S",IF(CAIXA.Modo,BM.AFAcumulado,BM.MEDAcumulado),IF(AND(RegimeExecucao="Global",$I91&gt;0,COUNTIF($AB$13:$AM$13,BM.medicao)&gt;0),O91/$I91*100,0))</f>
        <v>0</v>
      </c>
      <c r="M91" s="380">
        <f ca="1">IF($A91="S",VTOTALBM,IF($A91=0,0,ROUND(SomaAgrupBM,15-13*ORÇAMENTO!$AF$11)))</f>
        <v>0</v>
      </c>
      <c r="N91" s="381">
        <f t="shared" ca="1" si="11"/>
        <v>0</v>
      </c>
      <c r="O91" s="127">
        <f ca="1">IF($A91="S",VTOTALBM,IF($A91=0,0,ROUND(SomaAgrupBM,15-13*ORÇAMENTO!$AF$11)))</f>
        <v>0</v>
      </c>
      <c r="Q91" s="382"/>
      <c r="R91" s="383"/>
      <c r="T91" s="119" t="str">
        <f t="shared" ca="1" si="12"/>
        <v/>
      </c>
      <c r="U91" s="172" t="str">
        <f t="shared" ca="1" si="13"/>
        <v/>
      </c>
      <c r="V91" s="173" t="str">
        <f ca="1">IF(AND($W91&gt;0,RegimeExecucao="Unitário"),$F91,"")</f>
        <v/>
      </c>
      <c r="W91" s="547">
        <f ca="1">IF($Y91&gt;0,CHOOSE(MATCH(RegimeExecucao,{"Unitário","Global"},0),IF($A91="S",$Y91/$X91,""),($Y91/$X91)*100),0)</f>
        <v>0</v>
      </c>
      <c r="X91" s="384" t="str">
        <f ca="1">IF($Y91&gt;0,CHOOSE(MATCH(RegimeExecucao,{"Unitário","Global"},0),IF($A91="S",ROUND($H91,ORÇAMENTO!$AF$10),""),ROUND($I91,ORÇAMENTO!$AF$11)),"")</f>
        <v/>
      </c>
      <c r="Y91" s="384">
        <f t="shared" ca="1" si="14"/>
        <v>0</v>
      </c>
      <c r="Z91" s="572"/>
      <c r="AB91" s="382"/>
      <c r="AC91" s="516"/>
      <c r="AD91" s="516"/>
      <c r="AE91" s="516"/>
      <c r="AF91" s="516"/>
      <c r="AG91" s="516"/>
      <c r="AH91" s="516"/>
      <c r="AI91" s="516"/>
      <c r="AJ91" s="516"/>
      <c r="AK91" s="516"/>
      <c r="AL91" s="516"/>
      <c r="AM91" s="383"/>
      <c r="AO91">
        <f ca="1">IF($A91="S",IF(BM!$I91=0,0,CHOOSE(MATCH(RegimeExecucao,{"Global","Unitário"},0),ROUND(ROUND(BM.MEDAcumulado,15-13*BM!$A$9)/100*BM!$I91,15-13*ORÇAMENTO!$AF$11),ROUND(ROUND(BM.MEDAcumulado,15-13*BM!$A$9)*ROUND(BM!$H91,15-13*ORÇAMENTO!$AF$10),15-13*ORÇAMENTO!$AF$11))),IF($A91=0,0,ROUND(SomaAgrupBM,15-13*ORÇAMENTO!$AF$11)))</f>
        <v>0</v>
      </c>
    </row>
    <row r="92" spans="1:41" ht="38.25" x14ac:dyDescent="0.2">
      <c r="A92" t="str">
        <f ca="1">ORÇAMENTO!C92</f>
        <v>S</v>
      </c>
      <c r="B92">
        <f ca="1">ORÇAMENTO!D92</f>
        <v>0</v>
      </c>
      <c r="C92" s="116" t="str">
        <f t="shared" ca="1" si="8"/>
        <v/>
      </c>
      <c r="D92" s="119" t="str">
        <f ca="1">ORÇAMENTO!O92</f>
        <v>-</v>
      </c>
      <c r="E92" s="172" t="str">
        <f t="shared" ca="1" si="9"/>
        <v>(abra o arquivo 'Referência 06-2024.xlsm)</v>
      </c>
      <c r="F92" s="173" t="str">
        <f ca="1">IF(RegimeExecucao="Global","",ORÇAMENTO.Unidade)</f>
        <v/>
      </c>
      <c r="G92" s="124" t="str">
        <f ca="1">IF(RegimeExecucao="Global","",ORÇAMENTO!T92)</f>
        <v/>
      </c>
      <c r="H92" s="124" t="str">
        <f ca="1">IF(RegimeExecucao="Global","",ORÇAMENTO!W92)</f>
        <v/>
      </c>
      <c r="I92" s="127">
        <f ca="1">ORÇAMENTO!X92</f>
        <v>0</v>
      </c>
      <c r="J92" s="378">
        <f ca="1">IF($A92="S",IF(CAIXA.Modo,BM.AFAnterior,BM.MEDAnterior),IF(AND(RegimeExecucao="Global",$I92&gt;0,COUNTIF($AB$13:$AM$13,BM.medicao-1)&gt;0),M92/$I92*100,0))</f>
        <v>0</v>
      </c>
      <c r="K92" s="124">
        <f t="shared" ca="1" si="10"/>
        <v>0</v>
      </c>
      <c r="L92" s="379">
        <f ca="1">IF($A92="S",IF(CAIXA.Modo,BM.AFAcumulado,BM.MEDAcumulado),IF(AND(RegimeExecucao="Global",$I92&gt;0,COUNTIF($AB$13:$AM$13,BM.medicao)&gt;0),O92/$I92*100,0))</f>
        <v>0</v>
      </c>
      <c r="M92" s="380">
        <f ca="1">IF($A92="S",VTOTALBM,IF($A92=0,0,ROUND(SomaAgrupBM,15-13*ORÇAMENTO!$AF$11)))</f>
        <v>0</v>
      </c>
      <c r="N92" s="381">
        <f t="shared" ca="1" si="11"/>
        <v>0</v>
      </c>
      <c r="O92" s="127">
        <f ca="1">IF($A92="S",VTOTALBM,IF($A92=0,0,ROUND(SomaAgrupBM,15-13*ORÇAMENTO!$AF$11)))</f>
        <v>0</v>
      </c>
      <c r="Q92" s="382"/>
      <c r="R92" s="383"/>
      <c r="T92" s="119" t="str">
        <f t="shared" ca="1" si="12"/>
        <v/>
      </c>
      <c r="U92" s="172" t="str">
        <f t="shared" ca="1" si="13"/>
        <v/>
      </c>
      <c r="V92" s="173" t="str">
        <f ca="1">IF(AND($W92&gt;0,RegimeExecucao="Unitário"),$F92,"")</f>
        <v/>
      </c>
      <c r="W92" s="547">
        <f ca="1">IF($Y92&gt;0,CHOOSE(MATCH(RegimeExecucao,{"Unitário","Global"},0),IF($A92="S",$Y92/$X92,""),($Y92/$X92)*100),0)</f>
        <v>0</v>
      </c>
      <c r="X92" s="384" t="str">
        <f ca="1">IF($Y92&gt;0,CHOOSE(MATCH(RegimeExecucao,{"Unitário","Global"},0),IF($A92="S",ROUND($H92,ORÇAMENTO!$AF$10),""),ROUND($I92,ORÇAMENTO!$AF$11)),"")</f>
        <v/>
      </c>
      <c r="Y92" s="384">
        <f t="shared" ca="1" si="14"/>
        <v>0</v>
      </c>
      <c r="Z92" s="572"/>
      <c r="AB92" s="382"/>
      <c r="AC92" s="516"/>
      <c r="AD92" s="516"/>
      <c r="AE92" s="516"/>
      <c r="AF92" s="516"/>
      <c r="AG92" s="516"/>
      <c r="AH92" s="516"/>
      <c r="AI92" s="516"/>
      <c r="AJ92" s="516"/>
      <c r="AK92" s="516"/>
      <c r="AL92" s="516"/>
      <c r="AM92" s="383"/>
      <c r="AO92">
        <f ca="1">IF($A92="S",IF(BM!$I92=0,0,CHOOSE(MATCH(RegimeExecucao,{"Global","Unitário"},0),ROUND(ROUND(BM.MEDAcumulado,15-13*BM!$A$9)/100*BM!$I92,15-13*ORÇAMENTO!$AF$11),ROUND(ROUND(BM.MEDAcumulado,15-13*BM!$A$9)*ROUND(BM!$H92,15-13*ORÇAMENTO!$AF$10),15-13*ORÇAMENTO!$AF$11))),IF($A92=0,0,ROUND(SomaAgrupBM,15-13*ORÇAMENTO!$AF$11)))</f>
        <v>0</v>
      </c>
    </row>
    <row r="93" spans="1:41" ht="25.5" x14ac:dyDescent="0.2">
      <c r="A93" t="str">
        <f ca="1">ORÇAMENTO!C93</f>
        <v>S</v>
      </c>
      <c r="B93">
        <f ca="1">ORÇAMENTO!D93</f>
        <v>0</v>
      </c>
      <c r="C93" s="116" t="str">
        <f t="shared" ca="1" si="8"/>
        <v/>
      </c>
      <c r="D93" s="119" t="str">
        <f ca="1">ORÇAMENTO!O93</f>
        <v>-</v>
      </c>
      <c r="E93" s="172" t="str">
        <f t="shared" ca="1" si="9"/>
        <v>(abra o arquivo 'Referência 06-2024.xlsm)</v>
      </c>
      <c r="F93" s="173" t="str">
        <f ca="1">IF(RegimeExecucao="Global","",ORÇAMENTO.Unidade)</f>
        <v/>
      </c>
      <c r="G93" s="124" t="str">
        <f ca="1">IF(RegimeExecucao="Global","",ORÇAMENTO!T93)</f>
        <v/>
      </c>
      <c r="H93" s="124" t="str">
        <f ca="1">IF(RegimeExecucao="Global","",ORÇAMENTO!W93)</f>
        <v/>
      </c>
      <c r="I93" s="127">
        <f ca="1">ORÇAMENTO!X93</f>
        <v>0</v>
      </c>
      <c r="J93" s="378">
        <f ca="1">IF($A93="S",IF(CAIXA.Modo,BM.AFAnterior,BM.MEDAnterior),IF(AND(RegimeExecucao="Global",$I93&gt;0,COUNTIF($AB$13:$AM$13,BM.medicao-1)&gt;0),M93/$I93*100,0))</f>
        <v>0</v>
      </c>
      <c r="K93" s="124">
        <f t="shared" ca="1" si="10"/>
        <v>0</v>
      </c>
      <c r="L93" s="379">
        <f ca="1">IF($A93="S",IF(CAIXA.Modo,BM.AFAcumulado,BM.MEDAcumulado),IF(AND(RegimeExecucao="Global",$I93&gt;0,COUNTIF($AB$13:$AM$13,BM.medicao)&gt;0),O93/$I93*100,0))</f>
        <v>0</v>
      </c>
      <c r="M93" s="380">
        <f ca="1">IF($A93="S",VTOTALBM,IF($A93=0,0,ROUND(SomaAgrupBM,15-13*ORÇAMENTO!$AF$11)))</f>
        <v>0</v>
      </c>
      <c r="N93" s="381">
        <f t="shared" ca="1" si="11"/>
        <v>0</v>
      </c>
      <c r="O93" s="127">
        <f ca="1">IF($A93="S",VTOTALBM,IF($A93=0,0,ROUND(SomaAgrupBM,15-13*ORÇAMENTO!$AF$11)))</f>
        <v>0</v>
      </c>
      <c r="Q93" s="382"/>
      <c r="R93" s="383"/>
      <c r="T93" s="119" t="str">
        <f t="shared" ca="1" si="12"/>
        <v/>
      </c>
      <c r="U93" s="172" t="str">
        <f t="shared" ca="1" si="13"/>
        <v/>
      </c>
      <c r="V93" s="173" t="str">
        <f ca="1">IF(AND($W93&gt;0,RegimeExecucao="Unitário"),$F93,"")</f>
        <v/>
      </c>
      <c r="W93" s="547">
        <f ca="1">IF($Y93&gt;0,CHOOSE(MATCH(RegimeExecucao,{"Unitário","Global"},0),IF($A93="S",$Y93/$X93,""),($Y93/$X93)*100),0)</f>
        <v>0</v>
      </c>
      <c r="X93" s="384" t="str">
        <f ca="1">IF($Y93&gt;0,CHOOSE(MATCH(RegimeExecucao,{"Unitário","Global"},0),IF($A93="S",ROUND($H93,ORÇAMENTO!$AF$10),""),ROUND($I93,ORÇAMENTO!$AF$11)),"")</f>
        <v/>
      </c>
      <c r="Y93" s="384">
        <f t="shared" ca="1" si="14"/>
        <v>0</v>
      </c>
      <c r="Z93" s="572"/>
      <c r="AB93" s="382"/>
      <c r="AC93" s="516"/>
      <c r="AD93" s="516"/>
      <c r="AE93" s="516"/>
      <c r="AF93" s="516"/>
      <c r="AG93" s="516"/>
      <c r="AH93" s="516"/>
      <c r="AI93" s="516"/>
      <c r="AJ93" s="516"/>
      <c r="AK93" s="516"/>
      <c r="AL93" s="516"/>
      <c r="AM93" s="383"/>
      <c r="AO93">
        <f ca="1">IF($A93="S",IF(BM!$I93=0,0,CHOOSE(MATCH(RegimeExecucao,{"Global","Unitário"},0),ROUND(ROUND(BM.MEDAcumulado,15-13*BM!$A$9)/100*BM!$I93,15-13*ORÇAMENTO!$AF$11),ROUND(ROUND(BM.MEDAcumulado,15-13*BM!$A$9)*ROUND(BM!$H93,15-13*ORÇAMENTO!$AF$10),15-13*ORÇAMENTO!$AF$11))),IF($A93=0,0,ROUND(SomaAgrupBM,15-13*ORÇAMENTO!$AF$11)))</f>
        <v>0</v>
      </c>
    </row>
    <row r="94" spans="1:41" ht="25.5" x14ac:dyDescent="0.2">
      <c r="A94" t="str">
        <f ca="1">ORÇAMENTO!C94</f>
        <v>S</v>
      </c>
      <c r="B94">
        <f ca="1">ORÇAMENTO!D94</f>
        <v>0</v>
      </c>
      <c r="C94" s="116" t="str">
        <f t="shared" ca="1" si="8"/>
        <v/>
      </c>
      <c r="D94" s="119" t="str">
        <f ca="1">ORÇAMENTO!O94</f>
        <v>-</v>
      </c>
      <c r="E94" s="172" t="str">
        <f t="shared" ca="1" si="9"/>
        <v>(abra o arquivo 'Referência 06-2024.xlsm)</v>
      </c>
      <c r="F94" s="173" t="str">
        <f ca="1">IF(RegimeExecucao="Global","",ORÇAMENTO.Unidade)</f>
        <v/>
      </c>
      <c r="G94" s="124" t="str">
        <f ca="1">IF(RegimeExecucao="Global","",ORÇAMENTO!T94)</f>
        <v/>
      </c>
      <c r="H94" s="124" t="str">
        <f ca="1">IF(RegimeExecucao="Global","",ORÇAMENTO!W94)</f>
        <v/>
      </c>
      <c r="I94" s="127">
        <f ca="1">ORÇAMENTO!X94</f>
        <v>0</v>
      </c>
      <c r="J94" s="378">
        <f ca="1">IF($A94="S",IF(CAIXA.Modo,BM.AFAnterior,BM.MEDAnterior),IF(AND(RegimeExecucao="Global",$I94&gt;0,COUNTIF($AB$13:$AM$13,BM.medicao-1)&gt;0),M94/$I94*100,0))</f>
        <v>0</v>
      </c>
      <c r="K94" s="124">
        <f t="shared" ca="1" si="10"/>
        <v>0</v>
      </c>
      <c r="L94" s="379">
        <f ca="1">IF($A94="S",IF(CAIXA.Modo,BM.AFAcumulado,BM.MEDAcumulado),IF(AND(RegimeExecucao="Global",$I94&gt;0,COUNTIF($AB$13:$AM$13,BM.medicao)&gt;0),O94/$I94*100,0))</f>
        <v>0</v>
      </c>
      <c r="M94" s="380">
        <f ca="1">IF($A94="S",VTOTALBM,IF($A94=0,0,ROUND(SomaAgrupBM,15-13*ORÇAMENTO!$AF$11)))</f>
        <v>0</v>
      </c>
      <c r="N94" s="381">
        <f t="shared" ca="1" si="11"/>
        <v>0</v>
      </c>
      <c r="O94" s="127">
        <f ca="1">IF($A94="S",VTOTALBM,IF($A94=0,0,ROUND(SomaAgrupBM,15-13*ORÇAMENTO!$AF$11)))</f>
        <v>0</v>
      </c>
      <c r="Q94" s="382"/>
      <c r="R94" s="383"/>
      <c r="T94" s="119" t="str">
        <f t="shared" ca="1" si="12"/>
        <v/>
      </c>
      <c r="U94" s="172" t="str">
        <f t="shared" ca="1" si="13"/>
        <v/>
      </c>
      <c r="V94" s="173" t="str">
        <f ca="1">IF(AND($W94&gt;0,RegimeExecucao="Unitário"),$F94,"")</f>
        <v/>
      </c>
      <c r="W94" s="547">
        <f ca="1">IF($Y94&gt;0,CHOOSE(MATCH(RegimeExecucao,{"Unitário","Global"},0),IF($A94="S",$Y94/$X94,""),($Y94/$X94)*100),0)</f>
        <v>0</v>
      </c>
      <c r="X94" s="384" t="str">
        <f ca="1">IF($Y94&gt;0,CHOOSE(MATCH(RegimeExecucao,{"Unitário","Global"},0),IF($A94="S",ROUND($H94,ORÇAMENTO!$AF$10),""),ROUND($I94,ORÇAMENTO!$AF$11)),"")</f>
        <v/>
      </c>
      <c r="Y94" s="384">
        <f t="shared" ca="1" si="14"/>
        <v>0</v>
      </c>
      <c r="Z94" s="572"/>
      <c r="AB94" s="382"/>
      <c r="AC94" s="516"/>
      <c r="AD94" s="516"/>
      <c r="AE94" s="516"/>
      <c r="AF94" s="516"/>
      <c r="AG94" s="516"/>
      <c r="AH94" s="516"/>
      <c r="AI94" s="516"/>
      <c r="AJ94" s="516"/>
      <c r="AK94" s="516"/>
      <c r="AL94" s="516"/>
      <c r="AM94" s="383"/>
      <c r="AO94">
        <f ca="1">IF($A94="S",IF(BM!$I94=0,0,CHOOSE(MATCH(RegimeExecucao,{"Global","Unitário"},0),ROUND(ROUND(BM.MEDAcumulado,15-13*BM!$A$9)/100*BM!$I94,15-13*ORÇAMENTO!$AF$11),ROUND(ROUND(BM.MEDAcumulado,15-13*BM!$A$9)*ROUND(BM!$H94,15-13*ORÇAMENTO!$AF$10),15-13*ORÇAMENTO!$AF$11))),IF($A94=0,0,ROUND(SomaAgrupBM,15-13*ORÇAMENTO!$AF$11)))</f>
        <v>0</v>
      </c>
    </row>
    <row r="95" spans="1:41" ht="38.25" x14ac:dyDescent="0.2">
      <c r="A95" t="str">
        <f ca="1">ORÇAMENTO!C95</f>
        <v>S</v>
      </c>
      <c r="B95">
        <f ca="1">ORÇAMENTO!D95</f>
        <v>0</v>
      </c>
      <c r="C95" s="116" t="str">
        <f t="shared" ca="1" si="8"/>
        <v/>
      </c>
      <c r="D95" s="119" t="str">
        <f ca="1">ORÇAMENTO!O95</f>
        <v>-</v>
      </c>
      <c r="E95" s="172" t="str">
        <f t="shared" ca="1" si="9"/>
        <v>(abra o arquivo 'Referência 06-2024.xlsm)</v>
      </c>
      <c r="F95" s="173" t="str">
        <f ca="1">IF(RegimeExecucao="Global","",ORÇAMENTO.Unidade)</f>
        <v/>
      </c>
      <c r="G95" s="124" t="str">
        <f ca="1">IF(RegimeExecucao="Global","",ORÇAMENTO!T95)</f>
        <v/>
      </c>
      <c r="H95" s="124" t="str">
        <f ca="1">IF(RegimeExecucao="Global","",ORÇAMENTO!W95)</f>
        <v/>
      </c>
      <c r="I95" s="127">
        <f ca="1">ORÇAMENTO!X95</f>
        <v>0</v>
      </c>
      <c r="J95" s="378">
        <f ca="1">IF($A95="S",IF(CAIXA.Modo,BM.AFAnterior,BM.MEDAnterior),IF(AND(RegimeExecucao="Global",$I95&gt;0,COUNTIF($AB$13:$AM$13,BM.medicao-1)&gt;0),M95/$I95*100,0))</f>
        <v>0</v>
      </c>
      <c r="K95" s="124">
        <f t="shared" ca="1" si="10"/>
        <v>0</v>
      </c>
      <c r="L95" s="379">
        <f ca="1">IF($A95="S",IF(CAIXA.Modo,BM.AFAcumulado,BM.MEDAcumulado),IF(AND(RegimeExecucao="Global",$I95&gt;0,COUNTIF($AB$13:$AM$13,BM.medicao)&gt;0),O95/$I95*100,0))</f>
        <v>0</v>
      </c>
      <c r="M95" s="380">
        <f ca="1">IF($A95="S",VTOTALBM,IF($A95=0,0,ROUND(SomaAgrupBM,15-13*ORÇAMENTO!$AF$11)))</f>
        <v>0</v>
      </c>
      <c r="N95" s="381">
        <f t="shared" ca="1" si="11"/>
        <v>0</v>
      </c>
      <c r="O95" s="127">
        <f ca="1">IF($A95="S",VTOTALBM,IF($A95=0,0,ROUND(SomaAgrupBM,15-13*ORÇAMENTO!$AF$11)))</f>
        <v>0</v>
      </c>
      <c r="Q95" s="382"/>
      <c r="R95" s="383"/>
      <c r="T95" s="119" t="str">
        <f t="shared" ca="1" si="12"/>
        <v/>
      </c>
      <c r="U95" s="172" t="str">
        <f t="shared" ca="1" si="13"/>
        <v/>
      </c>
      <c r="V95" s="173" t="str">
        <f ca="1">IF(AND($W95&gt;0,RegimeExecucao="Unitário"),$F95,"")</f>
        <v/>
      </c>
      <c r="W95" s="547">
        <f ca="1">IF($Y95&gt;0,CHOOSE(MATCH(RegimeExecucao,{"Unitário","Global"},0),IF($A95="S",$Y95/$X95,""),($Y95/$X95)*100),0)</f>
        <v>0</v>
      </c>
      <c r="X95" s="384" t="str">
        <f ca="1">IF($Y95&gt;0,CHOOSE(MATCH(RegimeExecucao,{"Unitário","Global"},0),IF($A95="S",ROUND($H95,ORÇAMENTO!$AF$10),""),ROUND($I95,ORÇAMENTO!$AF$11)),"")</f>
        <v/>
      </c>
      <c r="Y95" s="384">
        <f t="shared" ca="1" si="14"/>
        <v>0</v>
      </c>
      <c r="Z95" s="572"/>
      <c r="AB95" s="382"/>
      <c r="AC95" s="516"/>
      <c r="AD95" s="516"/>
      <c r="AE95" s="516"/>
      <c r="AF95" s="516"/>
      <c r="AG95" s="516"/>
      <c r="AH95" s="516"/>
      <c r="AI95" s="516"/>
      <c r="AJ95" s="516"/>
      <c r="AK95" s="516"/>
      <c r="AL95" s="516"/>
      <c r="AM95" s="383"/>
      <c r="AO95">
        <f ca="1">IF($A95="S",IF(BM!$I95=0,0,CHOOSE(MATCH(RegimeExecucao,{"Global","Unitário"},0),ROUND(ROUND(BM.MEDAcumulado,15-13*BM!$A$9)/100*BM!$I95,15-13*ORÇAMENTO!$AF$11),ROUND(ROUND(BM.MEDAcumulado,15-13*BM!$A$9)*ROUND(BM!$H95,15-13*ORÇAMENTO!$AF$10),15-13*ORÇAMENTO!$AF$11))),IF($A95=0,0,ROUND(SomaAgrupBM,15-13*ORÇAMENTO!$AF$11)))</f>
        <v>0</v>
      </c>
    </row>
    <row r="96" spans="1:41" x14ac:dyDescent="0.2">
      <c r="A96">
        <f ca="1">ORÇAMENTO!C96</f>
        <v>2</v>
      </c>
      <c r="B96">
        <f ca="1">ORÇAMENTO!D96</f>
        <v>5</v>
      </c>
      <c r="C96" s="116" t="str">
        <f t="shared" ca="1" si="8"/>
        <v>F</v>
      </c>
      <c r="D96" s="119" t="str">
        <f ca="1">ORÇAMENTO!O96</f>
        <v>1.14.</v>
      </c>
      <c r="E96" s="172" t="str">
        <f t="shared" si="9"/>
        <v>PAVIMENTAÇÃO EXTERNA - CALÇADA DE PISO DE CONCRETO 7 CM</v>
      </c>
      <c r="F96" s="173" t="str">
        <f ca="1">IF(RegimeExecucao="Global","",ORÇAMENTO.Unidade)</f>
        <v/>
      </c>
      <c r="G96" s="124" t="str">
        <f ca="1">IF(RegimeExecucao="Global","",ORÇAMENTO!T96)</f>
        <v/>
      </c>
      <c r="H96" s="124" t="str">
        <f ca="1">IF(RegimeExecucao="Global","",ORÇAMENTO!W96)</f>
        <v/>
      </c>
      <c r="I96" s="127">
        <f ca="1">ORÇAMENTO!X96</f>
        <v>0</v>
      </c>
      <c r="J96" s="378">
        <f ca="1">IF($A96="S",IF(CAIXA.Modo,BM.AFAnterior,BM.MEDAnterior),IF(AND(RegimeExecucao="Global",$I96&gt;0,COUNTIF($AB$13:$AM$13,BM.medicao-1)&gt;0),M96/$I96*100,0))</f>
        <v>0</v>
      </c>
      <c r="K96" s="124">
        <f t="shared" ca="1" si="10"/>
        <v>0</v>
      </c>
      <c r="L96" s="379">
        <f ca="1">IF($A96="S",IF(CAIXA.Modo,BM.AFAcumulado,BM.MEDAcumulado),IF(AND(RegimeExecucao="Global",$I96&gt;0,COUNTIF($AB$13:$AM$13,BM.medicao)&gt;0),O96/$I96*100,0))</f>
        <v>0</v>
      </c>
      <c r="M96" s="380">
        <f ca="1">IF($A96="S",VTOTALBM,IF($A96=0,0,ROUND(SomaAgrupBM,15-13*ORÇAMENTO!$AF$11)))</f>
        <v>0</v>
      </c>
      <c r="N96" s="381">
        <f t="shared" ca="1" si="11"/>
        <v>0</v>
      </c>
      <c r="O96" s="127">
        <f ca="1">IF($A96="S",VTOTALBM,IF($A96=0,0,ROUND(SomaAgrupBM,15-13*ORÇAMENTO!$AF$11)))</f>
        <v>0</v>
      </c>
      <c r="Q96" s="382"/>
      <c r="R96" s="383"/>
      <c r="T96" s="119" t="str">
        <f t="shared" ca="1" si="12"/>
        <v/>
      </c>
      <c r="U96" s="172" t="str">
        <f t="shared" ca="1" si="13"/>
        <v/>
      </c>
      <c r="V96" s="173" t="str">
        <f ca="1">IF(AND($W96&gt;0,RegimeExecucao="Unitário"),$F96,"")</f>
        <v/>
      </c>
      <c r="W96" s="547">
        <f ca="1">IF($Y96&gt;0,CHOOSE(MATCH(RegimeExecucao,{"Unitário","Global"},0),IF($A96="S",$Y96/$X96,""),($Y96/$X96)*100),0)</f>
        <v>0</v>
      </c>
      <c r="X96" s="384" t="str">
        <f ca="1">IF($Y96&gt;0,CHOOSE(MATCH(RegimeExecucao,{"Unitário","Global"},0),IF($A96="S",ROUND($H96,ORÇAMENTO!$AF$10),""),ROUND($I96,ORÇAMENTO!$AF$11)),"")</f>
        <v/>
      </c>
      <c r="Y96" s="384">
        <f t="shared" ca="1" si="14"/>
        <v>0</v>
      </c>
      <c r="Z96" s="572"/>
      <c r="AB96" s="382"/>
      <c r="AC96" s="516"/>
      <c r="AD96" s="516"/>
      <c r="AE96" s="516"/>
      <c r="AF96" s="516"/>
      <c r="AG96" s="516"/>
      <c r="AH96" s="516"/>
      <c r="AI96" s="516"/>
      <c r="AJ96" s="516"/>
      <c r="AK96" s="516"/>
      <c r="AL96" s="516"/>
      <c r="AM96" s="383"/>
      <c r="AO96">
        <f ca="1">IF($A96="S",IF(BM!$I96=0,0,CHOOSE(MATCH(RegimeExecucao,{"Global","Unitário"},0),ROUND(ROUND(BM.MEDAcumulado,15-13*BM!$A$9)/100*BM!$I96,15-13*ORÇAMENTO!$AF$11),ROUND(ROUND(BM.MEDAcumulado,15-13*BM!$A$9)*ROUND(BM!$H96,15-13*ORÇAMENTO!$AF$10),15-13*ORÇAMENTO!$AF$11))),IF($A96=0,0,ROUND(SomaAgrupBM,15-13*ORÇAMENTO!$AF$11)))</f>
        <v>0</v>
      </c>
    </row>
    <row r="97" spans="1:41" ht="38.25" x14ac:dyDescent="0.2">
      <c r="A97" t="str">
        <f ca="1">ORÇAMENTO!C97</f>
        <v>S</v>
      </c>
      <c r="B97">
        <f ca="1">ORÇAMENTO!D97</f>
        <v>0</v>
      </c>
      <c r="C97" s="116" t="str">
        <f t="shared" ca="1" si="8"/>
        <v/>
      </c>
      <c r="D97" s="119" t="str">
        <f ca="1">ORÇAMENTO!O97</f>
        <v>-</v>
      </c>
      <c r="E97" s="172" t="str">
        <f t="shared" ca="1" si="9"/>
        <v>(abra o arquivo 'Referência 06-2024.xlsm)</v>
      </c>
      <c r="F97" s="173" t="str">
        <f ca="1">IF(RegimeExecucao="Global","",ORÇAMENTO.Unidade)</f>
        <v/>
      </c>
      <c r="G97" s="124" t="str">
        <f ca="1">IF(RegimeExecucao="Global","",ORÇAMENTO!T97)</f>
        <v/>
      </c>
      <c r="H97" s="124" t="str">
        <f ca="1">IF(RegimeExecucao="Global","",ORÇAMENTO!W97)</f>
        <v/>
      </c>
      <c r="I97" s="127">
        <f ca="1">ORÇAMENTO!X97</f>
        <v>0</v>
      </c>
      <c r="J97" s="378">
        <f ca="1">IF($A97="S",IF(CAIXA.Modo,BM.AFAnterior,BM.MEDAnterior),IF(AND(RegimeExecucao="Global",$I97&gt;0,COUNTIF($AB$13:$AM$13,BM.medicao-1)&gt;0),M97/$I97*100,0))</f>
        <v>0</v>
      </c>
      <c r="K97" s="124">
        <f t="shared" ca="1" si="10"/>
        <v>0</v>
      </c>
      <c r="L97" s="379">
        <f ca="1">IF($A97="S",IF(CAIXA.Modo,BM.AFAcumulado,BM.MEDAcumulado),IF(AND(RegimeExecucao="Global",$I97&gt;0,COUNTIF($AB$13:$AM$13,BM.medicao)&gt;0),O97/$I97*100,0))</f>
        <v>0</v>
      </c>
      <c r="M97" s="380">
        <f ca="1">IF($A97="S",VTOTALBM,IF($A97=0,0,ROUND(SomaAgrupBM,15-13*ORÇAMENTO!$AF$11)))</f>
        <v>0</v>
      </c>
      <c r="N97" s="381">
        <f t="shared" ca="1" si="11"/>
        <v>0</v>
      </c>
      <c r="O97" s="127">
        <f ca="1">IF($A97="S",VTOTALBM,IF($A97=0,0,ROUND(SomaAgrupBM,15-13*ORÇAMENTO!$AF$11)))</f>
        <v>0</v>
      </c>
      <c r="Q97" s="382"/>
      <c r="R97" s="383"/>
      <c r="T97" s="119" t="str">
        <f t="shared" ca="1" si="12"/>
        <v/>
      </c>
      <c r="U97" s="172" t="str">
        <f t="shared" ca="1" si="13"/>
        <v/>
      </c>
      <c r="V97" s="173" t="str">
        <f ca="1">IF(AND($W97&gt;0,RegimeExecucao="Unitário"),$F97,"")</f>
        <v/>
      </c>
      <c r="W97" s="547">
        <f ca="1">IF($Y97&gt;0,CHOOSE(MATCH(RegimeExecucao,{"Unitário","Global"},0),IF($A97="S",$Y97/$X97,""),($Y97/$X97)*100),0)</f>
        <v>0</v>
      </c>
      <c r="X97" s="384" t="str">
        <f ca="1">IF($Y97&gt;0,CHOOSE(MATCH(RegimeExecucao,{"Unitário","Global"},0),IF($A97="S",ROUND($H97,ORÇAMENTO!$AF$10),""),ROUND($I97,ORÇAMENTO!$AF$11)),"")</f>
        <v/>
      </c>
      <c r="Y97" s="384">
        <f t="shared" ca="1" si="14"/>
        <v>0</v>
      </c>
      <c r="Z97" s="572"/>
      <c r="AB97" s="382"/>
      <c r="AC97" s="516"/>
      <c r="AD97" s="516"/>
      <c r="AE97" s="516"/>
      <c r="AF97" s="516"/>
      <c r="AG97" s="516"/>
      <c r="AH97" s="516"/>
      <c r="AI97" s="516"/>
      <c r="AJ97" s="516"/>
      <c r="AK97" s="516"/>
      <c r="AL97" s="516"/>
      <c r="AM97" s="383"/>
      <c r="AO97">
        <f ca="1">IF($A97="S",IF(BM!$I97=0,0,CHOOSE(MATCH(RegimeExecucao,{"Global","Unitário"},0),ROUND(ROUND(BM.MEDAcumulado,15-13*BM!$A$9)/100*BM!$I97,15-13*ORÇAMENTO!$AF$11),ROUND(ROUND(BM.MEDAcumulado,15-13*BM!$A$9)*ROUND(BM!$H97,15-13*ORÇAMENTO!$AF$10),15-13*ORÇAMENTO!$AF$11))),IF($A97=0,0,ROUND(SomaAgrupBM,15-13*ORÇAMENTO!$AF$11)))</f>
        <v>0</v>
      </c>
    </row>
    <row r="98" spans="1:41" ht="25.5" x14ac:dyDescent="0.2">
      <c r="A98" t="str">
        <f ca="1">ORÇAMENTO!C98</f>
        <v>S</v>
      </c>
      <c r="B98">
        <f ca="1">ORÇAMENTO!D98</f>
        <v>0</v>
      </c>
      <c r="C98" s="116" t="str">
        <f t="shared" ca="1" si="8"/>
        <v/>
      </c>
      <c r="D98" s="119" t="str">
        <f ca="1">ORÇAMENTO!O98</f>
        <v>-</v>
      </c>
      <c r="E98" s="172" t="str">
        <f t="shared" ca="1" si="9"/>
        <v>(abra o arquivo 'Referência 06-2024.xlsm)</v>
      </c>
      <c r="F98" s="173" t="str">
        <f ca="1">IF(RegimeExecucao="Global","",ORÇAMENTO.Unidade)</f>
        <v/>
      </c>
      <c r="G98" s="124" t="str">
        <f ca="1">IF(RegimeExecucao="Global","",ORÇAMENTO!T98)</f>
        <v/>
      </c>
      <c r="H98" s="124" t="str">
        <f ca="1">IF(RegimeExecucao="Global","",ORÇAMENTO!W98)</f>
        <v/>
      </c>
      <c r="I98" s="127">
        <f ca="1">ORÇAMENTO!X98</f>
        <v>0</v>
      </c>
      <c r="J98" s="378">
        <f ca="1">IF($A98="S",IF(CAIXA.Modo,BM.AFAnterior,BM.MEDAnterior),IF(AND(RegimeExecucao="Global",$I98&gt;0,COUNTIF($AB$13:$AM$13,BM.medicao-1)&gt;0),M98/$I98*100,0))</f>
        <v>0</v>
      </c>
      <c r="K98" s="124">
        <f t="shared" ca="1" si="10"/>
        <v>0</v>
      </c>
      <c r="L98" s="379">
        <f ca="1">IF($A98="S",IF(CAIXA.Modo,BM.AFAcumulado,BM.MEDAcumulado),IF(AND(RegimeExecucao="Global",$I98&gt;0,COUNTIF($AB$13:$AM$13,BM.medicao)&gt;0),O98/$I98*100,0))</f>
        <v>0</v>
      </c>
      <c r="M98" s="380">
        <f ca="1">IF($A98="S",VTOTALBM,IF($A98=0,0,ROUND(SomaAgrupBM,15-13*ORÇAMENTO!$AF$11)))</f>
        <v>0</v>
      </c>
      <c r="N98" s="381">
        <f t="shared" ca="1" si="11"/>
        <v>0</v>
      </c>
      <c r="O98" s="127">
        <f ca="1">IF($A98="S",VTOTALBM,IF($A98=0,0,ROUND(SomaAgrupBM,15-13*ORÇAMENTO!$AF$11)))</f>
        <v>0</v>
      </c>
      <c r="Q98" s="382"/>
      <c r="R98" s="383"/>
      <c r="T98" s="119" t="str">
        <f t="shared" ca="1" si="12"/>
        <v/>
      </c>
      <c r="U98" s="172" t="str">
        <f t="shared" ca="1" si="13"/>
        <v/>
      </c>
      <c r="V98" s="173" t="str">
        <f ca="1">IF(AND($W98&gt;0,RegimeExecucao="Unitário"),$F98,"")</f>
        <v/>
      </c>
      <c r="W98" s="547">
        <f ca="1">IF($Y98&gt;0,CHOOSE(MATCH(RegimeExecucao,{"Unitário","Global"},0),IF($A98="S",$Y98/$X98,""),($Y98/$X98)*100),0)</f>
        <v>0</v>
      </c>
      <c r="X98" s="384" t="str">
        <f ca="1">IF($Y98&gt;0,CHOOSE(MATCH(RegimeExecucao,{"Unitário","Global"},0),IF($A98="S",ROUND($H98,ORÇAMENTO!$AF$10),""),ROUND($I98,ORÇAMENTO!$AF$11)),"")</f>
        <v/>
      </c>
      <c r="Y98" s="384">
        <f t="shared" ca="1" si="14"/>
        <v>0</v>
      </c>
      <c r="Z98" s="572"/>
      <c r="AB98" s="382"/>
      <c r="AC98" s="516"/>
      <c r="AD98" s="516"/>
      <c r="AE98" s="516"/>
      <c r="AF98" s="516"/>
      <c r="AG98" s="516"/>
      <c r="AH98" s="516"/>
      <c r="AI98" s="516"/>
      <c r="AJ98" s="516"/>
      <c r="AK98" s="516"/>
      <c r="AL98" s="516"/>
      <c r="AM98" s="383"/>
      <c r="AO98">
        <f ca="1">IF($A98="S",IF(BM!$I98=0,0,CHOOSE(MATCH(RegimeExecucao,{"Global","Unitário"},0),ROUND(ROUND(BM.MEDAcumulado,15-13*BM!$A$9)/100*BM!$I98,15-13*ORÇAMENTO!$AF$11),ROUND(ROUND(BM.MEDAcumulado,15-13*BM!$A$9)*ROUND(BM!$H98,15-13*ORÇAMENTO!$AF$10),15-13*ORÇAMENTO!$AF$11))),IF($A98=0,0,ROUND(SomaAgrupBM,15-13*ORÇAMENTO!$AF$11)))</f>
        <v>0</v>
      </c>
    </row>
    <row r="99" spans="1:41" ht="25.5" x14ac:dyDescent="0.2">
      <c r="A99" t="str">
        <f ca="1">ORÇAMENTO!C99</f>
        <v>S</v>
      </c>
      <c r="B99">
        <f ca="1">ORÇAMENTO!D99</f>
        <v>0</v>
      </c>
      <c r="C99" s="116" t="str">
        <f t="shared" ca="1" si="8"/>
        <v/>
      </c>
      <c r="D99" s="119" t="str">
        <f ca="1">ORÇAMENTO!O99</f>
        <v>-</v>
      </c>
      <c r="E99" s="172" t="str">
        <f t="shared" ca="1" si="9"/>
        <v>(abra o arquivo 'Referência 06-2024.xlsm)</v>
      </c>
      <c r="F99" s="173" t="str">
        <f ca="1">IF(RegimeExecucao="Global","",ORÇAMENTO.Unidade)</f>
        <v/>
      </c>
      <c r="G99" s="124" t="str">
        <f ca="1">IF(RegimeExecucao="Global","",ORÇAMENTO!T99)</f>
        <v/>
      </c>
      <c r="H99" s="124" t="str">
        <f ca="1">IF(RegimeExecucao="Global","",ORÇAMENTO!W99)</f>
        <v/>
      </c>
      <c r="I99" s="127">
        <f ca="1">ORÇAMENTO!X99</f>
        <v>0</v>
      </c>
      <c r="J99" s="378">
        <f ca="1">IF($A99="S",IF(CAIXA.Modo,BM.AFAnterior,BM.MEDAnterior),IF(AND(RegimeExecucao="Global",$I99&gt;0,COUNTIF($AB$13:$AM$13,BM.medicao-1)&gt;0),M99/$I99*100,0))</f>
        <v>0</v>
      </c>
      <c r="K99" s="124">
        <f t="shared" ca="1" si="10"/>
        <v>0</v>
      </c>
      <c r="L99" s="379">
        <f ca="1">IF($A99="S",IF(CAIXA.Modo,BM.AFAcumulado,BM.MEDAcumulado),IF(AND(RegimeExecucao="Global",$I99&gt;0,COUNTIF($AB$13:$AM$13,BM.medicao)&gt;0),O99/$I99*100,0))</f>
        <v>0</v>
      </c>
      <c r="M99" s="380">
        <f ca="1">IF($A99="S",VTOTALBM,IF($A99=0,0,ROUND(SomaAgrupBM,15-13*ORÇAMENTO!$AF$11)))</f>
        <v>0</v>
      </c>
      <c r="N99" s="381">
        <f t="shared" ca="1" si="11"/>
        <v>0</v>
      </c>
      <c r="O99" s="127">
        <f ca="1">IF($A99="S",VTOTALBM,IF($A99=0,0,ROUND(SomaAgrupBM,15-13*ORÇAMENTO!$AF$11)))</f>
        <v>0</v>
      </c>
      <c r="Q99" s="382"/>
      <c r="R99" s="383"/>
      <c r="T99" s="119" t="str">
        <f t="shared" ca="1" si="12"/>
        <v/>
      </c>
      <c r="U99" s="172" t="str">
        <f t="shared" ca="1" si="13"/>
        <v/>
      </c>
      <c r="V99" s="173" t="str">
        <f ca="1">IF(AND($W99&gt;0,RegimeExecucao="Unitário"),$F99,"")</f>
        <v/>
      </c>
      <c r="W99" s="547">
        <f ca="1">IF($Y99&gt;0,CHOOSE(MATCH(RegimeExecucao,{"Unitário","Global"},0),IF($A99="S",$Y99/$X99,""),($Y99/$X99)*100),0)</f>
        <v>0</v>
      </c>
      <c r="X99" s="384" t="str">
        <f ca="1">IF($Y99&gt;0,CHOOSE(MATCH(RegimeExecucao,{"Unitário","Global"},0),IF($A99="S",ROUND($H99,ORÇAMENTO!$AF$10),""),ROUND($I99,ORÇAMENTO!$AF$11)),"")</f>
        <v/>
      </c>
      <c r="Y99" s="384">
        <f t="shared" ca="1" si="14"/>
        <v>0</v>
      </c>
      <c r="Z99" s="572"/>
      <c r="AB99" s="382"/>
      <c r="AC99" s="516"/>
      <c r="AD99" s="516"/>
      <c r="AE99" s="516"/>
      <c r="AF99" s="516"/>
      <c r="AG99" s="516"/>
      <c r="AH99" s="516"/>
      <c r="AI99" s="516"/>
      <c r="AJ99" s="516"/>
      <c r="AK99" s="516"/>
      <c r="AL99" s="516"/>
      <c r="AM99" s="383"/>
      <c r="AO99">
        <f ca="1">IF($A99="S",IF(BM!$I99=0,0,CHOOSE(MATCH(RegimeExecucao,{"Global","Unitário"},0),ROUND(ROUND(BM.MEDAcumulado,15-13*BM!$A$9)/100*BM!$I99,15-13*ORÇAMENTO!$AF$11),ROUND(ROUND(BM.MEDAcumulado,15-13*BM!$A$9)*ROUND(BM!$H99,15-13*ORÇAMENTO!$AF$10),15-13*ORÇAMENTO!$AF$11))),IF($A99=0,0,ROUND(SomaAgrupBM,15-13*ORÇAMENTO!$AF$11)))</f>
        <v>0</v>
      </c>
    </row>
    <row r="100" spans="1:41" ht="38.25" x14ac:dyDescent="0.2">
      <c r="A100" t="str">
        <f ca="1">ORÇAMENTO!C100</f>
        <v>S</v>
      </c>
      <c r="B100">
        <f ca="1">ORÇAMENTO!D100</f>
        <v>0</v>
      </c>
      <c r="C100" s="116" t="str">
        <f t="shared" ca="1" si="8"/>
        <v/>
      </c>
      <c r="D100" s="119" t="str">
        <f ca="1">ORÇAMENTO!O100</f>
        <v>-</v>
      </c>
      <c r="E100" s="172" t="str">
        <f t="shared" ca="1" si="9"/>
        <v>(abra o arquivo 'Referência 06-2024.xlsm)</v>
      </c>
      <c r="F100" s="173" t="str">
        <f ca="1">IF(RegimeExecucao="Global","",ORÇAMENTO.Unidade)</f>
        <v/>
      </c>
      <c r="G100" s="124" t="str">
        <f ca="1">IF(RegimeExecucao="Global","",ORÇAMENTO!T100)</f>
        <v/>
      </c>
      <c r="H100" s="124" t="str">
        <f ca="1">IF(RegimeExecucao="Global","",ORÇAMENTO!W100)</f>
        <v/>
      </c>
      <c r="I100" s="127">
        <f ca="1">ORÇAMENTO!X100</f>
        <v>0</v>
      </c>
      <c r="J100" s="378">
        <f ca="1">IF($A100="S",IF(CAIXA.Modo,BM.AFAnterior,BM.MEDAnterior),IF(AND(RegimeExecucao="Global",$I100&gt;0,COUNTIF($AB$13:$AM$13,BM.medicao-1)&gt;0),M100/$I100*100,0))</f>
        <v>0</v>
      </c>
      <c r="K100" s="124">
        <f t="shared" ca="1" si="10"/>
        <v>0</v>
      </c>
      <c r="L100" s="379">
        <f ca="1">IF($A100="S",IF(CAIXA.Modo,BM.AFAcumulado,BM.MEDAcumulado),IF(AND(RegimeExecucao="Global",$I100&gt;0,COUNTIF($AB$13:$AM$13,BM.medicao)&gt;0),O100/$I100*100,0))</f>
        <v>0</v>
      </c>
      <c r="M100" s="380">
        <f ca="1">IF($A100="S",VTOTALBM,IF($A100=0,0,ROUND(SomaAgrupBM,15-13*ORÇAMENTO!$AF$11)))</f>
        <v>0</v>
      </c>
      <c r="N100" s="381">
        <f t="shared" ca="1" si="11"/>
        <v>0</v>
      </c>
      <c r="O100" s="127">
        <f ca="1">IF($A100="S",VTOTALBM,IF($A100=0,0,ROUND(SomaAgrupBM,15-13*ORÇAMENTO!$AF$11)))</f>
        <v>0</v>
      </c>
      <c r="Q100" s="382"/>
      <c r="R100" s="383"/>
      <c r="T100" s="119" t="str">
        <f t="shared" ca="1" si="12"/>
        <v/>
      </c>
      <c r="U100" s="172" t="str">
        <f t="shared" ca="1" si="13"/>
        <v/>
      </c>
      <c r="V100" s="173" t="str">
        <f ca="1">IF(AND($W100&gt;0,RegimeExecucao="Unitário"),$F100,"")</f>
        <v/>
      </c>
      <c r="W100" s="547">
        <f ca="1">IF($Y100&gt;0,CHOOSE(MATCH(RegimeExecucao,{"Unitário","Global"},0),IF($A100="S",$Y100/$X100,""),($Y100/$X100)*100),0)</f>
        <v>0</v>
      </c>
      <c r="X100" s="384" t="str">
        <f ca="1">IF($Y100&gt;0,CHOOSE(MATCH(RegimeExecucao,{"Unitário","Global"},0),IF($A100="S",ROUND($H100,ORÇAMENTO!$AF$10),""),ROUND($I100,ORÇAMENTO!$AF$11)),"")</f>
        <v/>
      </c>
      <c r="Y100" s="384">
        <f t="shared" ca="1" si="14"/>
        <v>0</v>
      </c>
      <c r="Z100" s="572"/>
      <c r="AB100" s="382"/>
      <c r="AC100" s="516"/>
      <c r="AD100" s="516"/>
      <c r="AE100" s="516"/>
      <c r="AF100" s="516"/>
      <c r="AG100" s="516"/>
      <c r="AH100" s="516"/>
      <c r="AI100" s="516"/>
      <c r="AJ100" s="516"/>
      <c r="AK100" s="516"/>
      <c r="AL100" s="516"/>
      <c r="AM100" s="383"/>
      <c r="AO100">
        <f ca="1">IF($A100="S",IF(BM!$I100=0,0,CHOOSE(MATCH(RegimeExecucao,{"Global","Unitário"},0),ROUND(ROUND(BM.MEDAcumulado,15-13*BM!$A$9)/100*BM!$I100,15-13*ORÇAMENTO!$AF$11),ROUND(ROUND(BM.MEDAcumulado,15-13*BM!$A$9)*ROUND(BM!$H100,15-13*ORÇAMENTO!$AF$10),15-13*ORÇAMENTO!$AF$11))),IF($A100=0,0,ROUND(SomaAgrupBM,15-13*ORÇAMENTO!$AF$11)))</f>
        <v>0</v>
      </c>
    </row>
    <row r="101" spans="1:41" x14ac:dyDescent="0.2">
      <c r="A101">
        <f ca="1">ORÇAMENTO!C101</f>
        <v>2</v>
      </c>
      <c r="B101">
        <f ca="1">ORÇAMENTO!D101</f>
        <v>2</v>
      </c>
      <c r="C101" s="116" t="str">
        <f t="shared" ca="1" si="8"/>
        <v>F</v>
      </c>
      <c r="D101" s="119" t="str">
        <f ca="1">ORÇAMENTO!O101</f>
        <v>1.15.</v>
      </c>
      <c r="E101" s="172" t="str">
        <f t="shared" si="9"/>
        <v>SISTEMA DE VEDAÇÃO VERTICAL - ELEMENTOS VAZADOS</v>
      </c>
      <c r="F101" s="173" t="str">
        <f ca="1">IF(RegimeExecucao="Global","",ORÇAMENTO.Unidade)</f>
        <v/>
      </c>
      <c r="G101" s="124" t="str">
        <f ca="1">IF(RegimeExecucao="Global","",ORÇAMENTO!T101)</f>
        <v/>
      </c>
      <c r="H101" s="124" t="str">
        <f ca="1">IF(RegimeExecucao="Global","",ORÇAMENTO!W101)</f>
        <v/>
      </c>
      <c r="I101" s="127">
        <f ca="1">ORÇAMENTO!X101</f>
        <v>0</v>
      </c>
      <c r="J101" s="378">
        <f ca="1">IF($A101="S",IF(CAIXA.Modo,BM.AFAnterior,BM.MEDAnterior),IF(AND(RegimeExecucao="Global",$I101&gt;0,COUNTIF($AB$13:$AM$13,BM.medicao-1)&gt;0),M101/$I101*100,0))</f>
        <v>0</v>
      </c>
      <c r="K101" s="124">
        <f t="shared" ca="1" si="10"/>
        <v>0</v>
      </c>
      <c r="L101" s="379">
        <f ca="1">IF($A101="S",IF(CAIXA.Modo,BM.AFAcumulado,BM.MEDAcumulado),IF(AND(RegimeExecucao="Global",$I101&gt;0,COUNTIF($AB$13:$AM$13,BM.medicao)&gt;0),O101/$I101*100,0))</f>
        <v>0</v>
      </c>
      <c r="M101" s="380">
        <f ca="1">IF($A101="S",VTOTALBM,IF($A101=0,0,ROUND(SomaAgrupBM,15-13*ORÇAMENTO!$AF$11)))</f>
        <v>0</v>
      </c>
      <c r="N101" s="381">
        <f t="shared" ca="1" si="11"/>
        <v>0</v>
      </c>
      <c r="O101" s="127">
        <f ca="1">IF($A101="S",VTOTALBM,IF($A101=0,0,ROUND(SomaAgrupBM,15-13*ORÇAMENTO!$AF$11)))</f>
        <v>0</v>
      </c>
      <c r="Q101" s="382"/>
      <c r="R101" s="383"/>
      <c r="T101" s="119" t="str">
        <f t="shared" ca="1" si="12"/>
        <v/>
      </c>
      <c r="U101" s="172" t="str">
        <f t="shared" ca="1" si="13"/>
        <v/>
      </c>
      <c r="V101" s="173" t="str">
        <f ca="1">IF(AND($W101&gt;0,RegimeExecucao="Unitário"),$F101,"")</f>
        <v/>
      </c>
      <c r="W101" s="547">
        <f ca="1">IF($Y101&gt;0,CHOOSE(MATCH(RegimeExecucao,{"Unitário","Global"},0),IF($A101="S",$Y101/$X101,""),($Y101/$X101)*100),0)</f>
        <v>0</v>
      </c>
      <c r="X101" s="384" t="str">
        <f ca="1">IF($Y101&gt;0,CHOOSE(MATCH(RegimeExecucao,{"Unitário","Global"},0),IF($A101="S",ROUND($H101,ORÇAMENTO!$AF$10),""),ROUND($I101,ORÇAMENTO!$AF$11)),"")</f>
        <v/>
      </c>
      <c r="Y101" s="384">
        <f t="shared" ca="1" si="14"/>
        <v>0</v>
      </c>
      <c r="Z101" s="572"/>
      <c r="AB101" s="382"/>
      <c r="AC101" s="516"/>
      <c r="AD101" s="516"/>
      <c r="AE101" s="516"/>
      <c r="AF101" s="516"/>
      <c r="AG101" s="516"/>
      <c r="AH101" s="516"/>
      <c r="AI101" s="516"/>
      <c r="AJ101" s="516"/>
      <c r="AK101" s="516"/>
      <c r="AL101" s="516"/>
      <c r="AM101" s="383"/>
      <c r="AO101">
        <f ca="1">IF($A101="S",IF(BM!$I101=0,0,CHOOSE(MATCH(RegimeExecucao,{"Global","Unitário"},0),ROUND(ROUND(BM.MEDAcumulado,15-13*BM!$A$9)/100*BM!$I101,15-13*ORÇAMENTO!$AF$11),ROUND(ROUND(BM.MEDAcumulado,15-13*BM!$A$9)*ROUND(BM!$H101,15-13*ORÇAMENTO!$AF$10),15-13*ORÇAMENTO!$AF$11))),IF($A101=0,0,ROUND(SomaAgrupBM,15-13*ORÇAMENTO!$AF$11)))</f>
        <v>0</v>
      </c>
    </row>
    <row r="102" spans="1:41" ht="38.25" x14ac:dyDescent="0.2">
      <c r="A102" t="str">
        <f ca="1">ORÇAMENTO!C102</f>
        <v>S</v>
      </c>
      <c r="B102">
        <f ca="1">ORÇAMENTO!D102</f>
        <v>0</v>
      </c>
      <c r="C102" s="116" t="str">
        <f t="shared" ca="1" si="8"/>
        <v/>
      </c>
      <c r="D102" s="119" t="str">
        <f ca="1">ORÇAMENTO!O102</f>
        <v>-</v>
      </c>
      <c r="E102" s="172" t="str">
        <f t="shared" ca="1" si="9"/>
        <v>(abra o arquivo 'Referência 06-2024.xlsm)</v>
      </c>
      <c r="F102" s="173" t="str">
        <f ca="1">IF(RegimeExecucao="Global","",ORÇAMENTO.Unidade)</f>
        <v/>
      </c>
      <c r="G102" s="124" t="str">
        <f ca="1">IF(RegimeExecucao="Global","",ORÇAMENTO!T102)</f>
        <v/>
      </c>
      <c r="H102" s="124" t="str">
        <f ca="1">IF(RegimeExecucao="Global","",ORÇAMENTO!W102)</f>
        <v/>
      </c>
      <c r="I102" s="127">
        <f ca="1">ORÇAMENTO!X102</f>
        <v>0</v>
      </c>
      <c r="J102" s="378">
        <f ca="1">IF($A102="S",IF(CAIXA.Modo,BM.AFAnterior,BM.MEDAnterior),IF(AND(RegimeExecucao="Global",$I102&gt;0,COUNTIF($AB$13:$AM$13,BM.medicao-1)&gt;0),M102/$I102*100,0))</f>
        <v>0</v>
      </c>
      <c r="K102" s="124">
        <f t="shared" ca="1" si="10"/>
        <v>0</v>
      </c>
      <c r="L102" s="379">
        <f ca="1">IF($A102="S",IF(CAIXA.Modo,BM.AFAcumulado,BM.MEDAcumulado),IF(AND(RegimeExecucao="Global",$I102&gt;0,COUNTIF($AB$13:$AM$13,BM.medicao)&gt;0),O102/$I102*100,0))</f>
        <v>0</v>
      </c>
      <c r="M102" s="380">
        <f ca="1">IF($A102="S",VTOTALBM,IF($A102=0,0,ROUND(SomaAgrupBM,15-13*ORÇAMENTO!$AF$11)))</f>
        <v>0</v>
      </c>
      <c r="N102" s="381">
        <f t="shared" ca="1" si="11"/>
        <v>0</v>
      </c>
      <c r="O102" s="127">
        <f ca="1">IF($A102="S",VTOTALBM,IF($A102=0,0,ROUND(SomaAgrupBM,15-13*ORÇAMENTO!$AF$11)))</f>
        <v>0</v>
      </c>
      <c r="Q102" s="382"/>
      <c r="R102" s="383"/>
      <c r="T102" s="119" t="str">
        <f t="shared" ca="1" si="12"/>
        <v/>
      </c>
      <c r="U102" s="172" t="str">
        <f t="shared" ca="1" si="13"/>
        <v/>
      </c>
      <c r="V102" s="173" t="str">
        <f ca="1">IF(AND($W102&gt;0,RegimeExecucao="Unitário"),$F102,"")</f>
        <v/>
      </c>
      <c r="W102" s="547">
        <f ca="1">IF($Y102&gt;0,CHOOSE(MATCH(RegimeExecucao,{"Unitário","Global"},0),IF($A102="S",$Y102/$X102,""),($Y102/$X102)*100),0)</f>
        <v>0</v>
      </c>
      <c r="X102" s="384" t="str">
        <f ca="1">IF($Y102&gt;0,CHOOSE(MATCH(RegimeExecucao,{"Unitário","Global"},0),IF($A102="S",ROUND($H102,ORÇAMENTO!$AF$10),""),ROUND($I102,ORÇAMENTO!$AF$11)),"")</f>
        <v/>
      </c>
      <c r="Y102" s="384">
        <f t="shared" ca="1" si="14"/>
        <v>0</v>
      </c>
      <c r="Z102" s="572"/>
      <c r="AB102" s="382"/>
      <c r="AC102" s="516"/>
      <c r="AD102" s="516"/>
      <c r="AE102" s="516"/>
      <c r="AF102" s="516"/>
      <c r="AG102" s="516"/>
      <c r="AH102" s="516"/>
      <c r="AI102" s="516"/>
      <c r="AJ102" s="516"/>
      <c r="AK102" s="516"/>
      <c r="AL102" s="516"/>
      <c r="AM102" s="383"/>
      <c r="AO102">
        <f ca="1">IF($A102="S",IF(BM!$I102=0,0,CHOOSE(MATCH(RegimeExecucao,{"Global","Unitário"},0),ROUND(ROUND(BM.MEDAcumulado,15-13*BM!$A$9)/100*BM!$I102,15-13*ORÇAMENTO!$AF$11),ROUND(ROUND(BM.MEDAcumulado,15-13*BM!$A$9)*ROUND(BM!$H102,15-13*ORÇAMENTO!$AF$10),15-13*ORÇAMENTO!$AF$11))),IF($A102=0,0,ROUND(SomaAgrupBM,15-13*ORÇAMENTO!$AF$11)))</f>
        <v>0</v>
      </c>
    </row>
    <row r="103" spans="1:41" x14ac:dyDescent="0.2">
      <c r="A103">
        <f ca="1">ORÇAMENTO!C103</f>
        <v>2</v>
      </c>
      <c r="B103">
        <f ca="1">ORÇAMENTO!D103</f>
        <v>7</v>
      </c>
      <c r="C103" s="116" t="str">
        <f t="shared" ca="1" si="8"/>
        <v>F</v>
      </c>
      <c r="D103" s="119" t="str">
        <f ca="1">ORÇAMENTO!O103</f>
        <v>1.16.</v>
      </c>
      <c r="E103" s="172" t="str">
        <f t="shared" si="9"/>
        <v>SISTEMA DE VEDAÇÃO VERTICAL - ALVENARIA DE VEDAÇÃO</v>
      </c>
      <c r="F103" s="173" t="str">
        <f ca="1">IF(RegimeExecucao="Global","",ORÇAMENTO.Unidade)</f>
        <v/>
      </c>
      <c r="G103" s="124" t="str">
        <f ca="1">IF(RegimeExecucao="Global","",ORÇAMENTO!T103)</f>
        <v/>
      </c>
      <c r="H103" s="124" t="str">
        <f ca="1">IF(RegimeExecucao="Global","",ORÇAMENTO!W103)</f>
        <v/>
      </c>
      <c r="I103" s="127">
        <f ca="1">ORÇAMENTO!X103</f>
        <v>0</v>
      </c>
      <c r="J103" s="378">
        <f ca="1">IF($A103="S",IF(CAIXA.Modo,BM.AFAnterior,BM.MEDAnterior),IF(AND(RegimeExecucao="Global",$I103&gt;0,COUNTIF($AB$13:$AM$13,BM.medicao-1)&gt;0),M103/$I103*100,0))</f>
        <v>0</v>
      </c>
      <c r="K103" s="124">
        <f t="shared" ca="1" si="10"/>
        <v>0</v>
      </c>
      <c r="L103" s="379">
        <f ca="1">IF($A103="S",IF(CAIXA.Modo,BM.AFAcumulado,BM.MEDAcumulado),IF(AND(RegimeExecucao="Global",$I103&gt;0,COUNTIF($AB$13:$AM$13,BM.medicao)&gt;0),O103/$I103*100,0))</f>
        <v>0</v>
      </c>
      <c r="M103" s="380">
        <f ca="1">IF($A103="S",VTOTALBM,IF($A103=0,0,ROUND(SomaAgrupBM,15-13*ORÇAMENTO!$AF$11)))</f>
        <v>0</v>
      </c>
      <c r="N103" s="381">
        <f t="shared" ca="1" si="11"/>
        <v>0</v>
      </c>
      <c r="O103" s="127">
        <f ca="1">IF($A103="S",VTOTALBM,IF($A103=0,0,ROUND(SomaAgrupBM,15-13*ORÇAMENTO!$AF$11)))</f>
        <v>0</v>
      </c>
      <c r="Q103" s="382"/>
      <c r="R103" s="383"/>
      <c r="T103" s="119" t="str">
        <f t="shared" ca="1" si="12"/>
        <v/>
      </c>
      <c r="U103" s="172" t="str">
        <f t="shared" ca="1" si="13"/>
        <v/>
      </c>
      <c r="V103" s="173" t="str">
        <f ca="1">IF(AND($W103&gt;0,RegimeExecucao="Unitário"),$F103,"")</f>
        <v/>
      </c>
      <c r="W103" s="547">
        <f ca="1">IF($Y103&gt;0,CHOOSE(MATCH(RegimeExecucao,{"Unitário","Global"},0),IF($A103="S",$Y103/$X103,""),($Y103/$X103)*100),0)</f>
        <v>0</v>
      </c>
      <c r="X103" s="384" t="str">
        <f ca="1">IF($Y103&gt;0,CHOOSE(MATCH(RegimeExecucao,{"Unitário","Global"},0),IF($A103="S",ROUND($H103,ORÇAMENTO!$AF$10),""),ROUND($I103,ORÇAMENTO!$AF$11)),"")</f>
        <v/>
      </c>
      <c r="Y103" s="384">
        <f t="shared" ca="1" si="14"/>
        <v>0</v>
      </c>
      <c r="Z103" s="572"/>
      <c r="AB103" s="382"/>
      <c r="AC103" s="516"/>
      <c r="AD103" s="516"/>
      <c r="AE103" s="516"/>
      <c r="AF103" s="516"/>
      <c r="AG103" s="516"/>
      <c r="AH103" s="516"/>
      <c r="AI103" s="516"/>
      <c r="AJ103" s="516"/>
      <c r="AK103" s="516"/>
      <c r="AL103" s="516"/>
      <c r="AM103" s="383"/>
      <c r="AO103">
        <f ca="1">IF($A103="S",IF(BM!$I103=0,0,CHOOSE(MATCH(RegimeExecucao,{"Global","Unitário"},0),ROUND(ROUND(BM.MEDAcumulado,15-13*BM!$A$9)/100*BM!$I103,15-13*ORÇAMENTO!$AF$11),ROUND(ROUND(BM.MEDAcumulado,15-13*BM!$A$9)*ROUND(BM!$H103,15-13*ORÇAMENTO!$AF$10),15-13*ORÇAMENTO!$AF$11))),IF($A103=0,0,ROUND(SomaAgrupBM,15-13*ORÇAMENTO!$AF$11)))</f>
        <v>0</v>
      </c>
    </row>
    <row r="104" spans="1:41" ht="38.25" x14ac:dyDescent="0.2">
      <c r="A104" t="str">
        <f ca="1">ORÇAMENTO!C104</f>
        <v>S</v>
      </c>
      <c r="B104">
        <f ca="1">ORÇAMENTO!D104</f>
        <v>0</v>
      </c>
      <c r="C104" s="116" t="str">
        <f t="shared" ca="1" si="8"/>
        <v/>
      </c>
      <c r="D104" s="119" t="str">
        <f ca="1">ORÇAMENTO!O104</f>
        <v>-</v>
      </c>
      <c r="E104" s="172" t="str">
        <f t="shared" ca="1" si="9"/>
        <v>(abra o arquivo 'Referência 06-2024.xlsm)</v>
      </c>
      <c r="F104" s="173" t="str">
        <f ca="1">IF(RegimeExecucao="Global","",ORÇAMENTO.Unidade)</f>
        <v/>
      </c>
      <c r="G104" s="124" t="str">
        <f ca="1">IF(RegimeExecucao="Global","",ORÇAMENTO!T104)</f>
        <v/>
      </c>
      <c r="H104" s="124" t="str">
        <f ca="1">IF(RegimeExecucao="Global","",ORÇAMENTO!W104)</f>
        <v/>
      </c>
      <c r="I104" s="127">
        <f ca="1">ORÇAMENTO!X104</f>
        <v>0</v>
      </c>
      <c r="J104" s="378">
        <f ca="1">IF($A104="S",IF(CAIXA.Modo,BM.AFAnterior,BM.MEDAnterior),IF(AND(RegimeExecucao="Global",$I104&gt;0,COUNTIF($AB$13:$AM$13,BM.medicao-1)&gt;0),M104/$I104*100,0))</f>
        <v>0</v>
      </c>
      <c r="K104" s="124">
        <f t="shared" ca="1" si="10"/>
        <v>0</v>
      </c>
      <c r="L104" s="379">
        <f ca="1">IF($A104="S",IF(CAIXA.Modo,BM.AFAcumulado,BM.MEDAcumulado),IF(AND(RegimeExecucao="Global",$I104&gt;0,COUNTIF($AB$13:$AM$13,BM.medicao)&gt;0),O104/$I104*100,0))</f>
        <v>0</v>
      </c>
      <c r="M104" s="380">
        <f ca="1">IF($A104="S",VTOTALBM,IF($A104=0,0,ROUND(SomaAgrupBM,15-13*ORÇAMENTO!$AF$11)))</f>
        <v>0</v>
      </c>
      <c r="N104" s="381">
        <f t="shared" ca="1" si="11"/>
        <v>0</v>
      </c>
      <c r="O104" s="127">
        <f ca="1">IF($A104="S",VTOTALBM,IF($A104=0,0,ROUND(SomaAgrupBM,15-13*ORÇAMENTO!$AF$11)))</f>
        <v>0</v>
      </c>
      <c r="Q104" s="382"/>
      <c r="R104" s="383"/>
      <c r="T104" s="119" t="str">
        <f t="shared" ca="1" si="12"/>
        <v/>
      </c>
      <c r="U104" s="172" t="str">
        <f t="shared" ca="1" si="13"/>
        <v/>
      </c>
      <c r="V104" s="173" t="str">
        <f ca="1">IF(AND($W104&gt;0,RegimeExecucao="Unitário"),$F104,"")</f>
        <v/>
      </c>
      <c r="W104" s="547">
        <f ca="1">IF($Y104&gt;0,CHOOSE(MATCH(RegimeExecucao,{"Unitário","Global"},0),IF($A104="S",$Y104/$X104,""),($Y104/$X104)*100),0)</f>
        <v>0</v>
      </c>
      <c r="X104" s="384" t="str">
        <f ca="1">IF($Y104&gt;0,CHOOSE(MATCH(RegimeExecucao,{"Unitário","Global"},0),IF($A104="S",ROUND($H104,ORÇAMENTO!$AF$10),""),ROUND($I104,ORÇAMENTO!$AF$11)),"")</f>
        <v/>
      </c>
      <c r="Y104" s="384">
        <f t="shared" ca="1" si="14"/>
        <v>0</v>
      </c>
      <c r="Z104" s="572"/>
      <c r="AB104" s="382"/>
      <c r="AC104" s="516"/>
      <c r="AD104" s="516"/>
      <c r="AE104" s="516"/>
      <c r="AF104" s="516"/>
      <c r="AG104" s="516"/>
      <c r="AH104" s="516"/>
      <c r="AI104" s="516"/>
      <c r="AJ104" s="516"/>
      <c r="AK104" s="516"/>
      <c r="AL104" s="516"/>
      <c r="AM104" s="383"/>
      <c r="AO104">
        <f ca="1">IF($A104="S",IF(BM!$I104=0,0,CHOOSE(MATCH(RegimeExecucao,{"Global","Unitário"},0),ROUND(ROUND(BM.MEDAcumulado,15-13*BM!$A$9)/100*BM!$I104,15-13*ORÇAMENTO!$AF$11),ROUND(ROUND(BM.MEDAcumulado,15-13*BM!$A$9)*ROUND(BM!$H104,15-13*ORÇAMENTO!$AF$10),15-13*ORÇAMENTO!$AF$11))),IF($A104=0,0,ROUND(SomaAgrupBM,15-13*ORÇAMENTO!$AF$11)))</f>
        <v>0</v>
      </c>
    </row>
    <row r="105" spans="1:41" ht="38.25" x14ac:dyDescent="0.2">
      <c r="A105" t="str">
        <f ca="1">ORÇAMENTO!C105</f>
        <v>S</v>
      </c>
      <c r="B105">
        <f ca="1">ORÇAMENTO!D105</f>
        <v>0</v>
      </c>
      <c r="C105" s="116" t="str">
        <f t="shared" ca="1" si="8"/>
        <v/>
      </c>
      <c r="D105" s="119" t="str">
        <f ca="1">ORÇAMENTO!O105</f>
        <v>-</v>
      </c>
      <c r="E105" s="172" t="str">
        <f t="shared" ca="1" si="9"/>
        <v>(abra o arquivo 'Referência 06-2024.xlsm)</v>
      </c>
      <c r="F105" s="173" t="str">
        <f ca="1">IF(RegimeExecucao="Global","",ORÇAMENTO.Unidade)</f>
        <v/>
      </c>
      <c r="G105" s="124" t="str">
        <f ca="1">IF(RegimeExecucao="Global","",ORÇAMENTO!T105)</f>
        <v/>
      </c>
      <c r="H105" s="124" t="str">
        <f ca="1">IF(RegimeExecucao="Global","",ORÇAMENTO!W105)</f>
        <v/>
      </c>
      <c r="I105" s="127">
        <f ca="1">ORÇAMENTO!X105</f>
        <v>0</v>
      </c>
      <c r="J105" s="378">
        <f ca="1">IF($A105="S",IF(CAIXA.Modo,BM.AFAnterior,BM.MEDAnterior),IF(AND(RegimeExecucao="Global",$I105&gt;0,COUNTIF($AB$13:$AM$13,BM.medicao-1)&gt;0),M105/$I105*100,0))</f>
        <v>0</v>
      </c>
      <c r="K105" s="124">
        <f t="shared" ca="1" si="10"/>
        <v>0</v>
      </c>
      <c r="L105" s="379">
        <f ca="1">IF($A105="S",IF(CAIXA.Modo,BM.AFAcumulado,BM.MEDAcumulado),IF(AND(RegimeExecucao="Global",$I105&gt;0,COUNTIF($AB$13:$AM$13,BM.medicao)&gt;0),O105/$I105*100,0))</f>
        <v>0</v>
      </c>
      <c r="M105" s="380">
        <f ca="1">IF($A105="S",VTOTALBM,IF($A105=0,0,ROUND(SomaAgrupBM,15-13*ORÇAMENTO!$AF$11)))</f>
        <v>0</v>
      </c>
      <c r="N105" s="381">
        <f t="shared" ca="1" si="11"/>
        <v>0</v>
      </c>
      <c r="O105" s="127">
        <f ca="1">IF($A105="S",VTOTALBM,IF($A105=0,0,ROUND(SomaAgrupBM,15-13*ORÇAMENTO!$AF$11)))</f>
        <v>0</v>
      </c>
      <c r="Q105" s="382"/>
      <c r="R105" s="383"/>
      <c r="T105" s="119" t="str">
        <f t="shared" ca="1" si="12"/>
        <v/>
      </c>
      <c r="U105" s="172" t="str">
        <f t="shared" ca="1" si="13"/>
        <v/>
      </c>
      <c r="V105" s="173" t="str">
        <f ca="1">IF(AND($W105&gt;0,RegimeExecucao="Unitário"),$F105,"")</f>
        <v/>
      </c>
      <c r="W105" s="547">
        <f ca="1">IF($Y105&gt;0,CHOOSE(MATCH(RegimeExecucao,{"Unitário","Global"},0),IF($A105="S",$Y105/$X105,""),($Y105/$X105)*100),0)</f>
        <v>0</v>
      </c>
      <c r="X105" s="384" t="str">
        <f ca="1">IF($Y105&gt;0,CHOOSE(MATCH(RegimeExecucao,{"Unitário","Global"},0),IF($A105="S",ROUND($H105,ORÇAMENTO!$AF$10),""),ROUND($I105,ORÇAMENTO!$AF$11)),"")</f>
        <v/>
      </c>
      <c r="Y105" s="384">
        <f t="shared" ca="1" si="14"/>
        <v>0</v>
      </c>
      <c r="Z105" s="572"/>
      <c r="AB105" s="382"/>
      <c r="AC105" s="516"/>
      <c r="AD105" s="516"/>
      <c r="AE105" s="516"/>
      <c r="AF105" s="516"/>
      <c r="AG105" s="516"/>
      <c r="AH105" s="516"/>
      <c r="AI105" s="516"/>
      <c r="AJ105" s="516"/>
      <c r="AK105" s="516"/>
      <c r="AL105" s="516"/>
      <c r="AM105" s="383"/>
      <c r="AO105">
        <f ca="1">IF($A105="S",IF(BM!$I105=0,0,CHOOSE(MATCH(RegimeExecucao,{"Global","Unitário"},0),ROUND(ROUND(BM.MEDAcumulado,15-13*BM!$A$9)/100*BM!$I105,15-13*ORÇAMENTO!$AF$11),ROUND(ROUND(BM.MEDAcumulado,15-13*BM!$A$9)*ROUND(BM!$H105,15-13*ORÇAMENTO!$AF$10),15-13*ORÇAMENTO!$AF$11))),IF($A105=0,0,ROUND(SomaAgrupBM,15-13*ORÇAMENTO!$AF$11)))</f>
        <v>0</v>
      </c>
    </row>
    <row r="106" spans="1:41" ht="38.25" x14ac:dyDescent="0.2">
      <c r="A106" t="str">
        <f ca="1">ORÇAMENTO!C106</f>
        <v>S</v>
      </c>
      <c r="B106">
        <f ca="1">ORÇAMENTO!D106</f>
        <v>0</v>
      </c>
      <c r="C106" s="116" t="str">
        <f t="shared" ca="1" si="8"/>
        <v/>
      </c>
      <c r="D106" s="119" t="str">
        <f ca="1">ORÇAMENTO!O106</f>
        <v>-</v>
      </c>
      <c r="E106" s="172" t="str">
        <f t="shared" ca="1" si="9"/>
        <v>(abra o arquivo 'Referência 06-2024.xlsm)</v>
      </c>
      <c r="F106" s="173" t="str">
        <f ca="1">IF(RegimeExecucao="Global","",ORÇAMENTO.Unidade)</f>
        <v/>
      </c>
      <c r="G106" s="124" t="str">
        <f ca="1">IF(RegimeExecucao="Global","",ORÇAMENTO!T106)</f>
        <v/>
      </c>
      <c r="H106" s="124" t="str">
        <f ca="1">IF(RegimeExecucao="Global","",ORÇAMENTO!W106)</f>
        <v/>
      </c>
      <c r="I106" s="127">
        <f ca="1">ORÇAMENTO!X106</f>
        <v>0</v>
      </c>
      <c r="J106" s="378">
        <f ca="1">IF($A106="S",IF(CAIXA.Modo,BM.AFAnterior,BM.MEDAnterior),IF(AND(RegimeExecucao="Global",$I106&gt;0,COUNTIF($AB$13:$AM$13,BM.medicao-1)&gt;0),M106/$I106*100,0))</f>
        <v>0</v>
      </c>
      <c r="K106" s="124">
        <f t="shared" ca="1" si="10"/>
        <v>0</v>
      </c>
      <c r="L106" s="379">
        <f ca="1">IF($A106="S",IF(CAIXA.Modo,BM.AFAcumulado,BM.MEDAcumulado),IF(AND(RegimeExecucao="Global",$I106&gt;0,COUNTIF($AB$13:$AM$13,BM.medicao)&gt;0),O106/$I106*100,0))</f>
        <v>0</v>
      </c>
      <c r="M106" s="380">
        <f ca="1">IF($A106="S",VTOTALBM,IF($A106=0,0,ROUND(SomaAgrupBM,15-13*ORÇAMENTO!$AF$11)))</f>
        <v>0</v>
      </c>
      <c r="N106" s="381">
        <f t="shared" ca="1" si="11"/>
        <v>0</v>
      </c>
      <c r="O106" s="127">
        <f ca="1">IF($A106="S",VTOTALBM,IF($A106=0,0,ROUND(SomaAgrupBM,15-13*ORÇAMENTO!$AF$11)))</f>
        <v>0</v>
      </c>
      <c r="Q106" s="382"/>
      <c r="R106" s="383"/>
      <c r="T106" s="119" t="str">
        <f t="shared" ca="1" si="12"/>
        <v/>
      </c>
      <c r="U106" s="172" t="str">
        <f t="shared" ca="1" si="13"/>
        <v/>
      </c>
      <c r="V106" s="173" t="str">
        <f ca="1">IF(AND($W106&gt;0,RegimeExecucao="Unitário"),$F106,"")</f>
        <v/>
      </c>
      <c r="W106" s="547">
        <f ca="1">IF($Y106&gt;0,CHOOSE(MATCH(RegimeExecucao,{"Unitário","Global"},0),IF($A106="S",$Y106/$X106,""),($Y106/$X106)*100),0)</f>
        <v>0</v>
      </c>
      <c r="X106" s="384" t="str">
        <f ca="1">IF($Y106&gt;0,CHOOSE(MATCH(RegimeExecucao,{"Unitário","Global"},0),IF($A106="S",ROUND($H106,ORÇAMENTO!$AF$10),""),ROUND($I106,ORÇAMENTO!$AF$11)),"")</f>
        <v/>
      </c>
      <c r="Y106" s="384">
        <f t="shared" ca="1" si="14"/>
        <v>0</v>
      </c>
      <c r="Z106" s="572"/>
      <c r="AB106" s="382"/>
      <c r="AC106" s="516"/>
      <c r="AD106" s="516"/>
      <c r="AE106" s="516"/>
      <c r="AF106" s="516"/>
      <c r="AG106" s="516"/>
      <c r="AH106" s="516"/>
      <c r="AI106" s="516"/>
      <c r="AJ106" s="516"/>
      <c r="AK106" s="516"/>
      <c r="AL106" s="516"/>
      <c r="AM106" s="383"/>
      <c r="AO106">
        <f ca="1">IF($A106="S",IF(BM!$I106=0,0,CHOOSE(MATCH(RegimeExecucao,{"Global","Unitário"},0),ROUND(ROUND(BM.MEDAcumulado,15-13*BM!$A$9)/100*BM!$I106,15-13*ORÇAMENTO!$AF$11),ROUND(ROUND(BM.MEDAcumulado,15-13*BM!$A$9)*ROUND(BM!$H106,15-13*ORÇAMENTO!$AF$10),15-13*ORÇAMENTO!$AF$11))),IF($A106=0,0,ROUND(SomaAgrupBM,15-13*ORÇAMENTO!$AF$11)))</f>
        <v>0</v>
      </c>
    </row>
    <row r="107" spans="1:41" ht="25.5" x14ac:dyDescent="0.2">
      <c r="A107" t="str">
        <f ca="1">ORÇAMENTO!C107</f>
        <v>S</v>
      </c>
      <c r="B107">
        <f ca="1">ORÇAMENTO!D107</f>
        <v>0</v>
      </c>
      <c r="C107" s="116" t="str">
        <f t="shared" ca="1" si="8"/>
        <v/>
      </c>
      <c r="D107" s="119" t="str">
        <f ca="1">ORÇAMENTO!O107</f>
        <v>-</v>
      </c>
      <c r="E107" s="172" t="str">
        <f t="shared" ca="1" si="9"/>
        <v>(abra o arquivo 'Referência 06-2024.xlsm)</v>
      </c>
      <c r="F107" s="173" t="str">
        <f ca="1">IF(RegimeExecucao="Global","",ORÇAMENTO.Unidade)</f>
        <v/>
      </c>
      <c r="G107" s="124" t="str">
        <f ca="1">IF(RegimeExecucao="Global","",ORÇAMENTO!T107)</f>
        <v/>
      </c>
      <c r="H107" s="124" t="str">
        <f ca="1">IF(RegimeExecucao="Global","",ORÇAMENTO!W107)</f>
        <v/>
      </c>
      <c r="I107" s="127">
        <f ca="1">ORÇAMENTO!X107</f>
        <v>0</v>
      </c>
      <c r="J107" s="378">
        <f ca="1">IF($A107="S",IF(CAIXA.Modo,BM.AFAnterior,BM.MEDAnterior),IF(AND(RegimeExecucao="Global",$I107&gt;0,COUNTIF($AB$13:$AM$13,BM.medicao-1)&gt;0),M107/$I107*100,0))</f>
        <v>0</v>
      </c>
      <c r="K107" s="124">
        <f t="shared" ca="1" si="10"/>
        <v>0</v>
      </c>
      <c r="L107" s="379">
        <f ca="1">IF($A107="S",IF(CAIXA.Modo,BM.AFAcumulado,BM.MEDAcumulado),IF(AND(RegimeExecucao="Global",$I107&gt;0,COUNTIF($AB$13:$AM$13,BM.medicao)&gt;0),O107/$I107*100,0))</f>
        <v>0</v>
      </c>
      <c r="M107" s="380">
        <f ca="1">IF($A107="S",VTOTALBM,IF($A107=0,0,ROUND(SomaAgrupBM,15-13*ORÇAMENTO!$AF$11)))</f>
        <v>0</v>
      </c>
      <c r="N107" s="381">
        <f t="shared" ca="1" si="11"/>
        <v>0</v>
      </c>
      <c r="O107" s="127">
        <f ca="1">IF($A107="S",VTOTALBM,IF($A107=0,0,ROUND(SomaAgrupBM,15-13*ORÇAMENTO!$AF$11)))</f>
        <v>0</v>
      </c>
      <c r="Q107" s="382"/>
      <c r="R107" s="383"/>
      <c r="T107" s="119" t="str">
        <f t="shared" ca="1" si="12"/>
        <v/>
      </c>
      <c r="U107" s="172" t="str">
        <f t="shared" ca="1" si="13"/>
        <v/>
      </c>
      <c r="V107" s="173" t="str">
        <f ca="1">IF(AND($W107&gt;0,RegimeExecucao="Unitário"),$F107,"")</f>
        <v/>
      </c>
      <c r="W107" s="547">
        <f ca="1">IF($Y107&gt;0,CHOOSE(MATCH(RegimeExecucao,{"Unitário","Global"},0),IF($A107="S",$Y107/$X107,""),($Y107/$X107)*100),0)</f>
        <v>0</v>
      </c>
      <c r="X107" s="384" t="str">
        <f ca="1">IF($Y107&gt;0,CHOOSE(MATCH(RegimeExecucao,{"Unitário","Global"},0),IF($A107="S",ROUND($H107,ORÇAMENTO!$AF$10),""),ROUND($I107,ORÇAMENTO!$AF$11)),"")</f>
        <v/>
      </c>
      <c r="Y107" s="384">
        <f t="shared" ca="1" si="14"/>
        <v>0</v>
      </c>
      <c r="Z107" s="572"/>
      <c r="AB107" s="382"/>
      <c r="AC107" s="516"/>
      <c r="AD107" s="516"/>
      <c r="AE107" s="516"/>
      <c r="AF107" s="516"/>
      <c r="AG107" s="516"/>
      <c r="AH107" s="516"/>
      <c r="AI107" s="516"/>
      <c r="AJ107" s="516"/>
      <c r="AK107" s="516"/>
      <c r="AL107" s="516"/>
      <c r="AM107" s="383"/>
      <c r="AO107">
        <f ca="1">IF($A107="S",IF(BM!$I107=0,0,CHOOSE(MATCH(RegimeExecucao,{"Global","Unitário"},0),ROUND(ROUND(BM.MEDAcumulado,15-13*BM!$A$9)/100*BM!$I107,15-13*ORÇAMENTO!$AF$11),ROUND(ROUND(BM.MEDAcumulado,15-13*BM!$A$9)*ROUND(BM!$H107,15-13*ORÇAMENTO!$AF$10),15-13*ORÇAMENTO!$AF$11))),IF($A107=0,0,ROUND(SomaAgrupBM,15-13*ORÇAMENTO!$AF$11)))</f>
        <v>0</v>
      </c>
    </row>
    <row r="108" spans="1:41" ht="38.25" x14ac:dyDescent="0.2">
      <c r="A108" t="str">
        <f ca="1">ORÇAMENTO!C108</f>
        <v>S</v>
      </c>
      <c r="B108">
        <f ca="1">ORÇAMENTO!D108</f>
        <v>0</v>
      </c>
      <c r="C108" s="116" t="str">
        <f t="shared" ca="1" si="8"/>
        <v/>
      </c>
      <c r="D108" s="119" t="str">
        <f ca="1">ORÇAMENTO!O108</f>
        <v>-</v>
      </c>
      <c r="E108" s="172" t="str">
        <f t="shared" ca="1" si="9"/>
        <v>(abra o arquivo 'Referência 06-2024.xlsm)</v>
      </c>
      <c r="F108" s="173" t="str">
        <f ca="1">IF(RegimeExecucao="Global","",ORÇAMENTO.Unidade)</f>
        <v/>
      </c>
      <c r="G108" s="124" t="str">
        <f ca="1">IF(RegimeExecucao="Global","",ORÇAMENTO!T108)</f>
        <v/>
      </c>
      <c r="H108" s="124" t="str">
        <f ca="1">IF(RegimeExecucao="Global","",ORÇAMENTO!W108)</f>
        <v/>
      </c>
      <c r="I108" s="127">
        <f ca="1">ORÇAMENTO!X108</f>
        <v>0</v>
      </c>
      <c r="J108" s="378">
        <f ca="1">IF($A108="S",IF(CAIXA.Modo,BM.AFAnterior,BM.MEDAnterior),IF(AND(RegimeExecucao="Global",$I108&gt;0,COUNTIF($AB$13:$AM$13,BM.medicao-1)&gt;0),M108/$I108*100,0))</f>
        <v>0</v>
      </c>
      <c r="K108" s="124">
        <f t="shared" ca="1" si="10"/>
        <v>0</v>
      </c>
      <c r="L108" s="379">
        <f ca="1">IF($A108="S",IF(CAIXA.Modo,BM.AFAcumulado,BM.MEDAcumulado),IF(AND(RegimeExecucao="Global",$I108&gt;0,COUNTIF($AB$13:$AM$13,BM.medicao)&gt;0),O108/$I108*100,0))</f>
        <v>0</v>
      </c>
      <c r="M108" s="380">
        <f ca="1">IF($A108="S",VTOTALBM,IF($A108=0,0,ROUND(SomaAgrupBM,15-13*ORÇAMENTO!$AF$11)))</f>
        <v>0</v>
      </c>
      <c r="N108" s="381">
        <f t="shared" ca="1" si="11"/>
        <v>0</v>
      </c>
      <c r="O108" s="127">
        <f ca="1">IF($A108="S",VTOTALBM,IF($A108=0,0,ROUND(SomaAgrupBM,15-13*ORÇAMENTO!$AF$11)))</f>
        <v>0</v>
      </c>
      <c r="Q108" s="382"/>
      <c r="R108" s="383"/>
      <c r="T108" s="119" t="str">
        <f t="shared" ca="1" si="12"/>
        <v/>
      </c>
      <c r="U108" s="172" t="str">
        <f t="shared" ca="1" si="13"/>
        <v/>
      </c>
      <c r="V108" s="173" t="str">
        <f ca="1">IF(AND($W108&gt;0,RegimeExecucao="Unitário"),$F108,"")</f>
        <v/>
      </c>
      <c r="W108" s="547">
        <f ca="1">IF($Y108&gt;0,CHOOSE(MATCH(RegimeExecucao,{"Unitário","Global"},0),IF($A108="S",$Y108/$X108,""),($Y108/$X108)*100),0)</f>
        <v>0</v>
      </c>
      <c r="X108" s="384" t="str">
        <f ca="1">IF($Y108&gt;0,CHOOSE(MATCH(RegimeExecucao,{"Unitário","Global"},0),IF($A108="S",ROUND($H108,ORÇAMENTO!$AF$10),""),ROUND($I108,ORÇAMENTO!$AF$11)),"")</f>
        <v/>
      </c>
      <c r="Y108" s="384">
        <f t="shared" ca="1" si="14"/>
        <v>0</v>
      </c>
      <c r="Z108" s="572"/>
      <c r="AB108" s="382"/>
      <c r="AC108" s="516"/>
      <c r="AD108" s="516"/>
      <c r="AE108" s="516"/>
      <c r="AF108" s="516"/>
      <c r="AG108" s="516"/>
      <c r="AH108" s="516"/>
      <c r="AI108" s="516"/>
      <c r="AJ108" s="516"/>
      <c r="AK108" s="516"/>
      <c r="AL108" s="516"/>
      <c r="AM108" s="383"/>
      <c r="AO108">
        <f ca="1">IF($A108="S",IF(BM!$I108=0,0,CHOOSE(MATCH(RegimeExecucao,{"Global","Unitário"},0),ROUND(ROUND(BM.MEDAcumulado,15-13*BM!$A$9)/100*BM!$I108,15-13*ORÇAMENTO!$AF$11),ROUND(ROUND(BM.MEDAcumulado,15-13*BM!$A$9)*ROUND(BM!$H108,15-13*ORÇAMENTO!$AF$10),15-13*ORÇAMENTO!$AF$11))),IF($A108=0,0,ROUND(SomaAgrupBM,15-13*ORÇAMENTO!$AF$11)))</f>
        <v>0</v>
      </c>
    </row>
    <row r="109" spans="1:41" ht="38.25" x14ac:dyDescent="0.2">
      <c r="A109" t="str">
        <f ca="1">ORÇAMENTO!C109</f>
        <v>S</v>
      </c>
      <c r="B109">
        <f ca="1">ORÇAMENTO!D109</f>
        <v>0</v>
      </c>
      <c r="C109" s="116" t="str">
        <f t="shared" ca="1" si="8"/>
        <v/>
      </c>
      <c r="D109" s="119" t="str">
        <f ca="1">ORÇAMENTO!O109</f>
        <v>-</v>
      </c>
      <c r="E109" s="172" t="str">
        <f t="shared" ca="1" si="9"/>
        <v>(abra o arquivo 'Referência 06-2024.xlsm)</v>
      </c>
      <c r="F109" s="173" t="str">
        <f ca="1">IF(RegimeExecucao="Global","",ORÇAMENTO.Unidade)</f>
        <v/>
      </c>
      <c r="G109" s="124" t="str">
        <f ca="1">IF(RegimeExecucao="Global","",ORÇAMENTO!T109)</f>
        <v/>
      </c>
      <c r="H109" s="124" t="str">
        <f ca="1">IF(RegimeExecucao="Global","",ORÇAMENTO!W109)</f>
        <v/>
      </c>
      <c r="I109" s="127">
        <f ca="1">ORÇAMENTO!X109</f>
        <v>0</v>
      </c>
      <c r="J109" s="378">
        <f ca="1">IF($A109="S",IF(CAIXA.Modo,BM.AFAnterior,BM.MEDAnterior),IF(AND(RegimeExecucao="Global",$I109&gt;0,COUNTIF($AB$13:$AM$13,BM.medicao-1)&gt;0),M109/$I109*100,0))</f>
        <v>0</v>
      </c>
      <c r="K109" s="124">
        <f t="shared" ca="1" si="10"/>
        <v>0</v>
      </c>
      <c r="L109" s="379">
        <f ca="1">IF($A109="S",IF(CAIXA.Modo,BM.AFAcumulado,BM.MEDAcumulado),IF(AND(RegimeExecucao="Global",$I109&gt;0,COUNTIF($AB$13:$AM$13,BM.medicao)&gt;0),O109/$I109*100,0))</f>
        <v>0</v>
      </c>
      <c r="M109" s="380">
        <f ca="1">IF($A109="S",VTOTALBM,IF($A109=0,0,ROUND(SomaAgrupBM,15-13*ORÇAMENTO!$AF$11)))</f>
        <v>0</v>
      </c>
      <c r="N109" s="381">
        <f t="shared" ca="1" si="11"/>
        <v>0</v>
      </c>
      <c r="O109" s="127">
        <f ca="1">IF($A109="S",VTOTALBM,IF($A109=0,0,ROUND(SomaAgrupBM,15-13*ORÇAMENTO!$AF$11)))</f>
        <v>0</v>
      </c>
      <c r="Q109" s="382"/>
      <c r="R109" s="383"/>
      <c r="T109" s="119" t="str">
        <f t="shared" ca="1" si="12"/>
        <v/>
      </c>
      <c r="U109" s="172" t="str">
        <f t="shared" ca="1" si="13"/>
        <v/>
      </c>
      <c r="V109" s="173" t="str">
        <f ca="1">IF(AND($W109&gt;0,RegimeExecucao="Unitário"),$F109,"")</f>
        <v/>
      </c>
      <c r="W109" s="547">
        <f ca="1">IF($Y109&gt;0,CHOOSE(MATCH(RegimeExecucao,{"Unitário","Global"},0),IF($A109="S",$Y109/$X109,""),($Y109/$X109)*100),0)</f>
        <v>0</v>
      </c>
      <c r="X109" s="384" t="str">
        <f ca="1">IF($Y109&gt;0,CHOOSE(MATCH(RegimeExecucao,{"Unitário","Global"},0),IF($A109="S",ROUND($H109,ORÇAMENTO!$AF$10),""),ROUND($I109,ORÇAMENTO!$AF$11)),"")</f>
        <v/>
      </c>
      <c r="Y109" s="384">
        <f t="shared" ca="1" si="14"/>
        <v>0</v>
      </c>
      <c r="Z109" s="572"/>
      <c r="AB109" s="382"/>
      <c r="AC109" s="516"/>
      <c r="AD109" s="516"/>
      <c r="AE109" s="516"/>
      <c r="AF109" s="516"/>
      <c r="AG109" s="516"/>
      <c r="AH109" s="516"/>
      <c r="AI109" s="516"/>
      <c r="AJ109" s="516"/>
      <c r="AK109" s="516"/>
      <c r="AL109" s="516"/>
      <c r="AM109" s="383"/>
      <c r="AO109">
        <f ca="1">IF($A109="S",IF(BM!$I109=0,0,CHOOSE(MATCH(RegimeExecucao,{"Global","Unitário"},0),ROUND(ROUND(BM.MEDAcumulado,15-13*BM!$A$9)/100*BM!$I109,15-13*ORÇAMENTO!$AF$11),ROUND(ROUND(BM.MEDAcumulado,15-13*BM!$A$9)*ROUND(BM!$H109,15-13*ORÇAMENTO!$AF$10),15-13*ORÇAMENTO!$AF$11))),IF($A109=0,0,ROUND(SomaAgrupBM,15-13*ORÇAMENTO!$AF$11)))</f>
        <v>0</v>
      </c>
    </row>
    <row r="110" spans="1:41" x14ac:dyDescent="0.2">
      <c r="A110">
        <f ca="1">ORÇAMENTO!C110</f>
        <v>2</v>
      </c>
      <c r="B110">
        <f ca="1">ORÇAMENTO!D110</f>
        <v>4</v>
      </c>
      <c r="C110" s="116" t="str">
        <f t="shared" ca="1" si="8"/>
        <v>F</v>
      </c>
      <c r="D110" s="119" t="str">
        <f ca="1">ORÇAMENTO!O110</f>
        <v>1.17.</v>
      </c>
      <c r="E110" s="172" t="str">
        <f t="shared" si="9"/>
        <v>SISTEMA DE VEDAÇÃO VERTICAL - DIVISÓRIAS</v>
      </c>
      <c r="F110" s="173" t="str">
        <f ca="1">IF(RegimeExecucao="Global","",ORÇAMENTO.Unidade)</f>
        <v/>
      </c>
      <c r="G110" s="124" t="str">
        <f ca="1">IF(RegimeExecucao="Global","",ORÇAMENTO!T110)</f>
        <v/>
      </c>
      <c r="H110" s="124" t="str">
        <f ca="1">IF(RegimeExecucao="Global","",ORÇAMENTO!W110)</f>
        <v/>
      </c>
      <c r="I110" s="127">
        <f ca="1">ORÇAMENTO!X110</f>
        <v>0</v>
      </c>
      <c r="J110" s="378">
        <f ca="1">IF($A110="S",IF(CAIXA.Modo,BM.AFAnterior,BM.MEDAnterior),IF(AND(RegimeExecucao="Global",$I110&gt;0,COUNTIF($AB$13:$AM$13,BM.medicao-1)&gt;0),M110/$I110*100,0))</f>
        <v>0</v>
      </c>
      <c r="K110" s="124">
        <f t="shared" ca="1" si="10"/>
        <v>0</v>
      </c>
      <c r="L110" s="379">
        <f ca="1">IF($A110="S",IF(CAIXA.Modo,BM.AFAcumulado,BM.MEDAcumulado),IF(AND(RegimeExecucao="Global",$I110&gt;0,COUNTIF($AB$13:$AM$13,BM.medicao)&gt;0),O110/$I110*100,0))</f>
        <v>0</v>
      </c>
      <c r="M110" s="380">
        <f ca="1">IF($A110="S",VTOTALBM,IF($A110=0,0,ROUND(SomaAgrupBM,15-13*ORÇAMENTO!$AF$11)))</f>
        <v>0</v>
      </c>
      <c r="N110" s="381">
        <f t="shared" ca="1" si="11"/>
        <v>0</v>
      </c>
      <c r="O110" s="127">
        <f ca="1">IF($A110="S",VTOTALBM,IF($A110=0,0,ROUND(SomaAgrupBM,15-13*ORÇAMENTO!$AF$11)))</f>
        <v>0</v>
      </c>
      <c r="Q110" s="382"/>
      <c r="R110" s="383"/>
      <c r="T110" s="119" t="str">
        <f t="shared" ca="1" si="12"/>
        <v/>
      </c>
      <c r="U110" s="172" t="str">
        <f t="shared" ca="1" si="13"/>
        <v/>
      </c>
      <c r="V110" s="173" t="str">
        <f ca="1">IF(AND($W110&gt;0,RegimeExecucao="Unitário"),$F110,"")</f>
        <v/>
      </c>
      <c r="W110" s="547">
        <f ca="1">IF($Y110&gt;0,CHOOSE(MATCH(RegimeExecucao,{"Unitário","Global"},0),IF($A110="S",$Y110/$X110,""),($Y110/$X110)*100),0)</f>
        <v>0</v>
      </c>
      <c r="X110" s="384" t="str">
        <f ca="1">IF($Y110&gt;0,CHOOSE(MATCH(RegimeExecucao,{"Unitário","Global"},0),IF($A110="S",ROUND($H110,ORÇAMENTO!$AF$10),""),ROUND($I110,ORÇAMENTO!$AF$11)),"")</f>
        <v/>
      </c>
      <c r="Y110" s="384">
        <f t="shared" ca="1" si="14"/>
        <v>0</v>
      </c>
      <c r="Z110" s="572"/>
      <c r="AB110" s="382"/>
      <c r="AC110" s="516"/>
      <c r="AD110" s="516"/>
      <c r="AE110" s="516"/>
      <c r="AF110" s="516"/>
      <c r="AG110" s="516"/>
      <c r="AH110" s="516"/>
      <c r="AI110" s="516"/>
      <c r="AJ110" s="516"/>
      <c r="AK110" s="516"/>
      <c r="AL110" s="516"/>
      <c r="AM110" s="383"/>
      <c r="AO110">
        <f ca="1">IF($A110="S",IF(BM!$I110=0,0,CHOOSE(MATCH(RegimeExecucao,{"Global","Unitário"},0),ROUND(ROUND(BM.MEDAcumulado,15-13*BM!$A$9)/100*BM!$I110,15-13*ORÇAMENTO!$AF$11),ROUND(ROUND(BM.MEDAcumulado,15-13*BM!$A$9)*ROUND(BM!$H110,15-13*ORÇAMENTO!$AF$10),15-13*ORÇAMENTO!$AF$11))),IF($A110=0,0,ROUND(SomaAgrupBM,15-13*ORÇAMENTO!$AF$11)))</f>
        <v>0</v>
      </c>
    </row>
    <row r="111" spans="1:41" ht="38.25" x14ac:dyDescent="0.2">
      <c r="A111" t="str">
        <f ca="1">ORÇAMENTO!C111</f>
        <v>S</v>
      </c>
      <c r="B111">
        <f ca="1">ORÇAMENTO!D111</f>
        <v>0</v>
      </c>
      <c r="C111" s="116" t="str">
        <f t="shared" ca="1" si="8"/>
        <v/>
      </c>
      <c r="D111" s="119" t="str">
        <f ca="1">ORÇAMENTO!O111</f>
        <v>-</v>
      </c>
      <c r="E111" s="172" t="str">
        <f t="shared" ca="1" si="9"/>
        <v>(abra o arquivo 'Referência 06-2024.xlsm)</v>
      </c>
      <c r="F111" s="173" t="str">
        <f ca="1">IF(RegimeExecucao="Global","",ORÇAMENTO.Unidade)</f>
        <v/>
      </c>
      <c r="G111" s="124" t="str">
        <f ca="1">IF(RegimeExecucao="Global","",ORÇAMENTO!T111)</f>
        <v/>
      </c>
      <c r="H111" s="124" t="str">
        <f ca="1">IF(RegimeExecucao="Global","",ORÇAMENTO!W111)</f>
        <v/>
      </c>
      <c r="I111" s="127">
        <f ca="1">ORÇAMENTO!X111</f>
        <v>0</v>
      </c>
      <c r="J111" s="378">
        <f ca="1">IF($A111="S",IF(CAIXA.Modo,BM.AFAnterior,BM.MEDAnterior),IF(AND(RegimeExecucao="Global",$I111&gt;0,COUNTIF($AB$13:$AM$13,BM.medicao-1)&gt;0),M111/$I111*100,0))</f>
        <v>0</v>
      </c>
      <c r="K111" s="124">
        <f t="shared" ca="1" si="10"/>
        <v>0</v>
      </c>
      <c r="L111" s="379">
        <f ca="1">IF($A111="S",IF(CAIXA.Modo,BM.AFAcumulado,BM.MEDAcumulado),IF(AND(RegimeExecucao="Global",$I111&gt;0,COUNTIF($AB$13:$AM$13,BM.medicao)&gt;0),O111/$I111*100,0))</f>
        <v>0</v>
      </c>
      <c r="M111" s="380">
        <f ca="1">IF($A111="S",VTOTALBM,IF($A111=0,0,ROUND(SomaAgrupBM,15-13*ORÇAMENTO!$AF$11)))</f>
        <v>0</v>
      </c>
      <c r="N111" s="381">
        <f t="shared" ca="1" si="11"/>
        <v>0</v>
      </c>
      <c r="O111" s="127">
        <f ca="1">IF($A111="S",VTOTALBM,IF($A111=0,0,ROUND(SomaAgrupBM,15-13*ORÇAMENTO!$AF$11)))</f>
        <v>0</v>
      </c>
      <c r="Q111" s="382"/>
      <c r="R111" s="383"/>
      <c r="T111" s="119" t="str">
        <f t="shared" ca="1" si="12"/>
        <v/>
      </c>
      <c r="U111" s="172" t="str">
        <f t="shared" ca="1" si="13"/>
        <v/>
      </c>
      <c r="V111" s="173" t="str">
        <f ca="1">IF(AND($W111&gt;0,RegimeExecucao="Unitário"),$F111,"")</f>
        <v/>
      </c>
      <c r="W111" s="547">
        <f ca="1">IF($Y111&gt;0,CHOOSE(MATCH(RegimeExecucao,{"Unitário","Global"},0),IF($A111="S",$Y111/$X111,""),($Y111/$X111)*100),0)</f>
        <v>0</v>
      </c>
      <c r="X111" s="384" t="str">
        <f ca="1">IF($Y111&gt;0,CHOOSE(MATCH(RegimeExecucao,{"Unitário","Global"},0),IF($A111="S",ROUND($H111,ORÇAMENTO!$AF$10),""),ROUND($I111,ORÇAMENTO!$AF$11)),"")</f>
        <v/>
      </c>
      <c r="Y111" s="384">
        <f t="shared" ca="1" si="14"/>
        <v>0</v>
      </c>
      <c r="Z111" s="572"/>
      <c r="AB111" s="382"/>
      <c r="AC111" s="516"/>
      <c r="AD111" s="516"/>
      <c r="AE111" s="516"/>
      <c r="AF111" s="516"/>
      <c r="AG111" s="516"/>
      <c r="AH111" s="516"/>
      <c r="AI111" s="516"/>
      <c r="AJ111" s="516"/>
      <c r="AK111" s="516"/>
      <c r="AL111" s="516"/>
      <c r="AM111" s="383"/>
      <c r="AO111">
        <f ca="1">IF($A111="S",IF(BM!$I111=0,0,CHOOSE(MATCH(RegimeExecucao,{"Global","Unitário"},0),ROUND(ROUND(BM.MEDAcumulado,15-13*BM!$A$9)/100*BM!$I111,15-13*ORÇAMENTO!$AF$11),ROUND(ROUND(BM.MEDAcumulado,15-13*BM!$A$9)*ROUND(BM!$H111,15-13*ORÇAMENTO!$AF$10),15-13*ORÇAMENTO!$AF$11))),IF($A111=0,0,ROUND(SomaAgrupBM,15-13*ORÇAMENTO!$AF$11)))</f>
        <v>0</v>
      </c>
    </row>
    <row r="112" spans="1:41" ht="25.5" x14ac:dyDescent="0.2">
      <c r="A112" t="str">
        <f ca="1">ORÇAMENTO!C112</f>
        <v>S</v>
      </c>
      <c r="B112">
        <f ca="1">ORÇAMENTO!D112</f>
        <v>0</v>
      </c>
      <c r="C112" s="116" t="str">
        <f t="shared" ca="1" si="8"/>
        <v/>
      </c>
      <c r="D112" s="119" t="str">
        <f ca="1">ORÇAMENTO!O112</f>
        <v>-</v>
      </c>
      <c r="E112" s="172" t="str">
        <f t="shared" ca="1" si="9"/>
        <v>(abra o arquivo 'Referência 06-2024.xlsm)</v>
      </c>
      <c r="F112" s="173" t="str">
        <f ca="1">IF(RegimeExecucao="Global","",ORÇAMENTO.Unidade)</f>
        <v/>
      </c>
      <c r="G112" s="124" t="str">
        <f ca="1">IF(RegimeExecucao="Global","",ORÇAMENTO!T112)</f>
        <v/>
      </c>
      <c r="H112" s="124" t="str">
        <f ca="1">IF(RegimeExecucao="Global","",ORÇAMENTO!W112)</f>
        <v/>
      </c>
      <c r="I112" s="127">
        <f ca="1">ORÇAMENTO!X112</f>
        <v>0</v>
      </c>
      <c r="J112" s="378">
        <f ca="1">IF($A112="S",IF(CAIXA.Modo,BM.AFAnterior,BM.MEDAnterior),IF(AND(RegimeExecucao="Global",$I112&gt;0,COUNTIF($AB$13:$AM$13,BM.medicao-1)&gt;0),M112/$I112*100,0))</f>
        <v>0</v>
      </c>
      <c r="K112" s="124">
        <f t="shared" ca="1" si="10"/>
        <v>0</v>
      </c>
      <c r="L112" s="379">
        <f ca="1">IF($A112="S",IF(CAIXA.Modo,BM.AFAcumulado,BM.MEDAcumulado),IF(AND(RegimeExecucao="Global",$I112&gt;0,COUNTIF($AB$13:$AM$13,BM.medicao)&gt;0),O112/$I112*100,0))</f>
        <v>0</v>
      </c>
      <c r="M112" s="380">
        <f ca="1">IF($A112="S",VTOTALBM,IF($A112=0,0,ROUND(SomaAgrupBM,15-13*ORÇAMENTO!$AF$11)))</f>
        <v>0</v>
      </c>
      <c r="N112" s="381">
        <f t="shared" ca="1" si="11"/>
        <v>0</v>
      </c>
      <c r="O112" s="127">
        <f ca="1">IF($A112="S",VTOTALBM,IF($A112=0,0,ROUND(SomaAgrupBM,15-13*ORÇAMENTO!$AF$11)))</f>
        <v>0</v>
      </c>
      <c r="Q112" s="382"/>
      <c r="R112" s="383"/>
      <c r="T112" s="119" t="str">
        <f t="shared" ca="1" si="12"/>
        <v/>
      </c>
      <c r="U112" s="172" t="str">
        <f t="shared" ca="1" si="13"/>
        <v/>
      </c>
      <c r="V112" s="173" t="str">
        <f ca="1">IF(AND($W112&gt;0,RegimeExecucao="Unitário"),$F112,"")</f>
        <v/>
      </c>
      <c r="W112" s="547">
        <f ca="1">IF($Y112&gt;0,CHOOSE(MATCH(RegimeExecucao,{"Unitário","Global"},0),IF($A112="S",$Y112/$X112,""),($Y112/$X112)*100),0)</f>
        <v>0</v>
      </c>
      <c r="X112" s="384" t="str">
        <f ca="1">IF($Y112&gt;0,CHOOSE(MATCH(RegimeExecucao,{"Unitário","Global"},0),IF($A112="S",ROUND($H112,ORÇAMENTO!$AF$10),""),ROUND($I112,ORÇAMENTO!$AF$11)),"")</f>
        <v/>
      </c>
      <c r="Y112" s="384">
        <f t="shared" ca="1" si="14"/>
        <v>0</v>
      </c>
      <c r="Z112" s="572"/>
      <c r="AB112" s="382"/>
      <c r="AC112" s="516"/>
      <c r="AD112" s="516"/>
      <c r="AE112" s="516"/>
      <c r="AF112" s="516"/>
      <c r="AG112" s="516"/>
      <c r="AH112" s="516"/>
      <c r="AI112" s="516"/>
      <c r="AJ112" s="516"/>
      <c r="AK112" s="516"/>
      <c r="AL112" s="516"/>
      <c r="AM112" s="383"/>
      <c r="AO112">
        <f ca="1">IF($A112="S",IF(BM!$I112=0,0,CHOOSE(MATCH(RegimeExecucao,{"Global","Unitário"},0),ROUND(ROUND(BM.MEDAcumulado,15-13*BM!$A$9)/100*BM!$I112,15-13*ORÇAMENTO!$AF$11),ROUND(ROUND(BM.MEDAcumulado,15-13*BM!$A$9)*ROUND(BM!$H112,15-13*ORÇAMENTO!$AF$10),15-13*ORÇAMENTO!$AF$11))),IF($A112=0,0,ROUND(SomaAgrupBM,15-13*ORÇAMENTO!$AF$11)))</f>
        <v>0</v>
      </c>
    </row>
    <row r="113" spans="1:41" ht="25.5" x14ac:dyDescent="0.2">
      <c r="A113" t="str">
        <f ca="1">ORÇAMENTO!C113</f>
        <v>S</v>
      </c>
      <c r="B113">
        <f ca="1">ORÇAMENTO!D113</f>
        <v>0</v>
      </c>
      <c r="C113" s="116" t="str">
        <f t="shared" ca="1" si="8"/>
        <v/>
      </c>
      <c r="D113" s="119" t="str">
        <f ca="1">ORÇAMENTO!O113</f>
        <v>-</v>
      </c>
      <c r="E113" s="172" t="str">
        <f t="shared" ca="1" si="9"/>
        <v>(abra o arquivo 'Referência 06-2024.xlsm)</v>
      </c>
      <c r="F113" s="173" t="str">
        <f ca="1">IF(RegimeExecucao="Global","",ORÇAMENTO.Unidade)</f>
        <v/>
      </c>
      <c r="G113" s="124" t="str">
        <f ca="1">IF(RegimeExecucao="Global","",ORÇAMENTO!T113)</f>
        <v/>
      </c>
      <c r="H113" s="124" t="str">
        <f ca="1">IF(RegimeExecucao="Global","",ORÇAMENTO!W113)</f>
        <v/>
      </c>
      <c r="I113" s="127">
        <f ca="1">ORÇAMENTO!X113</f>
        <v>0</v>
      </c>
      <c r="J113" s="378">
        <f ca="1">IF($A113="S",IF(CAIXA.Modo,BM.AFAnterior,BM.MEDAnterior),IF(AND(RegimeExecucao="Global",$I113&gt;0,COUNTIF($AB$13:$AM$13,BM.medicao-1)&gt;0),M113/$I113*100,0))</f>
        <v>0</v>
      </c>
      <c r="K113" s="124">
        <f t="shared" ca="1" si="10"/>
        <v>0</v>
      </c>
      <c r="L113" s="379">
        <f ca="1">IF($A113="S",IF(CAIXA.Modo,BM.AFAcumulado,BM.MEDAcumulado),IF(AND(RegimeExecucao="Global",$I113&gt;0,COUNTIF($AB$13:$AM$13,BM.medicao)&gt;0),O113/$I113*100,0))</f>
        <v>0</v>
      </c>
      <c r="M113" s="380">
        <f ca="1">IF($A113="S",VTOTALBM,IF($A113=0,0,ROUND(SomaAgrupBM,15-13*ORÇAMENTO!$AF$11)))</f>
        <v>0</v>
      </c>
      <c r="N113" s="381">
        <f t="shared" ca="1" si="11"/>
        <v>0</v>
      </c>
      <c r="O113" s="127">
        <f ca="1">IF($A113="S",VTOTALBM,IF($A113=0,0,ROUND(SomaAgrupBM,15-13*ORÇAMENTO!$AF$11)))</f>
        <v>0</v>
      </c>
      <c r="Q113" s="382"/>
      <c r="R113" s="383"/>
      <c r="T113" s="119" t="str">
        <f t="shared" ca="1" si="12"/>
        <v/>
      </c>
      <c r="U113" s="172" t="str">
        <f t="shared" ca="1" si="13"/>
        <v/>
      </c>
      <c r="V113" s="173" t="str">
        <f ca="1">IF(AND($W113&gt;0,RegimeExecucao="Unitário"),$F113,"")</f>
        <v/>
      </c>
      <c r="W113" s="547">
        <f ca="1">IF($Y113&gt;0,CHOOSE(MATCH(RegimeExecucao,{"Unitário","Global"},0),IF($A113="S",$Y113/$X113,""),($Y113/$X113)*100),0)</f>
        <v>0</v>
      </c>
      <c r="X113" s="384" t="str">
        <f ca="1">IF($Y113&gt;0,CHOOSE(MATCH(RegimeExecucao,{"Unitário","Global"},0),IF($A113="S",ROUND($H113,ORÇAMENTO!$AF$10),""),ROUND($I113,ORÇAMENTO!$AF$11)),"")</f>
        <v/>
      </c>
      <c r="Y113" s="384">
        <f t="shared" ca="1" si="14"/>
        <v>0</v>
      </c>
      <c r="Z113" s="572"/>
      <c r="AB113" s="382"/>
      <c r="AC113" s="516"/>
      <c r="AD113" s="516"/>
      <c r="AE113" s="516"/>
      <c r="AF113" s="516"/>
      <c r="AG113" s="516"/>
      <c r="AH113" s="516"/>
      <c r="AI113" s="516"/>
      <c r="AJ113" s="516"/>
      <c r="AK113" s="516"/>
      <c r="AL113" s="516"/>
      <c r="AM113" s="383"/>
      <c r="AO113">
        <f ca="1">IF($A113="S",IF(BM!$I113=0,0,CHOOSE(MATCH(RegimeExecucao,{"Global","Unitário"},0),ROUND(ROUND(BM.MEDAcumulado,15-13*BM!$A$9)/100*BM!$I113,15-13*ORÇAMENTO!$AF$11),ROUND(ROUND(BM.MEDAcumulado,15-13*BM!$A$9)*ROUND(BM!$H113,15-13*ORÇAMENTO!$AF$10),15-13*ORÇAMENTO!$AF$11))),IF($A113=0,0,ROUND(SomaAgrupBM,15-13*ORÇAMENTO!$AF$11)))</f>
        <v>0</v>
      </c>
    </row>
    <row r="114" spans="1:41" x14ac:dyDescent="0.2">
      <c r="A114">
        <f ca="1">ORÇAMENTO!C114</f>
        <v>2</v>
      </c>
      <c r="B114">
        <f ca="1">ORÇAMENTO!D114</f>
        <v>7</v>
      </c>
      <c r="C114" s="116" t="str">
        <f t="shared" ca="1" si="8"/>
        <v>F</v>
      </c>
      <c r="D114" s="119" t="str">
        <f ca="1">ORÇAMENTO!O114</f>
        <v>1.18.</v>
      </c>
      <c r="E114" s="172" t="str">
        <f t="shared" si="9"/>
        <v>ESQUADRIAS - PORTAS DE MADEIRA</v>
      </c>
      <c r="F114" s="173" t="str">
        <f ca="1">IF(RegimeExecucao="Global","",ORÇAMENTO.Unidade)</f>
        <v/>
      </c>
      <c r="G114" s="124" t="str">
        <f ca="1">IF(RegimeExecucao="Global","",ORÇAMENTO!T114)</f>
        <v/>
      </c>
      <c r="H114" s="124" t="str">
        <f ca="1">IF(RegimeExecucao="Global","",ORÇAMENTO!W114)</f>
        <v/>
      </c>
      <c r="I114" s="127">
        <f ca="1">ORÇAMENTO!X114</f>
        <v>0</v>
      </c>
      <c r="J114" s="378">
        <f ca="1">IF($A114="S",IF(CAIXA.Modo,BM.AFAnterior,BM.MEDAnterior),IF(AND(RegimeExecucao="Global",$I114&gt;0,COUNTIF($AB$13:$AM$13,BM.medicao-1)&gt;0),M114/$I114*100,0))</f>
        <v>0</v>
      </c>
      <c r="K114" s="124">
        <f t="shared" ca="1" si="10"/>
        <v>0</v>
      </c>
      <c r="L114" s="379">
        <f ca="1">IF($A114="S",IF(CAIXA.Modo,BM.AFAcumulado,BM.MEDAcumulado),IF(AND(RegimeExecucao="Global",$I114&gt;0,COUNTIF($AB$13:$AM$13,BM.medicao)&gt;0),O114/$I114*100,0))</f>
        <v>0</v>
      </c>
      <c r="M114" s="380">
        <f ca="1">IF($A114="S",VTOTALBM,IF($A114=0,0,ROUND(SomaAgrupBM,15-13*ORÇAMENTO!$AF$11)))</f>
        <v>0</v>
      </c>
      <c r="N114" s="381">
        <f t="shared" ca="1" si="11"/>
        <v>0</v>
      </c>
      <c r="O114" s="127">
        <f ca="1">IF($A114="S",VTOTALBM,IF($A114=0,0,ROUND(SomaAgrupBM,15-13*ORÇAMENTO!$AF$11)))</f>
        <v>0</v>
      </c>
      <c r="Q114" s="382"/>
      <c r="R114" s="383"/>
      <c r="T114" s="119" t="str">
        <f t="shared" ca="1" si="12"/>
        <v/>
      </c>
      <c r="U114" s="172" t="str">
        <f t="shared" ca="1" si="13"/>
        <v/>
      </c>
      <c r="V114" s="173" t="str">
        <f ca="1">IF(AND($W114&gt;0,RegimeExecucao="Unitário"),$F114,"")</f>
        <v/>
      </c>
      <c r="W114" s="547">
        <f ca="1">IF($Y114&gt;0,CHOOSE(MATCH(RegimeExecucao,{"Unitário","Global"},0),IF($A114="S",$Y114/$X114,""),($Y114/$X114)*100),0)</f>
        <v>0</v>
      </c>
      <c r="X114" s="384" t="str">
        <f ca="1">IF($Y114&gt;0,CHOOSE(MATCH(RegimeExecucao,{"Unitário","Global"},0),IF($A114="S",ROUND($H114,ORÇAMENTO!$AF$10),""),ROUND($I114,ORÇAMENTO!$AF$11)),"")</f>
        <v/>
      </c>
      <c r="Y114" s="384">
        <f t="shared" ca="1" si="14"/>
        <v>0</v>
      </c>
      <c r="Z114" s="572"/>
      <c r="AB114" s="382"/>
      <c r="AC114" s="516"/>
      <c r="AD114" s="516"/>
      <c r="AE114" s="516"/>
      <c r="AF114" s="516"/>
      <c r="AG114" s="516"/>
      <c r="AH114" s="516"/>
      <c r="AI114" s="516"/>
      <c r="AJ114" s="516"/>
      <c r="AK114" s="516"/>
      <c r="AL114" s="516"/>
      <c r="AM114" s="383"/>
      <c r="AO114">
        <f ca="1">IF($A114="S",IF(BM!$I114=0,0,CHOOSE(MATCH(RegimeExecucao,{"Global","Unitário"},0),ROUND(ROUND(BM.MEDAcumulado,15-13*BM!$A$9)/100*BM!$I114,15-13*ORÇAMENTO!$AF$11),ROUND(ROUND(BM.MEDAcumulado,15-13*BM!$A$9)*ROUND(BM!$H114,15-13*ORÇAMENTO!$AF$10),15-13*ORÇAMENTO!$AF$11))),IF($A114=0,0,ROUND(SomaAgrupBM,15-13*ORÇAMENTO!$AF$11)))</f>
        <v>0</v>
      </c>
    </row>
    <row r="115" spans="1:41" ht="63.75" x14ac:dyDescent="0.2">
      <c r="A115" t="str">
        <f ca="1">ORÇAMENTO!C115</f>
        <v>S</v>
      </c>
      <c r="B115">
        <f ca="1">ORÇAMENTO!D115</f>
        <v>0</v>
      </c>
      <c r="C115" s="116" t="str">
        <f t="shared" ca="1" si="8"/>
        <v/>
      </c>
      <c r="D115" s="119" t="str">
        <f ca="1">ORÇAMENTO!O115</f>
        <v>-</v>
      </c>
      <c r="E115" s="172" t="str">
        <f t="shared" ca="1" si="9"/>
        <v>(abra o arquivo 'Referência 06-2024.xlsm)</v>
      </c>
      <c r="F115" s="173" t="str">
        <f ca="1">IF(RegimeExecucao="Global","",ORÇAMENTO.Unidade)</f>
        <v/>
      </c>
      <c r="G115" s="124" t="str">
        <f ca="1">IF(RegimeExecucao="Global","",ORÇAMENTO!T115)</f>
        <v/>
      </c>
      <c r="H115" s="124" t="str">
        <f ca="1">IF(RegimeExecucao="Global","",ORÇAMENTO!W115)</f>
        <v/>
      </c>
      <c r="I115" s="127">
        <f ca="1">ORÇAMENTO!X115</f>
        <v>0</v>
      </c>
      <c r="J115" s="378">
        <f ca="1">IF($A115="S",IF(CAIXA.Modo,BM.AFAnterior,BM.MEDAnterior),IF(AND(RegimeExecucao="Global",$I115&gt;0,COUNTIF($AB$13:$AM$13,BM.medicao-1)&gt;0),M115/$I115*100,0))</f>
        <v>0</v>
      </c>
      <c r="K115" s="124">
        <f t="shared" ca="1" si="10"/>
        <v>0</v>
      </c>
      <c r="L115" s="379">
        <f ca="1">IF($A115="S",IF(CAIXA.Modo,BM.AFAcumulado,BM.MEDAcumulado),IF(AND(RegimeExecucao="Global",$I115&gt;0,COUNTIF($AB$13:$AM$13,BM.medicao)&gt;0),O115/$I115*100,0))</f>
        <v>0</v>
      </c>
      <c r="M115" s="380">
        <f ca="1">IF($A115="S",VTOTALBM,IF($A115=0,0,ROUND(SomaAgrupBM,15-13*ORÇAMENTO!$AF$11)))</f>
        <v>0</v>
      </c>
      <c r="N115" s="381">
        <f t="shared" ca="1" si="11"/>
        <v>0</v>
      </c>
      <c r="O115" s="127">
        <f ca="1">IF($A115="S",VTOTALBM,IF($A115=0,0,ROUND(SomaAgrupBM,15-13*ORÇAMENTO!$AF$11)))</f>
        <v>0</v>
      </c>
      <c r="Q115" s="382"/>
      <c r="R115" s="383"/>
      <c r="T115" s="119" t="str">
        <f t="shared" ca="1" si="12"/>
        <v/>
      </c>
      <c r="U115" s="172" t="str">
        <f t="shared" ca="1" si="13"/>
        <v/>
      </c>
      <c r="V115" s="173" t="str">
        <f ca="1">IF(AND($W115&gt;0,RegimeExecucao="Unitário"),$F115,"")</f>
        <v/>
      </c>
      <c r="W115" s="547">
        <f ca="1">IF($Y115&gt;0,CHOOSE(MATCH(RegimeExecucao,{"Unitário","Global"},0),IF($A115="S",$Y115/$X115,""),($Y115/$X115)*100),0)</f>
        <v>0</v>
      </c>
      <c r="X115" s="384" t="str">
        <f ca="1">IF($Y115&gt;0,CHOOSE(MATCH(RegimeExecucao,{"Unitário","Global"},0),IF($A115="S",ROUND($H115,ORÇAMENTO!$AF$10),""),ROUND($I115,ORÇAMENTO!$AF$11)),"")</f>
        <v/>
      </c>
      <c r="Y115" s="384">
        <f t="shared" ca="1" si="14"/>
        <v>0</v>
      </c>
      <c r="Z115" s="572"/>
      <c r="AB115" s="382"/>
      <c r="AC115" s="516"/>
      <c r="AD115" s="516"/>
      <c r="AE115" s="516"/>
      <c r="AF115" s="516"/>
      <c r="AG115" s="516"/>
      <c r="AH115" s="516"/>
      <c r="AI115" s="516"/>
      <c r="AJ115" s="516"/>
      <c r="AK115" s="516"/>
      <c r="AL115" s="516"/>
      <c r="AM115" s="383"/>
      <c r="AO115">
        <f ca="1">IF($A115="S",IF(BM!$I115=0,0,CHOOSE(MATCH(RegimeExecucao,{"Global","Unitário"},0),ROUND(ROUND(BM.MEDAcumulado,15-13*BM!$A$9)/100*BM!$I115,15-13*ORÇAMENTO!$AF$11),ROUND(ROUND(BM.MEDAcumulado,15-13*BM!$A$9)*ROUND(BM!$H115,15-13*ORÇAMENTO!$AF$10),15-13*ORÇAMENTO!$AF$11))),IF($A115=0,0,ROUND(SomaAgrupBM,15-13*ORÇAMENTO!$AF$11)))</f>
        <v>0</v>
      </c>
    </row>
    <row r="116" spans="1:41" ht="63.75" x14ac:dyDescent="0.2">
      <c r="A116" t="str">
        <f ca="1">ORÇAMENTO!C116</f>
        <v>S</v>
      </c>
      <c r="B116">
        <f ca="1">ORÇAMENTO!D116</f>
        <v>0</v>
      </c>
      <c r="C116" s="116" t="str">
        <f t="shared" ca="1" si="8"/>
        <v/>
      </c>
      <c r="D116" s="119" t="str">
        <f ca="1">ORÇAMENTO!O116</f>
        <v>-</v>
      </c>
      <c r="E116" s="172" t="str">
        <f t="shared" ca="1" si="9"/>
        <v>(abra o arquivo 'Referência 06-2024.xlsm)</v>
      </c>
      <c r="F116" s="173" t="str">
        <f ca="1">IF(RegimeExecucao="Global","",ORÇAMENTO.Unidade)</f>
        <v/>
      </c>
      <c r="G116" s="124" t="str">
        <f ca="1">IF(RegimeExecucao="Global","",ORÇAMENTO!T116)</f>
        <v/>
      </c>
      <c r="H116" s="124" t="str">
        <f ca="1">IF(RegimeExecucao="Global","",ORÇAMENTO!W116)</f>
        <v/>
      </c>
      <c r="I116" s="127">
        <f ca="1">ORÇAMENTO!X116</f>
        <v>0</v>
      </c>
      <c r="J116" s="378">
        <f ca="1">IF($A116="S",IF(CAIXA.Modo,BM.AFAnterior,BM.MEDAnterior),IF(AND(RegimeExecucao="Global",$I116&gt;0,COUNTIF($AB$13:$AM$13,BM.medicao-1)&gt;0),M116/$I116*100,0))</f>
        <v>0</v>
      </c>
      <c r="K116" s="124">
        <f t="shared" ca="1" si="10"/>
        <v>0</v>
      </c>
      <c r="L116" s="379">
        <f ca="1">IF($A116="S",IF(CAIXA.Modo,BM.AFAcumulado,BM.MEDAcumulado),IF(AND(RegimeExecucao="Global",$I116&gt;0,COUNTIF($AB$13:$AM$13,BM.medicao)&gt;0),O116/$I116*100,0))</f>
        <v>0</v>
      </c>
      <c r="M116" s="380">
        <f ca="1">IF($A116="S",VTOTALBM,IF($A116=0,0,ROUND(SomaAgrupBM,15-13*ORÇAMENTO!$AF$11)))</f>
        <v>0</v>
      </c>
      <c r="N116" s="381">
        <f t="shared" ca="1" si="11"/>
        <v>0</v>
      </c>
      <c r="O116" s="127">
        <f ca="1">IF($A116="S",VTOTALBM,IF($A116=0,0,ROUND(SomaAgrupBM,15-13*ORÇAMENTO!$AF$11)))</f>
        <v>0</v>
      </c>
      <c r="Q116" s="382"/>
      <c r="R116" s="383"/>
      <c r="T116" s="119" t="str">
        <f t="shared" ca="1" si="12"/>
        <v/>
      </c>
      <c r="U116" s="172" t="str">
        <f t="shared" ca="1" si="13"/>
        <v/>
      </c>
      <c r="V116" s="173" t="str">
        <f ca="1">IF(AND($W116&gt;0,RegimeExecucao="Unitário"),$F116,"")</f>
        <v/>
      </c>
      <c r="W116" s="547">
        <f ca="1">IF($Y116&gt;0,CHOOSE(MATCH(RegimeExecucao,{"Unitário","Global"},0),IF($A116="S",$Y116/$X116,""),($Y116/$X116)*100),0)</f>
        <v>0</v>
      </c>
      <c r="X116" s="384" t="str">
        <f ca="1">IF($Y116&gt;0,CHOOSE(MATCH(RegimeExecucao,{"Unitário","Global"},0),IF($A116="S",ROUND($H116,ORÇAMENTO!$AF$10),""),ROUND($I116,ORÇAMENTO!$AF$11)),"")</f>
        <v/>
      </c>
      <c r="Y116" s="384">
        <f t="shared" ca="1" si="14"/>
        <v>0</v>
      </c>
      <c r="Z116" s="572"/>
      <c r="AB116" s="382"/>
      <c r="AC116" s="516"/>
      <c r="AD116" s="516"/>
      <c r="AE116" s="516"/>
      <c r="AF116" s="516"/>
      <c r="AG116" s="516"/>
      <c r="AH116" s="516"/>
      <c r="AI116" s="516"/>
      <c r="AJ116" s="516"/>
      <c r="AK116" s="516"/>
      <c r="AL116" s="516"/>
      <c r="AM116" s="383"/>
      <c r="AO116">
        <f ca="1">IF($A116="S",IF(BM!$I116=0,0,CHOOSE(MATCH(RegimeExecucao,{"Global","Unitário"},0),ROUND(ROUND(BM.MEDAcumulado,15-13*BM!$A$9)/100*BM!$I116,15-13*ORÇAMENTO!$AF$11),ROUND(ROUND(BM.MEDAcumulado,15-13*BM!$A$9)*ROUND(BM!$H116,15-13*ORÇAMENTO!$AF$10),15-13*ORÇAMENTO!$AF$11))),IF($A116=0,0,ROUND(SomaAgrupBM,15-13*ORÇAMENTO!$AF$11)))</f>
        <v>0</v>
      </c>
    </row>
    <row r="117" spans="1:41" ht="63.75" x14ac:dyDescent="0.2">
      <c r="A117" t="str">
        <f ca="1">ORÇAMENTO!C117</f>
        <v>S</v>
      </c>
      <c r="B117">
        <f ca="1">ORÇAMENTO!D117</f>
        <v>0</v>
      </c>
      <c r="C117" s="116" t="str">
        <f t="shared" ca="1" si="8"/>
        <v/>
      </c>
      <c r="D117" s="119" t="str">
        <f ca="1">ORÇAMENTO!O117</f>
        <v>-</v>
      </c>
      <c r="E117" s="172" t="str">
        <f t="shared" ca="1" si="9"/>
        <v>(abra o arquivo 'Referência 06-2024.xlsm)</v>
      </c>
      <c r="F117" s="173" t="str">
        <f ca="1">IF(RegimeExecucao="Global","",ORÇAMENTO.Unidade)</f>
        <v/>
      </c>
      <c r="G117" s="124" t="str">
        <f ca="1">IF(RegimeExecucao="Global","",ORÇAMENTO!T117)</f>
        <v/>
      </c>
      <c r="H117" s="124" t="str">
        <f ca="1">IF(RegimeExecucao="Global","",ORÇAMENTO!W117)</f>
        <v/>
      </c>
      <c r="I117" s="127">
        <f ca="1">ORÇAMENTO!X117</f>
        <v>0</v>
      </c>
      <c r="J117" s="378">
        <f ca="1">IF($A117="S",IF(CAIXA.Modo,BM.AFAnterior,BM.MEDAnterior),IF(AND(RegimeExecucao="Global",$I117&gt;0,COUNTIF($AB$13:$AM$13,BM.medicao-1)&gt;0),M117/$I117*100,0))</f>
        <v>0</v>
      </c>
      <c r="K117" s="124">
        <f t="shared" ca="1" si="10"/>
        <v>0</v>
      </c>
      <c r="L117" s="379">
        <f ca="1">IF($A117="S",IF(CAIXA.Modo,BM.AFAcumulado,BM.MEDAcumulado),IF(AND(RegimeExecucao="Global",$I117&gt;0,COUNTIF($AB$13:$AM$13,BM.medicao)&gt;0),O117/$I117*100,0))</f>
        <v>0</v>
      </c>
      <c r="M117" s="380">
        <f ca="1">IF($A117="S",VTOTALBM,IF($A117=0,0,ROUND(SomaAgrupBM,15-13*ORÇAMENTO!$AF$11)))</f>
        <v>0</v>
      </c>
      <c r="N117" s="381">
        <f t="shared" ca="1" si="11"/>
        <v>0</v>
      </c>
      <c r="O117" s="127">
        <f ca="1">IF($A117="S",VTOTALBM,IF($A117=0,0,ROUND(SomaAgrupBM,15-13*ORÇAMENTO!$AF$11)))</f>
        <v>0</v>
      </c>
      <c r="Q117" s="382"/>
      <c r="R117" s="383"/>
      <c r="T117" s="119" t="str">
        <f t="shared" ca="1" si="12"/>
        <v/>
      </c>
      <c r="U117" s="172" t="str">
        <f t="shared" ca="1" si="13"/>
        <v/>
      </c>
      <c r="V117" s="173" t="str">
        <f ca="1">IF(AND($W117&gt;0,RegimeExecucao="Unitário"),$F117,"")</f>
        <v/>
      </c>
      <c r="W117" s="547">
        <f ca="1">IF($Y117&gt;0,CHOOSE(MATCH(RegimeExecucao,{"Unitário","Global"},0),IF($A117="S",$Y117/$X117,""),($Y117/$X117)*100),0)</f>
        <v>0</v>
      </c>
      <c r="X117" s="384" t="str">
        <f ca="1">IF($Y117&gt;0,CHOOSE(MATCH(RegimeExecucao,{"Unitário","Global"},0),IF($A117="S",ROUND($H117,ORÇAMENTO!$AF$10),""),ROUND($I117,ORÇAMENTO!$AF$11)),"")</f>
        <v/>
      </c>
      <c r="Y117" s="384">
        <f t="shared" ca="1" si="14"/>
        <v>0</v>
      </c>
      <c r="Z117" s="572"/>
      <c r="AB117" s="382"/>
      <c r="AC117" s="516"/>
      <c r="AD117" s="516"/>
      <c r="AE117" s="516"/>
      <c r="AF117" s="516"/>
      <c r="AG117" s="516"/>
      <c r="AH117" s="516"/>
      <c r="AI117" s="516"/>
      <c r="AJ117" s="516"/>
      <c r="AK117" s="516"/>
      <c r="AL117" s="516"/>
      <c r="AM117" s="383"/>
      <c r="AO117">
        <f ca="1">IF($A117="S",IF(BM!$I117=0,0,CHOOSE(MATCH(RegimeExecucao,{"Global","Unitário"},0),ROUND(ROUND(BM.MEDAcumulado,15-13*BM!$A$9)/100*BM!$I117,15-13*ORÇAMENTO!$AF$11),ROUND(ROUND(BM.MEDAcumulado,15-13*BM!$A$9)*ROUND(BM!$H117,15-13*ORÇAMENTO!$AF$10),15-13*ORÇAMENTO!$AF$11))),IF($A117=0,0,ROUND(SomaAgrupBM,15-13*ORÇAMENTO!$AF$11)))</f>
        <v>0</v>
      </c>
    </row>
    <row r="118" spans="1:41" ht="63.75" x14ac:dyDescent="0.2">
      <c r="A118" t="str">
        <f ca="1">ORÇAMENTO!C118</f>
        <v>S</v>
      </c>
      <c r="B118">
        <f ca="1">ORÇAMENTO!D118</f>
        <v>0</v>
      </c>
      <c r="C118" s="116" t="str">
        <f t="shared" ref="C118:C175" ca="1" si="15">IF(OR($I118&gt;0,$A118=1,$A118=2,$A118=3,$A118=4),"F","")</f>
        <v/>
      </c>
      <c r="D118" s="119" t="str">
        <f ca="1">ORÇAMENTO!O118</f>
        <v>-</v>
      </c>
      <c r="E118" s="172" t="str">
        <f t="shared" ref="E118:E175" ca="1" si="16">ORÇAMENTO.Descricao</f>
        <v>(abra o arquivo 'Referência 06-2024.xlsm)</v>
      </c>
      <c r="F118" s="173" t="str">
        <f ca="1">IF(RegimeExecucao="Global","",ORÇAMENTO.Unidade)</f>
        <v/>
      </c>
      <c r="G118" s="124" t="str">
        <f ca="1">IF(RegimeExecucao="Global","",ORÇAMENTO!T118)</f>
        <v/>
      </c>
      <c r="H118" s="124" t="str">
        <f ca="1">IF(RegimeExecucao="Global","",ORÇAMENTO!W118)</f>
        <v/>
      </c>
      <c r="I118" s="127">
        <f ca="1">ORÇAMENTO!X118</f>
        <v>0</v>
      </c>
      <c r="J118" s="378">
        <f ca="1">IF($A118="S",IF(CAIXA.Modo,BM.AFAnterior,BM.MEDAnterior),IF(AND(RegimeExecucao="Global",$I118&gt;0,COUNTIF($AB$13:$AM$13,BM.medicao-1)&gt;0),M118/$I118*100,0))</f>
        <v>0</v>
      </c>
      <c r="K118" s="124">
        <f t="shared" ref="K118:K175" ca="1" si="17">L118-J118</f>
        <v>0</v>
      </c>
      <c r="L118" s="379">
        <f ca="1">IF($A118="S",IF(CAIXA.Modo,BM.AFAcumulado,BM.MEDAcumulado),IF(AND(RegimeExecucao="Global",$I118&gt;0,COUNTIF($AB$13:$AM$13,BM.medicao)&gt;0),O118/$I118*100,0))</f>
        <v>0</v>
      </c>
      <c r="M118" s="380">
        <f ca="1">IF($A118="S",VTOTALBM,IF($A118=0,0,ROUND(SomaAgrupBM,15-13*ORÇAMENTO!$AF$11)))</f>
        <v>0</v>
      </c>
      <c r="N118" s="381">
        <f t="shared" ref="N118:N175" ca="1" si="18">O118-M118</f>
        <v>0</v>
      </c>
      <c r="O118" s="127">
        <f ca="1">IF($A118="S",VTOTALBM,IF($A118=0,0,ROUND(SomaAgrupBM,15-13*ORÇAMENTO!$AF$11)))</f>
        <v>0</v>
      </c>
      <c r="Q118" s="382"/>
      <c r="R118" s="383"/>
      <c r="T118" s="119" t="str">
        <f t="shared" ref="T118:T175" ca="1" si="19">IF($W118&gt;0,$D118,"")</f>
        <v/>
      </c>
      <c r="U118" s="172" t="str">
        <f t="shared" ref="U118:U175" ca="1" si="20">IF($W118&gt;0,$E118,"")</f>
        <v/>
      </c>
      <c r="V118" s="173" t="str">
        <f ca="1">IF(AND($W118&gt;0,RegimeExecucao="Unitário"),$F118,"")</f>
        <v/>
      </c>
      <c r="W118" s="547">
        <f ca="1">IF($Y118&gt;0,CHOOSE(MATCH(RegimeExecucao,{"Unitário","Global"},0),IF($A118="S",$Y118/$X118,""),($Y118/$X118)*100),0)</f>
        <v>0</v>
      </c>
      <c r="X118" s="384" t="str">
        <f ca="1">IF($Y118&gt;0,CHOOSE(MATCH(RegimeExecucao,{"Unitário","Global"},0),IF($A118="S",ROUND($H118,ORÇAMENTO!$AF$10),""),ROUND($I118,ORÇAMENTO!$AF$11)),"")</f>
        <v/>
      </c>
      <c r="Y118" s="384">
        <f t="shared" ref="Y118:Y175" ca="1" si="21">AO118-O118</f>
        <v>0</v>
      </c>
      <c r="Z118" s="572"/>
      <c r="AB118" s="382"/>
      <c r="AC118" s="516"/>
      <c r="AD118" s="516"/>
      <c r="AE118" s="516"/>
      <c r="AF118" s="516"/>
      <c r="AG118" s="516"/>
      <c r="AH118" s="516"/>
      <c r="AI118" s="516"/>
      <c r="AJ118" s="516"/>
      <c r="AK118" s="516"/>
      <c r="AL118" s="516"/>
      <c r="AM118" s="383"/>
      <c r="AO118">
        <f ca="1">IF($A118="S",IF(BM!$I118=0,0,CHOOSE(MATCH(RegimeExecucao,{"Global","Unitário"},0),ROUND(ROUND(BM.MEDAcumulado,15-13*BM!$A$9)/100*BM!$I118,15-13*ORÇAMENTO!$AF$11),ROUND(ROUND(BM.MEDAcumulado,15-13*BM!$A$9)*ROUND(BM!$H118,15-13*ORÇAMENTO!$AF$10),15-13*ORÇAMENTO!$AF$11))),IF($A118=0,0,ROUND(SomaAgrupBM,15-13*ORÇAMENTO!$AF$11)))</f>
        <v>0</v>
      </c>
    </row>
    <row r="119" spans="1:41" ht="38.25" x14ac:dyDescent="0.2">
      <c r="A119" t="str">
        <f ca="1">ORÇAMENTO!C119</f>
        <v>S</v>
      </c>
      <c r="B119">
        <f ca="1">ORÇAMENTO!D119</f>
        <v>0</v>
      </c>
      <c r="C119" s="116" t="str">
        <f t="shared" ca="1" si="15"/>
        <v/>
      </c>
      <c r="D119" s="119" t="str">
        <f ca="1">ORÇAMENTO!O119</f>
        <v>-</v>
      </c>
      <c r="E119" s="172" t="str">
        <f t="shared" ca="1" si="16"/>
        <v>(abra o arquivo 'Referência 06-2024.xlsm)</v>
      </c>
      <c r="F119" s="173" t="str">
        <f ca="1">IF(RegimeExecucao="Global","",ORÇAMENTO.Unidade)</f>
        <v/>
      </c>
      <c r="G119" s="124" t="str">
        <f ca="1">IF(RegimeExecucao="Global","",ORÇAMENTO!T119)</f>
        <v/>
      </c>
      <c r="H119" s="124" t="str">
        <f ca="1">IF(RegimeExecucao="Global","",ORÇAMENTO!W119)</f>
        <v/>
      </c>
      <c r="I119" s="127">
        <f ca="1">ORÇAMENTO!X119</f>
        <v>0</v>
      </c>
      <c r="J119" s="378">
        <f ca="1">IF($A119="S",IF(CAIXA.Modo,BM.AFAnterior,BM.MEDAnterior),IF(AND(RegimeExecucao="Global",$I119&gt;0,COUNTIF($AB$13:$AM$13,BM.medicao-1)&gt;0),M119/$I119*100,0))</f>
        <v>0</v>
      </c>
      <c r="K119" s="124">
        <f t="shared" ca="1" si="17"/>
        <v>0</v>
      </c>
      <c r="L119" s="379">
        <f ca="1">IF($A119="S",IF(CAIXA.Modo,BM.AFAcumulado,BM.MEDAcumulado),IF(AND(RegimeExecucao="Global",$I119&gt;0,COUNTIF($AB$13:$AM$13,BM.medicao)&gt;0),O119/$I119*100,0))</f>
        <v>0</v>
      </c>
      <c r="M119" s="380">
        <f ca="1">IF($A119="S",VTOTALBM,IF($A119=0,0,ROUND(SomaAgrupBM,15-13*ORÇAMENTO!$AF$11)))</f>
        <v>0</v>
      </c>
      <c r="N119" s="381">
        <f t="shared" ca="1" si="18"/>
        <v>0</v>
      </c>
      <c r="O119" s="127">
        <f ca="1">IF($A119="S",VTOTALBM,IF($A119=0,0,ROUND(SomaAgrupBM,15-13*ORÇAMENTO!$AF$11)))</f>
        <v>0</v>
      </c>
      <c r="Q119" s="382"/>
      <c r="R119" s="383"/>
      <c r="T119" s="119" t="str">
        <f t="shared" ca="1" si="19"/>
        <v/>
      </c>
      <c r="U119" s="172" t="str">
        <f t="shared" ca="1" si="20"/>
        <v/>
      </c>
      <c r="V119" s="173" t="str">
        <f ca="1">IF(AND($W119&gt;0,RegimeExecucao="Unitário"),$F119,"")</f>
        <v/>
      </c>
      <c r="W119" s="547">
        <f ca="1">IF($Y119&gt;0,CHOOSE(MATCH(RegimeExecucao,{"Unitário","Global"},0),IF($A119="S",$Y119/$X119,""),($Y119/$X119)*100),0)</f>
        <v>0</v>
      </c>
      <c r="X119" s="384" t="str">
        <f ca="1">IF($Y119&gt;0,CHOOSE(MATCH(RegimeExecucao,{"Unitário","Global"},0),IF($A119="S",ROUND($H119,ORÇAMENTO!$AF$10),""),ROUND($I119,ORÇAMENTO!$AF$11)),"")</f>
        <v/>
      </c>
      <c r="Y119" s="384">
        <f t="shared" ca="1" si="21"/>
        <v>0</v>
      </c>
      <c r="Z119" s="572"/>
      <c r="AB119" s="382"/>
      <c r="AC119" s="516"/>
      <c r="AD119" s="516"/>
      <c r="AE119" s="516"/>
      <c r="AF119" s="516"/>
      <c r="AG119" s="516"/>
      <c r="AH119" s="516"/>
      <c r="AI119" s="516"/>
      <c r="AJ119" s="516"/>
      <c r="AK119" s="516"/>
      <c r="AL119" s="516"/>
      <c r="AM119" s="383"/>
      <c r="AO119">
        <f ca="1">IF($A119="S",IF(BM!$I119=0,0,CHOOSE(MATCH(RegimeExecucao,{"Global","Unitário"},0),ROUND(ROUND(BM.MEDAcumulado,15-13*BM!$A$9)/100*BM!$I119,15-13*ORÇAMENTO!$AF$11),ROUND(ROUND(BM.MEDAcumulado,15-13*BM!$A$9)*ROUND(BM!$H119,15-13*ORÇAMENTO!$AF$10),15-13*ORÇAMENTO!$AF$11))),IF($A119=0,0,ROUND(SomaAgrupBM,15-13*ORÇAMENTO!$AF$11)))</f>
        <v>0</v>
      </c>
    </row>
    <row r="120" spans="1:41" ht="25.5" x14ac:dyDescent="0.2">
      <c r="A120" t="str">
        <f ca="1">ORÇAMENTO!C120</f>
        <v>S</v>
      </c>
      <c r="B120">
        <f ca="1">ORÇAMENTO!D120</f>
        <v>0</v>
      </c>
      <c r="C120" s="116" t="str">
        <f t="shared" ca="1" si="15"/>
        <v/>
      </c>
      <c r="D120" s="119" t="str">
        <f ca="1">ORÇAMENTO!O120</f>
        <v>-</v>
      </c>
      <c r="E120" s="172" t="str">
        <f t="shared" ca="1" si="16"/>
        <v>(abra o arquivo 'Referência 06-2024.xlsm)</v>
      </c>
      <c r="F120" s="173" t="str">
        <f ca="1">IF(RegimeExecucao="Global","",ORÇAMENTO.Unidade)</f>
        <v/>
      </c>
      <c r="G120" s="124" t="str">
        <f ca="1">IF(RegimeExecucao="Global","",ORÇAMENTO!T120)</f>
        <v/>
      </c>
      <c r="H120" s="124" t="str">
        <f ca="1">IF(RegimeExecucao="Global","",ORÇAMENTO!W120)</f>
        <v/>
      </c>
      <c r="I120" s="127">
        <f ca="1">ORÇAMENTO!X120</f>
        <v>0</v>
      </c>
      <c r="J120" s="378">
        <f ca="1">IF($A120="S",IF(CAIXA.Modo,BM.AFAnterior,BM.MEDAnterior),IF(AND(RegimeExecucao="Global",$I120&gt;0,COUNTIF($AB$13:$AM$13,BM.medicao-1)&gt;0),M120/$I120*100,0))</f>
        <v>0</v>
      </c>
      <c r="K120" s="124">
        <f t="shared" ca="1" si="17"/>
        <v>0</v>
      </c>
      <c r="L120" s="379">
        <f ca="1">IF($A120="S",IF(CAIXA.Modo,BM.AFAcumulado,BM.MEDAcumulado),IF(AND(RegimeExecucao="Global",$I120&gt;0,COUNTIF($AB$13:$AM$13,BM.medicao)&gt;0),O120/$I120*100,0))</f>
        <v>0</v>
      </c>
      <c r="M120" s="380">
        <f ca="1">IF($A120="S",VTOTALBM,IF($A120=0,0,ROUND(SomaAgrupBM,15-13*ORÇAMENTO!$AF$11)))</f>
        <v>0</v>
      </c>
      <c r="N120" s="381">
        <f t="shared" ca="1" si="18"/>
        <v>0</v>
      </c>
      <c r="O120" s="127">
        <f ca="1">IF($A120="S",VTOTALBM,IF($A120=0,0,ROUND(SomaAgrupBM,15-13*ORÇAMENTO!$AF$11)))</f>
        <v>0</v>
      </c>
      <c r="Q120" s="382"/>
      <c r="R120" s="383"/>
      <c r="T120" s="119" t="str">
        <f t="shared" ca="1" si="19"/>
        <v/>
      </c>
      <c r="U120" s="172" t="str">
        <f t="shared" ca="1" si="20"/>
        <v/>
      </c>
      <c r="V120" s="173" t="str">
        <f ca="1">IF(AND($W120&gt;0,RegimeExecucao="Unitário"),$F120,"")</f>
        <v/>
      </c>
      <c r="W120" s="547">
        <f ca="1">IF($Y120&gt;0,CHOOSE(MATCH(RegimeExecucao,{"Unitário","Global"},0),IF($A120="S",$Y120/$X120,""),($Y120/$X120)*100),0)</f>
        <v>0</v>
      </c>
      <c r="X120" s="384" t="str">
        <f ca="1">IF($Y120&gt;0,CHOOSE(MATCH(RegimeExecucao,{"Unitário","Global"},0),IF($A120="S",ROUND($H120,ORÇAMENTO!$AF$10),""),ROUND($I120,ORÇAMENTO!$AF$11)),"")</f>
        <v/>
      </c>
      <c r="Y120" s="384">
        <f t="shared" ca="1" si="21"/>
        <v>0</v>
      </c>
      <c r="Z120" s="572"/>
      <c r="AB120" s="382"/>
      <c r="AC120" s="516"/>
      <c r="AD120" s="516"/>
      <c r="AE120" s="516"/>
      <c r="AF120" s="516"/>
      <c r="AG120" s="516"/>
      <c r="AH120" s="516"/>
      <c r="AI120" s="516"/>
      <c r="AJ120" s="516"/>
      <c r="AK120" s="516"/>
      <c r="AL120" s="516"/>
      <c r="AM120" s="383"/>
      <c r="AO120">
        <f ca="1">IF($A120="S",IF(BM!$I120=0,0,CHOOSE(MATCH(RegimeExecucao,{"Global","Unitário"},0),ROUND(ROUND(BM.MEDAcumulado,15-13*BM!$A$9)/100*BM!$I120,15-13*ORÇAMENTO!$AF$11),ROUND(ROUND(BM.MEDAcumulado,15-13*BM!$A$9)*ROUND(BM!$H120,15-13*ORÇAMENTO!$AF$10),15-13*ORÇAMENTO!$AF$11))),IF($A120=0,0,ROUND(SomaAgrupBM,15-13*ORÇAMENTO!$AF$11)))</f>
        <v>0</v>
      </c>
    </row>
    <row r="121" spans="1:41" x14ac:dyDescent="0.2">
      <c r="A121">
        <f ca="1">ORÇAMENTO!C121</f>
        <v>2</v>
      </c>
      <c r="B121">
        <f ca="1">ORÇAMENTO!D121</f>
        <v>5</v>
      </c>
      <c r="C121" s="116" t="str">
        <f t="shared" ca="1" si="15"/>
        <v>F</v>
      </c>
      <c r="D121" s="119" t="str">
        <f ca="1">ORÇAMENTO!O121</f>
        <v>1.19.</v>
      </c>
      <c r="E121" s="172" t="str">
        <f t="shared" si="16"/>
        <v>ESQUADRIAS - FERRAGENS E ACESSÓRIOS</v>
      </c>
      <c r="F121" s="173" t="str">
        <f ca="1">IF(RegimeExecucao="Global","",ORÇAMENTO.Unidade)</f>
        <v/>
      </c>
      <c r="G121" s="124" t="str">
        <f ca="1">IF(RegimeExecucao="Global","",ORÇAMENTO!T121)</f>
        <v/>
      </c>
      <c r="H121" s="124" t="str">
        <f ca="1">IF(RegimeExecucao="Global","",ORÇAMENTO!W121)</f>
        <v/>
      </c>
      <c r="I121" s="127">
        <f ca="1">ORÇAMENTO!X121</f>
        <v>0</v>
      </c>
      <c r="J121" s="378">
        <f ca="1">IF($A121="S",IF(CAIXA.Modo,BM.AFAnterior,BM.MEDAnterior),IF(AND(RegimeExecucao="Global",$I121&gt;0,COUNTIF($AB$13:$AM$13,BM.medicao-1)&gt;0),M121/$I121*100,0))</f>
        <v>0</v>
      </c>
      <c r="K121" s="124">
        <f t="shared" ca="1" si="17"/>
        <v>0</v>
      </c>
      <c r="L121" s="379">
        <f ca="1">IF($A121="S",IF(CAIXA.Modo,BM.AFAcumulado,BM.MEDAcumulado),IF(AND(RegimeExecucao="Global",$I121&gt;0,COUNTIF($AB$13:$AM$13,BM.medicao)&gt;0),O121/$I121*100,0))</f>
        <v>0</v>
      </c>
      <c r="M121" s="380">
        <f ca="1">IF($A121="S",VTOTALBM,IF($A121=0,0,ROUND(SomaAgrupBM,15-13*ORÇAMENTO!$AF$11)))</f>
        <v>0</v>
      </c>
      <c r="N121" s="381">
        <f t="shared" ca="1" si="18"/>
        <v>0</v>
      </c>
      <c r="O121" s="127">
        <f ca="1">IF($A121="S",VTOTALBM,IF($A121=0,0,ROUND(SomaAgrupBM,15-13*ORÇAMENTO!$AF$11)))</f>
        <v>0</v>
      </c>
      <c r="Q121" s="382"/>
      <c r="R121" s="383"/>
      <c r="T121" s="119" t="str">
        <f t="shared" ca="1" si="19"/>
        <v/>
      </c>
      <c r="U121" s="172" t="str">
        <f t="shared" ca="1" si="20"/>
        <v/>
      </c>
      <c r="V121" s="173" t="str">
        <f ca="1">IF(AND($W121&gt;0,RegimeExecucao="Unitário"),$F121,"")</f>
        <v/>
      </c>
      <c r="W121" s="547">
        <f ca="1">IF($Y121&gt;0,CHOOSE(MATCH(RegimeExecucao,{"Unitário","Global"},0),IF($A121="S",$Y121/$X121,""),($Y121/$X121)*100),0)</f>
        <v>0</v>
      </c>
      <c r="X121" s="384" t="str">
        <f ca="1">IF($Y121&gt;0,CHOOSE(MATCH(RegimeExecucao,{"Unitário","Global"},0),IF($A121="S",ROUND($H121,ORÇAMENTO!$AF$10),""),ROUND($I121,ORÇAMENTO!$AF$11)),"")</f>
        <v/>
      </c>
      <c r="Y121" s="384">
        <f t="shared" ca="1" si="21"/>
        <v>0</v>
      </c>
      <c r="Z121" s="572"/>
      <c r="AB121" s="382"/>
      <c r="AC121" s="516"/>
      <c r="AD121" s="516"/>
      <c r="AE121" s="516"/>
      <c r="AF121" s="516"/>
      <c r="AG121" s="516"/>
      <c r="AH121" s="516"/>
      <c r="AI121" s="516"/>
      <c r="AJ121" s="516"/>
      <c r="AK121" s="516"/>
      <c r="AL121" s="516"/>
      <c r="AM121" s="383"/>
      <c r="AO121">
        <f ca="1">IF($A121="S",IF(BM!$I121=0,0,CHOOSE(MATCH(RegimeExecucao,{"Global","Unitário"},0),ROUND(ROUND(BM.MEDAcumulado,15-13*BM!$A$9)/100*BM!$I121,15-13*ORÇAMENTO!$AF$11),ROUND(ROUND(BM.MEDAcumulado,15-13*BM!$A$9)*ROUND(BM!$H121,15-13*ORÇAMENTO!$AF$10),15-13*ORÇAMENTO!$AF$11))),IF($A121=0,0,ROUND(SomaAgrupBM,15-13*ORÇAMENTO!$AF$11)))</f>
        <v>0</v>
      </c>
    </row>
    <row r="122" spans="1:41" ht="25.5" x14ac:dyDescent="0.2">
      <c r="A122" t="str">
        <f ca="1">ORÇAMENTO!C122</f>
        <v>S</v>
      </c>
      <c r="B122">
        <f ca="1">ORÇAMENTO!D122</f>
        <v>0</v>
      </c>
      <c r="C122" s="116" t="str">
        <f t="shared" ca="1" si="15"/>
        <v/>
      </c>
      <c r="D122" s="119" t="str">
        <f ca="1">ORÇAMENTO!O122</f>
        <v>-</v>
      </c>
      <c r="E122" s="172" t="str">
        <f t="shared" ca="1" si="16"/>
        <v>(abra o arquivo 'Referência 06-2024.xlsm)</v>
      </c>
      <c r="F122" s="173" t="str">
        <f ca="1">IF(RegimeExecucao="Global","",ORÇAMENTO.Unidade)</f>
        <v/>
      </c>
      <c r="G122" s="124" t="str">
        <f ca="1">IF(RegimeExecucao="Global","",ORÇAMENTO!T122)</f>
        <v/>
      </c>
      <c r="H122" s="124" t="str">
        <f ca="1">IF(RegimeExecucao="Global","",ORÇAMENTO!W122)</f>
        <v/>
      </c>
      <c r="I122" s="127">
        <f ca="1">ORÇAMENTO!X122</f>
        <v>0</v>
      </c>
      <c r="J122" s="378">
        <f ca="1">IF($A122="S",IF(CAIXA.Modo,BM.AFAnterior,BM.MEDAnterior),IF(AND(RegimeExecucao="Global",$I122&gt;0,COUNTIF($AB$13:$AM$13,BM.medicao-1)&gt;0),M122/$I122*100,0))</f>
        <v>0</v>
      </c>
      <c r="K122" s="124">
        <f t="shared" ca="1" si="17"/>
        <v>0</v>
      </c>
      <c r="L122" s="379">
        <f ca="1">IF($A122="S",IF(CAIXA.Modo,BM.AFAcumulado,BM.MEDAcumulado),IF(AND(RegimeExecucao="Global",$I122&gt;0,COUNTIF($AB$13:$AM$13,BM.medicao)&gt;0),O122/$I122*100,0))</f>
        <v>0</v>
      </c>
      <c r="M122" s="380">
        <f ca="1">IF($A122="S",VTOTALBM,IF($A122=0,0,ROUND(SomaAgrupBM,15-13*ORÇAMENTO!$AF$11)))</f>
        <v>0</v>
      </c>
      <c r="N122" s="381">
        <f t="shared" ca="1" si="18"/>
        <v>0</v>
      </c>
      <c r="O122" s="127">
        <f ca="1">IF($A122="S",VTOTALBM,IF($A122=0,0,ROUND(SomaAgrupBM,15-13*ORÇAMENTO!$AF$11)))</f>
        <v>0</v>
      </c>
      <c r="Q122" s="382"/>
      <c r="R122" s="383"/>
      <c r="T122" s="119" t="str">
        <f t="shared" ca="1" si="19"/>
        <v/>
      </c>
      <c r="U122" s="172" t="str">
        <f t="shared" ca="1" si="20"/>
        <v/>
      </c>
      <c r="V122" s="173" t="str">
        <f ca="1">IF(AND($W122&gt;0,RegimeExecucao="Unitário"),$F122,"")</f>
        <v/>
      </c>
      <c r="W122" s="547">
        <f ca="1">IF($Y122&gt;0,CHOOSE(MATCH(RegimeExecucao,{"Unitário","Global"},0),IF($A122="S",$Y122/$X122,""),($Y122/$X122)*100),0)</f>
        <v>0</v>
      </c>
      <c r="X122" s="384" t="str">
        <f ca="1">IF($Y122&gt;0,CHOOSE(MATCH(RegimeExecucao,{"Unitário","Global"},0),IF($A122="S",ROUND($H122,ORÇAMENTO!$AF$10),""),ROUND($I122,ORÇAMENTO!$AF$11)),"")</f>
        <v/>
      </c>
      <c r="Y122" s="384">
        <f t="shared" ca="1" si="21"/>
        <v>0</v>
      </c>
      <c r="Z122" s="572"/>
      <c r="AB122" s="382"/>
      <c r="AC122" s="516"/>
      <c r="AD122" s="516"/>
      <c r="AE122" s="516"/>
      <c r="AF122" s="516"/>
      <c r="AG122" s="516"/>
      <c r="AH122" s="516"/>
      <c r="AI122" s="516"/>
      <c r="AJ122" s="516"/>
      <c r="AK122" s="516"/>
      <c r="AL122" s="516"/>
      <c r="AM122" s="383"/>
      <c r="AO122">
        <f ca="1">IF($A122="S",IF(BM!$I122=0,0,CHOOSE(MATCH(RegimeExecucao,{"Global","Unitário"},0),ROUND(ROUND(BM.MEDAcumulado,15-13*BM!$A$9)/100*BM!$I122,15-13*ORÇAMENTO!$AF$11),ROUND(ROUND(BM.MEDAcumulado,15-13*BM!$A$9)*ROUND(BM!$H122,15-13*ORÇAMENTO!$AF$10),15-13*ORÇAMENTO!$AF$11))),IF($A122=0,0,ROUND(SomaAgrupBM,15-13*ORÇAMENTO!$AF$11)))</f>
        <v>0</v>
      </c>
    </row>
    <row r="123" spans="1:41" ht="38.25" x14ac:dyDescent="0.2">
      <c r="A123" t="str">
        <f ca="1">ORÇAMENTO!C123</f>
        <v>S</v>
      </c>
      <c r="B123">
        <f ca="1">ORÇAMENTO!D123</f>
        <v>0</v>
      </c>
      <c r="C123" s="116" t="str">
        <f t="shared" ca="1" si="15"/>
        <v/>
      </c>
      <c r="D123" s="119" t="str">
        <f ca="1">ORÇAMENTO!O123</f>
        <v>-</v>
      </c>
      <c r="E123" s="172" t="str">
        <f t="shared" ca="1" si="16"/>
        <v>(abra o arquivo 'Referência 06-2024.xlsm)</v>
      </c>
      <c r="F123" s="173" t="str">
        <f ca="1">IF(RegimeExecucao="Global","",ORÇAMENTO.Unidade)</f>
        <v/>
      </c>
      <c r="G123" s="124" t="str">
        <f ca="1">IF(RegimeExecucao="Global","",ORÇAMENTO!T123)</f>
        <v/>
      </c>
      <c r="H123" s="124" t="str">
        <f ca="1">IF(RegimeExecucao="Global","",ORÇAMENTO!W123)</f>
        <v/>
      </c>
      <c r="I123" s="127">
        <f ca="1">ORÇAMENTO!X123</f>
        <v>0</v>
      </c>
      <c r="J123" s="378">
        <f ca="1">IF($A123="S",IF(CAIXA.Modo,BM.AFAnterior,BM.MEDAnterior),IF(AND(RegimeExecucao="Global",$I123&gt;0,COUNTIF($AB$13:$AM$13,BM.medicao-1)&gt;0),M123/$I123*100,0))</f>
        <v>0</v>
      </c>
      <c r="K123" s="124">
        <f t="shared" ca="1" si="17"/>
        <v>0</v>
      </c>
      <c r="L123" s="379">
        <f ca="1">IF($A123="S",IF(CAIXA.Modo,BM.AFAcumulado,BM.MEDAcumulado),IF(AND(RegimeExecucao="Global",$I123&gt;0,COUNTIF($AB$13:$AM$13,BM.medicao)&gt;0),O123/$I123*100,0))</f>
        <v>0</v>
      </c>
      <c r="M123" s="380">
        <f ca="1">IF($A123="S",VTOTALBM,IF($A123=0,0,ROUND(SomaAgrupBM,15-13*ORÇAMENTO!$AF$11)))</f>
        <v>0</v>
      </c>
      <c r="N123" s="381">
        <f t="shared" ca="1" si="18"/>
        <v>0</v>
      </c>
      <c r="O123" s="127">
        <f ca="1">IF($A123="S",VTOTALBM,IF($A123=0,0,ROUND(SomaAgrupBM,15-13*ORÇAMENTO!$AF$11)))</f>
        <v>0</v>
      </c>
      <c r="Q123" s="382"/>
      <c r="R123" s="383"/>
      <c r="T123" s="119" t="str">
        <f t="shared" ca="1" si="19"/>
        <v/>
      </c>
      <c r="U123" s="172" t="str">
        <f t="shared" ca="1" si="20"/>
        <v/>
      </c>
      <c r="V123" s="173" t="str">
        <f ca="1">IF(AND($W123&gt;0,RegimeExecucao="Unitário"),$F123,"")</f>
        <v/>
      </c>
      <c r="W123" s="547">
        <f ca="1">IF($Y123&gt;0,CHOOSE(MATCH(RegimeExecucao,{"Unitário","Global"},0),IF($A123="S",$Y123/$X123,""),($Y123/$X123)*100),0)</f>
        <v>0</v>
      </c>
      <c r="X123" s="384" t="str">
        <f ca="1">IF($Y123&gt;0,CHOOSE(MATCH(RegimeExecucao,{"Unitário","Global"},0),IF($A123="S",ROUND($H123,ORÇAMENTO!$AF$10),""),ROUND($I123,ORÇAMENTO!$AF$11)),"")</f>
        <v/>
      </c>
      <c r="Y123" s="384">
        <f t="shared" ca="1" si="21"/>
        <v>0</v>
      </c>
      <c r="Z123" s="572"/>
      <c r="AB123" s="382"/>
      <c r="AC123" s="516"/>
      <c r="AD123" s="516"/>
      <c r="AE123" s="516"/>
      <c r="AF123" s="516"/>
      <c r="AG123" s="516"/>
      <c r="AH123" s="516"/>
      <c r="AI123" s="516"/>
      <c r="AJ123" s="516"/>
      <c r="AK123" s="516"/>
      <c r="AL123" s="516"/>
      <c r="AM123" s="383"/>
      <c r="AO123">
        <f ca="1">IF($A123="S",IF(BM!$I123=0,0,CHOOSE(MATCH(RegimeExecucao,{"Global","Unitário"},0),ROUND(ROUND(BM.MEDAcumulado,15-13*BM!$A$9)/100*BM!$I123,15-13*ORÇAMENTO!$AF$11),ROUND(ROUND(BM.MEDAcumulado,15-13*BM!$A$9)*ROUND(BM!$H123,15-13*ORÇAMENTO!$AF$10),15-13*ORÇAMENTO!$AF$11))),IF($A123=0,0,ROUND(SomaAgrupBM,15-13*ORÇAMENTO!$AF$11)))</f>
        <v>0</v>
      </c>
    </row>
    <row r="124" spans="1:41" ht="25.5" x14ac:dyDescent="0.2">
      <c r="A124" t="str">
        <f ca="1">ORÇAMENTO!C124</f>
        <v>S</v>
      </c>
      <c r="B124">
        <f ca="1">ORÇAMENTO!D124</f>
        <v>0</v>
      </c>
      <c r="C124" s="116" t="str">
        <f t="shared" ca="1" si="15"/>
        <v/>
      </c>
      <c r="D124" s="119" t="str">
        <f ca="1">ORÇAMENTO!O124</f>
        <v>-</v>
      </c>
      <c r="E124" s="172" t="str">
        <f t="shared" ca="1" si="16"/>
        <v>(abra o arquivo 'Referência 06-2024.xlsm)</v>
      </c>
      <c r="F124" s="173" t="str">
        <f ca="1">IF(RegimeExecucao="Global","",ORÇAMENTO.Unidade)</f>
        <v/>
      </c>
      <c r="G124" s="124" t="str">
        <f ca="1">IF(RegimeExecucao="Global","",ORÇAMENTO!T124)</f>
        <v/>
      </c>
      <c r="H124" s="124" t="str">
        <f ca="1">IF(RegimeExecucao="Global","",ORÇAMENTO!W124)</f>
        <v/>
      </c>
      <c r="I124" s="127">
        <f ca="1">ORÇAMENTO!X124</f>
        <v>0</v>
      </c>
      <c r="J124" s="378">
        <f ca="1">IF($A124="S",IF(CAIXA.Modo,BM.AFAnterior,BM.MEDAnterior),IF(AND(RegimeExecucao="Global",$I124&gt;0,COUNTIF($AB$13:$AM$13,BM.medicao-1)&gt;0),M124/$I124*100,0))</f>
        <v>0</v>
      </c>
      <c r="K124" s="124">
        <f t="shared" ca="1" si="17"/>
        <v>0</v>
      </c>
      <c r="L124" s="379">
        <f ca="1">IF($A124="S",IF(CAIXA.Modo,BM.AFAcumulado,BM.MEDAcumulado),IF(AND(RegimeExecucao="Global",$I124&gt;0,COUNTIF($AB$13:$AM$13,BM.medicao)&gt;0),O124/$I124*100,0))</f>
        <v>0</v>
      </c>
      <c r="M124" s="380">
        <f ca="1">IF($A124="S",VTOTALBM,IF($A124=0,0,ROUND(SomaAgrupBM,15-13*ORÇAMENTO!$AF$11)))</f>
        <v>0</v>
      </c>
      <c r="N124" s="381">
        <f t="shared" ca="1" si="18"/>
        <v>0</v>
      </c>
      <c r="O124" s="127">
        <f ca="1">IF($A124="S",VTOTALBM,IF($A124=0,0,ROUND(SomaAgrupBM,15-13*ORÇAMENTO!$AF$11)))</f>
        <v>0</v>
      </c>
      <c r="Q124" s="382"/>
      <c r="R124" s="383"/>
      <c r="T124" s="119" t="str">
        <f t="shared" ca="1" si="19"/>
        <v/>
      </c>
      <c r="U124" s="172" t="str">
        <f t="shared" ca="1" si="20"/>
        <v/>
      </c>
      <c r="V124" s="173" t="str">
        <f ca="1">IF(AND($W124&gt;0,RegimeExecucao="Unitário"),$F124,"")</f>
        <v/>
      </c>
      <c r="W124" s="547">
        <f ca="1">IF($Y124&gt;0,CHOOSE(MATCH(RegimeExecucao,{"Unitário","Global"},0),IF($A124="S",$Y124/$X124,""),($Y124/$X124)*100),0)</f>
        <v>0</v>
      </c>
      <c r="X124" s="384" t="str">
        <f ca="1">IF($Y124&gt;0,CHOOSE(MATCH(RegimeExecucao,{"Unitário","Global"},0),IF($A124="S",ROUND($H124,ORÇAMENTO!$AF$10),""),ROUND($I124,ORÇAMENTO!$AF$11)),"")</f>
        <v/>
      </c>
      <c r="Y124" s="384">
        <f t="shared" ca="1" si="21"/>
        <v>0</v>
      </c>
      <c r="Z124" s="572"/>
      <c r="AB124" s="382"/>
      <c r="AC124" s="516"/>
      <c r="AD124" s="516"/>
      <c r="AE124" s="516"/>
      <c r="AF124" s="516"/>
      <c r="AG124" s="516"/>
      <c r="AH124" s="516"/>
      <c r="AI124" s="516"/>
      <c r="AJ124" s="516"/>
      <c r="AK124" s="516"/>
      <c r="AL124" s="516"/>
      <c r="AM124" s="383"/>
      <c r="AO124">
        <f ca="1">IF($A124="S",IF(BM!$I124=0,0,CHOOSE(MATCH(RegimeExecucao,{"Global","Unitário"},0),ROUND(ROUND(BM.MEDAcumulado,15-13*BM!$A$9)/100*BM!$I124,15-13*ORÇAMENTO!$AF$11),ROUND(ROUND(BM.MEDAcumulado,15-13*BM!$A$9)*ROUND(BM!$H124,15-13*ORÇAMENTO!$AF$10),15-13*ORÇAMENTO!$AF$11))),IF($A124=0,0,ROUND(SomaAgrupBM,15-13*ORÇAMENTO!$AF$11)))</f>
        <v>0</v>
      </c>
    </row>
    <row r="125" spans="1:41" ht="25.5" x14ac:dyDescent="0.2">
      <c r="A125" t="str">
        <f ca="1">ORÇAMENTO!C125</f>
        <v>S</v>
      </c>
      <c r="B125">
        <f ca="1">ORÇAMENTO!D125</f>
        <v>0</v>
      </c>
      <c r="C125" s="116" t="str">
        <f t="shared" ca="1" si="15"/>
        <v/>
      </c>
      <c r="D125" s="119" t="str">
        <f ca="1">ORÇAMENTO!O125</f>
        <v>-</v>
      </c>
      <c r="E125" s="172" t="str">
        <f t="shared" ca="1" si="16"/>
        <v>(abra o arquivo 'Referência 06-2024.xlsm)</v>
      </c>
      <c r="F125" s="173" t="str">
        <f ca="1">IF(RegimeExecucao="Global","",ORÇAMENTO.Unidade)</f>
        <v/>
      </c>
      <c r="G125" s="124" t="str">
        <f ca="1">IF(RegimeExecucao="Global","",ORÇAMENTO!T125)</f>
        <v/>
      </c>
      <c r="H125" s="124" t="str">
        <f ca="1">IF(RegimeExecucao="Global","",ORÇAMENTO!W125)</f>
        <v/>
      </c>
      <c r="I125" s="127">
        <f ca="1">ORÇAMENTO!X125</f>
        <v>0</v>
      </c>
      <c r="J125" s="378">
        <f ca="1">IF($A125="S",IF(CAIXA.Modo,BM.AFAnterior,BM.MEDAnterior),IF(AND(RegimeExecucao="Global",$I125&gt;0,COUNTIF($AB$13:$AM$13,BM.medicao-1)&gt;0),M125/$I125*100,0))</f>
        <v>0</v>
      </c>
      <c r="K125" s="124">
        <f t="shared" ca="1" si="17"/>
        <v>0</v>
      </c>
      <c r="L125" s="379">
        <f ca="1">IF($A125="S",IF(CAIXA.Modo,BM.AFAcumulado,BM.MEDAcumulado),IF(AND(RegimeExecucao="Global",$I125&gt;0,COUNTIF($AB$13:$AM$13,BM.medicao)&gt;0),O125/$I125*100,0))</f>
        <v>0</v>
      </c>
      <c r="M125" s="380">
        <f ca="1">IF($A125="S",VTOTALBM,IF($A125=0,0,ROUND(SomaAgrupBM,15-13*ORÇAMENTO!$AF$11)))</f>
        <v>0</v>
      </c>
      <c r="N125" s="381">
        <f t="shared" ca="1" si="18"/>
        <v>0</v>
      </c>
      <c r="O125" s="127">
        <f ca="1">IF($A125="S",VTOTALBM,IF($A125=0,0,ROUND(SomaAgrupBM,15-13*ORÇAMENTO!$AF$11)))</f>
        <v>0</v>
      </c>
      <c r="Q125" s="382"/>
      <c r="R125" s="383"/>
      <c r="T125" s="119" t="str">
        <f t="shared" ca="1" si="19"/>
        <v/>
      </c>
      <c r="U125" s="172" t="str">
        <f t="shared" ca="1" si="20"/>
        <v/>
      </c>
      <c r="V125" s="173" t="str">
        <f ca="1">IF(AND($W125&gt;0,RegimeExecucao="Unitário"),$F125,"")</f>
        <v/>
      </c>
      <c r="W125" s="547">
        <f ca="1">IF($Y125&gt;0,CHOOSE(MATCH(RegimeExecucao,{"Unitário","Global"},0),IF($A125="S",$Y125/$X125,""),($Y125/$X125)*100),0)</f>
        <v>0</v>
      </c>
      <c r="X125" s="384" t="str">
        <f ca="1">IF($Y125&gt;0,CHOOSE(MATCH(RegimeExecucao,{"Unitário","Global"},0),IF($A125="S",ROUND($H125,ORÇAMENTO!$AF$10),""),ROUND($I125,ORÇAMENTO!$AF$11)),"")</f>
        <v/>
      </c>
      <c r="Y125" s="384">
        <f t="shared" ca="1" si="21"/>
        <v>0</v>
      </c>
      <c r="Z125" s="572"/>
      <c r="AB125" s="382"/>
      <c r="AC125" s="516"/>
      <c r="AD125" s="516"/>
      <c r="AE125" s="516"/>
      <c r="AF125" s="516"/>
      <c r="AG125" s="516"/>
      <c r="AH125" s="516"/>
      <c r="AI125" s="516"/>
      <c r="AJ125" s="516"/>
      <c r="AK125" s="516"/>
      <c r="AL125" s="516"/>
      <c r="AM125" s="383"/>
      <c r="AO125">
        <f ca="1">IF($A125="S",IF(BM!$I125=0,0,CHOOSE(MATCH(RegimeExecucao,{"Global","Unitário"},0),ROUND(ROUND(BM.MEDAcumulado,15-13*BM!$A$9)/100*BM!$I125,15-13*ORÇAMENTO!$AF$11),ROUND(ROUND(BM.MEDAcumulado,15-13*BM!$A$9)*ROUND(BM!$H125,15-13*ORÇAMENTO!$AF$10),15-13*ORÇAMENTO!$AF$11))),IF($A125=0,0,ROUND(SomaAgrupBM,15-13*ORÇAMENTO!$AF$11)))</f>
        <v>0</v>
      </c>
    </row>
    <row r="126" spans="1:41" x14ac:dyDescent="0.2">
      <c r="A126">
        <f ca="1">ORÇAMENTO!C126</f>
        <v>2</v>
      </c>
      <c r="B126">
        <f ca="1">ORÇAMENTO!D126</f>
        <v>8</v>
      </c>
      <c r="C126" s="116" t="str">
        <f t="shared" ca="1" si="15"/>
        <v>F</v>
      </c>
      <c r="D126" s="119" t="str">
        <f ca="1">ORÇAMENTO!O126</f>
        <v>1.20.</v>
      </c>
      <c r="E126" s="172" t="str">
        <f t="shared" si="16"/>
        <v>ESQUADRIAS - PORTAS EM ALUMÍNIO</v>
      </c>
      <c r="F126" s="173" t="str">
        <f ca="1">IF(RegimeExecucao="Global","",ORÇAMENTO.Unidade)</f>
        <v/>
      </c>
      <c r="G126" s="124" t="str">
        <f ca="1">IF(RegimeExecucao="Global","",ORÇAMENTO!T126)</f>
        <v/>
      </c>
      <c r="H126" s="124" t="str">
        <f ca="1">IF(RegimeExecucao="Global","",ORÇAMENTO!W126)</f>
        <v/>
      </c>
      <c r="I126" s="127">
        <f ca="1">ORÇAMENTO!X126</f>
        <v>0</v>
      </c>
      <c r="J126" s="378">
        <f ca="1">IF($A126="S",IF(CAIXA.Modo,BM.AFAnterior,BM.MEDAnterior),IF(AND(RegimeExecucao="Global",$I126&gt;0,COUNTIF($AB$13:$AM$13,BM.medicao-1)&gt;0),M126/$I126*100,0))</f>
        <v>0</v>
      </c>
      <c r="K126" s="124">
        <f t="shared" ca="1" si="17"/>
        <v>0</v>
      </c>
      <c r="L126" s="379">
        <f ca="1">IF($A126="S",IF(CAIXA.Modo,BM.AFAcumulado,BM.MEDAcumulado),IF(AND(RegimeExecucao="Global",$I126&gt;0,COUNTIF($AB$13:$AM$13,BM.medicao)&gt;0),O126/$I126*100,0))</f>
        <v>0</v>
      </c>
      <c r="M126" s="380">
        <f ca="1">IF($A126="S",VTOTALBM,IF($A126=0,0,ROUND(SomaAgrupBM,15-13*ORÇAMENTO!$AF$11)))</f>
        <v>0</v>
      </c>
      <c r="N126" s="381">
        <f t="shared" ca="1" si="18"/>
        <v>0</v>
      </c>
      <c r="O126" s="127">
        <f ca="1">IF($A126="S",VTOTALBM,IF($A126=0,0,ROUND(SomaAgrupBM,15-13*ORÇAMENTO!$AF$11)))</f>
        <v>0</v>
      </c>
      <c r="Q126" s="382"/>
      <c r="R126" s="383"/>
      <c r="T126" s="119" t="str">
        <f t="shared" ca="1" si="19"/>
        <v/>
      </c>
      <c r="U126" s="172" t="str">
        <f t="shared" ca="1" si="20"/>
        <v/>
      </c>
      <c r="V126" s="173" t="str">
        <f ca="1">IF(AND($W126&gt;0,RegimeExecucao="Unitário"),$F126,"")</f>
        <v/>
      </c>
      <c r="W126" s="547">
        <f ca="1">IF($Y126&gt;0,CHOOSE(MATCH(RegimeExecucao,{"Unitário","Global"},0),IF($A126="S",$Y126/$X126,""),($Y126/$X126)*100),0)</f>
        <v>0</v>
      </c>
      <c r="X126" s="384" t="str">
        <f ca="1">IF($Y126&gt;0,CHOOSE(MATCH(RegimeExecucao,{"Unitário","Global"},0),IF($A126="S",ROUND($H126,ORÇAMENTO!$AF$10),""),ROUND($I126,ORÇAMENTO!$AF$11)),"")</f>
        <v/>
      </c>
      <c r="Y126" s="384">
        <f t="shared" ca="1" si="21"/>
        <v>0</v>
      </c>
      <c r="Z126" s="572"/>
      <c r="AB126" s="382"/>
      <c r="AC126" s="516"/>
      <c r="AD126" s="516"/>
      <c r="AE126" s="516"/>
      <c r="AF126" s="516"/>
      <c r="AG126" s="516"/>
      <c r="AH126" s="516"/>
      <c r="AI126" s="516"/>
      <c r="AJ126" s="516"/>
      <c r="AK126" s="516"/>
      <c r="AL126" s="516"/>
      <c r="AM126" s="383"/>
      <c r="AO126">
        <f ca="1">IF($A126="S",IF(BM!$I126=0,0,CHOOSE(MATCH(RegimeExecucao,{"Global","Unitário"},0),ROUND(ROUND(BM.MEDAcumulado,15-13*BM!$A$9)/100*BM!$I126,15-13*ORÇAMENTO!$AF$11),ROUND(ROUND(BM.MEDAcumulado,15-13*BM!$A$9)*ROUND(BM!$H126,15-13*ORÇAMENTO!$AF$10),15-13*ORÇAMENTO!$AF$11))),IF($A126=0,0,ROUND(SomaAgrupBM,15-13*ORÇAMENTO!$AF$11)))</f>
        <v>0</v>
      </c>
    </row>
    <row r="127" spans="1:41" ht="38.25" x14ac:dyDescent="0.2">
      <c r="A127" t="str">
        <f ca="1">ORÇAMENTO!C127</f>
        <v>S</v>
      </c>
      <c r="B127">
        <f ca="1">ORÇAMENTO!D127</f>
        <v>0</v>
      </c>
      <c r="C127" s="116" t="str">
        <f t="shared" ca="1" si="15"/>
        <v/>
      </c>
      <c r="D127" s="119" t="str">
        <f ca="1">ORÇAMENTO!O127</f>
        <v>-</v>
      </c>
      <c r="E127" s="172" t="str">
        <f t="shared" ca="1" si="16"/>
        <v>(abra o arquivo 'Referência 06-2024.xlsm)</v>
      </c>
      <c r="F127" s="173" t="str">
        <f ca="1">IF(RegimeExecucao="Global","",ORÇAMENTO.Unidade)</f>
        <v/>
      </c>
      <c r="G127" s="124" t="str">
        <f ca="1">IF(RegimeExecucao="Global","",ORÇAMENTO!T127)</f>
        <v/>
      </c>
      <c r="H127" s="124" t="str">
        <f ca="1">IF(RegimeExecucao="Global","",ORÇAMENTO!W127)</f>
        <v/>
      </c>
      <c r="I127" s="127">
        <f ca="1">ORÇAMENTO!X127</f>
        <v>0</v>
      </c>
      <c r="J127" s="378">
        <f ca="1">IF($A127="S",IF(CAIXA.Modo,BM.AFAnterior,BM.MEDAnterior),IF(AND(RegimeExecucao="Global",$I127&gt;0,COUNTIF($AB$13:$AM$13,BM.medicao-1)&gt;0),M127/$I127*100,0))</f>
        <v>0</v>
      </c>
      <c r="K127" s="124">
        <f t="shared" ca="1" si="17"/>
        <v>0</v>
      </c>
      <c r="L127" s="379">
        <f ca="1">IF($A127="S",IF(CAIXA.Modo,BM.AFAcumulado,BM.MEDAcumulado),IF(AND(RegimeExecucao="Global",$I127&gt;0,COUNTIF($AB$13:$AM$13,BM.medicao)&gt;0),O127/$I127*100,0))</f>
        <v>0</v>
      </c>
      <c r="M127" s="380">
        <f ca="1">IF($A127="S",VTOTALBM,IF($A127=0,0,ROUND(SomaAgrupBM,15-13*ORÇAMENTO!$AF$11)))</f>
        <v>0</v>
      </c>
      <c r="N127" s="381">
        <f t="shared" ca="1" si="18"/>
        <v>0</v>
      </c>
      <c r="O127" s="127">
        <f ca="1">IF($A127="S",VTOTALBM,IF($A127=0,0,ROUND(SomaAgrupBM,15-13*ORÇAMENTO!$AF$11)))</f>
        <v>0</v>
      </c>
      <c r="Q127" s="382"/>
      <c r="R127" s="383"/>
      <c r="T127" s="119" t="str">
        <f t="shared" ca="1" si="19"/>
        <v/>
      </c>
      <c r="U127" s="172" t="str">
        <f t="shared" ca="1" si="20"/>
        <v/>
      </c>
      <c r="V127" s="173" t="str">
        <f ca="1">IF(AND($W127&gt;0,RegimeExecucao="Unitário"),$F127,"")</f>
        <v/>
      </c>
      <c r="W127" s="547">
        <f ca="1">IF($Y127&gt;0,CHOOSE(MATCH(RegimeExecucao,{"Unitário","Global"},0),IF($A127="S",$Y127/$X127,""),($Y127/$X127)*100),0)</f>
        <v>0</v>
      </c>
      <c r="X127" s="384" t="str">
        <f ca="1">IF($Y127&gt;0,CHOOSE(MATCH(RegimeExecucao,{"Unitário","Global"},0),IF($A127="S",ROUND($H127,ORÇAMENTO!$AF$10),""),ROUND($I127,ORÇAMENTO!$AF$11)),"")</f>
        <v/>
      </c>
      <c r="Y127" s="384">
        <f t="shared" ca="1" si="21"/>
        <v>0</v>
      </c>
      <c r="Z127" s="572"/>
      <c r="AB127" s="382"/>
      <c r="AC127" s="516"/>
      <c r="AD127" s="516"/>
      <c r="AE127" s="516"/>
      <c r="AF127" s="516"/>
      <c r="AG127" s="516"/>
      <c r="AH127" s="516"/>
      <c r="AI127" s="516"/>
      <c r="AJ127" s="516"/>
      <c r="AK127" s="516"/>
      <c r="AL127" s="516"/>
      <c r="AM127" s="383"/>
      <c r="AO127">
        <f ca="1">IF($A127="S",IF(BM!$I127=0,0,CHOOSE(MATCH(RegimeExecucao,{"Global","Unitário"},0),ROUND(ROUND(BM.MEDAcumulado,15-13*BM!$A$9)/100*BM!$I127,15-13*ORÇAMENTO!$AF$11),ROUND(ROUND(BM.MEDAcumulado,15-13*BM!$A$9)*ROUND(BM!$H127,15-13*ORÇAMENTO!$AF$10),15-13*ORÇAMENTO!$AF$11))),IF($A127=0,0,ROUND(SomaAgrupBM,15-13*ORÇAMENTO!$AF$11)))</f>
        <v>0</v>
      </c>
    </row>
    <row r="128" spans="1:41" ht="51" x14ac:dyDescent="0.2">
      <c r="A128" t="str">
        <f ca="1">ORÇAMENTO!C128</f>
        <v>S</v>
      </c>
      <c r="B128">
        <f ca="1">ORÇAMENTO!D128</f>
        <v>0</v>
      </c>
      <c r="C128" s="116" t="str">
        <f t="shared" ca="1" si="15"/>
        <v/>
      </c>
      <c r="D128" s="119" t="str">
        <f ca="1">ORÇAMENTO!O128</f>
        <v>-</v>
      </c>
      <c r="E128" s="172" t="str">
        <f t="shared" ca="1" si="16"/>
        <v>(abra o arquivo 'Referência 06-2024.xlsm)</v>
      </c>
      <c r="F128" s="173" t="str">
        <f ca="1">IF(RegimeExecucao="Global","",ORÇAMENTO.Unidade)</f>
        <v/>
      </c>
      <c r="G128" s="124" t="str">
        <f ca="1">IF(RegimeExecucao="Global","",ORÇAMENTO!T128)</f>
        <v/>
      </c>
      <c r="H128" s="124" t="str">
        <f ca="1">IF(RegimeExecucao="Global","",ORÇAMENTO!W128)</f>
        <v/>
      </c>
      <c r="I128" s="127">
        <f ca="1">ORÇAMENTO!X128</f>
        <v>0</v>
      </c>
      <c r="J128" s="378">
        <f ca="1">IF($A128="S",IF(CAIXA.Modo,BM.AFAnterior,BM.MEDAnterior),IF(AND(RegimeExecucao="Global",$I128&gt;0,COUNTIF($AB$13:$AM$13,BM.medicao-1)&gt;0),M128/$I128*100,0))</f>
        <v>0</v>
      </c>
      <c r="K128" s="124">
        <f t="shared" ca="1" si="17"/>
        <v>0</v>
      </c>
      <c r="L128" s="379">
        <f ca="1">IF($A128="S",IF(CAIXA.Modo,BM.AFAcumulado,BM.MEDAcumulado),IF(AND(RegimeExecucao="Global",$I128&gt;0,COUNTIF($AB$13:$AM$13,BM.medicao)&gt;0),O128/$I128*100,0))</f>
        <v>0</v>
      </c>
      <c r="M128" s="380">
        <f ca="1">IF($A128="S",VTOTALBM,IF($A128=0,0,ROUND(SomaAgrupBM,15-13*ORÇAMENTO!$AF$11)))</f>
        <v>0</v>
      </c>
      <c r="N128" s="381">
        <f t="shared" ca="1" si="18"/>
        <v>0</v>
      </c>
      <c r="O128" s="127">
        <f ca="1">IF($A128="S",VTOTALBM,IF($A128=0,0,ROUND(SomaAgrupBM,15-13*ORÇAMENTO!$AF$11)))</f>
        <v>0</v>
      </c>
      <c r="Q128" s="382"/>
      <c r="R128" s="383"/>
      <c r="T128" s="119" t="str">
        <f t="shared" ca="1" si="19"/>
        <v/>
      </c>
      <c r="U128" s="172" t="str">
        <f t="shared" ca="1" si="20"/>
        <v/>
      </c>
      <c r="V128" s="173" t="str">
        <f ca="1">IF(AND($W128&gt;0,RegimeExecucao="Unitário"),$F128,"")</f>
        <v/>
      </c>
      <c r="W128" s="547">
        <f ca="1">IF($Y128&gt;0,CHOOSE(MATCH(RegimeExecucao,{"Unitário","Global"},0),IF($A128="S",$Y128/$X128,""),($Y128/$X128)*100),0)</f>
        <v>0</v>
      </c>
      <c r="X128" s="384" t="str">
        <f ca="1">IF($Y128&gt;0,CHOOSE(MATCH(RegimeExecucao,{"Unitário","Global"},0),IF($A128="S",ROUND($H128,ORÇAMENTO!$AF$10),""),ROUND($I128,ORÇAMENTO!$AF$11)),"")</f>
        <v/>
      </c>
      <c r="Y128" s="384">
        <f t="shared" ca="1" si="21"/>
        <v>0</v>
      </c>
      <c r="Z128" s="572"/>
      <c r="AB128" s="382"/>
      <c r="AC128" s="516"/>
      <c r="AD128" s="516"/>
      <c r="AE128" s="516"/>
      <c r="AF128" s="516"/>
      <c r="AG128" s="516"/>
      <c r="AH128" s="516"/>
      <c r="AI128" s="516"/>
      <c r="AJ128" s="516"/>
      <c r="AK128" s="516"/>
      <c r="AL128" s="516"/>
      <c r="AM128" s="383"/>
      <c r="AO128">
        <f ca="1">IF($A128="S",IF(BM!$I128=0,0,CHOOSE(MATCH(RegimeExecucao,{"Global","Unitário"},0),ROUND(ROUND(BM.MEDAcumulado,15-13*BM!$A$9)/100*BM!$I128,15-13*ORÇAMENTO!$AF$11),ROUND(ROUND(BM.MEDAcumulado,15-13*BM!$A$9)*ROUND(BM!$H128,15-13*ORÇAMENTO!$AF$10),15-13*ORÇAMENTO!$AF$11))),IF($A128=0,0,ROUND(SomaAgrupBM,15-13*ORÇAMENTO!$AF$11)))</f>
        <v>0</v>
      </c>
    </row>
    <row r="129" spans="1:41" ht="51" x14ac:dyDescent="0.2">
      <c r="A129" t="str">
        <f ca="1">ORÇAMENTO!C129</f>
        <v>S</v>
      </c>
      <c r="B129">
        <f ca="1">ORÇAMENTO!D129</f>
        <v>0</v>
      </c>
      <c r="C129" s="116" t="str">
        <f t="shared" ca="1" si="15"/>
        <v/>
      </c>
      <c r="D129" s="119" t="str">
        <f ca="1">ORÇAMENTO!O129</f>
        <v>-</v>
      </c>
      <c r="E129" s="172" t="str">
        <f t="shared" ca="1" si="16"/>
        <v>(abra o arquivo 'Referência 06-2024.xlsm)</v>
      </c>
      <c r="F129" s="173" t="str">
        <f ca="1">IF(RegimeExecucao="Global","",ORÇAMENTO.Unidade)</f>
        <v/>
      </c>
      <c r="G129" s="124" t="str">
        <f ca="1">IF(RegimeExecucao="Global","",ORÇAMENTO!T129)</f>
        <v/>
      </c>
      <c r="H129" s="124" t="str">
        <f ca="1">IF(RegimeExecucao="Global","",ORÇAMENTO!W129)</f>
        <v/>
      </c>
      <c r="I129" s="127">
        <f ca="1">ORÇAMENTO!X129</f>
        <v>0</v>
      </c>
      <c r="J129" s="378">
        <f ca="1">IF($A129="S",IF(CAIXA.Modo,BM.AFAnterior,BM.MEDAnterior),IF(AND(RegimeExecucao="Global",$I129&gt;0,COUNTIF($AB$13:$AM$13,BM.medicao-1)&gt;0),M129/$I129*100,0))</f>
        <v>0</v>
      </c>
      <c r="K129" s="124">
        <f t="shared" ca="1" si="17"/>
        <v>0</v>
      </c>
      <c r="L129" s="379">
        <f ca="1">IF($A129="S",IF(CAIXA.Modo,BM.AFAcumulado,BM.MEDAcumulado),IF(AND(RegimeExecucao="Global",$I129&gt;0,COUNTIF($AB$13:$AM$13,BM.medicao)&gt;0),O129/$I129*100,0))</f>
        <v>0</v>
      </c>
      <c r="M129" s="380">
        <f ca="1">IF($A129="S",VTOTALBM,IF($A129=0,0,ROUND(SomaAgrupBM,15-13*ORÇAMENTO!$AF$11)))</f>
        <v>0</v>
      </c>
      <c r="N129" s="381">
        <f t="shared" ca="1" si="18"/>
        <v>0</v>
      </c>
      <c r="O129" s="127">
        <f ca="1">IF($A129="S",VTOTALBM,IF($A129=0,0,ROUND(SomaAgrupBM,15-13*ORÇAMENTO!$AF$11)))</f>
        <v>0</v>
      </c>
      <c r="Q129" s="382"/>
      <c r="R129" s="383"/>
      <c r="T129" s="119" t="str">
        <f t="shared" ca="1" si="19"/>
        <v/>
      </c>
      <c r="U129" s="172" t="str">
        <f t="shared" ca="1" si="20"/>
        <v/>
      </c>
      <c r="V129" s="173" t="str">
        <f ca="1">IF(AND($W129&gt;0,RegimeExecucao="Unitário"),$F129,"")</f>
        <v/>
      </c>
      <c r="W129" s="547">
        <f ca="1">IF($Y129&gt;0,CHOOSE(MATCH(RegimeExecucao,{"Unitário","Global"},0),IF($A129="S",$Y129/$X129,""),($Y129/$X129)*100),0)</f>
        <v>0</v>
      </c>
      <c r="X129" s="384" t="str">
        <f ca="1">IF($Y129&gt;0,CHOOSE(MATCH(RegimeExecucao,{"Unitário","Global"},0),IF($A129="S",ROUND($H129,ORÇAMENTO!$AF$10),""),ROUND($I129,ORÇAMENTO!$AF$11)),"")</f>
        <v/>
      </c>
      <c r="Y129" s="384">
        <f t="shared" ca="1" si="21"/>
        <v>0</v>
      </c>
      <c r="Z129" s="572"/>
      <c r="AB129" s="382"/>
      <c r="AC129" s="516"/>
      <c r="AD129" s="516"/>
      <c r="AE129" s="516"/>
      <c r="AF129" s="516"/>
      <c r="AG129" s="516"/>
      <c r="AH129" s="516"/>
      <c r="AI129" s="516"/>
      <c r="AJ129" s="516"/>
      <c r="AK129" s="516"/>
      <c r="AL129" s="516"/>
      <c r="AM129" s="383"/>
      <c r="AO129">
        <f ca="1">IF($A129="S",IF(BM!$I129=0,0,CHOOSE(MATCH(RegimeExecucao,{"Global","Unitário"},0),ROUND(ROUND(BM.MEDAcumulado,15-13*BM!$A$9)/100*BM!$I129,15-13*ORÇAMENTO!$AF$11),ROUND(ROUND(BM.MEDAcumulado,15-13*BM!$A$9)*ROUND(BM!$H129,15-13*ORÇAMENTO!$AF$10),15-13*ORÇAMENTO!$AF$11))),IF($A129=0,0,ROUND(SomaAgrupBM,15-13*ORÇAMENTO!$AF$11)))</f>
        <v>0</v>
      </c>
    </row>
    <row r="130" spans="1:41" ht="51" x14ac:dyDescent="0.2">
      <c r="A130" t="str">
        <f ca="1">ORÇAMENTO!C130</f>
        <v>S</v>
      </c>
      <c r="B130">
        <f ca="1">ORÇAMENTO!D130</f>
        <v>0</v>
      </c>
      <c r="C130" s="116" t="str">
        <f t="shared" ca="1" si="15"/>
        <v/>
      </c>
      <c r="D130" s="119" t="str">
        <f ca="1">ORÇAMENTO!O130</f>
        <v>-</v>
      </c>
      <c r="E130" s="172" t="str">
        <f t="shared" ca="1" si="16"/>
        <v>(abra o arquivo 'Referência 06-2024.xlsm)</v>
      </c>
      <c r="F130" s="173" t="str">
        <f ca="1">IF(RegimeExecucao="Global","",ORÇAMENTO.Unidade)</f>
        <v/>
      </c>
      <c r="G130" s="124" t="str">
        <f ca="1">IF(RegimeExecucao="Global","",ORÇAMENTO!T130)</f>
        <v/>
      </c>
      <c r="H130" s="124" t="str">
        <f ca="1">IF(RegimeExecucao="Global","",ORÇAMENTO!W130)</f>
        <v/>
      </c>
      <c r="I130" s="127">
        <f ca="1">ORÇAMENTO!X130</f>
        <v>0</v>
      </c>
      <c r="J130" s="378">
        <f ca="1">IF($A130="S",IF(CAIXA.Modo,BM.AFAnterior,BM.MEDAnterior),IF(AND(RegimeExecucao="Global",$I130&gt;0,COUNTIF($AB$13:$AM$13,BM.medicao-1)&gt;0),M130/$I130*100,0))</f>
        <v>0</v>
      </c>
      <c r="K130" s="124">
        <f t="shared" ca="1" si="17"/>
        <v>0</v>
      </c>
      <c r="L130" s="379">
        <f ca="1">IF($A130="S",IF(CAIXA.Modo,BM.AFAcumulado,BM.MEDAcumulado),IF(AND(RegimeExecucao="Global",$I130&gt;0,COUNTIF($AB$13:$AM$13,BM.medicao)&gt;0),O130/$I130*100,0))</f>
        <v>0</v>
      </c>
      <c r="M130" s="380">
        <f ca="1">IF($A130="S",VTOTALBM,IF($A130=0,0,ROUND(SomaAgrupBM,15-13*ORÇAMENTO!$AF$11)))</f>
        <v>0</v>
      </c>
      <c r="N130" s="381">
        <f t="shared" ca="1" si="18"/>
        <v>0</v>
      </c>
      <c r="O130" s="127">
        <f ca="1">IF($A130="S",VTOTALBM,IF($A130=0,0,ROUND(SomaAgrupBM,15-13*ORÇAMENTO!$AF$11)))</f>
        <v>0</v>
      </c>
      <c r="Q130" s="382"/>
      <c r="R130" s="383"/>
      <c r="T130" s="119" t="str">
        <f t="shared" ca="1" si="19"/>
        <v/>
      </c>
      <c r="U130" s="172" t="str">
        <f t="shared" ca="1" si="20"/>
        <v/>
      </c>
      <c r="V130" s="173" t="str">
        <f ca="1">IF(AND($W130&gt;0,RegimeExecucao="Unitário"),$F130,"")</f>
        <v/>
      </c>
      <c r="W130" s="547">
        <f ca="1">IF($Y130&gt;0,CHOOSE(MATCH(RegimeExecucao,{"Unitário","Global"},0),IF($A130="S",$Y130/$X130,""),($Y130/$X130)*100),0)</f>
        <v>0</v>
      </c>
      <c r="X130" s="384" t="str">
        <f ca="1">IF($Y130&gt;0,CHOOSE(MATCH(RegimeExecucao,{"Unitário","Global"},0),IF($A130="S",ROUND($H130,ORÇAMENTO!$AF$10),""),ROUND($I130,ORÇAMENTO!$AF$11)),"")</f>
        <v/>
      </c>
      <c r="Y130" s="384">
        <f t="shared" ca="1" si="21"/>
        <v>0</v>
      </c>
      <c r="Z130" s="572"/>
      <c r="AB130" s="382"/>
      <c r="AC130" s="516"/>
      <c r="AD130" s="516"/>
      <c r="AE130" s="516"/>
      <c r="AF130" s="516"/>
      <c r="AG130" s="516"/>
      <c r="AH130" s="516"/>
      <c r="AI130" s="516"/>
      <c r="AJ130" s="516"/>
      <c r="AK130" s="516"/>
      <c r="AL130" s="516"/>
      <c r="AM130" s="383"/>
      <c r="AO130">
        <f ca="1">IF($A130="S",IF(BM!$I130=0,0,CHOOSE(MATCH(RegimeExecucao,{"Global","Unitário"},0),ROUND(ROUND(BM.MEDAcumulado,15-13*BM!$A$9)/100*BM!$I130,15-13*ORÇAMENTO!$AF$11),ROUND(ROUND(BM.MEDAcumulado,15-13*BM!$A$9)*ROUND(BM!$H130,15-13*ORÇAMENTO!$AF$10),15-13*ORÇAMENTO!$AF$11))),IF($A130=0,0,ROUND(SomaAgrupBM,15-13*ORÇAMENTO!$AF$11)))</f>
        <v>0</v>
      </c>
    </row>
    <row r="131" spans="1:41" ht="51" x14ac:dyDescent="0.2">
      <c r="A131" t="str">
        <f ca="1">ORÇAMENTO!C131</f>
        <v>S</v>
      </c>
      <c r="B131">
        <f ca="1">ORÇAMENTO!D131</f>
        <v>0</v>
      </c>
      <c r="C131" s="116" t="str">
        <f t="shared" ca="1" si="15"/>
        <v/>
      </c>
      <c r="D131" s="119" t="str">
        <f ca="1">ORÇAMENTO!O131</f>
        <v>-</v>
      </c>
      <c r="E131" s="172" t="str">
        <f t="shared" ca="1" si="16"/>
        <v>(abra o arquivo 'Referência 06-2024.xlsm)</v>
      </c>
      <c r="F131" s="173" t="str">
        <f ca="1">IF(RegimeExecucao="Global","",ORÇAMENTO.Unidade)</f>
        <v/>
      </c>
      <c r="G131" s="124" t="str">
        <f ca="1">IF(RegimeExecucao="Global","",ORÇAMENTO!T131)</f>
        <v/>
      </c>
      <c r="H131" s="124" t="str">
        <f ca="1">IF(RegimeExecucao="Global","",ORÇAMENTO!W131)</f>
        <v/>
      </c>
      <c r="I131" s="127">
        <f ca="1">ORÇAMENTO!X131</f>
        <v>0</v>
      </c>
      <c r="J131" s="378">
        <f ca="1">IF($A131="S",IF(CAIXA.Modo,BM.AFAnterior,BM.MEDAnterior),IF(AND(RegimeExecucao="Global",$I131&gt;0,COUNTIF($AB$13:$AM$13,BM.medicao-1)&gt;0),M131/$I131*100,0))</f>
        <v>0</v>
      </c>
      <c r="K131" s="124">
        <f t="shared" ca="1" si="17"/>
        <v>0</v>
      </c>
      <c r="L131" s="379">
        <f ca="1">IF($A131="S",IF(CAIXA.Modo,BM.AFAcumulado,BM.MEDAcumulado),IF(AND(RegimeExecucao="Global",$I131&gt;0,COUNTIF($AB$13:$AM$13,BM.medicao)&gt;0),O131/$I131*100,0))</f>
        <v>0</v>
      </c>
      <c r="M131" s="380">
        <f ca="1">IF($A131="S",VTOTALBM,IF($A131=0,0,ROUND(SomaAgrupBM,15-13*ORÇAMENTO!$AF$11)))</f>
        <v>0</v>
      </c>
      <c r="N131" s="381">
        <f t="shared" ca="1" si="18"/>
        <v>0</v>
      </c>
      <c r="O131" s="127">
        <f ca="1">IF($A131="S",VTOTALBM,IF($A131=0,0,ROUND(SomaAgrupBM,15-13*ORÇAMENTO!$AF$11)))</f>
        <v>0</v>
      </c>
      <c r="Q131" s="382"/>
      <c r="R131" s="383"/>
      <c r="T131" s="119" t="str">
        <f t="shared" ca="1" si="19"/>
        <v/>
      </c>
      <c r="U131" s="172" t="str">
        <f t="shared" ca="1" si="20"/>
        <v/>
      </c>
      <c r="V131" s="173" t="str">
        <f ca="1">IF(AND($W131&gt;0,RegimeExecucao="Unitário"),$F131,"")</f>
        <v/>
      </c>
      <c r="W131" s="547">
        <f ca="1">IF($Y131&gt;0,CHOOSE(MATCH(RegimeExecucao,{"Unitário","Global"},0),IF($A131="S",$Y131/$X131,""),($Y131/$X131)*100),0)</f>
        <v>0</v>
      </c>
      <c r="X131" s="384" t="str">
        <f ca="1">IF($Y131&gt;0,CHOOSE(MATCH(RegimeExecucao,{"Unitário","Global"},0),IF($A131="S",ROUND($H131,ORÇAMENTO!$AF$10),""),ROUND($I131,ORÇAMENTO!$AF$11)),"")</f>
        <v/>
      </c>
      <c r="Y131" s="384">
        <f t="shared" ca="1" si="21"/>
        <v>0</v>
      </c>
      <c r="Z131" s="572"/>
      <c r="AB131" s="382"/>
      <c r="AC131" s="516"/>
      <c r="AD131" s="516"/>
      <c r="AE131" s="516"/>
      <c r="AF131" s="516"/>
      <c r="AG131" s="516"/>
      <c r="AH131" s="516"/>
      <c r="AI131" s="516"/>
      <c r="AJ131" s="516"/>
      <c r="AK131" s="516"/>
      <c r="AL131" s="516"/>
      <c r="AM131" s="383"/>
      <c r="AO131">
        <f ca="1">IF($A131="S",IF(BM!$I131=0,0,CHOOSE(MATCH(RegimeExecucao,{"Global","Unitário"},0),ROUND(ROUND(BM.MEDAcumulado,15-13*BM!$A$9)/100*BM!$I131,15-13*ORÇAMENTO!$AF$11),ROUND(ROUND(BM.MEDAcumulado,15-13*BM!$A$9)*ROUND(BM!$H131,15-13*ORÇAMENTO!$AF$10),15-13*ORÇAMENTO!$AF$11))),IF($A131=0,0,ROUND(SomaAgrupBM,15-13*ORÇAMENTO!$AF$11)))</f>
        <v>0</v>
      </c>
    </row>
    <row r="132" spans="1:41" ht="51" x14ac:dyDescent="0.2">
      <c r="A132" t="str">
        <f ca="1">ORÇAMENTO!C132</f>
        <v>S</v>
      </c>
      <c r="B132">
        <f ca="1">ORÇAMENTO!D132</f>
        <v>0</v>
      </c>
      <c r="C132" s="116" t="str">
        <f t="shared" ca="1" si="15"/>
        <v/>
      </c>
      <c r="D132" s="119" t="str">
        <f ca="1">ORÇAMENTO!O132</f>
        <v>-</v>
      </c>
      <c r="E132" s="172" t="str">
        <f t="shared" ca="1" si="16"/>
        <v>(abra o arquivo 'Referência 06-2024.xlsm)</v>
      </c>
      <c r="F132" s="173" t="str">
        <f ca="1">IF(RegimeExecucao="Global","",ORÇAMENTO.Unidade)</f>
        <v/>
      </c>
      <c r="G132" s="124" t="str">
        <f ca="1">IF(RegimeExecucao="Global","",ORÇAMENTO!T132)</f>
        <v/>
      </c>
      <c r="H132" s="124" t="str">
        <f ca="1">IF(RegimeExecucao="Global","",ORÇAMENTO!W132)</f>
        <v/>
      </c>
      <c r="I132" s="127">
        <f ca="1">ORÇAMENTO!X132</f>
        <v>0</v>
      </c>
      <c r="J132" s="378">
        <f ca="1">IF($A132="S",IF(CAIXA.Modo,BM.AFAnterior,BM.MEDAnterior),IF(AND(RegimeExecucao="Global",$I132&gt;0,COUNTIF($AB$13:$AM$13,BM.medicao-1)&gt;0),M132/$I132*100,0))</f>
        <v>0</v>
      </c>
      <c r="K132" s="124">
        <f t="shared" ca="1" si="17"/>
        <v>0</v>
      </c>
      <c r="L132" s="379">
        <f ca="1">IF($A132="S",IF(CAIXA.Modo,BM.AFAcumulado,BM.MEDAcumulado),IF(AND(RegimeExecucao="Global",$I132&gt;0,COUNTIF($AB$13:$AM$13,BM.medicao)&gt;0),O132/$I132*100,0))</f>
        <v>0</v>
      </c>
      <c r="M132" s="380">
        <f ca="1">IF($A132="S",VTOTALBM,IF($A132=0,0,ROUND(SomaAgrupBM,15-13*ORÇAMENTO!$AF$11)))</f>
        <v>0</v>
      </c>
      <c r="N132" s="381">
        <f t="shared" ca="1" si="18"/>
        <v>0</v>
      </c>
      <c r="O132" s="127">
        <f ca="1">IF($A132="S",VTOTALBM,IF($A132=0,0,ROUND(SomaAgrupBM,15-13*ORÇAMENTO!$AF$11)))</f>
        <v>0</v>
      </c>
      <c r="Q132" s="382"/>
      <c r="R132" s="383"/>
      <c r="T132" s="119" t="str">
        <f t="shared" ca="1" si="19"/>
        <v/>
      </c>
      <c r="U132" s="172" t="str">
        <f t="shared" ca="1" si="20"/>
        <v/>
      </c>
      <c r="V132" s="173" t="str">
        <f ca="1">IF(AND($W132&gt;0,RegimeExecucao="Unitário"),$F132,"")</f>
        <v/>
      </c>
      <c r="W132" s="547">
        <f ca="1">IF($Y132&gt;0,CHOOSE(MATCH(RegimeExecucao,{"Unitário","Global"},0),IF($A132="S",$Y132/$X132,""),($Y132/$X132)*100),0)</f>
        <v>0</v>
      </c>
      <c r="X132" s="384" t="str">
        <f ca="1">IF($Y132&gt;0,CHOOSE(MATCH(RegimeExecucao,{"Unitário","Global"},0),IF($A132="S",ROUND($H132,ORÇAMENTO!$AF$10),""),ROUND($I132,ORÇAMENTO!$AF$11)),"")</f>
        <v/>
      </c>
      <c r="Y132" s="384">
        <f t="shared" ca="1" si="21"/>
        <v>0</v>
      </c>
      <c r="Z132" s="572"/>
      <c r="AB132" s="382"/>
      <c r="AC132" s="516"/>
      <c r="AD132" s="516"/>
      <c r="AE132" s="516"/>
      <c r="AF132" s="516"/>
      <c r="AG132" s="516"/>
      <c r="AH132" s="516"/>
      <c r="AI132" s="516"/>
      <c r="AJ132" s="516"/>
      <c r="AK132" s="516"/>
      <c r="AL132" s="516"/>
      <c r="AM132" s="383"/>
      <c r="AO132">
        <f ca="1">IF($A132="S",IF(BM!$I132=0,0,CHOOSE(MATCH(RegimeExecucao,{"Global","Unitário"},0),ROUND(ROUND(BM.MEDAcumulado,15-13*BM!$A$9)/100*BM!$I132,15-13*ORÇAMENTO!$AF$11),ROUND(ROUND(BM.MEDAcumulado,15-13*BM!$A$9)*ROUND(BM!$H132,15-13*ORÇAMENTO!$AF$10),15-13*ORÇAMENTO!$AF$11))),IF($A132=0,0,ROUND(SomaAgrupBM,15-13*ORÇAMENTO!$AF$11)))</f>
        <v>0</v>
      </c>
    </row>
    <row r="133" spans="1:41" ht="63.75" x14ac:dyDescent="0.2">
      <c r="A133" t="str">
        <f ca="1">ORÇAMENTO!C133</f>
        <v>S</v>
      </c>
      <c r="B133">
        <f ca="1">ORÇAMENTO!D133</f>
        <v>0</v>
      </c>
      <c r="C133" s="116" t="str">
        <f t="shared" ca="1" si="15"/>
        <v/>
      </c>
      <c r="D133" s="119" t="str">
        <f ca="1">ORÇAMENTO!O133</f>
        <v>-</v>
      </c>
      <c r="E133" s="172" t="str">
        <f t="shared" ca="1" si="16"/>
        <v>(abra o arquivo 'Referência 06-2024.xlsm)</v>
      </c>
      <c r="F133" s="173" t="str">
        <f ca="1">IF(RegimeExecucao="Global","",ORÇAMENTO.Unidade)</f>
        <v/>
      </c>
      <c r="G133" s="124" t="str">
        <f ca="1">IF(RegimeExecucao="Global","",ORÇAMENTO!T133)</f>
        <v/>
      </c>
      <c r="H133" s="124" t="str">
        <f ca="1">IF(RegimeExecucao="Global","",ORÇAMENTO!W133)</f>
        <v/>
      </c>
      <c r="I133" s="127">
        <f ca="1">ORÇAMENTO!X133</f>
        <v>0</v>
      </c>
      <c r="J133" s="378">
        <f ca="1">IF($A133="S",IF(CAIXA.Modo,BM.AFAnterior,BM.MEDAnterior),IF(AND(RegimeExecucao="Global",$I133&gt;0,COUNTIF($AB$13:$AM$13,BM.medicao-1)&gt;0),M133/$I133*100,0))</f>
        <v>0</v>
      </c>
      <c r="K133" s="124">
        <f t="shared" ca="1" si="17"/>
        <v>0</v>
      </c>
      <c r="L133" s="379">
        <f ca="1">IF($A133="S",IF(CAIXA.Modo,BM.AFAcumulado,BM.MEDAcumulado),IF(AND(RegimeExecucao="Global",$I133&gt;0,COUNTIF($AB$13:$AM$13,BM.medicao)&gt;0),O133/$I133*100,0))</f>
        <v>0</v>
      </c>
      <c r="M133" s="380">
        <f ca="1">IF($A133="S",VTOTALBM,IF($A133=0,0,ROUND(SomaAgrupBM,15-13*ORÇAMENTO!$AF$11)))</f>
        <v>0</v>
      </c>
      <c r="N133" s="381">
        <f t="shared" ca="1" si="18"/>
        <v>0</v>
      </c>
      <c r="O133" s="127">
        <f ca="1">IF($A133="S",VTOTALBM,IF($A133=0,0,ROUND(SomaAgrupBM,15-13*ORÇAMENTO!$AF$11)))</f>
        <v>0</v>
      </c>
      <c r="Q133" s="382"/>
      <c r="R133" s="383"/>
      <c r="T133" s="119" t="str">
        <f t="shared" ca="1" si="19"/>
        <v/>
      </c>
      <c r="U133" s="172" t="str">
        <f t="shared" ca="1" si="20"/>
        <v/>
      </c>
      <c r="V133" s="173" t="str">
        <f ca="1">IF(AND($W133&gt;0,RegimeExecucao="Unitário"),$F133,"")</f>
        <v/>
      </c>
      <c r="W133" s="547">
        <f ca="1">IF($Y133&gt;0,CHOOSE(MATCH(RegimeExecucao,{"Unitário","Global"},0),IF($A133="S",$Y133/$X133,""),($Y133/$X133)*100),0)</f>
        <v>0</v>
      </c>
      <c r="X133" s="384" t="str">
        <f ca="1">IF($Y133&gt;0,CHOOSE(MATCH(RegimeExecucao,{"Unitário","Global"},0),IF($A133="S",ROUND($H133,ORÇAMENTO!$AF$10),""),ROUND($I133,ORÇAMENTO!$AF$11)),"")</f>
        <v/>
      </c>
      <c r="Y133" s="384">
        <f t="shared" ca="1" si="21"/>
        <v>0</v>
      </c>
      <c r="Z133" s="572"/>
      <c r="AB133" s="382"/>
      <c r="AC133" s="516"/>
      <c r="AD133" s="516"/>
      <c r="AE133" s="516"/>
      <c r="AF133" s="516"/>
      <c r="AG133" s="516"/>
      <c r="AH133" s="516"/>
      <c r="AI133" s="516"/>
      <c r="AJ133" s="516"/>
      <c r="AK133" s="516"/>
      <c r="AL133" s="516"/>
      <c r="AM133" s="383"/>
      <c r="AO133">
        <f ca="1">IF($A133="S",IF(BM!$I133=0,0,CHOOSE(MATCH(RegimeExecucao,{"Global","Unitário"},0),ROUND(ROUND(BM.MEDAcumulado,15-13*BM!$A$9)/100*BM!$I133,15-13*ORÇAMENTO!$AF$11),ROUND(ROUND(BM.MEDAcumulado,15-13*BM!$A$9)*ROUND(BM!$H133,15-13*ORÇAMENTO!$AF$10),15-13*ORÇAMENTO!$AF$11))),IF($A133=0,0,ROUND(SomaAgrupBM,15-13*ORÇAMENTO!$AF$11)))</f>
        <v>0</v>
      </c>
    </row>
    <row r="134" spans="1:41" x14ac:dyDescent="0.2">
      <c r="A134">
        <f ca="1">ORÇAMENTO!C134</f>
        <v>2</v>
      </c>
      <c r="B134">
        <f ca="1">ORÇAMENTO!D134</f>
        <v>18</v>
      </c>
      <c r="C134" s="116" t="str">
        <f t="shared" ca="1" si="15"/>
        <v>F</v>
      </c>
      <c r="D134" s="119" t="str">
        <f ca="1">ORÇAMENTO!O134</f>
        <v>1.21.</v>
      </c>
      <c r="E134" s="172" t="str">
        <f t="shared" si="16"/>
        <v>ESQUADRIAS - JANELAS EM ALUMÍNIO</v>
      </c>
      <c r="F134" s="173" t="str">
        <f ca="1">IF(RegimeExecucao="Global","",ORÇAMENTO.Unidade)</f>
        <v/>
      </c>
      <c r="G134" s="124" t="str">
        <f ca="1">IF(RegimeExecucao="Global","",ORÇAMENTO!T134)</f>
        <v/>
      </c>
      <c r="H134" s="124" t="str">
        <f ca="1">IF(RegimeExecucao="Global","",ORÇAMENTO!W134)</f>
        <v/>
      </c>
      <c r="I134" s="127">
        <f ca="1">ORÇAMENTO!X134</f>
        <v>0</v>
      </c>
      <c r="J134" s="378">
        <f ca="1">IF($A134="S",IF(CAIXA.Modo,BM.AFAnterior,BM.MEDAnterior),IF(AND(RegimeExecucao="Global",$I134&gt;0,COUNTIF($AB$13:$AM$13,BM.medicao-1)&gt;0),M134/$I134*100,0))</f>
        <v>0</v>
      </c>
      <c r="K134" s="124">
        <f t="shared" ca="1" si="17"/>
        <v>0</v>
      </c>
      <c r="L134" s="379">
        <f ca="1">IF($A134="S",IF(CAIXA.Modo,BM.AFAcumulado,BM.MEDAcumulado),IF(AND(RegimeExecucao="Global",$I134&gt;0,COUNTIF($AB$13:$AM$13,BM.medicao)&gt;0),O134/$I134*100,0))</f>
        <v>0</v>
      </c>
      <c r="M134" s="380">
        <f ca="1">IF($A134="S",VTOTALBM,IF($A134=0,0,ROUND(SomaAgrupBM,15-13*ORÇAMENTO!$AF$11)))</f>
        <v>0</v>
      </c>
      <c r="N134" s="381">
        <f t="shared" ca="1" si="18"/>
        <v>0</v>
      </c>
      <c r="O134" s="127">
        <f ca="1">IF($A134="S",VTOTALBM,IF($A134=0,0,ROUND(SomaAgrupBM,15-13*ORÇAMENTO!$AF$11)))</f>
        <v>0</v>
      </c>
      <c r="Q134" s="382"/>
      <c r="R134" s="383"/>
      <c r="T134" s="119" t="str">
        <f t="shared" ca="1" si="19"/>
        <v/>
      </c>
      <c r="U134" s="172" t="str">
        <f t="shared" ca="1" si="20"/>
        <v/>
      </c>
      <c r="V134" s="173" t="str">
        <f ca="1">IF(AND($W134&gt;0,RegimeExecucao="Unitário"),$F134,"")</f>
        <v/>
      </c>
      <c r="W134" s="547">
        <f ca="1">IF($Y134&gt;0,CHOOSE(MATCH(RegimeExecucao,{"Unitário","Global"},0),IF($A134="S",$Y134/$X134,""),($Y134/$X134)*100),0)</f>
        <v>0</v>
      </c>
      <c r="X134" s="384" t="str">
        <f ca="1">IF($Y134&gt;0,CHOOSE(MATCH(RegimeExecucao,{"Unitário","Global"},0),IF($A134="S",ROUND($H134,ORÇAMENTO!$AF$10),""),ROUND($I134,ORÇAMENTO!$AF$11)),"")</f>
        <v/>
      </c>
      <c r="Y134" s="384">
        <f t="shared" ca="1" si="21"/>
        <v>0</v>
      </c>
      <c r="Z134" s="572"/>
      <c r="AB134" s="382"/>
      <c r="AC134" s="516"/>
      <c r="AD134" s="516"/>
      <c r="AE134" s="516"/>
      <c r="AF134" s="516"/>
      <c r="AG134" s="516"/>
      <c r="AH134" s="516"/>
      <c r="AI134" s="516"/>
      <c r="AJ134" s="516"/>
      <c r="AK134" s="516"/>
      <c r="AL134" s="516"/>
      <c r="AM134" s="383"/>
      <c r="AO134">
        <f ca="1">IF($A134="S",IF(BM!$I134=0,0,CHOOSE(MATCH(RegimeExecucao,{"Global","Unitário"},0),ROUND(ROUND(BM.MEDAcumulado,15-13*BM!$A$9)/100*BM!$I134,15-13*ORÇAMENTO!$AF$11),ROUND(ROUND(BM.MEDAcumulado,15-13*BM!$A$9)*ROUND(BM!$H134,15-13*ORÇAMENTO!$AF$10),15-13*ORÇAMENTO!$AF$11))),IF($A134=0,0,ROUND(SomaAgrupBM,15-13*ORÇAMENTO!$AF$11)))</f>
        <v>0</v>
      </c>
    </row>
    <row r="135" spans="1:41" ht="51" x14ac:dyDescent="0.2">
      <c r="A135" t="str">
        <f ca="1">ORÇAMENTO!C135</f>
        <v>S</v>
      </c>
      <c r="B135">
        <f ca="1">ORÇAMENTO!D135</f>
        <v>0</v>
      </c>
      <c r="C135" s="116" t="str">
        <f t="shared" ca="1" si="15"/>
        <v/>
      </c>
      <c r="D135" s="119" t="str">
        <f ca="1">ORÇAMENTO!O135</f>
        <v>-</v>
      </c>
      <c r="E135" s="172" t="str">
        <f t="shared" ca="1" si="16"/>
        <v>(abra o arquivo 'Referência 06-2024.xlsm)</v>
      </c>
      <c r="F135" s="173" t="str">
        <f ca="1">IF(RegimeExecucao="Global","",ORÇAMENTO.Unidade)</f>
        <v/>
      </c>
      <c r="G135" s="124" t="str">
        <f ca="1">IF(RegimeExecucao="Global","",ORÇAMENTO!T135)</f>
        <v/>
      </c>
      <c r="H135" s="124" t="str">
        <f ca="1">IF(RegimeExecucao="Global","",ORÇAMENTO!W135)</f>
        <v/>
      </c>
      <c r="I135" s="127">
        <f ca="1">ORÇAMENTO!X135</f>
        <v>0</v>
      </c>
      <c r="J135" s="378">
        <f ca="1">IF($A135="S",IF(CAIXA.Modo,BM.AFAnterior,BM.MEDAnterior),IF(AND(RegimeExecucao="Global",$I135&gt;0,COUNTIF($AB$13:$AM$13,BM.medicao-1)&gt;0),M135/$I135*100,0))</f>
        <v>0</v>
      </c>
      <c r="K135" s="124">
        <f t="shared" ca="1" si="17"/>
        <v>0</v>
      </c>
      <c r="L135" s="379">
        <f ca="1">IF($A135="S",IF(CAIXA.Modo,BM.AFAcumulado,BM.MEDAcumulado),IF(AND(RegimeExecucao="Global",$I135&gt;0,COUNTIF($AB$13:$AM$13,BM.medicao)&gt;0),O135/$I135*100,0))</f>
        <v>0</v>
      </c>
      <c r="M135" s="380">
        <f ca="1">IF($A135="S",VTOTALBM,IF($A135=0,0,ROUND(SomaAgrupBM,15-13*ORÇAMENTO!$AF$11)))</f>
        <v>0</v>
      </c>
      <c r="N135" s="381">
        <f t="shared" ca="1" si="18"/>
        <v>0</v>
      </c>
      <c r="O135" s="127">
        <f ca="1">IF($A135="S",VTOTALBM,IF($A135=0,0,ROUND(SomaAgrupBM,15-13*ORÇAMENTO!$AF$11)))</f>
        <v>0</v>
      </c>
      <c r="Q135" s="382"/>
      <c r="R135" s="383"/>
      <c r="T135" s="119" t="str">
        <f t="shared" ca="1" si="19"/>
        <v/>
      </c>
      <c r="U135" s="172" t="str">
        <f t="shared" ca="1" si="20"/>
        <v/>
      </c>
      <c r="V135" s="173" t="str">
        <f ca="1">IF(AND($W135&gt;0,RegimeExecucao="Unitário"),$F135,"")</f>
        <v/>
      </c>
      <c r="W135" s="547">
        <f ca="1">IF($Y135&gt;0,CHOOSE(MATCH(RegimeExecucao,{"Unitário","Global"},0),IF($A135="S",$Y135/$X135,""),($Y135/$X135)*100),0)</f>
        <v>0</v>
      </c>
      <c r="X135" s="384" t="str">
        <f ca="1">IF($Y135&gt;0,CHOOSE(MATCH(RegimeExecucao,{"Unitário","Global"},0),IF($A135="S",ROUND($H135,ORÇAMENTO!$AF$10),""),ROUND($I135,ORÇAMENTO!$AF$11)),"")</f>
        <v/>
      </c>
      <c r="Y135" s="384">
        <f t="shared" ca="1" si="21"/>
        <v>0</v>
      </c>
      <c r="Z135" s="572"/>
      <c r="AB135" s="382"/>
      <c r="AC135" s="516"/>
      <c r="AD135" s="516"/>
      <c r="AE135" s="516"/>
      <c r="AF135" s="516"/>
      <c r="AG135" s="516"/>
      <c r="AH135" s="516"/>
      <c r="AI135" s="516"/>
      <c r="AJ135" s="516"/>
      <c r="AK135" s="516"/>
      <c r="AL135" s="516"/>
      <c r="AM135" s="383"/>
      <c r="AO135">
        <f ca="1">IF($A135="S",IF(BM!$I135=0,0,CHOOSE(MATCH(RegimeExecucao,{"Global","Unitário"},0),ROUND(ROUND(BM.MEDAcumulado,15-13*BM!$A$9)/100*BM!$I135,15-13*ORÇAMENTO!$AF$11),ROUND(ROUND(BM.MEDAcumulado,15-13*BM!$A$9)*ROUND(BM!$H135,15-13*ORÇAMENTO!$AF$10),15-13*ORÇAMENTO!$AF$11))),IF($A135=0,0,ROUND(SomaAgrupBM,15-13*ORÇAMENTO!$AF$11)))</f>
        <v>0</v>
      </c>
    </row>
    <row r="136" spans="1:41" ht="51" x14ac:dyDescent="0.2">
      <c r="A136" t="str">
        <f ca="1">ORÇAMENTO!C136</f>
        <v>S</v>
      </c>
      <c r="B136">
        <f ca="1">ORÇAMENTO!D136</f>
        <v>0</v>
      </c>
      <c r="C136" s="116" t="str">
        <f t="shared" ca="1" si="15"/>
        <v/>
      </c>
      <c r="D136" s="119" t="str">
        <f ca="1">ORÇAMENTO!O136</f>
        <v>-</v>
      </c>
      <c r="E136" s="172" t="str">
        <f t="shared" ca="1" si="16"/>
        <v>(abra o arquivo 'Referência 06-2024.xlsm)</v>
      </c>
      <c r="F136" s="173" t="str">
        <f ca="1">IF(RegimeExecucao="Global","",ORÇAMENTO.Unidade)</f>
        <v/>
      </c>
      <c r="G136" s="124" t="str">
        <f ca="1">IF(RegimeExecucao="Global","",ORÇAMENTO!T136)</f>
        <v/>
      </c>
      <c r="H136" s="124" t="str">
        <f ca="1">IF(RegimeExecucao="Global","",ORÇAMENTO!W136)</f>
        <v/>
      </c>
      <c r="I136" s="127">
        <f ca="1">ORÇAMENTO!X136</f>
        <v>0</v>
      </c>
      <c r="J136" s="378">
        <f ca="1">IF($A136="S",IF(CAIXA.Modo,BM.AFAnterior,BM.MEDAnterior),IF(AND(RegimeExecucao="Global",$I136&gt;0,COUNTIF($AB$13:$AM$13,BM.medicao-1)&gt;0),M136/$I136*100,0))</f>
        <v>0</v>
      </c>
      <c r="K136" s="124">
        <f t="shared" ca="1" si="17"/>
        <v>0</v>
      </c>
      <c r="L136" s="379">
        <f ca="1">IF($A136="S",IF(CAIXA.Modo,BM.AFAcumulado,BM.MEDAcumulado),IF(AND(RegimeExecucao="Global",$I136&gt;0,COUNTIF($AB$13:$AM$13,BM.medicao)&gt;0),O136/$I136*100,0))</f>
        <v>0</v>
      </c>
      <c r="M136" s="380">
        <f ca="1">IF($A136="S",VTOTALBM,IF($A136=0,0,ROUND(SomaAgrupBM,15-13*ORÇAMENTO!$AF$11)))</f>
        <v>0</v>
      </c>
      <c r="N136" s="381">
        <f t="shared" ca="1" si="18"/>
        <v>0</v>
      </c>
      <c r="O136" s="127">
        <f ca="1">IF($A136="S",VTOTALBM,IF($A136=0,0,ROUND(SomaAgrupBM,15-13*ORÇAMENTO!$AF$11)))</f>
        <v>0</v>
      </c>
      <c r="Q136" s="382"/>
      <c r="R136" s="383"/>
      <c r="T136" s="119" t="str">
        <f t="shared" ca="1" si="19"/>
        <v/>
      </c>
      <c r="U136" s="172" t="str">
        <f t="shared" ca="1" si="20"/>
        <v/>
      </c>
      <c r="V136" s="173" t="str">
        <f ca="1">IF(AND($W136&gt;0,RegimeExecucao="Unitário"),$F136,"")</f>
        <v/>
      </c>
      <c r="W136" s="547">
        <f ca="1">IF($Y136&gt;0,CHOOSE(MATCH(RegimeExecucao,{"Unitário","Global"},0),IF($A136="S",$Y136/$X136,""),($Y136/$X136)*100),0)</f>
        <v>0</v>
      </c>
      <c r="X136" s="384" t="str">
        <f ca="1">IF($Y136&gt;0,CHOOSE(MATCH(RegimeExecucao,{"Unitário","Global"},0),IF($A136="S",ROUND($H136,ORÇAMENTO!$AF$10),""),ROUND($I136,ORÇAMENTO!$AF$11)),"")</f>
        <v/>
      </c>
      <c r="Y136" s="384">
        <f t="shared" ca="1" si="21"/>
        <v>0</v>
      </c>
      <c r="Z136" s="572"/>
      <c r="AB136" s="382"/>
      <c r="AC136" s="516"/>
      <c r="AD136" s="516"/>
      <c r="AE136" s="516"/>
      <c r="AF136" s="516"/>
      <c r="AG136" s="516"/>
      <c r="AH136" s="516"/>
      <c r="AI136" s="516"/>
      <c r="AJ136" s="516"/>
      <c r="AK136" s="516"/>
      <c r="AL136" s="516"/>
      <c r="AM136" s="383"/>
      <c r="AO136">
        <f ca="1">IF($A136="S",IF(BM!$I136=0,0,CHOOSE(MATCH(RegimeExecucao,{"Global","Unitário"},0),ROUND(ROUND(BM.MEDAcumulado,15-13*BM!$A$9)/100*BM!$I136,15-13*ORÇAMENTO!$AF$11),ROUND(ROUND(BM.MEDAcumulado,15-13*BM!$A$9)*ROUND(BM!$H136,15-13*ORÇAMENTO!$AF$10),15-13*ORÇAMENTO!$AF$11))),IF($A136=0,0,ROUND(SomaAgrupBM,15-13*ORÇAMENTO!$AF$11)))</f>
        <v>0</v>
      </c>
    </row>
    <row r="137" spans="1:41" ht="38.25" x14ac:dyDescent="0.2">
      <c r="A137" t="str">
        <f ca="1">ORÇAMENTO!C137</f>
        <v>S</v>
      </c>
      <c r="B137">
        <f ca="1">ORÇAMENTO!D137</f>
        <v>0</v>
      </c>
      <c r="C137" s="116" t="str">
        <f t="shared" ca="1" si="15"/>
        <v/>
      </c>
      <c r="D137" s="119" t="str">
        <f ca="1">ORÇAMENTO!O137</f>
        <v>-</v>
      </c>
      <c r="E137" s="172" t="str">
        <f t="shared" ca="1" si="16"/>
        <v>(abra o arquivo 'Referência 06-2024.xlsm)</v>
      </c>
      <c r="F137" s="173" t="str">
        <f ca="1">IF(RegimeExecucao="Global","",ORÇAMENTO.Unidade)</f>
        <v/>
      </c>
      <c r="G137" s="124" t="str">
        <f ca="1">IF(RegimeExecucao="Global","",ORÇAMENTO!T137)</f>
        <v/>
      </c>
      <c r="H137" s="124" t="str">
        <f ca="1">IF(RegimeExecucao="Global","",ORÇAMENTO!W137)</f>
        <v/>
      </c>
      <c r="I137" s="127">
        <f ca="1">ORÇAMENTO!X137</f>
        <v>0</v>
      </c>
      <c r="J137" s="378">
        <f ca="1">IF($A137="S",IF(CAIXA.Modo,BM.AFAnterior,BM.MEDAnterior),IF(AND(RegimeExecucao="Global",$I137&gt;0,COUNTIF($AB$13:$AM$13,BM.medicao-1)&gt;0),M137/$I137*100,0))</f>
        <v>0</v>
      </c>
      <c r="K137" s="124">
        <f t="shared" ca="1" si="17"/>
        <v>0</v>
      </c>
      <c r="L137" s="379">
        <f ca="1">IF($A137="S",IF(CAIXA.Modo,BM.AFAcumulado,BM.MEDAcumulado),IF(AND(RegimeExecucao="Global",$I137&gt;0,COUNTIF($AB$13:$AM$13,BM.medicao)&gt;0),O137/$I137*100,0))</f>
        <v>0</v>
      </c>
      <c r="M137" s="380">
        <f ca="1">IF($A137="S",VTOTALBM,IF($A137=0,0,ROUND(SomaAgrupBM,15-13*ORÇAMENTO!$AF$11)))</f>
        <v>0</v>
      </c>
      <c r="N137" s="381">
        <f t="shared" ca="1" si="18"/>
        <v>0</v>
      </c>
      <c r="O137" s="127">
        <f ca="1">IF($A137="S",VTOTALBM,IF($A137=0,0,ROUND(SomaAgrupBM,15-13*ORÇAMENTO!$AF$11)))</f>
        <v>0</v>
      </c>
      <c r="Q137" s="382"/>
      <c r="R137" s="383"/>
      <c r="T137" s="119" t="str">
        <f t="shared" ca="1" si="19"/>
        <v/>
      </c>
      <c r="U137" s="172" t="str">
        <f t="shared" ca="1" si="20"/>
        <v/>
      </c>
      <c r="V137" s="173" t="str">
        <f ca="1">IF(AND($W137&gt;0,RegimeExecucao="Unitário"),$F137,"")</f>
        <v/>
      </c>
      <c r="W137" s="547">
        <f ca="1">IF($Y137&gt;0,CHOOSE(MATCH(RegimeExecucao,{"Unitário","Global"},0),IF($A137="S",$Y137/$X137,""),($Y137/$X137)*100),0)</f>
        <v>0</v>
      </c>
      <c r="X137" s="384" t="str">
        <f ca="1">IF($Y137&gt;0,CHOOSE(MATCH(RegimeExecucao,{"Unitário","Global"},0),IF($A137="S",ROUND($H137,ORÇAMENTO!$AF$10),""),ROUND($I137,ORÇAMENTO!$AF$11)),"")</f>
        <v/>
      </c>
      <c r="Y137" s="384">
        <f t="shared" ca="1" si="21"/>
        <v>0</v>
      </c>
      <c r="Z137" s="572"/>
      <c r="AB137" s="382"/>
      <c r="AC137" s="516"/>
      <c r="AD137" s="516"/>
      <c r="AE137" s="516"/>
      <c r="AF137" s="516"/>
      <c r="AG137" s="516"/>
      <c r="AH137" s="516"/>
      <c r="AI137" s="516"/>
      <c r="AJ137" s="516"/>
      <c r="AK137" s="516"/>
      <c r="AL137" s="516"/>
      <c r="AM137" s="383"/>
      <c r="AO137">
        <f ca="1">IF($A137="S",IF(BM!$I137=0,0,CHOOSE(MATCH(RegimeExecucao,{"Global","Unitário"},0),ROUND(ROUND(BM.MEDAcumulado,15-13*BM!$A$9)/100*BM!$I137,15-13*ORÇAMENTO!$AF$11),ROUND(ROUND(BM.MEDAcumulado,15-13*BM!$A$9)*ROUND(BM!$H137,15-13*ORÇAMENTO!$AF$10),15-13*ORÇAMENTO!$AF$11))),IF($A137=0,0,ROUND(SomaAgrupBM,15-13*ORÇAMENTO!$AF$11)))</f>
        <v>0</v>
      </c>
    </row>
    <row r="138" spans="1:41" ht="51" x14ac:dyDescent="0.2">
      <c r="A138" t="str">
        <f ca="1">ORÇAMENTO!C138</f>
        <v>S</v>
      </c>
      <c r="B138">
        <f ca="1">ORÇAMENTO!D138</f>
        <v>0</v>
      </c>
      <c r="C138" s="116" t="str">
        <f t="shared" ca="1" si="15"/>
        <v/>
      </c>
      <c r="D138" s="119" t="str">
        <f ca="1">ORÇAMENTO!O138</f>
        <v>-</v>
      </c>
      <c r="E138" s="172" t="str">
        <f t="shared" ca="1" si="16"/>
        <v>(abra o arquivo 'Referência 06-2024.xlsm)</v>
      </c>
      <c r="F138" s="173" t="str">
        <f ca="1">IF(RegimeExecucao="Global","",ORÇAMENTO.Unidade)</f>
        <v/>
      </c>
      <c r="G138" s="124" t="str">
        <f ca="1">IF(RegimeExecucao="Global","",ORÇAMENTO!T138)</f>
        <v/>
      </c>
      <c r="H138" s="124" t="str">
        <f ca="1">IF(RegimeExecucao="Global","",ORÇAMENTO!W138)</f>
        <v/>
      </c>
      <c r="I138" s="127">
        <f ca="1">ORÇAMENTO!X138</f>
        <v>0</v>
      </c>
      <c r="J138" s="378">
        <f ca="1">IF($A138="S",IF(CAIXA.Modo,BM.AFAnterior,BM.MEDAnterior),IF(AND(RegimeExecucao="Global",$I138&gt;0,COUNTIF($AB$13:$AM$13,BM.medicao-1)&gt;0),M138/$I138*100,0))</f>
        <v>0</v>
      </c>
      <c r="K138" s="124">
        <f t="shared" ca="1" si="17"/>
        <v>0</v>
      </c>
      <c r="L138" s="379">
        <f ca="1">IF($A138="S",IF(CAIXA.Modo,BM.AFAcumulado,BM.MEDAcumulado),IF(AND(RegimeExecucao="Global",$I138&gt;0,COUNTIF($AB$13:$AM$13,BM.medicao)&gt;0),O138/$I138*100,0))</f>
        <v>0</v>
      </c>
      <c r="M138" s="380">
        <f ca="1">IF($A138="S",VTOTALBM,IF($A138=0,0,ROUND(SomaAgrupBM,15-13*ORÇAMENTO!$AF$11)))</f>
        <v>0</v>
      </c>
      <c r="N138" s="381">
        <f t="shared" ca="1" si="18"/>
        <v>0</v>
      </c>
      <c r="O138" s="127">
        <f ca="1">IF($A138="S",VTOTALBM,IF($A138=0,0,ROUND(SomaAgrupBM,15-13*ORÇAMENTO!$AF$11)))</f>
        <v>0</v>
      </c>
      <c r="Q138" s="382"/>
      <c r="R138" s="383"/>
      <c r="T138" s="119" t="str">
        <f t="shared" ca="1" si="19"/>
        <v/>
      </c>
      <c r="U138" s="172" t="str">
        <f t="shared" ca="1" si="20"/>
        <v/>
      </c>
      <c r="V138" s="173" t="str">
        <f ca="1">IF(AND($W138&gt;0,RegimeExecucao="Unitário"),$F138,"")</f>
        <v/>
      </c>
      <c r="W138" s="547">
        <f ca="1">IF($Y138&gt;0,CHOOSE(MATCH(RegimeExecucao,{"Unitário","Global"},0),IF($A138="S",$Y138/$X138,""),($Y138/$X138)*100),0)</f>
        <v>0</v>
      </c>
      <c r="X138" s="384" t="str">
        <f ca="1">IF($Y138&gt;0,CHOOSE(MATCH(RegimeExecucao,{"Unitário","Global"},0),IF($A138="S",ROUND($H138,ORÇAMENTO!$AF$10),""),ROUND($I138,ORÇAMENTO!$AF$11)),"")</f>
        <v/>
      </c>
      <c r="Y138" s="384">
        <f t="shared" ca="1" si="21"/>
        <v>0</v>
      </c>
      <c r="Z138" s="572"/>
      <c r="AB138" s="382"/>
      <c r="AC138" s="516"/>
      <c r="AD138" s="516"/>
      <c r="AE138" s="516"/>
      <c r="AF138" s="516"/>
      <c r="AG138" s="516"/>
      <c r="AH138" s="516"/>
      <c r="AI138" s="516"/>
      <c r="AJ138" s="516"/>
      <c r="AK138" s="516"/>
      <c r="AL138" s="516"/>
      <c r="AM138" s="383"/>
      <c r="AO138">
        <f ca="1">IF($A138="S",IF(BM!$I138=0,0,CHOOSE(MATCH(RegimeExecucao,{"Global","Unitário"},0),ROUND(ROUND(BM.MEDAcumulado,15-13*BM!$A$9)/100*BM!$I138,15-13*ORÇAMENTO!$AF$11),ROUND(ROUND(BM.MEDAcumulado,15-13*BM!$A$9)*ROUND(BM!$H138,15-13*ORÇAMENTO!$AF$10),15-13*ORÇAMENTO!$AF$11))),IF($A138=0,0,ROUND(SomaAgrupBM,15-13*ORÇAMENTO!$AF$11)))</f>
        <v>0</v>
      </c>
    </row>
    <row r="139" spans="1:41" ht="38.25" x14ac:dyDescent="0.2">
      <c r="A139" t="str">
        <f ca="1">ORÇAMENTO!C139</f>
        <v>S</v>
      </c>
      <c r="B139">
        <f ca="1">ORÇAMENTO!D139</f>
        <v>0</v>
      </c>
      <c r="C139" s="116" t="str">
        <f t="shared" ca="1" si="15"/>
        <v/>
      </c>
      <c r="D139" s="119" t="str">
        <f ca="1">ORÇAMENTO!O139</f>
        <v>-</v>
      </c>
      <c r="E139" s="172" t="str">
        <f t="shared" ca="1" si="16"/>
        <v>(abra o arquivo 'Referência 06-2024.xlsm)</v>
      </c>
      <c r="F139" s="173" t="str">
        <f ca="1">IF(RegimeExecucao="Global","",ORÇAMENTO.Unidade)</f>
        <v/>
      </c>
      <c r="G139" s="124" t="str">
        <f ca="1">IF(RegimeExecucao="Global","",ORÇAMENTO!T139)</f>
        <v/>
      </c>
      <c r="H139" s="124" t="str">
        <f ca="1">IF(RegimeExecucao="Global","",ORÇAMENTO!W139)</f>
        <v/>
      </c>
      <c r="I139" s="127">
        <f ca="1">ORÇAMENTO!X139</f>
        <v>0</v>
      </c>
      <c r="J139" s="378">
        <f ca="1">IF($A139="S",IF(CAIXA.Modo,BM.AFAnterior,BM.MEDAnterior),IF(AND(RegimeExecucao="Global",$I139&gt;0,COUNTIF($AB$13:$AM$13,BM.medicao-1)&gt;0),M139/$I139*100,0))</f>
        <v>0</v>
      </c>
      <c r="K139" s="124">
        <f t="shared" ca="1" si="17"/>
        <v>0</v>
      </c>
      <c r="L139" s="379">
        <f ca="1">IF($A139="S",IF(CAIXA.Modo,BM.AFAcumulado,BM.MEDAcumulado),IF(AND(RegimeExecucao="Global",$I139&gt;0,COUNTIF($AB$13:$AM$13,BM.medicao)&gt;0),O139/$I139*100,0))</f>
        <v>0</v>
      </c>
      <c r="M139" s="380">
        <f ca="1">IF($A139="S",VTOTALBM,IF($A139=0,0,ROUND(SomaAgrupBM,15-13*ORÇAMENTO!$AF$11)))</f>
        <v>0</v>
      </c>
      <c r="N139" s="381">
        <f t="shared" ca="1" si="18"/>
        <v>0</v>
      </c>
      <c r="O139" s="127">
        <f ca="1">IF($A139="S",VTOTALBM,IF($A139=0,0,ROUND(SomaAgrupBM,15-13*ORÇAMENTO!$AF$11)))</f>
        <v>0</v>
      </c>
      <c r="Q139" s="382"/>
      <c r="R139" s="383"/>
      <c r="T139" s="119" t="str">
        <f t="shared" ca="1" si="19"/>
        <v/>
      </c>
      <c r="U139" s="172" t="str">
        <f t="shared" ca="1" si="20"/>
        <v/>
      </c>
      <c r="V139" s="173" t="str">
        <f ca="1">IF(AND($W139&gt;0,RegimeExecucao="Unitário"),$F139,"")</f>
        <v/>
      </c>
      <c r="W139" s="547">
        <f ca="1">IF($Y139&gt;0,CHOOSE(MATCH(RegimeExecucao,{"Unitário","Global"},0),IF($A139="S",$Y139/$X139,""),($Y139/$X139)*100),0)</f>
        <v>0</v>
      </c>
      <c r="X139" s="384" t="str">
        <f ca="1">IF($Y139&gt;0,CHOOSE(MATCH(RegimeExecucao,{"Unitário","Global"},0),IF($A139="S",ROUND($H139,ORÇAMENTO!$AF$10),""),ROUND($I139,ORÇAMENTO!$AF$11)),"")</f>
        <v/>
      </c>
      <c r="Y139" s="384">
        <f t="shared" ca="1" si="21"/>
        <v>0</v>
      </c>
      <c r="Z139" s="572"/>
      <c r="AB139" s="382"/>
      <c r="AC139" s="516"/>
      <c r="AD139" s="516"/>
      <c r="AE139" s="516"/>
      <c r="AF139" s="516"/>
      <c r="AG139" s="516"/>
      <c r="AH139" s="516"/>
      <c r="AI139" s="516"/>
      <c r="AJ139" s="516"/>
      <c r="AK139" s="516"/>
      <c r="AL139" s="516"/>
      <c r="AM139" s="383"/>
      <c r="AO139">
        <f ca="1">IF($A139="S",IF(BM!$I139=0,0,CHOOSE(MATCH(RegimeExecucao,{"Global","Unitário"},0),ROUND(ROUND(BM.MEDAcumulado,15-13*BM!$A$9)/100*BM!$I139,15-13*ORÇAMENTO!$AF$11),ROUND(ROUND(BM.MEDAcumulado,15-13*BM!$A$9)*ROUND(BM!$H139,15-13*ORÇAMENTO!$AF$10),15-13*ORÇAMENTO!$AF$11))),IF($A139=0,0,ROUND(SomaAgrupBM,15-13*ORÇAMENTO!$AF$11)))</f>
        <v>0</v>
      </c>
    </row>
    <row r="140" spans="1:41" ht="51" x14ac:dyDescent="0.2">
      <c r="A140" t="str">
        <f ca="1">ORÇAMENTO!C140</f>
        <v>S</v>
      </c>
      <c r="B140">
        <f ca="1">ORÇAMENTO!D140</f>
        <v>0</v>
      </c>
      <c r="C140" s="116" t="str">
        <f t="shared" ca="1" si="15"/>
        <v/>
      </c>
      <c r="D140" s="119" t="str">
        <f ca="1">ORÇAMENTO!O140</f>
        <v>-</v>
      </c>
      <c r="E140" s="172" t="str">
        <f t="shared" ca="1" si="16"/>
        <v>(abra o arquivo 'Referência 06-2024.xlsm)</v>
      </c>
      <c r="F140" s="173" t="str">
        <f ca="1">IF(RegimeExecucao="Global","",ORÇAMENTO.Unidade)</f>
        <v/>
      </c>
      <c r="G140" s="124" t="str">
        <f ca="1">IF(RegimeExecucao="Global","",ORÇAMENTO!T140)</f>
        <v/>
      </c>
      <c r="H140" s="124" t="str">
        <f ca="1">IF(RegimeExecucao="Global","",ORÇAMENTO!W140)</f>
        <v/>
      </c>
      <c r="I140" s="127">
        <f ca="1">ORÇAMENTO!X140</f>
        <v>0</v>
      </c>
      <c r="J140" s="378">
        <f ca="1">IF($A140="S",IF(CAIXA.Modo,BM.AFAnterior,BM.MEDAnterior),IF(AND(RegimeExecucao="Global",$I140&gt;0,COUNTIF($AB$13:$AM$13,BM.medicao-1)&gt;0),M140/$I140*100,0))</f>
        <v>0</v>
      </c>
      <c r="K140" s="124">
        <f t="shared" ca="1" si="17"/>
        <v>0</v>
      </c>
      <c r="L140" s="379">
        <f ca="1">IF($A140="S",IF(CAIXA.Modo,BM.AFAcumulado,BM.MEDAcumulado),IF(AND(RegimeExecucao="Global",$I140&gt;0,COUNTIF($AB$13:$AM$13,BM.medicao)&gt;0),O140/$I140*100,0))</f>
        <v>0</v>
      </c>
      <c r="M140" s="380">
        <f ca="1">IF($A140="S",VTOTALBM,IF($A140=0,0,ROUND(SomaAgrupBM,15-13*ORÇAMENTO!$AF$11)))</f>
        <v>0</v>
      </c>
      <c r="N140" s="381">
        <f t="shared" ca="1" si="18"/>
        <v>0</v>
      </c>
      <c r="O140" s="127">
        <f ca="1">IF($A140="S",VTOTALBM,IF($A140=0,0,ROUND(SomaAgrupBM,15-13*ORÇAMENTO!$AF$11)))</f>
        <v>0</v>
      </c>
      <c r="Q140" s="382"/>
      <c r="R140" s="383"/>
      <c r="T140" s="119" t="str">
        <f t="shared" ca="1" si="19"/>
        <v/>
      </c>
      <c r="U140" s="172" t="str">
        <f t="shared" ca="1" si="20"/>
        <v/>
      </c>
      <c r="V140" s="173" t="str">
        <f ca="1">IF(AND($W140&gt;0,RegimeExecucao="Unitário"),$F140,"")</f>
        <v/>
      </c>
      <c r="W140" s="547">
        <f ca="1">IF($Y140&gt;0,CHOOSE(MATCH(RegimeExecucao,{"Unitário","Global"},0),IF($A140="S",$Y140/$X140,""),($Y140/$X140)*100),0)</f>
        <v>0</v>
      </c>
      <c r="X140" s="384" t="str">
        <f ca="1">IF($Y140&gt;0,CHOOSE(MATCH(RegimeExecucao,{"Unitário","Global"},0),IF($A140="S",ROUND($H140,ORÇAMENTO!$AF$10),""),ROUND($I140,ORÇAMENTO!$AF$11)),"")</f>
        <v/>
      </c>
      <c r="Y140" s="384">
        <f t="shared" ca="1" si="21"/>
        <v>0</v>
      </c>
      <c r="Z140" s="572"/>
      <c r="AB140" s="382"/>
      <c r="AC140" s="516"/>
      <c r="AD140" s="516"/>
      <c r="AE140" s="516"/>
      <c r="AF140" s="516"/>
      <c r="AG140" s="516"/>
      <c r="AH140" s="516"/>
      <c r="AI140" s="516"/>
      <c r="AJ140" s="516"/>
      <c r="AK140" s="516"/>
      <c r="AL140" s="516"/>
      <c r="AM140" s="383"/>
      <c r="AO140">
        <f ca="1">IF($A140="S",IF(BM!$I140=0,0,CHOOSE(MATCH(RegimeExecucao,{"Global","Unitário"},0),ROUND(ROUND(BM.MEDAcumulado,15-13*BM!$A$9)/100*BM!$I140,15-13*ORÇAMENTO!$AF$11),ROUND(ROUND(BM.MEDAcumulado,15-13*BM!$A$9)*ROUND(BM!$H140,15-13*ORÇAMENTO!$AF$10),15-13*ORÇAMENTO!$AF$11))),IF($A140=0,0,ROUND(SomaAgrupBM,15-13*ORÇAMENTO!$AF$11)))</f>
        <v>0</v>
      </c>
    </row>
    <row r="141" spans="1:41" ht="51" x14ac:dyDescent="0.2">
      <c r="A141" t="str">
        <f ca="1">ORÇAMENTO!C141</f>
        <v>S</v>
      </c>
      <c r="B141">
        <f ca="1">ORÇAMENTO!D141</f>
        <v>0</v>
      </c>
      <c r="C141" s="116" t="str">
        <f t="shared" ca="1" si="15"/>
        <v/>
      </c>
      <c r="D141" s="119" t="str">
        <f ca="1">ORÇAMENTO!O141</f>
        <v>-</v>
      </c>
      <c r="E141" s="172" t="str">
        <f t="shared" ca="1" si="16"/>
        <v>(abra o arquivo 'Referência 06-2024.xlsm)</v>
      </c>
      <c r="F141" s="173" t="str">
        <f ca="1">IF(RegimeExecucao="Global","",ORÇAMENTO.Unidade)</f>
        <v/>
      </c>
      <c r="G141" s="124" t="str">
        <f ca="1">IF(RegimeExecucao="Global","",ORÇAMENTO!T141)</f>
        <v/>
      </c>
      <c r="H141" s="124" t="str">
        <f ca="1">IF(RegimeExecucao="Global","",ORÇAMENTO!W141)</f>
        <v/>
      </c>
      <c r="I141" s="127">
        <f ca="1">ORÇAMENTO!X141</f>
        <v>0</v>
      </c>
      <c r="J141" s="378">
        <f ca="1">IF($A141="S",IF(CAIXA.Modo,BM.AFAnterior,BM.MEDAnterior),IF(AND(RegimeExecucao="Global",$I141&gt;0,COUNTIF($AB$13:$AM$13,BM.medicao-1)&gt;0),M141/$I141*100,0))</f>
        <v>0</v>
      </c>
      <c r="K141" s="124">
        <f t="shared" ca="1" si="17"/>
        <v>0</v>
      </c>
      <c r="L141" s="379">
        <f ca="1">IF($A141="S",IF(CAIXA.Modo,BM.AFAcumulado,BM.MEDAcumulado),IF(AND(RegimeExecucao="Global",$I141&gt;0,COUNTIF($AB$13:$AM$13,BM.medicao)&gt;0),O141/$I141*100,0))</f>
        <v>0</v>
      </c>
      <c r="M141" s="380">
        <f ca="1">IF($A141="S",VTOTALBM,IF($A141=0,0,ROUND(SomaAgrupBM,15-13*ORÇAMENTO!$AF$11)))</f>
        <v>0</v>
      </c>
      <c r="N141" s="381">
        <f t="shared" ca="1" si="18"/>
        <v>0</v>
      </c>
      <c r="O141" s="127">
        <f ca="1">IF($A141="S",VTOTALBM,IF($A141=0,0,ROUND(SomaAgrupBM,15-13*ORÇAMENTO!$AF$11)))</f>
        <v>0</v>
      </c>
      <c r="Q141" s="382"/>
      <c r="R141" s="383"/>
      <c r="T141" s="119" t="str">
        <f t="shared" ca="1" si="19"/>
        <v/>
      </c>
      <c r="U141" s="172" t="str">
        <f t="shared" ca="1" si="20"/>
        <v/>
      </c>
      <c r="V141" s="173" t="str">
        <f ca="1">IF(AND($W141&gt;0,RegimeExecucao="Unitário"),$F141,"")</f>
        <v/>
      </c>
      <c r="W141" s="547">
        <f ca="1">IF($Y141&gt;0,CHOOSE(MATCH(RegimeExecucao,{"Unitário","Global"},0),IF($A141="S",$Y141/$X141,""),($Y141/$X141)*100),0)</f>
        <v>0</v>
      </c>
      <c r="X141" s="384" t="str">
        <f ca="1">IF($Y141&gt;0,CHOOSE(MATCH(RegimeExecucao,{"Unitário","Global"},0),IF($A141="S",ROUND($H141,ORÇAMENTO!$AF$10),""),ROUND($I141,ORÇAMENTO!$AF$11)),"")</f>
        <v/>
      </c>
      <c r="Y141" s="384">
        <f t="shared" ca="1" si="21"/>
        <v>0</v>
      </c>
      <c r="Z141" s="572"/>
      <c r="AB141" s="382"/>
      <c r="AC141" s="516"/>
      <c r="AD141" s="516"/>
      <c r="AE141" s="516"/>
      <c r="AF141" s="516"/>
      <c r="AG141" s="516"/>
      <c r="AH141" s="516"/>
      <c r="AI141" s="516"/>
      <c r="AJ141" s="516"/>
      <c r="AK141" s="516"/>
      <c r="AL141" s="516"/>
      <c r="AM141" s="383"/>
      <c r="AO141">
        <f ca="1">IF($A141="S",IF(BM!$I141=0,0,CHOOSE(MATCH(RegimeExecucao,{"Global","Unitário"},0),ROUND(ROUND(BM.MEDAcumulado,15-13*BM!$A$9)/100*BM!$I141,15-13*ORÇAMENTO!$AF$11),ROUND(ROUND(BM.MEDAcumulado,15-13*BM!$A$9)*ROUND(BM!$H141,15-13*ORÇAMENTO!$AF$10),15-13*ORÇAMENTO!$AF$11))),IF($A141=0,0,ROUND(SomaAgrupBM,15-13*ORÇAMENTO!$AF$11)))</f>
        <v>0</v>
      </c>
    </row>
    <row r="142" spans="1:41" ht="51" x14ac:dyDescent="0.2">
      <c r="A142" t="str">
        <f ca="1">ORÇAMENTO!C142</f>
        <v>S</v>
      </c>
      <c r="B142">
        <f ca="1">ORÇAMENTO!D142</f>
        <v>0</v>
      </c>
      <c r="C142" s="116" t="str">
        <f t="shared" ca="1" si="15"/>
        <v/>
      </c>
      <c r="D142" s="119" t="str">
        <f ca="1">ORÇAMENTO!O142</f>
        <v>-</v>
      </c>
      <c r="E142" s="172" t="str">
        <f t="shared" ca="1" si="16"/>
        <v>(abra o arquivo 'Referência 06-2024.xlsm)</v>
      </c>
      <c r="F142" s="173" t="str">
        <f ca="1">IF(RegimeExecucao="Global","",ORÇAMENTO.Unidade)</f>
        <v/>
      </c>
      <c r="G142" s="124" t="str">
        <f ca="1">IF(RegimeExecucao="Global","",ORÇAMENTO!T142)</f>
        <v/>
      </c>
      <c r="H142" s="124" t="str">
        <f ca="1">IF(RegimeExecucao="Global","",ORÇAMENTO!W142)</f>
        <v/>
      </c>
      <c r="I142" s="127">
        <f ca="1">ORÇAMENTO!X142</f>
        <v>0</v>
      </c>
      <c r="J142" s="378">
        <f ca="1">IF($A142="S",IF(CAIXA.Modo,BM.AFAnterior,BM.MEDAnterior),IF(AND(RegimeExecucao="Global",$I142&gt;0,COUNTIF($AB$13:$AM$13,BM.medicao-1)&gt;0),M142/$I142*100,0))</f>
        <v>0</v>
      </c>
      <c r="K142" s="124">
        <f t="shared" ca="1" si="17"/>
        <v>0</v>
      </c>
      <c r="L142" s="379">
        <f ca="1">IF($A142="S",IF(CAIXA.Modo,BM.AFAcumulado,BM.MEDAcumulado),IF(AND(RegimeExecucao="Global",$I142&gt;0,COUNTIF($AB$13:$AM$13,BM.medicao)&gt;0),O142/$I142*100,0))</f>
        <v>0</v>
      </c>
      <c r="M142" s="380">
        <f ca="1">IF($A142="S",VTOTALBM,IF($A142=0,0,ROUND(SomaAgrupBM,15-13*ORÇAMENTO!$AF$11)))</f>
        <v>0</v>
      </c>
      <c r="N142" s="381">
        <f t="shared" ca="1" si="18"/>
        <v>0</v>
      </c>
      <c r="O142" s="127">
        <f ca="1">IF($A142="S",VTOTALBM,IF($A142=0,0,ROUND(SomaAgrupBM,15-13*ORÇAMENTO!$AF$11)))</f>
        <v>0</v>
      </c>
      <c r="Q142" s="382"/>
      <c r="R142" s="383"/>
      <c r="T142" s="119" t="str">
        <f t="shared" ca="1" si="19"/>
        <v/>
      </c>
      <c r="U142" s="172" t="str">
        <f t="shared" ca="1" si="20"/>
        <v/>
      </c>
      <c r="V142" s="173" t="str">
        <f ca="1">IF(AND($W142&gt;0,RegimeExecucao="Unitário"),$F142,"")</f>
        <v/>
      </c>
      <c r="W142" s="547">
        <f ca="1">IF($Y142&gt;0,CHOOSE(MATCH(RegimeExecucao,{"Unitário","Global"},0),IF($A142="S",$Y142/$X142,""),($Y142/$X142)*100),0)</f>
        <v>0</v>
      </c>
      <c r="X142" s="384" t="str">
        <f ca="1">IF($Y142&gt;0,CHOOSE(MATCH(RegimeExecucao,{"Unitário","Global"},0),IF($A142="S",ROUND($H142,ORÇAMENTO!$AF$10),""),ROUND($I142,ORÇAMENTO!$AF$11)),"")</f>
        <v/>
      </c>
      <c r="Y142" s="384">
        <f t="shared" ca="1" si="21"/>
        <v>0</v>
      </c>
      <c r="Z142" s="572"/>
      <c r="AB142" s="382"/>
      <c r="AC142" s="516"/>
      <c r="AD142" s="516"/>
      <c r="AE142" s="516"/>
      <c r="AF142" s="516"/>
      <c r="AG142" s="516"/>
      <c r="AH142" s="516"/>
      <c r="AI142" s="516"/>
      <c r="AJ142" s="516"/>
      <c r="AK142" s="516"/>
      <c r="AL142" s="516"/>
      <c r="AM142" s="383"/>
      <c r="AO142">
        <f ca="1">IF($A142="S",IF(BM!$I142=0,0,CHOOSE(MATCH(RegimeExecucao,{"Global","Unitário"},0),ROUND(ROUND(BM.MEDAcumulado,15-13*BM!$A$9)/100*BM!$I142,15-13*ORÇAMENTO!$AF$11),ROUND(ROUND(BM.MEDAcumulado,15-13*BM!$A$9)*ROUND(BM!$H142,15-13*ORÇAMENTO!$AF$10),15-13*ORÇAMENTO!$AF$11))),IF($A142=0,0,ROUND(SomaAgrupBM,15-13*ORÇAMENTO!$AF$11)))</f>
        <v>0</v>
      </c>
    </row>
    <row r="143" spans="1:41" ht="51" x14ac:dyDescent="0.2">
      <c r="A143" t="str">
        <f ca="1">ORÇAMENTO!C143</f>
        <v>S</v>
      </c>
      <c r="B143">
        <f ca="1">ORÇAMENTO!D143</f>
        <v>0</v>
      </c>
      <c r="C143" s="116" t="str">
        <f t="shared" ca="1" si="15"/>
        <v/>
      </c>
      <c r="D143" s="119" t="str">
        <f ca="1">ORÇAMENTO!O143</f>
        <v>-</v>
      </c>
      <c r="E143" s="172" t="str">
        <f t="shared" ca="1" si="16"/>
        <v>(abra o arquivo 'Referência 06-2024.xlsm)</v>
      </c>
      <c r="F143" s="173" t="str">
        <f ca="1">IF(RegimeExecucao="Global","",ORÇAMENTO.Unidade)</f>
        <v/>
      </c>
      <c r="G143" s="124" t="str">
        <f ca="1">IF(RegimeExecucao="Global","",ORÇAMENTO!T143)</f>
        <v/>
      </c>
      <c r="H143" s="124" t="str">
        <f ca="1">IF(RegimeExecucao="Global","",ORÇAMENTO!W143)</f>
        <v/>
      </c>
      <c r="I143" s="127">
        <f ca="1">ORÇAMENTO!X143</f>
        <v>0</v>
      </c>
      <c r="J143" s="378">
        <f ca="1">IF($A143="S",IF(CAIXA.Modo,BM.AFAnterior,BM.MEDAnterior),IF(AND(RegimeExecucao="Global",$I143&gt;0,COUNTIF($AB$13:$AM$13,BM.medicao-1)&gt;0),M143/$I143*100,0))</f>
        <v>0</v>
      </c>
      <c r="K143" s="124">
        <f t="shared" ca="1" si="17"/>
        <v>0</v>
      </c>
      <c r="L143" s="379">
        <f ca="1">IF($A143="S",IF(CAIXA.Modo,BM.AFAcumulado,BM.MEDAcumulado),IF(AND(RegimeExecucao="Global",$I143&gt;0,COUNTIF($AB$13:$AM$13,BM.medicao)&gt;0),O143/$I143*100,0))</f>
        <v>0</v>
      </c>
      <c r="M143" s="380">
        <f ca="1">IF($A143="S",VTOTALBM,IF($A143=0,0,ROUND(SomaAgrupBM,15-13*ORÇAMENTO!$AF$11)))</f>
        <v>0</v>
      </c>
      <c r="N143" s="381">
        <f t="shared" ca="1" si="18"/>
        <v>0</v>
      </c>
      <c r="O143" s="127">
        <f ca="1">IF($A143="S",VTOTALBM,IF($A143=0,0,ROUND(SomaAgrupBM,15-13*ORÇAMENTO!$AF$11)))</f>
        <v>0</v>
      </c>
      <c r="Q143" s="382"/>
      <c r="R143" s="383"/>
      <c r="T143" s="119" t="str">
        <f t="shared" ca="1" si="19"/>
        <v/>
      </c>
      <c r="U143" s="172" t="str">
        <f t="shared" ca="1" si="20"/>
        <v/>
      </c>
      <c r="V143" s="173" t="str">
        <f ca="1">IF(AND($W143&gt;0,RegimeExecucao="Unitário"),$F143,"")</f>
        <v/>
      </c>
      <c r="W143" s="547">
        <f ca="1">IF($Y143&gt;0,CHOOSE(MATCH(RegimeExecucao,{"Unitário","Global"},0),IF($A143="S",$Y143/$X143,""),($Y143/$X143)*100),0)</f>
        <v>0</v>
      </c>
      <c r="X143" s="384" t="str">
        <f ca="1">IF($Y143&gt;0,CHOOSE(MATCH(RegimeExecucao,{"Unitário","Global"},0),IF($A143="S",ROUND($H143,ORÇAMENTO!$AF$10),""),ROUND($I143,ORÇAMENTO!$AF$11)),"")</f>
        <v/>
      </c>
      <c r="Y143" s="384">
        <f t="shared" ca="1" si="21"/>
        <v>0</v>
      </c>
      <c r="Z143" s="572"/>
      <c r="AB143" s="382"/>
      <c r="AC143" s="516"/>
      <c r="AD143" s="516"/>
      <c r="AE143" s="516"/>
      <c r="AF143" s="516"/>
      <c r="AG143" s="516"/>
      <c r="AH143" s="516"/>
      <c r="AI143" s="516"/>
      <c r="AJ143" s="516"/>
      <c r="AK143" s="516"/>
      <c r="AL143" s="516"/>
      <c r="AM143" s="383"/>
      <c r="AO143">
        <f ca="1">IF($A143="S",IF(BM!$I143=0,0,CHOOSE(MATCH(RegimeExecucao,{"Global","Unitário"},0),ROUND(ROUND(BM.MEDAcumulado,15-13*BM!$A$9)/100*BM!$I143,15-13*ORÇAMENTO!$AF$11),ROUND(ROUND(BM.MEDAcumulado,15-13*BM!$A$9)*ROUND(BM!$H143,15-13*ORÇAMENTO!$AF$10),15-13*ORÇAMENTO!$AF$11))),IF($A143=0,0,ROUND(SomaAgrupBM,15-13*ORÇAMENTO!$AF$11)))</f>
        <v>0</v>
      </c>
    </row>
    <row r="144" spans="1:41" ht="51" x14ac:dyDescent="0.2">
      <c r="A144" t="str">
        <f ca="1">ORÇAMENTO!C144</f>
        <v>S</v>
      </c>
      <c r="B144">
        <f ca="1">ORÇAMENTO!D144</f>
        <v>0</v>
      </c>
      <c r="C144" s="116" t="str">
        <f t="shared" ca="1" si="15"/>
        <v/>
      </c>
      <c r="D144" s="119" t="str">
        <f ca="1">ORÇAMENTO!O144</f>
        <v>-</v>
      </c>
      <c r="E144" s="172" t="str">
        <f t="shared" ca="1" si="16"/>
        <v>(abra o arquivo 'Referência 06-2024.xlsm)</v>
      </c>
      <c r="F144" s="173" t="str">
        <f ca="1">IF(RegimeExecucao="Global","",ORÇAMENTO.Unidade)</f>
        <v/>
      </c>
      <c r="G144" s="124" t="str">
        <f ca="1">IF(RegimeExecucao="Global","",ORÇAMENTO!T144)</f>
        <v/>
      </c>
      <c r="H144" s="124" t="str">
        <f ca="1">IF(RegimeExecucao="Global","",ORÇAMENTO!W144)</f>
        <v/>
      </c>
      <c r="I144" s="127">
        <f ca="1">ORÇAMENTO!X144</f>
        <v>0</v>
      </c>
      <c r="J144" s="378">
        <f ca="1">IF($A144="S",IF(CAIXA.Modo,BM.AFAnterior,BM.MEDAnterior),IF(AND(RegimeExecucao="Global",$I144&gt;0,COUNTIF($AB$13:$AM$13,BM.medicao-1)&gt;0),M144/$I144*100,0))</f>
        <v>0</v>
      </c>
      <c r="K144" s="124">
        <f t="shared" ca="1" si="17"/>
        <v>0</v>
      </c>
      <c r="L144" s="379">
        <f ca="1">IF($A144="S",IF(CAIXA.Modo,BM.AFAcumulado,BM.MEDAcumulado),IF(AND(RegimeExecucao="Global",$I144&gt;0,COUNTIF($AB$13:$AM$13,BM.medicao)&gt;0),O144/$I144*100,0))</f>
        <v>0</v>
      </c>
      <c r="M144" s="380">
        <f ca="1">IF($A144="S",VTOTALBM,IF($A144=0,0,ROUND(SomaAgrupBM,15-13*ORÇAMENTO!$AF$11)))</f>
        <v>0</v>
      </c>
      <c r="N144" s="381">
        <f t="shared" ca="1" si="18"/>
        <v>0</v>
      </c>
      <c r="O144" s="127">
        <f ca="1">IF($A144="S",VTOTALBM,IF($A144=0,0,ROUND(SomaAgrupBM,15-13*ORÇAMENTO!$AF$11)))</f>
        <v>0</v>
      </c>
      <c r="Q144" s="382"/>
      <c r="R144" s="383"/>
      <c r="T144" s="119" t="str">
        <f t="shared" ca="1" si="19"/>
        <v/>
      </c>
      <c r="U144" s="172" t="str">
        <f t="shared" ca="1" si="20"/>
        <v/>
      </c>
      <c r="V144" s="173" t="str">
        <f ca="1">IF(AND($W144&gt;0,RegimeExecucao="Unitário"),$F144,"")</f>
        <v/>
      </c>
      <c r="W144" s="547">
        <f ca="1">IF($Y144&gt;0,CHOOSE(MATCH(RegimeExecucao,{"Unitário","Global"},0),IF($A144="S",$Y144/$X144,""),($Y144/$X144)*100),0)</f>
        <v>0</v>
      </c>
      <c r="X144" s="384" t="str">
        <f ca="1">IF($Y144&gt;0,CHOOSE(MATCH(RegimeExecucao,{"Unitário","Global"},0),IF($A144="S",ROUND($H144,ORÇAMENTO!$AF$10),""),ROUND($I144,ORÇAMENTO!$AF$11)),"")</f>
        <v/>
      </c>
      <c r="Y144" s="384">
        <f t="shared" ca="1" si="21"/>
        <v>0</v>
      </c>
      <c r="Z144" s="572"/>
      <c r="AB144" s="382"/>
      <c r="AC144" s="516"/>
      <c r="AD144" s="516"/>
      <c r="AE144" s="516"/>
      <c r="AF144" s="516"/>
      <c r="AG144" s="516"/>
      <c r="AH144" s="516"/>
      <c r="AI144" s="516"/>
      <c r="AJ144" s="516"/>
      <c r="AK144" s="516"/>
      <c r="AL144" s="516"/>
      <c r="AM144" s="383"/>
      <c r="AO144">
        <f ca="1">IF($A144="S",IF(BM!$I144=0,0,CHOOSE(MATCH(RegimeExecucao,{"Global","Unitário"},0),ROUND(ROUND(BM.MEDAcumulado,15-13*BM!$A$9)/100*BM!$I144,15-13*ORÇAMENTO!$AF$11),ROUND(ROUND(BM.MEDAcumulado,15-13*BM!$A$9)*ROUND(BM!$H144,15-13*ORÇAMENTO!$AF$10),15-13*ORÇAMENTO!$AF$11))),IF($A144=0,0,ROUND(SomaAgrupBM,15-13*ORÇAMENTO!$AF$11)))</f>
        <v>0</v>
      </c>
    </row>
    <row r="145" spans="1:41" ht="51" x14ac:dyDescent="0.2">
      <c r="A145" t="str">
        <f ca="1">ORÇAMENTO!C145</f>
        <v>S</v>
      </c>
      <c r="B145">
        <f ca="1">ORÇAMENTO!D145</f>
        <v>0</v>
      </c>
      <c r="C145" s="116" t="str">
        <f t="shared" ca="1" si="15"/>
        <v/>
      </c>
      <c r="D145" s="119" t="str">
        <f ca="1">ORÇAMENTO!O145</f>
        <v>-</v>
      </c>
      <c r="E145" s="172" t="str">
        <f t="shared" ca="1" si="16"/>
        <v>(abra o arquivo 'Referência 06-2024.xlsm)</v>
      </c>
      <c r="F145" s="173" t="str">
        <f ca="1">IF(RegimeExecucao="Global","",ORÇAMENTO.Unidade)</f>
        <v/>
      </c>
      <c r="G145" s="124" t="str">
        <f ca="1">IF(RegimeExecucao="Global","",ORÇAMENTO!T145)</f>
        <v/>
      </c>
      <c r="H145" s="124" t="str">
        <f ca="1">IF(RegimeExecucao="Global","",ORÇAMENTO!W145)</f>
        <v/>
      </c>
      <c r="I145" s="127">
        <f ca="1">ORÇAMENTO!X145</f>
        <v>0</v>
      </c>
      <c r="J145" s="378">
        <f ca="1">IF($A145="S",IF(CAIXA.Modo,BM.AFAnterior,BM.MEDAnterior),IF(AND(RegimeExecucao="Global",$I145&gt;0,COUNTIF($AB$13:$AM$13,BM.medicao-1)&gt;0),M145/$I145*100,0))</f>
        <v>0</v>
      </c>
      <c r="K145" s="124">
        <f t="shared" ca="1" si="17"/>
        <v>0</v>
      </c>
      <c r="L145" s="379">
        <f ca="1">IF($A145="S",IF(CAIXA.Modo,BM.AFAcumulado,BM.MEDAcumulado),IF(AND(RegimeExecucao="Global",$I145&gt;0,COUNTIF($AB$13:$AM$13,BM.medicao)&gt;0),O145/$I145*100,0))</f>
        <v>0</v>
      </c>
      <c r="M145" s="380">
        <f ca="1">IF($A145="S",VTOTALBM,IF($A145=0,0,ROUND(SomaAgrupBM,15-13*ORÇAMENTO!$AF$11)))</f>
        <v>0</v>
      </c>
      <c r="N145" s="381">
        <f t="shared" ca="1" si="18"/>
        <v>0</v>
      </c>
      <c r="O145" s="127">
        <f ca="1">IF($A145="S",VTOTALBM,IF($A145=0,0,ROUND(SomaAgrupBM,15-13*ORÇAMENTO!$AF$11)))</f>
        <v>0</v>
      </c>
      <c r="Q145" s="382"/>
      <c r="R145" s="383"/>
      <c r="T145" s="119" t="str">
        <f t="shared" ca="1" si="19"/>
        <v/>
      </c>
      <c r="U145" s="172" t="str">
        <f t="shared" ca="1" si="20"/>
        <v/>
      </c>
      <c r="V145" s="173" t="str">
        <f ca="1">IF(AND($W145&gt;0,RegimeExecucao="Unitário"),$F145,"")</f>
        <v/>
      </c>
      <c r="W145" s="547">
        <f ca="1">IF($Y145&gt;0,CHOOSE(MATCH(RegimeExecucao,{"Unitário","Global"},0),IF($A145="S",$Y145/$X145,""),($Y145/$X145)*100),0)</f>
        <v>0</v>
      </c>
      <c r="X145" s="384" t="str">
        <f ca="1">IF($Y145&gt;0,CHOOSE(MATCH(RegimeExecucao,{"Unitário","Global"},0),IF($A145="S",ROUND($H145,ORÇAMENTO!$AF$10),""),ROUND($I145,ORÇAMENTO!$AF$11)),"")</f>
        <v/>
      </c>
      <c r="Y145" s="384">
        <f t="shared" ca="1" si="21"/>
        <v>0</v>
      </c>
      <c r="Z145" s="572"/>
      <c r="AB145" s="382"/>
      <c r="AC145" s="516"/>
      <c r="AD145" s="516"/>
      <c r="AE145" s="516"/>
      <c r="AF145" s="516"/>
      <c r="AG145" s="516"/>
      <c r="AH145" s="516"/>
      <c r="AI145" s="516"/>
      <c r="AJ145" s="516"/>
      <c r="AK145" s="516"/>
      <c r="AL145" s="516"/>
      <c r="AM145" s="383"/>
      <c r="AO145">
        <f ca="1">IF($A145="S",IF(BM!$I145=0,0,CHOOSE(MATCH(RegimeExecucao,{"Global","Unitário"},0),ROUND(ROUND(BM.MEDAcumulado,15-13*BM!$A$9)/100*BM!$I145,15-13*ORÇAMENTO!$AF$11),ROUND(ROUND(BM.MEDAcumulado,15-13*BM!$A$9)*ROUND(BM!$H145,15-13*ORÇAMENTO!$AF$10),15-13*ORÇAMENTO!$AF$11))),IF($A145=0,0,ROUND(SomaAgrupBM,15-13*ORÇAMENTO!$AF$11)))</f>
        <v>0</v>
      </c>
    </row>
    <row r="146" spans="1:41" ht="51" x14ac:dyDescent="0.2">
      <c r="A146" t="str">
        <f ca="1">ORÇAMENTO!C146</f>
        <v>S</v>
      </c>
      <c r="B146">
        <f ca="1">ORÇAMENTO!D146</f>
        <v>0</v>
      </c>
      <c r="C146" s="116" t="str">
        <f t="shared" ca="1" si="15"/>
        <v/>
      </c>
      <c r="D146" s="119" t="str">
        <f ca="1">ORÇAMENTO!O146</f>
        <v>-</v>
      </c>
      <c r="E146" s="172" t="str">
        <f t="shared" ca="1" si="16"/>
        <v>(abra o arquivo 'Referência 06-2024.xlsm)</v>
      </c>
      <c r="F146" s="173" t="str">
        <f ca="1">IF(RegimeExecucao="Global","",ORÇAMENTO.Unidade)</f>
        <v/>
      </c>
      <c r="G146" s="124" t="str">
        <f ca="1">IF(RegimeExecucao="Global","",ORÇAMENTO!T146)</f>
        <v/>
      </c>
      <c r="H146" s="124" t="str">
        <f ca="1">IF(RegimeExecucao="Global","",ORÇAMENTO!W146)</f>
        <v/>
      </c>
      <c r="I146" s="127">
        <f ca="1">ORÇAMENTO!X146</f>
        <v>0</v>
      </c>
      <c r="J146" s="378">
        <f ca="1">IF($A146="S",IF(CAIXA.Modo,BM.AFAnterior,BM.MEDAnterior),IF(AND(RegimeExecucao="Global",$I146&gt;0,COUNTIF($AB$13:$AM$13,BM.medicao-1)&gt;0),M146/$I146*100,0))</f>
        <v>0</v>
      </c>
      <c r="K146" s="124">
        <f t="shared" ca="1" si="17"/>
        <v>0</v>
      </c>
      <c r="L146" s="379">
        <f ca="1">IF($A146="S",IF(CAIXA.Modo,BM.AFAcumulado,BM.MEDAcumulado),IF(AND(RegimeExecucao="Global",$I146&gt;0,COUNTIF($AB$13:$AM$13,BM.medicao)&gt;0),O146/$I146*100,0))</f>
        <v>0</v>
      </c>
      <c r="M146" s="380">
        <f ca="1">IF($A146="S",VTOTALBM,IF($A146=0,0,ROUND(SomaAgrupBM,15-13*ORÇAMENTO!$AF$11)))</f>
        <v>0</v>
      </c>
      <c r="N146" s="381">
        <f t="shared" ca="1" si="18"/>
        <v>0</v>
      </c>
      <c r="O146" s="127">
        <f ca="1">IF($A146="S",VTOTALBM,IF($A146=0,0,ROUND(SomaAgrupBM,15-13*ORÇAMENTO!$AF$11)))</f>
        <v>0</v>
      </c>
      <c r="Q146" s="382"/>
      <c r="R146" s="383"/>
      <c r="T146" s="119" t="str">
        <f t="shared" ca="1" si="19"/>
        <v/>
      </c>
      <c r="U146" s="172" t="str">
        <f t="shared" ca="1" si="20"/>
        <v/>
      </c>
      <c r="V146" s="173" t="str">
        <f ca="1">IF(AND($W146&gt;0,RegimeExecucao="Unitário"),$F146,"")</f>
        <v/>
      </c>
      <c r="W146" s="547">
        <f ca="1">IF($Y146&gt;0,CHOOSE(MATCH(RegimeExecucao,{"Unitário","Global"},0),IF($A146="S",$Y146/$X146,""),($Y146/$X146)*100),0)</f>
        <v>0</v>
      </c>
      <c r="X146" s="384" t="str">
        <f ca="1">IF($Y146&gt;0,CHOOSE(MATCH(RegimeExecucao,{"Unitário","Global"},0),IF($A146="S",ROUND($H146,ORÇAMENTO!$AF$10),""),ROUND($I146,ORÇAMENTO!$AF$11)),"")</f>
        <v/>
      </c>
      <c r="Y146" s="384">
        <f t="shared" ca="1" si="21"/>
        <v>0</v>
      </c>
      <c r="Z146" s="572"/>
      <c r="AB146" s="382"/>
      <c r="AC146" s="516"/>
      <c r="AD146" s="516"/>
      <c r="AE146" s="516"/>
      <c r="AF146" s="516"/>
      <c r="AG146" s="516"/>
      <c r="AH146" s="516"/>
      <c r="AI146" s="516"/>
      <c r="AJ146" s="516"/>
      <c r="AK146" s="516"/>
      <c r="AL146" s="516"/>
      <c r="AM146" s="383"/>
      <c r="AO146">
        <f ca="1">IF($A146="S",IF(BM!$I146=0,0,CHOOSE(MATCH(RegimeExecucao,{"Global","Unitário"},0),ROUND(ROUND(BM.MEDAcumulado,15-13*BM!$A$9)/100*BM!$I146,15-13*ORÇAMENTO!$AF$11),ROUND(ROUND(BM.MEDAcumulado,15-13*BM!$A$9)*ROUND(BM!$H146,15-13*ORÇAMENTO!$AF$10),15-13*ORÇAMENTO!$AF$11))),IF($A146=0,0,ROUND(SomaAgrupBM,15-13*ORÇAMENTO!$AF$11)))</f>
        <v>0</v>
      </c>
    </row>
    <row r="147" spans="1:41" ht="51" x14ac:dyDescent="0.2">
      <c r="A147" t="str">
        <f ca="1">ORÇAMENTO!C147</f>
        <v>S</v>
      </c>
      <c r="B147">
        <f ca="1">ORÇAMENTO!D147</f>
        <v>0</v>
      </c>
      <c r="C147" s="116" t="str">
        <f t="shared" ca="1" si="15"/>
        <v/>
      </c>
      <c r="D147" s="119" t="str">
        <f ca="1">ORÇAMENTO!O147</f>
        <v>-</v>
      </c>
      <c r="E147" s="172" t="str">
        <f t="shared" ca="1" si="16"/>
        <v>(abra o arquivo 'Referência 06-2024.xlsm)</v>
      </c>
      <c r="F147" s="173" t="str">
        <f ca="1">IF(RegimeExecucao="Global","",ORÇAMENTO.Unidade)</f>
        <v/>
      </c>
      <c r="G147" s="124" t="str">
        <f ca="1">IF(RegimeExecucao="Global","",ORÇAMENTO!T147)</f>
        <v/>
      </c>
      <c r="H147" s="124" t="str">
        <f ca="1">IF(RegimeExecucao="Global","",ORÇAMENTO!W147)</f>
        <v/>
      </c>
      <c r="I147" s="127">
        <f ca="1">ORÇAMENTO!X147</f>
        <v>0</v>
      </c>
      <c r="J147" s="378">
        <f ca="1">IF($A147="S",IF(CAIXA.Modo,BM.AFAnterior,BM.MEDAnterior),IF(AND(RegimeExecucao="Global",$I147&gt;0,COUNTIF($AB$13:$AM$13,BM.medicao-1)&gt;0),M147/$I147*100,0))</f>
        <v>0</v>
      </c>
      <c r="K147" s="124">
        <f t="shared" ca="1" si="17"/>
        <v>0</v>
      </c>
      <c r="L147" s="379">
        <f ca="1">IF($A147="S",IF(CAIXA.Modo,BM.AFAcumulado,BM.MEDAcumulado),IF(AND(RegimeExecucao="Global",$I147&gt;0,COUNTIF($AB$13:$AM$13,BM.medicao)&gt;0),O147/$I147*100,0))</f>
        <v>0</v>
      </c>
      <c r="M147" s="380">
        <f ca="1">IF($A147="S",VTOTALBM,IF($A147=0,0,ROUND(SomaAgrupBM,15-13*ORÇAMENTO!$AF$11)))</f>
        <v>0</v>
      </c>
      <c r="N147" s="381">
        <f t="shared" ca="1" si="18"/>
        <v>0</v>
      </c>
      <c r="O147" s="127">
        <f ca="1">IF($A147="S",VTOTALBM,IF($A147=0,0,ROUND(SomaAgrupBM,15-13*ORÇAMENTO!$AF$11)))</f>
        <v>0</v>
      </c>
      <c r="Q147" s="382"/>
      <c r="R147" s="383"/>
      <c r="T147" s="119" t="str">
        <f t="shared" ca="1" si="19"/>
        <v/>
      </c>
      <c r="U147" s="172" t="str">
        <f t="shared" ca="1" si="20"/>
        <v/>
      </c>
      <c r="V147" s="173" t="str">
        <f ca="1">IF(AND($W147&gt;0,RegimeExecucao="Unitário"),$F147,"")</f>
        <v/>
      </c>
      <c r="W147" s="547">
        <f ca="1">IF($Y147&gt;0,CHOOSE(MATCH(RegimeExecucao,{"Unitário","Global"},0),IF($A147="S",$Y147/$X147,""),($Y147/$X147)*100),0)</f>
        <v>0</v>
      </c>
      <c r="X147" s="384" t="str">
        <f ca="1">IF($Y147&gt;0,CHOOSE(MATCH(RegimeExecucao,{"Unitário","Global"},0),IF($A147="S",ROUND($H147,ORÇAMENTO!$AF$10),""),ROUND($I147,ORÇAMENTO!$AF$11)),"")</f>
        <v/>
      </c>
      <c r="Y147" s="384">
        <f t="shared" ca="1" si="21"/>
        <v>0</v>
      </c>
      <c r="Z147" s="572"/>
      <c r="AB147" s="382"/>
      <c r="AC147" s="516"/>
      <c r="AD147" s="516"/>
      <c r="AE147" s="516"/>
      <c r="AF147" s="516"/>
      <c r="AG147" s="516"/>
      <c r="AH147" s="516"/>
      <c r="AI147" s="516"/>
      <c r="AJ147" s="516"/>
      <c r="AK147" s="516"/>
      <c r="AL147" s="516"/>
      <c r="AM147" s="383"/>
      <c r="AO147">
        <f ca="1">IF($A147="S",IF(BM!$I147=0,0,CHOOSE(MATCH(RegimeExecucao,{"Global","Unitário"},0),ROUND(ROUND(BM.MEDAcumulado,15-13*BM!$A$9)/100*BM!$I147,15-13*ORÇAMENTO!$AF$11),ROUND(ROUND(BM.MEDAcumulado,15-13*BM!$A$9)*ROUND(BM!$H147,15-13*ORÇAMENTO!$AF$10),15-13*ORÇAMENTO!$AF$11))),IF($A147=0,0,ROUND(SomaAgrupBM,15-13*ORÇAMENTO!$AF$11)))</f>
        <v>0</v>
      </c>
    </row>
    <row r="148" spans="1:41" ht="51" x14ac:dyDescent="0.2">
      <c r="A148" t="str">
        <f ca="1">ORÇAMENTO!C148</f>
        <v>S</v>
      </c>
      <c r="B148">
        <f ca="1">ORÇAMENTO!D148</f>
        <v>0</v>
      </c>
      <c r="C148" s="116" t="str">
        <f t="shared" ca="1" si="15"/>
        <v/>
      </c>
      <c r="D148" s="119" t="str">
        <f ca="1">ORÇAMENTO!O148</f>
        <v>-</v>
      </c>
      <c r="E148" s="172" t="str">
        <f t="shared" ca="1" si="16"/>
        <v>(abra o arquivo 'Referência 06-2024.xlsm)</v>
      </c>
      <c r="F148" s="173" t="str">
        <f ca="1">IF(RegimeExecucao="Global","",ORÇAMENTO.Unidade)</f>
        <v/>
      </c>
      <c r="G148" s="124" t="str">
        <f ca="1">IF(RegimeExecucao="Global","",ORÇAMENTO!T148)</f>
        <v/>
      </c>
      <c r="H148" s="124" t="str">
        <f ca="1">IF(RegimeExecucao="Global","",ORÇAMENTO!W148)</f>
        <v/>
      </c>
      <c r="I148" s="127">
        <f ca="1">ORÇAMENTO!X148</f>
        <v>0</v>
      </c>
      <c r="J148" s="378">
        <f ca="1">IF($A148="S",IF(CAIXA.Modo,BM.AFAnterior,BM.MEDAnterior),IF(AND(RegimeExecucao="Global",$I148&gt;0,COUNTIF($AB$13:$AM$13,BM.medicao-1)&gt;0),M148/$I148*100,0))</f>
        <v>0</v>
      </c>
      <c r="K148" s="124">
        <f t="shared" ca="1" si="17"/>
        <v>0</v>
      </c>
      <c r="L148" s="379">
        <f ca="1">IF($A148="S",IF(CAIXA.Modo,BM.AFAcumulado,BM.MEDAcumulado),IF(AND(RegimeExecucao="Global",$I148&gt;0,COUNTIF($AB$13:$AM$13,BM.medicao)&gt;0),O148/$I148*100,0))</f>
        <v>0</v>
      </c>
      <c r="M148" s="380">
        <f ca="1">IF($A148="S",VTOTALBM,IF($A148=0,0,ROUND(SomaAgrupBM,15-13*ORÇAMENTO!$AF$11)))</f>
        <v>0</v>
      </c>
      <c r="N148" s="381">
        <f t="shared" ca="1" si="18"/>
        <v>0</v>
      </c>
      <c r="O148" s="127">
        <f ca="1">IF($A148="S",VTOTALBM,IF($A148=0,0,ROUND(SomaAgrupBM,15-13*ORÇAMENTO!$AF$11)))</f>
        <v>0</v>
      </c>
      <c r="Q148" s="382"/>
      <c r="R148" s="383"/>
      <c r="T148" s="119" t="str">
        <f t="shared" ca="1" si="19"/>
        <v/>
      </c>
      <c r="U148" s="172" t="str">
        <f t="shared" ca="1" si="20"/>
        <v/>
      </c>
      <c r="V148" s="173" t="str">
        <f ca="1">IF(AND($W148&gt;0,RegimeExecucao="Unitário"),$F148,"")</f>
        <v/>
      </c>
      <c r="W148" s="547">
        <f ca="1">IF($Y148&gt;0,CHOOSE(MATCH(RegimeExecucao,{"Unitário","Global"},0),IF($A148="S",$Y148/$X148,""),($Y148/$X148)*100),0)</f>
        <v>0</v>
      </c>
      <c r="X148" s="384" t="str">
        <f ca="1">IF($Y148&gt;0,CHOOSE(MATCH(RegimeExecucao,{"Unitário","Global"},0),IF($A148="S",ROUND($H148,ORÇAMENTO!$AF$10),""),ROUND($I148,ORÇAMENTO!$AF$11)),"")</f>
        <v/>
      </c>
      <c r="Y148" s="384">
        <f t="shared" ca="1" si="21"/>
        <v>0</v>
      </c>
      <c r="Z148" s="572"/>
      <c r="AB148" s="382"/>
      <c r="AC148" s="516"/>
      <c r="AD148" s="516"/>
      <c r="AE148" s="516"/>
      <c r="AF148" s="516"/>
      <c r="AG148" s="516"/>
      <c r="AH148" s="516"/>
      <c r="AI148" s="516"/>
      <c r="AJ148" s="516"/>
      <c r="AK148" s="516"/>
      <c r="AL148" s="516"/>
      <c r="AM148" s="383"/>
      <c r="AO148">
        <f ca="1">IF($A148="S",IF(BM!$I148=0,0,CHOOSE(MATCH(RegimeExecucao,{"Global","Unitário"},0),ROUND(ROUND(BM.MEDAcumulado,15-13*BM!$A$9)/100*BM!$I148,15-13*ORÇAMENTO!$AF$11),ROUND(ROUND(BM.MEDAcumulado,15-13*BM!$A$9)*ROUND(BM!$H148,15-13*ORÇAMENTO!$AF$10),15-13*ORÇAMENTO!$AF$11))),IF($A148=0,0,ROUND(SomaAgrupBM,15-13*ORÇAMENTO!$AF$11)))</f>
        <v>0</v>
      </c>
    </row>
    <row r="149" spans="1:41" ht="51" x14ac:dyDescent="0.2">
      <c r="A149" t="str">
        <f ca="1">ORÇAMENTO!C149</f>
        <v>S</v>
      </c>
      <c r="B149">
        <f ca="1">ORÇAMENTO!D149</f>
        <v>0</v>
      </c>
      <c r="C149" s="116" t="str">
        <f t="shared" ca="1" si="15"/>
        <v/>
      </c>
      <c r="D149" s="119" t="str">
        <f ca="1">ORÇAMENTO!O149</f>
        <v>-</v>
      </c>
      <c r="E149" s="172" t="str">
        <f t="shared" ca="1" si="16"/>
        <v>(abra o arquivo 'Referência 06-2024.xlsm)</v>
      </c>
      <c r="F149" s="173" t="str">
        <f ca="1">IF(RegimeExecucao="Global","",ORÇAMENTO.Unidade)</f>
        <v/>
      </c>
      <c r="G149" s="124" t="str">
        <f ca="1">IF(RegimeExecucao="Global","",ORÇAMENTO!T149)</f>
        <v/>
      </c>
      <c r="H149" s="124" t="str">
        <f ca="1">IF(RegimeExecucao="Global","",ORÇAMENTO!W149)</f>
        <v/>
      </c>
      <c r="I149" s="127">
        <f ca="1">ORÇAMENTO!X149</f>
        <v>0</v>
      </c>
      <c r="J149" s="378">
        <f ca="1">IF($A149="S",IF(CAIXA.Modo,BM.AFAnterior,BM.MEDAnterior),IF(AND(RegimeExecucao="Global",$I149&gt;0,COUNTIF($AB$13:$AM$13,BM.medicao-1)&gt;0),M149/$I149*100,0))</f>
        <v>0</v>
      </c>
      <c r="K149" s="124">
        <f t="shared" ca="1" si="17"/>
        <v>0</v>
      </c>
      <c r="L149" s="379">
        <f ca="1">IF($A149="S",IF(CAIXA.Modo,BM.AFAcumulado,BM.MEDAcumulado),IF(AND(RegimeExecucao="Global",$I149&gt;0,COUNTIF($AB$13:$AM$13,BM.medicao)&gt;0),O149/$I149*100,0))</f>
        <v>0</v>
      </c>
      <c r="M149" s="380">
        <f ca="1">IF($A149="S",VTOTALBM,IF($A149=0,0,ROUND(SomaAgrupBM,15-13*ORÇAMENTO!$AF$11)))</f>
        <v>0</v>
      </c>
      <c r="N149" s="381">
        <f t="shared" ca="1" si="18"/>
        <v>0</v>
      </c>
      <c r="O149" s="127">
        <f ca="1">IF($A149="S",VTOTALBM,IF($A149=0,0,ROUND(SomaAgrupBM,15-13*ORÇAMENTO!$AF$11)))</f>
        <v>0</v>
      </c>
      <c r="Q149" s="382"/>
      <c r="R149" s="383"/>
      <c r="T149" s="119" t="str">
        <f t="shared" ca="1" si="19"/>
        <v/>
      </c>
      <c r="U149" s="172" t="str">
        <f t="shared" ca="1" si="20"/>
        <v/>
      </c>
      <c r="V149" s="173" t="str">
        <f ca="1">IF(AND($W149&gt;0,RegimeExecucao="Unitário"),$F149,"")</f>
        <v/>
      </c>
      <c r="W149" s="547">
        <f ca="1">IF($Y149&gt;0,CHOOSE(MATCH(RegimeExecucao,{"Unitário","Global"},0),IF($A149="S",$Y149/$X149,""),($Y149/$X149)*100),0)</f>
        <v>0</v>
      </c>
      <c r="X149" s="384" t="str">
        <f ca="1">IF($Y149&gt;0,CHOOSE(MATCH(RegimeExecucao,{"Unitário","Global"},0),IF($A149="S",ROUND($H149,ORÇAMENTO!$AF$10),""),ROUND($I149,ORÇAMENTO!$AF$11)),"")</f>
        <v/>
      </c>
      <c r="Y149" s="384">
        <f t="shared" ca="1" si="21"/>
        <v>0</v>
      </c>
      <c r="Z149" s="572"/>
      <c r="AB149" s="382"/>
      <c r="AC149" s="516"/>
      <c r="AD149" s="516"/>
      <c r="AE149" s="516"/>
      <c r="AF149" s="516"/>
      <c r="AG149" s="516"/>
      <c r="AH149" s="516"/>
      <c r="AI149" s="516"/>
      <c r="AJ149" s="516"/>
      <c r="AK149" s="516"/>
      <c r="AL149" s="516"/>
      <c r="AM149" s="383"/>
      <c r="AO149">
        <f ca="1">IF($A149="S",IF(BM!$I149=0,0,CHOOSE(MATCH(RegimeExecucao,{"Global","Unitário"},0),ROUND(ROUND(BM.MEDAcumulado,15-13*BM!$A$9)/100*BM!$I149,15-13*ORÇAMENTO!$AF$11),ROUND(ROUND(BM.MEDAcumulado,15-13*BM!$A$9)*ROUND(BM!$H149,15-13*ORÇAMENTO!$AF$10),15-13*ORÇAMENTO!$AF$11))),IF($A149=0,0,ROUND(SomaAgrupBM,15-13*ORÇAMENTO!$AF$11)))</f>
        <v>0</v>
      </c>
    </row>
    <row r="150" spans="1:41" ht="38.25" x14ac:dyDescent="0.2">
      <c r="A150" t="str">
        <f ca="1">ORÇAMENTO!C150</f>
        <v>S</v>
      </c>
      <c r="B150">
        <f ca="1">ORÇAMENTO!D150</f>
        <v>0</v>
      </c>
      <c r="C150" s="116" t="str">
        <f t="shared" ca="1" si="15"/>
        <v/>
      </c>
      <c r="D150" s="119" t="str">
        <f ca="1">ORÇAMENTO!O150</f>
        <v>-</v>
      </c>
      <c r="E150" s="172" t="str">
        <f t="shared" ca="1" si="16"/>
        <v>(abra o arquivo 'Referência 06-2024.xlsm)</v>
      </c>
      <c r="F150" s="173" t="str">
        <f ca="1">IF(RegimeExecucao="Global","",ORÇAMENTO.Unidade)</f>
        <v/>
      </c>
      <c r="G150" s="124" t="str">
        <f ca="1">IF(RegimeExecucao="Global","",ORÇAMENTO!T150)</f>
        <v/>
      </c>
      <c r="H150" s="124" t="str">
        <f ca="1">IF(RegimeExecucao="Global","",ORÇAMENTO!W150)</f>
        <v/>
      </c>
      <c r="I150" s="127">
        <f ca="1">ORÇAMENTO!X150</f>
        <v>0</v>
      </c>
      <c r="J150" s="378">
        <f ca="1">IF($A150="S",IF(CAIXA.Modo,BM.AFAnterior,BM.MEDAnterior),IF(AND(RegimeExecucao="Global",$I150&gt;0,COUNTIF($AB$13:$AM$13,BM.medicao-1)&gt;0),M150/$I150*100,0))</f>
        <v>0</v>
      </c>
      <c r="K150" s="124">
        <f t="shared" ca="1" si="17"/>
        <v>0</v>
      </c>
      <c r="L150" s="379">
        <f ca="1">IF($A150="S",IF(CAIXA.Modo,BM.AFAcumulado,BM.MEDAcumulado),IF(AND(RegimeExecucao="Global",$I150&gt;0,COUNTIF($AB$13:$AM$13,BM.medicao)&gt;0),O150/$I150*100,0))</f>
        <v>0</v>
      </c>
      <c r="M150" s="380">
        <f ca="1">IF($A150="S",VTOTALBM,IF($A150=0,0,ROUND(SomaAgrupBM,15-13*ORÇAMENTO!$AF$11)))</f>
        <v>0</v>
      </c>
      <c r="N150" s="381">
        <f t="shared" ca="1" si="18"/>
        <v>0</v>
      </c>
      <c r="O150" s="127">
        <f ca="1">IF($A150="S",VTOTALBM,IF($A150=0,0,ROUND(SomaAgrupBM,15-13*ORÇAMENTO!$AF$11)))</f>
        <v>0</v>
      </c>
      <c r="Q150" s="382"/>
      <c r="R150" s="383"/>
      <c r="T150" s="119" t="str">
        <f t="shared" ca="1" si="19"/>
        <v/>
      </c>
      <c r="U150" s="172" t="str">
        <f t="shared" ca="1" si="20"/>
        <v/>
      </c>
      <c r="V150" s="173" t="str">
        <f ca="1">IF(AND($W150&gt;0,RegimeExecucao="Unitário"),$F150,"")</f>
        <v/>
      </c>
      <c r="W150" s="547">
        <f ca="1">IF($Y150&gt;0,CHOOSE(MATCH(RegimeExecucao,{"Unitário","Global"},0),IF($A150="S",$Y150/$X150,""),($Y150/$X150)*100),0)</f>
        <v>0</v>
      </c>
      <c r="X150" s="384" t="str">
        <f ca="1">IF($Y150&gt;0,CHOOSE(MATCH(RegimeExecucao,{"Unitário","Global"},0),IF($A150="S",ROUND($H150,ORÇAMENTO!$AF$10),""),ROUND($I150,ORÇAMENTO!$AF$11)),"")</f>
        <v/>
      </c>
      <c r="Y150" s="384">
        <f t="shared" ca="1" si="21"/>
        <v>0</v>
      </c>
      <c r="Z150" s="572"/>
      <c r="AB150" s="382"/>
      <c r="AC150" s="516"/>
      <c r="AD150" s="516"/>
      <c r="AE150" s="516"/>
      <c r="AF150" s="516"/>
      <c r="AG150" s="516"/>
      <c r="AH150" s="516"/>
      <c r="AI150" s="516"/>
      <c r="AJ150" s="516"/>
      <c r="AK150" s="516"/>
      <c r="AL150" s="516"/>
      <c r="AM150" s="383"/>
      <c r="AO150">
        <f ca="1">IF($A150="S",IF(BM!$I150=0,0,CHOOSE(MATCH(RegimeExecucao,{"Global","Unitário"},0),ROUND(ROUND(BM.MEDAcumulado,15-13*BM!$A$9)/100*BM!$I150,15-13*ORÇAMENTO!$AF$11),ROUND(ROUND(BM.MEDAcumulado,15-13*BM!$A$9)*ROUND(BM!$H150,15-13*ORÇAMENTO!$AF$10),15-13*ORÇAMENTO!$AF$11))),IF($A150=0,0,ROUND(SomaAgrupBM,15-13*ORÇAMENTO!$AF$11)))</f>
        <v>0</v>
      </c>
    </row>
    <row r="151" spans="1:41" ht="25.5" x14ac:dyDescent="0.2">
      <c r="A151" t="str">
        <f ca="1">ORÇAMENTO!C151</f>
        <v>S</v>
      </c>
      <c r="B151">
        <f ca="1">ORÇAMENTO!D151</f>
        <v>0</v>
      </c>
      <c r="C151" s="116" t="str">
        <f t="shared" ca="1" si="15"/>
        <v/>
      </c>
      <c r="D151" s="119" t="str">
        <f ca="1">ORÇAMENTO!O151</f>
        <v>-</v>
      </c>
      <c r="E151" s="172" t="str">
        <f t="shared" ca="1" si="16"/>
        <v>(abra o arquivo 'Referência 06-2024.xlsm)</v>
      </c>
      <c r="F151" s="173" t="str">
        <f ca="1">IF(RegimeExecucao="Global","",ORÇAMENTO.Unidade)</f>
        <v/>
      </c>
      <c r="G151" s="124" t="str">
        <f ca="1">IF(RegimeExecucao="Global","",ORÇAMENTO!T151)</f>
        <v/>
      </c>
      <c r="H151" s="124" t="str">
        <f ca="1">IF(RegimeExecucao="Global","",ORÇAMENTO!W151)</f>
        <v/>
      </c>
      <c r="I151" s="127">
        <f ca="1">ORÇAMENTO!X151</f>
        <v>0</v>
      </c>
      <c r="J151" s="378">
        <f ca="1">IF($A151="S",IF(CAIXA.Modo,BM.AFAnterior,BM.MEDAnterior),IF(AND(RegimeExecucao="Global",$I151&gt;0,COUNTIF($AB$13:$AM$13,BM.medicao-1)&gt;0),M151/$I151*100,0))</f>
        <v>0</v>
      </c>
      <c r="K151" s="124">
        <f t="shared" ca="1" si="17"/>
        <v>0</v>
      </c>
      <c r="L151" s="379">
        <f ca="1">IF($A151="S",IF(CAIXA.Modo,BM.AFAcumulado,BM.MEDAcumulado),IF(AND(RegimeExecucao="Global",$I151&gt;0,COUNTIF($AB$13:$AM$13,BM.medicao)&gt;0),O151/$I151*100,0))</f>
        <v>0</v>
      </c>
      <c r="M151" s="380">
        <f ca="1">IF($A151="S",VTOTALBM,IF($A151=0,0,ROUND(SomaAgrupBM,15-13*ORÇAMENTO!$AF$11)))</f>
        <v>0</v>
      </c>
      <c r="N151" s="381">
        <f t="shared" ca="1" si="18"/>
        <v>0</v>
      </c>
      <c r="O151" s="127">
        <f ca="1">IF($A151="S",VTOTALBM,IF($A151=0,0,ROUND(SomaAgrupBM,15-13*ORÇAMENTO!$AF$11)))</f>
        <v>0</v>
      </c>
      <c r="Q151" s="382"/>
      <c r="R151" s="383"/>
      <c r="T151" s="119" t="str">
        <f t="shared" ca="1" si="19"/>
        <v/>
      </c>
      <c r="U151" s="172" t="str">
        <f t="shared" ca="1" si="20"/>
        <v/>
      </c>
      <c r="V151" s="173" t="str">
        <f ca="1">IF(AND($W151&gt;0,RegimeExecucao="Unitário"),$F151,"")</f>
        <v/>
      </c>
      <c r="W151" s="547">
        <f ca="1">IF($Y151&gt;0,CHOOSE(MATCH(RegimeExecucao,{"Unitário","Global"},0),IF($A151="S",$Y151/$X151,""),($Y151/$X151)*100),0)</f>
        <v>0</v>
      </c>
      <c r="X151" s="384" t="str">
        <f ca="1">IF($Y151&gt;0,CHOOSE(MATCH(RegimeExecucao,{"Unitário","Global"},0),IF($A151="S",ROUND($H151,ORÇAMENTO!$AF$10),""),ROUND($I151,ORÇAMENTO!$AF$11)),"")</f>
        <v/>
      </c>
      <c r="Y151" s="384">
        <f t="shared" ca="1" si="21"/>
        <v>0</v>
      </c>
      <c r="Z151" s="572"/>
      <c r="AB151" s="382"/>
      <c r="AC151" s="516"/>
      <c r="AD151" s="516"/>
      <c r="AE151" s="516"/>
      <c r="AF151" s="516"/>
      <c r="AG151" s="516"/>
      <c r="AH151" s="516"/>
      <c r="AI151" s="516"/>
      <c r="AJ151" s="516"/>
      <c r="AK151" s="516"/>
      <c r="AL151" s="516"/>
      <c r="AM151" s="383"/>
      <c r="AO151">
        <f ca="1">IF($A151="S",IF(BM!$I151=0,0,CHOOSE(MATCH(RegimeExecucao,{"Global","Unitário"},0),ROUND(ROUND(BM.MEDAcumulado,15-13*BM!$A$9)/100*BM!$I151,15-13*ORÇAMENTO!$AF$11),ROUND(ROUND(BM.MEDAcumulado,15-13*BM!$A$9)*ROUND(BM!$H151,15-13*ORÇAMENTO!$AF$10),15-13*ORÇAMENTO!$AF$11))),IF($A151=0,0,ROUND(SomaAgrupBM,15-13*ORÇAMENTO!$AF$11)))</f>
        <v>0</v>
      </c>
    </row>
    <row r="152" spans="1:41" x14ac:dyDescent="0.2">
      <c r="A152">
        <f ca="1">ORÇAMENTO!C152</f>
        <v>2</v>
      </c>
      <c r="B152">
        <f ca="1">ORÇAMENTO!D152</f>
        <v>3</v>
      </c>
      <c r="C152" s="116" t="str">
        <f t="shared" ca="1" si="15"/>
        <v>F</v>
      </c>
      <c r="D152" s="119" t="str">
        <f ca="1">ORÇAMENTO!O152</f>
        <v>1.22.</v>
      </c>
      <c r="E152" s="172" t="str">
        <f t="shared" si="16"/>
        <v>ESQUADRIAS - PORTAS DE VIDRO</v>
      </c>
      <c r="F152" s="173" t="str">
        <f ca="1">IF(RegimeExecucao="Global","",ORÇAMENTO.Unidade)</f>
        <v/>
      </c>
      <c r="G152" s="124" t="str">
        <f ca="1">IF(RegimeExecucao="Global","",ORÇAMENTO!T152)</f>
        <v/>
      </c>
      <c r="H152" s="124" t="str">
        <f ca="1">IF(RegimeExecucao="Global","",ORÇAMENTO!W152)</f>
        <v/>
      </c>
      <c r="I152" s="127">
        <f ca="1">ORÇAMENTO!X152</f>
        <v>0</v>
      </c>
      <c r="J152" s="378">
        <f ca="1">IF($A152="S",IF(CAIXA.Modo,BM.AFAnterior,BM.MEDAnterior),IF(AND(RegimeExecucao="Global",$I152&gt;0,COUNTIF($AB$13:$AM$13,BM.medicao-1)&gt;0),M152/$I152*100,0))</f>
        <v>0</v>
      </c>
      <c r="K152" s="124">
        <f t="shared" ca="1" si="17"/>
        <v>0</v>
      </c>
      <c r="L152" s="379">
        <f ca="1">IF($A152="S",IF(CAIXA.Modo,BM.AFAcumulado,BM.MEDAcumulado),IF(AND(RegimeExecucao="Global",$I152&gt;0,COUNTIF($AB$13:$AM$13,BM.medicao)&gt;0),O152/$I152*100,0))</f>
        <v>0</v>
      </c>
      <c r="M152" s="380">
        <f ca="1">IF($A152="S",VTOTALBM,IF($A152=0,0,ROUND(SomaAgrupBM,15-13*ORÇAMENTO!$AF$11)))</f>
        <v>0</v>
      </c>
      <c r="N152" s="381">
        <f t="shared" ca="1" si="18"/>
        <v>0</v>
      </c>
      <c r="O152" s="127">
        <f ca="1">IF($A152="S",VTOTALBM,IF($A152=0,0,ROUND(SomaAgrupBM,15-13*ORÇAMENTO!$AF$11)))</f>
        <v>0</v>
      </c>
      <c r="Q152" s="382"/>
      <c r="R152" s="383"/>
      <c r="T152" s="119" t="str">
        <f t="shared" ca="1" si="19"/>
        <v/>
      </c>
      <c r="U152" s="172" t="str">
        <f t="shared" ca="1" si="20"/>
        <v/>
      </c>
      <c r="V152" s="173" t="str">
        <f ca="1">IF(AND($W152&gt;0,RegimeExecucao="Unitário"),$F152,"")</f>
        <v/>
      </c>
      <c r="W152" s="547">
        <f ca="1">IF($Y152&gt;0,CHOOSE(MATCH(RegimeExecucao,{"Unitário","Global"},0),IF($A152="S",$Y152/$X152,""),($Y152/$X152)*100),0)</f>
        <v>0</v>
      </c>
      <c r="X152" s="384" t="str">
        <f ca="1">IF($Y152&gt;0,CHOOSE(MATCH(RegimeExecucao,{"Unitário","Global"},0),IF($A152="S",ROUND($H152,ORÇAMENTO!$AF$10),""),ROUND($I152,ORÇAMENTO!$AF$11)),"")</f>
        <v/>
      </c>
      <c r="Y152" s="384">
        <f t="shared" ca="1" si="21"/>
        <v>0</v>
      </c>
      <c r="Z152" s="572"/>
      <c r="AB152" s="382"/>
      <c r="AC152" s="516"/>
      <c r="AD152" s="516"/>
      <c r="AE152" s="516"/>
      <c r="AF152" s="516"/>
      <c r="AG152" s="516"/>
      <c r="AH152" s="516"/>
      <c r="AI152" s="516"/>
      <c r="AJ152" s="516"/>
      <c r="AK152" s="516"/>
      <c r="AL152" s="516"/>
      <c r="AM152" s="383"/>
      <c r="AO152">
        <f ca="1">IF($A152="S",IF(BM!$I152=0,0,CHOOSE(MATCH(RegimeExecucao,{"Global","Unitário"},0),ROUND(ROUND(BM.MEDAcumulado,15-13*BM!$A$9)/100*BM!$I152,15-13*ORÇAMENTO!$AF$11),ROUND(ROUND(BM.MEDAcumulado,15-13*BM!$A$9)*ROUND(BM!$H152,15-13*ORÇAMENTO!$AF$10),15-13*ORÇAMENTO!$AF$11))),IF($A152=0,0,ROUND(SomaAgrupBM,15-13*ORÇAMENTO!$AF$11)))</f>
        <v>0</v>
      </c>
    </row>
    <row r="153" spans="1:41" ht="25.5" x14ac:dyDescent="0.2">
      <c r="A153" t="str">
        <f ca="1">ORÇAMENTO!C153</f>
        <v>S</v>
      </c>
      <c r="B153">
        <f ca="1">ORÇAMENTO!D153</f>
        <v>0</v>
      </c>
      <c r="C153" s="116" t="str">
        <f t="shared" ca="1" si="15"/>
        <v/>
      </c>
      <c r="D153" s="119" t="str">
        <f ca="1">ORÇAMENTO!O153</f>
        <v>-</v>
      </c>
      <c r="E153" s="172" t="str">
        <f t="shared" ca="1" si="16"/>
        <v>(abra o arquivo 'Referência 06-2024.xlsm)</v>
      </c>
      <c r="F153" s="173" t="str">
        <f ca="1">IF(RegimeExecucao="Global","",ORÇAMENTO.Unidade)</f>
        <v/>
      </c>
      <c r="G153" s="124" t="str">
        <f ca="1">IF(RegimeExecucao="Global","",ORÇAMENTO!T153)</f>
        <v/>
      </c>
      <c r="H153" s="124" t="str">
        <f ca="1">IF(RegimeExecucao="Global","",ORÇAMENTO!W153)</f>
        <v/>
      </c>
      <c r="I153" s="127">
        <f ca="1">ORÇAMENTO!X153</f>
        <v>0</v>
      </c>
      <c r="J153" s="378">
        <f ca="1">IF($A153="S",IF(CAIXA.Modo,BM.AFAnterior,BM.MEDAnterior),IF(AND(RegimeExecucao="Global",$I153&gt;0,COUNTIF($AB$13:$AM$13,BM.medicao-1)&gt;0),M153/$I153*100,0))</f>
        <v>0</v>
      </c>
      <c r="K153" s="124">
        <f t="shared" ca="1" si="17"/>
        <v>0</v>
      </c>
      <c r="L153" s="379">
        <f ca="1">IF($A153="S",IF(CAIXA.Modo,BM.AFAcumulado,BM.MEDAcumulado),IF(AND(RegimeExecucao="Global",$I153&gt;0,COUNTIF($AB$13:$AM$13,BM.medicao)&gt;0),O153/$I153*100,0))</f>
        <v>0</v>
      </c>
      <c r="M153" s="380">
        <f ca="1">IF($A153="S",VTOTALBM,IF($A153=0,0,ROUND(SomaAgrupBM,15-13*ORÇAMENTO!$AF$11)))</f>
        <v>0</v>
      </c>
      <c r="N153" s="381">
        <f t="shared" ca="1" si="18"/>
        <v>0</v>
      </c>
      <c r="O153" s="127">
        <f ca="1">IF($A153="S",VTOTALBM,IF($A153=0,0,ROUND(SomaAgrupBM,15-13*ORÇAMENTO!$AF$11)))</f>
        <v>0</v>
      </c>
      <c r="Q153" s="382"/>
      <c r="R153" s="383"/>
      <c r="T153" s="119" t="str">
        <f t="shared" ca="1" si="19"/>
        <v/>
      </c>
      <c r="U153" s="172" t="str">
        <f t="shared" ca="1" si="20"/>
        <v/>
      </c>
      <c r="V153" s="173" t="str">
        <f ca="1">IF(AND($W153&gt;0,RegimeExecucao="Unitário"),$F153,"")</f>
        <v/>
      </c>
      <c r="W153" s="547">
        <f ca="1">IF($Y153&gt;0,CHOOSE(MATCH(RegimeExecucao,{"Unitário","Global"},0),IF($A153="S",$Y153/$X153,""),($Y153/$X153)*100),0)</f>
        <v>0</v>
      </c>
      <c r="X153" s="384" t="str">
        <f ca="1">IF($Y153&gt;0,CHOOSE(MATCH(RegimeExecucao,{"Unitário","Global"},0),IF($A153="S",ROUND($H153,ORÇAMENTO!$AF$10),""),ROUND($I153,ORÇAMENTO!$AF$11)),"")</f>
        <v/>
      </c>
      <c r="Y153" s="384">
        <f t="shared" ca="1" si="21"/>
        <v>0</v>
      </c>
      <c r="Z153" s="572"/>
      <c r="AB153" s="382"/>
      <c r="AC153" s="516"/>
      <c r="AD153" s="516"/>
      <c r="AE153" s="516"/>
      <c r="AF153" s="516"/>
      <c r="AG153" s="516"/>
      <c r="AH153" s="516"/>
      <c r="AI153" s="516"/>
      <c r="AJ153" s="516"/>
      <c r="AK153" s="516"/>
      <c r="AL153" s="516"/>
      <c r="AM153" s="383"/>
      <c r="AO153">
        <f ca="1">IF($A153="S",IF(BM!$I153=0,0,CHOOSE(MATCH(RegimeExecucao,{"Global","Unitário"},0),ROUND(ROUND(BM.MEDAcumulado,15-13*BM!$A$9)/100*BM!$I153,15-13*ORÇAMENTO!$AF$11),ROUND(ROUND(BM.MEDAcumulado,15-13*BM!$A$9)*ROUND(BM!$H153,15-13*ORÇAMENTO!$AF$10),15-13*ORÇAMENTO!$AF$11))),IF($A153=0,0,ROUND(SomaAgrupBM,15-13*ORÇAMENTO!$AF$11)))</f>
        <v>0</v>
      </c>
    </row>
    <row r="154" spans="1:41" ht="38.25" x14ac:dyDescent="0.2">
      <c r="A154" t="str">
        <f ca="1">ORÇAMENTO!C154</f>
        <v>S</v>
      </c>
      <c r="B154">
        <f ca="1">ORÇAMENTO!D154</f>
        <v>0</v>
      </c>
      <c r="C154" s="116" t="str">
        <f t="shared" ca="1" si="15"/>
        <v/>
      </c>
      <c r="D154" s="119" t="str">
        <f ca="1">ORÇAMENTO!O154</f>
        <v>-</v>
      </c>
      <c r="E154" s="172" t="str">
        <f t="shared" ca="1" si="16"/>
        <v>(abra o arquivo 'Referência 06-2024.xlsm)</v>
      </c>
      <c r="F154" s="173" t="str">
        <f ca="1">IF(RegimeExecucao="Global","",ORÇAMENTO.Unidade)</f>
        <v/>
      </c>
      <c r="G154" s="124" t="str">
        <f ca="1">IF(RegimeExecucao="Global","",ORÇAMENTO!T154)</f>
        <v/>
      </c>
      <c r="H154" s="124" t="str">
        <f ca="1">IF(RegimeExecucao="Global","",ORÇAMENTO!W154)</f>
        <v/>
      </c>
      <c r="I154" s="127">
        <f ca="1">ORÇAMENTO!X154</f>
        <v>0</v>
      </c>
      <c r="J154" s="378">
        <f ca="1">IF($A154="S",IF(CAIXA.Modo,BM.AFAnterior,BM.MEDAnterior),IF(AND(RegimeExecucao="Global",$I154&gt;0,COUNTIF($AB$13:$AM$13,BM.medicao-1)&gt;0),M154/$I154*100,0))</f>
        <v>0</v>
      </c>
      <c r="K154" s="124">
        <f t="shared" ca="1" si="17"/>
        <v>0</v>
      </c>
      <c r="L154" s="379">
        <f ca="1">IF($A154="S",IF(CAIXA.Modo,BM.AFAcumulado,BM.MEDAcumulado),IF(AND(RegimeExecucao="Global",$I154&gt;0,COUNTIF($AB$13:$AM$13,BM.medicao)&gt;0),O154/$I154*100,0))</f>
        <v>0</v>
      </c>
      <c r="M154" s="380">
        <f ca="1">IF($A154="S",VTOTALBM,IF($A154=0,0,ROUND(SomaAgrupBM,15-13*ORÇAMENTO!$AF$11)))</f>
        <v>0</v>
      </c>
      <c r="N154" s="381">
        <f t="shared" ca="1" si="18"/>
        <v>0</v>
      </c>
      <c r="O154" s="127">
        <f ca="1">IF($A154="S",VTOTALBM,IF($A154=0,0,ROUND(SomaAgrupBM,15-13*ORÇAMENTO!$AF$11)))</f>
        <v>0</v>
      </c>
      <c r="Q154" s="382"/>
      <c r="R154" s="383"/>
      <c r="T154" s="119" t="str">
        <f t="shared" ca="1" si="19"/>
        <v/>
      </c>
      <c r="U154" s="172" t="str">
        <f t="shared" ca="1" si="20"/>
        <v/>
      </c>
      <c r="V154" s="173" t="str">
        <f ca="1">IF(AND($W154&gt;0,RegimeExecucao="Unitário"),$F154,"")</f>
        <v/>
      </c>
      <c r="W154" s="547">
        <f ca="1">IF($Y154&gt;0,CHOOSE(MATCH(RegimeExecucao,{"Unitário","Global"},0),IF($A154="S",$Y154/$X154,""),($Y154/$X154)*100),0)</f>
        <v>0</v>
      </c>
      <c r="X154" s="384" t="str">
        <f ca="1">IF($Y154&gt;0,CHOOSE(MATCH(RegimeExecucao,{"Unitário","Global"},0),IF($A154="S",ROUND($H154,ORÇAMENTO!$AF$10),""),ROUND($I154,ORÇAMENTO!$AF$11)),"")</f>
        <v/>
      </c>
      <c r="Y154" s="384">
        <f t="shared" ca="1" si="21"/>
        <v>0</v>
      </c>
      <c r="Z154" s="572"/>
      <c r="AB154" s="382"/>
      <c r="AC154" s="516"/>
      <c r="AD154" s="516"/>
      <c r="AE154" s="516"/>
      <c r="AF154" s="516"/>
      <c r="AG154" s="516"/>
      <c r="AH154" s="516"/>
      <c r="AI154" s="516"/>
      <c r="AJ154" s="516"/>
      <c r="AK154" s="516"/>
      <c r="AL154" s="516"/>
      <c r="AM154" s="383"/>
      <c r="AO154">
        <f ca="1">IF($A154="S",IF(BM!$I154=0,0,CHOOSE(MATCH(RegimeExecucao,{"Global","Unitário"},0),ROUND(ROUND(BM.MEDAcumulado,15-13*BM!$A$9)/100*BM!$I154,15-13*ORÇAMENTO!$AF$11),ROUND(ROUND(BM.MEDAcumulado,15-13*BM!$A$9)*ROUND(BM!$H154,15-13*ORÇAMENTO!$AF$10),15-13*ORÇAMENTO!$AF$11))),IF($A154=0,0,ROUND(SomaAgrupBM,15-13*ORÇAMENTO!$AF$11)))</f>
        <v>0</v>
      </c>
    </row>
    <row r="155" spans="1:41" x14ac:dyDescent="0.2">
      <c r="A155">
        <f ca="1">ORÇAMENTO!C155</f>
        <v>2</v>
      </c>
      <c r="B155">
        <f ca="1">ORÇAMENTO!D155</f>
        <v>14</v>
      </c>
      <c r="C155" s="116" t="str">
        <f t="shared" ca="1" si="15"/>
        <v>F</v>
      </c>
      <c r="D155" s="119" t="str">
        <f ca="1">ORÇAMENTO!O155</f>
        <v>1.23.</v>
      </c>
      <c r="E155" s="172" t="str">
        <f t="shared" si="16"/>
        <v>ESQUADRIAS - GERAL</v>
      </c>
      <c r="F155" s="173" t="str">
        <f ca="1">IF(RegimeExecucao="Global","",ORÇAMENTO.Unidade)</f>
        <v/>
      </c>
      <c r="G155" s="124" t="str">
        <f ca="1">IF(RegimeExecucao="Global","",ORÇAMENTO!T155)</f>
        <v/>
      </c>
      <c r="H155" s="124" t="str">
        <f ca="1">IF(RegimeExecucao="Global","",ORÇAMENTO!W155)</f>
        <v/>
      </c>
      <c r="I155" s="127">
        <f ca="1">ORÇAMENTO!X155</f>
        <v>0</v>
      </c>
      <c r="J155" s="378">
        <f ca="1">IF($A155="S",IF(CAIXA.Modo,BM.AFAnterior,BM.MEDAnterior),IF(AND(RegimeExecucao="Global",$I155&gt;0,COUNTIF($AB$13:$AM$13,BM.medicao-1)&gt;0),M155/$I155*100,0))</f>
        <v>0</v>
      </c>
      <c r="K155" s="124">
        <f t="shared" ca="1" si="17"/>
        <v>0</v>
      </c>
      <c r="L155" s="379">
        <f ca="1">IF($A155="S",IF(CAIXA.Modo,BM.AFAcumulado,BM.MEDAcumulado),IF(AND(RegimeExecucao="Global",$I155&gt;0,COUNTIF($AB$13:$AM$13,BM.medicao)&gt;0),O155/$I155*100,0))</f>
        <v>0</v>
      </c>
      <c r="M155" s="380">
        <f ca="1">IF($A155="S",VTOTALBM,IF($A155=0,0,ROUND(SomaAgrupBM,15-13*ORÇAMENTO!$AF$11)))</f>
        <v>0</v>
      </c>
      <c r="N155" s="381">
        <f t="shared" ca="1" si="18"/>
        <v>0</v>
      </c>
      <c r="O155" s="127">
        <f ca="1">IF($A155="S",VTOTALBM,IF($A155=0,0,ROUND(SomaAgrupBM,15-13*ORÇAMENTO!$AF$11)))</f>
        <v>0</v>
      </c>
      <c r="Q155" s="382"/>
      <c r="R155" s="383"/>
      <c r="T155" s="119" t="str">
        <f t="shared" ca="1" si="19"/>
        <v/>
      </c>
      <c r="U155" s="172" t="str">
        <f t="shared" ca="1" si="20"/>
        <v/>
      </c>
      <c r="V155" s="173" t="str">
        <f ca="1">IF(AND($W155&gt;0,RegimeExecucao="Unitário"),$F155,"")</f>
        <v/>
      </c>
      <c r="W155" s="547">
        <f ca="1">IF($Y155&gt;0,CHOOSE(MATCH(RegimeExecucao,{"Unitário","Global"},0),IF($A155="S",$Y155/$X155,""),($Y155/$X155)*100),0)</f>
        <v>0</v>
      </c>
      <c r="X155" s="384" t="str">
        <f ca="1">IF($Y155&gt;0,CHOOSE(MATCH(RegimeExecucao,{"Unitário","Global"},0),IF($A155="S",ROUND($H155,ORÇAMENTO!$AF$10),""),ROUND($I155,ORÇAMENTO!$AF$11)),"")</f>
        <v/>
      </c>
      <c r="Y155" s="384">
        <f t="shared" ca="1" si="21"/>
        <v>0</v>
      </c>
      <c r="Z155" s="572"/>
      <c r="AB155" s="382"/>
      <c r="AC155" s="516"/>
      <c r="AD155" s="516"/>
      <c r="AE155" s="516"/>
      <c r="AF155" s="516"/>
      <c r="AG155" s="516"/>
      <c r="AH155" s="516"/>
      <c r="AI155" s="516"/>
      <c r="AJ155" s="516"/>
      <c r="AK155" s="516"/>
      <c r="AL155" s="516"/>
      <c r="AM155" s="383"/>
      <c r="AO155">
        <f ca="1">IF($A155="S",IF(BM!$I155=0,0,CHOOSE(MATCH(RegimeExecucao,{"Global","Unitário"},0),ROUND(ROUND(BM.MEDAcumulado,15-13*BM!$A$9)/100*BM!$I155,15-13*ORÇAMENTO!$AF$11),ROUND(ROUND(BM.MEDAcumulado,15-13*BM!$A$9)*ROUND(BM!$H155,15-13*ORÇAMENTO!$AF$10),15-13*ORÇAMENTO!$AF$11))),IF($A155=0,0,ROUND(SomaAgrupBM,15-13*ORÇAMENTO!$AF$11)))</f>
        <v>0</v>
      </c>
    </row>
    <row r="156" spans="1:41" ht="38.25" x14ac:dyDescent="0.2">
      <c r="A156" t="str">
        <f ca="1">ORÇAMENTO!C156</f>
        <v>S</v>
      </c>
      <c r="B156">
        <f ca="1">ORÇAMENTO!D156</f>
        <v>0</v>
      </c>
      <c r="C156" s="116" t="str">
        <f t="shared" ca="1" si="15"/>
        <v/>
      </c>
      <c r="D156" s="119" t="str">
        <f ca="1">ORÇAMENTO!O156</f>
        <v>-</v>
      </c>
      <c r="E156" s="172" t="str">
        <f t="shared" ca="1" si="16"/>
        <v>(abra o arquivo 'Referência 06-2024.xlsm)</v>
      </c>
      <c r="F156" s="173" t="str">
        <f ca="1">IF(RegimeExecucao="Global","",ORÇAMENTO.Unidade)</f>
        <v/>
      </c>
      <c r="G156" s="124" t="str">
        <f ca="1">IF(RegimeExecucao="Global","",ORÇAMENTO!T156)</f>
        <v/>
      </c>
      <c r="H156" s="124" t="str">
        <f ca="1">IF(RegimeExecucao="Global","",ORÇAMENTO!W156)</f>
        <v/>
      </c>
      <c r="I156" s="127">
        <f ca="1">ORÇAMENTO!X156</f>
        <v>0</v>
      </c>
      <c r="J156" s="378">
        <f ca="1">IF($A156="S",IF(CAIXA.Modo,BM.AFAnterior,BM.MEDAnterior),IF(AND(RegimeExecucao="Global",$I156&gt;0,COUNTIF($AB$13:$AM$13,BM.medicao-1)&gt;0),M156/$I156*100,0))</f>
        <v>0</v>
      </c>
      <c r="K156" s="124">
        <f t="shared" ca="1" si="17"/>
        <v>0</v>
      </c>
      <c r="L156" s="379">
        <f ca="1">IF($A156="S",IF(CAIXA.Modo,BM.AFAcumulado,BM.MEDAcumulado),IF(AND(RegimeExecucao="Global",$I156&gt;0,COUNTIF($AB$13:$AM$13,BM.medicao)&gt;0),O156/$I156*100,0))</f>
        <v>0</v>
      </c>
      <c r="M156" s="380">
        <f ca="1">IF($A156="S",VTOTALBM,IF($A156=0,0,ROUND(SomaAgrupBM,15-13*ORÇAMENTO!$AF$11)))</f>
        <v>0</v>
      </c>
      <c r="N156" s="381">
        <f t="shared" ca="1" si="18"/>
        <v>0</v>
      </c>
      <c r="O156" s="127">
        <f ca="1">IF($A156="S",VTOTALBM,IF($A156=0,0,ROUND(SomaAgrupBM,15-13*ORÇAMENTO!$AF$11)))</f>
        <v>0</v>
      </c>
      <c r="Q156" s="382"/>
      <c r="R156" s="383"/>
      <c r="T156" s="119" t="str">
        <f t="shared" ca="1" si="19"/>
        <v/>
      </c>
      <c r="U156" s="172" t="str">
        <f t="shared" ca="1" si="20"/>
        <v/>
      </c>
      <c r="V156" s="173" t="str">
        <f ca="1">IF(AND($W156&gt;0,RegimeExecucao="Unitário"),$F156,"")</f>
        <v/>
      </c>
      <c r="W156" s="547">
        <f ca="1">IF($Y156&gt;0,CHOOSE(MATCH(RegimeExecucao,{"Unitário","Global"},0),IF($A156="S",$Y156/$X156,""),($Y156/$X156)*100),0)</f>
        <v>0</v>
      </c>
      <c r="X156" s="384" t="str">
        <f ca="1">IF($Y156&gt;0,CHOOSE(MATCH(RegimeExecucao,{"Unitário","Global"},0),IF($A156="S",ROUND($H156,ORÇAMENTO!$AF$10),""),ROUND($I156,ORÇAMENTO!$AF$11)),"")</f>
        <v/>
      </c>
      <c r="Y156" s="384">
        <f t="shared" ca="1" si="21"/>
        <v>0</v>
      </c>
      <c r="Z156" s="572"/>
      <c r="AB156" s="382"/>
      <c r="AC156" s="516"/>
      <c r="AD156" s="516"/>
      <c r="AE156" s="516"/>
      <c r="AF156" s="516"/>
      <c r="AG156" s="516"/>
      <c r="AH156" s="516"/>
      <c r="AI156" s="516"/>
      <c r="AJ156" s="516"/>
      <c r="AK156" s="516"/>
      <c r="AL156" s="516"/>
      <c r="AM156" s="383"/>
      <c r="AO156">
        <f ca="1">IF($A156="S",IF(BM!$I156=0,0,CHOOSE(MATCH(RegimeExecucao,{"Global","Unitário"},0),ROUND(ROUND(BM.MEDAcumulado,15-13*BM!$A$9)/100*BM!$I156,15-13*ORÇAMENTO!$AF$11),ROUND(ROUND(BM.MEDAcumulado,15-13*BM!$A$9)*ROUND(BM!$H156,15-13*ORÇAMENTO!$AF$10),15-13*ORÇAMENTO!$AF$11))),IF($A156=0,0,ROUND(SomaAgrupBM,15-13*ORÇAMENTO!$AF$11)))</f>
        <v>0</v>
      </c>
    </row>
    <row r="157" spans="1:41" ht="38.25" x14ac:dyDescent="0.2">
      <c r="A157" t="str">
        <f ca="1">ORÇAMENTO!C157</f>
        <v>S</v>
      </c>
      <c r="B157">
        <f ca="1">ORÇAMENTO!D157</f>
        <v>0</v>
      </c>
      <c r="C157" s="116" t="str">
        <f t="shared" ca="1" si="15"/>
        <v/>
      </c>
      <c r="D157" s="119" t="str">
        <f ca="1">ORÇAMENTO!O157</f>
        <v>-</v>
      </c>
      <c r="E157" s="172" t="str">
        <f t="shared" ca="1" si="16"/>
        <v>(abra o arquivo 'Referência 06-2024.xlsm)</v>
      </c>
      <c r="F157" s="173" t="str">
        <f ca="1">IF(RegimeExecucao="Global","",ORÇAMENTO.Unidade)</f>
        <v/>
      </c>
      <c r="G157" s="124" t="str">
        <f ca="1">IF(RegimeExecucao="Global","",ORÇAMENTO!T157)</f>
        <v/>
      </c>
      <c r="H157" s="124" t="str">
        <f ca="1">IF(RegimeExecucao="Global","",ORÇAMENTO!W157)</f>
        <v/>
      </c>
      <c r="I157" s="127">
        <f ca="1">ORÇAMENTO!X157</f>
        <v>0</v>
      </c>
      <c r="J157" s="378">
        <f ca="1">IF($A157="S",IF(CAIXA.Modo,BM.AFAnterior,BM.MEDAnterior),IF(AND(RegimeExecucao="Global",$I157&gt;0,COUNTIF($AB$13:$AM$13,BM.medicao-1)&gt;0),M157/$I157*100,0))</f>
        <v>0</v>
      </c>
      <c r="K157" s="124">
        <f t="shared" ca="1" si="17"/>
        <v>0</v>
      </c>
      <c r="L157" s="379">
        <f ca="1">IF($A157="S",IF(CAIXA.Modo,BM.AFAcumulado,BM.MEDAcumulado),IF(AND(RegimeExecucao="Global",$I157&gt;0,COUNTIF($AB$13:$AM$13,BM.medicao)&gt;0),O157/$I157*100,0))</f>
        <v>0</v>
      </c>
      <c r="M157" s="380">
        <f ca="1">IF($A157="S",VTOTALBM,IF($A157=0,0,ROUND(SomaAgrupBM,15-13*ORÇAMENTO!$AF$11)))</f>
        <v>0</v>
      </c>
      <c r="N157" s="381">
        <f t="shared" ca="1" si="18"/>
        <v>0</v>
      </c>
      <c r="O157" s="127">
        <f ca="1">IF($A157="S",VTOTALBM,IF($A157=0,0,ROUND(SomaAgrupBM,15-13*ORÇAMENTO!$AF$11)))</f>
        <v>0</v>
      </c>
      <c r="Q157" s="382"/>
      <c r="R157" s="383"/>
      <c r="T157" s="119" t="str">
        <f t="shared" ca="1" si="19"/>
        <v/>
      </c>
      <c r="U157" s="172" t="str">
        <f t="shared" ca="1" si="20"/>
        <v/>
      </c>
      <c r="V157" s="173" t="str">
        <f ca="1">IF(AND($W157&gt;0,RegimeExecucao="Unitário"),$F157,"")</f>
        <v/>
      </c>
      <c r="W157" s="547">
        <f ca="1">IF($Y157&gt;0,CHOOSE(MATCH(RegimeExecucao,{"Unitário","Global"},0),IF($A157="S",$Y157/$X157,""),($Y157/$X157)*100),0)</f>
        <v>0</v>
      </c>
      <c r="X157" s="384" t="str">
        <f ca="1">IF($Y157&gt;0,CHOOSE(MATCH(RegimeExecucao,{"Unitário","Global"},0),IF($A157="S",ROUND($H157,ORÇAMENTO!$AF$10),""),ROUND($I157,ORÇAMENTO!$AF$11)),"")</f>
        <v/>
      </c>
      <c r="Y157" s="384">
        <f t="shared" ca="1" si="21"/>
        <v>0</v>
      </c>
      <c r="Z157" s="572"/>
      <c r="AB157" s="382"/>
      <c r="AC157" s="516"/>
      <c r="AD157" s="516"/>
      <c r="AE157" s="516"/>
      <c r="AF157" s="516"/>
      <c r="AG157" s="516"/>
      <c r="AH157" s="516"/>
      <c r="AI157" s="516"/>
      <c r="AJ157" s="516"/>
      <c r="AK157" s="516"/>
      <c r="AL157" s="516"/>
      <c r="AM157" s="383"/>
      <c r="AO157">
        <f ca="1">IF($A157="S",IF(BM!$I157=0,0,CHOOSE(MATCH(RegimeExecucao,{"Global","Unitário"},0),ROUND(ROUND(BM.MEDAcumulado,15-13*BM!$A$9)/100*BM!$I157,15-13*ORÇAMENTO!$AF$11),ROUND(ROUND(BM.MEDAcumulado,15-13*BM!$A$9)*ROUND(BM!$H157,15-13*ORÇAMENTO!$AF$10),15-13*ORÇAMENTO!$AF$11))),IF($A157=0,0,ROUND(SomaAgrupBM,15-13*ORÇAMENTO!$AF$11)))</f>
        <v>0</v>
      </c>
    </row>
    <row r="158" spans="1:41" ht="25.5" x14ac:dyDescent="0.2">
      <c r="A158" t="str">
        <f ca="1">ORÇAMENTO!C158</f>
        <v>S</v>
      </c>
      <c r="B158">
        <f ca="1">ORÇAMENTO!D158</f>
        <v>0</v>
      </c>
      <c r="C158" s="116" t="str">
        <f t="shared" ca="1" si="15"/>
        <v/>
      </c>
      <c r="D158" s="119" t="str">
        <f ca="1">ORÇAMENTO!O158</f>
        <v>-</v>
      </c>
      <c r="E158" s="172" t="str">
        <f t="shared" ca="1" si="16"/>
        <v>(abra o arquivo 'Referência 06-2024.xlsm)</v>
      </c>
      <c r="F158" s="173" t="str">
        <f ca="1">IF(RegimeExecucao="Global","",ORÇAMENTO.Unidade)</f>
        <v/>
      </c>
      <c r="G158" s="124" t="str">
        <f ca="1">IF(RegimeExecucao="Global","",ORÇAMENTO!T158)</f>
        <v/>
      </c>
      <c r="H158" s="124" t="str">
        <f ca="1">IF(RegimeExecucao="Global","",ORÇAMENTO!W158)</f>
        <v/>
      </c>
      <c r="I158" s="127">
        <f ca="1">ORÇAMENTO!X158</f>
        <v>0</v>
      </c>
      <c r="J158" s="378">
        <f ca="1">IF($A158="S",IF(CAIXA.Modo,BM.AFAnterior,BM.MEDAnterior),IF(AND(RegimeExecucao="Global",$I158&gt;0,COUNTIF($AB$13:$AM$13,BM.medicao-1)&gt;0),M158/$I158*100,0))</f>
        <v>0</v>
      </c>
      <c r="K158" s="124">
        <f t="shared" ca="1" si="17"/>
        <v>0</v>
      </c>
      <c r="L158" s="379">
        <f ca="1">IF($A158="S",IF(CAIXA.Modo,BM.AFAcumulado,BM.MEDAcumulado),IF(AND(RegimeExecucao="Global",$I158&gt;0,COUNTIF($AB$13:$AM$13,BM.medicao)&gt;0),O158/$I158*100,0))</f>
        <v>0</v>
      </c>
      <c r="M158" s="380">
        <f ca="1">IF($A158="S",VTOTALBM,IF($A158=0,0,ROUND(SomaAgrupBM,15-13*ORÇAMENTO!$AF$11)))</f>
        <v>0</v>
      </c>
      <c r="N158" s="381">
        <f t="shared" ca="1" si="18"/>
        <v>0</v>
      </c>
      <c r="O158" s="127">
        <f ca="1">IF($A158="S",VTOTALBM,IF($A158=0,0,ROUND(SomaAgrupBM,15-13*ORÇAMENTO!$AF$11)))</f>
        <v>0</v>
      </c>
      <c r="Q158" s="382"/>
      <c r="R158" s="383"/>
      <c r="T158" s="119" t="str">
        <f t="shared" ca="1" si="19"/>
        <v/>
      </c>
      <c r="U158" s="172" t="str">
        <f t="shared" ca="1" si="20"/>
        <v/>
      </c>
      <c r="V158" s="173" t="str">
        <f ca="1">IF(AND($W158&gt;0,RegimeExecucao="Unitário"),$F158,"")</f>
        <v/>
      </c>
      <c r="W158" s="547">
        <f ca="1">IF($Y158&gt;0,CHOOSE(MATCH(RegimeExecucao,{"Unitário","Global"},0),IF($A158="S",$Y158/$X158,""),($Y158/$X158)*100),0)</f>
        <v>0</v>
      </c>
      <c r="X158" s="384" t="str">
        <f ca="1">IF($Y158&gt;0,CHOOSE(MATCH(RegimeExecucao,{"Unitário","Global"},0),IF($A158="S",ROUND($H158,ORÇAMENTO!$AF$10),""),ROUND($I158,ORÇAMENTO!$AF$11)),"")</f>
        <v/>
      </c>
      <c r="Y158" s="384">
        <f t="shared" ca="1" si="21"/>
        <v>0</v>
      </c>
      <c r="Z158" s="572"/>
      <c r="AB158" s="382"/>
      <c r="AC158" s="516"/>
      <c r="AD158" s="516"/>
      <c r="AE158" s="516"/>
      <c r="AF158" s="516"/>
      <c r="AG158" s="516"/>
      <c r="AH158" s="516"/>
      <c r="AI158" s="516"/>
      <c r="AJ158" s="516"/>
      <c r="AK158" s="516"/>
      <c r="AL158" s="516"/>
      <c r="AM158" s="383"/>
      <c r="AO158">
        <f ca="1">IF($A158="S",IF(BM!$I158=0,0,CHOOSE(MATCH(RegimeExecucao,{"Global","Unitário"},0),ROUND(ROUND(BM.MEDAcumulado,15-13*BM!$A$9)/100*BM!$I158,15-13*ORÇAMENTO!$AF$11),ROUND(ROUND(BM.MEDAcumulado,15-13*BM!$A$9)*ROUND(BM!$H158,15-13*ORÇAMENTO!$AF$10),15-13*ORÇAMENTO!$AF$11))),IF($A158=0,0,ROUND(SomaAgrupBM,15-13*ORÇAMENTO!$AF$11)))</f>
        <v>0</v>
      </c>
    </row>
    <row r="159" spans="1:41" ht="25.5" x14ac:dyDescent="0.2">
      <c r="A159" t="str">
        <f ca="1">ORÇAMENTO!C159</f>
        <v>S</v>
      </c>
      <c r="B159">
        <f ca="1">ORÇAMENTO!D159</f>
        <v>0</v>
      </c>
      <c r="C159" s="116" t="str">
        <f t="shared" ca="1" si="15"/>
        <v/>
      </c>
      <c r="D159" s="119" t="str">
        <f ca="1">ORÇAMENTO!O159</f>
        <v>-</v>
      </c>
      <c r="E159" s="172" t="str">
        <f t="shared" ca="1" si="16"/>
        <v>(abra o arquivo 'Referência 06-2024.xlsm)</v>
      </c>
      <c r="F159" s="173" t="str">
        <f ca="1">IF(RegimeExecucao="Global","",ORÇAMENTO.Unidade)</f>
        <v/>
      </c>
      <c r="G159" s="124" t="str">
        <f ca="1">IF(RegimeExecucao="Global","",ORÇAMENTO!T159)</f>
        <v/>
      </c>
      <c r="H159" s="124" t="str">
        <f ca="1">IF(RegimeExecucao="Global","",ORÇAMENTO!W159)</f>
        <v/>
      </c>
      <c r="I159" s="127">
        <f ca="1">ORÇAMENTO!X159</f>
        <v>0</v>
      </c>
      <c r="J159" s="378">
        <f ca="1">IF($A159="S",IF(CAIXA.Modo,BM.AFAnterior,BM.MEDAnterior),IF(AND(RegimeExecucao="Global",$I159&gt;0,COUNTIF($AB$13:$AM$13,BM.medicao-1)&gt;0),M159/$I159*100,0))</f>
        <v>0</v>
      </c>
      <c r="K159" s="124">
        <f t="shared" ca="1" si="17"/>
        <v>0</v>
      </c>
      <c r="L159" s="379">
        <f ca="1">IF($A159="S",IF(CAIXA.Modo,BM.AFAcumulado,BM.MEDAcumulado),IF(AND(RegimeExecucao="Global",$I159&gt;0,COUNTIF($AB$13:$AM$13,BM.medicao)&gt;0),O159/$I159*100,0))</f>
        <v>0</v>
      </c>
      <c r="M159" s="380">
        <f ca="1">IF($A159="S",VTOTALBM,IF($A159=0,0,ROUND(SomaAgrupBM,15-13*ORÇAMENTO!$AF$11)))</f>
        <v>0</v>
      </c>
      <c r="N159" s="381">
        <f t="shared" ca="1" si="18"/>
        <v>0</v>
      </c>
      <c r="O159" s="127">
        <f ca="1">IF($A159="S",VTOTALBM,IF($A159=0,0,ROUND(SomaAgrupBM,15-13*ORÇAMENTO!$AF$11)))</f>
        <v>0</v>
      </c>
      <c r="Q159" s="382"/>
      <c r="R159" s="383"/>
      <c r="T159" s="119" t="str">
        <f t="shared" ca="1" si="19"/>
        <v/>
      </c>
      <c r="U159" s="172" t="str">
        <f t="shared" ca="1" si="20"/>
        <v/>
      </c>
      <c r="V159" s="173" t="str">
        <f ca="1">IF(AND($W159&gt;0,RegimeExecucao="Unitário"),$F159,"")</f>
        <v/>
      </c>
      <c r="W159" s="547">
        <f ca="1">IF($Y159&gt;0,CHOOSE(MATCH(RegimeExecucao,{"Unitário","Global"},0),IF($A159="S",$Y159/$X159,""),($Y159/$X159)*100),0)</f>
        <v>0</v>
      </c>
      <c r="X159" s="384" t="str">
        <f ca="1">IF($Y159&gt;0,CHOOSE(MATCH(RegimeExecucao,{"Unitário","Global"},0),IF($A159="S",ROUND($H159,ORÇAMENTO!$AF$10),""),ROUND($I159,ORÇAMENTO!$AF$11)),"")</f>
        <v/>
      </c>
      <c r="Y159" s="384">
        <f t="shared" ca="1" si="21"/>
        <v>0</v>
      </c>
      <c r="Z159" s="572"/>
      <c r="AB159" s="382"/>
      <c r="AC159" s="516"/>
      <c r="AD159" s="516"/>
      <c r="AE159" s="516"/>
      <c r="AF159" s="516"/>
      <c r="AG159" s="516"/>
      <c r="AH159" s="516"/>
      <c r="AI159" s="516"/>
      <c r="AJ159" s="516"/>
      <c r="AK159" s="516"/>
      <c r="AL159" s="516"/>
      <c r="AM159" s="383"/>
      <c r="AO159">
        <f ca="1">IF($A159="S",IF(BM!$I159=0,0,CHOOSE(MATCH(RegimeExecucao,{"Global","Unitário"},0),ROUND(ROUND(BM.MEDAcumulado,15-13*BM!$A$9)/100*BM!$I159,15-13*ORÇAMENTO!$AF$11),ROUND(ROUND(BM.MEDAcumulado,15-13*BM!$A$9)*ROUND(BM!$H159,15-13*ORÇAMENTO!$AF$10),15-13*ORÇAMENTO!$AF$11))),IF($A159=0,0,ROUND(SomaAgrupBM,15-13*ORÇAMENTO!$AF$11)))</f>
        <v>0</v>
      </c>
    </row>
    <row r="160" spans="1:41" ht="25.5" x14ac:dyDescent="0.2">
      <c r="A160" t="str">
        <f ca="1">ORÇAMENTO!C160</f>
        <v>S</v>
      </c>
      <c r="B160">
        <f ca="1">ORÇAMENTO!D160</f>
        <v>0</v>
      </c>
      <c r="C160" s="116" t="str">
        <f t="shared" ca="1" si="15"/>
        <v/>
      </c>
      <c r="D160" s="119" t="str">
        <f ca="1">ORÇAMENTO!O160</f>
        <v>-</v>
      </c>
      <c r="E160" s="172" t="str">
        <f t="shared" ca="1" si="16"/>
        <v>(abra o arquivo 'Referência 06-2024.xlsm)</v>
      </c>
      <c r="F160" s="173" t="str">
        <f ca="1">IF(RegimeExecucao="Global","",ORÇAMENTO.Unidade)</f>
        <v/>
      </c>
      <c r="G160" s="124" t="str">
        <f ca="1">IF(RegimeExecucao="Global","",ORÇAMENTO!T160)</f>
        <v/>
      </c>
      <c r="H160" s="124" t="str">
        <f ca="1">IF(RegimeExecucao="Global","",ORÇAMENTO!W160)</f>
        <v/>
      </c>
      <c r="I160" s="127">
        <f ca="1">ORÇAMENTO!X160</f>
        <v>0</v>
      </c>
      <c r="J160" s="378">
        <f ca="1">IF($A160="S",IF(CAIXA.Modo,BM.AFAnterior,BM.MEDAnterior),IF(AND(RegimeExecucao="Global",$I160&gt;0,COUNTIF($AB$13:$AM$13,BM.medicao-1)&gt;0),M160/$I160*100,0))</f>
        <v>0</v>
      </c>
      <c r="K160" s="124">
        <f t="shared" ca="1" si="17"/>
        <v>0</v>
      </c>
      <c r="L160" s="379">
        <f ca="1">IF($A160="S",IF(CAIXA.Modo,BM.AFAcumulado,BM.MEDAcumulado),IF(AND(RegimeExecucao="Global",$I160&gt;0,COUNTIF($AB$13:$AM$13,BM.medicao)&gt;0),O160/$I160*100,0))</f>
        <v>0</v>
      </c>
      <c r="M160" s="380">
        <f ca="1">IF($A160="S",VTOTALBM,IF($A160=0,0,ROUND(SomaAgrupBM,15-13*ORÇAMENTO!$AF$11)))</f>
        <v>0</v>
      </c>
      <c r="N160" s="381">
        <f t="shared" ca="1" si="18"/>
        <v>0</v>
      </c>
      <c r="O160" s="127">
        <f ca="1">IF($A160="S",VTOTALBM,IF($A160=0,0,ROUND(SomaAgrupBM,15-13*ORÇAMENTO!$AF$11)))</f>
        <v>0</v>
      </c>
      <c r="Q160" s="382"/>
      <c r="R160" s="383"/>
      <c r="T160" s="119" t="str">
        <f t="shared" ca="1" si="19"/>
        <v/>
      </c>
      <c r="U160" s="172" t="str">
        <f t="shared" ca="1" si="20"/>
        <v/>
      </c>
      <c r="V160" s="173" t="str">
        <f ca="1">IF(AND($W160&gt;0,RegimeExecucao="Unitário"),$F160,"")</f>
        <v/>
      </c>
      <c r="W160" s="547">
        <f ca="1">IF($Y160&gt;0,CHOOSE(MATCH(RegimeExecucao,{"Unitário","Global"},0),IF($A160="S",$Y160/$X160,""),($Y160/$X160)*100),0)</f>
        <v>0</v>
      </c>
      <c r="X160" s="384" t="str">
        <f ca="1">IF($Y160&gt;0,CHOOSE(MATCH(RegimeExecucao,{"Unitário","Global"},0),IF($A160="S",ROUND($H160,ORÇAMENTO!$AF$10),""),ROUND($I160,ORÇAMENTO!$AF$11)),"")</f>
        <v/>
      </c>
      <c r="Y160" s="384">
        <f t="shared" ca="1" si="21"/>
        <v>0</v>
      </c>
      <c r="Z160" s="572"/>
      <c r="AB160" s="382"/>
      <c r="AC160" s="516"/>
      <c r="AD160" s="516"/>
      <c r="AE160" s="516"/>
      <c r="AF160" s="516"/>
      <c r="AG160" s="516"/>
      <c r="AH160" s="516"/>
      <c r="AI160" s="516"/>
      <c r="AJ160" s="516"/>
      <c r="AK160" s="516"/>
      <c r="AL160" s="516"/>
      <c r="AM160" s="383"/>
      <c r="AO160">
        <f ca="1">IF($A160="S",IF(BM!$I160=0,0,CHOOSE(MATCH(RegimeExecucao,{"Global","Unitário"},0),ROUND(ROUND(BM.MEDAcumulado,15-13*BM!$A$9)/100*BM!$I160,15-13*ORÇAMENTO!$AF$11),ROUND(ROUND(BM.MEDAcumulado,15-13*BM!$A$9)*ROUND(BM!$H160,15-13*ORÇAMENTO!$AF$10),15-13*ORÇAMENTO!$AF$11))),IF($A160=0,0,ROUND(SomaAgrupBM,15-13*ORÇAMENTO!$AF$11)))</f>
        <v>0</v>
      </c>
    </row>
    <row r="161" spans="1:41" x14ac:dyDescent="0.2">
      <c r="A161" t="str">
        <f ca="1">ORÇAMENTO!C161</f>
        <v>S</v>
      </c>
      <c r="B161">
        <f ca="1">ORÇAMENTO!D161</f>
        <v>0</v>
      </c>
      <c r="C161" s="116" t="str">
        <f t="shared" ca="1" si="15"/>
        <v/>
      </c>
      <c r="D161" s="119" t="str">
        <f ca="1">ORÇAMENTO!O161</f>
        <v>-</v>
      </c>
      <c r="E161" s="172" t="str">
        <f t="shared" ca="1" si="16"/>
        <v>(abra o arquivo 'Referência 06-2024.xlsm)</v>
      </c>
      <c r="F161" s="173" t="str">
        <f ca="1">IF(RegimeExecucao="Global","",ORÇAMENTO.Unidade)</f>
        <v/>
      </c>
      <c r="G161" s="124" t="str">
        <f ca="1">IF(RegimeExecucao="Global","",ORÇAMENTO!T161)</f>
        <v/>
      </c>
      <c r="H161" s="124" t="str">
        <f ca="1">IF(RegimeExecucao="Global","",ORÇAMENTO!W161)</f>
        <v/>
      </c>
      <c r="I161" s="127">
        <f ca="1">ORÇAMENTO!X161</f>
        <v>0</v>
      </c>
      <c r="J161" s="378">
        <f ca="1">IF($A161="S",IF(CAIXA.Modo,BM.AFAnterior,BM.MEDAnterior),IF(AND(RegimeExecucao="Global",$I161&gt;0,COUNTIF($AB$13:$AM$13,BM.medicao-1)&gt;0),M161/$I161*100,0))</f>
        <v>0</v>
      </c>
      <c r="K161" s="124">
        <f t="shared" ca="1" si="17"/>
        <v>0</v>
      </c>
      <c r="L161" s="379">
        <f ca="1">IF($A161="S",IF(CAIXA.Modo,BM.AFAcumulado,BM.MEDAcumulado),IF(AND(RegimeExecucao="Global",$I161&gt;0,COUNTIF($AB$13:$AM$13,BM.medicao)&gt;0),O161/$I161*100,0))</f>
        <v>0</v>
      </c>
      <c r="M161" s="380">
        <f ca="1">IF($A161="S",VTOTALBM,IF($A161=0,0,ROUND(SomaAgrupBM,15-13*ORÇAMENTO!$AF$11)))</f>
        <v>0</v>
      </c>
      <c r="N161" s="381">
        <f t="shared" ca="1" si="18"/>
        <v>0</v>
      </c>
      <c r="O161" s="127">
        <f ca="1">IF($A161="S",VTOTALBM,IF($A161=0,0,ROUND(SomaAgrupBM,15-13*ORÇAMENTO!$AF$11)))</f>
        <v>0</v>
      </c>
      <c r="Q161" s="382"/>
      <c r="R161" s="383"/>
      <c r="T161" s="119" t="str">
        <f t="shared" ca="1" si="19"/>
        <v/>
      </c>
      <c r="U161" s="172" t="str">
        <f t="shared" ca="1" si="20"/>
        <v/>
      </c>
      <c r="V161" s="173" t="str">
        <f ca="1">IF(AND($W161&gt;0,RegimeExecucao="Unitário"),$F161,"")</f>
        <v/>
      </c>
      <c r="W161" s="547">
        <f ca="1">IF($Y161&gt;0,CHOOSE(MATCH(RegimeExecucao,{"Unitário","Global"},0),IF($A161="S",$Y161/$X161,""),($Y161/$X161)*100),0)</f>
        <v>0</v>
      </c>
      <c r="X161" s="384" t="str">
        <f ca="1">IF($Y161&gt;0,CHOOSE(MATCH(RegimeExecucao,{"Unitário","Global"},0),IF($A161="S",ROUND($H161,ORÇAMENTO!$AF$10),""),ROUND($I161,ORÇAMENTO!$AF$11)),"")</f>
        <v/>
      </c>
      <c r="Y161" s="384">
        <f t="shared" ca="1" si="21"/>
        <v>0</v>
      </c>
      <c r="Z161" s="572"/>
      <c r="AB161" s="382"/>
      <c r="AC161" s="516"/>
      <c r="AD161" s="516"/>
      <c r="AE161" s="516"/>
      <c r="AF161" s="516"/>
      <c r="AG161" s="516"/>
      <c r="AH161" s="516"/>
      <c r="AI161" s="516"/>
      <c r="AJ161" s="516"/>
      <c r="AK161" s="516"/>
      <c r="AL161" s="516"/>
      <c r="AM161" s="383"/>
      <c r="AO161">
        <f ca="1">IF($A161="S",IF(BM!$I161=0,0,CHOOSE(MATCH(RegimeExecucao,{"Global","Unitário"},0),ROUND(ROUND(BM.MEDAcumulado,15-13*BM!$A$9)/100*BM!$I161,15-13*ORÇAMENTO!$AF$11),ROUND(ROUND(BM.MEDAcumulado,15-13*BM!$A$9)*ROUND(BM!$H161,15-13*ORÇAMENTO!$AF$10),15-13*ORÇAMENTO!$AF$11))),IF($A161=0,0,ROUND(SomaAgrupBM,15-13*ORÇAMENTO!$AF$11)))</f>
        <v>0</v>
      </c>
    </row>
    <row r="162" spans="1:41" ht="51" x14ac:dyDescent="0.2">
      <c r="A162" t="str">
        <f ca="1">ORÇAMENTO!C162</f>
        <v>S</v>
      </c>
      <c r="B162">
        <f ca="1">ORÇAMENTO!D162</f>
        <v>0</v>
      </c>
      <c r="C162" s="116" t="str">
        <f t="shared" ca="1" si="15"/>
        <v/>
      </c>
      <c r="D162" s="119" t="str">
        <f ca="1">ORÇAMENTO!O162</f>
        <v>-</v>
      </c>
      <c r="E162" s="172" t="str">
        <f t="shared" ca="1" si="16"/>
        <v>(abra o arquivo 'Referência 06-2024.xlsm)</v>
      </c>
      <c r="F162" s="173" t="str">
        <f ca="1">IF(RegimeExecucao="Global","",ORÇAMENTO.Unidade)</f>
        <v/>
      </c>
      <c r="G162" s="124" t="str">
        <f ca="1">IF(RegimeExecucao="Global","",ORÇAMENTO!T162)</f>
        <v/>
      </c>
      <c r="H162" s="124" t="str">
        <f ca="1">IF(RegimeExecucao="Global","",ORÇAMENTO!W162)</f>
        <v/>
      </c>
      <c r="I162" s="127">
        <f ca="1">ORÇAMENTO!X162</f>
        <v>0</v>
      </c>
      <c r="J162" s="378">
        <f ca="1">IF($A162="S",IF(CAIXA.Modo,BM.AFAnterior,BM.MEDAnterior),IF(AND(RegimeExecucao="Global",$I162&gt;0,COUNTIF($AB$13:$AM$13,BM.medicao-1)&gt;0),M162/$I162*100,0))</f>
        <v>0</v>
      </c>
      <c r="K162" s="124">
        <f t="shared" ca="1" si="17"/>
        <v>0</v>
      </c>
      <c r="L162" s="379">
        <f ca="1">IF($A162="S",IF(CAIXA.Modo,BM.AFAcumulado,BM.MEDAcumulado),IF(AND(RegimeExecucao="Global",$I162&gt;0,COUNTIF($AB$13:$AM$13,BM.medicao)&gt;0),O162/$I162*100,0))</f>
        <v>0</v>
      </c>
      <c r="M162" s="380">
        <f ca="1">IF($A162="S",VTOTALBM,IF($A162=0,0,ROUND(SomaAgrupBM,15-13*ORÇAMENTO!$AF$11)))</f>
        <v>0</v>
      </c>
      <c r="N162" s="381">
        <f t="shared" ca="1" si="18"/>
        <v>0</v>
      </c>
      <c r="O162" s="127">
        <f ca="1">IF($A162="S",VTOTALBM,IF($A162=0,0,ROUND(SomaAgrupBM,15-13*ORÇAMENTO!$AF$11)))</f>
        <v>0</v>
      </c>
      <c r="Q162" s="382"/>
      <c r="R162" s="383"/>
      <c r="T162" s="119" t="str">
        <f t="shared" ca="1" si="19"/>
        <v/>
      </c>
      <c r="U162" s="172" t="str">
        <f t="shared" ca="1" si="20"/>
        <v/>
      </c>
      <c r="V162" s="173" t="str">
        <f ca="1">IF(AND($W162&gt;0,RegimeExecucao="Unitário"),$F162,"")</f>
        <v/>
      </c>
      <c r="W162" s="547">
        <f ca="1">IF($Y162&gt;0,CHOOSE(MATCH(RegimeExecucao,{"Unitário","Global"},0),IF($A162="S",$Y162/$X162,""),($Y162/$X162)*100),0)</f>
        <v>0</v>
      </c>
      <c r="X162" s="384" t="str">
        <f ca="1">IF($Y162&gt;0,CHOOSE(MATCH(RegimeExecucao,{"Unitário","Global"},0),IF($A162="S",ROUND($H162,ORÇAMENTO!$AF$10),""),ROUND($I162,ORÇAMENTO!$AF$11)),"")</f>
        <v/>
      </c>
      <c r="Y162" s="384">
        <f t="shared" ca="1" si="21"/>
        <v>0</v>
      </c>
      <c r="Z162" s="572"/>
      <c r="AB162" s="382"/>
      <c r="AC162" s="516"/>
      <c r="AD162" s="516"/>
      <c r="AE162" s="516"/>
      <c r="AF162" s="516"/>
      <c r="AG162" s="516"/>
      <c r="AH162" s="516"/>
      <c r="AI162" s="516"/>
      <c r="AJ162" s="516"/>
      <c r="AK162" s="516"/>
      <c r="AL162" s="516"/>
      <c r="AM162" s="383"/>
      <c r="AO162">
        <f ca="1">IF($A162="S",IF(BM!$I162=0,0,CHOOSE(MATCH(RegimeExecucao,{"Global","Unitário"},0),ROUND(ROUND(BM.MEDAcumulado,15-13*BM!$A$9)/100*BM!$I162,15-13*ORÇAMENTO!$AF$11),ROUND(ROUND(BM.MEDAcumulado,15-13*BM!$A$9)*ROUND(BM!$H162,15-13*ORÇAMENTO!$AF$10),15-13*ORÇAMENTO!$AF$11))),IF($A162=0,0,ROUND(SomaAgrupBM,15-13*ORÇAMENTO!$AF$11)))</f>
        <v>0</v>
      </c>
    </row>
    <row r="163" spans="1:41" ht="51" x14ac:dyDescent="0.2">
      <c r="A163" t="str">
        <f ca="1">ORÇAMENTO!C163</f>
        <v>S</v>
      </c>
      <c r="B163">
        <f ca="1">ORÇAMENTO!D163</f>
        <v>0</v>
      </c>
      <c r="C163" s="116" t="str">
        <f t="shared" ca="1" si="15"/>
        <v/>
      </c>
      <c r="D163" s="119" t="str">
        <f ca="1">ORÇAMENTO!O163</f>
        <v>-</v>
      </c>
      <c r="E163" s="172" t="str">
        <f t="shared" ca="1" si="16"/>
        <v>(abra o arquivo 'Referência 06-2024.xlsm)</v>
      </c>
      <c r="F163" s="173" t="str">
        <f ca="1">IF(RegimeExecucao="Global","",ORÇAMENTO.Unidade)</f>
        <v/>
      </c>
      <c r="G163" s="124" t="str">
        <f ca="1">IF(RegimeExecucao="Global","",ORÇAMENTO!T163)</f>
        <v/>
      </c>
      <c r="H163" s="124" t="str">
        <f ca="1">IF(RegimeExecucao="Global","",ORÇAMENTO!W163)</f>
        <v/>
      </c>
      <c r="I163" s="127">
        <f ca="1">ORÇAMENTO!X163</f>
        <v>0</v>
      </c>
      <c r="J163" s="378">
        <f ca="1">IF($A163="S",IF(CAIXA.Modo,BM.AFAnterior,BM.MEDAnterior),IF(AND(RegimeExecucao="Global",$I163&gt;0,COUNTIF($AB$13:$AM$13,BM.medicao-1)&gt;0),M163/$I163*100,0))</f>
        <v>0</v>
      </c>
      <c r="K163" s="124">
        <f t="shared" ca="1" si="17"/>
        <v>0</v>
      </c>
      <c r="L163" s="379">
        <f ca="1">IF($A163="S",IF(CAIXA.Modo,BM.AFAcumulado,BM.MEDAcumulado),IF(AND(RegimeExecucao="Global",$I163&gt;0,COUNTIF($AB$13:$AM$13,BM.medicao)&gt;0),O163/$I163*100,0))</f>
        <v>0</v>
      </c>
      <c r="M163" s="380">
        <f ca="1">IF($A163="S",VTOTALBM,IF($A163=0,0,ROUND(SomaAgrupBM,15-13*ORÇAMENTO!$AF$11)))</f>
        <v>0</v>
      </c>
      <c r="N163" s="381">
        <f t="shared" ca="1" si="18"/>
        <v>0</v>
      </c>
      <c r="O163" s="127">
        <f ca="1">IF($A163="S",VTOTALBM,IF($A163=0,0,ROUND(SomaAgrupBM,15-13*ORÇAMENTO!$AF$11)))</f>
        <v>0</v>
      </c>
      <c r="Q163" s="382"/>
      <c r="R163" s="383"/>
      <c r="T163" s="119" t="str">
        <f t="shared" ca="1" si="19"/>
        <v/>
      </c>
      <c r="U163" s="172" t="str">
        <f t="shared" ca="1" si="20"/>
        <v/>
      </c>
      <c r="V163" s="173" t="str">
        <f ca="1">IF(AND($W163&gt;0,RegimeExecucao="Unitário"),$F163,"")</f>
        <v/>
      </c>
      <c r="W163" s="547">
        <f ca="1">IF($Y163&gt;0,CHOOSE(MATCH(RegimeExecucao,{"Unitário","Global"},0),IF($A163="S",$Y163/$X163,""),($Y163/$X163)*100),0)</f>
        <v>0</v>
      </c>
      <c r="X163" s="384" t="str">
        <f ca="1">IF($Y163&gt;0,CHOOSE(MATCH(RegimeExecucao,{"Unitário","Global"},0),IF($A163="S",ROUND($H163,ORÇAMENTO!$AF$10),""),ROUND($I163,ORÇAMENTO!$AF$11)),"")</f>
        <v/>
      </c>
      <c r="Y163" s="384">
        <f t="shared" ca="1" si="21"/>
        <v>0</v>
      </c>
      <c r="Z163" s="572"/>
      <c r="AB163" s="382"/>
      <c r="AC163" s="516"/>
      <c r="AD163" s="516"/>
      <c r="AE163" s="516"/>
      <c r="AF163" s="516"/>
      <c r="AG163" s="516"/>
      <c r="AH163" s="516"/>
      <c r="AI163" s="516"/>
      <c r="AJ163" s="516"/>
      <c r="AK163" s="516"/>
      <c r="AL163" s="516"/>
      <c r="AM163" s="383"/>
      <c r="AO163">
        <f ca="1">IF($A163="S",IF(BM!$I163=0,0,CHOOSE(MATCH(RegimeExecucao,{"Global","Unitário"},0),ROUND(ROUND(BM.MEDAcumulado,15-13*BM!$A$9)/100*BM!$I163,15-13*ORÇAMENTO!$AF$11),ROUND(ROUND(BM.MEDAcumulado,15-13*BM!$A$9)*ROUND(BM!$H163,15-13*ORÇAMENTO!$AF$10),15-13*ORÇAMENTO!$AF$11))),IF($A163=0,0,ROUND(SomaAgrupBM,15-13*ORÇAMENTO!$AF$11)))</f>
        <v>0</v>
      </c>
    </row>
    <row r="164" spans="1:41" ht="51" x14ac:dyDescent="0.2">
      <c r="A164" t="str">
        <f ca="1">ORÇAMENTO!C164</f>
        <v>S</v>
      </c>
      <c r="B164">
        <f ca="1">ORÇAMENTO!D164</f>
        <v>0</v>
      </c>
      <c r="C164" s="116" t="str">
        <f t="shared" ca="1" si="15"/>
        <v/>
      </c>
      <c r="D164" s="119" t="str">
        <f ca="1">ORÇAMENTO!O164</f>
        <v>-</v>
      </c>
      <c r="E164" s="172" t="str">
        <f t="shared" ca="1" si="16"/>
        <v>(abra o arquivo 'Referência 06-2024.xlsm)</v>
      </c>
      <c r="F164" s="173" t="str">
        <f ca="1">IF(RegimeExecucao="Global","",ORÇAMENTO.Unidade)</f>
        <v/>
      </c>
      <c r="G164" s="124" t="str">
        <f ca="1">IF(RegimeExecucao="Global","",ORÇAMENTO!T164)</f>
        <v/>
      </c>
      <c r="H164" s="124" t="str">
        <f ca="1">IF(RegimeExecucao="Global","",ORÇAMENTO!W164)</f>
        <v/>
      </c>
      <c r="I164" s="127">
        <f ca="1">ORÇAMENTO!X164</f>
        <v>0</v>
      </c>
      <c r="J164" s="378">
        <f ca="1">IF($A164="S",IF(CAIXA.Modo,BM.AFAnterior,BM.MEDAnterior),IF(AND(RegimeExecucao="Global",$I164&gt;0,COUNTIF($AB$13:$AM$13,BM.medicao-1)&gt;0),M164/$I164*100,0))</f>
        <v>0</v>
      </c>
      <c r="K164" s="124">
        <f t="shared" ca="1" si="17"/>
        <v>0</v>
      </c>
      <c r="L164" s="379">
        <f ca="1">IF($A164="S",IF(CAIXA.Modo,BM.AFAcumulado,BM.MEDAcumulado),IF(AND(RegimeExecucao="Global",$I164&gt;0,COUNTIF($AB$13:$AM$13,BM.medicao)&gt;0),O164/$I164*100,0))</f>
        <v>0</v>
      </c>
      <c r="M164" s="380">
        <f ca="1">IF($A164="S",VTOTALBM,IF($A164=0,0,ROUND(SomaAgrupBM,15-13*ORÇAMENTO!$AF$11)))</f>
        <v>0</v>
      </c>
      <c r="N164" s="381">
        <f t="shared" ca="1" si="18"/>
        <v>0</v>
      </c>
      <c r="O164" s="127">
        <f ca="1">IF($A164="S",VTOTALBM,IF($A164=0,0,ROUND(SomaAgrupBM,15-13*ORÇAMENTO!$AF$11)))</f>
        <v>0</v>
      </c>
      <c r="Q164" s="382"/>
      <c r="R164" s="383"/>
      <c r="T164" s="119" t="str">
        <f t="shared" ca="1" si="19"/>
        <v/>
      </c>
      <c r="U164" s="172" t="str">
        <f t="shared" ca="1" si="20"/>
        <v/>
      </c>
      <c r="V164" s="173" t="str">
        <f ca="1">IF(AND($W164&gt;0,RegimeExecucao="Unitário"),$F164,"")</f>
        <v/>
      </c>
      <c r="W164" s="547">
        <f ca="1">IF($Y164&gt;0,CHOOSE(MATCH(RegimeExecucao,{"Unitário","Global"},0),IF($A164="S",$Y164/$X164,""),($Y164/$X164)*100),0)</f>
        <v>0</v>
      </c>
      <c r="X164" s="384" t="str">
        <f ca="1">IF($Y164&gt;0,CHOOSE(MATCH(RegimeExecucao,{"Unitário","Global"},0),IF($A164="S",ROUND($H164,ORÇAMENTO!$AF$10),""),ROUND($I164,ORÇAMENTO!$AF$11)),"")</f>
        <v/>
      </c>
      <c r="Y164" s="384">
        <f t="shared" ca="1" si="21"/>
        <v>0</v>
      </c>
      <c r="Z164" s="572"/>
      <c r="AB164" s="382"/>
      <c r="AC164" s="516"/>
      <c r="AD164" s="516"/>
      <c r="AE164" s="516"/>
      <c r="AF164" s="516"/>
      <c r="AG164" s="516"/>
      <c r="AH164" s="516"/>
      <c r="AI164" s="516"/>
      <c r="AJ164" s="516"/>
      <c r="AK164" s="516"/>
      <c r="AL164" s="516"/>
      <c r="AM164" s="383"/>
      <c r="AO164">
        <f ca="1">IF($A164="S",IF(BM!$I164=0,0,CHOOSE(MATCH(RegimeExecucao,{"Global","Unitário"},0),ROUND(ROUND(BM.MEDAcumulado,15-13*BM!$A$9)/100*BM!$I164,15-13*ORÇAMENTO!$AF$11),ROUND(ROUND(BM.MEDAcumulado,15-13*BM!$A$9)*ROUND(BM!$H164,15-13*ORÇAMENTO!$AF$10),15-13*ORÇAMENTO!$AF$11))),IF($A164=0,0,ROUND(SomaAgrupBM,15-13*ORÇAMENTO!$AF$11)))</f>
        <v>0</v>
      </c>
    </row>
    <row r="165" spans="1:41" ht="51" x14ac:dyDescent="0.2">
      <c r="A165" t="str">
        <f ca="1">ORÇAMENTO!C165</f>
        <v>S</v>
      </c>
      <c r="B165">
        <f ca="1">ORÇAMENTO!D165</f>
        <v>0</v>
      </c>
      <c r="C165" s="116" t="str">
        <f t="shared" ca="1" si="15"/>
        <v/>
      </c>
      <c r="D165" s="119" t="str">
        <f ca="1">ORÇAMENTO!O165</f>
        <v>-</v>
      </c>
      <c r="E165" s="172" t="str">
        <f t="shared" ca="1" si="16"/>
        <v>(abra o arquivo 'Referência 06-2024.xlsm)</v>
      </c>
      <c r="F165" s="173" t="str">
        <f ca="1">IF(RegimeExecucao="Global","",ORÇAMENTO.Unidade)</f>
        <v/>
      </c>
      <c r="G165" s="124" t="str">
        <f ca="1">IF(RegimeExecucao="Global","",ORÇAMENTO!T165)</f>
        <v/>
      </c>
      <c r="H165" s="124" t="str">
        <f ca="1">IF(RegimeExecucao="Global","",ORÇAMENTO!W165)</f>
        <v/>
      </c>
      <c r="I165" s="127">
        <f ca="1">ORÇAMENTO!X165</f>
        <v>0</v>
      </c>
      <c r="J165" s="378">
        <f ca="1">IF($A165="S",IF(CAIXA.Modo,BM.AFAnterior,BM.MEDAnterior),IF(AND(RegimeExecucao="Global",$I165&gt;0,COUNTIF($AB$13:$AM$13,BM.medicao-1)&gt;0),M165/$I165*100,0))</f>
        <v>0</v>
      </c>
      <c r="K165" s="124">
        <f t="shared" ca="1" si="17"/>
        <v>0</v>
      </c>
      <c r="L165" s="379">
        <f ca="1">IF($A165="S",IF(CAIXA.Modo,BM.AFAcumulado,BM.MEDAcumulado),IF(AND(RegimeExecucao="Global",$I165&gt;0,COUNTIF($AB$13:$AM$13,BM.medicao)&gt;0),O165/$I165*100,0))</f>
        <v>0</v>
      </c>
      <c r="M165" s="380">
        <f ca="1">IF($A165="S",VTOTALBM,IF($A165=0,0,ROUND(SomaAgrupBM,15-13*ORÇAMENTO!$AF$11)))</f>
        <v>0</v>
      </c>
      <c r="N165" s="381">
        <f t="shared" ca="1" si="18"/>
        <v>0</v>
      </c>
      <c r="O165" s="127">
        <f ca="1">IF($A165="S",VTOTALBM,IF($A165=0,0,ROUND(SomaAgrupBM,15-13*ORÇAMENTO!$AF$11)))</f>
        <v>0</v>
      </c>
      <c r="Q165" s="382"/>
      <c r="R165" s="383"/>
      <c r="T165" s="119" t="str">
        <f t="shared" ca="1" si="19"/>
        <v/>
      </c>
      <c r="U165" s="172" t="str">
        <f t="shared" ca="1" si="20"/>
        <v/>
      </c>
      <c r="V165" s="173" t="str">
        <f ca="1">IF(AND($W165&gt;0,RegimeExecucao="Unitário"),$F165,"")</f>
        <v/>
      </c>
      <c r="W165" s="547">
        <f ca="1">IF($Y165&gt;0,CHOOSE(MATCH(RegimeExecucao,{"Unitário","Global"},0),IF($A165="S",$Y165/$X165,""),($Y165/$X165)*100),0)</f>
        <v>0</v>
      </c>
      <c r="X165" s="384" t="str">
        <f ca="1">IF($Y165&gt;0,CHOOSE(MATCH(RegimeExecucao,{"Unitário","Global"},0),IF($A165="S",ROUND($H165,ORÇAMENTO!$AF$10),""),ROUND($I165,ORÇAMENTO!$AF$11)),"")</f>
        <v/>
      </c>
      <c r="Y165" s="384">
        <f t="shared" ca="1" si="21"/>
        <v>0</v>
      </c>
      <c r="Z165" s="572"/>
      <c r="AB165" s="382"/>
      <c r="AC165" s="516"/>
      <c r="AD165" s="516"/>
      <c r="AE165" s="516"/>
      <c r="AF165" s="516"/>
      <c r="AG165" s="516"/>
      <c r="AH165" s="516"/>
      <c r="AI165" s="516"/>
      <c r="AJ165" s="516"/>
      <c r="AK165" s="516"/>
      <c r="AL165" s="516"/>
      <c r="AM165" s="383"/>
      <c r="AO165">
        <f ca="1">IF($A165="S",IF(BM!$I165=0,0,CHOOSE(MATCH(RegimeExecucao,{"Global","Unitário"},0),ROUND(ROUND(BM.MEDAcumulado,15-13*BM!$A$9)/100*BM!$I165,15-13*ORÇAMENTO!$AF$11),ROUND(ROUND(BM.MEDAcumulado,15-13*BM!$A$9)*ROUND(BM!$H165,15-13*ORÇAMENTO!$AF$10),15-13*ORÇAMENTO!$AF$11))),IF($A165=0,0,ROUND(SomaAgrupBM,15-13*ORÇAMENTO!$AF$11)))</f>
        <v>0</v>
      </c>
    </row>
    <row r="166" spans="1:41" ht="25.5" x14ac:dyDescent="0.2">
      <c r="A166" t="str">
        <f ca="1">ORÇAMENTO!C166</f>
        <v>S</v>
      </c>
      <c r="B166">
        <f ca="1">ORÇAMENTO!D166</f>
        <v>0</v>
      </c>
      <c r="C166" s="116" t="str">
        <f t="shared" ca="1" si="15"/>
        <v/>
      </c>
      <c r="D166" s="119" t="str">
        <f ca="1">ORÇAMENTO!O166</f>
        <v>-</v>
      </c>
      <c r="E166" s="172" t="str">
        <f t="shared" ca="1" si="16"/>
        <v>(abra o arquivo 'Referência 06-2024.xlsm)</v>
      </c>
      <c r="F166" s="173" t="str">
        <f ca="1">IF(RegimeExecucao="Global","",ORÇAMENTO.Unidade)</f>
        <v/>
      </c>
      <c r="G166" s="124" t="str">
        <f ca="1">IF(RegimeExecucao="Global","",ORÇAMENTO!T166)</f>
        <v/>
      </c>
      <c r="H166" s="124" t="str">
        <f ca="1">IF(RegimeExecucao="Global","",ORÇAMENTO!W166)</f>
        <v/>
      </c>
      <c r="I166" s="127">
        <f ca="1">ORÇAMENTO!X166</f>
        <v>0</v>
      </c>
      <c r="J166" s="378">
        <f ca="1">IF($A166="S",IF(CAIXA.Modo,BM.AFAnterior,BM.MEDAnterior),IF(AND(RegimeExecucao="Global",$I166&gt;0,COUNTIF($AB$13:$AM$13,BM.medicao-1)&gt;0),M166/$I166*100,0))</f>
        <v>0</v>
      </c>
      <c r="K166" s="124">
        <f t="shared" ca="1" si="17"/>
        <v>0</v>
      </c>
      <c r="L166" s="379">
        <f ca="1">IF($A166="S",IF(CAIXA.Modo,BM.AFAcumulado,BM.MEDAcumulado),IF(AND(RegimeExecucao="Global",$I166&gt;0,COUNTIF($AB$13:$AM$13,BM.medicao)&gt;0),O166/$I166*100,0))</f>
        <v>0</v>
      </c>
      <c r="M166" s="380">
        <f ca="1">IF($A166="S",VTOTALBM,IF($A166=0,0,ROUND(SomaAgrupBM,15-13*ORÇAMENTO!$AF$11)))</f>
        <v>0</v>
      </c>
      <c r="N166" s="381">
        <f t="shared" ca="1" si="18"/>
        <v>0</v>
      </c>
      <c r="O166" s="127">
        <f ca="1">IF($A166="S",VTOTALBM,IF($A166=0,0,ROUND(SomaAgrupBM,15-13*ORÇAMENTO!$AF$11)))</f>
        <v>0</v>
      </c>
      <c r="Q166" s="382"/>
      <c r="R166" s="383"/>
      <c r="T166" s="119" t="str">
        <f t="shared" ca="1" si="19"/>
        <v/>
      </c>
      <c r="U166" s="172" t="str">
        <f t="shared" ca="1" si="20"/>
        <v/>
      </c>
      <c r="V166" s="173" t="str">
        <f ca="1">IF(AND($W166&gt;0,RegimeExecucao="Unitário"),$F166,"")</f>
        <v/>
      </c>
      <c r="W166" s="547">
        <f ca="1">IF($Y166&gt;0,CHOOSE(MATCH(RegimeExecucao,{"Unitário","Global"},0),IF($A166="S",$Y166/$X166,""),($Y166/$X166)*100),0)</f>
        <v>0</v>
      </c>
      <c r="X166" s="384" t="str">
        <f ca="1">IF($Y166&gt;0,CHOOSE(MATCH(RegimeExecucao,{"Unitário","Global"},0),IF($A166="S",ROUND($H166,ORÇAMENTO!$AF$10),""),ROUND($I166,ORÇAMENTO!$AF$11)),"")</f>
        <v/>
      </c>
      <c r="Y166" s="384">
        <f t="shared" ca="1" si="21"/>
        <v>0</v>
      </c>
      <c r="Z166" s="572"/>
      <c r="AB166" s="382"/>
      <c r="AC166" s="516"/>
      <c r="AD166" s="516"/>
      <c r="AE166" s="516"/>
      <c r="AF166" s="516"/>
      <c r="AG166" s="516"/>
      <c r="AH166" s="516"/>
      <c r="AI166" s="516"/>
      <c r="AJ166" s="516"/>
      <c r="AK166" s="516"/>
      <c r="AL166" s="516"/>
      <c r="AM166" s="383"/>
      <c r="AO166">
        <f ca="1">IF($A166="S",IF(BM!$I166=0,0,CHOOSE(MATCH(RegimeExecucao,{"Global","Unitário"},0),ROUND(ROUND(BM.MEDAcumulado,15-13*BM!$A$9)/100*BM!$I166,15-13*ORÇAMENTO!$AF$11),ROUND(ROUND(BM.MEDAcumulado,15-13*BM!$A$9)*ROUND(BM!$H166,15-13*ORÇAMENTO!$AF$10),15-13*ORÇAMENTO!$AF$11))),IF($A166=0,0,ROUND(SomaAgrupBM,15-13*ORÇAMENTO!$AF$11)))</f>
        <v>0</v>
      </c>
    </row>
    <row r="167" spans="1:41" ht="25.5" x14ac:dyDescent="0.2">
      <c r="A167" t="str">
        <f ca="1">ORÇAMENTO!C167</f>
        <v>S</v>
      </c>
      <c r="B167">
        <f ca="1">ORÇAMENTO!D167</f>
        <v>0</v>
      </c>
      <c r="C167" s="116" t="str">
        <f t="shared" ca="1" si="15"/>
        <v/>
      </c>
      <c r="D167" s="119" t="str">
        <f ca="1">ORÇAMENTO!O167</f>
        <v>-</v>
      </c>
      <c r="E167" s="172" t="str">
        <f t="shared" ca="1" si="16"/>
        <v>(abra o arquivo 'Referência 06-2024.xlsm)</v>
      </c>
      <c r="F167" s="173" t="str">
        <f ca="1">IF(RegimeExecucao="Global","",ORÇAMENTO.Unidade)</f>
        <v/>
      </c>
      <c r="G167" s="124" t="str">
        <f ca="1">IF(RegimeExecucao="Global","",ORÇAMENTO!T167)</f>
        <v/>
      </c>
      <c r="H167" s="124" t="str">
        <f ca="1">IF(RegimeExecucao="Global","",ORÇAMENTO!W167)</f>
        <v/>
      </c>
      <c r="I167" s="127">
        <f ca="1">ORÇAMENTO!X167</f>
        <v>0</v>
      </c>
      <c r="J167" s="378">
        <f ca="1">IF($A167="S",IF(CAIXA.Modo,BM.AFAnterior,BM.MEDAnterior),IF(AND(RegimeExecucao="Global",$I167&gt;0,COUNTIF($AB$13:$AM$13,BM.medicao-1)&gt;0),M167/$I167*100,0))</f>
        <v>0</v>
      </c>
      <c r="K167" s="124">
        <f t="shared" ca="1" si="17"/>
        <v>0</v>
      </c>
      <c r="L167" s="379">
        <f ca="1">IF($A167="S",IF(CAIXA.Modo,BM.AFAcumulado,BM.MEDAcumulado),IF(AND(RegimeExecucao="Global",$I167&gt;0,COUNTIF($AB$13:$AM$13,BM.medicao)&gt;0),O167/$I167*100,0))</f>
        <v>0</v>
      </c>
      <c r="M167" s="380">
        <f ca="1">IF($A167="S",VTOTALBM,IF($A167=0,0,ROUND(SomaAgrupBM,15-13*ORÇAMENTO!$AF$11)))</f>
        <v>0</v>
      </c>
      <c r="N167" s="381">
        <f t="shared" ca="1" si="18"/>
        <v>0</v>
      </c>
      <c r="O167" s="127">
        <f ca="1">IF($A167="S",VTOTALBM,IF($A167=0,0,ROUND(SomaAgrupBM,15-13*ORÇAMENTO!$AF$11)))</f>
        <v>0</v>
      </c>
      <c r="Q167" s="382"/>
      <c r="R167" s="383"/>
      <c r="T167" s="119" t="str">
        <f t="shared" ca="1" si="19"/>
        <v/>
      </c>
      <c r="U167" s="172" t="str">
        <f t="shared" ca="1" si="20"/>
        <v/>
      </c>
      <c r="V167" s="173" t="str">
        <f ca="1">IF(AND($W167&gt;0,RegimeExecucao="Unitário"),$F167,"")</f>
        <v/>
      </c>
      <c r="W167" s="547">
        <f ca="1">IF($Y167&gt;0,CHOOSE(MATCH(RegimeExecucao,{"Unitário","Global"},0),IF($A167="S",$Y167/$X167,""),($Y167/$X167)*100),0)</f>
        <v>0</v>
      </c>
      <c r="X167" s="384" t="str">
        <f ca="1">IF($Y167&gt;0,CHOOSE(MATCH(RegimeExecucao,{"Unitário","Global"},0),IF($A167="S",ROUND($H167,ORÇAMENTO!$AF$10),""),ROUND($I167,ORÇAMENTO!$AF$11)),"")</f>
        <v/>
      </c>
      <c r="Y167" s="384">
        <f t="shared" ca="1" si="21"/>
        <v>0</v>
      </c>
      <c r="Z167" s="572"/>
      <c r="AB167" s="382"/>
      <c r="AC167" s="516"/>
      <c r="AD167" s="516"/>
      <c r="AE167" s="516"/>
      <c r="AF167" s="516"/>
      <c r="AG167" s="516"/>
      <c r="AH167" s="516"/>
      <c r="AI167" s="516"/>
      <c r="AJ167" s="516"/>
      <c r="AK167" s="516"/>
      <c r="AL167" s="516"/>
      <c r="AM167" s="383"/>
      <c r="AO167">
        <f ca="1">IF($A167="S",IF(BM!$I167=0,0,CHOOSE(MATCH(RegimeExecucao,{"Global","Unitário"},0),ROUND(ROUND(BM.MEDAcumulado,15-13*BM!$A$9)/100*BM!$I167,15-13*ORÇAMENTO!$AF$11),ROUND(ROUND(BM.MEDAcumulado,15-13*BM!$A$9)*ROUND(BM!$H167,15-13*ORÇAMENTO!$AF$10),15-13*ORÇAMENTO!$AF$11))),IF($A167=0,0,ROUND(SomaAgrupBM,15-13*ORÇAMENTO!$AF$11)))</f>
        <v>0</v>
      </c>
    </row>
    <row r="168" spans="1:41" ht="38.25" x14ac:dyDescent="0.2">
      <c r="A168" t="str">
        <f ca="1">ORÇAMENTO!C168</f>
        <v>S</v>
      </c>
      <c r="B168">
        <f ca="1">ORÇAMENTO!D168</f>
        <v>0</v>
      </c>
      <c r="C168" s="116" t="str">
        <f t="shared" ca="1" si="15"/>
        <v/>
      </c>
      <c r="D168" s="119" t="str">
        <f ca="1">ORÇAMENTO!O168</f>
        <v>-</v>
      </c>
      <c r="E168" s="172" t="str">
        <f t="shared" ca="1" si="16"/>
        <v>(abra o arquivo 'Referência 06-2024.xlsm)</v>
      </c>
      <c r="F168" s="173" t="str">
        <f ca="1">IF(RegimeExecucao="Global","",ORÇAMENTO.Unidade)</f>
        <v/>
      </c>
      <c r="G168" s="124" t="str">
        <f ca="1">IF(RegimeExecucao="Global","",ORÇAMENTO!T168)</f>
        <v/>
      </c>
      <c r="H168" s="124" t="str">
        <f ca="1">IF(RegimeExecucao="Global","",ORÇAMENTO!W168)</f>
        <v/>
      </c>
      <c r="I168" s="127">
        <f ca="1">ORÇAMENTO!X168</f>
        <v>0</v>
      </c>
      <c r="J168" s="378">
        <f ca="1">IF($A168="S",IF(CAIXA.Modo,BM.AFAnterior,BM.MEDAnterior),IF(AND(RegimeExecucao="Global",$I168&gt;0,COUNTIF($AB$13:$AM$13,BM.medicao-1)&gt;0),M168/$I168*100,0))</f>
        <v>0</v>
      </c>
      <c r="K168" s="124">
        <f t="shared" ca="1" si="17"/>
        <v>0</v>
      </c>
      <c r="L168" s="379">
        <f ca="1">IF($A168="S",IF(CAIXA.Modo,BM.AFAcumulado,BM.MEDAcumulado),IF(AND(RegimeExecucao="Global",$I168&gt;0,COUNTIF($AB$13:$AM$13,BM.medicao)&gt;0),O168/$I168*100,0))</f>
        <v>0</v>
      </c>
      <c r="M168" s="380">
        <f ca="1">IF($A168="S",VTOTALBM,IF($A168=0,0,ROUND(SomaAgrupBM,15-13*ORÇAMENTO!$AF$11)))</f>
        <v>0</v>
      </c>
      <c r="N168" s="381">
        <f t="shared" ca="1" si="18"/>
        <v>0</v>
      </c>
      <c r="O168" s="127">
        <f ca="1">IF($A168="S",VTOTALBM,IF($A168=0,0,ROUND(SomaAgrupBM,15-13*ORÇAMENTO!$AF$11)))</f>
        <v>0</v>
      </c>
      <c r="Q168" s="382"/>
      <c r="R168" s="383"/>
      <c r="T168" s="119" t="str">
        <f t="shared" ca="1" si="19"/>
        <v/>
      </c>
      <c r="U168" s="172" t="str">
        <f t="shared" ca="1" si="20"/>
        <v/>
      </c>
      <c r="V168" s="173" t="str">
        <f ca="1">IF(AND($W168&gt;0,RegimeExecucao="Unitário"),$F168,"")</f>
        <v/>
      </c>
      <c r="W168" s="547">
        <f ca="1">IF($Y168&gt;0,CHOOSE(MATCH(RegimeExecucao,{"Unitário","Global"},0),IF($A168="S",$Y168/$X168,""),($Y168/$X168)*100),0)</f>
        <v>0</v>
      </c>
      <c r="X168" s="384" t="str">
        <f ca="1">IF($Y168&gt;0,CHOOSE(MATCH(RegimeExecucao,{"Unitário","Global"},0),IF($A168="S",ROUND($H168,ORÇAMENTO!$AF$10),""),ROUND($I168,ORÇAMENTO!$AF$11)),"")</f>
        <v/>
      </c>
      <c r="Y168" s="384">
        <f t="shared" ca="1" si="21"/>
        <v>0</v>
      </c>
      <c r="Z168" s="572"/>
      <c r="AB168" s="382"/>
      <c r="AC168" s="516"/>
      <c r="AD168" s="516"/>
      <c r="AE168" s="516"/>
      <c r="AF168" s="516"/>
      <c r="AG168" s="516"/>
      <c r="AH168" s="516"/>
      <c r="AI168" s="516"/>
      <c r="AJ168" s="516"/>
      <c r="AK168" s="516"/>
      <c r="AL168" s="516"/>
      <c r="AM168" s="383"/>
      <c r="AO168">
        <f ca="1">IF($A168="S",IF(BM!$I168=0,0,CHOOSE(MATCH(RegimeExecucao,{"Global","Unitário"},0),ROUND(ROUND(BM.MEDAcumulado,15-13*BM!$A$9)/100*BM!$I168,15-13*ORÇAMENTO!$AF$11),ROUND(ROUND(BM.MEDAcumulado,15-13*BM!$A$9)*ROUND(BM!$H168,15-13*ORÇAMENTO!$AF$10),15-13*ORÇAMENTO!$AF$11))),IF($A168=0,0,ROUND(SomaAgrupBM,15-13*ORÇAMENTO!$AF$11)))</f>
        <v>0</v>
      </c>
    </row>
    <row r="169" spans="1:41" x14ac:dyDescent="0.2">
      <c r="A169">
        <f ca="1">ORÇAMENTO!C169</f>
        <v>2</v>
      </c>
      <c r="B169">
        <f ca="1">ORÇAMENTO!D169</f>
        <v>7</v>
      </c>
      <c r="C169" s="116" t="str">
        <f t="shared" ca="1" si="15"/>
        <v>F</v>
      </c>
      <c r="D169" s="119" t="str">
        <f ca="1">ORÇAMENTO!O169</f>
        <v>1.24.</v>
      </c>
      <c r="E169" s="172" t="str">
        <f t="shared" si="16"/>
        <v>SISTEMAS DE COBERTURA</v>
      </c>
      <c r="F169" s="173" t="str">
        <f ca="1">IF(RegimeExecucao="Global","",ORÇAMENTO.Unidade)</f>
        <v/>
      </c>
      <c r="G169" s="124" t="str">
        <f ca="1">IF(RegimeExecucao="Global","",ORÇAMENTO!T169)</f>
        <v/>
      </c>
      <c r="H169" s="124" t="str">
        <f ca="1">IF(RegimeExecucao="Global","",ORÇAMENTO!W169)</f>
        <v/>
      </c>
      <c r="I169" s="127">
        <f ca="1">ORÇAMENTO!X169</f>
        <v>0</v>
      </c>
      <c r="J169" s="378">
        <f ca="1">IF($A169="S",IF(CAIXA.Modo,BM.AFAnterior,BM.MEDAnterior),IF(AND(RegimeExecucao="Global",$I169&gt;0,COUNTIF($AB$13:$AM$13,BM.medicao-1)&gt;0),M169/$I169*100,0))</f>
        <v>0</v>
      </c>
      <c r="K169" s="124">
        <f t="shared" ca="1" si="17"/>
        <v>0</v>
      </c>
      <c r="L169" s="379">
        <f ca="1">IF($A169="S",IF(CAIXA.Modo,BM.AFAcumulado,BM.MEDAcumulado),IF(AND(RegimeExecucao="Global",$I169&gt;0,COUNTIF($AB$13:$AM$13,BM.medicao)&gt;0),O169/$I169*100,0))</f>
        <v>0</v>
      </c>
      <c r="M169" s="380">
        <f ca="1">IF($A169="S",VTOTALBM,IF($A169=0,0,ROUND(SomaAgrupBM,15-13*ORÇAMENTO!$AF$11)))</f>
        <v>0</v>
      </c>
      <c r="N169" s="381">
        <f t="shared" ca="1" si="18"/>
        <v>0</v>
      </c>
      <c r="O169" s="127">
        <f ca="1">IF($A169="S",VTOTALBM,IF($A169=0,0,ROUND(SomaAgrupBM,15-13*ORÇAMENTO!$AF$11)))</f>
        <v>0</v>
      </c>
      <c r="Q169" s="382"/>
      <c r="R169" s="383"/>
      <c r="T169" s="119" t="str">
        <f t="shared" ca="1" si="19"/>
        <v/>
      </c>
      <c r="U169" s="172" t="str">
        <f t="shared" ca="1" si="20"/>
        <v/>
      </c>
      <c r="V169" s="173" t="str">
        <f ca="1">IF(AND($W169&gt;0,RegimeExecucao="Unitário"),$F169,"")</f>
        <v/>
      </c>
      <c r="W169" s="547">
        <f ca="1">IF($Y169&gt;0,CHOOSE(MATCH(RegimeExecucao,{"Unitário","Global"},0),IF($A169="S",$Y169/$X169,""),($Y169/$X169)*100),0)</f>
        <v>0</v>
      </c>
      <c r="X169" s="384" t="str">
        <f ca="1">IF($Y169&gt;0,CHOOSE(MATCH(RegimeExecucao,{"Unitário","Global"},0),IF($A169="S",ROUND($H169,ORÇAMENTO!$AF$10),""),ROUND($I169,ORÇAMENTO!$AF$11)),"")</f>
        <v/>
      </c>
      <c r="Y169" s="384">
        <f t="shared" ca="1" si="21"/>
        <v>0</v>
      </c>
      <c r="Z169" s="572"/>
      <c r="AB169" s="382"/>
      <c r="AC169" s="516"/>
      <c r="AD169" s="516"/>
      <c r="AE169" s="516"/>
      <c r="AF169" s="516"/>
      <c r="AG169" s="516"/>
      <c r="AH169" s="516"/>
      <c r="AI169" s="516"/>
      <c r="AJ169" s="516"/>
      <c r="AK169" s="516"/>
      <c r="AL169" s="516"/>
      <c r="AM169" s="383"/>
      <c r="AO169">
        <f ca="1">IF($A169="S",IF(BM!$I169=0,0,CHOOSE(MATCH(RegimeExecucao,{"Global","Unitário"},0),ROUND(ROUND(BM.MEDAcumulado,15-13*BM!$A$9)/100*BM!$I169,15-13*ORÇAMENTO!$AF$11),ROUND(ROUND(BM.MEDAcumulado,15-13*BM!$A$9)*ROUND(BM!$H169,15-13*ORÇAMENTO!$AF$10),15-13*ORÇAMENTO!$AF$11))),IF($A169=0,0,ROUND(SomaAgrupBM,15-13*ORÇAMENTO!$AF$11)))</f>
        <v>0</v>
      </c>
    </row>
    <row r="170" spans="1:41" ht="63.75" x14ac:dyDescent="0.2">
      <c r="A170" t="str">
        <f ca="1">ORÇAMENTO!C170</f>
        <v>S</v>
      </c>
      <c r="B170">
        <f ca="1">ORÇAMENTO!D170</f>
        <v>0</v>
      </c>
      <c r="C170" s="116" t="str">
        <f t="shared" ca="1" si="15"/>
        <v/>
      </c>
      <c r="D170" s="119" t="str">
        <f ca="1">ORÇAMENTO!O170</f>
        <v>-</v>
      </c>
      <c r="E170" s="172" t="str">
        <f t="shared" ca="1" si="16"/>
        <v>(abra o arquivo 'Referência 06-2024.xlsm)</v>
      </c>
      <c r="F170" s="173" t="str">
        <f ca="1">IF(RegimeExecucao="Global","",ORÇAMENTO.Unidade)</f>
        <v/>
      </c>
      <c r="G170" s="124" t="str">
        <f ca="1">IF(RegimeExecucao="Global","",ORÇAMENTO!T170)</f>
        <v/>
      </c>
      <c r="H170" s="124" t="str">
        <f ca="1">IF(RegimeExecucao="Global","",ORÇAMENTO!W170)</f>
        <v/>
      </c>
      <c r="I170" s="127">
        <f ca="1">ORÇAMENTO!X170</f>
        <v>0</v>
      </c>
      <c r="J170" s="378">
        <f ca="1">IF($A170="S",IF(CAIXA.Modo,BM.AFAnterior,BM.MEDAnterior),IF(AND(RegimeExecucao="Global",$I170&gt;0,COUNTIF($AB$13:$AM$13,BM.medicao-1)&gt;0),M170/$I170*100,0))</f>
        <v>0</v>
      </c>
      <c r="K170" s="124">
        <f t="shared" ca="1" si="17"/>
        <v>0</v>
      </c>
      <c r="L170" s="379">
        <f ca="1">IF($A170="S",IF(CAIXA.Modo,BM.AFAcumulado,BM.MEDAcumulado),IF(AND(RegimeExecucao="Global",$I170&gt;0,COUNTIF($AB$13:$AM$13,BM.medicao)&gt;0),O170/$I170*100,0))</f>
        <v>0</v>
      </c>
      <c r="M170" s="380">
        <f ca="1">IF($A170="S",VTOTALBM,IF($A170=0,0,ROUND(SomaAgrupBM,15-13*ORÇAMENTO!$AF$11)))</f>
        <v>0</v>
      </c>
      <c r="N170" s="381">
        <f t="shared" ca="1" si="18"/>
        <v>0</v>
      </c>
      <c r="O170" s="127">
        <f ca="1">IF($A170="S",VTOTALBM,IF($A170=0,0,ROUND(SomaAgrupBM,15-13*ORÇAMENTO!$AF$11)))</f>
        <v>0</v>
      </c>
      <c r="Q170" s="382"/>
      <c r="R170" s="383"/>
      <c r="T170" s="119" t="str">
        <f t="shared" ca="1" si="19"/>
        <v/>
      </c>
      <c r="U170" s="172" t="str">
        <f t="shared" ca="1" si="20"/>
        <v/>
      </c>
      <c r="V170" s="173" t="str">
        <f ca="1">IF(AND($W170&gt;0,RegimeExecucao="Unitário"),$F170,"")</f>
        <v/>
      </c>
      <c r="W170" s="547">
        <f ca="1">IF($Y170&gt;0,CHOOSE(MATCH(RegimeExecucao,{"Unitário","Global"},0),IF($A170="S",$Y170/$X170,""),($Y170/$X170)*100),0)</f>
        <v>0</v>
      </c>
      <c r="X170" s="384" t="str">
        <f ca="1">IF($Y170&gt;0,CHOOSE(MATCH(RegimeExecucao,{"Unitário","Global"},0),IF($A170="S",ROUND($H170,ORÇAMENTO!$AF$10),""),ROUND($I170,ORÇAMENTO!$AF$11)),"")</f>
        <v/>
      </c>
      <c r="Y170" s="384">
        <f t="shared" ca="1" si="21"/>
        <v>0</v>
      </c>
      <c r="Z170" s="572"/>
      <c r="AB170" s="382"/>
      <c r="AC170" s="516"/>
      <c r="AD170" s="516"/>
      <c r="AE170" s="516"/>
      <c r="AF170" s="516"/>
      <c r="AG170" s="516"/>
      <c r="AH170" s="516"/>
      <c r="AI170" s="516"/>
      <c r="AJ170" s="516"/>
      <c r="AK170" s="516"/>
      <c r="AL170" s="516"/>
      <c r="AM170" s="383"/>
      <c r="AO170">
        <f ca="1">IF($A170="S",IF(BM!$I170=0,0,CHOOSE(MATCH(RegimeExecucao,{"Global","Unitário"},0),ROUND(ROUND(BM.MEDAcumulado,15-13*BM!$A$9)/100*BM!$I170,15-13*ORÇAMENTO!$AF$11),ROUND(ROUND(BM.MEDAcumulado,15-13*BM!$A$9)*ROUND(BM!$H170,15-13*ORÇAMENTO!$AF$10),15-13*ORÇAMENTO!$AF$11))),IF($A170=0,0,ROUND(SomaAgrupBM,15-13*ORÇAMENTO!$AF$11)))</f>
        <v>0</v>
      </c>
    </row>
    <row r="171" spans="1:41" ht="38.25" x14ac:dyDescent="0.2">
      <c r="A171" t="str">
        <f ca="1">ORÇAMENTO!C171</f>
        <v>S</v>
      </c>
      <c r="B171">
        <f ca="1">ORÇAMENTO!D171</f>
        <v>0</v>
      </c>
      <c r="C171" s="116" t="str">
        <f t="shared" ca="1" si="15"/>
        <v/>
      </c>
      <c r="D171" s="119" t="str">
        <f ca="1">ORÇAMENTO!O171</f>
        <v>-</v>
      </c>
      <c r="E171" s="172" t="str">
        <f t="shared" ca="1" si="16"/>
        <v>(abra o arquivo 'Referência 06-2024.xlsm)</v>
      </c>
      <c r="F171" s="173" t="str">
        <f ca="1">IF(RegimeExecucao="Global","",ORÇAMENTO.Unidade)</f>
        <v/>
      </c>
      <c r="G171" s="124" t="str">
        <f ca="1">IF(RegimeExecucao="Global","",ORÇAMENTO!T171)</f>
        <v/>
      </c>
      <c r="H171" s="124" t="str">
        <f ca="1">IF(RegimeExecucao="Global","",ORÇAMENTO!W171)</f>
        <v/>
      </c>
      <c r="I171" s="127">
        <f ca="1">ORÇAMENTO!X171</f>
        <v>0</v>
      </c>
      <c r="J171" s="378">
        <f ca="1">IF($A171="S",IF(CAIXA.Modo,BM.AFAnterior,BM.MEDAnterior),IF(AND(RegimeExecucao="Global",$I171&gt;0,COUNTIF($AB$13:$AM$13,BM.medicao-1)&gt;0),M171/$I171*100,0))</f>
        <v>0</v>
      </c>
      <c r="K171" s="124">
        <f t="shared" ca="1" si="17"/>
        <v>0</v>
      </c>
      <c r="L171" s="379">
        <f ca="1">IF($A171="S",IF(CAIXA.Modo,BM.AFAcumulado,BM.MEDAcumulado),IF(AND(RegimeExecucao="Global",$I171&gt;0,COUNTIF($AB$13:$AM$13,BM.medicao)&gt;0),O171/$I171*100,0))</f>
        <v>0</v>
      </c>
      <c r="M171" s="380">
        <f ca="1">IF($A171="S",VTOTALBM,IF($A171=0,0,ROUND(SomaAgrupBM,15-13*ORÇAMENTO!$AF$11)))</f>
        <v>0</v>
      </c>
      <c r="N171" s="381">
        <f t="shared" ca="1" si="18"/>
        <v>0</v>
      </c>
      <c r="O171" s="127">
        <f ca="1">IF($A171="S",VTOTALBM,IF($A171=0,0,ROUND(SomaAgrupBM,15-13*ORÇAMENTO!$AF$11)))</f>
        <v>0</v>
      </c>
      <c r="Q171" s="382"/>
      <c r="R171" s="383"/>
      <c r="T171" s="119" t="str">
        <f t="shared" ca="1" si="19"/>
        <v/>
      </c>
      <c r="U171" s="172" t="str">
        <f t="shared" ca="1" si="20"/>
        <v/>
      </c>
      <c r="V171" s="173" t="str">
        <f ca="1">IF(AND($W171&gt;0,RegimeExecucao="Unitário"),$F171,"")</f>
        <v/>
      </c>
      <c r="W171" s="547">
        <f ca="1">IF($Y171&gt;0,CHOOSE(MATCH(RegimeExecucao,{"Unitário","Global"},0),IF($A171="S",$Y171/$X171,""),($Y171/$X171)*100),0)</f>
        <v>0</v>
      </c>
      <c r="X171" s="384" t="str">
        <f ca="1">IF($Y171&gt;0,CHOOSE(MATCH(RegimeExecucao,{"Unitário","Global"},0),IF($A171="S",ROUND($H171,ORÇAMENTO!$AF$10),""),ROUND($I171,ORÇAMENTO!$AF$11)),"")</f>
        <v/>
      </c>
      <c r="Y171" s="384">
        <f t="shared" ca="1" si="21"/>
        <v>0</v>
      </c>
      <c r="Z171" s="572"/>
      <c r="AB171" s="382"/>
      <c r="AC171" s="516"/>
      <c r="AD171" s="516"/>
      <c r="AE171" s="516"/>
      <c r="AF171" s="516"/>
      <c r="AG171" s="516"/>
      <c r="AH171" s="516"/>
      <c r="AI171" s="516"/>
      <c r="AJ171" s="516"/>
      <c r="AK171" s="516"/>
      <c r="AL171" s="516"/>
      <c r="AM171" s="383"/>
      <c r="AO171">
        <f ca="1">IF($A171="S",IF(BM!$I171=0,0,CHOOSE(MATCH(RegimeExecucao,{"Global","Unitário"},0),ROUND(ROUND(BM.MEDAcumulado,15-13*BM!$A$9)/100*BM!$I171,15-13*ORÇAMENTO!$AF$11),ROUND(ROUND(BM.MEDAcumulado,15-13*BM!$A$9)*ROUND(BM!$H171,15-13*ORÇAMENTO!$AF$10),15-13*ORÇAMENTO!$AF$11))),IF($A171=0,0,ROUND(SomaAgrupBM,15-13*ORÇAMENTO!$AF$11)))</f>
        <v>0</v>
      </c>
    </row>
    <row r="172" spans="1:41" ht="38.25" x14ac:dyDescent="0.2">
      <c r="A172" t="str">
        <f ca="1">ORÇAMENTO!C172</f>
        <v>S</v>
      </c>
      <c r="B172">
        <f ca="1">ORÇAMENTO!D172</f>
        <v>0</v>
      </c>
      <c r="C172" s="116" t="str">
        <f t="shared" ca="1" si="15"/>
        <v/>
      </c>
      <c r="D172" s="119" t="str">
        <f ca="1">ORÇAMENTO!O172</f>
        <v>-</v>
      </c>
      <c r="E172" s="172" t="str">
        <f t="shared" ca="1" si="16"/>
        <v>(abra o arquivo 'Referência 06-2024.xlsm)</v>
      </c>
      <c r="F172" s="173" t="str">
        <f ca="1">IF(RegimeExecucao="Global","",ORÇAMENTO.Unidade)</f>
        <v/>
      </c>
      <c r="G172" s="124" t="str">
        <f ca="1">IF(RegimeExecucao="Global","",ORÇAMENTO!T172)</f>
        <v/>
      </c>
      <c r="H172" s="124" t="str">
        <f ca="1">IF(RegimeExecucao="Global","",ORÇAMENTO!W172)</f>
        <v/>
      </c>
      <c r="I172" s="127">
        <f ca="1">ORÇAMENTO!X172</f>
        <v>0</v>
      </c>
      <c r="J172" s="378">
        <f ca="1">IF($A172="S",IF(CAIXA.Modo,BM.AFAnterior,BM.MEDAnterior),IF(AND(RegimeExecucao="Global",$I172&gt;0,COUNTIF($AB$13:$AM$13,BM.medicao-1)&gt;0),M172/$I172*100,0))</f>
        <v>0</v>
      </c>
      <c r="K172" s="124">
        <f t="shared" ca="1" si="17"/>
        <v>0</v>
      </c>
      <c r="L172" s="379">
        <f ca="1">IF($A172="S",IF(CAIXA.Modo,BM.AFAcumulado,BM.MEDAcumulado),IF(AND(RegimeExecucao="Global",$I172&gt;0,COUNTIF($AB$13:$AM$13,BM.medicao)&gt;0),O172/$I172*100,0))</f>
        <v>0</v>
      </c>
      <c r="M172" s="380">
        <f ca="1">IF($A172="S",VTOTALBM,IF($A172=0,0,ROUND(SomaAgrupBM,15-13*ORÇAMENTO!$AF$11)))</f>
        <v>0</v>
      </c>
      <c r="N172" s="381">
        <f t="shared" ca="1" si="18"/>
        <v>0</v>
      </c>
      <c r="O172" s="127">
        <f ca="1">IF($A172="S",VTOTALBM,IF($A172=0,0,ROUND(SomaAgrupBM,15-13*ORÇAMENTO!$AF$11)))</f>
        <v>0</v>
      </c>
      <c r="Q172" s="382"/>
      <c r="R172" s="383"/>
      <c r="T172" s="119" t="str">
        <f t="shared" ca="1" si="19"/>
        <v/>
      </c>
      <c r="U172" s="172" t="str">
        <f t="shared" ca="1" si="20"/>
        <v/>
      </c>
      <c r="V172" s="173" t="str">
        <f ca="1">IF(AND($W172&gt;0,RegimeExecucao="Unitário"),$F172,"")</f>
        <v/>
      </c>
      <c r="W172" s="547">
        <f ca="1">IF($Y172&gt;0,CHOOSE(MATCH(RegimeExecucao,{"Unitário","Global"},0),IF($A172="S",$Y172/$X172,""),($Y172/$X172)*100),0)</f>
        <v>0</v>
      </c>
      <c r="X172" s="384" t="str">
        <f ca="1">IF($Y172&gt;0,CHOOSE(MATCH(RegimeExecucao,{"Unitário","Global"},0),IF($A172="S",ROUND($H172,ORÇAMENTO!$AF$10),""),ROUND($I172,ORÇAMENTO!$AF$11)),"")</f>
        <v/>
      </c>
      <c r="Y172" s="384">
        <f t="shared" ca="1" si="21"/>
        <v>0</v>
      </c>
      <c r="Z172" s="572"/>
      <c r="AB172" s="382"/>
      <c r="AC172" s="516"/>
      <c r="AD172" s="516"/>
      <c r="AE172" s="516"/>
      <c r="AF172" s="516"/>
      <c r="AG172" s="516"/>
      <c r="AH172" s="516"/>
      <c r="AI172" s="516"/>
      <c r="AJ172" s="516"/>
      <c r="AK172" s="516"/>
      <c r="AL172" s="516"/>
      <c r="AM172" s="383"/>
      <c r="AO172">
        <f ca="1">IF($A172="S",IF(BM!$I172=0,0,CHOOSE(MATCH(RegimeExecucao,{"Global","Unitário"},0),ROUND(ROUND(BM.MEDAcumulado,15-13*BM!$A$9)/100*BM!$I172,15-13*ORÇAMENTO!$AF$11),ROUND(ROUND(BM.MEDAcumulado,15-13*BM!$A$9)*ROUND(BM!$H172,15-13*ORÇAMENTO!$AF$10),15-13*ORÇAMENTO!$AF$11))),IF($A172=0,0,ROUND(SomaAgrupBM,15-13*ORÇAMENTO!$AF$11)))</f>
        <v>0</v>
      </c>
    </row>
    <row r="173" spans="1:41" ht="25.5" x14ac:dyDescent="0.2">
      <c r="A173" t="str">
        <f ca="1">ORÇAMENTO!C173</f>
        <v>S</v>
      </c>
      <c r="B173">
        <f ca="1">ORÇAMENTO!D173</f>
        <v>0</v>
      </c>
      <c r="C173" s="116" t="str">
        <f t="shared" ca="1" si="15"/>
        <v/>
      </c>
      <c r="D173" s="119" t="str">
        <f ca="1">ORÇAMENTO!O173</f>
        <v>-</v>
      </c>
      <c r="E173" s="172" t="str">
        <f t="shared" ca="1" si="16"/>
        <v>(abra o arquivo 'Referência 06-2024.xlsm)</v>
      </c>
      <c r="F173" s="173" t="str">
        <f ca="1">IF(RegimeExecucao="Global","",ORÇAMENTO.Unidade)</f>
        <v/>
      </c>
      <c r="G173" s="124" t="str">
        <f ca="1">IF(RegimeExecucao="Global","",ORÇAMENTO!T173)</f>
        <v/>
      </c>
      <c r="H173" s="124" t="str">
        <f ca="1">IF(RegimeExecucao="Global","",ORÇAMENTO!W173)</f>
        <v/>
      </c>
      <c r="I173" s="127">
        <f ca="1">ORÇAMENTO!X173</f>
        <v>0</v>
      </c>
      <c r="J173" s="378">
        <f ca="1">IF($A173="S",IF(CAIXA.Modo,BM.AFAnterior,BM.MEDAnterior),IF(AND(RegimeExecucao="Global",$I173&gt;0,COUNTIF($AB$13:$AM$13,BM.medicao-1)&gt;0),M173/$I173*100,0))</f>
        <v>0</v>
      </c>
      <c r="K173" s="124">
        <f t="shared" ca="1" si="17"/>
        <v>0</v>
      </c>
      <c r="L173" s="379">
        <f ca="1">IF($A173="S",IF(CAIXA.Modo,BM.AFAcumulado,BM.MEDAcumulado),IF(AND(RegimeExecucao="Global",$I173&gt;0,COUNTIF($AB$13:$AM$13,BM.medicao)&gt;0),O173/$I173*100,0))</f>
        <v>0</v>
      </c>
      <c r="M173" s="380">
        <f ca="1">IF($A173="S",VTOTALBM,IF($A173=0,0,ROUND(SomaAgrupBM,15-13*ORÇAMENTO!$AF$11)))</f>
        <v>0</v>
      </c>
      <c r="N173" s="381">
        <f t="shared" ca="1" si="18"/>
        <v>0</v>
      </c>
      <c r="O173" s="127">
        <f ca="1">IF($A173="S",VTOTALBM,IF($A173=0,0,ROUND(SomaAgrupBM,15-13*ORÇAMENTO!$AF$11)))</f>
        <v>0</v>
      </c>
      <c r="Q173" s="382"/>
      <c r="R173" s="383"/>
      <c r="T173" s="119" t="str">
        <f t="shared" ca="1" si="19"/>
        <v/>
      </c>
      <c r="U173" s="172" t="str">
        <f t="shared" ca="1" si="20"/>
        <v/>
      </c>
      <c r="V173" s="173" t="str">
        <f ca="1">IF(AND($W173&gt;0,RegimeExecucao="Unitário"),$F173,"")</f>
        <v/>
      </c>
      <c r="W173" s="547">
        <f ca="1">IF($Y173&gt;0,CHOOSE(MATCH(RegimeExecucao,{"Unitário","Global"},0),IF($A173="S",$Y173/$X173,""),($Y173/$X173)*100),0)</f>
        <v>0</v>
      </c>
      <c r="X173" s="384" t="str">
        <f ca="1">IF($Y173&gt;0,CHOOSE(MATCH(RegimeExecucao,{"Unitário","Global"},0),IF($A173="S",ROUND($H173,ORÇAMENTO!$AF$10),""),ROUND($I173,ORÇAMENTO!$AF$11)),"")</f>
        <v/>
      </c>
      <c r="Y173" s="384">
        <f t="shared" ca="1" si="21"/>
        <v>0</v>
      </c>
      <c r="Z173" s="572"/>
      <c r="AB173" s="382"/>
      <c r="AC173" s="516"/>
      <c r="AD173" s="516"/>
      <c r="AE173" s="516"/>
      <c r="AF173" s="516"/>
      <c r="AG173" s="516"/>
      <c r="AH173" s="516"/>
      <c r="AI173" s="516"/>
      <c r="AJ173" s="516"/>
      <c r="AK173" s="516"/>
      <c r="AL173" s="516"/>
      <c r="AM173" s="383"/>
      <c r="AO173">
        <f ca="1">IF($A173="S",IF(BM!$I173=0,0,CHOOSE(MATCH(RegimeExecucao,{"Global","Unitário"},0),ROUND(ROUND(BM.MEDAcumulado,15-13*BM!$A$9)/100*BM!$I173,15-13*ORÇAMENTO!$AF$11),ROUND(ROUND(BM.MEDAcumulado,15-13*BM!$A$9)*ROUND(BM!$H173,15-13*ORÇAMENTO!$AF$10),15-13*ORÇAMENTO!$AF$11))),IF($A173=0,0,ROUND(SomaAgrupBM,15-13*ORÇAMENTO!$AF$11)))</f>
        <v>0</v>
      </c>
    </row>
    <row r="174" spans="1:41" ht="25.5" x14ac:dyDescent="0.2">
      <c r="A174" t="str">
        <f ca="1">ORÇAMENTO!C174</f>
        <v>S</v>
      </c>
      <c r="B174">
        <f ca="1">ORÇAMENTO!D174</f>
        <v>0</v>
      </c>
      <c r="C174" s="116" t="str">
        <f t="shared" ca="1" si="15"/>
        <v/>
      </c>
      <c r="D174" s="119" t="str">
        <f ca="1">ORÇAMENTO!O174</f>
        <v>-</v>
      </c>
      <c r="E174" s="172" t="str">
        <f t="shared" ca="1" si="16"/>
        <v>(abra o arquivo 'Referência 06-2024.xlsm)</v>
      </c>
      <c r="F174" s="173" t="str">
        <f ca="1">IF(RegimeExecucao="Global","",ORÇAMENTO.Unidade)</f>
        <v/>
      </c>
      <c r="G174" s="124" t="str">
        <f ca="1">IF(RegimeExecucao="Global","",ORÇAMENTO!T174)</f>
        <v/>
      </c>
      <c r="H174" s="124" t="str">
        <f ca="1">IF(RegimeExecucao="Global","",ORÇAMENTO!W174)</f>
        <v/>
      </c>
      <c r="I174" s="127">
        <f ca="1">ORÇAMENTO!X174</f>
        <v>0</v>
      </c>
      <c r="J174" s="378">
        <f ca="1">IF($A174="S",IF(CAIXA.Modo,BM.AFAnterior,BM.MEDAnterior),IF(AND(RegimeExecucao="Global",$I174&gt;0,COUNTIF($AB$13:$AM$13,BM.medicao-1)&gt;0),M174/$I174*100,0))</f>
        <v>0</v>
      </c>
      <c r="K174" s="124">
        <f t="shared" ca="1" si="17"/>
        <v>0</v>
      </c>
      <c r="L174" s="379">
        <f ca="1">IF($A174="S",IF(CAIXA.Modo,BM.AFAcumulado,BM.MEDAcumulado),IF(AND(RegimeExecucao="Global",$I174&gt;0,COUNTIF($AB$13:$AM$13,BM.medicao)&gt;0),O174/$I174*100,0))</f>
        <v>0</v>
      </c>
      <c r="M174" s="380">
        <f ca="1">IF($A174="S",VTOTALBM,IF($A174=0,0,ROUND(SomaAgrupBM,15-13*ORÇAMENTO!$AF$11)))</f>
        <v>0</v>
      </c>
      <c r="N174" s="381">
        <f t="shared" ca="1" si="18"/>
        <v>0</v>
      </c>
      <c r="O174" s="127">
        <f ca="1">IF($A174="S",VTOTALBM,IF($A174=0,0,ROUND(SomaAgrupBM,15-13*ORÇAMENTO!$AF$11)))</f>
        <v>0</v>
      </c>
      <c r="Q174" s="382"/>
      <c r="R174" s="383"/>
      <c r="T174" s="119" t="str">
        <f t="shared" ca="1" si="19"/>
        <v/>
      </c>
      <c r="U174" s="172" t="str">
        <f t="shared" ca="1" si="20"/>
        <v/>
      </c>
      <c r="V174" s="173" t="str">
        <f ca="1">IF(AND($W174&gt;0,RegimeExecucao="Unitário"),$F174,"")</f>
        <v/>
      </c>
      <c r="W174" s="547">
        <f ca="1">IF($Y174&gt;0,CHOOSE(MATCH(RegimeExecucao,{"Unitário","Global"},0),IF($A174="S",$Y174/$X174,""),($Y174/$X174)*100),0)</f>
        <v>0</v>
      </c>
      <c r="X174" s="384" t="str">
        <f ca="1">IF($Y174&gt;0,CHOOSE(MATCH(RegimeExecucao,{"Unitário","Global"},0),IF($A174="S",ROUND($H174,ORÇAMENTO!$AF$10),""),ROUND($I174,ORÇAMENTO!$AF$11)),"")</f>
        <v/>
      </c>
      <c r="Y174" s="384">
        <f t="shared" ca="1" si="21"/>
        <v>0</v>
      </c>
      <c r="Z174" s="572"/>
      <c r="AB174" s="382"/>
      <c r="AC174" s="516"/>
      <c r="AD174" s="516"/>
      <c r="AE174" s="516"/>
      <c r="AF174" s="516"/>
      <c r="AG174" s="516"/>
      <c r="AH174" s="516"/>
      <c r="AI174" s="516"/>
      <c r="AJ174" s="516"/>
      <c r="AK174" s="516"/>
      <c r="AL174" s="516"/>
      <c r="AM174" s="383"/>
      <c r="AO174">
        <f ca="1">IF($A174="S",IF(BM!$I174=0,0,CHOOSE(MATCH(RegimeExecucao,{"Global","Unitário"},0),ROUND(ROUND(BM.MEDAcumulado,15-13*BM!$A$9)/100*BM!$I174,15-13*ORÇAMENTO!$AF$11),ROUND(ROUND(BM.MEDAcumulado,15-13*BM!$A$9)*ROUND(BM!$H174,15-13*ORÇAMENTO!$AF$10),15-13*ORÇAMENTO!$AF$11))),IF($A174=0,0,ROUND(SomaAgrupBM,15-13*ORÇAMENTO!$AF$11)))</f>
        <v>0</v>
      </c>
    </row>
    <row r="175" spans="1:41" x14ac:dyDescent="0.2">
      <c r="A175" t="str">
        <f ca="1">ORÇAMENTO!C175</f>
        <v>S</v>
      </c>
      <c r="B175">
        <f ca="1">ORÇAMENTO!D175</f>
        <v>0</v>
      </c>
      <c r="C175" s="116" t="str">
        <f t="shared" ca="1" si="15"/>
        <v/>
      </c>
      <c r="D175" s="119" t="str">
        <f ca="1">ORÇAMENTO!O175</f>
        <v>-</v>
      </c>
      <c r="E175" s="172" t="str">
        <f t="shared" ca="1" si="16"/>
        <v>(abra o arquivo 'Referência 06-2024.xlsm)</v>
      </c>
      <c r="F175" s="173" t="str">
        <f ca="1">IF(RegimeExecucao="Global","",ORÇAMENTO.Unidade)</f>
        <v/>
      </c>
      <c r="G175" s="124" t="str">
        <f ca="1">IF(RegimeExecucao="Global","",ORÇAMENTO!T175)</f>
        <v/>
      </c>
      <c r="H175" s="124" t="str">
        <f ca="1">IF(RegimeExecucao="Global","",ORÇAMENTO!W175)</f>
        <v/>
      </c>
      <c r="I175" s="127">
        <f ca="1">ORÇAMENTO!X175</f>
        <v>0</v>
      </c>
      <c r="J175" s="378">
        <f ca="1">IF($A175="S",IF(CAIXA.Modo,BM.AFAnterior,BM.MEDAnterior),IF(AND(RegimeExecucao="Global",$I175&gt;0,COUNTIF($AB$13:$AM$13,BM.medicao-1)&gt;0),M175/$I175*100,0))</f>
        <v>0</v>
      </c>
      <c r="K175" s="124">
        <f t="shared" ca="1" si="17"/>
        <v>0</v>
      </c>
      <c r="L175" s="379">
        <f ca="1">IF($A175="S",IF(CAIXA.Modo,BM.AFAcumulado,BM.MEDAcumulado),IF(AND(RegimeExecucao="Global",$I175&gt;0,COUNTIF($AB$13:$AM$13,BM.medicao)&gt;0),O175/$I175*100,0))</f>
        <v>0</v>
      </c>
      <c r="M175" s="380">
        <f ca="1">IF($A175="S",VTOTALBM,IF($A175=0,0,ROUND(SomaAgrupBM,15-13*ORÇAMENTO!$AF$11)))</f>
        <v>0</v>
      </c>
      <c r="N175" s="381">
        <f t="shared" ca="1" si="18"/>
        <v>0</v>
      </c>
      <c r="O175" s="127">
        <f ca="1">IF($A175="S",VTOTALBM,IF($A175=0,0,ROUND(SomaAgrupBM,15-13*ORÇAMENTO!$AF$11)))</f>
        <v>0</v>
      </c>
      <c r="Q175" s="382"/>
      <c r="R175" s="383"/>
      <c r="T175" s="119" t="str">
        <f t="shared" ca="1" si="19"/>
        <v/>
      </c>
      <c r="U175" s="172" t="str">
        <f t="shared" ca="1" si="20"/>
        <v/>
      </c>
      <c r="V175" s="173" t="str">
        <f ca="1">IF(AND($W175&gt;0,RegimeExecucao="Unitário"),$F175,"")</f>
        <v/>
      </c>
      <c r="W175" s="547">
        <f ca="1">IF($Y175&gt;0,CHOOSE(MATCH(RegimeExecucao,{"Unitário","Global"},0),IF($A175="S",$Y175/$X175,""),($Y175/$X175)*100),0)</f>
        <v>0</v>
      </c>
      <c r="X175" s="384" t="str">
        <f ca="1">IF($Y175&gt;0,CHOOSE(MATCH(RegimeExecucao,{"Unitário","Global"},0),IF($A175="S",ROUND($H175,ORÇAMENTO!$AF$10),""),ROUND($I175,ORÇAMENTO!$AF$11)),"")</f>
        <v/>
      </c>
      <c r="Y175" s="384">
        <f t="shared" ca="1" si="21"/>
        <v>0</v>
      </c>
      <c r="Z175" s="572"/>
      <c r="AB175" s="382"/>
      <c r="AC175" s="516"/>
      <c r="AD175" s="516"/>
      <c r="AE175" s="516"/>
      <c r="AF175" s="516"/>
      <c r="AG175" s="516"/>
      <c r="AH175" s="516"/>
      <c r="AI175" s="516"/>
      <c r="AJ175" s="516"/>
      <c r="AK175" s="516"/>
      <c r="AL175" s="516"/>
      <c r="AM175" s="383"/>
      <c r="AO175">
        <f ca="1">IF($A175="S",IF(BM!$I175=0,0,CHOOSE(MATCH(RegimeExecucao,{"Global","Unitário"},0),ROUND(ROUND(BM.MEDAcumulado,15-13*BM!$A$9)/100*BM!$I175,15-13*ORÇAMENTO!$AF$11),ROUND(ROUND(BM.MEDAcumulado,15-13*BM!$A$9)*ROUND(BM!$H175,15-13*ORÇAMENTO!$AF$10),15-13*ORÇAMENTO!$AF$11))),IF($A175=0,0,ROUND(SomaAgrupBM,15-13*ORÇAMENTO!$AF$11)))</f>
        <v>0</v>
      </c>
    </row>
    <row r="176" spans="1:41" x14ac:dyDescent="0.2">
      <c r="A176">
        <f ca="1">ORÇAMENTO!C176</f>
        <v>2</v>
      </c>
      <c r="B176">
        <f ca="1">ORÇAMENTO!D176</f>
        <v>8</v>
      </c>
      <c r="C176" s="116" t="str">
        <f t="shared" ref="C176:C471" ca="1" si="22">IF(OR($I176&gt;0,$A176=1,$A176=2,$A176=3,$A176=4),"F","")</f>
        <v>F</v>
      </c>
      <c r="D176" s="119" t="str">
        <f ca="1">ORÇAMENTO!O176</f>
        <v>1.25.</v>
      </c>
      <c r="E176" s="172" t="str">
        <f t="shared" ref="E176:E471" si="23">ORÇAMENTO.Descricao</f>
        <v>IMPERMEABILIZAÇÃO</v>
      </c>
      <c r="F176" s="173" t="str">
        <f ca="1">IF(RegimeExecucao="Global","",ORÇAMENTO.Unidade)</f>
        <v/>
      </c>
      <c r="G176" s="124" t="str">
        <f ca="1">IF(RegimeExecucao="Global","",ORÇAMENTO!T176)</f>
        <v/>
      </c>
      <c r="H176" s="124" t="str">
        <f ca="1">IF(RegimeExecucao="Global","",ORÇAMENTO!W176)</f>
        <v/>
      </c>
      <c r="I176" s="127">
        <f ca="1">ORÇAMENTO!X176</f>
        <v>0</v>
      </c>
      <c r="J176" s="378">
        <f ca="1">IF($A176="S",IF(CAIXA.Modo,BM.AFAnterior,BM.MEDAnterior),IF(AND(RegimeExecucao="Global",$I176&gt;0,COUNTIF($AB$13:$AM$13,BM.medicao-1)&gt;0),M176/$I176*100,0))</f>
        <v>0</v>
      </c>
      <c r="K176" s="124">
        <f t="shared" ref="K176:K471" ca="1" si="24">L176-J176</f>
        <v>0</v>
      </c>
      <c r="L176" s="379">
        <f ca="1">IF($A176="S",IF(CAIXA.Modo,BM.AFAcumulado,BM.MEDAcumulado),IF(AND(RegimeExecucao="Global",$I176&gt;0,COUNTIF($AB$13:$AM$13,BM.medicao)&gt;0),O176/$I176*100,0))</f>
        <v>0</v>
      </c>
      <c r="M176" s="380">
        <f ca="1">IF($A176="S",VTOTALBM,IF($A176=0,0,ROUND(SomaAgrupBM,15-13*ORÇAMENTO!$AF$11)))</f>
        <v>0</v>
      </c>
      <c r="N176" s="381">
        <f t="shared" ref="N176:N471" ca="1" si="25">O176-M176</f>
        <v>0</v>
      </c>
      <c r="O176" s="127">
        <f ca="1">IF($A176="S",VTOTALBM,IF($A176=0,0,ROUND(SomaAgrupBM,15-13*ORÇAMENTO!$AF$11)))</f>
        <v>0</v>
      </c>
      <c r="Q176" s="382"/>
      <c r="R176" s="383"/>
      <c r="T176" s="119" t="str">
        <f t="shared" ref="T176:T471" ca="1" si="26">IF($W176&gt;0,$D176,"")</f>
        <v/>
      </c>
      <c r="U176" s="172" t="str">
        <f t="shared" ref="U176:U471" ca="1" si="27">IF($W176&gt;0,$E176,"")</f>
        <v/>
      </c>
      <c r="V176" s="173" t="str">
        <f ca="1">IF(AND($W176&gt;0,RegimeExecucao="Unitário"),$F176,"")</f>
        <v/>
      </c>
      <c r="W176" s="547">
        <f ca="1">IF($Y176&gt;0,CHOOSE(MATCH(RegimeExecucao,{"Unitário","Global"},0),IF($A176="S",$Y176/$X176,""),($Y176/$X176)*100),0)</f>
        <v>0</v>
      </c>
      <c r="X176" s="384" t="str">
        <f ca="1">IF($Y176&gt;0,CHOOSE(MATCH(RegimeExecucao,{"Unitário","Global"},0),IF($A176="S",ROUND($H176,ORÇAMENTO!$AF$10),""),ROUND($I176,ORÇAMENTO!$AF$11)),"")</f>
        <v/>
      </c>
      <c r="Y176" s="384">
        <f t="shared" ref="Y176:Y471" ca="1" si="28">AO176-O176</f>
        <v>0</v>
      </c>
      <c r="Z176" s="572"/>
      <c r="AB176" s="382"/>
      <c r="AC176" s="516"/>
      <c r="AD176" s="516"/>
      <c r="AE176" s="516"/>
      <c r="AF176" s="516"/>
      <c r="AG176" s="516"/>
      <c r="AH176" s="516"/>
      <c r="AI176" s="516"/>
      <c r="AJ176" s="516"/>
      <c r="AK176" s="516"/>
      <c r="AL176" s="516"/>
      <c r="AM176" s="383"/>
      <c r="AO176">
        <f ca="1">IF($A176="S",IF(BM!$I176=0,0,CHOOSE(MATCH(RegimeExecucao,{"Global","Unitário"},0),ROUND(ROUND(BM.MEDAcumulado,15-13*BM!$A$9)/100*BM!$I176,15-13*ORÇAMENTO!$AF$11),ROUND(ROUND(BM.MEDAcumulado,15-13*BM!$A$9)*ROUND(BM!$H176,15-13*ORÇAMENTO!$AF$10),15-13*ORÇAMENTO!$AF$11))),IF($A176=0,0,ROUND(SomaAgrupBM,15-13*ORÇAMENTO!$AF$11)))</f>
        <v>0</v>
      </c>
    </row>
    <row r="177" spans="1:41" ht="25.5" x14ac:dyDescent="0.2">
      <c r="A177" t="str">
        <f ca="1">ORÇAMENTO!C177</f>
        <v>S</v>
      </c>
      <c r="B177">
        <f ca="1">ORÇAMENTO!D177</f>
        <v>0</v>
      </c>
      <c r="C177" s="116" t="str">
        <f t="shared" ca="1" si="22"/>
        <v/>
      </c>
      <c r="D177" s="119" t="str">
        <f ca="1">ORÇAMENTO!O177</f>
        <v>-</v>
      </c>
      <c r="E177" s="172" t="str">
        <f t="shared" ca="1" si="23"/>
        <v>(abra o arquivo 'Referência 06-2024.xlsm)</v>
      </c>
      <c r="F177" s="173" t="str">
        <f ca="1">IF(RegimeExecucao="Global","",ORÇAMENTO.Unidade)</f>
        <v/>
      </c>
      <c r="G177" s="124" t="str">
        <f ca="1">IF(RegimeExecucao="Global","",ORÇAMENTO!T177)</f>
        <v/>
      </c>
      <c r="H177" s="124" t="str">
        <f ca="1">IF(RegimeExecucao="Global","",ORÇAMENTO!W177)</f>
        <v/>
      </c>
      <c r="I177" s="127">
        <f ca="1">ORÇAMENTO!X177</f>
        <v>0</v>
      </c>
      <c r="J177" s="378">
        <f ca="1">IF($A177="S",IF(CAIXA.Modo,BM.AFAnterior,BM.MEDAnterior),IF(AND(RegimeExecucao="Global",$I177&gt;0,COUNTIF($AB$13:$AM$13,BM.medicao-1)&gt;0),M177/$I177*100,0))</f>
        <v>0</v>
      </c>
      <c r="K177" s="124">
        <f t="shared" ca="1" si="24"/>
        <v>0</v>
      </c>
      <c r="L177" s="379">
        <f ca="1">IF($A177="S",IF(CAIXA.Modo,BM.AFAcumulado,BM.MEDAcumulado),IF(AND(RegimeExecucao="Global",$I177&gt;0,COUNTIF($AB$13:$AM$13,BM.medicao)&gt;0),O177/$I177*100,0))</f>
        <v>0</v>
      </c>
      <c r="M177" s="380">
        <f ca="1">IF($A177="S",VTOTALBM,IF($A177=0,0,ROUND(SomaAgrupBM,15-13*ORÇAMENTO!$AF$11)))</f>
        <v>0</v>
      </c>
      <c r="N177" s="381">
        <f t="shared" ca="1" si="25"/>
        <v>0</v>
      </c>
      <c r="O177" s="127">
        <f ca="1">IF($A177="S",VTOTALBM,IF($A177=0,0,ROUND(SomaAgrupBM,15-13*ORÇAMENTO!$AF$11)))</f>
        <v>0</v>
      </c>
      <c r="Q177" s="382"/>
      <c r="R177" s="383"/>
      <c r="T177" s="119" t="str">
        <f t="shared" ca="1" si="26"/>
        <v/>
      </c>
      <c r="U177" s="172" t="str">
        <f t="shared" ca="1" si="27"/>
        <v/>
      </c>
      <c r="V177" s="173" t="str">
        <f ca="1">IF(AND($W177&gt;0,RegimeExecucao="Unitário"),$F177,"")</f>
        <v/>
      </c>
      <c r="W177" s="547">
        <f ca="1">IF($Y177&gt;0,CHOOSE(MATCH(RegimeExecucao,{"Unitário","Global"},0),IF($A177="S",$Y177/$X177,""),($Y177/$X177)*100),0)</f>
        <v>0</v>
      </c>
      <c r="X177" s="384" t="str">
        <f ca="1">IF($Y177&gt;0,CHOOSE(MATCH(RegimeExecucao,{"Unitário","Global"},0),IF($A177="S",ROUND($H177,ORÇAMENTO!$AF$10),""),ROUND($I177,ORÇAMENTO!$AF$11)),"")</f>
        <v/>
      </c>
      <c r="Y177" s="384">
        <f t="shared" ca="1" si="28"/>
        <v>0</v>
      </c>
      <c r="Z177" s="572"/>
      <c r="AB177" s="382"/>
      <c r="AC177" s="516"/>
      <c r="AD177" s="516"/>
      <c r="AE177" s="516"/>
      <c r="AF177" s="516"/>
      <c r="AG177" s="516"/>
      <c r="AH177" s="516"/>
      <c r="AI177" s="516"/>
      <c r="AJ177" s="516"/>
      <c r="AK177" s="516"/>
      <c r="AL177" s="516"/>
      <c r="AM177" s="383"/>
      <c r="AO177">
        <f ca="1">IF($A177="S",IF(BM!$I177=0,0,CHOOSE(MATCH(RegimeExecucao,{"Global","Unitário"},0),ROUND(ROUND(BM.MEDAcumulado,15-13*BM!$A$9)/100*BM!$I177,15-13*ORÇAMENTO!$AF$11),ROUND(ROUND(BM.MEDAcumulado,15-13*BM!$A$9)*ROUND(BM!$H177,15-13*ORÇAMENTO!$AF$10),15-13*ORÇAMENTO!$AF$11))),IF($A177=0,0,ROUND(SomaAgrupBM,15-13*ORÇAMENTO!$AF$11)))</f>
        <v>0</v>
      </c>
    </row>
    <row r="178" spans="1:41" ht="25.5" x14ac:dyDescent="0.2">
      <c r="A178" t="str">
        <f ca="1">ORÇAMENTO!C178</f>
        <v>S</v>
      </c>
      <c r="B178">
        <f ca="1">ORÇAMENTO!D178</f>
        <v>0</v>
      </c>
      <c r="C178" s="116" t="str">
        <f t="shared" ca="1" si="22"/>
        <v/>
      </c>
      <c r="D178" s="119" t="str">
        <f ca="1">ORÇAMENTO!O178</f>
        <v>-</v>
      </c>
      <c r="E178" s="172" t="str">
        <f t="shared" ca="1" si="23"/>
        <v>(abra o arquivo 'Referência 06-2024.xlsm)</v>
      </c>
      <c r="F178" s="173" t="str">
        <f ca="1">IF(RegimeExecucao="Global","",ORÇAMENTO.Unidade)</f>
        <v/>
      </c>
      <c r="G178" s="124" t="str">
        <f ca="1">IF(RegimeExecucao="Global","",ORÇAMENTO!T178)</f>
        <v/>
      </c>
      <c r="H178" s="124" t="str">
        <f ca="1">IF(RegimeExecucao="Global","",ORÇAMENTO!W178)</f>
        <v/>
      </c>
      <c r="I178" s="127">
        <f ca="1">ORÇAMENTO!X178</f>
        <v>0</v>
      </c>
      <c r="J178" s="378">
        <f ca="1">IF($A178="S",IF(CAIXA.Modo,BM.AFAnterior,BM.MEDAnterior),IF(AND(RegimeExecucao="Global",$I178&gt;0,COUNTIF($AB$13:$AM$13,BM.medicao-1)&gt;0),M178/$I178*100,0))</f>
        <v>0</v>
      </c>
      <c r="K178" s="124">
        <f t="shared" ca="1" si="24"/>
        <v>0</v>
      </c>
      <c r="L178" s="379">
        <f ca="1">IF($A178="S",IF(CAIXA.Modo,BM.AFAcumulado,BM.MEDAcumulado),IF(AND(RegimeExecucao="Global",$I178&gt;0,COUNTIF($AB$13:$AM$13,BM.medicao)&gt;0),O178/$I178*100,0))</f>
        <v>0</v>
      </c>
      <c r="M178" s="380">
        <f ca="1">IF($A178="S",VTOTALBM,IF($A178=0,0,ROUND(SomaAgrupBM,15-13*ORÇAMENTO!$AF$11)))</f>
        <v>0</v>
      </c>
      <c r="N178" s="381">
        <f t="shared" ca="1" si="25"/>
        <v>0</v>
      </c>
      <c r="O178" s="127">
        <f ca="1">IF($A178="S",VTOTALBM,IF($A178=0,0,ROUND(SomaAgrupBM,15-13*ORÇAMENTO!$AF$11)))</f>
        <v>0</v>
      </c>
      <c r="Q178" s="382"/>
      <c r="R178" s="383"/>
      <c r="T178" s="119" t="str">
        <f t="shared" ca="1" si="26"/>
        <v/>
      </c>
      <c r="U178" s="172" t="str">
        <f t="shared" ca="1" si="27"/>
        <v/>
      </c>
      <c r="V178" s="173" t="str">
        <f ca="1">IF(AND($W178&gt;0,RegimeExecucao="Unitário"),$F178,"")</f>
        <v/>
      </c>
      <c r="W178" s="547">
        <f ca="1">IF($Y178&gt;0,CHOOSE(MATCH(RegimeExecucao,{"Unitário","Global"},0),IF($A178="S",$Y178/$X178,""),($Y178/$X178)*100),0)</f>
        <v>0</v>
      </c>
      <c r="X178" s="384" t="str">
        <f ca="1">IF($Y178&gt;0,CHOOSE(MATCH(RegimeExecucao,{"Unitário","Global"},0),IF($A178="S",ROUND($H178,ORÇAMENTO!$AF$10),""),ROUND($I178,ORÇAMENTO!$AF$11)),"")</f>
        <v/>
      </c>
      <c r="Y178" s="384">
        <f t="shared" ca="1" si="28"/>
        <v>0</v>
      </c>
      <c r="Z178" s="572"/>
      <c r="AB178" s="382"/>
      <c r="AC178" s="516"/>
      <c r="AD178" s="516"/>
      <c r="AE178" s="516"/>
      <c r="AF178" s="516"/>
      <c r="AG178" s="516"/>
      <c r="AH178" s="516"/>
      <c r="AI178" s="516"/>
      <c r="AJ178" s="516"/>
      <c r="AK178" s="516"/>
      <c r="AL178" s="516"/>
      <c r="AM178" s="383"/>
      <c r="AO178">
        <f ca="1">IF($A178="S",IF(BM!$I178=0,0,CHOOSE(MATCH(RegimeExecucao,{"Global","Unitário"},0),ROUND(ROUND(BM.MEDAcumulado,15-13*BM!$A$9)/100*BM!$I178,15-13*ORÇAMENTO!$AF$11),ROUND(ROUND(BM.MEDAcumulado,15-13*BM!$A$9)*ROUND(BM!$H178,15-13*ORÇAMENTO!$AF$10),15-13*ORÇAMENTO!$AF$11))),IF($A178=0,0,ROUND(SomaAgrupBM,15-13*ORÇAMENTO!$AF$11)))</f>
        <v>0</v>
      </c>
    </row>
    <row r="179" spans="1:41" ht="25.5" x14ac:dyDescent="0.2">
      <c r="A179" t="str">
        <f ca="1">ORÇAMENTO!C179</f>
        <v>S</v>
      </c>
      <c r="B179">
        <f ca="1">ORÇAMENTO!D179</f>
        <v>0</v>
      </c>
      <c r="C179" s="116" t="str">
        <f t="shared" ca="1" si="22"/>
        <v/>
      </c>
      <c r="D179" s="119" t="str">
        <f ca="1">ORÇAMENTO!O179</f>
        <v>-</v>
      </c>
      <c r="E179" s="172" t="str">
        <f t="shared" ca="1" si="23"/>
        <v>(abra o arquivo 'Referência 06-2024.xlsm)</v>
      </c>
      <c r="F179" s="173" t="str">
        <f ca="1">IF(RegimeExecucao="Global","",ORÇAMENTO.Unidade)</f>
        <v/>
      </c>
      <c r="G179" s="124" t="str">
        <f ca="1">IF(RegimeExecucao="Global","",ORÇAMENTO!T179)</f>
        <v/>
      </c>
      <c r="H179" s="124" t="str">
        <f ca="1">IF(RegimeExecucao="Global","",ORÇAMENTO!W179)</f>
        <v/>
      </c>
      <c r="I179" s="127">
        <f ca="1">ORÇAMENTO!X179</f>
        <v>0</v>
      </c>
      <c r="J179" s="378">
        <f ca="1">IF($A179="S",IF(CAIXA.Modo,BM.AFAnterior,BM.MEDAnterior),IF(AND(RegimeExecucao="Global",$I179&gt;0,COUNTIF($AB$13:$AM$13,BM.medicao-1)&gt;0),M179/$I179*100,0))</f>
        <v>0</v>
      </c>
      <c r="K179" s="124">
        <f t="shared" ca="1" si="24"/>
        <v>0</v>
      </c>
      <c r="L179" s="379">
        <f ca="1">IF($A179="S",IF(CAIXA.Modo,BM.AFAcumulado,BM.MEDAcumulado),IF(AND(RegimeExecucao="Global",$I179&gt;0,COUNTIF($AB$13:$AM$13,BM.medicao)&gt;0),O179/$I179*100,0))</f>
        <v>0</v>
      </c>
      <c r="M179" s="380">
        <f ca="1">IF($A179="S",VTOTALBM,IF($A179=0,0,ROUND(SomaAgrupBM,15-13*ORÇAMENTO!$AF$11)))</f>
        <v>0</v>
      </c>
      <c r="N179" s="381">
        <f t="shared" ca="1" si="25"/>
        <v>0</v>
      </c>
      <c r="O179" s="127">
        <f ca="1">IF($A179="S",VTOTALBM,IF($A179=0,0,ROUND(SomaAgrupBM,15-13*ORÇAMENTO!$AF$11)))</f>
        <v>0</v>
      </c>
      <c r="Q179" s="382"/>
      <c r="R179" s="383"/>
      <c r="T179" s="119" t="str">
        <f t="shared" ca="1" si="26"/>
        <v/>
      </c>
      <c r="U179" s="172" t="str">
        <f t="shared" ca="1" si="27"/>
        <v/>
      </c>
      <c r="V179" s="173" t="str">
        <f ca="1">IF(AND($W179&gt;0,RegimeExecucao="Unitário"),$F179,"")</f>
        <v/>
      </c>
      <c r="W179" s="547">
        <f ca="1">IF($Y179&gt;0,CHOOSE(MATCH(RegimeExecucao,{"Unitário","Global"},0),IF($A179="S",$Y179/$X179,""),($Y179/$X179)*100),0)</f>
        <v>0</v>
      </c>
      <c r="X179" s="384" t="str">
        <f ca="1">IF($Y179&gt;0,CHOOSE(MATCH(RegimeExecucao,{"Unitário","Global"},0),IF($A179="S",ROUND($H179,ORÇAMENTO!$AF$10),""),ROUND($I179,ORÇAMENTO!$AF$11)),"")</f>
        <v/>
      </c>
      <c r="Y179" s="384">
        <f t="shared" ca="1" si="28"/>
        <v>0</v>
      </c>
      <c r="Z179" s="572"/>
      <c r="AB179" s="382"/>
      <c r="AC179" s="516"/>
      <c r="AD179" s="516"/>
      <c r="AE179" s="516"/>
      <c r="AF179" s="516"/>
      <c r="AG179" s="516"/>
      <c r="AH179" s="516"/>
      <c r="AI179" s="516"/>
      <c r="AJ179" s="516"/>
      <c r="AK179" s="516"/>
      <c r="AL179" s="516"/>
      <c r="AM179" s="383"/>
      <c r="AO179">
        <f ca="1">IF($A179="S",IF(BM!$I179=0,0,CHOOSE(MATCH(RegimeExecucao,{"Global","Unitário"},0),ROUND(ROUND(BM.MEDAcumulado,15-13*BM!$A$9)/100*BM!$I179,15-13*ORÇAMENTO!$AF$11),ROUND(ROUND(BM.MEDAcumulado,15-13*BM!$A$9)*ROUND(BM!$H179,15-13*ORÇAMENTO!$AF$10),15-13*ORÇAMENTO!$AF$11))),IF($A179=0,0,ROUND(SomaAgrupBM,15-13*ORÇAMENTO!$AF$11)))</f>
        <v>0</v>
      </c>
    </row>
    <row r="180" spans="1:41" ht="25.5" x14ac:dyDescent="0.2">
      <c r="A180" t="str">
        <f ca="1">ORÇAMENTO!C180</f>
        <v>S</v>
      </c>
      <c r="B180">
        <f ca="1">ORÇAMENTO!D180</f>
        <v>0</v>
      </c>
      <c r="C180" s="116" t="str">
        <f t="shared" ca="1" si="22"/>
        <v/>
      </c>
      <c r="D180" s="119" t="str">
        <f ca="1">ORÇAMENTO!O180</f>
        <v>-</v>
      </c>
      <c r="E180" s="172" t="str">
        <f t="shared" ca="1" si="23"/>
        <v>(abra o arquivo 'Referência 06-2024.xlsm)</v>
      </c>
      <c r="F180" s="173" t="str">
        <f ca="1">IF(RegimeExecucao="Global","",ORÇAMENTO.Unidade)</f>
        <v/>
      </c>
      <c r="G180" s="124" t="str">
        <f ca="1">IF(RegimeExecucao="Global","",ORÇAMENTO!T180)</f>
        <v/>
      </c>
      <c r="H180" s="124" t="str">
        <f ca="1">IF(RegimeExecucao="Global","",ORÇAMENTO!W180)</f>
        <v/>
      </c>
      <c r="I180" s="127">
        <f ca="1">ORÇAMENTO!X180</f>
        <v>0</v>
      </c>
      <c r="J180" s="378">
        <f ca="1">IF($A180="S",IF(CAIXA.Modo,BM.AFAnterior,BM.MEDAnterior),IF(AND(RegimeExecucao="Global",$I180&gt;0,COUNTIF($AB$13:$AM$13,BM.medicao-1)&gt;0),M180/$I180*100,0))</f>
        <v>0</v>
      </c>
      <c r="K180" s="124">
        <f t="shared" ca="1" si="24"/>
        <v>0</v>
      </c>
      <c r="L180" s="379">
        <f ca="1">IF($A180="S",IF(CAIXA.Modo,BM.AFAcumulado,BM.MEDAcumulado),IF(AND(RegimeExecucao="Global",$I180&gt;0,COUNTIF($AB$13:$AM$13,BM.medicao)&gt;0),O180/$I180*100,0))</f>
        <v>0</v>
      </c>
      <c r="M180" s="380">
        <f ca="1">IF($A180="S",VTOTALBM,IF($A180=0,0,ROUND(SomaAgrupBM,15-13*ORÇAMENTO!$AF$11)))</f>
        <v>0</v>
      </c>
      <c r="N180" s="381">
        <f t="shared" ca="1" si="25"/>
        <v>0</v>
      </c>
      <c r="O180" s="127">
        <f ca="1">IF($A180="S",VTOTALBM,IF($A180=0,0,ROUND(SomaAgrupBM,15-13*ORÇAMENTO!$AF$11)))</f>
        <v>0</v>
      </c>
      <c r="Q180" s="382"/>
      <c r="R180" s="383"/>
      <c r="T180" s="119" t="str">
        <f t="shared" ca="1" si="26"/>
        <v/>
      </c>
      <c r="U180" s="172" t="str">
        <f t="shared" ca="1" si="27"/>
        <v/>
      </c>
      <c r="V180" s="173" t="str">
        <f ca="1">IF(AND($W180&gt;0,RegimeExecucao="Unitário"),$F180,"")</f>
        <v/>
      </c>
      <c r="W180" s="547">
        <f ca="1">IF($Y180&gt;0,CHOOSE(MATCH(RegimeExecucao,{"Unitário","Global"},0),IF($A180="S",$Y180/$X180,""),($Y180/$X180)*100),0)</f>
        <v>0</v>
      </c>
      <c r="X180" s="384" t="str">
        <f ca="1">IF($Y180&gt;0,CHOOSE(MATCH(RegimeExecucao,{"Unitário","Global"},0),IF($A180="S",ROUND($H180,ORÇAMENTO!$AF$10),""),ROUND($I180,ORÇAMENTO!$AF$11)),"")</f>
        <v/>
      </c>
      <c r="Y180" s="384">
        <f t="shared" ca="1" si="28"/>
        <v>0</v>
      </c>
      <c r="Z180" s="572"/>
      <c r="AB180" s="382"/>
      <c r="AC180" s="516"/>
      <c r="AD180" s="516"/>
      <c r="AE180" s="516"/>
      <c r="AF180" s="516"/>
      <c r="AG180" s="516"/>
      <c r="AH180" s="516"/>
      <c r="AI180" s="516"/>
      <c r="AJ180" s="516"/>
      <c r="AK180" s="516"/>
      <c r="AL180" s="516"/>
      <c r="AM180" s="383"/>
      <c r="AO180">
        <f ca="1">IF($A180="S",IF(BM!$I180=0,0,CHOOSE(MATCH(RegimeExecucao,{"Global","Unitário"},0),ROUND(ROUND(BM.MEDAcumulado,15-13*BM!$A$9)/100*BM!$I180,15-13*ORÇAMENTO!$AF$11),ROUND(ROUND(BM.MEDAcumulado,15-13*BM!$A$9)*ROUND(BM!$H180,15-13*ORÇAMENTO!$AF$10),15-13*ORÇAMENTO!$AF$11))),IF($A180=0,0,ROUND(SomaAgrupBM,15-13*ORÇAMENTO!$AF$11)))</f>
        <v>0</v>
      </c>
    </row>
    <row r="181" spans="1:41" ht="51" x14ac:dyDescent="0.2">
      <c r="A181" t="str">
        <f ca="1">ORÇAMENTO!C181</f>
        <v>S</v>
      </c>
      <c r="B181">
        <f ca="1">ORÇAMENTO!D181</f>
        <v>0</v>
      </c>
      <c r="C181" s="116" t="str">
        <f t="shared" ca="1" si="22"/>
        <v/>
      </c>
      <c r="D181" s="119" t="str">
        <f ca="1">ORÇAMENTO!O181</f>
        <v>-</v>
      </c>
      <c r="E181" s="172" t="str">
        <f t="shared" ca="1" si="23"/>
        <v>(abra o arquivo 'Referência 06-2024.xlsm)</v>
      </c>
      <c r="F181" s="173" t="str">
        <f ca="1">IF(RegimeExecucao="Global","",ORÇAMENTO.Unidade)</f>
        <v/>
      </c>
      <c r="G181" s="124" t="str">
        <f ca="1">IF(RegimeExecucao="Global","",ORÇAMENTO!T181)</f>
        <v/>
      </c>
      <c r="H181" s="124" t="str">
        <f ca="1">IF(RegimeExecucao="Global","",ORÇAMENTO!W181)</f>
        <v/>
      </c>
      <c r="I181" s="127">
        <f ca="1">ORÇAMENTO!X181</f>
        <v>0</v>
      </c>
      <c r="J181" s="378">
        <f ca="1">IF($A181="S",IF(CAIXA.Modo,BM.AFAnterior,BM.MEDAnterior),IF(AND(RegimeExecucao="Global",$I181&gt;0,COUNTIF($AB$13:$AM$13,BM.medicao-1)&gt;0),M181/$I181*100,0))</f>
        <v>0</v>
      </c>
      <c r="K181" s="124">
        <f t="shared" ca="1" si="24"/>
        <v>0</v>
      </c>
      <c r="L181" s="379">
        <f ca="1">IF($A181="S",IF(CAIXA.Modo,BM.AFAcumulado,BM.MEDAcumulado),IF(AND(RegimeExecucao="Global",$I181&gt;0,COUNTIF($AB$13:$AM$13,BM.medicao)&gt;0),O181/$I181*100,0))</f>
        <v>0</v>
      </c>
      <c r="M181" s="380">
        <f ca="1">IF($A181="S",VTOTALBM,IF($A181=0,0,ROUND(SomaAgrupBM,15-13*ORÇAMENTO!$AF$11)))</f>
        <v>0</v>
      </c>
      <c r="N181" s="381">
        <f t="shared" ca="1" si="25"/>
        <v>0</v>
      </c>
      <c r="O181" s="127">
        <f ca="1">IF($A181="S",VTOTALBM,IF($A181=0,0,ROUND(SomaAgrupBM,15-13*ORÇAMENTO!$AF$11)))</f>
        <v>0</v>
      </c>
      <c r="Q181" s="382"/>
      <c r="R181" s="383"/>
      <c r="T181" s="119" t="str">
        <f t="shared" ca="1" si="26"/>
        <v/>
      </c>
      <c r="U181" s="172" t="str">
        <f t="shared" ca="1" si="27"/>
        <v/>
      </c>
      <c r="V181" s="173" t="str">
        <f ca="1">IF(AND($W181&gt;0,RegimeExecucao="Unitário"),$F181,"")</f>
        <v/>
      </c>
      <c r="W181" s="547">
        <f ca="1">IF($Y181&gt;0,CHOOSE(MATCH(RegimeExecucao,{"Unitário","Global"},0),IF($A181="S",$Y181/$X181,""),($Y181/$X181)*100),0)</f>
        <v>0</v>
      </c>
      <c r="X181" s="384" t="str">
        <f ca="1">IF($Y181&gt;0,CHOOSE(MATCH(RegimeExecucao,{"Unitário","Global"},0),IF($A181="S",ROUND($H181,ORÇAMENTO!$AF$10),""),ROUND($I181,ORÇAMENTO!$AF$11)),"")</f>
        <v/>
      </c>
      <c r="Y181" s="384">
        <f t="shared" ca="1" si="28"/>
        <v>0</v>
      </c>
      <c r="Z181" s="572"/>
      <c r="AB181" s="382"/>
      <c r="AC181" s="516"/>
      <c r="AD181" s="516"/>
      <c r="AE181" s="516"/>
      <c r="AF181" s="516"/>
      <c r="AG181" s="516"/>
      <c r="AH181" s="516"/>
      <c r="AI181" s="516"/>
      <c r="AJ181" s="516"/>
      <c r="AK181" s="516"/>
      <c r="AL181" s="516"/>
      <c r="AM181" s="383"/>
      <c r="AO181">
        <f ca="1">IF($A181="S",IF(BM!$I181=0,0,CHOOSE(MATCH(RegimeExecucao,{"Global","Unitário"},0),ROUND(ROUND(BM.MEDAcumulado,15-13*BM!$A$9)/100*BM!$I181,15-13*ORÇAMENTO!$AF$11),ROUND(ROUND(BM.MEDAcumulado,15-13*BM!$A$9)*ROUND(BM!$H181,15-13*ORÇAMENTO!$AF$10),15-13*ORÇAMENTO!$AF$11))),IF($A181=0,0,ROUND(SomaAgrupBM,15-13*ORÇAMENTO!$AF$11)))</f>
        <v>0</v>
      </c>
    </row>
    <row r="182" spans="1:41" ht="25.5" x14ac:dyDescent="0.2">
      <c r="A182" t="str">
        <f ca="1">ORÇAMENTO!C182</f>
        <v>S</v>
      </c>
      <c r="B182">
        <f ca="1">ORÇAMENTO!D182</f>
        <v>0</v>
      </c>
      <c r="C182" s="116" t="str">
        <f t="shared" ca="1" si="22"/>
        <v/>
      </c>
      <c r="D182" s="119" t="str">
        <f ca="1">ORÇAMENTO!O182</f>
        <v>-</v>
      </c>
      <c r="E182" s="172" t="str">
        <f t="shared" ca="1" si="23"/>
        <v>(abra o arquivo 'Referência 06-2024.xlsm)</v>
      </c>
      <c r="F182" s="173" t="str">
        <f ca="1">IF(RegimeExecucao="Global","",ORÇAMENTO.Unidade)</f>
        <v/>
      </c>
      <c r="G182" s="124" t="str">
        <f ca="1">IF(RegimeExecucao="Global","",ORÇAMENTO!T182)</f>
        <v/>
      </c>
      <c r="H182" s="124" t="str">
        <f ca="1">IF(RegimeExecucao="Global","",ORÇAMENTO!W182)</f>
        <v/>
      </c>
      <c r="I182" s="127">
        <f ca="1">ORÇAMENTO!X182</f>
        <v>0</v>
      </c>
      <c r="J182" s="378">
        <f ca="1">IF($A182="S",IF(CAIXA.Modo,BM.AFAnterior,BM.MEDAnterior),IF(AND(RegimeExecucao="Global",$I182&gt;0,COUNTIF($AB$13:$AM$13,BM.medicao-1)&gt;0),M182/$I182*100,0))</f>
        <v>0</v>
      </c>
      <c r="K182" s="124">
        <f t="shared" ca="1" si="24"/>
        <v>0</v>
      </c>
      <c r="L182" s="379">
        <f ca="1">IF($A182="S",IF(CAIXA.Modo,BM.AFAcumulado,BM.MEDAcumulado),IF(AND(RegimeExecucao="Global",$I182&gt;0,COUNTIF($AB$13:$AM$13,BM.medicao)&gt;0),O182/$I182*100,0))</f>
        <v>0</v>
      </c>
      <c r="M182" s="380">
        <f ca="1">IF($A182="S",VTOTALBM,IF($A182=0,0,ROUND(SomaAgrupBM,15-13*ORÇAMENTO!$AF$11)))</f>
        <v>0</v>
      </c>
      <c r="N182" s="381">
        <f t="shared" ca="1" si="25"/>
        <v>0</v>
      </c>
      <c r="O182" s="127">
        <f ca="1">IF($A182="S",VTOTALBM,IF($A182=0,0,ROUND(SomaAgrupBM,15-13*ORÇAMENTO!$AF$11)))</f>
        <v>0</v>
      </c>
      <c r="Q182" s="382"/>
      <c r="R182" s="383"/>
      <c r="T182" s="119" t="str">
        <f t="shared" ca="1" si="26"/>
        <v/>
      </c>
      <c r="U182" s="172" t="str">
        <f t="shared" ca="1" si="27"/>
        <v/>
      </c>
      <c r="V182" s="173" t="str">
        <f ca="1">IF(AND($W182&gt;0,RegimeExecucao="Unitário"),$F182,"")</f>
        <v/>
      </c>
      <c r="W182" s="547">
        <f ca="1">IF($Y182&gt;0,CHOOSE(MATCH(RegimeExecucao,{"Unitário","Global"},0),IF($A182="S",$Y182/$X182,""),($Y182/$X182)*100),0)</f>
        <v>0</v>
      </c>
      <c r="X182" s="384" t="str">
        <f ca="1">IF($Y182&gt;0,CHOOSE(MATCH(RegimeExecucao,{"Unitário","Global"},0),IF($A182="S",ROUND($H182,ORÇAMENTO!$AF$10),""),ROUND($I182,ORÇAMENTO!$AF$11)),"")</f>
        <v/>
      </c>
      <c r="Y182" s="384">
        <f t="shared" ca="1" si="28"/>
        <v>0</v>
      </c>
      <c r="Z182" s="572"/>
      <c r="AB182" s="382"/>
      <c r="AC182" s="516"/>
      <c r="AD182" s="516"/>
      <c r="AE182" s="516"/>
      <c r="AF182" s="516"/>
      <c r="AG182" s="516"/>
      <c r="AH182" s="516"/>
      <c r="AI182" s="516"/>
      <c r="AJ182" s="516"/>
      <c r="AK182" s="516"/>
      <c r="AL182" s="516"/>
      <c r="AM182" s="383"/>
      <c r="AO182">
        <f ca="1">IF($A182="S",IF(BM!$I182=0,0,CHOOSE(MATCH(RegimeExecucao,{"Global","Unitário"},0),ROUND(ROUND(BM.MEDAcumulado,15-13*BM!$A$9)/100*BM!$I182,15-13*ORÇAMENTO!$AF$11),ROUND(ROUND(BM.MEDAcumulado,15-13*BM!$A$9)*ROUND(BM!$H182,15-13*ORÇAMENTO!$AF$10),15-13*ORÇAMENTO!$AF$11))),IF($A182=0,0,ROUND(SomaAgrupBM,15-13*ORÇAMENTO!$AF$11)))</f>
        <v>0</v>
      </c>
    </row>
    <row r="183" spans="1:41" x14ac:dyDescent="0.2">
      <c r="A183" t="str">
        <f ca="1">ORÇAMENTO!C183</f>
        <v>S</v>
      </c>
      <c r="B183">
        <f ca="1">ORÇAMENTO!D183</f>
        <v>0</v>
      </c>
      <c r="C183" s="116" t="str">
        <f t="shared" ca="1" si="22"/>
        <v/>
      </c>
      <c r="D183" s="119" t="str">
        <f ca="1">ORÇAMENTO!O183</f>
        <v>-</v>
      </c>
      <c r="E183" s="172" t="str">
        <f t="shared" ca="1" si="23"/>
        <v>(abra o arquivo 'Referência 06-2024.xlsm)</v>
      </c>
      <c r="F183" s="173" t="str">
        <f ca="1">IF(RegimeExecucao="Global","",ORÇAMENTO.Unidade)</f>
        <v/>
      </c>
      <c r="G183" s="124" t="str">
        <f ca="1">IF(RegimeExecucao="Global","",ORÇAMENTO!T183)</f>
        <v/>
      </c>
      <c r="H183" s="124" t="str">
        <f ca="1">IF(RegimeExecucao="Global","",ORÇAMENTO!W183)</f>
        <v/>
      </c>
      <c r="I183" s="127">
        <f ca="1">ORÇAMENTO!X183</f>
        <v>0</v>
      </c>
      <c r="J183" s="378">
        <f ca="1">IF($A183="S",IF(CAIXA.Modo,BM.AFAnterior,BM.MEDAnterior),IF(AND(RegimeExecucao="Global",$I183&gt;0,COUNTIF($AB$13:$AM$13,BM.medicao-1)&gt;0),M183/$I183*100,0))</f>
        <v>0</v>
      </c>
      <c r="K183" s="124">
        <f t="shared" ca="1" si="24"/>
        <v>0</v>
      </c>
      <c r="L183" s="379">
        <f ca="1">IF($A183="S",IF(CAIXA.Modo,BM.AFAcumulado,BM.MEDAcumulado),IF(AND(RegimeExecucao="Global",$I183&gt;0,COUNTIF($AB$13:$AM$13,BM.medicao)&gt;0),O183/$I183*100,0))</f>
        <v>0</v>
      </c>
      <c r="M183" s="380">
        <f ca="1">IF($A183="S",VTOTALBM,IF($A183=0,0,ROUND(SomaAgrupBM,15-13*ORÇAMENTO!$AF$11)))</f>
        <v>0</v>
      </c>
      <c r="N183" s="381">
        <f t="shared" ca="1" si="25"/>
        <v>0</v>
      </c>
      <c r="O183" s="127">
        <f ca="1">IF($A183="S",VTOTALBM,IF($A183=0,0,ROUND(SomaAgrupBM,15-13*ORÇAMENTO!$AF$11)))</f>
        <v>0</v>
      </c>
      <c r="Q183" s="382"/>
      <c r="R183" s="383"/>
      <c r="T183" s="119" t="str">
        <f t="shared" ca="1" si="26"/>
        <v/>
      </c>
      <c r="U183" s="172" t="str">
        <f t="shared" ca="1" si="27"/>
        <v/>
      </c>
      <c r="V183" s="173" t="str">
        <f ca="1">IF(AND($W183&gt;0,RegimeExecucao="Unitário"),$F183,"")</f>
        <v/>
      </c>
      <c r="W183" s="547">
        <f ca="1">IF($Y183&gt;0,CHOOSE(MATCH(RegimeExecucao,{"Unitário","Global"},0),IF($A183="S",$Y183/$X183,""),($Y183/$X183)*100),0)</f>
        <v>0</v>
      </c>
      <c r="X183" s="384" t="str">
        <f ca="1">IF($Y183&gt;0,CHOOSE(MATCH(RegimeExecucao,{"Unitário","Global"},0),IF($A183="S",ROUND($H183,ORÇAMENTO!$AF$10),""),ROUND($I183,ORÇAMENTO!$AF$11)),"")</f>
        <v/>
      </c>
      <c r="Y183" s="384">
        <f t="shared" ca="1" si="28"/>
        <v>0</v>
      </c>
      <c r="Z183" s="572"/>
      <c r="AB183" s="382"/>
      <c r="AC183" s="516"/>
      <c r="AD183" s="516"/>
      <c r="AE183" s="516"/>
      <c r="AF183" s="516"/>
      <c r="AG183" s="516"/>
      <c r="AH183" s="516"/>
      <c r="AI183" s="516"/>
      <c r="AJ183" s="516"/>
      <c r="AK183" s="516"/>
      <c r="AL183" s="516"/>
      <c r="AM183" s="383"/>
      <c r="AO183">
        <f ca="1">IF($A183="S",IF(BM!$I183=0,0,CHOOSE(MATCH(RegimeExecucao,{"Global","Unitário"},0),ROUND(ROUND(BM.MEDAcumulado,15-13*BM!$A$9)/100*BM!$I183,15-13*ORÇAMENTO!$AF$11),ROUND(ROUND(BM.MEDAcumulado,15-13*BM!$A$9)*ROUND(BM!$H183,15-13*ORÇAMENTO!$AF$10),15-13*ORÇAMENTO!$AF$11))),IF($A183=0,0,ROUND(SomaAgrupBM,15-13*ORÇAMENTO!$AF$11)))</f>
        <v>0</v>
      </c>
    </row>
    <row r="184" spans="1:41" x14ac:dyDescent="0.2">
      <c r="A184">
        <f ca="1">ORÇAMENTO!C184</f>
        <v>2</v>
      </c>
      <c r="B184">
        <f ca="1">ORÇAMENTO!D184</f>
        <v>15</v>
      </c>
      <c r="C184" s="116" t="str">
        <f t="shared" ca="1" si="22"/>
        <v>F</v>
      </c>
      <c r="D184" s="119" t="str">
        <f ca="1">ORÇAMENTO!O184</f>
        <v>1.26.</v>
      </c>
      <c r="E184" s="172" t="str">
        <f t="shared" si="23"/>
        <v>REVESTIMENTOS INTERNO E EXTERNO - EDIFICAÇÃO</v>
      </c>
      <c r="F184" s="173" t="str">
        <f ca="1">IF(RegimeExecucao="Global","",ORÇAMENTO.Unidade)</f>
        <v/>
      </c>
      <c r="G184" s="124" t="str">
        <f ca="1">IF(RegimeExecucao="Global","",ORÇAMENTO!T184)</f>
        <v/>
      </c>
      <c r="H184" s="124" t="str">
        <f ca="1">IF(RegimeExecucao="Global","",ORÇAMENTO!W184)</f>
        <v/>
      </c>
      <c r="I184" s="127">
        <f ca="1">ORÇAMENTO!X184</f>
        <v>0</v>
      </c>
      <c r="J184" s="378">
        <f ca="1">IF($A184="S",IF(CAIXA.Modo,BM.AFAnterior,BM.MEDAnterior),IF(AND(RegimeExecucao="Global",$I184&gt;0,COUNTIF($AB$13:$AM$13,BM.medicao-1)&gt;0),M184/$I184*100,0))</f>
        <v>0</v>
      </c>
      <c r="K184" s="124">
        <f t="shared" ca="1" si="24"/>
        <v>0</v>
      </c>
      <c r="L184" s="379">
        <f ca="1">IF($A184="S",IF(CAIXA.Modo,BM.AFAcumulado,BM.MEDAcumulado),IF(AND(RegimeExecucao="Global",$I184&gt;0,COUNTIF($AB$13:$AM$13,BM.medicao)&gt;0),O184/$I184*100,0))</f>
        <v>0</v>
      </c>
      <c r="M184" s="380">
        <f ca="1">IF($A184="S",VTOTALBM,IF($A184=0,0,ROUND(SomaAgrupBM,15-13*ORÇAMENTO!$AF$11)))</f>
        <v>0</v>
      </c>
      <c r="N184" s="381">
        <f t="shared" ca="1" si="25"/>
        <v>0</v>
      </c>
      <c r="O184" s="127">
        <f ca="1">IF($A184="S",VTOTALBM,IF($A184=0,0,ROUND(SomaAgrupBM,15-13*ORÇAMENTO!$AF$11)))</f>
        <v>0</v>
      </c>
      <c r="Q184" s="382"/>
      <c r="R184" s="383"/>
      <c r="T184" s="119" t="str">
        <f t="shared" ca="1" si="26"/>
        <v/>
      </c>
      <c r="U184" s="172" t="str">
        <f t="shared" ca="1" si="27"/>
        <v/>
      </c>
      <c r="V184" s="173" t="str">
        <f ca="1">IF(AND($W184&gt;0,RegimeExecucao="Unitário"),$F184,"")</f>
        <v/>
      </c>
      <c r="W184" s="547">
        <f ca="1">IF($Y184&gt;0,CHOOSE(MATCH(RegimeExecucao,{"Unitário","Global"},0),IF($A184="S",$Y184/$X184,""),($Y184/$X184)*100),0)</f>
        <v>0</v>
      </c>
      <c r="X184" s="384" t="str">
        <f ca="1">IF($Y184&gt;0,CHOOSE(MATCH(RegimeExecucao,{"Unitário","Global"},0),IF($A184="S",ROUND($H184,ORÇAMENTO!$AF$10),""),ROUND($I184,ORÇAMENTO!$AF$11)),"")</f>
        <v/>
      </c>
      <c r="Y184" s="384">
        <f t="shared" ca="1" si="28"/>
        <v>0</v>
      </c>
      <c r="Z184" s="572"/>
      <c r="AB184" s="382"/>
      <c r="AC184" s="516"/>
      <c r="AD184" s="516"/>
      <c r="AE184" s="516"/>
      <c r="AF184" s="516"/>
      <c r="AG184" s="516"/>
      <c r="AH184" s="516"/>
      <c r="AI184" s="516"/>
      <c r="AJ184" s="516"/>
      <c r="AK184" s="516"/>
      <c r="AL184" s="516"/>
      <c r="AM184" s="383"/>
      <c r="AO184">
        <f ca="1">IF($A184="S",IF(BM!$I184=0,0,CHOOSE(MATCH(RegimeExecucao,{"Global","Unitário"},0),ROUND(ROUND(BM.MEDAcumulado,15-13*BM!$A$9)/100*BM!$I184,15-13*ORÇAMENTO!$AF$11),ROUND(ROUND(BM.MEDAcumulado,15-13*BM!$A$9)*ROUND(BM!$H184,15-13*ORÇAMENTO!$AF$10),15-13*ORÇAMENTO!$AF$11))),IF($A184=0,0,ROUND(SomaAgrupBM,15-13*ORÇAMENTO!$AF$11)))</f>
        <v>0</v>
      </c>
    </row>
    <row r="185" spans="1:41" ht="38.25" x14ac:dyDescent="0.2">
      <c r="A185" t="str">
        <f ca="1">ORÇAMENTO!C185</f>
        <v>S</v>
      </c>
      <c r="B185">
        <f ca="1">ORÇAMENTO!D185</f>
        <v>0</v>
      </c>
      <c r="C185" s="116" t="str">
        <f t="shared" ca="1" si="22"/>
        <v/>
      </c>
      <c r="D185" s="119" t="str">
        <f ca="1">ORÇAMENTO!O185</f>
        <v>-</v>
      </c>
      <c r="E185" s="172" t="str">
        <f t="shared" ca="1" si="23"/>
        <v>(abra o arquivo 'Referência 06-2024.xlsm)</v>
      </c>
      <c r="F185" s="173" t="str">
        <f ca="1">IF(RegimeExecucao="Global","",ORÇAMENTO.Unidade)</f>
        <v/>
      </c>
      <c r="G185" s="124" t="str">
        <f ca="1">IF(RegimeExecucao="Global","",ORÇAMENTO!T185)</f>
        <v/>
      </c>
      <c r="H185" s="124" t="str">
        <f ca="1">IF(RegimeExecucao="Global","",ORÇAMENTO!W185)</f>
        <v/>
      </c>
      <c r="I185" s="127">
        <f ca="1">ORÇAMENTO!X185</f>
        <v>0</v>
      </c>
      <c r="J185" s="378">
        <f ca="1">IF($A185="S",IF(CAIXA.Modo,BM.AFAnterior,BM.MEDAnterior),IF(AND(RegimeExecucao="Global",$I185&gt;0,COUNTIF($AB$13:$AM$13,BM.medicao-1)&gt;0),M185/$I185*100,0))</f>
        <v>0</v>
      </c>
      <c r="K185" s="124">
        <f t="shared" ca="1" si="24"/>
        <v>0</v>
      </c>
      <c r="L185" s="379">
        <f ca="1">IF($A185="S",IF(CAIXA.Modo,BM.AFAcumulado,BM.MEDAcumulado),IF(AND(RegimeExecucao="Global",$I185&gt;0,COUNTIF($AB$13:$AM$13,BM.medicao)&gt;0),O185/$I185*100,0))</f>
        <v>0</v>
      </c>
      <c r="M185" s="380">
        <f ca="1">IF($A185="S",VTOTALBM,IF($A185=0,0,ROUND(SomaAgrupBM,15-13*ORÇAMENTO!$AF$11)))</f>
        <v>0</v>
      </c>
      <c r="N185" s="381">
        <f t="shared" ca="1" si="25"/>
        <v>0</v>
      </c>
      <c r="O185" s="127">
        <f ca="1">IF($A185="S",VTOTALBM,IF($A185=0,0,ROUND(SomaAgrupBM,15-13*ORÇAMENTO!$AF$11)))</f>
        <v>0</v>
      </c>
      <c r="Q185" s="382"/>
      <c r="R185" s="383"/>
      <c r="T185" s="119" t="str">
        <f t="shared" ca="1" si="26"/>
        <v/>
      </c>
      <c r="U185" s="172" t="str">
        <f t="shared" ca="1" si="27"/>
        <v/>
      </c>
      <c r="V185" s="173" t="str">
        <f ca="1">IF(AND($W185&gt;0,RegimeExecucao="Unitário"),$F185,"")</f>
        <v/>
      </c>
      <c r="W185" s="547">
        <f ca="1">IF($Y185&gt;0,CHOOSE(MATCH(RegimeExecucao,{"Unitário","Global"},0),IF($A185="S",$Y185/$X185,""),($Y185/$X185)*100),0)</f>
        <v>0</v>
      </c>
      <c r="X185" s="384" t="str">
        <f ca="1">IF($Y185&gt;0,CHOOSE(MATCH(RegimeExecucao,{"Unitário","Global"},0),IF($A185="S",ROUND($H185,ORÇAMENTO!$AF$10),""),ROUND($I185,ORÇAMENTO!$AF$11)),"")</f>
        <v/>
      </c>
      <c r="Y185" s="384">
        <f t="shared" ca="1" si="28"/>
        <v>0</v>
      </c>
      <c r="Z185" s="572"/>
      <c r="AB185" s="382"/>
      <c r="AC185" s="516"/>
      <c r="AD185" s="516"/>
      <c r="AE185" s="516"/>
      <c r="AF185" s="516"/>
      <c r="AG185" s="516"/>
      <c r="AH185" s="516"/>
      <c r="AI185" s="516"/>
      <c r="AJ185" s="516"/>
      <c r="AK185" s="516"/>
      <c r="AL185" s="516"/>
      <c r="AM185" s="383"/>
      <c r="AO185">
        <f ca="1">IF($A185="S",IF(BM!$I185=0,0,CHOOSE(MATCH(RegimeExecucao,{"Global","Unitário"},0),ROUND(ROUND(BM.MEDAcumulado,15-13*BM!$A$9)/100*BM!$I185,15-13*ORÇAMENTO!$AF$11),ROUND(ROUND(BM.MEDAcumulado,15-13*BM!$A$9)*ROUND(BM!$H185,15-13*ORÇAMENTO!$AF$10),15-13*ORÇAMENTO!$AF$11))),IF($A185=0,0,ROUND(SomaAgrupBM,15-13*ORÇAMENTO!$AF$11)))</f>
        <v>0</v>
      </c>
    </row>
    <row r="186" spans="1:41" ht="38.25" x14ac:dyDescent="0.2">
      <c r="A186" t="str">
        <f ca="1">ORÇAMENTO!C186</f>
        <v>S</v>
      </c>
      <c r="B186">
        <f ca="1">ORÇAMENTO!D186</f>
        <v>0</v>
      </c>
      <c r="C186" s="116" t="str">
        <f t="shared" ca="1" si="22"/>
        <v/>
      </c>
      <c r="D186" s="119" t="str">
        <f ca="1">ORÇAMENTO!O186</f>
        <v>-</v>
      </c>
      <c r="E186" s="172" t="str">
        <f t="shared" ca="1" si="23"/>
        <v>(abra o arquivo 'Referência 06-2024.xlsm)</v>
      </c>
      <c r="F186" s="173" t="str">
        <f ca="1">IF(RegimeExecucao="Global","",ORÇAMENTO.Unidade)</f>
        <v/>
      </c>
      <c r="G186" s="124" t="str">
        <f ca="1">IF(RegimeExecucao="Global","",ORÇAMENTO!T186)</f>
        <v/>
      </c>
      <c r="H186" s="124" t="str">
        <f ca="1">IF(RegimeExecucao="Global","",ORÇAMENTO!W186)</f>
        <v/>
      </c>
      <c r="I186" s="127">
        <f ca="1">ORÇAMENTO!X186</f>
        <v>0</v>
      </c>
      <c r="J186" s="378">
        <f ca="1">IF($A186="S",IF(CAIXA.Modo,BM.AFAnterior,BM.MEDAnterior),IF(AND(RegimeExecucao="Global",$I186&gt;0,COUNTIF($AB$13:$AM$13,BM.medicao-1)&gt;0),M186/$I186*100,0))</f>
        <v>0</v>
      </c>
      <c r="K186" s="124">
        <f t="shared" ca="1" si="24"/>
        <v>0</v>
      </c>
      <c r="L186" s="379">
        <f ca="1">IF($A186="S",IF(CAIXA.Modo,BM.AFAcumulado,BM.MEDAcumulado),IF(AND(RegimeExecucao="Global",$I186&gt;0,COUNTIF($AB$13:$AM$13,BM.medicao)&gt;0),O186/$I186*100,0))</f>
        <v>0</v>
      </c>
      <c r="M186" s="380">
        <f ca="1">IF($A186="S",VTOTALBM,IF($A186=0,0,ROUND(SomaAgrupBM,15-13*ORÇAMENTO!$AF$11)))</f>
        <v>0</v>
      </c>
      <c r="N186" s="381">
        <f t="shared" ca="1" si="25"/>
        <v>0</v>
      </c>
      <c r="O186" s="127">
        <f ca="1">IF($A186="S",VTOTALBM,IF($A186=0,0,ROUND(SomaAgrupBM,15-13*ORÇAMENTO!$AF$11)))</f>
        <v>0</v>
      </c>
      <c r="Q186" s="382"/>
      <c r="R186" s="383"/>
      <c r="T186" s="119" t="str">
        <f t="shared" ca="1" si="26"/>
        <v/>
      </c>
      <c r="U186" s="172" t="str">
        <f t="shared" ca="1" si="27"/>
        <v/>
      </c>
      <c r="V186" s="173" t="str">
        <f ca="1">IF(AND($W186&gt;0,RegimeExecucao="Unitário"),$F186,"")</f>
        <v/>
      </c>
      <c r="W186" s="547">
        <f ca="1">IF($Y186&gt;0,CHOOSE(MATCH(RegimeExecucao,{"Unitário","Global"},0),IF($A186="S",$Y186/$X186,""),($Y186/$X186)*100),0)</f>
        <v>0</v>
      </c>
      <c r="X186" s="384" t="str">
        <f ca="1">IF($Y186&gt;0,CHOOSE(MATCH(RegimeExecucao,{"Unitário","Global"},0),IF($A186="S",ROUND($H186,ORÇAMENTO!$AF$10),""),ROUND($I186,ORÇAMENTO!$AF$11)),"")</f>
        <v/>
      </c>
      <c r="Y186" s="384">
        <f t="shared" ca="1" si="28"/>
        <v>0</v>
      </c>
      <c r="Z186" s="572"/>
      <c r="AB186" s="382"/>
      <c r="AC186" s="516"/>
      <c r="AD186" s="516"/>
      <c r="AE186" s="516"/>
      <c r="AF186" s="516"/>
      <c r="AG186" s="516"/>
      <c r="AH186" s="516"/>
      <c r="AI186" s="516"/>
      <c r="AJ186" s="516"/>
      <c r="AK186" s="516"/>
      <c r="AL186" s="516"/>
      <c r="AM186" s="383"/>
      <c r="AO186">
        <f ca="1">IF($A186="S",IF(BM!$I186=0,0,CHOOSE(MATCH(RegimeExecucao,{"Global","Unitário"},0),ROUND(ROUND(BM.MEDAcumulado,15-13*BM!$A$9)/100*BM!$I186,15-13*ORÇAMENTO!$AF$11),ROUND(ROUND(BM.MEDAcumulado,15-13*BM!$A$9)*ROUND(BM!$H186,15-13*ORÇAMENTO!$AF$10),15-13*ORÇAMENTO!$AF$11))),IF($A186=0,0,ROUND(SomaAgrupBM,15-13*ORÇAMENTO!$AF$11)))</f>
        <v>0</v>
      </c>
    </row>
    <row r="187" spans="1:41" ht="51" x14ac:dyDescent="0.2">
      <c r="A187" t="str">
        <f ca="1">ORÇAMENTO!C187</f>
        <v>S</v>
      </c>
      <c r="B187">
        <f ca="1">ORÇAMENTO!D187</f>
        <v>0</v>
      </c>
      <c r="C187" s="116" t="str">
        <f t="shared" ca="1" si="22"/>
        <v/>
      </c>
      <c r="D187" s="119" t="str">
        <f ca="1">ORÇAMENTO!O187</f>
        <v>-</v>
      </c>
      <c r="E187" s="172" t="str">
        <f t="shared" ca="1" si="23"/>
        <v>(abra o arquivo 'Referência 06-2024.xlsm)</v>
      </c>
      <c r="F187" s="173" t="str">
        <f ca="1">IF(RegimeExecucao="Global","",ORÇAMENTO.Unidade)</f>
        <v/>
      </c>
      <c r="G187" s="124" t="str">
        <f ca="1">IF(RegimeExecucao="Global","",ORÇAMENTO!T187)</f>
        <v/>
      </c>
      <c r="H187" s="124" t="str">
        <f ca="1">IF(RegimeExecucao="Global","",ORÇAMENTO!W187)</f>
        <v/>
      </c>
      <c r="I187" s="127">
        <f ca="1">ORÇAMENTO!X187</f>
        <v>0</v>
      </c>
      <c r="J187" s="378">
        <f ca="1">IF($A187="S",IF(CAIXA.Modo,BM.AFAnterior,BM.MEDAnterior),IF(AND(RegimeExecucao="Global",$I187&gt;0,COUNTIF($AB$13:$AM$13,BM.medicao-1)&gt;0),M187/$I187*100,0))</f>
        <v>0</v>
      </c>
      <c r="K187" s="124">
        <f t="shared" ca="1" si="24"/>
        <v>0</v>
      </c>
      <c r="L187" s="379">
        <f ca="1">IF($A187="S",IF(CAIXA.Modo,BM.AFAcumulado,BM.MEDAcumulado),IF(AND(RegimeExecucao="Global",$I187&gt;0,COUNTIF($AB$13:$AM$13,BM.medicao)&gt;0),O187/$I187*100,0))</f>
        <v>0</v>
      </c>
      <c r="M187" s="380">
        <f ca="1">IF($A187="S",VTOTALBM,IF($A187=0,0,ROUND(SomaAgrupBM,15-13*ORÇAMENTO!$AF$11)))</f>
        <v>0</v>
      </c>
      <c r="N187" s="381">
        <f t="shared" ca="1" si="25"/>
        <v>0</v>
      </c>
      <c r="O187" s="127">
        <f ca="1">IF($A187="S",VTOTALBM,IF($A187=0,0,ROUND(SomaAgrupBM,15-13*ORÇAMENTO!$AF$11)))</f>
        <v>0</v>
      </c>
      <c r="Q187" s="382"/>
      <c r="R187" s="383"/>
      <c r="T187" s="119" t="str">
        <f t="shared" ca="1" si="26"/>
        <v/>
      </c>
      <c r="U187" s="172" t="str">
        <f t="shared" ca="1" si="27"/>
        <v/>
      </c>
      <c r="V187" s="173" t="str">
        <f ca="1">IF(AND($W187&gt;0,RegimeExecucao="Unitário"),$F187,"")</f>
        <v/>
      </c>
      <c r="W187" s="547">
        <f ca="1">IF($Y187&gt;0,CHOOSE(MATCH(RegimeExecucao,{"Unitário","Global"},0),IF($A187="S",$Y187/$X187,""),($Y187/$X187)*100),0)</f>
        <v>0</v>
      </c>
      <c r="X187" s="384" t="str">
        <f ca="1">IF($Y187&gt;0,CHOOSE(MATCH(RegimeExecucao,{"Unitário","Global"},0),IF($A187="S",ROUND($H187,ORÇAMENTO!$AF$10),""),ROUND($I187,ORÇAMENTO!$AF$11)),"")</f>
        <v/>
      </c>
      <c r="Y187" s="384">
        <f t="shared" ca="1" si="28"/>
        <v>0</v>
      </c>
      <c r="Z187" s="572"/>
      <c r="AB187" s="382"/>
      <c r="AC187" s="516"/>
      <c r="AD187" s="516"/>
      <c r="AE187" s="516"/>
      <c r="AF187" s="516"/>
      <c r="AG187" s="516"/>
      <c r="AH187" s="516"/>
      <c r="AI187" s="516"/>
      <c r="AJ187" s="516"/>
      <c r="AK187" s="516"/>
      <c r="AL187" s="516"/>
      <c r="AM187" s="383"/>
      <c r="AO187">
        <f ca="1">IF($A187="S",IF(BM!$I187=0,0,CHOOSE(MATCH(RegimeExecucao,{"Global","Unitário"},0),ROUND(ROUND(BM.MEDAcumulado,15-13*BM!$A$9)/100*BM!$I187,15-13*ORÇAMENTO!$AF$11),ROUND(ROUND(BM.MEDAcumulado,15-13*BM!$A$9)*ROUND(BM!$H187,15-13*ORÇAMENTO!$AF$10),15-13*ORÇAMENTO!$AF$11))),IF($A187=0,0,ROUND(SomaAgrupBM,15-13*ORÇAMENTO!$AF$11)))</f>
        <v>0</v>
      </c>
    </row>
    <row r="188" spans="1:41" ht="51" x14ac:dyDescent="0.2">
      <c r="A188" t="str">
        <f ca="1">ORÇAMENTO!C188</f>
        <v>S</v>
      </c>
      <c r="B188">
        <f ca="1">ORÇAMENTO!D188</f>
        <v>0</v>
      </c>
      <c r="C188" s="116" t="str">
        <f t="shared" ca="1" si="22"/>
        <v/>
      </c>
      <c r="D188" s="119" t="str">
        <f ca="1">ORÇAMENTO!O188</f>
        <v>-</v>
      </c>
      <c r="E188" s="172" t="str">
        <f t="shared" ca="1" si="23"/>
        <v>(abra o arquivo 'Referência 06-2024.xlsm)</v>
      </c>
      <c r="F188" s="173" t="str">
        <f ca="1">IF(RegimeExecucao="Global","",ORÇAMENTO.Unidade)</f>
        <v/>
      </c>
      <c r="G188" s="124" t="str">
        <f ca="1">IF(RegimeExecucao="Global","",ORÇAMENTO!T188)</f>
        <v/>
      </c>
      <c r="H188" s="124" t="str">
        <f ca="1">IF(RegimeExecucao="Global","",ORÇAMENTO!W188)</f>
        <v/>
      </c>
      <c r="I188" s="127">
        <f ca="1">ORÇAMENTO!X188</f>
        <v>0</v>
      </c>
      <c r="J188" s="378">
        <f ca="1">IF($A188="S",IF(CAIXA.Modo,BM.AFAnterior,BM.MEDAnterior),IF(AND(RegimeExecucao="Global",$I188&gt;0,COUNTIF($AB$13:$AM$13,BM.medicao-1)&gt;0),M188/$I188*100,0))</f>
        <v>0</v>
      </c>
      <c r="K188" s="124">
        <f t="shared" ca="1" si="24"/>
        <v>0</v>
      </c>
      <c r="L188" s="379">
        <f ca="1">IF($A188="S",IF(CAIXA.Modo,BM.AFAcumulado,BM.MEDAcumulado),IF(AND(RegimeExecucao="Global",$I188&gt;0,COUNTIF($AB$13:$AM$13,BM.medicao)&gt;0),O188/$I188*100,0))</f>
        <v>0</v>
      </c>
      <c r="M188" s="380">
        <f ca="1">IF($A188="S",VTOTALBM,IF($A188=0,0,ROUND(SomaAgrupBM,15-13*ORÇAMENTO!$AF$11)))</f>
        <v>0</v>
      </c>
      <c r="N188" s="381">
        <f t="shared" ca="1" si="25"/>
        <v>0</v>
      </c>
      <c r="O188" s="127">
        <f ca="1">IF($A188="S",VTOTALBM,IF($A188=0,0,ROUND(SomaAgrupBM,15-13*ORÇAMENTO!$AF$11)))</f>
        <v>0</v>
      </c>
      <c r="Q188" s="382"/>
      <c r="R188" s="383"/>
      <c r="T188" s="119" t="str">
        <f t="shared" ca="1" si="26"/>
        <v/>
      </c>
      <c r="U188" s="172" t="str">
        <f t="shared" ca="1" si="27"/>
        <v/>
      </c>
      <c r="V188" s="173" t="str">
        <f ca="1">IF(AND($W188&gt;0,RegimeExecucao="Unitário"),$F188,"")</f>
        <v/>
      </c>
      <c r="W188" s="547">
        <f ca="1">IF($Y188&gt;0,CHOOSE(MATCH(RegimeExecucao,{"Unitário","Global"},0),IF($A188="S",$Y188/$X188,""),($Y188/$X188)*100),0)</f>
        <v>0</v>
      </c>
      <c r="X188" s="384" t="str">
        <f ca="1">IF($Y188&gt;0,CHOOSE(MATCH(RegimeExecucao,{"Unitário","Global"},0),IF($A188="S",ROUND($H188,ORÇAMENTO!$AF$10),""),ROUND($I188,ORÇAMENTO!$AF$11)),"")</f>
        <v/>
      </c>
      <c r="Y188" s="384">
        <f t="shared" ca="1" si="28"/>
        <v>0</v>
      </c>
      <c r="Z188" s="572"/>
      <c r="AB188" s="382"/>
      <c r="AC188" s="516"/>
      <c r="AD188" s="516"/>
      <c r="AE188" s="516"/>
      <c r="AF188" s="516"/>
      <c r="AG188" s="516"/>
      <c r="AH188" s="516"/>
      <c r="AI188" s="516"/>
      <c r="AJ188" s="516"/>
      <c r="AK188" s="516"/>
      <c r="AL188" s="516"/>
      <c r="AM188" s="383"/>
      <c r="AO188">
        <f ca="1">IF($A188="S",IF(BM!$I188=0,0,CHOOSE(MATCH(RegimeExecucao,{"Global","Unitário"},0),ROUND(ROUND(BM.MEDAcumulado,15-13*BM!$A$9)/100*BM!$I188,15-13*ORÇAMENTO!$AF$11),ROUND(ROUND(BM.MEDAcumulado,15-13*BM!$A$9)*ROUND(BM!$H188,15-13*ORÇAMENTO!$AF$10),15-13*ORÇAMENTO!$AF$11))),IF($A188=0,0,ROUND(SomaAgrupBM,15-13*ORÇAMENTO!$AF$11)))</f>
        <v>0</v>
      </c>
    </row>
    <row r="189" spans="1:41" ht="51" x14ac:dyDescent="0.2">
      <c r="A189" t="str">
        <f ca="1">ORÇAMENTO!C189</f>
        <v>S</v>
      </c>
      <c r="B189">
        <f ca="1">ORÇAMENTO!D189</f>
        <v>0</v>
      </c>
      <c r="C189" s="116" t="str">
        <f t="shared" ca="1" si="22"/>
        <v/>
      </c>
      <c r="D189" s="119" t="str">
        <f ca="1">ORÇAMENTO!O189</f>
        <v>-</v>
      </c>
      <c r="E189" s="172" t="str">
        <f t="shared" ca="1" si="23"/>
        <v>(abra o arquivo 'Referência 06-2024.xlsm)</v>
      </c>
      <c r="F189" s="173" t="str">
        <f ca="1">IF(RegimeExecucao="Global","",ORÇAMENTO.Unidade)</f>
        <v/>
      </c>
      <c r="G189" s="124" t="str">
        <f ca="1">IF(RegimeExecucao="Global","",ORÇAMENTO!T189)</f>
        <v/>
      </c>
      <c r="H189" s="124" t="str">
        <f ca="1">IF(RegimeExecucao="Global","",ORÇAMENTO!W189)</f>
        <v/>
      </c>
      <c r="I189" s="127">
        <f ca="1">ORÇAMENTO!X189</f>
        <v>0</v>
      </c>
      <c r="J189" s="378">
        <f ca="1">IF($A189="S",IF(CAIXA.Modo,BM.AFAnterior,BM.MEDAnterior),IF(AND(RegimeExecucao="Global",$I189&gt;0,COUNTIF($AB$13:$AM$13,BM.medicao-1)&gt;0),M189/$I189*100,0))</f>
        <v>0</v>
      </c>
      <c r="K189" s="124">
        <f t="shared" ca="1" si="24"/>
        <v>0</v>
      </c>
      <c r="L189" s="379">
        <f ca="1">IF($A189="S",IF(CAIXA.Modo,BM.AFAcumulado,BM.MEDAcumulado),IF(AND(RegimeExecucao="Global",$I189&gt;0,COUNTIF($AB$13:$AM$13,BM.medicao)&gt;0),O189/$I189*100,0))</f>
        <v>0</v>
      </c>
      <c r="M189" s="380">
        <f ca="1">IF($A189="S",VTOTALBM,IF($A189=0,0,ROUND(SomaAgrupBM,15-13*ORÇAMENTO!$AF$11)))</f>
        <v>0</v>
      </c>
      <c r="N189" s="381">
        <f t="shared" ca="1" si="25"/>
        <v>0</v>
      </c>
      <c r="O189" s="127">
        <f ca="1">IF($A189="S",VTOTALBM,IF($A189=0,0,ROUND(SomaAgrupBM,15-13*ORÇAMENTO!$AF$11)))</f>
        <v>0</v>
      </c>
      <c r="Q189" s="382"/>
      <c r="R189" s="383"/>
      <c r="T189" s="119" t="str">
        <f t="shared" ca="1" si="26"/>
        <v/>
      </c>
      <c r="U189" s="172" t="str">
        <f t="shared" ca="1" si="27"/>
        <v/>
      </c>
      <c r="V189" s="173" t="str">
        <f ca="1">IF(AND($W189&gt;0,RegimeExecucao="Unitário"),$F189,"")</f>
        <v/>
      </c>
      <c r="W189" s="547">
        <f ca="1">IF($Y189&gt;0,CHOOSE(MATCH(RegimeExecucao,{"Unitário","Global"},0),IF($A189="S",$Y189/$X189,""),($Y189/$X189)*100),0)</f>
        <v>0</v>
      </c>
      <c r="X189" s="384" t="str">
        <f ca="1">IF($Y189&gt;0,CHOOSE(MATCH(RegimeExecucao,{"Unitário","Global"},0),IF($A189="S",ROUND($H189,ORÇAMENTO!$AF$10),""),ROUND($I189,ORÇAMENTO!$AF$11)),"")</f>
        <v/>
      </c>
      <c r="Y189" s="384">
        <f t="shared" ca="1" si="28"/>
        <v>0</v>
      </c>
      <c r="Z189" s="572"/>
      <c r="AB189" s="382"/>
      <c r="AC189" s="516"/>
      <c r="AD189" s="516"/>
      <c r="AE189" s="516"/>
      <c r="AF189" s="516"/>
      <c r="AG189" s="516"/>
      <c r="AH189" s="516"/>
      <c r="AI189" s="516"/>
      <c r="AJ189" s="516"/>
      <c r="AK189" s="516"/>
      <c r="AL189" s="516"/>
      <c r="AM189" s="383"/>
      <c r="AO189">
        <f ca="1">IF($A189="S",IF(BM!$I189=0,0,CHOOSE(MATCH(RegimeExecucao,{"Global","Unitário"},0),ROUND(ROUND(BM.MEDAcumulado,15-13*BM!$A$9)/100*BM!$I189,15-13*ORÇAMENTO!$AF$11),ROUND(ROUND(BM.MEDAcumulado,15-13*BM!$A$9)*ROUND(BM!$H189,15-13*ORÇAMENTO!$AF$10),15-13*ORÇAMENTO!$AF$11))),IF($A189=0,0,ROUND(SomaAgrupBM,15-13*ORÇAMENTO!$AF$11)))</f>
        <v>0</v>
      </c>
    </row>
    <row r="190" spans="1:41" ht="38.25" x14ac:dyDescent="0.2">
      <c r="A190" t="str">
        <f ca="1">ORÇAMENTO!C190</f>
        <v>S</v>
      </c>
      <c r="B190">
        <f ca="1">ORÇAMENTO!D190</f>
        <v>0</v>
      </c>
      <c r="C190" s="116" t="str">
        <f t="shared" ca="1" si="22"/>
        <v/>
      </c>
      <c r="D190" s="119" t="str">
        <f ca="1">ORÇAMENTO!O190</f>
        <v>-</v>
      </c>
      <c r="E190" s="172" t="str">
        <f t="shared" ca="1" si="23"/>
        <v>(abra o arquivo 'Referência 06-2024.xlsm)</v>
      </c>
      <c r="F190" s="173" t="str">
        <f ca="1">IF(RegimeExecucao="Global","",ORÇAMENTO.Unidade)</f>
        <v/>
      </c>
      <c r="G190" s="124" t="str">
        <f ca="1">IF(RegimeExecucao="Global","",ORÇAMENTO!T190)</f>
        <v/>
      </c>
      <c r="H190" s="124" t="str">
        <f ca="1">IF(RegimeExecucao="Global","",ORÇAMENTO!W190)</f>
        <v/>
      </c>
      <c r="I190" s="127">
        <f ca="1">ORÇAMENTO!X190</f>
        <v>0</v>
      </c>
      <c r="J190" s="378">
        <f ca="1">IF($A190="S",IF(CAIXA.Modo,BM.AFAnterior,BM.MEDAnterior),IF(AND(RegimeExecucao="Global",$I190&gt;0,COUNTIF($AB$13:$AM$13,BM.medicao-1)&gt;0),M190/$I190*100,0))</f>
        <v>0</v>
      </c>
      <c r="K190" s="124">
        <f t="shared" ca="1" si="24"/>
        <v>0</v>
      </c>
      <c r="L190" s="379">
        <f ca="1">IF($A190="S",IF(CAIXA.Modo,BM.AFAcumulado,BM.MEDAcumulado),IF(AND(RegimeExecucao="Global",$I190&gt;0,COUNTIF($AB$13:$AM$13,BM.medicao)&gt;0),O190/$I190*100,0))</f>
        <v>0</v>
      </c>
      <c r="M190" s="380">
        <f ca="1">IF($A190="S",VTOTALBM,IF($A190=0,0,ROUND(SomaAgrupBM,15-13*ORÇAMENTO!$AF$11)))</f>
        <v>0</v>
      </c>
      <c r="N190" s="381">
        <f t="shared" ca="1" si="25"/>
        <v>0</v>
      </c>
      <c r="O190" s="127">
        <f ca="1">IF($A190="S",VTOTALBM,IF($A190=0,0,ROUND(SomaAgrupBM,15-13*ORÇAMENTO!$AF$11)))</f>
        <v>0</v>
      </c>
      <c r="Q190" s="382"/>
      <c r="R190" s="383"/>
      <c r="T190" s="119" t="str">
        <f t="shared" ca="1" si="26"/>
        <v/>
      </c>
      <c r="U190" s="172" t="str">
        <f t="shared" ca="1" si="27"/>
        <v/>
      </c>
      <c r="V190" s="173" t="str">
        <f ca="1">IF(AND($W190&gt;0,RegimeExecucao="Unitário"),$F190,"")</f>
        <v/>
      </c>
      <c r="W190" s="547">
        <f ca="1">IF($Y190&gt;0,CHOOSE(MATCH(RegimeExecucao,{"Unitário","Global"},0),IF($A190="S",$Y190/$X190,""),($Y190/$X190)*100),0)</f>
        <v>0</v>
      </c>
      <c r="X190" s="384" t="str">
        <f ca="1">IF($Y190&gt;0,CHOOSE(MATCH(RegimeExecucao,{"Unitário","Global"},0),IF($A190="S",ROUND($H190,ORÇAMENTO!$AF$10),""),ROUND($I190,ORÇAMENTO!$AF$11)),"")</f>
        <v/>
      </c>
      <c r="Y190" s="384">
        <f t="shared" ca="1" si="28"/>
        <v>0</v>
      </c>
      <c r="Z190" s="572"/>
      <c r="AB190" s="382"/>
      <c r="AC190" s="516"/>
      <c r="AD190" s="516"/>
      <c r="AE190" s="516"/>
      <c r="AF190" s="516"/>
      <c r="AG190" s="516"/>
      <c r="AH190" s="516"/>
      <c r="AI190" s="516"/>
      <c r="AJ190" s="516"/>
      <c r="AK190" s="516"/>
      <c r="AL190" s="516"/>
      <c r="AM190" s="383"/>
      <c r="AO190">
        <f ca="1">IF($A190="S",IF(BM!$I190=0,0,CHOOSE(MATCH(RegimeExecucao,{"Global","Unitário"},0),ROUND(ROUND(BM.MEDAcumulado,15-13*BM!$A$9)/100*BM!$I190,15-13*ORÇAMENTO!$AF$11),ROUND(ROUND(BM.MEDAcumulado,15-13*BM!$A$9)*ROUND(BM!$H190,15-13*ORÇAMENTO!$AF$10),15-13*ORÇAMENTO!$AF$11))),IF($A190=0,0,ROUND(SomaAgrupBM,15-13*ORÇAMENTO!$AF$11)))</f>
        <v>0</v>
      </c>
    </row>
    <row r="191" spans="1:41" ht="38.25" x14ac:dyDescent="0.2">
      <c r="A191" t="str">
        <f ca="1">ORÇAMENTO!C191</f>
        <v>S</v>
      </c>
      <c r="B191">
        <f ca="1">ORÇAMENTO!D191</f>
        <v>0</v>
      </c>
      <c r="C191" s="116" t="str">
        <f t="shared" ca="1" si="22"/>
        <v/>
      </c>
      <c r="D191" s="119" t="str">
        <f ca="1">ORÇAMENTO!O191</f>
        <v>-</v>
      </c>
      <c r="E191" s="172" t="str">
        <f t="shared" ca="1" si="23"/>
        <v>(abra o arquivo 'Referência 06-2024.xlsm)</v>
      </c>
      <c r="F191" s="173" t="str">
        <f ca="1">IF(RegimeExecucao="Global","",ORÇAMENTO.Unidade)</f>
        <v/>
      </c>
      <c r="G191" s="124" t="str">
        <f ca="1">IF(RegimeExecucao="Global","",ORÇAMENTO!T191)</f>
        <v/>
      </c>
      <c r="H191" s="124" t="str">
        <f ca="1">IF(RegimeExecucao="Global","",ORÇAMENTO!W191)</f>
        <v/>
      </c>
      <c r="I191" s="127">
        <f ca="1">ORÇAMENTO!X191</f>
        <v>0</v>
      </c>
      <c r="J191" s="378">
        <f ca="1">IF($A191="S",IF(CAIXA.Modo,BM.AFAnterior,BM.MEDAnterior),IF(AND(RegimeExecucao="Global",$I191&gt;0,COUNTIF($AB$13:$AM$13,BM.medicao-1)&gt;0),M191/$I191*100,0))</f>
        <v>0</v>
      </c>
      <c r="K191" s="124">
        <f t="shared" ca="1" si="24"/>
        <v>0</v>
      </c>
      <c r="L191" s="379">
        <f ca="1">IF($A191="S",IF(CAIXA.Modo,BM.AFAcumulado,BM.MEDAcumulado),IF(AND(RegimeExecucao="Global",$I191&gt;0,COUNTIF($AB$13:$AM$13,BM.medicao)&gt;0),O191/$I191*100,0))</f>
        <v>0</v>
      </c>
      <c r="M191" s="380">
        <f ca="1">IF($A191="S",VTOTALBM,IF($A191=0,0,ROUND(SomaAgrupBM,15-13*ORÇAMENTO!$AF$11)))</f>
        <v>0</v>
      </c>
      <c r="N191" s="381">
        <f t="shared" ca="1" si="25"/>
        <v>0</v>
      </c>
      <c r="O191" s="127">
        <f ca="1">IF($A191="S",VTOTALBM,IF($A191=0,0,ROUND(SomaAgrupBM,15-13*ORÇAMENTO!$AF$11)))</f>
        <v>0</v>
      </c>
      <c r="Q191" s="382"/>
      <c r="R191" s="383"/>
      <c r="T191" s="119" t="str">
        <f t="shared" ca="1" si="26"/>
        <v/>
      </c>
      <c r="U191" s="172" t="str">
        <f t="shared" ca="1" si="27"/>
        <v/>
      </c>
      <c r="V191" s="173" t="str">
        <f ca="1">IF(AND($W191&gt;0,RegimeExecucao="Unitário"),$F191,"")</f>
        <v/>
      </c>
      <c r="W191" s="547">
        <f ca="1">IF($Y191&gt;0,CHOOSE(MATCH(RegimeExecucao,{"Unitário","Global"},0),IF($A191="S",$Y191/$X191,""),($Y191/$X191)*100),0)</f>
        <v>0</v>
      </c>
      <c r="X191" s="384" t="str">
        <f ca="1">IF($Y191&gt;0,CHOOSE(MATCH(RegimeExecucao,{"Unitário","Global"},0),IF($A191="S",ROUND($H191,ORÇAMENTO!$AF$10),""),ROUND($I191,ORÇAMENTO!$AF$11)),"")</f>
        <v/>
      </c>
      <c r="Y191" s="384">
        <f t="shared" ca="1" si="28"/>
        <v>0</v>
      </c>
      <c r="Z191" s="572"/>
      <c r="AB191" s="382"/>
      <c r="AC191" s="516"/>
      <c r="AD191" s="516"/>
      <c r="AE191" s="516"/>
      <c r="AF191" s="516"/>
      <c r="AG191" s="516"/>
      <c r="AH191" s="516"/>
      <c r="AI191" s="516"/>
      <c r="AJ191" s="516"/>
      <c r="AK191" s="516"/>
      <c r="AL191" s="516"/>
      <c r="AM191" s="383"/>
      <c r="AO191">
        <f ca="1">IF($A191="S",IF(BM!$I191=0,0,CHOOSE(MATCH(RegimeExecucao,{"Global","Unitário"},0),ROUND(ROUND(BM.MEDAcumulado,15-13*BM!$A$9)/100*BM!$I191,15-13*ORÇAMENTO!$AF$11),ROUND(ROUND(BM.MEDAcumulado,15-13*BM!$A$9)*ROUND(BM!$H191,15-13*ORÇAMENTO!$AF$10),15-13*ORÇAMENTO!$AF$11))),IF($A191=0,0,ROUND(SomaAgrupBM,15-13*ORÇAMENTO!$AF$11)))</f>
        <v>0</v>
      </c>
    </row>
    <row r="192" spans="1:41" ht="38.25" x14ac:dyDescent="0.2">
      <c r="A192" t="str">
        <f ca="1">ORÇAMENTO!C192</f>
        <v>S</v>
      </c>
      <c r="B192">
        <f ca="1">ORÇAMENTO!D192</f>
        <v>0</v>
      </c>
      <c r="C192" s="116" t="str">
        <f t="shared" ca="1" si="22"/>
        <v/>
      </c>
      <c r="D192" s="119" t="str">
        <f ca="1">ORÇAMENTO!O192</f>
        <v>-</v>
      </c>
      <c r="E192" s="172" t="str">
        <f t="shared" ca="1" si="23"/>
        <v>(abra o arquivo 'Referência 06-2024.xlsm)</v>
      </c>
      <c r="F192" s="173" t="str">
        <f ca="1">IF(RegimeExecucao="Global","",ORÇAMENTO.Unidade)</f>
        <v/>
      </c>
      <c r="G192" s="124" t="str">
        <f ca="1">IF(RegimeExecucao="Global","",ORÇAMENTO!T192)</f>
        <v/>
      </c>
      <c r="H192" s="124" t="str">
        <f ca="1">IF(RegimeExecucao="Global","",ORÇAMENTO!W192)</f>
        <v/>
      </c>
      <c r="I192" s="127">
        <f ca="1">ORÇAMENTO!X192</f>
        <v>0</v>
      </c>
      <c r="J192" s="378">
        <f ca="1">IF($A192="S",IF(CAIXA.Modo,BM.AFAnterior,BM.MEDAnterior),IF(AND(RegimeExecucao="Global",$I192&gt;0,COUNTIF($AB$13:$AM$13,BM.medicao-1)&gt;0),M192/$I192*100,0))</f>
        <v>0</v>
      </c>
      <c r="K192" s="124">
        <f t="shared" ca="1" si="24"/>
        <v>0</v>
      </c>
      <c r="L192" s="379">
        <f ca="1">IF($A192="S",IF(CAIXA.Modo,BM.AFAcumulado,BM.MEDAcumulado),IF(AND(RegimeExecucao="Global",$I192&gt;0,COUNTIF($AB$13:$AM$13,BM.medicao)&gt;0),O192/$I192*100,0))</f>
        <v>0</v>
      </c>
      <c r="M192" s="380">
        <f ca="1">IF($A192="S",VTOTALBM,IF($A192=0,0,ROUND(SomaAgrupBM,15-13*ORÇAMENTO!$AF$11)))</f>
        <v>0</v>
      </c>
      <c r="N192" s="381">
        <f t="shared" ca="1" si="25"/>
        <v>0</v>
      </c>
      <c r="O192" s="127">
        <f ca="1">IF($A192="S",VTOTALBM,IF($A192=0,0,ROUND(SomaAgrupBM,15-13*ORÇAMENTO!$AF$11)))</f>
        <v>0</v>
      </c>
      <c r="Q192" s="382"/>
      <c r="R192" s="383"/>
      <c r="T192" s="119" t="str">
        <f t="shared" ca="1" si="26"/>
        <v/>
      </c>
      <c r="U192" s="172" t="str">
        <f t="shared" ca="1" si="27"/>
        <v/>
      </c>
      <c r="V192" s="173" t="str">
        <f ca="1">IF(AND($W192&gt;0,RegimeExecucao="Unitário"),$F192,"")</f>
        <v/>
      </c>
      <c r="W192" s="547">
        <f ca="1">IF($Y192&gt;0,CHOOSE(MATCH(RegimeExecucao,{"Unitário","Global"},0),IF($A192="S",$Y192/$X192,""),($Y192/$X192)*100),0)</f>
        <v>0</v>
      </c>
      <c r="X192" s="384" t="str">
        <f ca="1">IF($Y192&gt;0,CHOOSE(MATCH(RegimeExecucao,{"Unitário","Global"},0),IF($A192="S",ROUND($H192,ORÇAMENTO!$AF$10),""),ROUND($I192,ORÇAMENTO!$AF$11)),"")</f>
        <v/>
      </c>
      <c r="Y192" s="384">
        <f t="shared" ca="1" si="28"/>
        <v>0</v>
      </c>
      <c r="Z192" s="572"/>
      <c r="AB192" s="382"/>
      <c r="AC192" s="516"/>
      <c r="AD192" s="516"/>
      <c r="AE192" s="516"/>
      <c r="AF192" s="516"/>
      <c r="AG192" s="516"/>
      <c r="AH192" s="516"/>
      <c r="AI192" s="516"/>
      <c r="AJ192" s="516"/>
      <c r="AK192" s="516"/>
      <c r="AL192" s="516"/>
      <c r="AM192" s="383"/>
      <c r="AO192">
        <f ca="1">IF($A192="S",IF(BM!$I192=0,0,CHOOSE(MATCH(RegimeExecucao,{"Global","Unitário"},0),ROUND(ROUND(BM.MEDAcumulado,15-13*BM!$A$9)/100*BM!$I192,15-13*ORÇAMENTO!$AF$11),ROUND(ROUND(BM.MEDAcumulado,15-13*BM!$A$9)*ROUND(BM!$H192,15-13*ORÇAMENTO!$AF$10),15-13*ORÇAMENTO!$AF$11))),IF($A192=0,0,ROUND(SomaAgrupBM,15-13*ORÇAMENTO!$AF$11)))</f>
        <v>0</v>
      </c>
    </row>
    <row r="193" spans="1:41" ht="38.25" x14ac:dyDescent="0.2">
      <c r="A193" t="str">
        <f ca="1">ORÇAMENTO!C193</f>
        <v>S</v>
      </c>
      <c r="B193">
        <f ca="1">ORÇAMENTO!D193</f>
        <v>0</v>
      </c>
      <c r="C193" s="116" t="str">
        <f t="shared" ca="1" si="22"/>
        <v/>
      </c>
      <c r="D193" s="119" t="str">
        <f ca="1">ORÇAMENTO!O193</f>
        <v>-</v>
      </c>
      <c r="E193" s="172" t="str">
        <f t="shared" ca="1" si="23"/>
        <v>(abra o arquivo 'Referência 06-2024.xlsm)</v>
      </c>
      <c r="F193" s="173" t="str">
        <f ca="1">IF(RegimeExecucao="Global","",ORÇAMENTO.Unidade)</f>
        <v/>
      </c>
      <c r="G193" s="124" t="str">
        <f ca="1">IF(RegimeExecucao="Global","",ORÇAMENTO!T193)</f>
        <v/>
      </c>
      <c r="H193" s="124" t="str">
        <f ca="1">IF(RegimeExecucao="Global","",ORÇAMENTO!W193)</f>
        <v/>
      </c>
      <c r="I193" s="127">
        <f ca="1">ORÇAMENTO!X193</f>
        <v>0</v>
      </c>
      <c r="J193" s="378">
        <f ca="1">IF($A193="S",IF(CAIXA.Modo,BM.AFAnterior,BM.MEDAnterior),IF(AND(RegimeExecucao="Global",$I193&gt;0,COUNTIF($AB$13:$AM$13,BM.medicao-1)&gt;0),M193/$I193*100,0))</f>
        <v>0</v>
      </c>
      <c r="K193" s="124">
        <f t="shared" ca="1" si="24"/>
        <v>0</v>
      </c>
      <c r="L193" s="379">
        <f ca="1">IF($A193="S",IF(CAIXA.Modo,BM.AFAcumulado,BM.MEDAcumulado),IF(AND(RegimeExecucao="Global",$I193&gt;0,COUNTIF($AB$13:$AM$13,BM.medicao)&gt;0),O193/$I193*100,0))</f>
        <v>0</v>
      </c>
      <c r="M193" s="380">
        <f ca="1">IF($A193="S",VTOTALBM,IF($A193=0,0,ROUND(SomaAgrupBM,15-13*ORÇAMENTO!$AF$11)))</f>
        <v>0</v>
      </c>
      <c r="N193" s="381">
        <f t="shared" ca="1" si="25"/>
        <v>0</v>
      </c>
      <c r="O193" s="127">
        <f ca="1">IF($A193="S",VTOTALBM,IF($A193=0,0,ROUND(SomaAgrupBM,15-13*ORÇAMENTO!$AF$11)))</f>
        <v>0</v>
      </c>
      <c r="Q193" s="382"/>
      <c r="R193" s="383"/>
      <c r="T193" s="119" t="str">
        <f t="shared" ca="1" si="26"/>
        <v/>
      </c>
      <c r="U193" s="172" t="str">
        <f t="shared" ca="1" si="27"/>
        <v/>
      </c>
      <c r="V193" s="173" t="str">
        <f ca="1">IF(AND($W193&gt;0,RegimeExecucao="Unitário"),$F193,"")</f>
        <v/>
      </c>
      <c r="W193" s="547">
        <f ca="1">IF($Y193&gt;0,CHOOSE(MATCH(RegimeExecucao,{"Unitário","Global"},0),IF($A193="S",$Y193/$X193,""),($Y193/$X193)*100),0)</f>
        <v>0</v>
      </c>
      <c r="X193" s="384" t="str">
        <f ca="1">IF($Y193&gt;0,CHOOSE(MATCH(RegimeExecucao,{"Unitário","Global"},0),IF($A193="S",ROUND($H193,ORÇAMENTO!$AF$10),""),ROUND($I193,ORÇAMENTO!$AF$11)),"")</f>
        <v/>
      </c>
      <c r="Y193" s="384">
        <f t="shared" ca="1" si="28"/>
        <v>0</v>
      </c>
      <c r="Z193" s="572"/>
      <c r="AB193" s="382"/>
      <c r="AC193" s="516"/>
      <c r="AD193" s="516"/>
      <c r="AE193" s="516"/>
      <c r="AF193" s="516"/>
      <c r="AG193" s="516"/>
      <c r="AH193" s="516"/>
      <c r="AI193" s="516"/>
      <c r="AJ193" s="516"/>
      <c r="AK193" s="516"/>
      <c r="AL193" s="516"/>
      <c r="AM193" s="383"/>
      <c r="AO193">
        <f ca="1">IF($A193="S",IF(BM!$I193=0,0,CHOOSE(MATCH(RegimeExecucao,{"Global","Unitário"},0),ROUND(ROUND(BM.MEDAcumulado,15-13*BM!$A$9)/100*BM!$I193,15-13*ORÇAMENTO!$AF$11),ROUND(ROUND(BM.MEDAcumulado,15-13*BM!$A$9)*ROUND(BM!$H193,15-13*ORÇAMENTO!$AF$10),15-13*ORÇAMENTO!$AF$11))),IF($A193=0,0,ROUND(SomaAgrupBM,15-13*ORÇAMENTO!$AF$11)))</f>
        <v>0</v>
      </c>
    </row>
    <row r="194" spans="1:41" ht="38.25" x14ac:dyDescent="0.2">
      <c r="A194" t="str">
        <f ca="1">ORÇAMENTO!C194</f>
        <v>S</v>
      </c>
      <c r="B194">
        <f ca="1">ORÇAMENTO!D194</f>
        <v>0</v>
      </c>
      <c r="C194" s="116" t="str">
        <f t="shared" ca="1" si="22"/>
        <v/>
      </c>
      <c r="D194" s="119" t="str">
        <f ca="1">ORÇAMENTO!O194</f>
        <v>-</v>
      </c>
      <c r="E194" s="172" t="str">
        <f t="shared" ca="1" si="23"/>
        <v>(abra o arquivo 'Referência 06-2024.xlsm)</v>
      </c>
      <c r="F194" s="173" t="str">
        <f ca="1">IF(RegimeExecucao="Global","",ORÇAMENTO.Unidade)</f>
        <v/>
      </c>
      <c r="G194" s="124" t="str">
        <f ca="1">IF(RegimeExecucao="Global","",ORÇAMENTO!T194)</f>
        <v/>
      </c>
      <c r="H194" s="124" t="str">
        <f ca="1">IF(RegimeExecucao="Global","",ORÇAMENTO!W194)</f>
        <v/>
      </c>
      <c r="I194" s="127">
        <f ca="1">ORÇAMENTO!X194</f>
        <v>0</v>
      </c>
      <c r="J194" s="378">
        <f ca="1">IF($A194="S",IF(CAIXA.Modo,BM.AFAnterior,BM.MEDAnterior),IF(AND(RegimeExecucao="Global",$I194&gt;0,COUNTIF($AB$13:$AM$13,BM.medicao-1)&gt;0),M194/$I194*100,0))</f>
        <v>0</v>
      </c>
      <c r="K194" s="124">
        <f t="shared" ca="1" si="24"/>
        <v>0</v>
      </c>
      <c r="L194" s="379">
        <f ca="1">IF($A194="S",IF(CAIXA.Modo,BM.AFAcumulado,BM.MEDAcumulado),IF(AND(RegimeExecucao="Global",$I194&gt;0,COUNTIF($AB$13:$AM$13,BM.medicao)&gt;0),O194/$I194*100,0))</f>
        <v>0</v>
      </c>
      <c r="M194" s="380">
        <f ca="1">IF($A194="S",VTOTALBM,IF($A194=0,0,ROUND(SomaAgrupBM,15-13*ORÇAMENTO!$AF$11)))</f>
        <v>0</v>
      </c>
      <c r="N194" s="381">
        <f t="shared" ca="1" si="25"/>
        <v>0</v>
      </c>
      <c r="O194" s="127">
        <f ca="1">IF($A194="S",VTOTALBM,IF($A194=0,0,ROUND(SomaAgrupBM,15-13*ORÇAMENTO!$AF$11)))</f>
        <v>0</v>
      </c>
      <c r="Q194" s="382"/>
      <c r="R194" s="383"/>
      <c r="T194" s="119" t="str">
        <f t="shared" ca="1" si="26"/>
        <v/>
      </c>
      <c r="U194" s="172" t="str">
        <f t="shared" ca="1" si="27"/>
        <v/>
      </c>
      <c r="V194" s="173" t="str">
        <f ca="1">IF(AND($W194&gt;0,RegimeExecucao="Unitário"),$F194,"")</f>
        <v/>
      </c>
      <c r="W194" s="547">
        <f ca="1">IF($Y194&gt;0,CHOOSE(MATCH(RegimeExecucao,{"Unitário","Global"},0),IF($A194="S",$Y194/$X194,""),($Y194/$X194)*100),0)</f>
        <v>0</v>
      </c>
      <c r="X194" s="384" t="str">
        <f ca="1">IF($Y194&gt;0,CHOOSE(MATCH(RegimeExecucao,{"Unitário","Global"},0),IF($A194="S",ROUND($H194,ORÇAMENTO!$AF$10),""),ROUND($I194,ORÇAMENTO!$AF$11)),"")</f>
        <v/>
      </c>
      <c r="Y194" s="384">
        <f t="shared" ca="1" si="28"/>
        <v>0</v>
      </c>
      <c r="Z194" s="572"/>
      <c r="AB194" s="382"/>
      <c r="AC194" s="516"/>
      <c r="AD194" s="516"/>
      <c r="AE194" s="516"/>
      <c r="AF194" s="516"/>
      <c r="AG194" s="516"/>
      <c r="AH194" s="516"/>
      <c r="AI194" s="516"/>
      <c r="AJ194" s="516"/>
      <c r="AK194" s="516"/>
      <c r="AL194" s="516"/>
      <c r="AM194" s="383"/>
      <c r="AO194">
        <f ca="1">IF($A194="S",IF(BM!$I194=0,0,CHOOSE(MATCH(RegimeExecucao,{"Global","Unitário"},0),ROUND(ROUND(BM.MEDAcumulado,15-13*BM!$A$9)/100*BM!$I194,15-13*ORÇAMENTO!$AF$11),ROUND(ROUND(BM.MEDAcumulado,15-13*BM!$A$9)*ROUND(BM!$H194,15-13*ORÇAMENTO!$AF$10),15-13*ORÇAMENTO!$AF$11))),IF($A194=0,0,ROUND(SomaAgrupBM,15-13*ORÇAMENTO!$AF$11)))</f>
        <v>0</v>
      </c>
    </row>
    <row r="195" spans="1:41" x14ac:dyDescent="0.2">
      <c r="A195" t="str">
        <f ca="1">ORÇAMENTO!C195</f>
        <v>S</v>
      </c>
      <c r="B195">
        <f ca="1">ORÇAMENTO!D195</f>
        <v>0</v>
      </c>
      <c r="C195" s="116" t="str">
        <f t="shared" ca="1" si="22"/>
        <v/>
      </c>
      <c r="D195" s="119" t="str">
        <f ca="1">ORÇAMENTO!O195</f>
        <v>-</v>
      </c>
      <c r="E195" s="172" t="str">
        <f t="shared" ca="1" si="23"/>
        <v>(abra o arquivo 'Referência 06-2024.xlsm)</v>
      </c>
      <c r="F195" s="173" t="str">
        <f ca="1">IF(RegimeExecucao="Global","",ORÇAMENTO.Unidade)</f>
        <v/>
      </c>
      <c r="G195" s="124" t="str">
        <f ca="1">IF(RegimeExecucao="Global","",ORÇAMENTO!T195)</f>
        <v/>
      </c>
      <c r="H195" s="124" t="str">
        <f ca="1">IF(RegimeExecucao="Global","",ORÇAMENTO!W195)</f>
        <v/>
      </c>
      <c r="I195" s="127">
        <f ca="1">ORÇAMENTO!X195</f>
        <v>0</v>
      </c>
      <c r="J195" s="378">
        <f ca="1">IF($A195="S",IF(CAIXA.Modo,BM.AFAnterior,BM.MEDAnterior),IF(AND(RegimeExecucao="Global",$I195&gt;0,COUNTIF($AB$13:$AM$13,BM.medicao-1)&gt;0),M195/$I195*100,0))</f>
        <v>0</v>
      </c>
      <c r="K195" s="124">
        <f t="shared" ca="1" si="24"/>
        <v>0</v>
      </c>
      <c r="L195" s="379">
        <f ca="1">IF($A195="S",IF(CAIXA.Modo,BM.AFAcumulado,BM.MEDAcumulado),IF(AND(RegimeExecucao="Global",$I195&gt;0,COUNTIF($AB$13:$AM$13,BM.medicao)&gt;0),O195/$I195*100,0))</f>
        <v>0</v>
      </c>
      <c r="M195" s="380">
        <f ca="1">IF($A195="S",VTOTALBM,IF($A195=0,0,ROUND(SomaAgrupBM,15-13*ORÇAMENTO!$AF$11)))</f>
        <v>0</v>
      </c>
      <c r="N195" s="381">
        <f t="shared" ca="1" si="25"/>
        <v>0</v>
      </c>
      <c r="O195" s="127">
        <f ca="1">IF($A195="S",VTOTALBM,IF($A195=0,0,ROUND(SomaAgrupBM,15-13*ORÇAMENTO!$AF$11)))</f>
        <v>0</v>
      </c>
      <c r="Q195" s="382"/>
      <c r="R195" s="383"/>
      <c r="T195" s="119" t="str">
        <f t="shared" ca="1" si="26"/>
        <v/>
      </c>
      <c r="U195" s="172" t="str">
        <f t="shared" ca="1" si="27"/>
        <v/>
      </c>
      <c r="V195" s="173" t="str">
        <f ca="1">IF(AND($W195&gt;0,RegimeExecucao="Unitário"),$F195,"")</f>
        <v/>
      </c>
      <c r="W195" s="547">
        <f ca="1">IF($Y195&gt;0,CHOOSE(MATCH(RegimeExecucao,{"Unitário","Global"},0),IF($A195="S",$Y195/$X195,""),($Y195/$X195)*100),0)</f>
        <v>0</v>
      </c>
      <c r="X195" s="384" t="str">
        <f ca="1">IF($Y195&gt;0,CHOOSE(MATCH(RegimeExecucao,{"Unitário","Global"},0),IF($A195="S",ROUND($H195,ORÇAMENTO!$AF$10),""),ROUND($I195,ORÇAMENTO!$AF$11)),"")</f>
        <v/>
      </c>
      <c r="Y195" s="384">
        <f t="shared" ca="1" si="28"/>
        <v>0</v>
      </c>
      <c r="Z195" s="572"/>
      <c r="AB195" s="382"/>
      <c r="AC195" s="516"/>
      <c r="AD195" s="516"/>
      <c r="AE195" s="516"/>
      <c r="AF195" s="516"/>
      <c r="AG195" s="516"/>
      <c r="AH195" s="516"/>
      <c r="AI195" s="516"/>
      <c r="AJ195" s="516"/>
      <c r="AK195" s="516"/>
      <c r="AL195" s="516"/>
      <c r="AM195" s="383"/>
      <c r="AO195">
        <f ca="1">IF($A195="S",IF(BM!$I195=0,0,CHOOSE(MATCH(RegimeExecucao,{"Global","Unitário"},0),ROUND(ROUND(BM.MEDAcumulado,15-13*BM!$A$9)/100*BM!$I195,15-13*ORÇAMENTO!$AF$11),ROUND(ROUND(BM.MEDAcumulado,15-13*BM!$A$9)*ROUND(BM!$H195,15-13*ORÇAMENTO!$AF$10),15-13*ORÇAMENTO!$AF$11))),IF($A195=0,0,ROUND(SomaAgrupBM,15-13*ORÇAMENTO!$AF$11)))</f>
        <v>0</v>
      </c>
    </row>
    <row r="196" spans="1:41" x14ac:dyDescent="0.2">
      <c r="A196" t="str">
        <f ca="1">ORÇAMENTO!C196</f>
        <v>S</v>
      </c>
      <c r="B196">
        <f ca="1">ORÇAMENTO!D196</f>
        <v>0</v>
      </c>
      <c r="C196" s="116" t="str">
        <f t="shared" ca="1" si="22"/>
        <v/>
      </c>
      <c r="D196" s="119" t="str">
        <f ca="1">ORÇAMENTO!O196</f>
        <v>-</v>
      </c>
      <c r="E196" s="172" t="str">
        <f t="shared" ca="1" si="23"/>
        <v>(abra o arquivo 'Referência 06-2024.xlsm)</v>
      </c>
      <c r="F196" s="173" t="str">
        <f ca="1">IF(RegimeExecucao="Global","",ORÇAMENTO.Unidade)</f>
        <v/>
      </c>
      <c r="G196" s="124" t="str">
        <f ca="1">IF(RegimeExecucao="Global","",ORÇAMENTO!T196)</f>
        <v/>
      </c>
      <c r="H196" s="124" t="str">
        <f ca="1">IF(RegimeExecucao="Global","",ORÇAMENTO!W196)</f>
        <v/>
      </c>
      <c r="I196" s="127">
        <f ca="1">ORÇAMENTO!X196</f>
        <v>0</v>
      </c>
      <c r="J196" s="378">
        <f ca="1">IF($A196="S",IF(CAIXA.Modo,BM.AFAnterior,BM.MEDAnterior),IF(AND(RegimeExecucao="Global",$I196&gt;0,COUNTIF($AB$13:$AM$13,BM.medicao-1)&gt;0),M196/$I196*100,0))</f>
        <v>0</v>
      </c>
      <c r="K196" s="124">
        <f t="shared" ca="1" si="24"/>
        <v>0</v>
      </c>
      <c r="L196" s="379">
        <f ca="1">IF($A196="S",IF(CAIXA.Modo,BM.AFAcumulado,BM.MEDAcumulado),IF(AND(RegimeExecucao="Global",$I196&gt;0,COUNTIF($AB$13:$AM$13,BM.medicao)&gt;0),O196/$I196*100,0))</f>
        <v>0</v>
      </c>
      <c r="M196" s="380">
        <f ca="1">IF($A196="S",VTOTALBM,IF($A196=0,0,ROUND(SomaAgrupBM,15-13*ORÇAMENTO!$AF$11)))</f>
        <v>0</v>
      </c>
      <c r="N196" s="381">
        <f t="shared" ca="1" si="25"/>
        <v>0</v>
      </c>
      <c r="O196" s="127">
        <f ca="1">IF($A196="S",VTOTALBM,IF($A196=0,0,ROUND(SomaAgrupBM,15-13*ORÇAMENTO!$AF$11)))</f>
        <v>0</v>
      </c>
      <c r="Q196" s="382"/>
      <c r="R196" s="383"/>
      <c r="T196" s="119" t="str">
        <f t="shared" ca="1" si="26"/>
        <v/>
      </c>
      <c r="U196" s="172" t="str">
        <f t="shared" ca="1" si="27"/>
        <v/>
      </c>
      <c r="V196" s="173" t="str">
        <f ca="1">IF(AND($W196&gt;0,RegimeExecucao="Unitário"),$F196,"")</f>
        <v/>
      </c>
      <c r="W196" s="547">
        <f ca="1">IF($Y196&gt;0,CHOOSE(MATCH(RegimeExecucao,{"Unitário","Global"},0),IF($A196="S",$Y196/$X196,""),($Y196/$X196)*100),0)</f>
        <v>0</v>
      </c>
      <c r="X196" s="384" t="str">
        <f ca="1">IF($Y196&gt;0,CHOOSE(MATCH(RegimeExecucao,{"Unitário","Global"},0),IF($A196="S",ROUND($H196,ORÇAMENTO!$AF$10),""),ROUND($I196,ORÇAMENTO!$AF$11)),"")</f>
        <v/>
      </c>
      <c r="Y196" s="384">
        <f t="shared" ca="1" si="28"/>
        <v>0</v>
      </c>
      <c r="Z196" s="572"/>
      <c r="AB196" s="382"/>
      <c r="AC196" s="516"/>
      <c r="AD196" s="516"/>
      <c r="AE196" s="516"/>
      <c r="AF196" s="516"/>
      <c r="AG196" s="516"/>
      <c r="AH196" s="516"/>
      <c r="AI196" s="516"/>
      <c r="AJ196" s="516"/>
      <c r="AK196" s="516"/>
      <c r="AL196" s="516"/>
      <c r="AM196" s="383"/>
      <c r="AO196">
        <f ca="1">IF($A196="S",IF(BM!$I196=0,0,CHOOSE(MATCH(RegimeExecucao,{"Global","Unitário"},0),ROUND(ROUND(BM.MEDAcumulado,15-13*BM!$A$9)/100*BM!$I196,15-13*ORÇAMENTO!$AF$11),ROUND(ROUND(BM.MEDAcumulado,15-13*BM!$A$9)*ROUND(BM!$H196,15-13*ORÇAMENTO!$AF$10),15-13*ORÇAMENTO!$AF$11))),IF($A196=0,0,ROUND(SomaAgrupBM,15-13*ORÇAMENTO!$AF$11)))</f>
        <v>0</v>
      </c>
    </row>
    <row r="197" spans="1:41" ht="25.5" x14ac:dyDescent="0.2">
      <c r="A197" t="str">
        <f ca="1">ORÇAMENTO!C197</f>
        <v>S</v>
      </c>
      <c r="B197">
        <f ca="1">ORÇAMENTO!D197</f>
        <v>0</v>
      </c>
      <c r="C197" s="116" t="str">
        <f t="shared" ca="1" si="22"/>
        <v/>
      </c>
      <c r="D197" s="119" t="str">
        <f ca="1">ORÇAMENTO!O197</f>
        <v>-</v>
      </c>
      <c r="E197" s="172" t="str">
        <f t="shared" ca="1" si="23"/>
        <v>(abra o arquivo 'Referência 06-2024.xlsm)</v>
      </c>
      <c r="F197" s="173" t="str">
        <f ca="1">IF(RegimeExecucao="Global","",ORÇAMENTO.Unidade)</f>
        <v/>
      </c>
      <c r="G197" s="124" t="str">
        <f ca="1">IF(RegimeExecucao="Global","",ORÇAMENTO!T197)</f>
        <v/>
      </c>
      <c r="H197" s="124" t="str">
        <f ca="1">IF(RegimeExecucao="Global","",ORÇAMENTO!W197)</f>
        <v/>
      </c>
      <c r="I197" s="127">
        <f ca="1">ORÇAMENTO!X197</f>
        <v>0</v>
      </c>
      <c r="J197" s="378">
        <f ca="1">IF($A197="S",IF(CAIXA.Modo,BM.AFAnterior,BM.MEDAnterior),IF(AND(RegimeExecucao="Global",$I197&gt;0,COUNTIF($AB$13:$AM$13,BM.medicao-1)&gt;0),M197/$I197*100,0))</f>
        <v>0</v>
      </c>
      <c r="K197" s="124">
        <f t="shared" ca="1" si="24"/>
        <v>0</v>
      </c>
      <c r="L197" s="379">
        <f ca="1">IF($A197="S",IF(CAIXA.Modo,BM.AFAcumulado,BM.MEDAcumulado),IF(AND(RegimeExecucao="Global",$I197&gt;0,COUNTIF($AB$13:$AM$13,BM.medicao)&gt;0),O197/$I197*100,0))</f>
        <v>0</v>
      </c>
      <c r="M197" s="380">
        <f ca="1">IF($A197="S",VTOTALBM,IF($A197=0,0,ROUND(SomaAgrupBM,15-13*ORÇAMENTO!$AF$11)))</f>
        <v>0</v>
      </c>
      <c r="N197" s="381">
        <f t="shared" ca="1" si="25"/>
        <v>0</v>
      </c>
      <c r="O197" s="127">
        <f ca="1">IF($A197="S",VTOTALBM,IF($A197=0,0,ROUND(SomaAgrupBM,15-13*ORÇAMENTO!$AF$11)))</f>
        <v>0</v>
      </c>
      <c r="Q197" s="382"/>
      <c r="R197" s="383"/>
      <c r="T197" s="119" t="str">
        <f t="shared" ca="1" si="26"/>
        <v/>
      </c>
      <c r="U197" s="172" t="str">
        <f t="shared" ca="1" si="27"/>
        <v/>
      </c>
      <c r="V197" s="173" t="str">
        <f ca="1">IF(AND($W197&gt;0,RegimeExecucao="Unitário"),$F197,"")</f>
        <v/>
      </c>
      <c r="W197" s="547">
        <f ca="1">IF($Y197&gt;0,CHOOSE(MATCH(RegimeExecucao,{"Unitário","Global"},0),IF($A197="S",$Y197/$X197,""),($Y197/$X197)*100),0)</f>
        <v>0</v>
      </c>
      <c r="X197" s="384" t="str">
        <f ca="1">IF($Y197&gt;0,CHOOSE(MATCH(RegimeExecucao,{"Unitário","Global"},0),IF($A197="S",ROUND($H197,ORÇAMENTO!$AF$10),""),ROUND($I197,ORÇAMENTO!$AF$11)),"")</f>
        <v/>
      </c>
      <c r="Y197" s="384">
        <f t="shared" ca="1" si="28"/>
        <v>0</v>
      </c>
      <c r="Z197" s="572"/>
      <c r="AB197" s="382"/>
      <c r="AC197" s="516"/>
      <c r="AD197" s="516"/>
      <c r="AE197" s="516"/>
      <c r="AF197" s="516"/>
      <c r="AG197" s="516"/>
      <c r="AH197" s="516"/>
      <c r="AI197" s="516"/>
      <c r="AJ197" s="516"/>
      <c r="AK197" s="516"/>
      <c r="AL197" s="516"/>
      <c r="AM197" s="383"/>
      <c r="AO197">
        <f ca="1">IF($A197="S",IF(BM!$I197=0,0,CHOOSE(MATCH(RegimeExecucao,{"Global","Unitário"},0),ROUND(ROUND(BM.MEDAcumulado,15-13*BM!$A$9)/100*BM!$I197,15-13*ORÇAMENTO!$AF$11),ROUND(ROUND(BM.MEDAcumulado,15-13*BM!$A$9)*ROUND(BM!$H197,15-13*ORÇAMENTO!$AF$10),15-13*ORÇAMENTO!$AF$11))),IF($A197=0,0,ROUND(SomaAgrupBM,15-13*ORÇAMENTO!$AF$11)))</f>
        <v>0</v>
      </c>
    </row>
    <row r="198" spans="1:41" ht="38.25" x14ac:dyDescent="0.2">
      <c r="A198" t="str">
        <f ca="1">ORÇAMENTO!C198</f>
        <v>S</v>
      </c>
      <c r="B198">
        <f ca="1">ORÇAMENTO!D198</f>
        <v>0</v>
      </c>
      <c r="C198" s="116" t="str">
        <f t="shared" ca="1" si="22"/>
        <v/>
      </c>
      <c r="D198" s="119" t="str">
        <f ca="1">ORÇAMENTO!O198</f>
        <v>-</v>
      </c>
      <c r="E198" s="172" t="str">
        <f t="shared" ca="1" si="23"/>
        <v>(abra o arquivo 'Referência 06-2024.xlsm)</v>
      </c>
      <c r="F198" s="173" t="str">
        <f ca="1">IF(RegimeExecucao="Global","",ORÇAMENTO.Unidade)</f>
        <v/>
      </c>
      <c r="G198" s="124" t="str">
        <f ca="1">IF(RegimeExecucao="Global","",ORÇAMENTO!T198)</f>
        <v/>
      </c>
      <c r="H198" s="124" t="str">
        <f ca="1">IF(RegimeExecucao="Global","",ORÇAMENTO!W198)</f>
        <v/>
      </c>
      <c r="I198" s="127">
        <f ca="1">ORÇAMENTO!X198</f>
        <v>0</v>
      </c>
      <c r="J198" s="378">
        <f ca="1">IF($A198="S",IF(CAIXA.Modo,BM.AFAnterior,BM.MEDAnterior),IF(AND(RegimeExecucao="Global",$I198&gt;0,COUNTIF($AB$13:$AM$13,BM.medicao-1)&gt;0),M198/$I198*100,0))</f>
        <v>0</v>
      </c>
      <c r="K198" s="124">
        <f t="shared" ca="1" si="24"/>
        <v>0</v>
      </c>
      <c r="L198" s="379">
        <f ca="1">IF($A198="S",IF(CAIXA.Modo,BM.AFAcumulado,BM.MEDAcumulado),IF(AND(RegimeExecucao="Global",$I198&gt;0,COUNTIF($AB$13:$AM$13,BM.medicao)&gt;0),O198/$I198*100,0))</f>
        <v>0</v>
      </c>
      <c r="M198" s="380">
        <f ca="1">IF($A198="S",VTOTALBM,IF($A198=0,0,ROUND(SomaAgrupBM,15-13*ORÇAMENTO!$AF$11)))</f>
        <v>0</v>
      </c>
      <c r="N198" s="381">
        <f t="shared" ca="1" si="25"/>
        <v>0</v>
      </c>
      <c r="O198" s="127">
        <f ca="1">IF($A198="S",VTOTALBM,IF($A198=0,0,ROUND(SomaAgrupBM,15-13*ORÇAMENTO!$AF$11)))</f>
        <v>0</v>
      </c>
      <c r="Q198" s="382"/>
      <c r="R198" s="383"/>
      <c r="T198" s="119" t="str">
        <f t="shared" ca="1" si="26"/>
        <v/>
      </c>
      <c r="U198" s="172" t="str">
        <f t="shared" ca="1" si="27"/>
        <v/>
      </c>
      <c r="V198" s="173" t="str">
        <f ca="1">IF(AND($W198&gt;0,RegimeExecucao="Unitário"),$F198,"")</f>
        <v/>
      </c>
      <c r="W198" s="547">
        <f ca="1">IF($Y198&gt;0,CHOOSE(MATCH(RegimeExecucao,{"Unitário","Global"},0),IF($A198="S",$Y198/$X198,""),($Y198/$X198)*100),0)</f>
        <v>0</v>
      </c>
      <c r="X198" s="384" t="str">
        <f ca="1">IF($Y198&gt;0,CHOOSE(MATCH(RegimeExecucao,{"Unitário","Global"},0),IF($A198="S",ROUND($H198,ORÇAMENTO!$AF$10),""),ROUND($I198,ORÇAMENTO!$AF$11)),"")</f>
        <v/>
      </c>
      <c r="Y198" s="384">
        <f t="shared" ca="1" si="28"/>
        <v>0</v>
      </c>
      <c r="Z198" s="572"/>
      <c r="AB198" s="382"/>
      <c r="AC198" s="516"/>
      <c r="AD198" s="516"/>
      <c r="AE198" s="516"/>
      <c r="AF198" s="516"/>
      <c r="AG198" s="516"/>
      <c r="AH198" s="516"/>
      <c r="AI198" s="516"/>
      <c r="AJ198" s="516"/>
      <c r="AK198" s="516"/>
      <c r="AL198" s="516"/>
      <c r="AM198" s="383"/>
      <c r="AO198">
        <f ca="1">IF($A198="S",IF(BM!$I198=0,0,CHOOSE(MATCH(RegimeExecucao,{"Global","Unitário"},0),ROUND(ROUND(BM.MEDAcumulado,15-13*BM!$A$9)/100*BM!$I198,15-13*ORÇAMENTO!$AF$11),ROUND(ROUND(BM.MEDAcumulado,15-13*BM!$A$9)*ROUND(BM!$H198,15-13*ORÇAMENTO!$AF$10),15-13*ORÇAMENTO!$AF$11))),IF($A198=0,0,ROUND(SomaAgrupBM,15-13*ORÇAMENTO!$AF$11)))</f>
        <v>0</v>
      </c>
    </row>
    <row r="199" spans="1:41" x14ac:dyDescent="0.2">
      <c r="A199">
        <f ca="1">ORÇAMENTO!C199</f>
        <v>2</v>
      </c>
      <c r="B199">
        <f ca="1">ORÇAMENTO!D199</f>
        <v>13</v>
      </c>
      <c r="C199" s="116" t="str">
        <f t="shared" ca="1" si="22"/>
        <v>F</v>
      </c>
      <c r="D199" s="119" t="str">
        <f ca="1">ORÇAMENTO!O199</f>
        <v>1.27.</v>
      </c>
      <c r="E199" s="172" t="str">
        <f t="shared" si="23"/>
        <v>SISTEMAS DE PISOS - PAVIMENTAÇÃO INTERNA</v>
      </c>
      <c r="F199" s="173" t="str">
        <f ca="1">IF(RegimeExecucao="Global","",ORÇAMENTO.Unidade)</f>
        <v/>
      </c>
      <c r="G199" s="124" t="str">
        <f ca="1">IF(RegimeExecucao="Global","",ORÇAMENTO!T199)</f>
        <v/>
      </c>
      <c r="H199" s="124" t="str">
        <f ca="1">IF(RegimeExecucao="Global","",ORÇAMENTO!W199)</f>
        <v/>
      </c>
      <c r="I199" s="127">
        <f ca="1">ORÇAMENTO!X199</f>
        <v>0</v>
      </c>
      <c r="J199" s="378">
        <f ca="1">IF($A199="S",IF(CAIXA.Modo,BM.AFAnterior,BM.MEDAnterior),IF(AND(RegimeExecucao="Global",$I199&gt;0,COUNTIF($AB$13:$AM$13,BM.medicao-1)&gt;0),M199/$I199*100,0))</f>
        <v>0</v>
      </c>
      <c r="K199" s="124">
        <f t="shared" ca="1" si="24"/>
        <v>0</v>
      </c>
      <c r="L199" s="379">
        <f ca="1">IF($A199="S",IF(CAIXA.Modo,BM.AFAcumulado,BM.MEDAcumulado),IF(AND(RegimeExecucao="Global",$I199&gt;0,COUNTIF($AB$13:$AM$13,BM.medicao)&gt;0),O199/$I199*100,0))</f>
        <v>0</v>
      </c>
      <c r="M199" s="380">
        <f ca="1">IF($A199="S",VTOTALBM,IF($A199=0,0,ROUND(SomaAgrupBM,15-13*ORÇAMENTO!$AF$11)))</f>
        <v>0</v>
      </c>
      <c r="N199" s="381">
        <f t="shared" ca="1" si="25"/>
        <v>0</v>
      </c>
      <c r="O199" s="127">
        <f ca="1">IF($A199="S",VTOTALBM,IF($A199=0,0,ROUND(SomaAgrupBM,15-13*ORÇAMENTO!$AF$11)))</f>
        <v>0</v>
      </c>
      <c r="Q199" s="382"/>
      <c r="R199" s="383"/>
      <c r="T199" s="119" t="str">
        <f t="shared" ca="1" si="26"/>
        <v/>
      </c>
      <c r="U199" s="172" t="str">
        <f t="shared" ca="1" si="27"/>
        <v/>
      </c>
      <c r="V199" s="173" t="str">
        <f ca="1">IF(AND($W199&gt;0,RegimeExecucao="Unitário"),$F199,"")</f>
        <v/>
      </c>
      <c r="W199" s="547">
        <f ca="1">IF($Y199&gt;0,CHOOSE(MATCH(RegimeExecucao,{"Unitário","Global"},0),IF($A199="S",$Y199/$X199,""),($Y199/$X199)*100),0)</f>
        <v>0</v>
      </c>
      <c r="X199" s="384" t="str">
        <f ca="1">IF($Y199&gt;0,CHOOSE(MATCH(RegimeExecucao,{"Unitário","Global"},0),IF($A199="S",ROUND($H199,ORÇAMENTO!$AF$10),""),ROUND($I199,ORÇAMENTO!$AF$11)),"")</f>
        <v/>
      </c>
      <c r="Y199" s="384">
        <f t="shared" ca="1" si="28"/>
        <v>0</v>
      </c>
      <c r="Z199" s="572"/>
      <c r="AB199" s="382"/>
      <c r="AC199" s="516"/>
      <c r="AD199" s="516"/>
      <c r="AE199" s="516"/>
      <c r="AF199" s="516"/>
      <c r="AG199" s="516"/>
      <c r="AH199" s="516"/>
      <c r="AI199" s="516"/>
      <c r="AJ199" s="516"/>
      <c r="AK199" s="516"/>
      <c r="AL199" s="516"/>
      <c r="AM199" s="383"/>
      <c r="AO199">
        <f ca="1">IF($A199="S",IF(BM!$I199=0,0,CHOOSE(MATCH(RegimeExecucao,{"Global","Unitário"},0),ROUND(ROUND(BM.MEDAcumulado,15-13*BM!$A$9)/100*BM!$I199,15-13*ORÇAMENTO!$AF$11),ROUND(ROUND(BM.MEDAcumulado,15-13*BM!$A$9)*ROUND(BM!$H199,15-13*ORÇAMENTO!$AF$10),15-13*ORÇAMENTO!$AF$11))),IF($A199=0,0,ROUND(SomaAgrupBM,15-13*ORÇAMENTO!$AF$11)))</f>
        <v>0</v>
      </c>
    </row>
    <row r="200" spans="1:41" ht="25.5" x14ac:dyDescent="0.2">
      <c r="A200" t="str">
        <f ca="1">ORÇAMENTO!C200</f>
        <v>S</v>
      </c>
      <c r="B200">
        <f ca="1">ORÇAMENTO!D200</f>
        <v>0</v>
      </c>
      <c r="C200" s="116" t="str">
        <f t="shared" ca="1" si="22"/>
        <v/>
      </c>
      <c r="D200" s="119" t="str">
        <f ca="1">ORÇAMENTO!O200</f>
        <v>-</v>
      </c>
      <c r="E200" s="172" t="str">
        <f t="shared" ca="1" si="23"/>
        <v>(abra o arquivo 'Referência 06-2024.xlsm)</v>
      </c>
      <c r="F200" s="173" t="str">
        <f ca="1">IF(RegimeExecucao="Global","",ORÇAMENTO.Unidade)</f>
        <v/>
      </c>
      <c r="G200" s="124" t="str">
        <f ca="1">IF(RegimeExecucao="Global","",ORÇAMENTO!T200)</f>
        <v/>
      </c>
      <c r="H200" s="124" t="str">
        <f ca="1">IF(RegimeExecucao="Global","",ORÇAMENTO!W200)</f>
        <v/>
      </c>
      <c r="I200" s="127">
        <f ca="1">ORÇAMENTO!X200</f>
        <v>0</v>
      </c>
      <c r="J200" s="378">
        <f ca="1">IF($A200="S",IF(CAIXA.Modo,BM.AFAnterior,BM.MEDAnterior),IF(AND(RegimeExecucao="Global",$I200&gt;0,COUNTIF($AB$13:$AM$13,BM.medicao-1)&gt;0),M200/$I200*100,0))</f>
        <v>0</v>
      </c>
      <c r="K200" s="124">
        <f t="shared" ca="1" si="24"/>
        <v>0</v>
      </c>
      <c r="L200" s="379">
        <f ca="1">IF($A200="S",IF(CAIXA.Modo,BM.AFAcumulado,BM.MEDAcumulado),IF(AND(RegimeExecucao="Global",$I200&gt;0,COUNTIF($AB$13:$AM$13,BM.medicao)&gt;0),O200/$I200*100,0))</f>
        <v>0</v>
      </c>
      <c r="M200" s="380">
        <f ca="1">IF($A200="S",VTOTALBM,IF($A200=0,0,ROUND(SomaAgrupBM,15-13*ORÇAMENTO!$AF$11)))</f>
        <v>0</v>
      </c>
      <c r="N200" s="381">
        <f t="shared" ca="1" si="25"/>
        <v>0</v>
      </c>
      <c r="O200" s="127">
        <f ca="1">IF($A200="S",VTOTALBM,IF($A200=0,0,ROUND(SomaAgrupBM,15-13*ORÇAMENTO!$AF$11)))</f>
        <v>0</v>
      </c>
      <c r="Q200" s="382"/>
      <c r="R200" s="383"/>
      <c r="T200" s="119" t="str">
        <f t="shared" ca="1" si="26"/>
        <v/>
      </c>
      <c r="U200" s="172" t="str">
        <f t="shared" ca="1" si="27"/>
        <v/>
      </c>
      <c r="V200" s="173" t="str">
        <f ca="1">IF(AND($W200&gt;0,RegimeExecucao="Unitário"),$F200,"")</f>
        <v/>
      </c>
      <c r="W200" s="547">
        <f ca="1">IF($Y200&gt;0,CHOOSE(MATCH(RegimeExecucao,{"Unitário","Global"},0),IF($A200="S",$Y200/$X200,""),($Y200/$X200)*100),0)</f>
        <v>0</v>
      </c>
      <c r="X200" s="384" t="str">
        <f ca="1">IF($Y200&gt;0,CHOOSE(MATCH(RegimeExecucao,{"Unitário","Global"},0),IF($A200="S",ROUND($H200,ORÇAMENTO!$AF$10),""),ROUND($I200,ORÇAMENTO!$AF$11)),"")</f>
        <v/>
      </c>
      <c r="Y200" s="384">
        <f t="shared" ca="1" si="28"/>
        <v>0</v>
      </c>
      <c r="Z200" s="572"/>
      <c r="AB200" s="382"/>
      <c r="AC200" s="516"/>
      <c r="AD200" s="516"/>
      <c r="AE200" s="516"/>
      <c r="AF200" s="516"/>
      <c r="AG200" s="516"/>
      <c r="AH200" s="516"/>
      <c r="AI200" s="516"/>
      <c r="AJ200" s="516"/>
      <c r="AK200" s="516"/>
      <c r="AL200" s="516"/>
      <c r="AM200" s="383"/>
      <c r="AO200">
        <f ca="1">IF($A200="S",IF(BM!$I200=0,0,CHOOSE(MATCH(RegimeExecucao,{"Global","Unitário"},0),ROUND(ROUND(BM.MEDAcumulado,15-13*BM!$A$9)/100*BM!$I200,15-13*ORÇAMENTO!$AF$11),ROUND(ROUND(BM.MEDAcumulado,15-13*BM!$A$9)*ROUND(BM!$H200,15-13*ORÇAMENTO!$AF$10),15-13*ORÇAMENTO!$AF$11))),IF($A200=0,0,ROUND(SomaAgrupBM,15-13*ORÇAMENTO!$AF$11)))</f>
        <v>0</v>
      </c>
    </row>
    <row r="201" spans="1:41" ht="63.75" x14ac:dyDescent="0.2">
      <c r="A201" t="str">
        <f ca="1">ORÇAMENTO!C201</f>
        <v>S</v>
      </c>
      <c r="B201">
        <f ca="1">ORÇAMENTO!D201</f>
        <v>0</v>
      </c>
      <c r="C201" s="116" t="str">
        <f t="shared" ca="1" si="22"/>
        <v/>
      </c>
      <c r="D201" s="119" t="str">
        <f ca="1">ORÇAMENTO!O201</f>
        <v>-</v>
      </c>
      <c r="E201" s="172" t="str">
        <f t="shared" ca="1" si="23"/>
        <v>(abra o arquivo 'Referência 06-2024.xlsm)</v>
      </c>
      <c r="F201" s="173" t="str">
        <f ca="1">IF(RegimeExecucao="Global","",ORÇAMENTO.Unidade)</f>
        <v/>
      </c>
      <c r="G201" s="124" t="str">
        <f ca="1">IF(RegimeExecucao="Global","",ORÇAMENTO!T201)</f>
        <v/>
      </c>
      <c r="H201" s="124" t="str">
        <f ca="1">IF(RegimeExecucao="Global","",ORÇAMENTO!W201)</f>
        <v/>
      </c>
      <c r="I201" s="127">
        <f ca="1">ORÇAMENTO!X201</f>
        <v>0</v>
      </c>
      <c r="J201" s="378">
        <f ca="1">IF($A201="S",IF(CAIXA.Modo,BM.AFAnterior,BM.MEDAnterior),IF(AND(RegimeExecucao="Global",$I201&gt;0,COUNTIF($AB$13:$AM$13,BM.medicao-1)&gt;0),M201/$I201*100,0))</f>
        <v>0</v>
      </c>
      <c r="K201" s="124">
        <f t="shared" ca="1" si="24"/>
        <v>0</v>
      </c>
      <c r="L201" s="379">
        <f ca="1">IF($A201="S",IF(CAIXA.Modo,BM.AFAcumulado,BM.MEDAcumulado),IF(AND(RegimeExecucao="Global",$I201&gt;0,COUNTIF($AB$13:$AM$13,BM.medicao)&gt;0),O201/$I201*100,0))</f>
        <v>0</v>
      </c>
      <c r="M201" s="380">
        <f ca="1">IF($A201="S",VTOTALBM,IF($A201=0,0,ROUND(SomaAgrupBM,15-13*ORÇAMENTO!$AF$11)))</f>
        <v>0</v>
      </c>
      <c r="N201" s="381">
        <f t="shared" ca="1" si="25"/>
        <v>0</v>
      </c>
      <c r="O201" s="127">
        <f ca="1">IF($A201="S",VTOTALBM,IF($A201=0,0,ROUND(SomaAgrupBM,15-13*ORÇAMENTO!$AF$11)))</f>
        <v>0</v>
      </c>
      <c r="Q201" s="382"/>
      <c r="R201" s="383"/>
      <c r="T201" s="119" t="str">
        <f t="shared" ca="1" si="26"/>
        <v/>
      </c>
      <c r="U201" s="172" t="str">
        <f t="shared" ca="1" si="27"/>
        <v/>
      </c>
      <c r="V201" s="173" t="str">
        <f ca="1">IF(AND($W201&gt;0,RegimeExecucao="Unitário"),$F201,"")</f>
        <v/>
      </c>
      <c r="W201" s="547">
        <f ca="1">IF($Y201&gt;0,CHOOSE(MATCH(RegimeExecucao,{"Unitário","Global"},0),IF($A201="S",$Y201/$X201,""),($Y201/$X201)*100),0)</f>
        <v>0</v>
      </c>
      <c r="X201" s="384" t="str">
        <f ca="1">IF($Y201&gt;0,CHOOSE(MATCH(RegimeExecucao,{"Unitário","Global"},0),IF($A201="S",ROUND($H201,ORÇAMENTO!$AF$10),""),ROUND($I201,ORÇAMENTO!$AF$11)),"")</f>
        <v/>
      </c>
      <c r="Y201" s="384">
        <f t="shared" ca="1" si="28"/>
        <v>0</v>
      </c>
      <c r="Z201" s="572"/>
      <c r="AB201" s="382"/>
      <c r="AC201" s="516"/>
      <c r="AD201" s="516"/>
      <c r="AE201" s="516"/>
      <c r="AF201" s="516"/>
      <c r="AG201" s="516"/>
      <c r="AH201" s="516"/>
      <c r="AI201" s="516"/>
      <c r="AJ201" s="516"/>
      <c r="AK201" s="516"/>
      <c r="AL201" s="516"/>
      <c r="AM201" s="383"/>
      <c r="AO201">
        <f ca="1">IF($A201="S",IF(BM!$I201=0,0,CHOOSE(MATCH(RegimeExecucao,{"Global","Unitário"},0),ROUND(ROUND(BM.MEDAcumulado,15-13*BM!$A$9)/100*BM!$I201,15-13*ORÇAMENTO!$AF$11),ROUND(ROUND(BM.MEDAcumulado,15-13*BM!$A$9)*ROUND(BM!$H201,15-13*ORÇAMENTO!$AF$10),15-13*ORÇAMENTO!$AF$11))),IF($A201=0,0,ROUND(SomaAgrupBM,15-13*ORÇAMENTO!$AF$11)))</f>
        <v>0</v>
      </c>
    </row>
    <row r="202" spans="1:41" ht="38.25" x14ac:dyDescent="0.2">
      <c r="A202" t="str">
        <f ca="1">ORÇAMENTO!C202</f>
        <v>S</v>
      </c>
      <c r="B202">
        <f ca="1">ORÇAMENTO!D202</f>
        <v>0</v>
      </c>
      <c r="C202" s="116" t="str">
        <f t="shared" ca="1" si="22"/>
        <v/>
      </c>
      <c r="D202" s="119" t="str">
        <f ca="1">ORÇAMENTO!O202</f>
        <v>-</v>
      </c>
      <c r="E202" s="172" t="str">
        <f t="shared" ca="1" si="23"/>
        <v>(abra o arquivo 'Referência 06-2024.xlsm)</v>
      </c>
      <c r="F202" s="173" t="str">
        <f ca="1">IF(RegimeExecucao="Global","",ORÇAMENTO.Unidade)</f>
        <v/>
      </c>
      <c r="G202" s="124" t="str">
        <f ca="1">IF(RegimeExecucao="Global","",ORÇAMENTO!T202)</f>
        <v/>
      </c>
      <c r="H202" s="124" t="str">
        <f ca="1">IF(RegimeExecucao="Global","",ORÇAMENTO!W202)</f>
        <v/>
      </c>
      <c r="I202" s="127">
        <f ca="1">ORÇAMENTO!X202</f>
        <v>0</v>
      </c>
      <c r="J202" s="378">
        <f ca="1">IF($A202="S",IF(CAIXA.Modo,BM.AFAnterior,BM.MEDAnterior),IF(AND(RegimeExecucao="Global",$I202&gt;0,COUNTIF($AB$13:$AM$13,BM.medicao-1)&gt;0),M202/$I202*100,0))</f>
        <v>0</v>
      </c>
      <c r="K202" s="124">
        <f t="shared" ca="1" si="24"/>
        <v>0</v>
      </c>
      <c r="L202" s="379">
        <f ca="1">IF($A202="S",IF(CAIXA.Modo,BM.AFAcumulado,BM.MEDAcumulado),IF(AND(RegimeExecucao="Global",$I202&gt;0,COUNTIF($AB$13:$AM$13,BM.medicao)&gt;0),O202/$I202*100,0))</f>
        <v>0</v>
      </c>
      <c r="M202" s="380">
        <f ca="1">IF($A202="S",VTOTALBM,IF($A202=0,0,ROUND(SomaAgrupBM,15-13*ORÇAMENTO!$AF$11)))</f>
        <v>0</v>
      </c>
      <c r="N202" s="381">
        <f t="shared" ca="1" si="25"/>
        <v>0</v>
      </c>
      <c r="O202" s="127">
        <f ca="1">IF($A202="S",VTOTALBM,IF($A202=0,0,ROUND(SomaAgrupBM,15-13*ORÇAMENTO!$AF$11)))</f>
        <v>0</v>
      </c>
      <c r="Q202" s="382"/>
      <c r="R202" s="383"/>
      <c r="T202" s="119" t="str">
        <f t="shared" ca="1" si="26"/>
        <v/>
      </c>
      <c r="U202" s="172" t="str">
        <f t="shared" ca="1" si="27"/>
        <v/>
      </c>
      <c r="V202" s="173" t="str">
        <f ca="1">IF(AND($W202&gt;0,RegimeExecucao="Unitário"),$F202,"")</f>
        <v/>
      </c>
      <c r="W202" s="547">
        <f ca="1">IF($Y202&gt;0,CHOOSE(MATCH(RegimeExecucao,{"Unitário","Global"},0),IF($A202="S",$Y202/$X202,""),($Y202/$X202)*100),0)</f>
        <v>0</v>
      </c>
      <c r="X202" s="384" t="str">
        <f ca="1">IF($Y202&gt;0,CHOOSE(MATCH(RegimeExecucao,{"Unitário","Global"},0),IF($A202="S",ROUND($H202,ORÇAMENTO!$AF$10),""),ROUND($I202,ORÇAMENTO!$AF$11)),"")</f>
        <v/>
      </c>
      <c r="Y202" s="384">
        <f t="shared" ca="1" si="28"/>
        <v>0</v>
      </c>
      <c r="Z202" s="572"/>
      <c r="AB202" s="382"/>
      <c r="AC202" s="516"/>
      <c r="AD202" s="516"/>
      <c r="AE202" s="516"/>
      <c r="AF202" s="516"/>
      <c r="AG202" s="516"/>
      <c r="AH202" s="516"/>
      <c r="AI202" s="516"/>
      <c r="AJ202" s="516"/>
      <c r="AK202" s="516"/>
      <c r="AL202" s="516"/>
      <c r="AM202" s="383"/>
      <c r="AO202">
        <f ca="1">IF($A202="S",IF(BM!$I202=0,0,CHOOSE(MATCH(RegimeExecucao,{"Global","Unitário"},0),ROUND(ROUND(BM.MEDAcumulado,15-13*BM!$A$9)/100*BM!$I202,15-13*ORÇAMENTO!$AF$11),ROUND(ROUND(BM.MEDAcumulado,15-13*BM!$A$9)*ROUND(BM!$H202,15-13*ORÇAMENTO!$AF$10),15-13*ORÇAMENTO!$AF$11))),IF($A202=0,0,ROUND(SomaAgrupBM,15-13*ORÇAMENTO!$AF$11)))</f>
        <v>0</v>
      </c>
    </row>
    <row r="203" spans="1:41" ht="38.25" x14ac:dyDescent="0.2">
      <c r="A203" t="str">
        <f ca="1">ORÇAMENTO!C203</f>
        <v>S</v>
      </c>
      <c r="B203">
        <f ca="1">ORÇAMENTO!D203</f>
        <v>0</v>
      </c>
      <c r="C203" s="116" t="str">
        <f t="shared" ca="1" si="22"/>
        <v/>
      </c>
      <c r="D203" s="119" t="str">
        <f ca="1">ORÇAMENTO!O203</f>
        <v>-</v>
      </c>
      <c r="E203" s="172" t="str">
        <f t="shared" ca="1" si="23"/>
        <v>(abra o arquivo 'Referência 06-2024.xlsm)</v>
      </c>
      <c r="F203" s="173" t="str">
        <f ca="1">IF(RegimeExecucao="Global","",ORÇAMENTO.Unidade)</f>
        <v/>
      </c>
      <c r="G203" s="124" t="str">
        <f ca="1">IF(RegimeExecucao="Global","",ORÇAMENTO!T203)</f>
        <v/>
      </c>
      <c r="H203" s="124" t="str">
        <f ca="1">IF(RegimeExecucao="Global","",ORÇAMENTO!W203)</f>
        <v/>
      </c>
      <c r="I203" s="127">
        <f ca="1">ORÇAMENTO!X203</f>
        <v>0</v>
      </c>
      <c r="J203" s="378">
        <f ca="1">IF($A203="S",IF(CAIXA.Modo,BM.AFAnterior,BM.MEDAnterior),IF(AND(RegimeExecucao="Global",$I203&gt;0,COUNTIF($AB$13:$AM$13,BM.medicao-1)&gt;0),M203/$I203*100,0))</f>
        <v>0</v>
      </c>
      <c r="K203" s="124">
        <f t="shared" ca="1" si="24"/>
        <v>0</v>
      </c>
      <c r="L203" s="379">
        <f ca="1">IF($A203="S",IF(CAIXA.Modo,BM.AFAcumulado,BM.MEDAcumulado),IF(AND(RegimeExecucao="Global",$I203&gt;0,COUNTIF($AB$13:$AM$13,BM.medicao)&gt;0),O203/$I203*100,0))</f>
        <v>0</v>
      </c>
      <c r="M203" s="380">
        <f ca="1">IF($A203="S",VTOTALBM,IF($A203=0,0,ROUND(SomaAgrupBM,15-13*ORÇAMENTO!$AF$11)))</f>
        <v>0</v>
      </c>
      <c r="N203" s="381">
        <f t="shared" ca="1" si="25"/>
        <v>0</v>
      </c>
      <c r="O203" s="127">
        <f ca="1">IF($A203="S",VTOTALBM,IF($A203=0,0,ROUND(SomaAgrupBM,15-13*ORÇAMENTO!$AF$11)))</f>
        <v>0</v>
      </c>
      <c r="Q203" s="382"/>
      <c r="R203" s="383"/>
      <c r="T203" s="119" t="str">
        <f t="shared" ca="1" si="26"/>
        <v/>
      </c>
      <c r="U203" s="172" t="str">
        <f t="shared" ca="1" si="27"/>
        <v/>
      </c>
      <c r="V203" s="173" t="str">
        <f ca="1">IF(AND($W203&gt;0,RegimeExecucao="Unitário"),$F203,"")</f>
        <v/>
      </c>
      <c r="W203" s="547">
        <f ca="1">IF($Y203&gt;0,CHOOSE(MATCH(RegimeExecucao,{"Unitário","Global"},0),IF($A203="S",$Y203/$X203,""),($Y203/$X203)*100),0)</f>
        <v>0</v>
      </c>
      <c r="X203" s="384" t="str">
        <f ca="1">IF($Y203&gt;0,CHOOSE(MATCH(RegimeExecucao,{"Unitário","Global"},0),IF($A203="S",ROUND($H203,ORÇAMENTO!$AF$10),""),ROUND($I203,ORÇAMENTO!$AF$11)),"")</f>
        <v/>
      </c>
      <c r="Y203" s="384">
        <f t="shared" ca="1" si="28"/>
        <v>0</v>
      </c>
      <c r="Z203" s="572"/>
      <c r="AB203" s="382"/>
      <c r="AC203" s="516"/>
      <c r="AD203" s="516"/>
      <c r="AE203" s="516"/>
      <c r="AF203" s="516"/>
      <c r="AG203" s="516"/>
      <c r="AH203" s="516"/>
      <c r="AI203" s="516"/>
      <c r="AJ203" s="516"/>
      <c r="AK203" s="516"/>
      <c r="AL203" s="516"/>
      <c r="AM203" s="383"/>
      <c r="AO203">
        <f ca="1">IF($A203="S",IF(BM!$I203=0,0,CHOOSE(MATCH(RegimeExecucao,{"Global","Unitário"},0),ROUND(ROUND(BM.MEDAcumulado,15-13*BM!$A$9)/100*BM!$I203,15-13*ORÇAMENTO!$AF$11),ROUND(ROUND(BM.MEDAcumulado,15-13*BM!$A$9)*ROUND(BM!$H203,15-13*ORÇAMENTO!$AF$10),15-13*ORÇAMENTO!$AF$11))),IF($A203=0,0,ROUND(SomaAgrupBM,15-13*ORÇAMENTO!$AF$11)))</f>
        <v>0</v>
      </c>
    </row>
    <row r="204" spans="1:41" ht="25.5" x14ac:dyDescent="0.2">
      <c r="A204" t="str">
        <f ca="1">ORÇAMENTO!C204</f>
        <v>S</v>
      </c>
      <c r="B204">
        <f ca="1">ORÇAMENTO!D204</f>
        <v>0</v>
      </c>
      <c r="C204" s="116" t="str">
        <f t="shared" ca="1" si="22"/>
        <v/>
      </c>
      <c r="D204" s="119" t="str">
        <f ca="1">ORÇAMENTO!O204</f>
        <v>-</v>
      </c>
      <c r="E204" s="172" t="str">
        <f t="shared" ca="1" si="23"/>
        <v>(abra o arquivo 'Referência 06-2024.xlsm)</v>
      </c>
      <c r="F204" s="173" t="str">
        <f ca="1">IF(RegimeExecucao="Global","",ORÇAMENTO.Unidade)</f>
        <v/>
      </c>
      <c r="G204" s="124" t="str">
        <f ca="1">IF(RegimeExecucao="Global","",ORÇAMENTO!T204)</f>
        <v/>
      </c>
      <c r="H204" s="124" t="str">
        <f ca="1">IF(RegimeExecucao="Global","",ORÇAMENTO!W204)</f>
        <v/>
      </c>
      <c r="I204" s="127">
        <f ca="1">ORÇAMENTO!X204</f>
        <v>0</v>
      </c>
      <c r="J204" s="378">
        <f ca="1">IF($A204="S",IF(CAIXA.Modo,BM.AFAnterior,BM.MEDAnterior),IF(AND(RegimeExecucao="Global",$I204&gt;0,COUNTIF($AB$13:$AM$13,BM.medicao-1)&gt;0),M204/$I204*100,0))</f>
        <v>0</v>
      </c>
      <c r="K204" s="124">
        <f t="shared" ca="1" si="24"/>
        <v>0</v>
      </c>
      <c r="L204" s="379">
        <f ca="1">IF($A204="S",IF(CAIXA.Modo,BM.AFAcumulado,BM.MEDAcumulado),IF(AND(RegimeExecucao="Global",$I204&gt;0,COUNTIF($AB$13:$AM$13,BM.medicao)&gt;0),O204/$I204*100,0))</f>
        <v>0</v>
      </c>
      <c r="M204" s="380">
        <f ca="1">IF($A204="S",VTOTALBM,IF($A204=0,0,ROUND(SomaAgrupBM,15-13*ORÇAMENTO!$AF$11)))</f>
        <v>0</v>
      </c>
      <c r="N204" s="381">
        <f t="shared" ca="1" si="25"/>
        <v>0</v>
      </c>
      <c r="O204" s="127">
        <f ca="1">IF($A204="S",VTOTALBM,IF($A204=0,0,ROUND(SomaAgrupBM,15-13*ORÇAMENTO!$AF$11)))</f>
        <v>0</v>
      </c>
      <c r="Q204" s="382"/>
      <c r="R204" s="383"/>
      <c r="T204" s="119" t="str">
        <f t="shared" ca="1" si="26"/>
        <v/>
      </c>
      <c r="U204" s="172" t="str">
        <f t="shared" ca="1" si="27"/>
        <v/>
      </c>
      <c r="V204" s="173" t="str">
        <f ca="1">IF(AND($W204&gt;0,RegimeExecucao="Unitário"),$F204,"")</f>
        <v/>
      </c>
      <c r="W204" s="547">
        <f ca="1">IF($Y204&gt;0,CHOOSE(MATCH(RegimeExecucao,{"Unitário","Global"},0),IF($A204="S",$Y204/$X204,""),($Y204/$X204)*100),0)</f>
        <v>0</v>
      </c>
      <c r="X204" s="384" t="str">
        <f ca="1">IF($Y204&gt;0,CHOOSE(MATCH(RegimeExecucao,{"Unitário","Global"},0),IF($A204="S",ROUND($H204,ORÇAMENTO!$AF$10),""),ROUND($I204,ORÇAMENTO!$AF$11)),"")</f>
        <v/>
      </c>
      <c r="Y204" s="384">
        <f t="shared" ca="1" si="28"/>
        <v>0</v>
      </c>
      <c r="Z204" s="572"/>
      <c r="AB204" s="382"/>
      <c r="AC204" s="516"/>
      <c r="AD204" s="516"/>
      <c r="AE204" s="516"/>
      <c r="AF204" s="516"/>
      <c r="AG204" s="516"/>
      <c r="AH204" s="516"/>
      <c r="AI204" s="516"/>
      <c r="AJ204" s="516"/>
      <c r="AK204" s="516"/>
      <c r="AL204" s="516"/>
      <c r="AM204" s="383"/>
      <c r="AO204">
        <f ca="1">IF($A204="S",IF(BM!$I204=0,0,CHOOSE(MATCH(RegimeExecucao,{"Global","Unitário"},0),ROUND(ROUND(BM.MEDAcumulado,15-13*BM!$A$9)/100*BM!$I204,15-13*ORÇAMENTO!$AF$11),ROUND(ROUND(BM.MEDAcumulado,15-13*BM!$A$9)*ROUND(BM!$H204,15-13*ORÇAMENTO!$AF$10),15-13*ORÇAMENTO!$AF$11))),IF($A204=0,0,ROUND(SomaAgrupBM,15-13*ORÇAMENTO!$AF$11)))</f>
        <v>0</v>
      </c>
    </row>
    <row r="205" spans="1:41" ht="25.5" x14ac:dyDescent="0.2">
      <c r="A205" t="str">
        <f ca="1">ORÇAMENTO!C205</f>
        <v>S</v>
      </c>
      <c r="B205">
        <f ca="1">ORÇAMENTO!D205</f>
        <v>0</v>
      </c>
      <c r="C205" s="116" t="str">
        <f t="shared" ca="1" si="22"/>
        <v/>
      </c>
      <c r="D205" s="119" t="str">
        <f ca="1">ORÇAMENTO!O205</f>
        <v>-</v>
      </c>
      <c r="E205" s="172" t="str">
        <f t="shared" ca="1" si="23"/>
        <v>(abra o arquivo 'Referência 06-2024.xlsm)</v>
      </c>
      <c r="F205" s="173" t="str">
        <f ca="1">IF(RegimeExecucao="Global","",ORÇAMENTO.Unidade)</f>
        <v/>
      </c>
      <c r="G205" s="124" t="str">
        <f ca="1">IF(RegimeExecucao="Global","",ORÇAMENTO!T205)</f>
        <v/>
      </c>
      <c r="H205" s="124" t="str">
        <f ca="1">IF(RegimeExecucao="Global","",ORÇAMENTO!W205)</f>
        <v/>
      </c>
      <c r="I205" s="127">
        <f ca="1">ORÇAMENTO!X205</f>
        <v>0</v>
      </c>
      <c r="J205" s="378">
        <f ca="1">IF($A205="S",IF(CAIXA.Modo,BM.AFAnterior,BM.MEDAnterior),IF(AND(RegimeExecucao="Global",$I205&gt;0,COUNTIF($AB$13:$AM$13,BM.medicao-1)&gt;0),M205/$I205*100,0))</f>
        <v>0</v>
      </c>
      <c r="K205" s="124">
        <f t="shared" ca="1" si="24"/>
        <v>0</v>
      </c>
      <c r="L205" s="379">
        <f ca="1">IF($A205="S",IF(CAIXA.Modo,BM.AFAcumulado,BM.MEDAcumulado),IF(AND(RegimeExecucao="Global",$I205&gt;0,COUNTIF($AB$13:$AM$13,BM.medicao)&gt;0),O205/$I205*100,0))</f>
        <v>0</v>
      </c>
      <c r="M205" s="380">
        <f ca="1">IF($A205="S",VTOTALBM,IF($A205=0,0,ROUND(SomaAgrupBM,15-13*ORÇAMENTO!$AF$11)))</f>
        <v>0</v>
      </c>
      <c r="N205" s="381">
        <f t="shared" ca="1" si="25"/>
        <v>0</v>
      </c>
      <c r="O205" s="127">
        <f ca="1">IF($A205="S",VTOTALBM,IF($A205=0,0,ROUND(SomaAgrupBM,15-13*ORÇAMENTO!$AF$11)))</f>
        <v>0</v>
      </c>
      <c r="Q205" s="382"/>
      <c r="R205" s="383"/>
      <c r="T205" s="119" t="str">
        <f t="shared" ca="1" si="26"/>
        <v/>
      </c>
      <c r="U205" s="172" t="str">
        <f t="shared" ca="1" si="27"/>
        <v/>
      </c>
      <c r="V205" s="173" t="str">
        <f ca="1">IF(AND($W205&gt;0,RegimeExecucao="Unitário"),$F205,"")</f>
        <v/>
      </c>
      <c r="W205" s="547">
        <f ca="1">IF($Y205&gt;0,CHOOSE(MATCH(RegimeExecucao,{"Unitário","Global"},0),IF($A205="S",$Y205/$X205,""),($Y205/$X205)*100),0)</f>
        <v>0</v>
      </c>
      <c r="X205" s="384" t="str">
        <f ca="1">IF($Y205&gt;0,CHOOSE(MATCH(RegimeExecucao,{"Unitário","Global"},0),IF($A205="S",ROUND($H205,ORÇAMENTO!$AF$10),""),ROUND($I205,ORÇAMENTO!$AF$11)),"")</f>
        <v/>
      </c>
      <c r="Y205" s="384">
        <f t="shared" ca="1" si="28"/>
        <v>0</v>
      </c>
      <c r="Z205" s="572"/>
      <c r="AB205" s="382"/>
      <c r="AC205" s="516"/>
      <c r="AD205" s="516"/>
      <c r="AE205" s="516"/>
      <c r="AF205" s="516"/>
      <c r="AG205" s="516"/>
      <c r="AH205" s="516"/>
      <c r="AI205" s="516"/>
      <c r="AJ205" s="516"/>
      <c r="AK205" s="516"/>
      <c r="AL205" s="516"/>
      <c r="AM205" s="383"/>
      <c r="AO205">
        <f ca="1">IF($A205="S",IF(BM!$I205=0,0,CHOOSE(MATCH(RegimeExecucao,{"Global","Unitário"},0),ROUND(ROUND(BM.MEDAcumulado,15-13*BM!$A$9)/100*BM!$I205,15-13*ORÇAMENTO!$AF$11),ROUND(ROUND(BM.MEDAcumulado,15-13*BM!$A$9)*ROUND(BM!$H205,15-13*ORÇAMENTO!$AF$10),15-13*ORÇAMENTO!$AF$11))),IF($A205=0,0,ROUND(SomaAgrupBM,15-13*ORÇAMENTO!$AF$11)))</f>
        <v>0</v>
      </c>
    </row>
    <row r="206" spans="1:41" ht="25.5" x14ac:dyDescent="0.2">
      <c r="A206" t="str">
        <f ca="1">ORÇAMENTO!C206</f>
        <v>S</v>
      </c>
      <c r="B206">
        <f ca="1">ORÇAMENTO!D206</f>
        <v>0</v>
      </c>
      <c r="C206" s="116" t="str">
        <f t="shared" ca="1" si="22"/>
        <v/>
      </c>
      <c r="D206" s="119" t="str">
        <f ca="1">ORÇAMENTO!O206</f>
        <v>-</v>
      </c>
      <c r="E206" s="172" t="str">
        <f t="shared" ca="1" si="23"/>
        <v>(abra o arquivo 'Referência 06-2024.xlsm)</v>
      </c>
      <c r="F206" s="173" t="str">
        <f ca="1">IF(RegimeExecucao="Global","",ORÇAMENTO.Unidade)</f>
        <v/>
      </c>
      <c r="G206" s="124" t="str">
        <f ca="1">IF(RegimeExecucao="Global","",ORÇAMENTO!T206)</f>
        <v/>
      </c>
      <c r="H206" s="124" t="str">
        <f ca="1">IF(RegimeExecucao="Global","",ORÇAMENTO!W206)</f>
        <v/>
      </c>
      <c r="I206" s="127">
        <f ca="1">ORÇAMENTO!X206</f>
        <v>0</v>
      </c>
      <c r="J206" s="378">
        <f ca="1">IF($A206="S",IF(CAIXA.Modo,BM.AFAnterior,BM.MEDAnterior),IF(AND(RegimeExecucao="Global",$I206&gt;0,COUNTIF($AB$13:$AM$13,BM.medicao-1)&gt;0),M206/$I206*100,0))</f>
        <v>0</v>
      </c>
      <c r="K206" s="124">
        <f t="shared" ca="1" si="24"/>
        <v>0</v>
      </c>
      <c r="L206" s="379">
        <f ca="1">IF($A206="S",IF(CAIXA.Modo,BM.AFAcumulado,BM.MEDAcumulado),IF(AND(RegimeExecucao="Global",$I206&gt;0,COUNTIF($AB$13:$AM$13,BM.medicao)&gt;0),O206/$I206*100,0))</f>
        <v>0</v>
      </c>
      <c r="M206" s="380">
        <f ca="1">IF($A206="S",VTOTALBM,IF($A206=0,0,ROUND(SomaAgrupBM,15-13*ORÇAMENTO!$AF$11)))</f>
        <v>0</v>
      </c>
      <c r="N206" s="381">
        <f t="shared" ca="1" si="25"/>
        <v>0</v>
      </c>
      <c r="O206" s="127">
        <f ca="1">IF($A206="S",VTOTALBM,IF($A206=0,0,ROUND(SomaAgrupBM,15-13*ORÇAMENTO!$AF$11)))</f>
        <v>0</v>
      </c>
      <c r="Q206" s="382"/>
      <c r="R206" s="383"/>
      <c r="T206" s="119" t="str">
        <f t="shared" ca="1" si="26"/>
        <v/>
      </c>
      <c r="U206" s="172" t="str">
        <f t="shared" ca="1" si="27"/>
        <v/>
      </c>
      <c r="V206" s="173" t="str">
        <f ca="1">IF(AND($W206&gt;0,RegimeExecucao="Unitário"),$F206,"")</f>
        <v/>
      </c>
      <c r="W206" s="547">
        <f ca="1">IF($Y206&gt;0,CHOOSE(MATCH(RegimeExecucao,{"Unitário","Global"},0),IF($A206="S",$Y206/$X206,""),($Y206/$X206)*100),0)</f>
        <v>0</v>
      </c>
      <c r="X206" s="384" t="str">
        <f ca="1">IF($Y206&gt;0,CHOOSE(MATCH(RegimeExecucao,{"Unitário","Global"},0),IF($A206="S",ROUND($H206,ORÇAMENTO!$AF$10),""),ROUND($I206,ORÇAMENTO!$AF$11)),"")</f>
        <v/>
      </c>
      <c r="Y206" s="384">
        <f t="shared" ca="1" si="28"/>
        <v>0</v>
      </c>
      <c r="Z206" s="572"/>
      <c r="AB206" s="382"/>
      <c r="AC206" s="516"/>
      <c r="AD206" s="516"/>
      <c r="AE206" s="516"/>
      <c r="AF206" s="516"/>
      <c r="AG206" s="516"/>
      <c r="AH206" s="516"/>
      <c r="AI206" s="516"/>
      <c r="AJ206" s="516"/>
      <c r="AK206" s="516"/>
      <c r="AL206" s="516"/>
      <c r="AM206" s="383"/>
      <c r="AO206">
        <f ca="1">IF($A206="S",IF(BM!$I206=0,0,CHOOSE(MATCH(RegimeExecucao,{"Global","Unitário"},0),ROUND(ROUND(BM.MEDAcumulado,15-13*BM!$A$9)/100*BM!$I206,15-13*ORÇAMENTO!$AF$11),ROUND(ROUND(BM.MEDAcumulado,15-13*BM!$A$9)*ROUND(BM!$H206,15-13*ORÇAMENTO!$AF$10),15-13*ORÇAMENTO!$AF$11))),IF($A206=0,0,ROUND(SomaAgrupBM,15-13*ORÇAMENTO!$AF$11)))</f>
        <v>0</v>
      </c>
    </row>
    <row r="207" spans="1:41" ht="25.5" x14ac:dyDescent="0.2">
      <c r="A207" t="str">
        <f ca="1">ORÇAMENTO!C207</f>
        <v>S</v>
      </c>
      <c r="B207">
        <f ca="1">ORÇAMENTO!D207</f>
        <v>0</v>
      </c>
      <c r="C207" s="116" t="str">
        <f t="shared" ca="1" si="22"/>
        <v/>
      </c>
      <c r="D207" s="119" t="str">
        <f ca="1">ORÇAMENTO!O207</f>
        <v>-</v>
      </c>
      <c r="E207" s="172" t="str">
        <f t="shared" ca="1" si="23"/>
        <v>(abra o arquivo 'Referência 06-2024.xlsm)</v>
      </c>
      <c r="F207" s="173" t="str">
        <f ca="1">IF(RegimeExecucao="Global","",ORÇAMENTO.Unidade)</f>
        <v/>
      </c>
      <c r="G207" s="124" t="str">
        <f ca="1">IF(RegimeExecucao="Global","",ORÇAMENTO!T207)</f>
        <v/>
      </c>
      <c r="H207" s="124" t="str">
        <f ca="1">IF(RegimeExecucao="Global","",ORÇAMENTO!W207)</f>
        <v/>
      </c>
      <c r="I207" s="127">
        <f ca="1">ORÇAMENTO!X207</f>
        <v>0</v>
      </c>
      <c r="J207" s="378">
        <f ca="1">IF($A207="S",IF(CAIXA.Modo,BM.AFAnterior,BM.MEDAnterior),IF(AND(RegimeExecucao="Global",$I207&gt;0,COUNTIF($AB$13:$AM$13,BM.medicao-1)&gt;0),M207/$I207*100,0))</f>
        <v>0</v>
      </c>
      <c r="K207" s="124">
        <f t="shared" ca="1" si="24"/>
        <v>0</v>
      </c>
      <c r="L207" s="379">
        <f ca="1">IF($A207="S",IF(CAIXA.Modo,BM.AFAcumulado,BM.MEDAcumulado),IF(AND(RegimeExecucao="Global",$I207&gt;0,COUNTIF($AB$13:$AM$13,BM.medicao)&gt;0),O207/$I207*100,0))</f>
        <v>0</v>
      </c>
      <c r="M207" s="380">
        <f ca="1">IF($A207="S",VTOTALBM,IF($A207=0,0,ROUND(SomaAgrupBM,15-13*ORÇAMENTO!$AF$11)))</f>
        <v>0</v>
      </c>
      <c r="N207" s="381">
        <f t="shared" ca="1" si="25"/>
        <v>0</v>
      </c>
      <c r="O207" s="127">
        <f ca="1">IF($A207="S",VTOTALBM,IF($A207=0,0,ROUND(SomaAgrupBM,15-13*ORÇAMENTO!$AF$11)))</f>
        <v>0</v>
      </c>
      <c r="Q207" s="382"/>
      <c r="R207" s="383"/>
      <c r="T207" s="119" t="str">
        <f t="shared" ca="1" si="26"/>
        <v/>
      </c>
      <c r="U207" s="172" t="str">
        <f t="shared" ca="1" si="27"/>
        <v/>
      </c>
      <c r="V207" s="173" t="str">
        <f ca="1">IF(AND($W207&gt;0,RegimeExecucao="Unitário"),$F207,"")</f>
        <v/>
      </c>
      <c r="W207" s="547">
        <f ca="1">IF($Y207&gt;0,CHOOSE(MATCH(RegimeExecucao,{"Unitário","Global"},0),IF($A207="S",$Y207/$X207,""),($Y207/$X207)*100),0)</f>
        <v>0</v>
      </c>
      <c r="X207" s="384" t="str">
        <f ca="1">IF($Y207&gt;0,CHOOSE(MATCH(RegimeExecucao,{"Unitário","Global"},0),IF($A207="S",ROUND($H207,ORÇAMENTO!$AF$10),""),ROUND($I207,ORÇAMENTO!$AF$11)),"")</f>
        <v/>
      </c>
      <c r="Y207" s="384">
        <f t="shared" ca="1" si="28"/>
        <v>0</v>
      </c>
      <c r="Z207" s="572"/>
      <c r="AB207" s="382"/>
      <c r="AC207" s="516"/>
      <c r="AD207" s="516"/>
      <c r="AE207" s="516"/>
      <c r="AF207" s="516"/>
      <c r="AG207" s="516"/>
      <c r="AH207" s="516"/>
      <c r="AI207" s="516"/>
      <c r="AJ207" s="516"/>
      <c r="AK207" s="516"/>
      <c r="AL207" s="516"/>
      <c r="AM207" s="383"/>
      <c r="AO207">
        <f ca="1">IF($A207="S",IF(BM!$I207=0,0,CHOOSE(MATCH(RegimeExecucao,{"Global","Unitário"},0),ROUND(ROUND(BM.MEDAcumulado,15-13*BM!$A$9)/100*BM!$I207,15-13*ORÇAMENTO!$AF$11),ROUND(ROUND(BM.MEDAcumulado,15-13*BM!$A$9)*ROUND(BM!$H207,15-13*ORÇAMENTO!$AF$10),15-13*ORÇAMENTO!$AF$11))),IF($A207=0,0,ROUND(SomaAgrupBM,15-13*ORÇAMENTO!$AF$11)))</f>
        <v>0</v>
      </c>
    </row>
    <row r="208" spans="1:41" ht="25.5" x14ac:dyDescent="0.2">
      <c r="A208" t="str">
        <f ca="1">ORÇAMENTO!C208</f>
        <v>S</v>
      </c>
      <c r="B208">
        <f ca="1">ORÇAMENTO!D208</f>
        <v>0</v>
      </c>
      <c r="C208" s="116" t="str">
        <f t="shared" ca="1" si="22"/>
        <v/>
      </c>
      <c r="D208" s="119" t="str">
        <f ca="1">ORÇAMENTO!O208</f>
        <v>-</v>
      </c>
      <c r="E208" s="172" t="str">
        <f t="shared" ca="1" si="23"/>
        <v>(abra o arquivo 'Referência 06-2024.xlsm)</v>
      </c>
      <c r="F208" s="173" t="str">
        <f ca="1">IF(RegimeExecucao="Global","",ORÇAMENTO.Unidade)</f>
        <v/>
      </c>
      <c r="G208" s="124" t="str">
        <f ca="1">IF(RegimeExecucao="Global","",ORÇAMENTO!T208)</f>
        <v/>
      </c>
      <c r="H208" s="124" t="str">
        <f ca="1">IF(RegimeExecucao="Global","",ORÇAMENTO!W208)</f>
        <v/>
      </c>
      <c r="I208" s="127">
        <f ca="1">ORÇAMENTO!X208</f>
        <v>0</v>
      </c>
      <c r="J208" s="378">
        <f ca="1">IF($A208="S",IF(CAIXA.Modo,BM.AFAnterior,BM.MEDAnterior),IF(AND(RegimeExecucao="Global",$I208&gt;0,COUNTIF($AB$13:$AM$13,BM.medicao-1)&gt;0),M208/$I208*100,0))</f>
        <v>0</v>
      </c>
      <c r="K208" s="124">
        <f t="shared" ca="1" si="24"/>
        <v>0</v>
      </c>
      <c r="L208" s="379">
        <f ca="1">IF($A208="S",IF(CAIXA.Modo,BM.AFAcumulado,BM.MEDAcumulado),IF(AND(RegimeExecucao="Global",$I208&gt;0,COUNTIF($AB$13:$AM$13,BM.medicao)&gt;0),O208/$I208*100,0))</f>
        <v>0</v>
      </c>
      <c r="M208" s="380">
        <f ca="1">IF($A208="S",VTOTALBM,IF($A208=0,0,ROUND(SomaAgrupBM,15-13*ORÇAMENTO!$AF$11)))</f>
        <v>0</v>
      </c>
      <c r="N208" s="381">
        <f t="shared" ca="1" si="25"/>
        <v>0</v>
      </c>
      <c r="O208" s="127">
        <f ca="1">IF($A208="S",VTOTALBM,IF($A208=0,0,ROUND(SomaAgrupBM,15-13*ORÇAMENTO!$AF$11)))</f>
        <v>0</v>
      </c>
      <c r="Q208" s="382"/>
      <c r="R208" s="383"/>
      <c r="T208" s="119" t="str">
        <f t="shared" ca="1" si="26"/>
        <v/>
      </c>
      <c r="U208" s="172" t="str">
        <f t="shared" ca="1" si="27"/>
        <v/>
      </c>
      <c r="V208" s="173" t="str">
        <f ca="1">IF(AND($W208&gt;0,RegimeExecucao="Unitário"),$F208,"")</f>
        <v/>
      </c>
      <c r="W208" s="547">
        <f ca="1">IF($Y208&gt;0,CHOOSE(MATCH(RegimeExecucao,{"Unitário","Global"},0),IF($A208="S",$Y208/$X208,""),($Y208/$X208)*100),0)</f>
        <v>0</v>
      </c>
      <c r="X208" s="384" t="str">
        <f ca="1">IF($Y208&gt;0,CHOOSE(MATCH(RegimeExecucao,{"Unitário","Global"},0),IF($A208="S",ROUND($H208,ORÇAMENTO!$AF$10),""),ROUND($I208,ORÇAMENTO!$AF$11)),"")</f>
        <v/>
      </c>
      <c r="Y208" s="384">
        <f t="shared" ca="1" si="28"/>
        <v>0</v>
      </c>
      <c r="Z208" s="572"/>
      <c r="AB208" s="382"/>
      <c r="AC208" s="516"/>
      <c r="AD208" s="516"/>
      <c r="AE208" s="516"/>
      <c r="AF208" s="516"/>
      <c r="AG208" s="516"/>
      <c r="AH208" s="516"/>
      <c r="AI208" s="516"/>
      <c r="AJ208" s="516"/>
      <c r="AK208" s="516"/>
      <c r="AL208" s="516"/>
      <c r="AM208" s="383"/>
      <c r="AO208">
        <f ca="1">IF($A208="S",IF(BM!$I208=0,0,CHOOSE(MATCH(RegimeExecucao,{"Global","Unitário"},0),ROUND(ROUND(BM.MEDAcumulado,15-13*BM!$A$9)/100*BM!$I208,15-13*ORÇAMENTO!$AF$11),ROUND(ROUND(BM.MEDAcumulado,15-13*BM!$A$9)*ROUND(BM!$H208,15-13*ORÇAMENTO!$AF$10),15-13*ORÇAMENTO!$AF$11))),IF($A208=0,0,ROUND(SomaAgrupBM,15-13*ORÇAMENTO!$AF$11)))</f>
        <v>0</v>
      </c>
    </row>
    <row r="209" spans="1:41" ht="25.5" x14ac:dyDescent="0.2">
      <c r="A209" t="str">
        <f ca="1">ORÇAMENTO!C209</f>
        <v>S</v>
      </c>
      <c r="B209">
        <f ca="1">ORÇAMENTO!D209</f>
        <v>0</v>
      </c>
      <c r="C209" s="116" t="str">
        <f t="shared" ca="1" si="22"/>
        <v/>
      </c>
      <c r="D209" s="119" t="str">
        <f ca="1">ORÇAMENTO!O209</f>
        <v>-</v>
      </c>
      <c r="E209" s="172" t="str">
        <f t="shared" ca="1" si="23"/>
        <v>(abra o arquivo 'Referência 06-2024.xlsm)</v>
      </c>
      <c r="F209" s="173" t="str">
        <f ca="1">IF(RegimeExecucao="Global","",ORÇAMENTO.Unidade)</f>
        <v/>
      </c>
      <c r="G209" s="124" t="str">
        <f ca="1">IF(RegimeExecucao="Global","",ORÇAMENTO!T209)</f>
        <v/>
      </c>
      <c r="H209" s="124" t="str">
        <f ca="1">IF(RegimeExecucao="Global","",ORÇAMENTO!W209)</f>
        <v/>
      </c>
      <c r="I209" s="127">
        <f ca="1">ORÇAMENTO!X209</f>
        <v>0</v>
      </c>
      <c r="J209" s="378">
        <f ca="1">IF($A209="S",IF(CAIXA.Modo,BM.AFAnterior,BM.MEDAnterior),IF(AND(RegimeExecucao="Global",$I209&gt;0,COUNTIF($AB$13:$AM$13,BM.medicao-1)&gt;0),M209/$I209*100,0))</f>
        <v>0</v>
      </c>
      <c r="K209" s="124">
        <f t="shared" ca="1" si="24"/>
        <v>0</v>
      </c>
      <c r="L209" s="379">
        <f ca="1">IF($A209="S",IF(CAIXA.Modo,BM.AFAcumulado,BM.MEDAcumulado),IF(AND(RegimeExecucao="Global",$I209&gt;0,COUNTIF($AB$13:$AM$13,BM.medicao)&gt;0),O209/$I209*100,0))</f>
        <v>0</v>
      </c>
      <c r="M209" s="380">
        <f ca="1">IF($A209="S",VTOTALBM,IF($A209=0,0,ROUND(SomaAgrupBM,15-13*ORÇAMENTO!$AF$11)))</f>
        <v>0</v>
      </c>
      <c r="N209" s="381">
        <f t="shared" ca="1" si="25"/>
        <v>0</v>
      </c>
      <c r="O209" s="127">
        <f ca="1">IF($A209="S",VTOTALBM,IF($A209=0,0,ROUND(SomaAgrupBM,15-13*ORÇAMENTO!$AF$11)))</f>
        <v>0</v>
      </c>
      <c r="Q209" s="382"/>
      <c r="R209" s="383"/>
      <c r="T209" s="119" t="str">
        <f t="shared" ca="1" si="26"/>
        <v/>
      </c>
      <c r="U209" s="172" t="str">
        <f t="shared" ca="1" si="27"/>
        <v/>
      </c>
      <c r="V209" s="173" t="str">
        <f ca="1">IF(AND($W209&gt;0,RegimeExecucao="Unitário"),$F209,"")</f>
        <v/>
      </c>
      <c r="W209" s="547">
        <f ca="1">IF($Y209&gt;0,CHOOSE(MATCH(RegimeExecucao,{"Unitário","Global"},0),IF($A209="S",$Y209/$X209,""),($Y209/$X209)*100),0)</f>
        <v>0</v>
      </c>
      <c r="X209" s="384" t="str">
        <f ca="1">IF($Y209&gt;0,CHOOSE(MATCH(RegimeExecucao,{"Unitário","Global"},0),IF($A209="S",ROUND($H209,ORÇAMENTO!$AF$10),""),ROUND($I209,ORÇAMENTO!$AF$11)),"")</f>
        <v/>
      </c>
      <c r="Y209" s="384">
        <f t="shared" ca="1" si="28"/>
        <v>0</v>
      </c>
      <c r="Z209" s="572"/>
      <c r="AB209" s="382"/>
      <c r="AC209" s="516"/>
      <c r="AD209" s="516"/>
      <c r="AE209" s="516"/>
      <c r="AF209" s="516"/>
      <c r="AG209" s="516"/>
      <c r="AH209" s="516"/>
      <c r="AI209" s="516"/>
      <c r="AJ209" s="516"/>
      <c r="AK209" s="516"/>
      <c r="AL209" s="516"/>
      <c r="AM209" s="383"/>
      <c r="AO209">
        <f ca="1">IF($A209="S",IF(BM!$I209=0,0,CHOOSE(MATCH(RegimeExecucao,{"Global","Unitário"},0),ROUND(ROUND(BM.MEDAcumulado,15-13*BM!$A$9)/100*BM!$I209,15-13*ORÇAMENTO!$AF$11),ROUND(ROUND(BM.MEDAcumulado,15-13*BM!$A$9)*ROUND(BM!$H209,15-13*ORÇAMENTO!$AF$10),15-13*ORÇAMENTO!$AF$11))),IF($A209=0,0,ROUND(SomaAgrupBM,15-13*ORÇAMENTO!$AF$11)))</f>
        <v>0</v>
      </c>
    </row>
    <row r="210" spans="1:41" x14ac:dyDescent="0.2">
      <c r="A210" t="str">
        <f ca="1">ORÇAMENTO!C210</f>
        <v>S</v>
      </c>
      <c r="B210">
        <f ca="1">ORÇAMENTO!D210</f>
        <v>0</v>
      </c>
      <c r="C210" s="116" t="str">
        <f t="shared" ca="1" si="22"/>
        <v/>
      </c>
      <c r="D210" s="119" t="str">
        <f ca="1">ORÇAMENTO!O210</f>
        <v>-</v>
      </c>
      <c r="E210" s="172" t="str">
        <f t="shared" ca="1" si="23"/>
        <v>(abra o arquivo 'Referência 06-2024.xlsm)</v>
      </c>
      <c r="F210" s="173" t="str">
        <f ca="1">IF(RegimeExecucao="Global","",ORÇAMENTO.Unidade)</f>
        <v/>
      </c>
      <c r="G210" s="124" t="str">
        <f ca="1">IF(RegimeExecucao="Global","",ORÇAMENTO!T210)</f>
        <v/>
      </c>
      <c r="H210" s="124" t="str">
        <f ca="1">IF(RegimeExecucao="Global","",ORÇAMENTO!W210)</f>
        <v/>
      </c>
      <c r="I210" s="127">
        <f ca="1">ORÇAMENTO!X210</f>
        <v>0</v>
      </c>
      <c r="J210" s="378">
        <f ca="1">IF($A210="S",IF(CAIXA.Modo,BM.AFAnterior,BM.MEDAnterior),IF(AND(RegimeExecucao="Global",$I210&gt;0,COUNTIF($AB$13:$AM$13,BM.medicao-1)&gt;0),M210/$I210*100,0))</f>
        <v>0</v>
      </c>
      <c r="K210" s="124">
        <f t="shared" ca="1" si="24"/>
        <v>0</v>
      </c>
      <c r="L210" s="379">
        <f ca="1">IF($A210="S",IF(CAIXA.Modo,BM.AFAcumulado,BM.MEDAcumulado),IF(AND(RegimeExecucao="Global",$I210&gt;0,COUNTIF($AB$13:$AM$13,BM.medicao)&gt;0),O210/$I210*100,0))</f>
        <v>0</v>
      </c>
      <c r="M210" s="380">
        <f ca="1">IF($A210="S",VTOTALBM,IF($A210=0,0,ROUND(SomaAgrupBM,15-13*ORÇAMENTO!$AF$11)))</f>
        <v>0</v>
      </c>
      <c r="N210" s="381">
        <f t="shared" ca="1" si="25"/>
        <v>0</v>
      </c>
      <c r="O210" s="127">
        <f ca="1">IF($A210="S",VTOTALBM,IF($A210=0,0,ROUND(SomaAgrupBM,15-13*ORÇAMENTO!$AF$11)))</f>
        <v>0</v>
      </c>
      <c r="Q210" s="382"/>
      <c r="R210" s="383"/>
      <c r="T210" s="119" t="str">
        <f t="shared" ca="1" si="26"/>
        <v/>
      </c>
      <c r="U210" s="172" t="str">
        <f t="shared" ca="1" si="27"/>
        <v/>
      </c>
      <c r="V210" s="173" t="str">
        <f ca="1">IF(AND($W210&gt;0,RegimeExecucao="Unitário"),$F210,"")</f>
        <v/>
      </c>
      <c r="W210" s="547">
        <f ca="1">IF($Y210&gt;0,CHOOSE(MATCH(RegimeExecucao,{"Unitário","Global"},0),IF($A210="S",$Y210/$X210,""),($Y210/$X210)*100),0)</f>
        <v>0</v>
      </c>
      <c r="X210" s="384" t="str">
        <f ca="1">IF($Y210&gt;0,CHOOSE(MATCH(RegimeExecucao,{"Unitário","Global"},0),IF($A210="S",ROUND($H210,ORÇAMENTO!$AF$10),""),ROUND($I210,ORÇAMENTO!$AF$11)),"")</f>
        <v/>
      </c>
      <c r="Y210" s="384">
        <f t="shared" ca="1" si="28"/>
        <v>0</v>
      </c>
      <c r="Z210" s="572"/>
      <c r="AB210" s="382"/>
      <c r="AC210" s="516"/>
      <c r="AD210" s="516"/>
      <c r="AE210" s="516"/>
      <c r="AF210" s="516"/>
      <c r="AG210" s="516"/>
      <c r="AH210" s="516"/>
      <c r="AI210" s="516"/>
      <c r="AJ210" s="516"/>
      <c r="AK210" s="516"/>
      <c r="AL210" s="516"/>
      <c r="AM210" s="383"/>
      <c r="AO210">
        <f ca="1">IF($A210="S",IF(BM!$I210=0,0,CHOOSE(MATCH(RegimeExecucao,{"Global","Unitário"},0),ROUND(ROUND(BM.MEDAcumulado,15-13*BM!$A$9)/100*BM!$I210,15-13*ORÇAMENTO!$AF$11),ROUND(ROUND(BM.MEDAcumulado,15-13*BM!$A$9)*ROUND(BM!$H210,15-13*ORÇAMENTO!$AF$10),15-13*ORÇAMENTO!$AF$11))),IF($A210=0,0,ROUND(SomaAgrupBM,15-13*ORÇAMENTO!$AF$11)))</f>
        <v>0</v>
      </c>
    </row>
    <row r="211" spans="1:41" ht="25.5" x14ac:dyDescent="0.2">
      <c r="A211" t="str">
        <f ca="1">ORÇAMENTO!C211</f>
        <v>S</v>
      </c>
      <c r="B211">
        <f ca="1">ORÇAMENTO!D211</f>
        <v>0</v>
      </c>
      <c r="C211" s="116" t="str">
        <f t="shared" ca="1" si="22"/>
        <v/>
      </c>
      <c r="D211" s="119" t="str">
        <f ca="1">ORÇAMENTO!O211</f>
        <v>-</v>
      </c>
      <c r="E211" s="172" t="str">
        <f t="shared" ca="1" si="23"/>
        <v>(abra o arquivo 'Referência 06-2024.xlsm)</v>
      </c>
      <c r="F211" s="173" t="str">
        <f ca="1">IF(RegimeExecucao="Global","",ORÇAMENTO.Unidade)</f>
        <v/>
      </c>
      <c r="G211" s="124" t="str">
        <f ca="1">IF(RegimeExecucao="Global","",ORÇAMENTO!T211)</f>
        <v/>
      </c>
      <c r="H211" s="124" t="str">
        <f ca="1">IF(RegimeExecucao="Global","",ORÇAMENTO!W211)</f>
        <v/>
      </c>
      <c r="I211" s="127">
        <f ca="1">ORÇAMENTO!X211</f>
        <v>0</v>
      </c>
      <c r="J211" s="378">
        <f ca="1">IF($A211="S",IF(CAIXA.Modo,BM.AFAnterior,BM.MEDAnterior),IF(AND(RegimeExecucao="Global",$I211&gt;0,COUNTIF($AB$13:$AM$13,BM.medicao-1)&gt;0),M211/$I211*100,0))</f>
        <v>0</v>
      </c>
      <c r="K211" s="124">
        <f t="shared" ca="1" si="24"/>
        <v>0</v>
      </c>
      <c r="L211" s="379">
        <f ca="1">IF($A211="S",IF(CAIXA.Modo,BM.AFAcumulado,BM.MEDAcumulado),IF(AND(RegimeExecucao="Global",$I211&gt;0,COUNTIF($AB$13:$AM$13,BM.medicao)&gt;0),O211/$I211*100,0))</f>
        <v>0</v>
      </c>
      <c r="M211" s="380">
        <f ca="1">IF($A211="S",VTOTALBM,IF($A211=0,0,ROUND(SomaAgrupBM,15-13*ORÇAMENTO!$AF$11)))</f>
        <v>0</v>
      </c>
      <c r="N211" s="381">
        <f t="shared" ca="1" si="25"/>
        <v>0</v>
      </c>
      <c r="O211" s="127">
        <f ca="1">IF($A211="S",VTOTALBM,IF($A211=0,0,ROUND(SomaAgrupBM,15-13*ORÇAMENTO!$AF$11)))</f>
        <v>0</v>
      </c>
      <c r="Q211" s="382"/>
      <c r="R211" s="383"/>
      <c r="T211" s="119" t="str">
        <f t="shared" ca="1" si="26"/>
        <v/>
      </c>
      <c r="U211" s="172" t="str">
        <f t="shared" ca="1" si="27"/>
        <v/>
      </c>
      <c r="V211" s="173" t="str">
        <f ca="1">IF(AND($W211&gt;0,RegimeExecucao="Unitário"),$F211,"")</f>
        <v/>
      </c>
      <c r="W211" s="547">
        <f ca="1">IF($Y211&gt;0,CHOOSE(MATCH(RegimeExecucao,{"Unitário","Global"},0),IF($A211="S",$Y211/$X211,""),($Y211/$X211)*100),0)</f>
        <v>0</v>
      </c>
      <c r="X211" s="384" t="str">
        <f ca="1">IF($Y211&gt;0,CHOOSE(MATCH(RegimeExecucao,{"Unitário","Global"},0),IF($A211="S",ROUND($H211,ORÇAMENTO!$AF$10),""),ROUND($I211,ORÇAMENTO!$AF$11)),"")</f>
        <v/>
      </c>
      <c r="Y211" s="384">
        <f t="shared" ca="1" si="28"/>
        <v>0</v>
      </c>
      <c r="Z211" s="572"/>
      <c r="AB211" s="382"/>
      <c r="AC211" s="516"/>
      <c r="AD211" s="516"/>
      <c r="AE211" s="516"/>
      <c r="AF211" s="516"/>
      <c r="AG211" s="516"/>
      <c r="AH211" s="516"/>
      <c r="AI211" s="516"/>
      <c r="AJ211" s="516"/>
      <c r="AK211" s="516"/>
      <c r="AL211" s="516"/>
      <c r="AM211" s="383"/>
      <c r="AO211">
        <f ca="1">IF($A211="S",IF(BM!$I211=0,0,CHOOSE(MATCH(RegimeExecucao,{"Global","Unitário"},0),ROUND(ROUND(BM.MEDAcumulado,15-13*BM!$A$9)/100*BM!$I211,15-13*ORÇAMENTO!$AF$11),ROUND(ROUND(BM.MEDAcumulado,15-13*BM!$A$9)*ROUND(BM!$H211,15-13*ORÇAMENTO!$AF$10),15-13*ORÇAMENTO!$AF$11))),IF($A211=0,0,ROUND(SomaAgrupBM,15-13*ORÇAMENTO!$AF$11)))</f>
        <v>0</v>
      </c>
    </row>
    <row r="212" spans="1:41" x14ac:dyDescent="0.2">
      <c r="A212">
        <f ca="1">ORÇAMENTO!C212</f>
        <v>2</v>
      </c>
      <c r="B212">
        <f ca="1">ORÇAMENTO!D212</f>
        <v>9</v>
      </c>
      <c r="C212" s="116" t="str">
        <f t="shared" ca="1" si="22"/>
        <v>F</v>
      </c>
      <c r="D212" s="119" t="str">
        <f ca="1">ORÇAMENTO!O212</f>
        <v>1.28.</v>
      </c>
      <c r="E212" s="172" t="str">
        <f t="shared" si="23"/>
        <v>SISTEMAS DE PISOS - PAVIMENTAÇÃO EXTERNA</v>
      </c>
      <c r="F212" s="173" t="str">
        <f ca="1">IF(RegimeExecucao="Global","",ORÇAMENTO.Unidade)</f>
        <v/>
      </c>
      <c r="G212" s="124" t="str">
        <f ca="1">IF(RegimeExecucao="Global","",ORÇAMENTO!T212)</f>
        <v/>
      </c>
      <c r="H212" s="124" t="str">
        <f ca="1">IF(RegimeExecucao="Global","",ORÇAMENTO!W212)</f>
        <v/>
      </c>
      <c r="I212" s="127">
        <f ca="1">ORÇAMENTO!X212</f>
        <v>0</v>
      </c>
      <c r="J212" s="378">
        <f ca="1">IF($A212="S",IF(CAIXA.Modo,BM.AFAnterior,BM.MEDAnterior),IF(AND(RegimeExecucao="Global",$I212&gt;0,COUNTIF($AB$13:$AM$13,BM.medicao-1)&gt;0),M212/$I212*100,0))</f>
        <v>0</v>
      </c>
      <c r="K212" s="124">
        <f t="shared" ca="1" si="24"/>
        <v>0</v>
      </c>
      <c r="L212" s="379">
        <f ca="1">IF($A212="S",IF(CAIXA.Modo,BM.AFAcumulado,BM.MEDAcumulado),IF(AND(RegimeExecucao="Global",$I212&gt;0,COUNTIF($AB$13:$AM$13,BM.medicao)&gt;0),O212/$I212*100,0))</f>
        <v>0</v>
      </c>
      <c r="M212" s="380">
        <f ca="1">IF($A212="S",VTOTALBM,IF($A212=0,0,ROUND(SomaAgrupBM,15-13*ORÇAMENTO!$AF$11)))</f>
        <v>0</v>
      </c>
      <c r="N212" s="381">
        <f t="shared" ca="1" si="25"/>
        <v>0</v>
      </c>
      <c r="O212" s="127">
        <f ca="1">IF($A212="S",VTOTALBM,IF($A212=0,0,ROUND(SomaAgrupBM,15-13*ORÇAMENTO!$AF$11)))</f>
        <v>0</v>
      </c>
      <c r="Q212" s="382"/>
      <c r="R212" s="383"/>
      <c r="T212" s="119" t="str">
        <f t="shared" ca="1" si="26"/>
        <v/>
      </c>
      <c r="U212" s="172" t="str">
        <f t="shared" ca="1" si="27"/>
        <v/>
      </c>
      <c r="V212" s="173" t="str">
        <f ca="1">IF(AND($W212&gt;0,RegimeExecucao="Unitário"),$F212,"")</f>
        <v/>
      </c>
      <c r="W212" s="547">
        <f ca="1">IF($Y212&gt;0,CHOOSE(MATCH(RegimeExecucao,{"Unitário","Global"},0),IF($A212="S",$Y212/$X212,""),($Y212/$X212)*100),0)</f>
        <v>0</v>
      </c>
      <c r="X212" s="384" t="str">
        <f ca="1">IF($Y212&gt;0,CHOOSE(MATCH(RegimeExecucao,{"Unitário","Global"},0),IF($A212="S",ROUND($H212,ORÇAMENTO!$AF$10),""),ROUND($I212,ORÇAMENTO!$AF$11)),"")</f>
        <v/>
      </c>
      <c r="Y212" s="384">
        <f t="shared" ca="1" si="28"/>
        <v>0</v>
      </c>
      <c r="Z212" s="572"/>
      <c r="AB212" s="382"/>
      <c r="AC212" s="516"/>
      <c r="AD212" s="516"/>
      <c r="AE212" s="516"/>
      <c r="AF212" s="516"/>
      <c r="AG212" s="516"/>
      <c r="AH212" s="516"/>
      <c r="AI212" s="516"/>
      <c r="AJ212" s="516"/>
      <c r="AK212" s="516"/>
      <c r="AL212" s="516"/>
      <c r="AM212" s="383"/>
      <c r="AO212">
        <f ca="1">IF($A212="S",IF(BM!$I212=0,0,CHOOSE(MATCH(RegimeExecucao,{"Global","Unitário"},0),ROUND(ROUND(BM.MEDAcumulado,15-13*BM!$A$9)/100*BM!$I212,15-13*ORÇAMENTO!$AF$11),ROUND(ROUND(BM.MEDAcumulado,15-13*BM!$A$9)*ROUND(BM!$H212,15-13*ORÇAMENTO!$AF$10),15-13*ORÇAMENTO!$AF$11))),IF($A212=0,0,ROUND(SomaAgrupBM,15-13*ORÇAMENTO!$AF$11)))</f>
        <v>0</v>
      </c>
    </row>
    <row r="213" spans="1:41" ht="38.25" x14ac:dyDescent="0.2">
      <c r="A213" t="str">
        <f ca="1">ORÇAMENTO!C213</f>
        <v>S</v>
      </c>
      <c r="B213">
        <f ca="1">ORÇAMENTO!D213</f>
        <v>0</v>
      </c>
      <c r="C213" s="116" t="str">
        <f t="shared" ca="1" si="22"/>
        <v/>
      </c>
      <c r="D213" s="119" t="str">
        <f ca="1">ORÇAMENTO!O213</f>
        <v>-</v>
      </c>
      <c r="E213" s="172" t="str">
        <f t="shared" ca="1" si="23"/>
        <v>(abra o arquivo 'Referência 06-2024.xlsm)</v>
      </c>
      <c r="F213" s="173" t="str">
        <f ca="1">IF(RegimeExecucao="Global","",ORÇAMENTO.Unidade)</f>
        <v/>
      </c>
      <c r="G213" s="124" t="str">
        <f ca="1">IF(RegimeExecucao="Global","",ORÇAMENTO!T213)</f>
        <v/>
      </c>
      <c r="H213" s="124" t="str">
        <f ca="1">IF(RegimeExecucao="Global","",ORÇAMENTO!W213)</f>
        <v/>
      </c>
      <c r="I213" s="127">
        <f ca="1">ORÇAMENTO!X213</f>
        <v>0</v>
      </c>
      <c r="J213" s="378">
        <f ca="1">IF($A213="S",IF(CAIXA.Modo,BM.AFAnterior,BM.MEDAnterior),IF(AND(RegimeExecucao="Global",$I213&gt;0,COUNTIF($AB$13:$AM$13,BM.medicao-1)&gt;0),M213/$I213*100,0))</f>
        <v>0</v>
      </c>
      <c r="K213" s="124">
        <f t="shared" ca="1" si="24"/>
        <v>0</v>
      </c>
      <c r="L213" s="379">
        <f ca="1">IF($A213="S",IF(CAIXA.Modo,BM.AFAcumulado,BM.MEDAcumulado),IF(AND(RegimeExecucao="Global",$I213&gt;0,COUNTIF($AB$13:$AM$13,BM.medicao)&gt;0),O213/$I213*100,0))</f>
        <v>0</v>
      </c>
      <c r="M213" s="380">
        <f ca="1">IF($A213="S",VTOTALBM,IF($A213=0,0,ROUND(SomaAgrupBM,15-13*ORÇAMENTO!$AF$11)))</f>
        <v>0</v>
      </c>
      <c r="N213" s="381">
        <f t="shared" ca="1" si="25"/>
        <v>0</v>
      </c>
      <c r="O213" s="127">
        <f ca="1">IF($A213="S",VTOTALBM,IF($A213=0,0,ROUND(SomaAgrupBM,15-13*ORÇAMENTO!$AF$11)))</f>
        <v>0</v>
      </c>
      <c r="Q213" s="382"/>
      <c r="R213" s="383"/>
      <c r="T213" s="119" t="str">
        <f t="shared" ca="1" si="26"/>
        <v/>
      </c>
      <c r="U213" s="172" t="str">
        <f t="shared" ca="1" si="27"/>
        <v/>
      </c>
      <c r="V213" s="173" t="str">
        <f ca="1">IF(AND($W213&gt;0,RegimeExecucao="Unitário"),$F213,"")</f>
        <v/>
      </c>
      <c r="W213" s="547">
        <f ca="1">IF($Y213&gt;0,CHOOSE(MATCH(RegimeExecucao,{"Unitário","Global"},0),IF($A213="S",$Y213/$X213,""),($Y213/$X213)*100),0)</f>
        <v>0</v>
      </c>
      <c r="X213" s="384" t="str">
        <f ca="1">IF($Y213&gt;0,CHOOSE(MATCH(RegimeExecucao,{"Unitário","Global"},0),IF($A213="S",ROUND($H213,ORÇAMENTO!$AF$10),""),ROUND($I213,ORÇAMENTO!$AF$11)),"")</f>
        <v/>
      </c>
      <c r="Y213" s="384">
        <f t="shared" ca="1" si="28"/>
        <v>0</v>
      </c>
      <c r="Z213" s="572"/>
      <c r="AB213" s="382"/>
      <c r="AC213" s="516"/>
      <c r="AD213" s="516"/>
      <c r="AE213" s="516"/>
      <c r="AF213" s="516"/>
      <c r="AG213" s="516"/>
      <c r="AH213" s="516"/>
      <c r="AI213" s="516"/>
      <c r="AJ213" s="516"/>
      <c r="AK213" s="516"/>
      <c r="AL213" s="516"/>
      <c r="AM213" s="383"/>
      <c r="AO213">
        <f ca="1">IF($A213="S",IF(BM!$I213=0,0,CHOOSE(MATCH(RegimeExecucao,{"Global","Unitário"},0),ROUND(ROUND(BM.MEDAcumulado,15-13*BM!$A$9)/100*BM!$I213,15-13*ORÇAMENTO!$AF$11),ROUND(ROUND(BM.MEDAcumulado,15-13*BM!$A$9)*ROUND(BM!$H213,15-13*ORÇAMENTO!$AF$10),15-13*ORÇAMENTO!$AF$11))),IF($A213=0,0,ROUND(SomaAgrupBM,15-13*ORÇAMENTO!$AF$11)))</f>
        <v>0</v>
      </c>
    </row>
    <row r="214" spans="1:41" ht="38.25" x14ac:dyDescent="0.2">
      <c r="A214" t="str">
        <f ca="1">ORÇAMENTO!C214</f>
        <v>S</v>
      </c>
      <c r="B214">
        <f ca="1">ORÇAMENTO!D214</f>
        <v>0</v>
      </c>
      <c r="C214" s="116" t="str">
        <f t="shared" ca="1" si="22"/>
        <v/>
      </c>
      <c r="D214" s="119" t="str">
        <f ca="1">ORÇAMENTO!O214</f>
        <v>-</v>
      </c>
      <c r="E214" s="172" t="str">
        <f t="shared" ca="1" si="23"/>
        <v>(abra o arquivo 'Referência 06-2024.xlsm)</v>
      </c>
      <c r="F214" s="173" t="str">
        <f ca="1">IF(RegimeExecucao="Global","",ORÇAMENTO.Unidade)</f>
        <v/>
      </c>
      <c r="G214" s="124" t="str">
        <f ca="1">IF(RegimeExecucao="Global","",ORÇAMENTO!T214)</f>
        <v/>
      </c>
      <c r="H214" s="124" t="str">
        <f ca="1">IF(RegimeExecucao="Global","",ORÇAMENTO!W214)</f>
        <v/>
      </c>
      <c r="I214" s="127">
        <f ca="1">ORÇAMENTO!X214</f>
        <v>0</v>
      </c>
      <c r="J214" s="378">
        <f ca="1">IF($A214="S",IF(CAIXA.Modo,BM.AFAnterior,BM.MEDAnterior),IF(AND(RegimeExecucao="Global",$I214&gt;0,COUNTIF($AB$13:$AM$13,BM.medicao-1)&gt;0),M214/$I214*100,0))</f>
        <v>0</v>
      </c>
      <c r="K214" s="124">
        <f t="shared" ca="1" si="24"/>
        <v>0</v>
      </c>
      <c r="L214" s="379">
        <f ca="1">IF($A214="S",IF(CAIXA.Modo,BM.AFAcumulado,BM.MEDAcumulado),IF(AND(RegimeExecucao="Global",$I214&gt;0,COUNTIF($AB$13:$AM$13,BM.medicao)&gt;0),O214/$I214*100,0))</f>
        <v>0</v>
      </c>
      <c r="M214" s="380">
        <f ca="1">IF($A214="S",VTOTALBM,IF($A214=0,0,ROUND(SomaAgrupBM,15-13*ORÇAMENTO!$AF$11)))</f>
        <v>0</v>
      </c>
      <c r="N214" s="381">
        <f t="shared" ca="1" si="25"/>
        <v>0</v>
      </c>
      <c r="O214" s="127">
        <f ca="1">IF($A214="S",VTOTALBM,IF($A214=0,0,ROUND(SomaAgrupBM,15-13*ORÇAMENTO!$AF$11)))</f>
        <v>0</v>
      </c>
      <c r="Q214" s="382"/>
      <c r="R214" s="383"/>
      <c r="T214" s="119" t="str">
        <f t="shared" ca="1" si="26"/>
        <v/>
      </c>
      <c r="U214" s="172" t="str">
        <f t="shared" ca="1" si="27"/>
        <v/>
      </c>
      <c r="V214" s="173" t="str">
        <f ca="1">IF(AND($W214&gt;0,RegimeExecucao="Unitário"),$F214,"")</f>
        <v/>
      </c>
      <c r="W214" s="547">
        <f ca="1">IF($Y214&gt;0,CHOOSE(MATCH(RegimeExecucao,{"Unitário","Global"},0),IF($A214="S",$Y214/$X214,""),($Y214/$X214)*100),0)</f>
        <v>0</v>
      </c>
      <c r="X214" s="384" t="str">
        <f ca="1">IF($Y214&gt;0,CHOOSE(MATCH(RegimeExecucao,{"Unitário","Global"},0),IF($A214="S",ROUND($H214,ORÇAMENTO!$AF$10),""),ROUND($I214,ORÇAMENTO!$AF$11)),"")</f>
        <v/>
      </c>
      <c r="Y214" s="384">
        <f t="shared" ca="1" si="28"/>
        <v>0</v>
      </c>
      <c r="Z214" s="572"/>
      <c r="AB214" s="382"/>
      <c r="AC214" s="516"/>
      <c r="AD214" s="516"/>
      <c r="AE214" s="516"/>
      <c r="AF214" s="516"/>
      <c r="AG214" s="516"/>
      <c r="AH214" s="516"/>
      <c r="AI214" s="516"/>
      <c r="AJ214" s="516"/>
      <c r="AK214" s="516"/>
      <c r="AL214" s="516"/>
      <c r="AM214" s="383"/>
      <c r="AO214">
        <f ca="1">IF($A214="S",IF(BM!$I214=0,0,CHOOSE(MATCH(RegimeExecucao,{"Global","Unitário"},0),ROUND(ROUND(BM.MEDAcumulado,15-13*BM!$A$9)/100*BM!$I214,15-13*ORÇAMENTO!$AF$11),ROUND(ROUND(BM.MEDAcumulado,15-13*BM!$A$9)*ROUND(BM!$H214,15-13*ORÇAMENTO!$AF$10),15-13*ORÇAMENTO!$AF$11))),IF($A214=0,0,ROUND(SomaAgrupBM,15-13*ORÇAMENTO!$AF$11)))</f>
        <v>0</v>
      </c>
    </row>
    <row r="215" spans="1:41" ht="25.5" x14ac:dyDescent="0.2">
      <c r="A215" t="str">
        <f ca="1">ORÇAMENTO!C215</f>
        <v>S</v>
      </c>
      <c r="B215">
        <f ca="1">ORÇAMENTO!D215</f>
        <v>0</v>
      </c>
      <c r="C215" s="116" t="str">
        <f t="shared" ca="1" si="22"/>
        <v/>
      </c>
      <c r="D215" s="119" t="str">
        <f ca="1">ORÇAMENTO!O215</f>
        <v>-</v>
      </c>
      <c r="E215" s="172" t="str">
        <f t="shared" ca="1" si="23"/>
        <v>(abra o arquivo 'Referência 06-2024.xlsm)</v>
      </c>
      <c r="F215" s="173" t="str">
        <f ca="1">IF(RegimeExecucao="Global","",ORÇAMENTO.Unidade)</f>
        <v/>
      </c>
      <c r="G215" s="124" t="str">
        <f ca="1">IF(RegimeExecucao="Global","",ORÇAMENTO!T215)</f>
        <v/>
      </c>
      <c r="H215" s="124" t="str">
        <f ca="1">IF(RegimeExecucao="Global","",ORÇAMENTO!W215)</f>
        <v/>
      </c>
      <c r="I215" s="127">
        <f ca="1">ORÇAMENTO!X215</f>
        <v>0</v>
      </c>
      <c r="J215" s="378">
        <f ca="1">IF($A215="S",IF(CAIXA.Modo,BM.AFAnterior,BM.MEDAnterior),IF(AND(RegimeExecucao="Global",$I215&gt;0,COUNTIF($AB$13:$AM$13,BM.medicao-1)&gt;0),M215/$I215*100,0))</f>
        <v>0</v>
      </c>
      <c r="K215" s="124">
        <f t="shared" ca="1" si="24"/>
        <v>0</v>
      </c>
      <c r="L215" s="379">
        <f ca="1">IF($A215="S",IF(CAIXA.Modo,BM.AFAcumulado,BM.MEDAcumulado),IF(AND(RegimeExecucao="Global",$I215&gt;0,COUNTIF($AB$13:$AM$13,BM.medicao)&gt;0),O215/$I215*100,0))</f>
        <v>0</v>
      </c>
      <c r="M215" s="380">
        <f ca="1">IF($A215="S",VTOTALBM,IF($A215=0,0,ROUND(SomaAgrupBM,15-13*ORÇAMENTO!$AF$11)))</f>
        <v>0</v>
      </c>
      <c r="N215" s="381">
        <f t="shared" ca="1" si="25"/>
        <v>0</v>
      </c>
      <c r="O215" s="127">
        <f ca="1">IF($A215="S",VTOTALBM,IF($A215=0,0,ROUND(SomaAgrupBM,15-13*ORÇAMENTO!$AF$11)))</f>
        <v>0</v>
      </c>
      <c r="Q215" s="382"/>
      <c r="R215" s="383"/>
      <c r="T215" s="119" t="str">
        <f t="shared" ca="1" si="26"/>
        <v/>
      </c>
      <c r="U215" s="172" t="str">
        <f t="shared" ca="1" si="27"/>
        <v/>
      </c>
      <c r="V215" s="173" t="str">
        <f ca="1">IF(AND($W215&gt;0,RegimeExecucao="Unitário"),$F215,"")</f>
        <v/>
      </c>
      <c r="W215" s="547">
        <f ca="1">IF($Y215&gt;0,CHOOSE(MATCH(RegimeExecucao,{"Unitário","Global"},0),IF($A215="S",$Y215/$X215,""),($Y215/$X215)*100),0)</f>
        <v>0</v>
      </c>
      <c r="X215" s="384" t="str">
        <f ca="1">IF($Y215&gt;0,CHOOSE(MATCH(RegimeExecucao,{"Unitário","Global"},0),IF($A215="S",ROUND($H215,ORÇAMENTO!$AF$10),""),ROUND($I215,ORÇAMENTO!$AF$11)),"")</f>
        <v/>
      </c>
      <c r="Y215" s="384">
        <f t="shared" ca="1" si="28"/>
        <v>0</v>
      </c>
      <c r="Z215" s="572"/>
      <c r="AB215" s="382"/>
      <c r="AC215" s="516"/>
      <c r="AD215" s="516"/>
      <c r="AE215" s="516"/>
      <c r="AF215" s="516"/>
      <c r="AG215" s="516"/>
      <c r="AH215" s="516"/>
      <c r="AI215" s="516"/>
      <c r="AJ215" s="516"/>
      <c r="AK215" s="516"/>
      <c r="AL215" s="516"/>
      <c r="AM215" s="383"/>
      <c r="AO215">
        <f ca="1">IF($A215="S",IF(BM!$I215=0,0,CHOOSE(MATCH(RegimeExecucao,{"Global","Unitário"},0),ROUND(ROUND(BM.MEDAcumulado,15-13*BM!$A$9)/100*BM!$I215,15-13*ORÇAMENTO!$AF$11),ROUND(ROUND(BM.MEDAcumulado,15-13*BM!$A$9)*ROUND(BM!$H215,15-13*ORÇAMENTO!$AF$10),15-13*ORÇAMENTO!$AF$11))),IF($A215=0,0,ROUND(SomaAgrupBM,15-13*ORÇAMENTO!$AF$11)))</f>
        <v>0</v>
      </c>
    </row>
    <row r="216" spans="1:41" ht="25.5" x14ac:dyDescent="0.2">
      <c r="A216" t="str">
        <f ca="1">ORÇAMENTO!C216</f>
        <v>S</v>
      </c>
      <c r="B216">
        <f ca="1">ORÇAMENTO!D216</f>
        <v>0</v>
      </c>
      <c r="C216" s="116" t="str">
        <f t="shared" ca="1" si="22"/>
        <v/>
      </c>
      <c r="D216" s="119" t="str">
        <f ca="1">ORÇAMENTO!O216</f>
        <v>-</v>
      </c>
      <c r="E216" s="172" t="str">
        <f t="shared" ca="1" si="23"/>
        <v>(abra o arquivo 'Referência 06-2024.xlsm)</v>
      </c>
      <c r="F216" s="173" t="str">
        <f ca="1">IF(RegimeExecucao="Global","",ORÇAMENTO.Unidade)</f>
        <v/>
      </c>
      <c r="G216" s="124" t="str">
        <f ca="1">IF(RegimeExecucao="Global","",ORÇAMENTO!T216)</f>
        <v/>
      </c>
      <c r="H216" s="124" t="str">
        <f ca="1">IF(RegimeExecucao="Global","",ORÇAMENTO!W216)</f>
        <v/>
      </c>
      <c r="I216" s="127">
        <f ca="1">ORÇAMENTO!X216</f>
        <v>0</v>
      </c>
      <c r="J216" s="378">
        <f ca="1">IF($A216="S",IF(CAIXA.Modo,BM.AFAnterior,BM.MEDAnterior),IF(AND(RegimeExecucao="Global",$I216&gt;0,COUNTIF($AB$13:$AM$13,BM.medicao-1)&gt;0),M216/$I216*100,0))</f>
        <v>0</v>
      </c>
      <c r="K216" s="124">
        <f t="shared" ca="1" si="24"/>
        <v>0</v>
      </c>
      <c r="L216" s="379">
        <f ca="1">IF($A216="S",IF(CAIXA.Modo,BM.AFAcumulado,BM.MEDAcumulado),IF(AND(RegimeExecucao="Global",$I216&gt;0,COUNTIF($AB$13:$AM$13,BM.medicao)&gt;0),O216/$I216*100,0))</f>
        <v>0</v>
      </c>
      <c r="M216" s="380">
        <f ca="1">IF($A216="S",VTOTALBM,IF($A216=0,0,ROUND(SomaAgrupBM,15-13*ORÇAMENTO!$AF$11)))</f>
        <v>0</v>
      </c>
      <c r="N216" s="381">
        <f t="shared" ca="1" si="25"/>
        <v>0</v>
      </c>
      <c r="O216" s="127">
        <f ca="1">IF($A216="S",VTOTALBM,IF($A216=0,0,ROUND(SomaAgrupBM,15-13*ORÇAMENTO!$AF$11)))</f>
        <v>0</v>
      </c>
      <c r="Q216" s="382"/>
      <c r="R216" s="383"/>
      <c r="T216" s="119" t="str">
        <f t="shared" ca="1" si="26"/>
        <v/>
      </c>
      <c r="U216" s="172" t="str">
        <f t="shared" ca="1" si="27"/>
        <v/>
      </c>
      <c r="V216" s="173" t="str">
        <f ca="1">IF(AND($W216&gt;0,RegimeExecucao="Unitário"),$F216,"")</f>
        <v/>
      </c>
      <c r="W216" s="547">
        <f ca="1">IF($Y216&gt;0,CHOOSE(MATCH(RegimeExecucao,{"Unitário","Global"},0),IF($A216="S",$Y216/$X216,""),($Y216/$X216)*100),0)</f>
        <v>0</v>
      </c>
      <c r="X216" s="384" t="str">
        <f ca="1">IF($Y216&gt;0,CHOOSE(MATCH(RegimeExecucao,{"Unitário","Global"},0),IF($A216="S",ROUND($H216,ORÇAMENTO!$AF$10),""),ROUND($I216,ORÇAMENTO!$AF$11)),"")</f>
        <v/>
      </c>
      <c r="Y216" s="384">
        <f t="shared" ca="1" si="28"/>
        <v>0</v>
      </c>
      <c r="Z216" s="572"/>
      <c r="AB216" s="382"/>
      <c r="AC216" s="516"/>
      <c r="AD216" s="516"/>
      <c r="AE216" s="516"/>
      <c r="AF216" s="516"/>
      <c r="AG216" s="516"/>
      <c r="AH216" s="516"/>
      <c r="AI216" s="516"/>
      <c r="AJ216" s="516"/>
      <c r="AK216" s="516"/>
      <c r="AL216" s="516"/>
      <c r="AM216" s="383"/>
      <c r="AO216">
        <f ca="1">IF($A216="S",IF(BM!$I216=0,0,CHOOSE(MATCH(RegimeExecucao,{"Global","Unitário"},0),ROUND(ROUND(BM.MEDAcumulado,15-13*BM!$A$9)/100*BM!$I216,15-13*ORÇAMENTO!$AF$11),ROUND(ROUND(BM.MEDAcumulado,15-13*BM!$A$9)*ROUND(BM!$H216,15-13*ORÇAMENTO!$AF$10),15-13*ORÇAMENTO!$AF$11))),IF($A216=0,0,ROUND(SomaAgrupBM,15-13*ORÇAMENTO!$AF$11)))</f>
        <v>0</v>
      </c>
    </row>
    <row r="217" spans="1:41" ht="25.5" x14ac:dyDescent="0.2">
      <c r="A217" t="str">
        <f ca="1">ORÇAMENTO!C217</f>
        <v>S</v>
      </c>
      <c r="B217">
        <f ca="1">ORÇAMENTO!D217</f>
        <v>0</v>
      </c>
      <c r="C217" s="116" t="str">
        <f t="shared" ca="1" si="22"/>
        <v/>
      </c>
      <c r="D217" s="119" t="str">
        <f ca="1">ORÇAMENTO!O217</f>
        <v>-</v>
      </c>
      <c r="E217" s="172" t="str">
        <f t="shared" ca="1" si="23"/>
        <v>(abra o arquivo 'Referência 06-2024.xlsm)</v>
      </c>
      <c r="F217" s="173" t="str">
        <f ca="1">IF(RegimeExecucao="Global","",ORÇAMENTO.Unidade)</f>
        <v/>
      </c>
      <c r="G217" s="124" t="str">
        <f ca="1">IF(RegimeExecucao="Global","",ORÇAMENTO!T217)</f>
        <v/>
      </c>
      <c r="H217" s="124" t="str">
        <f ca="1">IF(RegimeExecucao="Global","",ORÇAMENTO!W217)</f>
        <v/>
      </c>
      <c r="I217" s="127">
        <f ca="1">ORÇAMENTO!X217</f>
        <v>0</v>
      </c>
      <c r="J217" s="378">
        <f ca="1">IF($A217="S",IF(CAIXA.Modo,BM.AFAnterior,BM.MEDAnterior),IF(AND(RegimeExecucao="Global",$I217&gt;0,COUNTIF($AB$13:$AM$13,BM.medicao-1)&gt;0),M217/$I217*100,0))</f>
        <v>0</v>
      </c>
      <c r="K217" s="124">
        <f t="shared" ca="1" si="24"/>
        <v>0</v>
      </c>
      <c r="L217" s="379">
        <f ca="1">IF($A217="S",IF(CAIXA.Modo,BM.AFAcumulado,BM.MEDAcumulado),IF(AND(RegimeExecucao="Global",$I217&gt;0,COUNTIF($AB$13:$AM$13,BM.medicao)&gt;0),O217/$I217*100,0))</f>
        <v>0</v>
      </c>
      <c r="M217" s="380">
        <f ca="1">IF($A217="S",VTOTALBM,IF($A217=0,0,ROUND(SomaAgrupBM,15-13*ORÇAMENTO!$AF$11)))</f>
        <v>0</v>
      </c>
      <c r="N217" s="381">
        <f t="shared" ca="1" si="25"/>
        <v>0</v>
      </c>
      <c r="O217" s="127">
        <f ca="1">IF($A217="S",VTOTALBM,IF($A217=0,0,ROUND(SomaAgrupBM,15-13*ORÇAMENTO!$AF$11)))</f>
        <v>0</v>
      </c>
      <c r="Q217" s="382"/>
      <c r="R217" s="383"/>
      <c r="T217" s="119" t="str">
        <f t="shared" ca="1" si="26"/>
        <v/>
      </c>
      <c r="U217" s="172" t="str">
        <f t="shared" ca="1" si="27"/>
        <v/>
      </c>
      <c r="V217" s="173" t="str">
        <f ca="1">IF(AND($W217&gt;0,RegimeExecucao="Unitário"),$F217,"")</f>
        <v/>
      </c>
      <c r="W217" s="547">
        <f ca="1">IF($Y217&gt;0,CHOOSE(MATCH(RegimeExecucao,{"Unitário","Global"},0),IF($A217="S",$Y217/$X217,""),($Y217/$X217)*100),0)</f>
        <v>0</v>
      </c>
      <c r="X217" s="384" t="str">
        <f ca="1">IF($Y217&gt;0,CHOOSE(MATCH(RegimeExecucao,{"Unitário","Global"},0),IF($A217="S",ROUND($H217,ORÇAMENTO!$AF$10),""),ROUND($I217,ORÇAMENTO!$AF$11)),"")</f>
        <v/>
      </c>
      <c r="Y217" s="384">
        <f t="shared" ca="1" si="28"/>
        <v>0</v>
      </c>
      <c r="Z217" s="572"/>
      <c r="AB217" s="382"/>
      <c r="AC217" s="516"/>
      <c r="AD217" s="516"/>
      <c r="AE217" s="516"/>
      <c r="AF217" s="516"/>
      <c r="AG217" s="516"/>
      <c r="AH217" s="516"/>
      <c r="AI217" s="516"/>
      <c r="AJ217" s="516"/>
      <c r="AK217" s="516"/>
      <c r="AL217" s="516"/>
      <c r="AM217" s="383"/>
      <c r="AO217">
        <f ca="1">IF($A217="S",IF(BM!$I217=0,0,CHOOSE(MATCH(RegimeExecucao,{"Global","Unitário"},0),ROUND(ROUND(BM.MEDAcumulado,15-13*BM!$A$9)/100*BM!$I217,15-13*ORÇAMENTO!$AF$11),ROUND(ROUND(BM.MEDAcumulado,15-13*BM!$A$9)*ROUND(BM!$H217,15-13*ORÇAMENTO!$AF$10),15-13*ORÇAMENTO!$AF$11))),IF($A217=0,0,ROUND(SomaAgrupBM,15-13*ORÇAMENTO!$AF$11)))</f>
        <v>0</v>
      </c>
    </row>
    <row r="218" spans="1:41" x14ac:dyDescent="0.2">
      <c r="A218" t="str">
        <f ca="1">ORÇAMENTO!C218</f>
        <v>S</v>
      </c>
      <c r="B218">
        <f ca="1">ORÇAMENTO!D218</f>
        <v>0</v>
      </c>
      <c r="C218" s="116" t="str">
        <f t="shared" ca="1" si="22"/>
        <v/>
      </c>
      <c r="D218" s="119" t="str">
        <f ca="1">ORÇAMENTO!O218</f>
        <v>-</v>
      </c>
      <c r="E218" s="172" t="str">
        <f t="shared" ca="1" si="23"/>
        <v>(abra o arquivo 'Referência 06-2024.xlsm)</v>
      </c>
      <c r="F218" s="173" t="str">
        <f ca="1">IF(RegimeExecucao="Global","",ORÇAMENTO.Unidade)</f>
        <v/>
      </c>
      <c r="G218" s="124" t="str">
        <f ca="1">IF(RegimeExecucao="Global","",ORÇAMENTO!T218)</f>
        <v/>
      </c>
      <c r="H218" s="124" t="str">
        <f ca="1">IF(RegimeExecucao="Global","",ORÇAMENTO!W218)</f>
        <v/>
      </c>
      <c r="I218" s="127">
        <f ca="1">ORÇAMENTO!X218</f>
        <v>0</v>
      </c>
      <c r="J218" s="378">
        <f ca="1">IF($A218="S",IF(CAIXA.Modo,BM.AFAnterior,BM.MEDAnterior),IF(AND(RegimeExecucao="Global",$I218&gt;0,COUNTIF($AB$13:$AM$13,BM.medicao-1)&gt;0),M218/$I218*100,0))</f>
        <v>0</v>
      </c>
      <c r="K218" s="124">
        <f t="shared" ca="1" si="24"/>
        <v>0</v>
      </c>
      <c r="L218" s="379">
        <f ca="1">IF($A218="S",IF(CAIXA.Modo,BM.AFAcumulado,BM.MEDAcumulado),IF(AND(RegimeExecucao="Global",$I218&gt;0,COUNTIF($AB$13:$AM$13,BM.medicao)&gt;0),O218/$I218*100,0))</f>
        <v>0</v>
      </c>
      <c r="M218" s="380">
        <f ca="1">IF($A218="S",VTOTALBM,IF($A218=0,0,ROUND(SomaAgrupBM,15-13*ORÇAMENTO!$AF$11)))</f>
        <v>0</v>
      </c>
      <c r="N218" s="381">
        <f t="shared" ca="1" si="25"/>
        <v>0</v>
      </c>
      <c r="O218" s="127">
        <f ca="1">IF($A218="S",VTOTALBM,IF($A218=0,0,ROUND(SomaAgrupBM,15-13*ORÇAMENTO!$AF$11)))</f>
        <v>0</v>
      </c>
      <c r="Q218" s="382"/>
      <c r="R218" s="383"/>
      <c r="T218" s="119" t="str">
        <f t="shared" ca="1" si="26"/>
        <v/>
      </c>
      <c r="U218" s="172" t="str">
        <f t="shared" ca="1" si="27"/>
        <v/>
      </c>
      <c r="V218" s="173" t="str">
        <f ca="1">IF(AND($W218&gt;0,RegimeExecucao="Unitário"),$F218,"")</f>
        <v/>
      </c>
      <c r="W218" s="547">
        <f ca="1">IF($Y218&gt;0,CHOOSE(MATCH(RegimeExecucao,{"Unitário","Global"},0),IF($A218="S",$Y218/$X218,""),($Y218/$X218)*100),0)</f>
        <v>0</v>
      </c>
      <c r="X218" s="384" t="str">
        <f ca="1">IF($Y218&gt;0,CHOOSE(MATCH(RegimeExecucao,{"Unitário","Global"},0),IF($A218="S",ROUND($H218,ORÇAMENTO!$AF$10),""),ROUND($I218,ORÇAMENTO!$AF$11)),"")</f>
        <v/>
      </c>
      <c r="Y218" s="384">
        <f t="shared" ca="1" si="28"/>
        <v>0</v>
      </c>
      <c r="Z218" s="572"/>
      <c r="AB218" s="382"/>
      <c r="AC218" s="516"/>
      <c r="AD218" s="516"/>
      <c r="AE218" s="516"/>
      <c r="AF218" s="516"/>
      <c r="AG218" s="516"/>
      <c r="AH218" s="516"/>
      <c r="AI218" s="516"/>
      <c r="AJ218" s="516"/>
      <c r="AK218" s="516"/>
      <c r="AL218" s="516"/>
      <c r="AM218" s="383"/>
      <c r="AO218">
        <f ca="1">IF($A218="S",IF(BM!$I218=0,0,CHOOSE(MATCH(RegimeExecucao,{"Global","Unitário"},0),ROUND(ROUND(BM.MEDAcumulado,15-13*BM!$A$9)/100*BM!$I218,15-13*ORÇAMENTO!$AF$11),ROUND(ROUND(BM.MEDAcumulado,15-13*BM!$A$9)*ROUND(BM!$H218,15-13*ORÇAMENTO!$AF$10),15-13*ORÇAMENTO!$AF$11))),IF($A218=0,0,ROUND(SomaAgrupBM,15-13*ORÇAMENTO!$AF$11)))</f>
        <v>0</v>
      </c>
    </row>
    <row r="219" spans="1:41" x14ac:dyDescent="0.2">
      <c r="A219" t="str">
        <f ca="1">ORÇAMENTO!C219</f>
        <v>S</v>
      </c>
      <c r="B219">
        <f ca="1">ORÇAMENTO!D219</f>
        <v>0</v>
      </c>
      <c r="C219" s="116" t="str">
        <f t="shared" ca="1" si="22"/>
        <v/>
      </c>
      <c r="D219" s="119" t="str">
        <f ca="1">ORÇAMENTO!O219</f>
        <v>-</v>
      </c>
      <c r="E219" s="172" t="str">
        <f t="shared" ca="1" si="23"/>
        <v>(abra o arquivo 'Referência 06-2024.xlsm)</v>
      </c>
      <c r="F219" s="173" t="str">
        <f ca="1">IF(RegimeExecucao="Global","",ORÇAMENTO.Unidade)</f>
        <v/>
      </c>
      <c r="G219" s="124" t="str">
        <f ca="1">IF(RegimeExecucao="Global","",ORÇAMENTO!T219)</f>
        <v/>
      </c>
      <c r="H219" s="124" t="str">
        <f ca="1">IF(RegimeExecucao="Global","",ORÇAMENTO!W219)</f>
        <v/>
      </c>
      <c r="I219" s="127">
        <f ca="1">ORÇAMENTO!X219</f>
        <v>0</v>
      </c>
      <c r="J219" s="378">
        <f ca="1">IF($A219="S",IF(CAIXA.Modo,BM.AFAnterior,BM.MEDAnterior),IF(AND(RegimeExecucao="Global",$I219&gt;0,COUNTIF($AB$13:$AM$13,BM.medicao-1)&gt;0),M219/$I219*100,0))</f>
        <v>0</v>
      </c>
      <c r="K219" s="124">
        <f t="shared" ca="1" si="24"/>
        <v>0</v>
      </c>
      <c r="L219" s="379">
        <f ca="1">IF($A219="S",IF(CAIXA.Modo,BM.AFAcumulado,BM.MEDAcumulado),IF(AND(RegimeExecucao="Global",$I219&gt;0,COUNTIF($AB$13:$AM$13,BM.medicao)&gt;0),O219/$I219*100,0))</f>
        <v>0</v>
      </c>
      <c r="M219" s="380">
        <f ca="1">IF($A219="S",VTOTALBM,IF($A219=0,0,ROUND(SomaAgrupBM,15-13*ORÇAMENTO!$AF$11)))</f>
        <v>0</v>
      </c>
      <c r="N219" s="381">
        <f t="shared" ca="1" si="25"/>
        <v>0</v>
      </c>
      <c r="O219" s="127">
        <f ca="1">IF($A219="S",VTOTALBM,IF($A219=0,0,ROUND(SomaAgrupBM,15-13*ORÇAMENTO!$AF$11)))</f>
        <v>0</v>
      </c>
      <c r="Q219" s="382"/>
      <c r="R219" s="383"/>
      <c r="T219" s="119" t="str">
        <f t="shared" ca="1" si="26"/>
        <v/>
      </c>
      <c r="U219" s="172" t="str">
        <f t="shared" ca="1" si="27"/>
        <v/>
      </c>
      <c r="V219" s="173" t="str">
        <f ca="1">IF(AND($W219&gt;0,RegimeExecucao="Unitário"),$F219,"")</f>
        <v/>
      </c>
      <c r="W219" s="547">
        <f ca="1">IF($Y219&gt;0,CHOOSE(MATCH(RegimeExecucao,{"Unitário","Global"},0),IF($A219="S",$Y219/$X219,""),($Y219/$X219)*100),0)</f>
        <v>0</v>
      </c>
      <c r="X219" s="384" t="str">
        <f ca="1">IF($Y219&gt;0,CHOOSE(MATCH(RegimeExecucao,{"Unitário","Global"},0),IF($A219="S",ROUND($H219,ORÇAMENTO!$AF$10),""),ROUND($I219,ORÇAMENTO!$AF$11)),"")</f>
        <v/>
      </c>
      <c r="Y219" s="384">
        <f t="shared" ca="1" si="28"/>
        <v>0</v>
      </c>
      <c r="Z219" s="572"/>
      <c r="AB219" s="382"/>
      <c r="AC219" s="516"/>
      <c r="AD219" s="516"/>
      <c r="AE219" s="516"/>
      <c r="AF219" s="516"/>
      <c r="AG219" s="516"/>
      <c r="AH219" s="516"/>
      <c r="AI219" s="516"/>
      <c r="AJ219" s="516"/>
      <c r="AK219" s="516"/>
      <c r="AL219" s="516"/>
      <c r="AM219" s="383"/>
      <c r="AO219">
        <f ca="1">IF($A219="S",IF(BM!$I219=0,0,CHOOSE(MATCH(RegimeExecucao,{"Global","Unitário"},0),ROUND(ROUND(BM.MEDAcumulado,15-13*BM!$A$9)/100*BM!$I219,15-13*ORÇAMENTO!$AF$11),ROUND(ROUND(BM.MEDAcumulado,15-13*BM!$A$9)*ROUND(BM!$H219,15-13*ORÇAMENTO!$AF$10),15-13*ORÇAMENTO!$AF$11))),IF($A219=0,0,ROUND(SomaAgrupBM,15-13*ORÇAMENTO!$AF$11)))</f>
        <v>0</v>
      </c>
    </row>
    <row r="220" spans="1:41" x14ac:dyDescent="0.2">
      <c r="A220" t="str">
        <f ca="1">ORÇAMENTO!C220</f>
        <v>S</v>
      </c>
      <c r="B220">
        <f ca="1">ORÇAMENTO!D220</f>
        <v>0</v>
      </c>
      <c r="C220" s="116" t="str">
        <f t="shared" ca="1" si="22"/>
        <v/>
      </c>
      <c r="D220" s="119" t="str">
        <f ca="1">ORÇAMENTO!O220</f>
        <v>-</v>
      </c>
      <c r="E220" s="172" t="str">
        <f t="shared" ca="1" si="23"/>
        <v>(abra o arquivo 'Referência 06-2024.xlsm)</v>
      </c>
      <c r="F220" s="173" t="str">
        <f ca="1">IF(RegimeExecucao="Global","",ORÇAMENTO.Unidade)</f>
        <v/>
      </c>
      <c r="G220" s="124" t="str">
        <f ca="1">IF(RegimeExecucao="Global","",ORÇAMENTO!T220)</f>
        <v/>
      </c>
      <c r="H220" s="124" t="str">
        <f ca="1">IF(RegimeExecucao="Global","",ORÇAMENTO!W220)</f>
        <v/>
      </c>
      <c r="I220" s="127">
        <f ca="1">ORÇAMENTO!X220</f>
        <v>0</v>
      </c>
      <c r="J220" s="378">
        <f ca="1">IF($A220="S",IF(CAIXA.Modo,BM.AFAnterior,BM.MEDAnterior),IF(AND(RegimeExecucao="Global",$I220&gt;0,COUNTIF($AB$13:$AM$13,BM.medicao-1)&gt;0),M220/$I220*100,0))</f>
        <v>0</v>
      </c>
      <c r="K220" s="124">
        <f t="shared" ca="1" si="24"/>
        <v>0</v>
      </c>
      <c r="L220" s="379">
        <f ca="1">IF($A220="S",IF(CAIXA.Modo,BM.AFAcumulado,BM.MEDAcumulado),IF(AND(RegimeExecucao="Global",$I220&gt;0,COUNTIF($AB$13:$AM$13,BM.medicao)&gt;0),O220/$I220*100,0))</f>
        <v>0</v>
      </c>
      <c r="M220" s="380">
        <f ca="1">IF($A220="S",VTOTALBM,IF($A220=0,0,ROUND(SomaAgrupBM,15-13*ORÇAMENTO!$AF$11)))</f>
        <v>0</v>
      </c>
      <c r="N220" s="381">
        <f t="shared" ca="1" si="25"/>
        <v>0</v>
      </c>
      <c r="O220" s="127">
        <f ca="1">IF($A220="S",VTOTALBM,IF($A220=0,0,ROUND(SomaAgrupBM,15-13*ORÇAMENTO!$AF$11)))</f>
        <v>0</v>
      </c>
      <c r="Q220" s="382"/>
      <c r="R220" s="383"/>
      <c r="T220" s="119" t="str">
        <f t="shared" ca="1" si="26"/>
        <v/>
      </c>
      <c r="U220" s="172" t="str">
        <f t="shared" ca="1" si="27"/>
        <v/>
      </c>
      <c r="V220" s="173" t="str">
        <f ca="1">IF(AND($W220&gt;0,RegimeExecucao="Unitário"),$F220,"")</f>
        <v/>
      </c>
      <c r="W220" s="547">
        <f ca="1">IF($Y220&gt;0,CHOOSE(MATCH(RegimeExecucao,{"Unitário","Global"},0),IF($A220="S",$Y220/$X220,""),($Y220/$X220)*100),0)</f>
        <v>0</v>
      </c>
      <c r="X220" s="384" t="str">
        <f ca="1">IF($Y220&gt;0,CHOOSE(MATCH(RegimeExecucao,{"Unitário","Global"},0),IF($A220="S",ROUND($H220,ORÇAMENTO!$AF$10),""),ROUND($I220,ORÇAMENTO!$AF$11)),"")</f>
        <v/>
      </c>
      <c r="Y220" s="384">
        <f t="shared" ca="1" si="28"/>
        <v>0</v>
      </c>
      <c r="Z220" s="572"/>
      <c r="AB220" s="382"/>
      <c r="AC220" s="516"/>
      <c r="AD220" s="516"/>
      <c r="AE220" s="516"/>
      <c r="AF220" s="516"/>
      <c r="AG220" s="516"/>
      <c r="AH220" s="516"/>
      <c r="AI220" s="516"/>
      <c r="AJ220" s="516"/>
      <c r="AK220" s="516"/>
      <c r="AL220" s="516"/>
      <c r="AM220" s="383"/>
      <c r="AO220">
        <f ca="1">IF($A220="S",IF(BM!$I220=0,0,CHOOSE(MATCH(RegimeExecucao,{"Global","Unitário"},0),ROUND(ROUND(BM.MEDAcumulado,15-13*BM!$A$9)/100*BM!$I220,15-13*ORÇAMENTO!$AF$11),ROUND(ROUND(BM.MEDAcumulado,15-13*BM!$A$9)*ROUND(BM!$H220,15-13*ORÇAMENTO!$AF$10),15-13*ORÇAMENTO!$AF$11))),IF($A220=0,0,ROUND(SomaAgrupBM,15-13*ORÇAMENTO!$AF$11)))</f>
        <v>0</v>
      </c>
    </row>
    <row r="221" spans="1:41" x14ac:dyDescent="0.2">
      <c r="A221">
        <f ca="1">ORÇAMENTO!C221</f>
        <v>2</v>
      </c>
      <c r="B221">
        <f ca="1">ORÇAMENTO!D221</f>
        <v>9</v>
      </c>
      <c r="C221" s="116" t="str">
        <f t="shared" ca="1" si="22"/>
        <v>F</v>
      </c>
      <c r="D221" s="119" t="str">
        <f ca="1">ORÇAMENTO!O221</f>
        <v>1.29.</v>
      </c>
      <c r="E221" s="172" t="str">
        <f t="shared" si="23"/>
        <v>PINTURAS E ACABAMENTOS - PAREDES</v>
      </c>
      <c r="F221" s="173" t="str">
        <f ca="1">IF(RegimeExecucao="Global","",ORÇAMENTO.Unidade)</f>
        <v/>
      </c>
      <c r="G221" s="124" t="str">
        <f ca="1">IF(RegimeExecucao="Global","",ORÇAMENTO!T221)</f>
        <v/>
      </c>
      <c r="H221" s="124" t="str">
        <f ca="1">IF(RegimeExecucao="Global","",ORÇAMENTO!W221)</f>
        <v/>
      </c>
      <c r="I221" s="127">
        <f ca="1">ORÇAMENTO!X221</f>
        <v>0</v>
      </c>
      <c r="J221" s="378">
        <f ca="1">IF($A221="S",IF(CAIXA.Modo,BM.AFAnterior,BM.MEDAnterior),IF(AND(RegimeExecucao="Global",$I221&gt;0,COUNTIF($AB$13:$AM$13,BM.medicao-1)&gt;0),M221/$I221*100,0))</f>
        <v>0</v>
      </c>
      <c r="K221" s="124">
        <f t="shared" ca="1" si="24"/>
        <v>0</v>
      </c>
      <c r="L221" s="379">
        <f ca="1">IF($A221="S",IF(CAIXA.Modo,BM.AFAcumulado,BM.MEDAcumulado),IF(AND(RegimeExecucao="Global",$I221&gt;0,COUNTIF($AB$13:$AM$13,BM.medicao)&gt;0),O221/$I221*100,0))</f>
        <v>0</v>
      </c>
      <c r="M221" s="380">
        <f ca="1">IF($A221="S",VTOTALBM,IF($A221=0,0,ROUND(SomaAgrupBM,15-13*ORÇAMENTO!$AF$11)))</f>
        <v>0</v>
      </c>
      <c r="N221" s="381">
        <f t="shared" ca="1" si="25"/>
        <v>0</v>
      </c>
      <c r="O221" s="127">
        <f ca="1">IF($A221="S",VTOTALBM,IF($A221=0,0,ROUND(SomaAgrupBM,15-13*ORÇAMENTO!$AF$11)))</f>
        <v>0</v>
      </c>
      <c r="Q221" s="382"/>
      <c r="R221" s="383"/>
      <c r="T221" s="119" t="str">
        <f t="shared" ca="1" si="26"/>
        <v/>
      </c>
      <c r="U221" s="172" t="str">
        <f t="shared" ca="1" si="27"/>
        <v/>
      </c>
      <c r="V221" s="173" t="str">
        <f ca="1">IF(AND($W221&gt;0,RegimeExecucao="Unitário"),$F221,"")</f>
        <v/>
      </c>
      <c r="W221" s="547">
        <f ca="1">IF($Y221&gt;0,CHOOSE(MATCH(RegimeExecucao,{"Unitário","Global"},0),IF($A221="S",$Y221/$X221,""),($Y221/$X221)*100),0)</f>
        <v>0</v>
      </c>
      <c r="X221" s="384" t="str">
        <f ca="1">IF($Y221&gt;0,CHOOSE(MATCH(RegimeExecucao,{"Unitário","Global"},0),IF($A221="S",ROUND($H221,ORÇAMENTO!$AF$10),""),ROUND($I221,ORÇAMENTO!$AF$11)),"")</f>
        <v/>
      </c>
      <c r="Y221" s="384">
        <f t="shared" ca="1" si="28"/>
        <v>0</v>
      </c>
      <c r="Z221" s="572"/>
      <c r="AB221" s="382"/>
      <c r="AC221" s="516"/>
      <c r="AD221" s="516"/>
      <c r="AE221" s="516"/>
      <c r="AF221" s="516"/>
      <c r="AG221" s="516"/>
      <c r="AH221" s="516"/>
      <c r="AI221" s="516"/>
      <c r="AJ221" s="516"/>
      <c r="AK221" s="516"/>
      <c r="AL221" s="516"/>
      <c r="AM221" s="383"/>
      <c r="AO221">
        <f ca="1">IF($A221="S",IF(BM!$I221=0,0,CHOOSE(MATCH(RegimeExecucao,{"Global","Unitário"},0),ROUND(ROUND(BM.MEDAcumulado,15-13*BM!$A$9)/100*BM!$I221,15-13*ORÇAMENTO!$AF$11),ROUND(ROUND(BM.MEDAcumulado,15-13*BM!$A$9)*ROUND(BM!$H221,15-13*ORÇAMENTO!$AF$10),15-13*ORÇAMENTO!$AF$11))),IF($A221=0,0,ROUND(SomaAgrupBM,15-13*ORÇAMENTO!$AF$11)))</f>
        <v>0</v>
      </c>
    </row>
    <row r="222" spans="1:41" ht="25.5" x14ac:dyDescent="0.2">
      <c r="A222" t="str">
        <f ca="1">ORÇAMENTO!C222</f>
        <v>S</v>
      </c>
      <c r="B222">
        <f ca="1">ORÇAMENTO!D222</f>
        <v>0</v>
      </c>
      <c r="C222" s="116" t="str">
        <f t="shared" ca="1" si="22"/>
        <v/>
      </c>
      <c r="D222" s="119" t="str">
        <f ca="1">ORÇAMENTO!O222</f>
        <v>-</v>
      </c>
      <c r="E222" s="172" t="str">
        <f t="shared" ca="1" si="23"/>
        <v>(abra o arquivo 'Referência 06-2024.xlsm)</v>
      </c>
      <c r="F222" s="173" t="str">
        <f ca="1">IF(RegimeExecucao="Global","",ORÇAMENTO.Unidade)</f>
        <v/>
      </c>
      <c r="G222" s="124" t="str">
        <f ca="1">IF(RegimeExecucao="Global","",ORÇAMENTO!T222)</f>
        <v/>
      </c>
      <c r="H222" s="124" t="str">
        <f ca="1">IF(RegimeExecucao="Global","",ORÇAMENTO!W222)</f>
        <v/>
      </c>
      <c r="I222" s="127">
        <f ca="1">ORÇAMENTO!X222</f>
        <v>0</v>
      </c>
      <c r="J222" s="378">
        <f ca="1">IF($A222="S",IF(CAIXA.Modo,BM.AFAnterior,BM.MEDAnterior),IF(AND(RegimeExecucao="Global",$I222&gt;0,COUNTIF($AB$13:$AM$13,BM.medicao-1)&gt;0),M222/$I222*100,0))</f>
        <v>0</v>
      </c>
      <c r="K222" s="124">
        <f t="shared" ca="1" si="24"/>
        <v>0</v>
      </c>
      <c r="L222" s="379">
        <f ca="1">IF($A222="S",IF(CAIXA.Modo,BM.AFAcumulado,BM.MEDAcumulado),IF(AND(RegimeExecucao="Global",$I222&gt;0,COUNTIF($AB$13:$AM$13,BM.medicao)&gt;0),O222/$I222*100,0))</f>
        <v>0</v>
      </c>
      <c r="M222" s="380">
        <f ca="1">IF($A222="S",VTOTALBM,IF($A222=0,0,ROUND(SomaAgrupBM,15-13*ORÇAMENTO!$AF$11)))</f>
        <v>0</v>
      </c>
      <c r="N222" s="381">
        <f t="shared" ca="1" si="25"/>
        <v>0</v>
      </c>
      <c r="O222" s="127">
        <f ca="1">IF($A222="S",VTOTALBM,IF($A222=0,0,ROUND(SomaAgrupBM,15-13*ORÇAMENTO!$AF$11)))</f>
        <v>0</v>
      </c>
      <c r="Q222" s="382"/>
      <c r="R222" s="383"/>
      <c r="T222" s="119" t="str">
        <f t="shared" ca="1" si="26"/>
        <v/>
      </c>
      <c r="U222" s="172" t="str">
        <f t="shared" ca="1" si="27"/>
        <v/>
      </c>
      <c r="V222" s="173" t="str">
        <f ca="1">IF(AND($W222&gt;0,RegimeExecucao="Unitário"),$F222,"")</f>
        <v/>
      </c>
      <c r="W222" s="547">
        <f ca="1">IF($Y222&gt;0,CHOOSE(MATCH(RegimeExecucao,{"Unitário","Global"},0),IF($A222="S",$Y222/$X222,""),($Y222/$X222)*100),0)</f>
        <v>0</v>
      </c>
      <c r="X222" s="384" t="str">
        <f ca="1">IF($Y222&gt;0,CHOOSE(MATCH(RegimeExecucao,{"Unitário","Global"},0),IF($A222="S",ROUND($H222,ORÇAMENTO!$AF$10),""),ROUND($I222,ORÇAMENTO!$AF$11)),"")</f>
        <v/>
      </c>
      <c r="Y222" s="384">
        <f t="shared" ca="1" si="28"/>
        <v>0</v>
      </c>
      <c r="Z222" s="572"/>
      <c r="AB222" s="382"/>
      <c r="AC222" s="516"/>
      <c r="AD222" s="516"/>
      <c r="AE222" s="516"/>
      <c r="AF222" s="516"/>
      <c r="AG222" s="516"/>
      <c r="AH222" s="516"/>
      <c r="AI222" s="516"/>
      <c r="AJ222" s="516"/>
      <c r="AK222" s="516"/>
      <c r="AL222" s="516"/>
      <c r="AM222" s="383"/>
      <c r="AO222">
        <f ca="1">IF($A222="S",IF(BM!$I222=0,0,CHOOSE(MATCH(RegimeExecucao,{"Global","Unitário"},0),ROUND(ROUND(BM.MEDAcumulado,15-13*BM!$A$9)/100*BM!$I222,15-13*ORÇAMENTO!$AF$11),ROUND(ROUND(BM.MEDAcumulado,15-13*BM!$A$9)*ROUND(BM!$H222,15-13*ORÇAMENTO!$AF$10),15-13*ORÇAMENTO!$AF$11))),IF($A222=0,0,ROUND(SomaAgrupBM,15-13*ORÇAMENTO!$AF$11)))</f>
        <v>0</v>
      </c>
    </row>
    <row r="223" spans="1:41" ht="25.5" x14ac:dyDescent="0.2">
      <c r="A223" t="str">
        <f ca="1">ORÇAMENTO!C223</f>
        <v>S</v>
      </c>
      <c r="B223">
        <f ca="1">ORÇAMENTO!D223</f>
        <v>0</v>
      </c>
      <c r="C223" s="116" t="str">
        <f t="shared" ca="1" si="22"/>
        <v/>
      </c>
      <c r="D223" s="119" t="str">
        <f ca="1">ORÇAMENTO!O223</f>
        <v>-</v>
      </c>
      <c r="E223" s="172" t="str">
        <f t="shared" ca="1" si="23"/>
        <v>(abra o arquivo 'Referência 06-2024.xlsm)</v>
      </c>
      <c r="F223" s="173" t="str">
        <f ca="1">IF(RegimeExecucao="Global","",ORÇAMENTO.Unidade)</f>
        <v/>
      </c>
      <c r="G223" s="124" t="str">
        <f ca="1">IF(RegimeExecucao="Global","",ORÇAMENTO!T223)</f>
        <v/>
      </c>
      <c r="H223" s="124" t="str">
        <f ca="1">IF(RegimeExecucao="Global","",ORÇAMENTO!W223)</f>
        <v/>
      </c>
      <c r="I223" s="127">
        <f ca="1">ORÇAMENTO!X223</f>
        <v>0</v>
      </c>
      <c r="J223" s="378">
        <f ca="1">IF($A223="S",IF(CAIXA.Modo,BM.AFAnterior,BM.MEDAnterior),IF(AND(RegimeExecucao="Global",$I223&gt;0,COUNTIF($AB$13:$AM$13,BM.medicao-1)&gt;0),M223/$I223*100,0))</f>
        <v>0</v>
      </c>
      <c r="K223" s="124">
        <f t="shared" ca="1" si="24"/>
        <v>0</v>
      </c>
      <c r="L223" s="379">
        <f ca="1">IF($A223="S",IF(CAIXA.Modo,BM.AFAcumulado,BM.MEDAcumulado),IF(AND(RegimeExecucao="Global",$I223&gt;0,COUNTIF($AB$13:$AM$13,BM.medicao)&gt;0),O223/$I223*100,0))</f>
        <v>0</v>
      </c>
      <c r="M223" s="380">
        <f ca="1">IF($A223="S",VTOTALBM,IF($A223=0,0,ROUND(SomaAgrupBM,15-13*ORÇAMENTO!$AF$11)))</f>
        <v>0</v>
      </c>
      <c r="N223" s="381">
        <f t="shared" ca="1" si="25"/>
        <v>0</v>
      </c>
      <c r="O223" s="127">
        <f ca="1">IF($A223="S",VTOTALBM,IF($A223=0,0,ROUND(SomaAgrupBM,15-13*ORÇAMENTO!$AF$11)))</f>
        <v>0</v>
      </c>
      <c r="Q223" s="382"/>
      <c r="R223" s="383"/>
      <c r="T223" s="119" t="str">
        <f t="shared" ca="1" si="26"/>
        <v/>
      </c>
      <c r="U223" s="172" t="str">
        <f t="shared" ca="1" si="27"/>
        <v/>
      </c>
      <c r="V223" s="173" t="str">
        <f ca="1">IF(AND($W223&gt;0,RegimeExecucao="Unitário"),$F223,"")</f>
        <v/>
      </c>
      <c r="W223" s="547">
        <f ca="1">IF($Y223&gt;0,CHOOSE(MATCH(RegimeExecucao,{"Unitário","Global"},0),IF($A223="S",$Y223/$X223,""),($Y223/$X223)*100),0)</f>
        <v>0</v>
      </c>
      <c r="X223" s="384" t="str">
        <f ca="1">IF($Y223&gt;0,CHOOSE(MATCH(RegimeExecucao,{"Unitário","Global"},0),IF($A223="S",ROUND($H223,ORÇAMENTO!$AF$10),""),ROUND($I223,ORÇAMENTO!$AF$11)),"")</f>
        <v/>
      </c>
      <c r="Y223" s="384">
        <f t="shared" ca="1" si="28"/>
        <v>0</v>
      </c>
      <c r="Z223" s="572"/>
      <c r="AB223" s="382"/>
      <c r="AC223" s="516"/>
      <c r="AD223" s="516"/>
      <c r="AE223" s="516"/>
      <c r="AF223" s="516"/>
      <c r="AG223" s="516"/>
      <c r="AH223" s="516"/>
      <c r="AI223" s="516"/>
      <c r="AJ223" s="516"/>
      <c r="AK223" s="516"/>
      <c r="AL223" s="516"/>
      <c r="AM223" s="383"/>
      <c r="AO223">
        <f ca="1">IF($A223="S",IF(BM!$I223=0,0,CHOOSE(MATCH(RegimeExecucao,{"Global","Unitário"},0),ROUND(ROUND(BM.MEDAcumulado,15-13*BM!$A$9)/100*BM!$I223,15-13*ORÇAMENTO!$AF$11),ROUND(ROUND(BM.MEDAcumulado,15-13*BM!$A$9)*ROUND(BM!$H223,15-13*ORÇAMENTO!$AF$10),15-13*ORÇAMENTO!$AF$11))),IF($A223=0,0,ROUND(SomaAgrupBM,15-13*ORÇAMENTO!$AF$11)))</f>
        <v>0</v>
      </c>
    </row>
    <row r="224" spans="1:41" ht="25.5" x14ac:dyDescent="0.2">
      <c r="A224" t="str">
        <f ca="1">ORÇAMENTO!C224</f>
        <v>S</v>
      </c>
      <c r="B224">
        <f ca="1">ORÇAMENTO!D224</f>
        <v>0</v>
      </c>
      <c r="C224" s="116" t="str">
        <f t="shared" ca="1" si="22"/>
        <v/>
      </c>
      <c r="D224" s="119" t="str">
        <f ca="1">ORÇAMENTO!O224</f>
        <v>-</v>
      </c>
      <c r="E224" s="172" t="str">
        <f t="shared" ca="1" si="23"/>
        <v>(abra o arquivo 'Referência 06-2024.xlsm)</v>
      </c>
      <c r="F224" s="173" t="str">
        <f ca="1">IF(RegimeExecucao="Global","",ORÇAMENTO.Unidade)</f>
        <v/>
      </c>
      <c r="G224" s="124" t="str">
        <f ca="1">IF(RegimeExecucao="Global","",ORÇAMENTO!T224)</f>
        <v/>
      </c>
      <c r="H224" s="124" t="str">
        <f ca="1">IF(RegimeExecucao="Global","",ORÇAMENTO!W224)</f>
        <v/>
      </c>
      <c r="I224" s="127">
        <f ca="1">ORÇAMENTO!X224</f>
        <v>0</v>
      </c>
      <c r="J224" s="378">
        <f ca="1">IF($A224="S",IF(CAIXA.Modo,BM.AFAnterior,BM.MEDAnterior),IF(AND(RegimeExecucao="Global",$I224&gt;0,COUNTIF($AB$13:$AM$13,BM.medicao-1)&gt;0),M224/$I224*100,0))</f>
        <v>0</v>
      </c>
      <c r="K224" s="124">
        <f t="shared" ca="1" si="24"/>
        <v>0</v>
      </c>
      <c r="L224" s="379">
        <f ca="1">IF($A224="S",IF(CAIXA.Modo,BM.AFAcumulado,BM.MEDAcumulado),IF(AND(RegimeExecucao="Global",$I224&gt;0,COUNTIF($AB$13:$AM$13,BM.medicao)&gt;0),O224/$I224*100,0))</f>
        <v>0</v>
      </c>
      <c r="M224" s="380">
        <f ca="1">IF($A224="S",VTOTALBM,IF($A224=0,0,ROUND(SomaAgrupBM,15-13*ORÇAMENTO!$AF$11)))</f>
        <v>0</v>
      </c>
      <c r="N224" s="381">
        <f t="shared" ca="1" si="25"/>
        <v>0</v>
      </c>
      <c r="O224" s="127">
        <f ca="1">IF($A224="S",VTOTALBM,IF($A224=0,0,ROUND(SomaAgrupBM,15-13*ORÇAMENTO!$AF$11)))</f>
        <v>0</v>
      </c>
      <c r="Q224" s="382"/>
      <c r="R224" s="383"/>
      <c r="T224" s="119" t="str">
        <f t="shared" ca="1" si="26"/>
        <v/>
      </c>
      <c r="U224" s="172" t="str">
        <f t="shared" ca="1" si="27"/>
        <v/>
      </c>
      <c r="V224" s="173" t="str">
        <f ca="1">IF(AND($W224&gt;0,RegimeExecucao="Unitário"),$F224,"")</f>
        <v/>
      </c>
      <c r="W224" s="547">
        <f ca="1">IF($Y224&gt;0,CHOOSE(MATCH(RegimeExecucao,{"Unitário","Global"},0),IF($A224="S",$Y224/$X224,""),($Y224/$X224)*100),0)</f>
        <v>0</v>
      </c>
      <c r="X224" s="384" t="str">
        <f ca="1">IF($Y224&gt;0,CHOOSE(MATCH(RegimeExecucao,{"Unitário","Global"},0),IF($A224="S",ROUND($H224,ORÇAMENTO!$AF$10),""),ROUND($I224,ORÇAMENTO!$AF$11)),"")</f>
        <v/>
      </c>
      <c r="Y224" s="384">
        <f t="shared" ca="1" si="28"/>
        <v>0</v>
      </c>
      <c r="Z224" s="572"/>
      <c r="AB224" s="382"/>
      <c r="AC224" s="516"/>
      <c r="AD224" s="516"/>
      <c r="AE224" s="516"/>
      <c r="AF224" s="516"/>
      <c r="AG224" s="516"/>
      <c r="AH224" s="516"/>
      <c r="AI224" s="516"/>
      <c r="AJ224" s="516"/>
      <c r="AK224" s="516"/>
      <c r="AL224" s="516"/>
      <c r="AM224" s="383"/>
      <c r="AO224">
        <f ca="1">IF($A224="S",IF(BM!$I224=0,0,CHOOSE(MATCH(RegimeExecucao,{"Global","Unitário"},0),ROUND(ROUND(BM.MEDAcumulado,15-13*BM!$A$9)/100*BM!$I224,15-13*ORÇAMENTO!$AF$11),ROUND(ROUND(BM.MEDAcumulado,15-13*BM!$A$9)*ROUND(BM!$H224,15-13*ORÇAMENTO!$AF$10),15-13*ORÇAMENTO!$AF$11))),IF($A224=0,0,ROUND(SomaAgrupBM,15-13*ORÇAMENTO!$AF$11)))</f>
        <v>0</v>
      </c>
    </row>
    <row r="225" spans="1:41" ht="25.5" x14ac:dyDescent="0.2">
      <c r="A225" t="str">
        <f ca="1">ORÇAMENTO!C225</f>
        <v>S</v>
      </c>
      <c r="B225">
        <f ca="1">ORÇAMENTO!D225</f>
        <v>0</v>
      </c>
      <c r="C225" s="116" t="str">
        <f t="shared" ca="1" si="22"/>
        <v/>
      </c>
      <c r="D225" s="119" t="str">
        <f ca="1">ORÇAMENTO!O225</f>
        <v>-</v>
      </c>
      <c r="E225" s="172" t="str">
        <f t="shared" ca="1" si="23"/>
        <v>(abra o arquivo 'Referência 06-2024.xlsm)</v>
      </c>
      <c r="F225" s="173" t="str">
        <f ca="1">IF(RegimeExecucao="Global","",ORÇAMENTO.Unidade)</f>
        <v/>
      </c>
      <c r="G225" s="124" t="str">
        <f ca="1">IF(RegimeExecucao="Global","",ORÇAMENTO!T225)</f>
        <v/>
      </c>
      <c r="H225" s="124" t="str">
        <f ca="1">IF(RegimeExecucao="Global","",ORÇAMENTO!W225)</f>
        <v/>
      </c>
      <c r="I225" s="127">
        <f ca="1">ORÇAMENTO!X225</f>
        <v>0</v>
      </c>
      <c r="J225" s="378">
        <f ca="1">IF($A225="S",IF(CAIXA.Modo,BM.AFAnterior,BM.MEDAnterior),IF(AND(RegimeExecucao="Global",$I225&gt;0,COUNTIF($AB$13:$AM$13,BM.medicao-1)&gt;0),M225/$I225*100,0))</f>
        <v>0</v>
      </c>
      <c r="K225" s="124">
        <f t="shared" ca="1" si="24"/>
        <v>0</v>
      </c>
      <c r="L225" s="379">
        <f ca="1">IF($A225="S",IF(CAIXA.Modo,BM.AFAcumulado,BM.MEDAcumulado),IF(AND(RegimeExecucao="Global",$I225&gt;0,COUNTIF($AB$13:$AM$13,BM.medicao)&gt;0),O225/$I225*100,0))</f>
        <v>0</v>
      </c>
      <c r="M225" s="380">
        <f ca="1">IF($A225="S",VTOTALBM,IF($A225=0,0,ROUND(SomaAgrupBM,15-13*ORÇAMENTO!$AF$11)))</f>
        <v>0</v>
      </c>
      <c r="N225" s="381">
        <f t="shared" ca="1" si="25"/>
        <v>0</v>
      </c>
      <c r="O225" s="127">
        <f ca="1">IF($A225="S",VTOTALBM,IF($A225=0,0,ROUND(SomaAgrupBM,15-13*ORÇAMENTO!$AF$11)))</f>
        <v>0</v>
      </c>
      <c r="Q225" s="382"/>
      <c r="R225" s="383"/>
      <c r="T225" s="119" t="str">
        <f t="shared" ca="1" si="26"/>
        <v/>
      </c>
      <c r="U225" s="172" t="str">
        <f t="shared" ca="1" si="27"/>
        <v/>
      </c>
      <c r="V225" s="173" t="str">
        <f ca="1">IF(AND($W225&gt;0,RegimeExecucao="Unitário"),$F225,"")</f>
        <v/>
      </c>
      <c r="W225" s="547">
        <f ca="1">IF($Y225&gt;0,CHOOSE(MATCH(RegimeExecucao,{"Unitário","Global"},0),IF($A225="S",$Y225/$X225,""),($Y225/$X225)*100),0)</f>
        <v>0</v>
      </c>
      <c r="X225" s="384" t="str">
        <f ca="1">IF($Y225&gt;0,CHOOSE(MATCH(RegimeExecucao,{"Unitário","Global"},0),IF($A225="S",ROUND($H225,ORÇAMENTO!$AF$10),""),ROUND($I225,ORÇAMENTO!$AF$11)),"")</f>
        <v/>
      </c>
      <c r="Y225" s="384">
        <f t="shared" ca="1" si="28"/>
        <v>0</v>
      </c>
      <c r="Z225" s="572"/>
      <c r="AB225" s="382"/>
      <c r="AC225" s="516"/>
      <c r="AD225" s="516"/>
      <c r="AE225" s="516"/>
      <c r="AF225" s="516"/>
      <c r="AG225" s="516"/>
      <c r="AH225" s="516"/>
      <c r="AI225" s="516"/>
      <c r="AJ225" s="516"/>
      <c r="AK225" s="516"/>
      <c r="AL225" s="516"/>
      <c r="AM225" s="383"/>
      <c r="AO225">
        <f ca="1">IF($A225="S",IF(BM!$I225=0,0,CHOOSE(MATCH(RegimeExecucao,{"Global","Unitário"},0),ROUND(ROUND(BM.MEDAcumulado,15-13*BM!$A$9)/100*BM!$I225,15-13*ORÇAMENTO!$AF$11),ROUND(ROUND(BM.MEDAcumulado,15-13*BM!$A$9)*ROUND(BM!$H225,15-13*ORÇAMENTO!$AF$10),15-13*ORÇAMENTO!$AF$11))),IF($A225=0,0,ROUND(SomaAgrupBM,15-13*ORÇAMENTO!$AF$11)))</f>
        <v>0</v>
      </c>
    </row>
    <row r="226" spans="1:41" ht="25.5" x14ac:dyDescent="0.2">
      <c r="A226" t="str">
        <f ca="1">ORÇAMENTO!C226</f>
        <v>S</v>
      </c>
      <c r="B226">
        <f ca="1">ORÇAMENTO!D226</f>
        <v>0</v>
      </c>
      <c r="C226" s="116" t="str">
        <f t="shared" ca="1" si="22"/>
        <v/>
      </c>
      <c r="D226" s="119" t="str">
        <f ca="1">ORÇAMENTO!O226</f>
        <v>-</v>
      </c>
      <c r="E226" s="172" t="str">
        <f t="shared" ca="1" si="23"/>
        <v>(abra o arquivo 'Referência 06-2024.xlsm)</v>
      </c>
      <c r="F226" s="173" t="str">
        <f ca="1">IF(RegimeExecucao="Global","",ORÇAMENTO.Unidade)</f>
        <v/>
      </c>
      <c r="G226" s="124" t="str">
        <f ca="1">IF(RegimeExecucao="Global","",ORÇAMENTO!T226)</f>
        <v/>
      </c>
      <c r="H226" s="124" t="str">
        <f ca="1">IF(RegimeExecucao="Global","",ORÇAMENTO!W226)</f>
        <v/>
      </c>
      <c r="I226" s="127">
        <f ca="1">ORÇAMENTO!X226</f>
        <v>0</v>
      </c>
      <c r="J226" s="378">
        <f ca="1">IF($A226="S",IF(CAIXA.Modo,BM.AFAnterior,BM.MEDAnterior),IF(AND(RegimeExecucao="Global",$I226&gt;0,COUNTIF($AB$13:$AM$13,BM.medicao-1)&gt;0),M226/$I226*100,0))</f>
        <v>0</v>
      </c>
      <c r="K226" s="124">
        <f t="shared" ca="1" si="24"/>
        <v>0</v>
      </c>
      <c r="L226" s="379">
        <f ca="1">IF($A226="S",IF(CAIXA.Modo,BM.AFAcumulado,BM.MEDAcumulado),IF(AND(RegimeExecucao="Global",$I226&gt;0,COUNTIF($AB$13:$AM$13,BM.medicao)&gt;0),O226/$I226*100,0))</f>
        <v>0</v>
      </c>
      <c r="M226" s="380">
        <f ca="1">IF($A226="S",VTOTALBM,IF($A226=0,0,ROUND(SomaAgrupBM,15-13*ORÇAMENTO!$AF$11)))</f>
        <v>0</v>
      </c>
      <c r="N226" s="381">
        <f t="shared" ca="1" si="25"/>
        <v>0</v>
      </c>
      <c r="O226" s="127">
        <f ca="1">IF($A226="S",VTOTALBM,IF($A226=0,0,ROUND(SomaAgrupBM,15-13*ORÇAMENTO!$AF$11)))</f>
        <v>0</v>
      </c>
      <c r="Q226" s="382"/>
      <c r="R226" s="383"/>
      <c r="T226" s="119" t="str">
        <f t="shared" ca="1" si="26"/>
        <v/>
      </c>
      <c r="U226" s="172" t="str">
        <f t="shared" ca="1" si="27"/>
        <v/>
      </c>
      <c r="V226" s="173" t="str">
        <f ca="1">IF(AND($W226&gt;0,RegimeExecucao="Unitário"),$F226,"")</f>
        <v/>
      </c>
      <c r="W226" s="547">
        <f ca="1">IF($Y226&gt;0,CHOOSE(MATCH(RegimeExecucao,{"Unitário","Global"},0),IF($A226="S",$Y226/$X226,""),($Y226/$X226)*100),0)</f>
        <v>0</v>
      </c>
      <c r="X226" s="384" t="str">
        <f ca="1">IF($Y226&gt;0,CHOOSE(MATCH(RegimeExecucao,{"Unitário","Global"},0),IF($A226="S",ROUND($H226,ORÇAMENTO!$AF$10),""),ROUND($I226,ORÇAMENTO!$AF$11)),"")</f>
        <v/>
      </c>
      <c r="Y226" s="384">
        <f t="shared" ca="1" si="28"/>
        <v>0</v>
      </c>
      <c r="Z226" s="572"/>
      <c r="AB226" s="382"/>
      <c r="AC226" s="516"/>
      <c r="AD226" s="516"/>
      <c r="AE226" s="516"/>
      <c r="AF226" s="516"/>
      <c r="AG226" s="516"/>
      <c r="AH226" s="516"/>
      <c r="AI226" s="516"/>
      <c r="AJ226" s="516"/>
      <c r="AK226" s="516"/>
      <c r="AL226" s="516"/>
      <c r="AM226" s="383"/>
      <c r="AO226">
        <f ca="1">IF($A226="S",IF(BM!$I226=0,0,CHOOSE(MATCH(RegimeExecucao,{"Global","Unitário"},0),ROUND(ROUND(BM.MEDAcumulado,15-13*BM!$A$9)/100*BM!$I226,15-13*ORÇAMENTO!$AF$11),ROUND(ROUND(BM.MEDAcumulado,15-13*BM!$A$9)*ROUND(BM!$H226,15-13*ORÇAMENTO!$AF$10),15-13*ORÇAMENTO!$AF$11))),IF($A226=0,0,ROUND(SomaAgrupBM,15-13*ORÇAMENTO!$AF$11)))</f>
        <v>0</v>
      </c>
    </row>
    <row r="227" spans="1:41" ht="25.5" x14ac:dyDescent="0.2">
      <c r="A227" t="str">
        <f ca="1">ORÇAMENTO!C227</f>
        <v>S</v>
      </c>
      <c r="B227">
        <f ca="1">ORÇAMENTO!D227</f>
        <v>0</v>
      </c>
      <c r="C227" s="116" t="str">
        <f t="shared" ca="1" si="22"/>
        <v/>
      </c>
      <c r="D227" s="119" t="str">
        <f ca="1">ORÇAMENTO!O227</f>
        <v>-</v>
      </c>
      <c r="E227" s="172" t="str">
        <f t="shared" ca="1" si="23"/>
        <v>(abra o arquivo 'Referência 06-2024.xlsm)</v>
      </c>
      <c r="F227" s="173" t="str">
        <f ca="1">IF(RegimeExecucao="Global","",ORÇAMENTO.Unidade)</f>
        <v/>
      </c>
      <c r="G227" s="124" t="str">
        <f ca="1">IF(RegimeExecucao="Global","",ORÇAMENTO!T227)</f>
        <v/>
      </c>
      <c r="H227" s="124" t="str">
        <f ca="1">IF(RegimeExecucao="Global","",ORÇAMENTO!W227)</f>
        <v/>
      </c>
      <c r="I227" s="127">
        <f ca="1">ORÇAMENTO!X227</f>
        <v>0</v>
      </c>
      <c r="J227" s="378">
        <f ca="1">IF($A227="S",IF(CAIXA.Modo,BM.AFAnterior,BM.MEDAnterior),IF(AND(RegimeExecucao="Global",$I227&gt;0,COUNTIF($AB$13:$AM$13,BM.medicao-1)&gt;0),M227/$I227*100,0))</f>
        <v>0</v>
      </c>
      <c r="K227" s="124">
        <f t="shared" ca="1" si="24"/>
        <v>0</v>
      </c>
      <c r="L227" s="379">
        <f ca="1">IF($A227="S",IF(CAIXA.Modo,BM.AFAcumulado,BM.MEDAcumulado),IF(AND(RegimeExecucao="Global",$I227&gt;0,COUNTIF($AB$13:$AM$13,BM.medicao)&gt;0),O227/$I227*100,0))</f>
        <v>0</v>
      </c>
      <c r="M227" s="380">
        <f ca="1">IF($A227="S",VTOTALBM,IF($A227=0,0,ROUND(SomaAgrupBM,15-13*ORÇAMENTO!$AF$11)))</f>
        <v>0</v>
      </c>
      <c r="N227" s="381">
        <f t="shared" ca="1" si="25"/>
        <v>0</v>
      </c>
      <c r="O227" s="127">
        <f ca="1">IF($A227="S",VTOTALBM,IF($A227=0,0,ROUND(SomaAgrupBM,15-13*ORÇAMENTO!$AF$11)))</f>
        <v>0</v>
      </c>
      <c r="Q227" s="382"/>
      <c r="R227" s="383"/>
      <c r="T227" s="119" t="str">
        <f t="shared" ca="1" si="26"/>
        <v/>
      </c>
      <c r="U227" s="172" t="str">
        <f t="shared" ca="1" si="27"/>
        <v/>
      </c>
      <c r="V227" s="173" t="str">
        <f ca="1">IF(AND($W227&gt;0,RegimeExecucao="Unitário"),$F227,"")</f>
        <v/>
      </c>
      <c r="W227" s="547">
        <f ca="1">IF($Y227&gt;0,CHOOSE(MATCH(RegimeExecucao,{"Unitário","Global"},0),IF($A227="S",$Y227/$X227,""),($Y227/$X227)*100),0)</f>
        <v>0</v>
      </c>
      <c r="X227" s="384" t="str">
        <f ca="1">IF($Y227&gt;0,CHOOSE(MATCH(RegimeExecucao,{"Unitário","Global"},0),IF($A227="S",ROUND($H227,ORÇAMENTO!$AF$10),""),ROUND($I227,ORÇAMENTO!$AF$11)),"")</f>
        <v/>
      </c>
      <c r="Y227" s="384">
        <f t="shared" ca="1" si="28"/>
        <v>0</v>
      </c>
      <c r="Z227" s="572"/>
      <c r="AB227" s="382"/>
      <c r="AC227" s="516"/>
      <c r="AD227" s="516"/>
      <c r="AE227" s="516"/>
      <c r="AF227" s="516"/>
      <c r="AG227" s="516"/>
      <c r="AH227" s="516"/>
      <c r="AI227" s="516"/>
      <c r="AJ227" s="516"/>
      <c r="AK227" s="516"/>
      <c r="AL227" s="516"/>
      <c r="AM227" s="383"/>
      <c r="AO227">
        <f ca="1">IF($A227="S",IF(BM!$I227=0,0,CHOOSE(MATCH(RegimeExecucao,{"Global","Unitário"},0),ROUND(ROUND(BM.MEDAcumulado,15-13*BM!$A$9)/100*BM!$I227,15-13*ORÇAMENTO!$AF$11),ROUND(ROUND(BM.MEDAcumulado,15-13*BM!$A$9)*ROUND(BM!$H227,15-13*ORÇAMENTO!$AF$10),15-13*ORÇAMENTO!$AF$11))),IF($A227=0,0,ROUND(SomaAgrupBM,15-13*ORÇAMENTO!$AF$11)))</f>
        <v>0</v>
      </c>
    </row>
    <row r="228" spans="1:41" ht="25.5" x14ac:dyDescent="0.2">
      <c r="A228" t="str">
        <f ca="1">ORÇAMENTO!C228</f>
        <v>S</v>
      </c>
      <c r="B228">
        <f ca="1">ORÇAMENTO!D228</f>
        <v>0</v>
      </c>
      <c r="C228" s="116" t="str">
        <f t="shared" ca="1" si="22"/>
        <v/>
      </c>
      <c r="D228" s="119" t="str">
        <f ca="1">ORÇAMENTO!O228</f>
        <v>-</v>
      </c>
      <c r="E228" s="172" t="str">
        <f t="shared" ca="1" si="23"/>
        <v>(abra o arquivo 'Referência 06-2024.xlsm)</v>
      </c>
      <c r="F228" s="173" t="str">
        <f ca="1">IF(RegimeExecucao="Global","",ORÇAMENTO.Unidade)</f>
        <v/>
      </c>
      <c r="G228" s="124" t="str">
        <f ca="1">IF(RegimeExecucao="Global","",ORÇAMENTO!T228)</f>
        <v/>
      </c>
      <c r="H228" s="124" t="str">
        <f ca="1">IF(RegimeExecucao="Global","",ORÇAMENTO!W228)</f>
        <v/>
      </c>
      <c r="I228" s="127">
        <f ca="1">ORÇAMENTO!X228</f>
        <v>0</v>
      </c>
      <c r="J228" s="378">
        <f ca="1">IF($A228="S",IF(CAIXA.Modo,BM.AFAnterior,BM.MEDAnterior),IF(AND(RegimeExecucao="Global",$I228&gt;0,COUNTIF($AB$13:$AM$13,BM.medicao-1)&gt;0),M228/$I228*100,0))</f>
        <v>0</v>
      </c>
      <c r="K228" s="124">
        <f t="shared" ca="1" si="24"/>
        <v>0</v>
      </c>
      <c r="L228" s="379">
        <f ca="1">IF($A228="S",IF(CAIXA.Modo,BM.AFAcumulado,BM.MEDAcumulado),IF(AND(RegimeExecucao="Global",$I228&gt;0,COUNTIF($AB$13:$AM$13,BM.medicao)&gt;0),O228/$I228*100,0))</f>
        <v>0</v>
      </c>
      <c r="M228" s="380">
        <f ca="1">IF($A228="S",VTOTALBM,IF($A228=0,0,ROUND(SomaAgrupBM,15-13*ORÇAMENTO!$AF$11)))</f>
        <v>0</v>
      </c>
      <c r="N228" s="381">
        <f t="shared" ca="1" si="25"/>
        <v>0</v>
      </c>
      <c r="O228" s="127">
        <f ca="1">IF($A228="S",VTOTALBM,IF($A228=0,0,ROUND(SomaAgrupBM,15-13*ORÇAMENTO!$AF$11)))</f>
        <v>0</v>
      </c>
      <c r="Q228" s="382"/>
      <c r="R228" s="383"/>
      <c r="T228" s="119" t="str">
        <f t="shared" ca="1" si="26"/>
        <v/>
      </c>
      <c r="U228" s="172" t="str">
        <f t="shared" ca="1" si="27"/>
        <v/>
      </c>
      <c r="V228" s="173" t="str">
        <f ca="1">IF(AND($W228&gt;0,RegimeExecucao="Unitário"),$F228,"")</f>
        <v/>
      </c>
      <c r="W228" s="547">
        <f ca="1">IF($Y228&gt;0,CHOOSE(MATCH(RegimeExecucao,{"Unitário","Global"},0),IF($A228="S",$Y228/$X228,""),($Y228/$X228)*100),0)</f>
        <v>0</v>
      </c>
      <c r="X228" s="384" t="str">
        <f ca="1">IF($Y228&gt;0,CHOOSE(MATCH(RegimeExecucao,{"Unitário","Global"},0),IF($A228="S",ROUND($H228,ORÇAMENTO!$AF$10),""),ROUND($I228,ORÇAMENTO!$AF$11)),"")</f>
        <v/>
      </c>
      <c r="Y228" s="384">
        <f t="shared" ca="1" si="28"/>
        <v>0</v>
      </c>
      <c r="Z228" s="572"/>
      <c r="AB228" s="382"/>
      <c r="AC228" s="516"/>
      <c r="AD228" s="516"/>
      <c r="AE228" s="516"/>
      <c r="AF228" s="516"/>
      <c r="AG228" s="516"/>
      <c r="AH228" s="516"/>
      <c r="AI228" s="516"/>
      <c r="AJ228" s="516"/>
      <c r="AK228" s="516"/>
      <c r="AL228" s="516"/>
      <c r="AM228" s="383"/>
      <c r="AO228">
        <f ca="1">IF($A228="S",IF(BM!$I228=0,0,CHOOSE(MATCH(RegimeExecucao,{"Global","Unitário"},0),ROUND(ROUND(BM.MEDAcumulado,15-13*BM!$A$9)/100*BM!$I228,15-13*ORÇAMENTO!$AF$11),ROUND(ROUND(BM.MEDAcumulado,15-13*BM!$A$9)*ROUND(BM!$H228,15-13*ORÇAMENTO!$AF$10),15-13*ORÇAMENTO!$AF$11))),IF($A228=0,0,ROUND(SomaAgrupBM,15-13*ORÇAMENTO!$AF$11)))</f>
        <v>0</v>
      </c>
    </row>
    <row r="229" spans="1:41" ht="25.5" x14ac:dyDescent="0.2">
      <c r="A229" t="str">
        <f ca="1">ORÇAMENTO!C229</f>
        <v>S</v>
      </c>
      <c r="B229">
        <f ca="1">ORÇAMENTO!D229</f>
        <v>0</v>
      </c>
      <c r="C229" s="116" t="str">
        <f t="shared" ca="1" si="22"/>
        <v/>
      </c>
      <c r="D229" s="119" t="str">
        <f ca="1">ORÇAMENTO!O229</f>
        <v>-</v>
      </c>
      <c r="E229" s="172" t="str">
        <f t="shared" ca="1" si="23"/>
        <v>(abra o arquivo 'Referência 06-2024.xlsm)</v>
      </c>
      <c r="F229" s="173" t="str">
        <f ca="1">IF(RegimeExecucao="Global","",ORÇAMENTO.Unidade)</f>
        <v/>
      </c>
      <c r="G229" s="124" t="str">
        <f ca="1">IF(RegimeExecucao="Global","",ORÇAMENTO!T229)</f>
        <v/>
      </c>
      <c r="H229" s="124" t="str">
        <f ca="1">IF(RegimeExecucao="Global","",ORÇAMENTO!W229)</f>
        <v/>
      </c>
      <c r="I229" s="127">
        <f ca="1">ORÇAMENTO!X229</f>
        <v>0</v>
      </c>
      <c r="J229" s="378">
        <f ca="1">IF($A229="S",IF(CAIXA.Modo,BM.AFAnterior,BM.MEDAnterior),IF(AND(RegimeExecucao="Global",$I229&gt;0,COUNTIF($AB$13:$AM$13,BM.medicao-1)&gt;0),M229/$I229*100,0))</f>
        <v>0</v>
      </c>
      <c r="K229" s="124">
        <f t="shared" ca="1" si="24"/>
        <v>0</v>
      </c>
      <c r="L229" s="379">
        <f ca="1">IF($A229="S",IF(CAIXA.Modo,BM.AFAcumulado,BM.MEDAcumulado),IF(AND(RegimeExecucao="Global",$I229&gt;0,COUNTIF($AB$13:$AM$13,BM.medicao)&gt;0),O229/$I229*100,0))</f>
        <v>0</v>
      </c>
      <c r="M229" s="380">
        <f ca="1">IF($A229="S",VTOTALBM,IF($A229=0,0,ROUND(SomaAgrupBM,15-13*ORÇAMENTO!$AF$11)))</f>
        <v>0</v>
      </c>
      <c r="N229" s="381">
        <f t="shared" ca="1" si="25"/>
        <v>0</v>
      </c>
      <c r="O229" s="127">
        <f ca="1">IF($A229="S",VTOTALBM,IF($A229=0,0,ROUND(SomaAgrupBM,15-13*ORÇAMENTO!$AF$11)))</f>
        <v>0</v>
      </c>
      <c r="Q229" s="382"/>
      <c r="R229" s="383"/>
      <c r="T229" s="119" t="str">
        <f t="shared" ca="1" si="26"/>
        <v/>
      </c>
      <c r="U229" s="172" t="str">
        <f t="shared" ca="1" si="27"/>
        <v/>
      </c>
      <c r="V229" s="173" t="str">
        <f ca="1">IF(AND($W229&gt;0,RegimeExecucao="Unitário"),$F229,"")</f>
        <v/>
      </c>
      <c r="W229" s="547">
        <f ca="1">IF($Y229&gt;0,CHOOSE(MATCH(RegimeExecucao,{"Unitário","Global"},0),IF($A229="S",$Y229/$X229,""),($Y229/$X229)*100),0)</f>
        <v>0</v>
      </c>
      <c r="X229" s="384" t="str">
        <f ca="1">IF($Y229&gt;0,CHOOSE(MATCH(RegimeExecucao,{"Unitário","Global"},0),IF($A229="S",ROUND($H229,ORÇAMENTO!$AF$10),""),ROUND($I229,ORÇAMENTO!$AF$11)),"")</f>
        <v/>
      </c>
      <c r="Y229" s="384">
        <f t="shared" ca="1" si="28"/>
        <v>0</v>
      </c>
      <c r="Z229" s="572"/>
      <c r="AB229" s="382"/>
      <c r="AC229" s="516"/>
      <c r="AD229" s="516"/>
      <c r="AE229" s="516"/>
      <c r="AF229" s="516"/>
      <c r="AG229" s="516"/>
      <c r="AH229" s="516"/>
      <c r="AI229" s="516"/>
      <c r="AJ229" s="516"/>
      <c r="AK229" s="516"/>
      <c r="AL229" s="516"/>
      <c r="AM229" s="383"/>
      <c r="AO229">
        <f ca="1">IF($A229="S",IF(BM!$I229=0,0,CHOOSE(MATCH(RegimeExecucao,{"Global","Unitário"},0),ROUND(ROUND(BM.MEDAcumulado,15-13*BM!$A$9)/100*BM!$I229,15-13*ORÇAMENTO!$AF$11),ROUND(ROUND(BM.MEDAcumulado,15-13*BM!$A$9)*ROUND(BM!$H229,15-13*ORÇAMENTO!$AF$10),15-13*ORÇAMENTO!$AF$11))),IF($A229=0,0,ROUND(SomaAgrupBM,15-13*ORÇAMENTO!$AF$11)))</f>
        <v>0</v>
      </c>
    </row>
    <row r="230" spans="1:41" x14ac:dyDescent="0.2">
      <c r="A230">
        <f ca="1">ORÇAMENTO!C230</f>
        <v>2</v>
      </c>
      <c r="B230">
        <f ca="1">ORÇAMENTO!D230</f>
        <v>3</v>
      </c>
      <c r="C230" s="116" t="str">
        <f t="shared" ca="1" si="22"/>
        <v>F</v>
      </c>
      <c r="D230" s="119" t="str">
        <f ca="1">ORÇAMENTO!O230</f>
        <v>1.30.</v>
      </c>
      <c r="E230" s="172" t="str">
        <f t="shared" si="23"/>
        <v>PINTURAS E ACABAMENTOS - FORROS</v>
      </c>
      <c r="F230" s="173" t="str">
        <f ca="1">IF(RegimeExecucao="Global","",ORÇAMENTO.Unidade)</f>
        <v/>
      </c>
      <c r="G230" s="124" t="str">
        <f ca="1">IF(RegimeExecucao="Global","",ORÇAMENTO!T230)</f>
        <v/>
      </c>
      <c r="H230" s="124" t="str">
        <f ca="1">IF(RegimeExecucao="Global","",ORÇAMENTO!W230)</f>
        <v/>
      </c>
      <c r="I230" s="127">
        <f ca="1">ORÇAMENTO!X230</f>
        <v>0</v>
      </c>
      <c r="J230" s="378">
        <f ca="1">IF($A230="S",IF(CAIXA.Modo,BM.AFAnterior,BM.MEDAnterior),IF(AND(RegimeExecucao="Global",$I230&gt;0,COUNTIF($AB$13:$AM$13,BM.medicao-1)&gt;0),M230/$I230*100,0))</f>
        <v>0</v>
      </c>
      <c r="K230" s="124">
        <f t="shared" ca="1" si="24"/>
        <v>0</v>
      </c>
      <c r="L230" s="379">
        <f ca="1">IF($A230="S",IF(CAIXA.Modo,BM.AFAcumulado,BM.MEDAcumulado),IF(AND(RegimeExecucao="Global",$I230&gt;0,COUNTIF($AB$13:$AM$13,BM.medicao)&gt;0),O230/$I230*100,0))</f>
        <v>0</v>
      </c>
      <c r="M230" s="380">
        <f ca="1">IF($A230="S",VTOTALBM,IF($A230=0,0,ROUND(SomaAgrupBM,15-13*ORÇAMENTO!$AF$11)))</f>
        <v>0</v>
      </c>
      <c r="N230" s="381">
        <f t="shared" ca="1" si="25"/>
        <v>0</v>
      </c>
      <c r="O230" s="127">
        <f ca="1">IF($A230="S",VTOTALBM,IF($A230=0,0,ROUND(SomaAgrupBM,15-13*ORÇAMENTO!$AF$11)))</f>
        <v>0</v>
      </c>
      <c r="Q230" s="382"/>
      <c r="R230" s="383"/>
      <c r="T230" s="119" t="str">
        <f t="shared" ca="1" si="26"/>
        <v/>
      </c>
      <c r="U230" s="172" t="str">
        <f t="shared" ca="1" si="27"/>
        <v/>
      </c>
      <c r="V230" s="173" t="str">
        <f ca="1">IF(AND($W230&gt;0,RegimeExecucao="Unitário"),$F230,"")</f>
        <v/>
      </c>
      <c r="W230" s="547">
        <f ca="1">IF($Y230&gt;0,CHOOSE(MATCH(RegimeExecucao,{"Unitário","Global"},0),IF($A230="S",$Y230/$X230,""),($Y230/$X230)*100),0)</f>
        <v>0</v>
      </c>
      <c r="X230" s="384" t="str">
        <f ca="1">IF($Y230&gt;0,CHOOSE(MATCH(RegimeExecucao,{"Unitário","Global"},0),IF($A230="S",ROUND($H230,ORÇAMENTO!$AF$10),""),ROUND($I230,ORÇAMENTO!$AF$11)),"")</f>
        <v/>
      </c>
      <c r="Y230" s="384">
        <f t="shared" ca="1" si="28"/>
        <v>0</v>
      </c>
      <c r="Z230" s="572"/>
      <c r="AB230" s="382"/>
      <c r="AC230" s="516"/>
      <c r="AD230" s="516"/>
      <c r="AE230" s="516"/>
      <c r="AF230" s="516"/>
      <c r="AG230" s="516"/>
      <c r="AH230" s="516"/>
      <c r="AI230" s="516"/>
      <c r="AJ230" s="516"/>
      <c r="AK230" s="516"/>
      <c r="AL230" s="516"/>
      <c r="AM230" s="383"/>
      <c r="AO230">
        <f ca="1">IF($A230="S",IF(BM!$I230=0,0,CHOOSE(MATCH(RegimeExecucao,{"Global","Unitário"},0),ROUND(ROUND(BM.MEDAcumulado,15-13*BM!$A$9)/100*BM!$I230,15-13*ORÇAMENTO!$AF$11),ROUND(ROUND(BM.MEDAcumulado,15-13*BM!$A$9)*ROUND(BM!$H230,15-13*ORÇAMENTO!$AF$10),15-13*ORÇAMENTO!$AF$11))),IF($A230=0,0,ROUND(SomaAgrupBM,15-13*ORÇAMENTO!$AF$11)))</f>
        <v>0</v>
      </c>
    </row>
    <row r="231" spans="1:41" ht="25.5" x14ac:dyDescent="0.2">
      <c r="A231" t="str">
        <f ca="1">ORÇAMENTO!C231</f>
        <v>S</v>
      </c>
      <c r="B231">
        <f ca="1">ORÇAMENTO!D231</f>
        <v>0</v>
      </c>
      <c r="C231" s="116" t="str">
        <f t="shared" ca="1" si="22"/>
        <v/>
      </c>
      <c r="D231" s="119" t="str">
        <f ca="1">ORÇAMENTO!O231</f>
        <v>-</v>
      </c>
      <c r="E231" s="172" t="str">
        <f t="shared" ca="1" si="23"/>
        <v>(abra o arquivo 'Referência 06-2024.xlsm)</v>
      </c>
      <c r="F231" s="173" t="str">
        <f ca="1">IF(RegimeExecucao="Global","",ORÇAMENTO.Unidade)</f>
        <v/>
      </c>
      <c r="G231" s="124" t="str">
        <f ca="1">IF(RegimeExecucao="Global","",ORÇAMENTO!T231)</f>
        <v/>
      </c>
      <c r="H231" s="124" t="str">
        <f ca="1">IF(RegimeExecucao="Global","",ORÇAMENTO!W231)</f>
        <v/>
      </c>
      <c r="I231" s="127">
        <f ca="1">ORÇAMENTO!X231</f>
        <v>0</v>
      </c>
      <c r="J231" s="378">
        <f ca="1">IF($A231="S",IF(CAIXA.Modo,BM.AFAnterior,BM.MEDAnterior),IF(AND(RegimeExecucao="Global",$I231&gt;0,COUNTIF($AB$13:$AM$13,BM.medicao-1)&gt;0),M231/$I231*100,0))</f>
        <v>0</v>
      </c>
      <c r="K231" s="124">
        <f t="shared" ca="1" si="24"/>
        <v>0</v>
      </c>
      <c r="L231" s="379">
        <f ca="1">IF($A231="S",IF(CAIXA.Modo,BM.AFAcumulado,BM.MEDAcumulado),IF(AND(RegimeExecucao="Global",$I231&gt;0,COUNTIF($AB$13:$AM$13,BM.medicao)&gt;0),O231/$I231*100,0))</f>
        <v>0</v>
      </c>
      <c r="M231" s="380">
        <f ca="1">IF($A231="S",VTOTALBM,IF($A231=0,0,ROUND(SomaAgrupBM,15-13*ORÇAMENTO!$AF$11)))</f>
        <v>0</v>
      </c>
      <c r="N231" s="381">
        <f t="shared" ca="1" si="25"/>
        <v>0</v>
      </c>
      <c r="O231" s="127">
        <f ca="1">IF($A231="S",VTOTALBM,IF($A231=0,0,ROUND(SomaAgrupBM,15-13*ORÇAMENTO!$AF$11)))</f>
        <v>0</v>
      </c>
      <c r="Q231" s="382"/>
      <c r="R231" s="383"/>
      <c r="T231" s="119" t="str">
        <f t="shared" ca="1" si="26"/>
        <v/>
      </c>
      <c r="U231" s="172" t="str">
        <f t="shared" ca="1" si="27"/>
        <v/>
      </c>
      <c r="V231" s="173" t="str">
        <f ca="1">IF(AND($W231&gt;0,RegimeExecucao="Unitário"),$F231,"")</f>
        <v/>
      </c>
      <c r="W231" s="547">
        <f ca="1">IF($Y231&gt;0,CHOOSE(MATCH(RegimeExecucao,{"Unitário","Global"},0),IF($A231="S",$Y231/$X231,""),($Y231/$X231)*100),0)</f>
        <v>0</v>
      </c>
      <c r="X231" s="384" t="str">
        <f ca="1">IF($Y231&gt;0,CHOOSE(MATCH(RegimeExecucao,{"Unitário","Global"},0),IF($A231="S",ROUND($H231,ORÇAMENTO!$AF$10),""),ROUND($I231,ORÇAMENTO!$AF$11)),"")</f>
        <v/>
      </c>
      <c r="Y231" s="384">
        <f t="shared" ca="1" si="28"/>
        <v>0</v>
      </c>
      <c r="Z231" s="572"/>
      <c r="AB231" s="382"/>
      <c r="AC231" s="516"/>
      <c r="AD231" s="516"/>
      <c r="AE231" s="516"/>
      <c r="AF231" s="516"/>
      <c r="AG231" s="516"/>
      <c r="AH231" s="516"/>
      <c r="AI231" s="516"/>
      <c r="AJ231" s="516"/>
      <c r="AK231" s="516"/>
      <c r="AL231" s="516"/>
      <c r="AM231" s="383"/>
      <c r="AO231">
        <f ca="1">IF($A231="S",IF(BM!$I231=0,0,CHOOSE(MATCH(RegimeExecucao,{"Global","Unitário"},0),ROUND(ROUND(BM.MEDAcumulado,15-13*BM!$A$9)/100*BM!$I231,15-13*ORÇAMENTO!$AF$11),ROUND(ROUND(BM.MEDAcumulado,15-13*BM!$A$9)*ROUND(BM!$H231,15-13*ORÇAMENTO!$AF$10),15-13*ORÇAMENTO!$AF$11))),IF($A231=0,0,ROUND(SomaAgrupBM,15-13*ORÇAMENTO!$AF$11)))</f>
        <v>0</v>
      </c>
    </row>
    <row r="232" spans="1:41" ht="25.5" x14ac:dyDescent="0.2">
      <c r="A232" t="str">
        <f ca="1">ORÇAMENTO!C232</f>
        <v>S</v>
      </c>
      <c r="B232">
        <f ca="1">ORÇAMENTO!D232</f>
        <v>0</v>
      </c>
      <c r="C232" s="116" t="str">
        <f t="shared" ca="1" si="22"/>
        <v/>
      </c>
      <c r="D232" s="119" t="str">
        <f ca="1">ORÇAMENTO!O232</f>
        <v>-</v>
      </c>
      <c r="E232" s="172" t="str">
        <f t="shared" ca="1" si="23"/>
        <v>(abra o arquivo 'Referência 06-2024.xlsm)</v>
      </c>
      <c r="F232" s="173" t="str">
        <f ca="1">IF(RegimeExecucao="Global","",ORÇAMENTO.Unidade)</f>
        <v/>
      </c>
      <c r="G232" s="124" t="str">
        <f ca="1">IF(RegimeExecucao="Global","",ORÇAMENTO!T232)</f>
        <v/>
      </c>
      <c r="H232" s="124" t="str">
        <f ca="1">IF(RegimeExecucao="Global","",ORÇAMENTO!W232)</f>
        <v/>
      </c>
      <c r="I232" s="127">
        <f ca="1">ORÇAMENTO!X232</f>
        <v>0</v>
      </c>
      <c r="J232" s="378">
        <f ca="1">IF($A232="S",IF(CAIXA.Modo,BM.AFAnterior,BM.MEDAnterior),IF(AND(RegimeExecucao="Global",$I232&gt;0,COUNTIF($AB$13:$AM$13,BM.medicao-1)&gt;0),M232/$I232*100,0))</f>
        <v>0</v>
      </c>
      <c r="K232" s="124">
        <f t="shared" ca="1" si="24"/>
        <v>0</v>
      </c>
      <c r="L232" s="379">
        <f ca="1">IF($A232="S",IF(CAIXA.Modo,BM.AFAcumulado,BM.MEDAcumulado),IF(AND(RegimeExecucao="Global",$I232&gt;0,COUNTIF($AB$13:$AM$13,BM.medicao)&gt;0),O232/$I232*100,0))</f>
        <v>0</v>
      </c>
      <c r="M232" s="380">
        <f ca="1">IF($A232="S",VTOTALBM,IF($A232=0,0,ROUND(SomaAgrupBM,15-13*ORÇAMENTO!$AF$11)))</f>
        <v>0</v>
      </c>
      <c r="N232" s="381">
        <f t="shared" ca="1" si="25"/>
        <v>0</v>
      </c>
      <c r="O232" s="127">
        <f ca="1">IF($A232="S",VTOTALBM,IF($A232=0,0,ROUND(SomaAgrupBM,15-13*ORÇAMENTO!$AF$11)))</f>
        <v>0</v>
      </c>
      <c r="Q232" s="382"/>
      <c r="R232" s="383"/>
      <c r="T232" s="119" t="str">
        <f t="shared" ca="1" si="26"/>
        <v/>
      </c>
      <c r="U232" s="172" t="str">
        <f t="shared" ca="1" si="27"/>
        <v/>
      </c>
      <c r="V232" s="173" t="str">
        <f ca="1">IF(AND($W232&gt;0,RegimeExecucao="Unitário"),$F232,"")</f>
        <v/>
      </c>
      <c r="W232" s="547">
        <f ca="1">IF($Y232&gt;0,CHOOSE(MATCH(RegimeExecucao,{"Unitário","Global"},0),IF($A232="S",$Y232/$X232,""),($Y232/$X232)*100),0)</f>
        <v>0</v>
      </c>
      <c r="X232" s="384" t="str">
        <f ca="1">IF($Y232&gt;0,CHOOSE(MATCH(RegimeExecucao,{"Unitário","Global"},0),IF($A232="S",ROUND($H232,ORÇAMENTO!$AF$10),""),ROUND($I232,ORÇAMENTO!$AF$11)),"")</f>
        <v/>
      </c>
      <c r="Y232" s="384">
        <f t="shared" ca="1" si="28"/>
        <v>0</v>
      </c>
      <c r="Z232" s="572"/>
      <c r="AB232" s="382"/>
      <c r="AC232" s="516"/>
      <c r="AD232" s="516"/>
      <c r="AE232" s="516"/>
      <c r="AF232" s="516"/>
      <c r="AG232" s="516"/>
      <c r="AH232" s="516"/>
      <c r="AI232" s="516"/>
      <c r="AJ232" s="516"/>
      <c r="AK232" s="516"/>
      <c r="AL232" s="516"/>
      <c r="AM232" s="383"/>
      <c r="AO232">
        <f ca="1">IF($A232="S",IF(BM!$I232=0,0,CHOOSE(MATCH(RegimeExecucao,{"Global","Unitário"},0),ROUND(ROUND(BM.MEDAcumulado,15-13*BM!$A$9)/100*BM!$I232,15-13*ORÇAMENTO!$AF$11),ROUND(ROUND(BM.MEDAcumulado,15-13*BM!$A$9)*ROUND(BM!$H232,15-13*ORÇAMENTO!$AF$10),15-13*ORÇAMENTO!$AF$11))),IF($A232=0,0,ROUND(SomaAgrupBM,15-13*ORÇAMENTO!$AF$11)))</f>
        <v>0</v>
      </c>
    </row>
    <row r="233" spans="1:41" x14ac:dyDescent="0.2">
      <c r="A233">
        <f ca="1">ORÇAMENTO!C233</f>
        <v>2</v>
      </c>
      <c r="B233">
        <f ca="1">ORÇAMENTO!D233</f>
        <v>4</v>
      </c>
      <c r="C233" s="116" t="str">
        <f t="shared" ca="1" si="22"/>
        <v>F</v>
      </c>
      <c r="D233" s="119" t="str">
        <f ca="1">ORÇAMENTO!O233</f>
        <v>1.31.</v>
      </c>
      <c r="E233" s="172" t="str">
        <f t="shared" si="23"/>
        <v>PINTURAS E ACABAMENTOS - PISO ESTACIONAMENTO</v>
      </c>
      <c r="F233" s="173" t="str">
        <f ca="1">IF(RegimeExecucao="Global","",ORÇAMENTO.Unidade)</f>
        <v/>
      </c>
      <c r="G233" s="124" t="str">
        <f ca="1">IF(RegimeExecucao="Global","",ORÇAMENTO!T233)</f>
        <v/>
      </c>
      <c r="H233" s="124" t="str">
        <f ca="1">IF(RegimeExecucao="Global","",ORÇAMENTO!W233)</f>
        <v/>
      </c>
      <c r="I233" s="127">
        <f ca="1">ORÇAMENTO!X233</f>
        <v>0</v>
      </c>
      <c r="J233" s="378">
        <f ca="1">IF($A233="S",IF(CAIXA.Modo,BM.AFAnterior,BM.MEDAnterior),IF(AND(RegimeExecucao="Global",$I233&gt;0,COUNTIF($AB$13:$AM$13,BM.medicao-1)&gt;0),M233/$I233*100,0))</f>
        <v>0</v>
      </c>
      <c r="K233" s="124">
        <f t="shared" ca="1" si="24"/>
        <v>0</v>
      </c>
      <c r="L233" s="379">
        <f ca="1">IF($A233="S",IF(CAIXA.Modo,BM.AFAcumulado,BM.MEDAcumulado),IF(AND(RegimeExecucao="Global",$I233&gt;0,COUNTIF($AB$13:$AM$13,BM.medicao)&gt;0),O233/$I233*100,0))</f>
        <v>0</v>
      </c>
      <c r="M233" s="380">
        <f ca="1">IF($A233="S",VTOTALBM,IF($A233=0,0,ROUND(SomaAgrupBM,15-13*ORÇAMENTO!$AF$11)))</f>
        <v>0</v>
      </c>
      <c r="N233" s="381">
        <f t="shared" ca="1" si="25"/>
        <v>0</v>
      </c>
      <c r="O233" s="127">
        <f ca="1">IF($A233="S",VTOTALBM,IF($A233=0,0,ROUND(SomaAgrupBM,15-13*ORÇAMENTO!$AF$11)))</f>
        <v>0</v>
      </c>
      <c r="Q233" s="382"/>
      <c r="R233" s="383"/>
      <c r="T233" s="119" t="str">
        <f t="shared" ca="1" si="26"/>
        <v/>
      </c>
      <c r="U233" s="172" t="str">
        <f t="shared" ca="1" si="27"/>
        <v/>
      </c>
      <c r="V233" s="173" t="str">
        <f ca="1">IF(AND($W233&gt;0,RegimeExecucao="Unitário"),$F233,"")</f>
        <v/>
      </c>
      <c r="W233" s="547">
        <f ca="1">IF($Y233&gt;0,CHOOSE(MATCH(RegimeExecucao,{"Unitário","Global"},0),IF($A233="S",$Y233/$X233,""),($Y233/$X233)*100),0)</f>
        <v>0</v>
      </c>
      <c r="X233" s="384" t="str">
        <f ca="1">IF($Y233&gt;0,CHOOSE(MATCH(RegimeExecucao,{"Unitário","Global"},0),IF($A233="S",ROUND($H233,ORÇAMENTO!$AF$10),""),ROUND($I233,ORÇAMENTO!$AF$11)),"")</f>
        <v/>
      </c>
      <c r="Y233" s="384">
        <f t="shared" ca="1" si="28"/>
        <v>0</v>
      </c>
      <c r="Z233" s="572"/>
      <c r="AB233" s="382"/>
      <c r="AC233" s="516"/>
      <c r="AD233" s="516"/>
      <c r="AE233" s="516"/>
      <c r="AF233" s="516"/>
      <c r="AG233" s="516"/>
      <c r="AH233" s="516"/>
      <c r="AI233" s="516"/>
      <c r="AJ233" s="516"/>
      <c r="AK233" s="516"/>
      <c r="AL233" s="516"/>
      <c r="AM233" s="383"/>
      <c r="AO233">
        <f ca="1">IF($A233="S",IF(BM!$I233=0,0,CHOOSE(MATCH(RegimeExecucao,{"Global","Unitário"},0),ROUND(ROUND(BM.MEDAcumulado,15-13*BM!$A$9)/100*BM!$I233,15-13*ORÇAMENTO!$AF$11),ROUND(ROUND(BM.MEDAcumulado,15-13*BM!$A$9)*ROUND(BM!$H233,15-13*ORÇAMENTO!$AF$10),15-13*ORÇAMENTO!$AF$11))),IF($A233=0,0,ROUND(SomaAgrupBM,15-13*ORÇAMENTO!$AF$11)))</f>
        <v>0</v>
      </c>
    </row>
    <row r="234" spans="1:41" ht="25.5" x14ac:dyDescent="0.2">
      <c r="A234" t="str">
        <f ca="1">ORÇAMENTO!C234</f>
        <v>S</v>
      </c>
      <c r="B234">
        <f ca="1">ORÇAMENTO!D234</f>
        <v>0</v>
      </c>
      <c r="C234" s="116" t="str">
        <f t="shared" ca="1" si="22"/>
        <v/>
      </c>
      <c r="D234" s="119" t="str">
        <f ca="1">ORÇAMENTO!O234</f>
        <v>-</v>
      </c>
      <c r="E234" s="172" t="str">
        <f t="shared" ca="1" si="23"/>
        <v>(abra o arquivo 'Referência 06-2024.xlsm)</v>
      </c>
      <c r="F234" s="173" t="str">
        <f ca="1">IF(RegimeExecucao="Global","",ORÇAMENTO.Unidade)</f>
        <v/>
      </c>
      <c r="G234" s="124" t="str">
        <f ca="1">IF(RegimeExecucao="Global","",ORÇAMENTO!T234)</f>
        <v/>
      </c>
      <c r="H234" s="124" t="str">
        <f ca="1">IF(RegimeExecucao="Global","",ORÇAMENTO!W234)</f>
        <v/>
      </c>
      <c r="I234" s="127">
        <f ca="1">ORÇAMENTO!X234</f>
        <v>0</v>
      </c>
      <c r="J234" s="378">
        <f ca="1">IF($A234="S",IF(CAIXA.Modo,BM.AFAnterior,BM.MEDAnterior),IF(AND(RegimeExecucao="Global",$I234&gt;0,COUNTIF($AB$13:$AM$13,BM.medicao-1)&gt;0),M234/$I234*100,0))</f>
        <v>0</v>
      </c>
      <c r="K234" s="124">
        <f t="shared" ca="1" si="24"/>
        <v>0</v>
      </c>
      <c r="L234" s="379">
        <f ca="1">IF($A234="S",IF(CAIXA.Modo,BM.AFAcumulado,BM.MEDAcumulado),IF(AND(RegimeExecucao="Global",$I234&gt;0,COUNTIF($AB$13:$AM$13,BM.medicao)&gt;0),O234/$I234*100,0))</f>
        <v>0</v>
      </c>
      <c r="M234" s="380">
        <f ca="1">IF($A234="S",VTOTALBM,IF($A234=0,0,ROUND(SomaAgrupBM,15-13*ORÇAMENTO!$AF$11)))</f>
        <v>0</v>
      </c>
      <c r="N234" s="381">
        <f t="shared" ca="1" si="25"/>
        <v>0</v>
      </c>
      <c r="O234" s="127">
        <f ca="1">IF($A234="S",VTOTALBM,IF($A234=0,0,ROUND(SomaAgrupBM,15-13*ORÇAMENTO!$AF$11)))</f>
        <v>0</v>
      </c>
      <c r="Q234" s="382"/>
      <c r="R234" s="383"/>
      <c r="T234" s="119" t="str">
        <f t="shared" ca="1" si="26"/>
        <v/>
      </c>
      <c r="U234" s="172" t="str">
        <f t="shared" ca="1" si="27"/>
        <v/>
      </c>
      <c r="V234" s="173" t="str">
        <f ca="1">IF(AND($W234&gt;0,RegimeExecucao="Unitário"),$F234,"")</f>
        <v/>
      </c>
      <c r="W234" s="547">
        <f ca="1">IF($Y234&gt;0,CHOOSE(MATCH(RegimeExecucao,{"Unitário","Global"},0),IF($A234="S",$Y234/$X234,""),($Y234/$X234)*100),0)</f>
        <v>0</v>
      </c>
      <c r="X234" s="384" t="str">
        <f ca="1">IF($Y234&gt;0,CHOOSE(MATCH(RegimeExecucao,{"Unitário","Global"},0),IF($A234="S",ROUND($H234,ORÇAMENTO!$AF$10),""),ROUND($I234,ORÇAMENTO!$AF$11)),"")</f>
        <v/>
      </c>
      <c r="Y234" s="384">
        <f t="shared" ca="1" si="28"/>
        <v>0</v>
      </c>
      <c r="Z234" s="572"/>
      <c r="AB234" s="382"/>
      <c r="AC234" s="516"/>
      <c r="AD234" s="516"/>
      <c r="AE234" s="516"/>
      <c r="AF234" s="516"/>
      <c r="AG234" s="516"/>
      <c r="AH234" s="516"/>
      <c r="AI234" s="516"/>
      <c r="AJ234" s="516"/>
      <c r="AK234" s="516"/>
      <c r="AL234" s="516"/>
      <c r="AM234" s="383"/>
      <c r="AO234">
        <f ca="1">IF($A234="S",IF(BM!$I234=0,0,CHOOSE(MATCH(RegimeExecucao,{"Global","Unitário"},0),ROUND(ROUND(BM.MEDAcumulado,15-13*BM!$A$9)/100*BM!$I234,15-13*ORÇAMENTO!$AF$11),ROUND(ROUND(BM.MEDAcumulado,15-13*BM!$A$9)*ROUND(BM!$H234,15-13*ORÇAMENTO!$AF$10),15-13*ORÇAMENTO!$AF$11))),IF($A234=0,0,ROUND(SomaAgrupBM,15-13*ORÇAMENTO!$AF$11)))</f>
        <v>0</v>
      </c>
    </row>
    <row r="235" spans="1:41" ht="25.5" x14ac:dyDescent="0.2">
      <c r="A235" t="str">
        <f ca="1">ORÇAMENTO!C235</f>
        <v>S</v>
      </c>
      <c r="B235">
        <f ca="1">ORÇAMENTO!D235</f>
        <v>0</v>
      </c>
      <c r="C235" s="116" t="str">
        <f t="shared" ca="1" si="22"/>
        <v/>
      </c>
      <c r="D235" s="119" t="str">
        <f ca="1">ORÇAMENTO!O235</f>
        <v>-</v>
      </c>
      <c r="E235" s="172" t="str">
        <f t="shared" ca="1" si="23"/>
        <v>(abra o arquivo 'Referência 06-2024.xlsm)</v>
      </c>
      <c r="F235" s="173" t="str">
        <f ca="1">IF(RegimeExecucao="Global","",ORÇAMENTO.Unidade)</f>
        <v/>
      </c>
      <c r="G235" s="124" t="str">
        <f ca="1">IF(RegimeExecucao="Global","",ORÇAMENTO!T235)</f>
        <v/>
      </c>
      <c r="H235" s="124" t="str">
        <f ca="1">IF(RegimeExecucao="Global","",ORÇAMENTO!W235)</f>
        <v/>
      </c>
      <c r="I235" s="127">
        <f ca="1">ORÇAMENTO!X235</f>
        <v>0</v>
      </c>
      <c r="J235" s="378">
        <f ca="1">IF($A235="S",IF(CAIXA.Modo,BM.AFAnterior,BM.MEDAnterior),IF(AND(RegimeExecucao="Global",$I235&gt;0,COUNTIF($AB$13:$AM$13,BM.medicao-1)&gt;0),M235/$I235*100,0))</f>
        <v>0</v>
      </c>
      <c r="K235" s="124">
        <f t="shared" ca="1" si="24"/>
        <v>0</v>
      </c>
      <c r="L235" s="379">
        <f ca="1">IF($A235="S",IF(CAIXA.Modo,BM.AFAcumulado,BM.MEDAcumulado),IF(AND(RegimeExecucao="Global",$I235&gt;0,COUNTIF($AB$13:$AM$13,BM.medicao)&gt;0),O235/$I235*100,0))</f>
        <v>0</v>
      </c>
      <c r="M235" s="380">
        <f ca="1">IF($A235="S",VTOTALBM,IF($A235=0,0,ROUND(SomaAgrupBM,15-13*ORÇAMENTO!$AF$11)))</f>
        <v>0</v>
      </c>
      <c r="N235" s="381">
        <f t="shared" ca="1" si="25"/>
        <v>0</v>
      </c>
      <c r="O235" s="127">
        <f ca="1">IF($A235="S",VTOTALBM,IF($A235=0,0,ROUND(SomaAgrupBM,15-13*ORÇAMENTO!$AF$11)))</f>
        <v>0</v>
      </c>
      <c r="Q235" s="382"/>
      <c r="R235" s="383"/>
      <c r="T235" s="119" t="str">
        <f t="shared" ca="1" si="26"/>
        <v/>
      </c>
      <c r="U235" s="172" t="str">
        <f t="shared" ca="1" si="27"/>
        <v/>
      </c>
      <c r="V235" s="173" t="str">
        <f ca="1">IF(AND($W235&gt;0,RegimeExecucao="Unitário"),$F235,"")</f>
        <v/>
      </c>
      <c r="W235" s="547">
        <f ca="1">IF($Y235&gt;0,CHOOSE(MATCH(RegimeExecucao,{"Unitário","Global"},0),IF($A235="S",$Y235/$X235,""),($Y235/$X235)*100),0)</f>
        <v>0</v>
      </c>
      <c r="X235" s="384" t="str">
        <f ca="1">IF($Y235&gt;0,CHOOSE(MATCH(RegimeExecucao,{"Unitário","Global"},0),IF($A235="S",ROUND($H235,ORÇAMENTO!$AF$10),""),ROUND($I235,ORÇAMENTO!$AF$11)),"")</f>
        <v/>
      </c>
      <c r="Y235" s="384">
        <f t="shared" ca="1" si="28"/>
        <v>0</v>
      </c>
      <c r="Z235" s="572"/>
      <c r="AB235" s="382"/>
      <c r="AC235" s="516"/>
      <c r="AD235" s="516"/>
      <c r="AE235" s="516"/>
      <c r="AF235" s="516"/>
      <c r="AG235" s="516"/>
      <c r="AH235" s="516"/>
      <c r="AI235" s="516"/>
      <c r="AJ235" s="516"/>
      <c r="AK235" s="516"/>
      <c r="AL235" s="516"/>
      <c r="AM235" s="383"/>
      <c r="AO235">
        <f ca="1">IF($A235="S",IF(BM!$I235=0,0,CHOOSE(MATCH(RegimeExecucao,{"Global","Unitário"},0),ROUND(ROUND(BM.MEDAcumulado,15-13*BM!$A$9)/100*BM!$I235,15-13*ORÇAMENTO!$AF$11),ROUND(ROUND(BM.MEDAcumulado,15-13*BM!$A$9)*ROUND(BM!$H235,15-13*ORÇAMENTO!$AF$10),15-13*ORÇAMENTO!$AF$11))),IF($A235=0,0,ROUND(SomaAgrupBM,15-13*ORÇAMENTO!$AF$11)))</f>
        <v>0</v>
      </c>
    </row>
    <row r="236" spans="1:41" ht="25.5" x14ac:dyDescent="0.2">
      <c r="A236" t="str">
        <f ca="1">ORÇAMENTO!C236</f>
        <v>S</v>
      </c>
      <c r="B236">
        <f ca="1">ORÇAMENTO!D236</f>
        <v>0</v>
      </c>
      <c r="C236" s="116" t="str">
        <f t="shared" ca="1" si="22"/>
        <v/>
      </c>
      <c r="D236" s="119" t="str">
        <f ca="1">ORÇAMENTO!O236</f>
        <v>-</v>
      </c>
      <c r="E236" s="172" t="str">
        <f t="shared" ca="1" si="23"/>
        <v>(abra o arquivo 'Referência 06-2024.xlsm)</v>
      </c>
      <c r="F236" s="173" t="str">
        <f ca="1">IF(RegimeExecucao="Global","",ORÇAMENTO.Unidade)</f>
        <v/>
      </c>
      <c r="G236" s="124" t="str">
        <f ca="1">IF(RegimeExecucao="Global","",ORÇAMENTO!T236)</f>
        <v/>
      </c>
      <c r="H236" s="124" t="str">
        <f ca="1">IF(RegimeExecucao="Global","",ORÇAMENTO!W236)</f>
        <v/>
      </c>
      <c r="I236" s="127">
        <f ca="1">ORÇAMENTO!X236</f>
        <v>0</v>
      </c>
      <c r="J236" s="378">
        <f ca="1">IF($A236="S",IF(CAIXA.Modo,BM.AFAnterior,BM.MEDAnterior),IF(AND(RegimeExecucao="Global",$I236&gt;0,COUNTIF($AB$13:$AM$13,BM.medicao-1)&gt;0),M236/$I236*100,0))</f>
        <v>0</v>
      </c>
      <c r="K236" s="124">
        <f t="shared" ca="1" si="24"/>
        <v>0</v>
      </c>
      <c r="L236" s="379">
        <f ca="1">IF($A236="S",IF(CAIXA.Modo,BM.AFAcumulado,BM.MEDAcumulado),IF(AND(RegimeExecucao="Global",$I236&gt;0,COUNTIF($AB$13:$AM$13,BM.medicao)&gt;0),O236/$I236*100,0))</f>
        <v>0</v>
      </c>
      <c r="M236" s="380">
        <f ca="1">IF($A236="S",VTOTALBM,IF($A236=0,0,ROUND(SomaAgrupBM,15-13*ORÇAMENTO!$AF$11)))</f>
        <v>0</v>
      </c>
      <c r="N236" s="381">
        <f t="shared" ca="1" si="25"/>
        <v>0</v>
      </c>
      <c r="O236" s="127">
        <f ca="1">IF($A236="S",VTOTALBM,IF($A236=0,0,ROUND(SomaAgrupBM,15-13*ORÇAMENTO!$AF$11)))</f>
        <v>0</v>
      </c>
      <c r="Q236" s="382"/>
      <c r="R236" s="383"/>
      <c r="T236" s="119" t="str">
        <f t="shared" ca="1" si="26"/>
        <v/>
      </c>
      <c r="U236" s="172" t="str">
        <f t="shared" ca="1" si="27"/>
        <v/>
      </c>
      <c r="V236" s="173" t="str">
        <f ca="1">IF(AND($W236&gt;0,RegimeExecucao="Unitário"),$F236,"")</f>
        <v/>
      </c>
      <c r="W236" s="547">
        <f ca="1">IF($Y236&gt;0,CHOOSE(MATCH(RegimeExecucao,{"Unitário","Global"},0),IF($A236="S",$Y236/$X236,""),($Y236/$X236)*100),0)</f>
        <v>0</v>
      </c>
      <c r="X236" s="384" t="str">
        <f ca="1">IF($Y236&gt;0,CHOOSE(MATCH(RegimeExecucao,{"Unitário","Global"},0),IF($A236="S",ROUND($H236,ORÇAMENTO!$AF$10),""),ROUND($I236,ORÇAMENTO!$AF$11)),"")</f>
        <v/>
      </c>
      <c r="Y236" s="384">
        <f t="shared" ca="1" si="28"/>
        <v>0</v>
      </c>
      <c r="Z236" s="572"/>
      <c r="AB236" s="382"/>
      <c r="AC236" s="516"/>
      <c r="AD236" s="516"/>
      <c r="AE236" s="516"/>
      <c r="AF236" s="516"/>
      <c r="AG236" s="516"/>
      <c r="AH236" s="516"/>
      <c r="AI236" s="516"/>
      <c r="AJ236" s="516"/>
      <c r="AK236" s="516"/>
      <c r="AL236" s="516"/>
      <c r="AM236" s="383"/>
      <c r="AO236">
        <f ca="1">IF($A236="S",IF(BM!$I236=0,0,CHOOSE(MATCH(RegimeExecucao,{"Global","Unitário"},0),ROUND(ROUND(BM.MEDAcumulado,15-13*BM!$A$9)/100*BM!$I236,15-13*ORÇAMENTO!$AF$11),ROUND(ROUND(BM.MEDAcumulado,15-13*BM!$A$9)*ROUND(BM!$H236,15-13*ORÇAMENTO!$AF$10),15-13*ORÇAMENTO!$AF$11))),IF($A236=0,0,ROUND(SomaAgrupBM,15-13*ORÇAMENTO!$AF$11)))</f>
        <v>0</v>
      </c>
    </row>
    <row r="237" spans="1:41" x14ac:dyDescent="0.2">
      <c r="A237">
        <f ca="1">ORÇAMENTO!C237</f>
        <v>2</v>
      </c>
      <c r="B237">
        <f ca="1">ORÇAMENTO!D237</f>
        <v>8</v>
      </c>
      <c r="C237" s="116" t="str">
        <f t="shared" ca="1" si="22"/>
        <v>F</v>
      </c>
      <c r="D237" s="119" t="str">
        <f ca="1">ORÇAMENTO!O237</f>
        <v>1.32.</v>
      </c>
      <c r="E237" s="172" t="str">
        <f t="shared" si="23"/>
        <v>PINTURAS E ACABAMENTOS - PISO PLAYGROUND</v>
      </c>
      <c r="F237" s="173" t="str">
        <f ca="1">IF(RegimeExecucao="Global","",ORÇAMENTO.Unidade)</f>
        <v/>
      </c>
      <c r="G237" s="124" t="str">
        <f ca="1">IF(RegimeExecucao="Global","",ORÇAMENTO!T237)</f>
        <v/>
      </c>
      <c r="H237" s="124" t="str">
        <f ca="1">IF(RegimeExecucao="Global","",ORÇAMENTO!W237)</f>
        <v/>
      </c>
      <c r="I237" s="127">
        <f ca="1">ORÇAMENTO!X237</f>
        <v>0</v>
      </c>
      <c r="J237" s="378">
        <f ca="1">IF($A237="S",IF(CAIXA.Modo,BM.AFAnterior,BM.MEDAnterior),IF(AND(RegimeExecucao="Global",$I237&gt;0,COUNTIF($AB$13:$AM$13,BM.medicao-1)&gt;0),M237/$I237*100,0))</f>
        <v>0</v>
      </c>
      <c r="K237" s="124">
        <f t="shared" ca="1" si="24"/>
        <v>0</v>
      </c>
      <c r="L237" s="379">
        <f ca="1">IF($A237="S",IF(CAIXA.Modo,BM.AFAcumulado,BM.MEDAcumulado),IF(AND(RegimeExecucao="Global",$I237&gt;0,COUNTIF($AB$13:$AM$13,BM.medicao)&gt;0),O237/$I237*100,0))</f>
        <v>0</v>
      </c>
      <c r="M237" s="380">
        <f ca="1">IF($A237="S",VTOTALBM,IF($A237=0,0,ROUND(SomaAgrupBM,15-13*ORÇAMENTO!$AF$11)))</f>
        <v>0</v>
      </c>
      <c r="N237" s="381">
        <f t="shared" ca="1" si="25"/>
        <v>0</v>
      </c>
      <c r="O237" s="127">
        <f ca="1">IF($A237="S",VTOTALBM,IF($A237=0,0,ROUND(SomaAgrupBM,15-13*ORÇAMENTO!$AF$11)))</f>
        <v>0</v>
      </c>
      <c r="Q237" s="382"/>
      <c r="R237" s="383"/>
      <c r="T237" s="119" t="str">
        <f t="shared" ca="1" si="26"/>
        <v/>
      </c>
      <c r="U237" s="172" t="str">
        <f t="shared" ca="1" si="27"/>
        <v/>
      </c>
      <c r="V237" s="173" t="str">
        <f ca="1">IF(AND($W237&gt;0,RegimeExecucao="Unitário"),$F237,"")</f>
        <v/>
      </c>
      <c r="W237" s="547">
        <f ca="1">IF($Y237&gt;0,CHOOSE(MATCH(RegimeExecucao,{"Unitário","Global"},0),IF($A237="S",$Y237/$X237,""),($Y237/$X237)*100),0)</f>
        <v>0</v>
      </c>
      <c r="X237" s="384" t="str">
        <f ca="1">IF($Y237&gt;0,CHOOSE(MATCH(RegimeExecucao,{"Unitário","Global"},0),IF($A237="S",ROUND($H237,ORÇAMENTO!$AF$10),""),ROUND($I237,ORÇAMENTO!$AF$11)),"")</f>
        <v/>
      </c>
      <c r="Y237" s="384">
        <f t="shared" ca="1" si="28"/>
        <v>0</v>
      </c>
      <c r="Z237" s="572"/>
      <c r="AB237" s="382"/>
      <c r="AC237" s="516"/>
      <c r="AD237" s="516"/>
      <c r="AE237" s="516"/>
      <c r="AF237" s="516"/>
      <c r="AG237" s="516"/>
      <c r="AH237" s="516"/>
      <c r="AI237" s="516"/>
      <c r="AJ237" s="516"/>
      <c r="AK237" s="516"/>
      <c r="AL237" s="516"/>
      <c r="AM237" s="383"/>
      <c r="AO237">
        <f ca="1">IF($A237="S",IF(BM!$I237=0,0,CHOOSE(MATCH(RegimeExecucao,{"Global","Unitário"},0),ROUND(ROUND(BM.MEDAcumulado,15-13*BM!$A$9)/100*BM!$I237,15-13*ORÇAMENTO!$AF$11),ROUND(ROUND(BM.MEDAcumulado,15-13*BM!$A$9)*ROUND(BM!$H237,15-13*ORÇAMENTO!$AF$10),15-13*ORÇAMENTO!$AF$11))),IF($A237=0,0,ROUND(SomaAgrupBM,15-13*ORÇAMENTO!$AF$11)))</f>
        <v>0</v>
      </c>
    </row>
    <row r="238" spans="1:41" ht="25.5" x14ac:dyDescent="0.2">
      <c r="A238" t="str">
        <f ca="1">ORÇAMENTO!C238</f>
        <v>S</v>
      </c>
      <c r="B238">
        <f ca="1">ORÇAMENTO!D238</f>
        <v>0</v>
      </c>
      <c r="C238" s="116" t="str">
        <f t="shared" ca="1" si="22"/>
        <v/>
      </c>
      <c r="D238" s="119" t="str">
        <f ca="1">ORÇAMENTO!O238</f>
        <v>-</v>
      </c>
      <c r="E238" s="172" t="str">
        <f t="shared" ca="1" si="23"/>
        <v>(abra o arquivo 'Referência 06-2024.xlsm)</v>
      </c>
      <c r="F238" s="173" t="str">
        <f ca="1">IF(RegimeExecucao="Global","",ORÇAMENTO.Unidade)</f>
        <v/>
      </c>
      <c r="G238" s="124" t="str">
        <f ca="1">IF(RegimeExecucao="Global","",ORÇAMENTO!T238)</f>
        <v/>
      </c>
      <c r="H238" s="124" t="str">
        <f ca="1">IF(RegimeExecucao="Global","",ORÇAMENTO!W238)</f>
        <v/>
      </c>
      <c r="I238" s="127">
        <f ca="1">ORÇAMENTO!X238</f>
        <v>0</v>
      </c>
      <c r="J238" s="378">
        <f ca="1">IF($A238="S",IF(CAIXA.Modo,BM.AFAnterior,BM.MEDAnterior),IF(AND(RegimeExecucao="Global",$I238&gt;0,COUNTIF($AB$13:$AM$13,BM.medicao-1)&gt;0),M238/$I238*100,0))</f>
        <v>0</v>
      </c>
      <c r="K238" s="124">
        <f t="shared" ca="1" si="24"/>
        <v>0</v>
      </c>
      <c r="L238" s="379">
        <f ca="1">IF($A238="S",IF(CAIXA.Modo,BM.AFAcumulado,BM.MEDAcumulado),IF(AND(RegimeExecucao="Global",$I238&gt;0,COUNTIF($AB$13:$AM$13,BM.medicao)&gt;0),O238/$I238*100,0))</f>
        <v>0</v>
      </c>
      <c r="M238" s="380">
        <f ca="1">IF($A238="S",VTOTALBM,IF($A238=0,0,ROUND(SomaAgrupBM,15-13*ORÇAMENTO!$AF$11)))</f>
        <v>0</v>
      </c>
      <c r="N238" s="381">
        <f t="shared" ca="1" si="25"/>
        <v>0</v>
      </c>
      <c r="O238" s="127">
        <f ca="1">IF($A238="S",VTOTALBM,IF($A238=0,0,ROUND(SomaAgrupBM,15-13*ORÇAMENTO!$AF$11)))</f>
        <v>0</v>
      </c>
      <c r="Q238" s="382"/>
      <c r="R238" s="383"/>
      <c r="T238" s="119" t="str">
        <f t="shared" ca="1" si="26"/>
        <v/>
      </c>
      <c r="U238" s="172" t="str">
        <f t="shared" ca="1" si="27"/>
        <v/>
      </c>
      <c r="V238" s="173" t="str">
        <f ca="1">IF(AND($W238&gt;0,RegimeExecucao="Unitário"),$F238,"")</f>
        <v/>
      </c>
      <c r="W238" s="547">
        <f ca="1">IF($Y238&gt;0,CHOOSE(MATCH(RegimeExecucao,{"Unitário","Global"},0),IF($A238="S",$Y238/$X238,""),($Y238/$X238)*100),0)</f>
        <v>0</v>
      </c>
      <c r="X238" s="384" t="str">
        <f ca="1">IF($Y238&gt;0,CHOOSE(MATCH(RegimeExecucao,{"Unitário","Global"},0),IF($A238="S",ROUND($H238,ORÇAMENTO!$AF$10),""),ROUND($I238,ORÇAMENTO!$AF$11)),"")</f>
        <v/>
      </c>
      <c r="Y238" s="384">
        <f t="shared" ca="1" si="28"/>
        <v>0</v>
      </c>
      <c r="Z238" s="572"/>
      <c r="AB238" s="382"/>
      <c r="AC238" s="516"/>
      <c r="AD238" s="516"/>
      <c r="AE238" s="516"/>
      <c r="AF238" s="516"/>
      <c r="AG238" s="516"/>
      <c r="AH238" s="516"/>
      <c r="AI238" s="516"/>
      <c r="AJ238" s="516"/>
      <c r="AK238" s="516"/>
      <c r="AL238" s="516"/>
      <c r="AM238" s="383"/>
      <c r="AO238">
        <f ca="1">IF($A238="S",IF(BM!$I238=0,0,CHOOSE(MATCH(RegimeExecucao,{"Global","Unitário"},0),ROUND(ROUND(BM.MEDAcumulado,15-13*BM!$A$9)/100*BM!$I238,15-13*ORÇAMENTO!$AF$11),ROUND(ROUND(BM.MEDAcumulado,15-13*BM!$A$9)*ROUND(BM!$H238,15-13*ORÇAMENTO!$AF$10),15-13*ORÇAMENTO!$AF$11))),IF($A238=0,0,ROUND(SomaAgrupBM,15-13*ORÇAMENTO!$AF$11)))</f>
        <v>0</v>
      </c>
    </row>
    <row r="239" spans="1:41" ht="25.5" x14ac:dyDescent="0.2">
      <c r="A239" t="str">
        <f ca="1">ORÇAMENTO!C239</f>
        <v>S</v>
      </c>
      <c r="B239">
        <f ca="1">ORÇAMENTO!D239</f>
        <v>0</v>
      </c>
      <c r="C239" s="116" t="str">
        <f t="shared" ca="1" si="22"/>
        <v/>
      </c>
      <c r="D239" s="119" t="str">
        <f ca="1">ORÇAMENTO!O239</f>
        <v>-</v>
      </c>
      <c r="E239" s="172" t="str">
        <f t="shared" ca="1" si="23"/>
        <v>(abra o arquivo 'Referência 06-2024.xlsm)</v>
      </c>
      <c r="F239" s="173" t="str">
        <f ca="1">IF(RegimeExecucao="Global","",ORÇAMENTO.Unidade)</f>
        <v/>
      </c>
      <c r="G239" s="124" t="str">
        <f ca="1">IF(RegimeExecucao="Global","",ORÇAMENTO!T239)</f>
        <v/>
      </c>
      <c r="H239" s="124" t="str">
        <f ca="1">IF(RegimeExecucao="Global","",ORÇAMENTO!W239)</f>
        <v/>
      </c>
      <c r="I239" s="127">
        <f ca="1">ORÇAMENTO!X239</f>
        <v>0</v>
      </c>
      <c r="J239" s="378">
        <f ca="1">IF($A239="S",IF(CAIXA.Modo,BM.AFAnterior,BM.MEDAnterior),IF(AND(RegimeExecucao="Global",$I239&gt;0,COUNTIF($AB$13:$AM$13,BM.medicao-1)&gt;0),M239/$I239*100,0))</f>
        <v>0</v>
      </c>
      <c r="K239" s="124">
        <f t="shared" ca="1" si="24"/>
        <v>0</v>
      </c>
      <c r="L239" s="379">
        <f ca="1">IF($A239="S",IF(CAIXA.Modo,BM.AFAcumulado,BM.MEDAcumulado),IF(AND(RegimeExecucao="Global",$I239&gt;0,COUNTIF($AB$13:$AM$13,BM.medicao)&gt;0),O239/$I239*100,0))</f>
        <v>0</v>
      </c>
      <c r="M239" s="380">
        <f ca="1">IF($A239="S",VTOTALBM,IF($A239=0,0,ROUND(SomaAgrupBM,15-13*ORÇAMENTO!$AF$11)))</f>
        <v>0</v>
      </c>
      <c r="N239" s="381">
        <f t="shared" ca="1" si="25"/>
        <v>0</v>
      </c>
      <c r="O239" s="127">
        <f ca="1">IF($A239="S",VTOTALBM,IF($A239=0,0,ROUND(SomaAgrupBM,15-13*ORÇAMENTO!$AF$11)))</f>
        <v>0</v>
      </c>
      <c r="Q239" s="382"/>
      <c r="R239" s="383"/>
      <c r="T239" s="119" t="str">
        <f t="shared" ca="1" si="26"/>
        <v/>
      </c>
      <c r="U239" s="172" t="str">
        <f t="shared" ca="1" si="27"/>
        <v/>
      </c>
      <c r="V239" s="173" t="str">
        <f ca="1">IF(AND($W239&gt;0,RegimeExecucao="Unitário"),$F239,"")</f>
        <v/>
      </c>
      <c r="W239" s="547">
        <f ca="1">IF($Y239&gt;0,CHOOSE(MATCH(RegimeExecucao,{"Unitário","Global"},0),IF($A239="S",$Y239/$X239,""),($Y239/$X239)*100),0)</f>
        <v>0</v>
      </c>
      <c r="X239" s="384" t="str">
        <f ca="1">IF($Y239&gt;0,CHOOSE(MATCH(RegimeExecucao,{"Unitário","Global"},0),IF($A239="S",ROUND($H239,ORÇAMENTO!$AF$10),""),ROUND($I239,ORÇAMENTO!$AF$11)),"")</f>
        <v/>
      </c>
      <c r="Y239" s="384">
        <f t="shared" ca="1" si="28"/>
        <v>0</v>
      </c>
      <c r="Z239" s="572"/>
      <c r="AB239" s="382"/>
      <c r="AC239" s="516"/>
      <c r="AD239" s="516"/>
      <c r="AE239" s="516"/>
      <c r="AF239" s="516"/>
      <c r="AG239" s="516"/>
      <c r="AH239" s="516"/>
      <c r="AI239" s="516"/>
      <c r="AJ239" s="516"/>
      <c r="AK239" s="516"/>
      <c r="AL239" s="516"/>
      <c r="AM239" s="383"/>
      <c r="AO239">
        <f ca="1">IF($A239="S",IF(BM!$I239=0,0,CHOOSE(MATCH(RegimeExecucao,{"Global","Unitário"},0),ROUND(ROUND(BM.MEDAcumulado,15-13*BM!$A$9)/100*BM!$I239,15-13*ORÇAMENTO!$AF$11),ROUND(ROUND(BM.MEDAcumulado,15-13*BM!$A$9)*ROUND(BM!$H239,15-13*ORÇAMENTO!$AF$10),15-13*ORÇAMENTO!$AF$11))),IF($A239=0,0,ROUND(SomaAgrupBM,15-13*ORÇAMENTO!$AF$11)))</f>
        <v>0</v>
      </c>
    </row>
    <row r="240" spans="1:41" ht="25.5" x14ac:dyDescent="0.2">
      <c r="A240" t="str">
        <f ca="1">ORÇAMENTO!C240</f>
        <v>S</v>
      </c>
      <c r="B240">
        <f ca="1">ORÇAMENTO!D240</f>
        <v>0</v>
      </c>
      <c r="C240" s="116" t="str">
        <f t="shared" ca="1" si="22"/>
        <v/>
      </c>
      <c r="D240" s="119" t="str">
        <f ca="1">ORÇAMENTO!O240</f>
        <v>-</v>
      </c>
      <c r="E240" s="172" t="str">
        <f t="shared" ca="1" si="23"/>
        <v>(abra o arquivo 'Referência 06-2024.xlsm)</v>
      </c>
      <c r="F240" s="173" t="str">
        <f ca="1">IF(RegimeExecucao="Global","",ORÇAMENTO.Unidade)</f>
        <v/>
      </c>
      <c r="G240" s="124" t="str">
        <f ca="1">IF(RegimeExecucao="Global","",ORÇAMENTO!T240)</f>
        <v/>
      </c>
      <c r="H240" s="124" t="str">
        <f ca="1">IF(RegimeExecucao="Global","",ORÇAMENTO!W240)</f>
        <v/>
      </c>
      <c r="I240" s="127">
        <f ca="1">ORÇAMENTO!X240</f>
        <v>0</v>
      </c>
      <c r="J240" s="378">
        <f ca="1">IF($A240="S",IF(CAIXA.Modo,BM.AFAnterior,BM.MEDAnterior),IF(AND(RegimeExecucao="Global",$I240&gt;0,COUNTIF($AB$13:$AM$13,BM.medicao-1)&gt;0),M240/$I240*100,0))</f>
        <v>0</v>
      </c>
      <c r="K240" s="124">
        <f t="shared" ca="1" si="24"/>
        <v>0</v>
      </c>
      <c r="L240" s="379">
        <f ca="1">IF($A240="S",IF(CAIXA.Modo,BM.AFAcumulado,BM.MEDAcumulado),IF(AND(RegimeExecucao="Global",$I240&gt;0,COUNTIF($AB$13:$AM$13,BM.medicao)&gt;0),O240/$I240*100,0))</f>
        <v>0</v>
      </c>
      <c r="M240" s="380">
        <f ca="1">IF($A240="S",VTOTALBM,IF($A240=0,0,ROUND(SomaAgrupBM,15-13*ORÇAMENTO!$AF$11)))</f>
        <v>0</v>
      </c>
      <c r="N240" s="381">
        <f t="shared" ca="1" si="25"/>
        <v>0</v>
      </c>
      <c r="O240" s="127">
        <f ca="1">IF($A240="S",VTOTALBM,IF($A240=0,0,ROUND(SomaAgrupBM,15-13*ORÇAMENTO!$AF$11)))</f>
        <v>0</v>
      </c>
      <c r="Q240" s="382"/>
      <c r="R240" s="383"/>
      <c r="T240" s="119" t="str">
        <f t="shared" ca="1" si="26"/>
        <v/>
      </c>
      <c r="U240" s="172" t="str">
        <f t="shared" ca="1" si="27"/>
        <v/>
      </c>
      <c r="V240" s="173" t="str">
        <f ca="1">IF(AND($W240&gt;0,RegimeExecucao="Unitário"),$F240,"")</f>
        <v/>
      </c>
      <c r="W240" s="547">
        <f ca="1">IF($Y240&gt;0,CHOOSE(MATCH(RegimeExecucao,{"Unitário","Global"},0),IF($A240="S",$Y240/$X240,""),($Y240/$X240)*100),0)</f>
        <v>0</v>
      </c>
      <c r="X240" s="384" t="str">
        <f ca="1">IF($Y240&gt;0,CHOOSE(MATCH(RegimeExecucao,{"Unitário","Global"},0),IF($A240="S",ROUND($H240,ORÇAMENTO!$AF$10),""),ROUND($I240,ORÇAMENTO!$AF$11)),"")</f>
        <v/>
      </c>
      <c r="Y240" s="384">
        <f t="shared" ca="1" si="28"/>
        <v>0</v>
      </c>
      <c r="Z240" s="572"/>
      <c r="AB240" s="382"/>
      <c r="AC240" s="516"/>
      <c r="AD240" s="516"/>
      <c r="AE240" s="516"/>
      <c r="AF240" s="516"/>
      <c r="AG240" s="516"/>
      <c r="AH240" s="516"/>
      <c r="AI240" s="516"/>
      <c r="AJ240" s="516"/>
      <c r="AK240" s="516"/>
      <c r="AL240" s="516"/>
      <c r="AM240" s="383"/>
      <c r="AO240">
        <f ca="1">IF($A240="S",IF(BM!$I240=0,0,CHOOSE(MATCH(RegimeExecucao,{"Global","Unitário"},0),ROUND(ROUND(BM.MEDAcumulado,15-13*BM!$A$9)/100*BM!$I240,15-13*ORÇAMENTO!$AF$11),ROUND(ROUND(BM.MEDAcumulado,15-13*BM!$A$9)*ROUND(BM!$H240,15-13*ORÇAMENTO!$AF$10),15-13*ORÇAMENTO!$AF$11))),IF($A240=0,0,ROUND(SomaAgrupBM,15-13*ORÇAMENTO!$AF$11)))</f>
        <v>0</v>
      </c>
    </row>
    <row r="241" spans="1:41" ht="25.5" x14ac:dyDescent="0.2">
      <c r="A241" t="str">
        <f ca="1">ORÇAMENTO!C241</f>
        <v>S</v>
      </c>
      <c r="B241">
        <f ca="1">ORÇAMENTO!D241</f>
        <v>0</v>
      </c>
      <c r="C241" s="116" t="str">
        <f t="shared" ca="1" si="22"/>
        <v/>
      </c>
      <c r="D241" s="119" t="str">
        <f ca="1">ORÇAMENTO!O241</f>
        <v>-</v>
      </c>
      <c r="E241" s="172" t="str">
        <f t="shared" ca="1" si="23"/>
        <v>(abra o arquivo 'Referência 06-2024.xlsm)</v>
      </c>
      <c r="F241" s="173" t="str">
        <f ca="1">IF(RegimeExecucao="Global","",ORÇAMENTO.Unidade)</f>
        <v/>
      </c>
      <c r="G241" s="124" t="str">
        <f ca="1">IF(RegimeExecucao="Global","",ORÇAMENTO!T241)</f>
        <v/>
      </c>
      <c r="H241" s="124" t="str">
        <f ca="1">IF(RegimeExecucao="Global","",ORÇAMENTO!W241)</f>
        <v/>
      </c>
      <c r="I241" s="127">
        <f ca="1">ORÇAMENTO!X241</f>
        <v>0</v>
      </c>
      <c r="J241" s="378">
        <f ca="1">IF($A241="S",IF(CAIXA.Modo,BM.AFAnterior,BM.MEDAnterior),IF(AND(RegimeExecucao="Global",$I241&gt;0,COUNTIF($AB$13:$AM$13,BM.medicao-1)&gt;0),M241/$I241*100,0))</f>
        <v>0</v>
      </c>
      <c r="K241" s="124">
        <f t="shared" ca="1" si="24"/>
        <v>0</v>
      </c>
      <c r="L241" s="379">
        <f ca="1">IF($A241="S",IF(CAIXA.Modo,BM.AFAcumulado,BM.MEDAcumulado),IF(AND(RegimeExecucao="Global",$I241&gt;0,COUNTIF($AB$13:$AM$13,BM.medicao)&gt;0),O241/$I241*100,0))</f>
        <v>0</v>
      </c>
      <c r="M241" s="380">
        <f ca="1">IF($A241="S",VTOTALBM,IF($A241=0,0,ROUND(SomaAgrupBM,15-13*ORÇAMENTO!$AF$11)))</f>
        <v>0</v>
      </c>
      <c r="N241" s="381">
        <f t="shared" ca="1" si="25"/>
        <v>0</v>
      </c>
      <c r="O241" s="127">
        <f ca="1">IF($A241="S",VTOTALBM,IF($A241=0,0,ROUND(SomaAgrupBM,15-13*ORÇAMENTO!$AF$11)))</f>
        <v>0</v>
      </c>
      <c r="Q241" s="382"/>
      <c r="R241" s="383"/>
      <c r="T241" s="119" t="str">
        <f t="shared" ca="1" si="26"/>
        <v/>
      </c>
      <c r="U241" s="172" t="str">
        <f t="shared" ca="1" si="27"/>
        <v/>
      </c>
      <c r="V241" s="173" t="str">
        <f ca="1">IF(AND($W241&gt;0,RegimeExecucao="Unitário"),$F241,"")</f>
        <v/>
      </c>
      <c r="W241" s="547">
        <f ca="1">IF($Y241&gt;0,CHOOSE(MATCH(RegimeExecucao,{"Unitário","Global"},0),IF($A241="S",$Y241/$X241,""),($Y241/$X241)*100),0)</f>
        <v>0</v>
      </c>
      <c r="X241" s="384" t="str">
        <f ca="1">IF($Y241&gt;0,CHOOSE(MATCH(RegimeExecucao,{"Unitário","Global"},0),IF($A241="S",ROUND($H241,ORÇAMENTO!$AF$10),""),ROUND($I241,ORÇAMENTO!$AF$11)),"")</f>
        <v/>
      </c>
      <c r="Y241" s="384">
        <f t="shared" ca="1" si="28"/>
        <v>0</v>
      </c>
      <c r="Z241" s="572"/>
      <c r="AB241" s="382"/>
      <c r="AC241" s="516"/>
      <c r="AD241" s="516"/>
      <c r="AE241" s="516"/>
      <c r="AF241" s="516"/>
      <c r="AG241" s="516"/>
      <c r="AH241" s="516"/>
      <c r="AI241" s="516"/>
      <c r="AJ241" s="516"/>
      <c r="AK241" s="516"/>
      <c r="AL241" s="516"/>
      <c r="AM241" s="383"/>
      <c r="AO241">
        <f ca="1">IF($A241="S",IF(BM!$I241=0,0,CHOOSE(MATCH(RegimeExecucao,{"Global","Unitário"},0),ROUND(ROUND(BM.MEDAcumulado,15-13*BM!$A$9)/100*BM!$I241,15-13*ORÇAMENTO!$AF$11),ROUND(ROUND(BM.MEDAcumulado,15-13*BM!$A$9)*ROUND(BM!$H241,15-13*ORÇAMENTO!$AF$10),15-13*ORÇAMENTO!$AF$11))),IF($A241=0,0,ROUND(SomaAgrupBM,15-13*ORÇAMENTO!$AF$11)))</f>
        <v>0</v>
      </c>
    </row>
    <row r="242" spans="1:41" ht="25.5" x14ac:dyDescent="0.2">
      <c r="A242" t="str">
        <f ca="1">ORÇAMENTO!C242</f>
        <v>S</v>
      </c>
      <c r="B242">
        <f ca="1">ORÇAMENTO!D242</f>
        <v>0</v>
      </c>
      <c r="C242" s="116" t="str">
        <f t="shared" ca="1" si="22"/>
        <v/>
      </c>
      <c r="D242" s="119" t="str">
        <f ca="1">ORÇAMENTO!O242</f>
        <v>-</v>
      </c>
      <c r="E242" s="172" t="str">
        <f t="shared" ca="1" si="23"/>
        <v>(abra o arquivo 'Referência 06-2024.xlsm)</v>
      </c>
      <c r="F242" s="173" t="str">
        <f ca="1">IF(RegimeExecucao="Global","",ORÇAMENTO.Unidade)</f>
        <v/>
      </c>
      <c r="G242" s="124" t="str">
        <f ca="1">IF(RegimeExecucao="Global","",ORÇAMENTO!T242)</f>
        <v/>
      </c>
      <c r="H242" s="124" t="str">
        <f ca="1">IF(RegimeExecucao="Global","",ORÇAMENTO!W242)</f>
        <v/>
      </c>
      <c r="I242" s="127">
        <f ca="1">ORÇAMENTO!X242</f>
        <v>0</v>
      </c>
      <c r="J242" s="378">
        <f ca="1">IF($A242="S",IF(CAIXA.Modo,BM.AFAnterior,BM.MEDAnterior),IF(AND(RegimeExecucao="Global",$I242&gt;0,COUNTIF($AB$13:$AM$13,BM.medicao-1)&gt;0),M242/$I242*100,0))</f>
        <v>0</v>
      </c>
      <c r="K242" s="124">
        <f t="shared" ca="1" si="24"/>
        <v>0</v>
      </c>
      <c r="L242" s="379">
        <f ca="1">IF($A242="S",IF(CAIXA.Modo,BM.AFAcumulado,BM.MEDAcumulado),IF(AND(RegimeExecucao="Global",$I242&gt;0,COUNTIF($AB$13:$AM$13,BM.medicao)&gt;0),O242/$I242*100,0))</f>
        <v>0</v>
      </c>
      <c r="M242" s="380">
        <f ca="1">IF($A242="S",VTOTALBM,IF($A242=0,0,ROUND(SomaAgrupBM,15-13*ORÇAMENTO!$AF$11)))</f>
        <v>0</v>
      </c>
      <c r="N242" s="381">
        <f t="shared" ca="1" si="25"/>
        <v>0</v>
      </c>
      <c r="O242" s="127">
        <f ca="1">IF($A242="S",VTOTALBM,IF($A242=0,0,ROUND(SomaAgrupBM,15-13*ORÇAMENTO!$AF$11)))</f>
        <v>0</v>
      </c>
      <c r="Q242" s="382"/>
      <c r="R242" s="383"/>
      <c r="T242" s="119" t="str">
        <f t="shared" ca="1" si="26"/>
        <v/>
      </c>
      <c r="U242" s="172" t="str">
        <f t="shared" ca="1" si="27"/>
        <v/>
      </c>
      <c r="V242" s="173" t="str">
        <f ca="1">IF(AND($W242&gt;0,RegimeExecucao="Unitário"),$F242,"")</f>
        <v/>
      </c>
      <c r="W242" s="547">
        <f ca="1">IF($Y242&gt;0,CHOOSE(MATCH(RegimeExecucao,{"Unitário","Global"},0),IF($A242="S",$Y242/$X242,""),($Y242/$X242)*100),0)</f>
        <v>0</v>
      </c>
      <c r="X242" s="384" t="str">
        <f ca="1">IF($Y242&gt;0,CHOOSE(MATCH(RegimeExecucao,{"Unitário","Global"},0),IF($A242="S",ROUND($H242,ORÇAMENTO!$AF$10),""),ROUND($I242,ORÇAMENTO!$AF$11)),"")</f>
        <v/>
      </c>
      <c r="Y242" s="384">
        <f t="shared" ca="1" si="28"/>
        <v>0</v>
      </c>
      <c r="Z242" s="572"/>
      <c r="AB242" s="382"/>
      <c r="AC242" s="516"/>
      <c r="AD242" s="516"/>
      <c r="AE242" s="516"/>
      <c r="AF242" s="516"/>
      <c r="AG242" s="516"/>
      <c r="AH242" s="516"/>
      <c r="AI242" s="516"/>
      <c r="AJ242" s="516"/>
      <c r="AK242" s="516"/>
      <c r="AL242" s="516"/>
      <c r="AM242" s="383"/>
      <c r="AO242">
        <f ca="1">IF($A242="S",IF(BM!$I242=0,0,CHOOSE(MATCH(RegimeExecucao,{"Global","Unitário"},0),ROUND(ROUND(BM.MEDAcumulado,15-13*BM!$A$9)/100*BM!$I242,15-13*ORÇAMENTO!$AF$11),ROUND(ROUND(BM.MEDAcumulado,15-13*BM!$A$9)*ROUND(BM!$H242,15-13*ORÇAMENTO!$AF$10),15-13*ORÇAMENTO!$AF$11))),IF($A242=0,0,ROUND(SomaAgrupBM,15-13*ORÇAMENTO!$AF$11)))</f>
        <v>0</v>
      </c>
    </row>
    <row r="243" spans="1:41" ht="25.5" x14ac:dyDescent="0.2">
      <c r="A243" t="str">
        <f ca="1">ORÇAMENTO!C243</f>
        <v>S</v>
      </c>
      <c r="B243">
        <f ca="1">ORÇAMENTO!D243</f>
        <v>0</v>
      </c>
      <c r="C243" s="116" t="str">
        <f t="shared" ca="1" si="22"/>
        <v/>
      </c>
      <c r="D243" s="119" t="str">
        <f ca="1">ORÇAMENTO!O243</f>
        <v>-</v>
      </c>
      <c r="E243" s="172" t="str">
        <f t="shared" ca="1" si="23"/>
        <v>(abra o arquivo 'Referência 06-2024.xlsm)</v>
      </c>
      <c r="F243" s="173" t="str">
        <f ca="1">IF(RegimeExecucao="Global","",ORÇAMENTO.Unidade)</f>
        <v/>
      </c>
      <c r="G243" s="124" t="str">
        <f ca="1">IF(RegimeExecucao="Global","",ORÇAMENTO!T243)</f>
        <v/>
      </c>
      <c r="H243" s="124" t="str">
        <f ca="1">IF(RegimeExecucao="Global","",ORÇAMENTO!W243)</f>
        <v/>
      </c>
      <c r="I243" s="127">
        <f ca="1">ORÇAMENTO!X243</f>
        <v>0</v>
      </c>
      <c r="J243" s="378">
        <f ca="1">IF($A243="S",IF(CAIXA.Modo,BM.AFAnterior,BM.MEDAnterior),IF(AND(RegimeExecucao="Global",$I243&gt;0,COUNTIF($AB$13:$AM$13,BM.medicao-1)&gt;0),M243/$I243*100,0))</f>
        <v>0</v>
      </c>
      <c r="K243" s="124">
        <f t="shared" ca="1" si="24"/>
        <v>0</v>
      </c>
      <c r="L243" s="379">
        <f ca="1">IF($A243="S",IF(CAIXA.Modo,BM.AFAcumulado,BM.MEDAcumulado),IF(AND(RegimeExecucao="Global",$I243&gt;0,COUNTIF($AB$13:$AM$13,BM.medicao)&gt;0),O243/$I243*100,0))</f>
        <v>0</v>
      </c>
      <c r="M243" s="380">
        <f ca="1">IF($A243="S",VTOTALBM,IF($A243=0,0,ROUND(SomaAgrupBM,15-13*ORÇAMENTO!$AF$11)))</f>
        <v>0</v>
      </c>
      <c r="N243" s="381">
        <f t="shared" ca="1" si="25"/>
        <v>0</v>
      </c>
      <c r="O243" s="127">
        <f ca="1">IF($A243="S",VTOTALBM,IF($A243=0,0,ROUND(SomaAgrupBM,15-13*ORÇAMENTO!$AF$11)))</f>
        <v>0</v>
      </c>
      <c r="Q243" s="382"/>
      <c r="R243" s="383"/>
      <c r="T243" s="119" t="str">
        <f t="shared" ca="1" si="26"/>
        <v/>
      </c>
      <c r="U243" s="172" t="str">
        <f t="shared" ca="1" si="27"/>
        <v/>
      </c>
      <c r="V243" s="173" t="str">
        <f ca="1">IF(AND($W243&gt;0,RegimeExecucao="Unitário"),$F243,"")</f>
        <v/>
      </c>
      <c r="W243" s="547">
        <f ca="1">IF($Y243&gt;0,CHOOSE(MATCH(RegimeExecucao,{"Unitário","Global"},0),IF($A243="S",$Y243/$X243,""),($Y243/$X243)*100),0)</f>
        <v>0</v>
      </c>
      <c r="X243" s="384" t="str">
        <f ca="1">IF($Y243&gt;0,CHOOSE(MATCH(RegimeExecucao,{"Unitário","Global"},0),IF($A243="S",ROUND($H243,ORÇAMENTO!$AF$10),""),ROUND($I243,ORÇAMENTO!$AF$11)),"")</f>
        <v/>
      </c>
      <c r="Y243" s="384">
        <f t="shared" ca="1" si="28"/>
        <v>0</v>
      </c>
      <c r="Z243" s="572"/>
      <c r="AB243" s="382"/>
      <c r="AC243" s="516"/>
      <c r="AD243" s="516"/>
      <c r="AE243" s="516"/>
      <c r="AF243" s="516"/>
      <c r="AG243" s="516"/>
      <c r="AH243" s="516"/>
      <c r="AI243" s="516"/>
      <c r="AJ243" s="516"/>
      <c r="AK243" s="516"/>
      <c r="AL243" s="516"/>
      <c r="AM243" s="383"/>
      <c r="AO243">
        <f ca="1">IF($A243="S",IF(BM!$I243=0,0,CHOOSE(MATCH(RegimeExecucao,{"Global","Unitário"},0),ROUND(ROUND(BM.MEDAcumulado,15-13*BM!$A$9)/100*BM!$I243,15-13*ORÇAMENTO!$AF$11),ROUND(ROUND(BM.MEDAcumulado,15-13*BM!$A$9)*ROUND(BM!$H243,15-13*ORÇAMENTO!$AF$10),15-13*ORÇAMENTO!$AF$11))),IF($A243=0,0,ROUND(SomaAgrupBM,15-13*ORÇAMENTO!$AF$11)))</f>
        <v>0</v>
      </c>
    </row>
    <row r="244" spans="1:41" ht="25.5" x14ac:dyDescent="0.2">
      <c r="A244" t="str">
        <f ca="1">ORÇAMENTO!C244</f>
        <v>S</v>
      </c>
      <c r="B244">
        <f ca="1">ORÇAMENTO!D244</f>
        <v>0</v>
      </c>
      <c r="C244" s="116" t="str">
        <f t="shared" ca="1" si="22"/>
        <v/>
      </c>
      <c r="D244" s="119" t="str">
        <f ca="1">ORÇAMENTO!O244</f>
        <v>-</v>
      </c>
      <c r="E244" s="172" t="str">
        <f t="shared" ca="1" si="23"/>
        <v>(abra o arquivo 'Referência 06-2024.xlsm)</v>
      </c>
      <c r="F244" s="173" t="str">
        <f ca="1">IF(RegimeExecucao="Global","",ORÇAMENTO.Unidade)</f>
        <v/>
      </c>
      <c r="G244" s="124" t="str">
        <f ca="1">IF(RegimeExecucao="Global","",ORÇAMENTO!T244)</f>
        <v/>
      </c>
      <c r="H244" s="124" t="str">
        <f ca="1">IF(RegimeExecucao="Global","",ORÇAMENTO!W244)</f>
        <v/>
      </c>
      <c r="I244" s="127">
        <f ca="1">ORÇAMENTO!X244</f>
        <v>0</v>
      </c>
      <c r="J244" s="378">
        <f ca="1">IF($A244="S",IF(CAIXA.Modo,BM.AFAnterior,BM.MEDAnterior),IF(AND(RegimeExecucao="Global",$I244&gt;0,COUNTIF($AB$13:$AM$13,BM.medicao-1)&gt;0),M244/$I244*100,0))</f>
        <v>0</v>
      </c>
      <c r="K244" s="124">
        <f t="shared" ca="1" si="24"/>
        <v>0</v>
      </c>
      <c r="L244" s="379">
        <f ca="1">IF($A244="S",IF(CAIXA.Modo,BM.AFAcumulado,BM.MEDAcumulado),IF(AND(RegimeExecucao="Global",$I244&gt;0,COUNTIF($AB$13:$AM$13,BM.medicao)&gt;0),O244/$I244*100,0))</f>
        <v>0</v>
      </c>
      <c r="M244" s="380">
        <f ca="1">IF($A244="S",VTOTALBM,IF($A244=0,0,ROUND(SomaAgrupBM,15-13*ORÇAMENTO!$AF$11)))</f>
        <v>0</v>
      </c>
      <c r="N244" s="381">
        <f t="shared" ca="1" si="25"/>
        <v>0</v>
      </c>
      <c r="O244" s="127">
        <f ca="1">IF($A244="S",VTOTALBM,IF($A244=0,0,ROUND(SomaAgrupBM,15-13*ORÇAMENTO!$AF$11)))</f>
        <v>0</v>
      </c>
      <c r="Q244" s="382"/>
      <c r="R244" s="383"/>
      <c r="T244" s="119" t="str">
        <f t="shared" ca="1" si="26"/>
        <v/>
      </c>
      <c r="U244" s="172" t="str">
        <f t="shared" ca="1" si="27"/>
        <v/>
      </c>
      <c r="V244" s="173" t="str">
        <f ca="1">IF(AND($W244&gt;0,RegimeExecucao="Unitário"),$F244,"")</f>
        <v/>
      </c>
      <c r="W244" s="547">
        <f ca="1">IF($Y244&gt;0,CHOOSE(MATCH(RegimeExecucao,{"Unitário","Global"},0),IF($A244="S",$Y244/$X244,""),($Y244/$X244)*100),0)</f>
        <v>0</v>
      </c>
      <c r="X244" s="384" t="str">
        <f ca="1">IF($Y244&gt;0,CHOOSE(MATCH(RegimeExecucao,{"Unitário","Global"},0),IF($A244="S",ROUND($H244,ORÇAMENTO!$AF$10),""),ROUND($I244,ORÇAMENTO!$AF$11)),"")</f>
        <v/>
      </c>
      <c r="Y244" s="384">
        <f t="shared" ca="1" si="28"/>
        <v>0</v>
      </c>
      <c r="Z244" s="572"/>
      <c r="AB244" s="382"/>
      <c r="AC244" s="516"/>
      <c r="AD244" s="516"/>
      <c r="AE244" s="516"/>
      <c r="AF244" s="516"/>
      <c r="AG244" s="516"/>
      <c r="AH244" s="516"/>
      <c r="AI244" s="516"/>
      <c r="AJ244" s="516"/>
      <c r="AK244" s="516"/>
      <c r="AL244" s="516"/>
      <c r="AM244" s="383"/>
      <c r="AO244">
        <f ca="1">IF($A244="S",IF(BM!$I244=0,0,CHOOSE(MATCH(RegimeExecucao,{"Global","Unitário"},0),ROUND(ROUND(BM.MEDAcumulado,15-13*BM!$A$9)/100*BM!$I244,15-13*ORÇAMENTO!$AF$11),ROUND(ROUND(BM.MEDAcumulado,15-13*BM!$A$9)*ROUND(BM!$H244,15-13*ORÇAMENTO!$AF$10),15-13*ORÇAMENTO!$AF$11))),IF($A244=0,0,ROUND(SomaAgrupBM,15-13*ORÇAMENTO!$AF$11)))</f>
        <v>0</v>
      </c>
    </row>
    <row r="245" spans="1:41" x14ac:dyDescent="0.2">
      <c r="A245">
        <f ca="1">ORÇAMENTO!C245</f>
        <v>2</v>
      </c>
      <c r="B245">
        <f ca="1">ORÇAMENTO!D245</f>
        <v>2</v>
      </c>
      <c r="C245" s="116" t="str">
        <f t="shared" ca="1" si="22"/>
        <v>F</v>
      </c>
      <c r="D245" s="119" t="str">
        <f ca="1">ORÇAMENTO!O245</f>
        <v>1.33.</v>
      </c>
      <c r="E245" s="172" t="str">
        <f t="shared" si="23"/>
        <v>PINTURAS E ACABAMENTOS - ESTRUTURA METÁLICA</v>
      </c>
      <c r="F245" s="173" t="str">
        <f ca="1">IF(RegimeExecucao="Global","",ORÇAMENTO.Unidade)</f>
        <v/>
      </c>
      <c r="G245" s="124" t="str">
        <f ca="1">IF(RegimeExecucao="Global","",ORÇAMENTO!T245)</f>
        <v/>
      </c>
      <c r="H245" s="124" t="str">
        <f ca="1">IF(RegimeExecucao="Global","",ORÇAMENTO!W245)</f>
        <v/>
      </c>
      <c r="I245" s="127">
        <f ca="1">ORÇAMENTO!X245</f>
        <v>0</v>
      </c>
      <c r="J245" s="378">
        <f ca="1">IF($A245="S",IF(CAIXA.Modo,BM.AFAnterior,BM.MEDAnterior),IF(AND(RegimeExecucao="Global",$I245&gt;0,COUNTIF($AB$13:$AM$13,BM.medicao-1)&gt;0),M245/$I245*100,0))</f>
        <v>0</v>
      </c>
      <c r="K245" s="124">
        <f t="shared" ca="1" si="24"/>
        <v>0</v>
      </c>
      <c r="L245" s="379">
        <f ca="1">IF($A245="S",IF(CAIXA.Modo,BM.AFAcumulado,BM.MEDAcumulado),IF(AND(RegimeExecucao="Global",$I245&gt;0,COUNTIF($AB$13:$AM$13,BM.medicao)&gt;0),O245/$I245*100,0))</f>
        <v>0</v>
      </c>
      <c r="M245" s="380">
        <f ca="1">IF($A245="S",VTOTALBM,IF($A245=0,0,ROUND(SomaAgrupBM,15-13*ORÇAMENTO!$AF$11)))</f>
        <v>0</v>
      </c>
      <c r="N245" s="381">
        <f t="shared" ca="1" si="25"/>
        <v>0</v>
      </c>
      <c r="O245" s="127">
        <f ca="1">IF($A245="S",VTOTALBM,IF($A245=0,0,ROUND(SomaAgrupBM,15-13*ORÇAMENTO!$AF$11)))</f>
        <v>0</v>
      </c>
      <c r="Q245" s="382"/>
      <c r="R245" s="383"/>
      <c r="T245" s="119" t="str">
        <f t="shared" ca="1" si="26"/>
        <v/>
      </c>
      <c r="U245" s="172" t="str">
        <f t="shared" ca="1" si="27"/>
        <v/>
      </c>
      <c r="V245" s="173" t="str">
        <f ca="1">IF(AND($W245&gt;0,RegimeExecucao="Unitário"),$F245,"")</f>
        <v/>
      </c>
      <c r="W245" s="547">
        <f ca="1">IF($Y245&gt;0,CHOOSE(MATCH(RegimeExecucao,{"Unitário","Global"},0),IF($A245="S",$Y245/$X245,""),($Y245/$X245)*100),0)</f>
        <v>0</v>
      </c>
      <c r="X245" s="384" t="str">
        <f ca="1">IF($Y245&gt;0,CHOOSE(MATCH(RegimeExecucao,{"Unitário","Global"},0),IF($A245="S",ROUND($H245,ORÇAMENTO!$AF$10),""),ROUND($I245,ORÇAMENTO!$AF$11)),"")</f>
        <v/>
      </c>
      <c r="Y245" s="384">
        <f t="shared" ca="1" si="28"/>
        <v>0</v>
      </c>
      <c r="Z245" s="572"/>
      <c r="AB245" s="382"/>
      <c r="AC245" s="516"/>
      <c r="AD245" s="516"/>
      <c r="AE245" s="516"/>
      <c r="AF245" s="516"/>
      <c r="AG245" s="516"/>
      <c r="AH245" s="516"/>
      <c r="AI245" s="516"/>
      <c r="AJ245" s="516"/>
      <c r="AK245" s="516"/>
      <c r="AL245" s="516"/>
      <c r="AM245" s="383"/>
      <c r="AO245">
        <f ca="1">IF($A245="S",IF(BM!$I245=0,0,CHOOSE(MATCH(RegimeExecucao,{"Global","Unitário"},0),ROUND(ROUND(BM.MEDAcumulado,15-13*BM!$A$9)/100*BM!$I245,15-13*ORÇAMENTO!$AF$11),ROUND(ROUND(BM.MEDAcumulado,15-13*BM!$A$9)*ROUND(BM!$H245,15-13*ORÇAMENTO!$AF$10),15-13*ORÇAMENTO!$AF$11))),IF($A245=0,0,ROUND(SomaAgrupBM,15-13*ORÇAMENTO!$AF$11)))</f>
        <v>0</v>
      </c>
    </row>
    <row r="246" spans="1:41" ht="51" x14ac:dyDescent="0.2">
      <c r="A246" t="str">
        <f ca="1">ORÇAMENTO!C246</f>
        <v>S</v>
      </c>
      <c r="B246">
        <f ca="1">ORÇAMENTO!D246</f>
        <v>0</v>
      </c>
      <c r="C246" s="116" t="str">
        <f t="shared" ca="1" si="22"/>
        <v/>
      </c>
      <c r="D246" s="119" t="str">
        <f ca="1">ORÇAMENTO!O246</f>
        <v>-</v>
      </c>
      <c r="E246" s="172" t="str">
        <f t="shared" ca="1" si="23"/>
        <v>(abra o arquivo 'Referência 06-2024.xlsm)</v>
      </c>
      <c r="F246" s="173" t="str">
        <f ca="1">IF(RegimeExecucao="Global","",ORÇAMENTO.Unidade)</f>
        <v/>
      </c>
      <c r="G246" s="124" t="str">
        <f ca="1">IF(RegimeExecucao="Global","",ORÇAMENTO!T246)</f>
        <v/>
      </c>
      <c r="H246" s="124" t="str">
        <f ca="1">IF(RegimeExecucao="Global","",ORÇAMENTO!W246)</f>
        <v/>
      </c>
      <c r="I246" s="127">
        <f ca="1">ORÇAMENTO!X246</f>
        <v>0</v>
      </c>
      <c r="J246" s="378">
        <f ca="1">IF($A246="S",IF(CAIXA.Modo,BM.AFAnterior,BM.MEDAnterior),IF(AND(RegimeExecucao="Global",$I246&gt;0,COUNTIF($AB$13:$AM$13,BM.medicao-1)&gt;0),M246/$I246*100,0))</f>
        <v>0</v>
      </c>
      <c r="K246" s="124">
        <f t="shared" ca="1" si="24"/>
        <v>0</v>
      </c>
      <c r="L246" s="379">
        <f ca="1">IF($A246="S",IF(CAIXA.Modo,BM.AFAcumulado,BM.MEDAcumulado),IF(AND(RegimeExecucao="Global",$I246&gt;0,COUNTIF($AB$13:$AM$13,BM.medicao)&gt;0),O246/$I246*100,0))</f>
        <v>0</v>
      </c>
      <c r="M246" s="380">
        <f ca="1">IF($A246="S",VTOTALBM,IF($A246=0,0,ROUND(SomaAgrupBM,15-13*ORÇAMENTO!$AF$11)))</f>
        <v>0</v>
      </c>
      <c r="N246" s="381">
        <f t="shared" ca="1" si="25"/>
        <v>0</v>
      </c>
      <c r="O246" s="127">
        <f ca="1">IF($A246="S",VTOTALBM,IF($A246=0,0,ROUND(SomaAgrupBM,15-13*ORÇAMENTO!$AF$11)))</f>
        <v>0</v>
      </c>
      <c r="Q246" s="382"/>
      <c r="R246" s="383"/>
      <c r="T246" s="119" t="str">
        <f t="shared" ca="1" si="26"/>
        <v/>
      </c>
      <c r="U246" s="172" t="str">
        <f t="shared" ca="1" si="27"/>
        <v/>
      </c>
      <c r="V246" s="173" t="str">
        <f ca="1">IF(AND($W246&gt;0,RegimeExecucao="Unitário"),$F246,"")</f>
        <v/>
      </c>
      <c r="W246" s="547">
        <f ca="1">IF($Y246&gt;0,CHOOSE(MATCH(RegimeExecucao,{"Unitário","Global"},0),IF($A246="S",$Y246/$X246,""),($Y246/$X246)*100),0)</f>
        <v>0</v>
      </c>
      <c r="X246" s="384" t="str">
        <f ca="1">IF($Y246&gt;0,CHOOSE(MATCH(RegimeExecucao,{"Unitário","Global"},0),IF($A246="S",ROUND($H246,ORÇAMENTO!$AF$10),""),ROUND($I246,ORÇAMENTO!$AF$11)),"")</f>
        <v/>
      </c>
      <c r="Y246" s="384">
        <f t="shared" ca="1" si="28"/>
        <v>0</v>
      </c>
      <c r="Z246" s="572"/>
      <c r="AB246" s="382"/>
      <c r="AC246" s="516"/>
      <c r="AD246" s="516"/>
      <c r="AE246" s="516"/>
      <c r="AF246" s="516"/>
      <c r="AG246" s="516"/>
      <c r="AH246" s="516"/>
      <c r="AI246" s="516"/>
      <c r="AJ246" s="516"/>
      <c r="AK246" s="516"/>
      <c r="AL246" s="516"/>
      <c r="AM246" s="383"/>
      <c r="AO246">
        <f ca="1">IF($A246="S",IF(BM!$I246=0,0,CHOOSE(MATCH(RegimeExecucao,{"Global","Unitário"},0),ROUND(ROUND(BM.MEDAcumulado,15-13*BM!$A$9)/100*BM!$I246,15-13*ORÇAMENTO!$AF$11),ROUND(ROUND(BM.MEDAcumulado,15-13*BM!$A$9)*ROUND(BM!$H246,15-13*ORÇAMENTO!$AF$10),15-13*ORÇAMENTO!$AF$11))),IF($A246=0,0,ROUND(SomaAgrupBM,15-13*ORÇAMENTO!$AF$11)))</f>
        <v>0</v>
      </c>
    </row>
    <row r="247" spans="1:41" ht="25.5" x14ac:dyDescent="0.2">
      <c r="A247">
        <f ca="1">ORÇAMENTO!C247</f>
        <v>2</v>
      </c>
      <c r="B247">
        <f ca="1">ORÇAMENTO!D247</f>
        <v>38</v>
      </c>
      <c r="C247" s="116" t="str">
        <f t="shared" ca="1" si="22"/>
        <v>F</v>
      </c>
      <c r="D247" s="119" t="str">
        <f ca="1">ORÇAMENTO!O247</f>
        <v>1.34.</v>
      </c>
      <c r="E247" s="172" t="str">
        <f t="shared" si="23"/>
        <v>INSTALAÇÃO HIDRÁULICA - TUBULAÇÕES E CONEXÕES DE PVC RÍGIDO</v>
      </c>
      <c r="F247" s="173" t="str">
        <f ca="1">IF(RegimeExecucao="Global","",ORÇAMENTO.Unidade)</f>
        <v/>
      </c>
      <c r="G247" s="124" t="str">
        <f ca="1">IF(RegimeExecucao="Global","",ORÇAMENTO!T247)</f>
        <v/>
      </c>
      <c r="H247" s="124" t="str">
        <f ca="1">IF(RegimeExecucao="Global","",ORÇAMENTO!W247)</f>
        <v/>
      </c>
      <c r="I247" s="127">
        <f ca="1">ORÇAMENTO!X247</f>
        <v>0</v>
      </c>
      <c r="J247" s="378">
        <f ca="1">IF($A247="S",IF(CAIXA.Modo,BM.AFAnterior,BM.MEDAnterior),IF(AND(RegimeExecucao="Global",$I247&gt;0,COUNTIF($AB$13:$AM$13,BM.medicao-1)&gt;0),M247/$I247*100,0))</f>
        <v>0</v>
      </c>
      <c r="K247" s="124">
        <f t="shared" ca="1" si="24"/>
        <v>0</v>
      </c>
      <c r="L247" s="379">
        <f ca="1">IF($A247="S",IF(CAIXA.Modo,BM.AFAcumulado,BM.MEDAcumulado),IF(AND(RegimeExecucao="Global",$I247&gt;0,COUNTIF($AB$13:$AM$13,BM.medicao)&gt;0),O247/$I247*100,0))</f>
        <v>0</v>
      </c>
      <c r="M247" s="380">
        <f ca="1">IF($A247="S",VTOTALBM,IF($A247=0,0,ROUND(SomaAgrupBM,15-13*ORÇAMENTO!$AF$11)))</f>
        <v>0</v>
      </c>
      <c r="N247" s="381">
        <f t="shared" ca="1" si="25"/>
        <v>0</v>
      </c>
      <c r="O247" s="127">
        <f ca="1">IF($A247="S",VTOTALBM,IF($A247=0,0,ROUND(SomaAgrupBM,15-13*ORÇAMENTO!$AF$11)))</f>
        <v>0</v>
      </c>
      <c r="Q247" s="382"/>
      <c r="R247" s="383"/>
      <c r="T247" s="119" t="str">
        <f t="shared" ca="1" si="26"/>
        <v/>
      </c>
      <c r="U247" s="172" t="str">
        <f t="shared" ca="1" si="27"/>
        <v/>
      </c>
      <c r="V247" s="173" t="str">
        <f ca="1">IF(AND($W247&gt;0,RegimeExecucao="Unitário"),$F247,"")</f>
        <v/>
      </c>
      <c r="W247" s="547">
        <f ca="1">IF($Y247&gt;0,CHOOSE(MATCH(RegimeExecucao,{"Unitário","Global"},0),IF($A247="S",$Y247/$X247,""),($Y247/$X247)*100),0)</f>
        <v>0</v>
      </c>
      <c r="X247" s="384" t="str">
        <f ca="1">IF($Y247&gt;0,CHOOSE(MATCH(RegimeExecucao,{"Unitário","Global"},0),IF($A247="S",ROUND($H247,ORÇAMENTO!$AF$10),""),ROUND($I247,ORÇAMENTO!$AF$11)),"")</f>
        <v/>
      </c>
      <c r="Y247" s="384">
        <f t="shared" ca="1" si="28"/>
        <v>0</v>
      </c>
      <c r="Z247" s="572"/>
      <c r="AB247" s="382"/>
      <c r="AC247" s="516"/>
      <c r="AD247" s="516"/>
      <c r="AE247" s="516"/>
      <c r="AF247" s="516"/>
      <c r="AG247" s="516"/>
      <c r="AH247" s="516"/>
      <c r="AI247" s="516"/>
      <c r="AJ247" s="516"/>
      <c r="AK247" s="516"/>
      <c r="AL247" s="516"/>
      <c r="AM247" s="383"/>
      <c r="AO247">
        <f ca="1">IF($A247="S",IF(BM!$I247=0,0,CHOOSE(MATCH(RegimeExecucao,{"Global","Unitário"},0),ROUND(ROUND(BM.MEDAcumulado,15-13*BM!$A$9)/100*BM!$I247,15-13*ORÇAMENTO!$AF$11),ROUND(ROUND(BM.MEDAcumulado,15-13*BM!$A$9)*ROUND(BM!$H247,15-13*ORÇAMENTO!$AF$10),15-13*ORÇAMENTO!$AF$11))),IF($A247=0,0,ROUND(SomaAgrupBM,15-13*ORÇAMENTO!$AF$11)))</f>
        <v>0</v>
      </c>
    </row>
    <row r="248" spans="1:41" ht="25.5" x14ac:dyDescent="0.2">
      <c r="A248" t="str">
        <f ca="1">ORÇAMENTO!C248</f>
        <v>S</v>
      </c>
      <c r="B248">
        <f ca="1">ORÇAMENTO!D248</f>
        <v>0</v>
      </c>
      <c r="C248" s="116" t="str">
        <f t="shared" ca="1" si="22"/>
        <v/>
      </c>
      <c r="D248" s="119" t="str">
        <f ca="1">ORÇAMENTO!O248</f>
        <v>-</v>
      </c>
      <c r="E248" s="172" t="str">
        <f t="shared" ca="1" si="23"/>
        <v>(abra o arquivo 'Referência 06-2024.xlsm)</v>
      </c>
      <c r="F248" s="173" t="str">
        <f ca="1">IF(RegimeExecucao="Global","",ORÇAMENTO.Unidade)</f>
        <v/>
      </c>
      <c r="G248" s="124" t="str">
        <f ca="1">IF(RegimeExecucao="Global","",ORÇAMENTO!T248)</f>
        <v/>
      </c>
      <c r="H248" s="124" t="str">
        <f ca="1">IF(RegimeExecucao="Global","",ORÇAMENTO!W248)</f>
        <v/>
      </c>
      <c r="I248" s="127">
        <f ca="1">ORÇAMENTO!X248</f>
        <v>0</v>
      </c>
      <c r="J248" s="378">
        <f ca="1">IF($A248="S",IF(CAIXA.Modo,BM.AFAnterior,BM.MEDAnterior),IF(AND(RegimeExecucao="Global",$I248&gt;0,COUNTIF($AB$13:$AM$13,BM.medicao-1)&gt;0),M248/$I248*100,0))</f>
        <v>0</v>
      </c>
      <c r="K248" s="124">
        <f t="shared" ca="1" si="24"/>
        <v>0</v>
      </c>
      <c r="L248" s="379">
        <f ca="1">IF($A248="S",IF(CAIXA.Modo,BM.AFAcumulado,BM.MEDAcumulado),IF(AND(RegimeExecucao="Global",$I248&gt;0,COUNTIF($AB$13:$AM$13,BM.medicao)&gt;0),O248/$I248*100,0))</f>
        <v>0</v>
      </c>
      <c r="M248" s="380">
        <f ca="1">IF($A248="S",VTOTALBM,IF($A248=0,0,ROUND(SomaAgrupBM,15-13*ORÇAMENTO!$AF$11)))</f>
        <v>0</v>
      </c>
      <c r="N248" s="381">
        <f t="shared" ca="1" si="25"/>
        <v>0</v>
      </c>
      <c r="O248" s="127">
        <f ca="1">IF($A248="S",VTOTALBM,IF($A248=0,0,ROUND(SomaAgrupBM,15-13*ORÇAMENTO!$AF$11)))</f>
        <v>0</v>
      </c>
      <c r="Q248" s="382"/>
      <c r="R248" s="383"/>
      <c r="T248" s="119" t="str">
        <f t="shared" ca="1" si="26"/>
        <v/>
      </c>
      <c r="U248" s="172" t="str">
        <f t="shared" ca="1" si="27"/>
        <v/>
      </c>
      <c r="V248" s="173" t="str">
        <f ca="1">IF(AND($W248&gt;0,RegimeExecucao="Unitário"),$F248,"")</f>
        <v/>
      </c>
      <c r="W248" s="547">
        <f ca="1">IF($Y248&gt;0,CHOOSE(MATCH(RegimeExecucao,{"Unitário","Global"},0),IF($A248="S",$Y248/$X248,""),($Y248/$X248)*100),0)</f>
        <v>0</v>
      </c>
      <c r="X248" s="384" t="str">
        <f ca="1">IF($Y248&gt;0,CHOOSE(MATCH(RegimeExecucao,{"Unitário","Global"},0),IF($A248="S",ROUND($H248,ORÇAMENTO!$AF$10),""),ROUND($I248,ORÇAMENTO!$AF$11)),"")</f>
        <v/>
      </c>
      <c r="Y248" s="384">
        <f t="shared" ca="1" si="28"/>
        <v>0</v>
      </c>
      <c r="Z248" s="572"/>
      <c r="AB248" s="382"/>
      <c r="AC248" s="516"/>
      <c r="AD248" s="516"/>
      <c r="AE248" s="516"/>
      <c r="AF248" s="516"/>
      <c r="AG248" s="516"/>
      <c r="AH248" s="516"/>
      <c r="AI248" s="516"/>
      <c r="AJ248" s="516"/>
      <c r="AK248" s="516"/>
      <c r="AL248" s="516"/>
      <c r="AM248" s="383"/>
      <c r="AO248">
        <f ca="1">IF($A248="S",IF(BM!$I248=0,0,CHOOSE(MATCH(RegimeExecucao,{"Global","Unitário"},0),ROUND(ROUND(BM.MEDAcumulado,15-13*BM!$A$9)/100*BM!$I248,15-13*ORÇAMENTO!$AF$11),ROUND(ROUND(BM.MEDAcumulado,15-13*BM!$A$9)*ROUND(BM!$H248,15-13*ORÇAMENTO!$AF$10),15-13*ORÇAMENTO!$AF$11))),IF($A248=0,0,ROUND(SomaAgrupBM,15-13*ORÇAMENTO!$AF$11)))</f>
        <v>0</v>
      </c>
    </row>
    <row r="249" spans="1:41" ht="38.25" x14ac:dyDescent="0.2">
      <c r="A249" t="str">
        <f ca="1">ORÇAMENTO!C249</f>
        <v>S</v>
      </c>
      <c r="B249">
        <f ca="1">ORÇAMENTO!D249</f>
        <v>0</v>
      </c>
      <c r="C249" s="116" t="str">
        <f t="shared" ca="1" si="22"/>
        <v/>
      </c>
      <c r="D249" s="119" t="str">
        <f ca="1">ORÇAMENTO!O249</f>
        <v>-</v>
      </c>
      <c r="E249" s="172" t="str">
        <f t="shared" ca="1" si="23"/>
        <v>(abra o arquivo 'Referência 06-2024.xlsm)</v>
      </c>
      <c r="F249" s="173" t="str">
        <f ca="1">IF(RegimeExecucao="Global","",ORÇAMENTO.Unidade)</f>
        <v/>
      </c>
      <c r="G249" s="124" t="str">
        <f ca="1">IF(RegimeExecucao="Global","",ORÇAMENTO!T249)</f>
        <v/>
      </c>
      <c r="H249" s="124" t="str">
        <f ca="1">IF(RegimeExecucao="Global","",ORÇAMENTO!W249)</f>
        <v/>
      </c>
      <c r="I249" s="127">
        <f ca="1">ORÇAMENTO!X249</f>
        <v>0</v>
      </c>
      <c r="J249" s="378">
        <f ca="1">IF($A249="S",IF(CAIXA.Modo,BM.AFAnterior,BM.MEDAnterior),IF(AND(RegimeExecucao="Global",$I249&gt;0,COUNTIF($AB$13:$AM$13,BM.medicao-1)&gt;0),M249/$I249*100,0))</f>
        <v>0</v>
      </c>
      <c r="K249" s="124">
        <f t="shared" ca="1" si="24"/>
        <v>0</v>
      </c>
      <c r="L249" s="379">
        <f ca="1">IF($A249="S",IF(CAIXA.Modo,BM.AFAcumulado,BM.MEDAcumulado),IF(AND(RegimeExecucao="Global",$I249&gt;0,COUNTIF($AB$13:$AM$13,BM.medicao)&gt;0),O249/$I249*100,0))</f>
        <v>0</v>
      </c>
      <c r="M249" s="380">
        <f ca="1">IF($A249="S",VTOTALBM,IF($A249=0,0,ROUND(SomaAgrupBM,15-13*ORÇAMENTO!$AF$11)))</f>
        <v>0</v>
      </c>
      <c r="N249" s="381">
        <f t="shared" ca="1" si="25"/>
        <v>0</v>
      </c>
      <c r="O249" s="127">
        <f ca="1">IF($A249="S",VTOTALBM,IF($A249=0,0,ROUND(SomaAgrupBM,15-13*ORÇAMENTO!$AF$11)))</f>
        <v>0</v>
      </c>
      <c r="Q249" s="382"/>
      <c r="R249" s="383"/>
      <c r="T249" s="119" t="str">
        <f t="shared" ca="1" si="26"/>
        <v/>
      </c>
      <c r="U249" s="172" t="str">
        <f t="shared" ca="1" si="27"/>
        <v/>
      </c>
      <c r="V249" s="173" t="str">
        <f ca="1">IF(AND($W249&gt;0,RegimeExecucao="Unitário"),$F249,"")</f>
        <v/>
      </c>
      <c r="W249" s="547">
        <f ca="1">IF($Y249&gt;0,CHOOSE(MATCH(RegimeExecucao,{"Unitário","Global"},0),IF($A249="S",$Y249/$X249,""),($Y249/$X249)*100),0)</f>
        <v>0</v>
      </c>
      <c r="X249" s="384" t="str">
        <f ca="1">IF($Y249&gt;0,CHOOSE(MATCH(RegimeExecucao,{"Unitário","Global"},0),IF($A249="S",ROUND($H249,ORÇAMENTO!$AF$10),""),ROUND($I249,ORÇAMENTO!$AF$11)),"")</f>
        <v/>
      </c>
      <c r="Y249" s="384">
        <f t="shared" ca="1" si="28"/>
        <v>0</v>
      </c>
      <c r="Z249" s="572"/>
      <c r="AB249" s="382"/>
      <c r="AC249" s="516"/>
      <c r="AD249" s="516"/>
      <c r="AE249" s="516"/>
      <c r="AF249" s="516"/>
      <c r="AG249" s="516"/>
      <c r="AH249" s="516"/>
      <c r="AI249" s="516"/>
      <c r="AJ249" s="516"/>
      <c r="AK249" s="516"/>
      <c r="AL249" s="516"/>
      <c r="AM249" s="383"/>
      <c r="AO249">
        <f ca="1">IF($A249="S",IF(BM!$I249=0,0,CHOOSE(MATCH(RegimeExecucao,{"Global","Unitário"},0),ROUND(ROUND(BM.MEDAcumulado,15-13*BM!$A$9)/100*BM!$I249,15-13*ORÇAMENTO!$AF$11),ROUND(ROUND(BM.MEDAcumulado,15-13*BM!$A$9)*ROUND(BM!$H249,15-13*ORÇAMENTO!$AF$10),15-13*ORÇAMENTO!$AF$11))),IF($A249=0,0,ROUND(SomaAgrupBM,15-13*ORÇAMENTO!$AF$11)))</f>
        <v>0</v>
      </c>
    </row>
    <row r="250" spans="1:41" ht="38.25" x14ac:dyDescent="0.2">
      <c r="A250" t="str">
        <f ca="1">ORÇAMENTO!C250</f>
        <v>S</v>
      </c>
      <c r="B250">
        <f ca="1">ORÇAMENTO!D250</f>
        <v>0</v>
      </c>
      <c r="C250" s="116" t="str">
        <f t="shared" ca="1" si="22"/>
        <v/>
      </c>
      <c r="D250" s="119" t="str">
        <f ca="1">ORÇAMENTO!O250</f>
        <v>-</v>
      </c>
      <c r="E250" s="172" t="str">
        <f t="shared" ca="1" si="23"/>
        <v>(abra o arquivo 'Referência 06-2024.xlsm)</v>
      </c>
      <c r="F250" s="173" t="str">
        <f ca="1">IF(RegimeExecucao="Global","",ORÇAMENTO.Unidade)</f>
        <v/>
      </c>
      <c r="G250" s="124" t="str">
        <f ca="1">IF(RegimeExecucao="Global","",ORÇAMENTO!T250)</f>
        <v/>
      </c>
      <c r="H250" s="124" t="str">
        <f ca="1">IF(RegimeExecucao="Global","",ORÇAMENTO!W250)</f>
        <v/>
      </c>
      <c r="I250" s="127">
        <f ca="1">ORÇAMENTO!X250</f>
        <v>0</v>
      </c>
      <c r="J250" s="378">
        <f ca="1">IF($A250="S",IF(CAIXA.Modo,BM.AFAnterior,BM.MEDAnterior),IF(AND(RegimeExecucao="Global",$I250&gt;0,COUNTIF($AB$13:$AM$13,BM.medicao-1)&gt;0),M250/$I250*100,0))</f>
        <v>0</v>
      </c>
      <c r="K250" s="124">
        <f t="shared" ca="1" si="24"/>
        <v>0</v>
      </c>
      <c r="L250" s="379">
        <f ca="1">IF($A250="S",IF(CAIXA.Modo,BM.AFAcumulado,BM.MEDAcumulado),IF(AND(RegimeExecucao="Global",$I250&gt;0,COUNTIF($AB$13:$AM$13,BM.medicao)&gt;0),O250/$I250*100,0))</f>
        <v>0</v>
      </c>
      <c r="M250" s="380">
        <f ca="1">IF($A250="S",VTOTALBM,IF($A250=0,0,ROUND(SomaAgrupBM,15-13*ORÇAMENTO!$AF$11)))</f>
        <v>0</v>
      </c>
      <c r="N250" s="381">
        <f t="shared" ca="1" si="25"/>
        <v>0</v>
      </c>
      <c r="O250" s="127">
        <f ca="1">IF($A250="S",VTOTALBM,IF($A250=0,0,ROUND(SomaAgrupBM,15-13*ORÇAMENTO!$AF$11)))</f>
        <v>0</v>
      </c>
      <c r="Q250" s="382"/>
      <c r="R250" s="383"/>
      <c r="T250" s="119" t="str">
        <f t="shared" ca="1" si="26"/>
        <v/>
      </c>
      <c r="U250" s="172" t="str">
        <f t="shared" ca="1" si="27"/>
        <v/>
      </c>
      <c r="V250" s="173" t="str">
        <f ca="1">IF(AND($W250&gt;0,RegimeExecucao="Unitário"),$F250,"")</f>
        <v/>
      </c>
      <c r="W250" s="547">
        <f ca="1">IF($Y250&gt;0,CHOOSE(MATCH(RegimeExecucao,{"Unitário","Global"},0),IF($A250="S",$Y250/$X250,""),($Y250/$X250)*100),0)</f>
        <v>0</v>
      </c>
      <c r="X250" s="384" t="str">
        <f ca="1">IF($Y250&gt;0,CHOOSE(MATCH(RegimeExecucao,{"Unitário","Global"},0),IF($A250="S",ROUND($H250,ORÇAMENTO!$AF$10),""),ROUND($I250,ORÇAMENTO!$AF$11)),"")</f>
        <v/>
      </c>
      <c r="Y250" s="384">
        <f t="shared" ca="1" si="28"/>
        <v>0</v>
      </c>
      <c r="Z250" s="572"/>
      <c r="AB250" s="382"/>
      <c r="AC250" s="516"/>
      <c r="AD250" s="516"/>
      <c r="AE250" s="516"/>
      <c r="AF250" s="516"/>
      <c r="AG250" s="516"/>
      <c r="AH250" s="516"/>
      <c r="AI250" s="516"/>
      <c r="AJ250" s="516"/>
      <c r="AK250" s="516"/>
      <c r="AL250" s="516"/>
      <c r="AM250" s="383"/>
      <c r="AO250">
        <f ca="1">IF($A250="S",IF(BM!$I250=0,0,CHOOSE(MATCH(RegimeExecucao,{"Global","Unitário"},0),ROUND(ROUND(BM.MEDAcumulado,15-13*BM!$A$9)/100*BM!$I250,15-13*ORÇAMENTO!$AF$11),ROUND(ROUND(BM.MEDAcumulado,15-13*BM!$A$9)*ROUND(BM!$H250,15-13*ORÇAMENTO!$AF$10),15-13*ORÇAMENTO!$AF$11))),IF($A250=0,0,ROUND(SomaAgrupBM,15-13*ORÇAMENTO!$AF$11)))</f>
        <v>0</v>
      </c>
    </row>
    <row r="251" spans="1:41" ht="25.5" x14ac:dyDescent="0.2">
      <c r="A251" t="str">
        <f ca="1">ORÇAMENTO!C251</f>
        <v>S</v>
      </c>
      <c r="B251">
        <f ca="1">ORÇAMENTO!D251</f>
        <v>0</v>
      </c>
      <c r="C251" s="116" t="str">
        <f t="shared" ca="1" si="22"/>
        <v/>
      </c>
      <c r="D251" s="119" t="str">
        <f ca="1">ORÇAMENTO!O251</f>
        <v>-</v>
      </c>
      <c r="E251" s="172" t="str">
        <f t="shared" ca="1" si="23"/>
        <v>(abra o arquivo 'Referência 06-2024.xlsm)</v>
      </c>
      <c r="F251" s="173" t="str">
        <f ca="1">IF(RegimeExecucao="Global","",ORÇAMENTO.Unidade)</f>
        <v/>
      </c>
      <c r="G251" s="124" t="str">
        <f ca="1">IF(RegimeExecucao="Global","",ORÇAMENTO!T251)</f>
        <v/>
      </c>
      <c r="H251" s="124" t="str">
        <f ca="1">IF(RegimeExecucao="Global","",ORÇAMENTO!W251)</f>
        <v/>
      </c>
      <c r="I251" s="127">
        <f ca="1">ORÇAMENTO!X251</f>
        <v>0</v>
      </c>
      <c r="J251" s="378">
        <f ca="1">IF($A251="S",IF(CAIXA.Modo,BM.AFAnterior,BM.MEDAnterior),IF(AND(RegimeExecucao="Global",$I251&gt;0,COUNTIF($AB$13:$AM$13,BM.medicao-1)&gt;0),M251/$I251*100,0))</f>
        <v>0</v>
      </c>
      <c r="K251" s="124">
        <f t="shared" ca="1" si="24"/>
        <v>0</v>
      </c>
      <c r="L251" s="379">
        <f ca="1">IF($A251="S",IF(CAIXA.Modo,BM.AFAcumulado,BM.MEDAcumulado),IF(AND(RegimeExecucao="Global",$I251&gt;0,COUNTIF($AB$13:$AM$13,BM.medicao)&gt;0),O251/$I251*100,0))</f>
        <v>0</v>
      </c>
      <c r="M251" s="380">
        <f ca="1">IF($A251="S",VTOTALBM,IF($A251=0,0,ROUND(SomaAgrupBM,15-13*ORÇAMENTO!$AF$11)))</f>
        <v>0</v>
      </c>
      <c r="N251" s="381">
        <f t="shared" ca="1" si="25"/>
        <v>0</v>
      </c>
      <c r="O251" s="127">
        <f ca="1">IF($A251="S",VTOTALBM,IF($A251=0,0,ROUND(SomaAgrupBM,15-13*ORÇAMENTO!$AF$11)))</f>
        <v>0</v>
      </c>
      <c r="Q251" s="382"/>
      <c r="R251" s="383"/>
      <c r="T251" s="119" t="str">
        <f t="shared" ca="1" si="26"/>
        <v/>
      </c>
      <c r="U251" s="172" t="str">
        <f t="shared" ca="1" si="27"/>
        <v/>
      </c>
      <c r="V251" s="173" t="str">
        <f ca="1">IF(AND($W251&gt;0,RegimeExecucao="Unitário"),$F251,"")</f>
        <v/>
      </c>
      <c r="W251" s="547">
        <f ca="1">IF($Y251&gt;0,CHOOSE(MATCH(RegimeExecucao,{"Unitário","Global"},0),IF($A251="S",$Y251/$X251,""),($Y251/$X251)*100),0)</f>
        <v>0</v>
      </c>
      <c r="X251" s="384" t="str">
        <f ca="1">IF($Y251&gt;0,CHOOSE(MATCH(RegimeExecucao,{"Unitário","Global"},0),IF($A251="S",ROUND($H251,ORÇAMENTO!$AF$10),""),ROUND($I251,ORÇAMENTO!$AF$11)),"")</f>
        <v/>
      </c>
      <c r="Y251" s="384">
        <f t="shared" ca="1" si="28"/>
        <v>0</v>
      </c>
      <c r="Z251" s="572"/>
      <c r="AB251" s="382"/>
      <c r="AC251" s="516"/>
      <c r="AD251" s="516"/>
      <c r="AE251" s="516"/>
      <c r="AF251" s="516"/>
      <c r="AG251" s="516"/>
      <c r="AH251" s="516"/>
      <c r="AI251" s="516"/>
      <c r="AJ251" s="516"/>
      <c r="AK251" s="516"/>
      <c r="AL251" s="516"/>
      <c r="AM251" s="383"/>
      <c r="AO251">
        <f ca="1">IF($A251="S",IF(BM!$I251=0,0,CHOOSE(MATCH(RegimeExecucao,{"Global","Unitário"},0),ROUND(ROUND(BM.MEDAcumulado,15-13*BM!$A$9)/100*BM!$I251,15-13*ORÇAMENTO!$AF$11),ROUND(ROUND(BM.MEDAcumulado,15-13*BM!$A$9)*ROUND(BM!$H251,15-13*ORÇAMENTO!$AF$10),15-13*ORÇAMENTO!$AF$11))),IF($A251=0,0,ROUND(SomaAgrupBM,15-13*ORÇAMENTO!$AF$11)))</f>
        <v>0</v>
      </c>
    </row>
    <row r="252" spans="1:41" ht="25.5" x14ac:dyDescent="0.2">
      <c r="A252" t="str">
        <f ca="1">ORÇAMENTO!C252</f>
        <v>S</v>
      </c>
      <c r="B252">
        <f ca="1">ORÇAMENTO!D252</f>
        <v>0</v>
      </c>
      <c r="C252" s="116" t="str">
        <f t="shared" ca="1" si="22"/>
        <v/>
      </c>
      <c r="D252" s="119" t="str">
        <f ca="1">ORÇAMENTO!O252</f>
        <v>-</v>
      </c>
      <c r="E252" s="172" t="str">
        <f t="shared" ca="1" si="23"/>
        <v>(abra o arquivo 'Referência 06-2024.xlsm)</v>
      </c>
      <c r="F252" s="173" t="str">
        <f ca="1">IF(RegimeExecucao="Global","",ORÇAMENTO.Unidade)</f>
        <v/>
      </c>
      <c r="G252" s="124" t="str">
        <f ca="1">IF(RegimeExecucao="Global","",ORÇAMENTO!T252)</f>
        <v/>
      </c>
      <c r="H252" s="124" t="str">
        <f ca="1">IF(RegimeExecucao="Global","",ORÇAMENTO!W252)</f>
        <v/>
      </c>
      <c r="I252" s="127">
        <f ca="1">ORÇAMENTO!X252</f>
        <v>0</v>
      </c>
      <c r="J252" s="378">
        <f ca="1">IF($A252="S",IF(CAIXA.Modo,BM.AFAnterior,BM.MEDAnterior),IF(AND(RegimeExecucao="Global",$I252&gt;0,COUNTIF($AB$13:$AM$13,BM.medicao-1)&gt;0),M252/$I252*100,0))</f>
        <v>0</v>
      </c>
      <c r="K252" s="124">
        <f t="shared" ca="1" si="24"/>
        <v>0</v>
      </c>
      <c r="L252" s="379">
        <f ca="1">IF($A252="S",IF(CAIXA.Modo,BM.AFAcumulado,BM.MEDAcumulado),IF(AND(RegimeExecucao="Global",$I252&gt;0,COUNTIF($AB$13:$AM$13,BM.medicao)&gt;0),O252/$I252*100,0))</f>
        <v>0</v>
      </c>
      <c r="M252" s="380">
        <f ca="1">IF($A252="S",VTOTALBM,IF($A252=0,0,ROUND(SomaAgrupBM,15-13*ORÇAMENTO!$AF$11)))</f>
        <v>0</v>
      </c>
      <c r="N252" s="381">
        <f t="shared" ca="1" si="25"/>
        <v>0</v>
      </c>
      <c r="O252" s="127">
        <f ca="1">IF($A252="S",VTOTALBM,IF($A252=0,0,ROUND(SomaAgrupBM,15-13*ORÇAMENTO!$AF$11)))</f>
        <v>0</v>
      </c>
      <c r="Q252" s="382"/>
      <c r="R252" s="383"/>
      <c r="T252" s="119" t="str">
        <f t="shared" ca="1" si="26"/>
        <v/>
      </c>
      <c r="U252" s="172" t="str">
        <f t="shared" ca="1" si="27"/>
        <v/>
      </c>
      <c r="V252" s="173" t="str">
        <f ca="1">IF(AND($W252&gt;0,RegimeExecucao="Unitário"),$F252,"")</f>
        <v/>
      </c>
      <c r="W252" s="547">
        <f ca="1">IF($Y252&gt;0,CHOOSE(MATCH(RegimeExecucao,{"Unitário","Global"},0),IF($A252="S",$Y252/$X252,""),($Y252/$X252)*100),0)</f>
        <v>0</v>
      </c>
      <c r="X252" s="384" t="str">
        <f ca="1">IF($Y252&gt;0,CHOOSE(MATCH(RegimeExecucao,{"Unitário","Global"},0),IF($A252="S",ROUND($H252,ORÇAMENTO!$AF$10),""),ROUND($I252,ORÇAMENTO!$AF$11)),"")</f>
        <v/>
      </c>
      <c r="Y252" s="384">
        <f t="shared" ca="1" si="28"/>
        <v>0</v>
      </c>
      <c r="Z252" s="572"/>
      <c r="AB252" s="382"/>
      <c r="AC252" s="516"/>
      <c r="AD252" s="516"/>
      <c r="AE252" s="516"/>
      <c r="AF252" s="516"/>
      <c r="AG252" s="516"/>
      <c r="AH252" s="516"/>
      <c r="AI252" s="516"/>
      <c r="AJ252" s="516"/>
      <c r="AK252" s="516"/>
      <c r="AL252" s="516"/>
      <c r="AM252" s="383"/>
      <c r="AO252">
        <f ca="1">IF($A252="S",IF(BM!$I252=0,0,CHOOSE(MATCH(RegimeExecucao,{"Global","Unitário"},0),ROUND(ROUND(BM.MEDAcumulado,15-13*BM!$A$9)/100*BM!$I252,15-13*ORÇAMENTO!$AF$11),ROUND(ROUND(BM.MEDAcumulado,15-13*BM!$A$9)*ROUND(BM!$H252,15-13*ORÇAMENTO!$AF$10),15-13*ORÇAMENTO!$AF$11))),IF($A252=0,0,ROUND(SomaAgrupBM,15-13*ORÇAMENTO!$AF$11)))</f>
        <v>0</v>
      </c>
    </row>
    <row r="253" spans="1:41" ht="51" x14ac:dyDescent="0.2">
      <c r="A253" t="str">
        <f ca="1">ORÇAMENTO!C253</f>
        <v>S</v>
      </c>
      <c r="B253">
        <f ca="1">ORÇAMENTO!D253</f>
        <v>0</v>
      </c>
      <c r="C253" s="116" t="str">
        <f t="shared" ca="1" si="22"/>
        <v/>
      </c>
      <c r="D253" s="119" t="str">
        <f ca="1">ORÇAMENTO!O253</f>
        <v>-</v>
      </c>
      <c r="E253" s="172" t="str">
        <f t="shared" ca="1" si="23"/>
        <v>(abra o arquivo 'Referência 06-2024.xlsm)</v>
      </c>
      <c r="F253" s="173" t="str">
        <f ca="1">IF(RegimeExecucao="Global","",ORÇAMENTO.Unidade)</f>
        <v/>
      </c>
      <c r="G253" s="124" t="str">
        <f ca="1">IF(RegimeExecucao="Global","",ORÇAMENTO!T253)</f>
        <v/>
      </c>
      <c r="H253" s="124" t="str">
        <f ca="1">IF(RegimeExecucao="Global","",ORÇAMENTO!W253)</f>
        <v/>
      </c>
      <c r="I253" s="127">
        <f ca="1">ORÇAMENTO!X253</f>
        <v>0</v>
      </c>
      <c r="J253" s="378">
        <f ca="1">IF($A253="S",IF(CAIXA.Modo,BM.AFAnterior,BM.MEDAnterior),IF(AND(RegimeExecucao="Global",$I253&gt;0,COUNTIF($AB$13:$AM$13,BM.medicao-1)&gt;0),M253/$I253*100,0))</f>
        <v>0</v>
      </c>
      <c r="K253" s="124">
        <f t="shared" ca="1" si="24"/>
        <v>0</v>
      </c>
      <c r="L253" s="379">
        <f ca="1">IF($A253="S",IF(CAIXA.Modo,BM.AFAcumulado,BM.MEDAcumulado),IF(AND(RegimeExecucao="Global",$I253&gt;0,COUNTIF($AB$13:$AM$13,BM.medicao)&gt;0),O253/$I253*100,0))</f>
        <v>0</v>
      </c>
      <c r="M253" s="380">
        <f ca="1">IF($A253="S",VTOTALBM,IF($A253=0,0,ROUND(SomaAgrupBM,15-13*ORÇAMENTO!$AF$11)))</f>
        <v>0</v>
      </c>
      <c r="N253" s="381">
        <f t="shared" ca="1" si="25"/>
        <v>0</v>
      </c>
      <c r="O253" s="127">
        <f ca="1">IF($A253="S",VTOTALBM,IF($A253=0,0,ROUND(SomaAgrupBM,15-13*ORÇAMENTO!$AF$11)))</f>
        <v>0</v>
      </c>
      <c r="Q253" s="382"/>
      <c r="R253" s="383"/>
      <c r="T253" s="119" t="str">
        <f t="shared" ca="1" si="26"/>
        <v/>
      </c>
      <c r="U253" s="172" t="str">
        <f t="shared" ca="1" si="27"/>
        <v/>
      </c>
      <c r="V253" s="173" t="str">
        <f ca="1">IF(AND($W253&gt;0,RegimeExecucao="Unitário"),$F253,"")</f>
        <v/>
      </c>
      <c r="W253" s="547">
        <f ca="1">IF($Y253&gt;0,CHOOSE(MATCH(RegimeExecucao,{"Unitário","Global"},0),IF($A253="S",$Y253/$X253,""),($Y253/$X253)*100),0)</f>
        <v>0</v>
      </c>
      <c r="X253" s="384" t="str">
        <f ca="1">IF($Y253&gt;0,CHOOSE(MATCH(RegimeExecucao,{"Unitário","Global"},0),IF($A253="S",ROUND($H253,ORÇAMENTO!$AF$10),""),ROUND($I253,ORÇAMENTO!$AF$11)),"")</f>
        <v/>
      </c>
      <c r="Y253" s="384">
        <f t="shared" ca="1" si="28"/>
        <v>0</v>
      </c>
      <c r="Z253" s="572"/>
      <c r="AB253" s="382"/>
      <c r="AC253" s="516"/>
      <c r="AD253" s="516"/>
      <c r="AE253" s="516"/>
      <c r="AF253" s="516"/>
      <c r="AG253" s="516"/>
      <c r="AH253" s="516"/>
      <c r="AI253" s="516"/>
      <c r="AJ253" s="516"/>
      <c r="AK253" s="516"/>
      <c r="AL253" s="516"/>
      <c r="AM253" s="383"/>
      <c r="AO253">
        <f ca="1">IF($A253="S",IF(BM!$I253=0,0,CHOOSE(MATCH(RegimeExecucao,{"Global","Unitário"},0),ROUND(ROUND(BM.MEDAcumulado,15-13*BM!$A$9)/100*BM!$I253,15-13*ORÇAMENTO!$AF$11),ROUND(ROUND(BM.MEDAcumulado,15-13*BM!$A$9)*ROUND(BM!$H253,15-13*ORÇAMENTO!$AF$10),15-13*ORÇAMENTO!$AF$11))),IF($A253=0,0,ROUND(SomaAgrupBM,15-13*ORÇAMENTO!$AF$11)))</f>
        <v>0</v>
      </c>
    </row>
    <row r="254" spans="1:41" ht="38.25" x14ac:dyDescent="0.2">
      <c r="A254" t="str">
        <f ca="1">ORÇAMENTO!C254</f>
        <v>S</v>
      </c>
      <c r="B254">
        <f ca="1">ORÇAMENTO!D254</f>
        <v>0</v>
      </c>
      <c r="C254" s="116" t="str">
        <f t="shared" ca="1" si="22"/>
        <v/>
      </c>
      <c r="D254" s="119" t="str">
        <f ca="1">ORÇAMENTO!O254</f>
        <v>-</v>
      </c>
      <c r="E254" s="172" t="str">
        <f t="shared" ca="1" si="23"/>
        <v>(abra o arquivo 'Referência 06-2024.xlsm)</v>
      </c>
      <c r="F254" s="173" t="str">
        <f ca="1">IF(RegimeExecucao="Global","",ORÇAMENTO.Unidade)</f>
        <v/>
      </c>
      <c r="G254" s="124" t="str">
        <f ca="1">IF(RegimeExecucao="Global","",ORÇAMENTO!T254)</f>
        <v/>
      </c>
      <c r="H254" s="124" t="str">
        <f ca="1">IF(RegimeExecucao="Global","",ORÇAMENTO!W254)</f>
        <v/>
      </c>
      <c r="I254" s="127">
        <f ca="1">ORÇAMENTO!X254</f>
        <v>0</v>
      </c>
      <c r="J254" s="378">
        <f ca="1">IF($A254="S",IF(CAIXA.Modo,BM.AFAnterior,BM.MEDAnterior),IF(AND(RegimeExecucao="Global",$I254&gt;0,COUNTIF($AB$13:$AM$13,BM.medicao-1)&gt;0),M254/$I254*100,0))</f>
        <v>0</v>
      </c>
      <c r="K254" s="124">
        <f t="shared" ca="1" si="24"/>
        <v>0</v>
      </c>
      <c r="L254" s="379">
        <f ca="1">IF($A254="S",IF(CAIXA.Modo,BM.AFAcumulado,BM.MEDAcumulado),IF(AND(RegimeExecucao="Global",$I254&gt;0,COUNTIF($AB$13:$AM$13,BM.medicao)&gt;0),O254/$I254*100,0))</f>
        <v>0</v>
      </c>
      <c r="M254" s="380">
        <f ca="1">IF($A254="S",VTOTALBM,IF($A254=0,0,ROUND(SomaAgrupBM,15-13*ORÇAMENTO!$AF$11)))</f>
        <v>0</v>
      </c>
      <c r="N254" s="381">
        <f t="shared" ca="1" si="25"/>
        <v>0</v>
      </c>
      <c r="O254" s="127">
        <f ca="1">IF($A254="S",VTOTALBM,IF($A254=0,0,ROUND(SomaAgrupBM,15-13*ORÇAMENTO!$AF$11)))</f>
        <v>0</v>
      </c>
      <c r="Q254" s="382"/>
      <c r="R254" s="383"/>
      <c r="T254" s="119" t="str">
        <f t="shared" ca="1" si="26"/>
        <v/>
      </c>
      <c r="U254" s="172" t="str">
        <f t="shared" ca="1" si="27"/>
        <v/>
      </c>
      <c r="V254" s="173" t="str">
        <f ca="1">IF(AND($W254&gt;0,RegimeExecucao="Unitário"),$F254,"")</f>
        <v/>
      </c>
      <c r="W254" s="547">
        <f ca="1">IF($Y254&gt;0,CHOOSE(MATCH(RegimeExecucao,{"Unitário","Global"},0),IF($A254="S",$Y254/$X254,""),($Y254/$X254)*100),0)</f>
        <v>0</v>
      </c>
      <c r="X254" s="384" t="str">
        <f ca="1">IF($Y254&gt;0,CHOOSE(MATCH(RegimeExecucao,{"Unitário","Global"},0),IF($A254="S",ROUND($H254,ORÇAMENTO!$AF$10),""),ROUND($I254,ORÇAMENTO!$AF$11)),"")</f>
        <v/>
      </c>
      <c r="Y254" s="384">
        <f t="shared" ca="1" si="28"/>
        <v>0</v>
      </c>
      <c r="Z254" s="572"/>
      <c r="AB254" s="382"/>
      <c r="AC254" s="516"/>
      <c r="AD254" s="516"/>
      <c r="AE254" s="516"/>
      <c r="AF254" s="516"/>
      <c r="AG254" s="516"/>
      <c r="AH254" s="516"/>
      <c r="AI254" s="516"/>
      <c r="AJ254" s="516"/>
      <c r="AK254" s="516"/>
      <c r="AL254" s="516"/>
      <c r="AM254" s="383"/>
      <c r="AO254">
        <f ca="1">IF($A254="S",IF(BM!$I254=0,0,CHOOSE(MATCH(RegimeExecucao,{"Global","Unitário"},0),ROUND(ROUND(BM.MEDAcumulado,15-13*BM!$A$9)/100*BM!$I254,15-13*ORÇAMENTO!$AF$11),ROUND(ROUND(BM.MEDAcumulado,15-13*BM!$A$9)*ROUND(BM!$H254,15-13*ORÇAMENTO!$AF$10),15-13*ORÇAMENTO!$AF$11))),IF($A254=0,0,ROUND(SomaAgrupBM,15-13*ORÇAMENTO!$AF$11)))</f>
        <v>0</v>
      </c>
    </row>
    <row r="255" spans="1:41" ht="51" x14ac:dyDescent="0.2">
      <c r="A255" t="str">
        <f ca="1">ORÇAMENTO!C255</f>
        <v>S</v>
      </c>
      <c r="B255">
        <f ca="1">ORÇAMENTO!D255</f>
        <v>0</v>
      </c>
      <c r="C255" s="116" t="str">
        <f t="shared" ca="1" si="22"/>
        <v/>
      </c>
      <c r="D255" s="119" t="str">
        <f ca="1">ORÇAMENTO!O255</f>
        <v>-</v>
      </c>
      <c r="E255" s="172" t="str">
        <f t="shared" ca="1" si="23"/>
        <v>(abra o arquivo 'Referência 06-2024.xlsm)</v>
      </c>
      <c r="F255" s="173" t="str">
        <f ca="1">IF(RegimeExecucao="Global","",ORÇAMENTO.Unidade)</f>
        <v/>
      </c>
      <c r="G255" s="124" t="str">
        <f ca="1">IF(RegimeExecucao="Global","",ORÇAMENTO!T255)</f>
        <v/>
      </c>
      <c r="H255" s="124" t="str">
        <f ca="1">IF(RegimeExecucao="Global","",ORÇAMENTO!W255)</f>
        <v/>
      </c>
      <c r="I255" s="127">
        <f ca="1">ORÇAMENTO!X255</f>
        <v>0</v>
      </c>
      <c r="J255" s="378">
        <f ca="1">IF($A255="S",IF(CAIXA.Modo,BM.AFAnterior,BM.MEDAnterior),IF(AND(RegimeExecucao="Global",$I255&gt;0,COUNTIF($AB$13:$AM$13,BM.medicao-1)&gt;0),M255/$I255*100,0))</f>
        <v>0</v>
      </c>
      <c r="K255" s="124">
        <f t="shared" ca="1" si="24"/>
        <v>0</v>
      </c>
      <c r="L255" s="379">
        <f ca="1">IF($A255="S",IF(CAIXA.Modo,BM.AFAcumulado,BM.MEDAcumulado),IF(AND(RegimeExecucao="Global",$I255&gt;0,COUNTIF($AB$13:$AM$13,BM.medicao)&gt;0),O255/$I255*100,0))</f>
        <v>0</v>
      </c>
      <c r="M255" s="380">
        <f ca="1">IF($A255="S",VTOTALBM,IF($A255=0,0,ROUND(SomaAgrupBM,15-13*ORÇAMENTO!$AF$11)))</f>
        <v>0</v>
      </c>
      <c r="N255" s="381">
        <f t="shared" ca="1" si="25"/>
        <v>0</v>
      </c>
      <c r="O255" s="127">
        <f ca="1">IF($A255="S",VTOTALBM,IF($A255=0,0,ROUND(SomaAgrupBM,15-13*ORÇAMENTO!$AF$11)))</f>
        <v>0</v>
      </c>
      <c r="Q255" s="382"/>
      <c r="R255" s="383"/>
      <c r="T255" s="119" t="str">
        <f t="shared" ca="1" si="26"/>
        <v/>
      </c>
      <c r="U255" s="172" t="str">
        <f t="shared" ca="1" si="27"/>
        <v/>
      </c>
      <c r="V255" s="173" t="str">
        <f ca="1">IF(AND($W255&gt;0,RegimeExecucao="Unitário"),$F255,"")</f>
        <v/>
      </c>
      <c r="W255" s="547">
        <f ca="1">IF($Y255&gt;0,CHOOSE(MATCH(RegimeExecucao,{"Unitário","Global"},0),IF($A255="S",$Y255/$X255,""),($Y255/$X255)*100),0)</f>
        <v>0</v>
      </c>
      <c r="X255" s="384" t="str">
        <f ca="1">IF($Y255&gt;0,CHOOSE(MATCH(RegimeExecucao,{"Unitário","Global"},0),IF($A255="S",ROUND($H255,ORÇAMENTO!$AF$10),""),ROUND($I255,ORÇAMENTO!$AF$11)),"")</f>
        <v/>
      </c>
      <c r="Y255" s="384">
        <f t="shared" ca="1" si="28"/>
        <v>0</v>
      </c>
      <c r="Z255" s="572"/>
      <c r="AB255" s="382"/>
      <c r="AC255" s="516"/>
      <c r="AD255" s="516"/>
      <c r="AE255" s="516"/>
      <c r="AF255" s="516"/>
      <c r="AG255" s="516"/>
      <c r="AH255" s="516"/>
      <c r="AI255" s="516"/>
      <c r="AJ255" s="516"/>
      <c r="AK255" s="516"/>
      <c r="AL255" s="516"/>
      <c r="AM255" s="383"/>
      <c r="AO255">
        <f ca="1">IF($A255="S",IF(BM!$I255=0,0,CHOOSE(MATCH(RegimeExecucao,{"Global","Unitário"},0),ROUND(ROUND(BM.MEDAcumulado,15-13*BM!$A$9)/100*BM!$I255,15-13*ORÇAMENTO!$AF$11),ROUND(ROUND(BM.MEDAcumulado,15-13*BM!$A$9)*ROUND(BM!$H255,15-13*ORÇAMENTO!$AF$10),15-13*ORÇAMENTO!$AF$11))),IF($A255=0,0,ROUND(SomaAgrupBM,15-13*ORÇAMENTO!$AF$11)))</f>
        <v>0</v>
      </c>
    </row>
    <row r="256" spans="1:41" ht="38.25" x14ac:dyDescent="0.2">
      <c r="A256" t="str">
        <f ca="1">ORÇAMENTO!C256</f>
        <v>S</v>
      </c>
      <c r="B256">
        <f ca="1">ORÇAMENTO!D256</f>
        <v>0</v>
      </c>
      <c r="C256" s="116" t="str">
        <f t="shared" ca="1" si="22"/>
        <v/>
      </c>
      <c r="D256" s="119" t="str">
        <f ca="1">ORÇAMENTO!O256</f>
        <v>-</v>
      </c>
      <c r="E256" s="172" t="str">
        <f t="shared" ca="1" si="23"/>
        <v>(abra o arquivo 'Referência 06-2024.xlsm)</v>
      </c>
      <c r="F256" s="173" t="str">
        <f ca="1">IF(RegimeExecucao="Global","",ORÇAMENTO.Unidade)</f>
        <v/>
      </c>
      <c r="G256" s="124" t="str">
        <f ca="1">IF(RegimeExecucao="Global","",ORÇAMENTO!T256)</f>
        <v/>
      </c>
      <c r="H256" s="124" t="str">
        <f ca="1">IF(RegimeExecucao="Global","",ORÇAMENTO!W256)</f>
        <v/>
      </c>
      <c r="I256" s="127">
        <f ca="1">ORÇAMENTO!X256</f>
        <v>0</v>
      </c>
      <c r="J256" s="378">
        <f ca="1">IF($A256="S",IF(CAIXA.Modo,BM.AFAnterior,BM.MEDAnterior),IF(AND(RegimeExecucao="Global",$I256&gt;0,COUNTIF($AB$13:$AM$13,BM.medicao-1)&gt;0),M256/$I256*100,0))</f>
        <v>0</v>
      </c>
      <c r="K256" s="124">
        <f t="shared" ca="1" si="24"/>
        <v>0</v>
      </c>
      <c r="L256" s="379">
        <f ca="1">IF($A256="S",IF(CAIXA.Modo,BM.AFAcumulado,BM.MEDAcumulado),IF(AND(RegimeExecucao="Global",$I256&gt;0,COUNTIF($AB$13:$AM$13,BM.medicao)&gt;0),O256/$I256*100,0))</f>
        <v>0</v>
      </c>
      <c r="M256" s="380">
        <f ca="1">IF($A256="S",VTOTALBM,IF($A256=0,0,ROUND(SomaAgrupBM,15-13*ORÇAMENTO!$AF$11)))</f>
        <v>0</v>
      </c>
      <c r="N256" s="381">
        <f t="shared" ca="1" si="25"/>
        <v>0</v>
      </c>
      <c r="O256" s="127">
        <f ca="1">IF($A256="S",VTOTALBM,IF($A256=0,0,ROUND(SomaAgrupBM,15-13*ORÇAMENTO!$AF$11)))</f>
        <v>0</v>
      </c>
      <c r="Q256" s="382"/>
      <c r="R256" s="383"/>
      <c r="T256" s="119" t="str">
        <f t="shared" ca="1" si="26"/>
        <v/>
      </c>
      <c r="U256" s="172" t="str">
        <f t="shared" ca="1" si="27"/>
        <v/>
      </c>
      <c r="V256" s="173" t="str">
        <f ca="1">IF(AND($W256&gt;0,RegimeExecucao="Unitário"),$F256,"")</f>
        <v/>
      </c>
      <c r="W256" s="547">
        <f ca="1">IF($Y256&gt;0,CHOOSE(MATCH(RegimeExecucao,{"Unitário","Global"},0),IF($A256="S",$Y256/$X256,""),($Y256/$X256)*100),0)</f>
        <v>0</v>
      </c>
      <c r="X256" s="384" t="str">
        <f ca="1">IF($Y256&gt;0,CHOOSE(MATCH(RegimeExecucao,{"Unitário","Global"},0),IF($A256="S",ROUND($H256,ORÇAMENTO!$AF$10),""),ROUND($I256,ORÇAMENTO!$AF$11)),"")</f>
        <v/>
      </c>
      <c r="Y256" s="384">
        <f t="shared" ca="1" si="28"/>
        <v>0</v>
      </c>
      <c r="Z256" s="572"/>
      <c r="AB256" s="382"/>
      <c r="AC256" s="516"/>
      <c r="AD256" s="516"/>
      <c r="AE256" s="516"/>
      <c r="AF256" s="516"/>
      <c r="AG256" s="516"/>
      <c r="AH256" s="516"/>
      <c r="AI256" s="516"/>
      <c r="AJ256" s="516"/>
      <c r="AK256" s="516"/>
      <c r="AL256" s="516"/>
      <c r="AM256" s="383"/>
      <c r="AO256">
        <f ca="1">IF($A256="S",IF(BM!$I256=0,0,CHOOSE(MATCH(RegimeExecucao,{"Global","Unitário"},0),ROUND(ROUND(BM.MEDAcumulado,15-13*BM!$A$9)/100*BM!$I256,15-13*ORÇAMENTO!$AF$11),ROUND(ROUND(BM.MEDAcumulado,15-13*BM!$A$9)*ROUND(BM!$H256,15-13*ORÇAMENTO!$AF$10),15-13*ORÇAMENTO!$AF$11))),IF($A256=0,0,ROUND(SomaAgrupBM,15-13*ORÇAMENTO!$AF$11)))</f>
        <v>0</v>
      </c>
    </row>
    <row r="257" spans="1:41" ht="38.25" x14ac:dyDescent="0.2">
      <c r="A257" t="str">
        <f ca="1">ORÇAMENTO!C257</f>
        <v>S</v>
      </c>
      <c r="B257">
        <f ca="1">ORÇAMENTO!D257</f>
        <v>0</v>
      </c>
      <c r="C257" s="116" t="str">
        <f t="shared" ca="1" si="22"/>
        <v/>
      </c>
      <c r="D257" s="119" t="str">
        <f ca="1">ORÇAMENTO!O257</f>
        <v>-</v>
      </c>
      <c r="E257" s="172" t="str">
        <f t="shared" ca="1" si="23"/>
        <v>(abra o arquivo 'Referência 06-2024.xlsm)</v>
      </c>
      <c r="F257" s="173" t="str">
        <f ca="1">IF(RegimeExecucao="Global","",ORÇAMENTO.Unidade)</f>
        <v/>
      </c>
      <c r="G257" s="124" t="str">
        <f ca="1">IF(RegimeExecucao="Global","",ORÇAMENTO!T257)</f>
        <v/>
      </c>
      <c r="H257" s="124" t="str">
        <f ca="1">IF(RegimeExecucao="Global","",ORÇAMENTO!W257)</f>
        <v/>
      </c>
      <c r="I257" s="127">
        <f ca="1">ORÇAMENTO!X257</f>
        <v>0</v>
      </c>
      <c r="J257" s="378">
        <f ca="1">IF($A257="S",IF(CAIXA.Modo,BM.AFAnterior,BM.MEDAnterior),IF(AND(RegimeExecucao="Global",$I257&gt;0,COUNTIF($AB$13:$AM$13,BM.medicao-1)&gt;0),M257/$I257*100,0))</f>
        <v>0</v>
      </c>
      <c r="K257" s="124">
        <f t="shared" ca="1" si="24"/>
        <v>0</v>
      </c>
      <c r="L257" s="379">
        <f ca="1">IF($A257="S",IF(CAIXA.Modo,BM.AFAcumulado,BM.MEDAcumulado),IF(AND(RegimeExecucao="Global",$I257&gt;0,COUNTIF($AB$13:$AM$13,BM.medicao)&gt;0),O257/$I257*100,0))</f>
        <v>0</v>
      </c>
      <c r="M257" s="380">
        <f ca="1">IF($A257="S",VTOTALBM,IF($A257=0,0,ROUND(SomaAgrupBM,15-13*ORÇAMENTO!$AF$11)))</f>
        <v>0</v>
      </c>
      <c r="N257" s="381">
        <f t="shared" ca="1" si="25"/>
        <v>0</v>
      </c>
      <c r="O257" s="127">
        <f ca="1">IF($A257="S",VTOTALBM,IF($A257=0,0,ROUND(SomaAgrupBM,15-13*ORÇAMENTO!$AF$11)))</f>
        <v>0</v>
      </c>
      <c r="Q257" s="382"/>
      <c r="R257" s="383"/>
      <c r="T257" s="119" t="str">
        <f t="shared" ca="1" si="26"/>
        <v/>
      </c>
      <c r="U257" s="172" t="str">
        <f t="shared" ca="1" si="27"/>
        <v/>
      </c>
      <c r="V257" s="173" t="str">
        <f ca="1">IF(AND($W257&gt;0,RegimeExecucao="Unitário"),$F257,"")</f>
        <v/>
      </c>
      <c r="W257" s="547">
        <f ca="1">IF($Y257&gt;0,CHOOSE(MATCH(RegimeExecucao,{"Unitário","Global"},0),IF($A257="S",$Y257/$X257,""),($Y257/$X257)*100),0)</f>
        <v>0</v>
      </c>
      <c r="X257" s="384" t="str">
        <f ca="1">IF($Y257&gt;0,CHOOSE(MATCH(RegimeExecucao,{"Unitário","Global"},0),IF($A257="S",ROUND($H257,ORÇAMENTO!$AF$10),""),ROUND($I257,ORÇAMENTO!$AF$11)),"")</f>
        <v/>
      </c>
      <c r="Y257" s="384">
        <f t="shared" ca="1" si="28"/>
        <v>0</v>
      </c>
      <c r="Z257" s="572"/>
      <c r="AB257" s="382"/>
      <c r="AC257" s="516"/>
      <c r="AD257" s="516"/>
      <c r="AE257" s="516"/>
      <c r="AF257" s="516"/>
      <c r="AG257" s="516"/>
      <c r="AH257" s="516"/>
      <c r="AI257" s="516"/>
      <c r="AJ257" s="516"/>
      <c r="AK257" s="516"/>
      <c r="AL257" s="516"/>
      <c r="AM257" s="383"/>
      <c r="AO257">
        <f ca="1">IF($A257="S",IF(BM!$I257=0,0,CHOOSE(MATCH(RegimeExecucao,{"Global","Unitário"},0),ROUND(ROUND(BM.MEDAcumulado,15-13*BM!$A$9)/100*BM!$I257,15-13*ORÇAMENTO!$AF$11),ROUND(ROUND(BM.MEDAcumulado,15-13*BM!$A$9)*ROUND(BM!$H257,15-13*ORÇAMENTO!$AF$10),15-13*ORÇAMENTO!$AF$11))),IF($A257=0,0,ROUND(SomaAgrupBM,15-13*ORÇAMENTO!$AF$11)))</f>
        <v>0</v>
      </c>
    </row>
    <row r="258" spans="1:41" ht="38.25" x14ac:dyDescent="0.2">
      <c r="A258" t="str">
        <f ca="1">ORÇAMENTO!C258</f>
        <v>S</v>
      </c>
      <c r="B258">
        <f ca="1">ORÇAMENTO!D258</f>
        <v>0</v>
      </c>
      <c r="C258" s="116" t="str">
        <f t="shared" ca="1" si="22"/>
        <v/>
      </c>
      <c r="D258" s="119" t="str">
        <f ca="1">ORÇAMENTO!O258</f>
        <v>-</v>
      </c>
      <c r="E258" s="172" t="str">
        <f t="shared" ca="1" si="23"/>
        <v>(abra o arquivo 'Referência 06-2024.xlsm)</v>
      </c>
      <c r="F258" s="173" t="str">
        <f ca="1">IF(RegimeExecucao="Global","",ORÇAMENTO.Unidade)</f>
        <v/>
      </c>
      <c r="G258" s="124" t="str">
        <f ca="1">IF(RegimeExecucao="Global","",ORÇAMENTO!T258)</f>
        <v/>
      </c>
      <c r="H258" s="124" t="str">
        <f ca="1">IF(RegimeExecucao="Global","",ORÇAMENTO!W258)</f>
        <v/>
      </c>
      <c r="I258" s="127">
        <f ca="1">ORÇAMENTO!X258</f>
        <v>0</v>
      </c>
      <c r="J258" s="378">
        <f ca="1">IF($A258="S",IF(CAIXA.Modo,BM.AFAnterior,BM.MEDAnterior),IF(AND(RegimeExecucao="Global",$I258&gt;0,COUNTIF($AB$13:$AM$13,BM.medicao-1)&gt;0),M258/$I258*100,0))</f>
        <v>0</v>
      </c>
      <c r="K258" s="124">
        <f t="shared" ca="1" si="24"/>
        <v>0</v>
      </c>
      <c r="L258" s="379">
        <f ca="1">IF($A258="S",IF(CAIXA.Modo,BM.AFAcumulado,BM.MEDAcumulado),IF(AND(RegimeExecucao="Global",$I258&gt;0,COUNTIF($AB$13:$AM$13,BM.medicao)&gt;0),O258/$I258*100,0))</f>
        <v>0</v>
      </c>
      <c r="M258" s="380">
        <f ca="1">IF($A258="S",VTOTALBM,IF($A258=0,0,ROUND(SomaAgrupBM,15-13*ORÇAMENTO!$AF$11)))</f>
        <v>0</v>
      </c>
      <c r="N258" s="381">
        <f t="shared" ca="1" si="25"/>
        <v>0</v>
      </c>
      <c r="O258" s="127">
        <f ca="1">IF($A258="S",VTOTALBM,IF($A258=0,0,ROUND(SomaAgrupBM,15-13*ORÇAMENTO!$AF$11)))</f>
        <v>0</v>
      </c>
      <c r="Q258" s="382"/>
      <c r="R258" s="383"/>
      <c r="T258" s="119" t="str">
        <f t="shared" ca="1" si="26"/>
        <v/>
      </c>
      <c r="U258" s="172" t="str">
        <f t="shared" ca="1" si="27"/>
        <v/>
      </c>
      <c r="V258" s="173" t="str">
        <f ca="1">IF(AND($W258&gt;0,RegimeExecucao="Unitário"),$F258,"")</f>
        <v/>
      </c>
      <c r="W258" s="547">
        <f ca="1">IF($Y258&gt;0,CHOOSE(MATCH(RegimeExecucao,{"Unitário","Global"},0),IF($A258="S",$Y258/$X258,""),($Y258/$X258)*100),0)</f>
        <v>0</v>
      </c>
      <c r="X258" s="384" t="str">
        <f ca="1">IF($Y258&gt;0,CHOOSE(MATCH(RegimeExecucao,{"Unitário","Global"},0),IF($A258="S",ROUND($H258,ORÇAMENTO!$AF$10),""),ROUND($I258,ORÇAMENTO!$AF$11)),"")</f>
        <v/>
      </c>
      <c r="Y258" s="384">
        <f t="shared" ca="1" si="28"/>
        <v>0</v>
      </c>
      <c r="Z258" s="572"/>
      <c r="AB258" s="382"/>
      <c r="AC258" s="516"/>
      <c r="AD258" s="516"/>
      <c r="AE258" s="516"/>
      <c r="AF258" s="516"/>
      <c r="AG258" s="516"/>
      <c r="AH258" s="516"/>
      <c r="AI258" s="516"/>
      <c r="AJ258" s="516"/>
      <c r="AK258" s="516"/>
      <c r="AL258" s="516"/>
      <c r="AM258" s="383"/>
      <c r="AO258">
        <f ca="1">IF($A258="S",IF(BM!$I258=0,0,CHOOSE(MATCH(RegimeExecucao,{"Global","Unitário"},0),ROUND(ROUND(BM.MEDAcumulado,15-13*BM!$A$9)/100*BM!$I258,15-13*ORÇAMENTO!$AF$11),ROUND(ROUND(BM.MEDAcumulado,15-13*BM!$A$9)*ROUND(BM!$H258,15-13*ORÇAMENTO!$AF$10),15-13*ORÇAMENTO!$AF$11))),IF($A258=0,0,ROUND(SomaAgrupBM,15-13*ORÇAMENTO!$AF$11)))</f>
        <v>0</v>
      </c>
    </row>
    <row r="259" spans="1:41" ht="38.25" x14ac:dyDescent="0.2">
      <c r="A259" t="str">
        <f ca="1">ORÇAMENTO!C259</f>
        <v>S</v>
      </c>
      <c r="B259">
        <f ca="1">ORÇAMENTO!D259</f>
        <v>0</v>
      </c>
      <c r="C259" s="116" t="str">
        <f t="shared" ca="1" si="22"/>
        <v/>
      </c>
      <c r="D259" s="119" t="str">
        <f ca="1">ORÇAMENTO!O259</f>
        <v>-</v>
      </c>
      <c r="E259" s="172" t="str">
        <f t="shared" ca="1" si="23"/>
        <v>(abra o arquivo 'Referência 06-2024.xlsm)</v>
      </c>
      <c r="F259" s="173" t="str">
        <f ca="1">IF(RegimeExecucao="Global","",ORÇAMENTO.Unidade)</f>
        <v/>
      </c>
      <c r="G259" s="124" t="str">
        <f ca="1">IF(RegimeExecucao="Global","",ORÇAMENTO!T259)</f>
        <v/>
      </c>
      <c r="H259" s="124" t="str">
        <f ca="1">IF(RegimeExecucao="Global","",ORÇAMENTO!W259)</f>
        <v/>
      </c>
      <c r="I259" s="127">
        <f ca="1">ORÇAMENTO!X259</f>
        <v>0</v>
      </c>
      <c r="J259" s="378">
        <f ca="1">IF($A259="S",IF(CAIXA.Modo,BM.AFAnterior,BM.MEDAnterior),IF(AND(RegimeExecucao="Global",$I259&gt;0,COUNTIF($AB$13:$AM$13,BM.medicao-1)&gt;0),M259/$I259*100,0))</f>
        <v>0</v>
      </c>
      <c r="K259" s="124">
        <f t="shared" ca="1" si="24"/>
        <v>0</v>
      </c>
      <c r="L259" s="379">
        <f ca="1">IF($A259="S",IF(CAIXA.Modo,BM.AFAcumulado,BM.MEDAcumulado),IF(AND(RegimeExecucao="Global",$I259&gt;0,COUNTIF($AB$13:$AM$13,BM.medicao)&gt;0),O259/$I259*100,0))</f>
        <v>0</v>
      </c>
      <c r="M259" s="380">
        <f ca="1">IF($A259="S",VTOTALBM,IF($A259=0,0,ROUND(SomaAgrupBM,15-13*ORÇAMENTO!$AF$11)))</f>
        <v>0</v>
      </c>
      <c r="N259" s="381">
        <f t="shared" ca="1" si="25"/>
        <v>0</v>
      </c>
      <c r="O259" s="127">
        <f ca="1">IF($A259="S",VTOTALBM,IF($A259=0,0,ROUND(SomaAgrupBM,15-13*ORÇAMENTO!$AF$11)))</f>
        <v>0</v>
      </c>
      <c r="Q259" s="382"/>
      <c r="R259" s="383"/>
      <c r="T259" s="119" t="str">
        <f t="shared" ca="1" si="26"/>
        <v/>
      </c>
      <c r="U259" s="172" t="str">
        <f t="shared" ca="1" si="27"/>
        <v/>
      </c>
      <c r="V259" s="173" t="str">
        <f ca="1">IF(AND($W259&gt;0,RegimeExecucao="Unitário"),$F259,"")</f>
        <v/>
      </c>
      <c r="W259" s="547">
        <f ca="1">IF($Y259&gt;0,CHOOSE(MATCH(RegimeExecucao,{"Unitário","Global"},0),IF($A259="S",$Y259/$X259,""),($Y259/$X259)*100),0)</f>
        <v>0</v>
      </c>
      <c r="X259" s="384" t="str">
        <f ca="1">IF($Y259&gt;0,CHOOSE(MATCH(RegimeExecucao,{"Unitário","Global"},0),IF($A259="S",ROUND($H259,ORÇAMENTO!$AF$10),""),ROUND($I259,ORÇAMENTO!$AF$11)),"")</f>
        <v/>
      </c>
      <c r="Y259" s="384">
        <f t="shared" ca="1" si="28"/>
        <v>0</v>
      </c>
      <c r="Z259" s="572"/>
      <c r="AB259" s="382"/>
      <c r="AC259" s="516"/>
      <c r="AD259" s="516"/>
      <c r="AE259" s="516"/>
      <c r="AF259" s="516"/>
      <c r="AG259" s="516"/>
      <c r="AH259" s="516"/>
      <c r="AI259" s="516"/>
      <c r="AJ259" s="516"/>
      <c r="AK259" s="516"/>
      <c r="AL259" s="516"/>
      <c r="AM259" s="383"/>
      <c r="AO259">
        <f ca="1">IF($A259="S",IF(BM!$I259=0,0,CHOOSE(MATCH(RegimeExecucao,{"Global","Unitário"},0),ROUND(ROUND(BM.MEDAcumulado,15-13*BM!$A$9)/100*BM!$I259,15-13*ORÇAMENTO!$AF$11),ROUND(ROUND(BM.MEDAcumulado,15-13*BM!$A$9)*ROUND(BM!$H259,15-13*ORÇAMENTO!$AF$10),15-13*ORÇAMENTO!$AF$11))),IF($A259=0,0,ROUND(SomaAgrupBM,15-13*ORÇAMENTO!$AF$11)))</f>
        <v>0</v>
      </c>
    </row>
    <row r="260" spans="1:41" ht="38.25" x14ac:dyDescent="0.2">
      <c r="A260" t="str">
        <f ca="1">ORÇAMENTO!C260</f>
        <v>S</v>
      </c>
      <c r="B260">
        <f ca="1">ORÇAMENTO!D260</f>
        <v>0</v>
      </c>
      <c r="C260" s="116" t="str">
        <f t="shared" ca="1" si="22"/>
        <v/>
      </c>
      <c r="D260" s="119" t="str">
        <f ca="1">ORÇAMENTO!O260</f>
        <v>-</v>
      </c>
      <c r="E260" s="172" t="str">
        <f t="shared" ca="1" si="23"/>
        <v>(abra o arquivo 'Referência 06-2024.xlsm)</v>
      </c>
      <c r="F260" s="173" t="str">
        <f ca="1">IF(RegimeExecucao="Global","",ORÇAMENTO.Unidade)</f>
        <v/>
      </c>
      <c r="G260" s="124" t="str">
        <f ca="1">IF(RegimeExecucao="Global","",ORÇAMENTO!T260)</f>
        <v/>
      </c>
      <c r="H260" s="124" t="str">
        <f ca="1">IF(RegimeExecucao="Global","",ORÇAMENTO!W260)</f>
        <v/>
      </c>
      <c r="I260" s="127">
        <f ca="1">ORÇAMENTO!X260</f>
        <v>0</v>
      </c>
      <c r="J260" s="378">
        <f ca="1">IF($A260="S",IF(CAIXA.Modo,BM.AFAnterior,BM.MEDAnterior),IF(AND(RegimeExecucao="Global",$I260&gt;0,COUNTIF($AB$13:$AM$13,BM.medicao-1)&gt;0),M260/$I260*100,0))</f>
        <v>0</v>
      </c>
      <c r="K260" s="124">
        <f t="shared" ca="1" si="24"/>
        <v>0</v>
      </c>
      <c r="L260" s="379">
        <f ca="1">IF($A260="S",IF(CAIXA.Modo,BM.AFAcumulado,BM.MEDAcumulado),IF(AND(RegimeExecucao="Global",$I260&gt;0,COUNTIF($AB$13:$AM$13,BM.medicao)&gt;0),O260/$I260*100,0))</f>
        <v>0</v>
      </c>
      <c r="M260" s="380">
        <f ca="1">IF($A260="S",VTOTALBM,IF($A260=0,0,ROUND(SomaAgrupBM,15-13*ORÇAMENTO!$AF$11)))</f>
        <v>0</v>
      </c>
      <c r="N260" s="381">
        <f t="shared" ca="1" si="25"/>
        <v>0</v>
      </c>
      <c r="O260" s="127">
        <f ca="1">IF($A260="S",VTOTALBM,IF($A260=0,0,ROUND(SomaAgrupBM,15-13*ORÇAMENTO!$AF$11)))</f>
        <v>0</v>
      </c>
      <c r="Q260" s="382"/>
      <c r="R260" s="383"/>
      <c r="T260" s="119" t="str">
        <f t="shared" ca="1" si="26"/>
        <v/>
      </c>
      <c r="U260" s="172" t="str">
        <f t="shared" ca="1" si="27"/>
        <v/>
      </c>
      <c r="V260" s="173" t="str">
        <f ca="1">IF(AND($W260&gt;0,RegimeExecucao="Unitário"),$F260,"")</f>
        <v/>
      </c>
      <c r="W260" s="547">
        <f ca="1">IF($Y260&gt;0,CHOOSE(MATCH(RegimeExecucao,{"Unitário","Global"},0),IF($A260="S",$Y260/$X260,""),($Y260/$X260)*100),0)</f>
        <v>0</v>
      </c>
      <c r="X260" s="384" t="str">
        <f ca="1">IF($Y260&gt;0,CHOOSE(MATCH(RegimeExecucao,{"Unitário","Global"},0),IF($A260="S",ROUND($H260,ORÇAMENTO!$AF$10),""),ROUND($I260,ORÇAMENTO!$AF$11)),"")</f>
        <v/>
      </c>
      <c r="Y260" s="384">
        <f t="shared" ca="1" si="28"/>
        <v>0</v>
      </c>
      <c r="Z260" s="572"/>
      <c r="AB260" s="382"/>
      <c r="AC260" s="516"/>
      <c r="AD260" s="516"/>
      <c r="AE260" s="516"/>
      <c r="AF260" s="516"/>
      <c r="AG260" s="516"/>
      <c r="AH260" s="516"/>
      <c r="AI260" s="516"/>
      <c r="AJ260" s="516"/>
      <c r="AK260" s="516"/>
      <c r="AL260" s="516"/>
      <c r="AM260" s="383"/>
      <c r="AO260">
        <f ca="1">IF($A260="S",IF(BM!$I260=0,0,CHOOSE(MATCH(RegimeExecucao,{"Global","Unitário"},0),ROUND(ROUND(BM.MEDAcumulado,15-13*BM!$A$9)/100*BM!$I260,15-13*ORÇAMENTO!$AF$11),ROUND(ROUND(BM.MEDAcumulado,15-13*BM!$A$9)*ROUND(BM!$H260,15-13*ORÇAMENTO!$AF$10),15-13*ORÇAMENTO!$AF$11))),IF($A260=0,0,ROUND(SomaAgrupBM,15-13*ORÇAMENTO!$AF$11)))</f>
        <v>0</v>
      </c>
    </row>
    <row r="261" spans="1:41" ht="38.25" x14ac:dyDescent="0.2">
      <c r="A261" t="str">
        <f ca="1">ORÇAMENTO!C261</f>
        <v>S</v>
      </c>
      <c r="B261">
        <f ca="1">ORÇAMENTO!D261</f>
        <v>0</v>
      </c>
      <c r="C261" s="116" t="str">
        <f t="shared" ca="1" si="22"/>
        <v/>
      </c>
      <c r="D261" s="119" t="str">
        <f ca="1">ORÇAMENTO!O261</f>
        <v>-</v>
      </c>
      <c r="E261" s="172" t="str">
        <f t="shared" ca="1" si="23"/>
        <v>(abra o arquivo 'Referência 06-2024.xlsm)</v>
      </c>
      <c r="F261" s="173" t="str">
        <f ca="1">IF(RegimeExecucao="Global","",ORÇAMENTO.Unidade)</f>
        <v/>
      </c>
      <c r="G261" s="124" t="str">
        <f ca="1">IF(RegimeExecucao="Global","",ORÇAMENTO!T261)</f>
        <v/>
      </c>
      <c r="H261" s="124" t="str">
        <f ca="1">IF(RegimeExecucao="Global","",ORÇAMENTO!W261)</f>
        <v/>
      </c>
      <c r="I261" s="127">
        <f ca="1">ORÇAMENTO!X261</f>
        <v>0</v>
      </c>
      <c r="J261" s="378">
        <f ca="1">IF($A261="S",IF(CAIXA.Modo,BM.AFAnterior,BM.MEDAnterior),IF(AND(RegimeExecucao="Global",$I261&gt;0,COUNTIF($AB$13:$AM$13,BM.medicao-1)&gt;0),M261/$I261*100,0))</f>
        <v>0</v>
      </c>
      <c r="K261" s="124">
        <f t="shared" ca="1" si="24"/>
        <v>0</v>
      </c>
      <c r="L261" s="379">
        <f ca="1">IF($A261="S",IF(CAIXA.Modo,BM.AFAcumulado,BM.MEDAcumulado),IF(AND(RegimeExecucao="Global",$I261&gt;0,COUNTIF($AB$13:$AM$13,BM.medicao)&gt;0),O261/$I261*100,0))</f>
        <v>0</v>
      </c>
      <c r="M261" s="380">
        <f ca="1">IF($A261="S",VTOTALBM,IF($A261=0,0,ROUND(SomaAgrupBM,15-13*ORÇAMENTO!$AF$11)))</f>
        <v>0</v>
      </c>
      <c r="N261" s="381">
        <f t="shared" ca="1" si="25"/>
        <v>0</v>
      </c>
      <c r="O261" s="127">
        <f ca="1">IF($A261="S",VTOTALBM,IF($A261=0,0,ROUND(SomaAgrupBM,15-13*ORÇAMENTO!$AF$11)))</f>
        <v>0</v>
      </c>
      <c r="Q261" s="382"/>
      <c r="R261" s="383"/>
      <c r="T261" s="119" t="str">
        <f t="shared" ca="1" si="26"/>
        <v/>
      </c>
      <c r="U261" s="172" t="str">
        <f t="shared" ca="1" si="27"/>
        <v/>
      </c>
      <c r="V261" s="173" t="str">
        <f ca="1">IF(AND($W261&gt;0,RegimeExecucao="Unitário"),$F261,"")</f>
        <v/>
      </c>
      <c r="W261" s="547">
        <f ca="1">IF($Y261&gt;0,CHOOSE(MATCH(RegimeExecucao,{"Unitário","Global"},0),IF($A261="S",$Y261/$X261,""),($Y261/$X261)*100),0)</f>
        <v>0</v>
      </c>
      <c r="X261" s="384" t="str">
        <f ca="1">IF($Y261&gt;0,CHOOSE(MATCH(RegimeExecucao,{"Unitário","Global"},0),IF($A261="S",ROUND($H261,ORÇAMENTO!$AF$10),""),ROUND($I261,ORÇAMENTO!$AF$11)),"")</f>
        <v/>
      </c>
      <c r="Y261" s="384">
        <f t="shared" ca="1" si="28"/>
        <v>0</v>
      </c>
      <c r="Z261" s="572"/>
      <c r="AB261" s="382"/>
      <c r="AC261" s="516"/>
      <c r="AD261" s="516"/>
      <c r="AE261" s="516"/>
      <c r="AF261" s="516"/>
      <c r="AG261" s="516"/>
      <c r="AH261" s="516"/>
      <c r="AI261" s="516"/>
      <c r="AJ261" s="516"/>
      <c r="AK261" s="516"/>
      <c r="AL261" s="516"/>
      <c r="AM261" s="383"/>
      <c r="AO261">
        <f ca="1">IF($A261="S",IF(BM!$I261=0,0,CHOOSE(MATCH(RegimeExecucao,{"Global","Unitário"},0),ROUND(ROUND(BM.MEDAcumulado,15-13*BM!$A$9)/100*BM!$I261,15-13*ORÇAMENTO!$AF$11),ROUND(ROUND(BM.MEDAcumulado,15-13*BM!$A$9)*ROUND(BM!$H261,15-13*ORÇAMENTO!$AF$10),15-13*ORÇAMENTO!$AF$11))),IF($A261=0,0,ROUND(SomaAgrupBM,15-13*ORÇAMENTO!$AF$11)))</f>
        <v>0</v>
      </c>
    </row>
    <row r="262" spans="1:41" ht="38.25" x14ac:dyDescent="0.2">
      <c r="A262" t="str">
        <f ca="1">ORÇAMENTO!C262</f>
        <v>S</v>
      </c>
      <c r="B262">
        <f ca="1">ORÇAMENTO!D262</f>
        <v>0</v>
      </c>
      <c r="C262" s="116" t="str">
        <f t="shared" ca="1" si="22"/>
        <v/>
      </c>
      <c r="D262" s="119" t="str">
        <f ca="1">ORÇAMENTO!O262</f>
        <v>-</v>
      </c>
      <c r="E262" s="172" t="str">
        <f t="shared" ca="1" si="23"/>
        <v>(abra o arquivo 'Referência 06-2024.xlsm)</v>
      </c>
      <c r="F262" s="173" t="str">
        <f ca="1">IF(RegimeExecucao="Global","",ORÇAMENTO.Unidade)</f>
        <v/>
      </c>
      <c r="G262" s="124" t="str">
        <f ca="1">IF(RegimeExecucao="Global","",ORÇAMENTO!T262)</f>
        <v/>
      </c>
      <c r="H262" s="124" t="str">
        <f ca="1">IF(RegimeExecucao="Global","",ORÇAMENTO!W262)</f>
        <v/>
      </c>
      <c r="I262" s="127">
        <f ca="1">ORÇAMENTO!X262</f>
        <v>0</v>
      </c>
      <c r="J262" s="378">
        <f ca="1">IF($A262="S",IF(CAIXA.Modo,BM.AFAnterior,BM.MEDAnterior),IF(AND(RegimeExecucao="Global",$I262&gt;0,COUNTIF($AB$13:$AM$13,BM.medicao-1)&gt;0),M262/$I262*100,0))</f>
        <v>0</v>
      </c>
      <c r="K262" s="124">
        <f t="shared" ca="1" si="24"/>
        <v>0</v>
      </c>
      <c r="L262" s="379">
        <f ca="1">IF($A262="S",IF(CAIXA.Modo,BM.AFAcumulado,BM.MEDAcumulado),IF(AND(RegimeExecucao="Global",$I262&gt;0,COUNTIF($AB$13:$AM$13,BM.medicao)&gt;0),O262/$I262*100,0))</f>
        <v>0</v>
      </c>
      <c r="M262" s="380">
        <f ca="1">IF($A262="S",VTOTALBM,IF($A262=0,0,ROUND(SomaAgrupBM,15-13*ORÇAMENTO!$AF$11)))</f>
        <v>0</v>
      </c>
      <c r="N262" s="381">
        <f t="shared" ca="1" si="25"/>
        <v>0</v>
      </c>
      <c r="O262" s="127">
        <f ca="1">IF($A262="S",VTOTALBM,IF($A262=0,0,ROUND(SomaAgrupBM,15-13*ORÇAMENTO!$AF$11)))</f>
        <v>0</v>
      </c>
      <c r="Q262" s="382"/>
      <c r="R262" s="383"/>
      <c r="T262" s="119" t="str">
        <f t="shared" ca="1" si="26"/>
        <v/>
      </c>
      <c r="U262" s="172" t="str">
        <f t="shared" ca="1" si="27"/>
        <v/>
      </c>
      <c r="V262" s="173" t="str">
        <f ca="1">IF(AND($W262&gt;0,RegimeExecucao="Unitário"),$F262,"")</f>
        <v/>
      </c>
      <c r="W262" s="547">
        <f ca="1">IF($Y262&gt;0,CHOOSE(MATCH(RegimeExecucao,{"Unitário","Global"},0),IF($A262="S",$Y262/$X262,""),($Y262/$X262)*100),0)</f>
        <v>0</v>
      </c>
      <c r="X262" s="384" t="str">
        <f ca="1">IF($Y262&gt;0,CHOOSE(MATCH(RegimeExecucao,{"Unitário","Global"},0),IF($A262="S",ROUND($H262,ORÇAMENTO!$AF$10),""),ROUND($I262,ORÇAMENTO!$AF$11)),"")</f>
        <v/>
      </c>
      <c r="Y262" s="384">
        <f t="shared" ca="1" si="28"/>
        <v>0</v>
      </c>
      <c r="Z262" s="572"/>
      <c r="AB262" s="382"/>
      <c r="AC262" s="516"/>
      <c r="AD262" s="516"/>
      <c r="AE262" s="516"/>
      <c r="AF262" s="516"/>
      <c r="AG262" s="516"/>
      <c r="AH262" s="516"/>
      <c r="AI262" s="516"/>
      <c r="AJ262" s="516"/>
      <c r="AK262" s="516"/>
      <c r="AL262" s="516"/>
      <c r="AM262" s="383"/>
      <c r="AO262">
        <f ca="1">IF($A262="S",IF(BM!$I262=0,0,CHOOSE(MATCH(RegimeExecucao,{"Global","Unitário"},0),ROUND(ROUND(BM.MEDAcumulado,15-13*BM!$A$9)/100*BM!$I262,15-13*ORÇAMENTO!$AF$11),ROUND(ROUND(BM.MEDAcumulado,15-13*BM!$A$9)*ROUND(BM!$H262,15-13*ORÇAMENTO!$AF$10),15-13*ORÇAMENTO!$AF$11))),IF($A262=0,0,ROUND(SomaAgrupBM,15-13*ORÇAMENTO!$AF$11)))</f>
        <v>0</v>
      </c>
    </row>
    <row r="263" spans="1:41" ht="38.25" x14ac:dyDescent="0.2">
      <c r="A263" t="str">
        <f ca="1">ORÇAMENTO!C263</f>
        <v>S</v>
      </c>
      <c r="B263">
        <f ca="1">ORÇAMENTO!D263</f>
        <v>0</v>
      </c>
      <c r="C263" s="116" t="str">
        <f t="shared" ca="1" si="22"/>
        <v/>
      </c>
      <c r="D263" s="119" t="str">
        <f ca="1">ORÇAMENTO!O263</f>
        <v>-</v>
      </c>
      <c r="E263" s="172" t="str">
        <f t="shared" ca="1" si="23"/>
        <v>(abra o arquivo 'Referência 06-2024.xlsm)</v>
      </c>
      <c r="F263" s="173" t="str">
        <f ca="1">IF(RegimeExecucao="Global","",ORÇAMENTO.Unidade)</f>
        <v/>
      </c>
      <c r="G263" s="124" t="str">
        <f ca="1">IF(RegimeExecucao="Global","",ORÇAMENTO!T263)</f>
        <v/>
      </c>
      <c r="H263" s="124" t="str">
        <f ca="1">IF(RegimeExecucao="Global","",ORÇAMENTO!W263)</f>
        <v/>
      </c>
      <c r="I263" s="127">
        <f ca="1">ORÇAMENTO!X263</f>
        <v>0</v>
      </c>
      <c r="J263" s="378">
        <f ca="1">IF($A263="S",IF(CAIXA.Modo,BM.AFAnterior,BM.MEDAnterior),IF(AND(RegimeExecucao="Global",$I263&gt;0,COUNTIF($AB$13:$AM$13,BM.medicao-1)&gt;0),M263/$I263*100,0))</f>
        <v>0</v>
      </c>
      <c r="K263" s="124">
        <f t="shared" ca="1" si="24"/>
        <v>0</v>
      </c>
      <c r="L263" s="379">
        <f ca="1">IF($A263="S",IF(CAIXA.Modo,BM.AFAcumulado,BM.MEDAcumulado),IF(AND(RegimeExecucao="Global",$I263&gt;0,COUNTIF($AB$13:$AM$13,BM.medicao)&gt;0),O263/$I263*100,0))</f>
        <v>0</v>
      </c>
      <c r="M263" s="380">
        <f ca="1">IF($A263="S",VTOTALBM,IF($A263=0,0,ROUND(SomaAgrupBM,15-13*ORÇAMENTO!$AF$11)))</f>
        <v>0</v>
      </c>
      <c r="N263" s="381">
        <f t="shared" ca="1" si="25"/>
        <v>0</v>
      </c>
      <c r="O263" s="127">
        <f ca="1">IF($A263="S",VTOTALBM,IF($A263=0,0,ROUND(SomaAgrupBM,15-13*ORÇAMENTO!$AF$11)))</f>
        <v>0</v>
      </c>
      <c r="Q263" s="382"/>
      <c r="R263" s="383"/>
      <c r="T263" s="119" t="str">
        <f t="shared" ca="1" si="26"/>
        <v/>
      </c>
      <c r="U263" s="172" t="str">
        <f t="shared" ca="1" si="27"/>
        <v/>
      </c>
      <c r="V263" s="173" t="str">
        <f ca="1">IF(AND($W263&gt;0,RegimeExecucao="Unitário"),$F263,"")</f>
        <v/>
      </c>
      <c r="W263" s="547">
        <f ca="1">IF($Y263&gt;0,CHOOSE(MATCH(RegimeExecucao,{"Unitário","Global"},0),IF($A263="S",$Y263/$X263,""),($Y263/$X263)*100),0)</f>
        <v>0</v>
      </c>
      <c r="X263" s="384" t="str">
        <f ca="1">IF($Y263&gt;0,CHOOSE(MATCH(RegimeExecucao,{"Unitário","Global"},0),IF($A263="S",ROUND($H263,ORÇAMENTO!$AF$10),""),ROUND($I263,ORÇAMENTO!$AF$11)),"")</f>
        <v/>
      </c>
      <c r="Y263" s="384">
        <f t="shared" ca="1" si="28"/>
        <v>0</v>
      </c>
      <c r="Z263" s="572"/>
      <c r="AB263" s="382"/>
      <c r="AC263" s="516"/>
      <c r="AD263" s="516"/>
      <c r="AE263" s="516"/>
      <c r="AF263" s="516"/>
      <c r="AG263" s="516"/>
      <c r="AH263" s="516"/>
      <c r="AI263" s="516"/>
      <c r="AJ263" s="516"/>
      <c r="AK263" s="516"/>
      <c r="AL263" s="516"/>
      <c r="AM263" s="383"/>
      <c r="AO263">
        <f ca="1">IF($A263="S",IF(BM!$I263=0,0,CHOOSE(MATCH(RegimeExecucao,{"Global","Unitário"},0),ROUND(ROUND(BM.MEDAcumulado,15-13*BM!$A$9)/100*BM!$I263,15-13*ORÇAMENTO!$AF$11),ROUND(ROUND(BM.MEDAcumulado,15-13*BM!$A$9)*ROUND(BM!$H263,15-13*ORÇAMENTO!$AF$10),15-13*ORÇAMENTO!$AF$11))),IF($A263=0,0,ROUND(SomaAgrupBM,15-13*ORÇAMENTO!$AF$11)))</f>
        <v>0</v>
      </c>
    </row>
    <row r="264" spans="1:41" ht="38.25" x14ac:dyDescent="0.2">
      <c r="A264" t="str">
        <f ca="1">ORÇAMENTO!C264</f>
        <v>S</v>
      </c>
      <c r="B264">
        <f ca="1">ORÇAMENTO!D264</f>
        <v>0</v>
      </c>
      <c r="C264" s="116" t="str">
        <f t="shared" ca="1" si="22"/>
        <v/>
      </c>
      <c r="D264" s="119" t="str">
        <f ca="1">ORÇAMENTO!O264</f>
        <v>-</v>
      </c>
      <c r="E264" s="172" t="str">
        <f t="shared" ca="1" si="23"/>
        <v>(abra o arquivo 'Referência 06-2024.xlsm)</v>
      </c>
      <c r="F264" s="173" t="str">
        <f ca="1">IF(RegimeExecucao="Global","",ORÇAMENTO.Unidade)</f>
        <v/>
      </c>
      <c r="G264" s="124" t="str">
        <f ca="1">IF(RegimeExecucao="Global","",ORÇAMENTO!T264)</f>
        <v/>
      </c>
      <c r="H264" s="124" t="str">
        <f ca="1">IF(RegimeExecucao="Global","",ORÇAMENTO!W264)</f>
        <v/>
      </c>
      <c r="I264" s="127">
        <f ca="1">ORÇAMENTO!X264</f>
        <v>0</v>
      </c>
      <c r="J264" s="378">
        <f ca="1">IF($A264="S",IF(CAIXA.Modo,BM.AFAnterior,BM.MEDAnterior),IF(AND(RegimeExecucao="Global",$I264&gt;0,COUNTIF($AB$13:$AM$13,BM.medicao-1)&gt;0),M264/$I264*100,0))</f>
        <v>0</v>
      </c>
      <c r="K264" s="124">
        <f t="shared" ca="1" si="24"/>
        <v>0</v>
      </c>
      <c r="L264" s="379">
        <f ca="1">IF($A264="S",IF(CAIXA.Modo,BM.AFAcumulado,BM.MEDAcumulado),IF(AND(RegimeExecucao="Global",$I264&gt;0,COUNTIF($AB$13:$AM$13,BM.medicao)&gt;0),O264/$I264*100,0))</f>
        <v>0</v>
      </c>
      <c r="M264" s="380">
        <f ca="1">IF($A264="S",VTOTALBM,IF($A264=0,0,ROUND(SomaAgrupBM,15-13*ORÇAMENTO!$AF$11)))</f>
        <v>0</v>
      </c>
      <c r="N264" s="381">
        <f t="shared" ca="1" si="25"/>
        <v>0</v>
      </c>
      <c r="O264" s="127">
        <f ca="1">IF($A264="S",VTOTALBM,IF($A264=0,0,ROUND(SomaAgrupBM,15-13*ORÇAMENTO!$AF$11)))</f>
        <v>0</v>
      </c>
      <c r="Q264" s="382"/>
      <c r="R264" s="383"/>
      <c r="T264" s="119" t="str">
        <f t="shared" ca="1" si="26"/>
        <v/>
      </c>
      <c r="U264" s="172" t="str">
        <f t="shared" ca="1" si="27"/>
        <v/>
      </c>
      <c r="V264" s="173" t="str">
        <f ca="1">IF(AND($W264&gt;0,RegimeExecucao="Unitário"),$F264,"")</f>
        <v/>
      </c>
      <c r="W264" s="547">
        <f ca="1">IF($Y264&gt;0,CHOOSE(MATCH(RegimeExecucao,{"Unitário","Global"},0),IF($A264="S",$Y264/$X264,""),($Y264/$X264)*100),0)</f>
        <v>0</v>
      </c>
      <c r="X264" s="384" t="str">
        <f ca="1">IF($Y264&gt;0,CHOOSE(MATCH(RegimeExecucao,{"Unitário","Global"},0),IF($A264="S",ROUND($H264,ORÇAMENTO!$AF$10),""),ROUND($I264,ORÇAMENTO!$AF$11)),"")</f>
        <v/>
      </c>
      <c r="Y264" s="384">
        <f t="shared" ca="1" si="28"/>
        <v>0</v>
      </c>
      <c r="Z264" s="572"/>
      <c r="AB264" s="382"/>
      <c r="AC264" s="516"/>
      <c r="AD264" s="516"/>
      <c r="AE264" s="516"/>
      <c r="AF264" s="516"/>
      <c r="AG264" s="516"/>
      <c r="AH264" s="516"/>
      <c r="AI264" s="516"/>
      <c r="AJ264" s="516"/>
      <c r="AK264" s="516"/>
      <c r="AL264" s="516"/>
      <c r="AM264" s="383"/>
      <c r="AO264">
        <f ca="1">IF($A264="S",IF(BM!$I264=0,0,CHOOSE(MATCH(RegimeExecucao,{"Global","Unitário"},0),ROUND(ROUND(BM.MEDAcumulado,15-13*BM!$A$9)/100*BM!$I264,15-13*ORÇAMENTO!$AF$11),ROUND(ROUND(BM.MEDAcumulado,15-13*BM!$A$9)*ROUND(BM!$H264,15-13*ORÇAMENTO!$AF$10),15-13*ORÇAMENTO!$AF$11))),IF($A264=0,0,ROUND(SomaAgrupBM,15-13*ORÇAMENTO!$AF$11)))</f>
        <v>0</v>
      </c>
    </row>
    <row r="265" spans="1:41" ht="25.5" x14ac:dyDescent="0.2">
      <c r="A265" t="str">
        <f ca="1">ORÇAMENTO!C265</f>
        <v>S</v>
      </c>
      <c r="B265">
        <f ca="1">ORÇAMENTO!D265</f>
        <v>0</v>
      </c>
      <c r="C265" s="116" t="str">
        <f t="shared" ca="1" si="22"/>
        <v/>
      </c>
      <c r="D265" s="119" t="str">
        <f ca="1">ORÇAMENTO!O265</f>
        <v>-</v>
      </c>
      <c r="E265" s="172" t="str">
        <f t="shared" ca="1" si="23"/>
        <v>(abra o arquivo 'Referência 06-2024.xlsm)</v>
      </c>
      <c r="F265" s="173" t="str">
        <f ca="1">IF(RegimeExecucao="Global","",ORÇAMENTO.Unidade)</f>
        <v/>
      </c>
      <c r="G265" s="124" t="str">
        <f ca="1">IF(RegimeExecucao="Global","",ORÇAMENTO!T265)</f>
        <v/>
      </c>
      <c r="H265" s="124" t="str">
        <f ca="1">IF(RegimeExecucao="Global","",ORÇAMENTO!W265)</f>
        <v/>
      </c>
      <c r="I265" s="127">
        <f ca="1">ORÇAMENTO!X265</f>
        <v>0</v>
      </c>
      <c r="J265" s="378">
        <f ca="1">IF($A265="S",IF(CAIXA.Modo,BM.AFAnterior,BM.MEDAnterior),IF(AND(RegimeExecucao="Global",$I265&gt;0,COUNTIF($AB$13:$AM$13,BM.medicao-1)&gt;0),M265/$I265*100,0))</f>
        <v>0</v>
      </c>
      <c r="K265" s="124">
        <f t="shared" ca="1" si="24"/>
        <v>0</v>
      </c>
      <c r="L265" s="379">
        <f ca="1">IF($A265="S",IF(CAIXA.Modo,BM.AFAcumulado,BM.MEDAcumulado),IF(AND(RegimeExecucao="Global",$I265&gt;0,COUNTIF($AB$13:$AM$13,BM.medicao)&gt;0),O265/$I265*100,0))</f>
        <v>0</v>
      </c>
      <c r="M265" s="380">
        <f ca="1">IF($A265="S",VTOTALBM,IF($A265=0,0,ROUND(SomaAgrupBM,15-13*ORÇAMENTO!$AF$11)))</f>
        <v>0</v>
      </c>
      <c r="N265" s="381">
        <f t="shared" ca="1" si="25"/>
        <v>0</v>
      </c>
      <c r="O265" s="127">
        <f ca="1">IF($A265="S",VTOTALBM,IF($A265=0,0,ROUND(SomaAgrupBM,15-13*ORÇAMENTO!$AF$11)))</f>
        <v>0</v>
      </c>
      <c r="Q265" s="382"/>
      <c r="R265" s="383"/>
      <c r="T265" s="119" t="str">
        <f t="shared" ca="1" si="26"/>
        <v/>
      </c>
      <c r="U265" s="172" t="str">
        <f t="shared" ca="1" si="27"/>
        <v/>
      </c>
      <c r="V265" s="173" t="str">
        <f ca="1">IF(AND($W265&gt;0,RegimeExecucao="Unitário"),$F265,"")</f>
        <v/>
      </c>
      <c r="W265" s="547">
        <f ca="1">IF($Y265&gt;0,CHOOSE(MATCH(RegimeExecucao,{"Unitário","Global"},0),IF($A265="S",$Y265/$X265,""),($Y265/$X265)*100),0)</f>
        <v>0</v>
      </c>
      <c r="X265" s="384" t="str">
        <f ca="1">IF($Y265&gt;0,CHOOSE(MATCH(RegimeExecucao,{"Unitário","Global"},0),IF($A265="S",ROUND($H265,ORÇAMENTO!$AF$10),""),ROUND($I265,ORÇAMENTO!$AF$11)),"")</f>
        <v/>
      </c>
      <c r="Y265" s="384">
        <f t="shared" ca="1" si="28"/>
        <v>0</v>
      </c>
      <c r="Z265" s="572"/>
      <c r="AB265" s="382"/>
      <c r="AC265" s="516"/>
      <c r="AD265" s="516"/>
      <c r="AE265" s="516"/>
      <c r="AF265" s="516"/>
      <c r="AG265" s="516"/>
      <c r="AH265" s="516"/>
      <c r="AI265" s="516"/>
      <c r="AJ265" s="516"/>
      <c r="AK265" s="516"/>
      <c r="AL265" s="516"/>
      <c r="AM265" s="383"/>
      <c r="AO265">
        <f ca="1">IF($A265="S",IF(BM!$I265=0,0,CHOOSE(MATCH(RegimeExecucao,{"Global","Unitário"},0),ROUND(ROUND(BM.MEDAcumulado,15-13*BM!$A$9)/100*BM!$I265,15-13*ORÇAMENTO!$AF$11),ROUND(ROUND(BM.MEDAcumulado,15-13*BM!$A$9)*ROUND(BM!$H265,15-13*ORÇAMENTO!$AF$10),15-13*ORÇAMENTO!$AF$11))),IF($A265=0,0,ROUND(SomaAgrupBM,15-13*ORÇAMENTO!$AF$11)))</f>
        <v>0</v>
      </c>
    </row>
    <row r="266" spans="1:41" ht="25.5" x14ac:dyDescent="0.2">
      <c r="A266" t="str">
        <f ca="1">ORÇAMENTO!C266</f>
        <v>S</v>
      </c>
      <c r="B266">
        <f ca="1">ORÇAMENTO!D266</f>
        <v>0</v>
      </c>
      <c r="C266" s="116" t="str">
        <f t="shared" ca="1" si="22"/>
        <v/>
      </c>
      <c r="D266" s="119" t="str">
        <f ca="1">ORÇAMENTO!O266</f>
        <v>-</v>
      </c>
      <c r="E266" s="172" t="str">
        <f t="shared" ca="1" si="23"/>
        <v>(abra o arquivo 'Referência 06-2024.xlsm)</v>
      </c>
      <c r="F266" s="173" t="str">
        <f ca="1">IF(RegimeExecucao="Global","",ORÇAMENTO.Unidade)</f>
        <v/>
      </c>
      <c r="G266" s="124" t="str">
        <f ca="1">IF(RegimeExecucao="Global","",ORÇAMENTO!T266)</f>
        <v/>
      </c>
      <c r="H266" s="124" t="str">
        <f ca="1">IF(RegimeExecucao="Global","",ORÇAMENTO!W266)</f>
        <v/>
      </c>
      <c r="I266" s="127">
        <f ca="1">ORÇAMENTO!X266</f>
        <v>0</v>
      </c>
      <c r="J266" s="378">
        <f ca="1">IF($A266="S",IF(CAIXA.Modo,BM.AFAnterior,BM.MEDAnterior),IF(AND(RegimeExecucao="Global",$I266&gt;0,COUNTIF($AB$13:$AM$13,BM.medicao-1)&gt;0),M266/$I266*100,0))</f>
        <v>0</v>
      </c>
      <c r="K266" s="124">
        <f t="shared" ca="1" si="24"/>
        <v>0</v>
      </c>
      <c r="L266" s="379">
        <f ca="1">IF($A266="S",IF(CAIXA.Modo,BM.AFAcumulado,BM.MEDAcumulado),IF(AND(RegimeExecucao="Global",$I266&gt;0,COUNTIF($AB$13:$AM$13,BM.medicao)&gt;0),O266/$I266*100,0))</f>
        <v>0</v>
      </c>
      <c r="M266" s="380">
        <f ca="1">IF($A266="S",VTOTALBM,IF($A266=0,0,ROUND(SomaAgrupBM,15-13*ORÇAMENTO!$AF$11)))</f>
        <v>0</v>
      </c>
      <c r="N266" s="381">
        <f t="shared" ca="1" si="25"/>
        <v>0</v>
      </c>
      <c r="O266" s="127">
        <f ca="1">IF($A266="S",VTOTALBM,IF($A266=0,0,ROUND(SomaAgrupBM,15-13*ORÇAMENTO!$AF$11)))</f>
        <v>0</v>
      </c>
      <c r="Q266" s="382"/>
      <c r="R266" s="383"/>
      <c r="T266" s="119" t="str">
        <f t="shared" ca="1" si="26"/>
        <v/>
      </c>
      <c r="U266" s="172" t="str">
        <f t="shared" ca="1" si="27"/>
        <v/>
      </c>
      <c r="V266" s="173" t="str">
        <f ca="1">IF(AND($W266&gt;0,RegimeExecucao="Unitário"),$F266,"")</f>
        <v/>
      </c>
      <c r="W266" s="547">
        <f ca="1">IF($Y266&gt;0,CHOOSE(MATCH(RegimeExecucao,{"Unitário","Global"},0),IF($A266="S",$Y266/$X266,""),($Y266/$X266)*100),0)</f>
        <v>0</v>
      </c>
      <c r="X266" s="384" t="str">
        <f ca="1">IF($Y266&gt;0,CHOOSE(MATCH(RegimeExecucao,{"Unitário","Global"},0),IF($A266="S",ROUND($H266,ORÇAMENTO!$AF$10),""),ROUND($I266,ORÇAMENTO!$AF$11)),"")</f>
        <v/>
      </c>
      <c r="Y266" s="384">
        <f t="shared" ca="1" si="28"/>
        <v>0</v>
      </c>
      <c r="Z266" s="572"/>
      <c r="AB266" s="382"/>
      <c r="AC266" s="516"/>
      <c r="AD266" s="516"/>
      <c r="AE266" s="516"/>
      <c r="AF266" s="516"/>
      <c r="AG266" s="516"/>
      <c r="AH266" s="516"/>
      <c r="AI266" s="516"/>
      <c r="AJ266" s="516"/>
      <c r="AK266" s="516"/>
      <c r="AL266" s="516"/>
      <c r="AM266" s="383"/>
      <c r="AO266">
        <f ca="1">IF($A266="S",IF(BM!$I266=0,0,CHOOSE(MATCH(RegimeExecucao,{"Global","Unitário"},0),ROUND(ROUND(BM.MEDAcumulado,15-13*BM!$A$9)/100*BM!$I266,15-13*ORÇAMENTO!$AF$11),ROUND(ROUND(BM.MEDAcumulado,15-13*BM!$A$9)*ROUND(BM!$H266,15-13*ORÇAMENTO!$AF$10),15-13*ORÇAMENTO!$AF$11))),IF($A266=0,0,ROUND(SomaAgrupBM,15-13*ORÇAMENTO!$AF$11)))</f>
        <v>0</v>
      </c>
    </row>
    <row r="267" spans="1:41" ht="38.25" x14ac:dyDescent="0.2">
      <c r="A267" t="str">
        <f ca="1">ORÇAMENTO!C267</f>
        <v>S</v>
      </c>
      <c r="B267">
        <f ca="1">ORÇAMENTO!D267</f>
        <v>0</v>
      </c>
      <c r="C267" s="116" t="str">
        <f t="shared" ca="1" si="22"/>
        <v/>
      </c>
      <c r="D267" s="119" t="str">
        <f ca="1">ORÇAMENTO!O267</f>
        <v>-</v>
      </c>
      <c r="E267" s="172" t="str">
        <f t="shared" ca="1" si="23"/>
        <v>(abra o arquivo 'Referência 06-2024.xlsm)</v>
      </c>
      <c r="F267" s="173" t="str">
        <f ca="1">IF(RegimeExecucao="Global","",ORÇAMENTO.Unidade)</f>
        <v/>
      </c>
      <c r="G267" s="124" t="str">
        <f ca="1">IF(RegimeExecucao="Global","",ORÇAMENTO!T267)</f>
        <v/>
      </c>
      <c r="H267" s="124" t="str">
        <f ca="1">IF(RegimeExecucao="Global","",ORÇAMENTO!W267)</f>
        <v/>
      </c>
      <c r="I267" s="127">
        <f ca="1">ORÇAMENTO!X267</f>
        <v>0</v>
      </c>
      <c r="J267" s="378">
        <f ca="1">IF($A267="S",IF(CAIXA.Modo,BM.AFAnterior,BM.MEDAnterior),IF(AND(RegimeExecucao="Global",$I267&gt;0,COUNTIF($AB$13:$AM$13,BM.medicao-1)&gt;0),M267/$I267*100,0))</f>
        <v>0</v>
      </c>
      <c r="K267" s="124">
        <f t="shared" ca="1" si="24"/>
        <v>0</v>
      </c>
      <c r="L267" s="379">
        <f ca="1">IF($A267="S",IF(CAIXA.Modo,BM.AFAcumulado,BM.MEDAcumulado),IF(AND(RegimeExecucao="Global",$I267&gt;0,COUNTIF($AB$13:$AM$13,BM.medicao)&gt;0),O267/$I267*100,0))</f>
        <v>0</v>
      </c>
      <c r="M267" s="380">
        <f ca="1">IF($A267="S",VTOTALBM,IF($A267=0,0,ROUND(SomaAgrupBM,15-13*ORÇAMENTO!$AF$11)))</f>
        <v>0</v>
      </c>
      <c r="N267" s="381">
        <f t="shared" ca="1" si="25"/>
        <v>0</v>
      </c>
      <c r="O267" s="127">
        <f ca="1">IF($A267="S",VTOTALBM,IF($A267=0,0,ROUND(SomaAgrupBM,15-13*ORÇAMENTO!$AF$11)))</f>
        <v>0</v>
      </c>
      <c r="Q267" s="382"/>
      <c r="R267" s="383"/>
      <c r="T267" s="119" t="str">
        <f t="shared" ca="1" si="26"/>
        <v/>
      </c>
      <c r="U267" s="172" t="str">
        <f t="shared" ca="1" si="27"/>
        <v/>
      </c>
      <c r="V267" s="173" t="str">
        <f ca="1">IF(AND($W267&gt;0,RegimeExecucao="Unitário"),$F267,"")</f>
        <v/>
      </c>
      <c r="W267" s="547">
        <f ca="1">IF($Y267&gt;0,CHOOSE(MATCH(RegimeExecucao,{"Unitário","Global"},0),IF($A267="S",$Y267/$X267,""),($Y267/$X267)*100),0)</f>
        <v>0</v>
      </c>
      <c r="X267" s="384" t="str">
        <f ca="1">IF($Y267&gt;0,CHOOSE(MATCH(RegimeExecucao,{"Unitário","Global"},0),IF($A267="S",ROUND($H267,ORÇAMENTO!$AF$10),""),ROUND($I267,ORÇAMENTO!$AF$11)),"")</f>
        <v/>
      </c>
      <c r="Y267" s="384">
        <f t="shared" ca="1" si="28"/>
        <v>0</v>
      </c>
      <c r="Z267" s="572"/>
      <c r="AB267" s="382"/>
      <c r="AC267" s="516"/>
      <c r="AD267" s="516"/>
      <c r="AE267" s="516"/>
      <c r="AF267" s="516"/>
      <c r="AG267" s="516"/>
      <c r="AH267" s="516"/>
      <c r="AI267" s="516"/>
      <c r="AJ267" s="516"/>
      <c r="AK267" s="516"/>
      <c r="AL267" s="516"/>
      <c r="AM267" s="383"/>
      <c r="AO267">
        <f ca="1">IF($A267="S",IF(BM!$I267=0,0,CHOOSE(MATCH(RegimeExecucao,{"Global","Unitário"},0),ROUND(ROUND(BM.MEDAcumulado,15-13*BM!$A$9)/100*BM!$I267,15-13*ORÇAMENTO!$AF$11),ROUND(ROUND(BM.MEDAcumulado,15-13*BM!$A$9)*ROUND(BM!$H267,15-13*ORÇAMENTO!$AF$10),15-13*ORÇAMENTO!$AF$11))),IF($A267=0,0,ROUND(SomaAgrupBM,15-13*ORÇAMENTO!$AF$11)))</f>
        <v>0</v>
      </c>
    </row>
    <row r="268" spans="1:41" ht="38.25" x14ac:dyDescent="0.2">
      <c r="A268" t="str">
        <f ca="1">ORÇAMENTO!C268</f>
        <v>S</v>
      </c>
      <c r="B268">
        <f ca="1">ORÇAMENTO!D268</f>
        <v>0</v>
      </c>
      <c r="C268" s="116" t="str">
        <f t="shared" ca="1" si="22"/>
        <v/>
      </c>
      <c r="D268" s="119" t="str">
        <f ca="1">ORÇAMENTO!O268</f>
        <v>-</v>
      </c>
      <c r="E268" s="172" t="str">
        <f t="shared" ca="1" si="23"/>
        <v>(abra o arquivo 'Referência 06-2024.xlsm)</v>
      </c>
      <c r="F268" s="173" t="str">
        <f ca="1">IF(RegimeExecucao="Global","",ORÇAMENTO.Unidade)</f>
        <v/>
      </c>
      <c r="G268" s="124" t="str">
        <f ca="1">IF(RegimeExecucao="Global","",ORÇAMENTO!T268)</f>
        <v/>
      </c>
      <c r="H268" s="124" t="str">
        <f ca="1">IF(RegimeExecucao="Global","",ORÇAMENTO!W268)</f>
        <v/>
      </c>
      <c r="I268" s="127">
        <f ca="1">ORÇAMENTO!X268</f>
        <v>0</v>
      </c>
      <c r="J268" s="378">
        <f ca="1">IF($A268="S",IF(CAIXA.Modo,BM.AFAnterior,BM.MEDAnterior),IF(AND(RegimeExecucao="Global",$I268&gt;0,COUNTIF($AB$13:$AM$13,BM.medicao-1)&gt;0),M268/$I268*100,0))</f>
        <v>0</v>
      </c>
      <c r="K268" s="124">
        <f t="shared" ca="1" si="24"/>
        <v>0</v>
      </c>
      <c r="L268" s="379">
        <f ca="1">IF($A268="S",IF(CAIXA.Modo,BM.AFAcumulado,BM.MEDAcumulado),IF(AND(RegimeExecucao="Global",$I268&gt;0,COUNTIF($AB$13:$AM$13,BM.medicao)&gt;0),O268/$I268*100,0))</f>
        <v>0</v>
      </c>
      <c r="M268" s="380">
        <f ca="1">IF($A268="S",VTOTALBM,IF($A268=0,0,ROUND(SomaAgrupBM,15-13*ORÇAMENTO!$AF$11)))</f>
        <v>0</v>
      </c>
      <c r="N268" s="381">
        <f t="shared" ca="1" si="25"/>
        <v>0</v>
      </c>
      <c r="O268" s="127">
        <f ca="1">IF($A268="S",VTOTALBM,IF($A268=0,0,ROUND(SomaAgrupBM,15-13*ORÇAMENTO!$AF$11)))</f>
        <v>0</v>
      </c>
      <c r="Q268" s="382"/>
      <c r="R268" s="383"/>
      <c r="T268" s="119" t="str">
        <f t="shared" ca="1" si="26"/>
        <v/>
      </c>
      <c r="U268" s="172" t="str">
        <f t="shared" ca="1" si="27"/>
        <v/>
      </c>
      <c r="V268" s="173" t="str">
        <f ca="1">IF(AND($W268&gt;0,RegimeExecucao="Unitário"),$F268,"")</f>
        <v/>
      </c>
      <c r="W268" s="547">
        <f ca="1">IF($Y268&gt;0,CHOOSE(MATCH(RegimeExecucao,{"Unitário","Global"},0),IF($A268="S",$Y268/$X268,""),($Y268/$X268)*100),0)</f>
        <v>0</v>
      </c>
      <c r="X268" s="384" t="str">
        <f ca="1">IF($Y268&gt;0,CHOOSE(MATCH(RegimeExecucao,{"Unitário","Global"},0),IF($A268="S",ROUND($H268,ORÇAMENTO!$AF$10),""),ROUND($I268,ORÇAMENTO!$AF$11)),"")</f>
        <v/>
      </c>
      <c r="Y268" s="384">
        <f t="shared" ca="1" si="28"/>
        <v>0</v>
      </c>
      <c r="Z268" s="572"/>
      <c r="AB268" s="382"/>
      <c r="AC268" s="516"/>
      <c r="AD268" s="516"/>
      <c r="AE268" s="516"/>
      <c r="AF268" s="516"/>
      <c r="AG268" s="516"/>
      <c r="AH268" s="516"/>
      <c r="AI268" s="516"/>
      <c r="AJ268" s="516"/>
      <c r="AK268" s="516"/>
      <c r="AL268" s="516"/>
      <c r="AM268" s="383"/>
      <c r="AO268">
        <f ca="1">IF($A268="S",IF(BM!$I268=0,0,CHOOSE(MATCH(RegimeExecucao,{"Global","Unitário"},0),ROUND(ROUND(BM.MEDAcumulado,15-13*BM!$A$9)/100*BM!$I268,15-13*ORÇAMENTO!$AF$11),ROUND(ROUND(BM.MEDAcumulado,15-13*BM!$A$9)*ROUND(BM!$H268,15-13*ORÇAMENTO!$AF$10),15-13*ORÇAMENTO!$AF$11))),IF($A268=0,0,ROUND(SomaAgrupBM,15-13*ORÇAMENTO!$AF$11)))</f>
        <v>0</v>
      </c>
    </row>
    <row r="269" spans="1:41" ht="38.25" x14ac:dyDescent="0.2">
      <c r="A269" t="str">
        <f ca="1">ORÇAMENTO!C269</f>
        <v>S</v>
      </c>
      <c r="B269">
        <f ca="1">ORÇAMENTO!D269</f>
        <v>0</v>
      </c>
      <c r="C269" s="116" t="str">
        <f t="shared" ca="1" si="22"/>
        <v/>
      </c>
      <c r="D269" s="119" t="str">
        <f ca="1">ORÇAMENTO!O269</f>
        <v>-</v>
      </c>
      <c r="E269" s="172" t="str">
        <f t="shared" ca="1" si="23"/>
        <v>(abra o arquivo 'Referência 06-2024.xlsm)</v>
      </c>
      <c r="F269" s="173" t="str">
        <f ca="1">IF(RegimeExecucao="Global","",ORÇAMENTO.Unidade)</f>
        <v/>
      </c>
      <c r="G269" s="124" t="str">
        <f ca="1">IF(RegimeExecucao="Global","",ORÇAMENTO!T269)</f>
        <v/>
      </c>
      <c r="H269" s="124" t="str">
        <f ca="1">IF(RegimeExecucao="Global","",ORÇAMENTO!W269)</f>
        <v/>
      </c>
      <c r="I269" s="127">
        <f ca="1">ORÇAMENTO!X269</f>
        <v>0</v>
      </c>
      <c r="J269" s="378">
        <f ca="1">IF($A269="S",IF(CAIXA.Modo,BM.AFAnterior,BM.MEDAnterior),IF(AND(RegimeExecucao="Global",$I269&gt;0,COUNTIF($AB$13:$AM$13,BM.medicao-1)&gt;0),M269/$I269*100,0))</f>
        <v>0</v>
      </c>
      <c r="K269" s="124">
        <f t="shared" ca="1" si="24"/>
        <v>0</v>
      </c>
      <c r="L269" s="379">
        <f ca="1">IF($A269="S",IF(CAIXA.Modo,BM.AFAcumulado,BM.MEDAcumulado),IF(AND(RegimeExecucao="Global",$I269&gt;0,COUNTIF($AB$13:$AM$13,BM.medicao)&gt;0),O269/$I269*100,0))</f>
        <v>0</v>
      </c>
      <c r="M269" s="380">
        <f ca="1">IF($A269="S",VTOTALBM,IF($A269=0,0,ROUND(SomaAgrupBM,15-13*ORÇAMENTO!$AF$11)))</f>
        <v>0</v>
      </c>
      <c r="N269" s="381">
        <f t="shared" ca="1" si="25"/>
        <v>0</v>
      </c>
      <c r="O269" s="127">
        <f ca="1">IF($A269="S",VTOTALBM,IF($A269=0,0,ROUND(SomaAgrupBM,15-13*ORÇAMENTO!$AF$11)))</f>
        <v>0</v>
      </c>
      <c r="Q269" s="382"/>
      <c r="R269" s="383"/>
      <c r="T269" s="119" t="str">
        <f t="shared" ca="1" si="26"/>
        <v/>
      </c>
      <c r="U269" s="172" t="str">
        <f t="shared" ca="1" si="27"/>
        <v/>
      </c>
      <c r="V269" s="173" t="str">
        <f ca="1">IF(AND($W269&gt;0,RegimeExecucao="Unitário"),$F269,"")</f>
        <v/>
      </c>
      <c r="W269" s="547">
        <f ca="1">IF($Y269&gt;0,CHOOSE(MATCH(RegimeExecucao,{"Unitário","Global"},0),IF($A269="S",$Y269/$X269,""),($Y269/$X269)*100),0)</f>
        <v>0</v>
      </c>
      <c r="X269" s="384" t="str">
        <f ca="1">IF($Y269&gt;0,CHOOSE(MATCH(RegimeExecucao,{"Unitário","Global"},0),IF($A269="S",ROUND($H269,ORÇAMENTO!$AF$10),""),ROUND($I269,ORÇAMENTO!$AF$11)),"")</f>
        <v/>
      </c>
      <c r="Y269" s="384">
        <f t="shared" ca="1" si="28"/>
        <v>0</v>
      </c>
      <c r="Z269" s="572"/>
      <c r="AB269" s="382"/>
      <c r="AC269" s="516"/>
      <c r="AD269" s="516"/>
      <c r="AE269" s="516"/>
      <c r="AF269" s="516"/>
      <c r="AG269" s="516"/>
      <c r="AH269" s="516"/>
      <c r="AI269" s="516"/>
      <c r="AJ269" s="516"/>
      <c r="AK269" s="516"/>
      <c r="AL269" s="516"/>
      <c r="AM269" s="383"/>
      <c r="AO269">
        <f ca="1">IF($A269="S",IF(BM!$I269=0,0,CHOOSE(MATCH(RegimeExecucao,{"Global","Unitário"},0),ROUND(ROUND(BM.MEDAcumulado,15-13*BM!$A$9)/100*BM!$I269,15-13*ORÇAMENTO!$AF$11),ROUND(ROUND(BM.MEDAcumulado,15-13*BM!$A$9)*ROUND(BM!$H269,15-13*ORÇAMENTO!$AF$10),15-13*ORÇAMENTO!$AF$11))),IF($A269=0,0,ROUND(SomaAgrupBM,15-13*ORÇAMENTO!$AF$11)))</f>
        <v>0</v>
      </c>
    </row>
    <row r="270" spans="1:41" ht="38.25" x14ac:dyDescent="0.2">
      <c r="A270" t="str">
        <f ca="1">ORÇAMENTO!C270</f>
        <v>S</v>
      </c>
      <c r="B270">
        <f ca="1">ORÇAMENTO!D270</f>
        <v>0</v>
      </c>
      <c r="C270" s="116" t="str">
        <f t="shared" ca="1" si="22"/>
        <v/>
      </c>
      <c r="D270" s="119" t="str">
        <f ca="1">ORÇAMENTO!O270</f>
        <v>-</v>
      </c>
      <c r="E270" s="172" t="str">
        <f t="shared" ca="1" si="23"/>
        <v>(abra o arquivo 'Referência 06-2024.xlsm)</v>
      </c>
      <c r="F270" s="173" t="str">
        <f ca="1">IF(RegimeExecucao="Global","",ORÇAMENTO.Unidade)</f>
        <v/>
      </c>
      <c r="G270" s="124" t="str">
        <f ca="1">IF(RegimeExecucao="Global","",ORÇAMENTO!T270)</f>
        <v/>
      </c>
      <c r="H270" s="124" t="str">
        <f ca="1">IF(RegimeExecucao="Global","",ORÇAMENTO!W270)</f>
        <v/>
      </c>
      <c r="I270" s="127">
        <f ca="1">ORÇAMENTO!X270</f>
        <v>0</v>
      </c>
      <c r="J270" s="378">
        <f ca="1">IF($A270="S",IF(CAIXA.Modo,BM.AFAnterior,BM.MEDAnterior),IF(AND(RegimeExecucao="Global",$I270&gt;0,COUNTIF($AB$13:$AM$13,BM.medicao-1)&gt;0),M270/$I270*100,0))</f>
        <v>0</v>
      </c>
      <c r="K270" s="124">
        <f t="shared" ca="1" si="24"/>
        <v>0</v>
      </c>
      <c r="L270" s="379">
        <f ca="1">IF($A270="S",IF(CAIXA.Modo,BM.AFAcumulado,BM.MEDAcumulado),IF(AND(RegimeExecucao="Global",$I270&gt;0,COUNTIF($AB$13:$AM$13,BM.medicao)&gt;0),O270/$I270*100,0))</f>
        <v>0</v>
      </c>
      <c r="M270" s="380">
        <f ca="1">IF($A270="S",VTOTALBM,IF($A270=0,0,ROUND(SomaAgrupBM,15-13*ORÇAMENTO!$AF$11)))</f>
        <v>0</v>
      </c>
      <c r="N270" s="381">
        <f t="shared" ca="1" si="25"/>
        <v>0</v>
      </c>
      <c r="O270" s="127">
        <f ca="1">IF($A270="S",VTOTALBM,IF($A270=0,0,ROUND(SomaAgrupBM,15-13*ORÇAMENTO!$AF$11)))</f>
        <v>0</v>
      </c>
      <c r="Q270" s="382"/>
      <c r="R270" s="383"/>
      <c r="T270" s="119" t="str">
        <f t="shared" ca="1" si="26"/>
        <v/>
      </c>
      <c r="U270" s="172" t="str">
        <f t="shared" ca="1" si="27"/>
        <v/>
      </c>
      <c r="V270" s="173" t="str">
        <f ca="1">IF(AND($W270&gt;0,RegimeExecucao="Unitário"),$F270,"")</f>
        <v/>
      </c>
      <c r="W270" s="547">
        <f ca="1">IF($Y270&gt;0,CHOOSE(MATCH(RegimeExecucao,{"Unitário","Global"},0),IF($A270="S",$Y270/$X270,""),($Y270/$X270)*100),0)</f>
        <v>0</v>
      </c>
      <c r="X270" s="384" t="str">
        <f ca="1">IF($Y270&gt;0,CHOOSE(MATCH(RegimeExecucao,{"Unitário","Global"},0),IF($A270="S",ROUND($H270,ORÇAMENTO!$AF$10),""),ROUND($I270,ORÇAMENTO!$AF$11)),"")</f>
        <v/>
      </c>
      <c r="Y270" s="384">
        <f t="shared" ca="1" si="28"/>
        <v>0</v>
      </c>
      <c r="Z270" s="572"/>
      <c r="AB270" s="382"/>
      <c r="AC270" s="516"/>
      <c r="AD270" s="516"/>
      <c r="AE270" s="516"/>
      <c r="AF270" s="516"/>
      <c r="AG270" s="516"/>
      <c r="AH270" s="516"/>
      <c r="AI270" s="516"/>
      <c r="AJ270" s="516"/>
      <c r="AK270" s="516"/>
      <c r="AL270" s="516"/>
      <c r="AM270" s="383"/>
      <c r="AO270">
        <f ca="1">IF($A270="S",IF(BM!$I270=0,0,CHOOSE(MATCH(RegimeExecucao,{"Global","Unitário"},0),ROUND(ROUND(BM.MEDAcumulado,15-13*BM!$A$9)/100*BM!$I270,15-13*ORÇAMENTO!$AF$11),ROUND(ROUND(BM.MEDAcumulado,15-13*BM!$A$9)*ROUND(BM!$H270,15-13*ORÇAMENTO!$AF$10),15-13*ORÇAMENTO!$AF$11))),IF($A270=0,0,ROUND(SomaAgrupBM,15-13*ORÇAMENTO!$AF$11)))</f>
        <v>0</v>
      </c>
    </row>
    <row r="271" spans="1:41" ht="38.25" x14ac:dyDescent="0.2">
      <c r="A271" t="str">
        <f ca="1">ORÇAMENTO!C271</f>
        <v>S</v>
      </c>
      <c r="B271">
        <f ca="1">ORÇAMENTO!D271</f>
        <v>0</v>
      </c>
      <c r="C271" s="116" t="str">
        <f t="shared" ca="1" si="22"/>
        <v/>
      </c>
      <c r="D271" s="119" t="str">
        <f ca="1">ORÇAMENTO!O271</f>
        <v>-</v>
      </c>
      <c r="E271" s="172" t="str">
        <f t="shared" ca="1" si="23"/>
        <v>(abra o arquivo 'Referência 06-2024.xlsm)</v>
      </c>
      <c r="F271" s="173" t="str">
        <f ca="1">IF(RegimeExecucao="Global","",ORÇAMENTO.Unidade)</f>
        <v/>
      </c>
      <c r="G271" s="124" t="str">
        <f ca="1">IF(RegimeExecucao="Global","",ORÇAMENTO!T271)</f>
        <v/>
      </c>
      <c r="H271" s="124" t="str">
        <f ca="1">IF(RegimeExecucao="Global","",ORÇAMENTO!W271)</f>
        <v/>
      </c>
      <c r="I271" s="127">
        <f ca="1">ORÇAMENTO!X271</f>
        <v>0</v>
      </c>
      <c r="J271" s="378">
        <f ca="1">IF($A271="S",IF(CAIXA.Modo,BM.AFAnterior,BM.MEDAnterior),IF(AND(RegimeExecucao="Global",$I271&gt;0,COUNTIF($AB$13:$AM$13,BM.medicao-1)&gt;0),M271/$I271*100,0))</f>
        <v>0</v>
      </c>
      <c r="K271" s="124">
        <f t="shared" ca="1" si="24"/>
        <v>0</v>
      </c>
      <c r="L271" s="379">
        <f ca="1">IF($A271="S",IF(CAIXA.Modo,BM.AFAcumulado,BM.MEDAcumulado),IF(AND(RegimeExecucao="Global",$I271&gt;0,COUNTIF($AB$13:$AM$13,BM.medicao)&gt;0),O271/$I271*100,0))</f>
        <v>0</v>
      </c>
      <c r="M271" s="380">
        <f ca="1">IF($A271="S",VTOTALBM,IF($A271=0,0,ROUND(SomaAgrupBM,15-13*ORÇAMENTO!$AF$11)))</f>
        <v>0</v>
      </c>
      <c r="N271" s="381">
        <f t="shared" ca="1" si="25"/>
        <v>0</v>
      </c>
      <c r="O271" s="127">
        <f ca="1">IF($A271="S",VTOTALBM,IF($A271=0,0,ROUND(SomaAgrupBM,15-13*ORÇAMENTO!$AF$11)))</f>
        <v>0</v>
      </c>
      <c r="Q271" s="382"/>
      <c r="R271" s="383"/>
      <c r="T271" s="119" t="str">
        <f t="shared" ca="1" si="26"/>
        <v/>
      </c>
      <c r="U271" s="172" t="str">
        <f t="shared" ca="1" si="27"/>
        <v/>
      </c>
      <c r="V271" s="173" t="str">
        <f ca="1">IF(AND($W271&gt;0,RegimeExecucao="Unitário"),$F271,"")</f>
        <v/>
      </c>
      <c r="W271" s="547">
        <f ca="1">IF($Y271&gt;0,CHOOSE(MATCH(RegimeExecucao,{"Unitário","Global"},0),IF($A271="S",$Y271/$X271,""),($Y271/$X271)*100),0)</f>
        <v>0</v>
      </c>
      <c r="X271" s="384" t="str">
        <f ca="1">IF($Y271&gt;0,CHOOSE(MATCH(RegimeExecucao,{"Unitário","Global"},0),IF($A271="S",ROUND($H271,ORÇAMENTO!$AF$10),""),ROUND($I271,ORÇAMENTO!$AF$11)),"")</f>
        <v/>
      </c>
      <c r="Y271" s="384">
        <f t="shared" ca="1" si="28"/>
        <v>0</v>
      </c>
      <c r="Z271" s="572"/>
      <c r="AB271" s="382"/>
      <c r="AC271" s="516"/>
      <c r="AD271" s="516"/>
      <c r="AE271" s="516"/>
      <c r="AF271" s="516"/>
      <c r="AG271" s="516"/>
      <c r="AH271" s="516"/>
      <c r="AI271" s="516"/>
      <c r="AJ271" s="516"/>
      <c r="AK271" s="516"/>
      <c r="AL271" s="516"/>
      <c r="AM271" s="383"/>
      <c r="AO271">
        <f ca="1">IF($A271="S",IF(BM!$I271=0,0,CHOOSE(MATCH(RegimeExecucao,{"Global","Unitário"},0),ROUND(ROUND(BM.MEDAcumulado,15-13*BM!$A$9)/100*BM!$I271,15-13*ORÇAMENTO!$AF$11),ROUND(ROUND(BM.MEDAcumulado,15-13*BM!$A$9)*ROUND(BM!$H271,15-13*ORÇAMENTO!$AF$10),15-13*ORÇAMENTO!$AF$11))),IF($A271=0,0,ROUND(SomaAgrupBM,15-13*ORÇAMENTO!$AF$11)))</f>
        <v>0</v>
      </c>
    </row>
    <row r="272" spans="1:41" ht="38.25" x14ac:dyDescent="0.2">
      <c r="A272" t="str">
        <f ca="1">ORÇAMENTO!C272</f>
        <v>S</v>
      </c>
      <c r="B272">
        <f ca="1">ORÇAMENTO!D272</f>
        <v>0</v>
      </c>
      <c r="C272" s="116" t="str">
        <f t="shared" ca="1" si="22"/>
        <v/>
      </c>
      <c r="D272" s="119" t="str">
        <f ca="1">ORÇAMENTO!O272</f>
        <v>-</v>
      </c>
      <c r="E272" s="172" t="str">
        <f t="shared" ca="1" si="23"/>
        <v>(abra o arquivo 'Referência 06-2024.xlsm)</v>
      </c>
      <c r="F272" s="173" t="str">
        <f ca="1">IF(RegimeExecucao="Global","",ORÇAMENTO.Unidade)</f>
        <v/>
      </c>
      <c r="G272" s="124" t="str">
        <f ca="1">IF(RegimeExecucao="Global","",ORÇAMENTO!T272)</f>
        <v/>
      </c>
      <c r="H272" s="124" t="str">
        <f ca="1">IF(RegimeExecucao="Global","",ORÇAMENTO!W272)</f>
        <v/>
      </c>
      <c r="I272" s="127">
        <f ca="1">ORÇAMENTO!X272</f>
        <v>0</v>
      </c>
      <c r="J272" s="378">
        <f ca="1">IF($A272="S",IF(CAIXA.Modo,BM.AFAnterior,BM.MEDAnterior),IF(AND(RegimeExecucao="Global",$I272&gt;0,COUNTIF($AB$13:$AM$13,BM.medicao-1)&gt;0),M272/$I272*100,0))</f>
        <v>0</v>
      </c>
      <c r="K272" s="124">
        <f t="shared" ca="1" si="24"/>
        <v>0</v>
      </c>
      <c r="L272" s="379">
        <f ca="1">IF($A272="S",IF(CAIXA.Modo,BM.AFAcumulado,BM.MEDAcumulado),IF(AND(RegimeExecucao="Global",$I272&gt;0,COUNTIF($AB$13:$AM$13,BM.medicao)&gt;0),O272/$I272*100,0))</f>
        <v>0</v>
      </c>
      <c r="M272" s="380">
        <f ca="1">IF($A272="S",VTOTALBM,IF($A272=0,0,ROUND(SomaAgrupBM,15-13*ORÇAMENTO!$AF$11)))</f>
        <v>0</v>
      </c>
      <c r="N272" s="381">
        <f t="shared" ca="1" si="25"/>
        <v>0</v>
      </c>
      <c r="O272" s="127">
        <f ca="1">IF($A272="S",VTOTALBM,IF($A272=0,0,ROUND(SomaAgrupBM,15-13*ORÇAMENTO!$AF$11)))</f>
        <v>0</v>
      </c>
      <c r="Q272" s="382"/>
      <c r="R272" s="383"/>
      <c r="T272" s="119" t="str">
        <f t="shared" ca="1" si="26"/>
        <v/>
      </c>
      <c r="U272" s="172" t="str">
        <f t="shared" ca="1" si="27"/>
        <v/>
      </c>
      <c r="V272" s="173" t="str">
        <f ca="1">IF(AND($W272&gt;0,RegimeExecucao="Unitário"),$F272,"")</f>
        <v/>
      </c>
      <c r="W272" s="547">
        <f ca="1">IF($Y272&gt;0,CHOOSE(MATCH(RegimeExecucao,{"Unitário","Global"},0),IF($A272="S",$Y272/$X272,""),($Y272/$X272)*100),0)</f>
        <v>0</v>
      </c>
      <c r="X272" s="384" t="str">
        <f ca="1">IF($Y272&gt;0,CHOOSE(MATCH(RegimeExecucao,{"Unitário","Global"},0),IF($A272="S",ROUND($H272,ORÇAMENTO!$AF$10),""),ROUND($I272,ORÇAMENTO!$AF$11)),"")</f>
        <v/>
      </c>
      <c r="Y272" s="384">
        <f t="shared" ca="1" si="28"/>
        <v>0</v>
      </c>
      <c r="Z272" s="572"/>
      <c r="AB272" s="382"/>
      <c r="AC272" s="516"/>
      <c r="AD272" s="516"/>
      <c r="AE272" s="516"/>
      <c r="AF272" s="516"/>
      <c r="AG272" s="516"/>
      <c r="AH272" s="516"/>
      <c r="AI272" s="516"/>
      <c r="AJ272" s="516"/>
      <c r="AK272" s="516"/>
      <c r="AL272" s="516"/>
      <c r="AM272" s="383"/>
      <c r="AO272">
        <f ca="1">IF($A272="S",IF(BM!$I272=0,0,CHOOSE(MATCH(RegimeExecucao,{"Global","Unitário"},0),ROUND(ROUND(BM.MEDAcumulado,15-13*BM!$A$9)/100*BM!$I272,15-13*ORÇAMENTO!$AF$11),ROUND(ROUND(BM.MEDAcumulado,15-13*BM!$A$9)*ROUND(BM!$H272,15-13*ORÇAMENTO!$AF$10),15-13*ORÇAMENTO!$AF$11))),IF($A272=0,0,ROUND(SomaAgrupBM,15-13*ORÇAMENTO!$AF$11)))</f>
        <v>0</v>
      </c>
    </row>
    <row r="273" spans="1:41" ht="25.5" x14ac:dyDescent="0.2">
      <c r="A273" t="str">
        <f ca="1">ORÇAMENTO!C273</f>
        <v>S</v>
      </c>
      <c r="B273">
        <f ca="1">ORÇAMENTO!D273</f>
        <v>0</v>
      </c>
      <c r="C273" s="116" t="str">
        <f t="shared" ca="1" si="22"/>
        <v/>
      </c>
      <c r="D273" s="119" t="str">
        <f ca="1">ORÇAMENTO!O273</f>
        <v>-</v>
      </c>
      <c r="E273" s="172" t="str">
        <f t="shared" ca="1" si="23"/>
        <v>(abra o arquivo 'Referência 06-2024.xlsm)</v>
      </c>
      <c r="F273" s="173" t="str">
        <f ca="1">IF(RegimeExecucao="Global","",ORÇAMENTO.Unidade)</f>
        <v/>
      </c>
      <c r="G273" s="124" t="str">
        <f ca="1">IF(RegimeExecucao="Global","",ORÇAMENTO!T273)</f>
        <v/>
      </c>
      <c r="H273" s="124" t="str">
        <f ca="1">IF(RegimeExecucao="Global","",ORÇAMENTO!W273)</f>
        <v/>
      </c>
      <c r="I273" s="127">
        <f ca="1">ORÇAMENTO!X273</f>
        <v>0</v>
      </c>
      <c r="J273" s="378">
        <f ca="1">IF($A273="S",IF(CAIXA.Modo,BM.AFAnterior,BM.MEDAnterior),IF(AND(RegimeExecucao="Global",$I273&gt;0,COUNTIF($AB$13:$AM$13,BM.medicao-1)&gt;0),M273/$I273*100,0))</f>
        <v>0</v>
      </c>
      <c r="K273" s="124">
        <f t="shared" ca="1" si="24"/>
        <v>0</v>
      </c>
      <c r="L273" s="379">
        <f ca="1">IF($A273="S",IF(CAIXA.Modo,BM.AFAcumulado,BM.MEDAcumulado),IF(AND(RegimeExecucao="Global",$I273&gt;0,COUNTIF($AB$13:$AM$13,BM.medicao)&gt;0),O273/$I273*100,0))</f>
        <v>0</v>
      </c>
      <c r="M273" s="380">
        <f ca="1">IF($A273="S",VTOTALBM,IF($A273=0,0,ROUND(SomaAgrupBM,15-13*ORÇAMENTO!$AF$11)))</f>
        <v>0</v>
      </c>
      <c r="N273" s="381">
        <f t="shared" ca="1" si="25"/>
        <v>0</v>
      </c>
      <c r="O273" s="127">
        <f ca="1">IF($A273="S",VTOTALBM,IF($A273=0,0,ROUND(SomaAgrupBM,15-13*ORÇAMENTO!$AF$11)))</f>
        <v>0</v>
      </c>
      <c r="Q273" s="382"/>
      <c r="R273" s="383"/>
      <c r="T273" s="119" t="str">
        <f t="shared" ca="1" si="26"/>
        <v/>
      </c>
      <c r="U273" s="172" t="str">
        <f t="shared" ca="1" si="27"/>
        <v/>
      </c>
      <c r="V273" s="173" t="str">
        <f ca="1">IF(AND($W273&gt;0,RegimeExecucao="Unitário"),$F273,"")</f>
        <v/>
      </c>
      <c r="W273" s="547">
        <f ca="1">IF($Y273&gt;0,CHOOSE(MATCH(RegimeExecucao,{"Unitário","Global"},0),IF($A273="S",$Y273/$X273,""),($Y273/$X273)*100),0)</f>
        <v>0</v>
      </c>
      <c r="X273" s="384" t="str">
        <f ca="1">IF($Y273&gt;0,CHOOSE(MATCH(RegimeExecucao,{"Unitário","Global"},0),IF($A273="S",ROUND($H273,ORÇAMENTO!$AF$10),""),ROUND($I273,ORÇAMENTO!$AF$11)),"")</f>
        <v/>
      </c>
      <c r="Y273" s="384">
        <f t="shared" ca="1" si="28"/>
        <v>0</v>
      </c>
      <c r="Z273" s="572"/>
      <c r="AB273" s="382"/>
      <c r="AC273" s="516"/>
      <c r="AD273" s="516"/>
      <c r="AE273" s="516"/>
      <c r="AF273" s="516"/>
      <c r="AG273" s="516"/>
      <c r="AH273" s="516"/>
      <c r="AI273" s="516"/>
      <c r="AJ273" s="516"/>
      <c r="AK273" s="516"/>
      <c r="AL273" s="516"/>
      <c r="AM273" s="383"/>
      <c r="AO273">
        <f ca="1">IF($A273="S",IF(BM!$I273=0,0,CHOOSE(MATCH(RegimeExecucao,{"Global","Unitário"},0),ROUND(ROUND(BM.MEDAcumulado,15-13*BM!$A$9)/100*BM!$I273,15-13*ORÇAMENTO!$AF$11),ROUND(ROUND(BM.MEDAcumulado,15-13*BM!$A$9)*ROUND(BM!$H273,15-13*ORÇAMENTO!$AF$10),15-13*ORÇAMENTO!$AF$11))),IF($A273=0,0,ROUND(SomaAgrupBM,15-13*ORÇAMENTO!$AF$11)))</f>
        <v>0</v>
      </c>
    </row>
    <row r="274" spans="1:41" ht="25.5" x14ac:dyDescent="0.2">
      <c r="A274" t="str">
        <f ca="1">ORÇAMENTO!C274</f>
        <v>S</v>
      </c>
      <c r="B274">
        <f ca="1">ORÇAMENTO!D274</f>
        <v>0</v>
      </c>
      <c r="C274" s="116" t="str">
        <f t="shared" ca="1" si="22"/>
        <v/>
      </c>
      <c r="D274" s="119" t="str">
        <f ca="1">ORÇAMENTO!O274</f>
        <v>-</v>
      </c>
      <c r="E274" s="172" t="str">
        <f t="shared" ca="1" si="23"/>
        <v>(abra o arquivo 'Referência 06-2024.xlsm)</v>
      </c>
      <c r="F274" s="173" t="str">
        <f ca="1">IF(RegimeExecucao="Global","",ORÇAMENTO.Unidade)</f>
        <v/>
      </c>
      <c r="G274" s="124" t="str">
        <f ca="1">IF(RegimeExecucao="Global","",ORÇAMENTO!T274)</f>
        <v/>
      </c>
      <c r="H274" s="124" t="str">
        <f ca="1">IF(RegimeExecucao="Global","",ORÇAMENTO!W274)</f>
        <v/>
      </c>
      <c r="I274" s="127">
        <f ca="1">ORÇAMENTO!X274</f>
        <v>0</v>
      </c>
      <c r="J274" s="378">
        <f ca="1">IF($A274="S",IF(CAIXA.Modo,BM.AFAnterior,BM.MEDAnterior),IF(AND(RegimeExecucao="Global",$I274&gt;0,COUNTIF($AB$13:$AM$13,BM.medicao-1)&gt;0),M274/$I274*100,0))</f>
        <v>0</v>
      </c>
      <c r="K274" s="124">
        <f t="shared" ca="1" si="24"/>
        <v>0</v>
      </c>
      <c r="L274" s="379">
        <f ca="1">IF($A274="S",IF(CAIXA.Modo,BM.AFAcumulado,BM.MEDAcumulado),IF(AND(RegimeExecucao="Global",$I274&gt;0,COUNTIF($AB$13:$AM$13,BM.medicao)&gt;0),O274/$I274*100,0))</f>
        <v>0</v>
      </c>
      <c r="M274" s="380">
        <f ca="1">IF($A274="S",VTOTALBM,IF($A274=0,0,ROUND(SomaAgrupBM,15-13*ORÇAMENTO!$AF$11)))</f>
        <v>0</v>
      </c>
      <c r="N274" s="381">
        <f t="shared" ca="1" si="25"/>
        <v>0</v>
      </c>
      <c r="O274" s="127">
        <f ca="1">IF($A274="S",VTOTALBM,IF($A274=0,0,ROUND(SomaAgrupBM,15-13*ORÇAMENTO!$AF$11)))</f>
        <v>0</v>
      </c>
      <c r="Q274" s="382"/>
      <c r="R274" s="383"/>
      <c r="T274" s="119" t="str">
        <f t="shared" ca="1" si="26"/>
        <v/>
      </c>
      <c r="U274" s="172" t="str">
        <f t="shared" ca="1" si="27"/>
        <v/>
      </c>
      <c r="V274" s="173" t="str">
        <f ca="1">IF(AND($W274&gt;0,RegimeExecucao="Unitário"),$F274,"")</f>
        <v/>
      </c>
      <c r="W274" s="547">
        <f ca="1">IF($Y274&gt;0,CHOOSE(MATCH(RegimeExecucao,{"Unitário","Global"},0),IF($A274="S",$Y274/$X274,""),($Y274/$X274)*100),0)</f>
        <v>0</v>
      </c>
      <c r="X274" s="384" t="str">
        <f ca="1">IF($Y274&gt;0,CHOOSE(MATCH(RegimeExecucao,{"Unitário","Global"},0),IF($A274="S",ROUND($H274,ORÇAMENTO!$AF$10),""),ROUND($I274,ORÇAMENTO!$AF$11)),"")</f>
        <v/>
      </c>
      <c r="Y274" s="384">
        <f t="shared" ca="1" si="28"/>
        <v>0</v>
      </c>
      <c r="Z274" s="572"/>
      <c r="AB274" s="382"/>
      <c r="AC274" s="516"/>
      <c r="AD274" s="516"/>
      <c r="AE274" s="516"/>
      <c r="AF274" s="516"/>
      <c r="AG274" s="516"/>
      <c r="AH274" s="516"/>
      <c r="AI274" s="516"/>
      <c r="AJ274" s="516"/>
      <c r="AK274" s="516"/>
      <c r="AL274" s="516"/>
      <c r="AM274" s="383"/>
      <c r="AO274">
        <f ca="1">IF($A274="S",IF(BM!$I274=0,0,CHOOSE(MATCH(RegimeExecucao,{"Global","Unitário"},0),ROUND(ROUND(BM.MEDAcumulado,15-13*BM!$A$9)/100*BM!$I274,15-13*ORÇAMENTO!$AF$11),ROUND(ROUND(BM.MEDAcumulado,15-13*BM!$A$9)*ROUND(BM!$H274,15-13*ORÇAMENTO!$AF$10),15-13*ORÇAMENTO!$AF$11))),IF($A274=0,0,ROUND(SomaAgrupBM,15-13*ORÇAMENTO!$AF$11)))</f>
        <v>0</v>
      </c>
    </row>
    <row r="275" spans="1:41" ht="38.25" x14ac:dyDescent="0.2">
      <c r="A275" t="str">
        <f ca="1">ORÇAMENTO!C275</f>
        <v>S</v>
      </c>
      <c r="B275">
        <f ca="1">ORÇAMENTO!D275</f>
        <v>0</v>
      </c>
      <c r="C275" s="116" t="str">
        <f t="shared" ca="1" si="22"/>
        <v/>
      </c>
      <c r="D275" s="119" t="str">
        <f ca="1">ORÇAMENTO!O275</f>
        <v>-</v>
      </c>
      <c r="E275" s="172" t="str">
        <f t="shared" ca="1" si="23"/>
        <v>(abra o arquivo 'Referência 06-2024.xlsm)</v>
      </c>
      <c r="F275" s="173" t="str">
        <f ca="1">IF(RegimeExecucao="Global","",ORÇAMENTO.Unidade)</f>
        <v/>
      </c>
      <c r="G275" s="124" t="str">
        <f ca="1">IF(RegimeExecucao="Global","",ORÇAMENTO!T275)</f>
        <v/>
      </c>
      <c r="H275" s="124" t="str">
        <f ca="1">IF(RegimeExecucao="Global","",ORÇAMENTO!W275)</f>
        <v/>
      </c>
      <c r="I275" s="127">
        <f ca="1">ORÇAMENTO!X275</f>
        <v>0</v>
      </c>
      <c r="J275" s="378">
        <f ca="1">IF($A275="S",IF(CAIXA.Modo,BM.AFAnterior,BM.MEDAnterior),IF(AND(RegimeExecucao="Global",$I275&gt;0,COUNTIF($AB$13:$AM$13,BM.medicao-1)&gt;0),M275/$I275*100,0))</f>
        <v>0</v>
      </c>
      <c r="K275" s="124">
        <f t="shared" ca="1" si="24"/>
        <v>0</v>
      </c>
      <c r="L275" s="379">
        <f ca="1">IF($A275="S",IF(CAIXA.Modo,BM.AFAcumulado,BM.MEDAcumulado),IF(AND(RegimeExecucao="Global",$I275&gt;0,COUNTIF($AB$13:$AM$13,BM.medicao)&gt;0),O275/$I275*100,0))</f>
        <v>0</v>
      </c>
      <c r="M275" s="380">
        <f ca="1">IF($A275="S",VTOTALBM,IF($A275=0,0,ROUND(SomaAgrupBM,15-13*ORÇAMENTO!$AF$11)))</f>
        <v>0</v>
      </c>
      <c r="N275" s="381">
        <f t="shared" ca="1" si="25"/>
        <v>0</v>
      </c>
      <c r="O275" s="127">
        <f ca="1">IF($A275="S",VTOTALBM,IF($A275=0,0,ROUND(SomaAgrupBM,15-13*ORÇAMENTO!$AF$11)))</f>
        <v>0</v>
      </c>
      <c r="Q275" s="382"/>
      <c r="R275" s="383"/>
      <c r="T275" s="119" t="str">
        <f t="shared" ca="1" si="26"/>
        <v/>
      </c>
      <c r="U275" s="172" t="str">
        <f t="shared" ca="1" si="27"/>
        <v/>
      </c>
      <c r="V275" s="173" t="str">
        <f ca="1">IF(AND($W275&gt;0,RegimeExecucao="Unitário"),$F275,"")</f>
        <v/>
      </c>
      <c r="W275" s="547">
        <f ca="1">IF($Y275&gt;0,CHOOSE(MATCH(RegimeExecucao,{"Unitário","Global"},0),IF($A275="S",$Y275/$X275,""),($Y275/$X275)*100),0)</f>
        <v>0</v>
      </c>
      <c r="X275" s="384" t="str">
        <f ca="1">IF($Y275&gt;0,CHOOSE(MATCH(RegimeExecucao,{"Unitário","Global"},0),IF($A275="S",ROUND($H275,ORÇAMENTO!$AF$10),""),ROUND($I275,ORÇAMENTO!$AF$11)),"")</f>
        <v/>
      </c>
      <c r="Y275" s="384">
        <f t="shared" ca="1" si="28"/>
        <v>0</v>
      </c>
      <c r="Z275" s="572"/>
      <c r="AB275" s="382"/>
      <c r="AC275" s="516"/>
      <c r="AD275" s="516"/>
      <c r="AE275" s="516"/>
      <c r="AF275" s="516"/>
      <c r="AG275" s="516"/>
      <c r="AH275" s="516"/>
      <c r="AI275" s="516"/>
      <c r="AJ275" s="516"/>
      <c r="AK275" s="516"/>
      <c r="AL275" s="516"/>
      <c r="AM275" s="383"/>
      <c r="AO275">
        <f ca="1">IF($A275="S",IF(BM!$I275=0,0,CHOOSE(MATCH(RegimeExecucao,{"Global","Unitário"},0),ROUND(ROUND(BM.MEDAcumulado,15-13*BM!$A$9)/100*BM!$I275,15-13*ORÇAMENTO!$AF$11),ROUND(ROUND(BM.MEDAcumulado,15-13*BM!$A$9)*ROUND(BM!$H275,15-13*ORÇAMENTO!$AF$10),15-13*ORÇAMENTO!$AF$11))),IF($A275=0,0,ROUND(SomaAgrupBM,15-13*ORÇAMENTO!$AF$11)))</f>
        <v>0</v>
      </c>
    </row>
    <row r="276" spans="1:41" ht="38.25" x14ac:dyDescent="0.2">
      <c r="A276" t="str">
        <f ca="1">ORÇAMENTO!C276</f>
        <v>S</v>
      </c>
      <c r="B276">
        <f ca="1">ORÇAMENTO!D276</f>
        <v>0</v>
      </c>
      <c r="C276" s="116" t="str">
        <f t="shared" ca="1" si="22"/>
        <v/>
      </c>
      <c r="D276" s="119" t="str">
        <f ca="1">ORÇAMENTO!O276</f>
        <v>-</v>
      </c>
      <c r="E276" s="172" t="str">
        <f t="shared" ca="1" si="23"/>
        <v>(abra o arquivo 'Referência 06-2024.xlsm)</v>
      </c>
      <c r="F276" s="173" t="str">
        <f ca="1">IF(RegimeExecucao="Global","",ORÇAMENTO.Unidade)</f>
        <v/>
      </c>
      <c r="G276" s="124" t="str">
        <f ca="1">IF(RegimeExecucao="Global","",ORÇAMENTO!T276)</f>
        <v/>
      </c>
      <c r="H276" s="124" t="str">
        <f ca="1">IF(RegimeExecucao="Global","",ORÇAMENTO!W276)</f>
        <v/>
      </c>
      <c r="I276" s="127">
        <f ca="1">ORÇAMENTO!X276</f>
        <v>0</v>
      </c>
      <c r="J276" s="378">
        <f ca="1">IF($A276="S",IF(CAIXA.Modo,BM.AFAnterior,BM.MEDAnterior),IF(AND(RegimeExecucao="Global",$I276&gt;0,COUNTIF($AB$13:$AM$13,BM.medicao-1)&gt;0),M276/$I276*100,0))</f>
        <v>0</v>
      </c>
      <c r="K276" s="124">
        <f t="shared" ca="1" si="24"/>
        <v>0</v>
      </c>
      <c r="L276" s="379">
        <f ca="1">IF($A276="S",IF(CAIXA.Modo,BM.AFAcumulado,BM.MEDAcumulado),IF(AND(RegimeExecucao="Global",$I276&gt;0,COUNTIF($AB$13:$AM$13,BM.medicao)&gt;0),O276/$I276*100,0))</f>
        <v>0</v>
      </c>
      <c r="M276" s="380">
        <f ca="1">IF($A276="S",VTOTALBM,IF($A276=0,0,ROUND(SomaAgrupBM,15-13*ORÇAMENTO!$AF$11)))</f>
        <v>0</v>
      </c>
      <c r="N276" s="381">
        <f t="shared" ca="1" si="25"/>
        <v>0</v>
      </c>
      <c r="O276" s="127">
        <f ca="1">IF($A276="S",VTOTALBM,IF($A276=0,0,ROUND(SomaAgrupBM,15-13*ORÇAMENTO!$AF$11)))</f>
        <v>0</v>
      </c>
      <c r="Q276" s="382"/>
      <c r="R276" s="383"/>
      <c r="T276" s="119" t="str">
        <f t="shared" ca="1" si="26"/>
        <v/>
      </c>
      <c r="U276" s="172" t="str">
        <f t="shared" ca="1" si="27"/>
        <v/>
      </c>
      <c r="V276" s="173" t="str">
        <f ca="1">IF(AND($W276&gt;0,RegimeExecucao="Unitário"),$F276,"")</f>
        <v/>
      </c>
      <c r="W276" s="547">
        <f ca="1">IF($Y276&gt;0,CHOOSE(MATCH(RegimeExecucao,{"Unitário","Global"},0),IF($A276="S",$Y276/$X276,""),($Y276/$X276)*100),0)</f>
        <v>0</v>
      </c>
      <c r="X276" s="384" t="str">
        <f ca="1">IF($Y276&gt;0,CHOOSE(MATCH(RegimeExecucao,{"Unitário","Global"},0),IF($A276="S",ROUND($H276,ORÇAMENTO!$AF$10),""),ROUND($I276,ORÇAMENTO!$AF$11)),"")</f>
        <v/>
      </c>
      <c r="Y276" s="384">
        <f t="shared" ca="1" si="28"/>
        <v>0</v>
      </c>
      <c r="Z276" s="572"/>
      <c r="AB276" s="382"/>
      <c r="AC276" s="516"/>
      <c r="AD276" s="516"/>
      <c r="AE276" s="516"/>
      <c r="AF276" s="516"/>
      <c r="AG276" s="516"/>
      <c r="AH276" s="516"/>
      <c r="AI276" s="516"/>
      <c r="AJ276" s="516"/>
      <c r="AK276" s="516"/>
      <c r="AL276" s="516"/>
      <c r="AM276" s="383"/>
      <c r="AO276">
        <f ca="1">IF($A276="S",IF(BM!$I276=0,0,CHOOSE(MATCH(RegimeExecucao,{"Global","Unitário"},0),ROUND(ROUND(BM.MEDAcumulado,15-13*BM!$A$9)/100*BM!$I276,15-13*ORÇAMENTO!$AF$11),ROUND(ROUND(BM.MEDAcumulado,15-13*BM!$A$9)*ROUND(BM!$H276,15-13*ORÇAMENTO!$AF$10),15-13*ORÇAMENTO!$AF$11))),IF($A276=0,0,ROUND(SomaAgrupBM,15-13*ORÇAMENTO!$AF$11)))</f>
        <v>0</v>
      </c>
    </row>
    <row r="277" spans="1:41" ht="38.25" x14ac:dyDescent="0.2">
      <c r="A277" t="str">
        <f ca="1">ORÇAMENTO!C277</f>
        <v>S</v>
      </c>
      <c r="B277">
        <f ca="1">ORÇAMENTO!D277</f>
        <v>0</v>
      </c>
      <c r="C277" s="116" t="str">
        <f t="shared" ca="1" si="22"/>
        <v/>
      </c>
      <c r="D277" s="119" t="str">
        <f ca="1">ORÇAMENTO!O277</f>
        <v>-</v>
      </c>
      <c r="E277" s="172" t="str">
        <f t="shared" ca="1" si="23"/>
        <v>(abra o arquivo 'Referência 06-2024.xlsm)</v>
      </c>
      <c r="F277" s="173" t="str">
        <f ca="1">IF(RegimeExecucao="Global","",ORÇAMENTO.Unidade)</f>
        <v/>
      </c>
      <c r="G277" s="124" t="str">
        <f ca="1">IF(RegimeExecucao="Global","",ORÇAMENTO!T277)</f>
        <v/>
      </c>
      <c r="H277" s="124" t="str">
        <f ca="1">IF(RegimeExecucao="Global","",ORÇAMENTO!W277)</f>
        <v/>
      </c>
      <c r="I277" s="127">
        <f ca="1">ORÇAMENTO!X277</f>
        <v>0</v>
      </c>
      <c r="J277" s="378">
        <f ca="1">IF($A277="S",IF(CAIXA.Modo,BM.AFAnterior,BM.MEDAnterior),IF(AND(RegimeExecucao="Global",$I277&gt;0,COUNTIF($AB$13:$AM$13,BM.medicao-1)&gt;0),M277/$I277*100,0))</f>
        <v>0</v>
      </c>
      <c r="K277" s="124">
        <f t="shared" ca="1" si="24"/>
        <v>0</v>
      </c>
      <c r="L277" s="379">
        <f ca="1">IF($A277="S",IF(CAIXA.Modo,BM.AFAcumulado,BM.MEDAcumulado),IF(AND(RegimeExecucao="Global",$I277&gt;0,COUNTIF($AB$13:$AM$13,BM.medicao)&gt;0),O277/$I277*100,0))</f>
        <v>0</v>
      </c>
      <c r="M277" s="380">
        <f ca="1">IF($A277="S",VTOTALBM,IF($A277=0,0,ROUND(SomaAgrupBM,15-13*ORÇAMENTO!$AF$11)))</f>
        <v>0</v>
      </c>
      <c r="N277" s="381">
        <f t="shared" ca="1" si="25"/>
        <v>0</v>
      </c>
      <c r="O277" s="127">
        <f ca="1">IF($A277="S",VTOTALBM,IF($A277=0,0,ROUND(SomaAgrupBM,15-13*ORÇAMENTO!$AF$11)))</f>
        <v>0</v>
      </c>
      <c r="Q277" s="382"/>
      <c r="R277" s="383"/>
      <c r="T277" s="119" t="str">
        <f t="shared" ca="1" si="26"/>
        <v/>
      </c>
      <c r="U277" s="172" t="str">
        <f t="shared" ca="1" si="27"/>
        <v/>
      </c>
      <c r="V277" s="173" t="str">
        <f ca="1">IF(AND($W277&gt;0,RegimeExecucao="Unitário"),$F277,"")</f>
        <v/>
      </c>
      <c r="W277" s="547">
        <f ca="1">IF($Y277&gt;0,CHOOSE(MATCH(RegimeExecucao,{"Unitário","Global"},0),IF($A277="S",$Y277/$X277,""),($Y277/$X277)*100),0)</f>
        <v>0</v>
      </c>
      <c r="X277" s="384" t="str">
        <f ca="1">IF($Y277&gt;0,CHOOSE(MATCH(RegimeExecucao,{"Unitário","Global"},0),IF($A277="S",ROUND($H277,ORÇAMENTO!$AF$10),""),ROUND($I277,ORÇAMENTO!$AF$11)),"")</f>
        <v/>
      </c>
      <c r="Y277" s="384">
        <f t="shared" ca="1" si="28"/>
        <v>0</v>
      </c>
      <c r="Z277" s="572"/>
      <c r="AB277" s="382"/>
      <c r="AC277" s="516"/>
      <c r="AD277" s="516"/>
      <c r="AE277" s="516"/>
      <c r="AF277" s="516"/>
      <c r="AG277" s="516"/>
      <c r="AH277" s="516"/>
      <c r="AI277" s="516"/>
      <c r="AJ277" s="516"/>
      <c r="AK277" s="516"/>
      <c r="AL277" s="516"/>
      <c r="AM277" s="383"/>
      <c r="AO277">
        <f ca="1">IF($A277="S",IF(BM!$I277=0,0,CHOOSE(MATCH(RegimeExecucao,{"Global","Unitário"},0),ROUND(ROUND(BM.MEDAcumulado,15-13*BM!$A$9)/100*BM!$I277,15-13*ORÇAMENTO!$AF$11),ROUND(ROUND(BM.MEDAcumulado,15-13*BM!$A$9)*ROUND(BM!$H277,15-13*ORÇAMENTO!$AF$10),15-13*ORÇAMENTO!$AF$11))),IF($A277=0,0,ROUND(SomaAgrupBM,15-13*ORÇAMENTO!$AF$11)))</f>
        <v>0</v>
      </c>
    </row>
    <row r="278" spans="1:41" ht="38.25" x14ac:dyDescent="0.2">
      <c r="A278" t="str">
        <f ca="1">ORÇAMENTO!C278</f>
        <v>S</v>
      </c>
      <c r="B278">
        <f ca="1">ORÇAMENTO!D278</f>
        <v>0</v>
      </c>
      <c r="C278" s="116" t="str">
        <f t="shared" ca="1" si="22"/>
        <v/>
      </c>
      <c r="D278" s="119" t="str">
        <f ca="1">ORÇAMENTO!O278</f>
        <v>-</v>
      </c>
      <c r="E278" s="172" t="str">
        <f t="shared" ca="1" si="23"/>
        <v>(abra o arquivo 'Referência 06-2024.xlsm)</v>
      </c>
      <c r="F278" s="173" t="str">
        <f ca="1">IF(RegimeExecucao="Global","",ORÇAMENTO.Unidade)</f>
        <v/>
      </c>
      <c r="G278" s="124" t="str">
        <f ca="1">IF(RegimeExecucao="Global","",ORÇAMENTO!T278)</f>
        <v/>
      </c>
      <c r="H278" s="124" t="str">
        <f ca="1">IF(RegimeExecucao="Global","",ORÇAMENTO!W278)</f>
        <v/>
      </c>
      <c r="I278" s="127">
        <f ca="1">ORÇAMENTO!X278</f>
        <v>0</v>
      </c>
      <c r="J278" s="378">
        <f ca="1">IF($A278="S",IF(CAIXA.Modo,BM.AFAnterior,BM.MEDAnterior),IF(AND(RegimeExecucao="Global",$I278&gt;0,COUNTIF($AB$13:$AM$13,BM.medicao-1)&gt;0),M278/$I278*100,0))</f>
        <v>0</v>
      </c>
      <c r="K278" s="124">
        <f t="shared" ca="1" si="24"/>
        <v>0</v>
      </c>
      <c r="L278" s="379">
        <f ca="1">IF($A278="S",IF(CAIXA.Modo,BM.AFAcumulado,BM.MEDAcumulado),IF(AND(RegimeExecucao="Global",$I278&gt;0,COUNTIF($AB$13:$AM$13,BM.medicao)&gt;0),O278/$I278*100,0))</f>
        <v>0</v>
      </c>
      <c r="M278" s="380">
        <f ca="1">IF($A278="S",VTOTALBM,IF($A278=0,0,ROUND(SomaAgrupBM,15-13*ORÇAMENTO!$AF$11)))</f>
        <v>0</v>
      </c>
      <c r="N278" s="381">
        <f t="shared" ca="1" si="25"/>
        <v>0</v>
      </c>
      <c r="O278" s="127">
        <f ca="1">IF($A278="S",VTOTALBM,IF($A278=0,0,ROUND(SomaAgrupBM,15-13*ORÇAMENTO!$AF$11)))</f>
        <v>0</v>
      </c>
      <c r="Q278" s="382"/>
      <c r="R278" s="383"/>
      <c r="T278" s="119" t="str">
        <f t="shared" ca="1" si="26"/>
        <v/>
      </c>
      <c r="U278" s="172" t="str">
        <f t="shared" ca="1" si="27"/>
        <v/>
      </c>
      <c r="V278" s="173" t="str">
        <f ca="1">IF(AND($W278&gt;0,RegimeExecucao="Unitário"),$F278,"")</f>
        <v/>
      </c>
      <c r="W278" s="547">
        <f ca="1">IF($Y278&gt;0,CHOOSE(MATCH(RegimeExecucao,{"Unitário","Global"},0),IF($A278="S",$Y278/$X278,""),($Y278/$X278)*100),0)</f>
        <v>0</v>
      </c>
      <c r="X278" s="384" t="str">
        <f ca="1">IF($Y278&gt;0,CHOOSE(MATCH(RegimeExecucao,{"Unitário","Global"},0),IF($A278="S",ROUND($H278,ORÇAMENTO!$AF$10),""),ROUND($I278,ORÇAMENTO!$AF$11)),"")</f>
        <v/>
      </c>
      <c r="Y278" s="384">
        <f t="shared" ca="1" si="28"/>
        <v>0</v>
      </c>
      <c r="Z278" s="572"/>
      <c r="AB278" s="382"/>
      <c r="AC278" s="516"/>
      <c r="AD278" s="516"/>
      <c r="AE278" s="516"/>
      <c r="AF278" s="516"/>
      <c r="AG278" s="516"/>
      <c r="AH278" s="516"/>
      <c r="AI278" s="516"/>
      <c r="AJ278" s="516"/>
      <c r="AK278" s="516"/>
      <c r="AL278" s="516"/>
      <c r="AM278" s="383"/>
      <c r="AO278">
        <f ca="1">IF($A278="S",IF(BM!$I278=0,0,CHOOSE(MATCH(RegimeExecucao,{"Global","Unitário"},0),ROUND(ROUND(BM.MEDAcumulado,15-13*BM!$A$9)/100*BM!$I278,15-13*ORÇAMENTO!$AF$11),ROUND(ROUND(BM.MEDAcumulado,15-13*BM!$A$9)*ROUND(BM!$H278,15-13*ORÇAMENTO!$AF$10),15-13*ORÇAMENTO!$AF$11))),IF($A278=0,0,ROUND(SomaAgrupBM,15-13*ORÇAMENTO!$AF$11)))</f>
        <v>0</v>
      </c>
    </row>
    <row r="279" spans="1:41" ht="38.25" x14ac:dyDescent="0.2">
      <c r="A279" t="str">
        <f ca="1">ORÇAMENTO!C279</f>
        <v>S</v>
      </c>
      <c r="B279">
        <f ca="1">ORÇAMENTO!D279</f>
        <v>0</v>
      </c>
      <c r="C279" s="116" t="str">
        <f t="shared" ca="1" si="22"/>
        <v/>
      </c>
      <c r="D279" s="119" t="str">
        <f ca="1">ORÇAMENTO!O279</f>
        <v>-</v>
      </c>
      <c r="E279" s="172" t="str">
        <f t="shared" ca="1" si="23"/>
        <v>(abra o arquivo 'Referência 06-2024.xlsm)</v>
      </c>
      <c r="F279" s="173" t="str">
        <f ca="1">IF(RegimeExecucao="Global","",ORÇAMENTO.Unidade)</f>
        <v/>
      </c>
      <c r="G279" s="124" t="str">
        <f ca="1">IF(RegimeExecucao="Global","",ORÇAMENTO!T279)</f>
        <v/>
      </c>
      <c r="H279" s="124" t="str">
        <f ca="1">IF(RegimeExecucao="Global","",ORÇAMENTO!W279)</f>
        <v/>
      </c>
      <c r="I279" s="127">
        <f ca="1">ORÇAMENTO!X279</f>
        <v>0</v>
      </c>
      <c r="J279" s="378">
        <f ca="1">IF($A279="S",IF(CAIXA.Modo,BM.AFAnterior,BM.MEDAnterior),IF(AND(RegimeExecucao="Global",$I279&gt;0,COUNTIF($AB$13:$AM$13,BM.medicao-1)&gt;0),M279/$I279*100,0))</f>
        <v>0</v>
      </c>
      <c r="K279" s="124">
        <f t="shared" ca="1" si="24"/>
        <v>0</v>
      </c>
      <c r="L279" s="379">
        <f ca="1">IF($A279="S",IF(CAIXA.Modo,BM.AFAcumulado,BM.MEDAcumulado),IF(AND(RegimeExecucao="Global",$I279&gt;0,COUNTIF($AB$13:$AM$13,BM.medicao)&gt;0),O279/$I279*100,0))</f>
        <v>0</v>
      </c>
      <c r="M279" s="380">
        <f ca="1">IF($A279="S",VTOTALBM,IF($A279=0,0,ROUND(SomaAgrupBM,15-13*ORÇAMENTO!$AF$11)))</f>
        <v>0</v>
      </c>
      <c r="N279" s="381">
        <f t="shared" ca="1" si="25"/>
        <v>0</v>
      </c>
      <c r="O279" s="127">
        <f ca="1">IF($A279="S",VTOTALBM,IF($A279=0,0,ROUND(SomaAgrupBM,15-13*ORÇAMENTO!$AF$11)))</f>
        <v>0</v>
      </c>
      <c r="Q279" s="382"/>
      <c r="R279" s="383"/>
      <c r="T279" s="119" t="str">
        <f t="shared" ca="1" si="26"/>
        <v/>
      </c>
      <c r="U279" s="172" t="str">
        <f t="shared" ca="1" si="27"/>
        <v/>
      </c>
      <c r="V279" s="173" t="str">
        <f ca="1">IF(AND($W279&gt;0,RegimeExecucao="Unitário"),$F279,"")</f>
        <v/>
      </c>
      <c r="W279" s="547">
        <f ca="1">IF($Y279&gt;0,CHOOSE(MATCH(RegimeExecucao,{"Unitário","Global"},0),IF($A279="S",$Y279/$X279,""),($Y279/$X279)*100),0)</f>
        <v>0</v>
      </c>
      <c r="X279" s="384" t="str">
        <f ca="1">IF($Y279&gt;0,CHOOSE(MATCH(RegimeExecucao,{"Unitário","Global"},0),IF($A279="S",ROUND($H279,ORÇAMENTO!$AF$10),""),ROUND($I279,ORÇAMENTO!$AF$11)),"")</f>
        <v/>
      </c>
      <c r="Y279" s="384">
        <f t="shared" ca="1" si="28"/>
        <v>0</v>
      </c>
      <c r="Z279" s="572"/>
      <c r="AB279" s="382"/>
      <c r="AC279" s="516"/>
      <c r="AD279" s="516"/>
      <c r="AE279" s="516"/>
      <c r="AF279" s="516"/>
      <c r="AG279" s="516"/>
      <c r="AH279" s="516"/>
      <c r="AI279" s="516"/>
      <c r="AJ279" s="516"/>
      <c r="AK279" s="516"/>
      <c r="AL279" s="516"/>
      <c r="AM279" s="383"/>
      <c r="AO279">
        <f ca="1">IF($A279="S",IF(BM!$I279=0,0,CHOOSE(MATCH(RegimeExecucao,{"Global","Unitário"},0),ROUND(ROUND(BM.MEDAcumulado,15-13*BM!$A$9)/100*BM!$I279,15-13*ORÇAMENTO!$AF$11),ROUND(ROUND(BM.MEDAcumulado,15-13*BM!$A$9)*ROUND(BM!$H279,15-13*ORÇAMENTO!$AF$10),15-13*ORÇAMENTO!$AF$11))),IF($A279=0,0,ROUND(SomaAgrupBM,15-13*ORÇAMENTO!$AF$11)))</f>
        <v>0</v>
      </c>
    </row>
    <row r="280" spans="1:41" ht="38.25" x14ac:dyDescent="0.2">
      <c r="A280" t="str">
        <f ca="1">ORÇAMENTO!C280</f>
        <v>S</v>
      </c>
      <c r="B280">
        <f ca="1">ORÇAMENTO!D280</f>
        <v>0</v>
      </c>
      <c r="C280" s="116" t="str">
        <f t="shared" ca="1" si="22"/>
        <v/>
      </c>
      <c r="D280" s="119" t="str">
        <f ca="1">ORÇAMENTO!O280</f>
        <v>-</v>
      </c>
      <c r="E280" s="172" t="str">
        <f t="shared" ca="1" si="23"/>
        <v>(abra o arquivo 'Referência 06-2024.xlsm)</v>
      </c>
      <c r="F280" s="173" t="str">
        <f ca="1">IF(RegimeExecucao="Global","",ORÇAMENTO.Unidade)</f>
        <v/>
      </c>
      <c r="G280" s="124" t="str">
        <f ca="1">IF(RegimeExecucao="Global","",ORÇAMENTO!T280)</f>
        <v/>
      </c>
      <c r="H280" s="124" t="str">
        <f ca="1">IF(RegimeExecucao="Global","",ORÇAMENTO!W280)</f>
        <v/>
      </c>
      <c r="I280" s="127">
        <f ca="1">ORÇAMENTO!X280</f>
        <v>0</v>
      </c>
      <c r="J280" s="378">
        <f ca="1">IF($A280="S",IF(CAIXA.Modo,BM.AFAnterior,BM.MEDAnterior),IF(AND(RegimeExecucao="Global",$I280&gt;0,COUNTIF($AB$13:$AM$13,BM.medicao-1)&gt;0),M280/$I280*100,0))</f>
        <v>0</v>
      </c>
      <c r="K280" s="124">
        <f t="shared" ca="1" si="24"/>
        <v>0</v>
      </c>
      <c r="L280" s="379">
        <f ca="1">IF($A280="S",IF(CAIXA.Modo,BM.AFAcumulado,BM.MEDAcumulado),IF(AND(RegimeExecucao="Global",$I280&gt;0,COUNTIF($AB$13:$AM$13,BM.medicao)&gt;0),O280/$I280*100,0))</f>
        <v>0</v>
      </c>
      <c r="M280" s="380">
        <f ca="1">IF($A280="S",VTOTALBM,IF($A280=0,0,ROUND(SomaAgrupBM,15-13*ORÇAMENTO!$AF$11)))</f>
        <v>0</v>
      </c>
      <c r="N280" s="381">
        <f t="shared" ca="1" si="25"/>
        <v>0</v>
      </c>
      <c r="O280" s="127">
        <f ca="1">IF($A280="S",VTOTALBM,IF($A280=0,0,ROUND(SomaAgrupBM,15-13*ORÇAMENTO!$AF$11)))</f>
        <v>0</v>
      </c>
      <c r="Q280" s="382"/>
      <c r="R280" s="383"/>
      <c r="T280" s="119" t="str">
        <f t="shared" ca="1" si="26"/>
        <v/>
      </c>
      <c r="U280" s="172" t="str">
        <f t="shared" ca="1" si="27"/>
        <v/>
      </c>
      <c r="V280" s="173" t="str">
        <f ca="1">IF(AND($W280&gt;0,RegimeExecucao="Unitário"),$F280,"")</f>
        <v/>
      </c>
      <c r="W280" s="547">
        <f ca="1">IF($Y280&gt;0,CHOOSE(MATCH(RegimeExecucao,{"Unitário","Global"},0),IF($A280="S",$Y280/$X280,""),($Y280/$X280)*100),0)</f>
        <v>0</v>
      </c>
      <c r="X280" s="384" t="str">
        <f ca="1">IF($Y280&gt;0,CHOOSE(MATCH(RegimeExecucao,{"Unitário","Global"},0),IF($A280="S",ROUND($H280,ORÇAMENTO!$AF$10),""),ROUND($I280,ORÇAMENTO!$AF$11)),"")</f>
        <v/>
      </c>
      <c r="Y280" s="384">
        <f t="shared" ca="1" si="28"/>
        <v>0</v>
      </c>
      <c r="Z280" s="572"/>
      <c r="AB280" s="382"/>
      <c r="AC280" s="516"/>
      <c r="AD280" s="516"/>
      <c r="AE280" s="516"/>
      <c r="AF280" s="516"/>
      <c r="AG280" s="516"/>
      <c r="AH280" s="516"/>
      <c r="AI280" s="516"/>
      <c r="AJ280" s="516"/>
      <c r="AK280" s="516"/>
      <c r="AL280" s="516"/>
      <c r="AM280" s="383"/>
      <c r="AO280">
        <f ca="1">IF($A280="S",IF(BM!$I280=0,0,CHOOSE(MATCH(RegimeExecucao,{"Global","Unitário"},0),ROUND(ROUND(BM.MEDAcumulado,15-13*BM!$A$9)/100*BM!$I280,15-13*ORÇAMENTO!$AF$11),ROUND(ROUND(BM.MEDAcumulado,15-13*BM!$A$9)*ROUND(BM!$H280,15-13*ORÇAMENTO!$AF$10),15-13*ORÇAMENTO!$AF$11))),IF($A280=0,0,ROUND(SomaAgrupBM,15-13*ORÇAMENTO!$AF$11)))</f>
        <v>0</v>
      </c>
    </row>
    <row r="281" spans="1:41" ht="25.5" x14ac:dyDescent="0.2">
      <c r="A281" t="str">
        <f ca="1">ORÇAMENTO!C281</f>
        <v>S</v>
      </c>
      <c r="B281">
        <f ca="1">ORÇAMENTO!D281</f>
        <v>0</v>
      </c>
      <c r="C281" s="116" t="str">
        <f t="shared" ca="1" si="22"/>
        <v/>
      </c>
      <c r="D281" s="119" t="str">
        <f ca="1">ORÇAMENTO!O281</f>
        <v>-</v>
      </c>
      <c r="E281" s="172" t="str">
        <f t="shared" ca="1" si="23"/>
        <v>(abra o arquivo 'Referência 06-2024.xlsm)</v>
      </c>
      <c r="F281" s="173" t="str">
        <f ca="1">IF(RegimeExecucao="Global","",ORÇAMENTO.Unidade)</f>
        <v/>
      </c>
      <c r="G281" s="124" t="str">
        <f ca="1">IF(RegimeExecucao="Global","",ORÇAMENTO!T281)</f>
        <v/>
      </c>
      <c r="H281" s="124" t="str">
        <f ca="1">IF(RegimeExecucao="Global","",ORÇAMENTO!W281)</f>
        <v/>
      </c>
      <c r="I281" s="127">
        <f ca="1">ORÇAMENTO!X281</f>
        <v>0</v>
      </c>
      <c r="J281" s="378">
        <f ca="1">IF($A281="S",IF(CAIXA.Modo,BM.AFAnterior,BM.MEDAnterior),IF(AND(RegimeExecucao="Global",$I281&gt;0,COUNTIF($AB$13:$AM$13,BM.medicao-1)&gt;0),M281/$I281*100,0))</f>
        <v>0</v>
      </c>
      <c r="K281" s="124">
        <f t="shared" ca="1" si="24"/>
        <v>0</v>
      </c>
      <c r="L281" s="379">
        <f ca="1">IF($A281="S",IF(CAIXA.Modo,BM.AFAcumulado,BM.MEDAcumulado),IF(AND(RegimeExecucao="Global",$I281&gt;0,COUNTIF($AB$13:$AM$13,BM.medicao)&gt;0),O281/$I281*100,0))</f>
        <v>0</v>
      </c>
      <c r="M281" s="380">
        <f ca="1">IF($A281="S",VTOTALBM,IF($A281=0,0,ROUND(SomaAgrupBM,15-13*ORÇAMENTO!$AF$11)))</f>
        <v>0</v>
      </c>
      <c r="N281" s="381">
        <f t="shared" ca="1" si="25"/>
        <v>0</v>
      </c>
      <c r="O281" s="127">
        <f ca="1">IF($A281="S",VTOTALBM,IF($A281=0,0,ROUND(SomaAgrupBM,15-13*ORÇAMENTO!$AF$11)))</f>
        <v>0</v>
      </c>
      <c r="Q281" s="382"/>
      <c r="R281" s="383"/>
      <c r="T281" s="119" t="str">
        <f t="shared" ca="1" si="26"/>
        <v/>
      </c>
      <c r="U281" s="172" t="str">
        <f t="shared" ca="1" si="27"/>
        <v/>
      </c>
      <c r="V281" s="173" t="str">
        <f ca="1">IF(AND($W281&gt;0,RegimeExecucao="Unitário"),$F281,"")</f>
        <v/>
      </c>
      <c r="W281" s="547">
        <f ca="1">IF($Y281&gt;0,CHOOSE(MATCH(RegimeExecucao,{"Unitário","Global"},0),IF($A281="S",$Y281/$X281,""),($Y281/$X281)*100),0)</f>
        <v>0</v>
      </c>
      <c r="X281" s="384" t="str">
        <f ca="1">IF($Y281&gt;0,CHOOSE(MATCH(RegimeExecucao,{"Unitário","Global"},0),IF($A281="S",ROUND($H281,ORÇAMENTO!$AF$10),""),ROUND($I281,ORÇAMENTO!$AF$11)),"")</f>
        <v/>
      </c>
      <c r="Y281" s="384">
        <f t="shared" ca="1" si="28"/>
        <v>0</v>
      </c>
      <c r="Z281" s="572"/>
      <c r="AB281" s="382"/>
      <c r="AC281" s="516"/>
      <c r="AD281" s="516"/>
      <c r="AE281" s="516"/>
      <c r="AF281" s="516"/>
      <c r="AG281" s="516"/>
      <c r="AH281" s="516"/>
      <c r="AI281" s="516"/>
      <c r="AJ281" s="516"/>
      <c r="AK281" s="516"/>
      <c r="AL281" s="516"/>
      <c r="AM281" s="383"/>
      <c r="AO281">
        <f ca="1">IF($A281="S",IF(BM!$I281=0,0,CHOOSE(MATCH(RegimeExecucao,{"Global","Unitário"},0),ROUND(ROUND(BM.MEDAcumulado,15-13*BM!$A$9)/100*BM!$I281,15-13*ORÇAMENTO!$AF$11),ROUND(ROUND(BM.MEDAcumulado,15-13*BM!$A$9)*ROUND(BM!$H281,15-13*ORÇAMENTO!$AF$10),15-13*ORÇAMENTO!$AF$11))),IF($A281=0,0,ROUND(SomaAgrupBM,15-13*ORÇAMENTO!$AF$11)))</f>
        <v>0</v>
      </c>
    </row>
    <row r="282" spans="1:41" ht="25.5" x14ac:dyDescent="0.2">
      <c r="A282" t="str">
        <f ca="1">ORÇAMENTO!C282</f>
        <v>S</v>
      </c>
      <c r="B282">
        <f ca="1">ORÇAMENTO!D282</f>
        <v>0</v>
      </c>
      <c r="C282" s="116" t="str">
        <f t="shared" ca="1" si="22"/>
        <v/>
      </c>
      <c r="D282" s="119" t="str">
        <f ca="1">ORÇAMENTO!O282</f>
        <v>-</v>
      </c>
      <c r="E282" s="172" t="str">
        <f t="shared" ca="1" si="23"/>
        <v>(abra o arquivo 'Referência 06-2024.xlsm)</v>
      </c>
      <c r="F282" s="173" t="str">
        <f ca="1">IF(RegimeExecucao="Global","",ORÇAMENTO.Unidade)</f>
        <v/>
      </c>
      <c r="G282" s="124" t="str">
        <f ca="1">IF(RegimeExecucao="Global","",ORÇAMENTO!T282)</f>
        <v/>
      </c>
      <c r="H282" s="124" t="str">
        <f ca="1">IF(RegimeExecucao="Global","",ORÇAMENTO!W282)</f>
        <v/>
      </c>
      <c r="I282" s="127">
        <f ca="1">ORÇAMENTO!X282</f>
        <v>0</v>
      </c>
      <c r="J282" s="378">
        <f ca="1">IF($A282="S",IF(CAIXA.Modo,BM.AFAnterior,BM.MEDAnterior),IF(AND(RegimeExecucao="Global",$I282&gt;0,COUNTIF($AB$13:$AM$13,BM.medicao-1)&gt;0),M282/$I282*100,0))</f>
        <v>0</v>
      </c>
      <c r="K282" s="124">
        <f t="shared" ca="1" si="24"/>
        <v>0</v>
      </c>
      <c r="L282" s="379">
        <f ca="1">IF($A282="S",IF(CAIXA.Modo,BM.AFAcumulado,BM.MEDAcumulado),IF(AND(RegimeExecucao="Global",$I282&gt;0,COUNTIF($AB$13:$AM$13,BM.medicao)&gt;0),O282/$I282*100,0))</f>
        <v>0</v>
      </c>
      <c r="M282" s="380">
        <f ca="1">IF($A282="S",VTOTALBM,IF($A282=0,0,ROUND(SomaAgrupBM,15-13*ORÇAMENTO!$AF$11)))</f>
        <v>0</v>
      </c>
      <c r="N282" s="381">
        <f t="shared" ca="1" si="25"/>
        <v>0</v>
      </c>
      <c r="O282" s="127">
        <f ca="1">IF($A282="S",VTOTALBM,IF($A282=0,0,ROUND(SomaAgrupBM,15-13*ORÇAMENTO!$AF$11)))</f>
        <v>0</v>
      </c>
      <c r="Q282" s="382"/>
      <c r="R282" s="383"/>
      <c r="T282" s="119" t="str">
        <f t="shared" ca="1" si="26"/>
        <v/>
      </c>
      <c r="U282" s="172" t="str">
        <f t="shared" ca="1" si="27"/>
        <v/>
      </c>
      <c r="V282" s="173" t="str">
        <f ca="1">IF(AND($W282&gt;0,RegimeExecucao="Unitário"),$F282,"")</f>
        <v/>
      </c>
      <c r="W282" s="547">
        <f ca="1">IF($Y282&gt;0,CHOOSE(MATCH(RegimeExecucao,{"Unitário","Global"},0),IF($A282="S",$Y282/$X282,""),($Y282/$X282)*100),0)</f>
        <v>0</v>
      </c>
      <c r="X282" s="384" t="str">
        <f ca="1">IF($Y282&gt;0,CHOOSE(MATCH(RegimeExecucao,{"Unitário","Global"},0),IF($A282="S",ROUND($H282,ORÇAMENTO!$AF$10),""),ROUND($I282,ORÇAMENTO!$AF$11)),"")</f>
        <v/>
      </c>
      <c r="Y282" s="384">
        <f t="shared" ca="1" si="28"/>
        <v>0</v>
      </c>
      <c r="Z282" s="572"/>
      <c r="AB282" s="382"/>
      <c r="AC282" s="516"/>
      <c r="AD282" s="516"/>
      <c r="AE282" s="516"/>
      <c r="AF282" s="516"/>
      <c r="AG282" s="516"/>
      <c r="AH282" s="516"/>
      <c r="AI282" s="516"/>
      <c r="AJ282" s="516"/>
      <c r="AK282" s="516"/>
      <c r="AL282" s="516"/>
      <c r="AM282" s="383"/>
      <c r="AO282">
        <f ca="1">IF($A282="S",IF(BM!$I282=0,0,CHOOSE(MATCH(RegimeExecucao,{"Global","Unitário"},0),ROUND(ROUND(BM.MEDAcumulado,15-13*BM!$A$9)/100*BM!$I282,15-13*ORÇAMENTO!$AF$11),ROUND(ROUND(BM.MEDAcumulado,15-13*BM!$A$9)*ROUND(BM!$H282,15-13*ORÇAMENTO!$AF$10),15-13*ORÇAMENTO!$AF$11))),IF($A282=0,0,ROUND(SomaAgrupBM,15-13*ORÇAMENTO!$AF$11)))</f>
        <v>0</v>
      </c>
    </row>
    <row r="283" spans="1:41" ht="25.5" x14ac:dyDescent="0.2">
      <c r="A283" t="str">
        <f ca="1">ORÇAMENTO!C283</f>
        <v>S</v>
      </c>
      <c r="B283">
        <f ca="1">ORÇAMENTO!D283</f>
        <v>0</v>
      </c>
      <c r="C283" s="116" t="str">
        <f t="shared" ca="1" si="22"/>
        <v/>
      </c>
      <c r="D283" s="119" t="str">
        <f ca="1">ORÇAMENTO!O283</f>
        <v>-</v>
      </c>
      <c r="E283" s="172" t="str">
        <f t="shared" ca="1" si="23"/>
        <v>(abra o arquivo 'Referência 06-2024.xlsm)</v>
      </c>
      <c r="F283" s="173" t="str">
        <f ca="1">IF(RegimeExecucao="Global","",ORÇAMENTO.Unidade)</f>
        <v/>
      </c>
      <c r="G283" s="124" t="str">
        <f ca="1">IF(RegimeExecucao="Global","",ORÇAMENTO!T283)</f>
        <v/>
      </c>
      <c r="H283" s="124" t="str">
        <f ca="1">IF(RegimeExecucao="Global","",ORÇAMENTO!W283)</f>
        <v/>
      </c>
      <c r="I283" s="127">
        <f ca="1">ORÇAMENTO!X283</f>
        <v>0</v>
      </c>
      <c r="J283" s="378">
        <f ca="1">IF($A283="S",IF(CAIXA.Modo,BM.AFAnterior,BM.MEDAnterior),IF(AND(RegimeExecucao="Global",$I283&gt;0,COUNTIF($AB$13:$AM$13,BM.medicao-1)&gt;0),M283/$I283*100,0))</f>
        <v>0</v>
      </c>
      <c r="K283" s="124">
        <f t="shared" ca="1" si="24"/>
        <v>0</v>
      </c>
      <c r="L283" s="379">
        <f ca="1">IF($A283="S",IF(CAIXA.Modo,BM.AFAcumulado,BM.MEDAcumulado),IF(AND(RegimeExecucao="Global",$I283&gt;0,COUNTIF($AB$13:$AM$13,BM.medicao)&gt;0),O283/$I283*100,0))</f>
        <v>0</v>
      </c>
      <c r="M283" s="380">
        <f ca="1">IF($A283="S",VTOTALBM,IF($A283=0,0,ROUND(SomaAgrupBM,15-13*ORÇAMENTO!$AF$11)))</f>
        <v>0</v>
      </c>
      <c r="N283" s="381">
        <f t="shared" ca="1" si="25"/>
        <v>0</v>
      </c>
      <c r="O283" s="127">
        <f ca="1">IF($A283="S",VTOTALBM,IF($A283=0,0,ROUND(SomaAgrupBM,15-13*ORÇAMENTO!$AF$11)))</f>
        <v>0</v>
      </c>
      <c r="Q283" s="382"/>
      <c r="R283" s="383"/>
      <c r="T283" s="119" t="str">
        <f t="shared" ca="1" si="26"/>
        <v/>
      </c>
      <c r="U283" s="172" t="str">
        <f t="shared" ca="1" si="27"/>
        <v/>
      </c>
      <c r="V283" s="173" t="str">
        <f ca="1">IF(AND($W283&gt;0,RegimeExecucao="Unitário"),$F283,"")</f>
        <v/>
      </c>
      <c r="W283" s="547">
        <f ca="1">IF($Y283&gt;0,CHOOSE(MATCH(RegimeExecucao,{"Unitário","Global"},0),IF($A283="S",$Y283/$X283,""),($Y283/$X283)*100),0)</f>
        <v>0</v>
      </c>
      <c r="X283" s="384" t="str">
        <f ca="1">IF($Y283&gt;0,CHOOSE(MATCH(RegimeExecucao,{"Unitário","Global"},0),IF($A283="S",ROUND($H283,ORÇAMENTO!$AF$10),""),ROUND($I283,ORÇAMENTO!$AF$11)),"")</f>
        <v/>
      </c>
      <c r="Y283" s="384">
        <f t="shared" ca="1" si="28"/>
        <v>0</v>
      </c>
      <c r="Z283" s="572"/>
      <c r="AB283" s="382"/>
      <c r="AC283" s="516"/>
      <c r="AD283" s="516"/>
      <c r="AE283" s="516"/>
      <c r="AF283" s="516"/>
      <c r="AG283" s="516"/>
      <c r="AH283" s="516"/>
      <c r="AI283" s="516"/>
      <c r="AJ283" s="516"/>
      <c r="AK283" s="516"/>
      <c r="AL283" s="516"/>
      <c r="AM283" s="383"/>
      <c r="AO283">
        <f ca="1">IF($A283="S",IF(BM!$I283=0,0,CHOOSE(MATCH(RegimeExecucao,{"Global","Unitário"},0),ROUND(ROUND(BM.MEDAcumulado,15-13*BM!$A$9)/100*BM!$I283,15-13*ORÇAMENTO!$AF$11),ROUND(ROUND(BM.MEDAcumulado,15-13*BM!$A$9)*ROUND(BM!$H283,15-13*ORÇAMENTO!$AF$10),15-13*ORÇAMENTO!$AF$11))),IF($A283=0,0,ROUND(SomaAgrupBM,15-13*ORÇAMENTO!$AF$11)))</f>
        <v>0</v>
      </c>
    </row>
    <row r="284" spans="1:41" ht="25.5" x14ac:dyDescent="0.2">
      <c r="A284" t="str">
        <f ca="1">ORÇAMENTO!C284</f>
        <v>S</v>
      </c>
      <c r="B284">
        <f ca="1">ORÇAMENTO!D284</f>
        <v>0</v>
      </c>
      <c r="C284" s="116" t="str">
        <f t="shared" ca="1" si="22"/>
        <v/>
      </c>
      <c r="D284" s="119" t="str">
        <f ca="1">ORÇAMENTO!O284</f>
        <v>-</v>
      </c>
      <c r="E284" s="172" t="str">
        <f t="shared" ca="1" si="23"/>
        <v>(abra o arquivo 'Referência 06-2024.xlsm)</v>
      </c>
      <c r="F284" s="173" t="str">
        <f ca="1">IF(RegimeExecucao="Global","",ORÇAMENTO.Unidade)</f>
        <v/>
      </c>
      <c r="G284" s="124" t="str">
        <f ca="1">IF(RegimeExecucao="Global","",ORÇAMENTO!T284)</f>
        <v/>
      </c>
      <c r="H284" s="124" t="str">
        <f ca="1">IF(RegimeExecucao="Global","",ORÇAMENTO!W284)</f>
        <v/>
      </c>
      <c r="I284" s="127">
        <f ca="1">ORÇAMENTO!X284</f>
        <v>0</v>
      </c>
      <c r="J284" s="378">
        <f ca="1">IF($A284="S",IF(CAIXA.Modo,BM.AFAnterior,BM.MEDAnterior),IF(AND(RegimeExecucao="Global",$I284&gt;0,COUNTIF($AB$13:$AM$13,BM.medicao-1)&gt;0),M284/$I284*100,0))</f>
        <v>0</v>
      </c>
      <c r="K284" s="124">
        <f t="shared" ca="1" si="24"/>
        <v>0</v>
      </c>
      <c r="L284" s="379">
        <f ca="1">IF($A284="S",IF(CAIXA.Modo,BM.AFAcumulado,BM.MEDAcumulado),IF(AND(RegimeExecucao="Global",$I284&gt;0,COUNTIF($AB$13:$AM$13,BM.medicao)&gt;0),O284/$I284*100,0))</f>
        <v>0</v>
      </c>
      <c r="M284" s="380">
        <f ca="1">IF($A284="S",VTOTALBM,IF($A284=0,0,ROUND(SomaAgrupBM,15-13*ORÇAMENTO!$AF$11)))</f>
        <v>0</v>
      </c>
      <c r="N284" s="381">
        <f t="shared" ca="1" si="25"/>
        <v>0</v>
      </c>
      <c r="O284" s="127">
        <f ca="1">IF($A284="S",VTOTALBM,IF($A284=0,0,ROUND(SomaAgrupBM,15-13*ORÇAMENTO!$AF$11)))</f>
        <v>0</v>
      </c>
      <c r="Q284" s="382"/>
      <c r="R284" s="383"/>
      <c r="T284" s="119" t="str">
        <f t="shared" ca="1" si="26"/>
        <v/>
      </c>
      <c r="U284" s="172" t="str">
        <f t="shared" ca="1" si="27"/>
        <v/>
      </c>
      <c r="V284" s="173" t="str">
        <f ca="1">IF(AND($W284&gt;0,RegimeExecucao="Unitário"),$F284,"")</f>
        <v/>
      </c>
      <c r="W284" s="547">
        <f ca="1">IF($Y284&gt;0,CHOOSE(MATCH(RegimeExecucao,{"Unitário","Global"},0),IF($A284="S",$Y284/$X284,""),($Y284/$X284)*100),0)</f>
        <v>0</v>
      </c>
      <c r="X284" s="384" t="str">
        <f ca="1">IF($Y284&gt;0,CHOOSE(MATCH(RegimeExecucao,{"Unitário","Global"},0),IF($A284="S",ROUND($H284,ORÇAMENTO!$AF$10),""),ROUND($I284,ORÇAMENTO!$AF$11)),"")</f>
        <v/>
      </c>
      <c r="Y284" s="384">
        <f t="shared" ca="1" si="28"/>
        <v>0</v>
      </c>
      <c r="Z284" s="572"/>
      <c r="AB284" s="382"/>
      <c r="AC284" s="516"/>
      <c r="AD284" s="516"/>
      <c r="AE284" s="516"/>
      <c r="AF284" s="516"/>
      <c r="AG284" s="516"/>
      <c r="AH284" s="516"/>
      <c r="AI284" s="516"/>
      <c r="AJ284" s="516"/>
      <c r="AK284" s="516"/>
      <c r="AL284" s="516"/>
      <c r="AM284" s="383"/>
      <c r="AO284">
        <f ca="1">IF($A284="S",IF(BM!$I284=0,0,CHOOSE(MATCH(RegimeExecucao,{"Global","Unitário"},0),ROUND(ROUND(BM.MEDAcumulado,15-13*BM!$A$9)/100*BM!$I284,15-13*ORÇAMENTO!$AF$11),ROUND(ROUND(BM.MEDAcumulado,15-13*BM!$A$9)*ROUND(BM!$H284,15-13*ORÇAMENTO!$AF$10),15-13*ORÇAMENTO!$AF$11))),IF($A284=0,0,ROUND(SomaAgrupBM,15-13*ORÇAMENTO!$AF$11)))</f>
        <v>0</v>
      </c>
    </row>
    <row r="285" spans="1:41" x14ac:dyDescent="0.2">
      <c r="A285">
        <f ca="1">ORÇAMENTO!C285</f>
        <v>2</v>
      </c>
      <c r="B285">
        <f ca="1">ORÇAMENTO!D285</f>
        <v>8</v>
      </c>
      <c r="C285" s="116" t="str">
        <f t="shared" ca="1" si="22"/>
        <v>F</v>
      </c>
      <c r="D285" s="119" t="str">
        <f ca="1">ORÇAMENTO!O285</f>
        <v>1.35.</v>
      </c>
      <c r="E285" s="172" t="str">
        <f t="shared" si="23"/>
        <v>INSTALAÇÃO HIDRÁULICA - TUBULAÇÕES E CONEXÕES DE METAL</v>
      </c>
      <c r="F285" s="173" t="str">
        <f ca="1">IF(RegimeExecucao="Global","",ORÇAMENTO.Unidade)</f>
        <v/>
      </c>
      <c r="G285" s="124" t="str">
        <f ca="1">IF(RegimeExecucao="Global","",ORÇAMENTO!T285)</f>
        <v/>
      </c>
      <c r="H285" s="124" t="str">
        <f ca="1">IF(RegimeExecucao="Global","",ORÇAMENTO!W285)</f>
        <v/>
      </c>
      <c r="I285" s="127">
        <f ca="1">ORÇAMENTO!X285</f>
        <v>0</v>
      </c>
      <c r="J285" s="378">
        <f ca="1">IF($A285="S",IF(CAIXA.Modo,BM.AFAnterior,BM.MEDAnterior),IF(AND(RegimeExecucao="Global",$I285&gt;0,COUNTIF($AB$13:$AM$13,BM.medicao-1)&gt;0),M285/$I285*100,0))</f>
        <v>0</v>
      </c>
      <c r="K285" s="124">
        <f t="shared" ca="1" si="24"/>
        <v>0</v>
      </c>
      <c r="L285" s="379">
        <f ca="1">IF($A285="S",IF(CAIXA.Modo,BM.AFAcumulado,BM.MEDAcumulado),IF(AND(RegimeExecucao="Global",$I285&gt;0,COUNTIF($AB$13:$AM$13,BM.medicao)&gt;0),O285/$I285*100,0))</f>
        <v>0</v>
      </c>
      <c r="M285" s="380">
        <f ca="1">IF($A285="S",VTOTALBM,IF($A285=0,0,ROUND(SomaAgrupBM,15-13*ORÇAMENTO!$AF$11)))</f>
        <v>0</v>
      </c>
      <c r="N285" s="381">
        <f t="shared" ca="1" si="25"/>
        <v>0</v>
      </c>
      <c r="O285" s="127">
        <f ca="1">IF($A285="S",VTOTALBM,IF($A285=0,0,ROUND(SomaAgrupBM,15-13*ORÇAMENTO!$AF$11)))</f>
        <v>0</v>
      </c>
      <c r="Q285" s="382"/>
      <c r="R285" s="383"/>
      <c r="T285" s="119" t="str">
        <f t="shared" ca="1" si="26"/>
        <v/>
      </c>
      <c r="U285" s="172" t="str">
        <f t="shared" ca="1" si="27"/>
        <v/>
      </c>
      <c r="V285" s="173" t="str">
        <f ca="1">IF(AND($W285&gt;0,RegimeExecucao="Unitário"),$F285,"")</f>
        <v/>
      </c>
      <c r="W285" s="547">
        <f ca="1">IF($Y285&gt;0,CHOOSE(MATCH(RegimeExecucao,{"Unitário","Global"},0),IF($A285="S",$Y285/$X285,""),($Y285/$X285)*100),0)</f>
        <v>0</v>
      </c>
      <c r="X285" s="384" t="str">
        <f ca="1">IF($Y285&gt;0,CHOOSE(MATCH(RegimeExecucao,{"Unitário","Global"},0),IF($A285="S",ROUND($H285,ORÇAMENTO!$AF$10),""),ROUND($I285,ORÇAMENTO!$AF$11)),"")</f>
        <v/>
      </c>
      <c r="Y285" s="384">
        <f t="shared" ca="1" si="28"/>
        <v>0</v>
      </c>
      <c r="Z285" s="572"/>
      <c r="AB285" s="382"/>
      <c r="AC285" s="516"/>
      <c r="AD285" s="516"/>
      <c r="AE285" s="516"/>
      <c r="AF285" s="516"/>
      <c r="AG285" s="516"/>
      <c r="AH285" s="516"/>
      <c r="AI285" s="516"/>
      <c r="AJ285" s="516"/>
      <c r="AK285" s="516"/>
      <c r="AL285" s="516"/>
      <c r="AM285" s="383"/>
      <c r="AO285">
        <f ca="1">IF($A285="S",IF(BM!$I285=0,0,CHOOSE(MATCH(RegimeExecucao,{"Global","Unitário"},0),ROUND(ROUND(BM.MEDAcumulado,15-13*BM!$A$9)/100*BM!$I285,15-13*ORÇAMENTO!$AF$11),ROUND(ROUND(BM.MEDAcumulado,15-13*BM!$A$9)*ROUND(BM!$H285,15-13*ORÇAMENTO!$AF$10),15-13*ORÇAMENTO!$AF$11))),IF($A285=0,0,ROUND(SomaAgrupBM,15-13*ORÇAMENTO!$AF$11)))</f>
        <v>0</v>
      </c>
    </row>
    <row r="286" spans="1:41" ht="25.5" x14ac:dyDescent="0.2">
      <c r="A286" t="str">
        <f ca="1">ORÇAMENTO!C286</f>
        <v>S</v>
      </c>
      <c r="B286">
        <f ca="1">ORÇAMENTO!D286</f>
        <v>0</v>
      </c>
      <c r="C286" s="116" t="str">
        <f t="shared" ca="1" si="22"/>
        <v/>
      </c>
      <c r="D286" s="119" t="str">
        <f ca="1">ORÇAMENTO!O286</f>
        <v>-</v>
      </c>
      <c r="E286" s="172" t="str">
        <f t="shared" ca="1" si="23"/>
        <v>(abra o arquivo 'Referência 06-2024.xlsm)</v>
      </c>
      <c r="F286" s="173" t="str">
        <f ca="1">IF(RegimeExecucao="Global","",ORÇAMENTO.Unidade)</f>
        <v/>
      </c>
      <c r="G286" s="124" t="str">
        <f ca="1">IF(RegimeExecucao="Global","",ORÇAMENTO!T286)</f>
        <v/>
      </c>
      <c r="H286" s="124" t="str">
        <f ca="1">IF(RegimeExecucao="Global","",ORÇAMENTO!W286)</f>
        <v/>
      </c>
      <c r="I286" s="127">
        <f ca="1">ORÇAMENTO!X286</f>
        <v>0</v>
      </c>
      <c r="J286" s="378">
        <f ca="1">IF($A286="S",IF(CAIXA.Modo,BM.AFAnterior,BM.MEDAnterior),IF(AND(RegimeExecucao="Global",$I286&gt;0,COUNTIF($AB$13:$AM$13,BM.medicao-1)&gt;0),M286/$I286*100,0))</f>
        <v>0</v>
      </c>
      <c r="K286" s="124">
        <f t="shared" ca="1" si="24"/>
        <v>0</v>
      </c>
      <c r="L286" s="379">
        <f ca="1">IF($A286="S",IF(CAIXA.Modo,BM.AFAcumulado,BM.MEDAcumulado),IF(AND(RegimeExecucao="Global",$I286&gt;0,COUNTIF($AB$13:$AM$13,BM.medicao)&gt;0),O286/$I286*100,0))</f>
        <v>0</v>
      </c>
      <c r="M286" s="380">
        <f ca="1">IF($A286="S",VTOTALBM,IF($A286=0,0,ROUND(SomaAgrupBM,15-13*ORÇAMENTO!$AF$11)))</f>
        <v>0</v>
      </c>
      <c r="N286" s="381">
        <f t="shared" ca="1" si="25"/>
        <v>0</v>
      </c>
      <c r="O286" s="127">
        <f ca="1">IF($A286="S",VTOTALBM,IF($A286=0,0,ROUND(SomaAgrupBM,15-13*ORÇAMENTO!$AF$11)))</f>
        <v>0</v>
      </c>
      <c r="Q286" s="382"/>
      <c r="R286" s="383"/>
      <c r="T286" s="119" t="str">
        <f t="shared" ca="1" si="26"/>
        <v/>
      </c>
      <c r="U286" s="172" t="str">
        <f t="shared" ca="1" si="27"/>
        <v/>
      </c>
      <c r="V286" s="173" t="str">
        <f ca="1">IF(AND($W286&gt;0,RegimeExecucao="Unitário"),$F286,"")</f>
        <v/>
      </c>
      <c r="W286" s="547">
        <f ca="1">IF($Y286&gt;0,CHOOSE(MATCH(RegimeExecucao,{"Unitário","Global"},0),IF($A286="S",$Y286/$X286,""),($Y286/$X286)*100),0)</f>
        <v>0</v>
      </c>
      <c r="X286" s="384" t="str">
        <f ca="1">IF($Y286&gt;0,CHOOSE(MATCH(RegimeExecucao,{"Unitário","Global"},0),IF($A286="S",ROUND($H286,ORÇAMENTO!$AF$10),""),ROUND($I286,ORÇAMENTO!$AF$11)),"")</f>
        <v/>
      </c>
      <c r="Y286" s="384">
        <f t="shared" ca="1" si="28"/>
        <v>0</v>
      </c>
      <c r="Z286" s="572"/>
      <c r="AB286" s="382"/>
      <c r="AC286" s="516"/>
      <c r="AD286" s="516"/>
      <c r="AE286" s="516"/>
      <c r="AF286" s="516"/>
      <c r="AG286" s="516"/>
      <c r="AH286" s="516"/>
      <c r="AI286" s="516"/>
      <c r="AJ286" s="516"/>
      <c r="AK286" s="516"/>
      <c r="AL286" s="516"/>
      <c r="AM286" s="383"/>
      <c r="AO286">
        <f ca="1">IF($A286="S",IF(BM!$I286=0,0,CHOOSE(MATCH(RegimeExecucao,{"Global","Unitário"},0),ROUND(ROUND(BM.MEDAcumulado,15-13*BM!$A$9)/100*BM!$I286,15-13*ORÇAMENTO!$AF$11),ROUND(ROUND(BM.MEDAcumulado,15-13*BM!$A$9)*ROUND(BM!$H286,15-13*ORÇAMENTO!$AF$10),15-13*ORÇAMENTO!$AF$11))),IF($A286=0,0,ROUND(SomaAgrupBM,15-13*ORÇAMENTO!$AF$11)))</f>
        <v>0</v>
      </c>
    </row>
    <row r="287" spans="1:41" ht="38.25" x14ac:dyDescent="0.2">
      <c r="A287" t="str">
        <f ca="1">ORÇAMENTO!C287</f>
        <v>S</v>
      </c>
      <c r="B287">
        <f ca="1">ORÇAMENTO!D287</f>
        <v>0</v>
      </c>
      <c r="C287" s="116" t="str">
        <f t="shared" ca="1" si="22"/>
        <v/>
      </c>
      <c r="D287" s="119" t="str">
        <f ca="1">ORÇAMENTO!O287</f>
        <v>-</v>
      </c>
      <c r="E287" s="172" t="str">
        <f t="shared" ca="1" si="23"/>
        <v>(abra o arquivo 'Referência 06-2024.xlsm)</v>
      </c>
      <c r="F287" s="173" t="str">
        <f ca="1">IF(RegimeExecucao="Global","",ORÇAMENTO.Unidade)</f>
        <v/>
      </c>
      <c r="G287" s="124" t="str">
        <f ca="1">IF(RegimeExecucao="Global","",ORÇAMENTO!T287)</f>
        <v/>
      </c>
      <c r="H287" s="124" t="str">
        <f ca="1">IF(RegimeExecucao="Global","",ORÇAMENTO!W287)</f>
        <v/>
      </c>
      <c r="I287" s="127">
        <f ca="1">ORÇAMENTO!X287</f>
        <v>0</v>
      </c>
      <c r="J287" s="378">
        <f ca="1">IF($A287="S",IF(CAIXA.Modo,BM.AFAnterior,BM.MEDAnterior),IF(AND(RegimeExecucao="Global",$I287&gt;0,COUNTIF($AB$13:$AM$13,BM.medicao-1)&gt;0),M287/$I287*100,0))</f>
        <v>0</v>
      </c>
      <c r="K287" s="124">
        <f t="shared" ca="1" si="24"/>
        <v>0</v>
      </c>
      <c r="L287" s="379">
        <f ca="1">IF($A287="S",IF(CAIXA.Modo,BM.AFAcumulado,BM.MEDAcumulado),IF(AND(RegimeExecucao="Global",$I287&gt;0,COUNTIF($AB$13:$AM$13,BM.medicao)&gt;0),O287/$I287*100,0))</f>
        <v>0</v>
      </c>
      <c r="M287" s="380">
        <f ca="1">IF($A287="S",VTOTALBM,IF($A287=0,0,ROUND(SomaAgrupBM,15-13*ORÇAMENTO!$AF$11)))</f>
        <v>0</v>
      </c>
      <c r="N287" s="381">
        <f t="shared" ca="1" si="25"/>
        <v>0</v>
      </c>
      <c r="O287" s="127">
        <f ca="1">IF($A287="S",VTOTALBM,IF($A287=0,0,ROUND(SomaAgrupBM,15-13*ORÇAMENTO!$AF$11)))</f>
        <v>0</v>
      </c>
      <c r="Q287" s="382"/>
      <c r="R287" s="383"/>
      <c r="T287" s="119" t="str">
        <f t="shared" ca="1" si="26"/>
        <v/>
      </c>
      <c r="U287" s="172" t="str">
        <f t="shared" ca="1" si="27"/>
        <v/>
      </c>
      <c r="V287" s="173" t="str">
        <f ca="1">IF(AND($W287&gt;0,RegimeExecucao="Unitário"),$F287,"")</f>
        <v/>
      </c>
      <c r="W287" s="547">
        <f ca="1">IF($Y287&gt;0,CHOOSE(MATCH(RegimeExecucao,{"Unitário","Global"},0),IF($A287="S",$Y287/$X287,""),($Y287/$X287)*100),0)</f>
        <v>0</v>
      </c>
      <c r="X287" s="384" t="str">
        <f ca="1">IF($Y287&gt;0,CHOOSE(MATCH(RegimeExecucao,{"Unitário","Global"},0),IF($A287="S",ROUND($H287,ORÇAMENTO!$AF$10),""),ROUND($I287,ORÇAMENTO!$AF$11)),"")</f>
        <v/>
      </c>
      <c r="Y287" s="384">
        <f t="shared" ca="1" si="28"/>
        <v>0</v>
      </c>
      <c r="Z287" s="572"/>
      <c r="AB287" s="382"/>
      <c r="AC287" s="516"/>
      <c r="AD287" s="516"/>
      <c r="AE287" s="516"/>
      <c r="AF287" s="516"/>
      <c r="AG287" s="516"/>
      <c r="AH287" s="516"/>
      <c r="AI287" s="516"/>
      <c r="AJ287" s="516"/>
      <c r="AK287" s="516"/>
      <c r="AL287" s="516"/>
      <c r="AM287" s="383"/>
      <c r="AO287">
        <f ca="1">IF($A287="S",IF(BM!$I287=0,0,CHOOSE(MATCH(RegimeExecucao,{"Global","Unitário"},0),ROUND(ROUND(BM.MEDAcumulado,15-13*BM!$A$9)/100*BM!$I287,15-13*ORÇAMENTO!$AF$11),ROUND(ROUND(BM.MEDAcumulado,15-13*BM!$A$9)*ROUND(BM!$H287,15-13*ORÇAMENTO!$AF$10),15-13*ORÇAMENTO!$AF$11))),IF($A287=0,0,ROUND(SomaAgrupBM,15-13*ORÇAMENTO!$AF$11)))</f>
        <v>0</v>
      </c>
    </row>
    <row r="288" spans="1:41" ht="38.25" x14ac:dyDescent="0.2">
      <c r="A288" t="str">
        <f ca="1">ORÇAMENTO!C288</f>
        <v>S</v>
      </c>
      <c r="B288">
        <f ca="1">ORÇAMENTO!D288</f>
        <v>0</v>
      </c>
      <c r="C288" s="116" t="str">
        <f t="shared" ca="1" si="22"/>
        <v/>
      </c>
      <c r="D288" s="119" t="str">
        <f ca="1">ORÇAMENTO!O288</f>
        <v>-</v>
      </c>
      <c r="E288" s="172" t="str">
        <f t="shared" ca="1" si="23"/>
        <v>(abra o arquivo 'Referência 06-2024.xlsm)</v>
      </c>
      <c r="F288" s="173" t="str">
        <f ca="1">IF(RegimeExecucao="Global","",ORÇAMENTO.Unidade)</f>
        <v/>
      </c>
      <c r="G288" s="124" t="str">
        <f ca="1">IF(RegimeExecucao="Global","",ORÇAMENTO!T288)</f>
        <v/>
      </c>
      <c r="H288" s="124" t="str">
        <f ca="1">IF(RegimeExecucao="Global","",ORÇAMENTO!W288)</f>
        <v/>
      </c>
      <c r="I288" s="127">
        <f ca="1">ORÇAMENTO!X288</f>
        <v>0</v>
      </c>
      <c r="J288" s="378">
        <f ca="1">IF($A288="S",IF(CAIXA.Modo,BM.AFAnterior,BM.MEDAnterior),IF(AND(RegimeExecucao="Global",$I288&gt;0,COUNTIF($AB$13:$AM$13,BM.medicao-1)&gt;0),M288/$I288*100,0))</f>
        <v>0</v>
      </c>
      <c r="K288" s="124">
        <f t="shared" ca="1" si="24"/>
        <v>0</v>
      </c>
      <c r="L288" s="379">
        <f ca="1">IF($A288="S",IF(CAIXA.Modo,BM.AFAcumulado,BM.MEDAcumulado),IF(AND(RegimeExecucao="Global",$I288&gt;0,COUNTIF($AB$13:$AM$13,BM.medicao)&gt;0),O288/$I288*100,0))</f>
        <v>0</v>
      </c>
      <c r="M288" s="380">
        <f ca="1">IF($A288="S",VTOTALBM,IF($A288=0,0,ROUND(SomaAgrupBM,15-13*ORÇAMENTO!$AF$11)))</f>
        <v>0</v>
      </c>
      <c r="N288" s="381">
        <f t="shared" ca="1" si="25"/>
        <v>0</v>
      </c>
      <c r="O288" s="127">
        <f ca="1">IF($A288="S",VTOTALBM,IF($A288=0,0,ROUND(SomaAgrupBM,15-13*ORÇAMENTO!$AF$11)))</f>
        <v>0</v>
      </c>
      <c r="Q288" s="382"/>
      <c r="R288" s="383"/>
      <c r="T288" s="119" t="str">
        <f t="shared" ca="1" si="26"/>
        <v/>
      </c>
      <c r="U288" s="172" t="str">
        <f t="shared" ca="1" si="27"/>
        <v/>
      </c>
      <c r="V288" s="173" t="str">
        <f ca="1">IF(AND($W288&gt;0,RegimeExecucao="Unitário"),$F288,"")</f>
        <v/>
      </c>
      <c r="W288" s="547">
        <f ca="1">IF($Y288&gt;0,CHOOSE(MATCH(RegimeExecucao,{"Unitário","Global"},0),IF($A288="S",$Y288/$X288,""),($Y288/$X288)*100),0)</f>
        <v>0</v>
      </c>
      <c r="X288" s="384" t="str">
        <f ca="1">IF($Y288&gt;0,CHOOSE(MATCH(RegimeExecucao,{"Unitário","Global"},0),IF($A288="S",ROUND($H288,ORÇAMENTO!$AF$10),""),ROUND($I288,ORÇAMENTO!$AF$11)),"")</f>
        <v/>
      </c>
      <c r="Y288" s="384">
        <f t="shared" ca="1" si="28"/>
        <v>0</v>
      </c>
      <c r="Z288" s="572"/>
      <c r="AB288" s="382"/>
      <c r="AC288" s="516"/>
      <c r="AD288" s="516"/>
      <c r="AE288" s="516"/>
      <c r="AF288" s="516"/>
      <c r="AG288" s="516"/>
      <c r="AH288" s="516"/>
      <c r="AI288" s="516"/>
      <c r="AJ288" s="516"/>
      <c r="AK288" s="516"/>
      <c r="AL288" s="516"/>
      <c r="AM288" s="383"/>
      <c r="AO288">
        <f ca="1">IF($A288="S",IF(BM!$I288=0,0,CHOOSE(MATCH(RegimeExecucao,{"Global","Unitário"},0),ROUND(ROUND(BM.MEDAcumulado,15-13*BM!$A$9)/100*BM!$I288,15-13*ORÇAMENTO!$AF$11),ROUND(ROUND(BM.MEDAcumulado,15-13*BM!$A$9)*ROUND(BM!$H288,15-13*ORÇAMENTO!$AF$10),15-13*ORÇAMENTO!$AF$11))),IF($A288=0,0,ROUND(SomaAgrupBM,15-13*ORÇAMENTO!$AF$11)))</f>
        <v>0</v>
      </c>
    </row>
    <row r="289" spans="1:41" ht="38.25" x14ac:dyDescent="0.2">
      <c r="A289" t="str">
        <f ca="1">ORÇAMENTO!C289</f>
        <v>S</v>
      </c>
      <c r="B289">
        <f ca="1">ORÇAMENTO!D289</f>
        <v>0</v>
      </c>
      <c r="C289" s="116" t="str">
        <f t="shared" ca="1" si="22"/>
        <v/>
      </c>
      <c r="D289" s="119" t="str">
        <f ca="1">ORÇAMENTO!O289</f>
        <v>-</v>
      </c>
      <c r="E289" s="172" t="str">
        <f t="shared" ca="1" si="23"/>
        <v>(abra o arquivo 'Referência 06-2024.xlsm)</v>
      </c>
      <c r="F289" s="173" t="str">
        <f ca="1">IF(RegimeExecucao="Global","",ORÇAMENTO.Unidade)</f>
        <v/>
      </c>
      <c r="G289" s="124" t="str">
        <f ca="1">IF(RegimeExecucao="Global","",ORÇAMENTO!T289)</f>
        <v/>
      </c>
      <c r="H289" s="124" t="str">
        <f ca="1">IF(RegimeExecucao="Global","",ORÇAMENTO!W289)</f>
        <v/>
      </c>
      <c r="I289" s="127">
        <f ca="1">ORÇAMENTO!X289</f>
        <v>0</v>
      </c>
      <c r="J289" s="378">
        <f ca="1">IF($A289="S",IF(CAIXA.Modo,BM.AFAnterior,BM.MEDAnterior),IF(AND(RegimeExecucao="Global",$I289&gt;0,COUNTIF($AB$13:$AM$13,BM.medicao-1)&gt;0),M289/$I289*100,0))</f>
        <v>0</v>
      </c>
      <c r="K289" s="124">
        <f t="shared" ca="1" si="24"/>
        <v>0</v>
      </c>
      <c r="L289" s="379">
        <f ca="1">IF($A289="S",IF(CAIXA.Modo,BM.AFAcumulado,BM.MEDAcumulado),IF(AND(RegimeExecucao="Global",$I289&gt;0,COUNTIF($AB$13:$AM$13,BM.medicao)&gt;0),O289/$I289*100,0))</f>
        <v>0</v>
      </c>
      <c r="M289" s="380">
        <f ca="1">IF($A289="S",VTOTALBM,IF($A289=0,0,ROUND(SomaAgrupBM,15-13*ORÇAMENTO!$AF$11)))</f>
        <v>0</v>
      </c>
      <c r="N289" s="381">
        <f t="shared" ca="1" si="25"/>
        <v>0</v>
      </c>
      <c r="O289" s="127">
        <f ca="1">IF($A289="S",VTOTALBM,IF($A289=0,0,ROUND(SomaAgrupBM,15-13*ORÇAMENTO!$AF$11)))</f>
        <v>0</v>
      </c>
      <c r="Q289" s="382"/>
      <c r="R289" s="383"/>
      <c r="T289" s="119" t="str">
        <f t="shared" ca="1" si="26"/>
        <v/>
      </c>
      <c r="U289" s="172" t="str">
        <f t="shared" ca="1" si="27"/>
        <v/>
      </c>
      <c r="V289" s="173" t="str">
        <f ca="1">IF(AND($W289&gt;0,RegimeExecucao="Unitário"),$F289,"")</f>
        <v/>
      </c>
      <c r="W289" s="547">
        <f ca="1">IF($Y289&gt;0,CHOOSE(MATCH(RegimeExecucao,{"Unitário","Global"},0),IF($A289="S",$Y289/$X289,""),($Y289/$X289)*100),0)</f>
        <v>0</v>
      </c>
      <c r="X289" s="384" t="str">
        <f ca="1">IF($Y289&gt;0,CHOOSE(MATCH(RegimeExecucao,{"Unitário","Global"},0),IF($A289="S",ROUND($H289,ORÇAMENTO!$AF$10),""),ROUND($I289,ORÇAMENTO!$AF$11)),"")</f>
        <v/>
      </c>
      <c r="Y289" s="384">
        <f t="shared" ca="1" si="28"/>
        <v>0</v>
      </c>
      <c r="Z289" s="572"/>
      <c r="AB289" s="382"/>
      <c r="AC289" s="516"/>
      <c r="AD289" s="516"/>
      <c r="AE289" s="516"/>
      <c r="AF289" s="516"/>
      <c r="AG289" s="516"/>
      <c r="AH289" s="516"/>
      <c r="AI289" s="516"/>
      <c r="AJ289" s="516"/>
      <c r="AK289" s="516"/>
      <c r="AL289" s="516"/>
      <c r="AM289" s="383"/>
      <c r="AO289">
        <f ca="1">IF($A289="S",IF(BM!$I289=0,0,CHOOSE(MATCH(RegimeExecucao,{"Global","Unitário"},0),ROUND(ROUND(BM.MEDAcumulado,15-13*BM!$A$9)/100*BM!$I289,15-13*ORÇAMENTO!$AF$11),ROUND(ROUND(BM.MEDAcumulado,15-13*BM!$A$9)*ROUND(BM!$H289,15-13*ORÇAMENTO!$AF$10),15-13*ORÇAMENTO!$AF$11))),IF($A289=0,0,ROUND(SomaAgrupBM,15-13*ORÇAMENTO!$AF$11)))</f>
        <v>0</v>
      </c>
    </row>
    <row r="290" spans="1:41" ht="25.5" x14ac:dyDescent="0.2">
      <c r="A290" t="str">
        <f ca="1">ORÇAMENTO!C290</f>
        <v>S</v>
      </c>
      <c r="B290">
        <f ca="1">ORÇAMENTO!D290</f>
        <v>0</v>
      </c>
      <c r="C290" s="116" t="str">
        <f t="shared" ca="1" si="22"/>
        <v/>
      </c>
      <c r="D290" s="119" t="str">
        <f ca="1">ORÇAMENTO!O290</f>
        <v>-</v>
      </c>
      <c r="E290" s="172" t="str">
        <f t="shared" ca="1" si="23"/>
        <v>(abra o arquivo 'Referência 06-2024.xlsm)</v>
      </c>
      <c r="F290" s="173" t="str">
        <f ca="1">IF(RegimeExecucao="Global","",ORÇAMENTO.Unidade)</f>
        <v/>
      </c>
      <c r="G290" s="124" t="str">
        <f ca="1">IF(RegimeExecucao="Global","",ORÇAMENTO!T290)</f>
        <v/>
      </c>
      <c r="H290" s="124" t="str">
        <f ca="1">IF(RegimeExecucao="Global","",ORÇAMENTO!W290)</f>
        <v/>
      </c>
      <c r="I290" s="127">
        <f ca="1">ORÇAMENTO!X290</f>
        <v>0</v>
      </c>
      <c r="J290" s="378">
        <f ca="1">IF($A290="S",IF(CAIXA.Modo,BM.AFAnterior,BM.MEDAnterior),IF(AND(RegimeExecucao="Global",$I290&gt;0,COUNTIF($AB$13:$AM$13,BM.medicao-1)&gt;0),M290/$I290*100,0))</f>
        <v>0</v>
      </c>
      <c r="K290" s="124">
        <f t="shared" ca="1" si="24"/>
        <v>0</v>
      </c>
      <c r="L290" s="379">
        <f ca="1">IF($A290="S",IF(CAIXA.Modo,BM.AFAcumulado,BM.MEDAcumulado),IF(AND(RegimeExecucao="Global",$I290&gt;0,COUNTIF($AB$13:$AM$13,BM.medicao)&gt;0),O290/$I290*100,0))</f>
        <v>0</v>
      </c>
      <c r="M290" s="380">
        <f ca="1">IF($A290="S",VTOTALBM,IF($A290=0,0,ROUND(SomaAgrupBM,15-13*ORÇAMENTO!$AF$11)))</f>
        <v>0</v>
      </c>
      <c r="N290" s="381">
        <f t="shared" ca="1" si="25"/>
        <v>0</v>
      </c>
      <c r="O290" s="127">
        <f ca="1">IF($A290="S",VTOTALBM,IF($A290=0,0,ROUND(SomaAgrupBM,15-13*ORÇAMENTO!$AF$11)))</f>
        <v>0</v>
      </c>
      <c r="Q290" s="382"/>
      <c r="R290" s="383"/>
      <c r="T290" s="119" t="str">
        <f t="shared" ca="1" si="26"/>
        <v/>
      </c>
      <c r="U290" s="172" t="str">
        <f t="shared" ca="1" si="27"/>
        <v/>
      </c>
      <c r="V290" s="173" t="str">
        <f ca="1">IF(AND($W290&gt;0,RegimeExecucao="Unitário"),$F290,"")</f>
        <v/>
      </c>
      <c r="W290" s="547">
        <f ca="1">IF($Y290&gt;0,CHOOSE(MATCH(RegimeExecucao,{"Unitário","Global"},0),IF($A290="S",$Y290/$X290,""),($Y290/$X290)*100),0)</f>
        <v>0</v>
      </c>
      <c r="X290" s="384" t="str">
        <f ca="1">IF($Y290&gt;0,CHOOSE(MATCH(RegimeExecucao,{"Unitário","Global"},0),IF($A290="S",ROUND($H290,ORÇAMENTO!$AF$10),""),ROUND($I290,ORÇAMENTO!$AF$11)),"")</f>
        <v/>
      </c>
      <c r="Y290" s="384">
        <f t="shared" ca="1" si="28"/>
        <v>0</v>
      </c>
      <c r="Z290" s="572"/>
      <c r="AB290" s="382"/>
      <c r="AC290" s="516"/>
      <c r="AD290" s="516"/>
      <c r="AE290" s="516"/>
      <c r="AF290" s="516"/>
      <c r="AG290" s="516"/>
      <c r="AH290" s="516"/>
      <c r="AI290" s="516"/>
      <c r="AJ290" s="516"/>
      <c r="AK290" s="516"/>
      <c r="AL290" s="516"/>
      <c r="AM290" s="383"/>
      <c r="AO290">
        <f ca="1">IF($A290="S",IF(BM!$I290=0,0,CHOOSE(MATCH(RegimeExecucao,{"Global","Unitário"},0),ROUND(ROUND(BM.MEDAcumulado,15-13*BM!$A$9)/100*BM!$I290,15-13*ORÇAMENTO!$AF$11),ROUND(ROUND(BM.MEDAcumulado,15-13*BM!$A$9)*ROUND(BM!$H290,15-13*ORÇAMENTO!$AF$10),15-13*ORÇAMENTO!$AF$11))),IF($A290=0,0,ROUND(SomaAgrupBM,15-13*ORÇAMENTO!$AF$11)))</f>
        <v>0</v>
      </c>
    </row>
    <row r="291" spans="1:41" ht="25.5" x14ac:dyDescent="0.2">
      <c r="A291" t="str">
        <f ca="1">ORÇAMENTO!C291</f>
        <v>S</v>
      </c>
      <c r="B291">
        <f ca="1">ORÇAMENTO!D291</f>
        <v>0</v>
      </c>
      <c r="C291" s="116" t="str">
        <f t="shared" ca="1" si="22"/>
        <v/>
      </c>
      <c r="D291" s="119" t="str">
        <f ca="1">ORÇAMENTO!O291</f>
        <v>-</v>
      </c>
      <c r="E291" s="172" t="str">
        <f t="shared" ca="1" si="23"/>
        <v>(abra o arquivo 'Referência 06-2024.xlsm)</v>
      </c>
      <c r="F291" s="173" t="str">
        <f ca="1">IF(RegimeExecucao="Global","",ORÇAMENTO.Unidade)</f>
        <v/>
      </c>
      <c r="G291" s="124" t="str">
        <f ca="1">IF(RegimeExecucao="Global","",ORÇAMENTO!T291)</f>
        <v/>
      </c>
      <c r="H291" s="124" t="str">
        <f ca="1">IF(RegimeExecucao="Global","",ORÇAMENTO!W291)</f>
        <v/>
      </c>
      <c r="I291" s="127">
        <f ca="1">ORÇAMENTO!X291</f>
        <v>0</v>
      </c>
      <c r="J291" s="378">
        <f ca="1">IF($A291="S",IF(CAIXA.Modo,BM.AFAnterior,BM.MEDAnterior),IF(AND(RegimeExecucao="Global",$I291&gt;0,COUNTIF($AB$13:$AM$13,BM.medicao-1)&gt;0),M291/$I291*100,0))</f>
        <v>0</v>
      </c>
      <c r="K291" s="124">
        <f t="shared" ca="1" si="24"/>
        <v>0</v>
      </c>
      <c r="L291" s="379">
        <f ca="1">IF($A291="S",IF(CAIXA.Modo,BM.AFAcumulado,BM.MEDAcumulado),IF(AND(RegimeExecucao="Global",$I291&gt;0,COUNTIF($AB$13:$AM$13,BM.medicao)&gt;0),O291/$I291*100,0))</f>
        <v>0</v>
      </c>
      <c r="M291" s="380">
        <f ca="1">IF($A291="S",VTOTALBM,IF($A291=0,0,ROUND(SomaAgrupBM,15-13*ORÇAMENTO!$AF$11)))</f>
        <v>0</v>
      </c>
      <c r="N291" s="381">
        <f t="shared" ca="1" si="25"/>
        <v>0</v>
      </c>
      <c r="O291" s="127">
        <f ca="1">IF($A291="S",VTOTALBM,IF($A291=0,0,ROUND(SomaAgrupBM,15-13*ORÇAMENTO!$AF$11)))</f>
        <v>0</v>
      </c>
      <c r="Q291" s="382"/>
      <c r="R291" s="383"/>
      <c r="T291" s="119" t="str">
        <f t="shared" ca="1" si="26"/>
        <v/>
      </c>
      <c r="U291" s="172" t="str">
        <f t="shared" ca="1" si="27"/>
        <v/>
      </c>
      <c r="V291" s="173" t="str">
        <f ca="1">IF(AND($W291&gt;0,RegimeExecucao="Unitário"),$F291,"")</f>
        <v/>
      </c>
      <c r="W291" s="547">
        <f ca="1">IF($Y291&gt;0,CHOOSE(MATCH(RegimeExecucao,{"Unitário","Global"},0),IF($A291="S",$Y291/$X291,""),($Y291/$X291)*100),0)</f>
        <v>0</v>
      </c>
      <c r="X291" s="384" t="str">
        <f ca="1">IF($Y291&gt;0,CHOOSE(MATCH(RegimeExecucao,{"Unitário","Global"},0),IF($A291="S",ROUND($H291,ORÇAMENTO!$AF$10),""),ROUND($I291,ORÇAMENTO!$AF$11)),"")</f>
        <v/>
      </c>
      <c r="Y291" s="384">
        <f t="shared" ca="1" si="28"/>
        <v>0</v>
      </c>
      <c r="Z291" s="572"/>
      <c r="AB291" s="382"/>
      <c r="AC291" s="516"/>
      <c r="AD291" s="516"/>
      <c r="AE291" s="516"/>
      <c r="AF291" s="516"/>
      <c r="AG291" s="516"/>
      <c r="AH291" s="516"/>
      <c r="AI291" s="516"/>
      <c r="AJ291" s="516"/>
      <c r="AK291" s="516"/>
      <c r="AL291" s="516"/>
      <c r="AM291" s="383"/>
      <c r="AO291">
        <f ca="1">IF($A291="S",IF(BM!$I291=0,0,CHOOSE(MATCH(RegimeExecucao,{"Global","Unitário"},0),ROUND(ROUND(BM.MEDAcumulado,15-13*BM!$A$9)/100*BM!$I291,15-13*ORÇAMENTO!$AF$11),ROUND(ROUND(BM.MEDAcumulado,15-13*BM!$A$9)*ROUND(BM!$H291,15-13*ORÇAMENTO!$AF$10),15-13*ORÇAMENTO!$AF$11))),IF($A291=0,0,ROUND(SomaAgrupBM,15-13*ORÇAMENTO!$AF$11)))</f>
        <v>0</v>
      </c>
    </row>
    <row r="292" spans="1:41" ht="25.5" x14ac:dyDescent="0.2">
      <c r="A292" t="str">
        <f ca="1">ORÇAMENTO!C292</f>
        <v>S</v>
      </c>
      <c r="B292">
        <f ca="1">ORÇAMENTO!D292</f>
        <v>0</v>
      </c>
      <c r="C292" s="116" t="str">
        <f t="shared" ca="1" si="22"/>
        <v/>
      </c>
      <c r="D292" s="119" t="str">
        <f ca="1">ORÇAMENTO!O292</f>
        <v>-</v>
      </c>
      <c r="E292" s="172" t="str">
        <f t="shared" ca="1" si="23"/>
        <v>(abra o arquivo 'Referência 06-2024.xlsm)</v>
      </c>
      <c r="F292" s="173" t="str">
        <f ca="1">IF(RegimeExecucao="Global","",ORÇAMENTO.Unidade)</f>
        <v/>
      </c>
      <c r="G292" s="124" t="str">
        <f ca="1">IF(RegimeExecucao="Global","",ORÇAMENTO!T292)</f>
        <v/>
      </c>
      <c r="H292" s="124" t="str">
        <f ca="1">IF(RegimeExecucao="Global","",ORÇAMENTO!W292)</f>
        <v/>
      </c>
      <c r="I292" s="127">
        <f ca="1">ORÇAMENTO!X292</f>
        <v>0</v>
      </c>
      <c r="J292" s="378">
        <f ca="1">IF($A292="S",IF(CAIXA.Modo,BM.AFAnterior,BM.MEDAnterior),IF(AND(RegimeExecucao="Global",$I292&gt;0,COUNTIF($AB$13:$AM$13,BM.medicao-1)&gt;0),M292/$I292*100,0))</f>
        <v>0</v>
      </c>
      <c r="K292" s="124">
        <f t="shared" ca="1" si="24"/>
        <v>0</v>
      </c>
      <c r="L292" s="379">
        <f ca="1">IF($A292="S",IF(CAIXA.Modo,BM.AFAcumulado,BM.MEDAcumulado),IF(AND(RegimeExecucao="Global",$I292&gt;0,COUNTIF($AB$13:$AM$13,BM.medicao)&gt;0),O292/$I292*100,0))</f>
        <v>0</v>
      </c>
      <c r="M292" s="380">
        <f ca="1">IF($A292="S",VTOTALBM,IF($A292=0,0,ROUND(SomaAgrupBM,15-13*ORÇAMENTO!$AF$11)))</f>
        <v>0</v>
      </c>
      <c r="N292" s="381">
        <f t="shared" ca="1" si="25"/>
        <v>0</v>
      </c>
      <c r="O292" s="127">
        <f ca="1">IF($A292="S",VTOTALBM,IF($A292=0,0,ROUND(SomaAgrupBM,15-13*ORÇAMENTO!$AF$11)))</f>
        <v>0</v>
      </c>
      <c r="Q292" s="382"/>
      <c r="R292" s="383"/>
      <c r="T292" s="119" t="str">
        <f t="shared" ca="1" si="26"/>
        <v/>
      </c>
      <c r="U292" s="172" t="str">
        <f t="shared" ca="1" si="27"/>
        <v/>
      </c>
      <c r="V292" s="173" t="str">
        <f ca="1">IF(AND($W292&gt;0,RegimeExecucao="Unitário"),$F292,"")</f>
        <v/>
      </c>
      <c r="W292" s="547">
        <f ca="1">IF($Y292&gt;0,CHOOSE(MATCH(RegimeExecucao,{"Unitário","Global"},0),IF($A292="S",$Y292/$X292,""),($Y292/$X292)*100),0)</f>
        <v>0</v>
      </c>
      <c r="X292" s="384" t="str">
        <f ca="1">IF($Y292&gt;0,CHOOSE(MATCH(RegimeExecucao,{"Unitário","Global"},0),IF($A292="S",ROUND($H292,ORÇAMENTO!$AF$10),""),ROUND($I292,ORÇAMENTO!$AF$11)),"")</f>
        <v/>
      </c>
      <c r="Y292" s="384">
        <f t="shared" ca="1" si="28"/>
        <v>0</v>
      </c>
      <c r="Z292" s="572"/>
      <c r="AB292" s="382"/>
      <c r="AC292" s="516"/>
      <c r="AD292" s="516"/>
      <c r="AE292" s="516"/>
      <c r="AF292" s="516"/>
      <c r="AG292" s="516"/>
      <c r="AH292" s="516"/>
      <c r="AI292" s="516"/>
      <c r="AJ292" s="516"/>
      <c r="AK292" s="516"/>
      <c r="AL292" s="516"/>
      <c r="AM292" s="383"/>
      <c r="AO292">
        <f ca="1">IF($A292="S",IF(BM!$I292=0,0,CHOOSE(MATCH(RegimeExecucao,{"Global","Unitário"},0),ROUND(ROUND(BM.MEDAcumulado,15-13*BM!$A$9)/100*BM!$I292,15-13*ORÇAMENTO!$AF$11),ROUND(ROUND(BM.MEDAcumulado,15-13*BM!$A$9)*ROUND(BM!$H292,15-13*ORÇAMENTO!$AF$10),15-13*ORÇAMENTO!$AF$11))),IF($A292=0,0,ROUND(SomaAgrupBM,15-13*ORÇAMENTO!$AF$11)))</f>
        <v>0</v>
      </c>
    </row>
    <row r="293" spans="1:41" x14ac:dyDescent="0.2">
      <c r="A293">
        <f ca="1">ORÇAMENTO!C293</f>
        <v>2</v>
      </c>
      <c r="B293">
        <f ca="1">ORÇAMENTO!D293</f>
        <v>2</v>
      </c>
      <c r="C293" s="116" t="str">
        <f t="shared" ca="1" si="22"/>
        <v>F</v>
      </c>
      <c r="D293" s="119" t="str">
        <f ca="1">ORÇAMENTO!O293</f>
        <v>1.36.</v>
      </c>
      <c r="E293" s="172" t="str">
        <f t="shared" si="23"/>
        <v>INSTALAÇÃO HIDRÁULICA - RESERVATÓRIO 30.000 L</v>
      </c>
      <c r="F293" s="173" t="str">
        <f ca="1">IF(RegimeExecucao="Global","",ORÇAMENTO.Unidade)</f>
        <v/>
      </c>
      <c r="G293" s="124" t="str">
        <f ca="1">IF(RegimeExecucao="Global","",ORÇAMENTO!T293)</f>
        <v/>
      </c>
      <c r="H293" s="124" t="str">
        <f ca="1">IF(RegimeExecucao="Global","",ORÇAMENTO!W293)</f>
        <v/>
      </c>
      <c r="I293" s="127">
        <f ca="1">ORÇAMENTO!X293</f>
        <v>0</v>
      </c>
      <c r="J293" s="378">
        <f ca="1">IF($A293="S",IF(CAIXA.Modo,BM.AFAnterior,BM.MEDAnterior),IF(AND(RegimeExecucao="Global",$I293&gt;0,COUNTIF($AB$13:$AM$13,BM.medicao-1)&gt;0),M293/$I293*100,0))</f>
        <v>0</v>
      </c>
      <c r="K293" s="124">
        <f t="shared" ca="1" si="24"/>
        <v>0</v>
      </c>
      <c r="L293" s="379">
        <f ca="1">IF($A293="S",IF(CAIXA.Modo,BM.AFAcumulado,BM.MEDAcumulado),IF(AND(RegimeExecucao="Global",$I293&gt;0,COUNTIF($AB$13:$AM$13,BM.medicao)&gt;0),O293/$I293*100,0))</f>
        <v>0</v>
      </c>
      <c r="M293" s="380">
        <f ca="1">IF($A293="S",VTOTALBM,IF($A293=0,0,ROUND(SomaAgrupBM,15-13*ORÇAMENTO!$AF$11)))</f>
        <v>0</v>
      </c>
      <c r="N293" s="381">
        <f t="shared" ca="1" si="25"/>
        <v>0</v>
      </c>
      <c r="O293" s="127">
        <f ca="1">IF($A293="S",VTOTALBM,IF($A293=0,0,ROUND(SomaAgrupBM,15-13*ORÇAMENTO!$AF$11)))</f>
        <v>0</v>
      </c>
      <c r="Q293" s="382"/>
      <c r="R293" s="383"/>
      <c r="T293" s="119" t="str">
        <f t="shared" ca="1" si="26"/>
        <v/>
      </c>
      <c r="U293" s="172" t="str">
        <f t="shared" ca="1" si="27"/>
        <v/>
      </c>
      <c r="V293" s="173" t="str">
        <f ca="1">IF(AND($W293&gt;0,RegimeExecucao="Unitário"),$F293,"")</f>
        <v/>
      </c>
      <c r="W293" s="547">
        <f ca="1">IF($Y293&gt;0,CHOOSE(MATCH(RegimeExecucao,{"Unitário","Global"},0),IF($A293="S",$Y293/$X293,""),($Y293/$X293)*100),0)</f>
        <v>0</v>
      </c>
      <c r="X293" s="384" t="str">
        <f ca="1">IF($Y293&gt;0,CHOOSE(MATCH(RegimeExecucao,{"Unitário","Global"},0),IF($A293="S",ROUND($H293,ORÇAMENTO!$AF$10),""),ROUND($I293,ORÇAMENTO!$AF$11)),"")</f>
        <v/>
      </c>
      <c r="Y293" s="384">
        <f t="shared" ca="1" si="28"/>
        <v>0</v>
      </c>
      <c r="Z293" s="572"/>
      <c r="AB293" s="382"/>
      <c r="AC293" s="516"/>
      <c r="AD293" s="516"/>
      <c r="AE293" s="516"/>
      <c r="AF293" s="516"/>
      <c r="AG293" s="516"/>
      <c r="AH293" s="516"/>
      <c r="AI293" s="516"/>
      <c r="AJ293" s="516"/>
      <c r="AK293" s="516"/>
      <c r="AL293" s="516"/>
      <c r="AM293" s="383"/>
      <c r="AO293">
        <f ca="1">IF($A293="S",IF(BM!$I293=0,0,CHOOSE(MATCH(RegimeExecucao,{"Global","Unitário"},0),ROUND(ROUND(BM.MEDAcumulado,15-13*BM!$A$9)/100*BM!$I293,15-13*ORÇAMENTO!$AF$11),ROUND(ROUND(BM.MEDAcumulado,15-13*BM!$A$9)*ROUND(BM!$H293,15-13*ORÇAMENTO!$AF$10),15-13*ORÇAMENTO!$AF$11))),IF($A293=0,0,ROUND(SomaAgrupBM,15-13*ORÇAMENTO!$AF$11)))</f>
        <v>0</v>
      </c>
    </row>
    <row r="294" spans="1:41" ht="51" x14ac:dyDescent="0.2">
      <c r="A294" t="str">
        <f ca="1">ORÇAMENTO!C294</f>
        <v>S</v>
      </c>
      <c r="B294">
        <f ca="1">ORÇAMENTO!D294</f>
        <v>0</v>
      </c>
      <c r="C294" s="116" t="str">
        <f t="shared" ca="1" si="22"/>
        <v/>
      </c>
      <c r="D294" s="119" t="str">
        <f ca="1">ORÇAMENTO!O294</f>
        <v>-</v>
      </c>
      <c r="E294" s="172" t="str">
        <f t="shared" ca="1" si="23"/>
        <v>(abra o arquivo 'Referência 06-2024.xlsm)</v>
      </c>
      <c r="F294" s="173" t="str">
        <f ca="1">IF(RegimeExecucao="Global","",ORÇAMENTO.Unidade)</f>
        <v/>
      </c>
      <c r="G294" s="124" t="str">
        <f ca="1">IF(RegimeExecucao="Global","",ORÇAMENTO!T294)</f>
        <v/>
      </c>
      <c r="H294" s="124" t="str">
        <f ca="1">IF(RegimeExecucao="Global","",ORÇAMENTO!W294)</f>
        <v/>
      </c>
      <c r="I294" s="127">
        <f ca="1">ORÇAMENTO!X294</f>
        <v>0</v>
      </c>
      <c r="J294" s="378">
        <f ca="1">IF($A294="S",IF(CAIXA.Modo,BM.AFAnterior,BM.MEDAnterior),IF(AND(RegimeExecucao="Global",$I294&gt;0,COUNTIF($AB$13:$AM$13,BM.medicao-1)&gt;0),M294/$I294*100,0))</f>
        <v>0</v>
      </c>
      <c r="K294" s="124">
        <f t="shared" ca="1" si="24"/>
        <v>0</v>
      </c>
      <c r="L294" s="379">
        <f ca="1">IF($A294="S",IF(CAIXA.Modo,BM.AFAcumulado,BM.MEDAcumulado),IF(AND(RegimeExecucao="Global",$I294&gt;0,COUNTIF($AB$13:$AM$13,BM.medicao)&gt;0),O294/$I294*100,0))</f>
        <v>0</v>
      </c>
      <c r="M294" s="380">
        <f ca="1">IF($A294="S",VTOTALBM,IF($A294=0,0,ROUND(SomaAgrupBM,15-13*ORÇAMENTO!$AF$11)))</f>
        <v>0</v>
      </c>
      <c r="N294" s="381">
        <f t="shared" ca="1" si="25"/>
        <v>0</v>
      </c>
      <c r="O294" s="127">
        <f ca="1">IF($A294="S",VTOTALBM,IF($A294=0,0,ROUND(SomaAgrupBM,15-13*ORÇAMENTO!$AF$11)))</f>
        <v>0</v>
      </c>
      <c r="Q294" s="382"/>
      <c r="R294" s="383"/>
      <c r="T294" s="119" t="str">
        <f t="shared" ca="1" si="26"/>
        <v/>
      </c>
      <c r="U294" s="172" t="str">
        <f t="shared" ca="1" si="27"/>
        <v/>
      </c>
      <c r="V294" s="173" t="str">
        <f ca="1">IF(AND($W294&gt;0,RegimeExecucao="Unitário"),$F294,"")</f>
        <v/>
      </c>
      <c r="W294" s="547">
        <f ca="1">IF($Y294&gt;0,CHOOSE(MATCH(RegimeExecucao,{"Unitário","Global"},0),IF($A294="S",$Y294/$X294,""),($Y294/$X294)*100),0)</f>
        <v>0</v>
      </c>
      <c r="X294" s="384" t="str">
        <f ca="1">IF($Y294&gt;0,CHOOSE(MATCH(RegimeExecucao,{"Unitário","Global"},0),IF($A294="S",ROUND($H294,ORÇAMENTO!$AF$10),""),ROUND($I294,ORÇAMENTO!$AF$11)),"")</f>
        <v/>
      </c>
      <c r="Y294" s="384">
        <f t="shared" ca="1" si="28"/>
        <v>0</v>
      </c>
      <c r="Z294" s="572"/>
      <c r="AB294" s="382"/>
      <c r="AC294" s="516"/>
      <c r="AD294" s="516"/>
      <c r="AE294" s="516"/>
      <c r="AF294" s="516"/>
      <c r="AG294" s="516"/>
      <c r="AH294" s="516"/>
      <c r="AI294" s="516"/>
      <c r="AJ294" s="516"/>
      <c r="AK294" s="516"/>
      <c r="AL294" s="516"/>
      <c r="AM294" s="383"/>
      <c r="AO294">
        <f ca="1">IF($A294="S",IF(BM!$I294=0,0,CHOOSE(MATCH(RegimeExecucao,{"Global","Unitário"},0),ROUND(ROUND(BM.MEDAcumulado,15-13*BM!$A$9)/100*BM!$I294,15-13*ORÇAMENTO!$AF$11),ROUND(ROUND(BM.MEDAcumulado,15-13*BM!$A$9)*ROUND(BM!$H294,15-13*ORÇAMENTO!$AF$10),15-13*ORÇAMENTO!$AF$11))),IF($A294=0,0,ROUND(SomaAgrupBM,15-13*ORÇAMENTO!$AF$11)))</f>
        <v>0</v>
      </c>
    </row>
    <row r="295" spans="1:41" x14ac:dyDescent="0.2">
      <c r="A295">
        <f ca="1">ORÇAMENTO!C295</f>
        <v>2</v>
      </c>
      <c r="B295">
        <f ca="1">ORÇAMENTO!D295</f>
        <v>5</v>
      </c>
      <c r="C295" s="116" t="str">
        <f t="shared" ca="1" si="22"/>
        <v>F</v>
      </c>
      <c r="D295" s="119" t="str">
        <f ca="1">ORÇAMENTO!O295</f>
        <v>1.37.</v>
      </c>
      <c r="E295" s="172" t="str">
        <f t="shared" si="23"/>
        <v>INSTALAÇÃO HIDRÁULICA - SISTEMA DE REUSO DE ÁGUA</v>
      </c>
      <c r="F295" s="173" t="str">
        <f ca="1">IF(RegimeExecucao="Global","",ORÇAMENTO.Unidade)</f>
        <v/>
      </c>
      <c r="G295" s="124" t="str">
        <f ca="1">IF(RegimeExecucao="Global","",ORÇAMENTO!T295)</f>
        <v/>
      </c>
      <c r="H295" s="124" t="str">
        <f ca="1">IF(RegimeExecucao="Global","",ORÇAMENTO!W295)</f>
        <v/>
      </c>
      <c r="I295" s="127">
        <f ca="1">ORÇAMENTO!X295</f>
        <v>0</v>
      </c>
      <c r="J295" s="378">
        <f ca="1">IF($A295="S",IF(CAIXA.Modo,BM.AFAnterior,BM.MEDAnterior),IF(AND(RegimeExecucao="Global",$I295&gt;0,COUNTIF($AB$13:$AM$13,BM.medicao-1)&gt;0),M295/$I295*100,0))</f>
        <v>0</v>
      </c>
      <c r="K295" s="124">
        <f t="shared" ca="1" si="24"/>
        <v>0</v>
      </c>
      <c r="L295" s="379">
        <f ca="1">IF($A295="S",IF(CAIXA.Modo,BM.AFAcumulado,BM.MEDAcumulado),IF(AND(RegimeExecucao="Global",$I295&gt;0,COUNTIF($AB$13:$AM$13,BM.medicao)&gt;0),O295/$I295*100,0))</f>
        <v>0</v>
      </c>
      <c r="M295" s="380">
        <f ca="1">IF($A295="S",VTOTALBM,IF($A295=0,0,ROUND(SomaAgrupBM,15-13*ORÇAMENTO!$AF$11)))</f>
        <v>0</v>
      </c>
      <c r="N295" s="381">
        <f t="shared" ca="1" si="25"/>
        <v>0</v>
      </c>
      <c r="O295" s="127">
        <f ca="1">IF($A295="S",VTOTALBM,IF($A295=0,0,ROUND(SomaAgrupBM,15-13*ORÇAMENTO!$AF$11)))</f>
        <v>0</v>
      </c>
      <c r="Q295" s="382"/>
      <c r="R295" s="383"/>
      <c r="T295" s="119" t="str">
        <f t="shared" ca="1" si="26"/>
        <v/>
      </c>
      <c r="U295" s="172" t="str">
        <f t="shared" ca="1" si="27"/>
        <v/>
      </c>
      <c r="V295" s="173" t="str">
        <f ca="1">IF(AND($W295&gt;0,RegimeExecucao="Unitário"),$F295,"")</f>
        <v/>
      </c>
      <c r="W295" s="547">
        <f ca="1">IF($Y295&gt;0,CHOOSE(MATCH(RegimeExecucao,{"Unitário","Global"},0),IF($A295="S",$Y295/$X295,""),($Y295/$X295)*100),0)</f>
        <v>0</v>
      </c>
      <c r="X295" s="384" t="str">
        <f ca="1">IF($Y295&gt;0,CHOOSE(MATCH(RegimeExecucao,{"Unitário","Global"},0),IF($A295="S",ROUND($H295,ORÇAMENTO!$AF$10),""),ROUND($I295,ORÇAMENTO!$AF$11)),"")</f>
        <v/>
      </c>
      <c r="Y295" s="384">
        <f t="shared" ca="1" si="28"/>
        <v>0</v>
      </c>
      <c r="Z295" s="572"/>
      <c r="AB295" s="382"/>
      <c r="AC295" s="516"/>
      <c r="AD295" s="516"/>
      <c r="AE295" s="516"/>
      <c r="AF295" s="516"/>
      <c r="AG295" s="516"/>
      <c r="AH295" s="516"/>
      <c r="AI295" s="516"/>
      <c r="AJ295" s="516"/>
      <c r="AK295" s="516"/>
      <c r="AL295" s="516"/>
      <c r="AM295" s="383"/>
      <c r="AO295">
        <f ca="1">IF($A295="S",IF(BM!$I295=0,0,CHOOSE(MATCH(RegimeExecucao,{"Global","Unitário"},0),ROUND(ROUND(BM.MEDAcumulado,15-13*BM!$A$9)/100*BM!$I295,15-13*ORÇAMENTO!$AF$11),ROUND(ROUND(BM.MEDAcumulado,15-13*BM!$A$9)*ROUND(BM!$H295,15-13*ORÇAMENTO!$AF$10),15-13*ORÇAMENTO!$AF$11))),IF($A295=0,0,ROUND(SomaAgrupBM,15-13*ORÇAMENTO!$AF$11)))</f>
        <v>0</v>
      </c>
    </row>
    <row r="296" spans="1:41" x14ac:dyDescent="0.2">
      <c r="A296" t="str">
        <f ca="1">ORÇAMENTO!C296</f>
        <v>S</v>
      </c>
      <c r="B296">
        <f ca="1">ORÇAMENTO!D296</f>
        <v>0</v>
      </c>
      <c r="C296" s="116" t="str">
        <f t="shared" ca="1" si="22"/>
        <v/>
      </c>
      <c r="D296" s="119" t="str">
        <f ca="1">ORÇAMENTO!O296</f>
        <v>-</v>
      </c>
      <c r="E296" s="172" t="str">
        <f t="shared" ca="1" si="23"/>
        <v>(abra o arquivo 'Referência 06-2024.xlsm)</v>
      </c>
      <c r="F296" s="173" t="str">
        <f ca="1">IF(RegimeExecucao="Global","",ORÇAMENTO.Unidade)</f>
        <v/>
      </c>
      <c r="G296" s="124" t="str">
        <f ca="1">IF(RegimeExecucao="Global","",ORÇAMENTO!T296)</f>
        <v/>
      </c>
      <c r="H296" s="124" t="str">
        <f ca="1">IF(RegimeExecucao="Global","",ORÇAMENTO!W296)</f>
        <v/>
      </c>
      <c r="I296" s="127">
        <f ca="1">ORÇAMENTO!X296</f>
        <v>0</v>
      </c>
      <c r="J296" s="378">
        <f ca="1">IF($A296="S",IF(CAIXA.Modo,BM.AFAnterior,BM.MEDAnterior),IF(AND(RegimeExecucao="Global",$I296&gt;0,COUNTIF($AB$13:$AM$13,BM.medicao-1)&gt;0),M296/$I296*100,0))</f>
        <v>0</v>
      </c>
      <c r="K296" s="124">
        <f t="shared" ca="1" si="24"/>
        <v>0</v>
      </c>
      <c r="L296" s="379">
        <f ca="1">IF($A296="S",IF(CAIXA.Modo,BM.AFAcumulado,BM.MEDAcumulado),IF(AND(RegimeExecucao="Global",$I296&gt;0,COUNTIF($AB$13:$AM$13,BM.medicao)&gt;0),O296/$I296*100,0))</f>
        <v>0</v>
      </c>
      <c r="M296" s="380">
        <f ca="1">IF($A296="S",VTOTALBM,IF($A296=0,0,ROUND(SomaAgrupBM,15-13*ORÇAMENTO!$AF$11)))</f>
        <v>0</v>
      </c>
      <c r="N296" s="381">
        <f t="shared" ca="1" si="25"/>
        <v>0</v>
      </c>
      <c r="O296" s="127">
        <f ca="1">IF($A296="S",VTOTALBM,IF($A296=0,0,ROUND(SomaAgrupBM,15-13*ORÇAMENTO!$AF$11)))</f>
        <v>0</v>
      </c>
      <c r="Q296" s="382"/>
      <c r="R296" s="383"/>
      <c r="T296" s="119" t="str">
        <f t="shared" ca="1" si="26"/>
        <v/>
      </c>
      <c r="U296" s="172" t="str">
        <f t="shared" ca="1" si="27"/>
        <v/>
      </c>
      <c r="V296" s="173" t="str">
        <f ca="1">IF(AND($W296&gt;0,RegimeExecucao="Unitário"),$F296,"")</f>
        <v/>
      </c>
      <c r="W296" s="547">
        <f ca="1">IF($Y296&gt;0,CHOOSE(MATCH(RegimeExecucao,{"Unitário","Global"},0),IF($A296="S",$Y296/$X296,""),($Y296/$X296)*100),0)</f>
        <v>0</v>
      </c>
      <c r="X296" s="384" t="str">
        <f ca="1">IF($Y296&gt;0,CHOOSE(MATCH(RegimeExecucao,{"Unitário","Global"},0),IF($A296="S",ROUND($H296,ORÇAMENTO!$AF$10),""),ROUND($I296,ORÇAMENTO!$AF$11)),"")</f>
        <v/>
      </c>
      <c r="Y296" s="384">
        <f t="shared" ca="1" si="28"/>
        <v>0</v>
      </c>
      <c r="Z296" s="572"/>
      <c r="AB296" s="382"/>
      <c r="AC296" s="516"/>
      <c r="AD296" s="516"/>
      <c r="AE296" s="516"/>
      <c r="AF296" s="516"/>
      <c r="AG296" s="516"/>
      <c r="AH296" s="516"/>
      <c r="AI296" s="516"/>
      <c r="AJ296" s="516"/>
      <c r="AK296" s="516"/>
      <c r="AL296" s="516"/>
      <c r="AM296" s="383"/>
      <c r="AO296">
        <f ca="1">IF($A296="S",IF(BM!$I296=0,0,CHOOSE(MATCH(RegimeExecucao,{"Global","Unitário"},0),ROUND(ROUND(BM.MEDAcumulado,15-13*BM!$A$9)/100*BM!$I296,15-13*ORÇAMENTO!$AF$11),ROUND(ROUND(BM.MEDAcumulado,15-13*BM!$A$9)*ROUND(BM!$H296,15-13*ORÇAMENTO!$AF$10),15-13*ORÇAMENTO!$AF$11))),IF($A296=0,0,ROUND(SomaAgrupBM,15-13*ORÇAMENTO!$AF$11)))</f>
        <v>0</v>
      </c>
    </row>
    <row r="297" spans="1:41" x14ac:dyDescent="0.2">
      <c r="A297" t="str">
        <f ca="1">ORÇAMENTO!C297</f>
        <v>S</v>
      </c>
      <c r="B297">
        <f ca="1">ORÇAMENTO!D297</f>
        <v>0</v>
      </c>
      <c r="C297" s="116" t="str">
        <f t="shared" ca="1" si="22"/>
        <v/>
      </c>
      <c r="D297" s="119" t="str">
        <f ca="1">ORÇAMENTO!O297</f>
        <v>-</v>
      </c>
      <c r="E297" s="172" t="str">
        <f t="shared" ca="1" si="23"/>
        <v>(abra o arquivo 'Referência 06-2024.xlsm)</v>
      </c>
      <c r="F297" s="173" t="str">
        <f ca="1">IF(RegimeExecucao="Global","",ORÇAMENTO.Unidade)</f>
        <v/>
      </c>
      <c r="G297" s="124" t="str">
        <f ca="1">IF(RegimeExecucao="Global","",ORÇAMENTO!T297)</f>
        <v/>
      </c>
      <c r="H297" s="124" t="str">
        <f ca="1">IF(RegimeExecucao="Global","",ORÇAMENTO!W297)</f>
        <v/>
      </c>
      <c r="I297" s="127">
        <f ca="1">ORÇAMENTO!X297</f>
        <v>0</v>
      </c>
      <c r="J297" s="378">
        <f ca="1">IF($A297="S",IF(CAIXA.Modo,BM.AFAnterior,BM.MEDAnterior),IF(AND(RegimeExecucao="Global",$I297&gt;0,COUNTIF($AB$13:$AM$13,BM.medicao-1)&gt;0),M297/$I297*100,0))</f>
        <v>0</v>
      </c>
      <c r="K297" s="124">
        <f t="shared" ca="1" si="24"/>
        <v>0</v>
      </c>
      <c r="L297" s="379">
        <f ca="1">IF($A297="S",IF(CAIXA.Modo,BM.AFAcumulado,BM.MEDAcumulado),IF(AND(RegimeExecucao="Global",$I297&gt;0,COUNTIF($AB$13:$AM$13,BM.medicao)&gt;0),O297/$I297*100,0))</f>
        <v>0</v>
      </c>
      <c r="M297" s="380">
        <f ca="1">IF($A297="S",VTOTALBM,IF($A297=0,0,ROUND(SomaAgrupBM,15-13*ORÇAMENTO!$AF$11)))</f>
        <v>0</v>
      </c>
      <c r="N297" s="381">
        <f t="shared" ca="1" si="25"/>
        <v>0</v>
      </c>
      <c r="O297" s="127">
        <f ca="1">IF($A297="S",VTOTALBM,IF($A297=0,0,ROUND(SomaAgrupBM,15-13*ORÇAMENTO!$AF$11)))</f>
        <v>0</v>
      </c>
      <c r="Q297" s="382"/>
      <c r="R297" s="383"/>
      <c r="T297" s="119" t="str">
        <f t="shared" ca="1" si="26"/>
        <v/>
      </c>
      <c r="U297" s="172" t="str">
        <f t="shared" ca="1" si="27"/>
        <v/>
      </c>
      <c r="V297" s="173" t="str">
        <f ca="1">IF(AND($W297&gt;0,RegimeExecucao="Unitário"),$F297,"")</f>
        <v/>
      </c>
      <c r="W297" s="547">
        <f ca="1">IF($Y297&gt;0,CHOOSE(MATCH(RegimeExecucao,{"Unitário","Global"},0),IF($A297="S",$Y297/$X297,""),($Y297/$X297)*100),0)</f>
        <v>0</v>
      </c>
      <c r="X297" s="384" t="str">
        <f ca="1">IF($Y297&gt;0,CHOOSE(MATCH(RegimeExecucao,{"Unitário","Global"},0),IF($A297="S",ROUND($H297,ORÇAMENTO!$AF$10),""),ROUND($I297,ORÇAMENTO!$AF$11)),"")</f>
        <v/>
      </c>
      <c r="Y297" s="384">
        <f t="shared" ca="1" si="28"/>
        <v>0</v>
      </c>
      <c r="Z297" s="572"/>
      <c r="AB297" s="382"/>
      <c r="AC297" s="516"/>
      <c r="AD297" s="516"/>
      <c r="AE297" s="516"/>
      <c r="AF297" s="516"/>
      <c r="AG297" s="516"/>
      <c r="AH297" s="516"/>
      <c r="AI297" s="516"/>
      <c r="AJ297" s="516"/>
      <c r="AK297" s="516"/>
      <c r="AL297" s="516"/>
      <c r="AM297" s="383"/>
      <c r="AO297">
        <f ca="1">IF($A297="S",IF(BM!$I297=0,0,CHOOSE(MATCH(RegimeExecucao,{"Global","Unitário"},0),ROUND(ROUND(BM.MEDAcumulado,15-13*BM!$A$9)/100*BM!$I297,15-13*ORÇAMENTO!$AF$11),ROUND(ROUND(BM.MEDAcumulado,15-13*BM!$A$9)*ROUND(BM!$H297,15-13*ORÇAMENTO!$AF$10),15-13*ORÇAMENTO!$AF$11))),IF($A297=0,0,ROUND(SomaAgrupBM,15-13*ORÇAMENTO!$AF$11)))</f>
        <v>0</v>
      </c>
    </row>
    <row r="298" spans="1:41" ht="38.25" x14ac:dyDescent="0.2">
      <c r="A298" t="str">
        <f ca="1">ORÇAMENTO!C298</f>
        <v>S</v>
      </c>
      <c r="B298">
        <f ca="1">ORÇAMENTO!D298</f>
        <v>0</v>
      </c>
      <c r="C298" s="116" t="str">
        <f t="shared" ca="1" si="22"/>
        <v/>
      </c>
      <c r="D298" s="119" t="str">
        <f ca="1">ORÇAMENTO!O298</f>
        <v>-</v>
      </c>
      <c r="E298" s="172" t="str">
        <f t="shared" ca="1" si="23"/>
        <v>(abra o arquivo 'Referência 06-2024.xlsm)</v>
      </c>
      <c r="F298" s="173" t="str">
        <f ca="1">IF(RegimeExecucao="Global","",ORÇAMENTO.Unidade)</f>
        <v/>
      </c>
      <c r="G298" s="124" t="str">
        <f ca="1">IF(RegimeExecucao="Global","",ORÇAMENTO!T298)</f>
        <v/>
      </c>
      <c r="H298" s="124" t="str">
        <f ca="1">IF(RegimeExecucao="Global","",ORÇAMENTO!W298)</f>
        <v/>
      </c>
      <c r="I298" s="127">
        <f ca="1">ORÇAMENTO!X298</f>
        <v>0</v>
      </c>
      <c r="J298" s="378">
        <f ca="1">IF($A298="S",IF(CAIXA.Modo,BM.AFAnterior,BM.MEDAnterior),IF(AND(RegimeExecucao="Global",$I298&gt;0,COUNTIF($AB$13:$AM$13,BM.medicao-1)&gt;0),M298/$I298*100,0))</f>
        <v>0</v>
      </c>
      <c r="K298" s="124">
        <f t="shared" ca="1" si="24"/>
        <v>0</v>
      </c>
      <c r="L298" s="379">
        <f ca="1">IF($A298="S",IF(CAIXA.Modo,BM.AFAcumulado,BM.MEDAcumulado),IF(AND(RegimeExecucao="Global",$I298&gt;0,COUNTIF($AB$13:$AM$13,BM.medicao)&gt;0),O298/$I298*100,0))</f>
        <v>0</v>
      </c>
      <c r="M298" s="380">
        <f ca="1">IF($A298="S",VTOTALBM,IF($A298=0,0,ROUND(SomaAgrupBM,15-13*ORÇAMENTO!$AF$11)))</f>
        <v>0</v>
      </c>
      <c r="N298" s="381">
        <f t="shared" ca="1" si="25"/>
        <v>0</v>
      </c>
      <c r="O298" s="127">
        <f ca="1">IF($A298="S",VTOTALBM,IF($A298=0,0,ROUND(SomaAgrupBM,15-13*ORÇAMENTO!$AF$11)))</f>
        <v>0</v>
      </c>
      <c r="Q298" s="382"/>
      <c r="R298" s="383"/>
      <c r="T298" s="119" t="str">
        <f t="shared" ca="1" si="26"/>
        <v/>
      </c>
      <c r="U298" s="172" t="str">
        <f t="shared" ca="1" si="27"/>
        <v/>
      </c>
      <c r="V298" s="173" t="str">
        <f ca="1">IF(AND($W298&gt;0,RegimeExecucao="Unitário"),$F298,"")</f>
        <v/>
      </c>
      <c r="W298" s="547">
        <f ca="1">IF($Y298&gt;0,CHOOSE(MATCH(RegimeExecucao,{"Unitário","Global"},0),IF($A298="S",$Y298/$X298,""),($Y298/$X298)*100),0)</f>
        <v>0</v>
      </c>
      <c r="X298" s="384" t="str">
        <f ca="1">IF($Y298&gt;0,CHOOSE(MATCH(RegimeExecucao,{"Unitário","Global"},0),IF($A298="S",ROUND($H298,ORÇAMENTO!$AF$10),""),ROUND($I298,ORÇAMENTO!$AF$11)),"")</f>
        <v/>
      </c>
      <c r="Y298" s="384">
        <f t="shared" ca="1" si="28"/>
        <v>0</v>
      </c>
      <c r="Z298" s="572"/>
      <c r="AB298" s="382"/>
      <c r="AC298" s="516"/>
      <c r="AD298" s="516"/>
      <c r="AE298" s="516"/>
      <c r="AF298" s="516"/>
      <c r="AG298" s="516"/>
      <c r="AH298" s="516"/>
      <c r="AI298" s="516"/>
      <c r="AJ298" s="516"/>
      <c r="AK298" s="516"/>
      <c r="AL298" s="516"/>
      <c r="AM298" s="383"/>
      <c r="AO298">
        <f ca="1">IF($A298="S",IF(BM!$I298=0,0,CHOOSE(MATCH(RegimeExecucao,{"Global","Unitário"},0),ROUND(ROUND(BM.MEDAcumulado,15-13*BM!$A$9)/100*BM!$I298,15-13*ORÇAMENTO!$AF$11),ROUND(ROUND(BM.MEDAcumulado,15-13*BM!$A$9)*ROUND(BM!$H298,15-13*ORÇAMENTO!$AF$10),15-13*ORÇAMENTO!$AF$11))),IF($A298=0,0,ROUND(SomaAgrupBM,15-13*ORÇAMENTO!$AF$11)))</f>
        <v>0</v>
      </c>
    </row>
    <row r="299" spans="1:41" ht="25.5" x14ac:dyDescent="0.2">
      <c r="A299" t="str">
        <f ca="1">ORÇAMENTO!C299</f>
        <v>S</v>
      </c>
      <c r="B299">
        <f ca="1">ORÇAMENTO!D299</f>
        <v>0</v>
      </c>
      <c r="C299" s="116" t="str">
        <f t="shared" ca="1" si="22"/>
        <v/>
      </c>
      <c r="D299" s="119" t="str">
        <f ca="1">ORÇAMENTO!O299</f>
        <v>-</v>
      </c>
      <c r="E299" s="172" t="str">
        <f t="shared" ca="1" si="23"/>
        <v>(abra o arquivo 'Referência 06-2024.xlsm)</v>
      </c>
      <c r="F299" s="173" t="str">
        <f ca="1">IF(RegimeExecucao="Global","",ORÇAMENTO.Unidade)</f>
        <v/>
      </c>
      <c r="G299" s="124" t="str">
        <f ca="1">IF(RegimeExecucao="Global","",ORÇAMENTO!T299)</f>
        <v/>
      </c>
      <c r="H299" s="124" t="str">
        <f ca="1">IF(RegimeExecucao="Global","",ORÇAMENTO!W299)</f>
        <v/>
      </c>
      <c r="I299" s="127">
        <f ca="1">ORÇAMENTO!X299</f>
        <v>0</v>
      </c>
      <c r="J299" s="378">
        <f ca="1">IF($A299="S",IF(CAIXA.Modo,BM.AFAnterior,BM.MEDAnterior),IF(AND(RegimeExecucao="Global",$I299&gt;0,COUNTIF($AB$13:$AM$13,BM.medicao-1)&gt;0),M299/$I299*100,0))</f>
        <v>0</v>
      </c>
      <c r="K299" s="124">
        <f t="shared" ca="1" si="24"/>
        <v>0</v>
      </c>
      <c r="L299" s="379">
        <f ca="1">IF($A299="S",IF(CAIXA.Modo,BM.AFAcumulado,BM.MEDAcumulado),IF(AND(RegimeExecucao="Global",$I299&gt;0,COUNTIF($AB$13:$AM$13,BM.medicao)&gt;0),O299/$I299*100,0))</f>
        <v>0</v>
      </c>
      <c r="M299" s="380">
        <f ca="1">IF($A299="S",VTOTALBM,IF($A299=0,0,ROUND(SomaAgrupBM,15-13*ORÇAMENTO!$AF$11)))</f>
        <v>0</v>
      </c>
      <c r="N299" s="381">
        <f t="shared" ca="1" si="25"/>
        <v>0</v>
      </c>
      <c r="O299" s="127">
        <f ca="1">IF($A299="S",VTOTALBM,IF($A299=0,0,ROUND(SomaAgrupBM,15-13*ORÇAMENTO!$AF$11)))</f>
        <v>0</v>
      </c>
      <c r="Q299" s="382"/>
      <c r="R299" s="383"/>
      <c r="T299" s="119" t="str">
        <f t="shared" ca="1" si="26"/>
        <v/>
      </c>
      <c r="U299" s="172" t="str">
        <f t="shared" ca="1" si="27"/>
        <v/>
      </c>
      <c r="V299" s="173" t="str">
        <f ca="1">IF(AND($W299&gt;0,RegimeExecucao="Unitário"),$F299,"")</f>
        <v/>
      </c>
      <c r="W299" s="547">
        <f ca="1">IF($Y299&gt;0,CHOOSE(MATCH(RegimeExecucao,{"Unitário","Global"},0),IF($A299="S",$Y299/$X299,""),($Y299/$X299)*100),0)</f>
        <v>0</v>
      </c>
      <c r="X299" s="384" t="str">
        <f ca="1">IF($Y299&gt;0,CHOOSE(MATCH(RegimeExecucao,{"Unitário","Global"},0),IF($A299="S",ROUND($H299,ORÇAMENTO!$AF$10),""),ROUND($I299,ORÇAMENTO!$AF$11)),"")</f>
        <v/>
      </c>
      <c r="Y299" s="384">
        <f t="shared" ca="1" si="28"/>
        <v>0</v>
      </c>
      <c r="Z299" s="572"/>
      <c r="AB299" s="382"/>
      <c r="AC299" s="516"/>
      <c r="AD299" s="516"/>
      <c r="AE299" s="516"/>
      <c r="AF299" s="516"/>
      <c r="AG299" s="516"/>
      <c r="AH299" s="516"/>
      <c r="AI299" s="516"/>
      <c r="AJ299" s="516"/>
      <c r="AK299" s="516"/>
      <c r="AL299" s="516"/>
      <c r="AM299" s="383"/>
      <c r="AO299">
        <f ca="1">IF($A299="S",IF(BM!$I299=0,0,CHOOSE(MATCH(RegimeExecucao,{"Global","Unitário"},0),ROUND(ROUND(BM.MEDAcumulado,15-13*BM!$A$9)/100*BM!$I299,15-13*ORÇAMENTO!$AF$11),ROUND(ROUND(BM.MEDAcumulado,15-13*BM!$A$9)*ROUND(BM!$H299,15-13*ORÇAMENTO!$AF$10),15-13*ORÇAMENTO!$AF$11))),IF($A299=0,0,ROUND(SomaAgrupBM,15-13*ORÇAMENTO!$AF$11)))</f>
        <v>0</v>
      </c>
    </row>
    <row r="300" spans="1:41" ht="25.5" x14ac:dyDescent="0.2">
      <c r="A300">
        <f ca="1">ORÇAMENTO!C300</f>
        <v>2</v>
      </c>
      <c r="B300">
        <f ca="1">ORÇAMENTO!D300</f>
        <v>16</v>
      </c>
      <c r="C300" s="116" t="str">
        <f t="shared" ca="1" si="22"/>
        <v>F</v>
      </c>
      <c r="D300" s="119" t="str">
        <f ca="1">ORÇAMENTO!O300</f>
        <v>1.38.</v>
      </c>
      <c r="E300" s="172" t="str">
        <f t="shared" si="23"/>
        <v>DRENAGEM DE ÁGUAS PLUVIAIS - TUBULAÇÕES E CONEXÕES DE PVC</v>
      </c>
      <c r="F300" s="173" t="str">
        <f ca="1">IF(RegimeExecucao="Global","",ORÇAMENTO.Unidade)</f>
        <v/>
      </c>
      <c r="G300" s="124" t="str">
        <f ca="1">IF(RegimeExecucao="Global","",ORÇAMENTO!T300)</f>
        <v/>
      </c>
      <c r="H300" s="124" t="str">
        <f ca="1">IF(RegimeExecucao="Global","",ORÇAMENTO!W300)</f>
        <v/>
      </c>
      <c r="I300" s="127">
        <f ca="1">ORÇAMENTO!X300</f>
        <v>0</v>
      </c>
      <c r="J300" s="378">
        <f ca="1">IF($A300="S",IF(CAIXA.Modo,BM.AFAnterior,BM.MEDAnterior),IF(AND(RegimeExecucao="Global",$I300&gt;0,COUNTIF($AB$13:$AM$13,BM.medicao-1)&gt;0),M300/$I300*100,0))</f>
        <v>0</v>
      </c>
      <c r="K300" s="124">
        <f t="shared" ca="1" si="24"/>
        <v>0</v>
      </c>
      <c r="L300" s="379">
        <f ca="1">IF($A300="S",IF(CAIXA.Modo,BM.AFAcumulado,BM.MEDAcumulado),IF(AND(RegimeExecucao="Global",$I300&gt;0,COUNTIF($AB$13:$AM$13,BM.medicao)&gt;0),O300/$I300*100,0))</f>
        <v>0</v>
      </c>
      <c r="M300" s="380">
        <f ca="1">IF($A300="S",VTOTALBM,IF($A300=0,0,ROUND(SomaAgrupBM,15-13*ORÇAMENTO!$AF$11)))</f>
        <v>0</v>
      </c>
      <c r="N300" s="381">
        <f t="shared" ca="1" si="25"/>
        <v>0</v>
      </c>
      <c r="O300" s="127">
        <f ca="1">IF($A300="S",VTOTALBM,IF($A300=0,0,ROUND(SomaAgrupBM,15-13*ORÇAMENTO!$AF$11)))</f>
        <v>0</v>
      </c>
      <c r="Q300" s="382"/>
      <c r="R300" s="383"/>
      <c r="T300" s="119" t="str">
        <f t="shared" ca="1" si="26"/>
        <v/>
      </c>
      <c r="U300" s="172" t="str">
        <f t="shared" ca="1" si="27"/>
        <v/>
      </c>
      <c r="V300" s="173" t="str">
        <f ca="1">IF(AND($W300&gt;0,RegimeExecucao="Unitário"),$F300,"")</f>
        <v/>
      </c>
      <c r="W300" s="547">
        <f ca="1">IF($Y300&gt;0,CHOOSE(MATCH(RegimeExecucao,{"Unitário","Global"},0),IF($A300="S",$Y300/$X300,""),($Y300/$X300)*100),0)</f>
        <v>0</v>
      </c>
      <c r="X300" s="384" t="str">
        <f ca="1">IF($Y300&gt;0,CHOOSE(MATCH(RegimeExecucao,{"Unitário","Global"},0),IF($A300="S",ROUND($H300,ORÇAMENTO!$AF$10),""),ROUND($I300,ORÇAMENTO!$AF$11)),"")</f>
        <v/>
      </c>
      <c r="Y300" s="384">
        <f t="shared" ca="1" si="28"/>
        <v>0</v>
      </c>
      <c r="Z300" s="572"/>
      <c r="AB300" s="382"/>
      <c r="AC300" s="516"/>
      <c r="AD300" s="516"/>
      <c r="AE300" s="516"/>
      <c r="AF300" s="516"/>
      <c r="AG300" s="516"/>
      <c r="AH300" s="516"/>
      <c r="AI300" s="516"/>
      <c r="AJ300" s="516"/>
      <c r="AK300" s="516"/>
      <c r="AL300" s="516"/>
      <c r="AM300" s="383"/>
      <c r="AO300">
        <f ca="1">IF($A300="S",IF(BM!$I300=0,0,CHOOSE(MATCH(RegimeExecucao,{"Global","Unitário"},0),ROUND(ROUND(BM.MEDAcumulado,15-13*BM!$A$9)/100*BM!$I300,15-13*ORÇAMENTO!$AF$11),ROUND(ROUND(BM.MEDAcumulado,15-13*BM!$A$9)*ROUND(BM!$H300,15-13*ORÇAMENTO!$AF$10),15-13*ORÇAMENTO!$AF$11))),IF($A300=0,0,ROUND(SomaAgrupBM,15-13*ORÇAMENTO!$AF$11)))</f>
        <v>0</v>
      </c>
    </row>
    <row r="301" spans="1:41" ht="38.25" x14ac:dyDescent="0.2">
      <c r="A301" t="str">
        <f ca="1">ORÇAMENTO!C301</f>
        <v>S</v>
      </c>
      <c r="B301">
        <f ca="1">ORÇAMENTO!D301</f>
        <v>0</v>
      </c>
      <c r="C301" s="116" t="str">
        <f t="shared" ca="1" si="22"/>
        <v/>
      </c>
      <c r="D301" s="119" t="str">
        <f ca="1">ORÇAMENTO!O301</f>
        <v>-</v>
      </c>
      <c r="E301" s="172" t="str">
        <f t="shared" ca="1" si="23"/>
        <v>(abra o arquivo 'Referência 06-2024.xlsm)</v>
      </c>
      <c r="F301" s="173" t="str">
        <f ca="1">IF(RegimeExecucao="Global","",ORÇAMENTO.Unidade)</f>
        <v/>
      </c>
      <c r="G301" s="124" t="str">
        <f ca="1">IF(RegimeExecucao="Global","",ORÇAMENTO!T301)</f>
        <v/>
      </c>
      <c r="H301" s="124" t="str">
        <f ca="1">IF(RegimeExecucao="Global","",ORÇAMENTO!W301)</f>
        <v/>
      </c>
      <c r="I301" s="127">
        <f ca="1">ORÇAMENTO!X301</f>
        <v>0</v>
      </c>
      <c r="J301" s="378">
        <f ca="1">IF($A301="S",IF(CAIXA.Modo,BM.AFAnterior,BM.MEDAnterior),IF(AND(RegimeExecucao="Global",$I301&gt;0,COUNTIF($AB$13:$AM$13,BM.medicao-1)&gt;0),M301/$I301*100,0))</f>
        <v>0</v>
      </c>
      <c r="K301" s="124">
        <f t="shared" ca="1" si="24"/>
        <v>0</v>
      </c>
      <c r="L301" s="379">
        <f ca="1">IF($A301="S",IF(CAIXA.Modo,BM.AFAcumulado,BM.MEDAcumulado),IF(AND(RegimeExecucao="Global",$I301&gt;0,COUNTIF($AB$13:$AM$13,BM.medicao)&gt;0),O301/$I301*100,0))</f>
        <v>0</v>
      </c>
      <c r="M301" s="380">
        <f ca="1">IF($A301="S",VTOTALBM,IF($A301=0,0,ROUND(SomaAgrupBM,15-13*ORÇAMENTO!$AF$11)))</f>
        <v>0</v>
      </c>
      <c r="N301" s="381">
        <f t="shared" ca="1" si="25"/>
        <v>0</v>
      </c>
      <c r="O301" s="127">
        <f ca="1">IF($A301="S",VTOTALBM,IF($A301=0,0,ROUND(SomaAgrupBM,15-13*ORÇAMENTO!$AF$11)))</f>
        <v>0</v>
      </c>
      <c r="Q301" s="382"/>
      <c r="R301" s="383"/>
      <c r="T301" s="119" t="str">
        <f t="shared" ca="1" si="26"/>
        <v/>
      </c>
      <c r="U301" s="172" t="str">
        <f t="shared" ca="1" si="27"/>
        <v/>
      </c>
      <c r="V301" s="173" t="str">
        <f ca="1">IF(AND($W301&gt;0,RegimeExecucao="Unitário"),$F301,"")</f>
        <v/>
      </c>
      <c r="W301" s="547">
        <f ca="1">IF($Y301&gt;0,CHOOSE(MATCH(RegimeExecucao,{"Unitário","Global"},0),IF($A301="S",$Y301/$X301,""),($Y301/$X301)*100),0)</f>
        <v>0</v>
      </c>
      <c r="X301" s="384" t="str">
        <f ca="1">IF($Y301&gt;0,CHOOSE(MATCH(RegimeExecucao,{"Unitário","Global"},0),IF($A301="S",ROUND($H301,ORÇAMENTO!$AF$10),""),ROUND($I301,ORÇAMENTO!$AF$11)),"")</f>
        <v/>
      </c>
      <c r="Y301" s="384">
        <f t="shared" ca="1" si="28"/>
        <v>0</v>
      </c>
      <c r="Z301" s="572"/>
      <c r="AB301" s="382"/>
      <c r="AC301" s="516"/>
      <c r="AD301" s="516"/>
      <c r="AE301" s="516"/>
      <c r="AF301" s="516"/>
      <c r="AG301" s="516"/>
      <c r="AH301" s="516"/>
      <c r="AI301" s="516"/>
      <c r="AJ301" s="516"/>
      <c r="AK301" s="516"/>
      <c r="AL301" s="516"/>
      <c r="AM301" s="383"/>
      <c r="AO301">
        <f ca="1">IF($A301="S",IF(BM!$I301=0,0,CHOOSE(MATCH(RegimeExecucao,{"Global","Unitário"},0),ROUND(ROUND(BM.MEDAcumulado,15-13*BM!$A$9)/100*BM!$I301,15-13*ORÇAMENTO!$AF$11),ROUND(ROUND(BM.MEDAcumulado,15-13*BM!$A$9)*ROUND(BM!$H301,15-13*ORÇAMENTO!$AF$10),15-13*ORÇAMENTO!$AF$11))),IF($A301=0,0,ROUND(SomaAgrupBM,15-13*ORÇAMENTO!$AF$11)))</f>
        <v>0</v>
      </c>
    </row>
    <row r="302" spans="1:41" ht="38.25" x14ac:dyDescent="0.2">
      <c r="A302" t="str">
        <f ca="1">ORÇAMENTO!C302</f>
        <v>S</v>
      </c>
      <c r="B302">
        <f ca="1">ORÇAMENTO!D302</f>
        <v>0</v>
      </c>
      <c r="C302" s="116" t="str">
        <f t="shared" ca="1" si="22"/>
        <v/>
      </c>
      <c r="D302" s="119" t="str">
        <f ca="1">ORÇAMENTO!O302</f>
        <v>-</v>
      </c>
      <c r="E302" s="172" t="str">
        <f t="shared" ca="1" si="23"/>
        <v>(abra o arquivo 'Referência 06-2024.xlsm)</v>
      </c>
      <c r="F302" s="173" t="str">
        <f ca="1">IF(RegimeExecucao="Global","",ORÇAMENTO.Unidade)</f>
        <v/>
      </c>
      <c r="G302" s="124" t="str">
        <f ca="1">IF(RegimeExecucao="Global","",ORÇAMENTO!T302)</f>
        <v/>
      </c>
      <c r="H302" s="124" t="str">
        <f ca="1">IF(RegimeExecucao="Global","",ORÇAMENTO!W302)</f>
        <v/>
      </c>
      <c r="I302" s="127">
        <f ca="1">ORÇAMENTO!X302</f>
        <v>0</v>
      </c>
      <c r="J302" s="378">
        <f ca="1">IF($A302="S",IF(CAIXA.Modo,BM.AFAnterior,BM.MEDAnterior),IF(AND(RegimeExecucao="Global",$I302&gt;0,COUNTIF($AB$13:$AM$13,BM.medicao-1)&gt;0),M302/$I302*100,0))</f>
        <v>0</v>
      </c>
      <c r="K302" s="124">
        <f t="shared" ca="1" si="24"/>
        <v>0</v>
      </c>
      <c r="L302" s="379">
        <f ca="1">IF($A302="S",IF(CAIXA.Modo,BM.AFAcumulado,BM.MEDAcumulado),IF(AND(RegimeExecucao="Global",$I302&gt;0,COUNTIF($AB$13:$AM$13,BM.medicao)&gt;0),O302/$I302*100,0))</f>
        <v>0</v>
      </c>
      <c r="M302" s="380">
        <f ca="1">IF($A302="S",VTOTALBM,IF($A302=0,0,ROUND(SomaAgrupBM,15-13*ORÇAMENTO!$AF$11)))</f>
        <v>0</v>
      </c>
      <c r="N302" s="381">
        <f t="shared" ca="1" si="25"/>
        <v>0</v>
      </c>
      <c r="O302" s="127">
        <f ca="1">IF($A302="S",VTOTALBM,IF($A302=0,0,ROUND(SomaAgrupBM,15-13*ORÇAMENTO!$AF$11)))</f>
        <v>0</v>
      </c>
      <c r="Q302" s="382"/>
      <c r="R302" s="383"/>
      <c r="T302" s="119" t="str">
        <f t="shared" ca="1" si="26"/>
        <v/>
      </c>
      <c r="U302" s="172" t="str">
        <f t="shared" ca="1" si="27"/>
        <v/>
      </c>
      <c r="V302" s="173" t="str">
        <f ca="1">IF(AND($W302&gt;0,RegimeExecucao="Unitário"),$F302,"")</f>
        <v/>
      </c>
      <c r="W302" s="547">
        <f ca="1">IF($Y302&gt;0,CHOOSE(MATCH(RegimeExecucao,{"Unitário","Global"},0),IF($A302="S",$Y302/$X302,""),($Y302/$X302)*100),0)</f>
        <v>0</v>
      </c>
      <c r="X302" s="384" t="str">
        <f ca="1">IF($Y302&gt;0,CHOOSE(MATCH(RegimeExecucao,{"Unitário","Global"},0),IF($A302="S",ROUND($H302,ORÇAMENTO!$AF$10),""),ROUND($I302,ORÇAMENTO!$AF$11)),"")</f>
        <v/>
      </c>
      <c r="Y302" s="384">
        <f t="shared" ca="1" si="28"/>
        <v>0</v>
      </c>
      <c r="Z302" s="572"/>
      <c r="AB302" s="382"/>
      <c r="AC302" s="516"/>
      <c r="AD302" s="516"/>
      <c r="AE302" s="516"/>
      <c r="AF302" s="516"/>
      <c r="AG302" s="516"/>
      <c r="AH302" s="516"/>
      <c r="AI302" s="516"/>
      <c r="AJ302" s="516"/>
      <c r="AK302" s="516"/>
      <c r="AL302" s="516"/>
      <c r="AM302" s="383"/>
      <c r="AO302">
        <f ca="1">IF($A302="S",IF(BM!$I302=0,0,CHOOSE(MATCH(RegimeExecucao,{"Global","Unitário"},0),ROUND(ROUND(BM.MEDAcumulado,15-13*BM!$A$9)/100*BM!$I302,15-13*ORÇAMENTO!$AF$11),ROUND(ROUND(BM.MEDAcumulado,15-13*BM!$A$9)*ROUND(BM!$H302,15-13*ORÇAMENTO!$AF$10),15-13*ORÇAMENTO!$AF$11))),IF($A302=0,0,ROUND(SomaAgrupBM,15-13*ORÇAMENTO!$AF$11)))</f>
        <v>0</v>
      </c>
    </row>
    <row r="303" spans="1:41" ht="38.25" x14ac:dyDescent="0.2">
      <c r="A303" t="str">
        <f ca="1">ORÇAMENTO!C303</f>
        <v>S</v>
      </c>
      <c r="B303">
        <f ca="1">ORÇAMENTO!D303</f>
        <v>0</v>
      </c>
      <c r="C303" s="116" t="str">
        <f t="shared" ca="1" si="22"/>
        <v/>
      </c>
      <c r="D303" s="119" t="str">
        <f ca="1">ORÇAMENTO!O303</f>
        <v>-</v>
      </c>
      <c r="E303" s="172" t="str">
        <f t="shared" ca="1" si="23"/>
        <v>(abra o arquivo 'Referência 06-2024.xlsm)</v>
      </c>
      <c r="F303" s="173" t="str">
        <f ca="1">IF(RegimeExecucao="Global","",ORÇAMENTO.Unidade)</f>
        <v/>
      </c>
      <c r="G303" s="124" t="str">
        <f ca="1">IF(RegimeExecucao="Global","",ORÇAMENTO!T303)</f>
        <v/>
      </c>
      <c r="H303" s="124" t="str">
        <f ca="1">IF(RegimeExecucao="Global","",ORÇAMENTO!W303)</f>
        <v/>
      </c>
      <c r="I303" s="127">
        <f ca="1">ORÇAMENTO!X303</f>
        <v>0</v>
      </c>
      <c r="J303" s="378">
        <f ca="1">IF($A303="S",IF(CAIXA.Modo,BM.AFAnterior,BM.MEDAnterior),IF(AND(RegimeExecucao="Global",$I303&gt;0,COUNTIF($AB$13:$AM$13,BM.medicao-1)&gt;0),M303/$I303*100,0))</f>
        <v>0</v>
      </c>
      <c r="K303" s="124">
        <f t="shared" ca="1" si="24"/>
        <v>0</v>
      </c>
      <c r="L303" s="379">
        <f ca="1">IF($A303="S",IF(CAIXA.Modo,BM.AFAcumulado,BM.MEDAcumulado),IF(AND(RegimeExecucao="Global",$I303&gt;0,COUNTIF($AB$13:$AM$13,BM.medicao)&gt;0),O303/$I303*100,0))</f>
        <v>0</v>
      </c>
      <c r="M303" s="380">
        <f ca="1">IF($A303="S",VTOTALBM,IF($A303=0,0,ROUND(SomaAgrupBM,15-13*ORÇAMENTO!$AF$11)))</f>
        <v>0</v>
      </c>
      <c r="N303" s="381">
        <f t="shared" ca="1" si="25"/>
        <v>0</v>
      </c>
      <c r="O303" s="127">
        <f ca="1">IF($A303="S",VTOTALBM,IF($A303=0,0,ROUND(SomaAgrupBM,15-13*ORÇAMENTO!$AF$11)))</f>
        <v>0</v>
      </c>
      <c r="Q303" s="382"/>
      <c r="R303" s="383"/>
      <c r="T303" s="119" t="str">
        <f t="shared" ca="1" si="26"/>
        <v/>
      </c>
      <c r="U303" s="172" t="str">
        <f t="shared" ca="1" si="27"/>
        <v/>
      </c>
      <c r="V303" s="173" t="str">
        <f ca="1">IF(AND($W303&gt;0,RegimeExecucao="Unitário"),$F303,"")</f>
        <v/>
      </c>
      <c r="W303" s="547">
        <f ca="1">IF($Y303&gt;0,CHOOSE(MATCH(RegimeExecucao,{"Unitário","Global"},0),IF($A303="S",$Y303/$X303,""),($Y303/$X303)*100),0)</f>
        <v>0</v>
      </c>
      <c r="X303" s="384" t="str">
        <f ca="1">IF($Y303&gt;0,CHOOSE(MATCH(RegimeExecucao,{"Unitário","Global"},0),IF($A303="S",ROUND($H303,ORÇAMENTO!$AF$10),""),ROUND($I303,ORÇAMENTO!$AF$11)),"")</f>
        <v/>
      </c>
      <c r="Y303" s="384">
        <f t="shared" ca="1" si="28"/>
        <v>0</v>
      </c>
      <c r="Z303" s="572"/>
      <c r="AB303" s="382"/>
      <c r="AC303" s="516"/>
      <c r="AD303" s="516"/>
      <c r="AE303" s="516"/>
      <c r="AF303" s="516"/>
      <c r="AG303" s="516"/>
      <c r="AH303" s="516"/>
      <c r="AI303" s="516"/>
      <c r="AJ303" s="516"/>
      <c r="AK303" s="516"/>
      <c r="AL303" s="516"/>
      <c r="AM303" s="383"/>
      <c r="AO303">
        <f ca="1">IF($A303="S",IF(BM!$I303=0,0,CHOOSE(MATCH(RegimeExecucao,{"Global","Unitário"},0),ROUND(ROUND(BM.MEDAcumulado,15-13*BM!$A$9)/100*BM!$I303,15-13*ORÇAMENTO!$AF$11),ROUND(ROUND(BM.MEDAcumulado,15-13*BM!$A$9)*ROUND(BM!$H303,15-13*ORÇAMENTO!$AF$10),15-13*ORÇAMENTO!$AF$11))),IF($A303=0,0,ROUND(SomaAgrupBM,15-13*ORÇAMENTO!$AF$11)))</f>
        <v>0</v>
      </c>
    </row>
    <row r="304" spans="1:41" ht="38.25" x14ac:dyDescent="0.2">
      <c r="A304" t="str">
        <f ca="1">ORÇAMENTO!C304</f>
        <v>S</v>
      </c>
      <c r="B304">
        <f ca="1">ORÇAMENTO!D304</f>
        <v>0</v>
      </c>
      <c r="C304" s="116" t="str">
        <f t="shared" ca="1" si="22"/>
        <v/>
      </c>
      <c r="D304" s="119" t="str">
        <f ca="1">ORÇAMENTO!O304</f>
        <v>-</v>
      </c>
      <c r="E304" s="172" t="str">
        <f t="shared" ca="1" si="23"/>
        <v>(abra o arquivo 'Referência 06-2024.xlsm)</v>
      </c>
      <c r="F304" s="173" t="str">
        <f ca="1">IF(RegimeExecucao="Global","",ORÇAMENTO.Unidade)</f>
        <v/>
      </c>
      <c r="G304" s="124" t="str">
        <f ca="1">IF(RegimeExecucao="Global","",ORÇAMENTO!T304)</f>
        <v/>
      </c>
      <c r="H304" s="124" t="str">
        <f ca="1">IF(RegimeExecucao="Global","",ORÇAMENTO!W304)</f>
        <v/>
      </c>
      <c r="I304" s="127">
        <f ca="1">ORÇAMENTO!X304</f>
        <v>0</v>
      </c>
      <c r="J304" s="378">
        <f ca="1">IF($A304="S",IF(CAIXA.Modo,BM.AFAnterior,BM.MEDAnterior),IF(AND(RegimeExecucao="Global",$I304&gt;0,COUNTIF($AB$13:$AM$13,BM.medicao-1)&gt;0),M304/$I304*100,0))</f>
        <v>0</v>
      </c>
      <c r="K304" s="124">
        <f t="shared" ca="1" si="24"/>
        <v>0</v>
      </c>
      <c r="L304" s="379">
        <f ca="1">IF($A304="S",IF(CAIXA.Modo,BM.AFAcumulado,BM.MEDAcumulado),IF(AND(RegimeExecucao="Global",$I304&gt;0,COUNTIF($AB$13:$AM$13,BM.medicao)&gt;0),O304/$I304*100,0))</f>
        <v>0</v>
      </c>
      <c r="M304" s="380">
        <f ca="1">IF($A304="S",VTOTALBM,IF($A304=0,0,ROUND(SomaAgrupBM,15-13*ORÇAMENTO!$AF$11)))</f>
        <v>0</v>
      </c>
      <c r="N304" s="381">
        <f t="shared" ca="1" si="25"/>
        <v>0</v>
      </c>
      <c r="O304" s="127">
        <f ca="1">IF($A304="S",VTOTALBM,IF($A304=0,0,ROUND(SomaAgrupBM,15-13*ORÇAMENTO!$AF$11)))</f>
        <v>0</v>
      </c>
      <c r="Q304" s="382"/>
      <c r="R304" s="383"/>
      <c r="T304" s="119" t="str">
        <f t="shared" ca="1" si="26"/>
        <v/>
      </c>
      <c r="U304" s="172" t="str">
        <f t="shared" ca="1" si="27"/>
        <v/>
      </c>
      <c r="V304" s="173" t="str">
        <f ca="1">IF(AND($W304&gt;0,RegimeExecucao="Unitário"),$F304,"")</f>
        <v/>
      </c>
      <c r="W304" s="547">
        <f ca="1">IF($Y304&gt;0,CHOOSE(MATCH(RegimeExecucao,{"Unitário","Global"},0),IF($A304="S",$Y304/$X304,""),($Y304/$X304)*100),0)</f>
        <v>0</v>
      </c>
      <c r="X304" s="384" t="str">
        <f ca="1">IF($Y304&gt;0,CHOOSE(MATCH(RegimeExecucao,{"Unitário","Global"},0),IF($A304="S",ROUND($H304,ORÇAMENTO!$AF$10),""),ROUND($I304,ORÇAMENTO!$AF$11)),"")</f>
        <v/>
      </c>
      <c r="Y304" s="384">
        <f t="shared" ca="1" si="28"/>
        <v>0</v>
      </c>
      <c r="Z304" s="572"/>
      <c r="AB304" s="382"/>
      <c r="AC304" s="516"/>
      <c r="AD304" s="516"/>
      <c r="AE304" s="516"/>
      <c r="AF304" s="516"/>
      <c r="AG304" s="516"/>
      <c r="AH304" s="516"/>
      <c r="AI304" s="516"/>
      <c r="AJ304" s="516"/>
      <c r="AK304" s="516"/>
      <c r="AL304" s="516"/>
      <c r="AM304" s="383"/>
      <c r="AO304">
        <f ca="1">IF($A304="S",IF(BM!$I304=0,0,CHOOSE(MATCH(RegimeExecucao,{"Global","Unitário"},0),ROUND(ROUND(BM.MEDAcumulado,15-13*BM!$A$9)/100*BM!$I304,15-13*ORÇAMENTO!$AF$11),ROUND(ROUND(BM.MEDAcumulado,15-13*BM!$A$9)*ROUND(BM!$H304,15-13*ORÇAMENTO!$AF$10),15-13*ORÇAMENTO!$AF$11))),IF($A304=0,0,ROUND(SomaAgrupBM,15-13*ORÇAMENTO!$AF$11)))</f>
        <v>0</v>
      </c>
    </row>
    <row r="305" spans="1:41" ht="25.5" x14ac:dyDescent="0.2">
      <c r="A305" t="str">
        <f ca="1">ORÇAMENTO!C305</f>
        <v>S</v>
      </c>
      <c r="B305">
        <f ca="1">ORÇAMENTO!D305</f>
        <v>0</v>
      </c>
      <c r="C305" s="116" t="str">
        <f t="shared" ca="1" si="22"/>
        <v/>
      </c>
      <c r="D305" s="119" t="str">
        <f ca="1">ORÇAMENTO!O305</f>
        <v>-</v>
      </c>
      <c r="E305" s="172" t="str">
        <f t="shared" ca="1" si="23"/>
        <v>(abra o arquivo 'Referência 06-2024.xlsm)</v>
      </c>
      <c r="F305" s="173" t="str">
        <f ca="1">IF(RegimeExecucao="Global","",ORÇAMENTO.Unidade)</f>
        <v/>
      </c>
      <c r="G305" s="124" t="str">
        <f ca="1">IF(RegimeExecucao="Global","",ORÇAMENTO!T305)</f>
        <v/>
      </c>
      <c r="H305" s="124" t="str">
        <f ca="1">IF(RegimeExecucao="Global","",ORÇAMENTO!W305)</f>
        <v/>
      </c>
      <c r="I305" s="127">
        <f ca="1">ORÇAMENTO!X305</f>
        <v>0</v>
      </c>
      <c r="J305" s="378">
        <f ca="1">IF($A305="S",IF(CAIXA.Modo,BM.AFAnterior,BM.MEDAnterior),IF(AND(RegimeExecucao="Global",$I305&gt;0,COUNTIF($AB$13:$AM$13,BM.medicao-1)&gt;0),M305/$I305*100,0))</f>
        <v>0</v>
      </c>
      <c r="K305" s="124">
        <f t="shared" ca="1" si="24"/>
        <v>0</v>
      </c>
      <c r="L305" s="379">
        <f ca="1">IF($A305="S",IF(CAIXA.Modo,BM.AFAcumulado,BM.MEDAcumulado),IF(AND(RegimeExecucao="Global",$I305&gt;0,COUNTIF($AB$13:$AM$13,BM.medicao)&gt;0),O305/$I305*100,0))</f>
        <v>0</v>
      </c>
      <c r="M305" s="380">
        <f ca="1">IF($A305="S",VTOTALBM,IF($A305=0,0,ROUND(SomaAgrupBM,15-13*ORÇAMENTO!$AF$11)))</f>
        <v>0</v>
      </c>
      <c r="N305" s="381">
        <f t="shared" ca="1" si="25"/>
        <v>0</v>
      </c>
      <c r="O305" s="127">
        <f ca="1">IF($A305="S",VTOTALBM,IF($A305=0,0,ROUND(SomaAgrupBM,15-13*ORÇAMENTO!$AF$11)))</f>
        <v>0</v>
      </c>
      <c r="Q305" s="382"/>
      <c r="R305" s="383"/>
      <c r="T305" s="119" t="str">
        <f t="shared" ca="1" si="26"/>
        <v/>
      </c>
      <c r="U305" s="172" t="str">
        <f t="shared" ca="1" si="27"/>
        <v/>
      </c>
      <c r="V305" s="173" t="str">
        <f ca="1">IF(AND($W305&gt;0,RegimeExecucao="Unitário"),$F305,"")</f>
        <v/>
      </c>
      <c r="W305" s="547">
        <f ca="1">IF($Y305&gt;0,CHOOSE(MATCH(RegimeExecucao,{"Unitário","Global"},0),IF($A305="S",$Y305/$X305,""),($Y305/$X305)*100),0)</f>
        <v>0</v>
      </c>
      <c r="X305" s="384" t="str">
        <f ca="1">IF($Y305&gt;0,CHOOSE(MATCH(RegimeExecucao,{"Unitário","Global"},0),IF($A305="S",ROUND($H305,ORÇAMENTO!$AF$10),""),ROUND($I305,ORÇAMENTO!$AF$11)),"")</f>
        <v/>
      </c>
      <c r="Y305" s="384">
        <f t="shared" ca="1" si="28"/>
        <v>0</v>
      </c>
      <c r="Z305" s="572"/>
      <c r="AB305" s="382"/>
      <c r="AC305" s="516"/>
      <c r="AD305" s="516"/>
      <c r="AE305" s="516"/>
      <c r="AF305" s="516"/>
      <c r="AG305" s="516"/>
      <c r="AH305" s="516"/>
      <c r="AI305" s="516"/>
      <c r="AJ305" s="516"/>
      <c r="AK305" s="516"/>
      <c r="AL305" s="516"/>
      <c r="AM305" s="383"/>
      <c r="AO305">
        <f ca="1">IF($A305="S",IF(BM!$I305=0,0,CHOOSE(MATCH(RegimeExecucao,{"Global","Unitário"},0),ROUND(ROUND(BM.MEDAcumulado,15-13*BM!$A$9)/100*BM!$I305,15-13*ORÇAMENTO!$AF$11),ROUND(ROUND(BM.MEDAcumulado,15-13*BM!$A$9)*ROUND(BM!$H305,15-13*ORÇAMENTO!$AF$10),15-13*ORÇAMENTO!$AF$11))),IF($A305=0,0,ROUND(SomaAgrupBM,15-13*ORÇAMENTO!$AF$11)))</f>
        <v>0</v>
      </c>
    </row>
    <row r="306" spans="1:41" ht="38.25" x14ac:dyDescent="0.2">
      <c r="A306" t="str">
        <f ca="1">ORÇAMENTO!C306</f>
        <v>S</v>
      </c>
      <c r="B306">
        <f ca="1">ORÇAMENTO!D306</f>
        <v>0</v>
      </c>
      <c r="C306" s="116" t="str">
        <f t="shared" ca="1" si="22"/>
        <v/>
      </c>
      <c r="D306" s="119" t="str">
        <f ca="1">ORÇAMENTO!O306</f>
        <v>-</v>
      </c>
      <c r="E306" s="172" t="str">
        <f t="shared" ca="1" si="23"/>
        <v>(abra o arquivo 'Referência 06-2024.xlsm)</v>
      </c>
      <c r="F306" s="173" t="str">
        <f ca="1">IF(RegimeExecucao="Global","",ORÇAMENTO.Unidade)</f>
        <v/>
      </c>
      <c r="G306" s="124" t="str">
        <f ca="1">IF(RegimeExecucao="Global","",ORÇAMENTO!T306)</f>
        <v/>
      </c>
      <c r="H306" s="124" t="str">
        <f ca="1">IF(RegimeExecucao="Global","",ORÇAMENTO!W306)</f>
        <v/>
      </c>
      <c r="I306" s="127">
        <f ca="1">ORÇAMENTO!X306</f>
        <v>0</v>
      </c>
      <c r="J306" s="378">
        <f ca="1">IF($A306="S",IF(CAIXA.Modo,BM.AFAnterior,BM.MEDAnterior),IF(AND(RegimeExecucao="Global",$I306&gt;0,COUNTIF($AB$13:$AM$13,BM.medicao-1)&gt;0),M306/$I306*100,0))</f>
        <v>0</v>
      </c>
      <c r="K306" s="124">
        <f t="shared" ca="1" si="24"/>
        <v>0</v>
      </c>
      <c r="L306" s="379">
        <f ca="1">IF($A306="S",IF(CAIXA.Modo,BM.AFAcumulado,BM.MEDAcumulado),IF(AND(RegimeExecucao="Global",$I306&gt;0,COUNTIF($AB$13:$AM$13,BM.medicao)&gt;0),O306/$I306*100,0))</f>
        <v>0</v>
      </c>
      <c r="M306" s="380">
        <f ca="1">IF($A306="S",VTOTALBM,IF($A306=0,0,ROUND(SomaAgrupBM,15-13*ORÇAMENTO!$AF$11)))</f>
        <v>0</v>
      </c>
      <c r="N306" s="381">
        <f t="shared" ca="1" si="25"/>
        <v>0</v>
      </c>
      <c r="O306" s="127">
        <f ca="1">IF($A306="S",VTOTALBM,IF($A306=0,0,ROUND(SomaAgrupBM,15-13*ORÇAMENTO!$AF$11)))</f>
        <v>0</v>
      </c>
      <c r="Q306" s="382"/>
      <c r="R306" s="383"/>
      <c r="T306" s="119" t="str">
        <f t="shared" ca="1" si="26"/>
        <v/>
      </c>
      <c r="U306" s="172" t="str">
        <f t="shared" ca="1" si="27"/>
        <v/>
      </c>
      <c r="V306" s="173" t="str">
        <f ca="1">IF(AND($W306&gt;0,RegimeExecucao="Unitário"),$F306,"")</f>
        <v/>
      </c>
      <c r="W306" s="547">
        <f ca="1">IF($Y306&gt;0,CHOOSE(MATCH(RegimeExecucao,{"Unitário","Global"},0),IF($A306="S",$Y306/$X306,""),($Y306/$X306)*100),0)</f>
        <v>0</v>
      </c>
      <c r="X306" s="384" t="str">
        <f ca="1">IF($Y306&gt;0,CHOOSE(MATCH(RegimeExecucao,{"Unitário","Global"},0),IF($A306="S",ROUND($H306,ORÇAMENTO!$AF$10),""),ROUND($I306,ORÇAMENTO!$AF$11)),"")</f>
        <v/>
      </c>
      <c r="Y306" s="384">
        <f t="shared" ca="1" si="28"/>
        <v>0</v>
      </c>
      <c r="Z306" s="572"/>
      <c r="AB306" s="382"/>
      <c r="AC306" s="516"/>
      <c r="AD306" s="516"/>
      <c r="AE306" s="516"/>
      <c r="AF306" s="516"/>
      <c r="AG306" s="516"/>
      <c r="AH306" s="516"/>
      <c r="AI306" s="516"/>
      <c r="AJ306" s="516"/>
      <c r="AK306" s="516"/>
      <c r="AL306" s="516"/>
      <c r="AM306" s="383"/>
      <c r="AO306">
        <f ca="1">IF($A306="S",IF(BM!$I306=0,0,CHOOSE(MATCH(RegimeExecucao,{"Global","Unitário"},0),ROUND(ROUND(BM.MEDAcumulado,15-13*BM!$A$9)/100*BM!$I306,15-13*ORÇAMENTO!$AF$11),ROUND(ROUND(BM.MEDAcumulado,15-13*BM!$A$9)*ROUND(BM!$H306,15-13*ORÇAMENTO!$AF$10),15-13*ORÇAMENTO!$AF$11))),IF($A306=0,0,ROUND(SomaAgrupBM,15-13*ORÇAMENTO!$AF$11)))</f>
        <v>0</v>
      </c>
    </row>
    <row r="307" spans="1:41" ht="38.25" x14ac:dyDescent="0.2">
      <c r="A307" t="str">
        <f ca="1">ORÇAMENTO!C307</f>
        <v>S</v>
      </c>
      <c r="B307">
        <f ca="1">ORÇAMENTO!D307</f>
        <v>0</v>
      </c>
      <c r="C307" s="116" t="str">
        <f t="shared" ca="1" si="22"/>
        <v/>
      </c>
      <c r="D307" s="119" t="str">
        <f ca="1">ORÇAMENTO!O307</f>
        <v>-</v>
      </c>
      <c r="E307" s="172" t="str">
        <f t="shared" ca="1" si="23"/>
        <v>(abra o arquivo 'Referência 06-2024.xlsm)</v>
      </c>
      <c r="F307" s="173" t="str">
        <f ca="1">IF(RegimeExecucao="Global","",ORÇAMENTO.Unidade)</f>
        <v/>
      </c>
      <c r="G307" s="124" t="str">
        <f ca="1">IF(RegimeExecucao="Global","",ORÇAMENTO!T307)</f>
        <v/>
      </c>
      <c r="H307" s="124" t="str">
        <f ca="1">IF(RegimeExecucao="Global","",ORÇAMENTO!W307)</f>
        <v/>
      </c>
      <c r="I307" s="127">
        <f ca="1">ORÇAMENTO!X307</f>
        <v>0</v>
      </c>
      <c r="J307" s="378">
        <f ca="1">IF($A307="S",IF(CAIXA.Modo,BM.AFAnterior,BM.MEDAnterior),IF(AND(RegimeExecucao="Global",$I307&gt;0,COUNTIF($AB$13:$AM$13,BM.medicao-1)&gt;0),M307/$I307*100,0))</f>
        <v>0</v>
      </c>
      <c r="K307" s="124">
        <f t="shared" ca="1" si="24"/>
        <v>0</v>
      </c>
      <c r="L307" s="379">
        <f ca="1">IF($A307="S",IF(CAIXA.Modo,BM.AFAcumulado,BM.MEDAcumulado),IF(AND(RegimeExecucao="Global",$I307&gt;0,COUNTIF($AB$13:$AM$13,BM.medicao)&gt;0),O307/$I307*100,0))</f>
        <v>0</v>
      </c>
      <c r="M307" s="380">
        <f ca="1">IF($A307="S",VTOTALBM,IF($A307=0,0,ROUND(SomaAgrupBM,15-13*ORÇAMENTO!$AF$11)))</f>
        <v>0</v>
      </c>
      <c r="N307" s="381">
        <f t="shared" ca="1" si="25"/>
        <v>0</v>
      </c>
      <c r="O307" s="127">
        <f ca="1">IF($A307="S",VTOTALBM,IF($A307=0,0,ROUND(SomaAgrupBM,15-13*ORÇAMENTO!$AF$11)))</f>
        <v>0</v>
      </c>
      <c r="Q307" s="382"/>
      <c r="R307" s="383"/>
      <c r="T307" s="119" t="str">
        <f t="shared" ca="1" si="26"/>
        <v/>
      </c>
      <c r="U307" s="172" t="str">
        <f t="shared" ca="1" si="27"/>
        <v/>
      </c>
      <c r="V307" s="173" t="str">
        <f ca="1">IF(AND($W307&gt;0,RegimeExecucao="Unitário"),$F307,"")</f>
        <v/>
      </c>
      <c r="W307" s="547">
        <f ca="1">IF($Y307&gt;0,CHOOSE(MATCH(RegimeExecucao,{"Unitário","Global"},0),IF($A307="S",$Y307/$X307,""),($Y307/$X307)*100),0)</f>
        <v>0</v>
      </c>
      <c r="X307" s="384" t="str">
        <f ca="1">IF($Y307&gt;0,CHOOSE(MATCH(RegimeExecucao,{"Unitário","Global"},0),IF($A307="S",ROUND($H307,ORÇAMENTO!$AF$10),""),ROUND($I307,ORÇAMENTO!$AF$11)),"")</f>
        <v/>
      </c>
      <c r="Y307" s="384">
        <f t="shared" ca="1" si="28"/>
        <v>0</v>
      </c>
      <c r="Z307" s="572"/>
      <c r="AB307" s="382"/>
      <c r="AC307" s="516"/>
      <c r="AD307" s="516"/>
      <c r="AE307" s="516"/>
      <c r="AF307" s="516"/>
      <c r="AG307" s="516"/>
      <c r="AH307" s="516"/>
      <c r="AI307" s="516"/>
      <c r="AJ307" s="516"/>
      <c r="AK307" s="516"/>
      <c r="AL307" s="516"/>
      <c r="AM307" s="383"/>
      <c r="AO307">
        <f ca="1">IF($A307="S",IF(BM!$I307=0,0,CHOOSE(MATCH(RegimeExecucao,{"Global","Unitário"},0),ROUND(ROUND(BM.MEDAcumulado,15-13*BM!$A$9)/100*BM!$I307,15-13*ORÇAMENTO!$AF$11),ROUND(ROUND(BM.MEDAcumulado,15-13*BM!$A$9)*ROUND(BM!$H307,15-13*ORÇAMENTO!$AF$10),15-13*ORÇAMENTO!$AF$11))),IF($A307=0,0,ROUND(SomaAgrupBM,15-13*ORÇAMENTO!$AF$11)))</f>
        <v>0</v>
      </c>
    </row>
    <row r="308" spans="1:41" ht="38.25" x14ac:dyDescent="0.2">
      <c r="A308" t="str">
        <f ca="1">ORÇAMENTO!C308</f>
        <v>S</v>
      </c>
      <c r="B308">
        <f ca="1">ORÇAMENTO!D308</f>
        <v>0</v>
      </c>
      <c r="C308" s="116" t="str">
        <f t="shared" ca="1" si="22"/>
        <v/>
      </c>
      <c r="D308" s="119" t="str">
        <f ca="1">ORÇAMENTO!O308</f>
        <v>-</v>
      </c>
      <c r="E308" s="172" t="str">
        <f t="shared" ca="1" si="23"/>
        <v>(abra o arquivo 'Referência 06-2024.xlsm)</v>
      </c>
      <c r="F308" s="173" t="str">
        <f ca="1">IF(RegimeExecucao="Global","",ORÇAMENTO.Unidade)</f>
        <v/>
      </c>
      <c r="G308" s="124" t="str">
        <f ca="1">IF(RegimeExecucao="Global","",ORÇAMENTO!T308)</f>
        <v/>
      </c>
      <c r="H308" s="124" t="str">
        <f ca="1">IF(RegimeExecucao="Global","",ORÇAMENTO!W308)</f>
        <v/>
      </c>
      <c r="I308" s="127">
        <f ca="1">ORÇAMENTO!X308</f>
        <v>0</v>
      </c>
      <c r="J308" s="378">
        <f ca="1">IF($A308="S",IF(CAIXA.Modo,BM.AFAnterior,BM.MEDAnterior),IF(AND(RegimeExecucao="Global",$I308&gt;0,COUNTIF($AB$13:$AM$13,BM.medicao-1)&gt;0),M308/$I308*100,0))</f>
        <v>0</v>
      </c>
      <c r="K308" s="124">
        <f t="shared" ca="1" si="24"/>
        <v>0</v>
      </c>
      <c r="L308" s="379">
        <f ca="1">IF($A308="S",IF(CAIXA.Modo,BM.AFAcumulado,BM.MEDAcumulado),IF(AND(RegimeExecucao="Global",$I308&gt;0,COUNTIF($AB$13:$AM$13,BM.medicao)&gt;0),O308/$I308*100,0))</f>
        <v>0</v>
      </c>
      <c r="M308" s="380">
        <f ca="1">IF($A308="S",VTOTALBM,IF($A308=0,0,ROUND(SomaAgrupBM,15-13*ORÇAMENTO!$AF$11)))</f>
        <v>0</v>
      </c>
      <c r="N308" s="381">
        <f t="shared" ca="1" si="25"/>
        <v>0</v>
      </c>
      <c r="O308" s="127">
        <f ca="1">IF($A308="S",VTOTALBM,IF($A308=0,0,ROUND(SomaAgrupBM,15-13*ORÇAMENTO!$AF$11)))</f>
        <v>0</v>
      </c>
      <c r="Q308" s="382"/>
      <c r="R308" s="383"/>
      <c r="T308" s="119" t="str">
        <f t="shared" ca="1" si="26"/>
        <v/>
      </c>
      <c r="U308" s="172" t="str">
        <f t="shared" ca="1" si="27"/>
        <v/>
      </c>
      <c r="V308" s="173" t="str">
        <f ca="1">IF(AND($W308&gt;0,RegimeExecucao="Unitário"),$F308,"")</f>
        <v/>
      </c>
      <c r="W308" s="547">
        <f ca="1">IF($Y308&gt;0,CHOOSE(MATCH(RegimeExecucao,{"Unitário","Global"},0),IF($A308="S",$Y308/$X308,""),($Y308/$X308)*100),0)</f>
        <v>0</v>
      </c>
      <c r="X308" s="384" t="str">
        <f ca="1">IF($Y308&gt;0,CHOOSE(MATCH(RegimeExecucao,{"Unitário","Global"},0),IF($A308="S",ROUND($H308,ORÇAMENTO!$AF$10),""),ROUND($I308,ORÇAMENTO!$AF$11)),"")</f>
        <v/>
      </c>
      <c r="Y308" s="384">
        <f t="shared" ca="1" si="28"/>
        <v>0</v>
      </c>
      <c r="Z308" s="572"/>
      <c r="AB308" s="382"/>
      <c r="AC308" s="516"/>
      <c r="AD308" s="516"/>
      <c r="AE308" s="516"/>
      <c r="AF308" s="516"/>
      <c r="AG308" s="516"/>
      <c r="AH308" s="516"/>
      <c r="AI308" s="516"/>
      <c r="AJ308" s="516"/>
      <c r="AK308" s="516"/>
      <c r="AL308" s="516"/>
      <c r="AM308" s="383"/>
      <c r="AO308">
        <f ca="1">IF($A308="S",IF(BM!$I308=0,0,CHOOSE(MATCH(RegimeExecucao,{"Global","Unitário"},0),ROUND(ROUND(BM.MEDAcumulado,15-13*BM!$A$9)/100*BM!$I308,15-13*ORÇAMENTO!$AF$11),ROUND(ROUND(BM.MEDAcumulado,15-13*BM!$A$9)*ROUND(BM!$H308,15-13*ORÇAMENTO!$AF$10),15-13*ORÇAMENTO!$AF$11))),IF($A308=0,0,ROUND(SomaAgrupBM,15-13*ORÇAMENTO!$AF$11)))</f>
        <v>0</v>
      </c>
    </row>
    <row r="309" spans="1:41" ht="38.25" x14ac:dyDescent="0.2">
      <c r="A309" t="str">
        <f ca="1">ORÇAMENTO!C309</f>
        <v>S</v>
      </c>
      <c r="B309">
        <f ca="1">ORÇAMENTO!D309</f>
        <v>0</v>
      </c>
      <c r="C309" s="116" t="str">
        <f t="shared" ca="1" si="22"/>
        <v/>
      </c>
      <c r="D309" s="119" t="str">
        <f ca="1">ORÇAMENTO!O309</f>
        <v>-</v>
      </c>
      <c r="E309" s="172" t="str">
        <f t="shared" ca="1" si="23"/>
        <v>(abra o arquivo 'Referência 06-2024.xlsm)</v>
      </c>
      <c r="F309" s="173" t="str">
        <f ca="1">IF(RegimeExecucao="Global","",ORÇAMENTO.Unidade)</f>
        <v/>
      </c>
      <c r="G309" s="124" t="str">
        <f ca="1">IF(RegimeExecucao="Global","",ORÇAMENTO!T309)</f>
        <v/>
      </c>
      <c r="H309" s="124" t="str">
        <f ca="1">IF(RegimeExecucao="Global","",ORÇAMENTO!W309)</f>
        <v/>
      </c>
      <c r="I309" s="127">
        <f ca="1">ORÇAMENTO!X309</f>
        <v>0</v>
      </c>
      <c r="J309" s="378">
        <f ca="1">IF($A309="S",IF(CAIXA.Modo,BM.AFAnterior,BM.MEDAnterior),IF(AND(RegimeExecucao="Global",$I309&gt;0,COUNTIF($AB$13:$AM$13,BM.medicao-1)&gt;0),M309/$I309*100,0))</f>
        <v>0</v>
      </c>
      <c r="K309" s="124">
        <f t="shared" ca="1" si="24"/>
        <v>0</v>
      </c>
      <c r="L309" s="379">
        <f ca="1">IF($A309="S",IF(CAIXA.Modo,BM.AFAcumulado,BM.MEDAcumulado),IF(AND(RegimeExecucao="Global",$I309&gt;0,COUNTIF($AB$13:$AM$13,BM.medicao)&gt;0),O309/$I309*100,0))</f>
        <v>0</v>
      </c>
      <c r="M309" s="380">
        <f ca="1">IF($A309="S",VTOTALBM,IF($A309=0,0,ROUND(SomaAgrupBM,15-13*ORÇAMENTO!$AF$11)))</f>
        <v>0</v>
      </c>
      <c r="N309" s="381">
        <f t="shared" ca="1" si="25"/>
        <v>0</v>
      </c>
      <c r="O309" s="127">
        <f ca="1">IF($A309="S",VTOTALBM,IF($A309=0,0,ROUND(SomaAgrupBM,15-13*ORÇAMENTO!$AF$11)))</f>
        <v>0</v>
      </c>
      <c r="Q309" s="382"/>
      <c r="R309" s="383"/>
      <c r="T309" s="119" t="str">
        <f t="shared" ca="1" si="26"/>
        <v/>
      </c>
      <c r="U309" s="172" t="str">
        <f t="shared" ca="1" si="27"/>
        <v/>
      </c>
      <c r="V309" s="173" t="str">
        <f ca="1">IF(AND($W309&gt;0,RegimeExecucao="Unitário"),$F309,"")</f>
        <v/>
      </c>
      <c r="W309" s="547">
        <f ca="1">IF($Y309&gt;0,CHOOSE(MATCH(RegimeExecucao,{"Unitário","Global"},0),IF($A309="S",$Y309/$X309,""),($Y309/$X309)*100),0)</f>
        <v>0</v>
      </c>
      <c r="X309" s="384" t="str">
        <f ca="1">IF($Y309&gt;0,CHOOSE(MATCH(RegimeExecucao,{"Unitário","Global"},0),IF($A309="S",ROUND($H309,ORÇAMENTO!$AF$10),""),ROUND($I309,ORÇAMENTO!$AF$11)),"")</f>
        <v/>
      </c>
      <c r="Y309" s="384">
        <f t="shared" ca="1" si="28"/>
        <v>0</v>
      </c>
      <c r="Z309" s="572"/>
      <c r="AB309" s="382"/>
      <c r="AC309" s="516"/>
      <c r="AD309" s="516"/>
      <c r="AE309" s="516"/>
      <c r="AF309" s="516"/>
      <c r="AG309" s="516"/>
      <c r="AH309" s="516"/>
      <c r="AI309" s="516"/>
      <c r="AJ309" s="516"/>
      <c r="AK309" s="516"/>
      <c r="AL309" s="516"/>
      <c r="AM309" s="383"/>
      <c r="AO309">
        <f ca="1">IF($A309="S",IF(BM!$I309=0,0,CHOOSE(MATCH(RegimeExecucao,{"Global","Unitário"},0),ROUND(ROUND(BM.MEDAcumulado,15-13*BM!$A$9)/100*BM!$I309,15-13*ORÇAMENTO!$AF$11),ROUND(ROUND(BM.MEDAcumulado,15-13*BM!$A$9)*ROUND(BM!$H309,15-13*ORÇAMENTO!$AF$10),15-13*ORÇAMENTO!$AF$11))),IF($A309=0,0,ROUND(SomaAgrupBM,15-13*ORÇAMENTO!$AF$11)))</f>
        <v>0</v>
      </c>
    </row>
    <row r="310" spans="1:41" ht="51" x14ac:dyDescent="0.2">
      <c r="A310" t="str">
        <f ca="1">ORÇAMENTO!C310</f>
        <v>S</v>
      </c>
      <c r="B310">
        <f ca="1">ORÇAMENTO!D310</f>
        <v>0</v>
      </c>
      <c r="C310" s="116" t="str">
        <f t="shared" ca="1" si="22"/>
        <v/>
      </c>
      <c r="D310" s="119" t="str">
        <f ca="1">ORÇAMENTO!O310</f>
        <v>-</v>
      </c>
      <c r="E310" s="172" t="str">
        <f t="shared" ca="1" si="23"/>
        <v>(abra o arquivo 'Referência 06-2024.xlsm)</v>
      </c>
      <c r="F310" s="173" t="str">
        <f ca="1">IF(RegimeExecucao="Global","",ORÇAMENTO.Unidade)</f>
        <v/>
      </c>
      <c r="G310" s="124" t="str">
        <f ca="1">IF(RegimeExecucao="Global","",ORÇAMENTO!T310)</f>
        <v/>
      </c>
      <c r="H310" s="124" t="str">
        <f ca="1">IF(RegimeExecucao="Global","",ORÇAMENTO!W310)</f>
        <v/>
      </c>
      <c r="I310" s="127">
        <f ca="1">ORÇAMENTO!X310</f>
        <v>0</v>
      </c>
      <c r="J310" s="378">
        <f ca="1">IF($A310="S",IF(CAIXA.Modo,BM.AFAnterior,BM.MEDAnterior),IF(AND(RegimeExecucao="Global",$I310&gt;0,COUNTIF($AB$13:$AM$13,BM.medicao-1)&gt;0),M310/$I310*100,0))</f>
        <v>0</v>
      </c>
      <c r="K310" s="124">
        <f t="shared" ca="1" si="24"/>
        <v>0</v>
      </c>
      <c r="L310" s="379">
        <f ca="1">IF($A310="S",IF(CAIXA.Modo,BM.AFAcumulado,BM.MEDAcumulado),IF(AND(RegimeExecucao="Global",$I310&gt;0,COUNTIF($AB$13:$AM$13,BM.medicao)&gt;0),O310/$I310*100,0))</f>
        <v>0</v>
      </c>
      <c r="M310" s="380">
        <f ca="1">IF($A310="S",VTOTALBM,IF($A310=0,0,ROUND(SomaAgrupBM,15-13*ORÇAMENTO!$AF$11)))</f>
        <v>0</v>
      </c>
      <c r="N310" s="381">
        <f t="shared" ca="1" si="25"/>
        <v>0</v>
      </c>
      <c r="O310" s="127">
        <f ca="1">IF($A310="S",VTOTALBM,IF($A310=0,0,ROUND(SomaAgrupBM,15-13*ORÇAMENTO!$AF$11)))</f>
        <v>0</v>
      </c>
      <c r="Q310" s="382"/>
      <c r="R310" s="383"/>
      <c r="T310" s="119" t="str">
        <f t="shared" ca="1" si="26"/>
        <v/>
      </c>
      <c r="U310" s="172" t="str">
        <f t="shared" ca="1" si="27"/>
        <v/>
      </c>
      <c r="V310" s="173" t="str">
        <f ca="1">IF(AND($W310&gt;0,RegimeExecucao="Unitário"),$F310,"")</f>
        <v/>
      </c>
      <c r="W310" s="547">
        <f ca="1">IF($Y310&gt;0,CHOOSE(MATCH(RegimeExecucao,{"Unitário","Global"},0),IF($A310="S",$Y310/$X310,""),($Y310/$X310)*100),0)</f>
        <v>0</v>
      </c>
      <c r="X310" s="384" t="str">
        <f ca="1">IF($Y310&gt;0,CHOOSE(MATCH(RegimeExecucao,{"Unitário","Global"},0),IF($A310="S",ROUND($H310,ORÇAMENTO!$AF$10),""),ROUND($I310,ORÇAMENTO!$AF$11)),"")</f>
        <v/>
      </c>
      <c r="Y310" s="384">
        <f t="shared" ca="1" si="28"/>
        <v>0</v>
      </c>
      <c r="Z310" s="572"/>
      <c r="AB310" s="382"/>
      <c r="AC310" s="516"/>
      <c r="AD310" s="516"/>
      <c r="AE310" s="516"/>
      <c r="AF310" s="516"/>
      <c r="AG310" s="516"/>
      <c r="AH310" s="516"/>
      <c r="AI310" s="516"/>
      <c r="AJ310" s="516"/>
      <c r="AK310" s="516"/>
      <c r="AL310" s="516"/>
      <c r="AM310" s="383"/>
      <c r="AO310">
        <f ca="1">IF($A310="S",IF(BM!$I310=0,0,CHOOSE(MATCH(RegimeExecucao,{"Global","Unitário"},0),ROUND(ROUND(BM.MEDAcumulado,15-13*BM!$A$9)/100*BM!$I310,15-13*ORÇAMENTO!$AF$11),ROUND(ROUND(BM.MEDAcumulado,15-13*BM!$A$9)*ROUND(BM!$H310,15-13*ORÇAMENTO!$AF$10),15-13*ORÇAMENTO!$AF$11))),IF($A310=0,0,ROUND(SomaAgrupBM,15-13*ORÇAMENTO!$AF$11)))</f>
        <v>0</v>
      </c>
    </row>
    <row r="311" spans="1:41" ht="38.25" x14ac:dyDescent="0.2">
      <c r="A311" t="str">
        <f ca="1">ORÇAMENTO!C311</f>
        <v>S</v>
      </c>
      <c r="B311">
        <f ca="1">ORÇAMENTO!D311</f>
        <v>0</v>
      </c>
      <c r="C311" s="116" t="str">
        <f t="shared" ca="1" si="22"/>
        <v/>
      </c>
      <c r="D311" s="119" t="str">
        <f ca="1">ORÇAMENTO!O311</f>
        <v>-</v>
      </c>
      <c r="E311" s="172" t="str">
        <f t="shared" ca="1" si="23"/>
        <v>(abra o arquivo 'Referência 06-2024.xlsm)</v>
      </c>
      <c r="F311" s="173" t="str">
        <f ca="1">IF(RegimeExecucao="Global","",ORÇAMENTO.Unidade)</f>
        <v/>
      </c>
      <c r="G311" s="124" t="str">
        <f ca="1">IF(RegimeExecucao="Global","",ORÇAMENTO!T311)</f>
        <v/>
      </c>
      <c r="H311" s="124" t="str">
        <f ca="1">IF(RegimeExecucao="Global","",ORÇAMENTO!W311)</f>
        <v/>
      </c>
      <c r="I311" s="127">
        <f ca="1">ORÇAMENTO!X311</f>
        <v>0</v>
      </c>
      <c r="J311" s="378">
        <f ca="1">IF($A311="S",IF(CAIXA.Modo,BM.AFAnterior,BM.MEDAnterior),IF(AND(RegimeExecucao="Global",$I311&gt;0,COUNTIF($AB$13:$AM$13,BM.medicao-1)&gt;0),M311/$I311*100,0))</f>
        <v>0</v>
      </c>
      <c r="K311" s="124">
        <f t="shared" ca="1" si="24"/>
        <v>0</v>
      </c>
      <c r="L311" s="379">
        <f ca="1">IF($A311="S",IF(CAIXA.Modo,BM.AFAcumulado,BM.MEDAcumulado),IF(AND(RegimeExecucao="Global",$I311&gt;0,COUNTIF($AB$13:$AM$13,BM.medicao)&gt;0),O311/$I311*100,0))</f>
        <v>0</v>
      </c>
      <c r="M311" s="380">
        <f ca="1">IF($A311="S",VTOTALBM,IF($A311=0,0,ROUND(SomaAgrupBM,15-13*ORÇAMENTO!$AF$11)))</f>
        <v>0</v>
      </c>
      <c r="N311" s="381">
        <f t="shared" ca="1" si="25"/>
        <v>0</v>
      </c>
      <c r="O311" s="127">
        <f ca="1">IF($A311="S",VTOTALBM,IF($A311=0,0,ROUND(SomaAgrupBM,15-13*ORÇAMENTO!$AF$11)))</f>
        <v>0</v>
      </c>
      <c r="Q311" s="382"/>
      <c r="R311" s="383"/>
      <c r="T311" s="119" t="str">
        <f t="shared" ca="1" si="26"/>
        <v/>
      </c>
      <c r="U311" s="172" t="str">
        <f t="shared" ca="1" si="27"/>
        <v/>
      </c>
      <c r="V311" s="173" t="str">
        <f ca="1">IF(AND($W311&gt;0,RegimeExecucao="Unitário"),$F311,"")</f>
        <v/>
      </c>
      <c r="W311" s="547">
        <f ca="1">IF($Y311&gt;0,CHOOSE(MATCH(RegimeExecucao,{"Unitário","Global"},0),IF($A311="S",$Y311/$X311,""),($Y311/$X311)*100),0)</f>
        <v>0</v>
      </c>
      <c r="X311" s="384" t="str">
        <f ca="1">IF($Y311&gt;0,CHOOSE(MATCH(RegimeExecucao,{"Unitário","Global"},0),IF($A311="S",ROUND($H311,ORÇAMENTO!$AF$10),""),ROUND($I311,ORÇAMENTO!$AF$11)),"")</f>
        <v/>
      </c>
      <c r="Y311" s="384">
        <f t="shared" ca="1" si="28"/>
        <v>0</v>
      </c>
      <c r="Z311" s="572"/>
      <c r="AB311" s="382"/>
      <c r="AC311" s="516"/>
      <c r="AD311" s="516"/>
      <c r="AE311" s="516"/>
      <c r="AF311" s="516"/>
      <c r="AG311" s="516"/>
      <c r="AH311" s="516"/>
      <c r="AI311" s="516"/>
      <c r="AJ311" s="516"/>
      <c r="AK311" s="516"/>
      <c r="AL311" s="516"/>
      <c r="AM311" s="383"/>
      <c r="AO311">
        <f ca="1">IF($A311="S",IF(BM!$I311=0,0,CHOOSE(MATCH(RegimeExecucao,{"Global","Unitário"},0),ROUND(ROUND(BM.MEDAcumulado,15-13*BM!$A$9)/100*BM!$I311,15-13*ORÇAMENTO!$AF$11),ROUND(ROUND(BM.MEDAcumulado,15-13*BM!$A$9)*ROUND(BM!$H311,15-13*ORÇAMENTO!$AF$10),15-13*ORÇAMENTO!$AF$11))),IF($A311=0,0,ROUND(SomaAgrupBM,15-13*ORÇAMENTO!$AF$11)))</f>
        <v>0</v>
      </c>
    </row>
    <row r="312" spans="1:41" ht="38.25" x14ac:dyDescent="0.2">
      <c r="A312" t="str">
        <f ca="1">ORÇAMENTO!C312</f>
        <v>S</v>
      </c>
      <c r="B312">
        <f ca="1">ORÇAMENTO!D312</f>
        <v>0</v>
      </c>
      <c r="C312" s="116" t="str">
        <f t="shared" ca="1" si="22"/>
        <v/>
      </c>
      <c r="D312" s="119" t="str">
        <f ca="1">ORÇAMENTO!O312</f>
        <v>-</v>
      </c>
      <c r="E312" s="172" t="str">
        <f t="shared" ca="1" si="23"/>
        <v>(abra o arquivo 'Referência 06-2024.xlsm)</v>
      </c>
      <c r="F312" s="173" t="str">
        <f ca="1">IF(RegimeExecucao="Global","",ORÇAMENTO.Unidade)</f>
        <v/>
      </c>
      <c r="G312" s="124" t="str">
        <f ca="1">IF(RegimeExecucao="Global","",ORÇAMENTO!T312)</f>
        <v/>
      </c>
      <c r="H312" s="124" t="str">
        <f ca="1">IF(RegimeExecucao="Global","",ORÇAMENTO!W312)</f>
        <v/>
      </c>
      <c r="I312" s="127">
        <f ca="1">ORÇAMENTO!X312</f>
        <v>0</v>
      </c>
      <c r="J312" s="378">
        <f ca="1">IF($A312="S",IF(CAIXA.Modo,BM.AFAnterior,BM.MEDAnterior),IF(AND(RegimeExecucao="Global",$I312&gt;0,COUNTIF($AB$13:$AM$13,BM.medicao-1)&gt;0),M312/$I312*100,0))</f>
        <v>0</v>
      </c>
      <c r="K312" s="124">
        <f t="shared" ca="1" si="24"/>
        <v>0</v>
      </c>
      <c r="L312" s="379">
        <f ca="1">IF($A312="S",IF(CAIXA.Modo,BM.AFAcumulado,BM.MEDAcumulado),IF(AND(RegimeExecucao="Global",$I312&gt;0,COUNTIF($AB$13:$AM$13,BM.medicao)&gt;0),O312/$I312*100,0))</f>
        <v>0</v>
      </c>
      <c r="M312" s="380">
        <f ca="1">IF($A312="S",VTOTALBM,IF($A312=0,0,ROUND(SomaAgrupBM,15-13*ORÇAMENTO!$AF$11)))</f>
        <v>0</v>
      </c>
      <c r="N312" s="381">
        <f t="shared" ca="1" si="25"/>
        <v>0</v>
      </c>
      <c r="O312" s="127">
        <f ca="1">IF($A312="S",VTOTALBM,IF($A312=0,0,ROUND(SomaAgrupBM,15-13*ORÇAMENTO!$AF$11)))</f>
        <v>0</v>
      </c>
      <c r="Q312" s="382"/>
      <c r="R312" s="383"/>
      <c r="T312" s="119" t="str">
        <f t="shared" ca="1" si="26"/>
        <v/>
      </c>
      <c r="U312" s="172" t="str">
        <f t="shared" ca="1" si="27"/>
        <v/>
      </c>
      <c r="V312" s="173" t="str">
        <f ca="1">IF(AND($W312&gt;0,RegimeExecucao="Unitário"),$F312,"")</f>
        <v/>
      </c>
      <c r="W312" s="547">
        <f ca="1">IF($Y312&gt;0,CHOOSE(MATCH(RegimeExecucao,{"Unitário","Global"},0),IF($A312="S",$Y312/$X312,""),($Y312/$X312)*100),0)</f>
        <v>0</v>
      </c>
      <c r="X312" s="384" t="str">
        <f ca="1">IF($Y312&gt;0,CHOOSE(MATCH(RegimeExecucao,{"Unitário","Global"},0),IF($A312="S",ROUND($H312,ORÇAMENTO!$AF$10),""),ROUND($I312,ORÇAMENTO!$AF$11)),"")</f>
        <v/>
      </c>
      <c r="Y312" s="384">
        <f t="shared" ca="1" si="28"/>
        <v>0</v>
      </c>
      <c r="Z312" s="572"/>
      <c r="AB312" s="382"/>
      <c r="AC312" s="516"/>
      <c r="AD312" s="516"/>
      <c r="AE312" s="516"/>
      <c r="AF312" s="516"/>
      <c r="AG312" s="516"/>
      <c r="AH312" s="516"/>
      <c r="AI312" s="516"/>
      <c r="AJ312" s="516"/>
      <c r="AK312" s="516"/>
      <c r="AL312" s="516"/>
      <c r="AM312" s="383"/>
      <c r="AO312">
        <f ca="1">IF($A312="S",IF(BM!$I312=0,0,CHOOSE(MATCH(RegimeExecucao,{"Global","Unitário"},0),ROUND(ROUND(BM.MEDAcumulado,15-13*BM!$A$9)/100*BM!$I312,15-13*ORÇAMENTO!$AF$11),ROUND(ROUND(BM.MEDAcumulado,15-13*BM!$A$9)*ROUND(BM!$H312,15-13*ORÇAMENTO!$AF$10),15-13*ORÇAMENTO!$AF$11))),IF($A312=0,0,ROUND(SomaAgrupBM,15-13*ORÇAMENTO!$AF$11)))</f>
        <v>0</v>
      </c>
    </row>
    <row r="313" spans="1:41" ht="38.25" x14ac:dyDescent="0.2">
      <c r="A313" t="str">
        <f ca="1">ORÇAMENTO!C313</f>
        <v>S</v>
      </c>
      <c r="B313">
        <f ca="1">ORÇAMENTO!D313</f>
        <v>0</v>
      </c>
      <c r="C313" s="116" t="str">
        <f t="shared" ca="1" si="22"/>
        <v/>
      </c>
      <c r="D313" s="119" t="str">
        <f ca="1">ORÇAMENTO!O313</f>
        <v>-</v>
      </c>
      <c r="E313" s="172" t="str">
        <f t="shared" ca="1" si="23"/>
        <v>(abra o arquivo 'Referência 06-2024.xlsm)</v>
      </c>
      <c r="F313" s="173" t="str">
        <f ca="1">IF(RegimeExecucao="Global","",ORÇAMENTO.Unidade)</f>
        <v/>
      </c>
      <c r="G313" s="124" t="str">
        <f ca="1">IF(RegimeExecucao="Global","",ORÇAMENTO!T313)</f>
        <v/>
      </c>
      <c r="H313" s="124" t="str">
        <f ca="1">IF(RegimeExecucao="Global","",ORÇAMENTO!W313)</f>
        <v/>
      </c>
      <c r="I313" s="127">
        <f ca="1">ORÇAMENTO!X313</f>
        <v>0</v>
      </c>
      <c r="J313" s="378">
        <f ca="1">IF($A313="S",IF(CAIXA.Modo,BM.AFAnterior,BM.MEDAnterior),IF(AND(RegimeExecucao="Global",$I313&gt;0,COUNTIF($AB$13:$AM$13,BM.medicao-1)&gt;0),M313/$I313*100,0))</f>
        <v>0</v>
      </c>
      <c r="K313" s="124">
        <f t="shared" ca="1" si="24"/>
        <v>0</v>
      </c>
      <c r="L313" s="379">
        <f ca="1">IF($A313="S",IF(CAIXA.Modo,BM.AFAcumulado,BM.MEDAcumulado),IF(AND(RegimeExecucao="Global",$I313&gt;0,COUNTIF($AB$13:$AM$13,BM.medicao)&gt;0),O313/$I313*100,0))</f>
        <v>0</v>
      </c>
      <c r="M313" s="380">
        <f ca="1">IF($A313="S",VTOTALBM,IF($A313=0,0,ROUND(SomaAgrupBM,15-13*ORÇAMENTO!$AF$11)))</f>
        <v>0</v>
      </c>
      <c r="N313" s="381">
        <f t="shared" ca="1" si="25"/>
        <v>0</v>
      </c>
      <c r="O313" s="127">
        <f ca="1">IF($A313="S",VTOTALBM,IF($A313=0,0,ROUND(SomaAgrupBM,15-13*ORÇAMENTO!$AF$11)))</f>
        <v>0</v>
      </c>
      <c r="Q313" s="382"/>
      <c r="R313" s="383"/>
      <c r="T313" s="119" t="str">
        <f t="shared" ca="1" si="26"/>
        <v/>
      </c>
      <c r="U313" s="172" t="str">
        <f t="shared" ca="1" si="27"/>
        <v/>
      </c>
      <c r="V313" s="173" t="str">
        <f ca="1">IF(AND($W313&gt;0,RegimeExecucao="Unitário"),$F313,"")</f>
        <v/>
      </c>
      <c r="W313" s="547">
        <f ca="1">IF($Y313&gt;0,CHOOSE(MATCH(RegimeExecucao,{"Unitário","Global"},0),IF($A313="S",$Y313/$X313,""),($Y313/$X313)*100),0)</f>
        <v>0</v>
      </c>
      <c r="X313" s="384" t="str">
        <f ca="1">IF($Y313&gt;0,CHOOSE(MATCH(RegimeExecucao,{"Unitário","Global"},0),IF($A313="S",ROUND($H313,ORÇAMENTO!$AF$10),""),ROUND($I313,ORÇAMENTO!$AF$11)),"")</f>
        <v/>
      </c>
      <c r="Y313" s="384">
        <f t="shared" ca="1" si="28"/>
        <v>0</v>
      </c>
      <c r="Z313" s="572"/>
      <c r="AB313" s="382"/>
      <c r="AC313" s="516"/>
      <c r="AD313" s="516"/>
      <c r="AE313" s="516"/>
      <c r="AF313" s="516"/>
      <c r="AG313" s="516"/>
      <c r="AH313" s="516"/>
      <c r="AI313" s="516"/>
      <c r="AJ313" s="516"/>
      <c r="AK313" s="516"/>
      <c r="AL313" s="516"/>
      <c r="AM313" s="383"/>
      <c r="AO313">
        <f ca="1">IF($A313="S",IF(BM!$I313=0,0,CHOOSE(MATCH(RegimeExecucao,{"Global","Unitário"},0),ROUND(ROUND(BM.MEDAcumulado,15-13*BM!$A$9)/100*BM!$I313,15-13*ORÇAMENTO!$AF$11),ROUND(ROUND(BM.MEDAcumulado,15-13*BM!$A$9)*ROUND(BM!$H313,15-13*ORÇAMENTO!$AF$10),15-13*ORÇAMENTO!$AF$11))),IF($A313=0,0,ROUND(SomaAgrupBM,15-13*ORÇAMENTO!$AF$11)))</f>
        <v>0</v>
      </c>
    </row>
    <row r="314" spans="1:41" ht="38.25" x14ac:dyDescent="0.2">
      <c r="A314" t="str">
        <f ca="1">ORÇAMENTO!C314</f>
        <v>S</v>
      </c>
      <c r="B314">
        <f ca="1">ORÇAMENTO!D314</f>
        <v>0</v>
      </c>
      <c r="C314" s="116" t="str">
        <f t="shared" ca="1" si="22"/>
        <v/>
      </c>
      <c r="D314" s="119" t="str">
        <f ca="1">ORÇAMENTO!O314</f>
        <v>-</v>
      </c>
      <c r="E314" s="172" t="str">
        <f t="shared" ca="1" si="23"/>
        <v>(abra o arquivo 'Referência 06-2024.xlsm)</v>
      </c>
      <c r="F314" s="173" t="str">
        <f ca="1">IF(RegimeExecucao="Global","",ORÇAMENTO.Unidade)</f>
        <v/>
      </c>
      <c r="G314" s="124" t="str">
        <f ca="1">IF(RegimeExecucao="Global","",ORÇAMENTO!T314)</f>
        <v/>
      </c>
      <c r="H314" s="124" t="str">
        <f ca="1">IF(RegimeExecucao="Global","",ORÇAMENTO!W314)</f>
        <v/>
      </c>
      <c r="I314" s="127">
        <f ca="1">ORÇAMENTO!X314</f>
        <v>0</v>
      </c>
      <c r="J314" s="378">
        <f ca="1">IF($A314="S",IF(CAIXA.Modo,BM.AFAnterior,BM.MEDAnterior),IF(AND(RegimeExecucao="Global",$I314&gt;0,COUNTIF($AB$13:$AM$13,BM.medicao-1)&gt;0),M314/$I314*100,0))</f>
        <v>0</v>
      </c>
      <c r="K314" s="124">
        <f t="shared" ca="1" si="24"/>
        <v>0</v>
      </c>
      <c r="L314" s="379">
        <f ca="1">IF($A314="S",IF(CAIXA.Modo,BM.AFAcumulado,BM.MEDAcumulado),IF(AND(RegimeExecucao="Global",$I314&gt;0,COUNTIF($AB$13:$AM$13,BM.medicao)&gt;0),O314/$I314*100,0))</f>
        <v>0</v>
      </c>
      <c r="M314" s="380">
        <f ca="1">IF($A314="S",VTOTALBM,IF($A314=0,0,ROUND(SomaAgrupBM,15-13*ORÇAMENTO!$AF$11)))</f>
        <v>0</v>
      </c>
      <c r="N314" s="381">
        <f t="shared" ca="1" si="25"/>
        <v>0</v>
      </c>
      <c r="O314" s="127">
        <f ca="1">IF($A314="S",VTOTALBM,IF($A314=0,0,ROUND(SomaAgrupBM,15-13*ORÇAMENTO!$AF$11)))</f>
        <v>0</v>
      </c>
      <c r="Q314" s="382"/>
      <c r="R314" s="383"/>
      <c r="T314" s="119" t="str">
        <f t="shared" ca="1" si="26"/>
        <v/>
      </c>
      <c r="U314" s="172" t="str">
        <f t="shared" ca="1" si="27"/>
        <v/>
      </c>
      <c r="V314" s="173" t="str">
        <f ca="1">IF(AND($W314&gt;0,RegimeExecucao="Unitário"),$F314,"")</f>
        <v/>
      </c>
      <c r="W314" s="547">
        <f ca="1">IF($Y314&gt;0,CHOOSE(MATCH(RegimeExecucao,{"Unitário","Global"},0),IF($A314="S",$Y314/$X314,""),($Y314/$X314)*100),0)</f>
        <v>0</v>
      </c>
      <c r="X314" s="384" t="str">
        <f ca="1">IF($Y314&gt;0,CHOOSE(MATCH(RegimeExecucao,{"Unitário","Global"},0),IF($A314="S",ROUND($H314,ORÇAMENTO!$AF$10),""),ROUND($I314,ORÇAMENTO!$AF$11)),"")</f>
        <v/>
      </c>
      <c r="Y314" s="384">
        <f t="shared" ca="1" si="28"/>
        <v>0</v>
      </c>
      <c r="Z314" s="572"/>
      <c r="AB314" s="382"/>
      <c r="AC314" s="516"/>
      <c r="AD314" s="516"/>
      <c r="AE314" s="516"/>
      <c r="AF314" s="516"/>
      <c r="AG314" s="516"/>
      <c r="AH314" s="516"/>
      <c r="AI314" s="516"/>
      <c r="AJ314" s="516"/>
      <c r="AK314" s="516"/>
      <c r="AL314" s="516"/>
      <c r="AM314" s="383"/>
      <c r="AO314">
        <f ca="1">IF($A314="S",IF(BM!$I314=0,0,CHOOSE(MATCH(RegimeExecucao,{"Global","Unitário"},0),ROUND(ROUND(BM.MEDAcumulado,15-13*BM!$A$9)/100*BM!$I314,15-13*ORÇAMENTO!$AF$11),ROUND(ROUND(BM.MEDAcumulado,15-13*BM!$A$9)*ROUND(BM!$H314,15-13*ORÇAMENTO!$AF$10),15-13*ORÇAMENTO!$AF$11))),IF($A314=0,0,ROUND(SomaAgrupBM,15-13*ORÇAMENTO!$AF$11)))</f>
        <v>0</v>
      </c>
    </row>
    <row r="315" spans="1:41" ht="38.25" x14ac:dyDescent="0.2">
      <c r="A315" t="str">
        <f ca="1">ORÇAMENTO!C315</f>
        <v>S</v>
      </c>
      <c r="B315">
        <f ca="1">ORÇAMENTO!D315</f>
        <v>0</v>
      </c>
      <c r="C315" s="116" t="str">
        <f t="shared" ref="C315:C316" ca="1" si="29">IF(OR($I315&gt;0,$A315=1,$A315=2,$A315=3,$A315=4),"F","")</f>
        <v/>
      </c>
      <c r="D315" s="119" t="str">
        <f ca="1">ORÇAMENTO!O315</f>
        <v>-</v>
      </c>
      <c r="E315" s="172" t="str">
        <f ca="1">ORÇAMENTO.Descricao</f>
        <v>(abra o arquivo 'Referência 06-2024.xlsm)</v>
      </c>
      <c r="F315" s="173" t="str">
        <f ca="1">IF(RegimeExecucao="Global","",ORÇAMENTO.Unidade)</f>
        <v/>
      </c>
      <c r="G315" s="124" t="str">
        <f ca="1">IF(RegimeExecucao="Global","",ORÇAMENTO!T315)</f>
        <v/>
      </c>
      <c r="H315" s="124" t="str">
        <f ca="1">IF(RegimeExecucao="Global","",ORÇAMENTO!W315)</f>
        <v/>
      </c>
      <c r="I315" s="127">
        <f ca="1">ORÇAMENTO!X315</f>
        <v>0</v>
      </c>
      <c r="J315" s="378">
        <f ca="1">IF($A315="S",IF(CAIXA.Modo,BM.AFAnterior,BM.MEDAnterior),IF(AND(RegimeExecucao="Global",$I315&gt;0,COUNTIF($AB$13:$AM$13,BM.medicao-1)&gt;0),M315/$I315*100,0))</f>
        <v>0</v>
      </c>
      <c r="K315" s="124">
        <f t="shared" ref="K315:K316" ca="1" si="30">L315-J315</f>
        <v>0</v>
      </c>
      <c r="L315" s="379">
        <f ca="1">IF($A315="S",IF(CAIXA.Modo,BM.AFAcumulado,BM.MEDAcumulado),IF(AND(RegimeExecucao="Global",$I315&gt;0,COUNTIF($AB$13:$AM$13,BM.medicao)&gt;0),O315/$I315*100,0))</f>
        <v>0</v>
      </c>
      <c r="M315" s="380">
        <f ca="1">IF($A315="S",VTOTALBM,IF($A315=0,0,ROUND(SomaAgrupBM,15-13*ORÇAMENTO!$AF$11)))</f>
        <v>0</v>
      </c>
      <c r="N315" s="381">
        <f t="shared" ref="N315:N316" ca="1" si="31">O315-M315</f>
        <v>0</v>
      </c>
      <c r="O315" s="127">
        <f ca="1">IF($A315="S",VTOTALBM,IF($A315=0,0,ROUND(SomaAgrupBM,15-13*ORÇAMENTO!$AF$11)))</f>
        <v>0</v>
      </c>
      <c r="Q315" s="382"/>
      <c r="R315" s="383"/>
      <c r="T315" s="119" t="str">
        <f t="shared" ref="T315:T316" ca="1" si="32">IF($W315&gt;0,$D315,"")</f>
        <v/>
      </c>
      <c r="U315" s="172" t="str">
        <f t="shared" ref="U315:U316" ca="1" si="33">IF($W315&gt;0,$E315,"")</f>
        <v/>
      </c>
      <c r="V315" s="173" t="str">
        <f ca="1">IF(AND($W315&gt;0,RegimeExecucao="Unitário"),$F315,"")</f>
        <v/>
      </c>
      <c r="W315" s="547">
        <f ca="1">IF($Y315&gt;0,CHOOSE(MATCH(RegimeExecucao,{"Unitário","Global"},0),IF($A315="S",$Y315/$X315,""),($Y315/$X315)*100),0)</f>
        <v>0</v>
      </c>
      <c r="X315" s="384" t="str">
        <f ca="1">IF($Y315&gt;0,CHOOSE(MATCH(RegimeExecucao,{"Unitário","Global"},0),IF($A315="S",ROUND($H315,ORÇAMENTO!$AF$10),""),ROUND($I315,ORÇAMENTO!$AF$11)),"")</f>
        <v/>
      </c>
      <c r="Y315" s="384">
        <f t="shared" ref="Y315:Y316" ca="1" si="34">AO315-O315</f>
        <v>0</v>
      </c>
      <c r="Z315" s="572"/>
      <c r="AB315" s="382"/>
      <c r="AC315" s="516"/>
      <c r="AD315" s="516"/>
      <c r="AE315" s="516"/>
      <c r="AF315" s="516"/>
      <c r="AG315" s="516"/>
      <c r="AH315" s="516"/>
      <c r="AI315" s="516"/>
      <c r="AJ315" s="516"/>
      <c r="AK315" s="516"/>
      <c r="AL315" s="516"/>
      <c r="AM315" s="383"/>
      <c r="AO315">
        <f ca="1">IF($A315="S",IF(BM!$I315=0,0,CHOOSE(MATCH(RegimeExecucao,{"Global","Unitário"},0),ROUND(ROUND(BM.MEDAcumulado,15-13*BM!$A$9)/100*BM!$I315,15-13*ORÇAMENTO!$AF$11),ROUND(ROUND(BM.MEDAcumulado,15-13*BM!$A$9)*ROUND(BM!$H315,15-13*ORÇAMENTO!$AF$10),15-13*ORÇAMENTO!$AF$11))),IF($A315=0,0,ROUND(SomaAgrupBM,15-13*ORÇAMENTO!$AF$11)))</f>
        <v>0</v>
      </c>
    </row>
    <row r="316" spans="1:41" x14ac:dyDescent="0.2">
      <c r="A316">
        <f ca="1">ORÇAMENTO!C316</f>
        <v>2</v>
      </c>
      <c r="B316">
        <f ca="1">ORÇAMENTO!D316</f>
        <v>3</v>
      </c>
      <c r="C316" s="116" t="str">
        <f t="shared" ca="1" si="29"/>
        <v>F</v>
      </c>
      <c r="D316" s="119" t="str">
        <f ca="1">ORÇAMENTO!O316</f>
        <v>1.39.</v>
      </c>
      <c r="E316" s="172" t="str">
        <f>ORÇAMENTO.Descricao</f>
        <v>DRENAGEM DE ÁGUAS PLUVIAIS - ACESSÓRIOS</v>
      </c>
      <c r="F316" s="173" t="str">
        <f ca="1">IF(RegimeExecucao="Global","",ORÇAMENTO.Unidade)</f>
        <v/>
      </c>
      <c r="G316" s="124" t="str">
        <f ca="1">IF(RegimeExecucao="Global","",ORÇAMENTO!T316)</f>
        <v/>
      </c>
      <c r="H316" s="124" t="str">
        <f ca="1">IF(RegimeExecucao="Global","",ORÇAMENTO!W316)</f>
        <v/>
      </c>
      <c r="I316" s="127">
        <f ca="1">ORÇAMENTO!X316</f>
        <v>0</v>
      </c>
      <c r="J316" s="378">
        <f ca="1">IF($A316="S",IF(CAIXA.Modo,BM.AFAnterior,BM.MEDAnterior),IF(AND(RegimeExecucao="Global",$I316&gt;0,COUNTIF($AB$13:$AM$13,BM.medicao-1)&gt;0),M316/$I316*100,0))</f>
        <v>0</v>
      </c>
      <c r="K316" s="124">
        <f t="shared" ca="1" si="30"/>
        <v>0</v>
      </c>
      <c r="L316" s="379">
        <f ca="1">IF($A316="S",IF(CAIXA.Modo,BM.AFAcumulado,BM.MEDAcumulado),IF(AND(RegimeExecucao="Global",$I316&gt;0,COUNTIF($AB$13:$AM$13,BM.medicao)&gt;0),O316/$I316*100,0))</f>
        <v>0</v>
      </c>
      <c r="M316" s="380">
        <f ca="1">IF($A316="S",VTOTALBM,IF($A316=0,0,ROUND(SomaAgrupBM,15-13*ORÇAMENTO!$AF$11)))</f>
        <v>0</v>
      </c>
      <c r="N316" s="381">
        <f t="shared" ca="1" si="31"/>
        <v>0</v>
      </c>
      <c r="O316" s="127">
        <f ca="1">IF($A316="S",VTOTALBM,IF($A316=0,0,ROUND(SomaAgrupBM,15-13*ORÇAMENTO!$AF$11)))</f>
        <v>0</v>
      </c>
      <c r="Q316" s="382"/>
      <c r="R316" s="383"/>
      <c r="T316" s="119" t="str">
        <f t="shared" ca="1" si="32"/>
        <v/>
      </c>
      <c r="U316" s="172" t="str">
        <f t="shared" ca="1" si="33"/>
        <v/>
      </c>
      <c r="V316" s="173" t="str">
        <f ca="1">IF(AND($W316&gt;0,RegimeExecucao="Unitário"),$F316,"")</f>
        <v/>
      </c>
      <c r="W316" s="547">
        <f ca="1">IF($Y316&gt;0,CHOOSE(MATCH(RegimeExecucao,{"Unitário","Global"},0),IF($A316="S",$Y316/$X316,""),($Y316/$X316)*100),0)</f>
        <v>0</v>
      </c>
      <c r="X316" s="384" t="str">
        <f ca="1">IF($Y316&gt;0,CHOOSE(MATCH(RegimeExecucao,{"Unitário","Global"},0),IF($A316="S",ROUND($H316,ORÇAMENTO!$AF$10),""),ROUND($I316,ORÇAMENTO!$AF$11)),"")</f>
        <v/>
      </c>
      <c r="Y316" s="384">
        <f t="shared" ca="1" si="34"/>
        <v>0</v>
      </c>
      <c r="Z316" s="572"/>
      <c r="AB316" s="382"/>
      <c r="AC316" s="516"/>
      <c r="AD316" s="516"/>
      <c r="AE316" s="516"/>
      <c r="AF316" s="516"/>
      <c r="AG316" s="516"/>
      <c r="AH316" s="516"/>
      <c r="AI316" s="516"/>
      <c r="AJ316" s="516"/>
      <c r="AK316" s="516"/>
      <c r="AL316" s="516"/>
      <c r="AM316" s="383"/>
      <c r="AO316">
        <f ca="1">IF($A316="S",IF(BM!$I316=0,0,CHOOSE(MATCH(RegimeExecucao,{"Global","Unitário"},0),ROUND(ROUND(BM.MEDAcumulado,15-13*BM!$A$9)/100*BM!$I316,15-13*ORÇAMENTO!$AF$11),ROUND(ROUND(BM.MEDAcumulado,15-13*BM!$A$9)*ROUND(BM!$H316,15-13*ORÇAMENTO!$AF$10),15-13*ORÇAMENTO!$AF$11))),IF($A316=0,0,ROUND(SomaAgrupBM,15-13*ORÇAMENTO!$AF$11)))</f>
        <v>0</v>
      </c>
    </row>
    <row r="317" spans="1:41" ht="38.25" x14ac:dyDescent="0.2">
      <c r="A317" t="str">
        <f ca="1">ORÇAMENTO!C317</f>
        <v>S</v>
      </c>
      <c r="B317">
        <f ca="1">ORÇAMENTO!D317</f>
        <v>0</v>
      </c>
      <c r="C317" s="116" t="str">
        <f t="shared" ca="1" si="22"/>
        <v/>
      </c>
      <c r="D317" s="119" t="str">
        <f ca="1">ORÇAMENTO!O317</f>
        <v>-</v>
      </c>
      <c r="E317" s="172" t="str">
        <f t="shared" ca="1" si="23"/>
        <v>(abra o arquivo 'Referência 06-2024.xlsm)</v>
      </c>
      <c r="F317" s="173" t="str">
        <f ca="1">IF(RegimeExecucao="Global","",ORÇAMENTO.Unidade)</f>
        <v/>
      </c>
      <c r="G317" s="124" t="str">
        <f ca="1">IF(RegimeExecucao="Global","",ORÇAMENTO!T317)</f>
        <v/>
      </c>
      <c r="H317" s="124" t="str">
        <f ca="1">IF(RegimeExecucao="Global","",ORÇAMENTO!W317)</f>
        <v/>
      </c>
      <c r="I317" s="127">
        <f ca="1">ORÇAMENTO!X317</f>
        <v>0</v>
      </c>
      <c r="J317" s="378">
        <f ca="1">IF($A317="S",IF(CAIXA.Modo,BM.AFAnterior,BM.MEDAnterior),IF(AND(RegimeExecucao="Global",$I317&gt;0,COUNTIF($AB$13:$AM$13,BM.medicao-1)&gt;0),M317/$I317*100,0))</f>
        <v>0</v>
      </c>
      <c r="K317" s="124">
        <f t="shared" ca="1" si="24"/>
        <v>0</v>
      </c>
      <c r="L317" s="379">
        <f ca="1">IF($A317="S",IF(CAIXA.Modo,BM.AFAcumulado,BM.MEDAcumulado),IF(AND(RegimeExecucao="Global",$I317&gt;0,COUNTIF($AB$13:$AM$13,BM.medicao)&gt;0),O317/$I317*100,0))</f>
        <v>0</v>
      </c>
      <c r="M317" s="380">
        <f ca="1">IF($A317="S",VTOTALBM,IF($A317=0,0,ROUND(SomaAgrupBM,15-13*ORÇAMENTO!$AF$11)))</f>
        <v>0</v>
      </c>
      <c r="N317" s="381">
        <f t="shared" ca="1" si="25"/>
        <v>0</v>
      </c>
      <c r="O317" s="127">
        <f ca="1">IF($A317="S",VTOTALBM,IF($A317=0,0,ROUND(SomaAgrupBM,15-13*ORÇAMENTO!$AF$11)))</f>
        <v>0</v>
      </c>
      <c r="Q317" s="382"/>
      <c r="R317" s="383"/>
      <c r="T317" s="119" t="str">
        <f t="shared" ca="1" si="26"/>
        <v/>
      </c>
      <c r="U317" s="172" t="str">
        <f t="shared" ca="1" si="27"/>
        <v/>
      </c>
      <c r="V317" s="173" t="str">
        <f ca="1">IF(AND($W317&gt;0,RegimeExecucao="Unitário"),$F317,"")</f>
        <v/>
      </c>
      <c r="W317" s="547">
        <f ca="1">IF($Y317&gt;0,CHOOSE(MATCH(RegimeExecucao,{"Unitário","Global"},0),IF($A317="S",$Y317/$X317,""),($Y317/$X317)*100),0)</f>
        <v>0</v>
      </c>
      <c r="X317" s="384" t="str">
        <f ca="1">IF($Y317&gt;0,CHOOSE(MATCH(RegimeExecucao,{"Unitário","Global"},0),IF($A317="S",ROUND($H317,ORÇAMENTO!$AF$10),""),ROUND($I317,ORÇAMENTO!$AF$11)),"")</f>
        <v/>
      </c>
      <c r="Y317" s="384">
        <f t="shared" ca="1" si="28"/>
        <v>0</v>
      </c>
      <c r="Z317" s="572"/>
      <c r="AB317" s="382"/>
      <c r="AC317" s="516"/>
      <c r="AD317" s="516"/>
      <c r="AE317" s="516"/>
      <c r="AF317" s="516"/>
      <c r="AG317" s="516"/>
      <c r="AH317" s="516"/>
      <c r="AI317" s="516"/>
      <c r="AJ317" s="516"/>
      <c r="AK317" s="516"/>
      <c r="AL317" s="516"/>
      <c r="AM317" s="383"/>
      <c r="AO317">
        <f ca="1">IF($A317="S",IF(BM!$I317=0,0,CHOOSE(MATCH(RegimeExecucao,{"Global","Unitário"},0),ROUND(ROUND(BM.MEDAcumulado,15-13*BM!$A$9)/100*BM!$I317,15-13*ORÇAMENTO!$AF$11),ROUND(ROUND(BM.MEDAcumulado,15-13*BM!$A$9)*ROUND(BM!$H317,15-13*ORÇAMENTO!$AF$10),15-13*ORÇAMENTO!$AF$11))),IF($A317=0,0,ROUND(SomaAgrupBM,15-13*ORÇAMENTO!$AF$11)))</f>
        <v>0</v>
      </c>
    </row>
    <row r="318" spans="1:41" ht="38.25" x14ac:dyDescent="0.2">
      <c r="A318" t="str">
        <f ca="1">ORÇAMENTO!C318</f>
        <v>S</v>
      </c>
      <c r="B318">
        <f ca="1">ORÇAMENTO!D318</f>
        <v>0</v>
      </c>
      <c r="C318" s="116" t="str">
        <f t="shared" ca="1" si="22"/>
        <v/>
      </c>
      <c r="D318" s="119" t="str">
        <f ca="1">ORÇAMENTO!O318</f>
        <v>-</v>
      </c>
      <c r="E318" s="172" t="str">
        <f t="shared" ca="1" si="23"/>
        <v>(abra o arquivo 'Referência 06-2024.xlsm)</v>
      </c>
      <c r="F318" s="173" t="str">
        <f ca="1">IF(RegimeExecucao="Global","",ORÇAMENTO.Unidade)</f>
        <v/>
      </c>
      <c r="G318" s="124" t="str">
        <f ca="1">IF(RegimeExecucao="Global","",ORÇAMENTO!T318)</f>
        <v/>
      </c>
      <c r="H318" s="124" t="str">
        <f ca="1">IF(RegimeExecucao="Global","",ORÇAMENTO!W318)</f>
        <v/>
      </c>
      <c r="I318" s="127">
        <f ca="1">ORÇAMENTO!X318</f>
        <v>0</v>
      </c>
      <c r="J318" s="378">
        <f ca="1">IF($A318="S",IF(CAIXA.Modo,BM.AFAnterior,BM.MEDAnterior),IF(AND(RegimeExecucao="Global",$I318&gt;0,COUNTIF($AB$13:$AM$13,BM.medicao-1)&gt;0),M318/$I318*100,0))</f>
        <v>0</v>
      </c>
      <c r="K318" s="124">
        <f t="shared" ca="1" si="24"/>
        <v>0</v>
      </c>
      <c r="L318" s="379">
        <f ca="1">IF($A318="S",IF(CAIXA.Modo,BM.AFAcumulado,BM.MEDAcumulado),IF(AND(RegimeExecucao="Global",$I318&gt;0,COUNTIF($AB$13:$AM$13,BM.medicao)&gt;0),O318/$I318*100,0))</f>
        <v>0</v>
      </c>
      <c r="M318" s="380">
        <f ca="1">IF($A318="S",VTOTALBM,IF($A318=0,0,ROUND(SomaAgrupBM,15-13*ORÇAMENTO!$AF$11)))</f>
        <v>0</v>
      </c>
      <c r="N318" s="381">
        <f t="shared" ca="1" si="25"/>
        <v>0</v>
      </c>
      <c r="O318" s="127">
        <f ca="1">IF($A318="S",VTOTALBM,IF($A318=0,0,ROUND(SomaAgrupBM,15-13*ORÇAMENTO!$AF$11)))</f>
        <v>0</v>
      </c>
      <c r="Q318" s="382"/>
      <c r="R318" s="383"/>
      <c r="T318" s="119" t="str">
        <f t="shared" ca="1" si="26"/>
        <v/>
      </c>
      <c r="U318" s="172" t="str">
        <f t="shared" ca="1" si="27"/>
        <v/>
      </c>
      <c r="V318" s="173" t="str">
        <f ca="1">IF(AND($W318&gt;0,RegimeExecucao="Unitário"),$F318,"")</f>
        <v/>
      </c>
      <c r="W318" s="547">
        <f ca="1">IF($Y318&gt;0,CHOOSE(MATCH(RegimeExecucao,{"Unitário","Global"},0),IF($A318="S",$Y318/$X318,""),($Y318/$X318)*100),0)</f>
        <v>0</v>
      </c>
      <c r="X318" s="384" t="str">
        <f ca="1">IF($Y318&gt;0,CHOOSE(MATCH(RegimeExecucao,{"Unitário","Global"},0),IF($A318="S",ROUND($H318,ORÇAMENTO!$AF$10),""),ROUND($I318,ORÇAMENTO!$AF$11)),"")</f>
        <v/>
      </c>
      <c r="Y318" s="384">
        <f t="shared" ca="1" si="28"/>
        <v>0</v>
      </c>
      <c r="Z318" s="572"/>
      <c r="AB318" s="382"/>
      <c r="AC318" s="516"/>
      <c r="AD318" s="516"/>
      <c r="AE318" s="516"/>
      <c r="AF318" s="516"/>
      <c r="AG318" s="516"/>
      <c r="AH318" s="516"/>
      <c r="AI318" s="516"/>
      <c r="AJ318" s="516"/>
      <c r="AK318" s="516"/>
      <c r="AL318" s="516"/>
      <c r="AM318" s="383"/>
      <c r="AO318">
        <f ca="1">IF($A318="S",IF(BM!$I318=0,0,CHOOSE(MATCH(RegimeExecucao,{"Global","Unitário"},0),ROUND(ROUND(BM.MEDAcumulado,15-13*BM!$A$9)/100*BM!$I318,15-13*ORÇAMENTO!$AF$11),ROUND(ROUND(BM.MEDAcumulado,15-13*BM!$A$9)*ROUND(BM!$H318,15-13*ORÇAMENTO!$AF$10),15-13*ORÇAMENTO!$AF$11))),IF($A318=0,0,ROUND(SomaAgrupBM,15-13*ORÇAMENTO!$AF$11)))</f>
        <v>0</v>
      </c>
    </row>
    <row r="319" spans="1:41" x14ac:dyDescent="0.2">
      <c r="A319">
        <f ca="1">ORÇAMENTO!C319</f>
        <v>2</v>
      </c>
      <c r="B319">
        <f ca="1">ORÇAMENTO!D319</f>
        <v>30</v>
      </c>
      <c r="C319" s="116" t="str">
        <f t="shared" ca="1" si="22"/>
        <v>F</v>
      </c>
      <c r="D319" s="119" t="str">
        <f ca="1">ORÇAMENTO!O319</f>
        <v>1.40.</v>
      </c>
      <c r="E319" s="172" t="str">
        <f t="shared" si="23"/>
        <v>INSTALAÇÃO SANITÁRIA - TUBULAÇÕES E CONEXÕES</v>
      </c>
      <c r="F319" s="173" t="str">
        <f ca="1">IF(RegimeExecucao="Global","",ORÇAMENTO.Unidade)</f>
        <v/>
      </c>
      <c r="G319" s="124" t="str">
        <f ca="1">IF(RegimeExecucao="Global","",ORÇAMENTO!T319)</f>
        <v/>
      </c>
      <c r="H319" s="124" t="str">
        <f ca="1">IF(RegimeExecucao="Global","",ORÇAMENTO!W319)</f>
        <v/>
      </c>
      <c r="I319" s="127">
        <f ca="1">ORÇAMENTO!X319</f>
        <v>0</v>
      </c>
      <c r="J319" s="378">
        <f ca="1">IF($A319="S",IF(CAIXA.Modo,BM.AFAnterior,BM.MEDAnterior),IF(AND(RegimeExecucao="Global",$I319&gt;0,COUNTIF($AB$13:$AM$13,BM.medicao-1)&gt;0),M319/$I319*100,0))</f>
        <v>0</v>
      </c>
      <c r="K319" s="124">
        <f t="shared" ca="1" si="24"/>
        <v>0</v>
      </c>
      <c r="L319" s="379">
        <f ca="1">IF($A319="S",IF(CAIXA.Modo,BM.AFAcumulado,BM.MEDAcumulado),IF(AND(RegimeExecucao="Global",$I319&gt;0,COUNTIF($AB$13:$AM$13,BM.medicao)&gt;0),O319/$I319*100,0))</f>
        <v>0</v>
      </c>
      <c r="M319" s="380">
        <f ca="1">IF($A319="S",VTOTALBM,IF($A319=0,0,ROUND(SomaAgrupBM,15-13*ORÇAMENTO!$AF$11)))</f>
        <v>0</v>
      </c>
      <c r="N319" s="381">
        <f t="shared" ca="1" si="25"/>
        <v>0</v>
      </c>
      <c r="O319" s="127">
        <f ca="1">IF($A319="S",VTOTALBM,IF($A319=0,0,ROUND(SomaAgrupBM,15-13*ORÇAMENTO!$AF$11)))</f>
        <v>0</v>
      </c>
      <c r="Q319" s="382"/>
      <c r="R319" s="383"/>
      <c r="T319" s="119" t="str">
        <f t="shared" ca="1" si="26"/>
        <v/>
      </c>
      <c r="U319" s="172" t="str">
        <f t="shared" ca="1" si="27"/>
        <v/>
      </c>
      <c r="V319" s="173" t="str">
        <f ca="1">IF(AND($W319&gt;0,RegimeExecucao="Unitário"),$F319,"")</f>
        <v/>
      </c>
      <c r="W319" s="547">
        <f ca="1">IF($Y319&gt;0,CHOOSE(MATCH(RegimeExecucao,{"Unitário","Global"},0),IF($A319="S",$Y319/$X319,""),($Y319/$X319)*100),0)</f>
        <v>0</v>
      </c>
      <c r="X319" s="384" t="str">
        <f ca="1">IF($Y319&gt;0,CHOOSE(MATCH(RegimeExecucao,{"Unitário","Global"},0),IF($A319="S",ROUND($H319,ORÇAMENTO!$AF$10),""),ROUND($I319,ORÇAMENTO!$AF$11)),"")</f>
        <v/>
      </c>
      <c r="Y319" s="384">
        <f t="shared" ca="1" si="28"/>
        <v>0</v>
      </c>
      <c r="Z319" s="572"/>
      <c r="AB319" s="382"/>
      <c r="AC319" s="516"/>
      <c r="AD319" s="516"/>
      <c r="AE319" s="516"/>
      <c r="AF319" s="516"/>
      <c r="AG319" s="516"/>
      <c r="AH319" s="516"/>
      <c r="AI319" s="516"/>
      <c r="AJ319" s="516"/>
      <c r="AK319" s="516"/>
      <c r="AL319" s="516"/>
      <c r="AM319" s="383"/>
      <c r="AO319">
        <f ca="1">IF($A319="S",IF(BM!$I319=0,0,CHOOSE(MATCH(RegimeExecucao,{"Global","Unitário"},0),ROUND(ROUND(BM.MEDAcumulado,15-13*BM!$A$9)/100*BM!$I319,15-13*ORÇAMENTO!$AF$11),ROUND(ROUND(BM.MEDAcumulado,15-13*BM!$A$9)*ROUND(BM!$H319,15-13*ORÇAMENTO!$AF$10),15-13*ORÇAMENTO!$AF$11))),IF($A319=0,0,ROUND(SomaAgrupBM,15-13*ORÇAMENTO!$AF$11)))</f>
        <v>0</v>
      </c>
    </row>
    <row r="320" spans="1:41" ht="38.25" x14ac:dyDescent="0.2">
      <c r="A320" t="str">
        <f ca="1">ORÇAMENTO!C320</f>
        <v>S</v>
      </c>
      <c r="B320">
        <f ca="1">ORÇAMENTO!D320</f>
        <v>0</v>
      </c>
      <c r="C320" s="116" t="str">
        <f t="shared" ca="1" si="22"/>
        <v/>
      </c>
      <c r="D320" s="119" t="str">
        <f ca="1">ORÇAMENTO!O320</f>
        <v>-</v>
      </c>
      <c r="E320" s="172" t="str">
        <f t="shared" ca="1" si="23"/>
        <v>(abra o arquivo 'Referência 06-2024.xlsm)</v>
      </c>
      <c r="F320" s="173" t="str">
        <f ca="1">IF(RegimeExecucao="Global","",ORÇAMENTO.Unidade)</f>
        <v/>
      </c>
      <c r="G320" s="124" t="str">
        <f ca="1">IF(RegimeExecucao="Global","",ORÇAMENTO!T320)</f>
        <v/>
      </c>
      <c r="H320" s="124" t="str">
        <f ca="1">IF(RegimeExecucao="Global","",ORÇAMENTO!W320)</f>
        <v/>
      </c>
      <c r="I320" s="127">
        <f ca="1">ORÇAMENTO!X320</f>
        <v>0</v>
      </c>
      <c r="J320" s="378">
        <f ca="1">IF($A320="S",IF(CAIXA.Modo,BM.AFAnterior,BM.MEDAnterior),IF(AND(RegimeExecucao="Global",$I320&gt;0,COUNTIF($AB$13:$AM$13,BM.medicao-1)&gt;0),M320/$I320*100,0))</f>
        <v>0</v>
      </c>
      <c r="K320" s="124">
        <f t="shared" ca="1" si="24"/>
        <v>0</v>
      </c>
      <c r="L320" s="379">
        <f ca="1">IF($A320="S",IF(CAIXA.Modo,BM.AFAcumulado,BM.MEDAcumulado),IF(AND(RegimeExecucao="Global",$I320&gt;0,COUNTIF($AB$13:$AM$13,BM.medicao)&gt;0),O320/$I320*100,0))</f>
        <v>0</v>
      </c>
      <c r="M320" s="380">
        <f ca="1">IF($A320="S",VTOTALBM,IF($A320=0,0,ROUND(SomaAgrupBM,15-13*ORÇAMENTO!$AF$11)))</f>
        <v>0</v>
      </c>
      <c r="N320" s="381">
        <f t="shared" ca="1" si="25"/>
        <v>0</v>
      </c>
      <c r="O320" s="127">
        <f ca="1">IF($A320="S",VTOTALBM,IF($A320=0,0,ROUND(SomaAgrupBM,15-13*ORÇAMENTO!$AF$11)))</f>
        <v>0</v>
      </c>
      <c r="Q320" s="382"/>
      <c r="R320" s="383"/>
      <c r="T320" s="119" t="str">
        <f t="shared" ca="1" si="26"/>
        <v/>
      </c>
      <c r="U320" s="172" t="str">
        <f t="shared" ca="1" si="27"/>
        <v/>
      </c>
      <c r="V320" s="173" t="str">
        <f ca="1">IF(AND($W320&gt;0,RegimeExecucao="Unitário"),$F320,"")</f>
        <v/>
      </c>
      <c r="W320" s="547">
        <f ca="1">IF($Y320&gt;0,CHOOSE(MATCH(RegimeExecucao,{"Unitário","Global"},0),IF($A320="S",$Y320/$X320,""),($Y320/$X320)*100),0)</f>
        <v>0</v>
      </c>
      <c r="X320" s="384" t="str">
        <f ca="1">IF($Y320&gt;0,CHOOSE(MATCH(RegimeExecucao,{"Unitário","Global"},0),IF($A320="S",ROUND($H320,ORÇAMENTO!$AF$10),""),ROUND($I320,ORÇAMENTO!$AF$11)),"")</f>
        <v/>
      </c>
      <c r="Y320" s="384">
        <f t="shared" ca="1" si="28"/>
        <v>0</v>
      </c>
      <c r="Z320" s="572"/>
      <c r="AB320" s="382"/>
      <c r="AC320" s="516"/>
      <c r="AD320" s="516"/>
      <c r="AE320" s="516"/>
      <c r="AF320" s="516"/>
      <c r="AG320" s="516"/>
      <c r="AH320" s="516"/>
      <c r="AI320" s="516"/>
      <c r="AJ320" s="516"/>
      <c r="AK320" s="516"/>
      <c r="AL320" s="516"/>
      <c r="AM320" s="383"/>
      <c r="AO320">
        <f ca="1">IF($A320="S",IF(BM!$I320=0,0,CHOOSE(MATCH(RegimeExecucao,{"Global","Unitário"},0),ROUND(ROUND(BM.MEDAcumulado,15-13*BM!$A$9)/100*BM!$I320,15-13*ORÇAMENTO!$AF$11),ROUND(ROUND(BM.MEDAcumulado,15-13*BM!$A$9)*ROUND(BM!$H320,15-13*ORÇAMENTO!$AF$10),15-13*ORÇAMENTO!$AF$11))),IF($A320=0,0,ROUND(SomaAgrupBM,15-13*ORÇAMENTO!$AF$11)))</f>
        <v>0</v>
      </c>
    </row>
    <row r="321" spans="1:41" ht="38.25" x14ac:dyDescent="0.2">
      <c r="A321" t="str">
        <f ca="1">ORÇAMENTO!C321</f>
        <v>S</v>
      </c>
      <c r="B321">
        <f ca="1">ORÇAMENTO!D321</f>
        <v>0</v>
      </c>
      <c r="C321" s="116" t="str">
        <f t="shared" ca="1" si="22"/>
        <v/>
      </c>
      <c r="D321" s="119" t="str">
        <f ca="1">ORÇAMENTO!O321</f>
        <v>-</v>
      </c>
      <c r="E321" s="172" t="str">
        <f t="shared" ca="1" si="23"/>
        <v>(abra o arquivo 'Referência 06-2024.xlsm)</v>
      </c>
      <c r="F321" s="173" t="str">
        <f ca="1">IF(RegimeExecucao="Global","",ORÇAMENTO.Unidade)</f>
        <v/>
      </c>
      <c r="G321" s="124" t="str">
        <f ca="1">IF(RegimeExecucao="Global","",ORÇAMENTO!T321)</f>
        <v/>
      </c>
      <c r="H321" s="124" t="str">
        <f ca="1">IF(RegimeExecucao="Global","",ORÇAMENTO!W321)</f>
        <v/>
      </c>
      <c r="I321" s="127">
        <f ca="1">ORÇAMENTO!X321</f>
        <v>0</v>
      </c>
      <c r="J321" s="378">
        <f ca="1">IF($A321="S",IF(CAIXA.Modo,BM.AFAnterior,BM.MEDAnterior),IF(AND(RegimeExecucao="Global",$I321&gt;0,COUNTIF($AB$13:$AM$13,BM.medicao-1)&gt;0),M321/$I321*100,0))</f>
        <v>0</v>
      </c>
      <c r="K321" s="124">
        <f t="shared" ca="1" si="24"/>
        <v>0</v>
      </c>
      <c r="L321" s="379">
        <f ca="1">IF($A321="S",IF(CAIXA.Modo,BM.AFAcumulado,BM.MEDAcumulado),IF(AND(RegimeExecucao="Global",$I321&gt;0,COUNTIF($AB$13:$AM$13,BM.medicao)&gt;0),O321/$I321*100,0))</f>
        <v>0</v>
      </c>
      <c r="M321" s="380">
        <f ca="1">IF($A321="S",VTOTALBM,IF($A321=0,0,ROUND(SomaAgrupBM,15-13*ORÇAMENTO!$AF$11)))</f>
        <v>0</v>
      </c>
      <c r="N321" s="381">
        <f t="shared" ca="1" si="25"/>
        <v>0</v>
      </c>
      <c r="O321" s="127">
        <f ca="1">IF($A321="S",VTOTALBM,IF($A321=0,0,ROUND(SomaAgrupBM,15-13*ORÇAMENTO!$AF$11)))</f>
        <v>0</v>
      </c>
      <c r="Q321" s="382"/>
      <c r="R321" s="383"/>
      <c r="T321" s="119" t="str">
        <f t="shared" ca="1" si="26"/>
        <v/>
      </c>
      <c r="U321" s="172" t="str">
        <f t="shared" ca="1" si="27"/>
        <v/>
      </c>
      <c r="V321" s="173" t="str">
        <f ca="1">IF(AND($W321&gt;0,RegimeExecucao="Unitário"),$F321,"")</f>
        <v/>
      </c>
      <c r="W321" s="547">
        <f ca="1">IF($Y321&gt;0,CHOOSE(MATCH(RegimeExecucao,{"Unitário","Global"},0),IF($A321="S",$Y321/$X321,""),($Y321/$X321)*100),0)</f>
        <v>0</v>
      </c>
      <c r="X321" s="384" t="str">
        <f ca="1">IF($Y321&gt;0,CHOOSE(MATCH(RegimeExecucao,{"Unitário","Global"},0),IF($A321="S",ROUND($H321,ORÇAMENTO!$AF$10),""),ROUND($I321,ORÇAMENTO!$AF$11)),"")</f>
        <v/>
      </c>
      <c r="Y321" s="384">
        <f t="shared" ca="1" si="28"/>
        <v>0</v>
      </c>
      <c r="Z321" s="572"/>
      <c r="AB321" s="382"/>
      <c r="AC321" s="516"/>
      <c r="AD321" s="516"/>
      <c r="AE321" s="516"/>
      <c r="AF321" s="516"/>
      <c r="AG321" s="516"/>
      <c r="AH321" s="516"/>
      <c r="AI321" s="516"/>
      <c r="AJ321" s="516"/>
      <c r="AK321" s="516"/>
      <c r="AL321" s="516"/>
      <c r="AM321" s="383"/>
      <c r="AO321">
        <f ca="1">IF($A321="S",IF(BM!$I321=0,0,CHOOSE(MATCH(RegimeExecucao,{"Global","Unitário"},0),ROUND(ROUND(BM.MEDAcumulado,15-13*BM!$A$9)/100*BM!$I321,15-13*ORÇAMENTO!$AF$11),ROUND(ROUND(BM.MEDAcumulado,15-13*BM!$A$9)*ROUND(BM!$H321,15-13*ORÇAMENTO!$AF$10),15-13*ORÇAMENTO!$AF$11))),IF($A321=0,0,ROUND(SomaAgrupBM,15-13*ORÇAMENTO!$AF$11)))</f>
        <v>0</v>
      </c>
    </row>
    <row r="322" spans="1:41" ht="38.25" x14ac:dyDescent="0.2">
      <c r="A322" t="str">
        <f ca="1">ORÇAMENTO!C322</f>
        <v>S</v>
      </c>
      <c r="B322">
        <f ca="1">ORÇAMENTO!D322</f>
        <v>0</v>
      </c>
      <c r="C322" s="116" t="str">
        <f t="shared" ca="1" si="22"/>
        <v/>
      </c>
      <c r="D322" s="119" t="str">
        <f ca="1">ORÇAMENTO!O322</f>
        <v>-</v>
      </c>
      <c r="E322" s="172" t="str">
        <f t="shared" ca="1" si="23"/>
        <v>(abra o arquivo 'Referência 06-2024.xlsm)</v>
      </c>
      <c r="F322" s="173" t="str">
        <f ca="1">IF(RegimeExecucao="Global","",ORÇAMENTO.Unidade)</f>
        <v/>
      </c>
      <c r="G322" s="124" t="str">
        <f ca="1">IF(RegimeExecucao="Global","",ORÇAMENTO!T322)</f>
        <v/>
      </c>
      <c r="H322" s="124" t="str">
        <f ca="1">IF(RegimeExecucao="Global","",ORÇAMENTO!W322)</f>
        <v/>
      </c>
      <c r="I322" s="127">
        <f ca="1">ORÇAMENTO!X322</f>
        <v>0</v>
      </c>
      <c r="J322" s="378">
        <f ca="1">IF($A322="S",IF(CAIXA.Modo,BM.AFAnterior,BM.MEDAnterior),IF(AND(RegimeExecucao="Global",$I322&gt;0,COUNTIF($AB$13:$AM$13,BM.medicao-1)&gt;0),M322/$I322*100,0))</f>
        <v>0</v>
      </c>
      <c r="K322" s="124">
        <f t="shared" ca="1" si="24"/>
        <v>0</v>
      </c>
      <c r="L322" s="379">
        <f ca="1">IF($A322="S",IF(CAIXA.Modo,BM.AFAcumulado,BM.MEDAcumulado),IF(AND(RegimeExecucao="Global",$I322&gt;0,COUNTIF($AB$13:$AM$13,BM.medicao)&gt;0),O322/$I322*100,0))</f>
        <v>0</v>
      </c>
      <c r="M322" s="380">
        <f ca="1">IF($A322="S",VTOTALBM,IF($A322=0,0,ROUND(SomaAgrupBM,15-13*ORÇAMENTO!$AF$11)))</f>
        <v>0</v>
      </c>
      <c r="N322" s="381">
        <f t="shared" ca="1" si="25"/>
        <v>0</v>
      </c>
      <c r="O322" s="127">
        <f ca="1">IF($A322="S",VTOTALBM,IF($A322=0,0,ROUND(SomaAgrupBM,15-13*ORÇAMENTO!$AF$11)))</f>
        <v>0</v>
      </c>
      <c r="Q322" s="382"/>
      <c r="R322" s="383"/>
      <c r="T322" s="119" t="str">
        <f t="shared" ca="1" si="26"/>
        <v/>
      </c>
      <c r="U322" s="172" t="str">
        <f t="shared" ca="1" si="27"/>
        <v/>
      </c>
      <c r="V322" s="173" t="str">
        <f ca="1">IF(AND($W322&gt;0,RegimeExecucao="Unitário"),$F322,"")</f>
        <v/>
      </c>
      <c r="W322" s="547">
        <f ca="1">IF($Y322&gt;0,CHOOSE(MATCH(RegimeExecucao,{"Unitário","Global"},0),IF($A322="S",$Y322/$X322,""),($Y322/$X322)*100),0)</f>
        <v>0</v>
      </c>
      <c r="X322" s="384" t="str">
        <f ca="1">IF($Y322&gt;0,CHOOSE(MATCH(RegimeExecucao,{"Unitário","Global"},0),IF($A322="S",ROUND($H322,ORÇAMENTO!$AF$10),""),ROUND($I322,ORÇAMENTO!$AF$11)),"")</f>
        <v/>
      </c>
      <c r="Y322" s="384">
        <f t="shared" ca="1" si="28"/>
        <v>0</v>
      </c>
      <c r="Z322" s="572"/>
      <c r="AB322" s="382"/>
      <c r="AC322" s="516"/>
      <c r="AD322" s="516"/>
      <c r="AE322" s="516"/>
      <c r="AF322" s="516"/>
      <c r="AG322" s="516"/>
      <c r="AH322" s="516"/>
      <c r="AI322" s="516"/>
      <c r="AJ322" s="516"/>
      <c r="AK322" s="516"/>
      <c r="AL322" s="516"/>
      <c r="AM322" s="383"/>
      <c r="AO322">
        <f ca="1">IF($A322="S",IF(BM!$I322=0,0,CHOOSE(MATCH(RegimeExecucao,{"Global","Unitário"},0),ROUND(ROUND(BM.MEDAcumulado,15-13*BM!$A$9)/100*BM!$I322,15-13*ORÇAMENTO!$AF$11),ROUND(ROUND(BM.MEDAcumulado,15-13*BM!$A$9)*ROUND(BM!$H322,15-13*ORÇAMENTO!$AF$10),15-13*ORÇAMENTO!$AF$11))),IF($A322=0,0,ROUND(SomaAgrupBM,15-13*ORÇAMENTO!$AF$11)))</f>
        <v>0</v>
      </c>
    </row>
    <row r="323" spans="1:41" ht="38.25" x14ac:dyDescent="0.2">
      <c r="A323" t="str">
        <f ca="1">ORÇAMENTO!C323</f>
        <v>S</v>
      </c>
      <c r="B323">
        <f ca="1">ORÇAMENTO!D323</f>
        <v>0</v>
      </c>
      <c r="C323" s="116" t="str">
        <f t="shared" ca="1" si="22"/>
        <v/>
      </c>
      <c r="D323" s="119" t="str">
        <f ca="1">ORÇAMENTO!O323</f>
        <v>-</v>
      </c>
      <c r="E323" s="172" t="str">
        <f t="shared" ca="1" si="23"/>
        <v>(abra o arquivo 'Referência 06-2024.xlsm)</v>
      </c>
      <c r="F323" s="173" t="str">
        <f ca="1">IF(RegimeExecucao="Global","",ORÇAMENTO.Unidade)</f>
        <v/>
      </c>
      <c r="G323" s="124" t="str">
        <f ca="1">IF(RegimeExecucao="Global","",ORÇAMENTO!T323)</f>
        <v/>
      </c>
      <c r="H323" s="124" t="str">
        <f ca="1">IF(RegimeExecucao="Global","",ORÇAMENTO!W323)</f>
        <v/>
      </c>
      <c r="I323" s="127">
        <f ca="1">ORÇAMENTO!X323</f>
        <v>0</v>
      </c>
      <c r="J323" s="378">
        <f ca="1">IF($A323="S",IF(CAIXA.Modo,BM.AFAnterior,BM.MEDAnterior),IF(AND(RegimeExecucao="Global",$I323&gt;0,COUNTIF($AB$13:$AM$13,BM.medicao-1)&gt;0),M323/$I323*100,0))</f>
        <v>0</v>
      </c>
      <c r="K323" s="124">
        <f t="shared" ca="1" si="24"/>
        <v>0</v>
      </c>
      <c r="L323" s="379">
        <f ca="1">IF($A323="S",IF(CAIXA.Modo,BM.AFAcumulado,BM.MEDAcumulado),IF(AND(RegimeExecucao="Global",$I323&gt;0,COUNTIF($AB$13:$AM$13,BM.medicao)&gt;0),O323/$I323*100,0))</f>
        <v>0</v>
      </c>
      <c r="M323" s="380">
        <f ca="1">IF($A323="S",VTOTALBM,IF($A323=0,0,ROUND(SomaAgrupBM,15-13*ORÇAMENTO!$AF$11)))</f>
        <v>0</v>
      </c>
      <c r="N323" s="381">
        <f t="shared" ca="1" si="25"/>
        <v>0</v>
      </c>
      <c r="O323" s="127">
        <f ca="1">IF($A323="S",VTOTALBM,IF($A323=0,0,ROUND(SomaAgrupBM,15-13*ORÇAMENTO!$AF$11)))</f>
        <v>0</v>
      </c>
      <c r="Q323" s="382"/>
      <c r="R323" s="383"/>
      <c r="T323" s="119" t="str">
        <f t="shared" ca="1" si="26"/>
        <v/>
      </c>
      <c r="U323" s="172" t="str">
        <f t="shared" ca="1" si="27"/>
        <v/>
      </c>
      <c r="V323" s="173" t="str">
        <f ca="1">IF(AND($W323&gt;0,RegimeExecucao="Unitário"),$F323,"")</f>
        <v/>
      </c>
      <c r="W323" s="547">
        <f ca="1">IF($Y323&gt;0,CHOOSE(MATCH(RegimeExecucao,{"Unitário","Global"},0),IF($A323="S",$Y323/$X323,""),($Y323/$X323)*100),0)</f>
        <v>0</v>
      </c>
      <c r="X323" s="384" t="str">
        <f ca="1">IF($Y323&gt;0,CHOOSE(MATCH(RegimeExecucao,{"Unitário","Global"},0),IF($A323="S",ROUND($H323,ORÇAMENTO!$AF$10),""),ROUND($I323,ORÇAMENTO!$AF$11)),"")</f>
        <v/>
      </c>
      <c r="Y323" s="384">
        <f t="shared" ca="1" si="28"/>
        <v>0</v>
      </c>
      <c r="Z323" s="572"/>
      <c r="AB323" s="382"/>
      <c r="AC323" s="516"/>
      <c r="AD323" s="516"/>
      <c r="AE323" s="516"/>
      <c r="AF323" s="516"/>
      <c r="AG323" s="516"/>
      <c r="AH323" s="516"/>
      <c r="AI323" s="516"/>
      <c r="AJ323" s="516"/>
      <c r="AK323" s="516"/>
      <c r="AL323" s="516"/>
      <c r="AM323" s="383"/>
      <c r="AO323">
        <f ca="1">IF($A323="S",IF(BM!$I323=0,0,CHOOSE(MATCH(RegimeExecucao,{"Global","Unitário"},0),ROUND(ROUND(BM.MEDAcumulado,15-13*BM!$A$9)/100*BM!$I323,15-13*ORÇAMENTO!$AF$11),ROUND(ROUND(BM.MEDAcumulado,15-13*BM!$A$9)*ROUND(BM!$H323,15-13*ORÇAMENTO!$AF$10),15-13*ORÇAMENTO!$AF$11))),IF($A323=0,0,ROUND(SomaAgrupBM,15-13*ORÇAMENTO!$AF$11)))</f>
        <v>0</v>
      </c>
    </row>
    <row r="324" spans="1:41" ht="38.25" x14ac:dyDescent="0.2">
      <c r="A324" t="str">
        <f ca="1">ORÇAMENTO!C324</f>
        <v>S</v>
      </c>
      <c r="B324">
        <f ca="1">ORÇAMENTO!D324</f>
        <v>0</v>
      </c>
      <c r="C324" s="116" t="str">
        <f t="shared" ca="1" si="22"/>
        <v/>
      </c>
      <c r="D324" s="119" t="str">
        <f ca="1">ORÇAMENTO!O324</f>
        <v>-</v>
      </c>
      <c r="E324" s="172" t="str">
        <f t="shared" ca="1" si="23"/>
        <v>(abra o arquivo 'Referência 06-2024.xlsm)</v>
      </c>
      <c r="F324" s="173" t="str">
        <f ca="1">IF(RegimeExecucao="Global","",ORÇAMENTO.Unidade)</f>
        <v/>
      </c>
      <c r="G324" s="124" t="str">
        <f ca="1">IF(RegimeExecucao="Global","",ORÇAMENTO!T324)</f>
        <v/>
      </c>
      <c r="H324" s="124" t="str">
        <f ca="1">IF(RegimeExecucao="Global","",ORÇAMENTO!W324)</f>
        <v/>
      </c>
      <c r="I324" s="127">
        <f ca="1">ORÇAMENTO!X324</f>
        <v>0</v>
      </c>
      <c r="J324" s="378">
        <f ca="1">IF($A324="S",IF(CAIXA.Modo,BM.AFAnterior,BM.MEDAnterior),IF(AND(RegimeExecucao="Global",$I324&gt;0,COUNTIF($AB$13:$AM$13,BM.medicao-1)&gt;0),M324/$I324*100,0))</f>
        <v>0</v>
      </c>
      <c r="K324" s="124">
        <f t="shared" ca="1" si="24"/>
        <v>0</v>
      </c>
      <c r="L324" s="379">
        <f ca="1">IF($A324="S",IF(CAIXA.Modo,BM.AFAcumulado,BM.MEDAcumulado),IF(AND(RegimeExecucao="Global",$I324&gt;0,COUNTIF($AB$13:$AM$13,BM.medicao)&gt;0),O324/$I324*100,0))</f>
        <v>0</v>
      </c>
      <c r="M324" s="380">
        <f ca="1">IF($A324="S",VTOTALBM,IF($A324=0,0,ROUND(SomaAgrupBM,15-13*ORÇAMENTO!$AF$11)))</f>
        <v>0</v>
      </c>
      <c r="N324" s="381">
        <f t="shared" ca="1" si="25"/>
        <v>0</v>
      </c>
      <c r="O324" s="127">
        <f ca="1">IF($A324="S",VTOTALBM,IF($A324=0,0,ROUND(SomaAgrupBM,15-13*ORÇAMENTO!$AF$11)))</f>
        <v>0</v>
      </c>
      <c r="Q324" s="382"/>
      <c r="R324" s="383"/>
      <c r="T324" s="119" t="str">
        <f t="shared" ca="1" si="26"/>
        <v/>
      </c>
      <c r="U324" s="172" t="str">
        <f t="shared" ca="1" si="27"/>
        <v/>
      </c>
      <c r="V324" s="173" t="str">
        <f ca="1">IF(AND($W324&gt;0,RegimeExecucao="Unitário"),$F324,"")</f>
        <v/>
      </c>
      <c r="W324" s="547">
        <f ca="1">IF($Y324&gt;0,CHOOSE(MATCH(RegimeExecucao,{"Unitário","Global"},0),IF($A324="S",$Y324/$X324,""),($Y324/$X324)*100),0)</f>
        <v>0</v>
      </c>
      <c r="X324" s="384" t="str">
        <f ca="1">IF($Y324&gt;0,CHOOSE(MATCH(RegimeExecucao,{"Unitário","Global"},0),IF($A324="S",ROUND($H324,ORÇAMENTO!$AF$10),""),ROUND($I324,ORÇAMENTO!$AF$11)),"")</f>
        <v/>
      </c>
      <c r="Y324" s="384">
        <f t="shared" ca="1" si="28"/>
        <v>0</v>
      </c>
      <c r="Z324" s="572"/>
      <c r="AB324" s="382"/>
      <c r="AC324" s="516"/>
      <c r="AD324" s="516"/>
      <c r="AE324" s="516"/>
      <c r="AF324" s="516"/>
      <c r="AG324" s="516"/>
      <c r="AH324" s="516"/>
      <c r="AI324" s="516"/>
      <c r="AJ324" s="516"/>
      <c r="AK324" s="516"/>
      <c r="AL324" s="516"/>
      <c r="AM324" s="383"/>
      <c r="AO324">
        <f ca="1">IF($A324="S",IF(BM!$I324=0,0,CHOOSE(MATCH(RegimeExecucao,{"Global","Unitário"},0),ROUND(ROUND(BM.MEDAcumulado,15-13*BM!$A$9)/100*BM!$I324,15-13*ORÇAMENTO!$AF$11),ROUND(ROUND(BM.MEDAcumulado,15-13*BM!$A$9)*ROUND(BM!$H324,15-13*ORÇAMENTO!$AF$10),15-13*ORÇAMENTO!$AF$11))),IF($A324=0,0,ROUND(SomaAgrupBM,15-13*ORÇAMENTO!$AF$11)))</f>
        <v>0</v>
      </c>
    </row>
    <row r="325" spans="1:41" ht="38.25" x14ac:dyDescent="0.2">
      <c r="A325" t="str">
        <f ca="1">ORÇAMENTO!C325</f>
        <v>S</v>
      </c>
      <c r="B325">
        <f ca="1">ORÇAMENTO!D325</f>
        <v>0</v>
      </c>
      <c r="C325" s="116" t="str">
        <f t="shared" ca="1" si="22"/>
        <v/>
      </c>
      <c r="D325" s="119" t="str">
        <f ca="1">ORÇAMENTO!O325</f>
        <v>-</v>
      </c>
      <c r="E325" s="172" t="str">
        <f t="shared" ca="1" si="23"/>
        <v>(abra o arquivo 'Referência 06-2024.xlsm)</v>
      </c>
      <c r="F325" s="173" t="str">
        <f ca="1">IF(RegimeExecucao="Global","",ORÇAMENTO.Unidade)</f>
        <v/>
      </c>
      <c r="G325" s="124" t="str">
        <f ca="1">IF(RegimeExecucao="Global","",ORÇAMENTO!T325)</f>
        <v/>
      </c>
      <c r="H325" s="124" t="str">
        <f ca="1">IF(RegimeExecucao="Global","",ORÇAMENTO!W325)</f>
        <v/>
      </c>
      <c r="I325" s="127">
        <f ca="1">ORÇAMENTO!X325</f>
        <v>0</v>
      </c>
      <c r="J325" s="378">
        <f ca="1">IF($A325="S",IF(CAIXA.Modo,BM.AFAnterior,BM.MEDAnterior),IF(AND(RegimeExecucao="Global",$I325&gt;0,COUNTIF($AB$13:$AM$13,BM.medicao-1)&gt;0),M325/$I325*100,0))</f>
        <v>0</v>
      </c>
      <c r="K325" s="124">
        <f t="shared" ca="1" si="24"/>
        <v>0</v>
      </c>
      <c r="L325" s="379">
        <f ca="1">IF($A325="S",IF(CAIXA.Modo,BM.AFAcumulado,BM.MEDAcumulado),IF(AND(RegimeExecucao="Global",$I325&gt;0,COUNTIF($AB$13:$AM$13,BM.medicao)&gt;0),O325/$I325*100,0))</f>
        <v>0</v>
      </c>
      <c r="M325" s="380">
        <f ca="1">IF($A325="S",VTOTALBM,IF($A325=0,0,ROUND(SomaAgrupBM,15-13*ORÇAMENTO!$AF$11)))</f>
        <v>0</v>
      </c>
      <c r="N325" s="381">
        <f t="shared" ca="1" si="25"/>
        <v>0</v>
      </c>
      <c r="O325" s="127">
        <f ca="1">IF($A325="S",VTOTALBM,IF($A325=0,0,ROUND(SomaAgrupBM,15-13*ORÇAMENTO!$AF$11)))</f>
        <v>0</v>
      </c>
      <c r="Q325" s="382"/>
      <c r="R325" s="383"/>
      <c r="T325" s="119" t="str">
        <f t="shared" ca="1" si="26"/>
        <v/>
      </c>
      <c r="U325" s="172" t="str">
        <f t="shared" ca="1" si="27"/>
        <v/>
      </c>
      <c r="V325" s="173" t="str">
        <f ca="1">IF(AND($W325&gt;0,RegimeExecucao="Unitário"),$F325,"")</f>
        <v/>
      </c>
      <c r="W325" s="547">
        <f ca="1">IF($Y325&gt;0,CHOOSE(MATCH(RegimeExecucao,{"Unitário","Global"},0),IF($A325="S",$Y325/$X325,""),($Y325/$X325)*100),0)</f>
        <v>0</v>
      </c>
      <c r="X325" s="384" t="str">
        <f ca="1">IF($Y325&gt;0,CHOOSE(MATCH(RegimeExecucao,{"Unitário","Global"},0),IF($A325="S",ROUND($H325,ORÇAMENTO!$AF$10),""),ROUND($I325,ORÇAMENTO!$AF$11)),"")</f>
        <v/>
      </c>
      <c r="Y325" s="384">
        <f t="shared" ca="1" si="28"/>
        <v>0</v>
      </c>
      <c r="Z325" s="572"/>
      <c r="AB325" s="382"/>
      <c r="AC325" s="516"/>
      <c r="AD325" s="516"/>
      <c r="AE325" s="516"/>
      <c r="AF325" s="516"/>
      <c r="AG325" s="516"/>
      <c r="AH325" s="516"/>
      <c r="AI325" s="516"/>
      <c r="AJ325" s="516"/>
      <c r="AK325" s="516"/>
      <c r="AL325" s="516"/>
      <c r="AM325" s="383"/>
      <c r="AO325">
        <f ca="1">IF($A325="S",IF(BM!$I325=0,0,CHOOSE(MATCH(RegimeExecucao,{"Global","Unitário"},0),ROUND(ROUND(BM.MEDAcumulado,15-13*BM!$A$9)/100*BM!$I325,15-13*ORÇAMENTO!$AF$11),ROUND(ROUND(BM.MEDAcumulado,15-13*BM!$A$9)*ROUND(BM!$H325,15-13*ORÇAMENTO!$AF$10),15-13*ORÇAMENTO!$AF$11))),IF($A325=0,0,ROUND(SomaAgrupBM,15-13*ORÇAMENTO!$AF$11)))</f>
        <v>0</v>
      </c>
    </row>
    <row r="326" spans="1:41" ht="38.25" x14ac:dyDescent="0.2">
      <c r="A326" t="str">
        <f ca="1">ORÇAMENTO!C326</f>
        <v>S</v>
      </c>
      <c r="B326">
        <f ca="1">ORÇAMENTO!D326</f>
        <v>0</v>
      </c>
      <c r="C326" s="116" t="str">
        <f t="shared" ca="1" si="22"/>
        <v/>
      </c>
      <c r="D326" s="119" t="str">
        <f ca="1">ORÇAMENTO!O326</f>
        <v>-</v>
      </c>
      <c r="E326" s="172" t="str">
        <f t="shared" ca="1" si="23"/>
        <v>(abra o arquivo 'Referência 06-2024.xlsm)</v>
      </c>
      <c r="F326" s="173" t="str">
        <f ca="1">IF(RegimeExecucao="Global","",ORÇAMENTO.Unidade)</f>
        <v/>
      </c>
      <c r="G326" s="124" t="str">
        <f ca="1">IF(RegimeExecucao="Global","",ORÇAMENTO!T326)</f>
        <v/>
      </c>
      <c r="H326" s="124" t="str">
        <f ca="1">IF(RegimeExecucao="Global","",ORÇAMENTO!W326)</f>
        <v/>
      </c>
      <c r="I326" s="127">
        <f ca="1">ORÇAMENTO!X326</f>
        <v>0</v>
      </c>
      <c r="J326" s="378">
        <f ca="1">IF($A326="S",IF(CAIXA.Modo,BM.AFAnterior,BM.MEDAnterior),IF(AND(RegimeExecucao="Global",$I326&gt;0,COUNTIF($AB$13:$AM$13,BM.medicao-1)&gt;0),M326/$I326*100,0))</f>
        <v>0</v>
      </c>
      <c r="K326" s="124">
        <f t="shared" ca="1" si="24"/>
        <v>0</v>
      </c>
      <c r="L326" s="379">
        <f ca="1">IF($A326="S",IF(CAIXA.Modo,BM.AFAcumulado,BM.MEDAcumulado),IF(AND(RegimeExecucao="Global",$I326&gt;0,COUNTIF($AB$13:$AM$13,BM.medicao)&gt;0),O326/$I326*100,0))</f>
        <v>0</v>
      </c>
      <c r="M326" s="380">
        <f ca="1">IF($A326="S",VTOTALBM,IF($A326=0,0,ROUND(SomaAgrupBM,15-13*ORÇAMENTO!$AF$11)))</f>
        <v>0</v>
      </c>
      <c r="N326" s="381">
        <f t="shared" ca="1" si="25"/>
        <v>0</v>
      </c>
      <c r="O326" s="127">
        <f ca="1">IF($A326="S",VTOTALBM,IF($A326=0,0,ROUND(SomaAgrupBM,15-13*ORÇAMENTO!$AF$11)))</f>
        <v>0</v>
      </c>
      <c r="Q326" s="382"/>
      <c r="R326" s="383"/>
      <c r="T326" s="119" t="str">
        <f t="shared" ca="1" si="26"/>
        <v/>
      </c>
      <c r="U326" s="172" t="str">
        <f t="shared" ca="1" si="27"/>
        <v/>
      </c>
      <c r="V326" s="173" t="str">
        <f ca="1">IF(AND($W326&gt;0,RegimeExecucao="Unitário"),$F326,"")</f>
        <v/>
      </c>
      <c r="W326" s="547">
        <f ca="1">IF($Y326&gt;0,CHOOSE(MATCH(RegimeExecucao,{"Unitário","Global"},0),IF($A326="S",$Y326/$X326,""),($Y326/$X326)*100),0)</f>
        <v>0</v>
      </c>
      <c r="X326" s="384" t="str">
        <f ca="1">IF($Y326&gt;0,CHOOSE(MATCH(RegimeExecucao,{"Unitário","Global"},0),IF($A326="S",ROUND($H326,ORÇAMENTO!$AF$10),""),ROUND($I326,ORÇAMENTO!$AF$11)),"")</f>
        <v/>
      </c>
      <c r="Y326" s="384">
        <f t="shared" ca="1" si="28"/>
        <v>0</v>
      </c>
      <c r="Z326" s="572"/>
      <c r="AB326" s="382"/>
      <c r="AC326" s="516"/>
      <c r="AD326" s="516"/>
      <c r="AE326" s="516"/>
      <c r="AF326" s="516"/>
      <c r="AG326" s="516"/>
      <c r="AH326" s="516"/>
      <c r="AI326" s="516"/>
      <c r="AJ326" s="516"/>
      <c r="AK326" s="516"/>
      <c r="AL326" s="516"/>
      <c r="AM326" s="383"/>
      <c r="AO326">
        <f ca="1">IF($A326="S",IF(BM!$I326=0,0,CHOOSE(MATCH(RegimeExecucao,{"Global","Unitário"},0),ROUND(ROUND(BM.MEDAcumulado,15-13*BM!$A$9)/100*BM!$I326,15-13*ORÇAMENTO!$AF$11),ROUND(ROUND(BM.MEDAcumulado,15-13*BM!$A$9)*ROUND(BM!$H326,15-13*ORÇAMENTO!$AF$10),15-13*ORÇAMENTO!$AF$11))),IF($A326=0,0,ROUND(SomaAgrupBM,15-13*ORÇAMENTO!$AF$11)))</f>
        <v>0</v>
      </c>
    </row>
    <row r="327" spans="1:41" ht="38.25" x14ac:dyDescent="0.2">
      <c r="A327" t="str">
        <f ca="1">ORÇAMENTO!C327</f>
        <v>S</v>
      </c>
      <c r="B327">
        <f ca="1">ORÇAMENTO!D327</f>
        <v>0</v>
      </c>
      <c r="C327" s="116" t="str">
        <f t="shared" ca="1" si="22"/>
        <v/>
      </c>
      <c r="D327" s="119" t="str">
        <f ca="1">ORÇAMENTO!O327</f>
        <v>-</v>
      </c>
      <c r="E327" s="172" t="str">
        <f t="shared" ca="1" si="23"/>
        <v>(abra o arquivo 'Referência 06-2024.xlsm)</v>
      </c>
      <c r="F327" s="173" t="str">
        <f ca="1">IF(RegimeExecucao="Global","",ORÇAMENTO.Unidade)</f>
        <v/>
      </c>
      <c r="G327" s="124" t="str">
        <f ca="1">IF(RegimeExecucao="Global","",ORÇAMENTO!T327)</f>
        <v/>
      </c>
      <c r="H327" s="124" t="str">
        <f ca="1">IF(RegimeExecucao="Global","",ORÇAMENTO!W327)</f>
        <v/>
      </c>
      <c r="I327" s="127">
        <f ca="1">ORÇAMENTO!X327</f>
        <v>0</v>
      </c>
      <c r="J327" s="378">
        <f ca="1">IF($A327="S",IF(CAIXA.Modo,BM.AFAnterior,BM.MEDAnterior),IF(AND(RegimeExecucao="Global",$I327&gt;0,COUNTIF($AB$13:$AM$13,BM.medicao-1)&gt;0),M327/$I327*100,0))</f>
        <v>0</v>
      </c>
      <c r="K327" s="124">
        <f t="shared" ca="1" si="24"/>
        <v>0</v>
      </c>
      <c r="L327" s="379">
        <f ca="1">IF($A327="S",IF(CAIXA.Modo,BM.AFAcumulado,BM.MEDAcumulado),IF(AND(RegimeExecucao="Global",$I327&gt;0,COUNTIF($AB$13:$AM$13,BM.medicao)&gt;0),O327/$I327*100,0))</f>
        <v>0</v>
      </c>
      <c r="M327" s="380">
        <f ca="1">IF($A327="S",VTOTALBM,IF($A327=0,0,ROUND(SomaAgrupBM,15-13*ORÇAMENTO!$AF$11)))</f>
        <v>0</v>
      </c>
      <c r="N327" s="381">
        <f t="shared" ca="1" si="25"/>
        <v>0</v>
      </c>
      <c r="O327" s="127">
        <f ca="1">IF($A327="S",VTOTALBM,IF($A327=0,0,ROUND(SomaAgrupBM,15-13*ORÇAMENTO!$AF$11)))</f>
        <v>0</v>
      </c>
      <c r="Q327" s="382"/>
      <c r="R327" s="383"/>
      <c r="T327" s="119" t="str">
        <f t="shared" ca="1" si="26"/>
        <v/>
      </c>
      <c r="U327" s="172" t="str">
        <f t="shared" ca="1" si="27"/>
        <v/>
      </c>
      <c r="V327" s="173" t="str">
        <f ca="1">IF(AND($W327&gt;0,RegimeExecucao="Unitário"),$F327,"")</f>
        <v/>
      </c>
      <c r="W327" s="547">
        <f ca="1">IF($Y327&gt;0,CHOOSE(MATCH(RegimeExecucao,{"Unitário","Global"},0),IF($A327="S",$Y327/$X327,""),($Y327/$X327)*100),0)</f>
        <v>0</v>
      </c>
      <c r="X327" s="384" t="str">
        <f ca="1">IF($Y327&gt;0,CHOOSE(MATCH(RegimeExecucao,{"Unitário","Global"},0),IF($A327="S",ROUND($H327,ORÇAMENTO!$AF$10),""),ROUND($I327,ORÇAMENTO!$AF$11)),"")</f>
        <v/>
      </c>
      <c r="Y327" s="384">
        <f t="shared" ca="1" si="28"/>
        <v>0</v>
      </c>
      <c r="Z327" s="572"/>
      <c r="AB327" s="382"/>
      <c r="AC327" s="516"/>
      <c r="AD327" s="516"/>
      <c r="AE327" s="516"/>
      <c r="AF327" s="516"/>
      <c r="AG327" s="516"/>
      <c r="AH327" s="516"/>
      <c r="AI327" s="516"/>
      <c r="AJ327" s="516"/>
      <c r="AK327" s="516"/>
      <c r="AL327" s="516"/>
      <c r="AM327" s="383"/>
      <c r="AO327">
        <f ca="1">IF($A327="S",IF(BM!$I327=0,0,CHOOSE(MATCH(RegimeExecucao,{"Global","Unitário"},0),ROUND(ROUND(BM.MEDAcumulado,15-13*BM!$A$9)/100*BM!$I327,15-13*ORÇAMENTO!$AF$11),ROUND(ROUND(BM.MEDAcumulado,15-13*BM!$A$9)*ROUND(BM!$H327,15-13*ORÇAMENTO!$AF$10),15-13*ORÇAMENTO!$AF$11))),IF($A327=0,0,ROUND(SomaAgrupBM,15-13*ORÇAMENTO!$AF$11)))</f>
        <v>0</v>
      </c>
    </row>
    <row r="328" spans="1:41" ht="38.25" x14ac:dyDescent="0.2">
      <c r="A328" t="str">
        <f ca="1">ORÇAMENTO!C328</f>
        <v>S</v>
      </c>
      <c r="B328">
        <f ca="1">ORÇAMENTO!D328</f>
        <v>0</v>
      </c>
      <c r="C328" s="116" t="str">
        <f t="shared" ca="1" si="22"/>
        <v/>
      </c>
      <c r="D328" s="119" t="str">
        <f ca="1">ORÇAMENTO!O328</f>
        <v>-</v>
      </c>
      <c r="E328" s="172" t="str">
        <f t="shared" ca="1" si="23"/>
        <v>(abra o arquivo 'Referência 06-2024.xlsm)</v>
      </c>
      <c r="F328" s="173" t="str">
        <f ca="1">IF(RegimeExecucao="Global","",ORÇAMENTO.Unidade)</f>
        <v/>
      </c>
      <c r="G328" s="124" t="str">
        <f ca="1">IF(RegimeExecucao="Global","",ORÇAMENTO!T328)</f>
        <v/>
      </c>
      <c r="H328" s="124" t="str">
        <f ca="1">IF(RegimeExecucao="Global","",ORÇAMENTO!W328)</f>
        <v/>
      </c>
      <c r="I328" s="127">
        <f ca="1">ORÇAMENTO!X328</f>
        <v>0</v>
      </c>
      <c r="J328" s="378">
        <f ca="1">IF($A328="S",IF(CAIXA.Modo,BM.AFAnterior,BM.MEDAnterior),IF(AND(RegimeExecucao="Global",$I328&gt;0,COUNTIF($AB$13:$AM$13,BM.medicao-1)&gt;0),M328/$I328*100,0))</f>
        <v>0</v>
      </c>
      <c r="K328" s="124">
        <f t="shared" ca="1" si="24"/>
        <v>0</v>
      </c>
      <c r="L328" s="379">
        <f ca="1">IF($A328="S",IF(CAIXA.Modo,BM.AFAcumulado,BM.MEDAcumulado),IF(AND(RegimeExecucao="Global",$I328&gt;0,COUNTIF($AB$13:$AM$13,BM.medicao)&gt;0),O328/$I328*100,0))</f>
        <v>0</v>
      </c>
      <c r="M328" s="380">
        <f ca="1">IF($A328="S",VTOTALBM,IF($A328=0,0,ROUND(SomaAgrupBM,15-13*ORÇAMENTO!$AF$11)))</f>
        <v>0</v>
      </c>
      <c r="N328" s="381">
        <f t="shared" ca="1" si="25"/>
        <v>0</v>
      </c>
      <c r="O328" s="127">
        <f ca="1">IF($A328="S",VTOTALBM,IF($A328=0,0,ROUND(SomaAgrupBM,15-13*ORÇAMENTO!$AF$11)))</f>
        <v>0</v>
      </c>
      <c r="Q328" s="382"/>
      <c r="R328" s="383"/>
      <c r="T328" s="119" t="str">
        <f t="shared" ca="1" si="26"/>
        <v/>
      </c>
      <c r="U328" s="172" t="str">
        <f t="shared" ca="1" si="27"/>
        <v/>
      </c>
      <c r="V328" s="173" t="str">
        <f ca="1">IF(AND($W328&gt;0,RegimeExecucao="Unitário"),$F328,"")</f>
        <v/>
      </c>
      <c r="W328" s="547">
        <f ca="1">IF($Y328&gt;0,CHOOSE(MATCH(RegimeExecucao,{"Unitário","Global"},0),IF($A328="S",$Y328/$X328,""),($Y328/$X328)*100),0)</f>
        <v>0</v>
      </c>
      <c r="X328" s="384" t="str">
        <f ca="1">IF($Y328&gt;0,CHOOSE(MATCH(RegimeExecucao,{"Unitário","Global"},0),IF($A328="S",ROUND($H328,ORÇAMENTO!$AF$10),""),ROUND($I328,ORÇAMENTO!$AF$11)),"")</f>
        <v/>
      </c>
      <c r="Y328" s="384">
        <f t="shared" ca="1" si="28"/>
        <v>0</v>
      </c>
      <c r="Z328" s="572"/>
      <c r="AB328" s="382"/>
      <c r="AC328" s="516"/>
      <c r="AD328" s="516"/>
      <c r="AE328" s="516"/>
      <c r="AF328" s="516"/>
      <c r="AG328" s="516"/>
      <c r="AH328" s="516"/>
      <c r="AI328" s="516"/>
      <c r="AJ328" s="516"/>
      <c r="AK328" s="516"/>
      <c r="AL328" s="516"/>
      <c r="AM328" s="383"/>
      <c r="AO328">
        <f ca="1">IF($A328="S",IF(BM!$I328=0,0,CHOOSE(MATCH(RegimeExecucao,{"Global","Unitário"},0),ROUND(ROUND(BM.MEDAcumulado,15-13*BM!$A$9)/100*BM!$I328,15-13*ORÇAMENTO!$AF$11),ROUND(ROUND(BM.MEDAcumulado,15-13*BM!$A$9)*ROUND(BM!$H328,15-13*ORÇAMENTO!$AF$10),15-13*ORÇAMENTO!$AF$11))),IF($A328=0,0,ROUND(SomaAgrupBM,15-13*ORÇAMENTO!$AF$11)))</f>
        <v>0</v>
      </c>
    </row>
    <row r="329" spans="1:41" ht="38.25" x14ac:dyDescent="0.2">
      <c r="A329" t="str">
        <f ca="1">ORÇAMENTO!C329</f>
        <v>S</v>
      </c>
      <c r="B329">
        <f ca="1">ORÇAMENTO!D329</f>
        <v>0</v>
      </c>
      <c r="C329" s="116" t="str">
        <f t="shared" ca="1" si="22"/>
        <v/>
      </c>
      <c r="D329" s="119" t="str">
        <f ca="1">ORÇAMENTO!O329</f>
        <v>-</v>
      </c>
      <c r="E329" s="172" t="str">
        <f t="shared" ca="1" si="23"/>
        <v>(abra o arquivo 'Referência 06-2024.xlsm)</v>
      </c>
      <c r="F329" s="173" t="str">
        <f ca="1">IF(RegimeExecucao="Global","",ORÇAMENTO.Unidade)</f>
        <v/>
      </c>
      <c r="G329" s="124" t="str">
        <f ca="1">IF(RegimeExecucao="Global","",ORÇAMENTO!T329)</f>
        <v/>
      </c>
      <c r="H329" s="124" t="str">
        <f ca="1">IF(RegimeExecucao="Global","",ORÇAMENTO!W329)</f>
        <v/>
      </c>
      <c r="I329" s="127">
        <f ca="1">ORÇAMENTO!X329</f>
        <v>0</v>
      </c>
      <c r="J329" s="378">
        <f ca="1">IF($A329="S",IF(CAIXA.Modo,BM.AFAnterior,BM.MEDAnterior),IF(AND(RegimeExecucao="Global",$I329&gt;0,COUNTIF($AB$13:$AM$13,BM.medicao-1)&gt;0),M329/$I329*100,0))</f>
        <v>0</v>
      </c>
      <c r="K329" s="124">
        <f t="shared" ca="1" si="24"/>
        <v>0</v>
      </c>
      <c r="L329" s="379">
        <f ca="1">IF($A329="S",IF(CAIXA.Modo,BM.AFAcumulado,BM.MEDAcumulado),IF(AND(RegimeExecucao="Global",$I329&gt;0,COUNTIF($AB$13:$AM$13,BM.medicao)&gt;0),O329/$I329*100,0))</f>
        <v>0</v>
      </c>
      <c r="M329" s="380">
        <f ca="1">IF($A329="S",VTOTALBM,IF($A329=0,0,ROUND(SomaAgrupBM,15-13*ORÇAMENTO!$AF$11)))</f>
        <v>0</v>
      </c>
      <c r="N329" s="381">
        <f t="shared" ca="1" si="25"/>
        <v>0</v>
      </c>
      <c r="O329" s="127">
        <f ca="1">IF($A329="S",VTOTALBM,IF($A329=0,0,ROUND(SomaAgrupBM,15-13*ORÇAMENTO!$AF$11)))</f>
        <v>0</v>
      </c>
      <c r="Q329" s="382"/>
      <c r="R329" s="383"/>
      <c r="T329" s="119" t="str">
        <f t="shared" ca="1" si="26"/>
        <v/>
      </c>
      <c r="U329" s="172" t="str">
        <f t="shared" ca="1" si="27"/>
        <v/>
      </c>
      <c r="V329" s="173" t="str">
        <f ca="1">IF(AND($W329&gt;0,RegimeExecucao="Unitário"),$F329,"")</f>
        <v/>
      </c>
      <c r="W329" s="547">
        <f ca="1">IF($Y329&gt;0,CHOOSE(MATCH(RegimeExecucao,{"Unitário","Global"},0),IF($A329="S",$Y329/$X329,""),($Y329/$X329)*100),0)</f>
        <v>0</v>
      </c>
      <c r="X329" s="384" t="str">
        <f ca="1">IF($Y329&gt;0,CHOOSE(MATCH(RegimeExecucao,{"Unitário","Global"},0),IF($A329="S",ROUND($H329,ORÇAMENTO!$AF$10),""),ROUND($I329,ORÇAMENTO!$AF$11)),"")</f>
        <v/>
      </c>
      <c r="Y329" s="384">
        <f t="shared" ca="1" si="28"/>
        <v>0</v>
      </c>
      <c r="Z329" s="572"/>
      <c r="AB329" s="382"/>
      <c r="AC329" s="516"/>
      <c r="AD329" s="516"/>
      <c r="AE329" s="516"/>
      <c r="AF329" s="516"/>
      <c r="AG329" s="516"/>
      <c r="AH329" s="516"/>
      <c r="AI329" s="516"/>
      <c r="AJ329" s="516"/>
      <c r="AK329" s="516"/>
      <c r="AL329" s="516"/>
      <c r="AM329" s="383"/>
      <c r="AO329">
        <f ca="1">IF($A329="S",IF(BM!$I329=0,0,CHOOSE(MATCH(RegimeExecucao,{"Global","Unitário"},0),ROUND(ROUND(BM.MEDAcumulado,15-13*BM!$A$9)/100*BM!$I329,15-13*ORÇAMENTO!$AF$11),ROUND(ROUND(BM.MEDAcumulado,15-13*BM!$A$9)*ROUND(BM!$H329,15-13*ORÇAMENTO!$AF$10),15-13*ORÇAMENTO!$AF$11))),IF($A329=0,0,ROUND(SomaAgrupBM,15-13*ORÇAMENTO!$AF$11)))</f>
        <v>0</v>
      </c>
    </row>
    <row r="330" spans="1:41" ht="38.25" x14ac:dyDescent="0.2">
      <c r="A330" t="str">
        <f ca="1">ORÇAMENTO!C330</f>
        <v>S</v>
      </c>
      <c r="B330">
        <f ca="1">ORÇAMENTO!D330</f>
        <v>0</v>
      </c>
      <c r="C330" s="116" t="str">
        <f t="shared" ca="1" si="22"/>
        <v/>
      </c>
      <c r="D330" s="119" t="str">
        <f ca="1">ORÇAMENTO!O330</f>
        <v>-</v>
      </c>
      <c r="E330" s="172" t="str">
        <f t="shared" ca="1" si="23"/>
        <v>(abra o arquivo 'Referência 06-2024.xlsm)</v>
      </c>
      <c r="F330" s="173" t="str">
        <f ca="1">IF(RegimeExecucao="Global","",ORÇAMENTO.Unidade)</f>
        <v/>
      </c>
      <c r="G330" s="124" t="str">
        <f ca="1">IF(RegimeExecucao="Global","",ORÇAMENTO!T330)</f>
        <v/>
      </c>
      <c r="H330" s="124" t="str">
        <f ca="1">IF(RegimeExecucao="Global","",ORÇAMENTO!W330)</f>
        <v/>
      </c>
      <c r="I330" s="127">
        <f ca="1">ORÇAMENTO!X330</f>
        <v>0</v>
      </c>
      <c r="J330" s="378">
        <f ca="1">IF($A330="S",IF(CAIXA.Modo,BM.AFAnterior,BM.MEDAnterior),IF(AND(RegimeExecucao="Global",$I330&gt;0,COUNTIF($AB$13:$AM$13,BM.medicao-1)&gt;0),M330/$I330*100,0))</f>
        <v>0</v>
      </c>
      <c r="K330" s="124">
        <f t="shared" ca="1" si="24"/>
        <v>0</v>
      </c>
      <c r="L330" s="379">
        <f ca="1">IF($A330="S",IF(CAIXA.Modo,BM.AFAcumulado,BM.MEDAcumulado),IF(AND(RegimeExecucao="Global",$I330&gt;0,COUNTIF($AB$13:$AM$13,BM.medicao)&gt;0),O330/$I330*100,0))</f>
        <v>0</v>
      </c>
      <c r="M330" s="380">
        <f ca="1">IF($A330="S",VTOTALBM,IF($A330=0,0,ROUND(SomaAgrupBM,15-13*ORÇAMENTO!$AF$11)))</f>
        <v>0</v>
      </c>
      <c r="N330" s="381">
        <f t="shared" ca="1" si="25"/>
        <v>0</v>
      </c>
      <c r="O330" s="127">
        <f ca="1">IF($A330="S",VTOTALBM,IF($A330=0,0,ROUND(SomaAgrupBM,15-13*ORÇAMENTO!$AF$11)))</f>
        <v>0</v>
      </c>
      <c r="Q330" s="382"/>
      <c r="R330" s="383"/>
      <c r="T330" s="119" t="str">
        <f t="shared" ca="1" si="26"/>
        <v/>
      </c>
      <c r="U330" s="172" t="str">
        <f t="shared" ca="1" si="27"/>
        <v/>
      </c>
      <c r="V330" s="173" t="str">
        <f ca="1">IF(AND($W330&gt;0,RegimeExecucao="Unitário"),$F330,"")</f>
        <v/>
      </c>
      <c r="W330" s="547">
        <f ca="1">IF($Y330&gt;0,CHOOSE(MATCH(RegimeExecucao,{"Unitário","Global"},0),IF($A330="S",$Y330/$X330,""),($Y330/$X330)*100),0)</f>
        <v>0</v>
      </c>
      <c r="X330" s="384" t="str">
        <f ca="1">IF($Y330&gt;0,CHOOSE(MATCH(RegimeExecucao,{"Unitário","Global"},0),IF($A330="S",ROUND($H330,ORÇAMENTO!$AF$10),""),ROUND($I330,ORÇAMENTO!$AF$11)),"")</f>
        <v/>
      </c>
      <c r="Y330" s="384">
        <f t="shared" ca="1" si="28"/>
        <v>0</v>
      </c>
      <c r="Z330" s="572"/>
      <c r="AB330" s="382"/>
      <c r="AC330" s="516"/>
      <c r="AD330" s="516"/>
      <c r="AE330" s="516"/>
      <c r="AF330" s="516"/>
      <c r="AG330" s="516"/>
      <c r="AH330" s="516"/>
      <c r="AI330" s="516"/>
      <c r="AJ330" s="516"/>
      <c r="AK330" s="516"/>
      <c r="AL330" s="516"/>
      <c r="AM330" s="383"/>
      <c r="AO330">
        <f ca="1">IF($A330="S",IF(BM!$I330=0,0,CHOOSE(MATCH(RegimeExecucao,{"Global","Unitário"},0),ROUND(ROUND(BM.MEDAcumulado,15-13*BM!$A$9)/100*BM!$I330,15-13*ORÇAMENTO!$AF$11),ROUND(ROUND(BM.MEDAcumulado,15-13*BM!$A$9)*ROUND(BM!$H330,15-13*ORÇAMENTO!$AF$10),15-13*ORÇAMENTO!$AF$11))),IF($A330=0,0,ROUND(SomaAgrupBM,15-13*ORÇAMENTO!$AF$11)))</f>
        <v>0</v>
      </c>
    </row>
    <row r="331" spans="1:41" ht="38.25" x14ac:dyDescent="0.2">
      <c r="A331" t="str">
        <f ca="1">ORÇAMENTO!C331</f>
        <v>S</v>
      </c>
      <c r="B331">
        <f ca="1">ORÇAMENTO!D331</f>
        <v>0</v>
      </c>
      <c r="C331" s="116" t="str">
        <f t="shared" ca="1" si="22"/>
        <v/>
      </c>
      <c r="D331" s="119" t="str">
        <f ca="1">ORÇAMENTO!O331</f>
        <v>-</v>
      </c>
      <c r="E331" s="172" t="str">
        <f t="shared" ca="1" si="23"/>
        <v>(abra o arquivo 'Referência 06-2024.xlsm)</v>
      </c>
      <c r="F331" s="173" t="str">
        <f ca="1">IF(RegimeExecucao="Global","",ORÇAMENTO.Unidade)</f>
        <v/>
      </c>
      <c r="G331" s="124" t="str">
        <f ca="1">IF(RegimeExecucao="Global","",ORÇAMENTO!T331)</f>
        <v/>
      </c>
      <c r="H331" s="124" t="str">
        <f ca="1">IF(RegimeExecucao="Global","",ORÇAMENTO!W331)</f>
        <v/>
      </c>
      <c r="I331" s="127">
        <f ca="1">ORÇAMENTO!X331</f>
        <v>0</v>
      </c>
      <c r="J331" s="378">
        <f ca="1">IF($A331="S",IF(CAIXA.Modo,BM.AFAnterior,BM.MEDAnterior),IF(AND(RegimeExecucao="Global",$I331&gt;0,COUNTIF($AB$13:$AM$13,BM.medicao-1)&gt;0),M331/$I331*100,0))</f>
        <v>0</v>
      </c>
      <c r="K331" s="124">
        <f t="shared" ca="1" si="24"/>
        <v>0</v>
      </c>
      <c r="L331" s="379">
        <f ca="1">IF($A331="S",IF(CAIXA.Modo,BM.AFAcumulado,BM.MEDAcumulado),IF(AND(RegimeExecucao="Global",$I331&gt;0,COUNTIF($AB$13:$AM$13,BM.medicao)&gt;0),O331/$I331*100,0))</f>
        <v>0</v>
      </c>
      <c r="M331" s="380">
        <f ca="1">IF($A331="S",VTOTALBM,IF($A331=0,0,ROUND(SomaAgrupBM,15-13*ORÇAMENTO!$AF$11)))</f>
        <v>0</v>
      </c>
      <c r="N331" s="381">
        <f t="shared" ca="1" si="25"/>
        <v>0</v>
      </c>
      <c r="O331" s="127">
        <f ca="1">IF($A331="S",VTOTALBM,IF($A331=0,0,ROUND(SomaAgrupBM,15-13*ORÇAMENTO!$AF$11)))</f>
        <v>0</v>
      </c>
      <c r="Q331" s="382"/>
      <c r="R331" s="383"/>
      <c r="T331" s="119" t="str">
        <f t="shared" ca="1" si="26"/>
        <v/>
      </c>
      <c r="U331" s="172" t="str">
        <f t="shared" ca="1" si="27"/>
        <v/>
      </c>
      <c r="V331" s="173" t="str">
        <f ca="1">IF(AND($W331&gt;0,RegimeExecucao="Unitário"),$F331,"")</f>
        <v/>
      </c>
      <c r="W331" s="547">
        <f ca="1">IF($Y331&gt;0,CHOOSE(MATCH(RegimeExecucao,{"Unitário","Global"},0),IF($A331="S",$Y331/$X331,""),($Y331/$X331)*100),0)</f>
        <v>0</v>
      </c>
      <c r="X331" s="384" t="str">
        <f ca="1">IF($Y331&gt;0,CHOOSE(MATCH(RegimeExecucao,{"Unitário","Global"},0),IF($A331="S",ROUND($H331,ORÇAMENTO!$AF$10),""),ROUND($I331,ORÇAMENTO!$AF$11)),"")</f>
        <v/>
      </c>
      <c r="Y331" s="384">
        <f t="shared" ca="1" si="28"/>
        <v>0</v>
      </c>
      <c r="Z331" s="572"/>
      <c r="AB331" s="382"/>
      <c r="AC331" s="516"/>
      <c r="AD331" s="516"/>
      <c r="AE331" s="516"/>
      <c r="AF331" s="516"/>
      <c r="AG331" s="516"/>
      <c r="AH331" s="516"/>
      <c r="AI331" s="516"/>
      <c r="AJ331" s="516"/>
      <c r="AK331" s="516"/>
      <c r="AL331" s="516"/>
      <c r="AM331" s="383"/>
      <c r="AO331">
        <f ca="1">IF($A331="S",IF(BM!$I331=0,0,CHOOSE(MATCH(RegimeExecucao,{"Global","Unitário"},0),ROUND(ROUND(BM.MEDAcumulado,15-13*BM!$A$9)/100*BM!$I331,15-13*ORÇAMENTO!$AF$11),ROUND(ROUND(BM.MEDAcumulado,15-13*BM!$A$9)*ROUND(BM!$H331,15-13*ORÇAMENTO!$AF$10),15-13*ORÇAMENTO!$AF$11))),IF($A331=0,0,ROUND(SomaAgrupBM,15-13*ORÇAMENTO!$AF$11)))</f>
        <v>0</v>
      </c>
    </row>
    <row r="332" spans="1:41" ht="38.25" x14ac:dyDescent="0.2">
      <c r="A332" t="str">
        <f ca="1">ORÇAMENTO!C332</f>
        <v>S</v>
      </c>
      <c r="B332">
        <f ca="1">ORÇAMENTO!D332</f>
        <v>0</v>
      </c>
      <c r="C332" s="116" t="str">
        <f t="shared" ca="1" si="22"/>
        <v/>
      </c>
      <c r="D332" s="119" t="str">
        <f ca="1">ORÇAMENTO!O332</f>
        <v>-</v>
      </c>
      <c r="E332" s="172" t="str">
        <f t="shared" ca="1" si="23"/>
        <v>(abra o arquivo 'Referência 06-2024.xlsm)</v>
      </c>
      <c r="F332" s="173" t="str">
        <f ca="1">IF(RegimeExecucao="Global","",ORÇAMENTO.Unidade)</f>
        <v/>
      </c>
      <c r="G332" s="124" t="str">
        <f ca="1">IF(RegimeExecucao="Global","",ORÇAMENTO!T332)</f>
        <v/>
      </c>
      <c r="H332" s="124" t="str">
        <f ca="1">IF(RegimeExecucao="Global","",ORÇAMENTO!W332)</f>
        <v/>
      </c>
      <c r="I332" s="127">
        <f ca="1">ORÇAMENTO!X332</f>
        <v>0</v>
      </c>
      <c r="J332" s="378">
        <f ca="1">IF($A332="S",IF(CAIXA.Modo,BM.AFAnterior,BM.MEDAnterior),IF(AND(RegimeExecucao="Global",$I332&gt;0,COUNTIF($AB$13:$AM$13,BM.medicao-1)&gt;0),M332/$I332*100,0))</f>
        <v>0</v>
      </c>
      <c r="K332" s="124">
        <f t="shared" ca="1" si="24"/>
        <v>0</v>
      </c>
      <c r="L332" s="379">
        <f ca="1">IF($A332="S",IF(CAIXA.Modo,BM.AFAcumulado,BM.MEDAcumulado),IF(AND(RegimeExecucao="Global",$I332&gt;0,COUNTIF($AB$13:$AM$13,BM.medicao)&gt;0),O332/$I332*100,0))</f>
        <v>0</v>
      </c>
      <c r="M332" s="380">
        <f ca="1">IF($A332="S",VTOTALBM,IF($A332=0,0,ROUND(SomaAgrupBM,15-13*ORÇAMENTO!$AF$11)))</f>
        <v>0</v>
      </c>
      <c r="N332" s="381">
        <f t="shared" ca="1" si="25"/>
        <v>0</v>
      </c>
      <c r="O332" s="127">
        <f ca="1">IF($A332="S",VTOTALBM,IF($A332=0,0,ROUND(SomaAgrupBM,15-13*ORÇAMENTO!$AF$11)))</f>
        <v>0</v>
      </c>
      <c r="Q332" s="382"/>
      <c r="R332" s="383"/>
      <c r="T332" s="119" t="str">
        <f t="shared" ca="1" si="26"/>
        <v/>
      </c>
      <c r="U332" s="172" t="str">
        <f t="shared" ca="1" si="27"/>
        <v/>
      </c>
      <c r="V332" s="173" t="str">
        <f ca="1">IF(AND($W332&gt;0,RegimeExecucao="Unitário"),$F332,"")</f>
        <v/>
      </c>
      <c r="W332" s="547">
        <f ca="1">IF($Y332&gt;0,CHOOSE(MATCH(RegimeExecucao,{"Unitário","Global"},0),IF($A332="S",$Y332/$X332,""),($Y332/$X332)*100),0)</f>
        <v>0</v>
      </c>
      <c r="X332" s="384" t="str">
        <f ca="1">IF($Y332&gt;0,CHOOSE(MATCH(RegimeExecucao,{"Unitário","Global"},0),IF($A332="S",ROUND($H332,ORÇAMENTO!$AF$10),""),ROUND($I332,ORÇAMENTO!$AF$11)),"")</f>
        <v/>
      </c>
      <c r="Y332" s="384">
        <f t="shared" ca="1" si="28"/>
        <v>0</v>
      </c>
      <c r="Z332" s="572"/>
      <c r="AB332" s="382"/>
      <c r="AC332" s="516"/>
      <c r="AD332" s="516"/>
      <c r="AE332" s="516"/>
      <c r="AF332" s="516"/>
      <c r="AG332" s="516"/>
      <c r="AH332" s="516"/>
      <c r="AI332" s="516"/>
      <c r="AJ332" s="516"/>
      <c r="AK332" s="516"/>
      <c r="AL332" s="516"/>
      <c r="AM332" s="383"/>
      <c r="AO332">
        <f ca="1">IF($A332="S",IF(BM!$I332=0,0,CHOOSE(MATCH(RegimeExecucao,{"Global","Unitário"},0),ROUND(ROUND(BM.MEDAcumulado,15-13*BM!$A$9)/100*BM!$I332,15-13*ORÇAMENTO!$AF$11),ROUND(ROUND(BM.MEDAcumulado,15-13*BM!$A$9)*ROUND(BM!$H332,15-13*ORÇAMENTO!$AF$10),15-13*ORÇAMENTO!$AF$11))),IF($A332=0,0,ROUND(SomaAgrupBM,15-13*ORÇAMENTO!$AF$11)))</f>
        <v>0</v>
      </c>
    </row>
    <row r="333" spans="1:41" ht="51" x14ac:dyDescent="0.2">
      <c r="A333" t="str">
        <f ca="1">ORÇAMENTO!C333</f>
        <v>S</v>
      </c>
      <c r="B333">
        <f ca="1">ORÇAMENTO!D333</f>
        <v>0</v>
      </c>
      <c r="C333" s="116" t="str">
        <f t="shared" ca="1" si="22"/>
        <v/>
      </c>
      <c r="D333" s="119" t="str">
        <f ca="1">ORÇAMENTO!O333</f>
        <v>-</v>
      </c>
      <c r="E333" s="172" t="str">
        <f t="shared" ca="1" si="23"/>
        <v>(abra o arquivo 'Referência 06-2024.xlsm)</v>
      </c>
      <c r="F333" s="173" t="str">
        <f ca="1">IF(RegimeExecucao="Global","",ORÇAMENTO.Unidade)</f>
        <v/>
      </c>
      <c r="G333" s="124" t="str">
        <f ca="1">IF(RegimeExecucao="Global","",ORÇAMENTO!T333)</f>
        <v/>
      </c>
      <c r="H333" s="124" t="str">
        <f ca="1">IF(RegimeExecucao="Global","",ORÇAMENTO!W333)</f>
        <v/>
      </c>
      <c r="I333" s="127">
        <f ca="1">ORÇAMENTO!X333</f>
        <v>0</v>
      </c>
      <c r="J333" s="378">
        <f ca="1">IF($A333="S",IF(CAIXA.Modo,BM.AFAnterior,BM.MEDAnterior),IF(AND(RegimeExecucao="Global",$I333&gt;0,COUNTIF($AB$13:$AM$13,BM.medicao-1)&gt;0),M333/$I333*100,0))</f>
        <v>0</v>
      </c>
      <c r="K333" s="124">
        <f t="shared" ca="1" si="24"/>
        <v>0</v>
      </c>
      <c r="L333" s="379">
        <f ca="1">IF($A333="S",IF(CAIXA.Modo,BM.AFAcumulado,BM.MEDAcumulado),IF(AND(RegimeExecucao="Global",$I333&gt;0,COUNTIF($AB$13:$AM$13,BM.medicao)&gt;0),O333/$I333*100,0))</f>
        <v>0</v>
      </c>
      <c r="M333" s="380">
        <f ca="1">IF($A333="S",VTOTALBM,IF($A333=0,0,ROUND(SomaAgrupBM,15-13*ORÇAMENTO!$AF$11)))</f>
        <v>0</v>
      </c>
      <c r="N333" s="381">
        <f t="shared" ca="1" si="25"/>
        <v>0</v>
      </c>
      <c r="O333" s="127">
        <f ca="1">IF($A333="S",VTOTALBM,IF($A333=0,0,ROUND(SomaAgrupBM,15-13*ORÇAMENTO!$AF$11)))</f>
        <v>0</v>
      </c>
      <c r="Q333" s="382"/>
      <c r="R333" s="383"/>
      <c r="T333" s="119" t="str">
        <f t="shared" ca="1" si="26"/>
        <v/>
      </c>
      <c r="U333" s="172" t="str">
        <f t="shared" ca="1" si="27"/>
        <v/>
      </c>
      <c r="V333" s="173" t="str">
        <f ca="1">IF(AND($W333&gt;0,RegimeExecucao="Unitário"),$F333,"")</f>
        <v/>
      </c>
      <c r="W333" s="547">
        <f ca="1">IF($Y333&gt;0,CHOOSE(MATCH(RegimeExecucao,{"Unitário","Global"},0),IF($A333="S",$Y333/$X333,""),($Y333/$X333)*100),0)</f>
        <v>0</v>
      </c>
      <c r="X333" s="384" t="str">
        <f ca="1">IF($Y333&gt;0,CHOOSE(MATCH(RegimeExecucao,{"Unitário","Global"},0),IF($A333="S",ROUND($H333,ORÇAMENTO!$AF$10),""),ROUND($I333,ORÇAMENTO!$AF$11)),"")</f>
        <v/>
      </c>
      <c r="Y333" s="384">
        <f t="shared" ca="1" si="28"/>
        <v>0</v>
      </c>
      <c r="Z333" s="572"/>
      <c r="AB333" s="382"/>
      <c r="AC333" s="516"/>
      <c r="AD333" s="516"/>
      <c r="AE333" s="516"/>
      <c r="AF333" s="516"/>
      <c r="AG333" s="516"/>
      <c r="AH333" s="516"/>
      <c r="AI333" s="516"/>
      <c r="AJ333" s="516"/>
      <c r="AK333" s="516"/>
      <c r="AL333" s="516"/>
      <c r="AM333" s="383"/>
      <c r="AO333">
        <f ca="1">IF($A333="S",IF(BM!$I333=0,0,CHOOSE(MATCH(RegimeExecucao,{"Global","Unitário"},0),ROUND(ROUND(BM.MEDAcumulado,15-13*BM!$A$9)/100*BM!$I333,15-13*ORÇAMENTO!$AF$11),ROUND(ROUND(BM.MEDAcumulado,15-13*BM!$A$9)*ROUND(BM!$H333,15-13*ORÇAMENTO!$AF$10),15-13*ORÇAMENTO!$AF$11))),IF($A333=0,0,ROUND(SomaAgrupBM,15-13*ORÇAMENTO!$AF$11)))</f>
        <v>0</v>
      </c>
    </row>
    <row r="334" spans="1:41" ht="38.25" x14ac:dyDescent="0.2">
      <c r="A334" t="str">
        <f ca="1">ORÇAMENTO!C334</f>
        <v>S</v>
      </c>
      <c r="B334">
        <f ca="1">ORÇAMENTO!D334</f>
        <v>0</v>
      </c>
      <c r="C334" s="116" t="str">
        <f t="shared" ca="1" si="22"/>
        <v/>
      </c>
      <c r="D334" s="119" t="str">
        <f ca="1">ORÇAMENTO!O334</f>
        <v>-</v>
      </c>
      <c r="E334" s="172" t="str">
        <f t="shared" ca="1" si="23"/>
        <v>(abra o arquivo 'Referência 06-2024.xlsm)</v>
      </c>
      <c r="F334" s="173" t="str">
        <f ca="1">IF(RegimeExecucao="Global","",ORÇAMENTO.Unidade)</f>
        <v/>
      </c>
      <c r="G334" s="124" t="str">
        <f ca="1">IF(RegimeExecucao="Global","",ORÇAMENTO!T334)</f>
        <v/>
      </c>
      <c r="H334" s="124" t="str">
        <f ca="1">IF(RegimeExecucao="Global","",ORÇAMENTO!W334)</f>
        <v/>
      </c>
      <c r="I334" s="127">
        <f ca="1">ORÇAMENTO!X334</f>
        <v>0</v>
      </c>
      <c r="J334" s="378">
        <f ca="1">IF($A334="S",IF(CAIXA.Modo,BM.AFAnterior,BM.MEDAnterior),IF(AND(RegimeExecucao="Global",$I334&gt;0,COUNTIF($AB$13:$AM$13,BM.medicao-1)&gt;0),M334/$I334*100,0))</f>
        <v>0</v>
      </c>
      <c r="K334" s="124">
        <f t="shared" ca="1" si="24"/>
        <v>0</v>
      </c>
      <c r="L334" s="379">
        <f ca="1">IF($A334="S",IF(CAIXA.Modo,BM.AFAcumulado,BM.MEDAcumulado),IF(AND(RegimeExecucao="Global",$I334&gt;0,COUNTIF($AB$13:$AM$13,BM.medicao)&gt;0),O334/$I334*100,0))</f>
        <v>0</v>
      </c>
      <c r="M334" s="380">
        <f ca="1">IF($A334="S",VTOTALBM,IF($A334=0,0,ROUND(SomaAgrupBM,15-13*ORÇAMENTO!$AF$11)))</f>
        <v>0</v>
      </c>
      <c r="N334" s="381">
        <f t="shared" ca="1" si="25"/>
        <v>0</v>
      </c>
      <c r="O334" s="127">
        <f ca="1">IF($A334="S",VTOTALBM,IF($A334=0,0,ROUND(SomaAgrupBM,15-13*ORÇAMENTO!$AF$11)))</f>
        <v>0</v>
      </c>
      <c r="Q334" s="382"/>
      <c r="R334" s="383"/>
      <c r="T334" s="119" t="str">
        <f t="shared" ca="1" si="26"/>
        <v/>
      </c>
      <c r="U334" s="172" t="str">
        <f t="shared" ca="1" si="27"/>
        <v/>
      </c>
      <c r="V334" s="173" t="str">
        <f ca="1">IF(AND($W334&gt;0,RegimeExecucao="Unitário"),$F334,"")</f>
        <v/>
      </c>
      <c r="W334" s="547">
        <f ca="1">IF($Y334&gt;0,CHOOSE(MATCH(RegimeExecucao,{"Unitário","Global"},0),IF($A334="S",$Y334/$X334,""),($Y334/$X334)*100),0)</f>
        <v>0</v>
      </c>
      <c r="X334" s="384" t="str">
        <f ca="1">IF($Y334&gt;0,CHOOSE(MATCH(RegimeExecucao,{"Unitário","Global"},0),IF($A334="S",ROUND($H334,ORÇAMENTO!$AF$10),""),ROUND($I334,ORÇAMENTO!$AF$11)),"")</f>
        <v/>
      </c>
      <c r="Y334" s="384">
        <f t="shared" ca="1" si="28"/>
        <v>0</v>
      </c>
      <c r="Z334" s="572"/>
      <c r="AB334" s="382"/>
      <c r="AC334" s="516"/>
      <c r="AD334" s="516"/>
      <c r="AE334" s="516"/>
      <c r="AF334" s="516"/>
      <c r="AG334" s="516"/>
      <c r="AH334" s="516"/>
      <c r="AI334" s="516"/>
      <c r="AJ334" s="516"/>
      <c r="AK334" s="516"/>
      <c r="AL334" s="516"/>
      <c r="AM334" s="383"/>
      <c r="AO334">
        <f ca="1">IF($A334="S",IF(BM!$I334=0,0,CHOOSE(MATCH(RegimeExecucao,{"Global","Unitário"},0),ROUND(ROUND(BM.MEDAcumulado,15-13*BM!$A$9)/100*BM!$I334,15-13*ORÇAMENTO!$AF$11),ROUND(ROUND(BM.MEDAcumulado,15-13*BM!$A$9)*ROUND(BM!$H334,15-13*ORÇAMENTO!$AF$10),15-13*ORÇAMENTO!$AF$11))),IF($A334=0,0,ROUND(SomaAgrupBM,15-13*ORÇAMENTO!$AF$11)))</f>
        <v>0</v>
      </c>
    </row>
    <row r="335" spans="1:41" ht="38.25" x14ac:dyDescent="0.2">
      <c r="A335" t="str">
        <f ca="1">ORÇAMENTO!C335</f>
        <v>S</v>
      </c>
      <c r="B335">
        <f ca="1">ORÇAMENTO!D335</f>
        <v>0</v>
      </c>
      <c r="C335" s="116" t="str">
        <f t="shared" ca="1" si="22"/>
        <v/>
      </c>
      <c r="D335" s="119" t="str">
        <f ca="1">ORÇAMENTO!O335</f>
        <v>-</v>
      </c>
      <c r="E335" s="172" t="str">
        <f t="shared" ca="1" si="23"/>
        <v>(abra o arquivo 'Referência 06-2024.xlsm)</v>
      </c>
      <c r="F335" s="173" t="str">
        <f ca="1">IF(RegimeExecucao="Global","",ORÇAMENTO.Unidade)</f>
        <v/>
      </c>
      <c r="G335" s="124" t="str">
        <f ca="1">IF(RegimeExecucao="Global","",ORÇAMENTO!T335)</f>
        <v/>
      </c>
      <c r="H335" s="124" t="str">
        <f ca="1">IF(RegimeExecucao="Global","",ORÇAMENTO!W335)</f>
        <v/>
      </c>
      <c r="I335" s="127">
        <f ca="1">ORÇAMENTO!X335</f>
        <v>0</v>
      </c>
      <c r="J335" s="378">
        <f ca="1">IF($A335="S",IF(CAIXA.Modo,BM.AFAnterior,BM.MEDAnterior),IF(AND(RegimeExecucao="Global",$I335&gt;0,COUNTIF($AB$13:$AM$13,BM.medicao-1)&gt;0),M335/$I335*100,0))</f>
        <v>0</v>
      </c>
      <c r="K335" s="124">
        <f t="shared" ca="1" si="24"/>
        <v>0</v>
      </c>
      <c r="L335" s="379">
        <f ca="1">IF($A335="S",IF(CAIXA.Modo,BM.AFAcumulado,BM.MEDAcumulado),IF(AND(RegimeExecucao="Global",$I335&gt;0,COUNTIF($AB$13:$AM$13,BM.medicao)&gt;0),O335/$I335*100,0))</f>
        <v>0</v>
      </c>
      <c r="M335" s="380">
        <f ca="1">IF($A335="S",VTOTALBM,IF($A335=0,0,ROUND(SomaAgrupBM,15-13*ORÇAMENTO!$AF$11)))</f>
        <v>0</v>
      </c>
      <c r="N335" s="381">
        <f t="shared" ca="1" si="25"/>
        <v>0</v>
      </c>
      <c r="O335" s="127">
        <f ca="1">IF($A335="S",VTOTALBM,IF($A335=0,0,ROUND(SomaAgrupBM,15-13*ORÇAMENTO!$AF$11)))</f>
        <v>0</v>
      </c>
      <c r="Q335" s="382"/>
      <c r="R335" s="383"/>
      <c r="T335" s="119" t="str">
        <f t="shared" ca="1" si="26"/>
        <v/>
      </c>
      <c r="U335" s="172" t="str">
        <f t="shared" ca="1" si="27"/>
        <v/>
      </c>
      <c r="V335" s="173" t="str">
        <f ca="1">IF(AND($W335&gt;0,RegimeExecucao="Unitário"),$F335,"")</f>
        <v/>
      </c>
      <c r="W335" s="547">
        <f ca="1">IF($Y335&gt;0,CHOOSE(MATCH(RegimeExecucao,{"Unitário","Global"},0),IF($A335="S",$Y335/$X335,""),($Y335/$X335)*100),0)</f>
        <v>0</v>
      </c>
      <c r="X335" s="384" t="str">
        <f ca="1">IF($Y335&gt;0,CHOOSE(MATCH(RegimeExecucao,{"Unitário","Global"},0),IF($A335="S",ROUND($H335,ORÇAMENTO!$AF$10),""),ROUND($I335,ORÇAMENTO!$AF$11)),"")</f>
        <v/>
      </c>
      <c r="Y335" s="384">
        <f t="shared" ca="1" si="28"/>
        <v>0</v>
      </c>
      <c r="Z335" s="572"/>
      <c r="AB335" s="382"/>
      <c r="AC335" s="516"/>
      <c r="AD335" s="516"/>
      <c r="AE335" s="516"/>
      <c r="AF335" s="516"/>
      <c r="AG335" s="516"/>
      <c r="AH335" s="516"/>
      <c r="AI335" s="516"/>
      <c r="AJ335" s="516"/>
      <c r="AK335" s="516"/>
      <c r="AL335" s="516"/>
      <c r="AM335" s="383"/>
      <c r="AO335">
        <f ca="1">IF($A335="S",IF(BM!$I335=0,0,CHOOSE(MATCH(RegimeExecucao,{"Global","Unitário"},0),ROUND(ROUND(BM.MEDAcumulado,15-13*BM!$A$9)/100*BM!$I335,15-13*ORÇAMENTO!$AF$11),ROUND(ROUND(BM.MEDAcumulado,15-13*BM!$A$9)*ROUND(BM!$H335,15-13*ORÇAMENTO!$AF$10),15-13*ORÇAMENTO!$AF$11))),IF($A335=0,0,ROUND(SomaAgrupBM,15-13*ORÇAMENTO!$AF$11)))</f>
        <v>0</v>
      </c>
    </row>
    <row r="336" spans="1:41" ht="38.25" x14ac:dyDescent="0.2">
      <c r="A336" t="str">
        <f ca="1">ORÇAMENTO!C336</f>
        <v>S</v>
      </c>
      <c r="B336">
        <f ca="1">ORÇAMENTO!D336</f>
        <v>0</v>
      </c>
      <c r="C336" s="116" t="str">
        <f t="shared" ca="1" si="22"/>
        <v/>
      </c>
      <c r="D336" s="119" t="str">
        <f ca="1">ORÇAMENTO!O336</f>
        <v>-</v>
      </c>
      <c r="E336" s="172" t="str">
        <f t="shared" ca="1" si="23"/>
        <v>(abra o arquivo 'Referência 06-2024.xlsm)</v>
      </c>
      <c r="F336" s="173" t="str">
        <f ca="1">IF(RegimeExecucao="Global","",ORÇAMENTO.Unidade)</f>
        <v/>
      </c>
      <c r="G336" s="124" t="str">
        <f ca="1">IF(RegimeExecucao="Global","",ORÇAMENTO!T336)</f>
        <v/>
      </c>
      <c r="H336" s="124" t="str">
        <f ca="1">IF(RegimeExecucao="Global","",ORÇAMENTO!W336)</f>
        <v/>
      </c>
      <c r="I336" s="127">
        <f ca="1">ORÇAMENTO!X336</f>
        <v>0</v>
      </c>
      <c r="J336" s="378">
        <f ca="1">IF($A336="S",IF(CAIXA.Modo,BM.AFAnterior,BM.MEDAnterior),IF(AND(RegimeExecucao="Global",$I336&gt;0,COUNTIF($AB$13:$AM$13,BM.medicao-1)&gt;0),M336/$I336*100,0))</f>
        <v>0</v>
      </c>
      <c r="K336" s="124">
        <f t="shared" ca="1" si="24"/>
        <v>0</v>
      </c>
      <c r="L336" s="379">
        <f ca="1">IF($A336="S",IF(CAIXA.Modo,BM.AFAcumulado,BM.MEDAcumulado),IF(AND(RegimeExecucao="Global",$I336&gt;0,COUNTIF($AB$13:$AM$13,BM.medicao)&gt;0),O336/$I336*100,0))</f>
        <v>0</v>
      </c>
      <c r="M336" s="380">
        <f ca="1">IF($A336="S",VTOTALBM,IF($A336=0,0,ROUND(SomaAgrupBM,15-13*ORÇAMENTO!$AF$11)))</f>
        <v>0</v>
      </c>
      <c r="N336" s="381">
        <f t="shared" ca="1" si="25"/>
        <v>0</v>
      </c>
      <c r="O336" s="127">
        <f ca="1">IF($A336="S",VTOTALBM,IF($A336=0,0,ROUND(SomaAgrupBM,15-13*ORÇAMENTO!$AF$11)))</f>
        <v>0</v>
      </c>
      <c r="Q336" s="382"/>
      <c r="R336" s="383"/>
      <c r="T336" s="119" t="str">
        <f t="shared" ca="1" si="26"/>
        <v/>
      </c>
      <c r="U336" s="172" t="str">
        <f t="shared" ca="1" si="27"/>
        <v/>
      </c>
      <c r="V336" s="173" t="str">
        <f ca="1">IF(AND($W336&gt;0,RegimeExecucao="Unitário"),$F336,"")</f>
        <v/>
      </c>
      <c r="W336" s="547">
        <f ca="1">IF($Y336&gt;0,CHOOSE(MATCH(RegimeExecucao,{"Unitário","Global"},0),IF($A336="S",$Y336/$X336,""),($Y336/$X336)*100),0)</f>
        <v>0</v>
      </c>
      <c r="X336" s="384" t="str">
        <f ca="1">IF($Y336&gt;0,CHOOSE(MATCH(RegimeExecucao,{"Unitário","Global"},0),IF($A336="S",ROUND($H336,ORÇAMENTO!$AF$10),""),ROUND($I336,ORÇAMENTO!$AF$11)),"")</f>
        <v/>
      </c>
      <c r="Y336" s="384">
        <f t="shared" ca="1" si="28"/>
        <v>0</v>
      </c>
      <c r="Z336" s="572"/>
      <c r="AB336" s="382"/>
      <c r="AC336" s="516"/>
      <c r="AD336" s="516"/>
      <c r="AE336" s="516"/>
      <c r="AF336" s="516"/>
      <c r="AG336" s="516"/>
      <c r="AH336" s="516"/>
      <c r="AI336" s="516"/>
      <c r="AJ336" s="516"/>
      <c r="AK336" s="516"/>
      <c r="AL336" s="516"/>
      <c r="AM336" s="383"/>
      <c r="AO336">
        <f ca="1">IF($A336="S",IF(BM!$I336=0,0,CHOOSE(MATCH(RegimeExecucao,{"Global","Unitário"},0),ROUND(ROUND(BM.MEDAcumulado,15-13*BM!$A$9)/100*BM!$I336,15-13*ORÇAMENTO!$AF$11),ROUND(ROUND(BM.MEDAcumulado,15-13*BM!$A$9)*ROUND(BM!$H336,15-13*ORÇAMENTO!$AF$10),15-13*ORÇAMENTO!$AF$11))),IF($A336=0,0,ROUND(SomaAgrupBM,15-13*ORÇAMENTO!$AF$11)))</f>
        <v>0</v>
      </c>
    </row>
    <row r="337" spans="1:41" ht="25.5" x14ac:dyDescent="0.2">
      <c r="A337" t="str">
        <f ca="1">ORÇAMENTO!C337</f>
        <v>S</v>
      </c>
      <c r="B337">
        <f ca="1">ORÇAMENTO!D337</f>
        <v>0</v>
      </c>
      <c r="C337" s="116" t="str">
        <f t="shared" ca="1" si="22"/>
        <v/>
      </c>
      <c r="D337" s="119" t="str">
        <f ca="1">ORÇAMENTO!O337</f>
        <v>-</v>
      </c>
      <c r="E337" s="172" t="str">
        <f t="shared" ca="1" si="23"/>
        <v>(abra o arquivo 'Referência 06-2024.xlsm)</v>
      </c>
      <c r="F337" s="173" t="str">
        <f ca="1">IF(RegimeExecucao="Global","",ORÇAMENTO.Unidade)</f>
        <v/>
      </c>
      <c r="G337" s="124" t="str">
        <f ca="1">IF(RegimeExecucao="Global","",ORÇAMENTO!T337)</f>
        <v/>
      </c>
      <c r="H337" s="124" t="str">
        <f ca="1">IF(RegimeExecucao="Global","",ORÇAMENTO!W337)</f>
        <v/>
      </c>
      <c r="I337" s="127">
        <f ca="1">ORÇAMENTO!X337</f>
        <v>0</v>
      </c>
      <c r="J337" s="378">
        <f ca="1">IF($A337="S",IF(CAIXA.Modo,BM.AFAnterior,BM.MEDAnterior),IF(AND(RegimeExecucao="Global",$I337&gt;0,COUNTIF($AB$13:$AM$13,BM.medicao-1)&gt;0),M337/$I337*100,0))</f>
        <v>0</v>
      </c>
      <c r="K337" s="124">
        <f t="shared" ca="1" si="24"/>
        <v>0</v>
      </c>
      <c r="L337" s="379">
        <f ca="1">IF($A337="S",IF(CAIXA.Modo,BM.AFAcumulado,BM.MEDAcumulado),IF(AND(RegimeExecucao="Global",$I337&gt;0,COUNTIF($AB$13:$AM$13,BM.medicao)&gt;0),O337/$I337*100,0))</f>
        <v>0</v>
      </c>
      <c r="M337" s="380">
        <f ca="1">IF($A337="S",VTOTALBM,IF($A337=0,0,ROUND(SomaAgrupBM,15-13*ORÇAMENTO!$AF$11)))</f>
        <v>0</v>
      </c>
      <c r="N337" s="381">
        <f t="shared" ca="1" si="25"/>
        <v>0</v>
      </c>
      <c r="O337" s="127">
        <f ca="1">IF($A337="S",VTOTALBM,IF($A337=0,0,ROUND(SomaAgrupBM,15-13*ORÇAMENTO!$AF$11)))</f>
        <v>0</v>
      </c>
      <c r="Q337" s="382"/>
      <c r="R337" s="383"/>
      <c r="T337" s="119" t="str">
        <f t="shared" ca="1" si="26"/>
        <v/>
      </c>
      <c r="U337" s="172" t="str">
        <f t="shared" ca="1" si="27"/>
        <v/>
      </c>
      <c r="V337" s="173" t="str">
        <f ca="1">IF(AND($W337&gt;0,RegimeExecucao="Unitário"),$F337,"")</f>
        <v/>
      </c>
      <c r="W337" s="547">
        <f ca="1">IF($Y337&gt;0,CHOOSE(MATCH(RegimeExecucao,{"Unitário","Global"},0),IF($A337="S",$Y337/$X337,""),($Y337/$X337)*100),0)</f>
        <v>0</v>
      </c>
      <c r="X337" s="384" t="str">
        <f ca="1">IF($Y337&gt;0,CHOOSE(MATCH(RegimeExecucao,{"Unitário","Global"},0),IF($A337="S",ROUND($H337,ORÇAMENTO!$AF$10),""),ROUND($I337,ORÇAMENTO!$AF$11)),"")</f>
        <v/>
      </c>
      <c r="Y337" s="384">
        <f t="shared" ca="1" si="28"/>
        <v>0</v>
      </c>
      <c r="Z337" s="572"/>
      <c r="AB337" s="382"/>
      <c r="AC337" s="516"/>
      <c r="AD337" s="516"/>
      <c r="AE337" s="516"/>
      <c r="AF337" s="516"/>
      <c r="AG337" s="516"/>
      <c r="AH337" s="516"/>
      <c r="AI337" s="516"/>
      <c r="AJ337" s="516"/>
      <c r="AK337" s="516"/>
      <c r="AL337" s="516"/>
      <c r="AM337" s="383"/>
      <c r="AO337">
        <f ca="1">IF($A337="S",IF(BM!$I337=0,0,CHOOSE(MATCH(RegimeExecucao,{"Global","Unitário"},0),ROUND(ROUND(BM.MEDAcumulado,15-13*BM!$A$9)/100*BM!$I337,15-13*ORÇAMENTO!$AF$11),ROUND(ROUND(BM.MEDAcumulado,15-13*BM!$A$9)*ROUND(BM!$H337,15-13*ORÇAMENTO!$AF$10),15-13*ORÇAMENTO!$AF$11))),IF($A337=0,0,ROUND(SomaAgrupBM,15-13*ORÇAMENTO!$AF$11)))</f>
        <v>0</v>
      </c>
    </row>
    <row r="338" spans="1:41" ht="38.25" x14ac:dyDescent="0.2">
      <c r="A338" t="str">
        <f ca="1">ORÇAMENTO!C338</f>
        <v>S</v>
      </c>
      <c r="B338">
        <f ca="1">ORÇAMENTO!D338</f>
        <v>0</v>
      </c>
      <c r="C338" s="116" t="str">
        <f t="shared" ca="1" si="22"/>
        <v/>
      </c>
      <c r="D338" s="119" t="str">
        <f ca="1">ORÇAMENTO!O338</f>
        <v>-</v>
      </c>
      <c r="E338" s="172" t="str">
        <f t="shared" ca="1" si="23"/>
        <v>(abra o arquivo 'Referência 06-2024.xlsm)</v>
      </c>
      <c r="F338" s="173" t="str">
        <f ca="1">IF(RegimeExecucao="Global","",ORÇAMENTO.Unidade)</f>
        <v/>
      </c>
      <c r="G338" s="124" t="str">
        <f ca="1">IF(RegimeExecucao="Global","",ORÇAMENTO!T338)</f>
        <v/>
      </c>
      <c r="H338" s="124" t="str">
        <f ca="1">IF(RegimeExecucao="Global","",ORÇAMENTO!W338)</f>
        <v/>
      </c>
      <c r="I338" s="127">
        <f ca="1">ORÇAMENTO!X338</f>
        <v>0</v>
      </c>
      <c r="J338" s="378">
        <f ca="1">IF($A338="S",IF(CAIXA.Modo,BM.AFAnterior,BM.MEDAnterior),IF(AND(RegimeExecucao="Global",$I338&gt;0,COUNTIF($AB$13:$AM$13,BM.medicao-1)&gt;0),M338/$I338*100,0))</f>
        <v>0</v>
      </c>
      <c r="K338" s="124">
        <f t="shared" ca="1" si="24"/>
        <v>0</v>
      </c>
      <c r="L338" s="379">
        <f ca="1">IF($A338="S",IF(CAIXA.Modo,BM.AFAcumulado,BM.MEDAcumulado),IF(AND(RegimeExecucao="Global",$I338&gt;0,COUNTIF($AB$13:$AM$13,BM.medicao)&gt;0),O338/$I338*100,0))</f>
        <v>0</v>
      </c>
      <c r="M338" s="380">
        <f ca="1">IF($A338="S",VTOTALBM,IF($A338=0,0,ROUND(SomaAgrupBM,15-13*ORÇAMENTO!$AF$11)))</f>
        <v>0</v>
      </c>
      <c r="N338" s="381">
        <f t="shared" ca="1" si="25"/>
        <v>0</v>
      </c>
      <c r="O338" s="127">
        <f ca="1">IF($A338="S",VTOTALBM,IF($A338=0,0,ROUND(SomaAgrupBM,15-13*ORÇAMENTO!$AF$11)))</f>
        <v>0</v>
      </c>
      <c r="Q338" s="382"/>
      <c r="R338" s="383"/>
      <c r="T338" s="119" t="str">
        <f t="shared" ca="1" si="26"/>
        <v/>
      </c>
      <c r="U338" s="172" t="str">
        <f t="shared" ca="1" si="27"/>
        <v/>
      </c>
      <c r="V338" s="173" t="str">
        <f ca="1">IF(AND($W338&gt;0,RegimeExecucao="Unitário"),$F338,"")</f>
        <v/>
      </c>
      <c r="W338" s="547">
        <f ca="1">IF($Y338&gt;0,CHOOSE(MATCH(RegimeExecucao,{"Unitário","Global"},0),IF($A338="S",$Y338/$X338,""),($Y338/$X338)*100),0)</f>
        <v>0</v>
      </c>
      <c r="X338" s="384" t="str">
        <f ca="1">IF($Y338&gt;0,CHOOSE(MATCH(RegimeExecucao,{"Unitário","Global"},0),IF($A338="S",ROUND($H338,ORÇAMENTO!$AF$10),""),ROUND($I338,ORÇAMENTO!$AF$11)),"")</f>
        <v/>
      </c>
      <c r="Y338" s="384">
        <f t="shared" ca="1" si="28"/>
        <v>0</v>
      </c>
      <c r="Z338" s="572"/>
      <c r="AB338" s="382"/>
      <c r="AC338" s="516"/>
      <c r="AD338" s="516"/>
      <c r="AE338" s="516"/>
      <c r="AF338" s="516"/>
      <c r="AG338" s="516"/>
      <c r="AH338" s="516"/>
      <c r="AI338" s="516"/>
      <c r="AJ338" s="516"/>
      <c r="AK338" s="516"/>
      <c r="AL338" s="516"/>
      <c r="AM338" s="383"/>
      <c r="AO338">
        <f ca="1">IF($A338="S",IF(BM!$I338=0,0,CHOOSE(MATCH(RegimeExecucao,{"Global","Unitário"},0),ROUND(ROUND(BM.MEDAcumulado,15-13*BM!$A$9)/100*BM!$I338,15-13*ORÇAMENTO!$AF$11),ROUND(ROUND(BM.MEDAcumulado,15-13*BM!$A$9)*ROUND(BM!$H338,15-13*ORÇAMENTO!$AF$10),15-13*ORÇAMENTO!$AF$11))),IF($A338=0,0,ROUND(SomaAgrupBM,15-13*ORÇAMENTO!$AF$11)))</f>
        <v>0</v>
      </c>
    </row>
    <row r="339" spans="1:41" ht="38.25" x14ac:dyDescent="0.2">
      <c r="A339" t="str">
        <f ca="1">ORÇAMENTO!C339</f>
        <v>S</v>
      </c>
      <c r="B339">
        <f ca="1">ORÇAMENTO!D339</f>
        <v>0</v>
      </c>
      <c r="C339" s="116" t="str">
        <f t="shared" ca="1" si="22"/>
        <v/>
      </c>
      <c r="D339" s="119" t="str">
        <f ca="1">ORÇAMENTO!O339</f>
        <v>-</v>
      </c>
      <c r="E339" s="172" t="str">
        <f t="shared" ca="1" si="23"/>
        <v>(abra o arquivo 'Referência 06-2024.xlsm)</v>
      </c>
      <c r="F339" s="173" t="str">
        <f ca="1">IF(RegimeExecucao="Global","",ORÇAMENTO.Unidade)</f>
        <v/>
      </c>
      <c r="G339" s="124" t="str">
        <f ca="1">IF(RegimeExecucao="Global","",ORÇAMENTO!T339)</f>
        <v/>
      </c>
      <c r="H339" s="124" t="str">
        <f ca="1">IF(RegimeExecucao="Global","",ORÇAMENTO!W339)</f>
        <v/>
      </c>
      <c r="I339" s="127">
        <f ca="1">ORÇAMENTO!X339</f>
        <v>0</v>
      </c>
      <c r="J339" s="378">
        <f ca="1">IF($A339="S",IF(CAIXA.Modo,BM.AFAnterior,BM.MEDAnterior),IF(AND(RegimeExecucao="Global",$I339&gt;0,COUNTIF($AB$13:$AM$13,BM.medicao-1)&gt;0),M339/$I339*100,0))</f>
        <v>0</v>
      </c>
      <c r="K339" s="124">
        <f t="shared" ca="1" si="24"/>
        <v>0</v>
      </c>
      <c r="L339" s="379">
        <f ca="1">IF($A339="S",IF(CAIXA.Modo,BM.AFAcumulado,BM.MEDAcumulado),IF(AND(RegimeExecucao="Global",$I339&gt;0,COUNTIF($AB$13:$AM$13,BM.medicao)&gt;0),O339/$I339*100,0))</f>
        <v>0</v>
      </c>
      <c r="M339" s="380">
        <f ca="1">IF($A339="S",VTOTALBM,IF($A339=0,0,ROUND(SomaAgrupBM,15-13*ORÇAMENTO!$AF$11)))</f>
        <v>0</v>
      </c>
      <c r="N339" s="381">
        <f t="shared" ca="1" si="25"/>
        <v>0</v>
      </c>
      <c r="O339" s="127">
        <f ca="1">IF($A339="S",VTOTALBM,IF($A339=0,0,ROUND(SomaAgrupBM,15-13*ORÇAMENTO!$AF$11)))</f>
        <v>0</v>
      </c>
      <c r="Q339" s="382"/>
      <c r="R339" s="383"/>
      <c r="T339" s="119" t="str">
        <f t="shared" ca="1" si="26"/>
        <v/>
      </c>
      <c r="U339" s="172" t="str">
        <f t="shared" ca="1" si="27"/>
        <v/>
      </c>
      <c r="V339" s="173" t="str">
        <f ca="1">IF(AND($W339&gt;0,RegimeExecucao="Unitário"),$F339,"")</f>
        <v/>
      </c>
      <c r="W339" s="547">
        <f ca="1">IF($Y339&gt;0,CHOOSE(MATCH(RegimeExecucao,{"Unitário","Global"},0),IF($A339="S",$Y339/$X339,""),($Y339/$X339)*100),0)</f>
        <v>0</v>
      </c>
      <c r="X339" s="384" t="str">
        <f ca="1">IF($Y339&gt;0,CHOOSE(MATCH(RegimeExecucao,{"Unitário","Global"},0),IF($A339="S",ROUND($H339,ORÇAMENTO!$AF$10),""),ROUND($I339,ORÇAMENTO!$AF$11)),"")</f>
        <v/>
      </c>
      <c r="Y339" s="384">
        <f t="shared" ca="1" si="28"/>
        <v>0</v>
      </c>
      <c r="Z339" s="572"/>
      <c r="AB339" s="382"/>
      <c r="AC339" s="516"/>
      <c r="AD339" s="516"/>
      <c r="AE339" s="516"/>
      <c r="AF339" s="516"/>
      <c r="AG339" s="516"/>
      <c r="AH339" s="516"/>
      <c r="AI339" s="516"/>
      <c r="AJ339" s="516"/>
      <c r="AK339" s="516"/>
      <c r="AL339" s="516"/>
      <c r="AM339" s="383"/>
      <c r="AO339">
        <f ca="1">IF($A339="S",IF(BM!$I339=0,0,CHOOSE(MATCH(RegimeExecucao,{"Global","Unitário"},0),ROUND(ROUND(BM.MEDAcumulado,15-13*BM!$A$9)/100*BM!$I339,15-13*ORÇAMENTO!$AF$11),ROUND(ROUND(BM.MEDAcumulado,15-13*BM!$A$9)*ROUND(BM!$H339,15-13*ORÇAMENTO!$AF$10),15-13*ORÇAMENTO!$AF$11))),IF($A339=0,0,ROUND(SomaAgrupBM,15-13*ORÇAMENTO!$AF$11)))</f>
        <v>0</v>
      </c>
    </row>
    <row r="340" spans="1:41" ht="38.25" x14ac:dyDescent="0.2">
      <c r="A340" t="str">
        <f ca="1">ORÇAMENTO!C340</f>
        <v>S</v>
      </c>
      <c r="B340">
        <f ca="1">ORÇAMENTO!D340</f>
        <v>0</v>
      </c>
      <c r="C340" s="116" t="str">
        <f t="shared" ca="1" si="22"/>
        <v/>
      </c>
      <c r="D340" s="119" t="str">
        <f ca="1">ORÇAMENTO!O340</f>
        <v>-</v>
      </c>
      <c r="E340" s="172" t="str">
        <f t="shared" ca="1" si="23"/>
        <v>(abra o arquivo 'Referência 06-2024.xlsm)</v>
      </c>
      <c r="F340" s="173" t="str">
        <f ca="1">IF(RegimeExecucao="Global","",ORÇAMENTO.Unidade)</f>
        <v/>
      </c>
      <c r="G340" s="124" t="str">
        <f ca="1">IF(RegimeExecucao="Global","",ORÇAMENTO!T340)</f>
        <v/>
      </c>
      <c r="H340" s="124" t="str">
        <f ca="1">IF(RegimeExecucao="Global","",ORÇAMENTO!W340)</f>
        <v/>
      </c>
      <c r="I340" s="127">
        <f ca="1">ORÇAMENTO!X340</f>
        <v>0</v>
      </c>
      <c r="J340" s="378">
        <f ca="1">IF($A340="S",IF(CAIXA.Modo,BM.AFAnterior,BM.MEDAnterior),IF(AND(RegimeExecucao="Global",$I340&gt;0,COUNTIF($AB$13:$AM$13,BM.medicao-1)&gt;0),M340/$I340*100,0))</f>
        <v>0</v>
      </c>
      <c r="K340" s="124">
        <f t="shared" ca="1" si="24"/>
        <v>0</v>
      </c>
      <c r="L340" s="379">
        <f ca="1">IF($A340="S",IF(CAIXA.Modo,BM.AFAcumulado,BM.MEDAcumulado),IF(AND(RegimeExecucao="Global",$I340&gt;0,COUNTIF($AB$13:$AM$13,BM.medicao)&gt;0),O340/$I340*100,0))</f>
        <v>0</v>
      </c>
      <c r="M340" s="380">
        <f ca="1">IF($A340="S",VTOTALBM,IF($A340=0,0,ROUND(SomaAgrupBM,15-13*ORÇAMENTO!$AF$11)))</f>
        <v>0</v>
      </c>
      <c r="N340" s="381">
        <f t="shared" ca="1" si="25"/>
        <v>0</v>
      </c>
      <c r="O340" s="127">
        <f ca="1">IF($A340="S",VTOTALBM,IF($A340=0,0,ROUND(SomaAgrupBM,15-13*ORÇAMENTO!$AF$11)))</f>
        <v>0</v>
      </c>
      <c r="Q340" s="382"/>
      <c r="R340" s="383"/>
      <c r="T340" s="119" t="str">
        <f t="shared" ca="1" si="26"/>
        <v/>
      </c>
      <c r="U340" s="172" t="str">
        <f t="shared" ca="1" si="27"/>
        <v/>
      </c>
      <c r="V340" s="173" t="str">
        <f ca="1">IF(AND($W340&gt;0,RegimeExecucao="Unitário"),$F340,"")</f>
        <v/>
      </c>
      <c r="W340" s="547">
        <f ca="1">IF($Y340&gt;0,CHOOSE(MATCH(RegimeExecucao,{"Unitário","Global"},0),IF($A340="S",$Y340/$X340,""),($Y340/$X340)*100),0)</f>
        <v>0</v>
      </c>
      <c r="X340" s="384" t="str">
        <f ca="1">IF($Y340&gt;0,CHOOSE(MATCH(RegimeExecucao,{"Unitário","Global"},0),IF($A340="S",ROUND($H340,ORÇAMENTO!$AF$10),""),ROUND($I340,ORÇAMENTO!$AF$11)),"")</f>
        <v/>
      </c>
      <c r="Y340" s="384">
        <f t="shared" ca="1" si="28"/>
        <v>0</v>
      </c>
      <c r="Z340" s="572"/>
      <c r="AB340" s="382"/>
      <c r="AC340" s="516"/>
      <c r="AD340" s="516"/>
      <c r="AE340" s="516"/>
      <c r="AF340" s="516"/>
      <c r="AG340" s="516"/>
      <c r="AH340" s="516"/>
      <c r="AI340" s="516"/>
      <c r="AJ340" s="516"/>
      <c r="AK340" s="516"/>
      <c r="AL340" s="516"/>
      <c r="AM340" s="383"/>
      <c r="AO340">
        <f ca="1">IF($A340="S",IF(BM!$I340=0,0,CHOOSE(MATCH(RegimeExecucao,{"Global","Unitário"},0),ROUND(ROUND(BM.MEDAcumulado,15-13*BM!$A$9)/100*BM!$I340,15-13*ORÇAMENTO!$AF$11),ROUND(ROUND(BM.MEDAcumulado,15-13*BM!$A$9)*ROUND(BM!$H340,15-13*ORÇAMENTO!$AF$10),15-13*ORÇAMENTO!$AF$11))),IF($A340=0,0,ROUND(SomaAgrupBM,15-13*ORÇAMENTO!$AF$11)))</f>
        <v>0</v>
      </c>
    </row>
    <row r="341" spans="1:41" ht="38.25" x14ac:dyDescent="0.2">
      <c r="A341" t="str">
        <f ca="1">ORÇAMENTO!C341</f>
        <v>S</v>
      </c>
      <c r="B341">
        <f ca="1">ORÇAMENTO!D341</f>
        <v>0</v>
      </c>
      <c r="C341" s="116" t="str">
        <f t="shared" ca="1" si="22"/>
        <v/>
      </c>
      <c r="D341" s="119" t="str">
        <f ca="1">ORÇAMENTO!O341</f>
        <v>-</v>
      </c>
      <c r="E341" s="172" t="str">
        <f t="shared" ca="1" si="23"/>
        <v>(abra o arquivo 'Referência 06-2024.xlsm)</v>
      </c>
      <c r="F341" s="173" t="str">
        <f ca="1">IF(RegimeExecucao="Global","",ORÇAMENTO.Unidade)</f>
        <v/>
      </c>
      <c r="G341" s="124" t="str">
        <f ca="1">IF(RegimeExecucao="Global","",ORÇAMENTO!T341)</f>
        <v/>
      </c>
      <c r="H341" s="124" t="str">
        <f ca="1">IF(RegimeExecucao="Global","",ORÇAMENTO!W341)</f>
        <v/>
      </c>
      <c r="I341" s="127">
        <f ca="1">ORÇAMENTO!X341</f>
        <v>0</v>
      </c>
      <c r="J341" s="378">
        <f ca="1">IF($A341="S",IF(CAIXA.Modo,BM.AFAnterior,BM.MEDAnterior),IF(AND(RegimeExecucao="Global",$I341&gt;0,COUNTIF($AB$13:$AM$13,BM.medicao-1)&gt;0),M341/$I341*100,0))</f>
        <v>0</v>
      </c>
      <c r="K341" s="124">
        <f t="shared" ca="1" si="24"/>
        <v>0</v>
      </c>
      <c r="L341" s="379">
        <f ca="1">IF($A341="S",IF(CAIXA.Modo,BM.AFAcumulado,BM.MEDAcumulado),IF(AND(RegimeExecucao="Global",$I341&gt;0,COUNTIF($AB$13:$AM$13,BM.medicao)&gt;0),O341/$I341*100,0))</f>
        <v>0</v>
      </c>
      <c r="M341" s="380">
        <f ca="1">IF($A341="S",VTOTALBM,IF($A341=0,0,ROUND(SomaAgrupBM,15-13*ORÇAMENTO!$AF$11)))</f>
        <v>0</v>
      </c>
      <c r="N341" s="381">
        <f t="shared" ca="1" si="25"/>
        <v>0</v>
      </c>
      <c r="O341" s="127">
        <f ca="1">IF($A341="S",VTOTALBM,IF($A341=0,0,ROUND(SomaAgrupBM,15-13*ORÇAMENTO!$AF$11)))</f>
        <v>0</v>
      </c>
      <c r="Q341" s="382"/>
      <c r="R341" s="383"/>
      <c r="T341" s="119" t="str">
        <f t="shared" ca="1" si="26"/>
        <v/>
      </c>
      <c r="U341" s="172" t="str">
        <f t="shared" ca="1" si="27"/>
        <v/>
      </c>
      <c r="V341" s="173" t="str">
        <f ca="1">IF(AND($W341&gt;0,RegimeExecucao="Unitário"),$F341,"")</f>
        <v/>
      </c>
      <c r="W341" s="547">
        <f ca="1">IF($Y341&gt;0,CHOOSE(MATCH(RegimeExecucao,{"Unitário","Global"},0),IF($A341="S",$Y341/$X341,""),($Y341/$X341)*100),0)</f>
        <v>0</v>
      </c>
      <c r="X341" s="384" t="str">
        <f ca="1">IF($Y341&gt;0,CHOOSE(MATCH(RegimeExecucao,{"Unitário","Global"},0),IF($A341="S",ROUND($H341,ORÇAMENTO!$AF$10),""),ROUND($I341,ORÇAMENTO!$AF$11)),"")</f>
        <v/>
      </c>
      <c r="Y341" s="384">
        <f t="shared" ca="1" si="28"/>
        <v>0</v>
      </c>
      <c r="Z341" s="572"/>
      <c r="AB341" s="382"/>
      <c r="AC341" s="516"/>
      <c r="AD341" s="516"/>
      <c r="AE341" s="516"/>
      <c r="AF341" s="516"/>
      <c r="AG341" s="516"/>
      <c r="AH341" s="516"/>
      <c r="AI341" s="516"/>
      <c r="AJ341" s="516"/>
      <c r="AK341" s="516"/>
      <c r="AL341" s="516"/>
      <c r="AM341" s="383"/>
      <c r="AO341">
        <f ca="1">IF($A341="S",IF(BM!$I341=0,0,CHOOSE(MATCH(RegimeExecucao,{"Global","Unitário"},0),ROUND(ROUND(BM.MEDAcumulado,15-13*BM!$A$9)/100*BM!$I341,15-13*ORÇAMENTO!$AF$11),ROUND(ROUND(BM.MEDAcumulado,15-13*BM!$A$9)*ROUND(BM!$H341,15-13*ORÇAMENTO!$AF$10),15-13*ORÇAMENTO!$AF$11))),IF($A341=0,0,ROUND(SomaAgrupBM,15-13*ORÇAMENTO!$AF$11)))</f>
        <v>0</v>
      </c>
    </row>
    <row r="342" spans="1:41" ht="38.25" x14ac:dyDescent="0.2">
      <c r="A342" t="str">
        <f ca="1">ORÇAMENTO!C342</f>
        <v>S</v>
      </c>
      <c r="B342">
        <f ca="1">ORÇAMENTO!D342</f>
        <v>0</v>
      </c>
      <c r="C342" s="116" t="str">
        <f t="shared" ca="1" si="22"/>
        <v/>
      </c>
      <c r="D342" s="119" t="str">
        <f ca="1">ORÇAMENTO!O342</f>
        <v>-</v>
      </c>
      <c r="E342" s="172" t="str">
        <f t="shared" ca="1" si="23"/>
        <v>(abra o arquivo 'Referência 06-2024.xlsm)</v>
      </c>
      <c r="F342" s="173" t="str">
        <f ca="1">IF(RegimeExecucao="Global","",ORÇAMENTO.Unidade)</f>
        <v/>
      </c>
      <c r="G342" s="124" t="str">
        <f ca="1">IF(RegimeExecucao="Global","",ORÇAMENTO!T342)</f>
        <v/>
      </c>
      <c r="H342" s="124" t="str">
        <f ca="1">IF(RegimeExecucao="Global","",ORÇAMENTO!W342)</f>
        <v/>
      </c>
      <c r="I342" s="127">
        <f ca="1">ORÇAMENTO!X342</f>
        <v>0</v>
      </c>
      <c r="J342" s="378">
        <f ca="1">IF($A342="S",IF(CAIXA.Modo,BM.AFAnterior,BM.MEDAnterior),IF(AND(RegimeExecucao="Global",$I342&gt;0,COUNTIF($AB$13:$AM$13,BM.medicao-1)&gt;0),M342/$I342*100,0))</f>
        <v>0</v>
      </c>
      <c r="K342" s="124">
        <f t="shared" ca="1" si="24"/>
        <v>0</v>
      </c>
      <c r="L342" s="379">
        <f ca="1">IF($A342="S",IF(CAIXA.Modo,BM.AFAcumulado,BM.MEDAcumulado),IF(AND(RegimeExecucao="Global",$I342&gt;0,COUNTIF($AB$13:$AM$13,BM.medicao)&gt;0),O342/$I342*100,0))</f>
        <v>0</v>
      </c>
      <c r="M342" s="380">
        <f ca="1">IF($A342="S",VTOTALBM,IF($A342=0,0,ROUND(SomaAgrupBM,15-13*ORÇAMENTO!$AF$11)))</f>
        <v>0</v>
      </c>
      <c r="N342" s="381">
        <f t="shared" ca="1" si="25"/>
        <v>0</v>
      </c>
      <c r="O342" s="127">
        <f ca="1">IF($A342="S",VTOTALBM,IF($A342=0,0,ROUND(SomaAgrupBM,15-13*ORÇAMENTO!$AF$11)))</f>
        <v>0</v>
      </c>
      <c r="Q342" s="382"/>
      <c r="R342" s="383"/>
      <c r="T342" s="119" t="str">
        <f t="shared" ca="1" si="26"/>
        <v/>
      </c>
      <c r="U342" s="172" t="str">
        <f t="shared" ca="1" si="27"/>
        <v/>
      </c>
      <c r="V342" s="173" t="str">
        <f ca="1">IF(AND($W342&gt;0,RegimeExecucao="Unitário"),$F342,"")</f>
        <v/>
      </c>
      <c r="W342" s="547">
        <f ca="1">IF($Y342&gt;0,CHOOSE(MATCH(RegimeExecucao,{"Unitário","Global"},0),IF($A342="S",$Y342/$X342,""),($Y342/$X342)*100),0)</f>
        <v>0</v>
      </c>
      <c r="X342" s="384" t="str">
        <f ca="1">IF($Y342&gt;0,CHOOSE(MATCH(RegimeExecucao,{"Unitário","Global"},0),IF($A342="S",ROUND($H342,ORÇAMENTO!$AF$10),""),ROUND($I342,ORÇAMENTO!$AF$11)),"")</f>
        <v/>
      </c>
      <c r="Y342" s="384">
        <f t="shared" ca="1" si="28"/>
        <v>0</v>
      </c>
      <c r="Z342" s="572"/>
      <c r="AB342" s="382"/>
      <c r="AC342" s="516"/>
      <c r="AD342" s="516"/>
      <c r="AE342" s="516"/>
      <c r="AF342" s="516"/>
      <c r="AG342" s="516"/>
      <c r="AH342" s="516"/>
      <c r="AI342" s="516"/>
      <c r="AJ342" s="516"/>
      <c r="AK342" s="516"/>
      <c r="AL342" s="516"/>
      <c r="AM342" s="383"/>
      <c r="AO342">
        <f ca="1">IF($A342="S",IF(BM!$I342=0,0,CHOOSE(MATCH(RegimeExecucao,{"Global","Unitário"},0),ROUND(ROUND(BM.MEDAcumulado,15-13*BM!$A$9)/100*BM!$I342,15-13*ORÇAMENTO!$AF$11),ROUND(ROUND(BM.MEDAcumulado,15-13*BM!$A$9)*ROUND(BM!$H342,15-13*ORÇAMENTO!$AF$10),15-13*ORÇAMENTO!$AF$11))),IF($A342=0,0,ROUND(SomaAgrupBM,15-13*ORÇAMENTO!$AF$11)))</f>
        <v>0</v>
      </c>
    </row>
    <row r="343" spans="1:41" ht="38.25" x14ac:dyDescent="0.2">
      <c r="A343" t="str">
        <f ca="1">ORÇAMENTO!C343</f>
        <v>S</v>
      </c>
      <c r="B343">
        <f ca="1">ORÇAMENTO!D343</f>
        <v>0</v>
      </c>
      <c r="C343" s="116" t="str">
        <f t="shared" ca="1" si="22"/>
        <v/>
      </c>
      <c r="D343" s="119" t="str">
        <f ca="1">ORÇAMENTO!O343</f>
        <v>-</v>
      </c>
      <c r="E343" s="172" t="str">
        <f t="shared" ca="1" si="23"/>
        <v>(abra o arquivo 'Referência 06-2024.xlsm)</v>
      </c>
      <c r="F343" s="173" t="str">
        <f ca="1">IF(RegimeExecucao="Global","",ORÇAMENTO.Unidade)</f>
        <v/>
      </c>
      <c r="G343" s="124" t="str">
        <f ca="1">IF(RegimeExecucao="Global","",ORÇAMENTO!T343)</f>
        <v/>
      </c>
      <c r="H343" s="124" t="str">
        <f ca="1">IF(RegimeExecucao="Global","",ORÇAMENTO!W343)</f>
        <v/>
      </c>
      <c r="I343" s="127">
        <f ca="1">ORÇAMENTO!X343</f>
        <v>0</v>
      </c>
      <c r="J343" s="378">
        <f ca="1">IF($A343="S",IF(CAIXA.Modo,BM.AFAnterior,BM.MEDAnterior),IF(AND(RegimeExecucao="Global",$I343&gt;0,COUNTIF($AB$13:$AM$13,BM.medicao-1)&gt;0),M343/$I343*100,0))</f>
        <v>0</v>
      </c>
      <c r="K343" s="124">
        <f t="shared" ca="1" si="24"/>
        <v>0</v>
      </c>
      <c r="L343" s="379">
        <f ca="1">IF($A343="S",IF(CAIXA.Modo,BM.AFAcumulado,BM.MEDAcumulado),IF(AND(RegimeExecucao="Global",$I343&gt;0,COUNTIF($AB$13:$AM$13,BM.medicao)&gt;0),O343/$I343*100,0))</f>
        <v>0</v>
      </c>
      <c r="M343" s="380">
        <f ca="1">IF($A343="S",VTOTALBM,IF($A343=0,0,ROUND(SomaAgrupBM,15-13*ORÇAMENTO!$AF$11)))</f>
        <v>0</v>
      </c>
      <c r="N343" s="381">
        <f t="shared" ca="1" si="25"/>
        <v>0</v>
      </c>
      <c r="O343" s="127">
        <f ca="1">IF($A343="S",VTOTALBM,IF($A343=0,0,ROUND(SomaAgrupBM,15-13*ORÇAMENTO!$AF$11)))</f>
        <v>0</v>
      </c>
      <c r="Q343" s="382"/>
      <c r="R343" s="383"/>
      <c r="T343" s="119" t="str">
        <f t="shared" ca="1" si="26"/>
        <v/>
      </c>
      <c r="U343" s="172" t="str">
        <f t="shared" ca="1" si="27"/>
        <v/>
      </c>
      <c r="V343" s="173" t="str">
        <f ca="1">IF(AND($W343&gt;0,RegimeExecucao="Unitário"),$F343,"")</f>
        <v/>
      </c>
      <c r="W343" s="547">
        <f ca="1">IF($Y343&gt;0,CHOOSE(MATCH(RegimeExecucao,{"Unitário","Global"},0),IF($A343="S",$Y343/$X343,""),($Y343/$X343)*100),0)</f>
        <v>0</v>
      </c>
      <c r="X343" s="384" t="str">
        <f ca="1">IF($Y343&gt;0,CHOOSE(MATCH(RegimeExecucao,{"Unitário","Global"},0),IF($A343="S",ROUND($H343,ORÇAMENTO!$AF$10),""),ROUND($I343,ORÇAMENTO!$AF$11)),"")</f>
        <v/>
      </c>
      <c r="Y343" s="384">
        <f t="shared" ca="1" si="28"/>
        <v>0</v>
      </c>
      <c r="Z343" s="572"/>
      <c r="AB343" s="382"/>
      <c r="AC343" s="516"/>
      <c r="AD343" s="516"/>
      <c r="AE343" s="516"/>
      <c r="AF343" s="516"/>
      <c r="AG343" s="516"/>
      <c r="AH343" s="516"/>
      <c r="AI343" s="516"/>
      <c r="AJ343" s="516"/>
      <c r="AK343" s="516"/>
      <c r="AL343" s="516"/>
      <c r="AM343" s="383"/>
      <c r="AO343">
        <f ca="1">IF($A343="S",IF(BM!$I343=0,0,CHOOSE(MATCH(RegimeExecucao,{"Global","Unitário"},0),ROUND(ROUND(BM.MEDAcumulado,15-13*BM!$A$9)/100*BM!$I343,15-13*ORÇAMENTO!$AF$11),ROUND(ROUND(BM.MEDAcumulado,15-13*BM!$A$9)*ROUND(BM!$H343,15-13*ORÇAMENTO!$AF$10),15-13*ORÇAMENTO!$AF$11))),IF($A343=0,0,ROUND(SomaAgrupBM,15-13*ORÇAMENTO!$AF$11)))</f>
        <v>0</v>
      </c>
    </row>
    <row r="344" spans="1:41" ht="38.25" x14ac:dyDescent="0.2">
      <c r="A344" t="str">
        <f ca="1">ORÇAMENTO!C344</f>
        <v>S</v>
      </c>
      <c r="B344">
        <f ca="1">ORÇAMENTO!D344</f>
        <v>0</v>
      </c>
      <c r="C344" s="116" t="str">
        <f t="shared" ca="1" si="22"/>
        <v/>
      </c>
      <c r="D344" s="119" t="str">
        <f ca="1">ORÇAMENTO!O344</f>
        <v>-</v>
      </c>
      <c r="E344" s="172" t="str">
        <f t="shared" ca="1" si="23"/>
        <v>(abra o arquivo 'Referência 06-2024.xlsm)</v>
      </c>
      <c r="F344" s="173" t="str">
        <f ca="1">IF(RegimeExecucao="Global","",ORÇAMENTO.Unidade)</f>
        <v/>
      </c>
      <c r="G344" s="124" t="str">
        <f ca="1">IF(RegimeExecucao="Global","",ORÇAMENTO!T344)</f>
        <v/>
      </c>
      <c r="H344" s="124" t="str">
        <f ca="1">IF(RegimeExecucao="Global","",ORÇAMENTO!W344)</f>
        <v/>
      </c>
      <c r="I344" s="127">
        <f ca="1">ORÇAMENTO!X344</f>
        <v>0</v>
      </c>
      <c r="J344" s="378">
        <f ca="1">IF($A344="S",IF(CAIXA.Modo,BM.AFAnterior,BM.MEDAnterior),IF(AND(RegimeExecucao="Global",$I344&gt;0,COUNTIF($AB$13:$AM$13,BM.medicao-1)&gt;0),M344/$I344*100,0))</f>
        <v>0</v>
      </c>
      <c r="K344" s="124">
        <f t="shared" ca="1" si="24"/>
        <v>0</v>
      </c>
      <c r="L344" s="379">
        <f ca="1">IF($A344="S",IF(CAIXA.Modo,BM.AFAcumulado,BM.MEDAcumulado),IF(AND(RegimeExecucao="Global",$I344&gt;0,COUNTIF($AB$13:$AM$13,BM.medicao)&gt;0),O344/$I344*100,0))</f>
        <v>0</v>
      </c>
      <c r="M344" s="380">
        <f ca="1">IF($A344="S",VTOTALBM,IF($A344=0,0,ROUND(SomaAgrupBM,15-13*ORÇAMENTO!$AF$11)))</f>
        <v>0</v>
      </c>
      <c r="N344" s="381">
        <f t="shared" ca="1" si="25"/>
        <v>0</v>
      </c>
      <c r="O344" s="127">
        <f ca="1">IF($A344="S",VTOTALBM,IF($A344=0,0,ROUND(SomaAgrupBM,15-13*ORÇAMENTO!$AF$11)))</f>
        <v>0</v>
      </c>
      <c r="Q344" s="382"/>
      <c r="R344" s="383"/>
      <c r="T344" s="119" t="str">
        <f t="shared" ca="1" si="26"/>
        <v/>
      </c>
      <c r="U344" s="172" t="str">
        <f t="shared" ca="1" si="27"/>
        <v/>
      </c>
      <c r="V344" s="173" t="str">
        <f ca="1">IF(AND($W344&gt;0,RegimeExecucao="Unitário"),$F344,"")</f>
        <v/>
      </c>
      <c r="W344" s="547">
        <f ca="1">IF($Y344&gt;0,CHOOSE(MATCH(RegimeExecucao,{"Unitário","Global"},0),IF($A344="S",$Y344/$X344,""),($Y344/$X344)*100),0)</f>
        <v>0</v>
      </c>
      <c r="X344" s="384" t="str">
        <f ca="1">IF($Y344&gt;0,CHOOSE(MATCH(RegimeExecucao,{"Unitário","Global"},0),IF($A344="S",ROUND($H344,ORÇAMENTO!$AF$10),""),ROUND($I344,ORÇAMENTO!$AF$11)),"")</f>
        <v/>
      </c>
      <c r="Y344" s="384">
        <f t="shared" ca="1" si="28"/>
        <v>0</v>
      </c>
      <c r="Z344" s="572"/>
      <c r="AB344" s="382"/>
      <c r="AC344" s="516"/>
      <c r="AD344" s="516"/>
      <c r="AE344" s="516"/>
      <c r="AF344" s="516"/>
      <c r="AG344" s="516"/>
      <c r="AH344" s="516"/>
      <c r="AI344" s="516"/>
      <c r="AJ344" s="516"/>
      <c r="AK344" s="516"/>
      <c r="AL344" s="516"/>
      <c r="AM344" s="383"/>
      <c r="AO344">
        <f ca="1">IF($A344="S",IF(BM!$I344=0,0,CHOOSE(MATCH(RegimeExecucao,{"Global","Unitário"},0),ROUND(ROUND(BM.MEDAcumulado,15-13*BM!$A$9)/100*BM!$I344,15-13*ORÇAMENTO!$AF$11),ROUND(ROUND(BM.MEDAcumulado,15-13*BM!$A$9)*ROUND(BM!$H344,15-13*ORÇAMENTO!$AF$10),15-13*ORÇAMENTO!$AF$11))),IF($A344=0,0,ROUND(SomaAgrupBM,15-13*ORÇAMENTO!$AF$11)))</f>
        <v>0</v>
      </c>
    </row>
    <row r="345" spans="1:41" ht="38.25" x14ac:dyDescent="0.2">
      <c r="A345" t="str">
        <f ca="1">ORÇAMENTO!C345</f>
        <v>S</v>
      </c>
      <c r="B345">
        <f ca="1">ORÇAMENTO!D345</f>
        <v>0</v>
      </c>
      <c r="C345" s="116" t="str">
        <f t="shared" ca="1" si="22"/>
        <v/>
      </c>
      <c r="D345" s="119" t="str">
        <f ca="1">ORÇAMENTO!O345</f>
        <v>-</v>
      </c>
      <c r="E345" s="172" t="str">
        <f t="shared" ca="1" si="23"/>
        <v>(abra o arquivo 'Referência 06-2024.xlsm)</v>
      </c>
      <c r="F345" s="173" t="str">
        <f ca="1">IF(RegimeExecucao="Global","",ORÇAMENTO.Unidade)</f>
        <v/>
      </c>
      <c r="G345" s="124" t="str">
        <f ca="1">IF(RegimeExecucao="Global","",ORÇAMENTO!T345)</f>
        <v/>
      </c>
      <c r="H345" s="124" t="str">
        <f ca="1">IF(RegimeExecucao="Global","",ORÇAMENTO!W345)</f>
        <v/>
      </c>
      <c r="I345" s="127">
        <f ca="1">ORÇAMENTO!X345</f>
        <v>0</v>
      </c>
      <c r="J345" s="378">
        <f ca="1">IF($A345="S",IF(CAIXA.Modo,BM.AFAnterior,BM.MEDAnterior),IF(AND(RegimeExecucao="Global",$I345&gt;0,COUNTIF($AB$13:$AM$13,BM.medicao-1)&gt;0),M345/$I345*100,0))</f>
        <v>0</v>
      </c>
      <c r="K345" s="124">
        <f t="shared" ca="1" si="24"/>
        <v>0</v>
      </c>
      <c r="L345" s="379">
        <f ca="1">IF($A345="S",IF(CAIXA.Modo,BM.AFAcumulado,BM.MEDAcumulado),IF(AND(RegimeExecucao="Global",$I345&gt;0,COUNTIF($AB$13:$AM$13,BM.medicao)&gt;0),O345/$I345*100,0))</f>
        <v>0</v>
      </c>
      <c r="M345" s="380">
        <f ca="1">IF($A345="S",VTOTALBM,IF($A345=0,0,ROUND(SomaAgrupBM,15-13*ORÇAMENTO!$AF$11)))</f>
        <v>0</v>
      </c>
      <c r="N345" s="381">
        <f t="shared" ca="1" si="25"/>
        <v>0</v>
      </c>
      <c r="O345" s="127">
        <f ca="1">IF($A345="S",VTOTALBM,IF($A345=0,0,ROUND(SomaAgrupBM,15-13*ORÇAMENTO!$AF$11)))</f>
        <v>0</v>
      </c>
      <c r="Q345" s="382"/>
      <c r="R345" s="383"/>
      <c r="T345" s="119" t="str">
        <f t="shared" ca="1" si="26"/>
        <v/>
      </c>
      <c r="U345" s="172" t="str">
        <f t="shared" ca="1" si="27"/>
        <v/>
      </c>
      <c r="V345" s="173" t="str">
        <f ca="1">IF(AND($W345&gt;0,RegimeExecucao="Unitário"),$F345,"")</f>
        <v/>
      </c>
      <c r="W345" s="547">
        <f ca="1">IF($Y345&gt;0,CHOOSE(MATCH(RegimeExecucao,{"Unitário","Global"},0),IF($A345="S",$Y345/$X345,""),($Y345/$X345)*100),0)</f>
        <v>0</v>
      </c>
      <c r="X345" s="384" t="str">
        <f ca="1">IF($Y345&gt;0,CHOOSE(MATCH(RegimeExecucao,{"Unitário","Global"},0),IF($A345="S",ROUND($H345,ORÇAMENTO!$AF$10),""),ROUND($I345,ORÇAMENTO!$AF$11)),"")</f>
        <v/>
      </c>
      <c r="Y345" s="384">
        <f t="shared" ca="1" si="28"/>
        <v>0</v>
      </c>
      <c r="Z345" s="572"/>
      <c r="AB345" s="382"/>
      <c r="AC345" s="516"/>
      <c r="AD345" s="516"/>
      <c r="AE345" s="516"/>
      <c r="AF345" s="516"/>
      <c r="AG345" s="516"/>
      <c r="AH345" s="516"/>
      <c r="AI345" s="516"/>
      <c r="AJ345" s="516"/>
      <c r="AK345" s="516"/>
      <c r="AL345" s="516"/>
      <c r="AM345" s="383"/>
      <c r="AO345">
        <f ca="1">IF($A345="S",IF(BM!$I345=0,0,CHOOSE(MATCH(RegimeExecucao,{"Global","Unitário"},0),ROUND(ROUND(BM.MEDAcumulado,15-13*BM!$A$9)/100*BM!$I345,15-13*ORÇAMENTO!$AF$11),ROUND(ROUND(BM.MEDAcumulado,15-13*BM!$A$9)*ROUND(BM!$H345,15-13*ORÇAMENTO!$AF$10),15-13*ORÇAMENTO!$AF$11))),IF($A345=0,0,ROUND(SomaAgrupBM,15-13*ORÇAMENTO!$AF$11)))</f>
        <v>0</v>
      </c>
    </row>
    <row r="346" spans="1:41" ht="38.25" x14ac:dyDescent="0.2">
      <c r="A346" t="str">
        <f ca="1">ORÇAMENTO!C346</f>
        <v>S</v>
      </c>
      <c r="B346">
        <f ca="1">ORÇAMENTO!D346</f>
        <v>0</v>
      </c>
      <c r="C346" s="116" t="str">
        <f t="shared" ca="1" si="22"/>
        <v/>
      </c>
      <c r="D346" s="119" t="str">
        <f ca="1">ORÇAMENTO!O346</f>
        <v>-</v>
      </c>
      <c r="E346" s="172" t="str">
        <f t="shared" ca="1" si="23"/>
        <v>(abra o arquivo 'Referência 06-2024.xlsm)</v>
      </c>
      <c r="F346" s="173" t="str">
        <f ca="1">IF(RegimeExecucao="Global","",ORÇAMENTO.Unidade)</f>
        <v/>
      </c>
      <c r="G346" s="124" t="str">
        <f ca="1">IF(RegimeExecucao="Global","",ORÇAMENTO!T346)</f>
        <v/>
      </c>
      <c r="H346" s="124" t="str">
        <f ca="1">IF(RegimeExecucao="Global","",ORÇAMENTO!W346)</f>
        <v/>
      </c>
      <c r="I346" s="127">
        <f ca="1">ORÇAMENTO!X346</f>
        <v>0</v>
      </c>
      <c r="J346" s="378">
        <f ca="1">IF($A346="S",IF(CAIXA.Modo,BM.AFAnterior,BM.MEDAnterior),IF(AND(RegimeExecucao="Global",$I346&gt;0,COUNTIF($AB$13:$AM$13,BM.medicao-1)&gt;0),M346/$I346*100,0))</f>
        <v>0</v>
      </c>
      <c r="K346" s="124">
        <f t="shared" ca="1" si="24"/>
        <v>0</v>
      </c>
      <c r="L346" s="379">
        <f ca="1">IF($A346="S",IF(CAIXA.Modo,BM.AFAcumulado,BM.MEDAcumulado),IF(AND(RegimeExecucao="Global",$I346&gt;0,COUNTIF($AB$13:$AM$13,BM.medicao)&gt;0),O346/$I346*100,0))</f>
        <v>0</v>
      </c>
      <c r="M346" s="380">
        <f ca="1">IF($A346="S",VTOTALBM,IF($A346=0,0,ROUND(SomaAgrupBM,15-13*ORÇAMENTO!$AF$11)))</f>
        <v>0</v>
      </c>
      <c r="N346" s="381">
        <f t="shared" ca="1" si="25"/>
        <v>0</v>
      </c>
      <c r="O346" s="127">
        <f ca="1">IF($A346="S",VTOTALBM,IF($A346=0,0,ROUND(SomaAgrupBM,15-13*ORÇAMENTO!$AF$11)))</f>
        <v>0</v>
      </c>
      <c r="Q346" s="382"/>
      <c r="R346" s="383"/>
      <c r="T346" s="119" t="str">
        <f t="shared" ca="1" si="26"/>
        <v/>
      </c>
      <c r="U346" s="172" t="str">
        <f t="shared" ca="1" si="27"/>
        <v/>
      </c>
      <c r="V346" s="173" t="str">
        <f ca="1">IF(AND($W346&gt;0,RegimeExecucao="Unitário"),$F346,"")</f>
        <v/>
      </c>
      <c r="W346" s="547">
        <f ca="1">IF($Y346&gt;0,CHOOSE(MATCH(RegimeExecucao,{"Unitário","Global"},0),IF($A346="S",$Y346/$X346,""),($Y346/$X346)*100),0)</f>
        <v>0</v>
      </c>
      <c r="X346" s="384" t="str">
        <f ca="1">IF($Y346&gt;0,CHOOSE(MATCH(RegimeExecucao,{"Unitário","Global"},0),IF($A346="S",ROUND($H346,ORÇAMENTO!$AF$10),""),ROUND($I346,ORÇAMENTO!$AF$11)),"")</f>
        <v/>
      </c>
      <c r="Y346" s="384">
        <f t="shared" ca="1" si="28"/>
        <v>0</v>
      </c>
      <c r="Z346" s="572"/>
      <c r="AB346" s="382"/>
      <c r="AC346" s="516"/>
      <c r="AD346" s="516"/>
      <c r="AE346" s="516"/>
      <c r="AF346" s="516"/>
      <c r="AG346" s="516"/>
      <c r="AH346" s="516"/>
      <c r="AI346" s="516"/>
      <c r="AJ346" s="516"/>
      <c r="AK346" s="516"/>
      <c r="AL346" s="516"/>
      <c r="AM346" s="383"/>
      <c r="AO346">
        <f ca="1">IF($A346="S",IF(BM!$I346=0,0,CHOOSE(MATCH(RegimeExecucao,{"Global","Unitário"},0),ROUND(ROUND(BM.MEDAcumulado,15-13*BM!$A$9)/100*BM!$I346,15-13*ORÇAMENTO!$AF$11),ROUND(ROUND(BM.MEDAcumulado,15-13*BM!$A$9)*ROUND(BM!$H346,15-13*ORÇAMENTO!$AF$10),15-13*ORÇAMENTO!$AF$11))),IF($A346=0,0,ROUND(SomaAgrupBM,15-13*ORÇAMENTO!$AF$11)))</f>
        <v>0</v>
      </c>
    </row>
    <row r="347" spans="1:41" ht="38.25" x14ac:dyDescent="0.2">
      <c r="A347" t="str">
        <f ca="1">ORÇAMENTO!C347</f>
        <v>S</v>
      </c>
      <c r="B347">
        <f ca="1">ORÇAMENTO!D347</f>
        <v>0</v>
      </c>
      <c r="C347" s="116" t="str">
        <f t="shared" ca="1" si="22"/>
        <v/>
      </c>
      <c r="D347" s="119" t="str">
        <f ca="1">ORÇAMENTO!O347</f>
        <v>-</v>
      </c>
      <c r="E347" s="172" t="str">
        <f t="shared" ca="1" si="23"/>
        <v>(abra o arquivo 'Referência 06-2024.xlsm)</v>
      </c>
      <c r="F347" s="173" t="str">
        <f ca="1">IF(RegimeExecucao="Global","",ORÇAMENTO.Unidade)</f>
        <v/>
      </c>
      <c r="G347" s="124" t="str">
        <f ca="1">IF(RegimeExecucao="Global","",ORÇAMENTO!T347)</f>
        <v/>
      </c>
      <c r="H347" s="124" t="str">
        <f ca="1">IF(RegimeExecucao="Global","",ORÇAMENTO!W347)</f>
        <v/>
      </c>
      <c r="I347" s="127">
        <f ca="1">ORÇAMENTO!X347</f>
        <v>0</v>
      </c>
      <c r="J347" s="378">
        <f ca="1">IF($A347="S",IF(CAIXA.Modo,BM.AFAnterior,BM.MEDAnterior),IF(AND(RegimeExecucao="Global",$I347&gt;0,COUNTIF($AB$13:$AM$13,BM.medicao-1)&gt;0),M347/$I347*100,0))</f>
        <v>0</v>
      </c>
      <c r="K347" s="124">
        <f t="shared" ca="1" si="24"/>
        <v>0</v>
      </c>
      <c r="L347" s="379">
        <f ca="1">IF($A347="S",IF(CAIXA.Modo,BM.AFAcumulado,BM.MEDAcumulado),IF(AND(RegimeExecucao="Global",$I347&gt;0,COUNTIF($AB$13:$AM$13,BM.medicao)&gt;0),O347/$I347*100,0))</f>
        <v>0</v>
      </c>
      <c r="M347" s="380">
        <f ca="1">IF($A347="S",VTOTALBM,IF($A347=0,0,ROUND(SomaAgrupBM,15-13*ORÇAMENTO!$AF$11)))</f>
        <v>0</v>
      </c>
      <c r="N347" s="381">
        <f t="shared" ca="1" si="25"/>
        <v>0</v>
      </c>
      <c r="O347" s="127">
        <f ca="1">IF($A347="S",VTOTALBM,IF($A347=0,0,ROUND(SomaAgrupBM,15-13*ORÇAMENTO!$AF$11)))</f>
        <v>0</v>
      </c>
      <c r="Q347" s="382"/>
      <c r="R347" s="383"/>
      <c r="T347" s="119" t="str">
        <f t="shared" ca="1" si="26"/>
        <v/>
      </c>
      <c r="U347" s="172" t="str">
        <f t="shared" ca="1" si="27"/>
        <v/>
      </c>
      <c r="V347" s="173" t="str">
        <f ca="1">IF(AND($W347&gt;0,RegimeExecucao="Unitário"),$F347,"")</f>
        <v/>
      </c>
      <c r="W347" s="547">
        <f ca="1">IF($Y347&gt;0,CHOOSE(MATCH(RegimeExecucao,{"Unitário","Global"},0),IF($A347="S",$Y347/$X347,""),($Y347/$X347)*100),0)</f>
        <v>0</v>
      </c>
      <c r="X347" s="384" t="str">
        <f ca="1">IF($Y347&gt;0,CHOOSE(MATCH(RegimeExecucao,{"Unitário","Global"},0),IF($A347="S",ROUND($H347,ORÇAMENTO!$AF$10),""),ROUND($I347,ORÇAMENTO!$AF$11)),"")</f>
        <v/>
      </c>
      <c r="Y347" s="384">
        <f t="shared" ca="1" si="28"/>
        <v>0</v>
      </c>
      <c r="Z347" s="572"/>
      <c r="AB347" s="382"/>
      <c r="AC347" s="516"/>
      <c r="AD347" s="516"/>
      <c r="AE347" s="516"/>
      <c r="AF347" s="516"/>
      <c r="AG347" s="516"/>
      <c r="AH347" s="516"/>
      <c r="AI347" s="516"/>
      <c r="AJ347" s="516"/>
      <c r="AK347" s="516"/>
      <c r="AL347" s="516"/>
      <c r="AM347" s="383"/>
      <c r="AO347">
        <f ca="1">IF($A347="S",IF(BM!$I347=0,0,CHOOSE(MATCH(RegimeExecucao,{"Global","Unitário"},0),ROUND(ROUND(BM.MEDAcumulado,15-13*BM!$A$9)/100*BM!$I347,15-13*ORÇAMENTO!$AF$11),ROUND(ROUND(BM.MEDAcumulado,15-13*BM!$A$9)*ROUND(BM!$H347,15-13*ORÇAMENTO!$AF$10),15-13*ORÇAMENTO!$AF$11))),IF($A347=0,0,ROUND(SomaAgrupBM,15-13*ORÇAMENTO!$AF$11)))</f>
        <v>0</v>
      </c>
    </row>
    <row r="348" spans="1:41" ht="38.25" x14ac:dyDescent="0.2">
      <c r="A348" t="str">
        <f ca="1">ORÇAMENTO!C348</f>
        <v>S</v>
      </c>
      <c r="B348">
        <f ca="1">ORÇAMENTO!D348</f>
        <v>0</v>
      </c>
      <c r="C348" s="116" t="str">
        <f t="shared" ca="1" si="22"/>
        <v/>
      </c>
      <c r="D348" s="119" t="str">
        <f ca="1">ORÇAMENTO!O348</f>
        <v>-</v>
      </c>
      <c r="E348" s="172" t="str">
        <f t="shared" ca="1" si="23"/>
        <v>(abra o arquivo 'Referência 06-2024.xlsm)</v>
      </c>
      <c r="F348" s="173" t="str">
        <f ca="1">IF(RegimeExecucao="Global","",ORÇAMENTO.Unidade)</f>
        <v/>
      </c>
      <c r="G348" s="124" t="str">
        <f ca="1">IF(RegimeExecucao="Global","",ORÇAMENTO!T348)</f>
        <v/>
      </c>
      <c r="H348" s="124" t="str">
        <f ca="1">IF(RegimeExecucao="Global","",ORÇAMENTO!W348)</f>
        <v/>
      </c>
      <c r="I348" s="127">
        <f ca="1">ORÇAMENTO!X348</f>
        <v>0</v>
      </c>
      <c r="J348" s="378">
        <f ca="1">IF($A348="S",IF(CAIXA.Modo,BM.AFAnterior,BM.MEDAnterior),IF(AND(RegimeExecucao="Global",$I348&gt;0,COUNTIF($AB$13:$AM$13,BM.medicao-1)&gt;0),M348/$I348*100,0))</f>
        <v>0</v>
      </c>
      <c r="K348" s="124">
        <f t="shared" ca="1" si="24"/>
        <v>0</v>
      </c>
      <c r="L348" s="379">
        <f ca="1">IF($A348="S",IF(CAIXA.Modo,BM.AFAcumulado,BM.MEDAcumulado),IF(AND(RegimeExecucao="Global",$I348&gt;0,COUNTIF($AB$13:$AM$13,BM.medicao)&gt;0),O348/$I348*100,0))</f>
        <v>0</v>
      </c>
      <c r="M348" s="380">
        <f ca="1">IF($A348="S",VTOTALBM,IF($A348=0,0,ROUND(SomaAgrupBM,15-13*ORÇAMENTO!$AF$11)))</f>
        <v>0</v>
      </c>
      <c r="N348" s="381">
        <f t="shared" ca="1" si="25"/>
        <v>0</v>
      </c>
      <c r="O348" s="127">
        <f ca="1">IF($A348="S",VTOTALBM,IF($A348=0,0,ROUND(SomaAgrupBM,15-13*ORÇAMENTO!$AF$11)))</f>
        <v>0</v>
      </c>
      <c r="Q348" s="382"/>
      <c r="R348" s="383"/>
      <c r="T348" s="119" t="str">
        <f t="shared" ca="1" si="26"/>
        <v/>
      </c>
      <c r="U348" s="172" t="str">
        <f t="shared" ca="1" si="27"/>
        <v/>
      </c>
      <c r="V348" s="173" t="str">
        <f ca="1">IF(AND($W348&gt;0,RegimeExecucao="Unitário"),$F348,"")</f>
        <v/>
      </c>
      <c r="W348" s="547">
        <f ca="1">IF($Y348&gt;0,CHOOSE(MATCH(RegimeExecucao,{"Unitário","Global"},0),IF($A348="S",$Y348/$X348,""),($Y348/$X348)*100),0)</f>
        <v>0</v>
      </c>
      <c r="X348" s="384" t="str">
        <f ca="1">IF($Y348&gt;0,CHOOSE(MATCH(RegimeExecucao,{"Unitário","Global"},0),IF($A348="S",ROUND($H348,ORÇAMENTO!$AF$10),""),ROUND($I348,ORÇAMENTO!$AF$11)),"")</f>
        <v/>
      </c>
      <c r="Y348" s="384">
        <f t="shared" ca="1" si="28"/>
        <v>0</v>
      </c>
      <c r="Z348" s="572"/>
      <c r="AB348" s="382"/>
      <c r="AC348" s="516"/>
      <c r="AD348" s="516"/>
      <c r="AE348" s="516"/>
      <c r="AF348" s="516"/>
      <c r="AG348" s="516"/>
      <c r="AH348" s="516"/>
      <c r="AI348" s="516"/>
      <c r="AJ348" s="516"/>
      <c r="AK348" s="516"/>
      <c r="AL348" s="516"/>
      <c r="AM348" s="383"/>
      <c r="AO348">
        <f ca="1">IF($A348="S",IF(BM!$I348=0,0,CHOOSE(MATCH(RegimeExecucao,{"Global","Unitário"},0),ROUND(ROUND(BM.MEDAcumulado,15-13*BM!$A$9)/100*BM!$I348,15-13*ORÇAMENTO!$AF$11),ROUND(ROUND(BM.MEDAcumulado,15-13*BM!$A$9)*ROUND(BM!$H348,15-13*ORÇAMENTO!$AF$10),15-13*ORÇAMENTO!$AF$11))),IF($A348=0,0,ROUND(SomaAgrupBM,15-13*ORÇAMENTO!$AF$11)))</f>
        <v>0</v>
      </c>
    </row>
    <row r="349" spans="1:41" x14ac:dyDescent="0.2">
      <c r="A349">
        <f ca="1">ORÇAMENTO!C349</f>
        <v>2</v>
      </c>
      <c r="B349">
        <f ca="1">ORÇAMENTO!D349</f>
        <v>4</v>
      </c>
      <c r="C349" s="116" t="str">
        <f t="shared" ca="1" si="22"/>
        <v>F</v>
      </c>
      <c r="D349" s="119" t="str">
        <f ca="1">ORÇAMENTO!O349</f>
        <v>1.41.</v>
      </c>
      <c r="E349" s="172" t="str">
        <f t="shared" si="23"/>
        <v>INSTALAÇÃO SANITÁRIA - UNIDADE DE TRATAMENTO</v>
      </c>
      <c r="F349" s="173" t="str">
        <f ca="1">IF(RegimeExecucao="Global","",ORÇAMENTO.Unidade)</f>
        <v/>
      </c>
      <c r="G349" s="124" t="str">
        <f ca="1">IF(RegimeExecucao="Global","",ORÇAMENTO!T349)</f>
        <v/>
      </c>
      <c r="H349" s="124" t="str">
        <f ca="1">IF(RegimeExecucao="Global","",ORÇAMENTO!W349)</f>
        <v/>
      </c>
      <c r="I349" s="127">
        <f ca="1">ORÇAMENTO!X349</f>
        <v>0</v>
      </c>
      <c r="J349" s="378">
        <f ca="1">IF($A349="S",IF(CAIXA.Modo,BM.AFAnterior,BM.MEDAnterior),IF(AND(RegimeExecucao="Global",$I349&gt;0,COUNTIF($AB$13:$AM$13,BM.medicao-1)&gt;0),M349/$I349*100,0))</f>
        <v>0</v>
      </c>
      <c r="K349" s="124">
        <f t="shared" ca="1" si="24"/>
        <v>0</v>
      </c>
      <c r="L349" s="379">
        <f ca="1">IF($A349="S",IF(CAIXA.Modo,BM.AFAcumulado,BM.MEDAcumulado),IF(AND(RegimeExecucao="Global",$I349&gt;0,COUNTIF($AB$13:$AM$13,BM.medicao)&gt;0),O349/$I349*100,0))</f>
        <v>0</v>
      </c>
      <c r="M349" s="380">
        <f ca="1">IF($A349="S",VTOTALBM,IF($A349=0,0,ROUND(SomaAgrupBM,15-13*ORÇAMENTO!$AF$11)))</f>
        <v>0</v>
      </c>
      <c r="N349" s="381">
        <f t="shared" ca="1" si="25"/>
        <v>0</v>
      </c>
      <c r="O349" s="127">
        <f ca="1">IF($A349="S",VTOTALBM,IF($A349=0,0,ROUND(SomaAgrupBM,15-13*ORÇAMENTO!$AF$11)))</f>
        <v>0</v>
      </c>
      <c r="Q349" s="382"/>
      <c r="R349" s="383"/>
      <c r="T349" s="119" t="str">
        <f t="shared" ca="1" si="26"/>
        <v/>
      </c>
      <c r="U349" s="172" t="str">
        <f t="shared" ca="1" si="27"/>
        <v/>
      </c>
      <c r="V349" s="173" t="str">
        <f ca="1">IF(AND($W349&gt;0,RegimeExecucao="Unitário"),$F349,"")</f>
        <v/>
      </c>
      <c r="W349" s="547">
        <f ca="1">IF($Y349&gt;0,CHOOSE(MATCH(RegimeExecucao,{"Unitário","Global"},0),IF($A349="S",$Y349/$X349,""),($Y349/$X349)*100),0)</f>
        <v>0</v>
      </c>
      <c r="X349" s="384" t="str">
        <f ca="1">IF($Y349&gt;0,CHOOSE(MATCH(RegimeExecucao,{"Unitário","Global"},0),IF($A349="S",ROUND($H349,ORÇAMENTO!$AF$10),""),ROUND($I349,ORÇAMENTO!$AF$11)),"")</f>
        <v/>
      </c>
      <c r="Y349" s="384">
        <f t="shared" ca="1" si="28"/>
        <v>0</v>
      </c>
      <c r="Z349" s="572"/>
      <c r="AB349" s="382"/>
      <c r="AC349" s="516"/>
      <c r="AD349" s="516"/>
      <c r="AE349" s="516"/>
      <c r="AF349" s="516"/>
      <c r="AG349" s="516"/>
      <c r="AH349" s="516"/>
      <c r="AI349" s="516"/>
      <c r="AJ349" s="516"/>
      <c r="AK349" s="516"/>
      <c r="AL349" s="516"/>
      <c r="AM349" s="383"/>
      <c r="AO349">
        <f ca="1">IF($A349="S",IF(BM!$I349=0,0,CHOOSE(MATCH(RegimeExecucao,{"Global","Unitário"},0),ROUND(ROUND(BM.MEDAcumulado,15-13*BM!$A$9)/100*BM!$I349,15-13*ORÇAMENTO!$AF$11),ROUND(ROUND(BM.MEDAcumulado,15-13*BM!$A$9)*ROUND(BM!$H349,15-13*ORÇAMENTO!$AF$10),15-13*ORÇAMENTO!$AF$11))),IF($A349=0,0,ROUND(SomaAgrupBM,15-13*ORÇAMENTO!$AF$11)))</f>
        <v>0</v>
      </c>
    </row>
    <row r="350" spans="1:41" ht="38.25" x14ac:dyDescent="0.2">
      <c r="A350" t="str">
        <f ca="1">ORÇAMENTO!C350</f>
        <v>S</v>
      </c>
      <c r="B350">
        <f ca="1">ORÇAMENTO!D350</f>
        <v>0</v>
      </c>
      <c r="C350" s="116" t="str">
        <f t="shared" ca="1" si="22"/>
        <v/>
      </c>
      <c r="D350" s="119" t="str">
        <f ca="1">ORÇAMENTO!O350</f>
        <v>-</v>
      </c>
      <c r="E350" s="172" t="str">
        <f t="shared" ca="1" si="23"/>
        <v>(abra o arquivo 'Referência 06-2024.xlsm)</v>
      </c>
      <c r="F350" s="173" t="str">
        <f ca="1">IF(RegimeExecucao="Global","",ORÇAMENTO.Unidade)</f>
        <v/>
      </c>
      <c r="G350" s="124" t="str">
        <f ca="1">IF(RegimeExecucao="Global","",ORÇAMENTO!T350)</f>
        <v/>
      </c>
      <c r="H350" s="124" t="str">
        <f ca="1">IF(RegimeExecucao="Global","",ORÇAMENTO!W350)</f>
        <v/>
      </c>
      <c r="I350" s="127">
        <f ca="1">ORÇAMENTO!X350</f>
        <v>0</v>
      </c>
      <c r="J350" s="378">
        <f ca="1">IF($A350="S",IF(CAIXA.Modo,BM.AFAnterior,BM.MEDAnterior),IF(AND(RegimeExecucao="Global",$I350&gt;0,COUNTIF($AB$13:$AM$13,BM.medicao-1)&gt;0),M350/$I350*100,0))</f>
        <v>0</v>
      </c>
      <c r="K350" s="124">
        <f t="shared" ca="1" si="24"/>
        <v>0</v>
      </c>
      <c r="L350" s="379">
        <f ca="1">IF($A350="S",IF(CAIXA.Modo,BM.AFAcumulado,BM.MEDAcumulado),IF(AND(RegimeExecucao="Global",$I350&gt;0,COUNTIF($AB$13:$AM$13,BM.medicao)&gt;0),O350/$I350*100,0))</f>
        <v>0</v>
      </c>
      <c r="M350" s="380">
        <f ca="1">IF($A350="S",VTOTALBM,IF($A350=0,0,ROUND(SomaAgrupBM,15-13*ORÇAMENTO!$AF$11)))</f>
        <v>0</v>
      </c>
      <c r="N350" s="381">
        <f t="shared" ca="1" si="25"/>
        <v>0</v>
      </c>
      <c r="O350" s="127">
        <f ca="1">IF($A350="S",VTOTALBM,IF($A350=0,0,ROUND(SomaAgrupBM,15-13*ORÇAMENTO!$AF$11)))</f>
        <v>0</v>
      </c>
      <c r="Q350" s="382"/>
      <c r="R350" s="383"/>
      <c r="T350" s="119" t="str">
        <f t="shared" ca="1" si="26"/>
        <v/>
      </c>
      <c r="U350" s="172" t="str">
        <f t="shared" ca="1" si="27"/>
        <v/>
      </c>
      <c r="V350" s="173" t="str">
        <f ca="1">IF(AND($W350&gt;0,RegimeExecucao="Unitário"),$F350,"")</f>
        <v/>
      </c>
      <c r="W350" s="547">
        <f ca="1">IF($Y350&gt;0,CHOOSE(MATCH(RegimeExecucao,{"Unitário","Global"},0),IF($A350="S",$Y350/$X350,""),($Y350/$X350)*100),0)</f>
        <v>0</v>
      </c>
      <c r="X350" s="384" t="str">
        <f ca="1">IF($Y350&gt;0,CHOOSE(MATCH(RegimeExecucao,{"Unitário","Global"},0),IF($A350="S",ROUND($H350,ORÇAMENTO!$AF$10),""),ROUND($I350,ORÇAMENTO!$AF$11)),"")</f>
        <v/>
      </c>
      <c r="Y350" s="384">
        <f t="shared" ca="1" si="28"/>
        <v>0</v>
      </c>
      <c r="Z350" s="572"/>
      <c r="AB350" s="382"/>
      <c r="AC350" s="516"/>
      <c r="AD350" s="516"/>
      <c r="AE350" s="516"/>
      <c r="AF350" s="516"/>
      <c r="AG350" s="516"/>
      <c r="AH350" s="516"/>
      <c r="AI350" s="516"/>
      <c r="AJ350" s="516"/>
      <c r="AK350" s="516"/>
      <c r="AL350" s="516"/>
      <c r="AM350" s="383"/>
      <c r="AO350">
        <f ca="1">IF($A350="S",IF(BM!$I350=0,0,CHOOSE(MATCH(RegimeExecucao,{"Global","Unitário"},0),ROUND(ROUND(BM.MEDAcumulado,15-13*BM!$A$9)/100*BM!$I350,15-13*ORÇAMENTO!$AF$11),ROUND(ROUND(BM.MEDAcumulado,15-13*BM!$A$9)*ROUND(BM!$H350,15-13*ORÇAMENTO!$AF$10),15-13*ORÇAMENTO!$AF$11))),IF($A350=0,0,ROUND(SomaAgrupBM,15-13*ORÇAMENTO!$AF$11)))</f>
        <v>0</v>
      </c>
    </row>
    <row r="351" spans="1:41" ht="38.25" x14ac:dyDescent="0.2">
      <c r="A351" t="str">
        <f ca="1">ORÇAMENTO!C351</f>
        <v>S</v>
      </c>
      <c r="B351">
        <f ca="1">ORÇAMENTO!D351</f>
        <v>0</v>
      </c>
      <c r="C351" s="116" t="str">
        <f t="shared" ca="1" si="22"/>
        <v/>
      </c>
      <c r="D351" s="119" t="str">
        <f ca="1">ORÇAMENTO!O351</f>
        <v>-</v>
      </c>
      <c r="E351" s="172" t="str">
        <f t="shared" ca="1" si="23"/>
        <v>(abra o arquivo 'Referência 06-2024.xlsm)</v>
      </c>
      <c r="F351" s="173" t="str">
        <f ca="1">IF(RegimeExecucao="Global","",ORÇAMENTO.Unidade)</f>
        <v/>
      </c>
      <c r="G351" s="124" t="str">
        <f ca="1">IF(RegimeExecucao="Global","",ORÇAMENTO!T351)</f>
        <v/>
      </c>
      <c r="H351" s="124" t="str">
        <f ca="1">IF(RegimeExecucao="Global","",ORÇAMENTO!W351)</f>
        <v/>
      </c>
      <c r="I351" s="127">
        <f ca="1">ORÇAMENTO!X351</f>
        <v>0</v>
      </c>
      <c r="J351" s="378">
        <f ca="1">IF($A351="S",IF(CAIXA.Modo,BM.AFAnterior,BM.MEDAnterior),IF(AND(RegimeExecucao="Global",$I351&gt;0,COUNTIF($AB$13:$AM$13,BM.medicao-1)&gt;0),M351/$I351*100,0))</f>
        <v>0</v>
      </c>
      <c r="K351" s="124">
        <f t="shared" ca="1" si="24"/>
        <v>0</v>
      </c>
      <c r="L351" s="379">
        <f ca="1">IF($A351="S",IF(CAIXA.Modo,BM.AFAcumulado,BM.MEDAcumulado),IF(AND(RegimeExecucao="Global",$I351&gt;0,COUNTIF($AB$13:$AM$13,BM.medicao)&gt;0),O351/$I351*100,0))</f>
        <v>0</v>
      </c>
      <c r="M351" s="380">
        <f ca="1">IF($A351="S",VTOTALBM,IF($A351=0,0,ROUND(SomaAgrupBM,15-13*ORÇAMENTO!$AF$11)))</f>
        <v>0</v>
      </c>
      <c r="N351" s="381">
        <f t="shared" ca="1" si="25"/>
        <v>0</v>
      </c>
      <c r="O351" s="127">
        <f ca="1">IF($A351="S",VTOTALBM,IF($A351=0,0,ROUND(SomaAgrupBM,15-13*ORÇAMENTO!$AF$11)))</f>
        <v>0</v>
      </c>
      <c r="Q351" s="382"/>
      <c r="R351" s="383"/>
      <c r="T351" s="119" t="str">
        <f t="shared" ca="1" si="26"/>
        <v/>
      </c>
      <c r="U351" s="172" t="str">
        <f t="shared" ca="1" si="27"/>
        <v/>
      </c>
      <c r="V351" s="173" t="str">
        <f ca="1">IF(AND($W351&gt;0,RegimeExecucao="Unitário"),$F351,"")</f>
        <v/>
      </c>
      <c r="W351" s="547">
        <f ca="1">IF($Y351&gt;0,CHOOSE(MATCH(RegimeExecucao,{"Unitário","Global"},0),IF($A351="S",$Y351/$X351,""),($Y351/$X351)*100),0)</f>
        <v>0</v>
      </c>
      <c r="X351" s="384" t="str">
        <f ca="1">IF($Y351&gt;0,CHOOSE(MATCH(RegimeExecucao,{"Unitário","Global"},0),IF($A351="S",ROUND($H351,ORÇAMENTO!$AF$10),""),ROUND($I351,ORÇAMENTO!$AF$11)),"")</f>
        <v/>
      </c>
      <c r="Y351" s="384">
        <f t="shared" ca="1" si="28"/>
        <v>0</v>
      </c>
      <c r="Z351" s="572"/>
      <c r="AB351" s="382"/>
      <c r="AC351" s="516"/>
      <c r="AD351" s="516"/>
      <c r="AE351" s="516"/>
      <c r="AF351" s="516"/>
      <c r="AG351" s="516"/>
      <c r="AH351" s="516"/>
      <c r="AI351" s="516"/>
      <c r="AJ351" s="516"/>
      <c r="AK351" s="516"/>
      <c r="AL351" s="516"/>
      <c r="AM351" s="383"/>
      <c r="AO351">
        <f ca="1">IF($A351="S",IF(BM!$I351=0,0,CHOOSE(MATCH(RegimeExecucao,{"Global","Unitário"},0),ROUND(ROUND(BM.MEDAcumulado,15-13*BM!$A$9)/100*BM!$I351,15-13*ORÇAMENTO!$AF$11),ROUND(ROUND(BM.MEDAcumulado,15-13*BM!$A$9)*ROUND(BM!$H351,15-13*ORÇAMENTO!$AF$10),15-13*ORÇAMENTO!$AF$11))),IF($A351=0,0,ROUND(SomaAgrupBM,15-13*ORÇAMENTO!$AF$11)))</f>
        <v>0</v>
      </c>
    </row>
    <row r="352" spans="1:41" ht="38.25" x14ac:dyDescent="0.2">
      <c r="A352" t="str">
        <f ca="1">ORÇAMENTO!C352</f>
        <v>S</v>
      </c>
      <c r="B352">
        <f ca="1">ORÇAMENTO!D352</f>
        <v>0</v>
      </c>
      <c r="C352" s="116" t="str">
        <f t="shared" ca="1" si="22"/>
        <v/>
      </c>
      <c r="D352" s="119" t="str">
        <f ca="1">ORÇAMENTO!O352</f>
        <v>-</v>
      </c>
      <c r="E352" s="172" t="str">
        <f t="shared" ca="1" si="23"/>
        <v>(abra o arquivo 'Referência 06-2024.xlsm)</v>
      </c>
      <c r="F352" s="173" t="str">
        <f ca="1">IF(RegimeExecucao="Global","",ORÇAMENTO.Unidade)</f>
        <v/>
      </c>
      <c r="G352" s="124" t="str">
        <f ca="1">IF(RegimeExecucao="Global","",ORÇAMENTO!T352)</f>
        <v/>
      </c>
      <c r="H352" s="124" t="str">
        <f ca="1">IF(RegimeExecucao="Global","",ORÇAMENTO!W352)</f>
        <v/>
      </c>
      <c r="I352" s="127">
        <f ca="1">ORÇAMENTO!X352</f>
        <v>0</v>
      </c>
      <c r="J352" s="378">
        <f ca="1">IF($A352="S",IF(CAIXA.Modo,BM.AFAnterior,BM.MEDAnterior),IF(AND(RegimeExecucao="Global",$I352&gt;0,COUNTIF($AB$13:$AM$13,BM.medicao-1)&gt;0),M352/$I352*100,0))</f>
        <v>0</v>
      </c>
      <c r="K352" s="124">
        <f t="shared" ca="1" si="24"/>
        <v>0</v>
      </c>
      <c r="L352" s="379">
        <f ca="1">IF($A352="S",IF(CAIXA.Modo,BM.AFAcumulado,BM.MEDAcumulado),IF(AND(RegimeExecucao="Global",$I352&gt;0,COUNTIF($AB$13:$AM$13,BM.medicao)&gt;0),O352/$I352*100,0))</f>
        <v>0</v>
      </c>
      <c r="M352" s="380">
        <f ca="1">IF($A352="S",VTOTALBM,IF($A352=0,0,ROUND(SomaAgrupBM,15-13*ORÇAMENTO!$AF$11)))</f>
        <v>0</v>
      </c>
      <c r="N352" s="381">
        <f t="shared" ca="1" si="25"/>
        <v>0</v>
      </c>
      <c r="O352" s="127">
        <f ca="1">IF($A352="S",VTOTALBM,IF($A352=0,0,ROUND(SomaAgrupBM,15-13*ORÇAMENTO!$AF$11)))</f>
        <v>0</v>
      </c>
      <c r="Q352" s="382"/>
      <c r="R352" s="383"/>
      <c r="T352" s="119" t="str">
        <f t="shared" ca="1" si="26"/>
        <v/>
      </c>
      <c r="U352" s="172" t="str">
        <f t="shared" ca="1" si="27"/>
        <v/>
      </c>
      <c r="V352" s="173" t="str">
        <f ca="1">IF(AND($W352&gt;0,RegimeExecucao="Unitário"),$F352,"")</f>
        <v/>
      </c>
      <c r="W352" s="547">
        <f ca="1">IF($Y352&gt;0,CHOOSE(MATCH(RegimeExecucao,{"Unitário","Global"},0),IF($A352="S",$Y352/$X352,""),($Y352/$X352)*100),0)</f>
        <v>0</v>
      </c>
      <c r="X352" s="384" t="str">
        <f ca="1">IF($Y352&gt;0,CHOOSE(MATCH(RegimeExecucao,{"Unitário","Global"},0),IF($A352="S",ROUND($H352,ORÇAMENTO!$AF$10),""),ROUND($I352,ORÇAMENTO!$AF$11)),"")</f>
        <v/>
      </c>
      <c r="Y352" s="384">
        <f t="shared" ca="1" si="28"/>
        <v>0</v>
      </c>
      <c r="Z352" s="572"/>
      <c r="AB352" s="382"/>
      <c r="AC352" s="516"/>
      <c r="AD352" s="516"/>
      <c r="AE352" s="516"/>
      <c r="AF352" s="516"/>
      <c r="AG352" s="516"/>
      <c r="AH352" s="516"/>
      <c r="AI352" s="516"/>
      <c r="AJ352" s="516"/>
      <c r="AK352" s="516"/>
      <c r="AL352" s="516"/>
      <c r="AM352" s="383"/>
      <c r="AO352">
        <f ca="1">IF($A352="S",IF(BM!$I352=0,0,CHOOSE(MATCH(RegimeExecucao,{"Global","Unitário"},0),ROUND(ROUND(BM.MEDAcumulado,15-13*BM!$A$9)/100*BM!$I352,15-13*ORÇAMENTO!$AF$11),ROUND(ROUND(BM.MEDAcumulado,15-13*BM!$A$9)*ROUND(BM!$H352,15-13*ORÇAMENTO!$AF$10),15-13*ORÇAMENTO!$AF$11))),IF($A352=0,0,ROUND(SomaAgrupBM,15-13*ORÇAMENTO!$AF$11)))</f>
        <v>0</v>
      </c>
    </row>
    <row r="353" spans="1:41" x14ac:dyDescent="0.2">
      <c r="A353">
        <f ca="1">ORÇAMENTO!C353</f>
        <v>2</v>
      </c>
      <c r="B353">
        <f ca="1">ORÇAMENTO!D353</f>
        <v>12</v>
      </c>
      <c r="C353" s="116" t="str">
        <f t="shared" ca="1" si="22"/>
        <v>F</v>
      </c>
      <c r="D353" s="119" t="str">
        <f ca="1">ORÇAMENTO!O353</f>
        <v>1.42.</v>
      </c>
      <c r="E353" s="172" t="str">
        <f t="shared" si="23"/>
        <v>INSTALAÇÃO SANITÁRIA - VENTILAÇÃO</v>
      </c>
      <c r="F353" s="173" t="str">
        <f ca="1">IF(RegimeExecucao="Global","",ORÇAMENTO.Unidade)</f>
        <v/>
      </c>
      <c r="G353" s="124" t="str">
        <f ca="1">IF(RegimeExecucao="Global","",ORÇAMENTO!T353)</f>
        <v/>
      </c>
      <c r="H353" s="124" t="str">
        <f ca="1">IF(RegimeExecucao="Global","",ORÇAMENTO!W353)</f>
        <v/>
      </c>
      <c r="I353" s="127">
        <f ca="1">ORÇAMENTO!X353</f>
        <v>0</v>
      </c>
      <c r="J353" s="378">
        <f ca="1">IF($A353="S",IF(CAIXA.Modo,BM.AFAnterior,BM.MEDAnterior),IF(AND(RegimeExecucao="Global",$I353&gt;0,COUNTIF($AB$13:$AM$13,BM.medicao-1)&gt;0),M353/$I353*100,0))</f>
        <v>0</v>
      </c>
      <c r="K353" s="124">
        <f t="shared" ca="1" si="24"/>
        <v>0</v>
      </c>
      <c r="L353" s="379">
        <f ca="1">IF($A353="S",IF(CAIXA.Modo,BM.AFAcumulado,BM.MEDAcumulado),IF(AND(RegimeExecucao="Global",$I353&gt;0,COUNTIF($AB$13:$AM$13,BM.medicao)&gt;0),O353/$I353*100,0))</f>
        <v>0</v>
      </c>
      <c r="M353" s="380">
        <f ca="1">IF($A353="S",VTOTALBM,IF($A353=0,0,ROUND(SomaAgrupBM,15-13*ORÇAMENTO!$AF$11)))</f>
        <v>0</v>
      </c>
      <c r="N353" s="381">
        <f t="shared" ca="1" si="25"/>
        <v>0</v>
      </c>
      <c r="O353" s="127">
        <f ca="1">IF($A353="S",VTOTALBM,IF($A353=0,0,ROUND(SomaAgrupBM,15-13*ORÇAMENTO!$AF$11)))</f>
        <v>0</v>
      </c>
      <c r="Q353" s="382"/>
      <c r="R353" s="383"/>
      <c r="T353" s="119" t="str">
        <f t="shared" ca="1" si="26"/>
        <v/>
      </c>
      <c r="U353" s="172" t="str">
        <f t="shared" ca="1" si="27"/>
        <v/>
      </c>
      <c r="V353" s="173" t="str">
        <f ca="1">IF(AND($W353&gt;0,RegimeExecucao="Unitário"),$F353,"")</f>
        <v/>
      </c>
      <c r="W353" s="547">
        <f ca="1">IF($Y353&gt;0,CHOOSE(MATCH(RegimeExecucao,{"Unitário","Global"},0),IF($A353="S",$Y353/$X353,""),($Y353/$X353)*100),0)</f>
        <v>0</v>
      </c>
      <c r="X353" s="384" t="str">
        <f ca="1">IF($Y353&gt;0,CHOOSE(MATCH(RegimeExecucao,{"Unitário","Global"},0),IF($A353="S",ROUND($H353,ORÇAMENTO!$AF$10),""),ROUND($I353,ORÇAMENTO!$AF$11)),"")</f>
        <v/>
      </c>
      <c r="Y353" s="384">
        <f t="shared" ca="1" si="28"/>
        <v>0</v>
      </c>
      <c r="Z353" s="572"/>
      <c r="AB353" s="382"/>
      <c r="AC353" s="516"/>
      <c r="AD353" s="516"/>
      <c r="AE353" s="516"/>
      <c r="AF353" s="516"/>
      <c r="AG353" s="516"/>
      <c r="AH353" s="516"/>
      <c r="AI353" s="516"/>
      <c r="AJ353" s="516"/>
      <c r="AK353" s="516"/>
      <c r="AL353" s="516"/>
      <c r="AM353" s="383"/>
      <c r="AO353">
        <f ca="1">IF($A353="S",IF(BM!$I353=0,0,CHOOSE(MATCH(RegimeExecucao,{"Global","Unitário"},0),ROUND(ROUND(BM.MEDAcumulado,15-13*BM!$A$9)/100*BM!$I353,15-13*ORÇAMENTO!$AF$11),ROUND(ROUND(BM.MEDAcumulado,15-13*BM!$A$9)*ROUND(BM!$H353,15-13*ORÇAMENTO!$AF$10),15-13*ORÇAMENTO!$AF$11))),IF($A353=0,0,ROUND(SomaAgrupBM,15-13*ORÇAMENTO!$AF$11)))</f>
        <v>0</v>
      </c>
    </row>
    <row r="354" spans="1:41" ht="38.25" x14ac:dyDescent="0.2">
      <c r="A354" t="str">
        <f ca="1">ORÇAMENTO!C354</f>
        <v>S</v>
      </c>
      <c r="B354">
        <f ca="1">ORÇAMENTO!D354</f>
        <v>0</v>
      </c>
      <c r="C354" s="116" t="str">
        <f t="shared" ca="1" si="22"/>
        <v/>
      </c>
      <c r="D354" s="119" t="str">
        <f ca="1">ORÇAMENTO!O354</f>
        <v>-</v>
      </c>
      <c r="E354" s="172" t="str">
        <f t="shared" ca="1" si="23"/>
        <v>(abra o arquivo 'Referência 06-2024.xlsm)</v>
      </c>
      <c r="F354" s="173" t="str">
        <f ca="1">IF(RegimeExecucao="Global","",ORÇAMENTO.Unidade)</f>
        <v/>
      </c>
      <c r="G354" s="124" t="str">
        <f ca="1">IF(RegimeExecucao="Global","",ORÇAMENTO!T354)</f>
        <v/>
      </c>
      <c r="H354" s="124" t="str">
        <f ca="1">IF(RegimeExecucao="Global","",ORÇAMENTO!W354)</f>
        <v/>
      </c>
      <c r="I354" s="127">
        <f ca="1">ORÇAMENTO!X354</f>
        <v>0</v>
      </c>
      <c r="J354" s="378">
        <f ca="1">IF($A354="S",IF(CAIXA.Modo,BM.AFAnterior,BM.MEDAnterior),IF(AND(RegimeExecucao="Global",$I354&gt;0,COUNTIF($AB$13:$AM$13,BM.medicao-1)&gt;0),M354/$I354*100,0))</f>
        <v>0</v>
      </c>
      <c r="K354" s="124">
        <f t="shared" ca="1" si="24"/>
        <v>0</v>
      </c>
      <c r="L354" s="379">
        <f ca="1">IF($A354="S",IF(CAIXA.Modo,BM.AFAcumulado,BM.MEDAcumulado),IF(AND(RegimeExecucao="Global",$I354&gt;0,COUNTIF($AB$13:$AM$13,BM.medicao)&gt;0),O354/$I354*100,0))</f>
        <v>0</v>
      </c>
      <c r="M354" s="380">
        <f ca="1">IF($A354="S",VTOTALBM,IF($A354=0,0,ROUND(SomaAgrupBM,15-13*ORÇAMENTO!$AF$11)))</f>
        <v>0</v>
      </c>
      <c r="N354" s="381">
        <f t="shared" ca="1" si="25"/>
        <v>0</v>
      </c>
      <c r="O354" s="127">
        <f ca="1">IF($A354="S",VTOTALBM,IF($A354=0,0,ROUND(SomaAgrupBM,15-13*ORÇAMENTO!$AF$11)))</f>
        <v>0</v>
      </c>
      <c r="Q354" s="382"/>
      <c r="R354" s="383"/>
      <c r="T354" s="119" t="str">
        <f t="shared" ca="1" si="26"/>
        <v/>
      </c>
      <c r="U354" s="172" t="str">
        <f t="shared" ca="1" si="27"/>
        <v/>
      </c>
      <c r="V354" s="173" t="str">
        <f ca="1">IF(AND($W354&gt;0,RegimeExecucao="Unitário"),$F354,"")</f>
        <v/>
      </c>
      <c r="W354" s="547">
        <f ca="1">IF($Y354&gt;0,CHOOSE(MATCH(RegimeExecucao,{"Unitário","Global"},0),IF($A354="S",$Y354/$X354,""),($Y354/$X354)*100),0)</f>
        <v>0</v>
      </c>
      <c r="X354" s="384" t="str">
        <f ca="1">IF($Y354&gt;0,CHOOSE(MATCH(RegimeExecucao,{"Unitário","Global"},0),IF($A354="S",ROUND($H354,ORÇAMENTO!$AF$10),""),ROUND($I354,ORÇAMENTO!$AF$11)),"")</f>
        <v/>
      </c>
      <c r="Y354" s="384">
        <f t="shared" ca="1" si="28"/>
        <v>0</v>
      </c>
      <c r="Z354" s="572"/>
      <c r="AB354" s="382"/>
      <c r="AC354" s="516"/>
      <c r="AD354" s="516"/>
      <c r="AE354" s="516"/>
      <c r="AF354" s="516"/>
      <c r="AG354" s="516"/>
      <c r="AH354" s="516"/>
      <c r="AI354" s="516"/>
      <c r="AJ354" s="516"/>
      <c r="AK354" s="516"/>
      <c r="AL354" s="516"/>
      <c r="AM354" s="383"/>
      <c r="AO354">
        <f ca="1">IF($A354="S",IF(BM!$I354=0,0,CHOOSE(MATCH(RegimeExecucao,{"Global","Unitário"},0),ROUND(ROUND(BM.MEDAcumulado,15-13*BM!$A$9)/100*BM!$I354,15-13*ORÇAMENTO!$AF$11),ROUND(ROUND(BM.MEDAcumulado,15-13*BM!$A$9)*ROUND(BM!$H354,15-13*ORÇAMENTO!$AF$10),15-13*ORÇAMENTO!$AF$11))),IF($A354=0,0,ROUND(SomaAgrupBM,15-13*ORÇAMENTO!$AF$11)))</f>
        <v>0</v>
      </c>
    </row>
    <row r="355" spans="1:41" ht="38.25" x14ac:dyDescent="0.2">
      <c r="A355" t="str">
        <f ca="1">ORÇAMENTO!C355</f>
        <v>S</v>
      </c>
      <c r="B355">
        <f ca="1">ORÇAMENTO!D355</f>
        <v>0</v>
      </c>
      <c r="C355" s="116" t="str">
        <f t="shared" ca="1" si="22"/>
        <v/>
      </c>
      <c r="D355" s="119" t="str">
        <f ca="1">ORÇAMENTO!O355</f>
        <v>-</v>
      </c>
      <c r="E355" s="172" t="str">
        <f t="shared" ca="1" si="23"/>
        <v>(abra o arquivo 'Referência 06-2024.xlsm)</v>
      </c>
      <c r="F355" s="173" t="str">
        <f ca="1">IF(RegimeExecucao="Global","",ORÇAMENTO.Unidade)</f>
        <v/>
      </c>
      <c r="G355" s="124" t="str">
        <f ca="1">IF(RegimeExecucao="Global","",ORÇAMENTO!T355)</f>
        <v/>
      </c>
      <c r="H355" s="124" t="str">
        <f ca="1">IF(RegimeExecucao="Global","",ORÇAMENTO!W355)</f>
        <v/>
      </c>
      <c r="I355" s="127">
        <f ca="1">ORÇAMENTO!X355</f>
        <v>0</v>
      </c>
      <c r="J355" s="378">
        <f ca="1">IF($A355="S",IF(CAIXA.Modo,BM.AFAnterior,BM.MEDAnterior),IF(AND(RegimeExecucao="Global",$I355&gt;0,COUNTIF($AB$13:$AM$13,BM.medicao-1)&gt;0),M355/$I355*100,0))</f>
        <v>0</v>
      </c>
      <c r="K355" s="124">
        <f t="shared" ca="1" si="24"/>
        <v>0</v>
      </c>
      <c r="L355" s="379">
        <f ca="1">IF($A355="S",IF(CAIXA.Modo,BM.AFAcumulado,BM.MEDAcumulado),IF(AND(RegimeExecucao="Global",$I355&gt;0,COUNTIF($AB$13:$AM$13,BM.medicao)&gt;0),O355/$I355*100,0))</f>
        <v>0</v>
      </c>
      <c r="M355" s="380">
        <f ca="1">IF($A355="S",VTOTALBM,IF($A355=0,0,ROUND(SomaAgrupBM,15-13*ORÇAMENTO!$AF$11)))</f>
        <v>0</v>
      </c>
      <c r="N355" s="381">
        <f t="shared" ca="1" si="25"/>
        <v>0</v>
      </c>
      <c r="O355" s="127">
        <f ca="1">IF($A355="S",VTOTALBM,IF($A355=0,0,ROUND(SomaAgrupBM,15-13*ORÇAMENTO!$AF$11)))</f>
        <v>0</v>
      </c>
      <c r="Q355" s="382"/>
      <c r="R355" s="383"/>
      <c r="T355" s="119" t="str">
        <f t="shared" ca="1" si="26"/>
        <v/>
      </c>
      <c r="U355" s="172" t="str">
        <f t="shared" ca="1" si="27"/>
        <v/>
      </c>
      <c r="V355" s="173" t="str">
        <f ca="1">IF(AND($W355&gt;0,RegimeExecucao="Unitário"),$F355,"")</f>
        <v/>
      </c>
      <c r="W355" s="547">
        <f ca="1">IF($Y355&gt;0,CHOOSE(MATCH(RegimeExecucao,{"Unitário","Global"},0),IF($A355="S",$Y355/$X355,""),($Y355/$X355)*100),0)</f>
        <v>0</v>
      </c>
      <c r="X355" s="384" t="str">
        <f ca="1">IF($Y355&gt;0,CHOOSE(MATCH(RegimeExecucao,{"Unitário","Global"},0),IF($A355="S",ROUND($H355,ORÇAMENTO!$AF$10),""),ROUND($I355,ORÇAMENTO!$AF$11)),"")</f>
        <v/>
      </c>
      <c r="Y355" s="384">
        <f t="shared" ca="1" si="28"/>
        <v>0</v>
      </c>
      <c r="Z355" s="572"/>
      <c r="AB355" s="382"/>
      <c r="AC355" s="516"/>
      <c r="AD355" s="516"/>
      <c r="AE355" s="516"/>
      <c r="AF355" s="516"/>
      <c r="AG355" s="516"/>
      <c r="AH355" s="516"/>
      <c r="AI355" s="516"/>
      <c r="AJ355" s="516"/>
      <c r="AK355" s="516"/>
      <c r="AL355" s="516"/>
      <c r="AM355" s="383"/>
      <c r="AO355">
        <f ca="1">IF($A355="S",IF(BM!$I355=0,0,CHOOSE(MATCH(RegimeExecucao,{"Global","Unitário"},0),ROUND(ROUND(BM.MEDAcumulado,15-13*BM!$A$9)/100*BM!$I355,15-13*ORÇAMENTO!$AF$11),ROUND(ROUND(BM.MEDAcumulado,15-13*BM!$A$9)*ROUND(BM!$H355,15-13*ORÇAMENTO!$AF$10),15-13*ORÇAMENTO!$AF$11))),IF($A355=0,0,ROUND(SomaAgrupBM,15-13*ORÇAMENTO!$AF$11)))</f>
        <v>0</v>
      </c>
    </row>
    <row r="356" spans="1:41" ht="38.25" x14ac:dyDescent="0.2">
      <c r="A356" t="str">
        <f ca="1">ORÇAMENTO!C356</f>
        <v>S</v>
      </c>
      <c r="B356">
        <f ca="1">ORÇAMENTO!D356</f>
        <v>0</v>
      </c>
      <c r="C356" s="116" t="str">
        <f t="shared" ca="1" si="22"/>
        <v/>
      </c>
      <c r="D356" s="119" t="str">
        <f ca="1">ORÇAMENTO!O356</f>
        <v>-</v>
      </c>
      <c r="E356" s="172" t="str">
        <f t="shared" ca="1" si="23"/>
        <v>(abra o arquivo 'Referência 06-2024.xlsm)</v>
      </c>
      <c r="F356" s="173" t="str">
        <f ca="1">IF(RegimeExecucao="Global","",ORÇAMENTO.Unidade)</f>
        <v/>
      </c>
      <c r="G356" s="124" t="str">
        <f ca="1">IF(RegimeExecucao="Global","",ORÇAMENTO!T356)</f>
        <v/>
      </c>
      <c r="H356" s="124" t="str">
        <f ca="1">IF(RegimeExecucao="Global","",ORÇAMENTO!W356)</f>
        <v/>
      </c>
      <c r="I356" s="127">
        <f ca="1">ORÇAMENTO!X356</f>
        <v>0</v>
      </c>
      <c r="J356" s="378">
        <f ca="1">IF($A356="S",IF(CAIXA.Modo,BM.AFAnterior,BM.MEDAnterior),IF(AND(RegimeExecucao="Global",$I356&gt;0,COUNTIF($AB$13:$AM$13,BM.medicao-1)&gt;0),M356/$I356*100,0))</f>
        <v>0</v>
      </c>
      <c r="K356" s="124">
        <f t="shared" ca="1" si="24"/>
        <v>0</v>
      </c>
      <c r="L356" s="379">
        <f ca="1">IF($A356="S",IF(CAIXA.Modo,BM.AFAcumulado,BM.MEDAcumulado),IF(AND(RegimeExecucao="Global",$I356&gt;0,COUNTIF($AB$13:$AM$13,BM.medicao)&gt;0),O356/$I356*100,0))</f>
        <v>0</v>
      </c>
      <c r="M356" s="380">
        <f ca="1">IF($A356="S",VTOTALBM,IF($A356=0,0,ROUND(SomaAgrupBM,15-13*ORÇAMENTO!$AF$11)))</f>
        <v>0</v>
      </c>
      <c r="N356" s="381">
        <f t="shared" ca="1" si="25"/>
        <v>0</v>
      </c>
      <c r="O356" s="127">
        <f ca="1">IF($A356="S",VTOTALBM,IF($A356=0,0,ROUND(SomaAgrupBM,15-13*ORÇAMENTO!$AF$11)))</f>
        <v>0</v>
      </c>
      <c r="Q356" s="382"/>
      <c r="R356" s="383"/>
      <c r="T356" s="119" t="str">
        <f t="shared" ca="1" si="26"/>
        <v/>
      </c>
      <c r="U356" s="172" t="str">
        <f t="shared" ca="1" si="27"/>
        <v/>
      </c>
      <c r="V356" s="173" t="str">
        <f ca="1">IF(AND($W356&gt;0,RegimeExecucao="Unitário"),$F356,"")</f>
        <v/>
      </c>
      <c r="W356" s="547">
        <f ca="1">IF($Y356&gt;0,CHOOSE(MATCH(RegimeExecucao,{"Unitário","Global"},0),IF($A356="S",$Y356/$X356,""),($Y356/$X356)*100),0)</f>
        <v>0</v>
      </c>
      <c r="X356" s="384" t="str">
        <f ca="1">IF($Y356&gt;0,CHOOSE(MATCH(RegimeExecucao,{"Unitário","Global"},0),IF($A356="S",ROUND($H356,ORÇAMENTO!$AF$10),""),ROUND($I356,ORÇAMENTO!$AF$11)),"")</f>
        <v/>
      </c>
      <c r="Y356" s="384">
        <f t="shared" ca="1" si="28"/>
        <v>0</v>
      </c>
      <c r="Z356" s="572"/>
      <c r="AB356" s="382"/>
      <c r="AC356" s="516"/>
      <c r="AD356" s="516"/>
      <c r="AE356" s="516"/>
      <c r="AF356" s="516"/>
      <c r="AG356" s="516"/>
      <c r="AH356" s="516"/>
      <c r="AI356" s="516"/>
      <c r="AJ356" s="516"/>
      <c r="AK356" s="516"/>
      <c r="AL356" s="516"/>
      <c r="AM356" s="383"/>
      <c r="AO356">
        <f ca="1">IF($A356="S",IF(BM!$I356=0,0,CHOOSE(MATCH(RegimeExecucao,{"Global","Unitário"},0),ROUND(ROUND(BM.MEDAcumulado,15-13*BM!$A$9)/100*BM!$I356,15-13*ORÇAMENTO!$AF$11),ROUND(ROUND(BM.MEDAcumulado,15-13*BM!$A$9)*ROUND(BM!$H356,15-13*ORÇAMENTO!$AF$10),15-13*ORÇAMENTO!$AF$11))),IF($A356=0,0,ROUND(SomaAgrupBM,15-13*ORÇAMENTO!$AF$11)))</f>
        <v>0</v>
      </c>
    </row>
    <row r="357" spans="1:41" ht="38.25" x14ac:dyDescent="0.2">
      <c r="A357" t="str">
        <f ca="1">ORÇAMENTO!C357</f>
        <v>S</v>
      </c>
      <c r="B357">
        <f ca="1">ORÇAMENTO!D357</f>
        <v>0</v>
      </c>
      <c r="C357" s="116" t="str">
        <f t="shared" ca="1" si="22"/>
        <v/>
      </c>
      <c r="D357" s="119" t="str">
        <f ca="1">ORÇAMENTO!O357</f>
        <v>-</v>
      </c>
      <c r="E357" s="172" t="str">
        <f t="shared" ca="1" si="23"/>
        <v>(abra o arquivo 'Referência 06-2024.xlsm)</v>
      </c>
      <c r="F357" s="173" t="str">
        <f ca="1">IF(RegimeExecucao="Global","",ORÇAMENTO.Unidade)</f>
        <v/>
      </c>
      <c r="G357" s="124" t="str">
        <f ca="1">IF(RegimeExecucao="Global","",ORÇAMENTO!T357)</f>
        <v/>
      </c>
      <c r="H357" s="124" t="str">
        <f ca="1">IF(RegimeExecucao="Global","",ORÇAMENTO!W357)</f>
        <v/>
      </c>
      <c r="I357" s="127">
        <f ca="1">ORÇAMENTO!X357</f>
        <v>0</v>
      </c>
      <c r="J357" s="378">
        <f ca="1">IF($A357="S",IF(CAIXA.Modo,BM.AFAnterior,BM.MEDAnterior),IF(AND(RegimeExecucao="Global",$I357&gt;0,COUNTIF($AB$13:$AM$13,BM.medicao-1)&gt;0),M357/$I357*100,0))</f>
        <v>0</v>
      </c>
      <c r="K357" s="124">
        <f t="shared" ca="1" si="24"/>
        <v>0</v>
      </c>
      <c r="L357" s="379">
        <f ca="1">IF($A357="S",IF(CAIXA.Modo,BM.AFAcumulado,BM.MEDAcumulado),IF(AND(RegimeExecucao="Global",$I357&gt;0,COUNTIF($AB$13:$AM$13,BM.medicao)&gt;0),O357/$I357*100,0))</f>
        <v>0</v>
      </c>
      <c r="M357" s="380">
        <f ca="1">IF($A357="S",VTOTALBM,IF($A357=0,0,ROUND(SomaAgrupBM,15-13*ORÇAMENTO!$AF$11)))</f>
        <v>0</v>
      </c>
      <c r="N357" s="381">
        <f t="shared" ca="1" si="25"/>
        <v>0</v>
      </c>
      <c r="O357" s="127">
        <f ca="1">IF($A357="S",VTOTALBM,IF($A357=0,0,ROUND(SomaAgrupBM,15-13*ORÇAMENTO!$AF$11)))</f>
        <v>0</v>
      </c>
      <c r="Q357" s="382"/>
      <c r="R357" s="383"/>
      <c r="T357" s="119" t="str">
        <f t="shared" ca="1" si="26"/>
        <v/>
      </c>
      <c r="U357" s="172" t="str">
        <f t="shared" ca="1" si="27"/>
        <v/>
      </c>
      <c r="V357" s="173" t="str">
        <f ca="1">IF(AND($W357&gt;0,RegimeExecucao="Unitário"),$F357,"")</f>
        <v/>
      </c>
      <c r="W357" s="547">
        <f ca="1">IF($Y357&gt;0,CHOOSE(MATCH(RegimeExecucao,{"Unitário","Global"},0),IF($A357="S",$Y357/$X357,""),($Y357/$X357)*100),0)</f>
        <v>0</v>
      </c>
      <c r="X357" s="384" t="str">
        <f ca="1">IF($Y357&gt;0,CHOOSE(MATCH(RegimeExecucao,{"Unitário","Global"},0),IF($A357="S",ROUND($H357,ORÇAMENTO!$AF$10),""),ROUND($I357,ORÇAMENTO!$AF$11)),"")</f>
        <v/>
      </c>
      <c r="Y357" s="384">
        <f t="shared" ca="1" si="28"/>
        <v>0</v>
      </c>
      <c r="Z357" s="572"/>
      <c r="AB357" s="382"/>
      <c r="AC357" s="516"/>
      <c r="AD357" s="516"/>
      <c r="AE357" s="516"/>
      <c r="AF357" s="516"/>
      <c r="AG357" s="516"/>
      <c r="AH357" s="516"/>
      <c r="AI357" s="516"/>
      <c r="AJ357" s="516"/>
      <c r="AK357" s="516"/>
      <c r="AL357" s="516"/>
      <c r="AM357" s="383"/>
      <c r="AO357">
        <f ca="1">IF($A357="S",IF(BM!$I357=0,0,CHOOSE(MATCH(RegimeExecucao,{"Global","Unitário"},0),ROUND(ROUND(BM.MEDAcumulado,15-13*BM!$A$9)/100*BM!$I357,15-13*ORÇAMENTO!$AF$11),ROUND(ROUND(BM.MEDAcumulado,15-13*BM!$A$9)*ROUND(BM!$H357,15-13*ORÇAMENTO!$AF$10),15-13*ORÇAMENTO!$AF$11))),IF($A357=0,0,ROUND(SomaAgrupBM,15-13*ORÇAMENTO!$AF$11)))</f>
        <v>0</v>
      </c>
    </row>
    <row r="358" spans="1:41" ht="38.25" x14ac:dyDescent="0.2">
      <c r="A358" t="str">
        <f ca="1">ORÇAMENTO!C358</f>
        <v>S</v>
      </c>
      <c r="B358">
        <f ca="1">ORÇAMENTO!D358</f>
        <v>0</v>
      </c>
      <c r="C358" s="116" t="str">
        <f t="shared" ca="1" si="22"/>
        <v/>
      </c>
      <c r="D358" s="119" t="str">
        <f ca="1">ORÇAMENTO!O358</f>
        <v>-</v>
      </c>
      <c r="E358" s="172" t="str">
        <f t="shared" ca="1" si="23"/>
        <v>(abra o arquivo 'Referência 06-2024.xlsm)</v>
      </c>
      <c r="F358" s="173" t="str">
        <f ca="1">IF(RegimeExecucao="Global","",ORÇAMENTO.Unidade)</f>
        <v/>
      </c>
      <c r="G358" s="124" t="str">
        <f ca="1">IF(RegimeExecucao="Global","",ORÇAMENTO!T358)</f>
        <v/>
      </c>
      <c r="H358" s="124" t="str">
        <f ca="1">IF(RegimeExecucao="Global","",ORÇAMENTO!W358)</f>
        <v/>
      </c>
      <c r="I358" s="127">
        <f ca="1">ORÇAMENTO!X358</f>
        <v>0</v>
      </c>
      <c r="J358" s="378">
        <f ca="1">IF($A358="S",IF(CAIXA.Modo,BM.AFAnterior,BM.MEDAnterior),IF(AND(RegimeExecucao="Global",$I358&gt;0,COUNTIF($AB$13:$AM$13,BM.medicao-1)&gt;0),M358/$I358*100,0))</f>
        <v>0</v>
      </c>
      <c r="K358" s="124">
        <f t="shared" ca="1" si="24"/>
        <v>0</v>
      </c>
      <c r="L358" s="379">
        <f ca="1">IF($A358="S",IF(CAIXA.Modo,BM.AFAcumulado,BM.MEDAcumulado),IF(AND(RegimeExecucao="Global",$I358&gt;0,COUNTIF($AB$13:$AM$13,BM.medicao)&gt;0),O358/$I358*100,0))</f>
        <v>0</v>
      </c>
      <c r="M358" s="380">
        <f ca="1">IF($A358="S",VTOTALBM,IF($A358=0,0,ROUND(SomaAgrupBM,15-13*ORÇAMENTO!$AF$11)))</f>
        <v>0</v>
      </c>
      <c r="N358" s="381">
        <f t="shared" ca="1" si="25"/>
        <v>0</v>
      </c>
      <c r="O358" s="127">
        <f ca="1">IF($A358="S",VTOTALBM,IF($A358=0,0,ROUND(SomaAgrupBM,15-13*ORÇAMENTO!$AF$11)))</f>
        <v>0</v>
      </c>
      <c r="Q358" s="382"/>
      <c r="R358" s="383"/>
      <c r="T358" s="119" t="str">
        <f t="shared" ca="1" si="26"/>
        <v/>
      </c>
      <c r="U358" s="172" t="str">
        <f t="shared" ca="1" si="27"/>
        <v/>
      </c>
      <c r="V358" s="173" t="str">
        <f ca="1">IF(AND($W358&gt;0,RegimeExecucao="Unitário"),$F358,"")</f>
        <v/>
      </c>
      <c r="W358" s="547">
        <f ca="1">IF($Y358&gt;0,CHOOSE(MATCH(RegimeExecucao,{"Unitário","Global"},0),IF($A358="S",$Y358/$X358,""),($Y358/$X358)*100),0)</f>
        <v>0</v>
      </c>
      <c r="X358" s="384" t="str">
        <f ca="1">IF($Y358&gt;0,CHOOSE(MATCH(RegimeExecucao,{"Unitário","Global"},0),IF($A358="S",ROUND($H358,ORÇAMENTO!$AF$10),""),ROUND($I358,ORÇAMENTO!$AF$11)),"")</f>
        <v/>
      </c>
      <c r="Y358" s="384">
        <f t="shared" ca="1" si="28"/>
        <v>0</v>
      </c>
      <c r="Z358" s="572"/>
      <c r="AB358" s="382"/>
      <c r="AC358" s="516"/>
      <c r="AD358" s="516"/>
      <c r="AE358" s="516"/>
      <c r="AF358" s="516"/>
      <c r="AG358" s="516"/>
      <c r="AH358" s="516"/>
      <c r="AI358" s="516"/>
      <c r="AJ358" s="516"/>
      <c r="AK358" s="516"/>
      <c r="AL358" s="516"/>
      <c r="AM358" s="383"/>
      <c r="AO358">
        <f ca="1">IF($A358="S",IF(BM!$I358=0,0,CHOOSE(MATCH(RegimeExecucao,{"Global","Unitário"},0),ROUND(ROUND(BM.MEDAcumulado,15-13*BM!$A$9)/100*BM!$I358,15-13*ORÇAMENTO!$AF$11),ROUND(ROUND(BM.MEDAcumulado,15-13*BM!$A$9)*ROUND(BM!$H358,15-13*ORÇAMENTO!$AF$10),15-13*ORÇAMENTO!$AF$11))),IF($A358=0,0,ROUND(SomaAgrupBM,15-13*ORÇAMENTO!$AF$11)))</f>
        <v>0</v>
      </c>
    </row>
    <row r="359" spans="1:41" ht="38.25" x14ac:dyDescent="0.2">
      <c r="A359" t="str">
        <f ca="1">ORÇAMENTO!C359</f>
        <v>S</v>
      </c>
      <c r="B359">
        <f ca="1">ORÇAMENTO!D359</f>
        <v>0</v>
      </c>
      <c r="C359" s="116" t="str">
        <f t="shared" ca="1" si="22"/>
        <v/>
      </c>
      <c r="D359" s="119" t="str">
        <f ca="1">ORÇAMENTO!O359</f>
        <v>-</v>
      </c>
      <c r="E359" s="172" t="str">
        <f t="shared" ca="1" si="23"/>
        <v>(abra o arquivo 'Referência 06-2024.xlsm)</v>
      </c>
      <c r="F359" s="173" t="str">
        <f ca="1">IF(RegimeExecucao="Global","",ORÇAMENTO.Unidade)</f>
        <v/>
      </c>
      <c r="G359" s="124" t="str">
        <f ca="1">IF(RegimeExecucao="Global","",ORÇAMENTO!T359)</f>
        <v/>
      </c>
      <c r="H359" s="124" t="str">
        <f ca="1">IF(RegimeExecucao="Global","",ORÇAMENTO!W359)</f>
        <v/>
      </c>
      <c r="I359" s="127">
        <f ca="1">ORÇAMENTO!X359</f>
        <v>0</v>
      </c>
      <c r="J359" s="378">
        <f ca="1">IF($A359="S",IF(CAIXA.Modo,BM.AFAnterior,BM.MEDAnterior),IF(AND(RegimeExecucao="Global",$I359&gt;0,COUNTIF($AB$13:$AM$13,BM.medicao-1)&gt;0),M359/$I359*100,0))</f>
        <v>0</v>
      </c>
      <c r="K359" s="124">
        <f t="shared" ca="1" si="24"/>
        <v>0</v>
      </c>
      <c r="L359" s="379">
        <f ca="1">IF($A359="S",IF(CAIXA.Modo,BM.AFAcumulado,BM.MEDAcumulado),IF(AND(RegimeExecucao="Global",$I359&gt;0,COUNTIF($AB$13:$AM$13,BM.medicao)&gt;0),O359/$I359*100,0))</f>
        <v>0</v>
      </c>
      <c r="M359" s="380">
        <f ca="1">IF($A359="S",VTOTALBM,IF($A359=0,0,ROUND(SomaAgrupBM,15-13*ORÇAMENTO!$AF$11)))</f>
        <v>0</v>
      </c>
      <c r="N359" s="381">
        <f t="shared" ca="1" si="25"/>
        <v>0</v>
      </c>
      <c r="O359" s="127">
        <f ca="1">IF($A359="S",VTOTALBM,IF($A359=0,0,ROUND(SomaAgrupBM,15-13*ORÇAMENTO!$AF$11)))</f>
        <v>0</v>
      </c>
      <c r="Q359" s="382"/>
      <c r="R359" s="383"/>
      <c r="T359" s="119" t="str">
        <f t="shared" ca="1" si="26"/>
        <v/>
      </c>
      <c r="U359" s="172" t="str">
        <f t="shared" ca="1" si="27"/>
        <v/>
      </c>
      <c r="V359" s="173" t="str">
        <f ca="1">IF(AND($W359&gt;0,RegimeExecucao="Unitário"),$F359,"")</f>
        <v/>
      </c>
      <c r="W359" s="547">
        <f ca="1">IF($Y359&gt;0,CHOOSE(MATCH(RegimeExecucao,{"Unitário","Global"},0),IF($A359="S",$Y359/$X359,""),($Y359/$X359)*100),0)</f>
        <v>0</v>
      </c>
      <c r="X359" s="384" t="str">
        <f ca="1">IF($Y359&gt;0,CHOOSE(MATCH(RegimeExecucao,{"Unitário","Global"},0),IF($A359="S",ROUND($H359,ORÇAMENTO!$AF$10),""),ROUND($I359,ORÇAMENTO!$AF$11)),"")</f>
        <v/>
      </c>
      <c r="Y359" s="384">
        <f t="shared" ca="1" si="28"/>
        <v>0</v>
      </c>
      <c r="Z359" s="572"/>
      <c r="AB359" s="382"/>
      <c r="AC359" s="516"/>
      <c r="AD359" s="516"/>
      <c r="AE359" s="516"/>
      <c r="AF359" s="516"/>
      <c r="AG359" s="516"/>
      <c r="AH359" s="516"/>
      <c r="AI359" s="516"/>
      <c r="AJ359" s="516"/>
      <c r="AK359" s="516"/>
      <c r="AL359" s="516"/>
      <c r="AM359" s="383"/>
      <c r="AO359">
        <f ca="1">IF($A359="S",IF(BM!$I359=0,0,CHOOSE(MATCH(RegimeExecucao,{"Global","Unitário"},0),ROUND(ROUND(BM.MEDAcumulado,15-13*BM!$A$9)/100*BM!$I359,15-13*ORÇAMENTO!$AF$11),ROUND(ROUND(BM.MEDAcumulado,15-13*BM!$A$9)*ROUND(BM!$H359,15-13*ORÇAMENTO!$AF$10),15-13*ORÇAMENTO!$AF$11))),IF($A359=0,0,ROUND(SomaAgrupBM,15-13*ORÇAMENTO!$AF$11)))</f>
        <v>0</v>
      </c>
    </row>
    <row r="360" spans="1:41" ht="38.25" x14ac:dyDescent="0.2">
      <c r="A360" t="str">
        <f ca="1">ORÇAMENTO!C360</f>
        <v>S</v>
      </c>
      <c r="B360">
        <f ca="1">ORÇAMENTO!D360</f>
        <v>0</v>
      </c>
      <c r="C360" s="116" t="str">
        <f t="shared" ca="1" si="22"/>
        <v/>
      </c>
      <c r="D360" s="119" t="str">
        <f ca="1">ORÇAMENTO!O360</f>
        <v>-</v>
      </c>
      <c r="E360" s="172" t="str">
        <f t="shared" ca="1" si="23"/>
        <v>(abra o arquivo 'Referência 06-2024.xlsm)</v>
      </c>
      <c r="F360" s="173" t="str">
        <f ca="1">IF(RegimeExecucao="Global","",ORÇAMENTO.Unidade)</f>
        <v/>
      </c>
      <c r="G360" s="124" t="str">
        <f ca="1">IF(RegimeExecucao="Global","",ORÇAMENTO!T360)</f>
        <v/>
      </c>
      <c r="H360" s="124" t="str">
        <f ca="1">IF(RegimeExecucao="Global","",ORÇAMENTO!W360)</f>
        <v/>
      </c>
      <c r="I360" s="127">
        <f ca="1">ORÇAMENTO!X360</f>
        <v>0</v>
      </c>
      <c r="J360" s="378">
        <f ca="1">IF($A360="S",IF(CAIXA.Modo,BM.AFAnterior,BM.MEDAnterior),IF(AND(RegimeExecucao="Global",$I360&gt;0,COUNTIF($AB$13:$AM$13,BM.medicao-1)&gt;0),M360/$I360*100,0))</f>
        <v>0</v>
      </c>
      <c r="K360" s="124">
        <f t="shared" ca="1" si="24"/>
        <v>0</v>
      </c>
      <c r="L360" s="379">
        <f ca="1">IF($A360="S",IF(CAIXA.Modo,BM.AFAcumulado,BM.MEDAcumulado),IF(AND(RegimeExecucao="Global",$I360&gt;0,COUNTIF($AB$13:$AM$13,BM.medicao)&gt;0),O360/$I360*100,0))</f>
        <v>0</v>
      </c>
      <c r="M360" s="380">
        <f ca="1">IF($A360="S",VTOTALBM,IF($A360=0,0,ROUND(SomaAgrupBM,15-13*ORÇAMENTO!$AF$11)))</f>
        <v>0</v>
      </c>
      <c r="N360" s="381">
        <f t="shared" ca="1" si="25"/>
        <v>0</v>
      </c>
      <c r="O360" s="127">
        <f ca="1">IF($A360="S",VTOTALBM,IF($A360=0,0,ROUND(SomaAgrupBM,15-13*ORÇAMENTO!$AF$11)))</f>
        <v>0</v>
      </c>
      <c r="Q360" s="382"/>
      <c r="R360" s="383"/>
      <c r="T360" s="119" t="str">
        <f t="shared" ca="1" si="26"/>
        <v/>
      </c>
      <c r="U360" s="172" t="str">
        <f t="shared" ca="1" si="27"/>
        <v/>
      </c>
      <c r="V360" s="173" t="str">
        <f ca="1">IF(AND($W360&gt;0,RegimeExecucao="Unitário"),$F360,"")</f>
        <v/>
      </c>
      <c r="W360" s="547">
        <f ca="1">IF($Y360&gt;0,CHOOSE(MATCH(RegimeExecucao,{"Unitário","Global"},0),IF($A360="S",$Y360/$X360,""),($Y360/$X360)*100),0)</f>
        <v>0</v>
      </c>
      <c r="X360" s="384" t="str">
        <f ca="1">IF($Y360&gt;0,CHOOSE(MATCH(RegimeExecucao,{"Unitário","Global"},0),IF($A360="S",ROUND($H360,ORÇAMENTO!$AF$10),""),ROUND($I360,ORÇAMENTO!$AF$11)),"")</f>
        <v/>
      </c>
      <c r="Y360" s="384">
        <f t="shared" ca="1" si="28"/>
        <v>0</v>
      </c>
      <c r="Z360" s="572"/>
      <c r="AB360" s="382"/>
      <c r="AC360" s="516"/>
      <c r="AD360" s="516"/>
      <c r="AE360" s="516"/>
      <c r="AF360" s="516"/>
      <c r="AG360" s="516"/>
      <c r="AH360" s="516"/>
      <c r="AI360" s="516"/>
      <c r="AJ360" s="516"/>
      <c r="AK360" s="516"/>
      <c r="AL360" s="516"/>
      <c r="AM360" s="383"/>
      <c r="AO360">
        <f ca="1">IF($A360="S",IF(BM!$I360=0,0,CHOOSE(MATCH(RegimeExecucao,{"Global","Unitário"},0),ROUND(ROUND(BM.MEDAcumulado,15-13*BM!$A$9)/100*BM!$I360,15-13*ORÇAMENTO!$AF$11),ROUND(ROUND(BM.MEDAcumulado,15-13*BM!$A$9)*ROUND(BM!$H360,15-13*ORÇAMENTO!$AF$10),15-13*ORÇAMENTO!$AF$11))),IF($A360=0,0,ROUND(SomaAgrupBM,15-13*ORÇAMENTO!$AF$11)))</f>
        <v>0</v>
      </c>
    </row>
    <row r="361" spans="1:41" ht="38.25" x14ac:dyDescent="0.2">
      <c r="A361" t="str">
        <f ca="1">ORÇAMENTO!C361</f>
        <v>S</v>
      </c>
      <c r="B361">
        <f ca="1">ORÇAMENTO!D361</f>
        <v>0</v>
      </c>
      <c r="C361" s="116" t="str">
        <f t="shared" ca="1" si="22"/>
        <v/>
      </c>
      <c r="D361" s="119" t="str">
        <f ca="1">ORÇAMENTO!O361</f>
        <v>-</v>
      </c>
      <c r="E361" s="172" t="str">
        <f t="shared" ca="1" si="23"/>
        <v>(abra o arquivo 'Referência 06-2024.xlsm)</v>
      </c>
      <c r="F361" s="173" t="str">
        <f ca="1">IF(RegimeExecucao="Global","",ORÇAMENTO.Unidade)</f>
        <v/>
      </c>
      <c r="G361" s="124" t="str">
        <f ca="1">IF(RegimeExecucao="Global","",ORÇAMENTO!T361)</f>
        <v/>
      </c>
      <c r="H361" s="124" t="str">
        <f ca="1">IF(RegimeExecucao="Global","",ORÇAMENTO!W361)</f>
        <v/>
      </c>
      <c r="I361" s="127">
        <f ca="1">ORÇAMENTO!X361</f>
        <v>0</v>
      </c>
      <c r="J361" s="378">
        <f ca="1">IF($A361="S",IF(CAIXA.Modo,BM.AFAnterior,BM.MEDAnterior),IF(AND(RegimeExecucao="Global",$I361&gt;0,COUNTIF($AB$13:$AM$13,BM.medicao-1)&gt;0),M361/$I361*100,0))</f>
        <v>0</v>
      </c>
      <c r="K361" s="124">
        <f t="shared" ca="1" si="24"/>
        <v>0</v>
      </c>
      <c r="L361" s="379">
        <f ca="1">IF($A361="S",IF(CAIXA.Modo,BM.AFAcumulado,BM.MEDAcumulado),IF(AND(RegimeExecucao="Global",$I361&gt;0,COUNTIF($AB$13:$AM$13,BM.medicao)&gt;0),O361/$I361*100,0))</f>
        <v>0</v>
      </c>
      <c r="M361" s="380">
        <f ca="1">IF($A361="S",VTOTALBM,IF($A361=0,0,ROUND(SomaAgrupBM,15-13*ORÇAMENTO!$AF$11)))</f>
        <v>0</v>
      </c>
      <c r="N361" s="381">
        <f t="shared" ca="1" si="25"/>
        <v>0</v>
      </c>
      <c r="O361" s="127">
        <f ca="1">IF($A361="S",VTOTALBM,IF($A361=0,0,ROUND(SomaAgrupBM,15-13*ORÇAMENTO!$AF$11)))</f>
        <v>0</v>
      </c>
      <c r="Q361" s="382"/>
      <c r="R361" s="383"/>
      <c r="T361" s="119" t="str">
        <f t="shared" ca="1" si="26"/>
        <v/>
      </c>
      <c r="U361" s="172" t="str">
        <f t="shared" ca="1" si="27"/>
        <v/>
      </c>
      <c r="V361" s="173" t="str">
        <f ca="1">IF(AND($W361&gt;0,RegimeExecucao="Unitário"),$F361,"")</f>
        <v/>
      </c>
      <c r="W361" s="547">
        <f ca="1">IF($Y361&gt;0,CHOOSE(MATCH(RegimeExecucao,{"Unitário","Global"},0),IF($A361="S",$Y361/$X361,""),($Y361/$X361)*100),0)</f>
        <v>0</v>
      </c>
      <c r="X361" s="384" t="str">
        <f ca="1">IF($Y361&gt;0,CHOOSE(MATCH(RegimeExecucao,{"Unitário","Global"},0),IF($A361="S",ROUND($H361,ORÇAMENTO!$AF$10),""),ROUND($I361,ORÇAMENTO!$AF$11)),"")</f>
        <v/>
      </c>
      <c r="Y361" s="384">
        <f t="shared" ca="1" si="28"/>
        <v>0</v>
      </c>
      <c r="Z361" s="572"/>
      <c r="AB361" s="382"/>
      <c r="AC361" s="516"/>
      <c r="AD361" s="516"/>
      <c r="AE361" s="516"/>
      <c r="AF361" s="516"/>
      <c r="AG361" s="516"/>
      <c r="AH361" s="516"/>
      <c r="AI361" s="516"/>
      <c r="AJ361" s="516"/>
      <c r="AK361" s="516"/>
      <c r="AL361" s="516"/>
      <c r="AM361" s="383"/>
      <c r="AO361">
        <f ca="1">IF($A361="S",IF(BM!$I361=0,0,CHOOSE(MATCH(RegimeExecucao,{"Global","Unitário"},0),ROUND(ROUND(BM.MEDAcumulado,15-13*BM!$A$9)/100*BM!$I361,15-13*ORÇAMENTO!$AF$11),ROUND(ROUND(BM.MEDAcumulado,15-13*BM!$A$9)*ROUND(BM!$H361,15-13*ORÇAMENTO!$AF$10),15-13*ORÇAMENTO!$AF$11))),IF($A361=0,0,ROUND(SomaAgrupBM,15-13*ORÇAMENTO!$AF$11)))</f>
        <v>0</v>
      </c>
    </row>
    <row r="362" spans="1:41" ht="38.25" x14ac:dyDescent="0.2">
      <c r="A362" t="str">
        <f ca="1">ORÇAMENTO!C362</f>
        <v>S</v>
      </c>
      <c r="B362">
        <f ca="1">ORÇAMENTO!D362</f>
        <v>0</v>
      </c>
      <c r="C362" s="116" t="str">
        <f t="shared" ca="1" si="22"/>
        <v/>
      </c>
      <c r="D362" s="119" t="str">
        <f ca="1">ORÇAMENTO!O362</f>
        <v>-</v>
      </c>
      <c r="E362" s="172" t="str">
        <f t="shared" ca="1" si="23"/>
        <v>(abra o arquivo 'Referência 06-2024.xlsm)</v>
      </c>
      <c r="F362" s="173" t="str">
        <f ca="1">IF(RegimeExecucao="Global","",ORÇAMENTO.Unidade)</f>
        <v/>
      </c>
      <c r="G362" s="124" t="str">
        <f ca="1">IF(RegimeExecucao="Global","",ORÇAMENTO!T362)</f>
        <v/>
      </c>
      <c r="H362" s="124" t="str">
        <f ca="1">IF(RegimeExecucao="Global","",ORÇAMENTO!W362)</f>
        <v/>
      </c>
      <c r="I362" s="127">
        <f ca="1">ORÇAMENTO!X362</f>
        <v>0</v>
      </c>
      <c r="J362" s="378">
        <f ca="1">IF($A362="S",IF(CAIXA.Modo,BM.AFAnterior,BM.MEDAnterior),IF(AND(RegimeExecucao="Global",$I362&gt;0,COUNTIF($AB$13:$AM$13,BM.medicao-1)&gt;0),M362/$I362*100,0))</f>
        <v>0</v>
      </c>
      <c r="K362" s="124">
        <f t="shared" ca="1" si="24"/>
        <v>0</v>
      </c>
      <c r="L362" s="379">
        <f ca="1">IF($A362="S",IF(CAIXA.Modo,BM.AFAcumulado,BM.MEDAcumulado),IF(AND(RegimeExecucao="Global",$I362&gt;0,COUNTIF($AB$13:$AM$13,BM.medicao)&gt;0),O362/$I362*100,0))</f>
        <v>0</v>
      </c>
      <c r="M362" s="380">
        <f ca="1">IF($A362="S",VTOTALBM,IF($A362=0,0,ROUND(SomaAgrupBM,15-13*ORÇAMENTO!$AF$11)))</f>
        <v>0</v>
      </c>
      <c r="N362" s="381">
        <f t="shared" ca="1" si="25"/>
        <v>0</v>
      </c>
      <c r="O362" s="127">
        <f ca="1">IF($A362="S",VTOTALBM,IF($A362=0,0,ROUND(SomaAgrupBM,15-13*ORÇAMENTO!$AF$11)))</f>
        <v>0</v>
      </c>
      <c r="Q362" s="382"/>
      <c r="R362" s="383"/>
      <c r="T362" s="119" t="str">
        <f t="shared" ca="1" si="26"/>
        <v/>
      </c>
      <c r="U362" s="172" t="str">
        <f t="shared" ca="1" si="27"/>
        <v/>
      </c>
      <c r="V362" s="173" t="str">
        <f ca="1">IF(AND($W362&gt;0,RegimeExecucao="Unitário"),$F362,"")</f>
        <v/>
      </c>
      <c r="W362" s="547">
        <f ca="1">IF($Y362&gt;0,CHOOSE(MATCH(RegimeExecucao,{"Unitário","Global"},0),IF($A362="S",$Y362/$X362,""),($Y362/$X362)*100),0)</f>
        <v>0</v>
      </c>
      <c r="X362" s="384" t="str">
        <f ca="1">IF($Y362&gt;0,CHOOSE(MATCH(RegimeExecucao,{"Unitário","Global"},0),IF($A362="S",ROUND($H362,ORÇAMENTO!$AF$10),""),ROUND($I362,ORÇAMENTO!$AF$11)),"")</f>
        <v/>
      </c>
      <c r="Y362" s="384">
        <f t="shared" ca="1" si="28"/>
        <v>0</v>
      </c>
      <c r="Z362" s="572"/>
      <c r="AB362" s="382"/>
      <c r="AC362" s="516"/>
      <c r="AD362" s="516"/>
      <c r="AE362" s="516"/>
      <c r="AF362" s="516"/>
      <c r="AG362" s="516"/>
      <c r="AH362" s="516"/>
      <c r="AI362" s="516"/>
      <c r="AJ362" s="516"/>
      <c r="AK362" s="516"/>
      <c r="AL362" s="516"/>
      <c r="AM362" s="383"/>
      <c r="AO362">
        <f ca="1">IF($A362="S",IF(BM!$I362=0,0,CHOOSE(MATCH(RegimeExecucao,{"Global","Unitário"},0),ROUND(ROUND(BM.MEDAcumulado,15-13*BM!$A$9)/100*BM!$I362,15-13*ORÇAMENTO!$AF$11),ROUND(ROUND(BM.MEDAcumulado,15-13*BM!$A$9)*ROUND(BM!$H362,15-13*ORÇAMENTO!$AF$10),15-13*ORÇAMENTO!$AF$11))),IF($A362=0,0,ROUND(SomaAgrupBM,15-13*ORÇAMENTO!$AF$11)))</f>
        <v>0</v>
      </c>
    </row>
    <row r="363" spans="1:41" ht="38.25" x14ac:dyDescent="0.2">
      <c r="A363" t="str">
        <f ca="1">ORÇAMENTO!C363</f>
        <v>S</v>
      </c>
      <c r="B363">
        <f ca="1">ORÇAMENTO!D363</f>
        <v>0</v>
      </c>
      <c r="C363" s="116" t="str">
        <f t="shared" ca="1" si="22"/>
        <v/>
      </c>
      <c r="D363" s="119" t="str">
        <f ca="1">ORÇAMENTO!O363</f>
        <v>-</v>
      </c>
      <c r="E363" s="172" t="str">
        <f t="shared" ca="1" si="23"/>
        <v>(abra o arquivo 'Referência 06-2024.xlsm)</v>
      </c>
      <c r="F363" s="173" t="str">
        <f ca="1">IF(RegimeExecucao="Global","",ORÇAMENTO.Unidade)</f>
        <v/>
      </c>
      <c r="G363" s="124" t="str">
        <f ca="1">IF(RegimeExecucao="Global","",ORÇAMENTO!T363)</f>
        <v/>
      </c>
      <c r="H363" s="124" t="str">
        <f ca="1">IF(RegimeExecucao="Global","",ORÇAMENTO!W363)</f>
        <v/>
      </c>
      <c r="I363" s="127">
        <f ca="1">ORÇAMENTO!X363</f>
        <v>0</v>
      </c>
      <c r="J363" s="378">
        <f ca="1">IF($A363="S",IF(CAIXA.Modo,BM.AFAnterior,BM.MEDAnterior),IF(AND(RegimeExecucao="Global",$I363&gt;0,COUNTIF($AB$13:$AM$13,BM.medicao-1)&gt;0),M363/$I363*100,0))</f>
        <v>0</v>
      </c>
      <c r="K363" s="124">
        <f t="shared" ca="1" si="24"/>
        <v>0</v>
      </c>
      <c r="L363" s="379">
        <f ca="1">IF($A363="S",IF(CAIXA.Modo,BM.AFAcumulado,BM.MEDAcumulado),IF(AND(RegimeExecucao="Global",$I363&gt;0,COUNTIF($AB$13:$AM$13,BM.medicao)&gt;0),O363/$I363*100,0))</f>
        <v>0</v>
      </c>
      <c r="M363" s="380">
        <f ca="1">IF($A363="S",VTOTALBM,IF($A363=0,0,ROUND(SomaAgrupBM,15-13*ORÇAMENTO!$AF$11)))</f>
        <v>0</v>
      </c>
      <c r="N363" s="381">
        <f t="shared" ca="1" si="25"/>
        <v>0</v>
      </c>
      <c r="O363" s="127">
        <f ca="1">IF($A363="S",VTOTALBM,IF($A363=0,0,ROUND(SomaAgrupBM,15-13*ORÇAMENTO!$AF$11)))</f>
        <v>0</v>
      </c>
      <c r="Q363" s="382"/>
      <c r="R363" s="383"/>
      <c r="T363" s="119" t="str">
        <f t="shared" ca="1" si="26"/>
        <v/>
      </c>
      <c r="U363" s="172" t="str">
        <f t="shared" ca="1" si="27"/>
        <v/>
      </c>
      <c r="V363" s="173" t="str">
        <f ca="1">IF(AND($W363&gt;0,RegimeExecucao="Unitário"),$F363,"")</f>
        <v/>
      </c>
      <c r="W363" s="547">
        <f ca="1">IF($Y363&gt;0,CHOOSE(MATCH(RegimeExecucao,{"Unitário","Global"},0),IF($A363="S",$Y363/$X363,""),($Y363/$X363)*100),0)</f>
        <v>0</v>
      </c>
      <c r="X363" s="384" t="str">
        <f ca="1">IF($Y363&gt;0,CHOOSE(MATCH(RegimeExecucao,{"Unitário","Global"},0),IF($A363="S",ROUND($H363,ORÇAMENTO!$AF$10),""),ROUND($I363,ORÇAMENTO!$AF$11)),"")</f>
        <v/>
      </c>
      <c r="Y363" s="384">
        <f t="shared" ca="1" si="28"/>
        <v>0</v>
      </c>
      <c r="Z363" s="572"/>
      <c r="AB363" s="382"/>
      <c r="AC363" s="516"/>
      <c r="AD363" s="516"/>
      <c r="AE363" s="516"/>
      <c r="AF363" s="516"/>
      <c r="AG363" s="516"/>
      <c r="AH363" s="516"/>
      <c r="AI363" s="516"/>
      <c r="AJ363" s="516"/>
      <c r="AK363" s="516"/>
      <c r="AL363" s="516"/>
      <c r="AM363" s="383"/>
      <c r="AO363">
        <f ca="1">IF($A363="S",IF(BM!$I363=0,0,CHOOSE(MATCH(RegimeExecucao,{"Global","Unitário"},0),ROUND(ROUND(BM.MEDAcumulado,15-13*BM!$A$9)/100*BM!$I363,15-13*ORÇAMENTO!$AF$11),ROUND(ROUND(BM.MEDAcumulado,15-13*BM!$A$9)*ROUND(BM!$H363,15-13*ORÇAMENTO!$AF$10),15-13*ORÇAMENTO!$AF$11))),IF($A363=0,0,ROUND(SomaAgrupBM,15-13*ORÇAMENTO!$AF$11)))</f>
        <v>0</v>
      </c>
    </row>
    <row r="364" spans="1:41" ht="38.25" x14ac:dyDescent="0.2">
      <c r="A364" t="str">
        <f ca="1">ORÇAMENTO!C364</f>
        <v>S</v>
      </c>
      <c r="B364">
        <f ca="1">ORÇAMENTO!D364</f>
        <v>0</v>
      </c>
      <c r="C364" s="116" t="str">
        <f t="shared" ca="1" si="22"/>
        <v/>
      </c>
      <c r="D364" s="119" t="str">
        <f ca="1">ORÇAMENTO!O364</f>
        <v>-</v>
      </c>
      <c r="E364" s="172" t="str">
        <f t="shared" ca="1" si="23"/>
        <v>(abra o arquivo 'Referência 06-2024.xlsm)</v>
      </c>
      <c r="F364" s="173" t="str">
        <f ca="1">IF(RegimeExecucao="Global","",ORÇAMENTO.Unidade)</f>
        <v/>
      </c>
      <c r="G364" s="124" t="str">
        <f ca="1">IF(RegimeExecucao="Global","",ORÇAMENTO!T364)</f>
        <v/>
      </c>
      <c r="H364" s="124" t="str">
        <f ca="1">IF(RegimeExecucao="Global","",ORÇAMENTO!W364)</f>
        <v/>
      </c>
      <c r="I364" s="127">
        <f ca="1">ORÇAMENTO!X364</f>
        <v>0</v>
      </c>
      <c r="J364" s="378">
        <f ca="1">IF($A364="S",IF(CAIXA.Modo,BM.AFAnterior,BM.MEDAnterior),IF(AND(RegimeExecucao="Global",$I364&gt;0,COUNTIF($AB$13:$AM$13,BM.medicao-1)&gt;0),M364/$I364*100,0))</f>
        <v>0</v>
      </c>
      <c r="K364" s="124">
        <f t="shared" ca="1" si="24"/>
        <v>0</v>
      </c>
      <c r="L364" s="379">
        <f ca="1">IF($A364="S",IF(CAIXA.Modo,BM.AFAcumulado,BM.MEDAcumulado),IF(AND(RegimeExecucao="Global",$I364&gt;0,COUNTIF($AB$13:$AM$13,BM.medicao)&gt;0),O364/$I364*100,0))</f>
        <v>0</v>
      </c>
      <c r="M364" s="380">
        <f ca="1">IF($A364="S",VTOTALBM,IF($A364=0,0,ROUND(SomaAgrupBM,15-13*ORÇAMENTO!$AF$11)))</f>
        <v>0</v>
      </c>
      <c r="N364" s="381">
        <f t="shared" ca="1" si="25"/>
        <v>0</v>
      </c>
      <c r="O364" s="127">
        <f ca="1">IF($A364="S",VTOTALBM,IF($A364=0,0,ROUND(SomaAgrupBM,15-13*ORÇAMENTO!$AF$11)))</f>
        <v>0</v>
      </c>
      <c r="Q364" s="382"/>
      <c r="R364" s="383"/>
      <c r="T364" s="119" t="str">
        <f t="shared" ca="1" si="26"/>
        <v/>
      </c>
      <c r="U364" s="172" t="str">
        <f t="shared" ca="1" si="27"/>
        <v/>
      </c>
      <c r="V364" s="173" t="str">
        <f ca="1">IF(AND($W364&gt;0,RegimeExecucao="Unitário"),$F364,"")</f>
        <v/>
      </c>
      <c r="W364" s="547">
        <f ca="1">IF($Y364&gt;0,CHOOSE(MATCH(RegimeExecucao,{"Unitário","Global"},0),IF($A364="S",$Y364/$X364,""),($Y364/$X364)*100),0)</f>
        <v>0</v>
      </c>
      <c r="X364" s="384" t="str">
        <f ca="1">IF($Y364&gt;0,CHOOSE(MATCH(RegimeExecucao,{"Unitário","Global"},0),IF($A364="S",ROUND($H364,ORÇAMENTO!$AF$10),""),ROUND($I364,ORÇAMENTO!$AF$11)),"")</f>
        <v/>
      </c>
      <c r="Y364" s="384">
        <f t="shared" ca="1" si="28"/>
        <v>0</v>
      </c>
      <c r="Z364" s="572"/>
      <c r="AB364" s="382"/>
      <c r="AC364" s="516"/>
      <c r="AD364" s="516"/>
      <c r="AE364" s="516"/>
      <c r="AF364" s="516"/>
      <c r="AG364" s="516"/>
      <c r="AH364" s="516"/>
      <c r="AI364" s="516"/>
      <c r="AJ364" s="516"/>
      <c r="AK364" s="516"/>
      <c r="AL364" s="516"/>
      <c r="AM364" s="383"/>
      <c r="AO364">
        <f ca="1">IF($A364="S",IF(BM!$I364=0,0,CHOOSE(MATCH(RegimeExecucao,{"Global","Unitário"},0),ROUND(ROUND(BM.MEDAcumulado,15-13*BM!$A$9)/100*BM!$I364,15-13*ORÇAMENTO!$AF$11),ROUND(ROUND(BM.MEDAcumulado,15-13*BM!$A$9)*ROUND(BM!$H364,15-13*ORÇAMENTO!$AF$10),15-13*ORÇAMENTO!$AF$11))),IF($A364=0,0,ROUND(SomaAgrupBM,15-13*ORÇAMENTO!$AF$11)))</f>
        <v>0</v>
      </c>
    </row>
    <row r="365" spans="1:41" x14ac:dyDescent="0.2">
      <c r="A365">
        <f ca="1">ORÇAMENTO!C365</f>
        <v>2</v>
      </c>
      <c r="B365">
        <f ca="1">ORÇAMENTO!D365</f>
        <v>37</v>
      </c>
      <c r="C365" s="116" t="str">
        <f t="shared" ca="1" si="22"/>
        <v>F</v>
      </c>
      <c r="D365" s="119" t="str">
        <f ca="1">ORÇAMENTO!O365</f>
        <v>1.43.</v>
      </c>
      <c r="E365" s="172" t="str">
        <f t="shared" si="23"/>
        <v>LOUÇAS, ACESSÓRIOS E METAIS</v>
      </c>
      <c r="F365" s="173" t="str">
        <f ca="1">IF(RegimeExecucao="Global","",ORÇAMENTO.Unidade)</f>
        <v/>
      </c>
      <c r="G365" s="124" t="str">
        <f ca="1">IF(RegimeExecucao="Global","",ORÇAMENTO!T365)</f>
        <v/>
      </c>
      <c r="H365" s="124" t="str">
        <f ca="1">IF(RegimeExecucao="Global","",ORÇAMENTO!W365)</f>
        <v/>
      </c>
      <c r="I365" s="127">
        <f ca="1">ORÇAMENTO!X365</f>
        <v>0</v>
      </c>
      <c r="J365" s="378">
        <f ca="1">IF($A365="S",IF(CAIXA.Modo,BM.AFAnterior,BM.MEDAnterior),IF(AND(RegimeExecucao="Global",$I365&gt;0,COUNTIF($AB$13:$AM$13,BM.medicao-1)&gt;0),M365/$I365*100,0))</f>
        <v>0</v>
      </c>
      <c r="K365" s="124">
        <f t="shared" ca="1" si="24"/>
        <v>0</v>
      </c>
      <c r="L365" s="379">
        <f ca="1">IF($A365="S",IF(CAIXA.Modo,BM.AFAcumulado,BM.MEDAcumulado),IF(AND(RegimeExecucao="Global",$I365&gt;0,COUNTIF($AB$13:$AM$13,BM.medicao)&gt;0),O365/$I365*100,0))</f>
        <v>0</v>
      </c>
      <c r="M365" s="380">
        <f ca="1">IF($A365="S",VTOTALBM,IF($A365=0,0,ROUND(SomaAgrupBM,15-13*ORÇAMENTO!$AF$11)))</f>
        <v>0</v>
      </c>
      <c r="N365" s="381">
        <f t="shared" ca="1" si="25"/>
        <v>0</v>
      </c>
      <c r="O365" s="127">
        <f ca="1">IF($A365="S",VTOTALBM,IF($A365=0,0,ROUND(SomaAgrupBM,15-13*ORÇAMENTO!$AF$11)))</f>
        <v>0</v>
      </c>
      <c r="Q365" s="382"/>
      <c r="R365" s="383"/>
      <c r="T365" s="119" t="str">
        <f t="shared" ca="1" si="26"/>
        <v/>
      </c>
      <c r="U365" s="172" t="str">
        <f t="shared" ca="1" si="27"/>
        <v/>
      </c>
      <c r="V365" s="173" t="str">
        <f ca="1">IF(AND($W365&gt;0,RegimeExecucao="Unitário"),$F365,"")</f>
        <v/>
      </c>
      <c r="W365" s="547">
        <f ca="1">IF($Y365&gt;0,CHOOSE(MATCH(RegimeExecucao,{"Unitário","Global"},0),IF($A365="S",$Y365/$X365,""),($Y365/$X365)*100),0)</f>
        <v>0</v>
      </c>
      <c r="X365" s="384" t="str">
        <f ca="1">IF($Y365&gt;0,CHOOSE(MATCH(RegimeExecucao,{"Unitário","Global"},0),IF($A365="S",ROUND($H365,ORÇAMENTO!$AF$10),""),ROUND($I365,ORÇAMENTO!$AF$11)),"")</f>
        <v/>
      </c>
      <c r="Y365" s="384">
        <f t="shared" ca="1" si="28"/>
        <v>0</v>
      </c>
      <c r="Z365" s="572"/>
      <c r="AB365" s="382"/>
      <c r="AC365" s="516"/>
      <c r="AD365" s="516"/>
      <c r="AE365" s="516"/>
      <c r="AF365" s="516"/>
      <c r="AG365" s="516"/>
      <c r="AH365" s="516"/>
      <c r="AI365" s="516"/>
      <c r="AJ365" s="516"/>
      <c r="AK365" s="516"/>
      <c r="AL365" s="516"/>
      <c r="AM365" s="383"/>
      <c r="AO365">
        <f ca="1">IF($A365="S",IF(BM!$I365=0,0,CHOOSE(MATCH(RegimeExecucao,{"Global","Unitário"},0),ROUND(ROUND(BM.MEDAcumulado,15-13*BM!$A$9)/100*BM!$I365,15-13*ORÇAMENTO!$AF$11),ROUND(ROUND(BM.MEDAcumulado,15-13*BM!$A$9)*ROUND(BM!$H365,15-13*ORÇAMENTO!$AF$10),15-13*ORÇAMENTO!$AF$11))),IF($A365=0,0,ROUND(SomaAgrupBM,15-13*ORÇAMENTO!$AF$11)))</f>
        <v>0</v>
      </c>
    </row>
    <row r="366" spans="1:41" ht="38.25" x14ac:dyDescent="0.2">
      <c r="A366" t="str">
        <f ca="1">ORÇAMENTO!C366</f>
        <v>S</v>
      </c>
      <c r="B366">
        <f ca="1">ORÇAMENTO!D366</f>
        <v>0</v>
      </c>
      <c r="C366" s="116" t="str">
        <f t="shared" ca="1" si="22"/>
        <v/>
      </c>
      <c r="D366" s="119" t="str">
        <f ca="1">ORÇAMENTO!O366</f>
        <v>-</v>
      </c>
      <c r="E366" s="172" t="str">
        <f t="shared" ca="1" si="23"/>
        <v>(abra o arquivo 'Referência 06-2024.xlsm)</v>
      </c>
      <c r="F366" s="173" t="str">
        <f ca="1">IF(RegimeExecucao="Global","",ORÇAMENTO.Unidade)</f>
        <v/>
      </c>
      <c r="G366" s="124" t="str">
        <f ca="1">IF(RegimeExecucao="Global","",ORÇAMENTO!T366)</f>
        <v/>
      </c>
      <c r="H366" s="124" t="str">
        <f ca="1">IF(RegimeExecucao="Global","",ORÇAMENTO!W366)</f>
        <v/>
      </c>
      <c r="I366" s="127">
        <f ca="1">ORÇAMENTO!X366</f>
        <v>0</v>
      </c>
      <c r="J366" s="378">
        <f ca="1">IF($A366="S",IF(CAIXA.Modo,BM.AFAnterior,BM.MEDAnterior),IF(AND(RegimeExecucao="Global",$I366&gt;0,COUNTIF($AB$13:$AM$13,BM.medicao-1)&gt;0),M366/$I366*100,0))</f>
        <v>0</v>
      </c>
      <c r="K366" s="124">
        <f t="shared" ca="1" si="24"/>
        <v>0</v>
      </c>
      <c r="L366" s="379">
        <f ca="1">IF($A366="S",IF(CAIXA.Modo,BM.AFAcumulado,BM.MEDAcumulado),IF(AND(RegimeExecucao="Global",$I366&gt;0,COUNTIF($AB$13:$AM$13,BM.medicao)&gt;0),O366/$I366*100,0))</f>
        <v>0</v>
      </c>
      <c r="M366" s="380">
        <f ca="1">IF($A366="S",VTOTALBM,IF($A366=0,0,ROUND(SomaAgrupBM,15-13*ORÇAMENTO!$AF$11)))</f>
        <v>0</v>
      </c>
      <c r="N366" s="381">
        <f t="shared" ca="1" si="25"/>
        <v>0</v>
      </c>
      <c r="O366" s="127">
        <f ca="1">IF($A366="S",VTOTALBM,IF($A366=0,0,ROUND(SomaAgrupBM,15-13*ORÇAMENTO!$AF$11)))</f>
        <v>0</v>
      </c>
      <c r="Q366" s="382"/>
      <c r="R366" s="383"/>
      <c r="T366" s="119" t="str">
        <f t="shared" ca="1" si="26"/>
        <v/>
      </c>
      <c r="U366" s="172" t="str">
        <f t="shared" ca="1" si="27"/>
        <v/>
      </c>
      <c r="V366" s="173" t="str">
        <f ca="1">IF(AND($W366&gt;0,RegimeExecucao="Unitário"),$F366,"")</f>
        <v/>
      </c>
      <c r="W366" s="547">
        <f ca="1">IF($Y366&gt;0,CHOOSE(MATCH(RegimeExecucao,{"Unitário","Global"},0),IF($A366="S",$Y366/$X366,""),($Y366/$X366)*100),0)</f>
        <v>0</v>
      </c>
      <c r="X366" s="384" t="str">
        <f ca="1">IF($Y366&gt;0,CHOOSE(MATCH(RegimeExecucao,{"Unitário","Global"},0),IF($A366="S",ROUND($H366,ORÇAMENTO!$AF$10),""),ROUND($I366,ORÇAMENTO!$AF$11)),"")</f>
        <v/>
      </c>
      <c r="Y366" s="384">
        <f t="shared" ca="1" si="28"/>
        <v>0</v>
      </c>
      <c r="Z366" s="572"/>
      <c r="AB366" s="382"/>
      <c r="AC366" s="516"/>
      <c r="AD366" s="516"/>
      <c r="AE366" s="516"/>
      <c r="AF366" s="516"/>
      <c r="AG366" s="516"/>
      <c r="AH366" s="516"/>
      <c r="AI366" s="516"/>
      <c r="AJ366" s="516"/>
      <c r="AK366" s="516"/>
      <c r="AL366" s="516"/>
      <c r="AM366" s="383"/>
      <c r="AO366">
        <f ca="1">IF($A366="S",IF(BM!$I366=0,0,CHOOSE(MATCH(RegimeExecucao,{"Global","Unitário"},0),ROUND(ROUND(BM.MEDAcumulado,15-13*BM!$A$9)/100*BM!$I366,15-13*ORÇAMENTO!$AF$11),ROUND(ROUND(BM.MEDAcumulado,15-13*BM!$A$9)*ROUND(BM!$H366,15-13*ORÇAMENTO!$AF$10),15-13*ORÇAMENTO!$AF$11))),IF($A366=0,0,ROUND(SomaAgrupBM,15-13*ORÇAMENTO!$AF$11)))</f>
        <v>0</v>
      </c>
    </row>
    <row r="367" spans="1:41" ht="25.5" x14ac:dyDescent="0.2">
      <c r="A367" t="str">
        <f ca="1">ORÇAMENTO!C367</f>
        <v>S</v>
      </c>
      <c r="B367">
        <f ca="1">ORÇAMENTO!D367</f>
        <v>0</v>
      </c>
      <c r="C367" s="116" t="str">
        <f t="shared" ca="1" si="22"/>
        <v/>
      </c>
      <c r="D367" s="119" t="str">
        <f ca="1">ORÇAMENTO!O367</f>
        <v>-</v>
      </c>
      <c r="E367" s="172" t="str">
        <f t="shared" ca="1" si="23"/>
        <v>(abra o arquivo 'Referência 06-2024.xlsm)</v>
      </c>
      <c r="F367" s="173" t="str">
        <f ca="1">IF(RegimeExecucao="Global","",ORÇAMENTO.Unidade)</f>
        <v/>
      </c>
      <c r="G367" s="124" t="str">
        <f ca="1">IF(RegimeExecucao="Global","",ORÇAMENTO!T367)</f>
        <v/>
      </c>
      <c r="H367" s="124" t="str">
        <f ca="1">IF(RegimeExecucao="Global","",ORÇAMENTO!W367)</f>
        <v/>
      </c>
      <c r="I367" s="127">
        <f ca="1">ORÇAMENTO!X367</f>
        <v>0</v>
      </c>
      <c r="J367" s="378">
        <f ca="1">IF($A367="S",IF(CAIXA.Modo,BM.AFAnterior,BM.MEDAnterior),IF(AND(RegimeExecucao="Global",$I367&gt;0,COUNTIF($AB$13:$AM$13,BM.medicao-1)&gt;0),M367/$I367*100,0))</f>
        <v>0</v>
      </c>
      <c r="K367" s="124">
        <f t="shared" ca="1" si="24"/>
        <v>0</v>
      </c>
      <c r="L367" s="379">
        <f ca="1">IF($A367="S",IF(CAIXA.Modo,BM.AFAcumulado,BM.MEDAcumulado),IF(AND(RegimeExecucao="Global",$I367&gt;0,COUNTIF($AB$13:$AM$13,BM.medicao)&gt;0),O367/$I367*100,0))</f>
        <v>0</v>
      </c>
      <c r="M367" s="380">
        <f ca="1">IF($A367="S",VTOTALBM,IF($A367=0,0,ROUND(SomaAgrupBM,15-13*ORÇAMENTO!$AF$11)))</f>
        <v>0</v>
      </c>
      <c r="N367" s="381">
        <f t="shared" ca="1" si="25"/>
        <v>0</v>
      </c>
      <c r="O367" s="127">
        <f ca="1">IF($A367="S",VTOTALBM,IF($A367=0,0,ROUND(SomaAgrupBM,15-13*ORÇAMENTO!$AF$11)))</f>
        <v>0</v>
      </c>
      <c r="Q367" s="382"/>
      <c r="R367" s="383"/>
      <c r="T367" s="119" t="str">
        <f t="shared" ca="1" si="26"/>
        <v/>
      </c>
      <c r="U367" s="172" t="str">
        <f t="shared" ca="1" si="27"/>
        <v/>
      </c>
      <c r="V367" s="173" t="str">
        <f ca="1">IF(AND($W367&gt;0,RegimeExecucao="Unitário"),$F367,"")</f>
        <v/>
      </c>
      <c r="W367" s="547">
        <f ca="1">IF($Y367&gt;0,CHOOSE(MATCH(RegimeExecucao,{"Unitário","Global"},0),IF($A367="S",$Y367/$X367,""),($Y367/$X367)*100),0)</f>
        <v>0</v>
      </c>
      <c r="X367" s="384" t="str">
        <f ca="1">IF($Y367&gt;0,CHOOSE(MATCH(RegimeExecucao,{"Unitário","Global"},0),IF($A367="S",ROUND($H367,ORÇAMENTO!$AF$10),""),ROUND($I367,ORÇAMENTO!$AF$11)),"")</f>
        <v/>
      </c>
      <c r="Y367" s="384">
        <f t="shared" ca="1" si="28"/>
        <v>0</v>
      </c>
      <c r="Z367" s="572"/>
      <c r="AB367" s="382"/>
      <c r="AC367" s="516"/>
      <c r="AD367" s="516"/>
      <c r="AE367" s="516"/>
      <c r="AF367" s="516"/>
      <c r="AG367" s="516"/>
      <c r="AH367" s="516"/>
      <c r="AI367" s="516"/>
      <c r="AJ367" s="516"/>
      <c r="AK367" s="516"/>
      <c r="AL367" s="516"/>
      <c r="AM367" s="383"/>
      <c r="AO367">
        <f ca="1">IF($A367="S",IF(BM!$I367=0,0,CHOOSE(MATCH(RegimeExecucao,{"Global","Unitário"},0),ROUND(ROUND(BM.MEDAcumulado,15-13*BM!$A$9)/100*BM!$I367,15-13*ORÇAMENTO!$AF$11),ROUND(ROUND(BM.MEDAcumulado,15-13*BM!$A$9)*ROUND(BM!$H367,15-13*ORÇAMENTO!$AF$10),15-13*ORÇAMENTO!$AF$11))),IF($A367=0,0,ROUND(SomaAgrupBM,15-13*ORÇAMENTO!$AF$11)))</f>
        <v>0</v>
      </c>
    </row>
    <row r="368" spans="1:41" ht="25.5" x14ac:dyDescent="0.2">
      <c r="A368" t="str">
        <f ca="1">ORÇAMENTO!C368</f>
        <v>S</v>
      </c>
      <c r="B368">
        <f ca="1">ORÇAMENTO!D368</f>
        <v>0</v>
      </c>
      <c r="C368" s="116" t="str">
        <f t="shared" ca="1" si="22"/>
        <v/>
      </c>
      <c r="D368" s="119" t="str">
        <f ca="1">ORÇAMENTO!O368</f>
        <v>-</v>
      </c>
      <c r="E368" s="172" t="str">
        <f t="shared" ca="1" si="23"/>
        <v>(abra o arquivo 'Referência 06-2024.xlsm)</v>
      </c>
      <c r="F368" s="173" t="str">
        <f ca="1">IF(RegimeExecucao="Global","",ORÇAMENTO.Unidade)</f>
        <v/>
      </c>
      <c r="G368" s="124" t="str">
        <f ca="1">IF(RegimeExecucao="Global","",ORÇAMENTO!T368)</f>
        <v/>
      </c>
      <c r="H368" s="124" t="str">
        <f ca="1">IF(RegimeExecucao="Global","",ORÇAMENTO!W368)</f>
        <v/>
      </c>
      <c r="I368" s="127">
        <f ca="1">ORÇAMENTO!X368</f>
        <v>0</v>
      </c>
      <c r="J368" s="378">
        <f ca="1">IF($A368="S",IF(CAIXA.Modo,BM.AFAnterior,BM.MEDAnterior),IF(AND(RegimeExecucao="Global",$I368&gt;0,COUNTIF($AB$13:$AM$13,BM.medicao-1)&gt;0),M368/$I368*100,0))</f>
        <v>0</v>
      </c>
      <c r="K368" s="124">
        <f t="shared" ca="1" si="24"/>
        <v>0</v>
      </c>
      <c r="L368" s="379">
        <f ca="1">IF($A368="S",IF(CAIXA.Modo,BM.AFAcumulado,BM.MEDAcumulado),IF(AND(RegimeExecucao="Global",$I368&gt;0,COUNTIF($AB$13:$AM$13,BM.medicao)&gt;0),O368/$I368*100,0))</f>
        <v>0</v>
      </c>
      <c r="M368" s="380">
        <f ca="1">IF($A368="S",VTOTALBM,IF($A368=0,0,ROUND(SomaAgrupBM,15-13*ORÇAMENTO!$AF$11)))</f>
        <v>0</v>
      </c>
      <c r="N368" s="381">
        <f t="shared" ca="1" si="25"/>
        <v>0</v>
      </c>
      <c r="O368" s="127">
        <f ca="1">IF($A368="S",VTOTALBM,IF($A368=0,0,ROUND(SomaAgrupBM,15-13*ORÇAMENTO!$AF$11)))</f>
        <v>0</v>
      </c>
      <c r="Q368" s="382"/>
      <c r="R368" s="383"/>
      <c r="T368" s="119" t="str">
        <f t="shared" ca="1" si="26"/>
        <v/>
      </c>
      <c r="U368" s="172" t="str">
        <f t="shared" ca="1" si="27"/>
        <v/>
      </c>
      <c r="V368" s="173" t="str">
        <f ca="1">IF(AND($W368&gt;0,RegimeExecucao="Unitário"),$F368,"")</f>
        <v/>
      </c>
      <c r="W368" s="547">
        <f ca="1">IF($Y368&gt;0,CHOOSE(MATCH(RegimeExecucao,{"Unitário","Global"},0),IF($A368="S",$Y368/$X368,""),($Y368/$X368)*100),0)</f>
        <v>0</v>
      </c>
      <c r="X368" s="384" t="str">
        <f ca="1">IF($Y368&gt;0,CHOOSE(MATCH(RegimeExecucao,{"Unitário","Global"},0),IF($A368="S",ROUND($H368,ORÇAMENTO!$AF$10),""),ROUND($I368,ORÇAMENTO!$AF$11)),"")</f>
        <v/>
      </c>
      <c r="Y368" s="384">
        <f t="shared" ca="1" si="28"/>
        <v>0</v>
      </c>
      <c r="Z368" s="572"/>
      <c r="AB368" s="382"/>
      <c r="AC368" s="516"/>
      <c r="AD368" s="516"/>
      <c r="AE368" s="516"/>
      <c r="AF368" s="516"/>
      <c r="AG368" s="516"/>
      <c r="AH368" s="516"/>
      <c r="AI368" s="516"/>
      <c r="AJ368" s="516"/>
      <c r="AK368" s="516"/>
      <c r="AL368" s="516"/>
      <c r="AM368" s="383"/>
      <c r="AO368">
        <f ca="1">IF($A368="S",IF(BM!$I368=0,0,CHOOSE(MATCH(RegimeExecucao,{"Global","Unitário"},0),ROUND(ROUND(BM.MEDAcumulado,15-13*BM!$A$9)/100*BM!$I368,15-13*ORÇAMENTO!$AF$11),ROUND(ROUND(BM.MEDAcumulado,15-13*BM!$A$9)*ROUND(BM!$H368,15-13*ORÇAMENTO!$AF$10),15-13*ORÇAMENTO!$AF$11))),IF($A368=0,0,ROUND(SomaAgrupBM,15-13*ORÇAMENTO!$AF$11)))</f>
        <v>0</v>
      </c>
    </row>
    <row r="369" spans="1:41" ht="25.5" x14ac:dyDescent="0.2">
      <c r="A369" t="str">
        <f ca="1">ORÇAMENTO!C369</f>
        <v>S</v>
      </c>
      <c r="B369">
        <f ca="1">ORÇAMENTO!D369</f>
        <v>0</v>
      </c>
      <c r="C369" s="116" t="str">
        <f t="shared" ca="1" si="22"/>
        <v/>
      </c>
      <c r="D369" s="119" t="str">
        <f ca="1">ORÇAMENTO!O369</f>
        <v>-</v>
      </c>
      <c r="E369" s="172" t="str">
        <f t="shared" ca="1" si="23"/>
        <v>(abra o arquivo 'Referência 06-2024.xlsm)</v>
      </c>
      <c r="F369" s="173" t="str">
        <f ca="1">IF(RegimeExecucao="Global","",ORÇAMENTO.Unidade)</f>
        <v/>
      </c>
      <c r="G369" s="124" t="str">
        <f ca="1">IF(RegimeExecucao="Global","",ORÇAMENTO!T369)</f>
        <v/>
      </c>
      <c r="H369" s="124" t="str">
        <f ca="1">IF(RegimeExecucao="Global","",ORÇAMENTO!W369)</f>
        <v/>
      </c>
      <c r="I369" s="127">
        <f ca="1">ORÇAMENTO!X369</f>
        <v>0</v>
      </c>
      <c r="J369" s="378">
        <f ca="1">IF($A369="S",IF(CAIXA.Modo,BM.AFAnterior,BM.MEDAnterior),IF(AND(RegimeExecucao="Global",$I369&gt;0,COUNTIF($AB$13:$AM$13,BM.medicao-1)&gt;0),M369/$I369*100,0))</f>
        <v>0</v>
      </c>
      <c r="K369" s="124">
        <f t="shared" ca="1" si="24"/>
        <v>0</v>
      </c>
      <c r="L369" s="379">
        <f ca="1">IF($A369="S",IF(CAIXA.Modo,BM.AFAcumulado,BM.MEDAcumulado),IF(AND(RegimeExecucao="Global",$I369&gt;0,COUNTIF($AB$13:$AM$13,BM.medicao)&gt;0),O369/$I369*100,0))</f>
        <v>0</v>
      </c>
      <c r="M369" s="380">
        <f ca="1">IF($A369="S",VTOTALBM,IF($A369=0,0,ROUND(SomaAgrupBM,15-13*ORÇAMENTO!$AF$11)))</f>
        <v>0</v>
      </c>
      <c r="N369" s="381">
        <f t="shared" ca="1" si="25"/>
        <v>0</v>
      </c>
      <c r="O369" s="127">
        <f ca="1">IF($A369="S",VTOTALBM,IF($A369=0,0,ROUND(SomaAgrupBM,15-13*ORÇAMENTO!$AF$11)))</f>
        <v>0</v>
      </c>
      <c r="Q369" s="382"/>
      <c r="R369" s="383"/>
      <c r="T369" s="119" t="str">
        <f t="shared" ca="1" si="26"/>
        <v/>
      </c>
      <c r="U369" s="172" t="str">
        <f t="shared" ca="1" si="27"/>
        <v/>
      </c>
      <c r="V369" s="173" t="str">
        <f ca="1">IF(AND($W369&gt;0,RegimeExecucao="Unitário"),$F369,"")</f>
        <v/>
      </c>
      <c r="W369" s="547">
        <f ca="1">IF($Y369&gt;0,CHOOSE(MATCH(RegimeExecucao,{"Unitário","Global"},0),IF($A369="S",$Y369/$X369,""),($Y369/$X369)*100),0)</f>
        <v>0</v>
      </c>
      <c r="X369" s="384" t="str">
        <f ca="1">IF($Y369&gt;0,CHOOSE(MATCH(RegimeExecucao,{"Unitário","Global"},0),IF($A369="S",ROUND($H369,ORÇAMENTO!$AF$10),""),ROUND($I369,ORÇAMENTO!$AF$11)),"")</f>
        <v/>
      </c>
      <c r="Y369" s="384">
        <f t="shared" ca="1" si="28"/>
        <v>0</v>
      </c>
      <c r="Z369" s="572"/>
      <c r="AB369" s="382"/>
      <c r="AC369" s="516"/>
      <c r="AD369" s="516"/>
      <c r="AE369" s="516"/>
      <c r="AF369" s="516"/>
      <c r="AG369" s="516"/>
      <c r="AH369" s="516"/>
      <c r="AI369" s="516"/>
      <c r="AJ369" s="516"/>
      <c r="AK369" s="516"/>
      <c r="AL369" s="516"/>
      <c r="AM369" s="383"/>
      <c r="AO369">
        <f ca="1">IF($A369="S",IF(BM!$I369=0,0,CHOOSE(MATCH(RegimeExecucao,{"Global","Unitário"},0),ROUND(ROUND(BM.MEDAcumulado,15-13*BM!$A$9)/100*BM!$I369,15-13*ORÇAMENTO!$AF$11),ROUND(ROUND(BM.MEDAcumulado,15-13*BM!$A$9)*ROUND(BM!$H369,15-13*ORÇAMENTO!$AF$10),15-13*ORÇAMENTO!$AF$11))),IF($A369=0,0,ROUND(SomaAgrupBM,15-13*ORÇAMENTO!$AF$11)))</f>
        <v>0</v>
      </c>
    </row>
    <row r="370" spans="1:41" ht="25.5" x14ac:dyDescent="0.2">
      <c r="A370" t="str">
        <f ca="1">ORÇAMENTO!C370</f>
        <v>S</v>
      </c>
      <c r="B370">
        <f ca="1">ORÇAMENTO!D370</f>
        <v>0</v>
      </c>
      <c r="C370" s="116" t="str">
        <f t="shared" ca="1" si="22"/>
        <v/>
      </c>
      <c r="D370" s="119" t="str">
        <f ca="1">ORÇAMENTO!O370</f>
        <v>-</v>
      </c>
      <c r="E370" s="172" t="str">
        <f t="shared" ca="1" si="23"/>
        <v>(abra o arquivo 'Referência 06-2024.xlsm)</v>
      </c>
      <c r="F370" s="173" t="str">
        <f ca="1">IF(RegimeExecucao="Global","",ORÇAMENTO.Unidade)</f>
        <v/>
      </c>
      <c r="G370" s="124" t="str">
        <f ca="1">IF(RegimeExecucao="Global","",ORÇAMENTO!T370)</f>
        <v/>
      </c>
      <c r="H370" s="124" t="str">
        <f ca="1">IF(RegimeExecucao="Global","",ORÇAMENTO!W370)</f>
        <v/>
      </c>
      <c r="I370" s="127">
        <f ca="1">ORÇAMENTO!X370</f>
        <v>0</v>
      </c>
      <c r="J370" s="378">
        <f ca="1">IF($A370="S",IF(CAIXA.Modo,BM.AFAnterior,BM.MEDAnterior),IF(AND(RegimeExecucao="Global",$I370&gt;0,COUNTIF($AB$13:$AM$13,BM.medicao-1)&gt;0),M370/$I370*100,0))</f>
        <v>0</v>
      </c>
      <c r="K370" s="124">
        <f t="shared" ca="1" si="24"/>
        <v>0</v>
      </c>
      <c r="L370" s="379">
        <f ca="1">IF($A370="S",IF(CAIXA.Modo,BM.AFAcumulado,BM.MEDAcumulado),IF(AND(RegimeExecucao="Global",$I370&gt;0,COUNTIF($AB$13:$AM$13,BM.medicao)&gt;0),O370/$I370*100,0))</f>
        <v>0</v>
      </c>
      <c r="M370" s="380">
        <f ca="1">IF($A370="S",VTOTALBM,IF($A370=0,0,ROUND(SomaAgrupBM,15-13*ORÇAMENTO!$AF$11)))</f>
        <v>0</v>
      </c>
      <c r="N370" s="381">
        <f t="shared" ca="1" si="25"/>
        <v>0</v>
      </c>
      <c r="O370" s="127">
        <f ca="1">IF($A370="S",VTOTALBM,IF($A370=0,0,ROUND(SomaAgrupBM,15-13*ORÇAMENTO!$AF$11)))</f>
        <v>0</v>
      </c>
      <c r="Q370" s="382"/>
      <c r="R370" s="383"/>
      <c r="T370" s="119" t="str">
        <f t="shared" ca="1" si="26"/>
        <v/>
      </c>
      <c r="U370" s="172" t="str">
        <f t="shared" ca="1" si="27"/>
        <v/>
      </c>
      <c r="V370" s="173" t="str">
        <f ca="1">IF(AND($W370&gt;0,RegimeExecucao="Unitário"),$F370,"")</f>
        <v/>
      </c>
      <c r="W370" s="547">
        <f ca="1">IF($Y370&gt;0,CHOOSE(MATCH(RegimeExecucao,{"Unitário","Global"},0),IF($A370="S",$Y370/$X370,""),($Y370/$X370)*100),0)</f>
        <v>0</v>
      </c>
      <c r="X370" s="384" t="str">
        <f ca="1">IF($Y370&gt;0,CHOOSE(MATCH(RegimeExecucao,{"Unitário","Global"},0),IF($A370="S",ROUND($H370,ORÇAMENTO!$AF$10),""),ROUND($I370,ORÇAMENTO!$AF$11)),"")</f>
        <v/>
      </c>
      <c r="Y370" s="384">
        <f t="shared" ca="1" si="28"/>
        <v>0</v>
      </c>
      <c r="Z370" s="572"/>
      <c r="AB370" s="382"/>
      <c r="AC370" s="516"/>
      <c r="AD370" s="516"/>
      <c r="AE370" s="516"/>
      <c r="AF370" s="516"/>
      <c r="AG370" s="516"/>
      <c r="AH370" s="516"/>
      <c r="AI370" s="516"/>
      <c r="AJ370" s="516"/>
      <c r="AK370" s="516"/>
      <c r="AL370" s="516"/>
      <c r="AM370" s="383"/>
      <c r="AO370">
        <f ca="1">IF($A370="S",IF(BM!$I370=0,0,CHOOSE(MATCH(RegimeExecucao,{"Global","Unitário"},0),ROUND(ROUND(BM.MEDAcumulado,15-13*BM!$A$9)/100*BM!$I370,15-13*ORÇAMENTO!$AF$11),ROUND(ROUND(BM.MEDAcumulado,15-13*BM!$A$9)*ROUND(BM!$H370,15-13*ORÇAMENTO!$AF$10),15-13*ORÇAMENTO!$AF$11))),IF($A370=0,0,ROUND(SomaAgrupBM,15-13*ORÇAMENTO!$AF$11)))</f>
        <v>0</v>
      </c>
    </row>
    <row r="371" spans="1:41" ht="25.5" x14ac:dyDescent="0.2">
      <c r="A371" t="str">
        <f ca="1">ORÇAMENTO!C371</f>
        <v>S</v>
      </c>
      <c r="B371">
        <f ca="1">ORÇAMENTO!D371</f>
        <v>0</v>
      </c>
      <c r="C371" s="116" t="str">
        <f t="shared" ca="1" si="22"/>
        <v/>
      </c>
      <c r="D371" s="119" t="str">
        <f ca="1">ORÇAMENTO!O371</f>
        <v>-</v>
      </c>
      <c r="E371" s="172" t="str">
        <f t="shared" ca="1" si="23"/>
        <v>(abra o arquivo 'Referência 06-2024.xlsm)</v>
      </c>
      <c r="F371" s="173" t="str">
        <f ca="1">IF(RegimeExecucao="Global","",ORÇAMENTO.Unidade)</f>
        <v/>
      </c>
      <c r="G371" s="124" t="str">
        <f ca="1">IF(RegimeExecucao="Global","",ORÇAMENTO!T371)</f>
        <v/>
      </c>
      <c r="H371" s="124" t="str">
        <f ca="1">IF(RegimeExecucao="Global","",ORÇAMENTO!W371)</f>
        <v/>
      </c>
      <c r="I371" s="127">
        <f ca="1">ORÇAMENTO!X371</f>
        <v>0</v>
      </c>
      <c r="J371" s="378">
        <f ca="1">IF($A371="S",IF(CAIXA.Modo,BM.AFAnterior,BM.MEDAnterior),IF(AND(RegimeExecucao="Global",$I371&gt;0,COUNTIF($AB$13:$AM$13,BM.medicao-1)&gt;0),M371/$I371*100,0))</f>
        <v>0</v>
      </c>
      <c r="K371" s="124">
        <f t="shared" ca="1" si="24"/>
        <v>0</v>
      </c>
      <c r="L371" s="379">
        <f ca="1">IF($A371="S",IF(CAIXA.Modo,BM.AFAcumulado,BM.MEDAcumulado),IF(AND(RegimeExecucao="Global",$I371&gt;0,COUNTIF($AB$13:$AM$13,BM.medicao)&gt;0),O371/$I371*100,0))</f>
        <v>0</v>
      </c>
      <c r="M371" s="380">
        <f ca="1">IF($A371="S",VTOTALBM,IF($A371=0,0,ROUND(SomaAgrupBM,15-13*ORÇAMENTO!$AF$11)))</f>
        <v>0</v>
      </c>
      <c r="N371" s="381">
        <f t="shared" ca="1" si="25"/>
        <v>0</v>
      </c>
      <c r="O371" s="127">
        <f ca="1">IF($A371="S",VTOTALBM,IF($A371=0,0,ROUND(SomaAgrupBM,15-13*ORÇAMENTO!$AF$11)))</f>
        <v>0</v>
      </c>
      <c r="Q371" s="382"/>
      <c r="R371" s="383"/>
      <c r="T371" s="119" t="str">
        <f t="shared" ca="1" si="26"/>
        <v/>
      </c>
      <c r="U371" s="172" t="str">
        <f t="shared" ca="1" si="27"/>
        <v/>
      </c>
      <c r="V371" s="173" t="str">
        <f ca="1">IF(AND($W371&gt;0,RegimeExecucao="Unitário"),$F371,"")</f>
        <v/>
      </c>
      <c r="W371" s="547">
        <f ca="1">IF($Y371&gt;0,CHOOSE(MATCH(RegimeExecucao,{"Unitário","Global"},0),IF($A371="S",$Y371/$X371,""),($Y371/$X371)*100),0)</f>
        <v>0</v>
      </c>
      <c r="X371" s="384" t="str">
        <f ca="1">IF($Y371&gt;0,CHOOSE(MATCH(RegimeExecucao,{"Unitário","Global"},0),IF($A371="S",ROUND($H371,ORÇAMENTO!$AF$10),""),ROUND($I371,ORÇAMENTO!$AF$11)),"")</f>
        <v/>
      </c>
      <c r="Y371" s="384">
        <f t="shared" ca="1" si="28"/>
        <v>0</v>
      </c>
      <c r="Z371" s="572"/>
      <c r="AB371" s="382"/>
      <c r="AC371" s="516"/>
      <c r="AD371" s="516"/>
      <c r="AE371" s="516"/>
      <c r="AF371" s="516"/>
      <c r="AG371" s="516"/>
      <c r="AH371" s="516"/>
      <c r="AI371" s="516"/>
      <c r="AJ371" s="516"/>
      <c r="AK371" s="516"/>
      <c r="AL371" s="516"/>
      <c r="AM371" s="383"/>
      <c r="AO371">
        <f ca="1">IF($A371="S",IF(BM!$I371=0,0,CHOOSE(MATCH(RegimeExecucao,{"Global","Unitário"},0),ROUND(ROUND(BM.MEDAcumulado,15-13*BM!$A$9)/100*BM!$I371,15-13*ORÇAMENTO!$AF$11),ROUND(ROUND(BM.MEDAcumulado,15-13*BM!$A$9)*ROUND(BM!$H371,15-13*ORÇAMENTO!$AF$10),15-13*ORÇAMENTO!$AF$11))),IF($A371=0,0,ROUND(SomaAgrupBM,15-13*ORÇAMENTO!$AF$11)))</f>
        <v>0</v>
      </c>
    </row>
    <row r="372" spans="1:41" ht="25.5" x14ac:dyDescent="0.2">
      <c r="A372" t="str">
        <f ca="1">ORÇAMENTO!C372</f>
        <v>S</v>
      </c>
      <c r="B372">
        <f ca="1">ORÇAMENTO!D372</f>
        <v>0</v>
      </c>
      <c r="C372" s="116" t="str">
        <f t="shared" ca="1" si="22"/>
        <v/>
      </c>
      <c r="D372" s="119" t="str">
        <f ca="1">ORÇAMENTO!O372</f>
        <v>-</v>
      </c>
      <c r="E372" s="172" t="str">
        <f t="shared" ca="1" si="23"/>
        <v>(abra o arquivo 'Referência 06-2024.xlsm)</v>
      </c>
      <c r="F372" s="173" t="str">
        <f ca="1">IF(RegimeExecucao="Global","",ORÇAMENTO.Unidade)</f>
        <v/>
      </c>
      <c r="G372" s="124" t="str">
        <f ca="1">IF(RegimeExecucao="Global","",ORÇAMENTO!T372)</f>
        <v/>
      </c>
      <c r="H372" s="124" t="str">
        <f ca="1">IF(RegimeExecucao="Global","",ORÇAMENTO!W372)</f>
        <v/>
      </c>
      <c r="I372" s="127">
        <f ca="1">ORÇAMENTO!X372</f>
        <v>0</v>
      </c>
      <c r="J372" s="378">
        <f ca="1">IF($A372="S",IF(CAIXA.Modo,BM.AFAnterior,BM.MEDAnterior),IF(AND(RegimeExecucao="Global",$I372&gt;0,COUNTIF($AB$13:$AM$13,BM.medicao-1)&gt;0),M372/$I372*100,0))</f>
        <v>0</v>
      </c>
      <c r="K372" s="124">
        <f t="shared" ca="1" si="24"/>
        <v>0</v>
      </c>
      <c r="L372" s="379">
        <f ca="1">IF($A372="S",IF(CAIXA.Modo,BM.AFAcumulado,BM.MEDAcumulado),IF(AND(RegimeExecucao="Global",$I372&gt;0,COUNTIF($AB$13:$AM$13,BM.medicao)&gt;0),O372/$I372*100,0))</f>
        <v>0</v>
      </c>
      <c r="M372" s="380">
        <f ca="1">IF($A372="S",VTOTALBM,IF($A372=0,0,ROUND(SomaAgrupBM,15-13*ORÇAMENTO!$AF$11)))</f>
        <v>0</v>
      </c>
      <c r="N372" s="381">
        <f t="shared" ca="1" si="25"/>
        <v>0</v>
      </c>
      <c r="O372" s="127">
        <f ca="1">IF($A372="S",VTOTALBM,IF($A372=0,0,ROUND(SomaAgrupBM,15-13*ORÇAMENTO!$AF$11)))</f>
        <v>0</v>
      </c>
      <c r="Q372" s="382"/>
      <c r="R372" s="383"/>
      <c r="T372" s="119" t="str">
        <f t="shared" ca="1" si="26"/>
        <v/>
      </c>
      <c r="U372" s="172" t="str">
        <f t="shared" ca="1" si="27"/>
        <v/>
      </c>
      <c r="V372" s="173" t="str">
        <f ca="1">IF(AND($W372&gt;0,RegimeExecucao="Unitário"),$F372,"")</f>
        <v/>
      </c>
      <c r="W372" s="547">
        <f ca="1">IF($Y372&gt;0,CHOOSE(MATCH(RegimeExecucao,{"Unitário","Global"},0),IF($A372="S",$Y372/$X372,""),($Y372/$X372)*100),0)</f>
        <v>0</v>
      </c>
      <c r="X372" s="384" t="str">
        <f ca="1">IF($Y372&gt;0,CHOOSE(MATCH(RegimeExecucao,{"Unitário","Global"},0),IF($A372="S",ROUND($H372,ORÇAMENTO!$AF$10),""),ROUND($I372,ORÇAMENTO!$AF$11)),"")</f>
        <v/>
      </c>
      <c r="Y372" s="384">
        <f t="shared" ca="1" si="28"/>
        <v>0</v>
      </c>
      <c r="Z372" s="572"/>
      <c r="AB372" s="382"/>
      <c r="AC372" s="516"/>
      <c r="AD372" s="516"/>
      <c r="AE372" s="516"/>
      <c r="AF372" s="516"/>
      <c r="AG372" s="516"/>
      <c r="AH372" s="516"/>
      <c r="AI372" s="516"/>
      <c r="AJ372" s="516"/>
      <c r="AK372" s="516"/>
      <c r="AL372" s="516"/>
      <c r="AM372" s="383"/>
      <c r="AO372">
        <f ca="1">IF($A372="S",IF(BM!$I372=0,0,CHOOSE(MATCH(RegimeExecucao,{"Global","Unitário"},0),ROUND(ROUND(BM.MEDAcumulado,15-13*BM!$A$9)/100*BM!$I372,15-13*ORÇAMENTO!$AF$11),ROUND(ROUND(BM.MEDAcumulado,15-13*BM!$A$9)*ROUND(BM!$H372,15-13*ORÇAMENTO!$AF$10),15-13*ORÇAMENTO!$AF$11))),IF($A372=0,0,ROUND(SomaAgrupBM,15-13*ORÇAMENTO!$AF$11)))</f>
        <v>0</v>
      </c>
    </row>
    <row r="373" spans="1:41" ht="25.5" x14ac:dyDescent="0.2">
      <c r="A373" t="str">
        <f ca="1">ORÇAMENTO!C373</f>
        <v>S</v>
      </c>
      <c r="B373">
        <f ca="1">ORÇAMENTO!D373</f>
        <v>0</v>
      </c>
      <c r="C373" s="116" t="str">
        <f t="shared" ca="1" si="22"/>
        <v/>
      </c>
      <c r="D373" s="119" t="str">
        <f ca="1">ORÇAMENTO!O373</f>
        <v>-</v>
      </c>
      <c r="E373" s="172" t="str">
        <f t="shared" ca="1" si="23"/>
        <v>(abra o arquivo 'Referência 06-2024.xlsm)</v>
      </c>
      <c r="F373" s="173" t="str">
        <f ca="1">IF(RegimeExecucao="Global","",ORÇAMENTO.Unidade)</f>
        <v/>
      </c>
      <c r="G373" s="124" t="str">
        <f ca="1">IF(RegimeExecucao="Global","",ORÇAMENTO!T373)</f>
        <v/>
      </c>
      <c r="H373" s="124" t="str">
        <f ca="1">IF(RegimeExecucao="Global","",ORÇAMENTO!W373)</f>
        <v/>
      </c>
      <c r="I373" s="127">
        <f ca="1">ORÇAMENTO!X373</f>
        <v>0</v>
      </c>
      <c r="J373" s="378">
        <f ca="1">IF($A373="S",IF(CAIXA.Modo,BM.AFAnterior,BM.MEDAnterior),IF(AND(RegimeExecucao="Global",$I373&gt;0,COUNTIF($AB$13:$AM$13,BM.medicao-1)&gt;0),M373/$I373*100,0))</f>
        <v>0</v>
      </c>
      <c r="K373" s="124">
        <f t="shared" ca="1" si="24"/>
        <v>0</v>
      </c>
      <c r="L373" s="379">
        <f ca="1">IF($A373="S",IF(CAIXA.Modo,BM.AFAcumulado,BM.MEDAcumulado),IF(AND(RegimeExecucao="Global",$I373&gt;0,COUNTIF($AB$13:$AM$13,BM.medicao)&gt;0),O373/$I373*100,0))</f>
        <v>0</v>
      </c>
      <c r="M373" s="380">
        <f ca="1">IF($A373="S",VTOTALBM,IF($A373=0,0,ROUND(SomaAgrupBM,15-13*ORÇAMENTO!$AF$11)))</f>
        <v>0</v>
      </c>
      <c r="N373" s="381">
        <f t="shared" ca="1" si="25"/>
        <v>0</v>
      </c>
      <c r="O373" s="127">
        <f ca="1">IF($A373="S",VTOTALBM,IF($A373=0,0,ROUND(SomaAgrupBM,15-13*ORÇAMENTO!$AF$11)))</f>
        <v>0</v>
      </c>
      <c r="Q373" s="382"/>
      <c r="R373" s="383"/>
      <c r="T373" s="119" t="str">
        <f t="shared" ca="1" si="26"/>
        <v/>
      </c>
      <c r="U373" s="172" t="str">
        <f t="shared" ca="1" si="27"/>
        <v/>
      </c>
      <c r="V373" s="173" t="str">
        <f ca="1">IF(AND($W373&gt;0,RegimeExecucao="Unitário"),$F373,"")</f>
        <v/>
      </c>
      <c r="W373" s="547">
        <f ca="1">IF($Y373&gt;0,CHOOSE(MATCH(RegimeExecucao,{"Unitário","Global"},0),IF($A373="S",$Y373/$X373,""),($Y373/$X373)*100),0)</f>
        <v>0</v>
      </c>
      <c r="X373" s="384" t="str">
        <f ca="1">IF($Y373&gt;0,CHOOSE(MATCH(RegimeExecucao,{"Unitário","Global"},0),IF($A373="S",ROUND($H373,ORÇAMENTO!$AF$10),""),ROUND($I373,ORÇAMENTO!$AF$11)),"")</f>
        <v/>
      </c>
      <c r="Y373" s="384">
        <f t="shared" ca="1" si="28"/>
        <v>0</v>
      </c>
      <c r="Z373" s="572"/>
      <c r="AB373" s="382"/>
      <c r="AC373" s="516"/>
      <c r="AD373" s="516"/>
      <c r="AE373" s="516"/>
      <c r="AF373" s="516"/>
      <c r="AG373" s="516"/>
      <c r="AH373" s="516"/>
      <c r="AI373" s="516"/>
      <c r="AJ373" s="516"/>
      <c r="AK373" s="516"/>
      <c r="AL373" s="516"/>
      <c r="AM373" s="383"/>
      <c r="AO373">
        <f ca="1">IF($A373="S",IF(BM!$I373=0,0,CHOOSE(MATCH(RegimeExecucao,{"Global","Unitário"},0),ROUND(ROUND(BM.MEDAcumulado,15-13*BM!$A$9)/100*BM!$I373,15-13*ORÇAMENTO!$AF$11),ROUND(ROUND(BM.MEDAcumulado,15-13*BM!$A$9)*ROUND(BM!$H373,15-13*ORÇAMENTO!$AF$10),15-13*ORÇAMENTO!$AF$11))),IF($A373=0,0,ROUND(SomaAgrupBM,15-13*ORÇAMENTO!$AF$11)))</f>
        <v>0</v>
      </c>
    </row>
    <row r="374" spans="1:41" ht="25.5" x14ac:dyDescent="0.2">
      <c r="A374" t="str">
        <f ca="1">ORÇAMENTO!C374</f>
        <v>S</v>
      </c>
      <c r="B374">
        <f ca="1">ORÇAMENTO!D374</f>
        <v>0</v>
      </c>
      <c r="C374" s="116" t="str">
        <f t="shared" ca="1" si="22"/>
        <v/>
      </c>
      <c r="D374" s="119" t="str">
        <f ca="1">ORÇAMENTO!O374</f>
        <v>-</v>
      </c>
      <c r="E374" s="172" t="str">
        <f t="shared" ca="1" si="23"/>
        <v>(abra o arquivo 'Referência 06-2024.xlsm)</v>
      </c>
      <c r="F374" s="173" t="str">
        <f ca="1">IF(RegimeExecucao="Global","",ORÇAMENTO.Unidade)</f>
        <v/>
      </c>
      <c r="G374" s="124" t="str">
        <f ca="1">IF(RegimeExecucao="Global","",ORÇAMENTO!T374)</f>
        <v/>
      </c>
      <c r="H374" s="124" t="str">
        <f ca="1">IF(RegimeExecucao="Global","",ORÇAMENTO!W374)</f>
        <v/>
      </c>
      <c r="I374" s="127">
        <f ca="1">ORÇAMENTO!X374</f>
        <v>0</v>
      </c>
      <c r="J374" s="378">
        <f ca="1">IF($A374="S",IF(CAIXA.Modo,BM.AFAnterior,BM.MEDAnterior),IF(AND(RegimeExecucao="Global",$I374&gt;0,COUNTIF($AB$13:$AM$13,BM.medicao-1)&gt;0),M374/$I374*100,0))</f>
        <v>0</v>
      </c>
      <c r="K374" s="124">
        <f t="shared" ca="1" si="24"/>
        <v>0</v>
      </c>
      <c r="L374" s="379">
        <f ca="1">IF($A374="S",IF(CAIXA.Modo,BM.AFAcumulado,BM.MEDAcumulado),IF(AND(RegimeExecucao="Global",$I374&gt;0,COUNTIF($AB$13:$AM$13,BM.medicao)&gt;0),O374/$I374*100,0))</f>
        <v>0</v>
      </c>
      <c r="M374" s="380">
        <f ca="1">IF($A374="S",VTOTALBM,IF($A374=0,0,ROUND(SomaAgrupBM,15-13*ORÇAMENTO!$AF$11)))</f>
        <v>0</v>
      </c>
      <c r="N374" s="381">
        <f t="shared" ca="1" si="25"/>
        <v>0</v>
      </c>
      <c r="O374" s="127">
        <f ca="1">IF($A374="S",VTOTALBM,IF($A374=0,0,ROUND(SomaAgrupBM,15-13*ORÇAMENTO!$AF$11)))</f>
        <v>0</v>
      </c>
      <c r="Q374" s="382"/>
      <c r="R374" s="383"/>
      <c r="T374" s="119" t="str">
        <f t="shared" ca="1" si="26"/>
        <v/>
      </c>
      <c r="U374" s="172" t="str">
        <f t="shared" ca="1" si="27"/>
        <v/>
      </c>
      <c r="V374" s="173" t="str">
        <f ca="1">IF(AND($W374&gt;0,RegimeExecucao="Unitário"),$F374,"")</f>
        <v/>
      </c>
      <c r="W374" s="547">
        <f ca="1">IF($Y374&gt;0,CHOOSE(MATCH(RegimeExecucao,{"Unitário","Global"},0),IF($A374="S",$Y374/$X374,""),($Y374/$X374)*100),0)</f>
        <v>0</v>
      </c>
      <c r="X374" s="384" t="str">
        <f ca="1">IF($Y374&gt;0,CHOOSE(MATCH(RegimeExecucao,{"Unitário","Global"},0),IF($A374="S",ROUND($H374,ORÇAMENTO!$AF$10),""),ROUND($I374,ORÇAMENTO!$AF$11)),"")</f>
        <v/>
      </c>
      <c r="Y374" s="384">
        <f t="shared" ca="1" si="28"/>
        <v>0</v>
      </c>
      <c r="Z374" s="572"/>
      <c r="AB374" s="382"/>
      <c r="AC374" s="516"/>
      <c r="AD374" s="516"/>
      <c r="AE374" s="516"/>
      <c r="AF374" s="516"/>
      <c r="AG374" s="516"/>
      <c r="AH374" s="516"/>
      <c r="AI374" s="516"/>
      <c r="AJ374" s="516"/>
      <c r="AK374" s="516"/>
      <c r="AL374" s="516"/>
      <c r="AM374" s="383"/>
      <c r="AO374">
        <f ca="1">IF($A374="S",IF(BM!$I374=0,0,CHOOSE(MATCH(RegimeExecucao,{"Global","Unitário"},0),ROUND(ROUND(BM.MEDAcumulado,15-13*BM!$A$9)/100*BM!$I374,15-13*ORÇAMENTO!$AF$11),ROUND(ROUND(BM.MEDAcumulado,15-13*BM!$A$9)*ROUND(BM!$H374,15-13*ORÇAMENTO!$AF$10),15-13*ORÇAMENTO!$AF$11))),IF($A374=0,0,ROUND(SomaAgrupBM,15-13*ORÇAMENTO!$AF$11)))</f>
        <v>0</v>
      </c>
    </row>
    <row r="375" spans="1:41" ht="25.5" x14ac:dyDescent="0.2">
      <c r="A375" t="str">
        <f ca="1">ORÇAMENTO!C375</f>
        <v>S</v>
      </c>
      <c r="B375">
        <f ca="1">ORÇAMENTO!D375</f>
        <v>0</v>
      </c>
      <c r="C375" s="116" t="str">
        <f t="shared" ca="1" si="22"/>
        <v/>
      </c>
      <c r="D375" s="119" t="str">
        <f ca="1">ORÇAMENTO!O375</f>
        <v>-</v>
      </c>
      <c r="E375" s="172" t="str">
        <f t="shared" ca="1" si="23"/>
        <v>(abra o arquivo 'Referência 06-2024.xlsm)</v>
      </c>
      <c r="F375" s="173" t="str">
        <f ca="1">IF(RegimeExecucao="Global","",ORÇAMENTO.Unidade)</f>
        <v/>
      </c>
      <c r="G375" s="124" t="str">
        <f ca="1">IF(RegimeExecucao="Global","",ORÇAMENTO!T375)</f>
        <v/>
      </c>
      <c r="H375" s="124" t="str">
        <f ca="1">IF(RegimeExecucao="Global","",ORÇAMENTO!W375)</f>
        <v/>
      </c>
      <c r="I375" s="127">
        <f ca="1">ORÇAMENTO!X375</f>
        <v>0</v>
      </c>
      <c r="J375" s="378">
        <f ca="1">IF($A375="S",IF(CAIXA.Modo,BM.AFAnterior,BM.MEDAnterior),IF(AND(RegimeExecucao="Global",$I375&gt;0,COUNTIF($AB$13:$AM$13,BM.medicao-1)&gt;0),M375/$I375*100,0))</f>
        <v>0</v>
      </c>
      <c r="K375" s="124">
        <f t="shared" ca="1" si="24"/>
        <v>0</v>
      </c>
      <c r="L375" s="379">
        <f ca="1">IF($A375="S",IF(CAIXA.Modo,BM.AFAcumulado,BM.MEDAcumulado),IF(AND(RegimeExecucao="Global",$I375&gt;0,COUNTIF($AB$13:$AM$13,BM.medicao)&gt;0),O375/$I375*100,0))</f>
        <v>0</v>
      </c>
      <c r="M375" s="380">
        <f ca="1">IF($A375="S",VTOTALBM,IF($A375=0,0,ROUND(SomaAgrupBM,15-13*ORÇAMENTO!$AF$11)))</f>
        <v>0</v>
      </c>
      <c r="N375" s="381">
        <f t="shared" ca="1" si="25"/>
        <v>0</v>
      </c>
      <c r="O375" s="127">
        <f ca="1">IF($A375="S",VTOTALBM,IF($A375=0,0,ROUND(SomaAgrupBM,15-13*ORÇAMENTO!$AF$11)))</f>
        <v>0</v>
      </c>
      <c r="Q375" s="382"/>
      <c r="R375" s="383"/>
      <c r="T375" s="119" t="str">
        <f t="shared" ca="1" si="26"/>
        <v/>
      </c>
      <c r="U375" s="172" t="str">
        <f t="shared" ca="1" si="27"/>
        <v/>
      </c>
      <c r="V375" s="173" t="str">
        <f ca="1">IF(AND($W375&gt;0,RegimeExecucao="Unitário"),$F375,"")</f>
        <v/>
      </c>
      <c r="W375" s="547">
        <f ca="1">IF($Y375&gt;0,CHOOSE(MATCH(RegimeExecucao,{"Unitário","Global"},0),IF($A375="S",$Y375/$X375,""),($Y375/$X375)*100),0)</f>
        <v>0</v>
      </c>
      <c r="X375" s="384" t="str">
        <f ca="1">IF($Y375&gt;0,CHOOSE(MATCH(RegimeExecucao,{"Unitário","Global"},0),IF($A375="S",ROUND($H375,ORÇAMENTO!$AF$10),""),ROUND($I375,ORÇAMENTO!$AF$11)),"")</f>
        <v/>
      </c>
      <c r="Y375" s="384">
        <f t="shared" ca="1" si="28"/>
        <v>0</v>
      </c>
      <c r="Z375" s="572"/>
      <c r="AB375" s="382"/>
      <c r="AC375" s="516"/>
      <c r="AD375" s="516"/>
      <c r="AE375" s="516"/>
      <c r="AF375" s="516"/>
      <c r="AG375" s="516"/>
      <c r="AH375" s="516"/>
      <c r="AI375" s="516"/>
      <c r="AJ375" s="516"/>
      <c r="AK375" s="516"/>
      <c r="AL375" s="516"/>
      <c r="AM375" s="383"/>
      <c r="AO375">
        <f ca="1">IF($A375="S",IF(BM!$I375=0,0,CHOOSE(MATCH(RegimeExecucao,{"Global","Unitário"},0),ROUND(ROUND(BM.MEDAcumulado,15-13*BM!$A$9)/100*BM!$I375,15-13*ORÇAMENTO!$AF$11),ROUND(ROUND(BM.MEDAcumulado,15-13*BM!$A$9)*ROUND(BM!$H375,15-13*ORÇAMENTO!$AF$10),15-13*ORÇAMENTO!$AF$11))),IF($A375=0,0,ROUND(SomaAgrupBM,15-13*ORÇAMENTO!$AF$11)))</f>
        <v>0</v>
      </c>
    </row>
    <row r="376" spans="1:41" ht="25.5" x14ac:dyDescent="0.2">
      <c r="A376" t="str">
        <f ca="1">ORÇAMENTO!C376</f>
        <v>S</v>
      </c>
      <c r="B376">
        <f ca="1">ORÇAMENTO!D376</f>
        <v>0</v>
      </c>
      <c r="C376" s="116" t="str">
        <f t="shared" ca="1" si="22"/>
        <v/>
      </c>
      <c r="D376" s="119" t="str">
        <f ca="1">ORÇAMENTO!O376</f>
        <v>-</v>
      </c>
      <c r="E376" s="172" t="str">
        <f t="shared" ca="1" si="23"/>
        <v>(abra o arquivo 'Referência 06-2024.xlsm)</v>
      </c>
      <c r="F376" s="173" t="str">
        <f ca="1">IF(RegimeExecucao="Global","",ORÇAMENTO.Unidade)</f>
        <v/>
      </c>
      <c r="G376" s="124" t="str">
        <f ca="1">IF(RegimeExecucao="Global","",ORÇAMENTO!T376)</f>
        <v/>
      </c>
      <c r="H376" s="124" t="str">
        <f ca="1">IF(RegimeExecucao="Global","",ORÇAMENTO!W376)</f>
        <v/>
      </c>
      <c r="I376" s="127">
        <f ca="1">ORÇAMENTO!X376</f>
        <v>0</v>
      </c>
      <c r="J376" s="378">
        <f ca="1">IF($A376="S",IF(CAIXA.Modo,BM.AFAnterior,BM.MEDAnterior),IF(AND(RegimeExecucao="Global",$I376&gt;0,COUNTIF($AB$13:$AM$13,BM.medicao-1)&gt;0),M376/$I376*100,0))</f>
        <v>0</v>
      </c>
      <c r="K376" s="124">
        <f t="shared" ca="1" si="24"/>
        <v>0</v>
      </c>
      <c r="L376" s="379">
        <f ca="1">IF($A376="S",IF(CAIXA.Modo,BM.AFAcumulado,BM.MEDAcumulado),IF(AND(RegimeExecucao="Global",$I376&gt;0,COUNTIF($AB$13:$AM$13,BM.medicao)&gt;0),O376/$I376*100,0))</f>
        <v>0</v>
      </c>
      <c r="M376" s="380">
        <f ca="1">IF($A376="S",VTOTALBM,IF($A376=0,0,ROUND(SomaAgrupBM,15-13*ORÇAMENTO!$AF$11)))</f>
        <v>0</v>
      </c>
      <c r="N376" s="381">
        <f t="shared" ca="1" si="25"/>
        <v>0</v>
      </c>
      <c r="O376" s="127">
        <f ca="1">IF($A376="S",VTOTALBM,IF($A376=0,0,ROUND(SomaAgrupBM,15-13*ORÇAMENTO!$AF$11)))</f>
        <v>0</v>
      </c>
      <c r="Q376" s="382"/>
      <c r="R376" s="383"/>
      <c r="T376" s="119" t="str">
        <f t="shared" ca="1" si="26"/>
        <v/>
      </c>
      <c r="U376" s="172" t="str">
        <f t="shared" ca="1" si="27"/>
        <v/>
      </c>
      <c r="V376" s="173" t="str">
        <f ca="1">IF(AND($W376&gt;0,RegimeExecucao="Unitário"),$F376,"")</f>
        <v/>
      </c>
      <c r="W376" s="547">
        <f ca="1">IF($Y376&gt;0,CHOOSE(MATCH(RegimeExecucao,{"Unitário","Global"},0),IF($A376="S",$Y376/$X376,""),($Y376/$X376)*100),0)</f>
        <v>0</v>
      </c>
      <c r="X376" s="384" t="str">
        <f ca="1">IF($Y376&gt;0,CHOOSE(MATCH(RegimeExecucao,{"Unitário","Global"},0),IF($A376="S",ROUND($H376,ORÇAMENTO!$AF$10),""),ROUND($I376,ORÇAMENTO!$AF$11)),"")</f>
        <v/>
      </c>
      <c r="Y376" s="384">
        <f t="shared" ca="1" si="28"/>
        <v>0</v>
      </c>
      <c r="Z376" s="572"/>
      <c r="AB376" s="382"/>
      <c r="AC376" s="516"/>
      <c r="AD376" s="516"/>
      <c r="AE376" s="516"/>
      <c r="AF376" s="516"/>
      <c r="AG376" s="516"/>
      <c r="AH376" s="516"/>
      <c r="AI376" s="516"/>
      <c r="AJ376" s="516"/>
      <c r="AK376" s="516"/>
      <c r="AL376" s="516"/>
      <c r="AM376" s="383"/>
      <c r="AO376">
        <f ca="1">IF($A376="S",IF(BM!$I376=0,0,CHOOSE(MATCH(RegimeExecucao,{"Global","Unitário"},0),ROUND(ROUND(BM.MEDAcumulado,15-13*BM!$A$9)/100*BM!$I376,15-13*ORÇAMENTO!$AF$11),ROUND(ROUND(BM.MEDAcumulado,15-13*BM!$A$9)*ROUND(BM!$H376,15-13*ORÇAMENTO!$AF$10),15-13*ORÇAMENTO!$AF$11))),IF($A376=0,0,ROUND(SomaAgrupBM,15-13*ORÇAMENTO!$AF$11)))</f>
        <v>0</v>
      </c>
    </row>
    <row r="377" spans="1:41" ht="25.5" x14ac:dyDescent="0.2">
      <c r="A377" t="str">
        <f ca="1">ORÇAMENTO!C377</f>
        <v>S</v>
      </c>
      <c r="B377">
        <f ca="1">ORÇAMENTO!D377</f>
        <v>0</v>
      </c>
      <c r="C377" s="116" t="str">
        <f t="shared" ca="1" si="22"/>
        <v/>
      </c>
      <c r="D377" s="119" t="str">
        <f ca="1">ORÇAMENTO!O377</f>
        <v>-</v>
      </c>
      <c r="E377" s="172" t="str">
        <f t="shared" ca="1" si="23"/>
        <v>(abra o arquivo 'Referência 06-2024.xlsm)</v>
      </c>
      <c r="F377" s="173" t="str">
        <f ca="1">IF(RegimeExecucao="Global","",ORÇAMENTO.Unidade)</f>
        <v/>
      </c>
      <c r="G377" s="124" t="str">
        <f ca="1">IF(RegimeExecucao="Global","",ORÇAMENTO!T377)</f>
        <v/>
      </c>
      <c r="H377" s="124" t="str">
        <f ca="1">IF(RegimeExecucao="Global","",ORÇAMENTO!W377)</f>
        <v/>
      </c>
      <c r="I377" s="127">
        <f ca="1">ORÇAMENTO!X377</f>
        <v>0</v>
      </c>
      <c r="J377" s="378">
        <f ca="1">IF($A377="S",IF(CAIXA.Modo,BM.AFAnterior,BM.MEDAnterior),IF(AND(RegimeExecucao="Global",$I377&gt;0,COUNTIF($AB$13:$AM$13,BM.medicao-1)&gt;0),M377/$I377*100,0))</f>
        <v>0</v>
      </c>
      <c r="K377" s="124">
        <f t="shared" ca="1" si="24"/>
        <v>0</v>
      </c>
      <c r="L377" s="379">
        <f ca="1">IF($A377="S",IF(CAIXA.Modo,BM.AFAcumulado,BM.MEDAcumulado),IF(AND(RegimeExecucao="Global",$I377&gt;0,COUNTIF($AB$13:$AM$13,BM.medicao)&gt;0),O377/$I377*100,0))</f>
        <v>0</v>
      </c>
      <c r="M377" s="380">
        <f ca="1">IF($A377="S",VTOTALBM,IF($A377=0,0,ROUND(SomaAgrupBM,15-13*ORÇAMENTO!$AF$11)))</f>
        <v>0</v>
      </c>
      <c r="N377" s="381">
        <f t="shared" ca="1" si="25"/>
        <v>0</v>
      </c>
      <c r="O377" s="127">
        <f ca="1">IF($A377="S",VTOTALBM,IF($A377=0,0,ROUND(SomaAgrupBM,15-13*ORÇAMENTO!$AF$11)))</f>
        <v>0</v>
      </c>
      <c r="Q377" s="382"/>
      <c r="R377" s="383"/>
      <c r="T377" s="119" t="str">
        <f t="shared" ca="1" si="26"/>
        <v/>
      </c>
      <c r="U377" s="172" t="str">
        <f t="shared" ca="1" si="27"/>
        <v/>
      </c>
      <c r="V377" s="173" t="str">
        <f ca="1">IF(AND($W377&gt;0,RegimeExecucao="Unitário"),$F377,"")</f>
        <v/>
      </c>
      <c r="W377" s="547">
        <f ca="1">IF($Y377&gt;0,CHOOSE(MATCH(RegimeExecucao,{"Unitário","Global"},0),IF($A377="S",$Y377/$X377,""),($Y377/$X377)*100),0)</f>
        <v>0</v>
      </c>
      <c r="X377" s="384" t="str">
        <f ca="1">IF($Y377&gt;0,CHOOSE(MATCH(RegimeExecucao,{"Unitário","Global"},0),IF($A377="S",ROUND($H377,ORÇAMENTO!$AF$10),""),ROUND($I377,ORÇAMENTO!$AF$11)),"")</f>
        <v/>
      </c>
      <c r="Y377" s="384">
        <f t="shared" ca="1" si="28"/>
        <v>0</v>
      </c>
      <c r="Z377" s="572"/>
      <c r="AB377" s="382"/>
      <c r="AC377" s="516"/>
      <c r="AD377" s="516"/>
      <c r="AE377" s="516"/>
      <c r="AF377" s="516"/>
      <c r="AG377" s="516"/>
      <c r="AH377" s="516"/>
      <c r="AI377" s="516"/>
      <c r="AJ377" s="516"/>
      <c r="AK377" s="516"/>
      <c r="AL377" s="516"/>
      <c r="AM377" s="383"/>
      <c r="AO377">
        <f ca="1">IF($A377="S",IF(BM!$I377=0,0,CHOOSE(MATCH(RegimeExecucao,{"Global","Unitário"},0),ROUND(ROUND(BM.MEDAcumulado,15-13*BM!$A$9)/100*BM!$I377,15-13*ORÇAMENTO!$AF$11),ROUND(ROUND(BM.MEDAcumulado,15-13*BM!$A$9)*ROUND(BM!$H377,15-13*ORÇAMENTO!$AF$10),15-13*ORÇAMENTO!$AF$11))),IF($A377=0,0,ROUND(SomaAgrupBM,15-13*ORÇAMENTO!$AF$11)))</f>
        <v>0</v>
      </c>
    </row>
    <row r="378" spans="1:41" ht="38.25" x14ac:dyDescent="0.2">
      <c r="A378" t="str">
        <f ca="1">ORÇAMENTO!C378</f>
        <v>S</v>
      </c>
      <c r="B378">
        <f ca="1">ORÇAMENTO!D378</f>
        <v>0</v>
      </c>
      <c r="C378" s="116" t="str">
        <f t="shared" ca="1" si="22"/>
        <v/>
      </c>
      <c r="D378" s="119" t="str">
        <f ca="1">ORÇAMENTO!O378</f>
        <v>-</v>
      </c>
      <c r="E378" s="172" t="str">
        <f t="shared" ca="1" si="23"/>
        <v>(abra o arquivo 'Referência 06-2024.xlsm)</v>
      </c>
      <c r="F378" s="173" t="str">
        <f ca="1">IF(RegimeExecucao="Global","",ORÇAMENTO.Unidade)</f>
        <v/>
      </c>
      <c r="G378" s="124" t="str">
        <f ca="1">IF(RegimeExecucao="Global","",ORÇAMENTO!T378)</f>
        <v/>
      </c>
      <c r="H378" s="124" t="str">
        <f ca="1">IF(RegimeExecucao="Global","",ORÇAMENTO!W378)</f>
        <v/>
      </c>
      <c r="I378" s="127">
        <f ca="1">ORÇAMENTO!X378</f>
        <v>0</v>
      </c>
      <c r="J378" s="378">
        <f ca="1">IF($A378="S",IF(CAIXA.Modo,BM.AFAnterior,BM.MEDAnterior),IF(AND(RegimeExecucao="Global",$I378&gt;0,COUNTIF($AB$13:$AM$13,BM.medicao-1)&gt;0),M378/$I378*100,0))</f>
        <v>0</v>
      </c>
      <c r="K378" s="124">
        <f t="shared" ca="1" si="24"/>
        <v>0</v>
      </c>
      <c r="L378" s="379">
        <f ca="1">IF($A378="S",IF(CAIXA.Modo,BM.AFAcumulado,BM.MEDAcumulado),IF(AND(RegimeExecucao="Global",$I378&gt;0,COUNTIF($AB$13:$AM$13,BM.medicao)&gt;0),O378/$I378*100,0))</f>
        <v>0</v>
      </c>
      <c r="M378" s="380">
        <f ca="1">IF($A378="S",VTOTALBM,IF($A378=0,0,ROUND(SomaAgrupBM,15-13*ORÇAMENTO!$AF$11)))</f>
        <v>0</v>
      </c>
      <c r="N378" s="381">
        <f t="shared" ca="1" si="25"/>
        <v>0</v>
      </c>
      <c r="O378" s="127">
        <f ca="1">IF($A378="S",VTOTALBM,IF($A378=0,0,ROUND(SomaAgrupBM,15-13*ORÇAMENTO!$AF$11)))</f>
        <v>0</v>
      </c>
      <c r="Q378" s="382"/>
      <c r="R378" s="383"/>
      <c r="T378" s="119" t="str">
        <f t="shared" ca="1" si="26"/>
        <v/>
      </c>
      <c r="U378" s="172" t="str">
        <f t="shared" ca="1" si="27"/>
        <v/>
      </c>
      <c r="V378" s="173" t="str">
        <f ca="1">IF(AND($W378&gt;0,RegimeExecucao="Unitário"),$F378,"")</f>
        <v/>
      </c>
      <c r="W378" s="547">
        <f ca="1">IF($Y378&gt;0,CHOOSE(MATCH(RegimeExecucao,{"Unitário","Global"},0),IF($A378="S",$Y378/$X378,""),($Y378/$X378)*100),0)</f>
        <v>0</v>
      </c>
      <c r="X378" s="384" t="str">
        <f ca="1">IF($Y378&gt;0,CHOOSE(MATCH(RegimeExecucao,{"Unitário","Global"},0),IF($A378="S",ROUND($H378,ORÇAMENTO!$AF$10),""),ROUND($I378,ORÇAMENTO!$AF$11)),"")</f>
        <v/>
      </c>
      <c r="Y378" s="384">
        <f t="shared" ca="1" si="28"/>
        <v>0</v>
      </c>
      <c r="Z378" s="572"/>
      <c r="AB378" s="382"/>
      <c r="AC378" s="516"/>
      <c r="AD378" s="516"/>
      <c r="AE378" s="516"/>
      <c r="AF378" s="516"/>
      <c r="AG378" s="516"/>
      <c r="AH378" s="516"/>
      <c r="AI378" s="516"/>
      <c r="AJ378" s="516"/>
      <c r="AK378" s="516"/>
      <c r="AL378" s="516"/>
      <c r="AM378" s="383"/>
      <c r="AO378">
        <f ca="1">IF($A378="S",IF(BM!$I378=0,0,CHOOSE(MATCH(RegimeExecucao,{"Global","Unitário"},0),ROUND(ROUND(BM.MEDAcumulado,15-13*BM!$A$9)/100*BM!$I378,15-13*ORÇAMENTO!$AF$11),ROUND(ROUND(BM.MEDAcumulado,15-13*BM!$A$9)*ROUND(BM!$H378,15-13*ORÇAMENTO!$AF$10),15-13*ORÇAMENTO!$AF$11))),IF($A378=0,0,ROUND(SomaAgrupBM,15-13*ORÇAMENTO!$AF$11)))</f>
        <v>0</v>
      </c>
    </row>
    <row r="379" spans="1:41" ht="25.5" x14ac:dyDescent="0.2">
      <c r="A379" t="str">
        <f ca="1">ORÇAMENTO!C379</f>
        <v>S</v>
      </c>
      <c r="B379">
        <f ca="1">ORÇAMENTO!D379</f>
        <v>0</v>
      </c>
      <c r="C379" s="116" t="str">
        <f t="shared" ca="1" si="22"/>
        <v/>
      </c>
      <c r="D379" s="119" t="str">
        <f ca="1">ORÇAMENTO!O379</f>
        <v>-</v>
      </c>
      <c r="E379" s="172" t="str">
        <f t="shared" ca="1" si="23"/>
        <v>(abra o arquivo 'Referência 06-2024.xlsm)</v>
      </c>
      <c r="F379" s="173" t="str">
        <f ca="1">IF(RegimeExecucao="Global","",ORÇAMENTO.Unidade)</f>
        <v/>
      </c>
      <c r="G379" s="124" t="str">
        <f ca="1">IF(RegimeExecucao="Global","",ORÇAMENTO!T379)</f>
        <v/>
      </c>
      <c r="H379" s="124" t="str">
        <f ca="1">IF(RegimeExecucao="Global","",ORÇAMENTO!W379)</f>
        <v/>
      </c>
      <c r="I379" s="127">
        <f ca="1">ORÇAMENTO!X379</f>
        <v>0</v>
      </c>
      <c r="J379" s="378">
        <f ca="1">IF($A379="S",IF(CAIXA.Modo,BM.AFAnterior,BM.MEDAnterior),IF(AND(RegimeExecucao="Global",$I379&gt;0,COUNTIF($AB$13:$AM$13,BM.medicao-1)&gt;0),M379/$I379*100,0))</f>
        <v>0</v>
      </c>
      <c r="K379" s="124">
        <f t="shared" ca="1" si="24"/>
        <v>0</v>
      </c>
      <c r="L379" s="379">
        <f ca="1">IF($A379="S",IF(CAIXA.Modo,BM.AFAcumulado,BM.MEDAcumulado),IF(AND(RegimeExecucao="Global",$I379&gt;0,COUNTIF($AB$13:$AM$13,BM.medicao)&gt;0),O379/$I379*100,0))</f>
        <v>0</v>
      </c>
      <c r="M379" s="380">
        <f ca="1">IF($A379="S",VTOTALBM,IF($A379=0,0,ROUND(SomaAgrupBM,15-13*ORÇAMENTO!$AF$11)))</f>
        <v>0</v>
      </c>
      <c r="N379" s="381">
        <f t="shared" ca="1" si="25"/>
        <v>0</v>
      </c>
      <c r="O379" s="127">
        <f ca="1">IF($A379="S",VTOTALBM,IF($A379=0,0,ROUND(SomaAgrupBM,15-13*ORÇAMENTO!$AF$11)))</f>
        <v>0</v>
      </c>
      <c r="Q379" s="382"/>
      <c r="R379" s="383"/>
      <c r="T379" s="119" t="str">
        <f t="shared" ca="1" si="26"/>
        <v/>
      </c>
      <c r="U379" s="172" t="str">
        <f t="shared" ca="1" si="27"/>
        <v/>
      </c>
      <c r="V379" s="173" t="str">
        <f ca="1">IF(AND($W379&gt;0,RegimeExecucao="Unitário"),$F379,"")</f>
        <v/>
      </c>
      <c r="W379" s="547">
        <f ca="1">IF($Y379&gt;0,CHOOSE(MATCH(RegimeExecucao,{"Unitário","Global"},0),IF($A379="S",$Y379/$X379,""),($Y379/$X379)*100),0)</f>
        <v>0</v>
      </c>
      <c r="X379" s="384" t="str">
        <f ca="1">IF($Y379&gt;0,CHOOSE(MATCH(RegimeExecucao,{"Unitário","Global"},0),IF($A379="S",ROUND($H379,ORÇAMENTO!$AF$10),""),ROUND($I379,ORÇAMENTO!$AF$11)),"")</f>
        <v/>
      </c>
      <c r="Y379" s="384">
        <f t="shared" ca="1" si="28"/>
        <v>0</v>
      </c>
      <c r="Z379" s="572"/>
      <c r="AB379" s="382"/>
      <c r="AC379" s="516"/>
      <c r="AD379" s="516"/>
      <c r="AE379" s="516"/>
      <c r="AF379" s="516"/>
      <c r="AG379" s="516"/>
      <c r="AH379" s="516"/>
      <c r="AI379" s="516"/>
      <c r="AJ379" s="516"/>
      <c r="AK379" s="516"/>
      <c r="AL379" s="516"/>
      <c r="AM379" s="383"/>
      <c r="AO379">
        <f ca="1">IF($A379="S",IF(BM!$I379=0,0,CHOOSE(MATCH(RegimeExecucao,{"Global","Unitário"},0),ROUND(ROUND(BM.MEDAcumulado,15-13*BM!$A$9)/100*BM!$I379,15-13*ORÇAMENTO!$AF$11),ROUND(ROUND(BM.MEDAcumulado,15-13*BM!$A$9)*ROUND(BM!$H379,15-13*ORÇAMENTO!$AF$10),15-13*ORÇAMENTO!$AF$11))),IF($A379=0,0,ROUND(SomaAgrupBM,15-13*ORÇAMENTO!$AF$11)))</f>
        <v>0</v>
      </c>
    </row>
    <row r="380" spans="1:41" ht="25.5" x14ac:dyDescent="0.2">
      <c r="A380" t="str">
        <f ca="1">ORÇAMENTO!C380</f>
        <v>S</v>
      </c>
      <c r="B380">
        <f ca="1">ORÇAMENTO!D380</f>
        <v>0</v>
      </c>
      <c r="C380" s="116" t="str">
        <f t="shared" ca="1" si="22"/>
        <v/>
      </c>
      <c r="D380" s="119" t="str">
        <f ca="1">ORÇAMENTO!O380</f>
        <v>-</v>
      </c>
      <c r="E380" s="172" t="str">
        <f t="shared" ca="1" si="23"/>
        <v>(abra o arquivo 'Referência 06-2024.xlsm)</v>
      </c>
      <c r="F380" s="173" t="str">
        <f ca="1">IF(RegimeExecucao="Global","",ORÇAMENTO.Unidade)</f>
        <v/>
      </c>
      <c r="G380" s="124" t="str">
        <f ca="1">IF(RegimeExecucao="Global","",ORÇAMENTO!T380)</f>
        <v/>
      </c>
      <c r="H380" s="124" t="str">
        <f ca="1">IF(RegimeExecucao="Global","",ORÇAMENTO!W380)</f>
        <v/>
      </c>
      <c r="I380" s="127">
        <f ca="1">ORÇAMENTO!X380</f>
        <v>0</v>
      </c>
      <c r="J380" s="378">
        <f ca="1">IF($A380="S",IF(CAIXA.Modo,BM.AFAnterior,BM.MEDAnterior),IF(AND(RegimeExecucao="Global",$I380&gt;0,COUNTIF($AB$13:$AM$13,BM.medicao-1)&gt;0),M380/$I380*100,0))</f>
        <v>0</v>
      </c>
      <c r="K380" s="124">
        <f t="shared" ca="1" si="24"/>
        <v>0</v>
      </c>
      <c r="L380" s="379">
        <f ca="1">IF($A380="S",IF(CAIXA.Modo,BM.AFAcumulado,BM.MEDAcumulado),IF(AND(RegimeExecucao="Global",$I380&gt;0,COUNTIF($AB$13:$AM$13,BM.medicao)&gt;0),O380/$I380*100,0))</f>
        <v>0</v>
      </c>
      <c r="M380" s="380">
        <f ca="1">IF($A380="S",VTOTALBM,IF($A380=0,0,ROUND(SomaAgrupBM,15-13*ORÇAMENTO!$AF$11)))</f>
        <v>0</v>
      </c>
      <c r="N380" s="381">
        <f t="shared" ca="1" si="25"/>
        <v>0</v>
      </c>
      <c r="O380" s="127">
        <f ca="1">IF($A380="S",VTOTALBM,IF($A380=0,0,ROUND(SomaAgrupBM,15-13*ORÇAMENTO!$AF$11)))</f>
        <v>0</v>
      </c>
      <c r="Q380" s="382"/>
      <c r="R380" s="383"/>
      <c r="T380" s="119" t="str">
        <f t="shared" ca="1" si="26"/>
        <v/>
      </c>
      <c r="U380" s="172" t="str">
        <f t="shared" ca="1" si="27"/>
        <v/>
      </c>
      <c r="V380" s="173" t="str">
        <f ca="1">IF(AND($W380&gt;0,RegimeExecucao="Unitário"),$F380,"")</f>
        <v/>
      </c>
      <c r="W380" s="547">
        <f ca="1">IF($Y380&gt;0,CHOOSE(MATCH(RegimeExecucao,{"Unitário","Global"},0),IF($A380="S",$Y380/$X380,""),($Y380/$X380)*100),0)</f>
        <v>0</v>
      </c>
      <c r="X380" s="384" t="str">
        <f ca="1">IF($Y380&gt;0,CHOOSE(MATCH(RegimeExecucao,{"Unitário","Global"},0),IF($A380="S",ROUND($H380,ORÇAMENTO!$AF$10),""),ROUND($I380,ORÇAMENTO!$AF$11)),"")</f>
        <v/>
      </c>
      <c r="Y380" s="384">
        <f t="shared" ca="1" si="28"/>
        <v>0</v>
      </c>
      <c r="Z380" s="572"/>
      <c r="AB380" s="382"/>
      <c r="AC380" s="516"/>
      <c r="AD380" s="516"/>
      <c r="AE380" s="516"/>
      <c r="AF380" s="516"/>
      <c r="AG380" s="516"/>
      <c r="AH380" s="516"/>
      <c r="AI380" s="516"/>
      <c r="AJ380" s="516"/>
      <c r="AK380" s="516"/>
      <c r="AL380" s="516"/>
      <c r="AM380" s="383"/>
      <c r="AO380">
        <f ca="1">IF($A380="S",IF(BM!$I380=0,0,CHOOSE(MATCH(RegimeExecucao,{"Global","Unitário"},0),ROUND(ROUND(BM.MEDAcumulado,15-13*BM!$A$9)/100*BM!$I380,15-13*ORÇAMENTO!$AF$11),ROUND(ROUND(BM.MEDAcumulado,15-13*BM!$A$9)*ROUND(BM!$H380,15-13*ORÇAMENTO!$AF$10),15-13*ORÇAMENTO!$AF$11))),IF($A380=0,0,ROUND(SomaAgrupBM,15-13*ORÇAMENTO!$AF$11)))</f>
        <v>0</v>
      </c>
    </row>
    <row r="381" spans="1:41" ht="25.5" x14ac:dyDescent="0.2">
      <c r="A381" t="str">
        <f ca="1">ORÇAMENTO!C381</f>
        <v>S</v>
      </c>
      <c r="B381">
        <f ca="1">ORÇAMENTO!D381</f>
        <v>0</v>
      </c>
      <c r="C381" s="116" t="str">
        <f t="shared" ca="1" si="22"/>
        <v/>
      </c>
      <c r="D381" s="119" t="str">
        <f ca="1">ORÇAMENTO!O381</f>
        <v>-</v>
      </c>
      <c r="E381" s="172" t="str">
        <f t="shared" ca="1" si="23"/>
        <v>(abra o arquivo 'Referência 06-2024.xlsm)</v>
      </c>
      <c r="F381" s="173" t="str">
        <f ca="1">IF(RegimeExecucao="Global","",ORÇAMENTO.Unidade)</f>
        <v/>
      </c>
      <c r="G381" s="124" t="str">
        <f ca="1">IF(RegimeExecucao="Global","",ORÇAMENTO!T381)</f>
        <v/>
      </c>
      <c r="H381" s="124" t="str">
        <f ca="1">IF(RegimeExecucao="Global","",ORÇAMENTO!W381)</f>
        <v/>
      </c>
      <c r="I381" s="127">
        <f ca="1">ORÇAMENTO!X381</f>
        <v>0</v>
      </c>
      <c r="J381" s="378">
        <f ca="1">IF($A381="S",IF(CAIXA.Modo,BM.AFAnterior,BM.MEDAnterior),IF(AND(RegimeExecucao="Global",$I381&gt;0,COUNTIF($AB$13:$AM$13,BM.medicao-1)&gt;0),M381/$I381*100,0))</f>
        <v>0</v>
      </c>
      <c r="K381" s="124">
        <f t="shared" ca="1" si="24"/>
        <v>0</v>
      </c>
      <c r="L381" s="379">
        <f ca="1">IF($A381="S",IF(CAIXA.Modo,BM.AFAcumulado,BM.MEDAcumulado),IF(AND(RegimeExecucao="Global",$I381&gt;0,COUNTIF($AB$13:$AM$13,BM.medicao)&gt;0),O381/$I381*100,0))</f>
        <v>0</v>
      </c>
      <c r="M381" s="380">
        <f ca="1">IF($A381="S",VTOTALBM,IF($A381=0,0,ROUND(SomaAgrupBM,15-13*ORÇAMENTO!$AF$11)))</f>
        <v>0</v>
      </c>
      <c r="N381" s="381">
        <f t="shared" ca="1" si="25"/>
        <v>0</v>
      </c>
      <c r="O381" s="127">
        <f ca="1">IF($A381="S",VTOTALBM,IF($A381=0,0,ROUND(SomaAgrupBM,15-13*ORÇAMENTO!$AF$11)))</f>
        <v>0</v>
      </c>
      <c r="Q381" s="382"/>
      <c r="R381" s="383"/>
      <c r="T381" s="119" t="str">
        <f t="shared" ca="1" si="26"/>
        <v/>
      </c>
      <c r="U381" s="172" t="str">
        <f t="shared" ca="1" si="27"/>
        <v/>
      </c>
      <c r="V381" s="173" t="str">
        <f ca="1">IF(AND($W381&gt;0,RegimeExecucao="Unitário"),$F381,"")</f>
        <v/>
      </c>
      <c r="W381" s="547">
        <f ca="1">IF($Y381&gt;0,CHOOSE(MATCH(RegimeExecucao,{"Unitário","Global"},0),IF($A381="S",$Y381/$X381,""),($Y381/$X381)*100),0)</f>
        <v>0</v>
      </c>
      <c r="X381" s="384" t="str">
        <f ca="1">IF($Y381&gt;0,CHOOSE(MATCH(RegimeExecucao,{"Unitário","Global"},0),IF($A381="S",ROUND($H381,ORÇAMENTO!$AF$10),""),ROUND($I381,ORÇAMENTO!$AF$11)),"")</f>
        <v/>
      </c>
      <c r="Y381" s="384">
        <f t="shared" ca="1" si="28"/>
        <v>0</v>
      </c>
      <c r="Z381" s="572"/>
      <c r="AB381" s="382"/>
      <c r="AC381" s="516"/>
      <c r="AD381" s="516"/>
      <c r="AE381" s="516"/>
      <c r="AF381" s="516"/>
      <c r="AG381" s="516"/>
      <c r="AH381" s="516"/>
      <c r="AI381" s="516"/>
      <c r="AJ381" s="516"/>
      <c r="AK381" s="516"/>
      <c r="AL381" s="516"/>
      <c r="AM381" s="383"/>
      <c r="AO381">
        <f ca="1">IF($A381="S",IF(BM!$I381=0,0,CHOOSE(MATCH(RegimeExecucao,{"Global","Unitário"},0),ROUND(ROUND(BM.MEDAcumulado,15-13*BM!$A$9)/100*BM!$I381,15-13*ORÇAMENTO!$AF$11),ROUND(ROUND(BM.MEDAcumulado,15-13*BM!$A$9)*ROUND(BM!$H381,15-13*ORÇAMENTO!$AF$10),15-13*ORÇAMENTO!$AF$11))),IF($A381=0,0,ROUND(SomaAgrupBM,15-13*ORÇAMENTO!$AF$11)))</f>
        <v>0</v>
      </c>
    </row>
    <row r="382" spans="1:41" ht="38.25" x14ac:dyDescent="0.2">
      <c r="A382" t="str">
        <f ca="1">ORÇAMENTO!C382</f>
        <v>S</v>
      </c>
      <c r="B382">
        <f ca="1">ORÇAMENTO!D382</f>
        <v>0</v>
      </c>
      <c r="C382" s="116" t="str">
        <f t="shared" ca="1" si="22"/>
        <v/>
      </c>
      <c r="D382" s="119" t="str">
        <f ca="1">ORÇAMENTO!O382</f>
        <v>-</v>
      </c>
      <c r="E382" s="172" t="str">
        <f t="shared" ca="1" si="23"/>
        <v>(abra o arquivo 'Referência 06-2024.xlsm)</v>
      </c>
      <c r="F382" s="173" t="str">
        <f ca="1">IF(RegimeExecucao="Global","",ORÇAMENTO.Unidade)</f>
        <v/>
      </c>
      <c r="G382" s="124" t="str">
        <f ca="1">IF(RegimeExecucao="Global","",ORÇAMENTO!T382)</f>
        <v/>
      </c>
      <c r="H382" s="124" t="str">
        <f ca="1">IF(RegimeExecucao="Global","",ORÇAMENTO!W382)</f>
        <v/>
      </c>
      <c r="I382" s="127">
        <f ca="1">ORÇAMENTO!X382</f>
        <v>0</v>
      </c>
      <c r="J382" s="378">
        <f ca="1">IF($A382="S",IF(CAIXA.Modo,BM.AFAnterior,BM.MEDAnterior),IF(AND(RegimeExecucao="Global",$I382&gt;0,COUNTIF($AB$13:$AM$13,BM.medicao-1)&gt;0),M382/$I382*100,0))</f>
        <v>0</v>
      </c>
      <c r="K382" s="124">
        <f t="shared" ca="1" si="24"/>
        <v>0</v>
      </c>
      <c r="L382" s="379">
        <f ca="1">IF($A382="S",IF(CAIXA.Modo,BM.AFAcumulado,BM.MEDAcumulado),IF(AND(RegimeExecucao="Global",$I382&gt;0,COUNTIF($AB$13:$AM$13,BM.medicao)&gt;0),O382/$I382*100,0))</f>
        <v>0</v>
      </c>
      <c r="M382" s="380">
        <f ca="1">IF($A382="S",VTOTALBM,IF($A382=0,0,ROUND(SomaAgrupBM,15-13*ORÇAMENTO!$AF$11)))</f>
        <v>0</v>
      </c>
      <c r="N382" s="381">
        <f t="shared" ca="1" si="25"/>
        <v>0</v>
      </c>
      <c r="O382" s="127">
        <f ca="1">IF($A382="S",VTOTALBM,IF($A382=0,0,ROUND(SomaAgrupBM,15-13*ORÇAMENTO!$AF$11)))</f>
        <v>0</v>
      </c>
      <c r="Q382" s="382"/>
      <c r="R382" s="383"/>
      <c r="T382" s="119" t="str">
        <f t="shared" ca="1" si="26"/>
        <v/>
      </c>
      <c r="U382" s="172" t="str">
        <f t="shared" ca="1" si="27"/>
        <v/>
      </c>
      <c r="V382" s="173" t="str">
        <f ca="1">IF(AND($W382&gt;0,RegimeExecucao="Unitário"),$F382,"")</f>
        <v/>
      </c>
      <c r="W382" s="547">
        <f ca="1">IF($Y382&gt;0,CHOOSE(MATCH(RegimeExecucao,{"Unitário","Global"},0),IF($A382="S",$Y382/$X382,""),($Y382/$X382)*100),0)</f>
        <v>0</v>
      </c>
      <c r="X382" s="384" t="str">
        <f ca="1">IF($Y382&gt;0,CHOOSE(MATCH(RegimeExecucao,{"Unitário","Global"},0),IF($A382="S",ROUND($H382,ORÇAMENTO!$AF$10),""),ROUND($I382,ORÇAMENTO!$AF$11)),"")</f>
        <v/>
      </c>
      <c r="Y382" s="384">
        <f t="shared" ca="1" si="28"/>
        <v>0</v>
      </c>
      <c r="Z382" s="572"/>
      <c r="AB382" s="382"/>
      <c r="AC382" s="516"/>
      <c r="AD382" s="516"/>
      <c r="AE382" s="516"/>
      <c r="AF382" s="516"/>
      <c r="AG382" s="516"/>
      <c r="AH382" s="516"/>
      <c r="AI382" s="516"/>
      <c r="AJ382" s="516"/>
      <c r="AK382" s="516"/>
      <c r="AL382" s="516"/>
      <c r="AM382" s="383"/>
      <c r="AO382">
        <f ca="1">IF($A382="S",IF(BM!$I382=0,0,CHOOSE(MATCH(RegimeExecucao,{"Global","Unitário"},0),ROUND(ROUND(BM.MEDAcumulado,15-13*BM!$A$9)/100*BM!$I382,15-13*ORÇAMENTO!$AF$11),ROUND(ROUND(BM.MEDAcumulado,15-13*BM!$A$9)*ROUND(BM!$H382,15-13*ORÇAMENTO!$AF$10),15-13*ORÇAMENTO!$AF$11))),IF($A382=0,0,ROUND(SomaAgrupBM,15-13*ORÇAMENTO!$AF$11)))</f>
        <v>0</v>
      </c>
    </row>
    <row r="383" spans="1:41" ht="25.5" x14ac:dyDescent="0.2">
      <c r="A383" t="str">
        <f ca="1">ORÇAMENTO!C383</f>
        <v>S</v>
      </c>
      <c r="B383">
        <f ca="1">ORÇAMENTO!D383</f>
        <v>0</v>
      </c>
      <c r="C383" s="116" t="str">
        <f t="shared" ca="1" si="22"/>
        <v/>
      </c>
      <c r="D383" s="119" t="str">
        <f ca="1">ORÇAMENTO!O383</f>
        <v>-</v>
      </c>
      <c r="E383" s="172" t="str">
        <f t="shared" ca="1" si="23"/>
        <v>(abra o arquivo 'Referência 06-2024.xlsm)</v>
      </c>
      <c r="F383" s="173" t="str">
        <f ca="1">IF(RegimeExecucao="Global","",ORÇAMENTO.Unidade)</f>
        <v/>
      </c>
      <c r="G383" s="124" t="str">
        <f ca="1">IF(RegimeExecucao="Global","",ORÇAMENTO!T383)</f>
        <v/>
      </c>
      <c r="H383" s="124" t="str">
        <f ca="1">IF(RegimeExecucao="Global","",ORÇAMENTO!W383)</f>
        <v/>
      </c>
      <c r="I383" s="127">
        <f ca="1">ORÇAMENTO!X383</f>
        <v>0</v>
      </c>
      <c r="J383" s="378">
        <f ca="1">IF($A383="S",IF(CAIXA.Modo,BM.AFAnterior,BM.MEDAnterior),IF(AND(RegimeExecucao="Global",$I383&gt;0,COUNTIF($AB$13:$AM$13,BM.medicao-1)&gt;0),M383/$I383*100,0))</f>
        <v>0</v>
      </c>
      <c r="K383" s="124">
        <f t="shared" ca="1" si="24"/>
        <v>0</v>
      </c>
      <c r="L383" s="379">
        <f ca="1">IF($A383="S",IF(CAIXA.Modo,BM.AFAcumulado,BM.MEDAcumulado),IF(AND(RegimeExecucao="Global",$I383&gt;0,COUNTIF($AB$13:$AM$13,BM.medicao)&gt;0),O383/$I383*100,0))</f>
        <v>0</v>
      </c>
      <c r="M383" s="380">
        <f ca="1">IF($A383="S",VTOTALBM,IF($A383=0,0,ROUND(SomaAgrupBM,15-13*ORÇAMENTO!$AF$11)))</f>
        <v>0</v>
      </c>
      <c r="N383" s="381">
        <f t="shared" ca="1" si="25"/>
        <v>0</v>
      </c>
      <c r="O383" s="127">
        <f ca="1">IF($A383="S",VTOTALBM,IF($A383=0,0,ROUND(SomaAgrupBM,15-13*ORÇAMENTO!$AF$11)))</f>
        <v>0</v>
      </c>
      <c r="Q383" s="382"/>
      <c r="R383" s="383"/>
      <c r="T383" s="119" t="str">
        <f t="shared" ca="1" si="26"/>
        <v/>
      </c>
      <c r="U383" s="172" t="str">
        <f t="shared" ca="1" si="27"/>
        <v/>
      </c>
      <c r="V383" s="173" t="str">
        <f ca="1">IF(AND($W383&gt;0,RegimeExecucao="Unitário"),$F383,"")</f>
        <v/>
      </c>
      <c r="W383" s="547">
        <f ca="1">IF($Y383&gt;0,CHOOSE(MATCH(RegimeExecucao,{"Unitário","Global"},0),IF($A383="S",$Y383/$X383,""),($Y383/$X383)*100),0)</f>
        <v>0</v>
      </c>
      <c r="X383" s="384" t="str">
        <f ca="1">IF($Y383&gt;0,CHOOSE(MATCH(RegimeExecucao,{"Unitário","Global"},0),IF($A383="S",ROUND($H383,ORÇAMENTO!$AF$10),""),ROUND($I383,ORÇAMENTO!$AF$11)),"")</f>
        <v/>
      </c>
      <c r="Y383" s="384">
        <f t="shared" ca="1" si="28"/>
        <v>0</v>
      </c>
      <c r="Z383" s="572"/>
      <c r="AB383" s="382"/>
      <c r="AC383" s="516"/>
      <c r="AD383" s="516"/>
      <c r="AE383" s="516"/>
      <c r="AF383" s="516"/>
      <c r="AG383" s="516"/>
      <c r="AH383" s="516"/>
      <c r="AI383" s="516"/>
      <c r="AJ383" s="516"/>
      <c r="AK383" s="516"/>
      <c r="AL383" s="516"/>
      <c r="AM383" s="383"/>
      <c r="AO383">
        <f ca="1">IF($A383="S",IF(BM!$I383=0,0,CHOOSE(MATCH(RegimeExecucao,{"Global","Unitário"},0),ROUND(ROUND(BM.MEDAcumulado,15-13*BM!$A$9)/100*BM!$I383,15-13*ORÇAMENTO!$AF$11),ROUND(ROUND(BM.MEDAcumulado,15-13*BM!$A$9)*ROUND(BM!$H383,15-13*ORÇAMENTO!$AF$10),15-13*ORÇAMENTO!$AF$11))),IF($A383=0,0,ROUND(SomaAgrupBM,15-13*ORÇAMENTO!$AF$11)))</f>
        <v>0</v>
      </c>
    </row>
    <row r="384" spans="1:41" ht="25.5" x14ac:dyDescent="0.2">
      <c r="A384" t="str">
        <f ca="1">ORÇAMENTO!C384</f>
        <v>S</v>
      </c>
      <c r="B384">
        <f ca="1">ORÇAMENTO!D384</f>
        <v>0</v>
      </c>
      <c r="C384" s="116" t="str">
        <f t="shared" ca="1" si="22"/>
        <v/>
      </c>
      <c r="D384" s="119" t="str">
        <f ca="1">ORÇAMENTO!O384</f>
        <v>-</v>
      </c>
      <c r="E384" s="172" t="str">
        <f t="shared" ca="1" si="23"/>
        <v>(abra o arquivo 'Referência 06-2024.xlsm)</v>
      </c>
      <c r="F384" s="173" t="str">
        <f ca="1">IF(RegimeExecucao="Global","",ORÇAMENTO.Unidade)</f>
        <v/>
      </c>
      <c r="G384" s="124" t="str">
        <f ca="1">IF(RegimeExecucao="Global","",ORÇAMENTO!T384)</f>
        <v/>
      </c>
      <c r="H384" s="124" t="str">
        <f ca="1">IF(RegimeExecucao="Global","",ORÇAMENTO!W384)</f>
        <v/>
      </c>
      <c r="I384" s="127">
        <f ca="1">ORÇAMENTO!X384</f>
        <v>0</v>
      </c>
      <c r="J384" s="378">
        <f ca="1">IF($A384="S",IF(CAIXA.Modo,BM.AFAnterior,BM.MEDAnterior),IF(AND(RegimeExecucao="Global",$I384&gt;0,COUNTIF($AB$13:$AM$13,BM.medicao-1)&gt;0),M384/$I384*100,0))</f>
        <v>0</v>
      </c>
      <c r="K384" s="124">
        <f t="shared" ca="1" si="24"/>
        <v>0</v>
      </c>
      <c r="L384" s="379">
        <f ca="1">IF($A384="S",IF(CAIXA.Modo,BM.AFAcumulado,BM.MEDAcumulado),IF(AND(RegimeExecucao="Global",$I384&gt;0,COUNTIF($AB$13:$AM$13,BM.medicao)&gt;0),O384/$I384*100,0))</f>
        <v>0</v>
      </c>
      <c r="M384" s="380">
        <f ca="1">IF($A384="S",VTOTALBM,IF($A384=0,0,ROUND(SomaAgrupBM,15-13*ORÇAMENTO!$AF$11)))</f>
        <v>0</v>
      </c>
      <c r="N384" s="381">
        <f t="shared" ca="1" si="25"/>
        <v>0</v>
      </c>
      <c r="O384" s="127">
        <f ca="1">IF($A384="S",VTOTALBM,IF($A384=0,0,ROUND(SomaAgrupBM,15-13*ORÇAMENTO!$AF$11)))</f>
        <v>0</v>
      </c>
      <c r="Q384" s="382"/>
      <c r="R384" s="383"/>
      <c r="T384" s="119" t="str">
        <f t="shared" ca="1" si="26"/>
        <v/>
      </c>
      <c r="U384" s="172" t="str">
        <f t="shared" ca="1" si="27"/>
        <v/>
      </c>
      <c r="V384" s="173" t="str">
        <f ca="1">IF(AND($W384&gt;0,RegimeExecucao="Unitário"),$F384,"")</f>
        <v/>
      </c>
      <c r="W384" s="547">
        <f ca="1">IF($Y384&gt;0,CHOOSE(MATCH(RegimeExecucao,{"Unitário","Global"},0),IF($A384="S",$Y384/$X384,""),($Y384/$X384)*100),0)</f>
        <v>0</v>
      </c>
      <c r="X384" s="384" t="str">
        <f ca="1">IF($Y384&gt;0,CHOOSE(MATCH(RegimeExecucao,{"Unitário","Global"},0),IF($A384="S",ROUND($H384,ORÇAMENTO!$AF$10),""),ROUND($I384,ORÇAMENTO!$AF$11)),"")</f>
        <v/>
      </c>
      <c r="Y384" s="384">
        <f t="shared" ca="1" si="28"/>
        <v>0</v>
      </c>
      <c r="Z384" s="572"/>
      <c r="AB384" s="382"/>
      <c r="AC384" s="516"/>
      <c r="AD384" s="516"/>
      <c r="AE384" s="516"/>
      <c r="AF384" s="516"/>
      <c r="AG384" s="516"/>
      <c r="AH384" s="516"/>
      <c r="AI384" s="516"/>
      <c r="AJ384" s="516"/>
      <c r="AK384" s="516"/>
      <c r="AL384" s="516"/>
      <c r="AM384" s="383"/>
      <c r="AO384">
        <f ca="1">IF($A384="S",IF(BM!$I384=0,0,CHOOSE(MATCH(RegimeExecucao,{"Global","Unitário"},0),ROUND(ROUND(BM.MEDAcumulado,15-13*BM!$A$9)/100*BM!$I384,15-13*ORÇAMENTO!$AF$11),ROUND(ROUND(BM.MEDAcumulado,15-13*BM!$A$9)*ROUND(BM!$H384,15-13*ORÇAMENTO!$AF$10),15-13*ORÇAMENTO!$AF$11))),IF($A384=0,0,ROUND(SomaAgrupBM,15-13*ORÇAMENTO!$AF$11)))</f>
        <v>0</v>
      </c>
    </row>
    <row r="385" spans="1:41" ht="25.5" x14ac:dyDescent="0.2">
      <c r="A385" t="str">
        <f ca="1">ORÇAMENTO!C385</f>
        <v>S</v>
      </c>
      <c r="B385">
        <f ca="1">ORÇAMENTO!D385</f>
        <v>0</v>
      </c>
      <c r="C385" s="116" t="str">
        <f t="shared" ref="C385:C457" ca="1" si="35">IF(OR($I385&gt;0,$A385=1,$A385=2,$A385=3,$A385=4),"F","")</f>
        <v/>
      </c>
      <c r="D385" s="119" t="str">
        <f ca="1">ORÇAMENTO!O385</f>
        <v>-</v>
      </c>
      <c r="E385" s="172" t="str">
        <f t="shared" ref="E385:E414" ca="1" si="36">ORÇAMENTO.Descricao</f>
        <v>(abra o arquivo 'Referência 06-2024.xlsm)</v>
      </c>
      <c r="F385" s="173" t="str">
        <f ca="1">IF(RegimeExecucao="Global","",ORÇAMENTO.Unidade)</f>
        <v/>
      </c>
      <c r="G385" s="124" t="str">
        <f ca="1">IF(RegimeExecucao="Global","",ORÇAMENTO!T385)</f>
        <v/>
      </c>
      <c r="H385" s="124" t="str">
        <f ca="1">IF(RegimeExecucao="Global","",ORÇAMENTO!W385)</f>
        <v/>
      </c>
      <c r="I385" s="127">
        <f ca="1">ORÇAMENTO!X385</f>
        <v>0</v>
      </c>
      <c r="J385" s="378">
        <f ca="1">IF($A385="S",IF(CAIXA.Modo,BM.AFAnterior,BM.MEDAnterior),IF(AND(RegimeExecucao="Global",$I385&gt;0,COUNTIF($AB$13:$AM$13,BM.medicao-1)&gt;0),M385/$I385*100,0))</f>
        <v>0</v>
      </c>
      <c r="K385" s="124">
        <f t="shared" ref="K385:K457" ca="1" si="37">L385-J385</f>
        <v>0</v>
      </c>
      <c r="L385" s="379">
        <f ca="1">IF($A385="S",IF(CAIXA.Modo,BM.AFAcumulado,BM.MEDAcumulado),IF(AND(RegimeExecucao="Global",$I385&gt;0,COUNTIF($AB$13:$AM$13,BM.medicao)&gt;0),O385/$I385*100,0))</f>
        <v>0</v>
      </c>
      <c r="M385" s="380">
        <f ca="1">IF($A385="S",VTOTALBM,IF($A385=0,0,ROUND(SomaAgrupBM,15-13*ORÇAMENTO!$AF$11)))</f>
        <v>0</v>
      </c>
      <c r="N385" s="381">
        <f t="shared" ref="N385:N457" ca="1" si="38">O385-M385</f>
        <v>0</v>
      </c>
      <c r="O385" s="127">
        <f ca="1">IF($A385="S",VTOTALBM,IF($A385=0,0,ROUND(SomaAgrupBM,15-13*ORÇAMENTO!$AF$11)))</f>
        <v>0</v>
      </c>
      <c r="Q385" s="382"/>
      <c r="R385" s="383"/>
      <c r="T385" s="119" t="str">
        <f t="shared" ref="T385:T457" ca="1" si="39">IF($W385&gt;0,$D385,"")</f>
        <v/>
      </c>
      <c r="U385" s="172" t="str">
        <f t="shared" ref="U385:U457" ca="1" si="40">IF($W385&gt;0,$E385,"")</f>
        <v/>
      </c>
      <c r="V385" s="173" t="str">
        <f ca="1">IF(AND($W385&gt;0,RegimeExecucao="Unitário"),$F385,"")</f>
        <v/>
      </c>
      <c r="W385" s="547">
        <f ca="1">IF($Y385&gt;0,CHOOSE(MATCH(RegimeExecucao,{"Unitário","Global"},0),IF($A385="S",$Y385/$X385,""),($Y385/$X385)*100),0)</f>
        <v>0</v>
      </c>
      <c r="X385" s="384" t="str">
        <f ca="1">IF($Y385&gt;0,CHOOSE(MATCH(RegimeExecucao,{"Unitário","Global"},0),IF($A385="S",ROUND($H385,ORÇAMENTO!$AF$10),""),ROUND($I385,ORÇAMENTO!$AF$11)),"")</f>
        <v/>
      </c>
      <c r="Y385" s="384">
        <f t="shared" ref="Y385:Y457" ca="1" si="41">AO385-O385</f>
        <v>0</v>
      </c>
      <c r="Z385" s="572"/>
      <c r="AB385" s="382"/>
      <c r="AC385" s="516"/>
      <c r="AD385" s="516"/>
      <c r="AE385" s="516"/>
      <c r="AF385" s="516"/>
      <c r="AG385" s="516"/>
      <c r="AH385" s="516"/>
      <c r="AI385" s="516"/>
      <c r="AJ385" s="516"/>
      <c r="AK385" s="516"/>
      <c r="AL385" s="516"/>
      <c r="AM385" s="383"/>
      <c r="AO385">
        <f ca="1">IF($A385="S",IF(BM!$I385=0,0,CHOOSE(MATCH(RegimeExecucao,{"Global","Unitário"},0),ROUND(ROUND(BM.MEDAcumulado,15-13*BM!$A$9)/100*BM!$I385,15-13*ORÇAMENTO!$AF$11),ROUND(ROUND(BM.MEDAcumulado,15-13*BM!$A$9)*ROUND(BM!$H385,15-13*ORÇAMENTO!$AF$10),15-13*ORÇAMENTO!$AF$11))),IF($A385=0,0,ROUND(SomaAgrupBM,15-13*ORÇAMENTO!$AF$11)))</f>
        <v>0</v>
      </c>
    </row>
    <row r="386" spans="1:41" ht="25.5" x14ac:dyDescent="0.2">
      <c r="A386" t="str">
        <f ca="1">ORÇAMENTO!C386</f>
        <v>S</v>
      </c>
      <c r="B386">
        <f ca="1">ORÇAMENTO!D386</f>
        <v>0</v>
      </c>
      <c r="C386" s="116" t="str">
        <f t="shared" ca="1" si="35"/>
        <v/>
      </c>
      <c r="D386" s="119" t="str">
        <f ca="1">ORÇAMENTO!O386</f>
        <v>-</v>
      </c>
      <c r="E386" s="172" t="str">
        <f t="shared" ca="1" si="36"/>
        <v>(abra o arquivo 'Referência 06-2024.xlsm)</v>
      </c>
      <c r="F386" s="173" t="str">
        <f ca="1">IF(RegimeExecucao="Global","",ORÇAMENTO.Unidade)</f>
        <v/>
      </c>
      <c r="G386" s="124" t="str">
        <f ca="1">IF(RegimeExecucao="Global","",ORÇAMENTO!T386)</f>
        <v/>
      </c>
      <c r="H386" s="124" t="str">
        <f ca="1">IF(RegimeExecucao="Global","",ORÇAMENTO!W386)</f>
        <v/>
      </c>
      <c r="I386" s="127">
        <f ca="1">ORÇAMENTO!X386</f>
        <v>0</v>
      </c>
      <c r="J386" s="378">
        <f ca="1">IF($A386="S",IF(CAIXA.Modo,BM.AFAnterior,BM.MEDAnterior),IF(AND(RegimeExecucao="Global",$I386&gt;0,COUNTIF($AB$13:$AM$13,BM.medicao-1)&gt;0),M386/$I386*100,0))</f>
        <v>0</v>
      </c>
      <c r="K386" s="124">
        <f t="shared" ca="1" si="37"/>
        <v>0</v>
      </c>
      <c r="L386" s="379">
        <f ca="1">IF($A386="S",IF(CAIXA.Modo,BM.AFAcumulado,BM.MEDAcumulado),IF(AND(RegimeExecucao="Global",$I386&gt;0,COUNTIF($AB$13:$AM$13,BM.medicao)&gt;0),O386/$I386*100,0))</f>
        <v>0</v>
      </c>
      <c r="M386" s="380">
        <f ca="1">IF($A386="S",VTOTALBM,IF($A386=0,0,ROUND(SomaAgrupBM,15-13*ORÇAMENTO!$AF$11)))</f>
        <v>0</v>
      </c>
      <c r="N386" s="381">
        <f t="shared" ca="1" si="38"/>
        <v>0</v>
      </c>
      <c r="O386" s="127">
        <f ca="1">IF($A386="S",VTOTALBM,IF($A386=0,0,ROUND(SomaAgrupBM,15-13*ORÇAMENTO!$AF$11)))</f>
        <v>0</v>
      </c>
      <c r="Q386" s="382"/>
      <c r="R386" s="383"/>
      <c r="T386" s="119" t="str">
        <f t="shared" ca="1" si="39"/>
        <v/>
      </c>
      <c r="U386" s="172" t="str">
        <f t="shared" ca="1" si="40"/>
        <v/>
      </c>
      <c r="V386" s="173" t="str">
        <f ca="1">IF(AND($W386&gt;0,RegimeExecucao="Unitário"),$F386,"")</f>
        <v/>
      </c>
      <c r="W386" s="547">
        <f ca="1">IF($Y386&gt;0,CHOOSE(MATCH(RegimeExecucao,{"Unitário","Global"},0),IF($A386="S",$Y386/$X386,""),($Y386/$X386)*100),0)</f>
        <v>0</v>
      </c>
      <c r="X386" s="384" t="str">
        <f ca="1">IF($Y386&gt;0,CHOOSE(MATCH(RegimeExecucao,{"Unitário","Global"},0),IF($A386="S",ROUND($H386,ORÇAMENTO!$AF$10),""),ROUND($I386,ORÇAMENTO!$AF$11)),"")</f>
        <v/>
      </c>
      <c r="Y386" s="384">
        <f t="shared" ca="1" si="41"/>
        <v>0</v>
      </c>
      <c r="Z386" s="572"/>
      <c r="AB386" s="382"/>
      <c r="AC386" s="516"/>
      <c r="AD386" s="516"/>
      <c r="AE386" s="516"/>
      <c r="AF386" s="516"/>
      <c r="AG386" s="516"/>
      <c r="AH386" s="516"/>
      <c r="AI386" s="516"/>
      <c r="AJ386" s="516"/>
      <c r="AK386" s="516"/>
      <c r="AL386" s="516"/>
      <c r="AM386" s="383"/>
      <c r="AO386">
        <f ca="1">IF($A386="S",IF(BM!$I386=0,0,CHOOSE(MATCH(RegimeExecucao,{"Global","Unitário"},0),ROUND(ROUND(BM.MEDAcumulado,15-13*BM!$A$9)/100*BM!$I386,15-13*ORÇAMENTO!$AF$11),ROUND(ROUND(BM.MEDAcumulado,15-13*BM!$A$9)*ROUND(BM!$H386,15-13*ORÇAMENTO!$AF$10),15-13*ORÇAMENTO!$AF$11))),IF($A386=0,0,ROUND(SomaAgrupBM,15-13*ORÇAMENTO!$AF$11)))</f>
        <v>0</v>
      </c>
    </row>
    <row r="387" spans="1:41" ht="25.5" x14ac:dyDescent="0.2">
      <c r="A387" t="str">
        <f ca="1">ORÇAMENTO!C387</f>
        <v>S</v>
      </c>
      <c r="B387">
        <f ca="1">ORÇAMENTO!D387</f>
        <v>0</v>
      </c>
      <c r="C387" s="116" t="str">
        <f t="shared" ca="1" si="35"/>
        <v/>
      </c>
      <c r="D387" s="119" t="str">
        <f ca="1">ORÇAMENTO!O387</f>
        <v>-</v>
      </c>
      <c r="E387" s="172" t="str">
        <f t="shared" ca="1" si="36"/>
        <v>(abra o arquivo 'Referência 06-2024.xlsm)</v>
      </c>
      <c r="F387" s="173" t="str">
        <f ca="1">IF(RegimeExecucao="Global","",ORÇAMENTO.Unidade)</f>
        <v/>
      </c>
      <c r="G387" s="124" t="str">
        <f ca="1">IF(RegimeExecucao="Global","",ORÇAMENTO!T387)</f>
        <v/>
      </c>
      <c r="H387" s="124" t="str">
        <f ca="1">IF(RegimeExecucao="Global","",ORÇAMENTO!W387)</f>
        <v/>
      </c>
      <c r="I387" s="127">
        <f ca="1">ORÇAMENTO!X387</f>
        <v>0</v>
      </c>
      <c r="J387" s="378">
        <f ca="1">IF($A387="S",IF(CAIXA.Modo,BM.AFAnterior,BM.MEDAnterior),IF(AND(RegimeExecucao="Global",$I387&gt;0,COUNTIF($AB$13:$AM$13,BM.medicao-1)&gt;0),M387/$I387*100,0))</f>
        <v>0</v>
      </c>
      <c r="K387" s="124">
        <f t="shared" ca="1" si="37"/>
        <v>0</v>
      </c>
      <c r="L387" s="379">
        <f ca="1">IF($A387="S",IF(CAIXA.Modo,BM.AFAcumulado,BM.MEDAcumulado),IF(AND(RegimeExecucao="Global",$I387&gt;0,COUNTIF($AB$13:$AM$13,BM.medicao)&gt;0),O387/$I387*100,0))</f>
        <v>0</v>
      </c>
      <c r="M387" s="380">
        <f ca="1">IF($A387="S",VTOTALBM,IF($A387=0,0,ROUND(SomaAgrupBM,15-13*ORÇAMENTO!$AF$11)))</f>
        <v>0</v>
      </c>
      <c r="N387" s="381">
        <f t="shared" ca="1" si="38"/>
        <v>0</v>
      </c>
      <c r="O387" s="127">
        <f ca="1">IF($A387="S",VTOTALBM,IF($A387=0,0,ROUND(SomaAgrupBM,15-13*ORÇAMENTO!$AF$11)))</f>
        <v>0</v>
      </c>
      <c r="Q387" s="382"/>
      <c r="R387" s="383"/>
      <c r="T387" s="119" t="str">
        <f t="shared" ca="1" si="39"/>
        <v/>
      </c>
      <c r="U387" s="172" t="str">
        <f t="shared" ca="1" si="40"/>
        <v/>
      </c>
      <c r="V387" s="173" t="str">
        <f ca="1">IF(AND($W387&gt;0,RegimeExecucao="Unitário"),$F387,"")</f>
        <v/>
      </c>
      <c r="W387" s="547">
        <f ca="1">IF($Y387&gt;0,CHOOSE(MATCH(RegimeExecucao,{"Unitário","Global"},0),IF($A387="S",$Y387/$X387,""),($Y387/$X387)*100),0)</f>
        <v>0</v>
      </c>
      <c r="X387" s="384" t="str">
        <f ca="1">IF($Y387&gt;0,CHOOSE(MATCH(RegimeExecucao,{"Unitário","Global"},0),IF($A387="S",ROUND($H387,ORÇAMENTO!$AF$10),""),ROUND($I387,ORÇAMENTO!$AF$11)),"")</f>
        <v/>
      </c>
      <c r="Y387" s="384">
        <f t="shared" ca="1" si="41"/>
        <v>0</v>
      </c>
      <c r="Z387" s="572"/>
      <c r="AB387" s="382"/>
      <c r="AC387" s="516"/>
      <c r="AD387" s="516"/>
      <c r="AE387" s="516"/>
      <c r="AF387" s="516"/>
      <c r="AG387" s="516"/>
      <c r="AH387" s="516"/>
      <c r="AI387" s="516"/>
      <c r="AJ387" s="516"/>
      <c r="AK387" s="516"/>
      <c r="AL387" s="516"/>
      <c r="AM387" s="383"/>
      <c r="AO387">
        <f ca="1">IF($A387="S",IF(BM!$I387=0,0,CHOOSE(MATCH(RegimeExecucao,{"Global","Unitário"},0),ROUND(ROUND(BM.MEDAcumulado,15-13*BM!$A$9)/100*BM!$I387,15-13*ORÇAMENTO!$AF$11),ROUND(ROUND(BM.MEDAcumulado,15-13*BM!$A$9)*ROUND(BM!$H387,15-13*ORÇAMENTO!$AF$10),15-13*ORÇAMENTO!$AF$11))),IF($A387=0,0,ROUND(SomaAgrupBM,15-13*ORÇAMENTO!$AF$11)))</f>
        <v>0</v>
      </c>
    </row>
    <row r="388" spans="1:41" ht="25.5" x14ac:dyDescent="0.2">
      <c r="A388" t="str">
        <f ca="1">ORÇAMENTO!C388</f>
        <v>S</v>
      </c>
      <c r="B388">
        <f ca="1">ORÇAMENTO!D388</f>
        <v>0</v>
      </c>
      <c r="C388" s="116" t="str">
        <f t="shared" ca="1" si="35"/>
        <v/>
      </c>
      <c r="D388" s="119" t="str">
        <f ca="1">ORÇAMENTO!O388</f>
        <v>-</v>
      </c>
      <c r="E388" s="172" t="str">
        <f t="shared" ca="1" si="36"/>
        <v>(abra o arquivo 'Referência 06-2024.xlsm)</v>
      </c>
      <c r="F388" s="173" t="str">
        <f ca="1">IF(RegimeExecucao="Global","",ORÇAMENTO.Unidade)</f>
        <v/>
      </c>
      <c r="G388" s="124" t="str">
        <f ca="1">IF(RegimeExecucao="Global","",ORÇAMENTO!T388)</f>
        <v/>
      </c>
      <c r="H388" s="124" t="str">
        <f ca="1">IF(RegimeExecucao="Global","",ORÇAMENTO!W388)</f>
        <v/>
      </c>
      <c r="I388" s="127">
        <f ca="1">ORÇAMENTO!X388</f>
        <v>0</v>
      </c>
      <c r="J388" s="378">
        <f ca="1">IF($A388="S",IF(CAIXA.Modo,BM.AFAnterior,BM.MEDAnterior),IF(AND(RegimeExecucao="Global",$I388&gt;0,COUNTIF($AB$13:$AM$13,BM.medicao-1)&gt;0),M388/$I388*100,0))</f>
        <v>0</v>
      </c>
      <c r="K388" s="124">
        <f t="shared" ca="1" si="37"/>
        <v>0</v>
      </c>
      <c r="L388" s="379">
        <f ca="1">IF($A388="S",IF(CAIXA.Modo,BM.AFAcumulado,BM.MEDAcumulado),IF(AND(RegimeExecucao="Global",$I388&gt;0,COUNTIF($AB$13:$AM$13,BM.medicao)&gt;0),O388/$I388*100,0))</f>
        <v>0</v>
      </c>
      <c r="M388" s="380">
        <f ca="1">IF($A388="S",VTOTALBM,IF($A388=0,0,ROUND(SomaAgrupBM,15-13*ORÇAMENTO!$AF$11)))</f>
        <v>0</v>
      </c>
      <c r="N388" s="381">
        <f t="shared" ca="1" si="38"/>
        <v>0</v>
      </c>
      <c r="O388" s="127">
        <f ca="1">IF($A388="S",VTOTALBM,IF($A388=0,0,ROUND(SomaAgrupBM,15-13*ORÇAMENTO!$AF$11)))</f>
        <v>0</v>
      </c>
      <c r="Q388" s="382"/>
      <c r="R388" s="383"/>
      <c r="T388" s="119" t="str">
        <f t="shared" ca="1" si="39"/>
        <v/>
      </c>
      <c r="U388" s="172" t="str">
        <f t="shared" ca="1" si="40"/>
        <v/>
      </c>
      <c r="V388" s="173" t="str">
        <f ca="1">IF(AND($W388&gt;0,RegimeExecucao="Unitário"),$F388,"")</f>
        <v/>
      </c>
      <c r="W388" s="547">
        <f ca="1">IF($Y388&gt;0,CHOOSE(MATCH(RegimeExecucao,{"Unitário","Global"},0),IF($A388="S",$Y388/$X388,""),($Y388/$X388)*100),0)</f>
        <v>0</v>
      </c>
      <c r="X388" s="384" t="str">
        <f ca="1">IF($Y388&gt;0,CHOOSE(MATCH(RegimeExecucao,{"Unitário","Global"},0),IF($A388="S",ROUND($H388,ORÇAMENTO!$AF$10),""),ROUND($I388,ORÇAMENTO!$AF$11)),"")</f>
        <v/>
      </c>
      <c r="Y388" s="384">
        <f t="shared" ca="1" si="41"/>
        <v>0</v>
      </c>
      <c r="Z388" s="572"/>
      <c r="AB388" s="382"/>
      <c r="AC388" s="516"/>
      <c r="AD388" s="516"/>
      <c r="AE388" s="516"/>
      <c r="AF388" s="516"/>
      <c r="AG388" s="516"/>
      <c r="AH388" s="516"/>
      <c r="AI388" s="516"/>
      <c r="AJ388" s="516"/>
      <c r="AK388" s="516"/>
      <c r="AL388" s="516"/>
      <c r="AM388" s="383"/>
      <c r="AO388">
        <f ca="1">IF($A388="S",IF(BM!$I388=0,0,CHOOSE(MATCH(RegimeExecucao,{"Global","Unitário"},0),ROUND(ROUND(BM.MEDAcumulado,15-13*BM!$A$9)/100*BM!$I388,15-13*ORÇAMENTO!$AF$11),ROUND(ROUND(BM.MEDAcumulado,15-13*BM!$A$9)*ROUND(BM!$H388,15-13*ORÇAMENTO!$AF$10),15-13*ORÇAMENTO!$AF$11))),IF($A388=0,0,ROUND(SomaAgrupBM,15-13*ORÇAMENTO!$AF$11)))</f>
        <v>0</v>
      </c>
    </row>
    <row r="389" spans="1:41" ht="25.5" x14ac:dyDescent="0.2">
      <c r="A389" t="str">
        <f ca="1">ORÇAMENTO!C389</f>
        <v>S</v>
      </c>
      <c r="B389">
        <f ca="1">ORÇAMENTO!D389</f>
        <v>0</v>
      </c>
      <c r="C389" s="116" t="str">
        <f t="shared" ca="1" si="35"/>
        <v/>
      </c>
      <c r="D389" s="119" t="str">
        <f ca="1">ORÇAMENTO!O389</f>
        <v>-</v>
      </c>
      <c r="E389" s="172" t="str">
        <f t="shared" ca="1" si="36"/>
        <v>(abra o arquivo 'Referência 06-2024.xlsm)</v>
      </c>
      <c r="F389" s="173" t="str">
        <f ca="1">IF(RegimeExecucao="Global","",ORÇAMENTO.Unidade)</f>
        <v/>
      </c>
      <c r="G389" s="124" t="str">
        <f ca="1">IF(RegimeExecucao="Global","",ORÇAMENTO!T389)</f>
        <v/>
      </c>
      <c r="H389" s="124" t="str">
        <f ca="1">IF(RegimeExecucao="Global","",ORÇAMENTO!W389)</f>
        <v/>
      </c>
      <c r="I389" s="127">
        <f ca="1">ORÇAMENTO!X389</f>
        <v>0</v>
      </c>
      <c r="J389" s="378">
        <f ca="1">IF($A389="S",IF(CAIXA.Modo,BM.AFAnterior,BM.MEDAnterior),IF(AND(RegimeExecucao="Global",$I389&gt;0,COUNTIF($AB$13:$AM$13,BM.medicao-1)&gt;0),M389/$I389*100,0))</f>
        <v>0</v>
      </c>
      <c r="K389" s="124">
        <f t="shared" ca="1" si="37"/>
        <v>0</v>
      </c>
      <c r="L389" s="379">
        <f ca="1">IF($A389="S",IF(CAIXA.Modo,BM.AFAcumulado,BM.MEDAcumulado),IF(AND(RegimeExecucao="Global",$I389&gt;0,COUNTIF($AB$13:$AM$13,BM.medicao)&gt;0),O389/$I389*100,0))</f>
        <v>0</v>
      </c>
      <c r="M389" s="380">
        <f ca="1">IF($A389="S",VTOTALBM,IF($A389=0,0,ROUND(SomaAgrupBM,15-13*ORÇAMENTO!$AF$11)))</f>
        <v>0</v>
      </c>
      <c r="N389" s="381">
        <f t="shared" ca="1" si="38"/>
        <v>0</v>
      </c>
      <c r="O389" s="127">
        <f ca="1">IF($A389="S",VTOTALBM,IF($A389=0,0,ROUND(SomaAgrupBM,15-13*ORÇAMENTO!$AF$11)))</f>
        <v>0</v>
      </c>
      <c r="Q389" s="382"/>
      <c r="R389" s="383"/>
      <c r="T389" s="119" t="str">
        <f t="shared" ca="1" si="39"/>
        <v/>
      </c>
      <c r="U389" s="172" t="str">
        <f t="shared" ca="1" si="40"/>
        <v/>
      </c>
      <c r="V389" s="173" t="str">
        <f ca="1">IF(AND($W389&gt;0,RegimeExecucao="Unitário"),$F389,"")</f>
        <v/>
      </c>
      <c r="W389" s="547">
        <f ca="1">IF($Y389&gt;0,CHOOSE(MATCH(RegimeExecucao,{"Unitário","Global"},0),IF($A389="S",$Y389/$X389,""),($Y389/$X389)*100),0)</f>
        <v>0</v>
      </c>
      <c r="X389" s="384" t="str">
        <f ca="1">IF($Y389&gt;0,CHOOSE(MATCH(RegimeExecucao,{"Unitário","Global"},0),IF($A389="S",ROUND($H389,ORÇAMENTO!$AF$10),""),ROUND($I389,ORÇAMENTO!$AF$11)),"")</f>
        <v/>
      </c>
      <c r="Y389" s="384">
        <f t="shared" ca="1" si="41"/>
        <v>0</v>
      </c>
      <c r="Z389" s="572"/>
      <c r="AB389" s="382"/>
      <c r="AC389" s="516"/>
      <c r="AD389" s="516"/>
      <c r="AE389" s="516"/>
      <c r="AF389" s="516"/>
      <c r="AG389" s="516"/>
      <c r="AH389" s="516"/>
      <c r="AI389" s="516"/>
      <c r="AJ389" s="516"/>
      <c r="AK389" s="516"/>
      <c r="AL389" s="516"/>
      <c r="AM389" s="383"/>
      <c r="AO389">
        <f ca="1">IF($A389="S",IF(BM!$I389=0,0,CHOOSE(MATCH(RegimeExecucao,{"Global","Unitário"},0),ROUND(ROUND(BM.MEDAcumulado,15-13*BM!$A$9)/100*BM!$I389,15-13*ORÇAMENTO!$AF$11),ROUND(ROUND(BM.MEDAcumulado,15-13*BM!$A$9)*ROUND(BM!$H389,15-13*ORÇAMENTO!$AF$10),15-13*ORÇAMENTO!$AF$11))),IF($A389=0,0,ROUND(SomaAgrupBM,15-13*ORÇAMENTO!$AF$11)))</f>
        <v>0</v>
      </c>
    </row>
    <row r="390" spans="1:41" ht="38.25" x14ac:dyDescent="0.2">
      <c r="A390" t="str">
        <f ca="1">ORÇAMENTO!C390</f>
        <v>S</v>
      </c>
      <c r="B390">
        <f ca="1">ORÇAMENTO!D390</f>
        <v>0</v>
      </c>
      <c r="C390" s="116" t="str">
        <f t="shared" ca="1" si="35"/>
        <v/>
      </c>
      <c r="D390" s="119" t="str">
        <f ca="1">ORÇAMENTO!O390</f>
        <v>-</v>
      </c>
      <c r="E390" s="172" t="str">
        <f t="shared" ca="1" si="36"/>
        <v>(abra o arquivo 'Referência 06-2024.xlsm)</v>
      </c>
      <c r="F390" s="173" t="str">
        <f ca="1">IF(RegimeExecucao="Global","",ORÇAMENTO.Unidade)</f>
        <v/>
      </c>
      <c r="G390" s="124" t="str">
        <f ca="1">IF(RegimeExecucao="Global","",ORÇAMENTO!T390)</f>
        <v/>
      </c>
      <c r="H390" s="124" t="str">
        <f ca="1">IF(RegimeExecucao="Global","",ORÇAMENTO!W390)</f>
        <v/>
      </c>
      <c r="I390" s="127">
        <f ca="1">ORÇAMENTO!X390</f>
        <v>0</v>
      </c>
      <c r="J390" s="378">
        <f ca="1">IF($A390="S",IF(CAIXA.Modo,BM.AFAnterior,BM.MEDAnterior),IF(AND(RegimeExecucao="Global",$I390&gt;0,COUNTIF($AB$13:$AM$13,BM.medicao-1)&gt;0),M390/$I390*100,0))</f>
        <v>0</v>
      </c>
      <c r="K390" s="124">
        <f t="shared" ca="1" si="37"/>
        <v>0</v>
      </c>
      <c r="L390" s="379">
        <f ca="1">IF($A390="S",IF(CAIXA.Modo,BM.AFAcumulado,BM.MEDAcumulado),IF(AND(RegimeExecucao="Global",$I390&gt;0,COUNTIF($AB$13:$AM$13,BM.medicao)&gt;0),O390/$I390*100,0))</f>
        <v>0</v>
      </c>
      <c r="M390" s="380">
        <f ca="1">IF($A390="S",VTOTALBM,IF($A390=0,0,ROUND(SomaAgrupBM,15-13*ORÇAMENTO!$AF$11)))</f>
        <v>0</v>
      </c>
      <c r="N390" s="381">
        <f t="shared" ca="1" si="38"/>
        <v>0</v>
      </c>
      <c r="O390" s="127">
        <f ca="1">IF($A390="S",VTOTALBM,IF($A390=0,0,ROUND(SomaAgrupBM,15-13*ORÇAMENTO!$AF$11)))</f>
        <v>0</v>
      </c>
      <c r="Q390" s="382"/>
      <c r="R390" s="383"/>
      <c r="T390" s="119" t="str">
        <f t="shared" ca="1" si="39"/>
        <v/>
      </c>
      <c r="U390" s="172" t="str">
        <f t="shared" ca="1" si="40"/>
        <v/>
      </c>
      <c r="V390" s="173" t="str">
        <f ca="1">IF(AND($W390&gt;0,RegimeExecucao="Unitário"),$F390,"")</f>
        <v/>
      </c>
      <c r="W390" s="547">
        <f ca="1">IF($Y390&gt;0,CHOOSE(MATCH(RegimeExecucao,{"Unitário","Global"},0),IF($A390="S",$Y390/$X390,""),($Y390/$X390)*100),0)</f>
        <v>0</v>
      </c>
      <c r="X390" s="384" t="str">
        <f ca="1">IF($Y390&gt;0,CHOOSE(MATCH(RegimeExecucao,{"Unitário","Global"},0),IF($A390="S",ROUND($H390,ORÇAMENTO!$AF$10),""),ROUND($I390,ORÇAMENTO!$AF$11)),"")</f>
        <v/>
      </c>
      <c r="Y390" s="384">
        <f t="shared" ca="1" si="41"/>
        <v>0</v>
      </c>
      <c r="Z390" s="572"/>
      <c r="AB390" s="382"/>
      <c r="AC390" s="516"/>
      <c r="AD390" s="516"/>
      <c r="AE390" s="516"/>
      <c r="AF390" s="516"/>
      <c r="AG390" s="516"/>
      <c r="AH390" s="516"/>
      <c r="AI390" s="516"/>
      <c r="AJ390" s="516"/>
      <c r="AK390" s="516"/>
      <c r="AL390" s="516"/>
      <c r="AM390" s="383"/>
      <c r="AO390">
        <f ca="1">IF($A390="S",IF(BM!$I390=0,0,CHOOSE(MATCH(RegimeExecucao,{"Global","Unitário"},0),ROUND(ROUND(BM.MEDAcumulado,15-13*BM!$A$9)/100*BM!$I390,15-13*ORÇAMENTO!$AF$11),ROUND(ROUND(BM.MEDAcumulado,15-13*BM!$A$9)*ROUND(BM!$H390,15-13*ORÇAMENTO!$AF$10),15-13*ORÇAMENTO!$AF$11))),IF($A390=0,0,ROUND(SomaAgrupBM,15-13*ORÇAMENTO!$AF$11)))</f>
        <v>0</v>
      </c>
    </row>
    <row r="391" spans="1:41" ht="38.25" x14ac:dyDescent="0.2">
      <c r="A391" t="str">
        <f ca="1">ORÇAMENTO!C391</f>
        <v>S</v>
      </c>
      <c r="B391">
        <f ca="1">ORÇAMENTO!D391</f>
        <v>0</v>
      </c>
      <c r="C391" s="116" t="str">
        <f t="shared" ca="1" si="35"/>
        <v/>
      </c>
      <c r="D391" s="119" t="str">
        <f ca="1">ORÇAMENTO!O391</f>
        <v>-</v>
      </c>
      <c r="E391" s="172" t="str">
        <f t="shared" ca="1" si="36"/>
        <v>(abra o arquivo 'Referência 06-2024.xlsm)</v>
      </c>
      <c r="F391" s="173" t="str">
        <f ca="1">IF(RegimeExecucao="Global","",ORÇAMENTO.Unidade)</f>
        <v/>
      </c>
      <c r="G391" s="124" t="str">
        <f ca="1">IF(RegimeExecucao="Global","",ORÇAMENTO!T391)</f>
        <v/>
      </c>
      <c r="H391" s="124" t="str">
        <f ca="1">IF(RegimeExecucao="Global","",ORÇAMENTO!W391)</f>
        <v/>
      </c>
      <c r="I391" s="127">
        <f ca="1">ORÇAMENTO!X391</f>
        <v>0</v>
      </c>
      <c r="J391" s="378">
        <f ca="1">IF($A391="S",IF(CAIXA.Modo,BM.AFAnterior,BM.MEDAnterior),IF(AND(RegimeExecucao="Global",$I391&gt;0,COUNTIF($AB$13:$AM$13,BM.medicao-1)&gt;0),M391/$I391*100,0))</f>
        <v>0</v>
      </c>
      <c r="K391" s="124">
        <f t="shared" ca="1" si="37"/>
        <v>0</v>
      </c>
      <c r="L391" s="379">
        <f ca="1">IF($A391="S",IF(CAIXA.Modo,BM.AFAcumulado,BM.MEDAcumulado),IF(AND(RegimeExecucao="Global",$I391&gt;0,COUNTIF($AB$13:$AM$13,BM.medicao)&gt;0),O391/$I391*100,0))</f>
        <v>0</v>
      </c>
      <c r="M391" s="380">
        <f ca="1">IF($A391="S",VTOTALBM,IF($A391=0,0,ROUND(SomaAgrupBM,15-13*ORÇAMENTO!$AF$11)))</f>
        <v>0</v>
      </c>
      <c r="N391" s="381">
        <f t="shared" ca="1" si="38"/>
        <v>0</v>
      </c>
      <c r="O391" s="127">
        <f ca="1">IF($A391="S",VTOTALBM,IF($A391=0,0,ROUND(SomaAgrupBM,15-13*ORÇAMENTO!$AF$11)))</f>
        <v>0</v>
      </c>
      <c r="Q391" s="382"/>
      <c r="R391" s="383"/>
      <c r="T391" s="119" t="str">
        <f t="shared" ca="1" si="39"/>
        <v/>
      </c>
      <c r="U391" s="172" t="str">
        <f t="shared" ca="1" si="40"/>
        <v/>
      </c>
      <c r="V391" s="173" t="str">
        <f ca="1">IF(AND($W391&gt;0,RegimeExecucao="Unitário"),$F391,"")</f>
        <v/>
      </c>
      <c r="W391" s="547">
        <f ca="1">IF($Y391&gt;0,CHOOSE(MATCH(RegimeExecucao,{"Unitário","Global"},0),IF($A391="S",$Y391/$X391,""),($Y391/$X391)*100),0)</f>
        <v>0</v>
      </c>
      <c r="X391" s="384" t="str">
        <f ca="1">IF($Y391&gt;0,CHOOSE(MATCH(RegimeExecucao,{"Unitário","Global"},0),IF($A391="S",ROUND($H391,ORÇAMENTO!$AF$10),""),ROUND($I391,ORÇAMENTO!$AF$11)),"")</f>
        <v/>
      </c>
      <c r="Y391" s="384">
        <f t="shared" ca="1" si="41"/>
        <v>0</v>
      </c>
      <c r="Z391" s="572"/>
      <c r="AB391" s="382"/>
      <c r="AC391" s="516"/>
      <c r="AD391" s="516"/>
      <c r="AE391" s="516"/>
      <c r="AF391" s="516"/>
      <c r="AG391" s="516"/>
      <c r="AH391" s="516"/>
      <c r="AI391" s="516"/>
      <c r="AJ391" s="516"/>
      <c r="AK391" s="516"/>
      <c r="AL391" s="516"/>
      <c r="AM391" s="383"/>
      <c r="AO391">
        <f ca="1">IF($A391="S",IF(BM!$I391=0,0,CHOOSE(MATCH(RegimeExecucao,{"Global","Unitário"},0),ROUND(ROUND(BM.MEDAcumulado,15-13*BM!$A$9)/100*BM!$I391,15-13*ORÇAMENTO!$AF$11),ROUND(ROUND(BM.MEDAcumulado,15-13*BM!$A$9)*ROUND(BM!$H391,15-13*ORÇAMENTO!$AF$10),15-13*ORÇAMENTO!$AF$11))),IF($A391=0,0,ROUND(SomaAgrupBM,15-13*ORÇAMENTO!$AF$11)))</f>
        <v>0</v>
      </c>
    </row>
    <row r="392" spans="1:41" ht="25.5" x14ac:dyDescent="0.2">
      <c r="A392" t="str">
        <f ca="1">ORÇAMENTO!C392</f>
        <v>S</v>
      </c>
      <c r="B392">
        <f ca="1">ORÇAMENTO!D392</f>
        <v>0</v>
      </c>
      <c r="C392" s="116" t="str">
        <f t="shared" ca="1" si="35"/>
        <v/>
      </c>
      <c r="D392" s="119" t="str">
        <f ca="1">ORÇAMENTO!O392</f>
        <v>-</v>
      </c>
      <c r="E392" s="172" t="str">
        <f t="shared" ca="1" si="36"/>
        <v>(abra o arquivo 'Referência 06-2024.xlsm)</v>
      </c>
      <c r="F392" s="173" t="str">
        <f ca="1">IF(RegimeExecucao="Global","",ORÇAMENTO.Unidade)</f>
        <v/>
      </c>
      <c r="G392" s="124" t="str">
        <f ca="1">IF(RegimeExecucao="Global","",ORÇAMENTO!T392)</f>
        <v/>
      </c>
      <c r="H392" s="124" t="str">
        <f ca="1">IF(RegimeExecucao="Global","",ORÇAMENTO!W392)</f>
        <v/>
      </c>
      <c r="I392" s="127">
        <f ca="1">ORÇAMENTO!X392</f>
        <v>0</v>
      </c>
      <c r="J392" s="378">
        <f ca="1">IF($A392="S",IF(CAIXA.Modo,BM.AFAnterior,BM.MEDAnterior),IF(AND(RegimeExecucao="Global",$I392&gt;0,COUNTIF($AB$13:$AM$13,BM.medicao-1)&gt;0),M392/$I392*100,0))</f>
        <v>0</v>
      </c>
      <c r="K392" s="124">
        <f t="shared" ca="1" si="37"/>
        <v>0</v>
      </c>
      <c r="L392" s="379">
        <f ca="1">IF($A392="S",IF(CAIXA.Modo,BM.AFAcumulado,BM.MEDAcumulado),IF(AND(RegimeExecucao="Global",$I392&gt;0,COUNTIF($AB$13:$AM$13,BM.medicao)&gt;0),O392/$I392*100,0))</f>
        <v>0</v>
      </c>
      <c r="M392" s="380">
        <f ca="1">IF($A392="S",VTOTALBM,IF($A392=0,0,ROUND(SomaAgrupBM,15-13*ORÇAMENTO!$AF$11)))</f>
        <v>0</v>
      </c>
      <c r="N392" s="381">
        <f t="shared" ca="1" si="38"/>
        <v>0</v>
      </c>
      <c r="O392" s="127">
        <f ca="1">IF($A392="S",VTOTALBM,IF($A392=0,0,ROUND(SomaAgrupBM,15-13*ORÇAMENTO!$AF$11)))</f>
        <v>0</v>
      </c>
      <c r="Q392" s="382"/>
      <c r="R392" s="383"/>
      <c r="T392" s="119" t="str">
        <f t="shared" ca="1" si="39"/>
        <v/>
      </c>
      <c r="U392" s="172" t="str">
        <f t="shared" ca="1" si="40"/>
        <v/>
      </c>
      <c r="V392" s="173" t="str">
        <f ca="1">IF(AND($W392&gt;0,RegimeExecucao="Unitário"),$F392,"")</f>
        <v/>
      </c>
      <c r="W392" s="547">
        <f ca="1">IF($Y392&gt;0,CHOOSE(MATCH(RegimeExecucao,{"Unitário","Global"},0),IF($A392="S",$Y392/$X392,""),($Y392/$X392)*100),0)</f>
        <v>0</v>
      </c>
      <c r="X392" s="384" t="str">
        <f ca="1">IF($Y392&gt;0,CHOOSE(MATCH(RegimeExecucao,{"Unitário","Global"},0),IF($A392="S",ROUND($H392,ORÇAMENTO!$AF$10),""),ROUND($I392,ORÇAMENTO!$AF$11)),"")</f>
        <v/>
      </c>
      <c r="Y392" s="384">
        <f t="shared" ca="1" si="41"/>
        <v>0</v>
      </c>
      <c r="Z392" s="572"/>
      <c r="AB392" s="382"/>
      <c r="AC392" s="516"/>
      <c r="AD392" s="516"/>
      <c r="AE392" s="516"/>
      <c r="AF392" s="516"/>
      <c r="AG392" s="516"/>
      <c r="AH392" s="516"/>
      <c r="AI392" s="516"/>
      <c r="AJ392" s="516"/>
      <c r="AK392" s="516"/>
      <c r="AL392" s="516"/>
      <c r="AM392" s="383"/>
      <c r="AO392">
        <f ca="1">IF($A392="S",IF(BM!$I392=0,0,CHOOSE(MATCH(RegimeExecucao,{"Global","Unitário"},0),ROUND(ROUND(BM.MEDAcumulado,15-13*BM!$A$9)/100*BM!$I392,15-13*ORÇAMENTO!$AF$11),ROUND(ROUND(BM.MEDAcumulado,15-13*BM!$A$9)*ROUND(BM!$H392,15-13*ORÇAMENTO!$AF$10),15-13*ORÇAMENTO!$AF$11))),IF($A392=0,0,ROUND(SomaAgrupBM,15-13*ORÇAMENTO!$AF$11)))</f>
        <v>0</v>
      </c>
    </row>
    <row r="393" spans="1:41" ht="38.25" x14ac:dyDescent="0.2">
      <c r="A393" t="str">
        <f ca="1">ORÇAMENTO!C393</f>
        <v>S</v>
      </c>
      <c r="B393">
        <f ca="1">ORÇAMENTO!D393</f>
        <v>0</v>
      </c>
      <c r="C393" s="116" t="str">
        <f t="shared" ca="1" si="35"/>
        <v/>
      </c>
      <c r="D393" s="119" t="str">
        <f ca="1">ORÇAMENTO!O393</f>
        <v>-</v>
      </c>
      <c r="E393" s="172" t="str">
        <f t="shared" ca="1" si="36"/>
        <v>(abra o arquivo 'Referência 06-2024.xlsm)</v>
      </c>
      <c r="F393" s="173" t="str">
        <f ca="1">IF(RegimeExecucao="Global","",ORÇAMENTO.Unidade)</f>
        <v/>
      </c>
      <c r="G393" s="124" t="str">
        <f ca="1">IF(RegimeExecucao="Global","",ORÇAMENTO!T393)</f>
        <v/>
      </c>
      <c r="H393" s="124" t="str">
        <f ca="1">IF(RegimeExecucao="Global","",ORÇAMENTO!W393)</f>
        <v/>
      </c>
      <c r="I393" s="127">
        <f ca="1">ORÇAMENTO!X393</f>
        <v>0</v>
      </c>
      <c r="J393" s="378">
        <f ca="1">IF($A393="S",IF(CAIXA.Modo,BM.AFAnterior,BM.MEDAnterior),IF(AND(RegimeExecucao="Global",$I393&gt;0,COUNTIF($AB$13:$AM$13,BM.medicao-1)&gt;0),M393/$I393*100,0))</f>
        <v>0</v>
      </c>
      <c r="K393" s="124">
        <f t="shared" ca="1" si="37"/>
        <v>0</v>
      </c>
      <c r="L393" s="379">
        <f ca="1">IF($A393="S",IF(CAIXA.Modo,BM.AFAcumulado,BM.MEDAcumulado),IF(AND(RegimeExecucao="Global",$I393&gt;0,COUNTIF($AB$13:$AM$13,BM.medicao)&gt;0),O393/$I393*100,0))</f>
        <v>0</v>
      </c>
      <c r="M393" s="380">
        <f ca="1">IF($A393="S",VTOTALBM,IF($A393=0,0,ROUND(SomaAgrupBM,15-13*ORÇAMENTO!$AF$11)))</f>
        <v>0</v>
      </c>
      <c r="N393" s="381">
        <f t="shared" ca="1" si="38"/>
        <v>0</v>
      </c>
      <c r="O393" s="127">
        <f ca="1">IF($A393="S",VTOTALBM,IF($A393=0,0,ROUND(SomaAgrupBM,15-13*ORÇAMENTO!$AF$11)))</f>
        <v>0</v>
      </c>
      <c r="Q393" s="382"/>
      <c r="R393" s="383"/>
      <c r="T393" s="119" t="str">
        <f t="shared" ca="1" si="39"/>
        <v/>
      </c>
      <c r="U393" s="172" t="str">
        <f t="shared" ca="1" si="40"/>
        <v/>
      </c>
      <c r="V393" s="173" t="str">
        <f ca="1">IF(AND($W393&gt;0,RegimeExecucao="Unitário"),$F393,"")</f>
        <v/>
      </c>
      <c r="W393" s="547">
        <f ca="1">IF($Y393&gt;0,CHOOSE(MATCH(RegimeExecucao,{"Unitário","Global"},0),IF($A393="S",$Y393/$X393,""),($Y393/$X393)*100),0)</f>
        <v>0</v>
      </c>
      <c r="X393" s="384" t="str">
        <f ca="1">IF($Y393&gt;0,CHOOSE(MATCH(RegimeExecucao,{"Unitário","Global"},0),IF($A393="S",ROUND($H393,ORÇAMENTO!$AF$10),""),ROUND($I393,ORÇAMENTO!$AF$11)),"")</f>
        <v/>
      </c>
      <c r="Y393" s="384">
        <f t="shared" ca="1" si="41"/>
        <v>0</v>
      </c>
      <c r="Z393" s="572"/>
      <c r="AB393" s="382"/>
      <c r="AC393" s="516"/>
      <c r="AD393" s="516"/>
      <c r="AE393" s="516"/>
      <c r="AF393" s="516"/>
      <c r="AG393" s="516"/>
      <c r="AH393" s="516"/>
      <c r="AI393" s="516"/>
      <c r="AJ393" s="516"/>
      <c r="AK393" s="516"/>
      <c r="AL393" s="516"/>
      <c r="AM393" s="383"/>
      <c r="AO393">
        <f ca="1">IF($A393="S",IF(BM!$I393=0,0,CHOOSE(MATCH(RegimeExecucao,{"Global","Unitário"},0),ROUND(ROUND(BM.MEDAcumulado,15-13*BM!$A$9)/100*BM!$I393,15-13*ORÇAMENTO!$AF$11),ROUND(ROUND(BM.MEDAcumulado,15-13*BM!$A$9)*ROUND(BM!$H393,15-13*ORÇAMENTO!$AF$10),15-13*ORÇAMENTO!$AF$11))),IF($A393=0,0,ROUND(SomaAgrupBM,15-13*ORÇAMENTO!$AF$11)))</f>
        <v>0</v>
      </c>
    </row>
    <row r="394" spans="1:41" ht="25.5" x14ac:dyDescent="0.2">
      <c r="A394" t="str">
        <f ca="1">ORÇAMENTO!C394</f>
        <v>S</v>
      </c>
      <c r="B394">
        <f ca="1">ORÇAMENTO!D394</f>
        <v>0</v>
      </c>
      <c r="C394" s="116" t="str">
        <f t="shared" ca="1" si="35"/>
        <v/>
      </c>
      <c r="D394" s="119" t="str">
        <f ca="1">ORÇAMENTO!O394</f>
        <v>-</v>
      </c>
      <c r="E394" s="172" t="str">
        <f t="shared" ca="1" si="36"/>
        <v>(abra o arquivo 'Referência 06-2024.xlsm)</v>
      </c>
      <c r="F394" s="173" t="str">
        <f ca="1">IF(RegimeExecucao="Global","",ORÇAMENTO.Unidade)</f>
        <v/>
      </c>
      <c r="G394" s="124" t="str">
        <f ca="1">IF(RegimeExecucao="Global","",ORÇAMENTO!T394)</f>
        <v/>
      </c>
      <c r="H394" s="124" t="str">
        <f ca="1">IF(RegimeExecucao="Global","",ORÇAMENTO!W394)</f>
        <v/>
      </c>
      <c r="I394" s="127">
        <f ca="1">ORÇAMENTO!X394</f>
        <v>0</v>
      </c>
      <c r="J394" s="378">
        <f ca="1">IF($A394="S",IF(CAIXA.Modo,BM.AFAnterior,BM.MEDAnterior),IF(AND(RegimeExecucao="Global",$I394&gt;0,COUNTIF($AB$13:$AM$13,BM.medicao-1)&gt;0),M394/$I394*100,0))</f>
        <v>0</v>
      </c>
      <c r="K394" s="124">
        <f t="shared" ca="1" si="37"/>
        <v>0</v>
      </c>
      <c r="L394" s="379">
        <f ca="1">IF($A394="S",IF(CAIXA.Modo,BM.AFAcumulado,BM.MEDAcumulado),IF(AND(RegimeExecucao="Global",$I394&gt;0,COUNTIF($AB$13:$AM$13,BM.medicao)&gt;0),O394/$I394*100,0))</f>
        <v>0</v>
      </c>
      <c r="M394" s="380">
        <f ca="1">IF($A394="S",VTOTALBM,IF($A394=0,0,ROUND(SomaAgrupBM,15-13*ORÇAMENTO!$AF$11)))</f>
        <v>0</v>
      </c>
      <c r="N394" s="381">
        <f t="shared" ca="1" si="38"/>
        <v>0</v>
      </c>
      <c r="O394" s="127">
        <f ca="1">IF($A394="S",VTOTALBM,IF($A394=0,0,ROUND(SomaAgrupBM,15-13*ORÇAMENTO!$AF$11)))</f>
        <v>0</v>
      </c>
      <c r="Q394" s="382"/>
      <c r="R394" s="383"/>
      <c r="T394" s="119" t="str">
        <f t="shared" ca="1" si="39"/>
        <v/>
      </c>
      <c r="U394" s="172" t="str">
        <f t="shared" ca="1" si="40"/>
        <v/>
      </c>
      <c r="V394" s="173" t="str">
        <f ca="1">IF(AND($W394&gt;0,RegimeExecucao="Unitário"),$F394,"")</f>
        <v/>
      </c>
      <c r="W394" s="547">
        <f ca="1">IF($Y394&gt;0,CHOOSE(MATCH(RegimeExecucao,{"Unitário","Global"},0),IF($A394="S",$Y394/$X394,""),($Y394/$X394)*100),0)</f>
        <v>0</v>
      </c>
      <c r="X394" s="384" t="str">
        <f ca="1">IF($Y394&gt;0,CHOOSE(MATCH(RegimeExecucao,{"Unitário","Global"},0),IF($A394="S",ROUND($H394,ORÇAMENTO!$AF$10),""),ROUND($I394,ORÇAMENTO!$AF$11)),"")</f>
        <v/>
      </c>
      <c r="Y394" s="384">
        <f t="shared" ca="1" si="41"/>
        <v>0</v>
      </c>
      <c r="Z394" s="572"/>
      <c r="AB394" s="382"/>
      <c r="AC394" s="516"/>
      <c r="AD394" s="516"/>
      <c r="AE394" s="516"/>
      <c r="AF394" s="516"/>
      <c r="AG394" s="516"/>
      <c r="AH394" s="516"/>
      <c r="AI394" s="516"/>
      <c r="AJ394" s="516"/>
      <c r="AK394" s="516"/>
      <c r="AL394" s="516"/>
      <c r="AM394" s="383"/>
      <c r="AO394">
        <f ca="1">IF($A394="S",IF(BM!$I394=0,0,CHOOSE(MATCH(RegimeExecucao,{"Global","Unitário"},0),ROUND(ROUND(BM.MEDAcumulado,15-13*BM!$A$9)/100*BM!$I394,15-13*ORÇAMENTO!$AF$11),ROUND(ROUND(BM.MEDAcumulado,15-13*BM!$A$9)*ROUND(BM!$H394,15-13*ORÇAMENTO!$AF$10),15-13*ORÇAMENTO!$AF$11))),IF($A394=0,0,ROUND(SomaAgrupBM,15-13*ORÇAMENTO!$AF$11)))</f>
        <v>0</v>
      </c>
    </row>
    <row r="395" spans="1:41" ht="25.5" x14ac:dyDescent="0.2">
      <c r="A395" t="str">
        <f ca="1">ORÇAMENTO!C395</f>
        <v>S</v>
      </c>
      <c r="B395">
        <f ca="1">ORÇAMENTO!D395</f>
        <v>0</v>
      </c>
      <c r="C395" s="116" t="str">
        <f t="shared" ca="1" si="35"/>
        <v/>
      </c>
      <c r="D395" s="119" t="str">
        <f ca="1">ORÇAMENTO!O395</f>
        <v>-</v>
      </c>
      <c r="E395" s="172" t="str">
        <f t="shared" ca="1" si="36"/>
        <v>(abra o arquivo 'Referência 06-2024.xlsm)</v>
      </c>
      <c r="F395" s="173" t="str">
        <f ca="1">IF(RegimeExecucao="Global","",ORÇAMENTO.Unidade)</f>
        <v/>
      </c>
      <c r="G395" s="124" t="str">
        <f ca="1">IF(RegimeExecucao="Global","",ORÇAMENTO!T395)</f>
        <v/>
      </c>
      <c r="H395" s="124" t="str">
        <f ca="1">IF(RegimeExecucao="Global","",ORÇAMENTO!W395)</f>
        <v/>
      </c>
      <c r="I395" s="127">
        <f ca="1">ORÇAMENTO!X395</f>
        <v>0</v>
      </c>
      <c r="J395" s="378">
        <f ca="1">IF($A395="S",IF(CAIXA.Modo,BM.AFAnterior,BM.MEDAnterior),IF(AND(RegimeExecucao="Global",$I395&gt;0,COUNTIF($AB$13:$AM$13,BM.medicao-1)&gt;0),M395/$I395*100,0))</f>
        <v>0</v>
      </c>
      <c r="K395" s="124">
        <f t="shared" ca="1" si="37"/>
        <v>0</v>
      </c>
      <c r="L395" s="379">
        <f ca="1">IF($A395="S",IF(CAIXA.Modo,BM.AFAcumulado,BM.MEDAcumulado),IF(AND(RegimeExecucao="Global",$I395&gt;0,COUNTIF($AB$13:$AM$13,BM.medicao)&gt;0),O395/$I395*100,0))</f>
        <v>0</v>
      </c>
      <c r="M395" s="380">
        <f ca="1">IF($A395="S",VTOTALBM,IF($A395=0,0,ROUND(SomaAgrupBM,15-13*ORÇAMENTO!$AF$11)))</f>
        <v>0</v>
      </c>
      <c r="N395" s="381">
        <f t="shared" ca="1" si="38"/>
        <v>0</v>
      </c>
      <c r="O395" s="127">
        <f ca="1">IF($A395="S",VTOTALBM,IF($A395=0,0,ROUND(SomaAgrupBM,15-13*ORÇAMENTO!$AF$11)))</f>
        <v>0</v>
      </c>
      <c r="Q395" s="382"/>
      <c r="R395" s="383"/>
      <c r="T395" s="119" t="str">
        <f t="shared" ca="1" si="39"/>
        <v/>
      </c>
      <c r="U395" s="172" t="str">
        <f t="shared" ca="1" si="40"/>
        <v/>
      </c>
      <c r="V395" s="173" t="str">
        <f ca="1">IF(AND($W395&gt;0,RegimeExecucao="Unitário"),$F395,"")</f>
        <v/>
      </c>
      <c r="W395" s="547">
        <f ca="1">IF($Y395&gt;0,CHOOSE(MATCH(RegimeExecucao,{"Unitário","Global"},0),IF($A395="S",$Y395/$X395,""),($Y395/$X395)*100),0)</f>
        <v>0</v>
      </c>
      <c r="X395" s="384" t="str">
        <f ca="1">IF($Y395&gt;0,CHOOSE(MATCH(RegimeExecucao,{"Unitário","Global"},0),IF($A395="S",ROUND($H395,ORÇAMENTO!$AF$10),""),ROUND($I395,ORÇAMENTO!$AF$11)),"")</f>
        <v/>
      </c>
      <c r="Y395" s="384">
        <f t="shared" ca="1" si="41"/>
        <v>0</v>
      </c>
      <c r="Z395" s="572"/>
      <c r="AB395" s="382"/>
      <c r="AC395" s="516"/>
      <c r="AD395" s="516"/>
      <c r="AE395" s="516"/>
      <c r="AF395" s="516"/>
      <c r="AG395" s="516"/>
      <c r="AH395" s="516"/>
      <c r="AI395" s="516"/>
      <c r="AJ395" s="516"/>
      <c r="AK395" s="516"/>
      <c r="AL395" s="516"/>
      <c r="AM395" s="383"/>
      <c r="AO395">
        <f ca="1">IF($A395="S",IF(BM!$I395=0,0,CHOOSE(MATCH(RegimeExecucao,{"Global","Unitário"},0),ROUND(ROUND(BM.MEDAcumulado,15-13*BM!$A$9)/100*BM!$I395,15-13*ORÇAMENTO!$AF$11),ROUND(ROUND(BM.MEDAcumulado,15-13*BM!$A$9)*ROUND(BM!$H395,15-13*ORÇAMENTO!$AF$10),15-13*ORÇAMENTO!$AF$11))),IF($A395=0,0,ROUND(SomaAgrupBM,15-13*ORÇAMENTO!$AF$11)))</f>
        <v>0</v>
      </c>
    </row>
    <row r="396" spans="1:41" ht="38.25" x14ac:dyDescent="0.2">
      <c r="A396" t="str">
        <f ca="1">ORÇAMENTO!C396</f>
        <v>S</v>
      </c>
      <c r="B396">
        <f ca="1">ORÇAMENTO!D396</f>
        <v>0</v>
      </c>
      <c r="C396" s="116" t="str">
        <f t="shared" ca="1" si="35"/>
        <v/>
      </c>
      <c r="D396" s="119" t="str">
        <f ca="1">ORÇAMENTO!O396</f>
        <v>-</v>
      </c>
      <c r="E396" s="172" t="str">
        <f t="shared" ca="1" si="36"/>
        <v>(abra o arquivo 'Referência 06-2024.xlsm)</v>
      </c>
      <c r="F396" s="173" t="str">
        <f ca="1">IF(RegimeExecucao="Global","",ORÇAMENTO.Unidade)</f>
        <v/>
      </c>
      <c r="G396" s="124" t="str">
        <f ca="1">IF(RegimeExecucao="Global","",ORÇAMENTO!T396)</f>
        <v/>
      </c>
      <c r="H396" s="124" t="str">
        <f ca="1">IF(RegimeExecucao="Global","",ORÇAMENTO!W396)</f>
        <v/>
      </c>
      <c r="I396" s="127">
        <f ca="1">ORÇAMENTO!X396</f>
        <v>0</v>
      </c>
      <c r="J396" s="378">
        <f ca="1">IF($A396="S",IF(CAIXA.Modo,BM.AFAnterior,BM.MEDAnterior),IF(AND(RegimeExecucao="Global",$I396&gt;0,COUNTIF($AB$13:$AM$13,BM.medicao-1)&gt;0),M396/$I396*100,0))</f>
        <v>0</v>
      </c>
      <c r="K396" s="124">
        <f t="shared" ca="1" si="37"/>
        <v>0</v>
      </c>
      <c r="L396" s="379">
        <f ca="1">IF($A396="S",IF(CAIXA.Modo,BM.AFAcumulado,BM.MEDAcumulado),IF(AND(RegimeExecucao="Global",$I396&gt;0,COUNTIF($AB$13:$AM$13,BM.medicao)&gt;0),O396/$I396*100,0))</f>
        <v>0</v>
      </c>
      <c r="M396" s="380">
        <f ca="1">IF($A396="S",VTOTALBM,IF($A396=0,0,ROUND(SomaAgrupBM,15-13*ORÇAMENTO!$AF$11)))</f>
        <v>0</v>
      </c>
      <c r="N396" s="381">
        <f t="shared" ca="1" si="38"/>
        <v>0</v>
      </c>
      <c r="O396" s="127">
        <f ca="1">IF($A396="S",VTOTALBM,IF($A396=0,0,ROUND(SomaAgrupBM,15-13*ORÇAMENTO!$AF$11)))</f>
        <v>0</v>
      </c>
      <c r="Q396" s="382"/>
      <c r="R396" s="383"/>
      <c r="T396" s="119" t="str">
        <f t="shared" ca="1" si="39"/>
        <v/>
      </c>
      <c r="U396" s="172" t="str">
        <f t="shared" ca="1" si="40"/>
        <v/>
      </c>
      <c r="V396" s="173" t="str">
        <f ca="1">IF(AND($W396&gt;0,RegimeExecucao="Unitário"),$F396,"")</f>
        <v/>
      </c>
      <c r="W396" s="547">
        <f ca="1">IF($Y396&gt;0,CHOOSE(MATCH(RegimeExecucao,{"Unitário","Global"},0),IF($A396="S",$Y396/$X396,""),($Y396/$X396)*100),0)</f>
        <v>0</v>
      </c>
      <c r="X396" s="384" t="str">
        <f ca="1">IF($Y396&gt;0,CHOOSE(MATCH(RegimeExecucao,{"Unitário","Global"},0),IF($A396="S",ROUND($H396,ORÇAMENTO!$AF$10),""),ROUND($I396,ORÇAMENTO!$AF$11)),"")</f>
        <v/>
      </c>
      <c r="Y396" s="384">
        <f t="shared" ca="1" si="41"/>
        <v>0</v>
      </c>
      <c r="Z396" s="572"/>
      <c r="AB396" s="382"/>
      <c r="AC396" s="516"/>
      <c r="AD396" s="516"/>
      <c r="AE396" s="516"/>
      <c r="AF396" s="516"/>
      <c r="AG396" s="516"/>
      <c r="AH396" s="516"/>
      <c r="AI396" s="516"/>
      <c r="AJ396" s="516"/>
      <c r="AK396" s="516"/>
      <c r="AL396" s="516"/>
      <c r="AM396" s="383"/>
      <c r="AO396">
        <f ca="1">IF($A396="S",IF(BM!$I396=0,0,CHOOSE(MATCH(RegimeExecucao,{"Global","Unitário"},0),ROUND(ROUND(BM.MEDAcumulado,15-13*BM!$A$9)/100*BM!$I396,15-13*ORÇAMENTO!$AF$11),ROUND(ROUND(BM.MEDAcumulado,15-13*BM!$A$9)*ROUND(BM!$H396,15-13*ORÇAMENTO!$AF$10),15-13*ORÇAMENTO!$AF$11))),IF($A396=0,0,ROUND(SomaAgrupBM,15-13*ORÇAMENTO!$AF$11)))</f>
        <v>0</v>
      </c>
    </row>
    <row r="397" spans="1:41" ht="25.5" x14ac:dyDescent="0.2">
      <c r="A397" t="str">
        <f ca="1">ORÇAMENTO!C397</f>
        <v>S</v>
      </c>
      <c r="B397">
        <f ca="1">ORÇAMENTO!D397</f>
        <v>0</v>
      </c>
      <c r="C397" s="116" t="str">
        <f t="shared" ca="1" si="35"/>
        <v/>
      </c>
      <c r="D397" s="119" t="str">
        <f ca="1">ORÇAMENTO!O397</f>
        <v>-</v>
      </c>
      <c r="E397" s="172" t="str">
        <f t="shared" ca="1" si="36"/>
        <v>(abra o arquivo 'Referência 06-2024.xlsm)</v>
      </c>
      <c r="F397" s="173" t="str">
        <f ca="1">IF(RegimeExecucao="Global","",ORÇAMENTO.Unidade)</f>
        <v/>
      </c>
      <c r="G397" s="124" t="str">
        <f ca="1">IF(RegimeExecucao="Global","",ORÇAMENTO!T397)</f>
        <v/>
      </c>
      <c r="H397" s="124" t="str">
        <f ca="1">IF(RegimeExecucao="Global","",ORÇAMENTO!W397)</f>
        <v/>
      </c>
      <c r="I397" s="127">
        <f ca="1">ORÇAMENTO!X397</f>
        <v>0</v>
      </c>
      <c r="J397" s="378">
        <f ca="1">IF($A397="S",IF(CAIXA.Modo,BM.AFAnterior,BM.MEDAnterior),IF(AND(RegimeExecucao="Global",$I397&gt;0,COUNTIF($AB$13:$AM$13,BM.medicao-1)&gt;0),M397/$I397*100,0))</f>
        <v>0</v>
      </c>
      <c r="K397" s="124">
        <f t="shared" ca="1" si="37"/>
        <v>0</v>
      </c>
      <c r="L397" s="379">
        <f ca="1">IF($A397="S",IF(CAIXA.Modo,BM.AFAcumulado,BM.MEDAcumulado),IF(AND(RegimeExecucao="Global",$I397&gt;0,COUNTIF($AB$13:$AM$13,BM.medicao)&gt;0),O397/$I397*100,0))</f>
        <v>0</v>
      </c>
      <c r="M397" s="380">
        <f ca="1">IF($A397="S",VTOTALBM,IF($A397=0,0,ROUND(SomaAgrupBM,15-13*ORÇAMENTO!$AF$11)))</f>
        <v>0</v>
      </c>
      <c r="N397" s="381">
        <f t="shared" ca="1" si="38"/>
        <v>0</v>
      </c>
      <c r="O397" s="127">
        <f ca="1">IF($A397="S",VTOTALBM,IF($A397=0,0,ROUND(SomaAgrupBM,15-13*ORÇAMENTO!$AF$11)))</f>
        <v>0</v>
      </c>
      <c r="Q397" s="382"/>
      <c r="R397" s="383"/>
      <c r="T397" s="119" t="str">
        <f t="shared" ca="1" si="39"/>
        <v/>
      </c>
      <c r="U397" s="172" t="str">
        <f t="shared" ca="1" si="40"/>
        <v/>
      </c>
      <c r="V397" s="173" t="str">
        <f ca="1">IF(AND($W397&gt;0,RegimeExecucao="Unitário"),$F397,"")</f>
        <v/>
      </c>
      <c r="W397" s="547">
        <f ca="1">IF($Y397&gt;0,CHOOSE(MATCH(RegimeExecucao,{"Unitário","Global"},0),IF($A397="S",$Y397/$X397,""),($Y397/$X397)*100),0)</f>
        <v>0</v>
      </c>
      <c r="X397" s="384" t="str">
        <f ca="1">IF($Y397&gt;0,CHOOSE(MATCH(RegimeExecucao,{"Unitário","Global"},0),IF($A397="S",ROUND($H397,ORÇAMENTO!$AF$10),""),ROUND($I397,ORÇAMENTO!$AF$11)),"")</f>
        <v/>
      </c>
      <c r="Y397" s="384">
        <f t="shared" ca="1" si="41"/>
        <v>0</v>
      </c>
      <c r="Z397" s="572"/>
      <c r="AB397" s="382"/>
      <c r="AC397" s="516"/>
      <c r="AD397" s="516"/>
      <c r="AE397" s="516"/>
      <c r="AF397" s="516"/>
      <c r="AG397" s="516"/>
      <c r="AH397" s="516"/>
      <c r="AI397" s="516"/>
      <c r="AJ397" s="516"/>
      <c r="AK397" s="516"/>
      <c r="AL397" s="516"/>
      <c r="AM397" s="383"/>
      <c r="AO397">
        <f ca="1">IF($A397="S",IF(BM!$I397=0,0,CHOOSE(MATCH(RegimeExecucao,{"Global","Unitário"},0),ROUND(ROUND(BM.MEDAcumulado,15-13*BM!$A$9)/100*BM!$I397,15-13*ORÇAMENTO!$AF$11),ROUND(ROUND(BM.MEDAcumulado,15-13*BM!$A$9)*ROUND(BM!$H397,15-13*ORÇAMENTO!$AF$10),15-13*ORÇAMENTO!$AF$11))),IF($A397=0,0,ROUND(SomaAgrupBM,15-13*ORÇAMENTO!$AF$11)))</f>
        <v>0</v>
      </c>
    </row>
    <row r="398" spans="1:41" ht="38.25" x14ac:dyDescent="0.2">
      <c r="A398" t="str">
        <f ca="1">ORÇAMENTO!C398</f>
        <v>S</v>
      </c>
      <c r="B398">
        <f ca="1">ORÇAMENTO!D398</f>
        <v>0</v>
      </c>
      <c r="C398" s="116" t="str">
        <f t="shared" ca="1" si="35"/>
        <v/>
      </c>
      <c r="D398" s="119" t="str">
        <f ca="1">ORÇAMENTO!O398</f>
        <v>-</v>
      </c>
      <c r="E398" s="172" t="str">
        <f t="shared" ca="1" si="36"/>
        <v>(abra o arquivo 'Referência 06-2024.xlsm)</v>
      </c>
      <c r="F398" s="173" t="str">
        <f ca="1">IF(RegimeExecucao="Global","",ORÇAMENTO.Unidade)</f>
        <v/>
      </c>
      <c r="G398" s="124" t="str">
        <f ca="1">IF(RegimeExecucao="Global","",ORÇAMENTO!T398)</f>
        <v/>
      </c>
      <c r="H398" s="124" t="str">
        <f ca="1">IF(RegimeExecucao="Global","",ORÇAMENTO!W398)</f>
        <v/>
      </c>
      <c r="I398" s="127">
        <f ca="1">ORÇAMENTO!X398</f>
        <v>0</v>
      </c>
      <c r="J398" s="378">
        <f ca="1">IF($A398="S",IF(CAIXA.Modo,BM.AFAnterior,BM.MEDAnterior),IF(AND(RegimeExecucao="Global",$I398&gt;0,COUNTIF($AB$13:$AM$13,BM.medicao-1)&gt;0),M398/$I398*100,0))</f>
        <v>0</v>
      </c>
      <c r="K398" s="124">
        <f t="shared" ca="1" si="37"/>
        <v>0</v>
      </c>
      <c r="L398" s="379">
        <f ca="1">IF($A398="S",IF(CAIXA.Modo,BM.AFAcumulado,BM.MEDAcumulado),IF(AND(RegimeExecucao="Global",$I398&gt;0,COUNTIF($AB$13:$AM$13,BM.medicao)&gt;0),O398/$I398*100,0))</f>
        <v>0</v>
      </c>
      <c r="M398" s="380">
        <f ca="1">IF($A398="S",VTOTALBM,IF($A398=0,0,ROUND(SomaAgrupBM,15-13*ORÇAMENTO!$AF$11)))</f>
        <v>0</v>
      </c>
      <c r="N398" s="381">
        <f t="shared" ca="1" si="38"/>
        <v>0</v>
      </c>
      <c r="O398" s="127">
        <f ca="1">IF($A398="S",VTOTALBM,IF($A398=0,0,ROUND(SomaAgrupBM,15-13*ORÇAMENTO!$AF$11)))</f>
        <v>0</v>
      </c>
      <c r="Q398" s="382"/>
      <c r="R398" s="383"/>
      <c r="T398" s="119" t="str">
        <f t="shared" ca="1" si="39"/>
        <v/>
      </c>
      <c r="U398" s="172" t="str">
        <f t="shared" ca="1" si="40"/>
        <v/>
      </c>
      <c r="V398" s="173" t="str">
        <f ca="1">IF(AND($W398&gt;0,RegimeExecucao="Unitário"),$F398,"")</f>
        <v/>
      </c>
      <c r="W398" s="547">
        <f ca="1">IF($Y398&gt;0,CHOOSE(MATCH(RegimeExecucao,{"Unitário","Global"},0),IF($A398="S",$Y398/$X398,""),($Y398/$X398)*100),0)</f>
        <v>0</v>
      </c>
      <c r="X398" s="384" t="str">
        <f ca="1">IF($Y398&gt;0,CHOOSE(MATCH(RegimeExecucao,{"Unitário","Global"},0),IF($A398="S",ROUND($H398,ORÇAMENTO!$AF$10),""),ROUND($I398,ORÇAMENTO!$AF$11)),"")</f>
        <v/>
      </c>
      <c r="Y398" s="384">
        <f t="shared" ca="1" si="41"/>
        <v>0</v>
      </c>
      <c r="Z398" s="572"/>
      <c r="AB398" s="382"/>
      <c r="AC398" s="516"/>
      <c r="AD398" s="516"/>
      <c r="AE398" s="516"/>
      <c r="AF398" s="516"/>
      <c r="AG398" s="516"/>
      <c r="AH398" s="516"/>
      <c r="AI398" s="516"/>
      <c r="AJ398" s="516"/>
      <c r="AK398" s="516"/>
      <c r="AL398" s="516"/>
      <c r="AM398" s="383"/>
      <c r="AO398">
        <f ca="1">IF($A398="S",IF(BM!$I398=0,0,CHOOSE(MATCH(RegimeExecucao,{"Global","Unitário"},0),ROUND(ROUND(BM.MEDAcumulado,15-13*BM!$A$9)/100*BM!$I398,15-13*ORÇAMENTO!$AF$11),ROUND(ROUND(BM.MEDAcumulado,15-13*BM!$A$9)*ROUND(BM!$H398,15-13*ORÇAMENTO!$AF$10),15-13*ORÇAMENTO!$AF$11))),IF($A398=0,0,ROUND(SomaAgrupBM,15-13*ORÇAMENTO!$AF$11)))</f>
        <v>0</v>
      </c>
    </row>
    <row r="399" spans="1:41" ht="38.25" x14ac:dyDescent="0.2">
      <c r="A399" t="str">
        <f ca="1">ORÇAMENTO!C399</f>
        <v>S</v>
      </c>
      <c r="B399">
        <f ca="1">ORÇAMENTO!D399</f>
        <v>0</v>
      </c>
      <c r="C399" s="116" t="str">
        <f t="shared" ca="1" si="35"/>
        <v/>
      </c>
      <c r="D399" s="119" t="str">
        <f ca="1">ORÇAMENTO!O399</f>
        <v>-</v>
      </c>
      <c r="E399" s="172" t="str">
        <f t="shared" ca="1" si="36"/>
        <v>(abra o arquivo 'Referência 06-2024.xlsm)</v>
      </c>
      <c r="F399" s="173" t="str">
        <f ca="1">IF(RegimeExecucao="Global","",ORÇAMENTO.Unidade)</f>
        <v/>
      </c>
      <c r="G399" s="124" t="str">
        <f ca="1">IF(RegimeExecucao="Global","",ORÇAMENTO!T399)</f>
        <v/>
      </c>
      <c r="H399" s="124" t="str">
        <f ca="1">IF(RegimeExecucao="Global","",ORÇAMENTO!W399)</f>
        <v/>
      </c>
      <c r="I399" s="127">
        <f ca="1">ORÇAMENTO!X399</f>
        <v>0</v>
      </c>
      <c r="J399" s="378">
        <f ca="1">IF($A399="S",IF(CAIXA.Modo,BM.AFAnterior,BM.MEDAnterior),IF(AND(RegimeExecucao="Global",$I399&gt;0,COUNTIF($AB$13:$AM$13,BM.medicao-1)&gt;0),M399/$I399*100,0))</f>
        <v>0</v>
      </c>
      <c r="K399" s="124">
        <f t="shared" ca="1" si="37"/>
        <v>0</v>
      </c>
      <c r="L399" s="379">
        <f ca="1">IF($A399="S",IF(CAIXA.Modo,BM.AFAcumulado,BM.MEDAcumulado),IF(AND(RegimeExecucao="Global",$I399&gt;0,COUNTIF($AB$13:$AM$13,BM.medicao)&gt;0),O399/$I399*100,0))</f>
        <v>0</v>
      </c>
      <c r="M399" s="380">
        <f ca="1">IF($A399="S",VTOTALBM,IF($A399=0,0,ROUND(SomaAgrupBM,15-13*ORÇAMENTO!$AF$11)))</f>
        <v>0</v>
      </c>
      <c r="N399" s="381">
        <f t="shared" ca="1" si="38"/>
        <v>0</v>
      </c>
      <c r="O399" s="127">
        <f ca="1">IF($A399="S",VTOTALBM,IF($A399=0,0,ROUND(SomaAgrupBM,15-13*ORÇAMENTO!$AF$11)))</f>
        <v>0</v>
      </c>
      <c r="Q399" s="382"/>
      <c r="R399" s="383"/>
      <c r="T399" s="119" t="str">
        <f t="shared" ca="1" si="39"/>
        <v/>
      </c>
      <c r="U399" s="172" t="str">
        <f t="shared" ca="1" si="40"/>
        <v/>
      </c>
      <c r="V399" s="173" t="str">
        <f ca="1">IF(AND($W399&gt;0,RegimeExecucao="Unitário"),$F399,"")</f>
        <v/>
      </c>
      <c r="W399" s="547">
        <f ca="1">IF($Y399&gt;0,CHOOSE(MATCH(RegimeExecucao,{"Unitário","Global"},0),IF($A399="S",$Y399/$X399,""),($Y399/$X399)*100),0)</f>
        <v>0</v>
      </c>
      <c r="X399" s="384" t="str">
        <f ca="1">IF($Y399&gt;0,CHOOSE(MATCH(RegimeExecucao,{"Unitário","Global"},0),IF($A399="S",ROUND($H399,ORÇAMENTO!$AF$10),""),ROUND($I399,ORÇAMENTO!$AF$11)),"")</f>
        <v/>
      </c>
      <c r="Y399" s="384">
        <f t="shared" ca="1" si="41"/>
        <v>0</v>
      </c>
      <c r="Z399" s="572"/>
      <c r="AB399" s="382"/>
      <c r="AC399" s="516"/>
      <c r="AD399" s="516"/>
      <c r="AE399" s="516"/>
      <c r="AF399" s="516"/>
      <c r="AG399" s="516"/>
      <c r="AH399" s="516"/>
      <c r="AI399" s="516"/>
      <c r="AJ399" s="516"/>
      <c r="AK399" s="516"/>
      <c r="AL399" s="516"/>
      <c r="AM399" s="383"/>
      <c r="AO399">
        <f ca="1">IF($A399="S",IF(BM!$I399=0,0,CHOOSE(MATCH(RegimeExecucao,{"Global","Unitário"},0),ROUND(ROUND(BM.MEDAcumulado,15-13*BM!$A$9)/100*BM!$I399,15-13*ORÇAMENTO!$AF$11),ROUND(ROUND(BM.MEDAcumulado,15-13*BM!$A$9)*ROUND(BM!$H399,15-13*ORÇAMENTO!$AF$10),15-13*ORÇAMENTO!$AF$11))),IF($A399=0,0,ROUND(SomaAgrupBM,15-13*ORÇAMENTO!$AF$11)))</f>
        <v>0</v>
      </c>
    </row>
    <row r="400" spans="1:41" ht="25.5" x14ac:dyDescent="0.2">
      <c r="A400" t="str">
        <f ca="1">ORÇAMENTO!C400</f>
        <v>S</v>
      </c>
      <c r="B400">
        <f ca="1">ORÇAMENTO!D400</f>
        <v>0</v>
      </c>
      <c r="C400" s="116" t="str">
        <f t="shared" ca="1" si="35"/>
        <v/>
      </c>
      <c r="D400" s="119" t="str">
        <f ca="1">ORÇAMENTO!O400</f>
        <v>-</v>
      </c>
      <c r="E400" s="172" t="str">
        <f t="shared" ca="1" si="36"/>
        <v>(abra o arquivo 'Referência 06-2024.xlsm)</v>
      </c>
      <c r="F400" s="173" t="str">
        <f ca="1">IF(RegimeExecucao="Global","",ORÇAMENTO.Unidade)</f>
        <v/>
      </c>
      <c r="G400" s="124" t="str">
        <f ca="1">IF(RegimeExecucao="Global","",ORÇAMENTO!T400)</f>
        <v/>
      </c>
      <c r="H400" s="124" t="str">
        <f ca="1">IF(RegimeExecucao="Global","",ORÇAMENTO!W400)</f>
        <v/>
      </c>
      <c r="I400" s="127">
        <f ca="1">ORÇAMENTO!X400</f>
        <v>0</v>
      </c>
      <c r="J400" s="378">
        <f ca="1">IF($A400="S",IF(CAIXA.Modo,BM.AFAnterior,BM.MEDAnterior),IF(AND(RegimeExecucao="Global",$I400&gt;0,COUNTIF($AB$13:$AM$13,BM.medicao-1)&gt;0),M400/$I400*100,0))</f>
        <v>0</v>
      </c>
      <c r="K400" s="124">
        <f t="shared" ca="1" si="37"/>
        <v>0</v>
      </c>
      <c r="L400" s="379">
        <f ca="1">IF($A400="S",IF(CAIXA.Modo,BM.AFAcumulado,BM.MEDAcumulado),IF(AND(RegimeExecucao="Global",$I400&gt;0,COUNTIF($AB$13:$AM$13,BM.medicao)&gt;0),O400/$I400*100,0))</f>
        <v>0</v>
      </c>
      <c r="M400" s="380">
        <f ca="1">IF($A400="S",VTOTALBM,IF($A400=0,0,ROUND(SomaAgrupBM,15-13*ORÇAMENTO!$AF$11)))</f>
        <v>0</v>
      </c>
      <c r="N400" s="381">
        <f t="shared" ca="1" si="38"/>
        <v>0</v>
      </c>
      <c r="O400" s="127">
        <f ca="1">IF($A400="S",VTOTALBM,IF($A400=0,0,ROUND(SomaAgrupBM,15-13*ORÇAMENTO!$AF$11)))</f>
        <v>0</v>
      </c>
      <c r="Q400" s="382"/>
      <c r="R400" s="383"/>
      <c r="T400" s="119" t="str">
        <f t="shared" ca="1" si="39"/>
        <v/>
      </c>
      <c r="U400" s="172" t="str">
        <f t="shared" ca="1" si="40"/>
        <v/>
      </c>
      <c r="V400" s="173" t="str">
        <f ca="1">IF(AND($W400&gt;0,RegimeExecucao="Unitário"),$F400,"")</f>
        <v/>
      </c>
      <c r="W400" s="547">
        <f ca="1">IF($Y400&gt;0,CHOOSE(MATCH(RegimeExecucao,{"Unitário","Global"},0),IF($A400="S",$Y400/$X400,""),($Y400/$X400)*100),0)</f>
        <v>0</v>
      </c>
      <c r="X400" s="384" t="str">
        <f ca="1">IF($Y400&gt;0,CHOOSE(MATCH(RegimeExecucao,{"Unitário","Global"},0),IF($A400="S",ROUND($H400,ORÇAMENTO!$AF$10),""),ROUND($I400,ORÇAMENTO!$AF$11)),"")</f>
        <v/>
      </c>
      <c r="Y400" s="384">
        <f t="shared" ca="1" si="41"/>
        <v>0</v>
      </c>
      <c r="Z400" s="572"/>
      <c r="AB400" s="382"/>
      <c r="AC400" s="516"/>
      <c r="AD400" s="516"/>
      <c r="AE400" s="516"/>
      <c r="AF400" s="516"/>
      <c r="AG400" s="516"/>
      <c r="AH400" s="516"/>
      <c r="AI400" s="516"/>
      <c r="AJ400" s="516"/>
      <c r="AK400" s="516"/>
      <c r="AL400" s="516"/>
      <c r="AM400" s="383"/>
      <c r="AO400">
        <f ca="1">IF($A400="S",IF(BM!$I400=0,0,CHOOSE(MATCH(RegimeExecucao,{"Global","Unitário"},0),ROUND(ROUND(BM.MEDAcumulado,15-13*BM!$A$9)/100*BM!$I400,15-13*ORÇAMENTO!$AF$11),ROUND(ROUND(BM.MEDAcumulado,15-13*BM!$A$9)*ROUND(BM!$H400,15-13*ORÇAMENTO!$AF$10),15-13*ORÇAMENTO!$AF$11))),IF($A400=0,0,ROUND(SomaAgrupBM,15-13*ORÇAMENTO!$AF$11)))</f>
        <v>0</v>
      </c>
    </row>
    <row r="401" spans="1:41" x14ac:dyDescent="0.2">
      <c r="A401" t="str">
        <f ca="1">ORÇAMENTO!C401</f>
        <v>S</v>
      </c>
      <c r="B401">
        <f ca="1">ORÇAMENTO!D401</f>
        <v>0</v>
      </c>
      <c r="C401" s="116" t="str">
        <f t="shared" ca="1" si="35"/>
        <v/>
      </c>
      <c r="D401" s="119" t="str">
        <f ca="1">ORÇAMENTO!O401</f>
        <v>-</v>
      </c>
      <c r="E401" s="172" t="str">
        <f t="shared" ca="1" si="36"/>
        <v>(abra o arquivo 'Referência 06-2024.xlsm)</v>
      </c>
      <c r="F401" s="173" t="str">
        <f ca="1">IF(RegimeExecucao="Global","",ORÇAMENTO.Unidade)</f>
        <v/>
      </c>
      <c r="G401" s="124" t="str">
        <f ca="1">IF(RegimeExecucao="Global","",ORÇAMENTO!T401)</f>
        <v/>
      </c>
      <c r="H401" s="124" t="str">
        <f ca="1">IF(RegimeExecucao="Global","",ORÇAMENTO!W401)</f>
        <v/>
      </c>
      <c r="I401" s="127">
        <f ca="1">ORÇAMENTO!X401</f>
        <v>0</v>
      </c>
      <c r="J401" s="378">
        <f ca="1">IF($A401="S",IF(CAIXA.Modo,BM.AFAnterior,BM.MEDAnterior),IF(AND(RegimeExecucao="Global",$I401&gt;0,COUNTIF($AB$13:$AM$13,BM.medicao-1)&gt;0),M401/$I401*100,0))</f>
        <v>0</v>
      </c>
      <c r="K401" s="124">
        <f t="shared" ca="1" si="37"/>
        <v>0</v>
      </c>
      <c r="L401" s="379">
        <f ca="1">IF($A401="S",IF(CAIXA.Modo,BM.AFAcumulado,BM.MEDAcumulado),IF(AND(RegimeExecucao="Global",$I401&gt;0,COUNTIF($AB$13:$AM$13,BM.medicao)&gt;0),O401/$I401*100,0))</f>
        <v>0</v>
      </c>
      <c r="M401" s="380">
        <f ca="1">IF($A401="S",VTOTALBM,IF($A401=0,0,ROUND(SomaAgrupBM,15-13*ORÇAMENTO!$AF$11)))</f>
        <v>0</v>
      </c>
      <c r="N401" s="381">
        <f t="shared" ca="1" si="38"/>
        <v>0</v>
      </c>
      <c r="O401" s="127">
        <f ca="1">IF($A401="S",VTOTALBM,IF($A401=0,0,ROUND(SomaAgrupBM,15-13*ORÇAMENTO!$AF$11)))</f>
        <v>0</v>
      </c>
      <c r="Q401" s="382"/>
      <c r="R401" s="383"/>
      <c r="T401" s="119" t="str">
        <f t="shared" ca="1" si="39"/>
        <v/>
      </c>
      <c r="U401" s="172" t="str">
        <f t="shared" ca="1" si="40"/>
        <v/>
      </c>
      <c r="V401" s="173" t="str">
        <f ca="1">IF(AND($W401&gt;0,RegimeExecucao="Unitário"),$F401,"")</f>
        <v/>
      </c>
      <c r="W401" s="547">
        <f ca="1">IF($Y401&gt;0,CHOOSE(MATCH(RegimeExecucao,{"Unitário","Global"},0),IF($A401="S",$Y401/$X401,""),($Y401/$X401)*100),0)</f>
        <v>0</v>
      </c>
      <c r="X401" s="384" t="str">
        <f ca="1">IF($Y401&gt;0,CHOOSE(MATCH(RegimeExecucao,{"Unitário","Global"},0),IF($A401="S",ROUND($H401,ORÇAMENTO!$AF$10),""),ROUND($I401,ORÇAMENTO!$AF$11)),"")</f>
        <v/>
      </c>
      <c r="Y401" s="384">
        <f t="shared" ca="1" si="41"/>
        <v>0</v>
      </c>
      <c r="Z401" s="572"/>
      <c r="AB401" s="382"/>
      <c r="AC401" s="516"/>
      <c r="AD401" s="516"/>
      <c r="AE401" s="516"/>
      <c r="AF401" s="516"/>
      <c r="AG401" s="516"/>
      <c r="AH401" s="516"/>
      <c r="AI401" s="516"/>
      <c r="AJ401" s="516"/>
      <c r="AK401" s="516"/>
      <c r="AL401" s="516"/>
      <c r="AM401" s="383"/>
      <c r="AO401">
        <f ca="1">IF($A401="S",IF(BM!$I401=0,0,CHOOSE(MATCH(RegimeExecucao,{"Global","Unitário"},0),ROUND(ROUND(BM.MEDAcumulado,15-13*BM!$A$9)/100*BM!$I401,15-13*ORÇAMENTO!$AF$11),ROUND(ROUND(BM.MEDAcumulado,15-13*BM!$A$9)*ROUND(BM!$H401,15-13*ORÇAMENTO!$AF$10),15-13*ORÇAMENTO!$AF$11))),IF($A401=0,0,ROUND(SomaAgrupBM,15-13*ORÇAMENTO!$AF$11)))</f>
        <v>0</v>
      </c>
    </row>
    <row r="402" spans="1:41" x14ac:dyDescent="0.2">
      <c r="A402">
        <f ca="1">ORÇAMENTO!C402</f>
        <v>2</v>
      </c>
      <c r="B402">
        <f ca="1">ORÇAMENTO!D402</f>
        <v>13</v>
      </c>
      <c r="C402" s="116" t="str">
        <f t="shared" ca="1" si="35"/>
        <v>F</v>
      </c>
      <c r="D402" s="119" t="str">
        <f ca="1">ORÇAMENTO!O402</f>
        <v>1.44.</v>
      </c>
      <c r="E402" s="172" t="str">
        <f t="shared" si="36"/>
        <v>INSTALAÇÃO DE GÁS COMBUSTÍVEL</v>
      </c>
      <c r="F402" s="173" t="str">
        <f ca="1">IF(RegimeExecucao="Global","",ORÇAMENTO.Unidade)</f>
        <v/>
      </c>
      <c r="G402" s="124" t="str">
        <f ca="1">IF(RegimeExecucao="Global","",ORÇAMENTO!T402)</f>
        <v/>
      </c>
      <c r="H402" s="124" t="str">
        <f ca="1">IF(RegimeExecucao="Global","",ORÇAMENTO!W402)</f>
        <v/>
      </c>
      <c r="I402" s="127">
        <f ca="1">ORÇAMENTO!X402</f>
        <v>0</v>
      </c>
      <c r="J402" s="378">
        <f ca="1">IF($A402="S",IF(CAIXA.Modo,BM.AFAnterior,BM.MEDAnterior),IF(AND(RegimeExecucao="Global",$I402&gt;0,COUNTIF($AB$13:$AM$13,BM.medicao-1)&gt;0),M402/$I402*100,0))</f>
        <v>0</v>
      </c>
      <c r="K402" s="124">
        <f t="shared" ca="1" si="37"/>
        <v>0</v>
      </c>
      <c r="L402" s="379">
        <f ca="1">IF($A402="S",IF(CAIXA.Modo,BM.AFAcumulado,BM.MEDAcumulado),IF(AND(RegimeExecucao="Global",$I402&gt;0,COUNTIF($AB$13:$AM$13,BM.medicao)&gt;0),O402/$I402*100,0))</f>
        <v>0</v>
      </c>
      <c r="M402" s="380">
        <f ca="1">IF($A402="S",VTOTALBM,IF($A402=0,0,ROUND(SomaAgrupBM,15-13*ORÇAMENTO!$AF$11)))</f>
        <v>0</v>
      </c>
      <c r="N402" s="381">
        <f t="shared" ca="1" si="38"/>
        <v>0</v>
      </c>
      <c r="O402" s="127">
        <f ca="1">IF($A402="S",VTOTALBM,IF($A402=0,0,ROUND(SomaAgrupBM,15-13*ORÇAMENTO!$AF$11)))</f>
        <v>0</v>
      </c>
      <c r="Q402" s="382"/>
      <c r="R402" s="383"/>
      <c r="T402" s="119" t="str">
        <f t="shared" ca="1" si="39"/>
        <v/>
      </c>
      <c r="U402" s="172" t="str">
        <f t="shared" ca="1" si="40"/>
        <v/>
      </c>
      <c r="V402" s="173" t="str">
        <f ca="1">IF(AND($W402&gt;0,RegimeExecucao="Unitário"),$F402,"")</f>
        <v/>
      </c>
      <c r="W402" s="547">
        <f ca="1">IF($Y402&gt;0,CHOOSE(MATCH(RegimeExecucao,{"Unitário","Global"},0),IF($A402="S",$Y402/$X402,""),($Y402/$X402)*100),0)</f>
        <v>0</v>
      </c>
      <c r="X402" s="384" t="str">
        <f ca="1">IF($Y402&gt;0,CHOOSE(MATCH(RegimeExecucao,{"Unitário","Global"},0),IF($A402="S",ROUND($H402,ORÇAMENTO!$AF$10),""),ROUND($I402,ORÇAMENTO!$AF$11)),"")</f>
        <v/>
      </c>
      <c r="Y402" s="384">
        <f t="shared" ca="1" si="41"/>
        <v>0</v>
      </c>
      <c r="Z402" s="572"/>
      <c r="AB402" s="382"/>
      <c r="AC402" s="516"/>
      <c r="AD402" s="516"/>
      <c r="AE402" s="516"/>
      <c r="AF402" s="516"/>
      <c r="AG402" s="516"/>
      <c r="AH402" s="516"/>
      <c r="AI402" s="516"/>
      <c r="AJ402" s="516"/>
      <c r="AK402" s="516"/>
      <c r="AL402" s="516"/>
      <c r="AM402" s="383"/>
      <c r="AO402">
        <f ca="1">IF($A402="S",IF(BM!$I402=0,0,CHOOSE(MATCH(RegimeExecucao,{"Global","Unitário"},0),ROUND(ROUND(BM.MEDAcumulado,15-13*BM!$A$9)/100*BM!$I402,15-13*ORÇAMENTO!$AF$11),ROUND(ROUND(BM.MEDAcumulado,15-13*BM!$A$9)*ROUND(BM!$H402,15-13*ORÇAMENTO!$AF$10),15-13*ORÇAMENTO!$AF$11))),IF($A402=0,0,ROUND(SomaAgrupBM,15-13*ORÇAMENTO!$AF$11)))</f>
        <v>0</v>
      </c>
    </row>
    <row r="403" spans="1:41" ht="25.5" x14ac:dyDescent="0.2">
      <c r="A403" t="str">
        <f ca="1">ORÇAMENTO!C403</f>
        <v>S</v>
      </c>
      <c r="B403">
        <f ca="1">ORÇAMENTO!D403</f>
        <v>0</v>
      </c>
      <c r="C403" s="116" t="str">
        <f t="shared" ca="1" si="35"/>
        <v/>
      </c>
      <c r="D403" s="119" t="str">
        <f ca="1">ORÇAMENTO!O403</f>
        <v>-</v>
      </c>
      <c r="E403" s="172" t="str">
        <f t="shared" ca="1" si="36"/>
        <v>(abra o arquivo 'Referência 06-2024.xlsm)</v>
      </c>
      <c r="F403" s="173" t="str">
        <f ca="1">IF(RegimeExecucao="Global","",ORÇAMENTO.Unidade)</f>
        <v/>
      </c>
      <c r="G403" s="124" t="str">
        <f ca="1">IF(RegimeExecucao="Global","",ORÇAMENTO!T403)</f>
        <v/>
      </c>
      <c r="H403" s="124" t="str">
        <f ca="1">IF(RegimeExecucao="Global","",ORÇAMENTO!W403)</f>
        <v/>
      </c>
      <c r="I403" s="127">
        <f ca="1">ORÇAMENTO!X403</f>
        <v>0</v>
      </c>
      <c r="J403" s="378">
        <f ca="1">IF($A403="S",IF(CAIXA.Modo,BM.AFAnterior,BM.MEDAnterior),IF(AND(RegimeExecucao="Global",$I403&gt;0,COUNTIF($AB$13:$AM$13,BM.medicao-1)&gt;0),M403/$I403*100,0))</f>
        <v>0</v>
      </c>
      <c r="K403" s="124">
        <f t="shared" ca="1" si="37"/>
        <v>0</v>
      </c>
      <c r="L403" s="379">
        <f ca="1">IF($A403="S",IF(CAIXA.Modo,BM.AFAcumulado,BM.MEDAcumulado),IF(AND(RegimeExecucao="Global",$I403&gt;0,COUNTIF($AB$13:$AM$13,BM.medicao)&gt;0),O403/$I403*100,0))</f>
        <v>0</v>
      </c>
      <c r="M403" s="380">
        <f ca="1">IF($A403="S",VTOTALBM,IF($A403=0,0,ROUND(SomaAgrupBM,15-13*ORÇAMENTO!$AF$11)))</f>
        <v>0</v>
      </c>
      <c r="N403" s="381">
        <f t="shared" ca="1" si="38"/>
        <v>0</v>
      </c>
      <c r="O403" s="127">
        <f ca="1">IF($A403="S",VTOTALBM,IF($A403=0,0,ROUND(SomaAgrupBM,15-13*ORÇAMENTO!$AF$11)))</f>
        <v>0</v>
      </c>
      <c r="Q403" s="382"/>
      <c r="R403" s="383"/>
      <c r="T403" s="119" t="str">
        <f t="shared" ca="1" si="39"/>
        <v/>
      </c>
      <c r="U403" s="172" t="str">
        <f t="shared" ca="1" si="40"/>
        <v/>
      </c>
      <c r="V403" s="173" t="str">
        <f ca="1">IF(AND($W403&gt;0,RegimeExecucao="Unitário"),$F403,"")</f>
        <v/>
      </c>
      <c r="W403" s="547">
        <f ca="1">IF($Y403&gt;0,CHOOSE(MATCH(RegimeExecucao,{"Unitário","Global"},0),IF($A403="S",$Y403/$X403,""),($Y403/$X403)*100),0)</f>
        <v>0</v>
      </c>
      <c r="X403" s="384" t="str">
        <f ca="1">IF($Y403&gt;0,CHOOSE(MATCH(RegimeExecucao,{"Unitário","Global"},0),IF($A403="S",ROUND($H403,ORÇAMENTO!$AF$10),""),ROUND($I403,ORÇAMENTO!$AF$11)),"")</f>
        <v/>
      </c>
      <c r="Y403" s="384">
        <f t="shared" ca="1" si="41"/>
        <v>0</v>
      </c>
      <c r="Z403" s="572"/>
      <c r="AB403" s="382"/>
      <c r="AC403" s="516"/>
      <c r="AD403" s="516"/>
      <c r="AE403" s="516"/>
      <c r="AF403" s="516"/>
      <c r="AG403" s="516"/>
      <c r="AH403" s="516"/>
      <c r="AI403" s="516"/>
      <c r="AJ403" s="516"/>
      <c r="AK403" s="516"/>
      <c r="AL403" s="516"/>
      <c r="AM403" s="383"/>
      <c r="AO403">
        <f ca="1">IF($A403="S",IF(BM!$I403=0,0,CHOOSE(MATCH(RegimeExecucao,{"Global","Unitário"},0),ROUND(ROUND(BM.MEDAcumulado,15-13*BM!$A$9)/100*BM!$I403,15-13*ORÇAMENTO!$AF$11),ROUND(ROUND(BM.MEDAcumulado,15-13*BM!$A$9)*ROUND(BM!$H403,15-13*ORÇAMENTO!$AF$10),15-13*ORÇAMENTO!$AF$11))),IF($A403=0,0,ROUND(SomaAgrupBM,15-13*ORÇAMENTO!$AF$11)))</f>
        <v>0</v>
      </c>
    </row>
    <row r="404" spans="1:41" ht="25.5" x14ac:dyDescent="0.2">
      <c r="A404" t="str">
        <f ca="1">ORÇAMENTO!C404</f>
        <v>S</v>
      </c>
      <c r="B404">
        <f ca="1">ORÇAMENTO!D404</f>
        <v>0</v>
      </c>
      <c r="C404" s="116" t="str">
        <f t="shared" ca="1" si="35"/>
        <v/>
      </c>
      <c r="D404" s="119" t="str">
        <f ca="1">ORÇAMENTO!O404</f>
        <v>-</v>
      </c>
      <c r="E404" s="172" t="str">
        <f t="shared" ca="1" si="36"/>
        <v>(abra o arquivo 'Referência 06-2024.xlsm)</v>
      </c>
      <c r="F404" s="173" t="str">
        <f ca="1">IF(RegimeExecucao="Global","",ORÇAMENTO.Unidade)</f>
        <v/>
      </c>
      <c r="G404" s="124" t="str">
        <f ca="1">IF(RegimeExecucao="Global","",ORÇAMENTO!T404)</f>
        <v/>
      </c>
      <c r="H404" s="124" t="str">
        <f ca="1">IF(RegimeExecucao="Global","",ORÇAMENTO!W404)</f>
        <v/>
      </c>
      <c r="I404" s="127">
        <f ca="1">ORÇAMENTO!X404</f>
        <v>0</v>
      </c>
      <c r="J404" s="378">
        <f ca="1">IF($A404="S",IF(CAIXA.Modo,BM.AFAnterior,BM.MEDAnterior),IF(AND(RegimeExecucao="Global",$I404&gt;0,COUNTIF($AB$13:$AM$13,BM.medicao-1)&gt;0),M404/$I404*100,0))</f>
        <v>0</v>
      </c>
      <c r="K404" s="124">
        <f t="shared" ca="1" si="37"/>
        <v>0</v>
      </c>
      <c r="L404" s="379">
        <f ca="1">IF($A404="S",IF(CAIXA.Modo,BM.AFAcumulado,BM.MEDAcumulado),IF(AND(RegimeExecucao="Global",$I404&gt;0,COUNTIF($AB$13:$AM$13,BM.medicao)&gt;0),O404/$I404*100,0))</f>
        <v>0</v>
      </c>
      <c r="M404" s="380">
        <f ca="1">IF($A404="S",VTOTALBM,IF($A404=0,0,ROUND(SomaAgrupBM,15-13*ORÇAMENTO!$AF$11)))</f>
        <v>0</v>
      </c>
      <c r="N404" s="381">
        <f t="shared" ca="1" si="38"/>
        <v>0</v>
      </c>
      <c r="O404" s="127">
        <f ca="1">IF($A404="S",VTOTALBM,IF($A404=0,0,ROUND(SomaAgrupBM,15-13*ORÇAMENTO!$AF$11)))</f>
        <v>0</v>
      </c>
      <c r="Q404" s="382"/>
      <c r="R404" s="383"/>
      <c r="T404" s="119" t="str">
        <f t="shared" ca="1" si="39"/>
        <v/>
      </c>
      <c r="U404" s="172" t="str">
        <f t="shared" ca="1" si="40"/>
        <v/>
      </c>
      <c r="V404" s="173" t="str">
        <f ca="1">IF(AND($W404&gt;0,RegimeExecucao="Unitário"),$F404,"")</f>
        <v/>
      </c>
      <c r="W404" s="547">
        <f ca="1">IF($Y404&gt;0,CHOOSE(MATCH(RegimeExecucao,{"Unitário","Global"},0),IF($A404="S",$Y404/$X404,""),($Y404/$X404)*100),0)</f>
        <v>0</v>
      </c>
      <c r="X404" s="384" t="str">
        <f ca="1">IF($Y404&gt;0,CHOOSE(MATCH(RegimeExecucao,{"Unitário","Global"},0),IF($A404="S",ROUND($H404,ORÇAMENTO!$AF$10),""),ROUND($I404,ORÇAMENTO!$AF$11)),"")</f>
        <v/>
      </c>
      <c r="Y404" s="384">
        <f t="shared" ca="1" si="41"/>
        <v>0</v>
      </c>
      <c r="Z404" s="572"/>
      <c r="AB404" s="382"/>
      <c r="AC404" s="516"/>
      <c r="AD404" s="516"/>
      <c r="AE404" s="516"/>
      <c r="AF404" s="516"/>
      <c r="AG404" s="516"/>
      <c r="AH404" s="516"/>
      <c r="AI404" s="516"/>
      <c r="AJ404" s="516"/>
      <c r="AK404" s="516"/>
      <c r="AL404" s="516"/>
      <c r="AM404" s="383"/>
      <c r="AO404">
        <f ca="1">IF($A404="S",IF(BM!$I404=0,0,CHOOSE(MATCH(RegimeExecucao,{"Global","Unitário"},0),ROUND(ROUND(BM.MEDAcumulado,15-13*BM!$A$9)/100*BM!$I404,15-13*ORÇAMENTO!$AF$11),ROUND(ROUND(BM.MEDAcumulado,15-13*BM!$A$9)*ROUND(BM!$H404,15-13*ORÇAMENTO!$AF$10),15-13*ORÇAMENTO!$AF$11))),IF($A404=0,0,ROUND(SomaAgrupBM,15-13*ORÇAMENTO!$AF$11)))</f>
        <v>0</v>
      </c>
    </row>
    <row r="405" spans="1:41" x14ac:dyDescent="0.2">
      <c r="A405" t="str">
        <f ca="1">ORÇAMENTO!C405</f>
        <v>S</v>
      </c>
      <c r="B405">
        <f ca="1">ORÇAMENTO!D405</f>
        <v>0</v>
      </c>
      <c r="C405" s="116" t="str">
        <f t="shared" ca="1" si="35"/>
        <v/>
      </c>
      <c r="D405" s="119" t="str">
        <f ca="1">ORÇAMENTO!O405</f>
        <v>-</v>
      </c>
      <c r="E405" s="172" t="str">
        <f t="shared" ca="1" si="36"/>
        <v>(abra o arquivo 'Referência 06-2024.xlsm)</v>
      </c>
      <c r="F405" s="173" t="str">
        <f ca="1">IF(RegimeExecucao="Global","",ORÇAMENTO.Unidade)</f>
        <v/>
      </c>
      <c r="G405" s="124" t="str">
        <f ca="1">IF(RegimeExecucao="Global","",ORÇAMENTO!T405)</f>
        <v/>
      </c>
      <c r="H405" s="124" t="str">
        <f ca="1">IF(RegimeExecucao="Global","",ORÇAMENTO!W405)</f>
        <v/>
      </c>
      <c r="I405" s="127">
        <f ca="1">ORÇAMENTO!X405</f>
        <v>0</v>
      </c>
      <c r="J405" s="378">
        <f ca="1">IF($A405="S",IF(CAIXA.Modo,BM.AFAnterior,BM.MEDAnterior),IF(AND(RegimeExecucao="Global",$I405&gt;0,COUNTIF($AB$13:$AM$13,BM.medicao-1)&gt;0),M405/$I405*100,0))</f>
        <v>0</v>
      </c>
      <c r="K405" s="124">
        <f t="shared" ca="1" si="37"/>
        <v>0</v>
      </c>
      <c r="L405" s="379">
        <f ca="1">IF($A405="S",IF(CAIXA.Modo,BM.AFAcumulado,BM.MEDAcumulado),IF(AND(RegimeExecucao="Global",$I405&gt;0,COUNTIF($AB$13:$AM$13,BM.medicao)&gt;0),O405/$I405*100,0))</f>
        <v>0</v>
      </c>
      <c r="M405" s="380">
        <f ca="1">IF($A405="S",VTOTALBM,IF($A405=0,0,ROUND(SomaAgrupBM,15-13*ORÇAMENTO!$AF$11)))</f>
        <v>0</v>
      </c>
      <c r="N405" s="381">
        <f t="shared" ca="1" si="38"/>
        <v>0</v>
      </c>
      <c r="O405" s="127">
        <f ca="1">IF($A405="S",VTOTALBM,IF($A405=0,0,ROUND(SomaAgrupBM,15-13*ORÇAMENTO!$AF$11)))</f>
        <v>0</v>
      </c>
      <c r="Q405" s="382"/>
      <c r="R405" s="383"/>
      <c r="T405" s="119" t="str">
        <f t="shared" ca="1" si="39"/>
        <v/>
      </c>
      <c r="U405" s="172" t="str">
        <f t="shared" ca="1" si="40"/>
        <v/>
      </c>
      <c r="V405" s="173" t="str">
        <f ca="1">IF(AND($W405&gt;0,RegimeExecucao="Unitário"),$F405,"")</f>
        <v/>
      </c>
      <c r="W405" s="547">
        <f ca="1">IF($Y405&gt;0,CHOOSE(MATCH(RegimeExecucao,{"Unitário","Global"},0),IF($A405="S",$Y405/$X405,""),($Y405/$X405)*100),0)</f>
        <v>0</v>
      </c>
      <c r="X405" s="384" t="str">
        <f ca="1">IF($Y405&gt;0,CHOOSE(MATCH(RegimeExecucao,{"Unitário","Global"},0),IF($A405="S",ROUND($H405,ORÇAMENTO!$AF$10),""),ROUND($I405,ORÇAMENTO!$AF$11)),"")</f>
        <v/>
      </c>
      <c r="Y405" s="384">
        <f t="shared" ca="1" si="41"/>
        <v>0</v>
      </c>
      <c r="Z405" s="572"/>
      <c r="AB405" s="382"/>
      <c r="AC405" s="516"/>
      <c r="AD405" s="516"/>
      <c r="AE405" s="516"/>
      <c r="AF405" s="516"/>
      <c r="AG405" s="516"/>
      <c r="AH405" s="516"/>
      <c r="AI405" s="516"/>
      <c r="AJ405" s="516"/>
      <c r="AK405" s="516"/>
      <c r="AL405" s="516"/>
      <c r="AM405" s="383"/>
      <c r="AO405">
        <f ca="1">IF($A405="S",IF(BM!$I405=0,0,CHOOSE(MATCH(RegimeExecucao,{"Global","Unitário"},0),ROUND(ROUND(BM.MEDAcumulado,15-13*BM!$A$9)/100*BM!$I405,15-13*ORÇAMENTO!$AF$11),ROUND(ROUND(BM.MEDAcumulado,15-13*BM!$A$9)*ROUND(BM!$H405,15-13*ORÇAMENTO!$AF$10),15-13*ORÇAMENTO!$AF$11))),IF($A405=0,0,ROUND(SomaAgrupBM,15-13*ORÇAMENTO!$AF$11)))</f>
        <v>0</v>
      </c>
    </row>
    <row r="406" spans="1:41" ht="25.5" x14ac:dyDescent="0.2">
      <c r="A406" t="str">
        <f ca="1">ORÇAMENTO!C406</f>
        <v>S</v>
      </c>
      <c r="B406">
        <f ca="1">ORÇAMENTO!D406</f>
        <v>0</v>
      </c>
      <c r="C406" s="116" t="str">
        <f t="shared" ca="1" si="35"/>
        <v/>
      </c>
      <c r="D406" s="119" t="str">
        <f ca="1">ORÇAMENTO!O406</f>
        <v>-</v>
      </c>
      <c r="E406" s="172" t="str">
        <f t="shared" ca="1" si="36"/>
        <v>(abra o arquivo 'Referência 06-2024.xlsm)</v>
      </c>
      <c r="F406" s="173" t="str">
        <f ca="1">IF(RegimeExecucao="Global","",ORÇAMENTO.Unidade)</f>
        <v/>
      </c>
      <c r="G406" s="124" t="str">
        <f ca="1">IF(RegimeExecucao="Global","",ORÇAMENTO!T406)</f>
        <v/>
      </c>
      <c r="H406" s="124" t="str">
        <f ca="1">IF(RegimeExecucao="Global","",ORÇAMENTO!W406)</f>
        <v/>
      </c>
      <c r="I406" s="127">
        <f ca="1">ORÇAMENTO!X406</f>
        <v>0</v>
      </c>
      <c r="J406" s="378">
        <f ca="1">IF($A406="S",IF(CAIXA.Modo,BM.AFAnterior,BM.MEDAnterior),IF(AND(RegimeExecucao="Global",$I406&gt;0,COUNTIF($AB$13:$AM$13,BM.medicao-1)&gt;0),M406/$I406*100,0))</f>
        <v>0</v>
      </c>
      <c r="K406" s="124">
        <f t="shared" ca="1" si="37"/>
        <v>0</v>
      </c>
      <c r="L406" s="379">
        <f ca="1">IF($A406="S",IF(CAIXA.Modo,BM.AFAcumulado,BM.MEDAcumulado),IF(AND(RegimeExecucao="Global",$I406&gt;0,COUNTIF($AB$13:$AM$13,BM.medicao)&gt;0),O406/$I406*100,0))</f>
        <v>0</v>
      </c>
      <c r="M406" s="380">
        <f ca="1">IF($A406="S",VTOTALBM,IF($A406=0,0,ROUND(SomaAgrupBM,15-13*ORÇAMENTO!$AF$11)))</f>
        <v>0</v>
      </c>
      <c r="N406" s="381">
        <f t="shared" ca="1" si="38"/>
        <v>0</v>
      </c>
      <c r="O406" s="127">
        <f ca="1">IF($A406="S",VTOTALBM,IF($A406=0,0,ROUND(SomaAgrupBM,15-13*ORÇAMENTO!$AF$11)))</f>
        <v>0</v>
      </c>
      <c r="Q406" s="382"/>
      <c r="R406" s="383"/>
      <c r="T406" s="119" t="str">
        <f t="shared" ca="1" si="39"/>
        <v/>
      </c>
      <c r="U406" s="172" t="str">
        <f t="shared" ca="1" si="40"/>
        <v/>
      </c>
      <c r="V406" s="173" t="str">
        <f ca="1">IF(AND($W406&gt;0,RegimeExecucao="Unitário"),$F406,"")</f>
        <v/>
      </c>
      <c r="W406" s="547">
        <f ca="1">IF($Y406&gt;0,CHOOSE(MATCH(RegimeExecucao,{"Unitário","Global"},0),IF($A406="S",$Y406/$X406,""),($Y406/$X406)*100),0)</f>
        <v>0</v>
      </c>
      <c r="X406" s="384" t="str">
        <f ca="1">IF($Y406&gt;0,CHOOSE(MATCH(RegimeExecucao,{"Unitário","Global"},0),IF($A406="S",ROUND($H406,ORÇAMENTO!$AF$10),""),ROUND($I406,ORÇAMENTO!$AF$11)),"")</f>
        <v/>
      </c>
      <c r="Y406" s="384">
        <f t="shared" ca="1" si="41"/>
        <v>0</v>
      </c>
      <c r="Z406" s="572"/>
      <c r="AB406" s="382"/>
      <c r="AC406" s="516"/>
      <c r="AD406" s="516"/>
      <c r="AE406" s="516"/>
      <c r="AF406" s="516"/>
      <c r="AG406" s="516"/>
      <c r="AH406" s="516"/>
      <c r="AI406" s="516"/>
      <c r="AJ406" s="516"/>
      <c r="AK406" s="516"/>
      <c r="AL406" s="516"/>
      <c r="AM406" s="383"/>
      <c r="AO406">
        <f ca="1">IF($A406="S",IF(BM!$I406=0,0,CHOOSE(MATCH(RegimeExecucao,{"Global","Unitário"},0),ROUND(ROUND(BM.MEDAcumulado,15-13*BM!$A$9)/100*BM!$I406,15-13*ORÇAMENTO!$AF$11),ROUND(ROUND(BM.MEDAcumulado,15-13*BM!$A$9)*ROUND(BM!$H406,15-13*ORÇAMENTO!$AF$10),15-13*ORÇAMENTO!$AF$11))),IF($A406=0,0,ROUND(SomaAgrupBM,15-13*ORÇAMENTO!$AF$11)))</f>
        <v>0</v>
      </c>
    </row>
    <row r="407" spans="1:41" ht="38.25" x14ac:dyDescent="0.2">
      <c r="A407" t="str">
        <f ca="1">ORÇAMENTO!C407</f>
        <v>S</v>
      </c>
      <c r="B407">
        <f ca="1">ORÇAMENTO!D407</f>
        <v>0</v>
      </c>
      <c r="C407" s="116" t="str">
        <f t="shared" ca="1" si="35"/>
        <v/>
      </c>
      <c r="D407" s="119" t="str">
        <f ca="1">ORÇAMENTO!O407</f>
        <v>-</v>
      </c>
      <c r="E407" s="172" t="str">
        <f t="shared" ca="1" si="36"/>
        <v>(abra o arquivo 'Referência 06-2024.xlsm)</v>
      </c>
      <c r="F407" s="173" t="str">
        <f ca="1">IF(RegimeExecucao="Global","",ORÇAMENTO.Unidade)</f>
        <v/>
      </c>
      <c r="G407" s="124" t="str">
        <f ca="1">IF(RegimeExecucao="Global","",ORÇAMENTO!T407)</f>
        <v/>
      </c>
      <c r="H407" s="124" t="str">
        <f ca="1">IF(RegimeExecucao="Global","",ORÇAMENTO!W407)</f>
        <v/>
      </c>
      <c r="I407" s="127">
        <f ca="1">ORÇAMENTO!X407</f>
        <v>0</v>
      </c>
      <c r="J407" s="378">
        <f ca="1">IF($A407="S",IF(CAIXA.Modo,BM.AFAnterior,BM.MEDAnterior),IF(AND(RegimeExecucao="Global",$I407&gt;0,COUNTIF($AB$13:$AM$13,BM.medicao-1)&gt;0),M407/$I407*100,0))</f>
        <v>0</v>
      </c>
      <c r="K407" s="124">
        <f t="shared" ca="1" si="37"/>
        <v>0</v>
      </c>
      <c r="L407" s="379">
        <f ca="1">IF($A407="S",IF(CAIXA.Modo,BM.AFAcumulado,BM.MEDAcumulado),IF(AND(RegimeExecucao="Global",$I407&gt;0,COUNTIF($AB$13:$AM$13,BM.medicao)&gt;0),O407/$I407*100,0))</f>
        <v>0</v>
      </c>
      <c r="M407" s="380">
        <f ca="1">IF($A407="S",VTOTALBM,IF($A407=0,0,ROUND(SomaAgrupBM,15-13*ORÇAMENTO!$AF$11)))</f>
        <v>0</v>
      </c>
      <c r="N407" s="381">
        <f t="shared" ca="1" si="38"/>
        <v>0</v>
      </c>
      <c r="O407" s="127">
        <f ca="1">IF($A407="S",VTOTALBM,IF($A407=0,0,ROUND(SomaAgrupBM,15-13*ORÇAMENTO!$AF$11)))</f>
        <v>0</v>
      </c>
      <c r="Q407" s="382"/>
      <c r="R407" s="383"/>
      <c r="T407" s="119" t="str">
        <f t="shared" ca="1" si="39"/>
        <v/>
      </c>
      <c r="U407" s="172" t="str">
        <f t="shared" ca="1" si="40"/>
        <v/>
      </c>
      <c r="V407" s="173" t="str">
        <f ca="1">IF(AND($W407&gt;0,RegimeExecucao="Unitário"),$F407,"")</f>
        <v/>
      </c>
      <c r="W407" s="547">
        <f ca="1">IF($Y407&gt;0,CHOOSE(MATCH(RegimeExecucao,{"Unitário","Global"},0),IF($A407="S",$Y407/$X407,""),($Y407/$X407)*100),0)</f>
        <v>0</v>
      </c>
      <c r="X407" s="384" t="str">
        <f ca="1">IF($Y407&gt;0,CHOOSE(MATCH(RegimeExecucao,{"Unitário","Global"},0),IF($A407="S",ROUND($H407,ORÇAMENTO!$AF$10),""),ROUND($I407,ORÇAMENTO!$AF$11)),"")</f>
        <v/>
      </c>
      <c r="Y407" s="384">
        <f t="shared" ca="1" si="41"/>
        <v>0</v>
      </c>
      <c r="Z407" s="572"/>
      <c r="AB407" s="382"/>
      <c r="AC407" s="516"/>
      <c r="AD407" s="516"/>
      <c r="AE407" s="516"/>
      <c r="AF407" s="516"/>
      <c r="AG407" s="516"/>
      <c r="AH407" s="516"/>
      <c r="AI407" s="516"/>
      <c r="AJ407" s="516"/>
      <c r="AK407" s="516"/>
      <c r="AL407" s="516"/>
      <c r="AM407" s="383"/>
      <c r="AO407">
        <f ca="1">IF($A407="S",IF(BM!$I407=0,0,CHOOSE(MATCH(RegimeExecucao,{"Global","Unitário"},0),ROUND(ROUND(BM.MEDAcumulado,15-13*BM!$A$9)/100*BM!$I407,15-13*ORÇAMENTO!$AF$11),ROUND(ROUND(BM.MEDAcumulado,15-13*BM!$A$9)*ROUND(BM!$H407,15-13*ORÇAMENTO!$AF$10),15-13*ORÇAMENTO!$AF$11))),IF($A407=0,0,ROUND(SomaAgrupBM,15-13*ORÇAMENTO!$AF$11)))</f>
        <v>0</v>
      </c>
    </row>
    <row r="408" spans="1:41" ht="38.25" x14ac:dyDescent="0.2">
      <c r="A408" t="str">
        <f ca="1">ORÇAMENTO!C408</f>
        <v>S</v>
      </c>
      <c r="B408">
        <f ca="1">ORÇAMENTO!D408</f>
        <v>0</v>
      </c>
      <c r="C408" s="116" t="str">
        <f t="shared" ca="1" si="35"/>
        <v/>
      </c>
      <c r="D408" s="119" t="str">
        <f ca="1">ORÇAMENTO!O408</f>
        <v>-</v>
      </c>
      <c r="E408" s="172" t="str">
        <f t="shared" ca="1" si="36"/>
        <v>(abra o arquivo 'Referência 06-2024.xlsm)</v>
      </c>
      <c r="F408" s="173" t="str">
        <f ca="1">IF(RegimeExecucao="Global","",ORÇAMENTO.Unidade)</f>
        <v/>
      </c>
      <c r="G408" s="124" t="str">
        <f ca="1">IF(RegimeExecucao="Global","",ORÇAMENTO!T408)</f>
        <v/>
      </c>
      <c r="H408" s="124" t="str">
        <f ca="1">IF(RegimeExecucao="Global","",ORÇAMENTO!W408)</f>
        <v/>
      </c>
      <c r="I408" s="127">
        <f ca="1">ORÇAMENTO!X408</f>
        <v>0</v>
      </c>
      <c r="J408" s="378">
        <f ca="1">IF($A408="S",IF(CAIXA.Modo,BM.AFAnterior,BM.MEDAnterior),IF(AND(RegimeExecucao="Global",$I408&gt;0,COUNTIF($AB$13:$AM$13,BM.medicao-1)&gt;0),M408/$I408*100,0))</f>
        <v>0</v>
      </c>
      <c r="K408" s="124">
        <f t="shared" ca="1" si="37"/>
        <v>0</v>
      </c>
      <c r="L408" s="379">
        <f ca="1">IF($A408="S",IF(CAIXA.Modo,BM.AFAcumulado,BM.MEDAcumulado),IF(AND(RegimeExecucao="Global",$I408&gt;0,COUNTIF($AB$13:$AM$13,BM.medicao)&gt;0),O408/$I408*100,0))</f>
        <v>0</v>
      </c>
      <c r="M408" s="380">
        <f ca="1">IF($A408="S",VTOTALBM,IF($A408=0,0,ROUND(SomaAgrupBM,15-13*ORÇAMENTO!$AF$11)))</f>
        <v>0</v>
      </c>
      <c r="N408" s="381">
        <f t="shared" ca="1" si="38"/>
        <v>0</v>
      </c>
      <c r="O408" s="127">
        <f ca="1">IF($A408="S",VTOTALBM,IF($A408=0,0,ROUND(SomaAgrupBM,15-13*ORÇAMENTO!$AF$11)))</f>
        <v>0</v>
      </c>
      <c r="Q408" s="382"/>
      <c r="R408" s="383"/>
      <c r="T408" s="119" t="str">
        <f t="shared" ca="1" si="39"/>
        <v/>
      </c>
      <c r="U408" s="172" t="str">
        <f t="shared" ca="1" si="40"/>
        <v/>
      </c>
      <c r="V408" s="173" t="str">
        <f ca="1">IF(AND($W408&gt;0,RegimeExecucao="Unitário"),$F408,"")</f>
        <v/>
      </c>
      <c r="W408" s="547">
        <f ca="1">IF($Y408&gt;0,CHOOSE(MATCH(RegimeExecucao,{"Unitário","Global"},0),IF($A408="S",$Y408/$X408,""),($Y408/$X408)*100),0)</f>
        <v>0</v>
      </c>
      <c r="X408" s="384" t="str">
        <f ca="1">IF($Y408&gt;0,CHOOSE(MATCH(RegimeExecucao,{"Unitário","Global"},0),IF($A408="S",ROUND($H408,ORÇAMENTO!$AF$10),""),ROUND($I408,ORÇAMENTO!$AF$11)),"")</f>
        <v/>
      </c>
      <c r="Y408" s="384">
        <f t="shared" ca="1" si="41"/>
        <v>0</v>
      </c>
      <c r="Z408" s="572"/>
      <c r="AB408" s="382"/>
      <c r="AC408" s="516"/>
      <c r="AD408" s="516"/>
      <c r="AE408" s="516"/>
      <c r="AF408" s="516"/>
      <c r="AG408" s="516"/>
      <c r="AH408" s="516"/>
      <c r="AI408" s="516"/>
      <c r="AJ408" s="516"/>
      <c r="AK408" s="516"/>
      <c r="AL408" s="516"/>
      <c r="AM408" s="383"/>
      <c r="AO408">
        <f ca="1">IF($A408="S",IF(BM!$I408=0,0,CHOOSE(MATCH(RegimeExecucao,{"Global","Unitário"},0),ROUND(ROUND(BM.MEDAcumulado,15-13*BM!$A$9)/100*BM!$I408,15-13*ORÇAMENTO!$AF$11),ROUND(ROUND(BM.MEDAcumulado,15-13*BM!$A$9)*ROUND(BM!$H408,15-13*ORÇAMENTO!$AF$10),15-13*ORÇAMENTO!$AF$11))),IF($A408=0,0,ROUND(SomaAgrupBM,15-13*ORÇAMENTO!$AF$11)))</f>
        <v>0</v>
      </c>
    </row>
    <row r="409" spans="1:41" ht="25.5" x14ac:dyDescent="0.2">
      <c r="A409" t="str">
        <f ca="1">ORÇAMENTO!C409</f>
        <v>S</v>
      </c>
      <c r="B409">
        <f ca="1">ORÇAMENTO!D409</f>
        <v>0</v>
      </c>
      <c r="C409" s="116" t="str">
        <f t="shared" ca="1" si="35"/>
        <v/>
      </c>
      <c r="D409" s="119" t="str">
        <f ca="1">ORÇAMENTO!O409</f>
        <v>-</v>
      </c>
      <c r="E409" s="172" t="str">
        <f t="shared" ca="1" si="36"/>
        <v>(abra o arquivo 'Referência 06-2024.xlsm)</v>
      </c>
      <c r="F409" s="173" t="str">
        <f ca="1">IF(RegimeExecucao="Global","",ORÇAMENTO.Unidade)</f>
        <v/>
      </c>
      <c r="G409" s="124" t="str">
        <f ca="1">IF(RegimeExecucao="Global","",ORÇAMENTO!T409)</f>
        <v/>
      </c>
      <c r="H409" s="124" t="str">
        <f ca="1">IF(RegimeExecucao="Global","",ORÇAMENTO!W409)</f>
        <v/>
      </c>
      <c r="I409" s="127">
        <f ca="1">ORÇAMENTO!X409</f>
        <v>0</v>
      </c>
      <c r="J409" s="378">
        <f ca="1">IF($A409="S",IF(CAIXA.Modo,BM.AFAnterior,BM.MEDAnterior),IF(AND(RegimeExecucao="Global",$I409&gt;0,COUNTIF($AB$13:$AM$13,BM.medicao-1)&gt;0),M409/$I409*100,0))</f>
        <v>0</v>
      </c>
      <c r="K409" s="124">
        <f t="shared" ca="1" si="37"/>
        <v>0</v>
      </c>
      <c r="L409" s="379">
        <f ca="1">IF($A409="S",IF(CAIXA.Modo,BM.AFAcumulado,BM.MEDAcumulado),IF(AND(RegimeExecucao="Global",$I409&gt;0,COUNTIF($AB$13:$AM$13,BM.medicao)&gt;0),O409/$I409*100,0))</f>
        <v>0</v>
      </c>
      <c r="M409" s="380">
        <f ca="1">IF($A409="S",VTOTALBM,IF($A409=0,0,ROUND(SomaAgrupBM,15-13*ORÇAMENTO!$AF$11)))</f>
        <v>0</v>
      </c>
      <c r="N409" s="381">
        <f t="shared" ca="1" si="38"/>
        <v>0</v>
      </c>
      <c r="O409" s="127">
        <f ca="1">IF($A409="S",VTOTALBM,IF($A409=0,0,ROUND(SomaAgrupBM,15-13*ORÇAMENTO!$AF$11)))</f>
        <v>0</v>
      </c>
      <c r="Q409" s="382"/>
      <c r="R409" s="383"/>
      <c r="T409" s="119" t="str">
        <f t="shared" ca="1" si="39"/>
        <v/>
      </c>
      <c r="U409" s="172" t="str">
        <f t="shared" ca="1" si="40"/>
        <v/>
      </c>
      <c r="V409" s="173" t="str">
        <f ca="1">IF(AND($W409&gt;0,RegimeExecucao="Unitário"),$F409,"")</f>
        <v/>
      </c>
      <c r="W409" s="547">
        <f ca="1">IF($Y409&gt;0,CHOOSE(MATCH(RegimeExecucao,{"Unitário","Global"},0),IF($A409="S",$Y409/$X409,""),($Y409/$X409)*100),0)</f>
        <v>0</v>
      </c>
      <c r="X409" s="384" t="str">
        <f ca="1">IF($Y409&gt;0,CHOOSE(MATCH(RegimeExecucao,{"Unitário","Global"},0),IF($A409="S",ROUND($H409,ORÇAMENTO!$AF$10),""),ROUND($I409,ORÇAMENTO!$AF$11)),"")</f>
        <v/>
      </c>
      <c r="Y409" s="384">
        <f t="shared" ca="1" si="41"/>
        <v>0</v>
      </c>
      <c r="Z409" s="572"/>
      <c r="AB409" s="382"/>
      <c r="AC409" s="516"/>
      <c r="AD409" s="516"/>
      <c r="AE409" s="516"/>
      <c r="AF409" s="516"/>
      <c r="AG409" s="516"/>
      <c r="AH409" s="516"/>
      <c r="AI409" s="516"/>
      <c r="AJ409" s="516"/>
      <c r="AK409" s="516"/>
      <c r="AL409" s="516"/>
      <c r="AM409" s="383"/>
      <c r="AO409">
        <f ca="1">IF($A409="S",IF(BM!$I409=0,0,CHOOSE(MATCH(RegimeExecucao,{"Global","Unitário"},0),ROUND(ROUND(BM.MEDAcumulado,15-13*BM!$A$9)/100*BM!$I409,15-13*ORÇAMENTO!$AF$11),ROUND(ROUND(BM.MEDAcumulado,15-13*BM!$A$9)*ROUND(BM!$H409,15-13*ORÇAMENTO!$AF$10),15-13*ORÇAMENTO!$AF$11))),IF($A409=0,0,ROUND(SomaAgrupBM,15-13*ORÇAMENTO!$AF$11)))</f>
        <v>0</v>
      </c>
    </row>
    <row r="410" spans="1:41" ht="38.25" x14ac:dyDescent="0.2">
      <c r="A410" t="str">
        <f ca="1">ORÇAMENTO!C410</f>
        <v>S</v>
      </c>
      <c r="B410">
        <f ca="1">ORÇAMENTO!D410</f>
        <v>0</v>
      </c>
      <c r="C410" s="116" t="str">
        <f t="shared" ca="1" si="35"/>
        <v/>
      </c>
      <c r="D410" s="119" t="str">
        <f ca="1">ORÇAMENTO!O410</f>
        <v>-</v>
      </c>
      <c r="E410" s="172" t="str">
        <f t="shared" ca="1" si="36"/>
        <v>(abra o arquivo 'Referência 06-2024.xlsm)</v>
      </c>
      <c r="F410" s="173" t="str">
        <f ca="1">IF(RegimeExecucao="Global","",ORÇAMENTO.Unidade)</f>
        <v/>
      </c>
      <c r="G410" s="124" t="str">
        <f ca="1">IF(RegimeExecucao="Global","",ORÇAMENTO!T410)</f>
        <v/>
      </c>
      <c r="H410" s="124" t="str">
        <f ca="1">IF(RegimeExecucao="Global","",ORÇAMENTO!W410)</f>
        <v/>
      </c>
      <c r="I410" s="127">
        <f ca="1">ORÇAMENTO!X410</f>
        <v>0</v>
      </c>
      <c r="J410" s="378">
        <f ca="1">IF($A410="S",IF(CAIXA.Modo,BM.AFAnterior,BM.MEDAnterior),IF(AND(RegimeExecucao="Global",$I410&gt;0,COUNTIF($AB$13:$AM$13,BM.medicao-1)&gt;0),M410/$I410*100,0))</f>
        <v>0</v>
      </c>
      <c r="K410" s="124">
        <f t="shared" ca="1" si="37"/>
        <v>0</v>
      </c>
      <c r="L410" s="379">
        <f ca="1">IF($A410="S",IF(CAIXA.Modo,BM.AFAcumulado,BM.MEDAcumulado),IF(AND(RegimeExecucao="Global",$I410&gt;0,COUNTIF($AB$13:$AM$13,BM.medicao)&gt;0),O410/$I410*100,0))</f>
        <v>0</v>
      </c>
      <c r="M410" s="380">
        <f ca="1">IF($A410="S",VTOTALBM,IF($A410=0,0,ROUND(SomaAgrupBM,15-13*ORÇAMENTO!$AF$11)))</f>
        <v>0</v>
      </c>
      <c r="N410" s="381">
        <f t="shared" ca="1" si="38"/>
        <v>0</v>
      </c>
      <c r="O410" s="127">
        <f ca="1">IF($A410="S",VTOTALBM,IF($A410=0,0,ROUND(SomaAgrupBM,15-13*ORÇAMENTO!$AF$11)))</f>
        <v>0</v>
      </c>
      <c r="Q410" s="382"/>
      <c r="R410" s="383"/>
      <c r="T410" s="119" t="str">
        <f t="shared" ca="1" si="39"/>
        <v/>
      </c>
      <c r="U410" s="172" t="str">
        <f t="shared" ca="1" si="40"/>
        <v/>
      </c>
      <c r="V410" s="173" t="str">
        <f ca="1">IF(AND($W410&gt;0,RegimeExecucao="Unitário"),$F410,"")</f>
        <v/>
      </c>
      <c r="W410" s="547">
        <f ca="1">IF($Y410&gt;0,CHOOSE(MATCH(RegimeExecucao,{"Unitário","Global"},0),IF($A410="S",$Y410/$X410,""),($Y410/$X410)*100),0)</f>
        <v>0</v>
      </c>
      <c r="X410" s="384" t="str">
        <f ca="1">IF($Y410&gt;0,CHOOSE(MATCH(RegimeExecucao,{"Unitário","Global"},0),IF($A410="S",ROUND($H410,ORÇAMENTO!$AF$10),""),ROUND($I410,ORÇAMENTO!$AF$11)),"")</f>
        <v/>
      </c>
      <c r="Y410" s="384">
        <f t="shared" ca="1" si="41"/>
        <v>0</v>
      </c>
      <c r="Z410" s="572"/>
      <c r="AB410" s="382"/>
      <c r="AC410" s="516"/>
      <c r="AD410" s="516"/>
      <c r="AE410" s="516"/>
      <c r="AF410" s="516"/>
      <c r="AG410" s="516"/>
      <c r="AH410" s="516"/>
      <c r="AI410" s="516"/>
      <c r="AJ410" s="516"/>
      <c r="AK410" s="516"/>
      <c r="AL410" s="516"/>
      <c r="AM410" s="383"/>
      <c r="AO410">
        <f ca="1">IF($A410="S",IF(BM!$I410=0,0,CHOOSE(MATCH(RegimeExecucao,{"Global","Unitário"},0),ROUND(ROUND(BM.MEDAcumulado,15-13*BM!$A$9)/100*BM!$I410,15-13*ORÇAMENTO!$AF$11),ROUND(ROUND(BM.MEDAcumulado,15-13*BM!$A$9)*ROUND(BM!$H410,15-13*ORÇAMENTO!$AF$10),15-13*ORÇAMENTO!$AF$11))),IF($A410=0,0,ROUND(SomaAgrupBM,15-13*ORÇAMENTO!$AF$11)))</f>
        <v>0</v>
      </c>
    </row>
    <row r="411" spans="1:41" x14ac:dyDescent="0.2">
      <c r="A411" t="str">
        <f ca="1">ORÇAMENTO!C411</f>
        <v>S</v>
      </c>
      <c r="B411">
        <f ca="1">ORÇAMENTO!D411</f>
        <v>0</v>
      </c>
      <c r="C411" s="116" t="str">
        <f t="shared" ca="1" si="35"/>
        <v/>
      </c>
      <c r="D411" s="119" t="str">
        <f ca="1">ORÇAMENTO!O411</f>
        <v>-</v>
      </c>
      <c r="E411" s="172" t="str">
        <f t="shared" ca="1" si="36"/>
        <v>(abra o arquivo 'Referência 06-2024.xlsm)</v>
      </c>
      <c r="F411" s="173" t="str">
        <f ca="1">IF(RegimeExecucao="Global","",ORÇAMENTO.Unidade)</f>
        <v/>
      </c>
      <c r="G411" s="124" t="str">
        <f ca="1">IF(RegimeExecucao="Global","",ORÇAMENTO!T411)</f>
        <v/>
      </c>
      <c r="H411" s="124" t="str">
        <f ca="1">IF(RegimeExecucao="Global","",ORÇAMENTO!W411)</f>
        <v/>
      </c>
      <c r="I411" s="127">
        <f ca="1">ORÇAMENTO!X411</f>
        <v>0</v>
      </c>
      <c r="J411" s="378">
        <f ca="1">IF($A411="S",IF(CAIXA.Modo,BM.AFAnterior,BM.MEDAnterior),IF(AND(RegimeExecucao="Global",$I411&gt;0,COUNTIF($AB$13:$AM$13,BM.medicao-1)&gt;0),M411/$I411*100,0))</f>
        <v>0</v>
      </c>
      <c r="K411" s="124">
        <f t="shared" ca="1" si="37"/>
        <v>0</v>
      </c>
      <c r="L411" s="379">
        <f ca="1">IF($A411="S",IF(CAIXA.Modo,BM.AFAcumulado,BM.MEDAcumulado),IF(AND(RegimeExecucao="Global",$I411&gt;0,COUNTIF($AB$13:$AM$13,BM.medicao)&gt;0),O411/$I411*100,0))</f>
        <v>0</v>
      </c>
      <c r="M411" s="380">
        <f ca="1">IF($A411="S",VTOTALBM,IF($A411=0,0,ROUND(SomaAgrupBM,15-13*ORÇAMENTO!$AF$11)))</f>
        <v>0</v>
      </c>
      <c r="N411" s="381">
        <f t="shared" ca="1" si="38"/>
        <v>0</v>
      </c>
      <c r="O411" s="127">
        <f ca="1">IF($A411="S",VTOTALBM,IF($A411=0,0,ROUND(SomaAgrupBM,15-13*ORÇAMENTO!$AF$11)))</f>
        <v>0</v>
      </c>
      <c r="Q411" s="382"/>
      <c r="R411" s="383"/>
      <c r="T411" s="119" t="str">
        <f t="shared" ca="1" si="39"/>
        <v/>
      </c>
      <c r="U411" s="172" t="str">
        <f t="shared" ca="1" si="40"/>
        <v/>
      </c>
      <c r="V411" s="173" t="str">
        <f ca="1">IF(AND($W411&gt;0,RegimeExecucao="Unitário"),$F411,"")</f>
        <v/>
      </c>
      <c r="W411" s="547">
        <f ca="1">IF($Y411&gt;0,CHOOSE(MATCH(RegimeExecucao,{"Unitário","Global"},0),IF($A411="S",$Y411/$X411,""),($Y411/$X411)*100),0)</f>
        <v>0</v>
      </c>
      <c r="X411" s="384" t="str">
        <f ca="1">IF($Y411&gt;0,CHOOSE(MATCH(RegimeExecucao,{"Unitário","Global"},0),IF($A411="S",ROUND($H411,ORÇAMENTO!$AF$10),""),ROUND($I411,ORÇAMENTO!$AF$11)),"")</f>
        <v/>
      </c>
      <c r="Y411" s="384">
        <f t="shared" ca="1" si="41"/>
        <v>0</v>
      </c>
      <c r="Z411" s="572"/>
      <c r="AB411" s="382"/>
      <c r="AC411" s="516"/>
      <c r="AD411" s="516"/>
      <c r="AE411" s="516"/>
      <c r="AF411" s="516"/>
      <c r="AG411" s="516"/>
      <c r="AH411" s="516"/>
      <c r="AI411" s="516"/>
      <c r="AJ411" s="516"/>
      <c r="AK411" s="516"/>
      <c r="AL411" s="516"/>
      <c r="AM411" s="383"/>
      <c r="AO411">
        <f ca="1">IF($A411="S",IF(BM!$I411=0,0,CHOOSE(MATCH(RegimeExecucao,{"Global","Unitário"},0),ROUND(ROUND(BM.MEDAcumulado,15-13*BM!$A$9)/100*BM!$I411,15-13*ORÇAMENTO!$AF$11),ROUND(ROUND(BM.MEDAcumulado,15-13*BM!$A$9)*ROUND(BM!$H411,15-13*ORÇAMENTO!$AF$10),15-13*ORÇAMENTO!$AF$11))),IF($A411=0,0,ROUND(SomaAgrupBM,15-13*ORÇAMENTO!$AF$11)))</f>
        <v>0</v>
      </c>
    </row>
    <row r="412" spans="1:41" ht="38.25" x14ac:dyDescent="0.2">
      <c r="A412" t="str">
        <f ca="1">ORÇAMENTO!C412</f>
        <v>S</v>
      </c>
      <c r="B412">
        <f ca="1">ORÇAMENTO!D412</f>
        <v>0</v>
      </c>
      <c r="C412" s="116" t="str">
        <f t="shared" ca="1" si="35"/>
        <v/>
      </c>
      <c r="D412" s="119" t="str">
        <f ca="1">ORÇAMENTO!O412</f>
        <v>-</v>
      </c>
      <c r="E412" s="172" t="str">
        <f t="shared" ca="1" si="36"/>
        <v>(abra o arquivo 'Referência 06-2024.xlsm)</v>
      </c>
      <c r="F412" s="173" t="str">
        <f ca="1">IF(RegimeExecucao="Global","",ORÇAMENTO.Unidade)</f>
        <v/>
      </c>
      <c r="G412" s="124" t="str">
        <f ca="1">IF(RegimeExecucao="Global","",ORÇAMENTO!T412)</f>
        <v/>
      </c>
      <c r="H412" s="124" t="str">
        <f ca="1">IF(RegimeExecucao="Global","",ORÇAMENTO!W412)</f>
        <v/>
      </c>
      <c r="I412" s="127">
        <f ca="1">ORÇAMENTO!X412</f>
        <v>0</v>
      </c>
      <c r="J412" s="378">
        <f ca="1">IF($A412="S",IF(CAIXA.Modo,BM.AFAnterior,BM.MEDAnterior),IF(AND(RegimeExecucao="Global",$I412&gt;0,COUNTIF($AB$13:$AM$13,BM.medicao-1)&gt;0),M412/$I412*100,0))</f>
        <v>0</v>
      </c>
      <c r="K412" s="124">
        <f t="shared" ca="1" si="37"/>
        <v>0</v>
      </c>
      <c r="L412" s="379">
        <f ca="1">IF($A412="S",IF(CAIXA.Modo,BM.AFAcumulado,BM.MEDAcumulado),IF(AND(RegimeExecucao="Global",$I412&gt;0,COUNTIF($AB$13:$AM$13,BM.medicao)&gt;0),O412/$I412*100,0))</f>
        <v>0</v>
      </c>
      <c r="M412" s="380">
        <f ca="1">IF($A412="S",VTOTALBM,IF($A412=0,0,ROUND(SomaAgrupBM,15-13*ORÇAMENTO!$AF$11)))</f>
        <v>0</v>
      </c>
      <c r="N412" s="381">
        <f t="shared" ca="1" si="38"/>
        <v>0</v>
      </c>
      <c r="O412" s="127">
        <f ca="1">IF($A412="S",VTOTALBM,IF($A412=0,0,ROUND(SomaAgrupBM,15-13*ORÇAMENTO!$AF$11)))</f>
        <v>0</v>
      </c>
      <c r="Q412" s="382"/>
      <c r="R412" s="383"/>
      <c r="T412" s="119" t="str">
        <f t="shared" ca="1" si="39"/>
        <v/>
      </c>
      <c r="U412" s="172" t="str">
        <f t="shared" ca="1" si="40"/>
        <v/>
      </c>
      <c r="V412" s="173" t="str">
        <f ca="1">IF(AND($W412&gt;0,RegimeExecucao="Unitário"),$F412,"")</f>
        <v/>
      </c>
      <c r="W412" s="547">
        <f ca="1">IF($Y412&gt;0,CHOOSE(MATCH(RegimeExecucao,{"Unitário","Global"},0),IF($A412="S",$Y412/$X412,""),($Y412/$X412)*100),0)</f>
        <v>0</v>
      </c>
      <c r="X412" s="384" t="str">
        <f ca="1">IF($Y412&gt;0,CHOOSE(MATCH(RegimeExecucao,{"Unitário","Global"},0),IF($A412="S",ROUND($H412,ORÇAMENTO!$AF$10),""),ROUND($I412,ORÇAMENTO!$AF$11)),"")</f>
        <v/>
      </c>
      <c r="Y412" s="384">
        <f t="shared" ca="1" si="41"/>
        <v>0</v>
      </c>
      <c r="Z412" s="572"/>
      <c r="AB412" s="382"/>
      <c r="AC412" s="516"/>
      <c r="AD412" s="516"/>
      <c r="AE412" s="516"/>
      <c r="AF412" s="516"/>
      <c r="AG412" s="516"/>
      <c r="AH412" s="516"/>
      <c r="AI412" s="516"/>
      <c r="AJ412" s="516"/>
      <c r="AK412" s="516"/>
      <c r="AL412" s="516"/>
      <c r="AM412" s="383"/>
      <c r="AO412">
        <f ca="1">IF($A412="S",IF(BM!$I412=0,0,CHOOSE(MATCH(RegimeExecucao,{"Global","Unitário"},0),ROUND(ROUND(BM.MEDAcumulado,15-13*BM!$A$9)/100*BM!$I412,15-13*ORÇAMENTO!$AF$11),ROUND(ROUND(BM.MEDAcumulado,15-13*BM!$A$9)*ROUND(BM!$H412,15-13*ORÇAMENTO!$AF$10),15-13*ORÇAMENTO!$AF$11))),IF($A412=0,0,ROUND(SomaAgrupBM,15-13*ORÇAMENTO!$AF$11)))</f>
        <v>0</v>
      </c>
    </row>
    <row r="413" spans="1:41" ht="38.25" x14ac:dyDescent="0.2">
      <c r="A413" t="str">
        <f ca="1">ORÇAMENTO!C413</f>
        <v>S</v>
      </c>
      <c r="B413">
        <f ca="1">ORÇAMENTO!D413</f>
        <v>0</v>
      </c>
      <c r="C413" s="116" t="str">
        <f t="shared" ca="1" si="35"/>
        <v/>
      </c>
      <c r="D413" s="119" t="str">
        <f ca="1">ORÇAMENTO!O413</f>
        <v>-</v>
      </c>
      <c r="E413" s="172" t="str">
        <f t="shared" ca="1" si="36"/>
        <v>(abra o arquivo 'Referência 06-2024.xlsm)</v>
      </c>
      <c r="F413" s="173" t="str">
        <f ca="1">IF(RegimeExecucao="Global","",ORÇAMENTO.Unidade)</f>
        <v/>
      </c>
      <c r="G413" s="124" t="str">
        <f ca="1">IF(RegimeExecucao="Global","",ORÇAMENTO!T413)</f>
        <v/>
      </c>
      <c r="H413" s="124" t="str">
        <f ca="1">IF(RegimeExecucao="Global","",ORÇAMENTO!W413)</f>
        <v/>
      </c>
      <c r="I413" s="127">
        <f ca="1">ORÇAMENTO!X413</f>
        <v>0</v>
      </c>
      <c r="J413" s="378">
        <f ca="1">IF($A413="S",IF(CAIXA.Modo,BM.AFAnterior,BM.MEDAnterior),IF(AND(RegimeExecucao="Global",$I413&gt;0,COUNTIF($AB$13:$AM$13,BM.medicao-1)&gt;0),M413/$I413*100,0))</f>
        <v>0</v>
      </c>
      <c r="K413" s="124">
        <f t="shared" ca="1" si="37"/>
        <v>0</v>
      </c>
      <c r="L413" s="379">
        <f ca="1">IF($A413="S",IF(CAIXA.Modo,BM.AFAcumulado,BM.MEDAcumulado),IF(AND(RegimeExecucao="Global",$I413&gt;0,COUNTIF($AB$13:$AM$13,BM.medicao)&gt;0),O413/$I413*100,0))</f>
        <v>0</v>
      </c>
      <c r="M413" s="380">
        <f ca="1">IF($A413="S",VTOTALBM,IF($A413=0,0,ROUND(SomaAgrupBM,15-13*ORÇAMENTO!$AF$11)))</f>
        <v>0</v>
      </c>
      <c r="N413" s="381">
        <f t="shared" ca="1" si="38"/>
        <v>0</v>
      </c>
      <c r="O413" s="127">
        <f ca="1">IF($A413="S",VTOTALBM,IF($A413=0,0,ROUND(SomaAgrupBM,15-13*ORÇAMENTO!$AF$11)))</f>
        <v>0</v>
      </c>
      <c r="Q413" s="382"/>
      <c r="R413" s="383"/>
      <c r="T413" s="119" t="str">
        <f t="shared" ca="1" si="39"/>
        <v/>
      </c>
      <c r="U413" s="172" t="str">
        <f t="shared" ca="1" si="40"/>
        <v/>
      </c>
      <c r="V413" s="173" t="str">
        <f ca="1">IF(AND($W413&gt;0,RegimeExecucao="Unitário"),$F413,"")</f>
        <v/>
      </c>
      <c r="W413" s="547">
        <f ca="1">IF($Y413&gt;0,CHOOSE(MATCH(RegimeExecucao,{"Unitário","Global"},0),IF($A413="S",$Y413/$X413,""),($Y413/$X413)*100),0)</f>
        <v>0</v>
      </c>
      <c r="X413" s="384" t="str">
        <f ca="1">IF($Y413&gt;0,CHOOSE(MATCH(RegimeExecucao,{"Unitário","Global"},0),IF($A413="S",ROUND($H413,ORÇAMENTO!$AF$10),""),ROUND($I413,ORÇAMENTO!$AF$11)),"")</f>
        <v/>
      </c>
      <c r="Y413" s="384">
        <f t="shared" ca="1" si="41"/>
        <v>0</v>
      </c>
      <c r="Z413" s="572"/>
      <c r="AB413" s="382"/>
      <c r="AC413" s="516"/>
      <c r="AD413" s="516"/>
      <c r="AE413" s="516"/>
      <c r="AF413" s="516"/>
      <c r="AG413" s="516"/>
      <c r="AH413" s="516"/>
      <c r="AI413" s="516"/>
      <c r="AJ413" s="516"/>
      <c r="AK413" s="516"/>
      <c r="AL413" s="516"/>
      <c r="AM413" s="383"/>
      <c r="AO413">
        <f ca="1">IF($A413="S",IF(BM!$I413=0,0,CHOOSE(MATCH(RegimeExecucao,{"Global","Unitário"},0),ROUND(ROUND(BM.MEDAcumulado,15-13*BM!$A$9)/100*BM!$I413,15-13*ORÇAMENTO!$AF$11),ROUND(ROUND(BM.MEDAcumulado,15-13*BM!$A$9)*ROUND(BM!$H413,15-13*ORÇAMENTO!$AF$10),15-13*ORÇAMENTO!$AF$11))),IF($A413=0,0,ROUND(SomaAgrupBM,15-13*ORÇAMENTO!$AF$11)))</f>
        <v>0</v>
      </c>
    </row>
    <row r="414" spans="1:41" ht="38.25" x14ac:dyDescent="0.2">
      <c r="A414" t="str">
        <f ca="1">ORÇAMENTO!C414</f>
        <v>S</v>
      </c>
      <c r="B414">
        <f ca="1">ORÇAMENTO!D414</f>
        <v>0</v>
      </c>
      <c r="C414" s="116" t="str">
        <f t="shared" ca="1" si="35"/>
        <v/>
      </c>
      <c r="D414" s="119" t="str">
        <f ca="1">ORÇAMENTO!O414</f>
        <v>-</v>
      </c>
      <c r="E414" s="172" t="str">
        <f t="shared" ca="1" si="36"/>
        <v>(abra o arquivo 'Referência 06-2024.xlsm)</v>
      </c>
      <c r="F414" s="173" t="str">
        <f ca="1">IF(RegimeExecucao="Global","",ORÇAMENTO.Unidade)</f>
        <v/>
      </c>
      <c r="G414" s="124" t="str">
        <f ca="1">IF(RegimeExecucao="Global","",ORÇAMENTO!T414)</f>
        <v/>
      </c>
      <c r="H414" s="124" t="str">
        <f ca="1">IF(RegimeExecucao="Global","",ORÇAMENTO!W414)</f>
        <v/>
      </c>
      <c r="I414" s="127">
        <f ca="1">ORÇAMENTO!X414</f>
        <v>0</v>
      </c>
      <c r="J414" s="378">
        <f ca="1">IF($A414="S",IF(CAIXA.Modo,BM.AFAnterior,BM.MEDAnterior),IF(AND(RegimeExecucao="Global",$I414&gt;0,COUNTIF($AB$13:$AM$13,BM.medicao-1)&gt;0),M414/$I414*100,0))</f>
        <v>0</v>
      </c>
      <c r="K414" s="124">
        <f t="shared" ca="1" si="37"/>
        <v>0</v>
      </c>
      <c r="L414" s="379">
        <f ca="1">IF($A414="S",IF(CAIXA.Modo,BM.AFAcumulado,BM.MEDAcumulado),IF(AND(RegimeExecucao="Global",$I414&gt;0,COUNTIF($AB$13:$AM$13,BM.medicao)&gt;0),O414/$I414*100,0))</f>
        <v>0</v>
      </c>
      <c r="M414" s="380">
        <f ca="1">IF($A414="S",VTOTALBM,IF($A414=0,0,ROUND(SomaAgrupBM,15-13*ORÇAMENTO!$AF$11)))</f>
        <v>0</v>
      </c>
      <c r="N414" s="381">
        <f t="shared" ca="1" si="38"/>
        <v>0</v>
      </c>
      <c r="O414" s="127">
        <f ca="1">IF($A414="S",VTOTALBM,IF($A414=0,0,ROUND(SomaAgrupBM,15-13*ORÇAMENTO!$AF$11)))</f>
        <v>0</v>
      </c>
      <c r="Q414" s="382"/>
      <c r="R414" s="383"/>
      <c r="T414" s="119" t="str">
        <f t="shared" ca="1" si="39"/>
        <v/>
      </c>
      <c r="U414" s="172" t="str">
        <f t="shared" ca="1" si="40"/>
        <v/>
      </c>
      <c r="V414" s="173" t="str">
        <f ca="1">IF(AND($W414&gt;0,RegimeExecucao="Unitário"),$F414,"")</f>
        <v/>
      </c>
      <c r="W414" s="547">
        <f ca="1">IF($Y414&gt;0,CHOOSE(MATCH(RegimeExecucao,{"Unitário","Global"},0),IF($A414="S",$Y414/$X414,""),($Y414/$X414)*100),0)</f>
        <v>0</v>
      </c>
      <c r="X414" s="384" t="str">
        <f ca="1">IF($Y414&gt;0,CHOOSE(MATCH(RegimeExecucao,{"Unitário","Global"},0),IF($A414="S",ROUND($H414,ORÇAMENTO!$AF$10),""),ROUND($I414,ORÇAMENTO!$AF$11)),"")</f>
        <v/>
      </c>
      <c r="Y414" s="384">
        <f t="shared" ca="1" si="41"/>
        <v>0</v>
      </c>
      <c r="Z414" s="572"/>
      <c r="AB414" s="382"/>
      <c r="AC414" s="516"/>
      <c r="AD414" s="516"/>
      <c r="AE414" s="516"/>
      <c r="AF414" s="516"/>
      <c r="AG414" s="516"/>
      <c r="AH414" s="516"/>
      <c r="AI414" s="516"/>
      <c r="AJ414" s="516"/>
      <c r="AK414" s="516"/>
      <c r="AL414" s="516"/>
      <c r="AM414" s="383"/>
      <c r="AO414">
        <f ca="1">IF($A414="S",IF(BM!$I414=0,0,CHOOSE(MATCH(RegimeExecucao,{"Global","Unitário"},0),ROUND(ROUND(BM.MEDAcumulado,15-13*BM!$A$9)/100*BM!$I414,15-13*ORÇAMENTO!$AF$11),ROUND(ROUND(BM.MEDAcumulado,15-13*BM!$A$9)*ROUND(BM!$H414,15-13*ORÇAMENTO!$AF$10),15-13*ORÇAMENTO!$AF$11))),IF($A414=0,0,ROUND(SomaAgrupBM,15-13*ORÇAMENTO!$AF$11)))</f>
        <v>0</v>
      </c>
    </row>
    <row r="415" spans="1:41" x14ac:dyDescent="0.2">
      <c r="A415">
        <f ca="1">ORÇAMENTO!C415</f>
        <v>2</v>
      </c>
      <c r="B415">
        <f ca="1">ORÇAMENTO!D415</f>
        <v>3</v>
      </c>
      <c r="C415" s="116" t="str">
        <f t="shared" ca="1" si="35"/>
        <v>F</v>
      </c>
      <c r="D415" s="119" t="str">
        <f ca="1">ORÇAMENTO!O415</f>
        <v>1.45.</v>
      </c>
      <c r="E415" s="172" t="str">
        <f t="shared" ref="E415:E441" si="42">ORÇAMENTO.Descricao</f>
        <v>SISTEMA DE PROTEÇÃO CONTRA INCÊNDIO - EXTINTORES</v>
      </c>
      <c r="F415" s="173" t="str">
        <f ca="1">IF(RegimeExecucao="Global","",ORÇAMENTO.Unidade)</f>
        <v/>
      </c>
      <c r="G415" s="124" t="str">
        <f ca="1">IF(RegimeExecucao="Global","",ORÇAMENTO!T415)</f>
        <v/>
      </c>
      <c r="H415" s="124" t="str">
        <f ca="1">IF(RegimeExecucao="Global","",ORÇAMENTO!W415)</f>
        <v/>
      </c>
      <c r="I415" s="127">
        <f ca="1">ORÇAMENTO!X415</f>
        <v>0</v>
      </c>
      <c r="J415" s="378">
        <f ca="1">IF($A415="S",IF(CAIXA.Modo,BM.AFAnterior,BM.MEDAnterior),IF(AND(RegimeExecucao="Global",$I415&gt;0,COUNTIF($AB$13:$AM$13,BM.medicao-1)&gt;0),M415/$I415*100,0))</f>
        <v>0</v>
      </c>
      <c r="K415" s="124">
        <f t="shared" ca="1" si="37"/>
        <v>0</v>
      </c>
      <c r="L415" s="379">
        <f ca="1">IF($A415="S",IF(CAIXA.Modo,BM.AFAcumulado,BM.MEDAcumulado),IF(AND(RegimeExecucao="Global",$I415&gt;0,COUNTIF($AB$13:$AM$13,BM.medicao)&gt;0),O415/$I415*100,0))</f>
        <v>0</v>
      </c>
      <c r="M415" s="380">
        <f ca="1">IF($A415="S",VTOTALBM,IF($A415=0,0,ROUND(SomaAgrupBM,15-13*ORÇAMENTO!$AF$11)))</f>
        <v>0</v>
      </c>
      <c r="N415" s="381">
        <f t="shared" ca="1" si="38"/>
        <v>0</v>
      </c>
      <c r="O415" s="127">
        <f ca="1">IF($A415="S",VTOTALBM,IF($A415=0,0,ROUND(SomaAgrupBM,15-13*ORÇAMENTO!$AF$11)))</f>
        <v>0</v>
      </c>
      <c r="Q415" s="382"/>
      <c r="R415" s="383"/>
      <c r="T415" s="119" t="str">
        <f t="shared" ca="1" si="39"/>
        <v/>
      </c>
      <c r="U415" s="172" t="str">
        <f t="shared" ca="1" si="40"/>
        <v/>
      </c>
      <c r="V415" s="173" t="str">
        <f ca="1">IF(AND($W415&gt;0,RegimeExecucao="Unitário"),$F415,"")</f>
        <v/>
      </c>
      <c r="W415" s="547">
        <f ca="1">IF($Y415&gt;0,CHOOSE(MATCH(RegimeExecucao,{"Unitário","Global"},0),IF($A415="S",$Y415/$X415,""),($Y415/$X415)*100),0)</f>
        <v>0</v>
      </c>
      <c r="X415" s="384" t="str">
        <f ca="1">IF($Y415&gt;0,CHOOSE(MATCH(RegimeExecucao,{"Unitário","Global"},0),IF($A415="S",ROUND($H415,ORÇAMENTO!$AF$10),""),ROUND($I415,ORÇAMENTO!$AF$11)),"")</f>
        <v/>
      </c>
      <c r="Y415" s="384">
        <f t="shared" ca="1" si="41"/>
        <v>0</v>
      </c>
      <c r="Z415" s="572"/>
      <c r="AB415" s="382"/>
      <c r="AC415" s="516"/>
      <c r="AD415" s="516"/>
      <c r="AE415" s="516"/>
      <c r="AF415" s="516"/>
      <c r="AG415" s="516"/>
      <c r="AH415" s="516"/>
      <c r="AI415" s="516"/>
      <c r="AJ415" s="516"/>
      <c r="AK415" s="516"/>
      <c r="AL415" s="516"/>
      <c r="AM415" s="383"/>
      <c r="AO415">
        <f ca="1">IF($A415="S",IF(BM!$I415=0,0,CHOOSE(MATCH(RegimeExecucao,{"Global","Unitário"},0),ROUND(ROUND(BM.MEDAcumulado,15-13*BM!$A$9)/100*BM!$I415,15-13*ORÇAMENTO!$AF$11),ROUND(ROUND(BM.MEDAcumulado,15-13*BM!$A$9)*ROUND(BM!$H415,15-13*ORÇAMENTO!$AF$10),15-13*ORÇAMENTO!$AF$11))),IF($A415=0,0,ROUND(SomaAgrupBM,15-13*ORÇAMENTO!$AF$11)))</f>
        <v>0</v>
      </c>
    </row>
    <row r="416" spans="1:41" ht="25.5" x14ac:dyDescent="0.2">
      <c r="A416" t="str">
        <f ca="1">ORÇAMENTO!C416</f>
        <v>S</v>
      </c>
      <c r="B416">
        <f ca="1">ORÇAMENTO!D416</f>
        <v>0</v>
      </c>
      <c r="C416" s="116" t="str">
        <f t="shared" ca="1" si="35"/>
        <v/>
      </c>
      <c r="D416" s="119" t="str">
        <f ca="1">ORÇAMENTO!O416</f>
        <v>-</v>
      </c>
      <c r="E416" s="172" t="str">
        <f t="shared" ca="1" si="42"/>
        <v>(abra o arquivo 'Referência 06-2024.xlsm)</v>
      </c>
      <c r="F416" s="173" t="str">
        <f ca="1">IF(RegimeExecucao="Global","",ORÇAMENTO.Unidade)</f>
        <v/>
      </c>
      <c r="G416" s="124" t="str">
        <f ca="1">IF(RegimeExecucao="Global","",ORÇAMENTO!T416)</f>
        <v/>
      </c>
      <c r="H416" s="124" t="str">
        <f ca="1">IF(RegimeExecucao="Global","",ORÇAMENTO!W416)</f>
        <v/>
      </c>
      <c r="I416" s="127">
        <f ca="1">ORÇAMENTO!X416</f>
        <v>0</v>
      </c>
      <c r="J416" s="378">
        <f ca="1">IF($A416="S",IF(CAIXA.Modo,BM.AFAnterior,BM.MEDAnterior),IF(AND(RegimeExecucao="Global",$I416&gt;0,COUNTIF($AB$13:$AM$13,BM.medicao-1)&gt;0),M416/$I416*100,0))</f>
        <v>0</v>
      </c>
      <c r="K416" s="124">
        <f t="shared" ca="1" si="37"/>
        <v>0</v>
      </c>
      <c r="L416" s="379">
        <f ca="1">IF($A416="S",IF(CAIXA.Modo,BM.AFAcumulado,BM.MEDAcumulado),IF(AND(RegimeExecucao="Global",$I416&gt;0,COUNTIF($AB$13:$AM$13,BM.medicao)&gt;0),O416/$I416*100,0))</f>
        <v>0</v>
      </c>
      <c r="M416" s="380">
        <f ca="1">IF($A416="S",VTOTALBM,IF($A416=0,0,ROUND(SomaAgrupBM,15-13*ORÇAMENTO!$AF$11)))</f>
        <v>0</v>
      </c>
      <c r="N416" s="381">
        <f t="shared" ca="1" si="38"/>
        <v>0</v>
      </c>
      <c r="O416" s="127">
        <f ca="1">IF($A416="S",VTOTALBM,IF($A416=0,0,ROUND(SomaAgrupBM,15-13*ORÇAMENTO!$AF$11)))</f>
        <v>0</v>
      </c>
      <c r="Q416" s="382"/>
      <c r="R416" s="383"/>
      <c r="T416" s="119" t="str">
        <f t="shared" ca="1" si="39"/>
        <v/>
      </c>
      <c r="U416" s="172" t="str">
        <f t="shared" ca="1" si="40"/>
        <v/>
      </c>
      <c r="V416" s="173" t="str">
        <f ca="1">IF(AND($W416&gt;0,RegimeExecucao="Unitário"),$F416,"")</f>
        <v/>
      </c>
      <c r="W416" s="547">
        <f ca="1">IF($Y416&gt;0,CHOOSE(MATCH(RegimeExecucao,{"Unitário","Global"},0),IF($A416="S",$Y416/$X416,""),($Y416/$X416)*100),0)</f>
        <v>0</v>
      </c>
      <c r="X416" s="384" t="str">
        <f ca="1">IF($Y416&gt;0,CHOOSE(MATCH(RegimeExecucao,{"Unitário","Global"},0),IF($A416="S",ROUND($H416,ORÇAMENTO!$AF$10),""),ROUND($I416,ORÇAMENTO!$AF$11)),"")</f>
        <v/>
      </c>
      <c r="Y416" s="384">
        <f t="shared" ca="1" si="41"/>
        <v>0</v>
      </c>
      <c r="Z416" s="572"/>
      <c r="AB416" s="382"/>
      <c r="AC416" s="516"/>
      <c r="AD416" s="516"/>
      <c r="AE416" s="516"/>
      <c r="AF416" s="516"/>
      <c r="AG416" s="516"/>
      <c r="AH416" s="516"/>
      <c r="AI416" s="516"/>
      <c r="AJ416" s="516"/>
      <c r="AK416" s="516"/>
      <c r="AL416" s="516"/>
      <c r="AM416" s="383"/>
      <c r="AO416">
        <f ca="1">IF($A416="S",IF(BM!$I416=0,0,CHOOSE(MATCH(RegimeExecucao,{"Global","Unitário"},0),ROUND(ROUND(BM.MEDAcumulado,15-13*BM!$A$9)/100*BM!$I416,15-13*ORÇAMENTO!$AF$11),ROUND(ROUND(BM.MEDAcumulado,15-13*BM!$A$9)*ROUND(BM!$H416,15-13*ORÇAMENTO!$AF$10),15-13*ORÇAMENTO!$AF$11))),IF($A416=0,0,ROUND(SomaAgrupBM,15-13*ORÇAMENTO!$AF$11)))</f>
        <v>0</v>
      </c>
    </row>
    <row r="417" spans="1:41" ht="25.5" x14ac:dyDescent="0.2">
      <c r="A417" t="str">
        <f ca="1">ORÇAMENTO!C417</f>
        <v>S</v>
      </c>
      <c r="B417">
        <f ca="1">ORÇAMENTO!D417</f>
        <v>0</v>
      </c>
      <c r="C417" s="116" t="str">
        <f t="shared" ca="1" si="35"/>
        <v/>
      </c>
      <c r="D417" s="119" t="str">
        <f ca="1">ORÇAMENTO!O417</f>
        <v>-</v>
      </c>
      <c r="E417" s="172" t="str">
        <f t="shared" ca="1" si="42"/>
        <v>(abra o arquivo 'Referência 06-2024.xlsm)</v>
      </c>
      <c r="F417" s="173" t="str">
        <f ca="1">IF(RegimeExecucao="Global","",ORÇAMENTO.Unidade)</f>
        <v/>
      </c>
      <c r="G417" s="124" t="str">
        <f ca="1">IF(RegimeExecucao="Global","",ORÇAMENTO!T417)</f>
        <v/>
      </c>
      <c r="H417" s="124" t="str">
        <f ca="1">IF(RegimeExecucao="Global","",ORÇAMENTO!W417)</f>
        <v/>
      </c>
      <c r="I417" s="127">
        <f ca="1">ORÇAMENTO!X417</f>
        <v>0</v>
      </c>
      <c r="J417" s="378">
        <f ca="1">IF($A417="S",IF(CAIXA.Modo,BM.AFAnterior,BM.MEDAnterior),IF(AND(RegimeExecucao="Global",$I417&gt;0,COUNTIF($AB$13:$AM$13,BM.medicao-1)&gt;0),M417/$I417*100,0))</f>
        <v>0</v>
      </c>
      <c r="K417" s="124">
        <f t="shared" ca="1" si="37"/>
        <v>0</v>
      </c>
      <c r="L417" s="379">
        <f ca="1">IF($A417="S",IF(CAIXA.Modo,BM.AFAcumulado,BM.MEDAcumulado),IF(AND(RegimeExecucao="Global",$I417&gt;0,COUNTIF($AB$13:$AM$13,BM.medicao)&gt;0),O417/$I417*100,0))</f>
        <v>0</v>
      </c>
      <c r="M417" s="380">
        <f ca="1">IF($A417="S",VTOTALBM,IF($A417=0,0,ROUND(SomaAgrupBM,15-13*ORÇAMENTO!$AF$11)))</f>
        <v>0</v>
      </c>
      <c r="N417" s="381">
        <f t="shared" ca="1" si="38"/>
        <v>0</v>
      </c>
      <c r="O417" s="127">
        <f ca="1">IF($A417="S",VTOTALBM,IF($A417=0,0,ROUND(SomaAgrupBM,15-13*ORÇAMENTO!$AF$11)))</f>
        <v>0</v>
      </c>
      <c r="Q417" s="382"/>
      <c r="R417" s="383"/>
      <c r="T417" s="119" t="str">
        <f t="shared" ca="1" si="39"/>
        <v/>
      </c>
      <c r="U417" s="172" t="str">
        <f t="shared" ca="1" si="40"/>
        <v/>
      </c>
      <c r="V417" s="173" t="str">
        <f ca="1">IF(AND($W417&gt;0,RegimeExecucao="Unitário"),$F417,"")</f>
        <v/>
      </c>
      <c r="W417" s="547">
        <f ca="1">IF($Y417&gt;0,CHOOSE(MATCH(RegimeExecucao,{"Unitário","Global"},0),IF($A417="S",$Y417/$X417,""),($Y417/$X417)*100),0)</f>
        <v>0</v>
      </c>
      <c r="X417" s="384" t="str">
        <f ca="1">IF($Y417&gt;0,CHOOSE(MATCH(RegimeExecucao,{"Unitário","Global"},0),IF($A417="S",ROUND($H417,ORÇAMENTO!$AF$10),""),ROUND($I417,ORÇAMENTO!$AF$11)),"")</f>
        <v/>
      </c>
      <c r="Y417" s="384">
        <f t="shared" ca="1" si="41"/>
        <v>0</v>
      </c>
      <c r="Z417" s="572"/>
      <c r="AB417" s="382"/>
      <c r="AC417" s="516"/>
      <c r="AD417" s="516"/>
      <c r="AE417" s="516"/>
      <c r="AF417" s="516"/>
      <c r="AG417" s="516"/>
      <c r="AH417" s="516"/>
      <c r="AI417" s="516"/>
      <c r="AJ417" s="516"/>
      <c r="AK417" s="516"/>
      <c r="AL417" s="516"/>
      <c r="AM417" s="383"/>
      <c r="AO417">
        <f ca="1">IF($A417="S",IF(BM!$I417=0,0,CHOOSE(MATCH(RegimeExecucao,{"Global","Unitário"},0),ROUND(ROUND(BM.MEDAcumulado,15-13*BM!$A$9)/100*BM!$I417,15-13*ORÇAMENTO!$AF$11),ROUND(ROUND(BM.MEDAcumulado,15-13*BM!$A$9)*ROUND(BM!$H417,15-13*ORÇAMENTO!$AF$10),15-13*ORÇAMENTO!$AF$11))),IF($A417=0,0,ROUND(SomaAgrupBM,15-13*ORÇAMENTO!$AF$11)))</f>
        <v>0</v>
      </c>
    </row>
    <row r="418" spans="1:41" x14ac:dyDescent="0.2">
      <c r="A418">
        <f ca="1">ORÇAMENTO!C418</f>
        <v>2</v>
      </c>
      <c r="B418">
        <f ca="1">ORÇAMENTO!D418</f>
        <v>3</v>
      </c>
      <c r="C418" s="116" t="str">
        <f t="shared" ca="1" si="35"/>
        <v>F</v>
      </c>
      <c r="D418" s="119" t="str">
        <f ca="1">ORÇAMENTO!O418</f>
        <v>1.46.</v>
      </c>
      <c r="E418" s="172" t="str">
        <f t="shared" si="42"/>
        <v>SISTEMA DE PROTEÇÃO CONTRA INCÊNDIO - HIDRANTES</v>
      </c>
      <c r="F418" s="173" t="str">
        <f ca="1">IF(RegimeExecucao="Global","",ORÇAMENTO.Unidade)</f>
        <v/>
      </c>
      <c r="G418" s="124" t="str">
        <f ca="1">IF(RegimeExecucao="Global","",ORÇAMENTO!T418)</f>
        <v/>
      </c>
      <c r="H418" s="124" t="str">
        <f ca="1">IF(RegimeExecucao="Global","",ORÇAMENTO!W418)</f>
        <v/>
      </c>
      <c r="I418" s="127">
        <f ca="1">ORÇAMENTO!X418</f>
        <v>0</v>
      </c>
      <c r="J418" s="378">
        <f ca="1">IF($A418="S",IF(CAIXA.Modo,BM.AFAnterior,BM.MEDAnterior),IF(AND(RegimeExecucao="Global",$I418&gt;0,COUNTIF($AB$13:$AM$13,BM.medicao-1)&gt;0),M418/$I418*100,0))</f>
        <v>0</v>
      </c>
      <c r="K418" s="124">
        <f t="shared" ca="1" si="37"/>
        <v>0</v>
      </c>
      <c r="L418" s="379">
        <f ca="1">IF($A418="S",IF(CAIXA.Modo,BM.AFAcumulado,BM.MEDAcumulado),IF(AND(RegimeExecucao="Global",$I418&gt;0,COUNTIF($AB$13:$AM$13,BM.medicao)&gt;0),O418/$I418*100,0))</f>
        <v>0</v>
      </c>
      <c r="M418" s="380">
        <f ca="1">IF($A418="S",VTOTALBM,IF($A418=0,0,ROUND(SomaAgrupBM,15-13*ORÇAMENTO!$AF$11)))</f>
        <v>0</v>
      </c>
      <c r="N418" s="381">
        <f t="shared" ca="1" si="38"/>
        <v>0</v>
      </c>
      <c r="O418" s="127">
        <f ca="1">IF($A418="S",VTOTALBM,IF($A418=0,0,ROUND(SomaAgrupBM,15-13*ORÇAMENTO!$AF$11)))</f>
        <v>0</v>
      </c>
      <c r="Q418" s="382"/>
      <c r="R418" s="383"/>
      <c r="T418" s="119" t="str">
        <f t="shared" ca="1" si="39"/>
        <v/>
      </c>
      <c r="U418" s="172" t="str">
        <f t="shared" ca="1" si="40"/>
        <v/>
      </c>
      <c r="V418" s="173" t="str">
        <f ca="1">IF(AND($W418&gt;0,RegimeExecucao="Unitário"),$F418,"")</f>
        <v/>
      </c>
      <c r="W418" s="547">
        <f ca="1">IF($Y418&gt;0,CHOOSE(MATCH(RegimeExecucao,{"Unitário","Global"},0),IF($A418="S",$Y418/$X418,""),($Y418/$X418)*100),0)</f>
        <v>0</v>
      </c>
      <c r="X418" s="384" t="str">
        <f ca="1">IF($Y418&gt;0,CHOOSE(MATCH(RegimeExecucao,{"Unitário","Global"},0),IF($A418="S",ROUND($H418,ORÇAMENTO!$AF$10),""),ROUND($I418,ORÇAMENTO!$AF$11)),"")</f>
        <v/>
      </c>
      <c r="Y418" s="384">
        <f t="shared" ca="1" si="41"/>
        <v>0</v>
      </c>
      <c r="Z418" s="572"/>
      <c r="AB418" s="382"/>
      <c r="AC418" s="516"/>
      <c r="AD418" s="516"/>
      <c r="AE418" s="516"/>
      <c r="AF418" s="516"/>
      <c r="AG418" s="516"/>
      <c r="AH418" s="516"/>
      <c r="AI418" s="516"/>
      <c r="AJ418" s="516"/>
      <c r="AK418" s="516"/>
      <c r="AL418" s="516"/>
      <c r="AM418" s="383"/>
      <c r="AO418">
        <f ca="1">IF($A418="S",IF(BM!$I418=0,0,CHOOSE(MATCH(RegimeExecucao,{"Global","Unitário"},0),ROUND(ROUND(BM.MEDAcumulado,15-13*BM!$A$9)/100*BM!$I418,15-13*ORÇAMENTO!$AF$11),ROUND(ROUND(BM.MEDAcumulado,15-13*BM!$A$9)*ROUND(BM!$H418,15-13*ORÇAMENTO!$AF$10),15-13*ORÇAMENTO!$AF$11))),IF($A418=0,0,ROUND(SomaAgrupBM,15-13*ORÇAMENTO!$AF$11)))</f>
        <v>0</v>
      </c>
    </row>
    <row r="419" spans="1:41" ht="51" x14ac:dyDescent="0.2">
      <c r="A419" t="str">
        <f ca="1">ORÇAMENTO!C419</f>
        <v>S</v>
      </c>
      <c r="B419">
        <f ca="1">ORÇAMENTO!D419</f>
        <v>0</v>
      </c>
      <c r="C419" s="116" t="str">
        <f t="shared" ca="1" si="35"/>
        <v/>
      </c>
      <c r="D419" s="119" t="str">
        <f ca="1">ORÇAMENTO!O419</f>
        <v>-</v>
      </c>
      <c r="E419" s="172" t="str">
        <f t="shared" ca="1" si="42"/>
        <v>(abra o arquivo 'Referência 06-2024.xlsm)</v>
      </c>
      <c r="F419" s="173" t="str">
        <f ca="1">IF(RegimeExecucao="Global","",ORÇAMENTO.Unidade)</f>
        <v/>
      </c>
      <c r="G419" s="124" t="str">
        <f ca="1">IF(RegimeExecucao="Global","",ORÇAMENTO!T419)</f>
        <v/>
      </c>
      <c r="H419" s="124" t="str">
        <f ca="1">IF(RegimeExecucao="Global","",ORÇAMENTO!W419)</f>
        <v/>
      </c>
      <c r="I419" s="127">
        <f ca="1">ORÇAMENTO!X419</f>
        <v>0</v>
      </c>
      <c r="J419" s="378">
        <f ca="1">IF($A419="S",IF(CAIXA.Modo,BM.AFAnterior,BM.MEDAnterior),IF(AND(RegimeExecucao="Global",$I419&gt;0,COUNTIF($AB$13:$AM$13,BM.medicao-1)&gt;0),M419/$I419*100,0))</f>
        <v>0</v>
      </c>
      <c r="K419" s="124">
        <f t="shared" ca="1" si="37"/>
        <v>0</v>
      </c>
      <c r="L419" s="379">
        <f ca="1">IF($A419="S",IF(CAIXA.Modo,BM.AFAcumulado,BM.MEDAcumulado),IF(AND(RegimeExecucao="Global",$I419&gt;0,COUNTIF($AB$13:$AM$13,BM.medicao)&gt;0),O419/$I419*100,0))</f>
        <v>0</v>
      </c>
      <c r="M419" s="380">
        <f ca="1">IF($A419="S",VTOTALBM,IF($A419=0,0,ROUND(SomaAgrupBM,15-13*ORÇAMENTO!$AF$11)))</f>
        <v>0</v>
      </c>
      <c r="N419" s="381">
        <f t="shared" ca="1" si="38"/>
        <v>0</v>
      </c>
      <c r="O419" s="127">
        <f ca="1">IF($A419="S",VTOTALBM,IF($A419=0,0,ROUND(SomaAgrupBM,15-13*ORÇAMENTO!$AF$11)))</f>
        <v>0</v>
      </c>
      <c r="Q419" s="382"/>
      <c r="R419" s="383"/>
      <c r="T419" s="119" t="str">
        <f t="shared" ca="1" si="39"/>
        <v/>
      </c>
      <c r="U419" s="172" t="str">
        <f t="shared" ca="1" si="40"/>
        <v/>
      </c>
      <c r="V419" s="173" t="str">
        <f ca="1">IF(AND($W419&gt;0,RegimeExecucao="Unitário"),$F419,"")</f>
        <v/>
      </c>
      <c r="W419" s="547">
        <f ca="1">IF($Y419&gt;0,CHOOSE(MATCH(RegimeExecucao,{"Unitário","Global"},0),IF($A419="S",$Y419/$X419,""),($Y419/$X419)*100),0)</f>
        <v>0</v>
      </c>
      <c r="X419" s="384" t="str">
        <f ca="1">IF($Y419&gt;0,CHOOSE(MATCH(RegimeExecucao,{"Unitário","Global"},0),IF($A419="S",ROUND($H419,ORÇAMENTO!$AF$10),""),ROUND($I419,ORÇAMENTO!$AF$11)),"")</f>
        <v/>
      </c>
      <c r="Y419" s="384">
        <f t="shared" ca="1" si="41"/>
        <v>0</v>
      </c>
      <c r="Z419" s="572"/>
      <c r="AB419" s="382"/>
      <c r="AC419" s="516"/>
      <c r="AD419" s="516"/>
      <c r="AE419" s="516"/>
      <c r="AF419" s="516"/>
      <c r="AG419" s="516"/>
      <c r="AH419" s="516"/>
      <c r="AI419" s="516"/>
      <c r="AJ419" s="516"/>
      <c r="AK419" s="516"/>
      <c r="AL419" s="516"/>
      <c r="AM419" s="383"/>
      <c r="AO419">
        <f ca="1">IF($A419="S",IF(BM!$I419=0,0,CHOOSE(MATCH(RegimeExecucao,{"Global","Unitário"},0),ROUND(ROUND(BM.MEDAcumulado,15-13*BM!$A$9)/100*BM!$I419,15-13*ORÇAMENTO!$AF$11),ROUND(ROUND(BM.MEDAcumulado,15-13*BM!$A$9)*ROUND(BM!$H419,15-13*ORÇAMENTO!$AF$10),15-13*ORÇAMENTO!$AF$11))),IF($A419=0,0,ROUND(SomaAgrupBM,15-13*ORÇAMENTO!$AF$11)))</f>
        <v>0</v>
      </c>
    </row>
    <row r="420" spans="1:41" ht="25.5" x14ac:dyDescent="0.2">
      <c r="A420" t="str">
        <f ca="1">ORÇAMENTO!C420</f>
        <v>S</v>
      </c>
      <c r="B420">
        <f ca="1">ORÇAMENTO!D420</f>
        <v>0</v>
      </c>
      <c r="C420" s="116" t="str">
        <f t="shared" ca="1" si="35"/>
        <v/>
      </c>
      <c r="D420" s="119" t="str">
        <f ca="1">ORÇAMENTO!O420</f>
        <v>-</v>
      </c>
      <c r="E420" s="172" t="str">
        <f t="shared" ca="1" si="42"/>
        <v>(abra o arquivo 'Referência 06-2024.xlsm)</v>
      </c>
      <c r="F420" s="173" t="str">
        <f ca="1">IF(RegimeExecucao="Global","",ORÇAMENTO.Unidade)</f>
        <v/>
      </c>
      <c r="G420" s="124" t="str">
        <f ca="1">IF(RegimeExecucao="Global","",ORÇAMENTO!T420)</f>
        <v/>
      </c>
      <c r="H420" s="124" t="str">
        <f ca="1">IF(RegimeExecucao="Global","",ORÇAMENTO!W420)</f>
        <v/>
      </c>
      <c r="I420" s="127">
        <f ca="1">ORÇAMENTO!X420</f>
        <v>0</v>
      </c>
      <c r="J420" s="378">
        <f ca="1">IF($A420="S",IF(CAIXA.Modo,BM.AFAnterior,BM.MEDAnterior),IF(AND(RegimeExecucao="Global",$I420&gt;0,COUNTIF($AB$13:$AM$13,BM.medicao-1)&gt;0),M420/$I420*100,0))</f>
        <v>0</v>
      </c>
      <c r="K420" s="124">
        <f t="shared" ca="1" si="37"/>
        <v>0</v>
      </c>
      <c r="L420" s="379">
        <f ca="1">IF($A420="S",IF(CAIXA.Modo,BM.AFAcumulado,BM.MEDAcumulado),IF(AND(RegimeExecucao="Global",$I420&gt;0,COUNTIF($AB$13:$AM$13,BM.medicao)&gt;0),O420/$I420*100,0))</f>
        <v>0</v>
      </c>
      <c r="M420" s="380">
        <f ca="1">IF($A420="S",VTOTALBM,IF($A420=0,0,ROUND(SomaAgrupBM,15-13*ORÇAMENTO!$AF$11)))</f>
        <v>0</v>
      </c>
      <c r="N420" s="381">
        <f t="shared" ca="1" si="38"/>
        <v>0</v>
      </c>
      <c r="O420" s="127">
        <f ca="1">IF($A420="S",VTOTALBM,IF($A420=0,0,ROUND(SomaAgrupBM,15-13*ORÇAMENTO!$AF$11)))</f>
        <v>0</v>
      </c>
      <c r="Q420" s="382"/>
      <c r="R420" s="383"/>
      <c r="T420" s="119" t="str">
        <f t="shared" ca="1" si="39"/>
        <v/>
      </c>
      <c r="U420" s="172" t="str">
        <f t="shared" ca="1" si="40"/>
        <v/>
      </c>
      <c r="V420" s="173" t="str">
        <f ca="1">IF(AND($W420&gt;0,RegimeExecucao="Unitário"),$F420,"")</f>
        <v/>
      </c>
      <c r="W420" s="547">
        <f ca="1">IF($Y420&gt;0,CHOOSE(MATCH(RegimeExecucao,{"Unitário","Global"},0),IF($A420="S",$Y420/$X420,""),($Y420/$X420)*100),0)</f>
        <v>0</v>
      </c>
      <c r="X420" s="384" t="str">
        <f ca="1">IF($Y420&gt;0,CHOOSE(MATCH(RegimeExecucao,{"Unitário","Global"},0),IF($A420="S",ROUND($H420,ORÇAMENTO!$AF$10),""),ROUND($I420,ORÇAMENTO!$AF$11)),"")</f>
        <v/>
      </c>
      <c r="Y420" s="384">
        <f t="shared" ca="1" si="41"/>
        <v>0</v>
      </c>
      <c r="Z420" s="572"/>
      <c r="AB420" s="382"/>
      <c r="AC420" s="516"/>
      <c r="AD420" s="516"/>
      <c r="AE420" s="516"/>
      <c r="AF420" s="516"/>
      <c r="AG420" s="516"/>
      <c r="AH420" s="516"/>
      <c r="AI420" s="516"/>
      <c r="AJ420" s="516"/>
      <c r="AK420" s="516"/>
      <c r="AL420" s="516"/>
      <c r="AM420" s="383"/>
      <c r="AO420">
        <f ca="1">IF($A420="S",IF(BM!$I420=0,0,CHOOSE(MATCH(RegimeExecucao,{"Global","Unitário"},0),ROUND(ROUND(BM.MEDAcumulado,15-13*BM!$A$9)/100*BM!$I420,15-13*ORÇAMENTO!$AF$11),ROUND(ROUND(BM.MEDAcumulado,15-13*BM!$A$9)*ROUND(BM!$H420,15-13*ORÇAMENTO!$AF$10),15-13*ORÇAMENTO!$AF$11))),IF($A420=0,0,ROUND(SomaAgrupBM,15-13*ORÇAMENTO!$AF$11)))</f>
        <v>0</v>
      </c>
    </row>
    <row r="421" spans="1:41" x14ac:dyDescent="0.2">
      <c r="A421">
        <f ca="1">ORÇAMENTO!C421</f>
        <v>2</v>
      </c>
      <c r="B421">
        <f ca="1">ORÇAMENTO!D421</f>
        <v>15</v>
      </c>
      <c r="C421" s="116" t="str">
        <f t="shared" ca="1" si="35"/>
        <v>F</v>
      </c>
      <c r="D421" s="119" t="str">
        <f ca="1">ORÇAMENTO!O421</f>
        <v>1.47.</v>
      </c>
      <c r="E421" s="172" t="str">
        <f t="shared" si="42"/>
        <v>SISTEMA DE PROTEÇÃO CONTRA INCÊNDIO - ACESSÓRIOS</v>
      </c>
      <c r="F421" s="173" t="str">
        <f ca="1">IF(RegimeExecucao="Global","",ORÇAMENTO.Unidade)</f>
        <v/>
      </c>
      <c r="G421" s="124" t="str">
        <f ca="1">IF(RegimeExecucao="Global","",ORÇAMENTO!T421)</f>
        <v/>
      </c>
      <c r="H421" s="124" t="str">
        <f ca="1">IF(RegimeExecucao="Global","",ORÇAMENTO!W421)</f>
        <v/>
      </c>
      <c r="I421" s="127">
        <f ca="1">ORÇAMENTO!X421</f>
        <v>0</v>
      </c>
      <c r="J421" s="378">
        <f ca="1">IF($A421="S",IF(CAIXA.Modo,BM.AFAnterior,BM.MEDAnterior),IF(AND(RegimeExecucao="Global",$I421&gt;0,COUNTIF($AB$13:$AM$13,BM.medicao-1)&gt;0),M421/$I421*100,0))</f>
        <v>0</v>
      </c>
      <c r="K421" s="124">
        <f t="shared" ca="1" si="37"/>
        <v>0</v>
      </c>
      <c r="L421" s="379">
        <f ca="1">IF($A421="S",IF(CAIXA.Modo,BM.AFAcumulado,BM.MEDAcumulado),IF(AND(RegimeExecucao="Global",$I421&gt;0,COUNTIF($AB$13:$AM$13,BM.medicao)&gt;0),O421/$I421*100,0))</f>
        <v>0</v>
      </c>
      <c r="M421" s="380">
        <f ca="1">IF($A421="S",VTOTALBM,IF($A421=0,0,ROUND(SomaAgrupBM,15-13*ORÇAMENTO!$AF$11)))</f>
        <v>0</v>
      </c>
      <c r="N421" s="381">
        <f t="shared" ca="1" si="38"/>
        <v>0</v>
      </c>
      <c r="O421" s="127">
        <f ca="1">IF($A421="S",VTOTALBM,IF($A421=0,0,ROUND(SomaAgrupBM,15-13*ORÇAMENTO!$AF$11)))</f>
        <v>0</v>
      </c>
      <c r="Q421" s="382"/>
      <c r="R421" s="383"/>
      <c r="T421" s="119" t="str">
        <f t="shared" ca="1" si="39"/>
        <v/>
      </c>
      <c r="U421" s="172" t="str">
        <f t="shared" ca="1" si="40"/>
        <v/>
      </c>
      <c r="V421" s="173" t="str">
        <f ca="1">IF(AND($W421&gt;0,RegimeExecucao="Unitário"),$F421,"")</f>
        <v/>
      </c>
      <c r="W421" s="547">
        <f ca="1">IF($Y421&gt;0,CHOOSE(MATCH(RegimeExecucao,{"Unitário","Global"},0),IF($A421="S",$Y421/$X421,""),($Y421/$X421)*100),0)</f>
        <v>0</v>
      </c>
      <c r="X421" s="384" t="str">
        <f ca="1">IF($Y421&gt;0,CHOOSE(MATCH(RegimeExecucao,{"Unitário","Global"},0),IF($A421="S",ROUND($H421,ORÇAMENTO!$AF$10),""),ROUND($I421,ORÇAMENTO!$AF$11)),"")</f>
        <v/>
      </c>
      <c r="Y421" s="384">
        <f t="shared" ca="1" si="41"/>
        <v>0</v>
      </c>
      <c r="Z421" s="572"/>
      <c r="AB421" s="382"/>
      <c r="AC421" s="516"/>
      <c r="AD421" s="516"/>
      <c r="AE421" s="516"/>
      <c r="AF421" s="516"/>
      <c r="AG421" s="516"/>
      <c r="AH421" s="516"/>
      <c r="AI421" s="516"/>
      <c r="AJ421" s="516"/>
      <c r="AK421" s="516"/>
      <c r="AL421" s="516"/>
      <c r="AM421" s="383"/>
      <c r="AO421">
        <f ca="1">IF($A421="S",IF(BM!$I421=0,0,CHOOSE(MATCH(RegimeExecucao,{"Global","Unitário"},0),ROUND(ROUND(BM.MEDAcumulado,15-13*BM!$A$9)/100*BM!$I421,15-13*ORÇAMENTO!$AF$11),ROUND(ROUND(BM.MEDAcumulado,15-13*BM!$A$9)*ROUND(BM!$H421,15-13*ORÇAMENTO!$AF$10),15-13*ORÇAMENTO!$AF$11))),IF($A421=0,0,ROUND(SomaAgrupBM,15-13*ORÇAMENTO!$AF$11)))</f>
        <v>0</v>
      </c>
    </row>
    <row r="422" spans="1:41" ht="38.25" x14ac:dyDescent="0.2">
      <c r="A422" t="str">
        <f ca="1">ORÇAMENTO!C422</f>
        <v>S</v>
      </c>
      <c r="B422">
        <f ca="1">ORÇAMENTO!D422</f>
        <v>0</v>
      </c>
      <c r="C422" s="116" t="str">
        <f t="shared" ca="1" si="35"/>
        <v/>
      </c>
      <c r="D422" s="119" t="str">
        <f ca="1">ORÇAMENTO!O422</f>
        <v>-</v>
      </c>
      <c r="E422" s="172" t="str">
        <f t="shared" ca="1" si="42"/>
        <v>(abra o arquivo 'Referência 06-2024.xlsm)</v>
      </c>
      <c r="F422" s="173" t="str">
        <f ca="1">IF(RegimeExecucao="Global","",ORÇAMENTO.Unidade)</f>
        <v/>
      </c>
      <c r="G422" s="124" t="str">
        <f ca="1">IF(RegimeExecucao="Global","",ORÇAMENTO!T422)</f>
        <v/>
      </c>
      <c r="H422" s="124" t="str">
        <f ca="1">IF(RegimeExecucao="Global","",ORÇAMENTO!W422)</f>
        <v/>
      </c>
      <c r="I422" s="127">
        <f ca="1">ORÇAMENTO!X422</f>
        <v>0</v>
      </c>
      <c r="J422" s="378">
        <f ca="1">IF($A422="S",IF(CAIXA.Modo,BM.AFAnterior,BM.MEDAnterior),IF(AND(RegimeExecucao="Global",$I422&gt;0,COUNTIF($AB$13:$AM$13,BM.medicao-1)&gt;0),M422/$I422*100,0))</f>
        <v>0</v>
      </c>
      <c r="K422" s="124">
        <f t="shared" ca="1" si="37"/>
        <v>0</v>
      </c>
      <c r="L422" s="379">
        <f ca="1">IF($A422="S",IF(CAIXA.Modo,BM.AFAcumulado,BM.MEDAcumulado),IF(AND(RegimeExecucao="Global",$I422&gt;0,COUNTIF($AB$13:$AM$13,BM.medicao)&gt;0),O422/$I422*100,0))</f>
        <v>0</v>
      </c>
      <c r="M422" s="380">
        <f ca="1">IF($A422="S",VTOTALBM,IF($A422=0,0,ROUND(SomaAgrupBM,15-13*ORÇAMENTO!$AF$11)))</f>
        <v>0</v>
      </c>
      <c r="N422" s="381">
        <f t="shared" ca="1" si="38"/>
        <v>0</v>
      </c>
      <c r="O422" s="127">
        <f ca="1">IF($A422="S",VTOTALBM,IF($A422=0,0,ROUND(SomaAgrupBM,15-13*ORÇAMENTO!$AF$11)))</f>
        <v>0</v>
      </c>
      <c r="Q422" s="382"/>
      <c r="R422" s="383"/>
      <c r="T422" s="119" t="str">
        <f t="shared" ca="1" si="39"/>
        <v/>
      </c>
      <c r="U422" s="172" t="str">
        <f t="shared" ca="1" si="40"/>
        <v/>
      </c>
      <c r="V422" s="173" t="str">
        <f ca="1">IF(AND($W422&gt;0,RegimeExecucao="Unitário"),$F422,"")</f>
        <v/>
      </c>
      <c r="W422" s="547">
        <f ca="1">IF($Y422&gt;0,CHOOSE(MATCH(RegimeExecucao,{"Unitário","Global"},0),IF($A422="S",$Y422/$X422,""),($Y422/$X422)*100),0)</f>
        <v>0</v>
      </c>
      <c r="X422" s="384" t="str">
        <f ca="1">IF($Y422&gt;0,CHOOSE(MATCH(RegimeExecucao,{"Unitário","Global"},0),IF($A422="S",ROUND($H422,ORÇAMENTO!$AF$10),""),ROUND($I422,ORÇAMENTO!$AF$11)),"")</f>
        <v/>
      </c>
      <c r="Y422" s="384">
        <f t="shared" ca="1" si="41"/>
        <v>0</v>
      </c>
      <c r="Z422" s="572"/>
      <c r="AB422" s="382"/>
      <c r="AC422" s="516"/>
      <c r="AD422" s="516"/>
      <c r="AE422" s="516"/>
      <c r="AF422" s="516"/>
      <c r="AG422" s="516"/>
      <c r="AH422" s="516"/>
      <c r="AI422" s="516"/>
      <c r="AJ422" s="516"/>
      <c r="AK422" s="516"/>
      <c r="AL422" s="516"/>
      <c r="AM422" s="383"/>
      <c r="AO422">
        <f ca="1">IF($A422="S",IF(BM!$I422=0,0,CHOOSE(MATCH(RegimeExecucao,{"Global","Unitário"},0),ROUND(ROUND(BM.MEDAcumulado,15-13*BM!$A$9)/100*BM!$I422,15-13*ORÇAMENTO!$AF$11),ROUND(ROUND(BM.MEDAcumulado,15-13*BM!$A$9)*ROUND(BM!$H422,15-13*ORÇAMENTO!$AF$10),15-13*ORÇAMENTO!$AF$11))),IF($A422=0,0,ROUND(SomaAgrupBM,15-13*ORÇAMENTO!$AF$11)))</f>
        <v>0</v>
      </c>
    </row>
    <row r="423" spans="1:41" ht="25.5" x14ac:dyDescent="0.2">
      <c r="A423" t="str">
        <f ca="1">ORÇAMENTO!C423</f>
        <v>S</v>
      </c>
      <c r="B423">
        <f ca="1">ORÇAMENTO!D423</f>
        <v>0</v>
      </c>
      <c r="C423" s="116" t="str">
        <f t="shared" ca="1" si="35"/>
        <v/>
      </c>
      <c r="D423" s="119" t="str">
        <f ca="1">ORÇAMENTO!O423</f>
        <v>-</v>
      </c>
      <c r="E423" s="172" t="str">
        <f t="shared" ca="1" si="42"/>
        <v>(abra o arquivo 'Referência 06-2024.xlsm)</v>
      </c>
      <c r="F423" s="173" t="str">
        <f ca="1">IF(RegimeExecucao="Global","",ORÇAMENTO.Unidade)</f>
        <v/>
      </c>
      <c r="G423" s="124" t="str">
        <f ca="1">IF(RegimeExecucao="Global","",ORÇAMENTO!T423)</f>
        <v/>
      </c>
      <c r="H423" s="124" t="str">
        <f ca="1">IF(RegimeExecucao="Global","",ORÇAMENTO!W423)</f>
        <v/>
      </c>
      <c r="I423" s="127">
        <f ca="1">ORÇAMENTO!X423</f>
        <v>0</v>
      </c>
      <c r="J423" s="378">
        <f ca="1">IF($A423="S",IF(CAIXA.Modo,BM.AFAnterior,BM.MEDAnterior),IF(AND(RegimeExecucao="Global",$I423&gt;0,COUNTIF($AB$13:$AM$13,BM.medicao-1)&gt;0),M423/$I423*100,0))</f>
        <v>0</v>
      </c>
      <c r="K423" s="124">
        <f t="shared" ca="1" si="37"/>
        <v>0</v>
      </c>
      <c r="L423" s="379">
        <f ca="1">IF($A423="S",IF(CAIXA.Modo,BM.AFAcumulado,BM.MEDAcumulado),IF(AND(RegimeExecucao="Global",$I423&gt;0,COUNTIF($AB$13:$AM$13,BM.medicao)&gt;0),O423/$I423*100,0))</f>
        <v>0</v>
      </c>
      <c r="M423" s="380">
        <f ca="1">IF($A423="S",VTOTALBM,IF($A423=0,0,ROUND(SomaAgrupBM,15-13*ORÇAMENTO!$AF$11)))</f>
        <v>0</v>
      </c>
      <c r="N423" s="381">
        <f t="shared" ca="1" si="38"/>
        <v>0</v>
      </c>
      <c r="O423" s="127">
        <f ca="1">IF($A423="S",VTOTALBM,IF($A423=0,0,ROUND(SomaAgrupBM,15-13*ORÇAMENTO!$AF$11)))</f>
        <v>0</v>
      </c>
      <c r="Q423" s="382"/>
      <c r="R423" s="383"/>
      <c r="T423" s="119" t="str">
        <f t="shared" ca="1" si="39"/>
        <v/>
      </c>
      <c r="U423" s="172" t="str">
        <f t="shared" ca="1" si="40"/>
        <v/>
      </c>
      <c r="V423" s="173" t="str">
        <f ca="1">IF(AND($W423&gt;0,RegimeExecucao="Unitário"),$F423,"")</f>
        <v/>
      </c>
      <c r="W423" s="547">
        <f ca="1">IF($Y423&gt;0,CHOOSE(MATCH(RegimeExecucao,{"Unitário","Global"},0),IF($A423="S",$Y423/$X423,""),($Y423/$X423)*100),0)</f>
        <v>0</v>
      </c>
      <c r="X423" s="384" t="str">
        <f ca="1">IF($Y423&gt;0,CHOOSE(MATCH(RegimeExecucao,{"Unitário","Global"},0),IF($A423="S",ROUND($H423,ORÇAMENTO!$AF$10),""),ROUND($I423,ORÇAMENTO!$AF$11)),"")</f>
        <v/>
      </c>
      <c r="Y423" s="384">
        <f t="shared" ca="1" si="41"/>
        <v>0</v>
      </c>
      <c r="Z423" s="572"/>
      <c r="AB423" s="382"/>
      <c r="AC423" s="516"/>
      <c r="AD423" s="516"/>
      <c r="AE423" s="516"/>
      <c r="AF423" s="516"/>
      <c r="AG423" s="516"/>
      <c r="AH423" s="516"/>
      <c r="AI423" s="516"/>
      <c r="AJ423" s="516"/>
      <c r="AK423" s="516"/>
      <c r="AL423" s="516"/>
      <c r="AM423" s="383"/>
      <c r="AO423">
        <f ca="1">IF($A423="S",IF(BM!$I423=0,0,CHOOSE(MATCH(RegimeExecucao,{"Global","Unitário"},0),ROUND(ROUND(BM.MEDAcumulado,15-13*BM!$A$9)/100*BM!$I423,15-13*ORÇAMENTO!$AF$11),ROUND(ROUND(BM.MEDAcumulado,15-13*BM!$A$9)*ROUND(BM!$H423,15-13*ORÇAMENTO!$AF$10),15-13*ORÇAMENTO!$AF$11))),IF($A423=0,0,ROUND(SomaAgrupBM,15-13*ORÇAMENTO!$AF$11)))</f>
        <v>0</v>
      </c>
    </row>
    <row r="424" spans="1:41" ht="25.5" x14ac:dyDescent="0.2">
      <c r="A424" t="str">
        <f ca="1">ORÇAMENTO!C424</f>
        <v>S</v>
      </c>
      <c r="B424">
        <f ca="1">ORÇAMENTO!D424</f>
        <v>0</v>
      </c>
      <c r="C424" s="116" t="str">
        <f t="shared" ca="1" si="35"/>
        <v/>
      </c>
      <c r="D424" s="119" t="str">
        <f ca="1">ORÇAMENTO!O424</f>
        <v>-</v>
      </c>
      <c r="E424" s="172" t="str">
        <f t="shared" ca="1" si="42"/>
        <v>(abra o arquivo 'Referência 06-2024.xlsm)</v>
      </c>
      <c r="F424" s="173" t="str">
        <f ca="1">IF(RegimeExecucao="Global","",ORÇAMENTO.Unidade)</f>
        <v/>
      </c>
      <c r="G424" s="124" t="str">
        <f ca="1">IF(RegimeExecucao="Global","",ORÇAMENTO!T424)</f>
        <v/>
      </c>
      <c r="H424" s="124" t="str">
        <f ca="1">IF(RegimeExecucao="Global","",ORÇAMENTO!W424)</f>
        <v/>
      </c>
      <c r="I424" s="127">
        <f ca="1">ORÇAMENTO!X424</f>
        <v>0</v>
      </c>
      <c r="J424" s="378">
        <f ca="1">IF($A424="S",IF(CAIXA.Modo,BM.AFAnterior,BM.MEDAnterior),IF(AND(RegimeExecucao="Global",$I424&gt;0,COUNTIF($AB$13:$AM$13,BM.medicao-1)&gt;0),M424/$I424*100,0))</f>
        <v>0</v>
      </c>
      <c r="K424" s="124">
        <f t="shared" ca="1" si="37"/>
        <v>0</v>
      </c>
      <c r="L424" s="379">
        <f ca="1">IF($A424="S",IF(CAIXA.Modo,BM.AFAcumulado,BM.MEDAcumulado),IF(AND(RegimeExecucao="Global",$I424&gt;0,COUNTIF($AB$13:$AM$13,BM.medicao)&gt;0),O424/$I424*100,0))</f>
        <v>0</v>
      </c>
      <c r="M424" s="380">
        <f ca="1">IF($A424="S",VTOTALBM,IF($A424=0,0,ROUND(SomaAgrupBM,15-13*ORÇAMENTO!$AF$11)))</f>
        <v>0</v>
      </c>
      <c r="N424" s="381">
        <f t="shared" ca="1" si="38"/>
        <v>0</v>
      </c>
      <c r="O424" s="127">
        <f ca="1">IF($A424="S",VTOTALBM,IF($A424=0,0,ROUND(SomaAgrupBM,15-13*ORÇAMENTO!$AF$11)))</f>
        <v>0</v>
      </c>
      <c r="Q424" s="382"/>
      <c r="R424" s="383"/>
      <c r="T424" s="119" t="str">
        <f t="shared" ca="1" si="39"/>
        <v/>
      </c>
      <c r="U424" s="172" t="str">
        <f t="shared" ca="1" si="40"/>
        <v/>
      </c>
      <c r="V424" s="173" t="str">
        <f ca="1">IF(AND($W424&gt;0,RegimeExecucao="Unitário"),$F424,"")</f>
        <v/>
      </c>
      <c r="W424" s="547">
        <f ca="1">IF($Y424&gt;0,CHOOSE(MATCH(RegimeExecucao,{"Unitário","Global"},0),IF($A424="S",$Y424/$X424,""),($Y424/$X424)*100),0)</f>
        <v>0</v>
      </c>
      <c r="X424" s="384" t="str">
        <f ca="1">IF($Y424&gt;0,CHOOSE(MATCH(RegimeExecucao,{"Unitário","Global"},0),IF($A424="S",ROUND($H424,ORÇAMENTO!$AF$10),""),ROUND($I424,ORÇAMENTO!$AF$11)),"")</f>
        <v/>
      </c>
      <c r="Y424" s="384">
        <f t="shared" ca="1" si="41"/>
        <v>0</v>
      </c>
      <c r="Z424" s="572"/>
      <c r="AB424" s="382"/>
      <c r="AC424" s="516"/>
      <c r="AD424" s="516"/>
      <c r="AE424" s="516"/>
      <c r="AF424" s="516"/>
      <c r="AG424" s="516"/>
      <c r="AH424" s="516"/>
      <c r="AI424" s="516"/>
      <c r="AJ424" s="516"/>
      <c r="AK424" s="516"/>
      <c r="AL424" s="516"/>
      <c r="AM424" s="383"/>
      <c r="AO424">
        <f ca="1">IF($A424="S",IF(BM!$I424=0,0,CHOOSE(MATCH(RegimeExecucao,{"Global","Unitário"},0),ROUND(ROUND(BM.MEDAcumulado,15-13*BM!$A$9)/100*BM!$I424,15-13*ORÇAMENTO!$AF$11),ROUND(ROUND(BM.MEDAcumulado,15-13*BM!$A$9)*ROUND(BM!$H424,15-13*ORÇAMENTO!$AF$10),15-13*ORÇAMENTO!$AF$11))),IF($A424=0,0,ROUND(SomaAgrupBM,15-13*ORÇAMENTO!$AF$11)))</f>
        <v>0</v>
      </c>
    </row>
    <row r="425" spans="1:41" ht="25.5" x14ac:dyDescent="0.2">
      <c r="A425" t="str">
        <f ca="1">ORÇAMENTO!C425</f>
        <v>S</v>
      </c>
      <c r="B425">
        <f ca="1">ORÇAMENTO!D425</f>
        <v>0</v>
      </c>
      <c r="C425" s="116" t="str">
        <f t="shared" ca="1" si="35"/>
        <v/>
      </c>
      <c r="D425" s="119" t="str">
        <f ca="1">ORÇAMENTO!O425</f>
        <v>-</v>
      </c>
      <c r="E425" s="172" t="str">
        <f t="shared" ca="1" si="42"/>
        <v>(abra o arquivo 'Referência 06-2024.xlsm)</v>
      </c>
      <c r="F425" s="173" t="str">
        <f ca="1">IF(RegimeExecucao="Global","",ORÇAMENTO.Unidade)</f>
        <v/>
      </c>
      <c r="G425" s="124" t="str">
        <f ca="1">IF(RegimeExecucao="Global","",ORÇAMENTO!T425)</f>
        <v/>
      </c>
      <c r="H425" s="124" t="str">
        <f ca="1">IF(RegimeExecucao="Global","",ORÇAMENTO!W425)</f>
        <v/>
      </c>
      <c r="I425" s="127">
        <f ca="1">ORÇAMENTO!X425</f>
        <v>0</v>
      </c>
      <c r="J425" s="378">
        <f ca="1">IF($A425="S",IF(CAIXA.Modo,BM.AFAnterior,BM.MEDAnterior),IF(AND(RegimeExecucao="Global",$I425&gt;0,COUNTIF($AB$13:$AM$13,BM.medicao-1)&gt;0),M425/$I425*100,0))</f>
        <v>0</v>
      </c>
      <c r="K425" s="124">
        <f t="shared" ca="1" si="37"/>
        <v>0</v>
      </c>
      <c r="L425" s="379">
        <f ca="1">IF($A425="S",IF(CAIXA.Modo,BM.AFAcumulado,BM.MEDAcumulado),IF(AND(RegimeExecucao="Global",$I425&gt;0,COUNTIF($AB$13:$AM$13,BM.medicao)&gt;0),O425/$I425*100,0))</f>
        <v>0</v>
      </c>
      <c r="M425" s="380">
        <f ca="1">IF($A425="S",VTOTALBM,IF($A425=0,0,ROUND(SomaAgrupBM,15-13*ORÇAMENTO!$AF$11)))</f>
        <v>0</v>
      </c>
      <c r="N425" s="381">
        <f t="shared" ca="1" si="38"/>
        <v>0</v>
      </c>
      <c r="O425" s="127">
        <f ca="1">IF($A425="S",VTOTALBM,IF($A425=0,0,ROUND(SomaAgrupBM,15-13*ORÇAMENTO!$AF$11)))</f>
        <v>0</v>
      </c>
      <c r="Q425" s="382"/>
      <c r="R425" s="383"/>
      <c r="T425" s="119" t="str">
        <f t="shared" ca="1" si="39"/>
        <v/>
      </c>
      <c r="U425" s="172" t="str">
        <f t="shared" ca="1" si="40"/>
        <v/>
      </c>
      <c r="V425" s="173" t="str">
        <f ca="1">IF(AND($W425&gt;0,RegimeExecucao="Unitário"),$F425,"")</f>
        <v/>
      </c>
      <c r="W425" s="547">
        <f ca="1">IF($Y425&gt;0,CHOOSE(MATCH(RegimeExecucao,{"Unitário","Global"},0),IF($A425="S",$Y425/$X425,""),($Y425/$X425)*100),0)</f>
        <v>0</v>
      </c>
      <c r="X425" s="384" t="str">
        <f ca="1">IF($Y425&gt;0,CHOOSE(MATCH(RegimeExecucao,{"Unitário","Global"},0),IF($A425="S",ROUND($H425,ORÇAMENTO!$AF$10),""),ROUND($I425,ORÇAMENTO!$AF$11)),"")</f>
        <v/>
      </c>
      <c r="Y425" s="384">
        <f t="shared" ca="1" si="41"/>
        <v>0</v>
      </c>
      <c r="Z425" s="572"/>
      <c r="AB425" s="382"/>
      <c r="AC425" s="516"/>
      <c r="AD425" s="516"/>
      <c r="AE425" s="516"/>
      <c r="AF425" s="516"/>
      <c r="AG425" s="516"/>
      <c r="AH425" s="516"/>
      <c r="AI425" s="516"/>
      <c r="AJ425" s="516"/>
      <c r="AK425" s="516"/>
      <c r="AL425" s="516"/>
      <c r="AM425" s="383"/>
      <c r="AO425">
        <f ca="1">IF($A425="S",IF(BM!$I425=0,0,CHOOSE(MATCH(RegimeExecucao,{"Global","Unitário"},0),ROUND(ROUND(BM.MEDAcumulado,15-13*BM!$A$9)/100*BM!$I425,15-13*ORÇAMENTO!$AF$11),ROUND(ROUND(BM.MEDAcumulado,15-13*BM!$A$9)*ROUND(BM!$H425,15-13*ORÇAMENTO!$AF$10),15-13*ORÇAMENTO!$AF$11))),IF($A425=0,0,ROUND(SomaAgrupBM,15-13*ORÇAMENTO!$AF$11)))</f>
        <v>0</v>
      </c>
    </row>
    <row r="426" spans="1:41" ht="25.5" x14ac:dyDescent="0.2">
      <c r="A426" t="str">
        <f ca="1">ORÇAMENTO!C426</f>
        <v>S</v>
      </c>
      <c r="B426">
        <f ca="1">ORÇAMENTO!D426</f>
        <v>0</v>
      </c>
      <c r="C426" s="116" t="str">
        <f t="shared" ca="1" si="35"/>
        <v/>
      </c>
      <c r="D426" s="119" t="str">
        <f ca="1">ORÇAMENTO!O426</f>
        <v>-</v>
      </c>
      <c r="E426" s="172" t="str">
        <f t="shared" ca="1" si="42"/>
        <v>(abra o arquivo 'Referência 06-2024.xlsm)</v>
      </c>
      <c r="F426" s="173" t="str">
        <f ca="1">IF(RegimeExecucao="Global","",ORÇAMENTO.Unidade)</f>
        <v/>
      </c>
      <c r="G426" s="124" t="str">
        <f ca="1">IF(RegimeExecucao="Global","",ORÇAMENTO!T426)</f>
        <v/>
      </c>
      <c r="H426" s="124" t="str">
        <f ca="1">IF(RegimeExecucao="Global","",ORÇAMENTO!W426)</f>
        <v/>
      </c>
      <c r="I426" s="127">
        <f ca="1">ORÇAMENTO!X426</f>
        <v>0</v>
      </c>
      <c r="J426" s="378">
        <f ca="1">IF($A426="S",IF(CAIXA.Modo,BM.AFAnterior,BM.MEDAnterior),IF(AND(RegimeExecucao="Global",$I426&gt;0,COUNTIF($AB$13:$AM$13,BM.medicao-1)&gt;0),M426/$I426*100,0))</f>
        <v>0</v>
      </c>
      <c r="K426" s="124">
        <f t="shared" ca="1" si="37"/>
        <v>0</v>
      </c>
      <c r="L426" s="379">
        <f ca="1">IF($A426="S",IF(CAIXA.Modo,BM.AFAcumulado,BM.MEDAcumulado),IF(AND(RegimeExecucao="Global",$I426&gt;0,COUNTIF($AB$13:$AM$13,BM.medicao)&gt;0),O426/$I426*100,0))</f>
        <v>0</v>
      </c>
      <c r="M426" s="380">
        <f ca="1">IF($A426="S",VTOTALBM,IF($A426=0,0,ROUND(SomaAgrupBM,15-13*ORÇAMENTO!$AF$11)))</f>
        <v>0</v>
      </c>
      <c r="N426" s="381">
        <f t="shared" ca="1" si="38"/>
        <v>0</v>
      </c>
      <c r="O426" s="127">
        <f ca="1">IF($A426="S",VTOTALBM,IF($A426=0,0,ROUND(SomaAgrupBM,15-13*ORÇAMENTO!$AF$11)))</f>
        <v>0</v>
      </c>
      <c r="Q426" s="382"/>
      <c r="R426" s="383"/>
      <c r="T426" s="119" t="str">
        <f t="shared" ca="1" si="39"/>
        <v/>
      </c>
      <c r="U426" s="172" t="str">
        <f t="shared" ca="1" si="40"/>
        <v/>
      </c>
      <c r="V426" s="173" t="str">
        <f ca="1">IF(AND($W426&gt;0,RegimeExecucao="Unitário"),$F426,"")</f>
        <v/>
      </c>
      <c r="W426" s="547">
        <f ca="1">IF($Y426&gt;0,CHOOSE(MATCH(RegimeExecucao,{"Unitário","Global"},0),IF($A426="S",$Y426/$X426,""),($Y426/$X426)*100),0)</f>
        <v>0</v>
      </c>
      <c r="X426" s="384" t="str">
        <f ca="1">IF($Y426&gt;0,CHOOSE(MATCH(RegimeExecucao,{"Unitário","Global"},0),IF($A426="S",ROUND($H426,ORÇAMENTO!$AF$10),""),ROUND($I426,ORÇAMENTO!$AF$11)),"")</f>
        <v/>
      </c>
      <c r="Y426" s="384">
        <f t="shared" ca="1" si="41"/>
        <v>0</v>
      </c>
      <c r="Z426" s="572"/>
      <c r="AB426" s="382"/>
      <c r="AC426" s="516"/>
      <c r="AD426" s="516"/>
      <c r="AE426" s="516"/>
      <c r="AF426" s="516"/>
      <c r="AG426" s="516"/>
      <c r="AH426" s="516"/>
      <c r="AI426" s="516"/>
      <c r="AJ426" s="516"/>
      <c r="AK426" s="516"/>
      <c r="AL426" s="516"/>
      <c r="AM426" s="383"/>
      <c r="AO426">
        <f ca="1">IF($A426="S",IF(BM!$I426=0,0,CHOOSE(MATCH(RegimeExecucao,{"Global","Unitário"},0),ROUND(ROUND(BM.MEDAcumulado,15-13*BM!$A$9)/100*BM!$I426,15-13*ORÇAMENTO!$AF$11),ROUND(ROUND(BM.MEDAcumulado,15-13*BM!$A$9)*ROUND(BM!$H426,15-13*ORÇAMENTO!$AF$10),15-13*ORÇAMENTO!$AF$11))),IF($A426=0,0,ROUND(SomaAgrupBM,15-13*ORÇAMENTO!$AF$11)))</f>
        <v>0</v>
      </c>
    </row>
    <row r="427" spans="1:41" ht="25.5" x14ac:dyDescent="0.2">
      <c r="A427" t="str">
        <f ca="1">ORÇAMENTO!C427</f>
        <v>S</v>
      </c>
      <c r="B427">
        <f ca="1">ORÇAMENTO!D427</f>
        <v>0</v>
      </c>
      <c r="C427" s="116" t="str">
        <f t="shared" ca="1" si="35"/>
        <v/>
      </c>
      <c r="D427" s="119" t="str">
        <f ca="1">ORÇAMENTO!O427</f>
        <v>-</v>
      </c>
      <c r="E427" s="172" t="str">
        <f t="shared" ca="1" si="42"/>
        <v>(abra o arquivo 'Referência 06-2024.xlsm)</v>
      </c>
      <c r="F427" s="173" t="str">
        <f ca="1">IF(RegimeExecucao="Global","",ORÇAMENTO.Unidade)</f>
        <v/>
      </c>
      <c r="G427" s="124" t="str">
        <f ca="1">IF(RegimeExecucao="Global","",ORÇAMENTO!T427)</f>
        <v/>
      </c>
      <c r="H427" s="124" t="str">
        <f ca="1">IF(RegimeExecucao="Global","",ORÇAMENTO!W427)</f>
        <v/>
      </c>
      <c r="I427" s="127">
        <f ca="1">ORÇAMENTO!X427</f>
        <v>0</v>
      </c>
      <c r="J427" s="378">
        <f ca="1">IF($A427="S",IF(CAIXA.Modo,BM.AFAnterior,BM.MEDAnterior),IF(AND(RegimeExecucao="Global",$I427&gt;0,COUNTIF($AB$13:$AM$13,BM.medicao-1)&gt;0),M427/$I427*100,0))</f>
        <v>0</v>
      </c>
      <c r="K427" s="124">
        <f t="shared" ca="1" si="37"/>
        <v>0</v>
      </c>
      <c r="L427" s="379">
        <f ca="1">IF($A427="S",IF(CAIXA.Modo,BM.AFAcumulado,BM.MEDAcumulado),IF(AND(RegimeExecucao="Global",$I427&gt;0,COUNTIF($AB$13:$AM$13,BM.medicao)&gt;0),O427/$I427*100,0))</f>
        <v>0</v>
      </c>
      <c r="M427" s="380">
        <f ca="1">IF($A427="S",VTOTALBM,IF($A427=0,0,ROUND(SomaAgrupBM,15-13*ORÇAMENTO!$AF$11)))</f>
        <v>0</v>
      </c>
      <c r="N427" s="381">
        <f t="shared" ca="1" si="38"/>
        <v>0</v>
      </c>
      <c r="O427" s="127">
        <f ca="1">IF($A427="S",VTOTALBM,IF($A427=0,0,ROUND(SomaAgrupBM,15-13*ORÇAMENTO!$AF$11)))</f>
        <v>0</v>
      </c>
      <c r="Q427" s="382"/>
      <c r="R427" s="383"/>
      <c r="T427" s="119" t="str">
        <f t="shared" ca="1" si="39"/>
        <v/>
      </c>
      <c r="U427" s="172" t="str">
        <f t="shared" ca="1" si="40"/>
        <v/>
      </c>
      <c r="V427" s="173" t="str">
        <f ca="1">IF(AND($W427&gt;0,RegimeExecucao="Unitário"),$F427,"")</f>
        <v/>
      </c>
      <c r="W427" s="547">
        <f ca="1">IF($Y427&gt;0,CHOOSE(MATCH(RegimeExecucao,{"Unitário","Global"},0),IF($A427="S",$Y427/$X427,""),($Y427/$X427)*100),0)</f>
        <v>0</v>
      </c>
      <c r="X427" s="384" t="str">
        <f ca="1">IF($Y427&gt;0,CHOOSE(MATCH(RegimeExecucao,{"Unitário","Global"},0),IF($A427="S",ROUND($H427,ORÇAMENTO!$AF$10),""),ROUND($I427,ORÇAMENTO!$AF$11)),"")</f>
        <v/>
      </c>
      <c r="Y427" s="384">
        <f t="shared" ca="1" si="41"/>
        <v>0</v>
      </c>
      <c r="Z427" s="572"/>
      <c r="AB427" s="382"/>
      <c r="AC427" s="516"/>
      <c r="AD427" s="516"/>
      <c r="AE427" s="516"/>
      <c r="AF427" s="516"/>
      <c r="AG427" s="516"/>
      <c r="AH427" s="516"/>
      <c r="AI427" s="516"/>
      <c r="AJ427" s="516"/>
      <c r="AK427" s="516"/>
      <c r="AL427" s="516"/>
      <c r="AM427" s="383"/>
      <c r="AO427">
        <f ca="1">IF($A427="S",IF(BM!$I427=0,0,CHOOSE(MATCH(RegimeExecucao,{"Global","Unitário"},0),ROUND(ROUND(BM.MEDAcumulado,15-13*BM!$A$9)/100*BM!$I427,15-13*ORÇAMENTO!$AF$11),ROUND(ROUND(BM.MEDAcumulado,15-13*BM!$A$9)*ROUND(BM!$H427,15-13*ORÇAMENTO!$AF$10),15-13*ORÇAMENTO!$AF$11))),IF($A427=0,0,ROUND(SomaAgrupBM,15-13*ORÇAMENTO!$AF$11)))</f>
        <v>0</v>
      </c>
    </row>
    <row r="428" spans="1:41" ht="38.25" x14ac:dyDescent="0.2">
      <c r="A428" t="str">
        <f ca="1">ORÇAMENTO!C428</f>
        <v>S</v>
      </c>
      <c r="B428">
        <f ca="1">ORÇAMENTO!D428</f>
        <v>0</v>
      </c>
      <c r="C428" s="116" t="str">
        <f t="shared" ca="1" si="35"/>
        <v/>
      </c>
      <c r="D428" s="119" t="str">
        <f ca="1">ORÇAMENTO!O428</f>
        <v>-</v>
      </c>
      <c r="E428" s="172" t="str">
        <f t="shared" ca="1" si="42"/>
        <v>(abra o arquivo 'Referência 06-2024.xlsm)</v>
      </c>
      <c r="F428" s="173" t="str">
        <f ca="1">IF(RegimeExecucao="Global","",ORÇAMENTO.Unidade)</f>
        <v/>
      </c>
      <c r="G428" s="124" t="str">
        <f ca="1">IF(RegimeExecucao="Global","",ORÇAMENTO!T428)</f>
        <v/>
      </c>
      <c r="H428" s="124" t="str">
        <f ca="1">IF(RegimeExecucao="Global","",ORÇAMENTO!W428)</f>
        <v/>
      </c>
      <c r="I428" s="127">
        <f ca="1">ORÇAMENTO!X428</f>
        <v>0</v>
      </c>
      <c r="J428" s="378">
        <f ca="1">IF($A428="S",IF(CAIXA.Modo,BM.AFAnterior,BM.MEDAnterior),IF(AND(RegimeExecucao="Global",$I428&gt;0,COUNTIF($AB$13:$AM$13,BM.medicao-1)&gt;0),M428/$I428*100,0))</f>
        <v>0</v>
      </c>
      <c r="K428" s="124">
        <f t="shared" ca="1" si="37"/>
        <v>0</v>
      </c>
      <c r="L428" s="379">
        <f ca="1">IF($A428="S",IF(CAIXA.Modo,BM.AFAcumulado,BM.MEDAcumulado),IF(AND(RegimeExecucao="Global",$I428&gt;0,COUNTIF($AB$13:$AM$13,BM.medicao)&gt;0),O428/$I428*100,0))</f>
        <v>0</v>
      </c>
      <c r="M428" s="380">
        <f ca="1">IF($A428="S",VTOTALBM,IF($A428=0,0,ROUND(SomaAgrupBM,15-13*ORÇAMENTO!$AF$11)))</f>
        <v>0</v>
      </c>
      <c r="N428" s="381">
        <f t="shared" ca="1" si="38"/>
        <v>0</v>
      </c>
      <c r="O428" s="127">
        <f ca="1">IF($A428="S",VTOTALBM,IF($A428=0,0,ROUND(SomaAgrupBM,15-13*ORÇAMENTO!$AF$11)))</f>
        <v>0</v>
      </c>
      <c r="Q428" s="382"/>
      <c r="R428" s="383"/>
      <c r="T428" s="119" t="str">
        <f t="shared" ca="1" si="39"/>
        <v/>
      </c>
      <c r="U428" s="172" t="str">
        <f t="shared" ca="1" si="40"/>
        <v/>
      </c>
      <c r="V428" s="173" t="str">
        <f ca="1">IF(AND($W428&gt;0,RegimeExecucao="Unitário"),$F428,"")</f>
        <v/>
      </c>
      <c r="W428" s="547">
        <f ca="1">IF($Y428&gt;0,CHOOSE(MATCH(RegimeExecucao,{"Unitário","Global"},0),IF($A428="S",$Y428/$X428,""),($Y428/$X428)*100),0)</f>
        <v>0</v>
      </c>
      <c r="X428" s="384" t="str">
        <f ca="1">IF($Y428&gt;0,CHOOSE(MATCH(RegimeExecucao,{"Unitário","Global"},0),IF($A428="S",ROUND($H428,ORÇAMENTO!$AF$10),""),ROUND($I428,ORÇAMENTO!$AF$11)),"")</f>
        <v/>
      </c>
      <c r="Y428" s="384">
        <f t="shared" ca="1" si="41"/>
        <v>0</v>
      </c>
      <c r="Z428" s="572"/>
      <c r="AB428" s="382"/>
      <c r="AC428" s="516"/>
      <c r="AD428" s="516"/>
      <c r="AE428" s="516"/>
      <c r="AF428" s="516"/>
      <c r="AG428" s="516"/>
      <c r="AH428" s="516"/>
      <c r="AI428" s="516"/>
      <c r="AJ428" s="516"/>
      <c r="AK428" s="516"/>
      <c r="AL428" s="516"/>
      <c r="AM428" s="383"/>
      <c r="AO428">
        <f ca="1">IF($A428="S",IF(BM!$I428=0,0,CHOOSE(MATCH(RegimeExecucao,{"Global","Unitário"},0),ROUND(ROUND(BM.MEDAcumulado,15-13*BM!$A$9)/100*BM!$I428,15-13*ORÇAMENTO!$AF$11),ROUND(ROUND(BM.MEDAcumulado,15-13*BM!$A$9)*ROUND(BM!$H428,15-13*ORÇAMENTO!$AF$10),15-13*ORÇAMENTO!$AF$11))),IF($A428=0,0,ROUND(SomaAgrupBM,15-13*ORÇAMENTO!$AF$11)))</f>
        <v>0</v>
      </c>
    </row>
    <row r="429" spans="1:41" ht="25.5" x14ac:dyDescent="0.2">
      <c r="A429" t="str">
        <f ca="1">ORÇAMENTO!C429</f>
        <v>S</v>
      </c>
      <c r="B429">
        <f ca="1">ORÇAMENTO!D429</f>
        <v>0</v>
      </c>
      <c r="C429" s="116" t="str">
        <f t="shared" ca="1" si="35"/>
        <v/>
      </c>
      <c r="D429" s="119" t="str">
        <f ca="1">ORÇAMENTO!O429</f>
        <v>-</v>
      </c>
      <c r="E429" s="172" t="str">
        <f t="shared" ca="1" si="42"/>
        <v>(abra o arquivo 'Referência 06-2024.xlsm)</v>
      </c>
      <c r="F429" s="173" t="str">
        <f ca="1">IF(RegimeExecucao="Global","",ORÇAMENTO.Unidade)</f>
        <v/>
      </c>
      <c r="G429" s="124" t="str">
        <f ca="1">IF(RegimeExecucao="Global","",ORÇAMENTO!T429)</f>
        <v/>
      </c>
      <c r="H429" s="124" t="str">
        <f ca="1">IF(RegimeExecucao="Global","",ORÇAMENTO!W429)</f>
        <v/>
      </c>
      <c r="I429" s="127">
        <f ca="1">ORÇAMENTO!X429</f>
        <v>0</v>
      </c>
      <c r="J429" s="378">
        <f ca="1">IF($A429="S",IF(CAIXA.Modo,BM.AFAnterior,BM.MEDAnterior),IF(AND(RegimeExecucao="Global",$I429&gt;0,COUNTIF($AB$13:$AM$13,BM.medicao-1)&gt;0),M429/$I429*100,0))</f>
        <v>0</v>
      </c>
      <c r="K429" s="124">
        <f t="shared" ca="1" si="37"/>
        <v>0</v>
      </c>
      <c r="L429" s="379">
        <f ca="1">IF($A429="S",IF(CAIXA.Modo,BM.AFAcumulado,BM.MEDAcumulado),IF(AND(RegimeExecucao="Global",$I429&gt;0,COUNTIF($AB$13:$AM$13,BM.medicao)&gt;0),O429/$I429*100,0))</f>
        <v>0</v>
      </c>
      <c r="M429" s="380">
        <f ca="1">IF($A429="S",VTOTALBM,IF($A429=0,0,ROUND(SomaAgrupBM,15-13*ORÇAMENTO!$AF$11)))</f>
        <v>0</v>
      </c>
      <c r="N429" s="381">
        <f t="shared" ca="1" si="38"/>
        <v>0</v>
      </c>
      <c r="O429" s="127">
        <f ca="1">IF($A429="S",VTOTALBM,IF($A429=0,0,ROUND(SomaAgrupBM,15-13*ORÇAMENTO!$AF$11)))</f>
        <v>0</v>
      </c>
      <c r="Q429" s="382"/>
      <c r="R429" s="383"/>
      <c r="T429" s="119" t="str">
        <f t="shared" ca="1" si="39"/>
        <v/>
      </c>
      <c r="U429" s="172" t="str">
        <f t="shared" ca="1" si="40"/>
        <v/>
      </c>
      <c r="V429" s="173" t="str">
        <f ca="1">IF(AND($W429&gt;0,RegimeExecucao="Unitário"),$F429,"")</f>
        <v/>
      </c>
      <c r="W429" s="547">
        <f ca="1">IF($Y429&gt;0,CHOOSE(MATCH(RegimeExecucao,{"Unitário","Global"},0),IF($A429="S",$Y429/$X429,""),($Y429/$X429)*100),0)</f>
        <v>0</v>
      </c>
      <c r="X429" s="384" t="str">
        <f ca="1">IF($Y429&gt;0,CHOOSE(MATCH(RegimeExecucao,{"Unitário","Global"},0),IF($A429="S",ROUND($H429,ORÇAMENTO!$AF$10),""),ROUND($I429,ORÇAMENTO!$AF$11)),"")</f>
        <v/>
      </c>
      <c r="Y429" s="384">
        <f t="shared" ca="1" si="41"/>
        <v>0</v>
      </c>
      <c r="Z429" s="572"/>
      <c r="AB429" s="382"/>
      <c r="AC429" s="516"/>
      <c r="AD429" s="516"/>
      <c r="AE429" s="516"/>
      <c r="AF429" s="516"/>
      <c r="AG429" s="516"/>
      <c r="AH429" s="516"/>
      <c r="AI429" s="516"/>
      <c r="AJ429" s="516"/>
      <c r="AK429" s="516"/>
      <c r="AL429" s="516"/>
      <c r="AM429" s="383"/>
      <c r="AO429">
        <f ca="1">IF($A429="S",IF(BM!$I429=0,0,CHOOSE(MATCH(RegimeExecucao,{"Global","Unitário"},0),ROUND(ROUND(BM.MEDAcumulado,15-13*BM!$A$9)/100*BM!$I429,15-13*ORÇAMENTO!$AF$11),ROUND(ROUND(BM.MEDAcumulado,15-13*BM!$A$9)*ROUND(BM!$H429,15-13*ORÇAMENTO!$AF$10),15-13*ORÇAMENTO!$AF$11))),IF($A429=0,0,ROUND(SomaAgrupBM,15-13*ORÇAMENTO!$AF$11)))</f>
        <v>0</v>
      </c>
    </row>
    <row r="430" spans="1:41" ht="25.5" x14ac:dyDescent="0.2">
      <c r="A430" t="str">
        <f ca="1">ORÇAMENTO!C430</f>
        <v>S</v>
      </c>
      <c r="B430">
        <f ca="1">ORÇAMENTO!D430</f>
        <v>0</v>
      </c>
      <c r="C430" s="116" t="str">
        <f t="shared" ca="1" si="35"/>
        <v/>
      </c>
      <c r="D430" s="119" t="str">
        <f ca="1">ORÇAMENTO!O430</f>
        <v>-</v>
      </c>
      <c r="E430" s="172" t="str">
        <f t="shared" ca="1" si="42"/>
        <v>(abra o arquivo 'Referência 06-2024.xlsm)</v>
      </c>
      <c r="F430" s="173" t="str">
        <f ca="1">IF(RegimeExecucao="Global","",ORÇAMENTO.Unidade)</f>
        <v/>
      </c>
      <c r="G430" s="124" t="str">
        <f ca="1">IF(RegimeExecucao="Global","",ORÇAMENTO!T430)</f>
        <v/>
      </c>
      <c r="H430" s="124" t="str">
        <f ca="1">IF(RegimeExecucao="Global","",ORÇAMENTO!W430)</f>
        <v/>
      </c>
      <c r="I430" s="127">
        <f ca="1">ORÇAMENTO!X430</f>
        <v>0</v>
      </c>
      <c r="J430" s="378">
        <f ca="1">IF($A430="S",IF(CAIXA.Modo,BM.AFAnterior,BM.MEDAnterior),IF(AND(RegimeExecucao="Global",$I430&gt;0,COUNTIF($AB$13:$AM$13,BM.medicao-1)&gt;0),M430/$I430*100,0))</f>
        <v>0</v>
      </c>
      <c r="K430" s="124">
        <f t="shared" ca="1" si="37"/>
        <v>0</v>
      </c>
      <c r="L430" s="379">
        <f ca="1">IF($A430="S",IF(CAIXA.Modo,BM.AFAcumulado,BM.MEDAcumulado),IF(AND(RegimeExecucao="Global",$I430&gt;0,COUNTIF($AB$13:$AM$13,BM.medicao)&gt;0),O430/$I430*100,0))</f>
        <v>0</v>
      </c>
      <c r="M430" s="380">
        <f ca="1">IF($A430="S",VTOTALBM,IF($A430=0,0,ROUND(SomaAgrupBM,15-13*ORÇAMENTO!$AF$11)))</f>
        <v>0</v>
      </c>
      <c r="N430" s="381">
        <f t="shared" ca="1" si="38"/>
        <v>0</v>
      </c>
      <c r="O430" s="127">
        <f ca="1">IF($A430="S",VTOTALBM,IF($A430=0,0,ROUND(SomaAgrupBM,15-13*ORÇAMENTO!$AF$11)))</f>
        <v>0</v>
      </c>
      <c r="Q430" s="382"/>
      <c r="R430" s="383"/>
      <c r="T430" s="119" t="str">
        <f t="shared" ca="1" si="39"/>
        <v/>
      </c>
      <c r="U430" s="172" t="str">
        <f t="shared" ca="1" si="40"/>
        <v/>
      </c>
      <c r="V430" s="173" t="str">
        <f ca="1">IF(AND($W430&gt;0,RegimeExecucao="Unitário"),$F430,"")</f>
        <v/>
      </c>
      <c r="W430" s="547">
        <f ca="1">IF($Y430&gt;0,CHOOSE(MATCH(RegimeExecucao,{"Unitário","Global"},0),IF($A430="S",$Y430/$X430,""),($Y430/$X430)*100),0)</f>
        <v>0</v>
      </c>
      <c r="X430" s="384" t="str">
        <f ca="1">IF($Y430&gt;0,CHOOSE(MATCH(RegimeExecucao,{"Unitário","Global"},0),IF($A430="S",ROUND($H430,ORÇAMENTO!$AF$10),""),ROUND($I430,ORÇAMENTO!$AF$11)),"")</f>
        <v/>
      </c>
      <c r="Y430" s="384">
        <f t="shared" ca="1" si="41"/>
        <v>0</v>
      </c>
      <c r="Z430" s="572"/>
      <c r="AB430" s="382"/>
      <c r="AC430" s="516"/>
      <c r="AD430" s="516"/>
      <c r="AE430" s="516"/>
      <c r="AF430" s="516"/>
      <c r="AG430" s="516"/>
      <c r="AH430" s="516"/>
      <c r="AI430" s="516"/>
      <c r="AJ430" s="516"/>
      <c r="AK430" s="516"/>
      <c r="AL430" s="516"/>
      <c r="AM430" s="383"/>
      <c r="AO430">
        <f ca="1">IF($A430="S",IF(BM!$I430=0,0,CHOOSE(MATCH(RegimeExecucao,{"Global","Unitário"},0),ROUND(ROUND(BM.MEDAcumulado,15-13*BM!$A$9)/100*BM!$I430,15-13*ORÇAMENTO!$AF$11),ROUND(ROUND(BM.MEDAcumulado,15-13*BM!$A$9)*ROUND(BM!$H430,15-13*ORÇAMENTO!$AF$10),15-13*ORÇAMENTO!$AF$11))),IF($A430=0,0,ROUND(SomaAgrupBM,15-13*ORÇAMENTO!$AF$11)))</f>
        <v>0</v>
      </c>
    </row>
    <row r="431" spans="1:41" x14ac:dyDescent="0.2">
      <c r="A431" t="str">
        <f ca="1">ORÇAMENTO!C431</f>
        <v>S</v>
      </c>
      <c r="B431">
        <f ca="1">ORÇAMENTO!D431</f>
        <v>0</v>
      </c>
      <c r="C431" s="116" t="str">
        <f t="shared" ca="1" si="35"/>
        <v/>
      </c>
      <c r="D431" s="119" t="str">
        <f ca="1">ORÇAMENTO!O431</f>
        <v>-</v>
      </c>
      <c r="E431" s="172" t="str">
        <f t="shared" ca="1" si="42"/>
        <v>(abra o arquivo 'Referência 06-2024.xlsm)</v>
      </c>
      <c r="F431" s="173" t="str">
        <f ca="1">IF(RegimeExecucao="Global","",ORÇAMENTO.Unidade)</f>
        <v/>
      </c>
      <c r="G431" s="124" t="str">
        <f ca="1">IF(RegimeExecucao="Global","",ORÇAMENTO!T431)</f>
        <v/>
      </c>
      <c r="H431" s="124" t="str">
        <f ca="1">IF(RegimeExecucao="Global","",ORÇAMENTO!W431)</f>
        <v/>
      </c>
      <c r="I431" s="127">
        <f ca="1">ORÇAMENTO!X431</f>
        <v>0</v>
      </c>
      <c r="J431" s="378">
        <f ca="1">IF($A431="S",IF(CAIXA.Modo,BM.AFAnterior,BM.MEDAnterior),IF(AND(RegimeExecucao="Global",$I431&gt;0,COUNTIF($AB$13:$AM$13,BM.medicao-1)&gt;0),M431/$I431*100,0))</f>
        <v>0</v>
      </c>
      <c r="K431" s="124">
        <f t="shared" ca="1" si="37"/>
        <v>0</v>
      </c>
      <c r="L431" s="379">
        <f ca="1">IF($A431="S",IF(CAIXA.Modo,BM.AFAcumulado,BM.MEDAcumulado),IF(AND(RegimeExecucao="Global",$I431&gt;0,COUNTIF($AB$13:$AM$13,BM.medicao)&gt;0),O431/$I431*100,0))</f>
        <v>0</v>
      </c>
      <c r="M431" s="380">
        <f ca="1">IF($A431="S",VTOTALBM,IF($A431=0,0,ROUND(SomaAgrupBM,15-13*ORÇAMENTO!$AF$11)))</f>
        <v>0</v>
      </c>
      <c r="N431" s="381">
        <f t="shared" ca="1" si="38"/>
        <v>0</v>
      </c>
      <c r="O431" s="127">
        <f ca="1">IF($A431="S",VTOTALBM,IF($A431=0,0,ROUND(SomaAgrupBM,15-13*ORÇAMENTO!$AF$11)))</f>
        <v>0</v>
      </c>
      <c r="Q431" s="382"/>
      <c r="R431" s="383"/>
      <c r="T431" s="119" t="str">
        <f t="shared" ca="1" si="39"/>
        <v/>
      </c>
      <c r="U431" s="172" t="str">
        <f t="shared" ca="1" si="40"/>
        <v/>
      </c>
      <c r="V431" s="173" t="str">
        <f ca="1">IF(AND($W431&gt;0,RegimeExecucao="Unitário"),$F431,"")</f>
        <v/>
      </c>
      <c r="W431" s="547">
        <f ca="1">IF($Y431&gt;0,CHOOSE(MATCH(RegimeExecucao,{"Unitário","Global"},0),IF($A431="S",$Y431/$X431,""),($Y431/$X431)*100),0)</f>
        <v>0</v>
      </c>
      <c r="X431" s="384" t="str">
        <f ca="1">IF($Y431&gt;0,CHOOSE(MATCH(RegimeExecucao,{"Unitário","Global"},0),IF($A431="S",ROUND($H431,ORÇAMENTO!$AF$10),""),ROUND($I431,ORÇAMENTO!$AF$11)),"")</f>
        <v/>
      </c>
      <c r="Y431" s="384">
        <f t="shared" ca="1" si="41"/>
        <v>0</v>
      </c>
      <c r="Z431" s="572"/>
      <c r="AB431" s="382"/>
      <c r="AC431" s="516"/>
      <c r="AD431" s="516"/>
      <c r="AE431" s="516"/>
      <c r="AF431" s="516"/>
      <c r="AG431" s="516"/>
      <c r="AH431" s="516"/>
      <c r="AI431" s="516"/>
      <c r="AJ431" s="516"/>
      <c r="AK431" s="516"/>
      <c r="AL431" s="516"/>
      <c r="AM431" s="383"/>
      <c r="AO431">
        <f ca="1">IF($A431="S",IF(BM!$I431=0,0,CHOOSE(MATCH(RegimeExecucao,{"Global","Unitário"},0),ROUND(ROUND(BM.MEDAcumulado,15-13*BM!$A$9)/100*BM!$I431,15-13*ORÇAMENTO!$AF$11),ROUND(ROUND(BM.MEDAcumulado,15-13*BM!$A$9)*ROUND(BM!$H431,15-13*ORÇAMENTO!$AF$10),15-13*ORÇAMENTO!$AF$11))),IF($A431=0,0,ROUND(SomaAgrupBM,15-13*ORÇAMENTO!$AF$11)))</f>
        <v>0</v>
      </c>
    </row>
    <row r="432" spans="1:41" x14ac:dyDescent="0.2">
      <c r="A432" t="str">
        <f ca="1">ORÇAMENTO!C432</f>
        <v>S</v>
      </c>
      <c r="B432">
        <f ca="1">ORÇAMENTO!D432</f>
        <v>0</v>
      </c>
      <c r="C432" s="116" t="str">
        <f t="shared" ca="1" si="35"/>
        <v/>
      </c>
      <c r="D432" s="119" t="str">
        <f ca="1">ORÇAMENTO!O432</f>
        <v>-</v>
      </c>
      <c r="E432" s="172" t="str">
        <f t="shared" ca="1" si="42"/>
        <v>(abra o arquivo 'Referência 06-2024.xlsm)</v>
      </c>
      <c r="F432" s="173" t="str">
        <f ca="1">IF(RegimeExecucao="Global","",ORÇAMENTO.Unidade)</f>
        <v/>
      </c>
      <c r="G432" s="124" t="str">
        <f ca="1">IF(RegimeExecucao="Global","",ORÇAMENTO!T432)</f>
        <v/>
      </c>
      <c r="H432" s="124" t="str">
        <f ca="1">IF(RegimeExecucao="Global","",ORÇAMENTO!W432)</f>
        <v/>
      </c>
      <c r="I432" s="127">
        <f ca="1">ORÇAMENTO!X432</f>
        <v>0</v>
      </c>
      <c r="J432" s="378">
        <f ca="1">IF($A432="S",IF(CAIXA.Modo,BM.AFAnterior,BM.MEDAnterior),IF(AND(RegimeExecucao="Global",$I432&gt;0,COUNTIF($AB$13:$AM$13,BM.medicao-1)&gt;0),M432/$I432*100,0))</f>
        <v>0</v>
      </c>
      <c r="K432" s="124">
        <f t="shared" ca="1" si="37"/>
        <v>0</v>
      </c>
      <c r="L432" s="379">
        <f ca="1">IF($A432="S",IF(CAIXA.Modo,BM.AFAcumulado,BM.MEDAcumulado),IF(AND(RegimeExecucao="Global",$I432&gt;0,COUNTIF($AB$13:$AM$13,BM.medicao)&gt;0),O432/$I432*100,0))</f>
        <v>0</v>
      </c>
      <c r="M432" s="380">
        <f ca="1">IF($A432="S",VTOTALBM,IF($A432=0,0,ROUND(SomaAgrupBM,15-13*ORÇAMENTO!$AF$11)))</f>
        <v>0</v>
      </c>
      <c r="N432" s="381">
        <f t="shared" ca="1" si="38"/>
        <v>0</v>
      </c>
      <c r="O432" s="127">
        <f ca="1">IF($A432="S",VTOTALBM,IF($A432=0,0,ROUND(SomaAgrupBM,15-13*ORÇAMENTO!$AF$11)))</f>
        <v>0</v>
      </c>
      <c r="Q432" s="382"/>
      <c r="R432" s="383"/>
      <c r="T432" s="119" t="str">
        <f t="shared" ca="1" si="39"/>
        <v/>
      </c>
      <c r="U432" s="172" t="str">
        <f t="shared" ca="1" si="40"/>
        <v/>
      </c>
      <c r="V432" s="173" t="str">
        <f ca="1">IF(AND($W432&gt;0,RegimeExecucao="Unitário"),$F432,"")</f>
        <v/>
      </c>
      <c r="W432" s="547">
        <f ca="1">IF($Y432&gt;0,CHOOSE(MATCH(RegimeExecucao,{"Unitário","Global"},0),IF($A432="S",$Y432/$X432,""),($Y432/$X432)*100),0)</f>
        <v>0</v>
      </c>
      <c r="X432" s="384" t="str">
        <f ca="1">IF($Y432&gt;0,CHOOSE(MATCH(RegimeExecucao,{"Unitário","Global"},0),IF($A432="S",ROUND($H432,ORÇAMENTO!$AF$10),""),ROUND($I432,ORÇAMENTO!$AF$11)),"")</f>
        <v/>
      </c>
      <c r="Y432" s="384">
        <f t="shared" ca="1" si="41"/>
        <v>0</v>
      </c>
      <c r="Z432" s="572"/>
      <c r="AB432" s="382"/>
      <c r="AC432" s="516"/>
      <c r="AD432" s="516"/>
      <c r="AE432" s="516"/>
      <c r="AF432" s="516"/>
      <c r="AG432" s="516"/>
      <c r="AH432" s="516"/>
      <c r="AI432" s="516"/>
      <c r="AJ432" s="516"/>
      <c r="AK432" s="516"/>
      <c r="AL432" s="516"/>
      <c r="AM432" s="383"/>
      <c r="AO432">
        <f ca="1">IF($A432="S",IF(BM!$I432=0,0,CHOOSE(MATCH(RegimeExecucao,{"Global","Unitário"},0),ROUND(ROUND(BM.MEDAcumulado,15-13*BM!$A$9)/100*BM!$I432,15-13*ORÇAMENTO!$AF$11),ROUND(ROUND(BM.MEDAcumulado,15-13*BM!$A$9)*ROUND(BM!$H432,15-13*ORÇAMENTO!$AF$10),15-13*ORÇAMENTO!$AF$11))),IF($A432=0,0,ROUND(SomaAgrupBM,15-13*ORÇAMENTO!$AF$11)))</f>
        <v>0</v>
      </c>
    </row>
    <row r="433" spans="1:41" x14ac:dyDescent="0.2">
      <c r="A433" t="str">
        <f ca="1">ORÇAMENTO!C433</f>
        <v>S</v>
      </c>
      <c r="B433">
        <f ca="1">ORÇAMENTO!D433</f>
        <v>0</v>
      </c>
      <c r="C433" s="116" t="str">
        <f t="shared" ca="1" si="35"/>
        <v/>
      </c>
      <c r="D433" s="119" t="str">
        <f ca="1">ORÇAMENTO!O433</f>
        <v>-</v>
      </c>
      <c r="E433" s="172" t="str">
        <f t="shared" ca="1" si="42"/>
        <v>(abra o arquivo 'Referência 06-2024.xlsm)</v>
      </c>
      <c r="F433" s="173" t="str">
        <f ca="1">IF(RegimeExecucao="Global","",ORÇAMENTO.Unidade)</f>
        <v/>
      </c>
      <c r="G433" s="124" t="str">
        <f ca="1">IF(RegimeExecucao="Global","",ORÇAMENTO!T433)</f>
        <v/>
      </c>
      <c r="H433" s="124" t="str">
        <f ca="1">IF(RegimeExecucao="Global","",ORÇAMENTO!W433)</f>
        <v/>
      </c>
      <c r="I433" s="127">
        <f ca="1">ORÇAMENTO!X433</f>
        <v>0</v>
      </c>
      <c r="J433" s="378">
        <f ca="1">IF($A433="S",IF(CAIXA.Modo,BM.AFAnterior,BM.MEDAnterior),IF(AND(RegimeExecucao="Global",$I433&gt;0,COUNTIF($AB$13:$AM$13,BM.medicao-1)&gt;0),M433/$I433*100,0))</f>
        <v>0</v>
      </c>
      <c r="K433" s="124">
        <f t="shared" ca="1" si="37"/>
        <v>0</v>
      </c>
      <c r="L433" s="379">
        <f ca="1">IF($A433="S",IF(CAIXA.Modo,BM.AFAcumulado,BM.MEDAcumulado),IF(AND(RegimeExecucao="Global",$I433&gt;0,COUNTIF($AB$13:$AM$13,BM.medicao)&gt;0),O433/$I433*100,0))</f>
        <v>0</v>
      </c>
      <c r="M433" s="380">
        <f ca="1">IF($A433="S",VTOTALBM,IF($A433=0,0,ROUND(SomaAgrupBM,15-13*ORÇAMENTO!$AF$11)))</f>
        <v>0</v>
      </c>
      <c r="N433" s="381">
        <f t="shared" ca="1" si="38"/>
        <v>0</v>
      </c>
      <c r="O433" s="127">
        <f ca="1">IF($A433="S",VTOTALBM,IF($A433=0,0,ROUND(SomaAgrupBM,15-13*ORÇAMENTO!$AF$11)))</f>
        <v>0</v>
      </c>
      <c r="Q433" s="382"/>
      <c r="R433" s="383"/>
      <c r="T433" s="119" t="str">
        <f t="shared" ca="1" si="39"/>
        <v/>
      </c>
      <c r="U433" s="172" t="str">
        <f t="shared" ca="1" si="40"/>
        <v/>
      </c>
      <c r="V433" s="173" t="str">
        <f ca="1">IF(AND($W433&gt;0,RegimeExecucao="Unitário"),$F433,"")</f>
        <v/>
      </c>
      <c r="W433" s="547">
        <f ca="1">IF($Y433&gt;0,CHOOSE(MATCH(RegimeExecucao,{"Unitário","Global"},0),IF($A433="S",$Y433/$X433,""),($Y433/$X433)*100),0)</f>
        <v>0</v>
      </c>
      <c r="X433" s="384" t="str">
        <f ca="1">IF($Y433&gt;0,CHOOSE(MATCH(RegimeExecucao,{"Unitário","Global"},0),IF($A433="S",ROUND($H433,ORÇAMENTO!$AF$10),""),ROUND($I433,ORÇAMENTO!$AF$11)),"")</f>
        <v/>
      </c>
      <c r="Y433" s="384">
        <f t="shared" ca="1" si="41"/>
        <v>0</v>
      </c>
      <c r="Z433" s="572"/>
      <c r="AB433" s="382"/>
      <c r="AC433" s="516"/>
      <c r="AD433" s="516"/>
      <c r="AE433" s="516"/>
      <c r="AF433" s="516"/>
      <c r="AG433" s="516"/>
      <c r="AH433" s="516"/>
      <c r="AI433" s="516"/>
      <c r="AJ433" s="516"/>
      <c r="AK433" s="516"/>
      <c r="AL433" s="516"/>
      <c r="AM433" s="383"/>
      <c r="AO433">
        <f ca="1">IF($A433="S",IF(BM!$I433=0,0,CHOOSE(MATCH(RegimeExecucao,{"Global","Unitário"},0),ROUND(ROUND(BM.MEDAcumulado,15-13*BM!$A$9)/100*BM!$I433,15-13*ORÇAMENTO!$AF$11),ROUND(ROUND(BM.MEDAcumulado,15-13*BM!$A$9)*ROUND(BM!$H433,15-13*ORÇAMENTO!$AF$10),15-13*ORÇAMENTO!$AF$11))),IF($A433=0,0,ROUND(SomaAgrupBM,15-13*ORÇAMENTO!$AF$11)))</f>
        <v>0</v>
      </c>
    </row>
    <row r="434" spans="1:41" x14ac:dyDescent="0.2">
      <c r="A434" t="str">
        <f ca="1">ORÇAMENTO!C434</f>
        <v>S</v>
      </c>
      <c r="B434">
        <f ca="1">ORÇAMENTO!D434</f>
        <v>0</v>
      </c>
      <c r="C434" s="116" t="str">
        <f t="shared" ca="1" si="35"/>
        <v/>
      </c>
      <c r="D434" s="119" t="str">
        <f ca="1">ORÇAMENTO!O434</f>
        <v>-</v>
      </c>
      <c r="E434" s="172" t="str">
        <f t="shared" ca="1" si="42"/>
        <v>(abra o arquivo 'Referência 06-2024.xlsm)</v>
      </c>
      <c r="F434" s="173" t="str">
        <f ca="1">IF(RegimeExecucao="Global","",ORÇAMENTO.Unidade)</f>
        <v/>
      </c>
      <c r="G434" s="124" t="str">
        <f ca="1">IF(RegimeExecucao="Global","",ORÇAMENTO!T434)</f>
        <v/>
      </c>
      <c r="H434" s="124" t="str">
        <f ca="1">IF(RegimeExecucao="Global","",ORÇAMENTO!W434)</f>
        <v/>
      </c>
      <c r="I434" s="127">
        <f ca="1">ORÇAMENTO!X434</f>
        <v>0</v>
      </c>
      <c r="J434" s="378">
        <f ca="1">IF($A434="S",IF(CAIXA.Modo,BM.AFAnterior,BM.MEDAnterior),IF(AND(RegimeExecucao="Global",$I434&gt;0,COUNTIF($AB$13:$AM$13,BM.medicao-1)&gt;0),M434/$I434*100,0))</f>
        <v>0</v>
      </c>
      <c r="K434" s="124">
        <f t="shared" ca="1" si="37"/>
        <v>0</v>
      </c>
      <c r="L434" s="379">
        <f ca="1">IF($A434="S",IF(CAIXA.Modo,BM.AFAcumulado,BM.MEDAcumulado),IF(AND(RegimeExecucao="Global",$I434&gt;0,COUNTIF($AB$13:$AM$13,BM.medicao)&gt;0),O434/$I434*100,0))</f>
        <v>0</v>
      </c>
      <c r="M434" s="380">
        <f ca="1">IF($A434="S",VTOTALBM,IF($A434=0,0,ROUND(SomaAgrupBM,15-13*ORÇAMENTO!$AF$11)))</f>
        <v>0</v>
      </c>
      <c r="N434" s="381">
        <f t="shared" ca="1" si="38"/>
        <v>0</v>
      </c>
      <c r="O434" s="127">
        <f ca="1">IF($A434="S",VTOTALBM,IF($A434=0,0,ROUND(SomaAgrupBM,15-13*ORÇAMENTO!$AF$11)))</f>
        <v>0</v>
      </c>
      <c r="Q434" s="382"/>
      <c r="R434" s="383"/>
      <c r="T434" s="119" t="str">
        <f t="shared" ca="1" si="39"/>
        <v/>
      </c>
      <c r="U434" s="172" t="str">
        <f t="shared" ca="1" si="40"/>
        <v/>
      </c>
      <c r="V434" s="173" t="str">
        <f ca="1">IF(AND($W434&gt;0,RegimeExecucao="Unitário"),$F434,"")</f>
        <v/>
      </c>
      <c r="W434" s="547">
        <f ca="1">IF($Y434&gt;0,CHOOSE(MATCH(RegimeExecucao,{"Unitário","Global"},0),IF($A434="S",$Y434/$X434,""),($Y434/$X434)*100),0)</f>
        <v>0</v>
      </c>
      <c r="X434" s="384" t="str">
        <f ca="1">IF($Y434&gt;0,CHOOSE(MATCH(RegimeExecucao,{"Unitário","Global"},0),IF($A434="S",ROUND($H434,ORÇAMENTO!$AF$10),""),ROUND($I434,ORÇAMENTO!$AF$11)),"")</f>
        <v/>
      </c>
      <c r="Y434" s="384">
        <f t="shared" ca="1" si="41"/>
        <v>0</v>
      </c>
      <c r="Z434" s="572"/>
      <c r="AB434" s="382"/>
      <c r="AC434" s="516"/>
      <c r="AD434" s="516"/>
      <c r="AE434" s="516"/>
      <c r="AF434" s="516"/>
      <c r="AG434" s="516"/>
      <c r="AH434" s="516"/>
      <c r="AI434" s="516"/>
      <c r="AJ434" s="516"/>
      <c r="AK434" s="516"/>
      <c r="AL434" s="516"/>
      <c r="AM434" s="383"/>
      <c r="AO434">
        <f ca="1">IF($A434="S",IF(BM!$I434=0,0,CHOOSE(MATCH(RegimeExecucao,{"Global","Unitário"},0),ROUND(ROUND(BM.MEDAcumulado,15-13*BM!$A$9)/100*BM!$I434,15-13*ORÇAMENTO!$AF$11),ROUND(ROUND(BM.MEDAcumulado,15-13*BM!$A$9)*ROUND(BM!$H434,15-13*ORÇAMENTO!$AF$10),15-13*ORÇAMENTO!$AF$11))),IF($A434=0,0,ROUND(SomaAgrupBM,15-13*ORÇAMENTO!$AF$11)))</f>
        <v>0</v>
      </c>
    </row>
    <row r="435" spans="1:41" ht="25.5" x14ac:dyDescent="0.2">
      <c r="A435" t="str">
        <f ca="1">ORÇAMENTO!C435</f>
        <v>S</v>
      </c>
      <c r="B435">
        <f ca="1">ORÇAMENTO!D435</f>
        <v>0</v>
      </c>
      <c r="C435" s="116" t="str">
        <f t="shared" ca="1" si="35"/>
        <v/>
      </c>
      <c r="D435" s="119" t="str">
        <f ca="1">ORÇAMENTO!O435</f>
        <v>-</v>
      </c>
      <c r="E435" s="172" t="str">
        <f t="shared" ca="1" si="42"/>
        <v>(abra o arquivo 'Referência 06-2024.xlsm)</v>
      </c>
      <c r="F435" s="173" t="str">
        <f ca="1">IF(RegimeExecucao="Global","",ORÇAMENTO.Unidade)</f>
        <v/>
      </c>
      <c r="G435" s="124" t="str">
        <f ca="1">IF(RegimeExecucao="Global","",ORÇAMENTO!T435)</f>
        <v/>
      </c>
      <c r="H435" s="124" t="str">
        <f ca="1">IF(RegimeExecucao="Global","",ORÇAMENTO!W435)</f>
        <v/>
      </c>
      <c r="I435" s="127">
        <f ca="1">ORÇAMENTO!X435</f>
        <v>0</v>
      </c>
      <c r="J435" s="378">
        <f ca="1">IF($A435="S",IF(CAIXA.Modo,BM.AFAnterior,BM.MEDAnterior),IF(AND(RegimeExecucao="Global",$I435&gt;0,COUNTIF($AB$13:$AM$13,BM.medicao-1)&gt;0),M435/$I435*100,0))</f>
        <v>0</v>
      </c>
      <c r="K435" s="124">
        <f t="shared" ca="1" si="37"/>
        <v>0</v>
      </c>
      <c r="L435" s="379">
        <f ca="1">IF($A435="S",IF(CAIXA.Modo,BM.AFAcumulado,BM.MEDAcumulado),IF(AND(RegimeExecucao="Global",$I435&gt;0,COUNTIF($AB$13:$AM$13,BM.medicao)&gt;0),O435/$I435*100,0))</f>
        <v>0</v>
      </c>
      <c r="M435" s="380">
        <f ca="1">IF($A435="S",VTOTALBM,IF($A435=0,0,ROUND(SomaAgrupBM,15-13*ORÇAMENTO!$AF$11)))</f>
        <v>0</v>
      </c>
      <c r="N435" s="381">
        <f t="shared" ca="1" si="38"/>
        <v>0</v>
      </c>
      <c r="O435" s="127">
        <f ca="1">IF($A435="S",VTOTALBM,IF($A435=0,0,ROUND(SomaAgrupBM,15-13*ORÇAMENTO!$AF$11)))</f>
        <v>0</v>
      </c>
      <c r="Q435" s="382"/>
      <c r="R435" s="383"/>
      <c r="T435" s="119" t="str">
        <f t="shared" ca="1" si="39"/>
        <v/>
      </c>
      <c r="U435" s="172" t="str">
        <f t="shared" ca="1" si="40"/>
        <v/>
      </c>
      <c r="V435" s="173" t="str">
        <f ca="1">IF(AND($W435&gt;0,RegimeExecucao="Unitário"),$F435,"")</f>
        <v/>
      </c>
      <c r="W435" s="547">
        <f ca="1">IF($Y435&gt;0,CHOOSE(MATCH(RegimeExecucao,{"Unitário","Global"},0),IF($A435="S",$Y435/$X435,""),($Y435/$X435)*100),0)</f>
        <v>0</v>
      </c>
      <c r="X435" s="384" t="str">
        <f ca="1">IF($Y435&gt;0,CHOOSE(MATCH(RegimeExecucao,{"Unitário","Global"},0),IF($A435="S",ROUND($H435,ORÇAMENTO!$AF$10),""),ROUND($I435,ORÇAMENTO!$AF$11)),"")</f>
        <v/>
      </c>
      <c r="Y435" s="384">
        <f t="shared" ca="1" si="41"/>
        <v>0</v>
      </c>
      <c r="Z435" s="572"/>
      <c r="AB435" s="382"/>
      <c r="AC435" s="516"/>
      <c r="AD435" s="516"/>
      <c r="AE435" s="516"/>
      <c r="AF435" s="516"/>
      <c r="AG435" s="516"/>
      <c r="AH435" s="516"/>
      <c r="AI435" s="516"/>
      <c r="AJ435" s="516"/>
      <c r="AK435" s="516"/>
      <c r="AL435" s="516"/>
      <c r="AM435" s="383"/>
      <c r="AO435">
        <f ca="1">IF($A435="S",IF(BM!$I435=0,0,CHOOSE(MATCH(RegimeExecucao,{"Global","Unitário"},0),ROUND(ROUND(BM.MEDAcumulado,15-13*BM!$A$9)/100*BM!$I435,15-13*ORÇAMENTO!$AF$11),ROUND(ROUND(BM.MEDAcumulado,15-13*BM!$A$9)*ROUND(BM!$H435,15-13*ORÇAMENTO!$AF$10),15-13*ORÇAMENTO!$AF$11))),IF($A435=0,0,ROUND(SomaAgrupBM,15-13*ORÇAMENTO!$AF$11)))</f>
        <v>0</v>
      </c>
    </row>
    <row r="436" spans="1:41" ht="25.5" x14ac:dyDescent="0.2">
      <c r="A436">
        <f ca="1">ORÇAMENTO!C436</f>
        <v>2</v>
      </c>
      <c r="B436">
        <f ca="1">ORÇAMENTO!D436</f>
        <v>36</v>
      </c>
      <c r="C436" s="116" t="str">
        <f t="shared" ca="1" si="35"/>
        <v>F</v>
      </c>
      <c r="D436" s="119" t="str">
        <f ca="1">ORÇAMENTO!O436</f>
        <v>1.48.</v>
      </c>
      <c r="E436" s="172" t="str">
        <f t="shared" si="42"/>
        <v>SISTEMA DE PROTEÇÃO CONTRA INCÊNDIO - TUBULAÇÕES E CONEXÕES</v>
      </c>
      <c r="F436" s="173" t="str">
        <f ca="1">IF(RegimeExecucao="Global","",ORÇAMENTO.Unidade)</f>
        <v/>
      </c>
      <c r="G436" s="124" t="str">
        <f ca="1">IF(RegimeExecucao="Global","",ORÇAMENTO!T436)</f>
        <v/>
      </c>
      <c r="H436" s="124" t="str">
        <f ca="1">IF(RegimeExecucao="Global","",ORÇAMENTO!W436)</f>
        <v/>
      </c>
      <c r="I436" s="127">
        <f ca="1">ORÇAMENTO!X436</f>
        <v>0</v>
      </c>
      <c r="J436" s="378">
        <f ca="1">IF($A436="S",IF(CAIXA.Modo,BM.AFAnterior,BM.MEDAnterior),IF(AND(RegimeExecucao="Global",$I436&gt;0,COUNTIF($AB$13:$AM$13,BM.medicao-1)&gt;0),M436/$I436*100,0))</f>
        <v>0</v>
      </c>
      <c r="K436" s="124">
        <f t="shared" ca="1" si="37"/>
        <v>0</v>
      </c>
      <c r="L436" s="379">
        <f ca="1">IF($A436="S",IF(CAIXA.Modo,BM.AFAcumulado,BM.MEDAcumulado),IF(AND(RegimeExecucao="Global",$I436&gt;0,COUNTIF($AB$13:$AM$13,BM.medicao)&gt;0),O436/$I436*100,0))</f>
        <v>0</v>
      </c>
      <c r="M436" s="380">
        <f ca="1">IF($A436="S",VTOTALBM,IF($A436=0,0,ROUND(SomaAgrupBM,15-13*ORÇAMENTO!$AF$11)))</f>
        <v>0</v>
      </c>
      <c r="N436" s="381">
        <f t="shared" ca="1" si="38"/>
        <v>0</v>
      </c>
      <c r="O436" s="127">
        <f ca="1">IF($A436="S",VTOTALBM,IF($A436=0,0,ROUND(SomaAgrupBM,15-13*ORÇAMENTO!$AF$11)))</f>
        <v>0</v>
      </c>
      <c r="Q436" s="382"/>
      <c r="R436" s="383"/>
      <c r="T436" s="119" t="str">
        <f t="shared" ca="1" si="39"/>
        <v/>
      </c>
      <c r="U436" s="172" t="str">
        <f t="shared" ca="1" si="40"/>
        <v/>
      </c>
      <c r="V436" s="173" t="str">
        <f ca="1">IF(AND($W436&gt;0,RegimeExecucao="Unitário"),$F436,"")</f>
        <v/>
      </c>
      <c r="W436" s="547">
        <f ca="1">IF($Y436&gt;0,CHOOSE(MATCH(RegimeExecucao,{"Unitário","Global"},0),IF($A436="S",$Y436/$X436,""),($Y436/$X436)*100),0)</f>
        <v>0</v>
      </c>
      <c r="X436" s="384" t="str">
        <f ca="1">IF($Y436&gt;0,CHOOSE(MATCH(RegimeExecucao,{"Unitário","Global"},0),IF($A436="S",ROUND($H436,ORÇAMENTO!$AF$10),""),ROUND($I436,ORÇAMENTO!$AF$11)),"")</f>
        <v/>
      </c>
      <c r="Y436" s="384">
        <f t="shared" ca="1" si="41"/>
        <v>0</v>
      </c>
      <c r="Z436" s="572"/>
      <c r="AB436" s="382"/>
      <c r="AC436" s="516"/>
      <c r="AD436" s="516"/>
      <c r="AE436" s="516"/>
      <c r="AF436" s="516"/>
      <c r="AG436" s="516"/>
      <c r="AH436" s="516"/>
      <c r="AI436" s="516"/>
      <c r="AJ436" s="516"/>
      <c r="AK436" s="516"/>
      <c r="AL436" s="516"/>
      <c r="AM436" s="383"/>
      <c r="AO436">
        <f ca="1">IF($A436="S",IF(BM!$I436=0,0,CHOOSE(MATCH(RegimeExecucao,{"Global","Unitário"},0),ROUND(ROUND(BM.MEDAcumulado,15-13*BM!$A$9)/100*BM!$I436,15-13*ORÇAMENTO!$AF$11),ROUND(ROUND(BM.MEDAcumulado,15-13*BM!$A$9)*ROUND(BM!$H436,15-13*ORÇAMENTO!$AF$10),15-13*ORÇAMENTO!$AF$11))),IF($A436=0,0,ROUND(SomaAgrupBM,15-13*ORÇAMENTO!$AF$11)))</f>
        <v>0</v>
      </c>
    </row>
    <row r="437" spans="1:41" ht="38.25" x14ac:dyDescent="0.2">
      <c r="A437" t="str">
        <f ca="1">ORÇAMENTO!C437</f>
        <v>S</v>
      </c>
      <c r="B437">
        <f ca="1">ORÇAMENTO!D437</f>
        <v>0</v>
      </c>
      <c r="C437" s="116" t="str">
        <f t="shared" ca="1" si="35"/>
        <v/>
      </c>
      <c r="D437" s="119" t="str">
        <f ca="1">ORÇAMENTO!O437</f>
        <v>-</v>
      </c>
      <c r="E437" s="172" t="str">
        <f t="shared" ca="1" si="42"/>
        <v>(abra o arquivo 'Referência 06-2024.xlsm)</v>
      </c>
      <c r="F437" s="173" t="str">
        <f ca="1">IF(RegimeExecucao="Global","",ORÇAMENTO.Unidade)</f>
        <v/>
      </c>
      <c r="G437" s="124" t="str">
        <f ca="1">IF(RegimeExecucao="Global","",ORÇAMENTO!T437)</f>
        <v/>
      </c>
      <c r="H437" s="124" t="str">
        <f ca="1">IF(RegimeExecucao="Global","",ORÇAMENTO!W437)</f>
        <v/>
      </c>
      <c r="I437" s="127">
        <f ca="1">ORÇAMENTO!X437</f>
        <v>0</v>
      </c>
      <c r="J437" s="378">
        <f ca="1">IF($A437="S",IF(CAIXA.Modo,BM.AFAnterior,BM.MEDAnterior),IF(AND(RegimeExecucao="Global",$I437&gt;0,COUNTIF($AB$13:$AM$13,BM.medicao-1)&gt;0),M437/$I437*100,0))</f>
        <v>0</v>
      </c>
      <c r="K437" s="124">
        <f t="shared" ca="1" si="37"/>
        <v>0</v>
      </c>
      <c r="L437" s="379">
        <f ca="1">IF($A437="S",IF(CAIXA.Modo,BM.AFAcumulado,BM.MEDAcumulado),IF(AND(RegimeExecucao="Global",$I437&gt;0,COUNTIF($AB$13:$AM$13,BM.medicao)&gt;0),O437/$I437*100,0))</f>
        <v>0</v>
      </c>
      <c r="M437" s="380">
        <f ca="1">IF($A437="S",VTOTALBM,IF($A437=0,0,ROUND(SomaAgrupBM,15-13*ORÇAMENTO!$AF$11)))</f>
        <v>0</v>
      </c>
      <c r="N437" s="381">
        <f t="shared" ca="1" si="38"/>
        <v>0</v>
      </c>
      <c r="O437" s="127">
        <f ca="1">IF($A437="S",VTOTALBM,IF($A437=0,0,ROUND(SomaAgrupBM,15-13*ORÇAMENTO!$AF$11)))</f>
        <v>0</v>
      </c>
      <c r="Q437" s="382"/>
      <c r="R437" s="383"/>
      <c r="T437" s="119" t="str">
        <f t="shared" ca="1" si="39"/>
        <v/>
      </c>
      <c r="U437" s="172" t="str">
        <f t="shared" ca="1" si="40"/>
        <v/>
      </c>
      <c r="V437" s="173" t="str">
        <f ca="1">IF(AND($W437&gt;0,RegimeExecucao="Unitário"),$F437,"")</f>
        <v/>
      </c>
      <c r="W437" s="547">
        <f ca="1">IF($Y437&gt;0,CHOOSE(MATCH(RegimeExecucao,{"Unitário","Global"},0),IF($A437="S",$Y437/$X437,""),($Y437/$X437)*100),0)</f>
        <v>0</v>
      </c>
      <c r="X437" s="384" t="str">
        <f ca="1">IF($Y437&gt;0,CHOOSE(MATCH(RegimeExecucao,{"Unitário","Global"},0),IF($A437="S",ROUND($H437,ORÇAMENTO!$AF$10),""),ROUND($I437,ORÇAMENTO!$AF$11)),"")</f>
        <v/>
      </c>
      <c r="Y437" s="384">
        <f t="shared" ca="1" si="41"/>
        <v>0</v>
      </c>
      <c r="Z437" s="572"/>
      <c r="AB437" s="382"/>
      <c r="AC437" s="516"/>
      <c r="AD437" s="516"/>
      <c r="AE437" s="516"/>
      <c r="AF437" s="516"/>
      <c r="AG437" s="516"/>
      <c r="AH437" s="516"/>
      <c r="AI437" s="516"/>
      <c r="AJ437" s="516"/>
      <c r="AK437" s="516"/>
      <c r="AL437" s="516"/>
      <c r="AM437" s="383"/>
      <c r="AO437">
        <f ca="1">IF($A437="S",IF(BM!$I437=0,0,CHOOSE(MATCH(RegimeExecucao,{"Global","Unitário"},0),ROUND(ROUND(BM.MEDAcumulado,15-13*BM!$A$9)/100*BM!$I437,15-13*ORÇAMENTO!$AF$11),ROUND(ROUND(BM.MEDAcumulado,15-13*BM!$A$9)*ROUND(BM!$H437,15-13*ORÇAMENTO!$AF$10),15-13*ORÇAMENTO!$AF$11))),IF($A437=0,0,ROUND(SomaAgrupBM,15-13*ORÇAMENTO!$AF$11)))</f>
        <v>0</v>
      </c>
    </row>
    <row r="438" spans="1:41" ht="51" x14ac:dyDescent="0.2">
      <c r="A438" t="str">
        <f ca="1">ORÇAMENTO!C438</f>
        <v>S</v>
      </c>
      <c r="B438">
        <f ca="1">ORÇAMENTO!D438</f>
        <v>0</v>
      </c>
      <c r="C438" s="116" t="str">
        <f t="shared" ca="1" si="35"/>
        <v/>
      </c>
      <c r="D438" s="119" t="str">
        <f ca="1">ORÇAMENTO!O438</f>
        <v>-</v>
      </c>
      <c r="E438" s="172" t="str">
        <f t="shared" ca="1" si="42"/>
        <v>(abra o arquivo 'Referência 06-2024.xlsm)</v>
      </c>
      <c r="F438" s="173" t="str">
        <f ca="1">IF(RegimeExecucao="Global","",ORÇAMENTO.Unidade)</f>
        <v/>
      </c>
      <c r="G438" s="124" t="str">
        <f ca="1">IF(RegimeExecucao="Global","",ORÇAMENTO!T438)</f>
        <v/>
      </c>
      <c r="H438" s="124" t="str">
        <f ca="1">IF(RegimeExecucao="Global","",ORÇAMENTO!W438)</f>
        <v/>
      </c>
      <c r="I438" s="127">
        <f ca="1">ORÇAMENTO!X438</f>
        <v>0</v>
      </c>
      <c r="J438" s="378">
        <f ca="1">IF($A438="S",IF(CAIXA.Modo,BM.AFAnterior,BM.MEDAnterior),IF(AND(RegimeExecucao="Global",$I438&gt;0,COUNTIF($AB$13:$AM$13,BM.medicao-1)&gt;0),M438/$I438*100,0))</f>
        <v>0</v>
      </c>
      <c r="K438" s="124">
        <f t="shared" ca="1" si="37"/>
        <v>0</v>
      </c>
      <c r="L438" s="379">
        <f ca="1">IF($A438="S",IF(CAIXA.Modo,BM.AFAcumulado,BM.MEDAcumulado),IF(AND(RegimeExecucao="Global",$I438&gt;0,COUNTIF($AB$13:$AM$13,BM.medicao)&gt;0),O438/$I438*100,0))</f>
        <v>0</v>
      </c>
      <c r="M438" s="380">
        <f ca="1">IF($A438="S",VTOTALBM,IF($A438=0,0,ROUND(SomaAgrupBM,15-13*ORÇAMENTO!$AF$11)))</f>
        <v>0</v>
      </c>
      <c r="N438" s="381">
        <f t="shared" ca="1" si="38"/>
        <v>0</v>
      </c>
      <c r="O438" s="127">
        <f ca="1">IF($A438="S",VTOTALBM,IF($A438=0,0,ROUND(SomaAgrupBM,15-13*ORÇAMENTO!$AF$11)))</f>
        <v>0</v>
      </c>
      <c r="Q438" s="382"/>
      <c r="R438" s="383"/>
      <c r="T438" s="119" t="str">
        <f t="shared" ca="1" si="39"/>
        <v/>
      </c>
      <c r="U438" s="172" t="str">
        <f t="shared" ca="1" si="40"/>
        <v/>
      </c>
      <c r="V438" s="173" t="str">
        <f ca="1">IF(AND($W438&gt;0,RegimeExecucao="Unitário"),$F438,"")</f>
        <v/>
      </c>
      <c r="W438" s="547">
        <f ca="1">IF($Y438&gt;0,CHOOSE(MATCH(RegimeExecucao,{"Unitário","Global"},0),IF($A438="S",$Y438/$X438,""),($Y438/$X438)*100),0)</f>
        <v>0</v>
      </c>
      <c r="X438" s="384" t="str">
        <f ca="1">IF($Y438&gt;0,CHOOSE(MATCH(RegimeExecucao,{"Unitário","Global"},0),IF($A438="S",ROUND($H438,ORÇAMENTO!$AF$10),""),ROUND($I438,ORÇAMENTO!$AF$11)),"")</f>
        <v/>
      </c>
      <c r="Y438" s="384">
        <f t="shared" ca="1" si="41"/>
        <v>0</v>
      </c>
      <c r="Z438" s="572"/>
      <c r="AB438" s="382"/>
      <c r="AC438" s="516"/>
      <c r="AD438" s="516"/>
      <c r="AE438" s="516"/>
      <c r="AF438" s="516"/>
      <c r="AG438" s="516"/>
      <c r="AH438" s="516"/>
      <c r="AI438" s="516"/>
      <c r="AJ438" s="516"/>
      <c r="AK438" s="516"/>
      <c r="AL438" s="516"/>
      <c r="AM438" s="383"/>
      <c r="AO438">
        <f ca="1">IF($A438="S",IF(BM!$I438=0,0,CHOOSE(MATCH(RegimeExecucao,{"Global","Unitário"},0),ROUND(ROUND(BM.MEDAcumulado,15-13*BM!$A$9)/100*BM!$I438,15-13*ORÇAMENTO!$AF$11),ROUND(ROUND(BM.MEDAcumulado,15-13*BM!$A$9)*ROUND(BM!$H438,15-13*ORÇAMENTO!$AF$10),15-13*ORÇAMENTO!$AF$11))),IF($A438=0,0,ROUND(SomaAgrupBM,15-13*ORÇAMENTO!$AF$11)))</f>
        <v>0</v>
      </c>
    </row>
    <row r="439" spans="1:41" ht="38.25" x14ac:dyDescent="0.2">
      <c r="A439" t="str">
        <f ca="1">ORÇAMENTO!C439</f>
        <v>S</v>
      </c>
      <c r="B439">
        <f ca="1">ORÇAMENTO!D439</f>
        <v>0</v>
      </c>
      <c r="C439" s="116" t="str">
        <f t="shared" ca="1" si="35"/>
        <v/>
      </c>
      <c r="D439" s="119" t="str">
        <f ca="1">ORÇAMENTO!O439</f>
        <v>-</v>
      </c>
      <c r="E439" s="172" t="str">
        <f t="shared" ca="1" si="42"/>
        <v>(abra o arquivo 'Referência 06-2024.xlsm)</v>
      </c>
      <c r="F439" s="173" t="str">
        <f ca="1">IF(RegimeExecucao="Global","",ORÇAMENTO.Unidade)</f>
        <v/>
      </c>
      <c r="G439" s="124" t="str">
        <f ca="1">IF(RegimeExecucao="Global","",ORÇAMENTO!T439)</f>
        <v/>
      </c>
      <c r="H439" s="124" t="str">
        <f ca="1">IF(RegimeExecucao="Global","",ORÇAMENTO!W439)</f>
        <v/>
      </c>
      <c r="I439" s="127">
        <f ca="1">ORÇAMENTO!X439</f>
        <v>0</v>
      </c>
      <c r="J439" s="378">
        <f ca="1">IF($A439="S",IF(CAIXA.Modo,BM.AFAnterior,BM.MEDAnterior),IF(AND(RegimeExecucao="Global",$I439&gt;0,COUNTIF($AB$13:$AM$13,BM.medicao-1)&gt;0),M439/$I439*100,0))</f>
        <v>0</v>
      </c>
      <c r="K439" s="124">
        <f t="shared" ca="1" si="37"/>
        <v>0</v>
      </c>
      <c r="L439" s="379">
        <f ca="1">IF($A439="S",IF(CAIXA.Modo,BM.AFAcumulado,BM.MEDAcumulado),IF(AND(RegimeExecucao="Global",$I439&gt;0,COUNTIF($AB$13:$AM$13,BM.medicao)&gt;0),O439/$I439*100,0))</f>
        <v>0</v>
      </c>
      <c r="M439" s="380">
        <f ca="1">IF($A439="S",VTOTALBM,IF($A439=0,0,ROUND(SomaAgrupBM,15-13*ORÇAMENTO!$AF$11)))</f>
        <v>0</v>
      </c>
      <c r="N439" s="381">
        <f t="shared" ca="1" si="38"/>
        <v>0</v>
      </c>
      <c r="O439" s="127">
        <f ca="1">IF($A439="S",VTOTALBM,IF($A439=0,0,ROUND(SomaAgrupBM,15-13*ORÇAMENTO!$AF$11)))</f>
        <v>0</v>
      </c>
      <c r="Q439" s="382"/>
      <c r="R439" s="383"/>
      <c r="T439" s="119" t="str">
        <f t="shared" ca="1" si="39"/>
        <v/>
      </c>
      <c r="U439" s="172" t="str">
        <f t="shared" ca="1" si="40"/>
        <v/>
      </c>
      <c r="V439" s="173" t="str">
        <f ca="1">IF(AND($W439&gt;0,RegimeExecucao="Unitário"),$F439,"")</f>
        <v/>
      </c>
      <c r="W439" s="547">
        <f ca="1">IF($Y439&gt;0,CHOOSE(MATCH(RegimeExecucao,{"Unitário","Global"},0),IF($A439="S",$Y439/$X439,""),($Y439/$X439)*100),0)</f>
        <v>0</v>
      </c>
      <c r="X439" s="384" t="str">
        <f ca="1">IF($Y439&gt;0,CHOOSE(MATCH(RegimeExecucao,{"Unitário","Global"},0),IF($A439="S",ROUND($H439,ORÇAMENTO!$AF$10),""),ROUND($I439,ORÇAMENTO!$AF$11)),"")</f>
        <v/>
      </c>
      <c r="Y439" s="384">
        <f t="shared" ca="1" si="41"/>
        <v>0</v>
      </c>
      <c r="Z439" s="572"/>
      <c r="AB439" s="382"/>
      <c r="AC439" s="516"/>
      <c r="AD439" s="516"/>
      <c r="AE439" s="516"/>
      <c r="AF439" s="516"/>
      <c r="AG439" s="516"/>
      <c r="AH439" s="516"/>
      <c r="AI439" s="516"/>
      <c r="AJ439" s="516"/>
      <c r="AK439" s="516"/>
      <c r="AL439" s="516"/>
      <c r="AM439" s="383"/>
      <c r="AO439">
        <f ca="1">IF($A439="S",IF(BM!$I439=0,0,CHOOSE(MATCH(RegimeExecucao,{"Global","Unitário"},0),ROUND(ROUND(BM.MEDAcumulado,15-13*BM!$A$9)/100*BM!$I439,15-13*ORÇAMENTO!$AF$11),ROUND(ROUND(BM.MEDAcumulado,15-13*BM!$A$9)*ROUND(BM!$H439,15-13*ORÇAMENTO!$AF$10),15-13*ORÇAMENTO!$AF$11))),IF($A439=0,0,ROUND(SomaAgrupBM,15-13*ORÇAMENTO!$AF$11)))</f>
        <v>0</v>
      </c>
    </row>
    <row r="440" spans="1:41" ht="38.25" x14ac:dyDescent="0.2">
      <c r="A440" t="str">
        <f ca="1">ORÇAMENTO!C440</f>
        <v>S</v>
      </c>
      <c r="B440">
        <f ca="1">ORÇAMENTO!D440</f>
        <v>0</v>
      </c>
      <c r="C440" s="116" t="str">
        <f t="shared" ca="1" si="35"/>
        <v/>
      </c>
      <c r="D440" s="119" t="str">
        <f ca="1">ORÇAMENTO!O440</f>
        <v>-</v>
      </c>
      <c r="E440" s="172" t="str">
        <f t="shared" ca="1" si="42"/>
        <v>(abra o arquivo 'Referência 06-2024.xlsm)</v>
      </c>
      <c r="F440" s="173" t="str">
        <f ca="1">IF(RegimeExecucao="Global","",ORÇAMENTO.Unidade)</f>
        <v/>
      </c>
      <c r="G440" s="124" t="str">
        <f ca="1">IF(RegimeExecucao="Global","",ORÇAMENTO!T440)</f>
        <v/>
      </c>
      <c r="H440" s="124" t="str">
        <f ca="1">IF(RegimeExecucao="Global","",ORÇAMENTO!W440)</f>
        <v/>
      </c>
      <c r="I440" s="127">
        <f ca="1">ORÇAMENTO!X440</f>
        <v>0</v>
      </c>
      <c r="J440" s="378">
        <f ca="1">IF($A440="S",IF(CAIXA.Modo,BM.AFAnterior,BM.MEDAnterior),IF(AND(RegimeExecucao="Global",$I440&gt;0,COUNTIF($AB$13:$AM$13,BM.medicao-1)&gt;0),M440/$I440*100,0))</f>
        <v>0</v>
      </c>
      <c r="K440" s="124">
        <f t="shared" ca="1" si="37"/>
        <v>0</v>
      </c>
      <c r="L440" s="379">
        <f ca="1">IF($A440="S",IF(CAIXA.Modo,BM.AFAcumulado,BM.MEDAcumulado),IF(AND(RegimeExecucao="Global",$I440&gt;0,COUNTIF($AB$13:$AM$13,BM.medicao)&gt;0),O440/$I440*100,0))</f>
        <v>0</v>
      </c>
      <c r="M440" s="380">
        <f ca="1">IF($A440="S",VTOTALBM,IF($A440=0,0,ROUND(SomaAgrupBM,15-13*ORÇAMENTO!$AF$11)))</f>
        <v>0</v>
      </c>
      <c r="N440" s="381">
        <f t="shared" ca="1" si="38"/>
        <v>0</v>
      </c>
      <c r="O440" s="127">
        <f ca="1">IF($A440="S",VTOTALBM,IF($A440=0,0,ROUND(SomaAgrupBM,15-13*ORÇAMENTO!$AF$11)))</f>
        <v>0</v>
      </c>
      <c r="Q440" s="382"/>
      <c r="R440" s="383"/>
      <c r="T440" s="119" t="str">
        <f t="shared" ca="1" si="39"/>
        <v/>
      </c>
      <c r="U440" s="172" t="str">
        <f t="shared" ca="1" si="40"/>
        <v/>
      </c>
      <c r="V440" s="173" t="str">
        <f ca="1">IF(AND($W440&gt;0,RegimeExecucao="Unitário"),$F440,"")</f>
        <v/>
      </c>
      <c r="W440" s="547">
        <f ca="1">IF($Y440&gt;0,CHOOSE(MATCH(RegimeExecucao,{"Unitário","Global"},0),IF($A440="S",$Y440/$X440,""),($Y440/$X440)*100),0)</f>
        <v>0</v>
      </c>
      <c r="X440" s="384" t="str">
        <f ca="1">IF($Y440&gt;0,CHOOSE(MATCH(RegimeExecucao,{"Unitário","Global"},0),IF($A440="S",ROUND($H440,ORÇAMENTO!$AF$10),""),ROUND($I440,ORÇAMENTO!$AF$11)),"")</f>
        <v/>
      </c>
      <c r="Y440" s="384">
        <f t="shared" ca="1" si="41"/>
        <v>0</v>
      </c>
      <c r="Z440" s="572"/>
      <c r="AB440" s="382"/>
      <c r="AC440" s="516"/>
      <c r="AD440" s="516"/>
      <c r="AE440" s="516"/>
      <c r="AF440" s="516"/>
      <c r="AG440" s="516"/>
      <c r="AH440" s="516"/>
      <c r="AI440" s="516"/>
      <c r="AJ440" s="516"/>
      <c r="AK440" s="516"/>
      <c r="AL440" s="516"/>
      <c r="AM440" s="383"/>
      <c r="AO440">
        <f ca="1">IF($A440="S",IF(BM!$I440=0,0,CHOOSE(MATCH(RegimeExecucao,{"Global","Unitário"},0),ROUND(ROUND(BM.MEDAcumulado,15-13*BM!$A$9)/100*BM!$I440,15-13*ORÇAMENTO!$AF$11),ROUND(ROUND(BM.MEDAcumulado,15-13*BM!$A$9)*ROUND(BM!$H440,15-13*ORÇAMENTO!$AF$10),15-13*ORÇAMENTO!$AF$11))),IF($A440=0,0,ROUND(SomaAgrupBM,15-13*ORÇAMENTO!$AF$11)))</f>
        <v>0</v>
      </c>
    </row>
    <row r="441" spans="1:41" ht="51" x14ac:dyDescent="0.2">
      <c r="A441" t="str">
        <f ca="1">ORÇAMENTO!C441</f>
        <v>S</v>
      </c>
      <c r="B441">
        <f ca="1">ORÇAMENTO!D441</f>
        <v>0</v>
      </c>
      <c r="C441" s="116" t="str">
        <f t="shared" ca="1" si="35"/>
        <v/>
      </c>
      <c r="D441" s="119" t="str">
        <f ca="1">ORÇAMENTO!O441</f>
        <v>-</v>
      </c>
      <c r="E441" s="172" t="str">
        <f t="shared" ca="1" si="42"/>
        <v>(abra o arquivo 'Referência 06-2024.xlsm)</v>
      </c>
      <c r="F441" s="173" t="str">
        <f ca="1">IF(RegimeExecucao="Global","",ORÇAMENTO.Unidade)</f>
        <v/>
      </c>
      <c r="G441" s="124" t="str">
        <f ca="1">IF(RegimeExecucao="Global","",ORÇAMENTO!T441)</f>
        <v/>
      </c>
      <c r="H441" s="124" t="str">
        <f ca="1">IF(RegimeExecucao="Global","",ORÇAMENTO!W441)</f>
        <v/>
      </c>
      <c r="I441" s="127">
        <f ca="1">ORÇAMENTO!X441</f>
        <v>0</v>
      </c>
      <c r="J441" s="378">
        <f ca="1">IF($A441="S",IF(CAIXA.Modo,BM.AFAnterior,BM.MEDAnterior),IF(AND(RegimeExecucao="Global",$I441&gt;0,COUNTIF($AB$13:$AM$13,BM.medicao-1)&gt;0),M441/$I441*100,0))</f>
        <v>0</v>
      </c>
      <c r="K441" s="124">
        <f t="shared" ca="1" si="37"/>
        <v>0</v>
      </c>
      <c r="L441" s="379">
        <f ca="1">IF($A441="S",IF(CAIXA.Modo,BM.AFAcumulado,BM.MEDAcumulado),IF(AND(RegimeExecucao="Global",$I441&gt;0,COUNTIF($AB$13:$AM$13,BM.medicao)&gt;0),O441/$I441*100,0))</f>
        <v>0</v>
      </c>
      <c r="M441" s="380">
        <f ca="1">IF($A441="S",VTOTALBM,IF($A441=0,0,ROUND(SomaAgrupBM,15-13*ORÇAMENTO!$AF$11)))</f>
        <v>0</v>
      </c>
      <c r="N441" s="381">
        <f t="shared" ca="1" si="38"/>
        <v>0</v>
      </c>
      <c r="O441" s="127">
        <f ca="1">IF($A441="S",VTOTALBM,IF($A441=0,0,ROUND(SomaAgrupBM,15-13*ORÇAMENTO!$AF$11)))</f>
        <v>0</v>
      </c>
      <c r="Q441" s="382"/>
      <c r="R441" s="383"/>
      <c r="T441" s="119" t="str">
        <f t="shared" ca="1" si="39"/>
        <v/>
      </c>
      <c r="U441" s="172" t="str">
        <f t="shared" ca="1" si="40"/>
        <v/>
      </c>
      <c r="V441" s="173" t="str">
        <f ca="1">IF(AND($W441&gt;0,RegimeExecucao="Unitário"),$F441,"")</f>
        <v/>
      </c>
      <c r="W441" s="547">
        <f ca="1">IF($Y441&gt;0,CHOOSE(MATCH(RegimeExecucao,{"Unitário","Global"},0),IF($A441="S",$Y441/$X441,""),($Y441/$X441)*100),0)</f>
        <v>0</v>
      </c>
      <c r="X441" s="384" t="str">
        <f ca="1">IF($Y441&gt;0,CHOOSE(MATCH(RegimeExecucao,{"Unitário","Global"},0),IF($A441="S",ROUND($H441,ORÇAMENTO!$AF$10),""),ROUND($I441,ORÇAMENTO!$AF$11)),"")</f>
        <v/>
      </c>
      <c r="Y441" s="384">
        <f t="shared" ca="1" si="41"/>
        <v>0</v>
      </c>
      <c r="Z441" s="572"/>
      <c r="AB441" s="382"/>
      <c r="AC441" s="516"/>
      <c r="AD441" s="516"/>
      <c r="AE441" s="516"/>
      <c r="AF441" s="516"/>
      <c r="AG441" s="516"/>
      <c r="AH441" s="516"/>
      <c r="AI441" s="516"/>
      <c r="AJ441" s="516"/>
      <c r="AK441" s="516"/>
      <c r="AL441" s="516"/>
      <c r="AM441" s="383"/>
      <c r="AO441">
        <f ca="1">IF($A441="S",IF(BM!$I441=0,0,CHOOSE(MATCH(RegimeExecucao,{"Global","Unitário"},0),ROUND(ROUND(BM.MEDAcumulado,15-13*BM!$A$9)/100*BM!$I441,15-13*ORÇAMENTO!$AF$11),ROUND(ROUND(BM.MEDAcumulado,15-13*BM!$A$9)*ROUND(BM!$H441,15-13*ORÇAMENTO!$AF$10),15-13*ORÇAMENTO!$AF$11))),IF($A441=0,0,ROUND(SomaAgrupBM,15-13*ORÇAMENTO!$AF$11)))</f>
        <v>0</v>
      </c>
    </row>
    <row r="442" spans="1:41" ht="51" x14ac:dyDescent="0.2">
      <c r="A442" t="str">
        <f ca="1">ORÇAMENTO!C442</f>
        <v>S</v>
      </c>
      <c r="B442">
        <f ca="1">ORÇAMENTO!D442</f>
        <v>0</v>
      </c>
      <c r="C442" s="116" t="str">
        <f t="shared" ca="1" si="35"/>
        <v/>
      </c>
      <c r="D442" s="119" t="str">
        <f ca="1">ORÇAMENTO!O442</f>
        <v>-</v>
      </c>
      <c r="E442" s="172" t="str">
        <f t="shared" ref="E442:E457" ca="1" si="43">ORÇAMENTO.Descricao</f>
        <v>(abra o arquivo 'Referência 06-2024.xlsm)</v>
      </c>
      <c r="F442" s="173" t="str">
        <f ca="1">IF(RegimeExecucao="Global","",ORÇAMENTO.Unidade)</f>
        <v/>
      </c>
      <c r="G442" s="124" t="str">
        <f ca="1">IF(RegimeExecucao="Global","",ORÇAMENTO!T442)</f>
        <v/>
      </c>
      <c r="H442" s="124" t="str">
        <f ca="1">IF(RegimeExecucao="Global","",ORÇAMENTO!W442)</f>
        <v/>
      </c>
      <c r="I442" s="127">
        <f ca="1">ORÇAMENTO!X442</f>
        <v>0</v>
      </c>
      <c r="J442" s="378">
        <f ca="1">IF($A442="S",IF(CAIXA.Modo,BM.AFAnterior,BM.MEDAnterior),IF(AND(RegimeExecucao="Global",$I442&gt;0,COUNTIF($AB$13:$AM$13,BM.medicao-1)&gt;0),M442/$I442*100,0))</f>
        <v>0</v>
      </c>
      <c r="K442" s="124">
        <f t="shared" ca="1" si="37"/>
        <v>0</v>
      </c>
      <c r="L442" s="379">
        <f ca="1">IF($A442="S",IF(CAIXA.Modo,BM.AFAcumulado,BM.MEDAcumulado),IF(AND(RegimeExecucao="Global",$I442&gt;0,COUNTIF($AB$13:$AM$13,BM.medicao)&gt;0),O442/$I442*100,0))</f>
        <v>0</v>
      </c>
      <c r="M442" s="380">
        <f ca="1">IF($A442="S",VTOTALBM,IF($A442=0,0,ROUND(SomaAgrupBM,15-13*ORÇAMENTO!$AF$11)))</f>
        <v>0</v>
      </c>
      <c r="N442" s="381">
        <f t="shared" ca="1" si="38"/>
        <v>0</v>
      </c>
      <c r="O442" s="127">
        <f ca="1">IF($A442="S",VTOTALBM,IF($A442=0,0,ROUND(SomaAgrupBM,15-13*ORÇAMENTO!$AF$11)))</f>
        <v>0</v>
      </c>
      <c r="Q442" s="382"/>
      <c r="R442" s="383"/>
      <c r="T442" s="119" t="str">
        <f t="shared" ca="1" si="39"/>
        <v/>
      </c>
      <c r="U442" s="172" t="str">
        <f t="shared" ca="1" si="40"/>
        <v/>
      </c>
      <c r="V442" s="173" t="str">
        <f ca="1">IF(AND($W442&gt;0,RegimeExecucao="Unitário"),$F442,"")</f>
        <v/>
      </c>
      <c r="W442" s="547">
        <f ca="1">IF($Y442&gt;0,CHOOSE(MATCH(RegimeExecucao,{"Unitário","Global"},0),IF($A442="S",$Y442/$X442,""),($Y442/$X442)*100),0)</f>
        <v>0</v>
      </c>
      <c r="X442" s="384" t="str">
        <f ca="1">IF($Y442&gt;0,CHOOSE(MATCH(RegimeExecucao,{"Unitário","Global"},0),IF($A442="S",ROUND($H442,ORÇAMENTO!$AF$10),""),ROUND($I442,ORÇAMENTO!$AF$11)),"")</f>
        <v/>
      </c>
      <c r="Y442" s="384">
        <f t="shared" ca="1" si="41"/>
        <v>0</v>
      </c>
      <c r="Z442" s="572"/>
      <c r="AB442" s="382"/>
      <c r="AC442" s="516"/>
      <c r="AD442" s="516"/>
      <c r="AE442" s="516"/>
      <c r="AF442" s="516"/>
      <c r="AG442" s="516"/>
      <c r="AH442" s="516"/>
      <c r="AI442" s="516"/>
      <c r="AJ442" s="516"/>
      <c r="AK442" s="516"/>
      <c r="AL442" s="516"/>
      <c r="AM442" s="383"/>
      <c r="AO442">
        <f ca="1">IF($A442="S",IF(BM!$I442=0,0,CHOOSE(MATCH(RegimeExecucao,{"Global","Unitário"},0),ROUND(ROUND(BM.MEDAcumulado,15-13*BM!$A$9)/100*BM!$I442,15-13*ORÇAMENTO!$AF$11),ROUND(ROUND(BM.MEDAcumulado,15-13*BM!$A$9)*ROUND(BM!$H442,15-13*ORÇAMENTO!$AF$10),15-13*ORÇAMENTO!$AF$11))),IF($A442=0,0,ROUND(SomaAgrupBM,15-13*ORÇAMENTO!$AF$11)))</f>
        <v>0</v>
      </c>
    </row>
    <row r="443" spans="1:41" ht="51" x14ac:dyDescent="0.2">
      <c r="A443" t="str">
        <f ca="1">ORÇAMENTO!C443</f>
        <v>S</v>
      </c>
      <c r="B443">
        <f ca="1">ORÇAMENTO!D443</f>
        <v>0</v>
      </c>
      <c r="C443" s="116" t="str">
        <f t="shared" ca="1" si="35"/>
        <v/>
      </c>
      <c r="D443" s="119" t="str">
        <f ca="1">ORÇAMENTO!O443</f>
        <v>-</v>
      </c>
      <c r="E443" s="172" t="str">
        <f t="shared" ca="1" si="43"/>
        <v>(abra o arquivo 'Referência 06-2024.xlsm)</v>
      </c>
      <c r="F443" s="173" t="str">
        <f ca="1">IF(RegimeExecucao="Global","",ORÇAMENTO.Unidade)</f>
        <v/>
      </c>
      <c r="G443" s="124" t="str">
        <f ca="1">IF(RegimeExecucao="Global","",ORÇAMENTO!T443)</f>
        <v/>
      </c>
      <c r="H443" s="124" t="str">
        <f ca="1">IF(RegimeExecucao="Global","",ORÇAMENTO!W443)</f>
        <v/>
      </c>
      <c r="I443" s="127">
        <f ca="1">ORÇAMENTO!X443</f>
        <v>0</v>
      </c>
      <c r="J443" s="378">
        <f ca="1">IF($A443="S",IF(CAIXA.Modo,BM.AFAnterior,BM.MEDAnterior),IF(AND(RegimeExecucao="Global",$I443&gt;0,COUNTIF($AB$13:$AM$13,BM.medicao-1)&gt;0),M443/$I443*100,0))</f>
        <v>0</v>
      </c>
      <c r="K443" s="124">
        <f t="shared" ca="1" si="37"/>
        <v>0</v>
      </c>
      <c r="L443" s="379">
        <f ca="1">IF($A443="S",IF(CAIXA.Modo,BM.AFAcumulado,BM.MEDAcumulado),IF(AND(RegimeExecucao="Global",$I443&gt;0,COUNTIF($AB$13:$AM$13,BM.medicao)&gt;0),O443/$I443*100,0))</f>
        <v>0</v>
      </c>
      <c r="M443" s="380">
        <f ca="1">IF($A443="S",VTOTALBM,IF($A443=0,0,ROUND(SomaAgrupBM,15-13*ORÇAMENTO!$AF$11)))</f>
        <v>0</v>
      </c>
      <c r="N443" s="381">
        <f t="shared" ca="1" si="38"/>
        <v>0</v>
      </c>
      <c r="O443" s="127">
        <f ca="1">IF($A443="S",VTOTALBM,IF($A443=0,0,ROUND(SomaAgrupBM,15-13*ORÇAMENTO!$AF$11)))</f>
        <v>0</v>
      </c>
      <c r="Q443" s="382"/>
      <c r="R443" s="383"/>
      <c r="T443" s="119" t="str">
        <f t="shared" ca="1" si="39"/>
        <v/>
      </c>
      <c r="U443" s="172" t="str">
        <f t="shared" ca="1" si="40"/>
        <v/>
      </c>
      <c r="V443" s="173" t="str">
        <f ca="1">IF(AND($W443&gt;0,RegimeExecucao="Unitário"),$F443,"")</f>
        <v/>
      </c>
      <c r="W443" s="547">
        <f ca="1">IF($Y443&gt;0,CHOOSE(MATCH(RegimeExecucao,{"Unitário","Global"},0),IF($A443="S",$Y443/$X443,""),($Y443/$X443)*100),0)</f>
        <v>0</v>
      </c>
      <c r="X443" s="384" t="str">
        <f ca="1">IF($Y443&gt;0,CHOOSE(MATCH(RegimeExecucao,{"Unitário","Global"},0),IF($A443="S",ROUND($H443,ORÇAMENTO!$AF$10),""),ROUND($I443,ORÇAMENTO!$AF$11)),"")</f>
        <v/>
      </c>
      <c r="Y443" s="384">
        <f t="shared" ca="1" si="41"/>
        <v>0</v>
      </c>
      <c r="Z443" s="572"/>
      <c r="AB443" s="382"/>
      <c r="AC443" s="516"/>
      <c r="AD443" s="516"/>
      <c r="AE443" s="516"/>
      <c r="AF443" s="516"/>
      <c r="AG443" s="516"/>
      <c r="AH443" s="516"/>
      <c r="AI443" s="516"/>
      <c r="AJ443" s="516"/>
      <c r="AK443" s="516"/>
      <c r="AL443" s="516"/>
      <c r="AM443" s="383"/>
      <c r="AO443">
        <f ca="1">IF($A443="S",IF(BM!$I443=0,0,CHOOSE(MATCH(RegimeExecucao,{"Global","Unitário"},0),ROUND(ROUND(BM.MEDAcumulado,15-13*BM!$A$9)/100*BM!$I443,15-13*ORÇAMENTO!$AF$11),ROUND(ROUND(BM.MEDAcumulado,15-13*BM!$A$9)*ROUND(BM!$H443,15-13*ORÇAMENTO!$AF$10),15-13*ORÇAMENTO!$AF$11))),IF($A443=0,0,ROUND(SomaAgrupBM,15-13*ORÇAMENTO!$AF$11)))</f>
        <v>0</v>
      </c>
    </row>
    <row r="444" spans="1:41" ht="51" x14ac:dyDescent="0.2">
      <c r="A444" t="str">
        <f ca="1">ORÇAMENTO!C444</f>
        <v>S</v>
      </c>
      <c r="B444">
        <f ca="1">ORÇAMENTO!D444</f>
        <v>0</v>
      </c>
      <c r="C444" s="116" t="str">
        <f t="shared" ca="1" si="35"/>
        <v/>
      </c>
      <c r="D444" s="119" t="str">
        <f ca="1">ORÇAMENTO!O444</f>
        <v>-</v>
      </c>
      <c r="E444" s="172" t="str">
        <f t="shared" ca="1" si="43"/>
        <v>(abra o arquivo 'Referência 06-2024.xlsm)</v>
      </c>
      <c r="F444" s="173" t="str">
        <f ca="1">IF(RegimeExecucao="Global","",ORÇAMENTO.Unidade)</f>
        <v/>
      </c>
      <c r="G444" s="124" t="str">
        <f ca="1">IF(RegimeExecucao="Global","",ORÇAMENTO!T444)</f>
        <v/>
      </c>
      <c r="H444" s="124" t="str">
        <f ca="1">IF(RegimeExecucao="Global","",ORÇAMENTO!W444)</f>
        <v/>
      </c>
      <c r="I444" s="127">
        <f ca="1">ORÇAMENTO!X444</f>
        <v>0</v>
      </c>
      <c r="J444" s="378">
        <f ca="1">IF($A444="S",IF(CAIXA.Modo,BM.AFAnterior,BM.MEDAnterior),IF(AND(RegimeExecucao="Global",$I444&gt;0,COUNTIF($AB$13:$AM$13,BM.medicao-1)&gt;0),M444/$I444*100,0))</f>
        <v>0</v>
      </c>
      <c r="K444" s="124">
        <f t="shared" ca="1" si="37"/>
        <v>0</v>
      </c>
      <c r="L444" s="379">
        <f ca="1">IF($A444="S",IF(CAIXA.Modo,BM.AFAcumulado,BM.MEDAcumulado),IF(AND(RegimeExecucao="Global",$I444&gt;0,COUNTIF($AB$13:$AM$13,BM.medicao)&gt;0),O444/$I444*100,0))</f>
        <v>0</v>
      </c>
      <c r="M444" s="380">
        <f ca="1">IF($A444="S",VTOTALBM,IF($A444=0,0,ROUND(SomaAgrupBM,15-13*ORÇAMENTO!$AF$11)))</f>
        <v>0</v>
      </c>
      <c r="N444" s="381">
        <f t="shared" ca="1" si="38"/>
        <v>0</v>
      </c>
      <c r="O444" s="127">
        <f ca="1">IF($A444="S",VTOTALBM,IF($A444=0,0,ROUND(SomaAgrupBM,15-13*ORÇAMENTO!$AF$11)))</f>
        <v>0</v>
      </c>
      <c r="Q444" s="382"/>
      <c r="R444" s="383"/>
      <c r="T444" s="119" t="str">
        <f t="shared" ca="1" si="39"/>
        <v/>
      </c>
      <c r="U444" s="172" t="str">
        <f t="shared" ca="1" si="40"/>
        <v/>
      </c>
      <c r="V444" s="173" t="str">
        <f ca="1">IF(AND($W444&gt;0,RegimeExecucao="Unitário"),$F444,"")</f>
        <v/>
      </c>
      <c r="W444" s="547">
        <f ca="1">IF($Y444&gt;0,CHOOSE(MATCH(RegimeExecucao,{"Unitário","Global"},0),IF($A444="S",$Y444/$X444,""),($Y444/$X444)*100),0)</f>
        <v>0</v>
      </c>
      <c r="X444" s="384" t="str">
        <f ca="1">IF($Y444&gt;0,CHOOSE(MATCH(RegimeExecucao,{"Unitário","Global"},0),IF($A444="S",ROUND($H444,ORÇAMENTO!$AF$10),""),ROUND($I444,ORÇAMENTO!$AF$11)),"")</f>
        <v/>
      </c>
      <c r="Y444" s="384">
        <f t="shared" ca="1" si="41"/>
        <v>0</v>
      </c>
      <c r="Z444" s="572"/>
      <c r="AB444" s="382"/>
      <c r="AC444" s="516"/>
      <c r="AD444" s="516"/>
      <c r="AE444" s="516"/>
      <c r="AF444" s="516"/>
      <c r="AG444" s="516"/>
      <c r="AH444" s="516"/>
      <c r="AI444" s="516"/>
      <c r="AJ444" s="516"/>
      <c r="AK444" s="516"/>
      <c r="AL444" s="516"/>
      <c r="AM444" s="383"/>
      <c r="AO444">
        <f ca="1">IF($A444="S",IF(BM!$I444=0,0,CHOOSE(MATCH(RegimeExecucao,{"Global","Unitário"},0),ROUND(ROUND(BM.MEDAcumulado,15-13*BM!$A$9)/100*BM!$I444,15-13*ORÇAMENTO!$AF$11),ROUND(ROUND(BM.MEDAcumulado,15-13*BM!$A$9)*ROUND(BM!$H444,15-13*ORÇAMENTO!$AF$10),15-13*ORÇAMENTO!$AF$11))),IF($A444=0,0,ROUND(SomaAgrupBM,15-13*ORÇAMENTO!$AF$11)))</f>
        <v>0</v>
      </c>
    </row>
    <row r="445" spans="1:41" ht="51" x14ac:dyDescent="0.2">
      <c r="A445" t="str">
        <f ca="1">ORÇAMENTO!C445</f>
        <v>S</v>
      </c>
      <c r="B445">
        <f ca="1">ORÇAMENTO!D445</f>
        <v>0</v>
      </c>
      <c r="C445" s="116" t="str">
        <f t="shared" ca="1" si="35"/>
        <v/>
      </c>
      <c r="D445" s="119" t="str">
        <f ca="1">ORÇAMENTO!O445</f>
        <v>-</v>
      </c>
      <c r="E445" s="172" t="str">
        <f t="shared" ca="1" si="43"/>
        <v>(abra o arquivo 'Referência 06-2024.xlsm)</v>
      </c>
      <c r="F445" s="173" t="str">
        <f ca="1">IF(RegimeExecucao="Global","",ORÇAMENTO.Unidade)</f>
        <v/>
      </c>
      <c r="G445" s="124" t="str">
        <f ca="1">IF(RegimeExecucao="Global","",ORÇAMENTO!T445)</f>
        <v/>
      </c>
      <c r="H445" s="124" t="str">
        <f ca="1">IF(RegimeExecucao="Global","",ORÇAMENTO!W445)</f>
        <v/>
      </c>
      <c r="I445" s="127">
        <f ca="1">ORÇAMENTO!X445</f>
        <v>0</v>
      </c>
      <c r="J445" s="378">
        <f ca="1">IF($A445="S",IF(CAIXA.Modo,BM.AFAnterior,BM.MEDAnterior),IF(AND(RegimeExecucao="Global",$I445&gt;0,COUNTIF($AB$13:$AM$13,BM.medicao-1)&gt;0),M445/$I445*100,0))</f>
        <v>0</v>
      </c>
      <c r="K445" s="124">
        <f t="shared" ca="1" si="37"/>
        <v>0</v>
      </c>
      <c r="L445" s="379">
        <f ca="1">IF($A445="S",IF(CAIXA.Modo,BM.AFAcumulado,BM.MEDAcumulado),IF(AND(RegimeExecucao="Global",$I445&gt;0,COUNTIF($AB$13:$AM$13,BM.medicao)&gt;0),O445/$I445*100,0))</f>
        <v>0</v>
      </c>
      <c r="M445" s="380">
        <f ca="1">IF($A445="S",VTOTALBM,IF($A445=0,0,ROUND(SomaAgrupBM,15-13*ORÇAMENTO!$AF$11)))</f>
        <v>0</v>
      </c>
      <c r="N445" s="381">
        <f t="shared" ca="1" si="38"/>
        <v>0</v>
      </c>
      <c r="O445" s="127">
        <f ca="1">IF($A445="S",VTOTALBM,IF($A445=0,0,ROUND(SomaAgrupBM,15-13*ORÇAMENTO!$AF$11)))</f>
        <v>0</v>
      </c>
      <c r="Q445" s="382"/>
      <c r="R445" s="383"/>
      <c r="T445" s="119" t="str">
        <f t="shared" ca="1" si="39"/>
        <v/>
      </c>
      <c r="U445" s="172" t="str">
        <f t="shared" ca="1" si="40"/>
        <v/>
      </c>
      <c r="V445" s="173" t="str">
        <f ca="1">IF(AND($W445&gt;0,RegimeExecucao="Unitário"),$F445,"")</f>
        <v/>
      </c>
      <c r="W445" s="547">
        <f ca="1">IF($Y445&gt;0,CHOOSE(MATCH(RegimeExecucao,{"Unitário","Global"},0),IF($A445="S",$Y445/$X445,""),($Y445/$X445)*100),0)</f>
        <v>0</v>
      </c>
      <c r="X445" s="384" t="str">
        <f ca="1">IF($Y445&gt;0,CHOOSE(MATCH(RegimeExecucao,{"Unitário","Global"},0),IF($A445="S",ROUND($H445,ORÇAMENTO!$AF$10),""),ROUND($I445,ORÇAMENTO!$AF$11)),"")</f>
        <v/>
      </c>
      <c r="Y445" s="384">
        <f t="shared" ca="1" si="41"/>
        <v>0</v>
      </c>
      <c r="Z445" s="572"/>
      <c r="AB445" s="382"/>
      <c r="AC445" s="516"/>
      <c r="AD445" s="516"/>
      <c r="AE445" s="516"/>
      <c r="AF445" s="516"/>
      <c r="AG445" s="516"/>
      <c r="AH445" s="516"/>
      <c r="AI445" s="516"/>
      <c r="AJ445" s="516"/>
      <c r="AK445" s="516"/>
      <c r="AL445" s="516"/>
      <c r="AM445" s="383"/>
      <c r="AO445">
        <f ca="1">IF($A445="S",IF(BM!$I445=0,0,CHOOSE(MATCH(RegimeExecucao,{"Global","Unitário"},0),ROUND(ROUND(BM.MEDAcumulado,15-13*BM!$A$9)/100*BM!$I445,15-13*ORÇAMENTO!$AF$11),ROUND(ROUND(BM.MEDAcumulado,15-13*BM!$A$9)*ROUND(BM!$H445,15-13*ORÇAMENTO!$AF$10),15-13*ORÇAMENTO!$AF$11))),IF($A445=0,0,ROUND(SomaAgrupBM,15-13*ORÇAMENTO!$AF$11)))</f>
        <v>0</v>
      </c>
    </row>
    <row r="446" spans="1:41" ht="51" x14ac:dyDescent="0.2">
      <c r="A446" t="str">
        <f ca="1">ORÇAMENTO!C446</f>
        <v>S</v>
      </c>
      <c r="B446">
        <f ca="1">ORÇAMENTO!D446</f>
        <v>0</v>
      </c>
      <c r="C446" s="116" t="str">
        <f t="shared" ca="1" si="35"/>
        <v/>
      </c>
      <c r="D446" s="119" t="str">
        <f ca="1">ORÇAMENTO!O446</f>
        <v>-</v>
      </c>
      <c r="E446" s="172" t="str">
        <f t="shared" ca="1" si="43"/>
        <v>(abra o arquivo 'Referência 06-2024.xlsm)</v>
      </c>
      <c r="F446" s="173" t="str">
        <f ca="1">IF(RegimeExecucao="Global","",ORÇAMENTO.Unidade)</f>
        <v/>
      </c>
      <c r="G446" s="124" t="str">
        <f ca="1">IF(RegimeExecucao="Global","",ORÇAMENTO!T446)</f>
        <v/>
      </c>
      <c r="H446" s="124" t="str">
        <f ca="1">IF(RegimeExecucao="Global","",ORÇAMENTO!W446)</f>
        <v/>
      </c>
      <c r="I446" s="127">
        <f ca="1">ORÇAMENTO!X446</f>
        <v>0</v>
      </c>
      <c r="J446" s="378">
        <f ca="1">IF($A446="S",IF(CAIXA.Modo,BM.AFAnterior,BM.MEDAnterior),IF(AND(RegimeExecucao="Global",$I446&gt;0,COUNTIF($AB$13:$AM$13,BM.medicao-1)&gt;0),M446/$I446*100,0))</f>
        <v>0</v>
      </c>
      <c r="K446" s="124">
        <f t="shared" ca="1" si="37"/>
        <v>0</v>
      </c>
      <c r="L446" s="379">
        <f ca="1">IF($A446="S",IF(CAIXA.Modo,BM.AFAcumulado,BM.MEDAcumulado),IF(AND(RegimeExecucao="Global",$I446&gt;0,COUNTIF($AB$13:$AM$13,BM.medicao)&gt;0),O446/$I446*100,0))</f>
        <v>0</v>
      </c>
      <c r="M446" s="380">
        <f ca="1">IF($A446="S",VTOTALBM,IF($A446=0,0,ROUND(SomaAgrupBM,15-13*ORÇAMENTO!$AF$11)))</f>
        <v>0</v>
      </c>
      <c r="N446" s="381">
        <f t="shared" ca="1" si="38"/>
        <v>0</v>
      </c>
      <c r="O446" s="127">
        <f ca="1">IF($A446="S",VTOTALBM,IF($A446=0,0,ROUND(SomaAgrupBM,15-13*ORÇAMENTO!$AF$11)))</f>
        <v>0</v>
      </c>
      <c r="Q446" s="382"/>
      <c r="R446" s="383"/>
      <c r="T446" s="119" t="str">
        <f t="shared" ca="1" si="39"/>
        <v/>
      </c>
      <c r="U446" s="172" t="str">
        <f t="shared" ca="1" si="40"/>
        <v/>
      </c>
      <c r="V446" s="173" t="str">
        <f ca="1">IF(AND($W446&gt;0,RegimeExecucao="Unitário"),$F446,"")</f>
        <v/>
      </c>
      <c r="W446" s="547">
        <f ca="1">IF($Y446&gt;0,CHOOSE(MATCH(RegimeExecucao,{"Unitário","Global"},0),IF($A446="S",$Y446/$X446,""),($Y446/$X446)*100),0)</f>
        <v>0</v>
      </c>
      <c r="X446" s="384" t="str">
        <f ca="1">IF($Y446&gt;0,CHOOSE(MATCH(RegimeExecucao,{"Unitário","Global"},0),IF($A446="S",ROUND($H446,ORÇAMENTO!$AF$10),""),ROUND($I446,ORÇAMENTO!$AF$11)),"")</f>
        <v/>
      </c>
      <c r="Y446" s="384">
        <f t="shared" ca="1" si="41"/>
        <v>0</v>
      </c>
      <c r="Z446" s="572"/>
      <c r="AB446" s="382"/>
      <c r="AC446" s="516"/>
      <c r="AD446" s="516"/>
      <c r="AE446" s="516"/>
      <c r="AF446" s="516"/>
      <c r="AG446" s="516"/>
      <c r="AH446" s="516"/>
      <c r="AI446" s="516"/>
      <c r="AJ446" s="516"/>
      <c r="AK446" s="516"/>
      <c r="AL446" s="516"/>
      <c r="AM446" s="383"/>
      <c r="AO446">
        <f ca="1">IF($A446="S",IF(BM!$I446=0,0,CHOOSE(MATCH(RegimeExecucao,{"Global","Unitário"},0),ROUND(ROUND(BM.MEDAcumulado,15-13*BM!$A$9)/100*BM!$I446,15-13*ORÇAMENTO!$AF$11),ROUND(ROUND(BM.MEDAcumulado,15-13*BM!$A$9)*ROUND(BM!$H446,15-13*ORÇAMENTO!$AF$10),15-13*ORÇAMENTO!$AF$11))),IF($A446=0,0,ROUND(SomaAgrupBM,15-13*ORÇAMENTO!$AF$11)))</f>
        <v>0</v>
      </c>
    </row>
    <row r="447" spans="1:41" ht="51" x14ac:dyDescent="0.2">
      <c r="A447" t="str">
        <f ca="1">ORÇAMENTO!C447</f>
        <v>S</v>
      </c>
      <c r="B447">
        <f ca="1">ORÇAMENTO!D447</f>
        <v>0</v>
      </c>
      <c r="C447" s="116" t="str">
        <f t="shared" ca="1" si="35"/>
        <v/>
      </c>
      <c r="D447" s="119" t="str">
        <f ca="1">ORÇAMENTO!O447</f>
        <v>-</v>
      </c>
      <c r="E447" s="172" t="str">
        <f t="shared" ca="1" si="43"/>
        <v>(abra o arquivo 'Referência 06-2024.xlsm)</v>
      </c>
      <c r="F447" s="173" t="str">
        <f ca="1">IF(RegimeExecucao="Global","",ORÇAMENTO.Unidade)</f>
        <v/>
      </c>
      <c r="G447" s="124" t="str">
        <f ca="1">IF(RegimeExecucao="Global","",ORÇAMENTO!T447)</f>
        <v/>
      </c>
      <c r="H447" s="124" t="str">
        <f ca="1">IF(RegimeExecucao="Global","",ORÇAMENTO!W447)</f>
        <v/>
      </c>
      <c r="I447" s="127">
        <f ca="1">ORÇAMENTO!X447</f>
        <v>0</v>
      </c>
      <c r="J447" s="378">
        <f ca="1">IF($A447="S",IF(CAIXA.Modo,BM.AFAnterior,BM.MEDAnterior),IF(AND(RegimeExecucao="Global",$I447&gt;0,COUNTIF($AB$13:$AM$13,BM.medicao-1)&gt;0),M447/$I447*100,0))</f>
        <v>0</v>
      </c>
      <c r="K447" s="124">
        <f t="shared" ca="1" si="37"/>
        <v>0</v>
      </c>
      <c r="L447" s="379">
        <f ca="1">IF($A447="S",IF(CAIXA.Modo,BM.AFAcumulado,BM.MEDAcumulado),IF(AND(RegimeExecucao="Global",$I447&gt;0,COUNTIF($AB$13:$AM$13,BM.medicao)&gt;0),O447/$I447*100,0))</f>
        <v>0</v>
      </c>
      <c r="M447" s="380">
        <f ca="1">IF($A447="S",VTOTALBM,IF($A447=0,0,ROUND(SomaAgrupBM,15-13*ORÇAMENTO!$AF$11)))</f>
        <v>0</v>
      </c>
      <c r="N447" s="381">
        <f t="shared" ca="1" si="38"/>
        <v>0</v>
      </c>
      <c r="O447" s="127">
        <f ca="1">IF($A447="S",VTOTALBM,IF($A447=0,0,ROUND(SomaAgrupBM,15-13*ORÇAMENTO!$AF$11)))</f>
        <v>0</v>
      </c>
      <c r="Q447" s="382"/>
      <c r="R447" s="383"/>
      <c r="T447" s="119" t="str">
        <f t="shared" ca="1" si="39"/>
        <v/>
      </c>
      <c r="U447" s="172" t="str">
        <f t="shared" ca="1" si="40"/>
        <v/>
      </c>
      <c r="V447" s="173" t="str">
        <f ca="1">IF(AND($W447&gt;0,RegimeExecucao="Unitário"),$F447,"")</f>
        <v/>
      </c>
      <c r="W447" s="547">
        <f ca="1">IF($Y447&gt;0,CHOOSE(MATCH(RegimeExecucao,{"Unitário","Global"},0),IF($A447="S",$Y447/$X447,""),($Y447/$X447)*100),0)</f>
        <v>0</v>
      </c>
      <c r="X447" s="384" t="str">
        <f ca="1">IF($Y447&gt;0,CHOOSE(MATCH(RegimeExecucao,{"Unitário","Global"},0),IF($A447="S",ROUND($H447,ORÇAMENTO!$AF$10),""),ROUND($I447,ORÇAMENTO!$AF$11)),"")</f>
        <v/>
      </c>
      <c r="Y447" s="384">
        <f t="shared" ca="1" si="41"/>
        <v>0</v>
      </c>
      <c r="Z447" s="572"/>
      <c r="AB447" s="382"/>
      <c r="AC447" s="516"/>
      <c r="AD447" s="516"/>
      <c r="AE447" s="516"/>
      <c r="AF447" s="516"/>
      <c r="AG447" s="516"/>
      <c r="AH447" s="516"/>
      <c r="AI447" s="516"/>
      <c r="AJ447" s="516"/>
      <c r="AK447" s="516"/>
      <c r="AL447" s="516"/>
      <c r="AM447" s="383"/>
      <c r="AO447">
        <f ca="1">IF($A447="S",IF(BM!$I447=0,0,CHOOSE(MATCH(RegimeExecucao,{"Global","Unitário"},0),ROUND(ROUND(BM.MEDAcumulado,15-13*BM!$A$9)/100*BM!$I447,15-13*ORÇAMENTO!$AF$11),ROUND(ROUND(BM.MEDAcumulado,15-13*BM!$A$9)*ROUND(BM!$H447,15-13*ORÇAMENTO!$AF$10),15-13*ORÇAMENTO!$AF$11))),IF($A447=0,0,ROUND(SomaAgrupBM,15-13*ORÇAMENTO!$AF$11)))</f>
        <v>0</v>
      </c>
    </row>
    <row r="448" spans="1:41" ht="38.25" x14ac:dyDescent="0.2">
      <c r="A448" t="str">
        <f ca="1">ORÇAMENTO!C448</f>
        <v>S</v>
      </c>
      <c r="B448">
        <f ca="1">ORÇAMENTO!D448</f>
        <v>0</v>
      </c>
      <c r="C448" s="116" t="str">
        <f t="shared" ca="1" si="35"/>
        <v/>
      </c>
      <c r="D448" s="119" t="str">
        <f ca="1">ORÇAMENTO!O448</f>
        <v>-</v>
      </c>
      <c r="E448" s="172" t="str">
        <f t="shared" ca="1" si="43"/>
        <v>(abra o arquivo 'Referência 06-2024.xlsm)</v>
      </c>
      <c r="F448" s="173" t="str">
        <f ca="1">IF(RegimeExecucao="Global","",ORÇAMENTO.Unidade)</f>
        <v/>
      </c>
      <c r="G448" s="124" t="str">
        <f ca="1">IF(RegimeExecucao="Global","",ORÇAMENTO!T448)</f>
        <v/>
      </c>
      <c r="H448" s="124" t="str">
        <f ca="1">IF(RegimeExecucao="Global","",ORÇAMENTO!W448)</f>
        <v/>
      </c>
      <c r="I448" s="127">
        <f ca="1">ORÇAMENTO!X448</f>
        <v>0</v>
      </c>
      <c r="J448" s="378">
        <f ca="1">IF($A448="S",IF(CAIXA.Modo,BM.AFAnterior,BM.MEDAnterior),IF(AND(RegimeExecucao="Global",$I448&gt;0,COUNTIF($AB$13:$AM$13,BM.medicao-1)&gt;0),M448/$I448*100,0))</f>
        <v>0</v>
      </c>
      <c r="K448" s="124">
        <f t="shared" ca="1" si="37"/>
        <v>0</v>
      </c>
      <c r="L448" s="379">
        <f ca="1">IF($A448="S",IF(CAIXA.Modo,BM.AFAcumulado,BM.MEDAcumulado),IF(AND(RegimeExecucao="Global",$I448&gt;0,COUNTIF($AB$13:$AM$13,BM.medicao)&gt;0),O448/$I448*100,0))</f>
        <v>0</v>
      </c>
      <c r="M448" s="380">
        <f ca="1">IF($A448="S",VTOTALBM,IF($A448=0,0,ROUND(SomaAgrupBM,15-13*ORÇAMENTO!$AF$11)))</f>
        <v>0</v>
      </c>
      <c r="N448" s="381">
        <f t="shared" ca="1" si="38"/>
        <v>0</v>
      </c>
      <c r="O448" s="127">
        <f ca="1">IF($A448="S",VTOTALBM,IF($A448=0,0,ROUND(SomaAgrupBM,15-13*ORÇAMENTO!$AF$11)))</f>
        <v>0</v>
      </c>
      <c r="Q448" s="382"/>
      <c r="R448" s="383"/>
      <c r="T448" s="119" t="str">
        <f t="shared" ca="1" si="39"/>
        <v/>
      </c>
      <c r="U448" s="172" t="str">
        <f t="shared" ca="1" si="40"/>
        <v/>
      </c>
      <c r="V448" s="173" t="str">
        <f ca="1">IF(AND($W448&gt;0,RegimeExecucao="Unitário"),$F448,"")</f>
        <v/>
      </c>
      <c r="W448" s="547">
        <f ca="1">IF($Y448&gt;0,CHOOSE(MATCH(RegimeExecucao,{"Unitário","Global"},0),IF($A448="S",$Y448/$X448,""),($Y448/$X448)*100),0)</f>
        <v>0</v>
      </c>
      <c r="X448" s="384" t="str">
        <f ca="1">IF($Y448&gt;0,CHOOSE(MATCH(RegimeExecucao,{"Unitário","Global"},0),IF($A448="S",ROUND($H448,ORÇAMENTO!$AF$10),""),ROUND($I448,ORÇAMENTO!$AF$11)),"")</f>
        <v/>
      </c>
      <c r="Y448" s="384">
        <f t="shared" ca="1" si="41"/>
        <v>0</v>
      </c>
      <c r="Z448" s="572"/>
      <c r="AB448" s="382"/>
      <c r="AC448" s="516"/>
      <c r="AD448" s="516"/>
      <c r="AE448" s="516"/>
      <c r="AF448" s="516"/>
      <c r="AG448" s="516"/>
      <c r="AH448" s="516"/>
      <c r="AI448" s="516"/>
      <c r="AJ448" s="516"/>
      <c r="AK448" s="516"/>
      <c r="AL448" s="516"/>
      <c r="AM448" s="383"/>
      <c r="AO448">
        <f ca="1">IF($A448="S",IF(BM!$I448=0,0,CHOOSE(MATCH(RegimeExecucao,{"Global","Unitário"},0),ROUND(ROUND(BM.MEDAcumulado,15-13*BM!$A$9)/100*BM!$I448,15-13*ORÇAMENTO!$AF$11),ROUND(ROUND(BM.MEDAcumulado,15-13*BM!$A$9)*ROUND(BM!$H448,15-13*ORÇAMENTO!$AF$10),15-13*ORÇAMENTO!$AF$11))),IF($A448=0,0,ROUND(SomaAgrupBM,15-13*ORÇAMENTO!$AF$11)))</f>
        <v>0</v>
      </c>
    </row>
    <row r="449" spans="1:41" ht="51" x14ac:dyDescent="0.2">
      <c r="A449" t="str">
        <f ca="1">ORÇAMENTO!C449</f>
        <v>S</v>
      </c>
      <c r="B449">
        <f ca="1">ORÇAMENTO!D449</f>
        <v>0</v>
      </c>
      <c r="C449" s="116" t="str">
        <f t="shared" ca="1" si="35"/>
        <v/>
      </c>
      <c r="D449" s="119" t="str">
        <f ca="1">ORÇAMENTO!O449</f>
        <v>-</v>
      </c>
      <c r="E449" s="172" t="str">
        <f t="shared" ca="1" si="43"/>
        <v>(abra o arquivo 'Referência 06-2024.xlsm)</v>
      </c>
      <c r="F449" s="173" t="str">
        <f ca="1">IF(RegimeExecucao="Global","",ORÇAMENTO.Unidade)</f>
        <v/>
      </c>
      <c r="G449" s="124" t="str">
        <f ca="1">IF(RegimeExecucao="Global","",ORÇAMENTO!T449)</f>
        <v/>
      </c>
      <c r="H449" s="124" t="str">
        <f ca="1">IF(RegimeExecucao="Global","",ORÇAMENTO!W449)</f>
        <v/>
      </c>
      <c r="I449" s="127">
        <f ca="1">ORÇAMENTO!X449</f>
        <v>0</v>
      </c>
      <c r="J449" s="378">
        <f ca="1">IF($A449="S",IF(CAIXA.Modo,BM.AFAnterior,BM.MEDAnterior),IF(AND(RegimeExecucao="Global",$I449&gt;0,COUNTIF($AB$13:$AM$13,BM.medicao-1)&gt;0),M449/$I449*100,0))</f>
        <v>0</v>
      </c>
      <c r="K449" s="124">
        <f t="shared" ca="1" si="37"/>
        <v>0</v>
      </c>
      <c r="L449" s="379">
        <f ca="1">IF($A449="S",IF(CAIXA.Modo,BM.AFAcumulado,BM.MEDAcumulado),IF(AND(RegimeExecucao="Global",$I449&gt;0,COUNTIF($AB$13:$AM$13,BM.medicao)&gt;0),O449/$I449*100,0))</f>
        <v>0</v>
      </c>
      <c r="M449" s="380">
        <f ca="1">IF($A449="S",VTOTALBM,IF($A449=0,0,ROUND(SomaAgrupBM,15-13*ORÇAMENTO!$AF$11)))</f>
        <v>0</v>
      </c>
      <c r="N449" s="381">
        <f t="shared" ca="1" si="38"/>
        <v>0</v>
      </c>
      <c r="O449" s="127">
        <f ca="1">IF($A449="S",VTOTALBM,IF($A449=0,0,ROUND(SomaAgrupBM,15-13*ORÇAMENTO!$AF$11)))</f>
        <v>0</v>
      </c>
      <c r="Q449" s="382"/>
      <c r="R449" s="383"/>
      <c r="T449" s="119" t="str">
        <f t="shared" ca="1" si="39"/>
        <v/>
      </c>
      <c r="U449" s="172" t="str">
        <f t="shared" ca="1" si="40"/>
        <v/>
      </c>
      <c r="V449" s="173" t="str">
        <f ca="1">IF(AND($W449&gt;0,RegimeExecucao="Unitário"),$F449,"")</f>
        <v/>
      </c>
      <c r="W449" s="547">
        <f ca="1">IF($Y449&gt;0,CHOOSE(MATCH(RegimeExecucao,{"Unitário","Global"},0),IF($A449="S",$Y449/$X449,""),($Y449/$X449)*100),0)</f>
        <v>0</v>
      </c>
      <c r="X449" s="384" t="str">
        <f ca="1">IF($Y449&gt;0,CHOOSE(MATCH(RegimeExecucao,{"Unitário","Global"},0),IF($A449="S",ROUND($H449,ORÇAMENTO!$AF$10),""),ROUND($I449,ORÇAMENTO!$AF$11)),"")</f>
        <v/>
      </c>
      <c r="Y449" s="384">
        <f t="shared" ca="1" si="41"/>
        <v>0</v>
      </c>
      <c r="Z449" s="572"/>
      <c r="AB449" s="382"/>
      <c r="AC449" s="516"/>
      <c r="AD449" s="516"/>
      <c r="AE449" s="516"/>
      <c r="AF449" s="516"/>
      <c r="AG449" s="516"/>
      <c r="AH449" s="516"/>
      <c r="AI449" s="516"/>
      <c r="AJ449" s="516"/>
      <c r="AK449" s="516"/>
      <c r="AL449" s="516"/>
      <c r="AM449" s="383"/>
      <c r="AO449">
        <f ca="1">IF($A449="S",IF(BM!$I449=0,0,CHOOSE(MATCH(RegimeExecucao,{"Global","Unitário"},0),ROUND(ROUND(BM.MEDAcumulado,15-13*BM!$A$9)/100*BM!$I449,15-13*ORÇAMENTO!$AF$11),ROUND(ROUND(BM.MEDAcumulado,15-13*BM!$A$9)*ROUND(BM!$H449,15-13*ORÇAMENTO!$AF$10),15-13*ORÇAMENTO!$AF$11))),IF($A449=0,0,ROUND(SomaAgrupBM,15-13*ORÇAMENTO!$AF$11)))</f>
        <v>0</v>
      </c>
    </row>
    <row r="450" spans="1:41" ht="38.25" x14ac:dyDescent="0.2">
      <c r="A450" t="str">
        <f ca="1">ORÇAMENTO!C450</f>
        <v>S</v>
      </c>
      <c r="B450">
        <f ca="1">ORÇAMENTO!D450</f>
        <v>0</v>
      </c>
      <c r="C450" s="116" t="str">
        <f t="shared" ca="1" si="35"/>
        <v/>
      </c>
      <c r="D450" s="119" t="str">
        <f ca="1">ORÇAMENTO!O450</f>
        <v>-</v>
      </c>
      <c r="E450" s="172" t="str">
        <f t="shared" ca="1" si="43"/>
        <v>(abra o arquivo 'Referência 06-2024.xlsm)</v>
      </c>
      <c r="F450" s="173" t="str">
        <f ca="1">IF(RegimeExecucao="Global","",ORÇAMENTO.Unidade)</f>
        <v/>
      </c>
      <c r="G450" s="124" t="str">
        <f ca="1">IF(RegimeExecucao="Global","",ORÇAMENTO!T450)</f>
        <v/>
      </c>
      <c r="H450" s="124" t="str">
        <f ca="1">IF(RegimeExecucao="Global","",ORÇAMENTO!W450)</f>
        <v/>
      </c>
      <c r="I450" s="127">
        <f ca="1">ORÇAMENTO!X450</f>
        <v>0</v>
      </c>
      <c r="J450" s="378">
        <f ca="1">IF($A450="S",IF(CAIXA.Modo,BM.AFAnterior,BM.MEDAnterior),IF(AND(RegimeExecucao="Global",$I450&gt;0,COUNTIF($AB$13:$AM$13,BM.medicao-1)&gt;0),M450/$I450*100,0))</f>
        <v>0</v>
      </c>
      <c r="K450" s="124">
        <f t="shared" ca="1" si="37"/>
        <v>0</v>
      </c>
      <c r="L450" s="379">
        <f ca="1">IF($A450="S",IF(CAIXA.Modo,BM.AFAcumulado,BM.MEDAcumulado),IF(AND(RegimeExecucao="Global",$I450&gt;0,COUNTIF($AB$13:$AM$13,BM.medicao)&gt;0),O450/$I450*100,0))</f>
        <v>0</v>
      </c>
      <c r="M450" s="380">
        <f ca="1">IF($A450="S",VTOTALBM,IF($A450=0,0,ROUND(SomaAgrupBM,15-13*ORÇAMENTO!$AF$11)))</f>
        <v>0</v>
      </c>
      <c r="N450" s="381">
        <f t="shared" ca="1" si="38"/>
        <v>0</v>
      </c>
      <c r="O450" s="127">
        <f ca="1">IF($A450="S",VTOTALBM,IF($A450=0,0,ROUND(SomaAgrupBM,15-13*ORÇAMENTO!$AF$11)))</f>
        <v>0</v>
      </c>
      <c r="Q450" s="382"/>
      <c r="R450" s="383"/>
      <c r="T450" s="119" t="str">
        <f t="shared" ca="1" si="39"/>
        <v/>
      </c>
      <c r="U450" s="172" t="str">
        <f t="shared" ca="1" si="40"/>
        <v/>
      </c>
      <c r="V450" s="173" t="str">
        <f ca="1">IF(AND($W450&gt;0,RegimeExecucao="Unitário"),$F450,"")</f>
        <v/>
      </c>
      <c r="W450" s="547">
        <f ca="1">IF($Y450&gt;0,CHOOSE(MATCH(RegimeExecucao,{"Unitário","Global"},0),IF($A450="S",$Y450/$X450,""),($Y450/$X450)*100),0)</f>
        <v>0</v>
      </c>
      <c r="X450" s="384" t="str">
        <f ca="1">IF($Y450&gt;0,CHOOSE(MATCH(RegimeExecucao,{"Unitário","Global"},0),IF($A450="S",ROUND($H450,ORÇAMENTO!$AF$10),""),ROUND($I450,ORÇAMENTO!$AF$11)),"")</f>
        <v/>
      </c>
      <c r="Y450" s="384">
        <f t="shared" ca="1" si="41"/>
        <v>0</v>
      </c>
      <c r="Z450" s="572"/>
      <c r="AB450" s="382"/>
      <c r="AC450" s="516"/>
      <c r="AD450" s="516"/>
      <c r="AE450" s="516"/>
      <c r="AF450" s="516"/>
      <c r="AG450" s="516"/>
      <c r="AH450" s="516"/>
      <c r="AI450" s="516"/>
      <c r="AJ450" s="516"/>
      <c r="AK450" s="516"/>
      <c r="AL450" s="516"/>
      <c r="AM450" s="383"/>
      <c r="AO450">
        <f ca="1">IF($A450="S",IF(BM!$I450=0,0,CHOOSE(MATCH(RegimeExecucao,{"Global","Unitário"},0),ROUND(ROUND(BM.MEDAcumulado,15-13*BM!$A$9)/100*BM!$I450,15-13*ORÇAMENTO!$AF$11),ROUND(ROUND(BM.MEDAcumulado,15-13*BM!$A$9)*ROUND(BM!$H450,15-13*ORÇAMENTO!$AF$10),15-13*ORÇAMENTO!$AF$11))),IF($A450=0,0,ROUND(SomaAgrupBM,15-13*ORÇAMENTO!$AF$11)))</f>
        <v>0</v>
      </c>
    </row>
    <row r="451" spans="1:41" ht="25.5" x14ac:dyDescent="0.2">
      <c r="A451" t="str">
        <f ca="1">ORÇAMENTO!C451</f>
        <v>S</v>
      </c>
      <c r="B451">
        <f ca="1">ORÇAMENTO!D451</f>
        <v>0</v>
      </c>
      <c r="C451" s="116" t="str">
        <f t="shared" ca="1" si="35"/>
        <v/>
      </c>
      <c r="D451" s="119" t="str">
        <f ca="1">ORÇAMENTO!O451</f>
        <v>-</v>
      </c>
      <c r="E451" s="172" t="str">
        <f t="shared" ca="1" si="43"/>
        <v>(abra o arquivo 'Referência 06-2024.xlsm)</v>
      </c>
      <c r="F451" s="173" t="str">
        <f ca="1">IF(RegimeExecucao="Global","",ORÇAMENTO.Unidade)</f>
        <v/>
      </c>
      <c r="G451" s="124" t="str">
        <f ca="1">IF(RegimeExecucao="Global","",ORÇAMENTO!T451)</f>
        <v/>
      </c>
      <c r="H451" s="124" t="str">
        <f ca="1">IF(RegimeExecucao="Global","",ORÇAMENTO!W451)</f>
        <v/>
      </c>
      <c r="I451" s="127">
        <f ca="1">ORÇAMENTO!X451</f>
        <v>0</v>
      </c>
      <c r="J451" s="378">
        <f ca="1">IF($A451="S",IF(CAIXA.Modo,BM.AFAnterior,BM.MEDAnterior),IF(AND(RegimeExecucao="Global",$I451&gt;0,COUNTIF($AB$13:$AM$13,BM.medicao-1)&gt;0),M451/$I451*100,0))</f>
        <v>0</v>
      </c>
      <c r="K451" s="124">
        <f t="shared" ca="1" si="37"/>
        <v>0</v>
      </c>
      <c r="L451" s="379">
        <f ca="1">IF($A451="S",IF(CAIXA.Modo,BM.AFAcumulado,BM.MEDAcumulado),IF(AND(RegimeExecucao="Global",$I451&gt;0,COUNTIF($AB$13:$AM$13,BM.medicao)&gt;0),O451/$I451*100,0))</f>
        <v>0</v>
      </c>
      <c r="M451" s="380">
        <f ca="1">IF($A451="S",VTOTALBM,IF($A451=0,0,ROUND(SomaAgrupBM,15-13*ORÇAMENTO!$AF$11)))</f>
        <v>0</v>
      </c>
      <c r="N451" s="381">
        <f t="shared" ca="1" si="38"/>
        <v>0</v>
      </c>
      <c r="O451" s="127">
        <f ca="1">IF($A451="S",VTOTALBM,IF($A451=0,0,ROUND(SomaAgrupBM,15-13*ORÇAMENTO!$AF$11)))</f>
        <v>0</v>
      </c>
      <c r="Q451" s="382"/>
      <c r="R451" s="383"/>
      <c r="T451" s="119" t="str">
        <f t="shared" ca="1" si="39"/>
        <v/>
      </c>
      <c r="U451" s="172" t="str">
        <f t="shared" ca="1" si="40"/>
        <v/>
      </c>
      <c r="V451" s="173" t="str">
        <f ca="1">IF(AND($W451&gt;0,RegimeExecucao="Unitário"),$F451,"")</f>
        <v/>
      </c>
      <c r="W451" s="547">
        <f ca="1">IF($Y451&gt;0,CHOOSE(MATCH(RegimeExecucao,{"Unitário","Global"},0),IF($A451="S",$Y451/$X451,""),($Y451/$X451)*100),0)</f>
        <v>0</v>
      </c>
      <c r="X451" s="384" t="str">
        <f ca="1">IF($Y451&gt;0,CHOOSE(MATCH(RegimeExecucao,{"Unitário","Global"},0),IF($A451="S",ROUND($H451,ORÇAMENTO!$AF$10),""),ROUND($I451,ORÇAMENTO!$AF$11)),"")</f>
        <v/>
      </c>
      <c r="Y451" s="384">
        <f t="shared" ca="1" si="41"/>
        <v>0</v>
      </c>
      <c r="Z451" s="572"/>
      <c r="AB451" s="382"/>
      <c r="AC451" s="516"/>
      <c r="AD451" s="516"/>
      <c r="AE451" s="516"/>
      <c r="AF451" s="516"/>
      <c r="AG451" s="516"/>
      <c r="AH451" s="516"/>
      <c r="AI451" s="516"/>
      <c r="AJ451" s="516"/>
      <c r="AK451" s="516"/>
      <c r="AL451" s="516"/>
      <c r="AM451" s="383"/>
      <c r="AO451">
        <f ca="1">IF($A451="S",IF(BM!$I451=0,0,CHOOSE(MATCH(RegimeExecucao,{"Global","Unitário"},0),ROUND(ROUND(BM.MEDAcumulado,15-13*BM!$A$9)/100*BM!$I451,15-13*ORÇAMENTO!$AF$11),ROUND(ROUND(BM.MEDAcumulado,15-13*BM!$A$9)*ROUND(BM!$H451,15-13*ORÇAMENTO!$AF$10),15-13*ORÇAMENTO!$AF$11))),IF($A451=0,0,ROUND(SomaAgrupBM,15-13*ORÇAMENTO!$AF$11)))</f>
        <v>0</v>
      </c>
    </row>
    <row r="452" spans="1:41" x14ac:dyDescent="0.2">
      <c r="A452" t="str">
        <f ca="1">ORÇAMENTO!C452</f>
        <v>S</v>
      </c>
      <c r="B452">
        <f ca="1">ORÇAMENTO!D452</f>
        <v>0</v>
      </c>
      <c r="C452" s="116" t="str">
        <f t="shared" ca="1" si="35"/>
        <v/>
      </c>
      <c r="D452" s="119" t="str">
        <f ca="1">ORÇAMENTO!O452</f>
        <v>-</v>
      </c>
      <c r="E452" s="172" t="str">
        <f t="shared" ca="1" si="43"/>
        <v>(abra o arquivo 'Referência 06-2024.xlsm)</v>
      </c>
      <c r="F452" s="173" t="str">
        <f ca="1">IF(RegimeExecucao="Global","",ORÇAMENTO.Unidade)</f>
        <v/>
      </c>
      <c r="G452" s="124" t="str">
        <f ca="1">IF(RegimeExecucao="Global","",ORÇAMENTO!T452)</f>
        <v/>
      </c>
      <c r="H452" s="124" t="str">
        <f ca="1">IF(RegimeExecucao="Global","",ORÇAMENTO!W452)</f>
        <v/>
      </c>
      <c r="I452" s="127">
        <f ca="1">ORÇAMENTO!X452</f>
        <v>0</v>
      </c>
      <c r="J452" s="378">
        <f ca="1">IF($A452="S",IF(CAIXA.Modo,BM.AFAnterior,BM.MEDAnterior),IF(AND(RegimeExecucao="Global",$I452&gt;0,COUNTIF($AB$13:$AM$13,BM.medicao-1)&gt;0),M452/$I452*100,0))</f>
        <v>0</v>
      </c>
      <c r="K452" s="124">
        <f t="shared" ca="1" si="37"/>
        <v>0</v>
      </c>
      <c r="L452" s="379">
        <f ca="1">IF($A452="S",IF(CAIXA.Modo,BM.AFAcumulado,BM.MEDAcumulado),IF(AND(RegimeExecucao="Global",$I452&gt;0,COUNTIF($AB$13:$AM$13,BM.medicao)&gt;0),O452/$I452*100,0))</f>
        <v>0</v>
      </c>
      <c r="M452" s="380">
        <f ca="1">IF($A452="S",VTOTALBM,IF($A452=0,0,ROUND(SomaAgrupBM,15-13*ORÇAMENTO!$AF$11)))</f>
        <v>0</v>
      </c>
      <c r="N452" s="381">
        <f t="shared" ca="1" si="38"/>
        <v>0</v>
      </c>
      <c r="O452" s="127">
        <f ca="1">IF($A452="S",VTOTALBM,IF($A452=0,0,ROUND(SomaAgrupBM,15-13*ORÇAMENTO!$AF$11)))</f>
        <v>0</v>
      </c>
      <c r="Q452" s="382"/>
      <c r="R452" s="383"/>
      <c r="T452" s="119" t="str">
        <f t="shared" ca="1" si="39"/>
        <v/>
      </c>
      <c r="U452" s="172" t="str">
        <f t="shared" ca="1" si="40"/>
        <v/>
      </c>
      <c r="V452" s="173" t="str">
        <f ca="1">IF(AND($W452&gt;0,RegimeExecucao="Unitário"),$F452,"")</f>
        <v/>
      </c>
      <c r="W452" s="547">
        <f ca="1">IF($Y452&gt;0,CHOOSE(MATCH(RegimeExecucao,{"Unitário","Global"},0),IF($A452="S",$Y452/$X452,""),($Y452/$X452)*100),0)</f>
        <v>0</v>
      </c>
      <c r="X452" s="384" t="str">
        <f ca="1">IF($Y452&gt;0,CHOOSE(MATCH(RegimeExecucao,{"Unitário","Global"},0),IF($A452="S",ROUND($H452,ORÇAMENTO!$AF$10),""),ROUND($I452,ORÇAMENTO!$AF$11)),"")</f>
        <v/>
      </c>
      <c r="Y452" s="384">
        <f t="shared" ca="1" si="41"/>
        <v>0</v>
      </c>
      <c r="Z452" s="572"/>
      <c r="AB452" s="382"/>
      <c r="AC452" s="516"/>
      <c r="AD452" s="516"/>
      <c r="AE452" s="516"/>
      <c r="AF452" s="516"/>
      <c r="AG452" s="516"/>
      <c r="AH452" s="516"/>
      <c r="AI452" s="516"/>
      <c r="AJ452" s="516"/>
      <c r="AK452" s="516"/>
      <c r="AL452" s="516"/>
      <c r="AM452" s="383"/>
      <c r="AO452">
        <f ca="1">IF($A452="S",IF(BM!$I452=0,0,CHOOSE(MATCH(RegimeExecucao,{"Global","Unitário"},0),ROUND(ROUND(BM.MEDAcumulado,15-13*BM!$A$9)/100*BM!$I452,15-13*ORÇAMENTO!$AF$11),ROUND(ROUND(BM.MEDAcumulado,15-13*BM!$A$9)*ROUND(BM!$H452,15-13*ORÇAMENTO!$AF$10),15-13*ORÇAMENTO!$AF$11))),IF($A452=0,0,ROUND(SomaAgrupBM,15-13*ORÇAMENTO!$AF$11)))</f>
        <v>0</v>
      </c>
    </row>
    <row r="453" spans="1:41" ht="38.25" x14ac:dyDescent="0.2">
      <c r="A453" t="str">
        <f ca="1">ORÇAMENTO!C453</f>
        <v>S</v>
      </c>
      <c r="B453">
        <f ca="1">ORÇAMENTO!D453</f>
        <v>0</v>
      </c>
      <c r="C453" s="116" t="str">
        <f t="shared" ca="1" si="35"/>
        <v/>
      </c>
      <c r="D453" s="119" t="str">
        <f ca="1">ORÇAMENTO!O453</f>
        <v>-</v>
      </c>
      <c r="E453" s="172" t="str">
        <f t="shared" ca="1" si="43"/>
        <v>(abra o arquivo 'Referência 06-2024.xlsm)</v>
      </c>
      <c r="F453" s="173" t="str">
        <f ca="1">IF(RegimeExecucao="Global","",ORÇAMENTO.Unidade)</f>
        <v/>
      </c>
      <c r="G453" s="124" t="str">
        <f ca="1">IF(RegimeExecucao="Global","",ORÇAMENTO!T453)</f>
        <v/>
      </c>
      <c r="H453" s="124" t="str">
        <f ca="1">IF(RegimeExecucao="Global","",ORÇAMENTO!W453)</f>
        <v/>
      </c>
      <c r="I453" s="127">
        <f ca="1">ORÇAMENTO!X453</f>
        <v>0</v>
      </c>
      <c r="J453" s="378">
        <f ca="1">IF($A453="S",IF(CAIXA.Modo,BM.AFAnterior,BM.MEDAnterior),IF(AND(RegimeExecucao="Global",$I453&gt;0,COUNTIF($AB$13:$AM$13,BM.medicao-1)&gt;0),M453/$I453*100,0))</f>
        <v>0</v>
      </c>
      <c r="K453" s="124">
        <f t="shared" ca="1" si="37"/>
        <v>0</v>
      </c>
      <c r="L453" s="379">
        <f ca="1">IF($A453="S",IF(CAIXA.Modo,BM.AFAcumulado,BM.MEDAcumulado),IF(AND(RegimeExecucao="Global",$I453&gt;0,COUNTIF($AB$13:$AM$13,BM.medicao)&gt;0),O453/$I453*100,0))</f>
        <v>0</v>
      </c>
      <c r="M453" s="380">
        <f ca="1">IF($A453="S",VTOTALBM,IF($A453=0,0,ROUND(SomaAgrupBM,15-13*ORÇAMENTO!$AF$11)))</f>
        <v>0</v>
      </c>
      <c r="N453" s="381">
        <f t="shared" ca="1" si="38"/>
        <v>0</v>
      </c>
      <c r="O453" s="127">
        <f ca="1">IF($A453="S",VTOTALBM,IF($A453=0,0,ROUND(SomaAgrupBM,15-13*ORÇAMENTO!$AF$11)))</f>
        <v>0</v>
      </c>
      <c r="Q453" s="382"/>
      <c r="R453" s="383"/>
      <c r="T453" s="119" t="str">
        <f t="shared" ca="1" si="39"/>
        <v/>
      </c>
      <c r="U453" s="172" t="str">
        <f t="shared" ca="1" si="40"/>
        <v/>
      </c>
      <c r="V453" s="173" t="str">
        <f ca="1">IF(AND($W453&gt;0,RegimeExecucao="Unitário"),$F453,"")</f>
        <v/>
      </c>
      <c r="W453" s="547">
        <f ca="1">IF($Y453&gt;0,CHOOSE(MATCH(RegimeExecucao,{"Unitário","Global"},0),IF($A453="S",$Y453/$X453,""),($Y453/$X453)*100),0)</f>
        <v>0</v>
      </c>
      <c r="X453" s="384" t="str">
        <f ca="1">IF($Y453&gt;0,CHOOSE(MATCH(RegimeExecucao,{"Unitário","Global"},0),IF($A453="S",ROUND($H453,ORÇAMENTO!$AF$10),""),ROUND($I453,ORÇAMENTO!$AF$11)),"")</f>
        <v/>
      </c>
      <c r="Y453" s="384">
        <f t="shared" ca="1" si="41"/>
        <v>0</v>
      </c>
      <c r="Z453" s="572"/>
      <c r="AB453" s="382"/>
      <c r="AC453" s="516"/>
      <c r="AD453" s="516"/>
      <c r="AE453" s="516"/>
      <c r="AF453" s="516"/>
      <c r="AG453" s="516"/>
      <c r="AH453" s="516"/>
      <c r="AI453" s="516"/>
      <c r="AJ453" s="516"/>
      <c r="AK453" s="516"/>
      <c r="AL453" s="516"/>
      <c r="AM453" s="383"/>
      <c r="AO453">
        <f ca="1">IF($A453="S",IF(BM!$I453=0,0,CHOOSE(MATCH(RegimeExecucao,{"Global","Unitário"},0),ROUND(ROUND(BM.MEDAcumulado,15-13*BM!$A$9)/100*BM!$I453,15-13*ORÇAMENTO!$AF$11),ROUND(ROUND(BM.MEDAcumulado,15-13*BM!$A$9)*ROUND(BM!$H453,15-13*ORÇAMENTO!$AF$10),15-13*ORÇAMENTO!$AF$11))),IF($A453=0,0,ROUND(SomaAgrupBM,15-13*ORÇAMENTO!$AF$11)))</f>
        <v>0</v>
      </c>
    </row>
    <row r="454" spans="1:41" ht="38.25" x14ac:dyDescent="0.2">
      <c r="A454" t="str">
        <f ca="1">ORÇAMENTO!C454</f>
        <v>S</v>
      </c>
      <c r="B454">
        <f ca="1">ORÇAMENTO!D454</f>
        <v>0</v>
      </c>
      <c r="C454" s="116" t="str">
        <f t="shared" ca="1" si="35"/>
        <v/>
      </c>
      <c r="D454" s="119" t="str">
        <f ca="1">ORÇAMENTO!O454</f>
        <v>-</v>
      </c>
      <c r="E454" s="172" t="str">
        <f t="shared" ca="1" si="43"/>
        <v>(abra o arquivo 'Referência 06-2024.xlsm)</v>
      </c>
      <c r="F454" s="173" t="str">
        <f ca="1">IF(RegimeExecucao="Global","",ORÇAMENTO.Unidade)</f>
        <v/>
      </c>
      <c r="G454" s="124" t="str">
        <f ca="1">IF(RegimeExecucao="Global","",ORÇAMENTO!T454)</f>
        <v/>
      </c>
      <c r="H454" s="124" t="str">
        <f ca="1">IF(RegimeExecucao="Global","",ORÇAMENTO!W454)</f>
        <v/>
      </c>
      <c r="I454" s="127">
        <f ca="1">ORÇAMENTO!X454</f>
        <v>0</v>
      </c>
      <c r="J454" s="378">
        <f ca="1">IF($A454="S",IF(CAIXA.Modo,BM.AFAnterior,BM.MEDAnterior),IF(AND(RegimeExecucao="Global",$I454&gt;0,COUNTIF($AB$13:$AM$13,BM.medicao-1)&gt;0),M454/$I454*100,0))</f>
        <v>0</v>
      </c>
      <c r="K454" s="124">
        <f t="shared" ca="1" si="37"/>
        <v>0</v>
      </c>
      <c r="L454" s="379">
        <f ca="1">IF($A454="S",IF(CAIXA.Modo,BM.AFAcumulado,BM.MEDAcumulado),IF(AND(RegimeExecucao="Global",$I454&gt;0,COUNTIF($AB$13:$AM$13,BM.medicao)&gt;0),O454/$I454*100,0))</f>
        <v>0</v>
      </c>
      <c r="M454" s="380">
        <f ca="1">IF($A454="S",VTOTALBM,IF($A454=0,0,ROUND(SomaAgrupBM,15-13*ORÇAMENTO!$AF$11)))</f>
        <v>0</v>
      </c>
      <c r="N454" s="381">
        <f t="shared" ca="1" si="38"/>
        <v>0</v>
      </c>
      <c r="O454" s="127">
        <f ca="1">IF($A454="S",VTOTALBM,IF($A454=0,0,ROUND(SomaAgrupBM,15-13*ORÇAMENTO!$AF$11)))</f>
        <v>0</v>
      </c>
      <c r="Q454" s="382"/>
      <c r="R454" s="383"/>
      <c r="T454" s="119" t="str">
        <f t="shared" ca="1" si="39"/>
        <v/>
      </c>
      <c r="U454" s="172" t="str">
        <f t="shared" ca="1" si="40"/>
        <v/>
      </c>
      <c r="V454" s="173" t="str">
        <f ca="1">IF(AND($W454&gt;0,RegimeExecucao="Unitário"),$F454,"")</f>
        <v/>
      </c>
      <c r="W454" s="547">
        <f ca="1">IF($Y454&gt;0,CHOOSE(MATCH(RegimeExecucao,{"Unitário","Global"},0),IF($A454="S",$Y454/$X454,""),($Y454/$X454)*100),0)</f>
        <v>0</v>
      </c>
      <c r="X454" s="384" t="str">
        <f ca="1">IF($Y454&gt;0,CHOOSE(MATCH(RegimeExecucao,{"Unitário","Global"},0),IF($A454="S",ROUND($H454,ORÇAMENTO!$AF$10),""),ROUND($I454,ORÇAMENTO!$AF$11)),"")</f>
        <v/>
      </c>
      <c r="Y454" s="384">
        <f t="shared" ca="1" si="41"/>
        <v>0</v>
      </c>
      <c r="Z454" s="572"/>
      <c r="AB454" s="382"/>
      <c r="AC454" s="516"/>
      <c r="AD454" s="516"/>
      <c r="AE454" s="516"/>
      <c r="AF454" s="516"/>
      <c r="AG454" s="516"/>
      <c r="AH454" s="516"/>
      <c r="AI454" s="516"/>
      <c r="AJ454" s="516"/>
      <c r="AK454" s="516"/>
      <c r="AL454" s="516"/>
      <c r="AM454" s="383"/>
      <c r="AO454">
        <f ca="1">IF($A454="S",IF(BM!$I454=0,0,CHOOSE(MATCH(RegimeExecucao,{"Global","Unitário"},0),ROUND(ROUND(BM.MEDAcumulado,15-13*BM!$A$9)/100*BM!$I454,15-13*ORÇAMENTO!$AF$11),ROUND(ROUND(BM.MEDAcumulado,15-13*BM!$A$9)*ROUND(BM!$H454,15-13*ORÇAMENTO!$AF$10),15-13*ORÇAMENTO!$AF$11))),IF($A454=0,0,ROUND(SomaAgrupBM,15-13*ORÇAMENTO!$AF$11)))</f>
        <v>0</v>
      </c>
    </row>
    <row r="455" spans="1:41" ht="38.25" x14ac:dyDescent="0.2">
      <c r="A455" t="str">
        <f ca="1">ORÇAMENTO!C455</f>
        <v>S</v>
      </c>
      <c r="B455">
        <f ca="1">ORÇAMENTO!D455</f>
        <v>0</v>
      </c>
      <c r="C455" s="116" t="str">
        <f t="shared" ca="1" si="35"/>
        <v/>
      </c>
      <c r="D455" s="119" t="str">
        <f ca="1">ORÇAMENTO!O455</f>
        <v>-</v>
      </c>
      <c r="E455" s="172" t="str">
        <f t="shared" ca="1" si="43"/>
        <v>(abra o arquivo 'Referência 06-2024.xlsm)</v>
      </c>
      <c r="F455" s="173" t="str">
        <f ca="1">IF(RegimeExecucao="Global","",ORÇAMENTO.Unidade)</f>
        <v/>
      </c>
      <c r="G455" s="124" t="str">
        <f ca="1">IF(RegimeExecucao="Global","",ORÇAMENTO!T455)</f>
        <v/>
      </c>
      <c r="H455" s="124" t="str">
        <f ca="1">IF(RegimeExecucao="Global","",ORÇAMENTO!W455)</f>
        <v/>
      </c>
      <c r="I455" s="127">
        <f ca="1">ORÇAMENTO!X455</f>
        <v>0</v>
      </c>
      <c r="J455" s="378">
        <f ca="1">IF($A455="S",IF(CAIXA.Modo,BM.AFAnterior,BM.MEDAnterior),IF(AND(RegimeExecucao="Global",$I455&gt;0,COUNTIF($AB$13:$AM$13,BM.medicao-1)&gt;0),M455/$I455*100,0))</f>
        <v>0</v>
      </c>
      <c r="K455" s="124">
        <f t="shared" ca="1" si="37"/>
        <v>0</v>
      </c>
      <c r="L455" s="379">
        <f ca="1">IF($A455="S",IF(CAIXA.Modo,BM.AFAcumulado,BM.MEDAcumulado),IF(AND(RegimeExecucao="Global",$I455&gt;0,COUNTIF($AB$13:$AM$13,BM.medicao)&gt;0),O455/$I455*100,0))</f>
        <v>0</v>
      </c>
      <c r="M455" s="380">
        <f ca="1">IF($A455="S",VTOTALBM,IF($A455=0,0,ROUND(SomaAgrupBM,15-13*ORÇAMENTO!$AF$11)))</f>
        <v>0</v>
      </c>
      <c r="N455" s="381">
        <f t="shared" ca="1" si="38"/>
        <v>0</v>
      </c>
      <c r="O455" s="127">
        <f ca="1">IF($A455="S",VTOTALBM,IF($A455=0,0,ROUND(SomaAgrupBM,15-13*ORÇAMENTO!$AF$11)))</f>
        <v>0</v>
      </c>
      <c r="Q455" s="382"/>
      <c r="R455" s="383"/>
      <c r="T455" s="119" t="str">
        <f t="shared" ca="1" si="39"/>
        <v/>
      </c>
      <c r="U455" s="172" t="str">
        <f t="shared" ca="1" si="40"/>
        <v/>
      </c>
      <c r="V455" s="173" t="str">
        <f ca="1">IF(AND($W455&gt;0,RegimeExecucao="Unitário"),$F455,"")</f>
        <v/>
      </c>
      <c r="W455" s="547">
        <f ca="1">IF($Y455&gt;0,CHOOSE(MATCH(RegimeExecucao,{"Unitário","Global"},0),IF($A455="S",$Y455/$X455,""),($Y455/$X455)*100),0)</f>
        <v>0</v>
      </c>
      <c r="X455" s="384" t="str">
        <f ca="1">IF($Y455&gt;0,CHOOSE(MATCH(RegimeExecucao,{"Unitário","Global"},0),IF($A455="S",ROUND($H455,ORÇAMENTO!$AF$10),""),ROUND($I455,ORÇAMENTO!$AF$11)),"")</f>
        <v/>
      </c>
      <c r="Y455" s="384">
        <f t="shared" ca="1" si="41"/>
        <v>0</v>
      </c>
      <c r="Z455" s="572"/>
      <c r="AB455" s="382"/>
      <c r="AC455" s="516"/>
      <c r="AD455" s="516"/>
      <c r="AE455" s="516"/>
      <c r="AF455" s="516"/>
      <c r="AG455" s="516"/>
      <c r="AH455" s="516"/>
      <c r="AI455" s="516"/>
      <c r="AJ455" s="516"/>
      <c r="AK455" s="516"/>
      <c r="AL455" s="516"/>
      <c r="AM455" s="383"/>
      <c r="AO455">
        <f ca="1">IF($A455="S",IF(BM!$I455=0,0,CHOOSE(MATCH(RegimeExecucao,{"Global","Unitário"},0),ROUND(ROUND(BM.MEDAcumulado,15-13*BM!$A$9)/100*BM!$I455,15-13*ORÇAMENTO!$AF$11),ROUND(ROUND(BM.MEDAcumulado,15-13*BM!$A$9)*ROUND(BM!$H455,15-13*ORÇAMENTO!$AF$10),15-13*ORÇAMENTO!$AF$11))),IF($A455=0,0,ROUND(SomaAgrupBM,15-13*ORÇAMENTO!$AF$11)))</f>
        <v>0</v>
      </c>
    </row>
    <row r="456" spans="1:41" ht="25.5" x14ac:dyDescent="0.2">
      <c r="A456" t="str">
        <f ca="1">ORÇAMENTO!C456</f>
        <v>S</v>
      </c>
      <c r="B456">
        <f ca="1">ORÇAMENTO!D456</f>
        <v>0</v>
      </c>
      <c r="C456" s="116" t="str">
        <f t="shared" ca="1" si="35"/>
        <v/>
      </c>
      <c r="D456" s="119" t="str">
        <f ca="1">ORÇAMENTO!O456</f>
        <v>-</v>
      </c>
      <c r="E456" s="172" t="str">
        <f t="shared" ca="1" si="43"/>
        <v>(abra o arquivo 'Referência 06-2024.xlsm)</v>
      </c>
      <c r="F456" s="173" t="str">
        <f ca="1">IF(RegimeExecucao="Global","",ORÇAMENTO.Unidade)</f>
        <v/>
      </c>
      <c r="G456" s="124" t="str">
        <f ca="1">IF(RegimeExecucao="Global","",ORÇAMENTO!T456)</f>
        <v/>
      </c>
      <c r="H456" s="124" t="str">
        <f ca="1">IF(RegimeExecucao="Global","",ORÇAMENTO!W456)</f>
        <v/>
      </c>
      <c r="I456" s="127">
        <f ca="1">ORÇAMENTO!X456</f>
        <v>0</v>
      </c>
      <c r="J456" s="378">
        <f ca="1">IF($A456="S",IF(CAIXA.Modo,BM.AFAnterior,BM.MEDAnterior),IF(AND(RegimeExecucao="Global",$I456&gt;0,COUNTIF($AB$13:$AM$13,BM.medicao-1)&gt;0),M456/$I456*100,0))</f>
        <v>0</v>
      </c>
      <c r="K456" s="124">
        <f t="shared" ca="1" si="37"/>
        <v>0</v>
      </c>
      <c r="L456" s="379">
        <f ca="1">IF($A456="S",IF(CAIXA.Modo,BM.AFAcumulado,BM.MEDAcumulado),IF(AND(RegimeExecucao="Global",$I456&gt;0,COUNTIF($AB$13:$AM$13,BM.medicao)&gt;0),O456/$I456*100,0))</f>
        <v>0</v>
      </c>
      <c r="M456" s="380">
        <f ca="1">IF($A456="S",VTOTALBM,IF($A456=0,0,ROUND(SomaAgrupBM,15-13*ORÇAMENTO!$AF$11)))</f>
        <v>0</v>
      </c>
      <c r="N456" s="381">
        <f t="shared" ca="1" si="38"/>
        <v>0</v>
      </c>
      <c r="O456" s="127">
        <f ca="1">IF($A456="S",VTOTALBM,IF($A456=0,0,ROUND(SomaAgrupBM,15-13*ORÇAMENTO!$AF$11)))</f>
        <v>0</v>
      </c>
      <c r="Q456" s="382"/>
      <c r="R456" s="383"/>
      <c r="T456" s="119" t="str">
        <f t="shared" ca="1" si="39"/>
        <v/>
      </c>
      <c r="U456" s="172" t="str">
        <f t="shared" ca="1" si="40"/>
        <v/>
      </c>
      <c r="V456" s="173" t="str">
        <f ca="1">IF(AND($W456&gt;0,RegimeExecucao="Unitário"),$F456,"")</f>
        <v/>
      </c>
      <c r="W456" s="547">
        <f ca="1">IF($Y456&gt;0,CHOOSE(MATCH(RegimeExecucao,{"Unitário","Global"},0),IF($A456="S",$Y456/$X456,""),($Y456/$X456)*100),0)</f>
        <v>0</v>
      </c>
      <c r="X456" s="384" t="str">
        <f ca="1">IF($Y456&gt;0,CHOOSE(MATCH(RegimeExecucao,{"Unitário","Global"},0),IF($A456="S",ROUND($H456,ORÇAMENTO!$AF$10),""),ROUND($I456,ORÇAMENTO!$AF$11)),"")</f>
        <v/>
      </c>
      <c r="Y456" s="384">
        <f t="shared" ca="1" si="41"/>
        <v>0</v>
      </c>
      <c r="Z456" s="572"/>
      <c r="AB456" s="382"/>
      <c r="AC456" s="516"/>
      <c r="AD456" s="516"/>
      <c r="AE456" s="516"/>
      <c r="AF456" s="516"/>
      <c r="AG456" s="516"/>
      <c r="AH456" s="516"/>
      <c r="AI456" s="516"/>
      <c r="AJ456" s="516"/>
      <c r="AK456" s="516"/>
      <c r="AL456" s="516"/>
      <c r="AM456" s="383"/>
      <c r="AO456">
        <f ca="1">IF($A456="S",IF(BM!$I456=0,0,CHOOSE(MATCH(RegimeExecucao,{"Global","Unitário"},0),ROUND(ROUND(BM.MEDAcumulado,15-13*BM!$A$9)/100*BM!$I456,15-13*ORÇAMENTO!$AF$11),ROUND(ROUND(BM.MEDAcumulado,15-13*BM!$A$9)*ROUND(BM!$H456,15-13*ORÇAMENTO!$AF$10),15-13*ORÇAMENTO!$AF$11))),IF($A456=0,0,ROUND(SomaAgrupBM,15-13*ORÇAMENTO!$AF$11)))</f>
        <v>0</v>
      </c>
    </row>
    <row r="457" spans="1:41" ht="38.25" x14ac:dyDescent="0.2">
      <c r="A457" t="str">
        <f ca="1">ORÇAMENTO!C457</f>
        <v>S</v>
      </c>
      <c r="B457">
        <f ca="1">ORÇAMENTO!D457</f>
        <v>0</v>
      </c>
      <c r="C457" s="116" t="str">
        <f t="shared" ca="1" si="35"/>
        <v/>
      </c>
      <c r="D457" s="119" t="str">
        <f ca="1">ORÇAMENTO!O457</f>
        <v>-</v>
      </c>
      <c r="E457" s="172" t="str">
        <f t="shared" ca="1" si="43"/>
        <v>(abra o arquivo 'Referência 06-2024.xlsm)</v>
      </c>
      <c r="F457" s="173" t="str">
        <f ca="1">IF(RegimeExecucao="Global","",ORÇAMENTO.Unidade)</f>
        <v/>
      </c>
      <c r="G457" s="124" t="str">
        <f ca="1">IF(RegimeExecucao="Global","",ORÇAMENTO!T457)</f>
        <v/>
      </c>
      <c r="H457" s="124" t="str">
        <f ca="1">IF(RegimeExecucao="Global","",ORÇAMENTO!W457)</f>
        <v/>
      </c>
      <c r="I457" s="127">
        <f ca="1">ORÇAMENTO!X457</f>
        <v>0</v>
      </c>
      <c r="J457" s="378">
        <f ca="1">IF($A457="S",IF(CAIXA.Modo,BM.AFAnterior,BM.MEDAnterior),IF(AND(RegimeExecucao="Global",$I457&gt;0,COUNTIF($AB$13:$AM$13,BM.medicao-1)&gt;0),M457/$I457*100,0))</f>
        <v>0</v>
      </c>
      <c r="K457" s="124">
        <f t="shared" ca="1" si="37"/>
        <v>0</v>
      </c>
      <c r="L457" s="379">
        <f ca="1">IF($A457="S",IF(CAIXA.Modo,BM.AFAcumulado,BM.MEDAcumulado),IF(AND(RegimeExecucao="Global",$I457&gt;0,COUNTIF($AB$13:$AM$13,BM.medicao)&gt;0),O457/$I457*100,0))</f>
        <v>0</v>
      </c>
      <c r="M457" s="380">
        <f ca="1">IF($A457="S",VTOTALBM,IF($A457=0,0,ROUND(SomaAgrupBM,15-13*ORÇAMENTO!$AF$11)))</f>
        <v>0</v>
      </c>
      <c r="N457" s="381">
        <f t="shared" ca="1" si="38"/>
        <v>0</v>
      </c>
      <c r="O457" s="127">
        <f ca="1">IF($A457="S",VTOTALBM,IF($A457=0,0,ROUND(SomaAgrupBM,15-13*ORÇAMENTO!$AF$11)))</f>
        <v>0</v>
      </c>
      <c r="Q457" s="382"/>
      <c r="R457" s="383"/>
      <c r="T457" s="119" t="str">
        <f t="shared" ca="1" si="39"/>
        <v/>
      </c>
      <c r="U457" s="172" t="str">
        <f t="shared" ca="1" si="40"/>
        <v/>
      </c>
      <c r="V457" s="173" t="str">
        <f ca="1">IF(AND($W457&gt;0,RegimeExecucao="Unitário"),$F457,"")</f>
        <v/>
      </c>
      <c r="W457" s="547">
        <f ca="1">IF($Y457&gt;0,CHOOSE(MATCH(RegimeExecucao,{"Unitário","Global"},0),IF($A457="S",$Y457/$X457,""),($Y457/$X457)*100),0)</f>
        <v>0</v>
      </c>
      <c r="X457" s="384" t="str">
        <f ca="1">IF($Y457&gt;0,CHOOSE(MATCH(RegimeExecucao,{"Unitário","Global"},0),IF($A457="S",ROUND($H457,ORÇAMENTO!$AF$10),""),ROUND($I457,ORÇAMENTO!$AF$11)),"")</f>
        <v/>
      </c>
      <c r="Y457" s="384">
        <f t="shared" ca="1" si="41"/>
        <v>0</v>
      </c>
      <c r="Z457" s="572"/>
      <c r="AB457" s="382"/>
      <c r="AC457" s="516"/>
      <c r="AD457" s="516"/>
      <c r="AE457" s="516"/>
      <c r="AF457" s="516"/>
      <c r="AG457" s="516"/>
      <c r="AH457" s="516"/>
      <c r="AI457" s="516"/>
      <c r="AJ457" s="516"/>
      <c r="AK457" s="516"/>
      <c r="AL457" s="516"/>
      <c r="AM457" s="383"/>
      <c r="AO457">
        <f ca="1">IF($A457="S",IF(BM!$I457=0,0,CHOOSE(MATCH(RegimeExecucao,{"Global","Unitário"},0),ROUND(ROUND(BM.MEDAcumulado,15-13*BM!$A$9)/100*BM!$I457,15-13*ORÇAMENTO!$AF$11),ROUND(ROUND(BM.MEDAcumulado,15-13*BM!$A$9)*ROUND(BM!$H457,15-13*ORÇAMENTO!$AF$10),15-13*ORÇAMENTO!$AF$11))),IF($A457=0,0,ROUND(SomaAgrupBM,15-13*ORÇAMENTO!$AF$11)))</f>
        <v>0</v>
      </c>
    </row>
    <row r="458" spans="1:41" ht="25.5" x14ac:dyDescent="0.2">
      <c r="A458" t="str">
        <f ca="1">ORÇAMENTO!C458</f>
        <v>S</v>
      </c>
      <c r="B458">
        <f ca="1">ORÇAMENTO!D458</f>
        <v>0</v>
      </c>
      <c r="C458" s="116" t="str">
        <f t="shared" ca="1" si="22"/>
        <v/>
      </c>
      <c r="D458" s="119" t="str">
        <f ca="1">ORÇAMENTO!O458</f>
        <v>-</v>
      </c>
      <c r="E458" s="172" t="str">
        <f t="shared" ca="1" si="23"/>
        <v>(abra o arquivo 'Referência 06-2024.xlsm)</v>
      </c>
      <c r="F458" s="173" t="str">
        <f ca="1">IF(RegimeExecucao="Global","",ORÇAMENTO.Unidade)</f>
        <v/>
      </c>
      <c r="G458" s="124" t="str">
        <f ca="1">IF(RegimeExecucao="Global","",ORÇAMENTO!T458)</f>
        <v/>
      </c>
      <c r="H458" s="124" t="str">
        <f ca="1">IF(RegimeExecucao="Global","",ORÇAMENTO!W458)</f>
        <v/>
      </c>
      <c r="I458" s="127">
        <f ca="1">ORÇAMENTO!X458</f>
        <v>0</v>
      </c>
      <c r="J458" s="378">
        <f ca="1">IF($A458="S",IF(CAIXA.Modo,BM.AFAnterior,BM.MEDAnterior),IF(AND(RegimeExecucao="Global",$I458&gt;0,COUNTIF($AB$13:$AM$13,BM.medicao-1)&gt;0),M458/$I458*100,0))</f>
        <v>0</v>
      </c>
      <c r="K458" s="124">
        <f t="shared" ca="1" si="24"/>
        <v>0</v>
      </c>
      <c r="L458" s="379">
        <f ca="1">IF($A458="S",IF(CAIXA.Modo,BM.AFAcumulado,BM.MEDAcumulado),IF(AND(RegimeExecucao="Global",$I458&gt;0,COUNTIF($AB$13:$AM$13,BM.medicao)&gt;0),O458/$I458*100,0))</f>
        <v>0</v>
      </c>
      <c r="M458" s="380">
        <f ca="1">IF($A458="S",VTOTALBM,IF($A458=0,0,ROUND(SomaAgrupBM,15-13*ORÇAMENTO!$AF$11)))</f>
        <v>0</v>
      </c>
      <c r="N458" s="381">
        <f t="shared" ca="1" si="25"/>
        <v>0</v>
      </c>
      <c r="O458" s="127">
        <f ca="1">IF($A458="S",VTOTALBM,IF($A458=0,0,ROUND(SomaAgrupBM,15-13*ORÇAMENTO!$AF$11)))</f>
        <v>0</v>
      </c>
      <c r="Q458" s="382"/>
      <c r="R458" s="383"/>
      <c r="T458" s="119" t="str">
        <f t="shared" ca="1" si="26"/>
        <v/>
      </c>
      <c r="U458" s="172" t="str">
        <f t="shared" ca="1" si="27"/>
        <v/>
      </c>
      <c r="V458" s="173" t="str">
        <f ca="1">IF(AND($W458&gt;0,RegimeExecucao="Unitário"),$F458,"")</f>
        <v/>
      </c>
      <c r="W458" s="547">
        <f ca="1">IF($Y458&gt;0,CHOOSE(MATCH(RegimeExecucao,{"Unitário","Global"},0),IF($A458="S",$Y458/$X458,""),($Y458/$X458)*100),0)</f>
        <v>0</v>
      </c>
      <c r="X458" s="384" t="str">
        <f ca="1">IF($Y458&gt;0,CHOOSE(MATCH(RegimeExecucao,{"Unitário","Global"},0),IF($A458="S",ROUND($H458,ORÇAMENTO!$AF$10),""),ROUND($I458,ORÇAMENTO!$AF$11)),"")</f>
        <v/>
      </c>
      <c r="Y458" s="384">
        <f t="shared" ca="1" si="28"/>
        <v>0</v>
      </c>
      <c r="Z458" s="572"/>
      <c r="AB458" s="382"/>
      <c r="AC458" s="516"/>
      <c r="AD458" s="516"/>
      <c r="AE458" s="516"/>
      <c r="AF458" s="516"/>
      <c r="AG458" s="516"/>
      <c r="AH458" s="516"/>
      <c r="AI458" s="516"/>
      <c r="AJ458" s="516"/>
      <c r="AK458" s="516"/>
      <c r="AL458" s="516"/>
      <c r="AM458" s="383"/>
      <c r="AO458">
        <f ca="1">IF($A458="S",IF(BM!$I458=0,0,CHOOSE(MATCH(RegimeExecucao,{"Global","Unitário"},0),ROUND(ROUND(BM.MEDAcumulado,15-13*BM!$A$9)/100*BM!$I458,15-13*ORÇAMENTO!$AF$11),ROUND(ROUND(BM.MEDAcumulado,15-13*BM!$A$9)*ROUND(BM!$H458,15-13*ORÇAMENTO!$AF$10),15-13*ORÇAMENTO!$AF$11))),IF($A458=0,0,ROUND(SomaAgrupBM,15-13*ORÇAMENTO!$AF$11)))</f>
        <v>0</v>
      </c>
    </row>
    <row r="459" spans="1:41" ht="25.5" x14ac:dyDescent="0.2">
      <c r="A459" t="str">
        <f ca="1">ORÇAMENTO!C459</f>
        <v>S</v>
      </c>
      <c r="B459">
        <f ca="1">ORÇAMENTO!D459</f>
        <v>0</v>
      </c>
      <c r="C459" s="116" t="str">
        <f t="shared" ca="1" si="22"/>
        <v/>
      </c>
      <c r="D459" s="119" t="str">
        <f ca="1">ORÇAMENTO!O459</f>
        <v>-</v>
      </c>
      <c r="E459" s="172" t="str">
        <f t="shared" ca="1" si="23"/>
        <v>(abra o arquivo 'Referência 06-2024.xlsm)</v>
      </c>
      <c r="F459" s="173" t="str">
        <f ca="1">IF(RegimeExecucao="Global","",ORÇAMENTO.Unidade)</f>
        <v/>
      </c>
      <c r="G459" s="124" t="str">
        <f ca="1">IF(RegimeExecucao="Global","",ORÇAMENTO!T459)</f>
        <v/>
      </c>
      <c r="H459" s="124" t="str">
        <f ca="1">IF(RegimeExecucao="Global","",ORÇAMENTO!W459)</f>
        <v/>
      </c>
      <c r="I459" s="127">
        <f ca="1">ORÇAMENTO!X459</f>
        <v>0</v>
      </c>
      <c r="J459" s="378">
        <f ca="1">IF($A459="S",IF(CAIXA.Modo,BM.AFAnterior,BM.MEDAnterior),IF(AND(RegimeExecucao="Global",$I459&gt;0,COUNTIF($AB$13:$AM$13,BM.medicao-1)&gt;0),M459/$I459*100,0))</f>
        <v>0</v>
      </c>
      <c r="K459" s="124">
        <f t="shared" ca="1" si="24"/>
        <v>0</v>
      </c>
      <c r="L459" s="379">
        <f ca="1">IF($A459="S",IF(CAIXA.Modo,BM.AFAcumulado,BM.MEDAcumulado),IF(AND(RegimeExecucao="Global",$I459&gt;0,COUNTIF($AB$13:$AM$13,BM.medicao)&gt;0),O459/$I459*100,0))</f>
        <v>0</v>
      </c>
      <c r="M459" s="380">
        <f ca="1">IF($A459="S",VTOTALBM,IF($A459=0,0,ROUND(SomaAgrupBM,15-13*ORÇAMENTO!$AF$11)))</f>
        <v>0</v>
      </c>
      <c r="N459" s="381">
        <f t="shared" ca="1" si="25"/>
        <v>0</v>
      </c>
      <c r="O459" s="127">
        <f ca="1">IF($A459="S",VTOTALBM,IF($A459=0,0,ROUND(SomaAgrupBM,15-13*ORÇAMENTO!$AF$11)))</f>
        <v>0</v>
      </c>
      <c r="Q459" s="382"/>
      <c r="R459" s="383"/>
      <c r="T459" s="119" t="str">
        <f t="shared" ca="1" si="26"/>
        <v/>
      </c>
      <c r="U459" s="172" t="str">
        <f t="shared" ca="1" si="27"/>
        <v/>
      </c>
      <c r="V459" s="173" t="str">
        <f ca="1">IF(AND($W459&gt;0,RegimeExecucao="Unitário"),$F459,"")</f>
        <v/>
      </c>
      <c r="W459" s="547">
        <f ca="1">IF($Y459&gt;0,CHOOSE(MATCH(RegimeExecucao,{"Unitário","Global"},0),IF($A459="S",$Y459/$X459,""),($Y459/$X459)*100),0)</f>
        <v>0</v>
      </c>
      <c r="X459" s="384" t="str">
        <f ca="1">IF($Y459&gt;0,CHOOSE(MATCH(RegimeExecucao,{"Unitário","Global"},0),IF($A459="S",ROUND($H459,ORÇAMENTO!$AF$10),""),ROUND($I459,ORÇAMENTO!$AF$11)),"")</f>
        <v/>
      </c>
      <c r="Y459" s="384">
        <f t="shared" ca="1" si="28"/>
        <v>0</v>
      </c>
      <c r="Z459" s="572"/>
      <c r="AB459" s="382"/>
      <c r="AC459" s="516"/>
      <c r="AD459" s="516"/>
      <c r="AE459" s="516"/>
      <c r="AF459" s="516"/>
      <c r="AG459" s="516"/>
      <c r="AH459" s="516"/>
      <c r="AI459" s="516"/>
      <c r="AJ459" s="516"/>
      <c r="AK459" s="516"/>
      <c r="AL459" s="516"/>
      <c r="AM459" s="383"/>
      <c r="AO459">
        <f ca="1">IF($A459="S",IF(BM!$I459=0,0,CHOOSE(MATCH(RegimeExecucao,{"Global","Unitário"},0),ROUND(ROUND(BM.MEDAcumulado,15-13*BM!$A$9)/100*BM!$I459,15-13*ORÇAMENTO!$AF$11),ROUND(ROUND(BM.MEDAcumulado,15-13*BM!$A$9)*ROUND(BM!$H459,15-13*ORÇAMENTO!$AF$10),15-13*ORÇAMENTO!$AF$11))),IF($A459=0,0,ROUND(SomaAgrupBM,15-13*ORÇAMENTO!$AF$11)))</f>
        <v>0</v>
      </c>
    </row>
    <row r="460" spans="1:41" ht="38.25" x14ac:dyDescent="0.2">
      <c r="A460" t="str">
        <f ca="1">ORÇAMENTO!C460</f>
        <v>S</v>
      </c>
      <c r="B460">
        <f ca="1">ORÇAMENTO!D460</f>
        <v>0</v>
      </c>
      <c r="C460" s="116" t="str">
        <f t="shared" ca="1" si="22"/>
        <v/>
      </c>
      <c r="D460" s="119" t="str">
        <f ca="1">ORÇAMENTO!O460</f>
        <v>-</v>
      </c>
      <c r="E460" s="172" t="str">
        <f t="shared" ca="1" si="23"/>
        <v>(abra o arquivo 'Referência 06-2024.xlsm)</v>
      </c>
      <c r="F460" s="173" t="str">
        <f ca="1">IF(RegimeExecucao="Global","",ORÇAMENTO.Unidade)</f>
        <v/>
      </c>
      <c r="G460" s="124" t="str">
        <f ca="1">IF(RegimeExecucao="Global","",ORÇAMENTO!T460)</f>
        <v/>
      </c>
      <c r="H460" s="124" t="str">
        <f ca="1">IF(RegimeExecucao="Global","",ORÇAMENTO!W460)</f>
        <v/>
      </c>
      <c r="I460" s="127">
        <f ca="1">ORÇAMENTO!X460</f>
        <v>0</v>
      </c>
      <c r="J460" s="378">
        <f ca="1">IF($A460="S",IF(CAIXA.Modo,BM.AFAnterior,BM.MEDAnterior),IF(AND(RegimeExecucao="Global",$I460&gt;0,COUNTIF($AB$13:$AM$13,BM.medicao-1)&gt;0),M460/$I460*100,0))</f>
        <v>0</v>
      </c>
      <c r="K460" s="124">
        <f t="shared" ca="1" si="24"/>
        <v>0</v>
      </c>
      <c r="L460" s="379">
        <f ca="1">IF($A460="S",IF(CAIXA.Modo,BM.AFAcumulado,BM.MEDAcumulado),IF(AND(RegimeExecucao="Global",$I460&gt;0,COUNTIF($AB$13:$AM$13,BM.medicao)&gt;0),O460/$I460*100,0))</f>
        <v>0</v>
      </c>
      <c r="M460" s="380">
        <f ca="1">IF($A460="S",VTOTALBM,IF($A460=0,0,ROUND(SomaAgrupBM,15-13*ORÇAMENTO!$AF$11)))</f>
        <v>0</v>
      </c>
      <c r="N460" s="381">
        <f t="shared" ca="1" si="25"/>
        <v>0</v>
      </c>
      <c r="O460" s="127">
        <f ca="1">IF($A460="S",VTOTALBM,IF($A460=0,0,ROUND(SomaAgrupBM,15-13*ORÇAMENTO!$AF$11)))</f>
        <v>0</v>
      </c>
      <c r="Q460" s="382"/>
      <c r="R460" s="383"/>
      <c r="T460" s="119" t="str">
        <f t="shared" ca="1" si="26"/>
        <v/>
      </c>
      <c r="U460" s="172" t="str">
        <f t="shared" ca="1" si="27"/>
        <v/>
      </c>
      <c r="V460" s="173" t="str">
        <f ca="1">IF(AND($W460&gt;0,RegimeExecucao="Unitário"),$F460,"")</f>
        <v/>
      </c>
      <c r="W460" s="547">
        <f ca="1">IF($Y460&gt;0,CHOOSE(MATCH(RegimeExecucao,{"Unitário","Global"},0),IF($A460="S",$Y460/$X460,""),($Y460/$X460)*100),0)</f>
        <v>0</v>
      </c>
      <c r="X460" s="384" t="str">
        <f ca="1">IF($Y460&gt;0,CHOOSE(MATCH(RegimeExecucao,{"Unitário","Global"},0),IF($A460="S",ROUND($H460,ORÇAMENTO!$AF$10),""),ROUND($I460,ORÇAMENTO!$AF$11)),"")</f>
        <v/>
      </c>
      <c r="Y460" s="384">
        <f t="shared" ca="1" si="28"/>
        <v>0</v>
      </c>
      <c r="Z460" s="572"/>
      <c r="AB460" s="382"/>
      <c r="AC460" s="516"/>
      <c r="AD460" s="516"/>
      <c r="AE460" s="516"/>
      <c r="AF460" s="516"/>
      <c r="AG460" s="516"/>
      <c r="AH460" s="516"/>
      <c r="AI460" s="516"/>
      <c r="AJ460" s="516"/>
      <c r="AK460" s="516"/>
      <c r="AL460" s="516"/>
      <c r="AM460" s="383"/>
      <c r="AO460">
        <f ca="1">IF($A460="S",IF(BM!$I460=0,0,CHOOSE(MATCH(RegimeExecucao,{"Global","Unitário"},0),ROUND(ROUND(BM.MEDAcumulado,15-13*BM!$A$9)/100*BM!$I460,15-13*ORÇAMENTO!$AF$11),ROUND(ROUND(BM.MEDAcumulado,15-13*BM!$A$9)*ROUND(BM!$H460,15-13*ORÇAMENTO!$AF$10),15-13*ORÇAMENTO!$AF$11))),IF($A460=0,0,ROUND(SomaAgrupBM,15-13*ORÇAMENTO!$AF$11)))</f>
        <v>0</v>
      </c>
    </row>
    <row r="461" spans="1:41" ht="25.5" x14ac:dyDescent="0.2">
      <c r="A461" t="str">
        <f ca="1">ORÇAMENTO!C461</f>
        <v>S</v>
      </c>
      <c r="B461">
        <f ca="1">ORÇAMENTO!D461</f>
        <v>0</v>
      </c>
      <c r="C461" s="116" t="str">
        <f t="shared" ca="1" si="22"/>
        <v/>
      </c>
      <c r="D461" s="119" t="str">
        <f ca="1">ORÇAMENTO!O461</f>
        <v>-</v>
      </c>
      <c r="E461" s="172" t="str">
        <f t="shared" ca="1" si="23"/>
        <v>(abra o arquivo 'Referência 06-2024.xlsm)</v>
      </c>
      <c r="F461" s="173" t="str">
        <f ca="1">IF(RegimeExecucao="Global","",ORÇAMENTO.Unidade)</f>
        <v/>
      </c>
      <c r="G461" s="124" t="str">
        <f ca="1">IF(RegimeExecucao="Global","",ORÇAMENTO!T461)</f>
        <v/>
      </c>
      <c r="H461" s="124" t="str">
        <f ca="1">IF(RegimeExecucao="Global","",ORÇAMENTO!W461)</f>
        <v/>
      </c>
      <c r="I461" s="127">
        <f ca="1">ORÇAMENTO!X461</f>
        <v>0</v>
      </c>
      <c r="J461" s="378">
        <f ca="1">IF($A461="S",IF(CAIXA.Modo,BM.AFAnterior,BM.MEDAnterior),IF(AND(RegimeExecucao="Global",$I461&gt;0,COUNTIF($AB$13:$AM$13,BM.medicao-1)&gt;0),M461/$I461*100,0))</f>
        <v>0</v>
      </c>
      <c r="K461" s="124">
        <f t="shared" ca="1" si="24"/>
        <v>0</v>
      </c>
      <c r="L461" s="379">
        <f ca="1">IF($A461="S",IF(CAIXA.Modo,BM.AFAcumulado,BM.MEDAcumulado),IF(AND(RegimeExecucao="Global",$I461&gt;0,COUNTIF($AB$13:$AM$13,BM.medicao)&gt;0),O461/$I461*100,0))</f>
        <v>0</v>
      </c>
      <c r="M461" s="380">
        <f ca="1">IF($A461="S",VTOTALBM,IF($A461=0,0,ROUND(SomaAgrupBM,15-13*ORÇAMENTO!$AF$11)))</f>
        <v>0</v>
      </c>
      <c r="N461" s="381">
        <f t="shared" ca="1" si="25"/>
        <v>0</v>
      </c>
      <c r="O461" s="127">
        <f ca="1">IF($A461="S",VTOTALBM,IF($A461=0,0,ROUND(SomaAgrupBM,15-13*ORÇAMENTO!$AF$11)))</f>
        <v>0</v>
      </c>
      <c r="Q461" s="382"/>
      <c r="R461" s="383"/>
      <c r="T461" s="119" t="str">
        <f t="shared" ca="1" si="26"/>
        <v/>
      </c>
      <c r="U461" s="172" t="str">
        <f t="shared" ca="1" si="27"/>
        <v/>
      </c>
      <c r="V461" s="173" t="str">
        <f ca="1">IF(AND($W461&gt;0,RegimeExecucao="Unitário"),$F461,"")</f>
        <v/>
      </c>
      <c r="W461" s="547">
        <f ca="1">IF($Y461&gt;0,CHOOSE(MATCH(RegimeExecucao,{"Unitário","Global"},0),IF($A461="S",$Y461/$X461,""),($Y461/$X461)*100),0)</f>
        <v>0</v>
      </c>
      <c r="X461" s="384" t="str">
        <f ca="1">IF($Y461&gt;0,CHOOSE(MATCH(RegimeExecucao,{"Unitário","Global"},0),IF($A461="S",ROUND($H461,ORÇAMENTO!$AF$10),""),ROUND($I461,ORÇAMENTO!$AF$11)),"")</f>
        <v/>
      </c>
      <c r="Y461" s="384">
        <f t="shared" ca="1" si="28"/>
        <v>0</v>
      </c>
      <c r="Z461" s="572"/>
      <c r="AB461" s="382"/>
      <c r="AC461" s="516"/>
      <c r="AD461" s="516"/>
      <c r="AE461" s="516"/>
      <c r="AF461" s="516"/>
      <c r="AG461" s="516"/>
      <c r="AH461" s="516"/>
      <c r="AI461" s="516"/>
      <c r="AJ461" s="516"/>
      <c r="AK461" s="516"/>
      <c r="AL461" s="516"/>
      <c r="AM461" s="383"/>
      <c r="AO461">
        <f ca="1">IF($A461="S",IF(BM!$I461=0,0,CHOOSE(MATCH(RegimeExecucao,{"Global","Unitário"},0),ROUND(ROUND(BM.MEDAcumulado,15-13*BM!$A$9)/100*BM!$I461,15-13*ORÇAMENTO!$AF$11),ROUND(ROUND(BM.MEDAcumulado,15-13*BM!$A$9)*ROUND(BM!$H461,15-13*ORÇAMENTO!$AF$10),15-13*ORÇAMENTO!$AF$11))),IF($A461=0,0,ROUND(SomaAgrupBM,15-13*ORÇAMENTO!$AF$11)))</f>
        <v>0</v>
      </c>
    </row>
    <row r="462" spans="1:41" ht="25.5" x14ac:dyDescent="0.2">
      <c r="A462" t="str">
        <f ca="1">ORÇAMENTO!C462</f>
        <v>S</v>
      </c>
      <c r="B462">
        <f ca="1">ORÇAMENTO!D462</f>
        <v>0</v>
      </c>
      <c r="C462" s="116" t="str">
        <f t="shared" ca="1" si="22"/>
        <v/>
      </c>
      <c r="D462" s="119" t="str">
        <f ca="1">ORÇAMENTO!O462</f>
        <v>-</v>
      </c>
      <c r="E462" s="172" t="str">
        <f t="shared" ca="1" si="23"/>
        <v>(abra o arquivo 'Referência 06-2024.xlsm)</v>
      </c>
      <c r="F462" s="173" t="str">
        <f ca="1">IF(RegimeExecucao="Global","",ORÇAMENTO.Unidade)</f>
        <v/>
      </c>
      <c r="G462" s="124" t="str">
        <f ca="1">IF(RegimeExecucao="Global","",ORÇAMENTO!T462)</f>
        <v/>
      </c>
      <c r="H462" s="124" t="str">
        <f ca="1">IF(RegimeExecucao="Global","",ORÇAMENTO!W462)</f>
        <v/>
      </c>
      <c r="I462" s="127">
        <f ca="1">ORÇAMENTO!X462</f>
        <v>0</v>
      </c>
      <c r="J462" s="378">
        <f ca="1">IF($A462="S",IF(CAIXA.Modo,BM.AFAnterior,BM.MEDAnterior),IF(AND(RegimeExecucao="Global",$I462&gt;0,COUNTIF($AB$13:$AM$13,BM.medicao-1)&gt;0),M462/$I462*100,0))</f>
        <v>0</v>
      </c>
      <c r="K462" s="124">
        <f t="shared" ca="1" si="24"/>
        <v>0</v>
      </c>
      <c r="L462" s="379">
        <f ca="1">IF($A462="S",IF(CAIXA.Modo,BM.AFAcumulado,BM.MEDAcumulado),IF(AND(RegimeExecucao="Global",$I462&gt;0,COUNTIF($AB$13:$AM$13,BM.medicao)&gt;0),O462/$I462*100,0))</f>
        <v>0</v>
      </c>
      <c r="M462" s="380">
        <f ca="1">IF($A462="S",VTOTALBM,IF($A462=0,0,ROUND(SomaAgrupBM,15-13*ORÇAMENTO!$AF$11)))</f>
        <v>0</v>
      </c>
      <c r="N462" s="381">
        <f t="shared" ca="1" si="25"/>
        <v>0</v>
      </c>
      <c r="O462" s="127">
        <f ca="1">IF($A462="S",VTOTALBM,IF($A462=0,0,ROUND(SomaAgrupBM,15-13*ORÇAMENTO!$AF$11)))</f>
        <v>0</v>
      </c>
      <c r="Q462" s="382"/>
      <c r="R462" s="383"/>
      <c r="T462" s="119" t="str">
        <f t="shared" ca="1" si="26"/>
        <v/>
      </c>
      <c r="U462" s="172" t="str">
        <f t="shared" ca="1" si="27"/>
        <v/>
      </c>
      <c r="V462" s="173" t="str">
        <f ca="1">IF(AND($W462&gt;0,RegimeExecucao="Unitário"),$F462,"")</f>
        <v/>
      </c>
      <c r="W462" s="547">
        <f ca="1">IF($Y462&gt;0,CHOOSE(MATCH(RegimeExecucao,{"Unitário","Global"},0),IF($A462="S",$Y462/$X462,""),($Y462/$X462)*100),0)</f>
        <v>0</v>
      </c>
      <c r="X462" s="384" t="str">
        <f ca="1">IF($Y462&gt;0,CHOOSE(MATCH(RegimeExecucao,{"Unitário","Global"},0),IF($A462="S",ROUND($H462,ORÇAMENTO!$AF$10),""),ROUND($I462,ORÇAMENTO!$AF$11)),"")</f>
        <v/>
      </c>
      <c r="Y462" s="384">
        <f t="shared" ca="1" si="28"/>
        <v>0</v>
      </c>
      <c r="Z462" s="572"/>
      <c r="AB462" s="382"/>
      <c r="AC462" s="516"/>
      <c r="AD462" s="516"/>
      <c r="AE462" s="516"/>
      <c r="AF462" s="516"/>
      <c r="AG462" s="516"/>
      <c r="AH462" s="516"/>
      <c r="AI462" s="516"/>
      <c r="AJ462" s="516"/>
      <c r="AK462" s="516"/>
      <c r="AL462" s="516"/>
      <c r="AM462" s="383"/>
      <c r="AO462">
        <f ca="1">IF($A462="S",IF(BM!$I462=0,0,CHOOSE(MATCH(RegimeExecucao,{"Global","Unitário"},0),ROUND(ROUND(BM.MEDAcumulado,15-13*BM!$A$9)/100*BM!$I462,15-13*ORÇAMENTO!$AF$11),ROUND(ROUND(BM.MEDAcumulado,15-13*BM!$A$9)*ROUND(BM!$H462,15-13*ORÇAMENTO!$AF$10),15-13*ORÇAMENTO!$AF$11))),IF($A462=0,0,ROUND(SomaAgrupBM,15-13*ORÇAMENTO!$AF$11)))</f>
        <v>0</v>
      </c>
    </row>
    <row r="463" spans="1:41" ht="25.5" x14ac:dyDescent="0.2">
      <c r="A463" t="str">
        <f ca="1">ORÇAMENTO!C463</f>
        <v>S</v>
      </c>
      <c r="B463">
        <f ca="1">ORÇAMENTO!D463</f>
        <v>0</v>
      </c>
      <c r="C463" s="116" t="str">
        <f t="shared" ca="1" si="22"/>
        <v/>
      </c>
      <c r="D463" s="119" t="str">
        <f ca="1">ORÇAMENTO!O463</f>
        <v>-</v>
      </c>
      <c r="E463" s="172" t="str">
        <f t="shared" ca="1" si="23"/>
        <v>(abra o arquivo 'Referência 06-2024.xlsm)</v>
      </c>
      <c r="F463" s="173" t="str">
        <f ca="1">IF(RegimeExecucao="Global","",ORÇAMENTO.Unidade)</f>
        <v/>
      </c>
      <c r="G463" s="124" t="str">
        <f ca="1">IF(RegimeExecucao="Global","",ORÇAMENTO!T463)</f>
        <v/>
      </c>
      <c r="H463" s="124" t="str">
        <f ca="1">IF(RegimeExecucao="Global","",ORÇAMENTO!W463)</f>
        <v/>
      </c>
      <c r="I463" s="127">
        <f ca="1">ORÇAMENTO!X463</f>
        <v>0</v>
      </c>
      <c r="J463" s="378">
        <f ca="1">IF($A463="S",IF(CAIXA.Modo,BM.AFAnterior,BM.MEDAnterior),IF(AND(RegimeExecucao="Global",$I463&gt;0,COUNTIF($AB$13:$AM$13,BM.medicao-1)&gt;0),M463/$I463*100,0))</f>
        <v>0</v>
      </c>
      <c r="K463" s="124">
        <f t="shared" ca="1" si="24"/>
        <v>0</v>
      </c>
      <c r="L463" s="379">
        <f ca="1">IF($A463="S",IF(CAIXA.Modo,BM.AFAcumulado,BM.MEDAcumulado),IF(AND(RegimeExecucao="Global",$I463&gt;0,COUNTIF($AB$13:$AM$13,BM.medicao)&gt;0),O463/$I463*100,0))</f>
        <v>0</v>
      </c>
      <c r="M463" s="380">
        <f ca="1">IF($A463="S",VTOTALBM,IF($A463=0,0,ROUND(SomaAgrupBM,15-13*ORÇAMENTO!$AF$11)))</f>
        <v>0</v>
      </c>
      <c r="N463" s="381">
        <f t="shared" ca="1" si="25"/>
        <v>0</v>
      </c>
      <c r="O463" s="127">
        <f ca="1">IF($A463="S",VTOTALBM,IF($A463=0,0,ROUND(SomaAgrupBM,15-13*ORÇAMENTO!$AF$11)))</f>
        <v>0</v>
      </c>
      <c r="Q463" s="382"/>
      <c r="R463" s="383"/>
      <c r="T463" s="119" t="str">
        <f t="shared" ca="1" si="26"/>
        <v/>
      </c>
      <c r="U463" s="172" t="str">
        <f t="shared" ca="1" si="27"/>
        <v/>
      </c>
      <c r="V463" s="173" t="str">
        <f ca="1">IF(AND($W463&gt;0,RegimeExecucao="Unitário"),$F463,"")</f>
        <v/>
      </c>
      <c r="W463" s="547">
        <f ca="1">IF($Y463&gt;0,CHOOSE(MATCH(RegimeExecucao,{"Unitário","Global"},0),IF($A463="S",$Y463/$X463,""),($Y463/$X463)*100),0)</f>
        <v>0</v>
      </c>
      <c r="X463" s="384" t="str">
        <f ca="1">IF($Y463&gt;0,CHOOSE(MATCH(RegimeExecucao,{"Unitário","Global"},0),IF($A463="S",ROUND($H463,ORÇAMENTO!$AF$10),""),ROUND($I463,ORÇAMENTO!$AF$11)),"")</f>
        <v/>
      </c>
      <c r="Y463" s="384">
        <f t="shared" ca="1" si="28"/>
        <v>0</v>
      </c>
      <c r="Z463" s="572"/>
      <c r="AB463" s="382"/>
      <c r="AC463" s="516"/>
      <c r="AD463" s="516"/>
      <c r="AE463" s="516"/>
      <c r="AF463" s="516"/>
      <c r="AG463" s="516"/>
      <c r="AH463" s="516"/>
      <c r="AI463" s="516"/>
      <c r="AJ463" s="516"/>
      <c r="AK463" s="516"/>
      <c r="AL463" s="516"/>
      <c r="AM463" s="383"/>
      <c r="AO463">
        <f ca="1">IF($A463="S",IF(BM!$I463=0,0,CHOOSE(MATCH(RegimeExecucao,{"Global","Unitário"},0),ROUND(ROUND(BM.MEDAcumulado,15-13*BM!$A$9)/100*BM!$I463,15-13*ORÇAMENTO!$AF$11),ROUND(ROUND(BM.MEDAcumulado,15-13*BM!$A$9)*ROUND(BM!$H463,15-13*ORÇAMENTO!$AF$10),15-13*ORÇAMENTO!$AF$11))),IF($A463=0,0,ROUND(SomaAgrupBM,15-13*ORÇAMENTO!$AF$11)))</f>
        <v>0</v>
      </c>
    </row>
    <row r="464" spans="1:41" ht="25.5" x14ac:dyDescent="0.2">
      <c r="A464" t="str">
        <f ca="1">ORÇAMENTO!C464</f>
        <v>S</v>
      </c>
      <c r="B464">
        <f ca="1">ORÇAMENTO!D464</f>
        <v>0</v>
      </c>
      <c r="C464" s="116" t="str">
        <f t="shared" ca="1" si="22"/>
        <v/>
      </c>
      <c r="D464" s="119" t="str">
        <f ca="1">ORÇAMENTO!O464</f>
        <v>-</v>
      </c>
      <c r="E464" s="172" t="str">
        <f t="shared" ca="1" si="23"/>
        <v>(abra o arquivo 'Referência 06-2024.xlsm)</v>
      </c>
      <c r="F464" s="173" t="str">
        <f ca="1">IF(RegimeExecucao="Global","",ORÇAMENTO.Unidade)</f>
        <v/>
      </c>
      <c r="G464" s="124" t="str">
        <f ca="1">IF(RegimeExecucao="Global","",ORÇAMENTO!T464)</f>
        <v/>
      </c>
      <c r="H464" s="124" t="str">
        <f ca="1">IF(RegimeExecucao="Global","",ORÇAMENTO!W464)</f>
        <v/>
      </c>
      <c r="I464" s="127">
        <f ca="1">ORÇAMENTO!X464</f>
        <v>0</v>
      </c>
      <c r="J464" s="378">
        <f ca="1">IF($A464="S",IF(CAIXA.Modo,BM.AFAnterior,BM.MEDAnterior),IF(AND(RegimeExecucao="Global",$I464&gt;0,COUNTIF($AB$13:$AM$13,BM.medicao-1)&gt;0),M464/$I464*100,0))</f>
        <v>0</v>
      </c>
      <c r="K464" s="124">
        <f t="shared" ca="1" si="24"/>
        <v>0</v>
      </c>
      <c r="L464" s="379">
        <f ca="1">IF($A464="S",IF(CAIXA.Modo,BM.AFAcumulado,BM.MEDAcumulado),IF(AND(RegimeExecucao="Global",$I464&gt;0,COUNTIF($AB$13:$AM$13,BM.medicao)&gt;0),O464/$I464*100,0))</f>
        <v>0</v>
      </c>
      <c r="M464" s="380">
        <f ca="1">IF($A464="S",VTOTALBM,IF($A464=0,0,ROUND(SomaAgrupBM,15-13*ORÇAMENTO!$AF$11)))</f>
        <v>0</v>
      </c>
      <c r="N464" s="381">
        <f t="shared" ca="1" si="25"/>
        <v>0</v>
      </c>
      <c r="O464" s="127">
        <f ca="1">IF($A464="S",VTOTALBM,IF($A464=0,0,ROUND(SomaAgrupBM,15-13*ORÇAMENTO!$AF$11)))</f>
        <v>0</v>
      </c>
      <c r="Q464" s="382"/>
      <c r="R464" s="383"/>
      <c r="T464" s="119" t="str">
        <f t="shared" ca="1" si="26"/>
        <v/>
      </c>
      <c r="U464" s="172" t="str">
        <f t="shared" ca="1" si="27"/>
        <v/>
      </c>
      <c r="V464" s="173" t="str">
        <f ca="1">IF(AND($W464&gt;0,RegimeExecucao="Unitário"),$F464,"")</f>
        <v/>
      </c>
      <c r="W464" s="547">
        <f ca="1">IF($Y464&gt;0,CHOOSE(MATCH(RegimeExecucao,{"Unitário","Global"},0),IF($A464="S",$Y464/$X464,""),($Y464/$X464)*100),0)</f>
        <v>0</v>
      </c>
      <c r="X464" s="384" t="str">
        <f ca="1">IF($Y464&gt;0,CHOOSE(MATCH(RegimeExecucao,{"Unitário","Global"},0),IF($A464="S",ROUND($H464,ORÇAMENTO!$AF$10),""),ROUND($I464,ORÇAMENTO!$AF$11)),"")</f>
        <v/>
      </c>
      <c r="Y464" s="384">
        <f t="shared" ca="1" si="28"/>
        <v>0</v>
      </c>
      <c r="Z464" s="572"/>
      <c r="AB464" s="382"/>
      <c r="AC464" s="516"/>
      <c r="AD464" s="516"/>
      <c r="AE464" s="516"/>
      <c r="AF464" s="516"/>
      <c r="AG464" s="516"/>
      <c r="AH464" s="516"/>
      <c r="AI464" s="516"/>
      <c r="AJ464" s="516"/>
      <c r="AK464" s="516"/>
      <c r="AL464" s="516"/>
      <c r="AM464" s="383"/>
      <c r="AO464">
        <f ca="1">IF($A464="S",IF(BM!$I464=0,0,CHOOSE(MATCH(RegimeExecucao,{"Global","Unitário"},0),ROUND(ROUND(BM.MEDAcumulado,15-13*BM!$A$9)/100*BM!$I464,15-13*ORÇAMENTO!$AF$11),ROUND(ROUND(BM.MEDAcumulado,15-13*BM!$A$9)*ROUND(BM!$H464,15-13*ORÇAMENTO!$AF$10),15-13*ORÇAMENTO!$AF$11))),IF($A464=0,0,ROUND(SomaAgrupBM,15-13*ORÇAMENTO!$AF$11)))</f>
        <v>0</v>
      </c>
    </row>
    <row r="465" spans="1:41" ht="25.5" x14ac:dyDescent="0.2">
      <c r="A465" t="str">
        <f ca="1">ORÇAMENTO!C465</f>
        <v>S</v>
      </c>
      <c r="B465">
        <f ca="1">ORÇAMENTO!D465</f>
        <v>0</v>
      </c>
      <c r="C465" s="116" t="str">
        <f t="shared" ca="1" si="22"/>
        <v/>
      </c>
      <c r="D465" s="119" t="str">
        <f ca="1">ORÇAMENTO!O465</f>
        <v>-</v>
      </c>
      <c r="E465" s="172" t="str">
        <f t="shared" ca="1" si="23"/>
        <v>(abra o arquivo 'Referência 06-2024.xlsm)</v>
      </c>
      <c r="F465" s="173" t="str">
        <f ca="1">IF(RegimeExecucao="Global","",ORÇAMENTO.Unidade)</f>
        <v/>
      </c>
      <c r="G465" s="124" t="str">
        <f ca="1">IF(RegimeExecucao="Global","",ORÇAMENTO!T465)</f>
        <v/>
      </c>
      <c r="H465" s="124" t="str">
        <f ca="1">IF(RegimeExecucao="Global","",ORÇAMENTO!W465)</f>
        <v/>
      </c>
      <c r="I465" s="127">
        <f ca="1">ORÇAMENTO!X465</f>
        <v>0</v>
      </c>
      <c r="J465" s="378">
        <f ca="1">IF($A465="S",IF(CAIXA.Modo,BM.AFAnterior,BM.MEDAnterior),IF(AND(RegimeExecucao="Global",$I465&gt;0,COUNTIF($AB$13:$AM$13,BM.medicao-1)&gt;0),M465/$I465*100,0))</f>
        <v>0</v>
      </c>
      <c r="K465" s="124">
        <f t="shared" ca="1" si="24"/>
        <v>0</v>
      </c>
      <c r="L465" s="379">
        <f ca="1">IF($A465="S",IF(CAIXA.Modo,BM.AFAcumulado,BM.MEDAcumulado),IF(AND(RegimeExecucao="Global",$I465&gt;0,COUNTIF($AB$13:$AM$13,BM.medicao)&gt;0),O465/$I465*100,0))</f>
        <v>0</v>
      </c>
      <c r="M465" s="380">
        <f ca="1">IF($A465="S",VTOTALBM,IF($A465=0,0,ROUND(SomaAgrupBM,15-13*ORÇAMENTO!$AF$11)))</f>
        <v>0</v>
      </c>
      <c r="N465" s="381">
        <f t="shared" ca="1" si="25"/>
        <v>0</v>
      </c>
      <c r="O465" s="127">
        <f ca="1">IF($A465="S",VTOTALBM,IF($A465=0,0,ROUND(SomaAgrupBM,15-13*ORÇAMENTO!$AF$11)))</f>
        <v>0</v>
      </c>
      <c r="Q465" s="382"/>
      <c r="R465" s="383"/>
      <c r="T465" s="119" t="str">
        <f t="shared" ca="1" si="26"/>
        <v/>
      </c>
      <c r="U465" s="172" t="str">
        <f t="shared" ca="1" si="27"/>
        <v/>
      </c>
      <c r="V465" s="173" t="str">
        <f ca="1">IF(AND($W465&gt;0,RegimeExecucao="Unitário"),$F465,"")</f>
        <v/>
      </c>
      <c r="W465" s="547">
        <f ca="1">IF($Y465&gt;0,CHOOSE(MATCH(RegimeExecucao,{"Unitário","Global"},0),IF($A465="S",$Y465/$X465,""),($Y465/$X465)*100),0)</f>
        <v>0</v>
      </c>
      <c r="X465" s="384" t="str">
        <f ca="1">IF($Y465&gt;0,CHOOSE(MATCH(RegimeExecucao,{"Unitário","Global"},0),IF($A465="S",ROUND($H465,ORÇAMENTO!$AF$10),""),ROUND($I465,ORÇAMENTO!$AF$11)),"")</f>
        <v/>
      </c>
      <c r="Y465" s="384">
        <f t="shared" ca="1" si="28"/>
        <v>0</v>
      </c>
      <c r="Z465" s="572"/>
      <c r="AB465" s="382"/>
      <c r="AC465" s="516"/>
      <c r="AD465" s="516"/>
      <c r="AE465" s="516"/>
      <c r="AF465" s="516"/>
      <c r="AG465" s="516"/>
      <c r="AH465" s="516"/>
      <c r="AI465" s="516"/>
      <c r="AJ465" s="516"/>
      <c r="AK465" s="516"/>
      <c r="AL465" s="516"/>
      <c r="AM465" s="383"/>
      <c r="AO465">
        <f ca="1">IF($A465="S",IF(BM!$I465=0,0,CHOOSE(MATCH(RegimeExecucao,{"Global","Unitário"},0),ROUND(ROUND(BM.MEDAcumulado,15-13*BM!$A$9)/100*BM!$I465,15-13*ORÇAMENTO!$AF$11),ROUND(ROUND(BM.MEDAcumulado,15-13*BM!$A$9)*ROUND(BM!$H465,15-13*ORÇAMENTO!$AF$10),15-13*ORÇAMENTO!$AF$11))),IF($A465=0,0,ROUND(SomaAgrupBM,15-13*ORÇAMENTO!$AF$11)))</f>
        <v>0</v>
      </c>
    </row>
    <row r="466" spans="1:41" ht="25.5" x14ac:dyDescent="0.2">
      <c r="A466" t="str">
        <f ca="1">ORÇAMENTO!C466</f>
        <v>S</v>
      </c>
      <c r="B466">
        <f ca="1">ORÇAMENTO!D466</f>
        <v>0</v>
      </c>
      <c r="C466" s="116" t="str">
        <f t="shared" ca="1" si="22"/>
        <v/>
      </c>
      <c r="D466" s="119" t="str">
        <f ca="1">ORÇAMENTO!O466</f>
        <v>-</v>
      </c>
      <c r="E466" s="172" t="str">
        <f t="shared" ca="1" si="23"/>
        <v>(abra o arquivo 'Referência 06-2024.xlsm)</v>
      </c>
      <c r="F466" s="173" t="str">
        <f ca="1">IF(RegimeExecucao="Global","",ORÇAMENTO.Unidade)</f>
        <v/>
      </c>
      <c r="G466" s="124" t="str">
        <f ca="1">IF(RegimeExecucao="Global","",ORÇAMENTO!T466)</f>
        <v/>
      </c>
      <c r="H466" s="124" t="str">
        <f ca="1">IF(RegimeExecucao="Global","",ORÇAMENTO!W466)</f>
        <v/>
      </c>
      <c r="I466" s="127">
        <f ca="1">ORÇAMENTO!X466</f>
        <v>0</v>
      </c>
      <c r="J466" s="378">
        <f ca="1">IF($A466="S",IF(CAIXA.Modo,BM.AFAnterior,BM.MEDAnterior),IF(AND(RegimeExecucao="Global",$I466&gt;0,COUNTIF($AB$13:$AM$13,BM.medicao-1)&gt;0),M466/$I466*100,0))</f>
        <v>0</v>
      </c>
      <c r="K466" s="124">
        <f t="shared" ca="1" si="24"/>
        <v>0</v>
      </c>
      <c r="L466" s="379">
        <f ca="1">IF($A466="S",IF(CAIXA.Modo,BM.AFAcumulado,BM.MEDAcumulado),IF(AND(RegimeExecucao="Global",$I466&gt;0,COUNTIF($AB$13:$AM$13,BM.medicao)&gt;0),O466/$I466*100,0))</f>
        <v>0</v>
      </c>
      <c r="M466" s="380">
        <f ca="1">IF($A466="S",VTOTALBM,IF($A466=0,0,ROUND(SomaAgrupBM,15-13*ORÇAMENTO!$AF$11)))</f>
        <v>0</v>
      </c>
      <c r="N466" s="381">
        <f t="shared" ca="1" si="25"/>
        <v>0</v>
      </c>
      <c r="O466" s="127">
        <f ca="1">IF($A466="S",VTOTALBM,IF($A466=0,0,ROUND(SomaAgrupBM,15-13*ORÇAMENTO!$AF$11)))</f>
        <v>0</v>
      </c>
      <c r="Q466" s="382"/>
      <c r="R466" s="383"/>
      <c r="T466" s="119" t="str">
        <f t="shared" ca="1" si="26"/>
        <v/>
      </c>
      <c r="U466" s="172" t="str">
        <f t="shared" ca="1" si="27"/>
        <v/>
      </c>
      <c r="V466" s="173" t="str">
        <f ca="1">IF(AND($W466&gt;0,RegimeExecucao="Unitário"),$F466,"")</f>
        <v/>
      </c>
      <c r="W466" s="547">
        <f ca="1">IF($Y466&gt;0,CHOOSE(MATCH(RegimeExecucao,{"Unitário","Global"},0),IF($A466="S",$Y466/$X466,""),($Y466/$X466)*100),0)</f>
        <v>0</v>
      </c>
      <c r="X466" s="384" t="str">
        <f ca="1">IF($Y466&gt;0,CHOOSE(MATCH(RegimeExecucao,{"Unitário","Global"},0),IF($A466="S",ROUND($H466,ORÇAMENTO!$AF$10),""),ROUND($I466,ORÇAMENTO!$AF$11)),"")</f>
        <v/>
      </c>
      <c r="Y466" s="384">
        <f t="shared" ca="1" si="28"/>
        <v>0</v>
      </c>
      <c r="Z466" s="572"/>
      <c r="AB466" s="382"/>
      <c r="AC466" s="516"/>
      <c r="AD466" s="516"/>
      <c r="AE466" s="516"/>
      <c r="AF466" s="516"/>
      <c r="AG466" s="516"/>
      <c r="AH466" s="516"/>
      <c r="AI466" s="516"/>
      <c r="AJ466" s="516"/>
      <c r="AK466" s="516"/>
      <c r="AL466" s="516"/>
      <c r="AM466" s="383"/>
      <c r="AO466">
        <f ca="1">IF($A466="S",IF(BM!$I466=0,0,CHOOSE(MATCH(RegimeExecucao,{"Global","Unitário"},0),ROUND(ROUND(BM.MEDAcumulado,15-13*BM!$A$9)/100*BM!$I466,15-13*ORÇAMENTO!$AF$11),ROUND(ROUND(BM.MEDAcumulado,15-13*BM!$A$9)*ROUND(BM!$H466,15-13*ORÇAMENTO!$AF$10),15-13*ORÇAMENTO!$AF$11))),IF($A466=0,0,ROUND(SomaAgrupBM,15-13*ORÇAMENTO!$AF$11)))</f>
        <v>0</v>
      </c>
    </row>
    <row r="467" spans="1:41" x14ac:dyDescent="0.2">
      <c r="A467" t="str">
        <f ca="1">ORÇAMENTO!C467</f>
        <v>S</v>
      </c>
      <c r="B467">
        <f ca="1">ORÇAMENTO!D467</f>
        <v>0</v>
      </c>
      <c r="C467" s="116" t="str">
        <f t="shared" ca="1" si="22"/>
        <v/>
      </c>
      <c r="D467" s="119" t="str">
        <f ca="1">ORÇAMENTO!O467</f>
        <v>-</v>
      </c>
      <c r="E467" s="172" t="str">
        <f t="shared" ca="1" si="23"/>
        <v>(abra o arquivo 'Referência 06-2024.xlsm)</v>
      </c>
      <c r="F467" s="173" t="str">
        <f ca="1">IF(RegimeExecucao="Global","",ORÇAMENTO.Unidade)</f>
        <v/>
      </c>
      <c r="G467" s="124" t="str">
        <f ca="1">IF(RegimeExecucao="Global","",ORÇAMENTO!T467)</f>
        <v/>
      </c>
      <c r="H467" s="124" t="str">
        <f ca="1">IF(RegimeExecucao="Global","",ORÇAMENTO!W467)</f>
        <v/>
      </c>
      <c r="I467" s="127">
        <f ca="1">ORÇAMENTO!X467</f>
        <v>0</v>
      </c>
      <c r="J467" s="378">
        <f ca="1">IF($A467="S",IF(CAIXA.Modo,BM.AFAnterior,BM.MEDAnterior),IF(AND(RegimeExecucao="Global",$I467&gt;0,COUNTIF($AB$13:$AM$13,BM.medicao-1)&gt;0),M467/$I467*100,0))</f>
        <v>0</v>
      </c>
      <c r="K467" s="124">
        <f t="shared" ca="1" si="24"/>
        <v>0</v>
      </c>
      <c r="L467" s="379">
        <f ca="1">IF($A467="S",IF(CAIXA.Modo,BM.AFAcumulado,BM.MEDAcumulado),IF(AND(RegimeExecucao="Global",$I467&gt;0,COUNTIF($AB$13:$AM$13,BM.medicao)&gt;0),O467/$I467*100,0))</f>
        <v>0</v>
      </c>
      <c r="M467" s="380">
        <f ca="1">IF($A467="S",VTOTALBM,IF($A467=0,0,ROUND(SomaAgrupBM,15-13*ORÇAMENTO!$AF$11)))</f>
        <v>0</v>
      </c>
      <c r="N467" s="381">
        <f t="shared" ca="1" si="25"/>
        <v>0</v>
      </c>
      <c r="O467" s="127">
        <f ca="1">IF($A467="S",VTOTALBM,IF($A467=0,0,ROUND(SomaAgrupBM,15-13*ORÇAMENTO!$AF$11)))</f>
        <v>0</v>
      </c>
      <c r="Q467" s="382"/>
      <c r="R467" s="383"/>
      <c r="T467" s="119" t="str">
        <f t="shared" ca="1" si="26"/>
        <v/>
      </c>
      <c r="U467" s="172" t="str">
        <f t="shared" ca="1" si="27"/>
        <v/>
      </c>
      <c r="V467" s="173" t="str">
        <f ca="1">IF(AND($W467&gt;0,RegimeExecucao="Unitário"),$F467,"")</f>
        <v/>
      </c>
      <c r="W467" s="547">
        <f ca="1">IF($Y467&gt;0,CHOOSE(MATCH(RegimeExecucao,{"Unitário","Global"},0),IF($A467="S",$Y467/$X467,""),($Y467/$X467)*100),0)</f>
        <v>0</v>
      </c>
      <c r="X467" s="384" t="str">
        <f ca="1">IF($Y467&gt;0,CHOOSE(MATCH(RegimeExecucao,{"Unitário","Global"},0),IF($A467="S",ROUND($H467,ORÇAMENTO!$AF$10),""),ROUND($I467,ORÇAMENTO!$AF$11)),"")</f>
        <v/>
      </c>
      <c r="Y467" s="384">
        <f t="shared" ca="1" si="28"/>
        <v>0</v>
      </c>
      <c r="Z467" s="572"/>
      <c r="AB467" s="382"/>
      <c r="AC467" s="516"/>
      <c r="AD467" s="516"/>
      <c r="AE467" s="516"/>
      <c r="AF467" s="516"/>
      <c r="AG467" s="516"/>
      <c r="AH467" s="516"/>
      <c r="AI467" s="516"/>
      <c r="AJ467" s="516"/>
      <c r="AK467" s="516"/>
      <c r="AL467" s="516"/>
      <c r="AM467" s="383"/>
      <c r="AO467">
        <f ca="1">IF($A467="S",IF(BM!$I467=0,0,CHOOSE(MATCH(RegimeExecucao,{"Global","Unitário"},0),ROUND(ROUND(BM.MEDAcumulado,15-13*BM!$A$9)/100*BM!$I467,15-13*ORÇAMENTO!$AF$11),ROUND(ROUND(BM.MEDAcumulado,15-13*BM!$A$9)*ROUND(BM!$H467,15-13*ORÇAMENTO!$AF$10),15-13*ORÇAMENTO!$AF$11))),IF($A467=0,0,ROUND(SomaAgrupBM,15-13*ORÇAMENTO!$AF$11)))</f>
        <v>0</v>
      </c>
    </row>
    <row r="468" spans="1:41" ht="38.25" x14ac:dyDescent="0.2">
      <c r="A468" t="str">
        <f ca="1">ORÇAMENTO!C468</f>
        <v>S</v>
      </c>
      <c r="B468">
        <f ca="1">ORÇAMENTO!D468</f>
        <v>0</v>
      </c>
      <c r="C468" s="116" t="str">
        <f t="shared" ca="1" si="22"/>
        <v/>
      </c>
      <c r="D468" s="119" t="str">
        <f ca="1">ORÇAMENTO!O468</f>
        <v>-</v>
      </c>
      <c r="E468" s="172" t="str">
        <f t="shared" ca="1" si="23"/>
        <v>(abra o arquivo 'Referência 06-2024.xlsm)</v>
      </c>
      <c r="F468" s="173" t="str">
        <f ca="1">IF(RegimeExecucao="Global","",ORÇAMENTO.Unidade)</f>
        <v/>
      </c>
      <c r="G468" s="124" t="str">
        <f ca="1">IF(RegimeExecucao="Global","",ORÇAMENTO!T468)</f>
        <v/>
      </c>
      <c r="H468" s="124" t="str">
        <f ca="1">IF(RegimeExecucao="Global","",ORÇAMENTO!W468)</f>
        <v/>
      </c>
      <c r="I468" s="127">
        <f ca="1">ORÇAMENTO!X468</f>
        <v>0</v>
      </c>
      <c r="J468" s="378">
        <f ca="1">IF($A468="S",IF(CAIXA.Modo,BM.AFAnterior,BM.MEDAnterior),IF(AND(RegimeExecucao="Global",$I468&gt;0,COUNTIF($AB$13:$AM$13,BM.medicao-1)&gt;0),M468/$I468*100,0))</f>
        <v>0</v>
      </c>
      <c r="K468" s="124">
        <f t="shared" ca="1" si="24"/>
        <v>0</v>
      </c>
      <c r="L468" s="379">
        <f ca="1">IF($A468="S",IF(CAIXA.Modo,BM.AFAcumulado,BM.MEDAcumulado),IF(AND(RegimeExecucao="Global",$I468&gt;0,COUNTIF($AB$13:$AM$13,BM.medicao)&gt;0),O468/$I468*100,0))</f>
        <v>0</v>
      </c>
      <c r="M468" s="380">
        <f ca="1">IF($A468="S",VTOTALBM,IF($A468=0,0,ROUND(SomaAgrupBM,15-13*ORÇAMENTO!$AF$11)))</f>
        <v>0</v>
      </c>
      <c r="N468" s="381">
        <f t="shared" ca="1" si="25"/>
        <v>0</v>
      </c>
      <c r="O468" s="127">
        <f ca="1">IF($A468="S",VTOTALBM,IF($A468=0,0,ROUND(SomaAgrupBM,15-13*ORÇAMENTO!$AF$11)))</f>
        <v>0</v>
      </c>
      <c r="Q468" s="382"/>
      <c r="R468" s="383"/>
      <c r="T468" s="119" t="str">
        <f t="shared" ca="1" si="26"/>
        <v/>
      </c>
      <c r="U468" s="172" t="str">
        <f t="shared" ca="1" si="27"/>
        <v/>
      </c>
      <c r="V468" s="173" t="str">
        <f ca="1">IF(AND($W468&gt;0,RegimeExecucao="Unitário"),$F468,"")</f>
        <v/>
      </c>
      <c r="W468" s="547">
        <f ca="1">IF($Y468&gt;0,CHOOSE(MATCH(RegimeExecucao,{"Unitário","Global"},0),IF($A468="S",$Y468/$X468,""),($Y468/$X468)*100),0)</f>
        <v>0</v>
      </c>
      <c r="X468" s="384" t="str">
        <f ca="1">IF($Y468&gt;0,CHOOSE(MATCH(RegimeExecucao,{"Unitário","Global"},0),IF($A468="S",ROUND($H468,ORÇAMENTO!$AF$10),""),ROUND($I468,ORÇAMENTO!$AF$11)),"")</f>
        <v/>
      </c>
      <c r="Y468" s="384">
        <f t="shared" ca="1" si="28"/>
        <v>0</v>
      </c>
      <c r="Z468" s="572"/>
      <c r="AB468" s="382"/>
      <c r="AC468" s="516"/>
      <c r="AD468" s="516"/>
      <c r="AE468" s="516"/>
      <c r="AF468" s="516"/>
      <c r="AG468" s="516"/>
      <c r="AH468" s="516"/>
      <c r="AI468" s="516"/>
      <c r="AJ468" s="516"/>
      <c r="AK468" s="516"/>
      <c r="AL468" s="516"/>
      <c r="AM468" s="383"/>
      <c r="AO468">
        <f ca="1">IF($A468="S",IF(BM!$I468=0,0,CHOOSE(MATCH(RegimeExecucao,{"Global","Unitário"},0),ROUND(ROUND(BM.MEDAcumulado,15-13*BM!$A$9)/100*BM!$I468,15-13*ORÇAMENTO!$AF$11),ROUND(ROUND(BM.MEDAcumulado,15-13*BM!$A$9)*ROUND(BM!$H468,15-13*ORÇAMENTO!$AF$10),15-13*ORÇAMENTO!$AF$11))),IF($A468=0,0,ROUND(SomaAgrupBM,15-13*ORÇAMENTO!$AF$11)))</f>
        <v>0</v>
      </c>
    </row>
    <row r="469" spans="1:41" ht="25.5" x14ac:dyDescent="0.2">
      <c r="A469" t="str">
        <f ca="1">ORÇAMENTO!C469</f>
        <v>S</v>
      </c>
      <c r="B469">
        <f ca="1">ORÇAMENTO!D469</f>
        <v>0</v>
      </c>
      <c r="C469" s="116" t="str">
        <f t="shared" ca="1" si="22"/>
        <v/>
      </c>
      <c r="D469" s="119" t="str">
        <f ca="1">ORÇAMENTO!O469</f>
        <v>-</v>
      </c>
      <c r="E469" s="172" t="str">
        <f t="shared" ca="1" si="23"/>
        <v>(abra o arquivo 'Referência 06-2024.xlsm)</v>
      </c>
      <c r="F469" s="173" t="str">
        <f ca="1">IF(RegimeExecucao="Global","",ORÇAMENTO.Unidade)</f>
        <v/>
      </c>
      <c r="G469" s="124" t="str">
        <f ca="1">IF(RegimeExecucao="Global","",ORÇAMENTO!T469)</f>
        <v/>
      </c>
      <c r="H469" s="124" t="str">
        <f ca="1">IF(RegimeExecucao="Global","",ORÇAMENTO!W469)</f>
        <v/>
      </c>
      <c r="I469" s="127">
        <f ca="1">ORÇAMENTO!X469</f>
        <v>0</v>
      </c>
      <c r="J469" s="378">
        <f ca="1">IF($A469="S",IF(CAIXA.Modo,BM.AFAnterior,BM.MEDAnterior),IF(AND(RegimeExecucao="Global",$I469&gt;0,COUNTIF($AB$13:$AM$13,BM.medicao-1)&gt;0),M469/$I469*100,0))</f>
        <v>0</v>
      </c>
      <c r="K469" s="124">
        <f t="shared" ca="1" si="24"/>
        <v>0</v>
      </c>
      <c r="L469" s="379">
        <f ca="1">IF($A469="S",IF(CAIXA.Modo,BM.AFAcumulado,BM.MEDAcumulado),IF(AND(RegimeExecucao="Global",$I469&gt;0,COUNTIF($AB$13:$AM$13,BM.medicao)&gt;0),O469/$I469*100,0))</f>
        <v>0</v>
      </c>
      <c r="M469" s="380">
        <f ca="1">IF($A469="S",VTOTALBM,IF($A469=0,0,ROUND(SomaAgrupBM,15-13*ORÇAMENTO!$AF$11)))</f>
        <v>0</v>
      </c>
      <c r="N469" s="381">
        <f t="shared" ca="1" si="25"/>
        <v>0</v>
      </c>
      <c r="O469" s="127">
        <f ca="1">IF($A469="S",VTOTALBM,IF($A469=0,0,ROUND(SomaAgrupBM,15-13*ORÇAMENTO!$AF$11)))</f>
        <v>0</v>
      </c>
      <c r="Q469" s="382"/>
      <c r="R469" s="383"/>
      <c r="T469" s="119" t="str">
        <f t="shared" ca="1" si="26"/>
        <v/>
      </c>
      <c r="U469" s="172" t="str">
        <f t="shared" ca="1" si="27"/>
        <v/>
      </c>
      <c r="V469" s="173" t="str">
        <f ca="1">IF(AND($W469&gt;0,RegimeExecucao="Unitário"),$F469,"")</f>
        <v/>
      </c>
      <c r="W469" s="547">
        <f ca="1">IF($Y469&gt;0,CHOOSE(MATCH(RegimeExecucao,{"Unitário","Global"},0),IF($A469="S",$Y469/$X469,""),($Y469/$X469)*100),0)</f>
        <v>0</v>
      </c>
      <c r="X469" s="384" t="str">
        <f ca="1">IF($Y469&gt;0,CHOOSE(MATCH(RegimeExecucao,{"Unitário","Global"},0),IF($A469="S",ROUND($H469,ORÇAMENTO!$AF$10),""),ROUND($I469,ORÇAMENTO!$AF$11)),"")</f>
        <v/>
      </c>
      <c r="Y469" s="384">
        <f t="shared" ca="1" si="28"/>
        <v>0</v>
      </c>
      <c r="Z469" s="572"/>
      <c r="AB469" s="382"/>
      <c r="AC469" s="516"/>
      <c r="AD469" s="516"/>
      <c r="AE469" s="516"/>
      <c r="AF469" s="516"/>
      <c r="AG469" s="516"/>
      <c r="AH469" s="516"/>
      <c r="AI469" s="516"/>
      <c r="AJ469" s="516"/>
      <c r="AK469" s="516"/>
      <c r="AL469" s="516"/>
      <c r="AM469" s="383"/>
      <c r="AO469">
        <f ca="1">IF($A469="S",IF(BM!$I469=0,0,CHOOSE(MATCH(RegimeExecucao,{"Global","Unitário"},0),ROUND(ROUND(BM.MEDAcumulado,15-13*BM!$A$9)/100*BM!$I469,15-13*ORÇAMENTO!$AF$11),ROUND(ROUND(BM.MEDAcumulado,15-13*BM!$A$9)*ROUND(BM!$H469,15-13*ORÇAMENTO!$AF$10),15-13*ORÇAMENTO!$AF$11))),IF($A469=0,0,ROUND(SomaAgrupBM,15-13*ORÇAMENTO!$AF$11)))</f>
        <v>0</v>
      </c>
    </row>
    <row r="470" spans="1:41" ht="38.25" x14ac:dyDescent="0.2">
      <c r="A470" t="str">
        <f ca="1">ORÇAMENTO!C470</f>
        <v>S</v>
      </c>
      <c r="B470">
        <f ca="1">ORÇAMENTO!D470</f>
        <v>0</v>
      </c>
      <c r="C470" s="116" t="str">
        <f t="shared" ca="1" si="22"/>
        <v/>
      </c>
      <c r="D470" s="119" t="str">
        <f ca="1">ORÇAMENTO!O470</f>
        <v>-</v>
      </c>
      <c r="E470" s="172" t="str">
        <f t="shared" ca="1" si="23"/>
        <v>(abra o arquivo 'Referência 06-2024.xlsm)</v>
      </c>
      <c r="F470" s="173" t="str">
        <f ca="1">IF(RegimeExecucao="Global","",ORÇAMENTO.Unidade)</f>
        <v/>
      </c>
      <c r="G470" s="124" t="str">
        <f ca="1">IF(RegimeExecucao="Global","",ORÇAMENTO!T470)</f>
        <v/>
      </c>
      <c r="H470" s="124" t="str">
        <f ca="1">IF(RegimeExecucao="Global","",ORÇAMENTO!W470)</f>
        <v/>
      </c>
      <c r="I470" s="127">
        <f ca="1">ORÇAMENTO!X470</f>
        <v>0</v>
      </c>
      <c r="J470" s="378">
        <f ca="1">IF($A470="S",IF(CAIXA.Modo,BM.AFAnterior,BM.MEDAnterior),IF(AND(RegimeExecucao="Global",$I470&gt;0,COUNTIF($AB$13:$AM$13,BM.medicao-1)&gt;0),M470/$I470*100,0))</f>
        <v>0</v>
      </c>
      <c r="K470" s="124">
        <f t="shared" ca="1" si="24"/>
        <v>0</v>
      </c>
      <c r="L470" s="379">
        <f ca="1">IF($A470="S",IF(CAIXA.Modo,BM.AFAcumulado,BM.MEDAcumulado),IF(AND(RegimeExecucao="Global",$I470&gt;0,COUNTIF($AB$13:$AM$13,BM.medicao)&gt;0),O470/$I470*100,0))</f>
        <v>0</v>
      </c>
      <c r="M470" s="380">
        <f ca="1">IF($A470="S",VTOTALBM,IF($A470=0,0,ROUND(SomaAgrupBM,15-13*ORÇAMENTO!$AF$11)))</f>
        <v>0</v>
      </c>
      <c r="N470" s="381">
        <f t="shared" ca="1" si="25"/>
        <v>0</v>
      </c>
      <c r="O470" s="127">
        <f ca="1">IF($A470="S",VTOTALBM,IF($A470=0,0,ROUND(SomaAgrupBM,15-13*ORÇAMENTO!$AF$11)))</f>
        <v>0</v>
      </c>
      <c r="Q470" s="382"/>
      <c r="R470" s="383"/>
      <c r="T470" s="119" t="str">
        <f t="shared" ca="1" si="26"/>
        <v/>
      </c>
      <c r="U470" s="172" t="str">
        <f t="shared" ca="1" si="27"/>
        <v/>
      </c>
      <c r="V470" s="173" t="str">
        <f ca="1">IF(AND($W470&gt;0,RegimeExecucao="Unitário"),$F470,"")</f>
        <v/>
      </c>
      <c r="W470" s="547">
        <f ca="1">IF($Y470&gt;0,CHOOSE(MATCH(RegimeExecucao,{"Unitário","Global"},0),IF($A470="S",$Y470/$X470,""),($Y470/$X470)*100),0)</f>
        <v>0</v>
      </c>
      <c r="X470" s="384" t="str">
        <f ca="1">IF($Y470&gt;0,CHOOSE(MATCH(RegimeExecucao,{"Unitário","Global"},0),IF($A470="S",ROUND($H470,ORÇAMENTO!$AF$10),""),ROUND($I470,ORÇAMENTO!$AF$11)),"")</f>
        <v/>
      </c>
      <c r="Y470" s="384">
        <f t="shared" ca="1" si="28"/>
        <v>0</v>
      </c>
      <c r="Z470" s="572"/>
      <c r="AB470" s="382"/>
      <c r="AC470" s="516"/>
      <c r="AD470" s="516"/>
      <c r="AE470" s="516"/>
      <c r="AF470" s="516"/>
      <c r="AG470" s="516"/>
      <c r="AH470" s="516"/>
      <c r="AI470" s="516"/>
      <c r="AJ470" s="516"/>
      <c r="AK470" s="516"/>
      <c r="AL470" s="516"/>
      <c r="AM470" s="383"/>
      <c r="AO470">
        <f ca="1">IF($A470="S",IF(BM!$I470=0,0,CHOOSE(MATCH(RegimeExecucao,{"Global","Unitário"},0),ROUND(ROUND(BM.MEDAcumulado,15-13*BM!$A$9)/100*BM!$I470,15-13*ORÇAMENTO!$AF$11),ROUND(ROUND(BM.MEDAcumulado,15-13*BM!$A$9)*ROUND(BM!$H470,15-13*ORÇAMENTO!$AF$10),15-13*ORÇAMENTO!$AF$11))),IF($A470=0,0,ROUND(SomaAgrupBM,15-13*ORÇAMENTO!$AF$11)))</f>
        <v>0</v>
      </c>
    </row>
    <row r="471" spans="1:41" ht="25.5" x14ac:dyDescent="0.2">
      <c r="A471" t="str">
        <f ca="1">ORÇAMENTO!C471</f>
        <v>S</v>
      </c>
      <c r="B471">
        <f ca="1">ORÇAMENTO!D471</f>
        <v>0</v>
      </c>
      <c r="C471" s="116" t="str">
        <f t="shared" ca="1" si="22"/>
        <v/>
      </c>
      <c r="D471" s="119" t="str">
        <f ca="1">ORÇAMENTO!O471</f>
        <v>-</v>
      </c>
      <c r="E471" s="172" t="str">
        <f t="shared" ca="1" si="23"/>
        <v>(abra o arquivo 'Referência 06-2024.xlsm)</v>
      </c>
      <c r="F471" s="173" t="str">
        <f ca="1">IF(RegimeExecucao="Global","",ORÇAMENTO.Unidade)</f>
        <v/>
      </c>
      <c r="G471" s="124" t="str">
        <f ca="1">IF(RegimeExecucao="Global","",ORÇAMENTO!T471)</f>
        <v/>
      </c>
      <c r="H471" s="124" t="str">
        <f ca="1">IF(RegimeExecucao="Global","",ORÇAMENTO!W471)</f>
        <v/>
      </c>
      <c r="I471" s="127">
        <f ca="1">ORÇAMENTO!X471</f>
        <v>0</v>
      </c>
      <c r="J471" s="378">
        <f ca="1">IF($A471="S",IF(CAIXA.Modo,BM.AFAnterior,BM.MEDAnterior),IF(AND(RegimeExecucao="Global",$I471&gt;0,COUNTIF($AB$13:$AM$13,BM.medicao-1)&gt;0),M471/$I471*100,0))</f>
        <v>0</v>
      </c>
      <c r="K471" s="124">
        <f t="shared" ca="1" si="24"/>
        <v>0</v>
      </c>
      <c r="L471" s="379">
        <f ca="1">IF($A471="S",IF(CAIXA.Modo,BM.AFAcumulado,BM.MEDAcumulado),IF(AND(RegimeExecucao="Global",$I471&gt;0,COUNTIF($AB$13:$AM$13,BM.medicao)&gt;0),O471/$I471*100,0))</f>
        <v>0</v>
      </c>
      <c r="M471" s="380">
        <f ca="1">IF($A471="S",VTOTALBM,IF($A471=0,0,ROUND(SomaAgrupBM,15-13*ORÇAMENTO!$AF$11)))</f>
        <v>0</v>
      </c>
      <c r="N471" s="381">
        <f t="shared" ca="1" si="25"/>
        <v>0</v>
      </c>
      <c r="O471" s="127">
        <f ca="1">IF($A471="S",VTOTALBM,IF($A471=0,0,ROUND(SomaAgrupBM,15-13*ORÇAMENTO!$AF$11)))</f>
        <v>0</v>
      </c>
      <c r="Q471" s="382"/>
      <c r="R471" s="383"/>
      <c r="T471" s="119" t="str">
        <f t="shared" ca="1" si="26"/>
        <v/>
      </c>
      <c r="U471" s="172" t="str">
        <f t="shared" ca="1" si="27"/>
        <v/>
      </c>
      <c r="V471" s="173" t="str">
        <f ca="1">IF(AND($W471&gt;0,RegimeExecucao="Unitário"),$F471,"")</f>
        <v/>
      </c>
      <c r="W471" s="547">
        <f ca="1">IF($Y471&gt;0,CHOOSE(MATCH(RegimeExecucao,{"Unitário","Global"},0),IF($A471="S",$Y471/$X471,""),($Y471/$X471)*100),0)</f>
        <v>0</v>
      </c>
      <c r="X471" s="384" t="str">
        <f ca="1">IF($Y471&gt;0,CHOOSE(MATCH(RegimeExecucao,{"Unitário","Global"},0),IF($A471="S",ROUND($H471,ORÇAMENTO!$AF$10),""),ROUND($I471,ORÇAMENTO!$AF$11)),"")</f>
        <v/>
      </c>
      <c r="Y471" s="384">
        <f t="shared" ca="1" si="28"/>
        <v>0</v>
      </c>
      <c r="Z471" s="572"/>
      <c r="AB471" s="382"/>
      <c r="AC471" s="516"/>
      <c r="AD471" s="516"/>
      <c r="AE471" s="516"/>
      <c r="AF471" s="516"/>
      <c r="AG471" s="516"/>
      <c r="AH471" s="516"/>
      <c r="AI471" s="516"/>
      <c r="AJ471" s="516"/>
      <c r="AK471" s="516"/>
      <c r="AL471" s="516"/>
      <c r="AM471" s="383"/>
      <c r="AO471">
        <f ca="1">IF($A471="S",IF(BM!$I471=0,0,CHOOSE(MATCH(RegimeExecucao,{"Global","Unitário"},0),ROUND(ROUND(BM.MEDAcumulado,15-13*BM!$A$9)/100*BM!$I471,15-13*ORÇAMENTO!$AF$11),ROUND(ROUND(BM.MEDAcumulado,15-13*BM!$A$9)*ROUND(BM!$H471,15-13*ORÇAMENTO!$AF$10),15-13*ORÇAMENTO!$AF$11))),IF($A471=0,0,ROUND(SomaAgrupBM,15-13*ORÇAMENTO!$AF$11)))</f>
        <v>0</v>
      </c>
    </row>
    <row r="472" spans="1:41" x14ac:dyDescent="0.2">
      <c r="A472">
        <f ca="1">ORÇAMENTO!C472</f>
        <v>2</v>
      </c>
      <c r="B472">
        <f ca="1">ORÇAMENTO!D472</f>
        <v>4</v>
      </c>
      <c r="C472" s="116" t="str">
        <f t="shared" ref="C472:C685" ca="1" si="44">IF(OR($I472&gt;0,$A472=1,$A472=2,$A472=3,$A472=4),"F","")</f>
        <v>F</v>
      </c>
      <c r="D472" s="119" t="str">
        <f ca="1">ORÇAMENTO!O472</f>
        <v>1.49.</v>
      </c>
      <c r="E472" s="172" t="str">
        <f t="shared" ref="E472:E528" si="45">ORÇAMENTO.Descricao</f>
        <v>SISTEMA DE PROTEÇÃO CONTRA INCÊNDIO - SINALIZAÇÕES</v>
      </c>
      <c r="F472" s="173" t="str">
        <f ca="1">IF(RegimeExecucao="Global","",ORÇAMENTO.Unidade)</f>
        <v/>
      </c>
      <c r="G472" s="124" t="str">
        <f ca="1">IF(RegimeExecucao="Global","",ORÇAMENTO!T472)</f>
        <v/>
      </c>
      <c r="H472" s="124" t="str">
        <f ca="1">IF(RegimeExecucao="Global","",ORÇAMENTO!W472)</f>
        <v/>
      </c>
      <c r="I472" s="127">
        <f ca="1">ORÇAMENTO!X472</f>
        <v>0</v>
      </c>
      <c r="J472" s="378">
        <f ca="1">IF($A472="S",IF(CAIXA.Modo,BM.AFAnterior,BM.MEDAnterior),IF(AND(RegimeExecucao="Global",$I472&gt;0,COUNTIF($AB$13:$AM$13,BM.medicao-1)&gt;0),M472/$I472*100,0))</f>
        <v>0</v>
      </c>
      <c r="K472" s="124">
        <f t="shared" ref="K472:K685" ca="1" si="46">L472-J472</f>
        <v>0</v>
      </c>
      <c r="L472" s="379">
        <f ca="1">IF($A472="S",IF(CAIXA.Modo,BM.AFAcumulado,BM.MEDAcumulado),IF(AND(RegimeExecucao="Global",$I472&gt;0,COUNTIF($AB$13:$AM$13,BM.medicao)&gt;0),O472/$I472*100,0))</f>
        <v>0</v>
      </c>
      <c r="M472" s="380">
        <f ca="1">IF($A472="S",VTOTALBM,IF($A472=0,0,ROUND(SomaAgrupBM,15-13*ORÇAMENTO!$AF$11)))</f>
        <v>0</v>
      </c>
      <c r="N472" s="381">
        <f t="shared" ref="N472:N685" ca="1" si="47">O472-M472</f>
        <v>0</v>
      </c>
      <c r="O472" s="127">
        <f ca="1">IF($A472="S",VTOTALBM,IF($A472=0,0,ROUND(SomaAgrupBM,15-13*ORÇAMENTO!$AF$11)))</f>
        <v>0</v>
      </c>
      <c r="Q472" s="382"/>
      <c r="R472" s="383"/>
      <c r="T472" s="119" t="str">
        <f t="shared" ref="T472:T685" ca="1" si="48">IF($W472&gt;0,$D472,"")</f>
        <v/>
      </c>
      <c r="U472" s="172" t="str">
        <f t="shared" ref="U472:U685" ca="1" si="49">IF($W472&gt;0,$E472,"")</f>
        <v/>
      </c>
      <c r="V472" s="173" t="str">
        <f ca="1">IF(AND($W472&gt;0,RegimeExecucao="Unitário"),$F472,"")</f>
        <v/>
      </c>
      <c r="W472" s="547">
        <f ca="1">IF($Y472&gt;0,CHOOSE(MATCH(RegimeExecucao,{"Unitário","Global"},0),IF($A472="S",$Y472/$X472,""),($Y472/$X472)*100),0)</f>
        <v>0</v>
      </c>
      <c r="X472" s="384" t="str">
        <f ca="1">IF($Y472&gt;0,CHOOSE(MATCH(RegimeExecucao,{"Unitário","Global"},0),IF($A472="S",ROUND($H472,ORÇAMENTO!$AF$10),""),ROUND($I472,ORÇAMENTO!$AF$11)),"")</f>
        <v/>
      </c>
      <c r="Y472" s="384">
        <f t="shared" ref="Y472:Y685" ca="1" si="50">AO472-O472</f>
        <v>0</v>
      </c>
      <c r="Z472" s="572"/>
      <c r="AB472" s="382"/>
      <c r="AC472" s="516"/>
      <c r="AD472" s="516"/>
      <c r="AE472" s="516"/>
      <c r="AF472" s="516"/>
      <c r="AG472" s="516"/>
      <c r="AH472" s="516"/>
      <c r="AI472" s="516"/>
      <c r="AJ472" s="516"/>
      <c r="AK472" s="516"/>
      <c r="AL472" s="516"/>
      <c r="AM472" s="383"/>
      <c r="AO472">
        <f ca="1">IF($A472="S",IF(BM!$I472=0,0,CHOOSE(MATCH(RegimeExecucao,{"Global","Unitário"},0),ROUND(ROUND(BM.MEDAcumulado,15-13*BM!$A$9)/100*BM!$I472,15-13*ORÇAMENTO!$AF$11),ROUND(ROUND(BM.MEDAcumulado,15-13*BM!$A$9)*ROUND(BM!$H472,15-13*ORÇAMENTO!$AF$10),15-13*ORÇAMENTO!$AF$11))),IF($A472=0,0,ROUND(SomaAgrupBM,15-13*ORÇAMENTO!$AF$11)))</f>
        <v>0</v>
      </c>
    </row>
    <row r="473" spans="1:41" ht="25.5" x14ac:dyDescent="0.2">
      <c r="A473" t="str">
        <f ca="1">ORÇAMENTO!C473</f>
        <v>S</v>
      </c>
      <c r="B473">
        <f ca="1">ORÇAMENTO!D473</f>
        <v>0</v>
      </c>
      <c r="C473" s="116" t="str">
        <f t="shared" ca="1" si="44"/>
        <v/>
      </c>
      <c r="D473" s="119" t="str">
        <f ca="1">ORÇAMENTO!O473</f>
        <v>-</v>
      </c>
      <c r="E473" s="172" t="str">
        <f t="shared" ca="1" si="45"/>
        <v>(abra o arquivo 'Referência 06-2024.xlsm)</v>
      </c>
      <c r="F473" s="173" t="str">
        <f ca="1">IF(RegimeExecucao="Global","",ORÇAMENTO.Unidade)</f>
        <v/>
      </c>
      <c r="G473" s="124" t="str">
        <f ca="1">IF(RegimeExecucao="Global","",ORÇAMENTO!T473)</f>
        <v/>
      </c>
      <c r="H473" s="124" t="str">
        <f ca="1">IF(RegimeExecucao="Global","",ORÇAMENTO!W473)</f>
        <v/>
      </c>
      <c r="I473" s="127">
        <f ca="1">ORÇAMENTO!X473</f>
        <v>0</v>
      </c>
      <c r="J473" s="378">
        <f ca="1">IF($A473="S",IF(CAIXA.Modo,BM.AFAnterior,BM.MEDAnterior),IF(AND(RegimeExecucao="Global",$I473&gt;0,COUNTIF($AB$13:$AM$13,BM.medicao-1)&gt;0),M473/$I473*100,0))</f>
        <v>0</v>
      </c>
      <c r="K473" s="124">
        <f t="shared" ca="1" si="46"/>
        <v>0</v>
      </c>
      <c r="L473" s="379">
        <f ca="1">IF($A473="S",IF(CAIXA.Modo,BM.AFAcumulado,BM.MEDAcumulado),IF(AND(RegimeExecucao="Global",$I473&gt;0,COUNTIF($AB$13:$AM$13,BM.medicao)&gt;0),O473/$I473*100,0))</f>
        <v>0</v>
      </c>
      <c r="M473" s="380">
        <f ca="1">IF($A473="S",VTOTALBM,IF($A473=0,0,ROUND(SomaAgrupBM,15-13*ORÇAMENTO!$AF$11)))</f>
        <v>0</v>
      </c>
      <c r="N473" s="381">
        <f t="shared" ca="1" si="47"/>
        <v>0</v>
      </c>
      <c r="O473" s="127">
        <f ca="1">IF($A473="S",VTOTALBM,IF($A473=0,0,ROUND(SomaAgrupBM,15-13*ORÇAMENTO!$AF$11)))</f>
        <v>0</v>
      </c>
      <c r="Q473" s="382"/>
      <c r="R473" s="383"/>
      <c r="T473" s="119" t="str">
        <f t="shared" ca="1" si="48"/>
        <v/>
      </c>
      <c r="U473" s="172" t="str">
        <f t="shared" ca="1" si="49"/>
        <v/>
      </c>
      <c r="V473" s="173" t="str">
        <f ca="1">IF(AND($W473&gt;0,RegimeExecucao="Unitário"),$F473,"")</f>
        <v/>
      </c>
      <c r="W473" s="547">
        <f ca="1">IF($Y473&gt;0,CHOOSE(MATCH(RegimeExecucao,{"Unitário","Global"},0),IF($A473="S",$Y473/$X473,""),($Y473/$X473)*100),0)</f>
        <v>0</v>
      </c>
      <c r="X473" s="384" t="str">
        <f ca="1">IF($Y473&gt;0,CHOOSE(MATCH(RegimeExecucao,{"Unitário","Global"},0),IF($A473="S",ROUND($H473,ORÇAMENTO!$AF$10),""),ROUND($I473,ORÇAMENTO!$AF$11)),"")</f>
        <v/>
      </c>
      <c r="Y473" s="384">
        <f t="shared" ca="1" si="50"/>
        <v>0</v>
      </c>
      <c r="Z473" s="572"/>
      <c r="AB473" s="382"/>
      <c r="AC473" s="516"/>
      <c r="AD473" s="516"/>
      <c r="AE473" s="516"/>
      <c r="AF473" s="516"/>
      <c r="AG473" s="516"/>
      <c r="AH473" s="516"/>
      <c r="AI473" s="516"/>
      <c r="AJ473" s="516"/>
      <c r="AK473" s="516"/>
      <c r="AL473" s="516"/>
      <c r="AM473" s="383"/>
      <c r="AO473">
        <f ca="1">IF($A473="S",IF(BM!$I473=0,0,CHOOSE(MATCH(RegimeExecucao,{"Global","Unitário"},0),ROUND(ROUND(BM.MEDAcumulado,15-13*BM!$A$9)/100*BM!$I473,15-13*ORÇAMENTO!$AF$11),ROUND(ROUND(BM.MEDAcumulado,15-13*BM!$A$9)*ROUND(BM!$H473,15-13*ORÇAMENTO!$AF$10),15-13*ORÇAMENTO!$AF$11))),IF($A473=0,0,ROUND(SomaAgrupBM,15-13*ORÇAMENTO!$AF$11)))</f>
        <v>0</v>
      </c>
    </row>
    <row r="474" spans="1:41" x14ac:dyDescent="0.2">
      <c r="A474" t="str">
        <f ca="1">ORÇAMENTO!C474</f>
        <v>S</v>
      </c>
      <c r="B474">
        <f ca="1">ORÇAMENTO!D474</f>
        <v>0</v>
      </c>
      <c r="C474" s="116" t="str">
        <f t="shared" ca="1" si="44"/>
        <v/>
      </c>
      <c r="D474" s="119" t="str">
        <f ca="1">ORÇAMENTO!O474</f>
        <v>-</v>
      </c>
      <c r="E474" s="172" t="str">
        <f t="shared" ca="1" si="45"/>
        <v>(abra o arquivo 'Referência 06-2024.xlsm)</v>
      </c>
      <c r="F474" s="173" t="str">
        <f ca="1">IF(RegimeExecucao="Global","",ORÇAMENTO.Unidade)</f>
        <v/>
      </c>
      <c r="G474" s="124" t="str">
        <f ca="1">IF(RegimeExecucao="Global","",ORÇAMENTO!T474)</f>
        <v/>
      </c>
      <c r="H474" s="124" t="str">
        <f ca="1">IF(RegimeExecucao="Global","",ORÇAMENTO!W474)</f>
        <v/>
      </c>
      <c r="I474" s="127">
        <f ca="1">ORÇAMENTO!X474</f>
        <v>0</v>
      </c>
      <c r="J474" s="378">
        <f ca="1">IF($A474="S",IF(CAIXA.Modo,BM.AFAnterior,BM.MEDAnterior),IF(AND(RegimeExecucao="Global",$I474&gt;0,COUNTIF($AB$13:$AM$13,BM.medicao-1)&gt;0),M474/$I474*100,0))</f>
        <v>0</v>
      </c>
      <c r="K474" s="124">
        <f t="shared" ca="1" si="46"/>
        <v>0</v>
      </c>
      <c r="L474" s="379">
        <f ca="1">IF($A474="S",IF(CAIXA.Modo,BM.AFAcumulado,BM.MEDAcumulado),IF(AND(RegimeExecucao="Global",$I474&gt;0,COUNTIF($AB$13:$AM$13,BM.medicao)&gt;0),O474/$I474*100,0))</f>
        <v>0</v>
      </c>
      <c r="M474" s="380">
        <f ca="1">IF($A474="S",VTOTALBM,IF($A474=0,0,ROUND(SomaAgrupBM,15-13*ORÇAMENTO!$AF$11)))</f>
        <v>0</v>
      </c>
      <c r="N474" s="381">
        <f t="shared" ca="1" si="47"/>
        <v>0</v>
      </c>
      <c r="O474" s="127">
        <f ca="1">IF($A474="S",VTOTALBM,IF($A474=0,0,ROUND(SomaAgrupBM,15-13*ORÇAMENTO!$AF$11)))</f>
        <v>0</v>
      </c>
      <c r="Q474" s="382"/>
      <c r="R474" s="383"/>
      <c r="T474" s="119" t="str">
        <f t="shared" ca="1" si="48"/>
        <v/>
      </c>
      <c r="U474" s="172" t="str">
        <f t="shared" ca="1" si="49"/>
        <v/>
      </c>
      <c r="V474" s="173" t="str">
        <f ca="1">IF(AND($W474&gt;0,RegimeExecucao="Unitário"),$F474,"")</f>
        <v/>
      </c>
      <c r="W474" s="547">
        <f ca="1">IF($Y474&gt;0,CHOOSE(MATCH(RegimeExecucao,{"Unitário","Global"},0),IF($A474="S",$Y474/$X474,""),($Y474/$X474)*100),0)</f>
        <v>0</v>
      </c>
      <c r="X474" s="384" t="str">
        <f ca="1">IF($Y474&gt;0,CHOOSE(MATCH(RegimeExecucao,{"Unitário","Global"},0),IF($A474="S",ROUND($H474,ORÇAMENTO!$AF$10),""),ROUND($I474,ORÇAMENTO!$AF$11)),"")</f>
        <v/>
      </c>
      <c r="Y474" s="384">
        <f t="shared" ca="1" si="50"/>
        <v>0</v>
      </c>
      <c r="Z474" s="572"/>
      <c r="AB474" s="382"/>
      <c r="AC474" s="516"/>
      <c r="AD474" s="516"/>
      <c r="AE474" s="516"/>
      <c r="AF474" s="516"/>
      <c r="AG474" s="516"/>
      <c r="AH474" s="516"/>
      <c r="AI474" s="516"/>
      <c r="AJ474" s="516"/>
      <c r="AK474" s="516"/>
      <c r="AL474" s="516"/>
      <c r="AM474" s="383"/>
      <c r="AO474">
        <f ca="1">IF($A474="S",IF(BM!$I474=0,0,CHOOSE(MATCH(RegimeExecucao,{"Global","Unitário"},0),ROUND(ROUND(BM.MEDAcumulado,15-13*BM!$A$9)/100*BM!$I474,15-13*ORÇAMENTO!$AF$11),ROUND(ROUND(BM.MEDAcumulado,15-13*BM!$A$9)*ROUND(BM!$H474,15-13*ORÇAMENTO!$AF$10),15-13*ORÇAMENTO!$AF$11))),IF($A474=0,0,ROUND(SomaAgrupBM,15-13*ORÇAMENTO!$AF$11)))</f>
        <v>0</v>
      </c>
    </row>
    <row r="475" spans="1:41" ht="25.5" x14ac:dyDescent="0.2">
      <c r="A475" t="str">
        <f ca="1">ORÇAMENTO!C475</f>
        <v>S</v>
      </c>
      <c r="B475">
        <f ca="1">ORÇAMENTO!D475</f>
        <v>0</v>
      </c>
      <c r="C475" s="116" t="str">
        <f t="shared" ca="1" si="44"/>
        <v/>
      </c>
      <c r="D475" s="119" t="str">
        <f ca="1">ORÇAMENTO!O475</f>
        <v>-</v>
      </c>
      <c r="E475" s="172" t="str">
        <f t="shared" ca="1" si="45"/>
        <v>(abra o arquivo 'Referência 06-2024.xlsm)</v>
      </c>
      <c r="F475" s="173" t="str">
        <f ca="1">IF(RegimeExecucao="Global","",ORÇAMENTO.Unidade)</f>
        <v/>
      </c>
      <c r="G475" s="124" t="str">
        <f ca="1">IF(RegimeExecucao="Global","",ORÇAMENTO!T475)</f>
        <v/>
      </c>
      <c r="H475" s="124" t="str">
        <f ca="1">IF(RegimeExecucao="Global","",ORÇAMENTO!W475)</f>
        <v/>
      </c>
      <c r="I475" s="127">
        <f ca="1">ORÇAMENTO!X475</f>
        <v>0</v>
      </c>
      <c r="J475" s="378">
        <f ca="1">IF($A475="S",IF(CAIXA.Modo,BM.AFAnterior,BM.MEDAnterior),IF(AND(RegimeExecucao="Global",$I475&gt;0,COUNTIF($AB$13:$AM$13,BM.medicao-1)&gt;0),M475/$I475*100,0))</f>
        <v>0</v>
      </c>
      <c r="K475" s="124">
        <f t="shared" ca="1" si="46"/>
        <v>0</v>
      </c>
      <c r="L475" s="379">
        <f ca="1">IF($A475="S",IF(CAIXA.Modo,BM.AFAcumulado,BM.MEDAcumulado),IF(AND(RegimeExecucao="Global",$I475&gt;0,COUNTIF($AB$13:$AM$13,BM.medicao)&gt;0),O475/$I475*100,0))</f>
        <v>0</v>
      </c>
      <c r="M475" s="380">
        <f ca="1">IF($A475="S",VTOTALBM,IF($A475=0,0,ROUND(SomaAgrupBM,15-13*ORÇAMENTO!$AF$11)))</f>
        <v>0</v>
      </c>
      <c r="N475" s="381">
        <f t="shared" ca="1" si="47"/>
        <v>0</v>
      </c>
      <c r="O475" s="127">
        <f ca="1">IF($A475="S",VTOTALBM,IF($A475=0,0,ROUND(SomaAgrupBM,15-13*ORÇAMENTO!$AF$11)))</f>
        <v>0</v>
      </c>
      <c r="Q475" s="382"/>
      <c r="R475" s="383"/>
      <c r="T475" s="119" t="str">
        <f t="shared" ca="1" si="48"/>
        <v/>
      </c>
      <c r="U475" s="172" t="str">
        <f t="shared" ca="1" si="49"/>
        <v/>
      </c>
      <c r="V475" s="173" t="str">
        <f ca="1">IF(AND($W475&gt;0,RegimeExecucao="Unitário"),$F475,"")</f>
        <v/>
      </c>
      <c r="W475" s="547">
        <f ca="1">IF($Y475&gt;0,CHOOSE(MATCH(RegimeExecucao,{"Unitário","Global"},0),IF($A475="S",$Y475/$X475,""),($Y475/$X475)*100),0)</f>
        <v>0</v>
      </c>
      <c r="X475" s="384" t="str">
        <f ca="1">IF($Y475&gt;0,CHOOSE(MATCH(RegimeExecucao,{"Unitário","Global"},0),IF($A475="S",ROUND($H475,ORÇAMENTO!$AF$10),""),ROUND($I475,ORÇAMENTO!$AF$11)),"")</f>
        <v/>
      </c>
      <c r="Y475" s="384">
        <f t="shared" ca="1" si="50"/>
        <v>0</v>
      </c>
      <c r="Z475" s="572"/>
      <c r="AB475" s="382"/>
      <c r="AC475" s="516"/>
      <c r="AD475" s="516"/>
      <c r="AE475" s="516"/>
      <c r="AF475" s="516"/>
      <c r="AG475" s="516"/>
      <c r="AH475" s="516"/>
      <c r="AI475" s="516"/>
      <c r="AJ475" s="516"/>
      <c r="AK475" s="516"/>
      <c r="AL475" s="516"/>
      <c r="AM475" s="383"/>
      <c r="AO475">
        <f ca="1">IF($A475="S",IF(BM!$I475=0,0,CHOOSE(MATCH(RegimeExecucao,{"Global","Unitário"},0),ROUND(ROUND(BM.MEDAcumulado,15-13*BM!$A$9)/100*BM!$I475,15-13*ORÇAMENTO!$AF$11),ROUND(ROUND(BM.MEDAcumulado,15-13*BM!$A$9)*ROUND(BM!$H475,15-13*ORÇAMENTO!$AF$10),15-13*ORÇAMENTO!$AF$11))),IF($A475=0,0,ROUND(SomaAgrupBM,15-13*ORÇAMENTO!$AF$11)))</f>
        <v>0</v>
      </c>
    </row>
    <row r="476" spans="1:41" ht="25.5" x14ac:dyDescent="0.2">
      <c r="A476">
        <f ca="1">ORÇAMENTO!C476</f>
        <v>2</v>
      </c>
      <c r="B476">
        <f ca="1">ORÇAMENTO!D476</f>
        <v>3</v>
      </c>
      <c r="C476" s="116" t="str">
        <f t="shared" ca="1" si="44"/>
        <v>F</v>
      </c>
      <c r="D476" s="119" t="str">
        <f ca="1">ORÇAMENTO!O476</f>
        <v>1.50.</v>
      </c>
      <c r="E476" s="172" t="str">
        <f t="shared" si="45"/>
        <v>INSTALAÇÃO ELÉTRICA 110V - ACESSÓRIOS PERFILADOS PERFURADOS</v>
      </c>
      <c r="F476" s="173" t="str">
        <f ca="1">IF(RegimeExecucao="Global","",ORÇAMENTO.Unidade)</f>
        <v/>
      </c>
      <c r="G476" s="124" t="str">
        <f ca="1">IF(RegimeExecucao="Global","",ORÇAMENTO!T476)</f>
        <v/>
      </c>
      <c r="H476" s="124" t="str">
        <f ca="1">IF(RegimeExecucao="Global","",ORÇAMENTO!W476)</f>
        <v/>
      </c>
      <c r="I476" s="127">
        <f ca="1">ORÇAMENTO!X476</f>
        <v>0</v>
      </c>
      <c r="J476" s="378">
        <f ca="1">IF($A476="S",IF(CAIXA.Modo,BM.AFAnterior,BM.MEDAnterior),IF(AND(RegimeExecucao="Global",$I476&gt;0,COUNTIF($AB$13:$AM$13,BM.medicao-1)&gt;0),M476/$I476*100,0))</f>
        <v>0</v>
      </c>
      <c r="K476" s="124">
        <f t="shared" ca="1" si="46"/>
        <v>0</v>
      </c>
      <c r="L476" s="379">
        <f ca="1">IF($A476="S",IF(CAIXA.Modo,BM.AFAcumulado,BM.MEDAcumulado),IF(AND(RegimeExecucao="Global",$I476&gt;0,COUNTIF($AB$13:$AM$13,BM.medicao)&gt;0),O476/$I476*100,0))</f>
        <v>0</v>
      </c>
      <c r="M476" s="380">
        <f ca="1">IF($A476="S",VTOTALBM,IF($A476=0,0,ROUND(SomaAgrupBM,15-13*ORÇAMENTO!$AF$11)))</f>
        <v>0</v>
      </c>
      <c r="N476" s="381">
        <f t="shared" ca="1" si="47"/>
        <v>0</v>
      </c>
      <c r="O476" s="127">
        <f ca="1">IF($A476="S",VTOTALBM,IF($A476=0,0,ROUND(SomaAgrupBM,15-13*ORÇAMENTO!$AF$11)))</f>
        <v>0</v>
      </c>
      <c r="Q476" s="382"/>
      <c r="R476" s="383"/>
      <c r="T476" s="119" t="str">
        <f t="shared" ca="1" si="48"/>
        <v/>
      </c>
      <c r="U476" s="172" t="str">
        <f t="shared" ca="1" si="49"/>
        <v/>
      </c>
      <c r="V476" s="173" t="str">
        <f ca="1">IF(AND($W476&gt;0,RegimeExecucao="Unitário"),$F476,"")</f>
        <v/>
      </c>
      <c r="W476" s="547">
        <f ca="1">IF($Y476&gt;0,CHOOSE(MATCH(RegimeExecucao,{"Unitário","Global"},0),IF($A476="S",$Y476/$X476,""),($Y476/$X476)*100),0)</f>
        <v>0</v>
      </c>
      <c r="X476" s="384" t="str">
        <f ca="1">IF($Y476&gt;0,CHOOSE(MATCH(RegimeExecucao,{"Unitário","Global"},0),IF($A476="S",ROUND($H476,ORÇAMENTO!$AF$10),""),ROUND($I476,ORÇAMENTO!$AF$11)),"")</f>
        <v/>
      </c>
      <c r="Y476" s="384">
        <f t="shared" ca="1" si="50"/>
        <v>0</v>
      </c>
      <c r="Z476" s="572"/>
      <c r="AB476" s="382"/>
      <c r="AC476" s="516"/>
      <c r="AD476" s="516"/>
      <c r="AE476" s="516"/>
      <c r="AF476" s="516"/>
      <c r="AG476" s="516"/>
      <c r="AH476" s="516"/>
      <c r="AI476" s="516"/>
      <c r="AJ476" s="516"/>
      <c r="AK476" s="516"/>
      <c r="AL476" s="516"/>
      <c r="AM476" s="383"/>
      <c r="AO476">
        <f ca="1">IF($A476="S",IF(BM!$I476=0,0,CHOOSE(MATCH(RegimeExecucao,{"Global","Unitário"},0),ROUND(ROUND(BM.MEDAcumulado,15-13*BM!$A$9)/100*BM!$I476,15-13*ORÇAMENTO!$AF$11),ROUND(ROUND(BM.MEDAcumulado,15-13*BM!$A$9)*ROUND(BM!$H476,15-13*ORÇAMENTO!$AF$10),15-13*ORÇAMENTO!$AF$11))),IF($A476=0,0,ROUND(SomaAgrupBM,15-13*ORÇAMENTO!$AF$11)))</f>
        <v>0</v>
      </c>
    </row>
    <row r="477" spans="1:41" x14ac:dyDescent="0.2">
      <c r="A477" t="str">
        <f ca="1">ORÇAMENTO!C477</f>
        <v>S</v>
      </c>
      <c r="B477">
        <f ca="1">ORÇAMENTO!D477</f>
        <v>0</v>
      </c>
      <c r="C477" s="116" t="str">
        <f t="shared" ca="1" si="44"/>
        <v/>
      </c>
      <c r="D477" s="119" t="str">
        <f ca="1">ORÇAMENTO!O477</f>
        <v>-</v>
      </c>
      <c r="E477" s="172" t="str">
        <f t="shared" ca="1" si="45"/>
        <v>(abra o arquivo 'Referência 06-2024.xlsm)</v>
      </c>
      <c r="F477" s="173" t="str">
        <f ca="1">IF(RegimeExecucao="Global","",ORÇAMENTO.Unidade)</f>
        <v/>
      </c>
      <c r="G477" s="124" t="str">
        <f ca="1">IF(RegimeExecucao="Global","",ORÇAMENTO!T477)</f>
        <v/>
      </c>
      <c r="H477" s="124" t="str">
        <f ca="1">IF(RegimeExecucao="Global","",ORÇAMENTO!W477)</f>
        <v/>
      </c>
      <c r="I477" s="127">
        <f ca="1">ORÇAMENTO!X477</f>
        <v>0</v>
      </c>
      <c r="J477" s="378">
        <f ca="1">IF($A477="S",IF(CAIXA.Modo,BM.AFAnterior,BM.MEDAnterior),IF(AND(RegimeExecucao="Global",$I477&gt;0,COUNTIF($AB$13:$AM$13,BM.medicao-1)&gt;0),M477/$I477*100,0))</f>
        <v>0</v>
      </c>
      <c r="K477" s="124">
        <f t="shared" ca="1" si="46"/>
        <v>0</v>
      </c>
      <c r="L477" s="379">
        <f ca="1">IF($A477="S",IF(CAIXA.Modo,BM.AFAcumulado,BM.MEDAcumulado),IF(AND(RegimeExecucao="Global",$I477&gt;0,COUNTIF($AB$13:$AM$13,BM.medicao)&gt;0),O477/$I477*100,0))</f>
        <v>0</v>
      </c>
      <c r="M477" s="380">
        <f ca="1">IF($A477="S",VTOTALBM,IF($A477=0,0,ROUND(SomaAgrupBM,15-13*ORÇAMENTO!$AF$11)))</f>
        <v>0</v>
      </c>
      <c r="N477" s="381">
        <f t="shared" ca="1" si="47"/>
        <v>0</v>
      </c>
      <c r="O477" s="127">
        <f ca="1">IF($A477="S",VTOTALBM,IF($A477=0,0,ROUND(SomaAgrupBM,15-13*ORÇAMENTO!$AF$11)))</f>
        <v>0</v>
      </c>
      <c r="Q477" s="382"/>
      <c r="R477" s="383"/>
      <c r="T477" s="119" t="str">
        <f t="shared" ca="1" si="48"/>
        <v/>
      </c>
      <c r="U477" s="172" t="str">
        <f t="shared" ca="1" si="49"/>
        <v/>
      </c>
      <c r="V477" s="173" t="str">
        <f ca="1">IF(AND($W477&gt;0,RegimeExecucao="Unitário"),$F477,"")</f>
        <v/>
      </c>
      <c r="W477" s="547">
        <f ca="1">IF($Y477&gt;0,CHOOSE(MATCH(RegimeExecucao,{"Unitário","Global"},0),IF($A477="S",$Y477/$X477,""),($Y477/$X477)*100),0)</f>
        <v>0</v>
      </c>
      <c r="X477" s="384" t="str">
        <f ca="1">IF($Y477&gt;0,CHOOSE(MATCH(RegimeExecucao,{"Unitário","Global"},0),IF($A477="S",ROUND($H477,ORÇAMENTO!$AF$10),""),ROUND($I477,ORÇAMENTO!$AF$11)),"")</f>
        <v/>
      </c>
      <c r="Y477" s="384">
        <f t="shared" ca="1" si="50"/>
        <v>0</v>
      </c>
      <c r="Z477" s="572"/>
      <c r="AB477" s="382"/>
      <c r="AC477" s="516"/>
      <c r="AD477" s="516"/>
      <c r="AE477" s="516"/>
      <c r="AF477" s="516"/>
      <c r="AG477" s="516"/>
      <c r="AH477" s="516"/>
      <c r="AI477" s="516"/>
      <c r="AJ477" s="516"/>
      <c r="AK477" s="516"/>
      <c r="AL477" s="516"/>
      <c r="AM477" s="383"/>
      <c r="AO477">
        <f ca="1">IF($A477="S",IF(BM!$I477=0,0,CHOOSE(MATCH(RegimeExecucao,{"Global","Unitário"},0),ROUND(ROUND(BM.MEDAcumulado,15-13*BM!$A$9)/100*BM!$I477,15-13*ORÇAMENTO!$AF$11),ROUND(ROUND(BM.MEDAcumulado,15-13*BM!$A$9)*ROUND(BM!$H477,15-13*ORÇAMENTO!$AF$10),15-13*ORÇAMENTO!$AF$11))),IF($A477=0,0,ROUND(SomaAgrupBM,15-13*ORÇAMENTO!$AF$11)))</f>
        <v>0</v>
      </c>
    </row>
    <row r="478" spans="1:41" ht="25.5" x14ac:dyDescent="0.2">
      <c r="A478" t="str">
        <f ca="1">ORÇAMENTO!C478</f>
        <v>S</v>
      </c>
      <c r="B478">
        <f ca="1">ORÇAMENTO!D478</f>
        <v>0</v>
      </c>
      <c r="C478" s="116" t="str">
        <f t="shared" ca="1" si="44"/>
        <v/>
      </c>
      <c r="D478" s="119" t="str">
        <f ca="1">ORÇAMENTO!O478</f>
        <v>-</v>
      </c>
      <c r="E478" s="172" t="str">
        <f t="shared" ca="1" si="45"/>
        <v>(abra o arquivo 'Referência 06-2024.xlsm)</v>
      </c>
      <c r="F478" s="173" t="str">
        <f ca="1">IF(RegimeExecucao="Global","",ORÇAMENTO.Unidade)</f>
        <v/>
      </c>
      <c r="G478" s="124" t="str">
        <f ca="1">IF(RegimeExecucao="Global","",ORÇAMENTO!T478)</f>
        <v/>
      </c>
      <c r="H478" s="124" t="str">
        <f ca="1">IF(RegimeExecucao="Global","",ORÇAMENTO!W478)</f>
        <v/>
      </c>
      <c r="I478" s="127">
        <f ca="1">ORÇAMENTO!X478</f>
        <v>0</v>
      </c>
      <c r="J478" s="378">
        <f ca="1">IF($A478="S",IF(CAIXA.Modo,BM.AFAnterior,BM.MEDAnterior),IF(AND(RegimeExecucao="Global",$I478&gt;0,COUNTIF($AB$13:$AM$13,BM.medicao-1)&gt;0),M478/$I478*100,0))</f>
        <v>0</v>
      </c>
      <c r="K478" s="124">
        <f t="shared" ca="1" si="46"/>
        <v>0</v>
      </c>
      <c r="L478" s="379">
        <f ca="1">IF($A478="S",IF(CAIXA.Modo,BM.AFAcumulado,BM.MEDAcumulado),IF(AND(RegimeExecucao="Global",$I478&gt;0,COUNTIF($AB$13:$AM$13,BM.medicao)&gt;0),O478/$I478*100,0))</f>
        <v>0</v>
      </c>
      <c r="M478" s="380">
        <f ca="1">IF($A478="S",VTOTALBM,IF($A478=0,0,ROUND(SomaAgrupBM,15-13*ORÇAMENTO!$AF$11)))</f>
        <v>0</v>
      </c>
      <c r="N478" s="381">
        <f t="shared" ca="1" si="47"/>
        <v>0</v>
      </c>
      <c r="O478" s="127">
        <f ca="1">IF($A478="S",VTOTALBM,IF($A478=0,0,ROUND(SomaAgrupBM,15-13*ORÇAMENTO!$AF$11)))</f>
        <v>0</v>
      </c>
      <c r="Q478" s="382"/>
      <c r="R478" s="383"/>
      <c r="T478" s="119" t="str">
        <f t="shared" ca="1" si="48"/>
        <v/>
      </c>
      <c r="U478" s="172" t="str">
        <f t="shared" ca="1" si="49"/>
        <v/>
      </c>
      <c r="V478" s="173" t="str">
        <f ca="1">IF(AND($W478&gt;0,RegimeExecucao="Unitário"),$F478,"")</f>
        <v/>
      </c>
      <c r="W478" s="547">
        <f ca="1">IF($Y478&gt;0,CHOOSE(MATCH(RegimeExecucao,{"Unitário","Global"},0),IF($A478="S",$Y478/$X478,""),($Y478/$X478)*100),0)</f>
        <v>0</v>
      </c>
      <c r="X478" s="384" t="str">
        <f ca="1">IF($Y478&gt;0,CHOOSE(MATCH(RegimeExecucao,{"Unitário","Global"},0),IF($A478="S",ROUND($H478,ORÇAMENTO!$AF$10),""),ROUND($I478,ORÇAMENTO!$AF$11)),"")</f>
        <v/>
      </c>
      <c r="Y478" s="384">
        <f t="shared" ca="1" si="50"/>
        <v>0</v>
      </c>
      <c r="Z478" s="572"/>
      <c r="AB478" s="382"/>
      <c r="AC478" s="516"/>
      <c r="AD478" s="516"/>
      <c r="AE478" s="516"/>
      <c r="AF478" s="516"/>
      <c r="AG478" s="516"/>
      <c r="AH478" s="516"/>
      <c r="AI478" s="516"/>
      <c r="AJ478" s="516"/>
      <c r="AK478" s="516"/>
      <c r="AL478" s="516"/>
      <c r="AM478" s="383"/>
      <c r="AO478">
        <f ca="1">IF($A478="S",IF(BM!$I478=0,0,CHOOSE(MATCH(RegimeExecucao,{"Global","Unitário"},0),ROUND(ROUND(BM.MEDAcumulado,15-13*BM!$A$9)/100*BM!$I478,15-13*ORÇAMENTO!$AF$11),ROUND(ROUND(BM.MEDAcumulado,15-13*BM!$A$9)*ROUND(BM!$H478,15-13*ORÇAMENTO!$AF$10),15-13*ORÇAMENTO!$AF$11))),IF($A478=0,0,ROUND(SomaAgrupBM,15-13*ORÇAMENTO!$AF$11)))</f>
        <v>0</v>
      </c>
    </row>
    <row r="479" spans="1:41" x14ac:dyDescent="0.2">
      <c r="A479">
        <f ca="1">ORÇAMENTO!C479</f>
        <v>2</v>
      </c>
      <c r="B479">
        <f ca="1">ORÇAMENTO!D479</f>
        <v>11</v>
      </c>
      <c r="C479" s="116" t="str">
        <f t="shared" ca="1" si="44"/>
        <v>F</v>
      </c>
      <c r="D479" s="119" t="str">
        <f ca="1">ORÇAMENTO!O479</f>
        <v>1.51.</v>
      </c>
      <c r="E479" s="172" t="str">
        <f t="shared" si="45"/>
        <v>INSTALAÇÃO ELÉTRICA 110V - ACESSÓRIOS PARA ELETRODUTOS</v>
      </c>
      <c r="F479" s="173" t="str">
        <f ca="1">IF(RegimeExecucao="Global","",ORÇAMENTO.Unidade)</f>
        <v/>
      </c>
      <c r="G479" s="124" t="str">
        <f ca="1">IF(RegimeExecucao="Global","",ORÇAMENTO!T479)</f>
        <v/>
      </c>
      <c r="H479" s="124" t="str">
        <f ca="1">IF(RegimeExecucao="Global","",ORÇAMENTO!W479)</f>
        <v/>
      </c>
      <c r="I479" s="127">
        <f ca="1">ORÇAMENTO!X479</f>
        <v>0</v>
      </c>
      <c r="J479" s="378">
        <f ca="1">IF($A479="S",IF(CAIXA.Modo,BM.AFAnterior,BM.MEDAnterior),IF(AND(RegimeExecucao="Global",$I479&gt;0,COUNTIF($AB$13:$AM$13,BM.medicao-1)&gt;0),M479/$I479*100,0))</f>
        <v>0</v>
      </c>
      <c r="K479" s="124">
        <f t="shared" ca="1" si="46"/>
        <v>0</v>
      </c>
      <c r="L479" s="379">
        <f ca="1">IF($A479="S",IF(CAIXA.Modo,BM.AFAcumulado,BM.MEDAcumulado),IF(AND(RegimeExecucao="Global",$I479&gt;0,COUNTIF($AB$13:$AM$13,BM.medicao)&gt;0),O479/$I479*100,0))</f>
        <v>0</v>
      </c>
      <c r="M479" s="380">
        <f ca="1">IF($A479="S",VTOTALBM,IF($A479=0,0,ROUND(SomaAgrupBM,15-13*ORÇAMENTO!$AF$11)))</f>
        <v>0</v>
      </c>
      <c r="N479" s="381">
        <f t="shared" ca="1" si="47"/>
        <v>0</v>
      </c>
      <c r="O479" s="127">
        <f ca="1">IF($A479="S",VTOTALBM,IF($A479=0,0,ROUND(SomaAgrupBM,15-13*ORÇAMENTO!$AF$11)))</f>
        <v>0</v>
      </c>
      <c r="Q479" s="382"/>
      <c r="R479" s="383"/>
      <c r="T479" s="119" t="str">
        <f t="shared" ca="1" si="48"/>
        <v/>
      </c>
      <c r="U479" s="172" t="str">
        <f t="shared" ca="1" si="49"/>
        <v/>
      </c>
      <c r="V479" s="173" t="str">
        <f ca="1">IF(AND($W479&gt;0,RegimeExecucao="Unitário"),$F479,"")</f>
        <v/>
      </c>
      <c r="W479" s="547">
        <f ca="1">IF($Y479&gt;0,CHOOSE(MATCH(RegimeExecucao,{"Unitário","Global"},0),IF($A479="S",$Y479/$X479,""),($Y479/$X479)*100),0)</f>
        <v>0</v>
      </c>
      <c r="X479" s="384" t="str">
        <f ca="1">IF($Y479&gt;0,CHOOSE(MATCH(RegimeExecucao,{"Unitário","Global"},0),IF($A479="S",ROUND($H479,ORÇAMENTO!$AF$10),""),ROUND($I479,ORÇAMENTO!$AF$11)),"")</f>
        <v/>
      </c>
      <c r="Y479" s="384">
        <f t="shared" ca="1" si="50"/>
        <v>0</v>
      </c>
      <c r="Z479" s="572"/>
      <c r="AB479" s="382"/>
      <c r="AC479" s="516"/>
      <c r="AD479" s="516"/>
      <c r="AE479" s="516"/>
      <c r="AF479" s="516"/>
      <c r="AG479" s="516"/>
      <c r="AH479" s="516"/>
      <c r="AI479" s="516"/>
      <c r="AJ479" s="516"/>
      <c r="AK479" s="516"/>
      <c r="AL479" s="516"/>
      <c r="AM479" s="383"/>
      <c r="AO479">
        <f ca="1">IF($A479="S",IF(BM!$I479=0,0,CHOOSE(MATCH(RegimeExecucao,{"Global","Unitário"},0),ROUND(ROUND(BM.MEDAcumulado,15-13*BM!$A$9)/100*BM!$I479,15-13*ORÇAMENTO!$AF$11),ROUND(ROUND(BM.MEDAcumulado,15-13*BM!$A$9)*ROUND(BM!$H479,15-13*ORÇAMENTO!$AF$10),15-13*ORÇAMENTO!$AF$11))),IF($A479=0,0,ROUND(SomaAgrupBM,15-13*ORÇAMENTO!$AF$11)))</f>
        <v>0</v>
      </c>
    </row>
    <row r="480" spans="1:41" x14ac:dyDescent="0.2">
      <c r="A480" t="str">
        <f ca="1">ORÇAMENTO!C480</f>
        <v>S</v>
      </c>
      <c r="B480">
        <f ca="1">ORÇAMENTO!D480</f>
        <v>0</v>
      </c>
      <c r="C480" s="116" t="str">
        <f t="shared" ca="1" si="44"/>
        <v/>
      </c>
      <c r="D480" s="119" t="str">
        <f ca="1">ORÇAMENTO!O480</f>
        <v>-</v>
      </c>
      <c r="E480" s="172" t="str">
        <f t="shared" ca="1" si="45"/>
        <v>(abra o arquivo 'Referência 06-2024.xlsm)</v>
      </c>
      <c r="F480" s="173" t="str">
        <f ca="1">IF(RegimeExecucao="Global","",ORÇAMENTO.Unidade)</f>
        <v/>
      </c>
      <c r="G480" s="124" t="str">
        <f ca="1">IF(RegimeExecucao="Global","",ORÇAMENTO!T480)</f>
        <v/>
      </c>
      <c r="H480" s="124" t="str">
        <f ca="1">IF(RegimeExecucao="Global","",ORÇAMENTO!W480)</f>
        <v/>
      </c>
      <c r="I480" s="127">
        <f ca="1">ORÇAMENTO!X480</f>
        <v>0</v>
      </c>
      <c r="J480" s="378">
        <f ca="1">IF($A480="S",IF(CAIXA.Modo,BM.AFAnterior,BM.MEDAnterior),IF(AND(RegimeExecucao="Global",$I480&gt;0,COUNTIF($AB$13:$AM$13,BM.medicao-1)&gt;0),M480/$I480*100,0))</f>
        <v>0</v>
      </c>
      <c r="K480" s="124">
        <f t="shared" ca="1" si="46"/>
        <v>0</v>
      </c>
      <c r="L480" s="379">
        <f ca="1">IF($A480="S",IF(CAIXA.Modo,BM.AFAcumulado,BM.MEDAcumulado),IF(AND(RegimeExecucao="Global",$I480&gt;0,COUNTIF($AB$13:$AM$13,BM.medicao)&gt;0),O480/$I480*100,0))</f>
        <v>0</v>
      </c>
      <c r="M480" s="380">
        <f ca="1">IF($A480="S",VTOTALBM,IF($A480=0,0,ROUND(SomaAgrupBM,15-13*ORÇAMENTO!$AF$11)))</f>
        <v>0</v>
      </c>
      <c r="N480" s="381">
        <f t="shared" ca="1" si="47"/>
        <v>0</v>
      </c>
      <c r="O480" s="127">
        <f ca="1">IF($A480="S",VTOTALBM,IF($A480=0,0,ROUND(SomaAgrupBM,15-13*ORÇAMENTO!$AF$11)))</f>
        <v>0</v>
      </c>
      <c r="Q480" s="382"/>
      <c r="R480" s="383"/>
      <c r="T480" s="119" t="str">
        <f t="shared" ca="1" si="48"/>
        <v/>
      </c>
      <c r="U480" s="172" t="str">
        <f t="shared" ca="1" si="49"/>
        <v/>
      </c>
      <c r="V480" s="173" t="str">
        <f ca="1">IF(AND($W480&gt;0,RegimeExecucao="Unitário"),$F480,"")</f>
        <v/>
      </c>
      <c r="W480" s="547">
        <f ca="1">IF($Y480&gt;0,CHOOSE(MATCH(RegimeExecucao,{"Unitário","Global"},0),IF($A480="S",$Y480/$X480,""),($Y480/$X480)*100),0)</f>
        <v>0</v>
      </c>
      <c r="X480" s="384" t="str">
        <f ca="1">IF($Y480&gt;0,CHOOSE(MATCH(RegimeExecucao,{"Unitário","Global"},0),IF($A480="S",ROUND($H480,ORÇAMENTO!$AF$10),""),ROUND($I480,ORÇAMENTO!$AF$11)),"")</f>
        <v/>
      </c>
      <c r="Y480" s="384">
        <f t="shared" ca="1" si="50"/>
        <v>0</v>
      </c>
      <c r="Z480" s="572"/>
      <c r="AB480" s="382"/>
      <c r="AC480" s="516"/>
      <c r="AD480" s="516"/>
      <c r="AE480" s="516"/>
      <c r="AF480" s="516"/>
      <c r="AG480" s="516"/>
      <c r="AH480" s="516"/>
      <c r="AI480" s="516"/>
      <c r="AJ480" s="516"/>
      <c r="AK480" s="516"/>
      <c r="AL480" s="516"/>
      <c r="AM480" s="383"/>
      <c r="AO480">
        <f ca="1">IF($A480="S",IF(BM!$I480=0,0,CHOOSE(MATCH(RegimeExecucao,{"Global","Unitário"},0),ROUND(ROUND(BM.MEDAcumulado,15-13*BM!$A$9)/100*BM!$I480,15-13*ORÇAMENTO!$AF$11),ROUND(ROUND(BM.MEDAcumulado,15-13*BM!$A$9)*ROUND(BM!$H480,15-13*ORÇAMENTO!$AF$10),15-13*ORÇAMENTO!$AF$11))),IF($A480=0,0,ROUND(SomaAgrupBM,15-13*ORÇAMENTO!$AF$11)))</f>
        <v>0</v>
      </c>
    </row>
    <row r="481" spans="1:41" x14ac:dyDescent="0.2">
      <c r="A481" t="str">
        <f ca="1">ORÇAMENTO!C481</f>
        <v>S</v>
      </c>
      <c r="B481">
        <f ca="1">ORÇAMENTO!D481</f>
        <v>0</v>
      </c>
      <c r="C481" s="116" t="str">
        <f t="shared" ca="1" si="44"/>
        <v/>
      </c>
      <c r="D481" s="119" t="str">
        <f ca="1">ORÇAMENTO!O481</f>
        <v>-</v>
      </c>
      <c r="E481" s="172" t="str">
        <f t="shared" ca="1" si="45"/>
        <v>(abra o arquivo 'Referência 06-2024.xlsm)</v>
      </c>
      <c r="F481" s="173" t="str">
        <f ca="1">IF(RegimeExecucao="Global","",ORÇAMENTO.Unidade)</f>
        <v/>
      </c>
      <c r="G481" s="124" t="str">
        <f ca="1">IF(RegimeExecucao="Global","",ORÇAMENTO!T481)</f>
        <v/>
      </c>
      <c r="H481" s="124" t="str">
        <f ca="1">IF(RegimeExecucao="Global","",ORÇAMENTO!W481)</f>
        <v/>
      </c>
      <c r="I481" s="127">
        <f ca="1">ORÇAMENTO!X481</f>
        <v>0</v>
      </c>
      <c r="J481" s="378">
        <f ca="1">IF($A481="S",IF(CAIXA.Modo,BM.AFAnterior,BM.MEDAnterior),IF(AND(RegimeExecucao="Global",$I481&gt;0,COUNTIF($AB$13:$AM$13,BM.medicao-1)&gt;0),M481/$I481*100,0))</f>
        <v>0</v>
      </c>
      <c r="K481" s="124">
        <f t="shared" ca="1" si="46"/>
        <v>0</v>
      </c>
      <c r="L481" s="379">
        <f ca="1">IF($A481="S",IF(CAIXA.Modo,BM.AFAcumulado,BM.MEDAcumulado),IF(AND(RegimeExecucao="Global",$I481&gt;0,COUNTIF($AB$13:$AM$13,BM.medicao)&gt;0),O481/$I481*100,0))</f>
        <v>0</v>
      </c>
      <c r="M481" s="380">
        <f ca="1">IF($A481="S",VTOTALBM,IF($A481=0,0,ROUND(SomaAgrupBM,15-13*ORÇAMENTO!$AF$11)))</f>
        <v>0</v>
      </c>
      <c r="N481" s="381">
        <f t="shared" ca="1" si="47"/>
        <v>0</v>
      </c>
      <c r="O481" s="127">
        <f ca="1">IF($A481="S",VTOTALBM,IF($A481=0,0,ROUND(SomaAgrupBM,15-13*ORÇAMENTO!$AF$11)))</f>
        <v>0</v>
      </c>
      <c r="Q481" s="382"/>
      <c r="R481" s="383"/>
      <c r="T481" s="119" t="str">
        <f t="shared" ca="1" si="48"/>
        <v/>
      </c>
      <c r="U481" s="172" t="str">
        <f t="shared" ca="1" si="49"/>
        <v/>
      </c>
      <c r="V481" s="173" t="str">
        <f ca="1">IF(AND($W481&gt;0,RegimeExecucao="Unitário"),$F481,"")</f>
        <v/>
      </c>
      <c r="W481" s="547">
        <f ca="1">IF($Y481&gt;0,CHOOSE(MATCH(RegimeExecucao,{"Unitário","Global"},0),IF($A481="S",$Y481/$X481,""),($Y481/$X481)*100),0)</f>
        <v>0</v>
      </c>
      <c r="X481" s="384" t="str">
        <f ca="1">IF($Y481&gt;0,CHOOSE(MATCH(RegimeExecucao,{"Unitário","Global"},0),IF($A481="S",ROUND($H481,ORÇAMENTO!$AF$10),""),ROUND($I481,ORÇAMENTO!$AF$11)),"")</f>
        <v/>
      </c>
      <c r="Y481" s="384">
        <f t="shared" ca="1" si="50"/>
        <v>0</v>
      </c>
      <c r="Z481" s="572"/>
      <c r="AB481" s="382"/>
      <c r="AC481" s="516"/>
      <c r="AD481" s="516"/>
      <c r="AE481" s="516"/>
      <c r="AF481" s="516"/>
      <c r="AG481" s="516"/>
      <c r="AH481" s="516"/>
      <c r="AI481" s="516"/>
      <c r="AJ481" s="516"/>
      <c r="AK481" s="516"/>
      <c r="AL481" s="516"/>
      <c r="AM481" s="383"/>
      <c r="AO481">
        <f ca="1">IF($A481="S",IF(BM!$I481=0,0,CHOOSE(MATCH(RegimeExecucao,{"Global","Unitário"},0),ROUND(ROUND(BM.MEDAcumulado,15-13*BM!$A$9)/100*BM!$I481,15-13*ORÇAMENTO!$AF$11),ROUND(ROUND(BM.MEDAcumulado,15-13*BM!$A$9)*ROUND(BM!$H481,15-13*ORÇAMENTO!$AF$10),15-13*ORÇAMENTO!$AF$11))),IF($A481=0,0,ROUND(SomaAgrupBM,15-13*ORÇAMENTO!$AF$11)))</f>
        <v>0</v>
      </c>
    </row>
    <row r="482" spans="1:41" ht="38.25" x14ac:dyDescent="0.2">
      <c r="A482" t="str">
        <f ca="1">ORÇAMENTO!C482</f>
        <v>S</v>
      </c>
      <c r="B482">
        <f ca="1">ORÇAMENTO!D482</f>
        <v>0</v>
      </c>
      <c r="C482" s="116" t="str">
        <f t="shared" ca="1" si="44"/>
        <v/>
      </c>
      <c r="D482" s="119" t="str">
        <f ca="1">ORÇAMENTO!O482</f>
        <v>-</v>
      </c>
      <c r="E482" s="172" t="str">
        <f t="shared" ca="1" si="45"/>
        <v>(abra o arquivo 'Referência 06-2024.xlsm)</v>
      </c>
      <c r="F482" s="173" t="str">
        <f ca="1">IF(RegimeExecucao="Global","",ORÇAMENTO.Unidade)</f>
        <v/>
      </c>
      <c r="G482" s="124" t="str">
        <f ca="1">IF(RegimeExecucao="Global","",ORÇAMENTO!T482)</f>
        <v/>
      </c>
      <c r="H482" s="124" t="str">
        <f ca="1">IF(RegimeExecucao="Global","",ORÇAMENTO!W482)</f>
        <v/>
      </c>
      <c r="I482" s="127">
        <f ca="1">ORÇAMENTO!X482</f>
        <v>0</v>
      </c>
      <c r="J482" s="378">
        <f ca="1">IF($A482="S",IF(CAIXA.Modo,BM.AFAnterior,BM.MEDAnterior),IF(AND(RegimeExecucao="Global",$I482&gt;0,COUNTIF($AB$13:$AM$13,BM.medicao-1)&gt;0),M482/$I482*100,0))</f>
        <v>0</v>
      </c>
      <c r="K482" s="124">
        <f t="shared" ca="1" si="46"/>
        <v>0</v>
      </c>
      <c r="L482" s="379">
        <f ca="1">IF($A482="S",IF(CAIXA.Modo,BM.AFAcumulado,BM.MEDAcumulado),IF(AND(RegimeExecucao="Global",$I482&gt;0,COUNTIF($AB$13:$AM$13,BM.medicao)&gt;0),O482/$I482*100,0))</f>
        <v>0</v>
      </c>
      <c r="M482" s="380">
        <f ca="1">IF($A482="S",VTOTALBM,IF($A482=0,0,ROUND(SomaAgrupBM,15-13*ORÇAMENTO!$AF$11)))</f>
        <v>0</v>
      </c>
      <c r="N482" s="381">
        <f t="shared" ca="1" si="47"/>
        <v>0</v>
      </c>
      <c r="O482" s="127">
        <f ca="1">IF($A482="S",VTOTALBM,IF($A482=0,0,ROUND(SomaAgrupBM,15-13*ORÇAMENTO!$AF$11)))</f>
        <v>0</v>
      </c>
      <c r="Q482" s="382"/>
      <c r="R482" s="383"/>
      <c r="T482" s="119" t="str">
        <f t="shared" ca="1" si="48"/>
        <v/>
      </c>
      <c r="U482" s="172" t="str">
        <f t="shared" ca="1" si="49"/>
        <v/>
      </c>
      <c r="V482" s="173" t="str">
        <f ca="1">IF(AND($W482&gt;0,RegimeExecucao="Unitário"),$F482,"")</f>
        <v/>
      </c>
      <c r="W482" s="547">
        <f ca="1">IF($Y482&gt;0,CHOOSE(MATCH(RegimeExecucao,{"Unitário","Global"},0),IF($A482="S",$Y482/$X482,""),($Y482/$X482)*100),0)</f>
        <v>0</v>
      </c>
      <c r="X482" s="384" t="str">
        <f ca="1">IF($Y482&gt;0,CHOOSE(MATCH(RegimeExecucao,{"Unitário","Global"},0),IF($A482="S",ROUND($H482,ORÇAMENTO!$AF$10),""),ROUND($I482,ORÇAMENTO!$AF$11)),"")</f>
        <v/>
      </c>
      <c r="Y482" s="384">
        <f t="shared" ca="1" si="50"/>
        <v>0</v>
      </c>
      <c r="Z482" s="572"/>
      <c r="AB482" s="382"/>
      <c r="AC482" s="516"/>
      <c r="AD482" s="516"/>
      <c r="AE482" s="516"/>
      <c r="AF482" s="516"/>
      <c r="AG482" s="516"/>
      <c r="AH482" s="516"/>
      <c r="AI482" s="516"/>
      <c r="AJ482" s="516"/>
      <c r="AK482" s="516"/>
      <c r="AL482" s="516"/>
      <c r="AM482" s="383"/>
      <c r="AO482">
        <f ca="1">IF($A482="S",IF(BM!$I482=0,0,CHOOSE(MATCH(RegimeExecucao,{"Global","Unitário"},0),ROUND(ROUND(BM.MEDAcumulado,15-13*BM!$A$9)/100*BM!$I482,15-13*ORÇAMENTO!$AF$11),ROUND(ROUND(BM.MEDAcumulado,15-13*BM!$A$9)*ROUND(BM!$H482,15-13*ORÇAMENTO!$AF$10),15-13*ORÇAMENTO!$AF$11))),IF($A482=0,0,ROUND(SomaAgrupBM,15-13*ORÇAMENTO!$AF$11)))</f>
        <v>0</v>
      </c>
    </row>
    <row r="483" spans="1:41" ht="25.5" x14ac:dyDescent="0.2">
      <c r="A483" t="str">
        <f ca="1">ORÇAMENTO!C483</f>
        <v>S</v>
      </c>
      <c r="B483">
        <f ca="1">ORÇAMENTO!D483</f>
        <v>0</v>
      </c>
      <c r="C483" s="116" t="str">
        <f t="shared" ca="1" si="44"/>
        <v/>
      </c>
      <c r="D483" s="119" t="str">
        <f ca="1">ORÇAMENTO!O483</f>
        <v>-</v>
      </c>
      <c r="E483" s="172" t="str">
        <f t="shared" ca="1" si="45"/>
        <v>(abra o arquivo 'Referência 06-2024.xlsm)</v>
      </c>
      <c r="F483" s="173" t="str">
        <f ca="1">IF(RegimeExecucao="Global","",ORÇAMENTO.Unidade)</f>
        <v/>
      </c>
      <c r="G483" s="124" t="str">
        <f ca="1">IF(RegimeExecucao="Global","",ORÇAMENTO!T483)</f>
        <v/>
      </c>
      <c r="H483" s="124" t="str">
        <f ca="1">IF(RegimeExecucao="Global","",ORÇAMENTO!W483)</f>
        <v/>
      </c>
      <c r="I483" s="127">
        <f ca="1">ORÇAMENTO!X483</f>
        <v>0</v>
      </c>
      <c r="J483" s="378">
        <f ca="1">IF($A483="S",IF(CAIXA.Modo,BM.AFAnterior,BM.MEDAnterior),IF(AND(RegimeExecucao="Global",$I483&gt;0,COUNTIF($AB$13:$AM$13,BM.medicao-1)&gt;0),M483/$I483*100,0))</f>
        <v>0</v>
      </c>
      <c r="K483" s="124">
        <f t="shared" ca="1" si="46"/>
        <v>0</v>
      </c>
      <c r="L483" s="379">
        <f ca="1">IF($A483="S",IF(CAIXA.Modo,BM.AFAcumulado,BM.MEDAcumulado),IF(AND(RegimeExecucao="Global",$I483&gt;0,COUNTIF($AB$13:$AM$13,BM.medicao)&gt;0),O483/$I483*100,0))</f>
        <v>0</v>
      </c>
      <c r="M483" s="380">
        <f ca="1">IF($A483="S",VTOTALBM,IF($A483=0,0,ROUND(SomaAgrupBM,15-13*ORÇAMENTO!$AF$11)))</f>
        <v>0</v>
      </c>
      <c r="N483" s="381">
        <f t="shared" ca="1" si="47"/>
        <v>0</v>
      </c>
      <c r="O483" s="127">
        <f ca="1">IF($A483="S",VTOTALBM,IF($A483=0,0,ROUND(SomaAgrupBM,15-13*ORÇAMENTO!$AF$11)))</f>
        <v>0</v>
      </c>
      <c r="Q483" s="382"/>
      <c r="R483" s="383"/>
      <c r="T483" s="119" t="str">
        <f t="shared" ca="1" si="48"/>
        <v/>
      </c>
      <c r="U483" s="172" t="str">
        <f t="shared" ca="1" si="49"/>
        <v/>
      </c>
      <c r="V483" s="173" t="str">
        <f ca="1">IF(AND($W483&gt;0,RegimeExecucao="Unitário"),$F483,"")</f>
        <v/>
      </c>
      <c r="W483" s="547">
        <f ca="1">IF($Y483&gt;0,CHOOSE(MATCH(RegimeExecucao,{"Unitário","Global"},0),IF($A483="S",$Y483/$X483,""),($Y483/$X483)*100),0)</f>
        <v>0</v>
      </c>
      <c r="X483" s="384" t="str">
        <f ca="1">IF($Y483&gt;0,CHOOSE(MATCH(RegimeExecucao,{"Unitário","Global"},0),IF($A483="S",ROUND($H483,ORÇAMENTO!$AF$10),""),ROUND($I483,ORÇAMENTO!$AF$11)),"")</f>
        <v/>
      </c>
      <c r="Y483" s="384">
        <f t="shared" ca="1" si="50"/>
        <v>0</v>
      </c>
      <c r="Z483" s="572"/>
      <c r="AB483" s="382"/>
      <c r="AC483" s="516"/>
      <c r="AD483" s="516"/>
      <c r="AE483" s="516"/>
      <c r="AF483" s="516"/>
      <c r="AG483" s="516"/>
      <c r="AH483" s="516"/>
      <c r="AI483" s="516"/>
      <c r="AJ483" s="516"/>
      <c r="AK483" s="516"/>
      <c r="AL483" s="516"/>
      <c r="AM483" s="383"/>
      <c r="AO483">
        <f ca="1">IF($A483="S",IF(BM!$I483=0,0,CHOOSE(MATCH(RegimeExecucao,{"Global","Unitário"},0),ROUND(ROUND(BM.MEDAcumulado,15-13*BM!$A$9)/100*BM!$I483,15-13*ORÇAMENTO!$AF$11),ROUND(ROUND(BM.MEDAcumulado,15-13*BM!$A$9)*ROUND(BM!$H483,15-13*ORÇAMENTO!$AF$10),15-13*ORÇAMENTO!$AF$11))),IF($A483=0,0,ROUND(SomaAgrupBM,15-13*ORÇAMENTO!$AF$11)))</f>
        <v>0</v>
      </c>
    </row>
    <row r="484" spans="1:41" ht="38.25" x14ac:dyDescent="0.2">
      <c r="A484" t="str">
        <f ca="1">ORÇAMENTO!C484</f>
        <v>S</v>
      </c>
      <c r="B484">
        <f ca="1">ORÇAMENTO!D484</f>
        <v>0</v>
      </c>
      <c r="C484" s="116" t="str">
        <f t="shared" ca="1" si="44"/>
        <v/>
      </c>
      <c r="D484" s="119" t="str">
        <f ca="1">ORÇAMENTO!O484</f>
        <v>-</v>
      </c>
      <c r="E484" s="172" t="str">
        <f t="shared" ca="1" si="45"/>
        <v>(abra o arquivo 'Referência 06-2024.xlsm)</v>
      </c>
      <c r="F484" s="173" t="str">
        <f ca="1">IF(RegimeExecucao="Global","",ORÇAMENTO.Unidade)</f>
        <v/>
      </c>
      <c r="G484" s="124" t="str">
        <f ca="1">IF(RegimeExecucao="Global","",ORÇAMENTO!T484)</f>
        <v/>
      </c>
      <c r="H484" s="124" t="str">
        <f ca="1">IF(RegimeExecucao="Global","",ORÇAMENTO!W484)</f>
        <v/>
      </c>
      <c r="I484" s="127">
        <f ca="1">ORÇAMENTO!X484</f>
        <v>0</v>
      </c>
      <c r="J484" s="378">
        <f ca="1">IF($A484="S",IF(CAIXA.Modo,BM.AFAnterior,BM.MEDAnterior),IF(AND(RegimeExecucao="Global",$I484&gt;0,COUNTIF($AB$13:$AM$13,BM.medicao-1)&gt;0),M484/$I484*100,0))</f>
        <v>0</v>
      </c>
      <c r="K484" s="124">
        <f t="shared" ca="1" si="46"/>
        <v>0</v>
      </c>
      <c r="L484" s="379">
        <f ca="1">IF($A484="S",IF(CAIXA.Modo,BM.AFAcumulado,BM.MEDAcumulado),IF(AND(RegimeExecucao="Global",$I484&gt;0,COUNTIF($AB$13:$AM$13,BM.medicao)&gt;0),O484/$I484*100,0))</f>
        <v>0</v>
      </c>
      <c r="M484" s="380">
        <f ca="1">IF($A484="S",VTOTALBM,IF($A484=0,0,ROUND(SomaAgrupBM,15-13*ORÇAMENTO!$AF$11)))</f>
        <v>0</v>
      </c>
      <c r="N484" s="381">
        <f t="shared" ca="1" si="47"/>
        <v>0</v>
      </c>
      <c r="O484" s="127">
        <f ca="1">IF($A484="S",VTOTALBM,IF($A484=0,0,ROUND(SomaAgrupBM,15-13*ORÇAMENTO!$AF$11)))</f>
        <v>0</v>
      </c>
      <c r="Q484" s="382"/>
      <c r="R484" s="383"/>
      <c r="T484" s="119" t="str">
        <f t="shared" ca="1" si="48"/>
        <v/>
      </c>
      <c r="U484" s="172" t="str">
        <f t="shared" ca="1" si="49"/>
        <v/>
      </c>
      <c r="V484" s="173" t="str">
        <f ca="1">IF(AND($W484&gt;0,RegimeExecucao="Unitário"),$F484,"")</f>
        <v/>
      </c>
      <c r="W484" s="547">
        <f ca="1">IF($Y484&gt;0,CHOOSE(MATCH(RegimeExecucao,{"Unitário","Global"},0),IF($A484="S",$Y484/$X484,""),($Y484/$X484)*100),0)</f>
        <v>0</v>
      </c>
      <c r="X484" s="384" t="str">
        <f ca="1">IF($Y484&gt;0,CHOOSE(MATCH(RegimeExecucao,{"Unitário","Global"},0),IF($A484="S",ROUND($H484,ORÇAMENTO!$AF$10),""),ROUND($I484,ORÇAMENTO!$AF$11)),"")</f>
        <v/>
      </c>
      <c r="Y484" s="384">
        <f t="shared" ca="1" si="50"/>
        <v>0</v>
      </c>
      <c r="Z484" s="572"/>
      <c r="AB484" s="382"/>
      <c r="AC484" s="516"/>
      <c r="AD484" s="516"/>
      <c r="AE484" s="516"/>
      <c r="AF484" s="516"/>
      <c r="AG484" s="516"/>
      <c r="AH484" s="516"/>
      <c r="AI484" s="516"/>
      <c r="AJ484" s="516"/>
      <c r="AK484" s="516"/>
      <c r="AL484" s="516"/>
      <c r="AM484" s="383"/>
      <c r="AO484">
        <f ca="1">IF($A484="S",IF(BM!$I484=0,0,CHOOSE(MATCH(RegimeExecucao,{"Global","Unitário"},0),ROUND(ROUND(BM.MEDAcumulado,15-13*BM!$A$9)/100*BM!$I484,15-13*ORÇAMENTO!$AF$11),ROUND(ROUND(BM.MEDAcumulado,15-13*BM!$A$9)*ROUND(BM!$H484,15-13*ORÇAMENTO!$AF$10),15-13*ORÇAMENTO!$AF$11))),IF($A484=0,0,ROUND(SomaAgrupBM,15-13*ORÇAMENTO!$AF$11)))</f>
        <v>0</v>
      </c>
    </row>
    <row r="485" spans="1:41" ht="38.25" x14ac:dyDescent="0.2">
      <c r="A485" t="str">
        <f ca="1">ORÇAMENTO!C485</f>
        <v>S</v>
      </c>
      <c r="B485">
        <f ca="1">ORÇAMENTO!D485</f>
        <v>0</v>
      </c>
      <c r="C485" s="116" t="str">
        <f t="shared" ca="1" si="44"/>
        <v/>
      </c>
      <c r="D485" s="119" t="str">
        <f ca="1">ORÇAMENTO!O485</f>
        <v>-</v>
      </c>
      <c r="E485" s="172" t="str">
        <f t="shared" ca="1" si="45"/>
        <v>(abra o arquivo 'Referência 06-2024.xlsm)</v>
      </c>
      <c r="F485" s="173" t="str">
        <f ca="1">IF(RegimeExecucao="Global","",ORÇAMENTO.Unidade)</f>
        <v/>
      </c>
      <c r="G485" s="124" t="str">
        <f ca="1">IF(RegimeExecucao="Global","",ORÇAMENTO!T485)</f>
        <v/>
      </c>
      <c r="H485" s="124" t="str">
        <f ca="1">IF(RegimeExecucao="Global","",ORÇAMENTO!W485)</f>
        <v/>
      </c>
      <c r="I485" s="127">
        <f ca="1">ORÇAMENTO!X485</f>
        <v>0</v>
      </c>
      <c r="J485" s="378">
        <f ca="1">IF($A485="S",IF(CAIXA.Modo,BM.AFAnterior,BM.MEDAnterior),IF(AND(RegimeExecucao="Global",$I485&gt;0,COUNTIF($AB$13:$AM$13,BM.medicao-1)&gt;0),M485/$I485*100,0))</f>
        <v>0</v>
      </c>
      <c r="K485" s="124">
        <f t="shared" ca="1" si="46"/>
        <v>0</v>
      </c>
      <c r="L485" s="379">
        <f ca="1">IF($A485="S",IF(CAIXA.Modo,BM.AFAcumulado,BM.MEDAcumulado),IF(AND(RegimeExecucao="Global",$I485&gt;0,COUNTIF($AB$13:$AM$13,BM.medicao)&gt;0),O485/$I485*100,0))</f>
        <v>0</v>
      </c>
      <c r="M485" s="380">
        <f ca="1">IF($A485="S",VTOTALBM,IF($A485=0,0,ROUND(SomaAgrupBM,15-13*ORÇAMENTO!$AF$11)))</f>
        <v>0</v>
      </c>
      <c r="N485" s="381">
        <f t="shared" ca="1" si="47"/>
        <v>0</v>
      </c>
      <c r="O485" s="127">
        <f ca="1">IF($A485="S",VTOTALBM,IF($A485=0,0,ROUND(SomaAgrupBM,15-13*ORÇAMENTO!$AF$11)))</f>
        <v>0</v>
      </c>
      <c r="Q485" s="382"/>
      <c r="R485" s="383"/>
      <c r="T485" s="119" t="str">
        <f t="shared" ca="1" si="48"/>
        <v/>
      </c>
      <c r="U485" s="172" t="str">
        <f t="shared" ca="1" si="49"/>
        <v/>
      </c>
      <c r="V485" s="173" t="str">
        <f ca="1">IF(AND($W485&gt;0,RegimeExecucao="Unitário"),$F485,"")</f>
        <v/>
      </c>
      <c r="W485" s="547">
        <f ca="1">IF($Y485&gt;0,CHOOSE(MATCH(RegimeExecucao,{"Unitário","Global"},0),IF($A485="S",$Y485/$X485,""),($Y485/$X485)*100),0)</f>
        <v>0</v>
      </c>
      <c r="X485" s="384" t="str">
        <f ca="1">IF($Y485&gt;0,CHOOSE(MATCH(RegimeExecucao,{"Unitário","Global"},0),IF($A485="S",ROUND($H485,ORÇAMENTO!$AF$10),""),ROUND($I485,ORÇAMENTO!$AF$11)),"")</f>
        <v/>
      </c>
      <c r="Y485" s="384">
        <f t="shared" ca="1" si="50"/>
        <v>0</v>
      </c>
      <c r="Z485" s="572"/>
      <c r="AB485" s="382"/>
      <c r="AC485" s="516"/>
      <c r="AD485" s="516"/>
      <c r="AE485" s="516"/>
      <c r="AF485" s="516"/>
      <c r="AG485" s="516"/>
      <c r="AH485" s="516"/>
      <c r="AI485" s="516"/>
      <c r="AJ485" s="516"/>
      <c r="AK485" s="516"/>
      <c r="AL485" s="516"/>
      <c r="AM485" s="383"/>
      <c r="AO485">
        <f ca="1">IF($A485="S",IF(BM!$I485=0,0,CHOOSE(MATCH(RegimeExecucao,{"Global","Unitário"},0),ROUND(ROUND(BM.MEDAcumulado,15-13*BM!$A$9)/100*BM!$I485,15-13*ORÇAMENTO!$AF$11),ROUND(ROUND(BM.MEDAcumulado,15-13*BM!$A$9)*ROUND(BM!$H485,15-13*ORÇAMENTO!$AF$10),15-13*ORÇAMENTO!$AF$11))),IF($A485=0,0,ROUND(SomaAgrupBM,15-13*ORÇAMENTO!$AF$11)))</f>
        <v>0</v>
      </c>
    </row>
    <row r="486" spans="1:41" ht="38.25" x14ac:dyDescent="0.2">
      <c r="A486" t="str">
        <f ca="1">ORÇAMENTO!C486</f>
        <v>S</v>
      </c>
      <c r="B486">
        <f ca="1">ORÇAMENTO!D486</f>
        <v>0</v>
      </c>
      <c r="C486" s="116" t="str">
        <f t="shared" ca="1" si="44"/>
        <v/>
      </c>
      <c r="D486" s="119" t="str">
        <f ca="1">ORÇAMENTO!O486</f>
        <v>-</v>
      </c>
      <c r="E486" s="172" t="str">
        <f t="shared" ca="1" si="45"/>
        <v>(abra o arquivo 'Referência 06-2024.xlsm)</v>
      </c>
      <c r="F486" s="173" t="str">
        <f ca="1">IF(RegimeExecucao="Global","",ORÇAMENTO.Unidade)</f>
        <v/>
      </c>
      <c r="G486" s="124" t="str">
        <f ca="1">IF(RegimeExecucao="Global","",ORÇAMENTO!T486)</f>
        <v/>
      </c>
      <c r="H486" s="124" t="str">
        <f ca="1">IF(RegimeExecucao="Global","",ORÇAMENTO!W486)</f>
        <v/>
      </c>
      <c r="I486" s="127">
        <f ca="1">ORÇAMENTO!X486</f>
        <v>0</v>
      </c>
      <c r="J486" s="378">
        <f ca="1">IF($A486="S",IF(CAIXA.Modo,BM.AFAnterior,BM.MEDAnterior),IF(AND(RegimeExecucao="Global",$I486&gt;0,COUNTIF($AB$13:$AM$13,BM.medicao-1)&gt;0),M486/$I486*100,0))</f>
        <v>0</v>
      </c>
      <c r="K486" s="124">
        <f t="shared" ca="1" si="46"/>
        <v>0</v>
      </c>
      <c r="L486" s="379">
        <f ca="1">IF($A486="S",IF(CAIXA.Modo,BM.AFAcumulado,BM.MEDAcumulado),IF(AND(RegimeExecucao="Global",$I486&gt;0,COUNTIF($AB$13:$AM$13,BM.medicao)&gt;0),O486/$I486*100,0))</f>
        <v>0</v>
      </c>
      <c r="M486" s="380">
        <f ca="1">IF($A486="S",VTOTALBM,IF($A486=0,0,ROUND(SomaAgrupBM,15-13*ORÇAMENTO!$AF$11)))</f>
        <v>0</v>
      </c>
      <c r="N486" s="381">
        <f t="shared" ca="1" si="47"/>
        <v>0</v>
      </c>
      <c r="O486" s="127">
        <f ca="1">IF($A486="S",VTOTALBM,IF($A486=0,0,ROUND(SomaAgrupBM,15-13*ORÇAMENTO!$AF$11)))</f>
        <v>0</v>
      </c>
      <c r="Q486" s="382"/>
      <c r="R486" s="383"/>
      <c r="T486" s="119" t="str">
        <f t="shared" ca="1" si="48"/>
        <v/>
      </c>
      <c r="U486" s="172" t="str">
        <f t="shared" ca="1" si="49"/>
        <v/>
      </c>
      <c r="V486" s="173" t="str">
        <f ca="1">IF(AND($W486&gt;0,RegimeExecucao="Unitário"),$F486,"")</f>
        <v/>
      </c>
      <c r="W486" s="547">
        <f ca="1">IF($Y486&gt;0,CHOOSE(MATCH(RegimeExecucao,{"Unitário","Global"},0),IF($A486="S",$Y486/$X486,""),($Y486/$X486)*100),0)</f>
        <v>0</v>
      </c>
      <c r="X486" s="384" t="str">
        <f ca="1">IF($Y486&gt;0,CHOOSE(MATCH(RegimeExecucao,{"Unitário","Global"},0),IF($A486="S",ROUND($H486,ORÇAMENTO!$AF$10),""),ROUND($I486,ORÇAMENTO!$AF$11)),"")</f>
        <v/>
      </c>
      <c r="Y486" s="384">
        <f t="shared" ca="1" si="50"/>
        <v>0</v>
      </c>
      <c r="Z486" s="572"/>
      <c r="AB486" s="382"/>
      <c r="AC486" s="516"/>
      <c r="AD486" s="516"/>
      <c r="AE486" s="516"/>
      <c r="AF486" s="516"/>
      <c r="AG486" s="516"/>
      <c r="AH486" s="516"/>
      <c r="AI486" s="516"/>
      <c r="AJ486" s="516"/>
      <c r="AK486" s="516"/>
      <c r="AL486" s="516"/>
      <c r="AM486" s="383"/>
      <c r="AO486">
        <f ca="1">IF($A486="S",IF(BM!$I486=0,0,CHOOSE(MATCH(RegimeExecucao,{"Global","Unitário"},0),ROUND(ROUND(BM.MEDAcumulado,15-13*BM!$A$9)/100*BM!$I486,15-13*ORÇAMENTO!$AF$11),ROUND(ROUND(BM.MEDAcumulado,15-13*BM!$A$9)*ROUND(BM!$H486,15-13*ORÇAMENTO!$AF$10),15-13*ORÇAMENTO!$AF$11))),IF($A486=0,0,ROUND(SomaAgrupBM,15-13*ORÇAMENTO!$AF$11)))</f>
        <v>0</v>
      </c>
    </row>
    <row r="487" spans="1:41" ht="38.25" x14ac:dyDescent="0.2">
      <c r="A487" t="str">
        <f ca="1">ORÇAMENTO!C487</f>
        <v>S</v>
      </c>
      <c r="B487">
        <f ca="1">ORÇAMENTO!D487</f>
        <v>0</v>
      </c>
      <c r="C487" s="116" t="str">
        <f t="shared" ca="1" si="44"/>
        <v/>
      </c>
      <c r="D487" s="119" t="str">
        <f ca="1">ORÇAMENTO!O487</f>
        <v>-</v>
      </c>
      <c r="E487" s="172" t="str">
        <f t="shared" ca="1" si="45"/>
        <v>(abra o arquivo 'Referência 06-2024.xlsm)</v>
      </c>
      <c r="F487" s="173" t="str">
        <f ca="1">IF(RegimeExecucao="Global","",ORÇAMENTO.Unidade)</f>
        <v/>
      </c>
      <c r="G487" s="124" t="str">
        <f ca="1">IF(RegimeExecucao="Global","",ORÇAMENTO!T487)</f>
        <v/>
      </c>
      <c r="H487" s="124" t="str">
        <f ca="1">IF(RegimeExecucao="Global","",ORÇAMENTO!W487)</f>
        <v/>
      </c>
      <c r="I487" s="127">
        <f ca="1">ORÇAMENTO!X487</f>
        <v>0</v>
      </c>
      <c r="J487" s="378">
        <f ca="1">IF($A487="S",IF(CAIXA.Modo,BM.AFAnterior,BM.MEDAnterior),IF(AND(RegimeExecucao="Global",$I487&gt;0,COUNTIF($AB$13:$AM$13,BM.medicao-1)&gt;0),M487/$I487*100,0))</f>
        <v>0</v>
      </c>
      <c r="K487" s="124">
        <f t="shared" ca="1" si="46"/>
        <v>0</v>
      </c>
      <c r="L487" s="379">
        <f ca="1">IF($A487="S",IF(CAIXA.Modo,BM.AFAcumulado,BM.MEDAcumulado),IF(AND(RegimeExecucao="Global",$I487&gt;0,COUNTIF($AB$13:$AM$13,BM.medicao)&gt;0),O487/$I487*100,0))</f>
        <v>0</v>
      </c>
      <c r="M487" s="380">
        <f ca="1">IF($A487="S",VTOTALBM,IF($A487=0,0,ROUND(SomaAgrupBM,15-13*ORÇAMENTO!$AF$11)))</f>
        <v>0</v>
      </c>
      <c r="N487" s="381">
        <f t="shared" ca="1" si="47"/>
        <v>0</v>
      </c>
      <c r="O487" s="127">
        <f ca="1">IF($A487="S",VTOTALBM,IF($A487=0,0,ROUND(SomaAgrupBM,15-13*ORÇAMENTO!$AF$11)))</f>
        <v>0</v>
      </c>
      <c r="Q487" s="382"/>
      <c r="R487" s="383"/>
      <c r="T487" s="119" t="str">
        <f t="shared" ca="1" si="48"/>
        <v/>
      </c>
      <c r="U487" s="172" t="str">
        <f t="shared" ca="1" si="49"/>
        <v/>
      </c>
      <c r="V487" s="173" t="str">
        <f ca="1">IF(AND($W487&gt;0,RegimeExecucao="Unitário"),$F487,"")</f>
        <v/>
      </c>
      <c r="W487" s="547">
        <f ca="1">IF($Y487&gt;0,CHOOSE(MATCH(RegimeExecucao,{"Unitário","Global"},0),IF($A487="S",$Y487/$X487,""),($Y487/$X487)*100),0)</f>
        <v>0</v>
      </c>
      <c r="X487" s="384" t="str">
        <f ca="1">IF($Y487&gt;0,CHOOSE(MATCH(RegimeExecucao,{"Unitário","Global"},0),IF($A487="S",ROUND($H487,ORÇAMENTO!$AF$10),""),ROUND($I487,ORÇAMENTO!$AF$11)),"")</f>
        <v/>
      </c>
      <c r="Y487" s="384">
        <f t="shared" ca="1" si="50"/>
        <v>0</v>
      </c>
      <c r="Z487" s="572"/>
      <c r="AB487" s="382"/>
      <c r="AC487" s="516"/>
      <c r="AD487" s="516"/>
      <c r="AE487" s="516"/>
      <c r="AF487" s="516"/>
      <c r="AG487" s="516"/>
      <c r="AH487" s="516"/>
      <c r="AI487" s="516"/>
      <c r="AJ487" s="516"/>
      <c r="AK487" s="516"/>
      <c r="AL487" s="516"/>
      <c r="AM487" s="383"/>
      <c r="AO487">
        <f ca="1">IF($A487="S",IF(BM!$I487=0,0,CHOOSE(MATCH(RegimeExecucao,{"Global","Unitário"},0),ROUND(ROUND(BM.MEDAcumulado,15-13*BM!$A$9)/100*BM!$I487,15-13*ORÇAMENTO!$AF$11),ROUND(ROUND(BM.MEDAcumulado,15-13*BM!$A$9)*ROUND(BM!$H487,15-13*ORÇAMENTO!$AF$10),15-13*ORÇAMENTO!$AF$11))),IF($A487=0,0,ROUND(SomaAgrupBM,15-13*ORÇAMENTO!$AF$11)))</f>
        <v>0</v>
      </c>
    </row>
    <row r="488" spans="1:41" ht="38.25" x14ac:dyDescent="0.2">
      <c r="A488" t="str">
        <f ca="1">ORÇAMENTO!C488</f>
        <v>S</v>
      </c>
      <c r="B488">
        <f ca="1">ORÇAMENTO!D488</f>
        <v>0</v>
      </c>
      <c r="C488" s="116" t="str">
        <f t="shared" ca="1" si="44"/>
        <v/>
      </c>
      <c r="D488" s="119" t="str">
        <f ca="1">ORÇAMENTO!O488</f>
        <v>-</v>
      </c>
      <c r="E488" s="172" t="str">
        <f t="shared" ca="1" si="45"/>
        <v>(abra o arquivo 'Referência 06-2024.xlsm)</v>
      </c>
      <c r="F488" s="173" t="str">
        <f ca="1">IF(RegimeExecucao="Global","",ORÇAMENTO.Unidade)</f>
        <v/>
      </c>
      <c r="G488" s="124" t="str">
        <f ca="1">IF(RegimeExecucao="Global","",ORÇAMENTO!T488)</f>
        <v/>
      </c>
      <c r="H488" s="124" t="str">
        <f ca="1">IF(RegimeExecucao="Global","",ORÇAMENTO!W488)</f>
        <v/>
      </c>
      <c r="I488" s="127">
        <f ca="1">ORÇAMENTO!X488</f>
        <v>0</v>
      </c>
      <c r="J488" s="378">
        <f ca="1">IF($A488="S",IF(CAIXA.Modo,BM.AFAnterior,BM.MEDAnterior),IF(AND(RegimeExecucao="Global",$I488&gt;0,COUNTIF($AB$13:$AM$13,BM.medicao-1)&gt;0),M488/$I488*100,0))</f>
        <v>0</v>
      </c>
      <c r="K488" s="124">
        <f t="shared" ca="1" si="46"/>
        <v>0</v>
      </c>
      <c r="L488" s="379">
        <f ca="1">IF($A488="S",IF(CAIXA.Modo,BM.AFAcumulado,BM.MEDAcumulado),IF(AND(RegimeExecucao="Global",$I488&gt;0,COUNTIF($AB$13:$AM$13,BM.medicao)&gt;0),O488/$I488*100,0))</f>
        <v>0</v>
      </c>
      <c r="M488" s="380">
        <f ca="1">IF($A488="S",VTOTALBM,IF($A488=0,0,ROUND(SomaAgrupBM,15-13*ORÇAMENTO!$AF$11)))</f>
        <v>0</v>
      </c>
      <c r="N488" s="381">
        <f t="shared" ca="1" si="47"/>
        <v>0</v>
      </c>
      <c r="O488" s="127">
        <f ca="1">IF($A488="S",VTOTALBM,IF($A488=0,0,ROUND(SomaAgrupBM,15-13*ORÇAMENTO!$AF$11)))</f>
        <v>0</v>
      </c>
      <c r="Q488" s="382"/>
      <c r="R488" s="383"/>
      <c r="T488" s="119" t="str">
        <f t="shared" ca="1" si="48"/>
        <v/>
      </c>
      <c r="U488" s="172" t="str">
        <f t="shared" ca="1" si="49"/>
        <v/>
      </c>
      <c r="V488" s="173" t="str">
        <f ca="1">IF(AND($W488&gt;0,RegimeExecucao="Unitário"),$F488,"")</f>
        <v/>
      </c>
      <c r="W488" s="547">
        <f ca="1">IF($Y488&gt;0,CHOOSE(MATCH(RegimeExecucao,{"Unitário","Global"},0),IF($A488="S",$Y488/$X488,""),($Y488/$X488)*100),0)</f>
        <v>0</v>
      </c>
      <c r="X488" s="384" t="str">
        <f ca="1">IF($Y488&gt;0,CHOOSE(MATCH(RegimeExecucao,{"Unitário","Global"},0),IF($A488="S",ROUND($H488,ORÇAMENTO!$AF$10),""),ROUND($I488,ORÇAMENTO!$AF$11)),"")</f>
        <v/>
      </c>
      <c r="Y488" s="384">
        <f t="shared" ca="1" si="50"/>
        <v>0</v>
      </c>
      <c r="Z488" s="572"/>
      <c r="AB488" s="382"/>
      <c r="AC488" s="516"/>
      <c r="AD488" s="516"/>
      <c r="AE488" s="516"/>
      <c r="AF488" s="516"/>
      <c r="AG488" s="516"/>
      <c r="AH488" s="516"/>
      <c r="AI488" s="516"/>
      <c r="AJ488" s="516"/>
      <c r="AK488" s="516"/>
      <c r="AL488" s="516"/>
      <c r="AM488" s="383"/>
      <c r="AO488">
        <f ca="1">IF($A488="S",IF(BM!$I488=0,0,CHOOSE(MATCH(RegimeExecucao,{"Global","Unitário"},0),ROUND(ROUND(BM.MEDAcumulado,15-13*BM!$A$9)/100*BM!$I488,15-13*ORÇAMENTO!$AF$11),ROUND(ROUND(BM.MEDAcumulado,15-13*BM!$A$9)*ROUND(BM!$H488,15-13*ORÇAMENTO!$AF$10),15-13*ORÇAMENTO!$AF$11))),IF($A488=0,0,ROUND(SomaAgrupBM,15-13*ORÇAMENTO!$AF$11)))</f>
        <v>0</v>
      </c>
    </row>
    <row r="489" spans="1:41" ht="38.25" x14ac:dyDescent="0.2">
      <c r="A489" t="str">
        <f ca="1">ORÇAMENTO!C489</f>
        <v>S</v>
      </c>
      <c r="B489">
        <f ca="1">ORÇAMENTO!D489</f>
        <v>0</v>
      </c>
      <c r="C489" s="116" t="str">
        <f t="shared" ca="1" si="44"/>
        <v/>
      </c>
      <c r="D489" s="119" t="str">
        <f ca="1">ORÇAMENTO!O489</f>
        <v>-</v>
      </c>
      <c r="E489" s="172" t="str">
        <f t="shared" ca="1" si="45"/>
        <v>(abra o arquivo 'Referência 06-2024.xlsm)</v>
      </c>
      <c r="F489" s="173" t="str">
        <f ca="1">IF(RegimeExecucao="Global","",ORÇAMENTO.Unidade)</f>
        <v/>
      </c>
      <c r="G489" s="124" t="str">
        <f ca="1">IF(RegimeExecucao="Global","",ORÇAMENTO!T489)</f>
        <v/>
      </c>
      <c r="H489" s="124" t="str">
        <f ca="1">IF(RegimeExecucao="Global","",ORÇAMENTO!W489)</f>
        <v/>
      </c>
      <c r="I489" s="127">
        <f ca="1">ORÇAMENTO!X489</f>
        <v>0</v>
      </c>
      <c r="J489" s="378">
        <f ca="1">IF($A489="S",IF(CAIXA.Modo,BM.AFAnterior,BM.MEDAnterior),IF(AND(RegimeExecucao="Global",$I489&gt;0,COUNTIF($AB$13:$AM$13,BM.medicao-1)&gt;0),M489/$I489*100,0))</f>
        <v>0</v>
      </c>
      <c r="K489" s="124">
        <f t="shared" ca="1" si="46"/>
        <v>0</v>
      </c>
      <c r="L489" s="379">
        <f ca="1">IF($A489="S",IF(CAIXA.Modo,BM.AFAcumulado,BM.MEDAcumulado),IF(AND(RegimeExecucao="Global",$I489&gt;0,COUNTIF($AB$13:$AM$13,BM.medicao)&gt;0),O489/$I489*100,0))</f>
        <v>0</v>
      </c>
      <c r="M489" s="380">
        <f ca="1">IF($A489="S",VTOTALBM,IF($A489=0,0,ROUND(SomaAgrupBM,15-13*ORÇAMENTO!$AF$11)))</f>
        <v>0</v>
      </c>
      <c r="N489" s="381">
        <f t="shared" ca="1" si="47"/>
        <v>0</v>
      </c>
      <c r="O489" s="127">
        <f ca="1">IF($A489="S",VTOTALBM,IF($A489=0,0,ROUND(SomaAgrupBM,15-13*ORÇAMENTO!$AF$11)))</f>
        <v>0</v>
      </c>
      <c r="Q489" s="382"/>
      <c r="R489" s="383"/>
      <c r="T489" s="119" t="str">
        <f t="shared" ca="1" si="48"/>
        <v/>
      </c>
      <c r="U489" s="172" t="str">
        <f t="shared" ca="1" si="49"/>
        <v/>
      </c>
      <c r="V489" s="173" t="str">
        <f ca="1">IF(AND($W489&gt;0,RegimeExecucao="Unitário"),$F489,"")</f>
        <v/>
      </c>
      <c r="W489" s="547">
        <f ca="1">IF($Y489&gt;0,CHOOSE(MATCH(RegimeExecucao,{"Unitário","Global"},0),IF($A489="S",$Y489/$X489,""),($Y489/$X489)*100),0)</f>
        <v>0</v>
      </c>
      <c r="X489" s="384" t="str">
        <f ca="1">IF($Y489&gt;0,CHOOSE(MATCH(RegimeExecucao,{"Unitário","Global"},0),IF($A489="S",ROUND($H489,ORÇAMENTO!$AF$10),""),ROUND($I489,ORÇAMENTO!$AF$11)),"")</f>
        <v/>
      </c>
      <c r="Y489" s="384">
        <f t="shared" ca="1" si="50"/>
        <v>0</v>
      </c>
      <c r="Z489" s="572"/>
      <c r="AB489" s="382"/>
      <c r="AC489" s="516"/>
      <c r="AD489" s="516"/>
      <c r="AE489" s="516"/>
      <c r="AF489" s="516"/>
      <c r="AG489" s="516"/>
      <c r="AH489" s="516"/>
      <c r="AI489" s="516"/>
      <c r="AJ489" s="516"/>
      <c r="AK489" s="516"/>
      <c r="AL489" s="516"/>
      <c r="AM489" s="383"/>
      <c r="AO489">
        <f ca="1">IF($A489="S",IF(BM!$I489=0,0,CHOOSE(MATCH(RegimeExecucao,{"Global","Unitário"},0),ROUND(ROUND(BM.MEDAcumulado,15-13*BM!$A$9)/100*BM!$I489,15-13*ORÇAMENTO!$AF$11),ROUND(ROUND(BM.MEDAcumulado,15-13*BM!$A$9)*ROUND(BM!$H489,15-13*ORÇAMENTO!$AF$10),15-13*ORÇAMENTO!$AF$11))),IF($A489=0,0,ROUND(SomaAgrupBM,15-13*ORÇAMENTO!$AF$11)))</f>
        <v>0</v>
      </c>
    </row>
    <row r="490" spans="1:41" x14ac:dyDescent="0.2">
      <c r="A490">
        <f ca="1">ORÇAMENTO!C490</f>
        <v>2</v>
      </c>
      <c r="B490">
        <f ca="1">ORÇAMENTO!D490</f>
        <v>18</v>
      </c>
      <c r="C490" s="116" t="str">
        <f t="shared" ca="1" si="44"/>
        <v>F</v>
      </c>
      <c r="D490" s="119" t="str">
        <f ca="1">ORÇAMENTO!O490</f>
        <v>1.52.</v>
      </c>
      <c r="E490" s="172" t="str">
        <f t="shared" si="45"/>
        <v>INSTALAÇÃO ELÉTRICA 110V - ACESSÓRIOS EM GERAL</v>
      </c>
      <c r="F490" s="173" t="str">
        <f ca="1">IF(RegimeExecucao="Global","",ORÇAMENTO.Unidade)</f>
        <v/>
      </c>
      <c r="G490" s="124" t="str">
        <f ca="1">IF(RegimeExecucao="Global","",ORÇAMENTO!T490)</f>
        <v/>
      </c>
      <c r="H490" s="124" t="str">
        <f ca="1">IF(RegimeExecucao="Global","",ORÇAMENTO!W490)</f>
        <v/>
      </c>
      <c r="I490" s="127">
        <f ca="1">ORÇAMENTO!X490</f>
        <v>0</v>
      </c>
      <c r="J490" s="378">
        <f ca="1">IF($A490="S",IF(CAIXA.Modo,BM.AFAnterior,BM.MEDAnterior),IF(AND(RegimeExecucao="Global",$I490&gt;0,COUNTIF($AB$13:$AM$13,BM.medicao-1)&gt;0),M490/$I490*100,0))</f>
        <v>0</v>
      </c>
      <c r="K490" s="124">
        <f t="shared" ca="1" si="46"/>
        <v>0</v>
      </c>
      <c r="L490" s="379">
        <f ca="1">IF($A490="S",IF(CAIXA.Modo,BM.AFAcumulado,BM.MEDAcumulado),IF(AND(RegimeExecucao="Global",$I490&gt;0,COUNTIF($AB$13:$AM$13,BM.medicao)&gt;0),O490/$I490*100,0))</f>
        <v>0</v>
      </c>
      <c r="M490" s="380">
        <f ca="1">IF($A490="S",VTOTALBM,IF($A490=0,0,ROUND(SomaAgrupBM,15-13*ORÇAMENTO!$AF$11)))</f>
        <v>0</v>
      </c>
      <c r="N490" s="381">
        <f t="shared" ca="1" si="47"/>
        <v>0</v>
      </c>
      <c r="O490" s="127">
        <f ca="1">IF($A490="S",VTOTALBM,IF($A490=0,0,ROUND(SomaAgrupBM,15-13*ORÇAMENTO!$AF$11)))</f>
        <v>0</v>
      </c>
      <c r="Q490" s="382"/>
      <c r="R490" s="383"/>
      <c r="T490" s="119" t="str">
        <f t="shared" ca="1" si="48"/>
        <v/>
      </c>
      <c r="U490" s="172" t="str">
        <f t="shared" ca="1" si="49"/>
        <v/>
      </c>
      <c r="V490" s="173" t="str">
        <f ca="1">IF(AND($W490&gt;0,RegimeExecucao="Unitário"),$F490,"")</f>
        <v/>
      </c>
      <c r="W490" s="547">
        <f ca="1">IF($Y490&gt;0,CHOOSE(MATCH(RegimeExecucao,{"Unitário","Global"},0),IF($A490="S",$Y490/$X490,""),($Y490/$X490)*100),0)</f>
        <v>0</v>
      </c>
      <c r="X490" s="384" t="str">
        <f ca="1">IF($Y490&gt;0,CHOOSE(MATCH(RegimeExecucao,{"Unitário","Global"},0),IF($A490="S",ROUND($H490,ORÇAMENTO!$AF$10),""),ROUND($I490,ORÇAMENTO!$AF$11)),"")</f>
        <v/>
      </c>
      <c r="Y490" s="384">
        <f t="shared" ca="1" si="50"/>
        <v>0</v>
      </c>
      <c r="Z490" s="572"/>
      <c r="AB490" s="382"/>
      <c r="AC490" s="516"/>
      <c r="AD490" s="516"/>
      <c r="AE490" s="516"/>
      <c r="AF490" s="516"/>
      <c r="AG490" s="516"/>
      <c r="AH490" s="516"/>
      <c r="AI490" s="516"/>
      <c r="AJ490" s="516"/>
      <c r="AK490" s="516"/>
      <c r="AL490" s="516"/>
      <c r="AM490" s="383"/>
      <c r="AO490">
        <f ca="1">IF($A490="S",IF(BM!$I490=0,0,CHOOSE(MATCH(RegimeExecucao,{"Global","Unitário"},0),ROUND(ROUND(BM.MEDAcumulado,15-13*BM!$A$9)/100*BM!$I490,15-13*ORÇAMENTO!$AF$11),ROUND(ROUND(BM.MEDAcumulado,15-13*BM!$A$9)*ROUND(BM!$H490,15-13*ORÇAMENTO!$AF$10),15-13*ORÇAMENTO!$AF$11))),IF($A490=0,0,ROUND(SomaAgrupBM,15-13*ORÇAMENTO!$AF$11)))</f>
        <v>0</v>
      </c>
    </row>
    <row r="491" spans="1:41" x14ac:dyDescent="0.2">
      <c r="A491" t="str">
        <f ca="1">ORÇAMENTO!C491</f>
        <v>S</v>
      </c>
      <c r="B491">
        <f ca="1">ORÇAMENTO!D491</f>
        <v>0</v>
      </c>
      <c r="C491" s="116" t="str">
        <f t="shared" ca="1" si="44"/>
        <v/>
      </c>
      <c r="D491" s="119" t="str">
        <f ca="1">ORÇAMENTO!O491</f>
        <v>-</v>
      </c>
      <c r="E491" s="172" t="str">
        <f t="shared" ca="1" si="45"/>
        <v>(abra o arquivo 'Referência 06-2024.xlsm)</v>
      </c>
      <c r="F491" s="173" t="str">
        <f ca="1">IF(RegimeExecucao="Global","",ORÇAMENTO.Unidade)</f>
        <v/>
      </c>
      <c r="G491" s="124" t="str">
        <f ca="1">IF(RegimeExecucao="Global","",ORÇAMENTO!T491)</f>
        <v/>
      </c>
      <c r="H491" s="124" t="str">
        <f ca="1">IF(RegimeExecucao="Global","",ORÇAMENTO!W491)</f>
        <v/>
      </c>
      <c r="I491" s="127">
        <f ca="1">ORÇAMENTO!X491</f>
        <v>0</v>
      </c>
      <c r="J491" s="378">
        <f ca="1">IF($A491="S",IF(CAIXA.Modo,BM.AFAnterior,BM.MEDAnterior),IF(AND(RegimeExecucao="Global",$I491&gt;0,COUNTIF($AB$13:$AM$13,BM.medicao-1)&gt;0),M491/$I491*100,0))</f>
        <v>0</v>
      </c>
      <c r="K491" s="124">
        <f t="shared" ca="1" si="46"/>
        <v>0</v>
      </c>
      <c r="L491" s="379">
        <f ca="1">IF($A491="S",IF(CAIXA.Modo,BM.AFAcumulado,BM.MEDAcumulado),IF(AND(RegimeExecucao="Global",$I491&gt;0,COUNTIF($AB$13:$AM$13,BM.medicao)&gt;0),O491/$I491*100,0))</f>
        <v>0</v>
      </c>
      <c r="M491" s="380">
        <f ca="1">IF($A491="S",VTOTALBM,IF($A491=0,0,ROUND(SomaAgrupBM,15-13*ORÇAMENTO!$AF$11)))</f>
        <v>0</v>
      </c>
      <c r="N491" s="381">
        <f t="shared" ca="1" si="47"/>
        <v>0</v>
      </c>
      <c r="O491" s="127">
        <f ca="1">IF($A491="S",VTOTALBM,IF($A491=0,0,ROUND(SomaAgrupBM,15-13*ORÇAMENTO!$AF$11)))</f>
        <v>0</v>
      </c>
      <c r="Q491" s="382"/>
      <c r="R491" s="383"/>
      <c r="T491" s="119" t="str">
        <f t="shared" ca="1" si="48"/>
        <v/>
      </c>
      <c r="U491" s="172" t="str">
        <f t="shared" ca="1" si="49"/>
        <v/>
      </c>
      <c r="V491" s="173" t="str">
        <f ca="1">IF(AND($W491&gt;0,RegimeExecucao="Unitário"),$F491,"")</f>
        <v/>
      </c>
      <c r="W491" s="547">
        <f ca="1">IF($Y491&gt;0,CHOOSE(MATCH(RegimeExecucao,{"Unitário","Global"},0),IF($A491="S",$Y491/$X491,""),($Y491/$X491)*100),0)</f>
        <v>0</v>
      </c>
      <c r="X491" s="384" t="str">
        <f ca="1">IF($Y491&gt;0,CHOOSE(MATCH(RegimeExecucao,{"Unitário","Global"},0),IF($A491="S",ROUND($H491,ORÇAMENTO!$AF$10),""),ROUND($I491,ORÇAMENTO!$AF$11)),"")</f>
        <v/>
      </c>
      <c r="Y491" s="384">
        <f t="shared" ca="1" si="50"/>
        <v>0</v>
      </c>
      <c r="Z491" s="572"/>
      <c r="AB491" s="382"/>
      <c r="AC491" s="516"/>
      <c r="AD491" s="516"/>
      <c r="AE491" s="516"/>
      <c r="AF491" s="516"/>
      <c r="AG491" s="516"/>
      <c r="AH491" s="516"/>
      <c r="AI491" s="516"/>
      <c r="AJ491" s="516"/>
      <c r="AK491" s="516"/>
      <c r="AL491" s="516"/>
      <c r="AM491" s="383"/>
      <c r="AO491">
        <f ca="1">IF($A491="S",IF(BM!$I491=0,0,CHOOSE(MATCH(RegimeExecucao,{"Global","Unitário"},0),ROUND(ROUND(BM.MEDAcumulado,15-13*BM!$A$9)/100*BM!$I491,15-13*ORÇAMENTO!$AF$11),ROUND(ROUND(BM.MEDAcumulado,15-13*BM!$A$9)*ROUND(BM!$H491,15-13*ORÇAMENTO!$AF$10),15-13*ORÇAMENTO!$AF$11))),IF($A491=0,0,ROUND(SomaAgrupBM,15-13*ORÇAMENTO!$AF$11)))</f>
        <v>0</v>
      </c>
    </row>
    <row r="492" spans="1:41" x14ac:dyDescent="0.2">
      <c r="A492" t="str">
        <f ca="1">ORÇAMENTO!C492</f>
        <v>S</v>
      </c>
      <c r="B492">
        <f ca="1">ORÇAMENTO!D492</f>
        <v>0</v>
      </c>
      <c r="C492" s="116" t="str">
        <f t="shared" ca="1" si="44"/>
        <v/>
      </c>
      <c r="D492" s="119" t="str">
        <f ca="1">ORÇAMENTO!O492</f>
        <v>-</v>
      </c>
      <c r="E492" s="172" t="str">
        <f t="shared" ca="1" si="45"/>
        <v>(abra o arquivo 'Referência 06-2024.xlsm)</v>
      </c>
      <c r="F492" s="173" t="str">
        <f ca="1">IF(RegimeExecucao="Global","",ORÇAMENTO.Unidade)</f>
        <v/>
      </c>
      <c r="G492" s="124" t="str">
        <f ca="1">IF(RegimeExecucao="Global","",ORÇAMENTO!T492)</f>
        <v/>
      </c>
      <c r="H492" s="124" t="str">
        <f ca="1">IF(RegimeExecucao="Global","",ORÇAMENTO!W492)</f>
        <v/>
      </c>
      <c r="I492" s="127">
        <f ca="1">ORÇAMENTO!X492</f>
        <v>0</v>
      </c>
      <c r="J492" s="378">
        <f ca="1">IF($A492="S",IF(CAIXA.Modo,BM.AFAnterior,BM.MEDAnterior),IF(AND(RegimeExecucao="Global",$I492&gt;0,COUNTIF($AB$13:$AM$13,BM.medicao-1)&gt;0),M492/$I492*100,0))</f>
        <v>0</v>
      </c>
      <c r="K492" s="124">
        <f t="shared" ca="1" si="46"/>
        <v>0</v>
      </c>
      <c r="L492" s="379">
        <f ca="1">IF($A492="S",IF(CAIXA.Modo,BM.AFAcumulado,BM.MEDAcumulado),IF(AND(RegimeExecucao="Global",$I492&gt;0,COUNTIF($AB$13:$AM$13,BM.medicao)&gt;0),O492/$I492*100,0))</f>
        <v>0</v>
      </c>
      <c r="M492" s="380">
        <f ca="1">IF($A492="S",VTOTALBM,IF($A492=0,0,ROUND(SomaAgrupBM,15-13*ORÇAMENTO!$AF$11)))</f>
        <v>0</v>
      </c>
      <c r="N492" s="381">
        <f t="shared" ca="1" si="47"/>
        <v>0</v>
      </c>
      <c r="O492" s="127">
        <f ca="1">IF($A492="S",VTOTALBM,IF($A492=0,0,ROUND(SomaAgrupBM,15-13*ORÇAMENTO!$AF$11)))</f>
        <v>0</v>
      </c>
      <c r="Q492" s="382"/>
      <c r="R492" s="383"/>
      <c r="T492" s="119" t="str">
        <f t="shared" ca="1" si="48"/>
        <v/>
      </c>
      <c r="U492" s="172" t="str">
        <f t="shared" ca="1" si="49"/>
        <v/>
      </c>
      <c r="V492" s="173" t="str">
        <f ca="1">IF(AND($W492&gt;0,RegimeExecucao="Unitário"),$F492,"")</f>
        <v/>
      </c>
      <c r="W492" s="547">
        <f ca="1">IF($Y492&gt;0,CHOOSE(MATCH(RegimeExecucao,{"Unitário","Global"},0),IF($A492="S",$Y492/$X492,""),($Y492/$X492)*100),0)</f>
        <v>0</v>
      </c>
      <c r="X492" s="384" t="str">
        <f ca="1">IF($Y492&gt;0,CHOOSE(MATCH(RegimeExecucao,{"Unitário","Global"},0),IF($A492="S",ROUND($H492,ORÇAMENTO!$AF$10),""),ROUND($I492,ORÇAMENTO!$AF$11)),"")</f>
        <v/>
      </c>
      <c r="Y492" s="384">
        <f t="shared" ca="1" si="50"/>
        <v>0</v>
      </c>
      <c r="Z492" s="572"/>
      <c r="AB492" s="382"/>
      <c r="AC492" s="516"/>
      <c r="AD492" s="516"/>
      <c r="AE492" s="516"/>
      <c r="AF492" s="516"/>
      <c r="AG492" s="516"/>
      <c r="AH492" s="516"/>
      <c r="AI492" s="516"/>
      <c r="AJ492" s="516"/>
      <c r="AK492" s="516"/>
      <c r="AL492" s="516"/>
      <c r="AM492" s="383"/>
      <c r="AO492">
        <f ca="1">IF($A492="S",IF(BM!$I492=0,0,CHOOSE(MATCH(RegimeExecucao,{"Global","Unitário"},0),ROUND(ROUND(BM.MEDAcumulado,15-13*BM!$A$9)/100*BM!$I492,15-13*ORÇAMENTO!$AF$11),ROUND(ROUND(BM.MEDAcumulado,15-13*BM!$A$9)*ROUND(BM!$H492,15-13*ORÇAMENTO!$AF$10),15-13*ORÇAMENTO!$AF$11))),IF($A492=0,0,ROUND(SomaAgrupBM,15-13*ORÇAMENTO!$AF$11)))</f>
        <v>0</v>
      </c>
    </row>
    <row r="493" spans="1:41" ht="38.25" x14ac:dyDescent="0.2">
      <c r="A493" t="str">
        <f ca="1">ORÇAMENTO!C493</f>
        <v>S</v>
      </c>
      <c r="B493">
        <f ca="1">ORÇAMENTO!D493</f>
        <v>0</v>
      </c>
      <c r="C493" s="116" t="str">
        <f t="shared" ca="1" si="44"/>
        <v/>
      </c>
      <c r="D493" s="119" t="str">
        <f ca="1">ORÇAMENTO!O493</f>
        <v>-</v>
      </c>
      <c r="E493" s="172" t="str">
        <f t="shared" ca="1" si="45"/>
        <v>(abra o arquivo 'Referência 06-2024.xlsm)</v>
      </c>
      <c r="F493" s="173" t="str">
        <f ca="1">IF(RegimeExecucao="Global","",ORÇAMENTO.Unidade)</f>
        <v/>
      </c>
      <c r="G493" s="124" t="str">
        <f ca="1">IF(RegimeExecucao="Global","",ORÇAMENTO!T493)</f>
        <v/>
      </c>
      <c r="H493" s="124" t="str">
        <f ca="1">IF(RegimeExecucao="Global","",ORÇAMENTO!W493)</f>
        <v/>
      </c>
      <c r="I493" s="127">
        <f ca="1">ORÇAMENTO!X493</f>
        <v>0</v>
      </c>
      <c r="J493" s="378">
        <f ca="1">IF($A493="S",IF(CAIXA.Modo,BM.AFAnterior,BM.MEDAnterior),IF(AND(RegimeExecucao="Global",$I493&gt;0,COUNTIF($AB$13:$AM$13,BM.medicao-1)&gt;0),M493/$I493*100,0))</f>
        <v>0</v>
      </c>
      <c r="K493" s="124">
        <f t="shared" ca="1" si="46"/>
        <v>0</v>
      </c>
      <c r="L493" s="379">
        <f ca="1">IF($A493="S",IF(CAIXA.Modo,BM.AFAcumulado,BM.MEDAcumulado),IF(AND(RegimeExecucao="Global",$I493&gt;0,COUNTIF($AB$13:$AM$13,BM.medicao)&gt;0),O493/$I493*100,0))</f>
        <v>0</v>
      </c>
      <c r="M493" s="380">
        <f ca="1">IF($A493="S",VTOTALBM,IF($A493=0,0,ROUND(SomaAgrupBM,15-13*ORÇAMENTO!$AF$11)))</f>
        <v>0</v>
      </c>
      <c r="N493" s="381">
        <f t="shared" ca="1" si="47"/>
        <v>0</v>
      </c>
      <c r="O493" s="127">
        <f ca="1">IF($A493="S",VTOTALBM,IF($A493=0,0,ROUND(SomaAgrupBM,15-13*ORÇAMENTO!$AF$11)))</f>
        <v>0</v>
      </c>
      <c r="Q493" s="382"/>
      <c r="R493" s="383"/>
      <c r="T493" s="119" t="str">
        <f t="shared" ca="1" si="48"/>
        <v/>
      </c>
      <c r="U493" s="172" t="str">
        <f t="shared" ca="1" si="49"/>
        <v/>
      </c>
      <c r="V493" s="173" t="str">
        <f ca="1">IF(AND($W493&gt;0,RegimeExecucao="Unitário"),$F493,"")</f>
        <v/>
      </c>
      <c r="W493" s="547">
        <f ca="1">IF($Y493&gt;0,CHOOSE(MATCH(RegimeExecucao,{"Unitário","Global"},0),IF($A493="S",$Y493/$X493,""),($Y493/$X493)*100),0)</f>
        <v>0</v>
      </c>
      <c r="X493" s="384" t="str">
        <f ca="1">IF($Y493&gt;0,CHOOSE(MATCH(RegimeExecucao,{"Unitário","Global"},0),IF($A493="S",ROUND($H493,ORÇAMENTO!$AF$10),""),ROUND($I493,ORÇAMENTO!$AF$11)),"")</f>
        <v/>
      </c>
      <c r="Y493" s="384">
        <f t="shared" ca="1" si="50"/>
        <v>0</v>
      </c>
      <c r="Z493" s="572"/>
      <c r="AB493" s="382"/>
      <c r="AC493" s="516"/>
      <c r="AD493" s="516"/>
      <c r="AE493" s="516"/>
      <c r="AF493" s="516"/>
      <c r="AG493" s="516"/>
      <c r="AH493" s="516"/>
      <c r="AI493" s="516"/>
      <c r="AJ493" s="516"/>
      <c r="AK493" s="516"/>
      <c r="AL493" s="516"/>
      <c r="AM493" s="383"/>
      <c r="AO493">
        <f ca="1">IF($A493="S",IF(BM!$I493=0,0,CHOOSE(MATCH(RegimeExecucao,{"Global","Unitário"},0),ROUND(ROUND(BM.MEDAcumulado,15-13*BM!$A$9)/100*BM!$I493,15-13*ORÇAMENTO!$AF$11),ROUND(ROUND(BM.MEDAcumulado,15-13*BM!$A$9)*ROUND(BM!$H493,15-13*ORÇAMENTO!$AF$10),15-13*ORÇAMENTO!$AF$11))),IF($A493=0,0,ROUND(SomaAgrupBM,15-13*ORÇAMENTO!$AF$11)))</f>
        <v>0</v>
      </c>
    </row>
    <row r="494" spans="1:41" x14ac:dyDescent="0.2">
      <c r="A494" t="str">
        <f ca="1">ORÇAMENTO!C494</f>
        <v>S</v>
      </c>
      <c r="B494">
        <f ca="1">ORÇAMENTO!D494</f>
        <v>0</v>
      </c>
      <c r="C494" s="116" t="str">
        <f t="shared" ca="1" si="44"/>
        <v/>
      </c>
      <c r="D494" s="119" t="str">
        <f ca="1">ORÇAMENTO!O494</f>
        <v>-</v>
      </c>
      <c r="E494" s="172" t="str">
        <f t="shared" ca="1" si="45"/>
        <v>(abra o arquivo 'Referência 06-2024.xlsm)</v>
      </c>
      <c r="F494" s="173" t="str">
        <f ca="1">IF(RegimeExecucao="Global","",ORÇAMENTO.Unidade)</f>
        <v/>
      </c>
      <c r="G494" s="124" t="str">
        <f ca="1">IF(RegimeExecucao="Global","",ORÇAMENTO!T494)</f>
        <v/>
      </c>
      <c r="H494" s="124" t="str">
        <f ca="1">IF(RegimeExecucao="Global","",ORÇAMENTO!W494)</f>
        <v/>
      </c>
      <c r="I494" s="127">
        <f ca="1">ORÇAMENTO!X494</f>
        <v>0</v>
      </c>
      <c r="J494" s="378">
        <f ca="1">IF($A494="S",IF(CAIXA.Modo,BM.AFAnterior,BM.MEDAnterior),IF(AND(RegimeExecucao="Global",$I494&gt;0,COUNTIF($AB$13:$AM$13,BM.medicao-1)&gt;0),M494/$I494*100,0))</f>
        <v>0</v>
      </c>
      <c r="K494" s="124">
        <f t="shared" ca="1" si="46"/>
        <v>0</v>
      </c>
      <c r="L494" s="379">
        <f ca="1">IF($A494="S",IF(CAIXA.Modo,BM.AFAcumulado,BM.MEDAcumulado),IF(AND(RegimeExecucao="Global",$I494&gt;0,COUNTIF($AB$13:$AM$13,BM.medicao)&gt;0),O494/$I494*100,0))</f>
        <v>0</v>
      </c>
      <c r="M494" s="380">
        <f ca="1">IF($A494="S",VTOTALBM,IF($A494=0,0,ROUND(SomaAgrupBM,15-13*ORÇAMENTO!$AF$11)))</f>
        <v>0</v>
      </c>
      <c r="N494" s="381">
        <f t="shared" ca="1" si="47"/>
        <v>0</v>
      </c>
      <c r="O494" s="127">
        <f ca="1">IF($A494="S",VTOTALBM,IF($A494=0,0,ROUND(SomaAgrupBM,15-13*ORÇAMENTO!$AF$11)))</f>
        <v>0</v>
      </c>
      <c r="Q494" s="382"/>
      <c r="R494" s="383"/>
      <c r="T494" s="119" t="str">
        <f t="shared" ca="1" si="48"/>
        <v/>
      </c>
      <c r="U494" s="172" t="str">
        <f t="shared" ca="1" si="49"/>
        <v/>
      </c>
      <c r="V494" s="173" t="str">
        <f ca="1">IF(AND($W494&gt;0,RegimeExecucao="Unitário"),$F494,"")</f>
        <v/>
      </c>
      <c r="W494" s="547">
        <f ca="1">IF($Y494&gt;0,CHOOSE(MATCH(RegimeExecucao,{"Unitário","Global"},0),IF($A494="S",$Y494/$X494,""),($Y494/$X494)*100),0)</f>
        <v>0</v>
      </c>
      <c r="X494" s="384" t="str">
        <f ca="1">IF($Y494&gt;0,CHOOSE(MATCH(RegimeExecucao,{"Unitário","Global"},0),IF($A494="S",ROUND($H494,ORÇAMENTO!$AF$10),""),ROUND($I494,ORÇAMENTO!$AF$11)),"")</f>
        <v/>
      </c>
      <c r="Y494" s="384">
        <f t="shared" ca="1" si="50"/>
        <v>0</v>
      </c>
      <c r="Z494" s="572"/>
      <c r="AB494" s="382"/>
      <c r="AC494" s="516"/>
      <c r="AD494" s="516"/>
      <c r="AE494" s="516"/>
      <c r="AF494" s="516"/>
      <c r="AG494" s="516"/>
      <c r="AH494" s="516"/>
      <c r="AI494" s="516"/>
      <c r="AJ494" s="516"/>
      <c r="AK494" s="516"/>
      <c r="AL494" s="516"/>
      <c r="AM494" s="383"/>
      <c r="AO494">
        <f ca="1">IF($A494="S",IF(BM!$I494=0,0,CHOOSE(MATCH(RegimeExecucao,{"Global","Unitário"},0),ROUND(ROUND(BM.MEDAcumulado,15-13*BM!$A$9)/100*BM!$I494,15-13*ORÇAMENTO!$AF$11),ROUND(ROUND(BM.MEDAcumulado,15-13*BM!$A$9)*ROUND(BM!$H494,15-13*ORÇAMENTO!$AF$10),15-13*ORÇAMENTO!$AF$11))),IF($A494=0,0,ROUND(SomaAgrupBM,15-13*ORÇAMENTO!$AF$11)))</f>
        <v>0</v>
      </c>
    </row>
    <row r="495" spans="1:41" ht="38.25" x14ac:dyDescent="0.2">
      <c r="A495" t="str">
        <f ca="1">ORÇAMENTO!C495</f>
        <v>S</v>
      </c>
      <c r="B495">
        <f ca="1">ORÇAMENTO!D495</f>
        <v>0</v>
      </c>
      <c r="C495" s="116" t="str">
        <f t="shared" ca="1" si="44"/>
        <v/>
      </c>
      <c r="D495" s="119" t="str">
        <f ca="1">ORÇAMENTO!O495</f>
        <v>-</v>
      </c>
      <c r="E495" s="172" t="str">
        <f t="shared" ca="1" si="45"/>
        <v>(abra o arquivo 'Referência 06-2024.xlsm)</v>
      </c>
      <c r="F495" s="173" t="str">
        <f ca="1">IF(RegimeExecucao="Global","",ORÇAMENTO.Unidade)</f>
        <v/>
      </c>
      <c r="G495" s="124" t="str">
        <f ca="1">IF(RegimeExecucao="Global","",ORÇAMENTO!T495)</f>
        <v/>
      </c>
      <c r="H495" s="124" t="str">
        <f ca="1">IF(RegimeExecucao="Global","",ORÇAMENTO!W495)</f>
        <v/>
      </c>
      <c r="I495" s="127">
        <f ca="1">ORÇAMENTO!X495</f>
        <v>0</v>
      </c>
      <c r="J495" s="378">
        <f ca="1">IF($A495="S",IF(CAIXA.Modo,BM.AFAnterior,BM.MEDAnterior),IF(AND(RegimeExecucao="Global",$I495&gt;0,COUNTIF($AB$13:$AM$13,BM.medicao-1)&gt;0),M495/$I495*100,0))</f>
        <v>0</v>
      </c>
      <c r="K495" s="124">
        <f t="shared" ca="1" si="46"/>
        <v>0</v>
      </c>
      <c r="L495" s="379">
        <f ca="1">IF($A495="S",IF(CAIXA.Modo,BM.AFAcumulado,BM.MEDAcumulado),IF(AND(RegimeExecucao="Global",$I495&gt;0,COUNTIF($AB$13:$AM$13,BM.medicao)&gt;0),O495/$I495*100,0))</f>
        <v>0</v>
      </c>
      <c r="M495" s="380">
        <f ca="1">IF($A495="S",VTOTALBM,IF($A495=0,0,ROUND(SomaAgrupBM,15-13*ORÇAMENTO!$AF$11)))</f>
        <v>0</v>
      </c>
      <c r="N495" s="381">
        <f t="shared" ca="1" si="47"/>
        <v>0</v>
      </c>
      <c r="O495" s="127">
        <f ca="1">IF($A495="S",VTOTALBM,IF($A495=0,0,ROUND(SomaAgrupBM,15-13*ORÇAMENTO!$AF$11)))</f>
        <v>0</v>
      </c>
      <c r="Q495" s="382"/>
      <c r="R495" s="383"/>
      <c r="T495" s="119" t="str">
        <f t="shared" ca="1" si="48"/>
        <v/>
      </c>
      <c r="U495" s="172" t="str">
        <f t="shared" ca="1" si="49"/>
        <v/>
      </c>
      <c r="V495" s="173" t="str">
        <f ca="1">IF(AND($W495&gt;0,RegimeExecucao="Unitário"),$F495,"")</f>
        <v/>
      </c>
      <c r="W495" s="547">
        <f ca="1">IF($Y495&gt;0,CHOOSE(MATCH(RegimeExecucao,{"Unitário","Global"},0),IF($A495="S",$Y495/$X495,""),($Y495/$X495)*100),0)</f>
        <v>0</v>
      </c>
      <c r="X495" s="384" t="str">
        <f ca="1">IF($Y495&gt;0,CHOOSE(MATCH(RegimeExecucao,{"Unitário","Global"},0),IF($A495="S",ROUND($H495,ORÇAMENTO!$AF$10),""),ROUND($I495,ORÇAMENTO!$AF$11)),"")</f>
        <v/>
      </c>
      <c r="Y495" s="384">
        <f t="shared" ca="1" si="50"/>
        <v>0</v>
      </c>
      <c r="Z495" s="572"/>
      <c r="AB495" s="382"/>
      <c r="AC495" s="516"/>
      <c r="AD495" s="516"/>
      <c r="AE495" s="516"/>
      <c r="AF495" s="516"/>
      <c r="AG495" s="516"/>
      <c r="AH495" s="516"/>
      <c r="AI495" s="516"/>
      <c r="AJ495" s="516"/>
      <c r="AK495" s="516"/>
      <c r="AL495" s="516"/>
      <c r="AM495" s="383"/>
      <c r="AO495">
        <f ca="1">IF($A495="S",IF(BM!$I495=0,0,CHOOSE(MATCH(RegimeExecucao,{"Global","Unitário"},0),ROUND(ROUND(BM.MEDAcumulado,15-13*BM!$A$9)/100*BM!$I495,15-13*ORÇAMENTO!$AF$11),ROUND(ROUND(BM.MEDAcumulado,15-13*BM!$A$9)*ROUND(BM!$H495,15-13*ORÇAMENTO!$AF$10),15-13*ORÇAMENTO!$AF$11))),IF($A495=0,0,ROUND(SomaAgrupBM,15-13*ORÇAMENTO!$AF$11)))</f>
        <v>0</v>
      </c>
    </row>
    <row r="496" spans="1:41" x14ac:dyDescent="0.2">
      <c r="A496" t="str">
        <f ca="1">ORÇAMENTO!C496</f>
        <v>S</v>
      </c>
      <c r="B496">
        <f ca="1">ORÇAMENTO!D496</f>
        <v>0</v>
      </c>
      <c r="C496" s="116" t="str">
        <f t="shared" ca="1" si="44"/>
        <v/>
      </c>
      <c r="D496" s="119" t="str">
        <f ca="1">ORÇAMENTO!O496</f>
        <v>-</v>
      </c>
      <c r="E496" s="172" t="str">
        <f t="shared" ca="1" si="45"/>
        <v>(abra o arquivo 'Referência 06-2024.xlsm)</v>
      </c>
      <c r="F496" s="173" t="str">
        <f ca="1">IF(RegimeExecucao="Global","",ORÇAMENTO.Unidade)</f>
        <v/>
      </c>
      <c r="G496" s="124" t="str">
        <f ca="1">IF(RegimeExecucao="Global","",ORÇAMENTO!T496)</f>
        <v/>
      </c>
      <c r="H496" s="124" t="str">
        <f ca="1">IF(RegimeExecucao="Global","",ORÇAMENTO!W496)</f>
        <v/>
      </c>
      <c r="I496" s="127">
        <f ca="1">ORÇAMENTO!X496</f>
        <v>0</v>
      </c>
      <c r="J496" s="378">
        <f ca="1">IF($A496="S",IF(CAIXA.Modo,BM.AFAnterior,BM.MEDAnterior),IF(AND(RegimeExecucao="Global",$I496&gt;0,COUNTIF($AB$13:$AM$13,BM.medicao-1)&gt;0),M496/$I496*100,0))</f>
        <v>0</v>
      </c>
      <c r="K496" s="124">
        <f t="shared" ca="1" si="46"/>
        <v>0</v>
      </c>
      <c r="L496" s="379">
        <f ca="1">IF($A496="S",IF(CAIXA.Modo,BM.AFAcumulado,BM.MEDAcumulado),IF(AND(RegimeExecucao="Global",$I496&gt;0,COUNTIF($AB$13:$AM$13,BM.medicao)&gt;0),O496/$I496*100,0))</f>
        <v>0</v>
      </c>
      <c r="M496" s="380">
        <f ca="1">IF($A496="S",VTOTALBM,IF($A496=0,0,ROUND(SomaAgrupBM,15-13*ORÇAMENTO!$AF$11)))</f>
        <v>0</v>
      </c>
      <c r="N496" s="381">
        <f t="shared" ca="1" si="47"/>
        <v>0</v>
      </c>
      <c r="O496" s="127">
        <f ca="1">IF($A496="S",VTOTALBM,IF($A496=0,0,ROUND(SomaAgrupBM,15-13*ORÇAMENTO!$AF$11)))</f>
        <v>0</v>
      </c>
      <c r="Q496" s="382"/>
      <c r="R496" s="383"/>
      <c r="T496" s="119" t="str">
        <f t="shared" ca="1" si="48"/>
        <v/>
      </c>
      <c r="U496" s="172" t="str">
        <f t="shared" ca="1" si="49"/>
        <v/>
      </c>
      <c r="V496" s="173" t="str">
        <f ca="1">IF(AND($W496&gt;0,RegimeExecucao="Unitário"),$F496,"")</f>
        <v/>
      </c>
      <c r="W496" s="547">
        <f ca="1">IF($Y496&gt;0,CHOOSE(MATCH(RegimeExecucao,{"Unitário","Global"},0),IF($A496="S",$Y496/$X496,""),($Y496/$X496)*100),0)</f>
        <v>0</v>
      </c>
      <c r="X496" s="384" t="str">
        <f ca="1">IF($Y496&gt;0,CHOOSE(MATCH(RegimeExecucao,{"Unitário","Global"},0),IF($A496="S",ROUND($H496,ORÇAMENTO!$AF$10),""),ROUND($I496,ORÇAMENTO!$AF$11)),"")</f>
        <v/>
      </c>
      <c r="Y496" s="384">
        <f t="shared" ca="1" si="50"/>
        <v>0</v>
      </c>
      <c r="Z496" s="572"/>
      <c r="AB496" s="382"/>
      <c r="AC496" s="516"/>
      <c r="AD496" s="516"/>
      <c r="AE496" s="516"/>
      <c r="AF496" s="516"/>
      <c r="AG496" s="516"/>
      <c r="AH496" s="516"/>
      <c r="AI496" s="516"/>
      <c r="AJ496" s="516"/>
      <c r="AK496" s="516"/>
      <c r="AL496" s="516"/>
      <c r="AM496" s="383"/>
      <c r="AO496">
        <f ca="1">IF($A496="S",IF(BM!$I496=0,0,CHOOSE(MATCH(RegimeExecucao,{"Global","Unitário"},0),ROUND(ROUND(BM.MEDAcumulado,15-13*BM!$A$9)/100*BM!$I496,15-13*ORÇAMENTO!$AF$11),ROUND(ROUND(BM.MEDAcumulado,15-13*BM!$A$9)*ROUND(BM!$H496,15-13*ORÇAMENTO!$AF$10),15-13*ORÇAMENTO!$AF$11))),IF($A496=0,0,ROUND(SomaAgrupBM,15-13*ORÇAMENTO!$AF$11)))</f>
        <v>0</v>
      </c>
    </row>
    <row r="497" spans="1:41" ht="25.5" x14ac:dyDescent="0.2">
      <c r="A497" t="str">
        <f ca="1">ORÇAMENTO!C497</f>
        <v>S</v>
      </c>
      <c r="B497">
        <f ca="1">ORÇAMENTO!D497</f>
        <v>0</v>
      </c>
      <c r="C497" s="116" t="str">
        <f t="shared" ca="1" si="44"/>
        <v/>
      </c>
      <c r="D497" s="119" t="str">
        <f ca="1">ORÇAMENTO!O497</f>
        <v>-</v>
      </c>
      <c r="E497" s="172" t="str">
        <f t="shared" ca="1" si="45"/>
        <v>(abra o arquivo 'Referência 06-2024.xlsm)</v>
      </c>
      <c r="F497" s="173" t="str">
        <f ca="1">IF(RegimeExecucao="Global","",ORÇAMENTO.Unidade)</f>
        <v/>
      </c>
      <c r="G497" s="124" t="str">
        <f ca="1">IF(RegimeExecucao="Global","",ORÇAMENTO!T497)</f>
        <v/>
      </c>
      <c r="H497" s="124" t="str">
        <f ca="1">IF(RegimeExecucao="Global","",ORÇAMENTO!W497)</f>
        <v/>
      </c>
      <c r="I497" s="127">
        <f ca="1">ORÇAMENTO!X497</f>
        <v>0</v>
      </c>
      <c r="J497" s="378">
        <f ca="1">IF($A497="S",IF(CAIXA.Modo,BM.AFAnterior,BM.MEDAnterior),IF(AND(RegimeExecucao="Global",$I497&gt;0,COUNTIF($AB$13:$AM$13,BM.medicao-1)&gt;0),M497/$I497*100,0))</f>
        <v>0</v>
      </c>
      <c r="K497" s="124">
        <f t="shared" ca="1" si="46"/>
        <v>0</v>
      </c>
      <c r="L497" s="379">
        <f ca="1">IF($A497="S",IF(CAIXA.Modo,BM.AFAcumulado,BM.MEDAcumulado),IF(AND(RegimeExecucao="Global",$I497&gt;0,COUNTIF($AB$13:$AM$13,BM.medicao)&gt;0),O497/$I497*100,0))</f>
        <v>0</v>
      </c>
      <c r="M497" s="380">
        <f ca="1">IF($A497="S",VTOTALBM,IF($A497=0,0,ROUND(SomaAgrupBM,15-13*ORÇAMENTO!$AF$11)))</f>
        <v>0</v>
      </c>
      <c r="N497" s="381">
        <f t="shared" ca="1" si="47"/>
        <v>0</v>
      </c>
      <c r="O497" s="127">
        <f ca="1">IF($A497="S",VTOTALBM,IF($A497=0,0,ROUND(SomaAgrupBM,15-13*ORÇAMENTO!$AF$11)))</f>
        <v>0</v>
      </c>
      <c r="Q497" s="382"/>
      <c r="R497" s="383"/>
      <c r="T497" s="119" t="str">
        <f t="shared" ca="1" si="48"/>
        <v/>
      </c>
      <c r="U497" s="172" t="str">
        <f t="shared" ca="1" si="49"/>
        <v/>
      </c>
      <c r="V497" s="173" t="str">
        <f ca="1">IF(AND($W497&gt;0,RegimeExecucao="Unitário"),$F497,"")</f>
        <v/>
      </c>
      <c r="W497" s="547">
        <f ca="1">IF($Y497&gt;0,CHOOSE(MATCH(RegimeExecucao,{"Unitário","Global"},0),IF($A497="S",$Y497/$X497,""),($Y497/$X497)*100),0)</f>
        <v>0</v>
      </c>
      <c r="X497" s="384" t="str">
        <f ca="1">IF($Y497&gt;0,CHOOSE(MATCH(RegimeExecucao,{"Unitário","Global"},0),IF($A497="S",ROUND($H497,ORÇAMENTO!$AF$10),""),ROUND($I497,ORÇAMENTO!$AF$11)),"")</f>
        <v/>
      </c>
      <c r="Y497" s="384">
        <f t="shared" ca="1" si="50"/>
        <v>0</v>
      </c>
      <c r="Z497" s="572"/>
      <c r="AB497" s="382"/>
      <c r="AC497" s="516"/>
      <c r="AD497" s="516"/>
      <c r="AE497" s="516"/>
      <c r="AF497" s="516"/>
      <c r="AG497" s="516"/>
      <c r="AH497" s="516"/>
      <c r="AI497" s="516"/>
      <c r="AJ497" s="516"/>
      <c r="AK497" s="516"/>
      <c r="AL497" s="516"/>
      <c r="AM497" s="383"/>
      <c r="AO497">
        <f ca="1">IF($A497="S",IF(BM!$I497=0,0,CHOOSE(MATCH(RegimeExecucao,{"Global","Unitário"},0),ROUND(ROUND(BM.MEDAcumulado,15-13*BM!$A$9)/100*BM!$I497,15-13*ORÇAMENTO!$AF$11),ROUND(ROUND(BM.MEDAcumulado,15-13*BM!$A$9)*ROUND(BM!$H497,15-13*ORÇAMENTO!$AF$10),15-13*ORÇAMENTO!$AF$11))),IF($A497=0,0,ROUND(SomaAgrupBM,15-13*ORÇAMENTO!$AF$11)))</f>
        <v>0</v>
      </c>
    </row>
    <row r="498" spans="1:41" ht="25.5" x14ac:dyDescent="0.2">
      <c r="A498" t="str">
        <f ca="1">ORÇAMENTO!C498</f>
        <v>S</v>
      </c>
      <c r="B498">
        <f ca="1">ORÇAMENTO!D498</f>
        <v>0</v>
      </c>
      <c r="C498" s="116" t="str">
        <f t="shared" ca="1" si="44"/>
        <v/>
      </c>
      <c r="D498" s="119" t="str">
        <f ca="1">ORÇAMENTO!O498</f>
        <v>-</v>
      </c>
      <c r="E498" s="172" t="str">
        <f t="shared" ca="1" si="45"/>
        <v>(abra o arquivo 'Referência 06-2024.xlsm)</v>
      </c>
      <c r="F498" s="173" t="str">
        <f ca="1">IF(RegimeExecucao="Global","",ORÇAMENTO.Unidade)</f>
        <v/>
      </c>
      <c r="G498" s="124" t="str">
        <f ca="1">IF(RegimeExecucao="Global","",ORÇAMENTO!T498)</f>
        <v/>
      </c>
      <c r="H498" s="124" t="str">
        <f ca="1">IF(RegimeExecucao="Global","",ORÇAMENTO!W498)</f>
        <v/>
      </c>
      <c r="I498" s="127">
        <f ca="1">ORÇAMENTO!X498</f>
        <v>0</v>
      </c>
      <c r="J498" s="378">
        <f ca="1">IF($A498="S",IF(CAIXA.Modo,BM.AFAnterior,BM.MEDAnterior),IF(AND(RegimeExecucao="Global",$I498&gt;0,COUNTIF($AB$13:$AM$13,BM.medicao-1)&gt;0),M498/$I498*100,0))</f>
        <v>0</v>
      </c>
      <c r="K498" s="124">
        <f t="shared" ca="1" si="46"/>
        <v>0</v>
      </c>
      <c r="L498" s="379">
        <f ca="1">IF($A498="S",IF(CAIXA.Modo,BM.AFAcumulado,BM.MEDAcumulado),IF(AND(RegimeExecucao="Global",$I498&gt;0,COUNTIF($AB$13:$AM$13,BM.medicao)&gt;0),O498/$I498*100,0))</f>
        <v>0</v>
      </c>
      <c r="M498" s="380">
        <f ca="1">IF($A498="S",VTOTALBM,IF($A498=0,0,ROUND(SomaAgrupBM,15-13*ORÇAMENTO!$AF$11)))</f>
        <v>0</v>
      </c>
      <c r="N498" s="381">
        <f t="shared" ca="1" si="47"/>
        <v>0</v>
      </c>
      <c r="O498" s="127">
        <f ca="1">IF($A498="S",VTOTALBM,IF($A498=0,0,ROUND(SomaAgrupBM,15-13*ORÇAMENTO!$AF$11)))</f>
        <v>0</v>
      </c>
      <c r="Q498" s="382"/>
      <c r="R498" s="383"/>
      <c r="T498" s="119" t="str">
        <f t="shared" ca="1" si="48"/>
        <v/>
      </c>
      <c r="U498" s="172" t="str">
        <f t="shared" ca="1" si="49"/>
        <v/>
      </c>
      <c r="V498" s="173" t="str">
        <f ca="1">IF(AND($W498&gt;0,RegimeExecucao="Unitário"),$F498,"")</f>
        <v/>
      </c>
      <c r="W498" s="547">
        <f ca="1">IF($Y498&gt;0,CHOOSE(MATCH(RegimeExecucao,{"Unitário","Global"},0),IF($A498="S",$Y498/$X498,""),($Y498/$X498)*100),0)</f>
        <v>0</v>
      </c>
      <c r="X498" s="384" t="str">
        <f ca="1">IF($Y498&gt;0,CHOOSE(MATCH(RegimeExecucao,{"Unitário","Global"},0),IF($A498="S",ROUND($H498,ORÇAMENTO!$AF$10),""),ROUND($I498,ORÇAMENTO!$AF$11)),"")</f>
        <v/>
      </c>
      <c r="Y498" s="384">
        <f t="shared" ca="1" si="50"/>
        <v>0</v>
      </c>
      <c r="Z498" s="572"/>
      <c r="AB498" s="382"/>
      <c r="AC498" s="516"/>
      <c r="AD498" s="516"/>
      <c r="AE498" s="516"/>
      <c r="AF498" s="516"/>
      <c r="AG498" s="516"/>
      <c r="AH498" s="516"/>
      <c r="AI498" s="516"/>
      <c r="AJ498" s="516"/>
      <c r="AK498" s="516"/>
      <c r="AL498" s="516"/>
      <c r="AM498" s="383"/>
      <c r="AO498">
        <f ca="1">IF($A498="S",IF(BM!$I498=0,0,CHOOSE(MATCH(RegimeExecucao,{"Global","Unitário"},0),ROUND(ROUND(BM.MEDAcumulado,15-13*BM!$A$9)/100*BM!$I498,15-13*ORÇAMENTO!$AF$11),ROUND(ROUND(BM.MEDAcumulado,15-13*BM!$A$9)*ROUND(BM!$H498,15-13*ORÇAMENTO!$AF$10),15-13*ORÇAMENTO!$AF$11))),IF($A498=0,0,ROUND(SomaAgrupBM,15-13*ORÇAMENTO!$AF$11)))</f>
        <v>0</v>
      </c>
    </row>
    <row r="499" spans="1:41" ht="25.5" x14ac:dyDescent="0.2">
      <c r="A499" t="str">
        <f ca="1">ORÇAMENTO!C499</f>
        <v>S</v>
      </c>
      <c r="B499">
        <f ca="1">ORÇAMENTO!D499</f>
        <v>0</v>
      </c>
      <c r="C499" s="116" t="str">
        <f t="shared" ca="1" si="44"/>
        <v/>
      </c>
      <c r="D499" s="119" t="str">
        <f ca="1">ORÇAMENTO!O499</f>
        <v>-</v>
      </c>
      <c r="E499" s="172" t="str">
        <f t="shared" ca="1" si="45"/>
        <v>(abra o arquivo 'Referência 06-2024.xlsm)</v>
      </c>
      <c r="F499" s="173" t="str">
        <f ca="1">IF(RegimeExecucao="Global","",ORÇAMENTO.Unidade)</f>
        <v/>
      </c>
      <c r="G499" s="124" t="str">
        <f ca="1">IF(RegimeExecucao="Global","",ORÇAMENTO!T499)</f>
        <v/>
      </c>
      <c r="H499" s="124" t="str">
        <f ca="1">IF(RegimeExecucao="Global","",ORÇAMENTO!W499)</f>
        <v/>
      </c>
      <c r="I499" s="127">
        <f ca="1">ORÇAMENTO!X499</f>
        <v>0</v>
      </c>
      <c r="J499" s="378">
        <f ca="1">IF($A499="S",IF(CAIXA.Modo,BM.AFAnterior,BM.MEDAnterior),IF(AND(RegimeExecucao="Global",$I499&gt;0,COUNTIF($AB$13:$AM$13,BM.medicao-1)&gt;0),M499/$I499*100,0))</f>
        <v>0</v>
      </c>
      <c r="K499" s="124">
        <f t="shared" ca="1" si="46"/>
        <v>0</v>
      </c>
      <c r="L499" s="379">
        <f ca="1">IF($A499="S",IF(CAIXA.Modo,BM.AFAcumulado,BM.MEDAcumulado),IF(AND(RegimeExecucao="Global",$I499&gt;0,COUNTIF($AB$13:$AM$13,BM.medicao)&gt;0),O499/$I499*100,0))</f>
        <v>0</v>
      </c>
      <c r="M499" s="380">
        <f ca="1">IF($A499="S",VTOTALBM,IF($A499=0,0,ROUND(SomaAgrupBM,15-13*ORÇAMENTO!$AF$11)))</f>
        <v>0</v>
      </c>
      <c r="N499" s="381">
        <f t="shared" ca="1" si="47"/>
        <v>0</v>
      </c>
      <c r="O499" s="127">
        <f ca="1">IF($A499="S",VTOTALBM,IF($A499=0,0,ROUND(SomaAgrupBM,15-13*ORÇAMENTO!$AF$11)))</f>
        <v>0</v>
      </c>
      <c r="Q499" s="382"/>
      <c r="R499" s="383"/>
      <c r="T499" s="119" t="str">
        <f t="shared" ca="1" si="48"/>
        <v/>
      </c>
      <c r="U499" s="172" t="str">
        <f t="shared" ca="1" si="49"/>
        <v/>
      </c>
      <c r="V499" s="173" t="str">
        <f ca="1">IF(AND($W499&gt;0,RegimeExecucao="Unitário"),$F499,"")</f>
        <v/>
      </c>
      <c r="W499" s="547">
        <f ca="1">IF($Y499&gt;0,CHOOSE(MATCH(RegimeExecucao,{"Unitário","Global"},0),IF($A499="S",$Y499/$X499,""),($Y499/$X499)*100),0)</f>
        <v>0</v>
      </c>
      <c r="X499" s="384" t="str">
        <f ca="1">IF($Y499&gt;0,CHOOSE(MATCH(RegimeExecucao,{"Unitário","Global"},0),IF($A499="S",ROUND($H499,ORÇAMENTO!$AF$10),""),ROUND($I499,ORÇAMENTO!$AF$11)),"")</f>
        <v/>
      </c>
      <c r="Y499" s="384">
        <f t="shared" ca="1" si="50"/>
        <v>0</v>
      </c>
      <c r="Z499" s="572"/>
      <c r="AB499" s="382"/>
      <c r="AC499" s="516"/>
      <c r="AD499" s="516"/>
      <c r="AE499" s="516"/>
      <c r="AF499" s="516"/>
      <c r="AG499" s="516"/>
      <c r="AH499" s="516"/>
      <c r="AI499" s="516"/>
      <c r="AJ499" s="516"/>
      <c r="AK499" s="516"/>
      <c r="AL499" s="516"/>
      <c r="AM499" s="383"/>
      <c r="AO499">
        <f ca="1">IF($A499="S",IF(BM!$I499=0,0,CHOOSE(MATCH(RegimeExecucao,{"Global","Unitário"},0),ROUND(ROUND(BM.MEDAcumulado,15-13*BM!$A$9)/100*BM!$I499,15-13*ORÇAMENTO!$AF$11),ROUND(ROUND(BM.MEDAcumulado,15-13*BM!$A$9)*ROUND(BM!$H499,15-13*ORÇAMENTO!$AF$10),15-13*ORÇAMENTO!$AF$11))),IF($A499=0,0,ROUND(SomaAgrupBM,15-13*ORÇAMENTO!$AF$11)))</f>
        <v>0</v>
      </c>
    </row>
    <row r="500" spans="1:41" x14ac:dyDescent="0.2">
      <c r="A500" t="str">
        <f ca="1">ORÇAMENTO!C500</f>
        <v>S</v>
      </c>
      <c r="B500">
        <f ca="1">ORÇAMENTO!D500</f>
        <v>0</v>
      </c>
      <c r="C500" s="116" t="str">
        <f t="shared" ca="1" si="44"/>
        <v/>
      </c>
      <c r="D500" s="119" t="str">
        <f ca="1">ORÇAMENTO!O500</f>
        <v>-</v>
      </c>
      <c r="E500" s="172" t="str">
        <f t="shared" ca="1" si="45"/>
        <v>(abra o arquivo 'Referência 06-2024.xlsm)</v>
      </c>
      <c r="F500" s="173" t="str">
        <f ca="1">IF(RegimeExecucao="Global","",ORÇAMENTO.Unidade)</f>
        <v/>
      </c>
      <c r="G500" s="124" t="str">
        <f ca="1">IF(RegimeExecucao="Global","",ORÇAMENTO!T500)</f>
        <v/>
      </c>
      <c r="H500" s="124" t="str">
        <f ca="1">IF(RegimeExecucao="Global","",ORÇAMENTO!W500)</f>
        <v/>
      </c>
      <c r="I500" s="127">
        <f ca="1">ORÇAMENTO!X500</f>
        <v>0</v>
      </c>
      <c r="J500" s="378">
        <f ca="1">IF($A500="S",IF(CAIXA.Modo,BM.AFAnterior,BM.MEDAnterior),IF(AND(RegimeExecucao="Global",$I500&gt;0,COUNTIF($AB$13:$AM$13,BM.medicao-1)&gt;0),M500/$I500*100,0))</f>
        <v>0</v>
      </c>
      <c r="K500" s="124">
        <f t="shared" ca="1" si="46"/>
        <v>0</v>
      </c>
      <c r="L500" s="379">
        <f ca="1">IF($A500="S",IF(CAIXA.Modo,BM.AFAcumulado,BM.MEDAcumulado),IF(AND(RegimeExecucao="Global",$I500&gt;0,COUNTIF($AB$13:$AM$13,BM.medicao)&gt;0),O500/$I500*100,0))</f>
        <v>0</v>
      </c>
      <c r="M500" s="380">
        <f ca="1">IF($A500="S",VTOTALBM,IF($A500=0,0,ROUND(SomaAgrupBM,15-13*ORÇAMENTO!$AF$11)))</f>
        <v>0</v>
      </c>
      <c r="N500" s="381">
        <f t="shared" ca="1" si="47"/>
        <v>0</v>
      </c>
      <c r="O500" s="127">
        <f ca="1">IF($A500="S",VTOTALBM,IF($A500=0,0,ROUND(SomaAgrupBM,15-13*ORÇAMENTO!$AF$11)))</f>
        <v>0</v>
      </c>
      <c r="Q500" s="382"/>
      <c r="R500" s="383"/>
      <c r="T500" s="119" t="str">
        <f t="shared" ca="1" si="48"/>
        <v/>
      </c>
      <c r="U500" s="172" t="str">
        <f t="shared" ca="1" si="49"/>
        <v/>
      </c>
      <c r="V500" s="173" t="str">
        <f ca="1">IF(AND($W500&gt;0,RegimeExecucao="Unitário"),$F500,"")</f>
        <v/>
      </c>
      <c r="W500" s="547">
        <f ca="1">IF($Y500&gt;0,CHOOSE(MATCH(RegimeExecucao,{"Unitário","Global"},0),IF($A500="S",$Y500/$X500,""),($Y500/$X500)*100),0)</f>
        <v>0</v>
      </c>
      <c r="X500" s="384" t="str">
        <f ca="1">IF($Y500&gt;0,CHOOSE(MATCH(RegimeExecucao,{"Unitário","Global"},0),IF($A500="S",ROUND($H500,ORÇAMENTO!$AF$10),""),ROUND($I500,ORÇAMENTO!$AF$11)),"")</f>
        <v/>
      </c>
      <c r="Y500" s="384">
        <f t="shared" ca="1" si="50"/>
        <v>0</v>
      </c>
      <c r="Z500" s="572"/>
      <c r="AB500" s="382"/>
      <c r="AC500" s="516"/>
      <c r="AD500" s="516"/>
      <c r="AE500" s="516"/>
      <c r="AF500" s="516"/>
      <c r="AG500" s="516"/>
      <c r="AH500" s="516"/>
      <c r="AI500" s="516"/>
      <c r="AJ500" s="516"/>
      <c r="AK500" s="516"/>
      <c r="AL500" s="516"/>
      <c r="AM500" s="383"/>
      <c r="AO500">
        <f ca="1">IF($A500="S",IF(BM!$I500=0,0,CHOOSE(MATCH(RegimeExecucao,{"Global","Unitário"},0),ROUND(ROUND(BM.MEDAcumulado,15-13*BM!$A$9)/100*BM!$I500,15-13*ORÇAMENTO!$AF$11),ROUND(ROUND(BM.MEDAcumulado,15-13*BM!$A$9)*ROUND(BM!$H500,15-13*ORÇAMENTO!$AF$10),15-13*ORÇAMENTO!$AF$11))),IF($A500=0,0,ROUND(SomaAgrupBM,15-13*ORÇAMENTO!$AF$11)))</f>
        <v>0</v>
      </c>
    </row>
    <row r="501" spans="1:41" ht="25.5" x14ac:dyDescent="0.2">
      <c r="A501" t="str">
        <f ca="1">ORÇAMENTO!C501</f>
        <v>S</v>
      </c>
      <c r="B501">
        <f ca="1">ORÇAMENTO!D501</f>
        <v>0</v>
      </c>
      <c r="C501" s="116" t="str">
        <f t="shared" ca="1" si="44"/>
        <v/>
      </c>
      <c r="D501" s="119" t="str">
        <f ca="1">ORÇAMENTO!O501</f>
        <v>-</v>
      </c>
      <c r="E501" s="172" t="str">
        <f t="shared" ca="1" si="45"/>
        <v>(abra o arquivo 'Referência 06-2024.xlsm)</v>
      </c>
      <c r="F501" s="173" t="str">
        <f ca="1">IF(RegimeExecucao="Global","",ORÇAMENTO.Unidade)</f>
        <v/>
      </c>
      <c r="G501" s="124" t="str">
        <f ca="1">IF(RegimeExecucao="Global","",ORÇAMENTO!T501)</f>
        <v/>
      </c>
      <c r="H501" s="124" t="str">
        <f ca="1">IF(RegimeExecucao="Global","",ORÇAMENTO!W501)</f>
        <v/>
      </c>
      <c r="I501" s="127">
        <f ca="1">ORÇAMENTO!X501</f>
        <v>0</v>
      </c>
      <c r="J501" s="378">
        <f ca="1">IF($A501="S",IF(CAIXA.Modo,BM.AFAnterior,BM.MEDAnterior),IF(AND(RegimeExecucao="Global",$I501&gt;0,COUNTIF($AB$13:$AM$13,BM.medicao-1)&gt;0),M501/$I501*100,0))</f>
        <v>0</v>
      </c>
      <c r="K501" s="124">
        <f t="shared" ca="1" si="46"/>
        <v>0</v>
      </c>
      <c r="L501" s="379">
        <f ca="1">IF($A501="S",IF(CAIXA.Modo,BM.AFAcumulado,BM.MEDAcumulado),IF(AND(RegimeExecucao="Global",$I501&gt;0,COUNTIF($AB$13:$AM$13,BM.medicao)&gt;0),O501/$I501*100,0))</f>
        <v>0</v>
      </c>
      <c r="M501" s="380">
        <f ca="1">IF($A501="S",VTOTALBM,IF($A501=0,0,ROUND(SomaAgrupBM,15-13*ORÇAMENTO!$AF$11)))</f>
        <v>0</v>
      </c>
      <c r="N501" s="381">
        <f t="shared" ca="1" si="47"/>
        <v>0</v>
      </c>
      <c r="O501" s="127">
        <f ca="1">IF($A501="S",VTOTALBM,IF($A501=0,0,ROUND(SomaAgrupBM,15-13*ORÇAMENTO!$AF$11)))</f>
        <v>0</v>
      </c>
      <c r="Q501" s="382"/>
      <c r="R501" s="383"/>
      <c r="T501" s="119" t="str">
        <f t="shared" ca="1" si="48"/>
        <v/>
      </c>
      <c r="U501" s="172" t="str">
        <f t="shared" ca="1" si="49"/>
        <v/>
      </c>
      <c r="V501" s="173" t="str">
        <f ca="1">IF(AND($W501&gt;0,RegimeExecucao="Unitário"),$F501,"")</f>
        <v/>
      </c>
      <c r="W501" s="547">
        <f ca="1">IF($Y501&gt;0,CHOOSE(MATCH(RegimeExecucao,{"Unitário","Global"},0),IF($A501="S",$Y501/$X501,""),($Y501/$X501)*100),0)</f>
        <v>0</v>
      </c>
      <c r="X501" s="384" t="str">
        <f ca="1">IF($Y501&gt;0,CHOOSE(MATCH(RegimeExecucao,{"Unitário","Global"},0),IF($A501="S",ROUND($H501,ORÇAMENTO!$AF$10),""),ROUND($I501,ORÇAMENTO!$AF$11)),"")</f>
        <v/>
      </c>
      <c r="Y501" s="384">
        <f t="shared" ca="1" si="50"/>
        <v>0</v>
      </c>
      <c r="Z501" s="572"/>
      <c r="AB501" s="382"/>
      <c r="AC501" s="516"/>
      <c r="AD501" s="516"/>
      <c r="AE501" s="516"/>
      <c r="AF501" s="516"/>
      <c r="AG501" s="516"/>
      <c r="AH501" s="516"/>
      <c r="AI501" s="516"/>
      <c r="AJ501" s="516"/>
      <c r="AK501" s="516"/>
      <c r="AL501" s="516"/>
      <c r="AM501" s="383"/>
      <c r="AO501">
        <f ca="1">IF($A501="S",IF(BM!$I501=0,0,CHOOSE(MATCH(RegimeExecucao,{"Global","Unitário"},0),ROUND(ROUND(BM.MEDAcumulado,15-13*BM!$A$9)/100*BM!$I501,15-13*ORÇAMENTO!$AF$11),ROUND(ROUND(BM.MEDAcumulado,15-13*BM!$A$9)*ROUND(BM!$H501,15-13*ORÇAMENTO!$AF$10),15-13*ORÇAMENTO!$AF$11))),IF($A501=0,0,ROUND(SomaAgrupBM,15-13*ORÇAMENTO!$AF$11)))</f>
        <v>0</v>
      </c>
    </row>
    <row r="502" spans="1:41" ht="25.5" x14ac:dyDescent="0.2">
      <c r="A502" t="str">
        <f ca="1">ORÇAMENTO!C502</f>
        <v>S</v>
      </c>
      <c r="B502">
        <f ca="1">ORÇAMENTO!D502</f>
        <v>0</v>
      </c>
      <c r="C502" s="116" t="str">
        <f t="shared" ca="1" si="44"/>
        <v/>
      </c>
      <c r="D502" s="119" t="str">
        <f ca="1">ORÇAMENTO!O502</f>
        <v>-</v>
      </c>
      <c r="E502" s="172" t="str">
        <f t="shared" ca="1" si="45"/>
        <v>(abra o arquivo 'Referência 06-2024.xlsm)</v>
      </c>
      <c r="F502" s="173" t="str">
        <f ca="1">IF(RegimeExecucao="Global","",ORÇAMENTO.Unidade)</f>
        <v/>
      </c>
      <c r="G502" s="124" t="str">
        <f ca="1">IF(RegimeExecucao="Global","",ORÇAMENTO!T502)</f>
        <v/>
      </c>
      <c r="H502" s="124" t="str">
        <f ca="1">IF(RegimeExecucao="Global","",ORÇAMENTO!W502)</f>
        <v/>
      </c>
      <c r="I502" s="127">
        <f ca="1">ORÇAMENTO!X502</f>
        <v>0</v>
      </c>
      <c r="J502" s="378">
        <f ca="1">IF($A502="S",IF(CAIXA.Modo,BM.AFAnterior,BM.MEDAnterior),IF(AND(RegimeExecucao="Global",$I502&gt;0,COUNTIF($AB$13:$AM$13,BM.medicao-1)&gt;0),M502/$I502*100,0))</f>
        <v>0</v>
      </c>
      <c r="K502" s="124">
        <f t="shared" ca="1" si="46"/>
        <v>0</v>
      </c>
      <c r="L502" s="379">
        <f ca="1">IF($A502="S",IF(CAIXA.Modo,BM.AFAcumulado,BM.MEDAcumulado),IF(AND(RegimeExecucao="Global",$I502&gt;0,COUNTIF($AB$13:$AM$13,BM.medicao)&gt;0),O502/$I502*100,0))</f>
        <v>0</v>
      </c>
      <c r="M502" s="380">
        <f ca="1">IF($A502="S",VTOTALBM,IF($A502=0,0,ROUND(SomaAgrupBM,15-13*ORÇAMENTO!$AF$11)))</f>
        <v>0</v>
      </c>
      <c r="N502" s="381">
        <f t="shared" ca="1" si="47"/>
        <v>0</v>
      </c>
      <c r="O502" s="127">
        <f ca="1">IF($A502="S",VTOTALBM,IF($A502=0,0,ROUND(SomaAgrupBM,15-13*ORÇAMENTO!$AF$11)))</f>
        <v>0</v>
      </c>
      <c r="Q502" s="382"/>
      <c r="R502" s="383"/>
      <c r="T502" s="119" t="str">
        <f t="shared" ca="1" si="48"/>
        <v/>
      </c>
      <c r="U502" s="172" t="str">
        <f t="shared" ca="1" si="49"/>
        <v/>
      </c>
      <c r="V502" s="173" t="str">
        <f ca="1">IF(AND($W502&gt;0,RegimeExecucao="Unitário"),$F502,"")</f>
        <v/>
      </c>
      <c r="W502" s="547">
        <f ca="1">IF($Y502&gt;0,CHOOSE(MATCH(RegimeExecucao,{"Unitário","Global"},0),IF($A502="S",$Y502/$X502,""),($Y502/$X502)*100),0)</f>
        <v>0</v>
      </c>
      <c r="X502" s="384" t="str">
        <f ca="1">IF($Y502&gt;0,CHOOSE(MATCH(RegimeExecucao,{"Unitário","Global"},0),IF($A502="S",ROUND($H502,ORÇAMENTO!$AF$10),""),ROUND($I502,ORÇAMENTO!$AF$11)),"")</f>
        <v/>
      </c>
      <c r="Y502" s="384">
        <f t="shared" ca="1" si="50"/>
        <v>0</v>
      </c>
      <c r="Z502" s="572"/>
      <c r="AB502" s="382"/>
      <c r="AC502" s="516"/>
      <c r="AD502" s="516"/>
      <c r="AE502" s="516"/>
      <c r="AF502" s="516"/>
      <c r="AG502" s="516"/>
      <c r="AH502" s="516"/>
      <c r="AI502" s="516"/>
      <c r="AJ502" s="516"/>
      <c r="AK502" s="516"/>
      <c r="AL502" s="516"/>
      <c r="AM502" s="383"/>
      <c r="AO502">
        <f ca="1">IF($A502="S",IF(BM!$I502=0,0,CHOOSE(MATCH(RegimeExecucao,{"Global","Unitário"},0),ROUND(ROUND(BM.MEDAcumulado,15-13*BM!$A$9)/100*BM!$I502,15-13*ORÇAMENTO!$AF$11),ROUND(ROUND(BM.MEDAcumulado,15-13*BM!$A$9)*ROUND(BM!$H502,15-13*ORÇAMENTO!$AF$10),15-13*ORÇAMENTO!$AF$11))),IF($A502=0,0,ROUND(SomaAgrupBM,15-13*ORÇAMENTO!$AF$11)))</f>
        <v>0</v>
      </c>
    </row>
    <row r="503" spans="1:41" ht="25.5" x14ac:dyDescent="0.2">
      <c r="A503" t="str">
        <f ca="1">ORÇAMENTO!C503</f>
        <v>S</v>
      </c>
      <c r="B503">
        <f ca="1">ORÇAMENTO!D503</f>
        <v>0</v>
      </c>
      <c r="C503" s="116" t="str">
        <f t="shared" ca="1" si="44"/>
        <v/>
      </c>
      <c r="D503" s="119" t="str">
        <f ca="1">ORÇAMENTO!O503</f>
        <v>-</v>
      </c>
      <c r="E503" s="172" t="str">
        <f t="shared" ca="1" si="45"/>
        <v>(abra o arquivo 'Referência 06-2024.xlsm)</v>
      </c>
      <c r="F503" s="173" t="str">
        <f ca="1">IF(RegimeExecucao="Global","",ORÇAMENTO.Unidade)</f>
        <v/>
      </c>
      <c r="G503" s="124" t="str">
        <f ca="1">IF(RegimeExecucao="Global","",ORÇAMENTO!T503)</f>
        <v/>
      </c>
      <c r="H503" s="124" t="str">
        <f ca="1">IF(RegimeExecucao="Global","",ORÇAMENTO!W503)</f>
        <v/>
      </c>
      <c r="I503" s="127">
        <f ca="1">ORÇAMENTO!X503</f>
        <v>0</v>
      </c>
      <c r="J503" s="378">
        <f ca="1">IF($A503="S",IF(CAIXA.Modo,BM.AFAnterior,BM.MEDAnterior),IF(AND(RegimeExecucao="Global",$I503&gt;0,COUNTIF($AB$13:$AM$13,BM.medicao-1)&gt;0),M503/$I503*100,0))</f>
        <v>0</v>
      </c>
      <c r="K503" s="124">
        <f t="shared" ca="1" si="46"/>
        <v>0</v>
      </c>
      <c r="L503" s="379">
        <f ca="1">IF($A503="S",IF(CAIXA.Modo,BM.AFAcumulado,BM.MEDAcumulado),IF(AND(RegimeExecucao="Global",$I503&gt;0,COUNTIF($AB$13:$AM$13,BM.medicao)&gt;0),O503/$I503*100,0))</f>
        <v>0</v>
      </c>
      <c r="M503" s="380">
        <f ca="1">IF($A503="S",VTOTALBM,IF($A503=0,0,ROUND(SomaAgrupBM,15-13*ORÇAMENTO!$AF$11)))</f>
        <v>0</v>
      </c>
      <c r="N503" s="381">
        <f t="shared" ca="1" si="47"/>
        <v>0</v>
      </c>
      <c r="O503" s="127">
        <f ca="1">IF($A503="S",VTOTALBM,IF($A503=0,0,ROUND(SomaAgrupBM,15-13*ORÇAMENTO!$AF$11)))</f>
        <v>0</v>
      </c>
      <c r="Q503" s="382"/>
      <c r="R503" s="383"/>
      <c r="T503" s="119" t="str">
        <f t="shared" ca="1" si="48"/>
        <v/>
      </c>
      <c r="U503" s="172" t="str">
        <f t="shared" ca="1" si="49"/>
        <v/>
      </c>
      <c r="V503" s="173" t="str">
        <f ca="1">IF(AND($W503&gt;0,RegimeExecucao="Unitário"),$F503,"")</f>
        <v/>
      </c>
      <c r="W503" s="547">
        <f ca="1">IF($Y503&gt;0,CHOOSE(MATCH(RegimeExecucao,{"Unitário","Global"},0),IF($A503="S",$Y503/$X503,""),($Y503/$X503)*100),0)</f>
        <v>0</v>
      </c>
      <c r="X503" s="384" t="str">
        <f ca="1">IF($Y503&gt;0,CHOOSE(MATCH(RegimeExecucao,{"Unitário","Global"},0),IF($A503="S",ROUND($H503,ORÇAMENTO!$AF$10),""),ROUND($I503,ORÇAMENTO!$AF$11)),"")</f>
        <v/>
      </c>
      <c r="Y503" s="384">
        <f t="shared" ca="1" si="50"/>
        <v>0</v>
      </c>
      <c r="Z503" s="572"/>
      <c r="AB503" s="382"/>
      <c r="AC503" s="516"/>
      <c r="AD503" s="516"/>
      <c r="AE503" s="516"/>
      <c r="AF503" s="516"/>
      <c r="AG503" s="516"/>
      <c r="AH503" s="516"/>
      <c r="AI503" s="516"/>
      <c r="AJ503" s="516"/>
      <c r="AK503" s="516"/>
      <c r="AL503" s="516"/>
      <c r="AM503" s="383"/>
      <c r="AO503">
        <f ca="1">IF($A503="S",IF(BM!$I503=0,0,CHOOSE(MATCH(RegimeExecucao,{"Global","Unitário"},0),ROUND(ROUND(BM.MEDAcumulado,15-13*BM!$A$9)/100*BM!$I503,15-13*ORÇAMENTO!$AF$11),ROUND(ROUND(BM.MEDAcumulado,15-13*BM!$A$9)*ROUND(BM!$H503,15-13*ORÇAMENTO!$AF$10),15-13*ORÇAMENTO!$AF$11))),IF($A503=0,0,ROUND(SomaAgrupBM,15-13*ORÇAMENTO!$AF$11)))</f>
        <v>0</v>
      </c>
    </row>
    <row r="504" spans="1:41" ht="25.5" x14ac:dyDescent="0.2">
      <c r="A504" t="str">
        <f ca="1">ORÇAMENTO!C504</f>
        <v>S</v>
      </c>
      <c r="B504">
        <f ca="1">ORÇAMENTO!D504</f>
        <v>0</v>
      </c>
      <c r="C504" s="116" t="str">
        <f t="shared" ca="1" si="44"/>
        <v/>
      </c>
      <c r="D504" s="119" t="str">
        <f ca="1">ORÇAMENTO!O504</f>
        <v>-</v>
      </c>
      <c r="E504" s="172" t="str">
        <f t="shared" ca="1" si="45"/>
        <v>(abra o arquivo 'Referência 06-2024.xlsm)</v>
      </c>
      <c r="F504" s="173" t="str">
        <f ca="1">IF(RegimeExecucao="Global","",ORÇAMENTO.Unidade)</f>
        <v/>
      </c>
      <c r="G504" s="124" t="str">
        <f ca="1">IF(RegimeExecucao="Global","",ORÇAMENTO!T504)</f>
        <v/>
      </c>
      <c r="H504" s="124" t="str">
        <f ca="1">IF(RegimeExecucao="Global","",ORÇAMENTO!W504)</f>
        <v/>
      </c>
      <c r="I504" s="127">
        <f ca="1">ORÇAMENTO!X504</f>
        <v>0</v>
      </c>
      <c r="J504" s="378">
        <f ca="1">IF($A504="S",IF(CAIXA.Modo,BM.AFAnterior,BM.MEDAnterior),IF(AND(RegimeExecucao="Global",$I504&gt;0,COUNTIF($AB$13:$AM$13,BM.medicao-1)&gt;0),M504/$I504*100,0))</f>
        <v>0</v>
      </c>
      <c r="K504" s="124">
        <f t="shared" ca="1" si="46"/>
        <v>0</v>
      </c>
      <c r="L504" s="379">
        <f ca="1">IF($A504="S",IF(CAIXA.Modo,BM.AFAcumulado,BM.MEDAcumulado),IF(AND(RegimeExecucao="Global",$I504&gt;0,COUNTIF($AB$13:$AM$13,BM.medicao)&gt;0),O504/$I504*100,0))</f>
        <v>0</v>
      </c>
      <c r="M504" s="380">
        <f ca="1">IF($A504="S",VTOTALBM,IF($A504=0,0,ROUND(SomaAgrupBM,15-13*ORÇAMENTO!$AF$11)))</f>
        <v>0</v>
      </c>
      <c r="N504" s="381">
        <f t="shared" ca="1" si="47"/>
        <v>0</v>
      </c>
      <c r="O504" s="127">
        <f ca="1">IF($A504="S",VTOTALBM,IF($A504=0,0,ROUND(SomaAgrupBM,15-13*ORÇAMENTO!$AF$11)))</f>
        <v>0</v>
      </c>
      <c r="Q504" s="382"/>
      <c r="R504" s="383"/>
      <c r="T504" s="119" t="str">
        <f t="shared" ca="1" si="48"/>
        <v/>
      </c>
      <c r="U504" s="172" t="str">
        <f t="shared" ca="1" si="49"/>
        <v/>
      </c>
      <c r="V504" s="173" t="str">
        <f ca="1">IF(AND($W504&gt;0,RegimeExecucao="Unitário"),$F504,"")</f>
        <v/>
      </c>
      <c r="W504" s="547">
        <f ca="1">IF($Y504&gt;0,CHOOSE(MATCH(RegimeExecucao,{"Unitário","Global"},0),IF($A504="S",$Y504/$X504,""),($Y504/$X504)*100),0)</f>
        <v>0</v>
      </c>
      <c r="X504" s="384" t="str">
        <f ca="1">IF($Y504&gt;0,CHOOSE(MATCH(RegimeExecucao,{"Unitário","Global"},0),IF($A504="S",ROUND($H504,ORÇAMENTO!$AF$10),""),ROUND($I504,ORÇAMENTO!$AF$11)),"")</f>
        <v/>
      </c>
      <c r="Y504" s="384">
        <f t="shared" ca="1" si="50"/>
        <v>0</v>
      </c>
      <c r="Z504" s="572"/>
      <c r="AB504" s="382"/>
      <c r="AC504" s="516"/>
      <c r="AD504" s="516"/>
      <c r="AE504" s="516"/>
      <c r="AF504" s="516"/>
      <c r="AG504" s="516"/>
      <c r="AH504" s="516"/>
      <c r="AI504" s="516"/>
      <c r="AJ504" s="516"/>
      <c r="AK504" s="516"/>
      <c r="AL504" s="516"/>
      <c r="AM504" s="383"/>
      <c r="AO504">
        <f ca="1">IF($A504="S",IF(BM!$I504=0,0,CHOOSE(MATCH(RegimeExecucao,{"Global","Unitário"},0),ROUND(ROUND(BM.MEDAcumulado,15-13*BM!$A$9)/100*BM!$I504,15-13*ORÇAMENTO!$AF$11),ROUND(ROUND(BM.MEDAcumulado,15-13*BM!$A$9)*ROUND(BM!$H504,15-13*ORÇAMENTO!$AF$10),15-13*ORÇAMENTO!$AF$11))),IF($A504=0,0,ROUND(SomaAgrupBM,15-13*ORÇAMENTO!$AF$11)))</f>
        <v>0</v>
      </c>
    </row>
    <row r="505" spans="1:41" ht="25.5" x14ac:dyDescent="0.2">
      <c r="A505" t="str">
        <f ca="1">ORÇAMENTO!C505</f>
        <v>S</v>
      </c>
      <c r="B505">
        <f ca="1">ORÇAMENTO!D505</f>
        <v>0</v>
      </c>
      <c r="C505" s="116" t="str">
        <f t="shared" ca="1" si="44"/>
        <v/>
      </c>
      <c r="D505" s="119" t="str">
        <f ca="1">ORÇAMENTO!O505</f>
        <v>-</v>
      </c>
      <c r="E505" s="172" t="str">
        <f t="shared" ca="1" si="45"/>
        <v>(abra o arquivo 'Referência 06-2024.xlsm)</v>
      </c>
      <c r="F505" s="173" t="str">
        <f ca="1">IF(RegimeExecucao="Global","",ORÇAMENTO.Unidade)</f>
        <v/>
      </c>
      <c r="G505" s="124" t="str">
        <f ca="1">IF(RegimeExecucao="Global","",ORÇAMENTO!T505)</f>
        <v/>
      </c>
      <c r="H505" s="124" t="str">
        <f ca="1">IF(RegimeExecucao="Global","",ORÇAMENTO!W505)</f>
        <v/>
      </c>
      <c r="I505" s="127">
        <f ca="1">ORÇAMENTO!X505</f>
        <v>0</v>
      </c>
      <c r="J505" s="378">
        <f ca="1">IF($A505="S",IF(CAIXA.Modo,BM.AFAnterior,BM.MEDAnterior),IF(AND(RegimeExecucao="Global",$I505&gt;0,COUNTIF($AB$13:$AM$13,BM.medicao-1)&gt;0),M505/$I505*100,0))</f>
        <v>0</v>
      </c>
      <c r="K505" s="124">
        <f t="shared" ca="1" si="46"/>
        <v>0</v>
      </c>
      <c r="L505" s="379">
        <f ca="1">IF($A505="S",IF(CAIXA.Modo,BM.AFAcumulado,BM.MEDAcumulado),IF(AND(RegimeExecucao="Global",$I505&gt;0,COUNTIF($AB$13:$AM$13,BM.medicao)&gt;0),O505/$I505*100,0))</f>
        <v>0</v>
      </c>
      <c r="M505" s="380">
        <f ca="1">IF($A505="S",VTOTALBM,IF($A505=0,0,ROUND(SomaAgrupBM,15-13*ORÇAMENTO!$AF$11)))</f>
        <v>0</v>
      </c>
      <c r="N505" s="381">
        <f t="shared" ca="1" si="47"/>
        <v>0</v>
      </c>
      <c r="O505" s="127">
        <f ca="1">IF($A505="S",VTOTALBM,IF($A505=0,0,ROUND(SomaAgrupBM,15-13*ORÇAMENTO!$AF$11)))</f>
        <v>0</v>
      </c>
      <c r="Q505" s="382"/>
      <c r="R505" s="383"/>
      <c r="T505" s="119" t="str">
        <f t="shared" ca="1" si="48"/>
        <v/>
      </c>
      <c r="U505" s="172" t="str">
        <f t="shared" ca="1" si="49"/>
        <v/>
      </c>
      <c r="V505" s="173" t="str">
        <f ca="1">IF(AND($W505&gt;0,RegimeExecucao="Unitário"),$F505,"")</f>
        <v/>
      </c>
      <c r="W505" s="547">
        <f ca="1">IF($Y505&gt;0,CHOOSE(MATCH(RegimeExecucao,{"Unitário","Global"},0),IF($A505="S",$Y505/$X505,""),($Y505/$X505)*100),0)</f>
        <v>0</v>
      </c>
      <c r="X505" s="384" t="str">
        <f ca="1">IF($Y505&gt;0,CHOOSE(MATCH(RegimeExecucao,{"Unitário","Global"},0),IF($A505="S",ROUND($H505,ORÇAMENTO!$AF$10),""),ROUND($I505,ORÇAMENTO!$AF$11)),"")</f>
        <v/>
      </c>
      <c r="Y505" s="384">
        <f t="shared" ca="1" si="50"/>
        <v>0</v>
      </c>
      <c r="Z505" s="572"/>
      <c r="AB505" s="382"/>
      <c r="AC505" s="516"/>
      <c r="AD505" s="516"/>
      <c r="AE505" s="516"/>
      <c r="AF505" s="516"/>
      <c r="AG505" s="516"/>
      <c r="AH505" s="516"/>
      <c r="AI505" s="516"/>
      <c r="AJ505" s="516"/>
      <c r="AK505" s="516"/>
      <c r="AL505" s="516"/>
      <c r="AM505" s="383"/>
      <c r="AO505">
        <f ca="1">IF($A505="S",IF(BM!$I505=0,0,CHOOSE(MATCH(RegimeExecucao,{"Global","Unitário"},0),ROUND(ROUND(BM.MEDAcumulado,15-13*BM!$A$9)/100*BM!$I505,15-13*ORÇAMENTO!$AF$11),ROUND(ROUND(BM.MEDAcumulado,15-13*BM!$A$9)*ROUND(BM!$H505,15-13*ORÇAMENTO!$AF$10),15-13*ORÇAMENTO!$AF$11))),IF($A505=0,0,ROUND(SomaAgrupBM,15-13*ORÇAMENTO!$AF$11)))</f>
        <v>0</v>
      </c>
    </row>
    <row r="506" spans="1:41" ht="25.5" x14ac:dyDescent="0.2">
      <c r="A506" t="str">
        <f ca="1">ORÇAMENTO!C506</f>
        <v>S</v>
      </c>
      <c r="B506">
        <f ca="1">ORÇAMENTO!D506</f>
        <v>0</v>
      </c>
      <c r="C506" s="116" t="str">
        <f t="shared" ca="1" si="44"/>
        <v/>
      </c>
      <c r="D506" s="119" t="str">
        <f ca="1">ORÇAMENTO!O506</f>
        <v>-</v>
      </c>
      <c r="E506" s="172" t="str">
        <f t="shared" ca="1" si="45"/>
        <v>(abra o arquivo 'Referência 06-2024.xlsm)</v>
      </c>
      <c r="F506" s="173" t="str">
        <f ca="1">IF(RegimeExecucao="Global","",ORÇAMENTO.Unidade)</f>
        <v/>
      </c>
      <c r="G506" s="124" t="str">
        <f ca="1">IF(RegimeExecucao="Global","",ORÇAMENTO!T506)</f>
        <v/>
      </c>
      <c r="H506" s="124" t="str">
        <f ca="1">IF(RegimeExecucao="Global","",ORÇAMENTO!W506)</f>
        <v/>
      </c>
      <c r="I506" s="127">
        <f ca="1">ORÇAMENTO!X506</f>
        <v>0</v>
      </c>
      <c r="J506" s="378">
        <f ca="1">IF($A506="S",IF(CAIXA.Modo,BM.AFAnterior,BM.MEDAnterior),IF(AND(RegimeExecucao="Global",$I506&gt;0,COUNTIF($AB$13:$AM$13,BM.medicao-1)&gt;0),M506/$I506*100,0))</f>
        <v>0</v>
      </c>
      <c r="K506" s="124">
        <f t="shared" ca="1" si="46"/>
        <v>0</v>
      </c>
      <c r="L506" s="379">
        <f ca="1">IF($A506="S",IF(CAIXA.Modo,BM.AFAcumulado,BM.MEDAcumulado),IF(AND(RegimeExecucao="Global",$I506&gt;0,COUNTIF($AB$13:$AM$13,BM.medicao)&gt;0),O506/$I506*100,0))</f>
        <v>0</v>
      </c>
      <c r="M506" s="380">
        <f ca="1">IF($A506="S",VTOTALBM,IF($A506=0,0,ROUND(SomaAgrupBM,15-13*ORÇAMENTO!$AF$11)))</f>
        <v>0</v>
      </c>
      <c r="N506" s="381">
        <f t="shared" ca="1" si="47"/>
        <v>0</v>
      </c>
      <c r="O506" s="127">
        <f ca="1">IF($A506="S",VTOTALBM,IF($A506=0,0,ROUND(SomaAgrupBM,15-13*ORÇAMENTO!$AF$11)))</f>
        <v>0</v>
      </c>
      <c r="Q506" s="382"/>
      <c r="R506" s="383"/>
      <c r="T506" s="119" t="str">
        <f t="shared" ca="1" si="48"/>
        <v/>
      </c>
      <c r="U506" s="172" t="str">
        <f t="shared" ca="1" si="49"/>
        <v/>
      </c>
      <c r="V506" s="173" t="str">
        <f ca="1">IF(AND($W506&gt;0,RegimeExecucao="Unitário"),$F506,"")</f>
        <v/>
      </c>
      <c r="W506" s="547">
        <f ca="1">IF($Y506&gt;0,CHOOSE(MATCH(RegimeExecucao,{"Unitário","Global"},0),IF($A506="S",$Y506/$X506,""),($Y506/$X506)*100),0)</f>
        <v>0</v>
      </c>
      <c r="X506" s="384" t="str">
        <f ca="1">IF($Y506&gt;0,CHOOSE(MATCH(RegimeExecucao,{"Unitário","Global"},0),IF($A506="S",ROUND($H506,ORÇAMENTO!$AF$10),""),ROUND($I506,ORÇAMENTO!$AF$11)),"")</f>
        <v/>
      </c>
      <c r="Y506" s="384">
        <f t="shared" ca="1" si="50"/>
        <v>0</v>
      </c>
      <c r="Z506" s="572"/>
      <c r="AB506" s="382"/>
      <c r="AC506" s="516"/>
      <c r="AD506" s="516"/>
      <c r="AE506" s="516"/>
      <c r="AF506" s="516"/>
      <c r="AG506" s="516"/>
      <c r="AH506" s="516"/>
      <c r="AI506" s="516"/>
      <c r="AJ506" s="516"/>
      <c r="AK506" s="516"/>
      <c r="AL506" s="516"/>
      <c r="AM506" s="383"/>
      <c r="AO506">
        <f ca="1">IF($A506="S",IF(BM!$I506=0,0,CHOOSE(MATCH(RegimeExecucao,{"Global","Unitário"},0),ROUND(ROUND(BM.MEDAcumulado,15-13*BM!$A$9)/100*BM!$I506,15-13*ORÇAMENTO!$AF$11),ROUND(ROUND(BM.MEDAcumulado,15-13*BM!$A$9)*ROUND(BM!$H506,15-13*ORÇAMENTO!$AF$10),15-13*ORÇAMENTO!$AF$11))),IF($A506=0,0,ROUND(SomaAgrupBM,15-13*ORÇAMENTO!$AF$11)))</f>
        <v>0</v>
      </c>
    </row>
    <row r="507" spans="1:41" ht="25.5" x14ac:dyDescent="0.2">
      <c r="A507" t="str">
        <f ca="1">ORÇAMENTO!C507</f>
        <v>S</v>
      </c>
      <c r="B507">
        <f ca="1">ORÇAMENTO!D507</f>
        <v>0</v>
      </c>
      <c r="C507" s="116" t="str">
        <f t="shared" ca="1" si="44"/>
        <v/>
      </c>
      <c r="D507" s="119" t="str">
        <f ca="1">ORÇAMENTO!O507</f>
        <v>-</v>
      </c>
      <c r="E507" s="172" t="str">
        <f t="shared" ca="1" si="45"/>
        <v>(abra o arquivo 'Referência 06-2024.xlsm)</v>
      </c>
      <c r="F507" s="173" t="str">
        <f ca="1">IF(RegimeExecucao="Global","",ORÇAMENTO.Unidade)</f>
        <v/>
      </c>
      <c r="G507" s="124" t="str">
        <f ca="1">IF(RegimeExecucao="Global","",ORÇAMENTO!T507)</f>
        <v/>
      </c>
      <c r="H507" s="124" t="str">
        <f ca="1">IF(RegimeExecucao="Global","",ORÇAMENTO!W507)</f>
        <v/>
      </c>
      <c r="I507" s="127">
        <f ca="1">ORÇAMENTO!X507</f>
        <v>0</v>
      </c>
      <c r="J507" s="378">
        <f ca="1">IF($A507="S",IF(CAIXA.Modo,BM.AFAnterior,BM.MEDAnterior),IF(AND(RegimeExecucao="Global",$I507&gt;0,COUNTIF($AB$13:$AM$13,BM.medicao-1)&gt;0),M507/$I507*100,0))</f>
        <v>0</v>
      </c>
      <c r="K507" s="124">
        <f t="shared" ca="1" si="46"/>
        <v>0</v>
      </c>
      <c r="L507" s="379">
        <f ca="1">IF($A507="S",IF(CAIXA.Modo,BM.AFAcumulado,BM.MEDAcumulado),IF(AND(RegimeExecucao="Global",$I507&gt;0,COUNTIF($AB$13:$AM$13,BM.medicao)&gt;0),O507/$I507*100,0))</f>
        <v>0</v>
      </c>
      <c r="M507" s="380">
        <f ca="1">IF($A507="S",VTOTALBM,IF($A507=0,0,ROUND(SomaAgrupBM,15-13*ORÇAMENTO!$AF$11)))</f>
        <v>0</v>
      </c>
      <c r="N507" s="381">
        <f t="shared" ca="1" si="47"/>
        <v>0</v>
      </c>
      <c r="O507" s="127">
        <f ca="1">IF($A507="S",VTOTALBM,IF($A507=0,0,ROUND(SomaAgrupBM,15-13*ORÇAMENTO!$AF$11)))</f>
        <v>0</v>
      </c>
      <c r="Q507" s="382"/>
      <c r="R507" s="383"/>
      <c r="T507" s="119" t="str">
        <f t="shared" ca="1" si="48"/>
        <v/>
      </c>
      <c r="U507" s="172" t="str">
        <f t="shared" ca="1" si="49"/>
        <v/>
      </c>
      <c r="V507" s="173" t="str">
        <f ca="1">IF(AND($W507&gt;0,RegimeExecucao="Unitário"),$F507,"")</f>
        <v/>
      </c>
      <c r="W507" s="547">
        <f ca="1">IF($Y507&gt;0,CHOOSE(MATCH(RegimeExecucao,{"Unitário","Global"},0),IF($A507="S",$Y507/$X507,""),($Y507/$X507)*100),0)</f>
        <v>0</v>
      </c>
      <c r="X507" s="384" t="str">
        <f ca="1">IF($Y507&gt;0,CHOOSE(MATCH(RegimeExecucao,{"Unitário","Global"},0),IF($A507="S",ROUND($H507,ORÇAMENTO!$AF$10),""),ROUND($I507,ORÇAMENTO!$AF$11)),"")</f>
        <v/>
      </c>
      <c r="Y507" s="384">
        <f t="shared" ca="1" si="50"/>
        <v>0</v>
      </c>
      <c r="Z507" s="572"/>
      <c r="AB507" s="382"/>
      <c r="AC507" s="516"/>
      <c r="AD507" s="516"/>
      <c r="AE507" s="516"/>
      <c r="AF507" s="516"/>
      <c r="AG507" s="516"/>
      <c r="AH507" s="516"/>
      <c r="AI507" s="516"/>
      <c r="AJ507" s="516"/>
      <c r="AK507" s="516"/>
      <c r="AL507" s="516"/>
      <c r="AM507" s="383"/>
      <c r="AO507">
        <f ca="1">IF($A507="S",IF(BM!$I507=0,0,CHOOSE(MATCH(RegimeExecucao,{"Global","Unitário"},0),ROUND(ROUND(BM.MEDAcumulado,15-13*BM!$A$9)/100*BM!$I507,15-13*ORÇAMENTO!$AF$11),ROUND(ROUND(BM.MEDAcumulado,15-13*BM!$A$9)*ROUND(BM!$H507,15-13*ORÇAMENTO!$AF$10),15-13*ORÇAMENTO!$AF$11))),IF($A507=0,0,ROUND(SomaAgrupBM,15-13*ORÇAMENTO!$AF$11)))</f>
        <v>0</v>
      </c>
    </row>
    <row r="508" spans="1:41" x14ac:dyDescent="0.2">
      <c r="A508">
        <f ca="1">ORÇAMENTO!C508</f>
        <v>2</v>
      </c>
      <c r="B508">
        <f ca="1">ORÇAMENTO!D508</f>
        <v>18</v>
      </c>
      <c r="C508" s="116" t="str">
        <f t="shared" ca="1" si="44"/>
        <v>F</v>
      </c>
      <c r="D508" s="119" t="str">
        <f ca="1">ORÇAMENTO!O508</f>
        <v>1.53.</v>
      </c>
      <c r="E508" s="172" t="str">
        <f t="shared" si="45"/>
        <v>INSTALAÇÃO ELÉTRICA 110V - CABOS</v>
      </c>
      <c r="F508" s="173" t="str">
        <f ca="1">IF(RegimeExecucao="Global","",ORÇAMENTO.Unidade)</f>
        <v/>
      </c>
      <c r="G508" s="124" t="str">
        <f ca="1">IF(RegimeExecucao="Global","",ORÇAMENTO!T508)</f>
        <v/>
      </c>
      <c r="H508" s="124" t="str">
        <f ca="1">IF(RegimeExecucao="Global","",ORÇAMENTO!W508)</f>
        <v/>
      </c>
      <c r="I508" s="127">
        <f ca="1">ORÇAMENTO!X508</f>
        <v>0</v>
      </c>
      <c r="J508" s="378">
        <f ca="1">IF($A508="S",IF(CAIXA.Modo,BM.AFAnterior,BM.MEDAnterior),IF(AND(RegimeExecucao="Global",$I508&gt;0,COUNTIF($AB$13:$AM$13,BM.medicao-1)&gt;0),M508/$I508*100,0))</f>
        <v>0</v>
      </c>
      <c r="K508" s="124">
        <f t="shared" ca="1" si="46"/>
        <v>0</v>
      </c>
      <c r="L508" s="379">
        <f ca="1">IF($A508="S",IF(CAIXA.Modo,BM.AFAcumulado,BM.MEDAcumulado),IF(AND(RegimeExecucao="Global",$I508&gt;0,COUNTIF($AB$13:$AM$13,BM.medicao)&gt;0),O508/$I508*100,0))</f>
        <v>0</v>
      </c>
      <c r="M508" s="380">
        <f ca="1">IF($A508="S",VTOTALBM,IF($A508=0,0,ROUND(SomaAgrupBM,15-13*ORÇAMENTO!$AF$11)))</f>
        <v>0</v>
      </c>
      <c r="N508" s="381">
        <f t="shared" ca="1" si="47"/>
        <v>0</v>
      </c>
      <c r="O508" s="127">
        <f ca="1">IF($A508="S",VTOTALBM,IF($A508=0,0,ROUND(SomaAgrupBM,15-13*ORÇAMENTO!$AF$11)))</f>
        <v>0</v>
      </c>
      <c r="Q508" s="382"/>
      <c r="R508" s="383"/>
      <c r="T508" s="119" t="str">
        <f t="shared" ca="1" si="48"/>
        <v/>
      </c>
      <c r="U508" s="172" t="str">
        <f t="shared" ca="1" si="49"/>
        <v/>
      </c>
      <c r="V508" s="173" t="str">
        <f ca="1">IF(AND($W508&gt;0,RegimeExecucao="Unitário"),$F508,"")</f>
        <v/>
      </c>
      <c r="W508" s="547">
        <f ca="1">IF($Y508&gt;0,CHOOSE(MATCH(RegimeExecucao,{"Unitário","Global"},0),IF($A508="S",$Y508/$X508,""),($Y508/$X508)*100),0)</f>
        <v>0</v>
      </c>
      <c r="X508" s="384" t="str">
        <f ca="1">IF($Y508&gt;0,CHOOSE(MATCH(RegimeExecucao,{"Unitário","Global"},0),IF($A508="S",ROUND($H508,ORÇAMENTO!$AF$10),""),ROUND($I508,ORÇAMENTO!$AF$11)),"")</f>
        <v/>
      </c>
      <c r="Y508" s="384">
        <f t="shared" ca="1" si="50"/>
        <v>0</v>
      </c>
      <c r="Z508" s="572"/>
      <c r="AB508" s="382"/>
      <c r="AC508" s="516"/>
      <c r="AD508" s="516"/>
      <c r="AE508" s="516"/>
      <c r="AF508" s="516"/>
      <c r="AG508" s="516"/>
      <c r="AH508" s="516"/>
      <c r="AI508" s="516"/>
      <c r="AJ508" s="516"/>
      <c r="AK508" s="516"/>
      <c r="AL508" s="516"/>
      <c r="AM508" s="383"/>
      <c r="AO508">
        <f ca="1">IF($A508="S",IF(BM!$I508=0,0,CHOOSE(MATCH(RegimeExecucao,{"Global","Unitário"},0),ROUND(ROUND(BM.MEDAcumulado,15-13*BM!$A$9)/100*BM!$I508,15-13*ORÇAMENTO!$AF$11),ROUND(ROUND(BM.MEDAcumulado,15-13*BM!$A$9)*ROUND(BM!$H508,15-13*ORÇAMENTO!$AF$10),15-13*ORÇAMENTO!$AF$11))),IF($A508=0,0,ROUND(SomaAgrupBM,15-13*ORÇAMENTO!$AF$11)))</f>
        <v>0</v>
      </c>
    </row>
    <row r="509" spans="1:41" ht="38.25" x14ac:dyDescent="0.2">
      <c r="A509" t="str">
        <f ca="1">ORÇAMENTO!C509</f>
        <v>S</v>
      </c>
      <c r="B509">
        <f ca="1">ORÇAMENTO!D509</f>
        <v>0</v>
      </c>
      <c r="C509" s="116" t="str">
        <f t="shared" ca="1" si="44"/>
        <v/>
      </c>
      <c r="D509" s="119" t="str">
        <f ca="1">ORÇAMENTO!O509</f>
        <v>-</v>
      </c>
      <c r="E509" s="172" t="str">
        <f t="shared" ca="1" si="45"/>
        <v>(abra o arquivo 'Referência 06-2024.xlsm)</v>
      </c>
      <c r="F509" s="173" t="str">
        <f ca="1">IF(RegimeExecucao="Global","",ORÇAMENTO.Unidade)</f>
        <v/>
      </c>
      <c r="G509" s="124" t="str">
        <f ca="1">IF(RegimeExecucao="Global","",ORÇAMENTO!T509)</f>
        <v/>
      </c>
      <c r="H509" s="124" t="str">
        <f ca="1">IF(RegimeExecucao="Global","",ORÇAMENTO!W509)</f>
        <v/>
      </c>
      <c r="I509" s="127">
        <f ca="1">ORÇAMENTO!X509</f>
        <v>0</v>
      </c>
      <c r="J509" s="378">
        <f ca="1">IF($A509="S",IF(CAIXA.Modo,BM.AFAnterior,BM.MEDAnterior),IF(AND(RegimeExecucao="Global",$I509&gt;0,COUNTIF($AB$13:$AM$13,BM.medicao-1)&gt;0),M509/$I509*100,0))</f>
        <v>0</v>
      </c>
      <c r="K509" s="124">
        <f t="shared" ca="1" si="46"/>
        <v>0</v>
      </c>
      <c r="L509" s="379">
        <f ca="1">IF($A509="S",IF(CAIXA.Modo,BM.AFAcumulado,BM.MEDAcumulado),IF(AND(RegimeExecucao="Global",$I509&gt;0,COUNTIF($AB$13:$AM$13,BM.medicao)&gt;0),O509/$I509*100,0))</f>
        <v>0</v>
      </c>
      <c r="M509" s="380">
        <f ca="1">IF($A509="S",VTOTALBM,IF($A509=0,0,ROUND(SomaAgrupBM,15-13*ORÇAMENTO!$AF$11)))</f>
        <v>0</v>
      </c>
      <c r="N509" s="381">
        <f t="shared" ca="1" si="47"/>
        <v>0</v>
      </c>
      <c r="O509" s="127">
        <f ca="1">IF($A509="S",VTOTALBM,IF($A509=0,0,ROUND(SomaAgrupBM,15-13*ORÇAMENTO!$AF$11)))</f>
        <v>0</v>
      </c>
      <c r="Q509" s="382"/>
      <c r="R509" s="383"/>
      <c r="T509" s="119" t="str">
        <f t="shared" ca="1" si="48"/>
        <v/>
      </c>
      <c r="U509" s="172" t="str">
        <f t="shared" ca="1" si="49"/>
        <v/>
      </c>
      <c r="V509" s="173" t="str">
        <f ca="1">IF(AND($W509&gt;0,RegimeExecucao="Unitário"),$F509,"")</f>
        <v/>
      </c>
      <c r="W509" s="547">
        <f ca="1">IF($Y509&gt;0,CHOOSE(MATCH(RegimeExecucao,{"Unitário","Global"},0),IF($A509="S",$Y509/$X509,""),($Y509/$X509)*100),0)</f>
        <v>0</v>
      </c>
      <c r="X509" s="384" t="str">
        <f ca="1">IF($Y509&gt;0,CHOOSE(MATCH(RegimeExecucao,{"Unitário","Global"},0),IF($A509="S",ROUND($H509,ORÇAMENTO!$AF$10),""),ROUND($I509,ORÇAMENTO!$AF$11)),"")</f>
        <v/>
      </c>
      <c r="Y509" s="384">
        <f t="shared" ca="1" si="50"/>
        <v>0</v>
      </c>
      <c r="Z509" s="572"/>
      <c r="AB509" s="382"/>
      <c r="AC509" s="516"/>
      <c r="AD509" s="516"/>
      <c r="AE509" s="516"/>
      <c r="AF509" s="516"/>
      <c r="AG509" s="516"/>
      <c r="AH509" s="516"/>
      <c r="AI509" s="516"/>
      <c r="AJ509" s="516"/>
      <c r="AK509" s="516"/>
      <c r="AL509" s="516"/>
      <c r="AM509" s="383"/>
      <c r="AO509">
        <f ca="1">IF($A509="S",IF(BM!$I509=0,0,CHOOSE(MATCH(RegimeExecucao,{"Global","Unitário"},0),ROUND(ROUND(BM.MEDAcumulado,15-13*BM!$A$9)/100*BM!$I509,15-13*ORÇAMENTO!$AF$11),ROUND(ROUND(BM.MEDAcumulado,15-13*BM!$A$9)*ROUND(BM!$H509,15-13*ORÇAMENTO!$AF$10),15-13*ORÇAMENTO!$AF$11))),IF($A509=0,0,ROUND(SomaAgrupBM,15-13*ORÇAMENTO!$AF$11)))</f>
        <v>0</v>
      </c>
    </row>
    <row r="510" spans="1:41" ht="38.25" x14ac:dyDescent="0.2">
      <c r="A510" t="str">
        <f ca="1">ORÇAMENTO!C510</f>
        <v>S</v>
      </c>
      <c r="B510">
        <f ca="1">ORÇAMENTO!D510</f>
        <v>0</v>
      </c>
      <c r="C510" s="116" t="str">
        <f t="shared" ca="1" si="44"/>
        <v/>
      </c>
      <c r="D510" s="119" t="str">
        <f ca="1">ORÇAMENTO!O510</f>
        <v>-</v>
      </c>
      <c r="E510" s="172" t="str">
        <f t="shared" ca="1" si="45"/>
        <v>(abra o arquivo 'Referência 06-2024.xlsm)</v>
      </c>
      <c r="F510" s="173" t="str">
        <f ca="1">IF(RegimeExecucao="Global","",ORÇAMENTO.Unidade)</f>
        <v/>
      </c>
      <c r="G510" s="124" t="str">
        <f ca="1">IF(RegimeExecucao="Global","",ORÇAMENTO!T510)</f>
        <v/>
      </c>
      <c r="H510" s="124" t="str">
        <f ca="1">IF(RegimeExecucao="Global","",ORÇAMENTO!W510)</f>
        <v/>
      </c>
      <c r="I510" s="127">
        <f ca="1">ORÇAMENTO!X510</f>
        <v>0</v>
      </c>
      <c r="J510" s="378">
        <f ca="1">IF($A510="S",IF(CAIXA.Modo,BM.AFAnterior,BM.MEDAnterior),IF(AND(RegimeExecucao="Global",$I510&gt;0,COUNTIF($AB$13:$AM$13,BM.medicao-1)&gt;0),M510/$I510*100,0))</f>
        <v>0</v>
      </c>
      <c r="K510" s="124">
        <f t="shared" ca="1" si="46"/>
        <v>0</v>
      </c>
      <c r="L510" s="379">
        <f ca="1">IF($A510="S",IF(CAIXA.Modo,BM.AFAcumulado,BM.MEDAcumulado),IF(AND(RegimeExecucao="Global",$I510&gt;0,COUNTIF($AB$13:$AM$13,BM.medicao)&gt;0),O510/$I510*100,0))</f>
        <v>0</v>
      </c>
      <c r="M510" s="380">
        <f ca="1">IF($A510="S",VTOTALBM,IF($A510=0,0,ROUND(SomaAgrupBM,15-13*ORÇAMENTO!$AF$11)))</f>
        <v>0</v>
      </c>
      <c r="N510" s="381">
        <f t="shared" ca="1" si="47"/>
        <v>0</v>
      </c>
      <c r="O510" s="127">
        <f ca="1">IF($A510="S",VTOTALBM,IF($A510=0,0,ROUND(SomaAgrupBM,15-13*ORÇAMENTO!$AF$11)))</f>
        <v>0</v>
      </c>
      <c r="Q510" s="382"/>
      <c r="R510" s="383"/>
      <c r="T510" s="119" t="str">
        <f t="shared" ca="1" si="48"/>
        <v/>
      </c>
      <c r="U510" s="172" t="str">
        <f t="shared" ca="1" si="49"/>
        <v/>
      </c>
      <c r="V510" s="173" t="str">
        <f ca="1">IF(AND($W510&gt;0,RegimeExecucao="Unitário"),$F510,"")</f>
        <v/>
      </c>
      <c r="W510" s="547">
        <f ca="1">IF($Y510&gt;0,CHOOSE(MATCH(RegimeExecucao,{"Unitário","Global"},0),IF($A510="S",$Y510/$X510,""),($Y510/$X510)*100),0)</f>
        <v>0</v>
      </c>
      <c r="X510" s="384" t="str">
        <f ca="1">IF($Y510&gt;0,CHOOSE(MATCH(RegimeExecucao,{"Unitário","Global"},0),IF($A510="S",ROUND($H510,ORÇAMENTO!$AF$10),""),ROUND($I510,ORÇAMENTO!$AF$11)),"")</f>
        <v/>
      </c>
      <c r="Y510" s="384">
        <f t="shared" ca="1" si="50"/>
        <v>0</v>
      </c>
      <c r="Z510" s="572"/>
      <c r="AB510" s="382"/>
      <c r="AC510" s="516"/>
      <c r="AD510" s="516"/>
      <c r="AE510" s="516"/>
      <c r="AF510" s="516"/>
      <c r="AG510" s="516"/>
      <c r="AH510" s="516"/>
      <c r="AI510" s="516"/>
      <c r="AJ510" s="516"/>
      <c r="AK510" s="516"/>
      <c r="AL510" s="516"/>
      <c r="AM510" s="383"/>
      <c r="AO510">
        <f ca="1">IF($A510="S",IF(BM!$I510=0,0,CHOOSE(MATCH(RegimeExecucao,{"Global","Unitário"},0),ROUND(ROUND(BM.MEDAcumulado,15-13*BM!$A$9)/100*BM!$I510,15-13*ORÇAMENTO!$AF$11),ROUND(ROUND(BM.MEDAcumulado,15-13*BM!$A$9)*ROUND(BM!$H510,15-13*ORÇAMENTO!$AF$10),15-13*ORÇAMENTO!$AF$11))),IF($A510=0,0,ROUND(SomaAgrupBM,15-13*ORÇAMENTO!$AF$11)))</f>
        <v>0</v>
      </c>
    </row>
    <row r="511" spans="1:41" ht="38.25" x14ac:dyDescent="0.2">
      <c r="A511" t="str">
        <f ca="1">ORÇAMENTO!C511</f>
        <v>S</v>
      </c>
      <c r="B511">
        <f ca="1">ORÇAMENTO!D511</f>
        <v>0</v>
      </c>
      <c r="C511" s="116" t="str">
        <f t="shared" ca="1" si="44"/>
        <v/>
      </c>
      <c r="D511" s="119" t="str">
        <f ca="1">ORÇAMENTO!O511</f>
        <v>-</v>
      </c>
      <c r="E511" s="172" t="str">
        <f t="shared" ca="1" si="45"/>
        <v>(abra o arquivo 'Referência 06-2024.xlsm)</v>
      </c>
      <c r="F511" s="173" t="str">
        <f ca="1">IF(RegimeExecucao="Global","",ORÇAMENTO.Unidade)</f>
        <v/>
      </c>
      <c r="G511" s="124" t="str">
        <f ca="1">IF(RegimeExecucao="Global","",ORÇAMENTO!T511)</f>
        <v/>
      </c>
      <c r="H511" s="124" t="str">
        <f ca="1">IF(RegimeExecucao="Global","",ORÇAMENTO!W511)</f>
        <v/>
      </c>
      <c r="I511" s="127">
        <f ca="1">ORÇAMENTO!X511</f>
        <v>0</v>
      </c>
      <c r="J511" s="378">
        <f ca="1">IF($A511="S",IF(CAIXA.Modo,BM.AFAnterior,BM.MEDAnterior),IF(AND(RegimeExecucao="Global",$I511&gt;0,COUNTIF($AB$13:$AM$13,BM.medicao-1)&gt;0),M511/$I511*100,0))</f>
        <v>0</v>
      </c>
      <c r="K511" s="124">
        <f t="shared" ca="1" si="46"/>
        <v>0</v>
      </c>
      <c r="L511" s="379">
        <f ca="1">IF($A511="S",IF(CAIXA.Modo,BM.AFAcumulado,BM.MEDAcumulado),IF(AND(RegimeExecucao="Global",$I511&gt;0,COUNTIF($AB$13:$AM$13,BM.medicao)&gt;0),O511/$I511*100,0))</f>
        <v>0</v>
      </c>
      <c r="M511" s="380">
        <f ca="1">IF($A511="S",VTOTALBM,IF($A511=0,0,ROUND(SomaAgrupBM,15-13*ORÇAMENTO!$AF$11)))</f>
        <v>0</v>
      </c>
      <c r="N511" s="381">
        <f t="shared" ca="1" si="47"/>
        <v>0</v>
      </c>
      <c r="O511" s="127">
        <f ca="1">IF($A511="S",VTOTALBM,IF($A511=0,0,ROUND(SomaAgrupBM,15-13*ORÇAMENTO!$AF$11)))</f>
        <v>0</v>
      </c>
      <c r="Q511" s="382"/>
      <c r="R511" s="383"/>
      <c r="T511" s="119" t="str">
        <f t="shared" ca="1" si="48"/>
        <v/>
      </c>
      <c r="U511" s="172" t="str">
        <f t="shared" ca="1" si="49"/>
        <v/>
      </c>
      <c r="V511" s="173" t="str">
        <f ca="1">IF(AND($W511&gt;0,RegimeExecucao="Unitário"),$F511,"")</f>
        <v/>
      </c>
      <c r="W511" s="547">
        <f ca="1">IF($Y511&gt;0,CHOOSE(MATCH(RegimeExecucao,{"Unitário","Global"},0),IF($A511="S",$Y511/$X511,""),($Y511/$X511)*100),0)</f>
        <v>0</v>
      </c>
      <c r="X511" s="384" t="str">
        <f ca="1">IF($Y511&gt;0,CHOOSE(MATCH(RegimeExecucao,{"Unitário","Global"},0),IF($A511="S",ROUND($H511,ORÇAMENTO!$AF$10),""),ROUND($I511,ORÇAMENTO!$AF$11)),"")</f>
        <v/>
      </c>
      <c r="Y511" s="384">
        <f t="shared" ca="1" si="50"/>
        <v>0</v>
      </c>
      <c r="Z511" s="572"/>
      <c r="AB511" s="382"/>
      <c r="AC511" s="516"/>
      <c r="AD511" s="516"/>
      <c r="AE511" s="516"/>
      <c r="AF511" s="516"/>
      <c r="AG511" s="516"/>
      <c r="AH511" s="516"/>
      <c r="AI511" s="516"/>
      <c r="AJ511" s="516"/>
      <c r="AK511" s="516"/>
      <c r="AL511" s="516"/>
      <c r="AM511" s="383"/>
      <c r="AO511">
        <f ca="1">IF($A511="S",IF(BM!$I511=0,0,CHOOSE(MATCH(RegimeExecucao,{"Global","Unitário"},0),ROUND(ROUND(BM.MEDAcumulado,15-13*BM!$A$9)/100*BM!$I511,15-13*ORÇAMENTO!$AF$11),ROUND(ROUND(BM.MEDAcumulado,15-13*BM!$A$9)*ROUND(BM!$H511,15-13*ORÇAMENTO!$AF$10),15-13*ORÇAMENTO!$AF$11))),IF($A511=0,0,ROUND(SomaAgrupBM,15-13*ORÇAMENTO!$AF$11)))</f>
        <v>0</v>
      </c>
    </row>
    <row r="512" spans="1:41" ht="38.25" x14ac:dyDescent="0.2">
      <c r="A512" t="str">
        <f ca="1">ORÇAMENTO!C512</f>
        <v>S</v>
      </c>
      <c r="B512">
        <f ca="1">ORÇAMENTO!D512</f>
        <v>0</v>
      </c>
      <c r="C512" s="116" t="str">
        <f t="shared" ca="1" si="44"/>
        <v/>
      </c>
      <c r="D512" s="119" t="str">
        <f ca="1">ORÇAMENTO!O512</f>
        <v>-</v>
      </c>
      <c r="E512" s="172" t="str">
        <f t="shared" ca="1" si="45"/>
        <v>(abra o arquivo 'Referência 06-2024.xlsm)</v>
      </c>
      <c r="F512" s="173" t="str">
        <f ca="1">IF(RegimeExecucao="Global","",ORÇAMENTO.Unidade)</f>
        <v/>
      </c>
      <c r="G512" s="124" t="str">
        <f ca="1">IF(RegimeExecucao="Global","",ORÇAMENTO!T512)</f>
        <v/>
      </c>
      <c r="H512" s="124" t="str">
        <f ca="1">IF(RegimeExecucao="Global","",ORÇAMENTO!W512)</f>
        <v/>
      </c>
      <c r="I512" s="127">
        <f ca="1">ORÇAMENTO!X512</f>
        <v>0</v>
      </c>
      <c r="J512" s="378">
        <f ca="1">IF($A512="S",IF(CAIXA.Modo,BM.AFAnterior,BM.MEDAnterior),IF(AND(RegimeExecucao="Global",$I512&gt;0,COUNTIF($AB$13:$AM$13,BM.medicao-1)&gt;0),M512/$I512*100,0))</f>
        <v>0</v>
      </c>
      <c r="K512" s="124">
        <f t="shared" ca="1" si="46"/>
        <v>0</v>
      </c>
      <c r="L512" s="379">
        <f ca="1">IF($A512="S",IF(CAIXA.Modo,BM.AFAcumulado,BM.MEDAcumulado),IF(AND(RegimeExecucao="Global",$I512&gt;0,COUNTIF($AB$13:$AM$13,BM.medicao)&gt;0),O512/$I512*100,0))</f>
        <v>0</v>
      </c>
      <c r="M512" s="380">
        <f ca="1">IF($A512="S",VTOTALBM,IF($A512=0,0,ROUND(SomaAgrupBM,15-13*ORÇAMENTO!$AF$11)))</f>
        <v>0</v>
      </c>
      <c r="N512" s="381">
        <f t="shared" ca="1" si="47"/>
        <v>0</v>
      </c>
      <c r="O512" s="127">
        <f ca="1">IF($A512="S",VTOTALBM,IF($A512=0,0,ROUND(SomaAgrupBM,15-13*ORÇAMENTO!$AF$11)))</f>
        <v>0</v>
      </c>
      <c r="Q512" s="382"/>
      <c r="R512" s="383"/>
      <c r="T512" s="119" t="str">
        <f t="shared" ca="1" si="48"/>
        <v/>
      </c>
      <c r="U512" s="172" t="str">
        <f t="shared" ca="1" si="49"/>
        <v/>
      </c>
      <c r="V512" s="173" t="str">
        <f ca="1">IF(AND($W512&gt;0,RegimeExecucao="Unitário"),$F512,"")</f>
        <v/>
      </c>
      <c r="W512" s="547">
        <f ca="1">IF($Y512&gt;0,CHOOSE(MATCH(RegimeExecucao,{"Unitário","Global"},0),IF($A512="S",$Y512/$X512,""),($Y512/$X512)*100),0)</f>
        <v>0</v>
      </c>
      <c r="X512" s="384" t="str">
        <f ca="1">IF($Y512&gt;0,CHOOSE(MATCH(RegimeExecucao,{"Unitário","Global"},0),IF($A512="S",ROUND($H512,ORÇAMENTO!$AF$10),""),ROUND($I512,ORÇAMENTO!$AF$11)),"")</f>
        <v/>
      </c>
      <c r="Y512" s="384">
        <f t="shared" ca="1" si="50"/>
        <v>0</v>
      </c>
      <c r="Z512" s="572"/>
      <c r="AB512" s="382"/>
      <c r="AC512" s="516"/>
      <c r="AD512" s="516"/>
      <c r="AE512" s="516"/>
      <c r="AF512" s="516"/>
      <c r="AG512" s="516"/>
      <c r="AH512" s="516"/>
      <c r="AI512" s="516"/>
      <c r="AJ512" s="516"/>
      <c r="AK512" s="516"/>
      <c r="AL512" s="516"/>
      <c r="AM512" s="383"/>
      <c r="AO512">
        <f ca="1">IF($A512="S",IF(BM!$I512=0,0,CHOOSE(MATCH(RegimeExecucao,{"Global","Unitário"},0),ROUND(ROUND(BM.MEDAcumulado,15-13*BM!$A$9)/100*BM!$I512,15-13*ORÇAMENTO!$AF$11),ROUND(ROUND(BM.MEDAcumulado,15-13*BM!$A$9)*ROUND(BM!$H512,15-13*ORÇAMENTO!$AF$10),15-13*ORÇAMENTO!$AF$11))),IF($A512=0,0,ROUND(SomaAgrupBM,15-13*ORÇAMENTO!$AF$11)))</f>
        <v>0</v>
      </c>
    </row>
    <row r="513" spans="1:41" ht="38.25" x14ac:dyDescent="0.2">
      <c r="A513" t="str">
        <f ca="1">ORÇAMENTO!C513</f>
        <v>S</v>
      </c>
      <c r="B513">
        <f ca="1">ORÇAMENTO!D513</f>
        <v>0</v>
      </c>
      <c r="C513" s="116" t="str">
        <f t="shared" ca="1" si="44"/>
        <v/>
      </c>
      <c r="D513" s="119" t="str">
        <f ca="1">ORÇAMENTO!O513</f>
        <v>-</v>
      </c>
      <c r="E513" s="172" t="str">
        <f t="shared" ca="1" si="45"/>
        <v>(abra o arquivo 'Referência 06-2024.xlsm)</v>
      </c>
      <c r="F513" s="173" t="str">
        <f ca="1">IF(RegimeExecucao="Global","",ORÇAMENTO.Unidade)</f>
        <v/>
      </c>
      <c r="G513" s="124" t="str">
        <f ca="1">IF(RegimeExecucao="Global","",ORÇAMENTO!T513)</f>
        <v/>
      </c>
      <c r="H513" s="124" t="str">
        <f ca="1">IF(RegimeExecucao="Global","",ORÇAMENTO!W513)</f>
        <v/>
      </c>
      <c r="I513" s="127">
        <f ca="1">ORÇAMENTO!X513</f>
        <v>0</v>
      </c>
      <c r="J513" s="378">
        <f ca="1">IF($A513="S",IF(CAIXA.Modo,BM.AFAnterior,BM.MEDAnterior),IF(AND(RegimeExecucao="Global",$I513&gt;0,COUNTIF($AB$13:$AM$13,BM.medicao-1)&gt;0),M513/$I513*100,0))</f>
        <v>0</v>
      </c>
      <c r="K513" s="124">
        <f t="shared" ca="1" si="46"/>
        <v>0</v>
      </c>
      <c r="L513" s="379">
        <f ca="1">IF($A513="S",IF(CAIXA.Modo,BM.AFAcumulado,BM.MEDAcumulado),IF(AND(RegimeExecucao="Global",$I513&gt;0,COUNTIF($AB$13:$AM$13,BM.medicao)&gt;0),O513/$I513*100,0))</f>
        <v>0</v>
      </c>
      <c r="M513" s="380">
        <f ca="1">IF($A513="S",VTOTALBM,IF($A513=0,0,ROUND(SomaAgrupBM,15-13*ORÇAMENTO!$AF$11)))</f>
        <v>0</v>
      </c>
      <c r="N513" s="381">
        <f t="shared" ca="1" si="47"/>
        <v>0</v>
      </c>
      <c r="O513" s="127">
        <f ca="1">IF($A513="S",VTOTALBM,IF($A513=0,0,ROUND(SomaAgrupBM,15-13*ORÇAMENTO!$AF$11)))</f>
        <v>0</v>
      </c>
      <c r="Q513" s="382"/>
      <c r="R513" s="383"/>
      <c r="T513" s="119" t="str">
        <f t="shared" ca="1" si="48"/>
        <v/>
      </c>
      <c r="U513" s="172" t="str">
        <f t="shared" ca="1" si="49"/>
        <v/>
      </c>
      <c r="V513" s="173" t="str">
        <f ca="1">IF(AND($W513&gt;0,RegimeExecucao="Unitário"),$F513,"")</f>
        <v/>
      </c>
      <c r="W513" s="547">
        <f ca="1">IF($Y513&gt;0,CHOOSE(MATCH(RegimeExecucao,{"Unitário","Global"},0),IF($A513="S",$Y513/$X513,""),($Y513/$X513)*100),0)</f>
        <v>0</v>
      </c>
      <c r="X513" s="384" t="str">
        <f ca="1">IF($Y513&gt;0,CHOOSE(MATCH(RegimeExecucao,{"Unitário","Global"},0),IF($A513="S",ROUND($H513,ORÇAMENTO!$AF$10),""),ROUND($I513,ORÇAMENTO!$AF$11)),"")</f>
        <v/>
      </c>
      <c r="Y513" s="384">
        <f t="shared" ca="1" si="50"/>
        <v>0</v>
      </c>
      <c r="Z513" s="572"/>
      <c r="AB513" s="382"/>
      <c r="AC513" s="516"/>
      <c r="AD513" s="516"/>
      <c r="AE513" s="516"/>
      <c r="AF513" s="516"/>
      <c r="AG513" s="516"/>
      <c r="AH513" s="516"/>
      <c r="AI513" s="516"/>
      <c r="AJ513" s="516"/>
      <c r="AK513" s="516"/>
      <c r="AL513" s="516"/>
      <c r="AM513" s="383"/>
      <c r="AO513">
        <f ca="1">IF($A513="S",IF(BM!$I513=0,0,CHOOSE(MATCH(RegimeExecucao,{"Global","Unitário"},0),ROUND(ROUND(BM.MEDAcumulado,15-13*BM!$A$9)/100*BM!$I513,15-13*ORÇAMENTO!$AF$11),ROUND(ROUND(BM.MEDAcumulado,15-13*BM!$A$9)*ROUND(BM!$H513,15-13*ORÇAMENTO!$AF$10),15-13*ORÇAMENTO!$AF$11))),IF($A513=0,0,ROUND(SomaAgrupBM,15-13*ORÇAMENTO!$AF$11)))</f>
        <v>0</v>
      </c>
    </row>
    <row r="514" spans="1:41" ht="38.25" x14ac:dyDescent="0.2">
      <c r="A514" t="str">
        <f ca="1">ORÇAMENTO!C514</f>
        <v>S</v>
      </c>
      <c r="B514">
        <f ca="1">ORÇAMENTO!D514</f>
        <v>0</v>
      </c>
      <c r="C514" s="116" t="str">
        <f t="shared" ca="1" si="44"/>
        <v/>
      </c>
      <c r="D514" s="119" t="str">
        <f ca="1">ORÇAMENTO!O514</f>
        <v>-</v>
      </c>
      <c r="E514" s="172" t="str">
        <f t="shared" ca="1" si="45"/>
        <v>(abra o arquivo 'Referência 06-2024.xlsm)</v>
      </c>
      <c r="F514" s="173" t="str">
        <f ca="1">IF(RegimeExecucao="Global","",ORÇAMENTO.Unidade)</f>
        <v/>
      </c>
      <c r="G514" s="124" t="str">
        <f ca="1">IF(RegimeExecucao="Global","",ORÇAMENTO!T514)</f>
        <v/>
      </c>
      <c r="H514" s="124" t="str">
        <f ca="1">IF(RegimeExecucao="Global","",ORÇAMENTO!W514)</f>
        <v/>
      </c>
      <c r="I514" s="127">
        <f ca="1">ORÇAMENTO!X514</f>
        <v>0</v>
      </c>
      <c r="J514" s="378">
        <f ca="1">IF($A514="S",IF(CAIXA.Modo,BM.AFAnterior,BM.MEDAnterior),IF(AND(RegimeExecucao="Global",$I514&gt;0,COUNTIF($AB$13:$AM$13,BM.medicao-1)&gt;0),M514/$I514*100,0))</f>
        <v>0</v>
      </c>
      <c r="K514" s="124">
        <f t="shared" ca="1" si="46"/>
        <v>0</v>
      </c>
      <c r="L514" s="379">
        <f ca="1">IF($A514="S",IF(CAIXA.Modo,BM.AFAcumulado,BM.MEDAcumulado),IF(AND(RegimeExecucao="Global",$I514&gt;0,COUNTIF($AB$13:$AM$13,BM.medicao)&gt;0),O514/$I514*100,0))</f>
        <v>0</v>
      </c>
      <c r="M514" s="380">
        <f ca="1">IF($A514="S",VTOTALBM,IF($A514=0,0,ROUND(SomaAgrupBM,15-13*ORÇAMENTO!$AF$11)))</f>
        <v>0</v>
      </c>
      <c r="N514" s="381">
        <f t="shared" ca="1" si="47"/>
        <v>0</v>
      </c>
      <c r="O514" s="127">
        <f ca="1">IF($A514="S",VTOTALBM,IF($A514=0,0,ROUND(SomaAgrupBM,15-13*ORÇAMENTO!$AF$11)))</f>
        <v>0</v>
      </c>
      <c r="Q514" s="382"/>
      <c r="R514" s="383"/>
      <c r="T514" s="119" t="str">
        <f t="shared" ca="1" si="48"/>
        <v/>
      </c>
      <c r="U514" s="172" t="str">
        <f t="shared" ca="1" si="49"/>
        <v/>
      </c>
      <c r="V514" s="173" t="str">
        <f ca="1">IF(AND($W514&gt;0,RegimeExecucao="Unitário"),$F514,"")</f>
        <v/>
      </c>
      <c r="W514" s="547">
        <f ca="1">IF($Y514&gt;0,CHOOSE(MATCH(RegimeExecucao,{"Unitário","Global"},0),IF($A514="S",$Y514/$X514,""),($Y514/$X514)*100),0)</f>
        <v>0</v>
      </c>
      <c r="X514" s="384" t="str">
        <f ca="1">IF($Y514&gt;0,CHOOSE(MATCH(RegimeExecucao,{"Unitário","Global"},0),IF($A514="S",ROUND($H514,ORÇAMENTO!$AF$10),""),ROUND($I514,ORÇAMENTO!$AF$11)),"")</f>
        <v/>
      </c>
      <c r="Y514" s="384">
        <f t="shared" ca="1" si="50"/>
        <v>0</v>
      </c>
      <c r="Z514" s="572"/>
      <c r="AB514" s="382"/>
      <c r="AC514" s="516"/>
      <c r="AD514" s="516"/>
      <c r="AE514" s="516"/>
      <c r="AF514" s="516"/>
      <c r="AG514" s="516"/>
      <c r="AH514" s="516"/>
      <c r="AI514" s="516"/>
      <c r="AJ514" s="516"/>
      <c r="AK514" s="516"/>
      <c r="AL514" s="516"/>
      <c r="AM514" s="383"/>
      <c r="AO514">
        <f ca="1">IF($A514="S",IF(BM!$I514=0,0,CHOOSE(MATCH(RegimeExecucao,{"Global","Unitário"},0),ROUND(ROUND(BM.MEDAcumulado,15-13*BM!$A$9)/100*BM!$I514,15-13*ORÇAMENTO!$AF$11),ROUND(ROUND(BM.MEDAcumulado,15-13*BM!$A$9)*ROUND(BM!$H514,15-13*ORÇAMENTO!$AF$10),15-13*ORÇAMENTO!$AF$11))),IF($A514=0,0,ROUND(SomaAgrupBM,15-13*ORÇAMENTO!$AF$11)))</f>
        <v>0</v>
      </c>
    </row>
    <row r="515" spans="1:41" ht="38.25" x14ac:dyDescent="0.2">
      <c r="A515" t="str">
        <f ca="1">ORÇAMENTO!C515</f>
        <v>S</v>
      </c>
      <c r="B515">
        <f ca="1">ORÇAMENTO!D515</f>
        <v>0</v>
      </c>
      <c r="C515" s="116" t="str">
        <f t="shared" ca="1" si="44"/>
        <v/>
      </c>
      <c r="D515" s="119" t="str">
        <f ca="1">ORÇAMENTO!O515</f>
        <v>-</v>
      </c>
      <c r="E515" s="172" t="str">
        <f t="shared" ca="1" si="45"/>
        <v>(abra o arquivo 'Referência 06-2024.xlsm)</v>
      </c>
      <c r="F515" s="173" t="str">
        <f ca="1">IF(RegimeExecucao="Global","",ORÇAMENTO.Unidade)</f>
        <v/>
      </c>
      <c r="G515" s="124" t="str">
        <f ca="1">IF(RegimeExecucao="Global","",ORÇAMENTO!T515)</f>
        <v/>
      </c>
      <c r="H515" s="124" t="str">
        <f ca="1">IF(RegimeExecucao="Global","",ORÇAMENTO!W515)</f>
        <v/>
      </c>
      <c r="I515" s="127">
        <f ca="1">ORÇAMENTO!X515</f>
        <v>0</v>
      </c>
      <c r="J515" s="378">
        <f ca="1">IF($A515="S",IF(CAIXA.Modo,BM.AFAnterior,BM.MEDAnterior),IF(AND(RegimeExecucao="Global",$I515&gt;0,COUNTIF($AB$13:$AM$13,BM.medicao-1)&gt;0),M515/$I515*100,0))</f>
        <v>0</v>
      </c>
      <c r="K515" s="124">
        <f t="shared" ca="1" si="46"/>
        <v>0</v>
      </c>
      <c r="L515" s="379">
        <f ca="1">IF($A515="S",IF(CAIXA.Modo,BM.AFAcumulado,BM.MEDAcumulado),IF(AND(RegimeExecucao="Global",$I515&gt;0,COUNTIF($AB$13:$AM$13,BM.medicao)&gt;0),O515/$I515*100,0))</f>
        <v>0</v>
      </c>
      <c r="M515" s="380">
        <f ca="1">IF($A515="S",VTOTALBM,IF($A515=0,0,ROUND(SomaAgrupBM,15-13*ORÇAMENTO!$AF$11)))</f>
        <v>0</v>
      </c>
      <c r="N515" s="381">
        <f t="shared" ca="1" si="47"/>
        <v>0</v>
      </c>
      <c r="O515" s="127">
        <f ca="1">IF($A515="S",VTOTALBM,IF($A515=0,0,ROUND(SomaAgrupBM,15-13*ORÇAMENTO!$AF$11)))</f>
        <v>0</v>
      </c>
      <c r="Q515" s="382"/>
      <c r="R515" s="383"/>
      <c r="T515" s="119" t="str">
        <f t="shared" ca="1" si="48"/>
        <v/>
      </c>
      <c r="U515" s="172" t="str">
        <f t="shared" ca="1" si="49"/>
        <v/>
      </c>
      <c r="V515" s="173" t="str">
        <f ca="1">IF(AND($W515&gt;0,RegimeExecucao="Unitário"),$F515,"")</f>
        <v/>
      </c>
      <c r="W515" s="547">
        <f ca="1">IF($Y515&gt;0,CHOOSE(MATCH(RegimeExecucao,{"Unitário","Global"},0),IF($A515="S",$Y515/$X515,""),($Y515/$X515)*100),0)</f>
        <v>0</v>
      </c>
      <c r="X515" s="384" t="str">
        <f ca="1">IF($Y515&gt;0,CHOOSE(MATCH(RegimeExecucao,{"Unitário","Global"},0),IF($A515="S",ROUND($H515,ORÇAMENTO!$AF$10),""),ROUND($I515,ORÇAMENTO!$AF$11)),"")</f>
        <v/>
      </c>
      <c r="Y515" s="384">
        <f t="shared" ca="1" si="50"/>
        <v>0</v>
      </c>
      <c r="Z515" s="572"/>
      <c r="AB515" s="382"/>
      <c r="AC515" s="516"/>
      <c r="AD515" s="516"/>
      <c r="AE515" s="516"/>
      <c r="AF515" s="516"/>
      <c r="AG515" s="516"/>
      <c r="AH515" s="516"/>
      <c r="AI515" s="516"/>
      <c r="AJ515" s="516"/>
      <c r="AK515" s="516"/>
      <c r="AL515" s="516"/>
      <c r="AM515" s="383"/>
      <c r="AO515">
        <f ca="1">IF($A515="S",IF(BM!$I515=0,0,CHOOSE(MATCH(RegimeExecucao,{"Global","Unitário"},0),ROUND(ROUND(BM.MEDAcumulado,15-13*BM!$A$9)/100*BM!$I515,15-13*ORÇAMENTO!$AF$11),ROUND(ROUND(BM.MEDAcumulado,15-13*BM!$A$9)*ROUND(BM!$H515,15-13*ORÇAMENTO!$AF$10),15-13*ORÇAMENTO!$AF$11))),IF($A515=0,0,ROUND(SomaAgrupBM,15-13*ORÇAMENTO!$AF$11)))</f>
        <v>0</v>
      </c>
    </row>
    <row r="516" spans="1:41" ht="38.25" x14ac:dyDescent="0.2">
      <c r="A516" t="str">
        <f ca="1">ORÇAMENTO!C516</f>
        <v>S</v>
      </c>
      <c r="B516">
        <f ca="1">ORÇAMENTO!D516</f>
        <v>0</v>
      </c>
      <c r="C516" s="116" t="str">
        <f t="shared" ca="1" si="44"/>
        <v/>
      </c>
      <c r="D516" s="119" t="str">
        <f ca="1">ORÇAMENTO!O516</f>
        <v>-</v>
      </c>
      <c r="E516" s="172" t="str">
        <f t="shared" ca="1" si="45"/>
        <v>(abra o arquivo 'Referência 06-2024.xlsm)</v>
      </c>
      <c r="F516" s="173" t="str">
        <f ca="1">IF(RegimeExecucao="Global","",ORÇAMENTO.Unidade)</f>
        <v/>
      </c>
      <c r="G516" s="124" t="str">
        <f ca="1">IF(RegimeExecucao="Global","",ORÇAMENTO!T516)</f>
        <v/>
      </c>
      <c r="H516" s="124" t="str">
        <f ca="1">IF(RegimeExecucao="Global","",ORÇAMENTO!W516)</f>
        <v/>
      </c>
      <c r="I516" s="127">
        <f ca="1">ORÇAMENTO!X516</f>
        <v>0</v>
      </c>
      <c r="J516" s="378">
        <f ca="1">IF($A516="S",IF(CAIXA.Modo,BM.AFAnterior,BM.MEDAnterior),IF(AND(RegimeExecucao="Global",$I516&gt;0,COUNTIF($AB$13:$AM$13,BM.medicao-1)&gt;0),M516/$I516*100,0))</f>
        <v>0</v>
      </c>
      <c r="K516" s="124">
        <f t="shared" ca="1" si="46"/>
        <v>0</v>
      </c>
      <c r="L516" s="379">
        <f ca="1">IF($A516="S",IF(CAIXA.Modo,BM.AFAcumulado,BM.MEDAcumulado),IF(AND(RegimeExecucao="Global",$I516&gt;0,COUNTIF($AB$13:$AM$13,BM.medicao)&gt;0),O516/$I516*100,0))</f>
        <v>0</v>
      </c>
      <c r="M516" s="380">
        <f ca="1">IF($A516="S",VTOTALBM,IF($A516=0,0,ROUND(SomaAgrupBM,15-13*ORÇAMENTO!$AF$11)))</f>
        <v>0</v>
      </c>
      <c r="N516" s="381">
        <f t="shared" ca="1" si="47"/>
        <v>0</v>
      </c>
      <c r="O516" s="127">
        <f ca="1">IF($A516="S",VTOTALBM,IF($A516=0,0,ROUND(SomaAgrupBM,15-13*ORÇAMENTO!$AF$11)))</f>
        <v>0</v>
      </c>
      <c r="Q516" s="382"/>
      <c r="R516" s="383"/>
      <c r="T516" s="119" t="str">
        <f t="shared" ca="1" si="48"/>
        <v/>
      </c>
      <c r="U516" s="172" t="str">
        <f t="shared" ca="1" si="49"/>
        <v/>
      </c>
      <c r="V516" s="173" t="str">
        <f ca="1">IF(AND($W516&gt;0,RegimeExecucao="Unitário"),$F516,"")</f>
        <v/>
      </c>
      <c r="W516" s="547">
        <f ca="1">IF($Y516&gt;0,CHOOSE(MATCH(RegimeExecucao,{"Unitário","Global"},0),IF($A516="S",$Y516/$X516,""),($Y516/$X516)*100),0)</f>
        <v>0</v>
      </c>
      <c r="X516" s="384" t="str">
        <f ca="1">IF($Y516&gt;0,CHOOSE(MATCH(RegimeExecucao,{"Unitário","Global"},0),IF($A516="S",ROUND($H516,ORÇAMENTO!$AF$10),""),ROUND($I516,ORÇAMENTO!$AF$11)),"")</f>
        <v/>
      </c>
      <c r="Y516" s="384">
        <f t="shared" ca="1" si="50"/>
        <v>0</v>
      </c>
      <c r="Z516" s="572"/>
      <c r="AB516" s="382"/>
      <c r="AC516" s="516"/>
      <c r="AD516" s="516"/>
      <c r="AE516" s="516"/>
      <c r="AF516" s="516"/>
      <c r="AG516" s="516"/>
      <c r="AH516" s="516"/>
      <c r="AI516" s="516"/>
      <c r="AJ516" s="516"/>
      <c r="AK516" s="516"/>
      <c r="AL516" s="516"/>
      <c r="AM516" s="383"/>
      <c r="AO516">
        <f ca="1">IF($A516="S",IF(BM!$I516=0,0,CHOOSE(MATCH(RegimeExecucao,{"Global","Unitário"},0),ROUND(ROUND(BM.MEDAcumulado,15-13*BM!$A$9)/100*BM!$I516,15-13*ORÇAMENTO!$AF$11),ROUND(ROUND(BM.MEDAcumulado,15-13*BM!$A$9)*ROUND(BM!$H516,15-13*ORÇAMENTO!$AF$10),15-13*ORÇAMENTO!$AF$11))),IF($A516=0,0,ROUND(SomaAgrupBM,15-13*ORÇAMENTO!$AF$11)))</f>
        <v>0</v>
      </c>
    </row>
    <row r="517" spans="1:41" ht="38.25" x14ac:dyDescent="0.2">
      <c r="A517" t="str">
        <f ca="1">ORÇAMENTO!C517</f>
        <v>S</v>
      </c>
      <c r="B517">
        <f ca="1">ORÇAMENTO!D517</f>
        <v>0</v>
      </c>
      <c r="C517" s="116" t="str">
        <f t="shared" ca="1" si="44"/>
        <v/>
      </c>
      <c r="D517" s="119" t="str">
        <f ca="1">ORÇAMENTO!O517</f>
        <v>-</v>
      </c>
      <c r="E517" s="172" t="str">
        <f t="shared" ca="1" si="45"/>
        <v>(abra o arquivo 'Referência 06-2024.xlsm)</v>
      </c>
      <c r="F517" s="173" t="str">
        <f ca="1">IF(RegimeExecucao="Global","",ORÇAMENTO.Unidade)</f>
        <v/>
      </c>
      <c r="G517" s="124" t="str">
        <f ca="1">IF(RegimeExecucao="Global","",ORÇAMENTO!T517)</f>
        <v/>
      </c>
      <c r="H517" s="124" t="str">
        <f ca="1">IF(RegimeExecucao="Global","",ORÇAMENTO!W517)</f>
        <v/>
      </c>
      <c r="I517" s="127">
        <f ca="1">ORÇAMENTO!X517</f>
        <v>0</v>
      </c>
      <c r="J517" s="378">
        <f ca="1">IF($A517="S",IF(CAIXA.Modo,BM.AFAnterior,BM.MEDAnterior),IF(AND(RegimeExecucao="Global",$I517&gt;0,COUNTIF($AB$13:$AM$13,BM.medicao-1)&gt;0),M517/$I517*100,0))</f>
        <v>0</v>
      </c>
      <c r="K517" s="124">
        <f t="shared" ca="1" si="46"/>
        <v>0</v>
      </c>
      <c r="L517" s="379">
        <f ca="1">IF($A517="S",IF(CAIXA.Modo,BM.AFAcumulado,BM.MEDAcumulado),IF(AND(RegimeExecucao="Global",$I517&gt;0,COUNTIF($AB$13:$AM$13,BM.medicao)&gt;0),O517/$I517*100,0))</f>
        <v>0</v>
      </c>
      <c r="M517" s="380">
        <f ca="1">IF($A517="S",VTOTALBM,IF($A517=0,0,ROUND(SomaAgrupBM,15-13*ORÇAMENTO!$AF$11)))</f>
        <v>0</v>
      </c>
      <c r="N517" s="381">
        <f t="shared" ca="1" si="47"/>
        <v>0</v>
      </c>
      <c r="O517" s="127">
        <f ca="1">IF($A517="S",VTOTALBM,IF($A517=0,0,ROUND(SomaAgrupBM,15-13*ORÇAMENTO!$AF$11)))</f>
        <v>0</v>
      </c>
      <c r="Q517" s="382"/>
      <c r="R517" s="383"/>
      <c r="T517" s="119" t="str">
        <f t="shared" ca="1" si="48"/>
        <v/>
      </c>
      <c r="U517" s="172" t="str">
        <f t="shared" ca="1" si="49"/>
        <v/>
      </c>
      <c r="V517" s="173" t="str">
        <f ca="1">IF(AND($W517&gt;0,RegimeExecucao="Unitário"),$F517,"")</f>
        <v/>
      </c>
      <c r="W517" s="547">
        <f ca="1">IF($Y517&gt;0,CHOOSE(MATCH(RegimeExecucao,{"Unitário","Global"},0),IF($A517="S",$Y517/$X517,""),($Y517/$X517)*100),0)</f>
        <v>0</v>
      </c>
      <c r="X517" s="384" t="str">
        <f ca="1">IF($Y517&gt;0,CHOOSE(MATCH(RegimeExecucao,{"Unitário","Global"},0),IF($A517="S",ROUND($H517,ORÇAMENTO!$AF$10),""),ROUND($I517,ORÇAMENTO!$AF$11)),"")</f>
        <v/>
      </c>
      <c r="Y517" s="384">
        <f t="shared" ca="1" si="50"/>
        <v>0</v>
      </c>
      <c r="Z517" s="572"/>
      <c r="AB517" s="382"/>
      <c r="AC517" s="516"/>
      <c r="AD517" s="516"/>
      <c r="AE517" s="516"/>
      <c r="AF517" s="516"/>
      <c r="AG517" s="516"/>
      <c r="AH517" s="516"/>
      <c r="AI517" s="516"/>
      <c r="AJ517" s="516"/>
      <c r="AK517" s="516"/>
      <c r="AL517" s="516"/>
      <c r="AM517" s="383"/>
      <c r="AO517">
        <f ca="1">IF($A517="S",IF(BM!$I517=0,0,CHOOSE(MATCH(RegimeExecucao,{"Global","Unitário"},0),ROUND(ROUND(BM.MEDAcumulado,15-13*BM!$A$9)/100*BM!$I517,15-13*ORÇAMENTO!$AF$11),ROUND(ROUND(BM.MEDAcumulado,15-13*BM!$A$9)*ROUND(BM!$H517,15-13*ORÇAMENTO!$AF$10),15-13*ORÇAMENTO!$AF$11))),IF($A517=0,0,ROUND(SomaAgrupBM,15-13*ORÇAMENTO!$AF$11)))</f>
        <v>0</v>
      </c>
    </row>
    <row r="518" spans="1:41" ht="38.25" x14ac:dyDescent="0.2">
      <c r="A518" t="str">
        <f ca="1">ORÇAMENTO!C518</f>
        <v>S</v>
      </c>
      <c r="B518">
        <f ca="1">ORÇAMENTO!D518</f>
        <v>0</v>
      </c>
      <c r="C518" s="116" t="str">
        <f t="shared" ca="1" si="44"/>
        <v/>
      </c>
      <c r="D518" s="119" t="str">
        <f ca="1">ORÇAMENTO!O518</f>
        <v>-</v>
      </c>
      <c r="E518" s="172" t="str">
        <f t="shared" ca="1" si="45"/>
        <v>(abra o arquivo 'Referência 06-2024.xlsm)</v>
      </c>
      <c r="F518" s="173" t="str">
        <f ca="1">IF(RegimeExecucao="Global","",ORÇAMENTO.Unidade)</f>
        <v/>
      </c>
      <c r="G518" s="124" t="str">
        <f ca="1">IF(RegimeExecucao="Global","",ORÇAMENTO!T518)</f>
        <v/>
      </c>
      <c r="H518" s="124" t="str">
        <f ca="1">IF(RegimeExecucao="Global","",ORÇAMENTO!W518)</f>
        <v/>
      </c>
      <c r="I518" s="127">
        <f ca="1">ORÇAMENTO!X518</f>
        <v>0</v>
      </c>
      <c r="J518" s="378">
        <f ca="1">IF($A518="S",IF(CAIXA.Modo,BM.AFAnterior,BM.MEDAnterior),IF(AND(RegimeExecucao="Global",$I518&gt;0,COUNTIF($AB$13:$AM$13,BM.medicao-1)&gt;0),M518/$I518*100,0))</f>
        <v>0</v>
      </c>
      <c r="K518" s="124">
        <f t="shared" ca="1" si="46"/>
        <v>0</v>
      </c>
      <c r="L518" s="379">
        <f ca="1">IF($A518="S",IF(CAIXA.Modo,BM.AFAcumulado,BM.MEDAcumulado),IF(AND(RegimeExecucao="Global",$I518&gt;0,COUNTIF($AB$13:$AM$13,BM.medicao)&gt;0),O518/$I518*100,0))</f>
        <v>0</v>
      </c>
      <c r="M518" s="380">
        <f ca="1">IF($A518="S",VTOTALBM,IF($A518=0,0,ROUND(SomaAgrupBM,15-13*ORÇAMENTO!$AF$11)))</f>
        <v>0</v>
      </c>
      <c r="N518" s="381">
        <f t="shared" ca="1" si="47"/>
        <v>0</v>
      </c>
      <c r="O518" s="127">
        <f ca="1">IF($A518="S",VTOTALBM,IF($A518=0,0,ROUND(SomaAgrupBM,15-13*ORÇAMENTO!$AF$11)))</f>
        <v>0</v>
      </c>
      <c r="Q518" s="382"/>
      <c r="R518" s="383"/>
      <c r="T518" s="119" t="str">
        <f t="shared" ca="1" si="48"/>
        <v/>
      </c>
      <c r="U518" s="172" t="str">
        <f t="shared" ca="1" si="49"/>
        <v/>
      </c>
      <c r="V518" s="173" t="str">
        <f ca="1">IF(AND($W518&gt;0,RegimeExecucao="Unitário"),$F518,"")</f>
        <v/>
      </c>
      <c r="W518" s="547">
        <f ca="1">IF($Y518&gt;0,CHOOSE(MATCH(RegimeExecucao,{"Unitário","Global"},0),IF($A518="S",$Y518/$X518,""),($Y518/$X518)*100),0)</f>
        <v>0</v>
      </c>
      <c r="X518" s="384" t="str">
        <f ca="1">IF($Y518&gt;0,CHOOSE(MATCH(RegimeExecucao,{"Unitário","Global"},0),IF($A518="S",ROUND($H518,ORÇAMENTO!$AF$10),""),ROUND($I518,ORÇAMENTO!$AF$11)),"")</f>
        <v/>
      </c>
      <c r="Y518" s="384">
        <f t="shared" ca="1" si="50"/>
        <v>0</v>
      </c>
      <c r="Z518" s="572"/>
      <c r="AB518" s="382"/>
      <c r="AC518" s="516"/>
      <c r="AD518" s="516"/>
      <c r="AE518" s="516"/>
      <c r="AF518" s="516"/>
      <c r="AG518" s="516"/>
      <c r="AH518" s="516"/>
      <c r="AI518" s="516"/>
      <c r="AJ518" s="516"/>
      <c r="AK518" s="516"/>
      <c r="AL518" s="516"/>
      <c r="AM518" s="383"/>
      <c r="AO518">
        <f ca="1">IF($A518="S",IF(BM!$I518=0,0,CHOOSE(MATCH(RegimeExecucao,{"Global","Unitário"},0),ROUND(ROUND(BM.MEDAcumulado,15-13*BM!$A$9)/100*BM!$I518,15-13*ORÇAMENTO!$AF$11),ROUND(ROUND(BM.MEDAcumulado,15-13*BM!$A$9)*ROUND(BM!$H518,15-13*ORÇAMENTO!$AF$10),15-13*ORÇAMENTO!$AF$11))),IF($A518=0,0,ROUND(SomaAgrupBM,15-13*ORÇAMENTO!$AF$11)))</f>
        <v>0</v>
      </c>
    </row>
    <row r="519" spans="1:41" ht="38.25" x14ac:dyDescent="0.2">
      <c r="A519" t="str">
        <f ca="1">ORÇAMENTO!C519</f>
        <v>S</v>
      </c>
      <c r="B519">
        <f ca="1">ORÇAMENTO!D519</f>
        <v>0</v>
      </c>
      <c r="C519" s="116" t="str">
        <f t="shared" ca="1" si="44"/>
        <v/>
      </c>
      <c r="D519" s="119" t="str">
        <f ca="1">ORÇAMENTO!O519</f>
        <v>-</v>
      </c>
      <c r="E519" s="172" t="str">
        <f t="shared" ca="1" si="45"/>
        <v>(abra o arquivo 'Referência 06-2024.xlsm)</v>
      </c>
      <c r="F519" s="173" t="str">
        <f ca="1">IF(RegimeExecucao="Global","",ORÇAMENTO.Unidade)</f>
        <v/>
      </c>
      <c r="G519" s="124" t="str">
        <f ca="1">IF(RegimeExecucao="Global","",ORÇAMENTO!T519)</f>
        <v/>
      </c>
      <c r="H519" s="124" t="str">
        <f ca="1">IF(RegimeExecucao="Global","",ORÇAMENTO!W519)</f>
        <v/>
      </c>
      <c r="I519" s="127">
        <f ca="1">ORÇAMENTO!X519</f>
        <v>0</v>
      </c>
      <c r="J519" s="378">
        <f ca="1">IF($A519="S",IF(CAIXA.Modo,BM.AFAnterior,BM.MEDAnterior),IF(AND(RegimeExecucao="Global",$I519&gt;0,COUNTIF($AB$13:$AM$13,BM.medicao-1)&gt;0),M519/$I519*100,0))</f>
        <v>0</v>
      </c>
      <c r="K519" s="124">
        <f t="shared" ca="1" si="46"/>
        <v>0</v>
      </c>
      <c r="L519" s="379">
        <f ca="1">IF($A519="S",IF(CAIXA.Modo,BM.AFAcumulado,BM.MEDAcumulado),IF(AND(RegimeExecucao="Global",$I519&gt;0,COUNTIF($AB$13:$AM$13,BM.medicao)&gt;0),O519/$I519*100,0))</f>
        <v>0</v>
      </c>
      <c r="M519" s="380">
        <f ca="1">IF($A519="S",VTOTALBM,IF($A519=0,0,ROUND(SomaAgrupBM,15-13*ORÇAMENTO!$AF$11)))</f>
        <v>0</v>
      </c>
      <c r="N519" s="381">
        <f t="shared" ca="1" si="47"/>
        <v>0</v>
      </c>
      <c r="O519" s="127">
        <f ca="1">IF($A519="S",VTOTALBM,IF($A519=0,0,ROUND(SomaAgrupBM,15-13*ORÇAMENTO!$AF$11)))</f>
        <v>0</v>
      </c>
      <c r="Q519" s="382"/>
      <c r="R519" s="383"/>
      <c r="T519" s="119" t="str">
        <f t="shared" ca="1" si="48"/>
        <v/>
      </c>
      <c r="U519" s="172" t="str">
        <f t="shared" ca="1" si="49"/>
        <v/>
      </c>
      <c r="V519" s="173" t="str">
        <f ca="1">IF(AND($W519&gt;0,RegimeExecucao="Unitário"),$F519,"")</f>
        <v/>
      </c>
      <c r="W519" s="547">
        <f ca="1">IF($Y519&gt;0,CHOOSE(MATCH(RegimeExecucao,{"Unitário","Global"},0),IF($A519="S",$Y519/$X519,""),($Y519/$X519)*100),0)</f>
        <v>0</v>
      </c>
      <c r="X519" s="384" t="str">
        <f ca="1">IF($Y519&gt;0,CHOOSE(MATCH(RegimeExecucao,{"Unitário","Global"},0),IF($A519="S",ROUND($H519,ORÇAMENTO!$AF$10),""),ROUND($I519,ORÇAMENTO!$AF$11)),"")</f>
        <v/>
      </c>
      <c r="Y519" s="384">
        <f t="shared" ca="1" si="50"/>
        <v>0</v>
      </c>
      <c r="Z519" s="572"/>
      <c r="AB519" s="382"/>
      <c r="AC519" s="516"/>
      <c r="AD519" s="516"/>
      <c r="AE519" s="516"/>
      <c r="AF519" s="516"/>
      <c r="AG519" s="516"/>
      <c r="AH519" s="516"/>
      <c r="AI519" s="516"/>
      <c r="AJ519" s="516"/>
      <c r="AK519" s="516"/>
      <c r="AL519" s="516"/>
      <c r="AM519" s="383"/>
      <c r="AO519">
        <f ca="1">IF($A519="S",IF(BM!$I519=0,0,CHOOSE(MATCH(RegimeExecucao,{"Global","Unitário"},0),ROUND(ROUND(BM.MEDAcumulado,15-13*BM!$A$9)/100*BM!$I519,15-13*ORÇAMENTO!$AF$11),ROUND(ROUND(BM.MEDAcumulado,15-13*BM!$A$9)*ROUND(BM!$H519,15-13*ORÇAMENTO!$AF$10),15-13*ORÇAMENTO!$AF$11))),IF($A519=0,0,ROUND(SomaAgrupBM,15-13*ORÇAMENTO!$AF$11)))</f>
        <v>0</v>
      </c>
    </row>
    <row r="520" spans="1:41" ht="38.25" x14ac:dyDescent="0.2">
      <c r="A520" t="str">
        <f ca="1">ORÇAMENTO!C520</f>
        <v>S</v>
      </c>
      <c r="B520">
        <f ca="1">ORÇAMENTO!D520</f>
        <v>0</v>
      </c>
      <c r="C520" s="116" t="str">
        <f t="shared" ca="1" si="44"/>
        <v/>
      </c>
      <c r="D520" s="119" t="str">
        <f ca="1">ORÇAMENTO!O520</f>
        <v>-</v>
      </c>
      <c r="E520" s="172" t="str">
        <f t="shared" ca="1" si="45"/>
        <v>(abra o arquivo 'Referência 06-2024.xlsm)</v>
      </c>
      <c r="F520" s="173" t="str">
        <f ca="1">IF(RegimeExecucao="Global","",ORÇAMENTO.Unidade)</f>
        <v/>
      </c>
      <c r="G520" s="124" t="str">
        <f ca="1">IF(RegimeExecucao="Global","",ORÇAMENTO!T520)</f>
        <v/>
      </c>
      <c r="H520" s="124" t="str">
        <f ca="1">IF(RegimeExecucao="Global","",ORÇAMENTO!W520)</f>
        <v/>
      </c>
      <c r="I520" s="127">
        <f ca="1">ORÇAMENTO!X520</f>
        <v>0</v>
      </c>
      <c r="J520" s="378">
        <f ca="1">IF($A520="S",IF(CAIXA.Modo,BM.AFAnterior,BM.MEDAnterior),IF(AND(RegimeExecucao="Global",$I520&gt;0,COUNTIF($AB$13:$AM$13,BM.medicao-1)&gt;0),M520/$I520*100,0))</f>
        <v>0</v>
      </c>
      <c r="K520" s="124">
        <f t="shared" ca="1" si="46"/>
        <v>0</v>
      </c>
      <c r="L520" s="379">
        <f ca="1">IF($A520="S",IF(CAIXA.Modo,BM.AFAcumulado,BM.MEDAcumulado),IF(AND(RegimeExecucao="Global",$I520&gt;0,COUNTIF($AB$13:$AM$13,BM.medicao)&gt;0),O520/$I520*100,0))</f>
        <v>0</v>
      </c>
      <c r="M520" s="380">
        <f ca="1">IF($A520="S",VTOTALBM,IF($A520=0,0,ROUND(SomaAgrupBM,15-13*ORÇAMENTO!$AF$11)))</f>
        <v>0</v>
      </c>
      <c r="N520" s="381">
        <f t="shared" ca="1" si="47"/>
        <v>0</v>
      </c>
      <c r="O520" s="127">
        <f ca="1">IF($A520="S",VTOTALBM,IF($A520=0,0,ROUND(SomaAgrupBM,15-13*ORÇAMENTO!$AF$11)))</f>
        <v>0</v>
      </c>
      <c r="Q520" s="382"/>
      <c r="R520" s="383"/>
      <c r="T520" s="119" t="str">
        <f t="shared" ca="1" si="48"/>
        <v/>
      </c>
      <c r="U520" s="172" t="str">
        <f t="shared" ca="1" si="49"/>
        <v/>
      </c>
      <c r="V520" s="173" t="str">
        <f ca="1">IF(AND($W520&gt;0,RegimeExecucao="Unitário"),$F520,"")</f>
        <v/>
      </c>
      <c r="W520" s="547">
        <f ca="1">IF($Y520&gt;0,CHOOSE(MATCH(RegimeExecucao,{"Unitário","Global"},0),IF($A520="S",$Y520/$X520,""),($Y520/$X520)*100),0)</f>
        <v>0</v>
      </c>
      <c r="X520" s="384" t="str">
        <f ca="1">IF($Y520&gt;0,CHOOSE(MATCH(RegimeExecucao,{"Unitário","Global"},0),IF($A520="S",ROUND($H520,ORÇAMENTO!$AF$10),""),ROUND($I520,ORÇAMENTO!$AF$11)),"")</f>
        <v/>
      </c>
      <c r="Y520" s="384">
        <f t="shared" ca="1" si="50"/>
        <v>0</v>
      </c>
      <c r="Z520" s="572"/>
      <c r="AB520" s="382"/>
      <c r="AC520" s="516"/>
      <c r="AD520" s="516"/>
      <c r="AE520" s="516"/>
      <c r="AF520" s="516"/>
      <c r="AG520" s="516"/>
      <c r="AH520" s="516"/>
      <c r="AI520" s="516"/>
      <c r="AJ520" s="516"/>
      <c r="AK520" s="516"/>
      <c r="AL520" s="516"/>
      <c r="AM520" s="383"/>
      <c r="AO520">
        <f ca="1">IF($A520="S",IF(BM!$I520=0,0,CHOOSE(MATCH(RegimeExecucao,{"Global","Unitário"},0),ROUND(ROUND(BM.MEDAcumulado,15-13*BM!$A$9)/100*BM!$I520,15-13*ORÇAMENTO!$AF$11),ROUND(ROUND(BM.MEDAcumulado,15-13*BM!$A$9)*ROUND(BM!$H520,15-13*ORÇAMENTO!$AF$10),15-13*ORÇAMENTO!$AF$11))),IF($A520=0,0,ROUND(SomaAgrupBM,15-13*ORÇAMENTO!$AF$11)))</f>
        <v>0</v>
      </c>
    </row>
    <row r="521" spans="1:41" ht="38.25" x14ac:dyDescent="0.2">
      <c r="A521" t="str">
        <f ca="1">ORÇAMENTO!C521</f>
        <v>S</v>
      </c>
      <c r="B521">
        <f ca="1">ORÇAMENTO!D521</f>
        <v>0</v>
      </c>
      <c r="C521" s="116" t="str">
        <f t="shared" ca="1" si="44"/>
        <v/>
      </c>
      <c r="D521" s="119" t="str">
        <f ca="1">ORÇAMENTO!O521</f>
        <v>-</v>
      </c>
      <c r="E521" s="172" t="str">
        <f t="shared" ca="1" si="45"/>
        <v>(abra o arquivo 'Referência 06-2024.xlsm)</v>
      </c>
      <c r="F521" s="173" t="str">
        <f ca="1">IF(RegimeExecucao="Global","",ORÇAMENTO.Unidade)</f>
        <v/>
      </c>
      <c r="G521" s="124" t="str">
        <f ca="1">IF(RegimeExecucao="Global","",ORÇAMENTO!T521)</f>
        <v/>
      </c>
      <c r="H521" s="124" t="str">
        <f ca="1">IF(RegimeExecucao="Global","",ORÇAMENTO!W521)</f>
        <v/>
      </c>
      <c r="I521" s="127">
        <f ca="1">ORÇAMENTO!X521</f>
        <v>0</v>
      </c>
      <c r="J521" s="378">
        <f ca="1">IF($A521="S",IF(CAIXA.Modo,BM.AFAnterior,BM.MEDAnterior),IF(AND(RegimeExecucao="Global",$I521&gt;0,COUNTIF($AB$13:$AM$13,BM.medicao-1)&gt;0),M521/$I521*100,0))</f>
        <v>0</v>
      </c>
      <c r="K521" s="124">
        <f t="shared" ca="1" si="46"/>
        <v>0</v>
      </c>
      <c r="L521" s="379">
        <f ca="1">IF($A521="S",IF(CAIXA.Modo,BM.AFAcumulado,BM.MEDAcumulado),IF(AND(RegimeExecucao="Global",$I521&gt;0,COUNTIF($AB$13:$AM$13,BM.medicao)&gt;0),O521/$I521*100,0))</f>
        <v>0</v>
      </c>
      <c r="M521" s="380">
        <f ca="1">IF($A521="S",VTOTALBM,IF($A521=0,0,ROUND(SomaAgrupBM,15-13*ORÇAMENTO!$AF$11)))</f>
        <v>0</v>
      </c>
      <c r="N521" s="381">
        <f t="shared" ca="1" si="47"/>
        <v>0</v>
      </c>
      <c r="O521" s="127">
        <f ca="1">IF($A521="S",VTOTALBM,IF($A521=0,0,ROUND(SomaAgrupBM,15-13*ORÇAMENTO!$AF$11)))</f>
        <v>0</v>
      </c>
      <c r="Q521" s="382"/>
      <c r="R521" s="383"/>
      <c r="T521" s="119" t="str">
        <f t="shared" ca="1" si="48"/>
        <v/>
      </c>
      <c r="U521" s="172" t="str">
        <f t="shared" ca="1" si="49"/>
        <v/>
      </c>
      <c r="V521" s="173" t="str">
        <f ca="1">IF(AND($W521&gt;0,RegimeExecucao="Unitário"),$F521,"")</f>
        <v/>
      </c>
      <c r="W521" s="547">
        <f ca="1">IF($Y521&gt;0,CHOOSE(MATCH(RegimeExecucao,{"Unitário","Global"},0),IF($A521="S",$Y521/$X521,""),($Y521/$X521)*100),0)</f>
        <v>0</v>
      </c>
      <c r="X521" s="384" t="str">
        <f ca="1">IF($Y521&gt;0,CHOOSE(MATCH(RegimeExecucao,{"Unitário","Global"},0),IF($A521="S",ROUND($H521,ORÇAMENTO!$AF$10),""),ROUND($I521,ORÇAMENTO!$AF$11)),"")</f>
        <v/>
      </c>
      <c r="Y521" s="384">
        <f t="shared" ca="1" si="50"/>
        <v>0</v>
      </c>
      <c r="Z521" s="572"/>
      <c r="AB521" s="382"/>
      <c r="AC521" s="516"/>
      <c r="AD521" s="516"/>
      <c r="AE521" s="516"/>
      <c r="AF521" s="516"/>
      <c r="AG521" s="516"/>
      <c r="AH521" s="516"/>
      <c r="AI521" s="516"/>
      <c r="AJ521" s="516"/>
      <c r="AK521" s="516"/>
      <c r="AL521" s="516"/>
      <c r="AM521" s="383"/>
      <c r="AO521">
        <f ca="1">IF($A521="S",IF(BM!$I521=0,0,CHOOSE(MATCH(RegimeExecucao,{"Global","Unitário"},0),ROUND(ROUND(BM.MEDAcumulado,15-13*BM!$A$9)/100*BM!$I521,15-13*ORÇAMENTO!$AF$11),ROUND(ROUND(BM.MEDAcumulado,15-13*BM!$A$9)*ROUND(BM!$H521,15-13*ORÇAMENTO!$AF$10),15-13*ORÇAMENTO!$AF$11))),IF($A521=0,0,ROUND(SomaAgrupBM,15-13*ORÇAMENTO!$AF$11)))</f>
        <v>0</v>
      </c>
    </row>
    <row r="522" spans="1:41" ht="38.25" x14ac:dyDescent="0.2">
      <c r="A522" t="str">
        <f ca="1">ORÇAMENTO!C522</f>
        <v>S</v>
      </c>
      <c r="B522">
        <f ca="1">ORÇAMENTO!D522</f>
        <v>0</v>
      </c>
      <c r="C522" s="116" t="str">
        <f t="shared" ca="1" si="44"/>
        <v/>
      </c>
      <c r="D522" s="119" t="str">
        <f ca="1">ORÇAMENTO!O522</f>
        <v>-</v>
      </c>
      <c r="E522" s="172" t="str">
        <f t="shared" ca="1" si="45"/>
        <v>(abra o arquivo 'Referência 06-2024.xlsm)</v>
      </c>
      <c r="F522" s="173" t="str">
        <f ca="1">IF(RegimeExecucao="Global","",ORÇAMENTO.Unidade)</f>
        <v/>
      </c>
      <c r="G522" s="124" t="str">
        <f ca="1">IF(RegimeExecucao="Global","",ORÇAMENTO!T522)</f>
        <v/>
      </c>
      <c r="H522" s="124" t="str">
        <f ca="1">IF(RegimeExecucao="Global","",ORÇAMENTO!W522)</f>
        <v/>
      </c>
      <c r="I522" s="127">
        <f ca="1">ORÇAMENTO!X522</f>
        <v>0</v>
      </c>
      <c r="J522" s="378">
        <f ca="1">IF($A522="S",IF(CAIXA.Modo,BM.AFAnterior,BM.MEDAnterior),IF(AND(RegimeExecucao="Global",$I522&gt;0,COUNTIF($AB$13:$AM$13,BM.medicao-1)&gt;0),M522/$I522*100,0))</f>
        <v>0</v>
      </c>
      <c r="K522" s="124">
        <f t="shared" ca="1" si="46"/>
        <v>0</v>
      </c>
      <c r="L522" s="379">
        <f ca="1">IF($A522="S",IF(CAIXA.Modo,BM.AFAcumulado,BM.MEDAcumulado),IF(AND(RegimeExecucao="Global",$I522&gt;0,COUNTIF($AB$13:$AM$13,BM.medicao)&gt;0),O522/$I522*100,0))</f>
        <v>0</v>
      </c>
      <c r="M522" s="380">
        <f ca="1">IF($A522="S",VTOTALBM,IF($A522=0,0,ROUND(SomaAgrupBM,15-13*ORÇAMENTO!$AF$11)))</f>
        <v>0</v>
      </c>
      <c r="N522" s="381">
        <f t="shared" ca="1" si="47"/>
        <v>0</v>
      </c>
      <c r="O522" s="127">
        <f ca="1">IF($A522="S",VTOTALBM,IF($A522=0,0,ROUND(SomaAgrupBM,15-13*ORÇAMENTO!$AF$11)))</f>
        <v>0</v>
      </c>
      <c r="Q522" s="382"/>
      <c r="R522" s="383"/>
      <c r="T522" s="119" t="str">
        <f t="shared" ca="1" si="48"/>
        <v/>
      </c>
      <c r="U522" s="172" t="str">
        <f t="shared" ca="1" si="49"/>
        <v/>
      </c>
      <c r="V522" s="173" t="str">
        <f ca="1">IF(AND($W522&gt;0,RegimeExecucao="Unitário"),$F522,"")</f>
        <v/>
      </c>
      <c r="W522" s="547">
        <f ca="1">IF($Y522&gt;0,CHOOSE(MATCH(RegimeExecucao,{"Unitário","Global"},0),IF($A522="S",$Y522/$X522,""),($Y522/$X522)*100),0)</f>
        <v>0</v>
      </c>
      <c r="X522" s="384" t="str">
        <f ca="1">IF($Y522&gt;0,CHOOSE(MATCH(RegimeExecucao,{"Unitário","Global"},0),IF($A522="S",ROUND($H522,ORÇAMENTO!$AF$10),""),ROUND($I522,ORÇAMENTO!$AF$11)),"")</f>
        <v/>
      </c>
      <c r="Y522" s="384">
        <f t="shared" ca="1" si="50"/>
        <v>0</v>
      </c>
      <c r="Z522" s="572"/>
      <c r="AB522" s="382"/>
      <c r="AC522" s="516"/>
      <c r="AD522" s="516"/>
      <c r="AE522" s="516"/>
      <c r="AF522" s="516"/>
      <c r="AG522" s="516"/>
      <c r="AH522" s="516"/>
      <c r="AI522" s="516"/>
      <c r="AJ522" s="516"/>
      <c r="AK522" s="516"/>
      <c r="AL522" s="516"/>
      <c r="AM522" s="383"/>
      <c r="AO522">
        <f ca="1">IF($A522="S",IF(BM!$I522=0,0,CHOOSE(MATCH(RegimeExecucao,{"Global","Unitário"},0),ROUND(ROUND(BM.MEDAcumulado,15-13*BM!$A$9)/100*BM!$I522,15-13*ORÇAMENTO!$AF$11),ROUND(ROUND(BM.MEDAcumulado,15-13*BM!$A$9)*ROUND(BM!$H522,15-13*ORÇAMENTO!$AF$10),15-13*ORÇAMENTO!$AF$11))),IF($A522=0,0,ROUND(SomaAgrupBM,15-13*ORÇAMENTO!$AF$11)))</f>
        <v>0</v>
      </c>
    </row>
    <row r="523" spans="1:41" ht="38.25" x14ac:dyDescent="0.2">
      <c r="A523" t="str">
        <f ca="1">ORÇAMENTO!C523</f>
        <v>S</v>
      </c>
      <c r="B523">
        <f ca="1">ORÇAMENTO!D523</f>
        <v>0</v>
      </c>
      <c r="C523" s="116" t="str">
        <f t="shared" ca="1" si="44"/>
        <v/>
      </c>
      <c r="D523" s="119" t="str">
        <f ca="1">ORÇAMENTO!O523</f>
        <v>-</v>
      </c>
      <c r="E523" s="172" t="str">
        <f t="shared" ca="1" si="45"/>
        <v>(abra o arquivo 'Referência 06-2024.xlsm)</v>
      </c>
      <c r="F523" s="173" t="str">
        <f ca="1">IF(RegimeExecucao="Global","",ORÇAMENTO.Unidade)</f>
        <v/>
      </c>
      <c r="G523" s="124" t="str">
        <f ca="1">IF(RegimeExecucao="Global","",ORÇAMENTO!T523)</f>
        <v/>
      </c>
      <c r="H523" s="124" t="str">
        <f ca="1">IF(RegimeExecucao="Global","",ORÇAMENTO!W523)</f>
        <v/>
      </c>
      <c r="I523" s="127">
        <f ca="1">ORÇAMENTO!X523</f>
        <v>0</v>
      </c>
      <c r="J523" s="378">
        <f ca="1">IF($A523="S",IF(CAIXA.Modo,BM.AFAnterior,BM.MEDAnterior),IF(AND(RegimeExecucao="Global",$I523&gt;0,COUNTIF($AB$13:$AM$13,BM.medicao-1)&gt;0),M523/$I523*100,0))</f>
        <v>0</v>
      </c>
      <c r="K523" s="124">
        <f t="shared" ca="1" si="46"/>
        <v>0</v>
      </c>
      <c r="L523" s="379">
        <f ca="1">IF($A523="S",IF(CAIXA.Modo,BM.AFAcumulado,BM.MEDAcumulado),IF(AND(RegimeExecucao="Global",$I523&gt;0,COUNTIF($AB$13:$AM$13,BM.medicao)&gt;0),O523/$I523*100,0))</f>
        <v>0</v>
      </c>
      <c r="M523" s="380">
        <f ca="1">IF($A523="S",VTOTALBM,IF($A523=0,0,ROUND(SomaAgrupBM,15-13*ORÇAMENTO!$AF$11)))</f>
        <v>0</v>
      </c>
      <c r="N523" s="381">
        <f t="shared" ca="1" si="47"/>
        <v>0</v>
      </c>
      <c r="O523" s="127">
        <f ca="1">IF($A523="S",VTOTALBM,IF($A523=0,0,ROUND(SomaAgrupBM,15-13*ORÇAMENTO!$AF$11)))</f>
        <v>0</v>
      </c>
      <c r="Q523" s="382"/>
      <c r="R523" s="383"/>
      <c r="T523" s="119" t="str">
        <f t="shared" ca="1" si="48"/>
        <v/>
      </c>
      <c r="U523" s="172" t="str">
        <f t="shared" ca="1" si="49"/>
        <v/>
      </c>
      <c r="V523" s="173" t="str">
        <f ca="1">IF(AND($W523&gt;0,RegimeExecucao="Unitário"),$F523,"")</f>
        <v/>
      </c>
      <c r="W523" s="547">
        <f ca="1">IF($Y523&gt;0,CHOOSE(MATCH(RegimeExecucao,{"Unitário","Global"},0),IF($A523="S",$Y523/$X523,""),($Y523/$X523)*100),0)</f>
        <v>0</v>
      </c>
      <c r="X523" s="384" t="str">
        <f ca="1">IF($Y523&gt;0,CHOOSE(MATCH(RegimeExecucao,{"Unitário","Global"},0),IF($A523="S",ROUND($H523,ORÇAMENTO!$AF$10),""),ROUND($I523,ORÇAMENTO!$AF$11)),"")</f>
        <v/>
      </c>
      <c r="Y523" s="384">
        <f t="shared" ca="1" si="50"/>
        <v>0</v>
      </c>
      <c r="Z523" s="572"/>
      <c r="AB523" s="382"/>
      <c r="AC523" s="516"/>
      <c r="AD523" s="516"/>
      <c r="AE523" s="516"/>
      <c r="AF523" s="516"/>
      <c r="AG523" s="516"/>
      <c r="AH523" s="516"/>
      <c r="AI523" s="516"/>
      <c r="AJ523" s="516"/>
      <c r="AK523" s="516"/>
      <c r="AL523" s="516"/>
      <c r="AM523" s="383"/>
      <c r="AO523">
        <f ca="1">IF($A523="S",IF(BM!$I523=0,0,CHOOSE(MATCH(RegimeExecucao,{"Global","Unitário"},0),ROUND(ROUND(BM.MEDAcumulado,15-13*BM!$A$9)/100*BM!$I523,15-13*ORÇAMENTO!$AF$11),ROUND(ROUND(BM.MEDAcumulado,15-13*BM!$A$9)*ROUND(BM!$H523,15-13*ORÇAMENTO!$AF$10),15-13*ORÇAMENTO!$AF$11))),IF($A523=0,0,ROUND(SomaAgrupBM,15-13*ORÇAMENTO!$AF$11)))</f>
        <v>0</v>
      </c>
    </row>
    <row r="524" spans="1:41" ht="38.25" x14ac:dyDescent="0.2">
      <c r="A524" t="str">
        <f ca="1">ORÇAMENTO!C524</f>
        <v>S</v>
      </c>
      <c r="B524">
        <f ca="1">ORÇAMENTO!D524</f>
        <v>0</v>
      </c>
      <c r="C524" s="116" t="str">
        <f t="shared" ca="1" si="44"/>
        <v/>
      </c>
      <c r="D524" s="119" t="str">
        <f ca="1">ORÇAMENTO!O524</f>
        <v>-</v>
      </c>
      <c r="E524" s="172" t="str">
        <f t="shared" ca="1" si="45"/>
        <v>(abra o arquivo 'Referência 06-2024.xlsm)</v>
      </c>
      <c r="F524" s="173" t="str">
        <f ca="1">IF(RegimeExecucao="Global","",ORÇAMENTO.Unidade)</f>
        <v/>
      </c>
      <c r="G524" s="124" t="str">
        <f ca="1">IF(RegimeExecucao="Global","",ORÇAMENTO!T524)</f>
        <v/>
      </c>
      <c r="H524" s="124" t="str">
        <f ca="1">IF(RegimeExecucao="Global","",ORÇAMENTO!W524)</f>
        <v/>
      </c>
      <c r="I524" s="127">
        <f ca="1">ORÇAMENTO!X524</f>
        <v>0</v>
      </c>
      <c r="J524" s="378">
        <f ca="1">IF($A524="S",IF(CAIXA.Modo,BM.AFAnterior,BM.MEDAnterior),IF(AND(RegimeExecucao="Global",$I524&gt;0,COUNTIF($AB$13:$AM$13,BM.medicao-1)&gt;0),M524/$I524*100,0))</f>
        <v>0</v>
      </c>
      <c r="K524" s="124">
        <f t="shared" ca="1" si="46"/>
        <v>0</v>
      </c>
      <c r="L524" s="379">
        <f ca="1">IF($A524="S",IF(CAIXA.Modo,BM.AFAcumulado,BM.MEDAcumulado),IF(AND(RegimeExecucao="Global",$I524&gt;0,COUNTIF($AB$13:$AM$13,BM.medicao)&gt;0),O524/$I524*100,0))</f>
        <v>0</v>
      </c>
      <c r="M524" s="380">
        <f ca="1">IF($A524="S",VTOTALBM,IF($A524=0,0,ROUND(SomaAgrupBM,15-13*ORÇAMENTO!$AF$11)))</f>
        <v>0</v>
      </c>
      <c r="N524" s="381">
        <f t="shared" ca="1" si="47"/>
        <v>0</v>
      </c>
      <c r="O524" s="127">
        <f ca="1">IF($A524="S",VTOTALBM,IF($A524=0,0,ROUND(SomaAgrupBM,15-13*ORÇAMENTO!$AF$11)))</f>
        <v>0</v>
      </c>
      <c r="Q524" s="382"/>
      <c r="R524" s="383"/>
      <c r="T524" s="119" t="str">
        <f t="shared" ca="1" si="48"/>
        <v/>
      </c>
      <c r="U524" s="172" t="str">
        <f t="shared" ca="1" si="49"/>
        <v/>
      </c>
      <c r="V524" s="173" t="str">
        <f ca="1">IF(AND($W524&gt;0,RegimeExecucao="Unitário"),$F524,"")</f>
        <v/>
      </c>
      <c r="W524" s="547">
        <f ca="1">IF($Y524&gt;0,CHOOSE(MATCH(RegimeExecucao,{"Unitário","Global"},0),IF($A524="S",$Y524/$X524,""),($Y524/$X524)*100),0)</f>
        <v>0</v>
      </c>
      <c r="X524" s="384" t="str">
        <f ca="1">IF($Y524&gt;0,CHOOSE(MATCH(RegimeExecucao,{"Unitário","Global"},0),IF($A524="S",ROUND($H524,ORÇAMENTO!$AF$10),""),ROUND($I524,ORÇAMENTO!$AF$11)),"")</f>
        <v/>
      </c>
      <c r="Y524" s="384">
        <f t="shared" ca="1" si="50"/>
        <v>0</v>
      </c>
      <c r="Z524" s="572"/>
      <c r="AB524" s="382"/>
      <c r="AC524" s="516"/>
      <c r="AD524" s="516"/>
      <c r="AE524" s="516"/>
      <c r="AF524" s="516"/>
      <c r="AG524" s="516"/>
      <c r="AH524" s="516"/>
      <c r="AI524" s="516"/>
      <c r="AJ524" s="516"/>
      <c r="AK524" s="516"/>
      <c r="AL524" s="516"/>
      <c r="AM524" s="383"/>
      <c r="AO524">
        <f ca="1">IF($A524="S",IF(BM!$I524=0,0,CHOOSE(MATCH(RegimeExecucao,{"Global","Unitário"},0),ROUND(ROUND(BM.MEDAcumulado,15-13*BM!$A$9)/100*BM!$I524,15-13*ORÇAMENTO!$AF$11),ROUND(ROUND(BM.MEDAcumulado,15-13*BM!$A$9)*ROUND(BM!$H524,15-13*ORÇAMENTO!$AF$10),15-13*ORÇAMENTO!$AF$11))),IF($A524=0,0,ROUND(SomaAgrupBM,15-13*ORÇAMENTO!$AF$11)))</f>
        <v>0</v>
      </c>
    </row>
    <row r="525" spans="1:41" ht="38.25" x14ac:dyDescent="0.2">
      <c r="A525" t="str">
        <f ca="1">ORÇAMENTO!C525</f>
        <v>S</v>
      </c>
      <c r="B525">
        <f ca="1">ORÇAMENTO!D525</f>
        <v>0</v>
      </c>
      <c r="C525" s="116" t="str">
        <f t="shared" ca="1" si="44"/>
        <v/>
      </c>
      <c r="D525" s="119" t="str">
        <f ca="1">ORÇAMENTO!O525</f>
        <v>-</v>
      </c>
      <c r="E525" s="172" t="str">
        <f t="shared" ca="1" si="45"/>
        <v>(abra o arquivo 'Referência 06-2024.xlsm)</v>
      </c>
      <c r="F525" s="173" t="str">
        <f ca="1">IF(RegimeExecucao="Global","",ORÇAMENTO.Unidade)</f>
        <v/>
      </c>
      <c r="G525" s="124" t="str">
        <f ca="1">IF(RegimeExecucao="Global","",ORÇAMENTO!T525)</f>
        <v/>
      </c>
      <c r="H525" s="124" t="str">
        <f ca="1">IF(RegimeExecucao="Global","",ORÇAMENTO!W525)</f>
        <v/>
      </c>
      <c r="I525" s="127">
        <f ca="1">ORÇAMENTO!X525</f>
        <v>0</v>
      </c>
      <c r="J525" s="378">
        <f ca="1">IF($A525="S",IF(CAIXA.Modo,BM.AFAnterior,BM.MEDAnterior),IF(AND(RegimeExecucao="Global",$I525&gt;0,COUNTIF($AB$13:$AM$13,BM.medicao-1)&gt;0),M525/$I525*100,0))</f>
        <v>0</v>
      </c>
      <c r="K525" s="124">
        <f t="shared" ca="1" si="46"/>
        <v>0</v>
      </c>
      <c r="L525" s="379">
        <f ca="1">IF($A525="S",IF(CAIXA.Modo,BM.AFAcumulado,BM.MEDAcumulado),IF(AND(RegimeExecucao="Global",$I525&gt;0,COUNTIF($AB$13:$AM$13,BM.medicao)&gt;0),O525/$I525*100,0))</f>
        <v>0</v>
      </c>
      <c r="M525" s="380">
        <f ca="1">IF($A525="S",VTOTALBM,IF($A525=0,0,ROUND(SomaAgrupBM,15-13*ORÇAMENTO!$AF$11)))</f>
        <v>0</v>
      </c>
      <c r="N525" s="381">
        <f t="shared" ca="1" si="47"/>
        <v>0</v>
      </c>
      <c r="O525" s="127">
        <f ca="1">IF($A525="S",VTOTALBM,IF($A525=0,0,ROUND(SomaAgrupBM,15-13*ORÇAMENTO!$AF$11)))</f>
        <v>0</v>
      </c>
      <c r="Q525" s="382"/>
      <c r="R525" s="383"/>
      <c r="T525" s="119" t="str">
        <f t="shared" ca="1" si="48"/>
        <v/>
      </c>
      <c r="U525" s="172" t="str">
        <f t="shared" ca="1" si="49"/>
        <v/>
      </c>
      <c r="V525" s="173" t="str">
        <f ca="1">IF(AND($W525&gt;0,RegimeExecucao="Unitário"),$F525,"")</f>
        <v/>
      </c>
      <c r="W525" s="547">
        <f ca="1">IF($Y525&gt;0,CHOOSE(MATCH(RegimeExecucao,{"Unitário","Global"},0),IF($A525="S",$Y525/$X525,""),($Y525/$X525)*100),0)</f>
        <v>0</v>
      </c>
      <c r="X525" s="384" t="str">
        <f ca="1">IF($Y525&gt;0,CHOOSE(MATCH(RegimeExecucao,{"Unitário","Global"},0),IF($A525="S",ROUND($H525,ORÇAMENTO!$AF$10),""),ROUND($I525,ORÇAMENTO!$AF$11)),"")</f>
        <v/>
      </c>
      <c r="Y525" s="384">
        <f t="shared" ca="1" si="50"/>
        <v>0</v>
      </c>
      <c r="Z525" s="572"/>
      <c r="AB525" s="382"/>
      <c r="AC525" s="516"/>
      <c r="AD525" s="516"/>
      <c r="AE525" s="516"/>
      <c r="AF525" s="516"/>
      <c r="AG525" s="516"/>
      <c r="AH525" s="516"/>
      <c r="AI525" s="516"/>
      <c r="AJ525" s="516"/>
      <c r="AK525" s="516"/>
      <c r="AL525" s="516"/>
      <c r="AM525" s="383"/>
      <c r="AO525">
        <f ca="1">IF($A525="S",IF(BM!$I525=0,0,CHOOSE(MATCH(RegimeExecucao,{"Global","Unitário"},0),ROUND(ROUND(BM.MEDAcumulado,15-13*BM!$A$9)/100*BM!$I525,15-13*ORÇAMENTO!$AF$11),ROUND(ROUND(BM.MEDAcumulado,15-13*BM!$A$9)*ROUND(BM!$H525,15-13*ORÇAMENTO!$AF$10),15-13*ORÇAMENTO!$AF$11))),IF($A525=0,0,ROUND(SomaAgrupBM,15-13*ORÇAMENTO!$AF$11)))</f>
        <v>0</v>
      </c>
    </row>
    <row r="526" spans="1:41" x14ac:dyDescent="0.2">
      <c r="A526">
        <f ca="1">ORÇAMENTO!C526</f>
        <v>2</v>
      </c>
      <c r="B526">
        <f ca="1">ORÇAMENTO!D526</f>
        <v>4</v>
      </c>
      <c r="C526" s="116" t="str">
        <f t="shared" ca="1" si="44"/>
        <v>F</v>
      </c>
      <c r="D526" s="119" t="str">
        <f ca="1">ORÇAMENTO!O526</f>
        <v>1.54.</v>
      </c>
      <c r="E526" s="172" t="str">
        <f t="shared" si="45"/>
        <v>INSTALAÇÃO ELÉTRICA 110V - CAIXAS DE PASSAGEM</v>
      </c>
      <c r="F526" s="173" t="str">
        <f ca="1">IF(RegimeExecucao="Global","",ORÇAMENTO.Unidade)</f>
        <v/>
      </c>
      <c r="G526" s="124" t="str">
        <f ca="1">IF(RegimeExecucao="Global","",ORÇAMENTO!T526)</f>
        <v/>
      </c>
      <c r="H526" s="124" t="str">
        <f ca="1">IF(RegimeExecucao="Global","",ORÇAMENTO!W526)</f>
        <v/>
      </c>
      <c r="I526" s="127">
        <f ca="1">ORÇAMENTO!X526</f>
        <v>0</v>
      </c>
      <c r="J526" s="378">
        <f ca="1">IF($A526="S",IF(CAIXA.Modo,BM.AFAnterior,BM.MEDAnterior),IF(AND(RegimeExecucao="Global",$I526&gt;0,COUNTIF($AB$13:$AM$13,BM.medicao-1)&gt;0),M526/$I526*100,0))</f>
        <v>0</v>
      </c>
      <c r="K526" s="124">
        <f t="shared" ca="1" si="46"/>
        <v>0</v>
      </c>
      <c r="L526" s="379">
        <f ca="1">IF($A526="S",IF(CAIXA.Modo,BM.AFAcumulado,BM.MEDAcumulado),IF(AND(RegimeExecucao="Global",$I526&gt;0,COUNTIF($AB$13:$AM$13,BM.medicao)&gt;0),O526/$I526*100,0))</f>
        <v>0</v>
      </c>
      <c r="M526" s="380">
        <f ca="1">IF($A526="S",VTOTALBM,IF($A526=0,0,ROUND(SomaAgrupBM,15-13*ORÇAMENTO!$AF$11)))</f>
        <v>0</v>
      </c>
      <c r="N526" s="381">
        <f t="shared" ca="1" si="47"/>
        <v>0</v>
      </c>
      <c r="O526" s="127">
        <f ca="1">IF($A526="S",VTOTALBM,IF($A526=0,0,ROUND(SomaAgrupBM,15-13*ORÇAMENTO!$AF$11)))</f>
        <v>0</v>
      </c>
      <c r="Q526" s="382"/>
      <c r="R526" s="383"/>
      <c r="T526" s="119" t="str">
        <f t="shared" ca="1" si="48"/>
        <v/>
      </c>
      <c r="U526" s="172" t="str">
        <f t="shared" ca="1" si="49"/>
        <v/>
      </c>
      <c r="V526" s="173" t="str">
        <f ca="1">IF(AND($W526&gt;0,RegimeExecucao="Unitário"),$F526,"")</f>
        <v/>
      </c>
      <c r="W526" s="547">
        <f ca="1">IF($Y526&gt;0,CHOOSE(MATCH(RegimeExecucao,{"Unitário","Global"},0),IF($A526="S",$Y526/$X526,""),($Y526/$X526)*100),0)</f>
        <v>0</v>
      </c>
      <c r="X526" s="384" t="str">
        <f ca="1">IF($Y526&gt;0,CHOOSE(MATCH(RegimeExecucao,{"Unitário","Global"},0),IF($A526="S",ROUND($H526,ORÇAMENTO!$AF$10),""),ROUND($I526,ORÇAMENTO!$AF$11)),"")</f>
        <v/>
      </c>
      <c r="Y526" s="384">
        <f t="shared" ca="1" si="50"/>
        <v>0</v>
      </c>
      <c r="Z526" s="572"/>
      <c r="AB526" s="382"/>
      <c r="AC526" s="516"/>
      <c r="AD526" s="516"/>
      <c r="AE526" s="516"/>
      <c r="AF526" s="516"/>
      <c r="AG526" s="516"/>
      <c r="AH526" s="516"/>
      <c r="AI526" s="516"/>
      <c r="AJ526" s="516"/>
      <c r="AK526" s="516"/>
      <c r="AL526" s="516"/>
      <c r="AM526" s="383"/>
      <c r="AO526">
        <f ca="1">IF($A526="S",IF(BM!$I526=0,0,CHOOSE(MATCH(RegimeExecucao,{"Global","Unitário"},0),ROUND(ROUND(BM.MEDAcumulado,15-13*BM!$A$9)/100*BM!$I526,15-13*ORÇAMENTO!$AF$11),ROUND(ROUND(BM.MEDAcumulado,15-13*BM!$A$9)*ROUND(BM!$H526,15-13*ORÇAMENTO!$AF$10),15-13*ORÇAMENTO!$AF$11))),IF($A526=0,0,ROUND(SomaAgrupBM,15-13*ORÇAMENTO!$AF$11)))</f>
        <v>0</v>
      </c>
    </row>
    <row r="527" spans="1:41" ht="25.5" x14ac:dyDescent="0.2">
      <c r="A527" t="str">
        <f ca="1">ORÇAMENTO!C527</f>
        <v>S</v>
      </c>
      <c r="B527">
        <f ca="1">ORÇAMENTO!D527</f>
        <v>0</v>
      </c>
      <c r="C527" s="116" t="str">
        <f t="shared" ca="1" si="44"/>
        <v/>
      </c>
      <c r="D527" s="119" t="str">
        <f ca="1">ORÇAMENTO!O527</f>
        <v>-</v>
      </c>
      <c r="E527" s="172" t="str">
        <f t="shared" ca="1" si="45"/>
        <v>(abra o arquivo 'Referência 06-2024.xlsm)</v>
      </c>
      <c r="F527" s="173" t="str">
        <f ca="1">IF(RegimeExecucao="Global","",ORÇAMENTO.Unidade)</f>
        <v/>
      </c>
      <c r="G527" s="124" t="str">
        <f ca="1">IF(RegimeExecucao="Global","",ORÇAMENTO!T527)</f>
        <v/>
      </c>
      <c r="H527" s="124" t="str">
        <f ca="1">IF(RegimeExecucao="Global","",ORÇAMENTO!W527)</f>
        <v/>
      </c>
      <c r="I527" s="127">
        <f ca="1">ORÇAMENTO!X527</f>
        <v>0</v>
      </c>
      <c r="J527" s="378">
        <f ca="1">IF($A527="S",IF(CAIXA.Modo,BM.AFAnterior,BM.MEDAnterior),IF(AND(RegimeExecucao="Global",$I527&gt;0,COUNTIF($AB$13:$AM$13,BM.medicao-1)&gt;0),M527/$I527*100,0))</f>
        <v>0</v>
      </c>
      <c r="K527" s="124">
        <f t="shared" ca="1" si="46"/>
        <v>0</v>
      </c>
      <c r="L527" s="379">
        <f ca="1">IF($A527="S",IF(CAIXA.Modo,BM.AFAcumulado,BM.MEDAcumulado),IF(AND(RegimeExecucao="Global",$I527&gt;0,COUNTIF($AB$13:$AM$13,BM.medicao)&gt;0),O527/$I527*100,0))</f>
        <v>0</v>
      </c>
      <c r="M527" s="380">
        <f ca="1">IF($A527="S",VTOTALBM,IF($A527=0,0,ROUND(SomaAgrupBM,15-13*ORÇAMENTO!$AF$11)))</f>
        <v>0</v>
      </c>
      <c r="N527" s="381">
        <f t="shared" ca="1" si="47"/>
        <v>0</v>
      </c>
      <c r="O527" s="127">
        <f ca="1">IF($A527="S",VTOTALBM,IF($A527=0,0,ROUND(SomaAgrupBM,15-13*ORÇAMENTO!$AF$11)))</f>
        <v>0</v>
      </c>
      <c r="Q527" s="382"/>
      <c r="R527" s="383"/>
      <c r="T527" s="119" t="str">
        <f t="shared" ca="1" si="48"/>
        <v/>
      </c>
      <c r="U527" s="172" t="str">
        <f t="shared" ca="1" si="49"/>
        <v/>
      </c>
      <c r="V527" s="173" t="str">
        <f ca="1">IF(AND($W527&gt;0,RegimeExecucao="Unitário"),$F527,"")</f>
        <v/>
      </c>
      <c r="W527" s="547">
        <f ca="1">IF($Y527&gt;0,CHOOSE(MATCH(RegimeExecucao,{"Unitário","Global"},0),IF($A527="S",$Y527/$X527,""),($Y527/$X527)*100),0)</f>
        <v>0</v>
      </c>
      <c r="X527" s="384" t="str">
        <f ca="1">IF($Y527&gt;0,CHOOSE(MATCH(RegimeExecucao,{"Unitário","Global"},0),IF($A527="S",ROUND($H527,ORÇAMENTO!$AF$10),""),ROUND($I527,ORÇAMENTO!$AF$11)),"")</f>
        <v/>
      </c>
      <c r="Y527" s="384">
        <f t="shared" ca="1" si="50"/>
        <v>0</v>
      </c>
      <c r="Z527" s="572"/>
      <c r="AB527" s="382"/>
      <c r="AC527" s="516"/>
      <c r="AD527" s="516"/>
      <c r="AE527" s="516"/>
      <c r="AF527" s="516"/>
      <c r="AG527" s="516"/>
      <c r="AH527" s="516"/>
      <c r="AI527" s="516"/>
      <c r="AJ527" s="516"/>
      <c r="AK527" s="516"/>
      <c r="AL527" s="516"/>
      <c r="AM527" s="383"/>
      <c r="AO527">
        <f ca="1">IF($A527="S",IF(BM!$I527=0,0,CHOOSE(MATCH(RegimeExecucao,{"Global","Unitário"},0),ROUND(ROUND(BM.MEDAcumulado,15-13*BM!$A$9)/100*BM!$I527,15-13*ORÇAMENTO!$AF$11),ROUND(ROUND(BM.MEDAcumulado,15-13*BM!$A$9)*ROUND(BM!$H527,15-13*ORÇAMENTO!$AF$10),15-13*ORÇAMENTO!$AF$11))),IF($A527=0,0,ROUND(SomaAgrupBM,15-13*ORÇAMENTO!$AF$11)))</f>
        <v>0</v>
      </c>
    </row>
    <row r="528" spans="1:41" ht="38.25" x14ac:dyDescent="0.2">
      <c r="A528" t="str">
        <f ca="1">ORÇAMENTO!C528</f>
        <v>S</v>
      </c>
      <c r="B528">
        <f ca="1">ORÇAMENTO!D528</f>
        <v>0</v>
      </c>
      <c r="C528" s="116" t="str">
        <f t="shared" ca="1" si="44"/>
        <v/>
      </c>
      <c r="D528" s="119" t="str">
        <f ca="1">ORÇAMENTO!O528</f>
        <v>-</v>
      </c>
      <c r="E528" s="172" t="str">
        <f t="shared" ca="1" si="45"/>
        <v>(abra o arquivo 'Referência 06-2024.xlsm)</v>
      </c>
      <c r="F528" s="173" t="str">
        <f ca="1">IF(RegimeExecucao="Global","",ORÇAMENTO.Unidade)</f>
        <v/>
      </c>
      <c r="G528" s="124" t="str">
        <f ca="1">IF(RegimeExecucao="Global","",ORÇAMENTO!T528)</f>
        <v/>
      </c>
      <c r="H528" s="124" t="str">
        <f ca="1">IF(RegimeExecucao="Global","",ORÇAMENTO!W528)</f>
        <v/>
      </c>
      <c r="I528" s="127">
        <f ca="1">ORÇAMENTO!X528</f>
        <v>0</v>
      </c>
      <c r="J528" s="378">
        <f ca="1">IF($A528="S",IF(CAIXA.Modo,BM.AFAnterior,BM.MEDAnterior),IF(AND(RegimeExecucao="Global",$I528&gt;0,COUNTIF($AB$13:$AM$13,BM.medicao-1)&gt;0),M528/$I528*100,0))</f>
        <v>0</v>
      </c>
      <c r="K528" s="124">
        <f t="shared" ca="1" si="46"/>
        <v>0</v>
      </c>
      <c r="L528" s="379">
        <f ca="1">IF($A528="S",IF(CAIXA.Modo,BM.AFAcumulado,BM.MEDAcumulado),IF(AND(RegimeExecucao="Global",$I528&gt;0,COUNTIF($AB$13:$AM$13,BM.medicao)&gt;0),O528/$I528*100,0))</f>
        <v>0</v>
      </c>
      <c r="M528" s="380">
        <f ca="1">IF($A528="S",VTOTALBM,IF($A528=0,0,ROUND(SomaAgrupBM,15-13*ORÇAMENTO!$AF$11)))</f>
        <v>0</v>
      </c>
      <c r="N528" s="381">
        <f t="shared" ca="1" si="47"/>
        <v>0</v>
      </c>
      <c r="O528" s="127">
        <f ca="1">IF($A528="S",VTOTALBM,IF($A528=0,0,ROUND(SomaAgrupBM,15-13*ORÇAMENTO!$AF$11)))</f>
        <v>0</v>
      </c>
      <c r="Q528" s="382"/>
      <c r="R528" s="383"/>
      <c r="T528" s="119" t="str">
        <f t="shared" ca="1" si="48"/>
        <v/>
      </c>
      <c r="U528" s="172" t="str">
        <f t="shared" ca="1" si="49"/>
        <v/>
      </c>
      <c r="V528" s="173" t="str">
        <f ca="1">IF(AND($W528&gt;0,RegimeExecucao="Unitário"),$F528,"")</f>
        <v/>
      </c>
      <c r="W528" s="547">
        <f ca="1">IF($Y528&gt;0,CHOOSE(MATCH(RegimeExecucao,{"Unitário","Global"},0),IF($A528="S",$Y528/$X528,""),($Y528/$X528)*100),0)</f>
        <v>0</v>
      </c>
      <c r="X528" s="384" t="str">
        <f ca="1">IF($Y528&gt;0,CHOOSE(MATCH(RegimeExecucao,{"Unitário","Global"},0),IF($A528="S",ROUND($H528,ORÇAMENTO!$AF$10),""),ROUND($I528,ORÇAMENTO!$AF$11)),"")</f>
        <v/>
      </c>
      <c r="Y528" s="384">
        <f t="shared" ca="1" si="50"/>
        <v>0</v>
      </c>
      <c r="Z528" s="572"/>
      <c r="AB528" s="382"/>
      <c r="AC528" s="516"/>
      <c r="AD528" s="516"/>
      <c r="AE528" s="516"/>
      <c r="AF528" s="516"/>
      <c r="AG528" s="516"/>
      <c r="AH528" s="516"/>
      <c r="AI528" s="516"/>
      <c r="AJ528" s="516"/>
      <c r="AK528" s="516"/>
      <c r="AL528" s="516"/>
      <c r="AM528" s="383"/>
      <c r="AO528">
        <f ca="1">IF($A528="S",IF(BM!$I528=0,0,CHOOSE(MATCH(RegimeExecucao,{"Global","Unitário"},0),ROUND(ROUND(BM.MEDAcumulado,15-13*BM!$A$9)/100*BM!$I528,15-13*ORÇAMENTO!$AF$11),ROUND(ROUND(BM.MEDAcumulado,15-13*BM!$A$9)*ROUND(BM!$H528,15-13*ORÇAMENTO!$AF$10),15-13*ORÇAMENTO!$AF$11))),IF($A528=0,0,ROUND(SomaAgrupBM,15-13*ORÇAMENTO!$AF$11)))</f>
        <v>0</v>
      </c>
    </row>
    <row r="529" spans="1:41" ht="38.25" x14ac:dyDescent="0.2">
      <c r="A529" t="str">
        <f ca="1">ORÇAMENTO!C529</f>
        <v>S</v>
      </c>
      <c r="B529">
        <f ca="1">ORÇAMENTO!D529</f>
        <v>0</v>
      </c>
      <c r="C529" s="116" t="str">
        <f t="shared" ca="1" si="44"/>
        <v/>
      </c>
      <c r="D529" s="119" t="str">
        <f ca="1">ORÇAMENTO!O529</f>
        <v>-</v>
      </c>
      <c r="E529" s="172" t="str">
        <f t="shared" ref="E529:E587" ca="1" si="51">ORÇAMENTO.Descricao</f>
        <v>(abra o arquivo 'Referência 06-2024.xlsm)</v>
      </c>
      <c r="F529" s="173" t="str">
        <f ca="1">IF(RegimeExecucao="Global","",ORÇAMENTO.Unidade)</f>
        <v/>
      </c>
      <c r="G529" s="124" t="str">
        <f ca="1">IF(RegimeExecucao="Global","",ORÇAMENTO!T529)</f>
        <v/>
      </c>
      <c r="H529" s="124" t="str">
        <f ca="1">IF(RegimeExecucao="Global","",ORÇAMENTO!W529)</f>
        <v/>
      </c>
      <c r="I529" s="127">
        <f ca="1">ORÇAMENTO!X529</f>
        <v>0</v>
      </c>
      <c r="J529" s="378">
        <f ca="1">IF($A529="S",IF(CAIXA.Modo,BM.AFAnterior,BM.MEDAnterior),IF(AND(RegimeExecucao="Global",$I529&gt;0,COUNTIF($AB$13:$AM$13,BM.medicao-1)&gt;0),M529/$I529*100,0))</f>
        <v>0</v>
      </c>
      <c r="K529" s="124">
        <f t="shared" ca="1" si="46"/>
        <v>0</v>
      </c>
      <c r="L529" s="379">
        <f ca="1">IF($A529="S",IF(CAIXA.Modo,BM.AFAcumulado,BM.MEDAcumulado),IF(AND(RegimeExecucao="Global",$I529&gt;0,COUNTIF($AB$13:$AM$13,BM.medicao)&gt;0),O529/$I529*100,0))</f>
        <v>0</v>
      </c>
      <c r="M529" s="380">
        <f ca="1">IF($A529="S",VTOTALBM,IF($A529=0,0,ROUND(SomaAgrupBM,15-13*ORÇAMENTO!$AF$11)))</f>
        <v>0</v>
      </c>
      <c r="N529" s="381">
        <f t="shared" ca="1" si="47"/>
        <v>0</v>
      </c>
      <c r="O529" s="127">
        <f ca="1">IF($A529="S",VTOTALBM,IF($A529=0,0,ROUND(SomaAgrupBM,15-13*ORÇAMENTO!$AF$11)))</f>
        <v>0</v>
      </c>
      <c r="Q529" s="382"/>
      <c r="R529" s="383"/>
      <c r="T529" s="119" t="str">
        <f t="shared" ca="1" si="48"/>
        <v/>
      </c>
      <c r="U529" s="172" t="str">
        <f t="shared" ca="1" si="49"/>
        <v/>
      </c>
      <c r="V529" s="173" t="str">
        <f ca="1">IF(AND($W529&gt;0,RegimeExecucao="Unitário"),$F529,"")</f>
        <v/>
      </c>
      <c r="W529" s="547">
        <f ca="1">IF($Y529&gt;0,CHOOSE(MATCH(RegimeExecucao,{"Unitário","Global"},0),IF($A529="S",$Y529/$X529,""),($Y529/$X529)*100),0)</f>
        <v>0</v>
      </c>
      <c r="X529" s="384" t="str">
        <f ca="1">IF($Y529&gt;0,CHOOSE(MATCH(RegimeExecucao,{"Unitário","Global"},0),IF($A529="S",ROUND($H529,ORÇAMENTO!$AF$10),""),ROUND($I529,ORÇAMENTO!$AF$11)),"")</f>
        <v/>
      </c>
      <c r="Y529" s="384">
        <f t="shared" ca="1" si="50"/>
        <v>0</v>
      </c>
      <c r="Z529" s="572"/>
      <c r="AB529" s="382"/>
      <c r="AC529" s="516"/>
      <c r="AD529" s="516"/>
      <c r="AE529" s="516"/>
      <c r="AF529" s="516"/>
      <c r="AG529" s="516"/>
      <c r="AH529" s="516"/>
      <c r="AI529" s="516"/>
      <c r="AJ529" s="516"/>
      <c r="AK529" s="516"/>
      <c r="AL529" s="516"/>
      <c r="AM529" s="383"/>
      <c r="AO529">
        <f ca="1">IF($A529="S",IF(BM!$I529=0,0,CHOOSE(MATCH(RegimeExecucao,{"Global","Unitário"},0),ROUND(ROUND(BM.MEDAcumulado,15-13*BM!$A$9)/100*BM!$I529,15-13*ORÇAMENTO!$AF$11),ROUND(ROUND(BM.MEDAcumulado,15-13*BM!$A$9)*ROUND(BM!$H529,15-13*ORÇAMENTO!$AF$10),15-13*ORÇAMENTO!$AF$11))),IF($A529=0,0,ROUND(SomaAgrupBM,15-13*ORÇAMENTO!$AF$11)))</f>
        <v>0</v>
      </c>
    </row>
    <row r="530" spans="1:41" x14ac:dyDescent="0.2">
      <c r="A530">
        <f ca="1">ORÇAMENTO!C530</f>
        <v>2</v>
      </c>
      <c r="B530">
        <f ca="1">ORÇAMENTO!D530</f>
        <v>13</v>
      </c>
      <c r="C530" s="116" t="str">
        <f t="shared" ca="1" si="44"/>
        <v>F</v>
      </c>
      <c r="D530" s="119" t="str">
        <f ca="1">ORÇAMENTO!O530</f>
        <v>1.55.</v>
      </c>
      <c r="E530" s="172" t="str">
        <f t="shared" si="51"/>
        <v>INSTALAÇÃO ELÉTRICA 110V - DISPOSITIVOS ELÉTRICOS</v>
      </c>
      <c r="F530" s="173" t="str">
        <f ca="1">IF(RegimeExecucao="Global","",ORÇAMENTO.Unidade)</f>
        <v/>
      </c>
      <c r="G530" s="124" t="str">
        <f ca="1">IF(RegimeExecucao="Global","",ORÇAMENTO!T530)</f>
        <v/>
      </c>
      <c r="H530" s="124" t="str">
        <f ca="1">IF(RegimeExecucao="Global","",ORÇAMENTO!W530)</f>
        <v/>
      </c>
      <c r="I530" s="127">
        <f ca="1">ORÇAMENTO!X530</f>
        <v>0</v>
      </c>
      <c r="J530" s="378">
        <f ca="1">IF($A530="S",IF(CAIXA.Modo,BM.AFAnterior,BM.MEDAnterior),IF(AND(RegimeExecucao="Global",$I530&gt;0,COUNTIF($AB$13:$AM$13,BM.medicao-1)&gt;0),M530/$I530*100,0))</f>
        <v>0</v>
      </c>
      <c r="K530" s="124">
        <f t="shared" ca="1" si="46"/>
        <v>0</v>
      </c>
      <c r="L530" s="379">
        <f ca="1">IF($A530="S",IF(CAIXA.Modo,BM.AFAcumulado,BM.MEDAcumulado),IF(AND(RegimeExecucao="Global",$I530&gt;0,COUNTIF($AB$13:$AM$13,BM.medicao)&gt;0),O530/$I530*100,0))</f>
        <v>0</v>
      </c>
      <c r="M530" s="380">
        <f ca="1">IF($A530="S",VTOTALBM,IF($A530=0,0,ROUND(SomaAgrupBM,15-13*ORÇAMENTO!$AF$11)))</f>
        <v>0</v>
      </c>
      <c r="N530" s="381">
        <f t="shared" ca="1" si="47"/>
        <v>0</v>
      </c>
      <c r="O530" s="127">
        <f ca="1">IF($A530="S",VTOTALBM,IF($A530=0,0,ROUND(SomaAgrupBM,15-13*ORÇAMENTO!$AF$11)))</f>
        <v>0</v>
      </c>
      <c r="Q530" s="382"/>
      <c r="R530" s="383"/>
      <c r="T530" s="119" t="str">
        <f t="shared" ca="1" si="48"/>
        <v/>
      </c>
      <c r="U530" s="172" t="str">
        <f t="shared" ca="1" si="49"/>
        <v/>
      </c>
      <c r="V530" s="173" t="str">
        <f ca="1">IF(AND($W530&gt;0,RegimeExecucao="Unitário"),$F530,"")</f>
        <v/>
      </c>
      <c r="W530" s="547">
        <f ca="1">IF($Y530&gt;0,CHOOSE(MATCH(RegimeExecucao,{"Unitário","Global"},0),IF($A530="S",$Y530/$X530,""),($Y530/$X530)*100),0)</f>
        <v>0</v>
      </c>
      <c r="X530" s="384" t="str">
        <f ca="1">IF($Y530&gt;0,CHOOSE(MATCH(RegimeExecucao,{"Unitário","Global"},0),IF($A530="S",ROUND($H530,ORÇAMENTO!$AF$10),""),ROUND($I530,ORÇAMENTO!$AF$11)),"")</f>
        <v/>
      </c>
      <c r="Y530" s="384">
        <f t="shared" ca="1" si="50"/>
        <v>0</v>
      </c>
      <c r="Z530" s="572"/>
      <c r="AB530" s="382"/>
      <c r="AC530" s="516"/>
      <c r="AD530" s="516"/>
      <c r="AE530" s="516"/>
      <c r="AF530" s="516"/>
      <c r="AG530" s="516"/>
      <c r="AH530" s="516"/>
      <c r="AI530" s="516"/>
      <c r="AJ530" s="516"/>
      <c r="AK530" s="516"/>
      <c r="AL530" s="516"/>
      <c r="AM530" s="383"/>
      <c r="AO530">
        <f ca="1">IF($A530="S",IF(BM!$I530=0,0,CHOOSE(MATCH(RegimeExecucao,{"Global","Unitário"},0),ROUND(ROUND(BM.MEDAcumulado,15-13*BM!$A$9)/100*BM!$I530,15-13*ORÇAMENTO!$AF$11),ROUND(ROUND(BM.MEDAcumulado,15-13*BM!$A$9)*ROUND(BM!$H530,15-13*ORÇAMENTO!$AF$10),15-13*ORÇAMENTO!$AF$11))),IF($A530=0,0,ROUND(SomaAgrupBM,15-13*ORÇAMENTO!$AF$11)))</f>
        <v>0</v>
      </c>
    </row>
    <row r="531" spans="1:41" ht="25.5" x14ac:dyDescent="0.2">
      <c r="A531" t="str">
        <f ca="1">ORÇAMENTO!C531</f>
        <v>S</v>
      </c>
      <c r="B531">
        <f ca="1">ORÇAMENTO!D531</f>
        <v>0</v>
      </c>
      <c r="C531" s="116" t="str">
        <f t="shared" ca="1" si="44"/>
        <v/>
      </c>
      <c r="D531" s="119" t="str">
        <f ca="1">ORÇAMENTO!O531</f>
        <v>-</v>
      </c>
      <c r="E531" s="172" t="str">
        <f t="shared" ca="1" si="51"/>
        <v>(abra o arquivo 'Referência 06-2024.xlsm)</v>
      </c>
      <c r="F531" s="173" t="str">
        <f ca="1">IF(RegimeExecucao="Global","",ORÇAMENTO.Unidade)</f>
        <v/>
      </c>
      <c r="G531" s="124" t="str">
        <f ca="1">IF(RegimeExecucao="Global","",ORÇAMENTO!T531)</f>
        <v/>
      </c>
      <c r="H531" s="124" t="str">
        <f ca="1">IF(RegimeExecucao="Global","",ORÇAMENTO!W531)</f>
        <v/>
      </c>
      <c r="I531" s="127">
        <f ca="1">ORÇAMENTO!X531</f>
        <v>0</v>
      </c>
      <c r="J531" s="378">
        <f ca="1">IF($A531="S",IF(CAIXA.Modo,BM.AFAnterior,BM.MEDAnterior),IF(AND(RegimeExecucao="Global",$I531&gt;0,COUNTIF($AB$13:$AM$13,BM.medicao-1)&gt;0),M531/$I531*100,0))</f>
        <v>0</v>
      </c>
      <c r="K531" s="124">
        <f t="shared" ca="1" si="46"/>
        <v>0</v>
      </c>
      <c r="L531" s="379">
        <f ca="1">IF($A531="S",IF(CAIXA.Modo,BM.AFAcumulado,BM.MEDAcumulado),IF(AND(RegimeExecucao="Global",$I531&gt;0,COUNTIF($AB$13:$AM$13,BM.medicao)&gt;0),O531/$I531*100,0))</f>
        <v>0</v>
      </c>
      <c r="M531" s="380">
        <f ca="1">IF($A531="S",VTOTALBM,IF($A531=0,0,ROUND(SomaAgrupBM,15-13*ORÇAMENTO!$AF$11)))</f>
        <v>0</v>
      </c>
      <c r="N531" s="381">
        <f t="shared" ca="1" si="47"/>
        <v>0</v>
      </c>
      <c r="O531" s="127">
        <f ca="1">IF($A531="S",VTOTALBM,IF($A531=0,0,ROUND(SomaAgrupBM,15-13*ORÇAMENTO!$AF$11)))</f>
        <v>0</v>
      </c>
      <c r="Q531" s="382"/>
      <c r="R531" s="383"/>
      <c r="T531" s="119" t="str">
        <f t="shared" ca="1" si="48"/>
        <v/>
      </c>
      <c r="U531" s="172" t="str">
        <f t="shared" ca="1" si="49"/>
        <v/>
      </c>
      <c r="V531" s="173" t="str">
        <f ca="1">IF(AND($W531&gt;0,RegimeExecucao="Unitário"),$F531,"")</f>
        <v/>
      </c>
      <c r="W531" s="547">
        <f ca="1">IF($Y531&gt;0,CHOOSE(MATCH(RegimeExecucao,{"Unitário","Global"},0),IF($A531="S",$Y531/$X531,""),($Y531/$X531)*100),0)</f>
        <v>0</v>
      </c>
      <c r="X531" s="384" t="str">
        <f ca="1">IF($Y531&gt;0,CHOOSE(MATCH(RegimeExecucao,{"Unitário","Global"},0),IF($A531="S",ROUND($H531,ORÇAMENTO!$AF$10),""),ROUND($I531,ORÇAMENTO!$AF$11)),"")</f>
        <v/>
      </c>
      <c r="Y531" s="384">
        <f t="shared" ca="1" si="50"/>
        <v>0</v>
      </c>
      <c r="Z531" s="572"/>
      <c r="AB531" s="382"/>
      <c r="AC531" s="516"/>
      <c r="AD531" s="516"/>
      <c r="AE531" s="516"/>
      <c r="AF531" s="516"/>
      <c r="AG531" s="516"/>
      <c r="AH531" s="516"/>
      <c r="AI531" s="516"/>
      <c r="AJ531" s="516"/>
      <c r="AK531" s="516"/>
      <c r="AL531" s="516"/>
      <c r="AM531" s="383"/>
      <c r="AO531">
        <f ca="1">IF($A531="S",IF(BM!$I531=0,0,CHOOSE(MATCH(RegimeExecucao,{"Global","Unitário"},0),ROUND(ROUND(BM.MEDAcumulado,15-13*BM!$A$9)/100*BM!$I531,15-13*ORÇAMENTO!$AF$11),ROUND(ROUND(BM.MEDAcumulado,15-13*BM!$A$9)*ROUND(BM!$H531,15-13*ORÇAMENTO!$AF$10),15-13*ORÇAMENTO!$AF$11))),IF($A531=0,0,ROUND(SomaAgrupBM,15-13*ORÇAMENTO!$AF$11)))</f>
        <v>0</v>
      </c>
    </row>
    <row r="532" spans="1:41" ht="25.5" x14ac:dyDescent="0.2">
      <c r="A532" t="str">
        <f ca="1">ORÇAMENTO!C532</f>
        <v>S</v>
      </c>
      <c r="B532">
        <f ca="1">ORÇAMENTO!D532</f>
        <v>0</v>
      </c>
      <c r="C532" s="116" t="str">
        <f t="shared" ca="1" si="44"/>
        <v/>
      </c>
      <c r="D532" s="119" t="str">
        <f ca="1">ORÇAMENTO!O532</f>
        <v>-</v>
      </c>
      <c r="E532" s="172" t="str">
        <f t="shared" ca="1" si="51"/>
        <v>(abra o arquivo 'Referência 06-2024.xlsm)</v>
      </c>
      <c r="F532" s="173" t="str">
        <f ca="1">IF(RegimeExecucao="Global","",ORÇAMENTO.Unidade)</f>
        <v/>
      </c>
      <c r="G532" s="124" t="str">
        <f ca="1">IF(RegimeExecucao="Global","",ORÇAMENTO!T532)</f>
        <v/>
      </c>
      <c r="H532" s="124" t="str">
        <f ca="1">IF(RegimeExecucao="Global","",ORÇAMENTO!W532)</f>
        <v/>
      </c>
      <c r="I532" s="127">
        <f ca="1">ORÇAMENTO!X532</f>
        <v>0</v>
      </c>
      <c r="J532" s="378">
        <f ca="1">IF($A532="S",IF(CAIXA.Modo,BM.AFAnterior,BM.MEDAnterior),IF(AND(RegimeExecucao="Global",$I532&gt;0,COUNTIF($AB$13:$AM$13,BM.medicao-1)&gt;0),M532/$I532*100,0))</f>
        <v>0</v>
      </c>
      <c r="K532" s="124">
        <f t="shared" ca="1" si="46"/>
        <v>0</v>
      </c>
      <c r="L532" s="379">
        <f ca="1">IF($A532="S",IF(CAIXA.Modo,BM.AFAcumulado,BM.MEDAcumulado),IF(AND(RegimeExecucao="Global",$I532&gt;0,COUNTIF($AB$13:$AM$13,BM.medicao)&gt;0),O532/$I532*100,0))</f>
        <v>0</v>
      </c>
      <c r="M532" s="380">
        <f ca="1">IF($A532="S",VTOTALBM,IF($A532=0,0,ROUND(SomaAgrupBM,15-13*ORÇAMENTO!$AF$11)))</f>
        <v>0</v>
      </c>
      <c r="N532" s="381">
        <f t="shared" ca="1" si="47"/>
        <v>0</v>
      </c>
      <c r="O532" s="127">
        <f ca="1">IF($A532="S",VTOTALBM,IF($A532=0,0,ROUND(SomaAgrupBM,15-13*ORÇAMENTO!$AF$11)))</f>
        <v>0</v>
      </c>
      <c r="Q532" s="382"/>
      <c r="R532" s="383"/>
      <c r="T532" s="119" t="str">
        <f t="shared" ca="1" si="48"/>
        <v/>
      </c>
      <c r="U532" s="172" t="str">
        <f t="shared" ca="1" si="49"/>
        <v/>
      </c>
      <c r="V532" s="173" t="str">
        <f ca="1">IF(AND($W532&gt;0,RegimeExecucao="Unitário"),$F532,"")</f>
        <v/>
      </c>
      <c r="W532" s="547">
        <f ca="1">IF($Y532&gt;0,CHOOSE(MATCH(RegimeExecucao,{"Unitário","Global"},0),IF($A532="S",$Y532/$X532,""),($Y532/$X532)*100),0)</f>
        <v>0</v>
      </c>
      <c r="X532" s="384" t="str">
        <f ca="1">IF($Y532&gt;0,CHOOSE(MATCH(RegimeExecucao,{"Unitário","Global"},0),IF($A532="S",ROUND($H532,ORÇAMENTO!$AF$10),""),ROUND($I532,ORÇAMENTO!$AF$11)),"")</f>
        <v/>
      </c>
      <c r="Y532" s="384">
        <f t="shared" ca="1" si="50"/>
        <v>0</v>
      </c>
      <c r="Z532" s="572"/>
      <c r="AB532" s="382"/>
      <c r="AC532" s="516"/>
      <c r="AD532" s="516"/>
      <c r="AE532" s="516"/>
      <c r="AF532" s="516"/>
      <c r="AG532" s="516"/>
      <c r="AH532" s="516"/>
      <c r="AI532" s="516"/>
      <c r="AJ532" s="516"/>
      <c r="AK532" s="516"/>
      <c r="AL532" s="516"/>
      <c r="AM532" s="383"/>
      <c r="AO532">
        <f ca="1">IF($A532="S",IF(BM!$I532=0,0,CHOOSE(MATCH(RegimeExecucao,{"Global","Unitário"},0),ROUND(ROUND(BM.MEDAcumulado,15-13*BM!$A$9)/100*BM!$I532,15-13*ORÇAMENTO!$AF$11),ROUND(ROUND(BM.MEDAcumulado,15-13*BM!$A$9)*ROUND(BM!$H532,15-13*ORÇAMENTO!$AF$10),15-13*ORÇAMENTO!$AF$11))),IF($A532=0,0,ROUND(SomaAgrupBM,15-13*ORÇAMENTO!$AF$11)))</f>
        <v>0</v>
      </c>
    </row>
    <row r="533" spans="1:41" ht="25.5" x14ac:dyDescent="0.2">
      <c r="A533" t="str">
        <f ca="1">ORÇAMENTO!C533</f>
        <v>S</v>
      </c>
      <c r="B533">
        <f ca="1">ORÇAMENTO!D533</f>
        <v>0</v>
      </c>
      <c r="C533" s="116" t="str">
        <f t="shared" ca="1" si="44"/>
        <v/>
      </c>
      <c r="D533" s="119" t="str">
        <f ca="1">ORÇAMENTO!O533</f>
        <v>-</v>
      </c>
      <c r="E533" s="172" t="str">
        <f t="shared" ca="1" si="51"/>
        <v>(abra o arquivo 'Referência 06-2024.xlsm)</v>
      </c>
      <c r="F533" s="173" t="str">
        <f ca="1">IF(RegimeExecucao="Global","",ORÇAMENTO.Unidade)</f>
        <v/>
      </c>
      <c r="G533" s="124" t="str">
        <f ca="1">IF(RegimeExecucao="Global","",ORÇAMENTO!T533)</f>
        <v/>
      </c>
      <c r="H533" s="124" t="str">
        <f ca="1">IF(RegimeExecucao="Global","",ORÇAMENTO!W533)</f>
        <v/>
      </c>
      <c r="I533" s="127">
        <f ca="1">ORÇAMENTO!X533</f>
        <v>0</v>
      </c>
      <c r="J533" s="378">
        <f ca="1">IF($A533="S",IF(CAIXA.Modo,BM.AFAnterior,BM.MEDAnterior),IF(AND(RegimeExecucao="Global",$I533&gt;0,COUNTIF($AB$13:$AM$13,BM.medicao-1)&gt;0),M533/$I533*100,0))</f>
        <v>0</v>
      </c>
      <c r="K533" s="124">
        <f t="shared" ca="1" si="46"/>
        <v>0</v>
      </c>
      <c r="L533" s="379">
        <f ca="1">IF($A533="S",IF(CAIXA.Modo,BM.AFAcumulado,BM.MEDAcumulado),IF(AND(RegimeExecucao="Global",$I533&gt;0,COUNTIF($AB$13:$AM$13,BM.medicao)&gt;0),O533/$I533*100,0))</f>
        <v>0</v>
      </c>
      <c r="M533" s="380">
        <f ca="1">IF($A533="S",VTOTALBM,IF($A533=0,0,ROUND(SomaAgrupBM,15-13*ORÇAMENTO!$AF$11)))</f>
        <v>0</v>
      </c>
      <c r="N533" s="381">
        <f t="shared" ca="1" si="47"/>
        <v>0</v>
      </c>
      <c r="O533" s="127">
        <f ca="1">IF($A533="S",VTOTALBM,IF($A533=0,0,ROUND(SomaAgrupBM,15-13*ORÇAMENTO!$AF$11)))</f>
        <v>0</v>
      </c>
      <c r="Q533" s="382"/>
      <c r="R533" s="383"/>
      <c r="T533" s="119" t="str">
        <f t="shared" ca="1" si="48"/>
        <v/>
      </c>
      <c r="U533" s="172" t="str">
        <f t="shared" ca="1" si="49"/>
        <v/>
      </c>
      <c r="V533" s="173" t="str">
        <f ca="1">IF(AND($W533&gt;0,RegimeExecucao="Unitário"),$F533,"")</f>
        <v/>
      </c>
      <c r="W533" s="547">
        <f ca="1">IF($Y533&gt;0,CHOOSE(MATCH(RegimeExecucao,{"Unitário","Global"},0),IF($A533="S",$Y533/$X533,""),($Y533/$X533)*100),0)</f>
        <v>0</v>
      </c>
      <c r="X533" s="384" t="str">
        <f ca="1">IF($Y533&gt;0,CHOOSE(MATCH(RegimeExecucao,{"Unitário","Global"},0),IF($A533="S",ROUND($H533,ORÇAMENTO!$AF$10),""),ROUND($I533,ORÇAMENTO!$AF$11)),"")</f>
        <v/>
      </c>
      <c r="Y533" s="384">
        <f t="shared" ca="1" si="50"/>
        <v>0</v>
      </c>
      <c r="Z533" s="572"/>
      <c r="AB533" s="382"/>
      <c r="AC533" s="516"/>
      <c r="AD533" s="516"/>
      <c r="AE533" s="516"/>
      <c r="AF533" s="516"/>
      <c r="AG533" s="516"/>
      <c r="AH533" s="516"/>
      <c r="AI533" s="516"/>
      <c r="AJ533" s="516"/>
      <c r="AK533" s="516"/>
      <c r="AL533" s="516"/>
      <c r="AM533" s="383"/>
      <c r="AO533">
        <f ca="1">IF($A533="S",IF(BM!$I533=0,0,CHOOSE(MATCH(RegimeExecucao,{"Global","Unitário"},0),ROUND(ROUND(BM.MEDAcumulado,15-13*BM!$A$9)/100*BM!$I533,15-13*ORÇAMENTO!$AF$11),ROUND(ROUND(BM.MEDAcumulado,15-13*BM!$A$9)*ROUND(BM!$H533,15-13*ORÇAMENTO!$AF$10),15-13*ORÇAMENTO!$AF$11))),IF($A533=0,0,ROUND(SomaAgrupBM,15-13*ORÇAMENTO!$AF$11)))</f>
        <v>0</v>
      </c>
    </row>
    <row r="534" spans="1:41" ht="25.5" x14ac:dyDescent="0.2">
      <c r="A534" t="str">
        <f ca="1">ORÇAMENTO!C534</f>
        <v>S</v>
      </c>
      <c r="B534">
        <f ca="1">ORÇAMENTO!D534</f>
        <v>0</v>
      </c>
      <c r="C534" s="116" t="str">
        <f t="shared" ca="1" si="44"/>
        <v/>
      </c>
      <c r="D534" s="119" t="str">
        <f ca="1">ORÇAMENTO!O534</f>
        <v>-</v>
      </c>
      <c r="E534" s="172" t="str">
        <f t="shared" ca="1" si="51"/>
        <v>(abra o arquivo 'Referência 06-2024.xlsm)</v>
      </c>
      <c r="F534" s="173" t="str">
        <f ca="1">IF(RegimeExecucao="Global","",ORÇAMENTO.Unidade)</f>
        <v/>
      </c>
      <c r="G534" s="124" t="str">
        <f ca="1">IF(RegimeExecucao="Global","",ORÇAMENTO!T534)</f>
        <v/>
      </c>
      <c r="H534" s="124" t="str">
        <f ca="1">IF(RegimeExecucao="Global","",ORÇAMENTO!W534)</f>
        <v/>
      </c>
      <c r="I534" s="127">
        <f ca="1">ORÇAMENTO!X534</f>
        <v>0</v>
      </c>
      <c r="J534" s="378">
        <f ca="1">IF($A534="S",IF(CAIXA.Modo,BM.AFAnterior,BM.MEDAnterior),IF(AND(RegimeExecucao="Global",$I534&gt;0,COUNTIF($AB$13:$AM$13,BM.medicao-1)&gt;0),M534/$I534*100,0))</f>
        <v>0</v>
      </c>
      <c r="K534" s="124">
        <f t="shared" ca="1" si="46"/>
        <v>0</v>
      </c>
      <c r="L534" s="379">
        <f ca="1">IF($A534="S",IF(CAIXA.Modo,BM.AFAcumulado,BM.MEDAcumulado),IF(AND(RegimeExecucao="Global",$I534&gt;0,COUNTIF($AB$13:$AM$13,BM.medicao)&gt;0),O534/$I534*100,0))</f>
        <v>0</v>
      </c>
      <c r="M534" s="380">
        <f ca="1">IF($A534="S",VTOTALBM,IF($A534=0,0,ROUND(SomaAgrupBM,15-13*ORÇAMENTO!$AF$11)))</f>
        <v>0</v>
      </c>
      <c r="N534" s="381">
        <f t="shared" ca="1" si="47"/>
        <v>0</v>
      </c>
      <c r="O534" s="127">
        <f ca="1">IF($A534="S",VTOTALBM,IF($A534=0,0,ROUND(SomaAgrupBM,15-13*ORÇAMENTO!$AF$11)))</f>
        <v>0</v>
      </c>
      <c r="Q534" s="382"/>
      <c r="R534" s="383"/>
      <c r="T534" s="119" t="str">
        <f t="shared" ca="1" si="48"/>
        <v/>
      </c>
      <c r="U534" s="172" t="str">
        <f t="shared" ca="1" si="49"/>
        <v/>
      </c>
      <c r="V534" s="173" t="str">
        <f ca="1">IF(AND($W534&gt;0,RegimeExecucao="Unitário"),$F534,"")</f>
        <v/>
      </c>
      <c r="W534" s="547">
        <f ca="1">IF($Y534&gt;0,CHOOSE(MATCH(RegimeExecucao,{"Unitário","Global"},0),IF($A534="S",$Y534/$X534,""),($Y534/$X534)*100),0)</f>
        <v>0</v>
      </c>
      <c r="X534" s="384" t="str">
        <f ca="1">IF($Y534&gt;0,CHOOSE(MATCH(RegimeExecucao,{"Unitário","Global"},0),IF($A534="S",ROUND($H534,ORÇAMENTO!$AF$10),""),ROUND($I534,ORÇAMENTO!$AF$11)),"")</f>
        <v/>
      </c>
      <c r="Y534" s="384">
        <f t="shared" ca="1" si="50"/>
        <v>0</v>
      </c>
      <c r="Z534" s="572"/>
      <c r="AB534" s="382"/>
      <c r="AC534" s="516"/>
      <c r="AD534" s="516"/>
      <c r="AE534" s="516"/>
      <c r="AF534" s="516"/>
      <c r="AG534" s="516"/>
      <c r="AH534" s="516"/>
      <c r="AI534" s="516"/>
      <c r="AJ534" s="516"/>
      <c r="AK534" s="516"/>
      <c r="AL534" s="516"/>
      <c r="AM534" s="383"/>
      <c r="AO534">
        <f ca="1">IF($A534="S",IF(BM!$I534=0,0,CHOOSE(MATCH(RegimeExecucao,{"Global","Unitário"},0),ROUND(ROUND(BM.MEDAcumulado,15-13*BM!$A$9)/100*BM!$I534,15-13*ORÇAMENTO!$AF$11),ROUND(ROUND(BM.MEDAcumulado,15-13*BM!$A$9)*ROUND(BM!$H534,15-13*ORÇAMENTO!$AF$10),15-13*ORÇAMENTO!$AF$11))),IF($A534=0,0,ROUND(SomaAgrupBM,15-13*ORÇAMENTO!$AF$11)))</f>
        <v>0</v>
      </c>
    </row>
    <row r="535" spans="1:41" ht="25.5" x14ac:dyDescent="0.2">
      <c r="A535" t="str">
        <f ca="1">ORÇAMENTO!C535</f>
        <v>S</v>
      </c>
      <c r="B535">
        <f ca="1">ORÇAMENTO!D535</f>
        <v>0</v>
      </c>
      <c r="C535" s="116" t="str">
        <f t="shared" ca="1" si="44"/>
        <v/>
      </c>
      <c r="D535" s="119" t="str">
        <f ca="1">ORÇAMENTO!O535</f>
        <v>-</v>
      </c>
      <c r="E535" s="172" t="str">
        <f t="shared" ca="1" si="51"/>
        <v>(abra o arquivo 'Referência 06-2024.xlsm)</v>
      </c>
      <c r="F535" s="173" t="str">
        <f ca="1">IF(RegimeExecucao="Global","",ORÇAMENTO.Unidade)</f>
        <v/>
      </c>
      <c r="G535" s="124" t="str">
        <f ca="1">IF(RegimeExecucao="Global","",ORÇAMENTO!T535)</f>
        <v/>
      </c>
      <c r="H535" s="124" t="str">
        <f ca="1">IF(RegimeExecucao="Global","",ORÇAMENTO!W535)</f>
        <v/>
      </c>
      <c r="I535" s="127">
        <f ca="1">ORÇAMENTO!X535</f>
        <v>0</v>
      </c>
      <c r="J535" s="378">
        <f ca="1">IF($A535="S",IF(CAIXA.Modo,BM.AFAnterior,BM.MEDAnterior),IF(AND(RegimeExecucao="Global",$I535&gt;0,COUNTIF($AB$13:$AM$13,BM.medicao-1)&gt;0),M535/$I535*100,0))</f>
        <v>0</v>
      </c>
      <c r="K535" s="124">
        <f t="shared" ca="1" si="46"/>
        <v>0</v>
      </c>
      <c r="L535" s="379">
        <f ca="1">IF($A535="S",IF(CAIXA.Modo,BM.AFAcumulado,BM.MEDAcumulado),IF(AND(RegimeExecucao="Global",$I535&gt;0,COUNTIF($AB$13:$AM$13,BM.medicao)&gt;0),O535/$I535*100,0))</f>
        <v>0</v>
      </c>
      <c r="M535" s="380">
        <f ca="1">IF($A535="S",VTOTALBM,IF($A535=0,0,ROUND(SomaAgrupBM,15-13*ORÇAMENTO!$AF$11)))</f>
        <v>0</v>
      </c>
      <c r="N535" s="381">
        <f t="shared" ca="1" si="47"/>
        <v>0</v>
      </c>
      <c r="O535" s="127">
        <f ca="1">IF($A535="S",VTOTALBM,IF($A535=0,0,ROUND(SomaAgrupBM,15-13*ORÇAMENTO!$AF$11)))</f>
        <v>0</v>
      </c>
      <c r="Q535" s="382"/>
      <c r="R535" s="383"/>
      <c r="T535" s="119" t="str">
        <f t="shared" ca="1" si="48"/>
        <v/>
      </c>
      <c r="U535" s="172" t="str">
        <f t="shared" ca="1" si="49"/>
        <v/>
      </c>
      <c r="V535" s="173" t="str">
        <f ca="1">IF(AND($W535&gt;0,RegimeExecucao="Unitário"),$F535,"")</f>
        <v/>
      </c>
      <c r="W535" s="547">
        <f ca="1">IF($Y535&gt;0,CHOOSE(MATCH(RegimeExecucao,{"Unitário","Global"},0),IF($A535="S",$Y535/$X535,""),($Y535/$X535)*100),0)</f>
        <v>0</v>
      </c>
      <c r="X535" s="384" t="str">
        <f ca="1">IF($Y535&gt;0,CHOOSE(MATCH(RegimeExecucao,{"Unitário","Global"},0),IF($A535="S",ROUND($H535,ORÇAMENTO!$AF$10),""),ROUND($I535,ORÇAMENTO!$AF$11)),"")</f>
        <v/>
      </c>
      <c r="Y535" s="384">
        <f t="shared" ca="1" si="50"/>
        <v>0</v>
      </c>
      <c r="Z535" s="572"/>
      <c r="AB535" s="382"/>
      <c r="AC535" s="516"/>
      <c r="AD535" s="516"/>
      <c r="AE535" s="516"/>
      <c r="AF535" s="516"/>
      <c r="AG535" s="516"/>
      <c r="AH535" s="516"/>
      <c r="AI535" s="516"/>
      <c r="AJ535" s="516"/>
      <c r="AK535" s="516"/>
      <c r="AL535" s="516"/>
      <c r="AM535" s="383"/>
      <c r="AO535">
        <f ca="1">IF($A535="S",IF(BM!$I535=0,0,CHOOSE(MATCH(RegimeExecucao,{"Global","Unitário"},0),ROUND(ROUND(BM.MEDAcumulado,15-13*BM!$A$9)/100*BM!$I535,15-13*ORÇAMENTO!$AF$11),ROUND(ROUND(BM.MEDAcumulado,15-13*BM!$A$9)*ROUND(BM!$H535,15-13*ORÇAMENTO!$AF$10),15-13*ORÇAMENTO!$AF$11))),IF($A535=0,0,ROUND(SomaAgrupBM,15-13*ORÇAMENTO!$AF$11)))</f>
        <v>0</v>
      </c>
    </row>
    <row r="536" spans="1:41" ht="38.25" x14ac:dyDescent="0.2">
      <c r="A536" t="str">
        <f ca="1">ORÇAMENTO!C536</f>
        <v>S</v>
      </c>
      <c r="B536">
        <f ca="1">ORÇAMENTO!D536</f>
        <v>0</v>
      </c>
      <c r="C536" s="116" t="str">
        <f t="shared" ca="1" si="44"/>
        <v/>
      </c>
      <c r="D536" s="119" t="str">
        <f ca="1">ORÇAMENTO!O536</f>
        <v>-</v>
      </c>
      <c r="E536" s="172" t="str">
        <f t="shared" ca="1" si="51"/>
        <v>(abra o arquivo 'Referência 06-2024.xlsm)</v>
      </c>
      <c r="F536" s="173" t="str">
        <f ca="1">IF(RegimeExecucao="Global","",ORÇAMENTO.Unidade)</f>
        <v/>
      </c>
      <c r="G536" s="124" t="str">
        <f ca="1">IF(RegimeExecucao="Global","",ORÇAMENTO!T536)</f>
        <v/>
      </c>
      <c r="H536" s="124" t="str">
        <f ca="1">IF(RegimeExecucao="Global","",ORÇAMENTO!W536)</f>
        <v/>
      </c>
      <c r="I536" s="127">
        <f ca="1">ORÇAMENTO!X536</f>
        <v>0</v>
      </c>
      <c r="J536" s="378">
        <f ca="1">IF($A536="S",IF(CAIXA.Modo,BM.AFAnterior,BM.MEDAnterior),IF(AND(RegimeExecucao="Global",$I536&gt;0,COUNTIF($AB$13:$AM$13,BM.medicao-1)&gt;0),M536/$I536*100,0))</f>
        <v>0</v>
      </c>
      <c r="K536" s="124">
        <f t="shared" ca="1" si="46"/>
        <v>0</v>
      </c>
      <c r="L536" s="379">
        <f ca="1">IF($A536="S",IF(CAIXA.Modo,BM.AFAcumulado,BM.MEDAcumulado),IF(AND(RegimeExecucao="Global",$I536&gt;0,COUNTIF($AB$13:$AM$13,BM.medicao)&gt;0),O536/$I536*100,0))</f>
        <v>0</v>
      </c>
      <c r="M536" s="380">
        <f ca="1">IF($A536="S",VTOTALBM,IF($A536=0,0,ROUND(SomaAgrupBM,15-13*ORÇAMENTO!$AF$11)))</f>
        <v>0</v>
      </c>
      <c r="N536" s="381">
        <f t="shared" ca="1" si="47"/>
        <v>0</v>
      </c>
      <c r="O536" s="127">
        <f ca="1">IF($A536="S",VTOTALBM,IF($A536=0,0,ROUND(SomaAgrupBM,15-13*ORÇAMENTO!$AF$11)))</f>
        <v>0</v>
      </c>
      <c r="Q536" s="382"/>
      <c r="R536" s="383"/>
      <c r="T536" s="119" t="str">
        <f t="shared" ca="1" si="48"/>
        <v/>
      </c>
      <c r="U536" s="172" t="str">
        <f t="shared" ca="1" si="49"/>
        <v/>
      </c>
      <c r="V536" s="173" t="str">
        <f ca="1">IF(AND($W536&gt;0,RegimeExecucao="Unitário"),$F536,"")</f>
        <v/>
      </c>
      <c r="W536" s="547">
        <f ca="1">IF($Y536&gt;0,CHOOSE(MATCH(RegimeExecucao,{"Unitário","Global"},0),IF($A536="S",$Y536/$X536,""),($Y536/$X536)*100),0)</f>
        <v>0</v>
      </c>
      <c r="X536" s="384" t="str">
        <f ca="1">IF($Y536&gt;0,CHOOSE(MATCH(RegimeExecucao,{"Unitário","Global"},0),IF($A536="S",ROUND($H536,ORÇAMENTO!$AF$10),""),ROUND($I536,ORÇAMENTO!$AF$11)),"")</f>
        <v/>
      </c>
      <c r="Y536" s="384">
        <f t="shared" ca="1" si="50"/>
        <v>0</v>
      </c>
      <c r="Z536" s="572"/>
      <c r="AB536" s="382"/>
      <c r="AC536" s="516"/>
      <c r="AD536" s="516"/>
      <c r="AE536" s="516"/>
      <c r="AF536" s="516"/>
      <c r="AG536" s="516"/>
      <c r="AH536" s="516"/>
      <c r="AI536" s="516"/>
      <c r="AJ536" s="516"/>
      <c r="AK536" s="516"/>
      <c r="AL536" s="516"/>
      <c r="AM536" s="383"/>
      <c r="AO536">
        <f ca="1">IF($A536="S",IF(BM!$I536=0,0,CHOOSE(MATCH(RegimeExecucao,{"Global","Unitário"},0),ROUND(ROUND(BM.MEDAcumulado,15-13*BM!$A$9)/100*BM!$I536,15-13*ORÇAMENTO!$AF$11),ROUND(ROUND(BM.MEDAcumulado,15-13*BM!$A$9)*ROUND(BM!$H536,15-13*ORÇAMENTO!$AF$10),15-13*ORÇAMENTO!$AF$11))),IF($A536=0,0,ROUND(SomaAgrupBM,15-13*ORÇAMENTO!$AF$11)))</f>
        <v>0</v>
      </c>
    </row>
    <row r="537" spans="1:41" ht="38.25" x14ac:dyDescent="0.2">
      <c r="A537" t="str">
        <f ca="1">ORÇAMENTO!C537</f>
        <v>S</v>
      </c>
      <c r="B537">
        <f ca="1">ORÇAMENTO!D537</f>
        <v>0</v>
      </c>
      <c r="C537" s="116" t="str">
        <f t="shared" ca="1" si="44"/>
        <v/>
      </c>
      <c r="D537" s="119" t="str">
        <f ca="1">ORÇAMENTO!O537</f>
        <v>-</v>
      </c>
      <c r="E537" s="172" t="str">
        <f t="shared" ca="1" si="51"/>
        <v>(abra o arquivo 'Referência 06-2024.xlsm)</v>
      </c>
      <c r="F537" s="173" t="str">
        <f ca="1">IF(RegimeExecucao="Global","",ORÇAMENTO.Unidade)</f>
        <v/>
      </c>
      <c r="G537" s="124" t="str">
        <f ca="1">IF(RegimeExecucao="Global","",ORÇAMENTO!T537)</f>
        <v/>
      </c>
      <c r="H537" s="124" t="str">
        <f ca="1">IF(RegimeExecucao="Global","",ORÇAMENTO!W537)</f>
        <v/>
      </c>
      <c r="I537" s="127">
        <f ca="1">ORÇAMENTO!X537</f>
        <v>0</v>
      </c>
      <c r="J537" s="378">
        <f ca="1">IF($A537="S",IF(CAIXA.Modo,BM.AFAnterior,BM.MEDAnterior),IF(AND(RegimeExecucao="Global",$I537&gt;0,COUNTIF($AB$13:$AM$13,BM.medicao-1)&gt;0),M537/$I537*100,0))</f>
        <v>0</v>
      </c>
      <c r="K537" s="124">
        <f t="shared" ca="1" si="46"/>
        <v>0</v>
      </c>
      <c r="L537" s="379">
        <f ca="1">IF($A537="S",IF(CAIXA.Modo,BM.AFAcumulado,BM.MEDAcumulado),IF(AND(RegimeExecucao="Global",$I537&gt;0,COUNTIF($AB$13:$AM$13,BM.medicao)&gt;0),O537/$I537*100,0))</f>
        <v>0</v>
      </c>
      <c r="M537" s="380">
        <f ca="1">IF($A537="S",VTOTALBM,IF($A537=0,0,ROUND(SomaAgrupBM,15-13*ORÇAMENTO!$AF$11)))</f>
        <v>0</v>
      </c>
      <c r="N537" s="381">
        <f t="shared" ca="1" si="47"/>
        <v>0</v>
      </c>
      <c r="O537" s="127">
        <f ca="1">IF($A537="S",VTOTALBM,IF($A537=0,0,ROUND(SomaAgrupBM,15-13*ORÇAMENTO!$AF$11)))</f>
        <v>0</v>
      </c>
      <c r="Q537" s="382"/>
      <c r="R537" s="383"/>
      <c r="T537" s="119" t="str">
        <f t="shared" ca="1" si="48"/>
        <v/>
      </c>
      <c r="U537" s="172" t="str">
        <f t="shared" ca="1" si="49"/>
        <v/>
      </c>
      <c r="V537" s="173" t="str">
        <f ca="1">IF(AND($W537&gt;0,RegimeExecucao="Unitário"),$F537,"")</f>
        <v/>
      </c>
      <c r="W537" s="547">
        <f ca="1">IF($Y537&gt;0,CHOOSE(MATCH(RegimeExecucao,{"Unitário","Global"},0),IF($A537="S",$Y537/$X537,""),($Y537/$X537)*100),0)</f>
        <v>0</v>
      </c>
      <c r="X537" s="384" t="str">
        <f ca="1">IF($Y537&gt;0,CHOOSE(MATCH(RegimeExecucao,{"Unitário","Global"},0),IF($A537="S",ROUND($H537,ORÇAMENTO!$AF$10),""),ROUND($I537,ORÇAMENTO!$AF$11)),"")</f>
        <v/>
      </c>
      <c r="Y537" s="384">
        <f t="shared" ca="1" si="50"/>
        <v>0</v>
      </c>
      <c r="Z537" s="572"/>
      <c r="AB537" s="382"/>
      <c r="AC537" s="516"/>
      <c r="AD537" s="516"/>
      <c r="AE537" s="516"/>
      <c r="AF537" s="516"/>
      <c r="AG537" s="516"/>
      <c r="AH537" s="516"/>
      <c r="AI537" s="516"/>
      <c r="AJ537" s="516"/>
      <c r="AK537" s="516"/>
      <c r="AL537" s="516"/>
      <c r="AM537" s="383"/>
      <c r="AO537">
        <f ca="1">IF($A537="S",IF(BM!$I537=0,0,CHOOSE(MATCH(RegimeExecucao,{"Global","Unitário"},0),ROUND(ROUND(BM.MEDAcumulado,15-13*BM!$A$9)/100*BM!$I537,15-13*ORÇAMENTO!$AF$11),ROUND(ROUND(BM.MEDAcumulado,15-13*BM!$A$9)*ROUND(BM!$H537,15-13*ORÇAMENTO!$AF$10),15-13*ORÇAMENTO!$AF$11))),IF($A537=0,0,ROUND(SomaAgrupBM,15-13*ORÇAMENTO!$AF$11)))</f>
        <v>0</v>
      </c>
    </row>
    <row r="538" spans="1:41" ht="38.25" x14ac:dyDescent="0.2">
      <c r="A538" t="str">
        <f ca="1">ORÇAMENTO!C538</f>
        <v>S</v>
      </c>
      <c r="B538">
        <f ca="1">ORÇAMENTO!D538</f>
        <v>0</v>
      </c>
      <c r="C538" s="116" t="str">
        <f t="shared" ca="1" si="44"/>
        <v/>
      </c>
      <c r="D538" s="119" t="str">
        <f ca="1">ORÇAMENTO!O538</f>
        <v>-</v>
      </c>
      <c r="E538" s="172" t="str">
        <f t="shared" ca="1" si="51"/>
        <v>(abra o arquivo 'Referência 06-2024.xlsm)</v>
      </c>
      <c r="F538" s="173" t="str">
        <f ca="1">IF(RegimeExecucao="Global","",ORÇAMENTO.Unidade)</f>
        <v/>
      </c>
      <c r="G538" s="124" t="str">
        <f ca="1">IF(RegimeExecucao="Global","",ORÇAMENTO!T538)</f>
        <v/>
      </c>
      <c r="H538" s="124" t="str">
        <f ca="1">IF(RegimeExecucao="Global","",ORÇAMENTO!W538)</f>
        <v/>
      </c>
      <c r="I538" s="127">
        <f ca="1">ORÇAMENTO!X538</f>
        <v>0</v>
      </c>
      <c r="J538" s="378">
        <f ca="1">IF($A538="S",IF(CAIXA.Modo,BM.AFAnterior,BM.MEDAnterior),IF(AND(RegimeExecucao="Global",$I538&gt;0,COUNTIF($AB$13:$AM$13,BM.medicao-1)&gt;0),M538/$I538*100,0))</f>
        <v>0</v>
      </c>
      <c r="K538" s="124">
        <f t="shared" ca="1" si="46"/>
        <v>0</v>
      </c>
      <c r="L538" s="379">
        <f ca="1">IF($A538="S",IF(CAIXA.Modo,BM.AFAcumulado,BM.MEDAcumulado),IF(AND(RegimeExecucao="Global",$I538&gt;0,COUNTIF($AB$13:$AM$13,BM.medicao)&gt;0),O538/$I538*100,0))</f>
        <v>0</v>
      </c>
      <c r="M538" s="380">
        <f ca="1">IF($A538="S",VTOTALBM,IF($A538=0,0,ROUND(SomaAgrupBM,15-13*ORÇAMENTO!$AF$11)))</f>
        <v>0</v>
      </c>
      <c r="N538" s="381">
        <f t="shared" ca="1" si="47"/>
        <v>0</v>
      </c>
      <c r="O538" s="127">
        <f ca="1">IF($A538="S",VTOTALBM,IF($A538=0,0,ROUND(SomaAgrupBM,15-13*ORÇAMENTO!$AF$11)))</f>
        <v>0</v>
      </c>
      <c r="Q538" s="382"/>
      <c r="R538" s="383"/>
      <c r="T538" s="119" t="str">
        <f t="shared" ca="1" si="48"/>
        <v/>
      </c>
      <c r="U538" s="172" t="str">
        <f t="shared" ca="1" si="49"/>
        <v/>
      </c>
      <c r="V538" s="173" t="str">
        <f ca="1">IF(AND($W538&gt;0,RegimeExecucao="Unitário"),$F538,"")</f>
        <v/>
      </c>
      <c r="W538" s="547">
        <f ca="1">IF($Y538&gt;0,CHOOSE(MATCH(RegimeExecucao,{"Unitário","Global"},0),IF($A538="S",$Y538/$X538,""),($Y538/$X538)*100),0)</f>
        <v>0</v>
      </c>
      <c r="X538" s="384" t="str">
        <f ca="1">IF($Y538&gt;0,CHOOSE(MATCH(RegimeExecucao,{"Unitário","Global"},0),IF($A538="S",ROUND($H538,ORÇAMENTO!$AF$10),""),ROUND($I538,ORÇAMENTO!$AF$11)),"")</f>
        <v/>
      </c>
      <c r="Y538" s="384">
        <f t="shared" ca="1" si="50"/>
        <v>0</v>
      </c>
      <c r="Z538" s="572"/>
      <c r="AB538" s="382"/>
      <c r="AC538" s="516"/>
      <c r="AD538" s="516"/>
      <c r="AE538" s="516"/>
      <c r="AF538" s="516"/>
      <c r="AG538" s="516"/>
      <c r="AH538" s="516"/>
      <c r="AI538" s="516"/>
      <c r="AJ538" s="516"/>
      <c r="AK538" s="516"/>
      <c r="AL538" s="516"/>
      <c r="AM538" s="383"/>
      <c r="AO538">
        <f ca="1">IF($A538="S",IF(BM!$I538=0,0,CHOOSE(MATCH(RegimeExecucao,{"Global","Unitário"},0),ROUND(ROUND(BM.MEDAcumulado,15-13*BM!$A$9)/100*BM!$I538,15-13*ORÇAMENTO!$AF$11),ROUND(ROUND(BM.MEDAcumulado,15-13*BM!$A$9)*ROUND(BM!$H538,15-13*ORÇAMENTO!$AF$10),15-13*ORÇAMENTO!$AF$11))),IF($A538=0,0,ROUND(SomaAgrupBM,15-13*ORÇAMENTO!$AF$11)))</f>
        <v>0</v>
      </c>
    </row>
    <row r="539" spans="1:41" ht="38.25" x14ac:dyDescent="0.2">
      <c r="A539" t="str">
        <f ca="1">ORÇAMENTO!C539</f>
        <v>S</v>
      </c>
      <c r="B539">
        <f ca="1">ORÇAMENTO!D539</f>
        <v>0</v>
      </c>
      <c r="C539" s="116" t="str">
        <f t="shared" ca="1" si="44"/>
        <v/>
      </c>
      <c r="D539" s="119" t="str">
        <f ca="1">ORÇAMENTO!O539</f>
        <v>-</v>
      </c>
      <c r="E539" s="172" t="str">
        <f t="shared" ca="1" si="51"/>
        <v>(abra o arquivo 'Referência 06-2024.xlsm)</v>
      </c>
      <c r="F539" s="173" t="str">
        <f ca="1">IF(RegimeExecucao="Global","",ORÇAMENTO.Unidade)</f>
        <v/>
      </c>
      <c r="G539" s="124" t="str">
        <f ca="1">IF(RegimeExecucao="Global","",ORÇAMENTO!T539)</f>
        <v/>
      </c>
      <c r="H539" s="124" t="str">
        <f ca="1">IF(RegimeExecucao="Global","",ORÇAMENTO!W539)</f>
        <v/>
      </c>
      <c r="I539" s="127">
        <f ca="1">ORÇAMENTO!X539</f>
        <v>0</v>
      </c>
      <c r="J539" s="378">
        <f ca="1">IF($A539="S",IF(CAIXA.Modo,BM.AFAnterior,BM.MEDAnterior),IF(AND(RegimeExecucao="Global",$I539&gt;0,COUNTIF($AB$13:$AM$13,BM.medicao-1)&gt;0),M539/$I539*100,0))</f>
        <v>0</v>
      </c>
      <c r="K539" s="124">
        <f t="shared" ca="1" si="46"/>
        <v>0</v>
      </c>
      <c r="L539" s="379">
        <f ca="1">IF($A539="S",IF(CAIXA.Modo,BM.AFAcumulado,BM.MEDAcumulado),IF(AND(RegimeExecucao="Global",$I539&gt;0,COUNTIF($AB$13:$AM$13,BM.medicao)&gt;0),O539/$I539*100,0))</f>
        <v>0</v>
      </c>
      <c r="M539" s="380">
        <f ca="1">IF($A539="S",VTOTALBM,IF($A539=0,0,ROUND(SomaAgrupBM,15-13*ORÇAMENTO!$AF$11)))</f>
        <v>0</v>
      </c>
      <c r="N539" s="381">
        <f t="shared" ca="1" si="47"/>
        <v>0</v>
      </c>
      <c r="O539" s="127">
        <f ca="1">IF($A539="S",VTOTALBM,IF($A539=0,0,ROUND(SomaAgrupBM,15-13*ORÇAMENTO!$AF$11)))</f>
        <v>0</v>
      </c>
      <c r="Q539" s="382"/>
      <c r="R539" s="383"/>
      <c r="T539" s="119" t="str">
        <f t="shared" ca="1" si="48"/>
        <v/>
      </c>
      <c r="U539" s="172" t="str">
        <f t="shared" ca="1" si="49"/>
        <v/>
      </c>
      <c r="V539" s="173" t="str">
        <f ca="1">IF(AND($W539&gt;0,RegimeExecucao="Unitário"),$F539,"")</f>
        <v/>
      </c>
      <c r="W539" s="547">
        <f ca="1">IF($Y539&gt;0,CHOOSE(MATCH(RegimeExecucao,{"Unitário","Global"},0),IF($A539="S",$Y539/$X539,""),($Y539/$X539)*100),0)</f>
        <v>0</v>
      </c>
      <c r="X539" s="384" t="str">
        <f ca="1">IF($Y539&gt;0,CHOOSE(MATCH(RegimeExecucao,{"Unitário","Global"},0),IF($A539="S",ROUND($H539,ORÇAMENTO!$AF$10),""),ROUND($I539,ORÇAMENTO!$AF$11)),"")</f>
        <v/>
      </c>
      <c r="Y539" s="384">
        <f t="shared" ca="1" si="50"/>
        <v>0</v>
      </c>
      <c r="Z539" s="572"/>
      <c r="AB539" s="382"/>
      <c r="AC539" s="516"/>
      <c r="AD539" s="516"/>
      <c r="AE539" s="516"/>
      <c r="AF539" s="516"/>
      <c r="AG539" s="516"/>
      <c r="AH539" s="516"/>
      <c r="AI539" s="516"/>
      <c r="AJ539" s="516"/>
      <c r="AK539" s="516"/>
      <c r="AL539" s="516"/>
      <c r="AM539" s="383"/>
      <c r="AO539">
        <f ca="1">IF($A539="S",IF(BM!$I539=0,0,CHOOSE(MATCH(RegimeExecucao,{"Global","Unitário"},0),ROUND(ROUND(BM.MEDAcumulado,15-13*BM!$A$9)/100*BM!$I539,15-13*ORÇAMENTO!$AF$11),ROUND(ROUND(BM.MEDAcumulado,15-13*BM!$A$9)*ROUND(BM!$H539,15-13*ORÇAMENTO!$AF$10),15-13*ORÇAMENTO!$AF$11))),IF($A539=0,0,ROUND(SomaAgrupBM,15-13*ORÇAMENTO!$AF$11)))</f>
        <v>0</v>
      </c>
    </row>
    <row r="540" spans="1:41" ht="38.25" x14ac:dyDescent="0.2">
      <c r="A540" t="str">
        <f ca="1">ORÇAMENTO!C540</f>
        <v>S</v>
      </c>
      <c r="B540">
        <f ca="1">ORÇAMENTO!D540</f>
        <v>0</v>
      </c>
      <c r="C540" s="116" t="str">
        <f t="shared" ca="1" si="44"/>
        <v/>
      </c>
      <c r="D540" s="119" t="str">
        <f ca="1">ORÇAMENTO!O540</f>
        <v>-</v>
      </c>
      <c r="E540" s="172" t="str">
        <f t="shared" ca="1" si="51"/>
        <v>(abra o arquivo 'Referência 06-2024.xlsm)</v>
      </c>
      <c r="F540" s="173" t="str">
        <f ca="1">IF(RegimeExecucao="Global","",ORÇAMENTO.Unidade)</f>
        <v/>
      </c>
      <c r="G540" s="124" t="str">
        <f ca="1">IF(RegimeExecucao="Global","",ORÇAMENTO!T540)</f>
        <v/>
      </c>
      <c r="H540" s="124" t="str">
        <f ca="1">IF(RegimeExecucao="Global","",ORÇAMENTO!W540)</f>
        <v/>
      </c>
      <c r="I540" s="127">
        <f ca="1">ORÇAMENTO!X540</f>
        <v>0</v>
      </c>
      <c r="J540" s="378">
        <f ca="1">IF($A540="S",IF(CAIXA.Modo,BM.AFAnterior,BM.MEDAnterior),IF(AND(RegimeExecucao="Global",$I540&gt;0,COUNTIF($AB$13:$AM$13,BM.medicao-1)&gt;0),M540/$I540*100,0))</f>
        <v>0</v>
      </c>
      <c r="K540" s="124">
        <f t="shared" ca="1" si="46"/>
        <v>0</v>
      </c>
      <c r="L540" s="379">
        <f ca="1">IF($A540="S",IF(CAIXA.Modo,BM.AFAcumulado,BM.MEDAcumulado),IF(AND(RegimeExecucao="Global",$I540&gt;0,COUNTIF($AB$13:$AM$13,BM.medicao)&gt;0),O540/$I540*100,0))</f>
        <v>0</v>
      </c>
      <c r="M540" s="380">
        <f ca="1">IF($A540="S",VTOTALBM,IF($A540=0,0,ROUND(SomaAgrupBM,15-13*ORÇAMENTO!$AF$11)))</f>
        <v>0</v>
      </c>
      <c r="N540" s="381">
        <f t="shared" ca="1" si="47"/>
        <v>0</v>
      </c>
      <c r="O540" s="127">
        <f ca="1">IF($A540="S",VTOTALBM,IF($A540=0,0,ROUND(SomaAgrupBM,15-13*ORÇAMENTO!$AF$11)))</f>
        <v>0</v>
      </c>
      <c r="Q540" s="382"/>
      <c r="R540" s="383"/>
      <c r="T540" s="119" t="str">
        <f t="shared" ca="1" si="48"/>
        <v/>
      </c>
      <c r="U540" s="172" t="str">
        <f t="shared" ca="1" si="49"/>
        <v/>
      </c>
      <c r="V540" s="173" t="str">
        <f ca="1">IF(AND($W540&gt;0,RegimeExecucao="Unitário"),$F540,"")</f>
        <v/>
      </c>
      <c r="W540" s="547">
        <f ca="1">IF($Y540&gt;0,CHOOSE(MATCH(RegimeExecucao,{"Unitário","Global"},0),IF($A540="S",$Y540/$X540,""),($Y540/$X540)*100),0)</f>
        <v>0</v>
      </c>
      <c r="X540" s="384" t="str">
        <f ca="1">IF($Y540&gt;0,CHOOSE(MATCH(RegimeExecucao,{"Unitário","Global"},0),IF($A540="S",ROUND($H540,ORÇAMENTO!$AF$10),""),ROUND($I540,ORÇAMENTO!$AF$11)),"")</f>
        <v/>
      </c>
      <c r="Y540" s="384">
        <f t="shared" ca="1" si="50"/>
        <v>0</v>
      </c>
      <c r="Z540" s="572"/>
      <c r="AB540" s="382"/>
      <c r="AC540" s="516"/>
      <c r="AD540" s="516"/>
      <c r="AE540" s="516"/>
      <c r="AF540" s="516"/>
      <c r="AG540" s="516"/>
      <c r="AH540" s="516"/>
      <c r="AI540" s="516"/>
      <c r="AJ540" s="516"/>
      <c r="AK540" s="516"/>
      <c r="AL540" s="516"/>
      <c r="AM540" s="383"/>
      <c r="AO540">
        <f ca="1">IF($A540="S",IF(BM!$I540=0,0,CHOOSE(MATCH(RegimeExecucao,{"Global","Unitário"},0),ROUND(ROUND(BM.MEDAcumulado,15-13*BM!$A$9)/100*BM!$I540,15-13*ORÇAMENTO!$AF$11),ROUND(ROUND(BM.MEDAcumulado,15-13*BM!$A$9)*ROUND(BM!$H540,15-13*ORÇAMENTO!$AF$10),15-13*ORÇAMENTO!$AF$11))),IF($A540=0,0,ROUND(SomaAgrupBM,15-13*ORÇAMENTO!$AF$11)))</f>
        <v>0</v>
      </c>
    </row>
    <row r="541" spans="1:41" ht="25.5" x14ac:dyDescent="0.2">
      <c r="A541" t="str">
        <f ca="1">ORÇAMENTO!C541</f>
        <v>S</v>
      </c>
      <c r="B541">
        <f ca="1">ORÇAMENTO!D541</f>
        <v>0</v>
      </c>
      <c r="C541" s="116" t="str">
        <f t="shared" ca="1" si="44"/>
        <v/>
      </c>
      <c r="D541" s="119" t="str">
        <f ca="1">ORÇAMENTO!O541</f>
        <v>-</v>
      </c>
      <c r="E541" s="172" t="str">
        <f t="shared" ca="1" si="51"/>
        <v>(abra o arquivo 'Referência 06-2024.xlsm)</v>
      </c>
      <c r="F541" s="173" t="str">
        <f ca="1">IF(RegimeExecucao="Global","",ORÇAMENTO.Unidade)</f>
        <v/>
      </c>
      <c r="G541" s="124" t="str">
        <f ca="1">IF(RegimeExecucao="Global","",ORÇAMENTO!T541)</f>
        <v/>
      </c>
      <c r="H541" s="124" t="str">
        <f ca="1">IF(RegimeExecucao="Global","",ORÇAMENTO!W541)</f>
        <v/>
      </c>
      <c r="I541" s="127">
        <f ca="1">ORÇAMENTO!X541</f>
        <v>0</v>
      </c>
      <c r="J541" s="378">
        <f ca="1">IF($A541="S",IF(CAIXA.Modo,BM.AFAnterior,BM.MEDAnterior),IF(AND(RegimeExecucao="Global",$I541&gt;0,COUNTIF($AB$13:$AM$13,BM.medicao-1)&gt;0),M541/$I541*100,0))</f>
        <v>0</v>
      </c>
      <c r="K541" s="124">
        <f t="shared" ca="1" si="46"/>
        <v>0</v>
      </c>
      <c r="L541" s="379">
        <f ca="1">IF($A541="S",IF(CAIXA.Modo,BM.AFAcumulado,BM.MEDAcumulado),IF(AND(RegimeExecucao="Global",$I541&gt;0,COUNTIF($AB$13:$AM$13,BM.medicao)&gt;0),O541/$I541*100,0))</f>
        <v>0</v>
      </c>
      <c r="M541" s="380">
        <f ca="1">IF($A541="S",VTOTALBM,IF($A541=0,0,ROUND(SomaAgrupBM,15-13*ORÇAMENTO!$AF$11)))</f>
        <v>0</v>
      </c>
      <c r="N541" s="381">
        <f t="shared" ca="1" si="47"/>
        <v>0</v>
      </c>
      <c r="O541" s="127">
        <f ca="1">IF($A541="S",VTOTALBM,IF($A541=0,0,ROUND(SomaAgrupBM,15-13*ORÇAMENTO!$AF$11)))</f>
        <v>0</v>
      </c>
      <c r="Q541" s="382"/>
      <c r="R541" s="383"/>
      <c r="T541" s="119" t="str">
        <f t="shared" ca="1" si="48"/>
        <v/>
      </c>
      <c r="U541" s="172" t="str">
        <f t="shared" ca="1" si="49"/>
        <v/>
      </c>
      <c r="V541" s="173" t="str">
        <f ca="1">IF(AND($W541&gt;0,RegimeExecucao="Unitário"),$F541,"")</f>
        <v/>
      </c>
      <c r="W541" s="547">
        <f ca="1">IF($Y541&gt;0,CHOOSE(MATCH(RegimeExecucao,{"Unitário","Global"},0),IF($A541="S",$Y541/$X541,""),($Y541/$X541)*100),0)</f>
        <v>0</v>
      </c>
      <c r="X541" s="384" t="str">
        <f ca="1">IF($Y541&gt;0,CHOOSE(MATCH(RegimeExecucao,{"Unitário","Global"},0),IF($A541="S",ROUND($H541,ORÇAMENTO!$AF$10),""),ROUND($I541,ORÇAMENTO!$AF$11)),"")</f>
        <v/>
      </c>
      <c r="Y541" s="384">
        <f t="shared" ca="1" si="50"/>
        <v>0</v>
      </c>
      <c r="Z541" s="572"/>
      <c r="AB541" s="382"/>
      <c r="AC541" s="516"/>
      <c r="AD541" s="516"/>
      <c r="AE541" s="516"/>
      <c r="AF541" s="516"/>
      <c r="AG541" s="516"/>
      <c r="AH541" s="516"/>
      <c r="AI541" s="516"/>
      <c r="AJ541" s="516"/>
      <c r="AK541" s="516"/>
      <c r="AL541" s="516"/>
      <c r="AM541" s="383"/>
      <c r="AO541">
        <f ca="1">IF($A541="S",IF(BM!$I541=0,0,CHOOSE(MATCH(RegimeExecucao,{"Global","Unitário"},0),ROUND(ROUND(BM.MEDAcumulado,15-13*BM!$A$9)/100*BM!$I541,15-13*ORÇAMENTO!$AF$11),ROUND(ROUND(BM.MEDAcumulado,15-13*BM!$A$9)*ROUND(BM!$H541,15-13*ORÇAMENTO!$AF$10),15-13*ORÇAMENTO!$AF$11))),IF($A541=0,0,ROUND(SomaAgrupBM,15-13*ORÇAMENTO!$AF$11)))</f>
        <v>0</v>
      </c>
    </row>
    <row r="542" spans="1:41" ht="25.5" x14ac:dyDescent="0.2">
      <c r="A542" t="str">
        <f ca="1">ORÇAMENTO!C542</f>
        <v>S</v>
      </c>
      <c r="B542">
        <f ca="1">ORÇAMENTO!D542</f>
        <v>0</v>
      </c>
      <c r="C542" s="116" t="str">
        <f t="shared" ca="1" si="44"/>
        <v/>
      </c>
      <c r="D542" s="119" t="str">
        <f ca="1">ORÇAMENTO!O542</f>
        <v>-</v>
      </c>
      <c r="E542" s="172" t="str">
        <f t="shared" ca="1" si="51"/>
        <v>(abra o arquivo 'Referência 06-2024.xlsm)</v>
      </c>
      <c r="F542" s="173" t="str">
        <f ca="1">IF(RegimeExecucao="Global","",ORÇAMENTO.Unidade)</f>
        <v/>
      </c>
      <c r="G542" s="124" t="str">
        <f ca="1">IF(RegimeExecucao="Global","",ORÇAMENTO!T542)</f>
        <v/>
      </c>
      <c r="H542" s="124" t="str">
        <f ca="1">IF(RegimeExecucao="Global","",ORÇAMENTO!W542)</f>
        <v/>
      </c>
      <c r="I542" s="127">
        <f ca="1">ORÇAMENTO!X542</f>
        <v>0</v>
      </c>
      <c r="J542" s="378">
        <f ca="1">IF($A542="S",IF(CAIXA.Modo,BM.AFAnterior,BM.MEDAnterior),IF(AND(RegimeExecucao="Global",$I542&gt;0,COUNTIF($AB$13:$AM$13,BM.medicao-1)&gt;0),M542/$I542*100,0))</f>
        <v>0</v>
      </c>
      <c r="K542" s="124">
        <f t="shared" ca="1" si="46"/>
        <v>0</v>
      </c>
      <c r="L542" s="379">
        <f ca="1">IF($A542="S",IF(CAIXA.Modo,BM.AFAcumulado,BM.MEDAcumulado),IF(AND(RegimeExecucao="Global",$I542&gt;0,COUNTIF($AB$13:$AM$13,BM.medicao)&gt;0),O542/$I542*100,0))</f>
        <v>0</v>
      </c>
      <c r="M542" s="380">
        <f ca="1">IF($A542="S",VTOTALBM,IF($A542=0,0,ROUND(SomaAgrupBM,15-13*ORÇAMENTO!$AF$11)))</f>
        <v>0</v>
      </c>
      <c r="N542" s="381">
        <f t="shared" ca="1" si="47"/>
        <v>0</v>
      </c>
      <c r="O542" s="127">
        <f ca="1">IF($A542="S",VTOTALBM,IF($A542=0,0,ROUND(SomaAgrupBM,15-13*ORÇAMENTO!$AF$11)))</f>
        <v>0</v>
      </c>
      <c r="Q542" s="382"/>
      <c r="R542" s="383"/>
      <c r="T542" s="119" t="str">
        <f t="shared" ca="1" si="48"/>
        <v/>
      </c>
      <c r="U542" s="172" t="str">
        <f t="shared" ca="1" si="49"/>
        <v/>
      </c>
      <c r="V542" s="173" t="str">
        <f ca="1">IF(AND($W542&gt;0,RegimeExecucao="Unitário"),$F542,"")</f>
        <v/>
      </c>
      <c r="W542" s="547">
        <f ca="1">IF($Y542&gt;0,CHOOSE(MATCH(RegimeExecucao,{"Unitário","Global"},0),IF($A542="S",$Y542/$X542,""),($Y542/$X542)*100),0)</f>
        <v>0</v>
      </c>
      <c r="X542" s="384" t="str">
        <f ca="1">IF($Y542&gt;0,CHOOSE(MATCH(RegimeExecucao,{"Unitário","Global"},0),IF($A542="S",ROUND($H542,ORÇAMENTO!$AF$10),""),ROUND($I542,ORÇAMENTO!$AF$11)),"")</f>
        <v/>
      </c>
      <c r="Y542" s="384">
        <f t="shared" ca="1" si="50"/>
        <v>0</v>
      </c>
      <c r="Z542" s="572"/>
      <c r="AB542" s="382"/>
      <c r="AC542" s="516"/>
      <c r="AD542" s="516"/>
      <c r="AE542" s="516"/>
      <c r="AF542" s="516"/>
      <c r="AG542" s="516"/>
      <c r="AH542" s="516"/>
      <c r="AI542" s="516"/>
      <c r="AJ542" s="516"/>
      <c r="AK542" s="516"/>
      <c r="AL542" s="516"/>
      <c r="AM542" s="383"/>
      <c r="AO542">
        <f ca="1">IF($A542="S",IF(BM!$I542=0,0,CHOOSE(MATCH(RegimeExecucao,{"Global","Unitário"},0),ROUND(ROUND(BM.MEDAcumulado,15-13*BM!$A$9)/100*BM!$I542,15-13*ORÇAMENTO!$AF$11),ROUND(ROUND(BM.MEDAcumulado,15-13*BM!$A$9)*ROUND(BM!$H542,15-13*ORÇAMENTO!$AF$10),15-13*ORÇAMENTO!$AF$11))),IF($A542=0,0,ROUND(SomaAgrupBM,15-13*ORÇAMENTO!$AF$11)))</f>
        <v>0</v>
      </c>
    </row>
    <row r="543" spans="1:41" x14ac:dyDescent="0.2">
      <c r="A543">
        <f ca="1">ORÇAMENTO!C543</f>
        <v>2</v>
      </c>
      <c r="B543">
        <f ca="1">ORÇAMENTO!D543</f>
        <v>24</v>
      </c>
      <c r="C543" s="116" t="str">
        <f t="shared" ca="1" si="44"/>
        <v>F</v>
      </c>
      <c r="D543" s="119" t="str">
        <f ca="1">ORÇAMENTO!O543</f>
        <v>1.56.</v>
      </c>
      <c r="E543" s="172" t="str">
        <f t="shared" si="51"/>
        <v>INSTALAÇÃO ELÉTRICA 110V - DISPOSITIVOS DE PROTEÇÃO</v>
      </c>
      <c r="F543" s="173" t="str">
        <f ca="1">IF(RegimeExecucao="Global","",ORÇAMENTO.Unidade)</f>
        <v/>
      </c>
      <c r="G543" s="124" t="str">
        <f ca="1">IF(RegimeExecucao="Global","",ORÇAMENTO!T543)</f>
        <v/>
      </c>
      <c r="H543" s="124" t="str">
        <f ca="1">IF(RegimeExecucao="Global","",ORÇAMENTO!W543)</f>
        <v/>
      </c>
      <c r="I543" s="127">
        <f ca="1">ORÇAMENTO!X543</f>
        <v>0</v>
      </c>
      <c r="J543" s="378">
        <f ca="1">IF($A543="S",IF(CAIXA.Modo,BM.AFAnterior,BM.MEDAnterior),IF(AND(RegimeExecucao="Global",$I543&gt;0,COUNTIF($AB$13:$AM$13,BM.medicao-1)&gt;0),M543/$I543*100,0))</f>
        <v>0</v>
      </c>
      <c r="K543" s="124">
        <f t="shared" ca="1" si="46"/>
        <v>0</v>
      </c>
      <c r="L543" s="379">
        <f ca="1">IF($A543="S",IF(CAIXA.Modo,BM.AFAcumulado,BM.MEDAcumulado),IF(AND(RegimeExecucao="Global",$I543&gt;0,COUNTIF($AB$13:$AM$13,BM.medicao)&gt;0),O543/$I543*100,0))</f>
        <v>0</v>
      </c>
      <c r="M543" s="380">
        <f ca="1">IF($A543="S",VTOTALBM,IF($A543=0,0,ROUND(SomaAgrupBM,15-13*ORÇAMENTO!$AF$11)))</f>
        <v>0</v>
      </c>
      <c r="N543" s="381">
        <f t="shared" ca="1" si="47"/>
        <v>0</v>
      </c>
      <c r="O543" s="127">
        <f ca="1">IF($A543="S",VTOTALBM,IF($A543=0,0,ROUND(SomaAgrupBM,15-13*ORÇAMENTO!$AF$11)))</f>
        <v>0</v>
      </c>
      <c r="Q543" s="382"/>
      <c r="R543" s="383"/>
      <c r="T543" s="119" t="str">
        <f t="shared" ca="1" si="48"/>
        <v/>
      </c>
      <c r="U543" s="172" t="str">
        <f t="shared" ca="1" si="49"/>
        <v/>
      </c>
      <c r="V543" s="173" t="str">
        <f ca="1">IF(AND($W543&gt;0,RegimeExecucao="Unitário"),$F543,"")</f>
        <v/>
      </c>
      <c r="W543" s="547">
        <f ca="1">IF($Y543&gt;0,CHOOSE(MATCH(RegimeExecucao,{"Unitário","Global"},0),IF($A543="S",$Y543/$X543,""),($Y543/$X543)*100),0)</f>
        <v>0</v>
      </c>
      <c r="X543" s="384" t="str">
        <f ca="1">IF($Y543&gt;0,CHOOSE(MATCH(RegimeExecucao,{"Unitário","Global"},0),IF($A543="S",ROUND($H543,ORÇAMENTO!$AF$10),""),ROUND($I543,ORÇAMENTO!$AF$11)),"")</f>
        <v/>
      </c>
      <c r="Y543" s="384">
        <f t="shared" ca="1" si="50"/>
        <v>0</v>
      </c>
      <c r="Z543" s="572"/>
      <c r="AB543" s="382"/>
      <c r="AC543" s="516"/>
      <c r="AD543" s="516"/>
      <c r="AE543" s="516"/>
      <c r="AF543" s="516"/>
      <c r="AG543" s="516"/>
      <c r="AH543" s="516"/>
      <c r="AI543" s="516"/>
      <c r="AJ543" s="516"/>
      <c r="AK543" s="516"/>
      <c r="AL543" s="516"/>
      <c r="AM543" s="383"/>
      <c r="AO543">
        <f ca="1">IF($A543="S",IF(BM!$I543=0,0,CHOOSE(MATCH(RegimeExecucao,{"Global","Unitário"},0),ROUND(ROUND(BM.MEDAcumulado,15-13*BM!$A$9)/100*BM!$I543,15-13*ORÇAMENTO!$AF$11),ROUND(ROUND(BM.MEDAcumulado,15-13*BM!$A$9)*ROUND(BM!$H543,15-13*ORÇAMENTO!$AF$10),15-13*ORÇAMENTO!$AF$11))),IF($A543=0,0,ROUND(SomaAgrupBM,15-13*ORÇAMENTO!$AF$11)))</f>
        <v>0</v>
      </c>
    </row>
    <row r="544" spans="1:41" ht="25.5" x14ac:dyDescent="0.2">
      <c r="A544" t="str">
        <f ca="1">ORÇAMENTO!C544</f>
        <v>S</v>
      </c>
      <c r="B544">
        <f ca="1">ORÇAMENTO!D544</f>
        <v>0</v>
      </c>
      <c r="C544" s="116" t="str">
        <f t="shared" ca="1" si="44"/>
        <v/>
      </c>
      <c r="D544" s="119" t="str">
        <f ca="1">ORÇAMENTO!O544</f>
        <v>-</v>
      </c>
      <c r="E544" s="172" t="str">
        <f t="shared" ca="1" si="51"/>
        <v>(abra o arquivo 'Referência 06-2024.xlsm)</v>
      </c>
      <c r="F544" s="173" t="str">
        <f ca="1">IF(RegimeExecucao="Global","",ORÇAMENTO.Unidade)</f>
        <v/>
      </c>
      <c r="G544" s="124" t="str">
        <f ca="1">IF(RegimeExecucao="Global","",ORÇAMENTO!T544)</f>
        <v/>
      </c>
      <c r="H544" s="124" t="str">
        <f ca="1">IF(RegimeExecucao="Global","",ORÇAMENTO!W544)</f>
        <v/>
      </c>
      <c r="I544" s="127">
        <f ca="1">ORÇAMENTO!X544</f>
        <v>0</v>
      </c>
      <c r="J544" s="378">
        <f ca="1">IF($A544="S",IF(CAIXA.Modo,BM.AFAnterior,BM.MEDAnterior),IF(AND(RegimeExecucao="Global",$I544&gt;0,COUNTIF($AB$13:$AM$13,BM.medicao-1)&gt;0),M544/$I544*100,0))</f>
        <v>0</v>
      </c>
      <c r="K544" s="124">
        <f t="shared" ca="1" si="46"/>
        <v>0</v>
      </c>
      <c r="L544" s="379">
        <f ca="1">IF($A544="S",IF(CAIXA.Modo,BM.AFAcumulado,BM.MEDAcumulado),IF(AND(RegimeExecucao="Global",$I544&gt;0,COUNTIF($AB$13:$AM$13,BM.medicao)&gt;0),O544/$I544*100,0))</f>
        <v>0</v>
      </c>
      <c r="M544" s="380">
        <f ca="1">IF($A544="S",VTOTALBM,IF($A544=0,0,ROUND(SomaAgrupBM,15-13*ORÇAMENTO!$AF$11)))</f>
        <v>0</v>
      </c>
      <c r="N544" s="381">
        <f t="shared" ca="1" si="47"/>
        <v>0</v>
      </c>
      <c r="O544" s="127">
        <f ca="1">IF($A544="S",VTOTALBM,IF($A544=0,0,ROUND(SomaAgrupBM,15-13*ORÇAMENTO!$AF$11)))</f>
        <v>0</v>
      </c>
      <c r="Q544" s="382"/>
      <c r="R544" s="383"/>
      <c r="T544" s="119" t="str">
        <f t="shared" ca="1" si="48"/>
        <v/>
      </c>
      <c r="U544" s="172" t="str">
        <f t="shared" ca="1" si="49"/>
        <v/>
      </c>
      <c r="V544" s="173" t="str">
        <f ca="1">IF(AND($W544&gt;0,RegimeExecucao="Unitário"),$F544,"")</f>
        <v/>
      </c>
      <c r="W544" s="547">
        <f ca="1">IF($Y544&gt;0,CHOOSE(MATCH(RegimeExecucao,{"Unitário","Global"},0),IF($A544="S",$Y544/$X544,""),($Y544/$X544)*100),0)</f>
        <v>0</v>
      </c>
      <c r="X544" s="384" t="str">
        <f ca="1">IF($Y544&gt;0,CHOOSE(MATCH(RegimeExecucao,{"Unitário","Global"},0),IF($A544="S",ROUND($H544,ORÇAMENTO!$AF$10),""),ROUND($I544,ORÇAMENTO!$AF$11)),"")</f>
        <v/>
      </c>
      <c r="Y544" s="384">
        <f t="shared" ca="1" si="50"/>
        <v>0</v>
      </c>
      <c r="Z544" s="572"/>
      <c r="AB544" s="382"/>
      <c r="AC544" s="516"/>
      <c r="AD544" s="516"/>
      <c r="AE544" s="516"/>
      <c r="AF544" s="516"/>
      <c r="AG544" s="516"/>
      <c r="AH544" s="516"/>
      <c r="AI544" s="516"/>
      <c r="AJ544" s="516"/>
      <c r="AK544" s="516"/>
      <c r="AL544" s="516"/>
      <c r="AM544" s="383"/>
      <c r="AO544">
        <f ca="1">IF($A544="S",IF(BM!$I544=0,0,CHOOSE(MATCH(RegimeExecucao,{"Global","Unitário"},0),ROUND(ROUND(BM.MEDAcumulado,15-13*BM!$A$9)/100*BM!$I544,15-13*ORÇAMENTO!$AF$11),ROUND(ROUND(BM.MEDAcumulado,15-13*BM!$A$9)*ROUND(BM!$H544,15-13*ORÇAMENTO!$AF$10),15-13*ORÇAMENTO!$AF$11))),IF($A544=0,0,ROUND(SomaAgrupBM,15-13*ORÇAMENTO!$AF$11)))</f>
        <v>0</v>
      </c>
    </row>
    <row r="545" spans="1:41" ht="25.5" x14ac:dyDescent="0.2">
      <c r="A545" t="str">
        <f ca="1">ORÇAMENTO!C545</f>
        <v>S</v>
      </c>
      <c r="B545">
        <f ca="1">ORÇAMENTO!D545</f>
        <v>0</v>
      </c>
      <c r="C545" s="116" t="str">
        <f t="shared" ca="1" si="44"/>
        <v/>
      </c>
      <c r="D545" s="119" t="str">
        <f ca="1">ORÇAMENTO!O545</f>
        <v>-</v>
      </c>
      <c r="E545" s="172" t="str">
        <f t="shared" ca="1" si="51"/>
        <v>(abra o arquivo 'Referência 06-2024.xlsm)</v>
      </c>
      <c r="F545" s="173" t="str">
        <f ca="1">IF(RegimeExecucao="Global","",ORÇAMENTO.Unidade)</f>
        <v/>
      </c>
      <c r="G545" s="124" t="str">
        <f ca="1">IF(RegimeExecucao="Global","",ORÇAMENTO!T545)</f>
        <v/>
      </c>
      <c r="H545" s="124" t="str">
        <f ca="1">IF(RegimeExecucao="Global","",ORÇAMENTO!W545)</f>
        <v/>
      </c>
      <c r="I545" s="127">
        <f ca="1">ORÇAMENTO!X545</f>
        <v>0</v>
      </c>
      <c r="J545" s="378">
        <f ca="1">IF($A545="S",IF(CAIXA.Modo,BM.AFAnterior,BM.MEDAnterior),IF(AND(RegimeExecucao="Global",$I545&gt;0,COUNTIF($AB$13:$AM$13,BM.medicao-1)&gt;0),M545/$I545*100,0))</f>
        <v>0</v>
      </c>
      <c r="K545" s="124">
        <f t="shared" ca="1" si="46"/>
        <v>0</v>
      </c>
      <c r="L545" s="379">
        <f ca="1">IF($A545="S",IF(CAIXA.Modo,BM.AFAcumulado,BM.MEDAcumulado),IF(AND(RegimeExecucao="Global",$I545&gt;0,COUNTIF($AB$13:$AM$13,BM.medicao)&gt;0),O545/$I545*100,0))</f>
        <v>0</v>
      </c>
      <c r="M545" s="380">
        <f ca="1">IF($A545="S",VTOTALBM,IF($A545=0,0,ROUND(SomaAgrupBM,15-13*ORÇAMENTO!$AF$11)))</f>
        <v>0</v>
      </c>
      <c r="N545" s="381">
        <f t="shared" ca="1" si="47"/>
        <v>0</v>
      </c>
      <c r="O545" s="127">
        <f ca="1">IF($A545="S",VTOTALBM,IF($A545=0,0,ROUND(SomaAgrupBM,15-13*ORÇAMENTO!$AF$11)))</f>
        <v>0</v>
      </c>
      <c r="Q545" s="382"/>
      <c r="R545" s="383"/>
      <c r="T545" s="119" t="str">
        <f t="shared" ca="1" si="48"/>
        <v/>
      </c>
      <c r="U545" s="172" t="str">
        <f t="shared" ca="1" si="49"/>
        <v/>
      </c>
      <c r="V545" s="173" t="str">
        <f ca="1">IF(AND($W545&gt;0,RegimeExecucao="Unitário"),$F545,"")</f>
        <v/>
      </c>
      <c r="W545" s="547">
        <f ca="1">IF($Y545&gt;0,CHOOSE(MATCH(RegimeExecucao,{"Unitário","Global"},0),IF($A545="S",$Y545/$X545,""),($Y545/$X545)*100),0)</f>
        <v>0</v>
      </c>
      <c r="X545" s="384" t="str">
        <f ca="1">IF($Y545&gt;0,CHOOSE(MATCH(RegimeExecucao,{"Unitário","Global"},0),IF($A545="S",ROUND($H545,ORÇAMENTO!$AF$10),""),ROUND($I545,ORÇAMENTO!$AF$11)),"")</f>
        <v/>
      </c>
      <c r="Y545" s="384">
        <f t="shared" ca="1" si="50"/>
        <v>0</v>
      </c>
      <c r="Z545" s="572"/>
      <c r="AB545" s="382"/>
      <c r="AC545" s="516"/>
      <c r="AD545" s="516"/>
      <c r="AE545" s="516"/>
      <c r="AF545" s="516"/>
      <c r="AG545" s="516"/>
      <c r="AH545" s="516"/>
      <c r="AI545" s="516"/>
      <c r="AJ545" s="516"/>
      <c r="AK545" s="516"/>
      <c r="AL545" s="516"/>
      <c r="AM545" s="383"/>
      <c r="AO545">
        <f ca="1">IF($A545="S",IF(BM!$I545=0,0,CHOOSE(MATCH(RegimeExecucao,{"Global","Unitário"},0),ROUND(ROUND(BM.MEDAcumulado,15-13*BM!$A$9)/100*BM!$I545,15-13*ORÇAMENTO!$AF$11),ROUND(ROUND(BM.MEDAcumulado,15-13*BM!$A$9)*ROUND(BM!$H545,15-13*ORÇAMENTO!$AF$10),15-13*ORÇAMENTO!$AF$11))),IF($A545=0,0,ROUND(SomaAgrupBM,15-13*ORÇAMENTO!$AF$11)))</f>
        <v>0</v>
      </c>
    </row>
    <row r="546" spans="1:41" ht="25.5" x14ac:dyDescent="0.2">
      <c r="A546" t="str">
        <f ca="1">ORÇAMENTO!C546</f>
        <v>S</v>
      </c>
      <c r="B546">
        <f ca="1">ORÇAMENTO!D546</f>
        <v>0</v>
      </c>
      <c r="C546" s="116" t="str">
        <f t="shared" ca="1" si="44"/>
        <v/>
      </c>
      <c r="D546" s="119" t="str">
        <f ca="1">ORÇAMENTO!O546</f>
        <v>-</v>
      </c>
      <c r="E546" s="172" t="str">
        <f t="shared" ca="1" si="51"/>
        <v>(abra o arquivo 'Referência 06-2024.xlsm)</v>
      </c>
      <c r="F546" s="173" t="str">
        <f ca="1">IF(RegimeExecucao="Global","",ORÇAMENTO.Unidade)</f>
        <v/>
      </c>
      <c r="G546" s="124" t="str">
        <f ca="1">IF(RegimeExecucao="Global","",ORÇAMENTO!T546)</f>
        <v/>
      </c>
      <c r="H546" s="124" t="str">
        <f ca="1">IF(RegimeExecucao="Global","",ORÇAMENTO!W546)</f>
        <v/>
      </c>
      <c r="I546" s="127">
        <f ca="1">ORÇAMENTO!X546</f>
        <v>0</v>
      </c>
      <c r="J546" s="378">
        <f ca="1">IF($A546="S",IF(CAIXA.Modo,BM.AFAnterior,BM.MEDAnterior),IF(AND(RegimeExecucao="Global",$I546&gt;0,COUNTIF($AB$13:$AM$13,BM.medicao-1)&gt;0),M546/$I546*100,0))</f>
        <v>0</v>
      </c>
      <c r="K546" s="124">
        <f t="shared" ca="1" si="46"/>
        <v>0</v>
      </c>
      <c r="L546" s="379">
        <f ca="1">IF($A546="S",IF(CAIXA.Modo,BM.AFAcumulado,BM.MEDAcumulado),IF(AND(RegimeExecucao="Global",$I546&gt;0,COUNTIF($AB$13:$AM$13,BM.medicao)&gt;0),O546/$I546*100,0))</f>
        <v>0</v>
      </c>
      <c r="M546" s="380">
        <f ca="1">IF($A546="S",VTOTALBM,IF($A546=0,0,ROUND(SomaAgrupBM,15-13*ORÇAMENTO!$AF$11)))</f>
        <v>0</v>
      </c>
      <c r="N546" s="381">
        <f t="shared" ca="1" si="47"/>
        <v>0</v>
      </c>
      <c r="O546" s="127">
        <f ca="1">IF($A546="S",VTOTALBM,IF($A546=0,0,ROUND(SomaAgrupBM,15-13*ORÇAMENTO!$AF$11)))</f>
        <v>0</v>
      </c>
      <c r="Q546" s="382"/>
      <c r="R546" s="383"/>
      <c r="T546" s="119" t="str">
        <f t="shared" ca="1" si="48"/>
        <v/>
      </c>
      <c r="U546" s="172" t="str">
        <f t="shared" ca="1" si="49"/>
        <v/>
      </c>
      <c r="V546" s="173" t="str">
        <f ca="1">IF(AND($W546&gt;0,RegimeExecucao="Unitário"),$F546,"")</f>
        <v/>
      </c>
      <c r="W546" s="547">
        <f ca="1">IF($Y546&gt;0,CHOOSE(MATCH(RegimeExecucao,{"Unitário","Global"},0),IF($A546="S",$Y546/$X546,""),($Y546/$X546)*100),0)</f>
        <v>0</v>
      </c>
      <c r="X546" s="384" t="str">
        <f ca="1">IF($Y546&gt;0,CHOOSE(MATCH(RegimeExecucao,{"Unitário","Global"},0),IF($A546="S",ROUND($H546,ORÇAMENTO!$AF$10),""),ROUND($I546,ORÇAMENTO!$AF$11)),"")</f>
        <v/>
      </c>
      <c r="Y546" s="384">
        <f t="shared" ca="1" si="50"/>
        <v>0</v>
      </c>
      <c r="Z546" s="572"/>
      <c r="AB546" s="382"/>
      <c r="AC546" s="516"/>
      <c r="AD546" s="516"/>
      <c r="AE546" s="516"/>
      <c r="AF546" s="516"/>
      <c r="AG546" s="516"/>
      <c r="AH546" s="516"/>
      <c r="AI546" s="516"/>
      <c r="AJ546" s="516"/>
      <c r="AK546" s="516"/>
      <c r="AL546" s="516"/>
      <c r="AM546" s="383"/>
      <c r="AO546">
        <f ca="1">IF($A546="S",IF(BM!$I546=0,0,CHOOSE(MATCH(RegimeExecucao,{"Global","Unitário"},0),ROUND(ROUND(BM.MEDAcumulado,15-13*BM!$A$9)/100*BM!$I546,15-13*ORÇAMENTO!$AF$11),ROUND(ROUND(BM.MEDAcumulado,15-13*BM!$A$9)*ROUND(BM!$H546,15-13*ORÇAMENTO!$AF$10),15-13*ORÇAMENTO!$AF$11))),IF($A546=0,0,ROUND(SomaAgrupBM,15-13*ORÇAMENTO!$AF$11)))</f>
        <v>0</v>
      </c>
    </row>
    <row r="547" spans="1:41" ht="25.5" x14ac:dyDescent="0.2">
      <c r="A547" t="str">
        <f ca="1">ORÇAMENTO!C547</f>
        <v>S</v>
      </c>
      <c r="B547">
        <f ca="1">ORÇAMENTO!D547</f>
        <v>0</v>
      </c>
      <c r="C547" s="116" t="str">
        <f t="shared" ca="1" si="44"/>
        <v/>
      </c>
      <c r="D547" s="119" t="str">
        <f ca="1">ORÇAMENTO!O547</f>
        <v>-</v>
      </c>
      <c r="E547" s="172" t="str">
        <f t="shared" ca="1" si="51"/>
        <v>(abra o arquivo 'Referência 06-2024.xlsm)</v>
      </c>
      <c r="F547" s="173" t="str">
        <f ca="1">IF(RegimeExecucao="Global","",ORÇAMENTO.Unidade)</f>
        <v/>
      </c>
      <c r="G547" s="124" t="str">
        <f ca="1">IF(RegimeExecucao="Global","",ORÇAMENTO!T547)</f>
        <v/>
      </c>
      <c r="H547" s="124" t="str">
        <f ca="1">IF(RegimeExecucao="Global","",ORÇAMENTO!W547)</f>
        <v/>
      </c>
      <c r="I547" s="127">
        <f ca="1">ORÇAMENTO!X547</f>
        <v>0</v>
      </c>
      <c r="J547" s="378">
        <f ca="1">IF($A547="S",IF(CAIXA.Modo,BM.AFAnterior,BM.MEDAnterior),IF(AND(RegimeExecucao="Global",$I547&gt;0,COUNTIF($AB$13:$AM$13,BM.medicao-1)&gt;0),M547/$I547*100,0))</f>
        <v>0</v>
      </c>
      <c r="K547" s="124">
        <f t="shared" ca="1" si="46"/>
        <v>0</v>
      </c>
      <c r="L547" s="379">
        <f ca="1">IF($A547="S",IF(CAIXA.Modo,BM.AFAcumulado,BM.MEDAcumulado),IF(AND(RegimeExecucao="Global",$I547&gt;0,COUNTIF($AB$13:$AM$13,BM.medicao)&gt;0),O547/$I547*100,0))</f>
        <v>0</v>
      </c>
      <c r="M547" s="380">
        <f ca="1">IF($A547="S",VTOTALBM,IF($A547=0,0,ROUND(SomaAgrupBM,15-13*ORÇAMENTO!$AF$11)))</f>
        <v>0</v>
      </c>
      <c r="N547" s="381">
        <f t="shared" ca="1" si="47"/>
        <v>0</v>
      </c>
      <c r="O547" s="127">
        <f ca="1">IF($A547="S",VTOTALBM,IF($A547=0,0,ROUND(SomaAgrupBM,15-13*ORÇAMENTO!$AF$11)))</f>
        <v>0</v>
      </c>
      <c r="Q547" s="382"/>
      <c r="R547" s="383"/>
      <c r="T547" s="119" t="str">
        <f t="shared" ca="1" si="48"/>
        <v/>
      </c>
      <c r="U547" s="172" t="str">
        <f t="shared" ca="1" si="49"/>
        <v/>
      </c>
      <c r="V547" s="173" t="str">
        <f ca="1">IF(AND($W547&gt;0,RegimeExecucao="Unitário"),$F547,"")</f>
        <v/>
      </c>
      <c r="W547" s="547">
        <f ca="1">IF($Y547&gt;0,CHOOSE(MATCH(RegimeExecucao,{"Unitário","Global"},0),IF($A547="S",$Y547/$X547,""),($Y547/$X547)*100),0)</f>
        <v>0</v>
      </c>
      <c r="X547" s="384" t="str">
        <f ca="1">IF($Y547&gt;0,CHOOSE(MATCH(RegimeExecucao,{"Unitário","Global"},0),IF($A547="S",ROUND($H547,ORÇAMENTO!$AF$10),""),ROUND($I547,ORÇAMENTO!$AF$11)),"")</f>
        <v/>
      </c>
      <c r="Y547" s="384">
        <f t="shared" ca="1" si="50"/>
        <v>0</v>
      </c>
      <c r="Z547" s="572"/>
      <c r="AB547" s="382"/>
      <c r="AC547" s="516"/>
      <c r="AD547" s="516"/>
      <c r="AE547" s="516"/>
      <c r="AF547" s="516"/>
      <c r="AG547" s="516"/>
      <c r="AH547" s="516"/>
      <c r="AI547" s="516"/>
      <c r="AJ547" s="516"/>
      <c r="AK547" s="516"/>
      <c r="AL547" s="516"/>
      <c r="AM547" s="383"/>
      <c r="AO547">
        <f ca="1">IF($A547="S",IF(BM!$I547=0,0,CHOOSE(MATCH(RegimeExecucao,{"Global","Unitário"},0),ROUND(ROUND(BM.MEDAcumulado,15-13*BM!$A$9)/100*BM!$I547,15-13*ORÇAMENTO!$AF$11),ROUND(ROUND(BM.MEDAcumulado,15-13*BM!$A$9)*ROUND(BM!$H547,15-13*ORÇAMENTO!$AF$10),15-13*ORÇAMENTO!$AF$11))),IF($A547=0,0,ROUND(SomaAgrupBM,15-13*ORÇAMENTO!$AF$11)))</f>
        <v>0</v>
      </c>
    </row>
    <row r="548" spans="1:41" ht="25.5" x14ac:dyDescent="0.2">
      <c r="A548" t="str">
        <f ca="1">ORÇAMENTO!C548</f>
        <v>S</v>
      </c>
      <c r="B548">
        <f ca="1">ORÇAMENTO!D548</f>
        <v>0</v>
      </c>
      <c r="C548" s="116" t="str">
        <f t="shared" ca="1" si="44"/>
        <v/>
      </c>
      <c r="D548" s="119" t="str">
        <f ca="1">ORÇAMENTO!O548</f>
        <v>-</v>
      </c>
      <c r="E548" s="172" t="str">
        <f t="shared" ca="1" si="51"/>
        <v>(abra o arquivo 'Referência 06-2024.xlsm)</v>
      </c>
      <c r="F548" s="173" t="str">
        <f ca="1">IF(RegimeExecucao="Global","",ORÇAMENTO.Unidade)</f>
        <v/>
      </c>
      <c r="G548" s="124" t="str">
        <f ca="1">IF(RegimeExecucao="Global","",ORÇAMENTO!T548)</f>
        <v/>
      </c>
      <c r="H548" s="124" t="str">
        <f ca="1">IF(RegimeExecucao="Global","",ORÇAMENTO!W548)</f>
        <v/>
      </c>
      <c r="I548" s="127">
        <f ca="1">ORÇAMENTO!X548</f>
        <v>0</v>
      </c>
      <c r="J548" s="378">
        <f ca="1">IF($A548="S",IF(CAIXA.Modo,BM.AFAnterior,BM.MEDAnterior),IF(AND(RegimeExecucao="Global",$I548&gt;0,COUNTIF($AB$13:$AM$13,BM.medicao-1)&gt;0),M548/$I548*100,0))</f>
        <v>0</v>
      </c>
      <c r="K548" s="124">
        <f t="shared" ca="1" si="46"/>
        <v>0</v>
      </c>
      <c r="L548" s="379">
        <f ca="1">IF($A548="S",IF(CAIXA.Modo,BM.AFAcumulado,BM.MEDAcumulado),IF(AND(RegimeExecucao="Global",$I548&gt;0,COUNTIF($AB$13:$AM$13,BM.medicao)&gt;0),O548/$I548*100,0))</f>
        <v>0</v>
      </c>
      <c r="M548" s="380">
        <f ca="1">IF($A548="S",VTOTALBM,IF($A548=0,0,ROUND(SomaAgrupBM,15-13*ORÇAMENTO!$AF$11)))</f>
        <v>0</v>
      </c>
      <c r="N548" s="381">
        <f t="shared" ca="1" si="47"/>
        <v>0</v>
      </c>
      <c r="O548" s="127">
        <f ca="1">IF($A548="S",VTOTALBM,IF($A548=0,0,ROUND(SomaAgrupBM,15-13*ORÇAMENTO!$AF$11)))</f>
        <v>0</v>
      </c>
      <c r="Q548" s="382"/>
      <c r="R548" s="383"/>
      <c r="T548" s="119" t="str">
        <f t="shared" ca="1" si="48"/>
        <v/>
      </c>
      <c r="U548" s="172" t="str">
        <f t="shared" ca="1" si="49"/>
        <v/>
      </c>
      <c r="V548" s="173" t="str">
        <f ca="1">IF(AND($W548&gt;0,RegimeExecucao="Unitário"),$F548,"")</f>
        <v/>
      </c>
      <c r="W548" s="547">
        <f ca="1">IF($Y548&gt;0,CHOOSE(MATCH(RegimeExecucao,{"Unitário","Global"},0),IF($A548="S",$Y548/$X548,""),($Y548/$X548)*100),0)</f>
        <v>0</v>
      </c>
      <c r="X548" s="384" t="str">
        <f ca="1">IF($Y548&gt;0,CHOOSE(MATCH(RegimeExecucao,{"Unitário","Global"},0),IF($A548="S",ROUND($H548,ORÇAMENTO!$AF$10),""),ROUND($I548,ORÇAMENTO!$AF$11)),"")</f>
        <v/>
      </c>
      <c r="Y548" s="384">
        <f t="shared" ca="1" si="50"/>
        <v>0</v>
      </c>
      <c r="Z548" s="572"/>
      <c r="AB548" s="382"/>
      <c r="AC548" s="516"/>
      <c r="AD548" s="516"/>
      <c r="AE548" s="516"/>
      <c r="AF548" s="516"/>
      <c r="AG548" s="516"/>
      <c r="AH548" s="516"/>
      <c r="AI548" s="516"/>
      <c r="AJ548" s="516"/>
      <c r="AK548" s="516"/>
      <c r="AL548" s="516"/>
      <c r="AM548" s="383"/>
      <c r="AO548">
        <f ca="1">IF($A548="S",IF(BM!$I548=0,0,CHOOSE(MATCH(RegimeExecucao,{"Global","Unitário"},0),ROUND(ROUND(BM.MEDAcumulado,15-13*BM!$A$9)/100*BM!$I548,15-13*ORÇAMENTO!$AF$11),ROUND(ROUND(BM.MEDAcumulado,15-13*BM!$A$9)*ROUND(BM!$H548,15-13*ORÇAMENTO!$AF$10),15-13*ORÇAMENTO!$AF$11))),IF($A548=0,0,ROUND(SomaAgrupBM,15-13*ORÇAMENTO!$AF$11)))</f>
        <v>0</v>
      </c>
    </row>
    <row r="549" spans="1:41" ht="25.5" x14ac:dyDescent="0.2">
      <c r="A549" t="str">
        <f ca="1">ORÇAMENTO!C549</f>
        <v>S</v>
      </c>
      <c r="B549">
        <f ca="1">ORÇAMENTO!D549</f>
        <v>0</v>
      </c>
      <c r="C549" s="116" t="str">
        <f t="shared" ca="1" si="44"/>
        <v/>
      </c>
      <c r="D549" s="119" t="str">
        <f ca="1">ORÇAMENTO!O549</f>
        <v>-</v>
      </c>
      <c r="E549" s="172" t="str">
        <f t="shared" ca="1" si="51"/>
        <v>(abra o arquivo 'Referência 06-2024.xlsm)</v>
      </c>
      <c r="F549" s="173" t="str">
        <f ca="1">IF(RegimeExecucao="Global","",ORÇAMENTO.Unidade)</f>
        <v/>
      </c>
      <c r="G549" s="124" t="str">
        <f ca="1">IF(RegimeExecucao="Global","",ORÇAMENTO!T549)</f>
        <v/>
      </c>
      <c r="H549" s="124" t="str">
        <f ca="1">IF(RegimeExecucao="Global","",ORÇAMENTO!W549)</f>
        <v/>
      </c>
      <c r="I549" s="127">
        <f ca="1">ORÇAMENTO!X549</f>
        <v>0</v>
      </c>
      <c r="J549" s="378">
        <f ca="1">IF($A549="S",IF(CAIXA.Modo,BM.AFAnterior,BM.MEDAnterior),IF(AND(RegimeExecucao="Global",$I549&gt;0,COUNTIF($AB$13:$AM$13,BM.medicao-1)&gt;0),M549/$I549*100,0))</f>
        <v>0</v>
      </c>
      <c r="K549" s="124">
        <f t="shared" ca="1" si="46"/>
        <v>0</v>
      </c>
      <c r="L549" s="379">
        <f ca="1">IF($A549="S",IF(CAIXA.Modo,BM.AFAcumulado,BM.MEDAcumulado),IF(AND(RegimeExecucao="Global",$I549&gt;0,COUNTIF($AB$13:$AM$13,BM.medicao)&gt;0),O549/$I549*100,0))</f>
        <v>0</v>
      </c>
      <c r="M549" s="380">
        <f ca="1">IF($A549="S",VTOTALBM,IF($A549=0,0,ROUND(SomaAgrupBM,15-13*ORÇAMENTO!$AF$11)))</f>
        <v>0</v>
      </c>
      <c r="N549" s="381">
        <f t="shared" ca="1" si="47"/>
        <v>0</v>
      </c>
      <c r="O549" s="127">
        <f ca="1">IF($A549="S",VTOTALBM,IF($A549=0,0,ROUND(SomaAgrupBM,15-13*ORÇAMENTO!$AF$11)))</f>
        <v>0</v>
      </c>
      <c r="Q549" s="382"/>
      <c r="R549" s="383"/>
      <c r="T549" s="119" t="str">
        <f t="shared" ca="1" si="48"/>
        <v/>
      </c>
      <c r="U549" s="172" t="str">
        <f t="shared" ca="1" si="49"/>
        <v/>
      </c>
      <c r="V549" s="173" t="str">
        <f ca="1">IF(AND($W549&gt;0,RegimeExecucao="Unitário"),$F549,"")</f>
        <v/>
      </c>
      <c r="W549" s="547">
        <f ca="1">IF($Y549&gt;0,CHOOSE(MATCH(RegimeExecucao,{"Unitário","Global"},0),IF($A549="S",$Y549/$X549,""),($Y549/$X549)*100),0)</f>
        <v>0</v>
      </c>
      <c r="X549" s="384" t="str">
        <f ca="1">IF($Y549&gt;0,CHOOSE(MATCH(RegimeExecucao,{"Unitário","Global"},0),IF($A549="S",ROUND($H549,ORÇAMENTO!$AF$10),""),ROUND($I549,ORÇAMENTO!$AF$11)),"")</f>
        <v/>
      </c>
      <c r="Y549" s="384">
        <f t="shared" ca="1" si="50"/>
        <v>0</v>
      </c>
      <c r="Z549" s="572"/>
      <c r="AB549" s="382"/>
      <c r="AC549" s="516"/>
      <c r="AD549" s="516"/>
      <c r="AE549" s="516"/>
      <c r="AF549" s="516"/>
      <c r="AG549" s="516"/>
      <c r="AH549" s="516"/>
      <c r="AI549" s="516"/>
      <c r="AJ549" s="516"/>
      <c r="AK549" s="516"/>
      <c r="AL549" s="516"/>
      <c r="AM549" s="383"/>
      <c r="AO549">
        <f ca="1">IF($A549="S",IF(BM!$I549=0,0,CHOOSE(MATCH(RegimeExecucao,{"Global","Unitário"},0),ROUND(ROUND(BM.MEDAcumulado,15-13*BM!$A$9)/100*BM!$I549,15-13*ORÇAMENTO!$AF$11),ROUND(ROUND(BM.MEDAcumulado,15-13*BM!$A$9)*ROUND(BM!$H549,15-13*ORÇAMENTO!$AF$10),15-13*ORÇAMENTO!$AF$11))),IF($A549=0,0,ROUND(SomaAgrupBM,15-13*ORÇAMENTO!$AF$11)))</f>
        <v>0</v>
      </c>
    </row>
    <row r="550" spans="1:41" ht="25.5" x14ac:dyDescent="0.2">
      <c r="A550" t="str">
        <f ca="1">ORÇAMENTO!C550</f>
        <v>S</v>
      </c>
      <c r="B550">
        <f ca="1">ORÇAMENTO!D550</f>
        <v>0</v>
      </c>
      <c r="C550" s="116" t="str">
        <f t="shared" ca="1" si="44"/>
        <v/>
      </c>
      <c r="D550" s="119" t="str">
        <f ca="1">ORÇAMENTO!O550</f>
        <v>-</v>
      </c>
      <c r="E550" s="172" t="str">
        <f t="shared" ca="1" si="51"/>
        <v>(abra o arquivo 'Referência 06-2024.xlsm)</v>
      </c>
      <c r="F550" s="173" t="str">
        <f ca="1">IF(RegimeExecucao="Global","",ORÇAMENTO.Unidade)</f>
        <v/>
      </c>
      <c r="G550" s="124" t="str">
        <f ca="1">IF(RegimeExecucao="Global","",ORÇAMENTO!T550)</f>
        <v/>
      </c>
      <c r="H550" s="124" t="str">
        <f ca="1">IF(RegimeExecucao="Global","",ORÇAMENTO!W550)</f>
        <v/>
      </c>
      <c r="I550" s="127">
        <f ca="1">ORÇAMENTO!X550</f>
        <v>0</v>
      </c>
      <c r="J550" s="378">
        <f ca="1">IF($A550="S",IF(CAIXA.Modo,BM.AFAnterior,BM.MEDAnterior),IF(AND(RegimeExecucao="Global",$I550&gt;0,COUNTIF($AB$13:$AM$13,BM.medicao-1)&gt;0),M550/$I550*100,0))</f>
        <v>0</v>
      </c>
      <c r="K550" s="124">
        <f t="shared" ca="1" si="46"/>
        <v>0</v>
      </c>
      <c r="L550" s="379">
        <f ca="1">IF($A550="S",IF(CAIXA.Modo,BM.AFAcumulado,BM.MEDAcumulado),IF(AND(RegimeExecucao="Global",$I550&gt;0,COUNTIF($AB$13:$AM$13,BM.medicao)&gt;0),O550/$I550*100,0))</f>
        <v>0</v>
      </c>
      <c r="M550" s="380">
        <f ca="1">IF($A550="S",VTOTALBM,IF($A550=0,0,ROUND(SomaAgrupBM,15-13*ORÇAMENTO!$AF$11)))</f>
        <v>0</v>
      </c>
      <c r="N550" s="381">
        <f t="shared" ca="1" si="47"/>
        <v>0</v>
      </c>
      <c r="O550" s="127">
        <f ca="1">IF($A550="S",VTOTALBM,IF($A550=0,0,ROUND(SomaAgrupBM,15-13*ORÇAMENTO!$AF$11)))</f>
        <v>0</v>
      </c>
      <c r="Q550" s="382"/>
      <c r="R550" s="383"/>
      <c r="T550" s="119" t="str">
        <f t="shared" ca="1" si="48"/>
        <v/>
      </c>
      <c r="U550" s="172" t="str">
        <f t="shared" ca="1" si="49"/>
        <v/>
      </c>
      <c r="V550" s="173" t="str">
        <f ca="1">IF(AND($W550&gt;0,RegimeExecucao="Unitário"),$F550,"")</f>
        <v/>
      </c>
      <c r="W550" s="547">
        <f ca="1">IF($Y550&gt;0,CHOOSE(MATCH(RegimeExecucao,{"Unitário","Global"},0),IF($A550="S",$Y550/$X550,""),($Y550/$X550)*100),0)</f>
        <v>0</v>
      </c>
      <c r="X550" s="384" t="str">
        <f ca="1">IF($Y550&gt;0,CHOOSE(MATCH(RegimeExecucao,{"Unitário","Global"},0),IF($A550="S",ROUND($H550,ORÇAMENTO!$AF$10),""),ROUND($I550,ORÇAMENTO!$AF$11)),"")</f>
        <v/>
      </c>
      <c r="Y550" s="384">
        <f t="shared" ca="1" si="50"/>
        <v>0</v>
      </c>
      <c r="Z550" s="572"/>
      <c r="AB550" s="382"/>
      <c r="AC550" s="516"/>
      <c r="AD550" s="516"/>
      <c r="AE550" s="516"/>
      <c r="AF550" s="516"/>
      <c r="AG550" s="516"/>
      <c r="AH550" s="516"/>
      <c r="AI550" s="516"/>
      <c r="AJ550" s="516"/>
      <c r="AK550" s="516"/>
      <c r="AL550" s="516"/>
      <c r="AM550" s="383"/>
      <c r="AO550">
        <f ca="1">IF($A550="S",IF(BM!$I550=0,0,CHOOSE(MATCH(RegimeExecucao,{"Global","Unitário"},0),ROUND(ROUND(BM.MEDAcumulado,15-13*BM!$A$9)/100*BM!$I550,15-13*ORÇAMENTO!$AF$11),ROUND(ROUND(BM.MEDAcumulado,15-13*BM!$A$9)*ROUND(BM!$H550,15-13*ORÇAMENTO!$AF$10),15-13*ORÇAMENTO!$AF$11))),IF($A550=0,0,ROUND(SomaAgrupBM,15-13*ORÇAMENTO!$AF$11)))</f>
        <v>0</v>
      </c>
    </row>
    <row r="551" spans="1:41" ht="25.5" x14ac:dyDescent="0.2">
      <c r="A551" t="str">
        <f ca="1">ORÇAMENTO!C551</f>
        <v>S</v>
      </c>
      <c r="B551">
        <f ca="1">ORÇAMENTO!D551</f>
        <v>0</v>
      </c>
      <c r="C551" s="116" t="str">
        <f t="shared" ca="1" si="44"/>
        <v/>
      </c>
      <c r="D551" s="119" t="str">
        <f ca="1">ORÇAMENTO!O551</f>
        <v>-</v>
      </c>
      <c r="E551" s="172" t="str">
        <f t="shared" ca="1" si="51"/>
        <v>(abra o arquivo 'Referência 06-2024.xlsm)</v>
      </c>
      <c r="F551" s="173" t="str">
        <f ca="1">IF(RegimeExecucao="Global","",ORÇAMENTO.Unidade)</f>
        <v/>
      </c>
      <c r="G551" s="124" t="str">
        <f ca="1">IF(RegimeExecucao="Global","",ORÇAMENTO!T551)</f>
        <v/>
      </c>
      <c r="H551" s="124" t="str">
        <f ca="1">IF(RegimeExecucao="Global","",ORÇAMENTO!W551)</f>
        <v/>
      </c>
      <c r="I551" s="127">
        <f ca="1">ORÇAMENTO!X551</f>
        <v>0</v>
      </c>
      <c r="J551" s="378">
        <f ca="1">IF($A551="S",IF(CAIXA.Modo,BM.AFAnterior,BM.MEDAnterior),IF(AND(RegimeExecucao="Global",$I551&gt;0,COUNTIF($AB$13:$AM$13,BM.medicao-1)&gt;0),M551/$I551*100,0))</f>
        <v>0</v>
      </c>
      <c r="K551" s="124">
        <f t="shared" ca="1" si="46"/>
        <v>0</v>
      </c>
      <c r="L551" s="379">
        <f ca="1">IF($A551="S",IF(CAIXA.Modo,BM.AFAcumulado,BM.MEDAcumulado),IF(AND(RegimeExecucao="Global",$I551&gt;0,COUNTIF($AB$13:$AM$13,BM.medicao)&gt;0),O551/$I551*100,0))</f>
        <v>0</v>
      </c>
      <c r="M551" s="380">
        <f ca="1">IF($A551="S",VTOTALBM,IF($A551=0,0,ROUND(SomaAgrupBM,15-13*ORÇAMENTO!$AF$11)))</f>
        <v>0</v>
      </c>
      <c r="N551" s="381">
        <f t="shared" ca="1" si="47"/>
        <v>0</v>
      </c>
      <c r="O551" s="127">
        <f ca="1">IF($A551="S",VTOTALBM,IF($A551=0,0,ROUND(SomaAgrupBM,15-13*ORÇAMENTO!$AF$11)))</f>
        <v>0</v>
      </c>
      <c r="Q551" s="382"/>
      <c r="R551" s="383"/>
      <c r="T551" s="119" t="str">
        <f t="shared" ca="1" si="48"/>
        <v/>
      </c>
      <c r="U551" s="172" t="str">
        <f t="shared" ca="1" si="49"/>
        <v/>
      </c>
      <c r="V551" s="173" t="str">
        <f ca="1">IF(AND($W551&gt;0,RegimeExecucao="Unitário"),$F551,"")</f>
        <v/>
      </c>
      <c r="W551" s="547">
        <f ca="1">IF($Y551&gt;0,CHOOSE(MATCH(RegimeExecucao,{"Unitário","Global"},0),IF($A551="S",$Y551/$X551,""),($Y551/$X551)*100),0)</f>
        <v>0</v>
      </c>
      <c r="X551" s="384" t="str">
        <f ca="1">IF($Y551&gt;0,CHOOSE(MATCH(RegimeExecucao,{"Unitário","Global"},0),IF($A551="S",ROUND($H551,ORÇAMENTO!$AF$10),""),ROUND($I551,ORÇAMENTO!$AF$11)),"")</f>
        <v/>
      </c>
      <c r="Y551" s="384">
        <f t="shared" ca="1" si="50"/>
        <v>0</v>
      </c>
      <c r="Z551" s="572"/>
      <c r="AB551" s="382"/>
      <c r="AC551" s="516"/>
      <c r="AD551" s="516"/>
      <c r="AE551" s="516"/>
      <c r="AF551" s="516"/>
      <c r="AG551" s="516"/>
      <c r="AH551" s="516"/>
      <c r="AI551" s="516"/>
      <c r="AJ551" s="516"/>
      <c r="AK551" s="516"/>
      <c r="AL551" s="516"/>
      <c r="AM551" s="383"/>
      <c r="AO551">
        <f ca="1">IF($A551="S",IF(BM!$I551=0,0,CHOOSE(MATCH(RegimeExecucao,{"Global","Unitário"},0),ROUND(ROUND(BM.MEDAcumulado,15-13*BM!$A$9)/100*BM!$I551,15-13*ORÇAMENTO!$AF$11),ROUND(ROUND(BM.MEDAcumulado,15-13*BM!$A$9)*ROUND(BM!$H551,15-13*ORÇAMENTO!$AF$10),15-13*ORÇAMENTO!$AF$11))),IF($A551=0,0,ROUND(SomaAgrupBM,15-13*ORÇAMENTO!$AF$11)))</f>
        <v>0</v>
      </c>
    </row>
    <row r="552" spans="1:41" ht="25.5" x14ac:dyDescent="0.2">
      <c r="A552" t="str">
        <f ca="1">ORÇAMENTO!C552</f>
        <v>S</v>
      </c>
      <c r="B552">
        <f ca="1">ORÇAMENTO!D552</f>
        <v>0</v>
      </c>
      <c r="C552" s="116" t="str">
        <f t="shared" ca="1" si="44"/>
        <v/>
      </c>
      <c r="D552" s="119" t="str">
        <f ca="1">ORÇAMENTO!O552</f>
        <v>-</v>
      </c>
      <c r="E552" s="172" t="str">
        <f t="shared" ca="1" si="51"/>
        <v>(abra o arquivo 'Referência 06-2024.xlsm)</v>
      </c>
      <c r="F552" s="173" t="str">
        <f ca="1">IF(RegimeExecucao="Global","",ORÇAMENTO.Unidade)</f>
        <v/>
      </c>
      <c r="G552" s="124" t="str">
        <f ca="1">IF(RegimeExecucao="Global","",ORÇAMENTO!T552)</f>
        <v/>
      </c>
      <c r="H552" s="124" t="str">
        <f ca="1">IF(RegimeExecucao="Global","",ORÇAMENTO!W552)</f>
        <v/>
      </c>
      <c r="I552" s="127">
        <f ca="1">ORÇAMENTO!X552</f>
        <v>0</v>
      </c>
      <c r="J552" s="378">
        <f ca="1">IF($A552="S",IF(CAIXA.Modo,BM.AFAnterior,BM.MEDAnterior),IF(AND(RegimeExecucao="Global",$I552&gt;0,COUNTIF($AB$13:$AM$13,BM.medicao-1)&gt;0),M552/$I552*100,0))</f>
        <v>0</v>
      </c>
      <c r="K552" s="124">
        <f t="shared" ca="1" si="46"/>
        <v>0</v>
      </c>
      <c r="L552" s="379">
        <f ca="1">IF($A552="S",IF(CAIXA.Modo,BM.AFAcumulado,BM.MEDAcumulado),IF(AND(RegimeExecucao="Global",$I552&gt;0,COUNTIF($AB$13:$AM$13,BM.medicao)&gt;0),O552/$I552*100,0))</f>
        <v>0</v>
      </c>
      <c r="M552" s="380">
        <f ca="1">IF($A552="S",VTOTALBM,IF($A552=0,0,ROUND(SomaAgrupBM,15-13*ORÇAMENTO!$AF$11)))</f>
        <v>0</v>
      </c>
      <c r="N552" s="381">
        <f t="shared" ca="1" si="47"/>
        <v>0</v>
      </c>
      <c r="O552" s="127">
        <f ca="1">IF($A552="S",VTOTALBM,IF($A552=0,0,ROUND(SomaAgrupBM,15-13*ORÇAMENTO!$AF$11)))</f>
        <v>0</v>
      </c>
      <c r="Q552" s="382"/>
      <c r="R552" s="383"/>
      <c r="T552" s="119" t="str">
        <f t="shared" ca="1" si="48"/>
        <v/>
      </c>
      <c r="U552" s="172" t="str">
        <f t="shared" ca="1" si="49"/>
        <v/>
      </c>
      <c r="V552" s="173" t="str">
        <f ca="1">IF(AND($W552&gt;0,RegimeExecucao="Unitário"),$F552,"")</f>
        <v/>
      </c>
      <c r="W552" s="547">
        <f ca="1">IF($Y552&gt;0,CHOOSE(MATCH(RegimeExecucao,{"Unitário","Global"},0),IF($A552="S",$Y552/$X552,""),($Y552/$X552)*100),0)</f>
        <v>0</v>
      </c>
      <c r="X552" s="384" t="str">
        <f ca="1">IF($Y552&gt;0,CHOOSE(MATCH(RegimeExecucao,{"Unitário","Global"},0),IF($A552="S",ROUND($H552,ORÇAMENTO!$AF$10),""),ROUND($I552,ORÇAMENTO!$AF$11)),"")</f>
        <v/>
      </c>
      <c r="Y552" s="384">
        <f t="shared" ca="1" si="50"/>
        <v>0</v>
      </c>
      <c r="Z552" s="572"/>
      <c r="AB552" s="382"/>
      <c r="AC552" s="516"/>
      <c r="AD552" s="516"/>
      <c r="AE552" s="516"/>
      <c r="AF552" s="516"/>
      <c r="AG552" s="516"/>
      <c r="AH552" s="516"/>
      <c r="AI552" s="516"/>
      <c r="AJ552" s="516"/>
      <c r="AK552" s="516"/>
      <c r="AL552" s="516"/>
      <c r="AM552" s="383"/>
      <c r="AO552">
        <f ca="1">IF($A552="S",IF(BM!$I552=0,0,CHOOSE(MATCH(RegimeExecucao,{"Global","Unitário"},0),ROUND(ROUND(BM.MEDAcumulado,15-13*BM!$A$9)/100*BM!$I552,15-13*ORÇAMENTO!$AF$11),ROUND(ROUND(BM.MEDAcumulado,15-13*BM!$A$9)*ROUND(BM!$H552,15-13*ORÇAMENTO!$AF$10),15-13*ORÇAMENTO!$AF$11))),IF($A552=0,0,ROUND(SomaAgrupBM,15-13*ORÇAMENTO!$AF$11)))</f>
        <v>0</v>
      </c>
    </row>
    <row r="553" spans="1:41" ht="25.5" x14ac:dyDescent="0.2">
      <c r="A553" t="str">
        <f ca="1">ORÇAMENTO!C553</f>
        <v>S</v>
      </c>
      <c r="B553">
        <f ca="1">ORÇAMENTO!D553</f>
        <v>0</v>
      </c>
      <c r="C553" s="116" t="str">
        <f t="shared" ca="1" si="44"/>
        <v/>
      </c>
      <c r="D553" s="119" t="str">
        <f ca="1">ORÇAMENTO!O553</f>
        <v>-</v>
      </c>
      <c r="E553" s="172" t="str">
        <f t="shared" ca="1" si="51"/>
        <v>(abra o arquivo 'Referência 06-2024.xlsm)</v>
      </c>
      <c r="F553" s="173" t="str">
        <f ca="1">IF(RegimeExecucao="Global","",ORÇAMENTO.Unidade)</f>
        <v/>
      </c>
      <c r="G553" s="124" t="str">
        <f ca="1">IF(RegimeExecucao="Global","",ORÇAMENTO!T553)</f>
        <v/>
      </c>
      <c r="H553" s="124" t="str">
        <f ca="1">IF(RegimeExecucao="Global","",ORÇAMENTO!W553)</f>
        <v/>
      </c>
      <c r="I553" s="127">
        <f ca="1">ORÇAMENTO!X553</f>
        <v>0</v>
      </c>
      <c r="J553" s="378">
        <f ca="1">IF($A553="S",IF(CAIXA.Modo,BM.AFAnterior,BM.MEDAnterior),IF(AND(RegimeExecucao="Global",$I553&gt;0,COUNTIF($AB$13:$AM$13,BM.medicao-1)&gt;0),M553/$I553*100,0))</f>
        <v>0</v>
      </c>
      <c r="K553" s="124">
        <f t="shared" ca="1" si="46"/>
        <v>0</v>
      </c>
      <c r="L553" s="379">
        <f ca="1">IF($A553="S",IF(CAIXA.Modo,BM.AFAcumulado,BM.MEDAcumulado),IF(AND(RegimeExecucao="Global",$I553&gt;0,COUNTIF($AB$13:$AM$13,BM.medicao)&gt;0),O553/$I553*100,0))</f>
        <v>0</v>
      </c>
      <c r="M553" s="380">
        <f ca="1">IF($A553="S",VTOTALBM,IF($A553=0,0,ROUND(SomaAgrupBM,15-13*ORÇAMENTO!$AF$11)))</f>
        <v>0</v>
      </c>
      <c r="N553" s="381">
        <f t="shared" ca="1" si="47"/>
        <v>0</v>
      </c>
      <c r="O553" s="127">
        <f ca="1">IF($A553="S",VTOTALBM,IF($A553=0,0,ROUND(SomaAgrupBM,15-13*ORÇAMENTO!$AF$11)))</f>
        <v>0</v>
      </c>
      <c r="Q553" s="382"/>
      <c r="R553" s="383"/>
      <c r="T553" s="119" t="str">
        <f t="shared" ca="1" si="48"/>
        <v/>
      </c>
      <c r="U553" s="172" t="str">
        <f t="shared" ca="1" si="49"/>
        <v/>
      </c>
      <c r="V553" s="173" t="str">
        <f ca="1">IF(AND($W553&gt;0,RegimeExecucao="Unitário"),$F553,"")</f>
        <v/>
      </c>
      <c r="W553" s="547">
        <f ca="1">IF($Y553&gt;0,CHOOSE(MATCH(RegimeExecucao,{"Unitário","Global"},0),IF($A553="S",$Y553/$X553,""),($Y553/$X553)*100),0)</f>
        <v>0</v>
      </c>
      <c r="X553" s="384" t="str">
        <f ca="1">IF($Y553&gt;0,CHOOSE(MATCH(RegimeExecucao,{"Unitário","Global"},0),IF($A553="S",ROUND($H553,ORÇAMENTO!$AF$10),""),ROUND($I553,ORÇAMENTO!$AF$11)),"")</f>
        <v/>
      </c>
      <c r="Y553" s="384">
        <f t="shared" ca="1" si="50"/>
        <v>0</v>
      </c>
      <c r="Z553" s="572"/>
      <c r="AB553" s="382"/>
      <c r="AC553" s="516"/>
      <c r="AD553" s="516"/>
      <c r="AE553" s="516"/>
      <c r="AF553" s="516"/>
      <c r="AG553" s="516"/>
      <c r="AH553" s="516"/>
      <c r="AI553" s="516"/>
      <c r="AJ553" s="516"/>
      <c r="AK553" s="516"/>
      <c r="AL553" s="516"/>
      <c r="AM553" s="383"/>
      <c r="AO553">
        <f ca="1">IF($A553="S",IF(BM!$I553=0,0,CHOOSE(MATCH(RegimeExecucao,{"Global","Unitário"},0),ROUND(ROUND(BM.MEDAcumulado,15-13*BM!$A$9)/100*BM!$I553,15-13*ORÇAMENTO!$AF$11),ROUND(ROUND(BM.MEDAcumulado,15-13*BM!$A$9)*ROUND(BM!$H553,15-13*ORÇAMENTO!$AF$10),15-13*ORÇAMENTO!$AF$11))),IF($A553=0,0,ROUND(SomaAgrupBM,15-13*ORÇAMENTO!$AF$11)))</f>
        <v>0</v>
      </c>
    </row>
    <row r="554" spans="1:41" ht="25.5" x14ac:dyDescent="0.2">
      <c r="A554" t="str">
        <f ca="1">ORÇAMENTO!C554</f>
        <v>S</v>
      </c>
      <c r="B554">
        <f ca="1">ORÇAMENTO!D554</f>
        <v>0</v>
      </c>
      <c r="C554" s="116" t="str">
        <f t="shared" ca="1" si="44"/>
        <v/>
      </c>
      <c r="D554" s="119" t="str">
        <f ca="1">ORÇAMENTO!O554</f>
        <v>-</v>
      </c>
      <c r="E554" s="172" t="str">
        <f t="shared" ca="1" si="51"/>
        <v>(abra o arquivo 'Referência 06-2024.xlsm)</v>
      </c>
      <c r="F554" s="173" t="str">
        <f ca="1">IF(RegimeExecucao="Global","",ORÇAMENTO.Unidade)</f>
        <v/>
      </c>
      <c r="G554" s="124" t="str">
        <f ca="1">IF(RegimeExecucao="Global","",ORÇAMENTO!T554)</f>
        <v/>
      </c>
      <c r="H554" s="124" t="str">
        <f ca="1">IF(RegimeExecucao="Global","",ORÇAMENTO!W554)</f>
        <v/>
      </c>
      <c r="I554" s="127">
        <f ca="1">ORÇAMENTO!X554</f>
        <v>0</v>
      </c>
      <c r="J554" s="378">
        <f ca="1">IF($A554="S",IF(CAIXA.Modo,BM.AFAnterior,BM.MEDAnterior),IF(AND(RegimeExecucao="Global",$I554&gt;0,COUNTIF($AB$13:$AM$13,BM.medicao-1)&gt;0),M554/$I554*100,0))</f>
        <v>0</v>
      </c>
      <c r="K554" s="124">
        <f t="shared" ca="1" si="46"/>
        <v>0</v>
      </c>
      <c r="L554" s="379">
        <f ca="1">IF($A554="S",IF(CAIXA.Modo,BM.AFAcumulado,BM.MEDAcumulado),IF(AND(RegimeExecucao="Global",$I554&gt;0,COUNTIF($AB$13:$AM$13,BM.medicao)&gt;0),O554/$I554*100,0))</f>
        <v>0</v>
      </c>
      <c r="M554" s="380">
        <f ca="1">IF($A554="S",VTOTALBM,IF($A554=0,0,ROUND(SomaAgrupBM,15-13*ORÇAMENTO!$AF$11)))</f>
        <v>0</v>
      </c>
      <c r="N554" s="381">
        <f t="shared" ca="1" si="47"/>
        <v>0</v>
      </c>
      <c r="O554" s="127">
        <f ca="1">IF($A554="S",VTOTALBM,IF($A554=0,0,ROUND(SomaAgrupBM,15-13*ORÇAMENTO!$AF$11)))</f>
        <v>0</v>
      </c>
      <c r="Q554" s="382"/>
      <c r="R554" s="383"/>
      <c r="T554" s="119" t="str">
        <f t="shared" ca="1" si="48"/>
        <v/>
      </c>
      <c r="U554" s="172" t="str">
        <f t="shared" ca="1" si="49"/>
        <v/>
      </c>
      <c r="V554" s="173" t="str">
        <f ca="1">IF(AND($W554&gt;0,RegimeExecucao="Unitário"),$F554,"")</f>
        <v/>
      </c>
      <c r="W554" s="547">
        <f ca="1">IF($Y554&gt;0,CHOOSE(MATCH(RegimeExecucao,{"Unitário","Global"},0),IF($A554="S",$Y554/$X554,""),($Y554/$X554)*100),0)</f>
        <v>0</v>
      </c>
      <c r="X554" s="384" t="str">
        <f ca="1">IF($Y554&gt;0,CHOOSE(MATCH(RegimeExecucao,{"Unitário","Global"},0),IF($A554="S",ROUND($H554,ORÇAMENTO!$AF$10),""),ROUND($I554,ORÇAMENTO!$AF$11)),"")</f>
        <v/>
      </c>
      <c r="Y554" s="384">
        <f t="shared" ca="1" si="50"/>
        <v>0</v>
      </c>
      <c r="Z554" s="572"/>
      <c r="AB554" s="382"/>
      <c r="AC554" s="516"/>
      <c r="AD554" s="516"/>
      <c r="AE554" s="516"/>
      <c r="AF554" s="516"/>
      <c r="AG554" s="516"/>
      <c r="AH554" s="516"/>
      <c r="AI554" s="516"/>
      <c r="AJ554" s="516"/>
      <c r="AK554" s="516"/>
      <c r="AL554" s="516"/>
      <c r="AM554" s="383"/>
      <c r="AO554">
        <f ca="1">IF($A554="S",IF(BM!$I554=0,0,CHOOSE(MATCH(RegimeExecucao,{"Global","Unitário"},0),ROUND(ROUND(BM.MEDAcumulado,15-13*BM!$A$9)/100*BM!$I554,15-13*ORÇAMENTO!$AF$11),ROUND(ROUND(BM.MEDAcumulado,15-13*BM!$A$9)*ROUND(BM!$H554,15-13*ORÇAMENTO!$AF$10),15-13*ORÇAMENTO!$AF$11))),IF($A554=0,0,ROUND(SomaAgrupBM,15-13*ORÇAMENTO!$AF$11)))</f>
        <v>0</v>
      </c>
    </row>
    <row r="555" spans="1:41" ht="25.5" x14ac:dyDescent="0.2">
      <c r="A555" t="str">
        <f ca="1">ORÇAMENTO!C555</f>
        <v>S</v>
      </c>
      <c r="B555">
        <f ca="1">ORÇAMENTO!D555</f>
        <v>0</v>
      </c>
      <c r="C555" s="116" t="str">
        <f t="shared" ca="1" si="44"/>
        <v/>
      </c>
      <c r="D555" s="119" t="str">
        <f ca="1">ORÇAMENTO!O555</f>
        <v>-</v>
      </c>
      <c r="E555" s="172" t="str">
        <f t="shared" ca="1" si="51"/>
        <v>(abra o arquivo 'Referência 06-2024.xlsm)</v>
      </c>
      <c r="F555" s="173" t="str">
        <f ca="1">IF(RegimeExecucao="Global","",ORÇAMENTO.Unidade)</f>
        <v/>
      </c>
      <c r="G555" s="124" t="str">
        <f ca="1">IF(RegimeExecucao="Global","",ORÇAMENTO!T555)</f>
        <v/>
      </c>
      <c r="H555" s="124" t="str">
        <f ca="1">IF(RegimeExecucao="Global","",ORÇAMENTO!W555)</f>
        <v/>
      </c>
      <c r="I555" s="127">
        <f ca="1">ORÇAMENTO!X555</f>
        <v>0</v>
      </c>
      <c r="J555" s="378">
        <f ca="1">IF($A555="S",IF(CAIXA.Modo,BM.AFAnterior,BM.MEDAnterior),IF(AND(RegimeExecucao="Global",$I555&gt;0,COUNTIF($AB$13:$AM$13,BM.medicao-1)&gt;0),M555/$I555*100,0))</f>
        <v>0</v>
      </c>
      <c r="K555" s="124">
        <f t="shared" ca="1" si="46"/>
        <v>0</v>
      </c>
      <c r="L555" s="379">
        <f ca="1">IF($A555="S",IF(CAIXA.Modo,BM.AFAcumulado,BM.MEDAcumulado),IF(AND(RegimeExecucao="Global",$I555&gt;0,COUNTIF($AB$13:$AM$13,BM.medicao)&gt;0),O555/$I555*100,0))</f>
        <v>0</v>
      </c>
      <c r="M555" s="380">
        <f ca="1">IF($A555="S",VTOTALBM,IF($A555=0,0,ROUND(SomaAgrupBM,15-13*ORÇAMENTO!$AF$11)))</f>
        <v>0</v>
      </c>
      <c r="N555" s="381">
        <f t="shared" ca="1" si="47"/>
        <v>0</v>
      </c>
      <c r="O555" s="127">
        <f ca="1">IF($A555="S",VTOTALBM,IF($A555=0,0,ROUND(SomaAgrupBM,15-13*ORÇAMENTO!$AF$11)))</f>
        <v>0</v>
      </c>
      <c r="Q555" s="382"/>
      <c r="R555" s="383"/>
      <c r="T555" s="119" t="str">
        <f t="shared" ca="1" si="48"/>
        <v/>
      </c>
      <c r="U555" s="172" t="str">
        <f t="shared" ca="1" si="49"/>
        <v/>
      </c>
      <c r="V555" s="173" t="str">
        <f ca="1">IF(AND($W555&gt;0,RegimeExecucao="Unitário"),$F555,"")</f>
        <v/>
      </c>
      <c r="W555" s="547">
        <f ca="1">IF($Y555&gt;0,CHOOSE(MATCH(RegimeExecucao,{"Unitário","Global"},0),IF($A555="S",$Y555/$X555,""),($Y555/$X555)*100),0)</f>
        <v>0</v>
      </c>
      <c r="X555" s="384" t="str">
        <f ca="1">IF($Y555&gt;0,CHOOSE(MATCH(RegimeExecucao,{"Unitário","Global"},0),IF($A555="S",ROUND($H555,ORÇAMENTO!$AF$10),""),ROUND($I555,ORÇAMENTO!$AF$11)),"")</f>
        <v/>
      </c>
      <c r="Y555" s="384">
        <f t="shared" ca="1" si="50"/>
        <v>0</v>
      </c>
      <c r="Z555" s="572"/>
      <c r="AB555" s="382"/>
      <c r="AC555" s="516"/>
      <c r="AD555" s="516"/>
      <c r="AE555" s="516"/>
      <c r="AF555" s="516"/>
      <c r="AG555" s="516"/>
      <c r="AH555" s="516"/>
      <c r="AI555" s="516"/>
      <c r="AJ555" s="516"/>
      <c r="AK555" s="516"/>
      <c r="AL555" s="516"/>
      <c r="AM555" s="383"/>
      <c r="AO555">
        <f ca="1">IF($A555="S",IF(BM!$I555=0,0,CHOOSE(MATCH(RegimeExecucao,{"Global","Unitário"},0),ROUND(ROUND(BM.MEDAcumulado,15-13*BM!$A$9)/100*BM!$I555,15-13*ORÇAMENTO!$AF$11),ROUND(ROUND(BM.MEDAcumulado,15-13*BM!$A$9)*ROUND(BM!$H555,15-13*ORÇAMENTO!$AF$10),15-13*ORÇAMENTO!$AF$11))),IF($A555=0,0,ROUND(SomaAgrupBM,15-13*ORÇAMENTO!$AF$11)))</f>
        <v>0</v>
      </c>
    </row>
    <row r="556" spans="1:41" ht="25.5" x14ac:dyDescent="0.2">
      <c r="A556" t="str">
        <f ca="1">ORÇAMENTO!C556</f>
        <v>S</v>
      </c>
      <c r="B556">
        <f ca="1">ORÇAMENTO!D556</f>
        <v>0</v>
      </c>
      <c r="C556" s="116" t="str">
        <f t="shared" ca="1" si="44"/>
        <v/>
      </c>
      <c r="D556" s="119" t="str">
        <f ca="1">ORÇAMENTO!O556</f>
        <v>-</v>
      </c>
      <c r="E556" s="172" t="str">
        <f t="shared" ca="1" si="51"/>
        <v>(abra o arquivo 'Referência 06-2024.xlsm)</v>
      </c>
      <c r="F556" s="173" t="str">
        <f ca="1">IF(RegimeExecucao="Global","",ORÇAMENTO.Unidade)</f>
        <v/>
      </c>
      <c r="G556" s="124" t="str">
        <f ca="1">IF(RegimeExecucao="Global","",ORÇAMENTO!T556)</f>
        <v/>
      </c>
      <c r="H556" s="124" t="str">
        <f ca="1">IF(RegimeExecucao="Global","",ORÇAMENTO!W556)</f>
        <v/>
      </c>
      <c r="I556" s="127">
        <f ca="1">ORÇAMENTO!X556</f>
        <v>0</v>
      </c>
      <c r="J556" s="378">
        <f ca="1">IF($A556="S",IF(CAIXA.Modo,BM.AFAnterior,BM.MEDAnterior),IF(AND(RegimeExecucao="Global",$I556&gt;0,COUNTIF($AB$13:$AM$13,BM.medicao-1)&gt;0),M556/$I556*100,0))</f>
        <v>0</v>
      </c>
      <c r="K556" s="124">
        <f t="shared" ca="1" si="46"/>
        <v>0</v>
      </c>
      <c r="L556" s="379">
        <f ca="1">IF($A556="S",IF(CAIXA.Modo,BM.AFAcumulado,BM.MEDAcumulado),IF(AND(RegimeExecucao="Global",$I556&gt;0,COUNTIF($AB$13:$AM$13,BM.medicao)&gt;0),O556/$I556*100,0))</f>
        <v>0</v>
      </c>
      <c r="M556" s="380">
        <f ca="1">IF($A556="S",VTOTALBM,IF($A556=0,0,ROUND(SomaAgrupBM,15-13*ORÇAMENTO!$AF$11)))</f>
        <v>0</v>
      </c>
      <c r="N556" s="381">
        <f t="shared" ca="1" si="47"/>
        <v>0</v>
      </c>
      <c r="O556" s="127">
        <f ca="1">IF($A556="S",VTOTALBM,IF($A556=0,0,ROUND(SomaAgrupBM,15-13*ORÇAMENTO!$AF$11)))</f>
        <v>0</v>
      </c>
      <c r="Q556" s="382"/>
      <c r="R556" s="383"/>
      <c r="T556" s="119" t="str">
        <f t="shared" ca="1" si="48"/>
        <v/>
      </c>
      <c r="U556" s="172" t="str">
        <f t="shared" ca="1" si="49"/>
        <v/>
      </c>
      <c r="V556" s="173" t="str">
        <f ca="1">IF(AND($W556&gt;0,RegimeExecucao="Unitário"),$F556,"")</f>
        <v/>
      </c>
      <c r="W556" s="547">
        <f ca="1">IF($Y556&gt;0,CHOOSE(MATCH(RegimeExecucao,{"Unitário","Global"},0),IF($A556="S",$Y556/$X556,""),($Y556/$X556)*100),0)</f>
        <v>0</v>
      </c>
      <c r="X556" s="384" t="str">
        <f ca="1">IF($Y556&gt;0,CHOOSE(MATCH(RegimeExecucao,{"Unitário","Global"},0),IF($A556="S",ROUND($H556,ORÇAMENTO!$AF$10),""),ROUND($I556,ORÇAMENTO!$AF$11)),"")</f>
        <v/>
      </c>
      <c r="Y556" s="384">
        <f t="shared" ca="1" si="50"/>
        <v>0</v>
      </c>
      <c r="Z556" s="572"/>
      <c r="AB556" s="382"/>
      <c r="AC556" s="516"/>
      <c r="AD556" s="516"/>
      <c r="AE556" s="516"/>
      <c r="AF556" s="516"/>
      <c r="AG556" s="516"/>
      <c r="AH556" s="516"/>
      <c r="AI556" s="516"/>
      <c r="AJ556" s="516"/>
      <c r="AK556" s="516"/>
      <c r="AL556" s="516"/>
      <c r="AM556" s="383"/>
      <c r="AO556">
        <f ca="1">IF($A556="S",IF(BM!$I556=0,0,CHOOSE(MATCH(RegimeExecucao,{"Global","Unitário"},0),ROUND(ROUND(BM.MEDAcumulado,15-13*BM!$A$9)/100*BM!$I556,15-13*ORÇAMENTO!$AF$11),ROUND(ROUND(BM.MEDAcumulado,15-13*BM!$A$9)*ROUND(BM!$H556,15-13*ORÇAMENTO!$AF$10),15-13*ORÇAMENTO!$AF$11))),IF($A556=0,0,ROUND(SomaAgrupBM,15-13*ORÇAMENTO!$AF$11)))</f>
        <v>0</v>
      </c>
    </row>
    <row r="557" spans="1:41" ht="25.5" x14ac:dyDescent="0.2">
      <c r="A557" t="str">
        <f ca="1">ORÇAMENTO!C557</f>
        <v>S</v>
      </c>
      <c r="B557">
        <f ca="1">ORÇAMENTO!D557</f>
        <v>0</v>
      </c>
      <c r="C557" s="116" t="str">
        <f t="shared" ca="1" si="44"/>
        <v/>
      </c>
      <c r="D557" s="119" t="str">
        <f ca="1">ORÇAMENTO!O557</f>
        <v>-</v>
      </c>
      <c r="E557" s="172" t="str">
        <f t="shared" ca="1" si="51"/>
        <v>(abra o arquivo 'Referência 06-2024.xlsm)</v>
      </c>
      <c r="F557" s="173" t="str">
        <f ca="1">IF(RegimeExecucao="Global","",ORÇAMENTO.Unidade)</f>
        <v/>
      </c>
      <c r="G557" s="124" t="str">
        <f ca="1">IF(RegimeExecucao="Global","",ORÇAMENTO!T557)</f>
        <v/>
      </c>
      <c r="H557" s="124" t="str">
        <f ca="1">IF(RegimeExecucao="Global","",ORÇAMENTO!W557)</f>
        <v/>
      </c>
      <c r="I557" s="127">
        <f ca="1">ORÇAMENTO!X557</f>
        <v>0</v>
      </c>
      <c r="J557" s="378">
        <f ca="1">IF($A557="S",IF(CAIXA.Modo,BM.AFAnterior,BM.MEDAnterior),IF(AND(RegimeExecucao="Global",$I557&gt;0,COUNTIF($AB$13:$AM$13,BM.medicao-1)&gt;0),M557/$I557*100,0))</f>
        <v>0</v>
      </c>
      <c r="K557" s="124">
        <f t="shared" ca="1" si="46"/>
        <v>0</v>
      </c>
      <c r="L557" s="379">
        <f ca="1">IF($A557="S",IF(CAIXA.Modo,BM.AFAcumulado,BM.MEDAcumulado),IF(AND(RegimeExecucao="Global",$I557&gt;0,COUNTIF($AB$13:$AM$13,BM.medicao)&gt;0),O557/$I557*100,0))</f>
        <v>0</v>
      </c>
      <c r="M557" s="380">
        <f ca="1">IF($A557="S",VTOTALBM,IF($A557=0,0,ROUND(SomaAgrupBM,15-13*ORÇAMENTO!$AF$11)))</f>
        <v>0</v>
      </c>
      <c r="N557" s="381">
        <f t="shared" ca="1" si="47"/>
        <v>0</v>
      </c>
      <c r="O557" s="127">
        <f ca="1">IF($A557="S",VTOTALBM,IF($A557=0,0,ROUND(SomaAgrupBM,15-13*ORÇAMENTO!$AF$11)))</f>
        <v>0</v>
      </c>
      <c r="Q557" s="382"/>
      <c r="R557" s="383"/>
      <c r="T557" s="119" t="str">
        <f t="shared" ca="1" si="48"/>
        <v/>
      </c>
      <c r="U557" s="172" t="str">
        <f t="shared" ca="1" si="49"/>
        <v/>
      </c>
      <c r="V557" s="173" t="str">
        <f ca="1">IF(AND($W557&gt;0,RegimeExecucao="Unitário"),$F557,"")</f>
        <v/>
      </c>
      <c r="W557" s="547">
        <f ca="1">IF($Y557&gt;0,CHOOSE(MATCH(RegimeExecucao,{"Unitário","Global"},0),IF($A557="S",$Y557/$X557,""),($Y557/$X557)*100),0)</f>
        <v>0</v>
      </c>
      <c r="X557" s="384" t="str">
        <f ca="1">IF($Y557&gt;0,CHOOSE(MATCH(RegimeExecucao,{"Unitário","Global"},0),IF($A557="S",ROUND($H557,ORÇAMENTO!$AF$10),""),ROUND($I557,ORÇAMENTO!$AF$11)),"")</f>
        <v/>
      </c>
      <c r="Y557" s="384">
        <f t="shared" ca="1" si="50"/>
        <v>0</v>
      </c>
      <c r="Z557" s="572"/>
      <c r="AB557" s="382"/>
      <c r="AC557" s="516"/>
      <c r="AD557" s="516"/>
      <c r="AE557" s="516"/>
      <c r="AF557" s="516"/>
      <c r="AG557" s="516"/>
      <c r="AH557" s="516"/>
      <c r="AI557" s="516"/>
      <c r="AJ557" s="516"/>
      <c r="AK557" s="516"/>
      <c r="AL557" s="516"/>
      <c r="AM557" s="383"/>
      <c r="AO557">
        <f ca="1">IF($A557="S",IF(BM!$I557=0,0,CHOOSE(MATCH(RegimeExecucao,{"Global","Unitário"},0),ROUND(ROUND(BM.MEDAcumulado,15-13*BM!$A$9)/100*BM!$I557,15-13*ORÇAMENTO!$AF$11),ROUND(ROUND(BM.MEDAcumulado,15-13*BM!$A$9)*ROUND(BM!$H557,15-13*ORÇAMENTO!$AF$10),15-13*ORÇAMENTO!$AF$11))),IF($A557=0,0,ROUND(SomaAgrupBM,15-13*ORÇAMENTO!$AF$11)))</f>
        <v>0</v>
      </c>
    </row>
    <row r="558" spans="1:41" ht="25.5" x14ac:dyDescent="0.2">
      <c r="A558" t="str">
        <f ca="1">ORÇAMENTO!C558</f>
        <v>S</v>
      </c>
      <c r="B558">
        <f ca="1">ORÇAMENTO!D558</f>
        <v>0</v>
      </c>
      <c r="C558" s="116" t="str">
        <f t="shared" ca="1" si="44"/>
        <v/>
      </c>
      <c r="D558" s="119" t="str">
        <f ca="1">ORÇAMENTO!O558</f>
        <v>-</v>
      </c>
      <c r="E558" s="172" t="str">
        <f t="shared" ca="1" si="51"/>
        <v>(abra o arquivo 'Referência 06-2024.xlsm)</v>
      </c>
      <c r="F558" s="173" t="str">
        <f ca="1">IF(RegimeExecucao="Global","",ORÇAMENTO.Unidade)</f>
        <v/>
      </c>
      <c r="G558" s="124" t="str">
        <f ca="1">IF(RegimeExecucao="Global","",ORÇAMENTO!T558)</f>
        <v/>
      </c>
      <c r="H558" s="124" t="str">
        <f ca="1">IF(RegimeExecucao="Global","",ORÇAMENTO!W558)</f>
        <v/>
      </c>
      <c r="I558" s="127">
        <f ca="1">ORÇAMENTO!X558</f>
        <v>0</v>
      </c>
      <c r="J558" s="378">
        <f ca="1">IF($A558="S",IF(CAIXA.Modo,BM.AFAnterior,BM.MEDAnterior),IF(AND(RegimeExecucao="Global",$I558&gt;0,COUNTIF($AB$13:$AM$13,BM.medicao-1)&gt;0),M558/$I558*100,0))</f>
        <v>0</v>
      </c>
      <c r="K558" s="124">
        <f t="shared" ca="1" si="46"/>
        <v>0</v>
      </c>
      <c r="L558" s="379">
        <f ca="1">IF($A558="S",IF(CAIXA.Modo,BM.AFAcumulado,BM.MEDAcumulado),IF(AND(RegimeExecucao="Global",$I558&gt;0,COUNTIF($AB$13:$AM$13,BM.medicao)&gt;0),O558/$I558*100,0))</f>
        <v>0</v>
      </c>
      <c r="M558" s="380">
        <f ca="1">IF($A558="S",VTOTALBM,IF($A558=0,0,ROUND(SomaAgrupBM,15-13*ORÇAMENTO!$AF$11)))</f>
        <v>0</v>
      </c>
      <c r="N558" s="381">
        <f t="shared" ca="1" si="47"/>
        <v>0</v>
      </c>
      <c r="O558" s="127">
        <f ca="1">IF($A558="S",VTOTALBM,IF($A558=0,0,ROUND(SomaAgrupBM,15-13*ORÇAMENTO!$AF$11)))</f>
        <v>0</v>
      </c>
      <c r="Q558" s="382"/>
      <c r="R558" s="383"/>
      <c r="T558" s="119" t="str">
        <f t="shared" ca="1" si="48"/>
        <v/>
      </c>
      <c r="U558" s="172" t="str">
        <f t="shared" ca="1" si="49"/>
        <v/>
      </c>
      <c r="V558" s="173" t="str">
        <f ca="1">IF(AND($W558&gt;0,RegimeExecucao="Unitário"),$F558,"")</f>
        <v/>
      </c>
      <c r="W558" s="547">
        <f ca="1">IF($Y558&gt;0,CHOOSE(MATCH(RegimeExecucao,{"Unitário","Global"},0),IF($A558="S",$Y558/$X558,""),($Y558/$X558)*100),0)</f>
        <v>0</v>
      </c>
      <c r="X558" s="384" t="str">
        <f ca="1">IF($Y558&gt;0,CHOOSE(MATCH(RegimeExecucao,{"Unitário","Global"},0),IF($A558="S",ROUND($H558,ORÇAMENTO!$AF$10),""),ROUND($I558,ORÇAMENTO!$AF$11)),"")</f>
        <v/>
      </c>
      <c r="Y558" s="384">
        <f t="shared" ca="1" si="50"/>
        <v>0</v>
      </c>
      <c r="Z558" s="572"/>
      <c r="AB558" s="382"/>
      <c r="AC558" s="516"/>
      <c r="AD558" s="516"/>
      <c r="AE558" s="516"/>
      <c r="AF558" s="516"/>
      <c r="AG558" s="516"/>
      <c r="AH558" s="516"/>
      <c r="AI558" s="516"/>
      <c r="AJ558" s="516"/>
      <c r="AK558" s="516"/>
      <c r="AL558" s="516"/>
      <c r="AM558" s="383"/>
      <c r="AO558">
        <f ca="1">IF($A558="S",IF(BM!$I558=0,0,CHOOSE(MATCH(RegimeExecucao,{"Global","Unitário"},0),ROUND(ROUND(BM.MEDAcumulado,15-13*BM!$A$9)/100*BM!$I558,15-13*ORÇAMENTO!$AF$11),ROUND(ROUND(BM.MEDAcumulado,15-13*BM!$A$9)*ROUND(BM!$H558,15-13*ORÇAMENTO!$AF$10),15-13*ORÇAMENTO!$AF$11))),IF($A558=0,0,ROUND(SomaAgrupBM,15-13*ORÇAMENTO!$AF$11)))</f>
        <v>0</v>
      </c>
    </row>
    <row r="559" spans="1:41" x14ac:dyDescent="0.2">
      <c r="A559" t="str">
        <f ca="1">ORÇAMENTO!C559</f>
        <v>S</v>
      </c>
      <c r="B559">
        <f ca="1">ORÇAMENTO!D559</f>
        <v>0</v>
      </c>
      <c r="C559" s="116" t="str">
        <f t="shared" ca="1" si="44"/>
        <v/>
      </c>
      <c r="D559" s="119" t="str">
        <f ca="1">ORÇAMENTO!O559</f>
        <v>-</v>
      </c>
      <c r="E559" s="172" t="str">
        <f t="shared" ca="1" si="51"/>
        <v>(abra o arquivo 'Referência 06-2024.xlsm)</v>
      </c>
      <c r="F559" s="173" t="str">
        <f ca="1">IF(RegimeExecucao="Global","",ORÇAMENTO.Unidade)</f>
        <v/>
      </c>
      <c r="G559" s="124" t="str">
        <f ca="1">IF(RegimeExecucao="Global","",ORÇAMENTO!T559)</f>
        <v/>
      </c>
      <c r="H559" s="124" t="str">
        <f ca="1">IF(RegimeExecucao="Global","",ORÇAMENTO!W559)</f>
        <v/>
      </c>
      <c r="I559" s="127">
        <f ca="1">ORÇAMENTO!X559</f>
        <v>0</v>
      </c>
      <c r="J559" s="378">
        <f ca="1">IF($A559="S",IF(CAIXA.Modo,BM.AFAnterior,BM.MEDAnterior),IF(AND(RegimeExecucao="Global",$I559&gt;0,COUNTIF($AB$13:$AM$13,BM.medicao-1)&gt;0),M559/$I559*100,0))</f>
        <v>0</v>
      </c>
      <c r="K559" s="124">
        <f t="shared" ca="1" si="46"/>
        <v>0</v>
      </c>
      <c r="L559" s="379">
        <f ca="1">IF($A559="S",IF(CAIXA.Modo,BM.AFAcumulado,BM.MEDAcumulado),IF(AND(RegimeExecucao="Global",$I559&gt;0,COUNTIF($AB$13:$AM$13,BM.medicao)&gt;0),O559/$I559*100,0))</f>
        <v>0</v>
      </c>
      <c r="M559" s="380">
        <f ca="1">IF($A559="S",VTOTALBM,IF($A559=0,0,ROUND(SomaAgrupBM,15-13*ORÇAMENTO!$AF$11)))</f>
        <v>0</v>
      </c>
      <c r="N559" s="381">
        <f t="shared" ca="1" si="47"/>
        <v>0</v>
      </c>
      <c r="O559" s="127">
        <f ca="1">IF($A559="S",VTOTALBM,IF($A559=0,0,ROUND(SomaAgrupBM,15-13*ORÇAMENTO!$AF$11)))</f>
        <v>0</v>
      </c>
      <c r="Q559" s="382"/>
      <c r="R559" s="383"/>
      <c r="T559" s="119" t="str">
        <f t="shared" ca="1" si="48"/>
        <v/>
      </c>
      <c r="U559" s="172" t="str">
        <f t="shared" ca="1" si="49"/>
        <v/>
      </c>
      <c r="V559" s="173" t="str">
        <f ca="1">IF(AND($W559&gt;0,RegimeExecucao="Unitário"),$F559,"")</f>
        <v/>
      </c>
      <c r="W559" s="547">
        <f ca="1">IF($Y559&gt;0,CHOOSE(MATCH(RegimeExecucao,{"Unitário","Global"},0),IF($A559="S",$Y559/$X559,""),($Y559/$X559)*100),0)</f>
        <v>0</v>
      </c>
      <c r="X559" s="384" t="str">
        <f ca="1">IF($Y559&gt;0,CHOOSE(MATCH(RegimeExecucao,{"Unitário","Global"},0),IF($A559="S",ROUND($H559,ORÇAMENTO!$AF$10),""),ROUND($I559,ORÇAMENTO!$AF$11)),"")</f>
        <v/>
      </c>
      <c r="Y559" s="384">
        <f t="shared" ca="1" si="50"/>
        <v>0</v>
      </c>
      <c r="Z559" s="572"/>
      <c r="AB559" s="382"/>
      <c r="AC559" s="516"/>
      <c r="AD559" s="516"/>
      <c r="AE559" s="516"/>
      <c r="AF559" s="516"/>
      <c r="AG559" s="516"/>
      <c r="AH559" s="516"/>
      <c r="AI559" s="516"/>
      <c r="AJ559" s="516"/>
      <c r="AK559" s="516"/>
      <c r="AL559" s="516"/>
      <c r="AM559" s="383"/>
      <c r="AO559">
        <f ca="1">IF($A559="S",IF(BM!$I559=0,0,CHOOSE(MATCH(RegimeExecucao,{"Global","Unitário"},0),ROUND(ROUND(BM.MEDAcumulado,15-13*BM!$A$9)/100*BM!$I559,15-13*ORÇAMENTO!$AF$11),ROUND(ROUND(BM.MEDAcumulado,15-13*BM!$A$9)*ROUND(BM!$H559,15-13*ORÇAMENTO!$AF$10),15-13*ORÇAMENTO!$AF$11))),IF($A559=0,0,ROUND(SomaAgrupBM,15-13*ORÇAMENTO!$AF$11)))</f>
        <v>0</v>
      </c>
    </row>
    <row r="560" spans="1:41" ht="25.5" x14ac:dyDescent="0.2">
      <c r="A560" t="str">
        <f ca="1">ORÇAMENTO!C560</f>
        <v>S</v>
      </c>
      <c r="B560">
        <f ca="1">ORÇAMENTO!D560</f>
        <v>0</v>
      </c>
      <c r="C560" s="116" t="str">
        <f t="shared" ca="1" si="44"/>
        <v/>
      </c>
      <c r="D560" s="119" t="str">
        <f ca="1">ORÇAMENTO!O560</f>
        <v>-</v>
      </c>
      <c r="E560" s="172" t="str">
        <f t="shared" ca="1" si="51"/>
        <v>(abra o arquivo 'Referência 06-2024.xlsm)</v>
      </c>
      <c r="F560" s="173" t="str">
        <f ca="1">IF(RegimeExecucao="Global","",ORÇAMENTO.Unidade)</f>
        <v/>
      </c>
      <c r="G560" s="124" t="str">
        <f ca="1">IF(RegimeExecucao="Global","",ORÇAMENTO!T560)</f>
        <v/>
      </c>
      <c r="H560" s="124" t="str">
        <f ca="1">IF(RegimeExecucao="Global","",ORÇAMENTO!W560)</f>
        <v/>
      </c>
      <c r="I560" s="127">
        <f ca="1">ORÇAMENTO!X560</f>
        <v>0</v>
      </c>
      <c r="J560" s="378">
        <f ca="1">IF($A560="S",IF(CAIXA.Modo,BM.AFAnterior,BM.MEDAnterior),IF(AND(RegimeExecucao="Global",$I560&gt;0,COUNTIF($AB$13:$AM$13,BM.medicao-1)&gt;0),M560/$I560*100,0))</f>
        <v>0</v>
      </c>
      <c r="K560" s="124">
        <f t="shared" ca="1" si="46"/>
        <v>0</v>
      </c>
      <c r="L560" s="379">
        <f ca="1">IF($A560="S",IF(CAIXA.Modo,BM.AFAcumulado,BM.MEDAcumulado),IF(AND(RegimeExecucao="Global",$I560&gt;0,COUNTIF($AB$13:$AM$13,BM.medicao)&gt;0),O560/$I560*100,0))</f>
        <v>0</v>
      </c>
      <c r="M560" s="380">
        <f ca="1">IF($A560="S",VTOTALBM,IF($A560=0,0,ROUND(SomaAgrupBM,15-13*ORÇAMENTO!$AF$11)))</f>
        <v>0</v>
      </c>
      <c r="N560" s="381">
        <f t="shared" ca="1" si="47"/>
        <v>0</v>
      </c>
      <c r="O560" s="127">
        <f ca="1">IF($A560="S",VTOTALBM,IF($A560=0,0,ROUND(SomaAgrupBM,15-13*ORÇAMENTO!$AF$11)))</f>
        <v>0</v>
      </c>
      <c r="Q560" s="382"/>
      <c r="R560" s="383"/>
      <c r="T560" s="119" t="str">
        <f t="shared" ca="1" si="48"/>
        <v/>
      </c>
      <c r="U560" s="172" t="str">
        <f t="shared" ca="1" si="49"/>
        <v/>
      </c>
      <c r="V560" s="173" t="str">
        <f ca="1">IF(AND($W560&gt;0,RegimeExecucao="Unitário"),$F560,"")</f>
        <v/>
      </c>
      <c r="W560" s="547">
        <f ca="1">IF($Y560&gt;0,CHOOSE(MATCH(RegimeExecucao,{"Unitário","Global"},0),IF($A560="S",$Y560/$X560,""),($Y560/$X560)*100),0)</f>
        <v>0</v>
      </c>
      <c r="X560" s="384" t="str">
        <f ca="1">IF($Y560&gt;0,CHOOSE(MATCH(RegimeExecucao,{"Unitário","Global"},0),IF($A560="S",ROUND($H560,ORÇAMENTO!$AF$10),""),ROUND($I560,ORÇAMENTO!$AF$11)),"")</f>
        <v/>
      </c>
      <c r="Y560" s="384">
        <f t="shared" ca="1" si="50"/>
        <v>0</v>
      </c>
      <c r="Z560" s="572"/>
      <c r="AB560" s="382"/>
      <c r="AC560" s="516"/>
      <c r="AD560" s="516"/>
      <c r="AE560" s="516"/>
      <c r="AF560" s="516"/>
      <c r="AG560" s="516"/>
      <c r="AH560" s="516"/>
      <c r="AI560" s="516"/>
      <c r="AJ560" s="516"/>
      <c r="AK560" s="516"/>
      <c r="AL560" s="516"/>
      <c r="AM560" s="383"/>
      <c r="AO560">
        <f ca="1">IF($A560="S",IF(BM!$I560=0,0,CHOOSE(MATCH(RegimeExecucao,{"Global","Unitário"},0),ROUND(ROUND(BM.MEDAcumulado,15-13*BM!$A$9)/100*BM!$I560,15-13*ORÇAMENTO!$AF$11),ROUND(ROUND(BM.MEDAcumulado,15-13*BM!$A$9)*ROUND(BM!$H560,15-13*ORÇAMENTO!$AF$10),15-13*ORÇAMENTO!$AF$11))),IF($A560=0,0,ROUND(SomaAgrupBM,15-13*ORÇAMENTO!$AF$11)))</f>
        <v>0</v>
      </c>
    </row>
    <row r="561" spans="1:41" ht="25.5" x14ac:dyDescent="0.2">
      <c r="A561" t="str">
        <f ca="1">ORÇAMENTO!C561</f>
        <v>S</v>
      </c>
      <c r="B561">
        <f ca="1">ORÇAMENTO!D561</f>
        <v>0</v>
      </c>
      <c r="C561" s="116" t="str">
        <f t="shared" ca="1" si="44"/>
        <v/>
      </c>
      <c r="D561" s="119" t="str">
        <f ca="1">ORÇAMENTO!O561</f>
        <v>-</v>
      </c>
      <c r="E561" s="172" t="str">
        <f t="shared" ca="1" si="51"/>
        <v>(abra o arquivo 'Referência 06-2024.xlsm)</v>
      </c>
      <c r="F561" s="173" t="str">
        <f ca="1">IF(RegimeExecucao="Global","",ORÇAMENTO.Unidade)</f>
        <v/>
      </c>
      <c r="G561" s="124" t="str">
        <f ca="1">IF(RegimeExecucao="Global","",ORÇAMENTO!T561)</f>
        <v/>
      </c>
      <c r="H561" s="124" t="str">
        <f ca="1">IF(RegimeExecucao="Global","",ORÇAMENTO!W561)</f>
        <v/>
      </c>
      <c r="I561" s="127">
        <f ca="1">ORÇAMENTO!X561</f>
        <v>0</v>
      </c>
      <c r="J561" s="378">
        <f ca="1">IF($A561="S",IF(CAIXA.Modo,BM.AFAnterior,BM.MEDAnterior),IF(AND(RegimeExecucao="Global",$I561&gt;0,COUNTIF($AB$13:$AM$13,BM.medicao-1)&gt;0),M561/$I561*100,0))</f>
        <v>0</v>
      </c>
      <c r="K561" s="124">
        <f t="shared" ca="1" si="46"/>
        <v>0</v>
      </c>
      <c r="L561" s="379">
        <f ca="1">IF($A561="S",IF(CAIXA.Modo,BM.AFAcumulado,BM.MEDAcumulado),IF(AND(RegimeExecucao="Global",$I561&gt;0,COUNTIF($AB$13:$AM$13,BM.medicao)&gt;0),O561/$I561*100,0))</f>
        <v>0</v>
      </c>
      <c r="M561" s="380">
        <f ca="1">IF($A561="S",VTOTALBM,IF($A561=0,0,ROUND(SomaAgrupBM,15-13*ORÇAMENTO!$AF$11)))</f>
        <v>0</v>
      </c>
      <c r="N561" s="381">
        <f t="shared" ca="1" si="47"/>
        <v>0</v>
      </c>
      <c r="O561" s="127">
        <f ca="1">IF($A561="S",VTOTALBM,IF($A561=0,0,ROUND(SomaAgrupBM,15-13*ORÇAMENTO!$AF$11)))</f>
        <v>0</v>
      </c>
      <c r="Q561" s="382"/>
      <c r="R561" s="383"/>
      <c r="T561" s="119" t="str">
        <f t="shared" ca="1" si="48"/>
        <v/>
      </c>
      <c r="U561" s="172" t="str">
        <f t="shared" ca="1" si="49"/>
        <v/>
      </c>
      <c r="V561" s="173" t="str">
        <f ca="1">IF(AND($W561&gt;0,RegimeExecucao="Unitário"),$F561,"")</f>
        <v/>
      </c>
      <c r="W561" s="547">
        <f ca="1">IF($Y561&gt;0,CHOOSE(MATCH(RegimeExecucao,{"Unitário","Global"},0),IF($A561="S",$Y561/$X561,""),($Y561/$X561)*100),0)</f>
        <v>0</v>
      </c>
      <c r="X561" s="384" t="str">
        <f ca="1">IF($Y561&gt;0,CHOOSE(MATCH(RegimeExecucao,{"Unitário","Global"},0),IF($A561="S",ROUND($H561,ORÇAMENTO!$AF$10),""),ROUND($I561,ORÇAMENTO!$AF$11)),"")</f>
        <v/>
      </c>
      <c r="Y561" s="384">
        <f t="shared" ca="1" si="50"/>
        <v>0</v>
      </c>
      <c r="Z561" s="572"/>
      <c r="AB561" s="382"/>
      <c r="AC561" s="516"/>
      <c r="AD561" s="516"/>
      <c r="AE561" s="516"/>
      <c r="AF561" s="516"/>
      <c r="AG561" s="516"/>
      <c r="AH561" s="516"/>
      <c r="AI561" s="516"/>
      <c r="AJ561" s="516"/>
      <c r="AK561" s="516"/>
      <c r="AL561" s="516"/>
      <c r="AM561" s="383"/>
      <c r="AO561">
        <f ca="1">IF($A561="S",IF(BM!$I561=0,0,CHOOSE(MATCH(RegimeExecucao,{"Global","Unitário"},0),ROUND(ROUND(BM.MEDAcumulado,15-13*BM!$A$9)/100*BM!$I561,15-13*ORÇAMENTO!$AF$11),ROUND(ROUND(BM.MEDAcumulado,15-13*BM!$A$9)*ROUND(BM!$H561,15-13*ORÇAMENTO!$AF$10),15-13*ORÇAMENTO!$AF$11))),IF($A561=0,0,ROUND(SomaAgrupBM,15-13*ORÇAMENTO!$AF$11)))</f>
        <v>0</v>
      </c>
    </row>
    <row r="562" spans="1:41" ht="25.5" x14ac:dyDescent="0.2">
      <c r="A562" t="str">
        <f ca="1">ORÇAMENTO!C562</f>
        <v>S</v>
      </c>
      <c r="B562">
        <f ca="1">ORÇAMENTO!D562</f>
        <v>0</v>
      </c>
      <c r="C562" s="116" t="str">
        <f t="shared" ca="1" si="44"/>
        <v/>
      </c>
      <c r="D562" s="119" t="str">
        <f ca="1">ORÇAMENTO!O562</f>
        <v>-</v>
      </c>
      <c r="E562" s="172" t="str">
        <f t="shared" ca="1" si="51"/>
        <v>(abra o arquivo 'Referência 06-2024.xlsm)</v>
      </c>
      <c r="F562" s="173" t="str">
        <f ca="1">IF(RegimeExecucao="Global","",ORÇAMENTO.Unidade)</f>
        <v/>
      </c>
      <c r="G562" s="124" t="str">
        <f ca="1">IF(RegimeExecucao="Global","",ORÇAMENTO!T562)</f>
        <v/>
      </c>
      <c r="H562" s="124" t="str">
        <f ca="1">IF(RegimeExecucao="Global","",ORÇAMENTO!W562)</f>
        <v/>
      </c>
      <c r="I562" s="127">
        <f ca="1">ORÇAMENTO!X562</f>
        <v>0</v>
      </c>
      <c r="J562" s="378">
        <f ca="1">IF($A562="S",IF(CAIXA.Modo,BM.AFAnterior,BM.MEDAnterior),IF(AND(RegimeExecucao="Global",$I562&gt;0,COUNTIF($AB$13:$AM$13,BM.medicao-1)&gt;0),M562/$I562*100,0))</f>
        <v>0</v>
      </c>
      <c r="K562" s="124">
        <f t="shared" ca="1" si="46"/>
        <v>0</v>
      </c>
      <c r="L562" s="379">
        <f ca="1">IF($A562="S",IF(CAIXA.Modo,BM.AFAcumulado,BM.MEDAcumulado),IF(AND(RegimeExecucao="Global",$I562&gt;0,COUNTIF($AB$13:$AM$13,BM.medicao)&gt;0),O562/$I562*100,0))</f>
        <v>0</v>
      </c>
      <c r="M562" s="380">
        <f ca="1">IF($A562="S",VTOTALBM,IF($A562=0,0,ROUND(SomaAgrupBM,15-13*ORÇAMENTO!$AF$11)))</f>
        <v>0</v>
      </c>
      <c r="N562" s="381">
        <f t="shared" ca="1" si="47"/>
        <v>0</v>
      </c>
      <c r="O562" s="127">
        <f ca="1">IF($A562="S",VTOTALBM,IF($A562=0,0,ROUND(SomaAgrupBM,15-13*ORÇAMENTO!$AF$11)))</f>
        <v>0</v>
      </c>
      <c r="Q562" s="382"/>
      <c r="R562" s="383"/>
      <c r="T562" s="119" t="str">
        <f t="shared" ca="1" si="48"/>
        <v/>
      </c>
      <c r="U562" s="172" t="str">
        <f t="shared" ca="1" si="49"/>
        <v/>
      </c>
      <c r="V562" s="173" t="str">
        <f ca="1">IF(AND($W562&gt;0,RegimeExecucao="Unitário"),$F562,"")</f>
        <v/>
      </c>
      <c r="W562" s="547">
        <f ca="1">IF($Y562&gt;0,CHOOSE(MATCH(RegimeExecucao,{"Unitário","Global"},0),IF($A562="S",$Y562/$X562,""),($Y562/$X562)*100),0)</f>
        <v>0</v>
      </c>
      <c r="X562" s="384" t="str">
        <f ca="1">IF($Y562&gt;0,CHOOSE(MATCH(RegimeExecucao,{"Unitário","Global"},0),IF($A562="S",ROUND($H562,ORÇAMENTO!$AF$10),""),ROUND($I562,ORÇAMENTO!$AF$11)),"")</f>
        <v/>
      </c>
      <c r="Y562" s="384">
        <f t="shared" ca="1" si="50"/>
        <v>0</v>
      </c>
      <c r="Z562" s="572"/>
      <c r="AB562" s="382"/>
      <c r="AC562" s="516"/>
      <c r="AD562" s="516"/>
      <c r="AE562" s="516"/>
      <c r="AF562" s="516"/>
      <c r="AG562" s="516"/>
      <c r="AH562" s="516"/>
      <c r="AI562" s="516"/>
      <c r="AJ562" s="516"/>
      <c r="AK562" s="516"/>
      <c r="AL562" s="516"/>
      <c r="AM562" s="383"/>
      <c r="AO562">
        <f ca="1">IF($A562="S",IF(BM!$I562=0,0,CHOOSE(MATCH(RegimeExecucao,{"Global","Unitário"},0),ROUND(ROUND(BM.MEDAcumulado,15-13*BM!$A$9)/100*BM!$I562,15-13*ORÇAMENTO!$AF$11),ROUND(ROUND(BM.MEDAcumulado,15-13*BM!$A$9)*ROUND(BM!$H562,15-13*ORÇAMENTO!$AF$10),15-13*ORÇAMENTO!$AF$11))),IF($A562=0,0,ROUND(SomaAgrupBM,15-13*ORÇAMENTO!$AF$11)))</f>
        <v>0</v>
      </c>
    </row>
    <row r="563" spans="1:41" ht="25.5" x14ac:dyDescent="0.2">
      <c r="A563" t="str">
        <f ca="1">ORÇAMENTO!C563</f>
        <v>S</v>
      </c>
      <c r="B563">
        <f ca="1">ORÇAMENTO!D563</f>
        <v>0</v>
      </c>
      <c r="C563" s="116" t="str">
        <f t="shared" ca="1" si="44"/>
        <v/>
      </c>
      <c r="D563" s="119" t="str">
        <f ca="1">ORÇAMENTO!O563</f>
        <v>-</v>
      </c>
      <c r="E563" s="172" t="str">
        <f t="shared" ca="1" si="51"/>
        <v>(abra o arquivo 'Referência 06-2024.xlsm)</v>
      </c>
      <c r="F563" s="173" t="str">
        <f ca="1">IF(RegimeExecucao="Global","",ORÇAMENTO.Unidade)</f>
        <v/>
      </c>
      <c r="G563" s="124" t="str">
        <f ca="1">IF(RegimeExecucao="Global","",ORÇAMENTO!T563)</f>
        <v/>
      </c>
      <c r="H563" s="124" t="str">
        <f ca="1">IF(RegimeExecucao="Global","",ORÇAMENTO!W563)</f>
        <v/>
      </c>
      <c r="I563" s="127">
        <f ca="1">ORÇAMENTO!X563</f>
        <v>0</v>
      </c>
      <c r="J563" s="378">
        <f ca="1">IF($A563="S",IF(CAIXA.Modo,BM.AFAnterior,BM.MEDAnterior),IF(AND(RegimeExecucao="Global",$I563&gt;0,COUNTIF($AB$13:$AM$13,BM.medicao-1)&gt;0),M563/$I563*100,0))</f>
        <v>0</v>
      </c>
      <c r="K563" s="124">
        <f t="shared" ca="1" si="46"/>
        <v>0</v>
      </c>
      <c r="L563" s="379">
        <f ca="1">IF($A563="S",IF(CAIXA.Modo,BM.AFAcumulado,BM.MEDAcumulado),IF(AND(RegimeExecucao="Global",$I563&gt;0,COUNTIF($AB$13:$AM$13,BM.medicao)&gt;0),O563/$I563*100,0))</f>
        <v>0</v>
      </c>
      <c r="M563" s="380">
        <f ca="1">IF($A563="S",VTOTALBM,IF($A563=0,0,ROUND(SomaAgrupBM,15-13*ORÇAMENTO!$AF$11)))</f>
        <v>0</v>
      </c>
      <c r="N563" s="381">
        <f t="shared" ca="1" si="47"/>
        <v>0</v>
      </c>
      <c r="O563" s="127">
        <f ca="1">IF($A563="S",VTOTALBM,IF($A563=0,0,ROUND(SomaAgrupBM,15-13*ORÇAMENTO!$AF$11)))</f>
        <v>0</v>
      </c>
      <c r="Q563" s="382"/>
      <c r="R563" s="383"/>
      <c r="T563" s="119" t="str">
        <f t="shared" ca="1" si="48"/>
        <v/>
      </c>
      <c r="U563" s="172" t="str">
        <f t="shared" ca="1" si="49"/>
        <v/>
      </c>
      <c r="V563" s="173" t="str">
        <f ca="1">IF(AND($W563&gt;0,RegimeExecucao="Unitário"),$F563,"")</f>
        <v/>
      </c>
      <c r="W563" s="547">
        <f ca="1">IF($Y563&gt;0,CHOOSE(MATCH(RegimeExecucao,{"Unitário","Global"},0),IF($A563="S",$Y563/$X563,""),($Y563/$X563)*100),0)</f>
        <v>0</v>
      </c>
      <c r="X563" s="384" t="str">
        <f ca="1">IF($Y563&gt;0,CHOOSE(MATCH(RegimeExecucao,{"Unitário","Global"},0),IF($A563="S",ROUND($H563,ORÇAMENTO!$AF$10),""),ROUND($I563,ORÇAMENTO!$AF$11)),"")</f>
        <v/>
      </c>
      <c r="Y563" s="384">
        <f t="shared" ca="1" si="50"/>
        <v>0</v>
      </c>
      <c r="Z563" s="572"/>
      <c r="AB563" s="382"/>
      <c r="AC563" s="516"/>
      <c r="AD563" s="516"/>
      <c r="AE563" s="516"/>
      <c r="AF563" s="516"/>
      <c r="AG563" s="516"/>
      <c r="AH563" s="516"/>
      <c r="AI563" s="516"/>
      <c r="AJ563" s="516"/>
      <c r="AK563" s="516"/>
      <c r="AL563" s="516"/>
      <c r="AM563" s="383"/>
      <c r="AO563">
        <f ca="1">IF($A563="S",IF(BM!$I563=0,0,CHOOSE(MATCH(RegimeExecucao,{"Global","Unitário"},0),ROUND(ROUND(BM.MEDAcumulado,15-13*BM!$A$9)/100*BM!$I563,15-13*ORÇAMENTO!$AF$11),ROUND(ROUND(BM.MEDAcumulado,15-13*BM!$A$9)*ROUND(BM!$H563,15-13*ORÇAMENTO!$AF$10),15-13*ORÇAMENTO!$AF$11))),IF($A563=0,0,ROUND(SomaAgrupBM,15-13*ORÇAMENTO!$AF$11)))</f>
        <v>0</v>
      </c>
    </row>
    <row r="564" spans="1:41" ht="25.5" x14ac:dyDescent="0.2">
      <c r="A564" t="str">
        <f ca="1">ORÇAMENTO!C564</f>
        <v>S</v>
      </c>
      <c r="B564">
        <f ca="1">ORÇAMENTO!D564</f>
        <v>0</v>
      </c>
      <c r="C564" s="116" t="str">
        <f t="shared" ca="1" si="44"/>
        <v/>
      </c>
      <c r="D564" s="119" t="str">
        <f ca="1">ORÇAMENTO!O564</f>
        <v>-</v>
      </c>
      <c r="E564" s="172" t="str">
        <f t="shared" ca="1" si="51"/>
        <v>(abra o arquivo 'Referência 06-2024.xlsm)</v>
      </c>
      <c r="F564" s="173" t="str">
        <f ca="1">IF(RegimeExecucao="Global","",ORÇAMENTO.Unidade)</f>
        <v/>
      </c>
      <c r="G564" s="124" t="str">
        <f ca="1">IF(RegimeExecucao="Global","",ORÇAMENTO!T564)</f>
        <v/>
      </c>
      <c r="H564" s="124" t="str">
        <f ca="1">IF(RegimeExecucao="Global","",ORÇAMENTO!W564)</f>
        <v/>
      </c>
      <c r="I564" s="127">
        <f ca="1">ORÇAMENTO!X564</f>
        <v>0</v>
      </c>
      <c r="J564" s="378">
        <f ca="1">IF($A564="S",IF(CAIXA.Modo,BM.AFAnterior,BM.MEDAnterior),IF(AND(RegimeExecucao="Global",$I564&gt;0,COUNTIF($AB$13:$AM$13,BM.medicao-1)&gt;0),M564/$I564*100,0))</f>
        <v>0</v>
      </c>
      <c r="K564" s="124">
        <f t="shared" ca="1" si="46"/>
        <v>0</v>
      </c>
      <c r="L564" s="379">
        <f ca="1">IF($A564="S",IF(CAIXA.Modo,BM.AFAcumulado,BM.MEDAcumulado),IF(AND(RegimeExecucao="Global",$I564&gt;0,COUNTIF($AB$13:$AM$13,BM.medicao)&gt;0),O564/$I564*100,0))</f>
        <v>0</v>
      </c>
      <c r="M564" s="380">
        <f ca="1">IF($A564="S",VTOTALBM,IF($A564=0,0,ROUND(SomaAgrupBM,15-13*ORÇAMENTO!$AF$11)))</f>
        <v>0</v>
      </c>
      <c r="N564" s="381">
        <f t="shared" ca="1" si="47"/>
        <v>0</v>
      </c>
      <c r="O564" s="127">
        <f ca="1">IF($A564="S",VTOTALBM,IF($A564=0,0,ROUND(SomaAgrupBM,15-13*ORÇAMENTO!$AF$11)))</f>
        <v>0</v>
      </c>
      <c r="Q564" s="382"/>
      <c r="R564" s="383"/>
      <c r="T564" s="119" t="str">
        <f t="shared" ca="1" si="48"/>
        <v/>
      </c>
      <c r="U564" s="172" t="str">
        <f t="shared" ca="1" si="49"/>
        <v/>
      </c>
      <c r="V564" s="173" t="str">
        <f ca="1">IF(AND($W564&gt;0,RegimeExecucao="Unitário"),$F564,"")</f>
        <v/>
      </c>
      <c r="W564" s="547">
        <f ca="1">IF($Y564&gt;0,CHOOSE(MATCH(RegimeExecucao,{"Unitário","Global"},0),IF($A564="S",$Y564/$X564,""),($Y564/$X564)*100),0)</f>
        <v>0</v>
      </c>
      <c r="X564" s="384" t="str">
        <f ca="1">IF($Y564&gt;0,CHOOSE(MATCH(RegimeExecucao,{"Unitário","Global"},0),IF($A564="S",ROUND($H564,ORÇAMENTO!$AF$10),""),ROUND($I564,ORÇAMENTO!$AF$11)),"")</f>
        <v/>
      </c>
      <c r="Y564" s="384">
        <f t="shared" ca="1" si="50"/>
        <v>0</v>
      </c>
      <c r="Z564" s="572"/>
      <c r="AB564" s="382"/>
      <c r="AC564" s="516"/>
      <c r="AD564" s="516"/>
      <c r="AE564" s="516"/>
      <c r="AF564" s="516"/>
      <c r="AG564" s="516"/>
      <c r="AH564" s="516"/>
      <c r="AI564" s="516"/>
      <c r="AJ564" s="516"/>
      <c r="AK564" s="516"/>
      <c r="AL564" s="516"/>
      <c r="AM564" s="383"/>
      <c r="AO564">
        <f ca="1">IF($A564="S",IF(BM!$I564=0,0,CHOOSE(MATCH(RegimeExecucao,{"Global","Unitário"},0),ROUND(ROUND(BM.MEDAcumulado,15-13*BM!$A$9)/100*BM!$I564,15-13*ORÇAMENTO!$AF$11),ROUND(ROUND(BM.MEDAcumulado,15-13*BM!$A$9)*ROUND(BM!$H564,15-13*ORÇAMENTO!$AF$10),15-13*ORÇAMENTO!$AF$11))),IF($A564=0,0,ROUND(SomaAgrupBM,15-13*ORÇAMENTO!$AF$11)))</f>
        <v>0</v>
      </c>
    </row>
    <row r="565" spans="1:41" ht="25.5" x14ac:dyDescent="0.2">
      <c r="A565" t="str">
        <f ca="1">ORÇAMENTO!C565</f>
        <v>S</v>
      </c>
      <c r="B565">
        <f ca="1">ORÇAMENTO!D565</f>
        <v>0</v>
      </c>
      <c r="C565" s="116" t="str">
        <f t="shared" ca="1" si="44"/>
        <v/>
      </c>
      <c r="D565" s="119" t="str">
        <f ca="1">ORÇAMENTO!O565</f>
        <v>-</v>
      </c>
      <c r="E565" s="172" t="str">
        <f t="shared" ca="1" si="51"/>
        <v>(abra o arquivo 'Referência 06-2024.xlsm)</v>
      </c>
      <c r="F565" s="173" t="str">
        <f ca="1">IF(RegimeExecucao="Global","",ORÇAMENTO.Unidade)</f>
        <v/>
      </c>
      <c r="G565" s="124" t="str">
        <f ca="1">IF(RegimeExecucao="Global","",ORÇAMENTO!T565)</f>
        <v/>
      </c>
      <c r="H565" s="124" t="str">
        <f ca="1">IF(RegimeExecucao="Global","",ORÇAMENTO!W565)</f>
        <v/>
      </c>
      <c r="I565" s="127">
        <f ca="1">ORÇAMENTO!X565</f>
        <v>0</v>
      </c>
      <c r="J565" s="378">
        <f ca="1">IF($A565="S",IF(CAIXA.Modo,BM.AFAnterior,BM.MEDAnterior),IF(AND(RegimeExecucao="Global",$I565&gt;0,COUNTIF($AB$13:$AM$13,BM.medicao-1)&gt;0),M565/$I565*100,0))</f>
        <v>0</v>
      </c>
      <c r="K565" s="124">
        <f t="shared" ca="1" si="46"/>
        <v>0</v>
      </c>
      <c r="L565" s="379">
        <f ca="1">IF($A565="S",IF(CAIXA.Modo,BM.AFAcumulado,BM.MEDAcumulado),IF(AND(RegimeExecucao="Global",$I565&gt;0,COUNTIF($AB$13:$AM$13,BM.medicao)&gt;0),O565/$I565*100,0))</f>
        <v>0</v>
      </c>
      <c r="M565" s="380">
        <f ca="1">IF($A565="S",VTOTALBM,IF($A565=0,0,ROUND(SomaAgrupBM,15-13*ORÇAMENTO!$AF$11)))</f>
        <v>0</v>
      </c>
      <c r="N565" s="381">
        <f t="shared" ca="1" si="47"/>
        <v>0</v>
      </c>
      <c r="O565" s="127">
        <f ca="1">IF($A565="S",VTOTALBM,IF($A565=0,0,ROUND(SomaAgrupBM,15-13*ORÇAMENTO!$AF$11)))</f>
        <v>0</v>
      </c>
      <c r="Q565" s="382"/>
      <c r="R565" s="383"/>
      <c r="T565" s="119" t="str">
        <f t="shared" ca="1" si="48"/>
        <v/>
      </c>
      <c r="U565" s="172" t="str">
        <f t="shared" ca="1" si="49"/>
        <v/>
      </c>
      <c r="V565" s="173" t="str">
        <f ca="1">IF(AND($W565&gt;0,RegimeExecucao="Unitário"),$F565,"")</f>
        <v/>
      </c>
      <c r="W565" s="547">
        <f ca="1">IF($Y565&gt;0,CHOOSE(MATCH(RegimeExecucao,{"Unitário","Global"},0),IF($A565="S",$Y565/$X565,""),($Y565/$X565)*100),0)</f>
        <v>0</v>
      </c>
      <c r="X565" s="384" t="str">
        <f ca="1">IF($Y565&gt;0,CHOOSE(MATCH(RegimeExecucao,{"Unitário","Global"},0),IF($A565="S",ROUND($H565,ORÇAMENTO!$AF$10),""),ROUND($I565,ORÇAMENTO!$AF$11)),"")</f>
        <v/>
      </c>
      <c r="Y565" s="384">
        <f t="shared" ca="1" si="50"/>
        <v>0</v>
      </c>
      <c r="Z565" s="572"/>
      <c r="AB565" s="382"/>
      <c r="AC565" s="516"/>
      <c r="AD565" s="516"/>
      <c r="AE565" s="516"/>
      <c r="AF565" s="516"/>
      <c r="AG565" s="516"/>
      <c r="AH565" s="516"/>
      <c r="AI565" s="516"/>
      <c r="AJ565" s="516"/>
      <c r="AK565" s="516"/>
      <c r="AL565" s="516"/>
      <c r="AM565" s="383"/>
      <c r="AO565">
        <f ca="1">IF($A565="S",IF(BM!$I565=0,0,CHOOSE(MATCH(RegimeExecucao,{"Global","Unitário"},0),ROUND(ROUND(BM.MEDAcumulado,15-13*BM!$A$9)/100*BM!$I565,15-13*ORÇAMENTO!$AF$11),ROUND(ROUND(BM.MEDAcumulado,15-13*BM!$A$9)*ROUND(BM!$H565,15-13*ORÇAMENTO!$AF$10),15-13*ORÇAMENTO!$AF$11))),IF($A565=0,0,ROUND(SomaAgrupBM,15-13*ORÇAMENTO!$AF$11)))</f>
        <v>0</v>
      </c>
    </row>
    <row r="566" spans="1:41" ht="25.5" x14ac:dyDescent="0.2">
      <c r="A566" t="str">
        <f ca="1">ORÇAMENTO!C566</f>
        <v>S</v>
      </c>
      <c r="B566">
        <f ca="1">ORÇAMENTO!D566</f>
        <v>0</v>
      </c>
      <c r="C566" s="116" t="str">
        <f t="shared" ca="1" si="44"/>
        <v/>
      </c>
      <c r="D566" s="119" t="str">
        <f ca="1">ORÇAMENTO!O566</f>
        <v>-</v>
      </c>
      <c r="E566" s="172" t="str">
        <f t="shared" ca="1" si="51"/>
        <v>(abra o arquivo 'Referência 06-2024.xlsm)</v>
      </c>
      <c r="F566" s="173" t="str">
        <f ca="1">IF(RegimeExecucao="Global","",ORÇAMENTO.Unidade)</f>
        <v/>
      </c>
      <c r="G566" s="124" t="str">
        <f ca="1">IF(RegimeExecucao="Global","",ORÇAMENTO!T566)</f>
        <v/>
      </c>
      <c r="H566" s="124" t="str">
        <f ca="1">IF(RegimeExecucao="Global","",ORÇAMENTO!W566)</f>
        <v/>
      </c>
      <c r="I566" s="127">
        <f ca="1">ORÇAMENTO!X566</f>
        <v>0</v>
      </c>
      <c r="J566" s="378">
        <f ca="1">IF($A566="S",IF(CAIXA.Modo,BM.AFAnterior,BM.MEDAnterior),IF(AND(RegimeExecucao="Global",$I566&gt;0,COUNTIF($AB$13:$AM$13,BM.medicao-1)&gt;0),M566/$I566*100,0))</f>
        <v>0</v>
      </c>
      <c r="K566" s="124">
        <f t="shared" ca="1" si="46"/>
        <v>0</v>
      </c>
      <c r="L566" s="379">
        <f ca="1">IF($A566="S",IF(CAIXA.Modo,BM.AFAcumulado,BM.MEDAcumulado),IF(AND(RegimeExecucao="Global",$I566&gt;0,COUNTIF($AB$13:$AM$13,BM.medicao)&gt;0),O566/$I566*100,0))</f>
        <v>0</v>
      </c>
      <c r="M566" s="380">
        <f ca="1">IF($A566="S",VTOTALBM,IF($A566=0,0,ROUND(SomaAgrupBM,15-13*ORÇAMENTO!$AF$11)))</f>
        <v>0</v>
      </c>
      <c r="N566" s="381">
        <f t="shared" ca="1" si="47"/>
        <v>0</v>
      </c>
      <c r="O566" s="127">
        <f ca="1">IF($A566="S",VTOTALBM,IF($A566=0,0,ROUND(SomaAgrupBM,15-13*ORÇAMENTO!$AF$11)))</f>
        <v>0</v>
      </c>
      <c r="Q566" s="382"/>
      <c r="R566" s="383"/>
      <c r="T566" s="119" t="str">
        <f t="shared" ca="1" si="48"/>
        <v/>
      </c>
      <c r="U566" s="172" t="str">
        <f t="shared" ca="1" si="49"/>
        <v/>
      </c>
      <c r="V566" s="173" t="str">
        <f ca="1">IF(AND($W566&gt;0,RegimeExecucao="Unitário"),$F566,"")</f>
        <v/>
      </c>
      <c r="W566" s="547">
        <f ca="1">IF($Y566&gt;0,CHOOSE(MATCH(RegimeExecucao,{"Unitário","Global"},0),IF($A566="S",$Y566/$X566,""),($Y566/$X566)*100),0)</f>
        <v>0</v>
      </c>
      <c r="X566" s="384" t="str">
        <f ca="1">IF($Y566&gt;0,CHOOSE(MATCH(RegimeExecucao,{"Unitário","Global"},0),IF($A566="S",ROUND($H566,ORÇAMENTO!$AF$10),""),ROUND($I566,ORÇAMENTO!$AF$11)),"")</f>
        <v/>
      </c>
      <c r="Y566" s="384">
        <f t="shared" ca="1" si="50"/>
        <v>0</v>
      </c>
      <c r="Z566" s="572"/>
      <c r="AB566" s="382"/>
      <c r="AC566" s="516"/>
      <c r="AD566" s="516"/>
      <c r="AE566" s="516"/>
      <c r="AF566" s="516"/>
      <c r="AG566" s="516"/>
      <c r="AH566" s="516"/>
      <c r="AI566" s="516"/>
      <c r="AJ566" s="516"/>
      <c r="AK566" s="516"/>
      <c r="AL566" s="516"/>
      <c r="AM566" s="383"/>
      <c r="AO566">
        <f ca="1">IF($A566="S",IF(BM!$I566=0,0,CHOOSE(MATCH(RegimeExecucao,{"Global","Unitário"},0),ROUND(ROUND(BM.MEDAcumulado,15-13*BM!$A$9)/100*BM!$I566,15-13*ORÇAMENTO!$AF$11),ROUND(ROUND(BM.MEDAcumulado,15-13*BM!$A$9)*ROUND(BM!$H566,15-13*ORÇAMENTO!$AF$10),15-13*ORÇAMENTO!$AF$11))),IF($A566=0,0,ROUND(SomaAgrupBM,15-13*ORÇAMENTO!$AF$11)))</f>
        <v>0</v>
      </c>
    </row>
    <row r="567" spans="1:41" x14ac:dyDescent="0.2">
      <c r="A567">
        <f ca="1">ORÇAMENTO!C567</f>
        <v>2</v>
      </c>
      <c r="B567">
        <f ca="1">ORÇAMENTO!D567</f>
        <v>13</v>
      </c>
      <c r="C567" s="116" t="str">
        <f t="shared" ca="1" si="44"/>
        <v>F</v>
      </c>
      <c r="D567" s="119" t="str">
        <f ca="1">ORÇAMENTO!O567</f>
        <v>1.57.</v>
      </c>
      <c r="E567" s="172" t="str">
        <f t="shared" si="51"/>
        <v>INSTALAÇÃO ELÉTRICA 110V - ELETROCALHAS</v>
      </c>
      <c r="F567" s="173" t="str">
        <f ca="1">IF(RegimeExecucao="Global","",ORÇAMENTO.Unidade)</f>
        <v/>
      </c>
      <c r="G567" s="124" t="str">
        <f ca="1">IF(RegimeExecucao="Global","",ORÇAMENTO!T567)</f>
        <v/>
      </c>
      <c r="H567" s="124" t="str">
        <f ca="1">IF(RegimeExecucao="Global","",ORÇAMENTO!W567)</f>
        <v/>
      </c>
      <c r="I567" s="127">
        <f ca="1">ORÇAMENTO!X567</f>
        <v>0</v>
      </c>
      <c r="J567" s="378">
        <f ca="1">IF($A567="S",IF(CAIXA.Modo,BM.AFAnterior,BM.MEDAnterior),IF(AND(RegimeExecucao="Global",$I567&gt;0,COUNTIF($AB$13:$AM$13,BM.medicao-1)&gt;0),M567/$I567*100,0))</f>
        <v>0</v>
      </c>
      <c r="K567" s="124">
        <f t="shared" ca="1" si="46"/>
        <v>0</v>
      </c>
      <c r="L567" s="379">
        <f ca="1">IF($A567="S",IF(CAIXA.Modo,BM.AFAcumulado,BM.MEDAcumulado),IF(AND(RegimeExecucao="Global",$I567&gt;0,COUNTIF($AB$13:$AM$13,BM.medicao)&gt;0),O567/$I567*100,0))</f>
        <v>0</v>
      </c>
      <c r="M567" s="380">
        <f ca="1">IF($A567="S",VTOTALBM,IF($A567=0,0,ROUND(SomaAgrupBM,15-13*ORÇAMENTO!$AF$11)))</f>
        <v>0</v>
      </c>
      <c r="N567" s="381">
        <f t="shared" ca="1" si="47"/>
        <v>0</v>
      </c>
      <c r="O567" s="127">
        <f ca="1">IF($A567="S",VTOTALBM,IF($A567=0,0,ROUND(SomaAgrupBM,15-13*ORÇAMENTO!$AF$11)))</f>
        <v>0</v>
      </c>
      <c r="Q567" s="382"/>
      <c r="R567" s="383"/>
      <c r="T567" s="119" t="str">
        <f t="shared" ca="1" si="48"/>
        <v/>
      </c>
      <c r="U567" s="172" t="str">
        <f t="shared" ca="1" si="49"/>
        <v/>
      </c>
      <c r="V567" s="173" t="str">
        <f ca="1">IF(AND($W567&gt;0,RegimeExecucao="Unitário"),$F567,"")</f>
        <v/>
      </c>
      <c r="W567" s="547">
        <f ca="1">IF($Y567&gt;0,CHOOSE(MATCH(RegimeExecucao,{"Unitário","Global"},0),IF($A567="S",$Y567/$X567,""),($Y567/$X567)*100),0)</f>
        <v>0</v>
      </c>
      <c r="X567" s="384" t="str">
        <f ca="1">IF($Y567&gt;0,CHOOSE(MATCH(RegimeExecucao,{"Unitário","Global"},0),IF($A567="S",ROUND($H567,ORÇAMENTO!$AF$10),""),ROUND($I567,ORÇAMENTO!$AF$11)),"")</f>
        <v/>
      </c>
      <c r="Y567" s="384">
        <f t="shared" ca="1" si="50"/>
        <v>0</v>
      </c>
      <c r="Z567" s="572"/>
      <c r="AB567" s="382"/>
      <c r="AC567" s="516"/>
      <c r="AD567" s="516"/>
      <c r="AE567" s="516"/>
      <c r="AF567" s="516"/>
      <c r="AG567" s="516"/>
      <c r="AH567" s="516"/>
      <c r="AI567" s="516"/>
      <c r="AJ567" s="516"/>
      <c r="AK567" s="516"/>
      <c r="AL567" s="516"/>
      <c r="AM567" s="383"/>
      <c r="AO567">
        <f ca="1">IF($A567="S",IF(BM!$I567=0,0,CHOOSE(MATCH(RegimeExecucao,{"Global","Unitário"},0),ROUND(ROUND(BM.MEDAcumulado,15-13*BM!$A$9)/100*BM!$I567,15-13*ORÇAMENTO!$AF$11),ROUND(ROUND(BM.MEDAcumulado,15-13*BM!$A$9)*ROUND(BM!$H567,15-13*ORÇAMENTO!$AF$10),15-13*ORÇAMENTO!$AF$11))),IF($A567=0,0,ROUND(SomaAgrupBM,15-13*ORÇAMENTO!$AF$11)))</f>
        <v>0</v>
      </c>
    </row>
    <row r="568" spans="1:41" ht="38.25" x14ac:dyDescent="0.2">
      <c r="A568" t="str">
        <f ca="1">ORÇAMENTO!C568</f>
        <v>S</v>
      </c>
      <c r="B568">
        <f ca="1">ORÇAMENTO!D568</f>
        <v>0</v>
      </c>
      <c r="C568" s="116" t="str">
        <f t="shared" ca="1" si="44"/>
        <v/>
      </c>
      <c r="D568" s="119" t="str">
        <f ca="1">ORÇAMENTO!O568</f>
        <v>-</v>
      </c>
      <c r="E568" s="172" t="str">
        <f t="shared" ca="1" si="51"/>
        <v>(abra o arquivo 'Referência 06-2024.xlsm)</v>
      </c>
      <c r="F568" s="173" t="str">
        <f ca="1">IF(RegimeExecucao="Global","",ORÇAMENTO.Unidade)</f>
        <v/>
      </c>
      <c r="G568" s="124" t="str">
        <f ca="1">IF(RegimeExecucao="Global","",ORÇAMENTO!T568)</f>
        <v/>
      </c>
      <c r="H568" s="124" t="str">
        <f ca="1">IF(RegimeExecucao="Global","",ORÇAMENTO!W568)</f>
        <v/>
      </c>
      <c r="I568" s="127">
        <f ca="1">ORÇAMENTO!X568</f>
        <v>0</v>
      </c>
      <c r="J568" s="378">
        <f ca="1">IF($A568="S",IF(CAIXA.Modo,BM.AFAnterior,BM.MEDAnterior),IF(AND(RegimeExecucao="Global",$I568&gt;0,COUNTIF($AB$13:$AM$13,BM.medicao-1)&gt;0),M568/$I568*100,0))</f>
        <v>0</v>
      </c>
      <c r="K568" s="124">
        <f t="shared" ca="1" si="46"/>
        <v>0</v>
      </c>
      <c r="L568" s="379">
        <f ca="1">IF($A568="S",IF(CAIXA.Modo,BM.AFAcumulado,BM.MEDAcumulado),IF(AND(RegimeExecucao="Global",$I568&gt;0,COUNTIF($AB$13:$AM$13,BM.medicao)&gt;0),O568/$I568*100,0))</f>
        <v>0</v>
      </c>
      <c r="M568" s="380">
        <f ca="1">IF($A568="S",VTOTALBM,IF($A568=0,0,ROUND(SomaAgrupBM,15-13*ORÇAMENTO!$AF$11)))</f>
        <v>0</v>
      </c>
      <c r="N568" s="381">
        <f t="shared" ca="1" si="47"/>
        <v>0</v>
      </c>
      <c r="O568" s="127">
        <f ca="1">IF($A568="S",VTOTALBM,IF($A568=0,0,ROUND(SomaAgrupBM,15-13*ORÇAMENTO!$AF$11)))</f>
        <v>0</v>
      </c>
      <c r="Q568" s="382"/>
      <c r="R568" s="383"/>
      <c r="T568" s="119" t="str">
        <f t="shared" ca="1" si="48"/>
        <v/>
      </c>
      <c r="U568" s="172" t="str">
        <f t="shared" ca="1" si="49"/>
        <v/>
      </c>
      <c r="V568" s="173" t="str">
        <f ca="1">IF(AND($W568&gt;0,RegimeExecucao="Unitário"),$F568,"")</f>
        <v/>
      </c>
      <c r="W568" s="547">
        <f ca="1">IF($Y568&gt;0,CHOOSE(MATCH(RegimeExecucao,{"Unitário","Global"},0),IF($A568="S",$Y568/$X568,""),($Y568/$X568)*100),0)</f>
        <v>0</v>
      </c>
      <c r="X568" s="384" t="str">
        <f ca="1">IF($Y568&gt;0,CHOOSE(MATCH(RegimeExecucao,{"Unitário","Global"},0),IF($A568="S",ROUND($H568,ORÇAMENTO!$AF$10),""),ROUND($I568,ORÇAMENTO!$AF$11)),"")</f>
        <v/>
      </c>
      <c r="Y568" s="384">
        <f t="shared" ca="1" si="50"/>
        <v>0</v>
      </c>
      <c r="Z568" s="572"/>
      <c r="AB568" s="382"/>
      <c r="AC568" s="516"/>
      <c r="AD568" s="516"/>
      <c r="AE568" s="516"/>
      <c r="AF568" s="516"/>
      <c r="AG568" s="516"/>
      <c r="AH568" s="516"/>
      <c r="AI568" s="516"/>
      <c r="AJ568" s="516"/>
      <c r="AK568" s="516"/>
      <c r="AL568" s="516"/>
      <c r="AM568" s="383"/>
      <c r="AO568">
        <f ca="1">IF($A568="S",IF(BM!$I568=0,0,CHOOSE(MATCH(RegimeExecucao,{"Global","Unitário"},0),ROUND(ROUND(BM.MEDAcumulado,15-13*BM!$A$9)/100*BM!$I568,15-13*ORÇAMENTO!$AF$11),ROUND(ROUND(BM.MEDAcumulado,15-13*BM!$A$9)*ROUND(BM!$H568,15-13*ORÇAMENTO!$AF$10),15-13*ORÇAMENTO!$AF$11))),IF($A568=0,0,ROUND(SomaAgrupBM,15-13*ORÇAMENTO!$AF$11)))</f>
        <v>0</v>
      </c>
    </row>
    <row r="569" spans="1:41" ht="38.25" x14ac:dyDescent="0.2">
      <c r="A569" t="str">
        <f ca="1">ORÇAMENTO!C569</f>
        <v>S</v>
      </c>
      <c r="B569">
        <f ca="1">ORÇAMENTO!D569</f>
        <v>0</v>
      </c>
      <c r="C569" s="116" t="str">
        <f t="shared" ca="1" si="44"/>
        <v/>
      </c>
      <c r="D569" s="119" t="str">
        <f ca="1">ORÇAMENTO!O569</f>
        <v>-</v>
      </c>
      <c r="E569" s="172" t="str">
        <f t="shared" ca="1" si="51"/>
        <v>(abra o arquivo 'Referência 06-2024.xlsm)</v>
      </c>
      <c r="F569" s="173" t="str">
        <f ca="1">IF(RegimeExecucao="Global","",ORÇAMENTO.Unidade)</f>
        <v/>
      </c>
      <c r="G569" s="124" t="str">
        <f ca="1">IF(RegimeExecucao="Global","",ORÇAMENTO!T569)</f>
        <v/>
      </c>
      <c r="H569" s="124" t="str">
        <f ca="1">IF(RegimeExecucao="Global","",ORÇAMENTO!W569)</f>
        <v/>
      </c>
      <c r="I569" s="127">
        <f ca="1">ORÇAMENTO!X569</f>
        <v>0</v>
      </c>
      <c r="J569" s="378">
        <f ca="1">IF($A569="S",IF(CAIXA.Modo,BM.AFAnterior,BM.MEDAnterior),IF(AND(RegimeExecucao="Global",$I569&gt;0,COUNTIF($AB$13:$AM$13,BM.medicao-1)&gt;0),M569/$I569*100,0))</f>
        <v>0</v>
      </c>
      <c r="K569" s="124">
        <f t="shared" ca="1" si="46"/>
        <v>0</v>
      </c>
      <c r="L569" s="379">
        <f ca="1">IF($A569="S",IF(CAIXA.Modo,BM.AFAcumulado,BM.MEDAcumulado),IF(AND(RegimeExecucao="Global",$I569&gt;0,COUNTIF($AB$13:$AM$13,BM.medicao)&gt;0),O569/$I569*100,0))</f>
        <v>0</v>
      </c>
      <c r="M569" s="380">
        <f ca="1">IF($A569="S",VTOTALBM,IF($A569=0,0,ROUND(SomaAgrupBM,15-13*ORÇAMENTO!$AF$11)))</f>
        <v>0</v>
      </c>
      <c r="N569" s="381">
        <f t="shared" ca="1" si="47"/>
        <v>0</v>
      </c>
      <c r="O569" s="127">
        <f ca="1">IF($A569="S",VTOTALBM,IF($A569=0,0,ROUND(SomaAgrupBM,15-13*ORÇAMENTO!$AF$11)))</f>
        <v>0</v>
      </c>
      <c r="Q569" s="382"/>
      <c r="R569" s="383"/>
      <c r="T569" s="119" t="str">
        <f t="shared" ca="1" si="48"/>
        <v/>
      </c>
      <c r="U569" s="172" t="str">
        <f t="shared" ca="1" si="49"/>
        <v/>
      </c>
      <c r="V569" s="173" t="str">
        <f ca="1">IF(AND($W569&gt;0,RegimeExecucao="Unitário"),$F569,"")</f>
        <v/>
      </c>
      <c r="W569" s="547">
        <f ca="1">IF($Y569&gt;0,CHOOSE(MATCH(RegimeExecucao,{"Unitário","Global"},0),IF($A569="S",$Y569/$X569,""),($Y569/$X569)*100),0)</f>
        <v>0</v>
      </c>
      <c r="X569" s="384" t="str">
        <f ca="1">IF($Y569&gt;0,CHOOSE(MATCH(RegimeExecucao,{"Unitário","Global"},0),IF($A569="S",ROUND($H569,ORÇAMENTO!$AF$10),""),ROUND($I569,ORÇAMENTO!$AF$11)),"")</f>
        <v/>
      </c>
      <c r="Y569" s="384">
        <f t="shared" ca="1" si="50"/>
        <v>0</v>
      </c>
      <c r="Z569" s="572"/>
      <c r="AB569" s="382"/>
      <c r="AC569" s="516"/>
      <c r="AD569" s="516"/>
      <c r="AE569" s="516"/>
      <c r="AF569" s="516"/>
      <c r="AG569" s="516"/>
      <c r="AH569" s="516"/>
      <c r="AI569" s="516"/>
      <c r="AJ569" s="516"/>
      <c r="AK569" s="516"/>
      <c r="AL569" s="516"/>
      <c r="AM569" s="383"/>
      <c r="AO569">
        <f ca="1">IF($A569="S",IF(BM!$I569=0,0,CHOOSE(MATCH(RegimeExecucao,{"Global","Unitário"},0),ROUND(ROUND(BM.MEDAcumulado,15-13*BM!$A$9)/100*BM!$I569,15-13*ORÇAMENTO!$AF$11),ROUND(ROUND(BM.MEDAcumulado,15-13*BM!$A$9)*ROUND(BM!$H569,15-13*ORÇAMENTO!$AF$10),15-13*ORÇAMENTO!$AF$11))),IF($A569=0,0,ROUND(SomaAgrupBM,15-13*ORÇAMENTO!$AF$11)))</f>
        <v>0</v>
      </c>
    </row>
    <row r="570" spans="1:41" ht="25.5" x14ac:dyDescent="0.2">
      <c r="A570" t="str">
        <f ca="1">ORÇAMENTO!C570</f>
        <v>S</v>
      </c>
      <c r="B570">
        <f ca="1">ORÇAMENTO!D570</f>
        <v>0</v>
      </c>
      <c r="C570" s="116" t="str">
        <f t="shared" ca="1" si="44"/>
        <v/>
      </c>
      <c r="D570" s="119" t="str">
        <f ca="1">ORÇAMENTO!O570</f>
        <v>-</v>
      </c>
      <c r="E570" s="172" t="str">
        <f t="shared" ca="1" si="51"/>
        <v>(abra o arquivo 'Referência 06-2024.xlsm)</v>
      </c>
      <c r="F570" s="173" t="str">
        <f ca="1">IF(RegimeExecucao="Global","",ORÇAMENTO.Unidade)</f>
        <v/>
      </c>
      <c r="G570" s="124" t="str">
        <f ca="1">IF(RegimeExecucao="Global","",ORÇAMENTO!T570)</f>
        <v/>
      </c>
      <c r="H570" s="124" t="str">
        <f ca="1">IF(RegimeExecucao="Global","",ORÇAMENTO!W570)</f>
        <v/>
      </c>
      <c r="I570" s="127">
        <f ca="1">ORÇAMENTO!X570</f>
        <v>0</v>
      </c>
      <c r="J570" s="378">
        <f ca="1">IF($A570="S",IF(CAIXA.Modo,BM.AFAnterior,BM.MEDAnterior),IF(AND(RegimeExecucao="Global",$I570&gt;0,COUNTIF($AB$13:$AM$13,BM.medicao-1)&gt;0),M570/$I570*100,0))</f>
        <v>0</v>
      </c>
      <c r="K570" s="124">
        <f t="shared" ca="1" si="46"/>
        <v>0</v>
      </c>
      <c r="L570" s="379">
        <f ca="1">IF($A570="S",IF(CAIXA.Modo,BM.AFAcumulado,BM.MEDAcumulado),IF(AND(RegimeExecucao="Global",$I570&gt;0,COUNTIF($AB$13:$AM$13,BM.medicao)&gt;0),O570/$I570*100,0))</f>
        <v>0</v>
      </c>
      <c r="M570" s="380">
        <f ca="1">IF($A570="S",VTOTALBM,IF($A570=0,0,ROUND(SomaAgrupBM,15-13*ORÇAMENTO!$AF$11)))</f>
        <v>0</v>
      </c>
      <c r="N570" s="381">
        <f t="shared" ca="1" si="47"/>
        <v>0</v>
      </c>
      <c r="O570" s="127">
        <f ca="1">IF($A570="S",VTOTALBM,IF($A570=0,0,ROUND(SomaAgrupBM,15-13*ORÇAMENTO!$AF$11)))</f>
        <v>0</v>
      </c>
      <c r="Q570" s="382"/>
      <c r="R570" s="383"/>
      <c r="T570" s="119" t="str">
        <f t="shared" ca="1" si="48"/>
        <v/>
      </c>
      <c r="U570" s="172" t="str">
        <f t="shared" ca="1" si="49"/>
        <v/>
      </c>
      <c r="V570" s="173" t="str">
        <f ca="1">IF(AND($W570&gt;0,RegimeExecucao="Unitário"),$F570,"")</f>
        <v/>
      </c>
      <c r="W570" s="547">
        <f ca="1">IF($Y570&gt;0,CHOOSE(MATCH(RegimeExecucao,{"Unitário","Global"},0),IF($A570="S",$Y570/$X570,""),($Y570/$X570)*100),0)</f>
        <v>0</v>
      </c>
      <c r="X570" s="384" t="str">
        <f ca="1">IF($Y570&gt;0,CHOOSE(MATCH(RegimeExecucao,{"Unitário","Global"},0),IF($A570="S",ROUND($H570,ORÇAMENTO!$AF$10),""),ROUND($I570,ORÇAMENTO!$AF$11)),"")</f>
        <v/>
      </c>
      <c r="Y570" s="384">
        <f t="shared" ca="1" si="50"/>
        <v>0</v>
      </c>
      <c r="Z570" s="572"/>
      <c r="AB570" s="382"/>
      <c r="AC570" s="516"/>
      <c r="AD570" s="516"/>
      <c r="AE570" s="516"/>
      <c r="AF570" s="516"/>
      <c r="AG570" s="516"/>
      <c r="AH570" s="516"/>
      <c r="AI570" s="516"/>
      <c r="AJ570" s="516"/>
      <c r="AK570" s="516"/>
      <c r="AL570" s="516"/>
      <c r="AM570" s="383"/>
      <c r="AO570">
        <f ca="1">IF($A570="S",IF(BM!$I570=0,0,CHOOSE(MATCH(RegimeExecucao,{"Global","Unitário"},0),ROUND(ROUND(BM.MEDAcumulado,15-13*BM!$A$9)/100*BM!$I570,15-13*ORÇAMENTO!$AF$11),ROUND(ROUND(BM.MEDAcumulado,15-13*BM!$A$9)*ROUND(BM!$H570,15-13*ORÇAMENTO!$AF$10),15-13*ORÇAMENTO!$AF$11))),IF($A570=0,0,ROUND(SomaAgrupBM,15-13*ORÇAMENTO!$AF$11)))</f>
        <v>0</v>
      </c>
    </row>
    <row r="571" spans="1:41" ht="38.25" x14ac:dyDescent="0.2">
      <c r="A571" t="str">
        <f ca="1">ORÇAMENTO!C571</f>
        <v>S</v>
      </c>
      <c r="B571">
        <f ca="1">ORÇAMENTO!D571</f>
        <v>0</v>
      </c>
      <c r="C571" s="116" t="str">
        <f t="shared" ca="1" si="44"/>
        <v/>
      </c>
      <c r="D571" s="119" t="str">
        <f ca="1">ORÇAMENTO!O571</f>
        <v>-</v>
      </c>
      <c r="E571" s="172" t="str">
        <f t="shared" ca="1" si="51"/>
        <v>(abra o arquivo 'Referência 06-2024.xlsm)</v>
      </c>
      <c r="F571" s="173" t="str">
        <f ca="1">IF(RegimeExecucao="Global","",ORÇAMENTO.Unidade)</f>
        <v/>
      </c>
      <c r="G571" s="124" t="str">
        <f ca="1">IF(RegimeExecucao="Global","",ORÇAMENTO!T571)</f>
        <v/>
      </c>
      <c r="H571" s="124" t="str">
        <f ca="1">IF(RegimeExecucao="Global","",ORÇAMENTO!W571)</f>
        <v/>
      </c>
      <c r="I571" s="127">
        <f ca="1">ORÇAMENTO!X571</f>
        <v>0</v>
      </c>
      <c r="J571" s="378">
        <f ca="1">IF($A571="S",IF(CAIXA.Modo,BM.AFAnterior,BM.MEDAnterior),IF(AND(RegimeExecucao="Global",$I571&gt;0,COUNTIF($AB$13:$AM$13,BM.medicao-1)&gt;0),M571/$I571*100,0))</f>
        <v>0</v>
      </c>
      <c r="K571" s="124">
        <f t="shared" ca="1" si="46"/>
        <v>0</v>
      </c>
      <c r="L571" s="379">
        <f ca="1">IF($A571="S",IF(CAIXA.Modo,BM.AFAcumulado,BM.MEDAcumulado),IF(AND(RegimeExecucao="Global",$I571&gt;0,COUNTIF($AB$13:$AM$13,BM.medicao)&gt;0),O571/$I571*100,0))</f>
        <v>0</v>
      </c>
      <c r="M571" s="380">
        <f ca="1">IF($A571="S",VTOTALBM,IF($A571=0,0,ROUND(SomaAgrupBM,15-13*ORÇAMENTO!$AF$11)))</f>
        <v>0</v>
      </c>
      <c r="N571" s="381">
        <f t="shared" ca="1" si="47"/>
        <v>0</v>
      </c>
      <c r="O571" s="127">
        <f ca="1">IF($A571="S",VTOTALBM,IF($A571=0,0,ROUND(SomaAgrupBM,15-13*ORÇAMENTO!$AF$11)))</f>
        <v>0</v>
      </c>
      <c r="Q571" s="382"/>
      <c r="R571" s="383"/>
      <c r="T571" s="119" t="str">
        <f t="shared" ca="1" si="48"/>
        <v/>
      </c>
      <c r="U571" s="172" t="str">
        <f t="shared" ca="1" si="49"/>
        <v/>
      </c>
      <c r="V571" s="173" t="str">
        <f ca="1">IF(AND($W571&gt;0,RegimeExecucao="Unitário"),$F571,"")</f>
        <v/>
      </c>
      <c r="W571" s="547">
        <f ca="1">IF($Y571&gt;0,CHOOSE(MATCH(RegimeExecucao,{"Unitário","Global"},0),IF($A571="S",$Y571/$X571,""),($Y571/$X571)*100),0)</f>
        <v>0</v>
      </c>
      <c r="X571" s="384" t="str">
        <f ca="1">IF($Y571&gt;0,CHOOSE(MATCH(RegimeExecucao,{"Unitário","Global"},0),IF($A571="S",ROUND($H571,ORÇAMENTO!$AF$10),""),ROUND($I571,ORÇAMENTO!$AF$11)),"")</f>
        <v/>
      </c>
      <c r="Y571" s="384">
        <f t="shared" ca="1" si="50"/>
        <v>0</v>
      </c>
      <c r="Z571" s="572"/>
      <c r="AB571" s="382"/>
      <c r="AC571" s="516"/>
      <c r="AD571" s="516"/>
      <c r="AE571" s="516"/>
      <c r="AF571" s="516"/>
      <c r="AG571" s="516"/>
      <c r="AH571" s="516"/>
      <c r="AI571" s="516"/>
      <c r="AJ571" s="516"/>
      <c r="AK571" s="516"/>
      <c r="AL571" s="516"/>
      <c r="AM571" s="383"/>
      <c r="AO571">
        <f ca="1">IF($A571="S",IF(BM!$I571=0,0,CHOOSE(MATCH(RegimeExecucao,{"Global","Unitário"},0),ROUND(ROUND(BM.MEDAcumulado,15-13*BM!$A$9)/100*BM!$I571,15-13*ORÇAMENTO!$AF$11),ROUND(ROUND(BM.MEDAcumulado,15-13*BM!$A$9)*ROUND(BM!$H571,15-13*ORÇAMENTO!$AF$10),15-13*ORÇAMENTO!$AF$11))),IF($A571=0,0,ROUND(SomaAgrupBM,15-13*ORÇAMENTO!$AF$11)))</f>
        <v>0</v>
      </c>
    </row>
    <row r="572" spans="1:41" ht="38.25" x14ac:dyDescent="0.2">
      <c r="A572" t="str">
        <f ca="1">ORÇAMENTO!C572</f>
        <v>S</v>
      </c>
      <c r="B572">
        <f ca="1">ORÇAMENTO!D572</f>
        <v>0</v>
      </c>
      <c r="C572" s="116" t="str">
        <f t="shared" ca="1" si="44"/>
        <v/>
      </c>
      <c r="D572" s="119" t="str">
        <f ca="1">ORÇAMENTO!O572</f>
        <v>-</v>
      </c>
      <c r="E572" s="172" t="str">
        <f t="shared" ca="1" si="51"/>
        <v>(abra o arquivo 'Referência 06-2024.xlsm)</v>
      </c>
      <c r="F572" s="173" t="str">
        <f ca="1">IF(RegimeExecucao="Global","",ORÇAMENTO.Unidade)</f>
        <v/>
      </c>
      <c r="G572" s="124" t="str">
        <f ca="1">IF(RegimeExecucao="Global","",ORÇAMENTO!T572)</f>
        <v/>
      </c>
      <c r="H572" s="124" t="str">
        <f ca="1">IF(RegimeExecucao="Global","",ORÇAMENTO!W572)</f>
        <v/>
      </c>
      <c r="I572" s="127">
        <f ca="1">ORÇAMENTO!X572</f>
        <v>0</v>
      </c>
      <c r="J572" s="378">
        <f ca="1">IF($A572="S",IF(CAIXA.Modo,BM.AFAnterior,BM.MEDAnterior),IF(AND(RegimeExecucao="Global",$I572&gt;0,COUNTIF($AB$13:$AM$13,BM.medicao-1)&gt;0),M572/$I572*100,0))</f>
        <v>0</v>
      </c>
      <c r="K572" s="124">
        <f t="shared" ca="1" si="46"/>
        <v>0</v>
      </c>
      <c r="L572" s="379">
        <f ca="1">IF($A572="S",IF(CAIXA.Modo,BM.AFAcumulado,BM.MEDAcumulado),IF(AND(RegimeExecucao="Global",$I572&gt;0,COUNTIF($AB$13:$AM$13,BM.medicao)&gt;0),O572/$I572*100,0))</f>
        <v>0</v>
      </c>
      <c r="M572" s="380">
        <f ca="1">IF($A572="S",VTOTALBM,IF($A572=0,0,ROUND(SomaAgrupBM,15-13*ORÇAMENTO!$AF$11)))</f>
        <v>0</v>
      </c>
      <c r="N572" s="381">
        <f t="shared" ca="1" si="47"/>
        <v>0</v>
      </c>
      <c r="O572" s="127">
        <f ca="1">IF($A572="S",VTOTALBM,IF($A572=0,0,ROUND(SomaAgrupBM,15-13*ORÇAMENTO!$AF$11)))</f>
        <v>0</v>
      </c>
      <c r="Q572" s="382"/>
      <c r="R572" s="383"/>
      <c r="T572" s="119" t="str">
        <f t="shared" ca="1" si="48"/>
        <v/>
      </c>
      <c r="U572" s="172" t="str">
        <f t="shared" ca="1" si="49"/>
        <v/>
      </c>
      <c r="V572" s="173" t="str">
        <f ca="1">IF(AND($W572&gt;0,RegimeExecucao="Unitário"),$F572,"")</f>
        <v/>
      </c>
      <c r="W572" s="547">
        <f ca="1">IF($Y572&gt;0,CHOOSE(MATCH(RegimeExecucao,{"Unitário","Global"},0),IF($A572="S",$Y572/$X572,""),($Y572/$X572)*100),0)</f>
        <v>0</v>
      </c>
      <c r="X572" s="384" t="str">
        <f ca="1">IF($Y572&gt;0,CHOOSE(MATCH(RegimeExecucao,{"Unitário","Global"},0),IF($A572="S",ROUND($H572,ORÇAMENTO!$AF$10),""),ROUND($I572,ORÇAMENTO!$AF$11)),"")</f>
        <v/>
      </c>
      <c r="Y572" s="384">
        <f t="shared" ca="1" si="50"/>
        <v>0</v>
      </c>
      <c r="Z572" s="572"/>
      <c r="AB572" s="382"/>
      <c r="AC572" s="516"/>
      <c r="AD572" s="516"/>
      <c r="AE572" s="516"/>
      <c r="AF572" s="516"/>
      <c r="AG572" s="516"/>
      <c r="AH572" s="516"/>
      <c r="AI572" s="516"/>
      <c r="AJ572" s="516"/>
      <c r="AK572" s="516"/>
      <c r="AL572" s="516"/>
      <c r="AM572" s="383"/>
      <c r="AO572">
        <f ca="1">IF($A572="S",IF(BM!$I572=0,0,CHOOSE(MATCH(RegimeExecucao,{"Global","Unitário"},0),ROUND(ROUND(BM.MEDAcumulado,15-13*BM!$A$9)/100*BM!$I572,15-13*ORÇAMENTO!$AF$11),ROUND(ROUND(BM.MEDAcumulado,15-13*BM!$A$9)*ROUND(BM!$H572,15-13*ORÇAMENTO!$AF$10),15-13*ORÇAMENTO!$AF$11))),IF($A572=0,0,ROUND(SomaAgrupBM,15-13*ORÇAMENTO!$AF$11)))</f>
        <v>0</v>
      </c>
    </row>
    <row r="573" spans="1:41" x14ac:dyDescent="0.2">
      <c r="A573" t="str">
        <f ca="1">ORÇAMENTO!C573</f>
        <v>S</v>
      </c>
      <c r="B573">
        <f ca="1">ORÇAMENTO!D573</f>
        <v>0</v>
      </c>
      <c r="C573" s="116" t="str">
        <f t="shared" ca="1" si="44"/>
        <v/>
      </c>
      <c r="D573" s="119" t="str">
        <f ca="1">ORÇAMENTO!O573</f>
        <v>-</v>
      </c>
      <c r="E573" s="172" t="str">
        <f t="shared" ca="1" si="51"/>
        <v>(abra o arquivo 'Referência 06-2024.xlsm)</v>
      </c>
      <c r="F573" s="173" t="str">
        <f ca="1">IF(RegimeExecucao="Global","",ORÇAMENTO.Unidade)</f>
        <v/>
      </c>
      <c r="G573" s="124" t="str">
        <f ca="1">IF(RegimeExecucao="Global","",ORÇAMENTO!T573)</f>
        <v/>
      </c>
      <c r="H573" s="124" t="str">
        <f ca="1">IF(RegimeExecucao="Global","",ORÇAMENTO!W573)</f>
        <v/>
      </c>
      <c r="I573" s="127">
        <f ca="1">ORÇAMENTO!X573</f>
        <v>0</v>
      </c>
      <c r="J573" s="378">
        <f ca="1">IF($A573="S",IF(CAIXA.Modo,BM.AFAnterior,BM.MEDAnterior),IF(AND(RegimeExecucao="Global",$I573&gt;0,COUNTIF($AB$13:$AM$13,BM.medicao-1)&gt;0),M573/$I573*100,0))</f>
        <v>0</v>
      </c>
      <c r="K573" s="124">
        <f t="shared" ca="1" si="46"/>
        <v>0</v>
      </c>
      <c r="L573" s="379">
        <f ca="1">IF($A573="S",IF(CAIXA.Modo,BM.AFAcumulado,BM.MEDAcumulado),IF(AND(RegimeExecucao="Global",$I573&gt;0,COUNTIF($AB$13:$AM$13,BM.medicao)&gt;0),O573/$I573*100,0))</f>
        <v>0</v>
      </c>
      <c r="M573" s="380">
        <f ca="1">IF($A573="S",VTOTALBM,IF($A573=0,0,ROUND(SomaAgrupBM,15-13*ORÇAMENTO!$AF$11)))</f>
        <v>0</v>
      </c>
      <c r="N573" s="381">
        <f t="shared" ca="1" si="47"/>
        <v>0</v>
      </c>
      <c r="O573" s="127">
        <f ca="1">IF($A573="S",VTOTALBM,IF($A573=0,0,ROUND(SomaAgrupBM,15-13*ORÇAMENTO!$AF$11)))</f>
        <v>0</v>
      </c>
      <c r="Q573" s="382"/>
      <c r="R573" s="383"/>
      <c r="T573" s="119" t="str">
        <f t="shared" ca="1" si="48"/>
        <v/>
      </c>
      <c r="U573" s="172" t="str">
        <f t="shared" ca="1" si="49"/>
        <v/>
      </c>
      <c r="V573" s="173" t="str">
        <f ca="1">IF(AND($W573&gt;0,RegimeExecucao="Unitário"),$F573,"")</f>
        <v/>
      </c>
      <c r="W573" s="547">
        <f ca="1">IF($Y573&gt;0,CHOOSE(MATCH(RegimeExecucao,{"Unitário","Global"},0),IF($A573="S",$Y573/$X573,""),($Y573/$X573)*100),0)</f>
        <v>0</v>
      </c>
      <c r="X573" s="384" t="str">
        <f ca="1">IF($Y573&gt;0,CHOOSE(MATCH(RegimeExecucao,{"Unitário","Global"},0),IF($A573="S",ROUND($H573,ORÇAMENTO!$AF$10),""),ROUND($I573,ORÇAMENTO!$AF$11)),"")</f>
        <v/>
      </c>
      <c r="Y573" s="384">
        <f t="shared" ca="1" si="50"/>
        <v>0</v>
      </c>
      <c r="Z573" s="572"/>
      <c r="AB573" s="382"/>
      <c r="AC573" s="516"/>
      <c r="AD573" s="516"/>
      <c r="AE573" s="516"/>
      <c r="AF573" s="516"/>
      <c r="AG573" s="516"/>
      <c r="AH573" s="516"/>
      <c r="AI573" s="516"/>
      <c r="AJ573" s="516"/>
      <c r="AK573" s="516"/>
      <c r="AL573" s="516"/>
      <c r="AM573" s="383"/>
      <c r="AO573">
        <f ca="1">IF($A573="S",IF(BM!$I573=0,0,CHOOSE(MATCH(RegimeExecucao,{"Global","Unitário"},0),ROUND(ROUND(BM.MEDAcumulado,15-13*BM!$A$9)/100*BM!$I573,15-13*ORÇAMENTO!$AF$11),ROUND(ROUND(BM.MEDAcumulado,15-13*BM!$A$9)*ROUND(BM!$H573,15-13*ORÇAMENTO!$AF$10),15-13*ORÇAMENTO!$AF$11))),IF($A573=0,0,ROUND(SomaAgrupBM,15-13*ORÇAMENTO!$AF$11)))</f>
        <v>0</v>
      </c>
    </row>
    <row r="574" spans="1:41" ht="25.5" x14ac:dyDescent="0.2">
      <c r="A574" t="str">
        <f ca="1">ORÇAMENTO!C574</f>
        <v>S</v>
      </c>
      <c r="B574">
        <f ca="1">ORÇAMENTO!D574</f>
        <v>0</v>
      </c>
      <c r="C574" s="116" t="str">
        <f t="shared" ca="1" si="44"/>
        <v/>
      </c>
      <c r="D574" s="119" t="str">
        <f ca="1">ORÇAMENTO!O574</f>
        <v>-</v>
      </c>
      <c r="E574" s="172" t="str">
        <f t="shared" ca="1" si="51"/>
        <v>(abra o arquivo 'Referência 06-2024.xlsm)</v>
      </c>
      <c r="F574" s="173" t="str">
        <f ca="1">IF(RegimeExecucao="Global","",ORÇAMENTO.Unidade)</f>
        <v/>
      </c>
      <c r="G574" s="124" t="str">
        <f ca="1">IF(RegimeExecucao="Global","",ORÇAMENTO!T574)</f>
        <v/>
      </c>
      <c r="H574" s="124" t="str">
        <f ca="1">IF(RegimeExecucao="Global","",ORÇAMENTO!W574)</f>
        <v/>
      </c>
      <c r="I574" s="127">
        <f ca="1">ORÇAMENTO!X574</f>
        <v>0</v>
      </c>
      <c r="J574" s="378">
        <f ca="1">IF($A574="S",IF(CAIXA.Modo,BM.AFAnterior,BM.MEDAnterior),IF(AND(RegimeExecucao="Global",$I574&gt;0,COUNTIF($AB$13:$AM$13,BM.medicao-1)&gt;0),M574/$I574*100,0))</f>
        <v>0</v>
      </c>
      <c r="K574" s="124">
        <f t="shared" ca="1" si="46"/>
        <v>0</v>
      </c>
      <c r="L574" s="379">
        <f ca="1">IF($A574="S",IF(CAIXA.Modo,BM.AFAcumulado,BM.MEDAcumulado),IF(AND(RegimeExecucao="Global",$I574&gt;0,COUNTIF($AB$13:$AM$13,BM.medicao)&gt;0),O574/$I574*100,0))</f>
        <v>0</v>
      </c>
      <c r="M574" s="380">
        <f ca="1">IF($A574="S",VTOTALBM,IF($A574=0,0,ROUND(SomaAgrupBM,15-13*ORÇAMENTO!$AF$11)))</f>
        <v>0</v>
      </c>
      <c r="N574" s="381">
        <f t="shared" ca="1" si="47"/>
        <v>0</v>
      </c>
      <c r="O574" s="127">
        <f ca="1">IF($A574="S",VTOTALBM,IF($A574=0,0,ROUND(SomaAgrupBM,15-13*ORÇAMENTO!$AF$11)))</f>
        <v>0</v>
      </c>
      <c r="Q574" s="382"/>
      <c r="R574" s="383"/>
      <c r="T574" s="119" t="str">
        <f t="shared" ca="1" si="48"/>
        <v/>
      </c>
      <c r="U574" s="172" t="str">
        <f t="shared" ca="1" si="49"/>
        <v/>
      </c>
      <c r="V574" s="173" t="str">
        <f ca="1">IF(AND($W574&gt;0,RegimeExecucao="Unitário"),$F574,"")</f>
        <v/>
      </c>
      <c r="W574" s="547">
        <f ca="1">IF($Y574&gt;0,CHOOSE(MATCH(RegimeExecucao,{"Unitário","Global"},0),IF($A574="S",$Y574/$X574,""),($Y574/$X574)*100),0)</f>
        <v>0</v>
      </c>
      <c r="X574" s="384" t="str">
        <f ca="1">IF($Y574&gt;0,CHOOSE(MATCH(RegimeExecucao,{"Unitário","Global"},0),IF($A574="S",ROUND($H574,ORÇAMENTO!$AF$10),""),ROUND($I574,ORÇAMENTO!$AF$11)),"")</f>
        <v/>
      </c>
      <c r="Y574" s="384">
        <f t="shared" ca="1" si="50"/>
        <v>0</v>
      </c>
      <c r="Z574" s="572"/>
      <c r="AB574" s="382"/>
      <c r="AC574" s="516"/>
      <c r="AD574" s="516"/>
      <c r="AE574" s="516"/>
      <c r="AF574" s="516"/>
      <c r="AG574" s="516"/>
      <c r="AH574" s="516"/>
      <c r="AI574" s="516"/>
      <c r="AJ574" s="516"/>
      <c r="AK574" s="516"/>
      <c r="AL574" s="516"/>
      <c r="AM574" s="383"/>
      <c r="AO574">
        <f ca="1">IF($A574="S",IF(BM!$I574=0,0,CHOOSE(MATCH(RegimeExecucao,{"Global","Unitário"},0),ROUND(ROUND(BM.MEDAcumulado,15-13*BM!$A$9)/100*BM!$I574,15-13*ORÇAMENTO!$AF$11),ROUND(ROUND(BM.MEDAcumulado,15-13*BM!$A$9)*ROUND(BM!$H574,15-13*ORÇAMENTO!$AF$10),15-13*ORÇAMENTO!$AF$11))),IF($A574=0,0,ROUND(SomaAgrupBM,15-13*ORÇAMENTO!$AF$11)))</f>
        <v>0</v>
      </c>
    </row>
    <row r="575" spans="1:41" ht="25.5" x14ac:dyDescent="0.2">
      <c r="A575" t="str">
        <f ca="1">ORÇAMENTO!C575</f>
        <v>S</v>
      </c>
      <c r="B575">
        <f ca="1">ORÇAMENTO!D575</f>
        <v>0</v>
      </c>
      <c r="C575" s="116" t="str">
        <f t="shared" ca="1" si="44"/>
        <v/>
      </c>
      <c r="D575" s="119" t="str">
        <f ca="1">ORÇAMENTO!O575</f>
        <v>-</v>
      </c>
      <c r="E575" s="172" t="str">
        <f t="shared" ca="1" si="51"/>
        <v>(abra o arquivo 'Referência 06-2024.xlsm)</v>
      </c>
      <c r="F575" s="173" t="str">
        <f ca="1">IF(RegimeExecucao="Global","",ORÇAMENTO.Unidade)</f>
        <v/>
      </c>
      <c r="G575" s="124" t="str">
        <f ca="1">IF(RegimeExecucao="Global","",ORÇAMENTO!T575)</f>
        <v/>
      </c>
      <c r="H575" s="124" t="str">
        <f ca="1">IF(RegimeExecucao="Global","",ORÇAMENTO!W575)</f>
        <v/>
      </c>
      <c r="I575" s="127">
        <f ca="1">ORÇAMENTO!X575</f>
        <v>0</v>
      </c>
      <c r="J575" s="378">
        <f ca="1">IF($A575="S",IF(CAIXA.Modo,BM.AFAnterior,BM.MEDAnterior),IF(AND(RegimeExecucao="Global",$I575&gt;0,COUNTIF($AB$13:$AM$13,BM.medicao-1)&gt;0),M575/$I575*100,0))</f>
        <v>0</v>
      </c>
      <c r="K575" s="124">
        <f t="shared" ca="1" si="46"/>
        <v>0</v>
      </c>
      <c r="L575" s="379">
        <f ca="1">IF($A575="S",IF(CAIXA.Modo,BM.AFAcumulado,BM.MEDAcumulado),IF(AND(RegimeExecucao="Global",$I575&gt;0,COUNTIF($AB$13:$AM$13,BM.medicao)&gt;0),O575/$I575*100,0))</f>
        <v>0</v>
      </c>
      <c r="M575" s="380">
        <f ca="1">IF($A575="S",VTOTALBM,IF($A575=0,0,ROUND(SomaAgrupBM,15-13*ORÇAMENTO!$AF$11)))</f>
        <v>0</v>
      </c>
      <c r="N575" s="381">
        <f t="shared" ca="1" si="47"/>
        <v>0</v>
      </c>
      <c r="O575" s="127">
        <f ca="1">IF($A575="S",VTOTALBM,IF($A575=0,0,ROUND(SomaAgrupBM,15-13*ORÇAMENTO!$AF$11)))</f>
        <v>0</v>
      </c>
      <c r="Q575" s="382"/>
      <c r="R575" s="383"/>
      <c r="T575" s="119" t="str">
        <f t="shared" ca="1" si="48"/>
        <v/>
      </c>
      <c r="U575" s="172" t="str">
        <f t="shared" ca="1" si="49"/>
        <v/>
      </c>
      <c r="V575" s="173" t="str">
        <f ca="1">IF(AND($W575&gt;0,RegimeExecucao="Unitário"),$F575,"")</f>
        <v/>
      </c>
      <c r="W575" s="547">
        <f ca="1">IF($Y575&gt;0,CHOOSE(MATCH(RegimeExecucao,{"Unitário","Global"},0),IF($A575="S",$Y575/$X575,""),($Y575/$X575)*100),0)</f>
        <v>0</v>
      </c>
      <c r="X575" s="384" t="str">
        <f ca="1">IF($Y575&gt;0,CHOOSE(MATCH(RegimeExecucao,{"Unitário","Global"},0),IF($A575="S",ROUND($H575,ORÇAMENTO!$AF$10),""),ROUND($I575,ORÇAMENTO!$AF$11)),"")</f>
        <v/>
      </c>
      <c r="Y575" s="384">
        <f t="shared" ca="1" si="50"/>
        <v>0</v>
      </c>
      <c r="Z575" s="572"/>
      <c r="AB575" s="382"/>
      <c r="AC575" s="516"/>
      <c r="AD575" s="516"/>
      <c r="AE575" s="516"/>
      <c r="AF575" s="516"/>
      <c r="AG575" s="516"/>
      <c r="AH575" s="516"/>
      <c r="AI575" s="516"/>
      <c r="AJ575" s="516"/>
      <c r="AK575" s="516"/>
      <c r="AL575" s="516"/>
      <c r="AM575" s="383"/>
      <c r="AO575">
        <f ca="1">IF($A575="S",IF(BM!$I575=0,0,CHOOSE(MATCH(RegimeExecucao,{"Global","Unitário"},0),ROUND(ROUND(BM.MEDAcumulado,15-13*BM!$A$9)/100*BM!$I575,15-13*ORÇAMENTO!$AF$11),ROUND(ROUND(BM.MEDAcumulado,15-13*BM!$A$9)*ROUND(BM!$H575,15-13*ORÇAMENTO!$AF$10),15-13*ORÇAMENTO!$AF$11))),IF($A575=0,0,ROUND(SomaAgrupBM,15-13*ORÇAMENTO!$AF$11)))</f>
        <v>0</v>
      </c>
    </row>
    <row r="576" spans="1:41" ht="38.25" x14ac:dyDescent="0.2">
      <c r="A576" t="str">
        <f ca="1">ORÇAMENTO!C576</f>
        <v>S</v>
      </c>
      <c r="B576">
        <f ca="1">ORÇAMENTO!D576</f>
        <v>0</v>
      </c>
      <c r="C576" s="116" t="str">
        <f t="shared" ca="1" si="44"/>
        <v/>
      </c>
      <c r="D576" s="119" t="str">
        <f ca="1">ORÇAMENTO!O576</f>
        <v>-</v>
      </c>
      <c r="E576" s="172" t="str">
        <f t="shared" ca="1" si="51"/>
        <v>(abra o arquivo 'Referência 06-2024.xlsm)</v>
      </c>
      <c r="F576" s="173" t="str">
        <f ca="1">IF(RegimeExecucao="Global","",ORÇAMENTO.Unidade)</f>
        <v/>
      </c>
      <c r="G576" s="124" t="str">
        <f ca="1">IF(RegimeExecucao="Global","",ORÇAMENTO!T576)</f>
        <v/>
      </c>
      <c r="H576" s="124" t="str">
        <f ca="1">IF(RegimeExecucao="Global","",ORÇAMENTO!W576)</f>
        <v/>
      </c>
      <c r="I576" s="127">
        <f ca="1">ORÇAMENTO!X576</f>
        <v>0</v>
      </c>
      <c r="J576" s="378">
        <f ca="1">IF($A576="S",IF(CAIXA.Modo,BM.AFAnterior,BM.MEDAnterior),IF(AND(RegimeExecucao="Global",$I576&gt;0,COUNTIF($AB$13:$AM$13,BM.medicao-1)&gt;0),M576/$I576*100,0))</f>
        <v>0</v>
      </c>
      <c r="K576" s="124">
        <f t="shared" ca="1" si="46"/>
        <v>0</v>
      </c>
      <c r="L576" s="379">
        <f ca="1">IF($A576="S",IF(CAIXA.Modo,BM.AFAcumulado,BM.MEDAcumulado),IF(AND(RegimeExecucao="Global",$I576&gt;0,COUNTIF($AB$13:$AM$13,BM.medicao)&gt;0),O576/$I576*100,0))</f>
        <v>0</v>
      </c>
      <c r="M576" s="380">
        <f ca="1">IF($A576="S",VTOTALBM,IF($A576=0,0,ROUND(SomaAgrupBM,15-13*ORÇAMENTO!$AF$11)))</f>
        <v>0</v>
      </c>
      <c r="N576" s="381">
        <f t="shared" ca="1" si="47"/>
        <v>0</v>
      </c>
      <c r="O576" s="127">
        <f ca="1">IF($A576="S",VTOTALBM,IF($A576=0,0,ROUND(SomaAgrupBM,15-13*ORÇAMENTO!$AF$11)))</f>
        <v>0</v>
      </c>
      <c r="Q576" s="382"/>
      <c r="R576" s="383"/>
      <c r="T576" s="119" t="str">
        <f t="shared" ca="1" si="48"/>
        <v/>
      </c>
      <c r="U576" s="172" t="str">
        <f t="shared" ca="1" si="49"/>
        <v/>
      </c>
      <c r="V576" s="173" t="str">
        <f ca="1">IF(AND($W576&gt;0,RegimeExecucao="Unitário"),$F576,"")</f>
        <v/>
      </c>
      <c r="W576" s="547">
        <f ca="1">IF($Y576&gt;0,CHOOSE(MATCH(RegimeExecucao,{"Unitário","Global"},0),IF($A576="S",$Y576/$X576,""),($Y576/$X576)*100),0)</f>
        <v>0</v>
      </c>
      <c r="X576" s="384" t="str">
        <f ca="1">IF($Y576&gt;0,CHOOSE(MATCH(RegimeExecucao,{"Unitário","Global"},0),IF($A576="S",ROUND($H576,ORÇAMENTO!$AF$10),""),ROUND($I576,ORÇAMENTO!$AF$11)),"")</f>
        <v/>
      </c>
      <c r="Y576" s="384">
        <f t="shared" ca="1" si="50"/>
        <v>0</v>
      </c>
      <c r="Z576" s="572"/>
      <c r="AB576" s="382"/>
      <c r="AC576" s="516"/>
      <c r="AD576" s="516"/>
      <c r="AE576" s="516"/>
      <c r="AF576" s="516"/>
      <c r="AG576" s="516"/>
      <c r="AH576" s="516"/>
      <c r="AI576" s="516"/>
      <c r="AJ576" s="516"/>
      <c r="AK576" s="516"/>
      <c r="AL576" s="516"/>
      <c r="AM576" s="383"/>
      <c r="AO576">
        <f ca="1">IF($A576="S",IF(BM!$I576=0,0,CHOOSE(MATCH(RegimeExecucao,{"Global","Unitário"},0),ROUND(ROUND(BM.MEDAcumulado,15-13*BM!$A$9)/100*BM!$I576,15-13*ORÇAMENTO!$AF$11),ROUND(ROUND(BM.MEDAcumulado,15-13*BM!$A$9)*ROUND(BM!$H576,15-13*ORÇAMENTO!$AF$10),15-13*ORÇAMENTO!$AF$11))),IF($A576=0,0,ROUND(SomaAgrupBM,15-13*ORÇAMENTO!$AF$11)))</f>
        <v>0</v>
      </c>
    </row>
    <row r="577" spans="1:41" ht="25.5" x14ac:dyDescent="0.2">
      <c r="A577" t="str">
        <f ca="1">ORÇAMENTO!C577</f>
        <v>S</v>
      </c>
      <c r="B577">
        <f ca="1">ORÇAMENTO!D577</f>
        <v>0</v>
      </c>
      <c r="C577" s="116" t="str">
        <f t="shared" ca="1" si="44"/>
        <v/>
      </c>
      <c r="D577" s="119" t="str">
        <f ca="1">ORÇAMENTO!O577</f>
        <v>-</v>
      </c>
      <c r="E577" s="172" t="str">
        <f t="shared" ca="1" si="51"/>
        <v>(abra o arquivo 'Referência 06-2024.xlsm)</v>
      </c>
      <c r="F577" s="173" t="str">
        <f ca="1">IF(RegimeExecucao="Global","",ORÇAMENTO.Unidade)</f>
        <v/>
      </c>
      <c r="G577" s="124" t="str">
        <f ca="1">IF(RegimeExecucao="Global","",ORÇAMENTO!T577)</f>
        <v/>
      </c>
      <c r="H577" s="124" t="str">
        <f ca="1">IF(RegimeExecucao="Global","",ORÇAMENTO!W577)</f>
        <v/>
      </c>
      <c r="I577" s="127">
        <f ca="1">ORÇAMENTO!X577</f>
        <v>0</v>
      </c>
      <c r="J577" s="378">
        <f ca="1">IF($A577="S",IF(CAIXA.Modo,BM.AFAnterior,BM.MEDAnterior),IF(AND(RegimeExecucao="Global",$I577&gt;0,COUNTIF($AB$13:$AM$13,BM.medicao-1)&gt;0),M577/$I577*100,0))</f>
        <v>0</v>
      </c>
      <c r="K577" s="124">
        <f t="shared" ca="1" si="46"/>
        <v>0</v>
      </c>
      <c r="L577" s="379">
        <f ca="1">IF($A577="S",IF(CAIXA.Modo,BM.AFAcumulado,BM.MEDAcumulado),IF(AND(RegimeExecucao="Global",$I577&gt;0,COUNTIF($AB$13:$AM$13,BM.medicao)&gt;0),O577/$I577*100,0))</f>
        <v>0</v>
      </c>
      <c r="M577" s="380">
        <f ca="1">IF($A577="S",VTOTALBM,IF($A577=0,0,ROUND(SomaAgrupBM,15-13*ORÇAMENTO!$AF$11)))</f>
        <v>0</v>
      </c>
      <c r="N577" s="381">
        <f t="shared" ca="1" si="47"/>
        <v>0</v>
      </c>
      <c r="O577" s="127">
        <f ca="1">IF($A577="S",VTOTALBM,IF($A577=0,0,ROUND(SomaAgrupBM,15-13*ORÇAMENTO!$AF$11)))</f>
        <v>0</v>
      </c>
      <c r="Q577" s="382"/>
      <c r="R577" s="383"/>
      <c r="T577" s="119" t="str">
        <f t="shared" ca="1" si="48"/>
        <v/>
      </c>
      <c r="U577" s="172" t="str">
        <f t="shared" ca="1" si="49"/>
        <v/>
      </c>
      <c r="V577" s="173" t="str">
        <f ca="1">IF(AND($W577&gt;0,RegimeExecucao="Unitário"),$F577,"")</f>
        <v/>
      </c>
      <c r="W577" s="547">
        <f ca="1">IF($Y577&gt;0,CHOOSE(MATCH(RegimeExecucao,{"Unitário","Global"},0),IF($A577="S",$Y577/$X577,""),($Y577/$X577)*100),0)</f>
        <v>0</v>
      </c>
      <c r="X577" s="384" t="str">
        <f ca="1">IF($Y577&gt;0,CHOOSE(MATCH(RegimeExecucao,{"Unitário","Global"},0),IF($A577="S",ROUND($H577,ORÇAMENTO!$AF$10),""),ROUND($I577,ORÇAMENTO!$AF$11)),"")</f>
        <v/>
      </c>
      <c r="Y577" s="384">
        <f t="shared" ca="1" si="50"/>
        <v>0</v>
      </c>
      <c r="Z577" s="572"/>
      <c r="AB577" s="382"/>
      <c r="AC577" s="516"/>
      <c r="AD577" s="516"/>
      <c r="AE577" s="516"/>
      <c r="AF577" s="516"/>
      <c r="AG577" s="516"/>
      <c r="AH577" s="516"/>
      <c r="AI577" s="516"/>
      <c r="AJ577" s="516"/>
      <c r="AK577" s="516"/>
      <c r="AL577" s="516"/>
      <c r="AM577" s="383"/>
      <c r="AO577">
        <f ca="1">IF($A577="S",IF(BM!$I577=0,0,CHOOSE(MATCH(RegimeExecucao,{"Global","Unitário"},0),ROUND(ROUND(BM.MEDAcumulado,15-13*BM!$A$9)/100*BM!$I577,15-13*ORÇAMENTO!$AF$11),ROUND(ROUND(BM.MEDAcumulado,15-13*BM!$A$9)*ROUND(BM!$H577,15-13*ORÇAMENTO!$AF$10),15-13*ORÇAMENTO!$AF$11))),IF($A577=0,0,ROUND(SomaAgrupBM,15-13*ORÇAMENTO!$AF$11)))</f>
        <v>0</v>
      </c>
    </row>
    <row r="578" spans="1:41" ht="25.5" x14ac:dyDescent="0.2">
      <c r="A578" t="str">
        <f ca="1">ORÇAMENTO!C578</f>
        <v>S</v>
      </c>
      <c r="B578">
        <f ca="1">ORÇAMENTO!D578</f>
        <v>0</v>
      </c>
      <c r="C578" s="116" t="str">
        <f t="shared" ca="1" si="44"/>
        <v/>
      </c>
      <c r="D578" s="119" t="str">
        <f ca="1">ORÇAMENTO!O578</f>
        <v>-</v>
      </c>
      <c r="E578" s="172" t="str">
        <f t="shared" ca="1" si="51"/>
        <v>(abra o arquivo 'Referência 06-2024.xlsm)</v>
      </c>
      <c r="F578" s="173" t="str">
        <f ca="1">IF(RegimeExecucao="Global","",ORÇAMENTO.Unidade)</f>
        <v/>
      </c>
      <c r="G578" s="124" t="str">
        <f ca="1">IF(RegimeExecucao="Global","",ORÇAMENTO!T578)</f>
        <v/>
      </c>
      <c r="H578" s="124" t="str">
        <f ca="1">IF(RegimeExecucao="Global","",ORÇAMENTO!W578)</f>
        <v/>
      </c>
      <c r="I578" s="127">
        <f ca="1">ORÇAMENTO!X578</f>
        <v>0</v>
      </c>
      <c r="J578" s="378">
        <f ca="1">IF($A578="S",IF(CAIXA.Modo,BM.AFAnterior,BM.MEDAnterior),IF(AND(RegimeExecucao="Global",$I578&gt;0,COUNTIF($AB$13:$AM$13,BM.medicao-1)&gt;0),M578/$I578*100,0))</f>
        <v>0</v>
      </c>
      <c r="K578" s="124">
        <f t="shared" ca="1" si="46"/>
        <v>0</v>
      </c>
      <c r="L578" s="379">
        <f ca="1">IF($A578="S",IF(CAIXA.Modo,BM.AFAcumulado,BM.MEDAcumulado),IF(AND(RegimeExecucao="Global",$I578&gt;0,COUNTIF($AB$13:$AM$13,BM.medicao)&gt;0),O578/$I578*100,0))</f>
        <v>0</v>
      </c>
      <c r="M578" s="380">
        <f ca="1">IF($A578="S",VTOTALBM,IF($A578=0,0,ROUND(SomaAgrupBM,15-13*ORÇAMENTO!$AF$11)))</f>
        <v>0</v>
      </c>
      <c r="N578" s="381">
        <f t="shared" ca="1" si="47"/>
        <v>0</v>
      </c>
      <c r="O578" s="127">
        <f ca="1">IF($A578="S",VTOTALBM,IF($A578=0,0,ROUND(SomaAgrupBM,15-13*ORÇAMENTO!$AF$11)))</f>
        <v>0</v>
      </c>
      <c r="Q578" s="382"/>
      <c r="R578" s="383"/>
      <c r="T578" s="119" t="str">
        <f t="shared" ca="1" si="48"/>
        <v/>
      </c>
      <c r="U578" s="172" t="str">
        <f t="shared" ca="1" si="49"/>
        <v/>
      </c>
      <c r="V578" s="173" t="str">
        <f ca="1">IF(AND($W578&gt;0,RegimeExecucao="Unitário"),$F578,"")</f>
        <v/>
      </c>
      <c r="W578" s="547">
        <f ca="1">IF($Y578&gt;0,CHOOSE(MATCH(RegimeExecucao,{"Unitário","Global"},0),IF($A578="S",$Y578/$X578,""),($Y578/$X578)*100),0)</f>
        <v>0</v>
      </c>
      <c r="X578" s="384" t="str">
        <f ca="1">IF($Y578&gt;0,CHOOSE(MATCH(RegimeExecucao,{"Unitário","Global"},0),IF($A578="S",ROUND($H578,ORÇAMENTO!$AF$10),""),ROUND($I578,ORÇAMENTO!$AF$11)),"")</f>
        <v/>
      </c>
      <c r="Y578" s="384">
        <f t="shared" ca="1" si="50"/>
        <v>0</v>
      </c>
      <c r="Z578" s="572"/>
      <c r="AB578" s="382"/>
      <c r="AC578" s="516"/>
      <c r="AD578" s="516"/>
      <c r="AE578" s="516"/>
      <c r="AF578" s="516"/>
      <c r="AG578" s="516"/>
      <c r="AH578" s="516"/>
      <c r="AI578" s="516"/>
      <c r="AJ578" s="516"/>
      <c r="AK578" s="516"/>
      <c r="AL578" s="516"/>
      <c r="AM578" s="383"/>
      <c r="AO578">
        <f ca="1">IF($A578="S",IF(BM!$I578=0,0,CHOOSE(MATCH(RegimeExecucao,{"Global","Unitário"},0),ROUND(ROUND(BM.MEDAcumulado,15-13*BM!$A$9)/100*BM!$I578,15-13*ORÇAMENTO!$AF$11),ROUND(ROUND(BM.MEDAcumulado,15-13*BM!$A$9)*ROUND(BM!$H578,15-13*ORÇAMENTO!$AF$10),15-13*ORÇAMENTO!$AF$11))),IF($A578=0,0,ROUND(SomaAgrupBM,15-13*ORÇAMENTO!$AF$11)))</f>
        <v>0</v>
      </c>
    </row>
    <row r="579" spans="1:41" ht="38.25" x14ac:dyDescent="0.2">
      <c r="A579" t="str">
        <f ca="1">ORÇAMENTO!C579</f>
        <v>S</v>
      </c>
      <c r="B579">
        <f ca="1">ORÇAMENTO!D579</f>
        <v>0</v>
      </c>
      <c r="C579" s="116" t="str">
        <f t="shared" ca="1" si="44"/>
        <v/>
      </c>
      <c r="D579" s="119" t="str">
        <f ca="1">ORÇAMENTO!O579</f>
        <v>-</v>
      </c>
      <c r="E579" s="172" t="str">
        <f t="shared" ca="1" si="51"/>
        <v>(abra o arquivo 'Referência 06-2024.xlsm)</v>
      </c>
      <c r="F579" s="173" t="str">
        <f ca="1">IF(RegimeExecucao="Global","",ORÇAMENTO.Unidade)</f>
        <v/>
      </c>
      <c r="G579" s="124" t="str">
        <f ca="1">IF(RegimeExecucao="Global","",ORÇAMENTO!T579)</f>
        <v/>
      </c>
      <c r="H579" s="124" t="str">
        <f ca="1">IF(RegimeExecucao="Global","",ORÇAMENTO!W579)</f>
        <v/>
      </c>
      <c r="I579" s="127">
        <f ca="1">ORÇAMENTO!X579</f>
        <v>0</v>
      </c>
      <c r="J579" s="378">
        <f ca="1">IF($A579="S",IF(CAIXA.Modo,BM.AFAnterior,BM.MEDAnterior),IF(AND(RegimeExecucao="Global",$I579&gt;0,COUNTIF($AB$13:$AM$13,BM.medicao-1)&gt;0),M579/$I579*100,0))</f>
        <v>0</v>
      </c>
      <c r="K579" s="124">
        <f t="shared" ca="1" si="46"/>
        <v>0</v>
      </c>
      <c r="L579" s="379">
        <f ca="1">IF($A579="S",IF(CAIXA.Modo,BM.AFAcumulado,BM.MEDAcumulado),IF(AND(RegimeExecucao="Global",$I579&gt;0,COUNTIF($AB$13:$AM$13,BM.medicao)&gt;0),O579/$I579*100,0))</f>
        <v>0</v>
      </c>
      <c r="M579" s="380">
        <f ca="1">IF($A579="S",VTOTALBM,IF($A579=0,0,ROUND(SomaAgrupBM,15-13*ORÇAMENTO!$AF$11)))</f>
        <v>0</v>
      </c>
      <c r="N579" s="381">
        <f t="shared" ca="1" si="47"/>
        <v>0</v>
      </c>
      <c r="O579" s="127">
        <f ca="1">IF($A579="S",VTOTALBM,IF($A579=0,0,ROUND(SomaAgrupBM,15-13*ORÇAMENTO!$AF$11)))</f>
        <v>0</v>
      </c>
      <c r="Q579" s="382"/>
      <c r="R579" s="383"/>
      <c r="T579" s="119" t="str">
        <f t="shared" ca="1" si="48"/>
        <v/>
      </c>
      <c r="U579" s="172" t="str">
        <f t="shared" ca="1" si="49"/>
        <v/>
      </c>
      <c r="V579" s="173" t="str">
        <f ca="1">IF(AND($W579&gt;0,RegimeExecucao="Unitário"),$F579,"")</f>
        <v/>
      </c>
      <c r="W579" s="547">
        <f ca="1">IF($Y579&gt;0,CHOOSE(MATCH(RegimeExecucao,{"Unitário","Global"},0),IF($A579="S",$Y579/$X579,""),($Y579/$X579)*100),0)</f>
        <v>0</v>
      </c>
      <c r="X579" s="384" t="str">
        <f ca="1">IF($Y579&gt;0,CHOOSE(MATCH(RegimeExecucao,{"Unitário","Global"},0),IF($A579="S",ROUND($H579,ORÇAMENTO!$AF$10),""),ROUND($I579,ORÇAMENTO!$AF$11)),"")</f>
        <v/>
      </c>
      <c r="Y579" s="384">
        <f t="shared" ca="1" si="50"/>
        <v>0</v>
      </c>
      <c r="Z579" s="572"/>
      <c r="AB579" s="382"/>
      <c r="AC579" s="516"/>
      <c r="AD579" s="516"/>
      <c r="AE579" s="516"/>
      <c r="AF579" s="516"/>
      <c r="AG579" s="516"/>
      <c r="AH579" s="516"/>
      <c r="AI579" s="516"/>
      <c r="AJ579" s="516"/>
      <c r="AK579" s="516"/>
      <c r="AL579" s="516"/>
      <c r="AM579" s="383"/>
      <c r="AO579">
        <f ca="1">IF($A579="S",IF(BM!$I579=0,0,CHOOSE(MATCH(RegimeExecucao,{"Global","Unitário"},0),ROUND(ROUND(BM.MEDAcumulado,15-13*BM!$A$9)/100*BM!$I579,15-13*ORÇAMENTO!$AF$11),ROUND(ROUND(BM.MEDAcumulado,15-13*BM!$A$9)*ROUND(BM!$H579,15-13*ORÇAMENTO!$AF$10),15-13*ORÇAMENTO!$AF$11))),IF($A579=0,0,ROUND(SomaAgrupBM,15-13*ORÇAMENTO!$AF$11)))</f>
        <v>0</v>
      </c>
    </row>
    <row r="580" spans="1:41" x14ac:dyDescent="0.2">
      <c r="A580">
        <f ca="1">ORÇAMENTO!C580</f>
        <v>2</v>
      </c>
      <c r="B580">
        <f ca="1">ORÇAMENTO!D580</f>
        <v>11</v>
      </c>
      <c r="C580" s="116" t="str">
        <f t="shared" ca="1" si="44"/>
        <v>F</v>
      </c>
      <c r="D580" s="119" t="str">
        <f ca="1">ORÇAMENTO!O580</f>
        <v>1.58.</v>
      </c>
      <c r="E580" s="172" t="str">
        <f t="shared" si="51"/>
        <v>INSTALAÇÃO ELÉTRICA 110V - ELETRODUTOS</v>
      </c>
      <c r="F580" s="173" t="str">
        <f ca="1">IF(RegimeExecucao="Global","",ORÇAMENTO.Unidade)</f>
        <v/>
      </c>
      <c r="G580" s="124" t="str">
        <f ca="1">IF(RegimeExecucao="Global","",ORÇAMENTO!T580)</f>
        <v/>
      </c>
      <c r="H580" s="124" t="str">
        <f ca="1">IF(RegimeExecucao="Global","",ORÇAMENTO!W580)</f>
        <v/>
      </c>
      <c r="I580" s="127">
        <f ca="1">ORÇAMENTO!X580</f>
        <v>0</v>
      </c>
      <c r="J580" s="378">
        <f ca="1">IF($A580="S",IF(CAIXA.Modo,BM.AFAnterior,BM.MEDAnterior),IF(AND(RegimeExecucao="Global",$I580&gt;0,COUNTIF($AB$13:$AM$13,BM.medicao-1)&gt;0),M580/$I580*100,0))</f>
        <v>0</v>
      </c>
      <c r="K580" s="124">
        <f t="shared" ca="1" si="46"/>
        <v>0</v>
      </c>
      <c r="L580" s="379">
        <f ca="1">IF($A580="S",IF(CAIXA.Modo,BM.AFAcumulado,BM.MEDAcumulado),IF(AND(RegimeExecucao="Global",$I580&gt;0,COUNTIF($AB$13:$AM$13,BM.medicao)&gt;0),O580/$I580*100,0))</f>
        <v>0</v>
      </c>
      <c r="M580" s="380">
        <f ca="1">IF($A580="S",VTOTALBM,IF($A580=0,0,ROUND(SomaAgrupBM,15-13*ORÇAMENTO!$AF$11)))</f>
        <v>0</v>
      </c>
      <c r="N580" s="381">
        <f t="shared" ca="1" si="47"/>
        <v>0</v>
      </c>
      <c r="O580" s="127">
        <f ca="1">IF($A580="S",VTOTALBM,IF($A580=0,0,ROUND(SomaAgrupBM,15-13*ORÇAMENTO!$AF$11)))</f>
        <v>0</v>
      </c>
      <c r="Q580" s="382"/>
      <c r="R580" s="383"/>
      <c r="T580" s="119" t="str">
        <f t="shared" ca="1" si="48"/>
        <v/>
      </c>
      <c r="U580" s="172" t="str">
        <f t="shared" ca="1" si="49"/>
        <v/>
      </c>
      <c r="V580" s="173" t="str">
        <f ca="1">IF(AND($W580&gt;0,RegimeExecucao="Unitário"),$F580,"")</f>
        <v/>
      </c>
      <c r="W580" s="547">
        <f ca="1">IF($Y580&gt;0,CHOOSE(MATCH(RegimeExecucao,{"Unitário","Global"},0),IF($A580="S",$Y580/$X580,""),($Y580/$X580)*100),0)</f>
        <v>0</v>
      </c>
      <c r="X580" s="384" t="str">
        <f ca="1">IF($Y580&gt;0,CHOOSE(MATCH(RegimeExecucao,{"Unitário","Global"},0),IF($A580="S",ROUND($H580,ORÇAMENTO!$AF$10),""),ROUND($I580,ORÇAMENTO!$AF$11)),"")</f>
        <v/>
      </c>
      <c r="Y580" s="384">
        <f t="shared" ca="1" si="50"/>
        <v>0</v>
      </c>
      <c r="Z580" s="572"/>
      <c r="AB580" s="382"/>
      <c r="AC580" s="516"/>
      <c r="AD580" s="516"/>
      <c r="AE580" s="516"/>
      <c r="AF580" s="516"/>
      <c r="AG580" s="516"/>
      <c r="AH580" s="516"/>
      <c r="AI580" s="516"/>
      <c r="AJ580" s="516"/>
      <c r="AK580" s="516"/>
      <c r="AL580" s="516"/>
      <c r="AM580" s="383"/>
      <c r="AO580">
        <f ca="1">IF($A580="S",IF(BM!$I580=0,0,CHOOSE(MATCH(RegimeExecucao,{"Global","Unitário"},0),ROUND(ROUND(BM.MEDAcumulado,15-13*BM!$A$9)/100*BM!$I580,15-13*ORÇAMENTO!$AF$11),ROUND(ROUND(BM.MEDAcumulado,15-13*BM!$A$9)*ROUND(BM!$H580,15-13*ORÇAMENTO!$AF$10),15-13*ORÇAMENTO!$AF$11))),IF($A580=0,0,ROUND(SomaAgrupBM,15-13*ORÇAMENTO!$AF$11)))</f>
        <v>0</v>
      </c>
    </row>
    <row r="581" spans="1:41" ht="38.25" x14ac:dyDescent="0.2">
      <c r="A581" t="str">
        <f ca="1">ORÇAMENTO!C581</f>
        <v>S</v>
      </c>
      <c r="B581">
        <f ca="1">ORÇAMENTO!D581</f>
        <v>0</v>
      </c>
      <c r="C581" s="116" t="str">
        <f t="shared" ca="1" si="44"/>
        <v/>
      </c>
      <c r="D581" s="119" t="str">
        <f ca="1">ORÇAMENTO!O581</f>
        <v>-</v>
      </c>
      <c r="E581" s="172" t="str">
        <f t="shared" ca="1" si="51"/>
        <v>(abra o arquivo 'Referência 06-2024.xlsm)</v>
      </c>
      <c r="F581" s="173" t="str">
        <f ca="1">IF(RegimeExecucao="Global","",ORÇAMENTO.Unidade)</f>
        <v/>
      </c>
      <c r="G581" s="124" t="str">
        <f ca="1">IF(RegimeExecucao="Global","",ORÇAMENTO!T581)</f>
        <v/>
      </c>
      <c r="H581" s="124" t="str">
        <f ca="1">IF(RegimeExecucao="Global","",ORÇAMENTO!W581)</f>
        <v/>
      </c>
      <c r="I581" s="127">
        <f ca="1">ORÇAMENTO!X581</f>
        <v>0</v>
      </c>
      <c r="J581" s="378">
        <f ca="1">IF($A581="S",IF(CAIXA.Modo,BM.AFAnterior,BM.MEDAnterior),IF(AND(RegimeExecucao="Global",$I581&gt;0,COUNTIF($AB$13:$AM$13,BM.medicao-1)&gt;0),M581/$I581*100,0))</f>
        <v>0</v>
      </c>
      <c r="K581" s="124">
        <f t="shared" ca="1" si="46"/>
        <v>0</v>
      </c>
      <c r="L581" s="379">
        <f ca="1">IF($A581="S",IF(CAIXA.Modo,BM.AFAcumulado,BM.MEDAcumulado),IF(AND(RegimeExecucao="Global",$I581&gt;0,COUNTIF($AB$13:$AM$13,BM.medicao)&gt;0),O581/$I581*100,0))</f>
        <v>0</v>
      </c>
      <c r="M581" s="380">
        <f ca="1">IF($A581="S",VTOTALBM,IF($A581=0,0,ROUND(SomaAgrupBM,15-13*ORÇAMENTO!$AF$11)))</f>
        <v>0</v>
      </c>
      <c r="N581" s="381">
        <f t="shared" ca="1" si="47"/>
        <v>0</v>
      </c>
      <c r="O581" s="127">
        <f ca="1">IF($A581="S",VTOTALBM,IF($A581=0,0,ROUND(SomaAgrupBM,15-13*ORÇAMENTO!$AF$11)))</f>
        <v>0</v>
      </c>
      <c r="Q581" s="382"/>
      <c r="R581" s="383"/>
      <c r="T581" s="119" t="str">
        <f t="shared" ca="1" si="48"/>
        <v/>
      </c>
      <c r="U581" s="172" t="str">
        <f t="shared" ca="1" si="49"/>
        <v/>
      </c>
      <c r="V581" s="173" t="str">
        <f ca="1">IF(AND($W581&gt;0,RegimeExecucao="Unitário"),$F581,"")</f>
        <v/>
      </c>
      <c r="W581" s="547">
        <f ca="1">IF($Y581&gt;0,CHOOSE(MATCH(RegimeExecucao,{"Unitário","Global"},0),IF($A581="S",$Y581/$X581,""),($Y581/$X581)*100),0)</f>
        <v>0</v>
      </c>
      <c r="X581" s="384" t="str">
        <f ca="1">IF($Y581&gt;0,CHOOSE(MATCH(RegimeExecucao,{"Unitário","Global"},0),IF($A581="S",ROUND($H581,ORÇAMENTO!$AF$10),""),ROUND($I581,ORÇAMENTO!$AF$11)),"")</f>
        <v/>
      </c>
      <c r="Y581" s="384">
        <f t="shared" ca="1" si="50"/>
        <v>0</v>
      </c>
      <c r="Z581" s="572"/>
      <c r="AB581" s="382"/>
      <c r="AC581" s="516"/>
      <c r="AD581" s="516"/>
      <c r="AE581" s="516"/>
      <c r="AF581" s="516"/>
      <c r="AG581" s="516"/>
      <c r="AH581" s="516"/>
      <c r="AI581" s="516"/>
      <c r="AJ581" s="516"/>
      <c r="AK581" s="516"/>
      <c r="AL581" s="516"/>
      <c r="AM581" s="383"/>
      <c r="AO581">
        <f ca="1">IF($A581="S",IF(BM!$I581=0,0,CHOOSE(MATCH(RegimeExecucao,{"Global","Unitário"},0),ROUND(ROUND(BM.MEDAcumulado,15-13*BM!$A$9)/100*BM!$I581,15-13*ORÇAMENTO!$AF$11),ROUND(ROUND(BM.MEDAcumulado,15-13*BM!$A$9)*ROUND(BM!$H581,15-13*ORÇAMENTO!$AF$10),15-13*ORÇAMENTO!$AF$11))),IF($A581=0,0,ROUND(SomaAgrupBM,15-13*ORÇAMENTO!$AF$11)))</f>
        <v>0</v>
      </c>
    </row>
    <row r="582" spans="1:41" ht="38.25" x14ac:dyDescent="0.2">
      <c r="A582" t="str">
        <f ca="1">ORÇAMENTO!C582</f>
        <v>S</v>
      </c>
      <c r="B582">
        <f ca="1">ORÇAMENTO!D582</f>
        <v>0</v>
      </c>
      <c r="C582" s="116" t="str">
        <f t="shared" ca="1" si="44"/>
        <v/>
      </c>
      <c r="D582" s="119" t="str">
        <f ca="1">ORÇAMENTO!O582</f>
        <v>-</v>
      </c>
      <c r="E582" s="172" t="str">
        <f t="shared" ca="1" si="51"/>
        <v>(abra o arquivo 'Referência 06-2024.xlsm)</v>
      </c>
      <c r="F582" s="173" t="str">
        <f ca="1">IF(RegimeExecucao="Global","",ORÇAMENTO.Unidade)</f>
        <v/>
      </c>
      <c r="G582" s="124" t="str">
        <f ca="1">IF(RegimeExecucao="Global","",ORÇAMENTO!T582)</f>
        <v/>
      </c>
      <c r="H582" s="124" t="str">
        <f ca="1">IF(RegimeExecucao="Global","",ORÇAMENTO!W582)</f>
        <v/>
      </c>
      <c r="I582" s="127">
        <f ca="1">ORÇAMENTO!X582</f>
        <v>0</v>
      </c>
      <c r="J582" s="378">
        <f ca="1">IF($A582="S",IF(CAIXA.Modo,BM.AFAnterior,BM.MEDAnterior),IF(AND(RegimeExecucao="Global",$I582&gt;0,COUNTIF($AB$13:$AM$13,BM.medicao-1)&gt;0),M582/$I582*100,0))</f>
        <v>0</v>
      </c>
      <c r="K582" s="124">
        <f t="shared" ca="1" si="46"/>
        <v>0</v>
      </c>
      <c r="L582" s="379">
        <f ca="1">IF($A582="S",IF(CAIXA.Modo,BM.AFAcumulado,BM.MEDAcumulado),IF(AND(RegimeExecucao="Global",$I582&gt;0,COUNTIF($AB$13:$AM$13,BM.medicao)&gt;0),O582/$I582*100,0))</f>
        <v>0</v>
      </c>
      <c r="M582" s="380">
        <f ca="1">IF($A582="S",VTOTALBM,IF($A582=0,0,ROUND(SomaAgrupBM,15-13*ORÇAMENTO!$AF$11)))</f>
        <v>0</v>
      </c>
      <c r="N582" s="381">
        <f t="shared" ca="1" si="47"/>
        <v>0</v>
      </c>
      <c r="O582" s="127">
        <f ca="1">IF($A582="S",VTOTALBM,IF($A582=0,0,ROUND(SomaAgrupBM,15-13*ORÇAMENTO!$AF$11)))</f>
        <v>0</v>
      </c>
      <c r="Q582" s="382"/>
      <c r="R582" s="383"/>
      <c r="T582" s="119" t="str">
        <f t="shared" ca="1" si="48"/>
        <v/>
      </c>
      <c r="U582" s="172" t="str">
        <f t="shared" ca="1" si="49"/>
        <v/>
      </c>
      <c r="V582" s="173" t="str">
        <f ca="1">IF(AND($W582&gt;0,RegimeExecucao="Unitário"),$F582,"")</f>
        <v/>
      </c>
      <c r="W582" s="547">
        <f ca="1">IF($Y582&gt;0,CHOOSE(MATCH(RegimeExecucao,{"Unitário","Global"},0),IF($A582="S",$Y582/$X582,""),($Y582/$X582)*100),0)</f>
        <v>0</v>
      </c>
      <c r="X582" s="384" t="str">
        <f ca="1">IF($Y582&gt;0,CHOOSE(MATCH(RegimeExecucao,{"Unitário","Global"},0),IF($A582="S",ROUND($H582,ORÇAMENTO!$AF$10),""),ROUND($I582,ORÇAMENTO!$AF$11)),"")</f>
        <v/>
      </c>
      <c r="Y582" s="384">
        <f t="shared" ca="1" si="50"/>
        <v>0</v>
      </c>
      <c r="Z582" s="572"/>
      <c r="AB582" s="382"/>
      <c r="AC582" s="516"/>
      <c r="AD582" s="516"/>
      <c r="AE582" s="516"/>
      <c r="AF582" s="516"/>
      <c r="AG582" s="516"/>
      <c r="AH582" s="516"/>
      <c r="AI582" s="516"/>
      <c r="AJ582" s="516"/>
      <c r="AK582" s="516"/>
      <c r="AL582" s="516"/>
      <c r="AM582" s="383"/>
      <c r="AO582">
        <f ca="1">IF($A582="S",IF(BM!$I582=0,0,CHOOSE(MATCH(RegimeExecucao,{"Global","Unitário"},0),ROUND(ROUND(BM.MEDAcumulado,15-13*BM!$A$9)/100*BM!$I582,15-13*ORÇAMENTO!$AF$11),ROUND(ROUND(BM.MEDAcumulado,15-13*BM!$A$9)*ROUND(BM!$H582,15-13*ORÇAMENTO!$AF$10),15-13*ORÇAMENTO!$AF$11))),IF($A582=0,0,ROUND(SomaAgrupBM,15-13*ORÇAMENTO!$AF$11)))</f>
        <v>0</v>
      </c>
    </row>
    <row r="583" spans="1:41" ht="38.25" x14ac:dyDescent="0.2">
      <c r="A583" t="str">
        <f ca="1">ORÇAMENTO!C583</f>
        <v>S</v>
      </c>
      <c r="B583">
        <f ca="1">ORÇAMENTO!D583</f>
        <v>0</v>
      </c>
      <c r="C583" s="116" t="str">
        <f t="shared" ca="1" si="44"/>
        <v/>
      </c>
      <c r="D583" s="119" t="str">
        <f ca="1">ORÇAMENTO!O583</f>
        <v>-</v>
      </c>
      <c r="E583" s="172" t="str">
        <f t="shared" ca="1" si="51"/>
        <v>(abra o arquivo 'Referência 06-2024.xlsm)</v>
      </c>
      <c r="F583" s="173" t="str">
        <f ca="1">IF(RegimeExecucao="Global","",ORÇAMENTO.Unidade)</f>
        <v/>
      </c>
      <c r="G583" s="124" t="str">
        <f ca="1">IF(RegimeExecucao="Global","",ORÇAMENTO!T583)</f>
        <v/>
      </c>
      <c r="H583" s="124" t="str">
        <f ca="1">IF(RegimeExecucao="Global","",ORÇAMENTO!W583)</f>
        <v/>
      </c>
      <c r="I583" s="127">
        <f ca="1">ORÇAMENTO!X583</f>
        <v>0</v>
      </c>
      <c r="J583" s="378">
        <f ca="1">IF($A583="S",IF(CAIXA.Modo,BM.AFAnterior,BM.MEDAnterior),IF(AND(RegimeExecucao="Global",$I583&gt;0,COUNTIF($AB$13:$AM$13,BM.medicao-1)&gt;0),M583/$I583*100,0))</f>
        <v>0</v>
      </c>
      <c r="K583" s="124">
        <f t="shared" ca="1" si="46"/>
        <v>0</v>
      </c>
      <c r="L583" s="379">
        <f ca="1">IF($A583="S",IF(CAIXA.Modo,BM.AFAcumulado,BM.MEDAcumulado),IF(AND(RegimeExecucao="Global",$I583&gt;0,COUNTIF($AB$13:$AM$13,BM.medicao)&gt;0),O583/$I583*100,0))</f>
        <v>0</v>
      </c>
      <c r="M583" s="380">
        <f ca="1">IF($A583="S",VTOTALBM,IF($A583=0,0,ROUND(SomaAgrupBM,15-13*ORÇAMENTO!$AF$11)))</f>
        <v>0</v>
      </c>
      <c r="N583" s="381">
        <f t="shared" ca="1" si="47"/>
        <v>0</v>
      </c>
      <c r="O583" s="127">
        <f ca="1">IF($A583="S",VTOTALBM,IF($A583=0,0,ROUND(SomaAgrupBM,15-13*ORÇAMENTO!$AF$11)))</f>
        <v>0</v>
      </c>
      <c r="Q583" s="382"/>
      <c r="R583" s="383"/>
      <c r="T583" s="119" t="str">
        <f t="shared" ca="1" si="48"/>
        <v/>
      </c>
      <c r="U583" s="172" t="str">
        <f t="shared" ca="1" si="49"/>
        <v/>
      </c>
      <c r="V583" s="173" t="str">
        <f ca="1">IF(AND($W583&gt;0,RegimeExecucao="Unitário"),$F583,"")</f>
        <v/>
      </c>
      <c r="W583" s="547">
        <f ca="1">IF($Y583&gt;0,CHOOSE(MATCH(RegimeExecucao,{"Unitário","Global"},0),IF($A583="S",$Y583/$X583,""),($Y583/$X583)*100),0)</f>
        <v>0</v>
      </c>
      <c r="X583" s="384" t="str">
        <f ca="1">IF($Y583&gt;0,CHOOSE(MATCH(RegimeExecucao,{"Unitário","Global"},0),IF($A583="S",ROUND($H583,ORÇAMENTO!$AF$10),""),ROUND($I583,ORÇAMENTO!$AF$11)),"")</f>
        <v/>
      </c>
      <c r="Y583" s="384">
        <f t="shared" ca="1" si="50"/>
        <v>0</v>
      </c>
      <c r="Z583" s="572"/>
      <c r="AB583" s="382"/>
      <c r="AC583" s="516"/>
      <c r="AD583" s="516"/>
      <c r="AE583" s="516"/>
      <c r="AF583" s="516"/>
      <c r="AG583" s="516"/>
      <c r="AH583" s="516"/>
      <c r="AI583" s="516"/>
      <c r="AJ583" s="516"/>
      <c r="AK583" s="516"/>
      <c r="AL583" s="516"/>
      <c r="AM583" s="383"/>
      <c r="AO583">
        <f ca="1">IF($A583="S",IF(BM!$I583=0,0,CHOOSE(MATCH(RegimeExecucao,{"Global","Unitário"},0),ROUND(ROUND(BM.MEDAcumulado,15-13*BM!$A$9)/100*BM!$I583,15-13*ORÇAMENTO!$AF$11),ROUND(ROUND(BM.MEDAcumulado,15-13*BM!$A$9)*ROUND(BM!$H583,15-13*ORÇAMENTO!$AF$10),15-13*ORÇAMENTO!$AF$11))),IF($A583=0,0,ROUND(SomaAgrupBM,15-13*ORÇAMENTO!$AF$11)))</f>
        <v>0</v>
      </c>
    </row>
    <row r="584" spans="1:41" ht="38.25" x14ac:dyDescent="0.2">
      <c r="A584" t="str">
        <f ca="1">ORÇAMENTO!C584</f>
        <v>S</v>
      </c>
      <c r="B584">
        <f ca="1">ORÇAMENTO!D584</f>
        <v>0</v>
      </c>
      <c r="C584" s="116" t="str">
        <f t="shared" ca="1" si="44"/>
        <v/>
      </c>
      <c r="D584" s="119" t="str">
        <f ca="1">ORÇAMENTO!O584</f>
        <v>-</v>
      </c>
      <c r="E584" s="172" t="str">
        <f t="shared" ca="1" si="51"/>
        <v>(abra o arquivo 'Referência 06-2024.xlsm)</v>
      </c>
      <c r="F584" s="173" t="str">
        <f ca="1">IF(RegimeExecucao="Global","",ORÇAMENTO.Unidade)</f>
        <v/>
      </c>
      <c r="G584" s="124" t="str">
        <f ca="1">IF(RegimeExecucao="Global","",ORÇAMENTO!T584)</f>
        <v/>
      </c>
      <c r="H584" s="124" t="str">
        <f ca="1">IF(RegimeExecucao="Global","",ORÇAMENTO!W584)</f>
        <v/>
      </c>
      <c r="I584" s="127">
        <f ca="1">ORÇAMENTO!X584</f>
        <v>0</v>
      </c>
      <c r="J584" s="378">
        <f ca="1">IF($A584="S",IF(CAIXA.Modo,BM.AFAnterior,BM.MEDAnterior),IF(AND(RegimeExecucao="Global",$I584&gt;0,COUNTIF($AB$13:$AM$13,BM.medicao-1)&gt;0),M584/$I584*100,0))</f>
        <v>0</v>
      </c>
      <c r="K584" s="124">
        <f t="shared" ca="1" si="46"/>
        <v>0</v>
      </c>
      <c r="L584" s="379">
        <f ca="1">IF($A584="S",IF(CAIXA.Modo,BM.AFAcumulado,BM.MEDAcumulado),IF(AND(RegimeExecucao="Global",$I584&gt;0,COUNTIF($AB$13:$AM$13,BM.medicao)&gt;0),O584/$I584*100,0))</f>
        <v>0</v>
      </c>
      <c r="M584" s="380">
        <f ca="1">IF($A584="S",VTOTALBM,IF($A584=0,0,ROUND(SomaAgrupBM,15-13*ORÇAMENTO!$AF$11)))</f>
        <v>0</v>
      </c>
      <c r="N584" s="381">
        <f t="shared" ca="1" si="47"/>
        <v>0</v>
      </c>
      <c r="O584" s="127">
        <f ca="1">IF($A584="S",VTOTALBM,IF($A584=0,0,ROUND(SomaAgrupBM,15-13*ORÇAMENTO!$AF$11)))</f>
        <v>0</v>
      </c>
      <c r="Q584" s="382"/>
      <c r="R584" s="383"/>
      <c r="T584" s="119" t="str">
        <f t="shared" ca="1" si="48"/>
        <v/>
      </c>
      <c r="U584" s="172" t="str">
        <f t="shared" ca="1" si="49"/>
        <v/>
      </c>
      <c r="V584" s="173" t="str">
        <f ca="1">IF(AND($W584&gt;0,RegimeExecucao="Unitário"),$F584,"")</f>
        <v/>
      </c>
      <c r="W584" s="547">
        <f ca="1">IF($Y584&gt;0,CHOOSE(MATCH(RegimeExecucao,{"Unitário","Global"},0),IF($A584="S",$Y584/$X584,""),($Y584/$X584)*100),0)</f>
        <v>0</v>
      </c>
      <c r="X584" s="384" t="str">
        <f ca="1">IF($Y584&gt;0,CHOOSE(MATCH(RegimeExecucao,{"Unitário","Global"},0),IF($A584="S",ROUND($H584,ORÇAMENTO!$AF$10),""),ROUND($I584,ORÇAMENTO!$AF$11)),"")</f>
        <v/>
      </c>
      <c r="Y584" s="384">
        <f t="shared" ca="1" si="50"/>
        <v>0</v>
      </c>
      <c r="Z584" s="572"/>
      <c r="AB584" s="382"/>
      <c r="AC584" s="516"/>
      <c r="AD584" s="516"/>
      <c r="AE584" s="516"/>
      <c r="AF584" s="516"/>
      <c r="AG584" s="516"/>
      <c r="AH584" s="516"/>
      <c r="AI584" s="516"/>
      <c r="AJ584" s="516"/>
      <c r="AK584" s="516"/>
      <c r="AL584" s="516"/>
      <c r="AM584" s="383"/>
      <c r="AO584">
        <f ca="1">IF($A584="S",IF(BM!$I584=0,0,CHOOSE(MATCH(RegimeExecucao,{"Global","Unitário"},0),ROUND(ROUND(BM.MEDAcumulado,15-13*BM!$A$9)/100*BM!$I584,15-13*ORÇAMENTO!$AF$11),ROUND(ROUND(BM.MEDAcumulado,15-13*BM!$A$9)*ROUND(BM!$H584,15-13*ORÇAMENTO!$AF$10),15-13*ORÇAMENTO!$AF$11))),IF($A584=0,0,ROUND(SomaAgrupBM,15-13*ORÇAMENTO!$AF$11)))</f>
        <v>0</v>
      </c>
    </row>
    <row r="585" spans="1:41" ht="38.25" x14ac:dyDescent="0.2">
      <c r="A585" t="str">
        <f ca="1">ORÇAMENTO!C585</f>
        <v>S</v>
      </c>
      <c r="B585">
        <f ca="1">ORÇAMENTO!D585</f>
        <v>0</v>
      </c>
      <c r="C585" s="116" t="str">
        <f t="shared" ca="1" si="44"/>
        <v/>
      </c>
      <c r="D585" s="119" t="str">
        <f ca="1">ORÇAMENTO!O585</f>
        <v>-</v>
      </c>
      <c r="E585" s="172" t="str">
        <f t="shared" ca="1" si="51"/>
        <v>(abra o arquivo 'Referência 06-2024.xlsm)</v>
      </c>
      <c r="F585" s="173" t="str">
        <f ca="1">IF(RegimeExecucao="Global","",ORÇAMENTO.Unidade)</f>
        <v/>
      </c>
      <c r="G585" s="124" t="str">
        <f ca="1">IF(RegimeExecucao="Global","",ORÇAMENTO!T585)</f>
        <v/>
      </c>
      <c r="H585" s="124" t="str">
        <f ca="1">IF(RegimeExecucao="Global","",ORÇAMENTO!W585)</f>
        <v/>
      </c>
      <c r="I585" s="127">
        <f ca="1">ORÇAMENTO!X585</f>
        <v>0</v>
      </c>
      <c r="J585" s="378">
        <f ca="1">IF($A585="S",IF(CAIXA.Modo,BM.AFAnterior,BM.MEDAnterior),IF(AND(RegimeExecucao="Global",$I585&gt;0,COUNTIF($AB$13:$AM$13,BM.medicao-1)&gt;0),M585/$I585*100,0))</f>
        <v>0</v>
      </c>
      <c r="K585" s="124">
        <f t="shared" ca="1" si="46"/>
        <v>0</v>
      </c>
      <c r="L585" s="379">
        <f ca="1">IF($A585="S",IF(CAIXA.Modo,BM.AFAcumulado,BM.MEDAcumulado),IF(AND(RegimeExecucao="Global",$I585&gt;0,COUNTIF($AB$13:$AM$13,BM.medicao)&gt;0),O585/$I585*100,0))</f>
        <v>0</v>
      </c>
      <c r="M585" s="380">
        <f ca="1">IF($A585="S",VTOTALBM,IF($A585=0,0,ROUND(SomaAgrupBM,15-13*ORÇAMENTO!$AF$11)))</f>
        <v>0</v>
      </c>
      <c r="N585" s="381">
        <f t="shared" ca="1" si="47"/>
        <v>0</v>
      </c>
      <c r="O585" s="127">
        <f ca="1">IF($A585="S",VTOTALBM,IF($A585=0,0,ROUND(SomaAgrupBM,15-13*ORÇAMENTO!$AF$11)))</f>
        <v>0</v>
      </c>
      <c r="Q585" s="382"/>
      <c r="R585" s="383"/>
      <c r="T585" s="119" t="str">
        <f t="shared" ca="1" si="48"/>
        <v/>
      </c>
      <c r="U585" s="172" t="str">
        <f t="shared" ca="1" si="49"/>
        <v/>
      </c>
      <c r="V585" s="173" t="str">
        <f ca="1">IF(AND($W585&gt;0,RegimeExecucao="Unitário"),$F585,"")</f>
        <v/>
      </c>
      <c r="W585" s="547">
        <f ca="1">IF($Y585&gt;0,CHOOSE(MATCH(RegimeExecucao,{"Unitário","Global"},0),IF($A585="S",$Y585/$X585,""),($Y585/$X585)*100),0)</f>
        <v>0</v>
      </c>
      <c r="X585" s="384" t="str">
        <f ca="1">IF($Y585&gt;0,CHOOSE(MATCH(RegimeExecucao,{"Unitário","Global"},0),IF($A585="S",ROUND($H585,ORÇAMENTO!$AF$10),""),ROUND($I585,ORÇAMENTO!$AF$11)),"")</f>
        <v/>
      </c>
      <c r="Y585" s="384">
        <f t="shared" ca="1" si="50"/>
        <v>0</v>
      </c>
      <c r="Z585" s="572"/>
      <c r="AB585" s="382"/>
      <c r="AC585" s="516"/>
      <c r="AD585" s="516"/>
      <c r="AE585" s="516"/>
      <c r="AF585" s="516"/>
      <c r="AG585" s="516"/>
      <c r="AH585" s="516"/>
      <c r="AI585" s="516"/>
      <c r="AJ585" s="516"/>
      <c r="AK585" s="516"/>
      <c r="AL585" s="516"/>
      <c r="AM585" s="383"/>
      <c r="AO585">
        <f ca="1">IF($A585="S",IF(BM!$I585=0,0,CHOOSE(MATCH(RegimeExecucao,{"Global","Unitário"},0),ROUND(ROUND(BM.MEDAcumulado,15-13*BM!$A$9)/100*BM!$I585,15-13*ORÇAMENTO!$AF$11),ROUND(ROUND(BM.MEDAcumulado,15-13*BM!$A$9)*ROUND(BM!$H585,15-13*ORÇAMENTO!$AF$10),15-13*ORÇAMENTO!$AF$11))),IF($A585=0,0,ROUND(SomaAgrupBM,15-13*ORÇAMENTO!$AF$11)))</f>
        <v>0</v>
      </c>
    </row>
    <row r="586" spans="1:41" ht="38.25" x14ac:dyDescent="0.2">
      <c r="A586" t="str">
        <f ca="1">ORÇAMENTO!C586</f>
        <v>S</v>
      </c>
      <c r="B586">
        <f ca="1">ORÇAMENTO!D586</f>
        <v>0</v>
      </c>
      <c r="C586" s="116" t="str">
        <f t="shared" ca="1" si="44"/>
        <v/>
      </c>
      <c r="D586" s="119" t="str">
        <f ca="1">ORÇAMENTO!O586</f>
        <v>-</v>
      </c>
      <c r="E586" s="172" t="str">
        <f t="shared" ca="1" si="51"/>
        <v>(abra o arquivo 'Referência 06-2024.xlsm)</v>
      </c>
      <c r="F586" s="173" t="str">
        <f ca="1">IF(RegimeExecucao="Global","",ORÇAMENTO.Unidade)</f>
        <v/>
      </c>
      <c r="G586" s="124" t="str">
        <f ca="1">IF(RegimeExecucao="Global","",ORÇAMENTO!T586)</f>
        <v/>
      </c>
      <c r="H586" s="124" t="str">
        <f ca="1">IF(RegimeExecucao="Global","",ORÇAMENTO!W586)</f>
        <v/>
      </c>
      <c r="I586" s="127">
        <f ca="1">ORÇAMENTO!X586</f>
        <v>0</v>
      </c>
      <c r="J586" s="378">
        <f ca="1">IF($A586="S",IF(CAIXA.Modo,BM.AFAnterior,BM.MEDAnterior),IF(AND(RegimeExecucao="Global",$I586&gt;0,COUNTIF($AB$13:$AM$13,BM.medicao-1)&gt;0),M586/$I586*100,0))</f>
        <v>0</v>
      </c>
      <c r="K586" s="124">
        <f t="shared" ca="1" si="46"/>
        <v>0</v>
      </c>
      <c r="L586" s="379">
        <f ca="1">IF($A586="S",IF(CAIXA.Modo,BM.AFAcumulado,BM.MEDAcumulado),IF(AND(RegimeExecucao="Global",$I586&gt;0,COUNTIF($AB$13:$AM$13,BM.medicao)&gt;0),O586/$I586*100,0))</f>
        <v>0</v>
      </c>
      <c r="M586" s="380">
        <f ca="1">IF($A586="S",VTOTALBM,IF($A586=0,0,ROUND(SomaAgrupBM,15-13*ORÇAMENTO!$AF$11)))</f>
        <v>0</v>
      </c>
      <c r="N586" s="381">
        <f t="shared" ca="1" si="47"/>
        <v>0</v>
      </c>
      <c r="O586" s="127">
        <f ca="1">IF($A586="S",VTOTALBM,IF($A586=0,0,ROUND(SomaAgrupBM,15-13*ORÇAMENTO!$AF$11)))</f>
        <v>0</v>
      </c>
      <c r="Q586" s="382"/>
      <c r="R586" s="383"/>
      <c r="T586" s="119" t="str">
        <f t="shared" ca="1" si="48"/>
        <v/>
      </c>
      <c r="U586" s="172" t="str">
        <f t="shared" ca="1" si="49"/>
        <v/>
      </c>
      <c r="V586" s="173" t="str">
        <f ca="1">IF(AND($W586&gt;0,RegimeExecucao="Unitário"),$F586,"")</f>
        <v/>
      </c>
      <c r="W586" s="547">
        <f ca="1">IF($Y586&gt;0,CHOOSE(MATCH(RegimeExecucao,{"Unitário","Global"},0),IF($A586="S",$Y586/$X586,""),($Y586/$X586)*100),0)</f>
        <v>0</v>
      </c>
      <c r="X586" s="384" t="str">
        <f ca="1">IF($Y586&gt;0,CHOOSE(MATCH(RegimeExecucao,{"Unitário","Global"},0),IF($A586="S",ROUND($H586,ORÇAMENTO!$AF$10),""),ROUND($I586,ORÇAMENTO!$AF$11)),"")</f>
        <v/>
      </c>
      <c r="Y586" s="384">
        <f t="shared" ca="1" si="50"/>
        <v>0</v>
      </c>
      <c r="Z586" s="572"/>
      <c r="AB586" s="382"/>
      <c r="AC586" s="516"/>
      <c r="AD586" s="516"/>
      <c r="AE586" s="516"/>
      <c r="AF586" s="516"/>
      <c r="AG586" s="516"/>
      <c r="AH586" s="516"/>
      <c r="AI586" s="516"/>
      <c r="AJ586" s="516"/>
      <c r="AK586" s="516"/>
      <c r="AL586" s="516"/>
      <c r="AM586" s="383"/>
      <c r="AO586">
        <f ca="1">IF($A586="S",IF(BM!$I586=0,0,CHOOSE(MATCH(RegimeExecucao,{"Global","Unitário"},0),ROUND(ROUND(BM.MEDAcumulado,15-13*BM!$A$9)/100*BM!$I586,15-13*ORÇAMENTO!$AF$11),ROUND(ROUND(BM.MEDAcumulado,15-13*BM!$A$9)*ROUND(BM!$H586,15-13*ORÇAMENTO!$AF$10),15-13*ORÇAMENTO!$AF$11))),IF($A586=0,0,ROUND(SomaAgrupBM,15-13*ORÇAMENTO!$AF$11)))</f>
        <v>0</v>
      </c>
    </row>
    <row r="587" spans="1:41" ht="38.25" x14ac:dyDescent="0.2">
      <c r="A587" t="str">
        <f ca="1">ORÇAMENTO!C587</f>
        <v>S</v>
      </c>
      <c r="B587">
        <f ca="1">ORÇAMENTO!D587</f>
        <v>0</v>
      </c>
      <c r="C587" s="116" t="str">
        <f t="shared" ca="1" si="44"/>
        <v/>
      </c>
      <c r="D587" s="119" t="str">
        <f ca="1">ORÇAMENTO!O587</f>
        <v>-</v>
      </c>
      <c r="E587" s="172" t="str">
        <f t="shared" ca="1" si="51"/>
        <v>(abra o arquivo 'Referência 06-2024.xlsm)</v>
      </c>
      <c r="F587" s="173" t="str">
        <f ca="1">IF(RegimeExecucao="Global","",ORÇAMENTO.Unidade)</f>
        <v/>
      </c>
      <c r="G587" s="124" t="str">
        <f ca="1">IF(RegimeExecucao="Global","",ORÇAMENTO!T587)</f>
        <v/>
      </c>
      <c r="H587" s="124" t="str">
        <f ca="1">IF(RegimeExecucao="Global","",ORÇAMENTO!W587)</f>
        <v/>
      </c>
      <c r="I587" s="127">
        <f ca="1">ORÇAMENTO!X587</f>
        <v>0</v>
      </c>
      <c r="J587" s="378">
        <f ca="1">IF($A587="S",IF(CAIXA.Modo,BM.AFAnterior,BM.MEDAnterior),IF(AND(RegimeExecucao="Global",$I587&gt;0,COUNTIF($AB$13:$AM$13,BM.medicao-1)&gt;0),M587/$I587*100,0))</f>
        <v>0</v>
      </c>
      <c r="K587" s="124">
        <f t="shared" ca="1" si="46"/>
        <v>0</v>
      </c>
      <c r="L587" s="379">
        <f ca="1">IF($A587="S",IF(CAIXA.Modo,BM.AFAcumulado,BM.MEDAcumulado),IF(AND(RegimeExecucao="Global",$I587&gt;0,COUNTIF($AB$13:$AM$13,BM.medicao)&gt;0),O587/$I587*100,0))</f>
        <v>0</v>
      </c>
      <c r="M587" s="380">
        <f ca="1">IF($A587="S",VTOTALBM,IF($A587=0,0,ROUND(SomaAgrupBM,15-13*ORÇAMENTO!$AF$11)))</f>
        <v>0</v>
      </c>
      <c r="N587" s="381">
        <f t="shared" ca="1" si="47"/>
        <v>0</v>
      </c>
      <c r="O587" s="127">
        <f ca="1">IF($A587="S",VTOTALBM,IF($A587=0,0,ROUND(SomaAgrupBM,15-13*ORÇAMENTO!$AF$11)))</f>
        <v>0</v>
      </c>
      <c r="Q587" s="382"/>
      <c r="R587" s="383"/>
      <c r="T587" s="119" t="str">
        <f t="shared" ca="1" si="48"/>
        <v/>
      </c>
      <c r="U587" s="172" t="str">
        <f t="shared" ca="1" si="49"/>
        <v/>
      </c>
      <c r="V587" s="173" t="str">
        <f ca="1">IF(AND($W587&gt;0,RegimeExecucao="Unitário"),$F587,"")</f>
        <v/>
      </c>
      <c r="W587" s="547">
        <f ca="1">IF($Y587&gt;0,CHOOSE(MATCH(RegimeExecucao,{"Unitário","Global"},0),IF($A587="S",$Y587/$X587,""),($Y587/$X587)*100),0)</f>
        <v>0</v>
      </c>
      <c r="X587" s="384" t="str">
        <f ca="1">IF($Y587&gt;0,CHOOSE(MATCH(RegimeExecucao,{"Unitário","Global"},0),IF($A587="S",ROUND($H587,ORÇAMENTO!$AF$10),""),ROUND($I587,ORÇAMENTO!$AF$11)),"")</f>
        <v/>
      </c>
      <c r="Y587" s="384">
        <f t="shared" ca="1" si="50"/>
        <v>0</v>
      </c>
      <c r="Z587" s="572"/>
      <c r="AB587" s="382"/>
      <c r="AC587" s="516"/>
      <c r="AD587" s="516"/>
      <c r="AE587" s="516"/>
      <c r="AF587" s="516"/>
      <c r="AG587" s="516"/>
      <c r="AH587" s="516"/>
      <c r="AI587" s="516"/>
      <c r="AJ587" s="516"/>
      <c r="AK587" s="516"/>
      <c r="AL587" s="516"/>
      <c r="AM587" s="383"/>
      <c r="AO587">
        <f ca="1">IF($A587="S",IF(BM!$I587=0,0,CHOOSE(MATCH(RegimeExecucao,{"Global","Unitário"},0),ROUND(ROUND(BM.MEDAcumulado,15-13*BM!$A$9)/100*BM!$I587,15-13*ORÇAMENTO!$AF$11),ROUND(ROUND(BM.MEDAcumulado,15-13*BM!$A$9)*ROUND(BM!$H587,15-13*ORÇAMENTO!$AF$10),15-13*ORÇAMENTO!$AF$11))),IF($A587=0,0,ROUND(SomaAgrupBM,15-13*ORÇAMENTO!$AF$11)))</f>
        <v>0</v>
      </c>
    </row>
    <row r="588" spans="1:41" ht="38.25" x14ac:dyDescent="0.2">
      <c r="A588" t="str">
        <f ca="1">ORÇAMENTO!C588</f>
        <v>S</v>
      </c>
      <c r="B588">
        <f ca="1">ORÇAMENTO!D588</f>
        <v>0</v>
      </c>
      <c r="C588" s="116" t="str">
        <f t="shared" ca="1" si="44"/>
        <v/>
      </c>
      <c r="D588" s="119" t="str">
        <f ca="1">ORÇAMENTO!O588</f>
        <v>-</v>
      </c>
      <c r="E588" s="172" t="str">
        <f t="shared" ref="E588:E643" ca="1" si="52">ORÇAMENTO.Descricao</f>
        <v>(abra o arquivo 'Referência 06-2024.xlsm)</v>
      </c>
      <c r="F588" s="173" t="str">
        <f ca="1">IF(RegimeExecucao="Global","",ORÇAMENTO.Unidade)</f>
        <v/>
      </c>
      <c r="G588" s="124" t="str">
        <f ca="1">IF(RegimeExecucao="Global","",ORÇAMENTO!T588)</f>
        <v/>
      </c>
      <c r="H588" s="124" t="str">
        <f ca="1">IF(RegimeExecucao="Global","",ORÇAMENTO!W588)</f>
        <v/>
      </c>
      <c r="I588" s="127">
        <f ca="1">ORÇAMENTO!X588</f>
        <v>0</v>
      </c>
      <c r="J588" s="378">
        <f ca="1">IF($A588="S",IF(CAIXA.Modo,BM.AFAnterior,BM.MEDAnterior),IF(AND(RegimeExecucao="Global",$I588&gt;0,COUNTIF($AB$13:$AM$13,BM.medicao-1)&gt;0),M588/$I588*100,0))</f>
        <v>0</v>
      </c>
      <c r="K588" s="124">
        <f t="shared" ca="1" si="46"/>
        <v>0</v>
      </c>
      <c r="L588" s="379">
        <f ca="1">IF($A588="S",IF(CAIXA.Modo,BM.AFAcumulado,BM.MEDAcumulado),IF(AND(RegimeExecucao="Global",$I588&gt;0,COUNTIF($AB$13:$AM$13,BM.medicao)&gt;0),O588/$I588*100,0))</f>
        <v>0</v>
      </c>
      <c r="M588" s="380">
        <f ca="1">IF($A588="S",VTOTALBM,IF($A588=0,0,ROUND(SomaAgrupBM,15-13*ORÇAMENTO!$AF$11)))</f>
        <v>0</v>
      </c>
      <c r="N588" s="381">
        <f t="shared" ca="1" si="47"/>
        <v>0</v>
      </c>
      <c r="O588" s="127">
        <f ca="1">IF($A588="S",VTOTALBM,IF($A588=0,0,ROUND(SomaAgrupBM,15-13*ORÇAMENTO!$AF$11)))</f>
        <v>0</v>
      </c>
      <c r="Q588" s="382"/>
      <c r="R588" s="383"/>
      <c r="T588" s="119" t="str">
        <f t="shared" ca="1" si="48"/>
        <v/>
      </c>
      <c r="U588" s="172" t="str">
        <f t="shared" ca="1" si="49"/>
        <v/>
      </c>
      <c r="V588" s="173" t="str">
        <f ca="1">IF(AND($W588&gt;0,RegimeExecucao="Unitário"),$F588,"")</f>
        <v/>
      </c>
      <c r="W588" s="547">
        <f ca="1">IF($Y588&gt;0,CHOOSE(MATCH(RegimeExecucao,{"Unitário","Global"},0),IF($A588="S",$Y588/$X588,""),($Y588/$X588)*100),0)</f>
        <v>0</v>
      </c>
      <c r="X588" s="384" t="str">
        <f ca="1">IF($Y588&gt;0,CHOOSE(MATCH(RegimeExecucao,{"Unitário","Global"},0),IF($A588="S",ROUND($H588,ORÇAMENTO!$AF$10),""),ROUND($I588,ORÇAMENTO!$AF$11)),"")</f>
        <v/>
      </c>
      <c r="Y588" s="384">
        <f t="shared" ca="1" si="50"/>
        <v>0</v>
      </c>
      <c r="Z588" s="572"/>
      <c r="AB588" s="382"/>
      <c r="AC588" s="516"/>
      <c r="AD588" s="516"/>
      <c r="AE588" s="516"/>
      <c r="AF588" s="516"/>
      <c r="AG588" s="516"/>
      <c r="AH588" s="516"/>
      <c r="AI588" s="516"/>
      <c r="AJ588" s="516"/>
      <c r="AK588" s="516"/>
      <c r="AL588" s="516"/>
      <c r="AM588" s="383"/>
      <c r="AO588">
        <f ca="1">IF($A588="S",IF(BM!$I588=0,0,CHOOSE(MATCH(RegimeExecucao,{"Global","Unitário"},0),ROUND(ROUND(BM.MEDAcumulado,15-13*BM!$A$9)/100*BM!$I588,15-13*ORÇAMENTO!$AF$11),ROUND(ROUND(BM.MEDAcumulado,15-13*BM!$A$9)*ROUND(BM!$H588,15-13*ORÇAMENTO!$AF$10),15-13*ORÇAMENTO!$AF$11))),IF($A588=0,0,ROUND(SomaAgrupBM,15-13*ORÇAMENTO!$AF$11)))</f>
        <v>0</v>
      </c>
    </row>
    <row r="589" spans="1:41" ht="38.25" x14ac:dyDescent="0.2">
      <c r="A589" t="str">
        <f ca="1">ORÇAMENTO!C589</f>
        <v>S</v>
      </c>
      <c r="B589">
        <f ca="1">ORÇAMENTO!D589</f>
        <v>0</v>
      </c>
      <c r="C589" s="116" t="str">
        <f t="shared" ca="1" si="44"/>
        <v/>
      </c>
      <c r="D589" s="119" t="str">
        <f ca="1">ORÇAMENTO!O589</f>
        <v>-</v>
      </c>
      <c r="E589" s="172" t="str">
        <f t="shared" ca="1" si="52"/>
        <v>(abra o arquivo 'Referência 06-2024.xlsm)</v>
      </c>
      <c r="F589" s="173" t="str">
        <f ca="1">IF(RegimeExecucao="Global","",ORÇAMENTO.Unidade)</f>
        <v/>
      </c>
      <c r="G589" s="124" t="str">
        <f ca="1">IF(RegimeExecucao="Global","",ORÇAMENTO!T589)</f>
        <v/>
      </c>
      <c r="H589" s="124" t="str">
        <f ca="1">IF(RegimeExecucao="Global","",ORÇAMENTO!W589)</f>
        <v/>
      </c>
      <c r="I589" s="127">
        <f ca="1">ORÇAMENTO!X589</f>
        <v>0</v>
      </c>
      <c r="J589" s="378">
        <f ca="1">IF($A589="S",IF(CAIXA.Modo,BM.AFAnterior,BM.MEDAnterior),IF(AND(RegimeExecucao="Global",$I589&gt;0,COUNTIF($AB$13:$AM$13,BM.medicao-1)&gt;0),M589/$I589*100,0))</f>
        <v>0</v>
      </c>
      <c r="K589" s="124">
        <f t="shared" ca="1" si="46"/>
        <v>0</v>
      </c>
      <c r="L589" s="379">
        <f ca="1">IF($A589="S",IF(CAIXA.Modo,BM.AFAcumulado,BM.MEDAcumulado),IF(AND(RegimeExecucao="Global",$I589&gt;0,COUNTIF($AB$13:$AM$13,BM.medicao)&gt;0),O589/$I589*100,0))</f>
        <v>0</v>
      </c>
      <c r="M589" s="380">
        <f ca="1">IF($A589="S",VTOTALBM,IF($A589=0,0,ROUND(SomaAgrupBM,15-13*ORÇAMENTO!$AF$11)))</f>
        <v>0</v>
      </c>
      <c r="N589" s="381">
        <f t="shared" ca="1" si="47"/>
        <v>0</v>
      </c>
      <c r="O589" s="127">
        <f ca="1">IF($A589="S",VTOTALBM,IF($A589=0,0,ROUND(SomaAgrupBM,15-13*ORÇAMENTO!$AF$11)))</f>
        <v>0</v>
      </c>
      <c r="Q589" s="382"/>
      <c r="R589" s="383"/>
      <c r="T589" s="119" t="str">
        <f t="shared" ca="1" si="48"/>
        <v/>
      </c>
      <c r="U589" s="172" t="str">
        <f t="shared" ca="1" si="49"/>
        <v/>
      </c>
      <c r="V589" s="173" t="str">
        <f ca="1">IF(AND($W589&gt;0,RegimeExecucao="Unitário"),$F589,"")</f>
        <v/>
      </c>
      <c r="W589" s="547">
        <f ca="1">IF($Y589&gt;0,CHOOSE(MATCH(RegimeExecucao,{"Unitário","Global"},0),IF($A589="S",$Y589/$X589,""),($Y589/$X589)*100),0)</f>
        <v>0</v>
      </c>
      <c r="X589" s="384" t="str">
        <f ca="1">IF($Y589&gt;0,CHOOSE(MATCH(RegimeExecucao,{"Unitário","Global"},0),IF($A589="S",ROUND($H589,ORÇAMENTO!$AF$10),""),ROUND($I589,ORÇAMENTO!$AF$11)),"")</f>
        <v/>
      </c>
      <c r="Y589" s="384">
        <f t="shared" ca="1" si="50"/>
        <v>0</v>
      </c>
      <c r="Z589" s="572"/>
      <c r="AB589" s="382"/>
      <c r="AC589" s="516"/>
      <c r="AD589" s="516"/>
      <c r="AE589" s="516"/>
      <c r="AF589" s="516"/>
      <c r="AG589" s="516"/>
      <c r="AH589" s="516"/>
      <c r="AI589" s="516"/>
      <c r="AJ589" s="516"/>
      <c r="AK589" s="516"/>
      <c r="AL589" s="516"/>
      <c r="AM589" s="383"/>
      <c r="AO589">
        <f ca="1">IF($A589="S",IF(BM!$I589=0,0,CHOOSE(MATCH(RegimeExecucao,{"Global","Unitário"},0),ROUND(ROUND(BM.MEDAcumulado,15-13*BM!$A$9)/100*BM!$I589,15-13*ORÇAMENTO!$AF$11),ROUND(ROUND(BM.MEDAcumulado,15-13*BM!$A$9)*ROUND(BM!$H589,15-13*ORÇAMENTO!$AF$10),15-13*ORÇAMENTO!$AF$11))),IF($A589=0,0,ROUND(SomaAgrupBM,15-13*ORÇAMENTO!$AF$11)))</f>
        <v>0</v>
      </c>
    </row>
    <row r="590" spans="1:41" ht="25.5" x14ac:dyDescent="0.2">
      <c r="A590" t="str">
        <f ca="1">ORÇAMENTO!C590</f>
        <v>S</v>
      </c>
      <c r="B590">
        <f ca="1">ORÇAMENTO!D590</f>
        <v>0</v>
      </c>
      <c r="C590" s="116" t="str">
        <f t="shared" ca="1" si="44"/>
        <v/>
      </c>
      <c r="D590" s="119" t="str">
        <f ca="1">ORÇAMENTO!O590</f>
        <v>-</v>
      </c>
      <c r="E590" s="172" t="str">
        <f t="shared" ca="1" si="52"/>
        <v>(abra o arquivo 'Referência 06-2024.xlsm)</v>
      </c>
      <c r="F590" s="173" t="str">
        <f ca="1">IF(RegimeExecucao="Global","",ORÇAMENTO.Unidade)</f>
        <v/>
      </c>
      <c r="G590" s="124" t="str">
        <f ca="1">IF(RegimeExecucao="Global","",ORÇAMENTO!T590)</f>
        <v/>
      </c>
      <c r="H590" s="124" t="str">
        <f ca="1">IF(RegimeExecucao="Global","",ORÇAMENTO!W590)</f>
        <v/>
      </c>
      <c r="I590" s="127">
        <f ca="1">ORÇAMENTO!X590</f>
        <v>0</v>
      </c>
      <c r="J590" s="378">
        <f ca="1">IF($A590="S",IF(CAIXA.Modo,BM.AFAnterior,BM.MEDAnterior),IF(AND(RegimeExecucao="Global",$I590&gt;0,COUNTIF($AB$13:$AM$13,BM.medicao-1)&gt;0),M590/$I590*100,0))</f>
        <v>0</v>
      </c>
      <c r="K590" s="124">
        <f t="shared" ca="1" si="46"/>
        <v>0</v>
      </c>
      <c r="L590" s="379">
        <f ca="1">IF($A590="S",IF(CAIXA.Modo,BM.AFAcumulado,BM.MEDAcumulado),IF(AND(RegimeExecucao="Global",$I590&gt;0,COUNTIF($AB$13:$AM$13,BM.medicao)&gt;0),O590/$I590*100,0))</f>
        <v>0</v>
      </c>
      <c r="M590" s="380">
        <f ca="1">IF($A590="S",VTOTALBM,IF($A590=0,0,ROUND(SomaAgrupBM,15-13*ORÇAMENTO!$AF$11)))</f>
        <v>0</v>
      </c>
      <c r="N590" s="381">
        <f t="shared" ca="1" si="47"/>
        <v>0</v>
      </c>
      <c r="O590" s="127">
        <f ca="1">IF($A590="S",VTOTALBM,IF($A590=0,0,ROUND(SomaAgrupBM,15-13*ORÇAMENTO!$AF$11)))</f>
        <v>0</v>
      </c>
      <c r="Q590" s="382"/>
      <c r="R590" s="383"/>
      <c r="T590" s="119" t="str">
        <f t="shared" ca="1" si="48"/>
        <v/>
      </c>
      <c r="U590" s="172" t="str">
        <f t="shared" ca="1" si="49"/>
        <v/>
      </c>
      <c r="V590" s="173" t="str">
        <f ca="1">IF(AND($W590&gt;0,RegimeExecucao="Unitário"),$F590,"")</f>
        <v/>
      </c>
      <c r="W590" s="547">
        <f ca="1">IF($Y590&gt;0,CHOOSE(MATCH(RegimeExecucao,{"Unitário","Global"},0),IF($A590="S",$Y590/$X590,""),($Y590/$X590)*100),0)</f>
        <v>0</v>
      </c>
      <c r="X590" s="384" t="str">
        <f ca="1">IF($Y590&gt;0,CHOOSE(MATCH(RegimeExecucao,{"Unitário","Global"},0),IF($A590="S",ROUND($H590,ORÇAMENTO!$AF$10),""),ROUND($I590,ORÇAMENTO!$AF$11)),"")</f>
        <v/>
      </c>
      <c r="Y590" s="384">
        <f t="shared" ca="1" si="50"/>
        <v>0</v>
      </c>
      <c r="Z590" s="572"/>
      <c r="AB590" s="382"/>
      <c r="AC590" s="516"/>
      <c r="AD590" s="516"/>
      <c r="AE590" s="516"/>
      <c r="AF590" s="516"/>
      <c r="AG590" s="516"/>
      <c r="AH590" s="516"/>
      <c r="AI590" s="516"/>
      <c r="AJ590" s="516"/>
      <c r="AK590" s="516"/>
      <c r="AL590" s="516"/>
      <c r="AM590" s="383"/>
      <c r="AO590">
        <f ca="1">IF($A590="S",IF(BM!$I590=0,0,CHOOSE(MATCH(RegimeExecucao,{"Global","Unitário"},0),ROUND(ROUND(BM.MEDAcumulado,15-13*BM!$A$9)/100*BM!$I590,15-13*ORÇAMENTO!$AF$11),ROUND(ROUND(BM.MEDAcumulado,15-13*BM!$A$9)*ROUND(BM!$H590,15-13*ORÇAMENTO!$AF$10),15-13*ORÇAMENTO!$AF$11))),IF($A590=0,0,ROUND(SomaAgrupBM,15-13*ORÇAMENTO!$AF$11)))</f>
        <v>0</v>
      </c>
    </row>
    <row r="591" spans="1:41" x14ac:dyDescent="0.2">
      <c r="A591">
        <f ca="1">ORÇAMENTO!C591</f>
        <v>2</v>
      </c>
      <c r="B591">
        <f ca="1">ORÇAMENTO!D591</f>
        <v>4</v>
      </c>
      <c r="C591" s="116" t="str">
        <f t="shared" ca="1" si="44"/>
        <v>F</v>
      </c>
      <c r="D591" s="119" t="str">
        <f ca="1">ORÇAMENTO!O591</f>
        <v>1.59.</v>
      </c>
      <c r="E591" s="172" t="str">
        <f t="shared" si="52"/>
        <v>INSTALAÇÃO ELÉTRICA 110V - PERFILADOS</v>
      </c>
      <c r="F591" s="173" t="str">
        <f ca="1">IF(RegimeExecucao="Global","",ORÇAMENTO.Unidade)</f>
        <v/>
      </c>
      <c r="G591" s="124" t="str">
        <f ca="1">IF(RegimeExecucao="Global","",ORÇAMENTO!T591)</f>
        <v/>
      </c>
      <c r="H591" s="124" t="str">
        <f ca="1">IF(RegimeExecucao="Global","",ORÇAMENTO!W591)</f>
        <v/>
      </c>
      <c r="I591" s="127">
        <f ca="1">ORÇAMENTO!X591</f>
        <v>0</v>
      </c>
      <c r="J591" s="378">
        <f ca="1">IF($A591="S",IF(CAIXA.Modo,BM.AFAnterior,BM.MEDAnterior),IF(AND(RegimeExecucao="Global",$I591&gt;0,COUNTIF($AB$13:$AM$13,BM.medicao-1)&gt;0),M591/$I591*100,0))</f>
        <v>0</v>
      </c>
      <c r="K591" s="124">
        <f t="shared" ca="1" si="46"/>
        <v>0</v>
      </c>
      <c r="L591" s="379">
        <f ca="1">IF($A591="S",IF(CAIXA.Modo,BM.AFAcumulado,BM.MEDAcumulado),IF(AND(RegimeExecucao="Global",$I591&gt;0,COUNTIF($AB$13:$AM$13,BM.medicao)&gt;0),O591/$I591*100,0))</f>
        <v>0</v>
      </c>
      <c r="M591" s="380">
        <f ca="1">IF($A591="S",VTOTALBM,IF($A591=0,0,ROUND(SomaAgrupBM,15-13*ORÇAMENTO!$AF$11)))</f>
        <v>0</v>
      </c>
      <c r="N591" s="381">
        <f t="shared" ca="1" si="47"/>
        <v>0</v>
      </c>
      <c r="O591" s="127">
        <f ca="1">IF($A591="S",VTOTALBM,IF($A591=0,0,ROUND(SomaAgrupBM,15-13*ORÇAMENTO!$AF$11)))</f>
        <v>0</v>
      </c>
      <c r="Q591" s="382"/>
      <c r="R591" s="383"/>
      <c r="T591" s="119" t="str">
        <f t="shared" ca="1" si="48"/>
        <v/>
      </c>
      <c r="U591" s="172" t="str">
        <f t="shared" ca="1" si="49"/>
        <v/>
      </c>
      <c r="V591" s="173" t="str">
        <f ca="1">IF(AND($W591&gt;0,RegimeExecucao="Unitário"),$F591,"")</f>
        <v/>
      </c>
      <c r="W591" s="547">
        <f ca="1">IF($Y591&gt;0,CHOOSE(MATCH(RegimeExecucao,{"Unitário","Global"},0),IF($A591="S",$Y591/$X591,""),($Y591/$X591)*100),0)</f>
        <v>0</v>
      </c>
      <c r="X591" s="384" t="str">
        <f ca="1">IF($Y591&gt;0,CHOOSE(MATCH(RegimeExecucao,{"Unitário","Global"},0),IF($A591="S",ROUND($H591,ORÇAMENTO!$AF$10),""),ROUND($I591,ORÇAMENTO!$AF$11)),"")</f>
        <v/>
      </c>
      <c r="Y591" s="384">
        <f t="shared" ca="1" si="50"/>
        <v>0</v>
      </c>
      <c r="Z591" s="572"/>
      <c r="AB591" s="382"/>
      <c r="AC591" s="516"/>
      <c r="AD591" s="516"/>
      <c r="AE591" s="516"/>
      <c r="AF591" s="516"/>
      <c r="AG591" s="516"/>
      <c r="AH591" s="516"/>
      <c r="AI591" s="516"/>
      <c r="AJ591" s="516"/>
      <c r="AK591" s="516"/>
      <c r="AL591" s="516"/>
      <c r="AM591" s="383"/>
      <c r="AO591">
        <f ca="1">IF($A591="S",IF(BM!$I591=0,0,CHOOSE(MATCH(RegimeExecucao,{"Global","Unitário"},0),ROUND(ROUND(BM.MEDAcumulado,15-13*BM!$A$9)/100*BM!$I591,15-13*ORÇAMENTO!$AF$11),ROUND(ROUND(BM.MEDAcumulado,15-13*BM!$A$9)*ROUND(BM!$H591,15-13*ORÇAMENTO!$AF$10),15-13*ORÇAMENTO!$AF$11))),IF($A591=0,0,ROUND(SomaAgrupBM,15-13*ORÇAMENTO!$AF$11)))</f>
        <v>0</v>
      </c>
    </row>
    <row r="592" spans="1:41" x14ac:dyDescent="0.2">
      <c r="A592" t="str">
        <f ca="1">ORÇAMENTO!C592</f>
        <v>S</v>
      </c>
      <c r="B592">
        <f ca="1">ORÇAMENTO!D592</f>
        <v>0</v>
      </c>
      <c r="C592" s="116" t="str">
        <f t="shared" ca="1" si="44"/>
        <v/>
      </c>
      <c r="D592" s="119" t="str">
        <f ca="1">ORÇAMENTO!O592</f>
        <v>-</v>
      </c>
      <c r="E592" s="172" t="str">
        <f t="shared" ca="1" si="52"/>
        <v>(abra o arquivo 'Referência 06-2024.xlsm)</v>
      </c>
      <c r="F592" s="173" t="str">
        <f ca="1">IF(RegimeExecucao="Global","",ORÇAMENTO.Unidade)</f>
        <v/>
      </c>
      <c r="G592" s="124" t="str">
        <f ca="1">IF(RegimeExecucao="Global","",ORÇAMENTO!T592)</f>
        <v/>
      </c>
      <c r="H592" s="124" t="str">
        <f ca="1">IF(RegimeExecucao="Global","",ORÇAMENTO!W592)</f>
        <v/>
      </c>
      <c r="I592" s="127">
        <f ca="1">ORÇAMENTO!X592</f>
        <v>0</v>
      </c>
      <c r="J592" s="378">
        <f ca="1">IF($A592="S",IF(CAIXA.Modo,BM.AFAnterior,BM.MEDAnterior),IF(AND(RegimeExecucao="Global",$I592&gt;0,COUNTIF($AB$13:$AM$13,BM.medicao-1)&gt;0),M592/$I592*100,0))</f>
        <v>0</v>
      </c>
      <c r="K592" s="124">
        <f t="shared" ca="1" si="46"/>
        <v>0</v>
      </c>
      <c r="L592" s="379">
        <f ca="1">IF($A592="S",IF(CAIXA.Modo,BM.AFAcumulado,BM.MEDAcumulado),IF(AND(RegimeExecucao="Global",$I592&gt;0,COUNTIF($AB$13:$AM$13,BM.medicao)&gt;0),O592/$I592*100,0))</f>
        <v>0</v>
      </c>
      <c r="M592" s="380">
        <f ca="1">IF($A592="S",VTOTALBM,IF($A592=0,0,ROUND(SomaAgrupBM,15-13*ORÇAMENTO!$AF$11)))</f>
        <v>0</v>
      </c>
      <c r="N592" s="381">
        <f t="shared" ca="1" si="47"/>
        <v>0</v>
      </c>
      <c r="O592" s="127">
        <f ca="1">IF($A592="S",VTOTALBM,IF($A592=0,0,ROUND(SomaAgrupBM,15-13*ORÇAMENTO!$AF$11)))</f>
        <v>0</v>
      </c>
      <c r="Q592" s="382"/>
      <c r="R592" s="383"/>
      <c r="T592" s="119" t="str">
        <f t="shared" ca="1" si="48"/>
        <v/>
      </c>
      <c r="U592" s="172" t="str">
        <f t="shared" ca="1" si="49"/>
        <v/>
      </c>
      <c r="V592" s="173" t="str">
        <f ca="1">IF(AND($W592&gt;0,RegimeExecucao="Unitário"),$F592,"")</f>
        <v/>
      </c>
      <c r="W592" s="547">
        <f ca="1">IF($Y592&gt;0,CHOOSE(MATCH(RegimeExecucao,{"Unitário","Global"},0),IF($A592="S",$Y592/$X592,""),($Y592/$X592)*100),0)</f>
        <v>0</v>
      </c>
      <c r="X592" s="384" t="str">
        <f ca="1">IF($Y592&gt;0,CHOOSE(MATCH(RegimeExecucao,{"Unitário","Global"},0),IF($A592="S",ROUND($H592,ORÇAMENTO!$AF$10),""),ROUND($I592,ORÇAMENTO!$AF$11)),"")</f>
        <v/>
      </c>
      <c r="Y592" s="384">
        <f t="shared" ca="1" si="50"/>
        <v>0</v>
      </c>
      <c r="Z592" s="572"/>
      <c r="AB592" s="382"/>
      <c r="AC592" s="516"/>
      <c r="AD592" s="516"/>
      <c r="AE592" s="516"/>
      <c r="AF592" s="516"/>
      <c r="AG592" s="516"/>
      <c r="AH592" s="516"/>
      <c r="AI592" s="516"/>
      <c r="AJ592" s="516"/>
      <c r="AK592" s="516"/>
      <c r="AL592" s="516"/>
      <c r="AM592" s="383"/>
      <c r="AO592">
        <f ca="1">IF($A592="S",IF(BM!$I592=0,0,CHOOSE(MATCH(RegimeExecucao,{"Global","Unitário"},0),ROUND(ROUND(BM.MEDAcumulado,15-13*BM!$A$9)/100*BM!$I592,15-13*ORÇAMENTO!$AF$11),ROUND(ROUND(BM.MEDAcumulado,15-13*BM!$A$9)*ROUND(BM!$H592,15-13*ORÇAMENTO!$AF$10),15-13*ORÇAMENTO!$AF$11))),IF($A592=0,0,ROUND(SomaAgrupBM,15-13*ORÇAMENTO!$AF$11)))</f>
        <v>0</v>
      </c>
    </row>
    <row r="593" spans="1:41" ht="38.25" x14ac:dyDescent="0.2">
      <c r="A593" t="str">
        <f ca="1">ORÇAMENTO!C593</f>
        <v>S</v>
      </c>
      <c r="B593">
        <f ca="1">ORÇAMENTO!D593</f>
        <v>0</v>
      </c>
      <c r="C593" s="116" t="str">
        <f t="shared" ca="1" si="44"/>
        <v/>
      </c>
      <c r="D593" s="119" t="str">
        <f ca="1">ORÇAMENTO!O593</f>
        <v>-</v>
      </c>
      <c r="E593" s="172" t="str">
        <f t="shared" ca="1" si="52"/>
        <v>(abra o arquivo 'Referência 06-2024.xlsm)</v>
      </c>
      <c r="F593" s="173" t="str">
        <f ca="1">IF(RegimeExecucao="Global","",ORÇAMENTO.Unidade)</f>
        <v/>
      </c>
      <c r="G593" s="124" t="str">
        <f ca="1">IF(RegimeExecucao="Global","",ORÇAMENTO!T593)</f>
        <v/>
      </c>
      <c r="H593" s="124" t="str">
        <f ca="1">IF(RegimeExecucao="Global","",ORÇAMENTO!W593)</f>
        <v/>
      </c>
      <c r="I593" s="127">
        <f ca="1">ORÇAMENTO!X593</f>
        <v>0</v>
      </c>
      <c r="J593" s="378">
        <f ca="1">IF($A593="S",IF(CAIXA.Modo,BM.AFAnterior,BM.MEDAnterior),IF(AND(RegimeExecucao="Global",$I593&gt;0,COUNTIF($AB$13:$AM$13,BM.medicao-1)&gt;0),M593/$I593*100,0))</f>
        <v>0</v>
      </c>
      <c r="K593" s="124">
        <f t="shared" ca="1" si="46"/>
        <v>0</v>
      </c>
      <c r="L593" s="379">
        <f ca="1">IF($A593="S",IF(CAIXA.Modo,BM.AFAcumulado,BM.MEDAcumulado),IF(AND(RegimeExecucao="Global",$I593&gt;0,COUNTIF($AB$13:$AM$13,BM.medicao)&gt;0),O593/$I593*100,0))</f>
        <v>0</v>
      </c>
      <c r="M593" s="380">
        <f ca="1">IF($A593="S",VTOTALBM,IF($A593=0,0,ROUND(SomaAgrupBM,15-13*ORÇAMENTO!$AF$11)))</f>
        <v>0</v>
      </c>
      <c r="N593" s="381">
        <f t="shared" ca="1" si="47"/>
        <v>0</v>
      </c>
      <c r="O593" s="127">
        <f ca="1">IF($A593="S",VTOTALBM,IF($A593=0,0,ROUND(SomaAgrupBM,15-13*ORÇAMENTO!$AF$11)))</f>
        <v>0</v>
      </c>
      <c r="Q593" s="382"/>
      <c r="R593" s="383"/>
      <c r="T593" s="119" t="str">
        <f t="shared" ca="1" si="48"/>
        <v/>
      </c>
      <c r="U593" s="172" t="str">
        <f t="shared" ca="1" si="49"/>
        <v/>
      </c>
      <c r="V593" s="173" t="str">
        <f ca="1">IF(AND($W593&gt;0,RegimeExecucao="Unitário"),$F593,"")</f>
        <v/>
      </c>
      <c r="W593" s="547">
        <f ca="1">IF($Y593&gt;0,CHOOSE(MATCH(RegimeExecucao,{"Unitário","Global"},0),IF($A593="S",$Y593/$X593,""),($Y593/$X593)*100),0)</f>
        <v>0</v>
      </c>
      <c r="X593" s="384" t="str">
        <f ca="1">IF($Y593&gt;0,CHOOSE(MATCH(RegimeExecucao,{"Unitário","Global"},0),IF($A593="S",ROUND($H593,ORÇAMENTO!$AF$10),""),ROUND($I593,ORÇAMENTO!$AF$11)),"")</f>
        <v/>
      </c>
      <c r="Y593" s="384">
        <f t="shared" ca="1" si="50"/>
        <v>0</v>
      </c>
      <c r="Z593" s="572"/>
      <c r="AB593" s="382"/>
      <c r="AC593" s="516"/>
      <c r="AD593" s="516"/>
      <c r="AE593" s="516"/>
      <c r="AF593" s="516"/>
      <c r="AG593" s="516"/>
      <c r="AH593" s="516"/>
      <c r="AI593" s="516"/>
      <c r="AJ593" s="516"/>
      <c r="AK593" s="516"/>
      <c r="AL593" s="516"/>
      <c r="AM593" s="383"/>
      <c r="AO593">
        <f ca="1">IF($A593="S",IF(BM!$I593=0,0,CHOOSE(MATCH(RegimeExecucao,{"Global","Unitário"},0),ROUND(ROUND(BM.MEDAcumulado,15-13*BM!$A$9)/100*BM!$I593,15-13*ORÇAMENTO!$AF$11),ROUND(ROUND(BM.MEDAcumulado,15-13*BM!$A$9)*ROUND(BM!$H593,15-13*ORÇAMENTO!$AF$10),15-13*ORÇAMENTO!$AF$11))),IF($A593=0,0,ROUND(SomaAgrupBM,15-13*ORÇAMENTO!$AF$11)))</f>
        <v>0</v>
      </c>
    </row>
    <row r="594" spans="1:41" x14ac:dyDescent="0.2">
      <c r="A594" t="str">
        <f ca="1">ORÇAMENTO!C594</f>
        <v>S</v>
      </c>
      <c r="B594">
        <f ca="1">ORÇAMENTO!D594</f>
        <v>0</v>
      </c>
      <c r="C594" s="116" t="str">
        <f t="shared" ca="1" si="44"/>
        <v/>
      </c>
      <c r="D594" s="119" t="str">
        <f ca="1">ORÇAMENTO!O594</f>
        <v>-</v>
      </c>
      <c r="E594" s="172" t="str">
        <f t="shared" ca="1" si="52"/>
        <v>(abra o arquivo 'Referência 06-2024.xlsm)</v>
      </c>
      <c r="F594" s="173" t="str">
        <f ca="1">IF(RegimeExecucao="Global","",ORÇAMENTO.Unidade)</f>
        <v/>
      </c>
      <c r="G594" s="124" t="str">
        <f ca="1">IF(RegimeExecucao="Global","",ORÇAMENTO!T594)</f>
        <v/>
      </c>
      <c r="H594" s="124" t="str">
        <f ca="1">IF(RegimeExecucao="Global","",ORÇAMENTO!W594)</f>
        <v/>
      </c>
      <c r="I594" s="127">
        <f ca="1">ORÇAMENTO!X594</f>
        <v>0</v>
      </c>
      <c r="J594" s="378">
        <f ca="1">IF($A594="S",IF(CAIXA.Modo,BM.AFAnterior,BM.MEDAnterior),IF(AND(RegimeExecucao="Global",$I594&gt;0,COUNTIF($AB$13:$AM$13,BM.medicao-1)&gt;0),M594/$I594*100,0))</f>
        <v>0</v>
      </c>
      <c r="K594" s="124">
        <f t="shared" ca="1" si="46"/>
        <v>0</v>
      </c>
      <c r="L594" s="379">
        <f ca="1">IF($A594="S",IF(CAIXA.Modo,BM.AFAcumulado,BM.MEDAcumulado),IF(AND(RegimeExecucao="Global",$I594&gt;0,COUNTIF($AB$13:$AM$13,BM.medicao)&gt;0),O594/$I594*100,0))</f>
        <v>0</v>
      </c>
      <c r="M594" s="380">
        <f ca="1">IF($A594="S",VTOTALBM,IF($A594=0,0,ROUND(SomaAgrupBM,15-13*ORÇAMENTO!$AF$11)))</f>
        <v>0</v>
      </c>
      <c r="N594" s="381">
        <f t="shared" ca="1" si="47"/>
        <v>0</v>
      </c>
      <c r="O594" s="127">
        <f ca="1">IF($A594="S",VTOTALBM,IF($A594=0,0,ROUND(SomaAgrupBM,15-13*ORÇAMENTO!$AF$11)))</f>
        <v>0</v>
      </c>
      <c r="Q594" s="382"/>
      <c r="R594" s="383"/>
      <c r="T594" s="119" t="str">
        <f t="shared" ca="1" si="48"/>
        <v/>
      </c>
      <c r="U594" s="172" t="str">
        <f t="shared" ca="1" si="49"/>
        <v/>
      </c>
      <c r="V594" s="173" t="str">
        <f ca="1">IF(AND($W594&gt;0,RegimeExecucao="Unitário"),$F594,"")</f>
        <v/>
      </c>
      <c r="W594" s="547">
        <f ca="1">IF($Y594&gt;0,CHOOSE(MATCH(RegimeExecucao,{"Unitário","Global"},0),IF($A594="S",$Y594/$X594,""),($Y594/$X594)*100),0)</f>
        <v>0</v>
      </c>
      <c r="X594" s="384" t="str">
        <f ca="1">IF($Y594&gt;0,CHOOSE(MATCH(RegimeExecucao,{"Unitário","Global"},0),IF($A594="S",ROUND($H594,ORÇAMENTO!$AF$10),""),ROUND($I594,ORÇAMENTO!$AF$11)),"")</f>
        <v/>
      </c>
      <c r="Y594" s="384">
        <f t="shared" ca="1" si="50"/>
        <v>0</v>
      </c>
      <c r="Z594" s="572"/>
      <c r="AB594" s="382"/>
      <c r="AC594" s="516"/>
      <c r="AD594" s="516"/>
      <c r="AE594" s="516"/>
      <c r="AF594" s="516"/>
      <c r="AG594" s="516"/>
      <c r="AH594" s="516"/>
      <c r="AI594" s="516"/>
      <c r="AJ594" s="516"/>
      <c r="AK594" s="516"/>
      <c r="AL594" s="516"/>
      <c r="AM594" s="383"/>
      <c r="AO594">
        <f ca="1">IF($A594="S",IF(BM!$I594=0,0,CHOOSE(MATCH(RegimeExecucao,{"Global","Unitário"},0),ROUND(ROUND(BM.MEDAcumulado,15-13*BM!$A$9)/100*BM!$I594,15-13*ORÇAMENTO!$AF$11),ROUND(ROUND(BM.MEDAcumulado,15-13*BM!$A$9)*ROUND(BM!$H594,15-13*ORÇAMENTO!$AF$10),15-13*ORÇAMENTO!$AF$11))),IF($A594=0,0,ROUND(SomaAgrupBM,15-13*ORÇAMENTO!$AF$11)))</f>
        <v>0</v>
      </c>
    </row>
    <row r="595" spans="1:41" x14ac:dyDescent="0.2">
      <c r="A595">
        <f ca="1">ORÇAMENTO!C595</f>
        <v>2</v>
      </c>
      <c r="B595">
        <f ca="1">ORÇAMENTO!D595</f>
        <v>9</v>
      </c>
      <c r="C595" s="116" t="str">
        <f t="shared" ca="1" si="44"/>
        <v>F</v>
      </c>
      <c r="D595" s="119" t="str">
        <f ca="1">ORÇAMENTO!O595</f>
        <v>1.60.</v>
      </c>
      <c r="E595" s="172" t="str">
        <f t="shared" si="52"/>
        <v>INSTALAÇÃO ELÉTRICA 110V - ILUMINAÇÃO</v>
      </c>
      <c r="F595" s="173" t="str">
        <f ca="1">IF(RegimeExecucao="Global","",ORÇAMENTO.Unidade)</f>
        <v/>
      </c>
      <c r="G595" s="124" t="str">
        <f ca="1">IF(RegimeExecucao="Global","",ORÇAMENTO!T595)</f>
        <v/>
      </c>
      <c r="H595" s="124" t="str">
        <f ca="1">IF(RegimeExecucao="Global","",ORÇAMENTO!W595)</f>
        <v/>
      </c>
      <c r="I595" s="127">
        <f ca="1">ORÇAMENTO!X595</f>
        <v>0</v>
      </c>
      <c r="J595" s="378">
        <f ca="1">IF($A595="S",IF(CAIXA.Modo,BM.AFAnterior,BM.MEDAnterior),IF(AND(RegimeExecucao="Global",$I595&gt;0,COUNTIF($AB$13:$AM$13,BM.medicao-1)&gt;0),M595/$I595*100,0))</f>
        <v>0</v>
      </c>
      <c r="K595" s="124">
        <f t="shared" ca="1" si="46"/>
        <v>0</v>
      </c>
      <c r="L595" s="379">
        <f ca="1">IF($A595="S",IF(CAIXA.Modo,BM.AFAcumulado,BM.MEDAcumulado),IF(AND(RegimeExecucao="Global",$I595&gt;0,COUNTIF($AB$13:$AM$13,BM.medicao)&gt;0),O595/$I595*100,0))</f>
        <v>0</v>
      </c>
      <c r="M595" s="380">
        <f ca="1">IF($A595="S",VTOTALBM,IF($A595=0,0,ROUND(SomaAgrupBM,15-13*ORÇAMENTO!$AF$11)))</f>
        <v>0</v>
      </c>
      <c r="N595" s="381">
        <f t="shared" ca="1" si="47"/>
        <v>0</v>
      </c>
      <c r="O595" s="127">
        <f ca="1">IF($A595="S",VTOTALBM,IF($A595=0,0,ROUND(SomaAgrupBM,15-13*ORÇAMENTO!$AF$11)))</f>
        <v>0</v>
      </c>
      <c r="Q595" s="382"/>
      <c r="R595" s="383"/>
      <c r="T595" s="119" t="str">
        <f t="shared" ca="1" si="48"/>
        <v/>
      </c>
      <c r="U595" s="172" t="str">
        <f t="shared" ca="1" si="49"/>
        <v/>
      </c>
      <c r="V595" s="173" t="str">
        <f ca="1">IF(AND($W595&gt;0,RegimeExecucao="Unitário"),$F595,"")</f>
        <v/>
      </c>
      <c r="W595" s="547">
        <f ca="1">IF($Y595&gt;0,CHOOSE(MATCH(RegimeExecucao,{"Unitário","Global"},0),IF($A595="S",$Y595/$X595,""),($Y595/$X595)*100),0)</f>
        <v>0</v>
      </c>
      <c r="X595" s="384" t="str">
        <f ca="1">IF($Y595&gt;0,CHOOSE(MATCH(RegimeExecucao,{"Unitário","Global"},0),IF($A595="S",ROUND($H595,ORÇAMENTO!$AF$10),""),ROUND($I595,ORÇAMENTO!$AF$11)),"")</f>
        <v/>
      </c>
      <c r="Y595" s="384">
        <f t="shared" ca="1" si="50"/>
        <v>0</v>
      </c>
      <c r="Z595" s="572"/>
      <c r="AB595" s="382"/>
      <c r="AC595" s="516"/>
      <c r="AD595" s="516"/>
      <c r="AE595" s="516"/>
      <c r="AF595" s="516"/>
      <c r="AG595" s="516"/>
      <c r="AH595" s="516"/>
      <c r="AI595" s="516"/>
      <c r="AJ595" s="516"/>
      <c r="AK595" s="516"/>
      <c r="AL595" s="516"/>
      <c r="AM595" s="383"/>
      <c r="AO595">
        <f ca="1">IF($A595="S",IF(BM!$I595=0,0,CHOOSE(MATCH(RegimeExecucao,{"Global","Unitário"},0),ROUND(ROUND(BM.MEDAcumulado,15-13*BM!$A$9)/100*BM!$I595,15-13*ORÇAMENTO!$AF$11),ROUND(ROUND(BM.MEDAcumulado,15-13*BM!$A$9)*ROUND(BM!$H595,15-13*ORÇAMENTO!$AF$10),15-13*ORÇAMENTO!$AF$11))),IF($A595=0,0,ROUND(SomaAgrupBM,15-13*ORÇAMENTO!$AF$11)))</f>
        <v>0</v>
      </c>
    </row>
    <row r="596" spans="1:41" ht="38.25" x14ac:dyDescent="0.2">
      <c r="A596" t="str">
        <f ca="1">ORÇAMENTO!C596</f>
        <v>S</v>
      </c>
      <c r="B596">
        <f ca="1">ORÇAMENTO!D596</f>
        <v>0</v>
      </c>
      <c r="C596" s="116" t="str">
        <f t="shared" ca="1" si="44"/>
        <v/>
      </c>
      <c r="D596" s="119" t="str">
        <f ca="1">ORÇAMENTO!O596</f>
        <v>-</v>
      </c>
      <c r="E596" s="172" t="str">
        <f t="shared" ca="1" si="52"/>
        <v>(abra o arquivo 'Referência 06-2024.xlsm)</v>
      </c>
      <c r="F596" s="173" t="str">
        <f ca="1">IF(RegimeExecucao="Global","",ORÇAMENTO.Unidade)</f>
        <v/>
      </c>
      <c r="G596" s="124" t="str">
        <f ca="1">IF(RegimeExecucao="Global","",ORÇAMENTO!T596)</f>
        <v/>
      </c>
      <c r="H596" s="124" t="str">
        <f ca="1">IF(RegimeExecucao="Global","",ORÇAMENTO!W596)</f>
        <v/>
      </c>
      <c r="I596" s="127">
        <f ca="1">ORÇAMENTO!X596</f>
        <v>0</v>
      </c>
      <c r="J596" s="378">
        <f ca="1">IF($A596="S",IF(CAIXA.Modo,BM.AFAnterior,BM.MEDAnterior),IF(AND(RegimeExecucao="Global",$I596&gt;0,COUNTIF($AB$13:$AM$13,BM.medicao-1)&gt;0),M596/$I596*100,0))</f>
        <v>0</v>
      </c>
      <c r="K596" s="124">
        <f t="shared" ca="1" si="46"/>
        <v>0</v>
      </c>
      <c r="L596" s="379">
        <f ca="1">IF($A596="S",IF(CAIXA.Modo,BM.AFAcumulado,BM.MEDAcumulado),IF(AND(RegimeExecucao="Global",$I596&gt;0,COUNTIF($AB$13:$AM$13,BM.medicao)&gt;0),O596/$I596*100,0))</f>
        <v>0</v>
      </c>
      <c r="M596" s="380">
        <f ca="1">IF($A596="S",VTOTALBM,IF($A596=0,0,ROUND(SomaAgrupBM,15-13*ORÇAMENTO!$AF$11)))</f>
        <v>0</v>
      </c>
      <c r="N596" s="381">
        <f t="shared" ca="1" si="47"/>
        <v>0</v>
      </c>
      <c r="O596" s="127">
        <f ca="1">IF($A596="S",VTOTALBM,IF($A596=0,0,ROUND(SomaAgrupBM,15-13*ORÇAMENTO!$AF$11)))</f>
        <v>0</v>
      </c>
      <c r="Q596" s="382"/>
      <c r="R596" s="383"/>
      <c r="T596" s="119" t="str">
        <f t="shared" ca="1" si="48"/>
        <v/>
      </c>
      <c r="U596" s="172" t="str">
        <f t="shared" ca="1" si="49"/>
        <v/>
      </c>
      <c r="V596" s="173" t="str">
        <f ca="1">IF(AND($W596&gt;0,RegimeExecucao="Unitário"),$F596,"")</f>
        <v/>
      </c>
      <c r="W596" s="547">
        <f ca="1">IF($Y596&gt;0,CHOOSE(MATCH(RegimeExecucao,{"Unitário","Global"},0),IF($A596="S",$Y596/$X596,""),($Y596/$X596)*100),0)</f>
        <v>0</v>
      </c>
      <c r="X596" s="384" t="str">
        <f ca="1">IF($Y596&gt;0,CHOOSE(MATCH(RegimeExecucao,{"Unitário","Global"},0),IF($A596="S",ROUND($H596,ORÇAMENTO!$AF$10),""),ROUND($I596,ORÇAMENTO!$AF$11)),"")</f>
        <v/>
      </c>
      <c r="Y596" s="384">
        <f t="shared" ca="1" si="50"/>
        <v>0</v>
      </c>
      <c r="Z596" s="572"/>
      <c r="AB596" s="382"/>
      <c r="AC596" s="516"/>
      <c r="AD596" s="516"/>
      <c r="AE596" s="516"/>
      <c r="AF596" s="516"/>
      <c r="AG596" s="516"/>
      <c r="AH596" s="516"/>
      <c r="AI596" s="516"/>
      <c r="AJ596" s="516"/>
      <c r="AK596" s="516"/>
      <c r="AL596" s="516"/>
      <c r="AM596" s="383"/>
      <c r="AO596">
        <f ca="1">IF($A596="S",IF(BM!$I596=0,0,CHOOSE(MATCH(RegimeExecucao,{"Global","Unitário"},0),ROUND(ROUND(BM.MEDAcumulado,15-13*BM!$A$9)/100*BM!$I596,15-13*ORÇAMENTO!$AF$11),ROUND(ROUND(BM.MEDAcumulado,15-13*BM!$A$9)*ROUND(BM!$H596,15-13*ORÇAMENTO!$AF$10),15-13*ORÇAMENTO!$AF$11))),IF($A596=0,0,ROUND(SomaAgrupBM,15-13*ORÇAMENTO!$AF$11)))</f>
        <v>0</v>
      </c>
    </row>
    <row r="597" spans="1:41" ht="38.25" x14ac:dyDescent="0.2">
      <c r="A597" t="str">
        <f ca="1">ORÇAMENTO!C597</f>
        <v>S</v>
      </c>
      <c r="B597">
        <f ca="1">ORÇAMENTO!D597</f>
        <v>0</v>
      </c>
      <c r="C597" s="116" t="str">
        <f t="shared" ca="1" si="44"/>
        <v/>
      </c>
      <c r="D597" s="119" t="str">
        <f ca="1">ORÇAMENTO!O597</f>
        <v>-</v>
      </c>
      <c r="E597" s="172" t="str">
        <f t="shared" ca="1" si="52"/>
        <v>(abra o arquivo 'Referência 06-2024.xlsm)</v>
      </c>
      <c r="F597" s="173" t="str">
        <f ca="1">IF(RegimeExecucao="Global","",ORÇAMENTO.Unidade)</f>
        <v/>
      </c>
      <c r="G597" s="124" t="str">
        <f ca="1">IF(RegimeExecucao="Global","",ORÇAMENTO!T597)</f>
        <v/>
      </c>
      <c r="H597" s="124" t="str">
        <f ca="1">IF(RegimeExecucao="Global","",ORÇAMENTO!W597)</f>
        <v/>
      </c>
      <c r="I597" s="127">
        <f ca="1">ORÇAMENTO!X597</f>
        <v>0</v>
      </c>
      <c r="J597" s="378">
        <f ca="1">IF($A597="S",IF(CAIXA.Modo,BM.AFAnterior,BM.MEDAnterior),IF(AND(RegimeExecucao="Global",$I597&gt;0,COUNTIF($AB$13:$AM$13,BM.medicao-1)&gt;0),M597/$I597*100,0))</f>
        <v>0</v>
      </c>
      <c r="K597" s="124">
        <f t="shared" ca="1" si="46"/>
        <v>0</v>
      </c>
      <c r="L597" s="379">
        <f ca="1">IF($A597="S",IF(CAIXA.Modo,BM.AFAcumulado,BM.MEDAcumulado),IF(AND(RegimeExecucao="Global",$I597&gt;0,COUNTIF($AB$13:$AM$13,BM.medicao)&gt;0),O597/$I597*100,0))</f>
        <v>0</v>
      </c>
      <c r="M597" s="380">
        <f ca="1">IF($A597="S",VTOTALBM,IF($A597=0,0,ROUND(SomaAgrupBM,15-13*ORÇAMENTO!$AF$11)))</f>
        <v>0</v>
      </c>
      <c r="N597" s="381">
        <f t="shared" ca="1" si="47"/>
        <v>0</v>
      </c>
      <c r="O597" s="127">
        <f ca="1">IF($A597="S",VTOTALBM,IF($A597=0,0,ROUND(SomaAgrupBM,15-13*ORÇAMENTO!$AF$11)))</f>
        <v>0</v>
      </c>
      <c r="Q597" s="382"/>
      <c r="R597" s="383"/>
      <c r="T597" s="119" t="str">
        <f t="shared" ca="1" si="48"/>
        <v/>
      </c>
      <c r="U597" s="172" t="str">
        <f t="shared" ca="1" si="49"/>
        <v/>
      </c>
      <c r="V597" s="173" t="str">
        <f ca="1">IF(AND($W597&gt;0,RegimeExecucao="Unitário"),$F597,"")</f>
        <v/>
      </c>
      <c r="W597" s="547">
        <f ca="1">IF($Y597&gt;0,CHOOSE(MATCH(RegimeExecucao,{"Unitário","Global"},0),IF($A597="S",$Y597/$X597,""),($Y597/$X597)*100),0)</f>
        <v>0</v>
      </c>
      <c r="X597" s="384" t="str">
        <f ca="1">IF($Y597&gt;0,CHOOSE(MATCH(RegimeExecucao,{"Unitário","Global"},0),IF($A597="S",ROUND($H597,ORÇAMENTO!$AF$10),""),ROUND($I597,ORÇAMENTO!$AF$11)),"")</f>
        <v/>
      </c>
      <c r="Y597" s="384">
        <f t="shared" ca="1" si="50"/>
        <v>0</v>
      </c>
      <c r="Z597" s="572"/>
      <c r="AB597" s="382"/>
      <c r="AC597" s="516"/>
      <c r="AD597" s="516"/>
      <c r="AE597" s="516"/>
      <c r="AF597" s="516"/>
      <c r="AG597" s="516"/>
      <c r="AH597" s="516"/>
      <c r="AI597" s="516"/>
      <c r="AJ597" s="516"/>
      <c r="AK597" s="516"/>
      <c r="AL597" s="516"/>
      <c r="AM597" s="383"/>
      <c r="AO597">
        <f ca="1">IF($A597="S",IF(BM!$I597=0,0,CHOOSE(MATCH(RegimeExecucao,{"Global","Unitário"},0),ROUND(ROUND(BM.MEDAcumulado,15-13*BM!$A$9)/100*BM!$I597,15-13*ORÇAMENTO!$AF$11),ROUND(ROUND(BM.MEDAcumulado,15-13*BM!$A$9)*ROUND(BM!$H597,15-13*ORÇAMENTO!$AF$10),15-13*ORÇAMENTO!$AF$11))),IF($A597=0,0,ROUND(SomaAgrupBM,15-13*ORÇAMENTO!$AF$11)))</f>
        <v>0</v>
      </c>
    </row>
    <row r="598" spans="1:41" ht="25.5" x14ac:dyDescent="0.2">
      <c r="A598" t="str">
        <f ca="1">ORÇAMENTO!C598</f>
        <v>S</v>
      </c>
      <c r="B598">
        <f ca="1">ORÇAMENTO!D598</f>
        <v>0</v>
      </c>
      <c r="C598" s="116" t="str">
        <f t="shared" ca="1" si="44"/>
        <v/>
      </c>
      <c r="D598" s="119" t="str">
        <f ca="1">ORÇAMENTO!O598</f>
        <v>-</v>
      </c>
      <c r="E598" s="172" t="str">
        <f t="shared" ca="1" si="52"/>
        <v>(abra o arquivo 'Referência 06-2024.xlsm)</v>
      </c>
      <c r="F598" s="173" t="str">
        <f ca="1">IF(RegimeExecucao="Global","",ORÇAMENTO.Unidade)</f>
        <v/>
      </c>
      <c r="G598" s="124" t="str">
        <f ca="1">IF(RegimeExecucao="Global","",ORÇAMENTO!T598)</f>
        <v/>
      </c>
      <c r="H598" s="124" t="str">
        <f ca="1">IF(RegimeExecucao="Global","",ORÇAMENTO!W598)</f>
        <v/>
      </c>
      <c r="I598" s="127">
        <f ca="1">ORÇAMENTO!X598</f>
        <v>0</v>
      </c>
      <c r="J598" s="378">
        <f ca="1">IF($A598="S",IF(CAIXA.Modo,BM.AFAnterior,BM.MEDAnterior),IF(AND(RegimeExecucao="Global",$I598&gt;0,COUNTIF($AB$13:$AM$13,BM.medicao-1)&gt;0),M598/$I598*100,0))</f>
        <v>0</v>
      </c>
      <c r="K598" s="124">
        <f t="shared" ca="1" si="46"/>
        <v>0</v>
      </c>
      <c r="L598" s="379">
        <f ca="1">IF($A598="S",IF(CAIXA.Modo,BM.AFAcumulado,BM.MEDAcumulado),IF(AND(RegimeExecucao="Global",$I598&gt;0,COUNTIF($AB$13:$AM$13,BM.medicao)&gt;0),O598/$I598*100,0))</f>
        <v>0</v>
      </c>
      <c r="M598" s="380">
        <f ca="1">IF($A598="S",VTOTALBM,IF($A598=0,0,ROUND(SomaAgrupBM,15-13*ORÇAMENTO!$AF$11)))</f>
        <v>0</v>
      </c>
      <c r="N598" s="381">
        <f t="shared" ca="1" si="47"/>
        <v>0</v>
      </c>
      <c r="O598" s="127">
        <f ca="1">IF($A598="S",VTOTALBM,IF($A598=0,0,ROUND(SomaAgrupBM,15-13*ORÇAMENTO!$AF$11)))</f>
        <v>0</v>
      </c>
      <c r="Q598" s="382"/>
      <c r="R598" s="383"/>
      <c r="T598" s="119" t="str">
        <f t="shared" ca="1" si="48"/>
        <v/>
      </c>
      <c r="U598" s="172" t="str">
        <f t="shared" ca="1" si="49"/>
        <v/>
      </c>
      <c r="V598" s="173" t="str">
        <f ca="1">IF(AND($W598&gt;0,RegimeExecucao="Unitário"),$F598,"")</f>
        <v/>
      </c>
      <c r="W598" s="547">
        <f ca="1">IF($Y598&gt;0,CHOOSE(MATCH(RegimeExecucao,{"Unitário","Global"},0),IF($A598="S",$Y598/$X598,""),($Y598/$X598)*100),0)</f>
        <v>0</v>
      </c>
      <c r="X598" s="384" t="str">
        <f ca="1">IF($Y598&gt;0,CHOOSE(MATCH(RegimeExecucao,{"Unitário","Global"},0),IF($A598="S",ROUND($H598,ORÇAMENTO!$AF$10),""),ROUND($I598,ORÇAMENTO!$AF$11)),"")</f>
        <v/>
      </c>
      <c r="Y598" s="384">
        <f t="shared" ca="1" si="50"/>
        <v>0</v>
      </c>
      <c r="Z598" s="572"/>
      <c r="AB598" s="382"/>
      <c r="AC598" s="516"/>
      <c r="AD598" s="516"/>
      <c r="AE598" s="516"/>
      <c r="AF598" s="516"/>
      <c r="AG598" s="516"/>
      <c r="AH598" s="516"/>
      <c r="AI598" s="516"/>
      <c r="AJ598" s="516"/>
      <c r="AK598" s="516"/>
      <c r="AL598" s="516"/>
      <c r="AM598" s="383"/>
      <c r="AO598">
        <f ca="1">IF($A598="S",IF(BM!$I598=0,0,CHOOSE(MATCH(RegimeExecucao,{"Global","Unitário"},0),ROUND(ROUND(BM.MEDAcumulado,15-13*BM!$A$9)/100*BM!$I598,15-13*ORÇAMENTO!$AF$11),ROUND(ROUND(BM.MEDAcumulado,15-13*BM!$A$9)*ROUND(BM!$H598,15-13*ORÇAMENTO!$AF$10),15-13*ORÇAMENTO!$AF$11))),IF($A598=0,0,ROUND(SomaAgrupBM,15-13*ORÇAMENTO!$AF$11)))</f>
        <v>0</v>
      </c>
    </row>
    <row r="599" spans="1:41" ht="38.25" x14ac:dyDescent="0.2">
      <c r="A599" t="str">
        <f ca="1">ORÇAMENTO!C599</f>
        <v>S</v>
      </c>
      <c r="B599">
        <f ca="1">ORÇAMENTO!D599</f>
        <v>0</v>
      </c>
      <c r="C599" s="116" t="str">
        <f t="shared" ca="1" si="44"/>
        <v/>
      </c>
      <c r="D599" s="119" t="str">
        <f ca="1">ORÇAMENTO!O599</f>
        <v>-</v>
      </c>
      <c r="E599" s="172" t="str">
        <f t="shared" ca="1" si="52"/>
        <v>(abra o arquivo 'Referência 06-2024.xlsm)</v>
      </c>
      <c r="F599" s="173" t="str">
        <f ca="1">IF(RegimeExecucao="Global","",ORÇAMENTO.Unidade)</f>
        <v/>
      </c>
      <c r="G599" s="124" t="str">
        <f ca="1">IF(RegimeExecucao="Global","",ORÇAMENTO!T599)</f>
        <v/>
      </c>
      <c r="H599" s="124" t="str">
        <f ca="1">IF(RegimeExecucao="Global","",ORÇAMENTO!W599)</f>
        <v/>
      </c>
      <c r="I599" s="127">
        <f ca="1">ORÇAMENTO!X599</f>
        <v>0</v>
      </c>
      <c r="J599" s="378">
        <f ca="1">IF($A599="S",IF(CAIXA.Modo,BM.AFAnterior,BM.MEDAnterior),IF(AND(RegimeExecucao="Global",$I599&gt;0,COUNTIF($AB$13:$AM$13,BM.medicao-1)&gt;0),M599/$I599*100,0))</f>
        <v>0</v>
      </c>
      <c r="K599" s="124">
        <f t="shared" ca="1" si="46"/>
        <v>0</v>
      </c>
      <c r="L599" s="379">
        <f ca="1">IF($A599="S",IF(CAIXA.Modo,BM.AFAcumulado,BM.MEDAcumulado),IF(AND(RegimeExecucao="Global",$I599&gt;0,COUNTIF($AB$13:$AM$13,BM.medicao)&gt;0),O599/$I599*100,0))</f>
        <v>0</v>
      </c>
      <c r="M599" s="380">
        <f ca="1">IF($A599="S",VTOTALBM,IF($A599=0,0,ROUND(SomaAgrupBM,15-13*ORÇAMENTO!$AF$11)))</f>
        <v>0</v>
      </c>
      <c r="N599" s="381">
        <f t="shared" ca="1" si="47"/>
        <v>0</v>
      </c>
      <c r="O599" s="127">
        <f ca="1">IF($A599="S",VTOTALBM,IF($A599=0,0,ROUND(SomaAgrupBM,15-13*ORÇAMENTO!$AF$11)))</f>
        <v>0</v>
      </c>
      <c r="Q599" s="382"/>
      <c r="R599" s="383"/>
      <c r="T599" s="119" t="str">
        <f t="shared" ca="1" si="48"/>
        <v/>
      </c>
      <c r="U599" s="172" t="str">
        <f t="shared" ca="1" si="49"/>
        <v/>
      </c>
      <c r="V599" s="173" t="str">
        <f ca="1">IF(AND($W599&gt;0,RegimeExecucao="Unitário"),$F599,"")</f>
        <v/>
      </c>
      <c r="W599" s="547">
        <f ca="1">IF($Y599&gt;0,CHOOSE(MATCH(RegimeExecucao,{"Unitário","Global"},0),IF($A599="S",$Y599/$X599,""),($Y599/$X599)*100),0)</f>
        <v>0</v>
      </c>
      <c r="X599" s="384" t="str">
        <f ca="1">IF($Y599&gt;0,CHOOSE(MATCH(RegimeExecucao,{"Unitário","Global"},0),IF($A599="S",ROUND($H599,ORÇAMENTO!$AF$10),""),ROUND($I599,ORÇAMENTO!$AF$11)),"")</f>
        <v/>
      </c>
      <c r="Y599" s="384">
        <f t="shared" ca="1" si="50"/>
        <v>0</v>
      </c>
      <c r="Z599" s="572"/>
      <c r="AB599" s="382"/>
      <c r="AC599" s="516"/>
      <c r="AD599" s="516"/>
      <c r="AE599" s="516"/>
      <c r="AF599" s="516"/>
      <c r="AG599" s="516"/>
      <c r="AH599" s="516"/>
      <c r="AI599" s="516"/>
      <c r="AJ599" s="516"/>
      <c r="AK599" s="516"/>
      <c r="AL599" s="516"/>
      <c r="AM599" s="383"/>
      <c r="AO599">
        <f ca="1">IF($A599="S",IF(BM!$I599=0,0,CHOOSE(MATCH(RegimeExecucao,{"Global","Unitário"},0),ROUND(ROUND(BM.MEDAcumulado,15-13*BM!$A$9)/100*BM!$I599,15-13*ORÇAMENTO!$AF$11),ROUND(ROUND(BM.MEDAcumulado,15-13*BM!$A$9)*ROUND(BM!$H599,15-13*ORÇAMENTO!$AF$10),15-13*ORÇAMENTO!$AF$11))),IF($A599=0,0,ROUND(SomaAgrupBM,15-13*ORÇAMENTO!$AF$11)))</f>
        <v>0</v>
      </c>
    </row>
    <row r="600" spans="1:41" ht="25.5" x14ac:dyDescent="0.2">
      <c r="A600" t="str">
        <f ca="1">ORÇAMENTO!C600</f>
        <v>S</v>
      </c>
      <c r="B600">
        <f ca="1">ORÇAMENTO!D600</f>
        <v>0</v>
      </c>
      <c r="C600" s="116" t="str">
        <f t="shared" ca="1" si="44"/>
        <v/>
      </c>
      <c r="D600" s="119" t="str">
        <f ca="1">ORÇAMENTO!O600</f>
        <v>-</v>
      </c>
      <c r="E600" s="172" t="str">
        <f t="shared" ca="1" si="52"/>
        <v>(abra o arquivo 'Referência 06-2024.xlsm)</v>
      </c>
      <c r="F600" s="173" t="str">
        <f ca="1">IF(RegimeExecucao="Global","",ORÇAMENTO.Unidade)</f>
        <v/>
      </c>
      <c r="G600" s="124" t="str">
        <f ca="1">IF(RegimeExecucao="Global","",ORÇAMENTO!T600)</f>
        <v/>
      </c>
      <c r="H600" s="124" t="str">
        <f ca="1">IF(RegimeExecucao="Global","",ORÇAMENTO!W600)</f>
        <v/>
      </c>
      <c r="I600" s="127">
        <f ca="1">ORÇAMENTO!X600</f>
        <v>0</v>
      </c>
      <c r="J600" s="378">
        <f ca="1">IF($A600="S",IF(CAIXA.Modo,BM.AFAnterior,BM.MEDAnterior),IF(AND(RegimeExecucao="Global",$I600&gt;0,COUNTIF($AB$13:$AM$13,BM.medicao-1)&gt;0),M600/$I600*100,0))</f>
        <v>0</v>
      </c>
      <c r="K600" s="124">
        <f t="shared" ca="1" si="46"/>
        <v>0</v>
      </c>
      <c r="L600" s="379">
        <f ca="1">IF($A600="S",IF(CAIXA.Modo,BM.AFAcumulado,BM.MEDAcumulado),IF(AND(RegimeExecucao="Global",$I600&gt;0,COUNTIF($AB$13:$AM$13,BM.medicao)&gt;0),O600/$I600*100,0))</f>
        <v>0</v>
      </c>
      <c r="M600" s="380">
        <f ca="1">IF($A600="S",VTOTALBM,IF($A600=0,0,ROUND(SomaAgrupBM,15-13*ORÇAMENTO!$AF$11)))</f>
        <v>0</v>
      </c>
      <c r="N600" s="381">
        <f t="shared" ca="1" si="47"/>
        <v>0</v>
      </c>
      <c r="O600" s="127">
        <f ca="1">IF($A600="S",VTOTALBM,IF($A600=0,0,ROUND(SomaAgrupBM,15-13*ORÇAMENTO!$AF$11)))</f>
        <v>0</v>
      </c>
      <c r="Q600" s="382"/>
      <c r="R600" s="383"/>
      <c r="T600" s="119" t="str">
        <f t="shared" ca="1" si="48"/>
        <v/>
      </c>
      <c r="U600" s="172" t="str">
        <f t="shared" ca="1" si="49"/>
        <v/>
      </c>
      <c r="V600" s="173" t="str">
        <f ca="1">IF(AND($W600&gt;0,RegimeExecucao="Unitário"),$F600,"")</f>
        <v/>
      </c>
      <c r="W600" s="547">
        <f ca="1">IF($Y600&gt;0,CHOOSE(MATCH(RegimeExecucao,{"Unitário","Global"},0),IF($A600="S",$Y600/$X600,""),($Y600/$X600)*100),0)</f>
        <v>0</v>
      </c>
      <c r="X600" s="384" t="str">
        <f ca="1">IF($Y600&gt;0,CHOOSE(MATCH(RegimeExecucao,{"Unitário","Global"},0),IF($A600="S",ROUND($H600,ORÇAMENTO!$AF$10),""),ROUND($I600,ORÇAMENTO!$AF$11)),"")</f>
        <v/>
      </c>
      <c r="Y600" s="384">
        <f t="shared" ca="1" si="50"/>
        <v>0</v>
      </c>
      <c r="Z600" s="572"/>
      <c r="AB600" s="382"/>
      <c r="AC600" s="516"/>
      <c r="AD600" s="516"/>
      <c r="AE600" s="516"/>
      <c r="AF600" s="516"/>
      <c r="AG600" s="516"/>
      <c r="AH600" s="516"/>
      <c r="AI600" s="516"/>
      <c r="AJ600" s="516"/>
      <c r="AK600" s="516"/>
      <c r="AL600" s="516"/>
      <c r="AM600" s="383"/>
      <c r="AO600">
        <f ca="1">IF($A600="S",IF(BM!$I600=0,0,CHOOSE(MATCH(RegimeExecucao,{"Global","Unitário"},0),ROUND(ROUND(BM.MEDAcumulado,15-13*BM!$A$9)/100*BM!$I600,15-13*ORÇAMENTO!$AF$11),ROUND(ROUND(BM.MEDAcumulado,15-13*BM!$A$9)*ROUND(BM!$H600,15-13*ORÇAMENTO!$AF$10),15-13*ORÇAMENTO!$AF$11))),IF($A600=0,0,ROUND(SomaAgrupBM,15-13*ORÇAMENTO!$AF$11)))</f>
        <v>0</v>
      </c>
    </row>
    <row r="601" spans="1:41" ht="38.25" x14ac:dyDescent="0.2">
      <c r="A601" t="str">
        <f ca="1">ORÇAMENTO!C601</f>
        <v>S</v>
      </c>
      <c r="B601">
        <f ca="1">ORÇAMENTO!D601</f>
        <v>0</v>
      </c>
      <c r="C601" s="116" t="str">
        <f t="shared" ca="1" si="44"/>
        <v/>
      </c>
      <c r="D601" s="119" t="str">
        <f ca="1">ORÇAMENTO!O601</f>
        <v>-</v>
      </c>
      <c r="E601" s="172" t="str">
        <f t="shared" ca="1" si="52"/>
        <v>(abra o arquivo 'Referência 06-2024.xlsm)</v>
      </c>
      <c r="F601" s="173" t="str">
        <f ca="1">IF(RegimeExecucao="Global","",ORÇAMENTO.Unidade)</f>
        <v/>
      </c>
      <c r="G601" s="124" t="str">
        <f ca="1">IF(RegimeExecucao="Global","",ORÇAMENTO!T601)</f>
        <v/>
      </c>
      <c r="H601" s="124" t="str">
        <f ca="1">IF(RegimeExecucao="Global","",ORÇAMENTO!W601)</f>
        <v/>
      </c>
      <c r="I601" s="127">
        <f ca="1">ORÇAMENTO!X601</f>
        <v>0</v>
      </c>
      <c r="J601" s="378">
        <f ca="1">IF($A601="S",IF(CAIXA.Modo,BM.AFAnterior,BM.MEDAnterior),IF(AND(RegimeExecucao="Global",$I601&gt;0,COUNTIF($AB$13:$AM$13,BM.medicao-1)&gt;0),M601/$I601*100,0))</f>
        <v>0</v>
      </c>
      <c r="K601" s="124">
        <f t="shared" ca="1" si="46"/>
        <v>0</v>
      </c>
      <c r="L601" s="379">
        <f ca="1">IF($A601="S",IF(CAIXA.Modo,BM.AFAcumulado,BM.MEDAcumulado),IF(AND(RegimeExecucao="Global",$I601&gt;0,COUNTIF($AB$13:$AM$13,BM.medicao)&gt;0),O601/$I601*100,0))</f>
        <v>0</v>
      </c>
      <c r="M601" s="380">
        <f ca="1">IF($A601="S",VTOTALBM,IF($A601=0,0,ROUND(SomaAgrupBM,15-13*ORÇAMENTO!$AF$11)))</f>
        <v>0</v>
      </c>
      <c r="N601" s="381">
        <f t="shared" ca="1" si="47"/>
        <v>0</v>
      </c>
      <c r="O601" s="127">
        <f ca="1">IF($A601="S",VTOTALBM,IF($A601=0,0,ROUND(SomaAgrupBM,15-13*ORÇAMENTO!$AF$11)))</f>
        <v>0</v>
      </c>
      <c r="Q601" s="382"/>
      <c r="R601" s="383"/>
      <c r="T601" s="119" t="str">
        <f t="shared" ca="1" si="48"/>
        <v/>
      </c>
      <c r="U601" s="172" t="str">
        <f t="shared" ca="1" si="49"/>
        <v/>
      </c>
      <c r="V601" s="173" t="str">
        <f ca="1">IF(AND($W601&gt;0,RegimeExecucao="Unitário"),$F601,"")</f>
        <v/>
      </c>
      <c r="W601" s="547">
        <f ca="1">IF($Y601&gt;0,CHOOSE(MATCH(RegimeExecucao,{"Unitário","Global"},0),IF($A601="S",$Y601/$X601,""),($Y601/$X601)*100),0)</f>
        <v>0</v>
      </c>
      <c r="X601" s="384" t="str">
        <f ca="1">IF($Y601&gt;0,CHOOSE(MATCH(RegimeExecucao,{"Unitário","Global"},0),IF($A601="S",ROUND($H601,ORÇAMENTO!$AF$10),""),ROUND($I601,ORÇAMENTO!$AF$11)),"")</f>
        <v/>
      </c>
      <c r="Y601" s="384">
        <f t="shared" ca="1" si="50"/>
        <v>0</v>
      </c>
      <c r="Z601" s="572"/>
      <c r="AB601" s="382"/>
      <c r="AC601" s="516"/>
      <c r="AD601" s="516"/>
      <c r="AE601" s="516"/>
      <c r="AF601" s="516"/>
      <c r="AG601" s="516"/>
      <c r="AH601" s="516"/>
      <c r="AI601" s="516"/>
      <c r="AJ601" s="516"/>
      <c r="AK601" s="516"/>
      <c r="AL601" s="516"/>
      <c r="AM601" s="383"/>
      <c r="AO601">
        <f ca="1">IF($A601="S",IF(BM!$I601=0,0,CHOOSE(MATCH(RegimeExecucao,{"Global","Unitário"},0),ROUND(ROUND(BM.MEDAcumulado,15-13*BM!$A$9)/100*BM!$I601,15-13*ORÇAMENTO!$AF$11),ROUND(ROUND(BM.MEDAcumulado,15-13*BM!$A$9)*ROUND(BM!$H601,15-13*ORÇAMENTO!$AF$10),15-13*ORÇAMENTO!$AF$11))),IF($A601=0,0,ROUND(SomaAgrupBM,15-13*ORÇAMENTO!$AF$11)))</f>
        <v>0</v>
      </c>
    </row>
    <row r="602" spans="1:41" ht="38.25" x14ac:dyDescent="0.2">
      <c r="A602" t="str">
        <f ca="1">ORÇAMENTO!C602</f>
        <v>S</v>
      </c>
      <c r="B602">
        <f ca="1">ORÇAMENTO!D602</f>
        <v>0</v>
      </c>
      <c r="C602" s="116" t="str">
        <f t="shared" ca="1" si="44"/>
        <v/>
      </c>
      <c r="D602" s="119" t="str">
        <f ca="1">ORÇAMENTO!O602</f>
        <v>-</v>
      </c>
      <c r="E602" s="172" t="str">
        <f t="shared" ca="1" si="52"/>
        <v>(abra o arquivo 'Referência 06-2024.xlsm)</v>
      </c>
      <c r="F602" s="173" t="str">
        <f ca="1">IF(RegimeExecucao="Global","",ORÇAMENTO.Unidade)</f>
        <v/>
      </c>
      <c r="G602" s="124" t="str">
        <f ca="1">IF(RegimeExecucao="Global","",ORÇAMENTO!T602)</f>
        <v/>
      </c>
      <c r="H602" s="124" t="str">
        <f ca="1">IF(RegimeExecucao="Global","",ORÇAMENTO!W602)</f>
        <v/>
      </c>
      <c r="I602" s="127">
        <f ca="1">ORÇAMENTO!X602</f>
        <v>0</v>
      </c>
      <c r="J602" s="378">
        <f ca="1">IF($A602="S",IF(CAIXA.Modo,BM.AFAnterior,BM.MEDAnterior),IF(AND(RegimeExecucao="Global",$I602&gt;0,COUNTIF($AB$13:$AM$13,BM.medicao-1)&gt;0),M602/$I602*100,0))</f>
        <v>0</v>
      </c>
      <c r="K602" s="124">
        <f t="shared" ca="1" si="46"/>
        <v>0</v>
      </c>
      <c r="L602" s="379">
        <f ca="1">IF($A602="S",IF(CAIXA.Modo,BM.AFAcumulado,BM.MEDAcumulado),IF(AND(RegimeExecucao="Global",$I602&gt;0,COUNTIF($AB$13:$AM$13,BM.medicao)&gt;0),O602/$I602*100,0))</f>
        <v>0</v>
      </c>
      <c r="M602" s="380">
        <f ca="1">IF($A602="S",VTOTALBM,IF($A602=0,0,ROUND(SomaAgrupBM,15-13*ORÇAMENTO!$AF$11)))</f>
        <v>0</v>
      </c>
      <c r="N602" s="381">
        <f t="shared" ca="1" si="47"/>
        <v>0</v>
      </c>
      <c r="O602" s="127">
        <f ca="1">IF($A602="S",VTOTALBM,IF($A602=0,0,ROUND(SomaAgrupBM,15-13*ORÇAMENTO!$AF$11)))</f>
        <v>0</v>
      </c>
      <c r="Q602" s="382"/>
      <c r="R602" s="383"/>
      <c r="T602" s="119" t="str">
        <f t="shared" ca="1" si="48"/>
        <v/>
      </c>
      <c r="U602" s="172" t="str">
        <f t="shared" ca="1" si="49"/>
        <v/>
      </c>
      <c r="V602" s="173" t="str">
        <f ca="1">IF(AND($W602&gt;0,RegimeExecucao="Unitário"),$F602,"")</f>
        <v/>
      </c>
      <c r="W602" s="547">
        <f ca="1">IF($Y602&gt;0,CHOOSE(MATCH(RegimeExecucao,{"Unitário","Global"},0),IF($A602="S",$Y602/$X602,""),($Y602/$X602)*100),0)</f>
        <v>0</v>
      </c>
      <c r="X602" s="384" t="str">
        <f ca="1">IF($Y602&gt;0,CHOOSE(MATCH(RegimeExecucao,{"Unitário","Global"},0),IF($A602="S",ROUND($H602,ORÇAMENTO!$AF$10),""),ROUND($I602,ORÇAMENTO!$AF$11)),"")</f>
        <v/>
      </c>
      <c r="Y602" s="384">
        <f t="shared" ca="1" si="50"/>
        <v>0</v>
      </c>
      <c r="Z602" s="572"/>
      <c r="AB602" s="382"/>
      <c r="AC602" s="516"/>
      <c r="AD602" s="516"/>
      <c r="AE602" s="516"/>
      <c r="AF602" s="516"/>
      <c r="AG602" s="516"/>
      <c r="AH602" s="516"/>
      <c r="AI602" s="516"/>
      <c r="AJ602" s="516"/>
      <c r="AK602" s="516"/>
      <c r="AL602" s="516"/>
      <c r="AM602" s="383"/>
      <c r="AO602">
        <f ca="1">IF($A602="S",IF(BM!$I602=0,0,CHOOSE(MATCH(RegimeExecucao,{"Global","Unitário"},0),ROUND(ROUND(BM.MEDAcumulado,15-13*BM!$A$9)/100*BM!$I602,15-13*ORÇAMENTO!$AF$11),ROUND(ROUND(BM.MEDAcumulado,15-13*BM!$A$9)*ROUND(BM!$H602,15-13*ORÇAMENTO!$AF$10),15-13*ORÇAMENTO!$AF$11))),IF($A602=0,0,ROUND(SomaAgrupBM,15-13*ORÇAMENTO!$AF$11)))</f>
        <v>0</v>
      </c>
    </row>
    <row r="603" spans="1:41" ht="38.25" x14ac:dyDescent="0.2">
      <c r="A603" t="str">
        <f ca="1">ORÇAMENTO!C603</f>
        <v>S</v>
      </c>
      <c r="B603">
        <f ca="1">ORÇAMENTO!D603</f>
        <v>0</v>
      </c>
      <c r="C603" s="116" t="str">
        <f t="shared" ca="1" si="44"/>
        <v/>
      </c>
      <c r="D603" s="119" t="str">
        <f ca="1">ORÇAMENTO!O603</f>
        <v>-</v>
      </c>
      <c r="E603" s="172" t="str">
        <f t="shared" ca="1" si="52"/>
        <v>(abra o arquivo 'Referência 06-2024.xlsm)</v>
      </c>
      <c r="F603" s="173" t="str">
        <f ca="1">IF(RegimeExecucao="Global","",ORÇAMENTO.Unidade)</f>
        <v/>
      </c>
      <c r="G603" s="124" t="str">
        <f ca="1">IF(RegimeExecucao="Global","",ORÇAMENTO!T603)</f>
        <v/>
      </c>
      <c r="H603" s="124" t="str">
        <f ca="1">IF(RegimeExecucao="Global","",ORÇAMENTO!W603)</f>
        <v/>
      </c>
      <c r="I603" s="127">
        <f ca="1">ORÇAMENTO!X603</f>
        <v>0</v>
      </c>
      <c r="J603" s="378">
        <f ca="1">IF($A603="S",IF(CAIXA.Modo,BM.AFAnterior,BM.MEDAnterior),IF(AND(RegimeExecucao="Global",$I603&gt;0,COUNTIF($AB$13:$AM$13,BM.medicao-1)&gt;0),M603/$I603*100,0))</f>
        <v>0</v>
      </c>
      <c r="K603" s="124">
        <f t="shared" ca="1" si="46"/>
        <v>0</v>
      </c>
      <c r="L603" s="379">
        <f ca="1">IF($A603="S",IF(CAIXA.Modo,BM.AFAcumulado,BM.MEDAcumulado),IF(AND(RegimeExecucao="Global",$I603&gt;0,COUNTIF($AB$13:$AM$13,BM.medicao)&gt;0),O603/$I603*100,0))</f>
        <v>0</v>
      </c>
      <c r="M603" s="380">
        <f ca="1">IF($A603="S",VTOTALBM,IF($A603=0,0,ROUND(SomaAgrupBM,15-13*ORÇAMENTO!$AF$11)))</f>
        <v>0</v>
      </c>
      <c r="N603" s="381">
        <f t="shared" ca="1" si="47"/>
        <v>0</v>
      </c>
      <c r="O603" s="127">
        <f ca="1">IF($A603="S",VTOTALBM,IF($A603=0,0,ROUND(SomaAgrupBM,15-13*ORÇAMENTO!$AF$11)))</f>
        <v>0</v>
      </c>
      <c r="Q603" s="382"/>
      <c r="R603" s="383"/>
      <c r="T603" s="119" t="str">
        <f t="shared" ca="1" si="48"/>
        <v/>
      </c>
      <c r="U603" s="172" t="str">
        <f t="shared" ca="1" si="49"/>
        <v/>
      </c>
      <c r="V603" s="173" t="str">
        <f ca="1">IF(AND($W603&gt;0,RegimeExecucao="Unitário"),$F603,"")</f>
        <v/>
      </c>
      <c r="W603" s="547">
        <f ca="1">IF($Y603&gt;0,CHOOSE(MATCH(RegimeExecucao,{"Unitário","Global"},0),IF($A603="S",$Y603/$X603,""),($Y603/$X603)*100),0)</f>
        <v>0</v>
      </c>
      <c r="X603" s="384" t="str">
        <f ca="1">IF($Y603&gt;0,CHOOSE(MATCH(RegimeExecucao,{"Unitário","Global"},0),IF($A603="S",ROUND($H603,ORÇAMENTO!$AF$10),""),ROUND($I603,ORÇAMENTO!$AF$11)),"")</f>
        <v/>
      </c>
      <c r="Y603" s="384">
        <f t="shared" ca="1" si="50"/>
        <v>0</v>
      </c>
      <c r="Z603" s="572"/>
      <c r="AB603" s="382"/>
      <c r="AC603" s="516"/>
      <c r="AD603" s="516"/>
      <c r="AE603" s="516"/>
      <c r="AF603" s="516"/>
      <c r="AG603" s="516"/>
      <c r="AH603" s="516"/>
      <c r="AI603" s="516"/>
      <c r="AJ603" s="516"/>
      <c r="AK603" s="516"/>
      <c r="AL603" s="516"/>
      <c r="AM603" s="383"/>
      <c r="AO603">
        <f ca="1">IF($A603="S",IF(BM!$I603=0,0,CHOOSE(MATCH(RegimeExecucao,{"Global","Unitário"},0),ROUND(ROUND(BM.MEDAcumulado,15-13*BM!$A$9)/100*BM!$I603,15-13*ORÇAMENTO!$AF$11),ROUND(ROUND(BM.MEDAcumulado,15-13*BM!$A$9)*ROUND(BM!$H603,15-13*ORÇAMENTO!$AF$10),15-13*ORÇAMENTO!$AF$11))),IF($A603=0,0,ROUND(SomaAgrupBM,15-13*ORÇAMENTO!$AF$11)))</f>
        <v>0</v>
      </c>
    </row>
    <row r="604" spans="1:41" x14ac:dyDescent="0.2">
      <c r="A604">
        <f ca="1">ORÇAMENTO!C604</f>
        <v>2</v>
      </c>
      <c r="B604">
        <f ca="1">ORÇAMENTO!D604</f>
        <v>3</v>
      </c>
      <c r="C604" s="116" t="str">
        <f t="shared" ca="1" si="44"/>
        <v>F</v>
      </c>
      <c r="D604" s="119" t="str">
        <f ca="1">ORÇAMENTO!O604</f>
        <v>1.61.</v>
      </c>
      <c r="E604" s="172" t="str">
        <f t="shared" si="52"/>
        <v>INSTALAÇÃO ELÉTRICA 110V - QUADROS</v>
      </c>
      <c r="F604" s="173" t="str">
        <f ca="1">IF(RegimeExecucao="Global","",ORÇAMENTO.Unidade)</f>
        <v/>
      </c>
      <c r="G604" s="124" t="str">
        <f ca="1">IF(RegimeExecucao="Global","",ORÇAMENTO!T604)</f>
        <v/>
      </c>
      <c r="H604" s="124" t="str">
        <f ca="1">IF(RegimeExecucao="Global","",ORÇAMENTO!W604)</f>
        <v/>
      </c>
      <c r="I604" s="127">
        <f ca="1">ORÇAMENTO!X604</f>
        <v>0</v>
      </c>
      <c r="J604" s="378">
        <f ca="1">IF($A604="S",IF(CAIXA.Modo,BM.AFAnterior,BM.MEDAnterior),IF(AND(RegimeExecucao="Global",$I604&gt;0,COUNTIF($AB$13:$AM$13,BM.medicao-1)&gt;0),M604/$I604*100,0))</f>
        <v>0</v>
      </c>
      <c r="K604" s="124">
        <f t="shared" ca="1" si="46"/>
        <v>0</v>
      </c>
      <c r="L604" s="379">
        <f ca="1">IF($A604="S",IF(CAIXA.Modo,BM.AFAcumulado,BM.MEDAcumulado),IF(AND(RegimeExecucao="Global",$I604&gt;0,COUNTIF($AB$13:$AM$13,BM.medicao)&gt;0),O604/$I604*100,0))</f>
        <v>0</v>
      </c>
      <c r="M604" s="380">
        <f ca="1">IF($A604="S",VTOTALBM,IF($A604=0,0,ROUND(SomaAgrupBM,15-13*ORÇAMENTO!$AF$11)))</f>
        <v>0</v>
      </c>
      <c r="N604" s="381">
        <f t="shared" ca="1" si="47"/>
        <v>0</v>
      </c>
      <c r="O604" s="127">
        <f ca="1">IF($A604="S",VTOTALBM,IF($A604=0,0,ROUND(SomaAgrupBM,15-13*ORÇAMENTO!$AF$11)))</f>
        <v>0</v>
      </c>
      <c r="Q604" s="382"/>
      <c r="R604" s="383"/>
      <c r="T604" s="119" t="str">
        <f t="shared" ca="1" si="48"/>
        <v/>
      </c>
      <c r="U604" s="172" t="str">
        <f t="shared" ca="1" si="49"/>
        <v/>
      </c>
      <c r="V604" s="173" t="str">
        <f ca="1">IF(AND($W604&gt;0,RegimeExecucao="Unitário"),$F604,"")</f>
        <v/>
      </c>
      <c r="W604" s="547">
        <f ca="1">IF($Y604&gt;0,CHOOSE(MATCH(RegimeExecucao,{"Unitário","Global"},0),IF($A604="S",$Y604/$X604,""),($Y604/$X604)*100),0)</f>
        <v>0</v>
      </c>
      <c r="X604" s="384" t="str">
        <f ca="1">IF($Y604&gt;0,CHOOSE(MATCH(RegimeExecucao,{"Unitário","Global"},0),IF($A604="S",ROUND($H604,ORÇAMENTO!$AF$10),""),ROUND($I604,ORÇAMENTO!$AF$11)),"")</f>
        <v/>
      </c>
      <c r="Y604" s="384">
        <f t="shared" ca="1" si="50"/>
        <v>0</v>
      </c>
      <c r="Z604" s="572"/>
      <c r="AB604" s="382"/>
      <c r="AC604" s="516"/>
      <c r="AD604" s="516"/>
      <c r="AE604" s="516"/>
      <c r="AF604" s="516"/>
      <c r="AG604" s="516"/>
      <c r="AH604" s="516"/>
      <c r="AI604" s="516"/>
      <c r="AJ604" s="516"/>
      <c r="AK604" s="516"/>
      <c r="AL604" s="516"/>
      <c r="AM604" s="383"/>
      <c r="AO604">
        <f ca="1">IF($A604="S",IF(BM!$I604=0,0,CHOOSE(MATCH(RegimeExecucao,{"Global","Unitário"},0),ROUND(ROUND(BM.MEDAcumulado,15-13*BM!$A$9)/100*BM!$I604,15-13*ORÇAMENTO!$AF$11),ROUND(ROUND(BM.MEDAcumulado,15-13*BM!$A$9)*ROUND(BM!$H604,15-13*ORÇAMENTO!$AF$10),15-13*ORÇAMENTO!$AF$11))),IF($A604=0,0,ROUND(SomaAgrupBM,15-13*ORÇAMENTO!$AF$11)))</f>
        <v>0</v>
      </c>
    </row>
    <row r="605" spans="1:41" ht="25.5" x14ac:dyDescent="0.2">
      <c r="A605" t="str">
        <f ca="1">ORÇAMENTO!C605</f>
        <v>S</v>
      </c>
      <c r="B605">
        <f ca="1">ORÇAMENTO!D605</f>
        <v>0</v>
      </c>
      <c r="C605" s="116" t="str">
        <f t="shared" ca="1" si="44"/>
        <v/>
      </c>
      <c r="D605" s="119" t="str">
        <f ca="1">ORÇAMENTO!O605</f>
        <v>-</v>
      </c>
      <c r="E605" s="172" t="str">
        <f t="shared" ca="1" si="52"/>
        <v>(abra o arquivo 'Referência 06-2024.xlsm)</v>
      </c>
      <c r="F605" s="173" t="str">
        <f ca="1">IF(RegimeExecucao="Global","",ORÇAMENTO.Unidade)</f>
        <v/>
      </c>
      <c r="G605" s="124" t="str">
        <f ca="1">IF(RegimeExecucao="Global","",ORÇAMENTO!T605)</f>
        <v/>
      </c>
      <c r="H605" s="124" t="str">
        <f ca="1">IF(RegimeExecucao="Global","",ORÇAMENTO!W605)</f>
        <v/>
      </c>
      <c r="I605" s="127">
        <f ca="1">ORÇAMENTO!X605</f>
        <v>0</v>
      </c>
      <c r="J605" s="378">
        <f ca="1">IF($A605="S",IF(CAIXA.Modo,BM.AFAnterior,BM.MEDAnterior),IF(AND(RegimeExecucao="Global",$I605&gt;0,COUNTIF($AB$13:$AM$13,BM.medicao-1)&gt;0),M605/$I605*100,0))</f>
        <v>0</v>
      </c>
      <c r="K605" s="124">
        <f t="shared" ca="1" si="46"/>
        <v>0</v>
      </c>
      <c r="L605" s="379">
        <f ca="1">IF($A605="S",IF(CAIXA.Modo,BM.AFAcumulado,BM.MEDAcumulado),IF(AND(RegimeExecucao="Global",$I605&gt;0,COUNTIF($AB$13:$AM$13,BM.medicao)&gt;0),O605/$I605*100,0))</f>
        <v>0</v>
      </c>
      <c r="M605" s="380">
        <f ca="1">IF($A605="S",VTOTALBM,IF($A605=0,0,ROUND(SomaAgrupBM,15-13*ORÇAMENTO!$AF$11)))</f>
        <v>0</v>
      </c>
      <c r="N605" s="381">
        <f t="shared" ca="1" si="47"/>
        <v>0</v>
      </c>
      <c r="O605" s="127">
        <f ca="1">IF($A605="S",VTOTALBM,IF($A605=0,0,ROUND(SomaAgrupBM,15-13*ORÇAMENTO!$AF$11)))</f>
        <v>0</v>
      </c>
      <c r="Q605" s="382"/>
      <c r="R605" s="383"/>
      <c r="T605" s="119" t="str">
        <f t="shared" ca="1" si="48"/>
        <v/>
      </c>
      <c r="U605" s="172" t="str">
        <f t="shared" ca="1" si="49"/>
        <v/>
      </c>
      <c r="V605" s="173" t="str">
        <f ca="1">IF(AND($W605&gt;0,RegimeExecucao="Unitário"),$F605,"")</f>
        <v/>
      </c>
      <c r="W605" s="547">
        <f ca="1">IF($Y605&gt;0,CHOOSE(MATCH(RegimeExecucao,{"Unitário","Global"},0),IF($A605="S",$Y605/$X605,""),($Y605/$X605)*100),0)</f>
        <v>0</v>
      </c>
      <c r="X605" s="384" t="str">
        <f ca="1">IF($Y605&gt;0,CHOOSE(MATCH(RegimeExecucao,{"Unitário","Global"},0),IF($A605="S",ROUND($H605,ORÇAMENTO!$AF$10),""),ROUND($I605,ORÇAMENTO!$AF$11)),"")</f>
        <v/>
      </c>
      <c r="Y605" s="384">
        <f t="shared" ca="1" si="50"/>
        <v>0</v>
      </c>
      <c r="Z605" s="572"/>
      <c r="AB605" s="382"/>
      <c r="AC605" s="516"/>
      <c r="AD605" s="516"/>
      <c r="AE605" s="516"/>
      <c r="AF605" s="516"/>
      <c r="AG605" s="516"/>
      <c r="AH605" s="516"/>
      <c r="AI605" s="516"/>
      <c r="AJ605" s="516"/>
      <c r="AK605" s="516"/>
      <c r="AL605" s="516"/>
      <c r="AM605" s="383"/>
      <c r="AO605">
        <f ca="1">IF($A605="S",IF(BM!$I605=0,0,CHOOSE(MATCH(RegimeExecucao,{"Global","Unitário"},0),ROUND(ROUND(BM.MEDAcumulado,15-13*BM!$A$9)/100*BM!$I605,15-13*ORÇAMENTO!$AF$11),ROUND(ROUND(BM.MEDAcumulado,15-13*BM!$A$9)*ROUND(BM!$H605,15-13*ORÇAMENTO!$AF$10),15-13*ORÇAMENTO!$AF$11))),IF($A605=0,0,ROUND(SomaAgrupBM,15-13*ORÇAMENTO!$AF$11)))</f>
        <v>0</v>
      </c>
    </row>
    <row r="606" spans="1:41" ht="38.25" x14ac:dyDescent="0.2">
      <c r="A606" t="str">
        <f ca="1">ORÇAMENTO!C606</f>
        <v>S</v>
      </c>
      <c r="B606">
        <f ca="1">ORÇAMENTO!D606</f>
        <v>0</v>
      </c>
      <c r="C606" s="116" t="str">
        <f t="shared" ca="1" si="44"/>
        <v/>
      </c>
      <c r="D606" s="119" t="str">
        <f ca="1">ORÇAMENTO!O606</f>
        <v>-</v>
      </c>
      <c r="E606" s="172" t="str">
        <f t="shared" ca="1" si="52"/>
        <v>(abra o arquivo 'Referência 06-2024.xlsm)</v>
      </c>
      <c r="F606" s="173" t="str">
        <f ca="1">IF(RegimeExecucao="Global","",ORÇAMENTO.Unidade)</f>
        <v/>
      </c>
      <c r="G606" s="124" t="str">
        <f ca="1">IF(RegimeExecucao="Global","",ORÇAMENTO!T606)</f>
        <v/>
      </c>
      <c r="H606" s="124" t="str">
        <f ca="1">IF(RegimeExecucao="Global","",ORÇAMENTO!W606)</f>
        <v/>
      </c>
      <c r="I606" s="127">
        <f ca="1">ORÇAMENTO!X606</f>
        <v>0</v>
      </c>
      <c r="J606" s="378">
        <f ca="1">IF($A606="S",IF(CAIXA.Modo,BM.AFAnterior,BM.MEDAnterior),IF(AND(RegimeExecucao="Global",$I606&gt;0,COUNTIF($AB$13:$AM$13,BM.medicao-1)&gt;0),M606/$I606*100,0))</f>
        <v>0</v>
      </c>
      <c r="K606" s="124">
        <f t="shared" ca="1" si="46"/>
        <v>0</v>
      </c>
      <c r="L606" s="379">
        <f ca="1">IF($A606="S",IF(CAIXA.Modo,BM.AFAcumulado,BM.MEDAcumulado),IF(AND(RegimeExecucao="Global",$I606&gt;0,COUNTIF($AB$13:$AM$13,BM.medicao)&gt;0),O606/$I606*100,0))</f>
        <v>0</v>
      </c>
      <c r="M606" s="380">
        <f ca="1">IF($A606="S",VTOTALBM,IF($A606=0,0,ROUND(SomaAgrupBM,15-13*ORÇAMENTO!$AF$11)))</f>
        <v>0</v>
      </c>
      <c r="N606" s="381">
        <f t="shared" ca="1" si="47"/>
        <v>0</v>
      </c>
      <c r="O606" s="127">
        <f ca="1">IF($A606="S",VTOTALBM,IF($A606=0,0,ROUND(SomaAgrupBM,15-13*ORÇAMENTO!$AF$11)))</f>
        <v>0</v>
      </c>
      <c r="Q606" s="382"/>
      <c r="R606" s="383"/>
      <c r="T606" s="119" t="str">
        <f t="shared" ca="1" si="48"/>
        <v/>
      </c>
      <c r="U606" s="172" t="str">
        <f t="shared" ca="1" si="49"/>
        <v/>
      </c>
      <c r="V606" s="173" t="str">
        <f ca="1">IF(AND($W606&gt;0,RegimeExecucao="Unitário"),$F606,"")</f>
        <v/>
      </c>
      <c r="W606" s="547">
        <f ca="1">IF($Y606&gt;0,CHOOSE(MATCH(RegimeExecucao,{"Unitário","Global"},0),IF($A606="S",$Y606/$X606,""),($Y606/$X606)*100),0)</f>
        <v>0</v>
      </c>
      <c r="X606" s="384" t="str">
        <f ca="1">IF($Y606&gt;0,CHOOSE(MATCH(RegimeExecucao,{"Unitário","Global"},0),IF($A606="S",ROUND($H606,ORÇAMENTO!$AF$10),""),ROUND($I606,ORÇAMENTO!$AF$11)),"")</f>
        <v/>
      </c>
      <c r="Y606" s="384">
        <f t="shared" ca="1" si="50"/>
        <v>0</v>
      </c>
      <c r="Z606" s="572"/>
      <c r="AB606" s="382"/>
      <c r="AC606" s="516"/>
      <c r="AD606" s="516"/>
      <c r="AE606" s="516"/>
      <c r="AF606" s="516"/>
      <c r="AG606" s="516"/>
      <c r="AH606" s="516"/>
      <c r="AI606" s="516"/>
      <c r="AJ606" s="516"/>
      <c r="AK606" s="516"/>
      <c r="AL606" s="516"/>
      <c r="AM606" s="383"/>
      <c r="AO606">
        <f ca="1">IF($A606="S",IF(BM!$I606=0,0,CHOOSE(MATCH(RegimeExecucao,{"Global","Unitário"},0),ROUND(ROUND(BM.MEDAcumulado,15-13*BM!$A$9)/100*BM!$I606,15-13*ORÇAMENTO!$AF$11),ROUND(ROUND(BM.MEDAcumulado,15-13*BM!$A$9)*ROUND(BM!$H606,15-13*ORÇAMENTO!$AF$10),15-13*ORÇAMENTO!$AF$11))),IF($A606=0,0,ROUND(SomaAgrupBM,15-13*ORÇAMENTO!$AF$11)))</f>
        <v>0</v>
      </c>
    </row>
    <row r="607" spans="1:41" x14ac:dyDescent="0.2">
      <c r="A607">
        <f ca="1">ORÇAMENTO!C607</f>
        <v>2</v>
      </c>
      <c r="B607">
        <f ca="1">ORÇAMENTO!D607</f>
        <v>6</v>
      </c>
      <c r="C607" s="116" t="str">
        <f t="shared" ca="1" si="44"/>
        <v>F</v>
      </c>
      <c r="D607" s="119" t="str">
        <f ca="1">ORÇAMENTO!O607</f>
        <v>1.62.</v>
      </c>
      <c r="E607" s="172" t="str">
        <f t="shared" si="52"/>
        <v>INSTALAÇÕES DE CLIMATIZAÇÃO - DUTOS</v>
      </c>
      <c r="F607" s="173" t="str">
        <f ca="1">IF(RegimeExecucao="Global","",ORÇAMENTO.Unidade)</f>
        <v/>
      </c>
      <c r="G607" s="124" t="str">
        <f ca="1">IF(RegimeExecucao="Global","",ORÇAMENTO!T607)</f>
        <v/>
      </c>
      <c r="H607" s="124" t="str">
        <f ca="1">IF(RegimeExecucao="Global","",ORÇAMENTO!W607)</f>
        <v/>
      </c>
      <c r="I607" s="127">
        <f ca="1">ORÇAMENTO!X607</f>
        <v>0</v>
      </c>
      <c r="J607" s="378">
        <f ca="1">IF($A607="S",IF(CAIXA.Modo,BM.AFAnterior,BM.MEDAnterior),IF(AND(RegimeExecucao="Global",$I607&gt;0,COUNTIF($AB$13:$AM$13,BM.medicao-1)&gt;0),M607/$I607*100,0))</f>
        <v>0</v>
      </c>
      <c r="K607" s="124">
        <f t="shared" ca="1" si="46"/>
        <v>0</v>
      </c>
      <c r="L607" s="379">
        <f ca="1">IF($A607="S",IF(CAIXA.Modo,BM.AFAcumulado,BM.MEDAcumulado),IF(AND(RegimeExecucao="Global",$I607&gt;0,COUNTIF($AB$13:$AM$13,BM.medicao)&gt;0),O607/$I607*100,0))</f>
        <v>0</v>
      </c>
      <c r="M607" s="380">
        <f ca="1">IF($A607="S",VTOTALBM,IF($A607=0,0,ROUND(SomaAgrupBM,15-13*ORÇAMENTO!$AF$11)))</f>
        <v>0</v>
      </c>
      <c r="N607" s="381">
        <f t="shared" ca="1" si="47"/>
        <v>0</v>
      </c>
      <c r="O607" s="127">
        <f ca="1">IF($A607="S",VTOTALBM,IF($A607=0,0,ROUND(SomaAgrupBM,15-13*ORÇAMENTO!$AF$11)))</f>
        <v>0</v>
      </c>
      <c r="Q607" s="382"/>
      <c r="R607" s="383"/>
      <c r="T607" s="119" t="str">
        <f t="shared" ca="1" si="48"/>
        <v/>
      </c>
      <c r="U607" s="172" t="str">
        <f t="shared" ca="1" si="49"/>
        <v/>
      </c>
      <c r="V607" s="173" t="str">
        <f ca="1">IF(AND($W607&gt;0,RegimeExecucao="Unitário"),$F607,"")</f>
        <v/>
      </c>
      <c r="W607" s="547">
        <f ca="1">IF($Y607&gt;0,CHOOSE(MATCH(RegimeExecucao,{"Unitário","Global"},0),IF($A607="S",$Y607/$X607,""),($Y607/$X607)*100),0)</f>
        <v>0</v>
      </c>
      <c r="X607" s="384" t="str">
        <f ca="1">IF($Y607&gt;0,CHOOSE(MATCH(RegimeExecucao,{"Unitário","Global"},0),IF($A607="S",ROUND($H607,ORÇAMENTO!$AF$10),""),ROUND($I607,ORÇAMENTO!$AF$11)),"")</f>
        <v/>
      </c>
      <c r="Y607" s="384">
        <f t="shared" ca="1" si="50"/>
        <v>0</v>
      </c>
      <c r="Z607" s="572"/>
      <c r="AB607" s="382"/>
      <c r="AC607" s="516"/>
      <c r="AD607" s="516"/>
      <c r="AE607" s="516"/>
      <c r="AF607" s="516"/>
      <c r="AG607" s="516"/>
      <c r="AH607" s="516"/>
      <c r="AI607" s="516"/>
      <c r="AJ607" s="516"/>
      <c r="AK607" s="516"/>
      <c r="AL607" s="516"/>
      <c r="AM607" s="383"/>
      <c r="AO607">
        <f ca="1">IF($A607="S",IF(BM!$I607=0,0,CHOOSE(MATCH(RegimeExecucao,{"Global","Unitário"},0),ROUND(ROUND(BM.MEDAcumulado,15-13*BM!$A$9)/100*BM!$I607,15-13*ORÇAMENTO!$AF$11),ROUND(ROUND(BM.MEDAcumulado,15-13*BM!$A$9)*ROUND(BM!$H607,15-13*ORÇAMENTO!$AF$10),15-13*ORÇAMENTO!$AF$11))),IF($A607=0,0,ROUND(SomaAgrupBM,15-13*ORÇAMENTO!$AF$11)))</f>
        <v>0</v>
      </c>
    </row>
    <row r="608" spans="1:41" ht="38.25" x14ac:dyDescent="0.2">
      <c r="A608" t="str">
        <f ca="1">ORÇAMENTO!C608</f>
        <v>S</v>
      </c>
      <c r="B608">
        <f ca="1">ORÇAMENTO!D608</f>
        <v>0</v>
      </c>
      <c r="C608" s="116" t="str">
        <f t="shared" ca="1" si="44"/>
        <v/>
      </c>
      <c r="D608" s="119" t="str">
        <f ca="1">ORÇAMENTO!O608</f>
        <v>-</v>
      </c>
      <c r="E608" s="172" t="str">
        <f t="shared" ca="1" si="52"/>
        <v>(abra o arquivo 'Referência 06-2024.xlsm)</v>
      </c>
      <c r="F608" s="173" t="str">
        <f ca="1">IF(RegimeExecucao="Global","",ORÇAMENTO.Unidade)</f>
        <v/>
      </c>
      <c r="G608" s="124" t="str">
        <f ca="1">IF(RegimeExecucao="Global","",ORÇAMENTO!T608)</f>
        <v/>
      </c>
      <c r="H608" s="124" t="str">
        <f ca="1">IF(RegimeExecucao="Global","",ORÇAMENTO!W608)</f>
        <v/>
      </c>
      <c r="I608" s="127">
        <f ca="1">ORÇAMENTO!X608</f>
        <v>0</v>
      </c>
      <c r="J608" s="378">
        <f ca="1">IF($A608="S",IF(CAIXA.Modo,BM.AFAnterior,BM.MEDAnterior),IF(AND(RegimeExecucao="Global",$I608&gt;0,COUNTIF($AB$13:$AM$13,BM.medicao-1)&gt;0),M608/$I608*100,0))</f>
        <v>0</v>
      </c>
      <c r="K608" s="124">
        <f t="shared" ca="1" si="46"/>
        <v>0</v>
      </c>
      <c r="L608" s="379">
        <f ca="1">IF($A608="S",IF(CAIXA.Modo,BM.AFAcumulado,BM.MEDAcumulado),IF(AND(RegimeExecucao="Global",$I608&gt;0,COUNTIF($AB$13:$AM$13,BM.medicao)&gt;0),O608/$I608*100,0))</f>
        <v>0</v>
      </c>
      <c r="M608" s="380">
        <f ca="1">IF($A608="S",VTOTALBM,IF($A608=0,0,ROUND(SomaAgrupBM,15-13*ORÇAMENTO!$AF$11)))</f>
        <v>0</v>
      </c>
      <c r="N608" s="381">
        <f t="shared" ca="1" si="47"/>
        <v>0</v>
      </c>
      <c r="O608" s="127">
        <f ca="1">IF($A608="S",VTOTALBM,IF($A608=0,0,ROUND(SomaAgrupBM,15-13*ORÇAMENTO!$AF$11)))</f>
        <v>0</v>
      </c>
      <c r="Q608" s="382"/>
      <c r="R608" s="383"/>
      <c r="T608" s="119" t="str">
        <f t="shared" ca="1" si="48"/>
        <v/>
      </c>
      <c r="U608" s="172" t="str">
        <f t="shared" ca="1" si="49"/>
        <v/>
      </c>
      <c r="V608" s="173" t="str">
        <f ca="1">IF(AND($W608&gt;0,RegimeExecucao="Unitário"),$F608,"")</f>
        <v/>
      </c>
      <c r="W608" s="547">
        <f ca="1">IF($Y608&gt;0,CHOOSE(MATCH(RegimeExecucao,{"Unitário","Global"},0),IF($A608="S",$Y608/$X608,""),($Y608/$X608)*100),0)</f>
        <v>0</v>
      </c>
      <c r="X608" s="384" t="str">
        <f ca="1">IF($Y608&gt;0,CHOOSE(MATCH(RegimeExecucao,{"Unitário","Global"},0),IF($A608="S",ROUND($H608,ORÇAMENTO!$AF$10),""),ROUND($I608,ORÇAMENTO!$AF$11)),"")</f>
        <v/>
      </c>
      <c r="Y608" s="384">
        <f t="shared" ca="1" si="50"/>
        <v>0</v>
      </c>
      <c r="Z608" s="572"/>
      <c r="AB608" s="382"/>
      <c r="AC608" s="516"/>
      <c r="AD608" s="516"/>
      <c r="AE608" s="516"/>
      <c r="AF608" s="516"/>
      <c r="AG608" s="516"/>
      <c r="AH608" s="516"/>
      <c r="AI608" s="516"/>
      <c r="AJ608" s="516"/>
      <c r="AK608" s="516"/>
      <c r="AL608" s="516"/>
      <c r="AM608" s="383"/>
      <c r="AO608">
        <f ca="1">IF($A608="S",IF(BM!$I608=0,0,CHOOSE(MATCH(RegimeExecucao,{"Global","Unitário"},0),ROUND(ROUND(BM.MEDAcumulado,15-13*BM!$A$9)/100*BM!$I608,15-13*ORÇAMENTO!$AF$11),ROUND(ROUND(BM.MEDAcumulado,15-13*BM!$A$9)*ROUND(BM!$H608,15-13*ORÇAMENTO!$AF$10),15-13*ORÇAMENTO!$AF$11))),IF($A608=0,0,ROUND(SomaAgrupBM,15-13*ORÇAMENTO!$AF$11)))</f>
        <v>0</v>
      </c>
    </row>
    <row r="609" spans="1:41" ht="38.25" x14ac:dyDescent="0.2">
      <c r="A609" t="str">
        <f ca="1">ORÇAMENTO!C609</f>
        <v>S</v>
      </c>
      <c r="B609">
        <f ca="1">ORÇAMENTO!D609</f>
        <v>0</v>
      </c>
      <c r="C609" s="116" t="str">
        <f t="shared" ca="1" si="44"/>
        <v/>
      </c>
      <c r="D609" s="119" t="str">
        <f ca="1">ORÇAMENTO!O609</f>
        <v>-</v>
      </c>
      <c r="E609" s="172" t="str">
        <f t="shared" ca="1" si="52"/>
        <v>(abra o arquivo 'Referência 06-2024.xlsm)</v>
      </c>
      <c r="F609" s="173" t="str">
        <f ca="1">IF(RegimeExecucao="Global","",ORÇAMENTO.Unidade)</f>
        <v/>
      </c>
      <c r="G609" s="124" t="str">
        <f ca="1">IF(RegimeExecucao="Global","",ORÇAMENTO!T609)</f>
        <v/>
      </c>
      <c r="H609" s="124" t="str">
        <f ca="1">IF(RegimeExecucao="Global","",ORÇAMENTO!W609)</f>
        <v/>
      </c>
      <c r="I609" s="127">
        <f ca="1">ORÇAMENTO!X609</f>
        <v>0</v>
      </c>
      <c r="J609" s="378">
        <f ca="1">IF($A609="S",IF(CAIXA.Modo,BM.AFAnterior,BM.MEDAnterior),IF(AND(RegimeExecucao="Global",$I609&gt;0,COUNTIF($AB$13:$AM$13,BM.medicao-1)&gt;0),M609/$I609*100,0))</f>
        <v>0</v>
      </c>
      <c r="K609" s="124">
        <f t="shared" ca="1" si="46"/>
        <v>0</v>
      </c>
      <c r="L609" s="379">
        <f ca="1">IF($A609="S",IF(CAIXA.Modo,BM.AFAcumulado,BM.MEDAcumulado),IF(AND(RegimeExecucao="Global",$I609&gt;0,COUNTIF($AB$13:$AM$13,BM.medicao)&gt;0),O609/$I609*100,0))</f>
        <v>0</v>
      </c>
      <c r="M609" s="380">
        <f ca="1">IF($A609="S",VTOTALBM,IF($A609=0,0,ROUND(SomaAgrupBM,15-13*ORÇAMENTO!$AF$11)))</f>
        <v>0</v>
      </c>
      <c r="N609" s="381">
        <f t="shared" ca="1" si="47"/>
        <v>0</v>
      </c>
      <c r="O609" s="127">
        <f ca="1">IF($A609="S",VTOTALBM,IF($A609=0,0,ROUND(SomaAgrupBM,15-13*ORÇAMENTO!$AF$11)))</f>
        <v>0</v>
      </c>
      <c r="Q609" s="382"/>
      <c r="R609" s="383"/>
      <c r="T609" s="119" t="str">
        <f t="shared" ca="1" si="48"/>
        <v/>
      </c>
      <c r="U609" s="172" t="str">
        <f t="shared" ca="1" si="49"/>
        <v/>
      </c>
      <c r="V609" s="173" t="str">
        <f ca="1">IF(AND($W609&gt;0,RegimeExecucao="Unitário"),$F609,"")</f>
        <v/>
      </c>
      <c r="W609" s="547">
        <f ca="1">IF($Y609&gt;0,CHOOSE(MATCH(RegimeExecucao,{"Unitário","Global"},0),IF($A609="S",$Y609/$X609,""),($Y609/$X609)*100),0)</f>
        <v>0</v>
      </c>
      <c r="X609" s="384" t="str">
        <f ca="1">IF($Y609&gt;0,CHOOSE(MATCH(RegimeExecucao,{"Unitário","Global"},0),IF($A609="S",ROUND($H609,ORÇAMENTO!$AF$10),""),ROUND($I609,ORÇAMENTO!$AF$11)),"")</f>
        <v/>
      </c>
      <c r="Y609" s="384">
        <f t="shared" ca="1" si="50"/>
        <v>0</v>
      </c>
      <c r="Z609" s="572"/>
      <c r="AB609" s="382"/>
      <c r="AC609" s="516"/>
      <c r="AD609" s="516"/>
      <c r="AE609" s="516"/>
      <c r="AF609" s="516"/>
      <c r="AG609" s="516"/>
      <c r="AH609" s="516"/>
      <c r="AI609" s="516"/>
      <c r="AJ609" s="516"/>
      <c r="AK609" s="516"/>
      <c r="AL609" s="516"/>
      <c r="AM609" s="383"/>
      <c r="AO609">
        <f ca="1">IF($A609="S",IF(BM!$I609=0,0,CHOOSE(MATCH(RegimeExecucao,{"Global","Unitário"},0),ROUND(ROUND(BM.MEDAcumulado,15-13*BM!$A$9)/100*BM!$I609,15-13*ORÇAMENTO!$AF$11),ROUND(ROUND(BM.MEDAcumulado,15-13*BM!$A$9)*ROUND(BM!$H609,15-13*ORÇAMENTO!$AF$10),15-13*ORÇAMENTO!$AF$11))),IF($A609=0,0,ROUND(SomaAgrupBM,15-13*ORÇAMENTO!$AF$11)))</f>
        <v>0</v>
      </c>
    </row>
    <row r="610" spans="1:41" ht="51" x14ac:dyDescent="0.2">
      <c r="A610" t="str">
        <f ca="1">ORÇAMENTO!C610</f>
        <v>S</v>
      </c>
      <c r="B610">
        <f ca="1">ORÇAMENTO!D610</f>
        <v>0</v>
      </c>
      <c r="C610" s="116" t="str">
        <f t="shared" ca="1" si="44"/>
        <v/>
      </c>
      <c r="D610" s="119" t="str">
        <f ca="1">ORÇAMENTO!O610</f>
        <v>-</v>
      </c>
      <c r="E610" s="172" t="str">
        <f t="shared" ca="1" si="52"/>
        <v>(abra o arquivo 'Referência 06-2024.xlsm)</v>
      </c>
      <c r="F610" s="173" t="str">
        <f ca="1">IF(RegimeExecucao="Global","",ORÇAMENTO.Unidade)</f>
        <v/>
      </c>
      <c r="G610" s="124" t="str">
        <f ca="1">IF(RegimeExecucao="Global","",ORÇAMENTO!T610)</f>
        <v/>
      </c>
      <c r="H610" s="124" t="str">
        <f ca="1">IF(RegimeExecucao="Global","",ORÇAMENTO!W610)</f>
        <v/>
      </c>
      <c r="I610" s="127">
        <f ca="1">ORÇAMENTO!X610</f>
        <v>0</v>
      </c>
      <c r="J610" s="378">
        <f ca="1">IF($A610="S",IF(CAIXA.Modo,BM.AFAnterior,BM.MEDAnterior),IF(AND(RegimeExecucao="Global",$I610&gt;0,COUNTIF($AB$13:$AM$13,BM.medicao-1)&gt;0),M610/$I610*100,0))</f>
        <v>0</v>
      </c>
      <c r="K610" s="124">
        <f t="shared" ca="1" si="46"/>
        <v>0</v>
      </c>
      <c r="L610" s="379">
        <f ca="1">IF($A610="S",IF(CAIXA.Modo,BM.AFAcumulado,BM.MEDAcumulado),IF(AND(RegimeExecucao="Global",$I610&gt;0,COUNTIF($AB$13:$AM$13,BM.medicao)&gt;0),O610/$I610*100,0))</f>
        <v>0</v>
      </c>
      <c r="M610" s="380">
        <f ca="1">IF($A610="S",VTOTALBM,IF($A610=0,0,ROUND(SomaAgrupBM,15-13*ORÇAMENTO!$AF$11)))</f>
        <v>0</v>
      </c>
      <c r="N610" s="381">
        <f t="shared" ca="1" si="47"/>
        <v>0</v>
      </c>
      <c r="O610" s="127">
        <f ca="1">IF($A610="S",VTOTALBM,IF($A610=0,0,ROUND(SomaAgrupBM,15-13*ORÇAMENTO!$AF$11)))</f>
        <v>0</v>
      </c>
      <c r="Q610" s="382"/>
      <c r="R610" s="383"/>
      <c r="T610" s="119" t="str">
        <f t="shared" ca="1" si="48"/>
        <v/>
      </c>
      <c r="U610" s="172" t="str">
        <f t="shared" ca="1" si="49"/>
        <v/>
      </c>
      <c r="V610" s="173" t="str">
        <f ca="1">IF(AND($W610&gt;0,RegimeExecucao="Unitário"),$F610,"")</f>
        <v/>
      </c>
      <c r="W610" s="547">
        <f ca="1">IF($Y610&gt;0,CHOOSE(MATCH(RegimeExecucao,{"Unitário","Global"},0),IF($A610="S",$Y610/$X610,""),($Y610/$X610)*100),0)</f>
        <v>0</v>
      </c>
      <c r="X610" s="384" t="str">
        <f ca="1">IF($Y610&gt;0,CHOOSE(MATCH(RegimeExecucao,{"Unitário","Global"},0),IF($A610="S",ROUND($H610,ORÇAMENTO!$AF$10),""),ROUND($I610,ORÇAMENTO!$AF$11)),"")</f>
        <v/>
      </c>
      <c r="Y610" s="384">
        <f t="shared" ca="1" si="50"/>
        <v>0</v>
      </c>
      <c r="Z610" s="572"/>
      <c r="AB610" s="382"/>
      <c r="AC610" s="516"/>
      <c r="AD610" s="516"/>
      <c r="AE610" s="516"/>
      <c r="AF610" s="516"/>
      <c r="AG610" s="516"/>
      <c r="AH610" s="516"/>
      <c r="AI610" s="516"/>
      <c r="AJ610" s="516"/>
      <c r="AK610" s="516"/>
      <c r="AL610" s="516"/>
      <c r="AM610" s="383"/>
      <c r="AO610">
        <f ca="1">IF($A610="S",IF(BM!$I610=0,0,CHOOSE(MATCH(RegimeExecucao,{"Global","Unitário"},0),ROUND(ROUND(BM.MEDAcumulado,15-13*BM!$A$9)/100*BM!$I610,15-13*ORÇAMENTO!$AF$11),ROUND(ROUND(BM.MEDAcumulado,15-13*BM!$A$9)*ROUND(BM!$H610,15-13*ORÇAMENTO!$AF$10),15-13*ORÇAMENTO!$AF$11))),IF($A610=0,0,ROUND(SomaAgrupBM,15-13*ORÇAMENTO!$AF$11)))</f>
        <v>0</v>
      </c>
    </row>
    <row r="611" spans="1:41" ht="51" x14ac:dyDescent="0.2">
      <c r="A611" t="str">
        <f ca="1">ORÇAMENTO!C611</f>
        <v>S</v>
      </c>
      <c r="B611">
        <f ca="1">ORÇAMENTO!D611</f>
        <v>0</v>
      </c>
      <c r="C611" s="116" t="str">
        <f t="shared" ca="1" si="44"/>
        <v/>
      </c>
      <c r="D611" s="119" t="str">
        <f ca="1">ORÇAMENTO!O611</f>
        <v>-</v>
      </c>
      <c r="E611" s="172" t="str">
        <f t="shared" ca="1" si="52"/>
        <v>(abra o arquivo 'Referência 06-2024.xlsm)</v>
      </c>
      <c r="F611" s="173" t="str">
        <f ca="1">IF(RegimeExecucao="Global","",ORÇAMENTO.Unidade)</f>
        <v/>
      </c>
      <c r="G611" s="124" t="str">
        <f ca="1">IF(RegimeExecucao="Global","",ORÇAMENTO!T611)</f>
        <v/>
      </c>
      <c r="H611" s="124" t="str">
        <f ca="1">IF(RegimeExecucao="Global","",ORÇAMENTO!W611)</f>
        <v/>
      </c>
      <c r="I611" s="127">
        <f ca="1">ORÇAMENTO!X611</f>
        <v>0</v>
      </c>
      <c r="J611" s="378">
        <f ca="1">IF($A611="S",IF(CAIXA.Modo,BM.AFAnterior,BM.MEDAnterior),IF(AND(RegimeExecucao="Global",$I611&gt;0,COUNTIF($AB$13:$AM$13,BM.medicao-1)&gt;0),M611/$I611*100,0))</f>
        <v>0</v>
      </c>
      <c r="K611" s="124">
        <f t="shared" ca="1" si="46"/>
        <v>0</v>
      </c>
      <c r="L611" s="379">
        <f ca="1">IF($A611="S",IF(CAIXA.Modo,BM.AFAcumulado,BM.MEDAcumulado),IF(AND(RegimeExecucao="Global",$I611&gt;0,COUNTIF($AB$13:$AM$13,BM.medicao)&gt;0),O611/$I611*100,0))</f>
        <v>0</v>
      </c>
      <c r="M611" s="380">
        <f ca="1">IF($A611="S",VTOTALBM,IF($A611=0,0,ROUND(SomaAgrupBM,15-13*ORÇAMENTO!$AF$11)))</f>
        <v>0</v>
      </c>
      <c r="N611" s="381">
        <f t="shared" ca="1" si="47"/>
        <v>0</v>
      </c>
      <c r="O611" s="127">
        <f ca="1">IF($A611="S",VTOTALBM,IF($A611=0,0,ROUND(SomaAgrupBM,15-13*ORÇAMENTO!$AF$11)))</f>
        <v>0</v>
      </c>
      <c r="Q611" s="382"/>
      <c r="R611" s="383"/>
      <c r="T611" s="119" t="str">
        <f t="shared" ca="1" si="48"/>
        <v/>
      </c>
      <c r="U611" s="172" t="str">
        <f t="shared" ca="1" si="49"/>
        <v/>
      </c>
      <c r="V611" s="173" t="str">
        <f ca="1">IF(AND($W611&gt;0,RegimeExecucao="Unitário"),$F611,"")</f>
        <v/>
      </c>
      <c r="W611" s="547">
        <f ca="1">IF($Y611&gt;0,CHOOSE(MATCH(RegimeExecucao,{"Unitário","Global"},0),IF($A611="S",$Y611/$X611,""),($Y611/$X611)*100),0)</f>
        <v>0</v>
      </c>
      <c r="X611" s="384" t="str">
        <f ca="1">IF($Y611&gt;0,CHOOSE(MATCH(RegimeExecucao,{"Unitário","Global"},0),IF($A611="S",ROUND($H611,ORÇAMENTO!$AF$10),""),ROUND($I611,ORÇAMENTO!$AF$11)),"")</f>
        <v/>
      </c>
      <c r="Y611" s="384">
        <f t="shared" ca="1" si="50"/>
        <v>0</v>
      </c>
      <c r="Z611" s="572"/>
      <c r="AB611" s="382"/>
      <c r="AC611" s="516"/>
      <c r="AD611" s="516"/>
      <c r="AE611" s="516"/>
      <c r="AF611" s="516"/>
      <c r="AG611" s="516"/>
      <c r="AH611" s="516"/>
      <c r="AI611" s="516"/>
      <c r="AJ611" s="516"/>
      <c r="AK611" s="516"/>
      <c r="AL611" s="516"/>
      <c r="AM611" s="383"/>
      <c r="AO611">
        <f ca="1">IF($A611="S",IF(BM!$I611=0,0,CHOOSE(MATCH(RegimeExecucao,{"Global","Unitário"},0),ROUND(ROUND(BM.MEDAcumulado,15-13*BM!$A$9)/100*BM!$I611,15-13*ORÇAMENTO!$AF$11),ROUND(ROUND(BM.MEDAcumulado,15-13*BM!$A$9)*ROUND(BM!$H611,15-13*ORÇAMENTO!$AF$10),15-13*ORÇAMENTO!$AF$11))),IF($A611=0,0,ROUND(SomaAgrupBM,15-13*ORÇAMENTO!$AF$11)))</f>
        <v>0</v>
      </c>
    </row>
    <row r="612" spans="1:41" ht="38.25" x14ac:dyDescent="0.2">
      <c r="A612" t="str">
        <f ca="1">ORÇAMENTO!C612</f>
        <v>S</v>
      </c>
      <c r="B612">
        <f ca="1">ORÇAMENTO!D612</f>
        <v>0</v>
      </c>
      <c r="C612" s="116" t="str">
        <f t="shared" ca="1" si="44"/>
        <v/>
      </c>
      <c r="D612" s="119" t="str">
        <f ca="1">ORÇAMENTO!O612</f>
        <v>-</v>
      </c>
      <c r="E612" s="172" t="str">
        <f t="shared" ca="1" si="52"/>
        <v>(abra o arquivo 'Referência 06-2024.xlsm)</v>
      </c>
      <c r="F612" s="173" t="str">
        <f ca="1">IF(RegimeExecucao="Global","",ORÇAMENTO.Unidade)</f>
        <v/>
      </c>
      <c r="G612" s="124" t="str">
        <f ca="1">IF(RegimeExecucao="Global","",ORÇAMENTO!T612)</f>
        <v/>
      </c>
      <c r="H612" s="124" t="str">
        <f ca="1">IF(RegimeExecucao="Global","",ORÇAMENTO!W612)</f>
        <v/>
      </c>
      <c r="I612" s="127">
        <f ca="1">ORÇAMENTO!X612</f>
        <v>0</v>
      </c>
      <c r="J612" s="378">
        <f ca="1">IF($A612="S",IF(CAIXA.Modo,BM.AFAnterior,BM.MEDAnterior),IF(AND(RegimeExecucao="Global",$I612&gt;0,COUNTIF($AB$13:$AM$13,BM.medicao-1)&gt;0),M612/$I612*100,0))</f>
        <v>0</v>
      </c>
      <c r="K612" s="124">
        <f t="shared" ca="1" si="46"/>
        <v>0</v>
      </c>
      <c r="L612" s="379">
        <f ca="1">IF($A612="S",IF(CAIXA.Modo,BM.AFAcumulado,BM.MEDAcumulado),IF(AND(RegimeExecucao="Global",$I612&gt;0,COUNTIF($AB$13:$AM$13,BM.medicao)&gt;0),O612/$I612*100,0))</f>
        <v>0</v>
      </c>
      <c r="M612" s="380">
        <f ca="1">IF($A612="S",VTOTALBM,IF($A612=0,0,ROUND(SomaAgrupBM,15-13*ORÇAMENTO!$AF$11)))</f>
        <v>0</v>
      </c>
      <c r="N612" s="381">
        <f t="shared" ca="1" si="47"/>
        <v>0</v>
      </c>
      <c r="O612" s="127">
        <f ca="1">IF($A612="S",VTOTALBM,IF($A612=0,0,ROUND(SomaAgrupBM,15-13*ORÇAMENTO!$AF$11)))</f>
        <v>0</v>
      </c>
      <c r="Q612" s="382"/>
      <c r="R612" s="383"/>
      <c r="T612" s="119" t="str">
        <f t="shared" ca="1" si="48"/>
        <v/>
      </c>
      <c r="U612" s="172" t="str">
        <f t="shared" ca="1" si="49"/>
        <v/>
      </c>
      <c r="V612" s="173" t="str">
        <f ca="1">IF(AND($W612&gt;0,RegimeExecucao="Unitário"),$F612,"")</f>
        <v/>
      </c>
      <c r="W612" s="547">
        <f ca="1">IF($Y612&gt;0,CHOOSE(MATCH(RegimeExecucao,{"Unitário","Global"},0),IF($A612="S",$Y612/$X612,""),($Y612/$X612)*100),0)</f>
        <v>0</v>
      </c>
      <c r="X612" s="384" t="str">
        <f ca="1">IF($Y612&gt;0,CHOOSE(MATCH(RegimeExecucao,{"Unitário","Global"},0),IF($A612="S",ROUND($H612,ORÇAMENTO!$AF$10),""),ROUND($I612,ORÇAMENTO!$AF$11)),"")</f>
        <v/>
      </c>
      <c r="Y612" s="384">
        <f t="shared" ca="1" si="50"/>
        <v>0</v>
      </c>
      <c r="Z612" s="572"/>
      <c r="AB612" s="382"/>
      <c r="AC612" s="516"/>
      <c r="AD612" s="516"/>
      <c r="AE612" s="516"/>
      <c r="AF612" s="516"/>
      <c r="AG612" s="516"/>
      <c r="AH612" s="516"/>
      <c r="AI612" s="516"/>
      <c r="AJ612" s="516"/>
      <c r="AK612" s="516"/>
      <c r="AL612" s="516"/>
      <c r="AM612" s="383"/>
      <c r="AO612">
        <f ca="1">IF($A612="S",IF(BM!$I612=0,0,CHOOSE(MATCH(RegimeExecucao,{"Global","Unitário"},0),ROUND(ROUND(BM.MEDAcumulado,15-13*BM!$A$9)/100*BM!$I612,15-13*ORÇAMENTO!$AF$11),ROUND(ROUND(BM.MEDAcumulado,15-13*BM!$A$9)*ROUND(BM!$H612,15-13*ORÇAMENTO!$AF$10),15-13*ORÇAMENTO!$AF$11))),IF($A612=0,0,ROUND(SomaAgrupBM,15-13*ORÇAMENTO!$AF$11)))</f>
        <v>0</v>
      </c>
    </row>
    <row r="613" spans="1:41" x14ac:dyDescent="0.2">
      <c r="A613">
        <f ca="1">ORÇAMENTO!C613</f>
        <v>2</v>
      </c>
      <c r="B613">
        <f ca="1">ORÇAMENTO!D613</f>
        <v>5</v>
      </c>
      <c r="C613" s="116" t="str">
        <f t="shared" ca="1" si="44"/>
        <v>F</v>
      </c>
      <c r="D613" s="119" t="str">
        <f ca="1">ORÇAMENTO!O613</f>
        <v>1.63.</v>
      </c>
      <c r="E613" s="172" t="str">
        <f t="shared" si="52"/>
        <v>INSTALAÇÕES DE CLIMATIZAÇÃO - DRENO</v>
      </c>
      <c r="F613" s="173" t="str">
        <f ca="1">IF(RegimeExecucao="Global","",ORÇAMENTO.Unidade)</f>
        <v/>
      </c>
      <c r="G613" s="124" t="str">
        <f ca="1">IF(RegimeExecucao="Global","",ORÇAMENTO!T613)</f>
        <v/>
      </c>
      <c r="H613" s="124" t="str">
        <f ca="1">IF(RegimeExecucao="Global","",ORÇAMENTO!W613)</f>
        <v/>
      </c>
      <c r="I613" s="127">
        <f ca="1">ORÇAMENTO!X613</f>
        <v>0</v>
      </c>
      <c r="J613" s="378">
        <f ca="1">IF($A613="S",IF(CAIXA.Modo,BM.AFAnterior,BM.MEDAnterior),IF(AND(RegimeExecucao="Global",$I613&gt;0,COUNTIF($AB$13:$AM$13,BM.medicao-1)&gt;0),M613/$I613*100,0))</f>
        <v>0</v>
      </c>
      <c r="K613" s="124">
        <f t="shared" ca="1" si="46"/>
        <v>0</v>
      </c>
      <c r="L613" s="379">
        <f ca="1">IF($A613="S",IF(CAIXA.Modo,BM.AFAcumulado,BM.MEDAcumulado),IF(AND(RegimeExecucao="Global",$I613&gt;0,COUNTIF($AB$13:$AM$13,BM.medicao)&gt;0),O613/$I613*100,0))</f>
        <v>0</v>
      </c>
      <c r="M613" s="380">
        <f ca="1">IF($A613="S",VTOTALBM,IF($A613=0,0,ROUND(SomaAgrupBM,15-13*ORÇAMENTO!$AF$11)))</f>
        <v>0</v>
      </c>
      <c r="N613" s="381">
        <f t="shared" ca="1" si="47"/>
        <v>0</v>
      </c>
      <c r="O613" s="127">
        <f ca="1">IF($A613="S",VTOTALBM,IF($A613=0,0,ROUND(SomaAgrupBM,15-13*ORÇAMENTO!$AF$11)))</f>
        <v>0</v>
      </c>
      <c r="Q613" s="382"/>
      <c r="R613" s="383"/>
      <c r="T613" s="119" t="str">
        <f t="shared" ca="1" si="48"/>
        <v/>
      </c>
      <c r="U613" s="172" t="str">
        <f t="shared" ca="1" si="49"/>
        <v/>
      </c>
      <c r="V613" s="173" t="str">
        <f ca="1">IF(AND($W613&gt;0,RegimeExecucao="Unitário"),$F613,"")</f>
        <v/>
      </c>
      <c r="W613" s="547">
        <f ca="1">IF($Y613&gt;0,CHOOSE(MATCH(RegimeExecucao,{"Unitário","Global"},0),IF($A613="S",$Y613/$X613,""),($Y613/$X613)*100),0)</f>
        <v>0</v>
      </c>
      <c r="X613" s="384" t="str">
        <f ca="1">IF($Y613&gt;0,CHOOSE(MATCH(RegimeExecucao,{"Unitário","Global"},0),IF($A613="S",ROUND($H613,ORÇAMENTO!$AF$10),""),ROUND($I613,ORÇAMENTO!$AF$11)),"")</f>
        <v/>
      </c>
      <c r="Y613" s="384">
        <f t="shared" ca="1" si="50"/>
        <v>0</v>
      </c>
      <c r="Z613" s="572"/>
      <c r="AB613" s="382"/>
      <c r="AC613" s="516"/>
      <c r="AD613" s="516"/>
      <c r="AE613" s="516"/>
      <c r="AF613" s="516"/>
      <c r="AG613" s="516"/>
      <c r="AH613" s="516"/>
      <c r="AI613" s="516"/>
      <c r="AJ613" s="516"/>
      <c r="AK613" s="516"/>
      <c r="AL613" s="516"/>
      <c r="AM613" s="383"/>
      <c r="AO613">
        <f ca="1">IF($A613="S",IF(BM!$I613=0,0,CHOOSE(MATCH(RegimeExecucao,{"Global","Unitário"},0),ROUND(ROUND(BM.MEDAcumulado,15-13*BM!$A$9)/100*BM!$I613,15-13*ORÇAMENTO!$AF$11),ROUND(ROUND(BM.MEDAcumulado,15-13*BM!$A$9)*ROUND(BM!$H613,15-13*ORÇAMENTO!$AF$10),15-13*ORÇAMENTO!$AF$11))),IF($A613=0,0,ROUND(SomaAgrupBM,15-13*ORÇAMENTO!$AF$11)))</f>
        <v>0</v>
      </c>
    </row>
    <row r="614" spans="1:41" ht="38.25" x14ac:dyDescent="0.2">
      <c r="A614" t="str">
        <f ca="1">ORÇAMENTO!C614</f>
        <v>S</v>
      </c>
      <c r="B614">
        <f ca="1">ORÇAMENTO!D614</f>
        <v>0</v>
      </c>
      <c r="C614" s="116" t="str">
        <f t="shared" ca="1" si="44"/>
        <v/>
      </c>
      <c r="D614" s="119" t="str">
        <f ca="1">ORÇAMENTO!O614</f>
        <v>-</v>
      </c>
      <c r="E614" s="172" t="str">
        <f t="shared" ca="1" si="52"/>
        <v>(abra o arquivo 'Referência 06-2024.xlsm)</v>
      </c>
      <c r="F614" s="173" t="str">
        <f ca="1">IF(RegimeExecucao="Global","",ORÇAMENTO.Unidade)</f>
        <v/>
      </c>
      <c r="G614" s="124" t="str">
        <f ca="1">IF(RegimeExecucao="Global","",ORÇAMENTO!T614)</f>
        <v/>
      </c>
      <c r="H614" s="124" t="str">
        <f ca="1">IF(RegimeExecucao="Global","",ORÇAMENTO!W614)</f>
        <v/>
      </c>
      <c r="I614" s="127">
        <f ca="1">ORÇAMENTO!X614</f>
        <v>0</v>
      </c>
      <c r="J614" s="378">
        <f ca="1">IF($A614="S",IF(CAIXA.Modo,BM.AFAnterior,BM.MEDAnterior),IF(AND(RegimeExecucao="Global",$I614&gt;0,COUNTIF($AB$13:$AM$13,BM.medicao-1)&gt;0),M614/$I614*100,0))</f>
        <v>0</v>
      </c>
      <c r="K614" s="124">
        <f t="shared" ca="1" si="46"/>
        <v>0</v>
      </c>
      <c r="L614" s="379">
        <f ca="1">IF($A614="S",IF(CAIXA.Modo,BM.AFAcumulado,BM.MEDAcumulado),IF(AND(RegimeExecucao="Global",$I614&gt;0,COUNTIF($AB$13:$AM$13,BM.medicao)&gt;0),O614/$I614*100,0))</f>
        <v>0</v>
      </c>
      <c r="M614" s="380">
        <f ca="1">IF($A614="S",VTOTALBM,IF($A614=0,0,ROUND(SomaAgrupBM,15-13*ORÇAMENTO!$AF$11)))</f>
        <v>0</v>
      </c>
      <c r="N614" s="381">
        <f t="shared" ca="1" si="47"/>
        <v>0</v>
      </c>
      <c r="O614" s="127">
        <f ca="1">IF($A614="S",VTOTALBM,IF($A614=0,0,ROUND(SomaAgrupBM,15-13*ORÇAMENTO!$AF$11)))</f>
        <v>0</v>
      </c>
      <c r="Q614" s="382"/>
      <c r="R614" s="383"/>
      <c r="T614" s="119" t="str">
        <f t="shared" ca="1" si="48"/>
        <v/>
      </c>
      <c r="U614" s="172" t="str">
        <f t="shared" ca="1" si="49"/>
        <v/>
      </c>
      <c r="V614" s="173" t="str">
        <f ca="1">IF(AND($W614&gt;0,RegimeExecucao="Unitário"),$F614,"")</f>
        <v/>
      </c>
      <c r="W614" s="547">
        <f ca="1">IF($Y614&gt;0,CHOOSE(MATCH(RegimeExecucao,{"Unitário","Global"},0),IF($A614="S",$Y614/$X614,""),($Y614/$X614)*100),0)</f>
        <v>0</v>
      </c>
      <c r="X614" s="384" t="str">
        <f ca="1">IF($Y614&gt;0,CHOOSE(MATCH(RegimeExecucao,{"Unitário","Global"},0),IF($A614="S",ROUND($H614,ORÇAMENTO!$AF$10),""),ROUND($I614,ORÇAMENTO!$AF$11)),"")</f>
        <v/>
      </c>
      <c r="Y614" s="384">
        <f t="shared" ca="1" si="50"/>
        <v>0</v>
      </c>
      <c r="Z614" s="572"/>
      <c r="AB614" s="382"/>
      <c r="AC614" s="516"/>
      <c r="AD614" s="516"/>
      <c r="AE614" s="516"/>
      <c r="AF614" s="516"/>
      <c r="AG614" s="516"/>
      <c r="AH614" s="516"/>
      <c r="AI614" s="516"/>
      <c r="AJ614" s="516"/>
      <c r="AK614" s="516"/>
      <c r="AL614" s="516"/>
      <c r="AM614" s="383"/>
      <c r="AO614">
        <f ca="1">IF($A614="S",IF(BM!$I614=0,0,CHOOSE(MATCH(RegimeExecucao,{"Global","Unitário"},0),ROUND(ROUND(BM.MEDAcumulado,15-13*BM!$A$9)/100*BM!$I614,15-13*ORÇAMENTO!$AF$11),ROUND(ROUND(BM.MEDAcumulado,15-13*BM!$A$9)*ROUND(BM!$H614,15-13*ORÇAMENTO!$AF$10),15-13*ORÇAMENTO!$AF$11))),IF($A614=0,0,ROUND(SomaAgrupBM,15-13*ORÇAMENTO!$AF$11)))</f>
        <v>0</v>
      </c>
    </row>
    <row r="615" spans="1:41" ht="38.25" x14ac:dyDescent="0.2">
      <c r="A615" t="str">
        <f ca="1">ORÇAMENTO!C615</f>
        <v>S</v>
      </c>
      <c r="B615">
        <f ca="1">ORÇAMENTO!D615</f>
        <v>0</v>
      </c>
      <c r="C615" s="116" t="str">
        <f t="shared" ca="1" si="44"/>
        <v/>
      </c>
      <c r="D615" s="119" t="str">
        <f ca="1">ORÇAMENTO!O615</f>
        <v>-</v>
      </c>
      <c r="E615" s="172" t="str">
        <f t="shared" ca="1" si="52"/>
        <v>(abra o arquivo 'Referência 06-2024.xlsm)</v>
      </c>
      <c r="F615" s="173" t="str">
        <f ca="1">IF(RegimeExecucao="Global","",ORÇAMENTO.Unidade)</f>
        <v/>
      </c>
      <c r="G615" s="124" t="str">
        <f ca="1">IF(RegimeExecucao="Global","",ORÇAMENTO!T615)</f>
        <v/>
      </c>
      <c r="H615" s="124" t="str">
        <f ca="1">IF(RegimeExecucao="Global","",ORÇAMENTO!W615)</f>
        <v/>
      </c>
      <c r="I615" s="127">
        <f ca="1">ORÇAMENTO!X615</f>
        <v>0</v>
      </c>
      <c r="J615" s="378">
        <f ca="1">IF($A615="S",IF(CAIXA.Modo,BM.AFAnterior,BM.MEDAnterior),IF(AND(RegimeExecucao="Global",$I615&gt;0,COUNTIF($AB$13:$AM$13,BM.medicao-1)&gt;0),M615/$I615*100,0))</f>
        <v>0</v>
      </c>
      <c r="K615" s="124">
        <f t="shared" ca="1" si="46"/>
        <v>0</v>
      </c>
      <c r="L615" s="379">
        <f ca="1">IF($A615="S",IF(CAIXA.Modo,BM.AFAcumulado,BM.MEDAcumulado),IF(AND(RegimeExecucao="Global",$I615&gt;0,COUNTIF($AB$13:$AM$13,BM.medicao)&gt;0),O615/$I615*100,0))</f>
        <v>0</v>
      </c>
      <c r="M615" s="380">
        <f ca="1">IF($A615="S",VTOTALBM,IF($A615=0,0,ROUND(SomaAgrupBM,15-13*ORÇAMENTO!$AF$11)))</f>
        <v>0</v>
      </c>
      <c r="N615" s="381">
        <f t="shared" ca="1" si="47"/>
        <v>0</v>
      </c>
      <c r="O615" s="127">
        <f ca="1">IF($A615="S",VTOTALBM,IF($A615=0,0,ROUND(SomaAgrupBM,15-13*ORÇAMENTO!$AF$11)))</f>
        <v>0</v>
      </c>
      <c r="Q615" s="382"/>
      <c r="R615" s="383"/>
      <c r="T615" s="119" t="str">
        <f t="shared" ca="1" si="48"/>
        <v/>
      </c>
      <c r="U615" s="172" t="str">
        <f t="shared" ca="1" si="49"/>
        <v/>
      </c>
      <c r="V615" s="173" t="str">
        <f ca="1">IF(AND($W615&gt;0,RegimeExecucao="Unitário"),$F615,"")</f>
        <v/>
      </c>
      <c r="W615" s="547">
        <f ca="1">IF($Y615&gt;0,CHOOSE(MATCH(RegimeExecucao,{"Unitário","Global"},0),IF($A615="S",$Y615/$X615,""),($Y615/$X615)*100),0)</f>
        <v>0</v>
      </c>
      <c r="X615" s="384" t="str">
        <f ca="1">IF($Y615&gt;0,CHOOSE(MATCH(RegimeExecucao,{"Unitário","Global"},0),IF($A615="S",ROUND($H615,ORÇAMENTO!$AF$10),""),ROUND($I615,ORÇAMENTO!$AF$11)),"")</f>
        <v/>
      </c>
      <c r="Y615" s="384">
        <f t="shared" ca="1" si="50"/>
        <v>0</v>
      </c>
      <c r="Z615" s="572"/>
      <c r="AB615" s="382"/>
      <c r="AC615" s="516"/>
      <c r="AD615" s="516"/>
      <c r="AE615" s="516"/>
      <c r="AF615" s="516"/>
      <c r="AG615" s="516"/>
      <c r="AH615" s="516"/>
      <c r="AI615" s="516"/>
      <c r="AJ615" s="516"/>
      <c r="AK615" s="516"/>
      <c r="AL615" s="516"/>
      <c r="AM615" s="383"/>
      <c r="AO615">
        <f ca="1">IF($A615="S",IF(BM!$I615=0,0,CHOOSE(MATCH(RegimeExecucao,{"Global","Unitário"},0),ROUND(ROUND(BM.MEDAcumulado,15-13*BM!$A$9)/100*BM!$I615,15-13*ORÇAMENTO!$AF$11),ROUND(ROUND(BM.MEDAcumulado,15-13*BM!$A$9)*ROUND(BM!$H615,15-13*ORÇAMENTO!$AF$10),15-13*ORÇAMENTO!$AF$11))),IF($A615=0,0,ROUND(SomaAgrupBM,15-13*ORÇAMENTO!$AF$11)))</f>
        <v>0</v>
      </c>
    </row>
    <row r="616" spans="1:41" ht="38.25" x14ac:dyDescent="0.2">
      <c r="A616" t="str">
        <f ca="1">ORÇAMENTO!C616</f>
        <v>S</v>
      </c>
      <c r="B616">
        <f ca="1">ORÇAMENTO!D616</f>
        <v>0</v>
      </c>
      <c r="C616" s="116" t="str">
        <f t="shared" ca="1" si="44"/>
        <v/>
      </c>
      <c r="D616" s="119" t="str">
        <f ca="1">ORÇAMENTO!O616</f>
        <v>-</v>
      </c>
      <c r="E616" s="172" t="str">
        <f t="shared" ca="1" si="52"/>
        <v>(abra o arquivo 'Referência 06-2024.xlsm)</v>
      </c>
      <c r="F616" s="173" t="str">
        <f ca="1">IF(RegimeExecucao="Global","",ORÇAMENTO.Unidade)</f>
        <v/>
      </c>
      <c r="G616" s="124" t="str">
        <f ca="1">IF(RegimeExecucao="Global","",ORÇAMENTO!T616)</f>
        <v/>
      </c>
      <c r="H616" s="124" t="str">
        <f ca="1">IF(RegimeExecucao="Global","",ORÇAMENTO!W616)</f>
        <v/>
      </c>
      <c r="I616" s="127">
        <f ca="1">ORÇAMENTO!X616</f>
        <v>0</v>
      </c>
      <c r="J616" s="378">
        <f ca="1">IF($A616="S",IF(CAIXA.Modo,BM.AFAnterior,BM.MEDAnterior),IF(AND(RegimeExecucao="Global",$I616&gt;0,COUNTIF($AB$13:$AM$13,BM.medicao-1)&gt;0),M616/$I616*100,0))</f>
        <v>0</v>
      </c>
      <c r="K616" s="124">
        <f t="shared" ca="1" si="46"/>
        <v>0</v>
      </c>
      <c r="L616" s="379">
        <f ca="1">IF($A616="S",IF(CAIXA.Modo,BM.AFAcumulado,BM.MEDAcumulado),IF(AND(RegimeExecucao="Global",$I616&gt;0,COUNTIF($AB$13:$AM$13,BM.medicao)&gt;0),O616/$I616*100,0))</f>
        <v>0</v>
      </c>
      <c r="M616" s="380">
        <f ca="1">IF($A616="S",VTOTALBM,IF($A616=0,0,ROUND(SomaAgrupBM,15-13*ORÇAMENTO!$AF$11)))</f>
        <v>0</v>
      </c>
      <c r="N616" s="381">
        <f t="shared" ca="1" si="47"/>
        <v>0</v>
      </c>
      <c r="O616" s="127">
        <f ca="1">IF($A616="S",VTOTALBM,IF($A616=0,0,ROUND(SomaAgrupBM,15-13*ORÇAMENTO!$AF$11)))</f>
        <v>0</v>
      </c>
      <c r="Q616" s="382"/>
      <c r="R616" s="383"/>
      <c r="T616" s="119" t="str">
        <f t="shared" ca="1" si="48"/>
        <v/>
      </c>
      <c r="U616" s="172" t="str">
        <f t="shared" ca="1" si="49"/>
        <v/>
      </c>
      <c r="V616" s="173" t="str">
        <f ca="1">IF(AND($W616&gt;0,RegimeExecucao="Unitário"),$F616,"")</f>
        <v/>
      </c>
      <c r="W616" s="547">
        <f ca="1">IF($Y616&gt;0,CHOOSE(MATCH(RegimeExecucao,{"Unitário","Global"},0),IF($A616="S",$Y616/$X616,""),($Y616/$X616)*100),0)</f>
        <v>0</v>
      </c>
      <c r="X616" s="384" t="str">
        <f ca="1">IF($Y616&gt;0,CHOOSE(MATCH(RegimeExecucao,{"Unitário","Global"},0),IF($A616="S",ROUND($H616,ORÇAMENTO!$AF$10),""),ROUND($I616,ORÇAMENTO!$AF$11)),"")</f>
        <v/>
      </c>
      <c r="Y616" s="384">
        <f t="shared" ca="1" si="50"/>
        <v>0</v>
      </c>
      <c r="Z616" s="572"/>
      <c r="AB616" s="382"/>
      <c r="AC616" s="516"/>
      <c r="AD616" s="516"/>
      <c r="AE616" s="516"/>
      <c r="AF616" s="516"/>
      <c r="AG616" s="516"/>
      <c r="AH616" s="516"/>
      <c r="AI616" s="516"/>
      <c r="AJ616" s="516"/>
      <c r="AK616" s="516"/>
      <c r="AL616" s="516"/>
      <c r="AM616" s="383"/>
      <c r="AO616">
        <f ca="1">IF($A616="S",IF(BM!$I616=0,0,CHOOSE(MATCH(RegimeExecucao,{"Global","Unitário"},0),ROUND(ROUND(BM.MEDAcumulado,15-13*BM!$A$9)/100*BM!$I616,15-13*ORÇAMENTO!$AF$11),ROUND(ROUND(BM.MEDAcumulado,15-13*BM!$A$9)*ROUND(BM!$H616,15-13*ORÇAMENTO!$AF$10),15-13*ORÇAMENTO!$AF$11))),IF($A616=0,0,ROUND(SomaAgrupBM,15-13*ORÇAMENTO!$AF$11)))</f>
        <v>0</v>
      </c>
    </row>
    <row r="617" spans="1:41" ht="38.25" x14ac:dyDescent="0.2">
      <c r="A617" t="str">
        <f ca="1">ORÇAMENTO!C617</f>
        <v>S</v>
      </c>
      <c r="B617">
        <f ca="1">ORÇAMENTO!D617</f>
        <v>0</v>
      </c>
      <c r="C617" s="116" t="str">
        <f t="shared" ca="1" si="44"/>
        <v/>
      </c>
      <c r="D617" s="119" t="str">
        <f ca="1">ORÇAMENTO!O617</f>
        <v>-</v>
      </c>
      <c r="E617" s="172" t="str">
        <f t="shared" ca="1" si="52"/>
        <v>(abra o arquivo 'Referência 06-2024.xlsm)</v>
      </c>
      <c r="F617" s="173" t="str">
        <f ca="1">IF(RegimeExecucao="Global","",ORÇAMENTO.Unidade)</f>
        <v/>
      </c>
      <c r="G617" s="124" t="str">
        <f ca="1">IF(RegimeExecucao="Global","",ORÇAMENTO!T617)</f>
        <v/>
      </c>
      <c r="H617" s="124" t="str">
        <f ca="1">IF(RegimeExecucao="Global","",ORÇAMENTO!W617)</f>
        <v/>
      </c>
      <c r="I617" s="127">
        <f ca="1">ORÇAMENTO!X617</f>
        <v>0</v>
      </c>
      <c r="J617" s="378">
        <f ca="1">IF($A617="S",IF(CAIXA.Modo,BM.AFAnterior,BM.MEDAnterior),IF(AND(RegimeExecucao="Global",$I617&gt;0,COUNTIF($AB$13:$AM$13,BM.medicao-1)&gt;0),M617/$I617*100,0))</f>
        <v>0</v>
      </c>
      <c r="K617" s="124">
        <f t="shared" ca="1" si="46"/>
        <v>0</v>
      </c>
      <c r="L617" s="379">
        <f ca="1">IF($A617="S",IF(CAIXA.Modo,BM.AFAcumulado,BM.MEDAcumulado),IF(AND(RegimeExecucao="Global",$I617&gt;0,COUNTIF($AB$13:$AM$13,BM.medicao)&gt;0),O617/$I617*100,0))</f>
        <v>0</v>
      </c>
      <c r="M617" s="380">
        <f ca="1">IF($A617="S",VTOTALBM,IF($A617=0,0,ROUND(SomaAgrupBM,15-13*ORÇAMENTO!$AF$11)))</f>
        <v>0</v>
      </c>
      <c r="N617" s="381">
        <f t="shared" ca="1" si="47"/>
        <v>0</v>
      </c>
      <c r="O617" s="127">
        <f ca="1">IF($A617="S",VTOTALBM,IF($A617=0,0,ROUND(SomaAgrupBM,15-13*ORÇAMENTO!$AF$11)))</f>
        <v>0</v>
      </c>
      <c r="Q617" s="382"/>
      <c r="R617" s="383"/>
      <c r="T617" s="119" t="str">
        <f t="shared" ca="1" si="48"/>
        <v/>
      </c>
      <c r="U617" s="172" t="str">
        <f t="shared" ca="1" si="49"/>
        <v/>
      </c>
      <c r="V617" s="173" t="str">
        <f ca="1">IF(AND($W617&gt;0,RegimeExecucao="Unitário"),$F617,"")</f>
        <v/>
      </c>
      <c r="W617" s="547">
        <f ca="1">IF($Y617&gt;0,CHOOSE(MATCH(RegimeExecucao,{"Unitário","Global"},0),IF($A617="S",$Y617/$X617,""),($Y617/$X617)*100),0)</f>
        <v>0</v>
      </c>
      <c r="X617" s="384" t="str">
        <f ca="1">IF($Y617&gt;0,CHOOSE(MATCH(RegimeExecucao,{"Unitário","Global"},0),IF($A617="S",ROUND($H617,ORÇAMENTO!$AF$10),""),ROUND($I617,ORÇAMENTO!$AF$11)),"")</f>
        <v/>
      </c>
      <c r="Y617" s="384">
        <f t="shared" ca="1" si="50"/>
        <v>0</v>
      </c>
      <c r="Z617" s="572"/>
      <c r="AB617" s="382"/>
      <c r="AC617" s="516"/>
      <c r="AD617" s="516"/>
      <c r="AE617" s="516"/>
      <c r="AF617" s="516"/>
      <c r="AG617" s="516"/>
      <c r="AH617" s="516"/>
      <c r="AI617" s="516"/>
      <c r="AJ617" s="516"/>
      <c r="AK617" s="516"/>
      <c r="AL617" s="516"/>
      <c r="AM617" s="383"/>
      <c r="AO617">
        <f ca="1">IF($A617="S",IF(BM!$I617=0,0,CHOOSE(MATCH(RegimeExecucao,{"Global","Unitário"},0),ROUND(ROUND(BM.MEDAcumulado,15-13*BM!$A$9)/100*BM!$I617,15-13*ORÇAMENTO!$AF$11),ROUND(ROUND(BM.MEDAcumulado,15-13*BM!$A$9)*ROUND(BM!$H617,15-13*ORÇAMENTO!$AF$10),15-13*ORÇAMENTO!$AF$11))),IF($A617=0,0,ROUND(SomaAgrupBM,15-13*ORÇAMENTO!$AF$11)))</f>
        <v>0</v>
      </c>
    </row>
    <row r="618" spans="1:41" ht="25.5" x14ac:dyDescent="0.2">
      <c r="A618">
        <f ca="1">ORÇAMENTO!C618</f>
        <v>2</v>
      </c>
      <c r="B618">
        <f ca="1">ORÇAMENTO!D618</f>
        <v>10</v>
      </c>
      <c r="C618" s="116" t="str">
        <f t="shared" ca="1" si="44"/>
        <v>F</v>
      </c>
      <c r="D618" s="119" t="str">
        <f ca="1">ORÇAMENTO!O618</f>
        <v>1.64.</v>
      </c>
      <c r="E618" s="172" t="str">
        <f t="shared" si="52"/>
        <v>INSTALAÇÕES DE CABEAMENTO ESTRUTURADO - ACESSÓRIOS DE CABEAMENTO</v>
      </c>
      <c r="F618" s="173" t="str">
        <f ca="1">IF(RegimeExecucao="Global","",ORÇAMENTO.Unidade)</f>
        <v/>
      </c>
      <c r="G618" s="124" t="str">
        <f ca="1">IF(RegimeExecucao="Global","",ORÇAMENTO!T618)</f>
        <v/>
      </c>
      <c r="H618" s="124" t="str">
        <f ca="1">IF(RegimeExecucao="Global","",ORÇAMENTO!W618)</f>
        <v/>
      </c>
      <c r="I618" s="127">
        <f ca="1">ORÇAMENTO!X618</f>
        <v>0</v>
      </c>
      <c r="J618" s="378">
        <f ca="1">IF($A618="S",IF(CAIXA.Modo,BM.AFAnterior,BM.MEDAnterior),IF(AND(RegimeExecucao="Global",$I618&gt;0,COUNTIF($AB$13:$AM$13,BM.medicao-1)&gt;0),M618/$I618*100,0))</f>
        <v>0</v>
      </c>
      <c r="K618" s="124">
        <f t="shared" ca="1" si="46"/>
        <v>0</v>
      </c>
      <c r="L618" s="379">
        <f ca="1">IF($A618="S",IF(CAIXA.Modo,BM.AFAcumulado,BM.MEDAcumulado),IF(AND(RegimeExecucao="Global",$I618&gt;0,COUNTIF($AB$13:$AM$13,BM.medicao)&gt;0),O618/$I618*100,0))</f>
        <v>0</v>
      </c>
      <c r="M618" s="380">
        <f ca="1">IF($A618="S",VTOTALBM,IF($A618=0,0,ROUND(SomaAgrupBM,15-13*ORÇAMENTO!$AF$11)))</f>
        <v>0</v>
      </c>
      <c r="N618" s="381">
        <f t="shared" ca="1" si="47"/>
        <v>0</v>
      </c>
      <c r="O618" s="127">
        <f ca="1">IF($A618="S",VTOTALBM,IF($A618=0,0,ROUND(SomaAgrupBM,15-13*ORÇAMENTO!$AF$11)))</f>
        <v>0</v>
      </c>
      <c r="Q618" s="382"/>
      <c r="R618" s="383"/>
      <c r="T618" s="119" t="str">
        <f t="shared" ca="1" si="48"/>
        <v/>
      </c>
      <c r="U618" s="172" t="str">
        <f t="shared" ca="1" si="49"/>
        <v/>
      </c>
      <c r="V618" s="173" t="str">
        <f ca="1">IF(AND($W618&gt;0,RegimeExecucao="Unitário"),$F618,"")</f>
        <v/>
      </c>
      <c r="W618" s="547">
        <f ca="1">IF($Y618&gt;0,CHOOSE(MATCH(RegimeExecucao,{"Unitário","Global"},0),IF($A618="S",$Y618/$X618,""),($Y618/$X618)*100),0)</f>
        <v>0</v>
      </c>
      <c r="X618" s="384" t="str">
        <f ca="1">IF($Y618&gt;0,CHOOSE(MATCH(RegimeExecucao,{"Unitário","Global"},0),IF($A618="S",ROUND($H618,ORÇAMENTO!$AF$10),""),ROUND($I618,ORÇAMENTO!$AF$11)),"")</f>
        <v/>
      </c>
      <c r="Y618" s="384">
        <f t="shared" ca="1" si="50"/>
        <v>0</v>
      </c>
      <c r="Z618" s="572"/>
      <c r="AB618" s="382"/>
      <c r="AC618" s="516"/>
      <c r="AD618" s="516"/>
      <c r="AE618" s="516"/>
      <c r="AF618" s="516"/>
      <c r="AG618" s="516"/>
      <c r="AH618" s="516"/>
      <c r="AI618" s="516"/>
      <c r="AJ618" s="516"/>
      <c r="AK618" s="516"/>
      <c r="AL618" s="516"/>
      <c r="AM618" s="383"/>
      <c r="AO618">
        <f ca="1">IF($A618="S",IF(BM!$I618=0,0,CHOOSE(MATCH(RegimeExecucao,{"Global","Unitário"},0),ROUND(ROUND(BM.MEDAcumulado,15-13*BM!$A$9)/100*BM!$I618,15-13*ORÇAMENTO!$AF$11),ROUND(ROUND(BM.MEDAcumulado,15-13*BM!$A$9)*ROUND(BM!$H618,15-13*ORÇAMENTO!$AF$10),15-13*ORÇAMENTO!$AF$11))),IF($A618=0,0,ROUND(SomaAgrupBM,15-13*ORÇAMENTO!$AF$11)))</f>
        <v>0</v>
      </c>
    </row>
    <row r="619" spans="1:41" ht="25.5" x14ac:dyDescent="0.2">
      <c r="A619" t="str">
        <f ca="1">ORÇAMENTO!C619</f>
        <v>S</v>
      </c>
      <c r="B619">
        <f ca="1">ORÇAMENTO!D619</f>
        <v>0</v>
      </c>
      <c r="C619" s="116" t="str">
        <f t="shared" ca="1" si="44"/>
        <v/>
      </c>
      <c r="D619" s="119" t="str">
        <f ca="1">ORÇAMENTO!O619</f>
        <v>-</v>
      </c>
      <c r="E619" s="172" t="str">
        <f t="shared" ca="1" si="52"/>
        <v>(abra o arquivo 'Referência 06-2024.xlsm)</v>
      </c>
      <c r="F619" s="173" t="str">
        <f ca="1">IF(RegimeExecucao="Global","",ORÇAMENTO.Unidade)</f>
        <v/>
      </c>
      <c r="G619" s="124" t="str">
        <f ca="1">IF(RegimeExecucao="Global","",ORÇAMENTO!T619)</f>
        <v/>
      </c>
      <c r="H619" s="124" t="str">
        <f ca="1">IF(RegimeExecucao="Global","",ORÇAMENTO!W619)</f>
        <v/>
      </c>
      <c r="I619" s="127">
        <f ca="1">ORÇAMENTO!X619</f>
        <v>0</v>
      </c>
      <c r="J619" s="378">
        <f ca="1">IF($A619="S",IF(CAIXA.Modo,BM.AFAnterior,BM.MEDAnterior),IF(AND(RegimeExecucao="Global",$I619&gt;0,COUNTIF($AB$13:$AM$13,BM.medicao-1)&gt;0),M619/$I619*100,0))</f>
        <v>0</v>
      </c>
      <c r="K619" s="124">
        <f t="shared" ca="1" si="46"/>
        <v>0</v>
      </c>
      <c r="L619" s="379">
        <f ca="1">IF($A619="S",IF(CAIXA.Modo,BM.AFAcumulado,BM.MEDAcumulado),IF(AND(RegimeExecucao="Global",$I619&gt;0,COUNTIF($AB$13:$AM$13,BM.medicao)&gt;0),O619/$I619*100,0))</f>
        <v>0</v>
      </c>
      <c r="M619" s="380">
        <f ca="1">IF($A619="S",VTOTALBM,IF($A619=0,0,ROUND(SomaAgrupBM,15-13*ORÇAMENTO!$AF$11)))</f>
        <v>0</v>
      </c>
      <c r="N619" s="381">
        <f t="shared" ca="1" si="47"/>
        <v>0</v>
      </c>
      <c r="O619" s="127">
        <f ca="1">IF($A619="S",VTOTALBM,IF($A619=0,0,ROUND(SomaAgrupBM,15-13*ORÇAMENTO!$AF$11)))</f>
        <v>0</v>
      </c>
      <c r="Q619" s="382"/>
      <c r="R619" s="383"/>
      <c r="T619" s="119" t="str">
        <f t="shared" ca="1" si="48"/>
        <v/>
      </c>
      <c r="U619" s="172" t="str">
        <f t="shared" ca="1" si="49"/>
        <v/>
      </c>
      <c r="V619" s="173" t="str">
        <f ca="1">IF(AND($W619&gt;0,RegimeExecucao="Unitário"),$F619,"")</f>
        <v/>
      </c>
      <c r="W619" s="547">
        <f ca="1">IF($Y619&gt;0,CHOOSE(MATCH(RegimeExecucao,{"Unitário","Global"},0),IF($A619="S",$Y619/$X619,""),($Y619/$X619)*100),0)</f>
        <v>0</v>
      </c>
      <c r="X619" s="384" t="str">
        <f ca="1">IF($Y619&gt;0,CHOOSE(MATCH(RegimeExecucao,{"Unitário","Global"},0),IF($A619="S",ROUND($H619,ORÇAMENTO!$AF$10),""),ROUND($I619,ORÇAMENTO!$AF$11)),"")</f>
        <v/>
      </c>
      <c r="Y619" s="384">
        <f t="shared" ca="1" si="50"/>
        <v>0</v>
      </c>
      <c r="Z619" s="572"/>
      <c r="AB619" s="382"/>
      <c r="AC619" s="516"/>
      <c r="AD619" s="516"/>
      <c r="AE619" s="516"/>
      <c r="AF619" s="516"/>
      <c r="AG619" s="516"/>
      <c r="AH619" s="516"/>
      <c r="AI619" s="516"/>
      <c r="AJ619" s="516"/>
      <c r="AK619" s="516"/>
      <c r="AL619" s="516"/>
      <c r="AM619" s="383"/>
      <c r="AO619">
        <f ca="1">IF($A619="S",IF(BM!$I619=0,0,CHOOSE(MATCH(RegimeExecucao,{"Global","Unitário"},0),ROUND(ROUND(BM.MEDAcumulado,15-13*BM!$A$9)/100*BM!$I619,15-13*ORÇAMENTO!$AF$11),ROUND(ROUND(BM.MEDAcumulado,15-13*BM!$A$9)*ROUND(BM!$H619,15-13*ORÇAMENTO!$AF$10),15-13*ORÇAMENTO!$AF$11))),IF($A619=0,0,ROUND(SomaAgrupBM,15-13*ORÇAMENTO!$AF$11)))</f>
        <v>0</v>
      </c>
    </row>
    <row r="620" spans="1:41" x14ac:dyDescent="0.2">
      <c r="A620" t="str">
        <f ca="1">ORÇAMENTO!C620</f>
        <v>S</v>
      </c>
      <c r="B620">
        <f ca="1">ORÇAMENTO!D620</f>
        <v>0</v>
      </c>
      <c r="C620" s="116" t="str">
        <f t="shared" ca="1" si="44"/>
        <v/>
      </c>
      <c r="D620" s="119" t="str">
        <f ca="1">ORÇAMENTO!O620</f>
        <v>-</v>
      </c>
      <c r="E620" s="172" t="str">
        <f t="shared" ca="1" si="52"/>
        <v>(abra o arquivo 'Referência 06-2024.xlsm)</v>
      </c>
      <c r="F620" s="173" t="str">
        <f ca="1">IF(RegimeExecucao="Global","",ORÇAMENTO.Unidade)</f>
        <v/>
      </c>
      <c r="G620" s="124" t="str">
        <f ca="1">IF(RegimeExecucao="Global","",ORÇAMENTO!T620)</f>
        <v/>
      </c>
      <c r="H620" s="124" t="str">
        <f ca="1">IF(RegimeExecucao="Global","",ORÇAMENTO!W620)</f>
        <v/>
      </c>
      <c r="I620" s="127">
        <f ca="1">ORÇAMENTO!X620</f>
        <v>0</v>
      </c>
      <c r="J620" s="378">
        <f ca="1">IF($A620="S",IF(CAIXA.Modo,BM.AFAnterior,BM.MEDAnterior),IF(AND(RegimeExecucao="Global",$I620&gt;0,COUNTIF($AB$13:$AM$13,BM.medicao-1)&gt;0),M620/$I620*100,0))</f>
        <v>0</v>
      </c>
      <c r="K620" s="124">
        <f t="shared" ca="1" si="46"/>
        <v>0</v>
      </c>
      <c r="L620" s="379">
        <f ca="1">IF($A620="S",IF(CAIXA.Modo,BM.AFAcumulado,BM.MEDAcumulado),IF(AND(RegimeExecucao="Global",$I620&gt;0,COUNTIF($AB$13:$AM$13,BM.medicao)&gt;0),O620/$I620*100,0))</f>
        <v>0</v>
      </c>
      <c r="M620" s="380">
        <f ca="1">IF($A620="S",VTOTALBM,IF($A620=0,0,ROUND(SomaAgrupBM,15-13*ORÇAMENTO!$AF$11)))</f>
        <v>0</v>
      </c>
      <c r="N620" s="381">
        <f t="shared" ca="1" si="47"/>
        <v>0</v>
      </c>
      <c r="O620" s="127">
        <f ca="1">IF($A620="S",VTOTALBM,IF($A620=0,0,ROUND(SomaAgrupBM,15-13*ORÇAMENTO!$AF$11)))</f>
        <v>0</v>
      </c>
      <c r="Q620" s="382"/>
      <c r="R620" s="383"/>
      <c r="T620" s="119" t="str">
        <f t="shared" ca="1" si="48"/>
        <v/>
      </c>
      <c r="U620" s="172" t="str">
        <f t="shared" ca="1" si="49"/>
        <v/>
      </c>
      <c r="V620" s="173" t="str">
        <f ca="1">IF(AND($W620&gt;0,RegimeExecucao="Unitário"),$F620,"")</f>
        <v/>
      </c>
      <c r="W620" s="547">
        <f ca="1">IF($Y620&gt;0,CHOOSE(MATCH(RegimeExecucao,{"Unitário","Global"},0),IF($A620="S",$Y620/$X620,""),($Y620/$X620)*100),0)</f>
        <v>0</v>
      </c>
      <c r="X620" s="384" t="str">
        <f ca="1">IF($Y620&gt;0,CHOOSE(MATCH(RegimeExecucao,{"Unitário","Global"},0),IF($A620="S",ROUND($H620,ORÇAMENTO!$AF$10),""),ROUND($I620,ORÇAMENTO!$AF$11)),"")</f>
        <v/>
      </c>
      <c r="Y620" s="384">
        <f t="shared" ca="1" si="50"/>
        <v>0</v>
      </c>
      <c r="Z620" s="572"/>
      <c r="AB620" s="382"/>
      <c r="AC620" s="516"/>
      <c r="AD620" s="516"/>
      <c r="AE620" s="516"/>
      <c r="AF620" s="516"/>
      <c r="AG620" s="516"/>
      <c r="AH620" s="516"/>
      <c r="AI620" s="516"/>
      <c r="AJ620" s="516"/>
      <c r="AK620" s="516"/>
      <c r="AL620" s="516"/>
      <c r="AM620" s="383"/>
      <c r="AO620">
        <f ca="1">IF($A620="S",IF(BM!$I620=0,0,CHOOSE(MATCH(RegimeExecucao,{"Global","Unitário"},0),ROUND(ROUND(BM.MEDAcumulado,15-13*BM!$A$9)/100*BM!$I620,15-13*ORÇAMENTO!$AF$11),ROUND(ROUND(BM.MEDAcumulado,15-13*BM!$A$9)*ROUND(BM!$H620,15-13*ORÇAMENTO!$AF$10),15-13*ORÇAMENTO!$AF$11))),IF($A620=0,0,ROUND(SomaAgrupBM,15-13*ORÇAMENTO!$AF$11)))</f>
        <v>0</v>
      </c>
    </row>
    <row r="621" spans="1:41" x14ac:dyDescent="0.2">
      <c r="A621" t="str">
        <f ca="1">ORÇAMENTO!C621</f>
        <v>S</v>
      </c>
      <c r="B621">
        <f ca="1">ORÇAMENTO!D621</f>
        <v>0</v>
      </c>
      <c r="C621" s="116" t="str">
        <f t="shared" ca="1" si="44"/>
        <v/>
      </c>
      <c r="D621" s="119" t="str">
        <f ca="1">ORÇAMENTO!O621</f>
        <v>-</v>
      </c>
      <c r="E621" s="172" t="str">
        <f t="shared" ca="1" si="52"/>
        <v>(abra o arquivo 'Referência 06-2024.xlsm)</v>
      </c>
      <c r="F621" s="173" t="str">
        <f ca="1">IF(RegimeExecucao="Global","",ORÇAMENTO.Unidade)</f>
        <v/>
      </c>
      <c r="G621" s="124" t="str">
        <f ca="1">IF(RegimeExecucao="Global","",ORÇAMENTO!T621)</f>
        <v/>
      </c>
      <c r="H621" s="124" t="str">
        <f ca="1">IF(RegimeExecucao="Global","",ORÇAMENTO!W621)</f>
        <v/>
      </c>
      <c r="I621" s="127">
        <f ca="1">ORÇAMENTO!X621</f>
        <v>0</v>
      </c>
      <c r="J621" s="378">
        <f ca="1">IF($A621="S",IF(CAIXA.Modo,BM.AFAnterior,BM.MEDAnterior),IF(AND(RegimeExecucao="Global",$I621&gt;0,COUNTIF($AB$13:$AM$13,BM.medicao-1)&gt;0),M621/$I621*100,0))</f>
        <v>0</v>
      </c>
      <c r="K621" s="124">
        <f t="shared" ca="1" si="46"/>
        <v>0</v>
      </c>
      <c r="L621" s="379">
        <f ca="1">IF($A621="S",IF(CAIXA.Modo,BM.AFAcumulado,BM.MEDAcumulado),IF(AND(RegimeExecucao="Global",$I621&gt;0,COUNTIF($AB$13:$AM$13,BM.medicao)&gt;0),O621/$I621*100,0))</f>
        <v>0</v>
      </c>
      <c r="M621" s="380">
        <f ca="1">IF($A621="S",VTOTALBM,IF($A621=0,0,ROUND(SomaAgrupBM,15-13*ORÇAMENTO!$AF$11)))</f>
        <v>0</v>
      </c>
      <c r="N621" s="381">
        <f t="shared" ca="1" si="47"/>
        <v>0</v>
      </c>
      <c r="O621" s="127">
        <f ca="1">IF($A621="S",VTOTALBM,IF($A621=0,0,ROUND(SomaAgrupBM,15-13*ORÇAMENTO!$AF$11)))</f>
        <v>0</v>
      </c>
      <c r="Q621" s="382"/>
      <c r="R621" s="383"/>
      <c r="T621" s="119" t="str">
        <f t="shared" ca="1" si="48"/>
        <v/>
      </c>
      <c r="U621" s="172" t="str">
        <f t="shared" ca="1" si="49"/>
        <v/>
      </c>
      <c r="V621" s="173" t="str">
        <f ca="1">IF(AND($W621&gt;0,RegimeExecucao="Unitário"),$F621,"")</f>
        <v/>
      </c>
      <c r="W621" s="547">
        <f ca="1">IF($Y621&gt;0,CHOOSE(MATCH(RegimeExecucao,{"Unitário","Global"},0),IF($A621="S",$Y621/$X621,""),($Y621/$X621)*100),0)</f>
        <v>0</v>
      </c>
      <c r="X621" s="384" t="str">
        <f ca="1">IF($Y621&gt;0,CHOOSE(MATCH(RegimeExecucao,{"Unitário","Global"},0),IF($A621="S",ROUND($H621,ORÇAMENTO!$AF$10),""),ROUND($I621,ORÇAMENTO!$AF$11)),"")</f>
        <v/>
      </c>
      <c r="Y621" s="384">
        <f t="shared" ca="1" si="50"/>
        <v>0</v>
      </c>
      <c r="Z621" s="572"/>
      <c r="AB621" s="382"/>
      <c r="AC621" s="516"/>
      <c r="AD621" s="516"/>
      <c r="AE621" s="516"/>
      <c r="AF621" s="516"/>
      <c r="AG621" s="516"/>
      <c r="AH621" s="516"/>
      <c r="AI621" s="516"/>
      <c r="AJ621" s="516"/>
      <c r="AK621" s="516"/>
      <c r="AL621" s="516"/>
      <c r="AM621" s="383"/>
      <c r="AO621">
        <f ca="1">IF($A621="S",IF(BM!$I621=0,0,CHOOSE(MATCH(RegimeExecucao,{"Global","Unitário"},0),ROUND(ROUND(BM.MEDAcumulado,15-13*BM!$A$9)/100*BM!$I621,15-13*ORÇAMENTO!$AF$11),ROUND(ROUND(BM.MEDAcumulado,15-13*BM!$A$9)*ROUND(BM!$H621,15-13*ORÇAMENTO!$AF$10),15-13*ORÇAMENTO!$AF$11))),IF($A621=0,0,ROUND(SomaAgrupBM,15-13*ORÇAMENTO!$AF$11)))</f>
        <v>0</v>
      </c>
    </row>
    <row r="622" spans="1:41" ht="25.5" x14ac:dyDescent="0.2">
      <c r="A622" t="str">
        <f ca="1">ORÇAMENTO!C622</f>
        <v>S</v>
      </c>
      <c r="B622">
        <f ca="1">ORÇAMENTO!D622</f>
        <v>0</v>
      </c>
      <c r="C622" s="116" t="str">
        <f t="shared" ca="1" si="44"/>
        <v/>
      </c>
      <c r="D622" s="119" t="str">
        <f ca="1">ORÇAMENTO!O622</f>
        <v>-</v>
      </c>
      <c r="E622" s="172" t="str">
        <f t="shared" ca="1" si="52"/>
        <v>(abra o arquivo 'Referência 06-2024.xlsm)</v>
      </c>
      <c r="F622" s="173" t="str">
        <f ca="1">IF(RegimeExecucao="Global","",ORÇAMENTO.Unidade)</f>
        <v/>
      </c>
      <c r="G622" s="124" t="str">
        <f ca="1">IF(RegimeExecucao="Global","",ORÇAMENTO!T622)</f>
        <v/>
      </c>
      <c r="H622" s="124" t="str">
        <f ca="1">IF(RegimeExecucao="Global","",ORÇAMENTO!W622)</f>
        <v/>
      </c>
      <c r="I622" s="127">
        <f ca="1">ORÇAMENTO!X622</f>
        <v>0</v>
      </c>
      <c r="J622" s="378">
        <f ca="1">IF($A622="S",IF(CAIXA.Modo,BM.AFAnterior,BM.MEDAnterior),IF(AND(RegimeExecucao="Global",$I622&gt;0,COUNTIF($AB$13:$AM$13,BM.medicao-1)&gt;0),M622/$I622*100,0))</f>
        <v>0</v>
      </c>
      <c r="K622" s="124">
        <f t="shared" ca="1" si="46"/>
        <v>0</v>
      </c>
      <c r="L622" s="379">
        <f ca="1">IF($A622="S",IF(CAIXA.Modo,BM.AFAcumulado,BM.MEDAcumulado),IF(AND(RegimeExecucao="Global",$I622&gt;0,COUNTIF($AB$13:$AM$13,BM.medicao)&gt;0),O622/$I622*100,0))</f>
        <v>0</v>
      </c>
      <c r="M622" s="380">
        <f ca="1">IF($A622="S",VTOTALBM,IF($A622=0,0,ROUND(SomaAgrupBM,15-13*ORÇAMENTO!$AF$11)))</f>
        <v>0</v>
      </c>
      <c r="N622" s="381">
        <f t="shared" ca="1" si="47"/>
        <v>0</v>
      </c>
      <c r="O622" s="127">
        <f ca="1">IF($A622="S",VTOTALBM,IF($A622=0,0,ROUND(SomaAgrupBM,15-13*ORÇAMENTO!$AF$11)))</f>
        <v>0</v>
      </c>
      <c r="Q622" s="382"/>
      <c r="R622" s="383"/>
      <c r="T622" s="119" t="str">
        <f t="shared" ca="1" si="48"/>
        <v/>
      </c>
      <c r="U622" s="172" t="str">
        <f t="shared" ca="1" si="49"/>
        <v/>
      </c>
      <c r="V622" s="173" t="str">
        <f ca="1">IF(AND($W622&gt;0,RegimeExecucao="Unitário"),$F622,"")</f>
        <v/>
      </c>
      <c r="W622" s="547">
        <f ca="1">IF($Y622&gt;0,CHOOSE(MATCH(RegimeExecucao,{"Unitário","Global"},0),IF($A622="S",$Y622/$X622,""),($Y622/$X622)*100),0)</f>
        <v>0</v>
      </c>
      <c r="X622" s="384" t="str">
        <f ca="1">IF($Y622&gt;0,CHOOSE(MATCH(RegimeExecucao,{"Unitário","Global"},0),IF($A622="S",ROUND($H622,ORÇAMENTO!$AF$10),""),ROUND($I622,ORÇAMENTO!$AF$11)),"")</f>
        <v/>
      </c>
      <c r="Y622" s="384">
        <f t="shared" ca="1" si="50"/>
        <v>0</v>
      </c>
      <c r="Z622" s="572"/>
      <c r="AB622" s="382"/>
      <c r="AC622" s="516"/>
      <c r="AD622" s="516"/>
      <c r="AE622" s="516"/>
      <c r="AF622" s="516"/>
      <c r="AG622" s="516"/>
      <c r="AH622" s="516"/>
      <c r="AI622" s="516"/>
      <c r="AJ622" s="516"/>
      <c r="AK622" s="516"/>
      <c r="AL622" s="516"/>
      <c r="AM622" s="383"/>
      <c r="AO622">
        <f ca="1">IF($A622="S",IF(BM!$I622=0,0,CHOOSE(MATCH(RegimeExecucao,{"Global","Unitário"},0),ROUND(ROUND(BM.MEDAcumulado,15-13*BM!$A$9)/100*BM!$I622,15-13*ORÇAMENTO!$AF$11),ROUND(ROUND(BM.MEDAcumulado,15-13*BM!$A$9)*ROUND(BM!$H622,15-13*ORÇAMENTO!$AF$10),15-13*ORÇAMENTO!$AF$11))),IF($A622=0,0,ROUND(SomaAgrupBM,15-13*ORÇAMENTO!$AF$11)))</f>
        <v>0</v>
      </c>
    </row>
    <row r="623" spans="1:41" ht="25.5" x14ac:dyDescent="0.2">
      <c r="A623" t="str">
        <f ca="1">ORÇAMENTO!C623</f>
        <v>S</v>
      </c>
      <c r="B623">
        <f ca="1">ORÇAMENTO!D623</f>
        <v>0</v>
      </c>
      <c r="C623" s="116" t="str">
        <f t="shared" ca="1" si="44"/>
        <v/>
      </c>
      <c r="D623" s="119" t="str">
        <f ca="1">ORÇAMENTO!O623</f>
        <v>-</v>
      </c>
      <c r="E623" s="172" t="str">
        <f t="shared" ca="1" si="52"/>
        <v>(abra o arquivo 'Referência 06-2024.xlsm)</v>
      </c>
      <c r="F623" s="173" t="str">
        <f ca="1">IF(RegimeExecucao="Global","",ORÇAMENTO.Unidade)</f>
        <v/>
      </c>
      <c r="G623" s="124" t="str">
        <f ca="1">IF(RegimeExecucao="Global","",ORÇAMENTO!T623)</f>
        <v/>
      </c>
      <c r="H623" s="124" t="str">
        <f ca="1">IF(RegimeExecucao="Global","",ORÇAMENTO!W623)</f>
        <v/>
      </c>
      <c r="I623" s="127">
        <f ca="1">ORÇAMENTO!X623</f>
        <v>0</v>
      </c>
      <c r="J623" s="378">
        <f ca="1">IF($A623="S",IF(CAIXA.Modo,BM.AFAnterior,BM.MEDAnterior),IF(AND(RegimeExecucao="Global",$I623&gt;0,COUNTIF($AB$13:$AM$13,BM.medicao-1)&gt;0),M623/$I623*100,0))</f>
        <v>0</v>
      </c>
      <c r="K623" s="124">
        <f t="shared" ca="1" si="46"/>
        <v>0</v>
      </c>
      <c r="L623" s="379">
        <f ca="1">IF($A623="S",IF(CAIXA.Modo,BM.AFAcumulado,BM.MEDAcumulado),IF(AND(RegimeExecucao="Global",$I623&gt;0,COUNTIF($AB$13:$AM$13,BM.medicao)&gt;0),O623/$I623*100,0))</f>
        <v>0</v>
      </c>
      <c r="M623" s="380">
        <f ca="1">IF($A623="S",VTOTALBM,IF($A623=0,0,ROUND(SomaAgrupBM,15-13*ORÇAMENTO!$AF$11)))</f>
        <v>0</v>
      </c>
      <c r="N623" s="381">
        <f t="shared" ca="1" si="47"/>
        <v>0</v>
      </c>
      <c r="O623" s="127">
        <f ca="1">IF($A623="S",VTOTALBM,IF($A623=0,0,ROUND(SomaAgrupBM,15-13*ORÇAMENTO!$AF$11)))</f>
        <v>0</v>
      </c>
      <c r="Q623" s="382"/>
      <c r="R623" s="383"/>
      <c r="T623" s="119" t="str">
        <f t="shared" ca="1" si="48"/>
        <v/>
      </c>
      <c r="U623" s="172" t="str">
        <f t="shared" ca="1" si="49"/>
        <v/>
      </c>
      <c r="V623" s="173" t="str">
        <f ca="1">IF(AND($W623&gt;0,RegimeExecucao="Unitário"),$F623,"")</f>
        <v/>
      </c>
      <c r="W623" s="547">
        <f ca="1">IF($Y623&gt;0,CHOOSE(MATCH(RegimeExecucao,{"Unitário","Global"},0),IF($A623="S",$Y623/$X623,""),($Y623/$X623)*100),0)</f>
        <v>0</v>
      </c>
      <c r="X623" s="384" t="str">
        <f ca="1">IF($Y623&gt;0,CHOOSE(MATCH(RegimeExecucao,{"Unitário","Global"},0),IF($A623="S",ROUND($H623,ORÇAMENTO!$AF$10),""),ROUND($I623,ORÇAMENTO!$AF$11)),"")</f>
        <v/>
      </c>
      <c r="Y623" s="384">
        <f t="shared" ca="1" si="50"/>
        <v>0</v>
      </c>
      <c r="Z623" s="572"/>
      <c r="AB623" s="382"/>
      <c r="AC623" s="516"/>
      <c r="AD623" s="516"/>
      <c r="AE623" s="516"/>
      <c r="AF623" s="516"/>
      <c r="AG623" s="516"/>
      <c r="AH623" s="516"/>
      <c r="AI623" s="516"/>
      <c r="AJ623" s="516"/>
      <c r="AK623" s="516"/>
      <c r="AL623" s="516"/>
      <c r="AM623" s="383"/>
      <c r="AO623">
        <f ca="1">IF($A623="S",IF(BM!$I623=0,0,CHOOSE(MATCH(RegimeExecucao,{"Global","Unitário"},0),ROUND(ROUND(BM.MEDAcumulado,15-13*BM!$A$9)/100*BM!$I623,15-13*ORÇAMENTO!$AF$11),ROUND(ROUND(BM.MEDAcumulado,15-13*BM!$A$9)*ROUND(BM!$H623,15-13*ORÇAMENTO!$AF$10),15-13*ORÇAMENTO!$AF$11))),IF($A623=0,0,ROUND(SomaAgrupBM,15-13*ORÇAMENTO!$AF$11)))</f>
        <v>0</v>
      </c>
    </row>
    <row r="624" spans="1:41" x14ac:dyDescent="0.2">
      <c r="A624" t="str">
        <f ca="1">ORÇAMENTO!C624</f>
        <v>S</v>
      </c>
      <c r="B624">
        <f ca="1">ORÇAMENTO!D624</f>
        <v>0</v>
      </c>
      <c r="C624" s="116" t="str">
        <f t="shared" ca="1" si="44"/>
        <v/>
      </c>
      <c r="D624" s="119" t="str">
        <f ca="1">ORÇAMENTO!O624</f>
        <v>-</v>
      </c>
      <c r="E624" s="172" t="str">
        <f t="shared" ca="1" si="52"/>
        <v>(abra o arquivo 'Referência 06-2024.xlsm)</v>
      </c>
      <c r="F624" s="173" t="str">
        <f ca="1">IF(RegimeExecucao="Global","",ORÇAMENTO.Unidade)</f>
        <v/>
      </c>
      <c r="G624" s="124" t="str">
        <f ca="1">IF(RegimeExecucao="Global","",ORÇAMENTO!T624)</f>
        <v/>
      </c>
      <c r="H624" s="124" t="str">
        <f ca="1">IF(RegimeExecucao="Global","",ORÇAMENTO!W624)</f>
        <v/>
      </c>
      <c r="I624" s="127">
        <f ca="1">ORÇAMENTO!X624</f>
        <v>0</v>
      </c>
      <c r="J624" s="378">
        <f ca="1">IF($A624="S",IF(CAIXA.Modo,BM.AFAnterior,BM.MEDAnterior),IF(AND(RegimeExecucao="Global",$I624&gt;0,COUNTIF($AB$13:$AM$13,BM.medicao-1)&gt;0),M624/$I624*100,0))</f>
        <v>0</v>
      </c>
      <c r="K624" s="124">
        <f t="shared" ca="1" si="46"/>
        <v>0</v>
      </c>
      <c r="L624" s="379">
        <f ca="1">IF($A624="S",IF(CAIXA.Modo,BM.AFAcumulado,BM.MEDAcumulado),IF(AND(RegimeExecucao="Global",$I624&gt;0,COUNTIF($AB$13:$AM$13,BM.medicao)&gt;0),O624/$I624*100,0))</f>
        <v>0</v>
      </c>
      <c r="M624" s="380">
        <f ca="1">IF($A624="S",VTOTALBM,IF($A624=0,0,ROUND(SomaAgrupBM,15-13*ORÇAMENTO!$AF$11)))</f>
        <v>0</v>
      </c>
      <c r="N624" s="381">
        <f t="shared" ca="1" si="47"/>
        <v>0</v>
      </c>
      <c r="O624" s="127">
        <f ca="1">IF($A624="S",VTOTALBM,IF($A624=0,0,ROUND(SomaAgrupBM,15-13*ORÇAMENTO!$AF$11)))</f>
        <v>0</v>
      </c>
      <c r="Q624" s="382"/>
      <c r="R624" s="383"/>
      <c r="T624" s="119" t="str">
        <f t="shared" ca="1" si="48"/>
        <v/>
      </c>
      <c r="U624" s="172" t="str">
        <f t="shared" ca="1" si="49"/>
        <v/>
      </c>
      <c r="V624" s="173" t="str">
        <f ca="1">IF(AND($W624&gt;0,RegimeExecucao="Unitário"),$F624,"")</f>
        <v/>
      </c>
      <c r="W624" s="547">
        <f ca="1">IF($Y624&gt;0,CHOOSE(MATCH(RegimeExecucao,{"Unitário","Global"},0),IF($A624="S",$Y624/$X624,""),($Y624/$X624)*100),0)</f>
        <v>0</v>
      </c>
      <c r="X624" s="384" t="str">
        <f ca="1">IF($Y624&gt;0,CHOOSE(MATCH(RegimeExecucao,{"Unitário","Global"},0),IF($A624="S",ROUND($H624,ORÇAMENTO!$AF$10),""),ROUND($I624,ORÇAMENTO!$AF$11)),"")</f>
        <v/>
      </c>
      <c r="Y624" s="384">
        <f t="shared" ca="1" si="50"/>
        <v>0</v>
      </c>
      <c r="Z624" s="572"/>
      <c r="AB624" s="382"/>
      <c r="AC624" s="516"/>
      <c r="AD624" s="516"/>
      <c r="AE624" s="516"/>
      <c r="AF624" s="516"/>
      <c r="AG624" s="516"/>
      <c r="AH624" s="516"/>
      <c r="AI624" s="516"/>
      <c r="AJ624" s="516"/>
      <c r="AK624" s="516"/>
      <c r="AL624" s="516"/>
      <c r="AM624" s="383"/>
      <c r="AO624">
        <f ca="1">IF($A624="S",IF(BM!$I624=0,0,CHOOSE(MATCH(RegimeExecucao,{"Global","Unitário"},0),ROUND(ROUND(BM.MEDAcumulado,15-13*BM!$A$9)/100*BM!$I624,15-13*ORÇAMENTO!$AF$11),ROUND(ROUND(BM.MEDAcumulado,15-13*BM!$A$9)*ROUND(BM!$H624,15-13*ORÇAMENTO!$AF$10),15-13*ORÇAMENTO!$AF$11))),IF($A624=0,0,ROUND(SomaAgrupBM,15-13*ORÇAMENTO!$AF$11)))</f>
        <v>0</v>
      </c>
    </row>
    <row r="625" spans="1:41" x14ac:dyDescent="0.2">
      <c r="A625" t="str">
        <f ca="1">ORÇAMENTO!C625</f>
        <v>S</v>
      </c>
      <c r="B625">
        <f ca="1">ORÇAMENTO!D625</f>
        <v>0</v>
      </c>
      <c r="C625" s="116" t="str">
        <f t="shared" ca="1" si="44"/>
        <v/>
      </c>
      <c r="D625" s="119" t="str">
        <f ca="1">ORÇAMENTO!O625</f>
        <v>-</v>
      </c>
      <c r="E625" s="172" t="str">
        <f t="shared" ca="1" si="52"/>
        <v>(abra o arquivo 'Referência 06-2024.xlsm)</v>
      </c>
      <c r="F625" s="173" t="str">
        <f ca="1">IF(RegimeExecucao="Global","",ORÇAMENTO.Unidade)</f>
        <v/>
      </c>
      <c r="G625" s="124" t="str">
        <f ca="1">IF(RegimeExecucao="Global","",ORÇAMENTO!T625)</f>
        <v/>
      </c>
      <c r="H625" s="124" t="str">
        <f ca="1">IF(RegimeExecucao="Global","",ORÇAMENTO!W625)</f>
        <v/>
      </c>
      <c r="I625" s="127">
        <f ca="1">ORÇAMENTO!X625</f>
        <v>0</v>
      </c>
      <c r="J625" s="378">
        <f ca="1">IF($A625="S",IF(CAIXA.Modo,BM.AFAnterior,BM.MEDAnterior),IF(AND(RegimeExecucao="Global",$I625&gt;0,COUNTIF($AB$13:$AM$13,BM.medicao-1)&gt;0),M625/$I625*100,0))</f>
        <v>0</v>
      </c>
      <c r="K625" s="124">
        <f t="shared" ca="1" si="46"/>
        <v>0</v>
      </c>
      <c r="L625" s="379">
        <f ca="1">IF($A625="S",IF(CAIXA.Modo,BM.AFAcumulado,BM.MEDAcumulado),IF(AND(RegimeExecucao="Global",$I625&gt;0,COUNTIF($AB$13:$AM$13,BM.medicao)&gt;0),O625/$I625*100,0))</f>
        <v>0</v>
      </c>
      <c r="M625" s="380">
        <f ca="1">IF($A625="S",VTOTALBM,IF($A625=0,0,ROUND(SomaAgrupBM,15-13*ORÇAMENTO!$AF$11)))</f>
        <v>0</v>
      </c>
      <c r="N625" s="381">
        <f t="shared" ca="1" si="47"/>
        <v>0</v>
      </c>
      <c r="O625" s="127">
        <f ca="1">IF($A625="S",VTOTALBM,IF($A625=0,0,ROUND(SomaAgrupBM,15-13*ORÇAMENTO!$AF$11)))</f>
        <v>0</v>
      </c>
      <c r="Q625" s="382"/>
      <c r="R625" s="383"/>
      <c r="T625" s="119" t="str">
        <f t="shared" ca="1" si="48"/>
        <v/>
      </c>
      <c r="U625" s="172" t="str">
        <f t="shared" ca="1" si="49"/>
        <v/>
      </c>
      <c r="V625" s="173" t="str">
        <f ca="1">IF(AND($W625&gt;0,RegimeExecucao="Unitário"),$F625,"")</f>
        <v/>
      </c>
      <c r="W625" s="547">
        <f ca="1">IF($Y625&gt;0,CHOOSE(MATCH(RegimeExecucao,{"Unitário","Global"},0),IF($A625="S",$Y625/$X625,""),($Y625/$X625)*100),0)</f>
        <v>0</v>
      </c>
      <c r="X625" s="384" t="str">
        <f ca="1">IF($Y625&gt;0,CHOOSE(MATCH(RegimeExecucao,{"Unitário","Global"},0),IF($A625="S",ROUND($H625,ORÇAMENTO!$AF$10),""),ROUND($I625,ORÇAMENTO!$AF$11)),"")</f>
        <v/>
      </c>
      <c r="Y625" s="384">
        <f t="shared" ca="1" si="50"/>
        <v>0</v>
      </c>
      <c r="Z625" s="572"/>
      <c r="AB625" s="382"/>
      <c r="AC625" s="516"/>
      <c r="AD625" s="516"/>
      <c r="AE625" s="516"/>
      <c r="AF625" s="516"/>
      <c r="AG625" s="516"/>
      <c r="AH625" s="516"/>
      <c r="AI625" s="516"/>
      <c r="AJ625" s="516"/>
      <c r="AK625" s="516"/>
      <c r="AL625" s="516"/>
      <c r="AM625" s="383"/>
      <c r="AO625">
        <f ca="1">IF($A625="S",IF(BM!$I625=0,0,CHOOSE(MATCH(RegimeExecucao,{"Global","Unitário"},0),ROUND(ROUND(BM.MEDAcumulado,15-13*BM!$A$9)/100*BM!$I625,15-13*ORÇAMENTO!$AF$11),ROUND(ROUND(BM.MEDAcumulado,15-13*BM!$A$9)*ROUND(BM!$H625,15-13*ORÇAMENTO!$AF$10),15-13*ORÇAMENTO!$AF$11))),IF($A625=0,0,ROUND(SomaAgrupBM,15-13*ORÇAMENTO!$AF$11)))</f>
        <v>0</v>
      </c>
    </row>
    <row r="626" spans="1:41" ht="25.5" x14ac:dyDescent="0.2">
      <c r="A626" t="str">
        <f ca="1">ORÇAMENTO!C626</f>
        <v>S</v>
      </c>
      <c r="B626">
        <f ca="1">ORÇAMENTO!D626</f>
        <v>0</v>
      </c>
      <c r="C626" s="116" t="str">
        <f t="shared" ca="1" si="44"/>
        <v/>
      </c>
      <c r="D626" s="119" t="str">
        <f ca="1">ORÇAMENTO!O626</f>
        <v>-</v>
      </c>
      <c r="E626" s="172" t="str">
        <f t="shared" ca="1" si="52"/>
        <v>(abra o arquivo 'Referência 06-2024.xlsm)</v>
      </c>
      <c r="F626" s="173" t="str">
        <f ca="1">IF(RegimeExecucao="Global","",ORÇAMENTO.Unidade)</f>
        <v/>
      </c>
      <c r="G626" s="124" t="str">
        <f ca="1">IF(RegimeExecucao="Global","",ORÇAMENTO!T626)</f>
        <v/>
      </c>
      <c r="H626" s="124" t="str">
        <f ca="1">IF(RegimeExecucao="Global","",ORÇAMENTO!W626)</f>
        <v/>
      </c>
      <c r="I626" s="127">
        <f ca="1">ORÇAMENTO!X626</f>
        <v>0</v>
      </c>
      <c r="J626" s="378">
        <f ca="1">IF($A626="S",IF(CAIXA.Modo,BM.AFAnterior,BM.MEDAnterior),IF(AND(RegimeExecucao="Global",$I626&gt;0,COUNTIF($AB$13:$AM$13,BM.medicao-1)&gt;0),M626/$I626*100,0))</f>
        <v>0</v>
      </c>
      <c r="K626" s="124">
        <f t="shared" ca="1" si="46"/>
        <v>0</v>
      </c>
      <c r="L626" s="379">
        <f ca="1">IF($A626="S",IF(CAIXA.Modo,BM.AFAcumulado,BM.MEDAcumulado),IF(AND(RegimeExecucao="Global",$I626&gt;0,COUNTIF($AB$13:$AM$13,BM.medicao)&gt;0),O626/$I626*100,0))</f>
        <v>0</v>
      </c>
      <c r="M626" s="380">
        <f ca="1">IF($A626="S",VTOTALBM,IF($A626=0,0,ROUND(SomaAgrupBM,15-13*ORÇAMENTO!$AF$11)))</f>
        <v>0</v>
      </c>
      <c r="N626" s="381">
        <f t="shared" ca="1" si="47"/>
        <v>0</v>
      </c>
      <c r="O626" s="127">
        <f ca="1">IF($A626="S",VTOTALBM,IF($A626=0,0,ROUND(SomaAgrupBM,15-13*ORÇAMENTO!$AF$11)))</f>
        <v>0</v>
      </c>
      <c r="Q626" s="382"/>
      <c r="R626" s="383"/>
      <c r="T626" s="119" t="str">
        <f t="shared" ca="1" si="48"/>
        <v/>
      </c>
      <c r="U626" s="172" t="str">
        <f t="shared" ca="1" si="49"/>
        <v/>
      </c>
      <c r="V626" s="173" t="str">
        <f ca="1">IF(AND($W626&gt;0,RegimeExecucao="Unitário"),$F626,"")</f>
        <v/>
      </c>
      <c r="W626" s="547">
        <f ca="1">IF($Y626&gt;0,CHOOSE(MATCH(RegimeExecucao,{"Unitário","Global"},0),IF($A626="S",$Y626/$X626,""),($Y626/$X626)*100),0)</f>
        <v>0</v>
      </c>
      <c r="X626" s="384" t="str">
        <f ca="1">IF($Y626&gt;0,CHOOSE(MATCH(RegimeExecucao,{"Unitário","Global"},0),IF($A626="S",ROUND($H626,ORÇAMENTO!$AF$10),""),ROUND($I626,ORÇAMENTO!$AF$11)),"")</f>
        <v/>
      </c>
      <c r="Y626" s="384">
        <f t="shared" ca="1" si="50"/>
        <v>0</v>
      </c>
      <c r="Z626" s="572"/>
      <c r="AB626" s="382"/>
      <c r="AC626" s="516"/>
      <c r="AD626" s="516"/>
      <c r="AE626" s="516"/>
      <c r="AF626" s="516"/>
      <c r="AG626" s="516"/>
      <c r="AH626" s="516"/>
      <c r="AI626" s="516"/>
      <c r="AJ626" s="516"/>
      <c r="AK626" s="516"/>
      <c r="AL626" s="516"/>
      <c r="AM626" s="383"/>
      <c r="AO626">
        <f ca="1">IF($A626="S",IF(BM!$I626=0,0,CHOOSE(MATCH(RegimeExecucao,{"Global","Unitário"},0),ROUND(ROUND(BM.MEDAcumulado,15-13*BM!$A$9)/100*BM!$I626,15-13*ORÇAMENTO!$AF$11),ROUND(ROUND(BM.MEDAcumulado,15-13*BM!$A$9)*ROUND(BM!$H626,15-13*ORÇAMENTO!$AF$10),15-13*ORÇAMENTO!$AF$11))),IF($A626=0,0,ROUND(SomaAgrupBM,15-13*ORÇAMENTO!$AF$11)))</f>
        <v>0</v>
      </c>
    </row>
    <row r="627" spans="1:41" x14ac:dyDescent="0.2">
      <c r="A627" t="str">
        <f ca="1">ORÇAMENTO!C627</f>
        <v>S</v>
      </c>
      <c r="B627">
        <f ca="1">ORÇAMENTO!D627</f>
        <v>0</v>
      </c>
      <c r="C627" s="116" t="str">
        <f t="shared" ca="1" si="44"/>
        <v/>
      </c>
      <c r="D627" s="119" t="str">
        <f ca="1">ORÇAMENTO!O627</f>
        <v>-</v>
      </c>
      <c r="E627" s="172" t="str">
        <f t="shared" ca="1" si="52"/>
        <v>(abra o arquivo 'Referência 06-2024.xlsm)</v>
      </c>
      <c r="F627" s="173" t="str">
        <f ca="1">IF(RegimeExecucao="Global","",ORÇAMENTO.Unidade)</f>
        <v/>
      </c>
      <c r="G627" s="124" t="str">
        <f ca="1">IF(RegimeExecucao="Global","",ORÇAMENTO!T627)</f>
        <v/>
      </c>
      <c r="H627" s="124" t="str">
        <f ca="1">IF(RegimeExecucao="Global","",ORÇAMENTO!W627)</f>
        <v/>
      </c>
      <c r="I627" s="127">
        <f ca="1">ORÇAMENTO!X627</f>
        <v>0</v>
      </c>
      <c r="J627" s="378">
        <f ca="1">IF($A627="S",IF(CAIXA.Modo,BM.AFAnterior,BM.MEDAnterior),IF(AND(RegimeExecucao="Global",$I627&gt;0,COUNTIF($AB$13:$AM$13,BM.medicao-1)&gt;0),M627/$I627*100,0))</f>
        <v>0</v>
      </c>
      <c r="K627" s="124">
        <f t="shared" ca="1" si="46"/>
        <v>0</v>
      </c>
      <c r="L627" s="379">
        <f ca="1">IF($A627="S",IF(CAIXA.Modo,BM.AFAcumulado,BM.MEDAcumulado),IF(AND(RegimeExecucao="Global",$I627&gt;0,COUNTIF($AB$13:$AM$13,BM.medicao)&gt;0),O627/$I627*100,0))</f>
        <v>0</v>
      </c>
      <c r="M627" s="380">
        <f ca="1">IF($A627="S",VTOTALBM,IF($A627=0,0,ROUND(SomaAgrupBM,15-13*ORÇAMENTO!$AF$11)))</f>
        <v>0</v>
      </c>
      <c r="N627" s="381">
        <f t="shared" ca="1" si="47"/>
        <v>0</v>
      </c>
      <c r="O627" s="127">
        <f ca="1">IF($A627="S",VTOTALBM,IF($A627=0,0,ROUND(SomaAgrupBM,15-13*ORÇAMENTO!$AF$11)))</f>
        <v>0</v>
      </c>
      <c r="Q627" s="382"/>
      <c r="R627" s="383"/>
      <c r="T627" s="119" t="str">
        <f t="shared" ca="1" si="48"/>
        <v/>
      </c>
      <c r="U627" s="172" t="str">
        <f t="shared" ca="1" si="49"/>
        <v/>
      </c>
      <c r="V627" s="173" t="str">
        <f ca="1">IF(AND($W627&gt;0,RegimeExecucao="Unitário"),$F627,"")</f>
        <v/>
      </c>
      <c r="W627" s="547">
        <f ca="1">IF($Y627&gt;0,CHOOSE(MATCH(RegimeExecucao,{"Unitário","Global"},0),IF($A627="S",$Y627/$X627,""),($Y627/$X627)*100),0)</f>
        <v>0</v>
      </c>
      <c r="X627" s="384" t="str">
        <f ca="1">IF($Y627&gt;0,CHOOSE(MATCH(RegimeExecucao,{"Unitário","Global"},0),IF($A627="S",ROUND($H627,ORÇAMENTO!$AF$10),""),ROUND($I627,ORÇAMENTO!$AF$11)),"")</f>
        <v/>
      </c>
      <c r="Y627" s="384">
        <f t="shared" ca="1" si="50"/>
        <v>0</v>
      </c>
      <c r="Z627" s="572"/>
      <c r="AB627" s="382"/>
      <c r="AC627" s="516"/>
      <c r="AD627" s="516"/>
      <c r="AE627" s="516"/>
      <c r="AF627" s="516"/>
      <c r="AG627" s="516"/>
      <c r="AH627" s="516"/>
      <c r="AI627" s="516"/>
      <c r="AJ627" s="516"/>
      <c r="AK627" s="516"/>
      <c r="AL627" s="516"/>
      <c r="AM627" s="383"/>
      <c r="AO627">
        <f ca="1">IF($A627="S",IF(BM!$I627=0,0,CHOOSE(MATCH(RegimeExecucao,{"Global","Unitário"},0),ROUND(ROUND(BM.MEDAcumulado,15-13*BM!$A$9)/100*BM!$I627,15-13*ORÇAMENTO!$AF$11),ROUND(ROUND(BM.MEDAcumulado,15-13*BM!$A$9)*ROUND(BM!$H627,15-13*ORÇAMENTO!$AF$10),15-13*ORÇAMENTO!$AF$11))),IF($A627=0,0,ROUND(SomaAgrupBM,15-13*ORÇAMENTO!$AF$11)))</f>
        <v>0</v>
      </c>
    </row>
    <row r="628" spans="1:41" x14ac:dyDescent="0.2">
      <c r="A628">
        <f ca="1">ORÇAMENTO!C628</f>
        <v>2</v>
      </c>
      <c r="B628">
        <f ca="1">ORÇAMENTO!D628</f>
        <v>8</v>
      </c>
      <c r="C628" s="116" t="str">
        <f t="shared" ca="1" si="44"/>
        <v>F</v>
      </c>
      <c r="D628" s="119" t="str">
        <f ca="1">ORÇAMENTO!O628</f>
        <v>1.65.</v>
      </c>
      <c r="E628" s="172" t="str">
        <f t="shared" si="52"/>
        <v>INSTALAÇÕES DE CABEAMENTO ESTRUTURADO - ACESSÓRIOS</v>
      </c>
      <c r="F628" s="173" t="str">
        <f ca="1">IF(RegimeExecucao="Global","",ORÇAMENTO.Unidade)</f>
        <v/>
      </c>
      <c r="G628" s="124" t="str">
        <f ca="1">IF(RegimeExecucao="Global","",ORÇAMENTO!T628)</f>
        <v/>
      </c>
      <c r="H628" s="124" t="str">
        <f ca="1">IF(RegimeExecucao="Global","",ORÇAMENTO!W628)</f>
        <v/>
      </c>
      <c r="I628" s="127">
        <f ca="1">ORÇAMENTO!X628</f>
        <v>0</v>
      </c>
      <c r="J628" s="378">
        <f ca="1">IF($A628="S",IF(CAIXA.Modo,BM.AFAnterior,BM.MEDAnterior),IF(AND(RegimeExecucao="Global",$I628&gt;0,COUNTIF($AB$13:$AM$13,BM.medicao-1)&gt;0),M628/$I628*100,0))</f>
        <v>0</v>
      </c>
      <c r="K628" s="124">
        <f t="shared" ca="1" si="46"/>
        <v>0</v>
      </c>
      <c r="L628" s="379">
        <f ca="1">IF($A628="S",IF(CAIXA.Modo,BM.AFAcumulado,BM.MEDAcumulado),IF(AND(RegimeExecucao="Global",$I628&gt;0,COUNTIF($AB$13:$AM$13,BM.medicao)&gt;0),O628/$I628*100,0))</f>
        <v>0</v>
      </c>
      <c r="M628" s="380">
        <f ca="1">IF($A628="S",VTOTALBM,IF($A628=0,0,ROUND(SomaAgrupBM,15-13*ORÇAMENTO!$AF$11)))</f>
        <v>0</v>
      </c>
      <c r="N628" s="381">
        <f t="shared" ca="1" si="47"/>
        <v>0</v>
      </c>
      <c r="O628" s="127">
        <f ca="1">IF($A628="S",VTOTALBM,IF($A628=0,0,ROUND(SomaAgrupBM,15-13*ORÇAMENTO!$AF$11)))</f>
        <v>0</v>
      </c>
      <c r="Q628" s="382"/>
      <c r="R628" s="383"/>
      <c r="T628" s="119" t="str">
        <f t="shared" ca="1" si="48"/>
        <v/>
      </c>
      <c r="U628" s="172" t="str">
        <f t="shared" ca="1" si="49"/>
        <v/>
      </c>
      <c r="V628" s="173" t="str">
        <f ca="1">IF(AND($W628&gt;0,RegimeExecucao="Unitário"),$F628,"")</f>
        <v/>
      </c>
      <c r="W628" s="547">
        <f ca="1">IF($Y628&gt;0,CHOOSE(MATCH(RegimeExecucao,{"Unitário","Global"},0),IF($A628="S",$Y628/$X628,""),($Y628/$X628)*100),0)</f>
        <v>0</v>
      </c>
      <c r="X628" s="384" t="str">
        <f ca="1">IF($Y628&gt;0,CHOOSE(MATCH(RegimeExecucao,{"Unitário","Global"},0),IF($A628="S",ROUND($H628,ORÇAMENTO!$AF$10),""),ROUND($I628,ORÇAMENTO!$AF$11)),"")</f>
        <v/>
      </c>
      <c r="Y628" s="384">
        <f t="shared" ca="1" si="50"/>
        <v>0</v>
      </c>
      <c r="Z628" s="572"/>
      <c r="AB628" s="382"/>
      <c r="AC628" s="516"/>
      <c r="AD628" s="516"/>
      <c r="AE628" s="516"/>
      <c r="AF628" s="516"/>
      <c r="AG628" s="516"/>
      <c r="AH628" s="516"/>
      <c r="AI628" s="516"/>
      <c r="AJ628" s="516"/>
      <c r="AK628" s="516"/>
      <c r="AL628" s="516"/>
      <c r="AM628" s="383"/>
      <c r="AO628">
        <f ca="1">IF($A628="S",IF(BM!$I628=0,0,CHOOSE(MATCH(RegimeExecucao,{"Global","Unitário"},0),ROUND(ROUND(BM.MEDAcumulado,15-13*BM!$A$9)/100*BM!$I628,15-13*ORÇAMENTO!$AF$11),ROUND(ROUND(BM.MEDAcumulado,15-13*BM!$A$9)*ROUND(BM!$H628,15-13*ORÇAMENTO!$AF$10),15-13*ORÇAMENTO!$AF$11))),IF($A628=0,0,ROUND(SomaAgrupBM,15-13*ORÇAMENTO!$AF$11)))</f>
        <v>0</v>
      </c>
    </row>
    <row r="629" spans="1:41" ht="38.25" x14ac:dyDescent="0.2">
      <c r="A629" t="str">
        <f ca="1">ORÇAMENTO!C629</f>
        <v>S</v>
      </c>
      <c r="B629">
        <f ca="1">ORÇAMENTO!D629</f>
        <v>0</v>
      </c>
      <c r="C629" s="116" t="str">
        <f t="shared" ca="1" si="44"/>
        <v/>
      </c>
      <c r="D629" s="119" t="str">
        <f ca="1">ORÇAMENTO!O629</f>
        <v>-</v>
      </c>
      <c r="E629" s="172" t="str">
        <f t="shared" ca="1" si="52"/>
        <v>(abra o arquivo 'Referência 06-2024.xlsm)</v>
      </c>
      <c r="F629" s="173" t="str">
        <f ca="1">IF(RegimeExecucao="Global","",ORÇAMENTO.Unidade)</f>
        <v/>
      </c>
      <c r="G629" s="124" t="str">
        <f ca="1">IF(RegimeExecucao="Global","",ORÇAMENTO!T629)</f>
        <v/>
      </c>
      <c r="H629" s="124" t="str">
        <f ca="1">IF(RegimeExecucao="Global","",ORÇAMENTO!W629)</f>
        <v/>
      </c>
      <c r="I629" s="127">
        <f ca="1">ORÇAMENTO!X629</f>
        <v>0</v>
      </c>
      <c r="J629" s="378">
        <f ca="1">IF($A629="S",IF(CAIXA.Modo,BM.AFAnterior,BM.MEDAnterior),IF(AND(RegimeExecucao="Global",$I629&gt;0,COUNTIF($AB$13:$AM$13,BM.medicao-1)&gt;0),M629/$I629*100,0))</f>
        <v>0</v>
      </c>
      <c r="K629" s="124">
        <f t="shared" ca="1" si="46"/>
        <v>0</v>
      </c>
      <c r="L629" s="379">
        <f ca="1">IF($A629="S",IF(CAIXA.Modo,BM.AFAcumulado,BM.MEDAcumulado),IF(AND(RegimeExecucao="Global",$I629&gt;0,COUNTIF($AB$13:$AM$13,BM.medicao)&gt;0),O629/$I629*100,0))</f>
        <v>0</v>
      </c>
      <c r="M629" s="380">
        <f ca="1">IF($A629="S",VTOTALBM,IF($A629=0,0,ROUND(SomaAgrupBM,15-13*ORÇAMENTO!$AF$11)))</f>
        <v>0</v>
      </c>
      <c r="N629" s="381">
        <f t="shared" ca="1" si="47"/>
        <v>0</v>
      </c>
      <c r="O629" s="127">
        <f ca="1">IF($A629="S",VTOTALBM,IF($A629=0,0,ROUND(SomaAgrupBM,15-13*ORÇAMENTO!$AF$11)))</f>
        <v>0</v>
      </c>
      <c r="Q629" s="382"/>
      <c r="R629" s="383"/>
      <c r="T629" s="119" t="str">
        <f t="shared" ca="1" si="48"/>
        <v/>
      </c>
      <c r="U629" s="172" t="str">
        <f t="shared" ca="1" si="49"/>
        <v/>
      </c>
      <c r="V629" s="173" t="str">
        <f ca="1">IF(AND($W629&gt;0,RegimeExecucao="Unitário"),$F629,"")</f>
        <v/>
      </c>
      <c r="W629" s="547">
        <f ca="1">IF($Y629&gt;0,CHOOSE(MATCH(RegimeExecucao,{"Unitário","Global"},0),IF($A629="S",$Y629/$X629,""),($Y629/$X629)*100),0)</f>
        <v>0</v>
      </c>
      <c r="X629" s="384" t="str">
        <f ca="1">IF($Y629&gt;0,CHOOSE(MATCH(RegimeExecucao,{"Unitário","Global"},0),IF($A629="S",ROUND($H629,ORÇAMENTO!$AF$10),""),ROUND($I629,ORÇAMENTO!$AF$11)),"")</f>
        <v/>
      </c>
      <c r="Y629" s="384">
        <f t="shared" ca="1" si="50"/>
        <v>0</v>
      </c>
      <c r="Z629" s="572"/>
      <c r="AB629" s="382"/>
      <c r="AC629" s="516"/>
      <c r="AD629" s="516"/>
      <c r="AE629" s="516"/>
      <c r="AF629" s="516"/>
      <c r="AG629" s="516"/>
      <c r="AH629" s="516"/>
      <c r="AI629" s="516"/>
      <c r="AJ629" s="516"/>
      <c r="AK629" s="516"/>
      <c r="AL629" s="516"/>
      <c r="AM629" s="383"/>
      <c r="AO629">
        <f ca="1">IF($A629="S",IF(BM!$I629=0,0,CHOOSE(MATCH(RegimeExecucao,{"Global","Unitário"},0),ROUND(ROUND(BM.MEDAcumulado,15-13*BM!$A$9)/100*BM!$I629,15-13*ORÇAMENTO!$AF$11),ROUND(ROUND(BM.MEDAcumulado,15-13*BM!$A$9)*ROUND(BM!$H629,15-13*ORÇAMENTO!$AF$10),15-13*ORÇAMENTO!$AF$11))),IF($A629=0,0,ROUND(SomaAgrupBM,15-13*ORÇAMENTO!$AF$11)))</f>
        <v>0</v>
      </c>
    </row>
    <row r="630" spans="1:41" x14ac:dyDescent="0.2">
      <c r="A630" t="str">
        <f ca="1">ORÇAMENTO!C630</f>
        <v>S</v>
      </c>
      <c r="B630">
        <f ca="1">ORÇAMENTO!D630</f>
        <v>0</v>
      </c>
      <c r="C630" s="116" t="str">
        <f t="shared" ca="1" si="44"/>
        <v/>
      </c>
      <c r="D630" s="119" t="str">
        <f ca="1">ORÇAMENTO!O630</f>
        <v>-</v>
      </c>
      <c r="E630" s="172" t="str">
        <f t="shared" ca="1" si="52"/>
        <v>(abra o arquivo 'Referência 06-2024.xlsm)</v>
      </c>
      <c r="F630" s="173" t="str">
        <f ca="1">IF(RegimeExecucao="Global","",ORÇAMENTO.Unidade)</f>
        <v/>
      </c>
      <c r="G630" s="124" t="str">
        <f ca="1">IF(RegimeExecucao="Global","",ORÇAMENTO!T630)</f>
        <v/>
      </c>
      <c r="H630" s="124" t="str">
        <f ca="1">IF(RegimeExecucao="Global","",ORÇAMENTO!W630)</f>
        <v/>
      </c>
      <c r="I630" s="127">
        <f ca="1">ORÇAMENTO!X630</f>
        <v>0</v>
      </c>
      <c r="J630" s="378">
        <f ca="1">IF($A630="S",IF(CAIXA.Modo,BM.AFAnterior,BM.MEDAnterior),IF(AND(RegimeExecucao="Global",$I630&gt;0,COUNTIF($AB$13:$AM$13,BM.medicao-1)&gt;0),M630/$I630*100,0))</f>
        <v>0</v>
      </c>
      <c r="K630" s="124">
        <f t="shared" ca="1" si="46"/>
        <v>0</v>
      </c>
      <c r="L630" s="379">
        <f ca="1">IF($A630="S",IF(CAIXA.Modo,BM.AFAcumulado,BM.MEDAcumulado),IF(AND(RegimeExecucao="Global",$I630&gt;0,COUNTIF($AB$13:$AM$13,BM.medicao)&gt;0),O630/$I630*100,0))</f>
        <v>0</v>
      </c>
      <c r="M630" s="380">
        <f ca="1">IF($A630="S",VTOTALBM,IF($A630=0,0,ROUND(SomaAgrupBM,15-13*ORÇAMENTO!$AF$11)))</f>
        <v>0</v>
      </c>
      <c r="N630" s="381">
        <f t="shared" ca="1" si="47"/>
        <v>0</v>
      </c>
      <c r="O630" s="127">
        <f ca="1">IF($A630="S",VTOTALBM,IF($A630=0,0,ROUND(SomaAgrupBM,15-13*ORÇAMENTO!$AF$11)))</f>
        <v>0</v>
      </c>
      <c r="Q630" s="382"/>
      <c r="R630" s="383"/>
      <c r="T630" s="119" t="str">
        <f t="shared" ca="1" si="48"/>
        <v/>
      </c>
      <c r="U630" s="172" t="str">
        <f t="shared" ca="1" si="49"/>
        <v/>
      </c>
      <c r="V630" s="173" t="str">
        <f ca="1">IF(AND($W630&gt;0,RegimeExecucao="Unitário"),$F630,"")</f>
        <v/>
      </c>
      <c r="W630" s="547">
        <f ca="1">IF($Y630&gt;0,CHOOSE(MATCH(RegimeExecucao,{"Unitário","Global"},0),IF($A630="S",$Y630/$X630,""),($Y630/$X630)*100),0)</f>
        <v>0</v>
      </c>
      <c r="X630" s="384" t="str">
        <f ca="1">IF($Y630&gt;0,CHOOSE(MATCH(RegimeExecucao,{"Unitário","Global"},0),IF($A630="S",ROUND($H630,ORÇAMENTO!$AF$10),""),ROUND($I630,ORÇAMENTO!$AF$11)),"")</f>
        <v/>
      </c>
      <c r="Y630" s="384">
        <f t="shared" ca="1" si="50"/>
        <v>0</v>
      </c>
      <c r="Z630" s="572"/>
      <c r="AB630" s="382"/>
      <c r="AC630" s="516"/>
      <c r="AD630" s="516"/>
      <c r="AE630" s="516"/>
      <c r="AF630" s="516"/>
      <c r="AG630" s="516"/>
      <c r="AH630" s="516"/>
      <c r="AI630" s="516"/>
      <c r="AJ630" s="516"/>
      <c r="AK630" s="516"/>
      <c r="AL630" s="516"/>
      <c r="AM630" s="383"/>
      <c r="AO630">
        <f ca="1">IF($A630="S",IF(BM!$I630=0,0,CHOOSE(MATCH(RegimeExecucao,{"Global","Unitário"},0),ROUND(ROUND(BM.MEDAcumulado,15-13*BM!$A$9)/100*BM!$I630,15-13*ORÇAMENTO!$AF$11),ROUND(ROUND(BM.MEDAcumulado,15-13*BM!$A$9)*ROUND(BM!$H630,15-13*ORÇAMENTO!$AF$10),15-13*ORÇAMENTO!$AF$11))),IF($A630=0,0,ROUND(SomaAgrupBM,15-13*ORÇAMENTO!$AF$11)))</f>
        <v>0</v>
      </c>
    </row>
    <row r="631" spans="1:41" x14ac:dyDescent="0.2">
      <c r="A631" t="str">
        <f ca="1">ORÇAMENTO!C631</f>
        <v>S</v>
      </c>
      <c r="B631">
        <f ca="1">ORÇAMENTO!D631</f>
        <v>0</v>
      </c>
      <c r="C631" s="116" t="str">
        <f t="shared" ca="1" si="44"/>
        <v/>
      </c>
      <c r="D631" s="119" t="str">
        <f ca="1">ORÇAMENTO!O631</f>
        <v>-</v>
      </c>
      <c r="E631" s="172" t="str">
        <f t="shared" ca="1" si="52"/>
        <v>(abra o arquivo 'Referência 06-2024.xlsm)</v>
      </c>
      <c r="F631" s="173" t="str">
        <f ca="1">IF(RegimeExecucao="Global","",ORÇAMENTO.Unidade)</f>
        <v/>
      </c>
      <c r="G631" s="124" t="str">
        <f ca="1">IF(RegimeExecucao="Global","",ORÇAMENTO!T631)</f>
        <v/>
      </c>
      <c r="H631" s="124" t="str">
        <f ca="1">IF(RegimeExecucao="Global","",ORÇAMENTO!W631)</f>
        <v/>
      </c>
      <c r="I631" s="127">
        <f ca="1">ORÇAMENTO!X631</f>
        <v>0</v>
      </c>
      <c r="J631" s="378">
        <f ca="1">IF($A631="S",IF(CAIXA.Modo,BM.AFAnterior,BM.MEDAnterior),IF(AND(RegimeExecucao="Global",$I631&gt;0,COUNTIF($AB$13:$AM$13,BM.medicao-1)&gt;0),M631/$I631*100,0))</f>
        <v>0</v>
      </c>
      <c r="K631" s="124">
        <f t="shared" ca="1" si="46"/>
        <v>0</v>
      </c>
      <c r="L631" s="379">
        <f ca="1">IF($A631="S",IF(CAIXA.Modo,BM.AFAcumulado,BM.MEDAcumulado),IF(AND(RegimeExecucao="Global",$I631&gt;0,COUNTIF($AB$13:$AM$13,BM.medicao)&gt;0),O631/$I631*100,0))</f>
        <v>0</v>
      </c>
      <c r="M631" s="380">
        <f ca="1">IF($A631="S",VTOTALBM,IF($A631=0,0,ROUND(SomaAgrupBM,15-13*ORÇAMENTO!$AF$11)))</f>
        <v>0</v>
      </c>
      <c r="N631" s="381">
        <f t="shared" ca="1" si="47"/>
        <v>0</v>
      </c>
      <c r="O631" s="127">
        <f ca="1">IF($A631="S",VTOTALBM,IF($A631=0,0,ROUND(SomaAgrupBM,15-13*ORÇAMENTO!$AF$11)))</f>
        <v>0</v>
      </c>
      <c r="Q631" s="382"/>
      <c r="R631" s="383"/>
      <c r="T631" s="119" t="str">
        <f t="shared" ca="1" si="48"/>
        <v/>
      </c>
      <c r="U631" s="172" t="str">
        <f t="shared" ca="1" si="49"/>
        <v/>
      </c>
      <c r="V631" s="173" t="str">
        <f ca="1">IF(AND($W631&gt;0,RegimeExecucao="Unitário"),$F631,"")</f>
        <v/>
      </c>
      <c r="W631" s="547">
        <f ca="1">IF($Y631&gt;0,CHOOSE(MATCH(RegimeExecucao,{"Unitário","Global"},0),IF($A631="S",$Y631/$X631,""),($Y631/$X631)*100),0)</f>
        <v>0</v>
      </c>
      <c r="X631" s="384" t="str">
        <f ca="1">IF($Y631&gt;0,CHOOSE(MATCH(RegimeExecucao,{"Unitário","Global"},0),IF($A631="S",ROUND($H631,ORÇAMENTO!$AF$10),""),ROUND($I631,ORÇAMENTO!$AF$11)),"")</f>
        <v/>
      </c>
      <c r="Y631" s="384">
        <f t="shared" ca="1" si="50"/>
        <v>0</v>
      </c>
      <c r="Z631" s="572"/>
      <c r="AB631" s="382"/>
      <c r="AC631" s="516"/>
      <c r="AD631" s="516"/>
      <c r="AE631" s="516"/>
      <c r="AF631" s="516"/>
      <c r="AG631" s="516"/>
      <c r="AH631" s="516"/>
      <c r="AI631" s="516"/>
      <c r="AJ631" s="516"/>
      <c r="AK631" s="516"/>
      <c r="AL631" s="516"/>
      <c r="AM631" s="383"/>
      <c r="AO631">
        <f ca="1">IF($A631="S",IF(BM!$I631=0,0,CHOOSE(MATCH(RegimeExecucao,{"Global","Unitário"},0),ROUND(ROUND(BM.MEDAcumulado,15-13*BM!$A$9)/100*BM!$I631,15-13*ORÇAMENTO!$AF$11),ROUND(ROUND(BM.MEDAcumulado,15-13*BM!$A$9)*ROUND(BM!$H631,15-13*ORÇAMENTO!$AF$10),15-13*ORÇAMENTO!$AF$11))),IF($A631=0,0,ROUND(SomaAgrupBM,15-13*ORÇAMENTO!$AF$11)))</f>
        <v>0</v>
      </c>
    </row>
    <row r="632" spans="1:41" ht="25.5" x14ac:dyDescent="0.2">
      <c r="A632" t="str">
        <f ca="1">ORÇAMENTO!C632</f>
        <v>S</v>
      </c>
      <c r="B632">
        <f ca="1">ORÇAMENTO!D632</f>
        <v>0</v>
      </c>
      <c r="C632" s="116" t="str">
        <f t="shared" ca="1" si="44"/>
        <v/>
      </c>
      <c r="D632" s="119" t="str">
        <f ca="1">ORÇAMENTO!O632</f>
        <v>-</v>
      </c>
      <c r="E632" s="172" t="str">
        <f t="shared" ca="1" si="52"/>
        <v>(abra o arquivo 'Referência 06-2024.xlsm)</v>
      </c>
      <c r="F632" s="173" t="str">
        <f ca="1">IF(RegimeExecucao="Global","",ORÇAMENTO.Unidade)</f>
        <v/>
      </c>
      <c r="G632" s="124" t="str">
        <f ca="1">IF(RegimeExecucao="Global","",ORÇAMENTO!T632)</f>
        <v/>
      </c>
      <c r="H632" s="124" t="str">
        <f ca="1">IF(RegimeExecucao="Global","",ORÇAMENTO!W632)</f>
        <v/>
      </c>
      <c r="I632" s="127">
        <f ca="1">ORÇAMENTO!X632</f>
        <v>0</v>
      </c>
      <c r="J632" s="378">
        <f ca="1">IF($A632="S",IF(CAIXA.Modo,BM.AFAnterior,BM.MEDAnterior),IF(AND(RegimeExecucao="Global",$I632&gt;0,COUNTIF($AB$13:$AM$13,BM.medicao-1)&gt;0),M632/$I632*100,0))</f>
        <v>0</v>
      </c>
      <c r="K632" s="124">
        <f t="shared" ca="1" si="46"/>
        <v>0</v>
      </c>
      <c r="L632" s="379">
        <f ca="1">IF($A632="S",IF(CAIXA.Modo,BM.AFAcumulado,BM.MEDAcumulado),IF(AND(RegimeExecucao="Global",$I632&gt;0,COUNTIF($AB$13:$AM$13,BM.medicao)&gt;0),O632/$I632*100,0))</f>
        <v>0</v>
      </c>
      <c r="M632" s="380">
        <f ca="1">IF($A632="S",VTOTALBM,IF($A632=0,0,ROUND(SomaAgrupBM,15-13*ORÇAMENTO!$AF$11)))</f>
        <v>0</v>
      </c>
      <c r="N632" s="381">
        <f t="shared" ca="1" si="47"/>
        <v>0</v>
      </c>
      <c r="O632" s="127">
        <f ca="1">IF($A632="S",VTOTALBM,IF($A632=0,0,ROUND(SomaAgrupBM,15-13*ORÇAMENTO!$AF$11)))</f>
        <v>0</v>
      </c>
      <c r="Q632" s="382"/>
      <c r="R632" s="383"/>
      <c r="T632" s="119" t="str">
        <f t="shared" ca="1" si="48"/>
        <v/>
      </c>
      <c r="U632" s="172" t="str">
        <f t="shared" ca="1" si="49"/>
        <v/>
      </c>
      <c r="V632" s="173" t="str">
        <f ca="1">IF(AND($W632&gt;0,RegimeExecucao="Unitário"),$F632,"")</f>
        <v/>
      </c>
      <c r="W632" s="547">
        <f ca="1">IF($Y632&gt;0,CHOOSE(MATCH(RegimeExecucao,{"Unitário","Global"},0),IF($A632="S",$Y632/$X632,""),($Y632/$X632)*100),0)</f>
        <v>0</v>
      </c>
      <c r="X632" s="384" t="str">
        <f ca="1">IF($Y632&gt;0,CHOOSE(MATCH(RegimeExecucao,{"Unitário","Global"},0),IF($A632="S",ROUND($H632,ORÇAMENTO!$AF$10),""),ROUND($I632,ORÇAMENTO!$AF$11)),"")</f>
        <v/>
      </c>
      <c r="Y632" s="384">
        <f t="shared" ca="1" si="50"/>
        <v>0</v>
      </c>
      <c r="Z632" s="572"/>
      <c r="AB632" s="382"/>
      <c r="AC632" s="516"/>
      <c r="AD632" s="516"/>
      <c r="AE632" s="516"/>
      <c r="AF632" s="516"/>
      <c r="AG632" s="516"/>
      <c r="AH632" s="516"/>
      <c r="AI632" s="516"/>
      <c r="AJ632" s="516"/>
      <c r="AK632" s="516"/>
      <c r="AL632" s="516"/>
      <c r="AM632" s="383"/>
      <c r="AO632">
        <f ca="1">IF($A632="S",IF(BM!$I632=0,0,CHOOSE(MATCH(RegimeExecucao,{"Global","Unitário"},0),ROUND(ROUND(BM.MEDAcumulado,15-13*BM!$A$9)/100*BM!$I632,15-13*ORÇAMENTO!$AF$11),ROUND(ROUND(BM.MEDAcumulado,15-13*BM!$A$9)*ROUND(BM!$H632,15-13*ORÇAMENTO!$AF$10),15-13*ORÇAMENTO!$AF$11))),IF($A632=0,0,ROUND(SomaAgrupBM,15-13*ORÇAMENTO!$AF$11)))</f>
        <v>0</v>
      </c>
    </row>
    <row r="633" spans="1:41" x14ac:dyDescent="0.2">
      <c r="A633" t="str">
        <f ca="1">ORÇAMENTO!C633</f>
        <v>S</v>
      </c>
      <c r="B633">
        <f ca="1">ORÇAMENTO!D633</f>
        <v>0</v>
      </c>
      <c r="C633" s="116" t="str">
        <f t="shared" ca="1" si="44"/>
        <v/>
      </c>
      <c r="D633" s="119" t="str">
        <f ca="1">ORÇAMENTO!O633</f>
        <v>-</v>
      </c>
      <c r="E633" s="172" t="str">
        <f t="shared" ca="1" si="52"/>
        <v>(abra o arquivo 'Referência 06-2024.xlsm)</v>
      </c>
      <c r="F633" s="173" t="str">
        <f ca="1">IF(RegimeExecucao="Global","",ORÇAMENTO.Unidade)</f>
        <v/>
      </c>
      <c r="G633" s="124" t="str">
        <f ca="1">IF(RegimeExecucao="Global","",ORÇAMENTO!T633)</f>
        <v/>
      </c>
      <c r="H633" s="124" t="str">
        <f ca="1">IF(RegimeExecucao="Global","",ORÇAMENTO!W633)</f>
        <v/>
      </c>
      <c r="I633" s="127">
        <f ca="1">ORÇAMENTO!X633</f>
        <v>0</v>
      </c>
      <c r="J633" s="378">
        <f ca="1">IF($A633="S",IF(CAIXA.Modo,BM.AFAnterior,BM.MEDAnterior),IF(AND(RegimeExecucao="Global",$I633&gt;0,COUNTIF($AB$13:$AM$13,BM.medicao-1)&gt;0),M633/$I633*100,0))</f>
        <v>0</v>
      </c>
      <c r="K633" s="124">
        <f t="shared" ca="1" si="46"/>
        <v>0</v>
      </c>
      <c r="L633" s="379">
        <f ca="1">IF($A633="S",IF(CAIXA.Modo,BM.AFAcumulado,BM.MEDAcumulado),IF(AND(RegimeExecucao="Global",$I633&gt;0,COUNTIF($AB$13:$AM$13,BM.medicao)&gt;0),O633/$I633*100,0))</f>
        <v>0</v>
      </c>
      <c r="M633" s="380">
        <f ca="1">IF($A633="S",VTOTALBM,IF($A633=0,0,ROUND(SomaAgrupBM,15-13*ORÇAMENTO!$AF$11)))</f>
        <v>0</v>
      </c>
      <c r="N633" s="381">
        <f t="shared" ca="1" si="47"/>
        <v>0</v>
      </c>
      <c r="O633" s="127">
        <f ca="1">IF($A633="S",VTOTALBM,IF($A633=0,0,ROUND(SomaAgrupBM,15-13*ORÇAMENTO!$AF$11)))</f>
        <v>0</v>
      </c>
      <c r="Q633" s="382"/>
      <c r="R633" s="383"/>
      <c r="T633" s="119" t="str">
        <f t="shared" ca="1" si="48"/>
        <v/>
      </c>
      <c r="U633" s="172" t="str">
        <f t="shared" ca="1" si="49"/>
        <v/>
      </c>
      <c r="V633" s="173" t="str">
        <f ca="1">IF(AND($W633&gt;0,RegimeExecucao="Unitário"),$F633,"")</f>
        <v/>
      </c>
      <c r="W633" s="547">
        <f ca="1">IF($Y633&gt;0,CHOOSE(MATCH(RegimeExecucao,{"Unitário","Global"},0),IF($A633="S",$Y633/$X633,""),($Y633/$X633)*100),0)</f>
        <v>0</v>
      </c>
      <c r="X633" s="384" t="str">
        <f ca="1">IF($Y633&gt;0,CHOOSE(MATCH(RegimeExecucao,{"Unitário","Global"},0),IF($A633="S",ROUND($H633,ORÇAMENTO!$AF$10),""),ROUND($I633,ORÇAMENTO!$AF$11)),"")</f>
        <v/>
      </c>
      <c r="Y633" s="384">
        <f t="shared" ca="1" si="50"/>
        <v>0</v>
      </c>
      <c r="Z633" s="572"/>
      <c r="AB633" s="382"/>
      <c r="AC633" s="516"/>
      <c r="AD633" s="516"/>
      <c r="AE633" s="516"/>
      <c r="AF633" s="516"/>
      <c r="AG633" s="516"/>
      <c r="AH633" s="516"/>
      <c r="AI633" s="516"/>
      <c r="AJ633" s="516"/>
      <c r="AK633" s="516"/>
      <c r="AL633" s="516"/>
      <c r="AM633" s="383"/>
      <c r="AO633">
        <f ca="1">IF($A633="S",IF(BM!$I633=0,0,CHOOSE(MATCH(RegimeExecucao,{"Global","Unitário"},0),ROUND(ROUND(BM.MEDAcumulado,15-13*BM!$A$9)/100*BM!$I633,15-13*ORÇAMENTO!$AF$11),ROUND(ROUND(BM.MEDAcumulado,15-13*BM!$A$9)*ROUND(BM!$H633,15-13*ORÇAMENTO!$AF$10),15-13*ORÇAMENTO!$AF$11))),IF($A633=0,0,ROUND(SomaAgrupBM,15-13*ORÇAMENTO!$AF$11)))</f>
        <v>0</v>
      </c>
    </row>
    <row r="634" spans="1:41" ht="25.5" x14ac:dyDescent="0.2">
      <c r="A634" t="str">
        <f ca="1">ORÇAMENTO!C634</f>
        <v>S</v>
      </c>
      <c r="B634">
        <f ca="1">ORÇAMENTO!D634</f>
        <v>0</v>
      </c>
      <c r="C634" s="116" t="str">
        <f t="shared" ca="1" si="44"/>
        <v/>
      </c>
      <c r="D634" s="119" t="str">
        <f ca="1">ORÇAMENTO!O634</f>
        <v>-</v>
      </c>
      <c r="E634" s="172" t="str">
        <f t="shared" ca="1" si="52"/>
        <v>(abra o arquivo 'Referência 06-2024.xlsm)</v>
      </c>
      <c r="F634" s="173" t="str">
        <f ca="1">IF(RegimeExecucao="Global","",ORÇAMENTO.Unidade)</f>
        <v/>
      </c>
      <c r="G634" s="124" t="str">
        <f ca="1">IF(RegimeExecucao="Global","",ORÇAMENTO!T634)</f>
        <v/>
      </c>
      <c r="H634" s="124" t="str">
        <f ca="1">IF(RegimeExecucao="Global","",ORÇAMENTO!W634)</f>
        <v/>
      </c>
      <c r="I634" s="127">
        <f ca="1">ORÇAMENTO!X634</f>
        <v>0</v>
      </c>
      <c r="J634" s="378">
        <f ca="1">IF($A634="S",IF(CAIXA.Modo,BM.AFAnterior,BM.MEDAnterior),IF(AND(RegimeExecucao="Global",$I634&gt;0,COUNTIF($AB$13:$AM$13,BM.medicao-1)&gt;0),M634/$I634*100,0))</f>
        <v>0</v>
      </c>
      <c r="K634" s="124">
        <f t="shared" ca="1" si="46"/>
        <v>0</v>
      </c>
      <c r="L634" s="379">
        <f ca="1">IF($A634="S",IF(CAIXA.Modo,BM.AFAcumulado,BM.MEDAcumulado),IF(AND(RegimeExecucao="Global",$I634&gt;0,COUNTIF($AB$13:$AM$13,BM.medicao)&gt;0),O634/$I634*100,0))</f>
        <v>0</v>
      </c>
      <c r="M634" s="380">
        <f ca="1">IF($A634="S",VTOTALBM,IF($A634=0,0,ROUND(SomaAgrupBM,15-13*ORÇAMENTO!$AF$11)))</f>
        <v>0</v>
      </c>
      <c r="N634" s="381">
        <f t="shared" ca="1" si="47"/>
        <v>0</v>
      </c>
      <c r="O634" s="127">
        <f ca="1">IF($A634="S",VTOTALBM,IF($A634=0,0,ROUND(SomaAgrupBM,15-13*ORÇAMENTO!$AF$11)))</f>
        <v>0</v>
      </c>
      <c r="Q634" s="382"/>
      <c r="R634" s="383"/>
      <c r="T634" s="119" t="str">
        <f t="shared" ca="1" si="48"/>
        <v/>
      </c>
      <c r="U634" s="172" t="str">
        <f t="shared" ca="1" si="49"/>
        <v/>
      </c>
      <c r="V634" s="173" t="str">
        <f ca="1">IF(AND($W634&gt;0,RegimeExecucao="Unitário"),$F634,"")</f>
        <v/>
      </c>
      <c r="W634" s="547">
        <f ca="1">IF($Y634&gt;0,CHOOSE(MATCH(RegimeExecucao,{"Unitário","Global"},0),IF($A634="S",$Y634/$X634,""),($Y634/$X634)*100),0)</f>
        <v>0</v>
      </c>
      <c r="X634" s="384" t="str">
        <f ca="1">IF($Y634&gt;0,CHOOSE(MATCH(RegimeExecucao,{"Unitário","Global"},0),IF($A634="S",ROUND($H634,ORÇAMENTO!$AF$10),""),ROUND($I634,ORÇAMENTO!$AF$11)),"")</f>
        <v/>
      </c>
      <c r="Y634" s="384">
        <f t="shared" ca="1" si="50"/>
        <v>0</v>
      </c>
      <c r="Z634" s="572"/>
      <c r="AB634" s="382"/>
      <c r="AC634" s="516"/>
      <c r="AD634" s="516"/>
      <c r="AE634" s="516"/>
      <c r="AF634" s="516"/>
      <c r="AG634" s="516"/>
      <c r="AH634" s="516"/>
      <c r="AI634" s="516"/>
      <c r="AJ634" s="516"/>
      <c r="AK634" s="516"/>
      <c r="AL634" s="516"/>
      <c r="AM634" s="383"/>
      <c r="AO634">
        <f ca="1">IF($A634="S",IF(BM!$I634=0,0,CHOOSE(MATCH(RegimeExecucao,{"Global","Unitário"},0),ROUND(ROUND(BM.MEDAcumulado,15-13*BM!$A$9)/100*BM!$I634,15-13*ORÇAMENTO!$AF$11),ROUND(ROUND(BM.MEDAcumulado,15-13*BM!$A$9)*ROUND(BM!$H634,15-13*ORÇAMENTO!$AF$10),15-13*ORÇAMENTO!$AF$11))),IF($A634=0,0,ROUND(SomaAgrupBM,15-13*ORÇAMENTO!$AF$11)))</f>
        <v>0</v>
      </c>
    </row>
    <row r="635" spans="1:41" ht="38.25" x14ac:dyDescent="0.2">
      <c r="A635" t="str">
        <f ca="1">ORÇAMENTO!C635</f>
        <v>S</v>
      </c>
      <c r="B635">
        <f ca="1">ORÇAMENTO!D635</f>
        <v>0</v>
      </c>
      <c r="C635" s="116" t="str">
        <f t="shared" ca="1" si="44"/>
        <v/>
      </c>
      <c r="D635" s="119" t="str">
        <f ca="1">ORÇAMENTO!O635</f>
        <v>-</v>
      </c>
      <c r="E635" s="172" t="str">
        <f t="shared" ca="1" si="52"/>
        <v>(abra o arquivo 'Referência 06-2024.xlsm)</v>
      </c>
      <c r="F635" s="173" t="str">
        <f ca="1">IF(RegimeExecucao="Global","",ORÇAMENTO.Unidade)</f>
        <v/>
      </c>
      <c r="G635" s="124" t="str">
        <f ca="1">IF(RegimeExecucao="Global","",ORÇAMENTO!T635)</f>
        <v/>
      </c>
      <c r="H635" s="124" t="str">
        <f ca="1">IF(RegimeExecucao="Global","",ORÇAMENTO!W635)</f>
        <v/>
      </c>
      <c r="I635" s="127">
        <f ca="1">ORÇAMENTO!X635</f>
        <v>0</v>
      </c>
      <c r="J635" s="378">
        <f ca="1">IF($A635="S",IF(CAIXA.Modo,BM.AFAnterior,BM.MEDAnterior),IF(AND(RegimeExecucao="Global",$I635&gt;0,COUNTIF($AB$13:$AM$13,BM.medicao-1)&gt;0),M635/$I635*100,0))</f>
        <v>0</v>
      </c>
      <c r="K635" s="124">
        <f t="shared" ca="1" si="46"/>
        <v>0</v>
      </c>
      <c r="L635" s="379">
        <f ca="1">IF($A635="S",IF(CAIXA.Modo,BM.AFAcumulado,BM.MEDAcumulado),IF(AND(RegimeExecucao="Global",$I635&gt;0,COUNTIF($AB$13:$AM$13,BM.medicao)&gt;0),O635/$I635*100,0))</f>
        <v>0</v>
      </c>
      <c r="M635" s="380">
        <f ca="1">IF($A635="S",VTOTALBM,IF($A635=0,0,ROUND(SomaAgrupBM,15-13*ORÇAMENTO!$AF$11)))</f>
        <v>0</v>
      </c>
      <c r="N635" s="381">
        <f t="shared" ca="1" si="47"/>
        <v>0</v>
      </c>
      <c r="O635" s="127">
        <f ca="1">IF($A635="S",VTOTALBM,IF($A635=0,0,ROUND(SomaAgrupBM,15-13*ORÇAMENTO!$AF$11)))</f>
        <v>0</v>
      </c>
      <c r="Q635" s="382"/>
      <c r="R635" s="383"/>
      <c r="T635" s="119" t="str">
        <f t="shared" ca="1" si="48"/>
        <v/>
      </c>
      <c r="U635" s="172" t="str">
        <f t="shared" ca="1" si="49"/>
        <v/>
      </c>
      <c r="V635" s="173" t="str">
        <f ca="1">IF(AND($W635&gt;0,RegimeExecucao="Unitário"),$F635,"")</f>
        <v/>
      </c>
      <c r="W635" s="547">
        <f ca="1">IF($Y635&gt;0,CHOOSE(MATCH(RegimeExecucao,{"Unitário","Global"},0),IF($A635="S",$Y635/$X635,""),($Y635/$X635)*100),0)</f>
        <v>0</v>
      </c>
      <c r="X635" s="384" t="str">
        <f ca="1">IF($Y635&gt;0,CHOOSE(MATCH(RegimeExecucao,{"Unitário","Global"},0),IF($A635="S",ROUND($H635,ORÇAMENTO!$AF$10),""),ROUND($I635,ORÇAMENTO!$AF$11)),"")</f>
        <v/>
      </c>
      <c r="Y635" s="384">
        <f t="shared" ca="1" si="50"/>
        <v>0</v>
      </c>
      <c r="Z635" s="572"/>
      <c r="AB635" s="382"/>
      <c r="AC635" s="516"/>
      <c r="AD635" s="516"/>
      <c r="AE635" s="516"/>
      <c r="AF635" s="516"/>
      <c r="AG635" s="516"/>
      <c r="AH635" s="516"/>
      <c r="AI635" s="516"/>
      <c r="AJ635" s="516"/>
      <c r="AK635" s="516"/>
      <c r="AL635" s="516"/>
      <c r="AM635" s="383"/>
      <c r="AO635">
        <f ca="1">IF($A635="S",IF(BM!$I635=0,0,CHOOSE(MATCH(RegimeExecucao,{"Global","Unitário"},0),ROUND(ROUND(BM.MEDAcumulado,15-13*BM!$A$9)/100*BM!$I635,15-13*ORÇAMENTO!$AF$11),ROUND(ROUND(BM.MEDAcumulado,15-13*BM!$A$9)*ROUND(BM!$H635,15-13*ORÇAMENTO!$AF$10),15-13*ORÇAMENTO!$AF$11))),IF($A635=0,0,ROUND(SomaAgrupBM,15-13*ORÇAMENTO!$AF$11)))</f>
        <v>0</v>
      </c>
    </row>
    <row r="636" spans="1:41" ht="25.5" x14ac:dyDescent="0.2">
      <c r="A636">
        <f ca="1">ORÇAMENTO!C636</f>
        <v>2</v>
      </c>
      <c r="B636">
        <f ca="1">ORÇAMENTO!D636</f>
        <v>4</v>
      </c>
      <c r="C636" s="116" t="str">
        <f t="shared" ca="1" si="44"/>
        <v>F</v>
      </c>
      <c r="D636" s="119" t="str">
        <f ca="1">ORÇAMENTO!O636</f>
        <v>1.66.</v>
      </c>
      <c r="E636" s="172" t="str">
        <f t="shared" si="52"/>
        <v>INSTALAÇÕES DE CABEAMENTO ESTRUTURADO - CAIXAS E QUADROS</v>
      </c>
      <c r="F636" s="173" t="str">
        <f ca="1">IF(RegimeExecucao="Global","",ORÇAMENTO.Unidade)</f>
        <v/>
      </c>
      <c r="G636" s="124" t="str">
        <f ca="1">IF(RegimeExecucao="Global","",ORÇAMENTO!T636)</f>
        <v/>
      </c>
      <c r="H636" s="124" t="str">
        <f ca="1">IF(RegimeExecucao="Global","",ORÇAMENTO!W636)</f>
        <v/>
      </c>
      <c r="I636" s="127">
        <f ca="1">ORÇAMENTO!X636</f>
        <v>0</v>
      </c>
      <c r="J636" s="378">
        <f ca="1">IF($A636="S",IF(CAIXA.Modo,BM.AFAnterior,BM.MEDAnterior),IF(AND(RegimeExecucao="Global",$I636&gt;0,COUNTIF($AB$13:$AM$13,BM.medicao-1)&gt;0),M636/$I636*100,0))</f>
        <v>0</v>
      </c>
      <c r="K636" s="124">
        <f t="shared" ca="1" si="46"/>
        <v>0</v>
      </c>
      <c r="L636" s="379">
        <f ca="1">IF($A636="S",IF(CAIXA.Modo,BM.AFAcumulado,BM.MEDAcumulado),IF(AND(RegimeExecucao="Global",$I636&gt;0,COUNTIF($AB$13:$AM$13,BM.medicao)&gt;0),O636/$I636*100,0))</f>
        <v>0</v>
      </c>
      <c r="M636" s="380">
        <f ca="1">IF($A636="S",VTOTALBM,IF($A636=0,0,ROUND(SomaAgrupBM,15-13*ORÇAMENTO!$AF$11)))</f>
        <v>0</v>
      </c>
      <c r="N636" s="381">
        <f t="shared" ca="1" si="47"/>
        <v>0</v>
      </c>
      <c r="O636" s="127">
        <f ca="1">IF($A636="S",VTOTALBM,IF($A636=0,0,ROUND(SomaAgrupBM,15-13*ORÇAMENTO!$AF$11)))</f>
        <v>0</v>
      </c>
      <c r="Q636" s="382"/>
      <c r="R636" s="383"/>
      <c r="T636" s="119" t="str">
        <f t="shared" ca="1" si="48"/>
        <v/>
      </c>
      <c r="U636" s="172" t="str">
        <f t="shared" ca="1" si="49"/>
        <v/>
      </c>
      <c r="V636" s="173" t="str">
        <f ca="1">IF(AND($W636&gt;0,RegimeExecucao="Unitário"),$F636,"")</f>
        <v/>
      </c>
      <c r="W636" s="547">
        <f ca="1">IF($Y636&gt;0,CHOOSE(MATCH(RegimeExecucao,{"Unitário","Global"},0),IF($A636="S",$Y636/$X636,""),($Y636/$X636)*100),0)</f>
        <v>0</v>
      </c>
      <c r="X636" s="384" t="str">
        <f ca="1">IF($Y636&gt;0,CHOOSE(MATCH(RegimeExecucao,{"Unitário","Global"},0),IF($A636="S",ROUND($H636,ORÇAMENTO!$AF$10),""),ROUND($I636,ORÇAMENTO!$AF$11)),"")</f>
        <v/>
      </c>
      <c r="Y636" s="384">
        <f t="shared" ca="1" si="50"/>
        <v>0</v>
      </c>
      <c r="Z636" s="572"/>
      <c r="AB636" s="382"/>
      <c r="AC636" s="516"/>
      <c r="AD636" s="516"/>
      <c r="AE636" s="516"/>
      <c r="AF636" s="516"/>
      <c r="AG636" s="516"/>
      <c r="AH636" s="516"/>
      <c r="AI636" s="516"/>
      <c r="AJ636" s="516"/>
      <c r="AK636" s="516"/>
      <c r="AL636" s="516"/>
      <c r="AM636" s="383"/>
      <c r="AO636">
        <f ca="1">IF($A636="S",IF(BM!$I636=0,0,CHOOSE(MATCH(RegimeExecucao,{"Global","Unitário"},0),ROUND(ROUND(BM.MEDAcumulado,15-13*BM!$A$9)/100*BM!$I636,15-13*ORÇAMENTO!$AF$11),ROUND(ROUND(BM.MEDAcumulado,15-13*BM!$A$9)*ROUND(BM!$H636,15-13*ORÇAMENTO!$AF$10),15-13*ORÇAMENTO!$AF$11))),IF($A636=0,0,ROUND(SomaAgrupBM,15-13*ORÇAMENTO!$AF$11)))</f>
        <v>0</v>
      </c>
    </row>
    <row r="637" spans="1:41" ht="25.5" x14ac:dyDescent="0.2">
      <c r="A637" t="str">
        <f ca="1">ORÇAMENTO!C637</f>
        <v>S</v>
      </c>
      <c r="B637">
        <f ca="1">ORÇAMENTO!D637</f>
        <v>0</v>
      </c>
      <c r="C637" s="116" t="str">
        <f t="shared" ca="1" si="44"/>
        <v/>
      </c>
      <c r="D637" s="119" t="str">
        <f ca="1">ORÇAMENTO!O637</f>
        <v>-</v>
      </c>
      <c r="E637" s="172" t="str">
        <f t="shared" ca="1" si="52"/>
        <v>(abra o arquivo 'Referência 06-2024.xlsm)</v>
      </c>
      <c r="F637" s="173" t="str">
        <f ca="1">IF(RegimeExecucao="Global","",ORÇAMENTO.Unidade)</f>
        <v/>
      </c>
      <c r="G637" s="124" t="str">
        <f ca="1">IF(RegimeExecucao="Global","",ORÇAMENTO!T637)</f>
        <v/>
      </c>
      <c r="H637" s="124" t="str">
        <f ca="1">IF(RegimeExecucao="Global","",ORÇAMENTO!W637)</f>
        <v/>
      </c>
      <c r="I637" s="127">
        <f ca="1">ORÇAMENTO!X637</f>
        <v>0</v>
      </c>
      <c r="J637" s="378">
        <f ca="1">IF($A637="S",IF(CAIXA.Modo,BM.AFAnterior,BM.MEDAnterior),IF(AND(RegimeExecucao="Global",$I637&gt;0,COUNTIF($AB$13:$AM$13,BM.medicao-1)&gt;0),M637/$I637*100,0))</f>
        <v>0</v>
      </c>
      <c r="K637" s="124">
        <f t="shared" ca="1" si="46"/>
        <v>0</v>
      </c>
      <c r="L637" s="379">
        <f ca="1">IF($A637="S",IF(CAIXA.Modo,BM.AFAcumulado,BM.MEDAcumulado),IF(AND(RegimeExecucao="Global",$I637&gt;0,COUNTIF($AB$13:$AM$13,BM.medicao)&gt;0),O637/$I637*100,0))</f>
        <v>0</v>
      </c>
      <c r="M637" s="380">
        <f ca="1">IF($A637="S",VTOTALBM,IF($A637=0,0,ROUND(SomaAgrupBM,15-13*ORÇAMENTO!$AF$11)))</f>
        <v>0</v>
      </c>
      <c r="N637" s="381">
        <f t="shared" ca="1" si="47"/>
        <v>0</v>
      </c>
      <c r="O637" s="127">
        <f ca="1">IF($A637="S",VTOTALBM,IF($A637=0,0,ROUND(SomaAgrupBM,15-13*ORÇAMENTO!$AF$11)))</f>
        <v>0</v>
      </c>
      <c r="Q637" s="382"/>
      <c r="R637" s="383"/>
      <c r="T637" s="119" t="str">
        <f t="shared" ca="1" si="48"/>
        <v/>
      </c>
      <c r="U637" s="172" t="str">
        <f t="shared" ca="1" si="49"/>
        <v/>
      </c>
      <c r="V637" s="173" t="str">
        <f ca="1">IF(AND($W637&gt;0,RegimeExecucao="Unitário"),$F637,"")</f>
        <v/>
      </c>
      <c r="W637" s="547">
        <f ca="1">IF($Y637&gt;0,CHOOSE(MATCH(RegimeExecucao,{"Unitário","Global"},0),IF($A637="S",$Y637/$X637,""),($Y637/$X637)*100),0)</f>
        <v>0</v>
      </c>
      <c r="X637" s="384" t="str">
        <f ca="1">IF($Y637&gt;0,CHOOSE(MATCH(RegimeExecucao,{"Unitário","Global"},0),IF($A637="S",ROUND($H637,ORÇAMENTO!$AF$10),""),ROUND($I637,ORÇAMENTO!$AF$11)),"")</f>
        <v/>
      </c>
      <c r="Y637" s="384">
        <f t="shared" ca="1" si="50"/>
        <v>0</v>
      </c>
      <c r="Z637" s="572"/>
      <c r="AB637" s="382"/>
      <c r="AC637" s="516"/>
      <c r="AD637" s="516"/>
      <c r="AE637" s="516"/>
      <c r="AF637" s="516"/>
      <c r="AG637" s="516"/>
      <c r="AH637" s="516"/>
      <c r="AI637" s="516"/>
      <c r="AJ637" s="516"/>
      <c r="AK637" s="516"/>
      <c r="AL637" s="516"/>
      <c r="AM637" s="383"/>
      <c r="AO637">
        <f ca="1">IF($A637="S",IF(BM!$I637=0,0,CHOOSE(MATCH(RegimeExecucao,{"Global","Unitário"},0),ROUND(ROUND(BM.MEDAcumulado,15-13*BM!$A$9)/100*BM!$I637,15-13*ORÇAMENTO!$AF$11),ROUND(ROUND(BM.MEDAcumulado,15-13*BM!$A$9)*ROUND(BM!$H637,15-13*ORÇAMENTO!$AF$10),15-13*ORÇAMENTO!$AF$11))),IF($A637=0,0,ROUND(SomaAgrupBM,15-13*ORÇAMENTO!$AF$11)))</f>
        <v>0</v>
      </c>
    </row>
    <row r="638" spans="1:41" ht="25.5" x14ac:dyDescent="0.2">
      <c r="A638" t="str">
        <f ca="1">ORÇAMENTO!C638</f>
        <v>S</v>
      </c>
      <c r="B638">
        <f ca="1">ORÇAMENTO!D638</f>
        <v>0</v>
      </c>
      <c r="C638" s="116" t="str">
        <f t="shared" ca="1" si="44"/>
        <v/>
      </c>
      <c r="D638" s="119" t="str">
        <f ca="1">ORÇAMENTO!O638</f>
        <v>-</v>
      </c>
      <c r="E638" s="172" t="str">
        <f t="shared" ca="1" si="52"/>
        <v>(abra o arquivo 'Referência 06-2024.xlsm)</v>
      </c>
      <c r="F638" s="173" t="str">
        <f ca="1">IF(RegimeExecucao="Global","",ORÇAMENTO.Unidade)</f>
        <v/>
      </c>
      <c r="G638" s="124" t="str">
        <f ca="1">IF(RegimeExecucao="Global","",ORÇAMENTO!T638)</f>
        <v/>
      </c>
      <c r="H638" s="124" t="str">
        <f ca="1">IF(RegimeExecucao="Global","",ORÇAMENTO!W638)</f>
        <v/>
      </c>
      <c r="I638" s="127">
        <f ca="1">ORÇAMENTO!X638</f>
        <v>0</v>
      </c>
      <c r="J638" s="378">
        <f ca="1">IF($A638="S",IF(CAIXA.Modo,BM.AFAnterior,BM.MEDAnterior),IF(AND(RegimeExecucao="Global",$I638&gt;0,COUNTIF($AB$13:$AM$13,BM.medicao-1)&gt;0),M638/$I638*100,0))</f>
        <v>0</v>
      </c>
      <c r="K638" s="124">
        <f t="shared" ca="1" si="46"/>
        <v>0</v>
      </c>
      <c r="L638" s="379">
        <f ca="1">IF($A638="S",IF(CAIXA.Modo,BM.AFAcumulado,BM.MEDAcumulado),IF(AND(RegimeExecucao="Global",$I638&gt;0,COUNTIF($AB$13:$AM$13,BM.medicao)&gt;0),O638/$I638*100,0))</f>
        <v>0</v>
      </c>
      <c r="M638" s="380">
        <f ca="1">IF($A638="S",VTOTALBM,IF($A638=0,0,ROUND(SomaAgrupBM,15-13*ORÇAMENTO!$AF$11)))</f>
        <v>0</v>
      </c>
      <c r="N638" s="381">
        <f t="shared" ca="1" si="47"/>
        <v>0</v>
      </c>
      <c r="O638" s="127">
        <f ca="1">IF($A638="S",VTOTALBM,IF($A638=0,0,ROUND(SomaAgrupBM,15-13*ORÇAMENTO!$AF$11)))</f>
        <v>0</v>
      </c>
      <c r="Q638" s="382"/>
      <c r="R638" s="383"/>
      <c r="T638" s="119" t="str">
        <f t="shared" ca="1" si="48"/>
        <v/>
      </c>
      <c r="U638" s="172" t="str">
        <f t="shared" ca="1" si="49"/>
        <v/>
      </c>
      <c r="V638" s="173" t="str">
        <f ca="1">IF(AND($W638&gt;0,RegimeExecucao="Unitário"),$F638,"")</f>
        <v/>
      </c>
      <c r="W638" s="547">
        <f ca="1">IF($Y638&gt;0,CHOOSE(MATCH(RegimeExecucao,{"Unitário","Global"},0),IF($A638="S",$Y638/$X638,""),($Y638/$X638)*100),0)</f>
        <v>0</v>
      </c>
      <c r="X638" s="384" t="str">
        <f ca="1">IF($Y638&gt;0,CHOOSE(MATCH(RegimeExecucao,{"Unitário","Global"},0),IF($A638="S",ROUND($H638,ORÇAMENTO!$AF$10),""),ROUND($I638,ORÇAMENTO!$AF$11)),"")</f>
        <v/>
      </c>
      <c r="Y638" s="384">
        <f t="shared" ca="1" si="50"/>
        <v>0</v>
      </c>
      <c r="Z638" s="572"/>
      <c r="AB638" s="382"/>
      <c r="AC638" s="516"/>
      <c r="AD638" s="516"/>
      <c r="AE638" s="516"/>
      <c r="AF638" s="516"/>
      <c r="AG638" s="516"/>
      <c r="AH638" s="516"/>
      <c r="AI638" s="516"/>
      <c r="AJ638" s="516"/>
      <c r="AK638" s="516"/>
      <c r="AL638" s="516"/>
      <c r="AM638" s="383"/>
      <c r="AO638">
        <f ca="1">IF($A638="S",IF(BM!$I638=0,0,CHOOSE(MATCH(RegimeExecucao,{"Global","Unitário"},0),ROUND(ROUND(BM.MEDAcumulado,15-13*BM!$A$9)/100*BM!$I638,15-13*ORÇAMENTO!$AF$11),ROUND(ROUND(BM.MEDAcumulado,15-13*BM!$A$9)*ROUND(BM!$H638,15-13*ORÇAMENTO!$AF$10),15-13*ORÇAMENTO!$AF$11))),IF($A638=0,0,ROUND(SomaAgrupBM,15-13*ORÇAMENTO!$AF$11)))</f>
        <v>0</v>
      </c>
    </row>
    <row r="639" spans="1:41" ht="38.25" x14ac:dyDescent="0.2">
      <c r="A639" t="str">
        <f ca="1">ORÇAMENTO!C639</f>
        <v>S</v>
      </c>
      <c r="B639">
        <f ca="1">ORÇAMENTO!D639</f>
        <v>0</v>
      </c>
      <c r="C639" s="116" t="str">
        <f t="shared" ca="1" si="44"/>
        <v/>
      </c>
      <c r="D639" s="119" t="str">
        <f ca="1">ORÇAMENTO!O639</f>
        <v>-</v>
      </c>
      <c r="E639" s="172" t="str">
        <f t="shared" ca="1" si="52"/>
        <v>(abra o arquivo 'Referência 06-2024.xlsm)</v>
      </c>
      <c r="F639" s="173" t="str">
        <f ca="1">IF(RegimeExecucao="Global","",ORÇAMENTO.Unidade)</f>
        <v/>
      </c>
      <c r="G639" s="124" t="str">
        <f ca="1">IF(RegimeExecucao="Global","",ORÇAMENTO!T639)</f>
        <v/>
      </c>
      <c r="H639" s="124" t="str">
        <f ca="1">IF(RegimeExecucao="Global","",ORÇAMENTO!W639)</f>
        <v/>
      </c>
      <c r="I639" s="127">
        <f ca="1">ORÇAMENTO!X639</f>
        <v>0</v>
      </c>
      <c r="J639" s="378">
        <f ca="1">IF($A639="S",IF(CAIXA.Modo,BM.AFAnterior,BM.MEDAnterior),IF(AND(RegimeExecucao="Global",$I639&gt;0,COUNTIF($AB$13:$AM$13,BM.medicao-1)&gt;0),M639/$I639*100,0))</f>
        <v>0</v>
      </c>
      <c r="K639" s="124">
        <f t="shared" ca="1" si="46"/>
        <v>0</v>
      </c>
      <c r="L639" s="379">
        <f ca="1">IF($A639="S",IF(CAIXA.Modo,BM.AFAcumulado,BM.MEDAcumulado),IF(AND(RegimeExecucao="Global",$I639&gt;0,COUNTIF($AB$13:$AM$13,BM.medicao)&gt;0),O639/$I639*100,0))</f>
        <v>0</v>
      </c>
      <c r="M639" s="380">
        <f ca="1">IF($A639="S",VTOTALBM,IF($A639=0,0,ROUND(SomaAgrupBM,15-13*ORÇAMENTO!$AF$11)))</f>
        <v>0</v>
      </c>
      <c r="N639" s="381">
        <f t="shared" ca="1" si="47"/>
        <v>0</v>
      </c>
      <c r="O639" s="127">
        <f ca="1">IF($A639="S",VTOTALBM,IF($A639=0,0,ROUND(SomaAgrupBM,15-13*ORÇAMENTO!$AF$11)))</f>
        <v>0</v>
      </c>
      <c r="Q639" s="382"/>
      <c r="R639" s="383"/>
      <c r="T639" s="119" t="str">
        <f t="shared" ca="1" si="48"/>
        <v/>
      </c>
      <c r="U639" s="172" t="str">
        <f t="shared" ca="1" si="49"/>
        <v/>
      </c>
      <c r="V639" s="173" t="str">
        <f ca="1">IF(AND($W639&gt;0,RegimeExecucao="Unitário"),$F639,"")</f>
        <v/>
      </c>
      <c r="W639" s="547">
        <f ca="1">IF($Y639&gt;0,CHOOSE(MATCH(RegimeExecucao,{"Unitário","Global"},0),IF($A639="S",$Y639/$X639,""),($Y639/$X639)*100),0)</f>
        <v>0</v>
      </c>
      <c r="X639" s="384" t="str">
        <f ca="1">IF($Y639&gt;0,CHOOSE(MATCH(RegimeExecucao,{"Unitário","Global"},0),IF($A639="S",ROUND($H639,ORÇAMENTO!$AF$10),""),ROUND($I639,ORÇAMENTO!$AF$11)),"")</f>
        <v/>
      </c>
      <c r="Y639" s="384">
        <f t="shared" ca="1" si="50"/>
        <v>0</v>
      </c>
      <c r="Z639" s="572"/>
      <c r="AB639" s="382"/>
      <c r="AC639" s="516"/>
      <c r="AD639" s="516"/>
      <c r="AE639" s="516"/>
      <c r="AF639" s="516"/>
      <c r="AG639" s="516"/>
      <c r="AH639" s="516"/>
      <c r="AI639" s="516"/>
      <c r="AJ639" s="516"/>
      <c r="AK639" s="516"/>
      <c r="AL639" s="516"/>
      <c r="AM639" s="383"/>
      <c r="AO639">
        <f ca="1">IF($A639="S",IF(BM!$I639=0,0,CHOOSE(MATCH(RegimeExecucao,{"Global","Unitário"},0),ROUND(ROUND(BM.MEDAcumulado,15-13*BM!$A$9)/100*BM!$I639,15-13*ORÇAMENTO!$AF$11),ROUND(ROUND(BM.MEDAcumulado,15-13*BM!$A$9)*ROUND(BM!$H639,15-13*ORÇAMENTO!$AF$10),15-13*ORÇAMENTO!$AF$11))),IF($A639=0,0,ROUND(SomaAgrupBM,15-13*ORÇAMENTO!$AF$11)))</f>
        <v>0</v>
      </c>
    </row>
    <row r="640" spans="1:41" x14ac:dyDescent="0.2">
      <c r="A640">
        <f ca="1">ORÇAMENTO!C640</f>
        <v>2</v>
      </c>
      <c r="B640">
        <f ca="1">ORÇAMENTO!D640</f>
        <v>3</v>
      </c>
      <c r="C640" s="116" t="str">
        <f t="shared" ca="1" si="44"/>
        <v>F</v>
      </c>
      <c r="D640" s="119" t="str">
        <f ca="1">ORÇAMENTO!O640</f>
        <v>1.67.</v>
      </c>
      <c r="E640" s="172" t="str">
        <f t="shared" si="52"/>
        <v>INSTALAÇÕES DE CABEAMENTO ESTRUTURADO - DISPOSITIVOS</v>
      </c>
      <c r="F640" s="173" t="str">
        <f ca="1">IF(RegimeExecucao="Global","",ORÇAMENTO.Unidade)</f>
        <v/>
      </c>
      <c r="G640" s="124" t="str">
        <f ca="1">IF(RegimeExecucao="Global","",ORÇAMENTO!T640)</f>
        <v/>
      </c>
      <c r="H640" s="124" t="str">
        <f ca="1">IF(RegimeExecucao="Global","",ORÇAMENTO!W640)</f>
        <v/>
      </c>
      <c r="I640" s="127">
        <f ca="1">ORÇAMENTO!X640</f>
        <v>0</v>
      </c>
      <c r="J640" s="378">
        <f ca="1">IF($A640="S",IF(CAIXA.Modo,BM.AFAnterior,BM.MEDAnterior),IF(AND(RegimeExecucao="Global",$I640&gt;0,COUNTIF($AB$13:$AM$13,BM.medicao-1)&gt;0),M640/$I640*100,0))</f>
        <v>0</v>
      </c>
      <c r="K640" s="124">
        <f t="shared" ca="1" si="46"/>
        <v>0</v>
      </c>
      <c r="L640" s="379">
        <f ca="1">IF($A640="S",IF(CAIXA.Modo,BM.AFAcumulado,BM.MEDAcumulado),IF(AND(RegimeExecucao="Global",$I640&gt;0,COUNTIF($AB$13:$AM$13,BM.medicao)&gt;0),O640/$I640*100,0))</f>
        <v>0</v>
      </c>
      <c r="M640" s="380">
        <f ca="1">IF($A640="S",VTOTALBM,IF($A640=0,0,ROUND(SomaAgrupBM,15-13*ORÇAMENTO!$AF$11)))</f>
        <v>0</v>
      </c>
      <c r="N640" s="381">
        <f t="shared" ca="1" si="47"/>
        <v>0</v>
      </c>
      <c r="O640" s="127">
        <f ca="1">IF($A640="S",VTOTALBM,IF($A640=0,0,ROUND(SomaAgrupBM,15-13*ORÇAMENTO!$AF$11)))</f>
        <v>0</v>
      </c>
      <c r="Q640" s="382"/>
      <c r="R640" s="383"/>
      <c r="T640" s="119" t="str">
        <f t="shared" ca="1" si="48"/>
        <v/>
      </c>
      <c r="U640" s="172" t="str">
        <f t="shared" ca="1" si="49"/>
        <v/>
      </c>
      <c r="V640" s="173" t="str">
        <f ca="1">IF(AND($W640&gt;0,RegimeExecucao="Unitário"),$F640,"")</f>
        <v/>
      </c>
      <c r="W640" s="547">
        <f ca="1">IF($Y640&gt;0,CHOOSE(MATCH(RegimeExecucao,{"Unitário","Global"},0),IF($A640="S",$Y640/$X640,""),($Y640/$X640)*100),0)</f>
        <v>0</v>
      </c>
      <c r="X640" s="384" t="str">
        <f ca="1">IF($Y640&gt;0,CHOOSE(MATCH(RegimeExecucao,{"Unitário","Global"},0),IF($A640="S",ROUND($H640,ORÇAMENTO!$AF$10),""),ROUND($I640,ORÇAMENTO!$AF$11)),"")</f>
        <v/>
      </c>
      <c r="Y640" s="384">
        <f t="shared" ca="1" si="50"/>
        <v>0</v>
      </c>
      <c r="Z640" s="572"/>
      <c r="AB640" s="382"/>
      <c r="AC640" s="516"/>
      <c r="AD640" s="516"/>
      <c r="AE640" s="516"/>
      <c r="AF640" s="516"/>
      <c r="AG640" s="516"/>
      <c r="AH640" s="516"/>
      <c r="AI640" s="516"/>
      <c r="AJ640" s="516"/>
      <c r="AK640" s="516"/>
      <c r="AL640" s="516"/>
      <c r="AM640" s="383"/>
      <c r="AO640">
        <f ca="1">IF($A640="S",IF(BM!$I640=0,0,CHOOSE(MATCH(RegimeExecucao,{"Global","Unitário"},0),ROUND(ROUND(BM.MEDAcumulado,15-13*BM!$A$9)/100*BM!$I640,15-13*ORÇAMENTO!$AF$11),ROUND(ROUND(BM.MEDAcumulado,15-13*BM!$A$9)*ROUND(BM!$H640,15-13*ORÇAMENTO!$AF$10),15-13*ORÇAMENTO!$AF$11))),IF($A640=0,0,ROUND(SomaAgrupBM,15-13*ORÇAMENTO!$AF$11)))</f>
        <v>0</v>
      </c>
    </row>
    <row r="641" spans="1:41" ht="25.5" x14ac:dyDescent="0.2">
      <c r="A641" t="str">
        <f ca="1">ORÇAMENTO!C641</f>
        <v>S</v>
      </c>
      <c r="B641">
        <f ca="1">ORÇAMENTO!D641</f>
        <v>0</v>
      </c>
      <c r="C641" s="116" t="str">
        <f t="shared" ca="1" si="44"/>
        <v/>
      </c>
      <c r="D641" s="119" t="str">
        <f ca="1">ORÇAMENTO!O641</f>
        <v>-</v>
      </c>
      <c r="E641" s="172" t="str">
        <f t="shared" ca="1" si="52"/>
        <v>(abra o arquivo 'Referência 06-2024.xlsm)</v>
      </c>
      <c r="F641" s="173" t="str">
        <f ca="1">IF(RegimeExecucao="Global","",ORÇAMENTO.Unidade)</f>
        <v/>
      </c>
      <c r="G641" s="124" t="str">
        <f ca="1">IF(RegimeExecucao="Global","",ORÇAMENTO!T641)</f>
        <v/>
      </c>
      <c r="H641" s="124" t="str">
        <f ca="1">IF(RegimeExecucao="Global","",ORÇAMENTO!W641)</f>
        <v/>
      </c>
      <c r="I641" s="127">
        <f ca="1">ORÇAMENTO!X641</f>
        <v>0</v>
      </c>
      <c r="J641" s="378">
        <f ca="1">IF($A641="S",IF(CAIXA.Modo,BM.AFAnterior,BM.MEDAnterior),IF(AND(RegimeExecucao="Global",$I641&gt;0,COUNTIF($AB$13:$AM$13,BM.medicao-1)&gt;0),M641/$I641*100,0))</f>
        <v>0</v>
      </c>
      <c r="K641" s="124">
        <f t="shared" ca="1" si="46"/>
        <v>0</v>
      </c>
      <c r="L641" s="379">
        <f ca="1">IF($A641="S",IF(CAIXA.Modo,BM.AFAcumulado,BM.MEDAcumulado),IF(AND(RegimeExecucao="Global",$I641&gt;0,COUNTIF($AB$13:$AM$13,BM.medicao)&gt;0),O641/$I641*100,0))</f>
        <v>0</v>
      </c>
      <c r="M641" s="380">
        <f ca="1">IF($A641="S",VTOTALBM,IF($A641=0,0,ROUND(SomaAgrupBM,15-13*ORÇAMENTO!$AF$11)))</f>
        <v>0</v>
      </c>
      <c r="N641" s="381">
        <f t="shared" ca="1" si="47"/>
        <v>0</v>
      </c>
      <c r="O641" s="127">
        <f ca="1">IF($A641="S",VTOTALBM,IF($A641=0,0,ROUND(SomaAgrupBM,15-13*ORÇAMENTO!$AF$11)))</f>
        <v>0</v>
      </c>
      <c r="Q641" s="382"/>
      <c r="R641" s="383"/>
      <c r="T641" s="119" t="str">
        <f t="shared" ca="1" si="48"/>
        <v/>
      </c>
      <c r="U641" s="172" t="str">
        <f t="shared" ca="1" si="49"/>
        <v/>
      </c>
      <c r="V641" s="173" t="str">
        <f ca="1">IF(AND($W641&gt;0,RegimeExecucao="Unitário"),$F641,"")</f>
        <v/>
      </c>
      <c r="W641" s="547">
        <f ca="1">IF($Y641&gt;0,CHOOSE(MATCH(RegimeExecucao,{"Unitário","Global"},0),IF($A641="S",$Y641/$X641,""),($Y641/$X641)*100),0)</f>
        <v>0</v>
      </c>
      <c r="X641" s="384" t="str">
        <f ca="1">IF($Y641&gt;0,CHOOSE(MATCH(RegimeExecucao,{"Unitário","Global"},0),IF($A641="S",ROUND($H641,ORÇAMENTO!$AF$10),""),ROUND($I641,ORÇAMENTO!$AF$11)),"")</f>
        <v/>
      </c>
      <c r="Y641" s="384">
        <f t="shared" ca="1" si="50"/>
        <v>0</v>
      </c>
      <c r="Z641" s="572"/>
      <c r="AB641" s="382"/>
      <c r="AC641" s="516"/>
      <c r="AD641" s="516"/>
      <c r="AE641" s="516"/>
      <c r="AF641" s="516"/>
      <c r="AG641" s="516"/>
      <c r="AH641" s="516"/>
      <c r="AI641" s="516"/>
      <c r="AJ641" s="516"/>
      <c r="AK641" s="516"/>
      <c r="AL641" s="516"/>
      <c r="AM641" s="383"/>
      <c r="AO641">
        <f ca="1">IF($A641="S",IF(BM!$I641=0,0,CHOOSE(MATCH(RegimeExecucao,{"Global","Unitário"},0),ROUND(ROUND(BM.MEDAcumulado,15-13*BM!$A$9)/100*BM!$I641,15-13*ORÇAMENTO!$AF$11),ROUND(ROUND(BM.MEDAcumulado,15-13*BM!$A$9)*ROUND(BM!$H641,15-13*ORÇAMENTO!$AF$10),15-13*ORÇAMENTO!$AF$11))),IF($A641=0,0,ROUND(SomaAgrupBM,15-13*ORÇAMENTO!$AF$11)))</f>
        <v>0</v>
      </c>
    </row>
    <row r="642" spans="1:41" ht="25.5" x14ac:dyDescent="0.2">
      <c r="A642" t="str">
        <f ca="1">ORÇAMENTO!C642</f>
        <v>S</v>
      </c>
      <c r="B642">
        <f ca="1">ORÇAMENTO!D642</f>
        <v>0</v>
      </c>
      <c r="C642" s="116" t="str">
        <f t="shared" ca="1" si="44"/>
        <v/>
      </c>
      <c r="D642" s="119" t="str">
        <f ca="1">ORÇAMENTO!O642</f>
        <v>-</v>
      </c>
      <c r="E642" s="172" t="str">
        <f t="shared" ca="1" si="52"/>
        <v>(abra o arquivo 'Referência 06-2024.xlsm)</v>
      </c>
      <c r="F642" s="173" t="str">
        <f ca="1">IF(RegimeExecucao="Global","",ORÇAMENTO.Unidade)</f>
        <v/>
      </c>
      <c r="G642" s="124" t="str">
        <f ca="1">IF(RegimeExecucao="Global","",ORÇAMENTO!T642)</f>
        <v/>
      </c>
      <c r="H642" s="124" t="str">
        <f ca="1">IF(RegimeExecucao="Global","",ORÇAMENTO!W642)</f>
        <v/>
      </c>
      <c r="I642" s="127">
        <f ca="1">ORÇAMENTO!X642</f>
        <v>0</v>
      </c>
      <c r="J642" s="378">
        <f ca="1">IF($A642="S",IF(CAIXA.Modo,BM.AFAnterior,BM.MEDAnterior),IF(AND(RegimeExecucao="Global",$I642&gt;0,COUNTIF($AB$13:$AM$13,BM.medicao-1)&gt;0),M642/$I642*100,0))</f>
        <v>0</v>
      </c>
      <c r="K642" s="124">
        <f t="shared" ca="1" si="46"/>
        <v>0</v>
      </c>
      <c r="L642" s="379">
        <f ca="1">IF($A642="S",IF(CAIXA.Modo,BM.AFAcumulado,BM.MEDAcumulado),IF(AND(RegimeExecucao="Global",$I642&gt;0,COUNTIF($AB$13:$AM$13,BM.medicao)&gt;0),O642/$I642*100,0))</f>
        <v>0</v>
      </c>
      <c r="M642" s="380">
        <f ca="1">IF($A642="S",VTOTALBM,IF($A642=0,0,ROUND(SomaAgrupBM,15-13*ORÇAMENTO!$AF$11)))</f>
        <v>0</v>
      </c>
      <c r="N642" s="381">
        <f t="shared" ca="1" si="47"/>
        <v>0</v>
      </c>
      <c r="O642" s="127">
        <f ca="1">IF($A642="S",VTOTALBM,IF($A642=0,0,ROUND(SomaAgrupBM,15-13*ORÇAMENTO!$AF$11)))</f>
        <v>0</v>
      </c>
      <c r="Q642" s="382"/>
      <c r="R642" s="383"/>
      <c r="T642" s="119" t="str">
        <f t="shared" ca="1" si="48"/>
        <v/>
      </c>
      <c r="U642" s="172" t="str">
        <f t="shared" ca="1" si="49"/>
        <v/>
      </c>
      <c r="V642" s="173" t="str">
        <f ca="1">IF(AND($W642&gt;0,RegimeExecucao="Unitário"),$F642,"")</f>
        <v/>
      </c>
      <c r="W642" s="547">
        <f ca="1">IF($Y642&gt;0,CHOOSE(MATCH(RegimeExecucao,{"Unitário","Global"},0),IF($A642="S",$Y642/$X642,""),($Y642/$X642)*100),0)</f>
        <v>0</v>
      </c>
      <c r="X642" s="384" t="str">
        <f ca="1">IF($Y642&gt;0,CHOOSE(MATCH(RegimeExecucao,{"Unitário","Global"},0),IF($A642="S",ROUND($H642,ORÇAMENTO!$AF$10),""),ROUND($I642,ORÇAMENTO!$AF$11)),"")</f>
        <v/>
      </c>
      <c r="Y642" s="384">
        <f t="shared" ca="1" si="50"/>
        <v>0</v>
      </c>
      <c r="Z642" s="572"/>
      <c r="AB642" s="382"/>
      <c r="AC642" s="516"/>
      <c r="AD642" s="516"/>
      <c r="AE642" s="516"/>
      <c r="AF642" s="516"/>
      <c r="AG642" s="516"/>
      <c r="AH642" s="516"/>
      <c r="AI642" s="516"/>
      <c r="AJ642" s="516"/>
      <c r="AK642" s="516"/>
      <c r="AL642" s="516"/>
      <c r="AM642" s="383"/>
      <c r="AO642">
        <f ca="1">IF($A642="S",IF(BM!$I642=0,0,CHOOSE(MATCH(RegimeExecucao,{"Global","Unitário"},0),ROUND(ROUND(BM.MEDAcumulado,15-13*BM!$A$9)/100*BM!$I642,15-13*ORÇAMENTO!$AF$11),ROUND(ROUND(BM.MEDAcumulado,15-13*BM!$A$9)*ROUND(BM!$H642,15-13*ORÇAMENTO!$AF$10),15-13*ORÇAMENTO!$AF$11))),IF($A642=0,0,ROUND(SomaAgrupBM,15-13*ORÇAMENTO!$AF$11)))</f>
        <v>0</v>
      </c>
    </row>
    <row r="643" spans="1:41" ht="25.5" x14ac:dyDescent="0.2">
      <c r="A643">
        <f ca="1">ORÇAMENTO!C643</f>
        <v>2</v>
      </c>
      <c r="B643">
        <f ca="1">ORÇAMENTO!D643</f>
        <v>11</v>
      </c>
      <c r="C643" s="116" t="str">
        <f t="shared" ca="1" si="44"/>
        <v>F</v>
      </c>
      <c r="D643" s="119" t="str">
        <f ca="1">ORÇAMENTO!O643</f>
        <v>1.68.</v>
      </c>
      <c r="E643" s="172" t="str">
        <f t="shared" si="52"/>
        <v>INSTALAÇÕES DE CABEAMENTO ESTRUTURADO - ELETROCALHA E ELETRODUTOS</v>
      </c>
      <c r="F643" s="173" t="str">
        <f ca="1">IF(RegimeExecucao="Global","",ORÇAMENTO.Unidade)</f>
        <v/>
      </c>
      <c r="G643" s="124" t="str">
        <f ca="1">IF(RegimeExecucao="Global","",ORÇAMENTO!T643)</f>
        <v/>
      </c>
      <c r="H643" s="124" t="str">
        <f ca="1">IF(RegimeExecucao="Global","",ORÇAMENTO!W643)</f>
        <v/>
      </c>
      <c r="I643" s="127">
        <f ca="1">ORÇAMENTO!X643</f>
        <v>0</v>
      </c>
      <c r="J643" s="378">
        <f ca="1">IF($A643="S",IF(CAIXA.Modo,BM.AFAnterior,BM.MEDAnterior),IF(AND(RegimeExecucao="Global",$I643&gt;0,COUNTIF($AB$13:$AM$13,BM.medicao-1)&gt;0),M643/$I643*100,0))</f>
        <v>0</v>
      </c>
      <c r="K643" s="124">
        <f t="shared" ca="1" si="46"/>
        <v>0</v>
      </c>
      <c r="L643" s="379">
        <f ca="1">IF($A643="S",IF(CAIXA.Modo,BM.AFAcumulado,BM.MEDAcumulado),IF(AND(RegimeExecucao="Global",$I643&gt;0,COUNTIF($AB$13:$AM$13,BM.medicao)&gt;0),O643/$I643*100,0))</f>
        <v>0</v>
      </c>
      <c r="M643" s="380">
        <f ca="1">IF($A643="S",VTOTALBM,IF($A643=0,0,ROUND(SomaAgrupBM,15-13*ORÇAMENTO!$AF$11)))</f>
        <v>0</v>
      </c>
      <c r="N643" s="381">
        <f t="shared" ca="1" si="47"/>
        <v>0</v>
      </c>
      <c r="O643" s="127">
        <f ca="1">IF($A643="S",VTOTALBM,IF($A643=0,0,ROUND(SomaAgrupBM,15-13*ORÇAMENTO!$AF$11)))</f>
        <v>0</v>
      </c>
      <c r="Q643" s="382"/>
      <c r="R643" s="383"/>
      <c r="T643" s="119" t="str">
        <f t="shared" ca="1" si="48"/>
        <v/>
      </c>
      <c r="U643" s="172" t="str">
        <f t="shared" ca="1" si="49"/>
        <v/>
      </c>
      <c r="V643" s="173" t="str">
        <f ca="1">IF(AND($W643&gt;0,RegimeExecucao="Unitário"),$F643,"")</f>
        <v/>
      </c>
      <c r="W643" s="547">
        <f ca="1">IF($Y643&gt;0,CHOOSE(MATCH(RegimeExecucao,{"Unitário","Global"},0),IF($A643="S",$Y643/$X643,""),($Y643/$X643)*100),0)</f>
        <v>0</v>
      </c>
      <c r="X643" s="384" t="str">
        <f ca="1">IF($Y643&gt;0,CHOOSE(MATCH(RegimeExecucao,{"Unitário","Global"},0),IF($A643="S",ROUND($H643,ORÇAMENTO!$AF$10),""),ROUND($I643,ORÇAMENTO!$AF$11)),"")</f>
        <v/>
      </c>
      <c r="Y643" s="384">
        <f t="shared" ca="1" si="50"/>
        <v>0</v>
      </c>
      <c r="Z643" s="572"/>
      <c r="AB643" s="382"/>
      <c r="AC643" s="516"/>
      <c r="AD643" s="516"/>
      <c r="AE643" s="516"/>
      <c r="AF643" s="516"/>
      <c r="AG643" s="516"/>
      <c r="AH643" s="516"/>
      <c r="AI643" s="516"/>
      <c r="AJ643" s="516"/>
      <c r="AK643" s="516"/>
      <c r="AL643" s="516"/>
      <c r="AM643" s="383"/>
      <c r="AO643">
        <f ca="1">IF($A643="S",IF(BM!$I643=0,0,CHOOSE(MATCH(RegimeExecucao,{"Global","Unitário"},0),ROUND(ROUND(BM.MEDAcumulado,15-13*BM!$A$9)/100*BM!$I643,15-13*ORÇAMENTO!$AF$11),ROUND(ROUND(BM.MEDAcumulado,15-13*BM!$A$9)*ROUND(BM!$H643,15-13*ORÇAMENTO!$AF$10),15-13*ORÇAMENTO!$AF$11))),IF($A643=0,0,ROUND(SomaAgrupBM,15-13*ORÇAMENTO!$AF$11)))</f>
        <v>0</v>
      </c>
    </row>
    <row r="644" spans="1:41" ht="38.25" x14ac:dyDescent="0.2">
      <c r="A644" t="str">
        <f ca="1">ORÇAMENTO!C644</f>
        <v>S</v>
      </c>
      <c r="B644">
        <f ca="1">ORÇAMENTO!D644</f>
        <v>0</v>
      </c>
      <c r="C644" s="116" t="str">
        <f t="shared" ca="1" si="44"/>
        <v/>
      </c>
      <c r="D644" s="119" t="str">
        <f ca="1">ORÇAMENTO!O644</f>
        <v>-</v>
      </c>
      <c r="E644" s="172" t="str">
        <f t="shared" ref="E644:E700" ca="1" si="53">ORÇAMENTO.Descricao</f>
        <v>(abra o arquivo 'Referência 06-2024.xlsm)</v>
      </c>
      <c r="F644" s="173" t="str">
        <f ca="1">IF(RegimeExecucao="Global","",ORÇAMENTO.Unidade)</f>
        <v/>
      </c>
      <c r="G644" s="124" t="str">
        <f ca="1">IF(RegimeExecucao="Global","",ORÇAMENTO!T644)</f>
        <v/>
      </c>
      <c r="H644" s="124" t="str">
        <f ca="1">IF(RegimeExecucao="Global","",ORÇAMENTO!W644)</f>
        <v/>
      </c>
      <c r="I644" s="127">
        <f ca="1">ORÇAMENTO!X644</f>
        <v>0</v>
      </c>
      <c r="J644" s="378">
        <f ca="1">IF($A644="S",IF(CAIXA.Modo,BM.AFAnterior,BM.MEDAnterior),IF(AND(RegimeExecucao="Global",$I644&gt;0,COUNTIF($AB$13:$AM$13,BM.medicao-1)&gt;0),M644/$I644*100,0))</f>
        <v>0</v>
      </c>
      <c r="K644" s="124">
        <f t="shared" ca="1" si="46"/>
        <v>0</v>
      </c>
      <c r="L644" s="379">
        <f ca="1">IF($A644="S",IF(CAIXA.Modo,BM.AFAcumulado,BM.MEDAcumulado),IF(AND(RegimeExecucao="Global",$I644&gt;0,COUNTIF($AB$13:$AM$13,BM.medicao)&gt;0),O644/$I644*100,0))</f>
        <v>0</v>
      </c>
      <c r="M644" s="380">
        <f ca="1">IF($A644="S",VTOTALBM,IF($A644=0,0,ROUND(SomaAgrupBM,15-13*ORÇAMENTO!$AF$11)))</f>
        <v>0</v>
      </c>
      <c r="N644" s="381">
        <f t="shared" ca="1" si="47"/>
        <v>0</v>
      </c>
      <c r="O644" s="127">
        <f ca="1">IF($A644="S",VTOTALBM,IF($A644=0,0,ROUND(SomaAgrupBM,15-13*ORÇAMENTO!$AF$11)))</f>
        <v>0</v>
      </c>
      <c r="Q644" s="382"/>
      <c r="R644" s="383"/>
      <c r="T644" s="119" t="str">
        <f t="shared" ca="1" si="48"/>
        <v/>
      </c>
      <c r="U644" s="172" t="str">
        <f t="shared" ca="1" si="49"/>
        <v/>
      </c>
      <c r="V644" s="173" t="str">
        <f ca="1">IF(AND($W644&gt;0,RegimeExecucao="Unitário"),$F644,"")</f>
        <v/>
      </c>
      <c r="W644" s="547">
        <f ca="1">IF($Y644&gt;0,CHOOSE(MATCH(RegimeExecucao,{"Unitário","Global"},0),IF($A644="S",$Y644/$X644,""),($Y644/$X644)*100),0)</f>
        <v>0</v>
      </c>
      <c r="X644" s="384" t="str">
        <f ca="1">IF($Y644&gt;0,CHOOSE(MATCH(RegimeExecucao,{"Unitário","Global"},0),IF($A644="S",ROUND($H644,ORÇAMENTO!$AF$10),""),ROUND($I644,ORÇAMENTO!$AF$11)),"")</f>
        <v/>
      </c>
      <c r="Y644" s="384">
        <f t="shared" ca="1" si="50"/>
        <v>0</v>
      </c>
      <c r="Z644" s="572"/>
      <c r="AB644" s="382"/>
      <c r="AC644" s="516"/>
      <c r="AD644" s="516"/>
      <c r="AE644" s="516"/>
      <c r="AF644" s="516"/>
      <c r="AG644" s="516"/>
      <c r="AH644" s="516"/>
      <c r="AI644" s="516"/>
      <c r="AJ644" s="516"/>
      <c r="AK644" s="516"/>
      <c r="AL644" s="516"/>
      <c r="AM644" s="383"/>
      <c r="AO644">
        <f ca="1">IF($A644="S",IF(BM!$I644=0,0,CHOOSE(MATCH(RegimeExecucao,{"Global","Unitário"},0),ROUND(ROUND(BM.MEDAcumulado,15-13*BM!$A$9)/100*BM!$I644,15-13*ORÇAMENTO!$AF$11),ROUND(ROUND(BM.MEDAcumulado,15-13*BM!$A$9)*ROUND(BM!$H644,15-13*ORÇAMENTO!$AF$10),15-13*ORÇAMENTO!$AF$11))),IF($A644=0,0,ROUND(SomaAgrupBM,15-13*ORÇAMENTO!$AF$11)))</f>
        <v>0</v>
      </c>
    </row>
    <row r="645" spans="1:41" ht="38.25" x14ac:dyDescent="0.2">
      <c r="A645" t="str">
        <f ca="1">ORÇAMENTO!C645</f>
        <v>S</v>
      </c>
      <c r="B645">
        <f ca="1">ORÇAMENTO!D645</f>
        <v>0</v>
      </c>
      <c r="C645" s="116" t="str">
        <f t="shared" ca="1" si="44"/>
        <v/>
      </c>
      <c r="D645" s="119" t="str">
        <f ca="1">ORÇAMENTO!O645</f>
        <v>-</v>
      </c>
      <c r="E645" s="172" t="str">
        <f t="shared" ca="1" si="53"/>
        <v>(abra o arquivo 'Referência 06-2024.xlsm)</v>
      </c>
      <c r="F645" s="173" t="str">
        <f ca="1">IF(RegimeExecucao="Global","",ORÇAMENTO.Unidade)</f>
        <v/>
      </c>
      <c r="G645" s="124" t="str">
        <f ca="1">IF(RegimeExecucao="Global","",ORÇAMENTO!T645)</f>
        <v/>
      </c>
      <c r="H645" s="124" t="str">
        <f ca="1">IF(RegimeExecucao="Global","",ORÇAMENTO!W645)</f>
        <v/>
      </c>
      <c r="I645" s="127">
        <f ca="1">ORÇAMENTO!X645</f>
        <v>0</v>
      </c>
      <c r="J645" s="378">
        <f ca="1">IF($A645="S",IF(CAIXA.Modo,BM.AFAnterior,BM.MEDAnterior),IF(AND(RegimeExecucao="Global",$I645&gt;0,COUNTIF($AB$13:$AM$13,BM.medicao-1)&gt;0),M645/$I645*100,0))</f>
        <v>0</v>
      </c>
      <c r="K645" s="124">
        <f t="shared" ca="1" si="46"/>
        <v>0</v>
      </c>
      <c r="L645" s="379">
        <f ca="1">IF($A645="S",IF(CAIXA.Modo,BM.AFAcumulado,BM.MEDAcumulado),IF(AND(RegimeExecucao="Global",$I645&gt;0,COUNTIF($AB$13:$AM$13,BM.medicao)&gt;0),O645/$I645*100,0))</f>
        <v>0</v>
      </c>
      <c r="M645" s="380">
        <f ca="1">IF($A645="S",VTOTALBM,IF($A645=0,0,ROUND(SomaAgrupBM,15-13*ORÇAMENTO!$AF$11)))</f>
        <v>0</v>
      </c>
      <c r="N645" s="381">
        <f t="shared" ca="1" si="47"/>
        <v>0</v>
      </c>
      <c r="O645" s="127">
        <f ca="1">IF($A645="S",VTOTALBM,IF($A645=0,0,ROUND(SomaAgrupBM,15-13*ORÇAMENTO!$AF$11)))</f>
        <v>0</v>
      </c>
      <c r="Q645" s="382"/>
      <c r="R645" s="383"/>
      <c r="T645" s="119" t="str">
        <f t="shared" ca="1" si="48"/>
        <v/>
      </c>
      <c r="U645" s="172" t="str">
        <f t="shared" ca="1" si="49"/>
        <v/>
      </c>
      <c r="V645" s="173" t="str">
        <f ca="1">IF(AND($W645&gt;0,RegimeExecucao="Unitário"),$F645,"")</f>
        <v/>
      </c>
      <c r="W645" s="547">
        <f ca="1">IF($Y645&gt;0,CHOOSE(MATCH(RegimeExecucao,{"Unitário","Global"},0),IF($A645="S",$Y645/$X645,""),($Y645/$X645)*100),0)</f>
        <v>0</v>
      </c>
      <c r="X645" s="384" t="str">
        <f ca="1">IF($Y645&gt;0,CHOOSE(MATCH(RegimeExecucao,{"Unitário","Global"},0),IF($A645="S",ROUND($H645,ORÇAMENTO!$AF$10),""),ROUND($I645,ORÇAMENTO!$AF$11)),"")</f>
        <v/>
      </c>
      <c r="Y645" s="384">
        <f t="shared" ca="1" si="50"/>
        <v>0</v>
      </c>
      <c r="Z645" s="572"/>
      <c r="AB645" s="382"/>
      <c r="AC645" s="516"/>
      <c r="AD645" s="516"/>
      <c r="AE645" s="516"/>
      <c r="AF645" s="516"/>
      <c r="AG645" s="516"/>
      <c r="AH645" s="516"/>
      <c r="AI645" s="516"/>
      <c r="AJ645" s="516"/>
      <c r="AK645" s="516"/>
      <c r="AL645" s="516"/>
      <c r="AM645" s="383"/>
      <c r="AO645">
        <f ca="1">IF($A645="S",IF(BM!$I645=0,0,CHOOSE(MATCH(RegimeExecucao,{"Global","Unitário"},0),ROUND(ROUND(BM.MEDAcumulado,15-13*BM!$A$9)/100*BM!$I645,15-13*ORÇAMENTO!$AF$11),ROUND(ROUND(BM.MEDAcumulado,15-13*BM!$A$9)*ROUND(BM!$H645,15-13*ORÇAMENTO!$AF$10),15-13*ORÇAMENTO!$AF$11))),IF($A645=0,0,ROUND(SomaAgrupBM,15-13*ORÇAMENTO!$AF$11)))</f>
        <v>0</v>
      </c>
    </row>
    <row r="646" spans="1:41" ht="38.25" x14ac:dyDescent="0.2">
      <c r="A646" t="str">
        <f ca="1">ORÇAMENTO!C646</f>
        <v>S</v>
      </c>
      <c r="B646">
        <f ca="1">ORÇAMENTO!D646</f>
        <v>0</v>
      </c>
      <c r="C646" s="116" t="str">
        <f t="shared" ca="1" si="44"/>
        <v/>
      </c>
      <c r="D646" s="119" t="str">
        <f ca="1">ORÇAMENTO!O646</f>
        <v>-</v>
      </c>
      <c r="E646" s="172" t="str">
        <f t="shared" ca="1" si="53"/>
        <v>(abra o arquivo 'Referência 06-2024.xlsm)</v>
      </c>
      <c r="F646" s="173" t="str">
        <f ca="1">IF(RegimeExecucao="Global","",ORÇAMENTO.Unidade)</f>
        <v/>
      </c>
      <c r="G646" s="124" t="str">
        <f ca="1">IF(RegimeExecucao="Global","",ORÇAMENTO!T646)</f>
        <v/>
      </c>
      <c r="H646" s="124" t="str">
        <f ca="1">IF(RegimeExecucao="Global","",ORÇAMENTO!W646)</f>
        <v/>
      </c>
      <c r="I646" s="127">
        <f ca="1">ORÇAMENTO!X646</f>
        <v>0</v>
      </c>
      <c r="J646" s="378">
        <f ca="1">IF($A646="S",IF(CAIXA.Modo,BM.AFAnterior,BM.MEDAnterior),IF(AND(RegimeExecucao="Global",$I646&gt;0,COUNTIF($AB$13:$AM$13,BM.medicao-1)&gt;0),M646/$I646*100,0))</f>
        <v>0</v>
      </c>
      <c r="K646" s="124">
        <f t="shared" ca="1" si="46"/>
        <v>0</v>
      </c>
      <c r="L646" s="379">
        <f ca="1">IF($A646="S",IF(CAIXA.Modo,BM.AFAcumulado,BM.MEDAcumulado),IF(AND(RegimeExecucao="Global",$I646&gt;0,COUNTIF($AB$13:$AM$13,BM.medicao)&gt;0),O646/$I646*100,0))</f>
        <v>0</v>
      </c>
      <c r="M646" s="380">
        <f ca="1">IF($A646="S",VTOTALBM,IF($A646=0,0,ROUND(SomaAgrupBM,15-13*ORÇAMENTO!$AF$11)))</f>
        <v>0</v>
      </c>
      <c r="N646" s="381">
        <f t="shared" ca="1" si="47"/>
        <v>0</v>
      </c>
      <c r="O646" s="127">
        <f ca="1">IF($A646="S",VTOTALBM,IF($A646=0,0,ROUND(SomaAgrupBM,15-13*ORÇAMENTO!$AF$11)))</f>
        <v>0</v>
      </c>
      <c r="Q646" s="382"/>
      <c r="R646" s="383"/>
      <c r="T646" s="119" t="str">
        <f t="shared" ca="1" si="48"/>
        <v/>
      </c>
      <c r="U646" s="172" t="str">
        <f t="shared" ca="1" si="49"/>
        <v/>
      </c>
      <c r="V646" s="173" t="str">
        <f ca="1">IF(AND($W646&gt;0,RegimeExecucao="Unitário"),$F646,"")</f>
        <v/>
      </c>
      <c r="W646" s="547">
        <f ca="1">IF($Y646&gt;0,CHOOSE(MATCH(RegimeExecucao,{"Unitário","Global"},0),IF($A646="S",$Y646/$X646,""),($Y646/$X646)*100),0)</f>
        <v>0</v>
      </c>
      <c r="X646" s="384" t="str">
        <f ca="1">IF($Y646&gt;0,CHOOSE(MATCH(RegimeExecucao,{"Unitário","Global"},0),IF($A646="S",ROUND($H646,ORÇAMENTO!$AF$10),""),ROUND($I646,ORÇAMENTO!$AF$11)),"")</f>
        <v/>
      </c>
      <c r="Y646" s="384">
        <f t="shared" ca="1" si="50"/>
        <v>0</v>
      </c>
      <c r="Z646" s="572"/>
      <c r="AB646" s="382"/>
      <c r="AC646" s="516"/>
      <c r="AD646" s="516"/>
      <c r="AE646" s="516"/>
      <c r="AF646" s="516"/>
      <c r="AG646" s="516"/>
      <c r="AH646" s="516"/>
      <c r="AI646" s="516"/>
      <c r="AJ646" s="516"/>
      <c r="AK646" s="516"/>
      <c r="AL646" s="516"/>
      <c r="AM646" s="383"/>
      <c r="AO646">
        <f ca="1">IF($A646="S",IF(BM!$I646=0,0,CHOOSE(MATCH(RegimeExecucao,{"Global","Unitário"},0),ROUND(ROUND(BM.MEDAcumulado,15-13*BM!$A$9)/100*BM!$I646,15-13*ORÇAMENTO!$AF$11),ROUND(ROUND(BM.MEDAcumulado,15-13*BM!$A$9)*ROUND(BM!$H646,15-13*ORÇAMENTO!$AF$10),15-13*ORÇAMENTO!$AF$11))),IF($A646=0,0,ROUND(SomaAgrupBM,15-13*ORÇAMENTO!$AF$11)))</f>
        <v>0</v>
      </c>
    </row>
    <row r="647" spans="1:41" ht="38.25" x14ac:dyDescent="0.2">
      <c r="A647" t="str">
        <f ca="1">ORÇAMENTO!C647</f>
        <v>S</v>
      </c>
      <c r="B647">
        <f ca="1">ORÇAMENTO!D647</f>
        <v>0</v>
      </c>
      <c r="C647" s="116" t="str">
        <f t="shared" ca="1" si="44"/>
        <v/>
      </c>
      <c r="D647" s="119" t="str">
        <f ca="1">ORÇAMENTO!O647</f>
        <v>-</v>
      </c>
      <c r="E647" s="172" t="str">
        <f t="shared" ca="1" si="53"/>
        <v>(abra o arquivo 'Referência 06-2024.xlsm)</v>
      </c>
      <c r="F647" s="173" t="str">
        <f ca="1">IF(RegimeExecucao="Global","",ORÇAMENTO.Unidade)</f>
        <v/>
      </c>
      <c r="G647" s="124" t="str">
        <f ca="1">IF(RegimeExecucao="Global","",ORÇAMENTO!T647)</f>
        <v/>
      </c>
      <c r="H647" s="124" t="str">
        <f ca="1">IF(RegimeExecucao="Global","",ORÇAMENTO!W647)</f>
        <v/>
      </c>
      <c r="I647" s="127">
        <f ca="1">ORÇAMENTO!X647</f>
        <v>0</v>
      </c>
      <c r="J647" s="378">
        <f ca="1">IF($A647="S",IF(CAIXA.Modo,BM.AFAnterior,BM.MEDAnterior),IF(AND(RegimeExecucao="Global",$I647&gt;0,COUNTIF($AB$13:$AM$13,BM.medicao-1)&gt;0),M647/$I647*100,0))</f>
        <v>0</v>
      </c>
      <c r="K647" s="124">
        <f t="shared" ca="1" si="46"/>
        <v>0</v>
      </c>
      <c r="L647" s="379">
        <f ca="1">IF($A647="S",IF(CAIXA.Modo,BM.AFAcumulado,BM.MEDAcumulado),IF(AND(RegimeExecucao="Global",$I647&gt;0,COUNTIF($AB$13:$AM$13,BM.medicao)&gt;0),O647/$I647*100,0))</f>
        <v>0</v>
      </c>
      <c r="M647" s="380">
        <f ca="1">IF($A647="S",VTOTALBM,IF($A647=0,0,ROUND(SomaAgrupBM,15-13*ORÇAMENTO!$AF$11)))</f>
        <v>0</v>
      </c>
      <c r="N647" s="381">
        <f t="shared" ca="1" si="47"/>
        <v>0</v>
      </c>
      <c r="O647" s="127">
        <f ca="1">IF($A647="S",VTOTALBM,IF($A647=0,0,ROUND(SomaAgrupBM,15-13*ORÇAMENTO!$AF$11)))</f>
        <v>0</v>
      </c>
      <c r="Q647" s="382"/>
      <c r="R647" s="383"/>
      <c r="T647" s="119" t="str">
        <f t="shared" ca="1" si="48"/>
        <v/>
      </c>
      <c r="U647" s="172" t="str">
        <f t="shared" ca="1" si="49"/>
        <v/>
      </c>
      <c r="V647" s="173" t="str">
        <f ca="1">IF(AND($W647&gt;0,RegimeExecucao="Unitário"),$F647,"")</f>
        <v/>
      </c>
      <c r="W647" s="547">
        <f ca="1">IF($Y647&gt;0,CHOOSE(MATCH(RegimeExecucao,{"Unitário","Global"},0),IF($A647="S",$Y647/$X647,""),($Y647/$X647)*100),0)</f>
        <v>0</v>
      </c>
      <c r="X647" s="384" t="str">
        <f ca="1">IF($Y647&gt;0,CHOOSE(MATCH(RegimeExecucao,{"Unitário","Global"},0),IF($A647="S",ROUND($H647,ORÇAMENTO!$AF$10),""),ROUND($I647,ORÇAMENTO!$AF$11)),"")</f>
        <v/>
      </c>
      <c r="Y647" s="384">
        <f t="shared" ca="1" si="50"/>
        <v>0</v>
      </c>
      <c r="Z647" s="572"/>
      <c r="AB647" s="382"/>
      <c r="AC647" s="516"/>
      <c r="AD647" s="516"/>
      <c r="AE647" s="516"/>
      <c r="AF647" s="516"/>
      <c r="AG647" s="516"/>
      <c r="AH647" s="516"/>
      <c r="AI647" s="516"/>
      <c r="AJ647" s="516"/>
      <c r="AK647" s="516"/>
      <c r="AL647" s="516"/>
      <c r="AM647" s="383"/>
      <c r="AO647">
        <f ca="1">IF($A647="S",IF(BM!$I647=0,0,CHOOSE(MATCH(RegimeExecucao,{"Global","Unitário"},0),ROUND(ROUND(BM.MEDAcumulado,15-13*BM!$A$9)/100*BM!$I647,15-13*ORÇAMENTO!$AF$11),ROUND(ROUND(BM.MEDAcumulado,15-13*BM!$A$9)*ROUND(BM!$H647,15-13*ORÇAMENTO!$AF$10),15-13*ORÇAMENTO!$AF$11))),IF($A647=0,0,ROUND(SomaAgrupBM,15-13*ORÇAMENTO!$AF$11)))</f>
        <v>0</v>
      </c>
    </row>
    <row r="648" spans="1:41" ht="38.25" x14ac:dyDescent="0.2">
      <c r="A648" t="str">
        <f ca="1">ORÇAMENTO!C648</f>
        <v>S</v>
      </c>
      <c r="B648">
        <f ca="1">ORÇAMENTO!D648</f>
        <v>0</v>
      </c>
      <c r="C648" s="116" t="str">
        <f t="shared" ca="1" si="44"/>
        <v/>
      </c>
      <c r="D648" s="119" t="str">
        <f ca="1">ORÇAMENTO!O648</f>
        <v>-</v>
      </c>
      <c r="E648" s="172" t="str">
        <f t="shared" ca="1" si="53"/>
        <v>(abra o arquivo 'Referência 06-2024.xlsm)</v>
      </c>
      <c r="F648" s="173" t="str">
        <f ca="1">IF(RegimeExecucao="Global","",ORÇAMENTO.Unidade)</f>
        <v/>
      </c>
      <c r="G648" s="124" t="str">
        <f ca="1">IF(RegimeExecucao="Global","",ORÇAMENTO!T648)</f>
        <v/>
      </c>
      <c r="H648" s="124" t="str">
        <f ca="1">IF(RegimeExecucao="Global","",ORÇAMENTO!W648)</f>
        <v/>
      </c>
      <c r="I648" s="127">
        <f ca="1">ORÇAMENTO!X648</f>
        <v>0</v>
      </c>
      <c r="J648" s="378">
        <f ca="1">IF($A648="S",IF(CAIXA.Modo,BM.AFAnterior,BM.MEDAnterior),IF(AND(RegimeExecucao="Global",$I648&gt;0,COUNTIF($AB$13:$AM$13,BM.medicao-1)&gt;0),M648/$I648*100,0))</f>
        <v>0</v>
      </c>
      <c r="K648" s="124">
        <f t="shared" ca="1" si="46"/>
        <v>0</v>
      </c>
      <c r="L648" s="379">
        <f ca="1">IF($A648="S",IF(CAIXA.Modo,BM.AFAcumulado,BM.MEDAcumulado),IF(AND(RegimeExecucao="Global",$I648&gt;0,COUNTIF($AB$13:$AM$13,BM.medicao)&gt;0),O648/$I648*100,0))</f>
        <v>0</v>
      </c>
      <c r="M648" s="380">
        <f ca="1">IF($A648="S",VTOTALBM,IF($A648=0,0,ROUND(SomaAgrupBM,15-13*ORÇAMENTO!$AF$11)))</f>
        <v>0</v>
      </c>
      <c r="N648" s="381">
        <f t="shared" ca="1" si="47"/>
        <v>0</v>
      </c>
      <c r="O648" s="127">
        <f ca="1">IF($A648="S",VTOTALBM,IF($A648=0,0,ROUND(SomaAgrupBM,15-13*ORÇAMENTO!$AF$11)))</f>
        <v>0</v>
      </c>
      <c r="Q648" s="382"/>
      <c r="R648" s="383"/>
      <c r="T648" s="119" t="str">
        <f t="shared" ca="1" si="48"/>
        <v/>
      </c>
      <c r="U648" s="172" t="str">
        <f t="shared" ca="1" si="49"/>
        <v/>
      </c>
      <c r="V648" s="173" t="str">
        <f ca="1">IF(AND($W648&gt;0,RegimeExecucao="Unitário"),$F648,"")</f>
        <v/>
      </c>
      <c r="W648" s="547">
        <f ca="1">IF($Y648&gt;0,CHOOSE(MATCH(RegimeExecucao,{"Unitário","Global"},0),IF($A648="S",$Y648/$X648,""),($Y648/$X648)*100),0)</f>
        <v>0</v>
      </c>
      <c r="X648" s="384" t="str">
        <f ca="1">IF($Y648&gt;0,CHOOSE(MATCH(RegimeExecucao,{"Unitário","Global"},0),IF($A648="S",ROUND($H648,ORÇAMENTO!$AF$10),""),ROUND($I648,ORÇAMENTO!$AF$11)),"")</f>
        <v/>
      </c>
      <c r="Y648" s="384">
        <f t="shared" ca="1" si="50"/>
        <v>0</v>
      </c>
      <c r="Z648" s="572"/>
      <c r="AB648" s="382"/>
      <c r="AC648" s="516"/>
      <c r="AD648" s="516"/>
      <c r="AE648" s="516"/>
      <c r="AF648" s="516"/>
      <c r="AG648" s="516"/>
      <c r="AH648" s="516"/>
      <c r="AI648" s="516"/>
      <c r="AJ648" s="516"/>
      <c r="AK648" s="516"/>
      <c r="AL648" s="516"/>
      <c r="AM648" s="383"/>
      <c r="AO648">
        <f ca="1">IF($A648="S",IF(BM!$I648=0,0,CHOOSE(MATCH(RegimeExecucao,{"Global","Unitário"},0),ROUND(ROUND(BM.MEDAcumulado,15-13*BM!$A$9)/100*BM!$I648,15-13*ORÇAMENTO!$AF$11),ROUND(ROUND(BM.MEDAcumulado,15-13*BM!$A$9)*ROUND(BM!$H648,15-13*ORÇAMENTO!$AF$10),15-13*ORÇAMENTO!$AF$11))),IF($A648=0,0,ROUND(SomaAgrupBM,15-13*ORÇAMENTO!$AF$11)))</f>
        <v>0</v>
      </c>
    </row>
    <row r="649" spans="1:41" x14ac:dyDescent="0.2">
      <c r="A649" t="str">
        <f ca="1">ORÇAMENTO!C649</f>
        <v>S</v>
      </c>
      <c r="B649">
        <f ca="1">ORÇAMENTO!D649</f>
        <v>0</v>
      </c>
      <c r="C649" s="116" t="str">
        <f t="shared" ca="1" si="44"/>
        <v/>
      </c>
      <c r="D649" s="119" t="str">
        <f ca="1">ORÇAMENTO!O649</f>
        <v>-</v>
      </c>
      <c r="E649" s="172" t="str">
        <f t="shared" ca="1" si="53"/>
        <v>(abra o arquivo 'Referência 06-2024.xlsm)</v>
      </c>
      <c r="F649" s="173" t="str">
        <f ca="1">IF(RegimeExecucao="Global","",ORÇAMENTO.Unidade)</f>
        <v/>
      </c>
      <c r="G649" s="124" t="str">
        <f ca="1">IF(RegimeExecucao="Global","",ORÇAMENTO!T649)</f>
        <v/>
      </c>
      <c r="H649" s="124" t="str">
        <f ca="1">IF(RegimeExecucao="Global","",ORÇAMENTO!W649)</f>
        <v/>
      </c>
      <c r="I649" s="127">
        <f ca="1">ORÇAMENTO!X649</f>
        <v>0</v>
      </c>
      <c r="J649" s="378">
        <f ca="1">IF($A649="S",IF(CAIXA.Modo,BM.AFAnterior,BM.MEDAnterior),IF(AND(RegimeExecucao="Global",$I649&gt;0,COUNTIF($AB$13:$AM$13,BM.medicao-1)&gt;0),M649/$I649*100,0))</f>
        <v>0</v>
      </c>
      <c r="K649" s="124">
        <f t="shared" ca="1" si="46"/>
        <v>0</v>
      </c>
      <c r="L649" s="379">
        <f ca="1">IF($A649="S",IF(CAIXA.Modo,BM.AFAcumulado,BM.MEDAcumulado),IF(AND(RegimeExecucao="Global",$I649&gt;0,COUNTIF($AB$13:$AM$13,BM.medicao)&gt;0),O649/$I649*100,0))</f>
        <v>0</v>
      </c>
      <c r="M649" s="380">
        <f ca="1">IF($A649="S",VTOTALBM,IF($A649=0,0,ROUND(SomaAgrupBM,15-13*ORÇAMENTO!$AF$11)))</f>
        <v>0</v>
      </c>
      <c r="N649" s="381">
        <f t="shared" ca="1" si="47"/>
        <v>0</v>
      </c>
      <c r="O649" s="127">
        <f ca="1">IF($A649="S",VTOTALBM,IF($A649=0,0,ROUND(SomaAgrupBM,15-13*ORÇAMENTO!$AF$11)))</f>
        <v>0</v>
      </c>
      <c r="Q649" s="382"/>
      <c r="R649" s="383"/>
      <c r="T649" s="119" t="str">
        <f t="shared" ca="1" si="48"/>
        <v/>
      </c>
      <c r="U649" s="172" t="str">
        <f t="shared" ca="1" si="49"/>
        <v/>
      </c>
      <c r="V649" s="173" t="str">
        <f ca="1">IF(AND($W649&gt;0,RegimeExecucao="Unitário"),$F649,"")</f>
        <v/>
      </c>
      <c r="W649" s="547">
        <f ca="1">IF($Y649&gt;0,CHOOSE(MATCH(RegimeExecucao,{"Unitário","Global"},0),IF($A649="S",$Y649/$X649,""),($Y649/$X649)*100),0)</f>
        <v>0</v>
      </c>
      <c r="X649" s="384" t="str">
        <f ca="1">IF($Y649&gt;0,CHOOSE(MATCH(RegimeExecucao,{"Unitário","Global"},0),IF($A649="S",ROUND($H649,ORÇAMENTO!$AF$10),""),ROUND($I649,ORÇAMENTO!$AF$11)),"")</f>
        <v/>
      </c>
      <c r="Y649" s="384">
        <f t="shared" ca="1" si="50"/>
        <v>0</v>
      </c>
      <c r="Z649" s="572"/>
      <c r="AB649" s="382"/>
      <c r="AC649" s="516"/>
      <c r="AD649" s="516"/>
      <c r="AE649" s="516"/>
      <c r="AF649" s="516"/>
      <c r="AG649" s="516"/>
      <c r="AH649" s="516"/>
      <c r="AI649" s="516"/>
      <c r="AJ649" s="516"/>
      <c r="AK649" s="516"/>
      <c r="AL649" s="516"/>
      <c r="AM649" s="383"/>
      <c r="AO649">
        <f ca="1">IF($A649="S",IF(BM!$I649=0,0,CHOOSE(MATCH(RegimeExecucao,{"Global","Unitário"},0),ROUND(ROUND(BM.MEDAcumulado,15-13*BM!$A$9)/100*BM!$I649,15-13*ORÇAMENTO!$AF$11),ROUND(ROUND(BM.MEDAcumulado,15-13*BM!$A$9)*ROUND(BM!$H649,15-13*ORÇAMENTO!$AF$10),15-13*ORÇAMENTO!$AF$11))),IF($A649=0,0,ROUND(SomaAgrupBM,15-13*ORÇAMENTO!$AF$11)))</f>
        <v>0</v>
      </c>
    </row>
    <row r="650" spans="1:41" x14ac:dyDescent="0.2">
      <c r="A650" t="str">
        <f ca="1">ORÇAMENTO!C650</f>
        <v>S</v>
      </c>
      <c r="B650">
        <f ca="1">ORÇAMENTO!D650</f>
        <v>0</v>
      </c>
      <c r="C650" s="116" t="str">
        <f t="shared" ca="1" si="44"/>
        <v/>
      </c>
      <c r="D650" s="119" t="str">
        <f ca="1">ORÇAMENTO!O650</f>
        <v>-</v>
      </c>
      <c r="E650" s="172" t="str">
        <f t="shared" ca="1" si="53"/>
        <v>(abra o arquivo 'Referência 06-2024.xlsm)</v>
      </c>
      <c r="F650" s="173" t="str">
        <f ca="1">IF(RegimeExecucao="Global","",ORÇAMENTO.Unidade)</f>
        <v/>
      </c>
      <c r="G650" s="124" t="str">
        <f ca="1">IF(RegimeExecucao="Global","",ORÇAMENTO!T650)</f>
        <v/>
      </c>
      <c r="H650" s="124" t="str">
        <f ca="1">IF(RegimeExecucao="Global","",ORÇAMENTO!W650)</f>
        <v/>
      </c>
      <c r="I650" s="127">
        <f ca="1">ORÇAMENTO!X650</f>
        <v>0</v>
      </c>
      <c r="J650" s="378">
        <f ca="1">IF($A650="S",IF(CAIXA.Modo,BM.AFAnterior,BM.MEDAnterior),IF(AND(RegimeExecucao="Global",$I650&gt;0,COUNTIF($AB$13:$AM$13,BM.medicao-1)&gt;0),M650/$I650*100,0))</f>
        <v>0</v>
      </c>
      <c r="K650" s="124">
        <f t="shared" ca="1" si="46"/>
        <v>0</v>
      </c>
      <c r="L650" s="379">
        <f ca="1">IF($A650="S",IF(CAIXA.Modo,BM.AFAcumulado,BM.MEDAcumulado),IF(AND(RegimeExecucao="Global",$I650&gt;0,COUNTIF($AB$13:$AM$13,BM.medicao)&gt;0),O650/$I650*100,0))</f>
        <v>0</v>
      </c>
      <c r="M650" s="380">
        <f ca="1">IF($A650="S",VTOTALBM,IF($A650=0,0,ROUND(SomaAgrupBM,15-13*ORÇAMENTO!$AF$11)))</f>
        <v>0</v>
      </c>
      <c r="N650" s="381">
        <f t="shared" ca="1" si="47"/>
        <v>0</v>
      </c>
      <c r="O650" s="127">
        <f ca="1">IF($A650="S",VTOTALBM,IF($A650=0,0,ROUND(SomaAgrupBM,15-13*ORÇAMENTO!$AF$11)))</f>
        <v>0</v>
      </c>
      <c r="Q650" s="382"/>
      <c r="R650" s="383"/>
      <c r="T650" s="119" t="str">
        <f t="shared" ca="1" si="48"/>
        <v/>
      </c>
      <c r="U650" s="172" t="str">
        <f t="shared" ca="1" si="49"/>
        <v/>
      </c>
      <c r="V650" s="173" t="str">
        <f ca="1">IF(AND($W650&gt;0,RegimeExecucao="Unitário"),$F650,"")</f>
        <v/>
      </c>
      <c r="W650" s="547">
        <f ca="1">IF($Y650&gt;0,CHOOSE(MATCH(RegimeExecucao,{"Unitário","Global"},0),IF($A650="S",$Y650/$X650,""),($Y650/$X650)*100),0)</f>
        <v>0</v>
      </c>
      <c r="X650" s="384" t="str">
        <f ca="1">IF($Y650&gt;0,CHOOSE(MATCH(RegimeExecucao,{"Unitário","Global"},0),IF($A650="S",ROUND($H650,ORÇAMENTO!$AF$10),""),ROUND($I650,ORÇAMENTO!$AF$11)),"")</f>
        <v/>
      </c>
      <c r="Y650" s="384">
        <f t="shared" ca="1" si="50"/>
        <v>0</v>
      </c>
      <c r="Z650" s="572"/>
      <c r="AB650" s="382"/>
      <c r="AC650" s="516"/>
      <c r="AD650" s="516"/>
      <c r="AE650" s="516"/>
      <c r="AF650" s="516"/>
      <c r="AG650" s="516"/>
      <c r="AH650" s="516"/>
      <c r="AI650" s="516"/>
      <c r="AJ650" s="516"/>
      <c r="AK650" s="516"/>
      <c r="AL650" s="516"/>
      <c r="AM650" s="383"/>
      <c r="AO650">
        <f ca="1">IF($A650="S",IF(BM!$I650=0,0,CHOOSE(MATCH(RegimeExecucao,{"Global","Unitário"},0),ROUND(ROUND(BM.MEDAcumulado,15-13*BM!$A$9)/100*BM!$I650,15-13*ORÇAMENTO!$AF$11),ROUND(ROUND(BM.MEDAcumulado,15-13*BM!$A$9)*ROUND(BM!$H650,15-13*ORÇAMENTO!$AF$10),15-13*ORÇAMENTO!$AF$11))),IF($A650=0,0,ROUND(SomaAgrupBM,15-13*ORÇAMENTO!$AF$11)))</f>
        <v>0</v>
      </c>
    </row>
    <row r="651" spans="1:41" ht="25.5" x14ac:dyDescent="0.2">
      <c r="A651" t="str">
        <f ca="1">ORÇAMENTO!C651</f>
        <v>S</v>
      </c>
      <c r="B651">
        <f ca="1">ORÇAMENTO!D651</f>
        <v>0</v>
      </c>
      <c r="C651" s="116" t="str">
        <f t="shared" ca="1" si="44"/>
        <v/>
      </c>
      <c r="D651" s="119" t="str">
        <f ca="1">ORÇAMENTO!O651</f>
        <v>-</v>
      </c>
      <c r="E651" s="172" t="str">
        <f t="shared" ca="1" si="53"/>
        <v>(abra o arquivo 'Referência 06-2024.xlsm)</v>
      </c>
      <c r="F651" s="173" t="str">
        <f ca="1">IF(RegimeExecucao="Global","",ORÇAMENTO.Unidade)</f>
        <v/>
      </c>
      <c r="G651" s="124" t="str">
        <f ca="1">IF(RegimeExecucao="Global","",ORÇAMENTO!T651)</f>
        <v/>
      </c>
      <c r="H651" s="124" t="str">
        <f ca="1">IF(RegimeExecucao="Global","",ORÇAMENTO!W651)</f>
        <v/>
      </c>
      <c r="I651" s="127">
        <f ca="1">ORÇAMENTO!X651</f>
        <v>0</v>
      </c>
      <c r="J651" s="378">
        <f ca="1">IF($A651="S",IF(CAIXA.Modo,BM.AFAnterior,BM.MEDAnterior),IF(AND(RegimeExecucao="Global",$I651&gt;0,COUNTIF($AB$13:$AM$13,BM.medicao-1)&gt;0),M651/$I651*100,0))</f>
        <v>0</v>
      </c>
      <c r="K651" s="124">
        <f t="shared" ca="1" si="46"/>
        <v>0</v>
      </c>
      <c r="L651" s="379">
        <f ca="1">IF($A651="S",IF(CAIXA.Modo,BM.AFAcumulado,BM.MEDAcumulado),IF(AND(RegimeExecucao="Global",$I651&gt;0,COUNTIF($AB$13:$AM$13,BM.medicao)&gt;0),O651/$I651*100,0))</f>
        <v>0</v>
      </c>
      <c r="M651" s="380">
        <f ca="1">IF($A651="S",VTOTALBM,IF($A651=0,0,ROUND(SomaAgrupBM,15-13*ORÇAMENTO!$AF$11)))</f>
        <v>0</v>
      </c>
      <c r="N651" s="381">
        <f t="shared" ca="1" si="47"/>
        <v>0</v>
      </c>
      <c r="O651" s="127">
        <f ca="1">IF($A651="S",VTOTALBM,IF($A651=0,0,ROUND(SomaAgrupBM,15-13*ORÇAMENTO!$AF$11)))</f>
        <v>0</v>
      </c>
      <c r="Q651" s="382"/>
      <c r="R651" s="383"/>
      <c r="T651" s="119" t="str">
        <f t="shared" ca="1" si="48"/>
        <v/>
      </c>
      <c r="U651" s="172" t="str">
        <f t="shared" ca="1" si="49"/>
        <v/>
      </c>
      <c r="V651" s="173" t="str">
        <f ca="1">IF(AND($W651&gt;0,RegimeExecucao="Unitário"),$F651,"")</f>
        <v/>
      </c>
      <c r="W651" s="547">
        <f ca="1">IF($Y651&gt;0,CHOOSE(MATCH(RegimeExecucao,{"Unitário","Global"},0),IF($A651="S",$Y651/$X651,""),($Y651/$X651)*100),0)</f>
        <v>0</v>
      </c>
      <c r="X651" s="384" t="str">
        <f ca="1">IF($Y651&gt;0,CHOOSE(MATCH(RegimeExecucao,{"Unitário","Global"},0),IF($A651="S",ROUND($H651,ORÇAMENTO!$AF$10),""),ROUND($I651,ORÇAMENTO!$AF$11)),"")</f>
        <v/>
      </c>
      <c r="Y651" s="384">
        <f t="shared" ca="1" si="50"/>
        <v>0</v>
      </c>
      <c r="Z651" s="572"/>
      <c r="AB651" s="382"/>
      <c r="AC651" s="516"/>
      <c r="AD651" s="516"/>
      <c r="AE651" s="516"/>
      <c r="AF651" s="516"/>
      <c r="AG651" s="516"/>
      <c r="AH651" s="516"/>
      <c r="AI651" s="516"/>
      <c r="AJ651" s="516"/>
      <c r="AK651" s="516"/>
      <c r="AL651" s="516"/>
      <c r="AM651" s="383"/>
      <c r="AO651">
        <f ca="1">IF($A651="S",IF(BM!$I651=0,0,CHOOSE(MATCH(RegimeExecucao,{"Global","Unitário"},0),ROUND(ROUND(BM.MEDAcumulado,15-13*BM!$A$9)/100*BM!$I651,15-13*ORÇAMENTO!$AF$11),ROUND(ROUND(BM.MEDAcumulado,15-13*BM!$A$9)*ROUND(BM!$H651,15-13*ORÇAMENTO!$AF$10),15-13*ORÇAMENTO!$AF$11))),IF($A651=0,0,ROUND(SomaAgrupBM,15-13*ORÇAMENTO!$AF$11)))</f>
        <v>0</v>
      </c>
    </row>
    <row r="652" spans="1:41" x14ac:dyDescent="0.2">
      <c r="A652" t="str">
        <f ca="1">ORÇAMENTO!C652</f>
        <v>S</v>
      </c>
      <c r="B652">
        <f ca="1">ORÇAMENTO!D652</f>
        <v>0</v>
      </c>
      <c r="C652" s="116" t="str">
        <f t="shared" ca="1" si="44"/>
        <v/>
      </c>
      <c r="D652" s="119" t="str">
        <f ca="1">ORÇAMENTO!O652</f>
        <v>-</v>
      </c>
      <c r="E652" s="172" t="str">
        <f t="shared" ca="1" si="53"/>
        <v>(abra o arquivo 'Referência 06-2024.xlsm)</v>
      </c>
      <c r="F652" s="173" t="str">
        <f ca="1">IF(RegimeExecucao="Global","",ORÇAMENTO.Unidade)</f>
        <v/>
      </c>
      <c r="G652" s="124" t="str">
        <f ca="1">IF(RegimeExecucao="Global","",ORÇAMENTO!T652)</f>
        <v/>
      </c>
      <c r="H652" s="124" t="str">
        <f ca="1">IF(RegimeExecucao="Global","",ORÇAMENTO!W652)</f>
        <v/>
      </c>
      <c r="I652" s="127">
        <f ca="1">ORÇAMENTO!X652</f>
        <v>0</v>
      </c>
      <c r="J652" s="378">
        <f ca="1">IF($A652="S",IF(CAIXA.Modo,BM.AFAnterior,BM.MEDAnterior),IF(AND(RegimeExecucao="Global",$I652&gt;0,COUNTIF($AB$13:$AM$13,BM.medicao-1)&gt;0),M652/$I652*100,0))</f>
        <v>0</v>
      </c>
      <c r="K652" s="124">
        <f t="shared" ca="1" si="46"/>
        <v>0</v>
      </c>
      <c r="L652" s="379">
        <f ca="1">IF($A652="S",IF(CAIXA.Modo,BM.AFAcumulado,BM.MEDAcumulado),IF(AND(RegimeExecucao="Global",$I652&gt;0,COUNTIF($AB$13:$AM$13,BM.medicao)&gt;0),O652/$I652*100,0))</f>
        <v>0</v>
      </c>
      <c r="M652" s="380">
        <f ca="1">IF($A652="S",VTOTALBM,IF($A652=0,0,ROUND(SomaAgrupBM,15-13*ORÇAMENTO!$AF$11)))</f>
        <v>0</v>
      </c>
      <c r="N652" s="381">
        <f t="shared" ca="1" si="47"/>
        <v>0</v>
      </c>
      <c r="O652" s="127">
        <f ca="1">IF($A652="S",VTOTALBM,IF($A652=0,0,ROUND(SomaAgrupBM,15-13*ORÇAMENTO!$AF$11)))</f>
        <v>0</v>
      </c>
      <c r="Q652" s="382"/>
      <c r="R652" s="383"/>
      <c r="T652" s="119" t="str">
        <f t="shared" ca="1" si="48"/>
        <v/>
      </c>
      <c r="U652" s="172" t="str">
        <f t="shared" ca="1" si="49"/>
        <v/>
      </c>
      <c r="V652" s="173" t="str">
        <f ca="1">IF(AND($W652&gt;0,RegimeExecucao="Unitário"),$F652,"")</f>
        <v/>
      </c>
      <c r="W652" s="547">
        <f ca="1">IF($Y652&gt;0,CHOOSE(MATCH(RegimeExecucao,{"Unitário","Global"},0),IF($A652="S",$Y652/$X652,""),($Y652/$X652)*100),0)</f>
        <v>0</v>
      </c>
      <c r="X652" s="384" t="str">
        <f ca="1">IF($Y652&gt;0,CHOOSE(MATCH(RegimeExecucao,{"Unitário","Global"},0),IF($A652="S",ROUND($H652,ORÇAMENTO!$AF$10),""),ROUND($I652,ORÇAMENTO!$AF$11)),"")</f>
        <v/>
      </c>
      <c r="Y652" s="384">
        <f t="shared" ca="1" si="50"/>
        <v>0</v>
      </c>
      <c r="Z652" s="572"/>
      <c r="AB652" s="382"/>
      <c r="AC652" s="516"/>
      <c r="AD652" s="516"/>
      <c r="AE652" s="516"/>
      <c r="AF652" s="516"/>
      <c r="AG652" s="516"/>
      <c r="AH652" s="516"/>
      <c r="AI652" s="516"/>
      <c r="AJ652" s="516"/>
      <c r="AK652" s="516"/>
      <c r="AL652" s="516"/>
      <c r="AM652" s="383"/>
      <c r="AO652">
        <f ca="1">IF($A652="S",IF(BM!$I652=0,0,CHOOSE(MATCH(RegimeExecucao,{"Global","Unitário"},0),ROUND(ROUND(BM.MEDAcumulado,15-13*BM!$A$9)/100*BM!$I652,15-13*ORÇAMENTO!$AF$11),ROUND(ROUND(BM.MEDAcumulado,15-13*BM!$A$9)*ROUND(BM!$H652,15-13*ORÇAMENTO!$AF$10),15-13*ORÇAMENTO!$AF$11))),IF($A652=0,0,ROUND(SomaAgrupBM,15-13*ORÇAMENTO!$AF$11)))</f>
        <v>0</v>
      </c>
    </row>
    <row r="653" spans="1:41" ht="38.25" x14ac:dyDescent="0.2">
      <c r="A653" t="str">
        <f ca="1">ORÇAMENTO!C653</f>
        <v>S</v>
      </c>
      <c r="B653">
        <f ca="1">ORÇAMENTO!D653</f>
        <v>0</v>
      </c>
      <c r="C653" s="116" t="str">
        <f t="shared" ca="1" si="44"/>
        <v/>
      </c>
      <c r="D653" s="119" t="str">
        <f ca="1">ORÇAMENTO!O653</f>
        <v>-</v>
      </c>
      <c r="E653" s="172" t="str">
        <f t="shared" ca="1" si="53"/>
        <v>(abra o arquivo 'Referência 06-2024.xlsm)</v>
      </c>
      <c r="F653" s="173" t="str">
        <f ca="1">IF(RegimeExecucao="Global","",ORÇAMENTO.Unidade)</f>
        <v/>
      </c>
      <c r="G653" s="124" t="str">
        <f ca="1">IF(RegimeExecucao="Global","",ORÇAMENTO!T653)</f>
        <v/>
      </c>
      <c r="H653" s="124" t="str">
        <f ca="1">IF(RegimeExecucao="Global","",ORÇAMENTO!W653)</f>
        <v/>
      </c>
      <c r="I653" s="127">
        <f ca="1">ORÇAMENTO!X653</f>
        <v>0</v>
      </c>
      <c r="J653" s="378">
        <f ca="1">IF($A653="S",IF(CAIXA.Modo,BM.AFAnterior,BM.MEDAnterior),IF(AND(RegimeExecucao="Global",$I653&gt;0,COUNTIF($AB$13:$AM$13,BM.medicao-1)&gt;0),M653/$I653*100,0))</f>
        <v>0</v>
      </c>
      <c r="K653" s="124">
        <f t="shared" ca="1" si="46"/>
        <v>0</v>
      </c>
      <c r="L653" s="379">
        <f ca="1">IF($A653="S",IF(CAIXA.Modo,BM.AFAcumulado,BM.MEDAcumulado),IF(AND(RegimeExecucao="Global",$I653&gt;0,COUNTIF($AB$13:$AM$13,BM.medicao)&gt;0),O653/$I653*100,0))</f>
        <v>0</v>
      </c>
      <c r="M653" s="380">
        <f ca="1">IF($A653="S",VTOTALBM,IF($A653=0,0,ROUND(SomaAgrupBM,15-13*ORÇAMENTO!$AF$11)))</f>
        <v>0</v>
      </c>
      <c r="N653" s="381">
        <f t="shared" ca="1" si="47"/>
        <v>0</v>
      </c>
      <c r="O653" s="127">
        <f ca="1">IF($A653="S",VTOTALBM,IF($A653=0,0,ROUND(SomaAgrupBM,15-13*ORÇAMENTO!$AF$11)))</f>
        <v>0</v>
      </c>
      <c r="Q653" s="382"/>
      <c r="R653" s="383"/>
      <c r="T653" s="119" t="str">
        <f t="shared" ca="1" si="48"/>
        <v/>
      </c>
      <c r="U653" s="172" t="str">
        <f t="shared" ca="1" si="49"/>
        <v/>
      </c>
      <c r="V653" s="173" t="str">
        <f ca="1">IF(AND($W653&gt;0,RegimeExecucao="Unitário"),$F653,"")</f>
        <v/>
      </c>
      <c r="W653" s="547">
        <f ca="1">IF($Y653&gt;0,CHOOSE(MATCH(RegimeExecucao,{"Unitário","Global"},0),IF($A653="S",$Y653/$X653,""),($Y653/$X653)*100),0)</f>
        <v>0</v>
      </c>
      <c r="X653" s="384" t="str">
        <f ca="1">IF($Y653&gt;0,CHOOSE(MATCH(RegimeExecucao,{"Unitário","Global"},0),IF($A653="S",ROUND($H653,ORÇAMENTO!$AF$10),""),ROUND($I653,ORÇAMENTO!$AF$11)),"")</f>
        <v/>
      </c>
      <c r="Y653" s="384">
        <f t="shared" ca="1" si="50"/>
        <v>0</v>
      </c>
      <c r="Z653" s="572"/>
      <c r="AB653" s="382"/>
      <c r="AC653" s="516"/>
      <c r="AD653" s="516"/>
      <c r="AE653" s="516"/>
      <c r="AF653" s="516"/>
      <c r="AG653" s="516"/>
      <c r="AH653" s="516"/>
      <c r="AI653" s="516"/>
      <c r="AJ653" s="516"/>
      <c r="AK653" s="516"/>
      <c r="AL653" s="516"/>
      <c r="AM653" s="383"/>
      <c r="AO653">
        <f ca="1">IF($A653="S",IF(BM!$I653=0,0,CHOOSE(MATCH(RegimeExecucao,{"Global","Unitário"},0),ROUND(ROUND(BM.MEDAcumulado,15-13*BM!$A$9)/100*BM!$I653,15-13*ORÇAMENTO!$AF$11),ROUND(ROUND(BM.MEDAcumulado,15-13*BM!$A$9)*ROUND(BM!$H653,15-13*ORÇAMENTO!$AF$10),15-13*ORÇAMENTO!$AF$11))),IF($A653=0,0,ROUND(SomaAgrupBM,15-13*ORÇAMENTO!$AF$11)))</f>
        <v>0</v>
      </c>
    </row>
    <row r="654" spans="1:41" x14ac:dyDescent="0.2">
      <c r="A654">
        <f ca="1">ORÇAMENTO!C654</f>
        <v>2</v>
      </c>
      <c r="B654">
        <f ca="1">ORÇAMENTO!D654</f>
        <v>2</v>
      </c>
      <c r="C654" s="116" t="str">
        <f t="shared" ca="1" si="44"/>
        <v>F</v>
      </c>
      <c r="D654" s="119" t="str">
        <f ca="1">ORÇAMENTO!O654</f>
        <v>1.69.</v>
      </c>
      <c r="E654" s="172" t="str">
        <f t="shared" si="53"/>
        <v>INSTALAÇÕES DE CABEAMENTO ESTRUTURADO - CABEAMENTO</v>
      </c>
      <c r="F654" s="173" t="str">
        <f ca="1">IF(RegimeExecucao="Global","",ORÇAMENTO.Unidade)</f>
        <v/>
      </c>
      <c r="G654" s="124" t="str">
        <f ca="1">IF(RegimeExecucao="Global","",ORÇAMENTO!T654)</f>
        <v/>
      </c>
      <c r="H654" s="124" t="str">
        <f ca="1">IF(RegimeExecucao="Global","",ORÇAMENTO!W654)</f>
        <v/>
      </c>
      <c r="I654" s="127">
        <f ca="1">ORÇAMENTO!X654</f>
        <v>0</v>
      </c>
      <c r="J654" s="378">
        <f ca="1">IF($A654="S",IF(CAIXA.Modo,BM.AFAnterior,BM.MEDAnterior),IF(AND(RegimeExecucao="Global",$I654&gt;0,COUNTIF($AB$13:$AM$13,BM.medicao-1)&gt;0),M654/$I654*100,0))</f>
        <v>0</v>
      </c>
      <c r="K654" s="124">
        <f t="shared" ca="1" si="46"/>
        <v>0</v>
      </c>
      <c r="L654" s="379">
        <f ca="1">IF($A654="S",IF(CAIXA.Modo,BM.AFAcumulado,BM.MEDAcumulado),IF(AND(RegimeExecucao="Global",$I654&gt;0,COUNTIF($AB$13:$AM$13,BM.medicao)&gt;0),O654/$I654*100,0))</f>
        <v>0</v>
      </c>
      <c r="M654" s="380">
        <f ca="1">IF($A654="S",VTOTALBM,IF($A654=0,0,ROUND(SomaAgrupBM,15-13*ORÇAMENTO!$AF$11)))</f>
        <v>0</v>
      </c>
      <c r="N654" s="381">
        <f t="shared" ca="1" si="47"/>
        <v>0</v>
      </c>
      <c r="O654" s="127">
        <f ca="1">IF($A654="S",VTOTALBM,IF($A654=0,0,ROUND(SomaAgrupBM,15-13*ORÇAMENTO!$AF$11)))</f>
        <v>0</v>
      </c>
      <c r="Q654" s="382"/>
      <c r="R654" s="383"/>
      <c r="T654" s="119" t="str">
        <f t="shared" ca="1" si="48"/>
        <v/>
      </c>
      <c r="U654" s="172" t="str">
        <f t="shared" ca="1" si="49"/>
        <v/>
      </c>
      <c r="V654" s="173" t="str">
        <f ca="1">IF(AND($W654&gt;0,RegimeExecucao="Unitário"),$F654,"")</f>
        <v/>
      </c>
      <c r="W654" s="547">
        <f ca="1">IF($Y654&gt;0,CHOOSE(MATCH(RegimeExecucao,{"Unitário","Global"},0),IF($A654="S",$Y654/$X654,""),($Y654/$X654)*100),0)</f>
        <v>0</v>
      </c>
      <c r="X654" s="384" t="str">
        <f ca="1">IF($Y654&gt;0,CHOOSE(MATCH(RegimeExecucao,{"Unitário","Global"},0),IF($A654="S",ROUND($H654,ORÇAMENTO!$AF$10),""),ROUND($I654,ORÇAMENTO!$AF$11)),"")</f>
        <v/>
      </c>
      <c r="Y654" s="384">
        <f t="shared" ca="1" si="50"/>
        <v>0</v>
      </c>
      <c r="Z654" s="572"/>
      <c r="AB654" s="382"/>
      <c r="AC654" s="516"/>
      <c r="AD654" s="516"/>
      <c r="AE654" s="516"/>
      <c r="AF654" s="516"/>
      <c r="AG654" s="516"/>
      <c r="AH654" s="516"/>
      <c r="AI654" s="516"/>
      <c r="AJ654" s="516"/>
      <c r="AK654" s="516"/>
      <c r="AL654" s="516"/>
      <c r="AM654" s="383"/>
      <c r="AO654">
        <f ca="1">IF($A654="S",IF(BM!$I654=0,0,CHOOSE(MATCH(RegimeExecucao,{"Global","Unitário"},0),ROUND(ROUND(BM.MEDAcumulado,15-13*BM!$A$9)/100*BM!$I654,15-13*ORÇAMENTO!$AF$11),ROUND(ROUND(BM.MEDAcumulado,15-13*BM!$A$9)*ROUND(BM!$H654,15-13*ORÇAMENTO!$AF$10),15-13*ORÇAMENTO!$AF$11))),IF($A654=0,0,ROUND(SomaAgrupBM,15-13*ORÇAMENTO!$AF$11)))</f>
        <v>0</v>
      </c>
    </row>
    <row r="655" spans="1:41" ht="25.5" x14ac:dyDescent="0.2">
      <c r="A655" t="str">
        <f ca="1">ORÇAMENTO!C655</f>
        <v>S</v>
      </c>
      <c r="B655">
        <f ca="1">ORÇAMENTO!D655</f>
        <v>0</v>
      </c>
      <c r="C655" s="116" t="str">
        <f t="shared" ca="1" si="44"/>
        <v/>
      </c>
      <c r="D655" s="119" t="str">
        <f ca="1">ORÇAMENTO!O655</f>
        <v>-</v>
      </c>
      <c r="E655" s="172" t="str">
        <f t="shared" ca="1" si="53"/>
        <v>(abra o arquivo 'Referência 06-2024.xlsm)</v>
      </c>
      <c r="F655" s="173" t="str">
        <f ca="1">IF(RegimeExecucao="Global","",ORÇAMENTO.Unidade)</f>
        <v/>
      </c>
      <c r="G655" s="124" t="str">
        <f ca="1">IF(RegimeExecucao="Global","",ORÇAMENTO!T655)</f>
        <v/>
      </c>
      <c r="H655" s="124" t="str">
        <f ca="1">IF(RegimeExecucao="Global","",ORÇAMENTO!W655)</f>
        <v/>
      </c>
      <c r="I655" s="127">
        <f ca="1">ORÇAMENTO!X655</f>
        <v>0</v>
      </c>
      <c r="J655" s="378">
        <f ca="1">IF($A655="S",IF(CAIXA.Modo,BM.AFAnterior,BM.MEDAnterior),IF(AND(RegimeExecucao="Global",$I655&gt;0,COUNTIF($AB$13:$AM$13,BM.medicao-1)&gt;0),M655/$I655*100,0))</f>
        <v>0</v>
      </c>
      <c r="K655" s="124">
        <f t="shared" ca="1" si="46"/>
        <v>0</v>
      </c>
      <c r="L655" s="379">
        <f ca="1">IF($A655="S",IF(CAIXA.Modo,BM.AFAcumulado,BM.MEDAcumulado),IF(AND(RegimeExecucao="Global",$I655&gt;0,COUNTIF($AB$13:$AM$13,BM.medicao)&gt;0),O655/$I655*100,0))</f>
        <v>0</v>
      </c>
      <c r="M655" s="380">
        <f ca="1">IF($A655="S",VTOTALBM,IF($A655=0,0,ROUND(SomaAgrupBM,15-13*ORÇAMENTO!$AF$11)))</f>
        <v>0</v>
      </c>
      <c r="N655" s="381">
        <f t="shared" ca="1" si="47"/>
        <v>0</v>
      </c>
      <c r="O655" s="127">
        <f ca="1">IF($A655="S",VTOTALBM,IF($A655=0,0,ROUND(SomaAgrupBM,15-13*ORÇAMENTO!$AF$11)))</f>
        <v>0</v>
      </c>
      <c r="Q655" s="382"/>
      <c r="R655" s="383"/>
      <c r="T655" s="119" t="str">
        <f t="shared" ca="1" si="48"/>
        <v/>
      </c>
      <c r="U655" s="172" t="str">
        <f t="shared" ca="1" si="49"/>
        <v/>
      </c>
      <c r="V655" s="173" t="str">
        <f ca="1">IF(AND($W655&gt;0,RegimeExecucao="Unitário"),$F655,"")</f>
        <v/>
      </c>
      <c r="W655" s="547">
        <f ca="1">IF($Y655&gt;0,CHOOSE(MATCH(RegimeExecucao,{"Unitário","Global"},0),IF($A655="S",$Y655/$X655,""),($Y655/$X655)*100),0)</f>
        <v>0</v>
      </c>
      <c r="X655" s="384" t="str">
        <f ca="1">IF($Y655&gt;0,CHOOSE(MATCH(RegimeExecucao,{"Unitário","Global"},0),IF($A655="S",ROUND($H655,ORÇAMENTO!$AF$10),""),ROUND($I655,ORÇAMENTO!$AF$11)),"")</f>
        <v/>
      </c>
      <c r="Y655" s="384">
        <f t="shared" ca="1" si="50"/>
        <v>0</v>
      </c>
      <c r="Z655" s="572"/>
      <c r="AB655" s="382"/>
      <c r="AC655" s="516"/>
      <c r="AD655" s="516"/>
      <c r="AE655" s="516"/>
      <c r="AF655" s="516"/>
      <c r="AG655" s="516"/>
      <c r="AH655" s="516"/>
      <c r="AI655" s="516"/>
      <c r="AJ655" s="516"/>
      <c r="AK655" s="516"/>
      <c r="AL655" s="516"/>
      <c r="AM655" s="383"/>
      <c r="AO655">
        <f ca="1">IF($A655="S",IF(BM!$I655=0,0,CHOOSE(MATCH(RegimeExecucao,{"Global","Unitário"},0),ROUND(ROUND(BM.MEDAcumulado,15-13*BM!$A$9)/100*BM!$I655,15-13*ORÇAMENTO!$AF$11),ROUND(ROUND(BM.MEDAcumulado,15-13*BM!$A$9)*ROUND(BM!$H655,15-13*ORÇAMENTO!$AF$10),15-13*ORÇAMENTO!$AF$11))),IF($A655=0,0,ROUND(SomaAgrupBM,15-13*ORÇAMENTO!$AF$11)))</f>
        <v>0</v>
      </c>
    </row>
    <row r="656" spans="1:41" x14ac:dyDescent="0.2">
      <c r="A656">
        <f ca="1">ORÇAMENTO!C656</f>
        <v>2</v>
      </c>
      <c r="B656">
        <f ca="1">ORÇAMENTO!D656</f>
        <v>4</v>
      </c>
      <c r="C656" s="116" t="str">
        <f t="shared" ca="1" si="44"/>
        <v>F</v>
      </c>
      <c r="D656" s="119" t="str">
        <f ca="1">ORÇAMENTO!O656</f>
        <v>1.70.</v>
      </c>
      <c r="E656" s="172" t="str">
        <f t="shared" si="53"/>
        <v>SISTEMA DE EXAUSTÃO MECÂNICA</v>
      </c>
      <c r="F656" s="173" t="str">
        <f ca="1">IF(RegimeExecucao="Global","",ORÇAMENTO.Unidade)</f>
        <v/>
      </c>
      <c r="G656" s="124" t="str">
        <f ca="1">IF(RegimeExecucao="Global","",ORÇAMENTO!T656)</f>
        <v/>
      </c>
      <c r="H656" s="124" t="str">
        <f ca="1">IF(RegimeExecucao="Global","",ORÇAMENTO!W656)</f>
        <v/>
      </c>
      <c r="I656" s="127">
        <f ca="1">ORÇAMENTO!X656</f>
        <v>0</v>
      </c>
      <c r="J656" s="378">
        <f ca="1">IF($A656="S",IF(CAIXA.Modo,BM.AFAnterior,BM.MEDAnterior),IF(AND(RegimeExecucao="Global",$I656&gt;0,COUNTIF($AB$13:$AM$13,BM.medicao-1)&gt;0),M656/$I656*100,0))</f>
        <v>0</v>
      </c>
      <c r="K656" s="124">
        <f t="shared" ca="1" si="46"/>
        <v>0</v>
      </c>
      <c r="L656" s="379">
        <f ca="1">IF($A656="S",IF(CAIXA.Modo,BM.AFAcumulado,BM.MEDAcumulado),IF(AND(RegimeExecucao="Global",$I656&gt;0,COUNTIF($AB$13:$AM$13,BM.medicao)&gt;0),O656/$I656*100,0))</f>
        <v>0</v>
      </c>
      <c r="M656" s="380">
        <f ca="1">IF($A656="S",VTOTALBM,IF($A656=0,0,ROUND(SomaAgrupBM,15-13*ORÇAMENTO!$AF$11)))</f>
        <v>0</v>
      </c>
      <c r="N656" s="381">
        <f t="shared" ca="1" si="47"/>
        <v>0</v>
      </c>
      <c r="O656" s="127">
        <f ca="1">IF($A656="S",VTOTALBM,IF($A656=0,0,ROUND(SomaAgrupBM,15-13*ORÇAMENTO!$AF$11)))</f>
        <v>0</v>
      </c>
      <c r="Q656" s="382"/>
      <c r="R656" s="383"/>
      <c r="T656" s="119" t="str">
        <f t="shared" ca="1" si="48"/>
        <v/>
      </c>
      <c r="U656" s="172" t="str">
        <f t="shared" ca="1" si="49"/>
        <v/>
      </c>
      <c r="V656" s="173" t="str">
        <f ca="1">IF(AND($W656&gt;0,RegimeExecucao="Unitário"),$F656,"")</f>
        <v/>
      </c>
      <c r="W656" s="547">
        <f ca="1">IF($Y656&gt;0,CHOOSE(MATCH(RegimeExecucao,{"Unitário","Global"},0),IF($A656="S",$Y656/$X656,""),($Y656/$X656)*100),0)</f>
        <v>0</v>
      </c>
      <c r="X656" s="384" t="str">
        <f ca="1">IF($Y656&gt;0,CHOOSE(MATCH(RegimeExecucao,{"Unitário","Global"},0),IF($A656="S",ROUND($H656,ORÇAMENTO!$AF$10),""),ROUND($I656,ORÇAMENTO!$AF$11)),"")</f>
        <v/>
      </c>
      <c r="Y656" s="384">
        <f t="shared" ca="1" si="50"/>
        <v>0</v>
      </c>
      <c r="Z656" s="572"/>
      <c r="AB656" s="382"/>
      <c r="AC656" s="516"/>
      <c r="AD656" s="516"/>
      <c r="AE656" s="516"/>
      <c r="AF656" s="516"/>
      <c r="AG656" s="516"/>
      <c r="AH656" s="516"/>
      <c r="AI656" s="516"/>
      <c r="AJ656" s="516"/>
      <c r="AK656" s="516"/>
      <c r="AL656" s="516"/>
      <c r="AM656" s="383"/>
      <c r="AO656">
        <f ca="1">IF($A656="S",IF(BM!$I656=0,0,CHOOSE(MATCH(RegimeExecucao,{"Global","Unitário"},0),ROUND(ROUND(BM.MEDAcumulado,15-13*BM!$A$9)/100*BM!$I656,15-13*ORÇAMENTO!$AF$11),ROUND(ROUND(BM.MEDAcumulado,15-13*BM!$A$9)*ROUND(BM!$H656,15-13*ORÇAMENTO!$AF$10),15-13*ORÇAMENTO!$AF$11))),IF($A656=0,0,ROUND(SomaAgrupBM,15-13*ORÇAMENTO!$AF$11)))</f>
        <v>0</v>
      </c>
    </row>
    <row r="657" spans="1:41" x14ac:dyDescent="0.2">
      <c r="A657" t="str">
        <f ca="1">ORÇAMENTO!C657</f>
        <v>S</v>
      </c>
      <c r="B657">
        <f ca="1">ORÇAMENTO!D657</f>
        <v>0</v>
      </c>
      <c r="C657" s="116" t="str">
        <f t="shared" ca="1" si="44"/>
        <v/>
      </c>
      <c r="D657" s="119" t="str">
        <f ca="1">ORÇAMENTO!O657</f>
        <v>-</v>
      </c>
      <c r="E657" s="172" t="str">
        <f t="shared" ca="1" si="53"/>
        <v>(abra o arquivo 'Referência 06-2024.xlsm)</v>
      </c>
      <c r="F657" s="173" t="str">
        <f ca="1">IF(RegimeExecucao="Global","",ORÇAMENTO.Unidade)</f>
        <v/>
      </c>
      <c r="G657" s="124" t="str">
        <f ca="1">IF(RegimeExecucao="Global","",ORÇAMENTO!T657)</f>
        <v/>
      </c>
      <c r="H657" s="124" t="str">
        <f ca="1">IF(RegimeExecucao="Global","",ORÇAMENTO!W657)</f>
        <v/>
      </c>
      <c r="I657" s="127">
        <f ca="1">ORÇAMENTO!X657</f>
        <v>0</v>
      </c>
      <c r="J657" s="378">
        <f ca="1">IF($A657="S",IF(CAIXA.Modo,BM.AFAnterior,BM.MEDAnterior),IF(AND(RegimeExecucao="Global",$I657&gt;0,COUNTIF($AB$13:$AM$13,BM.medicao-1)&gt;0),M657/$I657*100,0))</f>
        <v>0</v>
      </c>
      <c r="K657" s="124">
        <f t="shared" ca="1" si="46"/>
        <v>0</v>
      </c>
      <c r="L657" s="379">
        <f ca="1">IF($A657="S",IF(CAIXA.Modo,BM.AFAcumulado,BM.MEDAcumulado),IF(AND(RegimeExecucao="Global",$I657&gt;0,COUNTIF($AB$13:$AM$13,BM.medicao)&gt;0),O657/$I657*100,0))</f>
        <v>0</v>
      </c>
      <c r="M657" s="380">
        <f ca="1">IF($A657="S",VTOTALBM,IF($A657=0,0,ROUND(SomaAgrupBM,15-13*ORÇAMENTO!$AF$11)))</f>
        <v>0</v>
      </c>
      <c r="N657" s="381">
        <f t="shared" ca="1" si="47"/>
        <v>0</v>
      </c>
      <c r="O657" s="127">
        <f ca="1">IF($A657="S",VTOTALBM,IF($A657=0,0,ROUND(SomaAgrupBM,15-13*ORÇAMENTO!$AF$11)))</f>
        <v>0</v>
      </c>
      <c r="Q657" s="382"/>
      <c r="R657" s="383"/>
      <c r="T657" s="119" t="str">
        <f t="shared" ca="1" si="48"/>
        <v/>
      </c>
      <c r="U657" s="172" t="str">
        <f t="shared" ca="1" si="49"/>
        <v/>
      </c>
      <c r="V657" s="173" t="str">
        <f ca="1">IF(AND($W657&gt;0,RegimeExecucao="Unitário"),$F657,"")</f>
        <v/>
      </c>
      <c r="W657" s="547">
        <f ca="1">IF($Y657&gt;0,CHOOSE(MATCH(RegimeExecucao,{"Unitário","Global"},0),IF($A657="S",$Y657/$X657,""),($Y657/$X657)*100),0)</f>
        <v>0</v>
      </c>
      <c r="X657" s="384" t="str">
        <f ca="1">IF($Y657&gt;0,CHOOSE(MATCH(RegimeExecucao,{"Unitário","Global"},0),IF($A657="S",ROUND($H657,ORÇAMENTO!$AF$10),""),ROUND($I657,ORÇAMENTO!$AF$11)),"")</f>
        <v/>
      </c>
      <c r="Y657" s="384">
        <f t="shared" ca="1" si="50"/>
        <v>0</v>
      </c>
      <c r="Z657" s="572"/>
      <c r="AB657" s="382"/>
      <c r="AC657" s="516"/>
      <c r="AD657" s="516"/>
      <c r="AE657" s="516"/>
      <c r="AF657" s="516"/>
      <c r="AG657" s="516"/>
      <c r="AH657" s="516"/>
      <c r="AI657" s="516"/>
      <c r="AJ657" s="516"/>
      <c r="AK657" s="516"/>
      <c r="AL657" s="516"/>
      <c r="AM657" s="383"/>
      <c r="AO657">
        <f ca="1">IF($A657="S",IF(BM!$I657=0,0,CHOOSE(MATCH(RegimeExecucao,{"Global","Unitário"},0),ROUND(ROUND(BM.MEDAcumulado,15-13*BM!$A$9)/100*BM!$I657,15-13*ORÇAMENTO!$AF$11),ROUND(ROUND(BM.MEDAcumulado,15-13*BM!$A$9)*ROUND(BM!$H657,15-13*ORÇAMENTO!$AF$10),15-13*ORÇAMENTO!$AF$11))),IF($A657=0,0,ROUND(SomaAgrupBM,15-13*ORÇAMENTO!$AF$11)))</f>
        <v>0</v>
      </c>
    </row>
    <row r="658" spans="1:41" x14ac:dyDescent="0.2">
      <c r="A658" t="str">
        <f ca="1">ORÇAMENTO!C658</f>
        <v>S</v>
      </c>
      <c r="B658">
        <f ca="1">ORÇAMENTO!D658</f>
        <v>0</v>
      </c>
      <c r="C658" s="116" t="str">
        <f t="shared" ca="1" si="44"/>
        <v/>
      </c>
      <c r="D658" s="119" t="str">
        <f ca="1">ORÇAMENTO!O658</f>
        <v>-</v>
      </c>
      <c r="E658" s="172" t="str">
        <f t="shared" ca="1" si="53"/>
        <v>(abra o arquivo 'Referência 06-2024.xlsm)</v>
      </c>
      <c r="F658" s="173" t="str">
        <f ca="1">IF(RegimeExecucao="Global","",ORÇAMENTO.Unidade)</f>
        <v/>
      </c>
      <c r="G658" s="124" t="str">
        <f ca="1">IF(RegimeExecucao="Global","",ORÇAMENTO!T658)</f>
        <v/>
      </c>
      <c r="H658" s="124" t="str">
        <f ca="1">IF(RegimeExecucao="Global","",ORÇAMENTO!W658)</f>
        <v/>
      </c>
      <c r="I658" s="127">
        <f ca="1">ORÇAMENTO!X658</f>
        <v>0</v>
      </c>
      <c r="J658" s="378">
        <f ca="1">IF($A658="S",IF(CAIXA.Modo,BM.AFAnterior,BM.MEDAnterior),IF(AND(RegimeExecucao="Global",$I658&gt;0,COUNTIF($AB$13:$AM$13,BM.medicao-1)&gt;0),M658/$I658*100,0))</f>
        <v>0</v>
      </c>
      <c r="K658" s="124">
        <f t="shared" ca="1" si="46"/>
        <v>0</v>
      </c>
      <c r="L658" s="379">
        <f ca="1">IF($A658="S",IF(CAIXA.Modo,BM.AFAcumulado,BM.MEDAcumulado),IF(AND(RegimeExecucao="Global",$I658&gt;0,COUNTIF($AB$13:$AM$13,BM.medicao)&gt;0),O658/$I658*100,0))</f>
        <v>0</v>
      </c>
      <c r="M658" s="380">
        <f ca="1">IF($A658="S",VTOTALBM,IF($A658=0,0,ROUND(SomaAgrupBM,15-13*ORÇAMENTO!$AF$11)))</f>
        <v>0</v>
      </c>
      <c r="N658" s="381">
        <f t="shared" ca="1" si="47"/>
        <v>0</v>
      </c>
      <c r="O658" s="127">
        <f ca="1">IF($A658="S",VTOTALBM,IF($A658=0,0,ROUND(SomaAgrupBM,15-13*ORÇAMENTO!$AF$11)))</f>
        <v>0</v>
      </c>
      <c r="Q658" s="382"/>
      <c r="R658" s="383"/>
      <c r="T658" s="119" t="str">
        <f t="shared" ca="1" si="48"/>
        <v/>
      </c>
      <c r="U658" s="172" t="str">
        <f t="shared" ca="1" si="49"/>
        <v/>
      </c>
      <c r="V658" s="173" t="str">
        <f ca="1">IF(AND($W658&gt;0,RegimeExecucao="Unitário"),$F658,"")</f>
        <v/>
      </c>
      <c r="W658" s="547">
        <f ca="1">IF($Y658&gt;0,CHOOSE(MATCH(RegimeExecucao,{"Unitário","Global"},0),IF($A658="S",$Y658/$X658,""),($Y658/$X658)*100),0)</f>
        <v>0</v>
      </c>
      <c r="X658" s="384" t="str">
        <f ca="1">IF($Y658&gt;0,CHOOSE(MATCH(RegimeExecucao,{"Unitário","Global"},0),IF($A658="S",ROUND($H658,ORÇAMENTO!$AF$10),""),ROUND($I658,ORÇAMENTO!$AF$11)),"")</f>
        <v/>
      </c>
      <c r="Y658" s="384">
        <f t="shared" ca="1" si="50"/>
        <v>0</v>
      </c>
      <c r="Z658" s="572"/>
      <c r="AB658" s="382"/>
      <c r="AC658" s="516"/>
      <c r="AD658" s="516"/>
      <c r="AE658" s="516"/>
      <c r="AF658" s="516"/>
      <c r="AG658" s="516"/>
      <c r="AH658" s="516"/>
      <c r="AI658" s="516"/>
      <c r="AJ658" s="516"/>
      <c r="AK658" s="516"/>
      <c r="AL658" s="516"/>
      <c r="AM658" s="383"/>
      <c r="AO658">
        <f ca="1">IF($A658="S",IF(BM!$I658=0,0,CHOOSE(MATCH(RegimeExecucao,{"Global","Unitário"},0),ROUND(ROUND(BM.MEDAcumulado,15-13*BM!$A$9)/100*BM!$I658,15-13*ORÇAMENTO!$AF$11),ROUND(ROUND(BM.MEDAcumulado,15-13*BM!$A$9)*ROUND(BM!$H658,15-13*ORÇAMENTO!$AF$10),15-13*ORÇAMENTO!$AF$11))),IF($A658=0,0,ROUND(SomaAgrupBM,15-13*ORÇAMENTO!$AF$11)))</f>
        <v>0</v>
      </c>
    </row>
    <row r="659" spans="1:41" x14ac:dyDescent="0.2">
      <c r="A659" t="str">
        <f ca="1">ORÇAMENTO!C659</f>
        <v>S</v>
      </c>
      <c r="B659">
        <f ca="1">ORÇAMENTO!D659</f>
        <v>0</v>
      </c>
      <c r="C659" s="116" t="str">
        <f t="shared" ca="1" si="44"/>
        <v/>
      </c>
      <c r="D659" s="119" t="str">
        <f ca="1">ORÇAMENTO!O659</f>
        <v>-</v>
      </c>
      <c r="E659" s="172" t="str">
        <f t="shared" ca="1" si="53"/>
        <v>(abra o arquivo 'Referência 06-2024.xlsm)</v>
      </c>
      <c r="F659" s="173" t="str">
        <f ca="1">IF(RegimeExecucao="Global","",ORÇAMENTO.Unidade)</f>
        <v/>
      </c>
      <c r="G659" s="124" t="str">
        <f ca="1">IF(RegimeExecucao="Global","",ORÇAMENTO!T659)</f>
        <v/>
      </c>
      <c r="H659" s="124" t="str">
        <f ca="1">IF(RegimeExecucao="Global","",ORÇAMENTO!W659)</f>
        <v/>
      </c>
      <c r="I659" s="127">
        <f ca="1">ORÇAMENTO!X659</f>
        <v>0</v>
      </c>
      <c r="J659" s="378">
        <f ca="1">IF($A659="S",IF(CAIXA.Modo,BM.AFAnterior,BM.MEDAnterior),IF(AND(RegimeExecucao="Global",$I659&gt;0,COUNTIF($AB$13:$AM$13,BM.medicao-1)&gt;0),M659/$I659*100,0))</f>
        <v>0</v>
      </c>
      <c r="K659" s="124">
        <f t="shared" ca="1" si="46"/>
        <v>0</v>
      </c>
      <c r="L659" s="379">
        <f ca="1">IF($A659="S",IF(CAIXA.Modo,BM.AFAcumulado,BM.MEDAcumulado),IF(AND(RegimeExecucao="Global",$I659&gt;0,COUNTIF($AB$13:$AM$13,BM.medicao)&gt;0),O659/$I659*100,0))</f>
        <v>0</v>
      </c>
      <c r="M659" s="380">
        <f ca="1">IF($A659="S",VTOTALBM,IF($A659=0,0,ROUND(SomaAgrupBM,15-13*ORÇAMENTO!$AF$11)))</f>
        <v>0</v>
      </c>
      <c r="N659" s="381">
        <f t="shared" ca="1" si="47"/>
        <v>0</v>
      </c>
      <c r="O659" s="127">
        <f ca="1">IF($A659="S",VTOTALBM,IF($A659=0,0,ROUND(SomaAgrupBM,15-13*ORÇAMENTO!$AF$11)))</f>
        <v>0</v>
      </c>
      <c r="Q659" s="382"/>
      <c r="R659" s="383"/>
      <c r="T659" s="119" t="str">
        <f t="shared" ca="1" si="48"/>
        <v/>
      </c>
      <c r="U659" s="172" t="str">
        <f t="shared" ca="1" si="49"/>
        <v/>
      </c>
      <c r="V659" s="173" t="str">
        <f ca="1">IF(AND($W659&gt;0,RegimeExecucao="Unitário"),$F659,"")</f>
        <v/>
      </c>
      <c r="W659" s="547">
        <f ca="1">IF($Y659&gt;0,CHOOSE(MATCH(RegimeExecucao,{"Unitário","Global"},0),IF($A659="S",$Y659/$X659,""),($Y659/$X659)*100),0)</f>
        <v>0</v>
      </c>
      <c r="X659" s="384" t="str">
        <f ca="1">IF($Y659&gt;0,CHOOSE(MATCH(RegimeExecucao,{"Unitário","Global"},0),IF($A659="S",ROUND($H659,ORÇAMENTO!$AF$10),""),ROUND($I659,ORÇAMENTO!$AF$11)),"")</f>
        <v/>
      </c>
      <c r="Y659" s="384">
        <f t="shared" ca="1" si="50"/>
        <v>0</v>
      </c>
      <c r="Z659" s="572"/>
      <c r="AB659" s="382"/>
      <c r="AC659" s="516"/>
      <c r="AD659" s="516"/>
      <c r="AE659" s="516"/>
      <c r="AF659" s="516"/>
      <c r="AG659" s="516"/>
      <c r="AH659" s="516"/>
      <c r="AI659" s="516"/>
      <c r="AJ659" s="516"/>
      <c r="AK659" s="516"/>
      <c r="AL659" s="516"/>
      <c r="AM659" s="383"/>
      <c r="AO659">
        <f ca="1">IF($A659="S",IF(BM!$I659=0,0,CHOOSE(MATCH(RegimeExecucao,{"Global","Unitário"},0),ROUND(ROUND(BM.MEDAcumulado,15-13*BM!$A$9)/100*BM!$I659,15-13*ORÇAMENTO!$AF$11),ROUND(ROUND(BM.MEDAcumulado,15-13*BM!$A$9)*ROUND(BM!$H659,15-13*ORÇAMENTO!$AF$10),15-13*ORÇAMENTO!$AF$11))),IF($A659=0,0,ROUND(SomaAgrupBM,15-13*ORÇAMENTO!$AF$11)))</f>
        <v>0</v>
      </c>
    </row>
    <row r="660" spans="1:41" ht="25.5" x14ac:dyDescent="0.2">
      <c r="A660">
        <f ca="1">ORÇAMENTO!C660</f>
        <v>2</v>
      </c>
      <c r="B660">
        <f ca="1">ORÇAMENTO!D660</f>
        <v>8</v>
      </c>
      <c r="C660" s="116" t="str">
        <f t="shared" ca="1" si="44"/>
        <v>F</v>
      </c>
      <c r="D660" s="119" t="str">
        <f ca="1">ORÇAMENTO!O660</f>
        <v>1.71.</v>
      </c>
      <c r="E660" s="172" t="str">
        <f t="shared" si="53"/>
        <v>SISTEMA DE PROTEÇÃO CONTRA DESCARGAS ATMOSFÉRICAS (SPDA)</v>
      </c>
      <c r="F660" s="173" t="str">
        <f ca="1">IF(RegimeExecucao="Global","",ORÇAMENTO.Unidade)</f>
        <v/>
      </c>
      <c r="G660" s="124" t="str">
        <f ca="1">IF(RegimeExecucao="Global","",ORÇAMENTO!T660)</f>
        <v/>
      </c>
      <c r="H660" s="124" t="str">
        <f ca="1">IF(RegimeExecucao="Global","",ORÇAMENTO!W660)</f>
        <v/>
      </c>
      <c r="I660" s="127">
        <f ca="1">ORÇAMENTO!X660</f>
        <v>0</v>
      </c>
      <c r="J660" s="378">
        <f ca="1">IF($A660="S",IF(CAIXA.Modo,BM.AFAnterior,BM.MEDAnterior),IF(AND(RegimeExecucao="Global",$I660&gt;0,COUNTIF($AB$13:$AM$13,BM.medicao-1)&gt;0),M660/$I660*100,0))</f>
        <v>0</v>
      </c>
      <c r="K660" s="124">
        <f t="shared" ca="1" si="46"/>
        <v>0</v>
      </c>
      <c r="L660" s="379">
        <f ca="1">IF($A660="S",IF(CAIXA.Modo,BM.AFAcumulado,BM.MEDAcumulado),IF(AND(RegimeExecucao="Global",$I660&gt;0,COUNTIF($AB$13:$AM$13,BM.medicao)&gt;0),O660/$I660*100,0))</f>
        <v>0</v>
      </c>
      <c r="M660" s="380">
        <f ca="1">IF($A660="S",VTOTALBM,IF($A660=0,0,ROUND(SomaAgrupBM,15-13*ORÇAMENTO!$AF$11)))</f>
        <v>0</v>
      </c>
      <c r="N660" s="381">
        <f t="shared" ca="1" si="47"/>
        <v>0</v>
      </c>
      <c r="O660" s="127">
        <f ca="1">IF($A660="S",VTOTALBM,IF($A660=0,0,ROUND(SomaAgrupBM,15-13*ORÇAMENTO!$AF$11)))</f>
        <v>0</v>
      </c>
      <c r="Q660" s="382"/>
      <c r="R660" s="383"/>
      <c r="T660" s="119" t="str">
        <f t="shared" ca="1" si="48"/>
        <v/>
      </c>
      <c r="U660" s="172" t="str">
        <f t="shared" ca="1" si="49"/>
        <v/>
      </c>
      <c r="V660" s="173" t="str">
        <f ca="1">IF(AND($W660&gt;0,RegimeExecucao="Unitário"),$F660,"")</f>
        <v/>
      </c>
      <c r="W660" s="547">
        <f ca="1">IF($Y660&gt;0,CHOOSE(MATCH(RegimeExecucao,{"Unitário","Global"},0),IF($A660="S",$Y660/$X660,""),($Y660/$X660)*100),0)</f>
        <v>0</v>
      </c>
      <c r="X660" s="384" t="str">
        <f ca="1">IF($Y660&gt;0,CHOOSE(MATCH(RegimeExecucao,{"Unitário","Global"},0),IF($A660="S",ROUND($H660,ORÇAMENTO!$AF$10),""),ROUND($I660,ORÇAMENTO!$AF$11)),"")</f>
        <v/>
      </c>
      <c r="Y660" s="384">
        <f t="shared" ca="1" si="50"/>
        <v>0</v>
      </c>
      <c r="Z660" s="572"/>
      <c r="AB660" s="382"/>
      <c r="AC660" s="516"/>
      <c r="AD660" s="516"/>
      <c r="AE660" s="516"/>
      <c r="AF660" s="516"/>
      <c r="AG660" s="516"/>
      <c r="AH660" s="516"/>
      <c r="AI660" s="516"/>
      <c r="AJ660" s="516"/>
      <c r="AK660" s="516"/>
      <c r="AL660" s="516"/>
      <c r="AM660" s="383"/>
      <c r="AO660">
        <f ca="1">IF($A660="S",IF(BM!$I660=0,0,CHOOSE(MATCH(RegimeExecucao,{"Global","Unitário"},0),ROUND(ROUND(BM.MEDAcumulado,15-13*BM!$A$9)/100*BM!$I660,15-13*ORÇAMENTO!$AF$11),ROUND(ROUND(BM.MEDAcumulado,15-13*BM!$A$9)*ROUND(BM!$H660,15-13*ORÇAMENTO!$AF$10),15-13*ORÇAMENTO!$AF$11))),IF($A660=0,0,ROUND(SomaAgrupBM,15-13*ORÇAMENTO!$AF$11)))</f>
        <v>0</v>
      </c>
    </row>
    <row r="661" spans="1:41" ht="25.5" x14ac:dyDescent="0.2">
      <c r="A661" t="str">
        <f ca="1">ORÇAMENTO!C661</f>
        <v>S</v>
      </c>
      <c r="B661">
        <f ca="1">ORÇAMENTO!D661</f>
        <v>0</v>
      </c>
      <c r="C661" s="116" t="str">
        <f t="shared" ca="1" si="44"/>
        <v/>
      </c>
      <c r="D661" s="119" t="str">
        <f ca="1">ORÇAMENTO!O661</f>
        <v>-</v>
      </c>
      <c r="E661" s="172" t="str">
        <f t="shared" ca="1" si="53"/>
        <v>(abra o arquivo 'Referência 06-2024.xlsm)</v>
      </c>
      <c r="F661" s="173" t="str">
        <f ca="1">IF(RegimeExecucao="Global","",ORÇAMENTO.Unidade)</f>
        <v/>
      </c>
      <c r="G661" s="124" t="str">
        <f ca="1">IF(RegimeExecucao="Global","",ORÇAMENTO!T661)</f>
        <v/>
      </c>
      <c r="H661" s="124" t="str">
        <f ca="1">IF(RegimeExecucao="Global","",ORÇAMENTO!W661)</f>
        <v/>
      </c>
      <c r="I661" s="127">
        <f ca="1">ORÇAMENTO!X661</f>
        <v>0</v>
      </c>
      <c r="J661" s="378">
        <f ca="1">IF($A661="S",IF(CAIXA.Modo,BM.AFAnterior,BM.MEDAnterior),IF(AND(RegimeExecucao="Global",$I661&gt;0,COUNTIF($AB$13:$AM$13,BM.medicao-1)&gt;0),M661/$I661*100,0))</f>
        <v>0</v>
      </c>
      <c r="K661" s="124">
        <f t="shared" ca="1" si="46"/>
        <v>0</v>
      </c>
      <c r="L661" s="379">
        <f ca="1">IF($A661="S",IF(CAIXA.Modo,BM.AFAcumulado,BM.MEDAcumulado),IF(AND(RegimeExecucao="Global",$I661&gt;0,COUNTIF($AB$13:$AM$13,BM.medicao)&gt;0),O661/$I661*100,0))</f>
        <v>0</v>
      </c>
      <c r="M661" s="380">
        <f ca="1">IF($A661="S",VTOTALBM,IF($A661=0,0,ROUND(SomaAgrupBM,15-13*ORÇAMENTO!$AF$11)))</f>
        <v>0</v>
      </c>
      <c r="N661" s="381">
        <f t="shared" ca="1" si="47"/>
        <v>0</v>
      </c>
      <c r="O661" s="127">
        <f ca="1">IF($A661="S",VTOTALBM,IF($A661=0,0,ROUND(SomaAgrupBM,15-13*ORÇAMENTO!$AF$11)))</f>
        <v>0</v>
      </c>
      <c r="Q661" s="382"/>
      <c r="R661" s="383"/>
      <c r="T661" s="119" t="str">
        <f t="shared" ca="1" si="48"/>
        <v/>
      </c>
      <c r="U661" s="172" t="str">
        <f t="shared" ca="1" si="49"/>
        <v/>
      </c>
      <c r="V661" s="173" t="str">
        <f ca="1">IF(AND($W661&gt;0,RegimeExecucao="Unitário"),$F661,"")</f>
        <v/>
      </c>
      <c r="W661" s="547">
        <f ca="1">IF($Y661&gt;0,CHOOSE(MATCH(RegimeExecucao,{"Unitário","Global"},0),IF($A661="S",$Y661/$X661,""),($Y661/$X661)*100),0)</f>
        <v>0</v>
      </c>
      <c r="X661" s="384" t="str">
        <f ca="1">IF($Y661&gt;0,CHOOSE(MATCH(RegimeExecucao,{"Unitário","Global"},0),IF($A661="S",ROUND($H661,ORÇAMENTO!$AF$10),""),ROUND($I661,ORÇAMENTO!$AF$11)),"")</f>
        <v/>
      </c>
      <c r="Y661" s="384">
        <f t="shared" ca="1" si="50"/>
        <v>0</v>
      </c>
      <c r="Z661" s="572"/>
      <c r="AB661" s="382"/>
      <c r="AC661" s="516"/>
      <c r="AD661" s="516"/>
      <c r="AE661" s="516"/>
      <c r="AF661" s="516"/>
      <c r="AG661" s="516"/>
      <c r="AH661" s="516"/>
      <c r="AI661" s="516"/>
      <c r="AJ661" s="516"/>
      <c r="AK661" s="516"/>
      <c r="AL661" s="516"/>
      <c r="AM661" s="383"/>
      <c r="AO661">
        <f ca="1">IF($A661="S",IF(BM!$I661=0,0,CHOOSE(MATCH(RegimeExecucao,{"Global","Unitário"},0),ROUND(ROUND(BM.MEDAcumulado,15-13*BM!$A$9)/100*BM!$I661,15-13*ORÇAMENTO!$AF$11),ROUND(ROUND(BM.MEDAcumulado,15-13*BM!$A$9)*ROUND(BM!$H661,15-13*ORÇAMENTO!$AF$10),15-13*ORÇAMENTO!$AF$11))),IF($A661=0,0,ROUND(SomaAgrupBM,15-13*ORÇAMENTO!$AF$11)))</f>
        <v>0</v>
      </c>
    </row>
    <row r="662" spans="1:41" ht="25.5" x14ac:dyDescent="0.2">
      <c r="A662" t="str">
        <f ca="1">ORÇAMENTO!C662</f>
        <v>S</v>
      </c>
      <c r="B662">
        <f ca="1">ORÇAMENTO!D662</f>
        <v>0</v>
      </c>
      <c r="C662" s="116" t="str">
        <f t="shared" ca="1" si="44"/>
        <v/>
      </c>
      <c r="D662" s="119" t="str">
        <f ca="1">ORÇAMENTO!O662</f>
        <v>-</v>
      </c>
      <c r="E662" s="172" t="str">
        <f t="shared" ca="1" si="53"/>
        <v>(abra o arquivo 'Referência 06-2024.xlsm)</v>
      </c>
      <c r="F662" s="173" t="str">
        <f ca="1">IF(RegimeExecucao="Global","",ORÇAMENTO.Unidade)</f>
        <v/>
      </c>
      <c r="G662" s="124" t="str">
        <f ca="1">IF(RegimeExecucao="Global","",ORÇAMENTO!T662)</f>
        <v/>
      </c>
      <c r="H662" s="124" t="str">
        <f ca="1">IF(RegimeExecucao="Global","",ORÇAMENTO!W662)</f>
        <v/>
      </c>
      <c r="I662" s="127">
        <f ca="1">ORÇAMENTO!X662</f>
        <v>0</v>
      </c>
      <c r="J662" s="378">
        <f ca="1">IF($A662="S",IF(CAIXA.Modo,BM.AFAnterior,BM.MEDAnterior),IF(AND(RegimeExecucao="Global",$I662&gt;0,COUNTIF($AB$13:$AM$13,BM.medicao-1)&gt;0),M662/$I662*100,0))</f>
        <v>0</v>
      </c>
      <c r="K662" s="124">
        <f t="shared" ca="1" si="46"/>
        <v>0</v>
      </c>
      <c r="L662" s="379">
        <f ca="1">IF($A662="S",IF(CAIXA.Modo,BM.AFAcumulado,BM.MEDAcumulado),IF(AND(RegimeExecucao="Global",$I662&gt;0,COUNTIF($AB$13:$AM$13,BM.medicao)&gt;0),O662/$I662*100,0))</f>
        <v>0</v>
      </c>
      <c r="M662" s="380">
        <f ca="1">IF($A662="S",VTOTALBM,IF($A662=0,0,ROUND(SomaAgrupBM,15-13*ORÇAMENTO!$AF$11)))</f>
        <v>0</v>
      </c>
      <c r="N662" s="381">
        <f t="shared" ca="1" si="47"/>
        <v>0</v>
      </c>
      <c r="O662" s="127">
        <f ca="1">IF($A662="S",VTOTALBM,IF($A662=0,0,ROUND(SomaAgrupBM,15-13*ORÇAMENTO!$AF$11)))</f>
        <v>0</v>
      </c>
      <c r="Q662" s="382"/>
      <c r="R662" s="383"/>
      <c r="T662" s="119" t="str">
        <f t="shared" ca="1" si="48"/>
        <v/>
      </c>
      <c r="U662" s="172" t="str">
        <f t="shared" ca="1" si="49"/>
        <v/>
      </c>
      <c r="V662" s="173" t="str">
        <f ca="1">IF(AND($W662&gt;0,RegimeExecucao="Unitário"),$F662,"")</f>
        <v/>
      </c>
      <c r="W662" s="547">
        <f ca="1">IF($Y662&gt;0,CHOOSE(MATCH(RegimeExecucao,{"Unitário","Global"},0),IF($A662="S",$Y662/$X662,""),($Y662/$X662)*100),0)</f>
        <v>0</v>
      </c>
      <c r="X662" s="384" t="str">
        <f ca="1">IF($Y662&gt;0,CHOOSE(MATCH(RegimeExecucao,{"Unitário","Global"},0),IF($A662="S",ROUND($H662,ORÇAMENTO!$AF$10),""),ROUND($I662,ORÇAMENTO!$AF$11)),"")</f>
        <v/>
      </c>
      <c r="Y662" s="384">
        <f t="shared" ca="1" si="50"/>
        <v>0</v>
      </c>
      <c r="Z662" s="572"/>
      <c r="AB662" s="382"/>
      <c r="AC662" s="516"/>
      <c r="AD662" s="516"/>
      <c r="AE662" s="516"/>
      <c r="AF662" s="516"/>
      <c r="AG662" s="516"/>
      <c r="AH662" s="516"/>
      <c r="AI662" s="516"/>
      <c r="AJ662" s="516"/>
      <c r="AK662" s="516"/>
      <c r="AL662" s="516"/>
      <c r="AM662" s="383"/>
      <c r="AO662">
        <f ca="1">IF($A662="S",IF(BM!$I662=0,0,CHOOSE(MATCH(RegimeExecucao,{"Global","Unitário"},0),ROUND(ROUND(BM.MEDAcumulado,15-13*BM!$A$9)/100*BM!$I662,15-13*ORÇAMENTO!$AF$11),ROUND(ROUND(BM.MEDAcumulado,15-13*BM!$A$9)*ROUND(BM!$H662,15-13*ORÇAMENTO!$AF$10),15-13*ORÇAMENTO!$AF$11))),IF($A662=0,0,ROUND(SomaAgrupBM,15-13*ORÇAMENTO!$AF$11)))</f>
        <v>0</v>
      </c>
    </row>
    <row r="663" spans="1:41" ht="25.5" x14ac:dyDescent="0.2">
      <c r="A663" t="str">
        <f ca="1">ORÇAMENTO!C663</f>
        <v>S</v>
      </c>
      <c r="B663">
        <f ca="1">ORÇAMENTO!D663</f>
        <v>0</v>
      </c>
      <c r="C663" s="116" t="str">
        <f t="shared" ca="1" si="44"/>
        <v/>
      </c>
      <c r="D663" s="119" t="str">
        <f ca="1">ORÇAMENTO!O663</f>
        <v>-</v>
      </c>
      <c r="E663" s="172" t="str">
        <f t="shared" ca="1" si="53"/>
        <v>(abra o arquivo 'Referência 06-2024.xlsm)</v>
      </c>
      <c r="F663" s="173" t="str">
        <f ca="1">IF(RegimeExecucao="Global","",ORÇAMENTO.Unidade)</f>
        <v/>
      </c>
      <c r="G663" s="124" t="str">
        <f ca="1">IF(RegimeExecucao="Global","",ORÇAMENTO!T663)</f>
        <v/>
      </c>
      <c r="H663" s="124" t="str">
        <f ca="1">IF(RegimeExecucao="Global","",ORÇAMENTO!W663)</f>
        <v/>
      </c>
      <c r="I663" s="127">
        <f ca="1">ORÇAMENTO!X663</f>
        <v>0</v>
      </c>
      <c r="J663" s="378">
        <f ca="1">IF($A663="S",IF(CAIXA.Modo,BM.AFAnterior,BM.MEDAnterior),IF(AND(RegimeExecucao="Global",$I663&gt;0,COUNTIF($AB$13:$AM$13,BM.medicao-1)&gt;0),M663/$I663*100,0))</f>
        <v>0</v>
      </c>
      <c r="K663" s="124">
        <f t="shared" ca="1" si="46"/>
        <v>0</v>
      </c>
      <c r="L663" s="379">
        <f ca="1">IF($A663="S",IF(CAIXA.Modo,BM.AFAcumulado,BM.MEDAcumulado),IF(AND(RegimeExecucao="Global",$I663&gt;0,COUNTIF($AB$13:$AM$13,BM.medicao)&gt;0),O663/$I663*100,0))</f>
        <v>0</v>
      </c>
      <c r="M663" s="380">
        <f ca="1">IF($A663="S",VTOTALBM,IF($A663=0,0,ROUND(SomaAgrupBM,15-13*ORÇAMENTO!$AF$11)))</f>
        <v>0</v>
      </c>
      <c r="N663" s="381">
        <f t="shared" ca="1" si="47"/>
        <v>0</v>
      </c>
      <c r="O663" s="127">
        <f ca="1">IF($A663="S",VTOTALBM,IF($A663=0,0,ROUND(SomaAgrupBM,15-13*ORÇAMENTO!$AF$11)))</f>
        <v>0</v>
      </c>
      <c r="Q663" s="382"/>
      <c r="R663" s="383"/>
      <c r="T663" s="119" t="str">
        <f t="shared" ca="1" si="48"/>
        <v/>
      </c>
      <c r="U663" s="172" t="str">
        <f t="shared" ca="1" si="49"/>
        <v/>
      </c>
      <c r="V663" s="173" t="str">
        <f ca="1">IF(AND($W663&gt;0,RegimeExecucao="Unitário"),$F663,"")</f>
        <v/>
      </c>
      <c r="W663" s="547">
        <f ca="1">IF($Y663&gt;0,CHOOSE(MATCH(RegimeExecucao,{"Unitário","Global"},0),IF($A663="S",$Y663/$X663,""),($Y663/$X663)*100),0)</f>
        <v>0</v>
      </c>
      <c r="X663" s="384" t="str">
        <f ca="1">IF($Y663&gt;0,CHOOSE(MATCH(RegimeExecucao,{"Unitário","Global"},0),IF($A663="S",ROUND($H663,ORÇAMENTO!$AF$10),""),ROUND($I663,ORÇAMENTO!$AF$11)),"")</f>
        <v/>
      </c>
      <c r="Y663" s="384">
        <f t="shared" ca="1" si="50"/>
        <v>0</v>
      </c>
      <c r="Z663" s="572"/>
      <c r="AB663" s="382"/>
      <c r="AC663" s="516"/>
      <c r="AD663" s="516"/>
      <c r="AE663" s="516"/>
      <c r="AF663" s="516"/>
      <c r="AG663" s="516"/>
      <c r="AH663" s="516"/>
      <c r="AI663" s="516"/>
      <c r="AJ663" s="516"/>
      <c r="AK663" s="516"/>
      <c r="AL663" s="516"/>
      <c r="AM663" s="383"/>
      <c r="AO663">
        <f ca="1">IF($A663="S",IF(BM!$I663=0,0,CHOOSE(MATCH(RegimeExecucao,{"Global","Unitário"},0),ROUND(ROUND(BM.MEDAcumulado,15-13*BM!$A$9)/100*BM!$I663,15-13*ORÇAMENTO!$AF$11),ROUND(ROUND(BM.MEDAcumulado,15-13*BM!$A$9)*ROUND(BM!$H663,15-13*ORÇAMENTO!$AF$10),15-13*ORÇAMENTO!$AF$11))),IF($A663=0,0,ROUND(SomaAgrupBM,15-13*ORÇAMENTO!$AF$11)))</f>
        <v>0</v>
      </c>
    </row>
    <row r="664" spans="1:41" ht="25.5" x14ac:dyDescent="0.2">
      <c r="A664" t="str">
        <f ca="1">ORÇAMENTO!C664</f>
        <v>S</v>
      </c>
      <c r="B664">
        <f ca="1">ORÇAMENTO!D664</f>
        <v>0</v>
      </c>
      <c r="C664" s="116" t="str">
        <f t="shared" ca="1" si="44"/>
        <v/>
      </c>
      <c r="D664" s="119" t="str">
        <f ca="1">ORÇAMENTO!O664</f>
        <v>-</v>
      </c>
      <c r="E664" s="172" t="str">
        <f t="shared" ca="1" si="53"/>
        <v>(abra o arquivo 'Referência 06-2024.xlsm)</v>
      </c>
      <c r="F664" s="173" t="str">
        <f ca="1">IF(RegimeExecucao="Global","",ORÇAMENTO.Unidade)</f>
        <v/>
      </c>
      <c r="G664" s="124" t="str">
        <f ca="1">IF(RegimeExecucao="Global","",ORÇAMENTO!T664)</f>
        <v/>
      </c>
      <c r="H664" s="124" t="str">
        <f ca="1">IF(RegimeExecucao="Global","",ORÇAMENTO!W664)</f>
        <v/>
      </c>
      <c r="I664" s="127">
        <f ca="1">ORÇAMENTO!X664</f>
        <v>0</v>
      </c>
      <c r="J664" s="378">
        <f ca="1">IF($A664="S",IF(CAIXA.Modo,BM.AFAnterior,BM.MEDAnterior),IF(AND(RegimeExecucao="Global",$I664&gt;0,COUNTIF($AB$13:$AM$13,BM.medicao-1)&gt;0),M664/$I664*100,0))</f>
        <v>0</v>
      </c>
      <c r="K664" s="124">
        <f t="shared" ca="1" si="46"/>
        <v>0</v>
      </c>
      <c r="L664" s="379">
        <f ca="1">IF($A664="S",IF(CAIXA.Modo,BM.AFAcumulado,BM.MEDAcumulado),IF(AND(RegimeExecucao="Global",$I664&gt;0,COUNTIF($AB$13:$AM$13,BM.medicao)&gt;0),O664/$I664*100,0))</f>
        <v>0</v>
      </c>
      <c r="M664" s="380">
        <f ca="1">IF($A664="S",VTOTALBM,IF($A664=0,0,ROUND(SomaAgrupBM,15-13*ORÇAMENTO!$AF$11)))</f>
        <v>0</v>
      </c>
      <c r="N664" s="381">
        <f t="shared" ca="1" si="47"/>
        <v>0</v>
      </c>
      <c r="O664" s="127">
        <f ca="1">IF($A664="S",VTOTALBM,IF($A664=0,0,ROUND(SomaAgrupBM,15-13*ORÇAMENTO!$AF$11)))</f>
        <v>0</v>
      </c>
      <c r="Q664" s="382"/>
      <c r="R664" s="383"/>
      <c r="T664" s="119" t="str">
        <f t="shared" ca="1" si="48"/>
        <v/>
      </c>
      <c r="U664" s="172" t="str">
        <f t="shared" ca="1" si="49"/>
        <v/>
      </c>
      <c r="V664" s="173" t="str">
        <f ca="1">IF(AND($W664&gt;0,RegimeExecucao="Unitário"),$F664,"")</f>
        <v/>
      </c>
      <c r="W664" s="547">
        <f ca="1">IF($Y664&gt;0,CHOOSE(MATCH(RegimeExecucao,{"Unitário","Global"},0),IF($A664="S",$Y664/$X664,""),($Y664/$X664)*100),0)</f>
        <v>0</v>
      </c>
      <c r="X664" s="384" t="str">
        <f ca="1">IF($Y664&gt;0,CHOOSE(MATCH(RegimeExecucao,{"Unitário","Global"},0),IF($A664="S",ROUND($H664,ORÇAMENTO!$AF$10),""),ROUND($I664,ORÇAMENTO!$AF$11)),"")</f>
        <v/>
      </c>
      <c r="Y664" s="384">
        <f t="shared" ca="1" si="50"/>
        <v>0</v>
      </c>
      <c r="Z664" s="572"/>
      <c r="AB664" s="382"/>
      <c r="AC664" s="516"/>
      <c r="AD664" s="516"/>
      <c r="AE664" s="516"/>
      <c r="AF664" s="516"/>
      <c r="AG664" s="516"/>
      <c r="AH664" s="516"/>
      <c r="AI664" s="516"/>
      <c r="AJ664" s="516"/>
      <c r="AK664" s="516"/>
      <c r="AL664" s="516"/>
      <c r="AM664" s="383"/>
      <c r="AO664">
        <f ca="1">IF($A664="S",IF(BM!$I664=0,0,CHOOSE(MATCH(RegimeExecucao,{"Global","Unitário"},0),ROUND(ROUND(BM.MEDAcumulado,15-13*BM!$A$9)/100*BM!$I664,15-13*ORÇAMENTO!$AF$11),ROUND(ROUND(BM.MEDAcumulado,15-13*BM!$A$9)*ROUND(BM!$H664,15-13*ORÇAMENTO!$AF$10),15-13*ORÇAMENTO!$AF$11))),IF($A664=0,0,ROUND(SomaAgrupBM,15-13*ORÇAMENTO!$AF$11)))</f>
        <v>0</v>
      </c>
    </row>
    <row r="665" spans="1:41" x14ac:dyDescent="0.2">
      <c r="A665" t="str">
        <f ca="1">ORÇAMENTO!C665</f>
        <v>S</v>
      </c>
      <c r="B665">
        <f ca="1">ORÇAMENTO!D665</f>
        <v>0</v>
      </c>
      <c r="C665" s="116" t="str">
        <f t="shared" ca="1" si="44"/>
        <v/>
      </c>
      <c r="D665" s="119" t="str">
        <f ca="1">ORÇAMENTO!O665</f>
        <v>-</v>
      </c>
      <c r="E665" s="172" t="str">
        <f t="shared" ca="1" si="53"/>
        <v>(abra o arquivo 'Referência 06-2024.xlsm)</v>
      </c>
      <c r="F665" s="173" t="str">
        <f ca="1">IF(RegimeExecucao="Global","",ORÇAMENTO.Unidade)</f>
        <v/>
      </c>
      <c r="G665" s="124" t="str">
        <f ca="1">IF(RegimeExecucao="Global","",ORÇAMENTO!T665)</f>
        <v/>
      </c>
      <c r="H665" s="124" t="str">
        <f ca="1">IF(RegimeExecucao="Global","",ORÇAMENTO!W665)</f>
        <v/>
      </c>
      <c r="I665" s="127">
        <f ca="1">ORÇAMENTO!X665</f>
        <v>0</v>
      </c>
      <c r="J665" s="378">
        <f ca="1">IF($A665="S",IF(CAIXA.Modo,BM.AFAnterior,BM.MEDAnterior),IF(AND(RegimeExecucao="Global",$I665&gt;0,COUNTIF($AB$13:$AM$13,BM.medicao-1)&gt;0),M665/$I665*100,0))</f>
        <v>0</v>
      </c>
      <c r="K665" s="124">
        <f t="shared" ca="1" si="46"/>
        <v>0</v>
      </c>
      <c r="L665" s="379">
        <f ca="1">IF($A665="S",IF(CAIXA.Modo,BM.AFAcumulado,BM.MEDAcumulado),IF(AND(RegimeExecucao="Global",$I665&gt;0,COUNTIF($AB$13:$AM$13,BM.medicao)&gt;0),O665/$I665*100,0))</f>
        <v>0</v>
      </c>
      <c r="M665" s="380">
        <f ca="1">IF($A665="S",VTOTALBM,IF($A665=0,0,ROUND(SomaAgrupBM,15-13*ORÇAMENTO!$AF$11)))</f>
        <v>0</v>
      </c>
      <c r="N665" s="381">
        <f t="shared" ca="1" si="47"/>
        <v>0</v>
      </c>
      <c r="O665" s="127">
        <f ca="1">IF($A665="S",VTOTALBM,IF($A665=0,0,ROUND(SomaAgrupBM,15-13*ORÇAMENTO!$AF$11)))</f>
        <v>0</v>
      </c>
      <c r="Q665" s="382"/>
      <c r="R665" s="383"/>
      <c r="T665" s="119" t="str">
        <f t="shared" ca="1" si="48"/>
        <v/>
      </c>
      <c r="U665" s="172" t="str">
        <f t="shared" ca="1" si="49"/>
        <v/>
      </c>
      <c r="V665" s="173" t="str">
        <f ca="1">IF(AND($W665&gt;0,RegimeExecucao="Unitário"),$F665,"")</f>
        <v/>
      </c>
      <c r="W665" s="547">
        <f ca="1">IF($Y665&gt;0,CHOOSE(MATCH(RegimeExecucao,{"Unitário","Global"},0),IF($A665="S",$Y665/$X665,""),($Y665/$X665)*100),0)</f>
        <v>0</v>
      </c>
      <c r="X665" s="384" t="str">
        <f ca="1">IF($Y665&gt;0,CHOOSE(MATCH(RegimeExecucao,{"Unitário","Global"},0),IF($A665="S",ROUND($H665,ORÇAMENTO!$AF$10),""),ROUND($I665,ORÇAMENTO!$AF$11)),"")</f>
        <v/>
      </c>
      <c r="Y665" s="384">
        <f t="shared" ca="1" si="50"/>
        <v>0</v>
      </c>
      <c r="Z665" s="572"/>
      <c r="AB665" s="382"/>
      <c r="AC665" s="516"/>
      <c r="AD665" s="516"/>
      <c r="AE665" s="516"/>
      <c r="AF665" s="516"/>
      <c r="AG665" s="516"/>
      <c r="AH665" s="516"/>
      <c r="AI665" s="516"/>
      <c r="AJ665" s="516"/>
      <c r="AK665" s="516"/>
      <c r="AL665" s="516"/>
      <c r="AM665" s="383"/>
      <c r="AO665">
        <f ca="1">IF($A665="S",IF(BM!$I665=0,0,CHOOSE(MATCH(RegimeExecucao,{"Global","Unitário"},0),ROUND(ROUND(BM.MEDAcumulado,15-13*BM!$A$9)/100*BM!$I665,15-13*ORÇAMENTO!$AF$11),ROUND(ROUND(BM.MEDAcumulado,15-13*BM!$A$9)*ROUND(BM!$H665,15-13*ORÇAMENTO!$AF$10),15-13*ORÇAMENTO!$AF$11))),IF($A665=0,0,ROUND(SomaAgrupBM,15-13*ORÇAMENTO!$AF$11)))</f>
        <v>0</v>
      </c>
    </row>
    <row r="666" spans="1:41" x14ac:dyDescent="0.2">
      <c r="A666" t="str">
        <f ca="1">ORÇAMENTO!C666</f>
        <v>S</v>
      </c>
      <c r="B666">
        <f ca="1">ORÇAMENTO!D666</f>
        <v>0</v>
      </c>
      <c r="C666" s="116" t="str">
        <f t="shared" ca="1" si="44"/>
        <v/>
      </c>
      <c r="D666" s="119" t="str">
        <f ca="1">ORÇAMENTO!O666</f>
        <v>-</v>
      </c>
      <c r="E666" s="172" t="str">
        <f t="shared" ca="1" si="53"/>
        <v>(abra o arquivo 'Referência 06-2024.xlsm)</v>
      </c>
      <c r="F666" s="173" t="str">
        <f ca="1">IF(RegimeExecucao="Global","",ORÇAMENTO.Unidade)</f>
        <v/>
      </c>
      <c r="G666" s="124" t="str">
        <f ca="1">IF(RegimeExecucao="Global","",ORÇAMENTO!T666)</f>
        <v/>
      </c>
      <c r="H666" s="124" t="str">
        <f ca="1">IF(RegimeExecucao="Global","",ORÇAMENTO!W666)</f>
        <v/>
      </c>
      <c r="I666" s="127">
        <f ca="1">ORÇAMENTO!X666</f>
        <v>0</v>
      </c>
      <c r="J666" s="378">
        <f ca="1">IF($A666="S",IF(CAIXA.Modo,BM.AFAnterior,BM.MEDAnterior),IF(AND(RegimeExecucao="Global",$I666&gt;0,COUNTIF($AB$13:$AM$13,BM.medicao-1)&gt;0),M666/$I666*100,0))</f>
        <v>0</v>
      </c>
      <c r="K666" s="124">
        <f t="shared" ca="1" si="46"/>
        <v>0</v>
      </c>
      <c r="L666" s="379">
        <f ca="1">IF($A666="S",IF(CAIXA.Modo,BM.AFAcumulado,BM.MEDAcumulado),IF(AND(RegimeExecucao="Global",$I666&gt;0,COUNTIF($AB$13:$AM$13,BM.medicao)&gt;0),O666/$I666*100,0))</f>
        <v>0</v>
      </c>
      <c r="M666" s="380">
        <f ca="1">IF($A666="S",VTOTALBM,IF($A666=0,0,ROUND(SomaAgrupBM,15-13*ORÇAMENTO!$AF$11)))</f>
        <v>0</v>
      </c>
      <c r="N666" s="381">
        <f t="shared" ca="1" si="47"/>
        <v>0</v>
      </c>
      <c r="O666" s="127">
        <f ca="1">IF($A666="S",VTOTALBM,IF($A666=0,0,ROUND(SomaAgrupBM,15-13*ORÇAMENTO!$AF$11)))</f>
        <v>0</v>
      </c>
      <c r="Q666" s="382"/>
      <c r="R666" s="383"/>
      <c r="T666" s="119" t="str">
        <f t="shared" ca="1" si="48"/>
        <v/>
      </c>
      <c r="U666" s="172" t="str">
        <f t="shared" ca="1" si="49"/>
        <v/>
      </c>
      <c r="V666" s="173" t="str">
        <f ca="1">IF(AND($W666&gt;0,RegimeExecucao="Unitário"),$F666,"")</f>
        <v/>
      </c>
      <c r="W666" s="547">
        <f ca="1">IF($Y666&gt;0,CHOOSE(MATCH(RegimeExecucao,{"Unitário","Global"},0),IF($A666="S",$Y666/$X666,""),($Y666/$X666)*100),0)</f>
        <v>0</v>
      </c>
      <c r="X666" s="384" t="str">
        <f ca="1">IF($Y666&gt;0,CHOOSE(MATCH(RegimeExecucao,{"Unitário","Global"},0),IF($A666="S",ROUND($H666,ORÇAMENTO!$AF$10),""),ROUND($I666,ORÇAMENTO!$AF$11)),"")</f>
        <v/>
      </c>
      <c r="Y666" s="384">
        <f t="shared" ca="1" si="50"/>
        <v>0</v>
      </c>
      <c r="Z666" s="572"/>
      <c r="AB666" s="382"/>
      <c r="AC666" s="516"/>
      <c r="AD666" s="516"/>
      <c r="AE666" s="516"/>
      <c r="AF666" s="516"/>
      <c r="AG666" s="516"/>
      <c r="AH666" s="516"/>
      <c r="AI666" s="516"/>
      <c r="AJ666" s="516"/>
      <c r="AK666" s="516"/>
      <c r="AL666" s="516"/>
      <c r="AM666" s="383"/>
      <c r="AO666">
        <f ca="1">IF($A666="S",IF(BM!$I666=0,0,CHOOSE(MATCH(RegimeExecucao,{"Global","Unitário"},0),ROUND(ROUND(BM.MEDAcumulado,15-13*BM!$A$9)/100*BM!$I666,15-13*ORÇAMENTO!$AF$11),ROUND(ROUND(BM.MEDAcumulado,15-13*BM!$A$9)*ROUND(BM!$H666,15-13*ORÇAMENTO!$AF$10),15-13*ORÇAMENTO!$AF$11))),IF($A666=0,0,ROUND(SomaAgrupBM,15-13*ORÇAMENTO!$AF$11)))</f>
        <v>0</v>
      </c>
    </row>
    <row r="667" spans="1:41" x14ac:dyDescent="0.2">
      <c r="A667" t="str">
        <f ca="1">ORÇAMENTO!C667</f>
        <v>S</v>
      </c>
      <c r="B667">
        <f ca="1">ORÇAMENTO!D667</f>
        <v>0</v>
      </c>
      <c r="C667" s="116" t="str">
        <f t="shared" ca="1" si="44"/>
        <v/>
      </c>
      <c r="D667" s="119" t="str">
        <f ca="1">ORÇAMENTO!O667</f>
        <v>-</v>
      </c>
      <c r="E667" s="172" t="str">
        <f t="shared" ca="1" si="53"/>
        <v>(abra o arquivo 'Referência 06-2024.xlsm)</v>
      </c>
      <c r="F667" s="173" t="str">
        <f ca="1">IF(RegimeExecucao="Global","",ORÇAMENTO.Unidade)</f>
        <v/>
      </c>
      <c r="G667" s="124" t="str">
        <f ca="1">IF(RegimeExecucao="Global","",ORÇAMENTO!T667)</f>
        <v/>
      </c>
      <c r="H667" s="124" t="str">
        <f ca="1">IF(RegimeExecucao="Global","",ORÇAMENTO!W667)</f>
        <v/>
      </c>
      <c r="I667" s="127">
        <f ca="1">ORÇAMENTO!X667</f>
        <v>0</v>
      </c>
      <c r="J667" s="378">
        <f ca="1">IF($A667="S",IF(CAIXA.Modo,BM.AFAnterior,BM.MEDAnterior),IF(AND(RegimeExecucao="Global",$I667&gt;0,COUNTIF($AB$13:$AM$13,BM.medicao-1)&gt;0),M667/$I667*100,0))</f>
        <v>0</v>
      </c>
      <c r="K667" s="124">
        <f t="shared" ca="1" si="46"/>
        <v>0</v>
      </c>
      <c r="L667" s="379">
        <f ca="1">IF($A667="S",IF(CAIXA.Modo,BM.AFAcumulado,BM.MEDAcumulado),IF(AND(RegimeExecucao="Global",$I667&gt;0,COUNTIF($AB$13:$AM$13,BM.medicao)&gt;0),O667/$I667*100,0))</f>
        <v>0</v>
      </c>
      <c r="M667" s="380">
        <f ca="1">IF($A667="S",VTOTALBM,IF($A667=0,0,ROUND(SomaAgrupBM,15-13*ORÇAMENTO!$AF$11)))</f>
        <v>0</v>
      </c>
      <c r="N667" s="381">
        <f t="shared" ca="1" si="47"/>
        <v>0</v>
      </c>
      <c r="O667" s="127">
        <f ca="1">IF($A667="S",VTOTALBM,IF($A667=0,0,ROUND(SomaAgrupBM,15-13*ORÇAMENTO!$AF$11)))</f>
        <v>0</v>
      </c>
      <c r="Q667" s="382"/>
      <c r="R667" s="383"/>
      <c r="T667" s="119" t="str">
        <f t="shared" ca="1" si="48"/>
        <v/>
      </c>
      <c r="U667" s="172" t="str">
        <f t="shared" ca="1" si="49"/>
        <v/>
      </c>
      <c r="V667" s="173" t="str">
        <f ca="1">IF(AND($W667&gt;0,RegimeExecucao="Unitário"),$F667,"")</f>
        <v/>
      </c>
      <c r="W667" s="547">
        <f ca="1">IF($Y667&gt;0,CHOOSE(MATCH(RegimeExecucao,{"Unitário","Global"},0),IF($A667="S",$Y667/$X667,""),($Y667/$X667)*100),0)</f>
        <v>0</v>
      </c>
      <c r="X667" s="384" t="str">
        <f ca="1">IF($Y667&gt;0,CHOOSE(MATCH(RegimeExecucao,{"Unitário","Global"},0),IF($A667="S",ROUND($H667,ORÇAMENTO!$AF$10),""),ROUND($I667,ORÇAMENTO!$AF$11)),"")</f>
        <v/>
      </c>
      <c r="Y667" s="384">
        <f t="shared" ca="1" si="50"/>
        <v>0</v>
      </c>
      <c r="Z667" s="572"/>
      <c r="AB667" s="382"/>
      <c r="AC667" s="516"/>
      <c r="AD667" s="516"/>
      <c r="AE667" s="516"/>
      <c r="AF667" s="516"/>
      <c r="AG667" s="516"/>
      <c r="AH667" s="516"/>
      <c r="AI667" s="516"/>
      <c r="AJ667" s="516"/>
      <c r="AK667" s="516"/>
      <c r="AL667" s="516"/>
      <c r="AM667" s="383"/>
      <c r="AO667">
        <f ca="1">IF($A667="S",IF(BM!$I667=0,0,CHOOSE(MATCH(RegimeExecucao,{"Global","Unitário"},0),ROUND(ROUND(BM.MEDAcumulado,15-13*BM!$A$9)/100*BM!$I667,15-13*ORÇAMENTO!$AF$11),ROUND(ROUND(BM.MEDAcumulado,15-13*BM!$A$9)*ROUND(BM!$H667,15-13*ORÇAMENTO!$AF$10),15-13*ORÇAMENTO!$AF$11))),IF($A667=0,0,ROUND(SomaAgrupBM,15-13*ORÇAMENTO!$AF$11)))</f>
        <v>0</v>
      </c>
    </row>
    <row r="668" spans="1:41" x14ac:dyDescent="0.2">
      <c r="A668">
        <f ca="1">ORÇAMENTO!C668</f>
        <v>2</v>
      </c>
      <c r="B668">
        <f ca="1">ORÇAMENTO!D668</f>
        <v>14</v>
      </c>
      <c r="C668" s="116" t="str">
        <f t="shared" ca="1" si="44"/>
        <v>F</v>
      </c>
      <c r="D668" s="119" t="str">
        <f ca="1">ORÇAMENTO!O668</f>
        <v>1.72.</v>
      </c>
      <c r="E668" s="172" t="str">
        <f t="shared" si="53"/>
        <v>SERVIÇOS COMPLEMENTARES</v>
      </c>
      <c r="F668" s="173" t="str">
        <f ca="1">IF(RegimeExecucao="Global","",ORÇAMENTO.Unidade)</f>
        <v/>
      </c>
      <c r="G668" s="124" t="str">
        <f ca="1">IF(RegimeExecucao="Global","",ORÇAMENTO!T668)</f>
        <v/>
      </c>
      <c r="H668" s="124" t="str">
        <f ca="1">IF(RegimeExecucao="Global","",ORÇAMENTO!W668)</f>
        <v/>
      </c>
      <c r="I668" s="127">
        <f ca="1">ORÇAMENTO!X668</f>
        <v>0</v>
      </c>
      <c r="J668" s="378">
        <f ca="1">IF($A668="S",IF(CAIXA.Modo,BM.AFAnterior,BM.MEDAnterior),IF(AND(RegimeExecucao="Global",$I668&gt;0,COUNTIF($AB$13:$AM$13,BM.medicao-1)&gt;0),M668/$I668*100,0))</f>
        <v>0</v>
      </c>
      <c r="K668" s="124">
        <f t="shared" ca="1" si="46"/>
        <v>0</v>
      </c>
      <c r="L668" s="379">
        <f ca="1">IF($A668="S",IF(CAIXA.Modo,BM.AFAcumulado,BM.MEDAcumulado),IF(AND(RegimeExecucao="Global",$I668&gt;0,COUNTIF($AB$13:$AM$13,BM.medicao)&gt;0),O668/$I668*100,0))</f>
        <v>0</v>
      </c>
      <c r="M668" s="380">
        <f ca="1">IF($A668="S",VTOTALBM,IF($A668=0,0,ROUND(SomaAgrupBM,15-13*ORÇAMENTO!$AF$11)))</f>
        <v>0</v>
      </c>
      <c r="N668" s="381">
        <f t="shared" ca="1" si="47"/>
        <v>0</v>
      </c>
      <c r="O668" s="127">
        <f ca="1">IF($A668="S",VTOTALBM,IF($A668=0,0,ROUND(SomaAgrupBM,15-13*ORÇAMENTO!$AF$11)))</f>
        <v>0</v>
      </c>
      <c r="Q668" s="382"/>
      <c r="R668" s="383"/>
      <c r="T668" s="119" t="str">
        <f t="shared" ca="1" si="48"/>
        <v/>
      </c>
      <c r="U668" s="172" t="str">
        <f t="shared" ca="1" si="49"/>
        <v/>
      </c>
      <c r="V668" s="173" t="str">
        <f ca="1">IF(AND($W668&gt;0,RegimeExecucao="Unitário"),$F668,"")</f>
        <v/>
      </c>
      <c r="W668" s="547">
        <f ca="1">IF($Y668&gt;0,CHOOSE(MATCH(RegimeExecucao,{"Unitário","Global"},0),IF($A668="S",$Y668/$X668,""),($Y668/$X668)*100),0)</f>
        <v>0</v>
      </c>
      <c r="X668" s="384" t="str">
        <f ca="1">IF($Y668&gt;0,CHOOSE(MATCH(RegimeExecucao,{"Unitário","Global"},0),IF($A668="S",ROUND($H668,ORÇAMENTO!$AF$10),""),ROUND($I668,ORÇAMENTO!$AF$11)),"")</f>
        <v/>
      </c>
      <c r="Y668" s="384">
        <f t="shared" ca="1" si="50"/>
        <v>0</v>
      </c>
      <c r="Z668" s="572"/>
      <c r="AB668" s="382"/>
      <c r="AC668" s="516"/>
      <c r="AD668" s="516"/>
      <c r="AE668" s="516"/>
      <c r="AF668" s="516"/>
      <c r="AG668" s="516"/>
      <c r="AH668" s="516"/>
      <c r="AI668" s="516"/>
      <c r="AJ668" s="516"/>
      <c r="AK668" s="516"/>
      <c r="AL668" s="516"/>
      <c r="AM668" s="383"/>
      <c r="AO668">
        <f ca="1">IF($A668="S",IF(BM!$I668=0,0,CHOOSE(MATCH(RegimeExecucao,{"Global","Unitário"},0),ROUND(ROUND(BM.MEDAcumulado,15-13*BM!$A$9)/100*BM!$I668,15-13*ORÇAMENTO!$AF$11),ROUND(ROUND(BM.MEDAcumulado,15-13*BM!$A$9)*ROUND(BM!$H668,15-13*ORÇAMENTO!$AF$10),15-13*ORÇAMENTO!$AF$11))),IF($A668=0,0,ROUND(SomaAgrupBM,15-13*ORÇAMENTO!$AF$11)))</f>
        <v>0</v>
      </c>
    </row>
    <row r="669" spans="1:41" x14ac:dyDescent="0.2">
      <c r="A669" t="str">
        <f ca="1">ORÇAMENTO!C669</f>
        <v>S</v>
      </c>
      <c r="B669">
        <f ca="1">ORÇAMENTO!D669</f>
        <v>0</v>
      </c>
      <c r="C669" s="116" t="str">
        <f t="shared" ca="1" si="44"/>
        <v/>
      </c>
      <c r="D669" s="119" t="str">
        <f ca="1">ORÇAMENTO!O669</f>
        <v>-</v>
      </c>
      <c r="E669" s="172" t="str">
        <f t="shared" ca="1" si="53"/>
        <v>(abra o arquivo 'Referência 06-2024.xlsm)</v>
      </c>
      <c r="F669" s="173" t="str">
        <f ca="1">IF(RegimeExecucao="Global","",ORÇAMENTO.Unidade)</f>
        <v/>
      </c>
      <c r="G669" s="124" t="str">
        <f ca="1">IF(RegimeExecucao="Global","",ORÇAMENTO!T669)</f>
        <v/>
      </c>
      <c r="H669" s="124" t="str">
        <f ca="1">IF(RegimeExecucao="Global","",ORÇAMENTO!W669)</f>
        <v/>
      </c>
      <c r="I669" s="127">
        <f ca="1">ORÇAMENTO!X669</f>
        <v>0</v>
      </c>
      <c r="J669" s="378">
        <f ca="1">IF($A669="S",IF(CAIXA.Modo,BM.AFAnterior,BM.MEDAnterior),IF(AND(RegimeExecucao="Global",$I669&gt;0,COUNTIF($AB$13:$AM$13,BM.medicao-1)&gt;0),M669/$I669*100,0))</f>
        <v>0</v>
      </c>
      <c r="K669" s="124">
        <f t="shared" ca="1" si="46"/>
        <v>0</v>
      </c>
      <c r="L669" s="379">
        <f ca="1">IF($A669="S",IF(CAIXA.Modo,BM.AFAcumulado,BM.MEDAcumulado),IF(AND(RegimeExecucao="Global",$I669&gt;0,COUNTIF($AB$13:$AM$13,BM.medicao)&gt;0),O669/$I669*100,0))</f>
        <v>0</v>
      </c>
      <c r="M669" s="380">
        <f ca="1">IF($A669="S",VTOTALBM,IF($A669=0,0,ROUND(SomaAgrupBM,15-13*ORÇAMENTO!$AF$11)))</f>
        <v>0</v>
      </c>
      <c r="N669" s="381">
        <f t="shared" ca="1" si="47"/>
        <v>0</v>
      </c>
      <c r="O669" s="127">
        <f ca="1">IF($A669="S",VTOTALBM,IF($A669=0,0,ROUND(SomaAgrupBM,15-13*ORÇAMENTO!$AF$11)))</f>
        <v>0</v>
      </c>
      <c r="Q669" s="382"/>
      <c r="R669" s="383"/>
      <c r="T669" s="119" t="str">
        <f t="shared" ca="1" si="48"/>
        <v/>
      </c>
      <c r="U669" s="172" t="str">
        <f t="shared" ca="1" si="49"/>
        <v/>
      </c>
      <c r="V669" s="173" t="str">
        <f ca="1">IF(AND($W669&gt;0,RegimeExecucao="Unitário"),$F669,"")</f>
        <v/>
      </c>
      <c r="W669" s="547">
        <f ca="1">IF($Y669&gt;0,CHOOSE(MATCH(RegimeExecucao,{"Unitário","Global"},0),IF($A669="S",$Y669/$X669,""),($Y669/$X669)*100),0)</f>
        <v>0</v>
      </c>
      <c r="X669" s="384" t="str">
        <f ca="1">IF($Y669&gt;0,CHOOSE(MATCH(RegimeExecucao,{"Unitário","Global"},0),IF($A669="S",ROUND($H669,ORÇAMENTO!$AF$10),""),ROUND($I669,ORÇAMENTO!$AF$11)),"")</f>
        <v/>
      </c>
      <c r="Y669" s="384">
        <f t="shared" ca="1" si="50"/>
        <v>0</v>
      </c>
      <c r="Z669" s="572"/>
      <c r="AB669" s="382"/>
      <c r="AC669" s="516"/>
      <c r="AD669" s="516"/>
      <c r="AE669" s="516"/>
      <c r="AF669" s="516"/>
      <c r="AG669" s="516"/>
      <c r="AH669" s="516"/>
      <c r="AI669" s="516"/>
      <c r="AJ669" s="516"/>
      <c r="AK669" s="516"/>
      <c r="AL669" s="516"/>
      <c r="AM669" s="383"/>
      <c r="AO669">
        <f ca="1">IF($A669="S",IF(BM!$I669=0,0,CHOOSE(MATCH(RegimeExecucao,{"Global","Unitário"},0),ROUND(ROUND(BM.MEDAcumulado,15-13*BM!$A$9)/100*BM!$I669,15-13*ORÇAMENTO!$AF$11),ROUND(ROUND(BM.MEDAcumulado,15-13*BM!$A$9)*ROUND(BM!$H669,15-13*ORÇAMENTO!$AF$10),15-13*ORÇAMENTO!$AF$11))),IF($A669=0,0,ROUND(SomaAgrupBM,15-13*ORÇAMENTO!$AF$11)))</f>
        <v>0</v>
      </c>
    </row>
    <row r="670" spans="1:41" ht="25.5" x14ac:dyDescent="0.2">
      <c r="A670" t="str">
        <f ca="1">ORÇAMENTO!C670</f>
        <v>S</v>
      </c>
      <c r="B670">
        <f ca="1">ORÇAMENTO!D670</f>
        <v>0</v>
      </c>
      <c r="C670" s="116" t="str">
        <f t="shared" ca="1" si="44"/>
        <v/>
      </c>
      <c r="D670" s="119" t="str">
        <f ca="1">ORÇAMENTO!O670</f>
        <v>-</v>
      </c>
      <c r="E670" s="172" t="str">
        <f t="shared" ca="1" si="53"/>
        <v>(abra o arquivo 'Referência 06-2024.xlsm)</v>
      </c>
      <c r="F670" s="173" t="str">
        <f ca="1">IF(RegimeExecucao="Global","",ORÇAMENTO.Unidade)</f>
        <v/>
      </c>
      <c r="G670" s="124" t="str">
        <f ca="1">IF(RegimeExecucao="Global","",ORÇAMENTO!T670)</f>
        <v/>
      </c>
      <c r="H670" s="124" t="str">
        <f ca="1">IF(RegimeExecucao="Global","",ORÇAMENTO!W670)</f>
        <v/>
      </c>
      <c r="I670" s="127">
        <f ca="1">ORÇAMENTO!X670</f>
        <v>0</v>
      </c>
      <c r="J670" s="378">
        <f ca="1">IF($A670="S",IF(CAIXA.Modo,BM.AFAnterior,BM.MEDAnterior),IF(AND(RegimeExecucao="Global",$I670&gt;0,COUNTIF($AB$13:$AM$13,BM.medicao-1)&gt;0),M670/$I670*100,0))</f>
        <v>0</v>
      </c>
      <c r="K670" s="124">
        <f t="shared" ca="1" si="46"/>
        <v>0</v>
      </c>
      <c r="L670" s="379">
        <f ca="1">IF($A670="S",IF(CAIXA.Modo,BM.AFAcumulado,BM.MEDAcumulado),IF(AND(RegimeExecucao="Global",$I670&gt;0,COUNTIF($AB$13:$AM$13,BM.medicao)&gt;0),O670/$I670*100,0))</f>
        <v>0</v>
      </c>
      <c r="M670" s="380">
        <f ca="1">IF($A670="S",VTOTALBM,IF($A670=0,0,ROUND(SomaAgrupBM,15-13*ORÇAMENTO!$AF$11)))</f>
        <v>0</v>
      </c>
      <c r="N670" s="381">
        <f t="shared" ca="1" si="47"/>
        <v>0</v>
      </c>
      <c r="O670" s="127">
        <f ca="1">IF($A670="S",VTOTALBM,IF($A670=0,0,ROUND(SomaAgrupBM,15-13*ORÇAMENTO!$AF$11)))</f>
        <v>0</v>
      </c>
      <c r="Q670" s="382"/>
      <c r="R670" s="383"/>
      <c r="T670" s="119" t="str">
        <f t="shared" ca="1" si="48"/>
        <v/>
      </c>
      <c r="U670" s="172" t="str">
        <f t="shared" ca="1" si="49"/>
        <v/>
      </c>
      <c r="V670" s="173" t="str">
        <f ca="1">IF(AND($W670&gt;0,RegimeExecucao="Unitário"),$F670,"")</f>
        <v/>
      </c>
      <c r="W670" s="547">
        <f ca="1">IF($Y670&gt;0,CHOOSE(MATCH(RegimeExecucao,{"Unitário","Global"},0),IF($A670="S",$Y670/$X670,""),($Y670/$X670)*100),0)</f>
        <v>0</v>
      </c>
      <c r="X670" s="384" t="str">
        <f ca="1">IF($Y670&gt;0,CHOOSE(MATCH(RegimeExecucao,{"Unitário","Global"},0),IF($A670="S",ROUND($H670,ORÇAMENTO!$AF$10),""),ROUND($I670,ORÇAMENTO!$AF$11)),"")</f>
        <v/>
      </c>
      <c r="Y670" s="384">
        <f t="shared" ca="1" si="50"/>
        <v>0</v>
      </c>
      <c r="Z670" s="572"/>
      <c r="AB670" s="382"/>
      <c r="AC670" s="516"/>
      <c r="AD670" s="516"/>
      <c r="AE670" s="516"/>
      <c r="AF670" s="516"/>
      <c r="AG670" s="516"/>
      <c r="AH670" s="516"/>
      <c r="AI670" s="516"/>
      <c r="AJ670" s="516"/>
      <c r="AK670" s="516"/>
      <c r="AL670" s="516"/>
      <c r="AM670" s="383"/>
      <c r="AO670">
        <f ca="1">IF($A670="S",IF(BM!$I670=0,0,CHOOSE(MATCH(RegimeExecucao,{"Global","Unitário"},0),ROUND(ROUND(BM.MEDAcumulado,15-13*BM!$A$9)/100*BM!$I670,15-13*ORÇAMENTO!$AF$11),ROUND(ROUND(BM.MEDAcumulado,15-13*BM!$A$9)*ROUND(BM!$H670,15-13*ORÇAMENTO!$AF$10),15-13*ORÇAMENTO!$AF$11))),IF($A670=0,0,ROUND(SomaAgrupBM,15-13*ORÇAMENTO!$AF$11)))</f>
        <v>0</v>
      </c>
    </row>
    <row r="671" spans="1:41" ht="25.5" x14ac:dyDescent="0.2">
      <c r="A671" t="str">
        <f ca="1">ORÇAMENTO!C671</f>
        <v>S</v>
      </c>
      <c r="B671">
        <f ca="1">ORÇAMENTO!D671</f>
        <v>0</v>
      </c>
      <c r="C671" s="116" t="str">
        <f t="shared" ca="1" si="44"/>
        <v/>
      </c>
      <c r="D671" s="119" t="str">
        <f ca="1">ORÇAMENTO!O671</f>
        <v>-</v>
      </c>
      <c r="E671" s="172" t="str">
        <f t="shared" ca="1" si="53"/>
        <v>(abra o arquivo 'Referência 06-2024.xlsm)</v>
      </c>
      <c r="F671" s="173" t="str">
        <f ca="1">IF(RegimeExecucao="Global","",ORÇAMENTO.Unidade)</f>
        <v/>
      </c>
      <c r="G671" s="124" t="str">
        <f ca="1">IF(RegimeExecucao="Global","",ORÇAMENTO!T671)</f>
        <v/>
      </c>
      <c r="H671" s="124" t="str">
        <f ca="1">IF(RegimeExecucao="Global","",ORÇAMENTO!W671)</f>
        <v/>
      </c>
      <c r="I671" s="127">
        <f ca="1">ORÇAMENTO!X671</f>
        <v>0</v>
      </c>
      <c r="J671" s="378">
        <f ca="1">IF($A671="S",IF(CAIXA.Modo,BM.AFAnterior,BM.MEDAnterior),IF(AND(RegimeExecucao="Global",$I671&gt;0,COUNTIF($AB$13:$AM$13,BM.medicao-1)&gt;0),M671/$I671*100,0))</f>
        <v>0</v>
      </c>
      <c r="K671" s="124">
        <f t="shared" ca="1" si="46"/>
        <v>0</v>
      </c>
      <c r="L671" s="379">
        <f ca="1">IF($A671="S",IF(CAIXA.Modo,BM.AFAcumulado,BM.MEDAcumulado),IF(AND(RegimeExecucao="Global",$I671&gt;0,COUNTIF($AB$13:$AM$13,BM.medicao)&gt;0),O671/$I671*100,0))</f>
        <v>0</v>
      </c>
      <c r="M671" s="380">
        <f ca="1">IF($A671="S",VTOTALBM,IF($A671=0,0,ROUND(SomaAgrupBM,15-13*ORÇAMENTO!$AF$11)))</f>
        <v>0</v>
      </c>
      <c r="N671" s="381">
        <f t="shared" ca="1" si="47"/>
        <v>0</v>
      </c>
      <c r="O671" s="127">
        <f ca="1">IF($A671="S",VTOTALBM,IF($A671=0,0,ROUND(SomaAgrupBM,15-13*ORÇAMENTO!$AF$11)))</f>
        <v>0</v>
      </c>
      <c r="Q671" s="382"/>
      <c r="R671" s="383"/>
      <c r="T671" s="119" t="str">
        <f t="shared" ca="1" si="48"/>
        <v/>
      </c>
      <c r="U671" s="172" t="str">
        <f t="shared" ca="1" si="49"/>
        <v/>
      </c>
      <c r="V671" s="173" t="str">
        <f ca="1">IF(AND($W671&gt;0,RegimeExecucao="Unitário"),$F671,"")</f>
        <v/>
      </c>
      <c r="W671" s="547">
        <f ca="1">IF($Y671&gt;0,CHOOSE(MATCH(RegimeExecucao,{"Unitário","Global"},0),IF($A671="S",$Y671/$X671,""),($Y671/$X671)*100),0)</f>
        <v>0</v>
      </c>
      <c r="X671" s="384" t="str">
        <f ca="1">IF($Y671&gt;0,CHOOSE(MATCH(RegimeExecucao,{"Unitário","Global"},0),IF($A671="S",ROUND($H671,ORÇAMENTO!$AF$10),""),ROUND($I671,ORÇAMENTO!$AF$11)),"")</f>
        <v/>
      </c>
      <c r="Y671" s="384">
        <f t="shared" ca="1" si="50"/>
        <v>0</v>
      </c>
      <c r="Z671" s="572"/>
      <c r="AB671" s="382"/>
      <c r="AC671" s="516"/>
      <c r="AD671" s="516"/>
      <c r="AE671" s="516"/>
      <c r="AF671" s="516"/>
      <c r="AG671" s="516"/>
      <c r="AH671" s="516"/>
      <c r="AI671" s="516"/>
      <c r="AJ671" s="516"/>
      <c r="AK671" s="516"/>
      <c r="AL671" s="516"/>
      <c r="AM671" s="383"/>
      <c r="AO671">
        <f ca="1">IF($A671="S",IF(BM!$I671=0,0,CHOOSE(MATCH(RegimeExecucao,{"Global","Unitário"},0),ROUND(ROUND(BM.MEDAcumulado,15-13*BM!$A$9)/100*BM!$I671,15-13*ORÇAMENTO!$AF$11),ROUND(ROUND(BM.MEDAcumulado,15-13*BM!$A$9)*ROUND(BM!$H671,15-13*ORÇAMENTO!$AF$10),15-13*ORÇAMENTO!$AF$11))),IF($A671=0,0,ROUND(SomaAgrupBM,15-13*ORÇAMENTO!$AF$11)))</f>
        <v>0</v>
      </c>
    </row>
    <row r="672" spans="1:41" ht="25.5" x14ac:dyDescent="0.2">
      <c r="A672" t="str">
        <f ca="1">ORÇAMENTO!C672</f>
        <v>S</v>
      </c>
      <c r="B672">
        <f ca="1">ORÇAMENTO!D672</f>
        <v>0</v>
      </c>
      <c r="C672" s="116" t="str">
        <f t="shared" ca="1" si="44"/>
        <v/>
      </c>
      <c r="D672" s="119" t="str">
        <f ca="1">ORÇAMENTO!O672</f>
        <v>-</v>
      </c>
      <c r="E672" s="172" t="str">
        <f t="shared" ca="1" si="53"/>
        <v>(abra o arquivo 'Referência 06-2024.xlsm)</v>
      </c>
      <c r="F672" s="173" t="str">
        <f ca="1">IF(RegimeExecucao="Global","",ORÇAMENTO.Unidade)</f>
        <v/>
      </c>
      <c r="G672" s="124" t="str">
        <f ca="1">IF(RegimeExecucao="Global","",ORÇAMENTO!T672)</f>
        <v/>
      </c>
      <c r="H672" s="124" t="str">
        <f ca="1">IF(RegimeExecucao="Global","",ORÇAMENTO!W672)</f>
        <v/>
      </c>
      <c r="I672" s="127">
        <f ca="1">ORÇAMENTO!X672</f>
        <v>0</v>
      </c>
      <c r="J672" s="378">
        <f ca="1">IF($A672="S",IF(CAIXA.Modo,BM.AFAnterior,BM.MEDAnterior),IF(AND(RegimeExecucao="Global",$I672&gt;0,COUNTIF($AB$13:$AM$13,BM.medicao-1)&gt;0),M672/$I672*100,0))</f>
        <v>0</v>
      </c>
      <c r="K672" s="124">
        <f t="shared" ca="1" si="46"/>
        <v>0</v>
      </c>
      <c r="L672" s="379">
        <f ca="1">IF($A672="S",IF(CAIXA.Modo,BM.AFAcumulado,BM.MEDAcumulado),IF(AND(RegimeExecucao="Global",$I672&gt;0,COUNTIF($AB$13:$AM$13,BM.medicao)&gt;0),O672/$I672*100,0))</f>
        <v>0</v>
      </c>
      <c r="M672" s="380">
        <f ca="1">IF($A672="S",VTOTALBM,IF($A672=0,0,ROUND(SomaAgrupBM,15-13*ORÇAMENTO!$AF$11)))</f>
        <v>0</v>
      </c>
      <c r="N672" s="381">
        <f t="shared" ca="1" si="47"/>
        <v>0</v>
      </c>
      <c r="O672" s="127">
        <f ca="1">IF($A672="S",VTOTALBM,IF($A672=0,0,ROUND(SomaAgrupBM,15-13*ORÇAMENTO!$AF$11)))</f>
        <v>0</v>
      </c>
      <c r="Q672" s="382"/>
      <c r="R672" s="383"/>
      <c r="T672" s="119" t="str">
        <f t="shared" ca="1" si="48"/>
        <v/>
      </c>
      <c r="U672" s="172" t="str">
        <f t="shared" ca="1" si="49"/>
        <v/>
      </c>
      <c r="V672" s="173" t="str">
        <f ca="1">IF(AND($W672&gt;0,RegimeExecucao="Unitário"),$F672,"")</f>
        <v/>
      </c>
      <c r="W672" s="547">
        <f ca="1">IF($Y672&gt;0,CHOOSE(MATCH(RegimeExecucao,{"Unitário","Global"},0),IF($A672="S",$Y672/$X672,""),($Y672/$X672)*100),0)</f>
        <v>0</v>
      </c>
      <c r="X672" s="384" t="str">
        <f ca="1">IF($Y672&gt;0,CHOOSE(MATCH(RegimeExecucao,{"Unitário","Global"},0),IF($A672="S",ROUND($H672,ORÇAMENTO!$AF$10),""),ROUND($I672,ORÇAMENTO!$AF$11)),"")</f>
        <v/>
      </c>
      <c r="Y672" s="384">
        <f t="shared" ca="1" si="50"/>
        <v>0</v>
      </c>
      <c r="Z672" s="572"/>
      <c r="AB672" s="382"/>
      <c r="AC672" s="516"/>
      <c r="AD672" s="516"/>
      <c r="AE672" s="516"/>
      <c r="AF672" s="516"/>
      <c r="AG672" s="516"/>
      <c r="AH672" s="516"/>
      <c r="AI672" s="516"/>
      <c r="AJ672" s="516"/>
      <c r="AK672" s="516"/>
      <c r="AL672" s="516"/>
      <c r="AM672" s="383"/>
      <c r="AO672">
        <f ca="1">IF($A672="S",IF(BM!$I672=0,0,CHOOSE(MATCH(RegimeExecucao,{"Global","Unitário"},0),ROUND(ROUND(BM.MEDAcumulado,15-13*BM!$A$9)/100*BM!$I672,15-13*ORÇAMENTO!$AF$11),ROUND(ROUND(BM.MEDAcumulado,15-13*BM!$A$9)*ROUND(BM!$H672,15-13*ORÇAMENTO!$AF$10),15-13*ORÇAMENTO!$AF$11))),IF($A672=0,0,ROUND(SomaAgrupBM,15-13*ORÇAMENTO!$AF$11)))</f>
        <v>0</v>
      </c>
    </row>
    <row r="673" spans="1:41" x14ac:dyDescent="0.2">
      <c r="A673" t="str">
        <f ca="1">ORÇAMENTO!C673</f>
        <v>S</v>
      </c>
      <c r="B673">
        <f ca="1">ORÇAMENTO!D673</f>
        <v>0</v>
      </c>
      <c r="C673" s="116" t="str">
        <f t="shared" ca="1" si="44"/>
        <v/>
      </c>
      <c r="D673" s="119" t="str">
        <f ca="1">ORÇAMENTO!O673</f>
        <v>-</v>
      </c>
      <c r="E673" s="172" t="str">
        <f t="shared" ca="1" si="53"/>
        <v>(abra o arquivo 'Referência 06-2024.xlsm)</v>
      </c>
      <c r="F673" s="173" t="str">
        <f ca="1">IF(RegimeExecucao="Global","",ORÇAMENTO.Unidade)</f>
        <v/>
      </c>
      <c r="G673" s="124" t="str">
        <f ca="1">IF(RegimeExecucao="Global","",ORÇAMENTO!T673)</f>
        <v/>
      </c>
      <c r="H673" s="124" t="str">
        <f ca="1">IF(RegimeExecucao="Global","",ORÇAMENTO!W673)</f>
        <v/>
      </c>
      <c r="I673" s="127">
        <f ca="1">ORÇAMENTO!X673</f>
        <v>0</v>
      </c>
      <c r="J673" s="378">
        <f ca="1">IF($A673="S",IF(CAIXA.Modo,BM.AFAnterior,BM.MEDAnterior),IF(AND(RegimeExecucao="Global",$I673&gt;0,COUNTIF($AB$13:$AM$13,BM.medicao-1)&gt;0),M673/$I673*100,0))</f>
        <v>0</v>
      </c>
      <c r="K673" s="124">
        <f t="shared" ca="1" si="46"/>
        <v>0</v>
      </c>
      <c r="L673" s="379">
        <f ca="1">IF($A673="S",IF(CAIXA.Modo,BM.AFAcumulado,BM.MEDAcumulado),IF(AND(RegimeExecucao="Global",$I673&gt;0,COUNTIF($AB$13:$AM$13,BM.medicao)&gt;0),O673/$I673*100,0))</f>
        <v>0</v>
      </c>
      <c r="M673" s="380">
        <f ca="1">IF($A673="S",VTOTALBM,IF($A673=0,0,ROUND(SomaAgrupBM,15-13*ORÇAMENTO!$AF$11)))</f>
        <v>0</v>
      </c>
      <c r="N673" s="381">
        <f t="shared" ca="1" si="47"/>
        <v>0</v>
      </c>
      <c r="O673" s="127">
        <f ca="1">IF($A673="S",VTOTALBM,IF($A673=0,0,ROUND(SomaAgrupBM,15-13*ORÇAMENTO!$AF$11)))</f>
        <v>0</v>
      </c>
      <c r="Q673" s="382"/>
      <c r="R673" s="383"/>
      <c r="T673" s="119" t="str">
        <f t="shared" ca="1" si="48"/>
        <v/>
      </c>
      <c r="U673" s="172" t="str">
        <f t="shared" ca="1" si="49"/>
        <v/>
      </c>
      <c r="V673" s="173" t="str">
        <f ca="1">IF(AND($W673&gt;0,RegimeExecucao="Unitário"),$F673,"")</f>
        <v/>
      </c>
      <c r="W673" s="547">
        <f ca="1">IF($Y673&gt;0,CHOOSE(MATCH(RegimeExecucao,{"Unitário","Global"},0),IF($A673="S",$Y673/$X673,""),($Y673/$X673)*100),0)</f>
        <v>0</v>
      </c>
      <c r="X673" s="384" t="str">
        <f ca="1">IF($Y673&gt;0,CHOOSE(MATCH(RegimeExecucao,{"Unitário","Global"},0),IF($A673="S",ROUND($H673,ORÇAMENTO!$AF$10),""),ROUND($I673,ORÇAMENTO!$AF$11)),"")</f>
        <v/>
      </c>
      <c r="Y673" s="384">
        <f t="shared" ca="1" si="50"/>
        <v>0</v>
      </c>
      <c r="Z673" s="572"/>
      <c r="AB673" s="382"/>
      <c r="AC673" s="516"/>
      <c r="AD673" s="516"/>
      <c r="AE673" s="516"/>
      <c r="AF673" s="516"/>
      <c r="AG673" s="516"/>
      <c r="AH673" s="516"/>
      <c r="AI673" s="516"/>
      <c r="AJ673" s="516"/>
      <c r="AK673" s="516"/>
      <c r="AL673" s="516"/>
      <c r="AM673" s="383"/>
      <c r="AO673">
        <f ca="1">IF($A673="S",IF(BM!$I673=0,0,CHOOSE(MATCH(RegimeExecucao,{"Global","Unitário"},0),ROUND(ROUND(BM.MEDAcumulado,15-13*BM!$A$9)/100*BM!$I673,15-13*ORÇAMENTO!$AF$11),ROUND(ROUND(BM.MEDAcumulado,15-13*BM!$A$9)*ROUND(BM!$H673,15-13*ORÇAMENTO!$AF$10),15-13*ORÇAMENTO!$AF$11))),IF($A673=0,0,ROUND(SomaAgrupBM,15-13*ORÇAMENTO!$AF$11)))</f>
        <v>0</v>
      </c>
    </row>
    <row r="674" spans="1:41" ht="38.25" x14ac:dyDescent="0.2">
      <c r="A674" t="str">
        <f ca="1">ORÇAMENTO!C674</f>
        <v>S</v>
      </c>
      <c r="B674">
        <f ca="1">ORÇAMENTO!D674</f>
        <v>0</v>
      </c>
      <c r="C674" s="116" t="str">
        <f t="shared" ca="1" si="44"/>
        <v/>
      </c>
      <c r="D674" s="119" t="str">
        <f ca="1">ORÇAMENTO!O674</f>
        <v>-</v>
      </c>
      <c r="E674" s="172" t="str">
        <f t="shared" ca="1" si="53"/>
        <v>(abra o arquivo 'Referência 06-2024.xlsm)</v>
      </c>
      <c r="F674" s="173" t="str">
        <f ca="1">IF(RegimeExecucao="Global","",ORÇAMENTO.Unidade)</f>
        <v/>
      </c>
      <c r="G674" s="124" t="str">
        <f ca="1">IF(RegimeExecucao="Global","",ORÇAMENTO!T674)</f>
        <v/>
      </c>
      <c r="H674" s="124" t="str">
        <f ca="1">IF(RegimeExecucao="Global","",ORÇAMENTO!W674)</f>
        <v/>
      </c>
      <c r="I674" s="127">
        <f ca="1">ORÇAMENTO!X674</f>
        <v>0</v>
      </c>
      <c r="J674" s="378">
        <f ca="1">IF($A674="S",IF(CAIXA.Modo,BM.AFAnterior,BM.MEDAnterior),IF(AND(RegimeExecucao="Global",$I674&gt;0,COUNTIF($AB$13:$AM$13,BM.medicao-1)&gt;0),M674/$I674*100,0))</f>
        <v>0</v>
      </c>
      <c r="K674" s="124">
        <f t="shared" ca="1" si="46"/>
        <v>0</v>
      </c>
      <c r="L674" s="379">
        <f ca="1">IF($A674="S",IF(CAIXA.Modo,BM.AFAcumulado,BM.MEDAcumulado),IF(AND(RegimeExecucao="Global",$I674&gt;0,COUNTIF($AB$13:$AM$13,BM.medicao)&gt;0),O674/$I674*100,0))</f>
        <v>0</v>
      </c>
      <c r="M674" s="380">
        <f ca="1">IF($A674="S",VTOTALBM,IF($A674=0,0,ROUND(SomaAgrupBM,15-13*ORÇAMENTO!$AF$11)))</f>
        <v>0</v>
      </c>
      <c r="N674" s="381">
        <f t="shared" ca="1" si="47"/>
        <v>0</v>
      </c>
      <c r="O674" s="127">
        <f ca="1">IF($A674="S",VTOTALBM,IF($A674=0,0,ROUND(SomaAgrupBM,15-13*ORÇAMENTO!$AF$11)))</f>
        <v>0</v>
      </c>
      <c r="Q674" s="382"/>
      <c r="R674" s="383"/>
      <c r="T674" s="119" t="str">
        <f t="shared" ca="1" si="48"/>
        <v/>
      </c>
      <c r="U674" s="172" t="str">
        <f t="shared" ca="1" si="49"/>
        <v/>
      </c>
      <c r="V674" s="173" t="str">
        <f ca="1">IF(AND($W674&gt;0,RegimeExecucao="Unitário"),$F674,"")</f>
        <v/>
      </c>
      <c r="W674" s="547">
        <f ca="1">IF($Y674&gt;0,CHOOSE(MATCH(RegimeExecucao,{"Unitário","Global"},0),IF($A674="S",$Y674/$X674,""),($Y674/$X674)*100),0)</f>
        <v>0</v>
      </c>
      <c r="X674" s="384" t="str">
        <f ca="1">IF($Y674&gt;0,CHOOSE(MATCH(RegimeExecucao,{"Unitário","Global"},0),IF($A674="S",ROUND($H674,ORÇAMENTO!$AF$10),""),ROUND($I674,ORÇAMENTO!$AF$11)),"")</f>
        <v/>
      </c>
      <c r="Y674" s="384">
        <f t="shared" ca="1" si="50"/>
        <v>0</v>
      </c>
      <c r="Z674" s="572"/>
      <c r="AB674" s="382"/>
      <c r="AC674" s="516"/>
      <c r="AD674" s="516"/>
      <c r="AE674" s="516"/>
      <c r="AF674" s="516"/>
      <c r="AG674" s="516"/>
      <c r="AH674" s="516"/>
      <c r="AI674" s="516"/>
      <c r="AJ674" s="516"/>
      <c r="AK674" s="516"/>
      <c r="AL674" s="516"/>
      <c r="AM674" s="383"/>
      <c r="AO674">
        <f ca="1">IF($A674="S",IF(BM!$I674=0,0,CHOOSE(MATCH(RegimeExecucao,{"Global","Unitário"},0),ROUND(ROUND(BM.MEDAcumulado,15-13*BM!$A$9)/100*BM!$I674,15-13*ORÇAMENTO!$AF$11),ROUND(ROUND(BM.MEDAcumulado,15-13*BM!$A$9)*ROUND(BM!$H674,15-13*ORÇAMENTO!$AF$10),15-13*ORÇAMENTO!$AF$11))),IF($A674=0,0,ROUND(SomaAgrupBM,15-13*ORÇAMENTO!$AF$11)))</f>
        <v>0</v>
      </c>
    </row>
    <row r="675" spans="1:41" ht="38.25" x14ac:dyDescent="0.2">
      <c r="A675" t="str">
        <f ca="1">ORÇAMENTO!C675</f>
        <v>S</v>
      </c>
      <c r="B675">
        <f ca="1">ORÇAMENTO!D675</f>
        <v>0</v>
      </c>
      <c r="C675" s="116" t="str">
        <f t="shared" ca="1" si="44"/>
        <v/>
      </c>
      <c r="D675" s="119" t="str">
        <f ca="1">ORÇAMENTO!O675</f>
        <v>-</v>
      </c>
      <c r="E675" s="172" t="str">
        <f t="shared" ca="1" si="53"/>
        <v>(abra o arquivo 'Referência 06-2024.xlsm)</v>
      </c>
      <c r="F675" s="173" t="str">
        <f ca="1">IF(RegimeExecucao="Global","",ORÇAMENTO.Unidade)</f>
        <v/>
      </c>
      <c r="G675" s="124" t="str">
        <f ca="1">IF(RegimeExecucao="Global","",ORÇAMENTO!T675)</f>
        <v/>
      </c>
      <c r="H675" s="124" t="str">
        <f ca="1">IF(RegimeExecucao="Global","",ORÇAMENTO!W675)</f>
        <v/>
      </c>
      <c r="I675" s="127">
        <f ca="1">ORÇAMENTO!X675</f>
        <v>0</v>
      </c>
      <c r="J675" s="378">
        <f ca="1">IF($A675="S",IF(CAIXA.Modo,BM.AFAnterior,BM.MEDAnterior),IF(AND(RegimeExecucao="Global",$I675&gt;0,COUNTIF($AB$13:$AM$13,BM.medicao-1)&gt;0),M675/$I675*100,0))</f>
        <v>0</v>
      </c>
      <c r="K675" s="124">
        <f t="shared" ca="1" si="46"/>
        <v>0</v>
      </c>
      <c r="L675" s="379">
        <f ca="1">IF($A675="S",IF(CAIXA.Modo,BM.AFAcumulado,BM.MEDAcumulado),IF(AND(RegimeExecucao="Global",$I675&gt;0,COUNTIF($AB$13:$AM$13,BM.medicao)&gt;0),O675/$I675*100,0))</f>
        <v>0</v>
      </c>
      <c r="M675" s="380">
        <f ca="1">IF($A675="S",VTOTALBM,IF($A675=0,0,ROUND(SomaAgrupBM,15-13*ORÇAMENTO!$AF$11)))</f>
        <v>0</v>
      </c>
      <c r="N675" s="381">
        <f t="shared" ca="1" si="47"/>
        <v>0</v>
      </c>
      <c r="O675" s="127">
        <f ca="1">IF($A675="S",VTOTALBM,IF($A675=0,0,ROUND(SomaAgrupBM,15-13*ORÇAMENTO!$AF$11)))</f>
        <v>0</v>
      </c>
      <c r="Q675" s="382"/>
      <c r="R675" s="383"/>
      <c r="T675" s="119" t="str">
        <f t="shared" ca="1" si="48"/>
        <v/>
      </c>
      <c r="U675" s="172" t="str">
        <f t="shared" ca="1" si="49"/>
        <v/>
      </c>
      <c r="V675" s="173" t="str">
        <f ca="1">IF(AND($W675&gt;0,RegimeExecucao="Unitário"),$F675,"")</f>
        <v/>
      </c>
      <c r="W675" s="547">
        <f ca="1">IF($Y675&gt;0,CHOOSE(MATCH(RegimeExecucao,{"Unitário","Global"},0),IF($A675="S",$Y675/$X675,""),($Y675/$X675)*100),0)</f>
        <v>0</v>
      </c>
      <c r="X675" s="384" t="str">
        <f ca="1">IF($Y675&gt;0,CHOOSE(MATCH(RegimeExecucao,{"Unitário","Global"},0),IF($A675="S",ROUND($H675,ORÇAMENTO!$AF$10),""),ROUND($I675,ORÇAMENTO!$AF$11)),"")</f>
        <v/>
      </c>
      <c r="Y675" s="384">
        <f t="shared" ca="1" si="50"/>
        <v>0</v>
      </c>
      <c r="Z675" s="572"/>
      <c r="AB675" s="382"/>
      <c r="AC675" s="516"/>
      <c r="AD675" s="516"/>
      <c r="AE675" s="516"/>
      <c r="AF675" s="516"/>
      <c r="AG675" s="516"/>
      <c r="AH675" s="516"/>
      <c r="AI675" s="516"/>
      <c r="AJ675" s="516"/>
      <c r="AK675" s="516"/>
      <c r="AL675" s="516"/>
      <c r="AM675" s="383"/>
      <c r="AO675">
        <f ca="1">IF($A675="S",IF(BM!$I675=0,0,CHOOSE(MATCH(RegimeExecucao,{"Global","Unitário"},0),ROUND(ROUND(BM.MEDAcumulado,15-13*BM!$A$9)/100*BM!$I675,15-13*ORÇAMENTO!$AF$11),ROUND(ROUND(BM.MEDAcumulado,15-13*BM!$A$9)*ROUND(BM!$H675,15-13*ORÇAMENTO!$AF$10),15-13*ORÇAMENTO!$AF$11))),IF($A675=0,0,ROUND(SomaAgrupBM,15-13*ORÇAMENTO!$AF$11)))</f>
        <v>0</v>
      </c>
    </row>
    <row r="676" spans="1:41" ht="38.25" x14ac:dyDescent="0.2">
      <c r="A676" t="str">
        <f ca="1">ORÇAMENTO!C676</f>
        <v>S</v>
      </c>
      <c r="B676">
        <f ca="1">ORÇAMENTO!D676</f>
        <v>0</v>
      </c>
      <c r="C676" s="116" t="str">
        <f t="shared" ca="1" si="44"/>
        <v/>
      </c>
      <c r="D676" s="119" t="str">
        <f ca="1">ORÇAMENTO!O676</f>
        <v>-</v>
      </c>
      <c r="E676" s="172" t="str">
        <f t="shared" ca="1" si="53"/>
        <v>(abra o arquivo 'Referência 06-2024.xlsm)</v>
      </c>
      <c r="F676" s="173" t="str">
        <f ca="1">IF(RegimeExecucao="Global","",ORÇAMENTO.Unidade)</f>
        <v/>
      </c>
      <c r="G676" s="124" t="str">
        <f ca="1">IF(RegimeExecucao="Global","",ORÇAMENTO!T676)</f>
        <v/>
      </c>
      <c r="H676" s="124" t="str">
        <f ca="1">IF(RegimeExecucao="Global","",ORÇAMENTO!W676)</f>
        <v/>
      </c>
      <c r="I676" s="127">
        <f ca="1">ORÇAMENTO!X676</f>
        <v>0</v>
      </c>
      <c r="J676" s="378">
        <f ca="1">IF($A676="S",IF(CAIXA.Modo,BM.AFAnterior,BM.MEDAnterior),IF(AND(RegimeExecucao="Global",$I676&gt;0,COUNTIF($AB$13:$AM$13,BM.medicao-1)&gt;0),M676/$I676*100,0))</f>
        <v>0</v>
      </c>
      <c r="K676" s="124">
        <f t="shared" ca="1" si="46"/>
        <v>0</v>
      </c>
      <c r="L676" s="379">
        <f ca="1">IF($A676="S",IF(CAIXA.Modo,BM.AFAcumulado,BM.MEDAcumulado),IF(AND(RegimeExecucao="Global",$I676&gt;0,COUNTIF($AB$13:$AM$13,BM.medicao)&gt;0),O676/$I676*100,0))</f>
        <v>0</v>
      </c>
      <c r="M676" s="380">
        <f ca="1">IF($A676="S",VTOTALBM,IF($A676=0,0,ROUND(SomaAgrupBM,15-13*ORÇAMENTO!$AF$11)))</f>
        <v>0</v>
      </c>
      <c r="N676" s="381">
        <f t="shared" ca="1" si="47"/>
        <v>0</v>
      </c>
      <c r="O676" s="127">
        <f ca="1">IF($A676="S",VTOTALBM,IF($A676=0,0,ROUND(SomaAgrupBM,15-13*ORÇAMENTO!$AF$11)))</f>
        <v>0</v>
      </c>
      <c r="Q676" s="382"/>
      <c r="R676" s="383"/>
      <c r="T676" s="119" t="str">
        <f t="shared" ca="1" si="48"/>
        <v/>
      </c>
      <c r="U676" s="172" t="str">
        <f t="shared" ca="1" si="49"/>
        <v/>
      </c>
      <c r="V676" s="173" t="str">
        <f ca="1">IF(AND($W676&gt;0,RegimeExecucao="Unitário"),$F676,"")</f>
        <v/>
      </c>
      <c r="W676" s="547">
        <f ca="1">IF($Y676&gt;0,CHOOSE(MATCH(RegimeExecucao,{"Unitário","Global"},0),IF($A676="S",$Y676/$X676,""),($Y676/$X676)*100),0)</f>
        <v>0</v>
      </c>
      <c r="X676" s="384" t="str">
        <f ca="1">IF($Y676&gt;0,CHOOSE(MATCH(RegimeExecucao,{"Unitário","Global"},0),IF($A676="S",ROUND($H676,ORÇAMENTO!$AF$10),""),ROUND($I676,ORÇAMENTO!$AF$11)),"")</f>
        <v/>
      </c>
      <c r="Y676" s="384">
        <f t="shared" ca="1" si="50"/>
        <v>0</v>
      </c>
      <c r="Z676" s="572"/>
      <c r="AB676" s="382"/>
      <c r="AC676" s="516"/>
      <c r="AD676" s="516"/>
      <c r="AE676" s="516"/>
      <c r="AF676" s="516"/>
      <c r="AG676" s="516"/>
      <c r="AH676" s="516"/>
      <c r="AI676" s="516"/>
      <c r="AJ676" s="516"/>
      <c r="AK676" s="516"/>
      <c r="AL676" s="516"/>
      <c r="AM676" s="383"/>
      <c r="AO676">
        <f ca="1">IF($A676="S",IF(BM!$I676=0,0,CHOOSE(MATCH(RegimeExecucao,{"Global","Unitário"},0),ROUND(ROUND(BM.MEDAcumulado,15-13*BM!$A$9)/100*BM!$I676,15-13*ORÇAMENTO!$AF$11),ROUND(ROUND(BM.MEDAcumulado,15-13*BM!$A$9)*ROUND(BM!$H676,15-13*ORÇAMENTO!$AF$10),15-13*ORÇAMENTO!$AF$11))),IF($A676=0,0,ROUND(SomaAgrupBM,15-13*ORÇAMENTO!$AF$11)))</f>
        <v>0</v>
      </c>
    </row>
    <row r="677" spans="1:41" x14ac:dyDescent="0.2">
      <c r="A677" t="str">
        <f ca="1">ORÇAMENTO!C677</f>
        <v>S</v>
      </c>
      <c r="B677">
        <f ca="1">ORÇAMENTO!D677</f>
        <v>0</v>
      </c>
      <c r="C677" s="116" t="str">
        <f t="shared" ca="1" si="44"/>
        <v/>
      </c>
      <c r="D677" s="119" t="str">
        <f ca="1">ORÇAMENTO!O677</f>
        <v>-</v>
      </c>
      <c r="E677" s="172" t="str">
        <f t="shared" ca="1" si="53"/>
        <v>(abra o arquivo 'Referência 06-2024.xlsm)</v>
      </c>
      <c r="F677" s="173" t="str">
        <f ca="1">IF(RegimeExecucao="Global","",ORÇAMENTO.Unidade)</f>
        <v/>
      </c>
      <c r="G677" s="124" t="str">
        <f ca="1">IF(RegimeExecucao="Global","",ORÇAMENTO!T677)</f>
        <v/>
      </c>
      <c r="H677" s="124" t="str">
        <f ca="1">IF(RegimeExecucao="Global","",ORÇAMENTO!W677)</f>
        <v/>
      </c>
      <c r="I677" s="127">
        <f ca="1">ORÇAMENTO!X677</f>
        <v>0</v>
      </c>
      <c r="J677" s="378">
        <f ca="1">IF($A677="S",IF(CAIXA.Modo,BM.AFAnterior,BM.MEDAnterior),IF(AND(RegimeExecucao="Global",$I677&gt;0,COUNTIF($AB$13:$AM$13,BM.medicao-1)&gt;0),M677/$I677*100,0))</f>
        <v>0</v>
      </c>
      <c r="K677" s="124">
        <f t="shared" ca="1" si="46"/>
        <v>0</v>
      </c>
      <c r="L677" s="379">
        <f ca="1">IF($A677="S",IF(CAIXA.Modo,BM.AFAcumulado,BM.MEDAcumulado),IF(AND(RegimeExecucao="Global",$I677&gt;0,COUNTIF($AB$13:$AM$13,BM.medicao)&gt;0),O677/$I677*100,0))</f>
        <v>0</v>
      </c>
      <c r="M677" s="380">
        <f ca="1">IF($A677="S",VTOTALBM,IF($A677=0,0,ROUND(SomaAgrupBM,15-13*ORÇAMENTO!$AF$11)))</f>
        <v>0</v>
      </c>
      <c r="N677" s="381">
        <f t="shared" ca="1" si="47"/>
        <v>0</v>
      </c>
      <c r="O677" s="127">
        <f ca="1">IF($A677="S",VTOTALBM,IF($A677=0,0,ROUND(SomaAgrupBM,15-13*ORÇAMENTO!$AF$11)))</f>
        <v>0</v>
      </c>
      <c r="Q677" s="382"/>
      <c r="R677" s="383"/>
      <c r="T677" s="119" t="str">
        <f t="shared" ca="1" si="48"/>
        <v/>
      </c>
      <c r="U677" s="172" t="str">
        <f t="shared" ca="1" si="49"/>
        <v/>
      </c>
      <c r="V677" s="173" t="str">
        <f ca="1">IF(AND($W677&gt;0,RegimeExecucao="Unitário"),$F677,"")</f>
        <v/>
      </c>
      <c r="W677" s="547">
        <f ca="1">IF($Y677&gt;0,CHOOSE(MATCH(RegimeExecucao,{"Unitário","Global"},0),IF($A677="S",$Y677/$X677,""),($Y677/$X677)*100),0)</f>
        <v>0</v>
      </c>
      <c r="X677" s="384" t="str">
        <f ca="1">IF($Y677&gt;0,CHOOSE(MATCH(RegimeExecucao,{"Unitário","Global"},0),IF($A677="S",ROUND($H677,ORÇAMENTO!$AF$10),""),ROUND($I677,ORÇAMENTO!$AF$11)),"")</f>
        <v/>
      </c>
      <c r="Y677" s="384">
        <f t="shared" ca="1" si="50"/>
        <v>0</v>
      </c>
      <c r="Z677" s="572"/>
      <c r="AB677" s="382"/>
      <c r="AC677" s="516"/>
      <c r="AD677" s="516"/>
      <c r="AE677" s="516"/>
      <c r="AF677" s="516"/>
      <c r="AG677" s="516"/>
      <c r="AH677" s="516"/>
      <c r="AI677" s="516"/>
      <c r="AJ677" s="516"/>
      <c r="AK677" s="516"/>
      <c r="AL677" s="516"/>
      <c r="AM677" s="383"/>
      <c r="AO677">
        <f ca="1">IF($A677="S",IF(BM!$I677=0,0,CHOOSE(MATCH(RegimeExecucao,{"Global","Unitário"},0),ROUND(ROUND(BM.MEDAcumulado,15-13*BM!$A$9)/100*BM!$I677,15-13*ORÇAMENTO!$AF$11),ROUND(ROUND(BM.MEDAcumulado,15-13*BM!$A$9)*ROUND(BM!$H677,15-13*ORÇAMENTO!$AF$10),15-13*ORÇAMENTO!$AF$11))),IF($A677=0,0,ROUND(SomaAgrupBM,15-13*ORÇAMENTO!$AF$11)))</f>
        <v>0</v>
      </c>
    </row>
    <row r="678" spans="1:41" x14ac:dyDescent="0.2">
      <c r="A678" t="str">
        <f ca="1">ORÇAMENTO!C678</f>
        <v>S</v>
      </c>
      <c r="B678">
        <f ca="1">ORÇAMENTO!D678</f>
        <v>0</v>
      </c>
      <c r="C678" s="116" t="str">
        <f t="shared" ca="1" si="44"/>
        <v/>
      </c>
      <c r="D678" s="119" t="str">
        <f ca="1">ORÇAMENTO!O678</f>
        <v>-</v>
      </c>
      <c r="E678" s="172" t="str">
        <f t="shared" ca="1" si="53"/>
        <v>(abra o arquivo 'Referência 06-2024.xlsm)</v>
      </c>
      <c r="F678" s="173" t="str">
        <f ca="1">IF(RegimeExecucao="Global","",ORÇAMENTO.Unidade)</f>
        <v/>
      </c>
      <c r="G678" s="124" t="str">
        <f ca="1">IF(RegimeExecucao="Global","",ORÇAMENTO!T678)</f>
        <v/>
      </c>
      <c r="H678" s="124" t="str">
        <f ca="1">IF(RegimeExecucao="Global","",ORÇAMENTO!W678)</f>
        <v/>
      </c>
      <c r="I678" s="127">
        <f ca="1">ORÇAMENTO!X678</f>
        <v>0</v>
      </c>
      <c r="J678" s="378">
        <f ca="1">IF($A678="S",IF(CAIXA.Modo,BM.AFAnterior,BM.MEDAnterior),IF(AND(RegimeExecucao="Global",$I678&gt;0,COUNTIF($AB$13:$AM$13,BM.medicao-1)&gt;0),M678/$I678*100,0))</f>
        <v>0</v>
      </c>
      <c r="K678" s="124">
        <f t="shared" ca="1" si="46"/>
        <v>0</v>
      </c>
      <c r="L678" s="379">
        <f ca="1">IF($A678="S",IF(CAIXA.Modo,BM.AFAcumulado,BM.MEDAcumulado),IF(AND(RegimeExecucao="Global",$I678&gt;0,COUNTIF($AB$13:$AM$13,BM.medicao)&gt;0),O678/$I678*100,0))</f>
        <v>0</v>
      </c>
      <c r="M678" s="380">
        <f ca="1">IF($A678="S",VTOTALBM,IF($A678=0,0,ROUND(SomaAgrupBM,15-13*ORÇAMENTO!$AF$11)))</f>
        <v>0</v>
      </c>
      <c r="N678" s="381">
        <f t="shared" ca="1" si="47"/>
        <v>0</v>
      </c>
      <c r="O678" s="127">
        <f ca="1">IF($A678="S",VTOTALBM,IF($A678=0,0,ROUND(SomaAgrupBM,15-13*ORÇAMENTO!$AF$11)))</f>
        <v>0</v>
      </c>
      <c r="Q678" s="382"/>
      <c r="R678" s="383"/>
      <c r="T678" s="119" t="str">
        <f t="shared" ca="1" si="48"/>
        <v/>
      </c>
      <c r="U678" s="172" t="str">
        <f t="shared" ca="1" si="49"/>
        <v/>
      </c>
      <c r="V678" s="173" t="str">
        <f ca="1">IF(AND($W678&gt;0,RegimeExecucao="Unitário"),$F678,"")</f>
        <v/>
      </c>
      <c r="W678" s="547">
        <f ca="1">IF($Y678&gt;0,CHOOSE(MATCH(RegimeExecucao,{"Unitário","Global"},0),IF($A678="S",$Y678/$X678,""),($Y678/$X678)*100),0)</f>
        <v>0</v>
      </c>
      <c r="X678" s="384" t="str">
        <f ca="1">IF($Y678&gt;0,CHOOSE(MATCH(RegimeExecucao,{"Unitário","Global"},0),IF($A678="S",ROUND($H678,ORÇAMENTO!$AF$10),""),ROUND($I678,ORÇAMENTO!$AF$11)),"")</f>
        <v/>
      </c>
      <c r="Y678" s="384">
        <f t="shared" ca="1" si="50"/>
        <v>0</v>
      </c>
      <c r="Z678" s="572"/>
      <c r="AB678" s="382"/>
      <c r="AC678" s="516"/>
      <c r="AD678" s="516"/>
      <c r="AE678" s="516"/>
      <c r="AF678" s="516"/>
      <c r="AG678" s="516"/>
      <c r="AH678" s="516"/>
      <c r="AI678" s="516"/>
      <c r="AJ678" s="516"/>
      <c r="AK678" s="516"/>
      <c r="AL678" s="516"/>
      <c r="AM678" s="383"/>
      <c r="AO678">
        <f ca="1">IF($A678="S",IF(BM!$I678=0,0,CHOOSE(MATCH(RegimeExecucao,{"Global","Unitário"},0),ROUND(ROUND(BM.MEDAcumulado,15-13*BM!$A$9)/100*BM!$I678,15-13*ORÇAMENTO!$AF$11),ROUND(ROUND(BM.MEDAcumulado,15-13*BM!$A$9)*ROUND(BM!$H678,15-13*ORÇAMENTO!$AF$10),15-13*ORÇAMENTO!$AF$11))),IF($A678=0,0,ROUND(SomaAgrupBM,15-13*ORÇAMENTO!$AF$11)))</f>
        <v>0</v>
      </c>
    </row>
    <row r="679" spans="1:41" x14ac:dyDescent="0.2">
      <c r="A679" t="str">
        <f ca="1">ORÇAMENTO!C679</f>
        <v>S</v>
      </c>
      <c r="B679">
        <f ca="1">ORÇAMENTO!D679</f>
        <v>0</v>
      </c>
      <c r="C679" s="116" t="str">
        <f t="shared" ca="1" si="44"/>
        <v/>
      </c>
      <c r="D679" s="119" t="str">
        <f ca="1">ORÇAMENTO!O679</f>
        <v>-</v>
      </c>
      <c r="E679" s="172" t="str">
        <f t="shared" ca="1" si="53"/>
        <v>(abra o arquivo 'Referência 06-2024.xlsm)</v>
      </c>
      <c r="F679" s="173" t="str">
        <f ca="1">IF(RegimeExecucao="Global","",ORÇAMENTO.Unidade)</f>
        <v/>
      </c>
      <c r="G679" s="124" t="str">
        <f ca="1">IF(RegimeExecucao="Global","",ORÇAMENTO!T679)</f>
        <v/>
      </c>
      <c r="H679" s="124" t="str">
        <f ca="1">IF(RegimeExecucao="Global","",ORÇAMENTO!W679)</f>
        <v/>
      </c>
      <c r="I679" s="127">
        <f ca="1">ORÇAMENTO!X679</f>
        <v>0</v>
      </c>
      <c r="J679" s="378">
        <f ca="1">IF($A679="S",IF(CAIXA.Modo,BM.AFAnterior,BM.MEDAnterior),IF(AND(RegimeExecucao="Global",$I679&gt;0,COUNTIF($AB$13:$AM$13,BM.medicao-1)&gt;0),M679/$I679*100,0))</f>
        <v>0</v>
      </c>
      <c r="K679" s="124">
        <f t="shared" ca="1" si="46"/>
        <v>0</v>
      </c>
      <c r="L679" s="379">
        <f ca="1">IF($A679="S",IF(CAIXA.Modo,BM.AFAcumulado,BM.MEDAcumulado),IF(AND(RegimeExecucao="Global",$I679&gt;0,COUNTIF($AB$13:$AM$13,BM.medicao)&gt;0),O679/$I679*100,0))</f>
        <v>0</v>
      </c>
      <c r="M679" s="380">
        <f ca="1">IF($A679="S",VTOTALBM,IF($A679=0,0,ROUND(SomaAgrupBM,15-13*ORÇAMENTO!$AF$11)))</f>
        <v>0</v>
      </c>
      <c r="N679" s="381">
        <f t="shared" ca="1" si="47"/>
        <v>0</v>
      </c>
      <c r="O679" s="127">
        <f ca="1">IF($A679="S",VTOTALBM,IF($A679=0,0,ROUND(SomaAgrupBM,15-13*ORÇAMENTO!$AF$11)))</f>
        <v>0</v>
      </c>
      <c r="Q679" s="382"/>
      <c r="R679" s="383"/>
      <c r="T679" s="119" t="str">
        <f t="shared" ca="1" si="48"/>
        <v/>
      </c>
      <c r="U679" s="172" t="str">
        <f t="shared" ca="1" si="49"/>
        <v/>
      </c>
      <c r="V679" s="173" t="str">
        <f ca="1">IF(AND($W679&gt;0,RegimeExecucao="Unitário"),$F679,"")</f>
        <v/>
      </c>
      <c r="W679" s="547">
        <f ca="1">IF($Y679&gt;0,CHOOSE(MATCH(RegimeExecucao,{"Unitário","Global"},0),IF($A679="S",$Y679/$X679,""),($Y679/$X679)*100),0)</f>
        <v>0</v>
      </c>
      <c r="X679" s="384" t="str">
        <f ca="1">IF($Y679&gt;0,CHOOSE(MATCH(RegimeExecucao,{"Unitário","Global"},0),IF($A679="S",ROUND($H679,ORÇAMENTO!$AF$10),""),ROUND($I679,ORÇAMENTO!$AF$11)),"")</f>
        <v/>
      </c>
      <c r="Y679" s="384">
        <f t="shared" ca="1" si="50"/>
        <v>0</v>
      </c>
      <c r="Z679" s="572"/>
      <c r="AB679" s="382"/>
      <c r="AC679" s="516"/>
      <c r="AD679" s="516"/>
      <c r="AE679" s="516"/>
      <c r="AF679" s="516"/>
      <c r="AG679" s="516"/>
      <c r="AH679" s="516"/>
      <c r="AI679" s="516"/>
      <c r="AJ679" s="516"/>
      <c r="AK679" s="516"/>
      <c r="AL679" s="516"/>
      <c r="AM679" s="383"/>
      <c r="AO679">
        <f ca="1">IF($A679="S",IF(BM!$I679=0,0,CHOOSE(MATCH(RegimeExecucao,{"Global","Unitário"},0),ROUND(ROUND(BM.MEDAcumulado,15-13*BM!$A$9)/100*BM!$I679,15-13*ORÇAMENTO!$AF$11),ROUND(ROUND(BM.MEDAcumulado,15-13*BM!$A$9)*ROUND(BM!$H679,15-13*ORÇAMENTO!$AF$10),15-13*ORÇAMENTO!$AF$11))),IF($A679=0,0,ROUND(SomaAgrupBM,15-13*ORÇAMENTO!$AF$11)))</f>
        <v>0</v>
      </c>
    </row>
    <row r="680" spans="1:41" x14ac:dyDescent="0.2">
      <c r="A680" t="str">
        <f ca="1">ORÇAMENTO!C680</f>
        <v>S</v>
      </c>
      <c r="B680">
        <f ca="1">ORÇAMENTO!D680</f>
        <v>0</v>
      </c>
      <c r="C680" s="116" t="str">
        <f t="shared" ca="1" si="44"/>
        <v/>
      </c>
      <c r="D680" s="119" t="str">
        <f ca="1">ORÇAMENTO!O680</f>
        <v>-</v>
      </c>
      <c r="E680" s="172" t="str">
        <f t="shared" ca="1" si="53"/>
        <v>(abra o arquivo 'Referência 06-2024.xlsm)</v>
      </c>
      <c r="F680" s="173" t="str">
        <f ca="1">IF(RegimeExecucao="Global","",ORÇAMENTO.Unidade)</f>
        <v/>
      </c>
      <c r="G680" s="124" t="str">
        <f ca="1">IF(RegimeExecucao="Global","",ORÇAMENTO!T680)</f>
        <v/>
      </c>
      <c r="H680" s="124" t="str">
        <f ca="1">IF(RegimeExecucao="Global","",ORÇAMENTO!W680)</f>
        <v/>
      </c>
      <c r="I680" s="127">
        <f ca="1">ORÇAMENTO!X680</f>
        <v>0</v>
      </c>
      <c r="J680" s="378">
        <f ca="1">IF($A680="S",IF(CAIXA.Modo,BM.AFAnterior,BM.MEDAnterior),IF(AND(RegimeExecucao="Global",$I680&gt;0,COUNTIF($AB$13:$AM$13,BM.medicao-1)&gt;0),M680/$I680*100,0))</f>
        <v>0</v>
      </c>
      <c r="K680" s="124">
        <f t="shared" ca="1" si="46"/>
        <v>0</v>
      </c>
      <c r="L680" s="379">
        <f ca="1">IF($A680="S",IF(CAIXA.Modo,BM.AFAcumulado,BM.MEDAcumulado),IF(AND(RegimeExecucao="Global",$I680&gt;0,COUNTIF($AB$13:$AM$13,BM.medicao)&gt;0),O680/$I680*100,0))</f>
        <v>0</v>
      </c>
      <c r="M680" s="380">
        <f ca="1">IF($A680="S",VTOTALBM,IF($A680=0,0,ROUND(SomaAgrupBM,15-13*ORÇAMENTO!$AF$11)))</f>
        <v>0</v>
      </c>
      <c r="N680" s="381">
        <f t="shared" ca="1" si="47"/>
        <v>0</v>
      </c>
      <c r="O680" s="127">
        <f ca="1">IF($A680="S",VTOTALBM,IF($A680=0,0,ROUND(SomaAgrupBM,15-13*ORÇAMENTO!$AF$11)))</f>
        <v>0</v>
      </c>
      <c r="Q680" s="382"/>
      <c r="R680" s="383"/>
      <c r="T680" s="119" t="str">
        <f t="shared" ca="1" si="48"/>
        <v/>
      </c>
      <c r="U680" s="172" t="str">
        <f t="shared" ca="1" si="49"/>
        <v/>
      </c>
      <c r="V680" s="173" t="str">
        <f ca="1">IF(AND($W680&gt;0,RegimeExecucao="Unitário"),$F680,"")</f>
        <v/>
      </c>
      <c r="W680" s="547">
        <f ca="1">IF($Y680&gt;0,CHOOSE(MATCH(RegimeExecucao,{"Unitário","Global"},0),IF($A680="S",$Y680/$X680,""),($Y680/$X680)*100),0)</f>
        <v>0</v>
      </c>
      <c r="X680" s="384" t="str">
        <f ca="1">IF($Y680&gt;0,CHOOSE(MATCH(RegimeExecucao,{"Unitário","Global"},0),IF($A680="S",ROUND($H680,ORÇAMENTO!$AF$10),""),ROUND($I680,ORÇAMENTO!$AF$11)),"")</f>
        <v/>
      </c>
      <c r="Y680" s="384">
        <f t="shared" ca="1" si="50"/>
        <v>0</v>
      </c>
      <c r="Z680" s="572"/>
      <c r="AB680" s="382"/>
      <c r="AC680" s="516"/>
      <c r="AD680" s="516"/>
      <c r="AE680" s="516"/>
      <c r="AF680" s="516"/>
      <c r="AG680" s="516"/>
      <c r="AH680" s="516"/>
      <c r="AI680" s="516"/>
      <c r="AJ680" s="516"/>
      <c r="AK680" s="516"/>
      <c r="AL680" s="516"/>
      <c r="AM680" s="383"/>
      <c r="AO680">
        <f ca="1">IF($A680="S",IF(BM!$I680=0,0,CHOOSE(MATCH(RegimeExecucao,{"Global","Unitário"},0),ROUND(ROUND(BM.MEDAcumulado,15-13*BM!$A$9)/100*BM!$I680,15-13*ORÇAMENTO!$AF$11),ROUND(ROUND(BM.MEDAcumulado,15-13*BM!$A$9)*ROUND(BM!$H680,15-13*ORÇAMENTO!$AF$10),15-13*ORÇAMENTO!$AF$11))),IF($A680=0,0,ROUND(SomaAgrupBM,15-13*ORÇAMENTO!$AF$11)))</f>
        <v>0</v>
      </c>
    </row>
    <row r="681" spans="1:41" x14ac:dyDescent="0.2">
      <c r="A681" t="str">
        <f ca="1">ORÇAMENTO!C681</f>
        <v>S</v>
      </c>
      <c r="B681">
        <f ca="1">ORÇAMENTO!D681</f>
        <v>0</v>
      </c>
      <c r="C681" s="116" t="str">
        <f t="shared" ca="1" si="44"/>
        <v/>
      </c>
      <c r="D681" s="119" t="str">
        <f ca="1">ORÇAMENTO!O681</f>
        <v>-</v>
      </c>
      <c r="E681" s="172" t="str">
        <f t="shared" ca="1" si="53"/>
        <v>(abra o arquivo 'Referência 06-2024.xlsm)</v>
      </c>
      <c r="F681" s="173" t="str">
        <f ca="1">IF(RegimeExecucao="Global","",ORÇAMENTO.Unidade)</f>
        <v/>
      </c>
      <c r="G681" s="124" t="str">
        <f ca="1">IF(RegimeExecucao="Global","",ORÇAMENTO!T681)</f>
        <v/>
      </c>
      <c r="H681" s="124" t="str">
        <f ca="1">IF(RegimeExecucao="Global","",ORÇAMENTO!W681)</f>
        <v/>
      </c>
      <c r="I681" s="127">
        <f ca="1">ORÇAMENTO!X681</f>
        <v>0</v>
      </c>
      <c r="J681" s="378">
        <f ca="1">IF($A681="S",IF(CAIXA.Modo,BM.AFAnterior,BM.MEDAnterior),IF(AND(RegimeExecucao="Global",$I681&gt;0,COUNTIF($AB$13:$AM$13,BM.medicao-1)&gt;0),M681/$I681*100,0))</f>
        <v>0</v>
      </c>
      <c r="K681" s="124">
        <f t="shared" ca="1" si="46"/>
        <v>0</v>
      </c>
      <c r="L681" s="379">
        <f ca="1">IF($A681="S",IF(CAIXA.Modo,BM.AFAcumulado,BM.MEDAcumulado),IF(AND(RegimeExecucao="Global",$I681&gt;0,COUNTIF($AB$13:$AM$13,BM.medicao)&gt;0),O681/$I681*100,0))</f>
        <v>0</v>
      </c>
      <c r="M681" s="380">
        <f ca="1">IF($A681="S",VTOTALBM,IF($A681=0,0,ROUND(SomaAgrupBM,15-13*ORÇAMENTO!$AF$11)))</f>
        <v>0</v>
      </c>
      <c r="N681" s="381">
        <f t="shared" ca="1" si="47"/>
        <v>0</v>
      </c>
      <c r="O681" s="127">
        <f ca="1">IF($A681="S",VTOTALBM,IF($A681=0,0,ROUND(SomaAgrupBM,15-13*ORÇAMENTO!$AF$11)))</f>
        <v>0</v>
      </c>
      <c r="Q681" s="382"/>
      <c r="R681" s="383"/>
      <c r="T681" s="119" t="str">
        <f t="shared" ca="1" si="48"/>
        <v/>
      </c>
      <c r="U681" s="172" t="str">
        <f t="shared" ca="1" si="49"/>
        <v/>
      </c>
      <c r="V681" s="173" t="str">
        <f ca="1">IF(AND($W681&gt;0,RegimeExecucao="Unitário"),$F681,"")</f>
        <v/>
      </c>
      <c r="W681" s="547">
        <f ca="1">IF($Y681&gt;0,CHOOSE(MATCH(RegimeExecucao,{"Unitário","Global"},0),IF($A681="S",$Y681/$X681,""),($Y681/$X681)*100),0)</f>
        <v>0</v>
      </c>
      <c r="X681" s="384" t="str">
        <f ca="1">IF($Y681&gt;0,CHOOSE(MATCH(RegimeExecucao,{"Unitário","Global"},0),IF($A681="S",ROUND($H681,ORÇAMENTO!$AF$10),""),ROUND($I681,ORÇAMENTO!$AF$11)),"")</f>
        <v/>
      </c>
      <c r="Y681" s="384">
        <f t="shared" ca="1" si="50"/>
        <v>0</v>
      </c>
      <c r="Z681" s="572"/>
      <c r="AB681" s="382"/>
      <c r="AC681" s="516"/>
      <c r="AD681" s="516"/>
      <c r="AE681" s="516"/>
      <c r="AF681" s="516"/>
      <c r="AG681" s="516"/>
      <c r="AH681" s="516"/>
      <c r="AI681" s="516"/>
      <c r="AJ681" s="516"/>
      <c r="AK681" s="516"/>
      <c r="AL681" s="516"/>
      <c r="AM681" s="383"/>
      <c r="AO681">
        <f ca="1">IF($A681="S",IF(BM!$I681=0,0,CHOOSE(MATCH(RegimeExecucao,{"Global","Unitário"},0),ROUND(ROUND(BM.MEDAcumulado,15-13*BM!$A$9)/100*BM!$I681,15-13*ORÇAMENTO!$AF$11),ROUND(ROUND(BM.MEDAcumulado,15-13*BM!$A$9)*ROUND(BM!$H681,15-13*ORÇAMENTO!$AF$10),15-13*ORÇAMENTO!$AF$11))),IF($A681=0,0,ROUND(SomaAgrupBM,15-13*ORÇAMENTO!$AF$11)))</f>
        <v>0</v>
      </c>
    </row>
    <row r="682" spans="1:41" x14ac:dyDescent="0.2">
      <c r="A682">
        <f ca="1">ORÇAMENTO!C682</f>
        <v>2</v>
      </c>
      <c r="B682">
        <f ca="1">ORÇAMENTO!D682</f>
        <v>4</v>
      </c>
      <c r="C682" s="116" t="str">
        <f t="shared" ca="1" si="44"/>
        <v>F</v>
      </c>
      <c r="D682" s="119" t="str">
        <f ca="1">ORÇAMENTO!O682</f>
        <v>1.73.</v>
      </c>
      <c r="E682" s="172" t="str">
        <f t="shared" si="53"/>
        <v>MURO DE FECHAMENTO - MOVIMENTO DE TERRA PARA FUNDAÇÕES</v>
      </c>
      <c r="F682" s="173" t="str">
        <f ca="1">IF(RegimeExecucao="Global","",ORÇAMENTO.Unidade)</f>
        <v/>
      </c>
      <c r="G682" s="124" t="str">
        <f ca="1">IF(RegimeExecucao="Global","",ORÇAMENTO!T682)</f>
        <v/>
      </c>
      <c r="H682" s="124" t="str">
        <f ca="1">IF(RegimeExecucao="Global","",ORÇAMENTO!W682)</f>
        <v/>
      </c>
      <c r="I682" s="127">
        <f ca="1">ORÇAMENTO!X682</f>
        <v>0</v>
      </c>
      <c r="J682" s="378">
        <f ca="1">IF($A682="S",IF(CAIXA.Modo,BM.AFAnterior,BM.MEDAnterior),IF(AND(RegimeExecucao="Global",$I682&gt;0,COUNTIF($AB$13:$AM$13,BM.medicao-1)&gt;0),M682/$I682*100,0))</f>
        <v>0</v>
      </c>
      <c r="K682" s="124">
        <f t="shared" ca="1" si="46"/>
        <v>0</v>
      </c>
      <c r="L682" s="379">
        <f ca="1">IF($A682="S",IF(CAIXA.Modo,BM.AFAcumulado,BM.MEDAcumulado),IF(AND(RegimeExecucao="Global",$I682&gt;0,COUNTIF($AB$13:$AM$13,BM.medicao)&gt;0),O682/$I682*100,0))</f>
        <v>0</v>
      </c>
      <c r="M682" s="380">
        <f ca="1">IF($A682="S",VTOTALBM,IF($A682=0,0,ROUND(SomaAgrupBM,15-13*ORÇAMENTO!$AF$11)))</f>
        <v>0</v>
      </c>
      <c r="N682" s="381">
        <f t="shared" ca="1" si="47"/>
        <v>0</v>
      </c>
      <c r="O682" s="127">
        <f ca="1">IF($A682="S",VTOTALBM,IF($A682=0,0,ROUND(SomaAgrupBM,15-13*ORÇAMENTO!$AF$11)))</f>
        <v>0</v>
      </c>
      <c r="Q682" s="382"/>
      <c r="R682" s="383"/>
      <c r="T682" s="119" t="str">
        <f t="shared" ca="1" si="48"/>
        <v/>
      </c>
      <c r="U682" s="172" t="str">
        <f t="shared" ca="1" si="49"/>
        <v/>
      </c>
      <c r="V682" s="173" t="str">
        <f ca="1">IF(AND($W682&gt;0,RegimeExecucao="Unitário"),$F682,"")</f>
        <v/>
      </c>
      <c r="W682" s="547">
        <f ca="1">IF($Y682&gt;0,CHOOSE(MATCH(RegimeExecucao,{"Unitário","Global"},0),IF($A682="S",$Y682/$X682,""),($Y682/$X682)*100),0)</f>
        <v>0</v>
      </c>
      <c r="X682" s="384" t="str">
        <f ca="1">IF($Y682&gt;0,CHOOSE(MATCH(RegimeExecucao,{"Unitário","Global"},0),IF($A682="S",ROUND($H682,ORÇAMENTO!$AF$10),""),ROUND($I682,ORÇAMENTO!$AF$11)),"")</f>
        <v/>
      </c>
      <c r="Y682" s="384">
        <f t="shared" ca="1" si="50"/>
        <v>0</v>
      </c>
      <c r="Z682" s="572"/>
      <c r="AB682" s="382"/>
      <c r="AC682" s="516"/>
      <c r="AD682" s="516"/>
      <c r="AE682" s="516"/>
      <c r="AF682" s="516"/>
      <c r="AG682" s="516"/>
      <c r="AH682" s="516"/>
      <c r="AI682" s="516"/>
      <c r="AJ682" s="516"/>
      <c r="AK682" s="516"/>
      <c r="AL682" s="516"/>
      <c r="AM682" s="383"/>
      <c r="AO682">
        <f ca="1">IF($A682="S",IF(BM!$I682=0,0,CHOOSE(MATCH(RegimeExecucao,{"Global","Unitário"},0),ROUND(ROUND(BM.MEDAcumulado,15-13*BM!$A$9)/100*BM!$I682,15-13*ORÇAMENTO!$AF$11),ROUND(ROUND(BM.MEDAcumulado,15-13*BM!$A$9)*ROUND(BM!$H682,15-13*ORÇAMENTO!$AF$10),15-13*ORÇAMENTO!$AF$11))),IF($A682=0,0,ROUND(SomaAgrupBM,15-13*ORÇAMENTO!$AF$11)))</f>
        <v>0</v>
      </c>
    </row>
    <row r="683" spans="1:41" ht="25.5" x14ac:dyDescent="0.2">
      <c r="A683" t="str">
        <f ca="1">ORÇAMENTO!C683</f>
        <v>S</v>
      </c>
      <c r="B683">
        <f ca="1">ORÇAMENTO!D683</f>
        <v>0</v>
      </c>
      <c r="C683" s="116" t="str">
        <f t="shared" ca="1" si="44"/>
        <v/>
      </c>
      <c r="D683" s="119" t="str">
        <f ca="1">ORÇAMENTO!O683</f>
        <v>-</v>
      </c>
      <c r="E683" s="172" t="str">
        <f t="shared" ca="1" si="53"/>
        <v>(abra o arquivo 'Referência 06-2024.xlsm)</v>
      </c>
      <c r="F683" s="173" t="str">
        <f ca="1">IF(RegimeExecucao="Global","",ORÇAMENTO.Unidade)</f>
        <v/>
      </c>
      <c r="G683" s="124" t="str">
        <f ca="1">IF(RegimeExecucao="Global","",ORÇAMENTO!T683)</f>
        <v/>
      </c>
      <c r="H683" s="124" t="str">
        <f ca="1">IF(RegimeExecucao="Global","",ORÇAMENTO!W683)</f>
        <v/>
      </c>
      <c r="I683" s="127">
        <f ca="1">ORÇAMENTO!X683</f>
        <v>0</v>
      </c>
      <c r="J683" s="378">
        <f ca="1">IF($A683="S",IF(CAIXA.Modo,BM.AFAnterior,BM.MEDAnterior),IF(AND(RegimeExecucao="Global",$I683&gt;0,COUNTIF($AB$13:$AM$13,BM.medicao-1)&gt;0),M683/$I683*100,0))</f>
        <v>0</v>
      </c>
      <c r="K683" s="124">
        <f t="shared" ca="1" si="46"/>
        <v>0</v>
      </c>
      <c r="L683" s="379">
        <f ca="1">IF($A683="S",IF(CAIXA.Modo,BM.AFAcumulado,BM.MEDAcumulado),IF(AND(RegimeExecucao="Global",$I683&gt;0,COUNTIF($AB$13:$AM$13,BM.medicao)&gt;0),O683/$I683*100,0))</f>
        <v>0</v>
      </c>
      <c r="M683" s="380">
        <f ca="1">IF($A683="S",VTOTALBM,IF($A683=0,0,ROUND(SomaAgrupBM,15-13*ORÇAMENTO!$AF$11)))</f>
        <v>0</v>
      </c>
      <c r="N683" s="381">
        <f t="shared" ca="1" si="47"/>
        <v>0</v>
      </c>
      <c r="O683" s="127">
        <f ca="1">IF($A683="S",VTOTALBM,IF($A683=0,0,ROUND(SomaAgrupBM,15-13*ORÇAMENTO!$AF$11)))</f>
        <v>0</v>
      </c>
      <c r="Q683" s="382"/>
      <c r="R683" s="383"/>
      <c r="T683" s="119" t="str">
        <f t="shared" ca="1" si="48"/>
        <v/>
      </c>
      <c r="U683" s="172" t="str">
        <f t="shared" ca="1" si="49"/>
        <v/>
      </c>
      <c r="V683" s="173" t="str">
        <f ca="1">IF(AND($W683&gt;0,RegimeExecucao="Unitário"),$F683,"")</f>
        <v/>
      </c>
      <c r="W683" s="547">
        <f ca="1">IF($Y683&gt;0,CHOOSE(MATCH(RegimeExecucao,{"Unitário","Global"},0),IF($A683="S",$Y683/$X683,""),($Y683/$X683)*100),0)</f>
        <v>0</v>
      </c>
      <c r="X683" s="384" t="str">
        <f ca="1">IF($Y683&gt;0,CHOOSE(MATCH(RegimeExecucao,{"Unitário","Global"},0),IF($A683="S",ROUND($H683,ORÇAMENTO!$AF$10),""),ROUND($I683,ORÇAMENTO!$AF$11)),"")</f>
        <v/>
      </c>
      <c r="Y683" s="384">
        <f t="shared" ca="1" si="50"/>
        <v>0</v>
      </c>
      <c r="Z683" s="572"/>
      <c r="AB683" s="382"/>
      <c r="AC683" s="516"/>
      <c r="AD683" s="516"/>
      <c r="AE683" s="516"/>
      <c r="AF683" s="516"/>
      <c r="AG683" s="516"/>
      <c r="AH683" s="516"/>
      <c r="AI683" s="516"/>
      <c r="AJ683" s="516"/>
      <c r="AK683" s="516"/>
      <c r="AL683" s="516"/>
      <c r="AM683" s="383"/>
      <c r="AO683">
        <f ca="1">IF($A683="S",IF(BM!$I683=0,0,CHOOSE(MATCH(RegimeExecucao,{"Global","Unitário"},0),ROUND(ROUND(BM.MEDAcumulado,15-13*BM!$A$9)/100*BM!$I683,15-13*ORÇAMENTO!$AF$11),ROUND(ROUND(BM.MEDAcumulado,15-13*BM!$A$9)*ROUND(BM!$H683,15-13*ORÇAMENTO!$AF$10),15-13*ORÇAMENTO!$AF$11))),IF($A683=0,0,ROUND(SomaAgrupBM,15-13*ORÇAMENTO!$AF$11)))</f>
        <v>0</v>
      </c>
    </row>
    <row r="684" spans="1:41" ht="63.75" x14ac:dyDescent="0.2">
      <c r="A684" t="str">
        <f ca="1">ORÇAMENTO!C684</f>
        <v>S</v>
      </c>
      <c r="B684">
        <f ca="1">ORÇAMENTO!D684</f>
        <v>0</v>
      </c>
      <c r="C684" s="116" t="str">
        <f t="shared" ca="1" si="44"/>
        <v/>
      </c>
      <c r="D684" s="119" t="str">
        <f ca="1">ORÇAMENTO!O684</f>
        <v>-</v>
      </c>
      <c r="E684" s="172" t="str">
        <f t="shared" ca="1" si="53"/>
        <v>(abra o arquivo 'Referência 06-2024.xlsm)</v>
      </c>
      <c r="F684" s="173" t="str">
        <f ca="1">IF(RegimeExecucao="Global","",ORÇAMENTO.Unidade)</f>
        <v/>
      </c>
      <c r="G684" s="124" t="str">
        <f ca="1">IF(RegimeExecucao="Global","",ORÇAMENTO!T684)</f>
        <v/>
      </c>
      <c r="H684" s="124" t="str">
        <f ca="1">IF(RegimeExecucao="Global","",ORÇAMENTO!W684)</f>
        <v/>
      </c>
      <c r="I684" s="127">
        <f ca="1">ORÇAMENTO!X684</f>
        <v>0</v>
      </c>
      <c r="J684" s="378">
        <f ca="1">IF($A684="S",IF(CAIXA.Modo,BM.AFAnterior,BM.MEDAnterior),IF(AND(RegimeExecucao="Global",$I684&gt;0,COUNTIF($AB$13:$AM$13,BM.medicao-1)&gt;0),M684/$I684*100,0))</f>
        <v>0</v>
      </c>
      <c r="K684" s="124">
        <f t="shared" ca="1" si="46"/>
        <v>0</v>
      </c>
      <c r="L684" s="379">
        <f ca="1">IF($A684="S",IF(CAIXA.Modo,BM.AFAcumulado,BM.MEDAcumulado),IF(AND(RegimeExecucao="Global",$I684&gt;0,COUNTIF($AB$13:$AM$13,BM.medicao)&gt;0),O684/$I684*100,0))</f>
        <v>0</v>
      </c>
      <c r="M684" s="380">
        <f ca="1">IF($A684="S",VTOTALBM,IF($A684=0,0,ROUND(SomaAgrupBM,15-13*ORÇAMENTO!$AF$11)))</f>
        <v>0</v>
      </c>
      <c r="N684" s="381">
        <f t="shared" ca="1" si="47"/>
        <v>0</v>
      </c>
      <c r="O684" s="127">
        <f ca="1">IF($A684="S",VTOTALBM,IF($A684=0,0,ROUND(SomaAgrupBM,15-13*ORÇAMENTO!$AF$11)))</f>
        <v>0</v>
      </c>
      <c r="Q684" s="382"/>
      <c r="R684" s="383"/>
      <c r="T684" s="119" t="str">
        <f t="shared" ca="1" si="48"/>
        <v/>
      </c>
      <c r="U684" s="172" t="str">
        <f t="shared" ca="1" si="49"/>
        <v/>
      </c>
      <c r="V684" s="173" t="str">
        <f ca="1">IF(AND($W684&gt;0,RegimeExecucao="Unitário"),$F684,"")</f>
        <v/>
      </c>
      <c r="W684" s="547">
        <f ca="1">IF($Y684&gt;0,CHOOSE(MATCH(RegimeExecucao,{"Unitário","Global"},0),IF($A684="S",$Y684/$X684,""),($Y684/$X684)*100),0)</f>
        <v>0</v>
      </c>
      <c r="X684" s="384" t="str">
        <f ca="1">IF($Y684&gt;0,CHOOSE(MATCH(RegimeExecucao,{"Unitário","Global"},0),IF($A684="S",ROUND($H684,ORÇAMENTO!$AF$10),""),ROUND($I684,ORÇAMENTO!$AF$11)),"")</f>
        <v/>
      </c>
      <c r="Y684" s="384">
        <f t="shared" ca="1" si="50"/>
        <v>0</v>
      </c>
      <c r="Z684" s="572"/>
      <c r="AB684" s="382"/>
      <c r="AC684" s="516"/>
      <c r="AD684" s="516"/>
      <c r="AE684" s="516"/>
      <c r="AF684" s="516"/>
      <c r="AG684" s="516"/>
      <c r="AH684" s="516"/>
      <c r="AI684" s="516"/>
      <c r="AJ684" s="516"/>
      <c r="AK684" s="516"/>
      <c r="AL684" s="516"/>
      <c r="AM684" s="383"/>
      <c r="AO684">
        <f ca="1">IF($A684="S",IF(BM!$I684=0,0,CHOOSE(MATCH(RegimeExecucao,{"Global","Unitário"},0),ROUND(ROUND(BM.MEDAcumulado,15-13*BM!$A$9)/100*BM!$I684,15-13*ORÇAMENTO!$AF$11),ROUND(ROUND(BM.MEDAcumulado,15-13*BM!$A$9)*ROUND(BM!$H684,15-13*ORÇAMENTO!$AF$10),15-13*ORÇAMENTO!$AF$11))),IF($A684=0,0,ROUND(SomaAgrupBM,15-13*ORÇAMENTO!$AF$11)))</f>
        <v>0</v>
      </c>
    </row>
    <row r="685" spans="1:41" ht="38.25" x14ac:dyDescent="0.2">
      <c r="A685" t="str">
        <f ca="1">ORÇAMENTO!C685</f>
        <v>S</v>
      </c>
      <c r="B685">
        <f ca="1">ORÇAMENTO!D685</f>
        <v>0</v>
      </c>
      <c r="C685" s="116" t="str">
        <f t="shared" ca="1" si="44"/>
        <v/>
      </c>
      <c r="D685" s="119" t="str">
        <f ca="1">ORÇAMENTO!O685</f>
        <v>-</v>
      </c>
      <c r="E685" s="172" t="str">
        <f t="shared" ca="1" si="53"/>
        <v>(abra o arquivo 'Referência 06-2024.xlsm)</v>
      </c>
      <c r="F685" s="173" t="str">
        <f ca="1">IF(RegimeExecucao="Global","",ORÇAMENTO.Unidade)</f>
        <v/>
      </c>
      <c r="G685" s="124" t="str">
        <f ca="1">IF(RegimeExecucao="Global","",ORÇAMENTO!T685)</f>
        <v/>
      </c>
      <c r="H685" s="124" t="str">
        <f ca="1">IF(RegimeExecucao="Global","",ORÇAMENTO!W685)</f>
        <v/>
      </c>
      <c r="I685" s="127">
        <f ca="1">ORÇAMENTO!X685</f>
        <v>0</v>
      </c>
      <c r="J685" s="378">
        <f ca="1">IF($A685="S",IF(CAIXA.Modo,BM.AFAnterior,BM.MEDAnterior),IF(AND(RegimeExecucao="Global",$I685&gt;0,COUNTIF($AB$13:$AM$13,BM.medicao-1)&gt;0),M685/$I685*100,0))</f>
        <v>0</v>
      </c>
      <c r="K685" s="124">
        <f t="shared" ca="1" si="46"/>
        <v>0</v>
      </c>
      <c r="L685" s="379">
        <f ca="1">IF($A685="S",IF(CAIXA.Modo,BM.AFAcumulado,BM.MEDAcumulado),IF(AND(RegimeExecucao="Global",$I685&gt;0,COUNTIF($AB$13:$AM$13,BM.medicao)&gt;0),O685/$I685*100,0))</f>
        <v>0</v>
      </c>
      <c r="M685" s="380">
        <f ca="1">IF($A685="S",VTOTALBM,IF($A685=0,0,ROUND(SomaAgrupBM,15-13*ORÇAMENTO!$AF$11)))</f>
        <v>0</v>
      </c>
      <c r="N685" s="381">
        <f t="shared" ca="1" si="47"/>
        <v>0</v>
      </c>
      <c r="O685" s="127">
        <f ca="1">IF($A685="S",VTOTALBM,IF($A685=0,0,ROUND(SomaAgrupBM,15-13*ORÇAMENTO!$AF$11)))</f>
        <v>0</v>
      </c>
      <c r="Q685" s="382"/>
      <c r="R685" s="383"/>
      <c r="T685" s="119" t="str">
        <f t="shared" ca="1" si="48"/>
        <v/>
      </c>
      <c r="U685" s="172" t="str">
        <f t="shared" ca="1" si="49"/>
        <v/>
      </c>
      <c r="V685" s="173" t="str">
        <f ca="1">IF(AND($W685&gt;0,RegimeExecucao="Unitário"),$F685,"")</f>
        <v/>
      </c>
      <c r="W685" s="547">
        <f ca="1">IF($Y685&gt;0,CHOOSE(MATCH(RegimeExecucao,{"Unitário","Global"},0),IF($A685="S",$Y685/$X685,""),($Y685/$X685)*100),0)</f>
        <v>0</v>
      </c>
      <c r="X685" s="384" t="str">
        <f ca="1">IF($Y685&gt;0,CHOOSE(MATCH(RegimeExecucao,{"Unitário","Global"},0),IF($A685="S",ROUND($H685,ORÇAMENTO!$AF$10),""),ROUND($I685,ORÇAMENTO!$AF$11)),"")</f>
        <v/>
      </c>
      <c r="Y685" s="384">
        <f t="shared" ca="1" si="50"/>
        <v>0</v>
      </c>
      <c r="Z685" s="572"/>
      <c r="AB685" s="382"/>
      <c r="AC685" s="516"/>
      <c r="AD685" s="516"/>
      <c r="AE685" s="516"/>
      <c r="AF685" s="516"/>
      <c r="AG685" s="516"/>
      <c r="AH685" s="516"/>
      <c r="AI685" s="516"/>
      <c r="AJ685" s="516"/>
      <c r="AK685" s="516"/>
      <c r="AL685" s="516"/>
      <c r="AM685" s="383"/>
      <c r="AO685">
        <f ca="1">IF($A685="S",IF(BM!$I685=0,0,CHOOSE(MATCH(RegimeExecucao,{"Global","Unitário"},0),ROUND(ROUND(BM.MEDAcumulado,15-13*BM!$A$9)/100*BM!$I685,15-13*ORÇAMENTO!$AF$11),ROUND(ROUND(BM.MEDAcumulado,15-13*BM!$A$9)*ROUND(BM!$H685,15-13*ORÇAMENTO!$AF$10),15-13*ORÇAMENTO!$AF$11))),IF($A685=0,0,ROUND(SomaAgrupBM,15-13*ORÇAMENTO!$AF$11)))</f>
        <v>0</v>
      </c>
    </row>
    <row r="686" spans="1:41" ht="25.5" x14ac:dyDescent="0.2">
      <c r="A686">
        <f ca="1">ORÇAMENTO!C686</f>
        <v>2</v>
      </c>
      <c r="B686">
        <f ca="1">ORÇAMENTO!D686</f>
        <v>9</v>
      </c>
      <c r="C686" s="116" t="str">
        <f t="shared" ref="C686:C726" ca="1" si="54">IF(OR($I686&gt;0,$A686=1,$A686=2,$A686=3,$A686=4),"F","")</f>
        <v>F</v>
      </c>
      <c r="D686" s="119" t="str">
        <f ca="1">ORÇAMENTO!O686</f>
        <v>1.74.</v>
      </c>
      <c r="E686" s="172" t="str">
        <f t="shared" si="53"/>
        <v>MURO DE FECHAMENTO - CONCRETO ARMADO PARA SAPATAS E BLOCOS</v>
      </c>
      <c r="F686" s="173" t="str">
        <f ca="1">IF(RegimeExecucao="Global","",ORÇAMENTO.Unidade)</f>
        <v/>
      </c>
      <c r="G686" s="124" t="str">
        <f ca="1">IF(RegimeExecucao="Global","",ORÇAMENTO!T686)</f>
        <v/>
      </c>
      <c r="H686" s="124" t="str">
        <f ca="1">IF(RegimeExecucao="Global","",ORÇAMENTO!W686)</f>
        <v/>
      </c>
      <c r="I686" s="127">
        <f ca="1">ORÇAMENTO!X686</f>
        <v>0</v>
      </c>
      <c r="J686" s="378">
        <f ca="1">IF($A686="S",IF(CAIXA.Modo,BM.AFAnterior,BM.MEDAnterior),IF(AND(RegimeExecucao="Global",$I686&gt;0,COUNTIF($AB$13:$AM$13,BM.medicao-1)&gt;0),M686/$I686*100,0))</f>
        <v>0</v>
      </c>
      <c r="K686" s="124">
        <f t="shared" ref="K686:K726" ca="1" si="55">L686-J686</f>
        <v>0</v>
      </c>
      <c r="L686" s="379">
        <f ca="1">IF($A686="S",IF(CAIXA.Modo,BM.AFAcumulado,BM.MEDAcumulado),IF(AND(RegimeExecucao="Global",$I686&gt;0,COUNTIF($AB$13:$AM$13,BM.medicao)&gt;0),O686/$I686*100,0))</f>
        <v>0</v>
      </c>
      <c r="M686" s="380">
        <f ca="1">IF($A686="S",VTOTALBM,IF($A686=0,0,ROUND(SomaAgrupBM,15-13*ORÇAMENTO!$AF$11)))</f>
        <v>0</v>
      </c>
      <c r="N686" s="381">
        <f t="shared" ref="N686:N726" ca="1" si="56">O686-M686</f>
        <v>0</v>
      </c>
      <c r="O686" s="127">
        <f ca="1">IF($A686="S",VTOTALBM,IF($A686=0,0,ROUND(SomaAgrupBM,15-13*ORÇAMENTO!$AF$11)))</f>
        <v>0</v>
      </c>
      <c r="Q686" s="382"/>
      <c r="R686" s="383"/>
      <c r="T686" s="119" t="str">
        <f t="shared" ref="T686:T726" ca="1" si="57">IF($W686&gt;0,$D686,"")</f>
        <v/>
      </c>
      <c r="U686" s="172" t="str">
        <f t="shared" ref="U686:U726" ca="1" si="58">IF($W686&gt;0,$E686,"")</f>
        <v/>
      </c>
      <c r="V686" s="173" t="str">
        <f ca="1">IF(AND($W686&gt;0,RegimeExecucao="Unitário"),$F686,"")</f>
        <v/>
      </c>
      <c r="W686" s="547">
        <f ca="1">IF($Y686&gt;0,CHOOSE(MATCH(RegimeExecucao,{"Unitário","Global"},0),IF($A686="S",$Y686/$X686,""),($Y686/$X686)*100),0)</f>
        <v>0</v>
      </c>
      <c r="X686" s="384" t="str">
        <f ca="1">IF($Y686&gt;0,CHOOSE(MATCH(RegimeExecucao,{"Unitário","Global"},0),IF($A686="S",ROUND($H686,ORÇAMENTO!$AF$10),""),ROUND($I686,ORÇAMENTO!$AF$11)),"")</f>
        <v/>
      </c>
      <c r="Y686" s="384">
        <f t="shared" ref="Y686:Y726" ca="1" si="59">AO686-O686</f>
        <v>0</v>
      </c>
      <c r="Z686" s="572"/>
      <c r="AB686" s="382"/>
      <c r="AC686" s="516"/>
      <c r="AD686" s="516"/>
      <c r="AE686" s="516"/>
      <c r="AF686" s="516"/>
      <c r="AG686" s="516"/>
      <c r="AH686" s="516"/>
      <c r="AI686" s="516"/>
      <c r="AJ686" s="516"/>
      <c r="AK686" s="516"/>
      <c r="AL686" s="516"/>
      <c r="AM686" s="383"/>
      <c r="AO686">
        <f ca="1">IF($A686="S",IF(BM!$I686=0,0,CHOOSE(MATCH(RegimeExecucao,{"Global","Unitário"},0),ROUND(ROUND(BM.MEDAcumulado,15-13*BM!$A$9)/100*BM!$I686,15-13*ORÇAMENTO!$AF$11),ROUND(ROUND(BM.MEDAcumulado,15-13*BM!$A$9)*ROUND(BM!$H686,15-13*ORÇAMENTO!$AF$10),15-13*ORÇAMENTO!$AF$11))),IF($A686=0,0,ROUND(SomaAgrupBM,15-13*ORÇAMENTO!$AF$11)))</f>
        <v>0</v>
      </c>
    </row>
    <row r="687" spans="1:41" ht="25.5" x14ac:dyDescent="0.2">
      <c r="A687" t="str">
        <f ca="1">ORÇAMENTO!C687</f>
        <v>S</v>
      </c>
      <c r="B687">
        <f ca="1">ORÇAMENTO!D687</f>
        <v>0</v>
      </c>
      <c r="C687" s="116" t="str">
        <f t="shared" ca="1" si="54"/>
        <v/>
      </c>
      <c r="D687" s="119" t="str">
        <f ca="1">ORÇAMENTO!O687</f>
        <v>-</v>
      </c>
      <c r="E687" s="172" t="str">
        <f t="shared" ca="1" si="53"/>
        <v>(abra o arquivo 'Referência 06-2024.xlsm)</v>
      </c>
      <c r="F687" s="173" t="str">
        <f ca="1">IF(RegimeExecucao="Global","",ORÇAMENTO.Unidade)</f>
        <v/>
      </c>
      <c r="G687" s="124" t="str">
        <f ca="1">IF(RegimeExecucao="Global","",ORÇAMENTO!T687)</f>
        <v/>
      </c>
      <c r="H687" s="124" t="str">
        <f ca="1">IF(RegimeExecucao="Global","",ORÇAMENTO!W687)</f>
        <v/>
      </c>
      <c r="I687" s="127">
        <f ca="1">ORÇAMENTO!X687</f>
        <v>0</v>
      </c>
      <c r="J687" s="378">
        <f ca="1">IF($A687="S",IF(CAIXA.Modo,BM.AFAnterior,BM.MEDAnterior),IF(AND(RegimeExecucao="Global",$I687&gt;0,COUNTIF($AB$13:$AM$13,BM.medicao-1)&gt;0),M687/$I687*100,0))</f>
        <v>0</v>
      </c>
      <c r="K687" s="124">
        <f t="shared" ca="1" si="55"/>
        <v>0</v>
      </c>
      <c r="L687" s="379">
        <f ca="1">IF($A687="S",IF(CAIXA.Modo,BM.AFAcumulado,BM.MEDAcumulado),IF(AND(RegimeExecucao="Global",$I687&gt;0,COUNTIF($AB$13:$AM$13,BM.medicao)&gt;0),O687/$I687*100,0))</f>
        <v>0</v>
      </c>
      <c r="M687" s="380">
        <f ca="1">IF($A687="S",VTOTALBM,IF($A687=0,0,ROUND(SomaAgrupBM,15-13*ORÇAMENTO!$AF$11)))</f>
        <v>0</v>
      </c>
      <c r="N687" s="381">
        <f t="shared" ca="1" si="56"/>
        <v>0</v>
      </c>
      <c r="O687" s="127">
        <f ca="1">IF($A687="S",VTOTALBM,IF($A687=0,0,ROUND(SomaAgrupBM,15-13*ORÇAMENTO!$AF$11)))</f>
        <v>0</v>
      </c>
      <c r="Q687" s="382"/>
      <c r="R687" s="383"/>
      <c r="T687" s="119" t="str">
        <f t="shared" ca="1" si="57"/>
        <v/>
      </c>
      <c r="U687" s="172" t="str">
        <f t="shared" ca="1" si="58"/>
        <v/>
      </c>
      <c r="V687" s="173" t="str">
        <f ca="1">IF(AND($W687&gt;0,RegimeExecucao="Unitário"),$F687,"")</f>
        <v/>
      </c>
      <c r="W687" s="547">
        <f ca="1">IF($Y687&gt;0,CHOOSE(MATCH(RegimeExecucao,{"Unitário","Global"},0),IF($A687="S",$Y687/$X687,""),($Y687/$X687)*100),0)</f>
        <v>0</v>
      </c>
      <c r="X687" s="384" t="str">
        <f ca="1">IF($Y687&gt;0,CHOOSE(MATCH(RegimeExecucao,{"Unitário","Global"},0),IF($A687="S",ROUND($H687,ORÇAMENTO!$AF$10),""),ROUND($I687,ORÇAMENTO!$AF$11)),"")</f>
        <v/>
      </c>
      <c r="Y687" s="384">
        <f t="shared" ca="1" si="59"/>
        <v>0</v>
      </c>
      <c r="Z687" s="572"/>
      <c r="AB687" s="382"/>
      <c r="AC687" s="516"/>
      <c r="AD687" s="516"/>
      <c r="AE687" s="516"/>
      <c r="AF687" s="516"/>
      <c r="AG687" s="516"/>
      <c r="AH687" s="516"/>
      <c r="AI687" s="516"/>
      <c r="AJ687" s="516"/>
      <c r="AK687" s="516"/>
      <c r="AL687" s="516"/>
      <c r="AM687" s="383"/>
      <c r="AO687">
        <f ca="1">IF($A687="S",IF(BM!$I687=0,0,CHOOSE(MATCH(RegimeExecucao,{"Global","Unitário"},0),ROUND(ROUND(BM.MEDAcumulado,15-13*BM!$A$9)/100*BM!$I687,15-13*ORÇAMENTO!$AF$11),ROUND(ROUND(BM.MEDAcumulado,15-13*BM!$A$9)*ROUND(BM!$H687,15-13*ORÇAMENTO!$AF$10),15-13*ORÇAMENTO!$AF$11))),IF($A687=0,0,ROUND(SomaAgrupBM,15-13*ORÇAMENTO!$AF$11)))</f>
        <v>0</v>
      </c>
    </row>
    <row r="688" spans="1:41" ht="38.25" x14ac:dyDescent="0.2">
      <c r="A688" t="str">
        <f ca="1">ORÇAMENTO!C688</f>
        <v>S</v>
      </c>
      <c r="B688">
        <f ca="1">ORÇAMENTO!D688</f>
        <v>0</v>
      </c>
      <c r="C688" s="116" t="str">
        <f t="shared" ca="1" si="54"/>
        <v/>
      </c>
      <c r="D688" s="119" t="str">
        <f ca="1">ORÇAMENTO!O688</f>
        <v>-</v>
      </c>
      <c r="E688" s="172" t="str">
        <f t="shared" ca="1" si="53"/>
        <v>(abra o arquivo 'Referência 06-2024.xlsm)</v>
      </c>
      <c r="F688" s="173" t="str">
        <f ca="1">IF(RegimeExecucao="Global","",ORÇAMENTO.Unidade)</f>
        <v/>
      </c>
      <c r="G688" s="124" t="str">
        <f ca="1">IF(RegimeExecucao="Global","",ORÇAMENTO!T688)</f>
        <v/>
      </c>
      <c r="H688" s="124" t="str">
        <f ca="1">IF(RegimeExecucao="Global","",ORÇAMENTO!W688)</f>
        <v/>
      </c>
      <c r="I688" s="127">
        <f ca="1">ORÇAMENTO!X688</f>
        <v>0</v>
      </c>
      <c r="J688" s="378">
        <f ca="1">IF($A688="S",IF(CAIXA.Modo,BM.AFAnterior,BM.MEDAnterior),IF(AND(RegimeExecucao="Global",$I688&gt;0,COUNTIF($AB$13:$AM$13,BM.medicao-1)&gt;0),M688/$I688*100,0))</f>
        <v>0</v>
      </c>
      <c r="K688" s="124">
        <f t="shared" ca="1" si="55"/>
        <v>0</v>
      </c>
      <c r="L688" s="379">
        <f ca="1">IF($A688="S",IF(CAIXA.Modo,BM.AFAcumulado,BM.MEDAcumulado),IF(AND(RegimeExecucao="Global",$I688&gt;0,COUNTIF($AB$13:$AM$13,BM.medicao)&gt;0),O688/$I688*100,0))</f>
        <v>0</v>
      </c>
      <c r="M688" s="380">
        <f ca="1">IF($A688="S",VTOTALBM,IF($A688=0,0,ROUND(SomaAgrupBM,15-13*ORÇAMENTO!$AF$11)))</f>
        <v>0</v>
      </c>
      <c r="N688" s="381">
        <f t="shared" ca="1" si="56"/>
        <v>0</v>
      </c>
      <c r="O688" s="127">
        <f ca="1">IF($A688="S",VTOTALBM,IF($A688=0,0,ROUND(SomaAgrupBM,15-13*ORÇAMENTO!$AF$11)))</f>
        <v>0</v>
      </c>
      <c r="Q688" s="382"/>
      <c r="R688" s="383"/>
      <c r="T688" s="119" t="str">
        <f t="shared" ca="1" si="57"/>
        <v/>
      </c>
      <c r="U688" s="172" t="str">
        <f t="shared" ca="1" si="58"/>
        <v/>
      </c>
      <c r="V688" s="173" t="str">
        <f ca="1">IF(AND($W688&gt;0,RegimeExecucao="Unitário"),$F688,"")</f>
        <v/>
      </c>
      <c r="W688" s="547">
        <f ca="1">IF($Y688&gt;0,CHOOSE(MATCH(RegimeExecucao,{"Unitário","Global"},0),IF($A688="S",$Y688/$X688,""),($Y688/$X688)*100),0)</f>
        <v>0</v>
      </c>
      <c r="X688" s="384" t="str">
        <f ca="1">IF($Y688&gt;0,CHOOSE(MATCH(RegimeExecucao,{"Unitário","Global"},0),IF($A688="S",ROUND($H688,ORÇAMENTO!$AF$10),""),ROUND($I688,ORÇAMENTO!$AF$11)),"")</f>
        <v/>
      </c>
      <c r="Y688" s="384">
        <f t="shared" ca="1" si="59"/>
        <v>0</v>
      </c>
      <c r="Z688" s="572"/>
      <c r="AB688" s="382"/>
      <c r="AC688" s="516"/>
      <c r="AD688" s="516"/>
      <c r="AE688" s="516"/>
      <c r="AF688" s="516"/>
      <c r="AG688" s="516"/>
      <c r="AH688" s="516"/>
      <c r="AI688" s="516"/>
      <c r="AJ688" s="516"/>
      <c r="AK688" s="516"/>
      <c r="AL688" s="516"/>
      <c r="AM688" s="383"/>
      <c r="AO688">
        <f ca="1">IF($A688="S",IF(BM!$I688=0,0,CHOOSE(MATCH(RegimeExecucao,{"Global","Unitário"},0),ROUND(ROUND(BM.MEDAcumulado,15-13*BM!$A$9)/100*BM!$I688,15-13*ORÇAMENTO!$AF$11),ROUND(ROUND(BM.MEDAcumulado,15-13*BM!$A$9)*ROUND(BM!$H688,15-13*ORÇAMENTO!$AF$10),15-13*ORÇAMENTO!$AF$11))),IF($A688=0,0,ROUND(SomaAgrupBM,15-13*ORÇAMENTO!$AF$11)))</f>
        <v>0</v>
      </c>
    </row>
    <row r="689" spans="1:41" ht="38.25" x14ac:dyDescent="0.2">
      <c r="A689" t="str">
        <f ca="1">ORÇAMENTO!C689</f>
        <v>S</v>
      </c>
      <c r="B689">
        <f ca="1">ORÇAMENTO!D689</f>
        <v>0</v>
      </c>
      <c r="C689" s="116" t="str">
        <f t="shared" ca="1" si="54"/>
        <v/>
      </c>
      <c r="D689" s="119" t="str">
        <f ca="1">ORÇAMENTO!O689</f>
        <v>-</v>
      </c>
      <c r="E689" s="172" t="str">
        <f t="shared" ca="1" si="53"/>
        <v>(abra o arquivo 'Referência 06-2024.xlsm)</v>
      </c>
      <c r="F689" s="173" t="str">
        <f ca="1">IF(RegimeExecucao="Global","",ORÇAMENTO.Unidade)</f>
        <v/>
      </c>
      <c r="G689" s="124" t="str">
        <f ca="1">IF(RegimeExecucao="Global","",ORÇAMENTO!T689)</f>
        <v/>
      </c>
      <c r="H689" s="124" t="str">
        <f ca="1">IF(RegimeExecucao="Global","",ORÇAMENTO!W689)</f>
        <v/>
      </c>
      <c r="I689" s="127">
        <f ca="1">ORÇAMENTO!X689</f>
        <v>0</v>
      </c>
      <c r="J689" s="378">
        <f ca="1">IF($A689="S",IF(CAIXA.Modo,BM.AFAnterior,BM.MEDAnterior),IF(AND(RegimeExecucao="Global",$I689&gt;0,COUNTIF($AB$13:$AM$13,BM.medicao-1)&gt;0),M689/$I689*100,0))</f>
        <v>0</v>
      </c>
      <c r="K689" s="124">
        <f t="shared" ca="1" si="55"/>
        <v>0</v>
      </c>
      <c r="L689" s="379">
        <f ca="1">IF($A689="S",IF(CAIXA.Modo,BM.AFAcumulado,BM.MEDAcumulado),IF(AND(RegimeExecucao="Global",$I689&gt;0,COUNTIF($AB$13:$AM$13,BM.medicao)&gt;0),O689/$I689*100,0))</f>
        <v>0</v>
      </c>
      <c r="M689" s="380">
        <f ca="1">IF($A689="S",VTOTALBM,IF($A689=0,0,ROUND(SomaAgrupBM,15-13*ORÇAMENTO!$AF$11)))</f>
        <v>0</v>
      </c>
      <c r="N689" s="381">
        <f t="shared" ca="1" si="56"/>
        <v>0</v>
      </c>
      <c r="O689" s="127">
        <f ca="1">IF($A689="S",VTOTALBM,IF($A689=0,0,ROUND(SomaAgrupBM,15-13*ORÇAMENTO!$AF$11)))</f>
        <v>0</v>
      </c>
      <c r="Q689" s="382"/>
      <c r="R689" s="383"/>
      <c r="T689" s="119" t="str">
        <f t="shared" ca="1" si="57"/>
        <v/>
      </c>
      <c r="U689" s="172" t="str">
        <f t="shared" ca="1" si="58"/>
        <v/>
      </c>
      <c r="V689" s="173" t="str">
        <f ca="1">IF(AND($W689&gt;0,RegimeExecucao="Unitário"),$F689,"")</f>
        <v/>
      </c>
      <c r="W689" s="547">
        <f ca="1">IF($Y689&gt;0,CHOOSE(MATCH(RegimeExecucao,{"Unitário","Global"},0),IF($A689="S",$Y689/$X689,""),($Y689/$X689)*100),0)</f>
        <v>0</v>
      </c>
      <c r="X689" s="384" t="str">
        <f ca="1">IF($Y689&gt;0,CHOOSE(MATCH(RegimeExecucao,{"Unitário","Global"},0),IF($A689="S",ROUND($H689,ORÇAMENTO!$AF$10),""),ROUND($I689,ORÇAMENTO!$AF$11)),"")</f>
        <v/>
      </c>
      <c r="Y689" s="384">
        <f t="shared" ca="1" si="59"/>
        <v>0</v>
      </c>
      <c r="Z689" s="572"/>
      <c r="AB689" s="382"/>
      <c r="AC689" s="516"/>
      <c r="AD689" s="516"/>
      <c r="AE689" s="516"/>
      <c r="AF689" s="516"/>
      <c r="AG689" s="516"/>
      <c r="AH689" s="516"/>
      <c r="AI689" s="516"/>
      <c r="AJ689" s="516"/>
      <c r="AK689" s="516"/>
      <c r="AL689" s="516"/>
      <c r="AM689" s="383"/>
      <c r="AO689">
        <f ca="1">IF($A689="S",IF(BM!$I689=0,0,CHOOSE(MATCH(RegimeExecucao,{"Global","Unitário"},0),ROUND(ROUND(BM.MEDAcumulado,15-13*BM!$A$9)/100*BM!$I689,15-13*ORÇAMENTO!$AF$11),ROUND(ROUND(BM.MEDAcumulado,15-13*BM!$A$9)*ROUND(BM!$H689,15-13*ORÇAMENTO!$AF$10),15-13*ORÇAMENTO!$AF$11))),IF($A689=0,0,ROUND(SomaAgrupBM,15-13*ORÇAMENTO!$AF$11)))</f>
        <v>0</v>
      </c>
    </row>
    <row r="690" spans="1:41" ht="25.5" x14ac:dyDescent="0.2">
      <c r="A690" t="str">
        <f ca="1">ORÇAMENTO!C690</f>
        <v>S</v>
      </c>
      <c r="B690">
        <f ca="1">ORÇAMENTO!D690</f>
        <v>0</v>
      </c>
      <c r="C690" s="116" t="str">
        <f t="shared" ca="1" si="54"/>
        <v/>
      </c>
      <c r="D690" s="119" t="str">
        <f ca="1">ORÇAMENTO!O690</f>
        <v>-</v>
      </c>
      <c r="E690" s="172" t="str">
        <f t="shared" ca="1" si="53"/>
        <v>(abra o arquivo 'Referência 06-2024.xlsm)</v>
      </c>
      <c r="F690" s="173" t="str">
        <f ca="1">IF(RegimeExecucao="Global","",ORÇAMENTO.Unidade)</f>
        <v/>
      </c>
      <c r="G690" s="124" t="str">
        <f ca="1">IF(RegimeExecucao="Global","",ORÇAMENTO!T690)</f>
        <v/>
      </c>
      <c r="H690" s="124" t="str">
        <f ca="1">IF(RegimeExecucao="Global","",ORÇAMENTO!W690)</f>
        <v/>
      </c>
      <c r="I690" s="127">
        <f ca="1">ORÇAMENTO!X690</f>
        <v>0</v>
      </c>
      <c r="J690" s="378">
        <f ca="1">IF($A690="S",IF(CAIXA.Modo,BM.AFAnterior,BM.MEDAnterior),IF(AND(RegimeExecucao="Global",$I690&gt;0,COUNTIF($AB$13:$AM$13,BM.medicao-1)&gt;0),M690/$I690*100,0))</f>
        <v>0</v>
      </c>
      <c r="K690" s="124">
        <f t="shared" ca="1" si="55"/>
        <v>0</v>
      </c>
      <c r="L690" s="379">
        <f ca="1">IF($A690="S",IF(CAIXA.Modo,BM.AFAcumulado,BM.MEDAcumulado),IF(AND(RegimeExecucao="Global",$I690&gt;0,COUNTIF($AB$13:$AM$13,BM.medicao)&gt;0),O690/$I690*100,0))</f>
        <v>0</v>
      </c>
      <c r="M690" s="380">
        <f ca="1">IF($A690="S",VTOTALBM,IF($A690=0,0,ROUND(SomaAgrupBM,15-13*ORÇAMENTO!$AF$11)))</f>
        <v>0</v>
      </c>
      <c r="N690" s="381">
        <f t="shared" ca="1" si="56"/>
        <v>0</v>
      </c>
      <c r="O690" s="127">
        <f ca="1">IF($A690="S",VTOTALBM,IF($A690=0,0,ROUND(SomaAgrupBM,15-13*ORÇAMENTO!$AF$11)))</f>
        <v>0</v>
      </c>
      <c r="Q690" s="382"/>
      <c r="R690" s="383"/>
      <c r="T690" s="119" t="str">
        <f t="shared" ca="1" si="57"/>
        <v/>
      </c>
      <c r="U690" s="172" t="str">
        <f t="shared" ca="1" si="58"/>
        <v/>
      </c>
      <c r="V690" s="173" t="str">
        <f ca="1">IF(AND($W690&gt;0,RegimeExecucao="Unitário"),$F690,"")</f>
        <v/>
      </c>
      <c r="W690" s="547">
        <f ca="1">IF($Y690&gt;0,CHOOSE(MATCH(RegimeExecucao,{"Unitário","Global"},0),IF($A690="S",$Y690/$X690,""),($Y690/$X690)*100),0)</f>
        <v>0</v>
      </c>
      <c r="X690" s="384" t="str">
        <f ca="1">IF($Y690&gt;0,CHOOSE(MATCH(RegimeExecucao,{"Unitário","Global"},0),IF($A690="S",ROUND($H690,ORÇAMENTO!$AF$10),""),ROUND($I690,ORÇAMENTO!$AF$11)),"")</f>
        <v/>
      </c>
      <c r="Y690" s="384">
        <f t="shared" ca="1" si="59"/>
        <v>0</v>
      </c>
      <c r="Z690" s="572"/>
      <c r="AB690" s="382"/>
      <c r="AC690" s="516"/>
      <c r="AD690" s="516"/>
      <c r="AE690" s="516"/>
      <c r="AF690" s="516"/>
      <c r="AG690" s="516"/>
      <c r="AH690" s="516"/>
      <c r="AI690" s="516"/>
      <c r="AJ690" s="516"/>
      <c r="AK690" s="516"/>
      <c r="AL690" s="516"/>
      <c r="AM690" s="383"/>
      <c r="AO690">
        <f ca="1">IF($A690="S",IF(BM!$I690=0,0,CHOOSE(MATCH(RegimeExecucao,{"Global","Unitário"},0),ROUND(ROUND(BM.MEDAcumulado,15-13*BM!$A$9)/100*BM!$I690,15-13*ORÇAMENTO!$AF$11),ROUND(ROUND(BM.MEDAcumulado,15-13*BM!$A$9)*ROUND(BM!$H690,15-13*ORÇAMENTO!$AF$10),15-13*ORÇAMENTO!$AF$11))),IF($A690=0,0,ROUND(SomaAgrupBM,15-13*ORÇAMENTO!$AF$11)))</f>
        <v>0</v>
      </c>
    </row>
    <row r="691" spans="1:41" ht="25.5" x14ac:dyDescent="0.2">
      <c r="A691" t="str">
        <f ca="1">ORÇAMENTO!C691</f>
        <v>S</v>
      </c>
      <c r="B691">
        <f ca="1">ORÇAMENTO!D691</f>
        <v>0</v>
      </c>
      <c r="C691" s="116" t="str">
        <f t="shared" ca="1" si="54"/>
        <v/>
      </c>
      <c r="D691" s="119" t="str">
        <f ca="1">ORÇAMENTO!O691</f>
        <v>-</v>
      </c>
      <c r="E691" s="172" t="str">
        <f t="shared" ca="1" si="53"/>
        <v>(abra o arquivo 'Referência 06-2024.xlsm)</v>
      </c>
      <c r="F691" s="173" t="str">
        <f ca="1">IF(RegimeExecucao="Global","",ORÇAMENTO.Unidade)</f>
        <v/>
      </c>
      <c r="G691" s="124" t="str">
        <f ca="1">IF(RegimeExecucao="Global","",ORÇAMENTO!T691)</f>
        <v/>
      </c>
      <c r="H691" s="124" t="str">
        <f ca="1">IF(RegimeExecucao="Global","",ORÇAMENTO!W691)</f>
        <v/>
      </c>
      <c r="I691" s="127">
        <f ca="1">ORÇAMENTO!X691</f>
        <v>0</v>
      </c>
      <c r="J691" s="378">
        <f ca="1">IF($A691="S",IF(CAIXA.Modo,BM.AFAnterior,BM.MEDAnterior),IF(AND(RegimeExecucao="Global",$I691&gt;0,COUNTIF($AB$13:$AM$13,BM.medicao-1)&gt;0),M691/$I691*100,0))</f>
        <v>0</v>
      </c>
      <c r="K691" s="124">
        <f t="shared" ca="1" si="55"/>
        <v>0</v>
      </c>
      <c r="L691" s="379">
        <f ca="1">IF($A691="S",IF(CAIXA.Modo,BM.AFAcumulado,BM.MEDAcumulado),IF(AND(RegimeExecucao="Global",$I691&gt;0,COUNTIF($AB$13:$AM$13,BM.medicao)&gt;0),O691/$I691*100,0))</f>
        <v>0</v>
      </c>
      <c r="M691" s="380">
        <f ca="1">IF($A691="S",VTOTALBM,IF($A691=0,0,ROUND(SomaAgrupBM,15-13*ORÇAMENTO!$AF$11)))</f>
        <v>0</v>
      </c>
      <c r="N691" s="381">
        <f t="shared" ca="1" si="56"/>
        <v>0</v>
      </c>
      <c r="O691" s="127">
        <f ca="1">IF($A691="S",VTOTALBM,IF($A691=0,0,ROUND(SomaAgrupBM,15-13*ORÇAMENTO!$AF$11)))</f>
        <v>0</v>
      </c>
      <c r="Q691" s="382"/>
      <c r="R691" s="383"/>
      <c r="T691" s="119" t="str">
        <f t="shared" ca="1" si="57"/>
        <v/>
      </c>
      <c r="U691" s="172" t="str">
        <f t="shared" ca="1" si="58"/>
        <v/>
      </c>
      <c r="V691" s="173" t="str">
        <f ca="1">IF(AND($W691&gt;0,RegimeExecucao="Unitário"),$F691,"")</f>
        <v/>
      </c>
      <c r="W691" s="547">
        <f ca="1">IF($Y691&gt;0,CHOOSE(MATCH(RegimeExecucao,{"Unitário","Global"},0),IF($A691="S",$Y691/$X691,""),($Y691/$X691)*100),0)</f>
        <v>0</v>
      </c>
      <c r="X691" s="384" t="str">
        <f ca="1">IF($Y691&gt;0,CHOOSE(MATCH(RegimeExecucao,{"Unitário","Global"},0),IF($A691="S",ROUND($H691,ORÇAMENTO!$AF$10),""),ROUND($I691,ORÇAMENTO!$AF$11)),"")</f>
        <v/>
      </c>
      <c r="Y691" s="384">
        <f t="shared" ca="1" si="59"/>
        <v>0</v>
      </c>
      <c r="Z691" s="572"/>
      <c r="AB691" s="382"/>
      <c r="AC691" s="516"/>
      <c r="AD691" s="516"/>
      <c r="AE691" s="516"/>
      <c r="AF691" s="516"/>
      <c r="AG691" s="516"/>
      <c r="AH691" s="516"/>
      <c r="AI691" s="516"/>
      <c r="AJ691" s="516"/>
      <c r="AK691" s="516"/>
      <c r="AL691" s="516"/>
      <c r="AM691" s="383"/>
      <c r="AO691">
        <f ca="1">IF($A691="S",IF(BM!$I691=0,0,CHOOSE(MATCH(RegimeExecucao,{"Global","Unitário"},0),ROUND(ROUND(BM.MEDAcumulado,15-13*BM!$A$9)/100*BM!$I691,15-13*ORÇAMENTO!$AF$11),ROUND(ROUND(BM.MEDAcumulado,15-13*BM!$A$9)*ROUND(BM!$H691,15-13*ORÇAMENTO!$AF$10),15-13*ORÇAMENTO!$AF$11))),IF($A691=0,0,ROUND(SomaAgrupBM,15-13*ORÇAMENTO!$AF$11)))</f>
        <v>0</v>
      </c>
    </row>
    <row r="692" spans="1:41" ht="38.25" x14ac:dyDescent="0.2">
      <c r="A692" t="str">
        <f ca="1">ORÇAMENTO!C692</f>
        <v>S</v>
      </c>
      <c r="B692">
        <f ca="1">ORÇAMENTO!D692</f>
        <v>0</v>
      </c>
      <c r="C692" s="116" t="str">
        <f t="shared" ca="1" si="54"/>
        <v/>
      </c>
      <c r="D692" s="119" t="str">
        <f ca="1">ORÇAMENTO!O692</f>
        <v>-</v>
      </c>
      <c r="E692" s="172" t="str">
        <f t="shared" ca="1" si="53"/>
        <v>(abra o arquivo 'Referência 06-2024.xlsm)</v>
      </c>
      <c r="F692" s="173" t="str">
        <f ca="1">IF(RegimeExecucao="Global","",ORÇAMENTO.Unidade)</f>
        <v/>
      </c>
      <c r="G692" s="124" t="str">
        <f ca="1">IF(RegimeExecucao="Global","",ORÇAMENTO!T692)</f>
        <v/>
      </c>
      <c r="H692" s="124" t="str">
        <f ca="1">IF(RegimeExecucao="Global","",ORÇAMENTO!W692)</f>
        <v/>
      </c>
      <c r="I692" s="127">
        <f ca="1">ORÇAMENTO!X692</f>
        <v>0</v>
      </c>
      <c r="J692" s="378">
        <f ca="1">IF($A692="S",IF(CAIXA.Modo,BM.AFAnterior,BM.MEDAnterior),IF(AND(RegimeExecucao="Global",$I692&gt;0,COUNTIF($AB$13:$AM$13,BM.medicao-1)&gt;0),M692/$I692*100,0))</f>
        <v>0</v>
      </c>
      <c r="K692" s="124">
        <f t="shared" ca="1" si="55"/>
        <v>0</v>
      </c>
      <c r="L692" s="379">
        <f ca="1">IF($A692="S",IF(CAIXA.Modo,BM.AFAcumulado,BM.MEDAcumulado),IF(AND(RegimeExecucao="Global",$I692&gt;0,COUNTIF($AB$13:$AM$13,BM.medicao)&gt;0),O692/$I692*100,0))</f>
        <v>0</v>
      </c>
      <c r="M692" s="380">
        <f ca="1">IF($A692="S",VTOTALBM,IF($A692=0,0,ROUND(SomaAgrupBM,15-13*ORÇAMENTO!$AF$11)))</f>
        <v>0</v>
      </c>
      <c r="N692" s="381">
        <f t="shared" ca="1" si="56"/>
        <v>0</v>
      </c>
      <c r="O692" s="127">
        <f ca="1">IF($A692="S",VTOTALBM,IF($A692=0,0,ROUND(SomaAgrupBM,15-13*ORÇAMENTO!$AF$11)))</f>
        <v>0</v>
      </c>
      <c r="Q692" s="382"/>
      <c r="R692" s="383"/>
      <c r="T692" s="119" t="str">
        <f t="shared" ca="1" si="57"/>
        <v/>
      </c>
      <c r="U692" s="172" t="str">
        <f t="shared" ca="1" si="58"/>
        <v/>
      </c>
      <c r="V692" s="173" t="str">
        <f ca="1">IF(AND($W692&gt;0,RegimeExecucao="Unitário"),$F692,"")</f>
        <v/>
      </c>
      <c r="W692" s="547">
        <f ca="1">IF($Y692&gt;0,CHOOSE(MATCH(RegimeExecucao,{"Unitário","Global"},0),IF($A692="S",$Y692/$X692,""),($Y692/$X692)*100),0)</f>
        <v>0</v>
      </c>
      <c r="X692" s="384" t="str">
        <f ca="1">IF($Y692&gt;0,CHOOSE(MATCH(RegimeExecucao,{"Unitário","Global"},0),IF($A692="S",ROUND($H692,ORÇAMENTO!$AF$10),""),ROUND($I692,ORÇAMENTO!$AF$11)),"")</f>
        <v/>
      </c>
      <c r="Y692" s="384">
        <f t="shared" ca="1" si="59"/>
        <v>0</v>
      </c>
      <c r="Z692" s="572"/>
      <c r="AB692" s="382"/>
      <c r="AC692" s="516"/>
      <c r="AD692" s="516"/>
      <c r="AE692" s="516"/>
      <c r="AF692" s="516"/>
      <c r="AG692" s="516"/>
      <c r="AH692" s="516"/>
      <c r="AI692" s="516"/>
      <c r="AJ692" s="516"/>
      <c r="AK692" s="516"/>
      <c r="AL692" s="516"/>
      <c r="AM692" s="383"/>
      <c r="AO692">
        <f ca="1">IF($A692="S",IF(BM!$I692=0,0,CHOOSE(MATCH(RegimeExecucao,{"Global","Unitário"},0),ROUND(ROUND(BM.MEDAcumulado,15-13*BM!$A$9)/100*BM!$I692,15-13*ORÇAMENTO!$AF$11),ROUND(ROUND(BM.MEDAcumulado,15-13*BM!$A$9)*ROUND(BM!$H692,15-13*ORÇAMENTO!$AF$10),15-13*ORÇAMENTO!$AF$11))),IF($A692=0,0,ROUND(SomaAgrupBM,15-13*ORÇAMENTO!$AF$11)))</f>
        <v>0</v>
      </c>
    </row>
    <row r="693" spans="1:41" ht="38.25" x14ac:dyDescent="0.2">
      <c r="A693" t="str">
        <f ca="1">ORÇAMENTO!C693</f>
        <v>S</v>
      </c>
      <c r="B693">
        <f ca="1">ORÇAMENTO!D693</f>
        <v>0</v>
      </c>
      <c r="C693" s="116" t="str">
        <f t="shared" ca="1" si="54"/>
        <v/>
      </c>
      <c r="D693" s="119" t="str">
        <f ca="1">ORÇAMENTO!O693</f>
        <v>-</v>
      </c>
      <c r="E693" s="172" t="str">
        <f t="shared" ca="1" si="53"/>
        <v>(abra o arquivo 'Referência 06-2024.xlsm)</v>
      </c>
      <c r="F693" s="173" t="str">
        <f ca="1">IF(RegimeExecucao="Global","",ORÇAMENTO.Unidade)</f>
        <v/>
      </c>
      <c r="G693" s="124" t="str">
        <f ca="1">IF(RegimeExecucao="Global","",ORÇAMENTO!T693)</f>
        <v/>
      </c>
      <c r="H693" s="124" t="str">
        <f ca="1">IF(RegimeExecucao="Global","",ORÇAMENTO!W693)</f>
        <v/>
      </c>
      <c r="I693" s="127">
        <f ca="1">ORÇAMENTO!X693</f>
        <v>0</v>
      </c>
      <c r="J693" s="378">
        <f ca="1">IF($A693="S",IF(CAIXA.Modo,BM.AFAnterior,BM.MEDAnterior),IF(AND(RegimeExecucao="Global",$I693&gt;0,COUNTIF($AB$13:$AM$13,BM.medicao-1)&gt;0),M693/$I693*100,0))</f>
        <v>0</v>
      </c>
      <c r="K693" s="124">
        <f t="shared" ca="1" si="55"/>
        <v>0</v>
      </c>
      <c r="L693" s="379">
        <f ca="1">IF($A693="S",IF(CAIXA.Modo,BM.AFAcumulado,BM.MEDAcumulado),IF(AND(RegimeExecucao="Global",$I693&gt;0,COUNTIF($AB$13:$AM$13,BM.medicao)&gt;0),O693/$I693*100,0))</f>
        <v>0</v>
      </c>
      <c r="M693" s="380">
        <f ca="1">IF($A693="S",VTOTALBM,IF($A693=0,0,ROUND(SomaAgrupBM,15-13*ORÇAMENTO!$AF$11)))</f>
        <v>0</v>
      </c>
      <c r="N693" s="381">
        <f t="shared" ca="1" si="56"/>
        <v>0</v>
      </c>
      <c r="O693" s="127">
        <f ca="1">IF($A693="S",VTOTALBM,IF($A693=0,0,ROUND(SomaAgrupBM,15-13*ORÇAMENTO!$AF$11)))</f>
        <v>0</v>
      </c>
      <c r="Q693" s="382"/>
      <c r="R693" s="383"/>
      <c r="T693" s="119" t="str">
        <f t="shared" ca="1" si="57"/>
        <v/>
      </c>
      <c r="U693" s="172" t="str">
        <f t="shared" ca="1" si="58"/>
        <v/>
      </c>
      <c r="V693" s="173" t="str">
        <f ca="1">IF(AND($W693&gt;0,RegimeExecucao="Unitário"),$F693,"")</f>
        <v/>
      </c>
      <c r="W693" s="547">
        <f ca="1">IF($Y693&gt;0,CHOOSE(MATCH(RegimeExecucao,{"Unitário","Global"},0),IF($A693="S",$Y693/$X693,""),($Y693/$X693)*100),0)</f>
        <v>0</v>
      </c>
      <c r="X693" s="384" t="str">
        <f ca="1">IF($Y693&gt;0,CHOOSE(MATCH(RegimeExecucao,{"Unitário","Global"},0),IF($A693="S",ROUND($H693,ORÇAMENTO!$AF$10),""),ROUND($I693,ORÇAMENTO!$AF$11)),"")</f>
        <v/>
      </c>
      <c r="Y693" s="384">
        <f t="shared" ca="1" si="59"/>
        <v>0</v>
      </c>
      <c r="Z693" s="572"/>
      <c r="AB693" s="382"/>
      <c r="AC693" s="516"/>
      <c r="AD693" s="516"/>
      <c r="AE693" s="516"/>
      <c r="AF693" s="516"/>
      <c r="AG693" s="516"/>
      <c r="AH693" s="516"/>
      <c r="AI693" s="516"/>
      <c r="AJ693" s="516"/>
      <c r="AK693" s="516"/>
      <c r="AL693" s="516"/>
      <c r="AM693" s="383"/>
      <c r="AO693">
        <f ca="1">IF($A693="S",IF(BM!$I693=0,0,CHOOSE(MATCH(RegimeExecucao,{"Global","Unitário"},0),ROUND(ROUND(BM.MEDAcumulado,15-13*BM!$A$9)/100*BM!$I693,15-13*ORÇAMENTO!$AF$11),ROUND(ROUND(BM.MEDAcumulado,15-13*BM!$A$9)*ROUND(BM!$H693,15-13*ORÇAMENTO!$AF$10),15-13*ORÇAMENTO!$AF$11))),IF($A693=0,0,ROUND(SomaAgrupBM,15-13*ORÇAMENTO!$AF$11)))</f>
        <v>0</v>
      </c>
    </row>
    <row r="694" spans="1:41" ht="38.25" x14ac:dyDescent="0.2">
      <c r="A694" t="str">
        <f ca="1">ORÇAMENTO!C694</f>
        <v>S</v>
      </c>
      <c r="B694">
        <f ca="1">ORÇAMENTO!D694</f>
        <v>0</v>
      </c>
      <c r="C694" s="116" t="str">
        <f t="shared" ca="1" si="54"/>
        <v/>
      </c>
      <c r="D694" s="119" t="str">
        <f ca="1">ORÇAMENTO!O694</f>
        <v>-</v>
      </c>
      <c r="E694" s="172" t="str">
        <f t="shared" ca="1" si="53"/>
        <v>(abra o arquivo 'Referência 06-2024.xlsm)</v>
      </c>
      <c r="F694" s="173" t="str">
        <f ca="1">IF(RegimeExecucao="Global","",ORÇAMENTO.Unidade)</f>
        <v/>
      </c>
      <c r="G694" s="124" t="str">
        <f ca="1">IF(RegimeExecucao="Global","",ORÇAMENTO!T694)</f>
        <v/>
      </c>
      <c r="H694" s="124" t="str">
        <f ca="1">IF(RegimeExecucao="Global","",ORÇAMENTO!W694)</f>
        <v/>
      </c>
      <c r="I694" s="127">
        <f ca="1">ORÇAMENTO!X694</f>
        <v>0</v>
      </c>
      <c r="J694" s="378">
        <f ca="1">IF($A694="S",IF(CAIXA.Modo,BM.AFAnterior,BM.MEDAnterior),IF(AND(RegimeExecucao="Global",$I694&gt;0,COUNTIF($AB$13:$AM$13,BM.medicao-1)&gt;0),M694/$I694*100,0))</f>
        <v>0</v>
      </c>
      <c r="K694" s="124">
        <f t="shared" ca="1" si="55"/>
        <v>0</v>
      </c>
      <c r="L694" s="379">
        <f ca="1">IF($A694="S",IF(CAIXA.Modo,BM.AFAcumulado,BM.MEDAcumulado),IF(AND(RegimeExecucao="Global",$I694&gt;0,COUNTIF($AB$13:$AM$13,BM.medicao)&gt;0),O694/$I694*100,0))</f>
        <v>0</v>
      </c>
      <c r="M694" s="380">
        <f ca="1">IF($A694="S",VTOTALBM,IF($A694=0,0,ROUND(SomaAgrupBM,15-13*ORÇAMENTO!$AF$11)))</f>
        <v>0</v>
      </c>
      <c r="N694" s="381">
        <f t="shared" ca="1" si="56"/>
        <v>0</v>
      </c>
      <c r="O694" s="127">
        <f ca="1">IF($A694="S",VTOTALBM,IF($A694=0,0,ROUND(SomaAgrupBM,15-13*ORÇAMENTO!$AF$11)))</f>
        <v>0</v>
      </c>
      <c r="Q694" s="382"/>
      <c r="R694" s="383"/>
      <c r="T694" s="119" t="str">
        <f t="shared" ca="1" si="57"/>
        <v/>
      </c>
      <c r="U694" s="172" t="str">
        <f t="shared" ca="1" si="58"/>
        <v/>
      </c>
      <c r="V694" s="173" t="str">
        <f ca="1">IF(AND($W694&gt;0,RegimeExecucao="Unitário"),$F694,"")</f>
        <v/>
      </c>
      <c r="W694" s="547">
        <f ca="1">IF($Y694&gt;0,CHOOSE(MATCH(RegimeExecucao,{"Unitário","Global"},0),IF($A694="S",$Y694/$X694,""),($Y694/$X694)*100),0)</f>
        <v>0</v>
      </c>
      <c r="X694" s="384" t="str">
        <f ca="1">IF($Y694&gt;0,CHOOSE(MATCH(RegimeExecucao,{"Unitário","Global"},0),IF($A694="S",ROUND($H694,ORÇAMENTO!$AF$10),""),ROUND($I694,ORÇAMENTO!$AF$11)),"")</f>
        <v/>
      </c>
      <c r="Y694" s="384">
        <f t="shared" ca="1" si="59"/>
        <v>0</v>
      </c>
      <c r="Z694" s="572"/>
      <c r="AB694" s="382"/>
      <c r="AC694" s="516"/>
      <c r="AD694" s="516"/>
      <c r="AE694" s="516"/>
      <c r="AF694" s="516"/>
      <c r="AG694" s="516"/>
      <c r="AH694" s="516"/>
      <c r="AI694" s="516"/>
      <c r="AJ694" s="516"/>
      <c r="AK694" s="516"/>
      <c r="AL694" s="516"/>
      <c r="AM694" s="383"/>
      <c r="AO694">
        <f ca="1">IF($A694="S",IF(BM!$I694=0,0,CHOOSE(MATCH(RegimeExecucao,{"Global","Unitário"},0),ROUND(ROUND(BM.MEDAcumulado,15-13*BM!$A$9)/100*BM!$I694,15-13*ORÇAMENTO!$AF$11),ROUND(ROUND(BM.MEDAcumulado,15-13*BM!$A$9)*ROUND(BM!$H694,15-13*ORÇAMENTO!$AF$10),15-13*ORÇAMENTO!$AF$11))),IF($A694=0,0,ROUND(SomaAgrupBM,15-13*ORÇAMENTO!$AF$11)))</f>
        <v>0</v>
      </c>
    </row>
    <row r="695" spans="1:41" x14ac:dyDescent="0.2">
      <c r="A695">
        <f ca="1">ORÇAMENTO!C695</f>
        <v>2</v>
      </c>
      <c r="B695">
        <f ca="1">ORÇAMENTO!D695</f>
        <v>6</v>
      </c>
      <c r="C695" s="116" t="str">
        <f t="shared" ca="1" si="54"/>
        <v>F</v>
      </c>
      <c r="D695" s="119" t="str">
        <f ca="1">ORÇAMENTO!O695</f>
        <v>1.75.</v>
      </c>
      <c r="E695" s="172" t="str">
        <f t="shared" si="53"/>
        <v>MURO DE FECHAMENTO - CONCRETO ARMADO PARA PILARES</v>
      </c>
      <c r="F695" s="173" t="str">
        <f ca="1">IF(RegimeExecucao="Global","",ORÇAMENTO.Unidade)</f>
        <v/>
      </c>
      <c r="G695" s="124" t="str">
        <f ca="1">IF(RegimeExecucao="Global","",ORÇAMENTO!T695)</f>
        <v/>
      </c>
      <c r="H695" s="124" t="str">
        <f ca="1">IF(RegimeExecucao="Global","",ORÇAMENTO!W695)</f>
        <v/>
      </c>
      <c r="I695" s="127">
        <f ca="1">ORÇAMENTO!X695</f>
        <v>0</v>
      </c>
      <c r="J695" s="378">
        <f ca="1">IF($A695="S",IF(CAIXA.Modo,BM.AFAnterior,BM.MEDAnterior),IF(AND(RegimeExecucao="Global",$I695&gt;0,COUNTIF($AB$13:$AM$13,BM.medicao-1)&gt;0),M695/$I695*100,0))</f>
        <v>0</v>
      </c>
      <c r="K695" s="124">
        <f t="shared" ca="1" si="55"/>
        <v>0</v>
      </c>
      <c r="L695" s="379">
        <f ca="1">IF($A695="S",IF(CAIXA.Modo,BM.AFAcumulado,BM.MEDAcumulado),IF(AND(RegimeExecucao="Global",$I695&gt;0,COUNTIF($AB$13:$AM$13,BM.medicao)&gt;0),O695/$I695*100,0))</f>
        <v>0</v>
      </c>
      <c r="M695" s="380">
        <f ca="1">IF($A695="S",VTOTALBM,IF($A695=0,0,ROUND(SomaAgrupBM,15-13*ORÇAMENTO!$AF$11)))</f>
        <v>0</v>
      </c>
      <c r="N695" s="381">
        <f t="shared" ca="1" si="56"/>
        <v>0</v>
      </c>
      <c r="O695" s="127">
        <f ca="1">IF($A695="S",VTOTALBM,IF($A695=0,0,ROUND(SomaAgrupBM,15-13*ORÇAMENTO!$AF$11)))</f>
        <v>0</v>
      </c>
      <c r="Q695" s="382"/>
      <c r="R695" s="383"/>
      <c r="T695" s="119" t="str">
        <f t="shared" ca="1" si="57"/>
        <v/>
      </c>
      <c r="U695" s="172" t="str">
        <f t="shared" ca="1" si="58"/>
        <v/>
      </c>
      <c r="V695" s="173" t="str">
        <f ca="1">IF(AND($W695&gt;0,RegimeExecucao="Unitário"),$F695,"")</f>
        <v/>
      </c>
      <c r="W695" s="547">
        <f ca="1">IF($Y695&gt;0,CHOOSE(MATCH(RegimeExecucao,{"Unitário","Global"},0),IF($A695="S",$Y695/$X695,""),($Y695/$X695)*100),0)</f>
        <v>0</v>
      </c>
      <c r="X695" s="384" t="str">
        <f ca="1">IF($Y695&gt;0,CHOOSE(MATCH(RegimeExecucao,{"Unitário","Global"},0),IF($A695="S",ROUND($H695,ORÇAMENTO!$AF$10),""),ROUND($I695,ORÇAMENTO!$AF$11)),"")</f>
        <v/>
      </c>
      <c r="Y695" s="384">
        <f t="shared" ca="1" si="59"/>
        <v>0</v>
      </c>
      <c r="Z695" s="572"/>
      <c r="AB695" s="382"/>
      <c r="AC695" s="516"/>
      <c r="AD695" s="516"/>
      <c r="AE695" s="516"/>
      <c r="AF695" s="516"/>
      <c r="AG695" s="516"/>
      <c r="AH695" s="516"/>
      <c r="AI695" s="516"/>
      <c r="AJ695" s="516"/>
      <c r="AK695" s="516"/>
      <c r="AL695" s="516"/>
      <c r="AM695" s="383"/>
      <c r="AO695">
        <f ca="1">IF($A695="S",IF(BM!$I695=0,0,CHOOSE(MATCH(RegimeExecucao,{"Global","Unitário"},0),ROUND(ROUND(BM.MEDAcumulado,15-13*BM!$A$9)/100*BM!$I695,15-13*ORÇAMENTO!$AF$11),ROUND(ROUND(BM.MEDAcumulado,15-13*BM!$A$9)*ROUND(BM!$H695,15-13*ORÇAMENTO!$AF$10),15-13*ORÇAMENTO!$AF$11))),IF($A695=0,0,ROUND(SomaAgrupBM,15-13*ORÇAMENTO!$AF$11)))</f>
        <v>0</v>
      </c>
    </row>
    <row r="696" spans="1:41" ht="51" x14ac:dyDescent="0.2">
      <c r="A696" t="str">
        <f ca="1">ORÇAMENTO!C696</f>
        <v>S</v>
      </c>
      <c r="B696">
        <f ca="1">ORÇAMENTO!D696</f>
        <v>0</v>
      </c>
      <c r="C696" s="116" t="str">
        <f t="shared" ca="1" si="54"/>
        <v/>
      </c>
      <c r="D696" s="119" t="str">
        <f ca="1">ORÇAMENTO!O696</f>
        <v>-</v>
      </c>
      <c r="E696" s="172" t="str">
        <f t="shared" ca="1" si="53"/>
        <v>(abra o arquivo 'Referência 06-2024.xlsm)</v>
      </c>
      <c r="F696" s="173" t="str">
        <f ca="1">IF(RegimeExecucao="Global","",ORÇAMENTO.Unidade)</f>
        <v/>
      </c>
      <c r="G696" s="124" t="str">
        <f ca="1">IF(RegimeExecucao="Global","",ORÇAMENTO!T696)</f>
        <v/>
      </c>
      <c r="H696" s="124" t="str">
        <f ca="1">IF(RegimeExecucao="Global","",ORÇAMENTO!W696)</f>
        <v/>
      </c>
      <c r="I696" s="127">
        <f ca="1">ORÇAMENTO!X696</f>
        <v>0</v>
      </c>
      <c r="J696" s="378">
        <f ca="1">IF($A696="S",IF(CAIXA.Modo,BM.AFAnterior,BM.MEDAnterior),IF(AND(RegimeExecucao="Global",$I696&gt;0,COUNTIF($AB$13:$AM$13,BM.medicao-1)&gt;0),M696/$I696*100,0))</f>
        <v>0</v>
      </c>
      <c r="K696" s="124">
        <f t="shared" ca="1" si="55"/>
        <v>0</v>
      </c>
      <c r="L696" s="379">
        <f ca="1">IF($A696="S",IF(CAIXA.Modo,BM.AFAcumulado,BM.MEDAcumulado),IF(AND(RegimeExecucao="Global",$I696&gt;0,COUNTIF($AB$13:$AM$13,BM.medicao)&gt;0),O696/$I696*100,0))</f>
        <v>0</v>
      </c>
      <c r="M696" s="380">
        <f ca="1">IF($A696="S",VTOTALBM,IF($A696=0,0,ROUND(SomaAgrupBM,15-13*ORÇAMENTO!$AF$11)))</f>
        <v>0</v>
      </c>
      <c r="N696" s="381">
        <f t="shared" ca="1" si="56"/>
        <v>0</v>
      </c>
      <c r="O696" s="127">
        <f ca="1">IF($A696="S",VTOTALBM,IF($A696=0,0,ROUND(SomaAgrupBM,15-13*ORÇAMENTO!$AF$11)))</f>
        <v>0</v>
      </c>
      <c r="Q696" s="382"/>
      <c r="R696" s="383"/>
      <c r="T696" s="119" t="str">
        <f t="shared" ca="1" si="57"/>
        <v/>
      </c>
      <c r="U696" s="172" t="str">
        <f t="shared" ca="1" si="58"/>
        <v/>
      </c>
      <c r="V696" s="173" t="str">
        <f ca="1">IF(AND($W696&gt;0,RegimeExecucao="Unitário"),$F696,"")</f>
        <v/>
      </c>
      <c r="W696" s="547">
        <f ca="1">IF($Y696&gt;0,CHOOSE(MATCH(RegimeExecucao,{"Unitário","Global"},0),IF($A696="S",$Y696/$X696,""),($Y696/$X696)*100),0)</f>
        <v>0</v>
      </c>
      <c r="X696" s="384" t="str">
        <f ca="1">IF($Y696&gt;0,CHOOSE(MATCH(RegimeExecucao,{"Unitário","Global"},0),IF($A696="S",ROUND($H696,ORÇAMENTO!$AF$10),""),ROUND($I696,ORÇAMENTO!$AF$11)),"")</f>
        <v/>
      </c>
      <c r="Y696" s="384">
        <f t="shared" ca="1" si="59"/>
        <v>0</v>
      </c>
      <c r="Z696" s="572"/>
      <c r="AB696" s="382"/>
      <c r="AC696" s="516"/>
      <c r="AD696" s="516"/>
      <c r="AE696" s="516"/>
      <c r="AF696" s="516"/>
      <c r="AG696" s="516"/>
      <c r="AH696" s="516"/>
      <c r="AI696" s="516"/>
      <c r="AJ696" s="516"/>
      <c r="AK696" s="516"/>
      <c r="AL696" s="516"/>
      <c r="AM696" s="383"/>
      <c r="AO696">
        <f ca="1">IF($A696="S",IF(BM!$I696=0,0,CHOOSE(MATCH(RegimeExecucao,{"Global","Unitário"},0),ROUND(ROUND(BM.MEDAcumulado,15-13*BM!$A$9)/100*BM!$I696,15-13*ORÇAMENTO!$AF$11),ROUND(ROUND(BM.MEDAcumulado,15-13*BM!$A$9)*ROUND(BM!$H696,15-13*ORÇAMENTO!$AF$10),15-13*ORÇAMENTO!$AF$11))),IF($A696=0,0,ROUND(SomaAgrupBM,15-13*ORÇAMENTO!$AF$11)))</f>
        <v>0</v>
      </c>
    </row>
    <row r="697" spans="1:41" ht="38.25" x14ac:dyDescent="0.2">
      <c r="A697" t="str">
        <f ca="1">ORÇAMENTO!C697</f>
        <v>S</v>
      </c>
      <c r="B697">
        <f ca="1">ORÇAMENTO!D697</f>
        <v>0</v>
      </c>
      <c r="C697" s="116" t="str">
        <f t="shared" ca="1" si="54"/>
        <v/>
      </c>
      <c r="D697" s="119" t="str">
        <f ca="1">ORÇAMENTO!O697</f>
        <v>-</v>
      </c>
      <c r="E697" s="172" t="str">
        <f t="shared" ca="1" si="53"/>
        <v>(abra o arquivo 'Referência 06-2024.xlsm)</v>
      </c>
      <c r="F697" s="173" t="str">
        <f ca="1">IF(RegimeExecucao="Global","",ORÇAMENTO.Unidade)</f>
        <v/>
      </c>
      <c r="G697" s="124" t="str">
        <f ca="1">IF(RegimeExecucao="Global","",ORÇAMENTO!T697)</f>
        <v/>
      </c>
      <c r="H697" s="124" t="str">
        <f ca="1">IF(RegimeExecucao="Global","",ORÇAMENTO!W697)</f>
        <v/>
      </c>
      <c r="I697" s="127">
        <f ca="1">ORÇAMENTO!X697</f>
        <v>0</v>
      </c>
      <c r="J697" s="378">
        <f ca="1">IF($A697="S",IF(CAIXA.Modo,BM.AFAnterior,BM.MEDAnterior),IF(AND(RegimeExecucao="Global",$I697&gt;0,COUNTIF($AB$13:$AM$13,BM.medicao-1)&gt;0),M697/$I697*100,0))</f>
        <v>0</v>
      </c>
      <c r="K697" s="124">
        <f t="shared" ca="1" si="55"/>
        <v>0</v>
      </c>
      <c r="L697" s="379">
        <f ca="1">IF($A697="S",IF(CAIXA.Modo,BM.AFAcumulado,BM.MEDAcumulado),IF(AND(RegimeExecucao="Global",$I697&gt;0,COUNTIF($AB$13:$AM$13,BM.medicao)&gt;0),O697/$I697*100,0))</f>
        <v>0</v>
      </c>
      <c r="M697" s="380">
        <f ca="1">IF($A697="S",VTOTALBM,IF($A697=0,0,ROUND(SomaAgrupBM,15-13*ORÇAMENTO!$AF$11)))</f>
        <v>0</v>
      </c>
      <c r="N697" s="381">
        <f t="shared" ca="1" si="56"/>
        <v>0</v>
      </c>
      <c r="O697" s="127">
        <f ca="1">IF($A697="S",VTOTALBM,IF($A697=0,0,ROUND(SomaAgrupBM,15-13*ORÇAMENTO!$AF$11)))</f>
        <v>0</v>
      </c>
      <c r="Q697" s="382"/>
      <c r="R697" s="383"/>
      <c r="T697" s="119" t="str">
        <f t="shared" ca="1" si="57"/>
        <v/>
      </c>
      <c r="U697" s="172" t="str">
        <f t="shared" ca="1" si="58"/>
        <v/>
      </c>
      <c r="V697" s="173" t="str">
        <f ca="1">IF(AND($W697&gt;0,RegimeExecucao="Unitário"),$F697,"")</f>
        <v/>
      </c>
      <c r="W697" s="547">
        <f ca="1">IF($Y697&gt;0,CHOOSE(MATCH(RegimeExecucao,{"Unitário","Global"},0),IF($A697="S",$Y697/$X697,""),($Y697/$X697)*100),0)</f>
        <v>0</v>
      </c>
      <c r="X697" s="384" t="str">
        <f ca="1">IF($Y697&gt;0,CHOOSE(MATCH(RegimeExecucao,{"Unitário","Global"},0),IF($A697="S",ROUND($H697,ORÇAMENTO!$AF$10),""),ROUND($I697,ORÇAMENTO!$AF$11)),"")</f>
        <v/>
      </c>
      <c r="Y697" s="384">
        <f t="shared" ca="1" si="59"/>
        <v>0</v>
      </c>
      <c r="Z697" s="572"/>
      <c r="AB697" s="382"/>
      <c r="AC697" s="516"/>
      <c r="AD697" s="516"/>
      <c r="AE697" s="516"/>
      <c r="AF697" s="516"/>
      <c r="AG697" s="516"/>
      <c r="AH697" s="516"/>
      <c r="AI697" s="516"/>
      <c r="AJ697" s="516"/>
      <c r="AK697" s="516"/>
      <c r="AL697" s="516"/>
      <c r="AM697" s="383"/>
      <c r="AO697">
        <f ca="1">IF($A697="S",IF(BM!$I697=0,0,CHOOSE(MATCH(RegimeExecucao,{"Global","Unitário"},0),ROUND(ROUND(BM.MEDAcumulado,15-13*BM!$A$9)/100*BM!$I697,15-13*ORÇAMENTO!$AF$11),ROUND(ROUND(BM.MEDAcumulado,15-13*BM!$A$9)*ROUND(BM!$H697,15-13*ORÇAMENTO!$AF$10),15-13*ORÇAMENTO!$AF$11))),IF($A697=0,0,ROUND(SomaAgrupBM,15-13*ORÇAMENTO!$AF$11)))</f>
        <v>0</v>
      </c>
    </row>
    <row r="698" spans="1:41" ht="38.25" x14ac:dyDescent="0.2">
      <c r="A698" t="str">
        <f ca="1">ORÇAMENTO!C698</f>
        <v>S</v>
      </c>
      <c r="B698">
        <f ca="1">ORÇAMENTO!D698</f>
        <v>0</v>
      </c>
      <c r="C698" s="116" t="str">
        <f t="shared" ca="1" si="54"/>
        <v/>
      </c>
      <c r="D698" s="119" t="str">
        <f ca="1">ORÇAMENTO!O698</f>
        <v>-</v>
      </c>
      <c r="E698" s="172" t="str">
        <f t="shared" ca="1" si="53"/>
        <v>(abra o arquivo 'Referência 06-2024.xlsm)</v>
      </c>
      <c r="F698" s="173" t="str">
        <f ca="1">IF(RegimeExecucao="Global","",ORÇAMENTO.Unidade)</f>
        <v/>
      </c>
      <c r="G698" s="124" t="str">
        <f ca="1">IF(RegimeExecucao="Global","",ORÇAMENTO!T698)</f>
        <v/>
      </c>
      <c r="H698" s="124" t="str">
        <f ca="1">IF(RegimeExecucao="Global","",ORÇAMENTO!W698)</f>
        <v/>
      </c>
      <c r="I698" s="127">
        <f ca="1">ORÇAMENTO!X698</f>
        <v>0</v>
      </c>
      <c r="J698" s="378">
        <f ca="1">IF($A698="S",IF(CAIXA.Modo,BM.AFAnterior,BM.MEDAnterior),IF(AND(RegimeExecucao="Global",$I698&gt;0,COUNTIF($AB$13:$AM$13,BM.medicao-1)&gt;0),M698/$I698*100,0))</f>
        <v>0</v>
      </c>
      <c r="K698" s="124">
        <f t="shared" ca="1" si="55"/>
        <v>0</v>
      </c>
      <c r="L698" s="379">
        <f ca="1">IF($A698="S",IF(CAIXA.Modo,BM.AFAcumulado,BM.MEDAcumulado),IF(AND(RegimeExecucao="Global",$I698&gt;0,COUNTIF($AB$13:$AM$13,BM.medicao)&gt;0),O698/$I698*100,0))</f>
        <v>0</v>
      </c>
      <c r="M698" s="380">
        <f ca="1">IF($A698="S",VTOTALBM,IF($A698=0,0,ROUND(SomaAgrupBM,15-13*ORÇAMENTO!$AF$11)))</f>
        <v>0</v>
      </c>
      <c r="N698" s="381">
        <f t="shared" ca="1" si="56"/>
        <v>0</v>
      </c>
      <c r="O698" s="127">
        <f ca="1">IF($A698="S",VTOTALBM,IF($A698=0,0,ROUND(SomaAgrupBM,15-13*ORÇAMENTO!$AF$11)))</f>
        <v>0</v>
      </c>
      <c r="Q698" s="382"/>
      <c r="R698" s="383"/>
      <c r="T698" s="119" t="str">
        <f t="shared" ca="1" si="57"/>
        <v/>
      </c>
      <c r="U698" s="172" t="str">
        <f t="shared" ca="1" si="58"/>
        <v/>
      </c>
      <c r="V698" s="173" t="str">
        <f ca="1">IF(AND($W698&gt;0,RegimeExecucao="Unitário"),$F698,"")</f>
        <v/>
      </c>
      <c r="W698" s="547">
        <f ca="1">IF($Y698&gt;0,CHOOSE(MATCH(RegimeExecucao,{"Unitário","Global"},0),IF($A698="S",$Y698/$X698,""),($Y698/$X698)*100),0)</f>
        <v>0</v>
      </c>
      <c r="X698" s="384" t="str">
        <f ca="1">IF($Y698&gt;0,CHOOSE(MATCH(RegimeExecucao,{"Unitário","Global"},0),IF($A698="S",ROUND($H698,ORÇAMENTO!$AF$10),""),ROUND($I698,ORÇAMENTO!$AF$11)),"")</f>
        <v/>
      </c>
      <c r="Y698" s="384">
        <f t="shared" ca="1" si="59"/>
        <v>0</v>
      </c>
      <c r="Z698" s="572"/>
      <c r="AB698" s="382"/>
      <c r="AC698" s="516"/>
      <c r="AD698" s="516"/>
      <c r="AE698" s="516"/>
      <c r="AF698" s="516"/>
      <c r="AG698" s="516"/>
      <c r="AH698" s="516"/>
      <c r="AI698" s="516"/>
      <c r="AJ698" s="516"/>
      <c r="AK698" s="516"/>
      <c r="AL698" s="516"/>
      <c r="AM698" s="383"/>
      <c r="AO698">
        <f ca="1">IF($A698="S",IF(BM!$I698=0,0,CHOOSE(MATCH(RegimeExecucao,{"Global","Unitário"},0),ROUND(ROUND(BM.MEDAcumulado,15-13*BM!$A$9)/100*BM!$I698,15-13*ORÇAMENTO!$AF$11),ROUND(ROUND(BM.MEDAcumulado,15-13*BM!$A$9)*ROUND(BM!$H698,15-13*ORÇAMENTO!$AF$10),15-13*ORÇAMENTO!$AF$11))),IF($A698=0,0,ROUND(SomaAgrupBM,15-13*ORÇAMENTO!$AF$11)))</f>
        <v>0</v>
      </c>
    </row>
    <row r="699" spans="1:41" ht="25.5" x14ac:dyDescent="0.2">
      <c r="A699" t="str">
        <f ca="1">ORÇAMENTO!C699</f>
        <v>S</v>
      </c>
      <c r="B699">
        <f ca="1">ORÇAMENTO!D699</f>
        <v>0</v>
      </c>
      <c r="C699" s="116" t="str">
        <f t="shared" ca="1" si="54"/>
        <v/>
      </c>
      <c r="D699" s="119" t="str">
        <f ca="1">ORÇAMENTO!O699</f>
        <v>-</v>
      </c>
      <c r="E699" s="172" t="str">
        <f t="shared" ca="1" si="53"/>
        <v>(abra o arquivo 'Referência 06-2024.xlsm)</v>
      </c>
      <c r="F699" s="173" t="str">
        <f ca="1">IF(RegimeExecucao="Global","",ORÇAMENTO.Unidade)</f>
        <v/>
      </c>
      <c r="G699" s="124" t="str">
        <f ca="1">IF(RegimeExecucao="Global","",ORÇAMENTO!T699)</f>
        <v/>
      </c>
      <c r="H699" s="124" t="str">
        <f ca="1">IF(RegimeExecucao="Global","",ORÇAMENTO!W699)</f>
        <v/>
      </c>
      <c r="I699" s="127">
        <f ca="1">ORÇAMENTO!X699</f>
        <v>0</v>
      </c>
      <c r="J699" s="378">
        <f ca="1">IF($A699="S",IF(CAIXA.Modo,BM.AFAnterior,BM.MEDAnterior),IF(AND(RegimeExecucao="Global",$I699&gt;0,COUNTIF($AB$13:$AM$13,BM.medicao-1)&gt;0),M699/$I699*100,0))</f>
        <v>0</v>
      </c>
      <c r="K699" s="124">
        <f t="shared" ca="1" si="55"/>
        <v>0</v>
      </c>
      <c r="L699" s="379">
        <f ca="1">IF($A699="S",IF(CAIXA.Modo,BM.AFAcumulado,BM.MEDAcumulado),IF(AND(RegimeExecucao="Global",$I699&gt;0,COUNTIF($AB$13:$AM$13,BM.medicao)&gt;0),O699/$I699*100,0))</f>
        <v>0</v>
      </c>
      <c r="M699" s="380">
        <f ca="1">IF($A699="S",VTOTALBM,IF($A699=0,0,ROUND(SomaAgrupBM,15-13*ORÇAMENTO!$AF$11)))</f>
        <v>0</v>
      </c>
      <c r="N699" s="381">
        <f t="shared" ca="1" si="56"/>
        <v>0</v>
      </c>
      <c r="O699" s="127">
        <f ca="1">IF($A699="S",VTOTALBM,IF($A699=0,0,ROUND(SomaAgrupBM,15-13*ORÇAMENTO!$AF$11)))</f>
        <v>0</v>
      </c>
      <c r="Q699" s="382"/>
      <c r="R699" s="383"/>
      <c r="T699" s="119" t="str">
        <f t="shared" ca="1" si="57"/>
        <v/>
      </c>
      <c r="U699" s="172" t="str">
        <f t="shared" ca="1" si="58"/>
        <v/>
      </c>
      <c r="V699" s="173" t="str">
        <f ca="1">IF(AND($W699&gt;0,RegimeExecucao="Unitário"),$F699,"")</f>
        <v/>
      </c>
      <c r="W699" s="547">
        <f ca="1">IF($Y699&gt;0,CHOOSE(MATCH(RegimeExecucao,{"Unitário","Global"},0),IF($A699="S",$Y699/$X699,""),($Y699/$X699)*100),0)</f>
        <v>0</v>
      </c>
      <c r="X699" s="384" t="str">
        <f ca="1">IF($Y699&gt;0,CHOOSE(MATCH(RegimeExecucao,{"Unitário","Global"},0),IF($A699="S",ROUND($H699,ORÇAMENTO!$AF$10),""),ROUND($I699,ORÇAMENTO!$AF$11)),"")</f>
        <v/>
      </c>
      <c r="Y699" s="384">
        <f t="shared" ca="1" si="59"/>
        <v>0</v>
      </c>
      <c r="Z699" s="572"/>
      <c r="AB699" s="382"/>
      <c r="AC699" s="516"/>
      <c r="AD699" s="516"/>
      <c r="AE699" s="516"/>
      <c r="AF699" s="516"/>
      <c r="AG699" s="516"/>
      <c r="AH699" s="516"/>
      <c r="AI699" s="516"/>
      <c r="AJ699" s="516"/>
      <c r="AK699" s="516"/>
      <c r="AL699" s="516"/>
      <c r="AM699" s="383"/>
      <c r="AO699">
        <f ca="1">IF($A699="S",IF(BM!$I699=0,0,CHOOSE(MATCH(RegimeExecucao,{"Global","Unitário"},0),ROUND(ROUND(BM.MEDAcumulado,15-13*BM!$A$9)/100*BM!$I699,15-13*ORÇAMENTO!$AF$11),ROUND(ROUND(BM.MEDAcumulado,15-13*BM!$A$9)*ROUND(BM!$H699,15-13*ORÇAMENTO!$AF$10),15-13*ORÇAMENTO!$AF$11))),IF($A699=0,0,ROUND(SomaAgrupBM,15-13*ORÇAMENTO!$AF$11)))</f>
        <v>0</v>
      </c>
    </row>
    <row r="700" spans="1:41" ht="38.25" x14ac:dyDescent="0.2">
      <c r="A700" t="str">
        <f ca="1">ORÇAMENTO!C700</f>
        <v>S</v>
      </c>
      <c r="B700">
        <f ca="1">ORÇAMENTO!D700</f>
        <v>0</v>
      </c>
      <c r="C700" s="116" t="str">
        <f t="shared" ca="1" si="54"/>
        <v/>
      </c>
      <c r="D700" s="119" t="str">
        <f ca="1">ORÇAMENTO!O700</f>
        <v>-</v>
      </c>
      <c r="E700" s="172" t="str">
        <f t="shared" ca="1" si="53"/>
        <v>(abra o arquivo 'Referência 06-2024.xlsm)</v>
      </c>
      <c r="F700" s="173" t="str">
        <f ca="1">IF(RegimeExecucao="Global","",ORÇAMENTO.Unidade)</f>
        <v/>
      </c>
      <c r="G700" s="124" t="str">
        <f ca="1">IF(RegimeExecucao="Global","",ORÇAMENTO!T700)</f>
        <v/>
      </c>
      <c r="H700" s="124" t="str">
        <f ca="1">IF(RegimeExecucao="Global","",ORÇAMENTO!W700)</f>
        <v/>
      </c>
      <c r="I700" s="127">
        <f ca="1">ORÇAMENTO!X700</f>
        <v>0</v>
      </c>
      <c r="J700" s="378">
        <f ca="1">IF($A700="S",IF(CAIXA.Modo,BM.AFAnterior,BM.MEDAnterior),IF(AND(RegimeExecucao="Global",$I700&gt;0,COUNTIF($AB$13:$AM$13,BM.medicao-1)&gt;0),M700/$I700*100,0))</f>
        <v>0</v>
      </c>
      <c r="K700" s="124">
        <f t="shared" ca="1" si="55"/>
        <v>0</v>
      </c>
      <c r="L700" s="379">
        <f ca="1">IF($A700="S",IF(CAIXA.Modo,BM.AFAcumulado,BM.MEDAcumulado),IF(AND(RegimeExecucao="Global",$I700&gt;0,COUNTIF($AB$13:$AM$13,BM.medicao)&gt;0),O700/$I700*100,0))</f>
        <v>0</v>
      </c>
      <c r="M700" s="380">
        <f ca="1">IF($A700="S",VTOTALBM,IF($A700=0,0,ROUND(SomaAgrupBM,15-13*ORÇAMENTO!$AF$11)))</f>
        <v>0</v>
      </c>
      <c r="N700" s="381">
        <f t="shared" ca="1" si="56"/>
        <v>0</v>
      </c>
      <c r="O700" s="127">
        <f ca="1">IF($A700="S",VTOTALBM,IF($A700=0,0,ROUND(SomaAgrupBM,15-13*ORÇAMENTO!$AF$11)))</f>
        <v>0</v>
      </c>
      <c r="Q700" s="382"/>
      <c r="R700" s="383"/>
      <c r="T700" s="119" t="str">
        <f t="shared" ca="1" si="57"/>
        <v/>
      </c>
      <c r="U700" s="172" t="str">
        <f t="shared" ca="1" si="58"/>
        <v/>
      </c>
      <c r="V700" s="173" t="str">
        <f ca="1">IF(AND($W700&gt;0,RegimeExecucao="Unitário"),$F700,"")</f>
        <v/>
      </c>
      <c r="W700" s="547">
        <f ca="1">IF($Y700&gt;0,CHOOSE(MATCH(RegimeExecucao,{"Unitário","Global"},0),IF($A700="S",$Y700/$X700,""),($Y700/$X700)*100),0)</f>
        <v>0</v>
      </c>
      <c r="X700" s="384" t="str">
        <f ca="1">IF($Y700&gt;0,CHOOSE(MATCH(RegimeExecucao,{"Unitário","Global"},0),IF($A700="S",ROUND($H700,ORÇAMENTO!$AF$10),""),ROUND($I700,ORÇAMENTO!$AF$11)),"")</f>
        <v/>
      </c>
      <c r="Y700" s="384">
        <f t="shared" ca="1" si="59"/>
        <v>0</v>
      </c>
      <c r="Z700" s="572"/>
      <c r="AB700" s="382"/>
      <c r="AC700" s="516"/>
      <c r="AD700" s="516"/>
      <c r="AE700" s="516"/>
      <c r="AF700" s="516"/>
      <c r="AG700" s="516"/>
      <c r="AH700" s="516"/>
      <c r="AI700" s="516"/>
      <c r="AJ700" s="516"/>
      <c r="AK700" s="516"/>
      <c r="AL700" s="516"/>
      <c r="AM700" s="383"/>
      <c r="AO700">
        <f ca="1">IF($A700="S",IF(BM!$I700=0,0,CHOOSE(MATCH(RegimeExecucao,{"Global","Unitário"},0),ROUND(ROUND(BM.MEDAcumulado,15-13*BM!$A$9)/100*BM!$I700,15-13*ORÇAMENTO!$AF$11),ROUND(ROUND(BM.MEDAcumulado,15-13*BM!$A$9)*ROUND(BM!$H700,15-13*ORÇAMENTO!$AF$10),15-13*ORÇAMENTO!$AF$11))),IF($A700=0,0,ROUND(SomaAgrupBM,15-13*ORÇAMENTO!$AF$11)))</f>
        <v>0</v>
      </c>
    </row>
    <row r="701" spans="1:41" ht="25.5" x14ac:dyDescent="0.2">
      <c r="A701">
        <f ca="1">ORÇAMENTO!C701</f>
        <v>2</v>
      </c>
      <c r="B701">
        <f ca="1">ORÇAMENTO!D701</f>
        <v>9</v>
      </c>
      <c r="C701" s="116" t="str">
        <f t="shared" ca="1" si="54"/>
        <v>F</v>
      </c>
      <c r="D701" s="119" t="str">
        <f ca="1">ORÇAMENTO!O701</f>
        <v>1.76.</v>
      </c>
      <c r="E701" s="172" t="str">
        <f t="shared" ref="E701:E726" si="60">ORÇAMENTO.Descricao</f>
        <v>MURO DE FECHAMENTO - CONCRETO ARMADO PARA VIGAS INCLUINDO BALDRAME</v>
      </c>
      <c r="F701" s="173" t="str">
        <f ca="1">IF(RegimeExecucao="Global","",ORÇAMENTO.Unidade)</f>
        <v/>
      </c>
      <c r="G701" s="124" t="str">
        <f ca="1">IF(RegimeExecucao="Global","",ORÇAMENTO!T701)</f>
        <v/>
      </c>
      <c r="H701" s="124" t="str">
        <f ca="1">IF(RegimeExecucao="Global","",ORÇAMENTO!W701)</f>
        <v/>
      </c>
      <c r="I701" s="127">
        <f ca="1">ORÇAMENTO!X701</f>
        <v>0</v>
      </c>
      <c r="J701" s="378">
        <f ca="1">IF($A701="S",IF(CAIXA.Modo,BM.AFAnterior,BM.MEDAnterior),IF(AND(RegimeExecucao="Global",$I701&gt;0,COUNTIF($AB$13:$AM$13,BM.medicao-1)&gt;0),M701/$I701*100,0))</f>
        <v>0</v>
      </c>
      <c r="K701" s="124">
        <f t="shared" ca="1" si="55"/>
        <v>0</v>
      </c>
      <c r="L701" s="379">
        <f ca="1">IF($A701="S",IF(CAIXA.Modo,BM.AFAcumulado,BM.MEDAcumulado),IF(AND(RegimeExecucao="Global",$I701&gt;0,COUNTIF($AB$13:$AM$13,BM.medicao)&gt;0),O701/$I701*100,0))</f>
        <v>0</v>
      </c>
      <c r="M701" s="380">
        <f ca="1">IF($A701="S",VTOTALBM,IF($A701=0,0,ROUND(SomaAgrupBM,15-13*ORÇAMENTO!$AF$11)))</f>
        <v>0</v>
      </c>
      <c r="N701" s="381">
        <f t="shared" ca="1" si="56"/>
        <v>0</v>
      </c>
      <c r="O701" s="127">
        <f ca="1">IF($A701="S",VTOTALBM,IF($A701=0,0,ROUND(SomaAgrupBM,15-13*ORÇAMENTO!$AF$11)))</f>
        <v>0</v>
      </c>
      <c r="Q701" s="382"/>
      <c r="R701" s="383"/>
      <c r="T701" s="119" t="str">
        <f t="shared" ca="1" si="57"/>
        <v/>
      </c>
      <c r="U701" s="172" t="str">
        <f t="shared" ca="1" si="58"/>
        <v/>
      </c>
      <c r="V701" s="173" t="str">
        <f ca="1">IF(AND($W701&gt;0,RegimeExecucao="Unitário"),$F701,"")</f>
        <v/>
      </c>
      <c r="W701" s="547">
        <f ca="1">IF($Y701&gt;0,CHOOSE(MATCH(RegimeExecucao,{"Unitário","Global"},0),IF($A701="S",$Y701/$X701,""),($Y701/$X701)*100),0)</f>
        <v>0</v>
      </c>
      <c r="X701" s="384" t="str">
        <f ca="1">IF($Y701&gt;0,CHOOSE(MATCH(RegimeExecucao,{"Unitário","Global"},0),IF($A701="S",ROUND($H701,ORÇAMENTO!$AF$10),""),ROUND($I701,ORÇAMENTO!$AF$11)),"")</f>
        <v/>
      </c>
      <c r="Y701" s="384">
        <f t="shared" ca="1" si="59"/>
        <v>0</v>
      </c>
      <c r="Z701" s="572"/>
      <c r="AB701" s="382"/>
      <c r="AC701" s="516"/>
      <c r="AD701" s="516"/>
      <c r="AE701" s="516"/>
      <c r="AF701" s="516"/>
      <c r="AG701" s="516"/>
      <c r="AH701" s="516"/>
      <c r="AI701" s="516"/>
      <c r="AJ701" s="516"/>
      <c r="AK701" s="516"/>
      <c r="AL701" s="516"/>
      <c r="AM701" s="383"/>
      <c r="AO701">
        <f ca="1">IF($A701="S",IF(BM!$I701=0,0,CHOOSE(MATCH(RegimeExecucao,{"Global","Unitário"},0),ROUND(ROUND(BM.MEDAcumulado,15-13*BM!$A$9)/100*BM!$I701,15-13*ORÇAMENTO!$AF$11),ROUND(ROUND(BM.MEDAcumulado,15-13*BM!$A$9)*ROUND(BM!$H701,15-13*ORÇAMENTO!$AF$10),15-13*ORÇAMENTO!$AF$11))),IF($A701=0,0,ROUND(SomaAgrupBM,15-13*ORÇAMENTO!$AF$11)))</f>
        <v>0</v>
      </c>
    </row>
    <row r="702" spans="1:41" ht="25.5" x14ac:dyDescent="0.2">
      <c r="A702" t="str">
        <f ca="1">ORÇAMENTO!C702</f>
        <v>S</v>
      </c>
      <c r="B702">
        <f ca="1">ORÇAMENTO!D702</f>
        <v>0</v>
      </c>
      <c r="C702" s="116" t="str">
        <f t="shared" ca="1" si="54"/>
        <v/>
      </c>
      <c r="D702" s="119" t="str">
        <f ca="1">ORÇAMENTO!O702</f>
        <v>-</v>
      </c>
      <c r="E702" s="172" t="str">
        <f t="shared" ca="1" si="60"/>
        <v>(abra o arquivo 'Referência 06-2024.xlsm)</v>
      </c>
      <c r="F702" s="173" t="str">
        <f ca="1">IF(RegimeExecucao="Global","",ORÇAMENTO.Unidade)</f>
        <v/>
      </c>
      <c r="G702" s="124" t="str">
        <f ca="1">IF(RegimeExecucao="Global","",ORÇAMENTO!T702)</f>
        <v/>
      </c>
      <c r="H702" s="124" t="str">
        <f ca="1">IF(RegimeExecucao="Global","",ORÇAMENTO!W702)</f>
        <v/>
      </c>
      <c r="I702" s="127">
        <f ca="1">ORÇAMENTO!X702</f>
        <v>0</v>
      </c>
      <c r="J702" s="378">
        <f ca="1">IF($A702="S",IF(CAIXA.Modo,BM.AFAnterior,BM.MEDAnterior),IF(AND(RegimeExecucao="Global",$I702&gt;0,COUNTIF($AB$13:$AM$13,BM.medicao-1)&gt;0),M702/$I702*100,0))</f>
        <v>0</v>
      </c>
      <c r="K702" s="124">
        <f t="shared" ca="1" si="55"/>
        <v>0</v>
      </c>
      <c r="L702" s="379">
        <f ca="1">IF($A702="S",IF(CAIXA.Modo,BM.AFAcumulado,BM.MEDAcumulado),IF(AND(RegimeExecucao="Global",$I702&gt;0,COUNTIF($AB$13:$AM$13,BM.medicao)&gt;0),O702/$I702*100,0))</f>
        <v>0</v>
      </c>
      <c r="M702" s="380">
        <f ca="1">IF($A702="S",VTOTALBM,IF($A702=0,0,ROUND(SomaAgrupBM,15-13*ORÇAMENTO!$AF$11)))</f>
        <v>0</v>
      </c>
      <c r="N702" s="381">
        <f t="shared" ca="1" si="56"/>
        <v>0</v>
      </c>
      <c r="O702" s="127">
        <f ca="1">IF($A702="S",VTOTALBM,IF($A702=0,0,ROUND(SomaAgrupBM,15-13*ORÇAMENTO!$AF$11)))</f>
        <v>0</v>
      </c>
      <c r="Q702" s="382"/>
      <c r="R702" s="383"/>
      <c r="T702" s="119" t="str">
        <f t="shared" ca="1" si="57"/>
        <v/>
      </c>
      <c r="U702" s="172" t="str">
        <f t="shared" ca="1" si="58"/>
        <v/>
      </c>
      <c r="V702" s="173" t="str">
        <f ca="1">IF(AND($W702&gt;0,RegimeExecucao="Unitário"),$F702,"")</f>
        <v/>
      </c>
      <c r="W702" s="547">
        <f ca="1">IF($Y702&gt;0,CHOOSE(MATCH(RegimeExecucao,{"Unitário","Global"},0),IF($A702="S",$Y702/$X702,""),($Y702/$X702)*100),0)</f>
        <v>0</v>
      </c>
      <c r="X702" s="384" t="str">
        <f ca="1">IF($Y702&gt;0,CHOOSE(MATCH(RegimeExecucao,{"Unitário","Global"},0),IF($A702="S",ROUND($H702,ORÇAMENTO!$AF$10),""),ROUND($I702,ORÇAMENTO!$AF$11)),"")</f>
        <v/>
      </c>
      <c r="Y702" s="384">
        <f t="shared" ca="1" si="59"/>
        <v>0</v>
      </c>
      <c r="Z702" s="572"/>
      <c r="AB702" s="382"/>
      <c r="AC702" s="516"/>
      <c r="AD702" s="516"/>
      <c r="AE702" s="516"/>
      <c r="AF702" s="516"/>
      <c r="AG702" s="516"/>
      <c r="AH702" s="516"/>
      <c r="AI702" s="516"/>
      <c r="AJ702" s="516"/>
      <c r="AK702" s="516"/>
      <c r="AL702" s="516"/>
      <c r="AM702" s="383"/>
      <c r="AO702">
        <f ca="1">IF($A702="S",IF(BM!$I702=0,0,CHOOSE(MATCH(RegimeExecucao,{"Global","Unitário"},0),ROUND(ROUND(BM.MEDAcumulado,15-13*BM!$A$9)/100*BM!$I702,15-13*ORÇAMENTO!$AF$11),ROUND(ROUND(BM.MEDAcumulado,15-13*BM!$A$9)*ROUND(BM!$H702,15-13*ORÇAMENTO!$AF$10),15-13*ORÇAMENTO!$AF$11))),IF($A702=0,0,ROUND(SomaAgrupBM,15-13*ORÇAMENTO!$AF$11)))</f>
        <v>0</v>
      </c>
    </row>
    <row r="703" spans="1:41" ht="51" x14ac:dyDescent="0.2">
      <c r="A703" t="str">
        <f ca="1">ORÇAMENTO!C703</f>
        <v>S</v>
      </c>
      <c r="B703">
        <f ca="1">ORÇAMENTO!D703</f>
        <v>0</v>
      </c>
      <c r="C703" s="116" t="str">
        <f t="shared" ca="1" si="54"/>
        <v/>
      </c>
      <c r="D703" s="119" t="str">
        <f ca="1">ORÇAMENTO!O703</f>
        <v>-</v>
      </c>
      <c r="E703" s="172" t="str">
        <f t="shared" ca="1" si="60"/>
        <v>(abra o arquivo 'Referência 06-2024.xlsm)</v>
      </c>
      <c r="F703" s="173" t="str">
        <f ca="1">IF(RegimeExecucao="Global","",ORÇAMENTO.Unidade)</f>
        <v/>
      </c>
      <c r="G703" s="124" t="str">
        <f ca="1">IF(RegimeExecucao="Global","",ORÇAMENTO!T703)</f>
        <v/>
      </c>
      <c r="H703" s="124" t="str">
        <f ca="1">IF(RegimeExecucao="Global","",ORÇAMENTO!W703)</f>
        <v/>
      </c>
      <c r="I703" s="127">
        <f ca="1">ORÇAMENTO!X703</f>
        <v>0</v>
      </c>
      <c r="J703" s="378">
        <f ca="1">IF($A703="S",IF(CAIXA.Modo,BM.AFAnterior,BM.MEDAnterior),IF(AND(RegimeExecucao="Global",$I703&gt;0,COUNTIF($AB$13:$AM$13,BM.medicao-1)&gt;0),M703/$I703*100,0))</f>
        <v>0</v>
      </c>
      <c r="K703" s="124">
        <f t="shared" ca="1" si="55"/>
        <v>0</v>
      </c>
      <c r="L703" s="379">
        <f ca="1">IF($A703="S",IF(CAIXA.Modo,BM.AFAcumulado,BM.MEDAcumulado),IF(AND(RegimeExecucao="Global",$I703&gt;0,COUNTIF($AB$13:$AM$13,BM.medicao)&gt;0),O703/$I703*100,0))</f>
        <v>0</v>
      </c>
      <c r="M703" s="380">
        <f ca="1">IF($A703="S",VTOTALBM,IF($A703=0,0,ROUND(SomaAgrupBM,15-13*ORÇAMENTO!$AF$11)))</f>
        <v>0</v>
      </c>
      <c r="N703" s="381">
        <f t="shared" ca="1" si="56"/>
        <v>0</v>
      </c>
      <c r="O703" s="127">
        <f ca="1">IF($A703="S",VTOTALBM,IF($A703=0,0,ROUND(SomaAgrupBM,15-13*ORÇAMENTO!$AF$11)))</f>
        <v>0</v>
      </c>
      <c r="Q703" s="382"/>
      <c r="R703" s="383"/>
      <c r="T703" s="119" t="str">
        <f t="shared" ca="1" si="57"/>
        <v/>
      </c>
      <c r="U703" s="172" t="str">
        <f t="shared" ca="1" si="58"/>
        <v/>
      </c>
      <c r="V703" s="173" t="str">
        <f ca="1">IF(AND($W703&gt;0,RegimeExecucao="Unitário"),$F703,"")</f>
        <v/>
      </c>
      <c r="W703" s="547">
        <f ca="1">IF($Y703&gt;0,CHOOSE(MATCH(RegimeExecucao,{"Unitário","Global"},0),IF($A703="S",$Y703/$X703,""),($Y703/$X703)*100),0)</f>
        <v>0</v>
      </c>
      <c r="X703" s="384" t="str">
        <f ca="1">IF($Y703&gt;0,CHOOSE(MATCH(RegimeExecucao,{"Unitário","Global"},0),IF($A703="S",ROUND($H703,ORÇAMENTO!$AF$10),""),ROUND($I703,ORÇAMENTO!$AF$11)),"")</f>
        <v/>
      </c>
      <c r="Y703" s="384">
        <f t="shared" ca="1" si="59"/>
        <v>0</v>
      </c>
      <c r="Z703" s="572"/>
      <c r="AB703" s="382"/>
      <c r="AC703" s="516"/>
      <c r="AD703" s="516"/>
      <c r="AE703" s="516"/>
      <c r="AF703" s="516"/>
      <c r="AG703" s="516"/>
      <c r="AH703" s="516"/>
      <c r="AI703" s="516"/>
      <c r="AJ703" s="516"/>
      <c r="AK703" s="516"/>
      <c r="AL703" s="516"/>
      <c r="AM703" s="383"/>
      <c r="AO703">
        <f ca="1">IF($A703="S",IF(BM!$I703=0,0,CHOOSE(MATCH(RegimeExecucao,{"Global","Unitário"},0),ROUND(ROUND(BM.MEDAcumulado,15-13*BM!$A$9)/100*BM!$I703,15-13*ORÇAMENTO!$AF$11),ROUND(ROUND(BM.MEDAcumulado,15-13*BM!$A$9)*ROUND(BM!$H703,15-13*ORÇAMENTO!$AF$10),15-13*ORÇAMENTO!$AF$11))),IF($A703=0,0,ROUND(SomaAgrupBM,15-13*ORÇAMENTO!$AF$11)))</f>
        <v>0</v>
      </c>
    </row>
    <row r="704" spans="1:41" ht="38.25" x14ac:dyDescent="0.2">
      <c r="A704" t="str">
        <f ca="1">ORÇAMENTO!C704</f>
        <v>S</v>
      </c>
      <c r="B704">
        <f ca="1">ORÇAMENTO!D704</f>
        <v>0</v>
      </c>
      <c r="C704" s="116" t="str">
        <f t="shared" ca="1" si="54"/>
        <v/>
      </c>
      <c r="D704" s="119" t="str">
        <f ca="1">ORÇAMENTO!O704</f>
        <v>-</v>
      </c>
      <c r="E704" s="172" t="str">
        <f t="shared" ca="1" si="60"/>
        <v>(abra o arquivo 'Referência 06-2024.xlsm)</v>
      </c>
      <c r="F704" s="173" t="str">
        <f ca="1">IF(RegimeExecucao="Global","",ORÇAMENTO.Unidade)</f>
        <v/>
      </c>
      <c r="G704" s="124" t="str">
        <f ca="1">IF(RegimeExecucao="Global","",ORÇAMENTO!T704)</f>
        <v/>
      </c>
      <c r="H704" s="124" t="str">
        <f ca="1">IF(RegimeExecucao="Global","",ORÇAMENTO!W704)</f>
        <v/>
      </c>
      <c r="I704" s="127">
        <f ca="1">ORÇAMENTO!X704</f>
        <v>0</v>
      </c>
      <c r="J704" s="378">
        <f ca="1">IF($A704="S",IF(CAIXA.Modo,BM.AFAnterior,BM.MEDAnterior),IF(AND(RegimeExecucao="Global",$I704&gt;0,COUNTIF($AB$13:$AM$13,BM.medicao-1)&gt;0),M704/$I704*100,0))</f>
        <v>0</v>
      </c>
      <c r="K704" s="124">
        <f t="shared" ca="1" si="55"/>
        <v>0</v>
      </c>
      <c r="L704" s="379">
        <f ca="1">IF($A704="S",IF(CAIXA.Modo,BM.AFAcumulado,BM.MEDAcumulado),IF(AND(RegimeExecucao="Global",$I704&gt;0,COUNTIF($AB$13:$AM$13,BM.medicao)&gt;0),O704/$I704*100,0))</f>
        <v>0</v>
      </c>
      <c r="M704" s="380">
        <f ca="1">IF($A704="S",VTOTALBM,IF($A704=0,0,ROUND(SomaAgrupBM,15-13*ORÇAMENTO!$AF$11)))</f>
        <v>0</v>
      </c>
      <c r="N704" s="381">
        <f t="shared" ca="1" si="56"/>
        <v>0</v>
      </c>
      <c r="O704" s="127">
        <f ca="1">IF($A704="S",VTOTALBM,IF($A704=0,0,ROUND(SomaAgrupBM,15-13*ORÇAMENTO!$AF$11)))</f>
        <v>0</v>
      </c>
      <c r="Q704" s="382"/>
      <c r="R704" s="383"/>
      <c r="T704" s="119" t="str">
        <f t="shared" ca="1" si="57"/>
        <v/>
      </c>
      <c r="U704" s="172" t="str">
        <f t="shared" ca="1" si="58"/>
        <v/>
      </c>
      <c r="V704" s="173" t="str">
        <f ca="1">IF(AND($W704&gt;0,RegimeExecucao="Unitário"),$F704,"")</f>
        <v/>
      </c>
      <c r="W704" s="547">
        <f ca="1">IF($Y704&gt;0,CHOOSE(MATCH(RegimeExecucao,{"Unitário","Global"},0),IF($A704="S",$Y704/$X704,""),($Y704/$X704)*100),0)</f>
        <v>0</v>
      </c>
      <c r="X704" s="384" t="str">
        <f ca="1">IF($Y704&gt;0,CHOOSE(MATCH(RegimeExecucao,{"Unitário","Global"},0),IF($A704="S",ROUND($H704,ORÇAMENTO!$AF$10),""),ROUND($I704,ORÇAMENTO!$AF$11)),"")</f>
        <v/>
      </c>
      <c r="Y704" s="384">
        <f t="shared" ca="1" si="59"/>
        <v>0</v>
      </c>
      <c r="Z704" s="572"/>
      <c r="AB704" s="382"/>
      <c r="AC704" s="516"/>
      <c r="AD704" s="516"/>
      <c r="AE704" s="516"/>
      <c r="AF704" s="516"/>
      <c r="AG704" s="516"/>
      <c r="AH704" s="516"/>
      <c r="AI704" s="516"/>
      <c r="AJ704" s="516"/>
      <c r="AK704" s="516"/>
      <c r="AL704" s="516"/>
      <c r="AM704" s="383"/>
      <c r="AO704">
        <f ca="1">IF($A704="S",IF(BM!$I704=0,0,CHOOSE(MATCH(RegimeExecucao,{"Global","Unitário"},0),ROUND(ROUND(BM.MEDAcumulado,15-13*BM!$A$9)/100*BM!$I704,15-13*ORÇAMENTO!$AF$11),ROUND(ROUND(BM.MEDAcumulado,15-13*BM!$A$9)*ROUND(BM!$H704,15-13*ORÇAMENTO!$AF$10),15-13*ORÇAMENTO!$AF$11))),IF($A704=0,0,ROUND(SomaAgrupBM,15-13*ORÇAMENTO!$AF$11)))</f>
        <v>0</v>
      </c>
    </row>
    <row r="705" spans="1:41" ht="38.25" x14ac:dyDescent="0.2">
      <c r="A705" t="str">
        <f ca="1">ORÇAMENTO!C705</f>
        <v>S</v>
      </c>
      <c r="B705">
        <f ca="1">ORÇAMENTO!D705</f>
        <v>0</v>
      </c>
      <c r="C705" s="116" t="str">
        <f t="shared" ca="1" si="54"/>
        <v/>
      </c>
      <c r="D705" s="119" t="str">
        <f ca="1">ORÇAMENTO!O705</f>
        <v>-</v>
      </c>
      <c r="E705" s="172" t="str">
        <f t="shared" ca="1" si="60"/>
        <v>(abra o arquivo 'Referência 06-2024.xlsm)</v>
      </c>
      <c r="F705" s="173" t="str">
        <f ca="1">IF(RegimeExecucao="Global","",ORÇAMENTO.Unidade)</f>
        <v/>
      </c>
      <c r="G705" s="124" t="str">
        <f ca="1">IF(RegimeExecucao="Global","",ORÇAMENTO!T705)</f>
        <v/>
      </c>
      <c r="H705" s="124" t="str">
        <f ca="1">IF(RegimeExecucao="Global","",ORÇAMENTO!W705)</f>
        <v/>
      </c>
      <c r="I705" s="127">
        <f ca="1">ORÇAMENTO!X705</f>
        <v>0</v>
      </c>
      <c r="J705" s="378">
        <f ca="1">IF($A705="S",IF(CAIXA.Modo,BM.AFAnterior,BM.MEDAnterior),IF(AND(RegimeExecucao="Global",$I705&gt;0,COUNTIF($AB$13:$AM$13,BM.medicao-1)&gt;0),M705/$I705*100,0))</f>
        <v>0</v>
      </c>
      <c r="K705" s="124">
        <f t="shared" ca="1" si="55"/>
        <v>0</v>
      </c>
      <c r="L705" s="379">
        <f ca="1">IF($A705="S",IF(CAIXA.Modo,BM.AFAcumulado,BM.MEDAcumulado),IF(AND(RegimeExecucao="Global",$I705&gt;0,COUNTIF($AB$13:$AM$13,BM.medicao)&gt;0),O705/$I705*100,0))</f>
        <v>0</v>
      </c>
      <c r="M705" s="380">
        <f ca="1">IF($A705="S",VTOTALBM,IF($A705=0,0,ROUND(SomaAgrupBM,15-13*ORÇAMENTO!$AF$11)))</f>
        <v>0</v>
      </c>
      <c r="N705" s="381">
        <f t="shared" ca="1" si="56"/>
        <v>0</v>
      </c>
      <c r="O705" s="127">
        <f ca="1">IF($A705="S",VTOTALBM,IF($A705=0,0,ROUND(SomaAgrupBM,15-13*ORÇAMENTO!$AF$11)))</f>
        <v>0</v>
      </c>
      <c r="Q705" s="382"/>
      <c r="R705" s="383"/>
      <c r="T705" s="119" t="str">
        <f t="shared" ca="1" si="57"/>
        <v/>
      </c>
      <c r="U705" s="172" t="str">
        <f t="shared" ca="1" si="58"/>
        <v/>
      </c>
      <c r="V705" s="173" t="str">
        <f ca="1">IF(AND($W705&gt;0,RegimeExecucao="Unitário"),$F705,"")</f>
        <v/>
      </c>
      <c r="W705" s="547">
        <f ca="1">IF($Y705&gt;0,CHOOSE(MATCH(RegimeExecucao,{"Unitário","Global"},0),IF($A705="S",$Y705/$X705,""),($Y705/$X705)*100),0)</f>
        <v>0</v>
      </c>
      <c r="X705" s="384" t="str">
        <f ca="1">IF($Y705&gt;0,CHOOSE(MATCH(RegimeExecucao,{"Unitário","Global"},0),IF($A705="S",ROUND($H705,ORÇAMENTO!$AF$10),""),ROUND($I705,ORÇAMENTO!$AF$11)),"")</f>
        <v/>
      </c>
      <c r="Y705" s="384">
        <f t="shared" ca="1" si="59"/>
        <v>0</v>
      </c>
      <c r="Z705" s="572"/>
      <c r="AB705" s="382"/>
      <c r="AC705" s="516"/>
      <c r="AD705" s="516"/>
      <c r="AE705" s="516"/>
      <c r="AF705" s="516"/>
      <c r="AG705" s="516"/>
      <c r="AH705" s="516"/>
      <c r="AI705" s="516"/>
      <c r="AJ705" s="516"/>
      <c r="AK705" s="516"/>
      <c r="AL705" s="516"/>
      <c r="AM705" s="383"/>
      <c r="AO705">
        <f ca="1">IF($A705="S",IF(BM!$I705=0,0,CHOOSE(MATCH(RegimeExecucao,{"Global","Unitário"},0),ROUND(ROUND(BM.MEDAcumulado,15-13*BM!$A$9)/100*BM!$I705,15-13*ORÇAMENTO!$AF$11),ROUND(ROUND(BM.MEDAcumulado,15-13*BM!$A$9)*ROUND(BM!$H705,15-13*ORÇAMENTO!$AF$10),15-13*ORÇAMENTO!$AF$11))),IF($A705=0,0,ROUND(SomaAgrupBM,15-13*ORÇAMENTO!$AF$11)))</f>
        <v>0</v>
      </c>
    </row>
    <row r="706" spans="1:41" ht="38.25" x14ac:dyDescent="0.2">
      <c r="A706" t="str">
        <f ca="1">ORÇAMENTO!C706</f>
        <v>S</v>
      </c>
      <c r="B706">
        <f ca="1">ORÇAMENTO!D706</f>
        <v>0</v>
      </c>
      <c r="C706" s="116" t="str">
        <f t="shared" ca="1" si="54"/>
        <v/>
      </c>
      <c r="D706" s="119" t="str">
        <f ca="1">ORÇAMENTO!O706</f>
        <v>-</v>
      </c>
      <c r="E706" s="172" t="str">
        <f t="shared" ca="1" si="60"/>
        <v>(abra o arquivo 'Referência 06-2024.xlsm)</v>
      </c>
      <c r="F706" s="173" t="str">
        <f ca="1">IF(RegimeExecucao="Global","",ORÇAMENTO.Unidade)</f>
        <v/>
      </c>
      <c r="G706" s="124" t="str">
        <f ca="1">IF(RegimeExecucao="Global","",ORÇAMENTO!T706)</f>
        <v/>
      </c>
      <c r="H706" s="124" t="str">
        <f ca="1">IF(RegimeExecucao="Global","",ORÇAMENTO!W706)</f>
        <v/>
      </c>
      <c r="I706" s="127">
        <f ca="1">ORÇAMENTO!X706</f>
        <v>0</v>
      </c>
      <c r="J706" s="378">
        <f ca="1">IF($A706="S",IF(CAIXA.Modo,BM.AFAnterior,BM.MEDAnterior),IF(AND(RegimeExecucao="Global",$I706&gt;0,COUNTIF($AB$13:$AM$13,BM.medicao-1)&gt;0),M706/$I706*100,0))</f>
        <v>0</v>
      </c>
      <c r="K706" s="124">
        <f t="shared" ca="1" si="55"/>
        <v>0</v>
      </c>
      <c r="L706" s="379">
        <f ca="1">IF($A706="S",IF(CAIXA.Modo,BM.AFAcumulado,BM.MEDAcumulado),IF(AND(RegimeExecucao="Global",$I706&gt;0,COUNTIF($AB$13:$AM$13,BM.medicao)&gt;0),O706/$I706*100,0))</f>
        <v>0</v>
      </c>
      <c r="M706" s="380">
        <f ca="1">IF($A706="S",VTOTALBM,IF($A706=0,0,ROUND(SomaAgrupBM,15-13*ORÇAMENTO!$AF$11)))</f>
        <v>0</v>
      </c>
      <c r="N706" s="381">
        <f t="shared" ca="1" si="56"/>
        <v>0</v>
      </c>
      <c r="O706" s="127">
        <f ca="1">IF($A706="S",VTOTALBM,IF($A706=0,0,ROUND(SomaAgrupBM,15-13*ORÇAMENTO!$AF$11)))</f>
        <v>0</v>
      </c>
      <c r="Q706" s="382"/>
      <c r="R706" s="383"/>
      <c r="T706" s="119" t="str">
        <f t="shared" ca="1" si="57"/>
        <v/>
      </c>
      <c r="U706" s="172" t="str">
        <f t="shared" ca="1" si="58"/>
        <v/>
      </c>
      <c r="V706" s="173" t="str">
        <f ca="1">IF(AND($W706&gt;0,RegimeExecucao="Unitário"),$F706,"")</f>
        <v/>
      </c>
      <c r="W706" s="547">
        <f ca="1">IF($Y706&gt;0,CHOOSE(MATCH(RegimeExecucao,{"Unitário","Global"},0),IF($A706="S",$Y706/$X706,""),($Y706/$X706)*100),0)</f>
        <v>0</v>
      </c>
      <c r="X706" s="384" t="str">
        <f ca="1">IF($Y706&gt;0,CHOOSE(MATCH(RegimeExecucao,{"Unitário","Global"},0),IF($A706="S",ROUND($H706,ORÇAMENTO!$AF$10),""),ROUND($I706,ORÇAMENTO!$AF$11)),"")</f>
        <v/>
      </c>
      <c r="Y706" s="384">
        <f t="shared" ca="1" si="59"/>
        <v>0</v>
      </c>
      <c r="Z706" s="572"/>
      <c r="AB706" s="382"/>
      <c r="AC706" s="516"/>
      <c r="AD706" s="516"/>
      <c r="AE706" s="516"/>
      <c r="AF706" s="516"/>
      <c r="AG706" s="516"/>
      <c r="AH706" s="516"/>
      <c r="AI706" s="516"/>
      <c r="AJ706" s="516"/>
      <c r="AK706" s="516"/>
      <c r="AL706" s="516"/>
      <c r="AM706" s="383"/>
      <c r="AO706">
        <f ca="1">IF($A706="S",IF(BM!$I706=0,0,CHOOSE(MATCH(RegimeExecucao,{"Global","Unitário"},0),ROUND(ROUND(BM.MEDAcumulado,15-13*BM!$A$9)/100*BM!$I706,15-13*ORÇAMENTO!$AF$11),ROUND(ROUND(BM.MEDAcumulado,15-13*BM!$A$9)*ROUND(BM!$H706,15-13*ORÇAMENTO!$AF$10),15-13*ORÇAMENTO!$AF$11))),IF($A706=0,0,ROUND(SomaAgrupBM,15-13*ORÇAMENTO!$AF$11)))</f>
        <v>0</v>
      </c>
    </row>
    <row r="707" spans="1:41" ht="38.25" x14ac:dyDescent="0.2">
      <c r="A707" t="str">
        <f ca="1">ORÇAMENTO!C707</f>
        <v>S</v>
      </c>
      <c r="B707">
        <f ca="1">ORÇAMENTO!D707</f>
        <v>0</v>
      </c>
      <c r="C707" s="116" t="str">
        <f t="shared" ca="1" si="54"/>
        <v/>
      </c>
      <c r="D707" s="119" t="str">
        <f ca="1">ORÇAMENTO!O707</f>
        <v>-</v>
      </c>
      <c r="E707" s="172" t="str">
        <f t="shared" ca="1" si="60"/>
        <v>(abra o arquivo 'Referência 06-2024.xlsm)</v>
      </c>
      <c r="F707" s="173" t="str">
        <f ca="1">IF(RegimeExecucao="Global","",ORÇAMENTO.Unidade)</f>
        <v/>
      </c>
      <c r="G707" s="124" t="str">
        <f ca="1">IF(RegimeExecucao="Global","",ORÇAMENTO!T707)</f>
        <v/>
      </c>
      <c r="H707" s="124" t="str">
        <f ca="1">IF(RegimeExecucao="Global","",ORÇAMENTO!W707)</f>
        <v/>
      </c>
      <c r="I707" s="127">
        <f ca="1">ORÇAMENTO!X707</f>
        <v>0</v>
      </c>
      <c r="J707" s="378">
        <f ca="1">IF($A707="S",IF(CAIXA.Modo,BM.AFAnterior,BM.MEDAnterior),IF(AND(RegimeExecucao="Global",$I707&gt;0,COUNTIF($AB$13:$AM$13,BM.medicao-1)&gt;0),M707/$I707*100,0))</f>
        <v>0</v>
      </c>
      <c r="K707" s="124">
        <f t="shared" ca="1" si="55"/>
        <v>0</v>
      </c>
      <c r="L707" s="379">
        <f ca="1">IF($A707="S",IF(CAIXA.Modo,BM.AFAcumulado,BM.MEDAcumulado),IF(AND(RegimeExecucao="Global",$I707&gt;0,COUNTIF($AB$13:$AM$13,BM.medicao)&gt;0),O707/$I707*100,0))</f>
        <v>0</v>
      </c>
      <c r="M707" s="380">
        <f ca="1">IF($A707="S",VTOTALBM,IF($A707=0,0,ROUND(SomaAgrupBM,15-13*ORÇAMENTO!$AF$11)))</f>
        <v>0</v>
      </c>
      <c r="N707" s="381">
        <f t="shared" ca="1" si="56"/>
        <v>0</v>
      </c>
      <c r="O707" s="127">
        <f ca="1">IF($A707="S",VTOTALBM,IF($A707=0,0,ROUND(SomaAgrupBM,15-13*ORÇAMENTO!$AF$11)))</f>
        <v>0</v>
      </c>
      <c r="Q707" s="382"/>
      <c r="R707" s="383"/>
      <c r="T707" s="119" t="str">
        <f t="shared" ca="1" si="57"/>
        <v/>
      </c>
      <c r="U707" s="172" t="str">
        <f t="shared" ca="1" si="58"/>
        <v/>
      </c>
      <c r="V707" s="173" t="str">
        <f ca="1">IF(AND($W707&gt;0,RegimeExecucao="Unitário"),$F707,"")</f>
        <v/>
      </c>
      <c r="W707" s="547">
        <f ca="1">IF($Y707&gt;0,CHOOSE(MATCH(RegimeExecucao,{"Unitário","Global"},0),IF($A707="S",$Y707/$X707,""),($Y707/$X707)*100),0)</f>
        <v>0</v>
      </c>
      <c r="X707" s="384" t="str">
        <f ca="1">IF($Y707&gt;0,CHOOSE(MATCH(RegimeExecucao,{"Unitário","Global"},0),IF($A707="S",ROUND($H707,ORÇAMENTO!$AF$10),""),ROUND($I707,ORÇAMENTO!$AF$11)),"")</f>
        <v/>
      </c>
      <c r="Y707" s="384">
        <f t="shared" ca="1" si="59"/>
        <v>0</v>
      </c>
      <c r="Z707" s="572"/>
      <c r="AB707" s="382"/>
      <c r="AC707" s="516"/>
      <c r="AD707" s="516"/>
      <c r="AE707" s="516"/>
      <c r="AF707" s="516"/>
      <c r="AG707" s="516"/>
      <c r="AH707" s="516"/>
      <c r="AI707" s="516"/>
      <c r="AJ707" s="516"/>
      <c r="AK707" s="516"/>
      <c r="AL707" s="516"/>
      <c r="AM707" s="383"/>
      <c r="AO707">
        <f ca="1">IF($A707="S",IF(BM!$I707=0,0,CHOOSE(MATCH(RegimeExecucao,{"Global","Unitário"},0),ROUND(ROUND(BM.MEDAcumulado,15-13*BM!$A$9)/100*BM!$I707,15-13*ORÇAMENTO!$AF$11),ROUND(ROUND(BM.MEDAcumulado,15-13*BM!$A$9)*ROUND(BM!$H707,15-13*ORÇAMENTO!$AF$10),15-13*ORÇAMENTO!$AF$11))),IF($A707=0,0,ROUND(SomaAgrupBM,15-13*ORÇAMENTO!$AF$11)))</f>
        <v>0</v>
      </c>
    </row>
    <row r="708" spans="1:41" ht="38.25" x14ac:dyDescent="0.2">
      <c r="A708" t="str">
        <f ca="1">ORÇAMENTO!C708</f>
        <v>S</v>
      </c>
      <c r="B708">
        <f ca="1">ORÇAMENTO!D708</f>
        <v>0</v>
      </c>
      <c r="C708" s="116" t="str">
        <f t="shared" ca="1" si="54"/>
        <v/>
      </c>
      <c r="D708" s="119" t="str">
        <f ca="1">ORÇAMENTO!O708</f>
        <v>-</v>
      </c>
      <c r="E708" s="172" t="str">
        <f t="shared" ca="1" si="60"/>
        <v>(abra o arquivo 'Referência 06-2024.xlsm)</v>
      </c>
      <c r="F708" s="173" t="str">
        <f ca="1">IF(RegimeExecucao="Global","",ORÇAMENTO.Unidade)</f>
        <v/>
      </c>
      <c r="G708" s="124" t="str">
        <f ca="1">IF(RegimeExecucao="Global","",ORÇAMENTO!T708)</f>
        <v/>
      </c>
      <c r="H708" s="124" t="str">
        <f ca="1">IF(RegimeExecucao="Global","",ORÇAMENTO!W708)</f>
        <v/>
      </c>
      <c r="I708" s="127">
        <f ca="1">ORÇAMENTO!X708</f>
        <v>0</v>
      </c>
      <c r="J708" s="378">
        <f ca="1">IF($A708="S",IF(CAIXA.Modo,BM.AFAnterior,BM.MEDAnterior),IF(AND(RegimeExecucao="Global",$I708&gt;0,COUNTIF($AB$13:$AM$13,BM.medicao-1)&gt;0),M708/$I708*100,0))</f>
        <v>0</v>
      </c>
      <c r="K708" s="124">
        <f t="shared" ca="1" si="55"/>
        <v>0</v>
      </c>
      <c r="L708" s="379">
        <f ca="1">IF($A708="S",IF(CAIXA.Modo,BM.AFAcumulado,BM.MEDAcumulado),IF(AND(RegimeExecucao="Global",$I708&gt;0,COUNTIF($AB$13:$AM$13,BM.medicao)&gt;0),O708/$I708*100,0))</f>
        <v>0</v>
      </c>
      <c r="M708" s="380">
        <f ca="1">IF($A708="S",VTOTALBM,IF($A708=0,0,ROUND(SomaAgrupBM,15-13*ORÇAMENTO!$AF$11)))</f>
        <v>0</v>
      </c>
      <c r="N708" s="381">
        <f t="shared" ca="1" si="56"/>
        <v>0</v>
      </c>
      <c r="O708" s="127">
        <f ca="1">IF($A708="S",VTOTALBM,IF($A708=0,0,ROUND(SomaAgrupBM,15-13*ORÇAMENTO!$AF$11)))</f>
        <v>0</v>
      </c>
      <c r="Q708" s="382"/>
      <c r="R708" s="383"/>
      <c r="T708" s="119" t="str">
        <f t="shared" ca="1" si="57"/>
        <v/>
      </c>
      <c r="U708" s="172" t="str">
        <f t="shared" ca="1" si="58"/>
        <v/>
      </c>
      <c r="V708" s="173" t="str">
        <f ca="1">IF(AND($W708&gt;0,RegimeExecucao="Unitário"),$F708,"")</f>
        <v/>
      </c>
      <c r="W708" s="547">
        <f ca="1">IF($Y708&gt;0,CHOOSE(MATCH(RegimeExecucao,{"Unitário","Global"},0),IF($A708="S",$Y708/$X708,""),($Y708/$X708)*100),0)</f>
        <v>0</v>
      </c>
      <c r="X708" s="384" t="str">
        <f ca="1">IF($Y708&gt;0,CHOOSE(MATCH(RegimeExecucao,{"Unitário","Global"},0),IF($A708="S",ROUND($H708,ORÇAMENTO!$AF$10),""),ROUND($I708,ORÇAMENTO!$AF$11)),"")</f>
        <v/>
      </c>
      <c r="Y708" s="384">
        <f t="shared" ca="1" si="59"/>
        <v>0</v>
      </c>
      <c r="Z708" s="572"/>
      <c r="AB708" s="382"/>
      <c r="AC708" s="516"/>
      <c r="AD708" s="516"/>
      <c r="AE708" s="516"/>
      <c r="AF708" s="516"/>
      <c r="AG708" s="516"/>
      <c r="AH708" s="516"/>
      <c r="AI708" s="516"/>
      <c r="AJ708" s="516"/>
      <c r="AK708" s="516"/>
      <c r="AL708" s="516"/>
      <c r="AM708" s="383"/>
      <c r="AO708">
        <f ca="1">IF($A708="S",IF(BM!$I708=0,0,CHOOSE(MATCH(RegimeExecucao,{"Global","Unitário"},0),ROUND(ROUND(BM.MEDAcumulado,15-13*BM!$A$9)/100*BM!$I708,15-13*ORÇAMENTO!$AF$11),ROUND(ROUND(BM.MEDAcumulado,15-13*BM!$A$9)*ROUND(BM!$H708,15-13*ORÇAMENTO!$AF$10),15-13*ORÇAMENTO!$AF$11))),IF($A708=0,0,ROUND(SomaAgrupBM,15-13*ORÇAMENTO!$AF$11)))</f>
        <v>0</v>
      </c>
    </row>
    <row r="709" spans="1:41" ht="38.25" x14ac:dyDescent="0.2">
      <c r="A709" t="str">
        <f ca="1">ORÇAMENTO!C709</f>
        <v>S</v>
      </c>
      <c r="B709">
        <f ca="1">ORÇAMENTO!D709</f>
        <v>0</v>
      </c>
      <c r="C709" s="116" t="str">
        <f t="shared" ca="1" si="54"/>
        <v/>
      </c>
      <c r="D709" s="119" t="str">
        <f ca="1">ORÇAMENTO!O709</f>
        <v>-</v>
      </c>
      <c r="E709" s="172" t="str">
        <f t="shared" ca="1" si="60"/>
        <v>(abra o arquivo 'Referência 06-2024.xlsm)</v>
      </c>
      <c r="F709" s="173" t="str">
        <f ca="1">IF(RegimeExecucao="Global","",ORÇAMENTO.Unidade)</f>
        <v/>
      </c>
      <c r="G709" s="124" t="str">
        <f ca="1">IF(RegimeExecucao="Global","",ORÇAMENTO!T709)</f>
        <v/>
      </c>
      <c r="H709" s="124" t="str">
        <f ca="1">IF(RegimeExecucao="Global","",ORÇAMENTO!W709)</f>
        <v/>
      </c>
      <c r="I709" s="127">
        <f ca="1">ORÇAMENTO!X709</f>
        <v>0</v>
      </c>
      <c r="J709" s="378">
        <f ca="1">IF($A709="S",IF(CAIXA.Modo,BM.AFAnterior,BM.MEDAnterior),IF(AND(RegimeExecucao="Global",$I709&gt;0,COUNTIF($AB$13:$AM$13,BM.medicao-1)&gt;0),M709/$I709*100,0))</f>
        <v>0</v>
      </c>
      <c r="K709" s="124">
        <f t="shared" ca="1" si="55"/>
        <v>0</v>
      </c>
      <c r="L709" s="379">
        <f ca="1">IF($A709="S",IF(CAIXA.Modo,BM.AFAcumulado,BM.MEDAcumulado),IF(AND(RegimeExecucao="Global",$I709&gt;0,COUNTIF($AB$13:$AM$13,BM.medicao)&gt;0),O709/$I709*100,0))</f>
        <v>0</v>
      </c>
      <c r="M709" s="380">
        <f ca="1">IF($A709="S",VTOTALBM,IF($A709=0,0,ROUND(SomaAgrupBM,15-13*ORÇAMENTO!$AF$11)))</f>
        <v>0</v>
      </c>
      <c r="N709" s="381">
        <f t="shared" ca="1" si="56"/>
        <v>0</v>
      </c>
      <c r="O709" s="127">
        <f ca="1">IF($A709="S",VTOTALBM,IF($A709=0,0,ROUND(SomaAgrupBM,15-13*ORÇAMENTO!$AF$11)))</f>
        <v>0</v>
      </c>
      <c r="Q709" s="382"/>
      <c r="R709" s="383"/>
      <c r="T709" s="119" t="str">
        <f t="shared" ca="1" si="57"/>
        <v/>
      </c>
      <c r="U709" s="172" t="str">
        <f t="shared" ca="1" si="58"/>
        <v/>
      </c>
      <c r="V709" s="173" t="str">
        <f ca="1">IF(AND($W709&gt;0,RegimeExecucao="Unitário"),$F709,"")</f>
        <v/>
      </c>
      <c r="W709" s="547">
        <f ca="1">IF($Y709&gt;0,CHOOSE(MATCH(RegimeExecucao,{"Unitário","Global"},0),IF($A709="S",$Y709/$X709,""),($Y709/$X709)*100),0)</f>
        <v>0</v>
      </c>
      <c r="X709" s="384" t="str">
        <f ca="1">IF($Y709&gt;0,CHOOSE(MATCH(RegimeExecucao,{"Unitário","Global"},0),IF($A709="S",ROUND($H709,ORÇAMENTO!$AF$10),""),ROUND($I709,ORÇAMENTO!$AF$11)),"")</f>
        <v/>
      </c>
      <c r="Y709" s="384">
        <f t="shared" ca="1" si="59"/>
        <v>0</v>
      </c>
      <c r="Z709" s="572"/>
      <c r="AB709" s="382"/>
      <c r="AC709" s="516"/>
      <c r="AD709" s="516"/>
      <c r="AE709" s="516"/>
      <c r="AF709" s="516"/>
      <c r="AG709" s="516"/>
      <c r="AH709" s="516"/>
      <c r="AI709" s="516"/>
      <c r="AJ709" s="516"/>
      <c r="AK709" s="516"/>
      <c r="AL709" s="516"/>
      <c r="AM709" s="383"/>
      <c r="AO709">
        <f ca="1">IF($A709="S",IF(BM!$I709=0,0,CHOOSE(MATCH(RegimeExecucao,{"Global","Unitário"},0),ROUND(ROUND(BM.MEDAcumulado,15-13*BM!$A$9)/100*BM!$I709,15-13*ORÇAMENTO!$AF$11),ROUND(ROUND(BM.MEDAcumulado,15-13*BM!$A$9)*ROUND(BM!$H709,15-13*ORÇAMENTO!$AF$10),15-13*ORÇAMENTO!$AF$11))),IF($A709=0,0,ROUND(SomaAgrupBM,15-13*ORÇAMENTO!$AF$11)))</f>
        <v>0</v>
      </c>
    </row>
    <row r="710" spans="1:41" x14ac:dyDescent="0.2">
      <c r="A710">
        <f ca="1">ORÇAMENTO!C710</f>
        <v>2</v>
      </c>
      <c r="B710">
        <f ca="1">ORÇAMENTO!D710</f>
        <v>2</v>
      </c>
      <c r="C710" s="116" t="str">
        <f t="shared" ca="1" si="54"/>
        <v>F</v>
      </c>
      <c r="D710" s="119" t="str">
        <f ca="1">ORÇAMENTO!O710</f>
        <v>1.77.</v>
      </c>
      <c r="E710" s="172" t="str">
        <f t="shared" si="60"/>
        <v>MURO DE FECHAMENTO - IMPERMEABILIZAÇÃO</v>
      </c>
      <c r="F710" s="173" t="str">
        <f ca="1">IF(RegimeExecucao="Global","",ORÇAMENTO.Unidade)</f>
        <v/>
      </c>
      <c r="G710" s="124" t="str">
        <f ca="1">IF(RegimeExecucao="Global","",ORÇAMENTO!T710)</f>
        <v/>
      </c>
      <c r="H710" s="124" t="str">
        <f ca="1">IF(RegimeExecucao="Global","",ORÇAMENTO!W710)</f>
        <v/>
      </c>
      <c r="I710" s="127">
        <f ca="1">ORÇAMENTO!X710</f>
        <v>0</v>
      </c>
      <c r="J710" s="378">
        <f ca="1">IF($A710="S",IF(CAIXA.Modo,BM.AFAnterior,BM.MEDAnterior),IF(AND(RegimeExecucao="Global",$I710&gt;0,COUNTIF($AB$13:$AM$13,BM.medicao-1)&gt;0),M710/$I710*100,0))</f>
        <v>0</v>
      </c>
      <c r="K710" s="124">
        <f t="shared" ca="1" si="55"/>
        <v>0</v>
      </c>
      <c r="L710" s="379">
        <f ca="1">IF($A710="S",IF(CAIXA.Modo,BM.AFAcumulado,BM.MEDAcumulado),IF(AND(RegimeExecucao="Global",$I710&gt;0,COUNTIF($AB$13:$AM$13,BM.medicao)&gt;0),O710/$I710*100,0))</f>
        <v>0</v>
      </c>
      <c r="M710" s="380">
        <f ca="1">IF($A710="S",VTOTALBM,IF($A710=0,0,ROUND(SomaAgrupBM,15-13*ORÇAMENTO!$AF$11)))</f>
        <v>0</v>
      </c>
      <c r="N710" s="381">
        <f t="shared" ca="1" si="56"/>
        <v>0</v>
      </c>
      <c r="O710" s="127">
        <f ca="1">IF($A710="S",VTOTALBM,IF($A710=0,0,ROUND(SomaAgrupBM,15-13*ORÇAMENTO!$AF$11)))</f>
        <v>0</v>
      </c>
      <c r="Q710" s="382"/>
      <c r="R710" s="383"/>
      <c r="T710" s="119" t="str">
        <f t="shared" ca="1" si="57"/>
        <v/>
      </c>
      <c r="U710" s="172" t="str">
        <f t="shared" ca="1" si="58"/>
        <v/>
      </c>
      <c r="V710" s="173" t="str">
        <f ca="1">IF(AND($W710&gt;0,RegimeExecucao="Unitário"),$F710,"")</f>
        <v/>
      </c>
      <c r="W710" s="547">
        <f ca="1">IF($Y710&gt;0,CHOOSE(MATCH(RegimeExecucao,{"Unitário","Global"},0),IF($A710="S",$Y710/$X710,""),($Y710/$X710)*100),0)</f>
        <v>0</v>
      </c>
      <c r="X710" s="384" t="str">
        <f ca="1">IF($Y710&gt;0,CHOOSE(MATCH(RegimeExecucao,{"Unitário","Global"},0),IF($A710="S",ROUND($H710,ORÇAMENTO!$AF$10),""),ROUND($I710,ORÇAMENTO!$AF$11)),"")</f>
        <v/>
      </c>
      <c r="Y710" s="384">
        <f t="shared" ca="1" si="59"/>
        <v>0</v>
      </c>
      <c r="Z710" s="572"/>
      <c r="AB710" s="382"/>
      <c r="AC710" s="516"/>
      <c r="AD710" s="516"/>
      <c r="AE710" s="516"/>
      <c r="AF710" s="516"/>
      <c r="AG710" s="516"/>
      <c r="AH710" s="516"/>
      <c r="AI710" s="516"/>
      <c r="AJ710" s="516"/>
      <c r="AK710" s="516"/>
      <c r="AL710" s="516"/>
      <c r="AM710" s="383"/>
      <c r="AO710">
        <f ca="1">IF($A710="S",IF(BM!$I710=0,0,CHOOSE(MATCH(RegimeExecucao,{"Global","Unitário"},0),ROUND(ROUND(BM.MEDAcumulado,15-13*BM!$A$9)/100*BM!$I710,15-13*ORÇAMENTO!$AF$11),ROUND(ROUND(BM.MEDAcumulado,15-13*BM!$A$9)*ROUND(BM!$H710,15-13*ORÇAMENTO!$AF$10),15-13*ORÇAMENTO!$AF$11))),IF($A710=0,0,ROUND(SomaAgrupBM,15-13*ORÇAMENTO!$AF$11)))</f>
        <v>0</v>
      </c>
    </row>
    <row r="711" spans="1:41" ht="25.5" x14ac:dyDescent="0.2">
      <c r="A711" t="str">
        <f ca="1">ORÇAMENTO!C711</f>
        <v>S</v>
      </c>
      <c r="B711">
        <f ca="1">ORÇAMENTO!D711</f>
        <v>0</v>
      </c>
      <c r="C711" s="116" t="str">
        <f t="shared" ca="1" si="54"/>
        <v/>
      </c>
      <c r="D711" s="119" t="str">
        <f ca="1">ORÇAMENTO!O711</f>
        <v>-</v>
      </c>
      <c r="E711" s="172" t="str">
        <f t="shared" ca="1" si="60"/>
        <v>(abra o arquivo 'Referência 06-2024.xlsm)</v>
      </c>
      <c r="F711" s="173" t="str">
        <f ca="1">IF(RegimeExecucao="Global","",ORÇAMENTO.Unidade)</f>
        <v/>
      </c>
      <c r="G711" s="124" t="str">
        <f ca="1">IF(RegimeExecucao="Global","",ORÇAMENTO!T711)</f>
        <v/>
      </c>
      <c r="H711" s="124" t="str">
        <f ca="1">IF(RegimeExecucao="Global","",ORÇAMENTO!W711)</f>
        <v/>
      </c>
      <c r="I711" s="127">
        <f ca="1">ORÇAMENTO!X711</f>
        <v>0</v>
      </c>
      <c r="J711" s="378">
        <f ca="1">IF($A711="S",IF(CAIXA.Modo,BM.AFAnterior,BM.MEDAnterior),IF(AND(RegimeExecucao="Global",$I711&gt;0,COUNTIF($AB$13:$AM$13,BM.medicao-1)&gt;0),M711/$I711*100,0))</f>
        <v>0</v>
      </c>
      <c r="K711" s="124">
        <f t="shared" ca="1" si="55"/>
        <v>0</v>
      </c>
      <c r="L711" s="379">
        <f ca="1">IF($A711="S",IF(CAIXA.Modo,BM.AFAcumulado,BM.MEDAcumulado),IF(AND(RegimeExecucao="Global",$I711&gt;0,COUNTIF($AB$13:$AM$13,BM.medicao)&gt;0),O711/$I711*100,0))</f>
        <v>0</v>
      </c>
      <c r="M711" s="380">
        <f ca="1">IF($A711="S",VTOTALBM,IF($A711=0,0,ROUND(SomaAgrupBM,15-13*ORÇAMENTO!$AF$11)))</f>
        <v>0</v>
      </c>
      <c r="N711" s="381">
        <f t="shared" ca="1" si="56"/>
        <v>0</v>
      </c>
      <c r="O711" s="127">
        <f ca="1">IF($A711="S",VTOTALBM,IF($A711=0,0,ROUND(SomaAgrupBM,15-13*ORÇAMENTO!$AF$11)))</f>
        <v>0</v>
      </c>
      <c r="Q711" s="382"/>
      <c r="R711" s="383"/>
      <c r="T711" s="119" t="str">
        <f t="shared" ca="1" si="57"/>
        <v/>
      </c>
      <c r="U711" s="172" t="str">
        <f t="shared" ca="1" si="58"/>
        <v/>
      </c>
      <c r="V711" s="173" t="str">
        <f ca="1">IF(AND($W711&gt;0,RegimeExecucao="Unitário"),$F711,"")</f>
        <v/>
      </c>
      <c r="W711" s="547">
        <f ca="1">IF($Y711&gt;0,CHOOSE(MATCH(RegimeExecucao,{"Unitário","Global"},0),IF($A711="S",$Y711/$X711,""),($Y711/$X711)*100),0)</f>
        <v>0</v>
      </c>
      <c r="X711" s="384" t="str">
        <f ca="1">IF($Y711&gt;0,CHOOSE(MATCH(RegimeExecucao,{"Unitário","Global"},0),IF($A711="S",ROUND($H711,ORÇAMENTO!$AF$10),""),ROUND($I711,ORÇAMENTO!$AF$11)),"")</f>
        <v/>
      </c>
      <c r="Y711" s="384">
        <f t="shared" ca="1" si="59"/>
        <v>0</v>
      </c>
      <c r="Z711" s="572"/>
      <c r="AB711" s="382"/>
      <c r="AC711" s="516"/>
      <c r="AD711" s="516"/>
      <c r="AE711" s="516"/>
      <c r="AF711" s="516"/>
      <c r="AG711" s="516"/>
      <c r="AH711" s="516"/>
      <c r="AI711" s="516"/>
      <c r="AJ711" s="516"/>
      <c r="AK711" s="516"/>
      <c r="AL711" s="516"/>
      <c r="AM711" s="383"/>
      <c r="AO711">
        <f ca="1">IF($A711="S",IF(BM!$I711=0,0,CHOOSE(MATCH(RegimeExecucao,{"Global","Unitário"},0),ROUND(ROUND(BM.MEDAcumulado,15-13*BM!$A$9)/100*BM!$I711,15-13*ORÇAMENTO!$AF$11),ROUND(ROUND(BM.MEDAcumulado,15-13*BM!$A$9)*ROUND(BM!$H711,15-13*ORÇAMENTO!$AF$10),15-13*ORÇAMENTO!$AF$11))),IF($A711=0,0,ROUND(SomaAgrupBM,15-13*ORÇAMENTO!$AF$11)))</f>
        <v>0</v>
      </c>
    </row>
    <row r="712" spans="1:41" x14ac:dyDescent="0.2">
      <c r="A712">
        <f ca="1">ORÇAMENTO!C712</f>
        <v>2</v>
      </c>
      <c r="B712">
        <f ca="1">ORÇAMENTO!D712</f>
        <v>3</v>
      </c>
      <c r="C712" s="116" t="str">
        <f t="shared" ca="1" si="54"/>
        <v>F</v>
      </c>
      <c r="D712" s="119" t="str">
        <f ca="1">ORÇAMENTO!O712</f>
        <v>1.78.</v>
      </c>
      <c r="E712" s="172" t="str">
        <f t="shared" si="60"/>
        <v>MURO DE FECHAMENTO - ALVENARIA DE VEDAÇÃO</v>
      </c>
      <c r="F712" s="173" t="str">
        <f ca="1">IF(RegimeExecucao="Global","",ORÇAMENTO.Unidade)</f>
        <v/>
      </c>
      <c r="G712" s="124" t="str">
        <f ca="1">IF(RegimeExecucao="Global","",ORÇAMENTO!T712)</f>
        <v/>
      </c>
      <c r="H712" s="124" t="str">
        <f ca="1">IF(RegimeExecucao="Global","",ORÇAMENTO!W712)</f>
        <v/>
      </c>
      <c r="I712" s="127">
        <f ca="1">ORÇAMENTO!X712</f>
        <v>0</v>
      </c>
      <c r="J712" s="378">
        <f ca="1">IF($A712="S",IF(CAIXA.Modo,BM.AFAnterior,BM.MEDAnterior),IF(AND(RegimeExecucao="Global",$I712&gt;0,COUNTIF($AB$13:$AM$13,BM.medicao-1)&gt;0),M712/$I712*100,0))</f>
        <v>0</v>
      </c>
      <c r="K712" s="124">
        <f t="shared" ca="1" si="55"/>
        <v>0</v>
      </c>
      <c r="L712" s="379">
        <f ca="1">IF($A712="S",IF(CAIXA.Modo,BM.AFAcumulado,BM.MEDAcumulado),IF(AND(RegimeExecucao="Global",$I712&gt;0,COUNTIF($AB$13:$AM$13,BM.medicao)&gt;0),O712/$I712*100,0))</f>
        <v>0</v>
      </c>
      <c r="M712" s="380">
        <f ca="1">IF($A712="S",VTOTALBM,IF($A712=0,0,ROUND(SomaAgrupBM,15-13*ORÇAMENTO!$AF$11)))</f>
        <v>0</v>
      </c>
      <c r="N712" s="381">
        <f t="shared" ca="1" si="56"/>
        <v>0</v>
      </c>
      <c r="O712" s="127">
        <f ca="1">IF($A712="S",VTOTALBM,IF($A712=0,0,ROUND(SomaAgrupBM,15-13*ORÇAMENTO!$AF$11)))</f>
        <v>0</v>
      </c>
      <c r="Q712" s="382"/>
      <c r="R712" s="383"/>
      <c r="T712" s="119" t="str">
        <f t="shared" ca="1" si="57"/>
        <v/>
      </c>
      <c r="U712" s="172" t="str">
        <f t="shared" ca="1" si="58"/>
        <v/>
      </c>
      <c r="V712" s="173" t="str">
        <f ca="1">IF(AND($W712&gt;0,RegimeExecucao="Unitário"),$F712,"")</f>
        <v/>
      </c>
      <c r="W712" s="547">
        <f ca="1">IF($Y712&gt;0,CHOOSE(MATCH(RegimeExecucao,{"Unitário","Global"},0),IF($A712="S",$Y712/$X712,""),($Y712/$X712)*100),0)</f>
        <v>0</v>
      </c>
      <c r="X712" s="384" t="str">
        <f ca="1">IF($Y712&gt;0,CHOOSE(MATCH(RegimeExecucao,{"Unitário","Global"},0),IF($A712="S",ROUND($H712,ORÇAMENTO!$AF$10),""),ROUND($I712,ORÇAMENTO!$AF$11)),"")</f>
        <v/>
      </c>
      <c r="Y712" s="384">
        <f t="shared" ca="1" si="59"/>
        <v>0</v>
      </c>
      <c r="Z712" s="572"/>
      <c r="AB712" s="382"/>
      <c r="AC712" s="516"/>
      <c r="AD712" s="516"/>
      <c r="AE712" s="516"/>
      <c r="AF712" s="516"/>
      <c r="AG712" s="516"/>
      <c r="AH712" s="516"/>
      <c r="AI712" s="516"/>
      <c r="AJ712" s="516"/>
      <c r="AK712" s="516"/>
      <c r="AL712" s="516"/>
      <c r="AM712" s="383"/>
      <c r="AO712">
        <f ca="1">IF($A712="S",IF(BM!$I712=0,0,CHOOSE(MATCH(RegimeExecucao,{"Global","Unitário"},0),ROUND(ROUND(BM.MEDAcumulado,15-13*BM!$A$9)/100*BM!$I712,15-13*ORÇAMENTO!$AF$11),ROUND(ROUND(BM.MEDAcumulado,15-13*BM!$A$9)*ROUND(BM!$H712,15-13*ORÇAMENTO!$AF$10),15-13*ORÇAMENTO!$AF$11))),IF($A712=0,0,ROUND(SomaAgrupBM,15-13*ORÇAMENTO!$AF$11)))</f>
        <v>0</v>
      </c>
    </row>
    <row r="713" spans="1:41" ht="38.25" x14ac:dyDescent="0.2">
      <c r="A713" t="str">
        <f ca="1">ORÇAMENTO!C713</f>
        <v>S</v>
      </c>
      <c r="B713">
        <f ca="1">ORÇAMENTO!D713</f>
        <v>0</v>
      </c>
      <c r="C713" s="116" t="str">
        <f t="shared" ca="1" si="54"/>
        <v/>
      </c>
      <c r="D713" s="119" t="str">
        <f ca="1">ORÇAMENTO!O713</f>
        <v>-</v>
      </c>
      <c r="E713" s="172" t="str">
        <f t="shared" ca="1" si="60"/>
        <v>(abra o arquivo 'Referência 06-2024.xlsm)</v>
      </c>
      <c r="F713" s="173" t="str">
        <f ca="1">IF(RegimeExecucao="Global","",ORÇAMENTO.Unidade)</f>
        <v/>
      </c>
      <c r="G713" s="124" t="str">
        <f ca="1">IF(RegimeExecucao="Global","",ORÇAMENTO!T713)</f>
        <v/>
      </c>
      <c r="H713" s="124" t="str">
        <f ca="1">IF(RegimeExecucao="Global","",ORÇAMENTO!W713)</f>
        <v/>
      </c>
      <c r="I713" s="127">
        <f ca="1">ORÇAMENTO!X713</f>
        <v>0</v>
      </c>
      <c r="J713" s="378">
        <f ca="1">IF($A713="S",IF(CAIXA.Modo,BM.AFAnterior,BM.MEDAnterior),IF(AND(RegimeExecucao="Global",$I713&gt;0,COUNTIF($AB$13:$AM$13,BM.medicao-1)&gt;0),M713/$I713*100,0))</f>
        <v>0</v>
      </c>
      <c r="K713" s="124">
        <f t="shared" ca="1" si="55"/>
        <v>0</v>
      </c>
      <c r="L713" s="379">
        <f ca="1">IF($A713="S",IF(CAIXA.Modo,BM.AFAcumulado,BM.MEDAcumulado),IF(AND(RegimeExecucao="Global",$I713&gt;0,COUNTIF($AB$13:$AM$13,BM.medicao)&gt;0),O713/$I713*100,0))</f>
        <v>0</v>
      </c>
      <c r="M713" s="380">
        <f ca="1">IF($A713="S",VTOTALBM,IF($A713=0,0,ROUND(SomaAgrupBM,15-13*ORÇAMENTO!$AF$11)))</f>
        <v>0</v>
      </c>
      <c r="N713" s="381">
        <f t="shared" ca="1" si="56"/>
        <v>0</v>
      </c>
      <c r="O713" s="127">
        <f ca="1">IF($A713="S",VTOTALBM,IF($A713=0,0,ROUND(SomaAgrupBM,15-13*ORÇAMENTO!$AF$11)))</f>
        <v>0</v>
      </c>
      <c r="Q713" s="382"/>
      <c r="R713" s="383"/>
      <c r="T713" s="119" t="str">
        <f t="shared" ca="1" si="57"/>
        <v/>
      </c>
      <c r="U713" s="172" t="str">
        <f t="shared" ca="1" si="58"/>
        <v/>
      </c>
      <c r="V713" s="173" t="str">
        <f ca="1">IF(AND($W713&gt;0,RegimeExecucao="Unitário"),$F713,"")</f>
        <v/>
      </c>
      <c r="W713" s="547">
        <f ca="1">IF($Y713&gt;0,CHOOSE(MATCH(RegimeExecucao,{"Unitário","Global"},0),IF($A713="S",$Y713/$X713,""),($Y713/$X713)*100),0)</f>
        <v>0</v>
      </c>
      <c r="X713" s="384" t="str">
        <f ca="1">IF($Y713&gt;0,CHOOSE(MATCH(RegimeExecucao,{"Unitário","Global"},0),IF($A713="S",ROUND($H713,ORÇAMENTO!$AF$10),""),ROUND($I713,ORÇAMENTO!$AF$11)),"")</f>
        <v/>
      </c>
      <c r="Y713" s="384">
        <f t="shared" ca="1" si="59"/>
        <v>0</v>
      </c>
      <c r="Z713" s="572"/>
      <c r="AB713" s="382"/>
      <c r="AC713" s="516"/>
      <c r="AD713" s="516"/>
      <c r="AE713" s="516"/>
      <c r="AF713" s="516"/>
      <c r="AG713" s="516"/>
      <c r="AH713" s="516"/>
      <c r="AI713" s="516"/>
      <c r="AJ713" s="516"/>
      <c r="AK713" s="516"/>
      <c r="AL713" s="516"/>
      <c r="AM713" s="383"/>
      <c r="AO713">
        <f ca="1">IF($A713="S",IF(BM!$I713=0,0,CHOOSE(MATCH(RegimeExecucao,{"Global","Unitário"},0),ROUND(ROUND(BM.MEDAcumulado,15-13*BM!$A$9)/100*BM!$I713,15-13*ORÇAMENTO!$AF$11),ROUND(ROUND(BM.MEDAcumulado,15-13*BM!$A$9)*ROUND(BM!$H713,15-13*ORÇAMENTO!$AF$10),15-13*ORÇAMENTO!$AF$11))),IF($A713=0,0,ROUND(SomaAgrupBM,15-13*ORÇAMENTO!$AF$11)))</f>
        <v>0</v>
      </c>
    </row>
    <row r="714" spans="1:41" ht="25.5" x14ac:dyDescent="0.2">
      <c r="A714" t="str">
        <f ca="1">ORÇAMENTO!C714</f>
        <v>S</v>
      </c>
      <c r="B714">
        <f ca="1">ORÇAMENTO!D714</f>
        <v>0</v>
      </c>
      <c r="C714" s="116" t="str">
        <f t="shared" ca="1" si="54"/>
        <v/>
      </c>
      <c r="D714" s="119" t="str">
        <f ca="1">ORÇAMENTO!O714</f>
        <v>-</v>
      </c>
      <c r="E714" s="172" t="str">
        <f t="shared" ca="1" si="60"/>
        <v>(abra o arquivo 'Referência 06-2024.xlsm)</v>
      </c>
      <c r="F714" s="173" t="str">
        <f ca="1">IF(RegimeExecucao="Global","",ORÇAMENTO.Unidade)</f>
        <v/>
      </c>
      <c r="G714" s="124" t="str">
        <f ca="1">IF(RegimeExecucao="Global","",ORÇAMENTO!T714)</f>
        <v/>
      </c>
      <c r="H714" s="124" t="str">
        <f ca="1">IF(RegimeExecucao="Global","",ORÇAMENTO!W714)</f>
        <v/>
      </c>
      <c r="I714" s="127">
        <f ca="1">ORÇAMENTO!X714</f>
        <v>0</v>
      </c>
      <c r="J714" s="378">
        <f ca="1">IF($A714="S",IF(CAIXA.Modo,BM.AFAnterior,BM.MEDAnterior),IF(AND(RegimeExecucao="Global",$I714&gt;0,COUNTIF($AB$13:$AM$13,BM.medicao-1)&gt;0),M714/$I714*100,0))</f>
        <v>0</v>
      </c>
      <c r="K714" s="124">
        <f t="shared" ca="1" si="55"/>
        <v>0</v>
      </c>
      <c r="L714" s="379">
        <f ca="1">IF($A714="S",IF(CAIXA.Modo,BM.AFAcumulado,BM.MEDAcumulado),IF(AND(RegimeExecucao="Global",$I714&gt;0,COUNTIF($AB$13:$AM$13,BM.medicao)&gt;0),O714/$I714*100,0))</f>
        <v>0</v>
      </c>
      <c r="M714" s="380">
        <f ca="1">IF($A714="S",VTOTALBM,IF($A714=0,0,ROUND(SomaAgrupBM,15-13*ORÇAMENTO!$AF$11)))</f>
        <v>0</v>
      </c>
      <c r="N714" s="381">
        <f t="shared" ca="1" si="56"/>
        <v>0</v>
      </c>
      <c r="O714" s="127">
        <f ca="1">IF($A714="S",VTOTALBM,IF($A714=0,0,ROUND(SomaAgrupBM,15-13*ORÇAMENTO!$AF$11)))</f>
        <v>0</v>
      </c>
      <c r="Q714" s="382"/>
      <c r="R714" s="383"/>
      <c r="T714" s="119" t="str">
        <f t="shared" ca="1" si="57"/>
        <v/>
      </c>
      <c r="U714" s="172" t="str">
        <f t="shared" ca="1" si="58"/>
        <v/>
      </c>
      <c r="V714" s="173" t="str">
        <f ca="1">IF(AND($W714&gt;0,RegimeExecucao="Unitário"),$F714,"")</f>
        <v/>
      </c>
      <c r="W714" s="547">
        <f ca="1">IF($Y714&gt;0,CHOOSE(MATCH(RegimeExecucao,{"Unitário","Global"},0),IF($A714="S",$Y714/$X714,""),($Y714/$X714)*100),0)</f>
        <v>0</v>
      </c>
      <c r="X714" s="384" t="str">
        <f ca="1">IF($Y714&gt;0,CHOOSE(MATCH(RegimeExecucao,{"Unitário","Global"},0),IF($A714="S",ROUND($H714,ORÇAMENTO!$AF$10),""),ROUND($I714,ORÇAMENTO!$AF$11)),"")</f>
        <v/>
      </c>
      <c r="Y714" s="384">
        <f t="shared" ca="1" si="59"/>
        <v>0</v>
      </c>
      <c r="Z714" s="572"/>
      <c r="AB714" s="382"/>
      <c r="AC714" s="516"/>
      <c r="AD714" s="516"/>
      <c r="AE714" s="516"/>
      <c r="AF714" s="516"/>
      <c r="AG714" s="516"/>
      <c r="AH714" s="516"/>
      <c r="AI714" s="516"/>
      <c r="AJ714" s="516"/>
      <c r="AK714" s="516"/>
      <c r="AL714" s="516"/>
      <c r="AM714" s="383"/>
      <c r="AO714">
        <f ca="1">IF($A714="S",IF(BM!$I714=0,0,CHOOSE(MATCH(RegimeExecucao,{"Global","Unitário"},0),ROUND(ROUND(BM.MEDAcumulado,15-13*BM!$A$9)/100*BM!$I714,15-13*ORÇAMENTO!$AF$11),ROUND(ROUND(BM.MEDAcumulado,15-13*BM!$A$9)*ROUND(BM!$H714,15-13*ORÇAMENTO!$AF$10),15-13*ORÇAMENTO!$AF$11))),IF($A714=0,0,ROUND(SomaAgrupBM,15-13*ORÇAMENTO!$AF$11)))</f>
        <v>0</v>
      </c>
    </row>
    <row r="715" spans="1:41" x14ac:dyDescent="0.2">
      <c r="A715">
        <f ca="1">ORÇAMENTO!C715</f>
        <v>2</v>
      </c>
      <c r="B715">
        <f ca="1">ORÇAMENTO!D715</f>
        <v>6</v>
      </c>
      <c r="C715" s="116" t="str">
        <f t="shared" ca="1" si="54"/>
        <v>F</v>
      </c>
      <c r="D715" s="119" t="str">
        <f ca="1">ORÇAMENTO!O715</f>
        <v>1.79.</v>
      </c>
      <c r="E715" s="172" t="str">
        <f t="shared" si="60"/>
        <v>MURO DE FECHAMENTO - REVESTIMENTO</v>
      </c>
      <c r="F715" s="173" t="str">
        <f ca="1">IF(RegimeExecucao="Global","",ORÇAMENTO.Unidade)</f>
        <v/>
      </c>
      <c r="G715" s="124" t="str">
        <f ca="1">IF(RegimeExecucao="Global","",ORÇAMENTO!T715)</f>
        <v/>
      </c>
      <c r="H715" s="124" t="str">
        <f ca="1">IF(RegimeExecucao="Global","",ORÇAMENTO!W715)</f>
        <v/>
      </c>
      <c r="I715" s="127">
        <f ca="1">ORÇAMENTO!X715</f>
        <v>0</v>
      </c>
      <c r="J715" s="378">
        <f ca="1">IF($A715="S",IF(CAIXA.Modo,BM.AFAnterior,BM.MEDAnterior),IF(AND(RegimeExecucao="Global",$I715&gt;0,COUNTIF($AB$13:$AM$13,BM.medicao-1)&gt;0),M715/$I715*100,0))</f>
        <v>0</v>
      </c>
      <c r="K715" s="124">
        <f t="shared" ca="1" si="55"/>
        <v>0</v>
      </c>
      <c r="L715" s="379">
        <f ca="1">IF($A715="S",IF(CAIXA.Modo,BM.AFAcumulado,BM.MEDAcumulado),IF(AND(RegimeExecucao="Global",$I715&gt;0,COUNTIF($AB$13:$AM$13,BM.medicao)&gt;0),O715/$I715*100,0))</f>
        <v>0</v>
      </c>
      <c r="M715" s="380">
        <f ca="1">IF($A715="S",VTOTALBM,IF($A715=0,0,ROUND(SomaAgrupBM,15-13*ORÇAMENTO!$AF$11)))</f>
        <v>0</v>
      </c>
      <c r="N715" s="381">
        <f t="shared" ca="1" si="56"/>
        <v>0</v>
      </c>
      <c r="O715" s="127">
        <f ca="1">IF($A715="S",VTOTALBM,IF($A715=0,0,ROUND(SomaAgrupBM,15-13*ORÇAMENTO!$AF$11)))</f>
        <v>0</v>
      </c>
      <c r="Q715" s="382"/>
      <c r="R715" s="383"/>
      <c r="T715" s="119" t="str">
        <f t="shared" ca="1" si="57"/>
        <v/>
      </c>
      <c r="U715" s="172" t="str">
        <f t="shared" ca="1" si="58"/>
        <v/>
      </c>
      <c r="V715" s="173" t="str">
        <f ca="1">IF(AND($W715&gt;0,RegimeExecucao="Unitário"),$F715,"")</f>
        <v/>
      </c>
      <c r="W715" s="547">
        <f ca="1">IF($Y715&gt;0,CHOOSE(MATCH(RegimeExecucao,{"Unitário","Global"},0),IF($A715="S",$Y715/$X715,""),($Y715/$X715)*100),0)</f>
        <v>0</v>
      </c>
      <c r="X715" s="384" t="str">
        <f ca="1">IF($Y715&gt;0,CHOOSE(MATCH(RegimeExecucao,{"Unitário","Global"},0),IF($A715="S",ROUND($H715,ORÇAMENTO!$AF$10),""),ROUND($I715,ORÇAMENTO!$AF$11)),"")</f>
        <v/>
      </c>
      <c r="Y715" s="384">
        <f t="shared" ca="1" si="59"/>
        <v>0</v>
      </c>
      <c r="Z715" s="572"/>
      <c r="AB715" s="382"/>
      <c r="AC715" s="516"/>
      <c r="AD715" s="516"/>
      <c r="AE715" s="516"/>
      <c r="AF715" s="516"/>
      <c r="AG715" s="516"/>
      <c r="AH715" s="516"/>
      <c r="AI715" s="516"/>
      <c r="AJ715" s="516"/>
      <c r="AK715" s="516"/>
      <c r="AL715" s="516"/>
      <c r="AM715" s="383"/>
      <c r="AO715">
        <f ca="1">IF($A715="S",IF(BM!$I715=0,0,CHOOSE(MATCH(RegimeExecucao,{"Global","Unitário"},0),ROUND(ROUND(BM.MEDAcumulado,15-13*BM!$A$9)/100*BM!$I715,15-13*ORÇAMENTO!$AF$11),ROUND(ROUND(BM.MEDAcumulado,15-13*BM!$A$9)*ROUND(BM!$H715,15-13*ORÇAMENTO!$AF$10),15-13*ORÇAMENTO!$AF$11))),IF($A715=0,0,ROUND(SomaAgrupBM,15-13*ORÇAMENTO!$AF$11)))</f>
        <v>0</v>
      </c>
    </row>
    <row r="716" spans="1:41" ht="38.25" x14ac:dyDescent="0.2">
      <c r="A716" t="str">
        <f ca="1">ORÇAMENTO!C716</f>
        <v>S</v>
      </c>
      <c r="B716">
        <f ca="1">ORÇAMENTO!D716</f>
        <v>0</v>
      </c>
      <c r="C716" s="116" t="str">
        <f t="shared" ca="1" si="54"/>
        <v/>
      </c>
      <c r="D716" s="119" t="str">
        <f ca="1">ORÇAMENTO!O716</f>
        <v>-</v>
      </c>
      <c r="E716" s="172" t="str">
        <f t="shared" ca="1" si="60"/>
        <v>(abra o arquivo 'Referência 06-2024.xlsm)</v>
      </c>
      <c r="F716" s="173" t="str">
        <f ca="1">IF(RegimeExecucao="Global","",ORÇAMENTO.Unidade)</f>
        <v/>
      </c>
      <c r="G716" s="124" t="str">
        <f ca="1">IF(RegimeExecucao="Global","",ORÇAMENTO!T716)</f>
        <v/>
      </c>
      <c r="H716" s="124" t="str">
        <f ca="1">IF(RegimeExecucao="Global","",ORÇAMENTO!W716)</f>
        <v/>
      </c>
      <c r="I716" s="127">
        <f ca="1">ORÇAMENTO!X716</f>
        <v>0</v>
      </c>
      <c r="J716" s="378">
        <f ca="1">IF($A716="S",IF(CAIXA.Modo,BM.AFAnterior,BM.MEDAnterior),IF(AND(RegimeExecucao="Global",$I716&gt;0,COUNTIF($AB$13:$AM$13,BM.medicao-1)&gt;0),M716/$I716*100,0))</f>
        <v>0</v>
      </c>
      <c r="K716" s="124">
        <f t="shared" ca="1" si="55"/>
        <v>0</v>
      </c>
      <c r="L716" s="379">
        <f ca="1">IF($A716="S",IF(CAIXA.Modo,BM.AFAcumulado,BM.MEDAcumulado),IF(AND(RegimeExecucao="Global",$I716&gt;0,COUNTIF($AB$13:$AM$13,BM.medicao)&gt;0),O716/$I716*100,0))</f>
        <v>0</v>
      </c>
      <c r="M716" s="380">
        <f ca="1">IF($A716="S",VTOTALBM,IF($A716=0,0,ROUND(SomaAgrupBM,15-13*ORÇAMENTO!$AF$11)))</f>
        <v>0</v>
      </c>
      <c r="N716" s="381">
        <f t="shared" ca="1" si="56"/>
        <v>0</v>
      </c>
      <c r="O716" s="127">
        <f ca="1">IF($A716="S",VTOTALBM,IF($A716=0,0,ROUND(SomaAgrupBM,15-13*ORÇAMENTO!$AF$11)))</f>
        <v>0</v>
      </c>
      <c r="Q716" s="382"/>
      <c r="R716" s="383"/>
      <c r="T716" s="119" t="str">
        <f t="shared" ca="1" si="57"/>
        <v/>
      </c>
      <c r="U716" s="172" t="str">
        <f t="shared" ca="1" si="58"/>
        <v/>
      </c>
      <c r="V716" s="173" t="str">
        <f ca="1">IF(AND($W716&gt;0,RegimeExecucao="Unitário"),$F716,"")</f>
        <v/>
      </c>
      <c r="W716" s="547">
        <f ca="1">IF($Y716&gt;0,CHOOSE(MATCH(RegimeExecucao,{"Unitário","Global"},0),IF($A716="S",$Y716/$X716,""),($Y716/$X716)*100),0)</f>
        <v>0</v>
      </c>
      <c r="X716" s="384" t="str">
        <f ca="1">IF($Y716&gt;0,CHOOSE(MATCH(RegimeExecucao,{"Unitário","Global"},0),IF($A716="S",ROUND($H716,ORÇAMENTO!$AF$10),""),ROUND($I716,ORÇAMENTO!$AF$11)),"")</f>
        <v/>
      </c>
      <c r="Y716" s="384">
        <f t="shared" ca="1" si="59"/>
        <v>0</v>
      </c>
      <c r="Z716" s="572"/>
      <c r="AB716" s="382"/>
      <c r="AC716" s="516"/>
      <c r="AD716" s="516"/>
      <c r="AE716" s="516"/>
      <c r="AF716" s="516"/>
      <c r="AG716" s="516"/>
      <c r="AH716" s="516"/>
      <c r="AI716" s="516"/>
      <c r="AJ716" s="516"/>
      <c r="AK716" s="516"/>
      <c r="AL716" s="516"/>
      <c r="AM716" s="383"/>
      <c r="AO716">
        <f ca="1">IF($A716="S",IF(BM!$I716=0,0,CHOOSE(MATCH(RegimeExecucao,{"Global","Unitário"},0),ROUND(ROUND(BM.MEDAcumulado,15-13*BM!$A$9)/100*BM!$I716,15-13*ORÇAMENTO!$AF$11),ROUND(ROUND(BM.MEDAcumulado,15-13*BM!$A$9)*ROUND(BM!$H716,15-13*ORÇAMENTO!$AF$10),15-13*ORÇAMENTO!$AF$11))),IF($A716=0,0,ROUND(SomaAgrupBM,15-13*ORÇAMENTO!$AF$11)))</f>
        <v>0</v>
      </c>
    </row>
    <row r="717" spans="1:41" ht="38.25" x14ac:dyDescent="0.2">
      <c r="A717" t="str">
        <f ca="1">ORÇAMENTO!C717</f>
        <v>S</v>
      </c>
      <c r="B717">
        <f ca="1">ORÇAMENTO!D717</f>
        <v>0</v>
      </c>
      <c r="C717" s="116" t="str">
        <f t="shared" ca="1" si="54"/>
        <v/>
      </c>
      <c r="D717" s="119" t="str">
        <f ca="1">ORÇAMENTO!O717</f>
        <v>-</v>
      </c>
      <c r="E717" s="172" t="str">
        <f t="shared" ca="1" si="60"/>
        <v>(abra o arquivo 'Referência 06-2024.xlsm)</v>
      </c>
      <c r="F717" s="173" t="str">
        <f ca="1">IF(RegimeExecucao="Global","",ORÇAMENTO.Unidade)</f>
        <v/>
      </c>
      <c r="G717" s="124" t="str">
        <f ca="1">IF(RegimeExecucao="Global","",ORÇAMENTO!T717)</f>
        <v/>
      </c>
      <c r="H717" s="124" t="str">
        <f ca="1">IF(RegimeExecucao="Global","",ORÇAMENTO!W717)</f>
        <v/>
      </c>
      <c r="I717" s="127">
        <f ca="1">ORÇAMENTO!X717</f>
        <v>0</v>
      </c>
      <c r="J717" s="378">
        <f ca="1">IF($A717="S",IF(CAIXA.Modo,BM.AFAnterior,BM.MEDAnterior),IF(AND(RegimeExecucao="Global",$I717&gt;0,COUNTIF($AB$13:$AM$13,BM.medicao-1)&gt;0),M717/$I717*100,0))</f>
        <v>0</v>
      </c>
      <c r="K717" s="124">
        <f t="shared" ca="1" si="55"/>
        <v>0</v>
      </c>
      <c r="L717" s="379">
        <f ca="1">IF($A717="S",IF(CAIXA.Modo,BM.AFAcumulado,BM.MEDAcumulado),IF(AND(RegimeExecucao="Global",$I717&gt;0,COUNTIF($AB$13:$AM$13,BM.medicao)&gt;0),O717/$I717*100,0))</f>
        <v>0</v>
      </c>
      <c r="M717" s="380">
        <f ca="1">IF($A717="S",VTOTALBM,IF($A717=0,0,ROUND(SomaAgrupBM,15-13*ORÇAMENTO!$AF$11)))</f>
        <v>0</v>
      </c>
      <c r="N717" s="381">
        <f t="shared" ca="1" si="56"/>
        <v>0</v>
      </c>
      <c r="O717" s="127">
        <f ca="1">IF($A717="S",VTOTALBM,IF($A717=0,0,ROUND(SomaAgrupBM,15-13*ORÇAMENTO!$AF$11)))</f>
        <v>0</v>
      </c>
      <c r="Q717" s="382"/>
      <c r="R717" s="383"/>
      <c r="T717" s="119" t="str">
        <f t="shared" ca="1" si="57"/>
        <v/>
      </c>
      <c r="U717" s="172" t="str">
        <f t="shared" ca="1" si="58"/>
        <v/>
      </c>
      <c r="V717" s="173" t="str">
        <f ca="1">IF(AND($W717&gt;0,RegimeExecucao="Unitário"),$F717,"")</f>
        <v/>
      </c>
      <c r="W717" s="547">
        <f ca="1">IF($Y717&gt;0,CHOOSE(MATCH(RegimeExecucao,{"Unitário","Global"},0),IF($A717="S",$Y717/$X717,""),($Y717/$X717)*100),0)</f>
        <v>0</v>
      </c>
      <c r="X717" s="384" t="str">
        <f ca="1">IF($Y717&gt;0,CHOOSE(MATCH(RegimeExecucao,{"Unitário","Global"},0),IF($A717="S",ROUND($H717,ORÇAMENTO!$AF$10),""),ROUND($I717,ORÇAMENTO!$AF$11)),"")</f>
        <v/>
      </c>
      <c r="Y717" s="384">
        <f t="shared" ca="1" si="59"/>
        <v>0</v>
      </c>
      <c r="Z717" s="572"/>
      <c r="AB717" s="382"/>
      <c r="AC717" s="516"/>
      <c r="AD717" s="516"/>
      <c r="AE717" s="516"/>
      <c r="AF717" s="516"/>
      <c r="AG717" s="516"/>
      <c r="AH717" s="516"/>
      <c r="AI717" s="516"/>
      <c r="AJ717" s="516"/>
      <c r="AK717" s="516"/>
      <c r="AL717" s="516"/>
      <c r="AM717" s="383"/>
      <c r="AO717">
        <f ca="1">IF($A717="S",IF(BM!$I717=0,0,CHOOSE(MATCH(RegimeExecucao,{"Global","Unitário"},0),ROUND(ROUND(BM.MEDAcumulado,15-13*BM!$A$9)/100*BM!$I717,15-13*ORÇAMENTO!$AF$11),ROUND(ROUND(BM.MEDAcumulado,15-13*BM!$A$9)*ROUND(BM!$H717,15-13*ORÇAMENTO!$AF$10),15-13*ORÇAMENTO!$AF$11))),IF($A717=0,0,ROUND(SomaAgrupBM,15-13*ORÇAMENTO!$AF$11)))</f>
        <v>0</v>
      </c>
    </row>
    <row r="718" spans="1:41" ht="51" x14ac:dyDescent="0.2">
      <c r="A718" t="str">
        <f ca="1">ORÇAMENTO!C718</f>
        <v>S</v>
      </c>
      <c r="B718">
        <f ca="1">ORÇAMENTO!D718</f>
        <v>0</v>
      </c>
      <c r="C718" s="116" t="str">
        <f t="shared" ca="1" si="54"/>
        <v/>
      </c>
      <c r="D718" s="119" t="str">
        <f ca="1">ORÇAMENTO!O718</f>
        <v>-</v>
      </c>
      <c r="E718" s="172" t="str">
        <f t="shared" ca="1" si="60"/>
        <v>(abra o arquivo 'Referência 06-2024.xlsm)</v>
      </c>
      <c r="F718" s="173" t="str">
        <f ca="1">IF(RegimeExecucao="Global","",ORÇAMENTO.Unidade)</f>
        <v/>
      </c>
      <c r="G718" s="124" t="str">
        <f ca="1">IF(RegimeExecucao="Global","",ORÇAMENTO!T718)</f>
        <v/>
      </c>
      <c r="H718" s="124" t="str">
        <f ca="1">IF(RegimeExecucao="Global","",ORÇAMENTO!W718)</f>
        <v/>
      </c>
      <c r="I718" s="127">
        <f ca="1">ORÇAMENTO!X718</f>
        <v>0</v>
      </c>
      <c r="J718" s="378">
        <f ca="1">IF($A718="S",IF(CAIXA.Modo,BM.AFAnterior,BM.MEDAnterior),IF(AND(RegimeExecucao="Global",$I718&gt;0,COUNTIF($AB$13:$AM$13,BM.medicao-1)&gt;0),M718/$I718*100,0))</f>
        <v>0</v>
      </c>
      <c r="K718" s="124">
        <f t="shared" ca="1" si="55"/>
        <v>0</v>
      </c>
      <c r="L718" s="379">
        <f ca="1">IF($A718="S",IF(CAIXA.Modo,BM.AFAcumulado,BM.MEDAcumulado),IF(AND(RegimeExecucao="Global",$I718&gt;0,COUNTIF($AB$13:$AM$13,BM.medicao)&gt;0),O718/$I718*100,0))</f>
        <v>0</v>
      </c>
      <c r="M718" s="380">
        <f ca="1">IF($A718="S",VTOTALBM,IF($A718=0,0,ROUND(SomaAgrupBM,15-13*ORÇAMENTO!$AF$11)))</f>
        <v>0</v>
      </c>
      <c r="N718" s="381">
        <f t="shared" ca="1" si="56"/>
        <v>0</v>
      </c>
      <c r="O718" s="127">
        <f ca="1">IF($A718="S",VTOTALBM,IF($A718=0,0,ROUND(SomaAgrupBM,15-13*ORÇAMENTO!$AF$11)))</f>
        <v>0</v>
      </c>
      <c r="Q718" s="382"/>
      <c r="R718" s="383"/>
      <c r="T718" s="119" t="str">
        <f t="shared" ca="1" si="57"/>
        <v/>
      </c>
      <c r="U718" s="172" t="str">
        <f t="shared" ca="1" si="58"/>
        <v/>
      </c>
      <c r="V718" s="173" t="str">
        <f ca="1">IF(AND($W718&gt;0,RegimeExecucao="Unitário"),$F718,"")</f>
        <v/>
      </c>
      <c r="W718" s="547">
        <f ca="1">IF($Y718&gt;0,CHOOSE(MATCH(RegimeExecucao,{"Unitário","Global"},0),IF($A718="S",$Y718/$X718,""),($Y718/$X718)*100),0)</f>
        <v>0</v>
      </c>
      <c r="X718" s="384" t="str">
        <f ca="1">IF($Y718&gt;0,CHOOSE(MATCH(RegimeExecucao,{"Unitário","Global"},0),IF($A718="S",ROUND($H718,ORÇAMENTO!$AF$10),""),ROUND($I718,ORÇAMENTO!$AF$11)),"")</f>
        <v/>
      </c>
      <c r="Y718" s="384">
        <f t="shared" ca="1" si="59"/>
        <v>0</v>
      </c>
      <c r="Z718" s="572"/>
      <c r="AB718" s="382"/>
      <c r="AC718" s="516"/>
      <c r="AD718" s="516"/>
      <c r="AE718" s="516"/>
      <c r="AF718" s="516"/>
      <c r="AG718" s="516"/>
      <c r="AH718" s="516"/>
      <c r="AI718" s="516"/>
      <c r="AJ718" s="516"/>
      <c r="AK718" s="516"/>
      <c r="AL718" s="516"/>
      <c r="AM718" s="383"/>
      <c r="AO718">
        <f ca="1">IF($A718="S",IF(BM!$I718=0,0,CHOOSE(MATCH(RegimeExecucao,{"Global","Unitário"},0),ROUND(ROUND(BM.MEDAcumulado,15-13*BM!$A$9)/100*BM!$I718,15-13*ORÇAMENTO!$AF$11),ROUND(ROUND(BM.MEDAcumulado,15-13*BM!$A$9)*ROUND(BM!$H718,15-13*ORÇAMENTO!$AF$10),15-13*ORÇAMENTO!$AF$11))),IF($A718=0,0,ROUND(SomaAgrupBM,15-13*ORÇAMENTO!$AF$11)))</f>
        <v>0</v>
      </c>
    </row>
    <row r="719" spans="1:41" ht="51" x14ac:dyDescent="0.2">
      <c r="A719" t="str">
        <f ca="1">ORÇAMENTO!C719</f>
        <v>S</v>
      </c>
      <c r="B719">
        <f ca="1">ORÇAMENTO!D719</f>
        <v>0</v>
      </c>
      <c r="C719" s="116" t="str">
        <f t="shared" ca="1" si="54"/>
        <v/>
      </c>
      <c r="D719" s="119" t="str">
        <f ca="1">ORÇAMENTO!O719</f>
        <v>-</v>
      </c>
      <c r="E719" s="172" t="str">
        <f t="shared" ca="1" si="60"/>
        <v>(abra o arquivo 'Referência 06-2024.xlsm)</v>
      </c>
      <c r="F719" s="173" t="str">
        <f ca="1">IF(RegimeExecucao="Global","",ORÇAMENTO.Unidade)</f>
        <v/>
      </c>
      <c r="G719" s="124" t="str">
        <f ca="1">IF(RegimeExecucao="Global","",ORÇAMENTO!T719)</f>
        <v/>
      </c>
      <c r="H719" s="124" t="str">
        <f ca="1">IF(RegimeExecucao="Global","",ORÇAMENTO!W719)</f>
        <v/>
      </c>
      <c r="I719" s="127">
        <f ca="1">ORÇAMENTO!X719</f>
        <v>0</v>
      </c>
      <c r="J719" s="378">
        <f ca="1">IF($A719="S",IF(CAIXA.Modo,BM.AFAnterior,BM.MEDAnterior),IF(AND(RegimeExecucao="Global",$I719&gt;0,COUNTIF($AB$13:$AM$13,BM.medicao-1)&gt;0),M719/$I719*100,0))</f>
        <v>0</v>
      </c>
      <c r="K719" s="124">
        <f t="shared" ca="1" si="55"/>
        <v>0</v>
      </c>
      <c r="L719" s="379">
        <f ca="1">IF($A719="S",IF(CAIXA.Modo,BM.AFAcumulado,BM.MEDAcumulado),IF(AND(RegimeExecucao="Global",$I719&gt;0,COUNTIF($AB$13:$AM$13,BM.medicao)&gt;0),O719/$I719*100,0))</f>
        <v>0</v>
      </c>
      <c r="M719" s="380">
        <f ca="1">IF($A719="S",VTOTALBM,IF($A719=0,0,ROUND(SomaAgrupBM,15-13*ORÇAMENTO!$AF$11)))</f>
        <v>0</v>
      </c>
      <c r="N719" s="381">
        <f t="shared" ca="1" si="56"/>
        <v>0</v>
      </c>
      <c r="O719" s="127">
        <f ca="1">IF($A719="S",VTOTALBM,IF($A719=0,0,ROUND(SomaAgrupBM,15-13*ORÇAMENTO!$AF$11)))</f>
        <v>0</v>
      </c>
      <c r="Q719" s="382"/>
      <c r="R719" s="383"/>
      <c r="T719" s="119" t="str">
        <f t="shared" ca="1" si="57"/>
        <v/>
      </c>
      <c r="U719" s="172" t="str">
        <f t="shared" ca="1" si="58"/>
        <v/>
      </c>
      <c r="V719" s="173" t="str">
        <f ca="1">IF(AND($W719&gt;0,RegimeExecucao="Unitário"),$F719,"")</f>
        <v/>
      </c>
      <c r="W719" s="547">
        <f ca="1">IF($Y719&gt;0,CHOOSE(MATCH(RegimeExecucao,{"Unitário","Global"},0),IF($A719="S",$Y719/$X719,""),($Y719/$X719)*100),0)</f>
        <v>0</v>
      </c>
      <c r="X719" s="384" t="str">
        <f ca="1">IF($Y719&gt;0,CHOOSE(MATCH(RegimeExecucao,{"Unitário","Global"},0),IF($A719="S",ROUND($H719,ORÇAMENTO!$AF$10),""),ROUND($I719,ORÇAMENTO!$AF$11)),"")</f>
        <v/>
      </c>
      <c r="Y719" s="384">
        <f t="shared" ca="1" si="59"/>
        <v>0</v>
      </c>
      <c r="Z719" s="572"/>
      <c r="AB719" s="382"/>
      <c r="AC719" s="516"/>
      <c r="AD719" s="516"/>
      <c r="AE719" s="516"/>
      <c r="AF719" s="516"/>
      <c r="AG719" s="516"/>
      <c r="AH719" s="516"/>
      <c r="AI719" s="516"/>
      <c r="AJ719" s="516"/>
      <c r="AK719" s="516"/>
      <c r="AL719" s="516"/>
      <c r="AM719" s="383"/>
      <c r="AO719">
        <f ca="1">IF($A719="S",IF(BM!$I719=0,0,CHOOSE(MATCH(RegimeExecucao,{"Global","Unitário"},0),ROUND(ROUND(BM.MEDAcumulado,15-13*BM!$A$9)/100*BM!$I719,15-13*ORÇAMENTO!$AF$11),ROUND(ROUND(BM.MEDAcumulado,15-13*BM!$A$9)*ROUND(BM!$H719,15-13*ORÇAMENTO!$AF$10),15-13*ORÇAMENTO!$AF$11))),IF($A719=0,0,ROUND(SomaAgrupBM,15-13*ORÇAMENTO!$AF$11)))</f>
        <v>0</v>
      </c>
    </row>
    <row r="720" spans="1:41" x14ac:dyDescent="0.2">
      <c r="A720" t="str">
        <f ca="1">ORÇAMENTO!C720</f>
        <v>S</v>
      </c>
      <c r="B720">
        <f ca="1">ORÇAMENTO!D720</f>
        <v>0</v>
      </c>
      <c r="C720" s="116" t="str">
        <f t="shared" ca="1" si="54"/>
        <v/>
      </c>
      <c r="D720" s="119" t="str">
        <f ca="1">ORÇAMENTO!O720</f>
        <v>-</v>
      </c>
      <c r="E720" s="172" t="str">
        <f t="shared" ca="1" si="60"/>
        <v>(abra o arquivo 'Referência 06-2024.xlsm)</v>
      </c>
      <c r="F720" s="173" t="str">
        <f ca="1">IF(RegimeExecucao="Global","",ORÇAMENTO.Unidade)</f>
        <v/>
      </c>
      <c r="G720" s="124" t="str">
        <f ca="1">IF(RegimeExecucao="Global","",ORÇAMENTO!T720)</f>
        <v/>
      </c>
      <c r="H720" s="124" t="str">
        <f ca="1">IF(RegimeExecucao="Global","",ORÇAMENTO!W720)</f>
        <v/>
      </c>
      <c r="I720" s="127">
        <f ca="1">ORÇAMENTO!X720</f>
        <v>0</v>
      </c>
      <c r="J720" s="378">
        <f ca="1">IF($A720="S",IF(CAIXA.Modo,BM.AFAnterior,BM.MEDAnterior),IF(AND(RegimeExecucao="Global",$I720&gt;0,COUNTIF($AB$13:$AM$13,BM.medicao-1)&gt;0),M720/$I720*100,0))</f>
        <v>0</v>
      </c>
      <c r="K720" s="124">
        <f t="shared" ca="1" si="55"/>
        <v>0</v>
      </c>
      <c r="L720" s="379">
        <f ca="1">IF($A720="S",IF(CAIXA.Modo,BM.AFAcumulado,BM.MEDAcumulado),IF(AND(RegimeExecucao="Global",$I720&gt;0,COUNTIF($AB$13:$AM$13,BM.medicao)&gt;0),O720/$I720*100,0))</f>
        <v>0</v>
      </c>
      <c r="M720" s="380">
        <f ca="1">IF($A720="S",VTOTALBM,IF($A720=0,0,ROUND(SomaAgrupBM,15-13*ORÇAMENTO!$AF$11)))</f>
        <v>0</v>
      </c>
      <c r="N720" s="381">
        <f t="shared" ca="1" si="56"/>
        <v>0</v>
      </c>
      <c r="O720" s="127">
        <f ca="1">IF($A720="S",VTOTALBM,IF($A720=0,0,ROUND(SomaAgrupBM,15-13*ORÇAMENTO!$AF$11)))</f>
        <v>0</v>
      </c>
      <c r="Q720" s="382"/>
      <c r="R720" s="383"/>
      <c r="T720" s="119" t="str">
        <f t="shared" ca="1" si="57"/>
        <v/>
      </c>
      <c r="U720" s="172" t="str">
        <f t="shared" ca="1" si="58"/>
        <v/>
      </c>
      <c r="V720" s="173" t="str">
        <f ca="1">IF(AND($W720&gt;0,RegimeExecucao="Unitário"),$F720,"")</f>
        <v/>
      </c>
      <c r="W720" s="547">
        <f ca="1">IF($Y720&gt;0,CHOOSE(MATCH(RegimeExecucao,{"Unitário","Global"},0),IF($A720="S",$Y720/$X720,""),($Y720/$X720)*100),0)</f>
        <v>0</v>
      </c>
      <c r="X720" s="384" t="str">
        <f ca="1">IF($Y720&gt;0,CHOOSE(MATCH(RegimeExecucao,{"Unitário","Global"},0),IF($A720="S",ROUND($H720,ORÇAMENTO!$AF$10),""),ROUND($I720,ORÇAMENTO!$AF$11)),"")</f>
        <v/>
      </c>
      <c r="Y720" s="384">
        <f t="shared" ca="1" si="59"/>
        <v>0</v>
      </c>
      <c r="Z720" s="572"/>
      <c r="AB720" s="382"/>
      <c r="AC720" s="516"/>
      <c r="AD720" s="516"/>
      <c r="AE720" s="516"/>
      <c r="AF720" s="516"/>
      <c r="AG720" s="516"/>
      <c r="AH720" s="516"/>
      <c r="AI720" s="516"/>
      <c r="AJ720" s="516"/>
      <c r="AK720" s="516"/>
      <c r="AL720" s="516"/>
      <c r="AM720" s="383"/>
      <c r="AO720">
        <f ca="1">IF($A720="S",IF(BM!$I720=0,0,CHOOSE(MATCH(RegimeExecucao,{"Global","Unitário"},0),ROUND(ROUND(BM.MEDAcumulado,15-13*BM!$A$9)/100*BM!$I720,15-13*ORÇAMENTO!$AF$11),ROUND(ROUND(BM.MEDAcumulado,15-13*BM!$A$9)*ROUND(BM!$H720,15-13*ORÇAMENTO!$AF$10),15-13*ORÇAMENTO!$AF$11))),IF($A720=0,0,ROUND(SomaAgrupBM,15-13*ORÇAMENTO!$AF$11)))</f>
        <v>0</v>
      </c>
    </row>
    <row r="721" spans="1:41" x14ac:dyDescent="0.2">
      <c r="A721">
        <f ca="1">ORÇAMENTO!C721</f>
        <v>2</v>
      </c>
      <c r="B721">
        <f ca="1">ORÇAMENTO!D721</f>
        <v>3</v>
      </c>
      <c r="C721" s="116" t="str">
        <f t="shared" ca="1" si="54"/>
        <v>F</v>
      </c>
      <c r="D721" s="119" t="str">
        <f ca="1">ORÇAMENTO!O721</f>
        <v>1.80.</v>
      </c>
      <c r="E721" s="172" t="str">
        <f t="shared" si="60"/>
        <v>MURO DE FECHAMENTO - PINTURA</v>
      </c>
      <c r="F721" s="173" t="str">
        <f ca="1">IF(RegimeExecucao="Global","",ORÇAMENTO.Unidade)</f>
        <v/>
      </c>
      <c r="G721" s="124" t="str">
        <f ca="1">IF(RegimeExecucao="Global","",ORÇAMENTO!T721)</f>
        <v/>
      </c>
      <c r="H721" s="124" t="str">
        <f ca="1">IF(RegimeExecucao="Global","",ORÇAMENTO!W721)</f>
        <v/>
      </c>
      <c r="I721" s="127">
        <f ca="1">ORÇAMENTO!X721</f>
        <v>0</v>
      </c>
      <c r="J721" s="378">
        <f ca="1">IF($A721="S",IF(CAIXA.Modo,BM.AFAnterior,BM.MEDAnterior),IF(AND(RegimeExecucao="Global",$I721&gt;0,COUNTIF($AB$13:$AM$13,BM.medicao-1)&gt;0),M721/$I721*100,0))</f>
        <v>0</v>
      </c>
      <c r="K721" s="124">
        <f t="shared" ca="1" si="55"/>
        <v>0</v>
      </c>
      <c r="L721" s="379">
        <f ca="1">IF($A721="S",IF(CAIXA.Modo,BM.AFAcumulado,BM.MEDAcumulado),IF(AND(RegimeExecucao="Global",$I721&gt;0,COUNTIF($AB$13:$AM$13,BM.medicao)&gt;0),O721/$I721*100,0))</f>
        <v>0</v>
      </c>
      <c r="M721" s="380">
        <f ca="1">IF($A721="S",VTOTALBM,IF($A721=0,0,ROUND(SomaAgrupBM,15-13*ORÇAMENTO!$AF$11)))</f>
        <v>0</v>
      </c>
      <c r="N721" s="381">
        <f t="shared" ca="1" si="56"/>
        <v>0</v>
      </c>
      <c r="O721" s="127">
        <f ca="1">IF($A721="S",VTOTALBM,IF($A721=0,0,ROUND(SomaAgrupBM,15-13*ORÇAMENTO!$AF$11)))</f>
        <v>0</v>
      </c>
      <c r="Q721" s="382"/>
      <c r="R721" s="383"/>
      <c r="T721" s="119" t="str">
        <f t="shared" ca="1" si="57"/>
        <v/>
      </c>
      <c r="U721" s="172" t="str">
        <f t="shared" ca="1" si="58"/>
        <v/>
      </c>
      <c r="V721" s="173" t="str">
        <f ca="1">IF(AND($W721&gt;0,RegimeExecucao="Unitário"),$F721,"")</f>
        <v/>
      </c>
      <c r="W721" s="547">
        <f ca="1">IF($Y721&gt;0,CHOOSE(MATCH(RegimeExecucao,{"Unitário","Global"},0),IF($A721="S",$Y721/$X721,""),($Y721/$X721)*100),0)</f>
        <v>0</v>
      </c>
      <c r="X721" s="384" t="str">
        <f ca="1">IF($Y721&gt;0,CHOOSE(MATCH(RegimeExecucao,{"Unitário","Global"},0),IF($A721="S",ROUND($H721,ORÇAMENTO!$AF$10),""),ROUND($I721,ORÇAMENTO!$AF$11)),"")</f>
        <v/>
      </c>
      <c r="Y721" s="384">
        <f t="shared" ca="1" si="59"/>
        <v>0</v>
      </c>
      <c r="Z721" s="572"/>
      <c r="AB721" s="382"/>
      <c r="AC721" s="516"/>
      <c r="AD721" s="516"/>
      <c r="AE721" s="516"/>
      <c r="AF721" s="516"/>
      <c r="AG721" s="516"/>
      <c r="AH721" s="516"/>
      <c r="AI721" s="516"/>
      <c r="AJ721" s="516"/>
      <c r="AK721" s="516"/>
      <c r="AL721" s="516"/>
      <c r="AM721" s="383"/>
      <c r="AO721">
        <f ca="1">IF($A721="S",IF(BM!$I721=0,0,CHOOSE(MATCH(RegimeExecucao,{"Global","Unitário"},0),ROUND(ROUND(BM.MEDAcumulado,15-13*BM!$A$9)/100*BM!$I721,15-13*ORÇAMENTO!$AF$11),ROUND(ROUND(BM.MEDAcumulado,15-13*BM!$A$9)*ROUND(BM!$H721,15-13*ORÇAMENTO!$AF$10),15-13*ORÇAMENTO!$AF$11))),IF($A721=0,0,ROUND(SomaAgrupBM,15-13*ORÇAMENTO!$AF$11)))</f>
        <v>0</v>
      </c>
    </row>
    <row r="722" spans="1:41" ht="25.5" x14ac:dyDescent="0.2">
      <c r="A722" t="str">
        <f ca="1">ORÇAMENTO!C722</f>
        <v>S</v>
      </c>
      <c r="B722">
        <f ca="1">ORÇAMENTO!D722</f>
        <v>0</v>
      </c>
      <c r="C722" s="116" t="str">
        <f t="shared" ca="1" si="54"/>
        <v/>
      </c>
      <c r="D722" s="119" t="str">
        <f ca="1">ORÇAMENTO!O722</f>
        <v>-</v>
      </c>
      <c r="E722" s="172" t="str">
        <f t="shared" ca="1" si="60"/>
        <v>(abra o arquivo 'Referência 06-2024.xlsm)</v>
      </c>
      <c r="F722" s="173" t="str">
        <f ca="1">IF(RegimeExecucao="Global","",ORÇAMENTO.Unidade)</f>
        <v/>
      </c>
      <c r="G722" s="124" t="str">
        <f ca="1">IF(RegimeExecucao="Global","",ORÇAMENTO!T722)</f>
        <v/>
      </c>
      <c r="H722" s="124" t="str">
        <f ca="1">IF(RegimeExecucao="Global","",ORÇAMENTO!W722)</f>
        <v/>
      </c>
      <c r="I722" s="127">
        <f ca="1">ORÇAMENTO!X722</f>
        <v>0</v>
      </c>
      <c r="J722" s="378">
        <f ca="1">IF($A722="S",IF(CAIXA.Modo,BM.AFAnterior,BM.MEDAnterior),IF(AND(RegimeExecucao="Global",$I722&gt;0,COUNTIF($AB$13:$AM$13,BM.medicao-1)&gt;0),M722/$I722*100,0))</f>
        <v>0</v>
      </c>
      <c r="K722" s="124">
        <f t="shared" ca="1" si="55"/>
        <v>0</v>
      </c>
      <c r="L722" s="379">
        <f ca="1">IF($A722="S",IF(CAIXA.Modo,BM.AFAcumulado,BM.MEDAcumulado),IF(AND(RegimeExecucao="Global",$I722&gt;0,COUNTIF($AB$13:$AM$13,BM.medicao)&gt;0),O722/$I722*100,0))</f>
        <v>0</v>
      </c>
      <c r="M722" s="380">
        <f ca="1">IF($A722="S",VTOTALBM,IF($A722=0,0,ROUND(SomaAgrupBM,15-13*ORÇAMENTO!$AF$11)))</f>
        <v>0</v>
      </c>
      <c r="N722" s="381">
        <f t="shared" ca="1" si="56"/>
        <v>0</v>
      </c>
      <c r="O722" s="127">
        <f ca="1">IF($A722="S",VTOTALBM,IF($A722=0,0,ROUND(SomaAgrupBM,15-13*ORÇAMENTO!$AF$11)))</f>
        <v>0</v>
      </c>
      <c r="Q722" s="382"/>
      <c r="R722" s="383"/>
      <c r="T722" s="119" t="str">
        <f t="shared" ca="1" si="57"/>
        <v/>
      </c>
      <c r="U722" s="172" t="str">
        <f t="shared" ca="1" si="58"/>
        <v/>
      </c>
      <c r="V722" s="173" t="str">
        <f ca="1">IF(AND($W722&gt;0,RegimeExecucao="Unitário"),$F722,"")</f>
        <v/>
      </c>
      <c r="W722" s="547">
        <f ca="1">IF($Y722&gt;0,CHOOSE(MATCH(RegimeExecucao,{"Unitário","Global"},0),IF($A722="S",$Y722/$X722,""),($Y722/$X722)*100),0)</f>
        <v>0</v>
      </c>
      <c r="X722" s="384" t="str">
        <f ca="1">IF($Y722&gt;0,CHOOSE(MATCH(RegimeExecucao,{"Unitário","Global"},0),IF($A722="S",ROUND($H722,ORÇAMENTO!$AF$10),""),ROUND($I722,ORÇAMENTO!$AF$11)),"")</f>
        <v/>
      </c>
      <c r="Y722" s="384">
        <f t="shared" ca="1" si="59"/>
        <v>0</v>
      </c>
      <c r="Z722" s="572"/>
      <c r="AB722" s="382"/>
      <c r="AC722" s="516"/>
      <c r="AD722" s="516"/>
      <c r="AE722" s="516"/>
      <c r="AF722" s="516"/>
      <c r="AG722" s="516"/>
      <c r="AH722" s="516"/>
      <c r="AI722" s="516"/>
      <c r="AJ722" s="516"/>
      <c r="AK722" s="516"/>
      <c r="AL722" s="516"/>
      <c r="AM722" s="383"/>
      <c r="AO722">
        <f ca="1">IF($A722="S",IF(BM!$I722=0,0,CHOOSE(MATCH(RegimeExecucao,{"Global","Unitário"},0),ROUND(ROUND(BM.MEDAcumulado,15-13*BM!$A$9)/100*BM!$I722,15-13*ORÇAMENTO!$AF$11),ROUND(ROUND(BM.MEDAcumulado,15-13*BM!$A$9)*ROUND(BM!$H722,15-13*ORÇAMENTO!$AF$10),15-13*ORÇAMENTO!$AF$11))),IF($A722=0,0,ROUND(SomaAgrupBM,15-13*ORÇAMENTO!$AF$11)))</f>
        <v>0</v>
      </c>
    </row>
    <row r="723" spans="1:41" ht="38.25" x14ac:dyDescent="0.2">
      <c r="A723" t="str">
        <f ca="1">ORÇAMENTO!C723</f>
        <v>S</v>
      </c>
      <c r="B723">
        <f ca="1">ORÇAMENTO!D723</f>
        <v>0</v>
      </c>
      <c r="C723" s="116" t="str">
        <f t="shared" ca="1" si="54"/>
        <v/>
      </c>
      <c r="D723" s="119" t="str">
        <f ca="1">ORÇAMENTO!O723</f>
        <v>-</v>
      </c>
      <c r="E723" s="172" t="str">
        <f t="shared" ca="1" si="60"/>
        <v>(abra o arquivo 'Referência 06-2024.xlsm)</v>
      </c>
      <c r="F723" s="173" t="str">
        <f ca="1">IF(RegimeExecucao="Global","",ORÇAMENTO.Unidade)</f>
        <v/>
      </c>
      <c r="G723" s="124" t="str">
        <f ca="1">IF(RegimeExecucao="Global","",ORÇAMENTO!T723)</f>
        <v/>
      </c>
      <c r="H723" s="124" t="str">
        <f ca="1">IF(RegimeExecucao="Global","",ORÇAMENTO!W723)</f>
        <v/>
      </c>
      <c r="I723" s="127">
        <f ca="1">ORÇAMENTO!X723</f>
        <v>0</v>
      </c>
      <c r="J723" s="378">
        <f ca="1">IF($A723="S",IF(CAIXA.Modo,BM.AFAnterior,BM.MEDAnterior),IF(AND(RegimeExecucao="Global",$I723&gt;0,COUNTIF($AB$13:$AM$13,BM.medicao-1)&gt;0),M723/$I723*100,0))</f>
        <v>0</v>
      </c>
      <c r="K723" s="124">
        <f t="shared" ca="1" si="55"/>
        <v>0</v>
      </c>
      <c r="L723" s="379">
        <f ca="1">IF($A723="S",IF(CAIXA.Modo,BM.AFAcumulado,BM.MEDAcumulado),IF(AND(RegimeExecucao="Global",$I723&gt;0,COUNTIF($AB$13:$AM$13,BM.medicao)&gt;0),O723/$I723*100,0))</f>
        <v>0</v>
      </c>
      <c r="M723" s="380">
        <f ca="1">IF($A723="S",VTOTALBM,IF($A723=0,0,ROUND(SomaAgrupBM,15-13*ORÇAMENTO!$AF$11)))</f>
        <v>0</v>
      </c>
      <c r="N723" s="381">
        <f t="shared" ca="1" si="56"/>
        <v>0</v>
      </c>
      <c r="O723" s="127">
        <f ca="1">IF($A723="S",VTOTALBM,IF($A723=0,0,ROUND(SomaAgrupBM,15-13*ORÇAMENTO!$AF$11)))</f>
        <v>0</v>
      </c>
      <c r="Q723" s="382"/>
      <c r="R723" s="383"/>
      <c r="T723" s="119" t="str">
        <f t="shared" ca="1" si="57"/>
        <v/>
      </c>
      <c r="U723" s="172" t="str">
        <f t="shared" ca="1" si="58"/>
        <v/>
      </c>
      <c r="V723" s="173" t="str">
        <f ca="1">IF(AND($W723&gt;0,RegimeExecucao="Unitário"),$F723,"")</f>
        <v/>
      </c>
      <c r="W723" s="547">
        <f ca="1">IF($Y723&gt;0,CHOOSE(MATCH(RegimeExecucao,{"Unitário","Global"},0),IF($A723="S",$Y723/$X723,""),($Y723/$X723)*100),0)</f>
        <v>0</v>
      </c>
      <c r="X723" s="384" t="str">
        <f ca="1">IF($Y723&gt;0,CHOOSE(MATCH(RegimeExecucao,{"Unitário","Global"},0),IF($A723="S",ROUND($H723,ORÇAMENTO!$AF$10),""),ROUND($I723,ORÇAMENTO!$AF$11)),"")</f>
        <v/>
      </c>
      <c r="Y723" s="384">
        <f t="shared" ca="1" si="59"/>
        <v>0</v>
      </c>
      <c r="Z723" s="572"/>
      <c r="AB723" s="382"/>
      <c r="AC723" s="516"/>
      <c r="AD723" s="516"/>
      <c r="AE723" s="516"/>
      <c r="AF723" s="516"/>
      <c r="AG723" s="516"/>
      <c r="AH723" s="516"/>
      <c r="AI723" s="516"/>
      <c r="AJ723" s="516"/>
      <c r="AK723" s="516"/>
      <c r="AL723" s="516"/>
      <c r="AM723" s="383"/>
      <c r="AO723">
        <f ca="1">IF($A723="S",IF(BM!$I723=0,0,CHOOSE(MATCH(RegimeExecucao,{"Global","Unitário"},0),ROUND(ROUND(BM.MEDAcumulado,15-13*BM!$A$9)/100*BM!$I723,15-13*ORÇAMENTO!$AF$11),ROUND(ROUND(BM.MEDAcumulado,15-13*BM!$A$9)*ROUND(BM!$H723,15-13*ORÇAMENTO!$AF$10),15-13*ORÇAMENTO!$AF$11))),IF($A723=0,0,ROUND(SomaAgrupBM,15-13*ORÇAMENTO!$AF$11)))</f>
        <v>0</v>
      </c>
    </row>
    <row r="724" spans="1:41" x14ac:dyDescent="0.2">
      <c r="A724">
        <f ca="1">ORÇAMENTO!C724</f>
        <v>2</v>
      </c>
      <c r="B724">
        <f ca="1">ORÇAMENTO!D724</f>
        <v>3</v>
      </c>
      <c r="C724" s="116" t="str">
        <f t="shared" ca="1" si="54"/>
        <v>F</v>
      </c>
      <c r="D724" s="119" t="str">
        <f ca="1">ORÇAMENTO!O724</f>
        <v>1.81.</v>
      </c>
      <c r="E724" s="172" t="str">
        <f t="shared" si="60"/>
        <v>SERVIÇOS FINAIS</v>
      </c>
      <c r="F724" s="173" t="str">
        <f ca="1">IF(RegimeExecucao="Global","",ORÇAMENTO.Unidade)</f>
        <v/>
      </c>
      <c r="G724" s="124" t="str">
        <f ca="1">IF(RegimeExecucao="Global","",ORÇAMENTO!T724)</f>
        <v/>
      </c>
      <c r="H724" s="124" t="str">
        <f ca="1">IF(RegimeExecucao="Global","",ORÇAMENTO!W724)</f>
        <v/>
      </c>
      <c r="I724" s="127">
        <f ca="1">ORÇAMENTO!X724</f>
        <v>0</v>
      </c>
      <c r="J724" s="378">
        <f ca="1">IF($A724="S",IF(CAIXA.Modo,BM.AFAnterior,BM.MEDAnterior),IF(AND(RegimeExecucao="Global",$I724&gt;0,COUNTIF($AB$13:$AM$13,BM.medicao-1)&gt;0),M724/$I724*100,0))</f>
        <v>0</v>
      </c>
      <c r="K724" s="124">
        <f t="shared" ca="1" si="55"/>
        <v>0</v>
      </c>
      <c r="L724" s="379">
        <f ca="1">IF($A724="S",IF(CAIXA.Modo,BM.AFAcumulado,BM.MEDAcumulado),IF(AND(RegimeExecucao="Global",$I724&gt;0,COUNTIF($AB$13:$AM$13,BM.medicao)&gt;0),O724/$I724*100,0))</f>
        <v>0</v>
      </c>
      <c r="M724" s="380">
        <f ca="1">IF($A724="S",VTOTALBM,IF($A724=0,0,ROUND(SomaAgrupBM,15-13*ORÇAMENTO!$AF$11)))</f>
        <v>0</v>
      </c>
      <c r="N724" s="381">
        <f t="shared" ca="1" si="56"/>
        <v>0</v>
      </c>
      <c r="O724" s="127">
        <f ca="1">IF($A724="S",VTOTALBM,IF($A724=0,0,ROUND(SomaAgrupBM,15-13*ORÇAMENTO!$AF$11)))</f>
        <v>0</v>
      </c>
      <c r="Q724" s="382"/>
      <c r="R724" s="383"/>
      <c r="T724" s="119" t="str">
        <f t="shared" ca="1" si="57"/>
        <v/>
      </c>
      <c r="U724" s="172" t="str">
        <f t="shared" ca="1" si="58"/>
        <v/>
      </c>
      <c r="V724" s="173" t="str">
        <f ca="1">IF(AND($W724&gt;0,RegimeExecucao="Unitário"),$F724,"")</f>
        <v/>
      </c>
      <c r="W724" s="547">
        <f ca="1">IF($Y724&gt;0,CHOOSE(MATCH(RegimeExecucao,{"Unitário","Global"},0),IF($A724="S",$Y724/$X724,""),($Y724/$X724)*100),0)</f>
        <v>0</v>
      </c>
      <c r="X724" s="384" t="str">
        <f ca="1">IF($Y724&gt;0,CHOOSE(MATCH(RegimeExecucao,{"Unitário","Global"},0),IF($A724="S",ROUND($H724,ORÇAMENTO!$AF$10),""),ROUND($I724,ORÇAMENTO!$AF$11)),"")</f>
        <v/>
      </c>
      <c r="Y724" s="384">
        <f t="shared" ca="1" si="59"/>
        <v>0</v>
      </c>
      <c r="Z724" s="572"/>
      <c r="AB724" s="382"/>
      <c r="AC724" s="516"/>
      <c r="AD724" s="516"/>
      <c r="AE724" s="516"/>
      <c r="AF724" s="516"/>
      <c r="AG724" s="516"/>
      <c r="AH724" s="516"/>
      <c r="AI724" s="516"/>
      <c r="AJ724" s="516"/>
      <c r="AK724" s="516"/>
      <c r="AL724" s="516"/>
      <c r="AM724" s="383"/>
      <c r="AO724">
        <f ca="1">IF($A724="S",IF(BM!$I724=0,0,CHOOSE(MATCH(RegimeExecucao,{"Global","Unitário"},0),ROUND(ROUND(BM.MEDAcumulado,15-13*BM!$A$9)/100*BM!$I724,15-13*ORÇAMENTO!$AF$11),ROUND(ROUND(BM.MEDAcumulado,15-13*BM!$A$9)*ROUND(BM!$H724,15-13*ORÇAMENTO!$AF$10),15-13*ORÇAMENTO!$AF$11))),IF($A724=0,0,ROUND(SomaAgrupBM,15-13*ORÇAMENTO!$AF$11)))</f>
        <v>0</v>
      </c>
    </row>
    <row r="725" spans="1:41" ht="25.5" x14ac:dyDescent="0.2">
      <c r="A725" t="str">
        <f ca="1">ORÇAMENTO!C725</f>
        <v>S</v>
      </c>
      <c r="B725">
        <f ca="1">ORÇAMENTO!D725</f>
        <v>0</v>
      </c>
      <c r="C725" s="116" t="str">
        <f t="shared" ca="1" si="54"/>
        <v/>
      </c>
      <c r="D725" s="119" t="str">
        <f ca="1">ORÇAMENTO!O725</f>
        <v>-</v>
      </c>
      <c r="E725" s="172" t="str">
        <f t="shared" ca="1" si="60"/>
        <v>(abra o arquivo 'Referência 06-2024.xlsm)</v>
      </c>
      <c r="F725" s="173" t="str">
        <f ca="1">IF(RegimeExecucao="Global","",ORÇAMENTO.Unidade)</f>
        <v/>
      </c>
      <c r="G725" s="124" t="str">
        <f ca="1">IF(RegimeExecucao="Global","",ORÇAMENTO!T725)</f>
        <v/>
      </c>
      <c r="H725" s="124" t="str">
        <f ca="1">IF(RegimeExecucao="Global","",ORÇAMENTO!W725)</f>
        <v/>
      </c>
      <c r="I725" s="127">
        <f ca="1">ORÇAMENTO!X725</f>
        <v>0</v>
      </c>
      <c r="J725" s="378">
        <f ca="1">IF($A725="S",IF(CAIXA.Modo,BM.AFAnterior,BM.MEDAnterior),IF(AND(RegimeExecucao="Global",$I725&gt;0,COUNTIF($AB$13:$AM$13,BM.medicao-1)&gt;0),M725/$I725*100,0))</f>
        <v>0</v>
      </c>
      <c r="K725" s="124">
        <f t="shared" ca="1" si="55"/>
        <v>0</v>
      </c>
      <c r="L725" s="379">
        <f ca="1">IF($A725="S",IF(CAIXA.Modo,BM.AFAcumulado,BM.MEDAcumulado),IF(AND(RegimeExecucao="Global",$I725&gt;0,COUNTIF($AB$13:$AM$13,BM.medicao)&gt;0),O725/$I725*100,0))</f>
        <v>0</v>
      </c>
      <c r="M725" s="380">
        <f ca="1">IF($A725="S",VTOTALBM,IF($A725=0,0,ROUND(SomaAgrupBM,15-13*ORÇAMENTO!$AF$11)))</f>
        <v>0</v>
      </c>
      <c r="N725" s="381">
        <f t="shared" ca="1" si="56"/>
        <v>0</v>
      </c>
      <c r="O725" s="127">
        <f ca="1">IF($A725="S",VTOTALBM,IF($A725=0,0,ROUND(SomaAgrupBM,15-13*ORÇAMENTO!$AF$11)))</f>
        <v>0</v>
      </c>
      <c r="Q725" s="382"/>
      <c r="R725" s="383"/>
      <c r="T725" s="119" t="str">
        <f t="shared" ca="1" si="57"/>
        <v/>
      </c>
      <c r="U725" s="172" t="str">
        <f t="shared" ca="1" si="58"/>
        <v/>
      </c>
      <c r="V725" s="173" t="str">
        <f ca="1">IF(AND($W725&gt;0,RegimeExecucao="Unitário"),$F725,"")</f>
        <v/>
      </c>
      <c r="W725" s="547">
        <f ca="1">IF($Y725&gt;0,CHOOSE(MATCH(RegimeExecucao,{"Unitário","Global"},0),IF($A725="S",$Y725/$X725,""),($Y725/$X725)*100),0)</f>
        <v>0</v>
      </c>
      <c r="X725" s="384" t="str">
        <f ca="1">IF($Y725&gt;0,CHOOSE(MATCH(RegimeExecucao,{"Unitário","Global"},0),IF($A725="S",ROUND($H725,ORÇAMENTO!$AF$10),""),ROUND($I725,ORÇAMENTO!$AF$11)),"")</f>
        <v/>
      </c>
      <c r="Y725" s="384">
        <f t="shared" ca="1" si="59"/>
        <v>0</v>
      </c>
      <c r="Z725" s="572"/>
      <c r="AB725" s="382"/>
      <c r="AC725" s="516"/>
      <c r="AD725" s="516"/>
      <c r="AE725" s="516"/>
      <c r="AF725" s="516"/>
      <c r="AG725" s="516"/>
      <c r="AH725" s="516"/>
      <c r="AI725" s="516"/>
      <c r="AJ725" s="516"/>
      <c r="AK725" s="516"/>
      <c r="AL725" s="516"/>
      <c r="AM725" s="383"/>
      <c r="AO725">
        <f ca="1">IF($A725="S",IF(BM!$I725=0,0,CHOOSE(MATCH(RegimeExecucao,{"Global","Unitário"},0),ROUND(ROUND(BM.MEDAcumulado,15-13*BM!$A$9)/100*BM!$I725,15-13*ORÇAMENTO!$AF$11),ROUND(ROUND(BM.MEDAcumulado,15-13*BM!$A$9)*ROUND(BM!$H725,15-13*ORÇAMENTO!$AF$10),15-13*ORÇAMENTO!$AF$11))),IF($A725=0,0,ROUND(SomaAgrupBM,15-13*ORÇAMENTO!$AF$11)))</f>
        <v>0</v>
      </c>
    </row>
    <row r="726" spans="1:41" ht="25.5" x14ac:dyDescent="0.2">
      <c r="A726" t="str">
        <f ca="1">ORÇAMENTO!C726</f>
        <v>S</v>
      </c>
      <c r="B726">
        <f ca="1">ORÇAMENTO!D726</f>
        <v>0</v>
      </c>
      <c r="C726" s="116" t="str">
        <f t="shared" ca="1" si="54"/>
        <v/>
      </c>
      <c r="D726" s="119" t="str">
        <f ca="1">ORÇAMENTO!O726</f>
        <v>-</v>
      </c>
      <c r="E726" s="172" t="str">
        <f t="shared" ca="1" si="60"/>
        <v>(abra o arquivo 'Referência 06-2024.xlsm)</v>
      </c>
      <c r="F726" s="173" t="str">
        <f ca="1">IF(RegimeExecucao="Global","",ORÇAMENTO.Unidade)</f>
        <v/>
      </c>
      <c r="G726" s="124" t="str">
        <f ca="1">IF(RegimeExecucao="Global","",ORÇAMENTO!T726)</f>
        <v/>
      </c>
      <c r="H726" s="124" t="str">
        <f ca="1">IF(RegimeExecucao="Global","",ORÇAMENTO!W726)</f>
        <v/>
      </c>
      <c r="I726" s="127">
        <f ca="1">ORÇAMENTO!X726</f>
        <v>0</v>
      </c>
      <c r="J726" s="378">
        <f ca="1">IF($A726="S",IF(CAIXA.Modo,BM.AFAnterior,BM.MEDAnterior),IF(AND(RegimeExecucao="Global",$I726&gt;0,COUNTIF($AB$13:$AM$13,BM.medicao-1)&gt;0),M726/$I726*100,0))</f>
        <v>0</v>
      </c>
      <c r="K726" s="124">
        <f t="shared" ca="1" si="55"/>
        <v>0</v>
      </c>
      <c r="L726" s="379">
        <f ca="1">IF($A726="S",IF(CAIXA.Modo,BM.AFAcumulado,BM.MEDAcumulado),IF(AND(RegimeExecucao="Global",$I726&gt;0,COUNTIF($AB$13:$AM$13,BM.medicao)&gt;0),O726/$I726*100,0))</f>
        <v>0</v>
      </c>
      <c r="M726" s="380">
        <f ca="1">IF($A726="S",VTOTALBM,IF($A726=0,0,ROUND(SomaAgrupBM,15-13*ORÇAMENTO!$AF$11)))</f>
        <v>0</v>
      </c>
      <c r="N726" s="381">
        <f t="shared" ca="1" si="56"/>
        <v>0</v>
      </c>
      <c r="O726" s="127">
        <f ca="1">IF($A726="S",VTOTALBM,IF($A726=0,0,ROUND(SomaAgrupBM,15-13*ORÇAMENTO!$AF$11)))</f>
        <v>0</v>
      </c>
      <c r="Q726" s="382"/>
      <c r="R726" s="383"/>
      <c r="T726" s="119" t="str">
        <f t="shared" ca="1" si="57"/>
        <v/>
      </c>
      <c r="U726" s="172" t="str">
        <f t="shared" ca="1" si="58"/>
        <v/>
      </c>
      <c r="V726" s="173" t="str">
        <f ca="1">IF(AND($W726&gt;0,RegimeExecucao="Unitário"),$F726,"")</f>
        <v/>
      </c>
      <c r="W726" s="547">
        <f ca="1">IF($Y726&gt;0,CHOOSE(MATCH(RegimeExecucao,{"Unitário","Global"},0),IF($A726="S",$Y726/$X726,""),($Y726/$X726)*100),0)</f>
        <v>0</v>
      </c>
      <c r="X726" s="384" t="str">
        <f ca="1">IF($Y726&gt;0,CHOOSE(MATCH(RegimeExecucao,{"Unitário","Global"},0),IF($A726="S",ROUND($H726,ORÇAMENTO!$AF$10),""),ROUND($I726,ORÇAMENTO!$AF$11)),"")</f>
        <v/>
      </c>
      <c r="Y726" s="384">
        <f t="shared" ca="1" si="59"/>
        <v>0</v>
      </c>
      <c r="Z726" s="572"/>
      <c r="AB726" s="382"/>
      <c r="AC726" s="516"/>
      <c r="AD726" s="516"/>
      <c r="AE726" s="516"/>
      <c r="AF726" s="516"/>
      <c r="AG726" s="516"/>
      <c r="AH726" s="516"/>
      <c r="AI726" s="516"/>
      <c r="AJ726" s="516"/>
      <c r="AK726" s="516"/>
      <c r="AL726" s="516"/>
      <c r="AM726" s="383"/>
      <c r="AO726">
        <f ca="1">IF($A726="S",IF(BM!$I726=0,0,CHOOSE(MATCH(RegimeExecucao,{"Global","Unitário"},0),ROUND(ROUND(BM.MEDAcumulado,15-13*BM!$A$9)/100*BM!$I726,15-13*ORÇAMENTO!$AF$11),ROUND(ROUND(BM.MEDAcumulado,15-13*BM!$A$9)*ROUND(BM!$H726,15-13*ORÇAMENTO!$AF$10),15-13*ORÇAMENTO!$AF$11))),IF($A726=0,0,ROUND(SomaAgrupBM,15-13*ORÇAMENTO!$AF$11)))</f>
        <v>0</v>
      </c>
    </row>
    <row r="727" spans="1:41" ht="5.0999999999999996" customHeight="1" x14ac:dyDescent="0.2">
      <c r="C727" s="116" t="s">
        <v>246</v>
      </c>
      <c r="D727" s="484"/>
      <c r="E727" s="485"/>
      <c r="F727" s="485"/>
      <c r="G727" s="485"/>
      <c r="H727" s="485"/>
      <c r="I727" s="486"/>
      <c r="J727" s="484"/>
      <c r="K727" s="485"/>
      <c r="L727" s="486"/>
      <c r="M727" s="513"/>
      <c r="N727" s="514"/>
      <c r="O727" s="515"/>
      <c r="Q727" s="484"/>
      <c r="R727" s="486"/>
      <c r="T727" s="484"/>
      <c r="U727" s="485"/>
      <c r="V727" s="485"/>
      <c r="W727" s="485"/>
      <c r="X727" s="485"/>
      <c r="Y727" s="485"/>
      <c r="Z727" s="486"/>
      <c r="AB727" s="484"/>
      <c r="AC727" s="485"/>
      <c r="AD727" s="485"/>
      <c r="AE727" s="485"/>
      <c r="AF727" s="485"/>
      <c r="AG727" s="485"/>
      <c r="AH727" s="485"/>
      <c r="AI727" s="485"/>
      <c r="AJ727" s="485"/>
      <c r="AK727" s="485"/>
      <c r="AL727" s="485"/>
      <c r="AM727" s="486"/>
    </row>
    <row r="729" spans="1:41" ht="14.25" x14ac:dyDescent="0.2">
      <c r="D729" s="681" t="s">
        <v>187</v>
      </c>
      <c r="E729" s="681"/>
      <c r="F729" s="681"/>
      <c r="G729" s="681"/>
      <c r="H729" s="681"/>
      <c r="I729" s="681"/>
      <c r="J729" s="681"/>
      <c r="K729" s="681"/>
      <c r="L729" s="681"/>
      <c r="M729" s="681"/>
      <c r="N729" s="681"/>
      <c r="O729" s="681"/>
      <c r="T729" s="682" t="s">
        <v>353</v>
      </c>
      <c r="U729" s="682"/>
      <c r="V729" s="682"/>
      <c r="W729" s="682"/>
      <c r="X729" s="682"/>
      <c r="Y729" s="682"/>
      <c r="Z729" s="682"/>
    </row>
    <row r="730" spans="1:41" ht="12.75" customHeight="1" x14ac:dyDescent="0.2">
      <c r="D730" s="620"/>
      <c r="E730" s="620"/>
      <c r="F730" s="620"/>
      <c r="G730" s="620"/>
      <c r="H730" s="620"/>
      <c r="I730" s="620"/>
      <c r="J730" s="620"/>
      <c r="K730" s="620"/>
      <c r="L730" s="620"/>
      <c r="M730" s="620"/>
      <c r="N730" s="620"/>
      <c r="O730" s="620"/>
      <c r="T730" s="683"/>
      <c r="U730" s="683"/>
      <c r="V730" s="683"/>
      <c r="W730" s="683"/>
      <c r="X730" s="683"/>
      <c r="Y730" s="683"/>
      <c r="Z730" s="683"/>
    </row>
    <row r="731" spans="1:41" ht="12.75" customHeight="1" x14ac:dyDescent="0.2">
      <c r="D731" s="620"/>
      <c r="E731" s="620"/>
      <c r="F731" s="620"/>
      <c r="G731" s="620"/>
      <c r="H731" s="620"/>
      <c r="I731" s="620"/>
      <c r="J731" s="620"/>
      <c r="K731" s="620"/>
      <c r="L731" s="620"/>
      <c r="M731" s="620"/>
      <c r="N731" s="620"/>
      <c r="O731" s="620"/>
      <c r="T731" s="683"/>
      <c r="U731" s="683"/>
      <c r="V731" s="683"/>
      <c r="W731" s="683"/>
      <c r="X731" s="683"/>
      <c r="Y731" s="683"/>
      <c r="Z731" s="683"/>
    </row>
    <row r="732" spans="1:41" ht="12.75" customHeight="1" x14ac:dyDescent="0.2">
      <c r="D732" s="620"/>
      <c r="E732" s="620"/>
      <c r="F732" s="620"/>
      <c r="G732" s="620"/>
      <c r="H732" s="620"/>
      <c r="I732" s="620"/>
      <c r="J732" s="620"/>
      <c r="K732" s="620"/>
      <c r="L732" s="620"/>
      <c r="M732" s="620"/>
      <c r="N732" s="620"/>
      <c r="O732" s="620"/>
      <c r="T732" s="683"/>
      <c r="U732" s="683"/>
      <c r="V732" s="683"/>
      <c r="W732" s="683"/>
      <c r="X732" s="683"/>
      <c r="Y732" s="683"/>
      <c r="Z732" s="683"/>
    </row>
    <row r="733" spans="1:41" ht="14.25" x14ac:dyDescent="0.2">
      <c r="D733" s="534"/>
      <c r="E733" s="534"/>
      <c r="F733" s="534"/>
      <c r="G733" s="534"/>
      <c r="H733" s="534"/>
      <c r="I733" s="534"/>
      <c r="J733" s="534"/>
      <c r="K733" s="534"/>
      <c r="L733" s="534"/>
      <c r="M733" s="534"/>
      <c r="N733" s="534"/>
      <c r="O733" s="534"/>
    </row>
    <row r="734" spans="1:41" ht="15" customHeight="1" x14ac:dyDescent="0.25">
      <c r="D734" s="621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734" s="621"/>
      <c r="F734" s="621"/>
      <c r="G734" s="621"/>
      <c r="H734" s="621"/>
      <c r="I734" s="621"/>
      <c r="J734" s="621"/>
      <c r="K734" s="621"/>
      <c r="L734" s="621"/>
    </row>
    <row r="735" spans="1:41" x14ac:dyDescent="0.2">
      <c r="D735" s="679"/>
      <c r="E735" s="679"/>
      <c r="F735" s="679"/>
      <c r="G735" s="679"/>
      <c r="H735" s="679"/>
      <c r="I735" s="679"/>
    </row>
    <row r="736" spans="1:41" x14ac:dyDescent="0.2">
      <c r="D736" s="67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736" s="677"/>
      <c r="F736" s="677"/>
      <c r="G736" s="677"/>
      <c r="H736" s="677"/>
      <c r="I736" s="677"/>
      <c r="J736" s="677"/>
      <c r="K736" s="677"/>
      <c r="L736" s="677"/>
      <c r="M736" s="677"/>
      <c r="N736" s="677"/>
      <c r="O736" s="677"/>
    </row>
    <row r="737" spans="5:26" ht="39.950000000000003" customHeight="1" x14ac:dyDescent="0.2">
      <c r="E737" s="144" t="str">
        <f>Import.Município</f>
        <v>DOIS VIZINHOS - PR</v>
      </c>
      <c r="J737" s="678"/>
      <c r="K737" s="678"/>
      <c r="L737" s="678"/>
      <c r="M737" s="678"/>
      <c r="W737" s="678"/>
      <c r="X737" s="678"/>
      <c r="Y737" s="678"/>
      <c r="Z737" s="678"/>
    </row>
    <row r="738" spans="5:26" x14ac:dyDescent="0.2">
      <c r="E738" s="10" t="s">
        <v>188</v>
      </c>
      <c r="J738" s="195" t="s">
        <v>302</v>
      </c>
      <c r="W738" s="195" t="s">
        <v>354</v>
      </c>
    </row>
    <row r="739" spans="5:26" x14ac:dyDescent="0.2">
      <c r="J739" s="78" t="s">
        <v>108</v>
      </c>
      <c r="K739" s="312">
        <f t="array" ref="K739:K742">Import.RespFiscalização</f>
        <v>0</v>
      </c>
      <c r="L739" s="79"/>
      <c r="W739" s="78" t="s">
        <v>108</v>
      </c>
      <c r="X739" s="676"/>
      <c r="Y739" s="676"/>
      <c r="Z739" s="676"/>
    </row>
    <row r="740" spans="5:26" x14ac:dyDescent="0.2">
      <c r="E740" s="552">
        <f ca="1">DADOS!$F$48</f>
        <v>45663</v>
      </c>
      <c r="J740" s="78" t="s">
        <v>127</v>
      </c>
      <c r="K740" s="312">
        <v>0</v>
      </c>
      <c r="L740" s="79"/>
      <c r="W740" s="78" t="s">
        <v>355</v>
      </c>
      <c r="X740" s="676"/>
      <c r="Y740" s="676"/>
      <c r="Z740" s="676"/>
    </row>
    <row r="741" spans="5:26" x14ac:dyDescent="0.2">
      <c r="E741" s="146" t="s">
        <v>189</v>
      </c>
      <c r="J741" s="78" t="s">
        <v>109</v>
      </c>
      <c r="K741" s="312">
        <v>0</v>
      </c>
      <c r="L741" s="79"/>
      <c r="W741" s="78" t="s">
        <v>109</v>
      </c>
      <c r="X741" s="676"/>
      <c r="Y741" s="676"/>
      <c r="Z741" s="676"/>
    </row>
    <row r="742" spans="5:26" x14ac:dyDescent="0.2">
      <c r="J742" s="78" t="s">
        <v>110</v>
      </c>
      <c r="K742" s="13">
        <v>0</v>
      </c>
      <c r="W742" s="78"/>
      <c r="X742" s="13"/>
    </row>
  </sheetData>
  <sheetProtection algorithmName="SHA-512" hashValue="kUHV/o15rGo676renfP9v75dhjpujjhfsfaQrzE4nBQynV2MCdU8qqGZlpKn/hE41iAAoKMFDpWaOp+5bX2JJA==" saltValue="kkKd8aEhG41cw25upSlYzg==" spinCount="100000" sheet="1" objects="1" scenarios="1" autoFilter="0"/>
  <autoFilter ref="C15:C727"/>
  <mergeCells count="35">
    <mergeCell ref="D5:E5"/>
    <mergeCell ref="F5:H5"/>
    <mergeCell ref="J5:N5"/>
    <mergeCell ref="A3:B3"/>
    <mergeCell ref="D4:E4"/>
    <mergeCell ref="F4:H4"/>
    <mergeCell ref="J4:N4"/>
    <mergeCell ref="C8:C12"/>
    <mergeCell ref="F8:H8"/>
    <mergeCell ref="I8:L8"/>
    <mergeCell ref="M8:N8"/>
    <mergeCell ref="E10:I11"/>
    <mergeCell ref="N10:O11"/>
    <mergeCell ref="AB11:AM11"/>
    <mergeCell ref="J12:L12"/>
    <mergeCell ref="M12:O12"/>
    <mergeCell ref="Q12:R12"/>
    <mergeCell ref="F7:H7"/>
    <mergeCell ref="I7:L7"/>
    <mergeCell ref="M7:N7"/>
    <mergeCell ref="T11:U11"/>
    <mergeCell ref="D734:L734"/>
    <mergeCell ref="D735:I735"/>
    <mergeCell ref="AB15:AM15"/>
    <mergeCell ref="D729:O729"/>
    <mergeCell ref="T729:Z729"/>
    <mergeCell ref="D730:O732"/>
    <mergeCell ref="T730:Z732"/>
    <mergeCell ref="D15:E15"/>
    <mergeCell ref="X741:Z741"/>
    <mergeCell ref="D736:O736"/>
    <mergeCell ref="J737:M737"/>
    <mergeCell ref="W737:Z737"/>
    <mergeCell ref="X739:Z739"/>
    <mergeCell ref="X740:Z740"/>
  </mergeCells>
  <phoneticPr fontId="39" type="noConversion"/>
  <conditionalFormatting sqref="D14:O14 T14:Z14 D149:O155 T149:Z155 D212:O218 T212:Z218 D283:O297 T283:Z297 D346:O360 T346:Z360 T363:Z368 D363:O368 D397:O403 T397:Z403 D429:O436 T429:Z436 D504:O510 T504:Z510 D522:O536 T522:Z536 D542:O549 T542:Z549 D560:O566 T560:Z566 D656:O662 T656:Z662 D705:O718 T705:Z718 D165:O187 T165:Z187 D197:O202 T197:Z202 D221:O232 T221:Z232 D235:O246 T235:Z246 D300:O306 T300:Z306 T316:Z321 D316:O321 D414:O420 T414:Z420 D468:O492 T468:Z492 D579:O610 T579:Z610 T613:Z617 D613:O617 D665:O681 T665:Z681 D688:O702 T688:Z702 D721:O726 T721:Z726 D16:O139 T16:Z139">
    <cfRule type="expression" dxfId="307" priority="2878" stopIfTrue="1">
      <formula>OR(ACOMPANHAMENTO="PLE",TIPOORCAMENTO="Proposto",$L14&lt;0,AND($L14&gt;100,RegimeExecucao="Global"),$O14&gt;$I14,$O14&lt;0)</formula>
    </cfRule>
    <cfRule type="expression" dxfId="306" priority="2879" stopIfTrue="1">
      <formula>$A14=1</formula>
    </cfRule>
    <cfRule type="expression" dxfId="305" priority="2880" stopIfTrue="1">
      <formula>$A14&lt;&gt;"S"</formula>
    </cfRule>
  </conditionalFormatting>
  <conditionalFormatting sqref="Q14:R14 AB14:AM14 Q149:R155 AB149:AM155 Q212:R218 AB212:AM218 Q283:R297 AB283:AM297 Q346:R360 AB346:AM360 AB363:AM368 Q363:R368 Q397:R403 AB397:AM403 Q429:R436 AB429:AM436 Q504:R510 AB504:AM510 Q522:R536 AB522:AM536 Q542:R549 AB542:AM549 Q560:R566 AB560:AM566 Q656:R662 AB656:AM662 Q705:R718 AB705:AM718 Q165:R187 AB165:AM187 Q197:R202 AB197:AM202 Q221:R232 AB221:AM232 Q235:R246 AB235:AM246 Q300:R306 AB300:AM306 AB316:AM321 Q316:R321 Q414:R420 AB414:AM420 Q468:R492 AB468:AM492 Q579:R610 AB579:AM610 AB613:AM617 Q613:R617 Q665:R681 AB665:AM681 Q688:R702 AB688:AM702 Q721:R726 AB721:AM726 Q16:R139 AB16:AM139">
    <cfRule type="expression" dxfId="304" priority="2881" stopIfTrue="1">
      <formula>$A14=1</formula>
    </cfRule>
    <cfRule type="expression" dxfId="303" priority="2882" stopIfTrue="1">
      <formula>$A14&lt;&gt;"S"</formula>
    </cfRule>
  </conditionalFormatting>
  <conditionalFormatting sqref="E2">
    <cfRule type="expression" dxfId="302" priority="2883" stopIfTrue="1">
      <formula>Import.RegimeExecução="(SELECIONAR)"</formula>
    </cfRule>
  </conditionalFormatting>
  <conditionalFormatting sqref="F13:H13">
    <cfRule type="expression" dxfId="301" priority="2884" stopIfTrue="1">
      <formula>RegimeExecucao="Global"</formula>
    </cfRule>
  </conditionalFormatting>
  <conditionalFormatting sqref="D15:O15">
    <cfRule type="expression" dxfId="300" priority="2885" stopIfTrue="1">
      <formula>OR(ACOMPANHAMENTO="PLE",TIPOORCAMENTO="Proposto")</formula>
    </cfRule>
  </conditionalFormatting>
  <conditionalFormatting sqref="AB13">
    <cfRule type="cellIs" dxfId="299" priority="2886" stopIfTrue="1" operator="notEqual">
      <formula>1</formula>
    </cfRule>
  </conditionalFormatting>
  <conditionalFormatting sqref="D140:O148 T140:Z148">
    <cfRule type="expression" dxfId="298" priority="501" stopIfTrue="1">
      <formula>OR(ACOMPANHAMENTO="PLE",TIPOORCAMENTO="Proposto",$L140&lt;0,AND($L140&gt;100,RegimeExecucao="Global"),$O140&gt;$I140,$O140&lt;0)</formula>
    </cfRule>
    <cfRule type="expression" dxfId="297" priority="502" stopIfTrue="1">
      <formula>$A140=1</formula>
    </cfRule>
    <cfRule type="expression" dxfId="296" priority="503" stopIfTrue="1">
      <formula>$A140&lt;&gt;"S"</formula>
    </cfRule>
  </conditionalFormatting>
  <conditionalFormatting sqref="Q140:R148 AB140:AM148">
    <cfRule type="expression" dxfId="295" priority="504" stopIfTrue="1">
      <formula>$A140=1</formula>
    </cfRule>
    <cfRule type="expression" dxfId="294" priority="505" stopIfTrue="1">
      <formula>$A140&lt;&gt;"S"</formula>
    </cfRule>
  </conditionalFormatting>
  <conditionalFormatting sqref="D156:O164 T156:Z164">
    <cfRule type="expression" dxfId="293" priority="491" stopIfTrue="1">
      <formula>OR(ACOMPANHAMENTO="PLE",TIPOORCAMENTO="Proposto",$L156&lt;0,AND($L156&gt;100,RegimeExecucao="Global"),$O156&gt;$I156,$O156&lt;0)</formula>
    </cfRule>
    <cfRule type="expression" dxfId="292" priority="492" stopIfTrue="1">
      <formula>$A156=1</formula>
    </cfRule>
    <cfRule type="expression" dxfId="291" priority="493" stopIfTrue="1">
      <formula>$A156&lt;&gt;"S"</formula>
    </cfRule>
  </conditionalFormatting>
  <conditionalFormatting sqref="Q156:R164 AB156:AM164">
    <cfRule type="expression" dxfId="290" priority="494" stopIfTrue="1">
      <formula>$A156=1</formula>
    </cfRule>
    <cfRule type="expression" dxfId="289" priority="495" stopIfTrue="1">
      <formula>$A156&lt;&gt;"S"</formula>
    </cfRule>
  </conditionalFormatting>
  <conditionalFormatting sqref="D188:O196 T188:Z196">
    <cfRule type="expression" dxfId="288" priority="471" stopIfTrue="1">
      <formula>OR(ACOMPANHAMENTO="PLE",TIPOORCAMENTO="Proposto",$L188&lt;0,AND($L188&gt;100,RegimeExecucao="Global"),$O188&gt;$I188,$O188&lt;0)</formula>
    </cfRule>
    <cfRule type="expression" dxfId="287" priority="472" stopIfTrue="1">
      <formula>$A188=1</formula>
    </cfRule>
    <cfRule type="expression" dxfId="286" priority="473" stopIfTrue="1">
      <formula>$A188&lt;&gt;"S"</formula>
    </cfRule>
  </conditionalFormatting>
  <conditionalFormatting sqref="Q188:R196 AB188:AM196">
    <cfRule type="expression" dxfId="285" priority="474" stopIfTrue="1">
      <formula>$A188=1</formula>
    </cfRule>
    <cfRule type="expression" dxfId="284" priority="475" stopIfTrue="1">
      <formula>$A188&lt;&gt;"S"</formula>
    </cfRule>
  </conditionalFormatting>
  <conditionalFormatting sqref="D203:O211 T203:Z211">
    <cfRule type="expression" dxfId="283" priority="461" stopIfTrue="1">
      <formula>OR(ACOMPANHAMENTO="PLE",TIPOORCAMENTO="Proposto",$L203&lt;0,AND($L203&gt;100,RegimeExecucao="Global"),$O203&gt;$I203,$O203&lt;0)</formula>
    </cfRule>
    <cfRule type="expression" dxfId="282" priority="462" stopIfTrue="1">
      <formula>$A203=1</formula>
    </cfRule>
    <cfRule type="expression" dxfId="281" priority="463" stopIfTrue="1">
      <formula>$A203&lt;&gt;"S"</formula>
    </cfRule>
  </conditionalFormatting>
  <conditionalFormatting sqref="Q203:R211 AB203:AM211">
    <cfRule type="expression" dxfId="280" priority="464" stopIfTrue="1">
      <formula>$A203=1</formula>
    </cfRule>
    <cfRule type="expression" dxfId="279" priority="465" stopIfTrue="1">
      <formula>$A203&lt;&gt;"S"</formula>
    </cfRule>
  </conditionalFormatting>
  <conditionalFormatting sqref="D219:O220 T219:Z220">
    <cfRule type="expression" dxfId="278" priority="451" stopIfTrue="1">
      <formula>OR(ACOMPANHAMENTO="PLE",TIPOORCAMENTO="Proposto",$L219&lt;0,AND($L219&gt;100,RegimeExecucao="Global"),$O219&gt;$I219,$O219&lt;0)</formula>
    </cfRule>
    <cfRule type="expression" dxfId="277" priority="452" stopIfTrue="1">
      <formula>$A219=1</formula>
    </cfRule>
    <cfRule type="expression" dxfId="276" priority="453" stopIfTrue="1">
      <formula>$A219&lt;&gt;"S"</formula>
    </cfRule>
  </conditionalFormatting>
  <conditionalFormatting sqref="Q219:R220 AB219:AM220">
    <cfRule type="expression" dxfId="275" priority="454" stopIfTrue="1">
      <formula>$A219=1</formula>
    </cfRule>
    <cfRule type="expression" dxfId="274" priority="455" stopIfTrue="1">
      <formula>$A219&lt;&gt;"S"</formula>
    </cfRule>
  </conditionalFormatting>
  <conditionalFormatting sqref="D249:O257 T249:Z257">
    <cfRule type="expression" dxfId="273" priority="446" stopIfTrue="1">
      <formula>OR(ACOMPANHAMENTO="PLE",TIPOORCAMENTO="Proposto",$L249&lt;0,AND($L249&gt;100,RegimeExecucao="Global"),$O249&gt;$I249,$O249&lt;0)</formula>
    </cfRule>
    <cfRule type="expression" dxfId="272" priority="447" stopIfTrue="1">
      <formula>$A249=1</formula>
    </cfRule>
    <cfRule type="expression" dxfId="271" priority="448" stopIfTrue="1">
      <formula>$A249&lt;&gt;"S"</formula>
    </cfRule>
  </conditionalFormatting>
  <conditionalFormatting sqref="Q249:R257 AB249:AM257">
    <cfRule type="expression" dxfId="270" priority="449" stopIfTrue="1">
      <formula>$A249=1</formula>
    </cfRule>
    <cfRule type="expression" dxfId="269" priority="450" stopIfTrue="1">
      <formula>$A249&lt;&gt;"S"</formula>
    </cfRule>
  </conditionalFormatting>
  <conditionalFormatting sqref="D258:O263 T258:Z263 T335:Z335 D335:O335 D464:O465 T464:Z465">
    <cfRule type="expression" dxfId="268" priority="441" stopIfTrue="1">
      <formula>OR(ACOMPANHAMENTO="PLE",TIPOORCAMENTO="Proposto",$L258&lt;0,AND($L258&gt;100,RegimeExecucao="Global"),$O258&gt;$I258,$O258&lt;0)</formula>
    </cfRule>
    <cfRule type="expression" dxfId="267" priority="442" stopIfTrue="1">
      <formula>$A258=1</formula>
    </cfRule>
    <cfRule type="expression" dxfId="266" priority="443" stopIfTrue="1">
      <formula>$A258&lt;&gt;"S"</formula>
    </cfRule>
  </conditionalFormatting>
  <conditionalFormatting sqref="Q258:R263 AB258:AM263 AB335:AM335 Q335:R335 Q464:R465 AB464:AM465">
    <cfRule type="expression" dxfId="265" priority="444" stopIfTrue="1">
      <formula>$A258=1</formula>
    </cfRule>
    <cfRule type="expression" dxfId="264" priority="445" stopIfTrue="1">
      <formula>$A258&lt;&gt;"S"</formula>
    </cfRule>
  </conditionalFormatting>
  <conditionalFormatting sqref="D466:O467 T466:Z467">
    <cfRule type="expression" dxfId="263" priority="436" stopIfTrue="1">
      <formula>OR(ACOMPANHAMENTO="PLE",TIPOORCAMENTO="Proposto",$L466&lt;0,AND($L466&gt;100,RegimeExecucao="Global"),$O466&gt;$I466,$O466&lt;0)</formula>
    </cfRule>
    <cfRule type="expression" dxfId="262" priority="437" stopIfTrue="1">
      <formula>$A466=1</formula>
    </cfRule>
    <cfRule type="expression" dxfId="261" priority="438" stopIfTrue="1">
      <formula>$A466&lt;&gt;"S"</formula>
    </cfRule>
  </conditionalFormatting>
  <conditionalFormatting sqref="Q466:R467 AB466:AM467">
    <cfRule type="expression" dxfId="260" priority="439" stopIfTrue="1">
      <formula>$A466=1</formula>
    </cfRule>
    <cfRule type="expression" dxfId="259" priority="440" stopIfTrue="1">
      <formula>$A466&lt;&gt;"S"</formula>
    </cfRule>
  </conditionalFormatting>
  <conditionalFormatting sqref="D247:O248 T247:Z248">
    <cfRule type="expression" dxfId="258" priority="421" stopIfTrue="1">
      <formula>OR(ACOMPANHAMENTO="PLE",TIPOORCAMENTO="Proposto",$L247&lt;0,AND($L247&gt;100,RegimeExecucao="Global"),$O247&gt;$I247,$O247&lt;0)</formula>
    </cfRule>
    <cfRule type="expression" dxfId="257" priority="422" stopIfTrue="1">
      <formula>$A247=1</formula>
    </cfRule>
    <cfRule type="expression" dxfId="256" priority="423" stopIfTrue="1">
      <formula>$A247&lt;&gt;"S"</formula>
    </cfRule>
  </conditionalFormatting>
  <conditionalFormatting sqref="Q247:R248 AB247:AM248">
    <cfRule type="expression" dxfId="255" priority="424" stopIfTrue="1">
      <formula>$A247=1</formula>
    </cfRule>
    <cfRule type="expression" dxfId="254" priority="425" stopIfTrue="1">
      <formula>$A247&lt;&gt;"S"</formula>
    </cfRule>
  </conditionalFormatting>
  <conditionalFormatting sqref="D233:O234 T233:Z234">
    <cfRule type="expression" dxfId="253" priority="406" stopIfTrue="1">
      <formula>OR(ACOMPANHAMENTO="PLE",TIPOORCAMENTO="Proposto",$L233&lt;0,AND($L233&gt;100,RegimeExecucao="Global"),$O233&gt;$I233,$O233&lt;0)</formula>
    </cfRule>
    <cfRule type="expression" dxfId="252" priority="407" stopIfTrue="1">
      <formula>$A233=1</formula>
    </cfRule>
    <cfRule type="expression" dxfId="251" priority="408" stopIfTrue="1">
      <formula>$A233&lt;&gt;"S"</formula>
    </cfRule>
  </conditionalFormatting>
  <conditionalFormatting sqref="Q233:R234 AB233:AM234">
    <cfRule type="expression" dxfId="250" priority="409" stopIfTrue="1">
      <formula>$A233=1</formula>
    </cfRule>
    <cfRule type="expression" dxfId="249" priority="410" stopIfTrue="1">
      <formula>$A233&lt;&gt;"S"</formula>
    </cfRule>
  </conditionalFormatting>
  <conditionalFormatting sqref="D264:O272 T264:Z272">
    <cfRule type="expression" dxfId="248" priority="401" stopIfTrue="1">
      <formula>OR(ACOMPANHAMENTO="PLE",TIPOORCAMENTO="Proposto",$L264&lt;0,AND($L264&gt;100,RegimeExecucao="Global"),$O264&gt;$I264,$O264&lt;0)</formula>
    </cfRule>
    <cfRule type="expression" dxfId="247" priority="402" stopIfTrue="1">
      <formula>$A264=1</formula>
    </cfRule>
    <cfRule type="expression" dxfId="246" priority="403" stopIfTrue="1">
      <formula>$A264&lt;&gt;"S"</formula>
    </cfRule>
  </conditionalFormatting>
  <conditionalFormatting sqref="Q264:R272 AB264:AM272">
    <cfRule type="expression" dxfId="245" priority="404" stopIfTrue="1">
      <formula>$A264=1</formula>
    </cfRule>
    <cfRule type="expression" dxfId="244" priority="405" stopIfTrue="1">
      <formula>$A264&lt;&gt;"S"</formula>
    </cfRule>
  </conditionalFormatting>
  <conditionalFormatting sqref="D273:O281 T273:Z281">
    <cfRule type="expression" dxfId="243" priority="396" stopIfTrue="1">
      <formula>OR(ACOMPANHAMENTO="PLE",TIPOORCAMENTO="Proposto",$L273&lt;0,AND($L273&gt;100,RegimeExecucao="Global"),$O273&gt;$I273,$O273&lt;0)</formula>
    </cfRule>
    <cfRule type="expression" dxfId="242" priority="397" stopIfTrue="1">
      <formula>$A273=1</formula>
    </cfRule>
    <cfRule type="expression" dxfId="241" priority="398" stopIfTrue="1">
      <formula>$A273&lt;&gt;"S"</formula>
    </cfRule>
  </conditionalFormatting>
  <conditionalFormatting sqref="Q273:R281 AB273:AM281">
    <cfRule type="expression" dxfId="240" priority="399" stopIfTrue="1">
      <formula>$A273=1</formula>
    </cfRule>
    <cfRule type="expression" dxfId="239" priority="400" stopIfTrue="1">
      <formula>$A273&lt;&gt;"S"</formula>
    </cfRule>
  </conditionalFormatting>
  <conditionalFormatting sqref="D333:O334 T333:Z334">
    <cfRule type="expression" dxfId="238" priority="391" stopIfTrue="1">
      <formula>OR(ACOMPANHAMENTO="PLE",TIPOORCAMENTO="Proposto",$L333&lt;0,AND($L333&gt;100,RegimeExecucao="Global"),$O333&gt;$I333,$O333&lt;0)</formula>
    </cfRule>
    <cfRule type="expression" dxfId="237" priority="392" stopIfTrue="1">
      <formula>$A333=1</formula>
    </cfRule>
    <cfRule type="expression" dxfId="236" priority="393" stopIfTrue="1">
      <formula>$A333&lt;&gt;"S"</formula>
    </cfRule>
  </conditionalFormatting>
  <conditionalFormatting sqref="Q333:R334 AB333:AM334">
    <cfRule type="expression" dxfId="235" priority="394" stopIfTrue="1">
      <formula>$A333=1</formula>
    </cfRule>
    <cfRule type="expression" dxfId="234" priority="395" stopIfTrue="1">
      <formula>$A333&lt;&gt;"S"</formula>
    </cfRule>
  </conditionalFormatting>
  <conditionalFormatting sqref="D336:O344 T336:Z344">
    <cfRule type="expression" dxfId="233" priority="386" stopIfTrue="1">
      <formula>OR(ACOMPANHAMENTO="PLE",TIPOORCAMENTO="Proposto",$L336&lt;0,AND($L336&gt;100,RegimeExecucao="Global"),$O336&gt;$I336,$O336&lt;0)</formula>
    </cfRule>
    <cfRule type="expression" dxfId="232" priority="387" stopIfTrue="1">
      <formula>$A336=1</formula>
    </cfRule>
    <cfRule type="expression" dxfId="231" priority="388" stopIfTrue="1">
      <formula>$A336&lt;&gt;"S"</formula>
    </cfRule>
  </conditionalFormatting>
  <conditionalFormatting sqref="Q336:R344 AB336:AM344">
    <cfRule type="expression" dxfId="230" priority="389" stopIfTrue="1">
      <formula>$A336=1</formula>
    </cfRule>
    <cfRule type="expression" dxfId="229" priority="390" stopIfTrue="1">
      <formula>$A336&lt;&gt;"S"</formula>
    </cfRule>
  </conditionalFormatting>
  <conditionalFormatting sqref="D380:O384 T380:Z384 T458:Z461 D458:O461">
    <cfRule type="expression" dxfId="228" priority="381" stopIfTrue="1">
      <formula>OR(ACOMPANHAMENTO="PLE",TIPOORCAMENTO="Proposto",$L380&lt;0,AND($L380&gt;100,RegimeExecucao="Global"),$O380&gt;$I380,$O380&lt;0)</formula>
    </cfRule>
    <cfRule type="expression" dxfId="227" priority="382" stopIfTrue="1">
      <formula>$A380=1</formula>
    </cfRule>
    <cfRule type="expression" dxfId="226" priority="383" stopIfTrue="1">
      <formula>$A380&lt;&gt;"S"</formula>
    </cfRule>
  </conditionalFormatting>
  <conditionalFormatting sqref="Q380:R384 AB380:AM384 AB458:AM461 Q458:R461">
    <cfRule type="expression" dxfId="225" priority="384" stopIfTrue="1">
      <formula>$A380=1</formula>
    </cfRule>
    <cfRule type="expression" dxfId="224" priority="385" stopIfTrue="1">
      <formula>$A380&lt;&gt;"S"</formula>
    </cfRule>
  </conditionalFormatting>
  <conditionalFormatting sqref="D462:O463 T462:Z463">
    <cfRule type="expression" dxfId="223" priority="376" stopIfTrue="1">
      <formula>OR(ACOMPANHAMENTO="PLE",TIPOORCAMENTO="Proposto",$L462&lt;0,AND($L462&gt;100,RegimeExecucao="Global"),$O462&gt;$I462,$O462&lt;0)</formula>
    </cfRule>
    <cfRule type="expression" dxfId="222" priority="377" stopIfTrue="1">
      <formula>$A462=1</formula>
    </cfRule>
    <cfRule type="expression" dxfId="221" priority="378" stopIfTrue="1">
      <formula>$A462&lt;&gt;"S"</formula>
    </cfRule>
  </conditionalFormatting>
  <conditionalFormatting sqref="Q462:R463 AB462:AM463">
    <cfRule type="expression" dxfId="220" priority="379" stopIfTrue="1">
      <formula>$A462=1</formula>
    </cfRule>
    <cfRule type="expression" dxfId="219" priority="380" stopIfTrue="1">
      <formula>$A462&lt;&gt;"S"</formula>
    </cfRule>
  </conditionalFormatting>
  <conditionalFormatting sqref="D345:O345 T345:Z345">
    <cfRule type="expression" dxfId="218" priority="371" stopIfTrue="1">
      <formula>OR(ACOMPANHAMENTO="PLE",TIPOORCAMENTO="Proposto",$L345&lt;0,AND($L345&gt;100,RegimeExecucao="Global"),$O345&gt;$I345,$O345&lt;0)</formula>
    </cfRule>
    <cfRule type="expression" dxfId="217" priority="372" stopIfTrue="1">
      <formula>$A345=1</formula>
    </cfRule>
    <cfRule type="expression" dxfId="216" priority="373" stopIfTrue="1">
      <formula>$A345&lt;&gt;"S"</formula>
    </cfRule>
  </conditionalFormatting>
  <conditionalFormatting sqref="Q345:R345 AB345:AM345">
    <cfRule type="expression" dxfId="215" priority="374" stopIfTrue="1">
      <formula>$A345=1</formula>
    </cfRule>
    <cfRule type="expression" dxfId="214" priority="375" stopIfTrue="1">
      <formula>$A345&lt;&gt;"S"</formula>
    </cfRule>
  </conditionalFormatting>
  <conditionalFormatting sqref="D369:O377 T369:Z377">
    <cfRule type="expression" dxfId="213" priority="366" stopIfTrue="1">
      <formula>OR(ACOMPANHAMENTO="PLE",TIPOORCAMENTO="Proposto",$L369&lt;0,AND($L369&gt;100,RegimeExecucao="Global"),$O369&gt;$I369,$O369&lt;0)</formula>
    </cfRule>
    <cfRule type="expression" dxfId="212" priority="367" stopIfTrue="1">
      <formula>$A369=1</formula>
    </cfRule>
    <cfRule type="expression" dxfId="211" priority="368" stopIfTrue="1">
      <formula>$A369&lt;&gt;"S"</formula>
    </cfRule>
  </conditionalFormatting>
  <conditionalFormatting sqref="Q369:R377 AB369:AM377">
    <cfRule type="expression" dxfId="210" priority="369" stopIfTrue="1">
      <formula>$A369=1</formula>
    </cfRule>
    <cfRule type="expression" dxfId="209" priority="370" stopIfTrue="1">
      <formula>$A369&lt;&gt;"S"</formula>
    </cfRule>
  </conditionalFormatting>
  <conditionalFormatting sqref="D378:O379 T378:Z379">
    <cfRule type="expression" dxfId="208" priority="361" stopIfTrue="1">
      <formula>OR(ACOMPANHAMENTO="PLE",TIPOORCAMENTO="Proposto",$L378&lt;0,AND($L378&gt;100,RegimeExecucao="Global"),$O378&gt;$I378,$O378&lt;0)</formula>
    </cfRule>
    <cfRule type="expression" dxfId="207" priority="362" stopIfTrue="1">
      <formula>$A378=1</formula>
    </cfRule>
    <cfRule type="expression" dxfId="206" priority="363" stopIfTrue="1">
      <formula>$A378&lt;&gt;"S"</formula>
    </cfRule>
  </conditionalFormatting>
  <conditionalFormatting sqref="Q378:R379 AB378:AM379">
    <cfRule type="expression" dxfId="205" priority="364" stopIfTrue="1">
      <formula>$A378=1</formula>
    </cfRule>
    <cfRule type="expression" dxfId="204" priority="365" stopIfTrue="1">
      <formula>$A378&lt;&gt;"S"</formula>
    </cfRule>
  </conditionalFormatting>
  <conditionalFormatting sqref="D361:O362 T361:Z362">
    <cfRule type="expression" dxfId="203" priority="346" stopIfTrue="1">
      <formula>OR(ACOMPANHAMENTO="PLE",TIPOORCAMENTO="Proposto",$L361&lt;0,AND($L361&gt;100,RegimeExecucao="Global"),$O361&gt;$I361,$O361&lt;0)</formula>
    </cfRule>
    <cfRule type="expression" dxfId="202" priority="347" stopIfTrue="1">
      <formula>$A361=1</formula>
    </cfRule>
    <cfRule type="expression" dxfId="201" priority="348" stopIfTrue="1">
      <formula>$A361&lt;&gt;"S"</formula>
    </cfRule>
  </conditionalFormatting>
  <conditionalFormatting sqref="Q361:R362 AB361:AM362">
    <cfRule type="expression" dxfId="200" priority="349" stopIfTrue="1">
      <formula>$A361=1</formula>
    </cfRule>
    <cfRule type="expression" dxfId="199" priority="350" stopIfTrue="1">
      <formula>$A361&lt;&gt;"S"</formula>
    </cfRule>
  </conditionalFormatting>
  <conditionalFormatting sqref="D282:O282 T282:Z282">
    <cfRule type="expression" dxfId="198" priority="341" stopIfTrue="1">
      <formula>OR(ACOMPANHAMENTO="PLE",TIPOORCAMENTO="Proposto",$L282&lt;0,AND($L282&gt;100,RegimeExecucao="Global"),$O282&gt;$I282,$O282&lt;0)</formula>
    </cfRule>
    <cfRule type="expression" dxfId="197" priority="342" stopIfTrue="1">
      <formula>$A282=1</formula>
    </cfRule>
    <cfRule type="expression" dxfId="196" priority="343" stopIfTrue="1">
      <formula>$A282&lt;&gt;"S"</formula>
    </cfRule>
  </conditionalFormatting>
  <conditionalFormatting sqref="Q282:R282 AB282:AM282">
    <cfRule type="expression" dxfId="195" priority="344" stopIfTrue="1">
      <formula>$A282=1</formula>
    </cfRule>
    <cfRule type="expression" dxfId="194" priority="345" stopIfTrue="1">
      <formula>$A282&lt;&gt;"S"</formula>
    </cfRule>
  </conditionalFormatting>
  <conditionalFormatting sqref="D322:O330 T322:Z330">
    <cfRule type="expression" dxfId="193" priority="336" stopIfTrue="1">
      <formula>OR(ACOMPANHAMENTO="PLE",TIPOORCAMENTO="Proposto",$L322&lt;0,AND($L322&gt;100,RegimeExecucao="Global"),$O322&gt;$I322,$O322&lt;0)</formula>
    </cfRule>
    <cfRule type="expression" dxfId="192" priority="337" stopIfTrue="1">
      <formula>$A322=1</formula>
    </cfRule>
    <cfRule type="expression" dxfId="191" priority="338" stopIfTrue="1">
      <formula>$A322&lt;&gt;"S"</formula>
    </cfRule>
  </conditionalFormatting>
  <conditionalFormatting sqref="Q322:R330 AB322:AM330">
    <cfRule type="expression" dxfId="190" priority="339" stopIfTrue="1">
      <formula>$A322=1</formula>
    </cfRule>
    <cfRule type="expression" dxfId="189" priority="340" stopIfTrue="1">
      <formula>$A322&lt;&gt;"S"</formula>
    </cfRule>
  </conditionalFormatting>
  <conditionalFormatting sqref="D331:O332 T331:Z332">
    <cfRule type="expression" dxfId="188" priority="331" stopIfTrue="1">
      <formula>OR(ACOMPANHAMENTO="PLE",TIPOORCAMENTO="Proposto",$L331&lt;0,AND($L331&gt;100,RegimeExecucao="Global"),$O331&gt;$I331,$O331&lt;0)</formula>
    </cfRule>
    <cfRule type="expression" dxfId="187" priority="332" stopIfTrue="1">
      <formula>$A331=1</formula>
    </cfRule>
    <cfRule type="expression" dxfId="186" priority="333" stopIfTrue="1">
      <formula>$A331&lt;&gt;"S"</formula>
    </cfRule>
  </conditionalFormatting>
  <conditionalFormatting sqref="Q331:R332 AB331:AM332">
    <cfRule type="expression" dxfId="185" priority="334" stopIfTrue="1">
      <formula>$A331=1</formula>
    </cfRule>
    <cfRule type="expression" dxfId="184" priority="335" stopIfTrue="1">
      <formula>$A331&lt;&gt;"S"</formula>
    </cfRule>
  </conditionalFormatting>
  <conditionalFormatting sqref="D298:O299 T298:Z299">
    <cfRule type="expression" dxfId="183" priority="316" stopIfTrue="1">
      <formula>OR(ACOMPANHAMENTO="PLE",TIPOORCAMENTO="Proposto",$L298&lt;0,AND($L298&gt;100,RegimeExecucao="Global"),$O298&gt;$I298,$O298&lt;0)</formula>
    </cfRule>
    <cfRule type="expression" dxfId="182" priority="317" stopIfTrue="1">
      <formula>$A298=1</formula>
    </cfRule>
    <cfRule type="expression" dxfId="181" priority="318" stopIfTrue="1">
      <formula>$A298&lt;&gt;"S"</formula>
    </cfRule>
  </conditionalFormatting>
  <conditionalFormatting sqref="Q298:R299 AB298:AM299">
    <cfRule type="expression" dxfId="180" priority="319" stopIfTrue="1">
      <formula>$A298=1</formula>
    </cfRule>
    <cfRule type="expression" dxfId="179" priority="320" stopIfTrue="1">
      <formula>$A298&lt;&gt;"S"</formula>
    </cfRule>
  </conditionalFormatting>
  <conditionalFormatting sqref="D307:O315 T307:Z315">
    <cfRule type="expression" dxfId="178" priority="306" stopIfTrue="1">
      <formula>OR(ACOMPANHAMENTO="PLE",TIPOORCAMENTO="Proposto",$L307&lt;0,AND($L307&gt;100,RegimeExecucao="Global"),$O307&gt;$I307,$O307&lt;0)</formula>
    </cfRule>
    <cfRule type="expression" dxfId="177" priority="307" stopIfTrue="1">
      <formula>$A307=1</formula>
    </cfRule>
    <cfRule type="expression" dxfId="176" priority="308" stopIfTrue="1">
      <formula>$A307&lt;&gt;"S"</formula>
    </cfRule>
  </conditionalFormatting>
  <conditionalFormatting sqref="Q307:R315 AB307:AM315">
    <cfRule type="expression" dxfId="175" priority="309" stopIfTrue="1">
      <formula>$A307=1</formula>
    </cfRule>
    <cfRule type="expression" dxfId="174" priority="310" stopIfTrue="1">
      <formula>$A307&lt;&gt;"S"</formula>
    </cfRule>
  </conditionalFormatting>
  <conditionalFormatting sqref="D385:O385 T385:Z385 T439:Z446 D439:O446">
    <cfRule type="expression" dxfId="173" priority="296" stopIfTrue="1">
      <formula>OR(ACOMPANHAMENTO="PLE",TIPOORCAMENTO="Proposto",$L385&lt;0,AND($L385&gt;100,RegimeExecucao="Global"),$O385&gt;$I385,$O385&lt;0)</formula>
    </cfRule>
    <cfRule type="expression" dxfId="172" priority="297" stopIfTrue="1">
      <formula>$A385=1</formula>
    </cfRule>
    <cfRule type="expression" dxfId="171" priority="298" stopIfTrue="1">
      <formula>$A385&lt;&gt;"S"</formula>
    </cfRule>
  </conditionalFormatting>
  <conditionalFormatting sqref="Q385:R385 AB385:AM385 AB439:AM446 Q439:R446">
    <cfRule type="expression" dxfId="170" priority="299" stopIfTrue="1">
      <formula>$A385=1</formula>
    </cfRule>
    <cfRule type="expression" dxfId="169" priority="300" stopIfTrue="1">
      <formula>$A385&lt;&gt;"S"</formula>
    </cfRule>
  </conditionalFormatting>
  <conditionalFormatting sqref="D447:O455 T447:Z455">
    <cfRule type="expression" dxfId="168" priority="291" stopIfTrue="1">
      <formula>OR(ACOMPANHAMENTO="PLE",TIPOORCAMENTO="Proposto",$L447&lt;0,AND($L447&gt;100,RegimeExecucao="Global"),$O447&gt;$I447,$O447&lt;0)</formula>
    </cfRule>
    <cfRule type="expression" dxfId="167" priority="292" stopIfTrue="1">
      <formula>$A447=1</formula>
    </cfRule>
    <cfRule type="expression" dxfId="166" priority="293" stopIfTrue="1">
      <formula>$A447&lt;&gt;"S"</formula>
    </cfRule>
  </conditionalFormatting>
  <conditionalFormatting sqref="Q447:R455 AB447:AM455">
    <cfRule type="expression" dxfId="165" priority="294" stopIfTrue="1">
      <formula>$A447=1</formula>
    </cfRule>
    <cfRule type="expression" dxfId="164" priority="295" stopIfTrue="1">
      <formula>$A447&lt;&gt;"S"</formula>
    </cfRule>
  </conditionalFormatting>
  <conditionalFormatting sqref="D456:O457 T456:Z457">
    <cfRule type="expression" dxfId="163" priority="286" stopIfTrue="1">
      <formula>OR(ACOMPANHAMENTO="PLE",TIPOORCAMENTO="Proposto",$L456&lt;0,AND($L456&gt;100,RegimeExecucao="Global"),$O456&gt;$I456,$O456&lt;0)</formula>
    </cfRule>
    <cfRule type="expression" dxfId="162" priority="287" stopIfTrue="1">
      <formula>$A456=1</formula>
    </cfRule>
    <cfRule type="expression" dxfId="161" priority="288" stopIfTrue="1">
      <formula>$A456&lt;&gt;"S"</formula>
    </cfRule>
  </conditionalFormatting>
  <conditionalFormatting sqref="Q456:R457 AB456:AM457">
    <cfRule type="expression" dxfId="160" priority="289" stopIfTrue="1">
      <formula>$A456=1</formula>
    </cfRule>
    <cfRule type="expression" dxfId="159" priority="290" stopIfTrue="1">
      <formula>$A456&lt;&gt;"S"</formula>
    </cfRule>
  </conditionalFormatting>
  <conditionalFormatting sqref="D386:O386 T386:Z386 T421:Z428 D421:O428">
    <cfRule type="expression" dxfId="158" priority="281" stopIfTrue="1">
      <formula>OR(ACOMPANHAMENTO="PLE",TIPOORCAMENTO="Proposto",$L386&lt;0,AND($L386&gt;100,RegimeExecucao="Global"),$O386&gt;$I386,$O386&lt;0)</formula>
    </cfRule>
    <cfRule type="expression" dxfId="157" priority="282" stopIfTrue="1">
      <formula>$A386=1</formula>
    </cfRule>
    <cfRule type="expression" dxfId="156" priority="283" stopIfTrue="1">
      <formula>$A386&lt;&gt;"S"</formula>
    </cfRule>
  </conditionalFormatting>
  <conditionalFormatting sqref="Q386:R386 AB386:AM386 AB421:AM428 Q421:R428">
    <cfRule type="expression" dxfId="155" priority="284" stopIfTrue="1">
      <formula>$A386=1</formula>
    </cfRule>
    <cfRule type="expression" dxfId="154" priority="285" stopIfTrue="1">
      <formula>$A386&lt;&gt;"S"</formula>
    </cfRule>
  </conditionalFormatting>
  <conditionalFormatting sqref="D437:O438 T437:Z438">
    <cfRule type="expression" dxfId="153" priority="271" stopIfTrue="1">
      <formula>OR(ACOMPANHAMENTO="PLE",TIPOORCAMENTO="Proposto",$L437&lt;0,AND($L437&gt;100,RegimeExecucao="Global"),$O437&gt;$I437,$O437&lt;0)</formula>
    </cfRule>
    <cfRule type="expression" dxfId="152" priority="272" stopIfTrue="1">
      <formula>$A437=1</formula>
    </cfRule>
    <cfRule type="expression" dxfId="151" priority="273" stopIfTrue="1">
      <formula>$A437&lt;&gt;"S"</formula>
    </cfRule>
  </conditionalFormatting>
  <conditionalFormatting sqref="Q437:R438 AB437:AM438">
    <cfRule type="expression" dxfId="150" priority="274" stopIfTrue="1">
      <formula>$A437=1</formula>
    </cfRule>
    <cfRule type="expression" dxfId="149" priority="275" stopIfTrue="1">
      <formula>$A437&lt;&gt;"S"</formula>
    </cfRule>
  </conditionalFormatting>
  <conditionalFormatting sqref="D387:O387 T387:Z387 T406:Z413 D406:O413">
    <cfRule type="expression" dxfId="148" priority="266" stopIfTrue="1">
      <formula>OR(ACOMPANHAMENTO="PLE",TIPOORCAMENTO="Proposto",$L387&lt;0,AND($L387&gt;100,RegimeExecucao="Global"),$O387&gt;$I387,$O387&lt;0)</formula>
    </cfRule>
    <cfRule type="expression" dxfId="147" priority="267" stopIfTrue="1">
      <formula>$A387=1</formula>
    </cfRule>
    <cfRule type="expression" dxfId="146" priority="268" stopIfTrue="1">
      <formula>$A387&lt;&gt;"S"</formula>
    </cfRule>
  </conditionalFormatting>
  <conditionalFormatting sqref="Q387:R387 AB387:AM387 AB406:AM413 Q406:R413">
    <cfRule type="expression" dxfId="145" priority="269" stopIfTrue="1">
      <formula>$A387=1</formula>
    </cfRule>
    <cfRule type="expression" dxfId="144" priority="270" stopIfTrue="1">
      <formula>$A387&lt;&gt;"S"</formula>
    </cfRule>
  </conditionalFormatting>
  <conditionalFormatting sqref="D388:O396 T388:Z396">
    <cfRule type="expression" dxfId="143" priority="251" stopIfTrue="1">
      <formula>OR(ACOMPANHAMENTO="PLE",TIPOORCAMENTO="Proposto",$L388&lt;0,AND($L388&gt;100,RegimeExecucao="Global"),$O388&gt;$I388,$O388&lt;0)</formula>
    </cfRule>
    <cfRule type="expression" dxfId="142" priority="252" stopIfTrue="1">
      <formula>$A388=1</formula>
    </cfRule>
    <cfRule type="expression" dxfId="141" priority="253" stopIfTrue="1">
      <formula>$A388&lt;&gt;"S"</formula>
    </cfRule>
  </conditionalFormatting>
  <conditionalFormatting sqref="Q388:R396 AB388:AM396">
    <cfRule type="expression" dxfId="140" priority="254" stopIfTrue="1">
      <formula>$A388=1</formula>
    </cfRule>
    <cfRule type="expression" dxfId="139" priority="255" stopIfTrue="1">
      <formula>$A388&lt;&gt;"S"</formula>
    </cfRule>
  </conditionalFormatting>
  <conditionalFormatting sqref="D404:O405 T404:Z405">
    <cfRule type="expression" dxfId="138" priority="241" stopIfTrue="1">
      <formula>OR(ACOMPANHAMENTO="PLE",TIPOORCAMENTO="Proposto",$L404&lt;0,AND($L404&gt;100,RegimeExecucao="Global"),$O404&gt;$I404,$O404&lt;0)</formula>
    </cfRule>
    <cfRule type="expression" dxfId="137" priority="242" stopIfTrue="1">
      <formula>$A404=1</formula>
    </cfRule>
    <cfRule type="expression" dxfId="136" priority="243" stopIfTrue="1">
      <formula>$A404&lt;&gt;"S"</formula>
    </cfRule>
  </conditionalFormatting>
  <conditionalFormatting sqref="Q404:R405 AB404:AM405">
    <cfRule type="expression" dxfId="135" priority="244" stopIfTrue="1">
      <formula>$A404=1</formula>
    </cfRule>
    <cfRule type="expression" dxfId="134" priority="245" stopIfTrue="1">
      <formula>$A404&lt;&gt;"S"</formula>
    </cfRule>
  </conditionalFormatting>
  <conditionalFormatting sqref="T569:Z569 D569:O569 T495:Z495 D495:O495">
    <cfRule type="expression" dxfId="133" priority="236" stopIfTrue="1">
      <formula>OR(ACOMPANHAMENTO="PLE",TIPOORCAMENTO="Proposto",$L495&lt;0,AND($L495&gt;100,RegimeExecucao="Global"),$O495&gt;$I495,$O495&lt;0)</formula>
    </cfRule>
    <cfRule type="expression" dxfId="132" priority="237" stopIfTrue="1">
      <formula>$A495=1</formula>
    </cfRule>
    <cfRule type="expression" dxfId="131" priority="238" stopIfTrue="1">
      <formula>$A495&lt;&gt;"S"</formula>
    </cfRule>
  </conditionalFormatting>
  <conditionalFormatting sqref="AB569:AM569 Q569:R569 AB495:AM495 Q495:R495">
    <cfRule type="expression" dxfId="130" priority="239" stopIfTrue="1">
      <formula>$A495=1</formula>
    </cfRule>
    <cfRule type="expression" dxfId="129" priority="240" stopIfTrue="1">
      <formula>$A495&lt;&gt;"S"</formula>
    </cfRule>
  </conditionalFormatting>
  <conditionalFormatting sqref="D570:O575 T570:Z575 T682:Z684 D682:O684">
    <cfRule type="expression" dxfId="128" priority="231" stopIfTrue="1">
      <formula>OR(ACOMPANHAMENTO="PLE",TIPOORCAMENTO="Proposto",$L570&lt;0,AND($L570&gt;100,RegimeExecucao="Global"),$O570&gt;$I570,$O570&lt;0)</formula>
    </cfRule>
    <cfRule type="expression" dxfId="127" priority="232" stopIfTrue="1">
      <formula>$A570=1</formula>
    </cfRule>
    <cfRule type="expression" dxfId="126" priority="233" stopIfTrue="1">
      <formula>$A570&lt;&gt;"S"</formula>
    </cfRule>
  </conditionalFormatting>
  <conditionalFormatting sqref="Q570:R575 AB570:AM575 AB682:AM684 Q682:R684">
    <cfRule type="expression" dxfId="125" priority="234" stopIfTrue="1">
      <formula>$A570=1</formula>
    </cfRule>
    <cfRule type="expression" dxfId="124" priority="235" stopIfTrue="1">
      <formula>$A570&lt;&gt;"S"</formula>
    </cfRule>
  </conditionalFormatting>
  <conditionalFormatting sqref="D496:O496 T496:Z496 T552:Z559 D552:O559">
    <cfRule type="expression" dxfId="123" priority="221" stopIfTrue="1">
      <formula>OR(ACOMPANHAMENTO="PLE",TIPOORCAMENTO="Proposto",$L496&lt;0,AND($L496&gt;100,RegimeExecucao="Global"),$O496&gt;$I496,$O496&lt;0)</formula>
    </cfRule>
    <cfRule type="expression" dxfId="122" priority="222" stopIfTrue="1">
      <formula>$A496=1</formula>
    </cfRule>
    <cfRule type="expression" dxfId="121" priority="223" stopIfTrue="1">
      <formula>$A496&lt;&gt;"S"</formula>
    </cfRule>
  </conditionalFormatting>
  <conditionalFormatting sqref="Q496:R496 AB496:AM496 AB552:AM559 Q552:R559">
    <cfRule type="expression" dxfId="120" priority="224" stopIfTrue="1">
      <formula>$A496=1</formula>
    </cfRule>
    <cfRule type="expression" dxfId="119" priority="225" stopIfTrue="1">
      <formula>$A496&lt;&gt;"S"</formula>
    </cfRule>
  </conditionalFormatting>
  <conditionalFormatting sqref="D567:O568 T567:Z568">
    <cfRule type="expression" dxfId="118" priority="211" stopIfTrue="1">
      <formula>OR(ACOMPANHAMENTO="PLE",TIPOORCAMENTO="Proposto",$L567&lt;0,AND($L567&gt;100,RegimeExecucao="Global"),$O567&gt;$I567,$O567&lt;0)</formula>
    </cfRule>
    <cfRule type="expression" dxfId="117" priority="212" stopIfTrue="1">
      <formula>$A567=1</formula>
    </cfRule>
    <cfRule type="expression" dxfId="116" priority="213" stopIfTrue="1">
      <formula>$A567&lt;&gt;"S"</formula>
    </cfRule>
  </conditionalFormatting>
  <conditionalFormatting sqref="Q567:R568 AB567:AM568">
    <cfRule type="expression" dxfId="115" priority="214" stopIfTrue="1">
      <formula>$A567=1</formula>
    </cfRule>
    <cfRule type="expression" dxfId="114" priority="215" stopIfTrue="1">
      <formula>$A567&lt;&gt;"S"</formula>
    </cfRule>
  </conditionalFormatting>
  <conditionalFormatting sqref="D497:O502 T497:Z502 T539:Z541 D539:O541">
    <cfRule type="expression" dxfId="113" priority="206" stopIfTrue="1">
      <formula>OR(ACOMPANHAMENTO="PLE",TIPOORCAMENTO="Proposto",$L497&lt;0,AND($L497&gt;100,RegimeExecucao="Global"),$O497&gt;$I497,$O497&lt;0)</formula>
    </cfRule>
    <cfRule type="expression" dxfId="112" priority="207" stopIfTrue="1">
      <formula>$A497=1</formula>
    </cfRule>
    <cfRule type="expression" dxfId="111" priority="208" stopIfTrue="1">
      <formula>$A497&lt;&gt;"S"</formula>
    </cfRule>
  </conditionalFormatting>
  <conditionalFormatting sqref="Q497:R502 AB497:AM502 AB539:AM541 Q539:R541">
    <cfRule type="expression" dxfId="110" priority="209" stopIfTrue="1">
      <formula>$A497=1</formula>
    </cfRule>
    <cfRule type="expression" dxfId="109" priority="210" stopIfTrue="1">
      <formula>$A497&lt;&gt;"S"</formula>
    </cfRule>
  </conditionalFormatting>
  <conditionalFormatting sqref="D550:O551 T550:Z551">
    <cfRule type="expression" dxfId="108" priority="196" stopIfTrue="1">
      <formula>OR(ACOMPANHAMENTO="PLE",TIPOORCAMENTO="Proposto",$L550&lt;0,AND($L550&gt;100,RegimeExecucao="Global"),$O550&gt;$I550,$O550&lt;0)</formula>
    </cfRule>
    <cfRule type="expression" dxfId="107" priority="197" stopIfTrue="1">
      <formula>$A550=1</formula>
    </cfRule>
    <cfRule type="expression" dxfId="106" priority="198" stopIfTrue="1">
      <formula>$A550&lt;&gt;"S"</formula>
    </cfRule>
  </conditionalFormatting>
  <conditionalFormatting sqref="Q550:R551 AB550:AM551">
    <cfRule type="expression" dxfId="105" priority="199" stopIfTrue="1">
      <formula>$A550=1</formula>
    </cfRule>
    <cfRule type="expression" dxfId="104" priority="200" stopIfTrue="1">
      <formula>$A550&lt;&gt;"S"</formula>
    </cfRule>
  </conditionalFormatting>
  <conditionalFormatting sqref="D503:O503 T503:Z503">
    <cfRule type="expression" dxfId="103" priority="191" stopIfTrue="1">
      <formula>OR(ACOMPANHAMENTO="PLE",TIPOORCAMENTO="Proposto",$L503&lt;0,AND($L503&gt;100,RegimeExecucao="Global"),$O503&gt;$I503,$O503&lt;0)</formula>
    </cfRule>
    <cfRule type="expression" dxfId="102" priority="192" stopIfTrue="1">
      <formula>$A503=1</formula>
    </cfRule>
    <cfRule type="expression" dxfId="101" priority="193" stopIfTrue="1">
      <formula>$A503&lt;&gt;"S"</formula>
    </cfRule>
  </conditionalFormatting>
  <conditionalFormatting sqref="Q503:R503 AB503:AM503">
    <cfRule type="expression" dxfId="100" priority="194" stopIfTrue="1">
      <formula>$A503=1</formula>
    </cfRule>
    <cfRule type="expression" dxfId="99" priority="195" stopIfTrue="1">
      <formula>$A503&lt;&gt;"S"</formula>
    </cfRule>
  </conditionalFormatting>
  <conditionalFormatting sqref="D537:O538 T537:Z538">
    <cfRule type="expression" dxfId="98" priority="181" stopIfTrue="1">
      <formula>OR(ACOMPANHAMENTO="PLE",TIPOORCAMENTO="Proposto",$L537&lt;0,AND($L537&gt;100,RegimeExecucao="Global"),$O537&gt;$I537,$O537&lt;0)</formula>
    </cfRule>
    <cfRule type="expression" dxfId="97" priority="182" stopIfTrue="1">
      <formula>$A537=1</formula>
    </cfRule>
    <cfRule type="expression" dxfId="96" priority="183" stopIfTrue="1">
      <formula>$A537&lt;&gt;"S"</formula>
    </cfRule>
  </conditionalFormatting>
  <conditionalFormatting sqref="Q537:R538 AB537:AM538">
    <cfRule type="expression" dxfId="95" priority="184" stopIfTrue="1">
      <formula>$A537=1</formula>
    </cfRule>
    <cfRule type="expression" dxfId="94" priority="185" stopIfTrue="1">
      <formula>$A537&lt;&gt;"S"</formula>
    </cfRule>
  </conditionalFormatting>
  <conditionalFormatting sqref="D511:O519 T511:Z519">
    <cfRule type="expression" dxfId="93" priority="171" stopIfTrue="1">
      <formula>OR(ACOMPANHAMENTO="PLE",TIPOORCAMENTO="Proposto",$L511&lt;0,AND($L511&gt;100,RegimeExecucao="Global"),$O511&gt;$I511,$O511&lt;0)</formula>
    </cfRule>
    <cfRule type="expression" dxfId="92" priority="172" stopIfTrue="1">
      <formula>$A511=1</formula>
    </cfRule>
    <cfRule type="expression" dxfId="91" priority="173" stopIfTrue="1">
      <formula>$A511&lt;&gt;"S"</formula>
    </cfRule>
  </conditionalFormatting>
  <conditionalFormatting sqref="Q511:R519 AB511:AM519">
    <cfRule type="expression" dxfId="90" priority="174" stopIfTrue="1">
      <formula>$A511=1</formula>
    </cfRule>
    <cfRule type="expression" dxfId="89" priority="175" stopIfTrue="1">
      <formula>$A511&lt;&gt;"S"</formula>
    </cfRule>
  </conditionalFormatting>
  <conditionalFormatting sqref="D520:O521 T520:Z521">
    <cfRule type="expression" dxfId="88" priority="166" stopIfTrue="1">
      <formula>OR(ACOMPANHAMENTO="PLE",TIPOORCAMENTO="Proposto",$L520&lt;0,AND($L520&gt;100,RegimeExecucao="Global"),$O520&gt;$I520,$O520&lt;0)</formula>
    </cfRule>
    <cfRule type="expression" dxfId="87" priority="167" stopIfTrue="1">
      <formula>$A520=1</formula>
    </cfRule>
    <cfRule type="expression" dxfId="86" priority="168" stopIfTrue="1">
      <formula>$A520&lt;&gt;"S"</formula>
    </cfRule>
  </conditionalFormatting>
  <conditionalFormatting sqref="Q520:R521 AB520:AM521">
    <cfRule type="expression" dxfId="85" priority="169" stopIfTrue="1">
      <formula>$A520=1</formula>
    </cfRule>
    <cfRule type="expression" dxfId="84" priority="170" stopIfTrue="1">
      <formula>$A520&lt;&gt;"S"</formula>
    </cfRule>
  </conditionalFormatting>
  <conditionalFormatting sqref="D493:O494 T493:Z494">
    <cfRule type="expression" dxfId="83" priority="151" stopIfTrue="1">
      <formula>OR(ACOMPANHAMENTO="PLE",TIPOORCAMENTO="Proposto",$L493&lt;0,AND($L493&gt;100,RegimeExecucao="Global"),$O493&gt;$I493,$O493&lt;0)</formula>
    </cfRule>
    <cfRule type="expression" dxfId="82" priority="152" stopIfTrue="1">
      <formula>$A493=1</formula>
    </cfRule>
    <cfRule type="expression" dxfId="81" priority="153" stopIfTrue="1">
      <formula>$A493&lt;&gt;"S"</formula>
    </cfRule>
  </conditionalFormatting>
  <conditionalFormatting sqref="Q493:R494 AB493:AM494">
    <cfRule type="expression" dxfId="80" priority="154" stopIfTrue="1">
      <formula>$A493=1</formula>
    </cfRule>
    <cfRule type="expression" dxfId="79" priority="155" stopIfTrue="1">
      <formula>$A493&lt;&gt;"S"</formula>
    </cfRule>
  </conditionalFormatting>
  <conditionalFormatting sqref="D576:O576 T576:Z576 T648:Z655 D648:O655">
    <cfRule type="expression" dxfId="78" priority="131" stopIfTrue="1">
      <formula>OR(ACOMPANHAMENTO="PLE",TIPOORCAMENTO="Proposto",$L576&lt;0,AND($L576&gt;100,RegimeExecucao="Global"),$O576&gt;$I576,$O576&lt;0)</formula>
    </cfRule>
    <cfRule type="expression" dxfId="77" priority="132" stopIfTrue="1">
      <formula>$A576=1</formula>
    </cfRule>
    <cfRule type="expression" dxfId="76" priority="133" stopIfTrue="1">
      <formula>$A576&lt;&gt;"S"</formula>
    </cfRule>
  </conditionalFormatting>
  <conditionalFormatting sqref="Q576:R576 AB576:AM576 AB648:AM655 Q648:R655">
    <cfRule type="expression" dxfId="75" priority="134" stopIfTrue="1">
      <formula>$A576=1</formula>
    </cfRule>
    <cfRule type="expression" dxfId="74" priority="135" stopIfTrue="1">
      <formula>$A576&lt;&gt;"S"</formula>
    </cfRule>
  </conditionalFormatting>
  <conditionalFormatting sqref="D663:O664 T663:Z664">
    <cfRule type="expression" dxfId="73" priority="121" stopIfTrue="1">
      <formula>OR(ACOMPANHAMENTO="PLE",TIPOORCAMENTO="Proposto",$L663&lt;0,AND($L663&gt;100,RegimeExecucao="Global"),$O663&gt;$I663,$O663&lt;0)</formula>
    </cfRule>
    <cfRule type="expression" dxfId="72" priority="122" stopIfTrue="1">
      <formula>$A663=1</formula>
    </cfRule>
    <cfRule type="expression" dxfId="71" priority="123" stopIfTrue="1">
      <formula>$A663&lt;&gt;"S"</formula>
    </cfRule>
  </conditionalFormatting>
  <conditionalFormatting sqref="Q663:R664 AB663:AM664">
    <cfRule type="expression" dxfId="70" priority="124" stopIfTrue="1">
      <formula>$A663=1</formula>
    </cfRule>
    <cfRule type="expression" dxfId="69" priority="125" stopIfTrue="1">
      <formula>$A663&lt;&gt;"S"</formula>
    </cfRule>
  </conditionalFormatting>
  <conditionalFormatting sqref="D577:O577 T577:Z577 T629:Z636 D629:O636">
    <cfRule type="expression" dxfId="68" priority="116" stopIfTrue="1">
      <formula>OR(ACOMPANHAMENTO="PLE",TIPOORCAMENTO="Proposto",$L577&lt;0,AND($L577&gt;100,RegimeExecucao="Global"),$O577&gt;$I577,$O577&lt;0)</formula>
    </cfRule>
    <cfRule type="expression" dxfId="67" priority="117" stopIfTrue="1">
      <formula>$A577=1</formula>
    </cfRule>
    <cfRule type="expression" dxfId="66" priority="118" stopIfTrue="1">
      <formula>$A577&lt;&gt;"S"</formula>
    </cfRule>
  </conditionalFormatting>
  <conditionalFormatting sqref="Q577:R577 AB577:AM577 AB629:AM636 Q629:R636">
    <cfRule type="expression" dxfId="65" priority="119" stopIfTrue="1">
      <formula>$A577=1</formula>
    </cfRule>
    <cfRule type="expression" dxfId="64" priority="120" stopIfTrue="1">
      <formula>$A577&lt;&gt;"S"</formula>
    </cfRule>
  </conditionalFormatting>
  <conditionalFormatting sqref="D637:O645 T637:Z645">
    <cfRule type="expression" dxfId="63" priority="111" stopIfTrue="1">
      <formula>OR(ACOMPANHAMENTO="PLE",TIPOORCAMENTO="Proposto",$L637&lt;0,AND($L637&gt;100,RegimeExecucao="Global"),$O637&gt;$I637,$O637&lt;0)</formula>
    </cfRule>
    <cfRule type="expression" dxfId="62" priority="112" stopIfTrue="1">
      <formula>$A637=1</formula>
    </cfRule>
    <cfRule type="expression" dxfId="61" priority="113" stopIfTrue="1">
      <formula>$A637&lt;&gt;"S"</formula>
    </cfRule>
  </conditionalFormatting>
  <conditionalFormatting sqref="Q637:R645 AB637:AM645">
    <cfRule type="expression" dxfId="60" priority="114" stopIfTrue="1">
      <formula>$A637=1</formula>
    </cfRule>
    <cfRule type="expression" dxfId="59" priority="115" stopIfTrue="1">
      <formula>$A637&lt;&gt;"S"</formula>
    </cfRule>
  </conditionalFormatting>
  <conditionalFormatting sqref="D646:O647 T646:Z647">
    <cfRule type="expression" dxfId="58" priority="106" stopIfTrue="1">
      <formula>OR(ACOMPANHAMENTO="PLE",TIPOORCAMENTO="Proposto",$L646&lt;0,AND($L646&gt;100,RegimeExecucao="Global"),$O646&gt;$I646,$O646&lt;0)</formula>
    </cfRule>
    <cfRule type="expression" dxfId="57" priority="107" stopIfTrue="1">
      <formula>$A646=1</formula>
    </cfRule>
    <cfRule type="expression" dxfId="56" priority="108" stopIfTrue="1">
      <formula>$A646&lt;&gt;"S"</formula>
    </cfRule>
  </conditionalFormatting>
  <conditionalFormatting sqref="Q646:R647 AB646:AM647">
    <cfRule type="expression" dxfId="55" priority="109" stopIfTrue="1">
      <formula>$A646=1</formula>
    </cfRule>
    <cfRule type="expression" dxfId="54" priority="110" stopIfTrue="1">
      <formula>$A646&lt;&gt;"S"</formula>
    </cfRule>
  </conditionalFormatting>
  <conditionalFormatting sqref="D578:O578 T578:Z578">
    <cfRule type="expression" dxfId="53" priority="101" stopIfTrue="1">
      <formula>OR(ACOMPANHAMENTO="PLE",TIPOORCAMENTO="Proposto",$L578&lt;0,AND($L578&gt;100,RegimeExecucao="Global"),$O578&gt;$I578,$O578&lt;0)</formula>
    </cfRule>
    <cfRule type="expression" dxfId="52" priority="102" stopIfTrue="1">
      <formula>$A578=1</formula>
    </cfRule>
    <cfRule type="expression" dxfId="51" priority="103" stopIfTrue="1">
      <formula>$A578&lt;&gt;"S"</formula>
    </cfRule>
  </conditionalFormatting>
  <conditionalFormatting sqref="Q578:R578 AB578:AM578">
    <cfRule type="expression" dxfId="50" priority="104" stopIfTrue="1">
      <formula>$A578=1</formula>
    </cfRule>
    <cfRule type="expression" dxfId="49" priority="105" stopIfTrue="1">
      <formula>$A578&lt;&gt;"S"</formula>
    </cfRule>
  </conditionalFormatting>
  <conditionalFormatting sqref="D618:O626 T618:Z626">
    <cfRule type="expression" dxfId="48" priority="96" stopIfTrue="1">
      <formula>OR(ACOMPANHAMENTO="PLE",TIPOORCAMENTO="Proposto",$L618&lt;0,AND($L618&gt;100,RegimeExecucao="Global"),$O618&gt;$I618,$O618&lt;0)</formula>
    </cfRule>
    <cfRule type="expression" dxfId="47" priority="97" stopIfTrue="1">
      <formula>$A618=1</formula>
    </cfRule>
    <cfRule type="expression" dxfId="46" priority="98" stopIfTrue="1">
      <formula>$A618&lt;&gt;"S"</formula>
    </cfRule>
  </conditionalFormatting>
  <conditionalFormatting sqref="Q618:R626 AB618:AM626">
    <cfRule type="expression" dxfId="45" priority="99" stopIfTrue="1">
      <formula>$A618=1</formula>
    </cfRule>
    <cfRule type="expression" dxfId="44" priority="100" stopIfTrue="1">
      <formula>$A618&lt;&gt;"S"</formula>
    </cfRule>
  </conditionalFormatting>
  <conditionalFormatting sqref="D627:O628 T627:Z628">
    <cfRule type="expression" dxfId="43" priority="91" stopIfTrue="1">
      <formula>OR(ACOMPANHAMENTO="PLE",TIPOORCAMENTO="Proposto",$L627&lt;0,AND($L627&gt;100,RegimeExecucao="Global"),$O627&gt;$I627,$O627&lt;0)</formula>
    </cfRule>
    <cfRule type="expression" dxfId="42" priority="92" stopIfTrue="1">
      <formula>$A627=1</formula>
    </cfRule>
    <cfRule type="expression" dxfId="41" priority="93" stopIfTrue="1">
      <formula>$A627&lt;&gt;"S"</formula>
    </cfRule>
  </conditionalFormatting>
  <conditionalFormatting sqref="Q627:R628 AB627:AM628">
    <cfRule type="expression" dxfId="40" priority="94" stopIfTrue="1">
      <formula>$A627=1</formula>
    </cfRule>
    <cfRule type="expression" dxfId="39" priority="95" stopIfTrue="1">
      <formula>$A627&lt;&gt;"S"</formula>
    </cfRule>
  </conditionalFormatting>
  <conditionalFormatting sqref="D611:O612 T611:Z612">
    <cfRule type="expression" dxfId="38" priority="76" stopIfTrue="1">
      <formula>OR(ACOMPANHAMENTO="PLE",TIPOORCAMENTO="Proposto",$L611&lt;0,AND($L611&gt;100,RegimeExecucao="Global"),$O611&gt;$I611,$O611&lt;0)</formula>
    </cfRule>
    <cfRule type="expression" dxfId="37" priority="77" stopIfTrue="1">
      <formula>$A611=1</formula>
    </cfRule>
    <cfRule type="expression" dxfId="36" priority="78" stopIfTrue="1">
      <formula>$A611&lt;&gt;"S"</formula>
    </cfRule>
  </conditionalFormatting>
  <conditionalFormatting sqref="Q611:R612 AB611:AM612">
    <cfRule type="expression" dxfId="35" priority="79" stopIfTrue="1">
      <formula>$A611=1</formula>
    </cfRule>
    <cfRule type="expression" dxfId="34" priority="80" stopIfTrue="1">
      <formula>$A611&lt;&gt;"S"</formula>
    </cfRule>
  </conditionalFormatting>
  <conditionalFormatting sqref="D685:O685 T685:Z685">
    <cfRule type="expression" dxfId="33" priority="56" stopIfTrue="1">
      <formula>OR(ACOMPANHAMENTO="PLE",TIPOORCAMENTO="Proposto",$L685&lt;0,AND($L685&gt;100,RegimeExecucao="Global"),$O685&gt;$I685,$O685&lt;0)</formula>
    </cfRule>
    <cfRule type="expression" dxfId="32" priority="57" stopIfTrue="1">
      <formula>$A685=1</formula>
    </cfRule>
    <cfRule type="expression" dxfId="31" priority="58" stopIfTrue="1">
      <formula>$A685&lt;&gt;"S"</formula>
    </cfRule>
  </conditionalFormatting>
  <conditionalFormatting sqref="Q685:R685 AB685:AM685">
    <cfRule type="expression" dxfId="30" priority="59" stopIfTrue="1">
      <formula>$A685=1</formula>
    </cfRule>
    <cfRule type="expression" dxfId="29" priority="60" stopIfTrue="1">
      <formula>$A685&lt;&gt;"S"</formula>
    </cfRule>
  </conditionalFormatting>
  <conditionalFormatting sqref="D686:O686 T686:Z686">
    <cfRule type="expression" dxfId="28" priority="41" stopIfTrue="1">
      <formula>OR(ACOMPANHAMENTO="PLE",TIPOORCAMENTO="Proposto",$L686&lt;0,AND($L686&gt;100,RegimeExecucao="Global"),$O686&gt;$I686,$O686&lt;0)</formula>
    </cfRule>
    <cfRule type="expression" dxfId="27" priority="42" stopIfTrue="1">
      <formula>$A686=1</formula>
    </cfRule>
    <cfRule type="expression" dxfId="26" priority="43" stopIfTrue="1">
      <formula>$A686&lt;&gt;"S"</formula>
    </cfRule>
  </conditionalFormatting>
  <conditionalFormatting sqref="Q686:R686 AB686:AM686">
    <cfRule type="expression" dxfId="25" priority="44" stopIfTrue="1">
      <formula>$A686=1</formula>
    </cfRule>
    <cfRule type="expression" dxfId="24" priority="45" stopIfTrue="1">
      <formula>$A686&lt;&gt;"S"</formula>
    </cfRule>
  </conditionalFormatting>
  <conditionalFormatting sqref="D687:O687 T687:Z687">
    <cfRule type="expression" dxfId="23" priority="26" stopIfTrue="1">
      <formula>OR(ACOMPANHAMENTO="PLE",TIPOORCAMENTO="Proposto",$L687&lt;0,AND($L687&gt;100,RegimeExecucao="Global"),$O687&gt;$I687,$O687&lt;0)</formula>
    </cfRule>
    <cfRule type="expression" dxfId="22" priority="27" stopIfTrue="1">
      <formula>$A687=1</formula>
    </cfRule>
    <cfRule type="expression" dxfId="21" priority="28" stopIfTrue="1">
      <formula>$A687&lt;&gt;"S"</formula>
    </cfRule>
  </conditionalFormatting>
  <conditionalFormatting sqref="Q687:R687 AB687:AM687">
    <cfRule type="expression" dxfId="20" priority="29" stopIfTrue="1">
      <formula>$A687=1</formula>
    </cfRule>
    <cfRule type="expression" dxfId="19" priority="30" stopIfTrue="1">
      <formula>$A687&lt;&gt;"S"</formula>
    </cfRule>
  </conditionalFormatting>
  <conditionalFormatting sqref="D719:O720 T719:Z720">
    <cfRule type="expression" dxfId="18" priority="16" stopIfTrue="1">
      <formula>OR(ACOMPANHAMENTO="PLE",TIPOORCAMENTO="Proposto",$L719&lt;0,AND($L719&gt;100,RegimeExecucao="Global"),$O719&gt;$I719,$O719&lt;0)</formula>
    </cfRule>
    <cfRule type="expression" dxfId="17" priority="17" stopIfTrue="1">
      <formula>$A719=1</formula>
    </cfRule>
    <cfRule type="expression" dxfId="16" priority="18" stopIfTrue="1">
      <formula>$A719&lt;&gt;"S"</formula>
    </cfRule>
  </conditionalFormatting>
  <conditionalFormatting sqref="Q719:R720 AB719:AM720">
    <cfRule type="expression" dxfId="15" priority="19" stopIfTrue="1">
      <formula>$A719=1</formula>
    </cfRule>
    <cfRule type="expression" dxfId="14" priority="20" stopIfTrue="1">
      <formula>$A719&lt;&gt;"S"</formula>
    </cfRule>
  </conditionalFormatting>
  <conditionalFormatting sqref="D703:O704 T703:Z704">
    <cfRule type="expression" dxfId="13" priority="1" stopIfTrue="1">
      <formula>OR(ACOMPANHAMENTO="PLE",TIPOORCAMENTO="Proposto",$L703&lt;0,AND($L703&gt;100,RegimeExecucao="Global"),$O703&gt;$I703,$O703&lt;0)</formula>
    </cfRule>
    <cfRule type="expression" dxfId="12" priority="2" stopIfTrue="1">
      <formula>$A703=1</formula>
    </cfRule>
    <cfRule type="expression" dxfId="11" priority="3" stopIfTrue="1">
      <formula>$A703&lt;&gt;"S"</formula>
    </cfRule>
  </conditionalFormatting>
  <conditionalFormatting sqref="Q703:R704 AB703:AM704">
    <cfRule type="expression" dxfId="10" priority="4" stopIfTrue="1">
      <formula>$A703=1</formula>
    </cfRule>
    <cfRule type="expression" dxfId="9" priority="5" stopIfTrue="1">
      <formula>$A703&lt;&gt;"S"</formula>
    </cfRule>
  </conditionalFormatting>
  <dataValidations count="4">
    <dataValidation type="list" allowBlank="1" showErrorMessage="1" sqref="Z14 Z16:Z726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726">
      <formula1>0</formula1>
      <formula2>BM.MEDAcumulado</formula2>
    </dataValidation>
    <dataValidation type="whole" operator="greaterThan" allowBlank="1" showInputMessage="1" showErrorMessage="1" sqref="O8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726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11" t="s">
        <v>147</v>
      </c>
      <c r="F3" s="611"/>
      <c r="G3" s="611"/>
      <c r="H3" s="611"/>
      <c r="I3" s="600" t="s">
        <v>146</v>
      </c>
      <c r="J3" s="600"/>
      <c r="K3" s="600"/>
      <c r="L3" s="89" t="s">
        <v>441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6" t="str">
        <f>Import.Proponente</f>
        <v>PREFEITURA DE DOIS VIZINHOS - PR</v>
      </c>
      <c r="F4" s="616"/>
      <c r="G4" s="616"/>
      <c r="H4" s="616"/>
      <c r="I4" s="603" t="str">
        <f>Import.CR</f>
        <v>1095468-12</v>
      </c>
      <c r="J4" s="603"/>
      <c r="K4" s="603"/>
      <c r="L4" s="57" t="str">
        <f>Import.TransfereGOV</f>
        <v>962693</v>
      </c>
      <c r="M4" s="689" t="s">
        <v>307</v>
      </c>
      <c r="N4" s="690"/>
      <c r="O4" s="691"/>
      <c r="P4" s="397" t="str">
        <f>import.recurso</f>
        <v>OGU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600" t="s">
        <v>202</v>
      </c>
      <c r="F6" s="600"/>
      <c r="G6" s="600"/>
      <c r="H6" s="600"/>
      <c r="I6" s="716" t="s">
        <v>306</v>
      </c>
      <c r="J6" s="716"/>
      <c r="K6" s="716"/>
      <c r="L6" s="716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593" t="s">
        <v>209</v>
      </c>
      <c r="E7" s="603" t="str">
        <f>Import.Apelido</f>
        <v>Construção do CMEI Cleovanize Totti</v>
      </c>
      <c r="F7" s="603"/>
      <c r="G7" s="603"/>
      <c r="H7" s="603"/>
      <c r="I7" s="713" t="str">
        <f>Import.Município</f>
        <v>DOIS VIZINHOS - PR</v>
      </c>
      <c r="J7" s="713"/>
      <c r="K7" s="713"/>
      <c r="L7" s="713"/>
      <c r="M7" s="399">
        <f>Import.Repasse</f>
        <v>5945400.9800000004</v>
      </c>
      <c r="N7" s="400">
        <f>Import.Contrapartida</f>
        <v>60054.559999999998</v>
      </c>
      <c r="O7" s="399">
        <f>M7+N7</f>
        <v>6005455.54</v>
      </c>
      <c r="P7" s="491">
        <f>IF(ACOMPANHAMENTO="PLE",PLE.Medicao,BM.medicao)</f>
        <v>1</v>
      </c>
      <c r="R7" s="152"/>
      <c r="S7" s="152"/>
      <c r="T7" s="152"/>
      <c r="U7" s="152"/>
    </row>
    <row r="8" spans="1:41" x14ac:dyDescent="0.2">
      <c r="D8" s="5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593"/>
      <c r="G9" s="714" t="s">
        <v>361</v>
      </c>
      <c r="H9" s="714"/>
      <c r="I9" s="714" t="s">
        <v>362</v>
      </c>
      <c r="J9" s="714"/>
      <c r="K9" s="401"/>
      <c r="L9" s="715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593"/>
      <c r="G10" s="605" t="e">
        <f ca="1">IF(J10="-","-",IF($P$24&lt;J10,"Atrasada",IF($P$24&gt;J10,"Adiantada","Normal")))</f>
        <v>#DIV/0!</v>
      </c>
      <c r="H10" s="605"/>
      <c r="I10" s="404">
        <f ca="1">DATE(YEAR($L$35),MONTH($L$35),1)</f>
        <v>45658</v>
      </c>
      <c r="J10" s="405" t="e">
        <f ca="1">IF($I$10&lt;DATE(YEAR(CRONO!$T$13),MONTH(CRONO!$T$13),1),0,IF($I$10&gt;CRONO!$AE$13,1,INDEX(CRONO!$S$266:$AG$266,MATCH(RRE!$I$10,CRONO!$S$13:$AG$13,0))))</f>
        <v>#DIV/0!</v>
      </c>
      <c r="K10" s="401"/>
      <c r="L10" s="715"/>
      <c r="M10" s="406">
        <f ca="1">QCI!L10</f>
        <v>5945400.9800000004</v>
      </c>
      <c r="N10" s="321">
        <f ca="1">QCI!M10</f>
        <v>60054.559999999998</v>
      </c>
      <c r="P10" s="403"/>
      <c r="R10" s="152"/>
      <c r="S10" s="152"/>
      <c r="T10" s="152"/>
      <c r="U10" s="152"/>
      <c r="AC10" s="710" t="s">
        <v>364</v>
      </c>
      <c r="AD10" s="710"/>
      <c r="AE10" s="710"/>
      <c r="AF10" s="710"/>
      <c r="AG10" s="710"/>
      <c r="AH10" s="710"/>
      <c r="AJ10" s="710" t="s">
        <v>4</v>
      </c>
      <c r="AK10" s="710"/>
      <c r="AL10" s="710"/>
      <c r="AM10" s="710"/>
      <c r="AN10" s="710"/>
      <c r="AO10" s="710"/>
    </row>
    <row r="11" spans="1:41" ht="20.100000000000001" customHeight="1" x14ac:dyDescent="0.2">
      <c r="D11" s="593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410</v>
      </c>
      <c r="Y11" s="711" t="str">
        <f>IF(CAIXA.Modo,"Valores Aferidos (R$)","Valores Medidos (R$)")</f>
        <v>Valores Medidos (R$)</v>
      </c>
      <c r="Z11" s="711"/>
      <c r="AC11" s="712" t="s">
        <v>365</v>
      </c>
      <c r="AD11" s="712"/>
      <c r="AE11" s="712"/>
      <c r="AF11" s="712" t="s">
        <v>366</v>
      </c>
      <c r="AG11" s="712"/>
      <c r="AH11" s="712"/>
      <c r="AJ11" s="712" t="s">
        <v>365</v>
      </c>
      <c r="AK11" s="712"/>
      <c r="AL11" s="712"/>
      <c r="AM11" s="712" t="s">
        <v>366</v>
      </c>
      <c r="AN11" s="712"/>
      <c r="AO11" s="712"/>
    </row>
    <row r="12" spans="1:41" hidden="1" x14ac:dyDescent="0.2">
      <c r="A12" t="e">
        <f ca="1">MATCH(E12,ORÇAMENTO!$E$15:$E$727,0)-1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 t="e">
        <f ca="1">IF(ACOMPANHAMENTO&lt;&gt;"PLE",0,SUMPRODUCT((OFFSET(CÁLCULO!$BV$15:$CN$15,$A12,0,$B12)&lt;=(PLE.Medicao-1))*OFFSET(CÁLCULO!$AJ$15:$BB$15,$A12,0,$B12)*OFFSET(ORÇAMENTO!$AA$15,$A12,0,$B12)/(OFFSET(ORÇAMENTO!$X$15,$A12,0,$B12)+10^-12))+IF(AUTOEVENTO="Manual",SUMPRODUCT((OFFSET(CÁLCULO!$M$15,$A12,0,$B12)=1)*OFFSET(ORÇAMENTO!$AA$15,$A12,0,$B12)*(PLE!$AE$9-PLE!$Y$9)),0))</f>
        <v>#N/A</v>
      </c>
      <c r="AD12" s="199" t="e">
        <f ca="1">IF(ACOMPANHAMENTO&lt;&gt;"PLE",0,SUMPRODUCT((OFFSET(CÁLCULO!$BV$15:$CN$15,$A12,0,$B12)&lt;=(PLE.Medicao-1))*OFFSET(CÁLCULO!$AJ$15:$BB$15,$A12,0,$B12)*OFFSET(ORÇAMENTO!$AB$15,$A12,0,$B12)/(OFFSET(ORÇAMENTO!$X$15,$A12,0,$B12)+10^-12))+IF(AUTOEVENTO="Manual",SUMPRODUCT((OFFSET(CÁLCULO!$M$15,$A12,0,$B12)=1)*OFFSET(ORÇAMENTO!$AB$15,$A12,0,$B12)*(PLE!$AE$9-PLE!$Y$9)),0))</f>
        <v>#N/A</v>
      </c>
      <c r="AE12" s="199" t="e">
        <f ca="1">ROUND(IF(ACOMPANHAMENTO&lt;&gt;"PLE",0,SUMIF(OFFSET(CÁLCULO!$BV$15:$CN$15,$A12,0,$B12),"&lt;="&amp;(PLE.Medicao-1),OFFSET(CÁLCULO!$AJ$15:$BB$15,$A12,0,$B12))+IF(AUTOEVENTO="Manual",SUMIF(OFFSET(CÁLCULO!$M$15,$A12,0,$B12),1,OFFSET(ORÇAMENTO!$X$15,$A12,0,$B12))*(PLE!$AE$9-PLE!$Y$9),0)),2)</f>
        <v>#N/A</v>
      </c>
      <c r="AF12" s="199" t="e">
        <f ca="1">IF(ACOMPANHAMENTO&lt;&gt;"PLE",0,SUMPRODUCT((OFFSET(CÁLCULO!$BV$15:$CN$15,$A12,0,$B12)&lt;=PLE.Medicao)*OFFSET(CÁLCULO!$AJ$15:$BB$15,$A12,0,$B12)*OFFSET(ORÇAMENTO!$AA$15,$A12,0,$B12)/(OFFSET(ORÇAMENTO!$X$15,$A12,0,$B12)+10^-12))+IF(AUTOEVENTO="Manual",SUMPRODUCT((OFFSET(CÁLCULO!$M$15,$A12,0,$B12)=1)*OFFSET(ORÇAMENTO!$AA$15,$A12,0,$B12)*PLE!$AE$9),0))</f>
        <v>#N/A</v>
      </c>
      <c r="AG12" s="199" t="e">
        <f ca="1">IF(ACOMPANHAMENTO&lt;&gt;"PLE",0,SUMPRODUCT((OFFSET(CÁLCULO!$BV$15:$CN$15,$A12,0,$B12)&lt;=PLE.Medicao)*OFFSET(CÁLCULO!$AJ$15:$BB$15,$A12,0,$B12)*OFFSET(ORÇAMENTO!$AB$15,$A12,0,$B12)/(OFFSET(ORÇAMENTO!$X$15,$A12,0,$B12)+10^-12))+IF(AUTOEVENTO="Manual",SUMPRODUCT((OFFSET(CÁLCULO!$M$15,$A12,0,$B12)=1)*OFFSET(ORÇAMENTO!$AB$15,$A12,0,$B12)*PLE!$AE$9),0))</f>
        <v>#N/A</v>
      </c>
      <c r="AH12" s="199" t="e">
        <f ca="1">ROUND(IF(ACOMPANHAMENTO&lt;&gt;"PLE",0,SUMIF(OFFSET(CÁLCULO!$BV$15:$CN$15,$A12,0,$B12),"&lt;="&amp;PLE.Medicao,OFFSET(CÁLCULO!$AJ$15:$BB$15,$A12,0,$B12))+IF(AUTOEVENTO="Manual",SUMIF(OFFSET(CÁLCULO!$M$15,$A12,0,$B12),1,OFFSET(ORÇAMENTO!$X$15,$A12,0,$B12))*PLE!$AE$9,0)),2)</f>
        <v>#N/A</v>
      </c>
      <c r="AJ12" s="199">
        <f ca="1">IF(ACOMPANHAMENTO&lt;&gt;"BM",0,SUMPRODUCT(OFFSET(BM!$M$15,$A12,0,$B12)*(OFFSET(BM!$A$15,$A12,0,$B12)="S")*OFFSET(ORÇAMENTO!AA$15,$A12,0,$B12)/(OFFSET(ORÇAMENTO!$X$15,$A12,0,$B12)+10^-12)))</f>
        <v>0</v>
      </c>
      <c r="AK12" s="199">
        <f ca="1">IF(ACOMPANHAMENTO&lt;&gt;"BM",0,SUMPRODUCT(OFFSET(BM!$M$15,$A12,0,$B12)*(OFFSET(BM!$A$15,$A12,0,$B12)="S")*OFFSET(ORÇAMENTO!AB$15,$A12,0,$B12)/(OFFSET(ORÇAMENTO!$X$15,$A12,0,$B12)+10^-12)))</f>
        <v>0</v>
      </c>
      <c r="AL12" s="199">
        <f ca="1">IF(ACOMPANHAMENTO&lt;&gt;"BM",0,OFFSET(BM!$M$15,$A12,0))</f>
        <v>0</v>
      </c>
      <c r="AM12" s="199">
        <f ca="1">IF(ACOMPANHAMENTO&lt;&gt;"BM",0,SUMPRODUCT(OFFSET(BM!$O$15,$A12,0,$B12)*(OFFSET(BM!$A$15,$A12,0,$B12)="S")*OFFSET(ORÇAMENTO!AA$15,$A12,0,$B12)/(OFFSET(ORÇAMENTO!$X$15,$A12,0,$B12)+10^-12)))</f>
        <v>0</v>
      </c>
      <c r="AN12" s="199">
        <f ca="1">IF(ACOMPANHAMENTO&lt;&gt;"BM",0,SUMPRODUCT(OFFSET(BM!$O$15,$A12,0,$B12)*(OFFSET(BM!$A$15,$A12,0,$B12)="S")*OFFSET(ORÇAMENTO!AB$15,$A12,0,$B12)/(OFFSET(ORÇAMENTO!$X$15,$A12,0,$B12)+10^-12)))</f>
        <v>0</v>
      </c>
      <c r="AO12" s="199">
        <f ca="1">IF(ACOMPANHAMENTO&lt;&gt;"BM",0,OFFSET(BM!$O$15,$A12,0))</f>
        <v>0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>
        <f ca="1">MATCH(E14,ORÇAMENTO!$E$15:$E$727,0)-1</f>
        <v>1</v>
      </c>
      <c r="B14">
        <f ca="1">IF(ISERROR($A14),NA(),OFFSET(ORÇAMENTO!$D$15,$A14,0))</f>
        <v>711</v>
      </c>
      <c r="C14" t="str">
        <f ca="1">QCI!B14</f>
        <v>Automático</v>
      </c>
      <c r="D14" t="str">
        <f t="shared" ref="D14:D22" ca="1" si="0">IF(L14&gt;0,"F","")</f>
        <v/>
      </c>
      <c r="E14" s="322">
        <f>QCI!D14</f>
        <v>1</v>
      </c>
      <c r="F14" s="408" t="str">
        <f ca="1">QCI!G14</f>
        <v xml:space="preserve">CONSTRUÇÃO - CRECHE TIPO 01 -  FNDE </v>
      </c>
      <c r="G14" s="409" t="str">
        <f>QCI!H14</f>
        <v>Em Análise</v>
      </c>
      <c r="H14" s="287">
        <f>QCI!I14</f>
        <v>1</v>
      </c>
      <c r="I14" s="323" t="e">
        <f ca="1">QCI!J14</f>
        <v>#N/A</v>
      </c>
      <c r="J14" s="410">
        <f ca="1">QCI!K14</f>
        <v>0</v>
      </c>
      <c r="K14" s="411">
        <f ca="1">IF($C14="Automático",IF(ACOMPANHAMENTO="BM",BM.medicao,PLE.Medicao),IF(ISBLANK($X14),"",$X14))</f>
        <v>1</v>
      </c>
      <c r="L14" s="327">
        <f ca="1">QCI!$O14</f>
        <v>0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0</v>
      </c>
      <c r="X14" s="328"/>
      <c r="Y14" s="329"/>
      <c r="Z14" s="331"/>
      <c r="AC14" s="199">
        <f ca="1">IF(ACOMPANHAMENTO&lt;&gt;"PLE",0,SUMPRODUCT((OFFSET(CÁLCULO!$BV$15:$CN$15,$A14,0,$B14)&lt;=(PLE.Medicao-1))*OFFSET(CÁLCULO!$AJ$15:$BB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BV$15:$CN$15,$A14,0,$B14)&lt;=(PLE.Medicao-1))*OFFSET(CÁLCULO!$AJ$15:$BB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BV$15:$CN$15,$A14,0,$B14),"&lt;="&amp;(PLE.Medicao-1),OFFSET(CÁLCULO!$AJ$15:$BB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BV$15:$CN$15,$A14,0,$B14)&lt;=PLE.Medicao)*OFFSET(CÁLCULO!$AJ$15:$BB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BV$15:$CN$15,$A14,0,$B14)&lt;=PLE.Medicao)*OFFSET(CÁLCULO!$AJ$15:$BB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ROUND(IF(ACOMPANHAMENTO&lt;&gt;"PLE",0,SUMIF(OFFSET(CÁLCULO!$BV$15:$CN$15,$A14,0,$B14),"&lt;="&amp;PLE.Medicao,OFFSET(CÁLCULO!$AJ$15:$BB$15,$A14,0,$B14))+IF(AUTOEVENTO="Manual",SUMIF(OFFSET(CÁLCULO!$M$15,$A14,0,$B14),1,OFFSET(ORÇAMENTO!$X$15,$A14,0,$B14))*PLE!$AE$9,0)),2)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 t="e">
        <f ca="1">MATCH(E15,ORÇAMENTO!$E$15:$E$727,0)-1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322">
        <f>QCI!D15</f>
        <v>2</v>
      </c>
      <c r="F15" s="408" t="str">
        <f ca="1">QCI!G15</f>
        <v/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/>
      </c>
      <c r="K15" s="411" t="str">
        <f ca="1">IF($C15="Automático",IF(ACOMPANHAMENTO="BM",BM.medicao,PLE.Medicao),IF(ISBLANK($X15),"",$X15))</f>
        <v/>
      </c>
      <c r="L15" s="327">
        <f ca="1">QCI!$O15</f>
        <v>0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0</v>
      </c>
      <c r="X15" s="328"/>
      <c r="Y15" s="329"/>
      <c r="Z15" s="331"/>
      <c r="AC15" s="199" t="e">
        <f ca="1">IF(ACOMPANHAMENTO&lt;&gt;"PLE",0,SUMPRODUCT((OFFSET(CÁLCULO!$BV$15:$CN$15,$A15,0,$B15)&lt;=(PLE.Medicao-1))*OFFSET(CÁLCULO!$AJ$15:$BB$15,$A15,0,$B15)*OFFSET(ORÇAMENTO!$AA$15,$A15,0,$B15)/(OFFSET(ORÇAMENTO!$X$15,$A15,0,$B15)+10^-12))+IF(AUTOEVENTO="Manual",SUMPRODUCT((OFFSET(CÁLCULO!$M$15,$A15,0,$B15)=1)*OFFSET(ORÇAMENTO!$AA$15,$A15,0,$B15)*(PLE!$AE$9-PLE!$Y$9)),0))</f>
        <v>#N/A</v>
      </c>
      <c r="AD15" s="199" t="e">
        <f ca="1">IF(ACOMPANHAMENTO&lt;&gt;"PLE",0,SUMPRODUCT((OFFSET(CÁLCULO!$BV$15:$CN$15,$A15,0,$B15)&lt;=(PLE.Medicao-1))*OFFSET(CÁLCULO!$AJ$15:$BB$15,$A15,0,$B15)*OFFSET(ORÇAMENTO!$AB$15,$A15,0,$B15)/(OFFSET(ORÇAMENTO!$X$15,$A15,0,$B15)+10^-12))+IF(AUTOEVENTO="Manual",SUMPRODUCT((OFFSET(CÁLCULO!$M$15,$A15,0,$B15)=1)*OFFSET(ORÇAMENTO!$AB$15,$A15,0,$B15)*(PLE!$AE$9-PLE!$Y$9)),0))</f>
        <v>#N/A</v>
      </c>
      <c r="AE15" s="199" t="e">
        <f ca="1">ROUND(IF(ACOMPANHAMENTO&lt;&gt;"PLE",0,SUMIF(OFFSET(CÁLCULO!$BV$15:$CN$15,$A15,0,$B15),"&lt;="&amp;(PLE.Medicao-1),OFFSET(CÁLCULO!$AJ$15:$BB$15,$A15,0,$B15))+IF(AUTOEVENTO="Manual",SUMIF(OFFSET(CÁLCULO!$M$15,$A15,0,$B15),1,OFFSET(ORÇAMENTO!$X$15,$A15,0,$B15))*(PLE!$AE$9-PLE!$Y$9),0)),2)</f>
        <v>#N/A</v>
      </c>
      <c r="AF15" s="199" t="e">
        <f ca="1">IF(ACOMPANHAMENTO&lt;&gt;"PLE",0,SUMPRODUCT((OFFSET(CÁLCULO!$BV$15:$CN$15,$A15,0,$B15)&lt;=PLE.Medicao)*OFFSET(CÁLCULO!$AJ$15:$BB$15,$A15,0,$B15)*OFFSET(ORÇAMENTO!$AA$15,$A15,0,$B15)/(OFFSET(ORÇAMENTO!$X$15,$A15,0,$B15)+10^-12))+IF(AUTOEVENTO="Manual",SUMPRODUCT((OFFSET(CÁLCULO!$M$15,$A15,0,$B15)=1)*OFFSET(ORÇAMENTO!$AA$15,$A15,0,$B15)*PLE!$AE$9),0))</f>
        <v>#N/A</v>
      </c>
      <c r="AG15" s="199" t="e">
        <f ca="1">IF(ACOMPANHAMENTO&lt;&gt;"PLE",0,SUMPRODUCT((OFFSET(CÁLCULO!$BV$15:$CN$15,$A15,0,$B15)&lt;=PLE.Medicao)*OFFSET(CÁLCULO!$AJ$15:$BB$15,$A15,0,$B15)*OFFSET(ORÇAMENTO!$AB$15,$A15,0,$B15)/(OFFSET(ORÇAMENTO!$X$15,$A15,0,$B15)+10^-12))+IF(AUTOEVENTO="Manual",SUMPRODUCT((OFFSET(CÁLCULO!$M$15,$A15,0,$B15)=1)*OFFSET(ORÇAMENTO!$AB$15,$A15,0,$B15)*PLE!$AE$9),0))</f>
        <v>#N/A</v>
      </c>
      <c r="AH15" s="199" t="e">
        <f ca="1">ROUND(IF(ACOMPANHAMENTO&lt;&gt;"PLE",0,SUMIF(OFFSET(CÁLCULO!$BV$15:$CN$15,$A15,0,$B15),"&lt;="&amp;PLE.Medicao,OFFSET(CÁLCULO!$AJ$15:$BB$15,$A15,0,$B15))+IF(AUTOEVENTO="Manual",SUMIF(OFFSET(CÁLCULO!$M$15,$A15,0,$B15),1,OFFSET(ORÇAMENTO!$X$15,$A15,0,$B15))*PLE!$AE$9,0)),2)</f>
        <v>#N/A</v>
      </c>
      <c r="AJ15" s="199">
        <f ca="1">IF(ACOMPANHAMENTO&lt;&gt;"BM",0,SUMPRODUCT(OFFSET(BM!$M$15,$A15,0,$B15)*(OFFSET(BM!$A$15,$A15,0,$B15)="S")*OFFSET(ORÇAMENTO!AA$15,$A15,0,$B15)/(OFFSET(ORÇAMENTO!$X$15,$A15,0,$B15)+10^-12)))</f>
        <v>0</v>
      </c>
      <c r="AK15" s="199">
        <f ca="1">IF(ACOMPANHAMENTO&lt;&gt;"BM",0,SUMPRODUCT(OFFSET(BM!$M$15,$A15,0,$B15)*(OFFSET(BM!$A$15,$A15,0,$B15)="S")*OFFSET(ORÇAMENTO!AB$15,$A15,0,$B15)/(OFFSET(ORÇAMENTO!$X$15,$A15,0,$B15)+10^-12)))</f>
        <v>0</v>
      </c>
      <c r="AL15" s="199">
        <f ca="1">IF(ACOMPANHAMENTO&lt;&gt;"BM",0,OFFSET(BM!$M$15,$A15,0))</f>
        <v>0</v>
      </c>
      <c r="AM15" s="199">
        <f ca="1">IF(ACOMPANHAMENTO&lt;&gt;"BM",0,SUMPRODUCT(OFFSET(BM!$O$15,$A15,0,$B15)*(OFFSET(BM!$A$15,$A15,0,$B15)="S")*OFFSET(ORÇAMENTO!AA$15,$A15,0,$B15)/(OFFSET(ORÇAMENTO!$X$15,$A15,0,$B15)+10^-12)))</f>
        <v>0</v>
      </c>
      <c r="AN15" s="199">
        <f ca="1">IF(ACOMPANHAMENTO&lt;&gt;"BM",0,SUMPRODUCT(OFFSET(BM!$O$15,$A15,0,$B15)*(OFFSET(BM!$A$15,$A15,0,$B15)="S")*OFFSET(ORÇAMENTO!AB$15,$A15,0,$B15)/(OFFSET(ORÇAMENTO!$X$15,$A15,0,$B15)+10^-12)))</f>
        <v>0</v>
      </c>
      <c r="AO15" s="199">
        <f ca="1">IF(ACOMPANHAMENTO&lt;&gt;"BM",0,OFFSET(BM!$O$15,$A15,0))</f>
        <v>0</v>
      </c>
    </row>
    <row r="16" spans="1:41" x14ac:dyDescent="0.2">
      <c r="A16" t="e">
        <f ca="1">MATCH(E16,ORÇAMENTO!$E$15:$E$727,0)-1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322">
        <f>QCI!D16</f>
        <v>3</v>
      </c>
      <c r="F16" s="408" t="str">
        <f ca="1">QCI!G16</f>
        <v/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/>
      </c>
      <c r="K16" s="411" t="str">
        <f ca="1">IF($C16="Automático",IF(ACOMPANHAMENTO="BM",BM.medicao,PLE.Medicao),IF(ISBLANK($X16),"",$X16))</f>
        <v/>
      </c>
      <c r="L16" s="327">
        <f ca="1">QCI!$O16</f>
        <v>0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0</v>
      </c>
      <c r="X16" s="328"/>
      <c r="Y16" s="329"/>
      <c r="Z16" s="331"/>
      <c r="AC16" s="199" t="e">
        <f ca="1">IF(ACOMPANHAMENTO&lt;&gt;"PLE",0,SUMPRODUCT((OFFSET(CÁLCULO!$BV$15:$CN$15,$A16,0,$B16)&lt;=(PLE.Medicao-1))*OFFSET(CÁLCULO!$AJ$15:$BB$15,$A16,0,$B16)*OFFSET(ORÇAMENTO!$AA$15,$A16,0,$B16)/(OFFSET(ORÇAMENTO!$X$15,$A16,0,$B16)+10^-12))+IF(AUTOEVENTO="Manual",SUMPRODUCT((OFFSET(CÁLCULO!$M$15,$A16,0,$B16)=1)*OFFSET(ORÇAMENTO!$AA$15,$A16,0,$B16)*(PLE!$AE$9-PLE!$Y$9)),0))</f>
        <v>#N/A</v>
      </c>
      <c r="AD16" s="199" t="e">
        <f ca="1">IF(ACOMPANHAMENTO&lt;&gt;"PLE",0,SUMPRODUCT((OFFSET(CÁLCULO!$BV$15:$CN$15,$A16,0,$B16)&lt;=(PLE.Medicao-1))*OFFSET(CÁLCULO!$AJ$15:$BB$15,$A16,0,$B16)*OFFSET(ORÇAMENTO!$AB$15,$A16,0,$B16)/(OFFSET(ORÇAMENTO!$X$15,$A16,0,$B16)+10^-12))+IF(AUTOEVENTO="Manual",SUMPRODUCT((OFFSET(CÁLCULO!$M$15,$A16,0,$B16)=1)*OFFSET(ORÇAMENTO!$AB$15,$A16,0,$B16)*(PLE!$AE$9-PLE!$Y$9)),0))</f>
        <v>#N/A</v>
      </c>
      <c r="AE16" s="199" t="e">
        <f ca="1">ROUND(IF(ACOMPANHAMENTO&lt;&gt;"PLE",0,SUMIF(OFFSET(CÁLCULO!$BV$15:$CN$15,$A16,0,$B16),"&lt;="&amp;(PLE.Medicao-1),OFFSET(CÁLCULO!$AJ$15:$BB$15,$A16,0,$B16))+IF(AUTOEVENTO="Manual",SUMIF(OFFSET(CÁLCULO!$M$15,$A16,0,$B16),1,OFFSET(ORÇAMENTO!$X$15,$A16,0,$B16))*(PLE!$AE$9-PLE!$Y$9),0)),2)</f>
        <v>#N/A</v>
      </c>
      <c r="AF16" s="199" t="e">
        <f ca="1">IF(ACOMPANHAMENTO&lt;&gt;"PLE",0,SUMPRODUCT((OFFSET(CÁLCULO!$BV$15:$CN$15,$A16,0,$B16)&lt;=PLE.Medicao)*OFFSET(CÁLCULO!$AJ$15:$BB$15,$A16,0,$B16)*OFFSET(ORÇAMENTO!$AA$15,$A16,0,$B16)/(OFFSET(ORÇAMENTO!$X$15,$A16,0,$B16)+10^-12))+IF(AUTOEVENTO="Manual",SUMPRODUCT((OFFSET(CÁLCULO!$M$15,$A16,0,$B16)=1)*OFFSET(ORÇAMENTO!$AA$15,$A16,0,$B16)*PLE!$AE$9),0))</f>
        <v>#N/A</v>
      </c>
      <c r="AG16" s="199" t="e">
        <f ca="1">IF(ACOMPANHAMENTO&lt;&gt;"PLE",0,SUMPRODUCT((OFFSET(CÁLCULO!$BV$15:$CN$15,$A16,0,$B16)&lt;=PLE.Medicao)*OFFSET(CÁLCULO!$AJ$15:$BB$15,$A16,0,$B16)*OFFSET(ORÇAMENTO!$AB$15,$A16,0,$B16)/(OFFSET(ORÇAMENTO!$X$15,$A16,0,$B16)+10^-12))+IF(AUTOEVENTO="Manual",SUMPRODUCT((OFFSET(CÁLCULO!$M$15,$A16,0,$B16)=1)*OFFSET(ORÇAMENTO!$AB$15,$A16,0,$B16)*PLE!$AE$9),0))</f>
        <v>#N/A</v>
      </c>
      <c r="AH16" s="199" t="e">
        <f ca="1">ROUND(IF(ACOMPANHAMENTO&lt;&gt;"PLE",0,SUMIF(OFFSET(CÁLCULO!$BV$15:$CN$15,$A16,0,$B16),"&lt;="&amp;PLE.Medicao,OFFSET(CÁLCULO!$AJ$15:$BB$15,$A16,0,$B16))+IF(AUTOEVENTO="Manual",SUMIF(OFFSET(CÁLCULO!$M$15,$A16,0,$B16),1,OFFSET(ORÇAMENTO!$X$15,$A16,0,$B16))*PLE!$AE$9,0)),2)</f>
        <v>#N/A</v>
      </c>
      <c r="AJ16" s="199">
        <f ca="1">IF(ACOMPANHAMENTO&lt;&gt;"BM",0,SUMPRODUCT(OFFSET(BM!$M$15,$A16,0,$B16)*(OFFSET(BM!$A$15,$A16,0,$B16)="S")*OFFSET(ORÇAMENTO!AA$15,$A16,0,$B16)/(OFFSET(ORÇAMENTO!$X$15,$A16,0,$B16)+10^-12)))</f>
        <v>0</v>
      </c>
      <c r="AK16" s="199">
        <f ca="1">IF(ACOMPANHAMENTO&lt;&gt;"BM",0,SUMPRODUCT(OFFSET(BM!$M$15,$A16,0,$B16)*(OFFSET(BM!$A$15,$A16,0,$B16)="S")*OFFSET(ORÇAMENTO!AB$15,$A16,0,$B16)/(OFFSET(ORÇAMENTO!$X$15,$A16,0,$B16)+10^-12)))</f>
        <v>0</v>
      </c>
      <c r="AL16" s="199">
        <f ca="1">IF(ACOMPANHAMENTO&lt;&gt;"BM",0,OFFSET(BM!$M$15,$A16,0))</f>
        <v>0</v>
      </c>
      <c r="AM16" s="199">
        <f ca="1">IF(ACOMPANHAMENTO&lt;&gt;"BM",0,SUMPRODUCT(OFFSET(BM!$O$15,$A16,0,$B16)*(OFFSET(BM!$A$15,$A16,0,$B16)="S")*OFFSET(ORÇAMENTO!AA$15,$A16,0,$B16)/(OFFSET(ORÇAMENTO!$X$15,$A16,0,$B16)+10^-12)))</f>
        <v>0</v>
      </c>
      <c r="AN16" s="199">
        <f ca="1">IF(ACOMPANHAMENTO&lt;&gt;"BM",0,SUMPRODUCT(OFFSET(BM!$O$15,$A16,0,$B16)*(OFFSET(BM!$A$15,$A16,0,$B16)="S")*OFFSET(ORÇAMENTO!AB$15,$A16,0,$B16)/(OFFSET(ORÇAMENTO!$X$15,$A16,0,$B16)+10^-12)))</f>
        <v>0</v>
      </c>
      <c r="AO16" s="199">
        <f ca="1">IF(ACOMPANHAMENTO&lt;&gt;"BM",0,OFFSET(BM!$O$15,$A16,0))</f>
        <v>0</v>
      </c>
    </row>
    <row r="17" spans="1:41" x14ac:dyDescent="0.2">
      <c r="A17" t="e">
        <f ca="1">MATCH(E17,ORÇAMENTO!$E$15:$E$727,0)-1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0</v>
      </c>
      <c r="X17" s="328"/>
      <c r="Y17" s="329"/>
      <c r="Z17" s="331"/>
      <c r="AC17" s="199" t="e">
        <f ca="1">IF(ACOMPANHAMENTO&lt;&gt;"PLE",0,SUMPRODUCT((OFFSET(CÁLCULO!$BV$15:$CN$15,$A17,0,$B17)&lt;=(PLE.Medicao-1))*OFFSET(CÁLCULO!$AJ$15:$BB$15,$A17,0,$B17)*OFFSET(ORÇAMENTO!$AA$15,$A17,0,$B17)/(OFFSET(ORÇAMENTO!$X$15,$A17,0,$B17)+10^-12))+IF(AUTOEVENTO="Manual",SUMPRODUCT((OFFSET(CÁLCULO!$M$15,$A17,0,$B17)=1)*OFFSET(ORÇAMENTO!$AA$15,$A17,0,$B17)*(PLE!$AE$9-PLE!$Y$9)),0))</f>
        <v>#N/A</v>
      </c>
      <c r="AD17" s="199" t="e">
        <f ca="1">IF(ACOMPANHAMENTO&lt;&gt;"PLE",0,SUMPRODUCT((OFFSET(CÁLCULO!$BV$15:$CN$15,$A17,0,$B17)&lt;=(PLE.Medicao-1))*OFFSET(CÁLCULO!$AJ$15:$BB$15,$A17,0,$B17)*OFFSET(ORÇAMENTO!$AB$15,$A17,0,$B17)/(OFFSET(ORÇAMENTO!$X$15,$A17,0,$B17)+10^-12))+IF(AUTOEVENTO="Manual",SUMPRODUCT((OFFSET(CÁLCULO!$M$15,$A17,0,$B17)=1)*OFFSET(ORÇAMENTO!$AB$15,$A17,0,$B17)*(PLE!$AE$9-PLE!$Y$9)),0))</f>
        <v>#N/A</v>
      </c>
      <c r="AE17" s="199" t="e">
        <f ca="1">ROUND(IF(ACOMPANHAMENTO&lt;&gt;"PLE",0,SUMIF(OFFSET(CÁLCULO!$BV$15:$CN$15,$A17,0,$B17),"&lt;="&amp;(PLE.Medicao-1),OFFSET(CÁLCULO!$AJ$15:$BB$15,$A17,0,$B17))+IF(AUTOEVENTO="Manual",SUMIF(OFFSET(CÁLCULO!$M$15,$A17,0,$B17),1,OFFSET(ORÇAMENTO!$X$15,$A17,0,$B17))*(PLE!$AE$9-PLE!$Y$9),0)),2)</f>
        <v>#N/A</v>
      </c>
      <c r="AF17" s="199" t="e">
        <f ca="1">IF(ACOMPANHAMENTO&lt;&gt;"PLE",0,SUMPRODUCT((OFFSET(CÁLCULO!$BV$15:$CN$15,$A17,0,$B17)&lt;=PLE.Medicao)*OFFSET(CÁLCULO!$AJ$15:$BB$15,$A17,0,$B17)*OFFSET(ORÇAMENTO!$AA$15,$A17,0,$B17)/(OFFSET(ORÇAMENTO!$X$15,$A17,0,$B17)+10^-12))+IF(AUTOEVENTO="Manual",SUMPRODUCT((OFFSET(CÁLCULO!$M$15,$A17,0,$B17)=1)*OFFSET(ORÇAMENTO!$AA$15,$A17,0,$B17)*PLE!$AE$9),0))</f>
        <v>#N/A</v>
      </c>
      <c r="AG17" s="199" t="e">
        <f ca="1">IF(ACOMPANHAMENTO&lt;&gt;"PLE",0,SUMPRODUCT((OFFSET(CÁLCULO!$BV$15:$CN$15,$A17,0,$B17)&lt;=PLE.Medicao)*OFFSET(CÁLCULO!$AJ$15:$BB$15,$A17,0,$B17)*OFFSET(ORÇAMENTO!$AB$15,$A17,0,$B17)/(OFFSET(ORÇAMENTO!$X$15,$A17,0,$B17)+10^-12))+IF(AUTOEVENTO="Manual",SUMPRODUCT((OFFSET(CÁLCULO!$M$15,$A17,0,$B17)=1)*OFFSET(ORÇAMENTO!$AB$15,$A17,0,$B17)*PLE!$AE$9),0))</f>
        <v>#N/A</v>
      </c>
      <c r="AH17" s="199" t="e">
        <f ca="1">ROUND(IF(ACOMPANHAMENTO&lt;&gt;"PLE",0,SUMIF(OFFSET(CÁLCULO!$BV$15:$CN$15,$A17,0,$B17),"&lt;="&amp;PLE.Medicao,OFFSET(CÁLCULO!$AJ$15:$BB$15,$A17,0,$B17))+IF(AUTOEVENTO="Manual",SUMIF(OFFSET(CÁLCULO!$M$15,$A17,0,$B17),1,OFFSET(ORÇAMENTO!$X$15,$A17,0,$B17))*PLE!$AE$9,0)),2)</f>
        <v>#N/A</v>
      </c>
      <c r="AJ17" s="199">
        <f ca="1">IF(ACOMPANHAMENTO&lt;&gt;"BM",0,SUMPRODUCT(OFFSET(BM!$M$15,$A17,0,$B17)*(OFFSET(BM!$A$15,$A17,0,$B17)="S")*OFFSET(ORÇAMENTO!AA$15,$A17,0,$B17)/(OFFSET(ORÇAMENTO!$X$15,$A17,0,$B17)+10^-12)))</f>
        <v>0</v>
      </c>
      <c r="AK17" s="199">
        <f ca="1">IF(ACOMPANHAMENTO&lt;&gt;"BM",0,SUMPRODUCT(OFFSET(BM!$M$15,$A17,0,$B17)*(OFFSET(BM!$A$15,$A17,0,$B17)="S")*OFFSET(ORÇAMENTO!AB$15,$A17,0,$B17)/(OFFSET(ORÇAMENTO!$X$15,$A17,0,$B17)+10^-12)))</f>
        <v>0</v>
      </c>
      <c r="AL17" s="199">
        <f ca="1">IF(ACOMPANHAMENTO&lt;&gt;"BM",0,OFFSET(BM!$M$15,$A17,0))</f>
        <v>0</v>
      </c>
      <c r="AM17" s="199">
        <f ca="1">IF(ACOMPANHAMENTO&lt;&gt;"BM",0,SUMPRODUCT(OFFSET(BM!$O$15,$A17,0,$B17)*(OFFSET(BM!$A$15,$A17,0,$B17)="S")*OFFSET(ORÇAMENTO!AA$15,$A17,0,$B17)/(OFFSET(ORÇAMENTO!$X$15,$A17,0,$B17)+10^-12)))</f>
        <v>0</v>
      </c>
      <c r="AN17" s="199">
        <f ca="1">IF(ACOMPANHAMENTO&lt;&gt;"BM",0,SUMPRODUCT(OFFSET(BM!$O$15,$A17,0,$B17)*(OFFSET(BM!$A$15,$A17,0,$B17)="S")*OFFSET(ORÇAMENTO!AB$15,$A17,0,$B17)/(OFFSET(ORÇAMENTO!$X$15,$A17,0,$B17)+10^-12)))</f>
        <v>0</v>
      </c>
      <c r="AO17" s="199">
        <f ca="1">IF(ACOMPANHAMENTO&lt;&gt;"BM",0,OFFSET(BM!$O$15,$A17,0))</f>
        <v>0</v>
      </c>
    </row>
    <row r="18" spans="1:41" x14ac:dyDescent="0.2">
      <c r="A18" t="e">
        <f ca="1">MATCH(E18,ORÇAMENTO!$E$15:$E$727,0)-1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0</v>
      </c>
      <c r="X18" s="328"/>
      <c r="Y18" s="329"/>
      <c r="Z18" s="331"/>
      <c r="AC18" s="199" t="e">
        <f ca="1">IF(ACOMPANHAMENTO&lt;&gt;"PLE",0,SUMPRODUCT((OFFSET(CÁLCULO!$BV$15:$CN$15,$A18,0,$B18)&lt;=(PLE.Medicao-1))*OFFSET(CÁLCULO!$AJ$15:$BB$15,$A18,0,$B18)*OFFSET(ORÇAMENTO!$AA$15,$A18,0,$B18)/(OFFSET(ORÇAMENTO!$X$15,$A18,0,$B18)+10^-12))+IF(AUTOEVENTO="Manual",SUMPRODUCT((OFFSET(CÁLCULO!$M$15,$A18,0,$B18)=1)*OFFSET(ORÇAMENTO!$AA$15,$A18,0,$B18)*(PLE!$AE$9-PLE!$Y$9)),0))</f>
        <v>#N/A</v>
      </c>
      <c r="AD18" s="199" t="e">
        <f ca="1">IF(ACOMPANHAMENTO&lt;&gt;"PLE",0,SUMPRODUCT((OFFSET(CÁLCULO!$BV$15:$CN$15,$A18,0,$B18)&lt;=(PLE.Medicao-1))*OFFSET(CÁLCULO!$AJ$15:$BB$15,$A18,0,$B18)*OFFSET(ORÇAMENTO!$AB$15,$A18,0,$B18)/(OFFSET(ORÇAMENTO!$X$15,$A18,0,$B18)+10^-12))+IF(AUTOEVENTO="Manual",SUMPRODUCT((OFFSET(CÁLCULO!$M$15,$A18,0,$B18)=1)*OFFSET(ORÇAMENTO!$AB$15,$A18,0,$B18)*(PLE!$AE$9-PLE!$Y$9)),0))</f>
        <v>#N/A</v>
      </c>
      <c r="AE18" s="199" t="e">
        <f ca="1">ROUND(IF(ACOMPANHAMENTO&lt;&gt;"PLE",0,SUMIF(OFFSET(CÁLCULO!$BV$15:$CN$15,$A18,0,$B18),"&lt;="&amp;(PLE.Medicao-1),OFFSET(CÁLCULO!$AJ$15:$BB$15,$A18,0,$B18))+IF(AUTOEVENTO="Manual",SUMIF(OFFSET(CÁLCULO!$M$15,$A18,0,$B18),1,OFFSET(ORÇAMENTO!$X$15,$A18,0,$B18))*(PLE!$AE$9-PLE!$Y$9),0)),2)</f>
        <v>#N/A</v>
      </c>
      <c r="AF18" s="199" t="e">
        <f ca="1">IF(ACOMPANHAMENTO&lt;&gt;"PLE",0,SUMPRODUCT((OFFSET(CÁLCULO!$BV$15:$CN$15,$A18,0,$B18)&lt;=PLE.Medicao)*OFFSET(CÁLCULO!$AJ$15:$BB$15,$A18,0,$B18)*OFFSET(ORÇAMENTO!$AA$15,$A18,0,$B18)/(OFFSET(ORÇAMENTO!$X$15,$A18,0,$B18)+10^-12))+IF(AUTOEVENTO="Manual",SUMPRODUCT((OFFSET(CÁLCULO!$M$15,$A18,0,$B18)=1)*OFFSET(ORÇAMENTO!$AA$15,$A18,0,$B18)*PLE!$AE$9),0))</f>
        <v>#N/A</v>
      </c>
      <c r="AG18" s="199" t="e">
        <f ca="1">IF(ACOMPANHAMENTO&lt;&gt;"PLE",0,SUMPRODUCT((OFFSET(CÁLCULO!$BV$15:$CN$15,$A18,0,$B18)&lt;=PLE.Medicao)*OFFSET(CÁLCULO!$AJ$15:$BB$15,$A18,0,$B18)*OFFSET(ORÇAMENTO!$AB$15,$A18,0,$B18)/(OFFSET(ORÇAMENTO!$X$15,$A18,0,$B18)+10^-12))+IF(AUTOEVENTO="Manual",SUMPRODUCT((OFFSET(CÁLCULO!$M$15,$A18,0,$B18)=1)*OFFSET(ORÇAMENTO!$AB$15,$A18,0,$B18)*PLE!$AE$9),0))</f>
        <v>#N/A</v>
      </c>
      <c r="AH18" s="199" t="e">
        <f ca="1">ROUND(IF(ACOMPANHAMENTO&lt;&gt;"PLE",0,SUMIF(OFFSET(CÁLCULO!$BV$15:$CN$15,$A18,0,$B18),"&lt;="&amp;PLE.Medicao,OFFSET(CÁLCULO!$AJ$15:$BB$15,$A18,0,$B18))+IF(AUTOEVENTO="Manual",SUMIF(OFFSET(CÁLCULO!$M$15,$A18,0,$B18),1,OFFSET(ORÇAMENTO!$X$15,$A18,0,$B18))*PLE!$AE$9,0)),2)</f>
        <v>#N/A</v>
      </c>
      <c r="AJ18" s="199">
        <f ca="1">IF(ACOMPANHAMENTO&lt;&gt;"BM",0,SUMPRODUCT(OFFSET(BM!$M$15,$A18,0,$B18)*(OFFSET(BM!$A$15,$A18,0,$B18)="S")*OFFSET(ORÇAMENTO!AA$15,$A18,0,$B18)/(OFFSET(ORÇAMENTO!$X$15,$A18,0,$B18)+10^-12)))</f>
        <v>0</v>
      </c>
      <c r="AK18" s="199">
        <f ca="1">IF(ACOMPANHAMENTO&lt;&gt;"BM",0,SUMPRODUCT(OFFSET(BM!$M$15,$A18,0,$B18)*(OFFSET(BM!$A$15,$A18,0,$B18)="S")*OFFSET(ORÇAMENTO!AB$15,$A18,0,$B18)/(OFFSET(ORÇAMENTO!$X$15,$A18,0,$B18)+10^-12)))</f>
        <v>0</v>
      </c>
      <c r="AL18" s="199">
        <f ca="1">IF(ACOMPANHAMENTO&lt;&gt;"BM",0,OFFSET(BM!$M$15,$A18,0))</f>
        <v>0</v>
      </c>
      <c r="AM18" s="199">
        <f ca="1">IF(ACOMPANHAMENTO&lt;&gt;"BM",0,SUMPRODUCT(OFFSET(BM!$O$15,$A18,0,$B18)*(OFFSET(BM!$A$15,$A18,0,$B18)="S")*OFFSET(ORÇAMENTO!AA$15,$A18,0,$B18)/(OFFSET(ORÇAMENTO!$X$15,$A18,0,$B18)+10^-12)))</f>
        <v>0</v>
      </c>
      <c r="AN18" s="199">
        <f ca="1">IF(ACOMPANHAMENTO&lt;&gt;"BM",0,SUMPRODUCT(OFFSET(BM!$O$15,$A18,0,$B18)*(OFFSET(BM!$A$15,$A18,0,$B18)="S")*OFFSET(ORÇAMENTO!AB$15,$A18,0,$B18)/(OFFSET(ORÇAMENTO!$X$15,$A18,0,$B18)+10^-12)))</f>
        <v>0</v>
      </c>
      <c r="AO18" s="199">
        <f ca="1">IF(ACOMPANHAMENTO&lt;&gt;"BM",0,OFFSET(BM!$O$15,$A18,0))</f>
        <v>0</v>
      </c>
    </row>
    <row r="19" spans="1:41" x14ac:dyDescent="0.2">
      <c r="A19" t="e">
        <f ca="1">MATCH(E19,ORÇAMENTO!$E$15:$E$727,0)-1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0</v>
      </c>
      <c r="X19" s="328"/>
      <c r="Y19" s="329"/>
      <c r="Z19" s="331"/>
      <c r="AC19" s="199" t="e">
        <f ca="1">IF(ACOMPANHAMENTO&lt;&gt;"PLE",0,SUMPRODUCT((OFFSET(CÁLCULO!$BV$15:$CN$15,$A19,0,$B19)&lt;=(PLE.Medicao-1))*OFFSET(CÁLCULO!$AJ$15:$BB$15,$A19,0,$B19)*OFFSET(ORÇAMENTO!$AA$15,$A19,0,$B19)/(OFFSET(ORÇAMENTO!$X$15,$A19,0,$B19)+10^-12))+IF(AUTOEVENTO="Manual",SUMPRODUCT((OFFSET(CÁLCULO!$M$15,$A19,0,$B19)=1)*OFFSET(ORÇAMENTO!$AA$15,$A19,0,$B19)*(PLE!$AE$9-PLE!$Y$9)),0))</f>
        <v>#N/A</v>
      </c>
      <c r="AD19" s="199" t="e">
        <f ca="1">IF(ACOMPANHAMENTO&lt;&gt;"PLE",0,SUMPRODUCT((OFFSET(CÁLCULO!$BV$15:$CN$15,$A19,0,$B19)&lt;=(PLE.Medicao-1))*OFFSET(CÁLCULO!$AJ$15:$BB$15,$A19,0,$B19)*OFFSET(ORÇAMENTO!$AB$15,$A19,0,$B19)/(OFFSET(ORÇAMENTO!$X$15,$A19,0,$B19)+10^-12))+IF(AUTOEVENTO="Manual",SUMPRODUCT((OFFSET(CÁLCULO!$M$15,$A19,0,$B19)=1)*OFFSET(ORÇAMENTO!$AB$15,$A19,0,$B19)*(PLE!$AE$9-PLE!$Y$9)),0))</f>
        <v>#N/A</v>
      </c>
      <c r="AE19" s="199" t="e">
        <f ca="1">ROUND(IF(ACOMPANHAMENTO&lt;&gt;"PLE",0,SUMIF(OFFSET(CÁLCULO!$BV$15:$CN$15,$A19,0,$B19),"&lt;="&amp;(PLE.Medicao-1),OFFSET(CÁLCULO!$AJ$15:$BB$15,$A19,0,$B19))+IF(AUTOEVENTO="Manual",SUMIF(OFFSET(CÁLCULO!$M$15,$A19,0,$B19),1,OFFSET(ORÇAMENTO!$X$15,$A19,0,$B19))*(PLE!$AE$9-PLE!$Y$9),0)),2)</f>
        <v>#N/A</v>
      </c>
      <c r="AF19" s="199" t="e">
        <f ca="1">IF(ACOMPANHAMENTO&lt;&gt;"PLE",0,SUMPRODUCT((OFFSET(CÁLCULO!$BV$15:$CN$15,$A19,0,$B19)&lt;=PLE.Medicao)*OFFSET(CÁLCULO!$AJ$15:$BB$15,$A19,0,$B19)*OFFSET(ORÇAMENTO!$AA$15,$A19,0,$B19)/(OFFSET(ORÇAMENTO!$X$15,$A19,0,$B19)+10^-12))+IF(AUTOEVENTO="Manual",SUMPRODUCT((OFFSET(CÁLCULO!$M$15,$A19,0,$B19)=1)*OFFSET(ORÇAMENTO!$AA$15,$A19,0,$B19)*PLE!$AE$9),0))</f>
        <v>#N/A</v>
      </c>
      <c r="AG19" s="199" t="e">
        <f ca="1">IF(ACOMPANHAMENTO&lt;&gt;"PLE",0,SUMPRODUCT((OFFSET(CÁLCULO!$BV$15:$CN$15,$A19,0,$B19)&lt;=PLE.Medicao)*OFFSET(CÁLCULO!$AJ$15:$BB$15,$A19,0,$B19)*OFFSET(ORÇAMENTO!$AB$15,$A19,0,$B19)/(OFFSET(ORÇAMENTO!$X$15,$A19,0,$B19)+10^-12))+IF(AUTOEVENTO="Manual",SUMPRODUCT((OFFSET(CÁLCULO!$M$15,$A19,0,$B19)=1)*OFFSET(ORÇAMENTO!$AB$15,$A19,0,$B19)*PLE!$AE$9),0))</f>
        <v>#N/A</v>
      </c>
      <c r="AH19" s="199" t="e">
        <f ca="1">ROUND(IF(ACOMPANHAMENTO&lt;&gt;"PLE",0,SUMIF(OFFSET(CÁLCULO!$BV$15:$CN$15,$A19,0,$B19),"&lt;="&amp;PLE.Medicao,OFFSET(CÁLCULO!$AJ$15:$BB$15,$A19,0,$B19))+IF(AUTOEVENTO="Manual",SUMIF(OFFSET(CÁLCULO!$M$15,$A19,0,$B19),1,OFFSET(ORÇAMENTO!$X$15,$A19,0,$B19))*PLE!$AE$9,0)),2)</f>
        <v>#N/A</v>
      </c>
      <c r="AJ19" s="199">
        <f ca="1">IF(ACOMPANHAMENTO&lt;&gt;"BM",0,SUMPRODUCT(OFFSET(BM!$M$15,$A19,0,$B19)*(OFFSET(BM!$A$15,$A19,0,$B19)="S")*OFFSET(ORÇAMENTO!AA$15,$A19,0,$B19)/(OFFSET(ORÇAMENTO!$X$15,$A19,0,$B19)+10^-12)))</f>
        <v>0</v>
      </c>
      <c r="AK19" s="199">
        <f ca="1">IF(ACOMPANHAMENTO&lt;&gt;"BM",0,SUMPRODUCT(OFFSET(BM!$M$15,$A19,0,$B19)*(OFFSET(BM!$A$15,$A19,0,$B19)="S")*OFFSET(ORÇAMENTO!AB$15,$A19,0,$B19)/(OFFSET(ORÇAMENTO!$X$15,$A19,0,$B19)+10^-12)))</f>
        <v>0</v>
      </c>
      <c r="AL19" s="199">
        <f ca="1">IF(ACOMPANHAMENTO&lt;&gt;"BM",0,OFFSET(BM!$M$15,$A19,0))</f>
        <v>0</v>
      </c>
      <c r="AM19" s="199">
        <f ca="1">IF(ACOMPANHAMENTO&lt;&gt;"BM",0,SUMPRODUCT(OFFSET(BM!$O$15,$A19,0,$B19)*(OFFSET(BM!$A$15,$A19,0,$B19)="S")*OFFSET(ORÇAMENTO!AA$15,$A19,0,$B19)/(OFFSET(ORÇAMENTO!$X$15,$A19,0,$B19)+10^-12)))</f>
        <v>0</v>
      </c>
      <c r="AN19" s="199">
        <f ca="1">IF(ACOMPANHAMENTO&lt;&gt;"BM",0,SUMPRODUCT(OFFSET(BM!$O$15,$A19,0,$B19)*(OFFSET(BM!$A$15,$A19,0,$B19)="S")*OFFSET(ORÇAMENTO!AB$15,$A19,0,$B19)/(OFFSET(ORÇAMENTO!$X$15,$A19,0,$B19)+10^-12)))</f>
        <v>0</v>
      </c>
      <c r="AO19" s="199">
        <f ca="1">IF(ACOMPANHAMENTO&lt;&gt;"BM",0,OFFSET(BM!$O$15,$A19,0))</f>
        <v>0</v>
      </c>
    </row>
    <row r="20" spans="1:41" x14ac:dyDescent="0.2">
      <c r="A20" t="e">
        <f ca="1">MATCH(E20,ORÇAMENTO!$E$15:$E$727,0)-1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0</v>
      </c>
      <c r="X20" s="328"/>
      <c r="Y20" s="329"/>
      <c r="Z20" s="331"/>
      <c r="AC20" s="199" t="e">
        <f ca="1">IF(ACOMPANHAMENTO&lt;&gt;"PLE",0,SUMPRODUCT((OFFSET(CÁLCULO!$BV$15:$CN$15,$A20,0,$B20)&lt;=(PLE.Medicao-1))*OFFSET(CÁLCULO!$AJ$15:$BB$15,$A20,0,$B20)*OFFSET(ORÇAMENTO!$AA$15,$A20,0,$B20)/(OFFSET(ORÇAMENTO!$X$15,$A20,0,$B20)+10^-12))+IF(AUTOEVENTO="Manual",SUMPRODUCT((OFFSET(CÁLCULO!$M$15,$A20,0,$B20)=1)*OFFSET(ORÇAMENTO!$AA$15,$A20,0,$B20)*(PLE!$AE$9-PLE!$Y$9)),0))</f>
        <v>#N/A</v>
      </c>
      <c r="AD20" s="199" t="e">
        <f ca="1">IF(ACOMPANHAMENTO&lt;&gt;"PLE",0,SUMPRODUCT((OFFSET(CÁLCULO!$BV$15:$CN$15,$A20,0,$B20)&lt;=(PLE.Medicao-1))*OFFSET(CÁLCULO!$AJ$15:$BB$15,$A20,0,$B20)*OFFSET(ORÇAMENTO!$AB$15,$A20,0,$B20)/(OFFSET(ORÇAMENTO!$X$15,$A20,0,$B20)+10^-12))+IF(AUTOEVENTO="Manual",SUMPRODUCT((OFFSET(CÁLCULO!$M$15,$A20,0,$B20)=1)*OFFSET(ORÇAMENTO!$AB$15,$A20,0,$B20)*(PLE!$AE$9-PLE!$Y$9)),0))</f>
        <v>#N/A</v>
      </c>
      <c r="AE20" s="199" t="e">
        <f ca="1">ROUND(IF(ACOMPANHAMENTO&lt;&gt;"PLE",0,SUMIF(OFFSET(CÁLCULO!$BV$15:$CN$15,$A20,0,$B20),"&lt;="&amp;(PLE.Medicao-1),OFFSET(CÁLCULO!$AJ$15:$BB$15,$A20,0,$B20))+IF(AUTOEVENTO="Manual",SUMIF(OFFSET(CÁLCULO!$M$15,$A20,0,$B20),1,OFFSET(ORÇAMENTO!$X$15,$A20,0,$B20))*(PLE!$AE$9-PLE!$Y$9),0)),2)</f>
        <v>#N/A</v>
      </c>
      <c r="AF20" s="199" t="e">
        <f ca="1">IF(ACOMPANHAMENTO&lt;&gt;"PLE",0,SUMPRODUCT((OFFSET(CÁLCULO!$BV$15:$CN$15,$A20,0,$B20)&lt;=PLE.Medicao)*OFFSET(CÁLCULO!$AJ$15:$BB$15,$A20,0,$B20)*OFFSET(ORÇAMENTO!$AA$15,$A20,0,$B20)/(OFFSET(ORÇAMENTO!$X$15,$A20,0,$B20)+10^-12))+IF(AUTOEVENTO="Manual",SUMPRODUCT((OFFSET(CÁLCULO!$M$15,$A20,0,$B20)=1)*OFFSET(ORÇAMENTO!$AA$15,$A20,0,$B20)*PLE!$AE$9),0))</f>
        <v>#N/A</v>
      </c>
      <c r="AG20" s="199" t="e">
        <f ca="1">IF(ACOMPANHAMENTO&lt;&gt;"PLE",0,SUMPRODUCT((OFFSET(CÁLCULO!$BV$15:$CN$15,$A20,0,$B20)&lt;=PLE.Medicao)*OFFSET(CÁLCULO!$AJ$15:$BB$15,$A20,0,$B20)*OFFSET(ORÇAMENTO!$AB$15,$A20,0,$B20)/(OFFSET(ORÇAMENTO!$X$15,$A20,0,$B20)+10^-12))+IF(AUTOEVENTO="Manual",SUMPRODUCT((OFFSET(CÁLCULO!$M$15,$A20,0,$B20)=1)*OFFSET(ORÇAMENTO!$AB$15,$A20,0,$B20)*PLE!$AE$9),0))</f>
        <v>#N/A</v>
      </c>
      <c r="AH20" s="199" t="e">
        <f ca="1">ROUND(IF(ACOMPANHAMENTO&lt;&gt;"PLE",0,SUMIF(OFFSET(CÁLCULO!$BV$15:$CN$15,$A20,0,$B20),"&lt;="&amp;PLE.Medicao,OFFSET(CÁLCULO!$AJ$15:$BB$15,$A20,0,$B20))+IF(AUTOEVENTO="Manual",SUMIF(OFFSET(CÁLCULO!$M$15,$A20,0,$B20),1,OFFSET(ORÇAMENTO!$X$15,$A20,0,$B20))*PLE!$AE$9,0)),2)</f>
        <v>#N/A</v>
      </c>
      <c r="AJ20" s="199">
        <f ca="1">IF(ACOMPANHAMENTO&lt;&gt;"BM",0,SUMPRODUCT(OFFSET(BM!$M$15,$A20,0,$B20)*(OFFSET(BM!$A$15,$A20,0,$B20)="S")*OFFSET(ORÇAMENTO!AA$15,$A20,0,$B20)/(OFFSET(ORÇAMENTO!$X$15,$A20,0,$B20)+10^-12)))</f>
        <v>0</v>
      </c>
      <c r="AK20" s="199">
        <f ca="1">IF(ACOMPANHAMENTO&lt;&gt;"BM",0,SUMPRODUCT(OFFSET(BM!$M$15,$A20,0,$B20)*(OFFSET(BM!$A$15,$A20,0,$B20)="S")*OFFSET(ORÇAMENTO!AB$15,$A20,0,$B20)/(OFFSET(ORÇAMENTO!$X$15,$A20,0,$B20)+10^-12)))</f>
        <v>0</v>
      </c>
      <c r="AL20" s="199">
        <f ca="1">IF(ACOMPANHAMENTO&lt;&gt;"BM",0,OFFSET(BM!$M$15,$A20,0))</f>
        <v>0</v>
      </c>
      <c r="AM20" s="199">
        <f ca="1">IF(ACOMPANHAMENTO&lt;&gt;"BM",0,SUMPRODUCT(OFFSET(BM!$O$15,$A20,0,$B20)*(OFFSET(BM!$A$15,$A20,0,$B20)="S")*OFFSET(ORÇAMENTO!AA$15,$A20,0,$B20)/(OFFSET(ORÇAMENTO!$X$15,$A20,0,$B20)+10^-12)))</f>
        <v>0</v>
      </c>
      <c r="AN20" s="199">
        <f ca="1">IF(ACOMPANHAMENTO&lt;&gt;"BM",0,SUMPRODUCT(OFFSET(BM!$O$15,$A20,0,$B20)*(OFFSET(BM!$A$15,$A20,0,$B20)="S")*OFFSET(ORÇAMENTO!AB$15,$A20,0,$B20)/(OFFSET(ORÇAMENTO!$X$15,$A20,0,$B20)+10^-12)))</f>
        <v>0</v>
      </c>
      <c r="AO20" s="199">
        <f ca="1">IF(ACOMPANHAMENTO&lt;&gt;"BM",0,OFFSET(BM!$O$15,$A20,0))</f>
        <v>0</v>
      </c>
    </row>
    <row r="21" spans="1:41" x14ac:dyDescent="0.2">
      <c r="A21" t="e">
        <f ca="1">MATCH(E21,ORÇAMENTO!$E$15:$E$727,0)-1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0</v>
      </c>
      <c r="X21" s="328"/>
      <c r="Y21" s="329"/>
      <c r="Z21" s="331"/>
      <c r="AC21" s="199" t="e">
        <f ca="1">IF(ACOMPANHAMENTO&lt;&gt;"PLE",0,SUMPRODUCT((OFFSET(CÁLCULO!$BV$15:$CN$15,$A21,0,$B21)&lt;=(PLE.Medicao-1))*OFFSET(CÁLCULO!$AJ$15:$BB$15,$A21,0,$B21)*OFFSET(ORÇAMENTO!$AA$15,$A21,0,$B21)/(OFFSET(ORÇAMENTO!$X$15,$A21,0,$B21)+10^-12))+IF(AUTOEVENTO="Manual",SUMPRODUCT((OFFSET(CÁLCULO!$M$15,$A21,0,$B21)=1)*OFFSET(ORÇAMENTO!$AA$15,$A21,0,$B21)*(PLE!$AE$9-PLE!$Y$9)),0))</f>
        <v>#N/A</v>
      </c>
      <c r="AD21" s="199" t="e">
        <f ca="1">IF(ACOMPANHAMENTO&lt;&gt;"PLE",0,SUMPRODUCT((OFFSET(CÁLCULO!$BV$15:$CN$15,$A21,0,$B21)&lt;=(PLE.Medicao-1))*OFFSET(CÁLCULO!$AJ$15:$BB$15,$A21,0,$B21)*OFFSET(ORÇAMENTO!$AB$15,$A21,0,$B21)/(OFFSET(ORÇAMENTO!$X$15,$A21,0,$B21)+10^-12))+IF(AUTOEVENTO="Manual",SUMPRODUCT((OFFSET(CÁLCULO!$M$15,$A21,0,$B21)=1)*OFFSET(ORÇAMENTO!$AB$15,$A21,0,$B21)*(PLE!$AE$9-PLE!$Y$9)),0))</f>
        <v>#N/A</v>
      </c>
      <c r="AE21" s="199" t="e">
        <f ca="1">ROUND(IF(ACOMPANHAMENTO&lt;&gt;"PLE",0,SUMIF(OFFSET(CÁLCULO!$BV$15:$CN$15,$A21,0,$B21),"&lt;="&amp;(PLE.Medicao-1),OFFSET(CÁLCULO!$AJ$15:$BB$15,$A21,0,$B21))+IF(AUTOEVENTO="Manual",SUMIF(OFFSET(CÁLCULO!$M$15,$A21,0,$B21),1,OFFSET(ORÇAMENTO!$X$15,$A21,0,$B21))*(PLE!$AE$9-PLE!$Y$9),0)),2)</f>
        <v>#N/A</v>
      </c>
      <c r="AF21" s="199" t="e">
        <f ca="1">IF(ACOMPANHAMENTO&lt;&gt;"PLE",0,SUMPRODUCT((OFFSET(CÁLCULO!$BV$15:$CN$15,$A21,0,$B21)&lt;=PLE.Medicao)*OFFSET(CÁLCULO!$AJ$15:$BB$15,$A21,0,$B21)*OFFSET(ORÇAMENTO!$AA$15,$A21,0,$B21)/(OFFSET(ORÇAMENTO!$X$15,$A21,0,$B21)+10^-12))+IF(AUTOEVENTO="Manual",SUMPRODUCT((OFFSET(CÁLCULO!$M$15,$A21,0,$B21)=1)*OFFSET(ORÇAMENTO!$AA$15,$A21,0,$B21)*PLE!$AE$9),0))</f>
        <v>#N/A</v>
      </c>
      <c r="AG21" s="199" t="e">
        <f ca="1">IF(ACOMPANHAMENTO&lt;&gt;"PLE",0,SUMPRODUCT((OFFSET(CÁLCULO!$BV$15:$CN$15,$A21,0,$B21)&lt;=PLE.Medicao)*OFFSET(CÁLCULO!$AJ$15:$BB$15,$A21,0,$B21)*OFFSET(ORÇAMENTO!$AB$15,$A21,0,$B21)/(OFFSET(ORÇAMENTO!$X$15,$A21,0,$B21)+10^-12))+IF(AUTOEVENTO="Manual",SUMPRODUCT((OFFSET(CÁLCULO!$M$15,$A21,0,$B21)=1)*OFFSET(ORÇAMENTO!$AB$15,$A21,0,$B21)*PLE!$AE$9),0))</f>
        <v>#N/A</v>
      </c>
      <c r="AH21" s="199" t="e">
        <f ca="1">ROUND(IF(ACOMPANHAMENTO&lt;&gt;"PLE",0,SUMIF(OFFSET(CÁLCULO!$BV$15:$CN$15,$A21,0,$B21),"&lt;="&amp;PLE.Medicao,OFFSET(CÁLCULO!$AJ$15:$BB$15,$A21,0,$B21))+IF(AUTOEVENTO="Manual",SUMIF(OFFSET(CÁLCULO!$M$15,$A21,0,$B21),1,OFFSET(ORÇAMENTO!$X$15,$A21,0,$B21))*PLE!$AE$9,0)),2)</f>
        <v>#N/A</v>
      </c>
      <c r="AJ21" s="199">
        <f ca="1">IF(ACOMPANHAMENTO&lt;&gt;"BM",0,SUMPRODUCT(OFFSET(BM!$M$15,$A21,0,$B21)*(OFFSET(BM!$A$15,$A21,0,$B21)="S")*OFFSET(ORÇAMENTO!AA$15,$A21,0,$B21)/(OFFSET(ORÇAMENTO!$X$15,$A21,0,$B21)+10^-12)))</f>
        <v>0</v>
      </c>
      <c r="AK21" s="199">
        <f ca="1">IF(ACOMPANHAMENTO&lt;&gt;"BM",0,SUMPRODUCT(OFFSET(BM!$M$15,$A21,0,$B21)*(OFFSET(BM!$A$15,$A21,0,$B21)="S")*OFFSET(ORÇAMENTO!AB$15,$A21,0,$B21)/(OFFSET(ORÇAMENTO!$X$15,$A21,0,$B21)+10^-12)))</f>
        <v>0</v>
      </c>
      <c r="AL21" s="199">
        <f ca="1">IF(ACOMPANHAMENTO&lt;&gt;"BM",0,OFFSET(BM!$M$15,$A21,0))</f>
        <v>0</v>
      </c>
      <c r="AM21" s="199">
        <f ca="1">IF(ACOMPANHAMENTO&lt;&gt;"BM",0,SUMPRODUCT(OFFSET(BM!$O$15,$A21,0,$B21)*(OFFSET(BM!$A$15,$A21,0,$B21)="S")*OFFSET(ORÇAMENTO!AA$15,$A21,0,$B21)/(OFFSET(ORÇAMENTO!$X$15,$A21,0,$B21)+10^-12)))</f>
        <v>0</v>
      </c>
      <c r="AN21" s="199">
        <f ca="1">IF(ACOMPANHAMENTO&lt;&gt;"BM",0,SUMPRODUCT(OFFSET(BM!$O$15,$A21,0,$B21)*(OFFSET(BM!$A$15,$A21,0,$B21)="S")*OFFSET(ORÇAMENTO!AB$15,$A21,0,$B21)/(OFFSET(ORÇAMENTO!$X$15,$A21,0,$B21)+10^-12)))</f>
        <v>0</v>
      </c>
      <c r="AO21" s="199">
        <f ca="1">IF(ACOMPANHAMENTO&lt;&gt;"BM",0,OFFSET(BM!$O$15,$A21,0))</f>
        <v>0</v>
      </c>
    </row>
    <row r="22" spans="1:41" x14ac:dyDescent="0.2">
      <c r="A22" t="e">
        <f ca="1">MATCH(E22,ORÇAMENTO!$E$15:$E$727,0)-1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0</v>
      </c>
      <c r="X22" s="328"/>
      <c r="Y22" s="329"/>
      <c r="Z22" s="331"/>
      <c r="AC22" s="199" t="e">
        <f ca="1">IF(ACOMPANHAMENTO&lt;&gt;"PLE",0,SUMPRODUCT((OFFSET(CÁLCULO!$BV$15:$CN$15,$A22,0,$B22)&lt;=(PLE.Medicao-1))*OFFSET(CÁLCULO!$AJ$15:$BB$15,$A22,0,$B22)*OFFSET(ORÇAMENTO!$AA$15,$A22,0,$B22)/(OFFSET(ORÇAMENTO!$X$15,$A22,0,$B22)+10^-12))+IF(AUTOEVENTO="Manual",SUMPRODUCT((OFFSET(CÁLCULO!$M$15,$A22,0,$B22)=1)*OFFSET(ORÇAMENTO!$AA$15,$A22,0,$B22)*(PLE!$AE$9-PLE!$Y$9)),0))</f>
        <v>#N/A</v>
      </c>
      <c r="AD22" s="199" t="e">
        <f ca="1">IF(ACOMPANHAMENTO&lt;&gt;"PLE",0,SUMPRODUCT((OFFSET(CÁLCULO!$BV$15:$CN$15,$A22,0,$B22)&lt;=(PLE.Medicao-1))*OFFSET(CÁLCULO!$AJ$15:$BB$15,$A22,0,$B22)*OFFSET(ORÇAMENTO!$AB$15,$A22,0,$B22)/(OFFSET(ORÇAMENTO!$X$15,$A22,0,$B22)+10^-12))+IF(AUTOEVENTO="Manual",SUMPRODUCT((OFFSET(CÁLCULO!$M$15,$A22,0,$B22)=1)*OFFSET(ORÇAMENTO!$AB$15,$A22,0,$B22)*(PLE!$AE$9-PLE!$Y$9)),0))</f>
        <v>#N/A</v>
      </c>
      <c r="AE22" s="199" t="e">
        <f ca="1">ROUND(IF(ACOMPANHAMENTO&lt;&gt;"PLE",0,SUMIF(OFFSET(CÁLCULO!$BV$15:$CN$15,$A22,0,$B22),"&lt;="&amp;(PLE.Medicao-1),OFFSET(CÁLCULO!$AJ$15:$BB$15,$A22,0,$B22))+IF(AUTOEVENTO="Manual",SUMIF(OFFSET(CÁLCULO!$M$15,$A22,0,$B22),1,OFFSET(ORÇAMENTO!$X$15,$A22,0,$B22))*(PLE!$AE$9-PLE!$Y$9),0)),2)</f>
        <v>#N/A</v>
      </c>
      <c r="AF22" s="199" t="e">
        <f ca="1">IF(ACOMPANHAMENTO&lt;&gt;"PLE",0,SUMPRODUCT((OFFSET(CÁLCULO!$BV$15:$CN$15,$A22,0,$B22)&lt;=PLE.Medicao)*OFFSET(CÁLCULO!$AJ$15:$BB$15,$A22,0,$B22)*OFFSET(ORÇAMENTO!$AA$15,$A22,0,$B22)/(OFFSET(ORÇAMENTO!$X$15,$A22,0,$B22)+10^-12))+IF(AUTOEVENTO="Manual",SUMPRODUCT((OFFSET(CÁLCULO!$M$15,$A22,0,$B22)=1)*OFFSET(ORÇAMENTO!$AA$15,$A22,0,$B22)*PLE!$AE$9),0))</f>
        <v>#N/A</v>
      </c>
      <c r="AG22" s="199" t="e">
        <f ca="1">IF(ACOMPANHAMENTO&lt;&gt;"PLE",0,SUMPRODUCT((OFFSET(CÁLCULO!$BV$15:$CN$15,$A22,0,$B22)&lt;=PLE.Medicao)*OFFSET(CÁLCULO!$AJ$15:$BB$15,$A22,0,$B22)*OFFSET(ORÇAMENTO!$AB$15,$A22,0,$B22)/(OFFSET(ORÇAMENTO!$X$15,$A22,0,$B22)+10^-12))+IF(AUTOEVENTO="Manual",SUMPRODUCT((OFFSET(CÁLCULO!$M$15,$A22,0,$B22)=1)*OFFSET(ORÇAMENTO!$AB$15,$A22,0,$B22)*PLE!$AE$9),0))</f>
        <v>#N/A</v>
      </c>
      <c r="AH22" s="199" t="e">
        <f ca="1">ROUND(IF(ACOMPANHAMENTO&lt;&gt;"PLE",0,SUMIF(OFFSET(CÁLCULO!$BV$15:$CN$15,$A22,0,$B22),"&lt;="&amp;PLE.Medicao,OFFSET(CÁLCULO!$AJ$15:$BB$15,$A22,0,$B22))+IF(AUTOEVENTO="Manual",SUMIF(OFFSET(CÁLCULO!$M$15,$A22,0,$B22),1,OFFSET(ORÇAMENTO!$X$15,$A22,0,$B22))*PLE!$AE$9,0)),2)</f>
        <v>#N/A</v>
      </c>
      <c r="AJ22" s="199">
        <f ca="1">IF(ACOMPANHAMENTO&lt;&gt;"BM",0,SUMPRODUCT(OFFSET(BM!$M$15,$A22,0,$B22)*(OFFSET(BM!$A$15,$A22,0,$B22)="S")*OFFSET(ORÇAMENTO!AA$15,$A22,0,$B22)/(OFFSET(ORÇAMENTO!$X$15,$A22,0,$B22)+10^-12)))</f>
        <v>0</v>
      </c>
      <c r="AK22" s="199">
        <f ca="1">IF(ACOMPANHAMENTO&lt;&gt;"BM",0,SUMPRODUCT(OFFSET(BM!$M$15,$A22,0,$B22)*(OFFSET(BM!$A$15,$A22,0,$B22)="S")*OFFSET(ORÇAMENTO!AB$15,$A22,0,$B22)/(OFFSET(ORÇAMENTO!$X$15,$A22,0,$B22)+10^-12)))</f>
        <v>0</v>
      </c>
      <c r="AL22" s="199">
        <f ca="1">IF(ACOMPANHAMENTO&lt;&gt;"BM",0,OFFSET(BM!$M$15,$A22,0))</f>
        <v>0</v>
      </c>
      <c r="AM22" s="199">
        <f ca="1">IF(ACOMPANHAMENTO&lt;&gt;"BM",0,SUMPRODUCT(OFFSET(BM!$O$15,$A22,0,$B22)*(OFFSET(BM!$A$15,$A22,0,$B22)="S")*OFFSET(ORÇAMENTO!AA$15,$A22,0,$B22)/(OFFSET(ORÇAMENTO!$X$15,$A22,0,$B22)+10^-12)))</f>
        <v>0</v>
      </c>
      <c r="AN22" s="199">
        <f ca="1">IF(ACOMPANHAMENTO&lt;&gt;"BM",0,SUMPRODUCT(OFFSET(BM!$O$15,$A22,0,$B22)*(OFFSET(BM!$A$15,$A22,0,$B22)="S")*OFFSET(ORÇAMENTO!AB$15,$A22,0,$B22)/(OFFSET(ORÇAMENTO!$X$15,$A22,0,$B22)+10^-12)))</f>
        <v>0</v>
      </c>
      <c r="AO22" s="199">
        <f ca="1">IF(ACOMPANHAMENTO&lt;&gt;"BM",0,OFFSET(BM!$O$15,$A22,0))</f>
        <v>0</v>
      </c>
    </row>
    <row r="23" spans="1:41" x14ac:dyDescent="0.2">
      <c r="A23" t="e">
        <f ca="1">MATCH(E23,ORÇAMENTO!$E$15:$E$727,0)-1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0</v>
      </c>
      <c r="X23" s="328"/>
      <c r="Y23" s="329"/>
      <c r="Z23" s="331"/>
      <c r="AC23" s="199" t="e">
        <f ca="1">IF(ACOMPANHAMENTO&lt;&gt;"PLE",0,SUMPRODUCT((OFFSET(CÁLCULO!$BV$15:$CN$15,$A23,0,$B23)&lt;=(PLE.Medicao-1))*OFFSET(CÁLCULO!$AJ$15:$BB$15,$A23,0,$B23)*OFFSET(ORÇAMENTO!$AA$15,$A23,0,$B23)/(OFFSET(ORÇAMENTO!$X$15,$A23,0,$B23)+10^-12))+IF(AUTOEVENTO="Manual",SUMPRODUCT((OFFSET(CÁLCULO!$M$15,$A23,0,$B23)=1)*OFFSET(ORÇAMENTO!$AA$15,$A23,0,$B23)*(PLE!$AE$9-PLE!$Y$9)),0))</f>
        <v>#N/A</v>
      </c>
      <c r="AD23" s="199" t="e">
        <f ca="1">IF(ACOMPANHAMENTO&lt;&gt;"PLE",0,SUMPRODUCT((OFFSET(CÁLCULO!$BV$15:$CN$15,$A23,0,$B23)&lt;=(PLE.Medicao-1))*OFFSET(CÁLCULO!$AJ$15:$BB$15,$A23,0,$B23)*OFFSET(ORÇAMENTO!$AB$15,$A23,0,$B23)/(OFFSET(ORÇAMENTO!$X$15,$A23,0,$B23)+10^-12))+IF(AUTOEVENTO="Manual",SUMPRODUCT((OFFSET(CÁLCULO!$M$15,$A23,0,$B23)=1)*OFFSET(ORÇAMENTO!$AB$15,$A23,0,$B23)*(PLE!$AE$9-PLE!$Y$9)),0))</f>
        <v>#N/A</v>
      </c>
      <c r="AE23" s="199" t="e">
        <f ca="1">ROUND(IF(ACOMPANHAMENTO&lt;&gt;"PLE",0,SUMIF(OFFSET(CÁLCULO!$BV$15:$CN$15,$A23,0,$B23),"&lt;="&amp;(PLE.Medicao-1),OFFSET(CÁLCULO!$AJ$15:$BB$15,$A23,0,$B23))+IF(AUTOEVENTO="Manual",SUMIF(OFFSET(CÁLCULO!$M$15,$A23,0,$B23),1,OFFSET(ORÇAMENTO!$X$15,$A23,0,$B23))*(PLE!$AE$9-PLE!$Y$9),0)),2)</f>
        <v>#N/A</v>
      </c>
      <c r="AF23" s="199" t="e">
        <f ca="1">IF(ACOMPANHAMENTO&lt;&gt;"PLE",0,SUMPRODUCT((OFFSET(CÁLCULO!$BV$15:$CN$15,$A23,0,$B23)&lt;=PLE.Medicao)*OFFSET(CÁLCULO!$AJ$15:$BB$15,$A23,0,$B23)*OFFSET(ORÇAMENTO!$AA$15,$A23,0,$B23)/(OFFSET(ORÇAMENTO!$X$15,$A23,0,$B23)+10^-12))+IF(AUTOEVENTO="Manual",SUMPRODUCT((OFFSET(CÁLCULO!$M$15,$A23,0,$B23)=1)*OFFSET(ORÇAMENTO!$AA$15,$A23,0,$B23)*PLE!$AE$9),0))</f>
        <v>#N/A</v>
      </c>
      <c r="AG23" s="199" t="e">
        <f ca="1">IF(ACOMPANHAMENTO&lt;&gt;"PLE",0,SUMPRODUCT((OFFSET(CÁLCULO!$BV$15:$CN$15,$A23,0,$B23)&lt;=PLE.Medicao)*OFFSET(CÁLCULO!$AJ$15:$BB$15,$A23,0,$B23)*OFFSET(ORÇAMENTO!$AB$15,$A23,0,$B23)/(OFFSET(ORÇAMENTO!$X$15,$A23,0,$B23)+10^-12))+IF(AUTOEVENTO="Manual",SUMPRODUCT((OFFSET(CÁLCULO!$M$15,$A23,0,$B23)=1)*OFFSET(ORÇAMENTO!$AB$15,$A23,0,$B23)*PLE!$AE$9),0))</f>
        <v>#N/A</v>
      </c>
      <c r="AH23" s="199" t="e">
        <f ca="1">ROUND(IF(ACOMPANHAMENTO&lt;&gt;"PLE",0,SUMIF(OFFSET(CÁLCULO!$BV$15:$CN$15,$A23,0,$B23),"&lt;="&amp;PLE.Medicao,OFFSET(CÁLCULO!$AJ$15:$BB$15,$A23,0,$B23))+IF(AUTOEVENTO="Manual",SUMIF(OFFSET(CÁLCULO!$M$15,$A23,0,$B23),1,OFFSET(ORÇAMENTO!$X$15,$A23,0,$B23))*PLE!$AE$9,0)),2)</f>
        <v>#N/A</v>
      </c>
      <c r="AJ23" s="199">
        <f ca="1">IF(ACOMPANHAMENTO&lt;&gt;"BM",0,SUMPRODUCT(OFFSET(BM!$M$15,$A23,0,$B23)*(OFFSET(BM!$A$15,$A23,0,$B23)="S")*OFFSET(ORÇAMENTO!AA$15,$A23,0,$B23)/(OFFSET(ORÇAMENTO!$X$15,$A23,0,$B23)+10^-12)))</f>
        <v>0</v>
      </c>
      <c r="AK23" s="199">
        <f ca="1">IF(ACOMPANHAMENTO&lt;&gt;"BM",0,SUMPRODUCT(OFFSET(BM!$M$15,$A23,0,$B23)*(OFFSET(BM!$A$15,$A23,0,$B23)="S")*OFFSET(ORÇAMENTO!AB$15,$A23,0,$B23)/(OFFSET(ORÇAMENTO!$X$15,$A23,0,$B23)+10^-12)))</f>
        <v>0</v>
      </c>
      <c r="AL23" s="199">
        <f ca="1">IF(ACOMPANHAMENTO&lt;&gt;"BM",0,OFFSET(BM!$M$15,$A23,0))</f>
        <v>0</v>
      </c>
      <c r="AM23" s="199">
        <f ca="1">IF(ACOMPANHAMENTO&lt;&gt;"BM",0,SUMPRODUCT(OFFSET(BM!$O$15,$A23,0,$B23)*(OFFSET(BM!$A$15,$A23,0,$B23)="S")*OFFSET(ORÇAMENTO!AA$15,$A23,0,$B23)/(OFFSET(ORÇAMENTO!$X$15,$A23,0,$B23)+10^-12)))</f>
        <v>0</v>
      </c>
      <c r="AN23" s="199">
        <f ca="1">IF(ACOMPANHAMENTO&lt;&gt;"BM",0,SUMPRODUCT(OFFSET(BM!$O$15,$A23,0,$B23)*(OFFSET(BM!$A$15,$A23,0,$B23)="S")*OFFSET(ORÇAMENTO!AB$15,$A23,0,$B23)/(OFFSET(ORÇAMENTO!$X$15,$A23,0,$B23)+10^-12)))</f>
        <v>0</v>
      </c>
      <c r="AO23" s="199">
        <f ca="1">IF(ACOMPANHAMENTO&lt;&gt;"BM",0,OFFSET(BM!$O$15,$A23,0))</f>
        <v>0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698" t="s">
        <v>376</v>
      </c>
      <c r="K24" s="699"/>
      <c r="L24" s="415">
        <f ca="1">IF(ISERROR(L28/$L28),0,ROUND(L28/$L28,4))</f>
        <v>0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00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01" t="str">
        <f>IF(import.recurso="FGTS","Financiamento","Repasse")</f>
        <v>Repasse</v>
      </c>
      <c r="K25" s="702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00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03" t="s">
        <v>381</v>
      </c>
      <c r="K26" s="704"/>
      <c r="L26" s="423">
        <f ca="1">QCI!M24</f>
        <v>0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00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705" t="s">
        <v>358</v>
      </c>
      <c r="K27" s="706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00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707" t="s">
        <v>360</v>
      </c>
      <c r="K28" s="708"/>
      <c r="L28" s="434">
        <f ca="1">SUM(L13:OFFSET(L24,-1,0))</f>
        <v>0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00"/>
      <c r="X28" s="359"/>
      <c r="Y28" s="361"/>
      <c r="Z28" s="362"/>
    </row>
    <row r="29" spans="1:41" x14ac:dyDescent="0.2">
      <c r="O29" s="709" t="str">
        <f ca="1">"Acumulado Anterior:  "&amp;TEXT($M$28/($L$28+10^-12),"0,00%")</f>
        <v>Acumulado Anterior:  0,00%</v>
      </c>
      <c r="P29" s="709"/>
    </row>
    <row r="30" spans="1:41" ht="14.25" x14ac:dyDescent="0.2">
      <c r="E30" s="141" t="s">
        <v>187</v>
      </c>
      <c r="P30" s="476"/>
    </row>
    <row r="31" spans="1:41" ht="12.75" customHeight="1" x14ac:dyDescent="0.2">
      <c r="E31" s="692"/>
      <c r="F31" s="693"/>
      <c r="G31" s="693"/>
      <c r="H31" s="693"/>
      <c r="I31" s="693"/>
      <c r="J31" s="693"/>
      <c r="K31" s="693"/>
      <c r="L31" s="693"/>
      <c r="M31" s="693"/>
      <c r="N31" s="693"/>
      <c r="O31" s="693"/>
      <c r="P31" s="694"/>
    </row>
    <row r="32" spans="1:41" ht="12.75" customHeight="1" x14ac:dyDescent="0.2">
      <c r="E32" s="692"/>
      <c r="F32" s="693"/>
      <c r="G32" s="693"/>
      <c r="H32" s="693"/>
      <c r="I32" s="693"/>
      <c r="J32" s="693"/>
      <c r="K32" s="693"/>
      <c r="L32" s="693"/>
      <c r="M32" s="693"/>
      <c r="N32" s="693"/>
      <c r="O32" s="693"/>
      <c r="P32" s="694"/>
      <c r="Y32" s="438"/>
      <c r="Z32" s="438"/>
    </row>
    <row r="33" spans="5:16" ht="12.75" customHeight="1" x14ac:dyDescent="0.2">
      <c r="E33" s="695"/>
      <c r="F33" s="696"/>
      <c r="G33" s="696"/>
      <c r="H33" s="696"/>
      <c r="I33" s="696"/>
      <c r="J33" s="696"/>
      <c r="K33" s="696"/>
      <c r="L33" s="696"/>
      <c r="M33" s="696"/>
      <c r="N33" s="696"/>
      <c r="O33" s="696"/>
      <c r="P33" s="697"/>
    </row>
    <row r="35" spans="5:16" ht="15" x14ac:dyDescent="0.2">
      <c r="E35" s="622" t="str">
        <f>Import.Município</f>
        <v>DOIS VIZINHOS - PR</v>
      </c>
      <c r="F35" s="622"/>
      <c r="G35" s="622"/>
      <c r="I35" s="439"/>
      <c r="L35" s="632">
        <f ca="1">DADOS!$F$25</f>
        <v>45663</v>
      </c>
      <c r="M35" s="632"/>
      <c r="N35" s="632"/>
      <c r="O35" s="632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LUIS CARLOS TURATTO</v>
      </c>
      <c r="L40" s="78" t="s">
        <v>108</v>
      </c>
      <c r="M40" s="677">
        <f>IF(CAIXA.Modo,BM!X739,DADOS!F51)</f>
        <v>0</v>
      </c>
      <c r="N40" s="677"/>
      <c r="O40" s="677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</v>
      </c>
      <c r="L41" s="78" t="str">
        <f>IF(CAIXA.Modo,"Matrícula:","Profissão:")</f>
        <v>Profissão:</v>
      </c>
      <c r="M41" s="677">
        <f>IF(CAIXA.Modo,BM!X740,DADOS!F52)</f>
        <v>0</v>
      </c>
      <c r="N41" s="677"/>
      <c r="O41" s="677"/>
    </row>
    <row r="42" spans="5:16" x14ac:dyDescent="0.2">
      <c r="L42" s="78" t="s">
        <v>109</v>
      </c>
      <c r="M42" s="677">
        <f>IF(CAIXA.Modo,BM!X741,DADOS!F53)</f>
        <v>0</v>
      </c>
      <c r="N42" s="677"/>
      <c r="O42" s="677"/>
    </row>
    <row r="43" spans="5:16" x14ac:dyDescent="0.2">
      <c r="L43" s="78" t="str">
        <f>IF(CAIXA.Modo,"","ART/RRT:")</f>
        <v>ART/RRT:</v>
      </c>
      <c r="M43" s="13">
        <f>IF(CAIXA.Modo,"",DADOS!F54)</f>
        <v>0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76"/>
      <c r="G47" s="676"/>
      <c r="L47" s="78" t="s">
        <v>108</v>
      </c>
      <c r="M47" s="676"/>
      <c r="N47" s="676"/>
      <c r="O47" s="676"/>
    </row>
    <row r="48" spans="5:16" x14ac:dyDescent="0.2">
      <c r="E48" s="78" t="str">
        <f>IF(CAIXA.Modo,"Função:","Cargo:")</f>
        <v>Cargo:</v>
      </c>
      <c r="F48" s="676"/>
      <c r="G48" s="676"/>
      <c r="L48" s="78" t="str">
        <f>IF(CAIXA.Modo,"Função:","Cargo:")</f>
        <v>Cargo:</v>
      </c>
      <c r="M48" s="676"/>
      <c r="N48" s="676"/>
      <c r="O48" s="676"/>
    </row>
    <row r="49" spans="5:15" x14ac:dyDescent="0.2">
      <c r="E49" s="78" t="str">
        <f>IF(CAIXA.Modo,"Matr:","")</f>
        <v/>
      </c>
      <c r="F49" s="676"/>
      <c r="G49" s="676"/>
      <c r="L49" s="78" t="str">
        <f>IF(CAIXA.Modo,"Matrícula:","")</f>
        <v/>
      </c>
      <c r="M49" s="676"/>
      <c r="N49" s="676"/>
      <c r="O49" s="67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/>
  <mergeCells count="40">
    <mergeCell ref="E6:H6"/>
    <mergeCell ref="I6:L6"/>
    <mergeCell ref="E3:H3"/>
    <mergeCell ref="I3:K3"/>
    <mergeCell ref="E4:H4"/>
    <mergeCell ref="I4:K4"/>
    <mergeCell ref="D7:D11"/>
    <mergeCell ref="E7:H7"/>
    <mergeCell ref="I7:L7"/>
    <mergeCell ref="G9:H9"/>
    <mergeCell ref="I9:J9"/>
    <mergeCell ref="L9:L10"/>
    <mergeCell ref="G10:H10"/>
    <mergeCell ref="AJ10:AO10"/>
    <mergeCell ref="Y11:Z11"/>
    <mergeCell ref="AC11:AE11"/>
    <mergeCell ref="AF11:AH11"/>
    <mergeCell ref="AJ11:AL11"/>
    <mergeCell ref="AM11:AO11"/>
    <mergeCell ref="J27:K27"/>
    <mergeCell ref="J28:K28"/>
    <mergeCell ref="O29:P29"/>
    <mergeCell ref="M48:O48"/>
    <mergeCell ref="AC10:AH10"/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</mergeCells>
  <phoneticPr fontId="39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>
      <formula1>0</formula1>
      <formula2>RRE.MaxOUAcum</formula2>
    </dataValidation>
    <dataValidation type="decimal" allowBlank="1" showInputMessage="1" showErrorMessage="1" sqref="Y12:Z12 Y14:Z23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36"/>
      <c r="C1" s="736"/>
      <c r="D1" s="50"/>
      <c r="E1" s="50"/>
      <c r="F1" s="50"/>
      <c r="G1" s="53" t="s">
        <v>140</v>
      </c>
    </row>
    <row r="2" spans="2:17" x14ac:dyDescent="0.2">
      <c r="B2" s="736"/>
      <c r="C2" s="736"/>
      <c r="D2" s="50"/>
      <c r="E2" s="50"/>
      <c r="F2" s="50"/>
      <c r="G2" s="12" t="s">
        <v>382</v>
      </c>
    </row>
    <row r="3" spans="2:17" ht="26.1" customHeight="1" thickBot="1" x14ac:dyDescent="0.25">
      <c r="B3" s="736"/>
      <c r="C3" s="736"/>
      <c r="D3" s="50"/>
      <c r="E3" s="50"/>
      <c r="F3" s="50"/>
      <c r="G3" s="441"/>
      <c r="I3" s="442" t="s">
        <v>383</v>
      </c>
    </row>
    <row r="4" spans="2:17" ht="12.75" customHeight="1" x14ac:dyDescent="0.2">
      <c r="B4" s="736"/>
      <c r="C4" s="736"/>
      <c r="D4" s="50"/>
      <c r="E4" s="50"/>
      <c r="F4" s="50"/>
      <c r="G4" s="50"/>
      <c r="I4" s="737" t="s">
        <v>384</v>
      </c>
      <c r="J4" s="739" t="s">
        <v>385</v>
      </c>
      <c r="K4" s="739" t="s">
        <v>386</v>
      </c>
      <c r="L4" s="732" t="s">
        <v>387</v>
      </c>
    </row>
    <row r="5" spans="2:17" x14ac:dyDescent="0.2">
      <c r="I5" s="738"/>
      <c r="J5" s="740"/>
      <c r="K5" s="740"/>
      <c r="L5" s="733"/>
    </row>
    <row r="6" spans="2:17" x14ac:dyDescent="0.2">
      <c r="B6" s="443" t="s">
        <v>388</v>
      </c>
      <c r="C6" s="734"/>
      <c r="D6" s="734"/>
      <c r="E6" s="443"/>
      <c r="F6" s="443"/>
      <c r="G6" s="50"/>
      <c r="I6" s="523" t="str">
        <f ca="1">IF(ROW(I6)-ROW(L$5)&gt;MAX(RRE!$V$13:$V$24),"",INDEX(RRE!$J$13:$J$24,MATCH(ROW(I6)-ROW(I$5),RRE!$V$13:$V$24,0)))</f>
        <v/>
      </c>
      <c r="J6" s="524" t="str">
        <f ca="1">IF(I6="","",SUMIF(RRE!$J$13:$J$24,OFÍCIO!$I6,RRE!$L$13:$L$24))</f>
        <v/>
      </c>
      <c r="K6" s="524" t="str">
        <f ca="1">IF(J6="","",SUMIF(RRE!$J$13:$J$24,OFÍCIO!$I6,RRE!$N$13:$N$24))</f>
        <v/>
      </c>
      <c r="L6" s="525" t="str">
        <f ca="1">IF(K6="","",SUMIF(RRE!$J$13:$J$24,OFÍCIO!$I6,RRE!$O$13:$O$24))</f>
        <v/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35" t="str">
        <f ca="1">CONCATENATE(RRE!$E$35,", ",TEXT(RRE!$L$35,"dd"" de ""mmmm"" de ""aaaa"))</f>
        <v>DOIS VIZINHOS - PR, 06 de janeiro de 2025</v>
      </c>
      <c r="C8" s="735"/>
      <c r="D8" s="735"/>
      <c r="E8" s="735"/>
      <c r="F8" s="735"/>
      <c r="G8" s="735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8" t="s">
        <v>390</v>
      </c>
      <c r="C10" s="728"/>
      <c r="D10" s="728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409</v>
      </c>
      <c r="C11" s="676"/>
      <c r="D11" s="67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8" t="str">
        <f ca="1">CONCATENATE(RRE.Numero,"ª"," Solicitação de ",IF(import.recurso="OGU","Desbloqueio","Desembolso")," de Recursos.")</f>
        <v>1ª Solicitação de Desbloqueio de Recursos.</v>
      </c>
      <c r="D14" s="728"/>
      <c r="E14" s="728"/>
      <c r="F14" s="728"/>
      <c r="G14" s="728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29" t="str">
        <f>CONCATENATE("Contrato de ",IF(import.recurso="OGU","Repasse","Financiamento")," - Operação nº ",Import.CR,IF(Import.TransfereGOV="","",CONCATENATE(" - TransfereGOV nº ",Import.TransfereGOV)))</f>
        <v>Contrato de Repasse - Operação nº 1095468-12 - TransfereGOV nº 962693</v>
      </c>
      <c r="D15" s="729"/>
      <c r="E15" s="729"/>
      <c r="F15" s="729"/>
      <c r="G15" s="729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29"/>
      <c r="D16" s="729"/>
      <c r="E16" s="729"/>
      <c r="F16" s="729"/>
      <c r="G16" s="729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4" t="str">
        <f>Import.DescLote</f>
        <v>Construção do CMEI Cleovanize Totti Vitoria (FNDE – Creche tipo 1)</v>
      </c>
      <c r="D18" s="724"/>
      <c r="E18" s="724"/>
      <c r="F18" s="724"/>
      <c r="G18" s="724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6" t="s">
        <v>394</v>
      </c>
      <c r="C19" s="727" t="str">
        <f>Import.Proponente</f>
        <v>PREFEITURA DE DOIS VIZINHOS - PR</v>
      </c>
      <c r="D19" s="727"/>
      <c r="E19" s="727"/>
      <c r="F19" s="727"/>
      <c r="G19" s="727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6"/>
      <c r="C20" s="727"/>
      <c r="D20" s="727"/>
      <c r="E20" s="727"/>
      <c r="F20" s="727"/>
      <c r="G20" s="727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4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724"/>
      <c r="D24" s="724"/>
      <c r="E24" s="724"/>
      <c r="F24" s="724"/>
      <c r="G24" s="724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4"/>
      <c r="C25" s="724"/>
      <c r="D25" s="724"/>
      <c r="E25" s="724"/>
      <c r="F25" s="724"/>
      <c r="G25" s="724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4"/>
      <c r="C26" s="724"/>
      <c r="D26" s="724"/>
      <c r="E26" s="724"/>
      <c r="F26" s="724"/>
      <c r="G26" s="724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5"/>
      <c r="C28" s="725"/>
      <c r="D28" s="730" t="s">
        <v>395</v>
      </c>
      <c r="E28" s="730" t="str">
        <f ca="1">"Evolução da "&amp;RRE.Numero&amp;"ª Medição"</f>
        <v>Evolução da 1ª Medição</v>
      </c>
      <c r="F28" s="731" t="s">
        <v>396</v>
      </c>
      <c r="G28" s="731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5"/>
      <c r="C29" s="725"/>
      <c r="D29" s="730"/>
      <c r="E29" s="730"/>
      <c r="F29" s="731"/>
      <c r="G29" s="731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19" t="str">
        <f>IF(import.recurso="FGTS","Financiamento:","Repasse:")</f>
        <v>Repasse:</v>
      </c>
      <c r="C30" s="719"/>
      <c r="D30" s="448">
        <f ca="1">RRE!L25</f>
        <v>0</v>
      </c>
      <c r="E30" s="448">
        <f ca="1">RRE!N25</f>
        <v>0</v>
      </c>
      <c r="F30" s="720">
        <f ca="1">RRE!O25</f>
        <v>0</v>
      </c>
      <c r="G30" s="720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19" t="s">
        <v>397</v>
      </c>
      <c r="C31" s="719"/>
      <c r="D31" s="448">
        <f ca="1">RRE!L26</f>
        <v>0</v>
      </c>
      <c r="E31" s="448">
        <f ca="1">RRE!N26</f>
        <v>0</v>
      </c>
      <c r="F31" s="720">
        <f ca="1">RRE!O26</f>
        <v>0</v>
      </c>
      <c r="G31" s="720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19" t="s">
        <v>285</v>
      </c>
      <c r="C32" s="719"/>
      <c r="D32" s="448">
        <f ca="1">RRE!L27</f>
        <v>0</v>
      </c>
      <c r="E32" s="448">
        <f ca="1">RRE!N27</f>
        <v>0</v>
      </c>
      <c r="F32" s="720">
        <f ca="1">RRE!O27</f>
        <v>0</v>
      </c>
      <c r="G32" s="720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19" t="s">
        <v>286</v>
      </c>
      <c r="C33" s="719"/>
      <c r="D33" s="448">
        <f ca="1">RRE!L28</f>
        <v>0</v>
      </c>
      <c r="E33" s="448">
        <f ca="1">RRE!N28</f>
        <v>0</v>
      </c>
      <c r="F33" s="720">
        <f ca="1">RRE!O28</f>
        <v>0</v>
      </c>
      <c r="G33" s="720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21" t="s">
        <v>398</v>
      </c>
      <c r="C34" s="721"/>
      <c r="D34" s="449" t="s">
        <v>166</v>
      </c>
      <c r="E34" s="450">
        <f ca="1">RRE!$N$28/(RRE!$L$28+10^-12)</f>
        <v>0</v>
      </c>
      <c r="F34" s="722">
        <f ca="1">RRE!P24</f>
        <v>0</v>
      </c>
      <c r="G34" s="722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23" t="str">
        <f ca="1">IF(RRE.Numero&gt;1,"2. Encaminhamos ainda a documentação relativa à prestação de contas da etapa físico-financeira anterior.","")</f>
        <v/>
      </c>
      <c r="C37" s="723"/>
      <c r="D37" s="723"/>
      <c r="E37" s="723"/>
      <c r="F37" s="723"/>
      <c r="G37" s="723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23"/>
      <c r="C38" s="723"/>
      <c r="D38" s="723"/>
      <c r="E38" s="723"/>
      <c r="F38" s="723"/>
      <c r="G38" s="723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23" t="str">
        <f ca="1">IF(AND(RRE.Numero&gt;1,NOT(ISBLANK(Import.TransfereGOV))),"3. Na oportunidade, informamos que a execução financeira da parcela anterior está devidamente comprovada no TransfereGOV.","")</f>
        <v/>
      </c>
      <c r="C39" s="723"/>
      <c r="D39" s="723"/>
      <c r="E39" s="723"/>
      <c r="F39" s="723"/>
      <c r="G39" s="723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23"/>
      <c r="C40" s="723"/>
      <c r="D40" s="723"/>
      <c r="E40" s="723"/>
      <c r="F40" s="723"/>
      <c r="G40" s="723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23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23"/>
      <c r="D42" s="723"/>
      <c r="E42" s="723"/>
      <c r="F42" s="723"/>
      <c r="G42" s="723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23"/>
      <c r="C43" s="723"/>
      <c r="D43" s="723"/>
      <c r="E43" s="723"/>
      <c r="F43" s="723"/>
      <c r="G43" s="723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23"/>
      <c r="C44" s="723"/>
      <c r="D44" s="723"/>
      <c r="E44" s="723"/>
      <c r="F44" s="723"/>
      <c r="G44" s="723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23"/>
      <c r="C45" s="723"/>
      <c r="D45" s="723"/>
      <c r="E45" s="723"/>
      <c r="F45" s="723"/>
      <c r="G45" s="723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23"/>
      <c r="C46" s="723"/>
      <c r="D46" s="723"/>
      <c r="E46" s="723"/>
      <c r="F46" s="723"/>
      <c r="G46" s="723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17" t="str">
        <f>DADOS!$F$28</f>
        <v>LUIS CARLOS TURATTO</v>
      </c>
      <c r="C54" s="717"/>
      <c r="D54" s="717"/>
      <c r="E54" s="717"/>
      <c r="F54" s="717"/>
      <c r="G54" s="717"/>
    </row>
    <row r="55" spans="2:7" x14ac:dyDescent="0.2">
      <c r="B55" s="717" t="str">
        <f>DADOS!$F$29</f>
        <v>PREFEITO</v>
      </c>
      <c r="C55" s="717"/>
      <c r="D55" s="717"/>
      <c r="E55" s="717"/>
      <c r="F55" s="717"/>
      <c r="G55" s="717"/>
    </row>
    <row r="56" spans="2:7" x14ac:dyDescent="0.2">
      <c r="B56" s="718"/>
      <c r="C56" s="718"/>
      <c r="D56" s="718"/>
      <c r="E56" s="718"/>
      <c r="F56" s="718"/>
      <c r="G56" s="718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L4:L5"/>
    <mergeCell ref="C6:D6"/>
    <mergeCell ref="B8:G8"/>
    <mergeCell ref="B10:D10"/>
    <mergeCell ref="B1:C4"/>
    <mergeCell ref="I4:I5"/>
    <mergeCell ref="J4:J5"/>
    <mergeCell ref="K4:K5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B31:C31"/>
    <mergeCell ref="F31:G31"/>
    <mergeCell ref="B30:C30"/>
    <mergeCell ref="F30:G30"/>
    <mergeCell ref="B54:G54"/>
    <mergeCell ref="B32:C32"/>
    <mergeCell ref="F32:G32"/>
    <mergeCell ref="B55:G56"/>
    <mergeCell ref="B33:C33"/>
    <mergeCell ref="F33:G33"/>
    <mergeCell ref="B34:C34"/>
    <mergeCell ref="F34:G34"/>
    <mergeCell ref="B37:G38"/>
    <mergeCell ref="B39:G40"/>
    <mergeCell ref="B42:G46"/>
  </mergeCells>
  <phoneticPr fontId="39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PAMELA BEHLING ROSALINO</cp:lastModifiedBy>
  <cp:revision>5</cp:revision>
  <cp:lastPrinted>2024-11-12T10:44:15Z</cp:lastPrinted>
  <dcterms:created xsi:type="dcterms:W3CDTF">1997-01-10T22:22:50Z</dcterms:created>
  <dcterms:modified xsi:type="dcterms:W3CDTF">2025-01-06T13:24:38Z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